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42"/>
  <workbookPr codeName="ThisWorkbook" defaultThemeVersion="166925"/>
  <mc:AlternateContent xmlns:mc="http://schemas.openxmlformats.org/markup-compatibility/2006">
    <mc:Choice Requires="x15">
      <x15ac:absPath xmlns:x15ac="http://schemas.microsoft.com/office/spreadsheetml/2010/11/ac" url="C:\Users\cesar.hernandez\Documents\CNGAE_2024\CNSIPEE 2024\Cuestionarios VF\"/>
    </mc:Choice>
  </mc:AlternateContent>
  <xr:revisionPtr revIDLastSave="0" documentId="13_ncr:1_{0D84AB5E-73AB-4336-A5F7-98BC25A822D0}" xr6:coauthVersionLast="36" xr6:coauthVersionMax="47" xr10:uidLastSave="{00000000-0000-0000-0000-000000000000}"/>
  <bookViews>
    <workbookView xWindow="-120" yWindow="-120" windowWidth="20730" windowHeight="11160" tabRatio="673" activeTab="1" xr2:uid="{CF17CE4F-ACD5-4ACD-92EA-AA79FFC9AE88}"/>
  </bookViews>
  <sheets>
    <sheet name="Índice" sheetId="23" r:id="rId1"/>
    <sheet name="Presentación" sheetId="19" r:id="rId2"/>
    <sheet name="Informantes" sheetId="15" r:id="rId3"/>
    <sheet name="Participantes" sheetId="36" r:id="rId4"/>
    <sheet name="CNSIPEE_2024_M2_Secc1" sheetId="32" r:id="rId5"/>
    <sheet name="CNSIPEE_2024_M2_Secc2" sheetId="59" r:id="rId6"/>
    <sheet name="CNSIPEE_2024_M2_Secc3" sheetId="37" r:id="rId7"/>
    <sheet name="CNSIPEE_2024_M2_Secc4" sheetId="40" r:id="rId8"/>
    <sheet name="CNSIPEE_2024_M2_Secc5" sheetId="43" r:id="rId9"/>
    <sheet name="CNSIPEE_2024_M2_Secc6" sheetId="46" r:id="rId10"/>
    <sheet name="CNSIPEE_2024_M2_Secc7" sheetId="48" r:id="rId11"/>
    <sheet name="CNSIPEE_2024_M2_Secc8" sheetId="49" r:id="rId12"/>
    <sheet name="CNSIPEE_2024_M2_Secc9" sheetId="50" r:id="rId13"/>
    <sheet name="CNSIPEE_2024_M2_Secc10" sheetId="52" r:id="rId14"/>
    <sheet name="CNSIPEE_2024_M2_Secc11" sheetId="47" r:id="rId15"/>
    <sheet name="CNSIPEE_2024_M2_Secc12" sheetId="53" r:id="rId16"/>
    <sheet name="CNSIPEE_2024_M2_Secc13" sheetId="56" r:id="rId17"/>
    <sheet name="CNSIPEE_2024_M2_Secc14" sheetId="44" r:id="rId18"/>
    <sheet name="CNSIPEE_2024_M2_Secc15" sheetId="57" r:id="rId19"/>
    <sheet name="CNSIPEE_2024_M2_Secc16" sheetId="58" r:id="rId20"/>
    <sheet name="Complemento 1" sheetId="61" r:id="rId21"/>
    <sheet name="Complemento 2" sheetId="41" r:id="rId22"/>
    <sheet name="Complemento 3" sheetId="34" r:id="rId23"/>
    <sheet name="Glosario" sheetId="63" r:id="rId24"/>
  </sheets>
  <definedNames>
    <definedName name="_xlnm.Print_Area" localSheetId="4">CNSIPEE_2024_M2_Secc1!$A$1:$AE$630</definedName>
    <definedName name="_xlnm.Print_Area" localSheetId="13">CNSIPEE_2024_M2_Secc10!$A$1:$AE$902</definedName>
    <definedName name="_xlnm.Print_Area" localSheetId="14">CNSIPEE_2024_M2_Secc11!$A$1:$AE$732</definedName>
    <definedName name="_xlnm.Print_Area" localSheetId="15">CNSIPEE_2024_M2_Secc12!$A$1:$AE$211</definedName>
    <definedName name="_xlnm.Print_Area" localSheetId="16">CNSIPEE_2024_M2_Secc13!$A$1:$AE$795</definedName>
    <definedName name="_xlnm.Print_Area" localSheetId="17">CNSIPEE_2024_M2_Secc14!$A$1:$AE$986</definedName>
    <definedName name="_xlnm.Print_Area" localSheetId="18">CNSIPEE_2024_M2_Secc15!$A$1:$AE$337</definedName>
    <definedName name="_xlnm.Print_Area" localSheetId="19">CNSIPEE_2024_M2_Secc16!$A$1:$AE$609</definedName>
    <definedName name="_xlnm.Print_Area" localSheetId="5">CNSIPEE_2024_M2_Secc2!$A$1:$AE$1727</definedName>
    <definedName name="_xlnm.Print_Area" localSheetId="6">CNSIPEE_2024_M2_Secc3!$A$1:$AE$524</definedName>
    <definedName name="_xlnm.Print_Area" localSheetId="7">CNSIPEE_2024_M2_Secc4!$A$1:$AE$127</definedName>
    <definedName name="_xlnm.Print_Area" localSheetId="8">CNSIPEE_2024_M2_Secc5!$A$1:$AE$118</definedName>
    <definedName name="_xlnm.Print_Area" localSheetId="9">CNSIPEE_2024_M2_Secc6!$A$1:$AE$449</definedName>
    <definedName name="_xlnm.Print_Area" localSheetId="10">CNSIPEE_2024_M2_Secc7!$A$1:$AE$1007</definedName>
    <definedName name="_xlnm.Print_Area" localSheetId="11">CNSIPEE_2024_M2_Secc8!$A$1:$AE$1863</definedName>
    <definedName name="_xlnm.Print_Area" localSheetId="12">CNSIPEE_2024_M2_Secc9!$A$1:$AE$201</definedName>
    <definedName name="_xlnm.Print_Area" localSheetId="20">'Complemento 1'!$A$1:$AM$40</definedName>
    <definedName name="_xlnm.Print_Area" localSheetId="21">'Complemento 2'!$A$1:$CT$45</definedName>
    <definedName name="_xlnm.Print_Area" localSheetId="22">'Complemento 3'!$A$1:$AK$32</definedName>
    <definedName name="_xlnm.Print_Area" localSheetId="23">Glosario!$A$1:$AE$371</definedName>
    <definedName name="_xlnm.Print_Area" localSheetId="0">Índice!$A$1:$AE$59</definedName>
    <definedName name="_xlnm.Print_Area" localSheetId="2">Informantes!$A$1:$AE$56</definedName>
    <definedName name="_xlnm.Print_Area" localSheetId="3">Participantes!$A$1:$BJ$71</definedName>
    <definedName name="_xlnm.Print_Area" localSheetId="1">Presentación!$A$1:$AE$124</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K299" i="57" l="1"/>
  <c r="IZ30" i="41"/>
  <c r="IZ31" i="41"/>
  <c r="IZ32" i="41"/>
  <c r="IZ33" i="41"/>
  <c r="IZ34" i="41"/>
  <c r="IZ35" i="41"/>
  <c r="IZ36" i="41"/>
  <c r="IX30" i="41"/>
  <c r="IX31" i="41"/>
  <c r="IX32" i="41"/>
  <c r="IX33" i="41"/>
  <c r="IX34" i="41"/>
  <c r="IX35" i="41"/>
  <c r="IX36" i="41"/>
  <c r="IV30" i="41"/>
  <c r="IV31" i="41"/>
  <c r="IV32" i="41"/>
  <c r="IV33" i="41"/>
  <c r="IV34" i="41"/>
  <c r="IV35" i="41"/>
  <c r="IV36" i="41"/>
  <c r="IT30" i="41"/>
  <c r="IT31" i="41"/>
  <c r="IT32" i="41"/>
  <c r="IT33" i="41"/>
  <c r="IT34" i="41"/>
  <c r="IT35" i="41"/>
  <c r="IT36" i="41"/>
  <c r="IR30" i="41"/>
  <c r="IR31" i="41"/>
  <c r="IR32" i="41"/>
  <c r="IR33" i="41"/>
  <c r="IR34" i="41"/>
  <c r="IR35" i="41"/>
  <c r="IR36" i="41"/>
  <c r="IP30" i="41"/>
  <c r="IP31" i="41"/>
  <c r="IP32" i="41"/>
  <c r="IP33" i="41"/>
  <c r="IP34" i="41"/>
  <c r="IP35" i="41"/>
  <c r="IP36" i="41"/>
  <c r="IN30" i="41"/>
  <c r="IN31" i="41"/>
  <c r="IN32" i="41"/>
  <c r="IN33" i="41"/>
  <c r="IN34" i="41"/>
  <c r="IN35" i="41"/>
  <c r="IN36" i="41"/>
  <c r="IL30" i="41"/>
  <c r="IL31" i="41"/>
  <c r="IL32" i="41"/>
  <c r="IL33" i="41"/>
  <c r="IL34" i="41"/>
  <c r="IL35" i="41"/>
  <c r="IL36" i="41"/>
  <c r="IJ30" i="41"/>
  <c r="IJ31" i="41"/>
  <c r="IJ32" i="41"/>
  <c r="IJ33" i="41"/>
  <c r="IJ34" i="41"/>
  <c r="IJ35" i="41"/>
  <c r="IJ36" i="41"/>
  <c r="IH30" i="41"/>
  <c r="IH31" i="41"/>
  <c r="IH32" i="41"/>
  <c r="IH33" i="41"/>
  <c r="IH34" i="41"/>
  <c r="IH35" i="41"/>
  <c r="IH36" i="41"/>
  <c r="IF30" i="41"/>
  <c r="IF31" i="41"/>
  <c r="IF32" i="41"/>
  <c r="IF33" i="41"/>
  <c r="IF34" i="41"/>
  <c r="IF35" i="41"/>
  <c r="IF36" i="41"/>
  <c r="ID30" i="41"/>
  <c r="ID31" i="41"/>
  <c r="ID32" i="41"/>
  <c r="ID33" i="41"/>
  <c r="ID34" i="41"/>
  <c r="ID35" i="41"/>
  <c r="ID36" i="41"/>
  <c r="IB30" i="41"/>
  <c r="IB31" i="41"/>
  <c r="IB32" i="41"/>
  <c r="IB33" i="41"/>
  <c r="IB34" i="41"/>
  <c r="IB35" i="41"/>
  <c r="IB36" i="41"/>
  <c r="HZ30" i="41"/>
  <c r="HZ31" i="41"/>
  <c r="HZ32" i="41"/>
  <c r="HZ33" i="41"/>
  <c r="HZ34" i="41"/>
  <c r="HZ35" i="41"/>
  <c r="HZ36" i="41"/>
  <c r="HX30" i="41"/>
  <c r="HX31" i="41"/>
  <c r="HX32" i="41"/>
  <c r="HX33" i="41"/>
  <c r="HX34" i="41"/>
  <c r="HX35" i="41"/>
  <c r="HX36" i="41"/>
  <c r="HV30" i="41"/>
  <c r="HV31" i="41"/>
  <c r="HV32" i="41"/>
  <c r="HV33" i="41"/>
  <c r="HV34" i="41"/>
  <c r="HV35" i="41"/>
  <c r="HV36" i="41"/>
  <c r="HT30" i="41"/>
  <c r="HT31" i="41"/>
  <c r="HT32" i="41"/>
  <c r="HT33" i="41"/>
  <c r="HT34" i="41"/>
  <c r="HT35" i="41"/>
  <c r="HT36" i="41"/>
  <c r="HR30" i="41"/>
  <c r="HR31" i="41"/>
  <c r="HR32" i="41"/>
  <c r="HR33" i="41"/>
  <c r="HR34" i="41"/>
  <c r="HR35" i="41"/>
  <c r="HR36" i="41"/>
  <c r="HP30" i="41"/>
  <c r="HP31" i="41"/>
  <c r="HP32" i="41"/>
  <c r="HP33" i="41"/>
  <c r="HP34" i="41"/>
  <c r="HP35" i="41"/>
  <c r="HP36" i="41"/>
  <c r="HN30" i="41"/>
  <c r="HN31" i="41"/>
  <c r="HN32" i="41"/>
  <c r="HN33" i="41"/>
  <c r="HN34" i="41"/>
  <c r="HN35" i="41"/>
  <c r="HN36" i="41"/>
  <c r="IZ29" i="41"/>
  <c r="IX29" i="41"/>
  <c r="IV29" i="41"/>
  <c r="IT29" i="41"/>
  <c r="IR29" i="41"/>
  <c r="IP29" i="41"/>
  <c r="IN29" i="41"/>
  <c r="IL29" i="41"/>
  <c r="IJ29" i="41"/>
  <c r="IH29" i="41"/>
  <c r="IF29" i="41"/>
  <c r="ID29" i="41"/>
  <c r="IB29" i="41"/>
  <c r="HZ29" i="41"/>
  <c r="HX29" i="41"/>
  <c r="HV29" i="41"/>
  <c r="HT29" i="41"/>
  <c r="HR29" i="41"/>
  <c r="HP29" i="41"/>
  <c r="HN29" i="41"/>
  <c r="HL36" i="41"/>
  <c r="GX30" i="41"/>
  <c r="GY30" i="41"/>
  <c r="GZ30" i="41"/>
  <c r="HA30" i="41"/>
  <c r="HB30" i="41"/>
  <c r="HC30" i="41"/>
  <c r="HD30" i="41"/>
  <c r="HE30" i="41"/>
  <c r="HF30" i="41"/>
  <c r="HG30" i="41"/>
  <c r="HH30" i="41"/>
  <c r="HI30" i="41"/>
  <c r="HJ30" i="41"/>
  <c r="HK30" i="41"/>
  <c r="HL30" i="41"/>
  <c r="GX31" i="41"/>
  <c r="GY31" i="41"/>
  <c r="GZ31" i="41"/>
  <c r="HA31" i="41"/>
  <c r="HB31" i="41"/>
  <c r="HC31" i="41"/>
  <c r="HD31" i="41"/>
  <c r="HE31" i="41"/>
  <c r="HF31" i="41"/>
  <c r="HG31" i="41"/>
  <c r="HH31" i="41"/>
  <c r="HI31" i="41"/>
  <c r="HJ31" i="41"/>
  <c r="HK31" i="41"/>
  <c r="HL31" i="41"/>
  <c r="GX32" i="41"/>
  <c r="GY32" i="41"/>
  <c r="GZ32" i="41"/>
  <c r="HA32" i="41"/>
  <c r="HB32" i="41"/>
  <c r="HC32" i="41"/>
  <c r="HD32" i="41"/>
  <c r="HE32" i="41"/>
  <c r="HF32" i="41"/>
  <c r="HG32" i="41"/>
  <c r="HH32" i="41"/>
  <c r="HI32" i="41"/>
  <c r="HJ32" i="41"/>
  <c r="HK32" i="41"/>
  <c r="HL32" i="41"/>
  <c r="GX33" i="41"/>
  <c r="GY33" i="41"/>
  <c r="GZ33" i="41"/>
  <c r="HA33" i="41"/>
  <c r="HB33" i="41"/>
  <c r="HC33" i="41"/>
  <c r="HD33" i="41"/>
  <c r="HE33" i="41"/>
  <c r="HF33" i="41"/>
  <c r="HG33" i="41"/>
  <c r="HH33" i="41"/>
  <c r="HI33" i="41"/>
  <c r="HJ33" i="41"/>
  <c r="HK33" i="41"/>
  <c r="HL33" i="41"/>
  <c r="GX34" i="41"/>
  <c r="GY34" i="41"/>
  <c r="GZ34" i="41"/>
  <c r="HA34" i="41"/>
  <c r="HB34" i="41"/>
  <c r="HC34" i="41"/>
  <c r="HD34" i="41"/>
  <c r="HE34" i="41"/>
  <c r="HF34" i="41"/>
  <c r="HG34" i="41"/>
  <c r="HH34" i="41"/>
  <c r="HI34" i="41"/>
  <c r="HJ34" i="41"/>
  <c r="HK34" i="41"/>
  <c r="HL34" i="41"/>
  <c r="GX35" i="41"/>
  <c r="GY35" i="41"/>
  <c r="GZ35" i="41"/>
  <c r="HA35" i="41"/>
  <c r="HB35" i="41"/>
  <c r="HC35" i="41"/>
  <c r="HD35" i="41"/>
  <c r="HE35" i="41"/>
  <c r="HF35" i="41"/>
  <c r="HG35" i="41"/>
  <c r="HH35" i="41"/>
  <c r="HI35" i="41"/>
  <c r="HJ35" i="41"/>
  <c r="HK35" i="41"/>
  <c r="HL35" i="41"/>
  <c r="GX36" i="41"/>
  <c r="GY36" i="41"/>
  <c r="GZ36" i="41"/>
  <c r="HA36" i="41"/>
  <c r="HB36" i="41"/>
  <c r="HC36" i="41"/>
  <c r="HD36" i="41"/>
  <c r="HE36" i="41"/>
  <c r="HF36" i="41"/>
  <c r="HG36" i="41"/>
  <c r="HH36" i="41"/>
  <c r="HI36" i="41"/>
  <c r="HJ36" i="41"/>
  <c r="HK36" i="41"/>
  <c r="HL29" i="41"/>
  <c r="HK29" i="41"/>
  <c r="HJ29" i="41"/>
  <c r="HI29" i="41"/>
  <c r="HH29" i="41"/>
  <c r="HG29" i="41"/>
  <c r="HF29" i="41"/>
  <c r="HE29" i="41"/>
  <c r="HD29" i="41"/>
  <c r="HC29" i="41"/>
  <c r="HB29" i="41"/>
  <c r="HA29" i="41"/>
  <c r="GZ29" i="41"/>
  <c r="GY29" i="41"/>
  <c r="GX29" i="41"/>
  <c r="AR141" i="58" l="1"/>
  <c r="AT423" i="46"/>
  <c r="AT325" i="46"/>
  <c r="AT326" i="46"/>
  <c r="AT327" i="46"/>
  <c r="AT328" i="46"/>
  <c r="AT329" i="46"/>
  <c r="AT330" i="46"/>
  <c r="AT331" i="46"/>
  <c r="AT332" i="46"/>
  <c r="AT333" i="46"/>
  <c r="AT334" i="46"/>
  <c r="AT335" i="46"/>
  <c r="AT336" i="46"/>
  <c r="AT337" i="46"/>
  <c r="AT338" i="46"/>
  <c r="AT339" i="46"/>
  <c r="AT340" i="46"/>
  <c r="AT341" i="46"/>
  <c r="AT342" i="46"/>
  <c r="AT343" i="46"/>
  <c r="AT344" i="46"/>
  <c r="AT345" i="46"/>
  <c r="AT346" i="46"/>
  <c r="AT347" i="46"/>
  <c r="AT348" i="46"/>
  <c r="AT349" i="46"/>
  <c r="AT350" i="46"/>
  <c r="AT351" i="46"/>
  <c r="AT352" i="46"/>
  <c r="AT353" i="46"/>
  <c r="AT354" i="46"/>
  <c r="AT355" i="46"/>
  <c r="AT356" i="46"/>
  <c r="AT357" i="46"/>
  <c r="AT358" i="46"/>
  <c r="AT359" i="46"/>
  <c r="AT360" i="46"/>
  <c r="AT361" i="46"/>
  <c r="AT362" i="46"/>
  <c r="AT363" i="46"/>
  <c r="AT364" i="46"/>
  <c r="AT365" i="46"/>
  <c r="AT366" i="46"/>
  <c r="AT367" i="46"/>
  <c r="AT368" i="46"/>
  <c r="AT369" i="46"/>
  <c r="AT370" i="46"/>
  <c r="AT371" i="46"/>
  <c r="AT372" i="46"/>
  <c r="AT373" i="46"/>
  <c r="AT374" i="46"/>
  <c r="AT375" i="46"/>
  <c r="AT376" i="46"/>
  <c r="AT377" i="46"/>
  <c r="AT378" i="46"/>
  <c r="AT379" i="46"/>
  <c r="AT380" i="46"/>
  <c r="AT381" i="46"/>
  <c r="AT382" i="46"/>
  <c r="AT383" i="46"/>
  <c r="AT384" i="46"/>
  <c r="AT385" i="46"/>
  <c r="AT386" i="46"/>
  <c r="AT387" i="46"/>
  <c r="AT388" i="46"/>
  <c r="AT389" i="46"/>
  <c r="AT390" i="46"/>
  <c r="AT391" i="46"/>
  <c r="AT392" i="46"/>
  <c r="AT393" i="46"/>
  <c r="AT394" i="46"/>
  <c r="AT395" i="46"/>
  <c r="AT396" i="46"/>
  <c r="AT397" i="46"/>
  <c r="AT398" i="46"/>
  <c r="AT399" i="46"/>
  <c r="AT400" i="46"/>
  <c r="AT401" i="46"/>
  <c r="AT402" i="46"/>
  <c r="AT403" i="46"/>
  <c r="AT404" i="46"/>
  <c r="AT405" i="46"/>
  <c r="AT406" i="46"/>
  <c r="AT407" i="46"/>
  <c r="AT408" i="46"/>
  <c r="AT409" i="46"/>
  <c r="AT410" i="46"/>
  <c r="AT411" i="46"/>
  <c r="AT412" i="46"/>
  <c r="AT413" i="46"/>
  <c r="AT414" i="46"/>
  <c r="AT415" i="46"/>
  <c r="AT416" i="46"/>
  <c r="AT417" i="46"/>
  <c r="AT418" i="46"/>
  <c r="AT419" i="46"/>
  <c r="AT420" i="46"/>
  <c r="AT421" i="46"/>
  <c r="AT422" i="46"/>
  <c r="AT324" i="46"/>
  <c r="BF325" i="46" l="1"/>
  <c r="BF326" i="46"/>
  <c r="BF327" i="46"/>
  <c r="BF328" i="46"/>
  <c r="BF329" i="46"/>
  <c r="BF330" i="46"/>
  <c r="BF331" i="46"/>
  <c r="BF332" i="46"/>
  <c r="BF333" i="46"/>
  <c r="BF334" i="46"/>
  <c r="BF335" i="46"/>
  <c r="BF336" i="46"/>
  <c r="BF337" i="46"/>
  <c r="BF338" i="46"/>
  <c r="BF339" i="46"/>
  <c r="BF340" i="46"/>
  <c r="BF341" i="46"/>
  <c r="BF342" i="46"/>
  <c r="BF343" i="46"/>
  <c r="BF344" i="46"/>
  <c r="BF345" i="46"/>
  <c r="BF346" i="46"/>
  <c r="BF347" i="46"/>
  <c r="BF348" i="46"/>
  <c r="BF349" i="46"/>
  <c r="BF350" i="46"/>
  <c r="BF351" i="46"/>
  <c r="BF352" i="46"/>
  <c r="BF353" i="46"/>
  <c r="BF354" i="46"/>
  <c r="BF355" i="46"/>
  <c r="BF356" i="46"/>
  <c r="BF357" i="46"/>
  <c r="BF358" i="46"/>
  <c r="BF359" i="46"/>
  <c r="BF360" i="46"/>
  <c r="BF361" i="46"/>
  <c r="BF362" i="46"/>
  <c r="BF363" i="46"/>
  <c r="BF364" i="46"/>
  <c r="BF365" i="46"/>
  <c r="BF366" i="46"/>
  <c r="BF367" i="46"/>
  <c r="BF368" i="46"/>
  <c r="BF369" i="46"/>
  <c r="BF370" i="46"/>
  <c r="BF371" i="46"/>
  <c r="BF372" i="46"/>
  <c r="BF373" i="46"/>
  <c r="BF374" i="46"/>
  <c r="BF375" i="46"/>
  <c r="BF376" i="46"/>
  <c r="BF377" i="46"/>
  <c r="BF378" i="46"/>
  <c r="BF379" i="46"/>
  <c r="BF380" i="46"/>
  <c r="BF381" i="46"/>
  <c r="BF382" i="46"/>
  <c r="BF383" i="46"/>
  <c r="BF384" i="46"/>
  <c r="BF385" i="46"/>
  <c r="BF386" i="46"/>
  <c r="BF387" i="46"/>
  <c r="BF388" i="46"/>
  <c r="BF389" i="46"/>
  <c r="BF390" i="46"/>
  <c r="BF391" i="46"/>
  <c r="BF392" i="46"/>
  <c r="BF393" i="46"/>
  <c r="BF394" i="46"/>
  <c r="BF395" i="46"/>
  <c r="BF396" i="46"/>
  <c r="BF397" i="46"/>
  <c r="BF398" i="46"/>
  <c r="BF399" i="46"/>
  <c r="BF400" i="46"/>
  <c r="BF401" i="46"/>
  <c r="BF402" i="46"/>
  <c r="BF403" i="46"/>
  <c r="BF404" i="46"/>
  <c r="BF405" i="46"/>
  <c r="BF406" i="46"/>
  <c r="BF407" i="46"/>
  <c r="BF408" i="46"/>
  <c r="BF409" i="46"/>
  <c r="BF410" i="46"/>
  <c r="BF411" i="46"/>
  <c r="BF412" i="46"/>
  <c r="BF413" i="46"/>
  <c r="BF414" i="46"/>
  <c r="BF415" i="46"/>
  <c r="BF416" i="46"/>
  <c r="BF417" i="46"/>
  <c r="BF418" i="46"/>
  <c r="BF419" i="46"/>
  <c r="BF420" i="46"/>
  <c r="BF421" i="46"/>
  <c r="BF422" i="46"/>
  <c r="BF423" i="46"/>
  <c r="BD325" i="46"/>
  <c r="BD326" i="46"/>
  <c r="BD327" i="46"/>
  <c r="BD328" i="46"/>
  <c r="BD329" i="46"/>
  <c r="BD330" i="46"/>
  <c r="BD331" i="46"/>
  <c r="BD332" i="46"/>
  <c r="BD333" i="46"/>
  <c r="BD334" i="46"/>
  <c r="BD335" i="46"/>
  <c r="BD336" i="46"/>
  <c r="BD337" i="46"/>
  <c r="BD338" i="46"/>
  <c r="BD339" i="46"/>
  <c r="BD340" i="46"/>
  <c r="BD341" i="46"/>
  <c r="BD342" i="46"/>
  <c r="BD343" i="46"/>
  <c r="BD344" i="46"/>
  <c r="BD345" i="46"/>
  <c r="BD346" i="46"/>
  <c r="BD347" i="46"/>
  <c r="BD348" i="46"/>
  <c r="BD349" i="46"/>
  <c r="BD350" i="46"/>
  <c r="BD351" i="46"/>
  <c r="BD352" i="46"/>
  <c r="BD353" i="46"/>
  <c r="BD354" i="46"/>
  <c r="BD355" i="46"/>
  <c r="BD356" i="46"/>
  <c r="BD357" i="46"/>
  <c r="BD358" i="46"/>
  <c r="BD359" i="46"/>
  <c r="BD360" i="46"/>
  <c r="BD361" i="46"/>
  <c r="BD362" i="46"/>
  <c r="BD363" i="46"/>
  <c r="BD364" i="46"/>
  <c r="BD365" i="46"/>
  <c r="BD366" i="46"/>
  <c r="BD367" i="46"/>
  <c r="BD368" i="46"/>
  <c r="BD369" i="46"/>
  <c r="BD370" i="46"/>
  <c r="BD371" i="46"/>
  <c r="BD372" i="46"/>
  <c r="BD373" i="46"/>
  <c r="BD374" i="46"/>
  <c r="BD375" i="46"/>
  <c r="BD376" i="46"/>
  <c r="BD377" i="46"/>
  <c r="BD378" i="46"/>
  <c r="BD379" i="46"/>
  <c r="BD380" i="46"/>
  <c r="BD381" i="46"/>
  <c r="BD382" i="46"/>
  <c r="BD383" i="46"/>
  <c r="BD384" i="46"/>
  <c r="BD385" i="46"/>
  <c r="BD386" i="46"/>
  <c r="BD387" i="46"/>
  <c r="BD388" i="46"/>
  <c r="BD389" i="46"/>
  <c r="BD390" i="46"/>
  <c r="BD391" i="46"/>
  <c r="BD392" i="46"/>
  <c r="BD393" i="46"/>
  <c r="BD394" i="46"/>
  <c r="BD395" i="46"/>
  <c r="BD396" i="46"/>
  <c r="BD397" i="46"/>
  <c r="BD398" i="46"/>
  <c r="BD399" i="46"/>
  <c r="BD400" i="46"/>
  <c r="BD401" i="46"/>
  <c r="BD402" i="46"/>
  <c r="BD403" i="46"/>
  <c r="BD404" i="46"/>
  <c r="BD405" i="46"/>
  <c r="BD406" i="46"/>
  <c r="BD407" i="46"/>
  <c r="BD408" i="46"/>
  <c r="BD409" i="46"/>
  <c r="BD410" i="46"/>
  <c r="BD411" i="46"/>
  <c r="BD412" i="46"/>
  <c r="BD413" i="46"/>
  <c r="BD414" i="46"/>
  <c r="BD415" i="46"/>
  <c r="BD416" i="46"/>
  <c r="BD417" i="46"/>
  <c r="BD418" i="46"/>
  <c r="BD419" i="46"/>
  <c r="BD420" i="46"/>
  <c r="BD421" i="46"/>
  <c r="BD422" i="46"/>
  <c r="BD423" i="46"/>
  <c r="BB325" i="46"/>
  <c r="BB326" i="46"/>
  <c r="BB327" i="46"/>
  <c r="BB328" i="46"/>
  <c r="BB329" i="46"/>
  <c r="BB330" i="46"/>
  <c r="BB331" i="46"/>
  <c r="BB332" i="46"/>
  <c r="BB333" i="46"/>
  <c r="BB334" i="46"/>
  <c r="BB335" i="46"/>
  <c r="BB336" i="46"/>
  <c r="BB337" i="46"/>
  <c r="BB338" i="46"/>
  <c r="BB339" i="46"/>
  <c r="BB340" i="46"/>
  <c r="BB341" i="46"/>
  <c r="BB342" i="46"/>
  <c r="BB343" i="46"/>
  <c r="BB344" i="46"/>
  <c r="BB345" i="46"/>
  <c r="BB346" i="46"/>
  <c r="BB347" i="46"/>
  <c r="BB348" i="46"/>
  <c r="BB349" i="46"/>
  <c r="BB350" i="46"/>
  <c r="BB351" i="46"/>
  <c r="BB352" i="46"/>
  <c r="BB353" i="46"/>
  <c r="BB354" i="46"/>
  <c r="BB355" i="46"/>
  <c r="BB356" i="46"/>
  <c r="BB357" i="46"/>
  <c r="BB358" i="46"/>
  <c r="BB359" i="46"/>
  <c r="BB360" i="46"/>
  <c r="BB361" i="46"/>
  <c r="BB362" i="46"/>
  <c r="BB363" i="46"/>
  <c r="BB364" i="46"/>
  <c r="BB365" i="46"/>
  <c r="BB366" i="46"/>
  <c r="BB367" i="46"/>
  <c r="BB368" i="46"/>
  <c r="BB369" i="46"/>
  <c r="BB370" i="46"/>
  <c r="BB371" i="46"/>
  <c r="BB372" i="46"/>
  <c r="BB373" i="46"/>
  <c r="BB374" i="46"/>
  <c r="BB375" i="46"/>
  <c r="BB376" i="46"/>
  <c r="BB377" i="46"/>
  <c r="BB378" i="46"/>
  <c r="BB379" i="46"/>
  <c r="BB380" i="46"/>
  <c r="BB381" i="46"/>
  <c r="BB382" i="46"/>
  <c r="BB383" i="46"/>
  <c r="BB384" i="46"/>
  <c r="BB385" i="46"/>
  <c r="BB386" i="46"/>
  <c r="BB387" i="46"/>
  <c r="BB388" i="46"/>
  <c r="BB389" i="46"/>
  <c r="BB390" i="46"/>
  <c r="BB391" i="46"/>
  <c r="BB392" i="46"/>
  <c r="BB393" i="46"/>
  <c r="BB394" i="46"/>
  <c r="BB395" i="46"/>
  <c r="BB396" i="46"/>
  <c r="BB397" i="46"/>
  <c r="BB398" i="46"/>
  <c r="BB399" i="46"/>
  <c r="BB400" i="46"/>
  <c r="BB401" i="46"/>
  <c r="BB402" i="46"/>
  <c r="BB403" i="46"/>
  <c r="BB404" i="46"/>
  <c r="BB405" i="46"/>
  <c r="BB406" i="46"/>
  <c r="BB407" i="46"/>
  <c r="BB408" i="46"/>
  <c r="BB409" i="46"/>
  <c r="BB410" i="46"/>
  <c r="BB411" i="46"/>
  <c r="BB412" i="46"/>
  <c r="BB413" i="46"/>
  <c r="BB414" i="46"/>
  <c r="BB415" i="46"/>
  <c r="BB416" i="46"/>
  <c r="BB417" i="46"/>
  <c r="BB418" i="46"/>
  <c r="BB419" i="46"/>
  <c r="BB420" i="46"/>
  <c r="BB421" i="46"/>
  <c r="BB422" i="46"/>
  <c r="BB423" i="46"/>
  <c r="AZ423" i="46"/>
  <c r="AZ325" i="46"/>
  <c r="AZ326" i="46"/>
  <c r="AZ327" i="46"/>
  <c r="AZ328" i="46"/>
  <c r="AZ329" i="46"/>
  <c r="AZ330" i="46"/>
  <c r="AZ331" i="46"/>
  <c r="AZ332" i="46"/>
  <c r="AZ333" i="46"/>
  <c r="AZ334" i="46"/>
  <c r="AZ335" i="46"/>
  <c r="AZ336" i="46"/>
  <c r="AZ337" i="46"/>
  <c r="AZ338" i="46"/>
  <c r="AZ339" i="46"/>
  <c r="AZ340" i="46"/>
  <c r="AZ341" i="46"/>
  <c r="AZ342" i="46"/>
  <c r="AZ343" i="46"/>
  <c r="AZ344" i="46"/>
  <c r="AZ345" i="46"/>
  <c r="AZ346" i="46"/>
  <c r="AZ347" i="46"/>
  <c r="AZ348" i="46"/>
  <c r="AZ349" i="46"/>
  <c r="AZ350" i="46"/>
  <c r="AZ351" i="46"/>
  <c r="AZ352" i="46"/>
  <c r="AZ353" i="46"/>
  <c r="AZ354" i="46"/>
  <c r="AZ355" i="46"/>
  <c r="AZ356" i="46"/>
  <c r="AZ357" i="46"/>
  <c r="AZ358" i="46"/>
  <c r="AZ359" i="46"/>
  <c r="AZ360" i="46"/>
  <c r="AZ361" i="46"/>
  <c r="AZ362" i="46"/>
  <c r="AZ363" i="46"/>
  <c r="AZ364" i="46"/>
  <c r="AZ365" i="46"/>
  <c r="AZ366" i="46"/>
  <c r="AZ367" i="46"/>
  <c r="AZ368" i="46"/>
  <c r="AZ369" i="46"/>
  <c r="AZ370" i="46"/>
  <c r="AZ371" i="46"/>
  <c r="AZ372" i="46"/>
  <c r="AZ373" i="46"/>
  <c r="AZ374" i="46"/>
  <c r="AZ375" i="46"/>
  <c r="AZ376" i="46"/>
  <c r="AZ377" i="46"/>
  <c r="AZ378" i="46"/>
  <c r="AZ379" i="46"/>
  <c r="AZ380" i="46"/>
  <c r="AZ381" i="46"/>
  <c r="AZ382" i="46"/>
  <c r="AZ383" i="46"/>
  <c r="AZ384" i="46"/>
  <c r="AZ385" i="46"/>
  <c r="AZ386" i="46"/>
  <c r="AZ387" i="46"/>
  <c r="AZ388" i="46"/>
  <c r="AZ389" i="46"/>
  <c r="AZ390" i="46"/>
  <c r="AZ391" i="46"/>
  <c r="AZ392" i="46"/>
  <c r="AZ393" i="46"/>
  <c r="AZ394" i="46"/>
  <c r="AZ395" i="46"/>
  <c r="AZ396" i="46"/>
  <c r="AZ397" i="46"/>
  <c r="AZ398" i="46"/>
  <c r="AZ399" i="46"/>
  <c r="AZ400" i="46"/>
  <c r="AZ401" i="46"/>
  <c r="AZ402" i="46"/>
  <c r="AZ403" i="46"/>
  <c r="AZ404" i="46"/>
  <c r="AZ405" i="46"/>
  <c r="AZ406" i="46"/>
  <c r="AZ407" i="46"/>
  <c r="AZ408" i="46"/>
  <c r="AZ409" i="46"/>
  <c r="AZ410" i="46"/>
  <c r="AZ411" i="46"/>
  <c r="AZ412" i="46"/>
  <c r="AZ413" i="46"/>
  <c r="AZ414" i="46"/>
  <c r="AZ415" i="46"/>
  <c r="AZ416" i="46"/>
  <c r="AZ417" i="46"/>
  <c r="AZ418" i="46"/>
  <c r="AZ419" i="46"/>
  <c r="AZ420" i="46"/>
  <c r="AZ421" i="46"/>
  <c r="AZ422" i="46"/>
  <c r="AX325" i="46"/>
  <c r="AX326" i="46"/>
  <c r="AX327" i="46"/>
  <c r="AX328" i="46"/>
  <c r="AX329" i="46"/>
  <c r="AX330" i="46"/>
  <c r="AX331" i="46"/>
  <c r="AX332" i="46"/>
  <c r="AX333" i="46"/>
  <c r="AX334" i="46"/>
  <c r="AX335" i="46"/>
  <c r="AX336" i="46"/>
  <c r="AX337" i="46"/>
  <c r="AX338" i="46"/>
  <c r="AX339" i="46"/>
  <c r="AX340" i="46"/>
  <c r="AX341" i="46"/>
  <c r="AX342" i="46"/>
  <c r="AX343" i="46"/>
  <c r="AX344" i="46"/>
  <c r="AX345" i="46"/>
  <c r="AX346" i="46"/>
  <c r="AX347" i="46"/>
  <c r="AX348" i="46"/>
  <c r="AX349" i="46"/>
  <c r="AX350" i="46"/>
  <c r="AX351" i="46"/>
  <c r="AX352" i="46"/>
  <c r="AX353" i="46"/>
  <c r="AX354" i="46"/>
  <c r="AX355" i="46"/>
  <c r="AX356" i="46"/>
  <c r="AX357" i="46"/>
  <c r="AX358" i="46"/>
  <c r="AX359" i="46"/>
  <c r="AX360" i="46"/>
  <c r="AX361" i="46"/>
  <c r="AX362" i="46"/>
  <c r="AX363" i="46"/>
  <c r="AX364" i="46"/>
  <c r="AX365" i="46"/>
  <c r="AX366" i="46"/>
  <c r="AX367" i="46"/>
  <c r="AX368" i="46"/>
  <c r="AX369" i="46"/>
  <c r="AX370" i="46"/>
  <c r="AX371" i="46"/>
  <c r="AX372" i="46"/>
  <c r="AX373" i="46"/>
  <c r="AX374" i="46"/>
  <c r="AX375" i="46"/>
  <c r="AX376" i="46"/>
  <c r="AX377" i="46"/>
  <c r="AX378" i="46"/>
  <c r="AX379" i="46"/>
  <c r="AX380" i="46"/>
  <c r="AX381" i="46"/>
  <c r="AX382" i="46"/>
  <c r="AX383" i="46"/>
  <c r="AX384" i="46"/>
  <c r="AX385" i="46"/>
  <c r="AX386" i="46"/>
  <c r="AX387" i="46"/>
  <c r="AX388" i="46"/>
  <c r="AX389" i="46"/>
  <c r="AX390" i="46"/>
  <c r="AX391" i="46"/>
  <c r="AX392" i="46"/>
  <c r="AX393" i="46"/>
  <c r="AX394" i="46"/>
  <c r="AX395" i="46"/>
  <c r="AX396" i="46"/>
  <c r="AX397" i="46"/>
  <c r="AX398" i="46"/>
  <c r="AX399" i="46"/>
  <c r="AX400" i="46"/>
  <c r="AX401" i="46"/>
  <c r="AX402" i="46"/>
  <c r="AX403" i="46"/>
  <c r="AX404" i="46"/>
  <c r="AX405" i="46"/>
  <c r="AX406" i="46"/>
  <c r="AX407" i="46"/>
  <c r="AX408" i="46"/>
  <c r="AX409" i="46"/>
  <c r="AX410" i="46"/>
  <c r="AX411" i="46"/>
  <c r="AX412" i="46"/>
  <c r="AX413" i="46"/>
  <c r="AX414" i="46"/>
  <c r="AX415" i="46"/>
  <c r="AX416" i="46"/>
  <c r="AX417" i="46"/>
  <c r="AX418" i="46"/>
  <c r="AX419" i="46"/>
  <c r="AX420" i="46"/>
  <c r="AX421" i="46"/>
  <c r="AX422" i="46"/>
  <c r="AX423" i="46"/>
  <c r="AV423" i="46"/>
  <c r="AV325" i="46"/>
  <c r="AV326" i="46"/>
  <c r="AV327" i="46"/>
  <c r="AV328" i="46"/>
  <c r="AV329" i="46"/>
  <c r="AV330" i="46"/>
  <c r="AV331" i="46"/>
  <c r="AV332" i="46"/>
  <c r="AV333" i="46"/>
  <c r="AV334" i="46"/>
  <c r="AV335" i="46"/>
  <c r="AV336" i="46"/>
  <c r="AV337" i="46"/>
  <c r="AV338" i="46"/>
  <c r="AV339" i="46"/>
  <c r="AV340" i="46"/>
  <c r="AV341" i="46"/>
  <c r="AV342" i="46"/>
  <c r="AV343" i="46"/>
  <c r="AV344" i="46"/>
  <c r="AV345" i="46"/>
  <c r="AV346" i="46"/>
  <c r="AV347" i="46"/>
  <c r="AV348" i="46"/>
  <c r="AV349" i="46"/>
  <c r="AV350" i="46"/>
  <c r="AV351" i="46"/>
  <c r="AV352" i="46"/>
  <c r="AV353" i="46"/>
  <c r="AV354" i="46"/>
  <c r="AV355" i="46"/>
  <c r="AV356" i="46"/>
  <c r="AV357" i="46"/>
  <c r="AV358" i="46"/>
  <c r="AV359" i="46"/>
  <c r="AV360" i="46"/>
  <c r="AV361" i="46"/>
  <c r="AV362" i="46"/>
  <c r="AV363" i="46"/>
  <c r="AV364" i="46"/>
  <c r="AV365" i="46"/>
  <c r="AV366" i="46"/>
  <c r="AV367" i="46"/>
  <c r="AV368" i="46"/>
  <c r="AV369" i="46"/>
  <c r="AV370" i="46"/>
  <c r="AV371" i="46"/>
  <c r="AV372" i="46"/>
  <c r="AV373" i="46"/>
  <c r="AV374" i="46"/>
  <c r="AV375" i="46"/>
  <c r="AV376" i="46"/>
  <c r="AV377" i="46"/>
  <c r="AV378" i="46"/>
  <c r="AV379" i="46"/>
  <c r="AV380" i="46"/>
  <c r="AV381" i="46"/>
  <c r="AV382" i="46"/>
  <c r="AV383" i="46"/>
  <c r="AV384" i="46"/>
  <c r="AV385" i="46"/>
  <c r="AV386" i="46"/>
  <c r="AV387" i="46"/>
  <c r="AV388" i="46"/>
  <c r="AV389" i="46"/>
  <c r="AV390" i="46"/>
  <c r="AV391" i="46"/>
  <c r="AV392" i="46"/>
  <c r="AV393" i="46"/>
  <c r="AV394" i="46"/>
  <c r="AV395" i="46"/>
  <c r="AV396" i="46"/>
  <c r="AV397" i="46"/>
  <c r="AV398" i="46"/>
  <c r="AV399" i="46"/>
  <c r="AV400" i="46"/>
  <c r="AV401" i="46"/>
  <c r="AV402" i="46"/>
  <c r="AV403" i="46"/>
  <c r="AV404" i="46"/>
  <c r="AV405" i="46"/>
  <c r="AV406" i="46"/>
  <c r="AV407" i="46"/>
  <c r="AV408" i="46"/>
  <c r="AV409" i="46"/>
  <c r="AV410" i="46"/>
  <c r="AV411" i="46"/>
  <c r="AV412" i="46"/>
  <c r="AV413" i="46"/>
  <c r="AV414" i="46"/>
  <c r="AV415" i="46"/>
  <c r="AV416" i="46"/>
  <c r="AV417" i="46"/>
  <c r="AV418" i="46"/>
  <c r="AV419" i="46"/>
  <c r="AV420" i="46"/>
  <c r="AV421" i="46"/>
  <c r="AV422" i="46"/>
  <c r="BJ113" i="46"/>
  <c r="BJ65" i="46"/>
  <c r="BJ66" i="46"/>
  <c r="BJ67" i="46"/>
  <c r="BJ68" i="46"/>
  <c r="BJ69" i="46"/>
  <c r="BJ70" i="46"/>
  <c r="BJ71" i="46"/>
  <c r="BJ72" i="46"/>
  <c r="BJ73" i="46"/>
  <c r="BJ74" i="46"/>
  <c r="BJ75" i="46"/>
  <c r="BJ76" i="46"/>
  <c r="BJ77" i="46"/>
  <c r="BJ78" i="46"/>
  <c r="BJ79" i="46"/>
  <c r="BJ80" i="46"/>
  <c r="BJ81" i="46"/>
  <c r="BJ82" i="46"/>
  <c r="BJ83" i="46"/>
  <c r="BJ84" i="46"/>
  <c r="BJ85" i="46"/>
  <c r="BJ86" i="46"/>
  <c r="BJ87" i="46"/>
  <c r="BJ88" i="46"/>
  <c r="BJ89" i="46"/>
  <c r="BJ90" i="46"/>
  <c r="BJ91" i="46"/>
  <c r="BJ92" i="46"/>
  <c r="BJ93" i="46"/>
  <c r="BJ94" i="46"/>
  <c r="BJ95" i="46"/>
  <c r="BJ96" i="46"/>
  <c r="BJ97" i="46"/>
  <c r="BJ98" i="46"/>
  <c r="BJ99" i="46"/>
  <c r="BJ100" i="46"/>
  <c r="BJ101" i="46"/>
  <c r="BJ102" i="46"/>
  <c r="BJ103" i="46"/>
  <c r="BJ104" i="46"/>
  <c r="BJ105" i="46"/>
  <c r="BJ106" i="46"/>
  <c r="BJ107" i="46"/>
  <c r="BJ108" i="46"/>
  <c r="BJ109" i="46"/>
  <c r="BJ110" i="46"/>
  <c r="BJ111" i="46"/>
  <c r="BJ112" i="46"/>
  <c r="BH65" i="46"/>
  <c r="BH66" i="46"/>
  <c r="BH67" i="46"/>
  <c r="BH68" i="46"/>
  <c r="BH69" i="46"/>
  <c r="BH70" i="46"/>
  <c r="BH71" i="46"/>
  <c r="BH72" i="46"/>
  <c r="BH73" i="46"/>
  <c r="BH74" i="46"/>
  <c r="BH75" i="46"/>
  <c r="BH76" i="46"/>
  <c r="BH77" i="46"/>
  <c r="BH78" i="46"/>
  <c r="BH79" i="46"/>
  <c r="BH80" i="46"/>
  <c r="BH81" i="46"/>
  <c r="BH82" i="46"/>
  <c r="BH83" i="46"/>
  <c r="BH84" i="46"/>
  <c r="BH85" i="46"/>
  <c r="BH86" i="46"/>
  <c r="BH87" i="46"/>
  <c r="BH88" i="46"/>
  <c r="BH89" i="46"/>
  <c r="BH90" i="46"/>
  <c r="BH91" i="46"/>
  <c r="BH92" i="46"/>
  <c r="BH93" i="46"/>
  <c r="BH94" i="46"/>
  <c r="BH95" i="46"/>
  <c r="BH96" i="46"/>
  <c r="BH97" i="46"/>
  <c r="BH98" i="46"/>
  <c r="BH99" i="46"/>
  <c r="BH100" i="46"/>
  <c r="BH101" i="46"/>
  <c r="BH102" i="46"/>
  <c r="BH103" i="46"/>
  <c r="BH104" i="46"/>
  <c r="BH105" i="46"/>
  <c r="BH106" i="46"/>
  <c r="BH107" i="46"/>
  <c r="BH108" i="46"/>
  <c r="BH109" i="46"/>
  <c r="BH110" i="46"/>
  <c r="BH111" i="46"/>
  <c r="BH112" i="46"/>
  <c r="BH113" i="46"/>
  <c r="BF65" i="46"/>
  <c r="BF66" i="46"/>
  <c r="BF67" i="46"/>
  <c r="BF68" i="46"/>
  <c r="BF69" i="46"/>
  <c r="BF70" i="46"/>
  <c r="BF71" i="46"/>
  <c r="BF72" i="46"/>
  <c r="BF73" i="46"/>
  <c r="BF74" i="46"/>
  <c r="BF75" i="46"/>
  <c r="BF76" i="46"/>
  <c r="BF77" i="46"/>
  <c r="BF78" i="46"/>
  <c r="BF79" i="46"/>
  <c r="BF80" i="46"/>
  <c r="BF81" i="46"/>
  <c r="BF82" i="46"/>
  <c r="BF83" i="46"/>
  <c r="BF84" i="46"/>
  <c r="BF85" i="46"/>
  <c r="BF86" i="46"/>
  <c r="BF87" i="46"/>
  <c r="BF88" i="46"/>
  <c r="BF89" i="46"/>
  <c r="BF90" i="46"/>
  <c r="BF91" i="46"/>
  <c r="BF92" i="46"/>
  <c r="BF93" i="46"/>
  <c r="BF94" i="46"/>
  <c r="BF95" i="46"/>
  <c r="BF96" i="46"/>
  <c r="BF97" i="46"/>
  <c r="BF98" i="46"/>
  <c r="BF99" i="46"/>
  <c r="BF100" i="46"/>
  <c r="BF101" i="46"/>
  <c r="BF102" i="46"/>
  <c r="BF103" i="46"/>
  <c r="BF104" i="46"/>
  <c r="BF105" i="46"/>
  <c r="BF106" i="46"/>
  <c r="BF107" i="46"/>
  <c r="BF108" i="46"/>
  <c r="BF109" i="46"/>
  <c r="BF110" i="46"/>
  <c r="BF111" i="46"/>
  <c r="BF112" i="46"/>
  <c r="BF113" i="46"/>
  <c r="BD65" i="46"/>
  <c r="BD66" i="46"/>
  <c r="BD67" i="46"/>
  <c r="BD68" i="46"/>
  <c r="BD69" i="46"/>
  <c r="BD70" i="46"/>
  <c r="BD71" i="46"/>
  <c r="BD72" i="46"/>
  <c r="BD73" i="46"/>
  <c r="BD74" i="46"/>
  <c r="BD75" i="46"/>
  <c r="BD76" i="46"/>
  <c r="BD77" i="46"/>
  <c r="BD78" i="46"/>
  <c r="BD79" i="46"/>
  <c r="BD80" i="46"/>
  <c r="BD81" i="46"/>
  <c r="BD82" i="46"/>
  <c r="BD83" i="46"/>
  <c r="BD84" i="46"/>
  <c r="BD85" i="46"/>
  <c r="BD86" i="46"/>
  <c r="BD87" i="46"/>
  <c r="BD88" i="46"/>
  <c r="BD89" i="46"/>
  <c r="BD90" i="46"/>
  <c r="BD91" i="46"/>
  <c r="BD92" i="46"/>
  <c r="BD93" i="46"/>
  <c r="BD94" i="46"/>
  <c r="BD95" i="46"/>
  <c r="BD96" i="46"/>
  <c r="BD97" i="46"/>
  <c r="BD98" i="46"/>
  <c r="BD99" i="46"/>
  <c r="BD100" i="46"/>
  <c r="BD101" i="46"/>
  <c r="BD102" i="46"/>
  <c r="BD103" i="46"/>
  <c r="BD104" i="46"/>
  <c r="BD105" i="46"/>
  <c r="BD106" i="46"/>
  <c r="BD107" i="46"/>
  <c r="BD108" i="46"/>
  <c r="BD109" i="46"/>
  <c r="BD110" i="46"/>
  <c r="BD111" i="46"/>
  <c r="BD112" i="46"/>
  <c r="BD113" i="46"/>
  <c r="BJ64" i="46"/>
  <c r="BH64" i="46"/>
  <c r="BF64" i="46"/>
  <c r="AX113" i="46"/>
  <c r="AV65" i="46"/>
  <c r="AW65" i="46"/>
  <c r="AX65" i="46"/>
  <c r="AV66" i="46"/>
  <c r="AW66" i="46"/>
  <c r="AX66" i="46"/>
  <c r="AV67" i="46"/>
  <c r="AW67" i="46"/>
  <c r="AX67" i="46"/>
  <c r="AV68" i="46"/>
  <c r="AW68" i="46"/>
  <c r="AX68" i="46"/>
  <c r="AV69" i="46"/>
  <c r="AW69" i="46"/>
  <c r="AX69" i="46"/>
  <c r="AV70" i="46"/>
  <c r="AW70" i="46"/>
  <c r="AX70" i="46"/>
  <c r="AV71" i="46"/>
  <c r="AW71" i="46"/>
  <c r="AX71" i="46"/>
  <c r="AV72" i="46"/>
  <c r="AW72" i="46"/>
  <c r="AX72" i="46"/>
  <c r="AV73" i="46"/>
  <c r="AW73" i="46"/>
  <c r="AX73" i="46"/>
  <c r="AV74" i="46"/>
  <c r="AW74" i="46"/>
  <c r="AX74" i="46"/>
  <c r="AV75" i="46"/>
  <c r="AW75" i="46"/>
  <c r="AX75" i="46"/>
  <c r="AV76" i="46"/>
  <c r="AW76" i="46"/>
  <c r="AX76" i="46"/>
  <c r="AV77" i="46"/>
  <c r="AW77" i="46"/>
  <c r="AX77" i="46"/>
  <c r="AV78" i="46"/>
  <c r="AW78" i="46"/>
  <c r="AX78" i="46"/>
  <c r="AV79" i="46"/>
  <c r="AW79" i="46"/>
  <c r="AX79" i="46"/>
  <c r="AV80" i="46"/>
  <c r="AW80" i="46"/>
  <c r="AX80" i="46"/>
  <c r="AV81" i="46"/>
  <c r="AW81" i="46"/>
  <c r="AX81" i="46"/>
  <c r="AV82" i="46"/>
  <c r="AW82" i="46"/>
  <c r="AX82" i="46"/>
  <c r="AV83" i="46"/>
  <c r="AW83" i="46"/>
  <c r="AX83" i="46"/>
  <c r="AV84" i="46"/>
  <c r="AW84" i="46"/>
  <c r="AX84" i="46"/>
  <c r="AV85" i="46"/>
  <c r="AW85" i="46"/>
  <c r="AX85" i="46"/>
  <c r="AV86" i="46"/>
  <c r="AW86" i="46"/>
  <c r="AX86" i="46"/>
  <c r="AV87" i="46"/>
  <c r="AW87" i="46"/>
  <c r="AX87" i="46"/>
  <c r="AV88" i="46"/>
  <c r="AW88" i="46"/>
  <c r="AX88" i="46"/>
  <c r="AV89" i="46"/>
  <c r="AW89" i="46"/>
  <c r="AX89" i="46"/>
  <c r="AV90" i="46"/>
  <c r="AW90" i="46"/>
  <c r="AX90" i="46"/>
  <c r="AV91" i="46"/>
  <c r="AW91" i="46"/>
  <c r="AX91" i="46"/>
  <c r="AV92" i="46"/>
  <c r="AW92" i="46"/>
  <c r="AX92" i="46"/>
  <c r="AV93" i="46"/>
  <c r="AW93" i="46"/>
  <c r="AX93" i="46"/>
  <c r="AV94" i="46"/>
  <c r="AW94" i="46"/>
  <c r="AX94" i="46"/>
  <c r="AV95" i="46"/>
  <c r="AW95" i="46"/>
  <c r="AX95" i="46"/>
  <c r="AV96" i="46"/>
  <c r="AW96" i="46"/>
  <c r="AX96" i="46"/>
  <c r="AV97" i="46"/>
  <c r="AW97" i="46"/>
  <c r="AX97" i="46"/>
  <c r="AV98" i="46"/>
  <c r="AW98" i="46"/>
  <c r="AX98" i="46"/>
  <c r="AV99" i="46"/>
  <c r="AW99" i="46"/>
  <c r="AX99" i="46"/>
  <c r="AV100" i="46"/>
  <c r="AW100" i="46"/>
  <c r="AX100" i="46"/>
  <c r="AV101" i="46"/>
  <c r="AW101" i="46"/>
  <c r="AX101" i="46"/>
  <c r="AV102" i="46"/>
  <c r="AW102" i="46"/>
  <c r="AX102" i="46"/>
  <c r="AV103" i="46"/>
  <c r="AW103" i="46"/>
  <c r="AX103" i="46"/>
  <c r="AV104" i="46"/>
  <c r="AW104" i="46"/>
  <c r="AX104" i="46"/>
  <c r="AV105" i="46"/>
  <c r="AW105" i="46"/>
  <c r="AX105" i="46"/>
  <c r="AV106" i="46"/>
  <c r="AW106" i="46"/>
  <c r="AX106" i="46"/>
  <c r="AV107" i="46"/>
  <c r="AW107" i="46"/>
  <c r="AX107" i="46"/>
  <c r="AV108" i="46"/>
  <c r="AW108" i="46"/>
  <c r="AX108" i="46"/>
  <c r="AV109" i="46"/>
  <c r="AW109" i="46"/>
  <c r="AX109" i="46"/>
  <c r="AV110" i="46"/>
  <c r="AW110" i="46"/>
  <c r="AX110" i="46"/>
  <c r="AV111" i="46"/>
  <c r="AW111" i="46"/>
  <c r="AX111" i="46"/>
  <c r="AV112" i="46"/>
  <c r="AW112" i="46"/>
  <c r="AX112" i="46"/>
  <c r="AV113" i="46"/>
  <c r="AW113" i="46"/>
  <c r="AX64" i="46"/>
  <c r="AW64" i="46"/>
  <c r="AV64" i="46"/>
  <c r="AU64" i="46"/>
  <c r="AQ473" i="37"/>
  <c r="AQ347" i="37"/>
  <c r="AQ190" i="37"/>
  <c r="AQ31" i="37"/>
  <c r="AR43" i="32"/>
  <c r="AR44" i="32"/>
  <c r="AR45" i="32"/>
  <c r="AR46" i="32"/>
  <c r="AR48" i="32"/>
  <c r="AR49" i="32"/>
  <c r="AR42" i="32"/>
  <c r="B269" i="46"/>
  <c r="AK220" i="46"/>
  <c r="M228" i="46"/>
  <c r="B205" i="46"/>
  <c r="AU65" i="46"/>
  <c r="AU66" i="46"/>
  <c r="AU67" i="46"/>
  <c r="AU68" i="46"/>
  <c r="AU69" i="46"/>
  <c r="AU70" i="46"/>
  <c r="AU71" i="46"/>
  <c r="AU72" i="46"/>
  <c r="AU73" i="46"/>
  <c r="AU74" i="46"/>
  <c r="AU75" i="46"/>
  <c r="AU76" i="46"/>
  <c r="AU77" i="46"/>
  <c r="AU78" i="46"/>
  <c r="AU79" i="46"/>
  <c r="AU80" i="46"/>
  <c r="AU81" i="46"/>
  <c r="AU82" i="46"/>
  <c r="AU83" i="46"/>
  <c r="AU84" i="46"/>
  <c r="AU85" i="46"/>
  <c r="AU86" i="46"/>
  <c r="AU87" i="46"/>
  <c r="AU88" i="46"/>
  <c r="AU89" i="46"/>
  <c r="AU90" i="46"/>
  <c r="AU91" i="46"/>
  <c r="AU92" i="46"/>
  <c r="AU93" i="46"/>
  <c r="AU94" i="46"/>
  <c r="AU95" i="46"/>
  <c r="AU96" i="46"/>
  <c r="AU97" i="46"/>
  <c r="AU98" i="46"/>
  <c r="AU99" i="46"/>
  <c r="AU100" i="46"/>
  <c r="AU101" i="46"/>
  <c r="AU102" i="46"/>
  <c r="AU103" i="46"/>
  <c r="AU104" i="46"/>
  <c r="AU105" i="46"/>
  <c r="AU106" i="46"/>
  <c r="AU107" i="46"/>
  <c r="AU108" i="46"/>
  <c r="AU109" i="46"/>
  <c r="AU110" i="46"/>
  <c r="AU111" i="46"/>
  <c r="AU112" i="46"/>
  <c r="AU113" i="46"/>
  <c r="AG64" i="46"/>
  <c r="BA64" i="46"/>
  <c r="D118" i="46"/>
  <c r="AO34" i="43" l="1"/>
  <c r="AO62" i="43"/>
  <c r="AO35" i="43"/>
  <c r="AO36" i="43"/>
  <c r="AO37" i="43"/>
  <c r="AO38" i="43"/>
  <c r="AO39" i="43"/>
  <c r="AO40" i="43"/>
  <c r="AO41" i="43"/>
  <c r="AO42" i="43"/>
  <c r="AO43" i="43"/>
  <c r="AO44" i="43"/>
  <c r="AO45" i="43"/>
  <c r="AO46" i="43"/>
  <c r="AO47" i="43"/>
  <c r="AO48" i="43"/>
  <c r="AO49" i="43"/>
  <c r="AO50" i="43"/>
  <c r="AO51" i="43"/>
  <c r="AO52" i="43"/>
  <c r="AO53" i="43"/>
  <c r="AO54" i="43"/>
  <c r="AO55" i="43"/>
  <c r="AO56" i="43"/>
  <c r="AO57" i="43"/>
  <c r="AO58" i="43"/>
  <c r="AO59" i="43"/>
  <c r="AO60" i="43"/>
  <c r="AO61" i="43"/>
  <c r="AO63" i="43"/>
  <c r="AL710" i="59"/>
  <c r="AL701" i="59"/>
  <c r="AL702" i="59"/>
  <c r="AL703" i="59"/>
  <c r="AL704" i="59"/>
  <c r="AL705" i="59"/>
  <c r="AL706" i="59"/>
  <c r="AL707" i="59"/>
  <c r="AL708" i="59"/>
  <c r="AL709" i="59"/>
  <c r="AL700" i="59"/>
  <c r="AK700" i="59"/>
  <c r="AX675" i="59"/>
  <c r="AR675" i="59"/>
  <c r="AT51" i="59"/>
  <c r="AU51" i="59" s="1"/>
  <c r="AI478" i="32"/>
  <c r="BM270" i="32"/>
  <c r="BL270" i="32"/>
  <c r="BK270" i="32"/>
  <c r="BJ270" i="32"/>
  <c r="BI270" i="32"/>
  <c r="BH270" i="32"/>
  <c r="BG270" i="32"/>
  <c r="BF270" i="32"/>
  <c r="BE270" i="32"/>
  <c r="BD270" i="32"/>
  <c r="BC270" i="32"/>
  <c r="BB270" i="32"/>
  <c r="BA270" i="32"/>
  <c r="AZ270" i="32"/>
  <c r="AY270" i="32"/>
  <c r="AX270" i="32"/>
  <c r="AW270" i="32"/>
  <c r="AV270" i="32"/>
  <c r="AU270" i="32"/>
  <c r="AT270" i="32"/>
  <c r="AS270" i="32"/>
  <c r="AR270" i="32"/>
  <c r="AQ270" i="32"/>
  <c r="AP270" i="32"/>
  <c r="AO270" i="32"/>
  <c r="AN270" i="32"/>
  <c r="AM270" i="32"/>
  <c r="AL270" i="32"/>
  <c r="AK270" i="32"/>
  <c r="AG270" i="32"/>
  <c r="AU34" i="57"/>
  <c r="AQ192" i="32"/>
  <c r="AP192" i="32"/>
  <c r="AO192" i="32"/>
  <c r="AN192" i="32"/>
  <c r="AM192" i="32"/>
  <c r="AL192" i="32"/>
  <c r="AK193" i="32"/>
  <c r="AJ193" i="32"/>
  <c r="AI193" i="32"/>
  <c r="AH193" i="32"/>
  <c r="AR191" i="32"/>
  <c r="AJ81" i="32"/>
  <c r="BN255" i="32"/>
  <c r="BM255" i="32"/>
  <c r="BL255" i="32"/>
  <c r="BK255" i="32"/>
  <c r="BJ255" i="32"/>
  <c r="BI255" i="32"/>
  <c r="BH255" i="32"/>
  <c r="BG255" i="32"/>
  <c r="BF255" i="32"/>
  <c r="BE255" i="32"/>
  <c r="BD255" i="32"/>
  <c r="BC255" i="32"/>
  <c r="BB255" i="32"/>
  <c r="BA255" i="32"/>
  <c r="AZ255" i="32"/>
  <c r="AY255" i="32"/>
  <c r="AX255" i="32"/>
  <c r="AW255" i="32"/>
  <c r="AV255" i="32"/>
  <c r="AU255" i="32"/>
  <c r="AT255" i="32"/>
  <c r="AS255" i="32"/>
  <c r="AR255" i="32"/>
  <c r="AQ255" i="32"/>
  <c r="AP255" i="32"/>
  <c r="AO255" i="32"/>
  <c r="AN255" i="32"/>
  <c r="AM255" i="32"/>
  <c r="AL255" i="32"/>
  <c r="AK255" i="32"/>
  <c r="AJ255" i="32"/>
  <c r="AI255" i="32"/>
  <c r="AH255" i="32"/>
  <c r="C23" i="34"/>
  <c r="B54" i="32"/>
  <c r="D181" i="56"/>
  <c r="D182" i="56"/>
  <c r="B479" i="37"/>
  <c r="B353" i="37"/>
  <c r="B196" i="37"/>
  <c r="B131" i="37"/>
  <c r="B37" i="37"/>
  <c r="AG1309" i="59"/>
  <c r="AO700" i="59"/>
  <c r="BI557" i="59"/>
  <c r="BH557" i="59"/>
  <c r="BG557" i="59"/>
  <c r="B172" i="46"/>
  <c r="B170" i="46"/>
  <c r="B271" i="37"/>
  <c r="B1149" i="59"/>
  <c r="AI218" i="32"/>
  <c r="AR24" i="61" a="1"/>
  <c r="AP23" i="34" a="1"/>
  <c r="AR24" i="61" l="1"/>
  <c r="AP23" i="34"/>
  <c r="AJ119" i="57"/>
  <c r="AG519" i="58"/>
  <c r="AG298" i="57" l="1"/>
  <c r="AG297" i="57"/>
  <c r="AG296" i="57"/>
  <c r="AG295" i="57"/>
  <c r="AG294" i="57"/>
  <c r="AG293" i="57"/>
  <c r="AG292" i="57"/>
  <c r="AG291" i="57"/>
  <c r="AG229" i="57"/>
  <c r="AG228" i="57"/>
  <c r="AG227" i="57"/>
  <c r="AG226" i="57"/>
  <c r="AG225" i="57"/>
  <c r="AG224" i="57"/>
  <c r="AG223" i="57"/>
  <c r="AG222" i="57"/>
  <c r="AQ126" i="57"/>
  <c r="AP126" i="57"/>
  <c r="AO126" i="57"/>
  <c r="AN126" i="57"/>
  <c r="AM126" i="57"/>
  <c r="AL126" i="57"/>
  <c r="AK126" i="57"/>
  <c r="AJ126" i="57"/>
  <c r="AQ125" i="57"/>
  <c r="AP125" i="57"/>
  <c r="AO125" i="57"/>
  <c r="AN125" i="57"/>
  <c r="AM125" i="57"/>
  <c r="AL125" i="57"/>
  <c r="AK125" i="57"/>
  <c r="AJ125" i="57"/>
  <c r="AQ124" i="57"/>
  <c r="AP124" i="57"/>
  <c r="AO124" i="57"/>
  <c r="AN124" i="57"/>
  <c r="AM124" i="57"/>
  <c r="AL124" i="57"/>
  <c r="AK124" i="57"/>
  <c r="AJ124" i="57"/>
  <c r="AQ123" i="57"/>
  <c r="AP123" i="57"/>
  <c r="AO123" i="57"/>
  <c r="AN123" i="57"/>
  <c r="AM123" i="57"/>
  <c r="AL123" i="57"/>
  <c r="AK123" i="57"/>
  <c r="AJ123" i="57"/>
  <c r="AQ122" i="57"/>
  <c r="AP122" i="57"/>
  <c r="AO122" i="57"/>
  <c r="AN122" i="57"/>
  <c r="AM122" i="57"/>
  <c r="AL122" i="57"/>
  <c r="AK122" i="57"/>
  <c r="AJ122" i="57"/>
  <c r="AQ121" i="57"/>
  <c r="AP121" i="57"/>
  <c r="AO121" i="57"/>
  <c r="AN121" i="57"/>
  <c r="AM121" i="57"/>
  <c r="AL121" i="57"/>
  <c r="AK121" i="57"/>
  <c r="AJ121" i="57"/>
  <c r="AQ120" i="57"/>
  <c r="AP120" i="57"/>
  <c r="AO120" i="57"/>
  <c r="AN120" i="57"/>
  <c r="AM120" i="57"/>
  <c r="AL120" i="57"/>
  <c r="AK120" i="57"/>
  <c r="AJ120" i="57"/>
  <c r="AQ119" i="57"/>
  <c r="AP119" i="57"/>
  <c r="AO119" i="57"/>
  <c r="AN119" i="57"/>
  <c r="AM119" i="57"/>
  <c r="AL119" i="57"/>
  <c r="AK119" i="57"/>
  <c r="AJ97" i="57"/>
  <c r="AJ96" i="57"/>
  <c r="AJ95" i="57"/>
  <c r="AJ94" i="57"/>
  <c r="AJ93" i="57"/>
  <c r="AJ92" i="57"/>
  <c r="AJ91" i="57"/>
  <c r="AJ90" i="57"/>
  <c r="AI35" i="57"/>
  <c r="AI36" i="57"/>
  <c r="AI37" i="57"/>
  <c r="AI38" i="57"/>
  <c r="AI39" i="57"/>
  <c r="AI40" i="57"/>
  <c r="AI41" i="57"/>
  <c r="AG98" i="40" l="1"/>
  <c r="AG92" i="40"/>
  <c r="AG93" i="40"/>
  <c r="AG94" i="40"/>
  <c r="AG95" i="40"/>
  <c r="AG96" i="40"/>
  <c r="AG97" i="40"/>
  <c r="AG91" i="40"/>
  <c r="AG473" i="37"/>
  <c r="AG307" i="37"/>
  <c r="AZ123" i="52"/>
  <c r="AZ129" i="52"/>
  <c r="AZ124" i="52"/>
  <c r="AZ125" i="52"/>
  <c r="AZ126" i="52"/>
  <c r="AZ127" i="52"/>
  <c r="AZ128" i="52"/>
  <c r="AG1628" i="59"/>
  <c r="AG1622" i="59"/>
  <c r="AG1623" i="59"/>
  <c r="AG1624" i="59"/>
  <c r="AG1625" i="59"/>
  <c r="AG1626" i="59"/>
  <c r="AG1627" i="59"/>
  <c r="AG1621" i="59"/>
  <c r="AG1111" i="59"/>
  <c r="AG1112" i="59"/>
  <c r="AG1113" i="59"/>
  <c r="AG1114" i="59"/>
  <c r="AG1115" i="59"/>
  <c r="AG1116" i="59"/>
  <c r="AG1117" i="59"/>
  <c r="AG1110" i="59"/>
  <c r="AG1006" i="59"/>
  <c r="AG746" i="59" l="1"/>
  <c r="AG710" i="59" l="1"/>
  <c r="AG701" i="59"/>
  <c r="AG702" i="59"/>
  <c r="AG703" i="59"/>
  <c r="AG704" i="59"/>
  <c r="AG705" i="59"/>
  <c r="AG706" i="59"/>
  <c r="AG707" i="59"/>
  <c r="AG708" i="59"/>
  <c r="AG709" i="59"/>
  <c r="AG700" i="59"/>
  <c r="AG675" i="59"/>
  <c r="BI564" i="59"/>
  <c r="BG558" i="59"/>
  <c r="BH558" i="59"/>
  <c r="BI558" i="59"/>
  <c r="BG559" i="59"/>
  <c r="BH559" i="59"/>
  <c r="BI559" i="59"/>
  <c r="BG560" i="59"/>
  <c r="BH560" i="59"/>
  <c r="BI560" i="59"/>
  <c r="BG561" i="59"/>
  <c r="BH561" i="59"/>
  <c r="BI561" i="59"/>
  <c r="BG562" i="59"/>
  <c r="BH562" i="59"/>
  <c r="BI562" i="59"/>
  <c r="BG563" i="59"/>
  <c r="BH563" i="59"/>
  <c r="BI563" i="59"/>
  <c r="BG564" i="59"/>
  <c r="BH564" i="59"/>
  <c r="BI539" i="59"/>
  <c r="BG533" i="59"/>
  <c r="BH533" i="59"/>
  <c r="BI533" i="59"/>
  <c r="BG534" i="59"/>
  <c r="BH534" i="59"/>
  <c r="BI534" i="59"/>
  <c r="BG535" i="59"/>
  <c r="BH535" i="59"/>
  <c r="BI535" i="59"/>
  <c r="BG536" i="59"/>
  <c r="BH536" i="59"/>
  <c r="BI536" i="59"/>
  <c r="BG537" i="59"/>
  <c r="BH537" i="59"/>
  <c r="BI537" i="59"/>
  <c r="BG538" i="59"/>
  <c r="BH538" i="59"/>
  <c r="BI538" i="59"/>
  <c r="BG539" i="59"/>
  <c r="BH539" i="59"/>
  <c r="BH532" i="59"/>
  <c r="BI532" i="59"/>
  <c r="BG532" i="59"/>
  <c r="BG508" i="59"/>
  <c r="BH508" i="59"/>
  <c r="BI508" i="59"/>
  <c r="BG509" i="59"/>
  <c r="BH509" i="59"/>
  <c r="BI509" i="59"/>
  <c r="BG510" i="59"/>
  <c r="BH510" i="59"/>
  <c r="BI510" i="59"/>
  <c r="BG511" i="59"/>
  <c r="BH511" i="59"/>
  <c r="BI511" i="59"/>
  <c r="BG512" i="59"/>
  <c r="BH512" i="59"/>
  <c r="BI512" i="59"/>
  <c r="BG513" i="59"/>
  <c r="BH513" i="59"/>
  <c r="BI513" i="59"/>
  <c r="BG514" i="59"/>
  <c r="BH514" i="59"/>
  <c r="BI514" i="59"/>
  <c r="BI507" i="59"/>
  <c r="BH507" i="59"/>
  <c r="BG507" i="59"/>
  <c r="BB184" i="57"/>
  <c r="BB185" i="57"/>
  <c r="BB186" i="57"/>
  <c r="BB187" i="57"/>
  <c r="BB188" i="57"/>
  <c r="BB189" i="57"/>
  <c r="BB190" i="57"/>
  <c r="BB183" i="57"/>
  <c r="AI34" i="57"/>
  <c r="AN298" i="57" l="1"/>
  <c r="AP266" i="57"/>
  <c r="AV229" i="57"/>
  <c r="BA190" i="57"/>
  <c r="AL183" i="57"/>
  <c r="AG119" i="57"/>
  <c r="AG90" i="57"/>
  <c r="AJ34" i="57"/>
  <c r="AG34" i="57"/>
  <c r="B59" i="57"/>
  <c r="AO326" i="57"/>
  <c r="B336" i="57" s="1"/>
  <c r="AO325" i="57"/>
  <c r="AO324" i="57"/>
  <c r="AO323" i="57"/>
  <c r="AO322" i="57"/>
  <c r="AO321" i="57"/>
  <c r="AO320" i="57"/>
  <c r="AO319" i="57"/>
  <c r="AO318" i="57"/>
  <c r="B307" i="57"/>
  <c r="AO292" i="57"/>
  <c r="AO293" i="57"/>
  <c r="AO294" i="57"/>
  <c r="AO295" i="57"/>
  <c r="AO296" i="57"/>
  <c r="AO297" i="57"/>
  <c r="AO298" i="57"/>
  <c r="AO299" i="57" s="1"/>
  <c r="AO291" i="57"/>
  <c r="B277" i="57"/>
  <c r="AQ267" i="57"/>
  <c r="AQ260" i="57"/>
  <c r="AQ261" i="57"/>
  <c r="AQ262" i="57"/>
  <c r="AQ263" i="57"/>
  <c r="AQ264" i="57"/>
  <c r="AQ265" i="57"/>
  <c r="AQ266" i="57"/>
  <c r="AQ259" i="57"/>
  <c r="B248" i="57"/>
  <c r="AS98" i="57"/>
  <c r="AR127" i="57"/>
  <c r="BB191" i="57"/>
  <c r="B212" i="57" s="1"/>
  <c r="AW230" i="57"/>
  <c r="AW223" i="57"/>
  <c r="AW224" i="57"/>
  <c r="AW225" i="57"/>
  <c r="AW226" i="57"/>
  <c r="AW227" i="57"/>
  <c r="AW228" i="57"/>
  <c r="AW229" i="57"/>
  <c r="AW222" i="57"/>
  <c r="B137" i="57"/>
  <c r="AR126" i="57"/>
  <c r="AR120" i="57"/>
  <c r="AR121" i="57"/>
  <c r="AR122" i="57"/>
  <c r="AR123" i="57"/>
  <c r="AR124" i="57"/>
  <c r="AR125" i="57"/>
  <c r="AR119" i="57"/>
  <c r="AI119" i="57"/>
  <c r="AH119" i="57"/>
  <c r="AK97" i="57"/>
  <c r="AK90" i="57"/>
  <c r="AK91" i="57"/>
  <c r="AL91" i="57"/>
  <c r="AM91" i="57"/>
  <c r="AN91" i="57"/>
  <c r="AO91" i="57"/>
  <c r="AP91" i="57"/>
  <c r="AQ91" i="57"/>
  <c r="AR91" i="57"/>
  <c r="AK92" i="57"/>
  <c r="AL92" i="57"/>
  <c r="AM92" i="57"/>
  <c r="AN92" i="57"/>
  <c r="AO92" i="57"/>
  <c r="AP92" i="57"/>
  <c r="AQ92" i="57"/>
  <c r="AR92" i="57"/>
  <c r="AK93" i="57"/>
  <c r="AL93" i="57"/>
  <c r="AM93" i="57"/>
  <c r="AN93" i="57"/>
  <c r="AO93" i="57"/>
  <c r="AP93" i="57"/>
  <c r="AQ93" i="57"/>
  <c r="AR93" i="57"/>
  <c r="AK94" i="57"/>
  <c r="AL94" i="57"/>
  <c r="AM94" i="57"/>
  <c r="AN94" i="57"/>
  <c r="AO94" i="57"/>
  <c r="AP94" i="57"/>
  <c r="AQ94" i="57"/>
  <c r="AR94" i="57"/>
  <c r="AK95" i="57"/>
  <c r="AL95" i="57"/>
  <c r="AM95" i="57"/>
  <c r="AN95" i="57"/>
  <c r="AO95" i="57"/>
  <c r="AP95" i="57"/>
  <c r="AQ95" i="57"/>
  <c r="AR95" i="57"/>
  <c r="AK96" i="57"/>
  <c r="AL96" i="57"/>
  <c r="AM96" i="57"/>
  <c r="AN96" i="57"/>
  <c r="AO96" i="57"/>
  <c r="AP96" i="57"/>
  <c r="AQ96" i="57"/>
  <c r="AR96" i="57"/>
  <c r="AL97" i="57"/>
  <c r="AM97" i="57"/>
  <c r="AN97" i="57"/>
  <c r="AO97" i="57"/>
  <c r="AP97" i="57"/>
  <c r="AQ97" i="57"/>
  <c r="AR97" i="57"/>
  <c r="AR90" i="57"/>
  <c r="AQ90" i="57"/>
  <c r="AP90" i="57"/>
  <c r="AO90" i="57"/>
  <c r="AN90" i="57"/>
  <c r="AM90" i="57"/>
  <c r="AL90" i="57"/>
  <c r="B108" i="57"/>
  <c r="AS91" i="57"/>
  <c r="AS92" i="57"/>
  <c r="AS93" i="57"/>
  <c r="AS94" i="57"/>
  <c r="AS95" i="57"/>
  <c r="AS96" i="57"/>
  <c r="AS97" i="57"/>
  <c r="AS90" i="57"/>
  <c r="B81" i="57"/>
  <c r="AU42" i="57"/>
  <c r="AU35" i="57"/>
  <c r="AU36" i="57"/>
  <c r="AU37" i="57"/>
  <c r="AU38" i="57"/>
  <c r="AU39" i="57"/>
  <c r="AU40" i="57"/>
  <c r="AU41" i="57"/>
  <c r="AG1598" i="59"/>
  <c r="AG1556" i="59"/>
  <c r="AG1557" i="59"/>
  <c r="AG1558" i="59"/>
  <c r="AG1559" i="59"/>
  <c r="AG1560" i="59"/>
  <c r="AG1561" i="59"/>
  <c r="AG1562" i="59"/>
  <c r="AG1555" i="59"/>
  <c r="AG1531" i="59"/>
  <c r="AG1532" i="59"/>
  <c r="AG1533" i="59"/>
  <c r="AG1534" i="59"/>
  <c r="AG1535" i="59"/>
  <c r="AG1536" i="59"/>
  <c r="AG1537" i="59"/>
  <c r="AG1530" i="59"/>
  <c r="AG1492" i="59"/>
  <c r="AG1493" i="59"/>
  <c r="AG1494" i="59"/>
  <c r="AG1495" i="59"/>
  <c r="AG1496" i="59"/>
  <c r="AG1497" i="59"/>
  <c r="AG1498" i="59"/>
  <c r="AG1499" i="59"/>
  <c r="AG1435" i="59"/>
  <c r="AG1391" i="59"/>
  <c r="AG1385" i="59"/>
  <c r="AG1386" i="59"/>
  <c r="AG1387" i="59"/>
  <c r="AG1388" i="59"/>
  <c r="AG1389" i="59"/>
  <c r="AG1390" i="59"/>
  <c r="AG1384" i="59"/>
  <c r="AG1364" i="59"/>
  <c r="AG1358" i="59"/>
  <c r="AG1359" i="59"/>
  <c r="AG1360" i="59"/>
  <c r="AG1361" i="59"/>
  <c r="AG1362" i="59"/>
  <c r="AG1363" i="59"/>
  <c r="AG1357" i="59"/>
  <c r="AG1334" i="59"/>
  <c r="AG1333" i="59"/>
  <c r="AG1340" i="59"/>
  <c r="AG1335" i="59"/>
  <c r="AG1336" i="59"/>
  <c r="AG1337" i="59"/>
  <c r="AG1338" i="59"/>
  <c r="AG1339" i="59"/>
  <c r="AK1309" i="59"/>
  <c r="AG1296" i="59"/>
  <c r="AG1297" i="59"/>
  <c r="AG1298" i="59"/>
  <c r="AG1299" i="59"/>
  <c r="AG1300" i="59"/>
  <c r="AG1301" i="59"/>
  <c r="AG1302" i="59"/>
  <c r="AG1295" i="59"/>
  <c r="AG1012" i="59"/>
  <c r="AG1013" i="59"/>
  <c r="CZ1435" i="59"/>
  <c r="AP1357" i="59"/>
  <c r="AO1357" i="59"/>
  <c r="AN1364" i="59"/>
  <c r="AL1358" i="59"/>
  <c r="AM1358" i="59"/>
  <c r="AN1358" i="59"/>
  <c r="AL1359" i="59"/>
  <c r="AM1359" i="59"/>
  <c r="AN1359" i="59"/>
  <c r="AL1360" i="59"/>
  <c r="AM1360" i="59"/>
  <c r="AN1360" i="59"/>
  <c r="AL1361" i="59"/>
  <c r="AM1361" i="59"/>
  <c r="AN1361" i="59"/>
  <c r="AL1362" i="59"/>
  <c r="AM1362" i="59"/>
  <c r="AN1362" i="59"/>
  <c r="AL1363" i="59"/>
  <c r="AM1363" i="59"/>
  <c r="AN1363" i="59"/>
  <c r="AL1364" i="59"/>
  <c r="AM1364" i="59"/>
  <c r="AN1357" i="59"/>
  <c r="AM1357" i="59"/>
  <c r="AL1357" i="59"/>
  <c r="B1156" i="59"/>
  <c r="AG1165" i="59"/>
  <c r="AG1073" i="59"/>
  <c r="AG1067" i="59"/>
  <c r="AG1068" i="59"/>
  <c r="AG1069" i="59"/>
  <c r="AG1070" i="59"/>
  <c r="AG1071" i="59"/>
  <c r="AG1072" i="59"/>
  <c r="AG1066" i="59"/>
  <c r="AG1007" i="59"/>
  <c r="AG1008" i="59"/>
  <c r="AG1009" i="59"/>
  <c r="AG1010" i="59"/>
  <c r="AG1011" i="59"/>
  <c r="BF88" i="50" a="1"/>
  <c r="BF88" i="50" s="1"/>
  <c r="BF82" i="50" a="1"/>
  <c r="BF82" i="50"/>
  <c r="BF83" i="50" a="1"/>
  <c r="BF83" i="50" s="1"/>
  <c r="BF84" i="50" a="1"/>
  <c r="BF84" i="50" s="1"/>
  <c r="BF85" i="50" a="1"/>
  <c r="BF85" i="50"/>
  <c r="BF86" i="50" a="1"/>
  <c r="BF86" i="50"/>
  <c r="BF87" i="50" a="1"/>
  <c r="BF87" i="50" s="1"/>
  <c r="B986" i="44"/>
  <c r="B985" i="44"/>
  <c r="B984" i="44"/>
  <c r="B983" i="44"/>
  <c r="B982" i="44"/>
  <c r="B981" i="44"/>
  <c r="B978" i="44"/>
  <c r="AA977" i="44"/>
  <c r="W977" i="44"/>
  <c r="S977" i="44"/>
  <c r="O977" i="44"/>
  <c r="CG828" i="44"/>
  <c r="CG825" i="44"/>
  <c r="AN975" i="44"/>
  <c r="AI813" i="44"/>
  <c r="AI814" i="44"/>
  <c r="AI815" i="44"/>
  <c r="AI816" i="44"/>
  <c r="AI817" i="44"/>
  <c r="AI818" i="44"/>
  <c r="AI819" i="44"/>
  <c r="AI820" i="44"/>
  <c r="AI821" i="44"/>
  <c r="AI822" i="44"/>
  <c r="AI823" i="44"/>
  <c r="AI824" i="44"/>
  <c r="AI825" i="44"/>
  <c r="AI826" i="44"/>
  <c r="AI827" i="44"/>
  <c r="AI828" i="44"/>
  <c r="AI829" i="44"/>
  <c r="AI830" i="44"/>
  <c r="AI831" i="44"/>
  <c r="AI832" i="44"/>
  <c r="AI833" i="44"/>
  <c r="AI834" i="44"/>
  <c r="AI835" i="44"/>
  <c r="AI836" i="44"/>
  <c r="AI837" i="44"/>
  <c r="AI838" i="44"/>
  <c r="AI839" i="44"/>
  <c r="AI840" i="44"/>
  <c r="AI841" i="44"/>
  <c r="AI842" i="44"/>
  <c r="AI843" i="44"/>
  <c r="AI844" i="44"/>
  <c r="AI845" i="44"/>
  <c r="AI846" i="44"/>
  <c r="AI847" i="44"/>
  <c r="AI848" i="44"/>
  <c r="AI849" i="44"/>
  <c r="AI850" i="44"/>
  <c r="AI851" i="44"/>
  <c r="AI852" i="44"/>
  <c r="AI853" i="44"/>
  <c r="AI854" i="44"/>
  <c r="AI855" i="44"/>
  <c r="AI856" i="44"/>
  <c r="AI857" i="44"/>
  <c r="AI858" i="44"/>
  <c r="AI859" i="44"/>
  <c r="AI860" i="44"/>
  <c r="AI861" i="44"/>
  <c r="AI862" i="44"/>
  <c r="AI863" i="44"/>
  <c r="AI864" i="44"/>
  <c r="AI865" i="44"/>
  <c r="AI866" i="44"/>
  <c r="AI867" i="44"/>
  <c r="AI868" i="44"/>
  <c r="AI869" i="44"/>
  <c r="AI870" i="44"/>
  <c r="AI871" i="44"/>
  <c r="AI872" i="44"/>
  <c r="AI873" i="44"/>
  <c r="AI874" i="44"/>
  <c r="AI875" i="44"/>
  <c r="AI876" i="44"/>
  <c r="AI877" i="44"/>
  <c r="AI878" i="44"/>
  <c r="AI879" i="44"/>
  <c r="AI880" i="44"/>
  <c r="AI881" i="44"/>
  <c r="AI882" i="44"/>
  <c r="AI883" i="44"/>
  <c r="AI884" i="44"/>
  <c r="AI885" i="44"/>
  <c r="AI886" i="44"/>
  <c r="AI887" i="44"/>
  <c r="AI888" i="44"/>
  <c r="AI889" i="44"/>
  <c r="AI890" i="44"/>
  <c r="AI891" i="44"/>
  <c r="AI892" i="44"/>
  <c r="AI893" i="44"/>
  <c r="AI894" i="44"/>
  <c r="AI895" i="44"/>
  <c r="AI896" i="44"/>
  <c r="AI897" i="44"/>
  <c r="AI898" i="44"/>
  <c r="AI899" i="44"/>
  <c r="AI900" i="44"/>
  <c r="AI901" i="44"/>
  <c r="AI902" i="44"/>
  <c r="AI903" i="44"/>
  <c r="AI904" i="44"/>
  <c r="AI905" i="44"/>
  <c r="AI906" i="44"/>
  <c r="AI907" i="44"/>
  <c r="AI908" i="44"/>
  <c r="AI909" i="44"/>
  <c r="AI910" i="44"/>
  <c r="AI911" i="44"/>
  <c r="AI912" i="44"/>
  <c r="AI913" i="44"/>
  <c r="AI914" i="44"/>
  <c r="AI915" i="44"/>
  <c r="AI916" i="44"/>
  <c r="AI917" i="44"/>
  <c r="AI918" i="44"/>
  <c r="AI919" i="44"/>
  <c r="AI920" i="44"/>
  <c r="AI921" i="44"/>
  <c r="AI922" i="44"/>
  <c r="AI923" i="44"/>
  <c r="AI924" i="44"/>
  <c r="AI925" i="44"/>
  <c r="AI926" i="44"/>
  <c r="AI927" i="44"/>
  <c r="AI928" i="44"/>
  <c r="AI929" i="44"/>
  <c r="AI930" i="44"/>
  <c r="AI931" i="44"/>
  <c r="AI932" i="44"/>
  <c r="AI933" i="44"/>
  <c r="AI934" i="44"/>
  <c r="AI935" i="44"/>
  <c r="AI936" i="44"/>
  <c r="AI937" i="44"/>
  <c r="AI938" i="44"/>
  <c r="AI939" i="44"/>
  <c r="AI940" i="44"/>
  <c r="AI941" i="44"/>
  <c r="AI942" i="44"/>
  <c r="AI943" i="44"/>
  <c r="AI944" i="44"/>
  <c r="AI945" i="44"/>
  <c r="AI946" i="44"/>
  <c r="AI947" i="44"/>
  <c r="AI948" i="44"/>
  <c r="AI949" i="44"/>
  <c r="AI950" i="44"/>
  <c r="AI951" i="44"/>
  <c r="AI952" i="44"/>
  <c r="AI953" i="44"/>
  <c r="AI954" i="44"/>
  <c r="AI955" i="44"/>
  <c r="AI956" i="44"/>
  <c r="AI957" i="44"/>
  <c r="AI958" i="44"/>
  <c r="AI959" i="44"/>
  <c r="AI960" i="44"/>
  <c r="AI961" i="44"/>
  <c r="AI962" i="44"/>
  <c r="AI963" i="44"/>
  <c r="AI964" i="44"/>
  <c r="AI965" i="44"/>
  <c r="AI966" i="44"/>
  <c r="AI967" i="44"/>
  <c r="AI968" i="44"/>
  <c r="AI969" i="44"/>
  <c r="AI970" i="44"/>
  <c r="AI971" i="44"/>
  <c r="AI972" i="44"/>
  <c r="AI973" i="44"/>
  <c r="AI974" i="44"/>
  <c r="AI975" i="44"/>
  <c r="AI976" i="44"/>
  <c r="AH976" i="44"/>
  <c r="AH813" i="44"/>
  <c r="AH814" i="44"/>
  <c r="AH815" i="44"/>
  <c r="AH816" i="44"/>
  <c r="AH817" i="44"/>
  <c r="AH818" i="44"/>
  <c r="AH819" i="44"/>
  <c r="AH820" i="44"/>
  <c r="AH821" i="44"/>
  <c r="AH822" i="44"/>
  <c r="AH823" i="44"/>
  <c r="AH824" i="44"/>
  <c r="AH825" i="44"/>
  <c r="AH826" i="44"/>
  <c r="AH827" i="44"/>
  <c r="AH828" i="44"/>
  <c r="AH829" i="44"/>
  <c r="AH830" i="44"/>
  <c r="AH831" i="44"/>
  <c r="AH832" i="44"/>
  <c r="AH833" i="44"/>
  <c r="AH834" i="44"/>
  <c r="AH835" i="44"/>
  <c r="AH836" i="44"/>
  <c r="AH837" i="44"/>
  <c r="AH838" i="44"/>
  <c r="AH839" i="44"/>
  <c r="AH840" i="44"/>
  <c r="AH841" i="44"/>
  <c r="AH842" i="44"/>
  <c r="AH843" i="44"/>
  <c r="AH844" i="44"/>
  <c r="AH845" i="44"/>
  <c r="AH846" i="44"/>
  <c r="AH847" i="44"/>
  <c r="AH848" i="44"/>
  <c r="AH849" i="44"/>
  <c r="AH850" i="44"/>
  <c r="AH851" i="44"/>
  <c r="AH852" i="44"/>
  <c r="AH853" i="44"/>
  <c r="AH854" i="44"/>
  <c r="AH855" i="44"/>
  <c r="AH856" i="44"/>
  <c r="AH857" i="44"/>
  <c r="AH858" i="44"/>
  <c r="AH859" i="44"/>
  <c r="AH860" i="44"/>
  <c r="AH861" i="44"/>
  <c r="AH862" i="44"/>
  <c r="AH863" i="44"/>
  <c r="AH864" i="44"/>
  <c r="AH865" i="44"/>
  <c r="AH866" i="44"/>
  <c r="AH867" i="44"/>
  <c r="AH868" i="44"/>
  <c r="AH869" i="44"/>
  <c r="AH870" i="44"/>
  <c r="AH871" i="44"/>
  <c r="AH872" i="44"/>
  <c r="AH873" i="44"/>
  <c r="AH874" i="44"/>
  <c r="AH875" i="44"/>
  <c r="AH876" i="44"/>
  <c r="AH877" i="44"/>
  <c r="AH878" i="44"/>
  <c r="AH879" i="44"/>
  <c r="AH880" i="44"/>
  <c r="AH881" i="44"/>
  <c r="AH882" i="44"/>
  <c r="AH883" i="44"/>
  <c r="AH884" i="44"/>
  <c r="AH885" i="44"/>
  <c r="AH886" i="44"/>
  <c r="AH887" i="44"/>
  <c r="AH888" i="44"/>
  <c r="AH889" i="44"/>
  <c r="AH890" i="44"/>
  <c r="AH891" i="44"/>
  <c r="AH892" i="44"/>
  <c r="AH893" i="44"/>
  <c r="AH894" i="44"/>
  <c r="AH895" i="44"/>
  <c r="AH896" i="44"/>
  <c r="AH897" i="44"/>
  <c r="AH898" i="44"/>
  <c r="AH899" i="44"/>
  <c r="AH900" i="44"/>
  <c r="AH901" i="44"/>
  <c r="AH902" i="44"/>
  <c r="AH903" i="44"/>
  <c r="AH904" i="44"/>
  <c r="AH905" i="44"/>
  <c r="AH906" i="44"/>
  <c r="AH907" i="44"/>
  <c r="AH908" i="44"/>
  <c r="AH909" i="44"/>
  <c r="AH910" i="44"/>
  <c r="AH911" i="44"/>
  <c r="AH912" i="44"/>
  <c r="AH913" i="44"/>
  <c r="AH914" i="44"/>
  <c r="AH915" i="44"/>
  <c r="AH916" i="44"/>
  <c r="AH917" i="44"/>
  <c r="AH918" i="44"/>
  <c r="AH919" i="44"/>
  <c r="AH920" i="44"/>
  <c r="AH921" i="44"/>
  <c r="AH922" i="44"/>
  <c r="AH923" i="44"/>
  <c r="AH924" i="44"/>
  <c r="AH925" i="44"/>
  <c r="AH926" i="44"/>
  <c r="AH927" i="44"/>
  <c r="AH928" i="44"/>
  <c r="AH929" i="44"/>
  <c r="AH930" i="44"/>
  <c r="AH931" i="44"/>
  <c r="AH932" i="44"/>
  <c r="AH933" i="44"/>
  <c r="AH934" i="44"/>
  <c r="AH935" i="44"/>
  <c r="AH936" i="44"/>
  <c r="AH937" i="44"/>
  <c r="AH938" i="44"/>
  <c r="AH939" i="44"/>
  <c r="AH940" i="44"/>
  <c r="AH941" i="44"/>
  <c r="AH942" i="44"/>
  <c r="AH943" i="44"/>
  <c r="AH944" i="44"/>
  <c r="AH945" i="44"/>
  <c r="AH946" i="44"/>
  <c r="AH947" i="44"/>
  <c r="AH948" i="44"/>
  <c r="AH949" i="44"/>
  <c r="AH950" i="44"/>
  <c r="AH951" i="44"/>
  <c r="AH952" i="44"/>
  <c r="AH953" i="44"/>
  <c r="AH954" i="44"/>
  <c r="AH955" i="44"/>
  <c r="AH956" i="44"/>
  <c r="AH957" i="44"/>
  <c r="AH958" i="44"/>
  <c r="AH959" i="44"/>
  <c r="AH960" i="44"/>
  <c r="AH961" i="44"/>
  <c r="AH962" i="44"/>
  <c r="AH963" i="44"/>
  <c r="AH964" i="44"/>
  <c r="AH965" i="44"/>
  <c r="AH966" i="44"/>
  <c r="AH967" i="44"/>
  <c r="AH968" i="44"/>
  <c r="AH969" i="44"/>
  <c r="AH970" i="44"/>
  <c r="AH971" i="44"/>
  <c r="AH972" i="44"/>
  <c r="AH973" i="44"/>
  <c r="AH974" i="44"/>
  <c r="AH975" i="44"/>
  <c r="AG968" i="44"/>
  <c r="AG956" i="44"/>
  <c r="AG947" i="44"/>
  <c r="AG936" i="44"/>
  <c r="AG926" i="44"/>
  <c r="AG916" i="44"/>
  <c r="AG904" i="44"/>
  <c r="AG897" i="44"/>
  <c r="AG887" i="44"/>
  <c r="AG879" i="44"/>
  <c r="AG869" i="44"/>
  <c r="AG861" i="44"/>
  <c r="AG842" i="44"/>
  <c r="AG833" i="44"/>
  <c r="AG822" i="44"/>
  <c r="AG809" i="44"/>
  <c r="B798" i="44"/>
  <c r="B797" i="44"/>
  <c r="B796" i="44"/>
  <c r="B795" i="44"/>
  <c r="B794" i="44"/>
  <c r="AH783" i="44"/>
  <c r="AH784" i="44"/>
  <c r="AH785" i="44"/>
  <c r="AH786" i="44"/>
  <c r="AH787" i="44"/>
  <c r="AH788" i="44"/>
  <c r="AH789" i="44"/>
  <c r="AG789" i="44"/>
  <c r="AG783" i="44"/>
  <c r="AG784" i="44"/>
  <c r="AG785" i="44"/>
  <c r="AG786" i="44"/>
  <c r="AG787" i="44"/>
  <c r="AG788" i="44"/>
  <c r="AF783" i="44"/>
  <c r="AF784" i="44"/>
  <c r="AF785" i="44"/>
  <c r="AF786" i="44"/>
  <c r="AF787" i="44"/>
  <c r="AF788" i="44"/>
  <c r="AF789" i="44"/>
  <c r="B771" i="44"/>
  <c r="B770" i="44"/>
  <c r="B769" i="44"/>
  <c r="B768" i="44"/>
  <c r="B767" i="44"/>
  <c r="B766" i="44"/>
  <c r="S762" i="44"/>
  <c r="BF762" i="44" l="1"/>
  <c r="BF761" i="44" a="1"/>
  <c r="BF761" i="44" s="1"/>
  <c r="AW742" i="44" a="1"/>
  <c r="AW742" i="44" s="1"/>
  <c r="AX742" i="44" a="1"/>
  <c r="AX742" i="44" s="1"/>
  <c r="AY742" i="44" a="1"/>
  <c r="AY742" i="44" s="1"/>
  <c r="AZ742" i="44" a="1"/>
  <c r="AZ742" i="44" s="1"/>
  <c r="BA742" i="44" a="1"/>
  <c r="BA742" i="44" s="1"/>
  <c r="BB742" i="44" a="1"/>
  <c r="BB742" i="44" s="1"/>
  <c r="BC742" i="44" a="1"/>
  <c r="BC742" i="44" s="1"/>
  <c r="BD742" i="44" a="1"/>
  <c r="BD742" i="44" s="1"/>
  <c r="BE742" i="44" a="1"/>
  <c r="BE742" i="44" s="1"/>
  <c r="BF742" i="44" a="1"/>
  <c r="BF742" i="44" s="1"/>
  <c r="AW743" i="44" a="1"/>
  <c r="AW743" i="44" s="1"/>
  <c r="AX743" i="44" a="1"/>
  <c r="AX743" i="44" s="1"/>
  <c r="AY743" i="44" a="1"/>
  <c r="AY743" i="44" s="1"/>
  <c r="AZ743" i="44" a="1"/>
  <c r="AZ743" i="44" s="1"/>
  <c r="BA743" i="44" a="1"/>
  <c r="BA743" i="44" s="1"/>
  <c r="BB743" i="44" a="1"/>
  <c r="BB743" i="44" s="1"/>
  <c r="BC743" i="44" a="1"/>
  <c r="BC743" i="44" s="1"/>
  <c r="BD743" i="44" a="1"/>
  <c r="BD743" i="44" s="1"/>
  <c r="BE743" i="44" a="1"/>
  <c r="BE743" i="44" s="1"/>
  <c r="BF743" i="44" a="1"/>
  <c r="BF743" i="44" s="1"/>
  <c r="AW744" i="44" a="1"/>
  <c r="AW744" i="44" s="1"/>
  <c r="AX744" i="44" a="1"/>
  <c r="AX744" i="44" s="1"/>
  <c r="AY744" i="44" a="1"/>
  <c r="AY744" i="44" s="1"/>
  <c r="AZ744" i="44" a="1"/>
  <c r="AZ744" i="44" s="1"/>
  <c r="BA744" i="44" a="1"/>
  <c r="BA744" i="44" s="1"/>
  <c r="BB744" i="44" a="1"/>
  <c r="BB744" i="44" s="1"/>
  <c r="BC744" i="44" a="1"/>
  <c r="BC744" i="44" s="1"/>
  <c r="BD744" i="44" a="1"/>
  <c r="BD744" i="44" s="1"/>
  <c r="BE744" i="44" a="1"/>
  <c r="BE744" i="44" s="1"/>
  <c r="BF744" i="44" a="1"/>
  <c r="BF744" i="44" s="1"/>
  <c r="AW745" i="44" a="1"/>
  <c r="AW745" i="44" s="1"/>
  <c r="AX745" i="44" a="1"/>
  <c r="AX745" i="44" s="1"/>
  <c r="AY745" i="44" a="1"/>
  <c r="AY745" i="44" s="1"/>
  <c r="AZ745" i="44" a="1"/>
  <c r="AZ745" i="44" s="1"/>
  <c r="BA745" i="44" a="1"/>
  <c r="BA745" i="44" s="1"/>
  <c r="BB745" i="44" a="1"/>
  <c r="BB745" i="44" s="1"/>
  <c r="BC745" i="44" a="1"/>
  <c r="BC745" i="44" s="1"/>
  <c r="BD745" i="44" a="1"/>
  <c r="BD745" i="44" s="1"/>
  <c r="BE745" i="44" a="1"/>
  <c r="BE745" i="44" s="1"/>
  <c r="BF745" i="44" a="1"/>
  <c r="BF745" i="44" s="1"/>
  <c r="AW746" i="44" a="1"/>
  <c r="AW746" i="44" s="1"/>
  <c r="AX746" i="44" a="1"/>
  <c r="AX746" i="44" s="1"/>
  <c r="AY746" i="44" a="1"/>
  <c r="AY746" i="44" s="1"/>
  <c r="AZ746" i="44" a="1"/>
  <c r="AZ746" i="44" s="1"/>
  <c r="BA746" i="44" a="1"/>
  <c r="BA746" i="44" s="1"/>
  <c r="BB746" i="44" a="1"/>
  <c r="BB746" i="44" s="1"/>
  <c r="BC746" i="44" a="1"/>
  <c r="BC746" i="44" s="1"/>
  <c r="BD746" i="44" a="1"/>
  <c r="BD746" i="44" s="1"/>
  <c r="BE746" i="44" a="1"/>
  <c r="BE746" i="44" s="1"/>
  <c r="BF746" i="44" a="1"/>
  <c r="BF746" i="44" s="1"/>
  <c r="AW747" i="44" a="1"/>
  <c r="AW747" i="44" s="1"/>
  <c r="AX747" i="44" a="1"/>
  <c r="AX747" i="44" s="1"/>
  <c r="AY747" i="44" a="1"/>
  <c r="AY747" i="44" s="1"/>
  <c r="AZ747" i="44" a="1"/>
  <c r="AZ747" i="44" s="1"/>
  <c r="BA747" i="44" a="1"/>
  <c r="BA747" i="44" s="1"/>
  <c r="BB747" i="44" a="1"/>
  <c r="BB747" i="44" s="1"/>
  <c r="BC747" i="44" a="1"/>
  <c r="BC747" i="44" s="1"/>
  <c r="BD747" i="44" a="1"/>
  <c r="BD747" i="44" s="1"/>
  <c r="BE747" i="44" a="1"/>
  <c r="BE747" i="44" s="1"/>
  <c r="BF747" i="44" a="1"/>
  <c r="BF747" i="44" s="1"/>
  <c r="AW748" i="44" a="1"/>
  <c r="AW748" i="44" s="1"/>
  <c r="AX748" i="44" a="1"/>
  <c r="AX748" i="44" s="1"/>
  <c r="AY748" i="44" a="1"/>
  <c r="AY748" i="44" s="1"/>
  <c r="AZ748" i="44" a="1"/>
  <c r="AZ748" i="44" s="1"/>
  <c r="BA748" i="44" a="1"/>
  <c r="BA748" i="44" s="1"/>
  <c r="BB748" i="44" a="1"/>
  <c r="BB748" i="44" s="1"/>
  <c r="BC748" i="44" a="1"/>
  <c r="BC748" i="44" s="1"/>
  <c r="BD748" i="44" a="1"/>
  <c r="BD748" i="44" s="1"/>
  <c r="BE748" i="44" a="1"/>
  <c r="BE748" i="44" s="1"/>
  <c r="BF748" i="44" a="1"/>
  <c r="BF748" i="44" s="1"/>
  <c r="AW749" i="44" a="1"/>
  <c r="AW749" i="44" s="1"/>
  <c r="AX749" i="44" a="1"/>
  <c r="AX749" i="44" s="1"/>
  <c r="AY749" i="44" a="1"/>
  <c r="AY749" i="44" s="1"/>
  <c r="AZ749" i="44" a="1"/>
  <c r="AZ749" i="44" s="1"/>
  <c r="BA749" i="44" a="1"/>
  <c r="BA749" i="44" s="1"/>
  <c r="BB749" i="44" a="1"/>
  <c r="BB749" i="44" s="1"/>
  <c r="BC749" i="44" a="1"/>
  <c r="BC749" i="44" s="1"/>
  <c r="BD749" i="44" a="1"/>
  <c r="BD749" i="44" s="1"/>
  <c r="BE749" i="44" a="1"/>
  <c r="BE749" i="44" s="1"/>
  <c r="BF749" i="44" a="1"/>
  <c r="BF749" i="44" s="1"/>
  <c r="AW750" i="44" a="1"/>
  <c r="AW750" i="44" s="1"/>
  <c r="AX750" i="44" a="1"/>
  <c r="AX750" i="44" s="1"/>
  <c r="AY750" i="44" a="1"/>
  <c r="AY750" i="44" s="1"/>
  <c r="AZ750" i="44" a="1"/>
  <c r="AZ750" i="44" s="1"/>
  <c r="BA750" i="44" a="1"/>
  <c r="BA750" i="44" s="1"/>
  <c r="BB750" i="44" a="1"/>
  <c r="BB750" i="44" s="1"/>
  <c r="BC750" i="44" a="1"/>
  <c r="BC750" i="44" s="1"/>
  <c r="BD750" i="44" a="1"/>
  <c r="BD750" i="44" s="1"/>
  <c r="BE750" i="44" a="1"/>
  <c r="BE750" i="44" s="1"/>
  <c r="BF750" i="44" a="1"/>
  <c r="BF750" i="44" s="1"/>
  <c r="AW751" i="44" a="1"/>
  <c r="AW751" i="44" s="1"/>
  <c r="AX751" i="44" a="1"/>
  <c r="AX751" i="44" s="1"/>
  <c r="AY751" i="44" a="1"/>
  <c r="AY751" i="44" s="1"/>
  <c r="AZ751" i="44" a="1"/>
  <c r="AZ751" i="44" s="1"/>
  <c r="BA751" i="44" a="1"/>
  <c r="BA751" i="44" s="1"/>
  <c r="BB751" i="44" a="1"/>
  <c r="BB751" i="44" s="1"/>
  <c r="BC751" i="44" a="1"/>
  <c r="BC751" i="44" s="1"/>
  <c r="BD751" i="44" a="1"/>
  <c r="BD751" i="44" s="1"/>
  <c r="BE751" i="44" a="1"/>
  <c r="BE751" i="44" s="1"/>
  <c r="BF751" i="44" a="1"/>
  <c r="BF751" i="44" s="1"/>
  <c r="AW752" i="44" a="1"/>
  <c r="AW752" i="44" s="1"/>
  <c r="AX752" i="44" a="1"/>
  <c r="AX752" i="44" s="1"/>
  <c r="AY752" i="44" a="1"/>
  <c r="AY752" i="44" s="1"/>
  <c r="AZ752" i="44" a="1"/>
  <c r="AZ752" i="44" s="1"/>
  <c r="BA752" i="44" a="1"/>
  <c r="BA752" i="44" s="1"/>
  <c r="BB752" i="44" a="1"/>
  <c r="BB752" i="44" s="1"/>
  <c r="BC752" i="44" a="1"/>
  <c r="BC752" i="44" s="1"/>
  <c r="BD752" i="44" a="1"/>
  <c r="BD752" i="44" s="1"/>
  <c r="BE752" i="44" a="1"/>
  <c r="BE752" i="44" s="1"/>
  <c r="BF752" i="44" a="1"/>
  <c r="BF752" i="44" s="1"/>
  <c r="AW753" i="44" a="1"/>
  <c r="AW753" i="44" s="1"/>
  <c r="AX753" i="44" a="1"/>
  <c r="AX753" i="44" s="1"/>
  <c r="AY753" i="44" a="1"/>
  <c r="AY753" i="44" s="1"/>
  <c r="AZ753" i="44" a="1"/>
  <c r="AZ753" i="44" s="1"/>
  <c r="BA753" i="44" a="1"/>
  <c r="BA753" i="44" s="1"/>
  <c r="BB753" i="44" a="1"/>
  <c r="BB753" i="44" s="1"/>
  <c r="BC753" i="44" a="1"/>
  <c r="BC753" i="44" s="1"/>
  <c r="BD753" i="44" a="1"/>
  <c r="BD753" i="44" s="1"/>
  <c r="BE753" i="44" a="1"/>
  <c r="BE753" i="44" s="1"/>
  <c r="BF753" i="44" a="1"/>
  <c r="BF753" i="44" s="1"/>
  <c r="AW754" i="44" a="1"/>
  <c r="AW754" i="44" s="1"/>
  <c r="AX754" i="44" a="1"/>
  <c r="AX754" i="44" s="1"/>
  <c r="AY754" i="44" a="1"/>
  <c r="AY754" i="44" s="1"/>
  <c r="AZ754" i="44" a="1"/>
  <c r="AZ754" i="44" s="1"/>
  <c r="BA754" i="44" a="1"/>
  <c r="BA754" i="44" s="1"/>
  <c r="BB754" i="44" a="1"/>
  <c r="BB754" i="44" s="1"/>
  <c r="BC754" i="44" a="1"/>
  <c r="BC754" i="44" s="1"/>
  <c r="BD754" i="44" a="1"/>
  <c r="BD754" i="44" s="1"/>
  <c r="BE754" i="44" a="1"/>
  <c r="BE754" i="44" s="1"/>
  <c r="BF754" i="44" a="1"/>
  <c r="BF754" i="44" s="1"/>
  <c r="AW755" i="44" a="1"/>
  <c r="AW755" i="44" s="1"/>
  <c r="AX755" i="44" a="1"/>
  <c r="AX755" i="44" s="1"/>
  <c r="AY755" i="44" a="1"/>
  <c r="AY755" i="44" s="1"/>
  <c r="AZ755" i="44" a="1"/>
  <c r="AZ755" i="44" s="1"/>
  <c r="BA755" i="44" a="1"/>
  <c r="BA755" i="44" s="1"/>
  <c r="BB755" i="44" a="1"/>
  <c r="BB755" i="44" s="1"/>
  <c r="BC755" i="44" a="1"/>
  <c r="BC755" i="44" s="1"/>
  <c r="BD755" i="44" a="1"/>
  <c r="BD755" i="44" s="1"/>
  <c r="BE755" i="44" a="1"/>
  <c r="BE755" i="44" s="1"/>
  <c r="BF755" i="44" a="1"/>
  <c r="BF755" i="44" s="1"/>
  <c r="AW756" i="44" a="1"/>
  <c r="AW756" i="44" s="1"/>
  <c r="AX756" i="44" a="1"/>
  <c r="AX756" i="44" s="1"/>
  <c r="AY756" i="44" a="1"/>
  <c r="AY756" i="44" s="1"/>
  <c r="AZ756" i="44" a="1"/>
  <c r="AZ756" i="44" s="1"/>
  <c r="BA756" i="44" a="1"/>
  <c r="BA756" i="44" s="1"/>
  <c r="BB756" i="44" a="1"/>
  <c r="BB756" i="44" s="1"/>
  <c r="BC756" i="44" a="1"/>
  <c r="BC756" i="44" s="1"/>
  <c r="BD756" i="44" a="1"/>
  <c r="BD756" i="44" s="1"/>
  <c r="BE756" i="44" a="1"/>
  <c r="BE756" i="44" s="1"/>
  <c r="BF756" i="44" a="1"/>
  <c r="BF756" i="44" s="1"/>
  <c r="AW757" i="44" a="1"/>
  <c r="AW757" i="44" s="1"/>
  <c r="AX757" i="44" a="1"/>
  <c r="AX757" i="44" s="1"/>
  <c r="AY757" i="44" a="1"/>
  <c r="AY757" i="44" s="1"/>
  <c r="AZ757" i="44" a="1"/>
  <c r="AZ757" i="44" s="1"/>
  <c r="BA757" i="44" a="1"/>
  <c r="BA757" i="44" s="1"/>
  <c r="BB757" i="44" a="1"/>
  <c r="BB757" i="44" s="1"/>
  <c r="BC757" i="44" a="1"/>
  <c r="BC757" i="44" s="1"/>
  <c r="BD757" i="44" a="1"/>
  <c r="BD757" i="44" s="1"/>
  <c r="BE757" i="44" a="1"/>
  <c r="BE757" i="44" s="1"/>
  <c r="BF757" i="44" a="1"/>
  <c r="BF757" i="44" s="1"/>
  <c r="AW758" i="44" a="1"/>
  <c r="AW758" i="44" s="1"/>
  <c r="AX758" i="44" a="1"/>
  <c r="AX758" i="44" s="1"/>
  <c r="AY758" i="44" a="1"/>
  <c r="AY758" i="44" s="1"/>
  <c r="AZ758" i="44" a="1"/>
  <c r="AZ758" i="44" s="1"/>
  <c r="BA758" i="44" a="1"/>
  <c r="BA758" i="44" s="1"/>
  <c r="BB758" i="44" a="1"/>
  <c r="BB758" i="44" s="1"/>
  <c r="BC758" i="44" a="1"/>
  <c r="BC758" i="44" s="1"/>
  <c r="BD758" i="44" a="1"/>
  <c r="BD758" i="44" s="1"/>
  <c r="BE758" i="44" a="1"/>
  <c r="BE758" i="44" s="1"/>
  <c r="BF758" i="44" a="1"/>
  <c r="BF758" i="44" s="1"/>
  <c r="AW759" i="44" a="1"/>
  <c r="AW759" i="44" s="1"/>
  <c r="AX759" i="44" a="1"/>
  <c r="AX759" i="44" s="1"/>
  <c r="AY759" i="44" a="1"/>
  <c r="AY759" i="44" s="1"/>
  <c r="AZ759" i="44" a="1"/>
  <c r="AZ759" i="44" s="1"/>
  <c r="BA759" i="44" a="1"/>
  <c r="BA759" i="44" s="1"/>
  <c r="BB759" i="44" a="1"/>
  <c r="BB759" i="44" s="1"/>
  <c r="BC759" i="44" a="1"/>
  <c r="BC759" i="44" s="1"/>
  <c r="BD759" i="44" a="1"/>
  <c r="BD759" i="44" s="1"/>
  <c r="BE759" i="44" a="1"/>
  <c r="BE759" i="44" s="1"/>
  <c r="BF759" i="44" a="1"/>
  <c r="BF759" i="44" s="1"/>
  <c r="AW760" i="44" a="1"/>
  <c r="AW760" i="44" s="1"/>
  <c r="AX760" i="44" a="1"/>
  <c r="AX760" i="44" s="1"/>
  <c r="AY760" i="44" a="1"/>
  <c r="AY760" i="44" s="1"/>
  <c r="AZ760" i="44" a="1"/>
  <c r="AZ760" i="44" s="1"/>
  <c r="BA760" i="44" a="1"/>
  <c r="BA760" i="44" s="1"/>
  <c r="BB760" i="44" a="1"/>
  <c r="BB760" i="44" s="1"/>
  <c r="BC760" i="44" a="1"/>
  <c r="BC760" i="44" s="1"/>
  <c r="BD760" i="44" a="1"/>
  <c r="BD760" i="44" s="1"/>
  <c r="BE760" i="44" a="1"/>
  <c r="BE760" i="44" s="1"/>
  <c r="BF760" i="44" a="1"/>
  <c r="BF760" i="44" s="1"/>
  <c r="AW761" i="44" a="1"/>
  <c r="AW761" i="44" s="1"/>
  <c r="AX761" i="44" a="1"/>
  <c r="AX761" i="44" s="1"/>
  <c r="AY761" i="44" a="1"/>
  <c r="AY761" i="44" s="1"/>
  <c r="AZ761" i="44" a="1"/>
  <c r="AZ761" i="44" s="1"/>
  <c r="BA761" i="44" a="1"/>
  <c r="BA761" i="44" s="1"/>
  <c r="BB761" i="44" a="1"/>
  <c r="BB761" i="44" s="1"/>
  <c r="BC761" i="44" a="1"/>
  <c r="BC761" i="44" s="1"/>
  <c r="BD761" i="44" a="1"/>
  <c r="BD761" i="44" s="1"/>
  <c r="BE761" i="44" a="1"/>
  <c r="BE761" i="44" s="1"/>
  <c r="AW741" i="44" a="1"/>
  <c r="AW741" i="44" s="1"/>
  <c r="BF741" i="44" a="1"/>
  <c r="BF741" i="44" s="1"/>
  <c r="BE741" i="44" a="1"/>
  <c r="BE741" i="44" s="1"/>
  <c r="BD741" i="44" a="1"/>
  <c r="BD741" i="44" s="1"/>
  <c r="BC741" i="44" a="1"/>
  <c r="BC741" i="44" s="1"/>
  <c r="BB741" i="44" a="1"/>
  <c r="BB741" i="44" s="1"/>
  <c r="BA741" i="44" a="1"/>
  <c r="BA741" i="44" s="1"/>
  <c r="AZ741" i="44" a="1"/>
  <c r="AZ741" i="44" s="1"/>
  <c r="AY741" i="44" a="1"/>
  <c r="AY741" i="44" s="1"/>
  <c r="AX741" i="44" a="1"/>
  <c r="AX741" i="44" s="1"/>
  <c r="AW739" i="44"/>
  <c r="AV739" i="44"/>
  <c r="AU739" i="44"/>
  <c r="AT739" i="44"/>
  <c r="AS739" i="44"/>
  <c r="AR739" i="44"/>
  <c r="AQ739" i="44"/>
  <c r="AP739" i="44"/>
  <c r="AO739" i="44"/>
  <c r="AN739" i="44"/>
  <c r="AK761" i="44" l="1"/>
  <c r="AI742" i="44"/>
  <c r="AJ742" i="44"/>
  <c r="AK742" i="44"/>
  <c r="AI743" i="44"/>
  <c r="AJ743" i="44"/>
  <c r="AK743" i="44"/>
  <c r="AI744" i="44"/>
  <c r="AJ744" i="44"/>
  <c r="AK744" i="44"/>
  <c r="AI745" i="44"/>
  <c r="AJ745" i="44"/>
  <c r="AK745" i="44"/>
  <c r="AI746" i="44"/>
  <c r="AJ746" i="44"/>
  <c r="AK746" i="44"/>
  <c r="AI747" i="44"/>
  <c r="AJ747" i="44"/>
  <c r="AK747" i="44"/>
  <c r="AI748" i="44"/>
  <c r="AJ748" i="44"/>
  <c r="AK748" i="44"/>
  <c r="AI749" i="44"/>
  <c r="AJ749" i="44"/>
  <c r="AK749" i="44"/>
  <c r="AI750" i="44"/>
  <c r="AJ750" i="44"/>
  <c r="AK750" i="44"/>
  <c r="AI751" i="44"/>
  <c r="AJ751" i="44"/>
  <c r="AK751" i="44"/>
  <c r="AI752" i="44"/>
  <c r="AJ752" i="44"/>
  <c r="AK752" i="44"/>
  <c r="AI753" i="44"/>
  <c r="AJ753" i="44"/>
  <c r="AK753" i="44"/>
  <c r="AI754" i="44"/>
  <c r="AJ754" i="44"/>
  <c r="AK754" i="44"/>
  <c r="AI755" i="44"/>
  <c r="AJ755" i="44"/>
  <c r="AK755" i="44"/>
  <c r="AI756" i="44"/>
  <c r="AJ756" i="44"/>
  <c r="AK756" i="44"/>
  <c r="AI757" i="44"/>
  <c r="AJ757" i="44"/>
  <c r="AK757" i="44"/>
  <c r="AI758" i="44"/>
  <c r="AJ758" i="44"/>
  <c r="AK758" i="44"/>
  <c r="AI759" i="44"/>
  <c r="AJ759" i="44"/>
  <c r="AK759" i="44"/>
  <c r="AI760" i="44"/>
  <c r="AJ760" i="44"/>
  <c r="AK760" i="44"/>
  <c r="AI761" i="44"/>
  <c r="AJ761" i="44"/>
  <c r="AJ741" i="44"/>
  <c r="AI741" i="44"/>
  <c r="AK741" i="44" s="1"/>
  <c r="AK762" i="44" s="1"/>
  <c r="AH741" i="44"/>
  <c r="AG741" i="44"/>
  <c r="AF739" i="44"/>
  <c r="B732" i="44"/>
  <c r="B731" i="44"/>
  <c r="B730" i="44"/>
  <c r="B729" i="44"/>
  <c r="B728" i="44"/>
  <c r="B727" i="44"/>
  <c r="B724" i="44"/>
  <c r="D685" i="44"/>
  <c r="AH692" i="44"/>
  <c r="AH686" i="44"/>
  <c r="AH687" i="44"/>
  <c r="AH688" i="44"/>
  <c r="AH689" i="44"/>
  <c r="AH690" i="44"/>
  <c r="AH691" i="44"/>
  <c r="AH685" i="44"/>
  <c r="BF714" i="44" a="1"/>
  <c r="BF714" i="44" s="1"/>
  <c r="BG714" i="44" a="1"/>
  <c r="BG714" i="44" s="1"/>
  <c r="BH714" i="44" a="1"/>
  <c r="BH714" i="44" s="1"/>
  <c r="BI714" i="44" a="1"/>
  <c r="BI714" i="44"/>
  <c r="BJ714" i="44" a="1"/>
  <c r="BJ714" i="44" s="1"/>
  <c r="BK714" i="44" a="1"/>
  <c r="BK714" i="44" s="1"/>
  <c r="BL714" i="44" a="1"/>
  <c r="BL714" i="44" s="1"/>
  <c r="BM714" i="44" a="1"/>
  <c r="BM714" i="44"/>
  <c r="BN714" i="44" a="1"/>
  <c r="BN714" i="44" s="1"/>
  <c r="BO714" i="44" a="1"/>
  <c r="BO714" i="44" s="1"/>
  <c r="BP714" i="44" a="1"/>
  <c r="BP714" i="44" s="1"/>
  <c r="BQ714" i="44" a="1"/>
  <c r="BQ714" i="44"/>
  <c r="BR714" i="44" a="1"/>
  <c r="BR714" i="44" s="1"/>
  <c r="BS714" i="44" a="1"/>
  <c r="BS714" i="44" s="1"/>
  <c r="BT714" i="44" a="1"/>
  <c r="BT714" i="44" s="1"/>
  <c r="BU714" i="44" a="1"/>
  <c r="BU714" i="44"/>
  <c r="BV714" i="44" a="1"/>
  <c r="BV714" i="44" s="1"/>
  <c r="BW714" i="44" a="1"/>
  <c r="BW714" i="44" s="1"/>
  <c r="BX714" i="44" a="1"/>
  <c r="BX714" i="44" s="1"/>
  <c r="BY714" i="44" a="1"/>
  <c r="BY714" i="44"/>
  <c r="BZ714" i="44" a="1"/>
  <c r="BZ714" i="44" s="1"/>
  <c r="CA714" i="44" a="1"/>
  <c r="CA714" i="44" s="1"/>
  <c r="CB714" i="44" a="1"/>
  <c r="CB714" i="44" s="1"/>
  <c r="CC714" i="44" a="1"/>
  <c r="CC714" i="44"/>
  <c r="BF715" i="44" a="1"/>
  <c r="BF715" i="44" s="1"/>
  <c r="BG715" i="44" a="1"/>
  <c r="BG715" i="44" s="1"/>
  <c r="BH715" i="44" a="1"/>
  <c r="BH715" i="44" s="1"/>
  <c r="BI715" i="44" a="1"/>
  <c r="BI715" i="44"/>
  <c r="BJ715" i="44" a="1"/>
  <c r="BJ715" i="44" s="1"/>
  <c r="BK715" i="44" a="1"/>
  <c r="BK715" i="44" s="1"/>
  <c r="BL715" i="44" a="1"/>
  <c r="BL715" i="44" s="1"/>
  <c r="BM715" i="44" a="1"/>
  <c r="BM715" i="44"/>
  <c r="BN715" i="44" a="1"/>
  <c r="BN715" i="44" s="1"/>
  <c r="BO715" i="44" a="1"/>
  <c r="BO715" i="44" s="1"/>
  <c r="BP715" i="44" a="1"/>
  <c r="BP715" i="44" s="1"/>
  <c r="BQ715" i="44" a="1"/>
  <c r="BQ715" i="44"/>
  <c r="BR715" i="44" a="1"/>
  <c r="BR715" i="44" s="1"/>
  <c r="BS715" i="44" a="1"/>
  <c r="BS715" i="44" s="1"/>
  <c r="BT715" i="44" a="1"/>
  <c r="BT715" i="44" s="1"/>
  <c r="BU715" i="44" a="1"/>
  <c r="BU715" i="44"/>
  <c r="BV715" i="44" a="1"/>
  <c r="BV715" i="44" s="1"/>
  <c r="BW715" i="44" a="1"/>
  <c r="BW715" i="44" s="1"/>
  <c r="BX715" i="44" a="1"/>
  <c r="BX715" i="44" s="1"/>
  <c r="BY715" i="44" a="1"/>
  <c r="BY715" i="44"/>
  <c r="BZ715" i="44" a="1"/>
  <c r="BZ715" i="44" s="1"/>
  <c r="CA715" i="44" a="1"/>
  <c r="CA715" i="44" s="1"/>
  <c r="CB715" i="44" a="1"/>
  <c r="CB715" i="44" s="1"/>
  <c r="CC715" i="44" a="1"/>
  <c r="CC715" i="44"/>
  <c r="BF716" i="44" a="1"/>
  <c r="BF716" i="44" s="1"/>
  <c r="BG716" i="44" a="1"/>
  <c r="BG716" i="44" s="1"/>
  <c r="BH716" i="44" a="1"/>
  <c r="BH716" i="44" s="1"/>
  <c r="BI716" i="44" a="1"/>
  <c r="BI716" i="44"/>
  <c r="BJ716" i="44" a="1"/>
  <c r="BJ716" i="44" s="1"/>
  <c r="BK716" i="44" a="1"/>
  <c r="BK716" i="44" s="1"/>
  <c r="BL716" i="44" a="1"/>
  <c r="BL716" i="44" s="1"/>
  <c r="BM716" i="44" a="1"/>
  <c r="BM716" i="44"/>
  <c r="BN716" i="44" a="1"/>
  <c r="BN716" i="44" s="1"/>
  <c r="BO716" i="44" a="1"/>
  <c r="BO716" i="44" s="1"/>
  <c r="BP716" i="44" a="1"/>
  <c r="BP716" i="44" s="1"/>
  <c r="BQ716" i="44" a="1"/>
  <c r="BQ716" i="44"/>
  <c r="BR716" i="44" a="1"/>
  <c r="BR716" i="44" s="1"/>
  <c r="BS716" i="44" a="1"/>
  <c r="BS716" i="44" s="1"/>
  <c r="BT716" i="44" a="1"/>
  <c r="BT716" i="44" s="1"/>
  <c r="BU716" i="44" a="1"/>
  <c r="BU716" i="44"/>
  <c r="BV716" i="44" a="1"/>
  <c r="BV716" i="44" s="1"/>
  <c r="BW716" i="44" a="1"/>
  <c r="BW716" i="44" s="1"/>
  <c r="BX716" i="44" a="1"/>
  <c r="BX716" i="44" s="1"/>
  <c r="BY716" i="44" a="1"/>
  <c r="BY716" i="44"/>
  <c r="BZ716" i="44" a="1"/>
  <c r="BZ716" i="44" s="1"/>
  <c r="CA716" i="44" a="1"/>
  <c r="CA716" i="44" s="1"/>
  <c r="CB716" i="44" a="1"/>
  <c r="CB716" i="44" s="1"/>
  <c r="CC716" i="44" a="1"/>
  <c r="CC716" i="44"/>
  <c r="BF717" i="44" a="1"/>
  <c r="BF717" i="44" s="1"/>
  <c r="BG717" i="44" a="1"/>
  <c r="BG717" i="44" s="1"/>
  <c r="BH717" i="44" a="1"/>
  <c r="BH717" i="44" s="1"/>
  <c r="BI717" i="44" a="1"/>
  <c r="BI717" i="44"/>
  <c r="BJ717" i="44" a="1"/>
  <c r="BJ717" i="44" s="1"/>
  <c r="BK717" i="44" a="1"/>
  <c r="BK717" i="44" s="1"/>
  <c r="BL717" i="44" a="1"/>
  <c r="BL717" i="44" s="1"/>
  <c r="BM717" i="44" a="1"/>
  <c r="BM717" i="44"/>
  <c r="BN717" i="44" a="1"/>
  <c r="BN717" i="44" s="1"/>
  <c r="BO717" i="44" a="1"/>
  <c r="BO717" i="44" s="1"/>
  <c r="BP717" i="44" a="1"/>
  <c r="BP717" i="44" s="1"/>
  <c r="BQ717" i="44" a="1"/>
  <c r="BQ717" i="44"/>
  <c r="BR717" i="44" a="1"/>
  <c r="BR717" i="44" s="1"/>
  <c r="BS717" i="44" a="1"/>
  <c r="BS717" i="44" s="1"/>
  <c r="BT717" i="44" a="1"/>
  <c r="BT717" i="44" s="1"/>
  <c r="BU717" i="44" a="1"/>
  <c r="BU717" i="44"/>
  <c r="BV717" i="44" a="1"/>
  <c r="BV717" i="44" s="1"/>
  <c r="BW717" i="44" a="1"/>
  <c r="BW717" i="44" s="1"/>
  <c r="BX717" i="44" a="1"/>
  <c r="BX717" i="44" s="1"/>
  <c r="BY717" i="44" a="1"/>
  <c r="BY717" i="44"/>
  <c r="BZ717" i="44" a="1"/>
  <c r="BZ717" i="44" s="1"/>
  <c r="CA717" i="44" a="1"/>
  <c r="CA717" i="44" s="1"/>
  <c r="CB717" i="44" a="1"/>
  <c r="CB717" i="44" s="1"/>
  <c r="CC717" i="44" a="1"/>
  <c r="CC717" i="44"/>
  <c r="BF718" i="44" a="1"/>
  <c r="BF718" i="44" s="1"/>
  <c r="BG718" i="44" a="1"/>
  <c r="BG718" i="44" s="1"/>
  <c r="BH718" i="44" a="1"/>
  <c r="BH718" i="44" s="1"/>
  <c r="BI718" i="44" a="1"/>
  <c r="BI718" i="44"/>
  <c r="BJ718" i="44" a="1"/>
  <c r="BJ718" i="44" s="1"/>
  <c r="BK718" i="44" a="1"/>
  <c r="BK718" i="44" s="1"/>
  <c r="BL718" i="44" a="1"/>
  <c r="BL718" i="44" s="1"/>
  <c r="BM718" i="44" a="1"/>
  <c r="BM718" i="44"/>
  <c r="BN718" i="44" a="1"/>
  <c r="BN718" i="44" s="1"/>
  <c r="BO718" i="44" a="1"/>
  <c r="BO718" i="44" s="1"/>
  <c r="BP718" i="44" a="1"/>
  <c r="BP718" i="44" s="1"/>
  <c r="BQ718" i="44" a="1"/>
  <c r="BQ718" i="44"/>
  <c r="BR718" i="44" a="1"/>
  <c r="BR718" i="44" s="1"/>
  <c r="BS718" i="44" a="1"/>
  <c r="BS718" i="44" s="1"/>
  <c r="BT718" i="44" a="1"/>
  <c r="BT718" i="44" s="1"/>
  <c r="BU718" i="44" a="1"/>
  <c r="BU718" i="44"/>
  <c r="BV718" i="44" a="1"/>
  <c r="BV718" i="44" s="1"/>
  <c r="BW718" i="44" a="1"/>
  <c r="BW718" i="44" s="1"/>
  <c r="BX718" i="44" a="1"/>
  <c r="BX718" i="44" s="1"/>
  <c r="BY718" i="44" a="1"/>
  <c r="BY718" i="44" s="1"/>
  <c r="BZ718" i="44" a="1"/>
  <c r="BZ718" i="44" s="1"/>
  <c r="CA718" i="44" a="1"/>
  <c r="CA718" i="44" s="1"/>
  <c r="CB718" i="44" a="1"/>
  <c r="CB718" i="44" s="1"/>
  <c r="CC718" i="44" a="1"/>
  <c r="CC718" i="44"/>
  <c r="BF719" i="44" a="1"/>
  <c r="BF719" i="44" s="1"/>
  <c r="BG719" i="44" a="1"/>
  <c r="BG719" i="44" s="1"/>
  <c r="BH719" i="44" a="1"/>
  <c r="BH719" i="44" s="1"/>
  <c r="BI719" i="44" a="1"/>
  <c r="BI719" i="44"/>
  <c r="BJ719" i="44" a="1"/>
  <c r="BJ719" i="44" s="1"/>
  <c r="BK719" i="44" a="1"/>
  <c r="BK719" i="44" s="1"/>
  <c r="BL719" i="44" a="1"/>
  <c r="BL719" i="44" s="1"/>
  <c r="BM719" i="44" a="1"/>
  <c r="BM719" i="44"/>
  <c r="BN719" i="44" a="1"/>
  <c r="BN719" i="44" s="1"/>
  <c r="BO719" i="44" a="1"/>
  <c r="BO719" i="44" s="1"/>
  <c r="BP719" i="44" a="1"/>
  <c r="BP719" i="44" s="1"/>
  <c r="BQ719" i="44" a="1"/>
  <c r="BQ719" i="44"/>
  <c r="BR719" i="44" a="1"/>
  <c r="BR719" i="44" s="1"/>
  <c r="BS719" i="44" a="1"/>
  <c r="BS719" i="44" s="1"/>
  <c r="BT719" i="44" a="1"/>
  <c r="BT719" i="44" s="1"/>
  <c r="BU719" i="44" a="1"/>
  <c r="BU719" i="44"/>
  <c r="BV719" i="44" a="1"/>
  <c r="BV719" i="44" s="1"/>
  <c r="BW719" i="44" a="1"/>
  <c r="BW719" i="44" s="1"/>
  <c r="BX719" i="44" a="1"/>
  <c r="BX719" i="44" s="1"/>
  <c r="BY719" i="44" a="1"/>
  <c r="BY719" i="44"/>
  <c r="BZ719" i="44" a="1"/>
  <c r="BZ719" i="44" s="1"/>
  <c r="CA719" i="44" a="1"/>
  <c r="CA719" i="44" s="1"/>
  <c r="CB719" i="44" a="1"/>
  <c r="CB719" i="44" s="1"/>
  <c r="CC719" i="44" a="1"/>
  <c r="CC719" i="44"/>
  <c r="BF720" i="44" a="1"/>
  <c r="BF720" i="44" s="1"/>
  <c r="BG720" i="44" a="1"/>
  <c r="BG720" i="44" s="1"/>
  <c r="BH720" i="44" a="1"/>
  <c r="BH720" i="44" s="1"/>
  <c r="BI720" i="44" a="1"/>
  <c r="BI720" i="44"/>
  <c r="BJ720" i="44" a="1"/>
  <c r="BJ720" i="44" s="1"/>
  <c r="BK720" i="44" a="1"/>
  <c r="BK720" i="44" s="1"/>
  <c r="BL720" i="44" a="1"/>
  <c r="BL720" i="44" s="1"/>
  <c r="BM720" i="44" a="1"/>
  <c r="BM720" i="44"/>
  <c r="BN720" i="44" a="1"/>
  <c r="BN720" i="44" s="1"/>
  <c r="BO720" i="44" a="1"/>
  <c r="BO720" i="44" s="1"/>
  <c r="BP720" i="44" a="1"/>
  <c r="BP720" i="44" s="1"/>
  <c r="BQ720" i="44" a="1"/>
  <c r="BQ720" i="44"/>
  <c r="BR720" i="44" a="1"/>
  <c r="BR720" i="44" s="1"/>
  <c r="BS720" i="44" a="1"/>
  <c r="BS720" i="44" s="1"/>
  <c r="BT720" i="44" a="1"/>
  <c r="BT720" i="44" s="1"/>
  <c r="BU720" i="44" a="1"/>
  <c r="BU720" i="44"/>
  <c r="BV720" i="44" a="1"/>
  <c r="BV720" i="44" s="1"/>
  <c r="BW720" i="44" a="1"/>
  <c r="BW720" i="44" s="1"/>
  <c r="BX720" i="44" a="1"/>
  <c r="BX720" i="44" s="1"/>
  <c r="BY720" i="44" a="1"/>
  <c r="BY720" i="44"/>
  <c r="BZ720" i="44" a="1"/>
  <c r="BZ720" i="44" s="1"/>
  <c r="CA720" i="44" a="1"/>
  <c r="CA720" i="44" s="1"/>
  <c r="CB720" i="44" a="1"/>
  <c r="CB720" i="44" s="1"/>
  <c r="CC720" i="44" a="1"/>
  <c r="CC720" i="44"/>
  <c r="BI713" i="44" a="1"/>
  <c r="BI713" i="44" s="1"/>
  <c r="BJ713" i="44" a="1"/>
  <c r="BJ713" i="44" s="1"/>
  <c r="BK713" i="44" a="1"/>
  <c r="BK713" i="44" s="1"/>
  <c r="BL713" i="44" a="1"/>
  <c r="BL713" i="44" s="1"/>
  <c r="BM713" i="44" a="1"/>
  <c r="BM713" i="44" s="1"/>
  <c r="BN713" i="44" a="1"/>
  <c r="BN713" i="44" s="1"/>
  <c r="BO713" i="44" a="1"/>
  <c r="BO713" i="44"/>
  <c r="BP713" i="44" a="1"/>
  <c r="BP713" i="44" s="1"/>
  <c r="BQ713" i="44" a="1"/>
  <c r="BQ713" i="44" s="1"/>
  <c r="BR713" i="44" a="1"/>
  <c r="BR713" i="44" s="1"/>
  <c r="BS713" i="44" a="1"/>
  <c r="BS713" i="44" s="1"/>
  <c r="BT713" i="44" a="1"/>
  <c r="BT713" i="44" s="1"/>
  <c r="BU713" i="44" a="1"/>
  <c r="BU713" i="44" s="1"/>
  <c r="BV713" i="44" a="1"/>
  <c r="BV713" i="44" s="1"/>
  <c r="BW713" i="44" a="1"/>
  <c r="BW713" i="44" s="1"/>
  <c r="BX713" i="44" a="1"/>
  <c r="BX713" i="44" s="1"/>
  <c r="BY713" i="44" a="1"/>
  <c r="BY713" i="44" s="1"/>
  <c r="BZ713" i="44" a="1"/>
  <c r="BZ713" i="44" s="1"/>
  <c r="CA713" i="44" a="1"/>
  <c r="CA713" i="44" s="1"/>
  <c r="CB713" i="44" a="1"/>
  <c r="CB713" i="44" s="1"/>
  <c r="CC713" i="44" a="1"/>
  <c r="CC713" i="44" s="1"/>
  <c r="BF713" i="44" a="1"/>
  <c r="BF713" i="44" s="1"/>
  <c r="BG713" i="44" a="1"/>
  <c r="BG713" i="44" s="1"/>
  <c r="BH713" i="44" a="1"/>
  <c r="BH713" i="44" s="1"/>
  <c r="BF700" i="44" a="1"/>
  <c r="BF700" i="44" s="1"/>
  <c r="BG700" i="44" a="1"/>
  <c r="BG700" i="44" s="1"/>
  <c r="BH700" i="44" a="1"/>
  <c r="BH700" i="44" s="1"/>
  <c r="BI700" i="44" a="1"/>
  <c r="BI700" i="44"/>
  <c r="BJ700" i="44" a="1"/>
  <c r="BJ700" i="44" s="1"/>
  <c r="BK700" i="44" a="1"/>
  <c r="BK700" i="44" s="1"/>
  <c r="BL700" i="44" a="1"/>
  <c r="BL700" i="44" s="1"/>
  <c r="BM700" i="44" a="1"/>
  <c r="BM700" i="44"/>
  <c r="BN700" i="44" a="1"/>
  <c r="BN700" i="44" s="1"/>
  <c r="BO700" i="44" a="1"/>
  <c r="BO700" i="44" s="1"/>
  <c r="BP700" i="44" a="1"/>
  <c r="BP700" i="44" s="1"/>
  <c r="BQ700" i="44" a="1"/>
  <c r="BQ700" i="44"/>
  <c r="BR700" i="44" a="1"/>
  <c r="BR700" i="44" s="1"/>
  <c r="BS700" i="44" a="1"/>
  <c r="BS700" i="44" s="1"/>
  <c r="BT700" i="44" a="1"/>
  <c r="BT700" i="44" s="1"/>
  <c r="BU700" i="44" a="1"/>
  <c r="BU700" i="44"/>
  <c r="BV700" i="44" a="1"/>
  <c r="BV700" i="44" s="1"/>
  <c r="BW700" i="44" a="1"/>
  <c r="BW700" i="44" s="1"/>
  <c r="BX700" i="44" a="1"/>
  <c r="BX700" i="44" s="1"/>
  <c r="BY700" i="44" a="1"/>
  <c r="BY700" i="44"/>
  <c r="BZ700" i="44" a="1"/>
  <c r="BZ700" i="44" s="1"/>
  <c r="CA700" i="44" a="1"/>
  <c r="CA700" i="44" s="1"/>
  <c r="CB700" i="44" a="1"/>
  <c r="CB700" i="44" s="1"/>
  <c r="CC700" i="44" a="1"/>
  <c r="CC700" i="44"/>
  <c r="BF701" i="44" a="1"/>
  <c r="BF701" i="44" s="1"/>
  <c r="BG701" i="44" a="1"/>
  <c r="BG701" i="44" s="1"/>
  <c r="BH701" i="44" a="1"/>
  <c r="BH701" i="44" s="1"/>
  <c r="BI701" i="44" a="1"/>
  <c r="BI701" i="44"/>
  <c r="BJ701" i="44" a="1"/>
  <c r="BJ701" i="44" s="1"/>
  <c r="BK701" i="44" a="1"/>
  <c r="BK701" i="44" s="1"/>
  <c r="BL701" i="44" a="1"/>
  <c r="BL701" i="44" s="1"/>
  <c r="BM701" i="44" a="1"/>
  <c r="BM701" i="44"/>
  <c r="BN701" i="44" a="1"/>
  <c r="BN701" i="44" s="1"/>
  <c r="BO701" i="44" a="1"/>
  <c r="BO701" i="44" s="1"/>
  <c r="BP701" i="44" a="1"/>
  <c r="BP701" i="44" s="1"/>
  <c r="BQ701" i="44" a="1"/>
  <c r="BQ701" i="44"/>
  <c r="BR701" i="44" a="1"/>
  <c r="BR701" i="44" s="1"/>
  <c r="BS701" i="44" a="1"/>
  <c r="BS701" i="44" s="1"/>
  <c r="BT701" i="44" a="1"/>
  <c r="BT701" i="44" s="1"/>
  <c r="BU701" i="44" a="1"/>
  <c r="BU701" i="44"/>
  <c r="BV701" i="44" a="1"/>
  <c r="BV701" i="44" s="1"/>
  <c r="BW701" i="44" a="1"/>
  <c r="BW701" i="44" s="1"/>
  <c r="BX701" i="44" a="1"/>
  <c r="BX701" i="44" s="1"/>
  <c r="BY701" i="44" a="1"/>
  <c r="BY701" i="44"/>
  <c r="BZ701" i="44" a="1"/>
  <c r="BZ701" i="44" s="1"/>
  <c r="CA701" i="44" a="1"/>
  <c r="CA701" i="44" s="1"/>
  <c r="CB701" i="44" a="1"/>
  <c r="CB701" i="44" s="1"/>
  <c r="CC701" i="44" a="1"/>
  <c r="CC701" i="44"/>
  <c r="BF702" i="44" a="1"/>
  <c r="BF702" i="44" s="1"/>
  <c r="BG702" i="44" a="1"/>
  <c r="BG702" i="44" s="1"/>
  <c r="BH702" i="44" a="1"/>
  <c r="BH702" i="44" s="1"/>
  <c r="BI702" i="44" a="1"/>
  <c r="BI702" i="44"/>
  <c r="BJ702" i="44" a="1"/>
  <c r="BJ702" i="44" s="1"/>
  <c r="BK702" i="44" a="1"/>
  <c r="BK702" i="44" s="1"/>
  <c r="BL702" i="44" a="1"/>
  <c r="BL702" i="44" s="1"/>
  <c r="BM702" i="44" a="1"/>
  <c r="BM702" i="44"/>
  <c r="BN702" i="44" a="1"/>
  <c r="BN702" i="44" s="1"/>
  <c r="BO702" i="44" a="1"/>
  <c r="BO702" i="44" s="1"/>
  <c r="BP702" i="44" a="1"/>
  <c r="BP702" i="44" s="1"/>
  <c r="BQ702" i="44" a="1"/>
  <c r="BQ702" i="44"/>
  <c r="BR702" i="44" a="1"/>
  <c r="BR702" i="44" s="1"/>
  <c r="BS702" i="44" a="1"/>
  <c r="BS702" i="44" s="1"/>
  <c r="BT702" i="44" a="1"/>
  <c r="BT702" i="44" s="1"/>
  <c r="BU702" i="44" a="1"/>
  <c r="BU702" i="44"/>
  <c r="BV702" i="44" a="1"/>
  <c r="BV702" i="44" s="1"/>
  <c r="BW702" i="44" a="1"/>
  <c r="BW702" i="44" s="1"/>
  <c r="BX702" i="44" a="1"/>
  <c r="BX702" i="44" s="1"/>
  <c r="BY702" i="44" a="1"/>
  <c r="BY702" i="44"/>
  <c r="BZ702" i="44" a="1"/>
  <c r="BZ702" i="44" s="1"/>
  <c r="CA702" i="44" a="1"/>
  <c r="CA702" i="44" s="1"/>
  <c r="CB702" i="44" a="1"/>
  <c r="CB702" i="44" s="1"/>
  <c r="CC702" i="44" a="1"/>
  <c r="CC702" i="44"/>
  <c r="BF703" i="44" a="1"/>
  <c r="BF703" i="44" s="1"/>
  <c r="BG703" i="44" a="1"/>
  <c r="BG703" i="44" s="1"/>
  <c r="BH703" i="44" a="1"/>
  <c r="BH703" i="44" s="1"/>
  <c r="BI703" i="44" a="1"/>
  <c r="BI703" i="44"/>
  <c r="BJ703" i="44" a="1"/>
  <c r="BJ703" i="44" s="1"/>
  <c r="BK703" i="44" a="1"/>
  <c r="BK703" i="44" s="1"/>
  <c r="BL703" i="44" a="1"/>
  <c r="BL703" i="44" s="1"/>
  <c r="BM703" i="44" a="1"/>
  <c r="BM703" i="44"/>
  <c r="BN703" i="44" a="1"/>
  <c r="BN703" i="44" s="1"/>
  <c r="BO703" i="44" a="1"/>
  <c r="BO703" i="44" s="1"/>
  <c r="BP703" i="44" a="1"/>
  <c r="BP703" i="44" s="1"/>
  <c r="BQ703" i="44" a="1"/>
  <c r="BQ703" i="44"/>
  <c r="BR703" i="44" a="1"/>
  <c r="BR703" i="44" s="1"/>
  <c r="BS703" i="44" a="1"/>
  <c r="BS703" i="44" s="1"/>
  <c r="BT703" i="44" a="1"/>
  <c r="BT703" i="44" s="1"/>
  <c r="BU703" i="44" a="1"/>
  <c r="BU703" i="44"/>
  <c r="BV703" i="44" a="1"/>
  <c r="BV703" i="44" s="1"/>
  <c r="BW703" i="44" a="1"/>
  <c r="BW703" i="44" s="1"/>
  <c r="BX703" i="44" a="1"/>
  <c r="BX703" i="44" s="1"/>
  <c r="BY703" i="44" a="1"/>
  <c r="BY703" i="44"/>
  <c r="BZ703" i="44" a="1"/>
  <c r="BZ703" i="44" s="1"/>
  <c r="CA703" i="44" a="1"/>
  <c r="CA703" i="44" s="1"/>
  <c r="CB703" i="44" a="1"/>
  <c r="CB703" i="44" s="1"/>
  <c r="CC703" i="44" a="1"/>
  <c r="CC703" i="44"/>
  <c r="BF704" i="44" a="1"/>
  <c r="BF704" i="44" s="1"/>
  <c r="BG704" i="44" a="1"/>
  <c r="BG704" i="44" s="1"/>
  <c r="BH704" i="44" a="1"/>
  <c r="BH704" i="44" s="1"/>
  <c r="BI704" i="44" a="1"/>
  <c r="BI704" i="44"/>
  <c r="BJ704" i="44" a="1"/>
  <c r="BJ704" i="44" s="1"/>
  <c r="BK704" i="44" a="1"/>
  <c r="BK704" i="44" s="1"/>
  <c r="BL704" i="44" a="1"/>
  <c r="BL704" i="44" s="1"/>
  <c r="BM704" i="44" a="1"/>
  <c r="BM704" i="44"/>
  <c r="BN704" i="44" a="1"/>
  <c r="BN704" i="44" s="1"/>
  <c r="BO704" i="44" a="1"/>
  <c r="BO704" i="44" s="1"/>
  <c r="BP704" i="44" a="1"/>
  <c r="BP704" i="44" s="1"/>
  <c r="BQ704" i="44" a="1"/>
  <c r="BQ704" i="44"/>
  <c r="BR704" i="44" a="1"/>
  <c r="BR704" i="44" s="1"/>
  <c r="BS704" i="44" a="1"/>
  <c r="BS704" i="44" s="1"/>
  <c r="BT704" i="44" a="1"/>
  <c r="BT704" i="44" s="1"/>
  <c r="BU704" i="44" a="1"/>
  <c r="BU704" i="44"/>
  <c r="BV704" i="44" a="1"/>
  <c r="BV704" i="44" s="1"/>
  <c r="BW704" i="44" a="1"/>
  <c r="BW704" i="44" s="1"/>
  <c r="BX704" i="44" a="1"/>
  <c r="BX704" i="44" s="1"/>
  <c r="BY704" i="44" a="1"/>
  <c r="BY704" i="44"/>
  <c r="BZ704" i="44" a="1"/>
  <c r="BZ704" i="44" s="1"/>
  <c r="CA704" i="44" a="1"/>
  <c r="CA704" i="44" s="1"/>
  <c r="CB704" i="44" a="1"/>
  <c r="CB704" i="44" s="1"/>
  <c r="CC704" i="44" a="1"/>
  <c r="CC704" i="44" s="1"/>
  <c r="BF705" i="44" a="1"/>
  <c r="BF705" i="44" s="1"/>
  <c r="BG705" i="44" a="1"/>
  <c r="BG705" i="44" s="1"/>
  <c r="BH705" i="44" a="1"/>
  <c r="BH705" i="44" s="1"/>
  <c r="BI705" i="44" a="1"/>
  <c r="BI705" i="44"/>
  <c r="BJ705" i="44" a="1"/>
  <c r="BJ705" i="44" s="1"/>
  <c r="BK705" i="44" a="1"/>
  <c r="BK705" i="44" s="1"/>
  <c r="BL705" i="44" a="1"/>
  <c r="BL705" i="44" s="1"/>
  <c r="BM705" i="44" a="1"/>
  <c r="BM705" i="44"/>
  <c r="BN705" i="44" a="1"/>
  <c r="BN705" i="44" s="1"/>
  <c r="BO705" i="44" a="1"/>
  <c r="BO705" i="44" s="1"/>
  <c r="BP705" i="44" a="1"/>
  <c r="BP705" i="44" s="1"/>
  <c r="BQ705" i="44" a="1"/>
  <c r="BQ705" i="44"/>
  <c r="BR705" i="44" a="1"/>
  <c r="BR705" i="44" s="1"/>
  <c r="BS705" i="44" a="1"/>
  <c r="BS705" i="44" s="1"/>
  <c r="BT705" i="44" a="1"/>
  <c r="BT705" i="44" s="1"/>
  <c r="BU705" i="44" a="1"/>
  <c r="BU705" i="44"/>
  <c r="BV705" i="44" a="1"/>
  <c r="BV705" i="44" s="1"/>
  <c r="BW705" i="44" a="1"/>
  <c r="BW705" i="44" s="1"/>
  <c r="BX705" i="44" a="1"/>
  <c r="BX705" i="44" s="1"/>
  <c r="BY705" i="44" a="1"/>
  <c r="BY705" i="44"/>
  <c r="BZ705" i="44" a="1"/>
  <c r="BZ705" i="44" s="1"/>
  <c r="CA705" i="44" a="1"/>
  <c r="CA705" i="44" s="1"/>
  <c r="CB705" i="44" a="1"/>
  <c r="CB705" i="44" s="1"/>
  <c r="CC705" i="44" a="1"/>
  <c r="CC705" i="44"/>
  <c r="BF706" i="44" a="1"/>
  <c r="BF706" i="44" s="1"/>
  <c r="BG706" i="44" a="1"/>
  <c r="BG706" i="44" s="1"/>
  <c r="BH706" i="44" a="1"/>
  <c r="BH706" i="44" s="1"/>
  <c r="BI706" i="44" a="1"/>
  <c r="BI706" i="44"/>
  <c r="BJ706" i="44" a="1"/>
  <c r="BJ706" i="44" s="1"/>
  <c r="BK706" i="44" a="1"/>
  <c r="BK706" i="44" s="1"/>
  <c r="BL706" i="44" a="1"/>
  <c r="BL706" i="44" s="1"/>
  <c r="BM706" i="44" a="1"/>
  <c r="BM706" i="44"/>
  <c r="BN706" i="44" a="1"/>
  <c r="BN706" i="44" s="1"/>
  <c r="BO706" i="44" a="1"/>
  <c r="BO706" i="44" s="1"/>
  <c r="BP706" i="44" a="1"/>
  <c r="BP706" i="44" s="1"/>
  <c r="BQ706" i="44" a="1"/>
  <c r="BQ706" i="44"/>
  <c r="BR706" i="44" a="1"/>
  <c r="BR706" i="44" s="1"/>
  <c r="BS706" i="44" a="1"/>
  <c r="BS706" i="44" s="1"/>
  <c r="BT706" i="44" a="1"/>
  <c r="BT706" i="44" s="1"/>
  <c r="BU706" i="44" a="1"/>
  <c r="BU706" i="44"/>
  <c r="BV706" i="44" a="1"/>
  <c r="BV706" i="44" s="1"/>
  <c r="BW706" i="44" a="1"/>
  <c r="BW706" i="44" s="1"/>
  <c r="BX706" i="44" a="1"/>
  <c r="BX706" i="44" s="1"/>
  <c r="BY706" i="44" a="1"/>
  <c r="BY706" i="44"/>
  <c r="BZ706" i="44" a="1"/>
  <c r="BZ706" i="44" s="1"/>
  <c r="CA706" i="44" a="1"/>
  <c r="CA706" i="44" s="1"/>
  <c r="CB706" i="44" a="1"/>
  <c r="CB706" i="44" s="1"/>
  <c r="CC706" i="44" a="1"/>
  <c r="CC706" i="44"/>
  <c r="BI699" i="44" a="1"/>
  <c r="BI699" i="44" s="1"/>
  <c r="BJ699" i="44" a="1"/>
  <c r="BJ699" i="44" s="1"/>
  <c r="BK699" i="44" a="1"/>
  <c r="BK699" i="44" s="1"/>
  <c r="BL699" i="44" a="1"/>
  <c r="BL699" i="44" s="1"/>
  <c r="BM699" i="44" a="1"/>
  <c r="BM699" i="44" s="1"/>
  <c r="BN699" i="44" a="1"/>
  <c r="BN699" i="44" s="1"/>
  <c r="BO699" i="44" a="1"/>
  <c r="BO699" i="44" s="1"/>
  <c r="BP699" i="44" a="1"/>
  <c r="BP699" i="44" s="1"/>
  <c r="BQ699" i="44" a="1"/>
  <c r="BQ699" i="44" s="1"/>
  <c r="BR699" i="44" a="1"/>
  <c r="BR699" i="44" s="1"/>
  <c r="BS699" i="44" a="1"/>
  <c r="BS699" i="44" s="1"/>
  <c r="BT699" i="44" a="1"/>
  <c r="BT699" i="44" s="1"/>
  <c r="BU699" i="44" a="1"/>
  <c r="BU699" i="44" s="1"/>
  <c r="BV699" i="44" a="1"/>
  <c r="BV699" i="44" s="1"/>
  <c r="BW699" i="44" a="1"/>
  <c r="BW699" i="44" s="1"/>
  <c r="BX699" i="44" a="1"/>
  <c r="BX699" i="44" s="1"/>
  <c r="BY699" i="44" a="1"/>
  <c r="BY699" i="44" s="1"/>
  <c r="BZ699" i="44" a="1"/>
  <c r="BZ699" i="44" s="1"/>
  <c r="CA699" i="44" a="1"/>
  <c r="CA699" i="44" s="1"/>
  <c r="CB699" i="44" a="1"/>
  <c r="CB699" i="44" s="1"/>
  <c r="CC699" i="44" a="1"/>
  <c r="CC699" i="44" s="1"/>
  <c r="BD686" i="44" a="1"/>
  <c r="BD686" i="44" s="1"/>
  <c r="BE686" i="44" a="1"/>
  <c r="BE686" i="44"/>
  <c r="BF686" i="44" a="1"/>
  <c r="BF686" i="44" s="1"/>
  <c r="BG686" i="44" a="1"/>
  <c r="BG686" i="44"/>
  <c r="BH686" i="44" a="1"/>
  <c r="BH686" i="44" s="1"/>
  <c r="BI686" i="44" a="1"/>
  <c r="BI686" i="44"/>
  <c r="BJ686" i="44" a="1"/>
  <c r="BJ686" i="44" s="1"/>
  <c r="BK686" i="44" a="1"/>
  <c r="BK686" i="44"/>
  <c r="BL686" i="44" a="1"/>
  <c r="BL686" i="44" s="1"/>
  <c r="BM686" i="44" a="1"/>
  <c r="BM686" i="44" s="1"/>
  <c r="BN686" i="44" a="1"/>
  <c r="BN686" i="44" s="1"/>
  <c r="BO686" i="44" a="1"/>
  <c r="BO686" i="44"/>
  <c r="BP686" i="44" a="1"/>
  <c r="BP686" i="44" s="1"/>
  <c r="BQ686" i="44" a="1"/>
  <c r="BQ686" i="44" s="1"/>
  <c r="BR686" i="44" a="1"/>
  <c r="BR686" i="44" s="1"/>
  <c r="BD687" i="44" a="1"/>
  <c r="BD687" i="44"/>
  <c r="BE687" i="44" a="1"/>
  <c r="BE687" i="44" s="1"/>
  <c r="BF687" i="44" a="1"/>
  <c r="BF687" i="44" s="1"/>
  <c r="BG687" i="44" a="1"/>
  <c r="BG687" i="44" s="1"/>
  <c r="BH687" i="44" a="1"/>
  <c r="BH687" i="44"/>
  <c r="BI687" i="44" a="1"/>
  <c r="BI687" i="44" s="1"/>
  <c r="BJ687" i="44" a="1"/>
  <c r="BJ687" i="44" s="1"/>
  <c r="BK687" i="44" a="1"/>
  <c r="BK687" i="44" s="1"/>
  <c r="BL687" i="44" a="1"/>
  <c r="BL687" i="44"/>
  <c r="BM687" i="44" a="1"/>
  <c r="BM687" i="44" s="1"/>
  <c r="BN687" i="44" a="1"/>
  <c r="BN687" i="44" s="1"/>
  <c r="BO687" i="44" a="1"/>
  <c r="BO687" i="44" s="1"/>
  <c r="BP687" i="44" a="1"/>
  <c r="BP687" i="44"/>
  <c r="BQ687" i="44" a="1"/>
  <c r="BQ687" i="44" s="1"/>
  <c r="BR687" i="44" a="1"/>
  <c r="BR687" i="44" s="1"/>
  <c r="BD688" i="44" a="1"/>
  <c r="BD688" i="44" s="1"/>
  <c r="BE688" i="44" a="1"/>
  <c r="BE688" i="44"/>
  <c r="BF688" i="44" a="1"/>
  <c r="BF688" i="44" s="1"/>
  <c r="BG688" i="44" a="1"/>
  <c r="BG688" i="44" s="1"/>
  <c r="BH688" i="44" a="1"/>
  <c r="BH688" i="44" s="1"/>
  <c r="BI688" i="44" a="1"/>
  <c r="BI688" i="44"/>
  <c r="BJ688" i="44" a="1"/>
  <c r="BJ688" i="44" s="1"/>
  <c r="BK688" i="44" a="1"/>
  <c r="BK688" i="44" s="1"/>
  <c r="BL688" i="44" a="1"/>
  <c r="BL688" i="44" s="1"/>
  <c r="BM688" i="44" a="1"/>
  <c r="BM688" i="44"/>
  <c r="BN688" i="44" a="1"/>
  <c r="BN688" i="44" s="1"/>
  <c r="BO688" i="44" a="1"/>
  <c r="BO688" i="44" s="1"/>
  <c r="BP688" i="44" a="1"/>
  <c r="BP688" i="44" s="1"/>
  <c r="BQ688" i="44" a="1"/>
  <c r="BQ688" i="44"/>
  <c r="BR688" i="44" a="1"/>
  <c r="BR688" i="44" s="1"/>
  <c r="BD689" i="44" a="1"/>
  <c r="BD689" i="44" s="1"/>
  <c r="BE689" i="44" a="1"/>
  <c r="BE689" i="44" s="1"/>
  <c r="BF689" i="44" a="1"/>
  <c r="BF689" i="44"/>
  <c r="BG689" i="44" a="1"/>
  <c r="BG689" i="44" s="1"/>
  <c r="BH689" i="44" a="1"/>
  <c r="BH689" i="44" s="1"/>
  <c r="BI689" i="44" a="1"/>
  <c r="BI689" i="44" s="1"/>
  <c r="BJ689" i="44" a="1"/>
  <c r="BJ689" i="44"/>
  <c r="BK689" i="44" a="1"/>
  <c r="BK689" i="44" s="1"/>
  <c r="BL689" i="44" a="1"/>
  <c r="BL689" i="44" s="1"/>
  <c r="BM689" i="44" a="1"/>
  <c r="BM689" i="44" s="1"/>
  <c r="BN689" i="44" a="1"/>
  <c r="BN689" i="44"/>
  <c r="BO689" i="44" a="1"/>
  <c r="BO689" i="44" s="1"/>
  <c r="BP689" i="44" a="1"/>
  <c r="BP689" i="44" s="1"/>
  <c r="BQ689" i="44" a="1"/>
  <c r="BQ689" i="44" s="1"/>
  <c r="BR689" i="44" a="1"/>
  <c r="BR689" i="44"/>
  <c r="BD690" i="44" a="1"/>
  <c r="BD690" i="44" s="1"/>
  <c r="BE690" i="44" a="1"/>
  <c r="BE690" i="44" s="1"/>
  <c r="BF690" i="44" a="1"/>
  <c r="BF690" i="44" s="1"/>
  <c r="BG690" i="44" a="1"/>
  <c r="BG690" i="44"/>
  <c r="BH690" i="44" a="1"/>
  <c r="BH690" i="44" s="1"/>
  <c r="BI690" i="44" a="1"/>
  <c r="BI690" i="44" s="1"/>
  <c r="BJ690" i="44" a="1"/>
  <c r="BJ690" i="44" s="1"/>
  <c r="BK690" i="44" a="1"/>
  <c r="BK690" i="44"/>
  <c r="BL690" i="44" a="1"/>
  <c r="BL690" i="44" s="1"/>
  <c r="BM690" i="44" a="1"/>
  <c r="BM690" i="44" s="1"/>
  <c r="BN690" i="44" a="1"/>
  <c r="BN690" i="44" s="1"/>
  <c r="BO690" i="44" a="1"/>
  <c r="BO690" i="44"/>
  <c r="BP690" i="44" a="1"/>
  <c r="BP690" i="44" s="1"/>
  <c r="BQ690" i="44" a="1"/>
  <c r="BQ690" i="44" s="1"/>
  <c r="BR690" i="44" a="1"/>
  <c r="BR690" i="44" s="1"/>
  <c r="BD691" i="44" a="1"/>
  <c r="BD691" i="44"/>
  <c r="BE691" i="44" a="1"/>
  <c r="BE691" i="44" s="1"/>
  <c r="BF691" i="44" a="1"/>
  <c r="BF691" i="44" s="1"/>
  <c r="BG691" i="44" a="1"/>
  <c r="BG691" i="44" s="1"/>
  <c r="BH691" i="44" a="1"/>
  <c r="BH691" i="44"/>
  <c r="BI691" i="44" a="1"/>
  <c r="BI691" i="44" s="1"/>
  <c r="BJ691" i="44" a="1"/>
  <c r="BJ691" i="44" s="1"/>
  <c r="BK691" i="44" a="1"/>
  <c r="BK691" i="44" s="1"/>
  <c r="BL691" i="44" a="1"/>
  <c r="BL691" i="44"/>
  <c r="BM691" i="44" a="1"/>
  <c r="BM691" i="44" s="1"/>
  <c r="BN691" i="44" a="1"/>
  <c r="BN691" i="44" s="1"/>
  <c r="BO691" i="44" a="1"/>
  <c r="BO691" i="44" s="1"/>
  <c r="BP691" i="44" a="1"/>
  <c r="BP691" i="44"/>
  <c r="BQ691" i="44" a="1"/>
  <c r="BQ691" i="44" s="1"/>
  <c r="BR691" i="44" a="1"/>
  <c r="BR691" i="44" s="1"/>
  <c r="BD692" i="44" a="1"/>
  <c r="BD692" i="44" s="1"/>
  <c r="BE692" i="44" a="1"/>
  <c r="BE692" i="44"/>
  <c r="BF692" i="44" a="1"/>
  <c r="BF692" i="44" s="1"/>
  <c r="BG692" i="44" a="1"/>
  <c r="BG692" i="44" s="1"/>
  <c r="BH692" i="44" a="1"/>
  <c r="BH692" i="44" s="1"/>
  <c r="BI692" i="44" a="1"/>
  <c r="BI692" i="44"/>
  <c r="BJ692" i="44" a="1"/>
  <c r="BJ692" i="44" s="1"/>
  <c r="BK692" i="44" a="1"/>
  <c r="BK692" i="44" s="1"/>
  <c r="BL692" i="44" a="1"/>
  <c r="BL692" i="44" s="1"/>
  <c r="BM692" i="44" a="1"/>
  <c r="BM692" i="44"/>
  <c r="BN692" i="44" a="1"/>
  <c r="BN692" i="44" s="1"/>
  <c r="BO692" i="44" a="1"/>
  <c r="BO692" i="44" s="1"/>
  <c r="BP692" i="44" a="1"/>
  <c r="BP692" i="44" s="1"/>
  <c r="BQ692" i="44" a="1"/>
  <c r="BQ692" i="44"/>
  <c r="BR692" i="44" a="1"/>
  <c r="BR692" i="44" s="1"/>
  <c r="BG685" i="44" a="1"/>
  <c r="BG685" i="44" s="1"/>
  <c r="BH685" i="44" a="1"/>
  <c r="BH685" i="44" s="1"/>
  <c r="BI685" i="44" a="1"/>
  <c r="BI685" i="44" s="1"/>
  <c r="BJ685" i="44" a="1"/>
  <c r="BJ685" i="44" s="1"/>
  <c r="BK685" i="44" a="1"/>
  <c r="BK685" i="44" s="1"/>
  <c r="BL685" i="44" a="1"/>
  <c r="BL685" i="44" s="1"/>
  <c r="BM685" i="44" a="1"/>
  <c r="BM685" i="44" s="1"/>
  <c r="BN685" i="44" a="1"/>
  <c r="BN685" i="44" s="1"/>
  <c r="BO685" i="44" a="1"/>
  <c r="BO685" i="44" s="1"/>
  <c r="BP685" i="44" a="1"/>
  <c r="BP685" i="44" s="1"/>
  <c r="BQ685" i="44" a="1"/>
  <c r="BQ685" i="44" s="1"/>
  <c r="BR685" i="44" a="1"/>
  <c r="BR685" i="44" s="1"/>
  <c r="BA686" i="44" a="1"/>
  <c r="BA686" i="44" s="1"/>
  <c r="BB686" i="44" a="1"/>
  <c r="BB686" i="44" s="1"/>
  <c r="BC686" i="44" a="1"/>
  <c r="BC686" i="44" s="1"/>
  <c r="BA687" i="44" a="1"/>
  <c r="BA687" i="44" s="1"/>
  <c r="BB687" i="44" a="1"/>
  <c r="BB687" i="44" s="1"/>
  <c r="BC687" i="44" a="1"/>
  <c r="BC687" i="44" s="1"/>
  <c r="BA688" i="44" a="1"/>
  <c r="BA688" i="44" s="1"/>
  <c r="BB688" i="44" a="1"/>
  <c r="BB688" i="44" s="1"/>
  <c r="BC688" i="44" a="1"/>
  <c r="BC688" i="44" s="1"/>
  <c r="BA689" i="44" a="1"/>
  <c r="BA689" i="44" s="1"/>
  <c r="BB689" i="44" a="1"/>
  <c r="BB689" i="44" s="1"/>
  <c r="BC689" i="44" a="1"/>
  <c r="BC689" i="44" s="1"/>
  <c r="BA690" i="44" a="1"/>
  <c r="BA690" i="44" s="1"/>
  <c r="BB690" i="44" a="1"/>
  <c r="BB690" i="44" s="1"/>
  <c r="BC690" i="44" a="1"/>
  <c r="BC690" i="44" s="1"/>
  <c r="BA691" i="44" a="1"/>
  <c r="BA691" i="44" s="1"/>
  <c r="BB691" i="44" a="1"/>
  <c r="BB691" i="44" s="1"/>
  <c r="BC691" i="44" a="1"/>
  <c r="BC691" i="44" s="1"/>
  <c r="BA692" i="44" a="1"/>
  <c r="BA692" i="44" s="1"/>
  <c r="BB692" i="44" a="1"/>
  <c r="BB692" i="44" s="1"/>
  <c r="BC692" i="44" a="1"/>
  <c r="BC692" i="44" s="1"/>
  <c r="AG692" i="44"/>
  <c r="AG686" i="44"/>
  <c r="AG687" i="44"/>
  <c r="AG688" i="44"/>
  <c r="AG689" i="44"/>
  <c r="AG690" i="44"/>
  <c r="AG691" i="44"/>
  <c r="AG685" i="44"/>
  <c r="B674" i="44"/>
  <c r="B673" i="44"/>
  <c r="B672" i="44"/>
  <c r="B670" i="44"/>
  <c r="B666" i="44"/>
  <c r="BN664" i="44"/>
  <c r="BN663" i="44"/>
  <c r="AZ656" i="44" a="1"/>
  <c r="AZ656" i="44" s="1"/>
  <c r="BA656" i="44" a="1"/>
  <c r="BA656" i="44" s="1"/>
  <c r="BB656" i="44" a="1"/>
  <c r="BB656" i="44" s="1"/>
  <c r="BC656" i="44" a="1"/>
  <c r="BC656" i="44"/>
  <c r="BD656" i="44" a="1"/>
  <c r="BD656" i="44" s="1"/>
  <c r="BE656" i="44" a="1"/>
  <c r="BE656" i="44" s="1"/>
  <c r="BF656" i="44" a="1"/>
  <c r="BF656" i="44" s="1"/>
  <c r="BG656" i="44" a="1"/>
  <c r="BG656" i="44"/>
  <c r="BH656" i="44" a="1"/>
  <c r="BH656" i="44" s="1"/>
  <c r="BI656" i="44" a="1"/>
  <c r="BI656" i="44" s="1"/>
  <c r="BJ656" i="44" a="1"/>
  <c r="BJ656" i="44" s="1"/>
  <c r="BK656" i="44" a="1"/>
  <c r="BK656" i="44"/>
  <c r="BL656" i="44" a="1"/>
  <c r="BL656" i="44" s="1"/>
  <c r="BM656" i="44" a="1"/>
  <c r="BM656" i="44" s="1"/>
  <c r="BN656" i="44" a="1"/>
  <c r="BN656" i="44" s="1"/>
  <c r="AZ657" i="44" a="1"/>
  <c r="AZ657" i="44"/>
  <c r="BA657" i="44" a="1"/>
  <c r="BA657" i="44" s="1"/>
  <c r="BB657" i="44" a="1"/>
  <c r="BB657" i="44" s="1"/>
  <c r="BC657" i="44" a="1"/>
  <c r="BC657" i="44" s="1"/>
  <c r="BD657" i="44" a="1"/>
  <c r="BD657" i="44"/>
  <c r="BE657" i="44" a="1"/>
  <c r="BE657" i="44" s="1"/>
  <c r="BF657" i="44" a="1"/>
  <c r="BF657" i="44" s="1"/>
  <c r="BG657" i="44" a="1"/>
  <c r="BG657" i="44" s="1"/>
  <c r="BH657" i="44" a="1"/>
  <c r="BH657" i="44"/>
  <c r="BI657" i="44" a="1"/>
  <c r="BI657" i="44" s="1"/>
  <c r="BJ657" i="44" a="1"/>
  <c r="BJ657" i="44" s="1"/>
  <c r="BK657" i="44" a="1"/>
  <c r="BK657" i="44" s="1"/>
  <c r="BL657" i="44" a="1"/>
  <c r="BL657" i="44"/>
  <c r="BM657" i="44" a="1"/>
  <c r="BM657" i="44" s="1"/>
  <c r="BN657" i="44" a="1"/>
  <c r="BN657" i="44" s="1"/>
  <c r="AZ658" i="44" a="1"/>
  <c r="AZ658" i="44" s="1"/>
  <c r="BA658" i="44" a="1"/>
  <c r="BA658" i="44"/>
  <c r="BB658" i="44" a="1"/>
  <c r="BB658" i="44" s="1"/>
  <c r="BC658" i="44" a="1"/>
  <c r="BC658" i="44" s="1"/>
  <c r="BD658" i="44" a="1"/>
  <c r="BD658" i="44" s="1"/>
  <c r="BE658" i="44" a="1"/>
  <c r="BE658" i="44"/>
  <c r="BF658" i="44" a="1"/>
  <c r="BF658" i="44" s="1"/>
  <c r="BG658" i="44" a="1"/>
  <c r="BG658" i="44" s="1"/>
  <c r="BH658" i="44" a="1"/>
  <c r="BH658" i="44" s="1"/>
  <c r="BI658" i="44" a="1"/>
  <c r="BI658" i="44"/>
  <c r="BJ658" i="44" a="1"/>
  <c r="BJ658" i="44" s="1"/>
  <c r="BK658" i="44" a="1"/>
  <c r="BK658" i="44" s="1"/>
  <c r="BL658" i="44" a="1"/>
  <c r="BL658" i="44" s="1"/>
  <c r="BM658" i="44" a="1"/>
  <c r="BM658" i="44"/>
  <c r="BN658" i="44" a="1"/>
  <c r="BN658" i="44" s="1"/>
  <c r="AZ659" i="44" a="1"/>
  <c r="AZ659" i="44" s="1"/>
  <c r="BA659" i="44" a="1"/>
  <c r="BA659" i="44" s="1"/>
  <c r="BB659" i="44" a="1"/>
  <c r="BB659" i="44"/>
  <c r="BC659" i="44" a="1"/>
  <c r="BC659" i="44" s="1"/>
  <c r="BD659" i="44" a="1"/>
  <c r="BD659" i="44" s="1"/>
  <c r="BE659" i="44" a="1"/>
  <c r="BE659" i="44" s="1"/>
  <c r="BF659" i="44" a="1"/>
  <c r="BF659" i="44"/>
  <c r="BG659" i="44" a="1"/>
  <c r="BG659" i="44" s="1"/>
  <c r="BH659" i="44" a="1"/>
  <c r="BH659" i="44" s="1"/>
  <c r="BI659" i="44" a="1"/>
  <c r="BI659" i="44" s="1"/>
  <c r="BJ659" i="44" a="1"/>
  <c r="BJ659" i="44"/>
  <c r="BK659" i="44" a="1"/>
  <c r="BK659" i="44" s="1"/>
  <c r="BL659" i="44" a="1"/>
  <c r="BL659" i="44" s="1"/>
  <c r="BM659" i="44" a="1"/>
  <c r="BM659" i="44" s="1"/>
  <c r="BN659" i="44" a="1"/>
  <c r="BN659" i="44"/>
  <c r="AZ660" i="44" a="1"/>
  <c r="AZ660" i="44" s="1"/>
  <c r="BA660" i="44" a="1"/>
  <c r="BA660" i="44" s="1"/>
  <c r="BB660" i="44" a="1"/>
  <c r="BB660" i="44" s="1"/>
  <c r="BC660" i="44" a="1"/>
  <c r="BC660" i="44"/>
  <c r="BD660" i="44" a="1"/>
  <c r="BD660" i="44" s="1"/>
  <c r="BE660" i="44" a="1"/>
  <c r="BE660" i="44" s="1"/>
  <c r="BF660" i="44" a="1"/>
  <c r="BF660" i="44" s="1"/>
  <c r="BG660" i="44" a="1"/>
  <c r="BG660" i="44"/>
  <c r="BH660" i="44" a="1"/>
  <c r="BH660" i="44" s="1"/>
  <c r="BI660" i="44" a="1"/>
  <c r="BI660" i="44" s="1"/>
  <c r="BJ660" i="44" a="1"/>
  <c r="BJ660" i="44" s="1"/>
  <c r="BK660" i="44" a="1"/>
  <c r="BK660" i="44"/>
  <c r="BL660" i="44" a="1"/>
  <c r="BL660" i="44" s="1"/>
  <c r="BM660" i="44" a="1"/>
  <c r="BM660" i="44" s="1"/>
  <c r="BN660" i="44" a="1"/>
  <c r="BN660" i="44" s="1"/>
  <c r="AZ661" i="44" a="1"/>
  <c r="AZ661" i="44"/>
  <c r="BA661" i="44" a="1"/>
  <c r="BA661" i="44" s="1"/>
  <c r="BB661" i="44" a="1"/>
  <c r="BB661" i="44" s="1"/>
  <c r="BC661" i="44" a="1"/>
  <c r="BC661" i="44" s="1"/>
  <c r="BD661" i="44" a="1"/>
  <c r="BD661" i="44"/>
  <c r="BE661" i="44" a="1"/>
  <c r="BE661" i="44" s="1"/>
  <c r="BF661" i="44" a="1"/>
  <c r="BF661" i="44" s="1"/>
  <c r="BG661" i="44" a="1"/>
  <c r="BG661" i="44" s="1"/>
  <c r="BH661" i="44" a="1"/>
  <c r="BH661" i="44"/>
  <c r="BI661" i="44" a="1"/>
  <c r="BI661" i="44" s="1"/>
  <c r="BJ661" i="44" a="1"/>
  <c r="BJ661" i="44" s="1"/>
  <c r="BK661" i="44" a="1"/>
  <c r="BK661" i="44" s="1"/>
  <c r="BL661" i="44" a="1"/>
  <c r="BL661" i="44"/>
  <c r="BM661" i="44" a="1"/>
  <c r="BM661" i="44" s="1"/>
  <c r="BN661" i="44" a="1"/>
  <c r="BN661" i="44" s="1"/>
  <c r="AZ662" i="44" a="1"/>
  <c r="AZ662" i="44" s="1"/>
  <c r="BA662" i="44" a="1"/>
  <c r="BA662" i="44"/>
  <c r="BB662" i="44" a="1"/>
  <c r="BB662" i="44" s="1"/>
  <c r="BC662" i="44" a="1"/>
  <c r="BC662" i="44" s="1"/>
  <c r="BD662" i="44" a="1"/>
  <c r="BD662" i="44" s="1"/>
  <c r="BE662" i="44" a="1"/>
  <c r="BE662" i="44"/>
  <c r="BF662" i="44" a="1"/>
  <c r="BF662" i="44" s="1"/>
  <c r="BG662" i="44" a="1"/>
  <c r="BG662" i="44" s="1"/>
  <c r="BH662" i="44" a="1"/>
  <c r="BH662" i="44" s="1"/>
  <c r="BI662" i="44" a="1"/>
  <c r="BI662" i="44"/>
  <c r="BJ662" i="44" a="1"/>
  <c r="BJ662" i="44" s="1"/>
  <c r="BK662" i="44" a="1"/>
  <c r="BK662" i="44" s="1"/>
  <c r="BL662" i="44" a="1"/>
  <c r="BL662" i="44" s="1"/>
  <c r="BM662" i="44" a="1"/>
  <c r="BM662" i="44"/>
  <c r="BN662" i="44" a="1"/>
  <c r="BN662" i="44" s="1"/>
  <c r="BC655" i="44" a="1"/>
  <c r="BC655" i="44" s="1"/>
  <c r="BD655" i="44" a="1"/>
  <c r="BD655" i="44" s="1"/>
  <c r="BE655" i="44" a="1"/>
  <c r="BE655" i="44"/>
  <c r="BF655" i="44" a="1"/>
  <c r="BF655" i="44"/>
  <c r="BG655" i="44" a="1"/>
  <c r="BG655" i="44" s="1"/>
  <c r="BH655" i="44" a="1"/>
  <c r="BH655" i="44" s="1"/>
  <c r="BI655" i="44" a="1"/>
  <c r="BI655" i="44"/>
  <c r="BJ655" i="44" a="1"/>
  <c r="BJ655" i="44"/>
  <c r="BK655" i="44" a="1"/>
  <c r="BK655" i="44" s="1"/>
  <c r="BL655" i="44" a="1"/>
  <c r="BL655" i="44" s="1"/>
  <c r="BM655" i="44" a="1"/>
  <c r="BM655" i="44"/>
  <c r="BN655" i="44" a="1"/>
  <c r="BN655" i="44" s="1"/>
  <c r="BK649" i="44"/>
  <c r="AZ642" i="44" a="1"/>
  <c r="AZ642" i="44" s="1"/>
  <c r="BA642" i="44" a="1"/>
  <c r="BA642" i="44" s="1"/>
  <c r="BB642" i="44" a="1"/>
  <c r="BB642" i="44"/>
  <c r="BC642" i="44" a="1"/>
  <c r="BC642" i="44" s="1"/>
  <c r="BD642" i="44" a="1"/>
  <c r="BD642" i="44" s="1"/>
  <c r="BE642" i="44" a="1"/>
  <c r="BE642" i="44" s="1"/>
  <c r="BF642" i="44" a="1"/>
  <c r="BF642" i="44"/>
  <c r="BG642" i="44" a="1"/>
  <c r="BG642" i="44" s="1"/>
  <c r="BH642" i="44" a="1"/>
  <c r="BH642" i="44" s="1"/>
  <c r="BI642" i="44" a="1"/>
  <c r="BI642" i="44" s="1"/>
  <c r="BJ642" i="44" a="1"/>
  <c r="BJ642" i="44"/>
  <c r="BK642" i="44" a="1"/>
  <c r="BK642" i="44" s="1"/>
  <c r="AZ643" i="44" a="1"/>
  <c r="AZ643" i="44" s="1"/>
  <c r="BA643" i="44" a="1"/>
  <c r="BA643" i="44" s="1"/>
  <c r="BB643" i="44" a="1"/>
  <c r="BB643" i="44"/>
  <c r="BC643" i="44" a="1"/>
  <c r="BC643" i="44" s="1"/>
  <c r="BD643" i="44" a="1"/>
  <c r="BD643" i="44" s="1"/>
  <c r="BE643" i="44" a="1"/>
  <c r="BE643" i="44" s="1"/>
  <c r="BF643" i="44" a="1"/>
  <c r="BF643" i="44"/>
  <c r="BG643" i="44" a="1"/>
  <c r="BG643" i="44" s="1"/>
  <c r="BH643" i="44" a="1"/>
  <c r="BH643" i="44" s="1"/>
  <c r="BI643" i="44" a="1"/>
  <c r="BI643" i="44" s="1"/>
  <c r="BJ643" i="44" a="1"/>
  <c r="BJ643" i="44"/>
  <c r="BK643" i="44" a="1"/>
  <c r="BK643" i="44" s="1"/>
  <c r="AZ644" i="44" a="1"/>
  <c r="AZ644" i="44" s="1"/>
  <c r="BA644" i="44" a="1"/>
  <c r="BA644" i="44" s="1"/>
  <c r="BB644" i="44" a="1"/>
  <c r="BB644" i="44"/>
  <c r="BC644" i="44" a="1"/>
  <c r="BC644" i="44" s="1"/>
  <c r="BD644" i="44" a="1"/>
  <c r="BD644" i="44" s="1"/>
  <c r="BE644" i="44" a="1"/>
  <c r="BE644" i="44" s="1"/>
  <c r="BF644" i="44" a="1"/>
  <c r="BF644" i="44"/>
  <c r="BG644" i="44" a="1"/>
  <c r="BG644" i="44" s="1"/>
  <c r="BH644" i="44" a="1"/>
  <c r="BH644" i="44" s="1"/>
  <c r="BI644" i="44" a="1"/>
  <c r="BI644" i="44" s="1"/>
  <c r="BJ644" i="44" a="1"/>
  <c r="BJ644" i="44"/>
  <c r="BK644" i="44" a="1"/>
  <c r="BK644" i="44" s="1"/>
  <c r="AZ645" i="44" a="1"/>
  <c r="AZ645" i="44" s="1"/>
  <c r="BA645" i="44" a="1"/>
  <c r="BA645" i="44" s="1"/>
  <c r="BB645" i="44" a="1"/>
  <c r="BB645" i="44"/>
  <c r="BC645" i="44" a="1"/>
  <c r="BC645" i="44" s="1"/>
  <c r="BD645" i="44" a="1"/>
  <c r="BD645" i="44" s="1"/>
  <c r="BE645" i="44" a="1"/>
  <c r="BE645" i="44" s="1"/>
  <c r="BF645" i="44" a="1"/>
  <c r="BF645" i="44"/>
  <c r="BG645" i="44" a="1"/>
  <c r="BG645" i="44" s="1"/>
  <c r="BH645" i="44" a="1"/>
  <c r="BH645" i="44" s="1"/>
  <c r="BI645" i="44" a="1"/>
  <c r="BI645" i="44" s="1"/>
  <c r="BJ645" i="44" a="1"/>
  <c r="BJ645" i="44"/>
  <c r="BK645" i="44" a="1"/>
  <c r="BK645" i="44" s="1"/>
  <c r="AZ646" i="44" a="1"/>
  <c r="AZ646" i="44" s="1"/>
  <c r="BA646" i="44" a="1"/>
  <c r="BA646" i="44" s="1"/>
  <c r="BB646" i="44" a="1"/>
  <c r="BB646" i="44"/>
  <c r="BC646" i="44" a="1"/>
  <c r="BC646" i="44" s="1"/>
  <c r="BD646" i="44" a="1"/>
  <c r="BD646" i="44" s="1"/>
  <c r="BE646" i="44" a="1"/>
  <c r="BE646" i="44" s="1"/>
  <c r="BF646" i="44" a="1"/>
  <c r="BF646" i="44"/>
  <c r="BG646" i="44" a="1"/>
  <c r="BG646" i="44" s="1"/>
  <c r="BH646" i="44" a="1"/>
  <c r="BH646" i="44" s="1"/>
  <c r="BI646" i="44" a="1"/>
  <c r="BI646" i="44" s="1"/>
  <c r="BJ646" i="44" a="1"/>
  <c r="BJ646" i="44"/>
  <c r="BK646" i="44" a="1"/>
  <c r="BK646" i="44" s="1"/>
  <c r="AZ647" i="44" a="1"/>
  <c r="AZ647" i="44" s="1"/>
  <c r="BA647" i="44" a="1"/>
  <c r="BA647" i="44" s="1"/>
  <c r="BB647" i="44" a="1"/>
  <c r="BB647" i="44"/>
  <c r="BC647" i="44" a="1"/>
  <c r="BC647" i="44" s="1"/>
  <c r="BD647" i="44" a="1"/>
  <c r="BD647" i="44" s="1"/>
  <c r="BE647" i="44" a="1"/>
  <c r="BE647" i="44" s="1"/>
  <c r="BF647" i="44" a="1"/>
  <c r="BF647" i="44"/>
  <c r="BG647" i="44" a="1"/>
  <c r="BG647" i="44" s="1"/>
  <c r="BH647" i="44" a="1"/>
  <c r="BH647" i="44" s="1"/>
  <c r="BI647" i="44" a="1"/>
  <c r="BI647" i="44" s="1"/>
  <c r="BJ647" i="44" a="1"/>
  <c r="BJ647" i="44"/>
  <c r="BK647" i="44" a="1"/>
  <c r="BK647" i="44" s="1"/>
  <c r="AZ648" i="44" a="1"/>
  <c r="AZ648" i="44" s="1"/>
  <c r="BA648" i="44" a="1"/>
  <c r="BA648" i="44" s="1"/>
  <c r="BB648" i="44" a="1"/>
  <c r="BB648" i="44"/>
  <c r="BC648" i="44" a="1"/>
  <c r="BC648" i="44" s="1"/>
  <c r="BD648" i="44" a="1"/>
  <c r="BD648" i="44" s="1"/>
  <c r="BE648" i="44" a="1"/>
  <c r="BE648" i="44" s="1"/>
  <c r="BF648" i="44" a="1"/>
  <c r="BF648" i="44"/>
  <c r="BG648" i="44" a="1"/>
  <c r="BG648" i="44" s="1"/>
  <c r="BH648" i="44" a="1"/>
  <c r="BH648" i="44" s="1"/>
  <c r="BI648" i="44" a="1"/>
  <c r="BI648" i="44" s="1"/>
  <c r="BJ648" i="44" a="1"/>
  <c r="BJ648" i="44"/>
  <c r="BK648" i="44" a="1"/>
  <c r="BK648" i="44" s="1"/>
  <c r="BC641" i="44" a="1"/>
  <c r="BC641" i="44" s="1"/>
  <c r="BD641" i="44" a="1"/>
  <c r="BD641" i="44" s="1"/>
  <c r="BE641" i="44" a="1"/>
  <c r="BE641" i="44" s="1"/>
  <c r="BF641" i="44" a="1"/>
  <c r="BF641" i="44" s="1"/>
  <c r="BG641" i="44" a="1"/>
  <c r="BG641" i="44" s="1"/>
  <c r="BH641" i="44" a="1"/>
  <c r="BH641" i="44" s="1"/>
  <c r="BI641" i="44" a="1"/>
  <c r="BI641" i="44" s="1"/>
  <c r="BJ641" i="44" a="1"/>
  <c r="BJ641" i="44" s="1"/>
  <c r="BK641" i="44" a="1"/>
  <c r="BK641" i="44" s="1"/>
  <c r="AW642" i="44" a="1"/>
  <c r="AW642" i="44" s="1"/>
  <c r="AX642" i="44" a="1"/>
  <c r="AX642" i="44" s="1"/>
  <c r="AY642" i="44" a="1"/>
  <c r="AY642" i="44" s="1"/>
  <c r="AW643" i="44" a="1"/>
  <c r="AW643" i="44"/>
  <c r="AX643" i="44" a="1"/>
  <c r="AX643" i="44" s="1"/>
  <c r="AY643" i="44" a="1"/>
  <c r="AY643" i="44" s="1"/>
  <c r="AW644" i="44" a="1"/>
  <c r="AW644" i="44" s="1"/>
  <c r="AX644" i="44" a="1"/>
  <c r="AX644" i="44"/>
  <c r="AY644" i="44" a="1"/>
  <c r="AY644" i="44" s="1"/>
  <c r="AW645" i="44" a="1"/>
  <c r="AW645" i="44" s="1"/>
  <c r="AX645" i="44" a="1"/>
  <c r="AX645" i="44" s="1"/>
  <c r="AY645" i="44" a="1"/>
  <c r="AY645" i="44"/>
  <c r="AW646" i="44" a="1"/>
  <c r="AW646" i="44" s="1"/>
  <c r="AX646" i="44" a="1"/>
  <c r="AX646" i="44" s="1"/>
  <c r="AY646" i="44" a="1"/>
  <c r="AY646" i="44" s="1"/>
  <c r="AW647" i="44" a="1"/>
  <c r="AW647" i="44"/>
  <c r="AX647" i="44" a="1"/>
  <c r="AX647" i="44" s="1"/>
  <c r="AY647" i="44" a="1"/>
  <c r="AY647" i="44" s="1"/>
  <c r="AW648" i="44" a="1"/>
  <c r="AW648" i="44" s="1"/>
  <c r="AX648" i="44" a="1"/>
  <c r="AX648" i="44"/>
  <c r="AY648" i="44" a="1"/>
  <c r="AY648" i="44" s="1"/>
  <c r="AG648" i="44"/>
  <c r="AG642" i="44"/>
  <c r="AG643" i="44"/>
  <c r="AG644" i="44"/>
  <c r="AG645" i="44"/>
  <c r="AG646" i="44"/>
  <c r="AG647" i="44"/>
  <c r="AG641" i="44"/>
  <c r="AF648" i="44"/>
  <c r="AF642" i="44"/>
  <c r="AF643" i="44"/>
  <c r="AF644" i="44"/>
  <c r="AF645" i="44"/>
  <c r="AF646" i="44"/>
  <c r="AF647" i="44"/>
  <c r="D641" i="44"/>
  <c r="AF641" i="44" s="1"/>
  <c r="B628" i="44"/>
  <c r="B626" i="44"/>
  <c r="AH614" i="44"/>
  <c r="AH615" i="44"/>
  <c r="AH616" i="44"/>
  <c r="AH617" i="44"/>
  <c r="AH618" i="44"/>
  <c r="AH619" i="44"/>
  <c r="AH620" i="44"/>
  <c r="AG620" i="44"/>
  <c r="AG614" i="44"/>
  <c r="AG615" i="44"/>
  <c r="AG616" i="44"/>
  <c r="AG617" i="44"/>
  <c r="AG618" i="44"/>
  <c r="AG619" i="44"/>
  <c r="B601" i="44"/>
  <c r="B600" i="44"/>
  <c r="B599" i="44"/>
  <c r="B598" i="44"/>
  <c r="B597" i="44"/>
  <c r="B596" i="44"/>
  <c r="B593" i="44"/>
  <c r="AI582" i="44"/>
  <c r="AH582" i="44"/>
  <c r="AG582" i="44"/>
  <c r="B565" i="44"/>
  <c r="AI554" i="44"/>
  <c r="AH554" i="44"/>
  <c r="AG554" i="44"/>
  <c r="B564" i="44" s="1"/>
  <c r="AH552" i="44"/>
  <c r="B541" i="44"/>
  <c r="B538" i="44"/>
  <c r="D526" i="44"/>
  <c r="D527" i="44"/>
  <c r="D528" i="44"/>
  <c r="D529" i="44"/>
  <c r="D530" i="44"/>
  <c r="D531" i="44"/>
  <c r="D532" i="44"/>
  <c r="D525" i="44"/>
  <c r="AH511" i="44"/>
  <c r="AH512" i="44"/>
  <c r="AH513" i="44"/>
  <c r="AH514" i="44"/>
  <c r="AH515" i="44"/>
  <c r="AH516" i="44"/>
  <c r="AH517" i="44"/>
  <c r="AG517" i="44"/>
  <c r="AG511" i="44"/>
  <c r="AG512" i="44"/>
  <c r="AG513" i="44"/>
  <c r="AG514" i="44"/>
  <c r="AG515" i="44"/>
  <c r="AG516" i="44"/>
  <c r="B494" i="44"/>
  <c r="B493" i="44"/>
  <c r="B492" i="44"/>
  <c r="B491" i="44"/>
  <c r="B490" i="44"/>
  <c r="B489" i="44"/>
  <c r="B486" i="44"/>
  <c r="V483" i="44"/>
  <c r="AI475" i="44"/>
  <c r="AH475" i="44"/>
  <c r="AG475" i="44"/>
  <c r="AF473" i="44"/>
  <c r="B459" i="44"/>
  <c r="AG448" i="44"/>
  <c r="B458" i="44" s="1"/>
  <c r="AI448" i="44"/>
  <c r="AH446" i="44"/>
  <c r="B436" i="44"/>
  <c r="B433" i="44"/>
  <c r="BI421" i="44"/>
  <c r="BI422" i="44"/>
  <c r="BI423" i="44"/>
  <c r="BI424" i="44"/>
  <c r="BI425" i="44"/>
  <c r="BI426" i="44"/>
  <c r="BI427" i="44"/>
  <c r="AH427" i="44"/>
  <c r="AH421" i="44"/>
  <c r="AH422" i="44"/>
  <c r="AH423" i="44"/>
  <c r="AH424" i="44"/>
  <c r="AH425" i="44"/>
  <c r="AH426" i="44"/>
  <c r="AG421" i="44"/>
  <c r="AG422" i="44"/>
  <c r="AG423" i="44"/>
  <c r="AG424" i="44"/>
  <c r="AG425" i="44"/>
  <c r="AG426" i="44"/>
  <c r="AG427" i="44"/>
  <c r="B409" i="44"/>
  <c r="B407" i="44"/>
  <c r="AH395" i="44"/>
  <c r="AH396" i="44"/>
  <c r="AH397" i="44"/>
  <c r="AH398" i="44"/>
  <c r="AH399" i="44"/>
  <c r="AH400" i="44"/>
  <c r="AH401" i="44"/>
  <c r="AG395" i="44"/>
  <c r="AG396" i="44"/>
  <c r="AG397" i="44"/>
  <c r="AG398" i="44"/>
  <c r="AG399" i="44"/>
  <c r="AG400" i="44"/>
  <c r="AG401" i="44"/>
  <c r="B387" i="44"/>
  <c r="B386" i="44"/>
  <c r="B384" i="44"/>
  <c r="AH372" i="44"/>
  <c r="AH373" i="44"/>
  <c r="AH374" i="44"/>
  <c r="AH375" i="44"/>
  <c r="AH376" i="44"/>
  <c r="AH377" i="44"/>
  <c r="AH378" i="44"/>
  <c r="AG372" i="44"/>
  <c r="AG373" i="44"/>
  <c r="AG374" i="44"/>
  <c r="AG375" i="44"/>
  <c r="AG376" i="44"/>
  <c r="AG377" i="44"/>
  <c r="AG378" i="44"/>
  <c r="B359" i="44"/>
  <c r="B358" i="44"/>
  <c r="B357" i="44"/>
  <c r="B356" i="44"/>
  <c r="B355" i="44"/>
  <c r="B354" i="44"/>
  <c r="B306" i="44"/>
  <c r="B304" i="44"/>
  <c r="B302" i="44"/>
  <c r="B292" i="44"/>
  <c r="AH282" i="44"/>
  <c r="AH283" i="44"/>
  <c r="AH284" i="44"/>
  <c r="AH285" i="44"/>
  <c r="AH286" i="44"/>
  <c r="AH287" i="44"/>
  <c r="AH288" i="44"/>
  <c r="AG282" i="44"/>
  <c r="AG283" i="44"/>
  <c r="AG284" i="44"/>
  <c r="AG285" i="44"/>
  <c r="AG286" i="44"/>
  <c r="AG287" i="44"/>
  <c r="AG288" i="44"/>
  <c r="B261" i="44"/>
  <c r="B260" i="44"/>
  <c r="B259" i="44"/>
  <c r="B258" i="44"/>
  <c r="AH236" i="44"/>
  <c r="AH208" i="44"/>
  <c r="AH209" i="44"/>
  <c r="AH210" i="44"/>
  <c r="AH211" i="44"/>
  <c r="AH212" i="44"/>
  <c r="AH213" i="44"/>
  <c r="AH214" i="44"/>
  <c r="AH215" i="44"/>
  <c r="AH216" i="44"/>
  <c r="AH217" i="44"/>
  <c r="AH218" i="44"/>
  <c r="AH219" i="44"/>
  <c r="AH220" i="44"/>
  <c r="AH221" i="44"/>
  <c r="AH222" i="44"/>
  <c r="AH223" i="44"/>
  <c r="AH224" i="44"/>
  <c r="AH225" i="44"/>
  <c r="AH226" i="44"/>
  <c r="AH227" i="44"/>
  <c r="AH228" i="44"/>
  <c r="AH229" i="44"/>
  <c r="AH230" i="44"/>
  <c r="AH231" i="44"/>
  <c r="AH232" i="44"/>
  <c r="AH233" i="44"/>
  <c r="AH234" i="44"/>
  <c r="AH235" i="44"/>
  <c r="AG236" i="44"/>
  <c r="AG208" i="44"/>
  <c r="AG209" i="44"/>
  <c r="AG210" i="44"/>
  <c r="AG211" i="44"/>
  <c r="AG212" i="44"/>
  <c r="AG213" i="44"/>
  <c r="AG214" i="44"/>
  <c r="AG215" i="44"/>
  <c r="AG216" i="44"/>
  <c r="AG217" i="44"/>
  <c r="AG218" i="44"/>
  <c r="AG219" i="44"/>
  <c r="AG220" i="44"/>
  <c r="AG221" i="44"/>
  <c r="AG222" i="44"/>
  <c r="AG223" i="44"/>
  <c r="AG224" i="44"/>
  <c r="AG225" i="44"/>
  <c r="AG226" i="44"/>
  <c r="AG227" i="44"/>
  <c r="AG228" i="44"/>
  <c r="AG229" i="44"/>
  <c r="AG230" i="44"/>
  <c r="AG231" i="44"/>
  <c r="AG232" i="44"/>
  <c r="AG233" i="44"/>
  <c r="AG234" i="44"/>
  <c r="AG235" i="44"/>
  <c r="AF205" i="44"/>
  <c r="B175" i="44"/>
  <c r="AH166" i="44"/>
  <c r="AH167" i="44"/>
  <c r="AH168" i="44"/>
  <c r="AH169" i="44"/>
  <c r="AH170" i="44"/>
  <c r="AH171" i="44"/>
  <c r="AH172" i="44"/>
  <c r="AG166" i="44"/>
  <c r="AG167" i="44"/>
  <c r="AG168" i="44"/>
  <c r="AG169" i="44"/>
  <c r="AG170" i="44"/>
  <c r="AG171" i="44"/>
  <c r="AG172" i="44"/>
  <c r="B151" i="44"/>
  <c r="B150" i="44"/>
  <c r="B149" i="44"/>
  <c r="B148" i="44"/>
  <c r="AH126" i="44"/>
  <c r="AH98" i="44"/>
  <c r="AH99" i="44"/>
  <c r="AH100" i="44"/>
  <c r="AH101" i="44"/>
  <c r="AH102" i="44"/>
  <c r="AH103" i="44"/>
  <c r="AH104" i="44"/>
  <c r="AH105" i="44"/>
  <c r="AH106" i="44"/>
  <c r="AH107" i="44"/>
  <c r="AH108" i="44"/>
  <c r="AH109" i="44"/>
  <c r="AH110" i="44"/>
  <c r="AH111" i="44"/>
  <c r="AH112" i="44"/>
  <c r="AH113" i="44"/>
  <c r="AH114" i="44"/>
  <c r="AH115" i="44"/>
  <c r="AH116" i="44"/>
  <c r="AH117" i="44"/>
  <c r="AH118" i="44"/>
  <c r="AH119" i="44"/>
  <c r="AH120" i="44"/>
  <c r="AH121" i="44"/>
  <c r="AH122" i="44"/>
  <c r="AH123" i="44"/>
  <c r="AH124" i="44"/>
  <c r="AH125" i="44"/>
  <c r="AG98" i="44"/>
  <c r="AG99" i="44"/>
  <c r="AG100" i="44"/>
  <c r="AG101" i="44"/>
  <c r="AG102" i="44"/>
  <c r="AG103" i="44"/>
  <c r="AG104" i="44"/>
  <c r="AG105" i="44"/>
  <c r="AG106" i="44"/>
  <c r="AG107" i="44"/>
  <c r="AG108" i="44"/>
  <c r="AG109" i="44"/>
  <c r="AG110" i="44"/>
  <c r="AG111" i="44"/>
  <c r="AG112" i="44"/>
  <c r="AG113" i="44"/>
  <c r="AG114" i="44"/>
  <c r="AG115" i="44"/>
  <c r="AG116" i="44"/>
  <c r="AG117" i="44"/>
  <c r="AG118" i="44"/>
  <c r="AG119" i="44"/>
  <c r="AG120" i="44"/>
  <c r="AG121" i="44"/>
  <c r="AG122" i="44"/>
  <c r="AG123" i="44"/>
  <c r="AG124" i="44"/>
  <c r="AG125" i="44"/>
  <c r="AG126" i="44"/>
  <c r="AF95" i="44"/>
  <c r="AH71" i="44"/>
  <c r="AH72" i="44"/>
  <c r="AH73" i="44"/>
  <c r="AH74" i="44"/>
  <c r="AH75" i="44"/>
  <c r="AH76" i="44"/>
  <c r="AH77" i="44"/>
  <c r="AG71" i="44"/>
  <c r="AG72" i="44"/>
  <c r="AG73" i="44"/>
  <c r="AG74" i="44"/>
  <c r="AG75" i="44"/>
  <c r="AG76" i="44"/>
  <c r="AG77" i="44"/>
  <c r="AH30" i="44"/>
  <c r="AH31" i="44"/>
  <c r="AH32" i="44"/>
  <c r="AH33" i="44"/>
  <c r="AH34" i="44"/>
  <c r="AH35" i="44"/>
  <c r="AH36" i="44"/>
  <c r="AG30" i="44"/>
  <c r="AG31" i="44"/>
  <c r="AG32" i="44"/>
  <c r="AG33" i="44"/>
  <c r="AG34" i="44"/>
  <c r="AG35" i="44"/>
  <c r="AG36" i="44"/>
  <c r="CC721" i="44" l="1"/>
  <c r="B795" i="56"/>
  <c r="B794" i="56"/>
  <c r="B793" i="56"/>
  <c r="B792" i="56"/>
  <c r="B791" i="56"/>
  <c r="B790" i="56"/>
  <c r="AT779" i="56" a="1"/>
  <c r="AT779" i="56" s="1"/>
  <c r="AU779" i="56" a="1"/>
  <c r="AU779" i="56"/>
  <c r="AV779" i="56" a="1"/>
  <c r="AV779" i="56" s="1"/>
  <c r="AT780" i="56" a="1"/>
  <c r="AT780" i="56"/>
  <c r="AU780" i="56" a="1"/>
  <c r="AU780" i="56" s="1"/>
  <c r="AV780" i="56" a="1"/>
  <c r="AV780" i="56"/>
  <c r="AT781" i="56" a="1"/>
  <c r="AT781" i="56" s="1"/>
  <c r="AU781" i="56" a="1"/>
  <c r="AU781" i="56"/>
  <c r="AV781" i="56" a="1"/>
  <c r="AV781" i="56" s="1"/>
  <c r="AT782" i="56" a="1"/>
  <c r="AT782" i="56"/>
  <c r="AU782" i="56" a="1"/>
  <c r="AU782" i="56" s="1"/>
  <c r="AV782" i="56" a="1"/>
  <c r="AV782" i="56"/>
  <c r="AT783" i="56" a="1"/>
  <c r="AT783" i="56" s="1"/>
  <c r="AU783" i="56" a="1"/>
  <c r="AU783" i="56"/>
  <c r="AV783" i="56" a="1"/>
  <c r="AV783" i="56" s="1"/>
  <c r="AT784" i="56" a="1"/>
  <c r="AT784" i="56"/>
  <c r="AU784" i="56" a="1"/>
  <c r="AU784" i="56" s="1"/>
  <c r="AV784" i="56" a="1"/>
  <c r="AV784" i="56"/>
  <c r="AT785" i="56" a="1"/>
  <c r="AT785" i="56" s="1"/>
  <c r="AU785" i="56" a="1"/>
  <c r="AU785" i="56"/>
  <c r="AV785" i="56" a="1"/>
  <c r="AV785" i="56" s="1"/>
  <c r="AN779" i="56" a="1"/>
  <c r="AN779" i="56"/>
  <c r="AO779" i="56" a="1"/>
  <c r="AO779" i="56"/>
  <c r="AP779" i="56" a="1"/>
  <c r="AP779" i="56"/>
  <c r="AN780" i="56" a="1"/>
  <c r="AN780" i="56"/>
  <c r="AO780" i="56" a="1"/>
  <c r="AO780" i="56"/>
  <c r="AP780" i="56" a="1"/>
  <c r="AP780" i="56"/>
  <c r="AN781" i="56" a="1"/>
  <c r="AN781" i="56"/>
  <c r="AO781" i="56" a="1"/>
  <c r="AO781" i="56"/>
  <c r="AP781" i="56" a="1"/>
  <c r="AP781" i="56"/>
  <c r="AN782" i="56" a="1"/>
  <c r="AN782" i="56"/>
  <c r="AO782" i="56" a="1"/>
  <c r="AO782" i="56"/>
  <c r="AP782" i="56" a="1"/>
  <c r="AP782" i="56"/>
  <c r="AN783" i="56" a="1"/>
  <c r="AN783" i="56"/>
  <c r="AO783" i="56" a="1"/>
  <c r="AO783" i="56"/>
  <c r="AP783" i="56" a="1"/>
  <c r="AP783" i="56"/>
  <c r="AN784" i="56" a="1"/>
  <c r="AN784" i="56"/>
  <c r="AO784" i="56" a="1"/>
  <c r="AO784" i="56"/>
  <c r="AP784" i="56" a="1"/>
  <c r="AP784" i="56"/>
  <c r="AN785" i="56" a="1"/>
  <c r="AN785" i="56"/>
  <c r="AO785" i="56" a="1"/>
  <c r="AO785" i="56"/>
  <c r="AP785" i="56" a="1"/>
  <c r="AP785" i="56"/>
  <c r="AH786" i="56"/>
  <c r="AH779" i="56"/>
  <c r="AH780" i="56"/>
  <c r="AH781" i="56"/>
  <c r="AH782" i="56"/>
  <c r="AH783" i="56"/>
  <c r="AH784" i="56"/>
  <c r="AH785" i="56"/>
  <c r="AG779" i="56"/>
  <c r="AG780" i="56"/>
  <c r="AG781" i="56"/>
  <c r="AG782" i="56"/>
  <c r="AG783" i="56"/>
  <c r="AG784" i="56"/>
  <c r="AG785" i="56"/>
  <c r="B770" i="56"/>
  <c r="B769" i="56"/>
  <c r="B768" i="56"/>
  <c r="B767" i="56"/>
  <c r="B766" i="56"/>
  <c r="AN755" i="56" a="1"/>
  <c r="AN755" i="56" s="1"/>
  <c r="AO755" i="56" a="1"/>
  <c r="AO755" i="56" s="1"/>
  <c r="AP755" i="56" a="1"/>
  <c r="AP755" i="56"/>
  <c r="AN756" i="56" a="1"/>
  <c r="AN756" i="56"/>
  <c r="AO756" i="56" a="1"/>
  <c r="AO756" i="56" s="1"/>
  <c r="AP756" i="56" a="1"/>
  <c r="AP756" i="56" s="1"/>
  <c r="AN757" i="56" a="1"/>
  <c r="AN757" i="56"/>
  <c r="AO757" i="56" a="1"/>
  <c r="AO757" i="56"/>
  <c r="AP757" i="56" a="1"/>
  <c r="AP757" i="56" s="1"/>
  <c r="AN758" i="56" a="1"/>
  <c r="AN758" i="56" s="1"/>
  <c r="AO758" i="56" a="1"/>
  <c r="AO758" i="56"/>
  <c r="AP758" i="56" a="1"/>
  <c r="AP758" i="56"/>
  <c r="AN759" i="56" a="1"/>
  <c r="AN759" i="56" s="1"/>
  <c r="AO759" i="56" a="1"/>
  <c r="AO759" i="56" s="1"/>
  <c r="AP759" i="56" a="1"/>
  <c r="AP759" i="56"/>
  <c r="AN760" i="56" a="1"/>
  <c r="AN760" i="56"/>
  <c r="AO760" i="56" a="1"/>
  <c r="AO760" i="56" s="1"/>
  <c r="AP760" i="56" a="1"/>
  <c r="AP760" i="56" s="1"/>
  <c r="AN761" i="56" a="1"/>
  <c r="AN761" i="56"/>
  <c r="AO761" i="56" a="1"/>
  <c r="AO761" i="56"/>
  <c r="AP761" i="56" a="1"/>
  <c r="AP761" i="56" s="1"/>
  <c r="AH755" i="56"/>
  <c r="AH756" i="56"/>
  <c r="AH757" i="56"/>
  <c r="AH758" i="56"/>
  <c r="AH759" i="56"/>
  <c r="AH760" i="56"/>
  <c r="AH761" i="56"/>
  <c r="AG755" i="56"/>
  <c r="AG756" i="56"/>
  <c r="AG757" i="56"/>
  <c r="AG758" i="56"/>
  <c r="AG759" i="56"/>
  <c r="AG760" i="56"/>
  <c r="AG761" i="56"/>
  <c r="B745" i="56"/>
  <c r="B743" i="56"/>
  <c r="AH731" i="56"/>
  <c r="AH732" i="56"/>
  <c r="AH733" i="56"/>
  <c r="AH734" i="56"/>
  <c r="AH735" i="56"/>
  <c r="AH736" i="56"/>
  <c r="AH737" i="56"/>
  <c r="AG731" i="56"/>
  <c r="AG732" i="56"/>
  <c r="AG733" i="56"/>
  <c r="AG734" i="56"/>
  <c r="AG735" i="56"/>
  <c r="AG736" i="56"/>
  <c r="AG737" i="56"/>
  <c r="B724" i="56"/>
  <c r="B722" i="56"/>
  <c r="B720" i="56"/>
  <c r="AJ730" i="56"/>
  <c r="B746" i="56" s="1"/>
  <c r="AH730" i="56"/>
  <c r="AG730" i="56"/>
  <c r="AO707" i="56"/>
  <c r="B723" i="56" s="1"/>
  <c r="AH708" i="56"/>
  <c r="AH709" i="56"/>
  <c r="AH710" i="56"/>
  <c r="AH711" i="56"/>
  <c r="AH712" i="56"/>
  <c r="AH713" i="56"/>
  <c r="AH714" i="56"/>
  <c r="AH707" i="56"/>
  <c r="AG708" i="56"/>
  <c r="AG709" i="56"/>
  <c r="AG710" i="56"/>
  <c r="AG711" i="56"/>
  <c r="AG712" i="56"/>
  <c r="AG713" i="56"/>
  <c r="AG714" i="56"/>
  <c r="AG707" i="56"/>
  <c r="B689" i="56"/>
  <c r="B687" i="56"/>
  <c r="B683" i="56"/>
  <c r="AI673" i="56"/>
  <c r="AJ673" i="56"/>
  <c r="AK673" i="56"/>
  <c r="AI674" i="56"/>
  <c r="AJ674" i="56"/>
  <c r="AK674" i="56"/>
  <c r="AI675" i="56"/>
  <c r="AJ675" i="56"/>
  <c r="AK675" i="56"/>
  <c r="AI676" i="56"/>
  <c r="AJ676" i="56"/>
  <c r="AK676" i="56"/>
  <c r="AI677" i="56"/>
  <c r="AJ677" i="56"/>
  <c r="AK677" i="56"/>
  <c r="AI678" i="56"/>
  <c r="AJ678" i="56"/>
  <c r="AK678" i="56"/>
  <c r="AI679" i="56"/>
  <c r="AJ679" i="56"/>
  <c r="AK679" i="56"/>
  <c r="AK672" i="56"/>
  <c r="AH673" i="56"/>
  <c r="AH674" i="56"/>
  <c r="AH675" i="56"/>
  <c r="AH676" i="56"/>
  <c r="AH677" i="56"/>
  <c r="AH678" i="56"/>
  <c r="AH679" i="56"/>
  <c r="AG673" i="56"/>
  <c r="AG674" i="56"/>
  <c r="AG675" i="56"/>
  <c r="AG676" i="56"/>
  <c r="AG677" i="56"/>
  <c r="AG678" i="56"/>
  <c r="AG679" i="56"/>
  <c r="B662" i="56"/>
  <c r="B661" i="56"/>
  <c r="B660" i="56"/>
  <c r="B659" i="56"/>
  <c r="B658" i="56"/>
  <c r="B655" i="56"/>
  <c r="AG645" i="56"/>
  <c r="AG646" i="56"/>
  <c r="AG647" i="56"/>
  <c r="AG648" i="56"/>
  <c r="AG649" i="56"/>
  <c r="AG650" i="56"/>
  <c r="AG651" i="56"/>
  <c r="AG644" i="56"/>
  <c r="B632" i="56"/>
  <c r="B631" i="56"/>
  <c r="B630" i="56"/>
  <c r="B629" i="56"/>
  <c r="B628" i="56"/>
  <c r="B627" i="56"/>
  <c r="B624" i="56"/>
  <c r="AH614" i="56"/>
  <c r="AH615" i="56"/>
  <c r="AH616" i="56"/>
  <c r="AH617" i="56"/>
  <c r="AH618" i="56"/>
  <c r="AH619" i="56"/>
  <c r="AH620" i="56"/>
  <c r="AG614" i="56"/>
  <c r="AG615" i="56"/>
  <c r="AG616" i="56"/>
  <c r="AG617" i="56"/>
  <c r="AG618" i="56"/>
  <c r="AG619" i="56"/>
  <c r="AG620" i="56"/>
  <c r="B600" i="56"/>
  <c r="B599" i="56"/>
  <c r="B598" i="56"/>
  <c r="B597" i="56"/>
  <c r="B596" i="56"/>
  <c r="B595" i="56"/>
  <c r="B592" i="56"/>
  <c r="AH560" i="56"/>
  <c r="AH554" i="56"/>
  <c r="AH555" i="56"/>
  <c r="AH556" i="56"/>
  <c r="AH557" i="56"/>
  <c r="AH558" i="56"/>
  <c r="AH559" i="56"/>
  <c r="AG554" i="56"/>
  <c r="AG555" i="56"/>
  <c r="AG556" i="56"/>
  <c r="AG557" i="56"/>
  <c r="AG558" i="56"/>
  <c r="AG559" i="56"/>
  <c r="AG560" i="56"/>
  <c r="B542" i="56"/>
  <c r="B541" i="56"/>
  <c r="B540" i="56"/>
  <c r="B539" i="56"/>
  <c r="B538" i="56"/>
  <c r="B537" i="56"/>
  <c r="B534" i="56"/>
  <c r="AH510" i="56"/>
  <c r="AH511" i="56"/>
  <c r="AH512" i="56"/>
  <c r="AH513" i="56"/>
  <c r="AH514" i="56"/>
  <c r="AH515" i="56"/>
  <c r="AH516" i="56"/>
  <c r="AG510" i="56"/>
  <c r="AG511" i="56"/>
  <c r="AG512" i="56"/>
  <c r="AG513" i="56"/>
  <c r="AG514" i="56"/>
  <c r="AG515" i="56"/>
  <c r="AG516" i="56"/>
  <c r="B498" i="56"/>
  <c r="B497" i="56"/>
  <c r="B496" i="56"/>
  <c r="B495" i="56"/>
  <c r="B494" i="56"/>
  <c r="B493" i="56"/>
  <c r="B490" i="56"/>
  <c r="AG472" i="56"/>
  <c r="AG466" i="56"/>
  <c r="AG467" i="56"/>
  <c r="AG468" i="56"/>
  <c r="AG469" i="56"/>
  <c r="AG470" i="56"/>
  <c r="AG471" i="56"/>
  <c r="B454" i="56"/>
  <c r="B453" i="56"/>
  <c r="B452" i="56"/>
  <c r="B451" i="56"/>
  <c r="B450" i="56"/>
  <c r="B449" i="56"/>
  <c r="B446" i="56"/>
  <c r="BC436" i="56" a="1"/>
  <c r="BC436" i="56" s="1"/>
  <c r="BD436" i="56" a="1"/>
  <c r="BD436" i="56"/>
  <c r="BE436" i="56" a="1"/>
  <c r="BE436" i="56"/>
  <c r="BF436" i="56" a="1"/>
  <c r="BF436" i="56"/>
  <c r="BG436" i="56" a="1"/>
  <c r="BG436" i="56" s="1"/>
  <c r="BH436" i="56" a="1"/>
  <c r="BH436" i="56"/>
  <c r="BI436" i="56" a="1"/>
  <c r="BI436" i="56"/>
  <c r="BJ436" i="56" a="1"/>
  <c r="BJ436" i="56"/>
  <c r="BK436" i="56" a="1"/>
  <c r="BK436" i="56" s="1"/>
  <c r="BL436" i="56" a="1"/>
  <c r="BL436" i="56"/>
  <c r="BM436" i="56" a="1"/>
  <c r="BM436" i="56"/>
  <c r="BN436" i="56" a="1"/>
  <c r="BN436" i="56"/>
  <c r="BO436" i="56" a="1"/>
  <c r="BO436" i="56" s="1"/>
  <c r="BP436" i="56" a="1"/>
  <c r="BP436" i="56"/>
  <c r="BQ436" i="56" a="1"/>
  <c r="BQ436" i="56"/>
  <c r="BR436" i="56" a="1"/>
  <c r="BR436" i="56"/>
  <c r="BS436" i="56" a="1"/>
  <c r="BS436" i="56" s="1"/>
  <c r="BT436" i="56" a="1"/>
  <c r="BT436" i="56"/>
  <c r="BC437" i="56" a="1"/>
  <c r="BC437" i="56"/>
  <c r="BD437" i="56" a="1"/>
  <c r="BD437" i="56"/>
  <c r="BE437" i="56" a="1"/>
  <c r="BE437" i="56" s="1"/>
  <c r="BF437" i="56" a="1"/>
  <c r="BF437" i="56"/>
  <c r="BG437" i="56" a="1"/>
  <c r="BG437" i="56"/>
  <c r="BH437" i="56" a="1"/>
  <c r="BH437" i="56"/>
  <c r="BI437" i="56" a="1"/>
  <c r="BI437" i="56" s="1"/>
  <c r="BJ437" i="56" a="1"/>
  <c r="BJ437" i="56"/>
  <c r="BK437" i="56" a="1"/>
  <c r="BK437" i="56"/>
  <c r="BL437" i="56" a="1"/>
  <c r="BL437" i="56"/>
  <c r="BM437" i="56" a="1"/>
  <c r="BM437" i="56" s="1"/>
  <c r="BN437" i="56" a="1"/>
  <c r="BN437" i="56"/>
  <c r="BO437" i="56" a="1"/>
  <c r="BO437" i="56"/>
  <c r="BP437" i="56" a="1"/>
  <c r="BP437" i="56"/>
  <c r="BQ437" i="56" a="1"/>
  <c r="BQ437" i="56" s="1"/>
  <c r="BR437" i="56" a="1"/>
  <c r="BR437" i="56"/>
  <c r="BS437" i="56" a="1"/>
  <c r="BS437" i="56"/>
  <c r="BT437" i="56" a="1"/>
  <c r="BT437" i="56"/>
  <c r="BC438" i="56" a="1"/>
  <c r="BC438" i="56" s="1"/>
  <c r="BD438" i="56" a="1"/>
  <c r="BD438" i="56"/>
  <c r="BE438" i="56" a="1"/>
  <c r="BE438" i="56"/>
  <c r="BF438" i="56" a="1"/>
  <c r="BF438" i="56"/>
  <c r="BG438" i="56" a="1"/>
  <c r="BG438" i="56" s="1"/>
  <c r="BH438" i="56" a="1"/>
  <c r="BH438" i="56"/>
  <c r="BI438" i="56" a="1"/>
  <c r="BI438" i="56"/>
  <c r="BJ438" i="56" a="1"/>
  <c r="BJ438" i="56"/>
  <c r="BK438" i="56" a="1"/>
  <c r="BK438" i="56" s="1"/>
  <c r="BL438" i="56" a="1"/>
  <c r="BL438" i="56"/>
  <c r="BM438" i="56" a="1"/>
  <c r="BM438" i="56"/>
  <c r="BN438" i="56" a="1"/>
  <c r="BN438" i="56"/>
  <c r="BO438" i="56" a="1"/>
  <c r="BO438" i="56" s="1"/>
  <c r="BP438" i="56" a="1"/>
  <c r="BP438" i="56"/>
  <c r="BQ438" i="56" a="1"/>
  <c r="BQ438" i="56"/>
  <c r="BR438" i="56" a="1"/>
  <c r="BR438" i="56"/>
  <c r="BS438" i="56" a="1"/>
  <c r="BS438" i="56" s="1"/>
  <c r="BT438" i="56" a="1"/>
  <c r="BT438" i="56"/>
  <c r="BC439" i="56" a="1"/>
  <c r="BC439" i="56"/>
  <c r="BD439" i="56" a="1"/>
  <c r="BD439" i="56"/>
  <c r="BE439" i="56" a="1"/>
  <c r="BE439" i="56" s="1"/>
  <c r="BF439" i="56" a="1"/>
  <c r="BF439" i="56"/>
  <c r="BG439" i="56" a="1"/>
  <c r="BG439" i="56"/>
  <c r="BH439" i="56" a="1"/>
  <c r="BH439" i="56"/>
  <c r="BI439" i="56" a="1"/>
  <c r="BI439" i="56" s="1"/>
  <c r="BJ439" i="56" a="1"/>
  <c r="BJ439" i="56"/>
  <c r="BK439" i="56" a="1"/>
  <c r="BK439" i="56"/>
  <c r="BL439" i="56" a="1"/>
  <c r="BL439" i="56"/>
  <c r="BM439" i="56" a="1"/>
  <c r="BM439" i="56" s="1"/>
  <c r="BN439" i="56" a="1"/>
  <c r="BN439" i="56"/>
  <c r="BO439" i="56" a="1"/>
  <c r="BO439" i="56"/>
  <c r="BP439" i="56" a="1"/>
  <c r="BP439" i="56"/>
  <c r="BQ439" i="56" a="1"/>
  <c r="BQ439" i="56" s="1"/>
  <c r="BR439" i="56" a="1"/>
  <c r="BR439" i="56"/>
  <c r="BS439" i="56" a="1"/>
  <c r="BS439" i="56"/>
  <c r="BT439" i="56" a="1"/>
  <c r="BT439" i="56"/>
  <c r="BC440" i="56" a="1"/>
  <c r="BC440" i="56" s="1"/>
  <c r="BD440" i="56" a="1"/>
  <c r="BD440" i="56"/>
  <c r="BE440" i="56" a="1"/>
  <c r="BE440" i="56"/>
  <c r="BF440" i="56" a="1"/>
  <c r="BF440" i="56"/>
  <c r="BG440" i="56" a="1"/>
  <c r="BG440" i="56" s="1"/>
  <c r="BH440" i="56" a="1"/>
  <c r="BH440" i="56"/>
  <c r="BI440" i="56" a="1"/>
  <c r="BI440" i="56"/>
  <c r="BJ440" i="56" a="1"/>
  <c r="BJ440" i="56"/>
  <c r="BK440" i="56" a="1"/>
  <c r="BK440" i="56" s="1"/>
  <c r="BL440" i="56" a="1"/>
  <c r="BL440" i="56"/>
  <c r="BM440" i="56" a="1"/>
  <c r="BM440" i="56"/>
  <c r="BN440" i="56" a="1"/>
  <c r="BN440" i="56"/>
  <c r="BO440" i="56" a="1"/>
  <c r="BO440" i="56" s="1"/>
  <c r="BP440" i="56" a="1"/>
  <c r="BP440" i="56"/>
  <c r="BQ440" i="56" a="1"/>
  <c r="BQ440" i="56"/>
  <c r="BR440" i="56" a="1"/>
  <c r="BR440" i="56"/>
  <c r="BS440" i="56" a="1"/>
  <c r="BS440" i="56" s="1"/>
  <c r="BT440" i="56" a="1"/>
  <c r="BT440" i="56"/>
  <c r="BC441" i="56" a="1"/>
  <c r="BC441" i="56"/>
  <c r="BD441" i="56" a="1"/>
  <c r="BD441" i="56"/>
  <c r="BE441" i="56" a="1"/>
  <c r="BE441" i="56" s="1"/>
  <c r="BF441" i="56" a="1"/>
  <c r="BF441" i="56"/>
  <c r="BG441" i="56" a="1"/>
  <c r="BG441" i="56"/>
  <c r="BH441" i="56" a="1"/>
  <c r="BH441" i="56"/>
  <c r="BI441" i="56" a="1"/>
  <c r="BI441" i="56" s="1"/>
  <c r="BJ441" i="56" a="1"/>
  <c r="BJ441" i="56"/>
  <c r="BK441" i="56" a="1"/>
  <c r="BK441" i="56"/>
  <c r="BL441" i="56" a="1"/>
  <c r="BL441" i="56"/>
  <c r="BM441" i="56" a="1"/>
  <c r="BM441" i="56" s="1"/>
  <c r="BN441" i="56" a="1"/>
  <c r="BN441" i="56"/>
  <c r="BO441" i="56" a="1"/>
  <c r="BO441" i="56"/>
  <c r="BP441" i="56" a="1"/>
  <c r="BP441" i="56"/>
  <c r="BQ441" i="56" a="1"/>
  <c r="BQ441" i="56" s="1"/>
  <c r="BR441" i="56" a="1"/>
  <c r="BR441" i="56"/>
  <c r="BS441" i="56" a="1"/>
  <c r="BS441" i="56"/>
  <c r="BT441" i="56" a="1"/>
  <c r="BT441" i="56"/>
  <c r="BC442" i="56" a="1"/>
  <c r="BC442" i="56" s="1"/>
  <c r="BD442" i="56" a="1"/>
  <c r="BD442" i="56"/>
  <c r="BE442" i="56" a="1"/>
  <c r="BE442" i="56"/>
  <c r="BF442" i="56" a="1"/>
  <c r="BF442" i="56"/>
  <c r="BG442" i="56" a="1"/>
  <c r="BG442" i="56" s="1"/>
  <c r="BH442" i="56" a="1"/>
  <c r="BH442" i="56"/>
  <c r="BI442" i="56" a="1"/>
  <c r="BI442" i="56"/>
  <c r="BJ442" i="56" a="1"/>
  <c r="BJ442" i="56"/>
  <c r="BK442" i="56" a="1"/>
  <c r="BK442" i="56" s="1"/>
  <c r="BL442" i="56" a="1"/>
  <c r="BL442" i="56"/>
  <c r="BM442" i="56" a="1"/>
  <c r="BM442" i="56"/>
  <c r="BN442" i="56" a="1"/>
  <c r="BN442" i="56"/>
  <c r="BO442" i="56" a="1"/>
  <c r="BO442" i="56" s="1"/>
  <c r="BP442" i="56" a="1"/>
  <c r="BP442" i="56"/>
  <c r="BQ442" i="56" a="1"/>
  <c r="BQ442" i="56"/>
  <c r="BR442" i="56" a="1"/>
  <c r="BR442" i="56"/>
  <c r="BS442" i="56" a="1"/>
  <c r="BS442" i="56" s="1"/>
  <c r="BT442" i="56" a="1"/>
  <c r="BT442" i="56"/>
  <c r="BF435" i="56" a="1"/>
  <c r="BF435" i="56" s="1"/>
  <c r="BG435" i="56" a="1"/>
  <c r="BG435" i="56"/>
  <c r="BH435" i="56" a="1"/>
  <c r="BH435" i="56"/>
  <c r="BI435" i="56" a="1"/>
  <c r="BI435" i="56"/>
  <c r="BJ435" i="56" a="1"/>
  <c r="BJ435" i="56" s="1"/>
  <c r="BK435" i="56" a="1"/>
  <c r="BK435" i="56"/>
  <c r="BL435" i="56" a="1"/>
  <c r="BL435" i="56"/>
  <c r="BM435" i="56" a="1"/>
  <c r="BM435" i="56"/>
  <c r="BN435" i="56" a="1"/>
  <c r="BN435" i="56" s="1"/>
  <c r="BO435" i="56" a="1"/>
  <c r="BO435" i="56"/>
  <c r="BP435" i="56" a="1"/>
  <c r="BP435" i="56"/>
  <c r="BQ435" i="56" a="1"/>
  <c r="BQ435" i="56"/>
  <c r="BR435" i="56" a="1"/>
  <c r="BR435" i="56" s="1"/>
  <c r="BS435" i="56" a="1"/>
  <c r="BS435" i="56"/>
  <c r="BT435" i="56" a="1"/>
  <c r="BT435" i="56"/>
  <c r="BE435" i="56" a="1"/>
  <c r="BE435" i="56" s="1"/>
  <c r="BD435" i="56" a="1"/>
  <c r="BD435" i="56" s="1"/>
  <c r="BC435" i="56" a="1"/>
  <c r="BC435" i="56" s="1"/>
  <c r="BC422" i="56" a="1"/>
  <c r="BC422" i="56" s="1"/>
  <c r="BD422" i="56" a="1"/>
  <c r="BD422" i="56"/>
  <c r="BE422" i="56" a="1"/>
  <c r="BE422" i="56"/>
  <c r="BF422" i="56" a="1"/>
  <c r="BF422" i="56"/>
  <c r="BG422" i="56" a="1"/>
  <c r="BG422" i="56" s="1"/>
  <c r="BH422" i="56" a="1"/>
  <c r="BH422" i="56"/>
  <c r="BI422" i="56" a="1"/>
  <c r="BI422" i="56"/>
  <c r="BJ422" i="56" a="1"/>
  <c r="BJ422" i="56"/>
  <c r="BK422" i="56" a="1"/>
  <c r="BK422" i="56" s="1"/>
  <c r="BL422" i="56" a="1"/>
  <c r="BL422" i="56"/>
  <c r="BM422" i="56" a="1"/>
  <c r="BM422" i="56"/>
  <c r="BN422" i="56" a="1"/>
  <c r="BN422" i="56"/>
  <c r="BC423" i="56" a="1"/>
  <c r="BC423" i="56" s="1"/>
  <c r="BD423" i="56" a="1"/>
  <c r="BD423" i="56"/>
  <c r="BE423" i="56" a="1"/>
  <c r="BE423" i="56"/>
  <c r="BF423" i="56" a="1"/>
  <c r="BF423" i="56"/>
  <c r="BG423" i="56" a="1"/>
  <c r="BG423" i="56" s="1"/>
  <c r="BH423" i="56" a="1"/>
  <c r="BH423" i="56"/>
  <c r="BI423" i="56" a="1"/>
  <c r="BI423" i="56"/>
  <c r="BJ423" i="56" a="1"/>
  <c r="BJ423" i="56"/>
  <c r="BK423" i="56" a="1"/>
  <c r="BK423" i="56" s="1"/>
  <c r="BL423" i="56" a="1"/>
  <c r="BL423" i="56"/>
  <c r="BM423" i="56" a="1"/>
  <c r="BM423" i="56"/>
  <c r="BN423" i="56" a="1"/>
  <c r="BN423" i="56"/>
  <c r="BC424" i="56" a="1"/>
  <c r="BC424" i="56" s="1"/>
  <c r="BD424" i="56" a="1"/>
  <c r="BD424" i="56"/>
  <c r="BE424" i="56" a="1"/>
  <c r="BE424" i="56"/>
  <c r="BF424" i="56" a="1"/>
  <c r="BF424" i="56"/>
  <c r="BG424" i="56" a="1"/>
  <c r="BG424" i="56" s="1"/>
  <c r="BH424" i="56" a="1"/>
  <c r="BH424" i="56"/>
  <c r="BI424" i="56" a="1"/>
  <c r="BI424" i="56"/>
  <c r="BJ424" i="56" a="1"/>
  <c r="BJ424" i="56"/>
  <c r="BK424" i="56" a="1"/>
  <c r="BK424" i="56" s="1"/>
  <c r="BL424" i="56" a="1"/>
  <c r="BL424" i="56"/>
  <c r="BM424" i="56" a="1"/>
  <c r="BM424" i="56"/>
  <c r="BN424" i="56" a="1"/>
  <c r="BN424" i="56"/>
  <c r="BC425" i="56" a="1"/>
  <c r="BC425" i="56" s="1"/>
  <c r="BD425" i="56" a="1"/>
  <c r="BD425" i="56"/>
  <c r="BE425" i="56" a="1"/>
  <c r="BE425" i="56"/>
  <c r="BF425" i="56" a="1"/>
  <c r="BF425" i="56"/>
  <c r="BG425" i="56" a="1"/>
  <c r="BG425" i="56" s="1"/>
  <c r="BH425" i="56" a="1"/>
  <c r="BH425" i="56"/>
  <c r="BI425" i="56" a="1"/>
  <c r="BI425" i="56"/>
  <c r="BJ425" i="56" a="1"/>
  <c r="BJ425" i="56"/>
  <c r="BK425" i="56" a="1"/>
  <c r="BK425" i="56" s="1"/>
  <c r="BL425" i="56" a="1"/>
  <c r="BL425" i="56"/>
  <c r="BM425" i="56" a="1"/>
  <c r="BM425" i="56"/>
  <c r="BN425" i="56" a="1"/>
  <c r="BN425" i="56"/>
  <c r="BC426" i="56" a="1"/>
  <c r="BC426" i="56" s="1"/>
  <c r="BD426" i="56" a="1"/>
  <c r="BD426" i="56"/>
  <c r="BE426" i="56" a="1"/>
  <c r="BE426" i="56"/>
  <c r="BF426" i="56" a="1"/>
  <c r="BF426" i="56"/>
  <c r="BG426" i="56" a="1"/>
  <c r="BG426" i="56" s="1"/>
  <c r="BH426" i="56" a="1"/>
  <c r="BH426" i="56"/>
  <c r="BI426" i="56" a="1"/>
  <c r="BI426" i="56"/>
  <c r="BJ426" i="56" a="1"/>
  <c r="BJ426" i="56"/>
  <c r="BK426" i="56" a="1"/>
  <c r="BK426" i="56" s="1"/>
  <c r="BL426" i="56" a="1"/>
  <c r="BL426" i="56"/>
  <c r="BM426" i="56" a="1"/>
  <c r="BM426" i="56"/>
  <c r="BN426" i="56" a="1"/>
  <c r="BN426" i="56"/>
  <c r="BC427" i="56" a="1"/>
  <c r="BC427" i="56" s="1"/>
  <c r="BD427" i="56" a="1"/>
  <c r="BD427" i="56"/>
  <c r="BE427" i="56" a="1"/>
  <c r="BE427" i="56"/>
  <c r="BF427" i="56" a="1"/>
  <c r="BF427" i="56"/>
  <c r="BG427" i="56" a="1"/>
  <c r="BG427" i="56" s="1"/>
  <c r="BH427" i="56" a="1"/>
  <c r="BH427" i="56"/>
  <c r="BI427" i="56" a="1"/>
  <c r="BI427" i="56" s="1"/>
  <c r="BJ427" i="56" a="1"/>
  <c r="BJ427" i="56"/>
  <c r="BK427" i="56" a="1"/>
  <c r="BK427" i="56" s="1"/>
  <c r="BL427" i="56" a="1"/>
  <c r="BL427" i="56"/>
  <c r="BM427" i="56" a="1"/>
  <c r="BM427" i="56"/>
  <c r="BN427" i="56" a="1"/>
  <c r="BN427" i="56"/>
  <c r="BC428" i="56" a="1"/>
  <c r="BC428" i="56" s="1"/>
  <c r="BD428" i="56" a="1"/>
  <c r="BD428" i="56"/>
  <c r="BE428" i="56" a="1"/>
  <c r="BE428" i="56"/>
  <c r="BF428" i="56" a="1"/>
  <c r="BF428" i="56"/>
  <c r="BG428" i="56" a="1"/>
  <c r="BG428" i="56" s="1"/>
  <c r="BH428" i="56" a="1"/>
  <c r="BH428" i="56"/>
  <c r="BI428" i="56" a="1"/>
  <c r="BI428" i="56"/>
  <c r="BJ428" i="56" a="1"/>
  <c r="BJ428" i="56"/>
  <c r="BK428" i="56" a="1"/>
  <c r="BK428" i="56" s="1"/>
  <c r="BL428" i="56" a="1"/>
  <c r="BL428" i="56"/>
  <c r="BM428" i="56" a="1"/>
  <c r="BM428" i="56"/>
  <c r="BN428" i="56" a="1"/>
  <c r="BN428" i="56"/>
  <c r="BF421" i="56" a="1"/>
  <c r="BF421" i="56" s="1"/>
  <c r="BG421" i="56" a="1"/>
  <c r="BG421" i="56"/>
  <c r="BH421" i="56" a="1"/>
  <c r="BH421" i="56"/>
  <c r="BI421" i="56" a="1"/>
  <c r="BI421" i="56"/>
  <c r="BJ421" i="56" a="1"/>
  <c r="BJ421" i="56" s="1"/>
  <c r="BK421" i="56" a="1"/>
  <c r="BK421" i="56"/>
  <c r="BL421" i="56" a="1"/>
  <c r="BL421" i="56"/>
  <c r="BM421" i="56" a="1"/>
  <c r="BM421" i="56"/>
  <c r="BN421" i="56" a="1"/>
  <c r="BN421" i="56" s="1"/>
  <c r="AH422" i="56"/>
  <c r="AH423" i="56"/>
  <c r="AH424" i="56"/>
  <c r="AH425" i="56"/>
  <c r="AH426" i="56"/>
  <c r="AH427" i="56"/>
  <c r="AH428" i="56"/>
  <c r="AG422" i="56"/>
  <c r="AG423" i="56"/>
  <c r="AG424" i="56"/>
  <c r="AG425" i="56"/>
  <c r="AG426" i="56"/>
  <c r="AG427" i="56"/>
  <c r="AG428" i="56"/>
  <c r="BE421" i="56" a="1"/>
  <c r="BE421" i="56" s="1"/>
  <c r="BD421" i="56" a="1"/>
  <c r="BD421" i="56" s="1"/>
  <c r="BC421" i="56" a="1"/>
  <c r="BC421" i="56" s="1"/>
  <c r="AZ422" i="56" a="1"/>
  <c r="AZ422" i="56" s="1"/>
  <c r="BA422" i="56" a="1"/>
  <c r="BA422" i="56"/>
  <c r="BB422" i="56" a="1"/>
  <c r="BB422" i="56"/>
  <c r="AZ423" i="56" a="1"/>
  <c r="AZ423" i="56"/>
  <c r="BA423" i="56" a="1"/>
  <c r="BA423" i="56" s="1"/>
  <c r="BB423" i="56" a="1"/>
  <c r="BB423" i="56"/>
  <c r="AZ424" i="56" a="1"/>
  <c r="AZ424" i="56"/>
  <c r="BA424" i="56" a="1"/>
  <c r="BA424" i="56"/>
  <c r="BB424" i="56" a="1"/>
  <c r="BB424" i="56" s="1"/>
  <c r="AZ425" i="56" a="1"/>
  <c r="AZ425" i="56"/>
  <c r="BA425" i="56" a="1"/>
  <c r="BA425" i="56"/>
  <c r="BB425" i="56" a="1"/>
  <c r="BB425" i="56"/>
  <c r="AZ426" i="56" a="1"/>
  <c r="AZ426" i="56" s="1"/>
  <c r="BA426" i="56" a="1"/>
  <c r="BA426" i="56"/>
  <c r="BB426" i="56" a="1"/>
  <c r="BB426" i="56"/>
  <c r="AZ427" i="56" a="1"/>
  <c r="AZ427" i="56"/>
  <c r="BA427" i="56" a="1"/>
  <c r="BA427" i="56" s="1"/>
  <c r="BB427" i="56" a="1"/>
  <c r="BB427" i="56"/>
  <c r="AZ428" i="56" a="1"/>
  <c r="AZ428" i="56"/>
  <c r="BA428" i="56" a="1"/>
  <c r="BA428" i="56"/>
  <c r="BB428" i="56" a="1"/>
  <c r="BB428" i="56" s="1"/>
  <c r="BA421" i="56" a="1"/>
  <c r="BA421" i="56" s="1"/>
  <c r="BB421" i="56" a="1"/>
  <c r="BB421" i="56"/>
  <c r="AZ421" i="56" a="1"/>
  <c r="AZ421" i="56" s="1"/>
  <c r="AH421" i="56"/>
  <c r="AG421" i="56"/>
  <c r="B410" i="56"/>
  <c r="B409" i="56"/>
  <c r="B406" i="56"/>
  <c r="B402" i="56"/>
  <c r="BF392" i="56" a="1"/>
  <c r="BF392" i="56" s="1"/>
  <c r="BG392" i="56" a="1"/>
  <c r="BG392" i="56" s="1"/>
  <c r="BH392" i="56" a="1"/>
  <c r="BH392" i="56"/>
  <c r="BI392" i="56" a="1"/>
  <c r="BI392" i="56"/>
  <c r="BJ392" i="56" a="1"/>
  <c r="BJ392" i="56" s="1"/>
  <c r="BK392" i="56" a="1"/>
  <c r="BK392" i="56" s="1"/>
  <c r="BL392" i="56" a="1"/>
  <c r="BL392" i="56"/>
  <c r="BM392" i="56" a="1"/>
  <c r="BM392" i="56"/>
  <c r="BN392" i="56" a="1"/>
  <c r="BN392" i="56" s="1"/>
  <c r="BO392" i="56" a="1"/>
  <c r="BO392" i="56" s="1"/>
  <c r="BP392" i="56" a="1"/>
  <c r="BP392" i="56"/>
  <c r="BQ392" i="56" a="1"/>
  <c r="BQ392" i="56"/>
  <c r="BR392" i="56" a="1"/>
  <c r="BR392" i="56" s="1"/>
  <c r="BS392" i="56" a="1"/>
  <c r="BS392" i="56" s="1"/>
  <c r="BT392" i="56" a="1"/>
  <c r="BT392" i="56"/>
  <c r="BU392" i="56" a="1"/>
  <c r="BU392" i="56"/>
  <c r="BV392" i="56" a="1"/>
  <c r="BV392" i="56" s="1"/>
  <c r="BW392" i="56" a="1"/>
  <c r="BW392" i="56" s="1"/>
  <c r="BX392" i="56" a="1"/>
  <c r="BX392" i="56"/>
  <c r="BY392" i="56" a="1"/>
  <c r="BY392" i="56"/>
  <c r="BZ392" i="56" a="1"/>
  <c r="BZ392" i="56" s="1"/>
  <c r="CA392" i="56" a="1"/>
  <c r="CA392" i="56" s="1"/>
  <c r="CB392" i="56" a="1"/>
  <c r="CB392" i="56"/>
  <c r="CC392" i="56" a="1"/>
  <c r="CC392" i="56"/>
  <c r="BF393" i="56" a="1"/>
  <c r="BF393" i="56" s="1"/>
  <c r="BG393" i="56" a="1"/>
  <c r="BG393" i="56" s="1"/>
  <c r="BH393" i="56" a="1"/>
  <c r="BH393" i="56"/>
  <c r="BI393" i="56" a="1"/>
  <c r="BI393" i="56"/>
  <c r="BJ393" i="56" a="1"/>
  <c r="BJ393" i="56" s="1"/>
  <c r="BK393" i="56" a="1"/>
  <c r="BK393" i="56" s="1"/>
  <c r="BL393" i="56" a="1"/>
  <c r="BL393" i="56"/>
  <c r="BM393" i="56" a="1"/>
  <c r="BM393" i="56"/>
  <c r="BN393" i="56" a="1"/>
  <c r="BN393" i="56" s="1"/>
  <c r="BO393" i="56" a="1"/>
  <c r="BO393" i="56" s="1"/>
  <c r="BP393" i="56" a="1"/>
  <c r="BP393" i="56"/>
  <c r="BQ393" i="56" a="1"/>
  <c r="BQ393" i="56"/>
  <c r="BR393" i="56" a="1"/>
  <c r="BR393" i="56" s="1"/>
  <c r="BS393" i="56" a="1"/>
  <c r="BS393" i="56" s="1"/>
  <c r="BT393" i="56" a="1"/>
  <c r="BT393" i="56"/>
  <c r="BU393" i="56" a="1"/>
  <c r="BU393" i="56"/>
  <c r="BV393" i="56" a="1"/>
  <c r="BV393" i="56" s="1"/>
  <c r="BW393" i="56" a="1"/>
  <c r="BW393" i="56" s="1"/>
  <c r="BX393" i="56" a="1"/>
  <c r="BX393" i="56"/>
  <c r="BY393" i="56" a="1"/>
  <c r="BY393" i="56"/>
  <c r="BZ393" i="56" a="1"/>
  <c r="BZ393" i="56" s="1"/>
  <c r="CA393" i="56" a="1"/>
  <c r="CA393" i="56" s="1"/>
  <c r="CB393" i="56" a="1"/>
  <c r="CB393" i="56"/>
  <c r="CC393" i="56" a="1"/>
  <c r="CC393" i="56"/>
  <c r="BF394" i="56" a="1"/>
  <c r="BF394" i="56" s="1"/>
  <c r="BG394" i="56" a="1"/>
  <c r="BG394" i="56" s="1"/>
  <c r="BH394" i="56" a="1"/>
  <c r="BH394" i="56"/>
  <c r="BI394" i="56" a="1"/>
  <c r="BI394" i="56"/>
  <c r="BJ394" i="56" a="1"/>
  <c r="BJ394" i="56" s="1"/>
  <c r="BK394" i="56" a="1"/>
  <c r="BK394" i="56" s="1"/>
  <c r="BL394" i="56" a="1"/>
  <c r="BL394" i="56"/>
  <c r="BM394" i="56" a="1"/>
  <c r="BM394" i="56"/>
  <c r="BN394" i="56" a="1"/>
  <c r="BN394" i="56" s="1"/>
  <c r="BO394" i="56" a="1"/>
  <c r="BO394" i="56" s="1"/>
  <c r="BP394" i="56" a="1"/>
  <c r="BP394" i="56"/>
  <c r="BQ394" i="56" a="1"/>
  <c r="BQ394" i="56"/>
  <c r="BR394" i="56" a="1"/>
  <c r="BR394" i="56" s="1"/>
  <c r="BS394" i="56" a="1"/>
  <c r="BS394" i="56" s="1"/>
  <c r="BT394" i="56" a="1"/>
  <c r="BT394" i="56"/>
  <c r="BU394" i="56" a="1"/>
  <c r="BU394" i="56"/>
  <c r="BV394" i="56" a="1"/>
  <c r="BV394" i="56" s="1"/>
  <c r="BW394" i="56" a="1"/>
  <c r="BW394" i="56" s="1"/>
  <c r="BX394" i="56" a="1"/>
  <c r="BX394" i="56"/>
  <c r="BY394" i="56" a="1"/>
  <c r="BY394" i="56"/>
  <c r="BZ394" i="56" a="1"/>
  <c r="BZ394" i="56" s="1"/>
  <c r="CA394" i="56" a="1"/>
  <c r="CA394" i="56" s="1"/>
  <c r="CB394" i="56" a="1"/>
  <c r="CB394" i="56"/>
  <c r="CC394" i="56" a="1"/>
  <c r="CC394" i="56"/>
  <c r="BF395" i="56" a="1"/>
  <c r="BF395" i="56" s="1"/>
  <c r="BG395" i="56" a="1"/>
  <c r="BG395" i="56" s="1"/>
  <c r="BH395" i="56" a="1"/>
  <c r="BH395" i="56"/>
  <c r="BI395" i="56" a="1"/>
  <c r="BI395" i="56"/>
  <c r="BJ395" i="56" a="1"/>
  <c r="BJ395" i="56" s="1"/>
  <c r="BK395" i="56" a="1"/>
  <c r="BK395" i="56" s="1"/>
  <c r="BL395" i="56" a="1"/>
  <c r="BL395" i="56"/>
  <c r="BM395" i="56" a="1"/>
  <c r="BM395" i="56"/>
  <c r="BN395" i="56" a="1"/>
  <c r="BN395" i="56" s="1"/>
  <c r="BO395" i="56" a="1"/>
  <c r="BO395" i="56" s="1"/>
  <c r="BP395" i="56" a="1"/>
  <c r="BP395" i="56"/>
  <c r="BQ395" i="56" a="1"/>
  <c r="BQ395" i="56"/>
  <c r="BR395" i="56" a="1"/>
  <c r="BR395" i="56" s="1"/>
  <c r="BS395" i="56" a="1"/>
  <c r="BS395" i="56" s="1"/>
  <c r="BT395" i="56" a="1"/>
  <c r="BT395" i="56"/>
  <c r="BU395" i="56" a="1"/>
  <c r="BU395" i="56"/>
  <c r="BV395" i="56" a="1"/>
  <c r="BV395" i="56" s="1"/>
  <c r="BW395" i="56" a="1"/>
  <c r="BW395" i="56" s="1"/>
  <c r="BX395" i="56" a="1"/>
  <c r="BX395" i="56"/>
  <c r="BY395" i="56" a="1"/>
  <c r="BY395" i="56"/>
  <c r="BZ395" i="56" a="1"/>
  <c r="BZ395" i="56" s="1"/>
  <c r="CA395" i="56" a="1"/>
  <c r="CA395" i="56" s="1"/>
  <c r="CB395" i="56" a="1"/>
  <c r="CB395" i="56"/>
  <c r="CC395" i="56" a="1"/>
  <c r="CC395" i="56"/>
  <c r="BF396" i="56" a="1"/>
  <c r="BF396" i="56" s="1"/>
  <c r="BG396" i="56" a="1"/>
  <c r="BG396" i="56" s="1"/>
  <c r="BH396" i="56" a="1"/>
  <c r="BH396" i="56"/>
  <c r="BI396" i="56" a="1"/>
  <c r="BI396" i="56"/>
  <c r="BJ396" i="56" a="1"/>
  <c r="BJ396" i="56" s="1"/>
  <c r="BK396" i="56" a="1"/>
  <c r="BK396" i="56" s="1"/>
  <c r="BL396" i="56" a="1"/>
  <c r="BL396" i="56"/>
  <c r="BM396" i="56" a="1"/>
  <c r="BM396" i="56"/>
  <c r="BN396" i="56" a="1"/>
  <c r="BN396" i="56" s="1"/>
  <c r="BO396" i="56" a="1"/>
  <c r="BO396" i="56" s="1"/>
  <c r="BP396" i="56" a="1"/>
  <c r="BP396" i="56"/>
  <c r="BQ396" i="56" a="1"/>
  <c r="BQ396" i="56"/>
  <c r="BR396" i="56" a="1"/>
  <c r="BR396" i="56" s="1"/>
  <c r="BS396" i="56" a="1"/>
  <c r="BS396" i="56" s="1"/>
  <c r="BT396" i="56" a="1"/>
  <c r="BT396" i="56"/>
  <c r="BU396" i="56" a="1"/>
  <c r="BU396" i="56"/>
  <c r="BV396" i="56" a="1"/>
  <c r="BV396" i="56" s="1"/>
  <c r="BW396" i="56" a="1"/>
  <c r="BW396" i="56" s="1"/>
  <c r="BX396" i="56" a="1"/>
  <c r="BX396" i="56"/>
  <c r="BY396" i="56" a="1"/>
  <c r="BY396" i="56"/>
  <c r="BZ396" i="56" a="1"/>
  <c r="BZ396" i="56" s="1"/>
  <c r="CA396" i="56" a="1"/>
  <c r="CA396" i="56" s="1"/>
  <c r="CB396" i="56" a="1"/>
  <c r="CB396" i="56"/>
  <c r="CC396" i="56" a="1"/>
  <c r="CC396" i="56"/>
  <c r="BF397" i="56" a="1"/>
  <c r="BF397" i="56" s="1"/>
  <c r="BG397" i="56" a="1"/>
  <c r="BG397" i="56" s="1"/>
  <c r="BH397" i="56" a="1"/>
  <c r="BH397" i="56"/>
  <c r="BI397" i="56" a="1"/>
  <c r="BI397" i="56"/>
  <c r="BJ397" i="56" a="1"/>
  <c r="BJ397" i="56" s="1"/>
  <c r="BK397" i="56" a="1"/>
  <c r="BK397" i="56" s="1"/>
  <c r="BL397" i="56" a="1"/>
  <c r="BL397" i="56"/>
  <c r="BM397" i="56" a="1"/>
  <c r="BM397" i="56"/>
  <c r="BN397" i="56" a="1"/>
  <c r="BN397" i="56" s="1"/>
  <c r="BO397" i="56" a="1"/>
  <c r="BO397" i="56" s="1"/>
  <c r="BP397" i="56" a="1"/>
  <c r="BP397" i="56"/>
  <c r="BQ397" i="56" a="1"/>
  <c r="BQ397" i="56"/>
  <c r="BR397" i="56" a="1"/>
  <c r="BR397" i="56" s="1"/>
  <c r="BS397" i="56" a="1"/>
  <c r="BS397" i="56" s="1"/>
  <c r="BT397" i="56" a="1"/>
  <c r="BT397" i="56"/>
  <c r="BU397" i="56" a="1"/>
  <c r="BU397" i="56"/>
  <c r="BV397" i="56" a="1"/>
  <c r="BV397" i="56" s="1"/>
  <c r="BW397" i="56" a="1"/>
  <c r="BW397" i="56" s="1"/>
  <c r="BX397" i="56" a="1"/>
  <c r="BX397" i="56"/>
  <c r="BY397" i="56" a="1"/>
  <c r="BY397" i="56"/>
  <c r="BZ397" i="56" a="1"/>
  <c r="BZ397" i="56" s="1"/>
  <c r="CA397" i="56" a="1"/>
  <c r="CA397" i="56" s="1"/>
  <c r="CB397" i="56" a="1"/>
  <c r="CB397" i="56"/>
  <c r="CC397" i="56" a="1"/>
  <c r="CC397" i="56"/>
  <c r="BF398" i="56" a="1"/>
  <c r="BF398" i="56" s="1"/>
  <c r="BG398" i="56" a="1"/>
  <c r="BG398" i="56" s="1"/>
  <c r="BH398" i="56" a="1"/>
  <c r="BH398" i="56"/>
  <c r="BI398" i="56" a="1"/>
  <c r="BI398" i="56"/>
  <c r="BJ398" i="56" a="1"/>
  <c r="BJ398" i="56" s="1"/>
  <c r="BK398" i="56" a="1"/>
  <c r="BK398" i="56" s="1"/>
  <c r="BL398" i="56" a="1"/>
  <c r="BL398" i="56"/>
  <c r="BM398" i="56" a="1"/>
  <c r="BM398" i="56"/>
  <c r="BN398" i="56" a="1"/>
  <c r="BN398" i="56" s="1"/>
  <c r="BO398" i="56" a="1"/>
  <c r="BO398" i="56" s="1"/>
  <c r="BP398" i="56" a="1"/>
  <c r="BP398" i="56"/>
  <c r="BQ398" i="56" a="1"/>
  <c r="BQ398" i="56"/>
  <c r="BR398" i="56" a="1"/>
  <c r="BR398" i="56" s="1"/>
  <c r="BS398" i="56" a="1"/>
  <c r="BS398" i="56" s="1"/>
  <c r="BT398" i="56" a="1"/>
  <c r="BT398" i="56"/>
  <c r="BU398" i="56" a="1"/>
  <c r="BU398" i="56"/>
  <c r="BV398" i="56" a="1"/>
  <c r="BV398" i="56" s="1"/>
  <c r="BW398" i="56" a="1"/>
  <c r="BW398" i="56" s="1"/>
  <c r="BX398" i="56" a="1"/>
  <c r="BX398" i="56"/>
  <c r="BY398" i="56" a="1"/>
  <c r="BY398" i="56"/>
  <c r="BZ398" i="56" a="1"/>
  <c r="BZ398" i="56" s="1"/>
  <c r="CA398" i="56" a="1"/>
  <c r="CA398" i="56" s="1"/>
  <c r="CB398" i="56" a="1"/>
  <c r="CB398" i="56"/>
  <c r="CC398" i="56" a="1"/>
  <c r="CC398" i="56"/>
  <c r="BI391" i="56" a="1"/>
  <c r="BI391" i="56" s="1"/>
  <c r="BJ391" i="56" a="1"/>
  <c r="BJ391" i="56"/>
  <c r="BK391" i="56" a="1"/>
  <c r="BK391" i="56"/>
  <c r="BL391" i="56" a="1"/>
  <c r="BL391" i="56"/>
  <c r="BM391" i="56" a="1"/>
  <c r="BM391" i="56" s="1"/>
  <c r="BN391" i="56" a="1"/>
  <c r="BN391" i="56"/>
  <c r="BO391" i="56" a="1"/>
  <c r="BO391" i="56"/>
  <c r="BP391" i="56" a="1"/>
  <c r="BP391" i="56"/>
  <c r="BQ391" i="56" a="1"/>
  <c r="BQ391" i="56" s="1"/>
  <c r="BR391" i="56" a="1"/>
  <c r="BR391" i="56"/>
  <c r="BS391" i="56" a="1"/>
  <c r="BS391" i="56"/>
  <c r="BT391" i="56" a="1"/>
  <c r="BT391" i="56"/>
  <c r="BU391" i="56" a="1"/>
  <c r="BU391" i="56" s="1"/>
  <c r="BV391" i="56" a="1"/>
  <c r="BV391" i="56"/>
  <c r="BW391" i="56" a="1"/>
  <c r="BW391" i="56"/>
  <c r="BX391" i="56" a="1"/>
  <c r="BX391" i="56"/>
  <c r="BY391" i="56" a="1"/>
  <c r="BY391" i="56" s="1"/>
  <c r="BZ391" i="56" a="1"/>
  <c r="BZ391" i="56"/>
  <c r="CA391" i="56" a="1"/>
  <c r="CA391" i="56"/>
  <c r="CB391" i="56" a="1"/>
  <c r="CB391" i="56"/>
  <c r="CC391" i="56" a="1"/>
  <c r="CC391" i="56" s="1"/>
  <c r="BO384" i="56"/>
  <c r="BO377" i="56" a="1"/>
  <c r="BO377" i="56" s="1"/>
  <c r="BO378" i="56" a="1"/>
  <c r="BO378" i="56"/>
  <c r="BO379" i="56" a="1"/>
  <c r="BO379" i="56"/>
  <c r="BO380" i="56" a="1"/>
  <c r="BO380" i="56" s="1"/>
  <c r="BO381" i="56" a="1"/>
  <c r="BO381" i="56" s="1"/>
  <c r="BO382" i="56" a="1"/>
  <c r="BO382" i="56"/>
  <c r="BO383" i="56" a="1"/>
  <c r="BO383" i="56" s="1"/>
  <c r="BO376" i="56" a="1"/>
  <c r="BO376" i="56" s="1"/>
  <c r="BF377" i="56" a="1"/>
  <c r="BF377" i="56" s="1"/>
  <c r="BG377" i="56" a="1"/>
  <c r="BG377" i="56"/>
  <c r="BH377" i="56" a="1"/>
  <c r="BH377" i="56"/>
  <c r="BI377" i="56" a="1"/>
  <c r="BI377" i="56"/>
  <c r="BJ377" i="56" a="1"/>
  <c r="BJ377" i="56" s="1"/>
  <c r="BK377" i="56" a="1"/>
  <c r="BK377" i="56"/>
  <c r="BL377" i="56" a="1"/>
  <c r="BL377" i="56"/>
  <c r="BM377" i="56" a="1"/>
  <c r="BM377" i="56"/>
  <c r="BN377" i="56" a="1"/>
  <c r="BN377" i="56" s="1"/>
  <c r="BF378" i="56" a="1"/>
  <c r="BF378" i="56"/>
  <c r="BG378" i="56" a="1"/>
  <c r="BG378" i="56"/>
  <c r="BH378" i="56" a="1"/>
  <c r="BH378" i="56"/>
  <c r="BI378" i="56" a="1"/>
  <c r="BI378" i="56" s="1"/>
  <c r="BJ378" i="56" a="1"/>
  <c r="BJ378" i="56"/>
  <c r="BK378" i="56" a="1"/>
  <c r="BK378" i="56"/>
  <c r="BL378" i="56" a="1"/>
  <c r="BL378" i="56"/>
  <c r="BM378" i="56" a="1"/>
  <c r="BM378" i="56" s="1"/>
  <c r="BN378" i="56" a="1"/>
  <c r="BN378" i="56"/>
  <c r="BF379" i="56" a="1"/>
  <c r="BF379" i="56"/>
  <c r="BG379" i="56" a="1"/>
  <c r="BG379" i="56"/>
  <c r="BH379" i="56" a="1"/>
  <c r="BH379" i="56" s="1"/>
  <c r="BI379" i="56" a="1"/>
  <c r="BI379" i="56"/>
  <c r="BJ379" i="56" a="1"/>
  <c r="BJ379" i="56"/>
  <c r="BK379" i="56" a="1"/>
  <c r="BK379" i="56"/>
  <c r="BL379" i="56" a="1"/>
  <c r="BL379" i="56" s="1"/>
  <c r="BM379" i="56" a="1"/>
  <c r="BM379" i="56"/>
  <c r="BN379" i="56" a="1"/>
  <c r="BN379" i="56"/>
  <c r="BF380" i="56" a="1"/>
  <c r="BF380" i="56"/>
  <c r="BG380" i="56" a="1"/>
  <c r="BG380" i="56" s="1"/>
  <c r="BH380" i="56" a="1"/>
  <c r="BH380" i="56"/>
  <c r="BI380" i="56" a="1"/>
  <c r="BI380" i="56"/>
  <c r="BJ380" i="56" a="1"/>
  <c r="BJ380" i="56"/>
  <c r="BK380" i="56" a="1"/>
  <c r="BK380" i="56" s="1"/>
  <c r="BL380" i="56" a="1"/>
  <c r="BL380" i="56"/>
  <c r="BM380" i="56" a="1"/>
  <c r="BM380" i="56"/>
  <c r="BN380" i="56" a="1"/>
  <c r="BN380" i="56"/>
  <c r="BF381" i="56" a="1"/>
  <c r="BF381" i="56" s="1"/>
  <c r="BG381" i="56" a="1"/>
  <c r="BG381" i="56"/>
  <c r="BH381" i="56" a="1"/>
  <c r="BH381" i="56"/>
  <c r="BI381" i="56" a="1"/>
  <c r="BI381" i="56"/>
  <c r="BJ381" i="56" a="1"/>
  <c r="BJ381" i="56" s="1"/>
  <c r="BK381" i="56" a="1"/>
  <c r="BK381" i="56"/>
  <c r="BL381" i="56" a="1"/>
  <c r="BL381" i="56"/>
  <c r="BM381" i="56" a="1"/>
  <c r="BM381" i="56"/>
  <c r="BN381" i="56" a="1"/>
  <c r="BN381" i="56" s="1"/>
  <c r="BF382" i="56" a="1"/>
  <c r="BF382" i="56"/>
  <c r="BG382" i="56" a="1"/>
  <c r="BG382" i="56"/>
  <c r="BH382" i="56" a="1"/>
  <c r="BH382" i="56"/>
  <c r="BI382" i="56" a="1"/>
  <c r="BI382" i="56" s="1"/>
  <c r="BJ382" i="56" a="1"/>
  <c r="BJ382" i="56"/>
  <c r="BK382" i="56" a="1"/>
  <c r="BK382" i="56"/>
  <c r="BL382" i="56" a="1"/>
  <c r="BL382" i="56"/>
  <c r="BM382" i="56" a="1"/>
  <c r="BM382" i="56" s="1"/>
  <c r="BN382" i="56" a="1"/>
  <c r="BN382" i="56"/>
  <c r="BF383" i="56" a="1"/>
  <c r="BF383" i="56"/>
  <c r="BG383" i="56" a="1"/>
  <c r="BG383" i="56"/>
  <c r="BH383" i="56" a="1"/>
  <c r="BH383" i="56" s="1"/>
  <c r="BI383" i="56" a="1"/>
  <c r="BI383" i="56"/>
  <c r="BJ383" i="56" a="1"/>
  <c r="BJ383" i="56"/>
  <c r="BK383" i="56" a="1"/>
  <c r="BK383" i="56"/>
  <c r="BL383" i="56" a="1"/>
  <c r="BL383" i="56" s="1"/>
  <c r="BM383" i="56" a="1"/>
  <c r="BM383" i="56"/>
  <c r="BN383" i="56" a="1"/>
  <c r="BN383" i="56"/>
  <c r="BI376" i="56" a="1"/>
  <c r="BI376" i="56" s="1"/>
  <c r="BJ376" i="56" a="1"/>
  <c r="BJ376" i="56" s="1"/>
  <c r="BK376" i="56" a="1"/>
  <c r="BK376" i="56"/>
  <c r="BL376" i="56" a="1"/>
  <c r="BL376" i="56"/>
  <c r="BM376" i="56" a="1"/>
  <c r="BM376" i="56" s="1"/>
  <c r="BN376" i="56" a="1"/>
  <c r="BN376" i="56"/>
  <c r="AZ377" i="56" a="1"/>
  <c r="AZ377" i="56" s="1"/>
  <c r="BA377" i="56" a="1"/>
  <c r="BA377" i="56"/>
  <c r="BB377" i="56" a="1"/>
  <c r="BB377" i="56"/>
  <c r="AZ378" i="56" a="1"/>
  <c r="AZ378" i="56"/>
  <c r="BA378" i="56" a="1"/>
  <c r="BA378" i="56" s="1"/>
  <c r="BB378" i="56" a="1"/>
  <c r="BB378" i="56"/>
  <c r="AZ379" i="56" a="1"/>
  <c r="AZ379" i="56"/>
  <c r="BA379" i="56" a="1"/>
  <c r="BA379" i="56"/>
  <c r="BB379" i="56" a="1"/>
  <c r="BB379" i="56" s="1"/>
  <c r="AZ380" i="56" a="1"/>
  <c r="AZ380" i="56"/>
  <c r="BA380" i="56" a="1"/>
  <c r="BA380" i="56"/>
  <c r="BB380" i="56" a="1"/>
  <c r="BB380" i="56"/>
  <c r="AZ381" i="56" a="1"/>
  <c r="AZ381" i="56" s="1"/>
  <c r="BA381" i="56" a="1"/>
  <c r="BA381" i="56"/>
  <c r="BB381" i="56" a="1"/>
  <c r="BB381" i="56" s="1"/>
  <c r="AZ382" i="56" a="1"/>
  <c r="AZ382" i="56"/>
  <c r="BA382" i="56" a="1"/>
  <c r="BA382" i="56" s="1"/>
  <c r="BB382" i="56" a="1"/>
  <c r="BB382" i="56"/>
  <c r="AZ383" i="56" a="1"/>
  <c r="AZ383" i="56" s="1"/>
  <c r="BA383" i="56" a="1"/>
  <c r="BA383" i="56"/>
  <c r="BB383" i="56" a="1"/>
  <c r="BB383" i="56" s="1"/>
  <c r="BC377" i="56"/>
  <c r="BD377" i="56"/>
  <c r="BE377" i="56"/>
  <c r="BC378" i="56"/>
  <c r="BD378" i="56"/>
  <c r="BE378" i="56"/>
  <c r="BC379" i="56"/>
  <c r="BD379" i="56"/>
  <c r="BE379" i="56"/>
  <c r="BC380" i="56"/>
  <c r="BD380" i="56"/>
  <c r="BE380" i="56"/>
  <c r="BC381" i="56"/>
  <c r="BD381" i="56"/>
  <c r="BE381" i="56"/>
  <c r="BC382" i="56"/>
  <c r="BD382" i="56"/>
  <c r="BE382" i="56"/>
  <c r="BC383" i="56"/>
  <c r="BD383" i="56"/>
  <c r="BE383" i="56"/>
  <c r="BE376" i="56"/>
  <c r="AK377" i="56"/>
  <c r="AL377" i="56"/>
  <c r="AM377" i="56"/>
  <c r="AN377" i="56"/>
  <c r="AO377" i="56"/>
  <c r="AP377" i="56"/>
  <c r="AQ377" i="56"/>
  <c r="AR377" i="56"/>
  <c r="AS377" i="56"/>
  <c r="AT377" i="56"/>
  <c r="AU377" i="56"/>
  <c r="AV377" i="56"/>
  <c r="AK378" i="56"/>
  <c r="AL378" i="56"/>
  <c r="AM378" i="56"/>
  <c r="AN378" i="56"/>
  <c r="AO378" i="56"/>
  <c r="AP378" i="56"/>
  <c r="AQ378" i="56"/>
  <c r="AR378" i="56"/>
  <c r="AS378" i="56"/>
  <c r="AT378" i="56"/>
  <c r="AU378" i="56"/>
  <c r="AV378" i="56"/>
  <c r="AK379" i="56"/>
  <c r="AL379" i="56"/>
  <c r="AM379" i="56"/>
  <c r="AN379" i="56"/>
  <c r="AO379" i="56"/>
  <c r="AP379" i="56"/>
  <c r="AQ379" i="56"/>
  <c r="AR379" i="56"/>
  <c r="AS379" i="56"/>
  <c r="AT379" i="56"/>
  <c r="AU379" i="56"/>
  <c r="AV379" i="56"/>
  <c r="AK380" i="56"/>
  <c r="AL380" i="56"/>
  <c r="AM380" i="56"/>
  <c r="AN380" i="56"/>
  <c r="AO380" i="56"/>
  <c r="AP380" i="56"/>
  <c r="AQ380" i="56"/>
  <c r="AR380" i="56"/>
  <c r="AS380" i="56"/>
  <c r="AT380" i="56"/>
  <c r="AU380" i="56"/>
  <c r="AV380" i="56"/>
  <c r="AK381" i="56"/>
  <c r="AL381" i="56"/>
  <c r="AM381" i="56"/>
  <c r="AN381" i="56"/>
  <c r="AO381" i="56"/>
  <c r="AP381" i="56"/>
  <c r="AQ381" i="56"/>
  <c r="AR381" i="56"/>
  <c r="AS381" i="56"/>
  <c r="AT381" i="56"/>
  <c r="AU381" i="56"/>
  <c r="AV381" i="56"/>
  <c r="AK382" i="56"/>
  <c r="AL382" i="56"/>
  <c r="AM382" i="56"/>
  <c r="AN382" i="56"/>
  <c r="AO382" i="56"/>
  <c r="AP382" i="56"/>
  <c r="AQ382" i="56"/>
  <c r="AR382" i="56"/>
  <c r="AS382" i="56"/>
  <c r="AT382" i="56"/>
  <c r="AU382" i="56"/>
  <c r="AV382" i="56"/>
  <c r="AK383" i="56"/>
  <c r="AL383" i="56"/>
  <c r="AM383" i="56"/>
  <c r="AN383" i="56"/>
  <c r="AO383" i="56"/>
  <c r="AP383" i="56"/>
  <c r="AQ383" i="56"/>
  <c r="AR383" i="56"/>
  <c r="AS383" i="56"/>
  <c r="AT383" i="56"/>
  <c r="AU383" i="56"/>
  <c r="AV383" i="56"/>
  <c r="AN376" i="56"/>
  <c r="AO376" i="56"/>
  <c r="AP376" i="56"/>
  <c r="AQ376" i="56"/>
  <c r="AR376" i="56"/>
  <c r="AS376" i="56"/>
  <c r="AT376" i="56"/>
  <c r="AU376" i="56"/>
  <c r="AV376" i="56"/>
  <c r="AH377" i="56"/>
  <c r="AH378" i="56"/>
  <c r="AH379" i="56"/>
  <c r="AH380" i="56"/>
  <c r="AH381" i="56"/>
  <c r="AH382" i="56"/>
  <c r="AH383" i="56"/>
  <c r="AG377" i="56"/>
  <c r="AG378" i="56"/>
  <c r="AG379" i="56"/>
  <c r="AG380" i="56"/>
  <c r="AG381" i="56"/>
  <c r="AG382" i="56"/>
  <c r="AG383" i="56"/>
  <c r="AF377" i="56"/>
  <c r="AF378" i="56"/>
  <c r="AF379" i="56"/>
  <c r="AF380" i="56"/>
  <c r="AF381" i="56"/>
  <c r="AF382" i="56"/>
  <c r="AF383" i="56"/>
  <c r="B353" i="56"/>
  <c r="B352" i="56"/>
  <c r="AJ342" i="56"/>
  <c r="AJ343" i="56"/>
  <c r="AJ344" i="56"/>
  <c r="AJ345" i="56"/>
  <c r="AJ346" i="56"/>
  <c r="AJ347" i="56"/>
  <c r="AJ348" i="56"/>
  <c r="AI342" i="56"/>
  <c r="AI343" i="56"/>
  <c r="AI344" i="56"/>
  <c r="AI345" i="56"/>
  <c r="AI346" i="56"/>
  <c r="AI347" i="56"/>
  <c r="AI348" i="56"/>
  <c r="AG342" i="56"/>
  <c r="AG343" i="56"/>
  <c r="AG344" i="56"/>
  <c r="AG345" i="56"/>
  <c r="AG346" i="56"/>
  <c r="AG347" i="56"/>
  <c r="AG348" i="56"/>
  <c r="B334" i="56"/>
  <c r="B333" i="56"/>
  <c r="B332" i="56"/>
  <c r="B331" i="56"/>
  <c r="B330" i="56"/>
  <c r="B329" i="56"/>
  <c r="B326" i="56"/>
  <c r="AH316" i="56"/>
  <c r="AH317" i="56"/>
  <c r="AH318" i="56"/>
  <c r="AH319" i="56"/>
  <c r="AH320" i="56"/>
  <c r="AH321" i="56"/>
  <c r="AH322" i="56"/>
  <c r="AG316" i="56"/>
  <c r="AG317" i="56"/>
  <c r="AG318" i="56"/>
  <c r="AG319" i="56"/>
  <c r="AG320" i="56"/>
  <c r="AG321" i="56"/>
  <c r="AG322" i="56"/>
  <c r="B305" i="56" l="1"/>
  <c r="B304" i="56"/>
  <c r="B303" i="56"/>
  <c r="B302" i="56"/>
  <c r="B301" i="56"/>
  <c r="B300" i="56"/>
  <c r="AH273" i="56"/>
  <c r="AH274" i="56"/>
  <c r="AH275" i="56"/>
  <c r="AH276" i="56"/>
  <c r="AH277" i="56"/>
  <c r="AH278" i="56"/>
  <c r="AH279" i="56"/>
  <c r="AG279" i="56"/>
  <c r="AG273" i="56"/>
  <c r="AG274" i="56"/>
  <c r="AG275" i="56"/>
  <c r="AG276" i="56"/>
  <c r="AG277" i="56"/>
  <c r="AG278" i="56"/>
  <c r="B253" i="56"/>
  <c r="B261" i="56"/>
  <c r="B260" i="56"/>
  <c r="B257" i="56"/>
  <c r="AH228" i="56"/>
  <c r="AH229" i="56"/>
  <c r="AH230" i="56"/>
  <c r="AH231" i="56"/>
  <c r="AH232" i="56"/>
  <c r="AH233" i="56"/>
  <c r="AH234" i="56"/>
  <c r="AG228" i="56"/>
  <c r="AG229" i="56"/>
  <c r="AG230" i="56"/>
  <c r="AG231" i="56"/>
  <c r="AG232" i="56"/>
  <c r="AG233" i="56"/>
  <c r="AG234" i="56"/>
  <c r="B211" i="56"/>
  <c r="AH182" i="56"/>
  <c r="AH183" i="56"/>
  <c r="AH184" i="56"/>
  <c r="AH185" i="56"/>
  <c r="AH186" i="56"/>
  <c r="AH187" i="56"/>
  <c r="AH188" i="56"/>
  <c r="AG182" i="56"/>
  <c r="AG183" i="56"/>
  <c r="AG184" i="56"/>
  <c r="AG185" i="56"/>
  <c r="AG186" i="56"/>
  <c r="AG187" i="56"/>
  <c r="AG188" i="56"/>
  <c r="B166" i="56"/>
  <c r="B163" i="56"/>
  <c r="AH151" i="56"/>
  <c r="AH152" i="56"/>
  <c r="AH153" i="56"/>
  <c r="AH154" i="56"/>
  <c r="AH155" i="56"/>
  <c r="AH156" i="56"/>
  <c r="AH157" i="56"/>
  <c r="AG151" i="56"/>
  <c r="AG152" i="56"/>
  <c r="AG153" i="56"/>
  <c r="AG154" i="56"/>
  <c r="AG155" i="56"/>
  <c r="AG156" i="56"/>
  <c r="AG157" i="56"/>
  <c r="B138" i="56"/>
  <c r="B139" i="56"/>
  <c r="B137" i="56"/>
  <c r="B136" i="56"/>
  <c r="B135" i="56"/>
  <c r="B132" i="56"/>
  <c r="AG98" i="56"/>
  <c r="AG92" i="56"/>
  <c r="AG93" i="56"/>
  <c r="AG94" i="56"/>
  <c r="AG95" i="56"/>
  <c r="AG96" i="56"/>
  <c r="AG97" i="56"/>
  <c r="B74" i="56"/>
  <c r="B73" i="56"/>
  <c r="B72" i="56"/>
  <c r="AG61" i="56"/>
  <c r="AG62" i="56"/>
  <c r="AG63" i="56"/>
  <c r="AG64" i="56"/>
  <c r="AG65" i="56"/>
  <c r="AG66" i="56"/>
  <c r="AG67" i="56"/>
  <c r="AG60" i="56"/>
  <c r="AG150" i="56"/>
  <c r="AG91" i="56"/>
  <c r="B51" i="56"/>
  <c r="B50" i="56"/>
  <c r="B49" i="56"/>
  <c r="B48" i="56"/>
  <c r="B47" i="56"/>
  <c r="B46" i="56"/>
  <c r="BH699" i="44" a="1"/>
  <c r="BH699" i="44" s="1"/>
  <c r="BG699" i="44" a="1"/>
  <c r="BG699" i="44" s="1"/>
  <c r="BF699" i="44" a="1"/>
  <c r="BF699" i="44" s="1"/>
  <c r="BF685" i="44" a="1"/>
  <c r="BF685" i="44" s="1"/>
  <c r="BE685" i="44" a="1"/>
  <c r="BE685" i="44" s="1"/>
  <c r="BD685" i="44" a="1"/>
  <c r="BD685" i="44" s="1"/>
  <c r="BC685" i="44" a="1"/>
  <c r="BC685" i="44" s="1"/>
  <c r="BB685" i="44" a="1"/>
  <c r="BB685" i="44" s="1"/>
  <c r="BA685" i="44" a="1"/>
  <c r="BA685" i="44" s="1"/>
  <c r="BE720" i="44"/>
  <c r="BD720" i="44"/>
  <c r="BC720" i="44"/>
  <c r="BB720" i="44"/>
  <c r="BA720" i="44"/>
  <c r="AZ720" i="44"/>
  <c r="AY720" i="44"/>
  <c r="AX720" i="44"/>
  <c r="AW720" i="44"/>
  <c r="AV720" i="44"/>
  <c r="AU720" i="44"/>
  <c r="AT720" i="44"/>
  <c r="AS720" i="44"/>
  <c r="AR720" i="44"/>
  <c r="AQ720" i="44"/>
  <c r="AP720" i="44"/>
  <c r="AO720" i="44"/>
  <c r="AN720" i="44"/>
  <c r="AM720" i="44"/>
  <c r="AL720" i="44"/>
  <c r="AK720" i="44"/>
  <c r="AJ720" i="44"/>
  <c r="AI720" i="44"/>
  <c r="AH720" i="44"/>
  <c r="BE719" i="44"/>
  <c r="BD719" i="44"/>
  <c r="BC719" i="44"/>
  <c r="BB719" i="44"/>
  <c r="BA719" i="44"/>
  <c r="AZ719" i="44"/>
  <c r="AY719" i="44"/>
  <c r="AX719" i="44"/>
  <c r="AW719" i="44"/>
  <c r="AV719" i="44"/>
  <c r="AU719" i="44"/>
  <c r="AT719" i="44"/>
  <c r="AS719" i="44"/>
  <c r="AR719" i="44"/>
  <c r="AQ719" i="44"/>
  <c r="AP719" i="44"/>
  <c r="AO719" i="44"/>
  <c r="AN719" i="44"/>
  <c r="AM719" i="44"/>
  <c r="AL719" i="44"/>
  <c r="AK719" i="44"/>
  <c r="AJ719" i="44"/>
  <c r="AI719" i="44"/>
  <c r="AH719" i="44"/>
  <c r="BE718" i="44"/>
  <c r="BD718" i="44"/>
  <c r="BC718" i="44"/>
  <c r="BB718" i="44"/>
  <c r="BA718" i="44"/>
  <c r="AZ718" i="44"/>
  <c r="AY718" i="44"/>
  <c r="AX718" i="44"/>
  <c r="AW718" i="44"/>
  <c r="AV718" i="44"/>
  <c r="AU718" i="44"/>
  <c r="AT718" i="44"/>
  <c r="AS718" i="44"/>
  <c r="AR718" i="44"/>
  <c r="AQ718" i="44"/>
  <c r="AP718" i="44"/>
  <c r="AO718" i="44"/>
  <c r="AN718" i="44"/>
  <c r="AM718" i="44"/>
  <c r="AL718" i="44"/>
  <c r="AK718" i="44"/>
  <c r="AJ718" i="44"/>
  <c r="AI718" i="44"/>
  <c r="AH718" i="44"/>
  <c r="BE717" i="44"/>
  <c r="BD717" i="44"/>
  <c r="BC717" i="44"/>
  <c r="BB717" i="44"/>
  <c r="BA717" i="44"/>
  <c r="AZ717" i="44"/>
  <c r="AY717" i="44"/>
  <c r="AX717" i="44"/>
  <c r="AW717" i="44"/>
  <c r="AV717" i="44"/>
  <c r="AU717" i="44"/>
  <c r="AT717" i="44"/>
  <c r="AS717" i="44"/>
  <c r="AR717" i="44"/>
  <c r="AQ717" i="44"/>
  <c r="AP717" i="44"/>
  <c r="AO717" i="44"/>
  <c r="AN717" i="44"/>
  <c r="AM717" i="44"/>
  <c r="AL717" i="44"/>
  <c r="AK717" i="44"/>
  <c r="AJ717" i="44"/>
  <c r="AI717" i="44"/>
  <c r="AH717" i="44"/>
  <c r="BE716" i="44"/>
  <c r="BD716" i="44"/>
  <c r="BC716" i="44"/>
  <c r="BB716" i="44"/>
  <c r="BA716" i="44"/>
  <c r="AZ716" i="44"/>
  <c r="AY716" i="44"/>
  <c r="AX716" i="44"/>
  <c r="AW716" i="44"/>
  <c r="AV716" i="44"/>
  <c r="AU716" i="44"/>
  <c r="AT716" i="44"/>
  <c r="AS716" i="44"/>
  <c r="AR716" i="44"/>
  <c r="AQ716" i="44"/>
  <c r="AP716" i="44"/>
  <c r="AO716" i="44"/>
  <c r="AN716" i="44"/>
  <c r="AM716" i="44"/>
  <c r="AL716" i="44"/>
  <c r="AK716" i="44"/>
  <c r="AJ716" i="44"/>
  <c r="AI716" i="44"/>
  <c r="AH716" i="44"/>
  <c r="BE715" i="44"/>
  <c r="BD715" i="44"/>
  <c r="BC715" i="44"/>
  <c r="BB715" i="44"/>
  <c r="BA715" i="44"/>
  <c r="AZ715" i="44"/>
  <c r="AY715" i="44"/>
  <c r="AX715" i="44"/>
  <c r="AW715" i="44"/>
  <c r="AV715" i="44"/>
  <c r="AU715" i="44"/>
  <c r="AT715" i="44"/>
  <c r="AS715" i="44"/>
  <c r="AR715" i="44"/>
  <c r="AQ715" i="44"/>
  <c r="AP715" i="44"/>
  <c r="AO715" i="44"/>
  <c r="AN715" i="44"/>
  <c r="AM715" i="44"/>
  <c r="AL715" i="44"/>
  <c r="AK715" i="44"/>
  <c r="AJ715" i="44"/>
  <c r="AI715" i="44"/>
  <c r="AH715" i="44"/>
  <c r="BE714" i="44"/>
  <c r="BD714" i="44"/>
  <c r="BC714" i="44"/>
  <c r="BB714" i="44"/>
  <c r="BA714" i="44"/>
  <c r="AZ714" i="44"/>
  <c r="AY714" i="44"/>
  <c r="AX714" i="44"/>
  <c r="AW714" i="44"/>
  <c r="AV714" i="44"/>
  <c r="AU714" i="44"/>
  <c r="AT714" i="44"/>
  <c r="AS714" i="44"/>
  <c r="AR714" i="44"/>
  <c r="AQ714" i="44"/>
  <c r="AP714" i="44"/>
  <c r="AO714" i="44"/>
  <c r="AN714" i="44"/>
  <c r="AM714" i="44"/>
  <c r="AL714" i="44"/>
  <c r="AK714" i="44"/>
  <c r="AJ714" i="44"/>
  <c r="AI714" i="44"/>
  <c r="AH714" i="44"/>
  <c r="BE713" i="44"/>
  <c r="BE721" i="44" s="1"/>
  <c r="BD713" i="44"/>
  <c r="BC713" i="44"/>
  <c r="BC721" i="44" s="1"/>
  <c r="BB713" i="44"/>
  <c r="BB721" i="44" s="1"/>
  <c r="BA713" i="44"/>
  <c r="AZ713" i="44"/>
  <c r="AZ721" i="44" s="1"/>
  <c r="AX713" i="44"/>
  <c r="AW713" i="44"/>
  <c r="AW721" i="44" s="1"/>
  <c r="AV713" i="44"/>
  <c r="AV721" i="44" s="1"/>
  <c r="AU713" i="44"/>
  <c r="AT713" i="44"/>
  <c r="AT721" i="44" s="1"/>
  <c r="AR713" i="44"/>
  <c r="AS713" i="44" s="1"/>
  <c r="AS721" i="44" s="1"/>
  <c r="AQ713" i="44"/>
  <c r="AQ721" i="44" s="1"/>
  <c r="AO713" i="44"/>
  <c r="AP713" i="44" s="1"/>
  <c r="AP721" i="44" s="1"/>
  <c r="AN713" i="44"/>
  <c r="AN721" i="44" s="1"/>
  <c r="AL713" i="44"/>
  <c r="AK713" i="44"/>
  <c r="AK721" i="44" s="1"/>
  <c r="AJ713" i="44"/>
  <c r="AJ721" i="44" s="1"/>
  <c r="AI713" i="44"/>
  <c r="AH713" i="44"/>
  <c r="AH721" i="44" s="1"/>
  <c r="AH700" i="44"/>
  <c r="AI700" i="44"/>
  <c r="AJ700" i="44"/>
  <c r="AK700" i="44"/>
  <c r="AL700" i="44"/>
  <c r="AM700" i="44"/>
  <c r="AN700" i="44"/>
  <c r="AO700" i="44"/>
  <c r="AP700" i="44"/>
  <c r="AQ700" i="44"/>
  <c r="AR700" i="44"/>
  <c r="AS700" i="44"/>
  <c r="AT700" i="44"/>
  <c r="AU700" i="44"/>
  <c r="AV700" i="44"/>
  <c r="AW700" i="44"/>
  <c r="AX700" i="44"/>
  <c r="AY700" i="44"/>
  <c r="AZ700" i="44"/>
  <c r="BA700" i="44"/>
  <c r="BB700" i="44"/>
  <c r="BC700" i="44"/>
  <c r="BD700" i="44"/>
  <c r="BE700" i="44"/>
  <c r="AH701" i="44"/>
  <c r="AI701" i="44"/>
  <c r="AJ701" i="44"/>
  <c r="AK701" i="44"/>
  <c r="AL701" i="44"/>
  <c r="AM701" i="44"/>
  <c r="AN701" i="44"/>
  <c r="AO701" i="44"/>
  <c r="AP701" i="44"/>
  <c r="AQ701" i="44"/>
  <c r="AR701" i="44"/>
  <c r="AS701" i="44"/>
  <c r="AT701" i="44"/>
  <c r="AU701" i="44"/>
  <c r="AV701" i="44"/>
  <c r="AW701" i="44"/>
  <c r="AX701" i="44"/>
  <c r="AY701" i="44"/>
  <c r="AZ701" i="44"/>
  <c r="BA701" i="44"/>
  <c r="BB701" i="44"/>
  <c r="BC701" i="44"/>
  <c r="BD701" i="44"/>
  <c r="BE701" i="44"/>
  <c r="AH702" i="44"/>
  <c r="AI702" i="44"/>
  <c r="AJ702" i="44"/>
  <c r="AK702" i="44"/>
  <c r="AL702" i="44"/>
  <c r="AM702" i="44"/>
  <c r="AN702" i="44"/>
  <c r="AO702" i="44"/>
  <c r="AP702" i="44"/>
  <c r="AQ702" i="44"/>
  <c r="AR702" i="44"/>
  <c r="AS702" i="44"/>
  <c r="AT702" i="44"/>
  <c r="AU702" i="44"/>
  <c r="AV702" i="44"/>
  <c r="AW702" i="44"/>
  <c r="AX702" i="44"/>
  <c r="AY702" i="44"/>
  <c r="AZ702" i="44"/>
  <c r="BA702" i="44"/>
  <c r="BB702" i="44"/>
  <c r="BC702" i="44"/>
  <c r="BD702" i="44"/>
  <c r="BE702" i="44"/>
  <c r="AH703" i="44"/>
  <c r="AI703" i="44"/>
  <c r="AJ703" i="44"/>
  <c r="AK703" i="44"/>
  <c r="AL703" i="44"/>
  <c r="AM703" i="44"/>
  <c r="AN703" i="44"/>
  <c r="AO703" i="44"/>
  <c r="AP703" i="44"/>
  <c r="AQ703" i="44"/>
  <c r="AR703" i="44"/>
  <c r="AS703" i="44"/>
  <c r="AT703" i="44"/>
  <c r="AU703" i="44"/>
  <c r="AV703" i="44"/>
  <c r="AW703" i="44"/>
  <c r="AX703" i="44"/>
  <c r="AY703" i="44"/>
  <c r="AZ703" i="44"/>
  <c r="BA703" i="44"/>
  <c r="BB703" i="44"/>
  <c r="BC703" i="44"/>
  <c r="BD703" i="44"/>
  <c r="BE703" i="44"/>
  <c r="AH704" i="44"/>
  <c r="AI704" i="44"/>
  <c r="AJ704" i="44"/>
  <c r="AK704" i="44"/>
  <c r="AL704" i="44"/>
  <c r="AM704" i="44"/>
  <c r="AN704" i="44"/>
  <c r="AO704" i="44"/>
  <c r="AP704" i="44"/>
  <c r="AQ704" i="44"/>
  <c r="AR704" i="44"/>
  <c r="AS704" i="44"/>
  <c r="AT704" i="44"/>
  <c r="AU704" i="44"/>
  <c r="AV704" i="44"/>
  <c r="AW704" i="44"/>
  <c r="AX704" i="44"/>
  <c r="AY704" i="44"/>
  <c r="AZ704" i="44"/>
  <c r="BA704" i="44"/>
  <c r="BB704" i="44"/>
  <c r="BC704" i="44"/>
  <c r="BD704" i="44"/>
  <c r="BE704" i="44"/>
  <c r="AH705" i="44"/>
  <c r="AI705" i="44"/>
  <c r="AJ705" i="44"/>
  <c r="AK705" i="44"/>
  <c r="AL705" i="44"/>
  <c r="AM705" i="44"/>
  <c r="AN705" i="44"/>
  <c r="AO705" i="44"/>
  <c r="AP705" i="44"/>
  <c r="AQ705" i="44"/>
  <c r="AR705" i="44"/>
  <c r="AS705" i="44"/>
  <c r="AT705" i="44"/>
  <c r="AU705" i="44"/>
  <c r="AV705" i="44"/>
  <c r="AW705" i="44"/>
  <c r="AX705" i="44"/>
  <c r="AY705" i="44"/>
  <c r="AZ705" i="44"/>
  <c r="BA705" i="44"/>
  <c r="BB705" i="44"/>
  <c r="BC705" i="44"/>
  <c r="BD705" i="44"/>
  <c r="BE705" i="44"/>
  <c r="AH706" i="44"/>
  <c r="AI706" i="44"/>
  <c r="AJ706" i="44"/>
  <c r="AK706" i="44"/>
  <c r="AL706" i="44"/>
  <c r="AM706" i="44"/>
  <c r="AN706" i="44"/>
  <c r="AO706" i="44"/>
  <c r="AP706" i="44"/>
  <c r="AQ706" i="44"/>
  <c r="AR706" i="44"/>
  <c r="AS706" i="44"/>
  <c r="AT706" i="44"/>
  <c r="AU706" i="44"/>
  <c r="AV706" i="44"/>
  <c r="AW706" i="44"/>
  <c r="AX706" i="44"/>
  <c r="AY706" i="44"/>
  <c r="AZ706" i="44"/>
  <c r="BA706" i="44"/>
  <c r="BB706" i="44"/>
  <c r="BC706" i="44"/>
  <c r="BD706" i="44"/>
  <c r="BE706" i="44"/>
  <c r="AK699" i="44"/>
  <c r="AK707" i="44" s="1"/>
  <c r="AL699" i="44"/>
  <c r="AN699" i="44"/>
  <c r="AP699" i="44" s="1"/>
  <c r="AP707" i="44" s="1"/>
  <c r="AO699" i="44"/>
  <c r="AQ699" i="44"/>
  <c r="AQ707" i="44" s="1"/>
  <c r="AR699" i="44"/>
  <c r="AS699" i="44"/>
  <c r="AT699" i="44"/>
  <c r="AU699" i="44"/>
  <c r="AV699" i="44"/>
  <c r="AW699" i="44"/>
  <c r="AY699" i="44" s="1"/>
  <c r="AX699" i="44"/>
  <c r="AZ699" i="44"/>
  <c r="BB699" i="44" s="1"/>
  <c r="BA699" i="44"/>
  <c r="BC699" i="44"/>
  <c r="BC707" i="44" s="1"/>
  <c r="BD699" i="44"/>
  <c r="BE699" i="44"/>
  <c r="BE707" i="44" s="1"/>
  <c r="AI699" i="44"/>
  <c r="AH699" i="44"/>
  <c r="AJ699" i="44" s="1"/>
  <c r="AI686" i="44"/>
  <c r="AJ686" i="44"/>
  <c r="AK686" i="44"/>
  <c r="AL686" i="44"/>
  <c r="AM686" i="44"/>
  <c r="AN686" i="44"/>
  <c r="AO686" i="44"/>
  <c r="AP686" i="44"/>
  <c r="AQ686" i="44"/>
  <c r="AR686" i="44"/>
  <c r="AS686" i="44"/>
  <c r="AT686" i="44"/>
  <c r="AU686" i="44"/>
  <c r="AV686" i="44"/>
  <c r="AW686" i="44"/>
  <c r="AX686" i="44"/>
  <c r="AY686" i="44"/>
  <c r="AZ686" i="44"/>
  <c r="AI687" i="44"/>
  <c r="AJ687" i="44"/>
  <c r="AK687" i="44"/>
  <c r="AL687" i="44"/>
  <c r="AM687" i="44"/>
  <c r="AN687" i="44"/>
  <c r="AO687" i="44"/>
  <c r="AP687" i="44"/>
  <c r="AQ687" i="44"/>
  <c r="AR687" i="44"/>
  <c r="AS687" i="44"/>
  <c r="AT687" i="44"/>
  <c r="AU687" i="44"/>
  <c r="AV687" i="44"/>
  <c r="AW687" i="44"/>
  <c r="AX687" i="44"/>
  <c r="AY687" i="44"/>
  <c r="AZ687" i="44"/>
  <c r="AI688" i="44"/>
  <c r="AJ688" i="44"/>
  <c r="AK688" i="44"/>
  <c r="AL688" i="44"/>
  <c r="AM688" i="44"/>
  <c r="AN688" i="44"/>
  <c r="AO688" i="44"/>
  <c r="AP688" i="44"/>
  <c r="AQ688" i="44"/>
  <c r="AR688" i="44"/>
  <c r="AS688" i="44"/>
  <c r="AT688" i="44"/>
  <c r="AU688" i="44"/>
  <c r="AV688" i="44"/>
  <c r="AW688" i="44"/>
  <c r="AX688" i="44"/>
  <c r="AY688" i="44"/>
  <c r="AZ688" i="44"/>
  <c r="AI689" i="44"/>
  <c r="AJ689" i="44"/>
  <c r="AK689" i="44"/>
  <c r="AL689" i="44"/>
  <c r="AM689" i="44"/>
  <c r="AN689" i="44"/>
  <c r="AO689" i="44"/>
  <c r="AP689" i="44"/>
  <c r="AQ689" i="44"/>
  <c r="AR689" i="44"/>
  <c r="AS689" i="44"/>
  <c r="AT689" i="44"/>
  <c r="AU689" i="44"/>
  <c r="AV689" i="44"/>
  <c r="AW689" i="44"/>
  <c r="AX689" i="44"/>
  <c r="AY689" i="44"/>
  <c r="AZ689" i="44"/>
  <c r="AI690" i="44"/>
  <c r="AJ690" i="44"/>
  <c r="AK690" i="44"/>
  <c r="AL690" i="44"/>
  <c r="AM690" i="44"/>
  <c r="AN690" i="44"/>
  <c r="AO690" i="44"/>
  <c r="AP690" i="44"/>
  <c r="AQ690" i="44"/>
  <c r="AR690" i="44"/>
  <c r="AS690" i="44"/>
  <c r="AT690" i="44"/>
  <c r="AU690" i="44"/>
  <c r="AV690" i="44"/>
  <c r="AW690" i="44"/>
  <c r="AX690" i="44"/>
  <c r="AY690" i="44"/>
  <c r="AZ690" i="44"/>
  <c r="AI691" i="44"/>
  <c r="AJ691" i="44"/>
  <c r="AK691" i="44"/>
  <c r="AL691" i="44"/>
  <c r="AM691" i="44"/>
  <c r="AN691" i="44"/>
  <c r="AO691" i="44"/>
  <c r="AP691" i="44"/>
  <c r="AQ691" i="44"/>
  <c r="AR691" i="44"/>
  <c r="AS691" i="44"/>
  <c r="AT691" i="44"/>
  <c r="AU691" i="44"/>
  <c r="AV691" i="44"/>
  <c r="AW691" i="44"/>
  <c r="AX691" i="44"/>
  <c r="AY691" i="44"/>
  <c r="AZ691" i="44"/>
  <c r="AI692" i="44"/>
  <c r="AJ692" i="44"/>
  <c r="AK692" i="44"/>
  <c r="AL692" i="44"/>
  <c r="AM692" i="44"/>
  <c r="AN692" i="44"/>
  <c r="AO692" i="44"/>
  <c r="AP692" i="44"/>
  <c r="AQ692" i="44"/>
  <c r="AR692" i="44"/>
  <c r="AS692" i="44"/>
  <c r="AT692" i="44"/>
  <c r="AU692" i="44"/>
  <c r="AV692" i="44"/>
  <c r="AW692" i="44"/>
  <c r="AX692" i="44"/>
  <c r="AY692" i="44"/>
  <c r="AZ692" i="44"/>
  <c r="AL685" i="44"/>
  <c r="AL693" i="44" s="1"/>
  <c r="AM685" i="44"/>
  <c r="AO685" i="44"/>
  <c r="AO693" i="44" s="1"/>
  <c r="AP685" i="44"/>
  <c r="AR685" i="44"/>
  <c r="AR693" i="44" s="1"/>
  <c r="AS685" i="44"/>
  <c r="AU685" i="44"/>
  <c r="AU693" i="44" s="1"/>
  <c r="AV685" i="44"/>
  <c r="AX685" i="44"/>
  <c r="AX693" i="44" s="1"/>
  <c r="AY685" i="44"/>
  <c r="AJ685" i="44"/>
  <c r="AI685" i="44"/>
  <c r="AI693" i="44" s="1"/>
  <c r="BB641" i="44" a="1"/>
  <c r="BB641" i="44" s="1"/>
  <c r="BA641" i="44" a="1"/>
  <c r="BA641" i="44" s="1"/>
  <c r="AZ641" i="44" a="1"/>
  <c r="AZ641" i="44" s="1"/>
  <c r="AY641" i="44" a="1"/>
  <c r="AY641" i="44" s="1"/>
  <c r="AX641" i="44" a="1"/>
  <c r="AX641" i="44" s="1"/>
  <c r="AW641" i="44" a="1"/>
  <c r="AW641" i="44" s="1"/>
  <c r="AH642" i="44"/>
  <c r="AI642" i="44"/>
  <c r="AJ642" i="44"/>
  <c r="AK642" i="44"/>
  <c r="AL642" i="44"/>
  <c r="AM642" i="44"/>
  <c r="AN642" i="44"/>
  <c r="AO642" i="44"/>
  <c r="AP642" i="44"/>
  <c r="AQ642" i="44"/>
  <c r="AR642" i="44"/>
  <c r="AS642" i="44"/>
  <c r="AT642" i="44"/>
  <c r="AU642" i="44"/>
  <c r="AV642" i="44"/>
  <c r="AH643" i="44"/>
  <c r="AI643" i="44"/>
  <c r="AJ643" i="44"/>
  <c r="AK643" i="44"/>
  <c r="AL643" i="44"/>
  <c r="AM643" i="44"/>
  <c r="AN643" i="44"/>
  <c r="AO643" i="44"/>
  <c r="AP643" i="44"/>
  <c r="AQ643" i="44"/>
  <c r="AR643" i="44"/>
  <c r="AS643" i="44"/>
  <c r="AT643" i="44"/>
  <c r="AU643" i="44"/>
  <c r="AV643" i="44"/>
  <c r="AH644" i="44"/>
  <c r="AI644" i="44"/>
  <c r="AJ644" i="44"/>
  <c r="AK644" i="44"/>
  <c r="AL644" i="44"/>
  <c r="AM644" i="44"/>
  <c r="AN644" i="44"/>
  <c r="AO644" i="44"/>
  <c r="AP644" i="44"/>
  <c r="AQ644" i="44"/>
  <c r="AR644" i="44"/>
  <c r="AS644" i="44"/>
  <c r="AT644" i="44"/>
  <c r="AU644" i="44"/>
  <c r="AV644" i="44"/>
  <c r="AH645" i="44"/>
  <c r="AI645" i="44"/>
  <c r="AJ645" i="44"/>
  <c r="AK645" i="44"/>
  <c r="AL645" i="44"/>
  <c r="AM645" i="44"/>
  <c r="AN645" i="44"/>
  <c r="AO645" i="44"/>
  <c r="AP645" i="44"/>
  <c r="AQ645" i="44"/>
  <c r="AR645" i="44"/>
  <c r="AS645" i="44"/>
  <c r="AT645" i="44"/>
  <c r="AU645" i="44"/>
  <c r="AV645" i="44"/>
  <c r="AH646" i="44"/>
  <c r="AI646" i="44"/>
  <c r="AJ646" i="44"/>
  <c r="AK646" i="44"/>
  <c r="AL646" i="44"/>
  <c r="AM646" i="44"/>
  <c r="AN646" i="44"/>
  <c r="AO646" i="44"/>
  <c r="AP646" i="44"/>
  <c r="AQ646" i="44"/>
  <c r="AR646" i="44"/>
  <c r="AS646" i="44"/>
  <c r="AT646" i="44"/>
  <c r="AU646" i="44"/>
  <c r="AV646" i="44"/>
  <c r="AH647" i="44"/>
  <c r="AI647" i="44"/>
  <c r="AJ647" i="44"/>
  <c r="AK647" i="44"/>
  <c r="AL647" i="44"/>
  <c r="AM647" i="44"/>
  <c r="AN647" i="44"/>
  <c r="AO647" i="44"/>
  <c r="AP647" i="44"/>
  <c r="AQ647" i="44"/>
  <c r="AR647" i="44"/>
  <c r="AS647" i="44"/>
  <c r="AT647" i="44"/>
  <c r="AU647" i="44"/>
  <c r="AV647" i="44"/>
  <c r="AH648" i="44"/>
  <c r="AI648" i="44"/>
  <c r="AJ648" i="44"/>
  <c r="AK648" i="44"/>
  <c r="AL648" i="44"/>
  <c r="AM648" i="44"/>
  <c r="AN648" i="44"/>
  <c r="AO648" i="44"/>
  <c r="AP648" i="44"/>
  <c r="AQ648" i="44"/>
  <c r="AR648" i="44"/>
  <c r="AS648" i="44"/>
  <c r="AT648" i="44"/>
  <c r="AU648" i="44"/>
  <c r="AV648" i="44"/>
  <c r="AK641" i="44"/>
  <c r="AK649" i="44" s="1"/>
  <c r="AL641" i="44"/>
  <c r="AN641" i="44"/>
  <c r="AP641" i="44" s="1"/>
  <c r="AO641" i="44"/>
  <c r="AQ641" i="44"/>
  <c r="AR641" i="44"/>
  <c r="AS641" i="44" s="1"/>
  <c r="AT641" i="44"/>
  <c r="AU641" i="44"/>
  <c r="AI641" i="44"/>
  <c r="AH641" i="44"/>
  <c r="AH649" i="44" s="1"/>
  <c r="BH391" i="56" a="1"/>
  <c r="BH391" i="56" s="1"/>
  <c r="BG391" i="56" a="1"/>
  <c r="BG391" i="56" s="1"/>
  <c r="BF391" i="56" a="1"/>
  <c r="BF391" i="56" s="1"/>
  <c r="BH376" i="56" a="1"/>
  <c r="BH376" i="56" s="1"/>
  <c r="BG376" i="56" a="1"/>
  <c r="BG376" i="56" s="1"/>
  <c r="BF376" i="56" a="1"/>
  <c r="BF376" i="56" s="1"/>
  <c r="BB376" i="56" a="1"/>
  <c r="BB376" i="56" s="1"/>
  <c r="BA376" i="56" a="1"/>
  <c r="BA376" i="56" s="1"/>
  <c r="AZ376" i="56" a="1"/>
  <c r="AZ376" i="56" s="1"/>
  <c r="BD376" i="56"/>
  <c r="AM376" i="56"/>
  <c r="AL376" i="56"/>
  <c r="AK376" i="56"/>
  <c r="AH376" i="56"/>
  <c r="AG376" i="56"/>
  <c r="AF376" i="56"/>
  <c r="AK35" i="56" a="1"/>
  <c r="AK35" i="56" s="1"/>
  <c r="AL35" i="56" a="1"/>
  <c r="AL35" i="56" s="1"/>
  <c r="AM35" i="56" a="1"/>
  <c r="AM35" i="56" s="1"/>
  <c r="AK36" i="56" a="1"/>
  <c r="AK36" i="56"/>
  <c r="AL36" i="56" a="1"/>
  <c r="AL36" i="56" s="1"/>
  <c r="AM36" i="56" a="1"/>
  <c r="AM36" i="56" s="1"/>
  <c r="AK37" i="56" a="1"/>
  <c r="AK37" i="56" s="1"/>
  <c r="AL37" i="56" a="1"/>
  <c r="AL37" i="56"/>
  <c r="AM37" i="56" a="1"/>
  <c r="AM37" i="56" s="1"/>
  <c r="AK38" i="56" a="1"/>
  <c r="AK38" i="56" s="1"/>
  <c r="AL38" i="56" a="1"/>
  <c r="AL38" i="56" s="1"/>
  <c r="AM38" i="56" a="1"/>
  <c r="AM38" i="56"/>
  <c r="AK39" i="56" a="1"/>
  <c r="AK39" i="56" s="1"/>
  <c r="AL39" i="56" a="1"/>
  <c r="AL39" i="56" s="1"/>
  <c r="AM39" i="56" a="1"/>
  <c r="AM39" i="56" s="1"/>
  <c r="AK40" i="56" a="1"/>
  <c r="AK40" i="56"/>
  <c r="AL40" i="56" a="1"/>
  <c r="AL40" i="56" s="1"/>
  <c r="AM40" i="56" a="1"/>
  <c r="AM40" i="56" s="1"/>
  <c r="AK41" i="56" a="1"/>
  <c r="AK41" i="56" s="1"/>
  <c r="AL41" i="56" a="1"/>
  <c r="AL41" i="56"/>
  <c r="AM41" i="56" a="1"/>
  <c r="AM41" i="56" s="1"/>
  <c r="AM34" i="56" a="1"/>
  <c r="AM34" i="56" s="1"/>
  <c r="AL34" i="56" a="1"/>
  <c r="AL34" i="56" s="1"/>
  <c r="AK34" i="56" a="1"/>
  <c r="AK34" i="56" s="1"/>
  <c r="AH41" i="56"/>
  <c r="AH35" i="56"/>
  <c r="AH36" i="56"/>
  <c r="AH37" i="56"/>
  <c r="AH38" i="56"/>
  <c r="AH39" i="56"/>
  <c r="AH40" i="56"/>
  <c r="AG41" i="56"/>
  <c r="AG35" i="56"/>
  <c r="AG36" i="56"/>
  <c r="AG37" i="56"/>
  <c r="AG38" i="56"/>
  <c r="AG39" i="56"/>
  <c r="AG40" i="56"/>
  <c r="AG34" i="56"/>
  <c r="AH34" i="56"/>
  <c r="AG281" i="44"/>
  <c r="AG394" i="44"/>
  <c r="AG371" i="44"/>
  <c r="AG420" i="44"/>
  <c r="AG510" i="44"/>
  <c r="AG613" i="44"/>
  <c r="AG621" i="44" s="1"/>
  <c r="B625" i="44" s="1"/>
  <c r="AG782" i="44"/>
  <c r="AN925" i="44"/>
  <c r="AM976" i="44"/>
  <c r="AL976" i="44"/>
  <c r="AK976" i="44"/>
  <c r="AM975" i="44"/>
  <c r="AL975" i="44"/>
  <c r="AK975" i="44"/>
  <c r="AM974" i="44"/>
  <c r="AL974" i="44"/>
  <c r="AK974" i="44"/>
  <c r="AM973" i="44"/>
  <c r="AL973" i="44"/>
  <c r="AK973" i="44"/>
  <c r="AM972" i="44"/>
  <c r="AL972" i="44"/>
  <c r="AK972" i="44"/>
  <c r="AM971" i="44"/>
  <c r="AL971" i="44"/>
  <c r="AK971" i="44"/>
  <c r="AM970" i="44"/>
  <c r="AL970" i="44"/>
  <c r="AK970" i="44"/>
  <c r="AM969" i="44"/>
  <c r="AL969" i="44"/>
  <c r="AK969" i="44"/>
  <c r="AM968" i="44"/>
  <c r="AL968" i="44"/>
  <c r="AK968" i="44"/>
  <c r="AG977" i="44"/>
  <c r="AM967" i="44"/>
  <c r="AL967" i="44"/>
  <c r="AK967" i="44"/>
  <c r="AM966" i="44"/>
  <c r="AL966" i="44"/>
  <c r="AK966" i="44"/>
  <c r="AM965" i="44"/>
  <c r="AL965" i="44"/>
  <c r="AK965" i="44"/>
  <c r="AM964" i="44"/>
  <c r="AL964" i="44"/>
  <c r="AK964" i="44"/>
  <c r="AM963" i="44"/>
  <c r="AL963" i="44"/>
  <c r="AK963" i="44"/>
  <c r="AM962" i="44"/>
  <c r="AL962" i="44"/>
  <c r="AK962" i="44"/>
  <c r="AM961" i="44"/>
  <c r="AL961" i="44"/>
  <c r="AK961" i="44"/>
  <c r="AM960" i="44"/>
  <c r="AL960" i="44"/>
  <c r="AK960" i="44"/>
  <c r="AM959" i="44"/>
  <c r="AL959" i="44"/>
  <c r="AK959" i="44"/>
  <c r="AM958" i="44"/>
  <c r="AL958" i="44"/>
  <c r="AK958" i="44"/>
  <c r="AM957" i="44"/>
  <c r="AL957" i="44"/>
  <c r="AK957" i="44"/>
  <c r="AM956" i="44"/>
  <c r="AL956" i="44"/>
  <c r="AK956" i="44"/>
  <c r="AM955" i="44"/>
  <c r="AL955" i="44"/>
  <c r="AK955" i="44"/>
  <c r="AM954" i="44"/>
  <c r="AL954" i="44"/>
  <c r="AK954" i="44"/>
  <c r="AM953" i="44"/>
  <c r="AL953" i="44"/>
  <c r="AK953" i="44"/>
  <c r="AM952" i="44"/>
  <c r="AL952" i="44"/>
  <c r="AK952" i="44"/>
  <c r="AM951" i="44"/>
  <c r="AL951" i="44"/>
  <c r="AK951" i="44"/>
  <c r="AM950" i="44"/>
  <c r="AL950" i="44"/>
  <c r="AK950" i="44"/>
  <c r="AM949" i="44"/>
  <c r="AL949" i="44"/>
  <c r="AK949" i="44"/>
  <c r="AM948" i="44"/>
  <c r="AL948" i="44"/>
  <c r="AK948" i="44"/>
  <c r="AM947" i="44"/>
  <c r="AL947" i="44"/>
  <c r="AK947" i="44"/>
  <c r="AM946" i="44"/>
  <c r="AL946" i="44"/>
  <c r="AK946" i="44"/>
  <c r="AM945" i="44"/>
  <c r="AL945" i="44"/>
  <c r="AK945" i="44"/>
  <c r="AM944" i="44"/>
  <c r="AL944" i="44"/>
  <c r="AK944" i="44"/>
  <c r="AM943" i="44"/>
  <c r="AL943" i="44"/>
  <c r="AK943" i="44"/>
  <c r="AM942" i="44"/>
  <c r="AL942" i="44"/>
  <c r="AK942" i="44"/>
  <c r="AM941" i="44"/>
  <c r="AL941" i="44"/>
  <c r="AK941" i="44"/>
  <c r="AM940" i="44"/>
  <c r="AL940" i="44"/>
  <c r="AK940" i="44"/>
  <c r="AM939" i="44"/>
  <c r="AL939" i="44"/>
  <c r="AK939" i="44"/>
  <c r="AM938" i="44"/>
  <c r="AL938" i="44"/>
  <c r="AK938" i="44"/>
  <c r="AM937" i="44"/>
  <c r="AL937" i="44"/>
  <c r="AK937" i="44"/>
  <c r="AM936" i="44"/>
  <c r="AL936" i="44"/>
  <c r="AK936" i="44"/>
  <c r="AM935" i="44"/>
  <c r="AL935" i="44"/>
  <c r="AK935" i="44"/>
  <c r="AM934" i="44"/>
  <c r="AL934" i="44"/>
  <c r="AK934" i="44"/>
  <c r="AM933" i="44"/>
  <c r="AL933" i="44"/>
  <c r="AK933" i="44"/>
  <c r="AM932" i="44"/>
  <c r="AL932" i="44"/>
  <c r="AK932" i="44"/>
  <c r="AM931" i="44"/>
  <c r="AL931" i="44"/>
  <c r="AK931" i="44"/>
  <c r="AM930" i="44"/>
  <c r="AL930" i="44"/>
  <c r="AK930" i="44"/>
  <c r="AM929" i="44"/>
  <c r="AL929" i="44"/>
  <c r="AK929" i="44"/>
  <c r="AM928" i="44"/>
  <c r="AL928" i="44"/>
  <c r="AK928" i="44"/>
  <c r="AM927" i="44"/>
  <c r="AL927" i="44"/>
  <c r="AK927" i="44"/>
  <c r="AM926" i="44"/>
  <c r="AL926" i="44"/>
  <c r="AK926" i="44"/>
  <c r="AM925" i="44"/>
  <c r="AL925" i="44"/>
  <c r="AK925" i="44"/>
  <c r="AM924" i="44"/>
  <c r="AL924" i="44"/>
  <c r="AK924" i="44"/>
  <c r="AM923" i="44"/>
  <c r="AL923" i="44"/>
  <c r="AK923" i="44"/>
  <c r="AM922" i="44"/>
  <c r="AL922" i="44"/>
  <c r="AK922" i="44"/>
  <c r="AM921" i="44"/>
  <c r="AL921" i="44"/>
  <c r="AK921" i="44"/>
  <c r="AM920" i="44"/>
  <c r="AL920" i="44"/>
  <c r="AK920" i="44"/>
  <c r="AM919" i="44"/>
  <c r="AL919" i="44"/>
  <c r="AK919" i="44"/>
  <c r="AM918" i="44"/>
  <c r="AL918" i="44"/>
  <c r="AK918" i="44"/>
  <c r="AM917" i="44"/>
  <c r="AL917" i="44"/>
  <c r="AK917" i="44"/>
  <c r="AM916" i="44"/>
  <c r="AL916" i="44"/>
  <c r="AK916" i="44"/>
  <c r="AM915" i="44"/>
  <c r="AL915" i="44"/>
  <c r="AK915" i="44"/>
  <c r="AM914" i="44"/>
  <c r="AL914" i="44"/>
  <c r="AK914" i="44"/>
  <c r="AM913" i="44"/>
  <c r="AL913" i="44"/>
  <c r="AK913" i="44"/>
  <c r="AM912" i="44"/>
  <c r="AL912" i="44"/>
  <c r="AK912" i="44"/>
  <c r="AM911" i="44"/>
  <c r="AL911" i="44"/>
  <c r="AK911" i="44"/>
  <c r="AM910" i="44"/>
  <c r="AL910" i="44"/>
  <c r="AK910" i="44"/>
  <c r="AM909" i="44"/>
  <c r="AL909" i="44"/>
  <c r="AK909" i="44"/>
  <c r="AM908" i="44"/>
  <c r="AL908" i="44"/>
  <c r="AK908" i="44"/>
  <c r="AM907" i="44"/>
  <c r="AL907" i="44"/>
  <c r="AK907" i="44"/>
  <c r="AM906" i="44"/>
  <c r="AL906" i="44"/>
  <c r="AK906" i="44"/>
  <c r="AM905" i="44"/>
  <c r="AL905" i="44"/>
  <c r="AK905" i="44"/>
  <c r="AM904" i="44"/>
  <c r="AL904" i="44"/>
  <c r="AK904" i="44"/>
  <c r="AM903" i="44"/>
  <c r="AL903" i="44"/>
  <c r="AK903" i="44"/>
  <c r="AM902" i="44"/>
  <c r="AL902" i="44"/>
  <c r="AK902" i="44"/>
  <c r="AM901" i="44"/>
  <c r="AL901" i="44"/>
  <c r="AK901" i="44"/>
  <c r="AM900" i="44"/>
  <c r="AL900" i="44"/>
  <c r="AK900" i="44"/>
  <c r="AM899" i="44"/>
  <c r="AL899" i="44"/>
  <c r="AK899" i="44"/>
  <c r="AM898" i="44"/>
  <c r="AL898" i="44"/>
  <c r="AK898" i="44"/>
  <c r="AM897" i="44"/>
  <c r="AL897" i="44"/>
  <c r="AK897" i="44"/>
  <c r="AM896" i="44"/>
  <c r="AL896" i="44"/>
  <c r="AK896" i="44"/>
  <c r="AM895" i="44"/>
  <c r="AL895" i="44"/>
  <c r="AK895" i="44"/>
  <c r="AM894" i="44"/>
  <c r="AL894" i="44"/>
  <c r="AK894" i="44"/>
  <c r="AM893" i="44"/>
  <c r="AL893" i="44"/>
  <c r="AK893" i="44"/>
  <c r="AM892" i="44"/>
  <c r="AL892" i="44"/>
  <c r="AK892" i="44"/>
  <c r="AM891" i="44"/>
  <c r="AL891" i="44"/>
  <c r="AK891" i="44"/>
  <c r="AM890" i="44"/>
  <c r="AL890" i="44"/>
  <c r="AK890" i="44"/>
  <c r="AM889" i="44"/>
  <c r="AL889" i="44"/>
  <c r="AK889" i="44"/>
  <c r="AM888" i="44"/>
  <c r="AL888" i="44"/>
  <c r="AK888" i="44"/>
  <c r="AM887" i="44"/>
  <c r="AL887" i="44"/>
  <c r="AK887" i="44"/>
  <c r="AM886" i="44"/>
  <c r="AL886" i="44"/>
  <c r="AK886" i="44"/>
  <c r="AM885" i="44"/>
  <c r="AL885" i="44"/>
  <c r="AK885" i="44"/>
  <c r="AM884" i="44"/>
  <c r="AL884" i="44"/>
  <c r="AK884" i="44"/>
  <c r="AM883" i="44"/>
  <c r="AL883" i="44"/>
  <c r="AK883" i="44"/>
  <c r="AM882" i="44"/>
  <c r="AL882" i="44"/>
  <c r="AK882" i="44"/>
  <c r="AM881" i="44"/>
  <c r="AL881" i="44"/>
  <c r="AK881" i="44"/>
  <c r="AM880" i="44"/>
  <c r="AL880" i="44"/>
  <c r="AK880" i="44"/>
  <c r="AM879" i="44"/>
  <c r="AL879" i="44"/>
  <c r="AK879" i="44"/>
  <c r="AM878" i="44"/>
  <c r="AL878" i="44"/>
  <c r="AK878" i="44"/>
  <c r="AM877" i="44"/>
  <c r="AL877" i="44"/>
  <c r="AK877" i="44"/>
  <c r="AM876" i="44"/>
  <c r="AL876" i="44"/>
  <c r="AK876" i="44"/>
  <c r="AM875" i="44"/>
  <c r="AL875" i="44"/>
  <c r="AK875" i="44"/>
  <c r="AM874" i="44"/>
  <c r="AL874" i="44"/>
  <c r="AK874" i="44"/>
  <c r="AM873" i="44"/>
  <c r="AL873" i="44"/>
  <c r="AK873" i="44"/>
  <c r="AM872" i="44"/>
  <c r="AL872" i="44"/>
  <c r="AK872" i="44"/>
  <c r="AM871" i="44"/>
  <c r="AL871" i="44"/>
  <c r="AK871" i="44"/>
  <c r="AM870" i="44"/>
  <c r="AL870" i="44"/>
  <c r="AK870" i="44"/>
  <c r="AM869" i="44"/>
  <c r="AL869" i="44"/>
  <c r="AK869" i="44"/>
  <c r="AM868" i="44"/>
  <c r="AL868" i="44"/>
  <c r="AK868" i="44"/>
  <c r="AM867" i="44"/>
  <c r="AL867" i="44"/>
  <c r="AK867" i="44"/>
  <c r="AM866" i="44"/>
  <c r="AL866" i="44"/>
  <c r="AK866" i="44"/>
  <c r="AM865" i="44"/>
  <c r="AL865" i="44"/>
  <c r="AK865" i="44"/>
  <c r="AM864" i="44"/>
  <c r="AL864" i="44"/>
  <c r="AK864" i="44"/>
  <c r="AM863" i="44"/>
  <c r="AL863" i="44"/>
  <c r="AK863" i="44"/>
  <c r="AM862" i="44"/>
  <c r="AL862" i="44"/>
  <c r="AK862" i="44"/>
  <c r="AM861" i="44"/>
  <c r="AL861" i="44"/>
  <c r="AK861" i="44"/>
  <c r="AM860" i="44"/>
  <c r="AL860" i="44"/>
  <c r="AK860" i="44"/>
  <c r="AM859" i="44"/>
  <c r="AL859" i="44"/>
  <c r="AK859" i="44"/>
  <c r="AM858" i="44"/>
  <c r="AL858" i="44"/>
  <c r="AK858" i="44"/>
  <c r="AM857" i="44"/>
  <c r="AL857" i="44"/>
  <c r="AK857" i="44"/>
  <c r="AM856" i="44"/>
  <c r="AL856" i="44"/>
  <c r="AK856" i="44"/>
  <c r="AM855" i="44"/>
  <c r="AL855" i="44"/>
  <c r="AK855" i="44"/>
  <c r="AM854" i="44"/>
  <c r="AL854" i="44"/>
  <c r="AK854" i="44"/>
  <c r="AM853" i="44"/>
  <c r="AL853" i="44"/>
  <c r="AK853" i="44"/>
  <c r="AM852" i="44"/>
  <c r="AL852" i="44"/>
  <c r="AK852" i="44"/>
  <c r="AM851" i="44"/>
  <c r="AL851" i="44"/>
  <c r="AK851" i="44"/>
  <c r="AM850" i="44"/>
  <c r="AL850" i="44"/>
  <c r="AK850" i="44"/>
  <c r="AM849" i="44"/>
  <c r="AL849" i="44"/>
  <c r="AK849" i="44"/>
  <c r="AM848" i="44"/>
  <c r="AL848" i="44"/>
  <c r="AK848" i="44"/>
  <c r="AM847" i="44"/>
  <c r="AL847" i="44"/>
  <c r="AK847" i="44"/>
  <c r="AM846" i="44"/>
  <c r="AL846" i="44"/>
  <c r="AK846" i="44"/>
  <c r="AM845" i="44"/>
  <c r="AL845" i="44"/>
  <c r="AK845" i="44"/>
  <c r="AM844" i="44"/>
  <c r="AL844" i="44"/>
  <c r="AK844" i="44"/>
  <c r="AM843" i="44"/>
  <c r="AL843" i="44"/>
  <c r="AK843" i="44"/>
  <c r="AM842" i="44"/>
  <c r="AL842" i="44"/>
  <c r="AK842" i="44"/>
  <c r="AM841" i="44"/>
  <c r="AL841" i="44"/>
  <c r="AK841" i="44"/>
  <c r="AM840" i="44"/>
  <c r="AL840" i="44"/>
  <c r="AK840" i="44"/>
  <c r="AM839" i="44"/>
  <c r="AL839" i="44"/>
  <c r="AK839" i="44"/>
  <c r="AM838" i="44"/>
  <c r="AL838" i="44"/>
  <c r="AK838" i="44"/>
  <c r="AM837" i="44"/>
  <c r="AL837" i="44"/>
  <c r="AK837" i="44"/>
  <c r="AM836" i="44"/>
  <c r="AL836" i="44"/>
  <c r="AK836" i="44"/>
  <c r="AM835" i="44"/>
  <c r="AL835" i="44"/>
  <c r="AK835" i="44"/>
  <c r="AM834" i="44"/>
  <c r="AL834" i="44"/>
  <c r="AK834" i="44"/>
  <c r="AM833" i="44"/>
  <c r="AL833" i="44"/>
  <c r="AK833" i="44"/>
  <c r="AM832" i="44"/>
  <c r="AL832" i="44"/>
  <c r="AK832" i="44"/>
  <c r="AM831" i="44"/>
  <c r="AL831" i="44"/>
  <c r="AK831" i="44"/>
  <c r="AM830" i="44"/>
  <c r="AL830" i="44"/>
  <c r="AK830" i="44"/>
  <c r="AM829" i="44"/>
  <c r="AL829" i="44"/>
  <c r="AK829" i="44"/>
  <c r="AM828" i="44"/>
  <c r="AL828" i="44"/>
  <c r="AK828" i="44"/>
  <c r="AM827" i="44"/>
  <c r="AL827" i="44"/>
  <c r="AK827" i="44"/>
  <c r="BV826" i="44"/>
  <c r="BJ826" i="44"/>
  <c r="AX826" i="44"/>
  <c r="AM826" i="44"/>
  <c r="AL826" i="44"/>
  <c r="AK826" i="44"/>
  <c r="CF825" i="44"/>
  <c r="CE825" i="44"/>
  <c r="CD825" i="44"/>
  <c r="CC825" i="44"/>
  <c r="CB825" i="44"/>
  <c r="CA825" i="44"/>
  <c r="BZ825" i="44"/>
  <c r="BY825" i="44"/>
  <c r="BX825" i="44"/>
  <c r="BW825" i="44"/>
  <c r="BV825" i="44"/>
  <c r="BU825" i="44"/>
  <c r="BT825" i="44"/>
  <c r="BS825" i="44"/>
  <c r="BR825" i="44"/>
  <c r="BQ825" i="44"/>
  <c r="BP825" i="44"/>
  <c r="BO825" i="44"/>
  <c r="BN825" i="44"/>
  <c r="BM825" i="44"/>
  <c r="BL825" i="44"/>
  <c r="BK825" i="44"/>
  <c r="BJ825" i="44"/>
  <c r="BI825" i="44"/>
  <c r="BH825" i="44"/>
  <c r="BG825" i="44"/>
  <c r="BF825" i="44"/>
  <c r="BE825" i="44"/>
  <c r="BD825" i="44"/>
  <c r="BC825" i="44"/>
  <c r="BB825" i="44"/>
  <c r="BA825" i="44"/>
  <c r="AZ825" i="44"/>
  <c r="AY825" i="44"/>
  <c r="AX825" i="44"/>
  <c r="AW825" i="44"/>
  <c r="AV825" i="44"/>
  <c r="AU825" i="44"/>
  <c r="AT825" i="44"/>
  <c r="AS825" i="44"/>
  <c r="AR825" i="44"/>
  <c r="AQ825" i="44"/>
  <c r="AP825" i="44"/>
  <c r="AO825" i="44"/>
  <c r="AM825" i="44"/>
  <c r="AL825" i="44"/>
  <c r="AK825" i="44"/>
  <c r="CG824" i="44"/>
  <c r="CF824" i="44"/>
  <c r="CE824" i="44"/>
  <c r="CD824" i="44"/>
  <c r="CC824" i="44"/>
  <c r="CB824" i="44"/>
  <c r="CA824" i="44"/>
  <c r="BZ824" i="44"/>
  <c r="BY824" i="44"/>
  <c r="BX824" i="44"/>
  <c r="BW824" i="44"/>
  <c r="BV824" i="44"/>
  <c r="BU824" i="44"/>
  <c r="BT824" i="44"/>
  <c r="BS824" i="44"/>
  <c r="BR824" i="44"/>
  <c r="BQ824" i="44"/>
  <c r="BP824" i="44"/>
  <c r="BO824" i="44"/>
  <c r="BN824" i="44"/>
  <c r="BM824" i="44"/>
  <c r="BL824" i="44"/>
  <c r="BK824" i="44"/>
  <c r="BJ824" i="44"/>
  <c r="BI824" i="44"/>
  <c r="BH824" i="44"/>
  <c r="BG824" i="44"/>
  <c r="BF824" i="44"/>
  <c r="BE824" i="44"/>
  <c r="BD824" i="44"/>
  <c r="BC824" i="44"/>
  <c r="BB824" i="44"/>
  <c r="BA824" i="44"/>
  <c r="AZ824" i="44"/>
  <c r="AY824" i="44"/>
  <c r="AX824" i="44"/>
  <c r="AW824" i="44"/>
  <c r="AV824" i="44"/>
  <c r="AU824" i="44"/>
  <c r="AT824" i="44"/>
  <c r="AS824" i="44"/>
  <c r="AR824" i="44"/>
  <c r="AQ824" i="44"/>
  <c r="AP824" i="44"/>
  <c r="AO824" i="44"/>
  <c r="AM824" i="44"/>
  <c r="AL824" i="44"/>
  <c r="AK824" i="44"/>
  <c r="CG823" i="44"/>
  <c r="CF823" i="44"/>
  <c r="CE823" i="44"/>
  <c r="CD823" i="44"/>
  <c r="CC823" i="44"/>
  <c r="CB823" i="44"/>
  <c r="CB826" i="44" s="1"/>
  <c r="CA823" i="44"/>
  <c r="BZ823" i="44"/>
  <c r="BY823" i="44"/>
  <c r="BX823" i="44"/>
  <c r="BX826" i="44" s="1"/>
  <c r="BW823" i="44"/>
  <c r="BV823" i="44"/>
  <c r="BU823" i="44"/>
  <c r="BU826" i="44" s="1"/>
  <c r="BT823" i="44"/>
  <c r="BS823" i="44"/>
  <c r="BR823" i="44"/>
  <c r="BQ823" i="44"/>
  <c r="BP823" i="44"/>
  <c r="BP826" i="44" s="1"/>
  <c r="BO823" i="44"/>
  <c r="BN823" i="44"/>
  <c r="BM823" i="44"/>
  <c r="BL823" i="44"/>
  <c r="BK823" i="44"/>
  <c r="BJ823" i="44"/>
  <c r="BI823" i="44"/>
  <c r="BH823" i="44"/>
  <c r="BG823" i="44"/>
  <c r="BF823" i="44"/>
  <c r="BE823" i="44"/>
  <c r="BD823" i="44"/>
  <c r="BD826" i="44" s="1"/>
  <c r="BC823" i="44"/>
  <c r="BB823" i="44"/>
  <c r="BA823" i="44"/>
  <c r="AZ823" i="44"/>
  <c r="AZ826" i="44" s="1"/>
  <c r="AY823" i="44"/>
  <c r="AX823" i="44"/>
  <c r="AW823" i="44"/>
  <c r="AW826" i="44" s="1"/>
  <c r="AV823" i="44"/>
  <c r="AU823" i="44"/>
  <c r="AT823" i="44"/>
  <c r="AS823" i="44"/>
  <c r="AR823" i="44"/>
  <c r="AR826" i="44" s="1"/>
  <c r="AQ823" i="44"/>
  <c r="AP823" i="44"/>
  <c r="AO823" i="44"/>
  <c r="AM823" i="44"/>
  <c r="AL823" i="44"/>
  <c r="AK823" i="44"/>
  <c r="CG822" i="44"/>
  <c r="CG826" i="44" s="1"/>
  <c r="CF822" i="44"/>
  <c r="CE822" i="44"/>
  <c r="CE826" i="44" s="1"/>
  <c r="CD822" i="44"/>
  <c r="CD826" i="44" s="1"/>
  <c r="CC822" i="44"/>
  <c r="CB822" i="44"/>
  <c r="CA822" i="44"/>
  <c r="CA826" i="44" s="1"/>
  <c r="BZ822" i="44"/>
  <c r="BY822" i="44"/>
  <c r="BY826" i="44" s="1"/>
  <c r="BX822" i="44"/>
  <c r="BW822" i="44"/>
  <c r="BV822" i="44"/>
  <c r="BU822" i="44"/>
  <c r="BT822" i="44"/>
  <c r="BS822" i="44"/>
  <c r="BS826" i="44" s="1"/>
  <c r="BR822" i="44"/>
  <c r="BR826" i="44" s="1"/>
  <c r="BQ822" i="44"/>
  <c r="BP822" i="44"/>
  <c r="BO822" i="44"/>
  <c r="BO826" i="44" s="1"/>
  <c r="BN822" i="44"/>
  <c r="BM822" i="44"/>
  <c r="BM826" i="44" s="1"/>
  <c r="BL822" i="44"/>
  <c r="BL826" i="44" s="1"/>
  <c r="BK822" i="44"/>
  <c r="BJ822" i="44"/>
  <c r="BI822" i="44"/>
  <c r="BI826" i="44" s="1"/>
  <c r="BH822" i="44"/>
  <c r="BG822" i="44"/>
  <c r="BG826" i="44" s="1"/>
  <c r="BF822" i="44"/>
  <c r="BF826" i="44" s="1"/>
  <c r="BE822" i="44"/>
  <c r="BD822" i="44"/>
  <c r="BC822" i="44"/>
  <c r="BC826" i="44" s="1"/>
  <c r="BB822" i="44"/>
  <c r="BA822" i="44"/>
  <c r="BA826" i="44" s="1"/>
  <c r="AZ822" i="44"/>
  <c r="AY822" i="44"/>
  <c r="AX822" i="44"/>
  <c r="AW822" i="44"/>
  <c r="AV822" i="44"/>
  <c r="AU822" i="44"/>
  <c r="AU826" i="44" s="1"/>
  <c r="AT822" i="44"/>
  <c r="AT826" i="44" s="1"/>
  <c r="AS822" i="44"/>
  <c r="AR822" i="44"/>
  <c r="AQ822" i="44"/>
  <c r="AQ826" i="44" s="1"/>
  <c r="AP822" i="44"/>
  <c r="AO822" i="44"/>
  <c r="AO826" i="44" s="1"/>
  <c r="AM822" i="44"/>
  <c r="AL822" i="44"/>
  <c r="AK822" i="44"/>
  <c r="AM821" i="44"/>
  <c r="AL821" i="44"/>
  <c r="AK821" i="44"/>
  <c r="AM820" i="44"/>
  <c r="AL820" i="44"/>
  <c r="AK820" i="44"/>
  <c r="AM819" i="44"/>
  <c r="AL819" i="44"/>
  <c r="AK819" i="44"/>
  <c r="AM818" i="44"/>
  <c r="AL818" i="44"/>
  <c r="AK818" i="44"/>
  <c r="AM817" i="44"/>
  <c r="AL817" i="44"/>
  <c r="AK817" i="44"/>
  <c r="AM816" i="44"/>
  <c r="AL816" i="44"/>
  <c r="AK816" i="44"/>
  <c r="AM815" i="44"/>
  <c r="AL815" i="44"/>
  <c r="AK815" i="44"/>
  <c r="AM814" i="44"/>
  <c r="AL814" i="44"/>
  <c r="AK814" i="44"/>
  <c r="AM813" i="44"/>
  <c r="AL813" i="44"/>
  <c r="AK813" i="44"/>
  <c r="BB812" i="44" a="1"/>
  <c r="BB812" i="44" s="1"/>
  <c r="AX812" i="44" a="1"/>
  <c r="AX812" i="44" s="1"/>
  <c r="AT812" i="44" a="1"/>
  <c r="AT812" i="44" s="1"/>
  <c r="AP812" i="44" a="1"/>
  <c r="AP812" i="44" s="1"/>
  <c r="BE813" i="44" s="1"/>
  <c r="AM812" i="44"/>
  <c r="AL812" i="44"/>
  <c r="AK812" i="44"/>
  <c r="AK977" i="44" s="1"/>
  <c r="AI812" i="44"/>
  <c r="AA790" i="44"/>
  <c r="W790" i="44"/>
  <c r="S790" i="44"/>
  <c r="O790" i="44"/>
  <c r="AK789" i="44"/>
  <c r="AJ789" i="44"/>
  <c r="AI789" i="44"/>
  <c r="AK788" i="44"/>
  <c r="AJ788" i="44"/>
  <c r="AI788" i="44"/>
  <c r="AK787" i="44"/>
  <c r="AJ787" i="44"/>
  <c r="AI787" i="44"/>
  <c r="AK786" i="44"/>
  <c r="AJ786" i="44"/>
  <c r="AI786" i="44"/>
  <c r="AK785" i="44"/>
  <c r="AJ785" i="44"/>
  <c r="AI785" i="44"/>
  <c r="AK784" i="44"/>
  <c r="AJ784" i="44"/>
  <c r="AI784" i="44"/>
  <c r="AK783" i="44"/>
  <c r="AJ783" i="44"/>
  <c r="AI783" i="44"/>
  <c r="AK782" i="44"/>
  <c r="AK790" i="44" s="1"/>
  <c r="AJ782" i="44"/>
  <c r="AI782" i="44"/>
  <c r="AI790" i="44" s="1"/>
  <c r="AH782" i="44"/>
  <c r="AH790" i="44" s="1"/>
  <c r="AF782" i="44"/>
  <c r="AF790" i="44" s="1"/>
  <c r="M762" i="44"/>
  <c r="AO741" i="44" s="1" a="1"/>
  <c r="AO741" i="44" s="1"/>
  <c r="O762" i="44"/>
  <c r="AP741" i="44" s="1" a="1"/>
  <c r="AP741" i="44" s="1"/>
  <c r="Q762" i="44"/>
  <c r="AQ741" i="44" s="1" a="1"/>
  <c r="AQ741" i="44" s="1"/>
  <c r="AR741" i="44" a="1"/>
  <c r="AR741" i="44" s="1"/>
  <c r="U762" i="44"/>
  <c r="AS741" i="44" s="1" a="1"/>
  <c r="AS741" i="44" s="1"/>
  <c r="W762" i="44"/>
  <c r="AT741" i="44" s="1" a="1"/>
  <c r="AT741" i="44" s="1"/>
  <c r="Y762" i="44"/>
  <c r="AU741" i="44" s="1" a="1"/>
  <c r="AU741" i="44" s="1"/>
  <c r="AA762" i="44"/>
  <c r="AV741" i="44" s="1" a="1"/>
  <c r="AV741" i="44" s="1"/>
  <c r="AC762" i="44"/>
  <c r="AV740" i="44" s="1" a="1"/>
  <c r="AV740" i="44" s="1"/>
  <c r="K762" i="44"/>
  <c r="AN741" i="44" s="1" a="1"/>
  <c r="AN741" i="44" s="1"/>
  <c r="AI762" i="44"/>
  <c r="AD721" i="44"/>
  <c r="AC721" i="44"/>
  <c r="AB721" i="44"/>
  <c r="AA721" i="44"/>
  <c r="Z721" i="44"/>
  <c r="Y721" i="44"/>
  <c r="X721" i="44"/>
  <c r="W721" i="44"/>
  <c r="V721" i="44"/>
  <c r="U721" i="44"/>
  <c r="T721" i="44"/>
  <c r="S721" i="44"/>
  <c r="R721" i="44"/>
  <c r="Q721" i="44"/>
  <c r="P721" i="44"/>
  <c r="O721" i="44"/>
  <c r="N721" i="44"/>
  <c r="M721" i="44"/>
  <c r="L721" i="44"/>
  <c r="K721" i="44"/>
  <c r="J721" i="44"/>
  <c r="I721" i="44"/>
  <c r="H721" i="44"/>
  <c r="G721" i="44"/>
  <c r="H707" i="44"/>
  <c r="I707" i="44"/>
  <c r="J707" i="44"/>
  <c r="K707" i="44"/>
  <c r="L707" i="44"/>
  <c r="M707" i="44"/>
  <c r="N707" i="44"/>
  <c r="O707" i="44"/>
  <c r="P707" i="44"/>
  <c r="Q707" i="44"/>
  <c r="R707" i="44"/>
  <c r="S707" i="44"/>
  <c r="T707" i="44"/>
  <c r="U707" i="44"/>
  <c r="V707" i="44"/>
  <c r="W707" i="44"/>
  <c r="X707" i="44"/>
  <c r="Y707" i="44"/>
  <c r="Z707" i="44"/>
  <c r="AA707" i="44"/>
  <c r="AB707" i="44"/>
  <c r="AC707" i="44"/>
  <c r="AD707" i="44"/>
  <c r="G707" i="44"/>
  <c r="N693" i="44"/>
  <c r="O693" i="44"/>
  <c r="P693" i="44"/>
  <c r="Q693" i="44"/>
  <c r="R693" i="44"/>
  <c r="S693" i="44"/>
  <c r="T693" i="44"/>
  <c r="U693" i="44"/>
  <c r="V693" i="44"/>
  <c r="W693" i="44"/>
  <c r="X693" i="44"/>
  <c r="Y693" i="44"/>
  <c r="Z693" i="44"/>
  <c r="AA693" i="44"/>
  <c r="AB693" i="44"/>
  <c r="AC693" i="44"/>
  <c r="AD693" i="44"/>
  <c r="M693" i="44"/>
  <c r="AT707" i="44"/>
  <c r="AD663" i="44"/>
  <c r="AC663" i="44"/>
  <c r="AB663" i="44"/>
  <c r="AA663" i="44"/>
  <c r="Z663" i="44"/>
  <c r="Y663" i="44"/>
  <c r="X663" i="44"/>
  <c r="W663" i="44"/>
  <c r="V663" i="44"/>
  <c r="U663" i="44"/>
  <c r="T663" i="44"/>
  <c r="S663" i="44"/>
  <c r="R663" i="44"/>
  <c r="Q663" i="44"/>
  <c r="P663" i="44"/>
  <c r="Q649" i="44"/>
  <c r="R649" i="44"/>
  <c r="S649" i="44"/>
  <c r="T649" i="44"/>
  <c r="U649" i="44"/>
  <c r="V649" i="44"/>
  <c r="W649" i="44"/>
  <c r="X649" i="44"/>
  <c r="Y649" i="44"/>
  <c r="Z649" i="44"/>
  <c r="AA649" i="44"/>
  <c r="AB649" i="44"/>
  <c r="AC649" i="44"/>
  <c r="AD649" i="44"/>
  <c r="P649" i="44"/>
  <c r="AY662" i="44"/>
  <c r="AX662" i="44"/>
  <c r="AW662" i="44"/>
  <c r="AV662" i="44"/>
  <c r="AU662" i="44"/>
  <c r="AT662" i="44"/>
  <c r="AS662" i="44"/>
  <c r="AR662" i="44"/>
  <c r="AQ662" i="44"/>
  <c r="AP662" i="44"/>
  <c r="AO662" i="44"/>
  <c r="AN662" i="44"/>
  <c r="AM662" i="44"/>
  <c r="AL662" i="44"/>
  <c r="AK662" i="44"/>
  <c r="AY661" i="44"/>
  <c r="AX661" i="44"/>
  <c r="AW661" i="44"/>
  <c r="AV661" i="44"/>
  <c r="AU661" i="44"/>
  <c r="AT661" i="44"/>
  <c r="AS661" i="44"/>
  <c r="AR661" i="44"/>
  <c r="AQ661" i="44"/>
  <c r="AP661" i="44"/>
  <c r="AO661" i="44"/>
  <c r="AN661" i="44"/>
  <c r="AM661" i="44"/>
  <c r="AL661" i="44"/>
  <c r="AK661" i="44"/>
  <c r="AY660" i="44"/>
  <c r="AX660" i="44"/>
  <c r="AW660" i="44"/>
  <c r="AV660" i="44"/>
  <c r="AU660" i="44"/>
  <c r="AT660" i="44"/>
  <c r="AS660" i="44"/>
  <c r="AR660" i="44"/>
  <c r="AQ660" i="44"/>
  <c r="AP660" i="44"/>
  <c r="AO660" i="44"/>
  <c r="AN660" i="44"/>
  <c r="AM660" i="44"/>
  <c r="AL660" i="44"/>
  <c r="AK660" i="44"/>
  <c r="AY659" i="44"/>
  <c r="AX659" i="44"/>
  <c r="AW659" i="44"/>
  <c r="AV659" i="44"/>
  <c r="AU659" i="44"/>
  <c r="AT659" i="44"/>
  <c r="AS659" i="44"/>
  <c r="AR659" i="44"/>
  <c r="AQ659" i="44"/>
  <c r="AP659" i="44"/>
  <c r="AO659" i="44"/>
  <c r="AN659" i="44"/>
  <c r="AM659" i="44"/>
  <c r="AL659" i="44"/>
  <c r="AK659" i="44"/>
  <c r="AY658" i="44"/>
  <c r="AX658" i="44"/>
  <c r="AW658" i="44"/>
  <c r="AV658" i="44"/>
  <c r="AU658" i="44"/>
  <c r="AT658" i="44"/>
  <c r="AS658" i="44"/>
  <c r="AR658" i="44"/>
  <c r="AQ658" i="44"/>
  <c r="AP658" i="44"/>
  <c r="AO658" i="44"/>
  <c r="AN658" i="44"/>
  <c r="AM658" i="44"/>
  <c r="AL658" i="44"/>
  <c r="AK658" i="44"/>
  <c r="AY657" i="44"/>
  <c r="AX657" i="44"/>
  <c r="AW657" i="44"/>
  <c r="AV657" i="44"/>
  <c r="AU657" i="44"/>
  <c r="AT657" i="44"/>
  <c r="AS657" i="44"/>
  <c r="AR657" i="44"/>
  <c r="AQ657" i="44"/>
  <c r="AP657" i="44"/>
  <c r="AO657" i="44"/>
  <c r="AN657" i="44"/>
  <c r="AM657" i="44"/>
  <c r="AL657" i="44"/>
  <c r="AK657" i="44"/>
  <c r="AY656" i="44"/>
  <c r="AX656" i="44"/>
  <c r="AW656" i="44"/>
  <c r="AV656" i="44"/>
  <c r="AU656" i="44"/>
  <c r="AT656" i="44"/>
  <c r="AS656" i="44"/>
  <c r="AR656" i="44"/>
  <c r="AQ656" i="44"/>
  <c r="AP656" i="44"/>
  <c r="AO656" i="44"/>
  <c r="AN656" i="44"/>
  <c r="AM656" i="44"/>
  <c r="AL656" i="44"/>
  <c r="AK656" i="44"/>
  <c r="BB655" i="44" a="1"/>
  <c r="BB655" i="44" s="1"/>
  <c r="BA655" i="44" a="1"/>
  <c r="BA655" i="44" s="1"/>
  <c r="AZ655" i="44" a="1"/>
  <c r="AZ655" i="44" s="1"/>
  <c r="AX655" i="44"/>
  <c r="AW655" i="44"/>
  <c r="AW663" i="44" s="1"/>
  <c r="AU655" i="44"/>
  <c r="AT655" i="44"/>
  <c r="AR655" i="44"/>
  <c r="AQ655" i="44"/>
  <c r="AQ663" i="44" s="1"/>
  <c r="AO655" i="44"/>
  <c r="AN655" i="44"/>
  <c r="AN663" i="44" s="1"/>
  <c r="AL655" i="44"/>
  <c r="AK655" i="44"/>
  <c r="AK663" i="44" s="1"/>
  <c r="AA621" i="44"/>
  <c r="W621" i="44"/>
  <c r="S621" i="44"/>
  <c r="AL620" i="44"/>
  <c r="AK620" i="44"/>
  <c r="AJ620" i="44"/>
  <c r="AI620" i="44"/>
  <c r="AF620" i="44"/>
  <c r="AL619" i="44"/>
  <c r="AK619" i="44"/>
  <c r="AJ619" i="44"/>
  <c r="AI619" i="44"/>
  <c r="AF619" i="44"/>
  <c r="AL618" i="44"/>
  <c r="AK618" i="44"/>
  <c r="AJ618" i="44"/>
  <c r="AI618" i="44"/>
  <c r="AF618" i="44"/>
  <c r="AL617" i="44"/>
  <c r="AK617" i="44"/>
  <c r="AJ617" i="44"/>
  <c r="AI617" i="44"/>
  <c r="AF617" i="44"/>
  <c r="AL616" i="44"/>
  <c r="AK616" i="44"/>
  <c r="AJ616" i="44"/>
  <c r="AI616" i="44"/>
  <c r="AF616" i="44"/>
  <c r="AL615" i="44"/>
  <c r="AK615" i="44"/>
  <c r="AJ615" i="44"/>
  <c r="AI615" i="44"/>
  <c r="AF615" i="44"/>
  <c r="AL614" i="44"/>
  <c r="AK614" i="44"/>
  <c r="AJ614" i="44"/>
  <c r="AI614" i="44"/>
  <c r="AF614" i="44"/>
  <c r="AL613" i="44"/>
  <c r="AK613" i="44"/>
  <c r="AK621" i="44" s="1"/>
  <c r="AJ613" i="44"/>
  <c r="AI613" i="44"/>
  <c r="AI621" i="44" s="1"/>
  <c r="AH613" i="44"/>
  <c r="AH621" i="44" s="1"/>
  <c r="B627" i="44" s="1"/>
  <c r="AF613" i="44"/>
  <c r="AD590" i="44"/>
  <c r="AC590" i="44"/>
  <c r="AB590" i="44"/>
  <c r="AA590" i="44"/>
  <c r="Z590" i="44"/>
  <c r="Y590" i="44"/>
  <c r="X590" i="44"/>
  <c r="W590" i="44"/>
  <c r="V590" i="44"/>
  <c r="U590" i="44"/>
  <c r="T590" i="44"/>
  <c r="S590" i="44"/>
  <c r="AU589" i="44"/>
  <c r="AT589" i="44"/>
  <c r="AS589" i="44"/>
  <c r="AR589" i="44"/>
  <c r="AQ589" i="44"/>
  <c r="AP589" i="44"/>
  <c r="AO589" i="44"/>
  <c r="AN589" i="44"/>
  <c r="AM589" i="44"/>
  <c r="AL589" i="44"/>
  <c r="AK589" i="44"/>
  <c r="AJ589" i="44"/>
  <c r="AU588" i="44"/>
  <c r="AT588" i="44"/>
  <c r="AS588" i="44"/>
  <c r="AR588" i="44"/>
  <c r="AQ588" i="44"/>
  <c r="AP588" i="44"/>
  <c r="AO588" i="44"/>
  <c r="AN588" i="44"/>
  <c r="AM588" i="44"/>
  <c r="AL588" i="44"/>
  <c r="AK588" i="44"/>
  <c r="AJ588" i="44"/>
  <c r="AU587" i="44"/>
  <c r="AT587" i="44"/>
  <c r="AS587" i="44"/>
  <c r="AR587" i="44"/>
  <c r="AQ587" i="44"/>
  <c r="AP587" i="44"/>
  <c r="AO587" i="44"/>
  <c r="AN587" i="44"/>
  <c r="AM587" i="44"/>
  <c r="AL587" i="44"/>
  <c r="AK587" i="44"/>
  <c r="AJ587" i="44"/>
  <c r="AU586" i="44"/>
  <c r="AT586" i="44"/>
  <c r="AS586" i="44"/>
  <c r="AR586" i="44"/>
  <c r="AQ586" i="44"/>
  <c r="AP586" i="44"/>
  <c r="AO586" i="44"/>
  <c r="AN586" i="44"/>
  <c r="AM586" i="44"/>
  <c r="AL586" i="44"/>
  <c r="AK586" i="44"/>
  <c r="AJ586" i="44"/>
  <c r="AU585" i="44"/>
  <c r="AT585" i="44"/>
  <c r="AS585" i="44"/>
  <c r="AR585" i="44"/>
  <c r="AQ585" i="44"/>
  <c r="AP585" i="44"/>
  <c r="AO585" i="44"/>
  <c r="AN585" i="44"/>
  <c r="AM585" i="44"/>
  <c r="AL585" i="44"/>
  <c r="AK585" i="44"/>
  <c r="AJ585" i="44"/>
  <c r="AU584" i="44"/>
  <c r="AT584" i="44"/>
  <c r="AS584" i="44"/>
  <c r="AR584" i="44"/>
  <c r="AQ584" i="44"/>
  <c r="AP584" i="44"/>
  <c r="AO584" i="44"/>
  <c r="AN584" i="44"/>
  <c r="AM584" i="44"/>
  <c r="AL584" i="44"/>
  <c r="AK584" i="44"/>
  <c r="AJ584" i="44"/>
  <c r="AU583" i="44"/>
  <c r="AT583" i="44"/>
  <c r="AS583" i="44"/>
  <c r="AR583" i="44"/>
  <c r="AQ583" i="44"/>
  <c r="AP583" i="44"/>
  <c r="AO583" i="44"/>
  <c r="AN583" i="44"/>
  <c r="AM583" i="44"/>
  <c r="AL583" i="44"/>
  <c r="AK583" i="44"/>
  <c r="AJ583" i="44"/>
  <c r="AU582" i="44"/>
  <c r="AU590" i="44" s="1"/>
  <c r="AT582" i="44"/>
  <c r="AS582" i="44"/>
  <c r="AS590" i="44" s="1"/>
  <c r="AR582" i="44"/>
  <c r="AR590" i="44" s="1"/>
  <c r="AQ582" i="44"/>
  <c r="AP582" i="44"/>
  <c r="AP590" i="44" s="1"/>
  <c r="AO582" i="44"/>
  <c r="AO590" i="44" s="1"/>
  <c r="AN582" i="44"/>
  <c r="AM582" i="44"/>
  <c r="AM590" i="44" s="1"/>
  <c r="AL582" i="44"/>
  <c r="AL590" i="44" s="1"/>
  <c r="AL591" i="44" s="1"/>
  <c r="AK582" i="44"/>
  <c r="AJ582" i="44"/>
  <c r="AJ590" i="44" s="1"/>
  <c r="AF580" i="44"/>
  <c r="AD560" i="44"/>
  <c r="AC560" i="44"/>
  <c r="AB560" i="44"/>
  <c r="B569" i="44" s="1"/>
  <c r="AA560" i="44"/>
  <c r="Z560" i="44"/>
  <c r="Y560" i="44"/>
  <c r="X560" i="44"/>
  <c r="W560" i="44"/>
  <c r="V560" i="44"/>
  <c r="U560" i="44"/>
  <c r="T560" i="44"/>
  <c r="S560" i="44"/>
  <c r="B568" i="44" s="1"/>
  <c r="AU559" i="44"/>
  <c r="AT559" i="44"/>
  <c r="AS559" i="44"/>
  <c r="AR559" i="44"/>
  <c r="AQ559" i="44"/>
  <c r="AP559" i="44"/>
  <c r="AO559" i="44"/>
  <c r="AN559" i="44"/>
  <c r="AM559" i="44"/>
  <c r="AL559" i="44"/>
  <c r="AK559" i="44"/>
  <c r="AJ559" i="44"/>
  <c r="AU558" i="44"/>
  <c r="AT558" i="44"/>
  <c r="AS558" i="44"/>
  <c r="AR558" i="44"/>
  <c r="AQ558" i="44"/>
  <c r="AP558" i="44"/>
  <c r="AO558" i="44"/>
  <c r="AN558" i="44"/>
  <c r="AM558" i="44"/>
  <c r="AL558" i="44"/>
  <c r="AK558" i="44"/>
  <c r="AJ558" i="44"/>
  <c r="AU557" i="44"/>
  <c r="AT557" i="44"/>
  <c r="AS557" i="44"/>
  <c r="AR557" i="44"/>
  <c r="AQ557" i="44"/>
  <c r="AP557" i="44"/>
  <c r="AO557" i="44"/>
  <c r="AN557" i="44"/>
  <c r="AM557" i="44"/>
  <c r="AL557" i="44"/>
  <c r="AK557" i="44"/>
  <c r="AJ557" i="44"/>
  <c r="AU556" i="44"/>
  <c r="AT556" i="44"/>
  <c r="AS556" i="44"/>
  <c r="AR556" i="44"/>
  <c r="AQ556" i="44"/>
  <c r="AP556" i="44"/>
  <c r="AO556" i="44"/>
  <c r="AN556" i="44"/>
  <c r="AM556" i="44"/>
  <c r="AL556" i="44"/>
  <c r="AK556" i="44"/>
  <c r="AJ556" i="44"/>
  <c r="AU555" i="44"/>
  <c r="AT555" i="44"/>
  <c r="AS555" i="44"/>
  <c r="AR555" i="44"/>
  <c r="AQ555" i="44"/>
  <c r="AP555" i="44"/>
  <c r="AO555" i="44"/>
  <c r="AN555" i="44"/>
  <c r="AM555" i="44"/>
  <c r="AL555" i="44"/>
  <c r="AK555" i="44"/>
  <c r="AJ555" i="44"/>
  <c r="AU554" i="44"/>
  <c r="AT554" i="44"/>
  <c r="AS554" i="44"/>
  <c r="AS560" i="44" s="1"/>
  <c r="AR554" i="44"/>
  <c r="AR560" i="44" s="1"/>
  <c r="AQ554" i="44"/>
  <c r="AP554" i="44"/>
  <c r="AP560" i="44" s="1"/>
  <c r="AO554" i="44"/>
  <c r="AO560" i="44" s="1"/>
  <c r="AN554" i="44"/>
  <c r="AM554" i="44"/>
  <c r="AM560" i="44" s="1"/>
  <c r="AL554" i="44"/>
  <c r="AK554" i="44"/>
  <c r="AJ554" i="44"/>
  <c r="AJ560" i="44" s="1"/>
  <c r="AD533" i="44"/>
  <c r="AC533" i="44"/>
  <c r="AB533" i="44"/>
  <c r="AA533" i="44"/>
  <c r="Z533" i="44"/>
  <c r="Y533" i="44"/>
  <c r="X533" i="44"/>
  <c r="W533" i="44"/>
  <c r="V533" i="44"/>
  <c r="U533" i="44"/>
  <c r="T533" i="44"/>
  <c r="S533" i="44"/>
  <c r="R533" i="44"/>
  <c r="Q533" i="44"/>
  <c r="P533" i="44"/>
  <c r="AD518" i="44"/>
  <c r="AC518" i="44"/>
  <c r="AB518" i="44"/>
  <c r="AA518" i="44"/>
  <c r="Z518" i="44"/>
  <c r="Y518" i="44"/>
  <c r="X518" i="44"/>
  <c r="W518" i="44"/>
  <c r="V518" i="44"/>
  <c r="AF552" i="44" s="1"/>
  <c r="U518" i="44"/>
  <c r="T518" i="44"/>
  <c r="S518" i="44"/>
  <c r="AV532" i="44"/>
  <c r="AU532" i="44"/>
  <c r="AT532" i="44"/>
  <c r="AS532" i="44"/>
  <c r="AR532" i="44"/>
  <c r="AQ532" i="44"/>
  <c r="AP532" i="44"/>
  <c r="AO532" i="44"/>
  <c r="AN532" i="44"/>
  <c r="AM532" i="44"/>
  <c r="AL532" i="44"/>
  <c r="AK532" i="44"/>
  <c r="AJ532" i="44"/>
  <c r="AI532" i="44"/>
  <c r="AH532" i="44"/>
  <c r="AV531" i="44"/>
  <c r="AU531" i="44"/>
  <c r="AT531" i="44"/>
  <c r="AS531" i="44"/>
  <c r="AR531" i="44"/>
  <c r="AQ531" i="44"/>
  <c r="AP531" i="44"/>
  <c r="AO531" i="44"/>
  <c r="AN531" i="44"/>
  <c r="AM531" i="44"/>
  <c r="AL531" i="44"/>
  <c r="AK531" i="44"/>
  <c r="AJ531" i="44"/>
  <c r="AI531" i="44"/>
  <c r="AH531" i="44"/>
  <c r="AV530" i="44"/>
  <c r="AU530" i="44"/>
  <c r="AT530" i="44"/>
  <c r="AS530" i="44"/>
  <c r="AR530" i="44"/>
  <c r="AQ530" i="44"/>
  <c r="AP530" i="44"/>
  <c r="AO530" i="44"/>
  <c r="AN530" i="44"/>
  <c r="AM530" i="44"/>
  <c r="AL530" i="44"/>
  <c r="AK530" i="44"/>
  <c r="AJ530" i="44"/>
  <c r="AI530" i="44"/>
  <c r="AH530" i="44"/>
  <c r="AV529" i="44"/>
  <c r="AU529" i="44"/>
  <c r="AT529" i="44"/>
  <c r="AS529" i="44"/>
  <c r="AS533" i="44" s="1"/>
  <c r="AR529" i="44"/>
  <c r="AQ529" i="44"/>
  <c r="AP529" i="44"/>
  <c r="AO529" i="44"/>
  <c r="AN529" i="44"/>
  <c r="AM529" i="44"/>
  <c r="AL529" i="44"/>
  <c r="AK529" i="44"/>
  <c r="AJ529" i="44"/>
  <c r="AI529" i="44"/>
  <c r="AH529" i="44"/>
  <c r="AV528" i="44"/>
  <c r="AU528" i="44"/>
  <c r="AT528" i="44"/>
  <c r="AS528" i="44"/>
  <c r="AR528" i="44"/>
  <c r="AQ528" i="44"/>
  <c r="AP528" i="44"/>
  <c r="AO528" i="44"/>
  <c r="AN528" i="44"/>
  <c r="AM528" i="44"/>
  <c r="AL528" i="44"/>
  <c r="AK528" i="44"/>
  <c r="AJ528" i="44"/>
  <c r="AI528" i="44"/>
  <c r="AH528" i="44"/>
  <c r="AV527" i="44"/>
  <c r="AU527" i="44"/>
  <c r="AT527" i="44"/>
  <c r="AS527" i="44"/>
  <c r="AR527" i="44"/>
  <c r="AQ527" i="44"/>
  <c r="AP527" i="44"/>
  <c r="AO527" i="44"/>
  <c r="AN527" i="44"/>
  <c r="AN533" i="44" s="1"/>
  <c r="AM527" i="44"/>
  <c r="AL527" i="44"/>
  <c r="AK527" i="44"/>
  <c r="AJ527" i="44"/>
  <c r="AI527" i="44"/>
  <c r="AH527" i="44"/>
  <c r="AV526" i="44"/>
  <c r="AU526" i="44"/>
  <c r="AT526" i="44"/>
  <c r="AS526" i="44"/>
  <c r="AR526" i="44"/>
  <c r="AQ526" i="44"/>
  <c r="AP526" i="44"/>
  <c r="AO526" i="44"/>
  <c r="AN526" i="44"/>
  <c r="AM526" i="44"/>
  <c r="AL526" i="44"/>
  <c r="AK526" i="44"/>
  <c r="AJ526" i="44"/>
  <c r="AI526" i="44"/>
  <c r="AH526" i="44"/>
  <c r="AV525" i="44"/>
  <c r="AV533" i="44" s="1"/>
  <c r="AU525" i="44"/>
  <c r="AT525" i="44"/>
  <c r="AT533" i="44" s="1"/>
  <c r="AS525" i="44"/>
  <c r="AR525" i="44"/>
  <c r="AQ525" i="44"/>
  <c r="AQ533" i="44" s="1"/>
  <c r="AP525" i="44"/>
  <c r="AP533" i="44" s="1"/>
  <c r="AO525" i="44"/>
  <c r="AN525" i="44"/>
  <c r="AM525" i="44"/>
  <c r="AM533" i="44" s="1"/>
  <c r="AL525" i="44"/>
  <c r="AK525" i="44"/>
  <c r="AK533" i="44" s="1"/>
  <c r="AJ525" i="44"/>
  <c r="AJ533" i="44" s="1"/>
  <c r="AI525" i="44"/>
  <c r="AH525" i="44"/>
  <c r="AH533" i="44" s="1"/>
  <c r="AN534" i="44" s="1"/>
  <c r="AV517" i="44"/>
  <c r="AU517" i="44"/>
  <c r="AT517" i="44"/>
  <c r="AS517" i="44"/>
  <c r="AR517" i="44"/>
  <c r="AQ517" i="44"/>
  <c r="AP517" i="44"/>
  <c r="AO517" i="44"/>
  <c r="AN517" i="44"/>
  <c r="AM517" i="44"/>
  <c r="AL517" i="44"/>
  <c r="AK517" i="44"/>
  <c r="AF517" i="44"/>
  <c r="AV516" i="44"/>
  <c r="AU516" i="44"/>
  <c r="AT516" i="44"/>
  <c r="AS516" i="44"/>
  <c r="AR516" i="44"/>
  <c r="AQ516" i="44"/>
  <c r="AP516" i="44"/>
  <c r="AO516" i="44"/>
  <c r="AN516" i="44"/>
  <c r="AM516" i="44"/>
  <c r="AL516" i="44"/>
  <c r="AK516" i="44"/>
  <c r="AF516" i="44"/>
  <c r="AV515" i="44"/>
  <c r="AU515" i="44"/>
  <c r="AT515" i="44"/>
  <c r="AS515" i="44"/>
  <c r="AR515" i="44"/>
  <c r="AQ515" i="44"/>
  <c r="AP515" i="44"/>
  <c r="AO515" i="44"/>
  <c r="AN515" i="44"/>
  <c r="AM515" i="44"/>
  <c r="AM518" i="44" s="1"/>
  <c r="AL515" i="44"/>
  <c r="AK515" i="44"/>
  <c r="AF515" i="44"/>
  <c r="AV514" i="44"/>
  <c r="AU514" i="44"/>
  <c r="AT514" i="44"/>
  <c r="AS514" i="44"/>
  <c r="AR514" i="44"/>
  <c r="AQ514" i="44"/>
  <c r="AP514" i="44"/>
  <c r="AO514" i="44"/>
  <c r="AN514" i="44"/>
  <c r="AM514" i="44"/>
  <c r="AL514" i="44"/>
  <c r="AK514" i="44"/>
  <c r="AF514" i="44"/>
  <c r="AV513" i="44"/>
  <c r="AU513" i="44"/>
  <c r="AT513" i="44"/>
  <c r="AS513" i="44"/>
  <c r="AR513" i="44"/>
  <c r="AQ513" i="44"/>
  <c r="AP513" i="44"/>
  <c r="AO513" i="44"/>
  <c r="AN513" i="44"/>
  <c r="AM513" i="44"/>
  <c r="AL513" i="44"/>
  <c r="AK513" i="44"/>
  <c r="AF513" i="44"/>
  <c r="AV512" i="44"/>
  <c r="AU512" i="44"/>
  <c r="AT512" i="44"/>
  <c r="AS512" i="44"/>
  <c r="AR512" i="44"/>
  <c r="AQ512" i="44"/>
  <c r="AP512" i="44"/>
  <c r="AO512" i="44"/>
  <c r="AN512" i="44"/>
  <c r="AM512" i="44"/>
  <c r="AL512" i="44"/>
  <c r="AK512" i="44"/>
  <c r="AF512" i="44"/>
  <c r="AV511" i="44"/>
  <c r="AU511" i="44"/>
  <c r="AT511" i="44"/>
  <c r="AS511" i="44"/>
  <c r="AR511" i="44"/>
  <c r="AQ511" i="44"/>
  <c r="AQ518" i="44" s="1"/>
  <c r="AP511" i="44"/>
  <c r="AO511" i="44"/>
  <c r="AN511" i="44"/>
  <c r="AM511" i="44"/>
  <c r="AL511" i="44"/>
  <c r="AK511" i="44"/>
  <c r="AF511" i="44"/>
  <c r="AV510" i="44"/>
  <c r="AV518" i="44" s="1"/>
  <c r="AU510" i="44"/>
  <c r="AT510" i="44"/>
  <c r="AT518" i="44" s="1"/>
  <c r="AS510" i="44"/>
  <c r="AS518" i="44" s="1"/>
  <c r="AR510" i="44"/>
  <c r="AQ510" i="44"/>
  <c r="AP510" i="44"/>
  <c r="AP518" i="44" s="1"/>
  <c r="AO510" i="44"/>
  <c r="AN510" i="44"/>
  <c r="AN518" i="44" s="1"/>
  <c r="AM510" i="44"/>
  <c r="AL510" i="44"/>
  <c r="AK510" i="44"/>
  <c r="AK518" i="44" s="1"/>
  <c r="AH510" i="44"/>
  <c r="AH518" i="44" s="1"/>
  <c r="B539" i="44" s="1"/>
  <c r="AG518" i="44"/>
  <c r="B537" i="44" s="1"/>
  <c r="AF510" i="44"/>
  <c r="AD483" i="44"/>
  <c r="AC483" i="44"/>
  <c r="AB483" i="44"/>
  <c r="AA483" i="44"/>
  <c r="Z483" i="44"/>
  <c r="Y483" i="44"/>
  <c r="X483" i="44"/>
  <c r="W483" i="44"/>
  <c r="U483" i="44"/>
  <c r="T483" i="44"/>
  <c r="S483" i="44"/>
  <c r="AU482" i="44"/>
  <c r="AT482" i="44"/>
  <c r="AS482" i="44"/>
  <c r="AR482" i="44"/>
  <c r="AQ482" i="44"/>
  <c r="AP482" i="44"/>
  <c r="AO482" i="44"/>
  <c r="AN482" i="44"/>
  <c r="AM482" i="44"/>
  <c r="AL482" i="44"/>
  <c r="AK482" i="44"/>
  <c r="AJ482" i="44"/>
  <c r="AU481" i="44"/>
  <c r="AT481" i="44"/>
  <c r="AS481" i="44"/>
  <c r="AR481" i="44"/>
  <c r="AQ481" i="44"/>
  <c r="AP481" i="44"/>
  <c r="AO481" i="44"/>
  <c r="AN481" i="44"/>
  <c r="AM481" i="44"/>
  <c r="AL481" i="44"/>
  <c r="AK481" i="44"/>
  <c r="AJ481" i="44"/>
  <c r="AU480" i="44"/>
  <c r="AT480" i="44"/>
  <c r="AS480" i="44"/>
  <c r="AR480" i="44"/>
  <c r="AQ480" i="44"/>
  <c r="AP480" i="44"/>
  <c r="AO480" i="44"/>
  <c r="AN480" i="44"/>
  <c r="AM480" i="44"/>
  <c r="AL480" i="44"/>
  <c r="AK480" i="44"/>
  <c r="AJ480" i="44"/>
  <c r="AU479" i="44"/>
  <c r="AT479" i="44"/>
  <c r="AS479" i="44"/>
  <c r="AR479" i="44"/>
  <c r="AQ479" i="44"/>
  <c r="AP479" i="44"/>
  <c r="AO479" i="44"/>
  <c r="AN479" i="44"/>
  <c r="AM479" i="44"/>
  <c r="AL479" i="44"/>
  <c r="AK479" i="44"/>
  <c r="AJ479" i="44"/>
  <c r="AU478" i="44"/>
  <c r="AT478" i="44"/>
  <c r="AS478" i="44"/>
  <c r="AR478" i="44"/>
  <c r="AQ478" i="44"/>
  <c r="AP478" i="44"/>
  <c r="AO478" i="44"/>
  <c r="AN478" i="44"/>
  <c r="AM478" i="44"/>
  <c r="AL478" i="44"/>
  <c r="AK478" i="44"/>
  <c r="AJ478" i="44"/>
  <c r="AU477" i="44"/>
  <c r="AT477" i="44"/>
  <c r="AS477" i="44"/>
  <c r="AR477" i="44"/>
  <c r="AQ477" i="44"/>
  <c r="AP477" i="44"/>
  <c r="AO477" i="44"/>
  <c r="AN477" i="44"/>
  <c r="AM477" i="44"/>
  <c r="AL477" i="44"/>
  <c r="AK477" i="44"/>
  <c r="AJ477" i="44"/>
  <c r="AU476" i="44"/>
  <c r="AT476" i="44"/>
  <c r="AS476" i="44"/>
  <c r="AR476" i="44"/>
  <c r="AQ476" i="44"/>
  <c r="AP476" i="44"/>
  <c r="AO476" i="44"/>
  <c r="AN476" i="44"/>
  <c r="AM476" i="44"/>
  <c r="AL476" i="44"/>
  <c r="AK476" i="44"/>
  <c r="AJ476" i="44"/>
  <c r="AU475" i="44"/>
  <c r="AU483" i="44" s="1"/>
  <c r="AT475" i="44"/>
  <c r="AS475" i="44"/>
  <c r="AS483" i="44" s="1"/>
  <c r="AR475" i="44"/>
  <c r="AR483" i="44" s="1"/>
  <c r="AQ475" i="44"/>
  <c r="AP475" i="44"/>
  <c r="AP483" i="44" s="1"/>
  <c r="AO475" i="44"/>
  <c r="AO483" i="44" s="1"/>
  <c r="AN475" i="44"/>
  <c r="AM475" i="44"/>
  <c r="AM483" i="44" s="1"/>
  <c r="AL475" i="44"/>
  <c r="AL483" i="44" s="1"/>
  <c r="AK475" i="44"/>
  <c r="AJ475" i="44"/>
  <c r="AJ483" i="44" s="1"/>
  <c r="AD454" i="44"/>
  <c r="AC454" i="44"/>
  <c r="AB454" i="44"/>
  <c r="B463" i="44" s="1"/>
  <c r="AA454" i="44"/>
  <c r="Z454" i="44"/>
  <c r="Y454" i="44"/>
  <c r="X454" i="44"/>
  <c r="W454" i="44"/>
  <c r="V454" i="44"/>
  <c r="U454" i="44"/>
  <c r="T454" i="44"/>
  <c r="S454" i="44"/>
  <c r="B462" i="44" s="1"/>
  <c r="AP454" i="44"/>
  <c r="AU453" i="44"/>
  <c r="AT453" i="44"/>
  <c r="AS453" i="44"/>
  <c r="AR453" i="44"/>
  <c r="AQ453" i="44"/>
  <c r="AP453" i="44"/>
  <c r="AO453" i="44"/>
  <c r="AN453" i="44"/>
  <c r="AM453" i="44"/>
  <c r="AL453" i="44"/>
  <c r="AK453" i="44"/>
  <c r="AJ453" i="44"/>
  <c r="AU452" i="44"/>
  <c r="AT452" i="44"/>
  <c r="AS452" i="44"/>
  <c r="AR452" i="44"/>
  <c r="AQ452" i="44"/>
  <c r="AP452" i="44"/>
  <c r="AO452" i="44"/>
  <c r="AN452" i="44"/>
  <c r="AM452" i="44"/>
  <c r="AL452" i="44"/>
  <c r="AK452" i="44"/>
  <c r="AJ452" i="44"/>
  <c r="AU451" i="44"/>
  <c r="AT451" i="44"/>
  <c r="AS451" i="44"/>
  <c r="AR451" i="44"/>
  <c r="AQ451" i="44"/>
  <c r="AP451" i="44"/>
  <c r="AO451" i="44"/>
  <c r="AN451" i="44"/>
  <c r="AM451" i="44"/>
  <c r="AL451" i="44"/>
  <c r="AK451" i="44"/>
  <c r="AJ451" i="44"/>
  <c r="AU450" i="44"/>
  <c r="AT450" i="44"/>
  <c r="AS450" i="44"/>
  <c r="AR450" i="44"/>
  <c r="AQ450" i="44"/>
  <c r="AP450" i="44"/>
  <c r="AO450" i="44"/>
  <c r="AN450" i="44"/>
  <c r="AM450" i="44"/>
  <c r="AL450" i="44"/>
  <c r="AK450" i="44"/>
  <c r="AJ450" i="44"/>
  <c r="AU449" i="44"/>
  <c r="AT449" i="44"/>
  <c r="AS449" i="44"/>
  <c r="AR449" i="44"/>
  <c r="AQ449" i="44"/>
  <c r="AP449" i="44"/>
  <c r="AO449" i="44"/>
  <c r="AN449" i="44"/>
  <c r="AM449" i="44"/>
  <c r="AL449" i="44"/>
  <c r="AK449" i="44"/>
  <c r="AJ449" i="44"/>
  <c r="AU448" i="44"/>
  <c r="AT448" i="44"/>
  <c r="AS448" i="44"/>
  <c r="AS454" i="44" s="1"/>
  <c r="AR448" i="44"/>
  <c r="AR454" i="44" s="1"/>
  <c r="AQ448" i="44"/>
  <c r="AP448" i="44"/>
  <c r="AO448" i="44"/>
  <c r="AO454" i="44" s="1"/>
  <c r="AN448" i="44"/>
  <c r="AM448" i="44"/>
  <c r="AM454" i="44" s="1"/>
  <c r="AL448" i="44"/>
  <c r="AK448" i="44"/>
  <c r="AJ448" i="44"/>
  <c r="AJ454" i="44" s="1"/>
  <c r="AD428" i="44"/>
  <c r="AC428" i="44"/>
  <c r="AB428" i="44"/>
  <c r="AA428" i="44"/>
  <c r="Z428" i="44"/>
  <c r="Y428" i="44"/>
  <c r="X428" i="44"/>
  <c r="W428" i="44"/>
  <c r="V428" i="44"/>
  <c r="U428" i="44"/>
  <c r="T428" i="44"/>
  <c r="S428" i="44"/>
  <c r="R428" i="44"/>
  <c r="Q428" i="44"/>
  <c r="P428" i="44"/>
  <c r="O428" i="44"/>
  <c r="N428" i="44"/>
  <c r="M428" i="44"/>
  <c r="L428" i="44"/>
  <c r="K428" i="44"/>
  <c r="J428" i="44"/>
  <c r="I428" i="44"/>
  <c r="H428" i="44"/>
  <c r="G428" i="44"/>
  <c r="BH427" i="44"/>
  <c r="BG427" i="44"/>
  <c r="BF427" i="44"/>
  <c r="BE427" i="44"/>
  <c r="BD427" i="44"/>
  <c r="BC427" i="44"/>
  <c r="BB427" i="44"/>
  <c r="BA427" i="44"/>
  <c r="AZ427" i="44"/>
  <c r="AY427" i="44"/>
  <c r="AX427" i="44"/>
  <c r="AW427" i="44"/>
  <c r="AV427" i="44"/>
  <c r="AU427" i="44"/>
  <c r="AT427" i="44"/>
  <c r="AT428" i="44" s="1"/>
  <c r="AS427" i="44"/>
  <c r="AR427" i="44"/>
  <c r="AQ427" i="44"/>
  <c r="AP427" i="44"/>
  <c r="AO427" i="44"/>
  <c r="AN427" i="44"/>
  <c r="AM427" i="44"/>
  <c r="AL427" i="44"/>
  <c r="AK427" i="44"/>
  <c r="BH426" i="44"/>
  <c r="BG426" i="44"/>
  <c r="BF426" i="44"/>
  <c r="BE426" i="44"/>
  <c r="BD426" i="44"/>
  <c r="BC426" i="44"/>
  <c r="BB426" i="44"/>
  <c r="BA426" i="44"/>
  <c r="AZ426" i="44"/>
  <c r="AY426" i="44"/>
  <c r="AX426" i="44"/>
  <c r="AW426" i="44"/>
  <c r="AV426" i="44"/>
  <c r="AU426" i="44"/>
  <c r="AT426" i="44"/>
  <c r="AS426" i="44"/>
  <c r="AR426" i="44"/>
  <c r="AQ426" i="44"/>
  <c r="AP426" i="44"/>
  <c r="AO426" i="44"/>
  <c r="AN426" i="44"/>
  <c r="AM426" i="44"/>
  <c r="AL426" i="44"/>
  <c r="AK426" i="44"/>
  <c r="BH425" i="44"/>
  <c r="BG425" i="44"/>
  <c r="BF425" i="44"/>
  <c r="BE425" i="44"/>
  <c r="BD425" i="44"/>
  <c r="BC425" i="44"/>
  <c r="BB425" i="44"/>
  <c r="BA425" i="44"/>
  <c r="AZ425" i="44"/>
  <c r="AY425" i="44"/>
  <c r="AX425" i="44"/>
  <c r="AW425" i="44"/>
  <c r="AV425" i="44"/>
  <c r="AU425" i="44"/>
  <c r="AT425" i="44"/>
  <c r="AS425" i="44"/>
  <c r="AR425" i="44"/>
  <c r="AQ425" i="44"/>
  <c r="AP425" i="44"/>
  <c r="AO425" i="44"/>
  <c r="AN425" i="44"/>
  <c r="AM425" i="44"/>
  <c r="AL425" i="44"/>
  <c r="AK425" i="44"/>
  <c r="BH424" i="44"/>
  <c r="BG424" i="44"/>
  <c r="BF424" i="44"/>
  <c r="BE424" i="44"/>
  <c r="BD424" i="44"/>
  <c r="BC424" i="44"/>
  <c r="BB424" i="44"/>
  <c r="BA424" i="44"/>
  <c r="AZ424" i="44"/>
  <c r="AY424" i="44"/>
  <c r="AX424" i="44"/>
  <c r="AW424" i="44"/>
  <c r="AV424" i="44"/>
  <c r="AU424" i="44"/>
  <c r="AT424" i="44"/>
  <c r="AS424" i="44"/>
  <c r="AR424" i="44"/>
  <c r="AQ424" i="44"/>
  <c r="AP424" i="44"/>
  <c r="AO424" i="44"/>
  <c r="AN424" i="44"/>
  <c r="AM424" i="44"/>
  <c r="AL424" i="44"/>
  <c r="AK424" i="44"/>
  <c r="BH423" i="44"/>
  <c r="BG423" i="44"/>
  <c r="BF423" i="44"/>
  <c r="BE423" i="44"/>
  <c r="BD423" i="44"/>
  <c r="BC423" i="44"/>
  <c r="BB423" i="44"/>
  <c r="BA423" i="44"/>
  <c r="AZ423" i="44"/>
  <c r="AY423" i="44"/>
  <c r="AX423" i="44"/>
  <c r="AW423" i="44"/>
  <c r="AV423" i="44"/>
  <c r="AU423" i="44"/>
  <c r="AT423" i="44"/>
  <c r="AS423" i="44"/>
  <c r="AR423" i="44"/>
  <c r="AQ423" i="44"/>
  <c r="AP423" i="44"/>
  <c r="AO423" i="44"/>
  <c r="AN423" i="44"/>
  <c r="AM423" i="44"/>
  <c r="AL423" i="44"/>
  <c r="AK423" i="44"/>
  <c r="BH422" i="44"/>
  <c r="BG422" i="44"/>
  <c r="BF422" i="44"/>
  <c r="BE422" i="44"/>
  <c r="BD422" i="44"/>
  <c r="BC422" i="44"/>
  <c r="BB422" i="44"/>
  <c r="BA422" i="44"/>
  <c r="AZ422" i="44"/>
  <c r="AY422" i="44"/>
  <c r="AX422" i="44"/>
  <c r="AW422" i="44"/>
  <c r="AV422" i="44"/>
  <c r="AU422" i="44"/>
  <c r="AT422" i="44"/>
  <c r="AS422" i="44"/>
  <c r="AR422" i="44"/>
  <c r="AQ422" i="44"/>
  <c r="AP422" i="44"/>
  <c r="AO422" i="44"/>
  <c r="AN422" i="44"/>
  <c r="AM422" i="44"/>
  <c r="AL422" i="44"/>
  <c r="AK422" i="44"/>
  <c r="BH421" i="44"/>
  <c r="BG421" i="44"/>
  <c r="BF421" i="44"/>
  <c r="BF428" i="44" s="1"/>
  <c r="BE421" i="44"/>
  <c r="BD421" i="44"/>
  <c r="BC421" i="44"/>
  <c r="BB421" i="44"/>
  <c r="BA421" i="44"/>
  <c r="AZ421" i="44"/>
  <c r="AY421" i="44"/>
  <c r="AX421" i="44"/>
  <c r="AW421" i="44"/>
  <c r="AV421" i="44"/>
  <c r="AU421" i="44"/>
  <c r="AT421" i="44"/>
  <c r="AS421" i="44"/>
  <c r="AR421" i="44"/>
  <c r="AQ421" i="44"/>
  <c r="AP421" i="44"/>
  <c r="AO421" i="44"/>
  <c r="AN421" i="44"/>
  <c r="AM421" i="44"/>
  <c r="AL421" i="44"/>
  <c r="AK421" i="44"/>
  <c r="BI420" i="44"/>
  <c r="BI428" i="44" s="1"/>
  <c r="BH420" i="44"/>
  <c r="BH428" i="44" s="1"/>
  <c r="BG420" i="44"/>
  <c r="BF420" i="44"/>
  <c r="BE420" i="44"/>
  <c r="BE428" i="44" s="1"/>
  <c r="BD420" i="44"/>
  <c r="BC420" i="44"/>
  <c r="BC428" i="44" s="1"/>
  <c r="BB420" i="44"/>
  <c r="BB428" i="44" s="1"/>
  <c r="BA420" i="44"/>
  <c r="AZ420" i="44"/>
  <c r="AZ428" i="44" s="1"/>
  <c r="AY420" i="44"/>
  <c r="AY428" i="44" s="1"/>
  <c r="AX420" i="44"/>
  <c r="AW420" i="44"/>
  <c r="AW428" i="44" s="1"/>
  <c r="AV420" i="44"/>
  <c r="AV428" i="44" s="1"/>
  <c r="AU420" i="44"/>
  <c r="AT420" i="44"/>
  <c r="AS420" i="44"/>
  <c r="AS428" i="44" s="1"/>
  <c r="AR420" i="44"/>
  <c r="AQ420" i="44"/>
  <c r="AQ428" i="44" s="1"/>
  <c r="AP420" i="44"/>
  <c r="AP428" i="44" s="1"/>
  <c r="AO420" i="44"/>
  <c r="AN420" i="44"/>
  <c r="AN428" i="44" s="1"/>
  <c r="AM420" i="44"/>
  <c r="AM428" i="44" s="1"/>
  <c r="AL420" i="44"/>
  <c r="AK420" i="44"/>
  <c r="AK428" i="44" s="1"/>
  <c r="AH420" i="44"/>
  <c r="AH428" i="44" s="1"/>
  <c r="B434" i="44" s="1"/>
  <c r="AG428" i="44"/>
  <c r="B432" i="44" s="1"/>
  <c r="AD402" i="44"/>
  <c r="AC402" i="44"/>
  <c r="AB402" i="44"/>
  <c r="AA402" i="44"/>
  <c r="Z402" i="44"/>
  <c r="Y402" i="44"/>
  <c r="X402" i="44"/>
  <c r="W402" i="44"/>
  <c r="V402" i="44"/>
  <c r="AD379" i="44"/>
  <c r="AC379" i="44"/>
  <c r="AB379" i="44"/>
  <c r="AA379" i="44"/>
  <c r="Z379" i="44"/>
  <c r="Y379" i="44"/>
  <c r="X379" i="44"/>
  <c r="W379" i="44"/>
  <c r="V379" i="44"/>
  <c r="AN402" i="44"/>
  <c r="AS401" i="44"/>
  <c r="AR401" i="44"/>
  <c r="AQ401" i="44"/>
  <c r="AP401" i="44"/>
  <c r="AO401" i="44"/>
  <c r="AN401" i="44"/>
  <c r="AM401" i="44"/>
  <c r="AL401" i="44"/>
  <c r="AK401" i="44"/>
  <c r="AF401" i="44"/>
  <c r="AS400" i="44"/>
  <c r="AR400" i="44"/>
  <c r="AQ400" i="44"/>
  <c r="AP400" i="44"/>
  <c r="AO400" i="44"/>
  <c r="AN400" i="44"/>
  <c r="AM400" i="44"/>
  <c r="AL400" i="44"/>
  <c r="AK400" i="44"/>
  <c r="AF400" i="44"/>
  <c r="AS399" i="44"/>
  <c r="AR399" i="44"/>
  <c r="AQ399" i="44"/>
  <c r="AP399" i="44"/>
  <c r="AO399" i="44"/>
  <c r="AN399" i="44"/>
  <c r="AM399" i="44"/>
  <c r="AL399" i="44"/>
  <c r="AK399" i="44"/>
  <c r="AF399" i="44"/>
  <c r="AS398" i="44"/>
  <c r="AR398" i="44"/>
  <c r="AQ398" i="44"/>
  <c r="AP398" i="44"/>
  <c r="AO398" i="44"/>
  <c r="AN398" i="44"/>
  <c r="AM398" i="44"/>
  <c r="AL398" i="44"/>
  <c r="AK398" i="44"/>
  <c r="AF398" i="44"/>
  <c r="AS397" i="44"/>
  <c r="AR397" i="44"/>
  <c r="AQ397" i="44"/>
  <c r="AP397" i="44"/>
  <c r="AO397" i="44"/>
  <c r="AN397" i="44"/>
  <c r="AM397" i="44"/>
  <c r="AL397" i="44"/>
  <c r="AK397" i="44"/>
  <c r="AF397" i="44"/>
  <c r="AS396" i="44"/>
  <c r="AR396" i="44"/>
  <c r="AQ396" i="44"/>
  <c r="AQ402" i="44" s="1"/>
  <c r="AP396" i="44"/>
  <c r="AO396" i="44"/>
  <c r="AN396" i="44"/>
  <c r="AM396" i="44"/>
  <c r="AL396" i="44"/>
  <c r="AK396" i="44"/>
  <c r="AF396" i="44"/>
  <c r="AS395" i="44"/>
  <c r="AR395" i="44"/>
  <c r="AQ395" i="44"/>
  <c r="AP395" i="44"/>
  <c r="AO395" i="44"/>
  <c r="AN395" i="44"/>
  <c r="AM395" i="44"/>
  <c r="AL395" i="44"/>
  <c r="AK395" i="44"/>
  <c r="AF395" i="44"/>
  <c r="AS394" i="44"/>
  <c r="AS402" i="44" s="1"/>
  <c r="AR394" i="44"/>
  <c r="AQ394" i="44"/>
  <c r="AP394" i="44"/>
  <c r="AP402" i="44" s="1"/>
  <c r="AO394" i="44"/>
  <c r="AN394" i="44"/>
  <c r="AM394" i="44"/>
  <c r="AM402" i="44" s="1"/>
  <c r="AL394" i="44"/>
  <c r="AK394" i="44"/>
  <c r="AK402" i="44" s="1"/>
  <c r="AN403" i="44" s="1"/>
  <c r="AH394" i="44"/>
  <c r="AF394" i="44"/>
  <c r="AW378" i="44"/>
  <c r="AS378" i="44"/>
  <c r="AR378" i="44"/>
  <c r="AQ378" i="44"/>
  <c r="AP378" i="44"/>
  <c r="AO378" i="44"/>
  <c r="AN378" i="44"/>
  <c r="AM378" i="44"/>
  <c r="AL378" i="44"/>
  <c r="AK378" i="44"/>
  <c r="AF378" i="44"/>
  <c r="AW377" i="44"/>
  <c r="AS377" i="44"/>
  <c r="AR377" i="44"/>
  <c r="AQ377" i="44"/>
  <c r="AP377" i="44"/>
  <c r="AO377" i="44"/>
  <c r="AN377" i="44"/>
  <c r="AM377" i="44"/>
  <c r="AL377" i="44"/>
  <c r="AK377" i="44"/>
  <c r="AF377" i="44"/>
  <c r="AW376" i="44"/>
  <c r="AS376" i="44"/>
  <c r="AR376" i="44"/>
  <c r="AQ376" i="44"/>
  <c r="AP376" i="44"/>
  <c r="AO376" i="44"/>
  <c r="AN376" i="44"/>
  <c r="AM376" i="44"/>
  <c r="AL376" i="44"/>
  <c r="AK376" i="44"/>
  <c r="AF376" i="44"/>
  <c r="AW375" i="44"/>
  <c r="AS375" i="44"/>
  <c r="AR375" i="44"/>
  <c r="AQ375" i="44"/>
  <c r="AP375" i="44"/>
  <c r="AP379" i="44" s="1"/>
  <c r="AO375" i="44"/>
  <c r="AN375" i="44"/>
  <c r="AM375" i="44"/>
  <c r="AL375" i="44"/>
  <c r="AK375" i="44"/>
  <c r="AF375" i="44"/>
  <c r="AW374" i="44"/>
  <c r="AS374" i="44"/>
  <c r="AR374" i="44"/>
  <c r="AQ374" i="44"/>
  <c r="AP374" i="44"/>
  <c r="AO374" i="44"/>
  <c r="AN374" i="44"/>
  <c r="AM374" i="44"/>
  <c r="AM379" i="44" s="1"/>
  <c r="AL380" i="44" s="1"/>
  <c r="AL374" i="44"/>
  <c r="AK374" i="44"/>
  <c r="AF374" i="44"/>
  <c r="AW373" i="44"/>
  <c r="AS373" i="44"/>
  <c r="AR373" i="44"/>
  <c r="AQ373" i="44"/>
  <c r="AP373" i="44"/>
  <c r="AO373" i="44"/>
  <c r="AN373" i="44"/>
  <c r="AM373" i="44"/>
  <c r="AL373" i="44"/>
  <c r="AK373" i="44"/>
  <c r="AF373" i="44"/>
  <c r="AW372" i="44"/>
  <c r="AS372" i="44"/>
  <c r="AR372" i="44"/>
  <c r="AQ372" i="44"/>
  <c r="AP372" i="44"/>
  <c r="AO372" i="44"/>
  <c r="AN372" i="44"/>
  <c r="AM372" i="44"/>
  <c r="AL372" i="44"/>
  <c r="AK372" i="44"/>
  <c r="AF372" i="44"/>
  <c r="AW371" i="44"/>
  <c r="AW379" i="44" s="1"/>
  <c r="AS371" i="44"/>
  <c r="AS379" i="44" s="1"/>
  <c r="AR371" i="44"/>
  <c r="AQ371" i="44"/>
  <c r="AQ379" i="44" s="1"/>
  <c r="AP371" i="44"/>
  <c r="AO371" i="44"/>
  <c r="AN371" i="44"/>
  <c r="AN379" i="44" s="1"/>
  <c r="AM371" i="44"/>
  <c r="AL371" i="44"/>
  <c r="AK371" i="44"/>
  <c r="AK379" i="44" s="1"/>
  <c r="AH371" i="44"/>
  <c r="AF371" i="44"/>
  <c r="AD334" i="44"/>
  <c r="AC334" i="44"/>
  <c r="AB334" i="44"/>
  <c r="AA334" i="44"/>
  <c r="Z334" i="44"/>
  <c r="Y334" i="44"/>
  <c r="X334" i="44"/>
  <c r="W334" i="44"/>
  <c r="V334" i="44"/>
  <c r="U334" i="44"/>
  <c r="T334" i="44"/>
  <c r="S334" i="44"/>
  <c r="R334" i="44"/>
  <c r="Q334" i="44"/>
  <c r="P334" i="44"/>
  <c r="AD322" i="44"/>
  <c r="AC322" i="44"/>
  <c r="AB322" i="44"/>
  <c r="AA322" i="44"/>
  <c r="Z322" i="44"/>
  <c r="Y322" i="44"/>
  <c r="X322" i="44"/>
  <c r="W322" i="44"/>
  <c r="V322" i="44"/>
  <c r="U322" i="44"/>
  <c r="T322" i="44"/>
  <c r="S322" i="44"/>
  <c r="R322" i="44"/>
  <c r="Q322" i="44"/>
  <c r="AU333" i="44" a="1"/>
  <c r="AU333" i="44" s="1"/>
  <c r="AT333" i="44" a="1"/>
  <c r="AT333" i="44" s="1"/>
  <c r="AS333" i="44" a="1"/>
  <c r="AS333" i="44" s="1"/>
  <c r="AR333" i="44" a="1"/>
  <c r="AR333" i="44" s="1"/>
  <c r="AQ333" i="44" a="1"/>
  <c r="AQ333" i="44" s="1"/>
  <c r="AP333" i="44" a="1"/>
  <c r="AP333" i="44" s="1"/>
  <c r="AO333" i="44" a="1"/>
  <c r="AO333" i="44" s="1"/>
  <c r="AN333" i="44" a="1"/>
  <c r="AN333" i="44" s="1"/>
  <c r="AM333" i="44" a="1"/>
  <c r="AM333" i="44" s="1"/>
  <c r="AL333" i="44" a="1"/>
  <c r="AL333" i="44" s="1"/>
  <c r="AK333" i="44" a="1"/>
  <c r="AK333" i="44" s="1"/>
  <c r="AJ333" i="44" a="1"/>
  <c r="AJ333" i="44" s="1"/>
  <c r="AI333" i="44" a="1"/>
  <c r="AI333" i="44" s="1"/>
  <c r="AH333" i="44" a="1"/>
  <c r="AH333" i="44" s="1"/>
  <c r="AG333" i="44" a="1"/>
  <c r="AG333" i="44" s="1"/>
  <c r="AU332" i="44" a="1"/>
  <c r="AU332" i="44" s="1"/>
  <c r="AT332" i="44" a="1"/>
  <c r="AT332" i="44" s="1"/>
  <c r="AS332" i="44" a="1"/>
  <c r="AS332" i="44" s="1"/>
  <c r="AR332" i="44" a="1"/>
  <c r="AR332" i="44" s="1"/>
  <c r="AQ332" i="44" a="1"/>
  <c r="AQ332" i="44" s="1"/>
  <c r="AP332" i="44" a="1"/>
  <c r="AP332" i="44" s="1"/>
  <c r="AO332" i="44" a="1"/>
  <c r="AO332" i="44" s="1"/>
  <c r="AN332" i="44" a="1"/>
  <c r="AN332" i="44" s="1"/>
  <c r="AM332" i="44" a="1"/>
  <c r="AM332" i="44" s="1"/>
  <c r="AL332" i="44" a="1"/>
  <c r="AL332" i="44" s="1"/>
  <c r="AK332" i="44" a="1"/>
  <c r="AK332" i="44" s="1"/>
  <c r="AJ332" i="44" a="1"/>
  <c r="AJ332" i="44" s="1"/>
  <c r="AI332" i="44" a="1"/>
  <c r="AI332" i="44" s="1"/>
  <c r="AH332" i="44" a="1"/>
  <c r="AH332" i="44" s="1"/>
  <c r="AG332" i="44" a="1"/>
  <c r="AG332" i="44" s="1"/>
  <c r="AU331" i="44" a="1"/>
  <c r="AU331" i="44" s="1"/>
  <c r="AT331" i="44" a="1"/>
  <c r="AT331" i="44" s="1"/>
  <c r="AS331" i="44" a="1"/>
  <c r="AS331" i="44" s="1"/>
  <c r="AR331" i="44" a="1"/>
  <c r="AR331" i="44" s="1"/>
  <c r="AQ331" i="44" a="1"/>
  <c r="AQ331" i="44" s="1"/>
  <c r="AP331" i="44" a="1"/>
  <c r="AP331" i="44" s="1"/>
  <c r="AO331" i="44" a="1"/>
  <c r="AO331" i="44" s="1"/>
  <c r="AN331" i="44" a="1"/>
  <c r="AN331" i="44" s="1"/>
  <c r="AM331" i="44" a="1"/>
  <c r="AM331" i="44" s="1"/>
  <c r="AL331" i="44" a="1"/>
  <c r="AL331" i="44" s="1"/>
  <c r="AK331" i="44" a="1"/>
  <c r="AK331" i="44" s="1"/>
  <c r="AJ331" i="44" a="1"/>
  <c r="AJ331" i="44" s="1"/>
  <c r="AI331" i="44" a="1"/>
  <c r="AI331" i="44" s="1"/>
  <c r="AH331" i="44" a="1"/>
  <c r="AH331" i="44" s="1"/>
  <c r="AG331" i="44" a="1"/>
  <c r="AG331" i="44" s="1"/>
  <c r="AU330" i="44" a="1"/>
  <c r="AU330" i="44" s="1"/>
  <c r="AT330" i="44" a="1"/>
  <c r="AT330" i="44" s="1"/>
  <c r="AS330" i="44" a="1"/>
  <c r="AS330" i="44" s="1"/>
  <c r="AR330" i="44" a="1"/>
  <c r="AR330" i="44" s="1"/>
  <c r="AQ330" i="44" a="1"/>
  <c r="AQ330" i="44" s="1"/>
  <c r="AP330" i="44" a="1"/>
  <c r="AP330" i="44" s="1"/>
  <c r="AO330" i="44" a="1"/>
  <c r="AO330" i="44" s="1"/>
  <c r="AN330" i="44" a="1"/>
  <c r="AN330" i="44" s="1"/>
  <c r="AM330" i="44" a="1"/>
  <c r="AM330" i="44" s="1"/>
  <c r="AL330" i="44" a="1"/>
  <c r="AL330" i="44" s="1"/>
  <c r="AK330" i="44" a="1"/>
  <c r="AK330" i="44" s="1"/>
  <c r="AJ330" i="44" a="1"/>
  <c r="AJ330" i="44" s="1"/>
  <c r="AI330" i="44" a="1"/>
  <c r="AI330" i="44" s="1"/>
  <c r="AH330" i="44" a="1"/>
  <c r="AH330" i="44" s="1"/>
  <c r="AG330" i="44" a="1"/>
  <c r="AG330" i="44" s="1"/>
  <c r="AU329" i="44" a="1"/>
  <c r="AU329" i="44" s="1"/>
  <c r="AT329" i="44" a="1"/>
  <c r="AT329" i="44" s="1"/>
  <c r="AS329" i="44" a="1"/>
  <c r="AS329" i="44" s="1"/>
  <c r="AR329" i="44" a="1"/>
  <c r="AR329" i="44" s="1"/>
  <c r="AQ329" i="44" a="1"/>
  <c r="AQ329" i="44" s="1"/>
  <c r="AP329" i="44" a="1"/>
  <c r="AP329" i="44" s="1"/>
  <c r="AO329" i="44" a="1"/>
  <c r="AO329" i="44" s="1"/>
  <c r="AN329" i="44" a="1"/>
  <c r="AN329" i="44" s="1"/>
  <c r="AM329" i="44" a="1"/>
  <c r="AM329" i="44" s="1"/>
  <c r="AL329" i="44" a="1"/>
  <c r="AL329" i="44" s="1"/>
  <c r="AK329" i="44" a="1"/>
  <c r="AK329" i="44" s="1"/>
  <c r="AJ329" i="44" a="1"/>
  <c r="AJ329" i="44" s="1"/>
  <c r="AI329" i="44" a="1"/>
  <c r="AI329" i="44" s="1"/>
  <c r="AH329" i="44" a="1"/>
  <c r="AH329" i="44" s="1"/>
  <c r="AG329" i="44" a="1"/>
  <c r="AG329" i="44" s="1"/>
  <c r="AU328" i="44" a="1"/>
  <c r="AU328" i="44" s="1"/>
  <c r="AT328" i="44" a="1"/>
  <c r="AT328" i="44" s="1"/>
  <c r="AS328" i="44" a="1"/>
  <c r="AS328" i="44" s="1"/>
  <c r="AR328" i="44" a="1"/>
  <c r="AR328" i="44" s="1"/>
  <c r="AQ328" i="44" a="1"/>
  <c r="AQ328" i="44" s="1"/>
  <c r="AP328" i="44" a="1"/>
  <c r="AP328" i="44" s="1"/>
  <c r="AO328" i="44" a="1"/>
  <c r="AO328" i="44" s="1"/>
  <c r="AN328" i="44" a="1"/>
  <c r="AN328" i="44" s="1"/>
  <c r="AM328" i="44" a="1"/>
  <c r="AM328" i="44" s="1"/>
  <c r="AL328" i="44" a="1"/>
  <c r="AL328" i="44" s="1"/>
  <c r="AK328" i="44" a="1"/>
  <c r="AK328" i="44" s="1"/>
  <c r="AJ328" i="44" a="1"/>
  <c r="AJ328" i="44" s="1"/>
  <c r="AI328" i="44" a="1"/>
  <c r="AI328" i="44" s="1"/>
  <c r="AH328" i="44" a="1"/>
  <c r="AH328" i="44" s="1"/>
  <c r="AG328" i="44" a="1"/>
  <c r="AG328" i="44" s="1"/>
  <c r="AU327" i="44" a="1"/>
  <c r="AU327" i="44" s="1"/>
  <c r="AT327" i="44" a="1"/>
  <c r="AT327" i="44" s="1"/>
  <c r="AS327" i="44" a="1"/>
  <c r="AS327" i="44" s="1"/>
  <c r="AR327" i="44" a="1"/>
  <c r="AR327" i="44" s="1"/>
  <c r="AQ327" i="44" a="1"/>
  <c r="AQ327" i="44" s="1"/>
  <c r="AP327" i="44" a="1"/>
  <c r="AP327" i="44" s="1"/>
  <c r="AO327" i="44" a="1"/>
  <c r="AO327" i="44" s="1"/>
  <c r="AN327" i="44" a="1"/>
  <c r="AN327" i="44" s="1"/>
  <c r="AM327" i="44" a="1"/>
  <c r="AM327" i="44" s="1"/>
  <c r="AL327" i="44" a="1"/>
  <c r="AL327" i="44" s="1"/>
  <c r="AK327" i="44" a="1"/>
  <c r="AK327" i="44" s="1"/>
  <c r="AJ327" i="44" a="1"/>
  <c r="AJ327" i="44" s="1"/>
  <c r="AI327" i="44" a="1"/>
  <c r="AI327" i="44" s="1"/>
  <c r="AH327" i="44" a="1"/>
  <c r="AH327" i="44" s="1"/>
  <c r="AG327" i="44" a="1"/>
  <c r="AG327" i="44" s="1"/>
  <c r="AZ321" i="44" a="1"/>
  <c r="AZ321" i="44" s="1"/>
  <c r="AY321" i="44" a="1"/>
  <c r="AY321" i="44" s="1"/>
  <c r="AX321" i="44" a="1"/>
  <c r="AX321" i="44" s="1"/>
  <c r="AW321" i="44" a="1"/>
  <c r="AW321" i="44" s="1"/>
  <c r="AV321" i="44" a="1"/>
  <c r="AV321" i="44" s="1"/>
  <c r="AU321" i="44" a="1"/>
  <c r="AU321" i="44" s="1"/>
  <c r="AT321" i="44" a="1"/>
  <c r="AT321" i="44" s="1"/>
  <c r="AS321" i="44" a="1"/>
  <c r="AS321" i="44" s="1"/>
  <c r="AR321" i="44" a="1"/>
  <c r="AR321" i="44" s="1"/>
  <c r="AQ321" i="44" a="1"/>
  <c r="AQ321" i="44" s="1"/>
  <c r="AP321" i="44" a="1"/>
  <c r="AP321" i="44" s="1"/>
  <c r="AO321" i="44" a="1"/>
  <c r="AO321" i="44" s="1"/>
  <c r="AN321" i="44" a="1"/>
  <c r="AN321" i="44" s="1"/>
  <c r="AM321" i="44"/>
  <c r="AL321" i="44"/>
  <c r="AK321" i="44"/>
  <c r="AI321" i="44"/>
  <c r="AI321" i="44" a="1"/>
  <c r="AH321" i="44"/>
  <c r="AG321" i="44"/>
  <c r="AZ320" i="44"/>
  <c r="AZ320" i="44" a="1"/>
  <c r="AY320" i="44"/>
  <c r="AY320" i="44" a="1"/>
  <c r="AX320" i="44"/>
  <c r="AX320" i="44" a="1"/>
  <c r="AW320" i="44"/>
  <c r="AW320" i="44" a="1"/>
  <c r="AV320" i="44"/>
  <c r="AV320" i="44" a="1"/>
  <c r="AU320" i="44"/>
  <c r="AU320" i="44" a="1"/>
  <c r="AT320" i="44"/>
  <c r="AT320" i="44" a="1"/>
  <c r="AS320" i="44"/>
  <c r="AS320" i="44" a="1"/>
  <c r="AR320" i="44"/>
  <c r="AR320" i="44" a="1"/>
  <c r="AQ320" i="44"/>
  <c r="AQ320" i="44" a="1"/>
  <c r="AP320" i="44"/>
  <c r="AP320" i="44" a="1"/>
  <c r="AO320" i="44"/>
  <c r="AO320" i="44" a="1"/>
  <c r="AN320" i="44"/>
  <c r="AN320" i="44" a="1"/>
  <c r="AM320" i="44"/>
  <c r="AL320" i="44"/>
  <c r="AK320" i="44"/>
  <c r="AI320" i="44" a="1"/>
  <c r="AI320" i="44" s="1"/>
  <c r="AH320" i="44"/>
  <c r="AG320" i="44"/>
  <c r="AZ319" i="44" a="1"/>
  <c r="AZ319" i="44" s="1"/>
  <c r="AY319" i="44" a="1"/>
  <c r="AY319" i="44" s="1"/>
  <c r="AX319" i="44" a="1"/>
  <c r="AX319" i="44" s="1"/>
  <c r="AW319" i="44" a="1"/>
  <c r="AW319" i="44" s="1"/>
  <c r="AV319" i="44" a="1"/>
  <c r="AV319" i="44" s="1"/>
  <c r="AU319" i="44" a="1"/>
  <c r="AU319" i="44" s="1"/>
  <c r="AT319" i="44" a="1"/>
  <c r="AT319" i="44" s="1"/>
  <c r="AS319" i="44" a="1"/>
  <c r="AS319" i="44" s="1"/>
  <c r="AR319" i="44" a="1"/>
  <c r="AR319" i="44" s="1"/>
  <c r="AQ319" i="44" a="1"/>
  <c r="AQ319" i="44" s="1"/>
  <c r="AP319" i="44" a="1"/>
  <c r="AP319" i="44" s="1"/>
  <c r="AO319" i="44" a="1"/>
  <c r="AO319" i="44" s="1"/>
  <c r="AN319" i="44" a="1"/>
  <c r="AN319" i="44" s="1"/>
  <c r="AM319" i="44"/>
  <c r="AL319" i="44"/>
  <c r="AK319" i="44"/>
  <c r="AI319" i="44"/>
  <c r="AI319" i="44" a="1"/>
  <c r="AH319" i="44"/>
  <c r="AG319" i="44"/>
  <c r="AZ318" i="44"/>
  <c r="AZ318" i="44" a="1"/>
  <c r="AY318" i="44"/>
  <c r="AY318" i="44" a="1"/>
  <c r="AX318" i="44"/>
  <c r="AX318" i="44" a="1"/>
  <c r="AW318" i="44"/>
  <c r="AW318" i="44" a="1"/>
  <c r="AV318" i="44"/>
  <c r="AV318" i="44" a="1"/>
  <c r="AU318" i="44"/>
  <c r="AU318" i="44" a="1"/>
  <c r="AT318" i="44"/>
  <c r="AT318" i="44" a="1"/>
  <c r="AS318" i="44"/>
  <c r="AS318" i="44" a="1"/>
  <c r="AR318" i="44"/>
  <c r="AR318" i="44" a="1"/>
  <c r="AQ318" i="44"/>
  <c r="AQ318" i="44" a="1"/>
  <c r="AP318" i="44"/>
  <c r="AP318" i="44" a="1"/>
  <c r="AO318" i="44"/>
  <c r="AO318" i="44" a="1"/>
  <c r="AN318" i="44"/>
  <c r="AN318" i="44" a="1"/>
  <c r="AM318" i="44"/>
  <c r="AL318" i="44"/>
  <c r="AK318" i="44"/>
  <c r="AI318" i="44" a="1"/>
  <c r="AI318" i="44" s="1"/>
  <c r="AH318" i="44"/>
  <c r="AG318" i="44"/>
  <c r="AZ317" i="44" a="1"/>
  <c r="AZ317" i="44" s="1"/>
  <c r="AY317" i="44" a="1"/>
  <c r="AY317" i="44" s="1"/>
  <c r="AX317" i="44" a="1"/>
  <c r="AX317" i="44" s="1"/>
  <c r="AW317" i="44" a="1"/>
  <c r="AW317" i="44" s="1"/>
  <c r="AV317" i="44" a="1"/>
  <c r="AV317" i="44" s="1"/>
  <c r="AU317" i="44" a="1"/>
  <c r="AU317" i="44" s="1"/>
  <c r="AT317" i="44" a="1"/>
  <c r="AT317" i="44" s="1"/>
  <c r="AS317" i="44" a="1"/>
  <c r="AS317" i="44" s="1"/>
  <c r="AR317" i="44" a="1"/>
  <c r="AR317" i="44" s="1"/>
  <c r="AQ317" i="44" a="1"/>
  <c r="AQ317" i="44" s="1"/>
  <c r="AP317" i="44" a="1"/>
  <c r="AP317" i="44" s="1"/>
  <c r="AO317" i="44" a="1"/>
  <c r="AO317" i="44" s="1"/>
  <c r="AN317" i="44" a="1"/>
  <c r="AN317" i="44" s="1"/>
  <c r="AM317" i="44"/>
  <c r="AL317" i="44"/>
  <c r="AK317" i="44"/>
  <c r="AI317" i="44"/>
  <c r="AI317" i="44" a="1"/>
  <c r="AH317" i="44"/>
  <c r="AG317" i="44"/>
  <c r="AZ316" i="44"/>
  <c r="AZ316" i="44" a="1"/>
  <c r="AY316" i="44"/>
  <c r="AY316" i="44" a="1"/>
  <c r="AX316" i="44"/>
  <c r="AX316" i="44" a="1"/>
  <c r="AW316" i="44"/>
  <c r="AW316" i="44" a="1"/>
  <c r="AV316" i="44"/>
  <c r="AV316" i="44" a="1"/>
  <c r="AU316" i="44"/>
  <c r="AU316" i="44" a="1"/>
  <c r="AT316" i="44"/>
  <c r="AT316" i="44" a="1"/>
  <c r="AS316" i="44"/>
  <c r="AS316" i="44" a="1"/>
  <c r="AR316" i="44"/>
  <c r="AR316" i="44" a="1"/>
  <c r="AQ316" i="44"/>
  <c r="AQ316" i="44" a="1"/>
  <c r="AP316" i="44"/>
  <c r="AP316" i="44" a="1"/>
  <c r="AO316" i="44"/>
  <c r="AO316" i="44" a="1"/>
  <c r="AN316" i="44"/>
  <c r="AN316" i="44" a="1"/>
  <c r="AM316" i="44"/>
  <c r="AM322" i="44" s="1"/>
  <c r="AL316" i="44"/>
  <c r="AK316" i="44"/>
  <c r="AI316" i="44" a="1"/>
  <c r="AI316" i="44" s="1"/>
  <c r="AH316" i="44"/>
  <c r="AG316" i="44"/>
  <c r="AZ315" i="44" a="1"/>
  <c r="AZ315" i="44" s="1"/>
  <c r="AY315" i="44" a="1"/>
  <c r="AY315" i="44" s="1"/>
  <c r="AX315" i="44" a="1"/>
  <c r="AX315" i="44" s="1"/>
  <c r="AW315" i="44" a="1"/>
  <c r="AW315" i="44" s="1"/>
  <c r="AV315" i="44" a="1"/>
  <c r="AV315" i="44" s="1"/>
  <c r="AU315" i="44" a="1"/>
  <c r="AU315" i="44" s="1"/>
  <c r="AT315" i="44" a="1"/>
  <c r="AT315" i="44" s="1"/>
  <c r="AS315" i="44" a="1"/>
  <c r="AS315" i="44" s="1"/>
  <c r="AR315" i="44" a="1"/>
  <c r="AR315" i="44" s="1"/>
  <c r="AQ315" i="44" a="1"/>
  <c r="AQ315" i="44" s="1"/>
  <c r="AP315" i="44" a="1"/>
  <c r="AP315" i="44" s="1"/>
  <c r="AO315" i="44" a="1"/>
  <c r="AO315" i="44" s="1"/>
  <c r="AN315" i="44" a="1"/>
  <c r="AN315" i="44" s="1"/>
  <c r="AM315" i="44"/>
  <c r="AL315" i="44"/>
  <c r="AK315" i="44"/>
  <c r="AK322" i="44" s="1"/>
  <c r="AI315" i="44"/>
  <c r="AI315" i="44" a="1"/>
  <c r="AH315" i="44"/>
  <c r="AH322" i="44" s="1"/>
  <c r="AG315" i="44"/>
  <c r="AG322" i="44" s="1"/>
  <c r="AD289" i="44"/>
  <c r="AC289" i="44"/>
  <c r="AB289" i="44"/>
  <c r="AA289" i="44"/>
  <c r="Z289" i="44"/>
  <c r="Y289" i="44"/>
  <c r="X289" i="44"/>
  <c r="W289" i="44"/>
  <c r="V289" i="44"/>
  <c r="U289" i="44"/>
  <c r="T289" i="44"/>
  <c r="AR288" i="44" a="1"/>
  <c r="AR288" i="44" s="1"/>
  <c r="AQ288" i="44"/>
  <c r="AP288" i="44"/>
  <c r="AO288" i="44"/>
  <c r="AN288" i="44"/>
  <c r="AM288" i="44"/>
  <c r="AL288" i="44"/>
  <c r="AK288" i="44"/>
  <c r="AR287" i="44" a="1"/>
  <c r="AR287" i="44" s="1"/>
  <c r="AQ287" i="44"/>
  <c r="AP287" i="44"/>
  <c r="AO287" i="44"/>
  <c r="AN287" i="44"/>
  <c r="AM287" i="44"/>
  <c r="AL287" i="44"/>
  <c r="AK287" i="44"/>
  <c r="AR286" i="44" a="1"/>
  <c r="AR286" i="44" s="1"/>
  <c r="AQ286" i="44"/>
  <c r="AP286" i="44"/>
  <c r="AO286" i="44"/>
  <c r="AN286" i="44"/>
  <c r="AM286" i="44"/>
  <c r="AL286" i="44"/>
  <c r="AK286" i="44"/>
  <c r="AR285" i="44"/>
  <c r="AR285" i="44" a="1"/>
  <c r="AQ285" i="44"/>
  <c r="AP285" i="44"/>
  <c r="AO285" i="44"/>
  <c r="AN285" i="44"/>
  <c r="AM285" i="44"/>
  <c r="AL285" i="44"/>
  <c r="AK285" i="44"/>
  <c r="AR284" i="44" a="1"/>
  <c r="AR284" i="44" s="1"/>
  <c r="AQ284" i="44"/>
  <c r="AP284" i="44"/>
  <c r="AO284" i="44"/>
  <c r="AN284" i="44"/>
  <c r="AM284" i="44"/>
  <c r="AL284" i="44"/>
  <c r="AK284" i="44"/>
  <c r="AR283" i="44"/>
  <c r="AR283" i="44" a="1"/>
  <c r="AQ283" i="44"/>
  <c r="AP283" i="44"/>
  <c r="AO283" i="44"/>
  <c r="AN283" i="44"/>
  <c r="AM283" i="44"/>
  <c r="AL283" i="44"/>
  <c r="AK283" i="44"/>
  <c r="AR282" i="44" a="1"/>
  <c r="AR282" i="44" s="1"/>
  <c r="AQ282" i="44"/>
  <c r="AP282" i="44"/>
  <c r="AO282" i="44"/>
  <c r="AN282" i="44"/>
  <c r="AM282" i="44"/>
  <c r="AL282" i="44"/>
  <c r="AK282" i="44"/>
  <c r="AR281" i="44"/>
  <c r="AR289" i="44" s="1"/>
  <c r="AR281" i="44" a="1"/>
  <c r="AQ281" i="44"/>
  <c r="AP281" i="44"/>
  <c r="AP289" i="44" s="1"/>
  <c r="AO281" i="44"/>
  <c r="AN281" i="44"/>
  <c r="AM281" i="44"/>
  <c r="AM289" i="44" s="1"/>
  <c r="AL290" i="44" s="1"/>
  <c r="AL281" i="44"/>
  <c r="AK281" i="44"/>
  <c r="AK289" i="44" s="1"/>
  <c r="AH281" i="44"/>
  <c r="AH289" i="44" s="1"/>
  <c r="B303" i="44" s="1"/>
  <c r="AG289" i="44"/>
  <c r="B301" i="44" s="1"/>
  <c r="B245" i="44"/>
  <c r="B243" i="44"/>
  <c r="B241" i="44"/>
  <c r="B239" i="44"/>
  <c r="AH207" i="44"/>
  <c r="AF236" i="44"/>
  <c r="AF235" i="44"/>
  <c r="AF234" i="44"/>
  <c r="AF233" i="44"/>
  <c r="AF232" i="44"/>
  <c r="AF231" i="44"/>
  <c r="AF230" i="44"/>
  <c r="AF229" i="44"/>
  <c r="AF228" i="44"/>
  <c r="AF227" i="44"/>
  <c r="AF226" i="44"/>
  <c r="AF225" i="44"/>
  <c r="AF224" i="44"/>
  <c r="AF223" i="44"/>
  <c r="AF222" i="44"/>
  <c r="AF221" i="44"/>
  <c r="AF220" i="44"/>
  <c r="AF219" i="44"/>
  <c r="AF218" i="44"/>
  <c r="AF217" i="44"/>
  <c r="AF216" i="44"/>
  <c r="AF215" i="44"/>
  <c r="AF214" i="44"/>
  <c r="AF213" i="44"/>
  <c r="AF212" i="44"/>
  <c r="AF211" i="44"/>
  <c r="AF210" i="44"/>
  <c r="AF209" i="44"/>
  <c r="AF208" i="44"/>
  <c r="AF207" i="44"/>
  <c r="AH165" i="44"/>
  <c r="AH173" i="44" s="1"/>
  <c r="B192" i="44" s="1"/>
  <c r="AG165" i="44"/>
  <c r="AG173" i="44" s="1"/>
  <c r="B191" i="44" s="1"/>
  <c r="AH97" i="44"/>
  <c r="B135" i="44"/>
  <c r="B133" i="44"/>
  <c r="B131" i="44"/>
  <c r="B129" i="44"/>
  <c r="AF126" i="44"/>
  <c r="AF125" i="44"/>
  <c r="AF124" i="44"/>
  <c r="AF123" i="44"/>
  <c r="AF122" i="44"/>
  <c r="AF121" i="44"/>
  <c r="AF120" i="44"/>
  <c r="AF119" i="44"/>
  <c r="AF118" i="44"/>
  <c r="AF117" i="44"/>
  <c r="AF116" i="44"/>
  <c r="AF115" i="44"/>
  <c r="AF114" i="44"/>
  <c r="AF113" i="44"/>
  <c r="AF112" i="44"/>
  <c r="AF111" i="44"/>
  <c r="AF110" i="44"/>
  <c r="AF109" i="44"/>
  <c r="AF108" i="44"/>
  <c r="AF107" i="44"/>
  <c r="AF106" i="44"/>
  <c r="AF105" i="44"/>
  <c r="AF104" i="44"/>
  <c r="AF103" i="44"/>
  <c r="AF102" i="44"/>
  <c r="AF101" i="44"/>
  <c r="AF100" i="44"/>
  <c r="AF99" i="44"/>
  <c r="AF98" i="44"/>
  <c r="AF97" i="44"/>
  <c r="AH70" i="44"/>
  <c r="AH78" i="44" s="1"/>
  <c r="B82" i="44" s="1"/>
  <c r="AG70" i="44"/>
  <c r="AG78" i="44" s="1"/>
  <c r="B81" i="44" s="1"/>
  <c r="B39" i="44"/>
  <c r="AH29" i="44"/>
  <c r="AH37" i="44" s="1"/>
  <c r="B51" i="44" s="1"/>
  <c r="AG29" i="44"/>
  <c r="AG37" i="44" s="1"/>
  <c r="B50" i="44" s="1"/>
  <c r="AV778" i="56" a="1"/>
  <c r="AV778" i="56" s="1"/>
  <c r="AU778" i="56" a="1"/>
  <c r="AU778" i="56" s="1"/>
  <c r="AT778" i="56" a="1"/>
  <c r="AT778" i="56"/>
  <c r="AP778" i="56" a="1"/>
  <c r="AP778" i="56" s="1"/>
  <c r="AO778" i="56" a="1"/>
  <c r="AO778" i="56"/>
  <c r="AN778" i="56" a="1"/>
  <c r="AN778" i="56" s="1"/>
  <c r="AG778" i="56"/>
  <c r="AG786" i="56" s="1"/>
  <c r="AP754" i="56" a="1"/>
  <c r="AP754" i="56" s="1"/>
  <c r="AO754" i="56" a="1"/>
  <c r="AO754" i="56" s="1"/>
  <c r="AN754" i="56" a="1"/>
  <c r="AN754" i="56" s="1"/>
  <c r="AG754" i="56"/>
  <c r="AH762" i="56"/>
  <c r="AG715" i="56"/>
  <c r="B719" i="56" s="1"/>
  <c r="AH715" i="56"/>
  <c r="B721" i="56" s="1"/>
  <c r="AG613" i="56"/>
  <c r="AG621" i="56" s="1"/>
  <c r="AG553" i="56"/>
  <c r="AH561" i="56"/>
  <c r="Y786" i="56"/>
  <c r="S786" i="56"/>
  <c r="M786" i="56"/>
  <c r="AS785" i="56"/>
  <c r="AR785" i="56"/>
  <c r="AQ785" i="56"/>
  <c r="AK785" i="56"/>
  <c r="AJ785" i="56"/>
  <c r="AI785" i="56"/>
  <c r="AS784" i="56"/>
  <c r="AR784" i="56"/>
  <c r="AQ784" i="56"/>
  <c r="AK784" i="56"/>
  <c r="AJ784" i="56"/>
  <c r="AI784" i="56"/>
  <c r="AS783" i="56"/>
  <c r="AR783" i="56"/>
  <c r="AQ783" i="56"/>
  <c r="AK783" i="56"/>
  <c r="AJ783" i="56"/>
  <c r="AI783" i="56"/>
  <c r="AS782" i="56"/>
  <c r="AR782" i="56"/>
  <c r="AQ782" i="56"/>
  <c r="AK782" i="56"/>
  <c r="AJ782" i="56"/>
  <c r="AI782" i="56"/>
  <c r="AS781" i="56"/>
  <c r="AR781" i="56"/>
  <c r="AQ781" i="56"/>
  <c r="AK781" i="56"/>
  <c r="AJ781" i="56"/>
  <c r="AI781" i="56"/>
  <c r="AS780" i="56"/>
  <c r="AR780" i="56"/>
  <c r="AQ780" i="56"/>
  <c r="AK780" i="56"/>
  <c r="AJ780" i="56"/>
  <c r="AI780" i="56"/>
  <c r="AS779" i="56"/>
  <c r="AR779" i="56"/>
  <c r="AQ779" i="56"/>
  <c r="AK779" i="56"/>
  <c r="AJ779" i="56"/>
  <c r="AI779" i="56"/>
  <c r="AS778" i="56"/>
  <c r="AR778" i="56"/>
  <c r="AQ778" i="56"/>
  <c r="AK778" i="56"/>
  <c r="AK786" i="56" s="1"/>
  <c r="AJ778" i="56"/>
  <c r="AI778" i="56"/>
  <c r="AI786" i="56" s="1"/>
  <c r="AH778" i="56"/>
  <c r="Y762" i="56"/>
  <c r="S762" i="56"/>
  <c r="M762" i="56"/>
  <c r="AK761" i="56"/>
  <c r="AJ761" i="56"/>
  <c r="AI761" i="56"/>
  <c r="AK760" i="56"/>
  <c r="AJ760" i="56"/>
  <c r="AI760" i="56"/>
  <c r="AK759" i="56"/>
  <c r="AJ759" i="56"/>
  <c r="AI759" i="56"/>
  <c r="AK758" i="56"/>
  <c r="AJ758" i="56"/>
  <c r="AI758" i="56"/>
  <c r="AK757" i="56"/>
  <c r="AJ757" i="56"/>
  <c r="AI757" i="56"/>
  <c r="AK756" i="56"/>
  <c r="AJ756" i="56"/>
  <c r="AI756" i="56"/>
  <c r="AK755" i="56"/>
  <c r="AJ755" i="56"/>
  <c r="AI755" i="56"/>
  <c r="AK754" i="56"/>
  <c r="AK762" i="56" s="1"/>
  <c r="AJ754" i="56"/>
  <c r="AI754" i="56"/>
  <c r="AI762" i="56" s="1"/>
  <c r="AH754" i="56"/>
  <c r="AG762" i="56"/>
  <c r="AD738" i="56"/>
  <c r="AC738" i="56"/>
  <c r="AB738" i="56"/>
  <c r="AA738" i="56"/>
  <c r="Z738" i="56"/>
  <c r="Y738" i="56"/>
  <c r="X738" i="56"/>
  <c r="W738" i="56"/>
  <c r="V738" i="56"/>
  <c r="U738" i="56"/>
  <c r="T738" i="56"/>
  <c r="S738" i="56"/>
  <c r="AA715" i="56"/>
  <c r="W715" i="56"/>
  <c r="S715" i="56"/>
  <c r="AT738" i="56"/>
  <c r="AH738" i="56"/>
  <c r="B744" i="56" s="1"/>
  <c r="AV737" i="56"/>
  <c r="AU737" i="56"/>
  <c r="AT737" i="56"/>
  <c r="AS737" i="56"/>
  <c r="AR737" i="56"/>
  <c r="AQ737" i="56"/>
  <c r="AP737" i="56"/>
  <c r="AO737" i="56"/>
  <c r="AN737" i="56"/>
  <c r="AM737" i="56"/>
  <c r="AL737" i="56"/>
  <c r="AK737" i="56"/>
  <c r="AI737" i="56"/>
  <c r="AV736" i="56"/>
  <c r="AU736" i="56"/>
  <c r="AT736" i="56"/>
  <c r="AS736" i="56"/>
  <c r="AR736" i="56"/>
  <c r="AQ736" i="56"/>
  <c r="AP736" i="56"/>
  <c r="AO736" i="56"/>
  <c r="AN736" i="56"/>
  <c r="AM736" i="56"/>
  <c r="AL736" i="56"/>
  <c r="AK736" i="56"/>
  <c r="AI736" i="56"/>
  <c r="AV735" i="56"/>
  <c r="AU735" i="56"/>
  <c r="AT735" i="56"/>
  <c r="AS735" i="56"/>
  <c r="AR735" i="56"/>
  <c r="AQ735" i="56"/>
  <c r="AP735" i="56"/>
  <c r="AO735" i="56"/>
  <c r="AN735" i="56"/>
  <c r="AM735" i="56"/>
  <c r="AL735" i="56"/>
  <c r="AK735" i="56"/>
  <c r="AI735" i="56"/>
  <c r="AV734" i="56"/>
  <c r="AU734" i="56"/>
  <c r="AT734" i="56"/>
  <c r="AS734" i="56"/>
  <c r="AR734" i="56"/>
  <c r="AQ734" i="56"/>
  <c r="AP734" i="56"/>
  <c r="AO734" i="56"/>
  <c r="AN734" i="56"/>
  <c r="AM734" i="56"/>
  <c r="AL734" i="56"/>
  <c r="AK734" i="56"/>
  <c r="AI734" i="56"/>
  <c r="AV733" i="56"/>
  <c r="AU733" i="56"/>
  <c r="AT733" i="56"/>
  <c r="AS733" i="56"/>
  <c r="AR733" i="56"/>
  <c r="AQ733" i="56"/>
  <c r="AP733" i="56"/>
  <c r="AO733" i="56"/>
  <c r="AN733" i="56"/>
  <c r="AM733" i="56"/>
  <c r="AL733" i="56"/>
  <c r="AK733" i="56"/>
  <c r="AI733" i="56"/>
  <c r="AV732" i="56"/>
  <c r="AU732" i="56"/>
  <c r="AT732" i="56"/>
  <c r="AS732" i="56"/>
  <c r="AR732" i="56"/>
  <c r="AQ732" i="56"/>
  <c r="AP732" i="56"/>
  <c r="AO732" i="56"/>
  <c r="AN732" i="56"/>
  <c r="AM732" i="56"/>
  <c r="AL732" i="56"/>
  <c r="AK732" i="56"/>
  <c r="AI732" i="56"/>
  <c r="AV731" i="56"/>
  <c r="AU731" i="56"/>
  <c r="AT731" i="56"/>
  <c r="AS731" i="56"/>
  <c r="AR731" i="56"/>
  <c r="AQ731" i="56"/>
  <c r="AP731" i="56"/>
  <c r="AO731" i="56"/>
  <c r="AN731" i="56"/>
  <c r="AM731" i="56"/>
  <c r="AL731" i="56"/>
  <c r="AK731" i="56"/>
  <c r="AI731" i="56"/>
  <c r="AV730" i="56"/>
  <c r="AV738" i="56" s="1"/>
  <c r="AU730" i="56"/>
  <c r="AT730" i="56"/>
  <c r="AS730" i="56"/>
  <c r="AS738" i="56" s="1"/>
  <c r="AR730" i="56"/>
  <c r="AQ730" i="56"/>
  <c r="AQ738" i="56" s="1"/>
  <c r="AP730" i="56"/>
  <c r="AP738" i="56" s="1"/>
  <c r="AO730" i="56"/>
  <c r="AN730" i="56"/>
  <c r="AN738" i="56" s="1"/>
  <c r="AM730" i="56"/>
  <c r="AM738" i="56" s="1"/>
  <c r="AL730" i="56"/>
  <c r="AK730" i="56"/>
  <c r="AK738" i="56" s="1"/>
  <c r="AN739" i="56" s="1"/>
  <c r="AI730" i="56"/>
  <c r="AG738" i="56"/>
  <c r="B742" i="56" s="1"/>
  <c r="AN714" i="56"/>
  <c r="AK714" i="56"/>
  <c r="AJ714" i="56"/>
  <c r="AI714" i="56"/>
  <c r="AN713" i="56"/>
  <c r="AK713" i="56"/>
  <c r="AJ713" i="56"/>
  <c r="AI713" i="56"/>
  <c r="AN712" i="56"/>
  <c r="AK712" i="56"/>
  <c r="AJ712" i="56"/>
  <c r="AI712" i="56"/>
  <c r="AN711" i="56"/>
  <c r="AK711" i="56"/>
  <c r="AJ711" i="56"/>
  <c r="AI711" i="56"/>
  <c r="AN710" i="56"/>
  <c r="AK710" i="56"/>
  <c r="AJ710" i="56"/>
  <c r="AI710" i="56"/>
  <c r="AN709" i="56"/>
  <c r="AK709" i="56"/>
  <c r="AJ709" i="56"/>
  <c r="AI709" i="56"/>
  <c r="AN708" i="56"/>
  <c r="AK708" i="56"/>
  <c r="AJ708" i="56"/>
  <c r="AI708" i="56"/>
  <c r="AN707" i="56"/>
  <c r="AK707" i="56"/>
  <c r="AK715" i="56" s="1"/>
  <c r="AJ707" i="56"/>
  <c r="AI707" i="56"/>
  <c r="AI715" i="56" s="1"/>
  <c r="AC680" i="56"/>
  <c r="AA680" i="56"/>
  <c r="Y680" i="56"/>
  <c r="W680" i="56"/>
  <c r="U680" i="56"/>
  <c r="S680" i="56"/>
  <c r="Q680" i="56"/>
  <c r="O680" i="56"/>
  <c r="M680" i="56"/>
  <c r="AF679" i="56"/>
  <c r="AF678" i="56"/>
  <c r="AF677" i="56"/>
  <c r="AF676" i="56"/>
  <c r="AF675" i="56"/>
  <c r="AF674" i="56"/>
  <c r="AF673" i="56"/>
  <c r="AK680" i="56"/>
  <c r="AJ672" i="56"/>
  <c r="AI672" i="56"/>
  <c r="AI680" i="56" s="1"/>
  <c r="AH672" i="56"/>
  <c r="AH680" i="56" s="1"/>
  <c r="B688" i="56" s="1"/>
  <c r="AG672" i="56"/>
  <c r="AG680" i="56" s="1"/>
  <c r="B686" i="56" s="1"/>
  <c r="AF672" i="56"/>
  <c r="AD652" i="56"/>
  <c r="AC652" i="56"/>
  <c r="AB652" i="56"/>
  <c r="AA652" i="56"/>
  <c r="Z652" i="56"/>
  <c r="Y652" i="56"/>
  <c r="X652" i="56"/>
  <c r="W652" i="56"/>
  <c r="V652" i="56"/>
  <c r="U652" i="56"/>
  <c r="T652" i="56"/>
  <c r="S652" i="56"/>
  <c r="R652" i="56"/>
  <c r="Q652" i="56"/>
  <c r="P652" i="56"/>
  <c r="O652" i="56"/>
  <c r="N652" i="56"/>
  <c r="M652" i="56"/>
  <c r="L652" i="56"/>
  <c r="K652" i="56"/>
  <c r="J652" i="56"/>
  <c r="I652" i="56"/>
  <c r="H652" i="56"/>
  <c r="G652" i="56"/>
  <c r="BH652" i="56"/>
  <c r="AV652" i="56"/>
  <c r="CI651" i="56" a="1"/>
  <c r="CI651" i="56" s="1"/>
  <c r="CH651" i="56" a="1"/>
  <c r="CH651" i="56" s="1"/>
  <c r="CG651" i="56" a="1"/>
  <c r="CG651" i="56" s="1"/>
  <c r="CF651" i="56"/>
  <c r="CF651" i="56" a="1"/>
  <c r="CE651" i="56" a="1"/>
  <c r="CE651" i="56" s="1"/>
  <c r="CD651" i="56" a="1"/>
  <c r="CD651" i="56" s="1"/>
  <c r="CC651" i="56" a="1"/>
  <c r="CC651" i="56" s="1"/>
  <c r="CB651" i="56"/>
  <c r="CB651" i="56" a="1"/>
  <c r="CA651" i="56" a="1"/>
  <c r="CA651" i="56" s="1"/>
  <c r="BZ651" i="56" a="1"/>
  <c r="BZ651" i="56" s="1"/>
  <c r="BY651" i="56" a="1"/>
  <c r="BY651" i="56" s="1"/>
  <c r="BX651" i="56"/>
  <c r="BX651" i="56" a="1"/>
  <c r="BW651" i="56" a="1"/>
  <c r="BW651" i="56" s="1"/>
  <c r="BV651" i="56" a="1"/>
  <c r="BV651" i="56" s="1"/>
  <c r="BU651" i="56" a="1"/>
  <c r="BU651" i="56" s="1"/>
  <c r="BT651" i="56"/>
  <c r="BT651" i="56" a="1"/>
  <c r="BS651" i="56" a="1"/>
  <c r="BS651" i="56" s="1"/>
  <c r="BR651" i="56" a="1"/>
  <c r="BR651" i="56" s="1"/>
  <c r="BQ651" i="56" a="1"/>
  <c r="BQ651" i="56" s="1"/>
  <c r="BP651" i="56"/>
  <c r="BP651" i="56" a="1"/>
  <c r="BO651" i="56" a="1"/>
  <c r="BO651" i="56" s="1"/>
  <c r="BN651" i="56"/>
  <c r="BM651" i="56"/>
  <c r="BJ651" i="56" s="1" a="1"/>
  <c r="BJ651" i="56" s="1"/>
  <c r="BL651" i="56"/>
  <c r="BI651" i="56" s="1" a="1"/>
  <c r="BI651" i="56" s="1"/>
  <c r="BK651" i="56" a="1"/>
  <c r="BK651" i="56" s="1"/>
  <c r="BH651" i="56"/>
  <c r="BG651" i="56"/>
  <c r="BF651" i="56"/>
  <c r="BE651" i="56"/>
  <c r="BD651" i="56"/>
  <c r="BC651" i="56"/>
  <c r="BB651" i="56"/>
  <c r="BA651" i="56"/>
  <c r="AZ651" i="56"/>
  <c r="AY651" i="56"/>
  <c r="AX651" i="56"/>
  <c r="AW651" i="56"/>
  <c r="AV651" i="56"/>
  <c r="AU651" i="56"/>
  <c r="AT651" i="56"/>
  <c r="AS651" i="56"/>
  <c r="AR651" i="56"/>
  <c r="AQ651" i="56"/>
  <c r="AP651" i="56"/>
  <c r="AO651" i="56"/>
  <c r="AN651" i="56"/>
  <c r="AM651" i="56"/>
  <c r="AL651" i="56"/>
  <c r="AK651" i="56"/>
  <c r="CI650" i="56"/>
  <c r="CI650" i="56" a="1"/>
  <c r="CH650" i="56" a="1"/>
  <c r="CH650" i="56" s="1"/>
  <c r="CG650" i="56" a="1"/>
  <c r="CG650" i="56" s="1"/>
  <c r="CF650" i="56"/>
  <c r="CF650" i="56" a="1"/>
  <c r="CE650" i="56"/>
  <c r="CE650" i="56" a="1"/>
  <c r="CD650" i="56" a="1"/>
  <c r="CD650" i="56" s="1"/>
  <c r="CC650" i="56" a="1"/>
  <c r="CC650" i="56" s="1"/>
  <c r="CB650" i="56"/>
  <c r="CB650" i="56" a="1"/>
  <c r="CA650" i="56"/>
  <c r="CA650" i="56" a="1"/>
  <c r="BZ650" i="56" a="1"/>
  <c r="BZ650" i="56" s="1"/>
  <c r="BY650" i="56" a="1"/>
  <c r="BY650" i="56" s="1"/>
  <c r="BX650" i="56"/>
  <c r="BX650" i="56" a="1"/>
  <c r="BW650" i="56"/>
  <c r="BW650" i="56" a="1"/>
  <c r="BV650" i="56" a="1"/>
  <c r="BV650" i="56" s="1"/>
  <c r="BU650" i="56" a="1"/>
  <c r="BU650" i="56" s="1"/>
  <c r="BT650" i="56"/>
  <c r="BT650" i="56" a="1"/>
  <c r="BS650" i="56"/>
  <c r="BS650" i="56" a="1"/>
  <c r="BR650" i="56" a="1"/>
  <c r="BR650" i="56" s="1"/>
  <c r="BQ650" i="56" a="1"/>
  <c r="BQ650" i="56" s="1"/>
  <c r="BP650" i="56"/>
  <c r="BP650" i="56" a="1"/>
  <c r="BO650" i="56"/>
  <c r="BO650" i="56" a="1"/>
  <c r="BN650" i="56"/>
  <c r="BM650" i="56"/>
  <c r="BL650" i="56"/>
  <c r="BI650" i="56" s="1" a="1"/>
  <c r="BI650" i="56" s="1"/>
  <c r="BK650" i="56" a="1"/>
  <c r="BK650" i="56" s="1"/>
  <c r="BJ650" i="56" a="1"/>
  <c r="BJ650" i="56" s="1"/>
  <c r="BH650" i="56"/>
  <c r="BG650" i="56"/>
  <c r="BF650" i="56"/>
  <c r="BE650" i="56"/>
  <c r="BD650" i="56"/>
  <c r="BC650" i="56"/>
  <c r="BB650" i="56"/>
  <c r="BA650" i="56"/>
  <c r="AZ650" i="56"/>
  <c r="AY650" i="56"/>
  <c r="AX650" i="56"/>
  <c r="AW650" i="56"/>
  <c r="AV650" i="56"/>
  <c r="AU650" i="56"/>
  <c r="AT650" i="56"/>
  <c r="AS650" i="56"/>
  <c r="AR650" i="56"/>
  <c r="AQ650" i="56"/>
  <c r="AP650" i="56"/>
  <c r="AO650" i="56"/>
  <c r="AN650" i="56"/>
  <c r="AM650" i="56"/>
  <c r="AL650" i="56"/>
  <c r="AK650" i="56"/>
  <c r="CI649" i="56"/>
  <c r="CI649" i="56" a="1"/>
  <c r="CH649" i="56"/>
  <c r="CH649" i="56" a="1"/>
  <c r="CG649" i="56" a="1"/>
  <c r="CG649" i="56" s="1"/>
  <c r="CF649" i="56" a="1"/>
  <c r="CF649" i="56" s="1"/>
  <c r="CE649" i="56"/>
  <c r="CE649" i="56" a="1"/>
  <c r="CD649" i="56"/>
  <c r="CD649" i="56" a="1"/>
  <c r="CC649" i="56" a="1"/>
  <c r="CC649" i="56" s="1"/>
  <c r="CB649" i="56" a="1"/>
  <c r="CB649" i="56" s="1"/>
  <c r="CA649" i="56"/>
  <c r="CA649" i="56" a="1"/>
  <c r="BZ649" i="56"/>
  <c r="BZ649" i="56" a="1"/>
  <c r="BY649" i="56" a="1"/>
  <c r="BY649" i="56" s="1"/>
  <c r="BX649" i="56" a="1"/>
  <c r="BX649" i="56" s="1"/>
  <c r="BW649" i="56" a="1"/>
  <c r="BW649" i="56" s="1"/>
  <c r="BV649" i="56"/>
  <c r="BV649" i="56" a="1"/>
  <c r="BU649" i="56" a="1"/>
  <c r="BU649" i="56" s="1"/>
  <c r="BT649" i="56" a="1"/>
  <c r="BT649" i="56" s="1"/>
  <c r="BS649" i="56" a="1"/>
  <c r="BS649" i="56" s="1"/>
  <c r="BR649" i="56"/>
  <c r="BR649" i="56" a="1"/>
  <c r="BQ649" i="56" a="1"/>
  <c r="BQ649" i="56" s="1"/>
  <c r="BP649" i="56" a="1"/>
  <c r="BP649" i="56" s="1"/>
  <c r="BO649" i="56" a="1"/>
  <c r="BO649" i="56" s="1"/>
  <c r="BN649" i="56"/>
  <c r="BK649" i="56" s="1" a="1"/>
  <c r="BK649" i="56" s="1"/>
  <c r="BM649" i="56"/>
  <c r="BL649" i="56"/>
  <c r="BJ649" i="56" a="1"/>
  <c r="BJ649" i="56" s="1"/>
  <c r="BI649" i="56" a="1"/>
  <c r="BI649" i="56" s="1"/>
  <c r="BH649" i="56"/>
  <c r="BG649" i="56"/>
  <c r="BF649" i="56"/>
  <c r="BE649" i="56"/>
  <c r="BD649" i="56"/>
  <c r="BC649" i="56"/>
  <c r="BB649" i="56"/>
  <c r="BA649" i="56"/>
  <c r="AZ649" i="56"/>
  <c r="AY649" i="56"/>
  <c r="AX649" i="56"/>
  <c r="AW649" i="56"/>
  <c r="AV649" i="56"/>
  <c r="AU649" i="56"/>
  <c r="AT649" i="56"/>
  <c r="AS649" i="56"/>
  <c r="AR649" i="56"/>
  <c r="AQ649" i="56"/>
  <c r="AP649" i="56"/>
  <c r="AO649" i="56"/>
  <c r="AN649" i="56"/>
  <c r="AM649" i="56"/>
  <c r="AL649" i="56"/>
  <c r="AK649" i="56"/>
  <c r="CI648" i="56" a="1"/>
  <c r="CI648" i="56" s="1"/>
  <c r="CH648" i="56" a="1"/>
  <c r="CH648" i="56" s="1"/>
  <c r="CG648" i="56"/>
  <c r="CG648" i="56" a="1"/>
  <c r="CF648" i="56" a="1"/>
  <c r="CF648" i="56" s="1"/>
  <c r="CE648" i="56" a="1"/>
  <c r="CE648" i="56" s="1"/>
  <c r="CD648" i="56" a="1"/>
  <c r="CD648" i="56" s="1"/>
  <c r="CC648" i="56"/>
  <c r="CC648" i="56" a="1"/>
  <c r="CB648" i="56" a="1"/>
  <c r="CB648" i="56" s="1"/>
  <c r="CA648" i="56" a="1"/>
  <c r="CA648" i="56" s="1"/>
  <c r="BZ648" i="56" a="1"/>
  <c r="BZ648" i="56" s="1"/>
  <c r="BY648" i="56"/>
  <c r="BY648" i="56" a="1"/>
  <c r="BX648" i="56" a="1"/>
  <c r="BX648" i="56" s="1"/>
  <c r="BW648" i="56" a="1"/>
  <c r="BW648" i="56" s="1"/>
  <c r="BV648" i="56" a="1"/>
  <c r="BV648" i="56" s="1"/>
  <c r="BU648" i="56"/>
  <c r="BU648" i="56" a="1"/>
  <c r="BT648" i="56" a="1"/>
  <c r="BT648" i="56" s="1"/>
  <c r="BS648" i="56" a="1"/>
  <c r="BS648" i="56" s="1"/>
  <c r="BR648" i="56" a="1"/>
  <c r="BR648" i="56" s="1"/>
  <c r="BQ648" i="56"/>
  <c r="BQ648" i="56" a="1"/>
  <c r="BP648" i="56" a="1"/>
  <c r="BP648" i="56" s="1"/>
  <c r="BO648" i="56" a="1"/>
  <c r="BO648" i="56" s="1"/>
  <c r="BN648" i="56"/>
  <c r="BK648" i="56" s="1" a="1"/>
  <c r="BK648" i="56" s="1"/>
  <c r="BM648" i="56"/>
  <c r="BJ648" i="56" s="1" a="1"/>
  <c r="BJ648" i="56" s="1"/>
  <c r="BL648" i="56"/>
  <c r="BI648" i="56" s="1" a="1"/>
  <c r="BI648" i="56" s="1"/>
  <c r="BH648" i="56"/>
  <c r="BG648" i="56"/>
  <c r="BF648" i="56"/>
  <c r="BE648" i="56"/>
  <c r="BD648" i="56"/>
  <c r="BC648" i="56"/>
  <c r="BB648" i="56"/>
  <c r="BA648" i="56"/>
  <c r="AZ648" i="56"/>
  <c r="AY648" i="56"/>
  <c r="AX648" i="56"/>
  <c r="AW648" i="56"/>
  <c r="AV648" i="56"/>
  <c r="AU648" i="56"/>
  <c r="AT648" i="56"/>
  <c r="AS648" i="56"/>
  <c r="AR648" i="56"/>
  <c r="AQ648" i="56"/>
  <c r="AP648" i="56"/>
  <c r="AO648" i="56"/>
  <c r="AN648" i="56"/>
  <c r="AM648" i="56"/>
  <c r="AL648" i="56"/>
  <c r="AK648" i="56"/>
  <c r="CI647" i="56" a="1"/>
  <c r="CI647" i="56" s="1"/>
  <c r="CH647" i="56" a="1"/>
  <c r="CH647" i="56" s="1"/>
  <c r="CG647" i="56" a="1"/>
  <c r="CG647" i="56" s="1"/>
  <c r="CF647" i="56"/>
  <c r="CF647" i="56" a="1"/>
  <c r="CE647" i="56" a="1"/>
  <c r="CE647" i="56" s="1"/>
  <c r="CD647" i="56" a="1"/>
  <c r="CD647" i="56" s="1"/>
  <c r="CC647" i="56" a="1"/>
  <c r="CC647" i="56" s="1"/>
  <c r="CB647" i="56"/>
  <c r="CB647" i="56" a="1"/>
  <c r="CA647" i="56" a="1"/>
  <c r="CA647" i="56" s="1"/>
  <c r="BZ647" i="56" a="1"/>
  <c r="BZ647" i="56" s="1"/>
  <c r="BY647" i="56" a="1"/>
  <c r="BY647" i="56" s="1"/>
  <c r="BX647" i="56"/>
  <c r="BX647" i="56" a="1"/>
  <c r="BW647" i="56" a="1"/>
  <c r="BW647" i="56" s="1"/>
  <c r="BV647" i="56" a="1"/>
  <c r="BV647" i="56" s="1"/>
  <c r="BU647" i="56" a="1"/>
  <c r="BU647" i="56" s="1"/>
  <c r="BT647" i="56"/>
  <c r="BT647" i="56" a="1"/>
  <c r="BS647" i="56" a="1"/>
  <c r="BS647" i="56" s="1"/>
  <c r="BR647" i="56" a="1"/>
  <c r="BR647" i="56" s="1"/>
  <c r="BQ647" i="56" a="1"/>
  <c r="BQ647" i="56" s="1"/>
  <c r="BP647" i="56"/>
  <c r="BP647" i="56" a="1"/>
  <c r="BO647" i="56" a="1"/>
  <c r="BO647" i="56" s="1"/>
  <c r="BN647" i="56"/>
  <c r="BM647" i="56"/>
  <c r="BJ647" i="56" s="1" a="1"/>
  <c r="BJ647" i="56" s="1"/>
  <c r="BL647" i="56"/>
  <c r="BI647" i="56" s="1" a="1"/>
  <c r="BI647" i="56" s="1"/>
  <c r="BK647" i="56" a="1"/>
  <c r="BK647" i="56" s="1"/>
  <c r="BH647" i="56"/>
  <c r="BG647" i="56"/>
  <c r="BF647" i="56"/>
  <c r="BE647" i="56"/>
  <c r="BD647" i="56"/>
  <c r="BC647" i="56"/>
  <c r="BB647" i="56"/>
  <c r="BA647" i="56"/>
  <c r="AZ647" i="56"/>
  <c r="AY647" i="56"/>
  <c r="AX647" i="56"/>
  <c r="AW647" i="56"/>
  <c r="AV647" i="56"/>
  <c r="AU647" i="56"/>
  <c r="AT647" i="56"/>
  <c r="AS647" i="56"/>
  <c r="AR647" i="56"/>
  <c r="AQ647" i="56"/>
  <c r="AP647" i="56"/>
  <c r="AO647" i="56"/>
  <c r="AN647" i="56"/>
  <c r="AM647" i="56"/>
  <c r="AL647" i="56"/>
  <c r="AK647" i="56"/>
  <c r="CI646" i="56"/>
  <c r="CI646" i="56" a="1"/>
  <c r="CH646" i="56" a="1"/>
  <c r="CH646" i="56" s="1"/>
  <c r="CG646" i="56" a="1"/>
  <c r="CG646" i="56" s="1"/>
  <c r="CF646" i="56" a="1"/>
  <c r="CF646" i="56" s="1"/>
  <c r="CE646" i="56"/>
  <c r="CE646" i="56" a="1"/>
  <c r="CD646" i="56" a="1"/>
  <c r="CD646" i="56" s="1"/>
  <c r="CC646" i="56" a="1"/>
  <c r="CC646" i="56" s="1"/>
  <c r="CB646" i="56" a="1"/>
  <c r="CB646" i="56" s="1"/>
  <c r="CA646" i="56"/>
  <c r="CA646" i="56" a="1"/>
  <c r="BZ646" i="56" a="1"/>
  <c r="BZ646" i="56" s="1"/>
  <c r="BY646" i="56" a="1"/>
  <c r="BY646" i="56" s="1"/>
  <c r="BX646" i="56" a="1"/>
  <c r="BX646" i="56" s="1"/>
  <c r="BW646" i="56"/>
  <c r="BW646" i="56" a="1"/>
  <c r="BV646" i="56" a="1"/>
  <c r="BV646" i="56" s="1"/>
  <c r="BU646" i="56" a="1"/>
  <c r="BU646" i="56" s="1"/>
  <c r="BT646" i="56" a="1"/>
  <c r="BT646" i="56" s="1"/>
  <c r="BS646" i="56"/>
  <c r="BS646" i="56" a="1"/>
  <c r="BR646" i="56" a="1"/>
  <c r="BR646" i="56" s="1"/>
  <c r="BQ646" i="56" a="1"/>
  <c r="BQ646" i="56" s="1"/>
  <c r="BP646" i="56" a="1"/>
  <c r="BP646" i="56" s="1"/>
  <c r="BO646" i="56"/>
  <c r="BO646" i="56" a="1"/>
  <c r="BN646" i="56"/>
  <c r="BM646" i="56"/>
  <c r="BL646" i="56"/>
  <c r="BI646" i="56" s="1" a="1"/>
  <c r="BI646" i="56" s="1"/>
  <c r="BK646" i="56" a="1"/>
  <c r="BK646" i="56" s="1"/>
  <c r="BJ646" i="56" a="1"/>
  <c r="BJ646" i="56" s="1"/>
  <c r="BH646" i="56"/>
  <c r="BG646" i="56"/>
  <c r="BF646" i="56"/>
  <c r="BE646" i="56"/>
  <c r="BD646" i="56"/>
  <c r="BC646" i="56"/>
  <c r="BB646" i="56"/>
  <c r="BA646" i="56"/>
  <c r="AZ646" i="56"/>
  <c r="AY646" i="56"/>
  <c r="AX646" i="56"/>
  <c r="AW646" i="56"/>
  <c r="AV646" i="56"/>
  <c r="AU646" i="56"/>
  <c r="AT646" i="56"/>
  <c r="AS646" i="56"/>
  <c r="AR646" i="56"/>
  <c r="AQ646" i="56"/>
  <c r="AP646" i="56"/>
  <c r="AO646" i="56"/>
  <c r="AN646" i="56"/>
  <c r="AM646" i="56"/>
  <c r="AL646" i="56"/>
  <c r="AK646" i="56"/>
  <c r="CI645" i="56" a="1"/>
  <c r="CI645" i="56" s="1"/>
  <c r="CH645" i="56"/>
  <c r="CH645" i="56" a="1"/>
  <c r="CG645" i="56" a="1"/>
  <c r="CG645" i="56" s="1"/>
  <c r="CF645" i="56" a="1"/>
  <c r="CF645" i="56" s="1"/>
  <c r="CE645" i="56" a="1"/>
  <c r="CE645" i="56" s="1"/>
  <c r="CD645" i="56"/>
  <c r="CD645" i="56" a="1"/>
  <c r="CC645" i="56" a="1"/>
  <c r="CC645" i="56" s="1"/>
  <c r="CB645" i="56" a="1"/>
  <c r="CB645" i="56" s="1"/>
  <c r="CA645" i="56" a="1"/>
  <c r="CA645" i="56" s="1"/>
  <c r="BZ645" i="56"/>
  <c r="BZ645" i="56" a="1"/>
  <c r="BY645" i="56" a="1"/>
  <c r="BY645" i="56" s="1"/>
  <c r="BX645" i="56" a="1"/>
  <c r="BX645" i="56" s="1"/>
  <c r="BW645" i="56" a="1"/>
  <c r="BW645" i="56" s="1"/>
  <c r="BV645" i="56"/>
  <c r="BV645" i="56" a="1"/>
  <c r="BU645" i="56" a="1"/>
  <c r="BU645" i="56" s="1"/>
  <c r="BT645" i="56" a="1"/>
  <c r="BT645" i="56" s="1"/>
  <c r="BS645" i="56" a="1"/>
  <c r="BS645" i="56" s="1"/>
  <c r="BR645" i="56"/>
  <c r="BR645" i="56" a="1"/>
  <c r="BQ645" i="56" a="1"/>
  <c r="BQ645" i="56" s="1"/>
  <c r="BP645" i="56" a="1"/>
  <c r="BP645" i="56" s="1"/>
  <c r="BO645" i="56" a="1"/>
  <c r="BO645" i="56" s="1"/>
  <c r="BN645" i="56"/>
  <c r="BK645" i="56" s="1" a="1"/>
  <c r="BK645" i="56" s="1"/>
  <c r="BM645" i="56"/>
  <c r="BL645" i="56"/>
  <c r="BJ645" i="56" a="1"/>
  <c r="BJ645" i="56" s="1"/>
  <c r="BI645" i="56" a="1"/>
  <c r="BI645" i="56" s="1"/>
  <c r="BH645" i="56"/>
  <c r="BG645" i="56"/>
  <c r="BF645" i="56"/>
  <c r="BE645" i="56"/>
  <c r="BD645" i="56"/>
  <c r="BC645" i="56"/>
  <c r="BB645" i="56"/>
  <c r="BA645" i="56"/>
  <c r="AZ645" i="56"/>
  <c r="AY645" i="56"/>
  <c r="AX645" i="56"/>
  <c r="AW645" i="56"/>
  <c r="AV645" i="56"/>
  <c r="AU645" i="56"/>
  <c r="AT645" i="56"/>
  <c r="AS645" i="56"/>
  <c r="AR645" i="56"/>
  <c r="AQ645" i="56"/>
  <c r="AP645" i="56"/>
  <c r="AO645" i="56"/>
  <c r="AN645" i="56"/>
  <c r="AM645" i="56"/>
  <c r="AL645" i="56"/>
  <c r="AK645" i="56"/>
  <c r="CI644" i="56" a="1"/>
  <c r="CI644" i="56" s="1"/>
  <c r="CH644" i="56" a="1"/>
  <c r="CH644" i="56" s="1"/>
  <c r="CG644" i="56"/>
  <c r="CG644" i="56" a="1"/>
  <c r="CF644" i="56" a="1"/>
  <c r="CF644" i="56" s="1"/>
  <c r="CE644" i="56" a="1"/>
  <c r="CE644" i="56" s="1"/>
  <c r="CD644" i="56" a="1"/>
  <c r="CD644" i="56" s="1"/>
  <c r="CC644" i="56"/>
  <c r="CC644" i="56" a="1"/>
  <c r="CB644" i="56" a="1"/>
  <c r="CB644" i="56" s="1"/>
  <c r="CA644" i="56" a="1"/>
  <c r="CA644" i="56" s="1"/>
  <c r="BZ644" i="56" a="1"/>
  <c r="BZ644" i="56" s="1"/>
  <c r="BY644" i="56"/>
  <c r="BY644" i="56" a="1"/>
  <c r="BX644" i="56" a="1"/>
  <c r="BX644" i="56" s="1"/>
  <c r="BW644" i="56" a="1"/>
  <c r="BW644" i="56" s="1"/>
  <c r="BV644" i="56" a="1"/>
  <c r="BV644" i="56" s="1"/>
  <c r="BU644" i="56"/>
  <c r="BU644" i="56" a="1"/>
  <c r="BT644" i="56" a="1"/>
  <c r="BT644" i="56" s="1"/>
  <c r="BS644" i="56" a="1"/>
  <c r="BS644" i="56" s="1"/>
  <c r="BR644" i="56" a="1"/>
  <c r="BR644" i="56" s="1"/>
  <c r="BQ644" i="56"/>
  <c r="BQ644" i="56" a="1"/>
  <c r="BP644" i="56" a="1"/>
  <c r="BP644" i="56" s="1"/>
  <c r="BO644" i="56" a="1"/>
  <c r="BO644" i="56" s="1"/>
  <c r="BN644" i="56"/>
  <c r="BK644" i="56" s="1" a="1"/>
  <c r="BK644" i="56" s="1"/>
  <c r="BM644" i="56"/>
  <c r="BJ644" i="56" s="1" a="1"/>
  <c r="BJ644" i="56" s="1"/>
  <c r="BL644" i="56"/>
  <c r="BI644" i="56" s="1" a="1"/>
  <c r="BI644" i="56" s="1"/>
  <c r="BH644" i="56"/>
  <c r="BG644" i="56"/>
  <c r="BF644" i="56"/>
  <c r="BF652" i="56" s="1"/>
  <c r="BE644" i="56"/>
  <c r="BE652" i="56" s="1"/>
  <c r="BD644" i="56"/>
  <c r="BC644" i="56"/>
  <c r="BC652" i="56" s="1"/>
  <c r="BB644" i="56"/>
  <c r="BB652" i="56" s="1"/>
  <c r="BA644" i="56"/>
  <c r="AZ644" i="56"/>
  <c r="AZ652" i="56" s="1"/>
  <c r="AY644" i="56"/>
  <c r="AY652" i="56" s="1"/>
  <c r="AX644" i="56"/>
  <c r="AW644" i="56"/>
  <c r="AW652" i="56" s="1"/>
  <c r="AV644" i="56"/>
  <c r="AU644" i="56"/>
  <c r="AT644" i="56"/>
  <c r="AT652" i="56" s="1"/>
  <c r="AS644" i="56"/>
  <c r="AS652" i="56" s="1"/>
  <c r="AR644" i="56"/>
  <c r="AQ644" i="56"/>
  <c r="AQ652" i="56" s="1"/>
  <c r="AP644" i="56"/>
  <c r="AP652" i="56" s="1"/>
  <c r="AO644" i="56"/>
  <c r="AN644" i="56"/>
  <c r="AN652" i="56" s="1"/>
  <c r="AM644" i="56"/>
  <c r="AM652" i="56" s="1"/>
  <c r="AL644" i="56"/>
  <c r="AK644" i="56"/>
  <c r="AK652" i="56" s="1"/>
  <c r="AG652" i="56"/>
  <c r="AD621" i="56"/>
  <c r="AC621" i="56"/>
  <c r="AB621" i="56"/>
  <c r="AA621" i="56"/>
  <c r="Z621" i="56"/>
  <c r="Y621" i="56"/>
  <c r="X621" i="56"/>
  <c r="W621" i="56"/>
  <c r="V621" i="56"/>
  <c r="U621" i="56"/>
  <c r="T621" i="56"/>
  <c r="S621" i="56"/>
  <c r="R621" i="56"/>
  <c r="Q621" i="56"/>
  <c r="P621" i="56"/>
  <c r="O621" i="56"/>
  <c r="N621" i="56"/>
  <c r="M621" i="56"/>
  <c r="L621" i="56"/>
  <c r="K621" i="56"/>
  <c r="J621" i="56"/>
  <c r="CC620" i="56" a="1"/>
  <c r="CC620" i="56" s="1"/>
  <c r="CB620" i="56" a="1"/>
  <c r="CB620" i="56" s="1"/>
  <c r="CA620" i="56"/>
  <c r="CA620" i="56" a="1"/>
  <c r="BZ620" i="56" a="1"/>
  <c r="BZ620" i="56" s="1"/>
  <c r="BY620" i="56" a="1"/>
  <c r="BY620" i="56" s="1"/>
  <c r="BX620" i="56" a="1"/>
  <c r="BX620" i="56" s="1"/>
  <c r="BW620" i="56"/>
  <c r="BW620" i="56" a="1"/>
  <c r="BV620" i="56" a="1"/>
  <c r="BV620" i="56" s="1"/>
  <c r="BU620" i="56" a="1"/>
  <c r="BU620" i="56" s="1"/>
  <c r="BT620" i="56" a="1"/>
  <c r="BT620" i="56" s="1"/>
  <c r="BS620" i="56"/>
  <c r="BS620" i="56" a="1"/>
  <c r="BR620" i="56" a="1"/>
  <c r="BR620" i="56" s="1"/>
  <c r="BQ620" i="56" a="1"/>
  <c r="BQ620" i="56" s="1"/>
  <c r="BP620" i="56" a="1"/>
  <c r="BP620" i="56" s="1"/>
  <c r="BO620" i="56"/>
  <c r="BO620" i="56" a="1"/>
  <c r="BN620" i="56" a="1"/>
  <c r="BN620" i="56" s="1"/>
  <c r="BM620" i="56" a="1"/>
  <c r="BM620" i="56" s="1"/>
  <c r="BL620" i="56" a="1"/>
  <c r="BL620" i="56" s="1"/>
  <c r="BK620" i="56"/>
  <c r="BH620" i="56" s="1" a="1"/>
  <c r="BH620" i="56" s="1"/>
  <c r="BJ620" i="56"/>
  <c r="BG620" i="56" s="1" a="1"/>
  <c r="BG620" i="56" s="1"/>
  <c r="BI620" i="56"/>
  <c r="BF620" i="56" s="1" a="1"/>
  <c r="BF620" i="56" s="1"/>
  <c r="BE620" i="56"/>
  <c r="BD620" i="56"/>
  <c r="BC620" i="56"/>
  <c r="BB620" i="56"/>
  <c r="BA620" i="56"/>
  <c r="AZ620" i="56"/>
  <c r="AY620" i="56"/>
  <c r="AX620" i="56"/>
  <c r="AW620" i="56"/>
  <c r="AV620" i="56"/>
  <c r="AU620" i="56"/>
  <c r="AT620" i="56"/>
  <c r="AS620" i="56"/>
  <c r="AR620" i="56"/>
  <c r="AQ620" i="56"/>
  <c r="AP620" i="56"/>
  <c r="AO620" i="56"/>
  <c r="AN620" i="56"/>
  <c r="AM620" i="56"/>
  <c r="AL620" i="56"/>
  <c r="AK620" i="56"/>
  <c r="AF620" i="56"/>
  <c r="CC619" i="56"/>
  <c r="CC619" i="56" a="1"/>
  <c r="CB619" i="56"/>
  <c r="CB619" i="56" a="1"/>
  <c r="CA619" i="56" a="1"/>
  <c r="CA619" i="56" s="1"/>
  <c r="BZ619" i="56" a="1"/>
  <c r="BZ619" i="56" s="1"/>
  <c r="BY619" i="56"/>
  <c r="BY619" i="56" a="1"/>
  <c r="BX619" i="56"/>
  <c r="BX619" i="56" a="1"/>
  <c r="BW619" i="56" a="1"/>
  <c r="BW619" i="56" s="1"/>
  <c r="BV619" i="56" a="1"/>
  <c r="BV619" i="56" s="1"/>
  <c r="BU619" i="56"/>
  <c r="BU619" i="56" a="1"/>
  <c r="BT619" i="56"/>
  <c r="BT619" i="56" a="1"/>
  <c r="BS619" i="56" a="1"/>
  <c r="BS619" i="56" s="1"/>
  <c r="BR619" i="56" a="1"/>
  <c r="BR619" i="56" s="1"/>
  <c r="BQ619" i="56"/>
  <c r="BQ619" i="56" a="1"/>
  <c r="BP619" i="56" a="1"/>
  <c r="BP619" i="56" s="1"/>
  <c r="BO619" i="56" a="1"/>
  <c r="BO619" i="56" s="1"/>
  <c r="BN619" i="56" a="1"/>
  <c r="BN619" i="56" s="1"/>
  <c r="BM619" i="56"/>
  <c r="BM619" i="56" a="1"/>
  <c r="BL619" i="56" a="1"/>
  <c r="BL619" i="56" s="1"/>
  <c r="BK619" i="56"/>
  <c r="BJ619" i="56"/>
  <c r="BG619" i="56" s="1" a="1"/>
  <c r="BG619" i="56" s="1"/>
  <c r="BI619" i="56"/>
  <c r="BF619" i="56" s="1" a="1"/>
  <c r="BF619" i="56" s="1"/>
  <c r="BH619" i="56" a="1"/>
  <c r="BH619" i="56" s="1"/>
  <c r="BE619" i="56"/>
  <c r="BD619" i="56"/>
  <c r="BC619" i="56"/>
  <c r="BB619" i="56"/>
  <c r="BA619" i="56"/>
  <c r="AZ619" i="56"/>
  <c r="AY619" i="56"/>
  <c r="AX619" i="56"/>
  <c r="AW619" i="56"/>
  <c r="AV619" i="56"/>
  <c r="AU619" i="56"/>
  <c r="AT619" i="56"/>
  <c r="AS619" i="56"/>
  <c r="AR619" i="56"/>
  <c r="AQ619" i="56"/>
  <c r="AP619" i="56"/>
  <c r="AO619" i="56"/>
  <c r="AN619" i="56"/>
  <c r="AM619" i="56"/>
  <c r="AL619" i="56"/>
  <c r="AK619" i="56"/>
  <c r="AF619" i="56"/>
  <c r="CC618" i="56" a="1"/>
  <c r="CC618" i="56" s="1"/>
  <c r="CB618" i="56" a="1"/>
  <c r="CB618" i="56" s="1"/>
  <c r="CA618" i="56" a="1"/>
  <c r="CA618" i="56" s="1"/>
  <c r="BZ618" i="56"/>
  <c r="BZ618" i="56" a="1"/>
  <c r="BY618" i="56" a="1"/>
  <c r="BY618" i="56" s="1"/>
  <c r="BX618" i="56" a="1"/>
  <c r="BX618" i="56" s="1"/>
  <c r="BW618" i="56" a="1"/>
  <c r="BW618" i="56" s="1"/>
  <c r="BV618" i="56"/>
  <c r="BV618" i="56" a="1"/>
  <c r="BU618" i="56" a="1"/>
  <c r="BU618" i="56" s="1"/>
  <c r="BT618" i="56" a="1"/>
  <c r="BT618" i="56" s="1"/>
  <c r="BS618" i="56" a="1"/>
  <c r="BS618" i="56" s="1"/>
  <c r="BR618" i="56"/>
  <c r="BR618" i="56" a="1"/>
  <c r="BQ618" i="56" a="1"/>
  <c r="BQ618" i="56" s="1"/>
  <c r="BP618" i="56" a="1"/>
  <c r="BP618" i="56" s="1"/>
  <c r="BO618" i="56" a="1"/>
  <c r="BO618" i="56" s="1"/>
  <c r="BN618" i="56"/>
  <c r="BN618" i="56" a="1"/>
  <c r="BM618" i="56" a="1"/>
  <c r="BM618" i="56" s="1"/>
  <c r="BL618" i="56" a="1"/>
  <c r="BL618" i="56" s="1"/>
  <c r="BK618" i="56"/>
  <c r="BJ618" i="56"/>
  <c r="BG618" i="56" s="1" a="1"/>
  <c r="BG618" i="56" s="1"/>
  <c r="BI618" i="56"/>
  <c r="BF618" i="56" s="1" a="1"/>
  <c r="BF618" i="56" s="1"/>
  <c r="BH618" i="56" a="1"/>
  <c r="BH618" i="56" s="1"/>
  <c r="BE618" i="56"/>
  <c r="BD618" i="56"/>
  <c r="BC618" i="56"/>
  <c r="BB618" i="56"/>
  <c r="BA618" i="56"/>
  <c r="AZ618" i="56"/>
  <c r="AY618" i="56"/>
  <c r="AX618" i="56"/>
  <c r="AW618" i="56"/>
  <c r="AV618" i="56"/>
  <c r="AU618" i="56"/>
  <c r="AT618" i="56"/>
  <c r="AS618" i="56"/>
  <c r="AS621" i="56" s="1"/>
  <c r="AR618" i="56"/>
  <c r="AQ618" i="56"/>
  <c r="AP618" i="56"/>
  <c r="AO618" i="56"/>
  <c r="AN618" i="56"/>
  <c r="AM618" i="56"/>
  <c r="AL618" i="56"/>
  <c r="AK618" i="56"/>
  <c r="AF618" i="56"/>
  <c r="CC617" i="56" a="1"/>
  <c r="CC617" i="56" s="1"/>
  <c r="CB617" i="56"/>
  <c r="CB617" i="56" a="1"/>
  <c r="CA617" i="56" a="1"/>
  <c r="CA617" i="56" s="1"/>
  <c r="BZ617" i="56" a="1"/>
  <c r="BZ617" i="56" s="1"/>
  <c r="BY617" i="56" a="1"/>
  <c r="BY617" i="56" s="1"/>
  <c r="BX617" i="56"/>
  <c r="BX617" i="56" a="1"/>
  <c r="BW617" i="56" a="1"/>
  <c r="BW617" i="56" s="1"/>
  <c r="BV617" i="56" a="1"/>
  <c r="BV617" i="56" s="1"/>
  <c r="BU617" i="56" a="1"/>
  <c r="BU617" i="56" s="1"/>
  <c r="BT617" i="56"/>
  <c r="BT617" i="56" a="1"/>
  <c r="BS617" i="56" a="1"/>
  <c r="BS617" i="56" s="1"/>
  <c r="BR617" i="56" a="1"/>
  <c r="BR617" i="56" s="1"/>
  <c r="BQ617" i="56" a="1"/>
  <c r="BQ617" i="56" s="1"/>
  <c r="BP617" i="56"/>
  <c r="BP617" i="56" a="1"/>
  <c r="BO617" i="56" a="1"/>
  <c r="BO617" i="56" s="1"/>
  <c r="BN617" i="56" a="1"/>
  <c r="BN617" i="56" s="1"/>
  <c r="BM617" i="56" a="1"/>
  <c r="BM617" i="56" s="1"/>
  <c r="BL617" i="56"/>
  <c r="BL617" i="56" a="1"/>
  <c r="BK617" i="56"/>
  <c r="BJ617" i="56"/>
  <c r="BI617" i="56"/>
  <c r="BF617" i="56" s="1" a="1"/>
  <c r="BF617" i="56" s="1"/>
  <c r="BH617" i="56"/>
  <c r="BH617" i="56" a="1"/>
  <c r="BG617" i="56" a="1"/>
  <c r="BG617" i="56" s="1"/>
  <c r="BE617" i="56"/>
  <c r="BD617" i="56"/>
  <c r="BC617" i="56"/>
  <c r="BB617" i="56"/>
  <c r="BA617" i="56"/>
  <c r="AZ617" i="56"/>
  <c r="AY617" i="56"/>
  <c r="AX617" i="56"/>
  <c r="AW617" i="56"/>
  <c r="AV617" i="56"/>
  <c r="AU617" i="56"/>
  <c r="AT617" i="56"/>
  <c r="AS617" i="56"/>
  <c r="AR617" i="56"/>
  <c r="AQ617" i="56"/>
  <c r="AP617" i="56"/>
  <c r="AO617" i="56"/>
  <c r="AN617" i="56"/>
  <c r="AM617" i="56"/>
  <c r="AL617" i="56"/>
  <c r="AK617" i="56"/>
  <c r="AF617" i="56"/>
  <c r="CC616" i="56"/>
  <c r="CC616" i="56" a="1"/>
  <c r="CB616" i="56" a="1"/>
  <c r="CB616" i="56" s="1"/>
  <c r="CA616" i="56" a="1"/>
  <c r="CA616" i="56" s="1"/>
  <c r="BZ616" i="56" a="1"/>
  <c r="BZ616" i="56" s="1"/>
  <c r="BY616" i="56"/>
  <c r="BY616" i="56" a="1"/>
  <c r="BX616" i="56" a="1"/>
  <c r="BX616" i="56" s="1"/>
  <c r="BW616" i="56" a="1"/>
  <c r="BW616" i="56" s="1"/>
  <c r="BV616" i="56" a="1"/>
  <c r="BV616" i="56" s="1"/>
  <c r="BU616" i="56"/>
  <c r="BU616" i="56" a="1"/>
  <c r="BT616" i="56" a="1"/>
  <c r="BT616" i="56" s="1"/>
  <c r="BS616" i="56" a="1"/>
  <c r="BS616" i="56" s="1"/>
  <c r="BR616" i="56" a="1"/>
  <c r="BR616" i="56" s="1"/>
  <c r="BQ616" i="56"/>
  <c r="BQ616" i="56" a="1"/>
  <c r="BP616" i="56" a="1"/>
  <c r="BP616" i="56" s="1"/>
  <c r="BO616" i="56" a="1"/>
  <c r="BO616" i="56" s="1"/>
  <c r="BN616" i="56" a="1"/>
  <c r="BN616" i="56" s="1"/>
  <c r="BM616" i="56"/>
  <c r="BM616" i="56" a="1"/>
  <c r="BL616" i="56" a="1"/>
  <c r="BL616" i="56" s="1"/>
  <c r="BK616" i="56"/>
  <c r="BJ616" i="56"/>
  <c r="BI616" i="56"/>
  <c r="BF616" i="56" s="1" a="1"/>
  <c r="BF616" i="56" s="1"/>
  <c r="BH616" i="56" a="1"/>
  <c r="BH616" i="56" s="1"/>
  <c r="BG616" i="56" a="1"/>
  <c r="BG616" i="56" s="1"/>
  <c r="BE616" i="56"/>
  <c r="BD616" i="56"/>
  <c r="BC616" i="56"/>
  <c r="BB616" i="56"/>
  <c r="BA616" i="56"/>
  <c r="AZ616" i="56"/>
  <c r="AY616" i="56"/>
  <c r="AX616" i="56"/>
  <c r="AW616" i="56"/>
  <c r="AV616" i="56"/>
  <c r="AU616" i="56"/>
  <c r="AT616" i="56"/>
  <c r="AS616" i="56"/>
  <c r="AR616" i="56"/>
  <c r="AQ616" i="56"/>
  <c r="AP616" i="56"/>
  <c r="AO616" i="56"/>
  <c r="AN616" i="56"/>
  <c r="AM616" i="56"/>
  <c r="AL616" i="56"/>
  <c r="AK616" i="56"/>
  <c r="AF616" i="56"/>
  <c r="CC615" i="56" a="1"/>
  <c r="CC615" i="56" s="1"/>
  <c r="CB615" i="56" a="1"/>
  <c r="CB615" i="56" s="1"/>
  <c r="CA615" i="56"/>
  <c r="CA615" i="56" a="1"/>
  <c r="BZ615" i="56"/>
  <c r="BZ615" i="56" a="1"/>
  <c r="BY615" i="56" a="1"/>
  <c r="BY615" i="56" s="1"/>
  <c r="BX615" i="56" a="1"/>
  <c r="BX615" i="56" s="1"/>
  <c r="BW615" i="56"/>
  <c r="BW615" i="56" a="1"/>
  <c r="BV615" i="56"/>
  <c r="BV615" i="56" a="1"/>
  <c r="BU615" i="56" a="1"/>
  <c r="BU615" i="56" s="1"/>
  <c r="BT615" i="56" a="1"/>
  <c r="BT615" i="56" s="1"/>
  <c r="BS615" i="56"/>
  <c r="BS615" i="56" a="1"/>
  <c r="BR615" i="56"/>
  <c r="BR615" i="56" a="1"/>
  <c r="BQ615" i="56" a="1"/>
  <c r="BQ615" i="56" s="1"/>
  <c r="BP615" i="56" a="1"/>
  <c r="BP615" i="56" s="1"/>
  <c r="BO615" i="56"/>
  <c r="BO615" i="56" a="1"/>
  <c r="BN615" i="56"/>
  <c r="BN615" i="56" a="1"/>
  <c r="BM615" i="56" a="1"/>
  <c r="BM615" i="56" s="1"/>
  <c r="BL615" i="56" a="1"/>
  <c r="BL615" i="56" s="1"/>
  <c r="BK615" i="56"/>
  <c r="BH615" i="56" s="1" a="1"/>
  <c r="BH615" i="56" s="1"/>
  <c r="BJ615" i="56"/>
  <c r="BI615" i="56"/>
  <c r="BG615" i="56"/>
  <c r="BG615" i="56" a="1"/>
  <c r="BF615" i="56" a="1"/>
  <c r="BF615" i="56" s="1"/>
  <c r="BE615" i="56"/>
  <c r="BD615" i="56"/>
  <c r="BC615" i="56"/>
  <c r="BB615" i="56"/>
  <c r="BA615" i="56"/>
  <c r="AZ615" i="56"/>
  <c r="AY615" i="56"/>
  <c r="AX615" i="56"/>
  <c r="AW615" i="56"/>
  <c r="AV615" i="56"/>
  <c r="AU615" i="56"/>
  <c r="AT615" i="56"/>
  <c r="AS615" i="56"/>
  <c r="AR615" i="56"/>
  <c r="AQ615" i="56"/>
  <c r="AP615" i="56"/>
  <c r="AO615" i="56"/>
  <c r="AN615" i="56"/>
  <c r="AM615" i="56"/>
  <c r="AL615" i="56"/>
  <c r="AK615" i="56"/>
  <c r="AK621" i="56" s="1"/>
  <c r="AF615" i="56"/>
  <c r="CC614" i="56" a="1"/>
  <c r="CC614" i="56" s="1"/>
  <c r="CB614" i="56"/>
  <c r="CB614" i="56" a="1"/>
  <c r="CA614" i="56" a="1"/>
  <c r="CA614" i="56" s="1"/>
  <c r="BZ614" i="56" a="1"/>
  <c r="BZ614" i="56" s="1"/>
  <c r="BY614" i="56" a="1"/>
  <c r="BY614" i="56" s="1"/>
  <c r="BX614" i="56"/>
  <c r="BX614" i="56" a="1"/>
  <c r="BW614" i="56" a="1"/>
  <c r="BW614" i="56" s="1"/>
  <c r="BV614" i="56" a="1"/>
  <c r="BV614" i="56" s="1"/>
  <c r="BU614" i="56" a="1"/>
  <c r="BU614" i="56" s="1"/>
  <c r="BT614" i="56"/>
  <c r="BT614" i="56" a="1"/>
  <c r="BS614" i="56" a="1"/>
  <c r="BS614" i="56" s="1"/>
  <c r="BR614" i="56" a="1"/>
  <c r="BR614" i="56" s="1"/>
  <c r="BQ614" i="56" a="1"/>
  <c r="BQ614" i="56" s="1"/>
  <c r="BP614" i="56"/>
  <c r="BP614" i="56" a="1"/>
  <c r="BO614" i="56" a="1"/>
  <c r="BO614" i="56" s="1"/>
  <c r="BN614" i="56" a="1"/>
  <c r="BN614" i="56" s="1"/>
  <c r="BM614" i="56" a="1"/>
  <c r="BM614" i="56" s="1"/>
  <c r="BL614" i="56"/>
  <c r="BL614" i="56" a="1"/>
  <c r="BK614" i="56"/>
  <c r="BH614" i="56" s="1" a="1"/>
  <c r="BH614" i="56" s="1"/>
  <c r="BJ614" i="56"/>
  <c r="BG614" i="56" s="1" a="1"/>
  <c r="BG614" i="56" s="1"/>
  <c r="BI614" i="56"/>
  <c r="BF614" i="56" a="1"/>
  <c r="BF614" i="56" s="1"/>
  <c r="BE614" i="56"/>
  <c r="BE621" i="56" s="1"/>
  <c r="BD614" i="56"/>
  <c r="BC614" i="56"/>
  <c r="BB614" i="56"/>
  <c r="BA614" i="56"/>
  <c r="AZ614" i="56"/>
  <c r="AY614" i="56"/>
  <c r="AX614" i="56"/>
  <c r="AW614" i="56"/>
  <c r="AV614" i="56"/>
  <c r="AU614" i="56"/>
  <c r="AT614" i="56"/>
  <c r="AS614" i="56"/>
  <c r="AR614" i="56"/>
  <c r="AQ614" i="56"/>
  <c r="AP614" i="56"/>
  <c r="AO614" i="56"/>
  <c r="AN614" i="56"/>
  <c r="AM614" i="56"/>
  <c r="AL614" i="56"/>
  <c r="AK614" i="56"/>
  <c r="AF614" i="56"/>
  <c r="CC613" i="56"/>
  <c r="CC613" i="56" a="1"/>
  <c r="CB613" i="56" a="1"/>
  <c r="CB613" i="56" s="1"/>
  <c r="CA613" i="56" a="1"/>
  <c r="CA613" i="56" s="1"/>
  <c r="BZ613" i="56"/>
  <c r="BZ613" i="56" a="1"/>
  <c r="BY613" i="56"/>
  <c r="BY613" i="56" a="1"/>
  <c r="BX613" i="56" a="1"/>
  <c r="BX613" i="56" s="1"/>
  <c r="BW613" i="56" a="1"/>
  <c r="BW613" i="56" s="1"/>
  <c r="BV613" i="56"/>
  <c r="BV613" i="56" a="1"/>
  <c r="BU613" i="56"/>
  <c r="BU613" i="56" a="1"/>
  <c r="BT613" i="56" a="1"/>
  <c r="BT613" i="56" s="1"/>
  <c r="BS613" i="56" a="1"/>
  <c r="BS613" i="56" s="1"/>
  <c r="BR613" i="56"/>
  <c r="BR613" i="56" a="1"/>
  <c r="BQ613" i="56"/>
  <c r="BQ613" i="56" a="1"/>
  <c r="BP613" i="56" a="1"/>
  <c r="BP613" i="56" s="1"/>
  <c r="BO613" i="56" a="1"/>
  <c r="BO613" i="56" s="1"/>
  <c r="BN613" i="56"/>
  <c r="BN613" i="56" a="1"/>
  <c r="BM613" i="56"/>
  <c r="BM613" i="56" a="1"/>
  <c r="BL613" i="56" a="1"/>
  <c r="BL613" i="56" s="1"/>
  <c r="BK613" i="56"/>
  <c r="BJ613" i="56"/>
  <c r="BG613" i="56" s="1" a="1"/>
  <c r="BG613" i="56" s="1"/>
  <c r="BI613" i="56"/>
  <c r="BF613" i="56" s="1" a="1"/>
  <c r="BF613" i="56" s="1"/>
  <c r="BH613" i="56" a="1"/>
  <c r="BH613" i="56" s="1"/>
  <c r="BE613" i="56"/>
  <c r="BD613" i="56"/>
  <c r="BC613" i="56"/>
  <c r="BC621" i="56" s="1"/>
  <c r="BB613" i="56"/>
  <c r="BB621" i="56" s="1"/>
  <c r="BA613" i="56"/>
  <c r="AZ613" i="56"/>
  <c r="AZ621" i="56" s="1"/>
  <c r="AY613" i="56"/>
  <c r="AY621" i="56" s="1"/>
  <c r="AX613" i="56"/>
  <c r="AW613" i="56"/>
  <c r="AW621" i="56" s="1"/>
  <c r="AV613" i="56"/>
  <c r="AV621" i="56" s="1"/>
  <c r="AU613" i="56"/>
  <c r="AT613" i="56"/>
  <c r="AT621" i="56" s="1"/>
  <c r="AS613" i="56"/>
  <c r="AR613" i="56"/>
  <c r="AQ613" i="56"/>
  <c r="AQ621" i="56" s="1"/>
  <c r="AP613" i="56"/>
  <c r="AP621" i="56" s="1"/>
  <c r="AO613" i="56"/>
  <c r="AN613" i="56"/>
  <c r="AN621" i="56" s="1"/>
  <c r="AM613" i="56"/>
  <c r="AM621" i="56" s="1"/>
  <c r="AL622" i="56" s="1"/>
  <c r="AL613" i="56"/>
  <c r="AK613" i="56"/>
  <c r="AH613" i="56"/>
  <c r="AH621" i="56" s="1"/>
  <c r="AF613" i="56"/>
  <c r="AD589" i="56"/>
  <c r="AC589" i="56"/>
  <c r="AB589" i="56"/>
  <c r="AA589" i="56"/>
  <c r="Z589" i="56"/>
  <c r="Y589" i="56"/>
  <c r="X589" i="56"/>
  <c r="W589" i="56"/>
  <c r="V589" i="56"/>
  <c r="U589" i="56"/>
  <c r="T589" i="56"/>
  <c r="S589" i="56"/>
  <c r="R589" i="56"/>
  <c r="Q589" i="56"/>
  <c r="P589" i="56"/>
  <c r="O589" i="56"/>
  <c r="N589" i="56"/>
  <c r="M589" i="56"/>
  <c r="L589" i="56"/>
  <c r="K589" i="56"/>
  <c r="J589" i="56"/>
  <c r="AD575" i="56"/>
  <c r="AC575" i="56"/>
  <c r="AB575" i="56"/>
  <c r="AA575" i="56"/>
  <c r="Z575" i="56"/>
  <c r="Y575" i="56"/>
  <c r="X575" i="56"/>
  <c r="W575" i="56"/>
  <c r="V575" i="56"/>
  <c r="U575" i="56"/>
  <c r="T575" i="56"/>
  <c r="S575" i="56"/>
  <c r="R575" i="56"/>
  <c r="Q575" i="56"/>
  <c r="P575" i="56"/>
  <c r="O575" i="56"/>
  <c r="N575" i="56"/>
  <c r="M575" i="56"/>
  <c r="L575" i="56"/>
  <c r="K575" i="56"/>
  <c r="J575" i="56"/>
  <c r="AD561" i="56"/>
  <c r="AC561" i="56"/>
  <c r="AB561" i="56"/>
  <c r="AA561" i="56"/>
  <c r="Z561" i="56"/>
  <c r="Y561" i="56"/>
  <c r="X561" i="56"/>
  <c r="W561" i="56"/>
  <c r="V561" i="56"/>
  <c r="U561" i="56"/>
  <c r="T561" i="56"/>
  <c r="S561" i="56"/>
  <c r="R561" i="56"/>
  <c r="Q561" i="56"/>
  <c r="P561" i="56"/>
  <c r="AP589" i="56"/>
  <c r="AN589" i="56"/>
  <c r="BW588" i="56" a="1"/>
  <c r="BW588" i="56" s="1"/>
  <c r="BV588" i="56"/>
  <c r="BV588" i="56" a="1"/>
  <c r="BU588" i="56" a="1"/>
  <c r="BU588" i="56" s="1"/>
  <c r="BT588" i="56" a="1"/>
  <c r="BT588" i="56" s="1"/>
  <c r="BS588" i="56" a="1"/>
  <c r="BS588" i="56" s="1"/>
  <c r="BR588" i="56" a="1"/>
  <c r="BR588" i="56" s="1"/>
  <c r="BQ588" i="56" a="1"/>
  <c r="BQ588" i="56" s="1"/>
  <c r="BP588" i="56" a="1"/>
  <c r="BP588" i="56" s="1"/>
  <c r="BO588" i="56" a="1"/>
  <c r="BO588" i="56" s="1"/>
  <c r="BN588" i="56" a="1"/>
  <c r="BN588" i="56" s="1"/>
  <c r="BM588" i="56" a="1"/>
  <c r="BM588" i="56" s="1"/>
  <c r="BL588" i="56" a="1"/>
  <c r="BL588" i="56" s="1"/>
  <c r="BK588" i="56" a="1"/>
  <c r="BK588" i="56" s="1"/>
  <c r="BJ588" i="56" a="1"/>
  <c r="BJ588" i="56" s="1"/>
  <c r="BI588" i="56" a="1"/>
  <c r="BI588" i="56" s="1"/>
  <c r="BH588" i="56" a="1"/>
  <c r="BH588" i="56" s="1"/>
  <c r="BG588" i="56" a="1"/>
  <c r="BG588" i="56" s="1"/>
  <c r="BF588" i="56" a="1"/>
  <c r="BF588" i="56" s="1"/>
  <c r="BE588" i="56" a="1"/>
  <c r="BE588" i="56" s="1"/>
  <c r="BD588" i="56" a="1"/>
  <c r="BD588" i="56" s="1"/>
  <c r="BC588" i="56" a="1"/>
  <c r="BC588" i="56" s="1"/>
  <c r="BB588" i="56"/>
  <c r="BA588" i="56"/>
  <c r="AZ588" i="56"/>
  <c r="AY588" i="56"/>
  <c r="AX588" i="56"/>
  <c r="AW588" i="56"/>
  <c r="AV588" i="56"/>
  <c r="AU588" i="56"/>
  <c r="AT588" i="56"/>
  <c r="AS588" i="56"/>
  <c r="AR588" i="56"/>
  <c r="AQ588" i="56"/>
  <c r="AP588" i="56"/>
  <c r="AO588" i="56"/>
  <c r="AN588" i="56"/>
  <c r="AM588" i="56"/>
  <c r="AL588" i="56"/>
  <c r="AK588" i="56"/>
  <c r="AJ588" i="56"/>
  <c r="AI588" i="56"/>
  <c r="AH588" i="56"/>
  <c r="BW587" i="56" a="1"/>
  <c r="BW587" i="56" s="1"/>
  <c r="BV587" i="56" a="1"/>
  <c r="BV587" i="56" s="1"/>
  <c r="BU587" i="56"/>
  <c r="BU587" i="56" a="1"/>
  <c r="BT587" i="56"/>
  <c r="BT587" i="56" a="1"/>
  <c r="BS587" i="56" a="1"/>
  <c r="BS587" i="56" s="1"/>
  <c r="BR587" i="56" a="1"/>
  <c r="BR587" i="56" s="1"/>
  <c r="BQ587" i="56"/>
  <c r="BQ587" i="56" a="1"/>
  <c r="BP587" i="56"/>
  <c r="BP587" i="56" a="1"/>
  <c r="BO587" i="56" a="1"/>
  <c r="BO587" i="56" s="1"/>
  <c r="BN587" i="56" a="1"/>
  <c r="BN587" i="56" s="1"/>
  <c r="BM587" i="56"/>
  <c r="BM587" i="56" a="1"/>
  <c r="BL587" i="56"/>
  <c r="BL587" i="56" a="1"/>
  <c r="BK587" i="56" a="1"/>
  <c r="BK587" i="56" s="1"/>
  <c r="BJ587" i="56" a="1"/>
  <c r="BJ587" i="56" s="1"/>
  <c r="BI587" i="56"/>
  <c r="BI587" i="56" a="1"/>
  <c r="BH587" i="56"/>
  <c r="BH587" i="56" a="1"/>
  <c r="BG587" i="56" a="1"/>
  <c r="BG587" i="56" s="1"/>
  <c r="BF587" i="56" a="1"/>
  <c r="BF587" i="56" s="1"/>
  <c r="BE587" i="56"/>
  <c r="BE587" i="56" a="1"/>
  <c r="BD587" i="56"/>
  <c r="BD587" i="56" a="1"/>
  <c r="BC587" i="56" a="1"/>
  <c r="BC587" i="56" s="1"/>
  <c r="BB587" i="56"/>
  <c r="BA587" i="56"/>
  <c r="AZ587" i="56"/>
  <c r="AY587" i="56"/>
  <c r="AX587" i="56"/>
  <c r="AW587" i="56"/>
  <c r="AV587" i="56"/>
  <c r="AU587" i="56"/>
  <c r="AT587" i="56"/>
  <c r="AS587" i="56"/>
  <c r="AR587" i="56"/>
  <c r="AQ587" i="56"/>
  <c r="AP587" i="56"/>
  <c r="AO587" i="56"/>
  <c r="AN587" i="56"/>
  <c r="AM587" i="56"/>
  <c r="AL587" i="56"/>
  <c r="AK587" i="56"/>
  <c r="AJ587" i="56"/>
  <c r="AI587" i="56"/>
  <c r="AH587" i="56"/>
  <c r="BW586" i="56" a="1"/>
  <c r="BW586" i="56" s="1"/>
  <c r="BV586" i="56" a="1"/>
  <c r="BV586" i="56" s="1"/>
  <c r="BU586" i="56" a="1"/>
  <c r="BU586" i="56" s="1"/>
  <c r="BT586" i="56" a="1"/>
  <c r="BT586" i="56" s="1"/>
  <c r="BS586" i="56" a="1"/>
  <c r="BS586" i="56" s="1"/>
  <c r="BR586" i="56" a="1"/>
  <c r="BR586" i="56" s="1"/>
  <c r="BQ586" i="56"/>
  <c r="BQ586" i="56" a="1"/>
  <c r="BP586" i="56" a="1"/>
  <c r="BP586" i="56" s="1"/>
  <c r="BO586" i="56" a="1"/>
  <c r="BO586" i="56" s="1"/>
  <c r="BN586" i="56" a="1"/>
  <c r="BN586" i="56" s="1"/>
  <c r="BM586" i="56" a="1"/>
  <c r="BM586" i="56" s="1"/>
  <c r="BL586" i="56" a="1"/>
  <c r="BL586" i="56" s="1"/>
  <c r="BK586" i="56" a="1"/>
  <c r="BK586" i="56" s="1"/>
  <c r="BJ586" i="56" a="1"/>
  <c r="BJ586" i="56" s="1"/>
  <c r="BI586" i="56" a="1"/>
  <c r="BI586" i="56" s="1"/>
  <c r="BH586" i="56" a="1"/>
  <c r="BH586" i="56" s="1"/>
  <c r="BG586" i="56" a="1"/>
  <c r="BG586" i="56" s="1"/>
  <c r="BF586" i="56" a="1"/>
  <c r="BF586" i="56" s="1"/>
  <c r="BE586" i="56"/>
  <c r="BE586" i="56" a="1"/>
  <c r="BD586" i="56" a="1"/>
  <c r="BD586" i="56" s="1"/>
  <c r="BC586" i="56" a="1"/>
  <c r="BC586" i="56" s="1"/>
  <c r="BB586" i="56"/>
  <c r="BA586" i="56"/>
  <c r="AZ586" i="56"/>
  <c r="AY586" i="56"/>
  <c r="AX586" i="56"/>
  <c r="AW586" i="56"/>
  <c r="AV586" i="56"/>
  <c r="AU586" i="56"/>
  <c r="AT586" i="56"/>
  <c r="AS586" i="56"/>
  <c r="AR586" i="56"/>
  <c r="AQ586" i="56"/>
  <c r="AP586" i="56"/>
  <c r="AO586" i="56"/>
  <c r="AN586" i="56"/>
  <c r="AM586" i="56"/>
  <c r="AL586" i="56"/>
  <c r="AK586" i="56"/>
  <c r="AJ586" i="56"/>
  <c r="AI586" i="56"/>
  <c r="AH586" i="56"/>
  <c r="BW585" i="56"/>
  <c r="BW585" i="56" a="1"/>
  <c r="BV585" i="56"/>
  <c r="BV585" i="56" a="1"/>
  <c r="BU585" i="56" a="1"/>
  <c r="BU585" i="56" s="1"/>
  <c r="BT585" i="56"/>
  <c r="BT585" i="56" a="1"/>
  <c r="BS585" i="56"/>
  <c r="BS585" i="56" a="1"/>
  <c r="BR585" i="56"/>
  <c r="BR585" i="56" a="1"/>
  <c r="BQ585" i="56" a="1"/>
  <c r="BQ585" i="56" s="1"/>
  <c r="BP585" i="56"/>
  <c r="BP585" i="56" a="1"/>
  <c r="BO585" i="56"/>
  <c r="BO585" i="56" a="1"/>
  <c r="BN585" i="56"/>
  <c r="BN585" i="56" a="1"/>
  <c r="BM585" i="56" a="1"/>
  <c r="BM585" i="56" s="1"/>
  <c r="BL585" i="56"/>
  <c r="BL585" i="56" a="1"/>
  <c r="BK585" i="56"/>
  <c r="BK585" i="56" a="1"/>
  <c r="BJ585" i="56"/>
  <c r="BJ585" i="56" a="1"/>
  <c r="BI585" i="56" a="1"/>
  <c r="BI585" i="56" s="1"/>
  <c r="BH585" i="56"/>
  <c r="BH585" i="56" a="1"/>
  <c r="BG585" i="56"/>
  <c r="BG585" i="56" a="1"/>
  <c r="BF585" i="56"/>
  <c r="BF585" i="56" a="1"/>
  <c r="BE585" i="56" a="1"/>
  <c r="BE585" i="56" s="1"/>
  <c r="BD585" i="56"/>
  <c r="BD585" i="56" a="1"/>
  <c r="BC585" i="56"/>
  <c r="BC585" i="56" a="1"/>
  <c r="BB585" i="56"/>
  <c r="BA585" i="56"/>
  <c r="AZ585" i="56"/>
  <c r="AY585" i="56"/>
  <c r="AX585" i="56"/>
  <c r="AW585" i="56"/>
  <c r="AV585" i="56"/>
  <c r="AU585" i="56"/>
  <c r="AT585" i="56"/>
  <c r="AS585" i="56"/>
  <c r="AR585" i="56"/>
  <c r="AQ585" i="56"/>
  <c r="AP585" i="56"/>
  <c r="AO585" i="56"/>
  <c r="AN585" i="56"/>
  <c r="AM585" i="56"/>
  <c r="AL585" i="56"/>
  <c r="AK585" i="56"/>
  <c r="AJ585" i="56"/>
  <c r="AI585" i="56"/>
  <c r="AH585" i="56"/>
  <c r="BW584" i="56" a="1"/>
  <c r="BW584" i="56" s="1"/>
  <c r="BV584" i="56" a="1"/>
  <c r="BV584" i="56" s="1"/>
  <c r="BU584" i="56" a="1"/>
  <c r="BU584" i="56" s="1"/>
  <c r="BT584" i="56" a="1"/>
  <c r="BT584" i="56" s="1"/>
  <c r="BS584" i="56" a="1"/>
  <c r="BS584" i="56" s="1"/>
  <c r="BR584" i="56" a="1"/>
  <c r="BR584" i="56" s="1"/>
  <c r="BQ584" i="56" a="1"/>
  <c r="BQ584" i="56" s="1"/>
  <c r="BP584" i="56" a="1"/>
  <c r="BP584" i="56" s="1"/>
  <c r="BO584" i="56" a="1"/>
  <c r="BO584" i="56" s="1"/>
  <c r="BN584" i="56" a="1"/>
  <c r="BN584" i="56" s="1"/>
  <c r="BM584" i="56" a="1"/>
  <c r="BM584" i="56" s="1"/>
  <c r="BL584" i="56"/>
  <c r="BL584" i="56" a="1"/>
  <c r="BK584" i="56" a="1"/>
  <c r="BK584" i="56" s="1"/>
  <c r="BJ584" i="56" a="1"/>
  <c r="BJ584" i="56" s="1"/>
  <c r="BI584" i="56" a="1"/>
  <c r="BI584" i="56" s="1"/>
  <c r="BH584" i="56" a="1"/>
  <c r="BH584" i="56" s="1"/>
  <c r="BG584" i="56" a="1"/>
  <c r="BG584" i="56" s="1"/>
  <c r="BF584" i="56" a="1"/>
  <c r="BF584" i="56" s="1"/>
  <c r="BE584" i="56" a="1"/>
  <c r="BE584" i="56" s="1"/>
  <c r="BD584" i="56"/>
  <c r="BD584" i="56" a="1"/>
  <c r="BC584" i="56" a="1"/>
  <c r="BC584" i="56" s="1"/>
  <c r="BB584" i="56"/>
  <c r="BA584" i="56"/>
  <c r="AZ584" i="56"/>
  <c r="AY584" i="56"/>
  <c r="AX584" i="56"/>
  <c r="AW584" i="56"/>
  <c r="AV584" i="56"/>
  <c r="AU584" i="56"/>
  <c r="AT584" i="56"/>
  <c r="AS584" i="56"/>
  <c r="AR584" i="56"/>
  <c r="AQ584" i="56"/>
  <c r="AQ589" i="56" s="1"/>
  <c r="AP584" i="56"/>
  <c r="AO584" i="56"/>
  <c r="AN584" i="56"/>
  <c r="AM584" i="56"/>
  <c r="AL584" i="56"/>
  <c r="AK584" i="56"/>
  <c r="AJ584" i="56"/>
  <c r="AI584" i="56"/>
  <c r="AH584" i="56"/>
  <c r="BW583" i="56"/>
  <c r="BW583" i="56" a="1"/>
  <c r="BV583" i="56"/>
  <c r="BV583" i="56" a="1"/>
  <c r="BU583" i="56"/>
  <c r="BU583" i="56" a="1"/>
  <c r="BT583" i="56" a="1"/>
  <c r="BT583" i="56" s="1"/>
  <c r="BS583" i="56"/>
  <c r="BS583" i="56" a="1"/>
  <c r="BR583" i="56"/>
  <c r="BR583" i="56" a="1"/>
  <c r="BQ583" i="56"/>
  <c r="BQ583" i="56" a="1"/>
  <c r="BP583" i="56" a="1"/>
  <c r="BP583" i="56" s="1"/>
  <c r="BO583" i="56"/>
  <c r="BO583" i="56" a="1"/>
  <c r="BN583" i="56"/>
  <c r="BN583" i="56" a="1"/>
  <c r="BM583" i="56"/>
  <c r="BM583" i="56" a="1"/>
  <c r="BL583" i="56" a="1"/>
  <c r="BL583" i="56" s="1"/>
  <c r="BK583" i="56"/>
  <c r="BK583" i="56" a="1"/>
  <c r="BJ583" i="56"/>
  <c r="BJ583" i="56" a="1"/>
  <c r="BI583" i="56"/>
  <c r="BI583" i="56" a="1"/>
  <c r="BH583" i="56" a="1"/>
  <c r="BH583" i="56" s="1"/>
  <c r="BG583" i="56"/>
  <c r="BG583" i="56" a="1"/>
  <c r="BF583" i="56"/>
  <c r="BF583" i="56" a="1"/>
  <c r="BE583" i="56"/>
  <c r="BE583" i="56" a="1"/>
  <c r="BD583" i="56" a="1"/>
  <c r="BD583" i="56" s="1"/>
  <c r="BC583" i="56"/>
  <c r="BC583" i="56" a="1"/>
  <c r="BB583" i="56"/>
  <c r="BA583" i="56"/>
  <c r="AZ583" i="56"/>
  <c r="AY583" i="56"/>
  <c r="AX583" i="56"/>
  <c r="AW583" i="56"/>
  <c r="AV583" i="56"/>
  <c r="AU583" i="56"/>
  <c r="AT583" i="56"/>
  <c r="AS583" i="56"/>
  <c r="AR583" i="56"/>
  <c r="AQ583" i="56"/>
  <c r="AP583" i="56"/>
  <c r="AO583" i="56"/>
  <c r="AN583" i="56"/>
  <c r="AM583" i="56"/>
  <c r="AL583" i="56"/>
  <c r="AK583" i="56"/>
  <c r="AJ583" i="56"/>
  <c r="AI583" i="56"/>
  <c r="AH583" i="56"/>
  <c r="BW582" i="56" a="1"/>
  <c r="BW582" i="56" s="1"/>
  <c r="BV582" i="56" a="1"/>
  <c r="BV582" i="56" s="1"/>
  <c r="BU582" i="56" a="1"/>
  <c r="BU582" i="56" s="1"/>
  <c r="BT582" i="56" a="1"/>
  <c r="BT582" i="56" s="1"/>
  <c r="BS582" i="56"/>
  <c r="BS582" i="56" a="1"/>
  <c r="BR582" i="56" a="1"/>
  <c r="BR582" i="56" s="1"/>
  <c r="BQ582" i="56" a="1"/>
  <c r="BQ582" i="56" s="1"/>
  <c r="BP582" i="56" a="1"/>
  <c r="BP582" i="56" s="1"/>
  <c r="BO582" i="56" a="1"/>
  <c r="BO582" i="56" s="1"/>
  <c r="BN582" i="56" a="1"/>
  <c r="BN582" i="56" s="1"/>
  <c r="BM582" i="56" a="1"/>
  <c r="BM582" i="56" s="1"/>
  <c r="BL582" i="56" a="1"/>
  <c r="BL582" i="56" s="1"/>
  <c r="BK582" i="56" a="1"/>
  <c r="BK582" i="56" s="1"/>
  <c r="BJ582" i="56" a="1"/>
  <c r="BJ582" i="56" s="1"/>
  <c r="BI582" i="56" a="1"/>
  <c r="BI582" i="56" s="1"/>
  <c r="BH582" i="56" a="1"/>
  <c r="BH582" i="56" s="1"/>
  <c r="BG582" i="56"/>
  <c r="BG582" i="56" a="1"/>
  <c r="BF582" i="56" a="1"/>
  <c r="BF582" i="56" s="1"/>
  <c r="BE582" i="56" a="1"/>
  <c r="BE582" i="56" s="1"/>
  <c r="BD582" i="56" a="1"/>
  <c r="BD582" i="56" s="1"/>
  <c r="BC582" i="56" a="1"/>
  <c r="BC582" i="56" s="1"/>
  <c r="BB582" i="56"/>
  <c r="BA582" i="56"/>
  <c r="AZ582" i="56"/>
  <c r="AY582" i="56"/>
  <c r="AX582" i="56"/>
  <c r="AW582" i="56"/>
  <c r="AW589" i="56" s="1"/>
  <c r="AV582" i="56"/>
  <c r="AU582" i="56"/>
  <c r="AT582" i="56"/>
  <c r="AS582" i="56"/>
  <c r="AR582" i="56"/>
  <c r="AQ582" i="56"/>
  <c r="AP582" i="56"/>
  <c r="AO582" i="56"/>
  <c r="AN582" i="56"/>
  <c r="AM582" i="56"/>
  <c r="AL582" i="56"/>
  <c r="AK582" i="56"/>
  <c r="AK589" i="56" s="1"/>
  <c r="AJ582" i="56"/>
  <c r="AI582" i="56"/>
  <c r="AH582" i="56"/>
  <c r="BW581" i="56" a="1"/>
  <c r="BW581" i="56" s="1"/>
  <c r="BV581" i="56"/>
  <c r="BV581" i="56" a="1"/>
  <c r="BU581" i="56"/>
  <c r="BU581" i="56" a="1"/>
  <c r="BT581" i="56"/>
  <c r="BT581" i="56" a="1"/>
  <c r="BS581" i="56" a="1"/>
  <c r="BS581" i="56" s="1"/>
  <c r="BR581" i="56"/>
  <c r="BR581" i="56" a="1"/>
  <c r="BQ581" i="56"/>
  <c r="BQ581" i="56" a="1"/>
  <c r="BP581" i="56"/>
  <c r="BP581" i="56" a="1"/>
  <c r="BO581" i="56" a="1"/>
  <c r="BO581" i="56" s="1"/>
  <c r="BN581" i="56"/>
  <c r="BN581" i="56" a="1"/>
  <c r="BM581" i="56"/>
  <c r="BM581" i="56" a="1"/>
  <c r="BL581" i="56"/>
  <c r="BL581" i="56" a="1"/>
  <c r="BK581" i="56" a="1"/>
  <c r="BK581" i="56" s="1"/>
  <c r="BJ581" i="56"/>
  <c r="BJ581" i="56" a="1"/>
  <c r="BI581" i="56"/>
  <c r="BI581" i="56" a="1"/>
  <c r="BH581" i="56"/>
  <c r="BH581" i="56" a="1"/>
  <c r="BG581" i="56" a="1"/>
  <c r="BG581" i="56" s="1"/>
  <c r="BF581" i="56"/>
  <c r="BF581" i="56" a="1"/>
  <c r="BE581" i="56"/>
  <c r="BE581" i="56" a="1"/>
  <c r="BD581" i="56"/>
  <c r="BD581" i="56" a="1"/>
  <c r="BC581" i="56" a="1"/>
  <c r="BC581" i="56" s="1"/>
  <c r="BB581" i="56"/>
  <c r="BB589" i="56" s="1"/>
  <c r="BA581" i="56"/>
  <c r="AZ581" i="56"/>
  <c r="AZ589" i="56" s="1"/>
  <c r="AY581" i="56"/>
  <c r="AX581" i="56"/>
  <c r="AW581" i="56"/>
  <c r="AV581" i="56"/>
  <c r="AV589" i="56" s="1"/>
  <c r="AU581" i="56"/>
  <c r="AT581" i="56"/>
  <c r="AT589" i="56" s="1"/>
  <c r="AS581" i="56"/>
  <c r="AR581" i="56"/>
  <c r="AQ581" i="56"/>
  <c r="AP581" i="56"/>
  <c r="AO581" i="56"/>
  <c r="AN581" i="56"/>
  <c r="AM581" i="56"/>
  <c r="AM589" i="56" s="1"/>
  <c r="AL581" i="56"/>
  <c r="AK581" i="56"/>
  <c r="AJ581" i="56"/>
  <c r="AI581" i="56"/>
  <c r="AH581" i="56"/>
  <c r="AV575" i="56"/>
  <c r="BW574" i="56" a="1"/>
  <c r="BW574" i="56" s="1"/>
  <c r="BV574" i="56" a="1"/>
  <c r="BV574" i="56" s="1"/>
  <c r="BU574" i="56" a="1"/>
  <c r="BU574" i="56" s="1"/>
  <c r="BT574" i="56"/>
  <c r="BT574" i="56" a="1"/>
  <c r="BS574" i="56" a="1"/>
  <c r="BS574" i="56" s="1"/>
  <c r="BR574" i="56" a="1"/>
  <c r="BR574" i="56" s="1"/>
  <c r="BQ574" i="56" a="1"/>
  <c r="BQ574" i="56" s="1"/>
  <c r="BP574" i="56" a="1"/>
  <c r="BP574" i="56" s="1"/>
  <c r="BO574" i="56" a="1"/>
  <c r="BO574" i="56" s="1"/>
  <c r="BN574" i="56" a="1"/>
  <c r="BN574" i="56" s="1"/>
  <c r="BM574" i="56" a="1"/>
  <c r="BM574" i="56" s="1"/>
  <c r="BL574" i="56"/>
  <c r="BL574" i="56" a="1"/>
  <c r="BK574" i="56" a="1"/>
  <c r="BK574" i="56" s="1"/>
  <c r="BJ574" i="56" a="1"/>
  <c r="BJ574" i="56" s="1"/>
  <c r="BI574" i="56" a="1"/>
  <c r="BI574" i="56" s="1"/>
  <c r="BH574" i="56" a="1"/>
  <c r="BH574" i="56" s="1"/>
  <c r="BG574" i="56" a="1"/>
  <c r="BG574" i="56" s="1"/>
  <c r="BF574" i="56" a="1"/>
  <c r="BF574" i="56" s="1"/>
  <c r="BE574" i="56" a="1"/>
  <c r="BE574" i="56" s="1"/>
  <c r="BD574" i="56" a="1"/>
  <c r="BD574" i="56" s="1"/>
  <c r="BC574" i="56" a="1"/>
  <c r="BC574" i="56" s="1"/>
  <c r="BB574" i="56"/>
  <c r="BA574" i="56"/>
  <c r="AZ574" i="56"/>
  <c r="AY574" i="56"/>
  <c r="AX574" i="56"/>
  <c r="AW574" i="56"/>
  <c r="AV574" i="56"/>
  <c r="AU574" i="56"/>
  <c r="AT574" i="56"/>
  <c r="AS574" i="56"/>
  <c r="AR574" i="56"/>
  <c r="AQ574" i="56"/>
  <c r="AP574" i="56"/>
  <c r="AO574" i="56"/>
  <c r="AN574" i="56"/>
  <c r="AM574" i="56"/>
  <c r="AL574" i="56"/>
  <c r="AK574" i="56"/>
  <c r="AJ574" i="56"/>
  <c r="AI574" i="56"/>
  <c r="AH574" i="56"/>
  <c r="BW573" i="56"/>
  <c r="BW573" i="56" a="1"/>
  <c r="BV573" i="56"/>
  <c r="BV573" i="56" a="1"/>
  <c r="BU573" i="56"/>
  <c r="BU573" i="56" a="1"/>
  <c r="BT573" i="56" a="1"/>
  <c r="BT573" i="56" s="1"/>
  <c r="BS573" i="56"/>
  <c r="BS573" i="56" a="1"/>
  <c r="BR573" i="56"/>
  <c r="BR573" i="56" a="1"/>
  <c r="BQ573" i="56"/>
  <c r="BQ573" i="56" a="1"/>
  <c r="BP573" i="56" a="1"/>
  <c r="BP573" i="56" s="1"/>
  <c r="BO573" i="56"/>
  <c r="BO573" i="56" a="1"/>
  <c r="BN573" i="56"/>
  <c r="BN573" i="56" a="1"/>
  <c r="BM573" i="56"/>
  <c r="BM573" i="56" a="1"/>
  <c r="BL573" i="56" a="1"/>
  <c r="BL573" i="56" s="1"/>
  <c r="BK573" i="56"/>
  <c r="BK573" i="56" a="1"/>
  <c r="BJ573" i="56"/>
  <c r="BJ573" i="56" a="1"/>
  <c r="BI573" i="56"/>
  <c r="BI573" i="56" a="1"/>
  <c r="BH573" i="56" a="1"/>
  <c r="BH573" i="56" s="1"/>
  <c r="BG573" i="56"/>
  <c r="BG573" i="56" a="1"/>
  <c r="BF573" i="56"/>
  <c r="BF573" i="56" a="1"/>
  <c r="BE573" i="56"/>
  <c r="BE573" i="56" a="1"/>
  <c r="BD573" i="56" a="1"/>
  <c r="BD573" i="56" s="1"/>
  <c r="BC573" i="56"/>
  <c r="BC573" i="56" a="1"/>
  <c r="BB573" i="56"/>
  <c r="BA573" i="56"/>
  <c r="AZ573" i="56"/>
  <c r="AY573" i="56"/>
  <c r="AX573" i="56"/>
  <c r="AW573" i="56"/>
  <c r="AV573" i="56"/>
  <c r="AU573" i="56"/>
  <c r="AT573" i="56"/>
  <c r="AS573" i="56"/>
  <c r="AR573" i="56"/>
  <c r="AQ573" i="56"/>
  <c r="AP573" i="56"/>
  <c r="AO573" i="56"/>
  <c r="AN573" i="56"/>
  <c r="AM573" i="56"/>
  <c r="AL573" i="56"/>
  <c r="AK573" i="56"/>
  <c r="AJ573" i="56"/>
  <c r="AI573" i="56"/>
  <c r="AH573" i="56"/>
  <c r="BW572" i="56" a="1"/>
  <c r="BW572" i="56" s="1"/>
  <c r="BV572" i="56" a="1"/>
  <c r="BV572" i="56" s="1"/>
  <c r="BU572" i="56" a="1"/>
  <c r="BU572" i="56" s="1"/>
  <c r="BT572" i="56" a="1"/>
  <c r="BT572" i="56" s="1"/>
  <c r="BS572" i="56" a="1"/>
  <c r="BS572" i="56" s="1"/>
  <c r="BR572" i="56" a="1"/>
  <c r="BR572" i="56" s="1"/>
  <c r="BQ572" i="56" a="1"/>
  <c r="BQ572" i="56" s="1"/>
  <c r="BP572" i="56" a="1"/>
  <c r="BP572" i="56" s="1"/>
  <c r="BO572" i="56"/>
  <c r="BO572" i="56" a="1"/>
  <c r="BN572" i="56" a="1"/>
  <c r="BN572" i="56" s="1"/>
  <c r="BM572" i="56" a="1"/>
  <c r="BM572" i="56" s="1"/>
  <c r="BL572" i="56" a="1"/>
  <c r="BL572" i="56" s="1"/>
  <c r="BK572" i="56" a="1"/>
  <c r="BK572" i="56" s="1"/>
  <c r="BJ572" i="56" a="1"/>
  <c r="BJ572" i="56" s="1"/>
  <c r="BI572" i="56" a="1"/>
  <c r="BI572" i="56" s="1"/>
  <c r="BH572" i="56" a="1"/>
  <c r="BH572" i="56" s="1"/>
  <c r="BG572" i="56"/>
  <c r="BG572" i="56" a="1"/>
  <c r="BF572" i="56" a="1"/>
  <c r="BF572" i="56" s="1"/>
  <c r="BE572" i="56" a="1"/>
  <c r="BE572" i="56" s="1"/>
  <c r="BD572" i="56" a="1"/>
  <c r="BD572" i="56" s="1"/>
  <c r="BC572" i="56" a="1"/>
  <c r="BC572" i="56" s="1"/>
  <c r="BB572" i="56"/>
  <c r="BA572" i="56"/>
  <c r="AZ572" i="56"/>
  <c r="AY572" i="56"/>
  <c r="AX572" i="56"/>
  <c r="AW572" i="56"/>
  <c r="AV572" i="56"/>
  <c r="AU572" i="56"/>
  <c r="AT572" i="56"/>
  <c r="AS572" i="56"/>
  <c r="AR572" i="56"/>
  <c r="AQ572" i="56"/>
  <c r="AP572" i="56"/>
  <c r="AO572" i="56"/>
  <c r="AN572" i="56"/>
  <c r="AM572" i="56"/>
  <c r="AL572" i="56"/>
  <c r="AK572" i="56"/>
  <c r="AJ572" i="56"/>
  <c r="AI572" i="56"/>
  <c r="AH572" i="56"/>
  <c r="BW571" i="56" a="1"/>
  <c r="BW571" i="56" s="1"/>
  <c r="BV571" i="56"/>
  <c r="BV571" i="56" a="1"/>
  <c r="BU571" i="56"/>
  <c r="BU571" i="56" a="1"/>
  <c r="BT571" i="56"/>
  <c r="BT571" i="56" a="1"/>
  <c r="BS571" i="56" a="1"/>
  <c r="BS571" i="56" s="1"/>
  <c r="BR571" i="56"/>
  <c r="BR571" i="56" a="1"/>
  <c r="BQ571" i="56"/>
  <c r="BQ571" i="56" a="1"/>
  <c r="BP571" i="56"/>
  <c r="BP571" i="56" a="1"/>
  <c r="BO571" i="56" a="1"/>
  <c r="BO571" i="56" s="1"/>
  <c r="BN571" i="56"/>
  <c r="BN571" i="56" a="1"/>
  <c r="BM571" i="56"/>
  <c r="BM571" i="56" a="1"/>
  <c r="BL571" i="56"/>
  <c r="BL571" i="56" a="1"/>
  <c r="BK571" i="56" a="1"/>
  <c r="BK571" i="56" s="1"/>
  <c r="BJ571" i="56"/>
  <c r="BJ571" i="56" a="1"/>
  <c r="BI571" i="56"/>
  <c r="BI571" i="56" a="1"/>
  <c r="BH571" i="56"/>
  <c r="BH571" i="56" a="1"/>
  <c r="BG571" i="56" a="1"/>
  <c r="BG571" i="56" s="1"/>
  <c r="BF571" i="56"/>
  <c r="BF571" i="56" a="1"/>
  <c r="BE571" i="56"/>
  <c r="BE571" i="56" a="1"/>
  <c r="BD571" i="56"/>
  <c r="BD571" i="56" a="1"/>
  <c r="BC571" i="56" a="1"/>
  <c r="BC571" i="56" s="1"/>
  <c r="BB571" i="56"/>
  <c r="BA571" i="56"/>
  <c r="AZ571" i="56"/>
  <c r="AY571" i="56"/>
  <c r="AX571" i="56"/>
  <c r="AW571" i="56"/>
  <c r="AV571" i="56"/>
  <c r="AU571" i="56"/>
  <c r="AT571" i="56"/>
  <c r="AS571" i="56"/>
  <c r="AR571" i="56"/>
  <c r="AQ571" i="56"/>
  <c r="AP571" i="56"/>
  <c r="AO571" i="56"/>
  <c r="AN571" i="56"/>
  <c r="AM571" i="56"/>
  <c r="AL571" i="56"/>
  <c r="AK571" i="56"/>
  <c r="AJ571" i="56"/>
  <c r="AI571" i="56"/>
  <c r="AH571" i="56"/>
  <c r="BW570" i="56" a="1"/>
  <c r="BW570" i="56" s="1"/>
  <c r="BV570" i="56"/>
  <c r="BV570" i="56" a="1"/>
  <c r="BU570" i="56" a="1"/>
  <c r="BU570" i="56" s="1"/>
  <c r="BT570" i="56" a="1"/>
  <c r="BT570" i="56" s="1"/>
  <c r="BS570" i="56" a="1"/>
  <c r="BS570" i="56" s="1"/>
  <c r="BR570" i="56" a="1"/>
  <c r="BR570" i="56" s="1"/>
  <c r="BQ570" i="56" a="1"/>
  <c r="BQ570" i="56" s="1"/>
  <c r="BP570" i="56" a="1"/>
  <c r="BP570" i="56" s="1"/>
  <c r="BO570" i="56" a="1"/>
  <c r="BO570" i="56" s="1"/>
  <c r="BN570" i="56"/>
  <c r="BN570" i="56" a="1"/>
  <c r="BM570" i="56" a="1"/>
  <c r="BM570" i="56" s="1"/>
  <c r="BL570" i="56" a="1"/>
  <c r="BL570" i="56" s="1"/>
  <c r="BK570" i="56" a="1"/>
  <c r="BK570" i="56" s="1"/>
  <c r="BJ570" i="56" a="1"/>
  <c r="BJ570" i="56" s="1"/>
  <c r="BI570" i="56" a="1"/>
  <c r="BI570" i="56" s="1"/>
  <c r="BH570" i="56" a="1"/>
  <c r="BH570" i="56" s="1"/>
  <c r="BG570" i="56" a="1"/>
  <c r="BG570" i="56" s="1"/>
  <c r="BF570" i="56" a="1"/>
  <c r="BF570" i="56" s="1"/>
  <c r="BE570" i="56" a="1"/>
  <c r="BE570" i="56" s="1"/>
  <c r="BD570" i="56" a="1"/>
  <c r="BD570" i="56" s="1"/>
  <c r="BC570" i="56" a="1"/>
  <c r="BC570" i="56" s="1"/>
  <c r="BB570" i="56"/>
  <c r="BA570" i="56"/>
  <c r="AZ570" i="56"/>
  <c r="AY570" i="56"/>
  <c r="AX570" i="56"/>
  <c r="AW570" i="56"/>
  <c r="AV570" i="56"/>
  <c r="AU570" i="56"/>
  <c r="AT570" i="56"/>
  <c r="AS570" i="56"/>
  <c r="AR570" i="56"/>
  <c r="AQ570" i="56"/>
  <c r="AP570" i="56"/>
  <c r="AO570" i="56"/>
  <c r="AN570" i="56"/>
  <c r="AM570" i="56"/>
  <c r="AL570" i="56"/>
  <c r="AK570" i="56"/>
  <c r="AJ570" i="56"/>
  <c r="AI570" i="56"/>
  <c r="AH570" i="56"/>
  <c r="BW569" i="56"/>
  <c r="BW569" i="56" a="1"/>
  <c r="BV569" i="56" a="1"/>
  <c r="BV569" i="56" s="1"/>
  <c r="BU569" i="56"/>
  <c r="BU569" i="56" a="1"/>
  <c r="BT569" i="56"/>
  <c r="BT569" i="56" a="1"/>
  <c r="BS569" i="56"/>
  <c r="BS569" i="56" a="1"/>
  <c r="BR569" i="56" a="1"/>
  <c r="BR569" i="56" s="1"/>
  <c r="BQ569" i="56"/>
  <c r="BQ569" i="56" a="1"/>
  <c r="BP569" i="56"/>
  <c r="BP569" i="56" a="1"/>
  <c r="BO569" i="56"/>
  <c r="BO569" i="56" a="1"/>
  <c r="BN569" i="56" a="1"/>
  <c r="BN569" i="56" s="1"/>
  <c r="BM569" i="56"/>
  <c r="BM569" i="56" a="1"/>
  <c r="BL569" i="56"/>
  <c r="BL569" i="56" a="1"/>
  <c r="BK569" i="56"/>
  <c r="BK569" i="56" a="1"/>
  <c r="BJ569" i="56" a="1"/>
  <c r="BJ569" i="56" s="1"/>
  <c r="BI569" i="56"/>
  <c r="BI569" i="56" a="1"/>
  <c r="BH569" i="56"/>
  <c r="BH569" i="56" a="1"/>
  <c r="BG569" i="56"/>
  <c r="BG569" i="56" a="1"/>
  <c r="BF569" i="56" a="1"/>
  <c r="BF569" i="56" s="1"/>
  <c r="BE569" i="56"/>
  <c r="BE569" i="56" a="1"/>
  <c r="BD569" i="56"/>
  <c r="BD569" i="56" a="1"/>
  <c r="BC569" i="56"/>
  <c r="BC569" i="56" a="1"/>
  <c r="BB569" i="56"/>
  <c r="BA569" i="56"/>
  <c r="AZ569" i="56"/>
  <c r="AY569" i="56"/>
  <c r="AX569" i="56"/>
  <c r="AW569" i="56"/>
  <c r="AV569" i="56"/>
  <c r="AU569" i="56"/>
  <c r="AT569" i="56"/>
  <c r="AT575" i="56" s="1"/>
  <c r="AS569" i="56"/>
  <c r="AR569" i="56"/>
  <c r="AQ569" i="56"/>
  <c r="AP569" i="56"/>
  <c r="AO569" i="56"/>
  <c r="AN569" i="56"/>
  <c r="AM569" i="56"/>
  <c r="AL569" i="56"/>
  <c r="AK569" i="56"/>
  <c r="AJ569" i="56"/>
  <c r="AI569" i="56"/>
  <c r="AH569" i="56"/>
  <c r="BW568" i="56"/>
  <c r="BW568" i="56" a="1"/>
  <c r="BV568" i="56" a="1"/>
  <c r="BV568" i="56" s="1"/>
  <c r="BU568" i="56" a="1"/>
  <c r="BU568" i="56" s="1"/>
  <c r="BT568" i="56" a="1"/>
  <c r="BT568" i="56" s="1"/>
  <c r="BS568" i="56" a="1"/>
  <c r="BS568" i="56" s="1"/>
  <c r="BR568" i="56" a="1"/>
  <c r="BR568" i="56" s="1"/>
  <c r="BQ568" i="56" a="1"/>
  <c r="BQ568" i="56" s="1"/>
  <c r="BP568" i="56" a="1"/>
  <c r="BP568" i="56" s="1"/>
  <c r="BO568" i="56" a="1"/>
  <c r="BO568" i="56" s="1"/>
  <c r="BN568" i="56" a="1"/>
  <c r="BN568" i="56" s="1"/>
  <c r="BM568" i="56" a="1"/>
  <c r="BM568" i="56" s="1"/>
  <c r="BL568" i="56" a="1"/>
  <c r="BL568" i="56" s="1"/>
  <c r="BK568" i="56" a="1"/>
  <c r="BK568" i="56" s="1"/>
  <c r="BJ568" i="56" a="1"/>
  <c r="BJ568" i="56" s="1"/>
  <c r="BI568" i="56" a="1"/>
  <c r="BI568" i="56" s="1"/>
  <c r="BH568" i="56" a="1"/>
  <c r="BH568" i="56" s="1"/>
  <c r="BG568" i="56" a="1"/>
  <c r="BG568" i="56" s="1"/>
  <c r="BF568" i="56" a="1"/>
  <c r="BF568" i="56" s="1"/>
  <c r="BE568" i="56"/>
  <c r="BE568" i="56" a="1"/>
  <c r="BD568" i="56" a="1"/>
  <c r="BD568" i="56" s="1"/>
  <c r="BC568" i="56" a="1"/>
  <c r="BC568" i="56" s="1"/>
  <c r="BB568" i="56"/>
  <c r="BA568" i="56"/>
  <c r="AZ568" i="56"/>
  <c r="AY568" i="56"/>
  <c r="AX568" i="56"/>
  <c r="AW568" i="56"/>
  <c r="AV568" i="56"/>
  <c r="AU568" i="56"/>
  <c r="AT568" i="56"/>
  <c r="AS568" i="56"/>
  <c r="AR568" i="56"/>
  <c r="AQ568" i="56"/>
  <c r="AP568" i="56"/>
  <c r="AO568" i="56"/>
  <c r="AN568" i="56"/>
  <c r="AM568" i="56"/>
  <c r="AL568" i="56"/>
  <c r="AK568" i="56"/>
  <c r="AK575" i="56" s="1"/>
  <c r="AJ568" i="56"/>
  <c r="AI568" i="56"/>
  <c r="AH568" i="56"/>
  <c r="BW567" i="56"/>
  <c r="BW567" i="56" a="1"/>
  <c r="BV567" i="56"/>
  <c r="BV567" i="56" a="1"/>
  <c r="BU567" i="56" a="1"/>
  <c r="BU567" i="56" s="1"/>
  <c r="BT567" i="56"/>
  <c r="BT567" i="56" a="1"/>
  <c r="BS567" i="56"/>
  <c r="BS567" i="56" a="1"/>
  <c r="BR567" i="56"/>
  <c r="BR567" i="56" a="1"/>
  <c r="BQ567" i="56" a="1"/>
  <c r="BQ567" i="56" s="1"/>
  <c r="BP567" i="56"/>
  <c r="BP567" i="56" a="1"/>
  <c r="BO567" i="56"/>
  <c r="BO567" i="56" a="1"/>
  <c r="BN567" i="56"/>
  <c r="BN567" i="56" a="1"/>
  <c r="BM567" i="56" a="1"/>
  <c r="BM567" i="56" s="1"/>
  <c r="BL567" i="56"/>
  <c r="BL567" i="56" a="1"/>
  <c r="BK567" i="56"/>
  <c r="BK567" i="56" a="1"/>
  <c r="BJ567" i="56"/>
  <c r="BJ567" i="56" a="1"/>
  <c r="BI567" i="56" a="1"/>
  <c r="BI567" i="56" s="1"/>
  <c r="BH567" i="56"/>
  <c r="BH567" i="56" a="1"/>
  <c r="BG567" i="56"/>
  <c r="BG567" i="56" a="1"/>
  <c r="BF567" i="56"/>
  <c r="BF567" i="56" a="1"/>
  <c r="BE567" i="56" a="1"/>
  <c r="BE567" i="56" s="1"/>
  <c r="BD567" i="56"/>
  <c r="BD567" i="56" a="1"/>
  <c r="BC567" i="56"/>
  <c r="BC567" i="56" a="1"/>
  <c r="BB567" i="56"/>
  <c r="BA567" i="56"/>
  <c r="AZ567" i="56"/>
  <c r="AY567" i="56"/>
  <c r="AX567" i="56"/>
  <c r="AW567" i="56"/>
  <c r="AV567" i="56"/>
  <c r="AU567" i="56"/>
  <c r="AT567" i="56"/>
  <c r="AS567" i="56"/>
  <c r="AR567" i="56"/>
  <c r="AQ567" i="56"/>
  <c r="AQ575" i="56" s="1"/>
  <c r="AP567" i="56"/>
  <c r="AO567" i="56"/>
  <c r="AN567" i="56"/>
  <c r="AM567" i="56"/>
  <c r="AL567" i="56"/>
  <c r="AK567" i="56"/>
  <c r="AJ567" i="56"/>
  <c r="AJ575" i="56" s="1"/>
  <c r="AI567" i="56"/>
  <c r="AH567" i="56"/>
  <c r="AH575" i="56" s="1"/>
  <c r="BN560" i="56" a="1"/>
  <c r="BN560" i="56" s="1"/>
  <c r="BM560" i="56"/>
  <c r="BM560" i="56" a="1"/>
  <c r="BL560" i="56"/>
  <c r="BL560" i="56" a="1"/>
  <c r="BK560" i="56"/>
  <c r="BK560" i="56" a="1"/>
  <c r="BJ560" i="56" a="1"/>
  <c r="BJ560" i="56" s="1"/>
  <c r="BI560" i="56"/>
  <c r="BI560" i="56" a="1"/>
  <c r="BH560" i="56"/>
  <c r="BH560" i="56" a="1"/>
  <c r="BG560" i="56"/>
  <c r="BG560" i="56" a="1"/>
  <c r="BF560" i="56" a="1"/>
  <c r="BF560" i="56" s="1"/>
  <c r="BE560" i="56"/>
  <c r="BE560" i="56" a="1"/>
  <c r="BD560" i="56"/>
  <c r="BD560" i="56" a="1"/>
  <c r="BC560" i="56"/>
  <c r="BC560" i="56" a="1"/>
  <c r="BB560" i="56" a="1"/>
  <c r="BB560" i="56" s="1"/>
  <c r="BA560" i="56" a="1"/>
  <c r="BA560" i="56" s="1"/>
  <c r="AZ560" i="56"/>
  <c r="AZ560" i="56" a="1"/>
  <c r="AY560" i="56"/>
  <c r="AX560" i="56"/>
  <c r="AW560" i="56"/>
  <c r="AV560" i="56"/>
  <c r="AU560" i="56"/>
  <c r="AT560" i="56"/>
  <c r="AS560" i="56"/>
  <c r="AR560" i="56"/>
  <c r="AQ560" i="56"/>
  <c r="AP560" i="56"/>
  <c r="AO560" i="56"/>
  <c r="AN560" i="56"/>
  <c r="AM560" i="56"/>
  <c r="AL560" i="56"/>
  <c r="AK560" i="56"/>
  <c r="BN559" i="56" a="1"/>
  <c r="BN559" i="56" s="1"/>
  <c r="BM559" i="56" a="1"/>
  <c r="BM559" i="56" s="1"/>
  <c r="BL559" i="56" a="1"/>
  <c r="BL559" i="56" s="1"/>
  <c r="BK559" i="56"/>
  <c r="BK559" i="56" a="1"/>
  <c r="BJ559" i="56" a="1"/>
  <c r="BJ559" i="56" s="1"/>
  <c r="BI559" i="56" a="1"/>
  <c r="BI559" i="56" s="1"/>
  <c r="BH559" i="56" a="1"/>
  <c r="BH559" i="56" s="1"/>
  <c r="BG559" i="56"/>
  <c r="BG559" i="56" a="1"/>
  <c r="BF559" i="56" a="1"/>
  <c r="BF559" i="56" s="1"/>
  <c r="BE559" i="56" a="1"/>
  <c r="BE559" i="56" s="1"/>
  <c r="BD559" i="56" a="1"/>
  <c r="BD559" i="56" s="1"/>
  <c r="BC559" i="56" a="1"/>
  <c r="BC559" i="56" s="1"/>
  <c r="BB559" i="56" a="1"/>
  <c r="BB559" i="56" s="1"/>
  <c r="BA559" i="56"/>
  <c r="BA559" i="56" a="1"/>
  <c r="AZ559" i="56" a="1"/>
  <c r="AZ559" i="56" s="1"/>
  <c r="AY559" i="56"/>
  <c r="AX559" i="56"/>
  <c r="AW559" i="56"/>
  <c r="AV559" i="56"/>
  <c r="AU559" i="56"/>
  <c r="AT559" i="56"/>
  <c r="AS559" i="56"/>
  <c r="AR559" i="56"/>
  <c r="AQ559" i="56"/>
  <c r="AP559" i="56"/>
  <c r="AO559" i="56"/>
  <c r="AN559" i="56"/>
  <c r="AN561" i="56" s="1"/>
  <c r="AM559" i="56"/>
  <c r="AM561" i="56" s="1"/>
  <c r="AL559" i="56"/>
  <c r="AK559" i="56"/>
  <c r="BN558" i="56" a="1"/>
  <c r="BN558" i="56" s="1"/>
  <c r="BM558" i="56"/>
  <c r="BM558" i="56" a="1"/>
  <c r="BL558" i="56"/>
  <c r="BL558" i="56" a="1"/>
  <c r="BK558" i="56"/>
  <c r="BK558" i="56" a="1"/>
  <c r="BJ558" i="56" a="1"/>
  <c r="BJ558" i="56" s="1"/>
  <c r="BI558" i="56"/>
  <c r="BI558" i="56" a="1"/>
  <c r="BH558" i="56"/>
  <c r="BH558" i="56" a="1"/>
  <c r="BG558" i="56" a="1"/>
  <c r="BG558" i="56" s="1"/>
  <c r="BF558" i="56" a="1"/>
  <c r="BF558" i="56" s="1"/>
  <c r="BE558" i="56"/>
  <c r="BE558" i="56" a="1"/>
  <c r="BD558" i="56"/>
  <c r="BD558" i="56" a="1"/>
  <c r="BC558" i="56" a="1"/>
  <c r="BC558" i="56" s="1"/>
  <c r="BB558" i="56" a="1"/>
  <c r="BB558" i="56" s="1"/>
  <c r="BA558" i="56"/>
  <c r="BA558" i="56" a="1"/>
  <c r="AZ558" i="56"/>
  <c r="AZ558" i="56" a="1"/>
  <c r="AY558" i="56"/>
  <c r="AX558" i="56"/>
  <c r="AW558" i="56"/>
  <c r="AV558" i="56"/>
  <c r="AU558" i="56"/>
  <c r="AT558" i="56"/>
  <c r="AS558" i="56"/>
  <c r="AR558" i="56"/>
  <c r="AQ558" i="56"/>
  <c r="AP558" i="56"/>
  <c r="AO558" i="56"/>
  <c r="AN558" i="56"/>
  <c r="AM558" i="56"/>
  <c r="AL558" i="56"/>
  <c r="AK558" i="56"/>
  <c r="BN557" i="56" a="1"/>
  <c r="BN557" i="56" s="1"/>
  <c r="BM557" i="56" a="1"/>
  <c r="BM557" i="56" s="1"/>
  <c r="BL557" i="56"/>
  <c r="BL557" i="56" a="1"/>
  <c r="BK557" i="56" a="1"/>
  <c r="BK557" i="56" s="1"/>
  <c r="BJ557" i="56" a="1"/>
  <c r="BJ557" i="56" s="1"/>
  <c r="BI557" i="56" a="1"/>
  <c r="BI557" i="56" s="1"/>
  <c r="BH557" i="56" a="1"/>
  <c r="BH557" i="56" s="1"/>
  <c r="BG557" i="56" a="1"/>
  <c r="BG557" i="56" s="1"/>
  <c r="BF557" i="56"/>
  <c r="BF557" i="56" a="1"/>
  <c r="BE557" i="56" a="1"/>
  <c r="BE557" i="56" s="1"/>
  <c r="BD557" i="56" a="1"/>
  <c r="BD557" i="56" s="1"/>
  <c r="BC557" i="56" a="1"/>
  <c r="BC557" i="56" s="1"/>
  <c r="BB557" i="56" a="1"/>
  <c r="BB557" i="56" s="1"/>
  <c r="BA557" i="56" a="1"/>
  <c r="BA557" i="56" s="1"/>
  <c r="AZ557" i="56" a="1"/>
  <c r="AZ557" i="56" s="1"/>
  <c r="AY557" i="56"/>
  <c r="AX557" i="56"/>
  <c r="AW557" i="56"/>
  <c r="AV557" i="56"/>
  <c r="AU557" i="56"/>
  <c r="AT557" i="56"/>
  <c r="AS557" i="56"/>
  <c r="AR557" i="56"/>
  <c r="AQ557" i="56"/>
  <c r="AP557" i="56"/>
  <c r="AO557" i="56"/>
  <c r="AN557" i="56"/>
  <c r="AM557" i="56"/>
  <c r="AL557" i="56"/>
  <c r="AK557" i="56"/>
  <c r="BN556" i="56"/>
  <c r="BN556" i="56" a="1"/>
  <c r="BM556" i="56"/>
  <c r="BM556" i="56" a="1"/>
  <c r="BL556" i="56"/>
  <c r="BL556" i="56" a="1"/>
  <c r="BK556" i="56"/>
  <c r="BK556" i="56" a="1"/>
  <c r="BJ556" i="56"/>
  <c r="BJ556" i="56" a="1"/>
  <c r="BI556" i="56"/>
  <c r="BI556" i="56" a="1"/>
  <c r="BH556" i="56"/>
  <c r="BH556" i="56" a="1"/>
  <c r="BG556" i="56"/>
  <c r="BG556" i="56" a="1"/>
  <c r="BF556" i="56"/>
  <c r="BF556" i="56" a="1"/>
  <c r="BE556" i="56"/>
  <c r="BE556" i="56" a="1"/>
  <c r="BD556" i="56" a="1"/>
  <c r="BD556" i="56" s="1"/>
  <c r="BC556" i="56" a="1"/>
  <c r="BC556" i="56" s="1"/>
  <c r="BB556" i="56"/>
  <c r="BB556" i="56" a="1"/>
  <c r="BA556" i="56"/>
  <c r="BA556" i="56" a="1"/>
  <c r="AZ556" i="56" a="1"/>
  <c r="AZ556" i="56" s="1"/>
  <c r="AY556" i="56"/>
  <c r="AX556" i="56"/>
  <c r="AW556" i="56"/>
  <c r="AV556" i="56"/>
  <c r="AU556" i="56"/>
  <c r="AT556" i="56"/>
  <c r="AS556" i="56"/>
  <c r="AR556" i="56"/>
  <c r="AQ556" i="56"/>
  <c r="AP556" i="56"/>
  <c r="AO556" i="56"/>
  <c r="AN556" i="56"/>
  <c r="AM556" i="56"/>
  <c r="AL556" i="56"/>
  <c r="AK556" i="56"/>
  <c r="BN555" i="56" a="1"/>
  <c r="BN555" i="56" s="1"/>
  <c r="BM555" i="56"/>
  <c r="BM555" i="56" a="1"/>
  <c r="BL555" i="56" a="1"/>
  <c r="BL555" i="56" s="1"/>
  <c r="BK555" i="56" a="1"/>
  <c r="BK555" i="56" s="1"/>
  <c r="BJ555" i="56" a="1"/>
  <c r="BJ555" i="56" s="1"/>
  <c r="BI555" i="56" a="1"/>
  <c r="BI555" i="56" s="1"/>
  <c r="BH555" i="56" a="1"/>
  <c r="BH555" i="56" s="1"/>
  <c r="BG555" i="56" a="1"/>
  <c r="BG555" i="56" s="1"/>
  <c r="BF555" i="56" a="1"/>
  <c r="BF555" i="56" s="1"/>
  <c r="BE555" i="56" a="1"/>
  <c r="BE555" i="56" s="1"/>
  <c r="BD555" i="56" a="1"/>
  <c r="BD555" i="56" s="1"/>
  <c r="BC555" i="56" a="1"/>
  <c r="BC555" i="56" s="1"/>
  <c r="BB555" i="56" a="1"/>
  <c r="BB555" i="56" s="1"/>
  <c r="BA555" i="56" a="1"/>
  <c r="BA555" i="56" s="1"/>
  <c r="AZ555" i="56" a="1"/>
  <c r="AZ555" i="56" s="1"/>
  <c r="AY555" i="56"/>
  <c r="AX555" i="56"/>
  <c r="AW555" i="56"/>
  <c r="AV555" i="56"/>
  <c r="AV561" i="56" s="1"/>
  <c r="AU555" i="56"/>
  <c r="AT555" i="56"/>
  <c r="AS555" i="56"/>
  <c r="AR555" i="56"/>
  <c r="AQ555" i="56"/>
  <c r="AP555" i="56"/>
  <c r="AO555" i="56"/>
  <c r="AN555" i="56"/>
  <c r="AM555" i="56"/>
  <c r="AL555" i="56"/>
  <c r="AK555" i="56"/>
  <c r="BN554" i="56"/>
  <c r="BN554" i="56" a="1"/>
  <c r="BM554" i="56"/>
  <c r="BM554" i="56" a="1"/>
  <c r="BL554" i="56" a="1"/>
  <c r="BL554" i="56" s="1"/>
  <c r="BK554" i="56"/>
  <c r="BK554" i="56" a="1"/>
  <c r="BJ554" i="56"/>
  <c r="BJ554" i="56" a="1"/>
  <c r="BI554" i="56"/>
  <c r="BI554" i="56" a="1"/>
  <c r="BH554" i="56" a="1"/>
  <c r="BH554" i="56" s="1"/>
  <c r="BG554" i="56"/>
  <c r="BG554" i="56" a="1"/>
  <c r="BF554" i="56"/>
  <c r="BF554" i="56" a="1"/>
  <c r="BE554" i="56" a="1"/>
  <c r="BE554" i="56" s="1"/>
  <c r="BD554" i="56" a="1"/>
  <c r="BD554" i="56" s="1"/>
  <c r="BC554" i="56"/>
  <c r="BC554" i="56" a="1"/>
  <c r="BB554" i="56"/>
  <c r="BB554" i="56" a="1"/>
  <c r="BA554" i="56" a="1"/>
  <c r="BA554" i="56" s="1"/>
  <c r="AZ554" i="56" a="1"/>
  <c r="AZ554" i="56" s="1"/>
  <c r="AY554" i="56"/>
  <c r="AY561" i="56" s="1"/>
  <c r="AX554" i="56"/>
  <c r="AW554" i="56"/>
  <c r="AV554" i="56"/>
  <c r="AU554" i="56"/>
  <c r="AT554" i="56"/>
  <c r="AS554" i="56"/>
  <c r="AR554" i="56"/>
  <c r="AQ554" i="56"/>
  <c r="AP554" i="56"/>
  <c r="AO554" i="56"/>
  <c r="AN554" i="56"/>
  <c r="AM554" i="56"/>
  <c r="AL554" i="56"/>
  <c r="AK554" i="56"/>
  <c r="BN553" i="56"/>
  <c r="BN553" i="56" a="1"/>
  <c r="BM553" i="56" a="1"/>
  <c r="BM553" i="56" s="1"/>
  <c r="BL553" i="56" a="1"/>
  <c r="BL553" i="56" s="1"/>
  <c r="BK553" i="56" a="1"/>
  <c r="BK553" i="56" s="1"/>
  <c r="BJ553" i="56"/>
  <c r="BJ553" i="56" a="1"/>
  <c r="BI553" i="56" a="1"/>
  <c r="BI553" i="56" s="1"/>
  <c r="BH553" i="56" a="1"/>
  <c r="BH553" i="56" s="1"/>
  <c r="BG553" i="56" a="1"/>
  <c r="BG553" i="56" s="1"/>
  <c r="BF553" i="56" a="1"/>
  <c r="BF553" i="56" s="1"/>
  <c r="BE553" i="56" a="1"/>
  <c r="BE553" i="56" s="1"/>
  <c r="BD553" i="56" a="1"/>
  <c r="BD553" i="56" s="1"/>
  <c r="BC553" i="56" a="1"/>
  <c r="BC553" i="56" s="1"/>
  <c r="BB553" i="56" a="1"/>
  <c r="BB553" i="56" s="1"/>
  <c r="BA553" i="56" a="1"/>
  <c r="BA553" i="56" s="1"/>
  <c r="AZ553" i="56" a="1"/>
  <c r="AZ553" i="56" s="1"/>
  <c r="BB561" i="56" s="1"/>
  <c r="AY553" i="56"/>
  <c r="AX553" i="56"/>
  <c r="AW553" i="56"/>
  <c r="AW561" i="56" s="1"/>
  <c r="AV553" i="56"/>
  <c r="AU553" i="56"/>
  <c r="AT553" i="56"/>
  <c r="AS553" i="56"/>
  <c r="AR553" i="56"/>
  <c r="AQ553" i="56"/>
  <c r="AP553" i="56"/>
  <c r="AP561" i="56" s="1"/>
  <c r="AO553" i="56"/>
  <c r="AN553" i="56"/>
  <c r="AM553" i="56"/>
  <c r="AL553" i="56"/>
  <c r="AK553" i="56"/>
  <c r="AH553" i="56"/>
  <c r="AG561" i="56"/>
  <c r="AM977" i="44" l="1"/>
  <c r="AM978" i="44" s="1"/>
  <c r="AN942" i="44"/>
  <c r="AJ812" i="44"/>
  <c r="AI977" i="44" s="1"/>
  <c r="AN816" i="44"/>
  <c r="AN829" i="44"/>
  <c r="AN841" i="44"/>
  <c r="AN875" i="44"/>
  <c r="AN878" i="44"/>
  <c r="AN896" i="44"/>
  <c r="AH812" i="44"/>
  <c r="AH977" i="44" s="1"/>
  <c r="AV742" i="44"/>
  <c r="AG790" i="44"/>
  <c r="AY713" i="44"/>
  <c r="AY721" i="44" s="1"/>
  <c r="AN722" i="44"/>
  <c r="AL723" i="44" s="1"/>
  <c r="AM713" i="44"/>
  <c r="AM721" i="44" s="1"/>
  <c r="AW707" i="44"/>
  <c r="AM699" i="44"/>
  <c r="AM707" i="44" s="1"/>
  <c r="AH707" i="44"/>
  <c r="CC707" i="44"/>
  <c r="AN685" i="44"/>
  <c r="AN693" i="44" s="1"/>
  <c r="AZ685" i="44"/>
  <c r="AZ693" i="44" s="1"/>
  <c r="AW685" i="44"/>
  <c r="AW693" i="44" s="1"/>
  <c r="AT685" i="44"/>
  <c r="AT693" i="44" s="1"/>
  <c r="AQ685" i="44"/>
  <c r="AQ693" i="44" s="1"/>
  <c r="BR693" i="44"/>
  <c r="AK685" i="44"/>
  <c r="AK693" i="44" s="1"/>
  <c r="AM641" i="44"/>
  <c r="AM649" i="44" s="1"/>
  <c r="AV641" i="44"/>
  <c r="AV649" i="44" s="1"/>
  <c r="AT649" i="44"/>
  <c r="AN649" i="44"/>
  <c r="AJ641" i="44"/>
  <c r="AJ649" i="44" s="1"/>
  <c r="AH693" i="44"/>
  <c r="AF621" i="44"/>
  <c r="B629" i="44" s="1"/>
  <c r="AL621" i="44"/>
  <c r="AF649" i="44"/>
  <c r="B669" i="44" s="1"/>
  <c r="AG649" i="44"/>
  <c r="B671" i="44" s="1"/>
  <c r="AU560" i="44"/>
  <c r="AL560" i="44"/>
  <c r="AL561" i="44" s="1"/>
  <c r="B567" i="44" s="1"/>
  <c r="AF518" i="44"/>
  <c r="AU454" i="44"/>
  <c r="AL454" i="44"/>
  <c r="AL455" i="44" s="1"/>
  <c r="B461" i="44" s="1"/>
  <c r="AF446" i="44"/>
  <c r="AF402" i="44"/>
  <c r="B410" i="44" s="1"/>
  <c r="AG402" i="44"/>
  <c r="B406" i="44" s="1"/>
  <c r="AF379" i="44"/>
  <c r="AH379" i="44"/>
  <c r="B385" i="44" s="1"/>
  <c r="AG379" i="44"/>
  <c r="B383" i="44" s="1"/>
  <c r="AQ289" i="44"/>
  <c r="B305" i="44" s="1"/>
  <c r="AH402" i="44"/>
  <c r="B408" i="44" s="1"/>
  <c r="AI476" i="44"/>
  <c r="AH448" i="44"/>
  <c r="AG207" i="44"/>
  <c r="AG97" i="44"/>
  <c r="AG127" i="44" s="1"/>
  <c r="AI738" i="56"/>
  <c r="B747" i="56" s="1"/>
  <c r="AN715" i="56"/>
  <c r="AF680" i="56"/>
  <c r="B690" i="56" s="1"/>
  <c r="AF621" i="56"/>
  <c r="BC693" i="44"/>
  <c r="BB707" i="44"/>
  <c r="AY707" i="44"/>
  <c r="AV707" i="44"/>
  <c r="AJ707" i="44"/>
  <c r="AN707" i="44"/>
  <c r="AS707" i="44"/>
  <c r="AZ707" i="44"/>
  <c r="AQ649" i="44"/>
  <c r="AV655" i="44"/>
  <c r="AV663" i="44" s="1"/>
  <c r="AT663" i="44"/>
  <c r="AN664" i="44" s="1"/>
  <c r="AP655" i="44"/>
  <c r="AP663" i="44" s="1"/>
  <c r="AS655" i="44"/>
  <c r="AS663" i="44" s="1"/>
  <c r="AM655" i="44"/>
  <c r="AM663" i="44" s="1"/>
  <c r="AY655" i="44"/>
  <c r="AY663" i="44" s="1"/>
  <c r="AS649" i="44"/>
  <c r="AP649" i="44"/>
  <c r="CG827" i="44"/>
  <c r="AG693" i="44"/>
  <c r="AY649" i="44"/>
  <c r="AP535" i="44"/>
  <c r="AL535" i="44"/>
  <c r="AN535" i="44"/>
  <c r="AL534" i="44"/>
  <c r="AL536" i="44" s="1"/>
  <c r="AL519" i="44"/>
  <c r="AN519" i="44"/>
  <c r="AL484" i="44"/>
  <c r="AN429" i="44"/>
  <c r="AL429" i="44"/>
  <c r="AN380" i="44"/>
  <c r="AP404" i="44"/>
  <c r="AN404" i="44"/>
  <c r="AL404" i="44"/>
  <c r="AL403" i="44"/>
  <c r="AI322" i="44"/>
  <c r="AZ322" i="44"/>
  <c r="AU334" i="44"/>
  <c r="AU335" i="44" s="1"/>
  <c r="AH237" i="44"/>
  <c r="AF237" i="44"/>
  <c r="AF127" i="44"/>
  <c r="AV786" i="56"/>
  <c r="AP786" i="56"/>
  <c r="AP762" i="56"/>
  <c r="AP740" i="56"/>
  <c r="AN740" i="56"/>
  <c r="AL740" i="56"/>
  <c r="AL739" i="56"/>
  <c r="CI652" i="56"/>
  <c r="AN653" i="56"/>
  <c r="BK652" i="56"/>
  <c r="AL653" i="56"/>
  <c r="CC621" i="56"/>
  <c r="BH621" i="56"/>
  <c r="AN622" i="56"/>
  <c r="BN561" i="56"/>
  <c r="BW575" i="56"/>
  <c r="BW589" i="56"/>
  <c r="BW590" i="56" s="1"/>
  <c r="AY575" i="56"/>
  <c r="AZ575" i="56"/>
  <c r="AS575" i="56"/>
  <c r="AL576" i="56" s="1"/>
  <c r="AH589" i="56"/>
  <c r="AN590" i="56"/>
  <c r="AP575" i="56"/>
  <c r="AK561" i="56"/>
  <c r="AS561" i="56"/>
  <c r="AL562" i="56" s="1"/>
  <c r="BB575" i="56"/>
  <c r="AY589" i="56"/>
  <c r="AQ561" i="56"/>
  <c r="AM575" i="56"/>
  <c r="AJ589" i="56"/>
  <c r="AT561" i="56"/>
  <c r="AN575" i="56"/>
  <c r="AW575" i="56"/>
  <c r="AS589" i="56"/>
  <c r="AN977" i="44" l="1"/>
  <c r="AN708" i="44"/>
  <c r="AL709" i="44" s="1"/>
  <c r="AP723" i="44"/>
  <c r="AL722" i="44"/>
  <c r="AN723" i="44"/>
  <c r="AL708" i="44"/>
  <c r="CC722" i="44"/>
  <c r="AL694" i="44"/>
  <c r="AN694" i="44"/>
  <c r="AN695" i="44" s="1"/>
  <c r="AN650" i="44"/>
  <c r="AN666" i="44" s="1"/>
  <c r="AL650" i="44"/>
  <c r="AI583" i="44"/>
  <c r="AG237" i="44"/>
  <c r="AL664" i="44"/>
  <c r="AP709" i="44"/>
  <c r="AN709" i="44"/>
  <c r="AL651" i="44"/>
  <c r="AP651" i="44"/>
  <c r="AN651" i="44"/>
  <c r="AP665" i="44"/>
  <c r="AN665" i="44"/>
  <c r="AL665" i="44"/>
  <c r="AP520" i="44"/>
  <c r="AN520" i="44"/>
  <c r="AL520" i="44"/>
  <c r="AN536" i="44"/>
  <c r="AP430" i="44"/>
  <c r="AN430" i="44"/>
  <c r="AL430" i="44"/>
  <c r="B435" i="44" s="1"/>
  <c r="AP381" i="44"/>
  <c r="AN381" i="44"/>
  <c r="AL381" i="44"/>
  <c r="AH127" i="44"/>
  <c r="AP654" i="56"/>
  <c r="AN654" i="56"/>
  <c r="AL654" i="56"/>
  <c r="AP623" i="56"/>
  <c r="AN623" i="56"/>
  <c r="AL623" i="56"/>
  <c r="AN576" i="56"/>
  <c r="AL590" i="56"/>
  <c r="AL592" i="56" s="1"/>
  <c r="AN562" i="56"/>
  <c r="AN592" i="56"/>
  <c r="AN591" i="56"/>
  <c r="AL591" i="56"/>
  <c r="AP591" i="56"/>
  <c r="AL724" i="44" l="1"/>
  <c r="AN724" i="44"/>
  <c r="AL725" i="44" s="1"/>
  <c r="AL695" i="44"/>
  <c r="AP695" i="44"/>
  <c r="AL666" i="44"/>
  <c r="AP667" i="44"/>
  <c r="AN667" i="44"/>
  <c r="AL667" i="44"/>
  <c r="AP537" i="44"/>
  <c r="AN537" i="44"/>
  <c r="AL537" i="44"/>
  <c r="B540" i="44" s="1"/>
  <c r="AP593" i="56"/>
  <c r="AN593" i="56"/>
  <c r="AL593" i="56"/>
  <c r="AL563" i="56"/>
  <c r="AP563" i="56"/>
  <c r="AN563" i="56"/>
  <c r="AN577" i="56"/>
  <c r="AP577" i="56"/>
  <c r="AL577" i="56"/>
  <c r="AN725" i="44" l="1"/>
  <c r="AP725" i="44"/>
  <c r="B209" i="53"/>
  <c r="B208" i="53"/>
  <c r="B207" i="53"/>
  <c r="B206" i="53"/>
  <c r="B203" i="53"/>
  <c r="AH166" i="53"/>
  <c r="AG166" i="53"/>
  <c r="AF166" i="53"/>
  <c r="B152" i="53"/>
  <c r="B151" i="53"/>
  <c r="B150" i="53"/>
  <c r="B149" i="53"/>
  <c r="B146" i="53"/>
  <c r="Y143" i="53"/>
  <c r="AG109" i="53"/>
  <c r="AF109" i="53"/>
  <c r="AH109" i="53"/>
  <c r="B97" i="53"/>
  <c r="B96" i="53"/>
  <c r="B95" i="53"/>
  <c r="B94" i="53"/>
  <c r="B93" i="53"/>
  <c r="B92" i="53"/>
  <c r="B89" i="53"/>
  <c r="AG85" i="53"/>
  <c r="AG84" i="53"/>
  <c r="AF84" i="53"/>
  <c r="B70" i="53"/>
  <c r="B68" i="53"/>
  <c r="B64" i="53"/>
  <c r="AH54" i="53"/>
  <c r="AG54" i="53"/>
  <c r="B67" i="53" s="1"/>
  <c r="AF54" i="53"/>
  <c r="B46" i="53"/>
  <c r="B42" i="53"/>
  <c r="AL37" i="53" a="1"/>
  <c r="AL37" i="53" s="1"/>
  <c r="AF37" i="53"/>
  <c r="D783" i="44"/>
  <c r="D784" i="44"/>
  <c r="D785" i="44"/>
  <c r="D786" i="44"/>
  <c r="D787" i="44"/>
  <c r="D788" i="44"/>
  <c r="D789" i="44"/>
  <c r="D782" i="44"/>
  <c r="D714" i="44"/>
  <c r="D715" i="44"/>
  <c r="D716" i="44"/>
  <c r="D717" i="44"/>
  <c r="D718" i="44"/>
  <c r="D719" i="44"/>
  <c r="D720" i="44"/>
  <c r="D713" i="44"/>
  <c r="D700" i="44"/>
  <c r="D701" i="44"/>
  <c r="D702" i="44"/>
  <c r="D703" i="44"/>
  <c r="D704" i="44"/>
  <c r="D705" i="44"/>
  <c r="D706" i="44"/>
  <c r="D699" i="44"/>
  <c r="D686" i="44"/>
  <c r="D687" i="44"/>
  <c r="D688" i="44"/>
  <c r="D689" i="44"/>
  <c r="D690" i="44"/>
  <c r="D691" i="44"/>
  <c r="D692" i="44"/>
  <c r="D656" i="44"/>
  <c r="D657" i="44"/>
  <c r="D658" i="44"/>
  <c r="D659" i="44"/>
  <c r="D660" i="44"/>
  <c r="D661" i="44"/>
  <c r="D662" i="44"/>
  <c r="D655" i="44"/>
  <c r="D642" i="44"/>
  <c r="D643" i="44"/>
  <c r="D644" i="44"/>
  <c r="D645" i="44"/>
  <c r="D646" i="44"/>
  <c r="D647" i="44"/>
  <c r="D648" i="44"/>
  <c r="D614" i="44"/>
  <c r="D615" i="44"/>
  <c r="D616" i="44"/>
  <c r="D617" i="44"/>
  <c r="D618" i="44"/>
  <c r="D619" i="44"/>
  <c r="D620" i="44"/>
  <c r="D613" i="44"/>
  <c r="D511" i="44"/>
  <c r="D512" i="44"/>
  <c r="D513" i="44"/>
  <c r="D514" i="44"/>
  <c r="D515" i="44"/>
  <c r="D516" i="44"/>
  <c r="D517" i="44"/>
  <c r="D510" i="44"/>
  <c r="D421" i="44"/>
  <c r="D422" i="44"/>
  <c r="D423" i="44"/>
  <c r="D424" i="44"/>
  <c r="D425" i="44"/>
  <c r="D426" i="44"/>
  <c r="D427" i="44"/>
  <c r="D420" i="44"/>
  <c r="D395" i="44"/>
  <c r="D396" i="44"/>
  <c r="D397" i="44"/>
  <c r="D398" i="44"/>
  <c r="D399" i="44"/>
  <c r="D400" i="44"/>
  <c r="D401" i="44"/>
  <c r="D394" i="44"/>
  <c r="D372" i="44"/>
  <c r="D373" i="44"/>
  <c r="D374" i="44"/>
  <c r="D375" i="44"/>
  <c r="D376" i="44"/>
  <c r="D377" i="44"/>
  <c r="D378" i="44"/>
  <c r="D371" i="44"/>
  <c r="D282" i="44"/>
  <c r="D283" i="44"/>
  <c r="D284" i="44"/>
  <c r="D285" i="44"/>
  <c r="D286" i="44"/>
  <c r="D287" i="44"/>
  <c r="D288" i="44"/>
  <c r="D281" i="44"/>
  <c r="D166" i="44"/>
  <c r="D167" i="44"/>
  <c r="D168" i="44"/>
  <c r="D169" i="44"/>
  <c r="D170" i="44"/>
  <c r="D171" i="44"/>
  <c r="D172" i="44"/>
  <c r="D165" i="44"/>
  <c r="D71" i="44"/>
  <c r="D72" i="44"/>
  <c r="D73" i="44"/>
  <c r="D74" i="44"/>
  <c r="D75" i="44"/>
  <c r="D76" i="44"/>
  <c r="D77" i="44"/>
  <c r="D70" i="44"/>
  <c r="D30" i="44"/>
  <c r="D31" i="44"/>
  <c r="D32" i="44"/>
  <c r="D33" i="44"/>
  <c r="D34" i="44"/>
  <c r="D35" i="44"/>
  <c r="D36" i="44"/>
  <c r="D29" i="44"/>
  <c r="D779" i="56"/>
  <c r="D780" i="56"/>
  <c r="D781" i="56"/>
  <c r="D782" i="56"/>
  <c r="D783" i="56"/>
  <c r="D784" i="56"/>
  <c r="D785" i="56"/>
  <c r="D778" i="56"/>
  <c r="D755" i="56"/>
  <c r="D756" i="56"/>
  <c r="D757" i="56"/>
  <c r="D758" i="56"/>
  <c r="D759" i="56"/>
  <c r="D760" i="56"/>
  <c r="D761" i="56"/>
  <c r="D754" i="56"/>
  <c r="D731" i="56"/>
  <c r="D732" i="56"/>
  <c r="D733" i="56"/>
  <c r="D734" i="56"/>
  <c r="D735" i="56"/>
  <c r="D736" i="56"/>
  <c r="D737" i="56"/>
  <c r="D730" i="56"/>
  <c r="D708" i="56"/>
  <c r="D709" i="56"/>
  <c r="D710" i="56"/>
  <c r="D711" i="56"/>
  <c r="D712" i="56"/>
  <c r="D713" i="56"/>
  <c r="D714" i="56"/>
  <c r="D707" i="56"/>
  <c r="D673" i="56"/>
  <c r="D674" i="56"/>
  <c r="D675" i="56"/>
  <c r="D676" i="56"/>
  <c r="D677" i="56"/>
  <c r="D678" i="56"/>
  <c r="D679" i="56"/>
  <c r="D672" i="56"/>
  <c r="D645" i="56"/>
  <c r="D646" i="56"/>
  <c r="D647" i="56"/>
  <c r="D648" i="56"/>
  <c r="D649" i="56"/>
  <c r="D650" i="56"/>
  <c r="D651" i="56"/>
  <c r="D644" i="56"/>
  <c r="D614" i="56"/>
  <c r="D615" i="56"/>
  <c r="D616" i="56"/>
  <c r="D617" i="56"/>
  <c r="D618" i="56"/>
  <c r="D619" i="56"/>
  <c r="D620" i="56"/>
  <c r="D613" i="56"/>
  <c r="D582" i="56"/>
  <c r="D583" i="56"/>
  <c r="D584" i="56"/>
  <c r="D585" i="56"/>
  <c r="D586" i="56"/>
  <c r="D587" i="56"/>
  <c r="D588" i="56"/>
  <c r="D581" i="56"/>
  <c r="D568" i="56"/>
  <c r="D569" i="56"/>
  <c r="D570" i="56"/>
  <c r="D571" i="56"/>
  <c r="D572" i="56"/>
  <c r="D573" i="56"/>
  <c r="D574" i="56"/>
  <c r="D567" i="56"/>
  <c r="D554" i="56"/>
  <c r="D555" i="56"/>
  <c r="D556" i="56"/>
  <c r="D557" i="56"/>
  <c r="D558" i="56"/>
  <c r="D559" i="56"/>
  <c r="D560" i="56"/>
  <c r="D553" i="56"/>
  <c r="D524" i="56"/>
  <c r="D525" i="56"/>
  <c r="D526" i="56"/>
  <c r="D527" i="56"/>
  <c r="D528" i="56"/>
  <c r="D529" i="56"/>
  <c r="D530" i="56"/>
  <c r="D523" i="56"/>
  <c r="D510" i="56"/>
  <c r="D511" i="56"/>
  <c r="D512" i="56"/>
  <c r="D513" i="56"/>
  <c r="D514" i="56"/>
  <c r="D515" i="56"/>
  <c r="D516" i="56"/>
  <c r="D509" i="56"/>
  <c r="D480" i="56"/>
  <c r="D481" i="56"/>
  <c r="D482" i="56"/>
  <c r="D483" i="56"/>
  <c r="D484" i="56"/>
  <c r="D485" i="56"/>
  <c r="D486" i="56"/>
  <c r="D479" i="56"/>
  <c r="D466" i="56"/>
  <c r="D467" i="56"/>
  <c r="D468" i="56"/>
  <c r="D469" i="56"/>
  <c r="D470" i="56"/>
  <c r="D471" i="56"/>
  <c r="D472" i="56"/>
  <c r="D465" i="56"/>
  <c r="D436" i="56"/>
  <c r="D437" i="56"/>
  <c r="D438" i="56"/>
  <c r="D439" i="56"/>
  <c r="D440" i="56"/>
  <c r="D441" i="56"/>
  <c r="D442" i="56"/>
  <c r="D435" i="56"/>
  <c r="D422" i="56"/>
  <c r="D423" i="56"/>
  <c r="D424" i="56"/>
  <c r="D425" i="56"/>
  <c r="D426" i="56"/>
  <c r="D427" i="56"/>
  <c r="D428" i="56"/>
  <c r="D421" i="56"/>
  <c r="D392" i="56"/>
  <c r="D393" i="56"/>
  <c r="D394" i="56"/>
  <c r="D395" i="56"/>
  <c r="D396" i="56"/>
  <c r="D397" i="56"/>
  <c r="D398" i="56"/>
  <c r="D391" i="56"/>
  <c r="D377" i="56"/>
  <c r="D378" i="56"/>
  <c r="D379" i="56"/>
  <c r="D380" i="56"/>
  <c r="D381" i="56"/>
  <c r="D382" i="56"/>
  <c r="D383" i="56"/>
  <c r="D376" i="56"/>
  <c r="D342" i="56"/>
  <c r="D343" i="56"/>
  <c r="D344" i="56"/>
  <c r="D345" i="56"/>
  <c r="D346" i="56"/>
  <c r="D347" i="56"/>
  <c r="D348" i="56"/>
  <c r="D341" i="56"/>
  <c r="D316" i="56"/>
  <c r="D317" i="56"/>
  <c r="D318" i="56"/>
  <c r="D319" i="56"/>
  <c r="D320" i="56"/>
  <c r="D321" i="56"/>
  <c r="D322" i="56"/>
  <c r="D315" i="56"/>
  <c r="D287" i="56"/>
  <c r="D288" i="56"/>
  <c r="D289" i="56"/>
  <c r="D290" i="56"/>
  <c r="D291" i="56"/>
  <c r="D292" i="56"/>
  <c r="D293" i="56"/>
  <c r="D286" i="56"/>
  <c r="D273" i="56"/>
  <c r="D274" i="56"/>
  <c r="D275" i="56"/>
  <c r="D276" i="56"/>
  <c r="D277" i="56"/>
  <c r="D278" i="56"/>
  <c r="D279" i="56"/>
  <c r="D272" i="56"/>
  <c r="D243" i="56"/>
  <c r="D244" i="56"/>
  <c r="D245" i="56"/>
  <c r="D246" i="56"/>
  <c r="D247" i="56"/>
  <c r="D248" i="56"/>
  <c r="D249" i="56"/>
  <c r="D242" i="56"/>
  <c r="D228" i="56"/>
  <c r="D229" i="56"/>
  <c r="D230" i="56"/>
  <c r="D231" i="56"/>
  <c r="D232" i="56"/>
  <c r="D233" i="56"/>
  <c r="D234" i="56"/>
  <c r="D227" i="56"/>
  <c r="D197" i="56"/>
  <c r="D198" i="56"/>
  <c r="D199" i="56"/>
  <c r="D200" i="56"/>
  <c r="D201" i="56"/>
  <c r="D202" i="56"/>
  <c r="D203" i="56"/>
  <c r="D196" i="56"/>
  <c r="D183" i="56"/>
  <c r="D184" i="56"/>
  <c r="D185" i="56"/>
  <c r="D186" i="56"/>
  <c r="D187" i="56"/>
  <c r="D188" i="56"/>
  <c r="D151" i="56"/>
  <c r="D152" i="56"/>
  <c r="D153" i="56"/>
  <c r="D154" i="56"/>
  <c r="D155" i="56"/>
  <c r="D156" i="56"/>
  <c r="D157" i="56"/>
  <c r="D150" i="56"/>
  <c r="D122" i="56"/>
  <c r="D123" i="56"/>
  <c r="D124" i="56"/>
  <c r="D125" i="56"/>
  <c r="D126" i="56"/>
  <c r="D127" i="56"/>
  <c r="D128" i="56"/>
  <c r="D121" i="56"/>
  <c r="D107" i="56"/>
  <c r="D108" i="56"/>
  <c r="D109" i="56"/>
  <c r="D110" i="56"/>
  <c r="D111" i="56"/>
  <c r="D112" i="56"/>
  <c r="D113" i="56"/>
  <c r="D106" i="56"/>
  <c r="D92" i="56"/>
  <c r="D93" i="56"/>
  <c r="D94" i="56"/>
  <c r="D95" i="56"/>
  <c r="D96" i="56"/>
  <c r="D97" i="56"/>
  <c r="D98" i="56"/>
  <c r="D91" i="56"/>
  <c r="D61" i="56"/>
  <c r="D62" i="56"/>
  <c r="D63" i="56"/>
  <c r="D64" i="56"/>
  <c r="D65" i="56"/>
  <c r="D66" i="56"/>
  <c r="D67" i="56"/>
  <c r="D60" i="56"/>
  <c r="D35" i="56"/>
  <c r="D36" i="56"/>
  <c r="D37" i="56"/>
  <c r="D38" i="56"/>
  <c r="D39" i="56"/>
  <c r="D40" i="56"/>
  <c r="D41" i="56"/>
  <c r="D34" i="56"/>
  <c r="B724" i="47"/>
  <c r="AH721" i="47"/>
  <c r="AG721" i="47"/>
  <c r="B727" i="47" s="1"/>
  <c r="AF721" i="47"/>
  <c r="B707" i="47"/>
  <c r="B525" i="47"/>
  <c r="B706" i="47"/>
  <c r="B705" i="47"/>
  <c r="B704" i="47"/>
  <c r="B703" i="47"/>
  <c r="B702" i="47"/>
  <c r="B699" i="47"/>
  <c r="AM696" i="47"/>
  <c r="AL518" i="47"/>
  <c r="AI533" i="47"/>
  <c r="Y698" i="47"/>
  <c r="S698" i="47"/>
  <c r="M698" i="47"/>
  <c r="AH534" i="47"/>
  <c r="AH535" i="47"/>
  <c r="AH536" i="47"/>
  <c r="AH537" i="47"/>
  <c r="AH538" i="47"/>
  <c r="AH539" i="47"/>
  <c r="AH540" i="47"/>
  <c r="AH541" i="47"/>
  <c r="AH542" i="47"/>
  <c r="AH543" i="47"/>
  <c r="AH544" i="47"/>
  <c r="AH545" i="47"/>
  <c r="AH546" i="47"/>
  <c r="AH547" i="47"/>
  <c r="AH548" i="47"/>
  <c r="AH549" i="47"/>
  <c r="AH550" i="47"/>
  <c r="AH551" i="47"/>
  <c r="AH552" i="47"/>
  <c r="AH553" i="47"/>
  <c r="AH554" i="47"/>
  <c r="AH555" i="47"/>
  <c r="AH556" i="47"/>
  <c r="AH557" i="47"/>
  <c r="AH558" i="47"/>
  <c r="AH559" i="47"/>
  <c r="AH560" i="47"/>
  <c r="AH561" i="47"/>
  <c r="AH562" i="47"/>
  <c r="AH563" i="47"/>
  <c r="AH564" i="47"/>
  <c r="AH565" i="47"/>
  <c r="AH566" i="47"/>
  <c r="AH567" i="47"/>
  <c r="AH568" i="47"/>
  <c r="AH569" i="47"/>
  <c r="AH570" i="47"/>
  <c r="AH571" i="47"/>
  <c r="AH572" i="47"/>
  <c r="AH573" i="47"/>
  <c r="AH574" i="47"/>
  <c r="AH575" i="47"/>
  <c r="AH576" i="47"/>
  <c r="AH577" i="47"/>
  <c r="AH578" i="47"/>
  <c r="AH579" i="47"/>
  <c r="AH580" i="47"/>
  <c r="AH581" i="47"/>
  <c r="AH582" i="47"/>
  <c r="AH583" i="47"/>
  <c r="AH584" i="47"/>
  <c r="AH585" i="47"/>
  <c r="AH586" i="47"/>
  <c r="AH587" i="47"/>
  <c r="AH588" i="47"/>
  <c r="AH589" i="47"/>
  <c r="AH590" i="47"/>
  <c r="AH591" i="47"/>
  <c r="AH592" i="47"/>
  <c r="AH593" i="47"/>
  <c r="AH594" i="47"/>
  <c r="AH595" i="47"/>
  <c r="AH596" i="47"/>
  <c r="AH597" i="47"/>
  <c r="AH598" i="47"/>
  <c r="AH599" i="47"/>
  <c r="AH600" i="47"/>
  <c r="AH601" i="47"/>
  <c r="AH602" i="47"/>
  <c r="AH603" i="47"/>
  <c r="AH604" i="47"/>
  <c r="AH605" i="47"/>
  <c r="AH606" i="47"/>
  <c r="AH607" i="47"/>
  <c r="AH608" i="47"/>
  <c r="AH609" i="47"/>
  <c r="AH610" i="47"/>
  <c r="AH611" i="47"/>
  <c r="AH612" i="47"/>
  <c r="AH613" i="47"/>
  <c r="AH614" i="47"/>
  <c r="AH615" i="47"/>
  <c r="AH616" i="47"/>
  <c r="AH617" i="47"/>
  <c r="AH618" i="47"/>
  <c r="AH619" i="47"/>
  <c r="AH620" i="47"/>
  <c r="AH621" i="47"/>
  <c r="AH622" i="47"/>
  <c r="AH623" i="47"/>
  <c r="AH624" i="47"/>
  <c r="AH625" i="47"/>
  <c r="AH626" i="47"/>
  <c r="AH627" i="47"/>
  <c r="AH628" i="47"/>
  <c r="AH629" i="47"/>
  <c r="AH630" i="47"/>
  <c r="AH631" i="47"/>
  <c r="AH632" i="47"/>
  <c r="AH633" i="47"/>
  <c r="AH634" i="47"/>
  <c r="AH635" i="47"/>
  <c r="AH636" i="47"/>
  <c r="AH637" i="47"/>
  <c r="AH638" i="47"/>
  <c r="AH639" i="47"/>
  <c r="AH640" i="47"/>
  <c r="AH641" i="47"/>
  <c r="AH642" i="47"/>
  <c r="AH643" i="47"/>
  <c r="AH644" i="47"/>
  <c r="AH645" i="47"/>
  <c r="AH646" i="47"/>
  <c r="AH647" i="47"/>
  <c r="AH648" i="47"/>
  <c r="AH649" i="47"/>
  <c r="AH650" i="47"/>
  <c r="AH651" i="47"/>
  <c r="AH652" i="47"/>
  <c r="AH653" i="47"/>
  <c r="AH654" i="47"/>
  <c r="AH655" i="47"/>
  <c r="AH656" i="47"/>
  <c r="AH657" i="47"/>
  <c r="AH658" i="47"/>
  <c r="AH659" i="47"/>
  <c r="AH660" i="47"/>
  <c r="AH661" i="47"/>
  <c r="AH662" i="47"/>
  <c r="AH663" i="47"/>
  <c r="AH664" i="47"/>
  <c r="AH665" i="47"/>
  <c r="AH666" i="47"/>
  <c r="AH667" i="47"/>
  <c r="AH668" i="47"/>
  <c r="AH669" i="47"/>
  <c r="AH670" i="47"/>
  <c r="AH671" i="47"/>
  <c r="AH672" i="47"/>
  <c r="AH673" i="47"/>
  <c r="AH674" i="47"/>
  <c r="AH675" i="47"/>
  <c r="AH676" i="47"/>
  <c r="AH677" i="47"/>
  <c r="AH678" i="47"/>
  <c r="AH679" i="47"/>
  <c r="AH680" i="47"/>
  <c r="AH681" i="47"/>
  <c r="AH682" i="47"/>
  <c r="AH683" i="47"/>
  <c r="AH684" i="47"/>
  <c r="AH685" i="47"/>
  <c r="AH686" i="47"/>
  <c r="AH687" i="47"/>
  <c r="AH688" i="47"/>
  <c r="AH689" i="47"/>
  <c r="AH690" i="47"/>
  <c r="AH691" i="47"/>
  <c r="AH692" i="47"/>
  <c r="AH693" i="47"/>
  <c r="AH694" i="47"/>
  <c r="AH695" i="47"/>
  <c r="AH696" i="47"/>
  <c r="AH697" i="47"/>
  <c r="AG534" i="47"/>
  <c r="AG535" i="47"/>
  <c r="AG536" i="47"/>
  <c r="AG537" i="47"/>
  <c r="AG538" i="47"/>
  <c r="AG539" i="47"/>
  <c r="AG540" i="47"/>
  <c r="AG541" i="47"/>
  <c r="AG542" i="47"/>
  <c r="AG543" i="47"/>
  <c r="AG544" i="47"/>
  <c r="AG545" i="47"/>
  <c r="AG546" i="47"/>
  <c r="AG547" i="47"/>
  <c r="AG548" i="47"/>
  <c r="AG549" i="47"/>
  <c r="AG550" i="47"/>
  <c r="AG551" i="47"/>
  <c r="AG552" i="47"/>
  <c r="AG553" i="47"/>
  <c r="AG554" i="47"/>
  <c r="AG555" i="47"/>
  <c r="AG556" i="47"/>
  <c r="AG557" i="47"/>
  <c r="AG558" i="47"/>
  <c r="AG559" i="47"/>
  <c r="AG560" i="47"/>
  <c r="AG561" i="47"/>
  <c r="AG562" i="47"/>
  <c r="AG563" i="47"/>
  <c r="AG564" i="47"/>
  <c r="AG565" i="47"/>
  <c r="AG566" i="47"/>
  <c r="AG567" i="47"/>
  <c r="AG568" i="47"/>
  <c r="AG569" i="47"/>
  <c r="AG570" i="47"/>
  <c r="AG571" i="47"/>
  <c r="AG572" i="47"/>
  <c r="AG573" i="47"/>
  <c r="AG574" i="47"/>
  <c r="AG575" i="47"/>
  <c r="AG576" i="47"/>
  <c r="AG577" i="47"/>
  <c r="AG578" i="47"/>
  <c r="AG579" i="47"/>
  <c r="AG580" i="47"/>
  <c r="AG581" i="47"/>
  <c r="AG582" i="47"/>
  <c r="AG583" i="47"/>
  <c r="AG584" i="47"/>
  <c r="AG585" i="47"/>
  <c r="AG586" i="47"/>
  <c r="AG587" i="47"/>
  <c r="AG588" i="47"/>
  <c r="AG589" i="47"/>
  <c r="AG590" i="47"/>
  <c r="AG591" i="47"/>
  <c r="AG592" i="47"/>
  <c r="AG593" i="47"/>
  <c r="AG594" i="47"/>
  <c r="AG595" i="47"/>
  <c r="AG596" i="47"/>
  <c r="AG597" i="47"/>
  <c r="AG598" i="47"/>
  <c r="AG599" i="47"/>
  <c r="AG600" i="47"/>
  <c r="AG601" i="47"/>
  <c r="AG602" i="47"/>
  <c r="AG603" i="47"/>
  <c r="AG604" i="47"/>
  <c r="AG605" i="47"/>
  <c r="AG606" i="47"/>
  <c r="AG607" i="47"/>
  <c r="AG608" i="47"/>
  <c r="AG609" i="47"/>
  <c r="AG610" i="47"/>
  <c r="AG611" i="47"/>
  <c r="AG612" i="47"/>
  <c r="AG613" i="47"/>
  <c r="AG614" i="47"/>
  <c r="AG615" i="47"/>
  <c r="AG616" i="47"/>
  <c r="AG617" i="47"/>
  <c r="AG618" i="47"/>
  <c r="AG619" i="47"/>
  <c r="AG620" i="47"/>
  <c r="AG621" i="47"/>
  <c r="AG622" i="47"/>
  <c r="AG623" i="47"/>
  <c r="AG624" i="47"/>
  <c r="AG625" i="47"/>
  <c r="AG626" i="47"/>
  <c r="AG627" i="47"/>
  <c r="AG628" i="47"/>
  <c r="AG629" i="47"/>
  <c r="AG630" i="47"/>
  <c r="AG631" i="47"/>
  <c r="AG632" i="47"/>
  <c r="AG633" i="47"/>
  <c r="AG634" i="47"/>
  <c r="AG635" i="47"/>
  <c r="AG636" i="47"/>
  <c r="AG637" i="47"/>
  <c r="AG638" i="47"/>
  <c r="AG639" i="47"/>
  <c r="AG640" i="47"/>
  <c r="AG641" i="47"/>
  <c r="AG642" i="47"/>
  <c r="AG643" i="47"/>
  <c r="AG644" i="47"/>
  <c r="AG645" i="47"/>
  <c r="AG646" i="47"/>
  <c r="AG647" i="47"/>
  <c r="AG648" i="47"/>
  <c r="AG649" i="47"/>
  <c r="AG650" i="47"/>
  <c r="AG651" i="47"/>
  <c r="AG652" i="47"/>
  <c r="AG653" i="47"/>
  <c r="AG654" i="47"/>
  <c r="AG655" i="47"/>
  <c r="AG656" i="47"/>
  <c r="AG657" i="47"/>
  <c r="AG658" i="47"/>
  <c r="AG659" i="47"/>
  <c r="AG660" i="47"/>
  <c r="AG661" i="47"/>
  <c r="AG662" i="47"/>
  <c r="AG663" i="47"/>
  <c r="AG664" i="47"/>
  <c r="AG665" i="47"/>
  <c r="AG666" i="47"/>
  <c r="AG667" i="47"/>
  <c r="AG668" i="47"/>
  <c r="AG669" i="47"/>
  <c r="AG670" i="47"/>
  <c r="AG671" i="47"/>
  <c r="AG672" i="47"/>
  <c r="AG673" i="47"/>
  <c r="AG674" i="47"/>
  <c r="AG675" i="47"/>
  <c r="AG676" i="47"/>
  <c r="AG677" i="47"/>
  <c r="AG678" i="47"/>
  <c r="AG679" i="47"/>
  <c r="AG680" i="47"/>
  <c r="AG681" i="47"/>
  <c r="AG682" i="47"/>
  <c r="AG683" i="47"/>
  <c r="AG684" i="47"/>
  <c r="AG685" i="47"/>
  <c r="AG686" i="47"/>
  <c r="AG687" i="47"/>
  <c r="AG688" i="47"/>
  <c r="AG689" i="47"/>
  <c r="AG690" i="47"/>
  <c r="AG691" i="47"/>
  <c r="AG692" i="47"/>
  <c r="AG693" i="47"/>
  <c r="AG694" i="47"/>
  <c r="AG695" i="47"/>
  <c r="AG696" i="47"/>
  <c r="AG697" i="47"/>
  <c r="AM663" i="47"/>
  <c r="AM646" i="47"/>
  <c r="AM617" i="47"/>
  <c r="AM599" i="47"/>
  <c r="AM596" i="47"/>
  <c r="AM562" i="47"/>
  <c r="AM550" i="47"/>
  <c r="AM537" i="47"/>
  <c r="AG533" i="47"/>
  <c r="AL697" i="47"/>
  <c r="AK697" i="47"/>
  <c r="AJ697" i="47"/>
  <c r="AL696" i="47"/>
  <c r="AK696" i="47"/>
  <c r="AJ696" i="47"/>
  <c r="AL695" i="47"/>
  <c r="AK695" i="47"/>
  <c r="AJ695" i="47"/>
  <c r="AL694" i="47"/>
  <c r="AK694" i="47"/>
  <c r="AJ694" i="47"/>
  <c r="AL693" i="47"/>
  <c r="AK693" i="47"/>
  <c r="AJ693" i="47"/>
  <c r="AL692" i="47"/>
  <c r="AK692" i="47"/>
  <c r="AJ692" i="47"/>
  <c r="AL691" i="47"/>
  <c r="AK691" i="47"/>
  <c r="AJ691" i="47"/>
  <c r="AL690" i="47"/>
  <c r="AK690" i="47"/>
  <c r="AJ690" i="47"/>
  <c r="AL689" i="47"/>
  <c r="AK689" i="47"/>
  <c r="AJ689" i="47"/>
  <c r="AF689" i="47"/>
  <c r="AL688" i="47"/>
  <c r="AK688" i="47"/>
  <c r="AJ688" i="47"/>
  <c r="AL687" i="47"/>
  <c r="AK687" i="47"/>
  <c r="AJ687" i="47"/>
  <c r="AL686" i="47"/>
  <c r="AK686" i="47"/>
  <c r="AJ686" i="47"/>
  <c r="AL685" i="47"/>
  <c r="AK685" i="47"/>
  <c r="AJ685" i="47"/>
  <c r="AL684" i="47"/>
  <c r="AK684" i="47"/>
  <c r="AJ684" i="47"/>
  <c r="AL683" i="47"/>
  <c r="AK683" i="47"/>
  <c r="AJ683" i="47"/>
  <c r="AL682" i="47"/>
  <c r="AK682" i="47"/>
  <c r="AJ682" i="47"/>
  <c r="AL681" i="47"/>
  <c r="AK681" i="47"/>
  <c r="AJ681" i="47"/>
  <c r="AL680" i="47"/>
  <c r="AK680" i="47"/>
  <c r="AJ680" i="47"/>
  <c r="AL679" i="47"/>
  <c r="AK679" i="47"/>
  <c r="AJ679" i="47"/>
  <c r="AL678" i="47"/>
  <c r="AK678" i="47"/>
  <c r="AJ678" i="47"/>
  <c r="AL677" i="47"/>
  <c r="AK677" i="47"/>
  <c r="AJ677" i="47"/>
  <c r="AF677" i="47"/>
  <c r="AL676" i="47"/>
  <c r="AK676" i="47"/>
  <c r="AJ676" i="47"/>
  <c r="AL675" i="47"/>
  <c r="AK675" i="47"/>
  <c r="AJ675" i="47"/>
  <c r="AL674" i="47"/>
  <c r="AK674" i="47"/>
  <c r="AJ674" i="47"/>
  <c r="AL673" i="47"/>
  <c r="AK673" i="47"/>
  <c r="AJ673" i="47"/>
  <c r="AL672" i="47"/>
  <c r="AK672" i="47"/>
  <c r="AJ672" i="47"/>
  <c r="AL671" i="47"/>
  <c r="AK671" i="47"/>
  <c r="AJ671" i="47"/>
  <c r="AL670" i="47"/>
  <c r="AK670" i="47"/>
  <c r="AJ670" i="47"/>
  <c r="AL669" i="47"/>
  <c r="AK669" i="47"/>
  <c r="AJ669" i="47"/>
  <c r="AL668" i="47"/>
  <c r="AK668" i="47"/>
  <c r="AJ668" i="47"/>
  <c r="AF668" i="47"/>
  <c r="AL667" i="47"/>
  <c r="AK667" i="47"/>
  <c r="AJ667" i="47"/>
  <c r="AL666" i="47"/>
  <c r="AK666" i="47"/>
  <c r="AJ666" i="47"/>
  <c r="AL665" i="47"/>
  <c r="AK665" i="47"/>
  <c r="AJ665" i="47"/>
  <c r="AL664" i="47"/>
  <c r="AK664" i="47"/>
  <c r="AJ664" i="47"/>
  <c r="AL663" i="47"/>
  <c r="AK663" i="47"/>
  <c r="AJ663" i="47"/>
  <c r="AL662" i="47"/>
  <c r="AK662" i="47"/>
  <c r="AJ662" i="47"/>
  <c r="AL661" i="47"/>
  <c r="AK661" i="47"/>
  <c r="AJ661" i="47"/>
  <c r="AL660" i="47"/>
  <c r="AK660" i="47"/>
  <c r="AJ660" i="47"/>
  <c r="AL659" i="47"/>
  <c r="AK659" i="47"/>
  <c r="AJ659" i="47"/>
  <c r="AL658" i="47"/>
  <c r="AK658" i="47"/>
  <c r="AJ658" i="47"/>
  <c r="AL657" i="47"/>
  <c r="AK657" i="47"/>
  <c r="AJ657" i="47"/>
  <c r="AF657" i="47"/>
  <c r="AL656" i="47"/>
  <c r="AK656" i="47"/>
  <c r="AJ656" i="47"/>
  <c r="AL655" i="47"/>
  <c r="AK655" i="47"/>
  <c r="AJ655" i="47"/>
  <c r="AL654" i="47"/>
  <c r="AK654" i="47"/>
  <c r="AJ654" i="47"/>
  <c r="AL653" i="47"/>
  <c r="AK653" i="47"/>
  <c r="AJ653" i="47"/>
  <c r="AL652" i="47"/>
  <c r="AK652" i="47"/>
  <c r="AJ652" i="47"/>
  <c r="AL651" i="47"/>
  <c r="AK651" i="47"/>
  <c r="AJ651" i="47"/>
  <c r="AL650" i="47"/>
  <c r="AK650" i="47"/>
  <c r="AJ650" i="47"/>
  <c r="AL649" i="47"/>
  <c r="AK649" i="47"/>
  <c r="AJ649" i="47"/>
  <c r="AL648" i="47"/>
  <c r="AK648" i="47"/>
  <c r="AJ648" i="47"/>
  <c r="AL647" i="47"/>
  <c r="AK647" i="47"/>
  <c r="AJ647" i="47"/>
  <c r="AF647" i="47"/>
  <c r="AL646" i="47"/>
  <c r="AK646" i="47"/>
  <c r="AJ646" i="47"/>
  <c r="AL645" i="47"/>
  <c r="AK645" i="47"/>
  <c r="AJ645" i="47"/>
  <c r="AL644" i="47"/>
  <c r="AK644" i="47"/>
  <c r="AJ644" i="47"/>
  <c r="AL643" i="47"/>
  <c r="AK643" i="47"/>
  <c r="AJ643" i="47"/>
  <c r="AL642" i="47"/>
  <c r="AK642" i="47"/>
  <c r="AJ642" i="47"/>
  <c r="AL641" i="47"/>
  <c r="AK641" i="47"/>
  <c r="AJ641" i="47"/>
  <c r="AL640" i="47"/>
  <c r="AK640" i="47"/>
  <c r="AJ640" i="47"/>
  <c r="AL639" i="47"/>
  <c r="AK639" i="47"/>
  <c r="AJ639" i="47"/>
  <c r="AL638" i="47"/>
  <c r="AK638" i="47"/>
  <c r="AJ638" i="47"/>
  <c r="AL637" i="47"/>
  <c r="AK637" i="47"/>
  <c r="AJ637" i="47"/>
  <c r="AF637" i="47"/>
  <c r="AL636" i="47"/>
  <c r="AK636" i="47"/>
  <c r="AJ636" i="47"/>
  <c r="AL635" i="47"/>
  <c r="AK635" i="47"/>
  <c r="AJ635" i="47"/>
  <c r="AL634" i="47"/>
  <c r="AK634" i="47"/>
  <c r="AJ634" i="47"/>
  <c r="AL633" i="47"/>
  <c r="AK633" i="47"/>
  <c r="AJ633" i="47"/>
  <c r="AL632" i="47"/>
  <c r="AK632" i="47"/>
  <c r="AJ632" i="47"/>
  <c r="AL631" i="47"/>
  <c r="AK631" i="47"/>
  <c r="AJ631" i="47"/>
  <c r="AL630" i="47"/>
  <c r="AK630" i="47"/>
  <c r="AJ630" i="47"/>
  <c r="AL629" i="47"/>
  <c r="AK629" i="47"/>
  <c r="AJ629" i="47"/>
  <c r="AL628" i="47"/>
  <c r="AK628" i="47"/>
  <c r="AJ628" i="47"/>
  <c r="AL627" i="47"/>
  <c r="AK627" i="47"/>
  <c r="AJ627" i="47"/>
  <c r="AL626" i="47"/>
  <c r="AK626" i="47"/>
  <c r="AJ626" i="47"/>
  <c r="AL625" i="47"/>
  <c r="AK625" i="47"/>
  <c r="AJ625" i="47"/>
  <c r="AF625" i="47"/>
  <c r="AL624" i="47"/>
  <c r="AK624" i="47"/>
  <c r="AJ624" i="47"/>
  <c r="AL623" i="47"/>
  <c r="AK623" i="47"/>
  <c r="AJ623" i="47"/>
  <c r="AL622" i="47"/>
  <c r="AK622" i="47"/>
  <c r="AJ622" i="47"/>
  <c r="AL621" i="47"/>
  <c r="AK621" i="47"/>
  <c r="AJ621" i="47"/>
  <c r="AL620" i="47"/>
  <c r="AK620" i="47"/>
  <c r="AJ620" i="47"/>
  <c r="AL619" i="47"/>
  <c r="AK619" i="47"/>
  <c r="AJ619" i="47"/>
  <c r="AL618" i="47"/>
  <c r="AK618" i="47"/>
  <c r="AJ618" i="47"/>
  <c r="AF618" i="47"/>
  <c r="AL617" i="47"/>
  <c r="AK617" i="47"/>
  <c r="AJ617" i="47"/>
  <c r="AL616" i="47"/>
  <c r="AK616" i="47"/>
  <c r="AJ616" i="47"/>
  <c r="AL615" i="47"/>
  <c r="AK615" i="47"/>
  <c r="AJ615" i="47"/>
  <c r="AL614" i="47"/>
  <c r="AK614" i="47"/>
  <c r="AJ614" i="47"/>
  <c r="AL613" i="47"/>
  <c r="AK613" i="47"/>
  <c r="AJ613" i="47"/>
  <c r="AL612" i="47"/>
  <c r="AK612" i="47"/>
  <c r="AJ612" i="47"/>
  <c r="AL611" i="47"/>
  <c r="AK611" i="47"/>
  <c r="AJ611" i="47"/>
  <c r="AL610" i="47"/>
  <c r="AK610" i="47"/>
  <c r="AJ610" i="47"/>
  <c r="AL609" i="47"/>
  <c r="AK609" i="47"/>
  <c r="AJ609" i="47"/>
  <c r="AL608" i="47"/>
  <c r="AK608" i="47"/>
  <c r="AJ608" i="47"/>
  <c r="AF608" i="47"/>
  <c r="AL607" i="47"/>
  <c r="AK607" i="47"/>
  <c r="AJ607" i="47"/>
  <c r="AL606" i="47"/>
  <c r="AK606" i="47"/>
  <c r="AJ606" i="47"/>
  <c r="AL605" i="47"/>
  <c r="AK605" i="47"/>
  <c r="AJ605" i="47"/>
  <c r="AL604" i="47"/>
  <c r="AK604" i="47"/>
  <c r="AJ604" i="47"/>
  <c r="AL603" i="47"/>
  <c r="AK603" i="47"/>
  <c r="AJ603" i="47"/>
  <c r="AL602" i="47"/>
  <c r="AK602" i="47"/>
  <c r="AJ602" i="47"/>
  <c r="AL601" i="47"/>
  <c r="AK601" i="47"/>
  <c r="AJ601" i="47"/>
  <c r="AL600" i="47"/>
  <c r="AK600" i="47"/>
  <c r="AJ600" i="47"/>
  <c r="AF600" i="47"/>
  <c r="AF698" i="47" s="1"/>
  <c r="AL599" i="47"/>
  <c r="AK599" i="47"/>
  <c r="AJ599" i="47"/>
  <c r="AL598" i="47"/>
  <c r="AK598" i="47"/>
  <c r="AJ598" i="47"/>
  <c r="AL597" i="47"/>
  <c r="AK597" i="47"/>
  <c r="AJ597" i="47"/>
  <c r="AL596" i="47"/>
  <c r="AK596" i="47"/>
  <c r="AJ596" i="47"/>
  <c r="AL595" i="47"/>
  <c r="AK595" i="47"/>
  <c r="AJ595" i="47"/>
  <c r="AL594" i="47"/>
  <c r="AK594" i="47"/>
  <c r="AJ594" i="47"/>
  <c r="AL593" i="47"/>
  <c r="AK593" i="47"/>
  <c r="AJ593" i="47"/>
  <c r="AL592" i="47"/>
  <c r="AK592" i="47"/>
  <c r="AJ592" i="47"/>
  <c r="AL591" i="47"/>
  <c r="AK591" i="47"/>
  <c r="AJ591" i="47"/>
  <c r="AL590" i="47"/>
  <c r="AK590" i="47"/>
  <c r="AJ590" i="47"/>
  <c r="AF590" i="47"/>
  <c r="AL589" i="47"/>
  <c r="AK589" i="47"/>
  <c r="AJ589" i="47"/>
  <c r="AL588" i="47"/>
  <c r="AK588" i="47"/>
  <c r="AJ588" i="47"/>
  <c r="AL587" i="47"/>
  <c r="AK587" i="47"/>
  <c r="AJ587" i="47"/>
  <c r="AL586" i="47"/>
  <c r="AK586" i="47"/>
  <c r="AJ586" i="47"/>
  <c r="AL585" i="47"/>
  <c r="AK585" i="47"/>
  <c r="AJ585" i="47"/>
  <c r="AL584" i="47"/>
  <c r="AK584" i="47"/>
  <c r="AJ584" i="47"/>
  <c r="AL583" i="47"/>
  <c r="AK583" i="47"/>
  <c r="AJ583" i="47"/>
  <c r="AL582" i="47"/>
  <c r="AK582" i="47"/>
  <c r="AJ582" i="47"/>
  <c r="AF582" i="47"/>
  <c r="AL581" i="47"/>
  <c r="AK581" i="47"/>
  <c r="AJ581" i="47"/>
  <c r="AL580" i="47"/>
  <c r="AK580" i="47"/>
  <c r="AJ580" i="47"/>
  <c r="AL579" i="47"/>
  <c r="AK579" i="47"/>
  <c r="AJ579" i="47"/>
  <c r="AL578" i="47"/>
  <c r="AK578" i="47"/>
  <c r="AJ578" i="47"/>
  <c r="AL577" i="47"/>
  <c r="AK577" i="47"/>
  <c r="AJ577" i="47"/>
  <c r="AL576" i="47"/>
  <c r="AK576" i="47"/>
  <c r="AJ576" i="47"/>
  <c r="AL575" i="47"/>
  <c r="AK575" i="47"/>
  <c r="AJ575" i="47"/>
  <c r="AL574" i="47"/>
  <c r="AK574" i="47"/>
  <c r="AJ574" i="47"/>
  <c r="AL573" i="47"/>
  <c r="AK573" i="47"/>
  <c r="AJ573" i="47"/>
  <c r="AL572" i="47"/>
  <c r="AK572" i="47"/>
  <c r="AJ572" i="47"/>
  <c r="AL571" i="47"/>
  <c r="AK571" i="47"/>
  <c r="AJ571" i="47"/>
  <c r="AL570" i="47"/>
  <c r="AK570" i="47"/>
  <c r="AJ570" i="47"/>
  <c r="AL569" i="47"/>
  <c r="AK569" i="47"/>
  <c r="AJ569" i="47"/>
  <c r="AL568" i="47"/>
  <c r="AK568" i="47"/>
  <c r="AJ568" i="47"/>
  <c r="AL567" i="47"/>
  <c r="AK567" i="47"/>
  <c r="AJ567" i="47"/>
  <c r="AL566" i="47"/>
  <c r="AK566" i="47"/>
  <c r="AJ566" i="47"/>
  <c r="AL565" i="47"/>
  <c r="AK565" i="47"/>
  <c r="AJ565" i="47"/>
  <c r="AL564" i="47"/>
  <c r="AK564" i="47"/>
  <c r="AJ564" i="47"/>
  <c r="AL563" i="47"/>
  <c r="AK563" i="47"/>
  <c r="AJ563" i="47"/>
  <c r="AF563" i="47"/>
  <c r="AL562" i="47"/>
  <c r="AK562" i="47"/>
  <c r="AJ562" i="47"/>
  <c r="AL561" i="47"/>
  <c r="AK561" i="47"/>
  <c r="AJ561" i="47"/>
  <c r="AL560" i="47"/>
  <c r="AK560" i="47"/>
  <c r="AJ560" i="47"/>
  <c r="AL559" i="47"/>
  <c r="AK559" i="47"/>
  <c r="AJ559" i="47"/>
  <c r="AL558" i="47"/>
  <c r="AK558" i="47"/>
  <c r="AJ558" i="47"/>
  <c r="AL557" i="47"/>
  <c r="AK557" i="47"/>
  <c r="AJ557" i="47"/>
  <c r="AL556" i="47"/>
  <c r="AK556" i="47"/>
  <c r="AJ556" i="47"/>
  <c r="AL555" i="47"/>
  <c r="AK555" i="47"/>
  <c r="AJ555" i="47"/>
  <c r="AL554" i="47"/>
  <c r="AK554" i="47"/>
  <c r="AJ554" i="47"/>
  <c r="AF554" i="47"/>
  <c r="AL553" i="47"/>
  <c r="AK553" i="47"/>
  <c r="AJ553" i="47"/>
  <c r="AL552" i="47"/>
  <c r="AK552" i="47"/>
  <c r="AJ552" i="47"/>
  <c r="AL551" i="47"/>
  <c r="AK551" i="47"/>
  <c r="AJ551" i="47"/>
  <c r="AL550" i="47"/>
  <c r="AK550" i="47"/>
  <c r="AJ550" i="47"/>
  <c r="AL549" i="47"/>
  <c r="AK549" i="47"/>
  <c r="AJ549" i="47"/>
  <c r="AL548" i="47"/>
  <c r="AK548" i="47"/>
  <c r="AJ548" i="47"/>
  <c r="AL547" i="47"/>
  <c r="AK547" i="47"/>
  <c r="AJ547" i="47"/>
  <c r="BK546" i="47"/>
  <c r="AM546" i="47"/>
  <c r="AL546" i="47"/>
  <c r="AK546" i="47"/>
  <c r="AJ546" i="47"/>
  <c r="CE545" i="47"/>
  <c r="CD545" i="47"/>
  <c r="CC545" i="47"/>
  <c r="CB545" i="47"/>
  <c r="CA545" i="47"/>
  <c r="BZ545" i="47"/>
  <c r="BY545" i="47"/>
  <c r="BX545" i="47"/>
  <c r="BW545" i="47"/>
  <c r="BV545" i="47"/>
  <c r="BU545" i="47"/>
  <c r="BT545" i="47"/>
  <c r="BT546" i="47" s="1"/>
  <c r="BS545" i="47"/>
  <c r="BR545" i="47"/>
  <c r="BQ545" i="47"/>
  <c r="BP545" i="47"/>
  <c r="BO545" i="47"/>
  <c r="BN545" i="47"/>
  <c r="BM545" i="47"/>
  <c r="BM546" i="47" s="1"/>
  <c r="BL545" i="47"/>
  <c r="BK545" i="47"/>
  <c r="BJ545" i="47"/>
  <c r="BI545" i="47"/>
  <c r="BH545" i="47"/>
  <c r="BG545" i="47"/>
  <c r="BF545" i="47"/>
  <c r="BE545" i="47"/>
  <c r="BD545" i="47"/>
  <c r="BC545" i="47"/>
  <c r="BB545" i="47"/>
  <c r="BA545" i="47"/>
  <c r="AZ545" i="47"/>
  <c r="AY545" i="47"/>
  <c r="AX545" i="47"/>
  <c r="AW545" i="47"/>
  <c r="AV545" i="47"/>
  <c r="AV546" i="47" s="1"/>
  <c r="AU545" i="47"/>
  <c r="AT545" i="47"/>
  <c r="AS545" i="47"/>
  <c r="AR545" i="47"/>
  <c r="AQ545" i="47"/>
  <c r="AP545" i="47"/>
  <c r="AO545" i="47"/>
  <c r="AO546" i="47" s="1"/>
  <c r="AN545" i="47"/>
  <c r="AM545" i="47"/>
  <c r="AL545" i="47"/>
  <c r="AK545" i="47"/>
  <c r="AJ545" i="47"/>
  <c r="CE544" i="47"/>
  <c r="CD544" i="47"/>
  <c r="CC544" i="47"/>
  <c r="CB544" i="47"/>
  <c r="CA544" i="47"/>
  <c r="BZ544" i="47"/>
  <c r="BY544" i="47"/>
  <c r="BX544" i="47"/>
  <c r="BW544" i="47"/>
  <c r="BW546" i="47" s="1"/>
  <c r="BV544" i="47"/>
  <c r="BV546" i="47" s="1"/>
  <c r="BU544" i="47"/>
  <c r="BT544" i="47"/>
  <c r="BS544" i="47"/>
  <c r="BR544" i="47"/>
  <c r="BQ544" i="47"/>
  <c r="BP544" i="47"/>
  <c r="BO544" i="47"/>
  <c r="BN544" i="47"/>
  <c r="BM544" i="47"/>
  <c r="BL544" i="47"/>
  <c r="BK544" i="47"/>
  <c r="BJ544" i="47"/>
  <c r="BI544" i="47"/>
  <c r="BH544" i="47"/>
  <c r="BG544" i="47"/>
  <c r="BF544" i="47"/>
  <c r="BE544" i="47"/>
  <c r="BD544" i="47"/>
  <c r="BC544" i="47"/>
  <c r="BB544" i="47"/>
  <c r="BA544" i="47"/>
  <c r="AZ544" i="47"/>
  <c r="AY544" i="47"/>
  <c r="AY546" i="47" s="1"/>
  <c r="AX544" i="47"/>
  <c r="AX546" i="47" s="1"/>
  <c r="AW544" i="47"/>
  <c r="AV544" i="47"/>
  <c r="AU544" i="47"/>
  <c r="AT544" i="47"/>
  <c r="AS544" i="47"/>
  <c r="AR544" i="47"/>
  <c r="AQ544" i="47"/>
  <c r="AP544" i="47"/>
  <c r="AO544" i="47"/>
  <c r="AN544" i="47"/>
  <c r="AM544" i="47"/>
  <c r="AL544" i="47"/>
  <c r="AK544" i="47"/>
  <c r="AJ544" i="47"/>
  <c r="CE543" i="47"/>
  <c r="CE546" i="47" s="1"/>
  <c r="CD543" i="47"/>
  <c r="CC543" i="47"/>
  <c r="CC546" i="47" s="1"/>
  <c r="CB543" i="47"/>
  <c r="CB546" i="47" s="1"/>
  <c r="CA543" i="47"/>
  <c r="BZ543" i="47"/>
  <c r="BZ546" i="47" s="1"/>
  <c r="BY543" i="47"/>
  <c r="BY546" i="47" s="1"/>
  <c r="BX543" i="47"/>
  <c r="BW543" i="47"/>
  <c r="BV543" i="47"/>
  <c r="BU543" i="47"/>
  <c r="BT543" i="47"/>
  <c r="BS543" i="47"/>
  <c r="BS546" i="47" s="1"/>
  <c r="BR543" i="47"/>
  <c r="BQ543" i="47"/>
  <c r="BQ546" i="47" s="1"/>
  <c r="BP543" i="47"/>
  <c r="BP546" i="47" s="1"/>
  <c r="BO543" i="47"/>
  <c r="BN543" i="47"/>
  <c r="BN546" i="47" s="1"/>
  <c r="BM543" i="47"/>
  <c r="BL543" i="47"/>
  <c r="BK543" i="47"/>
  <c r="BJ543" i="47"/>
  <c r="BJ546" i="47" s="1"/>
  <c r="BI543" i="47"/>
  <c r="BH543" i="47"/>
  <c r="BH546" i="47" s="1"/>
  <c r="BG543" i="47"/>
  <c r="BG546" i="47" s="1"/>
  <c r="BF543" i="47"/>
  <c r="BE543" i="47"/>
  <c r="BE546" i="47" s="1"/>
  <c r="BD543" i="47"/>
  <c r="BD546" i="47" s="1"/>
  <c r="BC543" i="47"/>
  <c r="BB543" i="47"/>
  <c r="BB546" i="47" s="1"/>
  <c r="BA543" i="47"/>
  <c r="BA546" i="47" s="1"/>
  <c r="AZ543" i="47"/>
  <c r="AY543" i="47"/>
  <c r="AX543" i="47"/>
  <c r="AW543" i="47"/>
  <c r="AV543" i="47"/>
  <c r="AU543" i="47"/>
  <c r="AU546" i="47" s="1"/>
  <c r="AT543" i="47"/>
  <c r="AS543" i="47"/>
  <c r="AS546" i="47" s="1"/>
  <c r="AR543" i="47"/>
  <c r="AR546" i="47" s="1"/>
  <c r="AQ543" i="47"/>
  <c r="AP543" i="47"/>
  <c r="AP546" i="47" s="1"/>
  <c r="AO543" i="47"/>
  <c r="AN543" i="47"/>
  <c r="AM543" i="47"/>
  <c r="AL543" i="47"/>
  <c r="AK543" i="47"/>
  <c r="AJ543" i="47"/>
  <c r="AF543" i="47"/>
  <c r="AL542" i="47"/>
  <c r="AK542" i="47"/>
  <c r="AJ542" i="47"/>
  <c r="AL541" i="47"/>
  <c r="AK541" i="47"/>
  <c r="AJ541" i="47"/>
  <c r="AL540" i="47"/>
  <c r="AK540" i="47"/>
  <c r="AJ540" i="47"/>
  <c r="AL539" i="47"/>
  <c r="AK539" i="47"/>
  <c r="AJ539" i="47"/>
  <c r="AL538" i="47"/>
  <c r="AK538" i="47"/>
  <c r="AJ538" i="47"/>
  <c r="AL537" i="47"/>
  <c r="AK537" i="47"/>
  <c r="AJ537" i="47"/>
  <c r="AL536" i="47"/>
  <c r="AK536" i="47"/>
  <c r="AJ536" i="47"/>
  <c r="AL535" i="47"/>
  <c r="AK535" i="47"/>
  <c r="AJ535" i="47"/>
  <c r="AL534" i="47"/>
  <c r="AK534" i="47"/>
  <c r="AJ534" i="47"/>
  <c r="AL533" i="47"/>
  <c r="AK533" i="47"/>
  <c r="AJ533" i="47"/>
  <c r="AJ698" i="47" s="1"/>
  <c r="AH533" i="47"/>
  <c r="B526" i="47"/>
  <c r="B524" i="47"/>
  <c r="B523" i="47"/>
  <c r="B522" i="47"/>
  <c r="B521" i="47"/>
  <c r="B518" i="47"/>
  <c r="CE367" i="47"/>
  <c r="AM482" i="47"/>
  <c r="AM369" i="47"/>
  <c r="AM515" i="47"/>
  <c r="AM465" i="47"/>
  <c r="AM436" i="47"/>
  <c r="AM418" i="47"/>
  <c r="AM415" i="47"/>
  <c r="AM381" i="47"/>
  <c r="AM356" i="47"/>
  <c r="AM362" i="47"/>
  <c r="AM363" i="47"/>
  <c r="AM364" i="47"/>
  <c r="AM365" i="47"/>
  <c r="AJ353" i="47"/>
  <c r="AK353" i="47"/>
  <c r="AL353" i="47"/>
  <c r="AJ354" i="47"/>
  <c r="AK354" i="47"/>
  <c r="AL354" i="47"/>
  <c r="AJ355" i="47"/>
  <c r="AK355" i="47"/>
  <c r="AL355" i="47"/>
  <c r="AJ356" i="47"/>
  <c r="AK356" i="47"/>
  <c r="AL356" i="47"/>
  <c r="AJ357" i="47"/>
  <c r="AK357" i="47"/>
  <c r="AL357" i="47"/>
  <c r="AJ358" i="47"/>
  <c r="AK358" i="47"/>
  <c r="AL358" i="47"/>
  <c r="AJ359" i="47"/>
  <c r="AK359" i="47"/>
  <c r="AL359" i="47"/>
  <c r="AJ360" i="47"/>
  <c r="AK360" i="47"/>
  <c r="AL360" i="47"/>
  <c r="AJ361" i="47"/>
  <c r="AK361" i="47"/>
  <c r="AL361" i="47"/>
  <c r="AJ362" i="47"/>
  <c r="AK362" i="47"/>
  <c r="AL362" i="47"/>
  <c r="AJ363" i="47"/>
  <c r="AK363" i="47"/>
  <c r="AL363" i="47"/>
  <c r="AJ364" i="47"/>
  <c r="AK364" i="47"/>
  <c r="AL364" i="47"/>
  <c r="AJ365" i="47"/>
  <c r="AK365" i="47"/>
  <c r="AL365" i="47"/>
  <c r="AJ366" i="47"/>
  <c r="AK366" i="47"/>
  <c r="AL366" i="47"/>
  <c r="AJ367" i="47"/>
  <c r="AK367" i="47"/>
  <c r="AL367" i="47"/>
  <c r="AJ368" i="47"/>
  <c r="AK368" i="47"/>
  <c r="AL368" i="47"/>
  <c r="AJ369" i="47"/>
  <c r="AK369" i="47"/>
  <c r="AL369" i="47"/>
  <c r="AJ370" i="47"/>
  <c r="AK370" i="47"/>
  <c r="AL370" i="47"/>
  <c r="AJ371" i="47"/>
  <c r="AK371" i="47"/>
  <c r="AL371" i="47"/>
  <c r="AJ372" i="47"/>
  <c r="AK372" i="47"/>
  <c r="AL372" i="47"/>
  <c r="AJ373" i="47"/>
  <c r="AK373" i="47"/>
  <c r="AL373" i="47"/>
  <c r="AJ374" i="47"/>
  <c r="AK374" i="47"/>
  <c r="AL374" i="47"/>
  <c r="AJ375" i="47"/>
  <c r="AK375" i="47"/>
  <c r="AL375" i="47"/>
  <c r="AJ376" i="47"/>
  <c r="AK376" i="47"/>
  <c r="AL376" i="47"/>
  <c r="AJ377" i="47"/>
  <c r="AK377" i="47"/>
  <c r="AL377" i="47"/>
  <c r="AJ378" i="47"/>
  <c r="AK378" i="47"/>
  <c r="AL378" i="47"/>
  <c r="AJ379" i="47"/>
  <c r="AK379" i="47"/>
  <c r="AL379" i="47"/>
  <c r="AJ380" i="47"/>
  <c r="AK380" i="47"/>
  <c r="AL380" i="47"/>
  <c r="AJ381" i="47"/>
  <c r="AK381" i="47"/>
  <c r="AL381" i="47"/>
  <c r="AJ382" i="47"/>
  <c r="AK382" i="47"/>
  <c r="AL382" i="47"/>
  <c r="AJ383" i="47"/>
  <c r="AK383" i="47"/>
  <c r="AL383" i="47"/>
  <c r="AJ384" i="47"/>
  <c r="AK384" i="47"/>
  <c r="AL384" i="47"/>
  <c r="AJ385" i="47"/>
  <c r="AK385" i="47"/>
  <c r="AL385" i="47"/>
  <c r="AJ386" i="47"/>
  <c r="AK386" i="47"/>
  <c r="AL386" i="47"/>
  <c r="AJ387" i="47"/>
  <c r="AK387" i="47"/>
  <c r="AL387" i="47"/>
  <c r="AJ388" i="47"/>
  <c r="AK388" i="47"/>
  <c r="AL388" i="47"/>
  <c r="AJ389" i="47"/>
  <c r="AK389" i="47"/>
  <c r="AL389" i="47"/>
  <c r="AJ390" i="47"/>
  <c r="AK390" i="47"/>
  <c r="AL390" i="47"/>
  <c r="AJ391" i="47"/>
  <c r="AK391" i="47"/>
  <c r="AL391" i="47"/>
  <c r="AJ392" i="47"/>
  <c r="AK392" i="47"/>
  <c r="AL392" i="47"/>
  <c r="AJ393" i="47"/>
  <c r="AK393" i="47"/>
  <c r="AL393" i="47"/>
  <c r="AJ394" i="47"/>
  <c r="AK394" i="47"/>
  <c r="AL394" i="47"/>
  <c r="AJ395" i="47"/>
  <c r="AK395" i="47"/>
  <c r="AL395" i="47"/>
  <c r="AJ396" i="47"/>
  <c r="AK396" i="47"/>
  <c r="AL396" i="47"/>
  <c r="AJ397" i="47"/>
  <c r="AK397" i="47"/>
  <c r="AL397" i="47"/>
  <c r="AJ398" i="47"/>
  <c r="AK398" i="47"/>
  <c r="AL398" i="47"/>
  <c r="AJ399" i="47"/>
  <c r="AK399" i="47"/>
  <c r="AL399" i="47"/>
  <c r="AJ400" i="47"/>
  <c r="AK400" i="47"/>
  <c r="AL400" i="47"/>
  <c r="AJ401" i="47"/>
  <c r="AK401" i="47"/>
  <c r="AL401" i="47"/>
  <c r="AJ402" i="47"/>
  <c r="AK402" i="47"/>
  <c r="AL402" i="47"/>
  <c r="AJ403" i="47"/>
  <c r="AK403" i="47"/>
  <c r="AL403" i="47"/>
  <c r="AJ404" i="47"/>
  <c r="AK404" i="47"/>
  <c r="AL404" i="47"/>
  <c r="AJ405" i="47"/>
  <c r="AK405" i="47"/>
  <c r="AL405" i="47"/>
  <c r="AJ406" i="47"/>
  <c r="AK406" i="47"/>
  <c r="AL406" i="47"/>
  <c r="AJ407" i="47"/>
  <c r="AK407" i="47"/>
  <c r="AL407" i="47"/>
  <c r="AJ408" i="47"/>
  <c r="AK408" i="47"/>
  <c r="AL408" i="47"/>
  <c r="AJ409" i="47"/>
  <c r="AK409" i="47"/>
  <c r="AL409" i="47"/>
  <c r="AJ410" i="47"/>
  <c r="AK410" i="47"/>
  <c r="AL410" i="47"/>
  <c r="AJ411" i="47"/>
  <c r="AK411" i="47"/>
  <c r="AL411" i="47"/>
  <c r="AJ412" i="47"/>
  <c r="AK412" i="47"/>
  <c r="AL412" i="47"/>
  <c r="AJ413" i="47"/>
  <c r="AK413" i="47"/>
  <c r="AL413" i="47"/>
  <c r="AJ414" i="47"/>
  <c r="AK414" i="47"/>
  <c r="AL414" i="47"/>
  <c r="AJ415" i="47"/>
  <c r="AK415" i="47"/>
  <c r="AL415" i="47"/>
  <c r="AJ416" i="47"/>
  <c r="AK416" i="47"/>
  <c r="AL416" i="47"/>
  <c r="AJ417" i="47"/>
  <c r="AK417" i="47"/>
  <c r="AL417" i="47"/>
  <c r="AJ418" i="47"/>
  <c r="AK418" i="47"/>
  <c r="AL418" i="47"/>
  <c r="AJ419" i="47"/>
  <c r="AK419" i="47"/>
  <c r="AL419" i="47"/>
  <c r="AJ420" i="47"/>
  <c r="AK420" i="47"/>
  <c r="AL420" i="47"/>
  <c r="AJ421" i="47"/>
  <c r="AK421" i="47"/>
  <c r="AL421" i="47"/>
  <c r="AJ422" i="47"/>
  <c r="AK422" i="47"/>
  <c r="AL422" i="47"/>
  <c r="AJ423" i="47"/>
  <c r="AK423" i="47"/>
  <c r="AL423" i="47"/>
  <c r="AJ424" i="47"/>
  <c r="AK424" i="47"/>
  <c r="AL424" i="47"/>
  <c r="AJ425" i="47"/>
  <c r="AK425" i="47"/>
  <c r="AL425" i="47"/>
  <c r="AJ426" i="47"/>
  <c r="AK426" i="47"/>
  <c r="AL426" i="47"/>
  <c r="AJ427" i="47"/>
  <c r="AK427" i="47"/>
  <c r="AL427" i="47"/>
  <c r="AJ428" i="47"/>
  <c r="AK428" i="47"/>
  <c r="AL428" i="47"/>
  <c r="AJ429" i="47"/>
  <c r="AK429" i="47"/>
  <c r="AL429" i="47"/>
  <c r="AJ430" i="47"/>
  <c r="AK430" i="47"/>
  <c r="AL430" i="47"/>
  <c r="AJ431" i="47"/>
  <c r="AK431" i="47"/>
  <c r="AL431" i="47"/>
  <c r="AJ432" i="47"/>
  <c r="AK432" i="47"/>
  <c r="AL432" i="47"/>
  <c r="AJ433" i="47"/>
  <c r="AK433" i="47"/>
  <c r="AL433" i="47"/>
  <c r="AJ434" i="47"/>
  <c r="AK434" i="47"/>
  <c r="AL434" i="47"/>
  <c r="AJ435" i="47"/>
  <c r="AK435" i="47"/>
  <c r="AL435" i="47"/>
  <c r="AJ436" i="47"/>
  <c r="AK436" i="47"/>
  <c r="AL436" i="47"/>
  <c r="AJ437" i="47"/>
  <c r="AK437" i="47"/>
  <c r="AL437" i="47"/>
  <c r="AJ438" i="47"/>
  <c r="AK438" i="47"/>
  <c r="AL438" i="47"/>
  <c r="AJ439" i="47"/>
  <c r="AK439" i="47"/>
  <c r="AL439" i="47"/>
  <c r="AJ440" i="47"/>
  <c r="AK440" i="47"/>
  <c r="AL440" i="47"/>
  <c r="AJ441" i="47"/>
  <c r="AK441" i="47"/>
  <c r="AL441" i="47"/>
  <c r="AJ442" i="47"/>
  <c r="AK442" i="47"/>
  <c r="AL442" i="47"/>
  <c r="AJ443" i="47"/>
  <c r="AK443" i="47"/>
  <c r="AL443" i="47"/>
  <c r="AJ444" i="47"/>
  <c r="AK444" i="47"/>
  <c r="AL444" i="47"/>
  <c r="AJ445" i="47"/>
  <c r="AK445" i="47"/>
  <c r="AL445" i="47"/>
  <c r="AJ446" i="47"/>
  <c r="AK446" i="47"/>
  <c r="AL446" i="47"/>
  <c r="AJ447" i="47"/>
  <c r="AK447" i="47"/>
  <c r="AL447" i="47"/>
  <c r="AJ448" i="47"/>
  <c r="AK448" i="47"/>
  <c r="AL448" i="47"/>
  <c r="AJ449" i="47"/>
  <c r="AK449" i="47"/>
  <c r="AL449" i="47"/>
  <c r="AJ450" i="47"/>
  <c r="AK450" i="47"/>
  <c r="AL450" i="47"/>
  <c r="AJ451" i="47"/>
  <c r="AK451" i="47"/>
  <c r="AL451" i="47"/>
  <c r="AJ452" i="47"/>
  <c r="AK452" i="47"/>
  <c r="AL452" i="47"/>
  <c r="AJ453" i="47"/>
  <c r="AK453" i="47"/>
  <c r="AL453" i="47"/>
  <c r="AJ454" i="47"/>
  <c r="AK454" i="47"/>
  <c r="AL454" i="47"/>
  <c r="AJ455" i="47"/>
  <c r="AK455" i="47"/>
  <c r="AL455" i="47"/>
  <c r="AJ456" i="47"/>
  <c r="AK456" i="47"/>
  <c r="AL456" i="47"/>
  <c r="AJ457" i="47"/>
  <c r="AK457" i="47"/>
  <c r="AL457" i="47"/>
  <c r="AJ458" i="47"/>
  <c r="AK458" i="47"/>
  <c r="AL458" i="47"/>
  <c r="AJ459" i="47"/>
  <c r="AK459" i="47"/>
  <c r="AL459" i="47"/>
  <c r="AJ460" i="47"/>
  <c r="AK460" i="47"/>
  <c r="AL460" i="47"/>
  <c r="AJ461" i="47"/>
  <c r="AK461" i="47"/>
  <c r="AL461" i="47"/>
  <c r="AJ462" i="47"/>
  <c r="AK462" i="47"/>
  <c r="AL462" i="47"/>
  <c r="AJ463" i="47"/>
  <c r="AK463" i="47"/>
  <c r="AL463" i="47"/>
  <c r="AJ464" i="47"/>
  <c r="AK464" i="47"/>
  <c r="AL464" i="47"/>
  <c r="AJ465" i="47"/>
  <c r="AK465" i="47"/>
  <c r="AL465" i="47"/>
  <c r="AJ466" i="47"/>
  <c r="AK466" i="47"/>
  <c r="AL466" i="47"/>
  <c r="AJ467" i="47"/>
  <c r="AK467" i="47"/>
  <c r="AL467" i="47"/>
  <c r="AJ468" i="47"/>
  <c r="AK468" i="47"/>
  <c r="AL468" i="47"/>
  <c r="AJ469" i="47"/>
  <c r="AK469" i="47"/>
  <c r="AL469" i="47"/>
  <c r="AJ470" i="47"/>
  <c r="AK470" i="47"/>
  <c r="AL470" i="47"/>
  <c r="AJ471" i="47"/>
  <c r="AK471" i="47"/>
  <c r="AL471" i="47"/>
  <c r="AJ472" i="47"/>
  <c r="AK472" i="47"/>
  <c r="AL472" i="47"/>
  <c r="AJ473" i="47"/>
  <c r="AK473" i="47"/>
  <c r="AL473" i="47"/>
  <c r="AJ474" i="47"/>
  <c r="AK474" i="47"/>
  <c r="AL474" i="47"/>
  <c r="AJ475" i="47"/>
  <c r="AK475" i="47"/>
  <c r="AL475" i="47"/>
  <c r="AJ476" i="47"/>
  <c r="AK476" i="47"/>
  <c r="AL476" i="47"/>
  <c r="AJ477" i="47"/>
  <c r="AK477" i="47"/>
  <c r="AL477" i="47"/>
  <c r="AJ478" i="47"/>
  <c r="AK478" i="47"/>
  <c r="AL478" i="47"/>
  <c r="AJ479" i="47"/>
  <c r="AK479" i="47"/>
  <c r="AL479" i="47"/>
  <c r="AJ480" i="47"/>
  <c r="AK480" i="47"/>
  <c r="AL480" i="47"/>
  <c r="AJ481" i="47"/>
  <c r="AK481" i="47"/>
  <c r="AL481" i="47"/>
  <c r="AJ482" i="47"/>
  <c r="AK482" i="47"/>
  <c r="AL482" i="47"/>
  <c r="AJ483" i="47"/>
  <c r="AK483" i="47"/>
  <c r="AL483" i="47"/>
  <c r="AJ484" i="47"/>
  <c r="AK484" i="47"/>
  <c r="AL484" i="47"/>
  <c r="AJ485" i="47"/>
  <c r="AK485" i="47"/>
  <c r="AL485" i="47"/>
  <c r="AJ486" i="47"/>
  <c r="AK486" i="47"/>
  <c r="AL486" i="47"/>
  <c r="AJ487" i="47"/>
  <c r="AK487" i="47"/>
  <c r="AL487" i="47"/>
  <c r="AJ488" i="47"/>
  <c r="AK488" i="47"/>
  <c r="AL488" i="47"/>
  <c r="AJ489" i="47"/>
  <c r="AK489" i="47"/>
  <c r="AL489" i="47"/>
  <c r="AJ490" i="47"/>
  <c r="AK490" i="47"/>
  <c r="AL490" i="47"/>
  <c r="AJ491" i="47"/>
  <c r="AK491" i="47"/>
  <c r="AL491" i="47"/>
  <c r="AJ492" i="47"/>
  <c r="AK492" i="47"/>
  <c r="AL492" i="47"/>
  <c r="AJ493" i="47"/>
  <c r="AK493" i="47"/>
  <c r="AL493" i="47"/>
  <c r="AJ494" i="47"/>
  <c r="AK494" i="47"/>
  <c r="AL494" i="47"/>
  <c r="AJ495" i="47"/>
  <c r="AK495" i="47"/>
  <c r="AL495" i="47"/>
  <c r="AJ496" i="47"/>
  <c r="AK496" i="47"/>
  <c r="AL496" i="47"/>
  <c r="AJ497" i="47"/>
  <c r="AK497" i="47"/>
  <c r="AL497" i="47"/>
  <c r="AJ498" i="47"/>
  <c r="AK498" i="47"/>
  <c r="AL498" i="47"/>
  <c r="AJ499" i="47"/>
  <c r="AK499" i="47"/>
  <c r="AL499" i="47"/>
  <c r="AJ500" i="47"/>
  <c r="AK500" i="47"/>
  <c r="AL500" i="47"/>
  <c r="AJ501" i="47"/>
  <c r="AK501" i="47"/>
  <c r="AL501" i="47"/>
  <c r="AJ502" i="47"/>
  <c r="AK502" i="47"/>
  <c r="AL502" i="47"/>
  <c r="AJ503" i="47"/>
  <c r="AK503" i="47"/>
  <c r="AL503" i="47"/>
  <c r="AJ504" i="47"/>
  <c r="AK504" i="47"/>
  <c r="AL504" i="47"/>
  <c r="AJ505" i="47"/>
  <c r="AK505" i="47"/>
  <c r="AL505" i="47"/>
  <c r="AJ506" i="47"/>
  <c r="AK506" i="47"/>
  <c r="AL506" i="47"/>
  <c r="AJ507" i="47"/>
  <c r="AK507" i="47"/>
  <c r="AL507" i="47"/>
  <c r="AJ508" i="47"/>
  <c r="AK508" i="47"/>
  <c r="AL508" i="47"/>
  <c r="AJ509" i="47"/>
  <c r="AK509" i="47"/>
  <c r="AL509" i="47"/>
  <c r="AJ510" i="47"/>
  <c r="AK510" i="47"/>
  <c r="AL510" i="47"/>
  <c r="AJ511" i="47"/>
  <c r="AK511" i="47"/>
  <c r="AL511" i="47"/>
  <c r="AJ512" i="47"/>
  <c r="AK512" i="47"/>
  <c r="AL512" i="47"/>
  <c r="AJ513" i="47"/>
  <c r="AK513" i="47"/>
  <c r="AL513" i="47"/>
  <c r="AJ514" i="47"/>
  <c r="AK514" i="47"/>
  <c r="AL514" i="47"/>
  <c r="AJ515" i="47"/>
  <c r="AK515" i="47"/>
  <c r="AL515" i="47"/>
  <c r="AJ516" i="47"/>
  <c r="AK516" i="47"/>
  <c r="AL516" i="47"/>
  <c r="AH353" i="47"/>
  <c r="AH354" i="47"/>
  <c r="AH355" i="47"/>
  <c r="AH356" i="47"/>
  <c r="AH357" i="47"/>
  <c r="AH358" i="47"/>
  <c r="AH359" i="47"/>
  <c r="AH360" i="47"/>
  <c r="AH361" i="47"/>
  <c r="AH362" i="47"/>
  <c r="AH363" i="47"/>
  <c r="AH364" i="47"/>
  <c r="AH365" i="47"/>
  <c r="AH366" i="47"/>
  <c r="AH367" i="47"/>
  <c r="AH368" i="47"/>
  <c r="AH369" i="47"/>
  <c r="AH370" i="47"/>
  <c r="AH371" i="47"/>
  <c r="AH372" i="47"/>
  <c r="AH373" i="47"/>
  <c r="AH374" i="47"/>
  <c r="AH375" i="47"/>
  <c r="AH376" i="47"/>
  <c r="AH377" i="47"/>
  <c r="AH378" i="47"/>
  <c r="AH379" i="47"/>
  <c r="AH380" i="47"/>
  <c r="AH381" i="47"/>
  <c r="AH382" i="47"/>
  <c r="AH383" i="47"/>
  <c r="AH384" i="47"/>
  <c r="AH385" i="47"/>
  <c r="AH386" i="47"/>
  <c r="AH387" i="47"/>
  <c r="AH388" i="47"/>
  <c r="AH389" i="47"/>
  <c r="AH390" i="47"/>
  <c r="AH391" i="47"/>
  <c r="AH392" i="47"/>
  <c r="AH393" i="47"/>
  <c r="AH394" i="47"/>
  <c r="AH395" i="47"/>
  <c r="AH396" i="47"/>
  <c r="AH397" i="47"/>
  <c r="AH398" i="47"/>
  <c r="AH399" i="47"/>
  <c r="AH400" i="47"/>
  <c r="AH401" i="47"/>
  <c r="AH402" i="47"/>
  <c r="AH403" i="47"/>
  <c r="AH404" i="47"/>
  <c r="AH405" i="47"/>
  <c r="AH406" i="47"/>
  <c r="AH407" i="47"/>
  <c r="AH408" i="47"/>
  <c r="AH409" i="47"/>
  <c r="AH410" i="47"/>
  <c r="AH411" i="47"/>
  <c r="AH412" i="47"/>
  <c r="AH413" i="47"/>
  <c r="AH414" i="47"/>
  <c r="AH415" i="47"/>
  <c r="AH416" i="47"/>
  <c r="AH417" i="47"/>
  <c r="AH418" i="47"/>
  <c r="AH419" i="47"/>
  <c r="AH420" i="47"/>
  <c r="AH421" i="47"/>
  <c r="AH422" i="47"/>
  <c r="AH423" i="47"/>
  <c r="AH424" i="47"/>
  <c r="AH425" i="47"/>
  <c r="AH426" i="47"/>
  <c r="AH427" i="47"/>
  <c r="AH428" i="47"/>
  <c r="AH429" i="47"/>
  <c r="AH430" i="47"/>
  <c r="AH431" i="47"/>
  <c r="AH432" i="47"/>
  <c r="AH433" i="47"/>
  <c r="AH434" i="47"/>
  <c r="AH435" i="47"/>
  <c r="AH436" i="47"/>
  <c r="AH437" i="47"/>
  <c r="AH438" i="47"/>
  <c r="AH439" i="47"/>
  <c r="AH440" i="47"/>
  <c r="AH441" i="47"/>
  <c r="AH442" i="47"/>
  <c r="AH443" i="47"/>
  <c r="AH444" i="47"/>
  <c r="AH445" i="47"/>
  <c r="AH446" i="47"/>
  <c r="AH447" i="47"/>
  <c r="AH448" i="47"/>
  <c r="AH449" i="47"/>
  <c r="AH450" i="47"/>
  <c r="AH451" i="47"/>
  <c r="AH452" i="47"/>
  <c r="AH453" i="47"/>
  <c r="AH454" i="47"/>
  <c r="AH455" i="47"/>
  <c r="AH456" i="47"/>
  <c r="AH457" i="47"/>
  <c r="AH458" i="47"/>
  <c r="AH459" i="47"/>
  <c r="AH460" i="47"/>
  <c r="AH461" i="47"/>
  <c r="AH462" i="47"/>
  <c r="AH463" i="47"/>
  <c r="AH464" i="47"/>
  <c r="AH465" i="47"/>
  <c r="AH466" i="47"/>
  <c r="AH467" i="47"/>
  <c r="AH468" i="47"/>
  <c r="AH469" i="47"/>
  <c r="AH470" i="47"/>
  <c r="AH471" i="47"/>
  <c r="AH472" i="47"/>
  <c r="AH473" i="47"/>
  <c r="AH474" i="47"/>
  <c r="AH475" i="47"/>
  <c r="AH476" i="47"/>
  <c r="AH477" i="47"/>
  <c r="AH478" i="47"/>
  <c r="AH479" i="47"/>
  <c r="AH480" i="47"/>
  <c r="AH481" i="47"/>
  <c r="AH482" i="47"/>
  <c r="AH483" i="47"/>
  <c r="AH484" i="47"/>
  <c r="AH485" i="47"/>
  <c r="AH486" i="47"/>
  <c r="AH487" i="47"/>
  <c r="AH488" i="47"/>
  <c r="AH489" i="47"/>
  <c r="AH490" i="47"/>
  <c r="AH491" i="47"/>
  <c r="AH492" i="47"/>
  <c r="AH493" i="47"/>
  <c r="AH494" i="47"/>
  <c r="AH495" i="47"/>
  <c r="AH496" i="47"/>
  <c r="AH497" i="47"/>
  <c r="AH498" i="47"/>
  <c r="AH499" i="47"/>
  <c r="AH500" i="47"/>
  <c r="AH501" i="47"/>
  <c r="AH502" i="47"/>
  <c r="AH503" i="47"/>
  <c r="AH504" i="47"/>
  <c r="AH505" i="47"/>
  <c r="AH506" i="47"/>
  <c r="AH507" i="47"/>
  <c r="AH508" i="47"/>
  <c r="AH509" i="47"/>
  <c r="AH510" i="47"/>
  <c r="AH511" i="47"/>
  <c r="AH512" i="47"/>
  <c r="AH513" i="47"/>
  <c r="AH514" i="47"/>
  <c r="AH515" i="47"/>
  <c r="AH516" i="47"/>
  <c r="AG353" i="47"/>
  <c r="AG354" i="47"/>
  <c r="AG355" i="47"/>
  <c r="AG356" i="47"/>
  <c r="AG357" i="47"/>
  <c r="AG358" i="47"/>
  <c r="AG359" i="47"/>
  <c r="AG360" i="47"/>
  <c r="AG361" i="47"/>
  <c r="AG362" i="47"/>
  <c r="AG363" i="47"/>
  <c r="AG364" i="47"/>
  <c r="AG365" i="47"/>
  <c r="AG366" i="47"/>
  <c r="AG367" i="47"/>
  <c r="AG368" i="47"/>
  <c r="AG369" i="47"/>
  <c r="AG370" i="47"/>
  <c r="AG371" i="47"/>
  <c r="AG372" i="47"/>
  <c r="AG373" i="47"/>
  <c r="AG374" i="47"/>
  <c r="AG375" i="47"/>
  <c r="AG376" i="47"/>
  <c r="AG377" i="47"/>
  <c r="AG378" i="47"/>
  <c r="AG379" i="47"/>
  <c r="AG380" i="47"/>
  <c r="AG381" i="47"/>
  <c r="AG382" i="47"/>
  <c r="AG383" i="47"/>
  <c r="AG384" i="47"/>
  <c r="AG385" i="47"/>
  <c r="AG386" i="47"/>
  <c r="AG387" i="47"/>
  <c r="AG388" i="47"/>
  <c r="AG389" i="47"/>
  <c r="AG390" i="47"/>
  <c r="AG391" i="47"/>
  <c r="AG392" i="47"/>
  <c r="AG393" i="47"/>
  <c r="AG394" i="47"/>
  <c r="AG395" i="47"/>
  <c r="AG396" i="47"/>
  <c r="AG397" i="47"/>
  <c r="AG398" i="47"/>
  <c r="AG399" i="47"/>
  <c r="AG400" i="47"/>
  <c r="AG401" i="47"/>
  <c r="AG402" i="47"/>
  <c r="AG403" i="47"/>
  <c r="AG404" i="47"/>
  <c r="AG405" i="47"/>
  <c r="AG406" i="47"/>
  <c r="AG407" i="47"/>
  <c r="AG408" i="47"/>
  <c r="AG409" i="47"/>
  <c r="AG410" i="47"/>
  <c r="AG411" i="47"/>
  <c r="AG412" i="47"/>
  <c r="AG413" i="47"/>
  <c r="AG414" i="47"/>
  <c r="AG415" i="47"/>
  <c r="AG416" i="47"/>
  <c r="AG417" i="47"/>
  <c r="AG418" i="47"/>
  <c r="AG419" i="47"/>
  <c r="AG420" i="47"/>
  <c r="AG421" i="47"/>
  <c r="AG422" i="47"/>
  <c r="AG423" i="47"/>
  <c r="AG424" i="47"/>
  <c r="AG425" i="47"/>
  <c r="AG426" i="47"/>
  <c r="AG427" i="47"/>
  <c r="AG428" i="47"/>
  <c r="AG429" i="47"/>
  <c r="AG430" i="47"/>
  <c r="AG431" i="47"/>
  <c r="AG432" i="47"/>
  <c r="AG433" i="47"/>
  <c r="AG434" i="47"/>
  <c r="AG435" i="47"/>
  <c r="AG436" i="47"/>
  <c r="AG437" i="47"/>
  <c r="AG438" i="47"/>
  <c r="AG439" i="47"/>
  <c r="AG440" i="47"/>
  <c r="AG441" i="47"/>
  <c r="AG442" i="47"/>
  <c r="AG443" i="47"/>
  <c r="AG444" i="47"/>
  <c r="AG445" i="47"/>
  <c r="AG446" i="47"/>
  <c r="AG447" i="47"/>
  <c r="AG448" i="47"/>
  <c r="AG449" i="47"/>
  <c r="AG450" i="47"/>
  <c r="AG451" i="47"/>
  <c r="AG452" i="47"/>
  <c r="AG453" i="47"/>
  <c r="AG454" i="47"/>
  <c r="AG455" i="47"/>
  <c r="AG456" i="47"/>
  <c r="AG457" i="47"/>
  <c r="AG458" i="47"/>
  <c r="AG459" i="47"/>
  <c r="AG460" i="47"/>
  <c r="AG461" i="47"/>
  <c r="AG462" i="47"/>
  <c r="AG463" i="47"/>
  <c r="AG464" i="47"/>
  <c r="AG465" i="47"/>
  <c r="AG466" i="47"/>
  <c r="AG467" i="47"/>
  <c r="AG468" i="47"/>
  <c r="AG469" i="47"/>
  <c r="AG470" i="47"/>
  <c r="AG471" i="47"/>
  <c r="AG472" i="47"/>
  <c r="AG473" i="47"/>
  <c r="AG474" i="47"/>
  <c r="AG475" i="47"/>
  <c r="AG476" i="47"/>
  <c r="AG477" i="47"/>
  <c r="AG478" i="47"/>
  <c r="AG479" i="47"/>
  <c r="AG480" i="47"/>
  <c r="AG481" i="47"/>
  <c r="AG482" i="47"/>
  <c r="AG483" i="47"/>
  <c r="AG484" i="47"/>
  <c r="AG485" i="47"/>
  <c r="AG486" i="47"/>
  <c r="AG487" i="47"/>
  <c r="AG488" i="47"/>
  <c r="AG489" i="47"/>
  <c r="AG490" i="47"/>
  <c r="AG491" i="47"/>
  <c r="AG492" i="47"/>
  <c r="AG493" i="47"/>
  <c r="AG494" i="47"/>
  <c r="AG495" i="47"/>
  <c r="AG496" i="47"/>
  <c r="AG497" i="47"/>
  <c r="AG498" i="47"/>
  <c r="AG499" i="47"/>
  <c r="AG500" i="47"/>
  <c r="AG501" i="47"/>
  <c r="AG502" i="47"/>
  <c r="AG503" i="47"/>
  <c r="AG504" i="47"/>
  <c r="AG505" i="47"/>
  <c r="AG506" i="47"/>
  <c r="AG507" i="47"/>
  <c r="AG508" i="47"/>
  <c r="AG509" i="47"/>
  <c r="AG510" i="47"/>
  <c r="AG511" i="47"/>
  <c r="AG512" i="47"/>
  <c r="AG513" i="47"/>
  <c r="AG514" i="47"/>
  <c r="AG515" i="47"/>
  <c r="AG516" i="47"/>
  <c r="AI352" i="47"/>
  <c r="AG352" i="47"/>
  <c r="BW365" i="47"/>
  <c r="BK365" i="47"/>
  <c r="AY365" i="47"/>
  <c r="CE364" i="47"/>
  <c r="CD364" i="47"/>
  <c r="CC364" i="47"/>
  <c r="CB364" i="47"/>
  <c r="CA364" i="47"/>
  <c r="BZ364" i="47"/>
  <c r="BY364" i="47"/>
  <c r="BX364" i="47"/>
  <c r="BW364" i="47"/>
  <c r="BV364" i="47"/>
  <c r="BU364" i="47"/>
  <c r="BT364" i="47"/>
  <c r="BS364" i="47"/>
  <c r="BR364" i="47"/>
  <c r="BQ364" i="47"/>
  <c r="BP364" i="47"/>
  <c r="BO364" i="47"/>
  <c r="BN364" i="47"/>
  <c r="BM364" i="47"/>
  <c r="BL364" i="47"/>
  <c r="BK364" i="47"/>
  <c r="BJ364" i="47"/>
  <c r="BI364" i="47"/>
  <c r="BH364" i="47"/>
  <c r="BG364" i="47"/>
  <c r="BF364" i="47"/>
  <c r="BE364" i="47"/>
  <c r="BD364" i="47"/>
  <c r="BC364" i="47"/>
  <c r="BB364" i="47"/>
  <c r="BA364" i="47"/>
  <c r="AZ364" i="47"/>
  <c r="AY364" i="47"/>
  <c r="AX364" i="47"/>
  <c r="AW364" i="47"/>
  <c r="AV364" i="47"/>
  <c r="AU364" i="47"/>
  <c r="AT364" i="47"/>
  <c r="AS364" i="47"/>
  <c r="AR364" i="47"/>
  <c r="AQ364" i="47"/>
  <c r="AP364" i="47"/>
  <c r="AO364" i="47"/>
  <c r="AN364" i="47"/>
  <c r="CE363" i="47"/>
  <c r="CD363" i="47"/>
  <c r="CC363" i="47"/>
  <c r="CB363" i="47"/>
  <c r="CA363" i="47"/>
  <c r="BZ363" i="47"/>
  <c r="BY363" i="47"/>
  <c r="BX363" i="47"/>
  <c r="BW363" i="47"/>
  <c r="BV363" i="47"/>
  <c r="BU363" i="47"/>
  <c r="BT363" i="47"/>
  <c r="BS363" i="47"/>
  <c r="BR363" i="47"/>
  <c r="BQ363" i="47"/>
  <c r="BP363" i="47"/>
  <c r="BO363" i="47"/>
  <c r="BN363" i="47"/>
  <c r="BM363" i="47"/>
  <c r="BL363" i="47"/>
  <c r="BK363" i="47"/>
  <c r="BJ363" i="47"/>
  <c r="BI363" i="47"/>
  <c r="BH363" i="47"/>
  <c r="BG363" i="47"/>
  <c r="BF363" i="47"/>
  <c r="BE363" i="47"/>
  <c r="BD363" i="47"/>
  <c r="BC363" i="47"/>
  <c r="BB363" i="47"/>
  <c r="BA363" i="47"/>
  <c r="AZ363" i="47"/>
  <c r="AY363" i="47"/>
  <c r="AX363" i="47"/>
  <c r="AW363" i="47"/>
  <c r="AV363" i="47"/>
  <c r="AU363" i="47"/>
  <c r="AT363" i="47"/>
  <c r="AS363" i="47"/>
  <c r="AR363" i="47"/>
  <c r="AQ363" i="47"/>
  <c r="AP363" i="47"/>
  <c r="AO363" i="47"/>
  <c r="AN363" i="47"/>
  <c r="CE362" i="47"/>
  <c r="CE365" i="47" s="1"/>
  <c r="CD362" i="47"/>
  <c r="CC362" i="47"/>
  <c r="CC365" i="47" s="1"/>
  <c r="CB362" i="47"/>
  <c r="CB365" i="47" s="1"/>
  <c r="CA362" i="47"/>
  <c r="BZ362" i="47"/>
  <c r="BZ365" i="47" s="1"/>
  <c r="BY362" i="47"/>
  <c r="BY365" i="47" s="1"/>
  <c r="BX362" i="47"/>
  <c r="BW362" i="47"/>
  <c r="BV362" i="47"/>
  <c r="BV365" i="47" s="1"/>
  <c r="BU362" i="47"/>
  <c r="BT362" i="47"/>
  <c r="BT365" i="47" s="1"/>
  <c r="BS362" i="47"/>
  <c r="BS365" i="47" s="1"/>
  <c r="BR362" i="47"/>
  <c r="BQ362" i="47"/>
  <c r="BQ365" i="47" s="1"/>
  <c r="BP362" i="47"/>
  <c r="BP365" i="47" s="1"/>
  <c r="BO362" i="47"/>
  <c r="BN362" i="47"/>
  <c r="BN365" i="47" s="1"/>
  <c r="BM362" i="47"/>
  <c r="BM365" i="47" s="1"/>
  <c r="BL362" i="47"/>
  <c r="BK362" i="47"/>
  <c r="BJ362" i="47"/>
  <c r="BJ365" i="47" s="1"/>
  <c r="BI362" i="47"/>
  <c r="BH362" i="47"/>
  <c r="BH365" i="47" s="1"/>
  <c r="BG362" i="47"/>
  <c r="BG365" i="47" s="1"/>
  <c r="BF362" i="47"/>
  <c r="BE362" i="47"/>
  <c r="BE365" i="47" s="1"/>
  <c r="BD362" i="47"/>
  <c r="BD365" i="47" s="1"/>
  <c r="BC362" i="47"/>
  <c r="BB362" i="47"/>
  <c r="BB365" i="47" s="1"/>
  <c r="BA362" i="47"/>
  <c r="BA365" i="47" s="1"/>
  <c r="AZ362" i="47"/>
  <c r="AY362" i="47"/>
  <c r="AX362" i="47"/>
  <c r="AX365" i="47" s="1"/>
  <c r="AW362" i="47"/>
  <c r="AV362" i="47"/>
  <c r="AV365" i="47" s="1"/>
  <c r="AU362" i="47"/>
  <c r="AU365" i="47" s="1"/>
  <c r="AT362" i="47"/>
  <c r="AS362" i="47"/>
  <c r="AS365" i="47" s="1"/>
  <c r="AR362" i="47"/>
  <c r="AR365" i="47" s="1"/>
  <c r="AQ362" i="47"/>
  <c r="AP362" i="47"/>
  <c r="AP365" i="47" s="1"/>
  <c r="AO362" i="47"/>
  <c r="AO365" i="47" s="1"/>
  <c r="CE366" i="47" s="1"/>
  <c r="AN362" i="47"/>
  <c r="AL352" i="47"/>
  <c r="AK352" i="47"/>
  <c r="AJ352" i="47"/>
  <c r="AH352" i="47"/>
  <c r="AF508" i="47"/>
  <c r="AF496" i="47"/>
  <c r="AF487" i="47"/>
  <c r="AF476" i="47"/>
  <c r="AF466" i="47"/>
  <c r="AF456" i="47"/>
  <c r="AF444" i="47"/>
  <c r="AF437" i="47"/>
  <c r="AF427" i="47"/>
  <c r="AF419" i="47"/>
  <c r="AF409" i="47"/>
  <c r="AF401" i="47"/>
  <c r="AF382" i="47"/>
  <c r="AF373" i="47"/>
  <c r="AF362" i="47"/>
  <c r="B45" i="53" l="1"/>
  <c r="AH722" i="47"/>
  <c r="B728" i="47" s="1"/>
  <c r="AL698" i="47"/>
  <c r="AL699" i="47" s="1"/>
  <c r="AG698" i="47"/>
  <c r="AM698" i="47"/>
  <c r="AH698" i="47"/>
  <c r="CE547" i="47"/>
  <c r="CE548" i="47" s="1"/>
  <c r="AH517" i="47"/>
  <c r="AG517" i="47"/>
  <c r="AM517" i="47"/>
  <c r="B344" i="47" l="1"/>
  <c r="B343" i="47"/>
  <c r="B342" i="47"/>
  <c r="B341" i="47"/>
  <c r="B340" i="47"/>
  <c r="AN336" i="47" a="1"/>
  <c r="AN336" i="47" s="1"/>
  <c r="AM336" i="47" a="1"/>
  <c r="AM336" i="47" s="1"/>
  <c r="AL336" i="47" a="1"/>
  <c r="AL336" i="47" s="1"/>
  <c r="AN335" i="47" a="1"/>
  <c r="AN335" i="47" s="1"/>
  <c r="AM335" i="47" a="1"/>
  <c r="AM335" i="47" s="1"/>
  <c r="AL335" i="47" a="1"/>
  <c r="AL335" i="47" s="1"/>
  <c r="AN334" i="47" a="1"/>
  <c r="AN334" i="47" s="1"/>
  <c r="AM334" i="47" a="1"/>
  <c r="AM334" i="47" s="1"/>
  <c r="AL334" i="47" a="1"/>
  <c r="AL334" i="47" s="1"/>
  <c r="AN337" i="47"/>
  <c r="AI335" i="47"/>
  <c r="AJ335" i="47"/>
  <c r="AK335" i="47"/>
  <c r="AH334" i="47"/>
  <c r="AG334" i="47"/>
  <c r="B318" i="47"/>
  <c r="B317" i="47"/>
  <c r="B316" i="47"/>
  <c r="B315" i="47"/>
  <c r="B314" i="47"/>
  <c r="B313" i="47"/>
  <c r="AH309" i="47"/>
  <c r="AN310" i="47"/>
  <c r="AG309" i="47"/>
  <c r="AN309" i="47" a="1"/>
  <c r="AN309" i="47" s="1"/>
  <c r="AM309" i="47" a="1"/>
  <c r="AM309" i="47" s="1"/>
  <c r="AL309" i="47" a="1"/>
  <c r="AL309" i="47" s="1"/>
  <c r="AF309" i="47"/>
  <c r="B301" i="47"/>
  <c r="B300" i="47"/>
  <c r="B298" i="47"/>
  <c r="S293" i="47"/>
  <c r="AK293" i="47"/>
  <c r="AI267" i="47"/>
  <c r="AJ267" i="47"/>
  <c r="AK267" i="47"/>
  <c r="AI268" i="47"/>
  <c r="AJ268" i="47"/>
  <c r="AK268" i="47"/>
  <c r="AI269" i="47"/>
  <c r="AJ269" i="47"/>
  <c r="AK269" i="47"/>
  <c r="AI270" i="47"/>
  <c r="AJ270" i="47"/>
  <c r="AK270" i="47"/>
  <c r="AI271" i="47"/>
  <c r="AJ271" i="47"/>
  <c r="AK271" i="47"/>
  <c r="AI272" i="47"/>
  <c r="AJ272" i="47"/>
  <c r="AK272" i="47"/>
  <c r="AI273" i="47"/>
  <c r="AJ273" i="47"/>
  <c r="AK273" i="47"/>
  <c r="AI274" i="47"/>
  <c r="AJ274" i="47"/>
  <c r="AK274" i="47"/>
  <c r="AI275" i="47"/>
  <c r="AJ275" i="47"/>
  <c r="AK275" i="47"/>
  <c r="AI276" i="47"/>
  <c r="AJ276" i="47"/>
  <c r="AK276" i="47"/>
  <c r="AI277" i="47"/>
  <c r="AJ277" i="47"/>
  <c r="AK277" i="47"/>
  <c r="AI278" i="47"/>
  <c r="AJ278" i="47"/>
  <c r="AK278" i="47"/>
  <c r="AI279" i="47"/>
  <c r="AJ279" i="47"/>
  <c r="AK279" i="47"/>
  <c r="AI280" i="47"/>
  <c r="AJ280" i="47"/>
  <c r="AK280" i="47"/>
  <c r="AI281" i="47"/>
  <c r="AJ281" i="47"/>
  <c r="AK281" i="47"/>
  <c r="AI282" i="47"/>
  <c r="AJ282" i="47"/>
  <c r="AK282" i="47"/>
  <c r="AI283" i="47"/>
  <c r="AJ283" i="47"/>
  <c r="AK283" i="47"/>
  <c r="AI284" i="47"/>
  <c r="AJ284" i="47"/>
  <c r="AK284" i="47"/>
  <c r="AI285" i="47"/>
  <c r="AJ285" i="47"/>
  <c r="AK285" i="47"/>
  <c r="AI286" i="47"/>
  <c r="AJ286" i="47"/>
  <c r="AK286" i="47"/>
  <c r="AI287" i="47"/>
  <c r="AJ287" i="47"/>
  <c r="AK287" i="47"/>
  <c r="AI288" i="47"/>
  <c r="AJ288" i="47"/>
  <c r="AK288" i="47"/>
  <c r="AI289" i="47"/>
  <c r="AJ289" i="47"/>
  <c r="AK289" i="47"/>
  <c r="AI290" i="47"/>
  <c r="AJ290" i="47"/>
  <c r="AK290" i="47"/>
  <c r="AI291" i="47"/>
  <c r="AJ291" i="47"/>
  <c r="AK291" i="47"/>
  <c r="AI292" i="47"/>
  <c r="AJ292" i="47"/>
  <c r="AK292" i="47"/>
  <c r="AH266" i="47"/>
  <c r="B299" i="47" s="1"/>
  <c r="AG266" i="47"/>
  <c r="B297" i="47" s="1"/>
  <c r="S250" i="47"/>
  <c r="AP234" i="47" s="1" a="1"/>
  <c r="AP234" i="47" s="1"/>
  <c r="B259" i="47"/>
  <c r="B257" i="47"/>
  <c r="B253" i="47"/>
  <c r="AQ234" i="47" a="1"/>
  <c r="AQ234" i="47" s="1"/>
  <c r="AO234" i="47" a="1"/>
  <c r="AO234" i="47" s="1"/>
  <c r="AN250" i="47"/>
  <c r="B261" i="47" s="1"/>
  <c r="AL235" i="47" a="1"/>
  <c r="AL235" i="47" s="1"/>
  <c r="AM235" i="47" a="1"/>
  <c r="AM235" i="47" s="1"/>
  <c r="AN235" i="47" a="1"/>
  <c r="AN235" i="47" s="1"/>
  <c r="AL236" i="47" a="1"/>
  <c r="AL236" i="47" s="1"/>
  <c r="AM236" i="47" a="1"/>
  <c r="AM236" i="47" s="1"/>
  <c r="AN236" i="47" a="1"/>
  <c r="AN236" i="47" s="1"/>
  <c r="AL237" i="47" a="1"/>
  <c r="AL237" i="47" s="1"/>
  <c r="AM237" i="47" a="1"/>
  <c r="AM237" i="47" s="1"/>
  <c r="AN237" i="47" a="1"/>
  <c r="AN237" i="47" s="1"/>
  <c r="AL238" i="47" a="1"/>
  <c r="AL238" i="47" s="1"/>
  <c r="AM238" i="47" a="1"/>
  <c r="AM238" i="47" s="1"/>
  <c r="AN238" i="47" a="1"/>
  <c r="AN238" i="47" s="1"/>
  <c r="AL239" i="47" a="1"/>
  <c r="AL239" i="47" s="1"/>
  <c r="AM239" i="47" a="1"/>
  <c r="AM239" i="47" s="1"/>
  <c r="AN239" i="47" a="1"/>
  <c r="AN239" i="47" s="1"/>
  <c r="AL240" i="47" a="1"/>
  <c r="AL240" i="47" s="1"/>
  <c r="AM240" i="47" a="1"/>
  <c r="AM240" i="47" s="1"/>
  <c r="AN240" i="47" a="1"/>
  <c r="AN240" i="47" s="1"/>
  <c r="AL241" i="47" a="1"/>
  <c r="AL241" i="47" s="1"/>
  <c r="AM241" i="47" a="1"/>
  <c r="AM241" i="47" s="1"/>
  <c r="AN241" i="47" a="1"/>
  <c r="AN241" i="47" s="1"/>
  <c r="AL242" i="47" a="1"/>
  <c r="AL242" i="47" s="1"/>
  <c r="AM242" i="47" a="1"/>
  <c r="AM242" i="47" s="1"/>
  <c r="AN242" i="47" a="1"/>
  <c r="AN242" i="47" s="1"/>
  <c r="AL243" i="47" a="1"/>
  <c r="AL243" i="47" s="1"/>
  <c r="AM243" i="47" a="1"/>
  <c r="AM243" i="47" s="1"/>
  <c r="AN243" i="47" a="1"/>
  <c r="AN243" i="47" s="1"/>
  <c r="AL244" i="47" a="1"/>
  <c r="AL244" i="47" s="1"/>
  <c r="AM244" i="47" a="1"/>
  <c r="AM244" i="47" s="1"/>
  <c r="AN244" i="47" a="1"/>
  <c r="AN244" i="47" s="1"/>
  <c r="AL245" i="47" a="1"/>
  <c r="AL245" i="47" s="1"/>
  <c r="AM245" i="47" a="1"/>
  <c r="AM245" i="47" s="1"/>
  <c r="AN245" i="47" a="1"/>
  <c r="AN245" i="47" s="1"/>
  <c r="AL246" i="47" a="1"/>
  <c r="AL246" i="47" s="1"/>
  <c r="AM246" i="47" a="1"/>
  <c r="AM246" i="47" s="1"/>
  <c r="AN246" i="47" a="1"/>
  <c r="AN246" i="47" s="1"/>
  <c r="AL247" i="47" a="1"/>
  <c r="AL247" i="47" s="1"/>
  <c r="AM247" i="47" a="1"/>
  <c r="AM247" i="47" s="1"/>
  <c r="AN247" i="47" a="1"/>
  <c r="AN247" i="47" s="1"/>
  <c r="AL248" i="47" a="1"/>
  <c r="AL248" i="47" s="1"/>
  <c r="AM248" i="47" a="1"/>
  <c r="AM248" i="47" s="1"/>
  <c r="AN248" i="47" a="1"/>
  <c r="AN248" i="47" s="1"/>
  <c r="AL249" i="47" a="1"/>
  <c r="AL249" i="47" s="1"/>
  <c r="AM249" i="47" a="1"/>
  <c r="AM249" i="47" s="1"/>
  <c r="AN249" i="47" a="1"/>
  <c r="AN249" i="47" s="1"/>
  <c r="AL234" i="47" a="1"/>
  <c r="AL234" i="47" s="1"/>
  <c r="AK250" i="47"/>
  <c r="AI235" i="47"/>
  <c r="AJ235" i="47"/>
  <c r="AK235" i="47"/>
  <c r="AI236" i="47"/>
  <c r="AJ236" i="47"/>
  <c r="AK236" i="47"/>
  <c r="AI237" i="47"/>
  <c r="AJ237" i="47"/>
  <c r="AK237" i="47"/>
  <c r="AI238" i="47"/>
  <c r="AJ238" i="47"/>
  <c r="AK238" i="47"/>
  <c r="AI239" i="47"/>
  <c r="AJ239" i="47"/>
  <c r="AK239" i="47"/>
  <c r="AI240" i="47"/>
  <c r="AJ240" i="47"/>
  <c r="AK240" i="47"/>
  <c r="AI241" i="47"/>
  <c r="AJ241" i="47"/>
  <c r="AK241" i="47"/>
  <c r="AI242" i="47"/>
  <c r="AJ242" i="47"/>
  <c r="AK242" i="47"/>
  <c r="AI243" i="47"/>
  <c r="AJ243" i="47"/>
  <c r="AK243" i="47"/>
  <c r="AI244" i="47"/>
  <c r="AJ244" i="47"/>
  <c r="AK244" i="47"/>
  <c r="AI245" i="47"/>
  <c r="AJ245" i="47"/>
  <c r="AK245" i="47"/>
  <c r="AI246" i="47"/>
  <c r="AJ246" i="47"/>
  <c r="AK246" i="47"/>
  <c r="AI247" i="47"/>
  <c r="AJ247" i="47"/>
  <c r="AK247" i="47"/>
  <c r="AI248" i="47"/>
  <c r="AJ248" i="47"/>
  <c r="AK248" i="47"/>
  <c r="AI249" i="47"/>
  <c r="AJ249" i="47"/>
  <c r="AK249" i="47"/>
  <c r="AH234" i="47"/>
  <c r="AH235" i="47" s="1"/>
  <c r="B258" i="47" s="1"/>
  <c r="AG234" i="47"/>
  <c r="B256" i="47" s="1"/>
  <c r="AF234" i="47"/>
  <c r="Y250" i="47"/>
  <c r="M250" i="47"/>
  <c r="AQ235" i="47"/>
  <c r="B260" i="47" s="1"/>
  <c r="AN234" i="47" a="1"/>
  <c r="AN234" i="47" s="1"/>
  <c r="AM234" i="47" a="1"/>
  <c r="AM234" i="47" s="1"/>
  <c r="AK234" i="47"/>
  <c r="AJ234" i="47"/>
  <c r="AI234" i="47"/>
  <c r="B224" i="47"/>
  <c r="B223" i="47"/>
  <c r="B221" i="47"/>
  <c r="AI214" i="47"/>
  <c r="AJ214" i="47"/>
  <c r="AK214" i="47"/>
  <c r="AI215" i="47"/>
  <c r="AJ215" i="47"/>
  <c r="AK215" i="47"/>
  <c r="AH213" i="47"/>
  <c r="B222" i="47" s="1"/>
  <c r="AG213" i="47"/>
  <c r="B220" i="47" s="1"/>
  <c r="B207" i="47"/>
  <c r="B206" i="47"/>
  <c r="B204" i="47"/>
  <c r="M199" i="47"/>
  <c r="AI197" i="47"/>
  <c r="AJ197" i="47"/>
  <c r="AK197" i="47"/>
  <c r="AI198" i="47"/>
  <c r="AJ198" i="47"/>
  <c r="AK198" i="47"/>
  <c r="AH196" i="47"/>
  <c r="B205" i="47" s="1"/>
  <c r="AG196" i="47"/>
  <c r="B203" i="47" s="1"/>
  <c r="B190" i="47"/>
  <c r="B189" i="47"/>
  <c r="B187" i="47"/>
  <c r="AI178" i="47"/>
  <c r="AJ178" i="47"/>
  <c r="AK178" i="47"/>
  <c r="AI179" i="47"/>
  <c r="AJ179" i="47"/>
  <c r="AK179" i="47"/>
  <c r="AI180" i="47"/>
  <c r="AJ180" i="47"/>
  <c r="AK180" i="47"/>
  <c r="AI181" i="47"/>
  <c r="AJ181" i="47"/>
  <c r="AK181" i="47"/>
  <c r="AH177" i="47"/>
  <c r="B188" i="47" s="1"/>
  <c r="AG177" i="47"/>
  <c r="B186" i="47" s="1"/>
  <c r="B171" i="47"/>
  <c r="B170" i="47"/>
  <c r="B168" i="47"/>
  <c r="B167" i="47"/>
  <c r="AI150" i="47"/>
  <c r="AJ150" i="47"/>
  <c r="AK150" i="47"/>
  <c r="AI151" i="47"/>
  <c r="AJ151" i="47"/>
  <c r="AK151" i="47"/>
  <c r="AI152" i="47"/>
  <c r="AJ152" i="47"/>
  <c r="AK152" i="47"/>
  <c r="AI153" i="47"/>
  <c r="AJ153" i="47"/>
  <c r="AK153" i="47"/>
  <c r="AI154" i="47"/>
  <c r="AJ154" i="47"/>
  <c r="AK154" i="47"/>
  <c r="AI155" i="47"/>
  <c r="AJ155" i="47"/>
  <c r="AK155" i="47"/>
  <c r="AI156" i="47"/>
  <c r="AJ156" i="47"/>
  <c r="AK156" i="47"/>
  <c r="AI157" i="47"/>
  <c r="AJ157" i="47"/>
  <c r="AK157" i="47"/>
  <c r="AI158" i="47"/>
  <c r="AJ158" i="47"/>
  <c r="AK158" i="47"/>
  <c r="AI159" i="47"/>
  <c r="AJ159" i="47"/>
  <c r="AK159" i="47"/>
  <c r="AI160" i="47"/>
  <c r="AJ160" i="47"/>
  <c r="AK160" i="47"/>
  <c r="AH149" i="47"/>
  <c r="B169" i="47" s="1"/>
  <c r="AG149" i="47"/>
  <c r="B143" i="47"/>
  <c r="B142" i="47"/>
  <c r="B140" i="47"/>
  <c r="AK133" i="47"/>
  <c r="AI114" i="47"/>
  <c r="AJ114" i="47"/>
  <c r="AK114" i="47"/>
  <c r="AI115" i="47"/>
  <c r="AJ115" i="47"/>
  <c r="AK115" i="47"/>
  <c r="AI116" i="47"/>
  <c r="AJ116" i="47"/>
  <c r="AK116" i="47"/>
  <c r="AI117" i="47"/>
  <c r="AJ117" i="47"/>
  <c r="AK117" i="47"/>
  <c r="AI118" i="47"/>
  <c r="AJ118" i="47"/>
  <c r="AK118" i="47"/>
  <c r="AI119" i="47"/>
  <c r="AJ119" i="47"/>
  <c r="AK119" i="47"/>
  <c r="AI120" i="47"/>
  <c r="AJ120" i="47"/>
  <c r="AK120" i="47"/>
  <c r="AI121" i="47"/>
  <c r="AJ121" i="47"/>
  <c r="AK121" i="47"/>
  <c r="AI122" i="47"/>
  <c r="AJ122" i="47"/>
  <c r="AK122" i="47"/>
  <c r="AI123" i="47"/>
  <c r="AJ123" i="47"/>
  <c r="AK123" i="47"/>
  <c r="AI124" i="47"/>
  <c r="AJ124" i="47"/>
  <c r="AK124" i="47"/>
  <c r="AI125" i="47"/>
  <c r="AJ125" i="47"/>
  <c r="AK125" i="47"/>
  <c r="AI126" i="47"/>
  <c r="AJ126" i="47"/>
  <c r="AK126" i="47"/>
  <c r="AI127" i="47"/>
  <c r="AJ127" i="47"/>
  <c r="AK127" i="47"/>
  <c r="AI128" i="47"/>
  <c r="AJ128" i="47"/>
  <c r="AK128" i="47"/>
  <c r="AI129" i="47"/>
  <c r="AJ129" i="47"/>
  <c r="AK129" i="47"/>
  <c r="AI130" i="47"/>
  <c r="AJ130" i="47"/>
  <c r="AK130" i="47"/>
  <c r="AI131" i="47"/>
  <c r="AJ131" i="47"/>
  <c r="AK131" i="47"/>
  <c r="AI132" i="47"/>
  <c r="AJ132" i="47"/>
  <c r="AK132" i="47"/>
  <c r="AH113" i="47"/>
  <c r="B141" i="47" s="1"/>
  <c r="AG113" i="47"/>
  <c r="B139" i="47" s="1"/>
  <c r="B107" i="47"/>
  <c r="B106" i="47"/>
  <c r="B104" i="47"/>
  <c r="AI91" i="47"/>
  <c r="AJ91" i="47"/>
  <c r="AK91" i="47"/>
  <c r="AI92" i="47"/>
  <c r="AJ92" i="47"/>
  <c r="AK92" i="47"/>
  <c r="AI93" i="47"/>
  <c r="AJ93" i="47"/>
  <c r="AK93" i="47"/>
  <c r="AI94" i="47"/>
  <c r="AJ94" i="47"/>
  <c r="AK94" i="47"/>
  <c r="AI95" i="47"/>
  <c r="AJ95" i="47"/>
  <c r="AK95" i="47"/>
  <c r="AI96" i="47"/>
  <c r="AJ96" i="47"/>
  <c r="AK96" i="47"/>
  <c r="AI97" i="47"/>
  <c r="AJ97" i="47"/>
  <c r="AK97" i="47"/>
  <c r="AI98" i="47"/>
  <c r="AJ98" i="47"/>
  <c r="AK98" i="47"/>
  <c r="AK99" i="47" s="1"/>
  <c r="AH90" i="47"/>
  <c r="B105" i="47" s="1"/>
  <c r="AG90" i="47"/>
  <c r="B103" i="47" s="1"/>
  <c r="B83" i="47"/>
  <c r="B82" i="47"/>
  <c r="B80" i="47"/>
  <c r="AI68" i="47"/>
  <c r="AJ68" i="47"/>
  <c r="AK68" i="47"/>
  <c r="AI69" i="47"/>
  <c r="AJ69" i="47"/>
  <c r="AK69" i="47"/>
  <c r="AI70" i="47"/>
  <c r="AJ70" i="47"/>
  <c r="AK70" i="47"/>
  <c r="AI71" i="47"/>
  <c r="AJ71" i="47"/>
  <c r="AK71" i="47"/>
  <c r="AI72" i="47"/>
  <c r="AJ72" i="47"/>
  <c r="AK72" i="47"/>
  <c r="AI73" i="47"/>
  <c r="AJ73" i="47"/>
  <c r="AK73" i="47"/>
  <c r="AI74" i="47"/>
  <c r="AJ74" i="47"/>
  <c r="AK74" i="47"/>
  <c r="AH67" i="47"/>
  <c r="B81" i="47" s="1"/>
  <c r="AG67" i="47"/>
  <c r="B79" i="47" s="1"/>
  <c r="B59" i="47"/>
  <c r="B58" i="47"/>
  <c r="B56" i="47"/>
  <c r="AH48" i="47"/>
  <c r="B57" i="47" s="1"/>
  <c r="AI49" i="47"/>
  <c r="AJ49" i="47"/>
  <c r="AK49" i="47"/>
  <c r="AI50" i="47"/>
  <c r="AJ50" i="47"/>
  <c r="AK50" i="47"/>
  <c r="AK48" i="47"/>
  <c r="AK67" i="47"/>
  <c r="AK90" i="47"/>
  <c r="AK113" i="47"/>
  <c r="AK149" i="47"/>
  <c r="AK177" i="47"/>
  <c r="AK196" i="47"/>
  <c r="AK213" i="47"/>
  <c r="AK266" i="47"/>
  <c r="AK334" i="47"/>
  <c r="AG48" i="47"/>
  <c r="B55" i="47" s="1"/>
  <c r="B40" i="47"/>
  <c r="B38" i="47"/>
  <c r="AK34" i="47"/>
  <c r="AK33" i="47"/>
  <c r="AH33" i="47"/>
  <c r="AG33" i="47"/>
  <c r="AF33" i="47"/>
  <c r="B41" i="47" s="1"/>
  <c r="B902" i="52" l="1"/>
  <c r="B901" i="52"/>
  <c r="B900" i="52"/>
  <c r="B899" i="52"/>
  <c r="B898" i="52"/>
  <c r="B897" i="52"/>
  <c r="B894" i="52"/>
  <c r="DA765" i="52"/>
  <c r="AJ720" i="52"/>
  <c r="AH558" i="52"/>
  <c r="AH559" i="52"/>
  <c r="AH560" i="52"/>
  <c r="AH561" i="52"/>
  <c r="AH562" i="52"/>
  <c r="AH563" i="52"/>
  <c r="AH564" i="52"/>
  <c r="AH565" i="52"/>
  <c r="AH566" i="52"/>
  <c r="AH567" i="52"/>
  <c r="AH568" i="52"/>
  <c r="AH569" i="52"/>
  <c r="AH570" i="52"/>
  <c r="AH571" i="52"/>
  <c r="AH572" i="52"/>
  <c r="AH573" i="52"/>
  <c r="AH574" i="52"/>
  <c r="AH575" i="52"/>
  <c r="AH576" i="52"/>
  <c r="AH577" i="52"/>
  <c r="AH578" i="52"/>
  <c r="AH579" i="52"/>
  <c r="AH580" i="52"/>
  <c r="AH581" i="52"/>
  <c r="AH582" i="52"/>
  <c r="AH583" i="52"/>
  <c r="AH584" i="52"/>
  <c r="AH585" i="52"/>
  <c r="AH586" i="52"/>
  <c r="AH587" i="52"/>
  <c r="AH588" i="52"/>
  <c r="AH589" i="52"/>
  <c r="AH590" i="52"/>
  <c r="AH591" i="52"/>
  <c r="AH592" i="52"/>
  <c r="AH593" i="52"/>
  <c r="AH594" i="52"/>
  <c r="AH595" i="52"/>
  <c r="AH596" i="52"/>
  <c r="AH597" i="52"/>
  <c r="AH598" i="52"/>
  <c r="AH599" i="52"/>
  <c r="AH600" i="52"/>
  <c r="AH601" i="52"/>
  <c r="AH602" i="52"/>
  <c r="AH603" i="52"/>
  <c r="AH604" i="52"/>
  <c r="AH605" i="52"/>
  <c r="AH606" i="52"/>
  <c r="AH607" i="52"/>
  <c r="AH608" i="52"/>
  <c r="AH609" i="52"/>
  <c r="AH610" i="52"/>
  <c r="AH611" i="52"/>
  <c r="AH612" i="52"/>
  <c r="AH613" i="52"/>
  <c r="AH614" i="52"/>
  <c r="AH615" i="52"/>
  <c r="AH616" i="52"/>
  <c r="AH617" i="52"/>
  <c r="AH618" i="52"/>
  <c r="AH619" i="52"/>
  <c r="AH620" i="52"/>
  <c r="AH621" i="52"/>
  <c r="AH622" i="52"/>
  <c r="AH623" i="52"/>
  <c r="AH624" i="52"/>
  <c r="AH625" i="52"/>
  <c r="AH626" i="52"/>
  <c r="AH627" i="52"/>
  <c r="AH628" i="52"/>
  <c r="AH629" i="52"/>
  <c r="AH630" i="52"/>
  <c r="AH631" i="52"/>
  <c r="AH632" i="52"/>
  <c r="AH633" i="52"/>
  <c r="AH634" i="52"/>
  <c r="AH635" i="52"/>
  <c r="AH636" i="52"/>
  <c r="AH637" i="52"/>
  <c r="AH638" i="52"/>
  <c r="AH639" i="52"/>
  <c r="AH640" i="52"/>
  <c r="AH641" i="52"/>
  <c r="AH642" i="52"/>
  <c r="AH643" i="52"/>
  <c r="AH644" i="52"/>
  <c r="AH645" i="52"/>
  <c r="AH646" i="52"/>
  <c r="AH647" i="52"/>
  <c r="AH648" i="52"/>
  <c r="AH649" i="52"/>
  <c r="AH650" i="52"/>
  <c r="AH651" i="52"/>
  <c r="AH652" i="52"/>
  <c r="AH653" i="52"/>
  <c r="AH654" i="52"/>
  <c r="AH655" i="52"/>
  <c r="AH656" i="52"/>
  <c r="AH657" i="52"/>
  <c r="AH658" i="52"/>
  <c r="AH659" i="52"/>
  <c r="AH660" i="52"/>
  <c r="AH661" i="52"/>
  <c r="AH662" i="52"/>
  <c r="AH663" i="52"/>
  <c r="AH664" i="52"/>
  <c r="AH665" i="52"/>
  <c r="AH666" i="52"/>
  <c r="AH667" i="52"/>
  <c r="AH668" i="52"/>
  <c r="AH669" i="52"/>
  <c r="AH670" i="52"/>
  <c r="AH671" i="52"/>
  <c r="AH672" i="52"/>
  <c r="AH673" i="52"/>
  <c r="AH674" i="52"/>
  <c r="AH675" i="52"/>
  <c r="AH676" i="52"/>
  <c r="AH677" i="52"/>
  <c r="AH678" i="52"/>
  <c r="AH679" i="52"/>
  <c r="AH680" i="52"/>
  <c r="AH681" i="52"/>
  <c r="AH682" i="52"/>
  <c r="AH683" i="52"/>
  <c r="AH684" i="52"/>
  <c r="AH685" i="52"/>
  <c r="AH686" i="52"/>
  <c r="AH687" i="52"/>
  <c r="AH688" i="52"/>
  <c r="AH689" i="52"/>
  <c r="AH690" i="52"/>
  <c r="AH691" i="52"/>
  <c r="AH692" i="52"/>
  <c r="AH693" i="52"/>
  <c r="AH694" i="52"/>
  <c r="AH695" i="52"/>
  <c r="AH696" i="52"/>
  <c r="AH697" i="52"/>
  <c r="AH698" i="52"/>
  <c r="AH699" i="52"/>
  <c r="AH700" i="52"/>
  <c r="AH701" i="52"/>
  <c r="AH702" i="52"/>
  <c r="AH703" i="52"/>
  <c r="AH704" i="52"/>
  <c r="AH705" i="52"/>
  <c r="AH706" i="52"/>
  <c r="AH707" i="52"/>
  <c r="AH708" i="52"/>
  <c r="AH709" i="52"/>
  <c r="AH710" i="52"/>
  <c r="AH711" i="52"/>
  <c r="AH712" i="52"/>
  <c r="AH713" i="52"/>
  <c r="AH714" i="52"/>
  <c r="AH715" i="52"/>
  <c r="AH716" i="52"/>
  <c r="AH717" i="52"/>
  <c r="AH718" i="52"/>
  <c r="AH719" i="52"/>
  <c r="AH720" i="52"/>
  <c r="AH721" i="52"/>
  <c r="AG721" i="52"/>
  <c r="AG558" i="52"/>
  <c r="AG559" i="52"/>
  <c r="AG560" i="52"/>
  <c r="AG561" i="52"/>
  <c r="AG562" i="52"/>
  <c r="AG563" i="52"/>
  <c r="AG564" i="52"/>
  <c r="AG565" i="52"/>
  <c r="AG566" i="52"/>
  <c r="AG567" i="52"/>
  <c r="AG568" i="52"/>
  <c r="AG569" i="52"/>
  <c r="AG570" i="52"/>
  <c r="AG571" i="52"/>
  <c r="AG572" i="52"/>
  <c r="AG573" i="52"/>
  <c r="AG574" i="52"/>
  <c r="AG575" i="52"/>
  <c r="AG576" i="52"/>
  <c r="AG577" i="52"/>
  <c r="AG578" i="52"/>
  <c r="AG579" i="52"/>
  <c r="AG580" i="52"/>
  <c r="AG581" i="52"/>
  <c r="AG582" i="52"/>
  <c r="AG583" i="52"/>
  <c r="AG584" i="52"/>
  <c r="AG585" i="52"/>
  <c r="AG586" i="52"/>
  <c r="AG587" i="52"/>
  <c r="AG588" i="52"/>
  <c r="AG589" i="52"/>
  <c r="AG590" i="52"/>
  <c r="AG591" i="52"/>
  <c r="AG592" i="52"/>
  <c r="AG593" i="52"/>
  <c r="AG594" i="52"/>
  <c r="AG595" i="52"/>
  <c r="AG596" i="52"/>
  <c r="AG597" i="52"/>
  <c r="AG598" i="52"/>
  <c r="AG599" i="52"/>
  <c r="AG600" i="52"/>
  <c r="AG601" i="52"/>
  <c r="AG602" i="52"/>
  <c r="AG603" i="52"/>
  <c r="AG604" i="52"/>
  <c r="AG605" i="52"/>
  <c r="AG606" i="52"/>
  <c r="AG607" i="52"/>
  <c r="AG608" i="52"/>
  <c r="AG609" i="52"/>
  <c r="AG610" i="52"/>
  <c r="AG611" i="52"/>
  <c r="AG612" i="52"/>
  <c r="AG613" i="52"/>
  <c r="AG614" i="52"/>
  <c r="AG615" i="52"/>
  <c r="AG616" i="52"/>
  <c r="AG617" i="52"/>
  <c r="AG618" i="52"/>
  <c r="AG619" i="52"/>
  <c r="AG620" i="52"/>
  <c r="AG621" i="52"/>
  <c r="AG622" i="52"/>
  <c r="AG623" i="52"/>
  <c r="AG624" i="52"/>
  <c r="AG625" i="52"/>
  <c r="AG626" i="52"/>
  <c r="AG627" i="52"/>
  <c r="AG628" i="52"/>
  <c r="AG629" i="52"/>
  <c r="AG630" i="52"/>
  <c r="AG631" i="52"/>
  <c r="AG632" i="52"/>
  <c r="AG633" i="52"/>
  <c r="AG634" i="52"/>
  <c r="AG635" i="52"/>
  <c r="AG636" i="52"/>
  <c r="AG637" i="52"/>
  <c r="AG638" i="52"/>
  <c r="AG639" i="52"/>
  <c r="AG640" i="52"/>
  <c r="AG641" i="52"/>
  <c r="AG642" i="52"/>
  <c r="AG643" i="52"/>
  <c r="AG644" i="52"/>
  <c r="AG645" i="52"/>
  <c r="AG646" i="52"/>
  <c r="AG647" i="52"/>
  <c r="AG648" i="52"/>
  <c r="AG649" i="52"/>
  <c r="AG650" i="52"/>
  <c r="AG651" i="52"/>
  <c r="AG652" i="52"/>
  <c r="AG653" i="52"/>
  <c r="AG654" i="52"/>
  <c r="AG655" i="52"/>
  <c r="AG656" i="52"/>
  <c r="AG657" i="52"/>
  <c r="AG658" i="52"/>
  <c r="AG659" i="52"/>
  <c r="AG660" i="52"/>
  <c r="AG661" i="52"/>
  <c r="AG662" i="52"/>
  <c r="AG663" i="52"/>
  <c r="AG664" i="52"/>
  <c r="AG665" i="52"/>
  <c r="AG666" i="52"/>
  <c r="AG667" i="52"/>
  <c r="AG668" i="52"/>
  <c r="AG669" i="52"/>
  <c r="AG670" i="52"/>
  <c r="AG671" i="52"/>
  <c r="AG672" i="52"/>
  <c r="AG673" i="52"/>
  <c r="AG674" i="52"/>
  <c r="AG675" i="52"/>
  <c r="AG676" i="52"/>
  <c r="AG677" i="52"/>
  <c r="AG678" i="52"/>
  <c r="AG679" i="52"/>
  <c r="AG680" i="52"/>
  <c r="AG681" i="52"/>
  <c r="AG682" i="52"/>
  <c r="AG683" i="52"/>
  <c r="AG684" i="52"/>
  <c r="AG685" i="52"/>
  <c r="AG686" i="52"/>
  <c r="AG687" i="52"/>
  <c r="AG688" i="52"/>
  <c r="AG689" i="52"/>
  <c r="AG690" i="52"/>
  <c r="AG691" i="52"/>
  <c r="AG692" i="52"/>
  <c r="AG693" i="52"/>
  <c r="AG694" i="52"/>
  <c r="AG695" i="52"/>
  <c r="AG696" i="52"/>
  <c r="AG697" i="52"/>
  <c r="AG698" i="52"/>
  <c r="AG699" i="52"/>
  <c r="AG700" i="52"/>
  <c r="AG701" i="52"/>
  <c r="AG702" i="52"/>
  <c r="AG703" i="52"/>
  <c r="AG704" i="52"/>
  <c r="AG705" i="52"/>
  <c r="AG706" i="52"/>
  <c r="AG707" i="52"/>
  <c r="AG708" i="52"/>
  <c r="AG709" i="52"/>
  <c r="AG710" i="52"/>
  <c r="AG711" i="52"/>
  <c r="AG712" i="52"/>
  <c r="AG713" i="52"/>
  <c r="AG714" i="52"/>
  <c r="AG715" i="52"/>
  <c r="AG716" i="52"/>
  <c r="AG717" i="52"/>
  <c r="AG718" i="52"/>
  <c r="AG719" i="52"/>
  <c r="AG720" i="52"/>
  <c r="AJ687" i="52"/>
  <c r="AJ670" i="52"/>
  <c r="AJ641" i="52"/>
  <c r="AJ623" i="52"/>
  <c r="AJ620" i="52"/>
  <c r="AJ586" i="52"/>
  <c r="AJ574" i="52"/>
  <c r="AJ561" i="52"/>
  <c r="AI557" i="52"/>
  <c r="AG557" i="52"/>
  <c r="BH892" i="52"/>
  <c r="BG892" i="52"/>
  <c r="BF892" i="52"/>
  <c r="BE892" i="52"/>
  <c r="BD892" i="52"/>
  <c r="BC892" i="52"/>
  <c r="BB892" i="52"/>
  <c r="BA892" i="52"/>
  <c r="AZ892" i="52"/>
  <c r="AY892" i="52"/>
  <c r="AX892" i="52"/>
  <c r="AW892" i="52"/>
  <c r="AV892" i="52"/>
  <c r="AU892" i="52"/>
  <c r="AT892" i="52"/>
  <c r="AS892" i="52"/>
  <c r="AR892" i="52"/>
  <c r="AQ892" i="52"/>
  <c r="AP892" i="52"/>
  <c r="AO892" i="52"/>
  <c r="AN892" i="52"/>
  <c r="AM892" i="52"/>
  <c r="AL892" i="52"/>
  <c r="AK892" i="52"/>
  <c r="BH891" i="52"/>
  <c r="BG891" i="52"/>
  <c r="BF891" i="52"/>
  <c r="BE891" i="52"/>
  <c r="BD891" i="52"/>
  <c r="BC891" i="52"/>
  <c r="BB891" i="52"/>
  <c r="BA891" i="52"/>
  <c r="AZ891" i="52"/>
  <c r="AY891" i="52"/>
  <c r="AX891" i="52"/>
  <c r="AW891" i="52"/>
  <c r="AV891" i="52"/>
  <c r="AU891" i="52"/>
  <c r="AT891" i="52"/>
  <c r="AS891" i="52"/>
  <c r="AR891" i="52"/>
  <c r="AQ891" i="52"/>
  <c r="AP891" i="52"/>
  <c r="AO891" i="52"/>
  <c r="AN891" i="52"/>
  <c r="AM891" i="52"/>
  <c r="AL891" i="52"/>
  <c r="AK891" i="52"/>
  <c r="BH890" i="52"/>
  <c r="BG890" i="52"/>
  <c r="BF890" i="52"/>
  <c r="BE890" i="52"/>
  <c r="BD890" i="52"/>
  <c r="BC890" i="52"/>
  <c r="BB890" i="52"/>
  <c r="BA890" i="52"/>
  <c r="AZ890" i="52"/>
  <c r="AY890" i="52"/>
  <c r="AX890" i="52"/>
  <c r="AW890" i="52"/>
  <c r="AV890" i="52"/>
  <c r="AU890" i="52"/>
  <c r="AT890" i="52"/>
  <c r="AS890" i="52"/>
  <c r="AR890" i="52"/>
  <c r="AQ890" i="52"/>
  <c r="AP890" i="52"/>
  <c r="AO890" i="52"/>
  <c r="AN890" i="52"/>
  <c r="AM890" i="52"/>
  <c r="AL890" i="52"/>
  <c r="AK890" i="52"/>
  <c r="BH889" i="52"/>
  <c r="BG889" i="52"/>
  <c r="BF889" i="52"/>
  <c r="BE889" i="52"/>
  <c r="BD889" i="52"/>
  <c r="BC889" i="52"/>
  <c r="BB889" i="52"/>
  <c r="BA889" i="52"/>
  <c r="AZ889" i="52"/>
  <c r="AY889" i="52"/>
  <c r="AX889" i="52"/>
  <c r="AW889" i="52"/>
  <c r="AV889" i="52"/>
  <c r="AU889" i="52"/>
  <c r="AT889" i="52"/>
  <c r="AS889" i="52"/>
  <c r="AR889" i="52"/>
  <c r="AQ889" i="52"/>
  <c r="AP889" i="52"/>
  <c r="AO889" i="52"/>
  <c r="AN889" i="52"/>
  <c r="AM889" i="52"/>
  <c r="AL889" i="52"/>
  <c r="AK889" i="52"/>
  <c r="BH888" i="52"/>
  <c r="BG888" i="52"/>
  <c r="BF888" i="52"/>
  <c r="BE888" i="52"/>
  <c r="BD888" i="52"/>
  <c r="BC888" i="52"/>
  <c r="BB888" i="52"/>
  <c r="BA888" i="52"/>
  <c r="AZ888" i="52"/>
  <c r="AY888" i="52"/>
  <c r="AX888" i="52"/>
  <c r="AW888" i="52"/>
  <c r="AV888" i="52"/>
  <c r="AU888" i="52"/>
  <c r="AT888" i="52"/>
  <c r="AS888" i="52"/>
  <c r="AR888" i="52"/>
  <c r="AQ888" i="52"/>
  <c r="AP888" i="52"/>
  <c r="AO888" i="52"/>
  <c r="AN888" i="52"/>
  <c r="AM888" i="52"/>
  <c r="AL888" i="52"/>
  <c r="AK888" i="52"/>
  <c r="BH887" i="52"/>
  <c r="BG887" i="52"/>
  <c r="BF887" i="52"/>
  <c r="BE887" i="52"/>
  <c r="BD887" i="52"/>
  <c r="BC887" i="52"/>
  <c r="BB887" i="52"/>
  <c r="BA887" i="52"/>
  <c r="AZ887" i="52"/>
  <c r="AY887" i="52"/>
  <c r="AX887" i="52"/>
  <c r="AW887" i="52"/>
  <c r="AV887" i="52"/>
  <c r="AU887" i="52"/>
  <c r="AT887" i="52"/>
  <c r="AS887" i="52"/>
  <c r="AR887" i="52"/>
  <c r="AQ887" i="52"/>
  <c r="AP887" i="52"/>
  <c r="AO887" i="52"/>
  <c r="AN887" i="52"/>
  <c r="AM887" i="52"/>
  <c r="AL887" i="52"/>
  <c r="AK887" i="52"/>
  <c r="BH886" i="52"/>
  <c r="BG886" i="52"/>
  <c r="BF886" i="52"/>
  <c r="BE886" i="52"/>
  <c r="BD886" i="52"/>
  <c r="BC886" i="52"/>
  <c r="BB886" i="52"/>
  <c r="BA886" i="52"/>
  <c r="AZ886" i="52"/>
  <c r="AY886" i="52"/>
  <c r="AX886" i="52"/>
  <c r="AW886" i="52"/>
  <c r="AV886" i="52"/>
  <c r="AU886" i="52"/>
  <c r="AT886" i="52"/>
  <c r="AS886" i="52"/>
  <c r="AR886" i="52"/>
  <c r="AQ886" i="52"/>
  <c r="AP886" i="52"/>
  <c r="AO886" i="52"/>
  <c r="AN886" i="52"/>
  <c r="AM886" i="52"/>
  <c r="AL886" i="52"/>
  <c r="AK886" i="52"/>
  <c r="BH885" i="52"/>
  <c r="BG885" i="52"/>
  <c r="BF885" i="52"/>
  <c r="BE885" i="52"/>
  <c r="BD885" i="52"/>
  <c r="BC885" i="52"/>
  <c r="BB885" i="52"/>
  <c r="BA885" i="52"/>
  <c r="AZ885" i="52"/>
  <c r="AY885" i="52"/>
  <c r="AX885" i="52"/>
  <c r="AW885" i="52"/>
  <c r="AV885" i="52"/>
  <c r="AU885" i="52"/>
  <c r="AT885" i="52"/>
  <c r="AS885" i="52"/>
  <c r="AR885" i="52"/>
  <c r="AQ885" i="52"/>
  <c r="AP885" i="52"/>
  <c r="AO885" i="52"/>
  <c r="AN885" i="52"/>
  <c r="AM885" i="52"/>
  <c r="AL885" i="52"/>
  <c r="AK885" i="52"/>
  <c r="BH884" i="52"/>
  <c r="BG884" i="52"/>
  <c r="BF884" i="52"/>
  <c r="BE884" i="52"/>
  <c r="BD884" i="52"/>
  <c r="BC884" i="52"/>
  <c r="BB884" i="52"/>
  <c r="BA884" i="52"/>
  <c r="AZ884" i="52"/>
  <c r="AY884" i="52"/>
  <c r="AX884" i="52"/>
  <c r="AW884" i="52"/>
  <c r="AV884" i="52"/>
  <c r="AU884" i="52"/>
  <c r="AT884" i="52"/>
  <c r="AS884" i="52"/>
  <c r="AR884" i="52"/>
  <c r="AQ884" i="52"/>
  <c r="AP884" i="52"/>
  <c r="AO884" i="52"/>
  <c r="AN884" i="52"/>
  <c r="AM884" i="52"/>
  <c r="AL884" i="52"/>
  <c r="AK884" i="52"/>
  <c r="BH883" i="52"/>
  <c r="BG883" i="52"/>
  <c r="BF883" i="52"/>
  <c r="BE883" i="52"/>
  <c r="BD883" i="52"/>
  <c r="BC883" i="52"/>
  <c r="BB883" i="52"/>
  <c r="BA883" i="52"/>
  <c r="AZ883" i="52"/>
  <c r="AY883" i="52"/>
  <c r="AX883" i="52"/>
  <c r="AW883" i="52"/>
  <c r="AV883" i="52"/>
  <c r="AU883" i="52"/>
  <c r="AT883" i="52"/>
  <c r="AS883" i="52"/>
  <c r="AR883" i="52"/>
  <c r="AQ883" i="52"/>
  <c r="AP883" i="52"/>
  <c r="AO883" i="52"/>
  <c r="AN883" i="52"/>
  <c r="AM883" i="52"/>
  <c r="AL883" i="52"/>
  <c r="AK883" i="52"/>
  <c r="BH882" i="52"/>
  <c r="BG882" i="52"/>
  <c r="BF882" i="52"/>
  <c r="BE882" i="52"/>
  <c r="BD882" i="52"/>
  <c r="BC882" i="52"/>
  <c r="BB882" i="52"/>
  <c r="BA882" i="52"/>
  <c r="AZ882" i="52"/>
  <c r="AY882" i="52"/>
  <c r="AX882" i="52"/>
  <c r="AW882" i="52"/>
  <c r="AV882" i="52"/>
  <c r="AU882" i="52"/>
  <c r="AT882" i="52"/>
  <c r="AS882" i="52"/>
  <c r="AR882" i="52"/>
  <c r="AQ882" i="52"/>
  <c r="AP882" i="52"/>
  <c r="AO882" i="52"/>
  <c r="AN882" i="52"/>
  <c r="AM882" i="52"/>
  <c r="AL882" i="52"/>
  <c r="AK882" i="52"/>
  <c r="BH881" i="52"/>
  <c r="BG881" i="52"/>
  <c r="BF881" i="52"/>
  <c r="BE881" i="52"/>
  <c r="BD881" i="52"/>
  <c r="BC881" i="52"/>
  <c r="BB881" i="52"/>
  <c r="BA881" i="52"/>
  <c r="AZ881" i="52"/>
  <c r="AY881" i="52"/>
  <c r="AX881" i="52"/>
  <c r="AW881" i="52"/>
  <c r="AV881" i="52"/>
  <c r="AU881" i="52"/>
  <c r="AT881" i="52"/>
  <c r="AS881" i="52"/>
  <c r="AR881" i="52"/>
  <c r="AQ881" i="52"/>
  <c r="AP881" i="52"/>
  <c r="AO881" i="52"/>
  <c r="AN881" i="52"/>
  <c r="AM881" i="52"/>
  <c r="AL881" i="52"/>
  <c r="AK881" i="52"/>
  <c r="BH880" i="52"/>
  <c r="BG880" i="52"/>
  <c r="BF880" i="52"/>
  <c r="BE880" i="52"/>
  <c r="BD880" i="52"/>
  <c r="BC880" i="52"/>
  <c r="BB880" i="52"/>
  <c r="BA880" i="52"/>
  <c r="AZ880" i="52"/>
  <c r="AY880" i="52"/>
  <c r="AX880" i="52"/>
  <c r="AW880" i="52"/>
  <c r="AV880" i="52"/>
  <c r="AU880" i="52"/>
  <c r="AT880" i="52"/>
  <c r="AS880" i="52"/>
  <c r="AR880" i="52"/>
  <c r="AQ880" i="52"/>
  <c r="AP880" i="52"/>
  <c r="AO880" i="52"/>
  <c r="AN880" i="52"/>
  <c r="AM880" i="52"/>
  <c r="AL880" i="52"/>
  <c r="AK880" i="52"/>
  <c r="BH879" i="52"/>
  <c r="BG879" i="52"/>
  <c r="BF879" i="52"/>
  <c r="BE879" i="52"/>
  <c r="BD879" i="52"/>
  <c r="BC879" i="52"/>
  <c r="BB879" i="52"/>
  <c r="BA879" i="52"/>
  <c r="AZ879" i="52"/>
  <c r="AY879" i="52"/>
  <c r="AX879" i="52"/>
  <c r="AW879" i="52"/>
  <c r="AV879" i="52"/>
  <c r="AU879" i="52"/>
  <c r="AT879" i="52"/>
  <c r="AS879" i="52"/>
  <c r="AR879" i="52"/>
  <c r="AQ879" i="52"/>
  <c r="AP879" i="52"/>
  <c r="AO879" i="52"/>
  <c r="AN879" i="52"/>
  <c r="AM879" i="52"/>
  <c r="AL879" i="52"/>
  <c r="AK879" i="52"/>
  <c r="BH878" i="52"/>
  <c r="BG878" i="52"/>
  <c r="BF878" i="52"/>
  <c r="BE878" i="52"/>
  <c r="BD878" i="52"/>
  <c r="BC878" i="52"/>
  <c r="BB878" i="52"/>
  <c r="BA878" i="52"/>
  <c r="AZ878" i="52"/>
  <c r="AY878" i="52"/>
  <c r="AX878" i="52"/>
  <c r="AW878" i="52"/>
  <c r="AV878" i="52"/>
  <c r="AU878" i="52"/>
  <c r="AT878" i="52"/>
  <c r="AS878" i="52"/>
  <c r="AR878" i="52"/>
  <c r="AQ878" i="52"/>
  <c r="AP878" i="52"/>
  <c r="AO878" i="52"/>
  <c r="AN878" i="52"/>
  <c r="AM878" i="52"/>
  <c r="AL878" i="52"/>
  <c r="AK878" i="52"/>
  <c r="BH877" i="52"/>
  <c r="BG877" i="52"/>
  <c r="BF877" i="52"/>
  <c r="BE877" i="52"/>
  <c r="BD877" i="52"/>
  <c r="BC877" i="52"/>
  <c r="BB877" i="52"/>
  <c r="BA877" i="52"/>
  <c r="AZ877" i="52"/>
  <c r="AY877" i="52"/>
  <c r="AX877" i="52"/>
  <c r="AW877" i="52"/>
  <c r="AV877" i="52"/>
  <c r="AU877" i="52"/>
  <c r="AT877" i="52"/>
  <c r="AS877" i="52"/>
  <c r="AR877" i="52"/>
  <c r="AQ877" i="52"/>
  <c r="AP877" i="52"/>
  <c r="AO877" i="52"/>
  <c r="AN877" i="52"/>
  <c r="AM877" i="52"/>
  <c r="AL877" i="52"/>
  <c r="AK877" i="52"/>
  <c r="BH876" i="52"/>
  <c r="BG876" i="52"/>
  <c r="BF876" i="52"/>
  <c r="BE876" i="52"/>
  <c r="BD876" i="52"/>
  <c r="BC876" i="52"/>
  <c r="BB876" i="52"/>
  <c r="BA876" i="52"/>
  <c r="AZ876" i="52"/>
  <c r="AY876" i="52"/>
  <c r="AX876" i="52"/>
  <c r="AW876" i="52"/>
  <c r="AV876" i="52"/>
  <c r="AU876" i="52"/>
  <c r="AT876" i="52"/>
  <c r="AS876" i="52"/>
  <c r="AR876" i="52"/>
  <c r="AQ876" i="52"/>
  <c r="AP876" i="52"/>
  <c r="AO876" i="52"/>
  <c r="AN876" i="52"/>
  <c r="AM876" i="52"/>
  <c r="AL876" i="52"/>
  <c r="AK876" i="52"/>
  <c r="BH875" i="52"/>
  <c r="BG875" i="52"/>
  <c r="BF875" i="52"/>
  <c r="BE875" i="52"/>
  <c r="BD875" i="52"/>
  <c r="BC875" i="52"/>
  <c r="BB875" i="52"/>
  <c r="BA875" i="52"/>
  <c r="AZ875" i="52"/>
  <c r="AY875" i="52"/>
  <c r="AX875" i="52"/>
  <c r="AW875" i="52"/>
  <c r="AV875" i="52"/>
  <c r="AU875" i="52"/>
  <c r="AT875" i="52"/>
  <c r="AS875" i="52"/>
  <c r="AR875" i="52"/>
  <c r="AQ875" i="52"/>
  <c r="AP875" i="52"/>
  <c r="AO875" i="52"/>
  <c r="AN875" i="52"/>
  <c r="AM875" i="52"/>
  <c r="AL875" i="52"/>
  <c r="AK875" i="52"/>
  <c r="BH874" i="52"/>
  <c r="BG874" i="52"/>
  <c r="BF874" i="52"/>
  <c r="BE874" i="52"/>
  <c r="BD874" i="52"/>
  <c r="BC874" i="52"/>
  <c r="BB874" i="52"/>
  <c r="BA874" i="52"/>
  <c r="AZ874" i="52"/>
  <c r="AY874" i="52"/>
  <c r="AX874" i="52"/>
  <c r="AW874" i="52"/>
  <c r="AV874" i="52"/>
  <c r="AU874" i="52"/>
  <c r="AT874" i="52"/>
  <c r="AS874" i="52"/>
  <c r="AR874" i="52"/>
  <c r="AQ874" i="52"/>
  <c r="AP874" i="52"/>
  <c r="AO874" i="52"/>
  <c r="AN874" i="52"/>
  <c r="AM874" i="52"/>
  <c r="AL874" i="52"/>
  <c r="AK874" i="52"/>
  <c r="BH873" i="52"/>
  <c r="BG873" i="52"/>
  <c r="BF873" i="52"/>
  <c r="BE873" i="52"/>
  <c r="BD873" i="52"/>
  <c r="BC873" i="52"/>
  <c r="BB873" i="52"/>
  <c r="BA873" i="52"/>
  <c r="AZ873" i="52"/>
  <c r="AY873" i="52"/>
  <c r="AX873" i="52"/>
  <c r="AW873" i="52"/>
  <c r="AV873" i="52"/>
  <c r="AU873" i="52"/>
  <c r="AT873" i="52"/>
  <c r="AS873" i="52"/>
  <c r="AR873" i="52"/>
  <c r="AQ873" i="52"/>
  <c r="AP873" i="52"/>
  <c r="AO873" i="52"/>
  <c r="AN873" i="52"/>
  <c r="AM873" i="52"/>
  <c r="AL873" i="52"/>
  <c r="AK873" i="52"/>
  <c r="BH872" i="52"/>
  <c r="BG872" i="52"/>
  <c r="BF872" i="52"/>
  <c r="BE872" i="52"/>
  <c r="BD872" i="52"/>
  <c r="BC872" i="52"/>
  <c r="BB872" i="52"/>
  <c r="BA872" i="52"/>
  <c r="AZ872" i="52"/>
  <c r="AY872" i="52"/>
  <c r="AX872" i="52"/>
  <c r="AW872" i="52"/>
  <c r="AV872" i="52"/>
  <c r="AU872" i="52"/>
  <c r="AT872" i="52"/>
  <c r="AS872" i="52"/>
  <c r="AR872" i="52"/>
  <c r="AQ872" i="52"/>
  <c r="AP872" i="52"/>
  <c r="AO872" i="52"/>
  <c r="AN872" i="52"/>
  <c r="AM872" i="52"/>
  <c r="AL872" i="52"/>
  <c r="AK872" i="52"/>
  <c r="BH871" i="52"/>
  <c r="BG871" i="52"/>
  <c r="BF871" i="52"/>
  <c r="BE871" i="52"/>
  <c r="BD871" i="52"/>
  <c r="BC871" i="52"/>
  <c r="BB871" i="52"/>
  <c r="BA871" i="52"/>
  <c r="AZ871" i="52"/>
  <c r="AY871" i="52"/>
  <c r="AX871" i="52"/>
  <c r="AW871" i="52"/>
  <c r="AV871" i="52"/>
  <c r="AU871" i="52"/>
  <c r="AT871" i="52"/>
  <c r="AS871" i="52"/>
  <c r="AR871" i="52"/>
  <c r="AQ871" i="52"/>
  <c r="AP871" i="52"/>
  <c r="AO871" i="52"/>
  <c r="AN871" i="52"/>
  <c r="AM871" i="52"/>
  <c r="AL871" i="52"/>
  <c r="AK871" i="52"/>
  <c r="BH870" i="52"/>
  <c r="BG870" i="52"/>
  <c r="BF870" i="52"/>
  <c r="BE870" i="52"/>
  <c r="BD870" i="52"/>
  <c r="BC870" i="52"/>
  <c r="BB870" i="52"/>
  <c r="BA870" i="52"/>
  <c r="AZ870" i="52"/>
  <c r="AY870" i="52"/>
  <c r="AX870" i="52"/>
  <c r="AW870" i="52"/>
  <c r="AV870" i="52"/>
  <c r="AU870" i="52"/>
  <c r="AT870" i="52"/>
  <c r="AS870" i="52"/>
  <c r="AR870" i="52"/>
  <c r="AQ870" i="52"/>
  <c r="AP870" i="52"/>
  <c r="AO870" i="52"/>
  <c r="AN870" i="52"/>
  <c r="AM870" i="52"/>
  <c r="AL870" i="52"/>
  <c r="AK870" i="52"/>
  <c r="BH869" i="52"/>
  <c r="BG869" i="52"/>
  <c r="BF869" i="52"/>
  <c r="BE869" i="52"/>
  <c r="BD869" i="52"/>
  <c r="BC869" i="52"/>
  <c r="BB869" i="52"/>
  <c r="BA869" i="52"/>
  <c r="AZ869" i="52"/>
  <c r="AY869" i="52"/>
  <c r="AX869" i="52"/>
  <c r="AW869" i="52"/>
  <c r="AV869" i="52"/>
  <c r="AU869" i="52"/>
  <c r="AT869" i="52"/>
  <c r="AS869" i="52"/>
  <c r="AR869" i="52"/>
  <c r="AQ869" i="52"/>
  <c r="AP869" i="52"/>
  <c r="AO869" i="52"/>
  <c r="AN869" i="52"/>
  <c r="AM869" i="52"/>
  <c r="AL869" i="52"/>
  <c r="AK869" i="52"/>
  <c r="BH868" i="52"/>
  <c r="BG868" i="52"/>
  <c r="BF868" i="52"/>
  <c r="BE868" i="52"/>
  <c r="BD868" i="52"/>
  <c r="BC868" i="52"/>
  <c r="BB868" i="52"/>
  <c r="BA868" i="52"/>
  <c r="AZ868" i="52"/>
  <c r="AY868" i="52"/>
  <c r="AX868" i="52"/>
  <c r="AW868" i="52"/>
  <c r="AV868" i="52"/>
  <c r="AU868" i="52"/>
  <c r="AT868" i="52"/>
  <c r="AS868" i="52"/>
  <c r="AR868" i="52"/>
  <c r="AQ868" i="52"/>
  <c r="AP868" i="52"/>
  <c r="AO868" i="52"/>
  <c r="AN868" i="52"/>
  <c r="AM868" i="52"/>
  <c r="AL868" i="52"/>
  <c r="AK868" i="52"/>
  <c r="BH867" i="52"/>
  <c r="BG867" i="52"/>
  <c r="BF867" i="52"/>
  <c r="BE867" i="52"/>
  <c r="BD867" i="52"/>
  <c r="BC867" i="52"/>
  <c r="BB867" i="52"/>
  <c r="BA867" i="52"/>
  <c r="AZ867" i="52"/>
  <c r="AY867" i="52"/>
  <c r="AX867" i="52"/>
  <c r="AW867" i="52"/>
  <c r="AV867" i="52"/>
  <c r="AU867" i="52"/>
  <c r="AT867" i="52"/>
  <c r="AS867" i="52"/>
  <c r="AR867" i="52"/>
  <c r="AQ867" i="52"/>
  <c r="AP867" i="52"/>
  <c r="AO867" i="52"/>
  <c r="AN867" i="52"/>
  <c r="AM867" i="52"/>
  <c r="AL867" i="52"/>
  <c r="AK867" i="52"/>
  <c r="BH866" i="52"/>
  <c r="BG866" i="52"/>
  <c r="BF866" i="52"/>
  <c r="BE866" i="52"/>
  <c r="BD866" i="52"/>
  <c r="BC866" i="52"/>
  <c r="BB866" i="52"/>
  <c r="BA866" i="52"/>
  <c r="AZ866" i="52"/>
  <c r="AY866" i="52"/>
  <c r="AX866" i="52"/>
  <c r="AW866" i="52"/>
  <c r="AV866" i="52"/>
  <c r="AU866" i="52"/>
  <c r="AT866" i="52"/>
  <c r="AS866" i="52"/>
  <c r="AR866" i="52"/>
  <c r="AQ866" i="52"/>
  <c r="AP866" i="52"/>
  <c r="AO866" i="52"/>
  <c r="AN866" i="52"/>
  <c r="AM866" i="52"/>
  <c r="AL866" i="52"/>
  <c r="AK866" i="52"/>
  <c r="BH865" i="52"/>
  <c r="BG865" i="52"/>
  <c r="BF865" i="52"/>
  <c r="BE865" i="52"/>
  <c r="BD865" i="52"/>
  <c r="BC865" i="52"/>
  <c r="BB865" i="52"/>
  <c r="BA865" i="52"/>
  <c r="AZ865" i="52"/>
  <c r="AY865" i="52"/>
  <c r="AX865" i="52"/>
  <c r="AW865" i="52"/>
  <c r="AV865" i="52"/>
  <c r="AU865" i="52"/>
  <c r="AT865" i="52"/>
  <c r="AS865" i="52"/>
  <c r="AR865" i="52"/>
  <c r="AQ865" i="52"/>
  <c r="AP865" i="52"/>
  <c r="AO865" i="52"/>
  <c r="AN865" i="52"/>
  <c r="AM865" i="52"/>
  <c r="AL865" i="52"/>
  <c r="AK865" i="52"/>
  <c r="BH864" i="52"/>
  <c r="BG864" i="52"/>
  <c r="BF864" i="52"/>
  <c r="BE864" i="52"/>
  <c r="BD864" i="52"/>
  <c r="BC864" i="52"/>
  <c r="BB864" i="52"/>
  <c r="BA864" i="52"/>
  <c r="AZ864" i="52"/>
  <c r="AY864" i="52"/>
  <c r="AX864" i="52"/>
  <c r="AW864" i="52"/>
  <c r="AV864" i="52"/>
  <c r="AU864" i="52"/>
  <c r="AT864" i="52"/>
  <c r="AS864" i="52"/>
  <c r="AR864" i="52"/>
  <c r="AQ864" i="52"/>
  <c r="AP864" i="52"/>
  <c r="AO864" i="52"/>
  <c r="AN864" i="52"/>
  <c r="AM864" i="52"/>
  <c r="AL864" i="52"/>
  <c r="AK864" i="52"/>
  <c r="BH863" i="52"/>
  <c r="BG863" i="52"/>
  <c r="BF863" i="52"/>
  <c r="BE863" i="52"/>
  <c r="BD863" i="52"/>
  <c r="BC863" i="52"/>
  <c r="BB863" i="52"/>
  <c r="BA863" i="52"/>
  <c r="AZ863" i="52"/>
  <c r="AY863" i="52"/>
  <c r="AX863" i="52"/>
  <c r="AW863" i="52"/>
  <c r="AV863" i="52"/>
  <c r="AU863" i="52"/>
  <c r="AT863" i="52"/>
  <c r="AS863" i="52"/>
  <c r="AR863" i="52"/>
  <c r="AQ863" i="52"/>
  <c r="AP863" i="52"/>
  <c r="AO863" i="52"/>
  <c r="AN863" i="52"/>
  <c r="AM863" i="52"/>
  <c r="AL863" i="52"/>
  <c r="AK863" i="52"/>
  <c r="BH862" i="52"/>
  <c r="BG862" i="52"/>
  <c r="BF862" i="52"/>
  <c r="BE862" i="52"/>
  <c r="BD862" i="52"/>
  <c r="BC862" i="52"/>
  <c r="BB862" i="52"/>
  <c r="BA862" i="52"/>
  <c r="AZ862" i="52"/>
  <c r="AY862" i="52"/>
  <c r="AX862" i="52"/>
  <c r="AW862" i="52"/>
  <c r="AV862" i="52"/>
  <c r="AU862" i="52"/>
  <c r="AT862" i="52"/>
  <c r="AS862" i="52"/>
  <c r="AR862" i="52"/>
  <c r="AQ862" i="52"/>
  <c r="AP862" i="52"/>
  <c r="AO862" i="52"/>
  <c r="AN862" i="52"/>
  <c r="AM862" i="52"/>
  <c r="AL862" i="52"/>
  <c r="AK862" i="52"/>
  <c r="BH861" i="52"/>
  <c r="BG861" i="52"/>
  <c r="BF861" i="52"/>
  <c r="BE861" i="52"/>
  <c r="BD861" i="52"/>
  <c r="BC861" i="52"/>
  <c r="BB861" i="52"/>
  <c r="BA861" i="52"/>
  <c r="AZ861" i="52"/>
  <c r="AY861" i="52"/>
  <c r="AX861" i="52"/>
  <c r="AW861" i="52"/>
  <c r="AV861" i="52"/>
  <c r="AU861" i="52"/>
  <c r="AT861" i="52"/>
  <c r="AS861" i="52"/>
  <c r="AR861" i="52"/>
  <c r="AQ861" i="52"/>
  <c r="AP861" i="52"/>
  <c r="AO861" i="52"/>
  <c r="AN861" i="52"/>
  <c r="AM861" i="52"/>
  <c r="AL861" i="52"/>
  <c r="AK861" i="52"/>
  <c r="BH860" i="52"/>
  <c r="BG860" i="52"/>
  <c r="BF860" i="52"/>
  <c r="BE860" i="52"/>
  <c r="BD860" i="52"/>
  <c r="BC860" i="52"/>
  <c r="BB860" i="52"/>
  <c r="BA860" i="52"/>
  <c r="AZ860" i="52"/>
  <c r="AY860" i="52"/>
  <c r="AX860" i="52"/>
  <c r="AW860" i="52"/>
  <c r="AV860" i="52"/>
  <c r="AU860" i="52"/>
  <c r="AT860" i="52"/>
  <c r="AS860" i="52"/>
  <c r="AR860" i="52"/>
  <c r="AQ860" i="52"/>
  <c r="AP860" i="52"/>
  <c r="AO860" i="52"/>
  <c r="AN860" i="52"/>
  <c r="AM860" i="52"/>
  <c r="AL860" i="52"/>
  <c r="AK860" i="52"/>
  <c r="BH859" i="52"/>
  <c r="BG859" i="52"/>
  <c r="BF859" i="52"/>
  <c r="BE859" i="52"/>
  <c r="BD859" i="52"/>
  <c r="BC859" i="52"/>
  <c r="BB859" i="52"/>
  <c r="BA859" i="52"/>
  <c r="AZ859" i="52"/>
  <c r="AY859" i="52"/>
  <c r="AX859" i="52"/>
  <c r="AW859" i="52"/>
  <c r="AV859" i="52"/>
  <c r="AU859" i="52"/>
  <c r="AT859" i="52"/>
  <c r="AS859" i="52"/>
  <c r="AR859" i="52"/>
  <c r="AQ859" i="52"/>
  <c r="AP859" i="52"/>
  <c r="AO859" i="52"/>
  <c r="AN859" i="52"/>
  <c r="AM859" i="52"/>
  <c r="AL859" i="52"/>
  <c r="AK859" i="52"/>
  <c r="BH858" i="52"/>
  <c r="BG858" i="52"/>
  <c r="BF858" i="52"/>
  <c r="BE858" i="52"/>
  <c r="BD858" i="52"/>
  <c r="BC858" i="52"/>
  <c r="BB858" i="52"/>
  <c r="BA858" i="52"/>
  <c r="AZ858" i="52"/>
  <c r="AY858" i="52"/>
  <c r="AX858" i="52"/>
  <c r="AW858" i="52"/>
  <c r="AV858" i="52"/>
  <c r="AU858" i="52"/>
  <c r="AT858" i="52"/>
  <c r="AS858" i="52"/>
  <c r="AR858" i="52"/>
  <c r="AQ858" i="52"/>
  <c r="AP858" i="52"/>
  <c r="AO858" i="52"/>
  <c r="AN858" i="52"/>
  <c r="AM858" i="52"/>
  <c r="AL858" i="52"/>
  <c r="AK858" i="52"/>
  <c r="BH857" i="52"/>
  <c r="BG857" i="52"/>
  <c r="BF857" i="52"/>
  <c r="BE857" i="52"/>
  <c r="BD857" i="52"/>
  <c r="BC857" i="52"/>
  <c r="BB857" i="52"/>
  <c r="BA857" i="52"/>
  <c r="AZ857" i="52"/>
  <c r="AY857" i="52"/>
  <c r="AX857" i="52"/>
  <c r="AW857" i="52"/>
  <c r="AV857" i="52"/>
  <c r="AU857" i="52"/>
  <c r="AT857" i="52"/>
  <c r="AS857" i="52"/>
  <c r="AR857" i="52"/>
  <c r="AQ857" i="52"/>
  <c r="AP857" i="52"/>
  <c r="AO857" i="52"/>
  <c r="AN857" i="52"/>
  <c r="AM857" i="52"/>
  <c r="AL857" i="52"/>
  <c r="AK857" i="52"/>
  <c r="BH856" i="52"/>
  <c r="BG856" i="52"/>
  <c r="BF856" i="52"/>
  <c r="BE856" i="52"/>
  <c r="BD856" i="52"/>
  <c r="BC856" i="52"/>
  <c r="BB856" i="52"/>
  <c r="BA856" i="52"/>
  <c r="AZ856" i="52"/>
  <c r="AY856" i="52"/>
  <c r="AX856" i="52"/>
  <c r="AW856" i="52"/>
  <c r="AV856" i="52"/>
  <c r="AU856" i="52"/>
  <c r="AT856" i="52"/>
  <c r="AS856" i="52"/>
  <c r="AR856" i="52"/>
  <c r="AQ856" i="52"/>
  <c r="AP856" i="52"/>
  <c r="AO856" i="52"/>
  <c r="AN856" i="52"/>
  <c r="AM856" i="52"/>
  <c r="AL856" i="52"/>
  <c r="AK856" i="52"/>
  <c r="BH855" i="52"/>
  <c r="BG855" i="52"/>
  <c r="BF855" i="52"/>
  <c r="BE855" i="52"/>
  <c r="BD855" i="52"/>
  <c r="BC855" i="52"/>
  <c r="BB855" i="52"/>
  <c r="BA855" i="52"/>
  <c r="AZ855" i="52"/>
  <c r="AY855" i="52"/>
  <c r="AX855" i="52"/>
  <c r="AW855" i="52"/>
  <c r="AV855" i="52"/>
  <c r="AU855" i="52"/>
  <c r="AT855" i="52"/>
  <c r="AS855" i="52"/>
  <c r="AR855" i="52"/>
  <c r="AQ855" i="52"/>
  <c r="AP855" i="52"/>
  <c r="AO855" i="52"/>
  <c r="AN855" i="52"/>
  <c r="AM855" i="52"/>
  <c r="AL855" i="52"/>
  <c r="AK855" i="52"/>
  <c r="BH854" i="52"/>
  <c r="BG854" i="52"/>
  <c r="BF854" i="52"/>
  <c r="BE854" i="52"/>
  <c r="BD854" i="52"/>
  <c r="BC854" i="52"/>
  <c r="BB854" i="52"/>
  <c r="BA854" i="52"/>
  <c r="AZ854" i="52"/>
  <c r="AY854" i="52"/>
  <c r="AX854" i="52"/>
  <c r="AW854" i="52"/>
  <c r="AV854" i="52"/>
  <c r="AU854" i="52"/>
  <c r="AT854" i="52"/>
  <c r="AS854" i="52"/>
  <c r="AR854" i="52"/>
  <c r="AQ854" i="52"/>
  <c r="AP854" i="52"/>
  <c r="AO854" i="52"/>
  <c r="AN854" i="52"/>
  <c r="AM854" i="52"/>
  <c r="AL854" i="52"/>
  <c r="AK854" i="52"/>
  <c r="BH853" i="52"/>
  <c r="BG853" i="52"/>
  <c r="BF853" i="52"/>
  <c r="BE853" i="52"/>
  <c r="BD853" i="52"/>
  <c r="BC853" i="52"/>
  <c r="BB853" i="52"/>
  <c r="BA853" i="52"/>
  <c r="AZ853" i="52"/>
  <c r="AY853" i="52"/>
  <c r="AX853" i="52"/>
  <c r="AW853" i="52"/>
  <c r="AV853" i="52"/>
  <c r="AU853" i="52"/>
  <c r="AT853" i="52"/>
  <c r="AS853" i="52"/>
  <c r="AR853" i="52"/>
  <c r="AQ853" i="52"/>
  <c r="AP853" i="52"/>
  <c r="AO853" i="52"/>
  <c r="AN853" i="52"/>
  <c r="AM853" i="52"/>
  <c r="AL853" i="52"/>
  <c r="AK853" i="52"/>
  <c r="BH852" i="52"/>
  <c r="BG852" i="52"/>
  <c r="BF852" i="52"/>
  <c r="BE852" i="52"/>
  <c r="BD852" i="52"/>
  <c r="BC852" i="52"/>
  <c r="BB852" i="52"/>
  <c r="BA852" i="52"/>
  <c r="AZ852" i="52"/>
  <c r="AY852" i="52"/>
  <c r="AX852" i="52"/>
  <c r="AW852" i="52"/>
  <c r="AV852" i="52"/>
  <c r="AU852" i="52"/>
  <c r="AT852" i="52"/>
  <c r="AS852" i="52"/>
  <c r="AR852" i="52"/>
  <c r="AQ852" i="52"/>
  <c r="AP852" i="52"/>
  <c r="AO852" i="52"/>
  <c r="AN852" i="52"/>
  <c r="AM852" i="52"/>
  <c r="AL852" i="52"/>
  <c r="AK852" i="52"/>
  <c r="BH851" i="52"/>
  <c r="BG851" i="52"/>
  <c r="BF851" i="52"/>
  <c r="BE851" i="52"/>
  <c r="BD851" i="52"/>
  <c r="BC851" i="52"/>
  <c r="BB851" i="52"/>
  <c r="BA851" i="52"/>
  <c r="AZ851" i="52"/>
  <c r="AY851" i="52"/>
  <c r="AX851" i="52"/>
  <c r="AW851" i="52"/>
  <c r="AV851" i="52"/>
  <c r="AU851" i="52"/>
  <c r="AT851" i="52"/>
  <c r="AS851" i="52"/>
  <c r="AR851" i="52"/>
  <c r="AQ851" i="52"/>
  <c r="AP851" i="52"/>
  <c r="AO851" i="52"/>
  <c r="AN851" i="52"/>
  <c r="AM851" i="52"/>
  <c r="AL851" i="52"/>
  <c r="AK851" i="52"/>
  <c r="BH850" i="52"/>
  <c r="BG850" i="52"/>
  <c r="BF850" i="52"/>
  <c r="BE850" i="52"/>
  <c r="BD850" i="52"/>
  <c r="BC850" i="52"/>
  <c r="BB850" i="52"/>
  <c r="BA850" i="52"/>
  <c r="AZ850" i="52"/>
  <c r="AY850" i="52"/>
  <c r="AX850" i="52"/>
  <c r="AW850" i="52"/>
  <c r="AV850" i="52"/>
  <c r="AU850" i="52"/>
  <c r="AT850" i="52"/>
  <c r="AS850" i="52"/>
  <c r="AR850" i="52"/>
  <c r="AQ850" i="52"/>
  <c r="AP850" i="52"/>
  <c r="AO850" i="52"/>
  <c r="AN850" i="52"/>
  <c r="AM850" i="52"/>
  <c r="AL850" i="52"/>
  <c r="AK850" i="52"/>
  <c r="BH849" i="52"/>
  <c r="BG849" i="52"/>
  <c r="BF849" i="52"/>
  <c r="BE849" i="52"/>
  <c r="BD849" i="52"/>
  <c r="BC849" i="52"/>
  <c r="BB849" i="52"/>
  <c r="BA849" i="52"/>
  <c r="AZ849" i="52"/>
  <c r="AY849" i="52"/>
  <c r="AX849" i="52"/>
  <c r="AW849" i="52"/>
  <c r="AV849" i="52"/>
  <c r="AU849" i="52"/>
  <c r="AT849" i="52"/>
  <c r="AS849" i="52"/>
  <c r="AR849" i="52"/>
  <c r="AQ849" i="52"/>
  <c r="AP849" i="52"/>
  <c r="AO849" i="52"/>
  <c r="AN849" i="52"/>
  <c r="AM849" i="52"/>
  <c r="AL849" i="52"/>
  <c r="AK849" i="52"/>
  <c r="BH848" i="52"/>
  <c r="BG848" i="52"/>
  <c r="BF848" i="52"/>
  <c r="BE848" i="52"/>
  <c r="BD848" i="52"/>
  <c r="BC848" i="52"/>
  <c r="BB848" i="52"/>
  <c r="BA848" i="52"/>
  <c r="AZ848" i="52"/>
  <c r="AY848" i="52"/>
  <c r="AX848" i="52"/>
  <c r="AW848" i="52"/>
  <c r="AV848" i="52"/>
  <c r="AU848" i="52"/>
  <c r="AT848" i="52"/>
  <c r="AS848" i="52"/>
  <c r="AR848" i="52"/>
  <c r="AQ848" i="52"/>
  <c r="AP848" i="52"/>
  <c r="AO848" i="52"/>
  <c r="AN848" i="52"/>
  <c r="AM848" i="52"/>
  <c r="AL848" i="52"/>
  <c r="AK848" i="52"/>
  <c r="BH847" i="52"/>
  <c r="BG847" i="52"/>
  <c r="BF847" i="52"/>
  <c r="BE847" i="52"/>
  <c r="BD847" i="52"/>
  <c r="BC847" i="52"/>
  <c r="BB847" i="52"/>
  <c r="BA847" i="52"/>
  <c r="AZ847" i="52"/>
  <c r="AY847" i="52"/>
  <c r="AX847" i="52"/>
  <c r="AW847" i="52"/>
  <c r="AV847" i="52"/>
  <c r="AU847" i="52"/>
  <c r="AT847" i="52"/>
  <c r="AS847" i="52"/>
  <c r="AR847" i="52"/>
  <c r="AQ847" i="52"/>
  <c r="AP847" i="52"/>
  <c r="AO847" i="52"/>
  <c r="AN847" i="52"/>
  <c r="AM847" i="52"/>
  <c r="AL847" i="52"/>
  <c r="AK847" i="52"/>
  <c r="BH846" i="52"/>
  <c r="BG846" i="52"/>
  <c r="BF846" i="52"/>
  <c r="BE846" i="52"/>
  <c r="BD846" i="52"/>
  <c r="BC846" i="52"/>
  <c r="BB846" i="52"/>
  <c r="BA846" i="52"/>
  <c r="AZ846" i="52"/>
  <c r="AY846" i="52"/>
  <c r="AX846" i="52"/>
  <c r="AW846" i="52"/>
  <c r="AV846" i="52"/>
  <c r="AU846" i="52"/>
  <c r="AT846" i="52"/>
  <c r="AS846" i="52"/>
  <c r="AR846" i="52"/>
  <c r="AQ846" i="52"/>
  <c r="AP846" i="52"/>
  <c r="AO846" i="52"/>
  <c r="AN846" i="52"/>
  <c r="AM846" i="52"/>
  <c r="AL846" i="52"/>
  <c r="AK846" i="52"/>
  <c r="BH845" i="52"/>
  <c r="BG845" i="52"/>
  <c r="BF845" i="52"/>
  <c r="BE845" i="52"/>
  <c r="BD845" i="52"/>
  <c r="BC845" i="52"/>
  <c r="BB845" i="52"/>
  <c r="BA845" i="52"/>
  <c r="AZ845" i="52"/>
  <c r="AY845" i="52"/>
  <c r="AX845" i="52"/>
  <c r="AW845" i="52"/>
  <c r="AV845" i="52"/>
  <c r="AU845" i="52"/>
  <c r="AT845" i="52"/>
  <c r="AS845" i="52"/>
  <c r="AR845" i="52"/>
  <c r="AQ845" i="52"/>
  <c r="AP845" i="52"/>
  <c r="AO845" i="52"/>
  <c r="AN845" i="52"/>
  <c r="AM845" i="52"/>
  <c r="AL845" i="52"/>
  <c r="AK845" i="52"/>
  <c r="BH844" i="52"/>
  <c r="BG844" i="52"/>
  <c r="BF844" i="52"/>
  <c r="BE844" i="52"/>
  <c r="BD844" i="52"/>
  <c r="BC844" i="52"/>
  <c r="BB844" i="52"/>
  <c r="BA844" i="52"/>
  <c r="AZ844" i="52"/>
  <c r="AY844" i="52"/>
  <c r="AX844" i="52"/>
  <c r="AW844" i="52"/>
  <c r="AV844" i="52"/>
  <c r="AU844" i="52"/>
  <c r="AT844" i="52"/>
  <c r="AS844" i="52"/>
  <c r="AR844" i="52"/>
  <c r="AQ844" i="52"/>
  <c r="AP844" i="52"/>
  <c r="AO844" i="52"/>
  <c r="AN844" i="52"/>
  <c r="AM844" i="52"/>
  <c r="AL844" i="52"/>
  <c r="AK844" i="52"/>
  <c r="BH843" i="52"/>
  <c r="BG843" i="52"/>
  <c r="BF843" i="52"/>
  <c r="BE843" i="52"/>
  <c r="BD843" i="52"/>
  <c r="BC843" i="52"/>
  <c r="BB843" i="52"/>
  <c r="BA843" i="52"/>
  <c r="AZ843" i="52"/>
  <c r="AY843" i="52"/>
  <c r="AX843" i="52"/>
  <c r="AW843" i="52"/>
  <c r="AV843" i="52"/>
  <c r="AU843" i="52"/>
  <c r="AT843" i="52"/>
  <c r="AS843" i="52"/>
  <c r="AR843" i="52"/>
  <c r="AQ843" i="52"/>
  <c r="AP843" i="52"/>
  <c r="AO843" i="52"/>
  <c r="AN843" i="52"/>
  <c r="AM843" i="52"/>
  <c r="AL843" i="52"/>
  <c r="AK843" i="52"/>
  <c r="BH842" i="52"/>
  <c r="BG842" i="52"/>
  <c r="BF842" i="52"/>
  <c r="BE842" i="52"/>
  <c r="BD842" i="52"/>
  <c r="BC842" i="52"/>
  <c r="BB842" i="52"/>
  <c r="BA842" i="52"/>
  <c r="AZ842" i="52"/>
  <c r="AY842" i="52"/>
  <c r="AX842" i="52"/>
  <c r="AW842" i="52"/>
  <c r="AV842" i="52"/>
  <c r="AU842" i="52"/>
  <c r="AT842" i="52"/>
  <c r="AS842" i="52"/>
  <c r="AR842" i="52"/>
  <c r="AQ842" i="52"/>
  <c r="AP842" i="52"/>
  <c r="AO842" i="52"/>
  <c r="AN842" i="52"/>
  <c r="AM842" i="52"/>
  <c r="AL842" i="52"/>
  <c r="AK842" i="52"/>
  <c r="BH841" i="52"/>
  <c r="BG841" i="52"/>
  <c r="BF841" i="52"/>
  <c r="BE841" i="52"/>
  <c r="BD841" i="52"/>
  <c r="BC841" i="52"/>
  <c r="BB841" i="52"/>
  <c r="BA841" i="52"/>
  <c r="AZ841" i="52"/>
  <c r="AY841" i="52"/>
  <c r="AX841" i="52"/>
  <c r="AW841" i="52"/>
  <c r="AV841" i="52"/>
  <c r="AU841" i="52"/>
  <c r="AT841" i="52"/>
  <c r="AS841" i="52"/>
  <c r="AR841" i="52"/>
  <c r="AQ841" i="52"/>
  <c r="AP841" i="52"/>
  <c r="AO841" i="52"/>
  <c r="AN841" i="52"/>
  <c r="AM841" i="52"/>
  <c r="AL841" i="52"/>
  <c r="AK841" i="52"/>
  <c r="BH840" i="52"/>
  <c r="BG840" i="52"/>
  <c r="BF840" i="52"/>
  <c r="BE840" i="52"/>
  <c r="BD840" i="52"/>
  <c r="BC840" i="52"/>
  <c r="BB840" i="52"/>
  <c r="BA840" i="52"/>
  <c r="AZ840" i="52"/>
  <c r="AY840" i="52"/>
  <c r="AX840" i="52"/>
  <c r="AW840" i="52"/>
  <c r="AV840" i="52"/>
  <c r="AU840" i="52"/>
  <c r="AT840" i="52"/>
  <c r="AS840" i="52"/>
  <c r="AR840" i="52"/>
  <c r="AQ840" i="52"/>
  <c r="AP840" i="52"/>
  <c r="AO840" i="52"/>
  <c r="AN840" i="52"/>
  <c r="AM840" i="52"/>
  <c r="AL840" i="52"/>
  <c r="AK840" i="52"/>
  <c r="BH839" i="52"/>
  <c r="BG839" i="52"/>
  <c r="BF839" i="52"/>
  <c r="BE839" i="52"/>
  <c r="BD839" i="52"/>
  <c r="BC839" i="52"/>
  <c r="BB839" i="52"/>
  <c r="BA839" i="52"/>
  <c r="AZ839" i="52"/>
  <c r="AY839" i="52"/>
  <c r="AX839" i="52"/>
  <c r="AW839" i="52"/>
  <c r="AV839" i="52"/>
  <c r="AU839" i="52"/>
  <c r="AT839" i="52"/>
  <c r="AS839" i="52"/>
  <c r="AR839" i="52"/>
  <c r="AQ839" i="52"/>
  <c r="AP839" i="52"/>
  <c r="AO839" i="52"/>
  <c r="AN839" i="52"/>
  <c r="AM839" i="52"/>
  <c r="AL839" i="52"/>
  <c r="AK839" i="52"/>
  <c r="BH838" i="52"/>
  <c r="BG838" i="52"/>
  <c r="BF838" i="52"/>
  <c r="BE838" i="52"/>
  <c r="BD838" i="52"/>
  <c r="BC838" i="52"/>
  <c r="BB838" i="52"/>
  <c r="BA838" i="52"/>
  <c r="AZ838" i="52"/>
  <c r="AY838" i="52"/>
  <c r="AX838" i="52"/>
  <c r="AW838" i="52"/>
  <c r="AV838" i="52"/>
  <c r="AU838" i="52"/>
  <c r="AT838" i="52"/>
  <c r="AS838" i="52"/>
  <c r="AR838" i="52"/>
  <c r="AQ838" i="52"/>
  <c r="AP838" i="52"/>
  <c r="AO838" i="52"/>
  <c r="AN838" i="52"/>
  <c r="AM838" i="52"/>
  <c r="AL838" i="52"/>
  <c r="AK838" i="52"/>
  <c r="BH837" i="52"/>
  <c r="BG837" i="52"/>
  <c r="BF837" i="52"/>
  <c r="BE837" i="52"/>
  <c r="BD837" i="52"/>
  <c r="BC837" i="52"/>
  <c r="BB837" i="52"/>
  <c r="BA837" i="52"/>
  <c r="AZ837" i="52"/>
  <c r="AY837" i="52"/>
  <c r="AX837" i="52"/>
  <c r="AW837" i="52"/>
  <c r="AV837" i="52"/>
  <c r="AU837" i="52"/>
  <c r="AT837" i="52"/>
  <c r="AS837" i="52"/>
  <c r="AR837" i="52"/>
  <c r="AQ837" i="52"/>
  <c r="AP837" i="52"/>
  <c r="AO837" i="52"/>
  <c r="AN837" i="52"/>
  <c r="AM837" i="52"/>
  <c r="AL837" i="52"/>
  <c r="AK837" i="52"/>
  <c r="BH836" i="52"/>
  <c r="BG836" i="52"/>
  <c r="BF836" i="52"/>
  <c r="BE836" i="52"/>
  <c r="BD836" i="52"/>
  <c r="BC836" i="52"/>
  <c r="BB836" i="52"/>
  <c r="BA836" i="52"/>
  <c r="AZ836" i="52"/>
  <c r="AY836" i="52"/>
  <c r="AX836" i="52"/>
  <c r="AW836" i="52"/>
  <c r="AV836" i="52"/>
  <c r="AU836" i="52"/>
  <c r="AT836" i="52"/>
  <c r="AS836" i="52"/>
  <c r="AR836" i="52"/>
  <c r="AQ836" i="52"/>
  <c r="AP836" i="52"/>
  <c r="AO836" i="52"/>
  <c r="AN836" i="52"/>
  <c r="AM836" i="52"/>
  <c r="AL836" i="52"/>
  <c r="AK836" i="52"/>
  <c r="BH835" i="52"/>
  <c r="BG835" i="52"/>
  <c r="BF835" i="52"/>
  <c r="BE835" i="52"/>
  <c r="BD835" i="52"/>
  <c r="BC835" i="52"/>
  <c r="BB835" i="52"/>
  <c r="BA835" i="52"/>
  <c r="AZ835" i="52"/>
  <c r="AY835" i="52"/>
  <c r="AX835" i="52"/>
  <c r="AW835" i="52"/>
  <c r="AV835" i="52"/>
  <c r="AU835" i="52"/>
  <c r="AT835" i="52"/>
  <c r="AS835" i="52"/>
  <c r="AR835" i="52"/>
  <c r="AQ835" i="52"/>
  <c r="AP835" i="52"/>
  <c r="AO835" i="52"/>
  <c r="AN835" i="52"/>
  <c r="AM835" i="52"/>
  <c r="AL835" i="52"/>
  <c r="AK835" i="52"/>
  <c r="BH834" i="52"/>
  <c r="BG834" i="52"/>
  <c r="BF834" i="52"/>
  <c r="BE834" i="52"/>
  <c r="BD834" i="52"/>
  <c r="BC834" i="52"/>
  <c r="BB834" i="52"/>
  <c r="BA834" i="52"/>
  <c r="AZ834" i="52"/>
  <c r="AY834" i="52"/>
  <c r="AX834" i="52"/>
  <c r="AW834" i="52"/>
  <c r="AV834" i="52"/>
  <c r="AU834" i="52"/>
  <c r="AT834" i="52"/>
  <c r="AS834" i="52"/>
  <c r="AR834" i="52"/>
  <c r="AQ834" i="52"/>
  <c r="AP834" i="52"/>
  <c r="AO834" i="52"/>
  <c r="AN834" i="52"/>
  <c r="AM834" i="52"/>
  <c r="AL834" i="52"/>
  <c r="AK834" i="52"/>
  <c r="BH833" i="52"/>
  <c r="BG833" i="52"/>
  <c r="BF833" i="52"/>
  <c r="BE833" i="52"/>
  <c r="BD833" i="52"/>
  <c r="BC833" i="52"/>
  <c r="BB833" i="52"/>
  <c r="BA833" i="52"/>
  <c r="AZ833" i="52"/>
  <c r="AY833" i="52"/>
  <c r="AX833" i="52"/>
  <c r="AW833" i="52"/>
  <c r="AV833" i="52"/>
  <c r="AU833" i="52"/>
  <c r="AT833" i="52"/>
  <c r="AS833" i="52"/>
  <c r="AR833" i="52"/>
  <c r="AQ833" i="52"/>
  <c r="AP833" i="52"/>
  <c r="AO833" i="52"/>
  <c r="AN833" i="52"/>
  <c r="AM833" i="52"/>
  <c r="AL833" i="52"/>
  <c r="AK833" i="52"/>
  <c r="BH832" i="52"/>
  <c r="BG832" i="52"/>
  <c r="BF832" i="52"/>
  <c r="BE832" i="52"/>
  <c r="BD832" i="52"/>
  <c r="BC832" i="52"/>
  <c r="BB832" i="52"/>
  <c r="BA832" i="52"/>
  <c r="AZ832" i="52"/>
  <c r="AY832" i="52"/>
  <c r="AX832" i="52"/>
  <c r="AW832" i="52"/>
  <c r="AV832" i="52"/>
  <c r="AU832" i="52"/>
  <c r="AT832" i="52"/>
  <c r="AS832" i="52"/>
  <c r="AR832" i="52"/>
  <c r="AQ832" i="52"/>
  <c r="AP832" i="52"/>
  <c r="AO832" i="52"/>
  <c r="AN832" i="52"/>
  <c r="AM832" i="52"/>
  <c r="AL832" i="52"/>
  <c r="AK832" i="52"/>
  <c r="BH831" i="52"/>
  <c r="BG831" i="52"/>
  <c r="BF831" i="52"/>
  <c r="BE831" i="52"/>
  <c r="BD831" i="52"/>
  <c r="BC831" i="52"/>
  <c r="BB831" i="52"/>
  <c r="BA831" i="52"/>
  <c r="AZ831" i="52"/>
  <c r="AY831" i="52"/>
  <c r="AX831" i="52"/>
  <c r="AW831" i="52"/>
  <c r="AV831" i="52"/>
  <c r="AU831" i="52"/>
  <c r="AT831" i="52"/>
  <c r="AS831" i="52"/>
  <c r="AR831" i="52"/>
  <c r="AQ831" i="52"/>
  <c r="AP831" i="52"/>
  <c r="AO831" i="52"/>
  <c r="AN831" i="52"/>
  <c r="AM831" i="52"/>
  <c r="AL831" i="52"/>
  <c r="AK831" i="52"/>
  <c r="BH830" i="52"/>
  <c r="BG830" i="52"/>
  <c r="BF830" i="52"/>
  <c r="BE830" i="52"/>
  <c r="BD830" i="52"/>
  <c r="BC830" i="52"/>
  <c r="BB830" i="52"/>
  <c r="BA830" i="52"/>
  <c r="AZ830" i="52"/>
  <c r="AY830" i="52"/>
  <c r="AX830" i="52"/>
  <c r="AW830" i="52"/>
  <c r="AV830" i="52"/>
  <c r="AU830" i="52"/>
  <c r="AT830" i="52"/>
  <c r="AS830" i="52"/>
  <c r="AR830" i="52"/>
  <c r="AQ830" i="52"/>
  <c r="AP830" i="52"/>
  <c r="AO830" i="52"/>
  <c r="AN830" i="52"/>
  <c r="AM830" i="52"/>
  <c r="AL830" i="52"/>
  <c r="AK830" i="52"/>
  <c r="BH829" i="52"/>
  <c r="BG829" i="52"/>
  <c r="BF829" i="52"/>
  <c r="BE829" i="52"/>
  <c r="BD829" i="52"/>
  <c r="BC829" i="52"/>
  <c r="BB829" i="52"/>
  <c r="BA829" i="52"/>
  <c r="AZ829" i="52"/>
  <c r="AY829" i="52"/>
  <c r="AX829" i="52"/>
  <c r="AW829" i="52"/>
  <c r="AV829" i="52"/>
  <c r="AU829" i="52"/>
  <c r="AT829" i="52"/>
  <c r="AS829" i="52"/>
  <c r="AR829" i="52"/>
  <c r="AQ829" i="52"/>
  <c r="AP829" i="52"/>
  <c r="AO829" i="52"/>
  <c r="AN829" i="52"/>
  <c r="AM829" i="52"/>
  <c r="AL829" i="52"/>
  <c r="AK829" i="52"/>
  <c r="BH828" i="52"/>
  <c r="BG828" i="52"/>
  <c r="BF828" i="52"/>
  <c r="BE828" i="52"/>
  <c r="BD828" i="52"/>
  <c r="BC828" i="52"/>
  <c r="BB828" i="52"/>
  <c r="BA828" i="52"/>
  <c r="AZ828" i="52"/>
  <c r="AY828" i="52"/>
  <c r="AX828" i="52"/>
  <c r="AW828" i="52"/>
  <c r="AV828" i="52"/>
  <c r="AU828" i="52"/>
  <c r="AT828" i="52"/>
  <c r="AS828" i="52"/>
  <c r="AR828" i="52"/>
  <c r="AQ828" i="52"/>
  <c r="AP828" i="52"/>
  <c r="AO828" i="52"/>
  <c r="AN828" i="52"/>
  <c r="AM828" i="52"/>
  <c r="AL828" i="52"/>
  <c r="AK828" i="52"/>
  <c r="BH827" i="52"/>
  <c r="BG827" i="52"/>
  <c r="BF827" i="52"/>
  <c r="BE827" i="52"/>
  <c r="BD827" i="52"/>
  <c r="BC827" i="52"/>
  <c r="BB827" i="52"/>
  <c r="BA827" i="52"/>
  <c r="AZ827" i="52"/>
  <c r="AY827" i="52"/>
  <c r="AX827" i="52"/>
  <c r="AW827" i="52"/>
  <c r="AV827" i="52"/>
  <c r="AU827" i="52"/>
  <c r="AT827" i="52"/>
  <c r="AS827" i="52"/>
  <c r="AR827" i="52"/>
  <c r="AQ827" i="52"/>
  <c r="AP827" i="52"/>
  <c r="AO827" i="52"/>
  <c r="AN827" i="52"/>
  <c r="AM827" i="52"/>
  <c r="AL827" i="52"/>
  <c r="AK827" i="52"/>
  <c r="BH826" i="52"/>
  <c r="BG826" i="52"/>
  <c r="BF826" i="52"/>
  <c r="BE826" i="52"/>
  <c r="BD826" i="52"/>
  <c r="BC826" i="52"/>
  <c r="BB826" i="52"/>
  <c r="BA826" i="52"/>
  <c r="AZ826" i="52"/>
  <c r="AY826" i="52"/>
  <c r="AX826" i="52"/>
  <c r="AW826" i="52"/>
  <c r="AV826" i="52"/>
  <c r="AU826" i="52"/>
  <c r="AT826" i="52"/>
  <c r="AS826" i="52"/>
  <c r="AR826" i="52"/>
  <c r="AQ826" i="52"/>
  <c r="AP826" i="52"/>
  <c r="AO826" i="52"/>
  <c r="AN826" i="52"/>
  <c r="AM826" i="52"/>
  <c r="AL826" i="52"/>
  <c r="AK826" i="52"/>
  <c r="BH825" i="52"/>
  <c r="BG825" i="52"/>
  <c r="BF825" i="52"/>
  <c r="BE825" i="52"/>
  <c r="BD825" i="52"/>
  <c r="BC825" i="52"/>
  <c r="BB825" i="52"/>
  <c r="BA825" i="52"/>
  <c r="AZ825" i="52"/>
  <c r="AY825" i="52"/>
  <c r="AX825" i="52"/>
  <c r="AW825" i="52"/>
  <c r="AV825" i="52"/>
  <c r="AU825" i="52"/>
  <c r="AT825" i="52"/>
  <c r="AS825" i="52"/>
  <c r="AR825" i="52"/>
  <c r="AQ825" i="52"/>
  <c r="AP825" i="52"/>
  <c r="AO825" i="52"/>
  <c r="AN825" i="52"/>
  <c r="AM825" i="52"/>
  <c r="AL825" i="52"/>
  <c r="AK825" i="52"/>
  <c r="BH824" i="52"/>
  <c r="BG824" i="52"/>
  <c r="BF824" i="52"/>
  <c r="BE824" i="52"/>
  <c r="BD824" i="52"/>
  <c r="BC824" i="52"/>
  <c r="BB824" i="52"/>
  <c r="BA824" i="52"/>
  <c r="AZ824" i="52"/>
  <c r="AY824" i="52"/>
  <c r="AX824" i="52"/>
  <c r="AW824" i="52"/>
  <c r="AV824" i="52"/>
  <c r="AU824" i="52"/>
  <c r="AT824" i="52"/>
  <c r="AS824" i="52"/>
  <c r="AR824" i="52"/>
  <c r="AQ824" i="52"/>
  <c r="AP824" i="52"/>
  <c r="AO824" i="52"/>
  <c r="AN824" i="52"/>
  <c r="AM824" i="52"/>
  <c r="AL824" i="52"/>
  <c r="AK824" i="52"/>
  <c r="BH823" i="52"/>
  <c r="BG823" i="52"/>
  <c r="BF823" i="52"/>
  <c r="BE823" i="52"/>
  <c r="BD823" i="52"/>
  <c r="BC823" i="52"/>
  <c r="BB823" i="52"/>
  <c r="BA823" i="52"/>
  <c r="AZ823" i="52"/>
  <c r="AY823" i="52"/>
  <c r="AX823" i="52"/>
  <c r="AW823" i="52"/>
  <c r="AV823" i="52"/>
  <c r="AU823" i="52"/>
  <c r="AT823" i="52"/>
  <c r="AS823" i="52"/>
  <c r="AR823" i="52"/>
  <c r="AQ823" i="52"/>
  <c r="AP823" i="52"/>
  <c r="AO823" i="52"/>
  <c r="AN823" i="52"/>
  <c r="AM823" i="52"/>
  <c r="AL823" i="52"/>
  <c r="AK823" i="52"/>
  <c r="BH822" i="52"/>
  <c r="BG822" i="52"/>
  <c r="BF822" i="52"/>
  <c r="BE822" i="52"/>
  <c r="BD822" i="52"/>
  <c r="BC822" i="52"/>
  <c r="BB822" i="52"/>
  <c r="BA822" i="52"/>
  <c r="AZ822" i="52"/>
  <c r="AY822" i="52"/>
  <c r="AX822" i="52"/>
  <c r="AW822" i="52"/>
  <c r="AV822" i="52"/>
  <c r="AU822" i="52"/>
  <c r="AT822" i="52"/>
  <c r="AS822" i="52"/>
  <c r="AR822" i="52"/>
  <c r="AQ822" i="52"/>
  <c r="AP822" i="52"/>
  <c r="AO822" i="52"/>
  <c r="AN822" i="52"/>
  <c r="AM822" i="52"/>
  <c r="AL822" i="52"/>
  <c r="AK822" i="52"/>
  <c r="BH821" i="52"/>
  <c r="BG821" i="52"/>
  <c r="BF821" i="52"/>
  <c r="BE821" i="52"/>
  <c r="BD821" i="52"/>
  <c r="BC821" i="52"/>
  <c r="BB821" i="52"/>
  <c r="BA821" i="52"/>
  <c r="AZ821" i="52"/>
  <c r="AY821" i="52"/>
  <c r="AX821" i="52"/>
  <c r="AW821" i="52"/>
  <c r="AV821" i="52"/>
  <c r="AU821" i="52"/>
  <c r="AT821" i="52"/>
  <c r="AS821" i="52"/>
  <c r="AR821" i="52"/>
  <c r="AQ821" i="52"/>
  <c r="AP821" i="52"/>
  <c r="AO821" i="52"/>
  <c r="AN821" i="52"/>
  <c r="AM821" i="52"/>
  <c r="AL821" i="52"/>
  <c r="AK821" i="52"/>
  <c r="BH820" i="52"/>
  <c r="BG820" i="52"/>
  <c r="BF820" i="52"/>
  <c r="BE820" i="52"/>
  <c r="BD820" i="52"/>
  <c r="BC820" i="52"/>
  <c r="BB820" i="52"/>
  <c r="BA820" i="52"/>
  <c r="AZ820" i="52"/>
  <c r="AY820" i="52"/>
  <c r="AX820" i="52"/>
  <c r="AW820" i="52"/>
  <c r="AV820" i="52"/>
  <c r="AU820" i="52"/>
  <c r="AT820" i="52"/>
  <c r="AS820" i="52"/>
  <c r="AR820" i="52"/>
  <c r="AQ820" i="52"/>
  <c r="AP820" i="52"/>
  <c r="AO820" i="52"/>
  <c r="AN820" i="52"/>
  <c r="AM820" i="52"/>
  <c r="AL820" i="52"/>
  <c r="AK820" i="52"/>
  <c r="BH819" i="52"/>
  <c r="BG819" i="52"/>
  <c r="BF819" i="52"/>
  <c r="BE819" i="52"/>
  <c r="BD819" i="52"/>
  <c r="BC819" i="52"/>
  <c r="BB819" i="52"/>
  <c r="BA819" i="52"/>
  <c r="AZ819" i="52"/>
  <c r="AY819" i="52"/>
  <c r="AX819" i="52"/>
  <c r="AW819" i="52"/>
  <c r="AV819" i="52"/>
  <c r="AU819" i="52"/>
  <c r="AT819" i="52"/>
  <c r="AS819" i="52"/>
  <c r="AR819" i="52"/>
  <c r="AQ819" i="52"/>
  <c r="AP819" i="52"/>
  <c r="AO819" i="52"/>
  <c r="AN819" i="52"/>
  <c r="AM819" i="52"/>
  <c r="AL819" i="52"/>
  <c r="AK819" i="52"/>
  <c r="BH818" i="52"/>
  <c r="BG818" i="52"/>
  <c r="BF818" i="52"/>
  <c r="BE818" i="52"/>
  <c r="BD818" i="52"/>
  <c r="BC818" i="52"/>
  <c r="BB818" i="52"/>
  <c r="BA818" i="52"/>
  <c r="AZ818" i="52"/>
  <c r="AY818" i="52"/>
  <c r="AX818" i="52"/>
  <c r="AW818" i="52"/>
  <c r="AV818" i="52"/>
  <c r="AU818" i="52"/>
  <c r="AT818" i="52"/>
  <c r="AS818" i="52"/>
  <c r="AR818" i="52"/>
  <c r="AQ818" i="52"/>
  <c r="AP818" i="52"/>
  <c r="AO818" i="52"/>
  <c r="AN818" i="52"/>
  <c r="AM818" i="52"/>
  <c r="AL818" i="52"/>
  <c r="AK818" i="52"/>
  <c r="BH817" i="52"/>
  <c r="BG817" i="52"/>
  <c r="BF817" i="52"/>
  <c r="BE817" i="52"/>
  <c r="BD817" i="52"/>
  <c r="BC817" i="52"/>
  <c r="BB817" i="52"/>
  <c r="BA817" i="52"/>
  <c r="AZ817" i="52"/>
  <c r="AY817" i="52"/>
  <c r="AX817" i="52"/>
  <c r="AW817" i="52"/>
  <c r="AV817" i="52"/>
  <c r="AU817" i="52"/>
  <c r="AT817" i="52"/>
  <c r="AS817" i="52"/>
  <c r="AR817" i="52"/>
  <c r="AQ817" i="52"/>
  <c r="AP817" i="52"/>
  <c r="AO817" i="52"/>
  <c r="AN817" i="52"/>
  <c r="AM817" i="52"/>
  <c r="AL817" i="52"/>
  <c r="AK817" i="52"/>
  <c r="BH816" i="52"/>
  <c r="BG816" i="52"/>
  <c r="BF816" i="52"/>
  <c r="BE816" i="52"/>
  <c r="BD816" i="52"/>
  <c r="BC816" i="52"/>
  <c r="BB816" i="52"/>
  <c r="BA816" i="52"/>
  <c r="AZ816" i="52"/>
  <c r="AY816" i="52"/>
  <c r="AX816" i="52"/>
  <c r="AW816" i="52"/>
  <c r="AV816" i="52"/>
  <c r="AU816" i="52"/>
  <c r="AT816" i="52"/>
  <c r="AS816" i="52"/>
  <c r="AR816" i="52"/>
  <c r="AQ816" i="52"/>
  <c r="AP816" i="52"/>
  <c r="AO816" i="52"/>
  <c r="AN816" i="52"/>
  <c r="AM816" i="52"/>
  <c r="AL816" i="52"/>
  <c r="AK816" i="52"/>
  <c r="BH815" i="52"/>
  <c r="BG815" i="52"/>
  <c r="BF815" i="52"/>
  <c r="BE815" i="52"/>
  <c r="BD815" i="52"/>
  <c r="BC815" i="52"/>
  <c r="BB815" i="52"/>
  <c r="BA815" i="52"/>
  <c r="AZ815" i="52"/>
  <c r="AY815" i="52"/>
  <c r="AX815" i="52"/>
  <c r="AW815" i="52"/>
  <c r="AV815" i="52"/>
  <c r="AU815" i="52"/>
  <c r="AT815" i="52"/>
  <c r="AS815" i="52"/>
  <c r="AR815" i="52"/>
  <c r="AQ815" i="52"/>
  <c r="AP815" i="52"/>
  <c r="AO815" i="52"/>
  <c r="AN815" i="52"/>
  <c r="AM815" i="52"/>
  <c r="AL815" i="52"/>
  <c r="AK815" i="52"/>
  <c r="BH814" i="52"/>
  <c r="BG814" i="52"/>
  <c r="BF814" i="52"/>
  <c r="BE814" i="52"/>
  <c r="BD814" i="52"/>
  <c r="BC814" i="52"/>
  <c r="BB814" i="52"/>
  <c r="BA814" i="52"/>
  <c r="AZ814" i="52"/>
  <c r="AY814" i="52"/>
  <c r="AX814" i="52"/>
  <c r="AW814" i="52"/>
  <c r="AV814" i="52"/>
  <c r="AU814" i="52"/>
  <c r="AT814" i="52"/>
  <c r="AS814" i="52"/>
  <c r="AR814" i="52"/>
  <c r="AQ814" i="52"/>
  <c r="AP814" i="52"/>
  <c r="AO814" i="52"/>
  <c r="AN814" i="52"/>
  <c r="AM814" i="52"/>
  <c r="AL814" i="52"/>
  <c r="AK814" i="52"/>
  <c r="BH813" i="52"/>
  <c r="BG813" i="52"/>
  <c r="BF813" i="52"/>
  <c r="BE813" i="52"/>
  <c r="BD813" i="52"/>
  <c r="BC813" i="52"/>
  <c r="BB813" i="52"/>
  <c r="BA813" i="52"/>
  <c r="AZ813" i="52"/>
  <c r="AY813" i="52"/>
  <c r="AX813" i="52"/>
  <c r="AW813" i="52"/>
  <c r="AV813" i="52"/>
  <c r="AU813" i="52"/>
  <c r="AT813" i="52"/>
  <c r="AS813" i="52"/>
  <c r="AR813" i="52"/>
  <c r="AQ813" i="52"/>
  <c r="AP813" i="52"/>
  <c r="AO813" i="52"/>
  <c r="AN813" i="52"/>
  <c r="AM813" i="52"/>
  <c r="AL813" i="52"/>
  <c r="AK813" i="52"/>
  <c r="BH812" i="52"/>
  <c r="BG812" i="52"/>
  <c r="BF812" i="52"/>
  <c r="BE812" i="52"/>
  <c r="BD812" i="52"/>
  <c r="BC812" i="52"/>
  <c r="BB812" i="52"/>
  <c r="BA812" i="52"/>
  <c r="AZ812" i="52"/>
  <c r="AY812" i="52"/>
  <c r="AX812" i="52"/>
  <c r="AW812" i="52"/>
  <c r="AV812" i="52"/>
  <c r="AU812" i="52"/>
  <c r="AT812" i="52"/>
  <c r="AS812" i="52"/>
  <c r="AR812" i="52"/>
  <c r="AQ812" i="52"/>
  <c r="AP812" i="52"/>
  <c r="AO812" i="52"/>
  <c r="AN812" i="52"/>
  <c r="AM812" i="52"/>
  <c r="AL812" i="52"/>
  <c r="AK812" i="52"/>
  <c r="BH811" i="52"/>
  <c r="BG811" i="52"/>
  <c r="BF811" i="52"/>
  <c r="BE811" i="52"/>
  <c r="BD811" i="52"/>
  <c r="BC811" i="52"/>
  <c r="BB811" i="52"/>
  <c r="BA811" i="52"/>
  <c r="AZ811" i="52"/>
  <c r="AY811" i="52"/>
  <c r="AX811" i="52"/>
  <c r="AW811" i="52"/>
  <c r="AV811" i="52"/>
  <c r="AU811" i="52"/>
  <c r="AT811" i="52"/>
  <c r="AS811" i="52"/>
  <c r="AR811" i="52"/>
  <c r="AQ811" i="52"/>
  <c r="AP811" i="52"/>
  <c r="AO811" i="52"/>
  <c r="AN811" i="52"/>
  <c r="AM811" i="52"/>
  <c r="AL811" i="52"/>
  <c r="AK811" i="52"/>
  <c r="BH810" i="52"/>
  <c r="BG810" i="52"/>
  <c r="BF810" i="52"/>
  <c r="BE810" i="52"/>
  <c r="BD810" i="52"/>
  <c r="BC810" i="52"/>
  <c r="BB810" i="52"/>
  <c r="BA810" i="52"/>
  <c r="AZ810" i="52"/>
  <c r="AY810" i="52"/>
  <c r="AX810" i="52"/>
  <c r="AW810" i="52"/>
  <c r="AV810" i="52"/>
  <c r="AU810" i="52"/>
  <c r="AT810" i="52"/>
  <c r="AS810" i="52"/>
  <c r="AR810" i="52"/>
  <c r="AQ810" i="52"/>
  <c r="AP810" i="52"/>
  <c r="AO810" i="52"/>
  <c r="AN810" i="52"/>
  <c r="AM810" i="52"/>
  <c r="AL810" i="52"/>
  <c r="AK810" i="52"/>
  <c r="BH809" i="52"/>
  <c r="BG809" i="52"/>
  <c r="BF809" i="52"/>
  <c r="BE809" i="52"/>
  <c r="BD809" i="52"/>
  <c r="BC809" i="52"/>
  <c r="BB809" i="52"/>
  <c r="BA809" i="52"/>
  <c r="AZ809" i="52"/>
  <c r="AY809" i="52"/>
  <c r="AX809" i="52"/>
  <c r="AW809" i="52"/>
  <c r="AV809" i="52"/>
  <c r="AU809" i="52"/>
  <c r="AT809" i="52"/>
  <c r="AS809" i="52"/>
  <c r="AR809" i="52"/>
  <c r="AQ809" i="52"/>
  <c r="AP809" i="52"/>
  <c r="AO809" i="52"/>
  <c r="AN809" i="52"/>
  <c r="AM809" i="52"/>
  <c r="AL809" i="52"/>
  <c r="AK809" i="52"/>
  <c r="BH808" i="52"/>
  <c r="BG808" i="52"/>
  <c r="BF808" i="52"/>
  <c r="BE808" i="52"/>
  <c r="BD808" i="52"/>
  <c r="BC808" i="52"/>
  <c r="BB808" i="52"/>
  <c r="BA808" i="52"/>
  <c r="AZ808" i="52"/>
  <c r="AY808" i="52"/>
  <c r="AX808" i="52"/>
  <c r="AW808" i="52"/>
  <c r="AV808" i="52"/>
  <c r="AU808" i="52"/>
  <c r="AT808" i="52"/>
  <c r="AS808" i="52"/>
  <c r="AR808" i="52"/>
  <c r="AQ808" i="52"/>
  <c r="AP808" i="52"/>
  <c r="AO808" i="52"/>
  <c r="AN808" i="52"/>
  <c r="AM808" i="52"/>
  <c r="AL808" i="52"/>
  <c r="AK808" i="52"/>
  <c r="BH807" i="52"/>
  <c r="BG807" i="52"/>
  <c r="BF807" i="52"/>
  <c r="BE807" i="52"/>
  <c r="BD807" i="52"/>
  <c r="BC807" i="52"/>
  <c r="BB807" i="52"/>
  <c r="BA807" i="52"/>
  <c r="AZ807" i="52"/>
  <c r="AY807" i="52"/>
  <c r="AX807" i="52"/>
  <c r="AW807" i="52"/>
  <c r="AV807" i="52"/>
  <c r="AU807" i="52"/>
  <c r="AT807" i="52"/>
  <c r="AS807" i="52"/>
  <c r="AR807" i="52"/>
  <c r="AQ807" i="52"/>
  <c r="AP807" i="52"/>
  <c r="AO807" i="52"/>
  <c r="AN807" i="52"/>
  <c r="AM807" i="52"/>
  <c r="AL807" i="52"/>
  <c r="AK807" i="52"/>
  <c r="BH806" i="52"/>
  <c r="BG806" i="52"/>
  <c r="BF806" i="52"/>
  <c r="BE806" i="52"/>
  <c r="BD806" i="52"/>
  <c r="BC806" i="52"/>
  <c r="BB806" i="52"/>
  <c r="BA806" i="52"/>
  <c r="AZ806" i="52"/>
  <c r="AY806" i="52"/>
  <c r="AX806" i="52"/>
  <c r="AW806" i="52"/>
  <c r="AV806" i="52"/>
  <c r="AU806" i="52"/>
  <c r="AT806" i="52"/>
  <c r="AS806" i="52"/>
  <c r="AR806" i="52"/>
  <c r="AQ806" i="52"/>
  <c r="AP806" i="52"/>
  <c r="AO806" i="52"/>
  <c r="AN806" i="52"/>
  <c r="AM806" i="52"/>
  <c r="AL806" i="52"/>
  <c r="AK806" i="52"/>
  <c r="BH805" i="52"/>
  <c r="BG805" i="52"/>
  <c r="BF805" i="52"/>
  <c r="BE805" i="52"/>
  <c r="BD805" i="52"/>
  <c r="BC805" i="52"/>
  <c r="BB805" i="52"/>
  <c r="BA805" i="52"/>
  <c r="AZ805" i="52"/>
  <c r="AY805" i="52"/>
  <c r="AX805" i="52"/>
  <c r="AW805" i="52"/>
  <c r="AV805" i="52"/>
  <c r="AU805" i="52"/>
  <c r="AT805" i="52"/>
  <c r="AS805" i="52"/>
  <c r="AR805" i="52"/>
  <c r="AQ805" i="52"/>
  <c r="AP805" i="52"/>
  <c r="AO805" i="52"/>
  <c r="AN805" i="52"/>
  <c r="AM805" i="52"/>
  <c r="AL805" i="52"/>
  <c r="AK805" i="52"/>
  <c r="BH804" i="52"/>
  <c r="BG804" i="52"/>
  <c r="BF804" i="52"/>
  <c r="BE804" i="52"/>
  <c r="BD804" i="52"/>
  <c r="BC804" i="52"/>
  <c r="BB804" i="52"/>
  <c r="BA804" i="52"/>
  <c r="AZ804" i="52"/>
  <c r="AY804" i="52"/>
  <c r="AX804" i="52"/>
  <c r="AW804" i="52"/>
  <c r="AV804" i="52"/>
  <c r="AU804" i="52"/>
  <c r="AT804" i="52"/>
  <c r="AS804" i="52"/>
  <c r="AR804" i="52"/>
  <c r="AQ804" i="52"/>
  <c r="AP804" i="52"/>
  <c r="AO804" i="52"/>
  <c r="AN804" i="52"/>
  <c r="AM804" i="52"/>
  <c r="AL804" i="52"/>
  <c r="AK804" i="52"/>
  <c r="BH803" i="52"/>
  <c r="BG803" i="52"/>
  <c r="BF803" i="52"/>
  <c r="BE803" i="52"/>
  <c r="BD803" i="52"/>
  <c r="BC803" i="52"/>
  <c r="BB803" i="52"/>
  <c r="BA803" i="52"/>
  <c r="AZ803" i="52"/>
  <c r="AY803" i="52"/>
  <c r="AX803" i="52"/>
  <c r="AW803" i="52"/>
  <c r="AV803" i="52"/>
  <c r="AU803" i="52"/>
  <c r="AT803" i="52"/>
  <c r="AS803" i="52"/>
  <c r="AR803" i="52"/>
  <c r="AQ803" i="52"/>
  <c r="AP803" i="52"/>
  <c r="AO803" i="52"/>
  <c r="AN803" i="52"/>
  <c r="AM803" i="52"/>
  <c r="AL803" i="52"/>
  <c r="AK803" i="52"/>
  <c r="BH802" i="52"/>
  <c r="BG802" i="52"/>
  <c r="BF802" i="52"/>
  <c r="BE802" i="52"/>
  <c r="BD802" i="52"/>
  <c r="BC802" i="52"/>
  <c r="BB802" i="52"/>
  <c r="BA802" i="52"/>
  <c r="AZ802" i="52"/>
  <c r="AY802" i="52"/>
  <c r="AX802" i="52"/>
  <c r="AW802" i="52"/>
  <c r="AV802" i="52"/>
  <c r="AU802" i="52"/>
  <c r="AT802" i="52"/>
  <c r="AS802" i="52"/>
  <c r="AR802" i="52"/>
  <c r="AQ802" i="52"/>
  <c r="AP802" i="52"/>
  <c r="AO802" i="52"/>
  <c r="AN802" i="52"/>
  <c r="AM802" i="52"/>
  <c r="AL802" i="52"/>
  <c r="AK802" i="52"/>
  <c r="BH801" i="52"/>
  <c r="BG801" i="52"/>
  <c r="BF801" i="52"/>
  <c r="BE801" i="52"/>
  <c r="BD801" i="52"/>
  <c r="BC801" i="52"/>
  <c r="BB801" i="52"/>
  <c r="BA801" i="52"/>
  <c r="AZ801" i="52"/>
  <c r="AY801" i="52"/>
  <c r="AX801" i="52"/>
  <c r="AW801" i="52"/>
  <c r="AV801" i="52"/>
  <c r="AU801" i="52"/>
  <c r="AT801" i="52"/>
  <c r="AS801" i="52"/>
  <c r="AR801" i="52"/>
  <c r="AQ801" i="52"/>
  <c r="AP801" i="52"/>
  <c r="AO801" i="52"/>
  <c r="AN801" i="52"/>
  <c r="AM801" i="52"/>
  <c r="AL801" i="52"/>
  <c r="AK801" i="52"/>
  <c r="BH800" i="52"/>
  <c r="BG800" i="52"/>
  <c r="BF800" i="52"/>
  <c r="BE800" i="52"/>
  <c r="BD800" i="52"/>
  <c r="BC800" i="52"/>
  <c r="BB800" i="52"/>
  <c r="BA800" i="52"/>
  <c r="AZ800" i="52"/>
  <c r="AY800" i="52"/>
  <c r="AX800" i="52"/>
  <c r="AW800" i="52"/>
  <c r="AV800" i="52"/>
  <c r="AU800" i="52"/>
  <c r="AT800" i="52"/>
  <c r="AS800" i="52"/>
  <c r="AR800" i="52"/>
  <c r="AQ800" i="52"/>
  <c r="AP800" i="52"/>
  <c r="AO800" i="52"/>
  <c r="AN800" i="52"/>
  <c r="AM800" i="52"/>
  <c r="AL800" i="52"/>
  <c r="AK800" i="52"/>
  <c r="BH799" i="52"/>
  <c r="BG799" i="52"/>
  <c r="BF799" i="52"/>
  <c r="BE799" i="52"/>
  <c r="BD799" i="52"/>
  <c r="BC799" i="52"/>
  <c r="BB799" i="52"/>
  <c r="BA799" i="52"/>
  <c r="AZ799" i="52"/>
  <c r="AY799" i="52"/>
  <c r="AX799" i="52"/>
  <c r="AW799" i="52"/>
  <c r="AV799" i="52"/>
  <c r="AU799" i="52"/>
  <c r="AT799" i="52"/>
  <c r="AS799" i="52"/>
  <c r="AR799" i="52"/>
  <c r="AQ799" i="52"/>
  <c r="AP799" i="52"/>
  <c r="AO799" i="52"/>
  <c r="AN799" i="52"/>
  <c r="AM799" i="52"/>
  <c r="AL799" i="52"/>
  <c r="AK799" i="52"/>
  <c r="BH798" i="52"/>
  <c r="BG798" i="52"/>
  <c r="BF798" i="52"/>
  <c r="BE798" i="52"/>
  <c r="BD798" i="52"/>
  <c r="BC798" i="52"/>
  <c r="BB798" i="52"/>
  <c r="BA798" i="52"/>
  <c r="AZ798" i="52"/>
  <c r="AY798" i="52"/>
  <c r="AX798" i="52"/>
  <c r="AW798" i="52"/>
  <c r="AV798" i="52"/>
  <c r="AU798" i="52"/>
  <c r="AT798" i="52"/>
  <c r="AS798" i="52"/>
  <c r="AR798" i="52"/>
  <c r="AQ798" i="52"/>
  <c r="AP798" i="52"/>
  <c r="AO798" i="52"/>
  <c r="AN798" i="52"/>
  <c r="AM798" i="52"/>
  <c r="AL798" i="52"/>
  <c r="AK798" i="52"/>
  <c r="BH797" i="52"/>
  <c r="BG797" i="52"/>
  <c r="BF797" i="52"/>
  <c r="BE797" i="52"/>
  <c r="BD797" i="52"/>
  <c r="BC797" i="52"/>
  <c r="BB797" i="52"/>
  <c r="BA797" i="52"/>
  <c r="AZ797" i="52"/>
  <c r="AY797" i="52"/>
  <c r="AX797" i="52"/>
  <c r="AW797" i="52"/>
  <c r="AV797" i="52"/>
  <c r="AU797" i="52"/>
  <c r="AT797" i="52"/>
  <c r="AS797" i="52"/>
  <c r="AR797" i="52"/>
  <c r="AQ797" i="52"/>
  <c r="AP797" i="52"/>
  <c r="AO797" i="52"/>
  <c r="AN797" i="52"/>
  <c r="AM797" i="52"/>
  <c r="AL797" i="52"/>
  <c r="AK797" i="52"/>
  <c r="BH796" i="52"/>
  <c r="BG796" i="52"/>
  <c r="BF796" i="52"/>
  <c r="BE796" i="52"/>
  <c r="BD796" i="52"/>
  <c r="BC796" i="52"/>
  <c r="BB796" i="52"/>
  <c r="BA796" i="52"/>
  <c r="AZ796" i="52"/>
  <c r="AY796" i="52"/>
  <c r="AX796" i="52"/>
  <c r="AW796" i="52"/>
  <c r="AV796" i="52"/>
  <c r="AU796" i="52"/>
  <c r="AT796" i="52"/>
  <c r="AS796" i="52"/>
  <c r="AR796" i="52"/>
  <c r="AQ796" i="52"/>
  <c r="AP796" i="52"/>
  <c r="AO796" i="52"/>
  <c r="AN796" i="52"/>
  <c r="AM796" i="52"/>
  <c r="AL796" i="52"/>
  <c r="AK796" i="52"/>
  <c r="BH795" i="52"/>
  <c r="BG795" i="52"/>
  <c r="BF795" i="52"/>
  <c r="BE795" i="52"/>
  <c r="BD795" i="52"/>
  <c r="BC795" i="52"/>
  <c r="BB795" i="52"/>
  <c r="BA795" i="52"/>
  <c r="AZ795" i="52"/>
  <c r="AY795" i="52"/>
  <c r="AX795" i="52"/>
  <c r="AW795" i="52"/>
  <c r="AV795" i="52"/>
  <c r="AU795" i="52"/>
  <c r="AT795" i="52"/>
  <c r="AS795" i="52"/>
  <c r="AR795" i="52"/>
  <c r="AQ795" i="52"/>
  <c r="AP795" i="52"/>
  <c r="AO795" i="52"/>
  <c r="AN795" i="52"/>
  <c r="AM795" i="52"/>
  <c r="AL795" i="52"/>
  <c r="AK795" i="52"/>
  <c r="BH794" i="52"/>
  <c r="BG794" i="52"/>
  <c r="BF794" i="52"/>
  <c r="BE794" i="52"/>
  <c r="BD794" i="52"/>
  <c r="BC794" i="52"/>
  <c r="BB794" i="52"/>
  <c r="BA794" i="52"/>
  <c r="AZ794" i="52"/>
  <c r="AY794" i="52"/>
  <c r="AX794" i="52"/>
  <c r="AW794" i="52"/>
  <c r="AV794" i="52"/>
  <c r="AU794" i="52"/>
  <c r="AT794" i="52"/>
  <c r="AS794" i="52"/>
  <c r="AR794" i="52"/>
  <c r="AQ794" i="52"/>
  <c r="AP794" i="52"/>
  <c r="AO794" i="52"/>
  <c r="AN794" i="52"/>
  <c r="AM794" i="52"/>
  <c r="AL794" i="52"/>
  <c r="AK794" i="52"/>
  <c r="BH793" i="52"/>
  <c r="BG793" i="52"/>
  <c r="BF793" i="52"/>
  <c r="BE793" i="52"/>
  <c r="BD793" i="52"/>
  <c r="BC793" i="52"/>
  <c r="BB793" i="52"/>
  <c r="BA793" i="52"/>
  <c r="AZ793" i="52"/>
  <c r="AY793" i="52"/>
  <c r="AX793" i="52"/>
  <c r="AW793" i="52"/>
  <c r="AV793" i="52"/>
  <c r="AU793" i="52"/>
  <c r="AT793" i="52"/>
  <c r="AS793" i="52"/>
  <c r="AR793" i="52"/>
  <c r="AQ793" i="52"/>
  <c r="AP793" i="52"/>
  <c r="AO793" i="52"/>
  <c r="AN793" i="52"/>
  <c r="AM793" i="52"/>
  <c r="AL793" i="52"/>
  <c r="AK793" i="52"/>
  <c r="BH792" i="52"/>
  <c r="BG792" i="52"/>
  <c r="BF792" i="52"/>
  <c r="BE792" i="52"/>
  <c r="BD792" i="52"/>
  <c r="BC792" i="52"/>
  <c r="BB792" i="52"/>
  <c r="BA792" i="52"/>
  <c r="AZ792" i="52"/>
  <c r="AY792" i="52"/>
  <c r="AX792" i="52"/>
  <c r="AW792" i="52"/>
  <c r="AV792" i="52"/>
  <c r="AU792" i="52"/>
  <c r="AT792" i="52"/>
  <c r="AS792" i="52"/>
  <c r="AR792" i="52"/>
  <c r="AQ792" i="52"/>
  <c r="AP792" i="52"/>
  <c r="AO792" i="52"/>
  <c r="AN792" i="52"/>
  <c r="AM792" i="52"/>
  <c r="AL792" i="52"/>
  <c r="AK792" i="52"/>
  <c r="BH791" i="52"/>
  <c r="BG791" i="52"/>
  <c r="BF791" i="52"/>
  <c r="BE791" i="52"/>
  <c r="BD791" i="52"/>
  <c r="BC791" i="52"/>
  <c r="BB791" i="52"/>
  <c r="BA791" i="52"/>
  <c r="AZ791" i="52"/>
  <c r="AY791" i="52"/>
  <c r="AX791" i="52"/>
  <c r="AW791" i="52"/>
  <c r="AV791" i="52"/>
  <c r="AU791" i="52"/>
  <c r="AT791" i="52"/>
  <c r="AS791" i="52"/>
  <c r="AR791" i="52"/>
  <c r="AQ791" i="52"/>
  <c r="AP791" i="52"/>
  <c r="AO791" i="52"/>
  <c r="AN791" i="52"/>
  <c r="AM791" i="52"/>
  <c r="AL791" i="52"/>
  <c r="AK791" i="52"/>
  <c r="BH790" i="52"/>
  <c r="BG790" i="52"/>
  <c r="BF790" i="52"/>
  <c r="BE790" i="52"/>
  <c r="BD790" i="52"/>
  <c r="BC790" i="52"/>
  <c r="BB790" i="52"/>
  <c r="BA790" i="52"/>
  <c r="AZ790" i="52"/>
  <c r="AY790" i="52"/>
  <c r="AX790" i="52"/>
  <c r="AW790" i="52"/>
  <c r="AV790" i="52"/>
  <c r="AU790" i="52"/>
  <c r="AT790" i="52"/>
  <c r="AS790" i="52"/>
  <c r="AR790" i="52"/>
  <c r="AQ790" i="52"/>
  <c r="AP790" i="52"/>
  <c r="AO790" i="52"/>
  <c r="AN790" i="52"/>
  <c r="AM790" i="52"/>
  <c r="AL790" i="52"/>
  <c r="AK790" i="52"/>
  <c r="BH789" i="52"/>
  <c r="BG789" i="52"/>
  <c r="BF789" i="52"/>
  <c r="BE789" i="52"/>
  <c r="BD789" i="52"/>
  <c r="BC789" i="52"/>
  <c r="BB789" i="52"/>
  <c r="BA789" i="52"/>
  <c r="AZ789" i="52"/>
  <c r="AY789" i="52"/>
  <c r="AX789" i="52"/>
  <c r="AW789" i="52"/>
  <c r="AV789" i="52"/>
  <c r="AU789" i="52"/>
  <c r="AT789" i="52"/>
  <c r="AS789" i="52"/>
  <c r="AR789" i="52"/>
  <c r="AQ789" i="52"/>
  <c r="AP789" i="52"/>
  <c r="AO789" i="52"/>
  <c r="AN789" i="52"/>
  <c r="AM789" i="52"/>
  <c r="AL789" i="52"/>
  <c r="AK789" i="52"/>
  <c r="BH788" i="52"/>
  <c r="BG788" i="52"/>
  <c r="BF788" i="52"/>
  <c r="BE788" i="52"/>
  <c r="BD788" i="52"/>
  <c r="BC788" i="52"/>
  <c r="BB788" i="52"/>
  <c r="BA788" i="52"/>
  <c r="AZ788" i="52"/>
  <c r="AY788" i="52"/>
  <c r="AX788" i="52"/>
  <c r="AW788" i="52"/>
  <c r="AV788" i="52"/>
  <c r="AU788" i="52"/>
  <c r="AT788" i="52"/>
  <c r="AS788" i="52"/>
  <c r="AR788" i="52"/>
  <c r="AQ788" i="52"/>
  <c r="AP788" i="52"/>
  <c r="AO788" i="52"/>
  <c r="AN788" i="52"/>
  <c r="AM788" i="52"/>
  <c r="AL788" i="52"/>
  <c r="AK788" i="52"/>
  <c r="BH787" i="52"/>
  <c r="BG787" i="52"/>
  <c r="BF787" i="52"/>
  <c r="BE787" i="52"/>
  <c r="BD787" i="52"/>
  <c r="BC787" i="52"/>
  <c r="BB787" i="52"/>
  <c r="BA787" i="52"/>
  <c r="AZ787" i="52"/>
  <c r="AY787" i="52"/>
  <c r="AX787" i="52"/>
  <c r="AW787" i="52"/>
  <c r="AV787" i="52"/>
  <c r="AU787" i="52"/>
  <c r="AT787" i="52"/>
  <c r="AS787" i="52"/>
  <c r="AR787" i="52"/>
  <c r="AQ787" i="52"/>
  <c r="AP787" i="52"/>
  <c r="AO787" i="52"/>
  <c r="AN787" i="52"/>
  <c r="AM787" i="52"/>
  <c r="AL787" i="52"/>
  <c r="AK787" i="52"/>
  <c r="BH786" i="52"/>
  <c r="BG786" i="52"/>
  <c r="BF786" i="52"/>
  <c r="BE786" i="52"/>
  <c r="BD786" i="52"/>
  <c r="BC786" i="52"/>
  <c r="BB786" i="52"/>
  <c r="BA786" i="52"/>
  <c r="AZ786" i="52"/>
  <c r="AY786" i="52"/>
  <c r="AX786" i="52"/>
  <c r="AW786" i="52"/>
  <c r="AV786" i="52"/>
  <c r="AU786" i="52"/>
  <c r="AT786" i="52"/>
  <c r="AS786" i="52"/>
  <c r="AR786" i="52"/>
  <c r="AQ786" i="52"/>
  <c r="AP786" i="52"/>
  <c r="AO786" i="52"/>
  <c r="AN786" i="52"/>
  <c r="AM786" i="52"/>
  <c r="AL786" i="52"/>
  <c r="AK786" i="52"/>
  <c r="BH785" i="52"/>
  <c r="BG785" i="52"/>
  <c r="BF785" i="52"/>
  <c r="BE785" i="52"/>
  <c r="BD785" i="52"/>
  <c r="BC785" i="52"/>
  <c r="BB785" i="52"/>
  <c r="BA785" i="52"/>
  <c r="AZ785" i="52"/>
  <c r="AY785" i="52"/>
  <c r="AX785" i="52"/>
  <c r="AW785" i="52"/>
  <c r="AV785" i="52"/>
  <c r="AU785" i="52"/>
  <c r="AT785" i="52"/>
  <c r="AS785" i="52"/>
  <c r="AR785" i="52"/>
  <c r="AQ785" i="52"/>
  <c r="AP785" i="52"/>
  <c r="AO785" i="52"/>
  <c r="AN785" i="52"/>
  <c r="AM785" i="52"/>
  <c r="AL785" i="52"/>
  <c r="AK785" i="52"/>
  <c r="BH784" i="52"/>
  <c r="BG784" i="52"/>
  <c r="BF784" i="52"/>
  <c r="BE784" i="52"/>
  <c r="BD784" i="52"/>
  <c r="BC784" i="52"/>
  <c r="BB784" i="52"/>
  <c r="BA784" i="52"/>
  <c r="AZ784" i="52"/>
  <c r="AY784" i="52"/>
  <c r="AX784" i="52"/>
  <c r="AW784" i="52"/>
  <c r="AV784" i="52"/>
  <c r="AU784" i="52"/>
  <c r="AT784" i="52"/>
  <c r="AS784" i="52"/>
  <c r="AR784" i="52"/>
  <c r="AQ784" i="52"/>
  <c r="AP784" i="52"/>
  <c r="AO784" i="52"/>
  <c r="AN784" i="52"/>
  <c r="AM784" i="52"/>
  <c r="AL784" i="52"/>
  <c r="AK784" i="52"/>
  <c r="BH783" i="52"/>
  <c r="BG783" i="52"/>
  <c r="BF783" i="52"/>
  <c r="BE783" i="52"/>
  <c r="BD783" i="52"/>
  <c r="BC783" i="52"/>
  <c r="BB783" i="52"/>
  <c r="BA783" i="52"/>
  <c r="AZ783" i="52"/>
  <c r="AY783" i="52"/>
  <c r="AX783" i="52"/>
  <c r="AW783" i="52"/>
  <c r="AV783" i="52"/>
  <c r="AU783" i="52"/>
  <c r="AT783" i="52"/>
  <c r="AS783" i="52"/>
  <c r="AR783" i="52"/>
  <c r="AQ783" i="52"/>
  <c r="AP783" i="52"/>
  <c r="AO783" i="52"/>
  <c r="AN783" i="52"/>
  <c r="AM783" i="52"/>
  <c r="AL783" i="52"/>
  <c r="AK783" i="52"/>
  <c r="BH782" i="52"/>
  <c r="BG782" i="52"/>
  <c r="BF782" i="52"/>
  <c r="BE782" i="52"/>
  <c r="BD782" i="52"/>
  <c r="BC782" i="52"/>
  <c r="BB782" i="52"/>
  <c r="BA782" i="52"/>
  <c r="AZ782" i="52"/>
  <c r="AY782" i="52"/>
  <c r="AX782" i="52"/>
  <c r="AW782" i="52"/>
  <c r="AV782" i="52"/>
  <c r="AU782" i="52"/>
  <c r="AT782" i="52"/>
  <c r="AS782" i="52"/>
  <c r="AR782" i="52"/>
  <c r="AQ782" i="52"/>
  <c r="AP782" i="52"/>
  <c r="AO782" i="52"/>
  <c r="AN782" i="52"/>
  <c r="AM782" i="52"/>
  <c r="AL782" i="52"/>
  <c r="AK782" i="52"/>
  <c r="BH781" i="52"/>
  <c r="BG781" i="52"/>
  <c r="BF781" i="52"/>
  <c r="BE781" i="52"/>
  <c r="BD781" i="52"/>
  <c r="BC781" i="52"/>
  <c r="BB781" i="52"/>
  <c r="BA781" i="52"/>
  <c r="AZ781" i="52"/>
  <c r="AY781" i="52"/>
  <c r="AX781" i="52"/>
  <c r="AW781" i="52"/>
  <c r="AV781" i="52"/>
  <c r="AU781" i="52"/>
  <c r="AT781" i="52"/>
  <c r="AS781" i="52"/>
  <c r="AR781" i="52"/>
  <c r="AQ781" i="52"/>
  <c r="AP781" i="52"/>
  <c r="AO781" i="52"/>
  <c r="AN781" i="52"/>
  <c r="AM781" i="52"/>
  <c r="AL781" i="52"/>
  <c r="AK781" i="52"/>
  <c r="BH780" i="52"/>
  <c r="BG780" i="52"/>
  <c r="BF780" i="52"/>
  <c r="BE780" i="52"/>
  <c r="BD780" i="52"/>
  <c r="BC780" i="52"/>
  <c r="BB780" i="52"/>
  <c r="BA780" i="52"/>
  <c r="AZ780" i="52"/>
  <c r="AY780" i="52"/>
  <c r="AX780" i="52"/>
  <c r="AW780" i="52"/>
  <c r="AV780" i="52"/>
  <c r="AU780" i="52"/>
  <c r="AT780" i="52"/>
  <c r="AS780" i="52"/>
  <c r="AR780" i="52"/>
  <c r="AQ780" i="52"/>
  <c r="AP780" i="52"/>
  <c r="AO780" i="52"/>
  <c r="AN780" i="52"/>
  <c r="AM780" i="52"/>
  <c r="AL780" i="52"/>
  <c r="AK780" i="52"/>
  <c r="BH779" i="52"/>
  <c r="BG779" i="52"/>
  <c r="BF779" i="52"/>
  <c r="BE779" i="52"/>
  <c r="BD779" i="52"/>
  <c r="BC779" i="52"/>
  <c r="BB779" i="52"/>
  <c r="BA779" i="52"/>
  <c r="AZ779" i="52"/>
  <c r="AY779" i="52"/>
  <c r="AX779" i="52"/>
  <c r="AW779" i="52"/>
  <c r="AV779" i="52"/>
  <c r="AU779" i="52"/>
  <c r="AT779" i="52"/>
  <c r="AS779" i="52"/>
  <c r="AR779" i="52"/>
  <c r="AQ779" i="52"/>
  <c r="AP779" i="52"/>
  <c r="AO779" i="52"/>
  <c r="AN779" i="52"/>
  <c r="AM779" i="52"/>
  <c r="AL779" i="52"/>
  <c r="AK779" i="52"/>
  <c r="BH778" i="52"/>
  <c r="BG778" i="52"/>
  <c r="BF778" i="52"/>
  <c r="BE778" i="52"/>
  <c r="BD778" i="52"/>
  <c r="BC778" i="52"/>
  <c r="BB778" i="52"/>
  <c r="BA778" i="52"/>
  <c r="AZ778" i="52"/>
  <c r="AY778" i="52"/>
  <c r="AX778" i="52"/>
  <c r="AW778" i="52"/>
  <c r="AV778" i="52"/>
  <c r="AU778" i="52"/>
  <c r="AT778" i="52"/>
  <c r="AS778" i="52"/>
  <c r="AR778" i="52"/>
  <c r="AQ778" i="52"/>
  <c r="AP778" i="52"/>
  <c r="AO778" i="52"/>
  <c r="AN778" i="52"/>
  <c r="AM778" i="52"/>
  <c r="AL778" i="52"/>
  <c r="AK778" i="52"/>
  <c r="BH777" i="52"/>
  <c r="BG777" i="52"/>
  <c r="BF777" i="52"/>
  <c r="BE777" i="52"/>
  <c r="BD777" i="52"/>
  <c r="BC777" i="52"/>
  <c r="BB777" i="52"/>
  <c r="BA777" i="52"/>
  <c r="AZ777" i="52"/>
  <c r="AY777" i="52"/>
  <c r="AX777" i="52"/>
  <c r="AW777" i="52"/>
  <c r="AV777" i="52"/>
  <c r="AU777" i="52"/>
  <c r="AT777" i="52"/>
  <c r="AS777" i="52"/>
  <c r="AR777" i="52"/>
  <c r="AQ777" i="52"/>
  <c r="AP777" i="52"/>
  <c r="AO777" i="52"/>
  <c r="AN777" i="52"/>
  <c r="AM777" i="52"/>
  <c r="AL777" i="52"/>
  <c r="AK777" i="52"/>
  <c r="BH776" i="52"/>
  <c r="BG776" i="52"/>
  <c r="BF776" i="52"/>
  <c r="BE776" i="52"/>
  <c r="BD776" i="52"/>
  <c r="BC776" i="52"/>
  <c r="BB776" i="52"/>
  <c r="BA776" i="52"/>
  <c r="AZ776" i="52"/>
  <c r="AY776" i="52"/>
  <c r="AX776" i="52"/>
  <c r="AW776" i="52"/>
  <c r="AV776" i="52"/>
  <c r="AU776" i="52"/>
  <c r="AT776" i="52"/>
  <c r="AS776" i="52"/>
  <c r="AR776" i="52"/>
  <c r="AQ776" i="52"/>
  <c r="AP776" i="52"/>
  <c r="AO776" i="52"/>
  <c r="AN776" i="52"/>
  <c r="AM776" i="52"/>
  <c r="AL776" i="52"/>
  <c r="AK776" i="52"/>
  <c r="BH775" i="52"/>
  <c r="BG775" i="52"/>
  <c r="BF775" i="52"/>
  <c r="BE775" i="52"/>
  <c r="BD775" i="52"/>
  <c r="BC775" i="52"/>
  <c r="BB775" i="52"/>
  <c r="BA775" i="52"/>
  <c r="AZ775" i="52"/>
  <c r="AY775" i="52"/>
  <c r="AX775" i="52"/>
  <c r="AW775" i="52"/>
  <c r="AV775" i="52"/>
  <c r="AU775" i="52"/>
  <c r="AT775" i="52"/>
  <c r="AS775" i="52"/>
  <c r="AR775" i="52"/>
  <c r="AQ775" i="52"/>
  <c r="AP775" i="52"/>
  <c r="AO775" i="52"/>
  <c r="AN775" i="52"/>
  <c r="AM775" i="52"/>
  <c r="AL775" i="52"/>
  <c r="AK775" i="52"/>
  <c r="BH774" i="52"/>
  <c r="BG774" i="52"/>
  <c r="BF774" i="52"/>
  <c r="BE774" i="52"/>
  <c r="BD774" i="52"/>
  <c r="BC774" i="52"/>
  <c r="BB774" i="52"/>
  <c r="BA774" i="52"/>
  <c r="AZ774" i="52"/>
  <c r="AY774" i="52"/>
  <c r="AX774" i="52"/>
  <c r="AW774" i="52"/>
  <c r="AV774" i="52"/>
  <c r="AU774" i="52"/>
  <c r="AT774" i="52"/>
  <c r="AS774" i="52"/>
  <c r="AR774" i="52"/>
  <c r="AQ774" i="52"/>
  <c r="AP774" i="52"/>
  <c r="AO774" i="52"/>
  <c r="AN774" i="52"/>
  <c r="AM774" i="52"/>
  <c r="AL774" i="52"/>
  <c r="AK774" i="52"/>
  <c r="BH773" i="52"/>
  <c r="BG773" i="52"/>
  <c r="BF773" i="52"/>
  <c r="BE773" i="52"/>
  <c r="BD773" i="52"/>
  <c r="BC773" i="52"/>
  <c r="BB773" i="52"/>
  <c r="BA773" i="52"/>
  <c r="AZ773" i="52"/>
  <c r="AY773" i="52"/>
  <c r="AX773" i="52"/>
  <c r="AW773" i="52"/>
  <c r="AV773" i="52"/>
  <c r="AU773" i="52"/>
  <c r="AT773" i="52"/>
  <c r="AS773" i="52"/>
  <c r="AR773" i="52"/>
  <c r="AQ773" i="52"/>
  <c r="AP773" i="52"/>
  <c r="AO773" i="52"/>
  <c r="AN773" i="52"/>
  <c r="AM773" i="52"/>
  <c r="AL773" i="52"/>
  <c r="AK773" i="52"/>
  <c r="BH772" i="52"/>
  <c r="BG772" i="52"/>
  <c r="BF772" i="52"/>
  <c r="BE772" i="52"/>
  <c r="BD772" i="52"/>
  <c r="BC772" i="52"/>
  <c r="BB772" i="52"/>
  <c r="BA772" i="52"/>
  <c r="AZ772" i="52"/>
  <c r="AY772" i="52"/>
  <c r="AX772" i="52"/>
  <c r="AW772" i="52"/>
  <c r="AV772" i="52"/>
  <c r="AU772" i="52"/>
  <c r="AT772" i="52"/>
  <c r="AS772" i="52"/>
  <c r="AR772" i="52"/>
  <c r="AQ772" i="52"/>
  <c r="AP772" i="52"/>
  <c r="AO772" i="52"/>
  <c r="AN772" i="52"/>
  <c r="AM772" i="52"/>
  <c r="AL772" i="52"/>
  <c r="AK772" i="52"/>
  <c r="BH771" i="52"/>
  <c r="BG771" i="52"/>
  <c r="BF771" i="52"/>
  <c r="BE771" i="52"/>
  <c r="BD771" i="52"/>
  <c r="BC771" i="52"/>
  <c r="BB771" i="52"/>
  <c r="BA771" i="52"/>
  <c r="AZ771" i="52"/>
  <c r="AY771" i="52"/>
  <c r="AX771" i="52"/>
  <c r="AW771" i="52"/>
  <c r="AV771" i="52"/>
  <c r="AU771" i="52"/>
  <c r="AT771" i="52"/>
  <c r="AS771" i="52"/>
  <c r="AR771" i="52"/>
  <c r="AQ771" i="52"/>
  <c r="AP771" i="52"/>
  <c r="AO771" i="52"/>
  <c r="AN771" i="52"/>
  <c r="AM771" i="52"/>
  <c r="AL771" i="52"/>
  <c r="AK771" i="52"/>
  <c r="BH770" i="52"/>
  <c r="BG770" i="52"/>
  <c r="BF770" i="52"/>
  <c r="BE770" i="52"/>
  <c r="BD770" i="52"/>
  <c r="BC770" i="52"/>
  <c r="BB770" i="52"/>
  <c r="BA770" i="52"/>
  <c r="AZ770" i="52"/>
  <c r="AY770" i="52"/>
  <c r="AX770" i="52"/>
  <c r="AW770" i="52"/>
  <c r="AV770" i="52"/>
  <c r="AU770" i="52"/>
  <c r="AT770" i="52"/>
  <c r="AS770" i="52"/>
  <c r="AR770" i="52"/>
  <c r="AQ770" i="52"/>
  <c r="AP770" i="52"/>
  <c r="AO770" i="52"/>
  <c r="AN770" i="52"/>
  <c r="AM770" i="52"/>
  <c r="AL770" i="52"/>
  <c r="AK770" i="52"/>
  <c r="BH769" i="52"/>
  <c r="BG769" i="52"/>
  <c r="BF769" i="52"/>
  <c r="BE769" i="52"/>
  <c r="BD769" i="52"/>
  <c r="BC769" i="52"/>
  <c r="BB769" i="52"/>
  <c r="BA769" i="52"/>
  <c r="AZ769" i="52"/>
  <c r="AY769" i="52"/>
  <c r="AX769" i="52"/>
  <c r="AW769" i="52"/>
  <c r="AV769" i="52"/>
  <c r="AU769" i="52"/>
  <c r="AT769" i="52"/>
  <c r="AS769" i="52"/>
  <c r="AR769" i="52"/>
  <c r="AQ769" i="52"/>
  <c r="AP769" i="52"/>
  <c r="AO769" i="52"/>
  <c r="AN769" i="52"/>
  <c r="AM769" i="52"/>
  <c r="AL769" i="52"/>
  <c r="AK769" i="52"/>
  <c r="BH768" i="52"/>
  <c r="BG768" i="52"/>
  <c r="BF768" i="52"/>
  <c r="BE768" i="52"/>
  <c r="BD768" i="52"/>
  <c r="BC768" i="52"/>
  <c r="BB768" i="52"/>
  <c r="BA768" i="52"/>
  <c r="AZ768" i="52"/>
  <c r="AY768" i="52"/>
  <c r="AX768" i="52"/>
  <c r="AW768" i="52"/>
  <c r="AV768" i="52"/>
  <c r="AU768" i="52"/>
  <c r="AT768" i="52"/>
  <c r="AS768" i="52"/>
  <c r="AR768" i="52"/>
  <c r="AQ768" i="52"/>
  <c r="AP768" i="52"/>
  <c r="AO768" i="52"/>
  <c r="AN768" i="52"/>
  <c r="AM768" i="52"/>
  <c r="AL768" i="52"/>
  <c r="AK768" i="52"/>
  <c r="BH767" i="52"/>
  <c r="BG767" i="52"/>
  <c r="BF767" i="52"/>
  <c r="BE767" i="52"/>
  <c r="BD767" i="52"/>
  <c r="BC767" i="52"/>
  <c r="BB767" i="52"/>
  <c r="BA767" i="52"/>
  <c r="AZ767" i="52"/>
  <c r="AY767" i="52"/>
  <c r="AX767" i="52"/>
  <c r="AW767" i="52"/>
  <c r="AV767" i="52"/>
  <c r="AU767" i="52"/>
  <c r="AT767" i="52"/>
  <c r="AS767" i="52"/>
  <c r="AR767" i="52"/>
  <c r="AQ767" i="52"/>
  <c r="AP767" i="52"/>
  <c r="AO767" i="52"/>
  <c r="AN767" i="52"/>
  <c r="AM767" i="52"/>
  <c r="AL767" i="52"/>
  <c r="AK767" i="52"/>
  <c r="BH766" i="52"/>
  <c r="BG766" i="52"/>
  <c r="BF766" i="52"/>
  <c r="BE766" i="52"/>
  <c r="BD766" i="52"/>
  <c r="BC766" i="52"/>
  <c r="BB766" i="52"/>
  <c r="BA766" i="52"/>
  <c r="AZ766" i="52"/>
  <c r="AY766" i="52"/>
  <c r="AX766" i="52"/>
  <c r="AW766" i="52"/>
  <c r="AV766" i="52"/>
  <c r="AU766" i="52"/>
  <c r="AT766" i="52"/>
  <c r="AS766" i="52"/>
  <c r="AR766" i="52"/>
  <c r="AQ766" i="52"/>
  <c r="AP766" i="52"/>
  <c r="AO766" i="52"/>
  <c r="AN766" i="52"/>
  <c r="AM766" i="52"/>
  <c r="AL766" i="52"/>
  <c r="AK766" i="52"/>
  <c r="BH765" i="52"/>
  <c r="BG765" i="52"/>
  <c r="BF765" i="52"/>
  <c r="BE765" i="52"/>
  <c r="BD765" i="52"/>
  <c r="BC765" i="52"/>
  <c r="BB765" i="52"/>
  <c r="BA765" i="52"/>
  <c r="AZ765" i="52"/>
  <c r="AY765" i="52"/>
  <c r="AX765" i="52"/>
  <c r="AW765" i="52"/>
  <c r="AV765" i="52"/>
  <c r="AU765" i="52"/>
  <c r="AT765" i="52"/>
  <c r="AS765" i="52"/>
  <c r="AR765" i="52"/>
  <c r="AQ765" i="52"/>
  <c r="AP765" i="52"/>
  <c r="AO765" i="52"/>
  <c r="AN765" i="52"/>
  <c r="AM765" i="52"/>
  <c r="AL765" i="52"/>
  <c r="AK765" i="52"/>
  <c r="BH764" i="52"/>
  <c r="BG764" i="52"/>
  <c r="BF764" i="52"/>
  <c r="BE764" i="52"/>
  <c r="BD764" i="52"/>
  <c r="BC764" i="52"/>
  <c r="BB764" i="52"/>
  <c r="BA764" i="52"/>
  <c r="AZ764" i="52"/>
  <c r="AY764" i="52"/>
  <c r="AX764" i="52"/>
  <c r="AW764" i="52"/>
  <c r="AV764" i="52"/>
  <c r="AU764" i="52"/>
  <c r="AT764" i="52"/>
  <c r="AS764" i="52"/>
  <c r="AR764" i="52"/>
  <c r="AQ764" i="52"/>
  <c r="AP764" i="52"/>
  <c r="AO764" i="52"/>
  <c r="AN764" i="52"/>
  <c r="AM764" i="52"/>
  <c r="AL764" i="52"/>
  <c r="AK764" i="52"/>
  <c r="BH763" i="52"/>
  <c r="BG763" i="52"/>
  <c r="BF763" i="52"/>
  <c r="BE763" i="52"/>
  <c r="BD763" i="52"/>
  <c r="BC763" i="52"/>
  <c r="BB763" i="52"/>
  <c r="BA763" i="52"/>
  <c r="AZ763" i="52"/>
  <c r="AY763" i="52"/>
  <c r="AX763" i="52"/>
  <c r="AW763" i="52"/>
  <c r="AV763" i="52"/>
  <c r="AU763" i="52"/>
  <c r="AT763" i="52"/>
  <c r="AS763" i="52"/>
  <c r="AR763" i="52"/>
  <c r="AQ763" i="52"/>
  <c r="AP763" i="52"/>
  <c r="AO763" i="52"/>
  <c r="AN763" i="52"/>
  <c r="AM763" i="52"/>
  <c r="AL763" i="52"/>
  <c r="AK763" i="52"/>
  <c r="BH762" i="52"/>
  <c r="BG762" i="52"/>
  <c r="BF762" i="52"/>
  <c r="BE762" i="52"/>
  <c r="BD762" i="52"/>
  <c r="BC762" i="52"/>
  <c r="BB762" i="52"/>
  <c r="BA762" i="52"/>
  <c r="AZ762" i="52"/>
  <c r="AY762" i="52"/>
  <c r="AX762" i="52"/>
  <c r="AW762" i="52"/>
  <c r="AV762" i="52"/>
  <c r="AU762" i="52"/>
  <c r="AT762" i="52"/>
  <c r="AS762" i="52"/>
  <c r="AR762" i="52"/>
  <c r="AQ762" i="52"/>
  <c r="AP762" i="52"/>
  <c r="AO762" i="52"/>
  <c r="AN762" i="52"/>
  <c r="AM762" i="52"/>
  <c r="AL762" i="52"/>
  <c r="AK762" i="52"/>
  <c r="DA761" i="52"/>
  <c r="CZ761" i="52"/>
  <c r="CY761" i="52"/>
  <c r="CX761" i="52"/>
  <c r="CW761" i="52"/>
  <c r="CV761" i="52"/>
  <c r="CU761" i="52"/>
  <c r="CT761" i="52"/>
  <c r="CS761" i="52"/>
  <c r="CR761" i="52"/>
  <c r="CQ761" i="52"/>
  <c r="CP761" i="52"/>
  <c r="CO761" i="52"/>
  <c r="CN761" i="52"/>
  <c r="CM761" i="52"/>
  <c r="CL761" i="52"/>
  <c r="CK761" i="52"/>
  <c r="CJ761" i="52"/>
  <c r="CI761" i="52"/>
  <c r="CH761" i="52"/>
  <c r="CG761" i="52"/>
  <c r="CF761" i="52"/>
  <c r="CE761" i="52"/>
  <c r="CD761" i="52"/>
  <c r="CC761" i="52"/>
  <c r="CB761" i="52"/>
  <c r="CA761" i="52"/>
  <c r="BZ761" i="52"/>
  <c r="BY761" i="52"/>
  <c r="BX761" i="52"/>
  <c r="BW761" i="52"/>
  <c r="BV761" i="52"/>
  <c r="BU761" i="52"/>
  <c r="BT761" i="52"/>
  <c r="BS761" i="52"/>
  <c r="BR761" i="52"/>
  <c r="BQ761" i="52"/>
  <c r="BP761" i="52"/>
  <c r="BO761" i="52"/>
  <c r="BN761" i="52"/>
  <c r="BM761" i="52"/>
  <c r="BL761" i="52"/>
  <c r="BK761" i="52"/>
  <c r="BJ761" i="52"/>
  <c r="BI761" i="52"/>
  <c r="BH761" i="52"/>
  <c r="BG761" i="52"/>
  <c r="BF761" i="52"/>
  <c r="BE761" i="52"/>
  <c r="BD761" i="52"/>
  <c r="BC761" i="52"/>
  <c r="BB761" i="52"/>
  <c r="BA761" i="52"/>
  <c r="AZ761" i="52"/>
  <c r="AY761" i="52"/>
  <c r="AX761" i="52"/>
  <c r="AW761" i="52"/>
  <c r="AV761" i="52"/>
  <c r="AU761" i="52"/>
  <c r="AT761" i="52"/>
  <c r="AS761" i="52"/>
  <c r="AR761" i="52"/>
  <c r="AQ761" i="52"/>
  <c r="AP761" i="52"/>
  <c r="AO761" i="52"/>
  <c r="AN761" i="52"/>
  <c r="AM761" i="52"/>
  <c r="AL761" i="52"/>
  <c r="AK761" i="52"/>
  <c r="DA760" i="52"/>
  <c r="CZ760" i="52"/>
  <c r="CY760" i="52"/>
  <c r="CX760" i="52"/>
  <c r="CW760" i="52"/>
  <c r="CV760" i="52"/>
  <c r="CU760" i="52"/>
  <c r="CT760" i="52"/>
  <c r="CS760" i="52"/>
  <c r="CR760" i="52"/>
  <c r="CQ760" i="52"/>
  <c r="CP760" i="52"/>
  <c r="CO760" i="52"/>
  <c r="CN760" i="52"/>
  <c r="CM760" i="52"/>
  <c r="CL760" i="52"/>
  <c r="CK760" i="52"/>
  <c r="CJ760" i="52"/>
  <c r="CI760" i="52"/>
  <c r="CH760" i="52"/>
  <c r="CG760" i="52"/>
  <c r="CF760" i="52"/>
  <c r="CE760" i="52"/>
  <c r="CD760" i="52"/>
  <c r="CC760" i="52"/>
  <c r="CB760" i="52"/>
  <c r="CA760" i="52"/>
  <c r="BZ760" i="52"/>
  <c r="BY760" i="52"/>
  <c r="BX760" i="52"/>
  <c r="BW760" i="52"/>
  <c r="BV760" i="52"/>
  <c r="BU760" i="52"/>
  <c r="BT760" i="52"/>
  <c r="BS760" i="52"/>
  <c r="BR760" i="52"/>
  <c r="BQ760" i="52"/>
  <c r="BP760" i="52"/>
  <c r="BO760" i="52"/>
  <c r="BN760" i="52"/>
  <c r="BM760" i="52"/>
  <c r="BL760" i="52"/>
  <c r="BK760" i="52"/>
  <c r="BJ760" i="52"/>
  <c r="BI760" i="52"/>
  <c r="BH760" i="52"/>
  <c r="BG760" i="52"/>
  <c r="BF760" i="52"/>
  <c r="BE760" i="52"/>
  <c r="BD760" i="52"/>
  <c r="BC760" i="52"/>
  <c r="BB760" i="52"/>
  <c r="BA760" i="52"/>
  <c r="AZ760" i="52"/>
  <c r="AY760" i="52"/>
  <c r="AX760" i="52"/>
  <c r="AW760" i="52"/>
  <c r="AV760" i="52"/>
  <c r="AU760" i="52"/>
  <c r="AT760" i="52"/>
  <c r="AS760" i="52"/>
  <c r="AR760" i="52"/>
  <c r="AQ760" i="52"/>
  <c r="AP760" i="52"/>
  <c r="AO760" i="52"/>
  <c r="AN760" i="52"/>
  <c r="AM760" i="52"/>
  <c r="AL760" i="52"/>
  <c r="AK760" i="52"/>
  <c r="DA759" i="52"/>
  <c r="CZ759" i="52"/>
  <c r="CY759" i="52"/>
  <c r="CX759" i="52"/>
  <c r="CW759" i="52"/>
  <c r="CV759" i="52"/>
  <c r="CU759" i="52"/>
  <c r="CT759" i="52"/>
  <c r="CS759" i="52"/>
  <c r="CR759" i="52"/>
  <c r="CQ759" i="52"/>
  <c r="CP759" i="52"/>
  <c r="CO759" i="52"/>
  <c r="CN759" i="52"/>
  <c r="CM759" i="52"/>
  <c r="CL759" i="52"/>
  <c r="CK759" i="52"/>
  <c r="CJ759" i="52"/>
  <c r="CI759" i="52"/>
  <c r="CH759" i="52"/>
  <c r="CG759" i="52"/>
  <c r="CF759" i="52"/>
  <c r="CE759" i="52"/>
  <c r="CD759" i="52"/>
  <c r="CC759" i="52"/>
  <c r="CB759" i="52"/>
  <c r="CA759" i="52"/>
  <c r="BZ759" i="52"/>
  <c r="BY759" i="52"/>
  <c r="BX759" i="52"/>
  <c r="BW759" i="52"/>
  <c r="BV759" i="52"/>
  <c r="BU759" i="52"/>
  <c r="BT759" i="52"/>
  <c r="BS759" i="52"/>
  <c r="BR759" i="52"/>
  <c r="BQ759" i="52"/>
  <c r="BP759" i="52"/>
  <c r="BO759" i="52"/>
  <c r="BN759" i="52"/>
  <c r="BM759" i="52"/>
  <c r="BL759" i="52"/>
  <c r="BK759" i="52"/>
  <c r="BJ759" i="52"/>
  <c r="BI759" i="52"/>
  <c r="BH759" i="52"/>
  <c r="BG759" i="52"/>
  <c r="BF759" i="52"/>
  <c r="BE759" i="52"/>
  <c r="BD759" i="52"/>
  <c r="BC759" i="52"/>
  <c r="BB759" i="52"/>
  <c r="BA759" i="52"/>
  <c r="AZ759" i="52"/>
  <c r="AY759" i="52"/>
  <c r="AX759" i="52"/>
  <c r="AW759" i="52"/>
  <c r="AV759" i="52"/>
  <c r="AU759" i="52"/>
  <c r="AT759" i="52"/>
  <c r="AS759" i="52"/>
  <c r="AR759" i="52"/>
  <c r="AQ759" i="52"/>
  <c r="AP759" i="52"/>
  <c r="AO759" i="52"/>
  <c r="AN759" i="52"/>
  <c r="AM759" i="52"/>
  <c r="AL759" i="52"/>
  <c r="AK759" i="52"/>
  <c r="DA758" i="52"/>
  <c r="CZ758" i="52"/>
  <c r="CY758" i="52"/>
  <c r="CX758" i="52"/>
  <c r="CW758" i="52"/>
  <c r="CV758" i="52"/>
  <c r="CU758" i="52"/>
  <c r="CT758" i="52"/>
  <c r="CS758" i="52"/>
  <c r="CR758" i="52"/>
  <c r="CQ758" i="52"/>
  <c r="CP758" i="52"/>
  <c r="CO758" i="52"/>
  <c r="CN758" i="52"/>
  <c r="CM758" i="52"/>
  <c r="CL758" i="52"/>
  <c r="CK758" i="52"/>
  <c r="CJ758" i="52"/>
  <c r="CI758" i="52"/>
  <c r="CH758" i="52"/>
  <c r="CG758" i="52"/>
  <c r="CF758" i="52"/>
  <c r="CE758" i="52"/>
  <c r="CD758" i="52"/>
  <c r="CC758" i="52"/>
  <c r="CB758" i="52"/>
  <c r="CA758" i="52"/>
  <c r="BZ758" i="52"/>
  <c r="BY758" i="52"/>
  <c r="BX758" i="52"/>
  <c r="BW758" i="52"/>
  <c r="BV758" i="52"/>
  <c r="BU758" i="52"/>
  <c r="BT758" i="52"/>
  <c r="BS758" i="52"/>
  <c r="BR758" i="52"/>
  <c r="BQ758" i="52"/>
  <c r="BP758" i="52"/>
  <c r="BO758" i="52"/>
  <c r="BN758" i="52"/>
  <c r="BM758" i="52"/>
  <c r="BL758" i="52"/>
  <c r="BK758" i="52"/>
  <c r="BJ758" i="52"/>
  <c r="BI758" i="52"/>
  <c r="BH758" i="52"/>
  <c r="BG758" i="52"/>
  <c r="BF758" i="52"/>
  <c r="BE758" i="52"/>
  <c r="BD758" i="52"/>
  <c r="BC758" i="52"/>
  <c r="BB758" i="52"/>
  <c r="BA758" i="52"/>
  <c r="AZ758" i="52"/>
  <c r="AY758" i="52"/>
  <c r="AX758" i="52"/>
  <c r="AW758" i="52"/>
  <c r="AV758" i="52"/>
  <c r="AU758" i="52"/>
  <c r="AT758" i="52"/>
  <c r="AS758" i="52"/>
  <c r="AR758" i="52"/>
  <c r="AQ758" i="52"/>
  <c r="AP758" i="52"/>
  <c r="AO758" i="52"/>
  <c r="AN758" i="52"/>
  <c r="AM758" i="52"/>
  <c r="AL758" i="52"/>
  <c r="AK758" i="52"/>
  <c r="DA757" i="52"/>
  <c r="CZ757" i="52"/>
  <c r="CY757" i="52"/>
  <c r="CX757" i="52"/>
  <c r="CW757" i="52"/>
  <c r="CV757" i="52"/>
  <c r="CU757" i="52"/>
  <c r="CT757" i="52"/>
  <c r="CS757" i="52"/>
  <c r="CR757" i="52"/>
  <c r="CQ757" i="52"/>
  <c r="CP757" i="52"/>
  <c r="CO757" i="52"/>
  <c r="CN757" i="52"/>
  <c r="CM757" i="52"/>
  <c r="CL757" i="52"/>
  <c r="CK757" i="52"/>
  <c r="CJ757" i="52"/>
  <c r="CI757" i="52"/>
  <c r="CH757" i="52"/>
  <c r="CG757" i="52"/>
  <c r="CF757" i="52"/>
  <c r="CE757" i="52"/>
  <c r="CD757" i="52"/>
  <c r="CC757" i="52"/>
  <c r="CB757" i="52"/>
  <c r="CA757" i="52"/>
  <c r="BZ757" i="52"/>
  <c r="BY757" i="52"/>
  <c r="BX757" i="52"/>
  <c r="BW757" i="52"/>
  <c r="BV757" i="52"/>
  <c r="BU757" i="52"/>
  <c r="BT757" i="52"/>
  <c r="BS757" i="52"/>
  <c r="BR757" i="52"/>
  <c r="BQ757" i="52"/>
  <c r="BP757" i="52"/>
  <c r="BO757" i="52"/>
  <c r="BN757" i="52"/>
  <c r="BM757" i="52"/>
  <c r="BL757" i="52"/>
  <c r="BK757" i="52"/>
  <c r="BJ757" i="52"/>
  <c r="BI757" i="52"/>
  <c r="BH757" i="52"/>
  <c r="BG757" i="52"/>
  <c r="BF757" i="52"/>
  <c r="BE757" i="52"/>
  <c r="BD757" i="52"/>
  <c r="BC757" i="52"/>
  <c r="BB757" i="52"/>
  <c r="BA757" i="52"/>
  <c r="AZ757" i="52"/>
  <c r="AY757" i="52"/>
  <c r="AX757" i="52"/>
  <c r="AW757" i="52"/>
  <c r="AV757" i="52"/>
  <c r="AU757" i="52"/>
  <c r="AT757" i="52"/>
  <c r="AS757" i="52"/>
  <c r="AR757" i="52"/>
  <c r="AQ757" i="52"/>
  <c r="AP757" i="52"/>
  <c r="AO757" i="52"/>
  <c r="AN757" i="52"/>
  <c r="AM757" i="52"/>
  <c r="AL757" i="52"/>
  <c r="AK757" i="52"/>
  <c r="DA756" i="52"/>
  <c r="CZ756" i="52"/>
  <c r="CY756" i="52"/>
  <c r="CX756" i="52"/>
  <c r="CW756" i="52"/>
  <c r="CV756" i="52"/>
  <c r="CU756" i="52"/>
  <c r="CT756" i="52"/>
  <c r="CS756" i="52"/>
  <c r="CR756" i="52"/>
  <c r="CQ756" i="52"/>
  <c r="CP756" i="52"/>
  <c r="CO756" i="52"/>
  <c r="CN756" i="52"/>
  <c r="CM756" i="52"/>
  <c r="CL756" i="52"/>
  <c r="CK756" i="52"/>
  <c r="CJ756" i="52"/>
  <c r="CI756" i="52"/>
  <c r="CH756" i="52"/>
  <c r="CG756" i="52"/>
  <c r="CF756" i="52"/>
  <c r="CE756" i="52"/>
  <c r="CD756" i="52"/>
  <c r="CC756" i="52"/>
  <c r="CB756" i="52"/>
  <c r="CA756" i="52"/>
  <c r="BZ756" i="52"/>
  <c r="BY756" i="52"/>
  <c r="BX756" i="52"/>
  <c r="BW756" i="52"/>
  <c r="BV756" i="52"/>
  <c r="BU756" i="52"/>
  <c r="BT756" i="52"/>
  <c r="BS756" i="52"/>
  <c r="BR756" i="52"/>
  <c r="BQ756" i="52"/>
  <c r="BP756" i="52"/>
  <c r="BO756" i="52"/>
  <c r="BN756" i="52"/>
  <c r="BM756" i="52"/>
  <c r="BL756" i="52"/>
  <c r="BK756" i="52"/>
  <c r="BJ756" i="52"/>
  <c r="BI756" i="52"/>
  <c r="BH756" i="52"/>
  <c r="BG756" i="52"/>
  <c r="BF756" i="52"/>
  <c r="BE756" i="52"/>
  <c r="BD756" i="52"/>
  <c r="BC756" i="52"/>
  <c r="BB756" i="52"/>
  <c r="BA756" i="52"/>
  <c r="AZ756" i="52"/>
  <c r="AY756" i="52"/>
  <c r="AX756" i="52"/>
  <c r="AW756" i="52"/>
  <c r="AV756" i="52"/>
  <c r="AU756" i="52"/>
  <c r="AT756" i="52"/>
  <c r="AS756" i="52"/>
  <c r="AR756" i="52"/>
  <c r="AQ756" i="52"/>
  <c r="AP756" i="52"/>
  <c r="AO756" i="52"/>
  <c r="AN756" i="52"/>
  <c r="AM756" i="52"/>
  <c r="AL756" i="52"/>
  <c r="AK756" i="52"/>
  <c r="DA755" i="52"/>
  <c r="CZ755" i="52"/>
  <c r="CY755" i="52"/>
  <c r="CX755" i="52"/>
  <c r="CW755" i="52"/>
  <c r="CV755" i="52"/>
  <c r="CU755" i="52"/>
  <c r="CT755" i="52"/>
  <c r="CS755" i="52"/>
  <c r="CR755" i="52"/>
  <c r="CQ755" i="52"/>
  <c r="CP755" i="52"/>
  <c r="CO755" i="52"/>
  <c r="CN755" i="52"/>
  <c r="CM755" i="52"/>
  <c r="CL755" i="52"/>
  <c r="CK755" i="52"/>
  <c r="CJ755" i="52"/>
  <c r="CI755" i="52"/>
  <c r="CH755" i="52"/>
  <c r="CG755" i="52"/>
  <c r="CF755" i="52"/>
  <c r="CE755" i="52"/>
  <c r="CD755" i="52"/>
  <c r="CC755" i="52"/>
  <c r="CB755" i="52"/>
  <c r="CA755" i="52"/>
  <c r="BZ755" i="52"/>
  <c r="BY755" i="52"/>
  <c r="BX755" i="52"/>
  <c r="BW755" i="52"/>
  <c r="BV755" i="52"/>
  <c r="BU755" i="52"/>
  <c r="BT755" i="52"/>
  <c r="BS755" i="52"/>
  <c r="BR755" i="52"/>
  <c r="BQ755" i="52"/>
  <c r="BP755" i="52"/>
  <c r="BO755" i="52"/>
  <c r="BN755" i="52"/>
  <c r="BM755" i="52"/>
  <c r="BL755" i="52"/>
  <c r="BK755" i="52"/>
  <c r="BJ755" i="52"/>
  <c r="BI755" i="52"/>
  <c r="BH755" i="52"/>
  <c r="BG755" i="52"/>
  <c r="BF755" i="52"/>
  <c r="BE755" i="52"/>
  <c r="BD755" i="52"/>
  <c r="BC755" i="52"/>
  <c r="BB755" i="52"/>
  <c r="BA755" i="52"/>
  <c r="AZ755" i="52"/>
  <c r="AY755" i="52"/>
  <c r="AX755" i="52"/>
  <c r="AW755" i="52"/>
  <c r="AV755" i="52"/>
  <c r="AU755" i="52"/>
  <c r="AT755" i="52"/>
  <c r="AS755" i="52"/>
  <c r="AR755" i="52"/>
  <c r="AQ755" i="52"/>
  <c r="AP755" i="52"/>
  <c r="AO755" i="52"/>
  <c r="AN755" i="52"/>
  <c r="AM755" i="52"/>
  <c r="AL755" i="52"/>
  <c r="AK755" i="52"/>
  <c r="DA754" i="52"/>
  <c r="CZ754" i="52"/>
  <c r="CY754" i="52"/>
  <c r="CX754" i="52"/>
  <c r="CW754" i="52"/>
  <c r="CV754" i="52"/>
  <c r="CU754" i="52"/>
  <c r="CT754" i="52"/>
  <c r="CS754" i="52"/>
  <c r="CR754" i="52"/>
  <c r="CQ754" i="52"/>
  <c r="CP754" i="52"/>
  <c r="CO754" i="52"/>
  <c r="CN754" i="52"/>
  <c r="CM754" i="52"/>
  <c r="CL754" i="52"/>
  <c r="CK754" i="52"/>
  <c r="CJ754" i="52"/>
  <c r="CI754" i="52"/>
  <c r="CH754" i="52"/>
  <c r="CG754" i="52"/>
  <c r="CF754" i="52"/>
  <c r="CE754" i="52"/>
  <c r="CD754" i="52"/>
  <c r="CC754" i="52"/>
  <c r="CB754" i="52"/>
  <c r="CA754" i="52"/>
  <c r="BZ754" i="52"/>
  <c r="BY754" i="52"/>
  <c r="BX754" i="52"/>
  <c r="BW754" i="52"/>
  <c r="BV754" i="52"/>
  <c r="BU754" i="52"/>
  <c r="BT754" i="52"/>
  <c r="BS754" i="52"/>
  <c r="BR754" i="52"/>
  <c r="BQ754" i="52"/>
  <c r="BP754" i="52"/>
  <c r="BO754" i="52"/>
  <c r="BN754" i="52"/>
  <c r="BM754" i="52"/>
  <c r="BL754" i="52"/>
  <c r="BK754" i="52"/>
  <c r="BJ754" i="52"/>
  <c r="BI754" i="52"/>
  <c r="BH754" i="52"/>
  <c r="BG754" i="52"/>
  <c r="BF754" i="52"/>
  <c r="BE754" i="52"/>
  <c r="BD754" i="52"/>
  <c r="BC754" i="52"/>
  <c r="BB754" i="52"/>
  <c r="BA754" i="52"/>
  <c r="AZ754" i="52"/>
  <c r="AY754" i="52"/>
  <c r="AX754" i="52"/>
  <c r="AW754" i="52"/>
  <c r="AV754" i="52"/>
  <c r="AU754" i="52"/>
  <c r="AT754" i="52"/>
  <c r="AS754" i="52"/>
  <c r="AR754" i="52"/>
  <c r="AQ754" i="52"/>
  <c r="AP754" i="52"/>
  <c r="AO754" i="52"/>
  <c r="AN754" i="52"/>
  <c r="AM754" i="52"/>
  <c r="AL754" i="52"/>
  <c r="AK754" i="52"/>
  <c r="DA753" i="52"/>
  <c r="CZ753" i="52"/>
  <c r="CY753" i="52"/>
  <c r="CX753" i="52"/>
  <c r="CW753" i="52"/>
  <c r="CV753" i="52"/>
  <c r="CU753" i="52"/>
  <c r="CT753" i="52"/>
  <c r="CS753" i="52"/>
  <c r="CR753" i="52"/>
  <c r="CQ753" i="52"/>
  <c r="CP753" i="52"/>
  <c r="CO753" i="52"/>
  <c r="CN753" i="52"/>
  <c r="CM753" i="52"/>
  <c r="CL753" i="52"/>
  <c r="CK753" i="52"/>
  <c r="CJ753" i="52"/>
  <c r="CI753" i="52"/>
  <c r="CH753" i="52"/>
  <c r="CG753" i="52"/>
  <c r="CF753" i="52"/>
  <c r="CE753" i="52"/>
  <c r="CD753" i="52"/>
  <c r="CC753" i="52"/>
  <c r="CB753" i="52"/>
  <c r="CA753" i="52"/>
  <c r="BZ753" i="52"/>
  <c r="BY753" i="52"/>
  <c r="BX753" i="52"/>
  <c r="BW753" i="52"/>
  <c r="BV753" i="52"/>
  <c r="BU753" i="52"/>
  <c r="BT753" i="52"/>
  <c r="BS753" i="52"/>
  <c r="BR753" i="52"/>
  <c r="BQ753" i="52"/>
  <c r="BP753" i="52"/>
  <c r="BO753" i="52"/>
  <c r="BN753" i="52"/>
  <c r="BM753" i="52"/>
  <c r="BL753" i="52"/>
  <c r="BK753" i="52"/>
  <c r="BJ753" i="52"/>
  <c r="BI753" i="52"/>
  <c r="BH753" i="52"/>
  <c r="BG753" i="52"/>
  <c r="BF753" i="52"/>
  <c r="BE753" i="52"/>
  <c r="BD753" i="52"/>
  <c r="BC753" i="52"/>
  <c r="BB753" i="52"/>
  <c r="BA753" i="52"/>
  <c r="AZ753" i="52"/>
  <c r="AY753" i="52"/>
  <c r="AX753" i="52"/>
  <c r="AW753" i="52"/>
  <c r="AV753" i="52"/>
  <c r="AU753" i="52"/>
  <c r="AT753" i="52"/>
  <c r="AS753" i="52"/>
  <c r="AR753" i="52"/>
  <c r="AQ753" i="52"/>
  <c r="AP753" i="52"/>
  <c r="AO753" i="52"/>
  <c r="AN753" i="52"/>
  <c r="AM753" i="52"/>
  <c r="AL753" i="52"/>
  <c r="AK753" i="52"/>
  <c r="DA752" i="52"/>
  <c r="CZ752" i="52"/>
  <c r="CY752" i="52"/>
  <c r="CX752" i="52"/>
  <c r="CW752" i="52"/>
  <c r="CV752" i="52"/>
  <c r="CU752" i="52"/>
  <c r="CT752" i="52"/>
  <c r="CS752" i="52"/>
  <c r="CR752" i="52"/>
  <c r="CQ752" i="52"/>
  <c r="CP752" i="52"/>
  <c r="CO752" i="52"/>
  <c r="CN752" i="52"/>
  <c r="CM752" i="52"/>
  <c r="CL752" i="52"/>
  <c r="CK752" i="52"/>
  <c r="CJ752" i="52"/>
  <c r="CI752" i="52"/>
  <c r="CH752" i="52"/>
  <c r="CG752" i="52"/>
  <c r="CF752" i="52"/>
  <c r="CE752" i="52"/>
  <c r="CD752" i="52"/>
  <c r="CC752" i="52"/>
  <c r="CB752" i="52"/>
  <c r="CA752" i="52"/>
  <c r="BZ752" i="52"/>
  <c r="BY752" i="52"/>
  <c r="BX752" i="52"/>
  <c r="BW752" i="52"/>
  <c r="BV752" i="52"/>
  <c r="BU752" i="52"/>
  <c r="BT752" i="52"/>
  <c r="BS752" i="52"/>
  <c r="BR752" i="52"/>
  <c r="BQ752" i="52"/>
  <c r="BP752" i="52"/>
  <c r="BO752" i="52"/>
  <c r="BN752" i="52"/>
  <c r="BM752" i="52"/>
  <c r="BL752" i="52"/>
  <c r="BK752" i="52"/>
  <c r="BJ752" i="52"/>
  <c r="BI752" i="52"/>
  <c r="BH752" i="52"/>
  <c r="BG752" i="52"/>
  <c r="BF752" i="52"/>
  <c r="BE752" i="52"/>
  <c r="BD752" i="52"/>
  <c r="BC752" i="52"/>
  <c r="BB752" i="52"/>
  <c r="BA752" i="52"/>
  <c r="AZ752" i="52"/>
  <c r="AY752" i="52"/>
  <c r="AX752" i="52"/>
  <c r="AW752" i="52"/>
  <c r="AV752" i="52"/>
  <c r="AU752" i="52"/>
  <c r="AT752" i="52"/>
  <c r="AS752" i="52"/>
  <c r="AR752" i="52"/>
  <c r="AQ752" i="52"/>
  <c r="AP752" i="52"/>
  <c r="AO752" i="52"/>
  <c r="AN752" i="52"/>
  <c r="AM752" i="52"/>
  <c r="AL752" i="52"/>
  <c r="AK752" i="52"/>
  <c r="DA751" i="52"/>
  <c r="CZ751" i="52"/>
  <c r="CY751" i="52"/>
  <c r="CX751" i="52"/>
  <c r="CW751" i="52"/>
  <c r="CV751" i="52"/>
  <c r="CU751" i="52"/>
  <c r="CT751" i="52"/>
  <c r="CS751" i="52"/>
  <c r="CR751" i="52"/>
  <c r="CQ751" i="52"/>
  <c r="CP751" i="52"/>
  <c r="CO751" i="52"/>
  <c r="CN751" i="52"/>
  <c r="CM751" i="52"/>
  <c r="CL751" i="52"/>
  <c r="CK751" i="52"/>
  <c r="CJ751" i="52"/>
  <c r="CI751" i="52"/>
  <c r="CH751" i="52"/>
  <c r="CG751" i="52"/>
  <c r="CF751" i="52"/>
  <c r="CE751" i="52"/>
  <c r="CD751" i="52"/>
  <c r="CC751" i="52"/>
  <c r="CB751" i="52"/>
  <c r="CA751" i="52"/>
  <c r="BZ751" i="52"/>
  <c r="BY751" i="52"/>
  <c r="BX751" i="52"/>
  <c r="BW751" i="52"/>
  <c r="BV751" i="52"/>
  <c r="BU751" i="52"/>
  <c r="BT751" i="52"/>
  <c r="BS751" i="52"/>
  <c r="BR751" i="52"/>
  <c r="BQ751" i="52"/>
  <c r="BP751" i="52"/>
  <c r="BO751" i="52"/>
  <c r="BN751" i="52"/>
  <c r="BM751" i="52"/>
  <c r="BL751" i="52"/>
  <c r="BK751" i="52"/>
  <c r="BJ751" i="52"/>
  <c r="BI751" i="52"/>
  <c r="BH751" i="52"/>
  <c r="BG751" i="52"/>
  <c r="BF751" i="52"/>
  <c r="BE751" i="52"/>
  <c r="BD751" i="52"/>
  <c r="BC751" i="52"/>
  <c r="BB751" i="52"/>
  <c r="BA751" i="52"/>
  <c r="AZ751" i="52"/>
  <c r="AY751" i="52"/>
  <c r="AX751" i="52"/>
  <c r="AW751" i="52"/>
  <c r="AV751" i="52"/>
  <c r="AU751" i="52"/>
  <c r="AT751" i="52"/>
  <c r="AS751" i="52"/>
  <c r="AR751" i="52"/>
  <c r="AQ751" i="52"/>
  <c r="AP751" i="52"/>
  <c r="AO751" i="52"/>
  <c r="AN751" i="52"/>
  <c r="AM751" i="52"/>
  <c r="AL751" i="52"/>
  <c r="AK751" i="52"/>
  <c r="DA750" i="52"/>
  <c r="CZ750" i="52"/>
  <c r="CY750" i="52"/>
  <c r="CX750" i="52"/>
  <c r="CW750" i="52"/>
  <c r="CV750" i="52"/>
  <c r="CU750" i="52"/>
  <c r="CT750" i="52"/>
  <c r="CS750" i="52"/>
  <c r="CR750" i="52"/>
  <c r="CQ750" i="52"/>
  <c r="CP750" i="52"/>
  <c r="CO750" i="52"/>
  <c r="CN750" i="52"/>
  <c r="CM750" i="52"/>
  <c r="CL750" i="52"/>
  <c r="CK750" i="52"/>
  <c r="CJ750" i="52"/>
  <c r="CI750" i="52"/>
  <c r="CH750" i="52"/>
  <c r="CG750" i="52"/>
  <c r="CF750" i="52"/>
  <c r="CE750" i="52"/>
  <c r="CD750" i="52"/>
  <c r="CC750" i="52"/>
  <c r="CB750" i="52"/>
  <c r="CA750" i="52"/>
  <c r="BZ750" i="52"/>
  <c r="BY750" i="52"/>
  <c r="BX750" i="52"/>
  <c r="BW750" i="52"/>
  <c r="BV750" i="52"/>
  <c r="BU750" i="52"/>
  <c r="BT750" i="52"/>
  <c r="BS750" i="52"/>
  <c r="BR750" i="52"/>
  <c r="BQ750" i="52"/>
  <c r="BP750" i="52"/>
  <c r="BO750" i="52"/>
  <c r="BN750" i="52"/>
  <c r="BM750" i="52"/>
  <c r="BL750" i="52"/>
  <c r="BK750" i="52"/>
  <c r="BJ750" i="52"/>
  <c r="BI750" i="52"/>
  <c r="BH750" i="52"/>
  <c r="BG750" i="52"/>
  <c r="BF750" i="52"/>
  <c r="BE750" i="52"/>
  <c r="BD750" i="52"/>
  <c r="BC750" i="52"/>
  <c r="BB750" i="52"/>
  <c r="BA750" i="52"/>
  <c r="AZ750" i="52"/>
  <c r="AY750" i="52"/>
  <c r="AX750" i="52"/>
  <c r="AW750" i="52"/>
  <c r="AV750" i="52"/>
  <c r="AU750" i="52"/>
  <c r="AT750" i="52"/>
  <c r="AS750" i="52"/>
  <c r="AR750" i="52"/>
  <c r="AQ750" i="52"/>
  <c r="AP750" i="52"/>
  <c r="AO750" i="52"/>
  <c r="AN750" i="52"/>
  <c r="AM750" i="52"/>
  <c r="AL750" i="52"/>
  <c r="AK750" i="52"/>
  <c r="DA749" i="52"/>
  <c r="CZ749" i="52"/>
  <c r="CY749" i="52"/>
  <c r="CX749" i="52"/>
  <c r="CW749" i="52"/>
  <c r="CV749" i="52"/>
  <c r="CU749" i="52"/>
  <c r="CT749" i="52"/>
  <c r="CS749" i="52"/>
  <c r="CR749" i="52"/>
  <c r="CQ749" i="52"/>
  <c r="CP749" i="52"/>
  <c r="CO749" i="52"/>
  <c r="CN749" i="52"/>
  <c r="CM749" i="52"/>
  <c r="CL749" i="52"/>
  <c r="CK749" i="52"/>
  <c r="CJ749" i="52"/>
  <c r="CI749" i="52"/>
  <c r="CH749" i="52"/>
  <c r="CG749" i="52"/>
  <c r="CF749" i="52"/>
  <c r="CE749" i="52"/>
  <c r="CD749" i="52"/>
  <c r="CC749" i="52"/>
  <c r="CB749" i="52"/>
  <c r="CA749" i="52"/>
  <c r="BZ749" i="52"/>
  <c r="BY749" i="52"/>
  <c r="BX749" i="52"/>
  <c r="BW749" i="52"/>
  <c r="BV749" i="52"/>
  <c r="BU749" i="52"/>
  <c r="BT749" i="52"/>
  <c r="BS749" i="52"/>
  <c r="BR749" i="52"/>
  <c r="BQ749" i="52"/>
  <c r="BP749" i="52"/>
  <c r="BO749" i="52"/>
  <c r="BN749" i="52"/>
  <c r="BM749" i="52"/>
  <c r="BL749" i="52"/>
  <c r="BK749" i="52"/>
  <c r="BJ749" i="52"/>
  <c r="BI749" i="52"/>
  <c r="BH749" i="52"/>
  <c r="BG749" i="52"/>
  <c r="BF749" i="52"/>
  <c r="BE749" i="52"/>
  <c r="BD749" i="52"/>
  <c r="BC749" i="52"/>
  <c r="BB749" i="52"/>
  <c r="BA749" i="52"/>
  <c r="AZ749" i="52"/>
  <c r="AY749" i="52"/>
  <c r="AX749" i="52"/>
  <c r="AW749" i="52"/>
  <c r="AV749" i="52"/>
  <c r="AU749" i="52"/>
  <c r="AT749" i="52"/>
  <c r="AS749" i="52"/>
  <c r="AR749" i="52"/>
  <c r="AQ749" i="52"/>
  <c r="AP749" i="52"/>
  <c r="AO749" i="52"/>
  <c r="AN749" i="52"/>
  <c r="AM749" i="52"/>
  <c r="AL749" i="52"/>
  <c r="AK749" i="52"/>
  <c r="DA748" i="52"/>
  <c r="CZ748" i="52"/>
  <c r="CY748" i="52"/>
  <c r="CX748" i="52"/>
  <c r="CW748" i="52"/>
  <c r="CV748" i="52"/>
  <c r="CU748" i="52"/>
  <c r="CT748" i="52"/>
  <c r="CS748" i="52"/>
  <c r="CR748" i="52"/>
  <c r="CQ748" i="52"/>
  <c r="CP748" i="52"/>
  <c r="CO748" i="52"/>
  <c r="CN748" i="52"/>
  <c r="CM748" i="52"/>
  <c r="CL748" i="52"/>
  <c r="CK748" i="52"/>
  <c r="CJ748" i="52"/>
  <c r="CI748" i="52"/>
  <c r="CH748" i="52"/>
  <c r="CG748" i="52"/>
  <c r="CF748" i="52"/>
  <c r="CE748" i="52"/>
  <c r="CD748" i="52"/>
  <c r="CC748" i="52"/>
  <c r="CB748" i="52"/>
  <c r="CA748" i="52"/>
  <c r="BZ748" i="52"/>
  <c r="BY748" i="52"/>
  <c r="BX748" i="52"/>
  <c r="BW748" i="52"/>
  <c r="BV748" i="52"/>
  <c r="BU748" i="52"/>
  <c r="BT748" i="52"/>
  <c r="BS748" i="52"/>
  <c r="BR748" i="52"/>
  <c r="BQ748" i="52"/>
  <c r="BP748" i="52"/>
  <c r="BO748" i="52"/>
  <c r="BN748" i="52"/>
  <c r="BM748" i="52"/>
  <c r="BL748" i="52"/>
  <c r="BK748" i="52"/>
  <c r="BJ748" i="52"/>
  <c r="BI748" i="52"/>
  <c r="BH748" i="52"/>
  <c r="BG748" i="52"/>
  <c r="BF748" i="52"/>
  <c r="BE748" i="52"/>
  <c r="BD748" i="52"/>
  <c r="BC748" i="52"/>
  <c r="BB748" i="52"/>
  <c r="BA748" i="52"/>
  <c r="AZ748" i="52"/>
  <c r="AY748" i="52"/>
  <c r="AX748" i="52"/>
  <c r="AW748" i="52"/>
  <c r="AV748" i="52"/>
  <c r="AU748" i="52"/>
  <c r="AT748" i="52"/>
  <c r="AS748" i="52"/>
  <c r="AR748" i="52"/>
  <c r="AQ748" i="52"/>
  <c r="AP748" i="52"/>
  <c r="AO748" i="52"/>
  <c r="AN748" i="52"/>
  <c r="AM748" i="52"/>
  <c r="AL748" i="52"/>
  <c r="AK748" i="52"/>
  <c r="DA747" i="52"/>
  <c r="CZ747" i="52"/>
  <c r="CY747" i="52"/>
  <c r="CX747" i="52"/>
  <c r="CW747" i="52"/>
  <c r="CV747" i="52"/>
  <c r="CU747" i="52"/>
  <c r="CT747" i="52"/>
  <c r="CS747" i="52"/>
  <c r="CR747" i="52"/>
  <c r="CQ747" i="52"/>
  <c r="CP747" i="52"/>
  <c r="CO747" i="52"/>
  <c r="CN747" i="52"/>
  <c r="CM747" i="52"/>
  <c r="CL747" i="52"/>
  <c r="CK747" i="52"/>
  <c r="CJ747" i="52"/>
  <c r="CI747" i="52"/>
  <c r="CH747" i="52"/>
  <c r="CG747" i="52"/>
  <c r="CF747" i="52"/>
  <c r="CE747" i="52"/>
  <c r="CD747" i="52"/>
  <c r="CC747" i="52"/>
  <c r="CB747" i="52"/>
  <c r="CA747" i="52"/>
  <c r="BZ747" i="52"/>
  <c r="BY747" i="52"/>
  <c r="BX747" i="52"/>
  <c r="BW747" i="52"/>
  <c r="BV747" i="52"/>
  <c r="BU747" i="52"/>
  <c r="BT747" i="52"/>
  <c r="BS747" i="52"/>
  <c r="BR747" i="52"/>
  <c r="BQ747" i="52"/>
  <c r="BP747" i="52"/>
  <c r="BO747" i="52"/>
  <c r="BN747" i="52"/>
  <c r="BM747" i="52"/>
  <c r="BL747" i="52"/>
  <c r="BK747" i="52"/>
  <c r="BJ747" i="52"/>
  <c r="BI747" i="52"/>
  <c r="BH747" i="52"/>
  <c r="BG747" i="52"/>
  <c r="BF747" i="52"/>
  <c r="BE747" i="52"/>
  <c r="BD747" i="52"/>
  <c r="BC747" i="52"/>
  <c r="BB747" i="52"/>
  <c r="BA747" i="52"/>
  <c r="AZ747" i="52"/>
  <c r="AY747" i="52"/>
  <c r="AX747" i="52"/>
  <c r="AW747" i="52"/>
  <c r="AV747" i="52"/>
  <c r="AU747" i="52"/>
  <c r="AT747" i="52"/>
  <c r="AS747" i="52"/>
  <c r="AR747" i="52"/>
  <c r="AQ747" i="52"/>
  <c r="AP747" i="52"/>
  <c r="AO747" i="52"/>
  <c r="AN747" i="52"/>
  <c r="AM747" i="52"/>
  <c r="AL747" i="52"/>
  <c r="AK747" i="52"/>
  <c r="DA746" i="52"/>
  <c r="CZ746" i="52"/>
  <c r="CY746" i="52"/>
  <c r="CX746" i="52"/>
  <c r="CW746" i="52"/>
  <c r="CV746" i="52"/>
  <c r="CU746" i="52"/>
  <c r="CT746" i="52"/>
  <c r="CS746" i="52"/>
  <c r="CR746" i="52"/>
  <c r="CQ746" i="52"/>
  <c r="CP746" i="52"/>
  <c r="CO746" i="52"/>
  <c r="CN746" i="52"/>
  <c r="CM746" i="52"/>
  <c r="CL746" i="52"/>
  <c r="CK746" i="52"/>
  <c r="CJ746" i="52"/>
  <c r="CI746" i="52"/>
  <c r="CH746" i="52"/>
  <c r="CG746" i="52"/>
  <c r="CF746" i="52"/>
  <c r="CE746" i="52"/>
  <c r="CD746" i="52"/>
  <c r="CC746" i="52"/>
  <c r="CB746" i="52"/>
  <c r="CA746" i="52"/>
  <c r="BZ746" i="52"/>
  <c r="BY746" i="52"/>
  <c r="BX746" i="52"/>
  <c r="BW746" i="52"/>
  <c r="BV746" i="52"/>
  <c r="BU746" i="52"/>
  <c r="BT746" i="52"/>
  <c r="BS746" i="52"/>
  <c r="BR746" i="52"/>
  <c r="BQ746" i="52"/>
  <c r="BP746" i="52"/>
  <c r="BO746" i="52"/>
  <c r="BN746" i="52"/>
  <c r="BM746" i="52"/>
  <c r="BL746" i="52"/>
  <c r="BK746" i="52"/>
  <c r="BJ746" i="52"/>
  <c r="BI746" i="52"/>
  <c r="BH746" i="52"/>
  <c r="BG746" i="52"/>
  <c r="BF746" i="52"/>
  <c r="BE746" i="52"/>
  <c r="BD746" i="52"/>
  <c r="BC746" i="52"/>
  <c r="BB746" i="52"/>
  <c r="BA746" i="52"/>
  <c r="AZ746" i="52"/>
  <c r="AY746" i="52"/>
  <c r="AX746" i="52"/>
  <c r="AW746" i="52"/>
  <c r="AV746" i="52"/>
  <c r="AU746" i="52"/>
  <c r="AT746" i="52"/>
  <c r="AS746" i="52"/>
  <c r="AR746" i="52"/>
  <c r="AQ746" i="52"/>
  <c r="AP746" i="52"/>
  <c r="AO746" i="52"/>
  <c r="AN746" i="52"/>
  <c r="AM746" i="52"/>
  <c r="AL746" i="52"/>
  <c r="AK746" i="52"/>
  <c r="DA745" i="52"/>
  <c r="CZ745" i="52"/>
  <c r="CY745" i="52"/>
  <c r="CX745" i="52"/>
  <c r="CW745" i="52"/>
  <c r="CV745" i="52"/>
  <c r="CU745" i="52"/>
  <c r="CT745" i="52"/>
  <c r="CS745" i="52"/>
  <c r="CR745" i="52"/>
  <c r="CQ745" i="52"/>
  <c r="CP745" i="52"/>
  <c r="CO745" i="52"/>
  <c r="CN745" i="52"/>
  <c r="CM745" i="52"/>
  <c r="CL745" i="52"/>
  <c r="CK745" i="52"/>
  <c r="CJ745" i="52"/>
  <c r="CI745" i="52"/>
  <c r="CH745" i="52"/>
  <c r="CG745" i="52"/>
  <c r="CF745" i="52"/>
  <c r="CE745" i="52"/>
  <c r="CD745" i="52"/>
  <c r="CC745" i="52"/>
  <c r="CB745" i="52"/>
  <c r="CA745" i="52"/>
  <c r="BZ745" i="52"/>
  <c r="BY745" i="52"/>
  <c r="BX745" i="52"/>
  <c r="BW745" i="52"/>
  <c r="BV745" i="52"/>
  <c r="BU745" i="52"/>
  <c r="BT745" i="52"/>
  <c r="BS745" i="52"/>
  <c r="BR745" i="52"/>
  <c r="BQ745" i="52"/>
  <c r="BP745" i="52"/>
  <c r="BO745" i="52"/>
  <c r="BN745" i="52"/>
  <c r="BM745" i="52"/>
  <c r="BL745" i="52"/>
  <c r="BK745" i="52"/>
  <c r="BJ745" i="52"/>
  <c r="BI745" i="52"/>
  <c r="BH745" i="52"/>
  <c r="BG745" i="52"/>
  <c r="BF745" i="52"/>
  <c r="BE745" i="52"/>
  <c r="BD745" i="52"/>
  <c r="BC745" i="52"/>
  <c r="BB745" i="52"/>
  <c r="BA745" i="52"/>
  <c r="AZ745" i="52"/>
  <c r="AY745" i="52"/>
  <c r="AX745" i="52"/>
  <c r="AW745" i="52"/>
  <c r="AV745" i="52"/>
  <c r="AU745" i="52"/>
  <c r="AT745" i="52"/>
  <c r="AS745" i="52"/>
  <c r="AR745" i="52"/>
  <c r="AQ745" i="52"/>
  <c r="AP745" i="52"/>
  <c r="AO745" i="52"/>
  <c r="AN745" i="52"/>
  <c r="AM745" i="52"/>
  <c r="AL745" i="52"/>
  <c r="AK745" i="52"/>
  <c r="DA744" i="52"/>
  <c r="CZ744" i="52"/>
  <c r="CY744" i="52"/>
  <c r="CX744" i="52"/>
  <c r="CW744" i="52"/>
  <c r="CV744" i="52"/>
  <c r="CU744" i="52"/>
  <c r="CT744" i="52"/>
  <c r="CS744" i="52"/>
  <c r="CR744" i="52"/>
  <c r="CQ744" i="52"/>
  <c r="CP744" i="52"/>
  <c r="CO744" i="52"/>
  <c r="CN744" i="52"/>
  <c r="CM744" i="52"/>
  <c r="CL744" i="52"/>
  <c r="CL762" i="52" s="1"/>
  <c r="CK744" i="52"/>
  <c r="CJ744" i="52"/>
  <c r="CI744" i="52"/>
  <c r="CH744" i="52"/>
  <c r="CG744" i="52"/>
  <c r="CF744" i="52"/>
  <c r="CE744" i="52"/>
  <c r="CD744" i="52"/>
  <c r="CC744" i="52"/>
  <c r="CB744" i="52"/>
  <c r="CA744" i="52"/>
  <c r="BZ744" i="52"/>
  <c r="BY744" i="52"/>
  <c r="BX744" i="52"/>
  <c r="BW744" i="52"/>
  <c r="BV744" i="52"/>
  <c r="BU744" i="52"/>
  <c r="BT744" i="52"/>
  <c r="BS744" i="52"/>
  <c r="BR744" i="52"/>
  <c r="BQ744" i="52"/>
  <c r="BP744" i="52"/>
  <c r="BO744" i="52"/>
  <c r="BN744" i="52"/>
  <c r="BN762" i="52" s="1"/>
  <c r="BM744" i="52"/>
  <c r="BL744" i="52"/>
  <c r="BK744" i="52"/>
  <c r="BJ744" i="52"/>
  <c r="BI744" i="52"/>
  <c r="BH744" i="52"/>
  <c r="BG744" i="52"/>
  <c r="BF744" i="52"/>
  <c r="BE744" i="52"/>
  <c r="BD744" i="52"/>
  <c r="BC744" i="52"/>
  <c r="BB744" i="52"/>
  <c r="BA744" i="52"/>
  <c r="AZ744" i="52"/>
  <c r="AY744" i="52"/>
  <c r="AX744" i="52"/>
  <c r="AW744" i="52"/>
  <c r="AV744" i="52"/>
  <c r="AU744" i="52"/>
  <c r="AT744" i="52"/>
  <c r="AS744" i="52"/>
  <c r="AR744" i="52"/>
  <c r="AQ744" i="52"/>
  <c r="AP744" i="52"/>
  <c r="AO744" i="52"/>
  <c r="AN744" i="52"/>
  <c r="AM744" i="52"/>
  <c r="AL744" i="52"/>
  <c r="AK744" i="52"/>
  <c r="DA743" i="52"/>
  <c r="CZ743" i="52"/>
  <c r="CY743" i="52"/>
  <c r="CX743" i="52"/>
  <c r="CW743" i="52"/>
  <c r="CV743" i="52"/>
  <c r="CU743" i="52"/>
  <c r="CT743" i="52"/>
  <c r="CS743" i="52"/>
  <c r="CR743" i="52"/>
  <c r="CQ743" i="52"/>
  <c r="CP743" i="52"/>
  <c r="CO743" i="52"/>
  <c r="CN743" i="52"/>
  <c r="CM743" i="52"/>
  <c r="CL743" i="52"/>
  <c r="CK743" i="52"/>
  <c r="CJ743" i="52"/>
  <c r="CI743" i="52"/>
  <c r="CH743" i="52"/>
  <c r="CG743" i="52"/>
  <c r="CF743" i="52"/>
  <c r="CE743" i="52"/>
  <c r="CD743" i="52"/>
  <c r="CC743" i="52"/>
  <c r="CB743" i="52"/>
  <c r="CA743" i="52"/>
  <c r="BZ743" i="52"/>
  <c r="BY743" i="52"/>
  <c r="BX743" i="52"/>
  <c r="BW743" i="52"/>
  <c r="BV743" i="52"/>
  <c r="BU743" i="52"/>
  <c r="BT743" i="52"/>
  <c r="BS743" i="52"/>
  <c r="BR743" i="52"/>
  <c r="BQ743" i="52"/>
  <c r="BP743" i="52"/>
  <c r="BO743" i="52"/>
  <c r="BN743" i="52"/>
  <c r="BM743" i="52"/>
  <c r="BL743" i="52"/>
  <c r="BK743" i="52"/>
  <c r="BJ743" i="52"/>
  <c r="BI743" i="52"/>
  <c r="BH743" i="52"/>
  <c r="BG743" i="52"/>
  <c r="BF743" i="52"/>
  <c r="BE743" i="52"/>
  <c r="BD743" i="52"/>
  <c r="BC743" i="52"/>
  <c r="BB743" i="52"/>
  <c r="BA743" i="52"/>
  <c r="AZ743" i="52"/>
  <c r="AY743" i="52"/>
  <c r="AX743" i="52"/>
  <c r="AW743" i="52"/>
  <c r="AV743" i="52"/>
  <c r="AU743" i="52"/>
  <c r="AT743" i="52"/>
  <c r="AS743" i="52"/>
  <c r="AR743" i="52"/>
  <c r="AQ743" i="52"/>
  <c r="AP743" i="52"/>
  <c r="AO743" i="52"/>
  <c r="AN743" i="52"/>
  <c r="AM743" i="52"/>
  <c r="AL743" i="52"/>
  <c r="AK743" i="52"/>
  <c r="DA742" i="52"/>
  <c r="CZ742" i="52"/>
  <c r="CY742" i="52"/>
  <c r="CX742" i="52"/>
  <c r="CW742" i="52"/>
  <c r="CV742" i="52"/>
  <c r="CU742" i="52"/>
  <c r="CT742" i="52"/>
  <c r="CS742" i="52"/>
  <c r="CR742" i="52"/>
  <c r="CQ742" i="52"/>
  <c r="CP742" i="52"/>
  <c r="CO742" i="52"/>
  <c r="CN742" i="52"/>
  <c r="CM742" i="52"/>
  <c r="CL742" i="52"/>
  <c r="CK742" i="52"/>
  <c r="CJ742" i="52"/>
  <c r="CI742" i="52"/>
  <c r="CH742" i="52"/>
  <c r="CG742" i="52"/>
  <c r="CF742" i="52"/>
  <c r="CE742" i="52"/>
  <c r="CD742" i="52"/>
  <c r="CC742" i="52"/>
  <c r="CB742" i="52"/>
  <c r="CA742" i="52"/>
  <c r="BZ742" i="52"/>
  <c r="BY742" i="52"/>
  <c r="BX742" i="52"/>
  <c r="BW742" i="52"/>
  <c r="BV742" i="52"/>
  <c r="BU742" i="52"/>
  <c r="BT742" i="52"/>
  <c r="BS742" i="52"/>
  <c r="BR742" i="52"/>
  <c r="BQ742" i="52"/>
  <c r="BP742" i="52"/>
  <c r="BO742" i="52"/>
  <c r="BN742" i="52"/>
  <c r="BM742" i="52"/>
  <c r="BL742" i="52"/>
  <c r="BK742" i="52"/>
  <c r="BJ742" i="52"/>
  <c r="BI742" i="52"/>
  <c r="BH742" i="52"/>
  <c r="BG742" i="52"/>
  <c r="BF742" i="52"/>
  <c r="BE742" i="52"/>
  <c r="BD742" i="52"/>
  <c r="BC742" i="52"/>
  <c r="BB742" i="52"/>
  <c r="BA742" i="52"/>
  <c r="AZ742" i="52"/>
  <c r="AZ893" i="52" s="1"/>
  <c r="AY742" i="52"/>
  <c r="AX742" i="52"/>
  <c r="AW742" i="52"/>
  <c r="AV742" i="52"/>
  <c r="AU742" i="52"/>
  <c r="AT742" i="52"/>
  <c r="AS742" i="52"/>
  <c r="AR742" i="52"/>
  <c r="AQ742" i="52"/>
  <c r="AP742" i="52"/>
  <c r="AO742" i="52"/>
  <c r="AN742" i="52"/>
  <c r="AM742" i="52"/>
  <c r="AL742" i="52"/>
  <c r="AK742" i="52"/>
  <c r="DA741" i="52"/>
  <c r="CZ741" i="52"/>
  <c r="CY741" i="52"/>
  <c r="CX741" i="52"/>
  <c r="CW741" i="52"/>
  <c r="CV741" i="52"/>
  <c r="CU741" i="52"/>
  <c r="CT741" i="52"/>
  <c r="CS741" i="52"/>
  <c r="CR741" i="52"/>
  <c r="CQ741" i="52"/>
  <c r="CP741" i="52"/>
  <c r="CO741" i="52"/>
  <c r="CN741" i="52"/>
  <c r="CM741" i="52"/>
  <c r="CL741" i="52"/>
  <c r="CK741" i="52"/>
  <c r="CJ741" i="52"/>
  <c r="CI741" i="52"/>
  <c r="CH741" i="52"/>
  <c r="CG741" i="52"/>
  <c r="CF741" i="52"/>
  <c r="CE741" i="52"/>
  <c r="CD741" i="52"/>
  <c r="CC741" i="52"/>
  <c r="CB741" i="52"/>
  <c r="CA741" i="52"/>
  <c r="BZ741" i="52"/>
  <c r="BY741" i="52"/>
  <c r="BX741" i="52"/>
  <c r="BW741" i="52"/>
  <c r="BV741" i="52"/>
  <c r="BU741" i="52"/>
  <c r="BT741" i="52"/>
  <c r="BS741" i="52"/>
  <c r="BR741" i="52"/>
  <c r="BQ741" i="52"/>
  <c r="BP741" i="52"/>
  <c r="BO741" i="52"/>
  <c r="BN741" i="52"/>
  <c r="BM741" i="52"/>
  <c r="BL741" i="52"/>
  <c r="BK741" i="52"/>
  <c r="BJ741" i="52"/>
  <c r="BI741" i="52"/>
  <c r="BH741" i="52"/>
  <c r="BG741" i="52"/>
  <c r="BF741" i="52"/>
  <c r="BE741" i="52"/>
  <c r="BD741" i="52"/>
  <c r="BC741" i="52"/>
  <c r="BB741" i="52"/>
  <c r="BA741" i="52"/>
  <c r="AZ741" i="52"/>
  <c r="AY741" i="52"/>
  <c r="AX741" i="52"/>
  <c r="AW741" i="52"/>
  <c r="AV741" i="52"/>
  <c r="AU741" i="52"/>
  <c r="AT741" i="52"/>
  <c r="AS741" i="52"/>
  <c r="AR741" i="52"/>
  <c r="AQ741" i="52"/>
  <c r="AP741" i="52"/>
  <c r="AO741" i="52"/>
  <c r="AN741" i="52"/>
  <c r="AM741" i="52"/>
  <c r="AL741" i="52"/>
  <c r="AK741" i="52"/>
  <c r="DA740" i="52"/>
  <c r="CZ740" i="52"/>
  <c r="CY740" i="52"/>
  <c r="CX740" i="52"/>
  <c r="CX762" i="52" s="1"/>
  <c r="CW740" i="52"/>
  <c r="CV740" i="52"/>
  <c r="CU740" i="52"/>
  <c r="CT740" i="52"/>
  <c r="CS740" i="52"/>
  <c r="CR740" i="52"/>
  <c r="CQ740" i="52"/>
  <c r="CP740" i="52"/>
  <c r="CO740" i="52"/>
  <c r="CN740" i="52"/>
  <c r="CM740" i="52"/>
  <c r="CL740" i="52"/>
  <c r="CK740" i="52"/>
  <c r="CJ740" i="52"/>
  <c r="CI740" i="52"/>
  <c r="CH740" i="52"/>
  <c r="CG740" i="52"/>
  <c r="CF740" i="52"/>
  <c r="CE740" i="52"/>
  <c r="CD740" i="52"/>
  <c r="CC740" i="52"/>
  <c r="CB740" i="52"/>
  <c r="CA740" i="52"/>
  <c r="BZ740" i="52"/>
  <c r="BZ762" i="52" s="1"/>
  <c r="BY740" i="52"/>
  <c r="BX740" i="52"/>
  <c r="BW740" i="52"/>
  <c r="BV740" i="52"/>
  <c r="BU740" i="52"/>
  <c r="BT740" i="52"/>
  <c r="BS740" i="52"/>
  <c r="BR740" i="52"/>
  <c r="BQ740" i="52"/>
  <c r="BP740" i="52"/>
  <c r="BO740" i="52"/>
  <c r="BN740" i="52"/>
  <c r="BM740" i="52"/>
  <c r="BL740" i="52"/>
  <c r="BK740" i="52"/>
  <c r="BJ740" i="52"/>
  <c r="BI740" i="52"/>
  <c r="BH740" i="52"/>
  <c r="BG740" i="52"/>
  <c r="BF740" i="52"/>
  <c r="BE740" i="52"/>
  <c r="BD740" i="52"/>
  <c r="BC740" i="52"/>
  <c r="BB740" i="52"/>
  <c r="BA740" i="52"/>
  <c r="AZ740" i="52"/>
  <c r="AY740" i="52"/>
  <c r="AX740" i="52"/>
  <c r="AW740" i="52"/>
  <c r="AV740" i="52"/>
  <c r="AU740" i="52"/>
  <c r="AT740" i="52"/>
  <c r="AS740" i="52"/>
  <c r="AR740" i="52"/>
  <c r="AQ740" i="52"/>
  <c r="AP740" i="52"/>
  <c r="AO740" i="52"/>
  <c r="AN740" i="52"/>
  <c r="AM740" i="52"/>
  <c r="AL740" i="52"/>
  <c r="AK740" i="52"/>
  <c r="DA739" i="52"/>
  <c r="CZ739" i="52"/>
  <c r="CY739" i="52"/>
  <c r="CX739" i="52"/>
  <c r="CW739" i="52"/>
  <c r="CV739" i="52"/>
  <c r="CU739" i="52"/>
  <c r="CT739" i="52"/>
  <c r="CS739" i="52"/>
  <c r="CR739" i="52"/>
  <c r="CQ739" i="52"/>
  <c r="CP739" i="52"/>
  <c r="CO739" i="52"/>
  <c r="CN739" i="52"/>
  <c r="CM739" i="52"/>
  <c r="CL739" i="52"/>
  <c r="CK739" i="52"/>
  <c r="CJ739" i="52"/>
  <c r="CI739" i="52"/>
  <c r="CH739" i="52"/>
  <c r="CG739" i="52"/>
  <c r="CF739" i="52"/>
  <c r="CE739" i="52"/>
  <c r="CD739" i="52"/>
  <c r="CC739" i="52"/>
  <c r="CB739" i="52"/>
  <c r="CA739" i="52"/>
  <c r="BZ739" i="52"/>
  <c r="BY739" i="52"/>
  <c r="BX739" i="52"/>
  <c r="BW739" i="52"/>
  <c r="BV739" i="52"/>
  <c r="BU739" i="52"/>
  <c r="BT739" i="52"/>
  <c r="BS739" i="52"/>
  <c r="BR739" i="52"/>
  <c r="BQ739" i="52"/>
  <c r="BP739" i="52"/>
  <c r="BO739" i="52"/>
  <c r="BN739" i="52"/>
  <c r="BM739" i="52"/>
  <c r="BL739" i="52"/>
  <c r="BK739" i="52"/>
  <c r="BJ739" i="52"/>
  <c r="BI739" i="52"/>
  <c r="BH739" i="52"/>
  <c r="BG739" i="52"/>
  <c r="BF739" i="52"/>
  <c r="BE739" i="52"/>
  <c r="BD739" i="52"/>
  <c r="BC739" i="52"/>
  <c r="BB739" i="52"/>
  <c r="BA739" i="52"/>
  <c r="AZ739" i="52"/>
  <c r="AY739" i="52"/>
  <c r="AX739" i="52"/>
  <c r="AW739" i="52"/>
  <c r="AV739" i="52"/>
  <c r="AU739" i="52"/>
  <c r="AT739" i="52"/>
  <c r="AS739" i="52"/>
  <c r="AR739" i="52"/>
  <c r="AQ739" i="52"/>
  <c r="AP739" i="52"/>
  <c r="AO739" i="52"/>
  <c r="AN739" i="52"/>
  <c r="AM739" i="52"/>
  <c r="AL739" i="52"/>
  <c r="AK739" i="52"/>
  <c r="DA738" i="52"/>
  <c r="DA762" i="52" s="1"/>
  <c r="CZ738" i="52"/>
  <c r="CY738" i="52"/>
  <c r="CY762" i="52" s="1"/>
  <c r="CX738" i="52"/>
  <c r="CW738" i="52"/>
  <c r="CV738" i="52"/>
  <c r="CV762" i="52" s="1"/>
  <c r="CU738" i="52"/>
  <c r="CU762" i="52" s="1"/>
  <c r="CT738" i="52"/>
  <c r="CS738" i="52"/>
  <c r="CS762" i="52" s="1"/>
  <c r="CR738" i="52"/>
  <c r="CR762" i="52" s="1"/>
  <c r="CQ738" i="52"/>
  <c r="CP738" i="52"/>
  <c r="CP762" i="52" s="1"/>
  <c r="CO738" i="52"/>
  <c r="CO762" i="52" s="1"/>
  <c r="CN738" i="52"/>
  <c r="CM738" i="52"/>
  <c r="CM762" i="52" s="1"/>
  <c r="CL738" i="52"/>
  <c r="CK738" i="52"/>
  <c r="CJ738" i="52"/>
  <c r="CJ762" i="52" s="1"/>
  <c r="CI738" i="52"/>
  <c r="CI762" i="52" s="1"/>
  <c r="CH738" i="52"/>
  <c r="CG738" i="52"/>
  <c r="CG762" i="52" s="1"/>
  <c r="CF738" i="52"/>
  <c r="CF762" i="52" s="1"/>
  <c r="CE738" i="52"/>
  <c r="CD738" i="52"/>
  <c r="CD762" i="52" s="1"/>
  <c r="CC738" i="52"/>
  <c r="CC762" i="52" s="1"/>
  <c r="CB738" i="52"/>
  <c r="CA738" i="52"/>
  <c r="CA762" i="52" s="1"/>
  <c r="BZ738" i="52"/>
  <c r="BY738" i="52"/>
  <c r="BX738" i="52"/>
  <c r="BX762" i="52" s="1"/>
  <c r="BW738" i="52"/>
  <c r="BW762" i="52" s="1"/>
  <c r="BV738" i="52"/>
  <c r="BU738" i="52"/>
  <c r="BU762" i="52" s="1"/>
  <c r="BT738" i="52"/>
  <c r="BT762" i="52" s="1"/>
  <c r="BS738" i="52"/>
  <c r="BR738" i="52"/>
  <c r="BR762" i="52" s="1"/>
  <c r="BQ738" i="52"/>
  <c r="BQ762" i="52" s="1"/>
  <c r="BP738" i="52"/>
  <c r="BO738" i="52"/>
  <c r="BO762" i="52" s="1"/>
  <c r="BN738" i="52"/>
  <c r="BM738" i="52"/>
  <c r="BL738" i="52"/>
  <c r="BL762" i="52" s="1"/>
  <c r="BK738" i="52"/>
  <c r="BK762" i="52" s="1"/>
  <c r="BJ738" i="52"/>
  <c r="BI738" i="52"/>
  <c r="BI762" i="52" s="1"/>
  <c r="BH738" i="52"/>
  <c r="BG738" i="52"/>
  <c r="BF738" i="52"/>
  <c r="BE738" i="52"/>
  <c r="BD738" i="52"/>
  <c r="BC738" i="52"/>
  <c r="BB738" i="52"/>
  <c r="BA738" i="52"/>
  <c r="AZ738" i="52"/>
  <c r="AY738" i="52"/>
  <c r="AX738" i="52"/>
  <c r="AW738" i="52"/>
  <c r="AV738" i="52"/>
  <c r="AU738" i="52"/>
  <c r="AT738" i="52"/>
  <c r="AS738" i="52"/>
  <c r="AR738" i="52"/>
  <c r="AQ738" i="52"/>
  <c r="AP738" i="52"/>
  <c r="AO738" i="52"/>
  <c r="AN738" i="52"/>
  <c r="AM738" i="52"/>
  <c r="AL738" i="52"/>
  <c r="AK738" i="52"/>
  <c r="BH737" i="52"/>
  <c r="BG737" i="52"/>
  <c r="BF737" i="52"/>
  <c r="BE737" i="52"/>
  <c r="BD737" i="52"/>
  <c r="BC737" i="52"/>
  <c r="BB737" i="52"/>
  <c r="BA737" i="52"/>
  <c r="AZ737" i="52"/>
  <c r="AY737" i="52"/>
  <c r="AX737" i="52"/>
  <c r="AW737" i="52"/>
  <c r="AV737" i="52"/>
  <c r="AU737" i="52"/>
  <c r="AT737" i="52"/>
  <c r="AS737" i="52"/>
  <c r="AR737" i="52"/>
  <c r="AQ737" i="52"/>
  <c r="AP737" i="52"/>
  <c r="AO737" i="52"/>
  <c r="AN737" i="52"/>
  <c r="AM737" i="52"/>
  <c r="AL737" i="52"/>
  <c r="AK737" i="52"/>
  <c r="BH736" i="52"/>
  <c r="BG736" i="52"/>
  <c r="BF736" i="52"/>
  <c r="BE736" i="52"/>
  <c r="BD736" i="52"/>
  <c r="BC736" i="52"/>
  <c r="BB736" i="52"/>
  <c r="BA736" i="52"/>
  <c r="AZ736" i="52"/>
  <c r="AY736" i="52"/>
  <c r="AX736" i="52"/>
  <c r="AW736" i="52"/>
  <c r="AV736" i="52"/>
  <c r="AU736" i="52"/>
  <c r="AT736" i="52"/>
  <c r="AS736" i="52"/>
  <c r="AR736" i="52"/>
  <c r="AQ736" i="52"/>
  <c r="AP736" i="52"/>
  <c r="AO736" i="52"/>
  <c r="AN736" i="52"/>
  <c r="AM736" i="52"/>
  <c r="AL736" i="52"/>
  <c r="AK736" i="52"/>
  <c r="BH735" i="52"/>
  <c r="BG735" i="52"/>
  <c r="BF735" i="52"/>
  <c r="BE735" i="52"/>
  <c r="BD735" i="52"/>
  <c r="BC735" i="52"/>
  <c r="BB735" i="52"/>
  <c r="BA735" i="52"/>
  <c r="AZ735" i="52"/>
  <c r="AY735" i="52"/>
  <c r="AX735" i="52"/>
  <c r="AW735" i="52"/>
  <c r="AV735" i="52"/>
  <c r="AU735" i="52"/>
  <c r="AT735" i="52"/>
  <c r="AS735" i="52"/>
  <c r="AR735" i="52"/>
  <c r="AQ735" i="52"/>
  <c r="AP735" i="52"/>
  <c r="AO735" i="52"/>
  <c r="AN735" i="52"/>
  <c r="AM735" i="52"/>
  <c r="AL735" i="52"/>
  <c r="AK735" i="52"/>
  <c r="BH734" i="52"/>
  <c r="BG734" i="52"/>
  <c r="BF734" i="52"/>
  <c r="BE734" i="52"/>
  <c r="BD734" i="52"/>
  <c r="BC734" i="52"/>
  <c r="BB734" i="52"/>
  <c r="BA734" i="52"/>
  <c r="AZ734" i="52"/>
  <c r="AY734" i="52"/>
  <c r="AX734" i="52"/>
  <c r="AW734" i="52"/>
  <c r="AV734" i="52"/>
  <c r="AU734" i="52"/>
  <c r="AT734" i="52"/>
  <c r="AS734" i="52"/>
  <c r="AR734" i="52"/>
  <c r="AQ734" i="52"/>
  <c r="AP734" i="52"/>
  <c r="AO734" i="52"/>
  <c r="AN734" i="52"/>
  <c r="AM734" i="52"/>
  <c r="AL734" i="52"/>
  <c r="AK734" i="52"/>
  <c r="BH733" i="52"/>
  <c r="BG733" i="52"/>
  <c r="BF733" i="52"/>
  <c r="BE733" i="52"/>
  <c r="BD733" i="52"/>
  <c r="BC733" i="52"/>
  <c r="BB733" i="52"/>
  <c r="BA733" i="52"/>
  <c r="AZ733" i="52"/>
  <c r="AY733" i="52"/>
  <c r="AX733" i="52"/>
  <c r="AW733" i="52"/>
  <c r="AV733" i="52"/>
  <c r="AU733" i="52"/>
  <c r="AT733" i="52"/>
  <c r="AS733" i="52"/>
  <c r="AR733" i="52"/>
  <c r="AQ733" i="52"/>
  <c r="AP733" i="52"/>
  <c r="AO733" i="52"/>
  <c r="AN733" i="52"/>
  <c r="AM733" i="52"/>
  <c r="AL733" i="52"/>
  <c r="AK733" i="52"/>
  <c r="BH732" i="52"/>
  <c r="BG732" i="52"/>
  <c r="BF732" i="52"/>
  <c r="BE732" i="52"/>
  <c r="BD732" i="52"/>
  <c r="BC732" i="52"/>
  <c r="BB732" i="52"/>
  <c r="BA732" i="52"/>
  <c r="AZ732" i="52"/>
  <c r="AY732" i="52"/>
  <c r="AX732" i="52"/>
  <c r="AW732" i="52"/>
  <c r="AV732" i="52"/>
  <c r="AU732" i="52"/>
  <c r="AT732" i="52"/>
  <c r="AS732" i="52"/>
  <c r="AR732" i="52"/>
  <c r="AQ732" i="52"/>
  <c r="AP732" i="52"/>
  <c r="AO732" i="52"/>
  <c r="AN732" i="52"/>
  <c r="AM732" i="52"/>
  <c r="AL732" i="52"/>
  <c r="AK732" i="52"/>
  <c r="BH731" i="52"/>
  <c r="BG731" i="52"/>
  <c r="BF731" i="52"/>
  <c r="BE731" i="52"/>
  <c r="BD731" i="52"/>
  <c r="BC731" i="52"/>
  <c r="BB731" i="52"/>
  <c r="BA731" i="52"/>
  <c r="AZ731" i="52"/>
  <c r="AY731" i="52"/>
  <c r="AX731" i="52"/>
  <c r="AW731" i="52"/>
  <c r="AV731" i="52"/>
  <c r="AU731" i="52"/>
  <c r="AT731" i="52"/>
  <c r="AS731" i="52"/>
  <c r="AR731" i="52"/>
  <c r="AQ731" i="52"/>
  <c r="AP731" i="52"/>
  <c r="AO731" i="52"/>
  <c r="AN731" i="52"/>
  <c r="AM731" i="52"/>
  <c r="AL731" i="52"/>
  <c r="AK731" i="52"/>
  <c r="BH730" i="52"/>
  <c r="BG730" i="52"/>
  <c r="BF730" i="52"/>
  <c r="BE730" i="52"/>
  <c r="BD730" i="52"/>
  <c r="BC730" i="52"/>
  <c r="BB730" i="52"/>
  <c r="BA730" i="52"/>
  <c r="AZ730" i="52"/>
  <c r="AY730" i="52"/>
  <c r="AX730" i="52"/>
  <c r="AW730" i="52"/>
  <c r="AV730" i="52"/>
  <c r="AU730" i="52"/>
  <c r="AT730" i="52"/>
  <c r="AS730" i="52"/>
  <c r="AR730" i="52"/>
  <c r="AQ730" i="52"/>
  <c r="AP730" i="52"/>
  <c r="AO730" i="52"/>
  <c r="AN730" i="52"/>
  <c r="AM730" i="52"/>
  <c r="AL730" i="52"/>
  <c r="AK730" i="52"/>
  <c r="BH729" i="52"/>
  <c r="BG729" i="52"/>
  <c r="BF729" i="52"/>
  <c r="BE729" i="52"/>
  <c r="BD729" i="52"/>
  <c r="BC729" i="52"/>
  <c r="BB729" i="52"/>
  <c r="BA729" i="52"/>
  <c r="AZ729" i="52"/>
  <c r="AY729" i="52"/>
  <c r="AX729" i="52"/>
  <c r="AW729" i="52"/>
  <c r="AV729" i="52"/>
  <c r="AU729" i="52"/>
  <c r="AT729" i="52"/>
  <c r="AS729" i="52"/>
  <c r="AR729" i="52"/>
  <c r="AQ729" i="52"/>
  <c r="AP729" i="52"/>
  <c r="AO729" i="52"/>
  <c r="AN729" i="52"/>
  <c r="AM729" i="52"/>
  <c r="AL729" i="52"/>
  <c r="AK729" i="52"/>
  <c r="BH728" i="52"/>
  <c r="BH893" i="52" s="1"/>
  <c r="BG728" i="52"/>
  <c r="BF728" i="52"/>
  <c r="BF893" i="52" s="1"/>
  <c r="BE728" i="52"/>
  <c r="BE893" i="52" s="1"/>
  <c r="BD728" i="52"/>
  <c r="BC728" i="52"/>
  <c r="BC893" i="52" s="1"/>
  <c r="BB728" i="52"/>
  <c r="BB893" i="52" s="1"/>
  <c r="BA728" i="52"/>
  <c r="AZ728" i="52"/>
  <c r="AY728" i="52"/>
  <c r="AY893" i="52" s="1"/>
  <c r="AX728" i="52"/>
  <c r="AW728" i="52"/>
  <c r="AW893" i="52" s="1"/>
  <c r="AV728" i="52"/>
  <c r="AV893" i="52" s="1"/>
  <c r="AU728" i="52"/>
  <c r="AT728" i="52"/>
  <c r="AT893" i="52" s="1"/>
  <c r="AS728" i="52"/>
  <c r="AS893" i="52" s="1"/>
  <c r="AR728" i="52"/>
  <c r="AQ728" i="52"/>
  <c r="AQ893" i="52" s="1"/>
  <c r="AP728" i="52"/>
  <c r="AP893" i="52" s="1"/>
  <c r="AO728" i="52"/>
  <c r="AN728" i="52"/>
  <c r="AN893" i="52" s="1"/>
  <c r="AM728" i="52"/>
  <c r="AM893" i="52" s="1"/>
  <c r="AL894" i="52" s="1"/>
  <c r="AL728" i="52"/>
  <c r="AK728" i="52"/>
  <c r="AK893" i="52" s="1"/>
  <c r="AN894" i="52" s="1"/>
  <c r="AY721" i="52"/>
  <c r="AX721" i="52"/>
  <c r="AW721" i="52"/>
  <c r="AV721" i="52"/>
  <c r="AU721" i="52"/>
  <c r="AT721" i="52"/>
  <c r="AS721" i="52"/>
  <c r="AR721" i="52"/>
  <c r="AQ721" i="52"/>
  <c r="AP721" i="52"/>
  <c r="AO721" i="52"/>
  <c r="AN721" i="52"/>
  <c r="AM721" i="52"/>
  <c r="AL721" i="52"/>
  <c r="AK721" i="52"/>
  <c r="AY720" i="52"/>
  <c r="AX720" i="52"/>
  <c r="AW720" i="52"/>
  <c r="AV720" i="52"/>
  <c r="AU720" i="52"/>
  <c r="AT720" i="52"/>
  <c r="AS720" i="52"/>
  <c r="AR720" i="52"/>
  <c r="AQ720" i="52"/>
  <c r="AP720" i="52"/>
  <c r="AO720" i="52"/>
  <c r="AN720" i="52"/>
  <c r="AM720" i="52"/>
  <c r="AL720" i="52"/>
  <c r="AK720" i="52"/>
  <c r="AJ722" i="52"/>
  <c r="AY719" i="52"/>
  <c r="AX719" i="52"/>
  <c r="AW719" i="52"/>
  <c r="AV719" i="52"/>
  <c r="AU719" i="52"/>
  <c r="AT719" i="52"/>
  <c r="AS719" i="52"/>
  <c r="AR719" i="52"/>
  <c r="AQ719" i="52"/>
  <c r="AP719" i="52"/>
  <c r="AO719" i="52"/>
  <c r="AN719" i="52"/>
  <c r="AM719" i="52"/>
  <c r="AL719" i="52"/>
  <c r="AK719" i="52"/>
  <c r="AY718" i="52"/>
  <c r="AX718" i="52"/>
  <c r="AW718" i="52"/>
  <c r="AV718" i="52"/>
  <c r="AU718" i="52"/>
  <c r="AT718" i="52"/>
  <c r="AS718" i="52"/>
  <c r="AR718" i="52"/>
  <c r="AQ718" i="52"/>
  <c r="AP718" i="52"/>
  <c r="AO718" i="52"/>
  <c r="AN718" i="52"/>
  <c r="AM718" i="52"/>
  <c r="AL718" i="52"/>
  <c r="AK718" i="52"/>
  <c r="AY717" i="52"/>
  <c r="AX717" i="52"/>
  <c r="AW717" i="52"/>
  <c r="AV717" i="52"/>
  <c r="AU717" i="52"/>
  <c r="AT717" i="52"/>
  <c r="AS717" i="52"/>
  <c r="AR717" i="52"/>
  <c r="AQ717" i="52"/>
  <c r="AP717" i="52"/>
  <c r="AO717" i="52"/>
  <c r="AN717" i="52"/>
  <c r="AM717" i="52"/>
  <c r="AL717" i="52"/>
  <c r="AK717" i="52"/>
  <c r="AY716" i="52"/>
  <c r="AX716" i="52"/>
  <c r="AW716" i="52"/>
  <c r="AV716" i="52"/>
  <c r="AU716" i="52"/>
  <c r="AT716" i="52"/>
  <c r="AS716" i="52"/>
  <c r="AR716" i="52"/>
  <c r="AQ716" i="52"/>
  <c r="AP716" i="52"/>
  <c r="AO716" i="52"/>
  <c r="AN716" i="52"/>
  <c r="AM716" i="52"/>
  <c r="AL716" i="52"/>
  <c r="AK716" i="52"/>
  <c r="AY715" i="52"/>
  <c r="AX715" i="52"/>
  <c r="AW715" i="52"/>
  <c r="AV715" i="52"/>
  <c r="AU715" i="52"/>
  <c r="AT715" i="52"/>
  <c r="AS715" i="52"/>
  <c r="AR715" i="52"/>
  <c r="AQ715" i="52"/>
  <c r="AP715" i="52"/>
  <c r="AO715" i="52"/>
  <c r="AN715" i="52"/>
  <c r="AM715" i="52"/>
  <c r="AL715" i="52"/>
  <c r="AK715" i="52"/>
  <c r="AY714" i="52"/>
  <c r="AX714" i="52"/>
  <c r="AW714" i="52"/>
  <c r="AV714" i="52"/>
  <c r="AU714" i="52"/>
  <c r="AT714" i="52"/>
  <c r="AS714" i="52"/>
  <c r="AR714" i="52"/>
  <c r="AQ714" i="52"/>
  <c r="AP714" i="52"/>
  <c r="AO714" i="52"/>
  <c r="AN714" i="52"/>
  <c r="AM714" i="52"/>
  <c r="AL714" i="52"/>
  <c r="AK714" i="52"/>
  <c r="AY713" i="52"/>
  <c r="AX713" i="52"/>
  <c r="AW713" i="52"/>
  <c r="AV713" i="52"/>
  <c r="AU713" i="52"/>
  <c r="AT713" i="52"/>
  <c r="AS713" i="52"/>
  <c r="AR713" i="52"/>
  <c r="AQ713" i="52"/>
  <c r="AP713" i="52"/>
  <c r="AO713" i="52"/>
  <c r="AN713" i="52"/>
  <c r="AM713" i="52"/>
  <c r="AL713" i="52"/>
  <c r="AK713" i="52"/>
  <c r="AF713" i="52"/>
  <c r="AY712" i="52"/>
  <c r="AX712" i="52"/>
  <c r="AW712" i="52"/>
  <c r="AV712" i="52"/>
  <c r="AU712" i="52"/>
  <c r="AT712" i="52"/>
  <c r="AS712" i="52"/>
  <c r="AR712" i="52"/>
  <c r="AQ712" i="52"/>
  <c r="AP712" i="52"/>
  <c r="AO712" i="52"/>
  <c r="AN712" i="52"/>
  <c r="AM712" i="52"/>
  <c r="AL712" i="52"/>
  <c r="AK712" i="52"/>
  <c r="AY711" i="52"/>
  <c r="AX711" i="52"/>
  <c r="AW711" i="52"/>
  <c r="AV711" i="52"/>
  <c r="AU711" i="52"/>
  <c r="AT711" i="52"/>
  <c r="AS711" i="52"/>
  <c r="AR711" i="52"/>
  <c r="AQ711" i="52"/>
  <c r="AP711" i="52"/>
  <c r="AO711" i="52"/>
  <c r="AN711" i="52"/>
  <c r="AM711" i="52"/>
  <c r="AL711" i="52"/>
  <c r="AK711" i="52"/>
  <c r="AY710" i="52"/>
  <c r="AX710" i="52"/>
  <c r="AW710" i="52"/>
  <c r="AV710" i="52"/>
  <c r="AU710" i="52"/>
  <c r="AT710" i="52"/>
  <c r="AS710" i="52"/>
  <c r="AR710" i="52"/>
  <c r="AQ710" i="52"/>
  <c r="AP710" i="52"/>
  <c r="AO710" i="52"/>
  <c r="AN710" i="52"/>
  <c r="AM710" i="52"/>
  <c r="AL710" i="52"/>
  <c r="AK710" i="52"/>
  <c r="AY709" i="52"/>
  <c r="AX709" i="52"/>
  <c r="AW709" i="52"/>
  <c r="AV709" i="52"/>
  <c r="AU709" i="52"/>
  <c r="AT709" i="52"/>
  <c r="AS709" i="52"/>
  <c r="AR709" i="52"/>
  <c r="AQ709" i="52"/>
  <c r="AP709" i="52"/>
  <c r="AO709" i="52"/>
  <c r="AN709" i="52"/>
  <c r="AM709" i="52"/>
  <c r="AL709" i="52"/>
  <c r="AK709" i="52"/>
  <c r="AY708" i="52"/>
  <c r="AX708" i="52"/>
  <c r="AW708" i="52"/>
  <c r="AV708" i="52"/>
  <c r="AU708" i="52"/>
  <c r="AT708" i="52"/>
  <c r="AS708" i="52"/>
  <c r="AR708" i="52"/>
  <c r="AQ708" i="52"/>
  <c r="AP708" i="52"/>
  <c r="AO708" i="52"/>
  <c r="AN708" i="52"/>
  <c r="AM708" i="52"/>
  <c r="AL708" i="52"/>
  <c r="AK708" i="52"/>
  <c r="AY707" i="52"/>
  <c r="AX707" i="52"/>
  <c r="AW707" i="52"/>
  <c r="AV707" i="52"/>
  <c r="AU707" i="52"/>
  <c r="AT707" i="52"/>
  <c r="AS707" i="52"/>
  <c r="AR707" i="52"/>
  <c r="AQ707" i="52"/>
  <c r="AP707" i="52"/>
  <c r="AO707" i="52"/>
  <c r="AN707" i="52"/>
  <c r="AM707" i="52"/>
  <c r="AL707" i="52"/>
  <c r="AK707" i="52"/>
  <c r="AY706" i="52"/>
  <c r="AX706" i="52"/>
  <c r="AW706" i="52"/>
  <c r="AV706" i="52"/>
  <c r="AU706" i="52"/>
  <c r="AT706" i="52"/>
  <c r="AS706" i="52"/>
  <c r="AR706" i="52"/>
  <c r="AQ706" i="52"/>
  <c r="AP706" i="52"/>
  <c r="AO706" i="52"/>
  <c r="AN706" i="52"/>
  <c r="AM706" i="52"/>
  <c r="AL706" i="52"/>
  <c r="AK706" i="52"/>
  <c r="AY705" i="52"/>
  <c r="AX705" i="52"/>
  <c r="AW705" i="52"/>
  <c r="AV705" i="52"/>
  <c r="AU705" i="52"/>
  <c r="AT705" i="52"/>
  <c r="AS705" i="52"/>
  <c r="AR705" i="52"/>
  <c r="AQ705" i="52"/>
  <c r="AP705" i="52"/>
  <c r="AO705" i="52"/>
  <c r="AN705" i="52"/>
  <c r="AM705" i="52"/>
  <c r="AL705" i="52"/>
  <c r="AK705" i="52"/>
  <c r="AY704" i="52"/>
  <c r="AX704" i="52"/>
  <c r="AW704" i="52"/>
  <c r="AV704" i="52"/>
  <c r="AU704" i="52"/>
  <c r="AT704" i="52"/>
  <c r="AS704" i="52"/>
  <c r="AR704" i="52"/>
  <c r="AQ704" i="52"/>
  <c r="AP704" i="52"/>
  <c r="AO704" i="52"/>
  <c r="AN704" i="52"/>
  <c r="AM704" i="52"/>
  <c r="AL704" i="52"/>
  <c r="AK704" i="52"/>
  <c r="AY703" i="52"/>
  <c r="AX703" i="52"/>
  <c r="AW703" i="52"/>
  <c r="AV703" i="52"/>
  <c r="AU703" i="52"/>
  <c r="AT703" i="52"/>
  <c r="AS703" i="52"/>
  <c r="AR703" i="52"/>
  <c r="AQ703" i="52"/>
  <c r="AP703" i="52"/>
  <c r="AO703" i="52"/>
  <c r="AN703" i="52"/>
  <c r="AM703" i="52"/>
  <c r="AL703" i="52"/>
  <c r="AK703" i="52"/>
  <c r="AY702" i="52"/>
  <c r="AX702" i="52"/>
  <c r="AW702" i="52"/>
  <c r="AV702" i="52"/>
  <c r="AU702" i="52"/>
  <c r="AT702" i="52"/>
  <c r="AS702" i="52"/>
  <c r="AR702" i="52"/>
  <c r="AQ702" i="52"/>
  <c r="AP702" i="52"/>
  <c r="AO702" i="52"/>
  <c r="AN702" i="52"/>
  <c r="AM702" i="52"/>
  <c r="AL702" i="52"/>
  <c r="AK702" i="52"/>
  <c r="AY701" i="52"/>
  <c r="AX701" i="52"/>
  <c r="AW701" i="52"/>
  <c r="AV701" i="52"/>
  <c r="AU701" i="52"/>
  <c r="AT701" i="52"/>
  <c r="AS701" i="52"/>
  <c r="AR701" i="52"/>
  <c r="AQ701" i="52"/>
  <c r="AP701" i="52"/>
  <c r="AO701" i="52"/>
  <c r="AN701" i="52"/>
  <c r="AM701" i="52"/>
  <c r="AL701" i="52"/>
  <c r="AK701" i="52"/>
  <c r="AF701" i="52"/>
  <c r="AF722" i="52" s="1"/>
  <c r="AY700" i="52"/>
  <c r="AX700" i="52"/>
  <c r="AW700" i="52"/>
  <c r="AV700" i="52"/>
  <c r="AU700" i="52"/>
  <c r="AT700" i="52"/>
  <c r="AS700" i="52"/>
  <c r="AR700" i="52"/>
  <c r="AQ700" i="52"/>
  <c r="AP700" i="52"/>
  <c r="AO700" i="52"/>
  <c r="AN700" i="52"/>
  <c r="AM700" i="52"/>
  <c r="AL700" i="52"/>
  <c r="AK700" i="52"/>
  <c r="AY699" i="52"/>
  <c r="AX699" i="52"/>
  <c r="AW699" i="52"/>
  <c r="AV699" i="52"/>
  <c r="AU699" i="52"/>
  <c r="AT699" i="52"/>
  <c r="AS699" i="52"/>
  <c r="AR699" i="52"/>
  <c r="AQ699" i="52"/>
  <c r="AP699" i="52"/>
  <c r="AO699" i="52"/>
  <c r="AN699" i="52"/>
  <c r="AM699" i="52"/>
  <c r="AL699" i="52"/>
  <c r="AK699" i="52"/>
  <c r="AY698" i="52"/>
  <c r="AX698" i="52"/>
  <c r="AW698" i="52"/>
  <c r="AV698" i="52"/>
  <c r="AU698" i="52"/>
  <c r="AT698" i="52"/>
  <c r="AS698" i="52"/>
  <c r="AR698" i="52"/>
  <c r="AQ698" i="52"/>
  <c r="AP698" i="52"/>
  <c r="AO698" i="52"/>
  <c r="AN698" i="52"/>
  <c r="AM698" i="52"/>
  <c r="AL698" i="52"/>
  <c r="AK698" i="52"/>
  <c r="AY697" i="52"/>
  <c r="AX697" i="52"/>
  <c r="AW697" i="52"/>
  <c r="AV697" i="52"/>
  <c r="AU697" i="52"/>
  <c r="AT697" i="52"/>
  <c r="AS697" i="52"/>
  <c r="AR697" i="52"/>
  <c r="AQ697" i="52"/>
  <c r="AP697" i="52"/>
  <c r="AO697" i="52"/>
  <c r="AN697" i="52"/>
  <c r="AM697" i="52"/>
  <c r="AL697" i="52"/>
  <c r="AK697" i="52"/>
  <c r="AY696" i="52"/>
  <c r="AX696" i="52"/>
  <c r="AW696" i="52"/>
  <c r="AV696" i="52"/>
  <c r="AU696" i="52"/>
  <c r="AT696" i="52"/>
  <c r="AS696" i="52"/>
  <c r="AR696" i="52"/>
  <c r="AQ696" i="52"/>
  <c r="AP696" i="52"/>
  <c r="AO696" i="52"/>
  <c r="AN696" i="52"/>
  <c r="AM696" i="52"/>
  <c r="AL696" i="52"/>
  <c r="AK696" i="52"/>
  <c r="AY695" i="52"/>
  <c r="AX695" i="52"/>
  <c r="AW695" i="52"/>
  <c r="AV695" i="52"/>
  <c r="AU695" i="52"/>
  <c r="AT695" i="52"/>
  <c r="AS695" i="52"/>
  <c r="AR695" i="52"/>
  <c r="AQ695" i="52"/>
  <c r="AP695" i="52"/>
  <c r="AO695" i="52"/>
  <c r="AN695" i="52"/>
  <c r="AM695" i="52"/>
  <c r="AL695" i="52"/>
  <c r="AK695" i="52"/>
  <c r="AY694" i="52"/>
  <c r="AX694" i="52"/>
  <c r="AW694" i="52"/>
  <c r="AV694" i="52"/>
  <c r="AU694" i="52"/>
  <c r="AT694" i="52"/>
  <c r="AS694" i="52"/>
  <c r="AR694" i="52"/>
  <c r="AQ694" i="52"/>
  <c r="AP694" i="52"/>
  <c r="AO694" i="52"/>
  <c r="AN694" i="52"/>
  <c r="AM694" i="52"/>
  <c r="AL694" i="52"/>
  <c r="AK694" i="52"/>
  <c r="AY693" i="52"/>
  <c r="AX693" i="52"/>
  <c r="AW693" i="52"/>
  <c r="AV693" i="52"/>
  <c r="AU693" i="52"/>
  <c r="AT693" i="52"/>
  <c r="AS693" i="52"/>
  <c r="AR693" i="52"/>
  <c r="AQ693" i="52"/>
  <c r="AP693" i="52"/>
  <c r="AO693" i="52"/>
  <c r="AN693" i="52"/>
  <c r="AM693" i="52"/>
  <c r="AL693" i="52"/>
  <c r="AK693" i="52"/>
  <c r="AY692" i="52"/>
  <c r="AX692" i="52"/>
  <c r="AW692" i="52"/>
  <c r="AV692" i="52"/>
  <c r="AU692" i="52"/>
  <c r="AT692" i="52"/>
  <c r="AS692" i="52"/>
  <c r="AR692" i="52"/>
  <c r="AQ692" i="52"/>
  <c r="AP692" i="52"/>
  <c r="AO692" i="52"/>
  <c r="AN692" i="52"/>
  <c r="AM692" i="52"/>
  <c r="AL692" i="52"/>
  <c r="AK692" i="52"/>
  <c r="AF692" i="52"/>
  <c r="AY691" i="52"/>
  <c r="AX691" i="52"/>
  <c r="AW691" i="52"/>
  <c r="AV691" i="52"/>
  <c r="AU691" i="52"/>
  <c r="AT691" i="52"/>
  <c r="AS691" i="52"/>
  <c r="AR691" i="52"/>
  <c r="AQ691" i="52"/>
  <c r="AP691" i="52"/>
  <c r="AO691" i="52"/>
  <c r="AN691" i="52"/>
  <c r="AM691" i="52"/>
  <c r="AL691" i="52"/>
  <c r="AK691" i="52"/>
  <c r="AY690" i="52"/>
  <c r="AX690" i="52"/>
  <c r="AW690" i="52"/>
  <c r="AV690" i="52"/>
  <c r="AU690" i="52"/>
  <c r="AT690" i="52"/>
  <c r="AS690" i="52"/>
  <c r="AR690" i="52"/>
  <c r="AQ690" i="52"/>
  <c r="AP690" i="52"/>
  <c r="AO690" i="52"/>
  <c r="AN690" i="52"/>
  <c r="AM690" i="52"/>
  <c r="AL690" i="52"/>
  <c r="AK690" i="52"/>
  <c r="AY689" i="52"/>
  <c r="AX689" i="52"/>
  <c r="AW689" i="52"/>
  <c r="AV689" i="52"/>
  <c r="AU689" i="52"/>
  <c r="AT689" i="52"/>
  <c r="AS689" i="52"/>
  <c r="AR689" i="52"/>
  <c r="AQ689" i="52"/>
  <c r="AP689" i="52"/>
  <c r="AO689" i="52"/>
  <c r="AN689" i="52"/>
  <c r="AM689" i="52"/>
  <c r="AL689" i="52"/>
  <c r="AK689" i="52"/>
  <c r="AY688" i="52"/>
  <c r="AX688" i="52"/>
  <c r="AW688" i="52"/>
  <c r="AV688" i="52"/>
  <c r="AU688" i="52"/>
  <c r="AT688" i="52"/>
  <c r="AS688" i="52"/>
  <c r="AR688" i="52"/>
  <c r="AQ688" i="52"/>
  <c r="AP688" i="52"/>
  <c r="AO688" i="52"/>
  <c r="AN688" i="52"/>
  <c r="AM688" i="52"/>
  <c r="AL688" i="52"/>
  <c r="AK688" i="52"/>
  <c r="AY687" i="52"/>
  <c r="AX687" i="52"/>
  <c r="AW687" i="52"/>
  <c r="AV687" i="52"/>
  <c r="AU687" i="52"/>
  <c r="AT687" i="52"/>
  <c r="AS687" i="52"/>
  <c r="AR687" i="52"/>
  <c r="AQ687" i="52"/>
  <c r="AP687" i="52"/>
  <c r="AO687" i="52"/>
  <c r="AN687" i="52"/>
  <c r="AM687" i="52"/>
  <c r="AL687" i="52"/>
  <c r="AK687" i="52"/>
  <c r="AY686" i="52"/>
  <c r="AX686" i="52"/>
  <c r="AW686" i="52"/>
  <c r="AV686" i="52"/>
  <c r="AU686" i="52"/>
  <c r="AT686" i="52"/>
  <c r="AS686" i="52"/>
  <c r="AR686" i="52"/>
  <c r="AQ686" i="52"/>
  <c r="AP686" i="52"/>
  <c r="AO686" i="52"/>
  <c r="AN686" i="52"/>
  <c r="AM686" i="52"/>
  <c r="AL686" i="52"/>
  <c r="AK686" i="52"/>
  <c r="AY685" i="52"/>
  <c r="AX685" i="52"/>
  <c r="AW685" i="52"/>
  <c r="AV685" i="52"/>
  <c r="AU685" i="52"/>
  <c r="AT685" i="52"/>
  <c r="AS685" i="52"/>
  <c r="AR685" i="52"/>
  <c r="AQ685" i="52"/>
  <c r="AP685" i="52"/>
  <c r="AO685" i="52"/>
  <c r="AN685" i="52"/>
  <c r="AM685" i="52"/>
  <c r="AL685" i="52"/>
  <c r="AK685" i="52"/>
  <c r="AY684" i="52"/>
  <c r="AX684" i="52"/>
  <c r="AW684" i="52"/>
  <c r="AV684" i="52"/>
  <c r="AU684" i="52"/>
  <c r="AT684" i="52"/>
  <c r="AS684" i="52"/>
  <c r="AR684" i="52"/>
  <c r="AQ684" i="52"/>
  <c r="AP684" i="52"/>
  <c r="AO684" i="52"/>
  <c r="AN684" i="52"/>
  <c r="AM684" i="52"/>
  <c r="AL684" i="52"/>
  <c r="AK684" i="52"/>
  <c r="AY683" i="52"/>
  <c r="AX683" i="52"/>
  <c r="AW683" i="52"/>
  <c r="AV683" i="52"/>
  <c r="AU683" i="52"/>
  <c r="AT683" i="52"/>
  <c r="AS683" i="52"/>
  <c r="AR683" i="52"/>
  <c r="AQ683" i="52"/>
  <c r="AP683" i="52"/>
  <c r="AO683" i="52"/>
  <c r="AN683" i="52"/>
  <c r="AM683" i="52"/>
  <c r="AL683" i="52"/>
  <c r="AK683" i="52"/>
  <c r="AY682" i="52"/>
  <c r="AX682" i="52"/>
  <c r="AW682" i="52"/>
  <c r="AV682" i="52"/>
  <c r="AU682" i="52"/>
  <c r="AT682" i="52"/>
  <c r="AS682" i="52"/>
  <c r="AR682" i="52"/>
  <c r="AQ682" i="52"/>
  <c r="AP682" i="52"/>
  <c r="AO682" i="52"/>
  <c r="AN682" i="52"/>
  <c r="AM682" i="52"/>
  <c r="AL682" i="52"/>
  <c r="AK682" i="52"/>
  <c r="AY681" i="52"/>
  <c r="AX681" i="52"/>
  <c r="AW681" i="52"/>
  <c r="AV681" i="52"/>
  <c r="AU681" i="52"/>
  <c r="AT681" i="52"/>
  <c r="AS681" i="52"/>
  <c r="AR681" i="52"/>
  <c r="AQ681" i="52"/>
  <c r="AP681" i="52"/>
  <c r="AO681" i="52"/>
  <c r="AN681" i="52"/>
  <c r="AM681" i="52"/>
  <c r="AL681" i="52"/>
  <c r="AK681" i="52"/>
  <c r="AF681" i="52"/>
  <c r="AY680" i="52"/>
  <c r="AX680" i="52"/>
  <c r="AW680" i="52"/>
  <c r="AV680" i="52"/>
  <c r="AU680" i="52"/>
  <c r="AT680" i="52"/>
  <c r="AS680" i="52"/>
  <c r="AR680" i="52"/>
  <c r="AQ680" i="52"/>
  <c r="AP680" i="52"/>
  <c r="AO680" i="52"/>
  <c r="AN680" i="52"/>
  <c r="AM680" i="52"/>
  <c r="AL680" i="52"/>
  <c r="AK680" i="52"/>
  <c r="AY679" i="52"/>
  <c r="AX679" i="52"/>
  <c r="AW679" i="52"/>
  <c r="AV679" i="52"/>
  <c r="AU679" i="52"/>
  <c r="AT679" i="52"/>
  <c r="AS679" i="52"/>
  <c r="AR679" i="52"/>
  <c r="AQ679" i="52"/>
  <c r="AP679" i="52"/>
  <c r="AO679" i="52"/>
  <c r="AN679" i="52"/>
  <c r="AM679" i="52"/>
  <c r="AL679" i="52"/>
  <c r="AK679" i="52"/>
  <c r="AY678" i="52"/>
  <c r="AX678" i="52"/>
  <c r="AW678" i="52"/>
  <c r="AV678" i="52"/>
  <c r="AU678" i="52"/>
  <c r="AT678" i="52"/>
  <c r="AS678" i="52"/>
  <c r="AR678" i="52"/>
  <c r="AQ678" i="52"/>
  <c r="AP678" i="52"/>
  <c r="AO678" i="52"/>
  <c r="AN678" i="52"/>
  <c r="AM678" i="52"/>
  <c r="AL678" i="52"/>
  <c r="AK678" i="52"/>
  <c r="AY677" i="52"/>
  <c r="AX677" i="52"/>
  <c r="AW677" i="52"/>
  <c r="AV677" i="52"/>
  <c r="AU677" i="52"/>
  <c r="AT677" i="52"/>
  <c r="AS677" i="52"/>
  <c r="AR677" i="52"/>
  <c r="AQ677" i="52"/>
  <c r="AP677" i="52"/>
  <c r="AO677" i="52"/>
  <c r="AN677" i="52"/>
  <c r="AM677" i="52"/>
  <c r="AL677" i="52"/>
  <c r="AK677" i="52"/>
  <c r="AY676" i="52"/>
  <c r="AX676" i="52"/>
  <c r="AW676" i="52"/>
  <c r="AV676" i="52"/>
  <c r="AU676" i="52"/>
  <c r="AT676" i="52"/>
  <c r="AS676" i="52"/>
  <c r="AR676" i="52"/>
  <c r="AQ676" i="52"/>
  <c r="AP676" i="52"/>
  <c r="AO676" i="52"/>
  <c r="AN676" i="52"/>
  <c r="AM676" i="52"/>
  <c r="AL676" i="52"/>
  <c r="AK676" i="52"/>
  <c r="AY675" i="52"/>
  <c r="AX675" i="52"/>
  <c r="AW675" i="52"/>
  <c r="AV675" i="52"/>
  <c r="AU675" i="52"/>
  <c r="AT675" i="52"/>
  <c r="AS675" i="52"/>
  <c r="AR675" i="52"/>
  <c r="AQ675" i="52"/>
  <c r="AP675" i="52"/>
  <c r="AO675" i="52"/>
  <c r="AN675" i="52"/>
  <c r="AM675" i="52"/>
  <c r="AL675" i="52"/>
  <c r="AK675" i="52"/>
  <c r="AY674" i="52"/>
  <c r="AX674" i="52"/>
  <c r="AW674" i="52"/>
  <c r="AV674" i="52"/>
  <c r="AU674" i="52"/>
  <c r="AT674" i="52"/>
  <c r="AS674" i="52"/>
  <c r="AR674" i="52"/>
  <c r="AQ674" i="52"/>
  <c r="AP674" i="52"/>
  <c r="AO674" i="52"/>
  <c r="AN674" i="52"/>
  <c r="AM674" i="52"/>
  <c r="AL674" i="52"/>
  <c r="AK674" i="52"/>
  <c r="AY673" i="52"/>
  <c r="AX673" i="52"/>
  <c r="AW673" i="52"/>
  <c r="AV673" i="52"/>
  <c r="AU673" i="52"/>
  <c r="AT673" i="52"/>
  <c r="AS673" i="52"/>
  <c r="AR673" i="52"/>
  <c r="AQ673" i="52"/>
  <c r="AP673" i="52"/>
  <c r="AO673" i="52"/>
  <c r="AN673" i="52"/>
  <c r="AM673" i="52"/>
  <c r="AL673" i="52"/>
  <c r="AK673" i="52"/>
  <c r="AY672" i="52"/>
  <c r="AX672" i="52"/>
  <c r="AW672" i="52"/>
  <c r="AV672" i="52"/>
  <c r="AU672" i="52"/>
  <c r="AT672" i="52"/>
  <c r="AS672" i="52"/>
  <c r="AR672" i="52"/>
  <c r="AQ672" i="52"/>
  <c r="AP672" i="52"/>
  <c r="AO672" i="52"/>
  <c r="AN672" i="52"/>
  <c r="AM672" i="52"/>
  <c r="AL672" i="52"/>
  <c r="AK672" i="52"/>
  <c r="AY671" i="52"/>
  <c r="AX671" i="52"/>
  <c r="AW671" i="52"/>
  <c r="AV671" i="52"/>
  <c r="AU671" i="52"/>
  <c r="AT671" i="52"/>
  <c r="AS671" i="52"/>
  <c r="AR671" i="52"/>
  <c r="AQ671" i="52"/>
  <c r="AP671" i="52"/>
  <c r="AO671" i="52"/>
  <c r="AN671" i="52"/>
  <c r="AM671" i="52"/>
  <c r="AL671" i="52"/>
  <c r="AK671" i="52"/>
  <c r="AF671" i="52"/>
  <c r="AY670" i="52"/>
  <c r="AX670" i="52"/>
  <c r="AW670" i="52"/>
  <c r="AV670" i="52"/>
  <c r="AU670" i="52"/>
  <c r="AT670" i="52"/>
  <c r="AS670" i="52"/>
  <c r="AR670" i="52"/>
  <c r="AQ670" i="52"/>
  <c r="AP670" i="52"/>
  <c r="AO670" i="52"/>
  <c r="AN670" i="52"/>
  <c r="AM670" i="52"/>
  <c r="AL670" i="52"/>
  <c r="AK670" i="52"/>
  <c r="AY669" i="52"/>
  <c r="AX669" i="52"/>
  <c r="AW669" i="52"/>
  <c r="AV669" i="52"/>
  <c r="AU669" i="52"/>
  <c r="AT669" i="52"/>
  <c r="AS669" i="52"/>
  <c r="AR669" i="52"/>
  <c r="AQ669" i="52"/>
  <c r="AP669" i="52"/>
  <c r="AO669" i="52"/>
  <c r="AN669" i="52"/>
  <c r="AM669" i="52"/>
  <c r="AL669" i="52"/>
  <c r="AK669" i="52"/>
  <c r="AY668" i="52"/>
  <c r="AX668" i="52"/>
  <c r="AW668" i="52"/>
  <c r="AV668" i="52"/>
  <c r="AU668" i="52"/>
  <c r="AT668" i="52"/>
  <c r="AS668" i="52"/>
  <c r="AR668" i="52"/>
  <c r="AQ668" i="52"/>
  <c r="AP668" i="52"/>
  <c r="AO668" i="52"/>
  <c r="AN668" i="52"/>
  <c r="AM668" i="52"/>
  <c r="AL668" i="52"/>
  <c r="AK668" i="52"/>
  <c r="AY667" i="52"/>
  <c r="AX667" i="52"/>
  <c r="AW667" i="52"/>
  <c r="AV667" i="52"/>
  <c r="AU667" i="52"/>
  <c r="AT667" i="52"/>
  <c r="AS667" i="52"/>
  <c r="AR667" i="52"/>
  <c r="AQ667" i="52"/>
  <c r="AP667" i="52"/>
  <c r="AO667" i="52"/>
  <c r="AN667" i="52"/>
  <c r="AM667" i="52"/>
  <c r="AL667" i="52"/>
  <c r="AK667" i="52"/>
  <c r="AY666" i="52"/>
  <c r="AX666" i="52"/>
  <c r="AW666" i="52"/>
  <c r="AV666" i="52"/>
  <c r="AU666" i="52"/>
  <c r="AT666" i="52"/>
  <c r="AS666" i="52"/>
  <c r="AR666" i="52"/>
  <c r="AQ666" i="52"/>
  <c r="AP666" i="52"/>
  <c r="AO666" i="52"/>
  <c r="AN666" i="52"/>
  <c r="AM666" i="52"/>
  <c r="AL666" i="52"/>
  <c r="AK666" i="52"/>
  <c r="AY665" i="52"/>
  <c r="AX665" i="52"/>
  <c r="AW665" i="52"/>
  <c r="AV665" i="52"/>
  <c r="AU665" i="52"/>
  <c r="AT665" i="52"/>
  <c r="AS665" i="52"/>
  <c r="AR665" i="52"/>
  <c r="AQ665" i="52"/>
  <c r="AP665" i="52"/>
  <c r="AO665" i="52"/>
  <c r="AN665" i="52"/>
  <c r="AM665" i="52"/>
  <c r="AL665" i="52"/>
  <c r="AK665" i="52"/>
  <c r="AY664" i="52"/>
  <c r="AX664" i="52"/>
  <c r="AW664" i="52"/>
  <c r="AV664" i="52"/>
  <c r="AU664" i="52"/>
  <c r="AT664" i="52"/>
  <c r="AS664" i="52"/>
  <c r="AR664" i="52"/>
  <c r="AQ664" i="52"/>
  <c r="AP664" i="52"/>
  <c r="AO664" i="52"/>
  <c r="AN664" i="52"/>
  <c r="AM664" i="52"/>
  <c r="AL664" i="52"/>
  <c r="AK664" i="52"/>
  <c r="AY663" i="52"/>
  <c r="AX663" i="52"/>
  <c r="AW663" i="52"/>
  <c r="AV663" i="52"/>
  <c r="AU663" i="52"/>
  <c r="AT663" i="52"/>
  <c r="AS663" i="52"/>
  <c r="AR663" i="52"/>
  <c r="AQ663" i="52"/>
  <c r="AP663" i="52"/>
  <c r="AO663" i="52"/>
  <c r="AN663" i="52"/>
  <c r="AM663" i="52"/>
  <c r="AL663" i="52"/>
  <c r="AK663" i="52"/>
  <c r="AY662" i="52"/>
  <c r="AX662" i="52"/>
  <c r="AW662" i="52"/>
  <c r="AV662" i="52"/>
  <c r="AU662" i="52"/>
  <c r="AT662" i="52"/>
  <c r="AS662" i="52"/>
  <c r="AR662" i="52"/>
  <c r="AQ662" i="52"/>
  <c r="AP662" i="52"/>
  <c r="AO662" i="52"/>
  <c r="AN662" i="52"/>
  <c r="AM662" i="52"/>
  <c r="AL662" i="52"/>
  <c r="AK662" i="52"/>
  <c r="AY661" i="52"/>
  <c r="AX661" i="52"/>
  <c r="AW661" i="52"/>
  <c r="AV661" i="52"/>
  <c r="AU661" i="52"/>
  <c r="AT661" i="52"/>
  <c r="AS661" i="52"/>
  <c r="AR661" i="52"/>
  <c r="AQ661" i="52"/>
  <c r="AP661" i="52"/>
  <c r="AO661" i="52"/>
  <c r="AN661" i="52"/>
  <c r="AM661" i="52"/>
  <c r="AL661" i="52"/>
  <c r="AK661" i="52"/>
  <c r="AF661" i="52"/>
  <c r="AY660" i="52"/>
  <c r="AX660" i="52"/>
  <c r="AW660" i="52"/>
  <c r="AV660" i="52"/>
  <c r="AU660" i="52"/>
  <c r="AT660" i="52"/>
  <c r="AS660" i="52"/>
  <c r="AR660" i="52"/>
  <c r="AQ660" i="52"/>
  <c r="AP660" i="52"/>
  <c r="AO660" i="52"/>
  <c r="AN660" i="52"/>
  <c r="AM660" i="52"/>
  <c r="AL660" i="52"/>
  <c r="AK660" i="52"/>
  <c r="AY659" i="52"/>
  <c r="AX659" i="52"/>
  <c r="AW659" i="52"/>
  <c r="AV659" i="52"/>
  <c r="AU659" i="52"/>
  <c r="AT659" i="52"/>
  <c r="AS659" i="52"/>
  <c r="AR659" i="52"/>
  <c r="AQ659" i="52"/>
  <c r="AP659" i="52"/>
  <c r="AO659" i="52"/>
  <c r="AN659" i="52"/>
  <c r="AM659" i="52"/>
  <c r="AL659" i="52"/>
  <c r="AK659" i="52"/>
  <c r="AY658" i="52"/>
  <c r="AX658" i="52"/>
  <c r="AW658" i="52"/>
  <c r="AV658" i="52"/>
  <c r="AU658" i="52"/>
  <c r="AT658" i="52"/>
  <c r="AS658" i="52"/>
  <c r="AR658" i="52"/>
  <c r="AQ658" i="52"/>
  <c r="AP658" i="52"/>
  <c r="AO658" i="52"/>
  <c r="AN658" i="52"/>
  <c r="AM658" i="52"/>
  <c r="AL658" i="52"/>
  <c r="AK658" i="52"/>
  <c r="AY657" i="52"/>
  <c r="AX657" i="52"/>
  <c r="AW657" i="52"/>
  <c r="AV657" i="52"/>
  <c r="AU657" i="52"/>
  <c r="AT657" i="52"/>
  <c r="AS657" i="52"/>
  <c r="AR657" i="52"/>
  <c r="AQ657" i="52"/>
  <c r="AP657" i="52"/>
  <c r="AO657" i="52"/>
  <c r="AN657" i="52"/>
  <c r="AM657" i="52"/>
  <c r="AL657" i="52"/>
  <c r="AK657" i="52"/>
  <c r="AY656" i="52"/>
  <c r="AX656" i="52"/>
  <c r="AW656" i="52"/>
  <c r="AV656" i="52"/>
  <c r="AU656" i="52"/>
  <c r="AT656" i="52"/>
  <c r="AS656" i="52"/>
  <c r="AR656" i="52"/>
  <c r="AQ656" i="52"/>
  <c r="AP656" i="52"/>
  <c r="AO656" i="52"/>
  <c r="AN656" i="52"/>
  <c r="AM656" i="52"/>
  <c r="AL656" i="52"/>
  <c r="AK656" i="52"/>
  <c r="AY655" i="52"/>
  <c r="AX655" i="52"/>
  <c r="AW655" i="52"/>
  <c r="AV655" i="52"/>
  <c r="AU655" i="52"/>
  <c r="AT655" i="52"/>
  <c r="AS655" i="52"/>
  <c r="AR655" i="52"/>
  <c r="AQ655" i="52"/>
  <c r="AP655" i="52"/>
  <c r="AO655" i="52"/>
  <c r="AN655" i="52"/>
  <c r="AM655" i="52"/>
  <c r="AL655" i="52"/>
  <c r="AK655" i="52"/>
  <c r="AY654" i="52"/>
  <c r="AX654" i="52"/>
  <c r="AW654" i="52"/>
  <c r="AV654" i="52"/>
  <c r="AU654" i="52"/>
  <c r="AT654" i="52"/>
  <c r="AS654" i="52"/>
  <c r="AR654" i="52"/>
  <c r="AQ654" i="52"/>
  <c r="AP654" i="52"/>
  <c r="AO654" i="52"/>
  <c r="AN654" i="52"/>
  <c r="AM654" i="52"/>
  <c r="AL654" i="52"/>
  <c r="AK654" i="52"/>
  <c r="AY653" i="52"/>
  <c r="AX653" i="52"/>
  <c r="AW653" i="52"/>
  <c r="AV653" i="52"/>
  <c r="AU653" i="52"/>
  <c r="AT653" i="52"/>
  <c r="AS653" i="52"/>
  <c r="AR653" i="52"/>
  <c r="AQ653" i="52"/>
  <c r="AP653" i="52"/>
  <c r="AO653" i="52"/>
  <c r="AN653" i="52"/>
  <c r="AM653" i="52"/>
  <c r="AL653" i="52"/>
  <c r="AK653" i="52"/>
  <c r="AY652" i="52"/>
  <c r="AX652" i="52"/>
  <c r="AW652" i="52"/>
  <c r="AV652" i="52"/>
  <c r="AU652" i="52"/>
  <c r="AT652" i="52"/>
  <c r="AS652" i="52"/>
  <c r="AR652" i="52"/>
  <c r="AQ652" i="52"/>
  <c r="AP652" i="52"/>
  <c r="AO652" i="52"/>
  <c r="AN652" i="52"/>
  <c r="AM652" i="52"/>
  <c r="AL652" i="52"/>
  <c r="AK652" i="52"/>
  <c r="AY651" i="52"/>
  <c r="AX651" i="52"/>
  <c r="AW651" i="52"/>
  <c r="AV651" i="52"/>
  <c r="AU651" i="52"/>
  <c r="AT651" i="52"/>
  <c r="AS651" i="52"/>
  <c r="AR651" i="52"/>
  <c r="AQ651" i="52"/>
  <c r="AP651" i="52"/>
  <c r="AO651" i="52"/>
  <c r="AN651" i="52"/>
  <c r="AM651" i="52"/>
  <c r="AL651" i="52"/>
  <c r="AK651" i="52"/>
  <c r="AY650" i="52"/>
  <c r="AX650" i="52"/>
  <c r="AW650" i="52"/>
  <c r="AV650" i="52"/>
  <c r="AU650" i="52"/>
  <c r="AT650" i="52"/>
  <c r="AS650" i="52"/>
  <c r="AR650" i="52"/>
  <c r="AQ650" i="52"/>
  <c r="AP650" i="52"/>
  <c r="AO650" i="52"/>
  <c r="AN650" i="52"/>
  <c r="AM650" i="52"/>
  <c r="AL650" i="52"/>
  <c r="AK650" i="52"/>
  <c r="AY649" i="52"/>
  <c r="AX649" i="52"/>
  <c r="AW649" i="52"/>
  <c r="AV649" i="52"/>
  <c r="AU649" i="52"/>
  <c r="AT649" i="52"/>
  <c r="AS649" i="52"/>
  <c r="AR649" i="52"/>
  <c r="AQ649" i="52"/>
  <c r="AP649" i="52"/>
  <c r="AO649" i="52"/>
  <c r="AN649" i="52"/>
  <c r="AM649" i="52"/>
  <c r="AL649" i="52"/>
  <c r="AK649" i="52"/>
  <c r="AF649" i="52"/>
  <c r="AY648" i="52"/>
  <c r="AX648" i="52"/>
  <c r="AW648" i="52"/>
  <c r="AV648" i="52"/>
  <c r="AU648" i="52"/>
  <c r="AT648" i="52"/>
  <c r="AS648" i="52"/>
  <c r="AR648" i="52"/>
  <c r="AQ648" i="52"/>
  <c r="AP648" i="52"/>
  <c r="AO648" i="52"/>
  <c r="AN648" i="52"/>
  <c r="AM648" i="52"/>
  <c r="AL648" i="52"/>
  <c r="AK648" i="52"/>
  <c r="AY647" i="52"/>
  <c r="AX647" i="52"/>
  <c r="AW647" i="52"/>
  <c r="AV647" i="52"/>
  <c r="AU647" i="52"/>
  <c r="AT647" i="52"/>
  <c r="AS647" i="52"/>
  <c r="AR647" i="52"/>
  <c r="AQ647" i="52"/>
  <c r="AP647" i="52"/>
  <c r="AO647" i="52"/>
  <c r="AN647" i="52"/>
  <c r="AM647" i="52"/>
  <c r="AL647" i="52"/>
  <c r="AK647" i="52"/>
  <c r="AY646" i="52"/>
  <c r="AX646" i="52"/>
  <c r="AW646" i="52"/>
  <c r="AV646" i="52"/>
  <c r="AU646" i="52"/>
  <c r="AT646" i="52"/>
  <c r="AS646" i="52"/>
  <c r="AR646" i="52"/>
  <c r="AQ646" i="52"/>
  <c r="AP646" i="52"/>
  <c r="AO646" i="52"/>
  <c r="AN646" i="52"/>
  <c r="AM646" i="52"/>
  <c r="AL646" i="52"/>
  <c r="AK646" i="52"/>
  <c r="AY645" i="52"/>
  <c r="AX645" i="52"/>
  <c r="AW645" i="52"/>
  <c r="AV645" i="52"/>
  <c r="AU645" i="52"/>
  <c r="AT645" i="52"/>
  <c r="AS645" i="52"/>
  <c r="AR645" i="52"/>
  <c r="AQ645" i="52"/>
  <c r="AP645" i="52"/>
  <c r="AO645" i="52"/>
  <c r="AN645" i="52"/>
  <c r="AM645" i="52"/>
  <c r="AL645" i="52"/>
  <c r="AK645" i="52"/>
  <c r="AY644" i="52"/>
  <c r="AX644" i="52"/>
  <c r="AW644" i="52"/>
  <c r="AV644" i="52"/>
  <c r="AU644" i="52"/>
  <c r="AT644" i="52"/>
  <c r="AS644" i="52"/>
  <c r="AR644" i="52"/>
  <c r="AQ644" i="52"/>
  <c r="AP644" i="52"/>
  <c r="AO644" i="52"/>
  <c r="AN644" i="52"/>
  <c r="AM644" i="52"/>
  <c r="AL644" i="52"/>
  <c r="AK644" i="52"/>
  <c r="AY643" i="52"/>
  <c r="AX643" i="52"/>
  <c r="AW643" i="52"/>
  <c r="AV643" i="52"/>
  <c r="AU643" i="52"/>
  <c r="AT643" i="52"/>
  <c r="AS643" i="52"/>
  <c r="AR643" i="52"/>
  <c r="AQ643" i="52"/>
  <c r="AP643" i="52"/>
  <c r="AO643" i="52"/>
  <c r="AN643" i="52"/>
  <c r="AM643" i="52"/>
  <c r="AL643" i="52"/>
  <c r="AK643" i="52"/>
  <c r="AY642" i="52"/>
  <c r="AX642" i="52"/>
  <c r="AW642" i="52"/>
  <c r="AV642" i="52"/>
  <c r="AU642" i="52"/>
  <c r="AT642" i="52"/>
  <c r="AS642" i="52"/>
  <c r="AR642" i="52"/>
  <c r="AQ642" i="52"/>
  <c r="AP642" i="52"/>
  <c r="AO642" i="52"/>
  <c r="AN642" i="52"/>
  <c r="AM642" i="52"/>
  <c r="AL642" i="52"/>
  <c r="AK642" i="52"/>
  <c r="AF642" i="52"/>
  <c r="AY641" i="52"/>
  <c r="AX641" i="52"/>
  <c r="AW641" i="52"/>
  <c r="AV641" i="52"/>
  <c r="AU641" i="52"/>
  <c r="AT641" i="52"/>
  <c r="AS641" i="52"/>
  <c r="AR641" i="52"/>
  <c r="AQ641" i="52"/>
  <c r="AP641" i="52"/>
  <c r="AO641" i="52"/>
  <c r="AN641" i="52"/>
  <c r="AM641" i="52"/>
  <c r="AL641" i="52"/>
  <c r="AK641" i="52"/>
  <c r="AY640" i="52"/>
  <c r="AX640" i="52"/>
  <c r="AW640" i="52"/>
  <c r="AV640" i="52"/>
  <c r="AU640" i="52"/>
  <c r="AT640" i="52"/>
  <c r="AS640" i="52"/>
  <c r="AR640" i="52"/>
  <c r="AQ640" i="52"/>
  <c r="AP640" i="52"/>
  <c r="AO640" i="52"/>
  <c r="AN640" i="52"/>
  <c r="AM640" i="52"/>
  <c r="AL640" i="52"/>
  <c r="AK640" i="52"/>
  <c r="AY639" i="52"/>
  <c r="AX639" i="52"/>
  <c r="AW639" i="52"/>
  <c r="AV639" i="52"/>
  <c r="AU639" i="52"/>
  <c r="AT639" i="52"/>
  <c r="AS639" i="52"/>
  <c r="AR639" i="52"/>
  <c r="AQ639" i="52"/>
  <c r="AP639" i="52"/>
  <c r="AO639" i="52"/>
  <c r="AN639" i="52"/>
  <c r="AM639" i="52"/>
  <c r="AL639" i="52"/>
  <c r="AK639" i="52"/>
  <c r="AY638" i="52"/>
  <c r="AX638" i="52"/>
  <c r="AW638" i="52"/>
  <c r="AV638" i="52"/>
  <c r="AU638" i="52"/>
  <c r="AT638" i="52"/>
  <c r="AS638" i="52"/>
  <c r="AR638" i="52"/>
  <c r="AQ638" i="52"/>
  <c r="AP638" i="52"/>
  <c r="AO638" i="52"/>
  <c r="AN638" i="52"/>
  <c r="AM638" i="52"/>
  <c r="AL638" i="52"/>
  <c r="AK638" i="52"/>
  <c r="AY637" i="52"/>
  <c r="AX637" i="52"/>
  <c r="AW637" i="52"/>
  <c r="AV637" i="52"/>
  <c r="AU637" i="52"/>
  <c r="AT637" i="52"/>
  <c r="AS637" i="52"/>
  <c r="AR637" i="52"/>
  <c r="AQ637" i="52"/>
  <c r="AP637" i="52"/>
  <c r="AO637" i="52"/>
  <c r="AN637" i="52"/>
  <c r="AM637" i="52"/>
  <c r="AL637" i="52"/>
  <c r="AK637" i="52"/>
  <c r="AY636" i="52"/>
  <c r="AX636" i="52"/>
  <c r="AW636" i="52"/>
  <c r="AV636" i="52"/>
  <c r="AU636" i="52"/>
  <c r="AT636" i="52"/>
  <c r="AS636" i="52"/>
  <c r="AR636" i="52"/>
  <c r="AQ636" i="52"/>
  <c r="AP636" i="52"/>
  <c r="AO636" i="52"/>
  <c r="AN636" i="52"/>
  <c r="AM636" i="52"/>
  <c r="AL636" i="52"/>
  <c r="AK636" i="52"/>
  <c r="AY635" i="52"/>
  <c r="AX635" i="52"/>
  <c r="AW635" i="52"/>
  <c r="AV635" i="52"/>
  <c r="AU635" i="52"/>
  <c r="AT635" i="52"/>
  <c r="AS635" i="52"/>
  <c r="AR635" i="52"/>
  <c r="AQ635" i="52"/>
  <c r="AP635" i="52"/>
  <c r="AO635" i="52"/>
  <c r="AN635" i="52"/>
  <c r="AM635" i="52"/>
  <c r="AL635" i="52"/>
  <c r="AK635" i="52"/>
  <c r="AY634" i="52"/>
  <c r="AX634" i="52"/>
  <c r="AW634" i="52"/>
  <c r="AV634" i="52"/>
  <c r="AU634" i="52"/>
  <c r="AT634" i="52"/>
  <c r="AS634" i="52"/>
  <c r="AR634" i="52"/>
  <c r="AQ634" i="52"/>
  <c r="AP634" i="52"/>
  <c r="AO634" i="52"/>
  <c r="AN634" i="52"/>
  <c r="AM634" i="52"/>
  <c r="AL634" i="52"/>
  <c r="AK634" i="52"/>
  <c r="AY633" i="52"/>
  <c r="AX633" i="52"/>
  <c r="AW633" i="52"/>
  <c r="AV633" i="52"/>
  <c r="AU633" i="52"/>
  <c r="AT633" i="52"/>
  <c r="AS633" i="52"/>
  <c r="AR633" i="52"/>
  <c r="AQ633" i="52"/>
  <c r="AP633" i="52"/>
  <c r="AO633" i="52"/>
  <c r="AN633" i="52"/>
  <c r="AM633" i="52"/>
  <c r="AL633" i="52"/>
  <c r="AK633" i="52"/>
  <c r="AY632" i="52"/>
  <c r="AX632" i="52"/>
  <c r="AW632" i="52"/>
  <c r="AV632" i="52"/>
  <c r="AU632" i="52"/>
  <c r="AT632" i="52"/>
  <c r="AS632" i="52"/>
  <c r="AR632" i="52"/>
  <c r="AQ632" i="52"/>
  <c r="AP632" i="52"/>
  <c r="AO632" i="52"/>
  <c r="AN632" i="52"/>
  <c r="AM632" i="52"/>
  <c r="AL632" i="52"/>
  <c r="AK632" i="52"/>
  <c r="AF632" i="52"/>
  <c r="AY631" i="52"/>
  <c r="AX631" i="52"/>
  <c r="AW631" i="52"/>
  <c r="AV631" i="52"/>
  <c r="AU631" i="52"/>
  <c r="AT631" i="52"/>
  <c r="AS631" i="52"/>
  <c r="AR631" i="52"/>
  <c r="AQ631" i="52"/>
  <c r="AP631" i="52"/>
  <c r="AO631" i="52"/>
  <c r="AN631" i="52"/>
  <c r="AM631" i="52"/>
  <c r="AL631" i="52"/>
  <c r="AK631" i="52"/>
  <c r="AY630" i="52"/>
  <c r="AX630" i="52"/>
  <c r="AW630" i="52"/>
  <c r="AV630" i="52"/>
  <c r="AU630" i="52"/>
  <c r="AT630" i="52"/>
  <c r="AS630" i="52"/>
  <c r="AR630" i="52"/>
  <c r="AQ630" i="52"/>
  <c r="AP630" i="52"/>
  <c r="AO630" i="52"/>
  <c r="AN630" i="52"/>
  <c r="AM630" i="52"/>
  <c r="AL630" i="52"/>
  <c r="AK630" i="52"/>
  <c r="AY629" i="52"/>
  <c r="AX629" i="52"/>
  <c r="AW629" i="52"/>
  <c r="AV629" i="52"/>
  <c r="AU629" i="52"/>
  <c r="AT629" i="52"/>
  <c r="AS629" i="52"/>
  <c r="AR629" i="52"/>
  <c r="AQ629" i="52"/>
  <c r="AP629" i="52"/>
  <c r="AO629" i="52"/>
  <c r="AN629" i="52"/>
  <c r="AM629" i="52"/>
  <c r="AL629" i="52"/>
  <c r="AK629" i="52"/>
  <c r="AY628" i="52"/>
  <c r="AX628" i="52"/>
  <c r="AW628" i="52"/>
  <c r="AV628" i="52"/>
  <c r="AU628" i="52"/>
  <c r="AT628" i="52"/>
  <c r="AS628" i="52"/>
  <c r="AR628" i="52"/>
  <c r="AQ628" i="52"/>
  <c r="AP628" i="52"/>
  <c r="AO628" i="52"/>
  <c r="AN628" i="52"/>
  <c r="AM628" i="52"/>
  <c r="AL628" i="52"/>
  <c r="AK628" i="52"/>
  <c r="AY627" i="52"/>
  <c r="AX627" i="52"/>
  <c r="AW627" i="52"/>
  <c r="AV627" i="52"/>
  <c r="AU627" i="52"/>
  <c r="AT627" i="52"/>
  <c r="AS627" i="52"/>
  <c r="AR627" i="52"/>
  <c r="AQ627" i="52"/>
  <c r="AP627" i="52"/>
  <c r="AO627" i="52"/>
  <c r="AN627" i="52"/>
  <c r="AM627" i="52"/>
  <c r="AL627" i="52"/>
  <c r="AK627" i="52"/>
  <c r="AY626" i="52"/>
  <c r="AX626" i="52"/>
  <c r="AW626" i="52"/>
  <c r="AV626" i="52"/>
  <c r="AU626" i="52"/>
  <c r="AT626" i="52"/>
  <c r="AS626" i="52"/>
  <c r="AR626" i="52"/>
  <c r="AQ626" i="52"/>
  <c r="AP626" i="52"/>
  <c r="AO626" i="52"/>
  <c r="AN626" i="52"/>
  <c r="AM626" i="52"/>
  <c r="AL626" i="52"/>
  <c r="AK626" i="52"/>
  <c r="AY625" i="52"/>
  <c r="AX625" i="52"/>
  <c r="AW625" i="52"/>
  <c r="AV625" i="52"/>
  <c r="AU625" i="52"/>
  <c r="AT625" i="52"/>
  <c r="AS625" i="52"/>
  <c r="AR625" i="52"/>
  <c r="AQ625" i="52"/>
  <c r="AP625" i="52"/>
  <c r="AO625" i="52"/>
  <c r="AN625" i="52"/>
  <c r="AM625" i="52"/>
  <c r="AL625" i="52"/>
  <c r="AK625" i="52"/>
  <c r="AY624" i="52"/>
  <c r="AX624" i="52"/>
  <c r="AW624" i="52"/>
  <c r="AV624" i="52"/>
  <c r="AU624" i="52"/>
  <c r="AT624" i="52"/>
  <c r="AS624" i="52"/>
  <c r="AR624" i="52"/>
  <c r="AQ624" i="52"/>
  <c r="AP624" i="52"/>
  <c r="AO624" i="52"/>
  <c r="AN624" i="52"/>
  <c r="AM624" i="52"/>
  <c r="AL624" i="52"/>
  <c r="AK624" i="52"/>
  <c r="AF624" i="52"/>
  <c r="AY623" i="52"/>
  <c r="AX623" i="52"/>
  <c r="AW623" i="52"/>
  <c r="AV623" i="52"/>
  <c r="AU623" i="52"/>
  <c r="AT623" i="52"/>
  <c r="AS623" i="52"/>
  <c r="AR623" i="52"/>
  <c r="AQ623" i="52"/>
  <c r="AP623" i="52"/>
  <c r="AO623" i="52"/>
  <c r="AN623" i="52"/>
  <c r="AM623" i="52"/>
  <c r="AL623" i="52"/>
  <c r="AK623" i="52"/>
  <c r="AY622" i="52"/>
  <c r="AX622" i="52"/>
  <c r="AW622" i="52"/>
  <c r="AV622" i="52"/>
  <c r="AU622" i="52"/>
  <c r="AT622" i="52"/>
  <c r="AS622" i="52"/>
  <c r="AR622" i="52"/>
  <c r="AQ622" i="52"/>
  <c r="AP622" i="52"/>
  <c r="AO622" i="52"/>
  <c r="AN622" i="52"/>
  <c r="AM622" i="52"/>
  <c r="AL622" i="52"/>
  <c r="AK622" i="52"/>
  <c r="AY621" i="52"/>
  <c r="AX621" i="52"/>
  <c r="AW621" i="52"/>
  <c r="AV621" i="52"/>
  <c r="AU621" i="52"/>
  <c r="AT621" i="52"/>
  <c r="AS621" i="52"/>
  <c r="AR621" i="52"/>
  <c r="AQ621" i="52"/>
  <c r="AP621" i="52"/>
  <c r="AO621" i="52"/>
  <c r="AN621" i="52"/>
  <c r="AM621" i="52"/>
  <c r="AL621" i="52"/>
  <c r="AK621" i="52"/>
  <c r="AY620" i="52"/>
  <c r="AX620" i="52"/>
  <c r="AW620" i="52"/>
  <c r="AV620" i="52"/>
  <c r="AU620" i="52"/>
  <c r="AT620" i="52"/>
  <c r="AS620" i="52"/>
  <c r="AR620" i="52"/>
  <c r="AQ620" i="52"/>
  <c r="AP620" i="52"/>
  <c r="AO620" i="52"/>
  <c r="AN620" i="52"/>
  <c r="AM620" i="52"/>
  <c r="AL620" i="52"/>
  <c r="AK620" i="52"/>
  <c r="AY619" i="52"/>
  <c r="AX619" i="52"/>
  <c r="AW619" i="52"/>
  <c r="AV619" i="52"/>
  <c r="AU619" i="52"/>
  <c r="AT619" i="52"/>
  <c r="AS619" i="52"/>
  <c r="AR619" i="52"/>
  <c r="AQ619" i="52"/>
  <c r="AP619" i="52"/>
  <c r="AO619" i="52"/>
  <c r="AN619" i="52"/>
  <c r="AM619" i="52"/>
  <c r="AL619" i="52"/>
  <c r="AK619" i="52"/>
  <c r="AY618" i="52"/>
  <c r="AX618" i="52"/>
  <c r="AW618" i="52"/>
  <c r="AV618" i="52"/>
  <c r="AU618" i="52"/>
  <c r="AT618" i="52"/>
  <c r="AS618" i="52"/>
  <c r="AR618" i="52"/>
  <c r="AQ618" i="52"/>
  <c r="AP618" i="52"/>
  <c r="AO618" i="52"/>
  <c r="AN618" i="52"/>
  <c r="AM618" i="52"/>
  <c r="AL618" i="52"/>
  <c r="AK618" i="52"/>
  <c r="AY617" i="52"/>
  <c r="AX617" i="52"/>
  <c r="AW617" i="52"/>
  <c r="AV617" i="52"/>
  <c r="AU617" i="52"/>
  <c r="AT617" i="52"/>
  <c r="AS617" i="52"/>
  <c r="AR617" i="52"/>
  <c r="AQ617" i="52"/>
  <c r="AP617" i="52"/>
  <c r="AO617" i="52"/>
  <c r="AN617" i="52"/>
  <c r="AM617" i="52"/>
  <c r="AL617" i="52"/>
  <c r="AK617" i="52"/>
  <c r="AY616" i="52"/>
  <c r="AX616" i="52"/>
  <c r="AW616" i="52"/>
  <c r="AV616" i="52"/>
  <c r="AU616" i="52"/>
  <c r="AT616" i="52"/>
  <c r="AS616" i="52"/>
  <c r="AR616" i="52"/>
  <c r="AQ616" i="52"/>
  <c r="AP616" i="52"/>
  <c r="AO616" i="52"/>
  <c r="AN616" i="52"/>
  <c r="AM616" i="52"/>
  <c r="AL616" i="52"/>
  <c r="AK616" i="52"/>
  <c r="AY615" i="52"/>
  <c r="AX615" i="52"/>
  <c r="AW615" i="52"/>
  <c r="AV615" i="52"/>
  <c r="AU615" i="52"/>
  <c r="AT615" i="52"/>
  <c r="AS615" i="52"/>
  <c r="AR615" i="52"/>
  <c r="AQ615" i="52"/>
  <c r="AP615" i="52"/>
  <c r="AO615" i="52"/>
  <c r="AN615" i="52"/>
  <c r="AM615" i="52"/>
  <c r="AL615" i="52"/>
  <c r="AK615" i="52"/>
  <c r="AY614" i="52"/>
  <c r="AX614" i="52"/>
  <c r="AW614" i="52"/>
  <c r="AV614" i="52"/>
  <c r="AU614" i="52"/>
  <c r="AT614" i="52"/>
  <c r="AS614" i="52"/>
  <c r="AR614" i="52"/>
  <c r="AQ614" i="52"/>
  <c r="AP614" i="52"/>
  <c r="AO614" i="52"/>
  <c r="AN614" i="52"/>
  <c r="AM614" i="52"/>
  <c r="AL614" i="52"/>
  <c r="AK614" i="52"/>
  <c r="AF614" i="52"/>
  <c r="AY613" i="52"/>
  <c r="AX613" i="52"/>
  <c r="AW613" i="52"/>
  <c r="AV613" i="52"/>
  <c r="AU613" i="52"/>
  <c r="AT613" i="52"/>
  <c r="AS613" i="52"/>
  <c r="AR613" i="52"/>
  <c r="AQ613" i="52"/>
  <c r="AP613" i="52"/>
  <c r="AO613" i="52"/>
  <c r="AN613" i="52"/>
  <c r="AM613" i="52"/>
  <c r="AL613" i="52"/>
  <c r="AK613" i="52"/>
  <c r="AY612" i="52"/>
  <c r="AX612" i="52"/>
  <c r="AW612" i="52"/>
  <c r="AV612" i="52"/>
  <c r="AU612" i="52"/>
  <c r="AT612" i="52"/>
  <c r="AS612" i="52"/>
  <c r="AR612" i="52"/>
  <c r="AQ612" i="52"/>
  <c r="AP612" i="52"/>
  <c r="AO612" i="52"/>
  <c r="AN612" i="52"/>
  <c r="AM612" i="52"/>
  <c r="AL612" i="52"/>
  <c r="AK612" i="52"/>
  <c r="AY611" i="52"/>
  <c r="AX611" i="52"/>
  <c r="AW611" i="52"/>
  <c r="AV611" i="52"/>
  <c r="AU611" i="52"/>
  <c r="AT611" i="52"/>
  <c r="AS611" i="52"/>
  <c r="AR611" i="52"/>
  <c r="AQ611" i="52"/>
  <c r="AP611" i="52"/>
  <c r="AO611" i="52"/>
  <c r="AN611" i="52"/>
  <c r="AM611" i="52"/>
  <c r="AL611" i="52"/>
  <c r="AK611" i="52"/>
  <c r="AY610" i="52"/>
  <c r="AX610" i="52"/>
  <c r="AW610" i="52"/>
  <c r="AV610" i="52"/>
  <c r="AU610" i="52"/>
  <c r="AT610" i="52"/>
  <c r="AS610" i="52"/>
  <c r="AR610" i="52"/>
  <c r="AQ610" i="52"/>
  <c r="AP610" i="52"/>
  <c r="AO610" i="52"/>
  <c r="AN610" i="52"/>
  <c r="AM610" i="52"/>
  <c r="AL610" i="52"/>
  <c r="AK610" i="52"/>
  <c r="AY609" i="52"/>
  <c r="AX609" i="52"/>
  <c r="AW609" i="52"/>
  <c r="AV609" i="52"/>
  <c r="AU609" i="52"/>
  <c r="AT609" i="52"/>
  <c r="AS609" i="52"/>
  <c r="AR609" i="52"/>
  <c r="AQ609" i="52"/>
  <c r="AP609" i="52"/>
  <c r="AO609" i="52"/>
  <c r="AN609" i="52"/>
  <c r="AM609" i="52"/>
  <c r="AL609" i="52"/>
  <c r="AK609" i="52"/>
  <c r="AY608" i="52"/>
  <c r="AX608" i="52"/>
  <c r="AW608" i="52"/>
  <c r="AV608" i="52"/>
  <c r="AU608" i="52"/>
  <c r="AT608" i="52"/>
  <c r="AS608" i="52"/>
  <c r="AR608" i="52"/>
  <c r="AQ608" i="52"/>
  <c r="AP608" i="52"/>
  <c r="AO608" i="52"/>
  <c r="AN608" i="52"/>
  <c r="AM608" i="52"/>
  <c r="AL608" i="52"/>
  <c r="AK608" i="52"/>
  <c r="AY607" i="52"/>
  <c r="AX607" i="52"/>
  <c r="AW607" i="52"/>
  <c r="AV607" i="52"/>
  <c r="AU607" i="52"/>
  <c r="AT607" i="52"/>
  <c r="AS607" i="52"/>
  <c r="AR607" i="52"/>
  <c r="AQ607" i="52"/>
  <c r="AP607" i="52"/>
  <c r="AO607" i="52"/>
  <c r="AN607" i="52"/>
  <c r="AM607" i="52"/>
  <c r="AL607" i="52"/>
  <c r="AK607" i="52"/>
  <c r="AY606" i="52"/>
  <c r="AX606" i="52"/>
  <c r="AW606" i="52"/>
  <c r="AV606" i="52"/>
  <c r="AU606" i="52"/>
  <c r="AT606" i="52"/>
  <c r="AS606" i="52"/>
  <c r="AR606" i="52"/>
  <c r="AQ606" i="52"/>
  <c r="AP606" i="52"/>
  <c r="AO606" i="52"/>
  <c r="AN606" i="52"/>
  <c r="AM606" i="52"/>
  <c r="AL606" i="52"/>
  <c r="AK606" i="52"/>
  <c r="AF606" i="52"/>
  <c r="AY605" i="52"/>
  <c r="AX605" i="52"/>
  <c r="AW605" i="52"/>
  <c r="AV605" i="52"/>
  <c r="AU605" i="52"/>
  <c r="AT605" i="52"/>
  <c r="AS605" i="52"/>
  <c r="AR605" i="52"/>
  <c r="AQ605" i="52"/>
  <c r="AP605" i="52"/>
  <c r="AO605" i="52"/>
  <c r="AN605" i="52"/>
  <c r="AM605" i="52"/>
  <c r="AL605" i="52"/>
  <c r="AK605" i="52"/>
  <c r="AY604" i="52"/>
  <c r="AX604" i="52"/>
  <c r="AW604" i="52"/>
  <c r="AV604" i="52"/>
  <c r="AU604" i="52"/>
  <c r="AT604" i="52"/>
  <c r="AS604" i="52"/>
  <c r="AR604" i="52"/>
  <c r="AQ604" i="52"/>
  <c r="AP604" i="52"/>
  <c r="AO604" i="52"/>
  <c r="AN604" i="52"/>
  <c r="AM604" i="52"/>
  <c r="AL604" i="52"/>
  <c r="AK604" i="52"/>
  <c r="AY603" i="52"/>
  <c r="AX603" i="52"/>
  <c r="AW603" i="52"/>
  <c r="AV603" i="52"/>
  <c r="AU603" i="52"/>
  <c r="AT603" i="52"/>
  <c r="AS603" i="52"/>
  <c r="AR603" i="52"/>
  <c r="AQ603" i="52"/>
  <c r="AP603" i="52"/>
  <c r="AO603" i="52"/>
  <c r="AN603" i="52"/>
  <c r="AM603" i="52"/>
  <c r="AL603" i="52"/>
  <c r="AK603" i="52"/>
  <c r="AY602" i="52"/>
  <c r="AX602" i="52"/>
  <c r="AW602" i="52"/>
  <c r="AV602" i="52"/>
  <c r="AU602" i="52"/>
  <c r="AT602" i="52"/>
  <c r="AS602" i="52"/>
  <c r="AR602" i="52"/>
  <c r="AQ602" i="52"/>
  <c r="AP602" i="52"/>
  <c r="AO602" i="52"/>
  <c r="AN602" i="52"/>
  <c r="AM602" i="52"/>
  <c r="AL602" i="52"/>
  <c r="AK602" i="52"/>
  <c r="AY601" i="52"/>
  <c r="AX601" i="52"/>
  <c r="AW601" i="52"/>
  <c r="AV601" i="52"/>
  <c r="AU601" i="52"/>
  <c r="AT601" i="52"/>
  <c r="AS601" i="52"/>
  <c r="AR601" i="52"/>
  <c r="AQ601" i="52"/>
  <c r="AP601" i="52"/>
  <c r="AO601" i="52"/>
  <c r="AN601" i="52"/>
  <c r="AM601" i="52"/>
  <c r="AL601" i="52"/>
  <c r="AK601" i="52"/>
  <c r="AY600" i="52"/>
  <c r="AX600" i="52"/>
  <c r="AW600" i="52"/>
  <c r="AV600" i="52"/>
  <c r="AU600" i="52"/>
  <c r="AT600" i="52"/>
  <c r="AS600" i="52"/>
  <c r="AR600" i="52"/>
  <c r="AQ600" i="52"/>
  <c r="AP600" i="52"/>
  <c r="AO600" i="52"/>
  <c r="AN600" i="52"/>
  <c r="AM600" i="52"/>
  <c r="AL600" i="52"/>
  <c r="AK600" i="52"/>
  <c r="AY599" i="52"/>
  <c r="AX599" i="52"/>
  <c r="AW599" i="52"/>
  <c r="AV599" i="52"/>
  <c r="AU599" i="52"/>
  <c r="AT599" i="52"/>
  <c r="AS599" i="52"/>
  <c r="AR599" i="52"/>
  <c r="AQ599" i="52"/>
  <c r="AP599" i="52"/>
  <c r="AO599" i="52"/>
  <c r="AN599" i="52"/>
  <c r="AM599" i="52"/>
  <c r="AL599" i="52"/>
  <c r="AK599" i="52"/>
  <c r="AY598" i="52"/>
  <c r="AX598" i="52"/>
  <c r="AW598" i="52"/>
  <c r="AV598" i="52"/>
  <c r="AU598" i="52"/>
  <c r="AT598" i="52"/>
  <c r="AS598" i="52"/>
  <c r="AR598" i="52"/>
  <c r="AQ598" i="52"/>
  <c r="AP598" i="52"/>
  <c r="AO598" i="52"/>
  <c r="AN598" i="52"/>
  <c r="AM598" i="52"/>
  <c r="AL598" i="52"/>
  <c r="AK598" i="52"/>
  <c r="AY597" i="52"/>
  <c r="AX597" i="52"/>
  <c r="AW597" i="52"/>
  <c r="AV597" i="52"/>
  <c r="AU597" i="52"/>
  <c r="AT597" i="52"/>
  <c r="AS597" i="52"/>
  <c r="AR597" i="52"/>
  <c r="AQ597" i="52"/>
  <c r="AP597" i="52"/>
  <c r="AO597" i="52"/>
  <c r="AN597" i="52"/>
  <c r="AM597" i="52"/>
  <c r="AL597" i="52"/>
  <c r="AK597" i="52"/>
  <c r="AY596" i="52"/>
  <c r="AX596" i="52"/>
  <c r="AW596" i="52"/>
  <c r="AV596" i="52"/>
  <c r="AU596" i="52"/>
  <c r="AT596" i="52"/>
  <c r="AS596" i="52"/>
  <c r="AR596" i="52"/>
  <c r="AQ596" i="52"/>
  <c r="AP596" i="52"/>
  <c r="AO596" i="52"/>
  <c r="AN596" i="52"/>
  <c r="AM596" i="52"/>
  <c r="AL596" i="52"/>
  <c r="AK596" i="52"/>
  <c r="AY595" i="52"/>
  <c r="AX595" i="52"/>
  <c r="AW595" i="52"/>
  <c r="AV595" i="52"/>
  <c r="AU595" i="52"/>
  <c r="AT595" i="52"/>
  <c r="AS595" i="52"/>
  <c r="AR595" i="52"/>
  <c r="AQ595" i="52"/>
  <c r="AP595" i="52"/>
  <c r="AO595" i="52"/>
  <c r="AN595" i="52"/>
  <c r="AM595" i="52"/>
  <c r="AL595" i="52"/>
  <c r="AK595" i="52"/>
  <c r="AY594" i="52"/>
  <c r="AX594" i="52"/>
  <c r="AW594" i="52"/>
  <c r="AV594" i="52"/>
  <c r="AU594" i="52"/>
  <c r="AT594" i="52"/>
  <c r="AS594" i="52"/>
  <c r="AR594" i="52"/>
  <c r="AQ594" i="52"/>
  <c r="AP594" i="52"/>
  <c r="AO594" i="52"/>
  <c r="AN594" i="52"/>
  <c r="AM594" i="52"/>
  <c r="AL594" i="52"/>
  <c r="AK594" i="52"/>
  <c r="AY593" i="52"/>
  <c r="AX593" i="52"/>
  <c r="AW593" i="52"/>
  <c r="AV593" i="52"/>
  <c r="AU593" i="52"/>
  <c r="AT593" i="52"/>
  <c r="AS593" i="52"/>
  <c r="AR593" i="52"/>
  <c r="AQ593" i="52"/>
  <c r="AP593" i="52"/>
  <c r="AO593" i="52"/>
  <c r="AN593" i="52"/>
  <c r="AM593" i="52"/>
  <c r="AL593" i="52"/>
  <c r="AK593" i="52"/>
  <c r="AY592" i="52"/>
  <c r="AX592" i="52"/>
  <c r="AW592" i="52"/>
  <c r="AV592" i="52"/>
  <c r="AU592" i="52"/>
  <c r="AT592" i="52"/>
  <c r="AS592" i="52"/>
  <c r="AR592" i="52"/>
  <c r="AQ592" i="52"/>
  <c r="AP592" i="52"/>
  <c r="AO592" i="52"/>
  <c r="AN592" i="52"/>
  <c r="AM592" i="52"/>
  <c r="AL592" i="52"/>
  <c r="AK592" i="52"/>
  <c r="AY591" i="52"/>
  <c r="AX591" i="52"/>
  <c r="AW591" i="52"/>
  <c r="AV591" i="52"/>
  <c r="AU591" i="52"/>
  <c r="AT591" i="52"/>
  <c r="AS591" i="52"/>
  <c r="AR591" i="52"/>
  <c r="AQ591" i="52"/>
  <c r="AP591" i="52"/>
  <c r="AO591" i="52"/>
  <c r="AN591" i="52"/>
  <c r="AM591" i="52"/>
  <c r="AL591" i="52"/>
  <c r="AK591" i="52"/>
  <c r="AY590" i="52"/>
  <c r="AX590" i="52"/>
  <c r="AW590" i="52"/>
  <c r="AV590" i="52"/>
  <c r="AU590" i="52"/>
  <c r="AT590" i="52"/>
  <c r="AS590" i="52"/>
  <c r="AR590" i="52"/>
  <c r="AQ590" i="52"/>
  <c r="AP590" i="52"/>
  <c r="AO590" i="52"/>
  <c r="AN590" i="52"/>
  <c r="AM590" i="52"/>
  <c r="AL590" i="52"/>
  <c r="AK590" i="52"/>
  <c r="AY589" i="52"/>
  <c r="AX589" i="52"/>
  <c r="AW589" i="52"/>
  <c r="AV589" i="52"/>
  <c r="AU589" i="52"/>
  <c r="AT589" i="52"/>
  <c r="AS589" i="52"/>
  <c r="AR589" i="52"/>
  <c r="AQ589" i="52"/>
  <c r="AP589" i="52"/>
  <c r="AO589" i="52"/>
  <c r="AN589" i="52"/>
  <c r="AM589" i="52"/>
  <c r="AL589" i="52"/>
  <c r="AK589" i="52"/>
  <c r="AY588" i="52"/>
  <c r="AX588" i="52"/>
  <c r="AW588" i="52"/>
  <c r="AV588" i="52"/>
  <c r="AU588" i="52"/>
  <c r="AT588" i="52"/>
  <c r="AS588" i="52"/>
  <c r="AR588" i="52"/>
  <c r="AQ588" i="52"/>
  <c r="AP588" i="52"/>
  <c r="AO588" i="52"/>
  <c r="AN588" i="52"/>
  <c r="AM588" i="52"/>
  <c r="AL588" i="52"/>
  <c r="AK588" i="52"/>
  <c r="AY587" i="52"/>
  <c r="AX587" i="52"/>
  <c r="AW587" i="52"/>
  <c r="AV587" i="52"/>
  <c r="AU587" i="52"/>
  <c r="AT587" i="52"/>
  <c r="AS587" i="52"/>
  <c r="AR587" i="52"/>
  <c r="AQ587" i="52"/>
  <c r="AP587" i="52"/>
  <c r="AO587" i="52"/>
  <c r="AN587" i="52"/>
  <c r="AM587" i="52"/>
  <c r="AL587" i="52"/>
  <c r="AK587" i="52"/>
  <c r="AF587" i="52"/>
  <c r="AY586" i="52"/>
  <c r="AX586" i="52"/>
  <c r="AW586" i="52"/>
  <c r="AV586" i="52"/>
  <c r="AU586" i="52"/>
  <c r="AT586" i="52"/>
  <c r="AS586" i="52"/>
  <c r="AR586" i="52"/>
  <c r="AQ586" i="52"/>
  <c r="AP586" i="52"/>
  <c r="AO586" i="52"/>
  <c r="AN586" i="52"/>
  <c r="AM586" i="52"/>
  <c r="AL586" i="52"/>
  <c r="AK586" i="52"/>
  <c r="AY585" i="52"/>
  <c r="AX585" i="52"/>
  <c r="AW585" i="52"/>
  <c r="AV585" i="52"/>
  <c r="AU585" i="52"/>
  <c r="AT585" i="52"/>
  <c r="AS585" i="52"/>
  <c r="AR585" i="52"/>
  <c r="AQ585" i="52"/>
  <c r="AP585" i="52"/>
  <c r="AO585" i="52"/>
  <c r="AN585" i="52"/>
  <c r="AM585" i="52"/>
  <c r="AL585" i="52"/>
  <c r="AK585" i="52"/>
  <c r="AY584" i="52"/>
  <c r="AX584" i="52"/>
  <c r="AW584" i="52"/>
  <c r="AV584" i="52"/>
  <c r="AU584" i="52"/>
  <c r="AT584" i="52"/>
  <c r="AS584" i="52"/>
  <c r="AR584" i="52"/>
  <c r="AQ584" i="52"/>
  <c r="AP584" i="52"/>
  <c r="AO584" i="52"/>
  <c r="AN584" i="52"/>
  <c r="AM584" i="52"/>
  <c r="AL584" i="52"/>
  <c r="AK584" i="52"/>
  <c r="AY583" i="52"/>
  <c r="AX583" i="52"/>
  <c r="AW583" i="52"/>
  <c r="AV583" i="52"/>
  <c r="AU583" i="52"/>
  <c r="AT583" i="52"/>
  <c r="AS583" i="52"/>
  <c r="AR583" i="52"/>
  <c r="AQ583" i="52"/>
  <c r="AP583" i="52"/>
  <c r="AO583" i="52"/>
  <c r="AN583" i="52"/>
  <c r="AM583" i="52"/>
  <c r="AL583" i="52"/>
  <c r="AK583" i="52"/>
  <c r="AY582" i="52"/>
  <c r="AX582" i="52"/>
  <c r="AW582" i="52"/>
  <c r="AV582" i="52"/>
  <c r="AU582" i="52"/>
  <c r="AT582" i="52"/>
  <c r="AS582" i="52"/>
  <c r="AR582" i="52"/>
  <c r="AQ582" i="52"/>
  <c r="AP582" i="52"/>
  <c r="AO582" i="52"/>
  <c r="AN582" i="52"/>
  <c r="AM582" i="52"/>
  <c r="AL582" i="52"/>
  <c r="AK582" i="52"/>
  <c r="CR581" i="52"/>
  <c r="CQ581" i="52"/>
  <c r="CP581" i="52"/>
  <c r="CO581" i="52"/>
  <c r="CN581" i="52"/>
  <c r="CM581" i="52"/>
  <c r="CL581" i="52"/>
  <c r="CK581" i="52"/>
  <c r="CJ581" i="52"/>
  <c r="CI581" i="52"/>
  <c r="CH581" i="52"/>
  <c r="CG581" i="52"/>
  <c r="CF581" i="52"/>
  <c r="CE581" i="52"/>
  <c r="CD581" i="52"/>
  <c r="CC581" i="52"/>
  <c r="CB581" i="52"/>
  <c r="CA581" i="52"/>
  <c r="BZ581" i="52"/>
  <c r="BY581" i="52"/>
  <c r="BX581" i="52"/>
  <c r="BW581" i="52"/>
  <c r="BV581" i="52"/>
  <c r="BU581" i="52"/>
  <c r="BT581" i="52"/>
  <c r="BS581" i="52"/>
  <c r="BR581" i="52"/>
  <c r="BQ581" i="52"/>
  <c r="BP581" i="52"/>
  <c r="BO581" i="52"/>
  <c r="BN581" i="52"/>
  <c r="BM581" i="52"/>
  <c r="BL581" i="52"/>
  <c r="BK581" i="52"/>
  <c r="BJ581" i="52"/>
  <c r="BI581" i="52"/>
  <c r="BH581" i="52"/>
  <c r="BG581" i="52"/>
  <c r="BF581" i="52"/>
  <c r="BE581" i="52"/>
  <c r="BD581" i="52"/>
  <c r="BC581" i="52"/>
  <c r="BB581" i="52"/>
  <c r="BA581" i="52"/>
  <c r="AZ581" i="52"/>
  <c r="AY581" i="52"/>
  <c r="AX581" i="52"/>
  <c r="AW581" i="52"/>
  <c r="AV581" i="52"/>
  <c r="AU581" i="52"/>
  <c r="AT581" i="52"/>
  <c r="AS581" i="52"/>
  <c r="AR581" i="52"/>
  <c r="AQ581" i="52"/>
  <c r="AP581" i="52"/>
  <c r="AO581" i="52"/>
  <c r="AN581" i="52"/>
  <c r="AM581" i="52"/>
  <c r="AL581" i="52"/>
  <c r="AK581" i="52"/>
  <c r="CR580" i="52"/>
  <c r="CQ580" i="52"/>
  <c r="CP580" i="52"/>
  <c r="CO580" i="52"/>
  <c r="CN580" i="52"/>
  <c r="CM580" i="52"/>
  <c r="CL580" i="52"/>
  <c r="CK580" i="52"/>
  <c r="CJ580" i="52"/>
  <c r="CI580" i="52"/>
  <c r="CH580" i="52"/>
  <c r="CG580" i="52"/>
  <c r="CF580" i="52"/>
  <c r="CE580" i="52"/>
  <c r="CD580" i="52"/>
  <c r="CC580" i="52"/>
  <c r="CB580" i="52"/>
  <c r="CA580" i="52"/>
  <c r="BZ580" i="52"/>
  <c r="BY580" i="52"/>
  <c r="BX580" i="52"/>
  <c r="BW580" i="52"/>
  <c r="BV580" i="52"/>
  <c r="BU580" i="52"/>
  <c r="BT580" i="52"/>
  <c r="BS580" i="52"/>
  <c r="BR580" i="52"/>
  <c r="BQ580" i="52"/>
  <c r="BP580" i="52"/>
  <c r="BO580" i="52"/>
  <c r="BN580" i="52"/>
  <c r="BM580" i="52"/>
  <c r="BL580" i="52"/>
  <c r="BK580" i="52"/>
  <c r="BJ580" i="52"/>
  <c r="BI580" i="52"/>
  <c r="BH580" i="52"/>
  <c r="BG580" i="52"/>
  <c r="BF580" i="52"/>
  <c r="BE580" i="52"/>
  <c r="BD580" i="52"/>
  <c r="BC580" i="52"/>
  <c r="BB580" i="52"/>
  <c r="BA580" i="52"/>
  <c r="AZ580" i="52"/>
  <c r="AY580" i="52"/>
  <c r="AX580" i="52"/>
  <c r="AW580" i="52"/>
  <c r="AV580" i="52"/>
  <c r="AU580" i="52"/>
  <c r="AT580" i="52"/>
  <c r="AS580" i="52"/>
  <c r="AR580" i="52"/>
  <c r="AQ580" i="52"/>
  <c r="AP580" i="52"/>
  <c r="AO580" i="52"/>
  <c r="AN580" i="52"/>
  <c r="AM580" i="52"/>
  <c r="AL580" i="52"/>
  <c r="AK580" i="52"/>
  <c r="CR579" i="52"/>
  <c r="CQ579" i="52"/>
  <c r="CP579" i="52"/>
  <c r="CO579" i="52"/>
  <c r="CN579" i="52"/>
  <c r="CM579" i="52"/>
  <c r="CL579" i="52"/>
  <c r="CK579" i="52"/>
  <c r="CJ579" i="52"/>
  <c r="CI579" i="52"/>
  <c r="CH579" i="52"/>
  <c r="CG579" i="52"/>
  <c r="CF579" i="52"/>
  <c r="CE579" i="52"/>
  <c r="CD579" i="52"/>
  <c r="CC579" i="52"/>
  <c r="CB579" i="52"/>
  <c r="CA579" i="52"/>
  <c r="BZ579" i="52"/>
  <c r="BY579" i="52"/>
  <c r="BX579" i="52"/>
  <c r="BW579" i="52"/>
  <c r="BV579" i="52"/>
  <c r="BU579" i="52"/>
  <c r="BT579" i="52"/>
  <c r="BS579" i="52"/>
  <c r="BR579" i="52"/>
  <c r="BQ579" i="52"/>
  <c r="BP579" i="52"/>
  <c r="BO579" i="52"/>
  <c r="BN579" i="52"/>
  <c r="BM579" i="52"/>
  <c r="BL579" i="52"/>
  <c r="BK579" i="52"/>
  <c r="BJ579" i="52"/>
  <c r="BI579" i="52"/>
  <c r="BH579" i="52"/>
  <c r="BG579" i="52"/>
  <c r="BF579" i="52"/>
  <c r="BE579" i="52"/>
  <c r="BD579" i="52"/>
  <c r="BC579" i="52"/>
  <c r="BB579" i="52"/>
  <c r="BA579" i="52"/>
  <c r="AZ579" i="52"/>
  <c r="AY579" i="52"/>
  <c r="AX579" i="52"/>
  <c r="AW579" i="52"/>
  <c r="AV579" i="52"/>
  <c r="AU579" i="52"/>
  <c r="AT579" i="52"/>
  <c r="AS579" i="52"/>
  <c r="AR579" i="52"/>
  <c r="AQ579" i="52"/>
  <c r="AP579" i="52"/>
  <c r="AO579" i="52"/>
  <c r="AN579" i="52"/>
  <c r="AM579" i="52"/>
  <c r="AL579" i="52"/>
  <c r="AK579" i="52"/>
  <c r="CR578" i="52"/>
  <c r="CQ578" i="52"/>
  <c r="CP578" i="52"/>
  <c r="CO578" i="52"/>
  <c r="CN578" i="52"/>
  <c r="CM578" i="52"/>
  <c r="CL578" i="52"/>
  <c r="CK578" i="52"/>
  <c r="CJ578" i="52"/>
  <c r="CI578" i="52"/>
  <c r="CH578" i="52"/>
  <c r="CG578" i="52"/>
  <c r="CF578" i="52"/>
  <c r="CE578" i="52"/>
  <c r="CD578" i="52"/>
  <c r="CC578" i="52"/>
  <c r="CB578" i="52"/>
  <c r="CA578" i="52"/>
  <c r="BZ578" i="52"/>
  <c r="BY578" i="52"/>
  <c r="BX578" i="52"/>
  <c r="BW578" i="52"/>
  <c r="BV578" i="52"/>
  <c r="BU578" i="52"/>
  <c r="BT578" i="52"/>
  <c r="BS578" i="52"/>
  <c r="BR578" i="52"/>
  <c r="BQ578" i="52"/>
  <c r="BP578" i="52"/>
  <c r="BO578" i="52"/>
  <c r="BN578" i="52"/>
  <c r="BM578" i="52"/>
  <c r="BL578" i="52"/>
  <c r="BK578" i="52"/>
  <c r="BJ578" i="52"/>
  <c r="BI578" i="52"/>
  <c r="BH578" i="52"/>
  <c r="BG578" i="52"/>
  <c r="BF578" i="52"/>
  <c r="BE578" i="52"/>
  <c r="BD578" i="52"/>
  <c r="BC578" i="52"/>
  <c r="BB578" i="52"/>
  <c r="BA578" i="52"/>
  <c r="AZ578" i="52"/>
  <c r="AY578" i="52"/>
  <c r="AX578" i="52"/>
  <c r="AW578" i="52"/>
  <c r="AV578" i="52"/>
  <c r="AU578" i="52"/>
  <c r="AT578" i="52"/>
  <c r="AS578" i="52"/>
  <c r="AR578" i="52"/>
  <c r="AQ578" i="52"/>
  <c r="AP578" i="52"/>
  <c r="AO578" i="52"/>
  <c r="AN578" i="52"/>
  <c r="AM578" i="52"/>
  <c r="AL578" i="52"/>
  <c r="AK578" i="52"/>
  <c r="AF578" i="52"/>
  <c r="CR577" i="52"/>
  <c r="CQ577" i="52"/>
  <c r="CP577" i="52"/>
  <c r="CO577" i="52"/>
  <c r="CN577" i="52"/>
  <c r="CM577" i="52"/>
  <c r="CL577" i="52"/>
  <c r="CK577" i="52"/>
  <c r="CJ577" i="52"/>
  <c r="CI577" i="52"/>
  <c r="CH577" i="52"/>
  <c r="CG577" i="52"/>
  <c r="CF577" i="52"/>
  <c r="CE577" i="52"/>
  <c r="CD577" i="52"/>
  <c r="CC577" i="52"/>
  <c r="CB577" i="52"/>
  <c r="CA577" i="52"/>
  <c r="BZ577" i="52"/>
  <c r="BY577" i="52"/>
  <c r="BX577" i="52"/>
  <c r="BW577" i="52"/>
  <c r="BV577" i="52"/>
  <c r="BU577" i="52"/>
  <c r="BT577" i="52"/>
  <c r="BS577" i="52"/>
  <c r="BR577" i="52"/>
  <c r="BQ577" i="52"/>
  <c r="BP577" i="52"/>
  <c r="BO577" i="52"/>
  <c r="BN577" i="52"/>
  <c r="BM577" i="52"/>
  <c r="BL577" i="52"/>
  <c r="BK577" i="52"/>
  <c r="BJ577" i="52"/>
  <c r="BI577" i="52"/>
  <c r="BH577" i="52"/>
  <c r="BG577" i="52"/>
  <c r="BF577" i="52"/>
  <c r="BE577" i="52"/>
  <c r="BD577" i="52"/>
  <c r="BC577" i="52"/>
  <c r="BB577" i="52"/>
  <c r="BA577" i="52"/>
  <c r="AZ577" i="52"/>
  <c r="AY577" i="52"/>
  <c r="AX577" i="52"/>
  <c r="AW577" i="52"/>
  <c r="AV577" i="52"/>
  <c r="AU577" i="52"/>
  <c r="AT577" i="52"/>
  <c r="AS577" i="52"/>
  <c r="AR577" i="52"/>
  <c r="AQ577" i="52"/>
  <c r="AP577" i="52"/>
  <c r="AO577" i="52"/>
  <c r="AN577" i="52"/>
  <c r="AM577" i="52"/>
  <c r="AL577" i="52"/>
  <c r="AK577" i="52"/>
  <c r="CR576" i="52"/>
  <c r="CQ576" i="52"/>
  <c r="CP576" i="52"/>
  <c r="CO576" i="52"/>
  <c r="CN576" i="52"/>
  <c r="CM576" i="52"/>
  <c r="CL576" i="52"/>
  <c r="CK576" i="52"/>
  <c r="CJ576" i="52"/>
  <c r="CI576" i="52"/>
  <c r="CH576" i="52"/>
  <c r="CG576" i="52"/>
  <c r="CF576" i="52"/>
  <c r="CE576" i="52"/>
  <c r="CD576" i="52"/>
  <c r="CC576" i="52"/>
  <c r="CB576" i="52"/>
  <c r="CA576" i="52"/>
  <c r="BZ576" i="52"/>
  <c r="BY576" i="52"/>
  <c r="BX576" i="52"/>
  <c r="BW576" i="52"/>
  <c r="BV576" i="52"/>
  <c r="BU576" i="52"/>
  <c r="BT576" i="52"/>
  <c r="BS576" i="52"/>
  <c r="BR576" i="52"/>
  <c r="BQ576" i="52"/>
  <c r="BP576" i="52"/>
  <c r="BO576" i="52"/>
  <c r="BN576" i="52"/>
  <c r="BM576" i="52"/>
  <c r="BL576" i="52"/>
  <c r="BK576" i="52"/>
  <c r="BJ576" i="52"/>
  <c r="BI576" i="52"/>
  <c r="BH576" i="52"/>
  <c r="BG576" i="52"/>
  <c r="BF576" i="52"/>
  <c r="BE576" i="52"/>
  <c r="BD576" i="52"/>
  <c r="BC576" i="52"/>
  <c r="BB576" i="52"/>
  <c r="BA576" i="52"/>
  <c r="AZ576" i="52"/>
  <c r="AY576" i="52"/>
  <c r="AX576" i="52"/>
  <c r="AW576" i="52"/>
  <c r="AV576" i="52"/>
  <c r="AU576" i="52"/>
  <c r="AT576" i="52"/>
  <c r="AS576" i="52"/>
  <c r="AR576" i="52"/>
  <c r="AQ576" i="52"/>
  <c r="AP576" i="52"/>
  <c r="AO576" i="52"/>
  <c r="AN576" i="52"/>
  <c r="AM576" i="52"/>
  <c r="AL576" i="52"/>
  <c r="AK576" i="52"/>
  <c r="CR575" i="52"/>
  <c r="CQ575" i="52"/>
  <c r="CP575" i="52"/>
  <c r="CO575" i="52"/>
  <c r="CN575" i="52"/>
  <c r="CM575" i="52"/>
  <c r="CL575" i="52"/>
  <c r="CK575" i="52"/>
  <c r="CJ575" i="52"/>
  <c r="CI575" i="52"/>
  <c r="CH575" i="52"/>
  <c r="CG575" i="52"/>
  <c r="CG582" i="52" s="1"/>
  <c r="CF575" i="52"/>
  <c r="CE575" i="52"/>
  <c r="CD575" i="52"/>
  <c r="CC575" i="52"/>
  <c r="CB575" i="52"/>
  <c r="CA575" i="52"/>
  <c r="BZ575" i="52"/>
  <c r="BY575" i="52"/>
  <c r="BX575" i="52"/>
  <c r="BW575" i="52"/>
  <c r="BV575" i="52"/>
  <c r="BU575" i="52"/>
  <c r="BT575" i="52"/>
  <c r="BS575" i="52"/>
  <c r="BR575" i="52"/>
  <c r="BQ575" i="52"/>
  <c r="BP575" i="52"/>
  <c r="BO575" i="52"/>
  <c r="BN575" i="52"/>
  <c r="BM575" i="52"/>
  <c r="BL575" i="52"/>
  <c r="BK575" i="52"/>
  <c r="BJ575" i="52"/>
  <c r="BI575" i="52"/>
  <c r="BI582" i="52" s="1"/>
  <c r="BH575" i="52"/>
  <c r="BG575" i="52"/>
  <c r="BF575" i="52"/>
  <c r="BE575" i="52"/>
  <c r="BD575" i="52"/>
  <c r="BC575" i="52"/>
  <c r="BB575" i="52"/>
  <c r="BA575" i="52"/>
  <c r="AZ575" i="52"/>
  <c r="AY575" i="52"/>
  <c r="AX575" i="52"/>
  <c r="AW575" i="52"/>
  <c r="AV575" i="52"/>
  <c r="AU575" i="52"/>
  <c r="AT575" i="52"/>
  <c r="AS575" i="52"/>
  <c r="AR575" i="52"/>
  <c r="AQ575" i="52"/>
  <c r="AP575" i="52"/>
  <c r="AO575" i="52"/>
  <c r="AN575" i="52"/>
  <c r="AM575" i="52"/>
  <c r="AL575" i="52"/>
  <c r="AK575" i="52"/>
  <c r="CR574" i="52"/>
  <c r="CQ574" i="52"/>
  <c r="CP574" i="52"/>
  <c r="CO574" i="52"/>
  <c r="CN574" i="52"/>
  <c r="CM574" i="52"/>
  <c r="CL574" i="52"/>
  <c r="CK574" i="52"/>
  <c r="CJ574" i="52"/>
  <c r="CI574" i="52"/>
  <c r="CH574" i="52"/>
  <c r="CG574" i="52"/>
  <c r="CF574" i="52"/>
  <c r="CE574" i="52"/>
  <c r="CD574" i="52"/>
  <c r="CC574" i="52"/>
  <c r="CB574" i="52"/>
  <c r="CA574" i="52"/>
  <c r="BZ574" i="52"/>
  <c r="BY574" i="52"/>
  <c r="BX574" i="52"/>
  <c r="BW574" i="52"/>
  <c r="BV574" i="52"/>
  <c r="BU574" i="52"/>
  <c r="BU582" i="52" s="1"/>
  <c r="BT574" i="52"/>
  <c r="BS574" i="52"/>
  <c r="BR574" i="52"/>
  <c r="BQ574" i="52"/>
  <c r="BP574" i="52"/>
  <c r="BO574" i="52"/>
  <c r="BN574" i="52"/>
  <c r="BM574" i="52"/>
  <c r="BL574" i="52"/>
  <c r="BK574" i="52"/>
  <c r="BJ574" i="52"/>
  <c r="BI574" i="52"/>
  <c r="BH574" i="52"/>
  <c r="BG574" i="52"/>
  <c r="BF574" i="52"/>
  <c r="BE574" i="52"/>
  <c r="BD574" i="52"/>
  <c r="BC574" i="52"/>
  <c r="BB574" i="52"/>
  <c r="BA574" i="52"/>
  <c r="AZ574" i="52"/>
  <c r="AY574" i="52"/>
  <c r="AX574" i="52"/>
  <c r="AW574" i="52"/>
  <c r="AV574" i="52"/>
  <c r="AU574" i="52"/>
  <c r="AT574" i="52"/>
  <c r="AS574" i="52"/>
  <c r="AR574" i="52"/>
  <c r="AQ574" i="52"/>
  <c r="AP574" i="52"/>
  <c r="AO574" i="52"/>
  <c r="AN574" i="52"/>
  <c r="AM574" i="52"/>
  <c r="AL574" i="52"/>
  <c r="AK574" i="52"/>
  <c r="CR573" i="52"/>
  <c r="CQ573" i="52"/>
  <c r="CP573" i="52"/>
  <c r="CO573" i="52"/>
  <c r="CN573" i="52"/>
  <c r="CM573" i="52"/>
  <c r="CL573" i="52"/>
  <c r="CK573" i="52"/>
  <c r="CJ573" i="52"/>
  <c r="CI573" i="52"/>
  <c r="CH573" i="52"/>
  <c r="CG573" i="52"/>
  <c r="CF573" i="52"/>
  <c r="CE573" i="52"/>
  <c r="CD573" i="52"/>
  <c r="CC573" i="52"/>
  <c r="CB573" i="52"/>
  <c r="CA573" i="52"/>
  <c r="BZ573" i="52"/>
  <c r="BY573" i="52"/>
  <c r="BX573" i="52"/>
  <c r="BW573" i="52"/>
  <c r="BV573" i="52"/>
  <c r="BU573" i="52"/>
  <c r="BT573" i="52"/>
  <c r="BS573" i="52"/>
  <c r="BR573" i="52"/>
  <c r="BQ573" i="52"/>
  <c r="BP573" i="52"/>
  <c r="BO573" i="52"/>
  <c r="BN573" i="52"/>
  <c r="BM573" i="52"/>
  <c r="BL573" i="52"/>
  <c r="BK573" i="52"/>
  <c r="BJ573" i="52"/>
  <c r="BI573" i="52"/>
  <c r="BH573" i="52"/>
  <c r="BG573" i="52"/>
  <c r="BF573" i="52"/>
  <c r="BE573" i="52"/>
  <c r="BD573" i="52"/>
  <c r="BC573" i="52"/>
  <c r="BB573" i="52"/>
  <c r="BA573" i="52"/>
  <c r="AZ573" i="52"/>
  <c r="AY573" i="52"/>
  <c r="AX573" i="52"/>
  <c r="AW573" i="52"/>
  <c r="AV573" i="52"/>
  <c r="AU573" i="52"/>
  <c r="AT573" i="52"/>
  <c r="AS573" i="52"/>
  <c r="AR573" i="52"/>
  <c r="AQ573" i="52"/>
  <c r="AP573" i="52"/>
  <c r="AO573" i="52"/>
  <c r="AN573" i="52"/>
  <c r="AM573" i="52"/>
  <c r="AL573" i="52"/>
  <c r="AK573" i="52"/>
  <c r="CR572" i="52"/>
  <c r="CQ572" i="52"/>
  <c r="CP572" i="52"/>
  <c r="CO572" i="52"/>
  <c r="CN572" i="52"/>
  <c r="CM572" i="52"/>
  <c r="CL572" i="52"/>
  <c r="CK572" i="52"/>
  <c r="CJ572" i="52"/>
  <c r="CI572" i="52"/>
  <c r="CH572" i="52"/>
  <c r="CG572" i="52"/>
  <c r="CF572" i="52"/>
  <c r="CE572" i="52"/>
  <c r="CD572" i="52"/>
  <c r="CC572" i="52"/>
  <c r="CB572" i="52"/>
  <c r="CA572" i="52"/>
  <c r="BZ572" i="52"/>
  <c r="BY572" i="52"/>
  <c r="BX572" i="52"/>
  <c r="BW572" i="52"/>
  <c r="BV572" i="52"/>
  <c r="BU572" i="52"/>
  <c r="BT572" i="52"/>
  <c r="BS572" i="52"/>
  <c r="BR572" i="52"/>
  <c r="BQ572" i="52"/>
  <c r="BP572" i="52"/>
  <c r="BO572" i="52"/>
  <c r="BN572" i="52"/>
  <c r="BM572" i="52"/>
  <c r="BL572" i="52"/>
  <c r="BK572" i="52"/>
  <c r="BJ572" i="52"/>
  <c r="BI572" i="52"/>
  <c r="BH572" i="52"/>
  <c r="BG572" i="52"/>
  <c r="BF572" i="52"/>
  <c r="BE572" i="52"/>
  <c r="BD572" i="52"/>
  <c r="BC572" i="52"/>
  <c r="BB572" i="52"/>
  <c r="BA572" i="52"/>
  <c r="AZ572" i="52"/>
  <c r="AY572" i="52"/>
  <c r="AX572" i="52"/>
  <c r="AW572" i="52"/>
  <c r="AV572" i="52"/>
  <c r="AU572" i="52"/>
  <c r="AT572" i="52"/>
  <c r="AS572" i="52"/>
  <c r="AR572" i="52"/>
  <c r="AQ572" i="52"/>
  <c r="AP572" i="52"/>
  <c r="AO572" i="52"/>
  <c r="AN572" i="52"/>
  <c r="AM572" i="52"/>
  <c r="AL572" i="52"/>
  <c r="AK572" i="52"/>
  <c r="CR571" i="52"/>
  <c r="CQ571" i="52"/>
  <c r="CP571" i="52"/>
  <c r="CO571" i="52"/>
  <c r="CN571" i="52"/>
  <c r="CM571" i="52"/>
  <c r="CL571" i="52"/>
  <c r="CK571" i="52"/>
  <c r="CJ571" i="52"/>
  <c r="CI571" i="52"/>
  <c r="CH571" i="52"/>
  <c r="CG571" i="52"/>
  <c r="CF571" i="52"/>
  <c r="CE571" i="52"/>
  <c r="CD571" i="52"/>
  <c r="CC571" i="52"/>
  <c r="CB571" i="52"/>
  <c r="CA571" i="52"/>
  <c r="BZ571" i="52"/>
  <c r="BY571" i="52"/>
  <c r="BX571" i="52"/>
  <c r="BW571" i="52"/>
  <c r="BV571" i="52"/>
  <c r="BU571" i="52"/>
  <c r="BT571" i="52"/>
  <c r="BS571" i="52"/>
  <c r="BR571" i="52"/>
  <c r="BQ571" i="52"/>
  <c r="BP571" i="52"/>
  <c r="BO571" i="52"/>
  <c r="BN571" i="52"/>
  <c r="BM571" i="52"/>
  <c r="BL571" i="52"/>
  <c r="BK571" i="52"/>
  <c r="BJ571" i="52"/>
  <c r="BI571" i="52"/>
  <c r="BH571" i="52"/>
  <c r="BG571" i="52"/>
  <c r="BF571" i="52"/>
  <c r="BE571" i="52"/>
  <c r="BD571" i="52"/>
  <c r="BC571" i="52"/>
  <c r="BB571" i="52"/>
  <c r="BA571" i="52"/>
  <c r="AZ571" i="52"/>
  <c r="AY571" i="52"/>
  <c r="AX571" i="52"/>
  <c r="AW571" i="52"/>
  <c r="AV571" i="52"/>
  <c r="AU571" i="52"/>
  <c r="AT571" i="52"/>
  <c r="AS571" i="52"/>
  <c r="AR571" i="52"/>
  <c r="AQ571" i="52"/>
  <c r="AP571" i="52"/>
  <c r="AO571" i="52"/>
  <c r="AN571" i="52"/>
  <c r="AM571" i="52"/>
  <c r="AL571" i="52"/>
  <c r="AK571" i="52"/>
  <c r="CR570" i="52"/>
  <c r="CQ570" i="52"/>
  <c r="CP570" i="52"/>
  <c r="CO570" i="52"/>
  <c r="CN570" i="52"/>
  <c r="CM570" i="52"/>
  <c r="CL570" i="52"/>
  <c r="CK570" i="52"/>
  <c r="CJ570" i="52"/>
  <c r="CI570" i="52"/>
  <c r="CH570" i="52"/>
  <c r="CG570" i="52"/>
  <c r="CF570" i="52"/>
  <c r="CE570" i="52"/>
  <c r="CD570" i="52"/>
  <c r="CD582" i="52" s="1"/>
  <c r="CC570" i="52"/>
  <c r="CB570" i="52"/>
  <c r="CA570" i="52"/>
  <c r="BZ570" i="52"/>
  <c r="BY570" i="52"/>
  <c r="BX570" i="52"/>
  <c r="BW570" i="52"/>
  <c r="BV570" i="52"/>
  <c r="BU570" i="52"/>
  <c r="BT570" i="52"/>
  <c r="BS570" i="52"/>
  <c r="BR570" i="52"/>
  <c r="BQ570" i="52"/>
  <c r="BP570" i="52"/>
  <c r="BO570" i="52"/>
  <c r="BN570" i="52"/>
  <c r="BM570" i="52"/>
  <c r="BL570" i="52"/>
  <c r="BK570" i="52"/>
  <c r="BJ570" i="52"/>
  <c r="BI570" i="52"/>
  <c r="BH570" i="52"/>
  <c r="BG570" i="52"/>
  <c r="BF570" i="52"/>
  <c r="BF582" i="52" s="1"/>
  <c r="BE570" i="52"/>
  <c r="BD570" i="52"/>
  <c r="BC570" i="52"/>
  <c r="BB570" i="52"/>
  <c r="BA570" i="52"/>
  <c r="AZ570" i="52"/>
  <c r="AY570" i="52"/>
  <c r="AX570" i="52"/>
  <c r="AW570" i="52"/>
  <c r="AV570" i="52"/>
  <c r="AU570" i="52"/>
  <c r="AT570" i="52"/>
  <c r="AS570" i="52"/>
  <c r="AR570" i="52"/>
  <c r="AQ570" i="52"/>
  <c r="AP570" i="52"/>
  <c r="AO570" i="52"/>
  <c r="AN570" i="52"/>
  <c r="AM570" i="52"/>
  <c r="AL570" i="52"/>
  <c r="AK570" i="52"/>
  <c r="CR569" i="52"/>
  <c r="CQ569" i="52"/>
  <c r="CP569" i="52"/>
  <c r="CO569" i="52"/>
  <c r="CN569" i="52"/>
  <c r="CM569" i="52"/>
  <c r="CL569" i="52"/>
  <c r="CK569" i="52"/>
  <c r="CJ569" i="52"/>
  <c r="CI569" i="52"/>
  <c r="CH569" i="52"/>
  <c r="CG569" i="52"/>
  <c r="CF569" i="52"/>
  <c r="CE569" i="52"/>
  <c r="CD569" i="52"/>
  <c r="CC569" i="52"/>
  <c r="CB569" i="52"/>
  <c r="CA569" i="52"/>
  <c r="BZ569" i="52"/>
  <c r="BY569" i="52"/>
  <c r="BX569" i="52"/>
  <c r="BW569" i="52"/>
  <c r="BV569" i="52"/>
  <c r="BU569" i="52"/>
  <c r="BT569" i="52"/>
  <c r="BS569" i="52"/>
  <c r="BR569" i="52"/>
  <c r="BQ569" i="52"/>
  <c r="BP569" i="52"/>
  <c r="BO569" i="52"/>
  <c r="BN569" i="52"/>
  <c r="BM569" i="52"/>
  <c r="BL569" i="52"/>
  <c r="BK569" i="52"/>
  <c r="BJ569" i="52"/>
  <c r="BI569" i="52"/>
  <c r="BH569" i="52"/>
  <c r="BG569" i="52"/>
  <c r="BF569" i="52"/>
  <c r="BE569" i="52"/>
  <c r="BD569" i="52"/>
  <c r="BC569" i="52"/>
  <c r="BB569" i="52"/>
  <c r="BA569" i="52"/>
  <c r="AZ569" i="52"/>
  <c r="AY569" i="52"/>
  <c r="AX569" i="52"/>
  <c r="AW569" i="52"/>
  <c r="AV569" i="52"/>
  <c r="AU569" i="52"/>
  <c r="AT569" i="52"/>
  <c r="AS569" i="52"/>
  <c r="AR569" i="52"/>
  <c r="AQ569" i="52"/>
  <c r="AP569" i="52"/>
  <c r="AO569" i="52"/>
  <c r="AN569" i="52"/>
  <c r="AM569" i="52"/>
  <c r="AL569" i="52"/>
  <c r="AK569" i="52"/>
  <c r="CR568" i="52"/>
  <c r="CR582" i="52" s="1"/>
  <c r="CQ568" i="52"/>
  <c r="CP568" i="52"/>
  <c r="CP582" i="52" s="1"/>
  <c r="CO568" i="52"/>
  <c r="CO582" i="52" s="1"/>
  <c r="CN568" i="52"/>
  <c r="CM568" i="52"/>
  <c r="CL568" i="52"/>
  <c r="CK568" i="52"/>
  <c r="CJ568" i="52"/>
  <c r="CI568" i="52"/>
  <c r="CH568" i="52"/>
  <c r="CG568" i="52"/>
  <c r="CF568" i="52"/>
  <c r="CE568" i="52"/>
  <c r="CD568" i="52"/>
  <c r="CC568" i="52"/>
  <c r="CC582" i="52" s="1"/>
  <c r="CB568" i="52"/>
  <c r="CA568" i="52"/>
  <c r="BZ568" i="52"/>
  <c r="BY568" i="52"/>
  <c r="BX568" i="52"/>
  <c r="BW568" i="52"/>
  <c r="BV568" i="52"/>
  <c r="BU568" i="52"/>
  <c r="BT568" i="52"/>
  <c r="BT582" i="52" s="1"/>
  <c r="BS568" i="52"/>
  <c r="BR568" i="52"/>
  <c r="BR582" i="52" s="1"/>
  <c r="BQ568" i="52"/>
  <c r="BQ582" i="52" s="1"/>
  <c r="BP568" i="52"/>
  <c r="BO568" i="52"/>
  <c r="BN568" i="52"/>
  <c r="BM568" i="52"/>
  <c r="BL568" i="52"/>
  <c r="BK568" i="52"/>
  <c r="BJ568" i="52"/>
  <c r="BI568" i="52"/>
  <c r="BH568" i="52"/>
  <c r="BG568" i="52"/>
  <c r="BF568" i="52"/>
  <c r="BE568" i="52"/>
  <c r="BE582" i="52" s="1"/>
  <c r="BD568" i="52"/>
  <c r="BC568" i="52"/>
  <c r="BB568" i="52"/>
  <c r="BA568" i="52"/>
  <c r="AZ568" i="52"/>
  <c r="AY568" i="52"/>
  <c r="AX568" i="52"/>
  <c r="AW568" i="52"/>
  <c r="AV568" i="52"/>
  <c r="AU568" i="52"/>
  <c r="AT568" i="52"/>
  <c r="AS568" i="52"/>
  <c r="AR568" i="52"/>
  <c r="AQ568" i="52"/>
  <c r="AP568" i="52"/>
  <c r="AO568" i="52"/>
  <c r="AN568" i="52"/>
  <c r="AM568" i="52"/>
  <c r="AL568" i="52"/>
  <c r="AK568" i="52"/>
  <c r="CR567" i="52"/>
  <c r="CQ567" i="52"/>
  <c r="CP567" i="52"/>
  <c r="CO567" i="52"/>
  <c r="CN567" i="52"/>
  <c r="CM567" i="52"/>
  <c r="CM582" i="52" s="1"/>
  <c r="CL567" i="52"/>
  <c r="CL582" i="52" s="1"/>
  <c r="CK567" i="52"/>
  <c r="CJ567" i="52"/>
  <c r="CJ582" i="52" s="1"/>
  <c r="CI567" i="52"/>
  <c r="CI582" i="52" s="1"/>
  <c r="CH567" i="52"/>
  <c r="CG567" i="52"/>
  <c r="CF567" i="52"/>
  <c r="CF582" i="52" s="1"/>
  <c r="CE567" i="52"/>
  <c r="CD567" i="52"/>
  <c r="CC567" i="52"/>
  <c r="CB567" i="52"/>
  <c r="CA567" i="52"/>
  <c r="CA582" i="52" s="1"/>
  <c r="BZ567" i="52"/>
  <c r="BZ582" i="52" s="1"/>
  <c r="BY567" i="52"/>
  <c r="BX567" i="52"/>
  <c r="BX582" i="52" s="1"/>
  <c r="BW567" i="52"/>
  <c r="BW582" i="52" s="1"/>
  <c r="BV567" i="52"/>
  <c r="BU567" i="52"/>
  <c r="BT567" i="52"/>
  <c r="BS567" i="52"/>
  <c r="BR567" i="52"/>
  <c r="BQ567" i="52"/>
  <c r="BP567" i="52"/>
  <c r="BO567" i="52"/>
  <c r="BO582" i="52" s="1"/>
  <c r="BN567" i="52"/>
  <c r="BN582" i="52" s="1"/>
  <c r="BM567" i="52"/>
  <c r="BL567" i="52"/>
  <c r="BL582" i="52" s="1"/>
  <c r="BK567" i="52"/>
  <c r="BK582" i="52" s="1"/>
  <c r="BJ567" i="52"/>
  <c r="BI567" i="52"/>
  <c r="BH567" i="52"/>
  <c r="BH582" i="52" s="1"/>
  <c r="BG567" i="52"/>
  <c r="BF567" i="52"/>
  <c r="BE567" i="52"/>
  <c r="BD567" i="52"/>
  <c r="BC567" i="52"/>
  <c r="BC582" i="52" s="1"/>
  <c r="BB567" i="52"/>
  <c r="BB582" i="52" s="1"/>
  <c r="BA567" i="52"/>
  <c r="AZ567" i="52"/>
  <c r="AZ582" i="52" s="1"/>
  <c r="AY567" i="52"/>
  <c r="AX567" i="52"/>
  <c r="AW567" i="52"/>
  <c r="AV567" i="52"/>
  <c r="AU567" i="52"/>
  <c r="AT567" i="52"/>
  <c r="AS567" i="52"/>
  <c r="AR567" i="52"/>
  <c r="AQ567" i="52"/>
  <c r="AP567" i="52"/>
  <c r="AO567" i="52"/>
  <c r="AN567" i="52"/>
  <c r="AM567" i="52"/>
  <c r="AL567" i="52"/>
  <c r="AK567" i="52"/>
  <c r="AF567" i="52"/>
  <c r="AY566" i="52"/>
  <c r="AX566" i="52"/>
  <c r="AW566" i="52"/>
  <c r="AV566" i="52"/>
  <c r="AU566" i="52"/>
  <c r="AT566" i="52"/>
  <c r="AS566" i="52"/>
  <c r="AR566" i="52"/>
  <c r="AQ566" i="52"/>
  <c r="AP566" i="52"/>
  <c r="AO566" i="52"/>
  <c r="AN566" i="52"/>
  <c r="AM566" i="52"/>
  <c r="AL566" i="52"/>
  <c r="AK566" i="52"/>
  <c r="AY565" i="52"/>
  <c r="AX565" i="52"/>
  <c r="AW565" i="52"/>
  <c r="AV565" i="52"/>
  <c r="AU565" i="52"/>
  <c r="AT565" i="52"/>
  <c r="AS565" i="52"/>
  <c r="AR565" i="52"/>
  <c r="AQ565" i="52"/>
  <c r="AP565" i="52"/>
  <c r="AO565" i="52"/>
  <c r="AN565" i="52"/>
  <c r="AM565" i="52"/>
  <c r="AL565" i="52"/>
  <c r="AK565" i="52"/>
  <c r="AY564" i="52"/>
  <c r="AX564" i="52"/>
  <c r="AW564" i="52"/>
  <c r="AV564" i="52"/>
  <c r="AU564" i="52"/>
  <c r="AT564" i="52"/>
  <c r="AS564" i="52"/>
  <c r="AR564" i="52"/>
  <c r="AQ564" i="52"/>
  <c r="AP564" i="52"/>
  <c r="AO564" i="52"/>
  <c r="AN564" i="52"/>
  <c r="AM564" i="52"/>
  <c r="AL564" i="52"/>
  <c r="AK564" i="52"/>
  <c r="AY563" i="52"/>
  <c r="AX563" i="52"/>
  <c r="AW563" i="52"/>
  <c r="AV563" i="52"/>
  <c r="AU563" i="52"/>
  <c r="AT563" i="52"/>
  <c r="AS563" i="52"/>
  <c r="AR563" i="52"/>
  <c r="AQ563" i="52"/>
  <c r="AP563" i="52"/>
  <c r="AO563" i="52"/>
  <c r="AN563" i="52"/>
  <c r="AM563" i="52"/>
  <c r="AL563" i="52"/>
  <c r="AK563" i="52"/>
  <c r="AY562" i="52"/>
  <c r="AX562" i="52"/>
  <c r="AW562" i="52"/>
  <c r="AV562" i="52"/>
  <c r="AU562" i="52"/>
  <c r="AT562" i="52"/>
  <c r="AS562" i="52"/>
  <c r="AR562" i="52"/>
  <c r="AQ562" i="52"/>
  <c r="AP562" i="52"/>
  <c r="AO562" i="52"/>
  <c r="AN562" i="52"/>
  <c r="AM562" i="52"/>
  <c r="AL562" i="52"/>
  <c r="AK562" i="52"/>
  <c r="AY561" i="52"/>
  <c r="AX561" i="52"/>
  <c r="AW561" i="52"/>
  <c r="AV561" i="52"/>
  <c r="AU561" i="52"/>
  <c r="AT561" i="52"/>
  <c r="AS561" i="52"/>
  <c r="AR561" i="52"/>
  <c r="AQ561" i="52"/>
  <c r="AP561" i="52"/>
  <c r="AO561" i="52"/>
  <c r="AN561" i="52"/>
  <c r="AM561" i="52"/>
  <c r="AL561" i="52"/>
  <c r="AK561" i="52"/>
  <c r="AY560" i="52"/>
  <c r="AX560" i="52"/>
  <c r="AW560" i="52"/>
  <c r="AV560" i="52"/>
  <c r="AU560" i="52"/>
  <c r="AT560" i="52"/>
  <c r="AS560" i="52"/>
  <c r="AR560" i="52"/>
  <c r="AQ560" i="52"/>
  <c r="AP560" i="52"/>
  <c r="AO560" i="52"/>
  <c r="AN560" i="52"/>
  <c r="AM560" i="52"/>
  <c r="AL560" i="52"/>
  <c r="AK560" i="52"/>
  <c r="AY559" i="52"/>
  <c r="AX559" i="52"/>
  <c r="AW559" i="52"/>
  <c r="AV559" i="52"/>
  <c r="AU559" i="52"/>
  <c r="AT559" i="52"/>
  <c r="AS559" i="52"/>
  <c r="AR559" i="52"/>
  <c r="AQ559" i="52"/>
  <c r="AP559" i="52"/>
  <c r="AO559" i="52"/>
  <c r="AN559" i="52"/>
  <c r="AM559" i="52"/>
  <c r="AL559" i="52"/>
  <c r="AK559" i="52"/>
  <c r="AY558" i="52"/>
  <c r="AX558" i="52"/>
  <c r="AW558" i="52"/>
  <c r="AV558" i="52"/>
  <c r="AU558" i="52"/>
  <c r="AT558" i="52"/>
  <c r="AS558" i="52"/>
  <c r="AR558" i="52"/>
  <c r="AQ558" i="52"/>
  <c r="AP558" i="52"/>
  <c r="AO558" i="52"/>
  <c r="AN558" i="52"/>
  <c r="AM558" i="52"/>
  <c r="AL558" i="52"/>
  <c r="AK558" i="52"/>
  <c r="AY557" i="52"/>
  <c r="AY722" i="52" s="1"/>
  <c r="AX557" i="52"/>
  <c r="AW557" i="52"/>
  <c r="AW722" i="52" s="1"/>
  <c r="AV557" i="52"/>
  <c r="AV722" i="52" s="1"/>
  <c r="AU557" i="52"/>
  <c r="AT557" i="52"/>
  <c r="AT722" i="52" s="1"/>
  <c r="AS557" i="52"/>
  <c r="AS722" i="52" s="1"/>
  <c r="AR557" i="52"/>
  <c r="AQ557" i="52"/>
  <c r="AQ722" i="52" s="1"/>
  <c r="AP557" i="52"/>
  <c r="AP722" i="52" s="1"/>
  <c r="AO557" i="52"/>
  <c r="AN557" i="52"/>
  <c r="AN722" i="52" s="1"/>
  <c r="AM557" i="52"/>
  <c r="AL557" i="52"/>
  <c r="AK557" i="52"/>
  <c r="AK722" i="52" s="1"/>
  <c r="AN723" i="52" s="1"/>
  <c r="AH557" i="52"/>
  <c r="B540" i="52"/>
  <c r="B548" i="52"/>
  <c r="B547" i="52"/>
  <c r="B546" i="52"/>
  <c r="B545" i="52"/>
  <c r="B544" i="52"/>
  <c r="B543" i="52"/>
  <c r="DA411" i="52"/>
  <c r="DA410" i="52"/>
  <c r="AP543" i="52"/>
  <c r="AN542" i="52"/>
  <c r="BH538" i="52"/>
  <c r="BG538" i="52"/>
  <c r="BF538" i="52"/>
  <c r="BE538" i="52"/>
  <c r="BD538" i="52"/>
  <c r="BC538" i="52"/>
  <c r="BB538" i="52"/>
  <c r="BA538" i="52"/>
  <c r="AZ538" i="52"/>
  <c r="AY538" i="52"/>
  <c r="AX538" i="52"/>
  <c r="AW538" i="52"/>
  <c r="AV538" i="52"/>
  <c r="AU538" i="52"/>
  <c r="AT538" i="52"/>
  <c r="AS538" i="52"/>
  <c r="AR538" i="52"/>
  <c r="AQ538" i="52"/>
  <c r="AP538" i="52"/>
  <c r="AO538" i="52"/>
  <c r="AN538" i="52"/>
  <c r="AM538" i="52"/>
  <c r="AL538" i="52"/>
  <c r="AK538" i="52"/>
  <c r="BH537" i="52"/>
  <c r="BG537" i="52"/>
  <c r="BF537" i="52"/>
  <c r="BE537" i="52"/>
  <c r="BD537" i="52"/>
  <c r="BC537" i="52"/>
  <c r="BB537" i="52"/>
  <c r="BA537" i="52"/>
  <c r="AZ537" i="52"/>
  <c r="AY537" i="52"/>
  <c r="AX537" i="52"/>
  <c r="AW537" i="52"/>
  <c r="AV537" i="52"/>
  <c r="AU537" i="52"/>
  <c r="AT537" i="52"/>
  <c r="AS537" i="52"/>
  <c r="AR537" i="52"/>
  <c r="AQ537" i="52"/>
  <c r="AP537" i="52"/>
  <c r="AO537" i="52"/>
  <c r="AN537" i="52"/>
  <c r="AM537" i="52"/>
  <c r="AL537" i="52"/>
  <c r="AK537" i="52"/>
  <c r="BH536" i="52"/>
  <c r="BG536" i="52"/>
  <c r="BF536" i="52"/>
  <c r="BE536" i="52"/>
  <c r="BD536" i="52"/>
  <c r="BC536" i="52"/>
  <c r="BB536" i="52"/>
  <c r="BA536" i="52"/>
  <c r="AZ536" i="52"/>
  <c r="AY536" i="52"/>
  <c r="AX536" i="52"/>
  <c r="AW536" i="52"/>
  <c r="AV536" i="52"/>
  <c r="AU536" i="52"/>
  <c r="AT536" i="52"/>
  <c r="AS536" i="52"/>
  <c r="AR536" i="52"/>
  <c r="AQ536" i="52"/>
  <c r="AP536" i="52"/>
  <c r="AO536" i="52"/>
  <c r="AN536" i="52"/>
  <c r="AM536" i="52"/>
  <c r="AL536" i="52"/>
  <c r="AK536" i="52"/>
  <c r="BH535" i="52"/>
  <c r="BG535" i="52"/>
  <c r="BF535" i="52"/>
  <c r="BE535" i="52"/>
  <c r="BD535" i="52"/>
  <c r="BC535" i="52"/>
  <c r="BB535" i="52"/>
  <c r="BA535" i="52"/>
  <c r="AZ535" i="52"/>
  <c r="AY535" i="52"/>
  <c r="AX535" i="52"/>
  <c r="AW535" i="52"/>
  <c r="AV535" i="52"/>
  <c r="AU535" i="52"/>
  <c r="AT535" i="52"/>
  <c r="AS535" i="52"/>
  <c r="AR535" i="52"/>
  <c r="AQ535" i="52"/>
  <c r="AP535" i="52"/>
  <c r="AO535" i="52"/>
  <c r="AN535" i="52"/>
  <c r="AM535" i="52"/>
  <c r="AL535" i="52"/>
  <c r="AK535" i="52"/>
  <c r="BH534" i="52"/>
  <c r="BG534" i="52"/>
  <c r="BF534" i="52"/>
  <c r="BE534" i="52"/>
  <c r="BD534" i="52"/>
  <c r="BC534" i="52"/>
  <c r="BB534" i="52"/>
  <c r="BA534" i="52"/>
  <c r="AZ534" i="52"/>
  <c r="AY534" i="52"/>
  <c r="AX534" i="52"/>
  <c r="AW534" i="52"/>
  <c r="AV534" i="52"/>
  <c r="AU534" i="52"/>
  <c r="AT534" i="52"/>
  <c r="AS534" i="52"/>
  <c r="AR534" i="52"/>
  <c r="AQ534" i="52"/>
  <c r="AP534" i="52"/>
  <c r="AO534" i="52"/>
  <c r="AN534" i="52"/>
  <c r="AM534" i="52"/>
  <c r="AL534" i="52"/>
  <c r="AK534" i="52"/>
  <c r="BH533" i="52"/>
  <c r="BG533" i="52"/>
  <c r="BF533" i="52"/>
  <c r="BE533" i="52"/>
  <c r="BD533" i="52"/>
  <c r="BC533" i="52"/>
  <c r="BB533" i="52"/>
  <c r="BA533" i="52"/>
  <c r="AZ533" i="52"/>
  <c r="AY533" i="52"/>
  <c r="AX533" i="52"/>
  <c r="AW533" i="52"/>
  <c r="AV533" i="52"/>
  <c r="AU533" i="52"/>
  <c r="AT533" i="52"/>
  <c r="AS533" i="52"/>
  <c r="AR533" i="52"/>
  <c r="AQ533" i="52"/>
  <c r="AP533" i="52"/>
  <c r="AO533" i="52"/>
  <c r="AN533" i="52"/>
  <c r="AM533" i="52"/>
  <c r="AL533" i="52"/>
  <c r="AK533" i="52"/>
  <c r="BH532" i="52"/>
  <c r="BG532" i="52"/>
  <c r="BF532" i="52"/>
  <c r="BE532" i="52"/>
  <c r="BD532" i="52"/>
  <c r="BC532" i="52"/>
  <c r="BB532" i="52"/>
  <c r="BA532" i="52"/>
  <c r="AZ532" i="52"/>
  <c r="AY532" i="52"/>
  <c r="AX532" i="52"/>
  <c r="AW532" i="52"/>
  <c r="AV532" i="52"/>
  <c r="AU532" i="52"/>
  <c r="AT532" i="52"/>
  <c r="AS532" i="52"/>
  <c r="AR532" i="52"/>
  <c r="AQ532" i="52"/>
  <c r="AP532" i="52"/>
  <c r="AO532" i="52"/>
  <c r="AN532" i="52"/>
  <c r="AM532" i="52"/>
  <c r="AL532" i="52"/>
  <c r="AK532" i="52"/>
  <c r="BH531" i="52"/>
  <c r="BG531" i="52"/>
  <c r="BF531" i="52"/>
  <c r="BE531" i="52"/>
  <c r="BD531" i="52"/>
  <c r="BC531" i="52"/>
  <c r="BB531" i="52"/>
  <c r="BA531" i="52"/>
  <c r="AZ531" i="52"/>
  <c r="AY531" i="52"/>
  <c r="AX531" i="52"/>
  <c r="AW531" i="52"/>
  <c r="AV531" i="52"/>
  <c r="AU531" i="52"/>
  <c r="AT531" i="52"/>
  <c r="AS531" i="52"/>
  <c r="AR531" i="52"/>
  <c r="AQ531" i="52"/>
  <c r="AP531" i="52"/>
  <c r="AO531" i="52"/>
  <c r="AN531" i="52"/>
  <c r="AM531" i="52"/>
  <c r="AL531" i="52"/>
  <c r="AK531" i="52"/>
  <c r="BH530" i="52"/>
  <c r="BG530" i="52"/>
  <c r="BF530" i="52"/>
  <c r="BE530" i="52"/>
  <c r="BD530" i="52"/>
  <c r="BC530" i="52"/>
  <c r="BB530" i="52"/>
  <c r="BA530" i="52"/>
  <c r="AZ530" i="52"/>
  <c r="AY530" i="52"/>
  <c r="AX530" i="52"/>
  <c r="AW530" i="52"/>
  <c r="AV530" i="52"/>
  <c r="AU530" i="52"/>
  <c r="AT530" i="52"/>
  <c r="AS530" i="52"/>
  <c r="AR530" i="52"/>
  <c r="AQ530" i="52"/>
  <c r="AP530" i="52"/>
  <c r="AO530" i="52"/>
  <c r="AN530" i="52"/>
  <c r="AM530" i="52"/>
  <c r="AL530" i="52"/>
  <c r="AK530" i="52"/>
  <c r="BH529" i="52"/>
  <c r="BG529" i="52"/>
  <c r="BF529" i="52"/>
  <c r="BE529" i="52"/>
  <c r="BD529" i="52"/>
  <c r="BC529" i="52"/>
  <c r="BB529" i="52"/>
  <c r="BA529" i="52"/>
  <c r="AZ529" i="52"/>
  <c r="AY529" i="52"/>
  <c r="AX529" i="52"/>
  <c r="AW529" i="52"/>
  <c r="AV529" i="52"/>
  <c r="AU529" i="52"/>
  <c r="AT529" i="52"/>
  <c r="AS529" i="52"/>
  <c r="AR529" i="52"/>
  <c r="AQ529" i="52"/>
  <c r="AP529" i="52"/>
  <c r="AO529" i="52"/>
  <c r="AN529" i="52"/>
  <c r="AM529" i="52"/>
  <c r="AL529" i="52"/>
  <c r="AK529" i="52"/>
  <c r="BH528" i="52"/>
  <c r="BG528" i="52"/>
  <c r="BF528" i="52"/>
  <c r="BE528" i="52"/>
  <c r="BD528" i="52"/>
  <c r="BC528" i="52"/>
  <c r="BB528" i="52"/>
  <c r="BA528" i="52"/>
  <c r="AZ528" i="52"/>
  <c r="AY528" i="52"/>
  <c r="AX528" i="52"/>
  <c r="AW528" i="52"/>
  <c r="AV528" i="52"/>
  <c r="AU528" i="52"/>
  <c r="AT528" i="52"/>
  <c r="AS528" i="52"/>
  <c r="AR528" i="52"/>
  <c r="AQ528" i="52"/>
  <c r="AP528" i="52"/>
  <c r="AO528" i="52"/>
  <c r="AN528" i="52"/>
  <c r="AM528" i="52"/>
  <c r="AL528" i="52"/>
  <c r="AK528" i="52"/>
  <c r="BH527" i="52"/>
  <c r="BG527" i="52"/>
  <c r="BF527" i="52"/>
  <c r="BE527" i="52"/>
  <c r="BD527" i="52"/>
  <c r="BC527" i="52"/>
  <c r="BB527" i="52"/>
  <c r="BA527" i="52"/>
  <c r="AZ527" i="52"/>
  <c r="AY527" i="52"/>
  <c r="AX527" i="52"/>
  <c r="AW527" i="52"/>
  <c r="AV527" i="52"/>
  <c r="AU527" i="52"/>
  <c r="AT527" i="52"/>
  <c r="AS527" i="52"/>
  <c r="AR527" i="52"/>
  <c r="AQ527" i="52"/>
  <c r="AP527" i="52"/>
  <c r="AO527" i="52"/>
  <c r="AN527" i="52"/>
  <c r="AM527" i="52"/>
  <c r="AL527" i="52"/>
  <c r="AK527" i="52"/>
  <c r="BH526" i="52"/>
  <c r="BG526" i="52"/>
  <c r="BF526" i="52"/>
  <c r="BE526" i="52"/>
  <c r="BD526" i="52"/>
  <c r="BC526" i="52"/>
  <c r="BB526" i="52"/>
  <c r="BA526" i="52"/>
  <c r="AZ526" i="52"/>
  <c r="AY526" i="52"/>
  <c r="AX526" i="52"/>
  <c r="AW526" i="52"/>
  <c r="AV526" i="52"/>
  <c r="AU526" i="52"/>
  <c r="AT526" i="52"/>
  <c r="AS526" i="52"/>
  <c r="AR526" i="52"/>
  <c r="AQ526" i="52"/>
  <c r="AP526" i="52"/>
  <c r="AO526" i="52"/>
  <c r="AN526" i="52"/>
  <c r="AM526" i="52"/>
  <c r="AL526" i="52"/>
  <c r="AK526" i="52"/>
  <c r="BH525" i="52"/>
  <c r="BG525" i="52"/>
  <c r="BF525" i="52"/>
  <c r="BE525" i="52"/>
  <c r="BD525" i="52"/>
  <c r="BC525" i="52"/>
  <c r="BB525" i="52"/>
  <c r="BA525" i="52"/>
  <c r="AZ525" i="52"/>
  <c r="AY525" i="52"/>
  <c r="AX525" i="52"/>
  <c r="AW525" i="52"/>
  <c r="AV525" i="52"/>
  <c r="AU525" i="52"/>
  <c r="AT525" i="52"/>
  <c r="AS525" i="52"/>
  <c r="AR525" i="52"/>
  <c r="AQ525" i="52"/>
  <c r="AP525" i="52"/>
  <c r="AO525" i="52"/>
  <c r="AN525" i="52"/>
  <c r="AM525" i="52"/>
  <c r="AL525" i="52"/>
  <c r="AK525" i="52"/>
  <c r="BH524" i="52"/>
  <c r="BG524" i="52"/>
  <c r="BF524" i="52"/>
  <c r="BE524" i="52"/>
  <c r="BD524" i="52"/>
  <c r="BC524" i="52"/>
  <c r="BB524" i="52"/>
  <c r="BA524" i="52"/>
  <c r="AZ524" i="52"/>
  <c r="AY524" i="52"/>
  <c r="AX524" i="52"/>
  <c r="AW524" i="52"/>
  <c r="AV524" i="52"/>
  <c r="AU524" i="52"/>
  <c r="AT524" i="52"/>
  <c r="AS524" i="52"/>
  <c r="AR524" i="52"/>
  <c r="AQ524" i="52"/>
  <c r="AP524" i="52"/>
  <c r="AO524" i="52"/>
  <c r="AN524" i="52"/>
  <c r="AM524" i="52"/>
  <c r="AL524" i="52"/>
  <c r="AK524" i="52"/>
  <c r="BH523" i="52"/>
  <c r="BG523" i="52"/>
  <c r="BF523" i="52"/>
  <c r="BE523" i="52"/>
  <c r="BD523" i="52"/>
  <c r="BC523" i="52"/>
  <c r="BB523" i="52"/>
  <c r="BA523" i="52"/>
  <c r="AZ523" i="52"/>
  <c r="AY523" i="52"/>
  <c r="AX523" i="52"/>
  <c r="AW523" i="52"/>
  <c r="AV523" i="52"/>
  <c r="AU523" i="52"/>
  <c r="AT523" i="52"/>
  <c r="AS523" i="52"/>
  <c r="AR523" i="52"/>
  <c r="AQ523" i="52"/>
  <c r="AP523" i="52"/>
  <c r="AO523" i="52"/>
  <c r="AN523" i="52"/>
  <c r="AM523" i="52"/>
  <c r="AL523" i="52"/>
  <c r="AK523" i="52"/>
  <c r="BH522" i="52"/>
  <c r="BG522" i="52"/>
  <c r="BF522" i="52"/>
  <c r="BE522" i="52"/>
  <c r="BD522" i="52"/>
  <c r="BC522" i="52"/>
  <c r="BB522" i="52"/>
  <c r="BA522" i="52"/>
  <c r="AZ522" i="52"/>
  <c r="AY522" i="52"/>
  <c r="AX522" i="52"/>
  <c r="AW522" i="52"/>
  <c r="AV522" i="52"/>
  <c r="AU522" i="52"/>
  <c r="AT522" i="52"/>
  <c r="AS522" i="52"/>
  <c r="AR522" i="52"/>
  <c r="AQ522" i="52"/>
  <c r="AP522" i="52"/>
  <c r="AO522" i="52"/>
  <c r="AN522" i="52"/>
  <c r="AM522" i="52"/>
  <c r="AL522" i="52"/>
  <c r="AK522" i="52"/>
  <c r="BH521" i="52"/>
  <c r="BG521" i="52"/>
  <c r="BF521" i="52"/>
  <c r="BE521" i="52"/>
  <c r="BD521" i="52"/>
  <c r="BC521" i="52"/>
  <c r="BB521" i="52"/>
  <c r="BA521" i="52"/>
  <c r="AZ521" i="52"/>
  <c r="AY521" i="52"/>
  <c r="AX521" i="52"/>
  <c r="AW521" i="52"/>
  <c r="AV521" i="52"/>
  <c r="AU521" i="52"/>
  <c r="AT521" i="52"/>
  <c r="AS521" i="52"/>
  <c r="AR521" i="52"/>
  <c r="AQ521" i="52"/>
  <c r="AP521" i="52"/>
  <c r="AO521" i="52"/>
  <c r="AN521" i="52"/>
  <c r="AM521" i="52"/>
  <c r="AL521" i="52"/>
  <c r="AK521" i="52"/>
  <c r="BH520" i="52"/>
  <c r="BG520" i="52"/>
  <c r="BF520" i="52"/>
  <c r="BE520" i="52"/>
  <c r="BD520" i="52"/>
  <c r="BC520" i="52"/>
  <c r="BB520" i="52"/>
  <c r="BA520" i="52"/>
  <c r="AZ520" i="52"/>
  <c r="AY520" i="52"/>
  <c r="AX520" i="52"/>
  <c r="AW520" i="52"/>
  <c r="AV520" i="52"/>
  <c r="AU520" i="52"/>
  <c r="AT520" i="52"/>
  <c r="AS520" i="52"/>
  <c r="AR520" i="52"/>
  <c r="AQ520" i="52"/>
  <c r="AP520" i="52"/>
  <c r="AO520" i="52"/>
  <c r="AN520" i="52"/>
  <c r="AM520" i="52"/>
  <c r="AL520" i="52"/>
  <c r="AK520" i="52"/>
  <c r="BH519" i="52"/>
  <c r="BG519" i="52"/>
  <c r="BF519" i="52"/>
  <c r="BE519" i="52"/>
  <c r="BD519" i="52"/>
  <c r="BC519" i="52"/>
  <c r="BB519" i="52"/>
  <c r="BA519" i="52"/>
  <c r="AZ519" i="52"/>
  <c r="AY519" i="52"/>
  <c r="AX519" i="52"/>
  <c r="AW519" i="52"/>
  <c r="AV519" i="52"/>
  <c r="AU519" i="52"/>
  <c r="AT519" i="52"/>
  <c r="AS519" i="52"/>
  <c r="AR519" i="52"/>
  <c r="AQ519" i="52"/>
  <c r="AP519" i="52"/>
  <c r="AO519" i="52"/>
  <c r="AN519" i="52"/>
  <c r="AM519" i="52"/>
  <c r="AL519" i="52"/>
  <c r="AK519" i="52"/>
  <c r="BH518" i="52"/>
  <c r="BG518" i="52"/>
  <c r="BF518" i="52"/>
  <c r="BE518" i="52"/>
  <c r="BD518" i="52"/>
  <c r="BC518" i="52"/>
  <c r="BB518" i="52"/>
  <c r="BA518" i="52"/>
  <c r="AZ518" i="52"/>
  <c r="AY518" i="52"/>
  <c r="AX518" i="52"/>
  <c r="AW518" i="52"/>
  <c r="AV518" i="52"/>
  <c r="AU518" i="52"/>
  <c r="AT518" i="52"/>
  <c r="AS518" i="52"/>
  <c r="AR518" i="52"/>
  <c r="AQ518" i="52"/>
  <c r="AP518" i="52"/>
  <c r="AO518" i="52"/>
  <c r="AN518" i="52"/>
  <c r="AM518" i="52"/>
  <c r="AL518" i="52"/>
  <c r="AK518" i="52"/>
  <c r="BH517" i="52"/>
  <c r="BG517" i="52"/>
  <c r="BF517" i="52"/>
  <c r="BE517" i="52"/>
  <c r="BD517" i="52"/>
  <c r="BC517" i="52"/>
  <c r="BB517" i="52"/>
  <c r="BA517" i="52"/>
  <c r="AZ517" i="52"/>
  <c r="AY517" i="52"/>
  <c r="AX517" i="52"/>
  <c r="AW517" i="52"/>
  <c r="AV517" i="52"/>
  <c r="AU517" i="52"/>
  <c r="AT517" i="52"/>
  <c r="AS517" i="52"/>
  <c r="AR517" i="52"/>
  <c r="AQ517" i="52"/>
  <c r="AP517" i="52"/>
  <c r="AO517" i="52"/>
  <c r="AN517" i="52"/>
  <c r="AM517" i="52"/>
  <c r="AL517" i="52"/>
  <c r="AK517" i="52"/>
  <c r="BH516" i="52"/>
  <c r="BG516" i="52"/>
  <c r="BF516" i="52"/>
  <c r="BE516" i="52"/>
  <c r="BD516" i="52"/>
  <c r="BC516" i="52"/>
  <c r="BB516" i="52"/>
  <c r="BA516" i="52"/>
  <c r="AZ516" i="52"/>
  <c r="AY516" i="52"/>
  <c r="AX516" i="52"/>
  <c r="AW516" i="52"/>
  <c r="AV516" i="52"/>
  <c r="AU516" i="52"/>
  <c r="AT516" i="52"/>
  <c r="AS516" i="52"/>
  <c r="AR516" i="52"/>
  <c r="AQ516" i="52"/>
  <c r="AP516" i="52"/>
  <c r="AO516" i="52"/>
  <c r="AN516" i="52"/>
  <c r="AM516" i="52"/>
  <c r="AL516" i="52"/>
  <c r="AK516" i="52"/>
  <c r="BH515" i="52"/>
  <c r="BG515" i="52"/>
  <c r="BF515" i="52"/>
  <c r="BE515" i="52"/>
  <c r="BD515" i="52"/>
  <c r="BC515" i="52"/>
  <c r="BB515" i="52"/>
  <c r="BA515" i="52"/>
  <c r="AZ515" i="52"/>
  <c r="AY515" i="52"/>
  <c r="AX515" i="52"/>
  <c r="AW515" i="52"/>
  <c r="AV515" i="52"/>
  <c r="AU515" i="52"/>
  <c r="AT515" i="52"/>
  <c r="AS515" i="52"/>
  <c r="AR515" i="52"/>
  <c r="AQ515" i="52"/>
  <c r="AP515" i="52"/>
  <c r="AO515" i="52"/>
  <c r="AN515" i="52"/>
  <c r="AM515" i="52"/>
  <c r="AL515" i="52"/>
  <c r="AK515" i="52"/>
  <c r="BH514" i="52"/>
  <c r="BG514" i="52"/>
  <c r="BF514" i="52"/>
  <c r="BE514" i="52"/>
  <c r="BD514" i="52"/>
  <c r="BC514" i="52"/>
  <c r="BB514" i="52"/>
  <c r="BA514" i="52"/>
  <c r="AZ514" i="52"/>
  <c r="AY514" i="52"/>
  <c r="AX514" i="52"/>
  <c r="AW514" i="52"/>
  <c r="AV514" i="52"/>
  <c r="AU514" i="52"/>
  <c r="AT514" i="52"/>
  <c r="AS514" i="52"/>
  <c r="AR514" i="52"/>
  <c r="AQ514" i="52"/>
  <c r="AP514" i="52"/>
  <c r="AO514" i="52"/>
  <c r="AN514" i="52"/>
  <c r="AM514" i="52"/>
  <c r="AL514" i="52"/>
  <c r="AK514" i="52"/>
  <c r="BH513" i="52"/>
  <c r="BG513" i="52"/>
  <c r="BF513" i="52"/>
  <c r="BE513" i="52"/>
  <c r="BD513" i="52"/>
  <c r="BC513" i="52"/>
  <c r="BB513" i="52"/>
  <c r="BA513" i="52"/>
  <c r="AZ513" i="52"/>
  <c r="AY513" i="52"/>
  <c r="AX513" i="52"/>
  <c r="AW513" i="52"/>
  <c r="AV513" i="52"/>
  <c r="AU513" i="52"/>
  <c r="AT513" i="52"/>
  <c r="AS513" i="52"/>
  <c r="AR513" i="52"/>
  <c r="AQ513" i="52"/>
  <c r="AP513" i="52"/>
  <c r="AO513" i="52"/>
  <c r="AN513" i="52"/>
  <c r="AM513" i="52"/>
  <c r="AL513" i="52"/>
  <c r="AK513" i="52"/>
  <c r="BH512" i="52"/>
  <c r="BG512" i="52"/>
  <c r="BF512" i="52"/>
  <c r="BE512" i="52"/>
  <c r="BD512" i="52"/>
  <c r="BC512" i="52"/>
  <c r="BB512" i="52"/>
  <c r="BA512" i="52"/>
  <c r="AZ512" i="52"/>
  <c r="AY512" i="52"/>
  <c r="AX512" i="52"/>
  <c r="AW512" i="52"/>
  <c r="AV512" i="52"/>
  <c r="AU512" i="52"/>
  <c r="AT512" i="52"/>
  <c r="AS512" i="52"/>
  <c r="AR512" i="52"/>
  <c r="AQ512" i="52"/>
  <c r="AP512" i="52"/>
  <c r="AO512" i="52"/>
  <c r="AN512" i="52"/>
  <c r="AM512" i="52"/>
  <c r="AL512" i="52"/>
  <c r="AK512" i="52"/>
  <c r="BH511" i="52"/>
  <c r="BG511" i="52"/>
  <c r="BF511" i="52"/>
  <c r="BE511" i="52"/>
  <c r="BD511" i="52"/>
  <c r="BC511" i="52"/>
  <c r="BB511" i="52"/>
  <c r="BA511" i="52"/>
  <c r="AZ511" i="52"/>
  <c r="AY511" i="52"/>
  <c r="AX511" i="52"/>
  <c r="AW511" i="52"/>
  <c r="AV511" i="52"/>
  <c r="AU511" i="52"/>
  <c r="AT511" i="52"/>
  <c r="AS511" i="52"/>
  <c r="AR511" i="52"/>
  <c r="AQ511" i="52"/>
  <c r="AP511" i="52"/>
  <c r="AO511" i="52"/>
  <c r="AN511" i="52"/>
  <c r="AM511" i="52"/>
  <c r="AL511" i="52"/>
  <c r="AK511" i="52"/>
  <c r="BH510" i="52"/>
  <c r="BG510" i="52"/>
  <c r="BF510" i="52"/>
  <c r="BE510" i="52"/>
  <c r="BD510" i="52"/>
  <c r="BC510" i="52"/>
  <c r="BB510" i="52"/>
  <c r="BA510" i="52"/>
  <c r="AZ510" i="52"/>
  <c r="AY510" i="52"/>
  <c r="AX510" i="52"/>
  <c r="AW510" i="52"/>
  <c r="AV510" i="52"/>
  <c r="AU510" i="52"/>
  <c r="AT510" i="52"/>
  <c r="AS510" i="52"/>
  <c r="AR510" i="52"/>
  <c r="AQ510" i="52"/>
  <c r="AP510" i="52"/>
  <c r="AO510" i="52"/>
  <c r="AN510" i="52"/>
  <c r="AM510" i="52"/>
  <c r="AL510" i="52"/>
  <c r="AK510" i="52"/>
  <c r="BH509" i="52"/>
  <c r="BG509" i="52"/>
  <c r="BF509" i="52"/>
  <c r="BE509" i="52"/>
  <c r="BD509" i="52"/>
  <c r="BC509" i="52"/>
  <c r="BB509" i="52"/>
  <c r="BA509" i="52"/>
  <c r="AZ509" i="52"/>
  <c r="AY509" i="52"/>
  <c r="AX509" i="52"/>
  <c r="AW509" i="52"/>
  <c r="AV509" i="52"/>
  <c r="AU509" i="52"/>
  <c r="AT509" i="52"/>
  <c r="AS509" i="52"/>
  <c r="AR509" i="52"/>
  <c r="AQ509" i="52"/>
  <c r="AP509" i="52"/>
  <c r="AO509" i="52"/>
  <c r="AN509" i="52"/>
  <c r="AM509" i="52"/>
  <c r="AL509" i="52"/>
  <c r="AK509" i="52"/>
  <c r="BH508" i="52"/>
  <c r="BG508" i="52"/>
  <c r="BF508" i="52"/>
  <c r="BE508" i="52"/>
  <c r="BD508" i="52"/>
  <c r="BC508" i="52"/>
  <c r="BB508" i="52"/>
  <c r="BA508" i="52"/>
  <c r="AZ508" i="52"/>
  <c r="AY508" i="52"/>
  <c r="AX508" i="52"/>
  <c r="AW508" i="52"/>
  <c r="AV508" i="52"/>
  <c r="AU508" i="52"/>
  <c r="AT508" i="52"/>
  <c r="AS508" i="52"/>
  <c r="AR508" i="52"/>
  <c r="AQ508" i="52"/>
  <c r="AP508" i="52"/>
  <c r="AO508" i="52"/>
  <c r="AN508" i="52"/>
  <c r="AM508" i="52"/>
  <c r="AL508" i="52"/>
  <c r="AK508" i="52"/>
  <c r="BH507" i="52"/>
  <c r="BG507" i="52"/>
  <c r="BF507" i="52"/>
  <c r="BE507" i="52"/>
  <c r="BD507" i="52"/>
  <c r="BC507" i="52"/>
  <c r="BB507" i="52"/>
  <c r="BA507" i="52"/>
  <c r="AZ507" i="52"/>
  <c r="AY507" i="52"/>
  <c r="AX507" i="52"/>
  <c r="AW507" i="52"/>
  <c r="AV507" i="52"/>
  <c r="AU507" i="52"/>
  <c r="AT507" i="52"/>
  <c r="AS507" i="52"/>
  <c r="AR507" i="52"/>
  <c r="AQ507" i="52"/>
  <c r="AP507" i="52"/>
  <c r="AO507" i="52"/>
  <c r="AN507" i="52"/>
  <c r="AM507" i="52"/>
  <c r="AL507" i="52"/>
  <c r="AK507" i="52"/>
  <c r="BH506" i="52"/>
  <c r="BG506" i="52"/>
  <c r="BF506" i="52"/>
  <c r="BE506" i="52"/>
  <c r="BD506" i="52"/>
  <c r="BC506" i="52"/>
  <c r="BB506" i="52"/>
  <c r="BA506" i="52"/>
  <c r="AZ506" i="52"/>
  <c r="AY506" i="52"/>
  <c r="AX506" i="52"/>
  <c r="AW506" i="52"/>
  <c r="AV506" i="52"/>
  <c r="AU506" i="52"/>
  <c r="AT506" i="52"/>
  <c r="AS506" i="52"/>
  <c r="AR506" i="52"/>
  <c r="AQ506" i="52"/>
  <c r="AP506" i="52"/>
  <c r="AO506" i="52"/>
  <c r="AN506" i="52"/>
  <c r="AM506" i="52"/>
  <c r="AL506" i="52"/>
  <c r="AK506" i="52"/>
  <c r="BH505" i="52"/>
  <c r="BG505" i="52"/>
  <c r="BF505" i="52"/>
  <c r="BE505" i="52"/>
  <c r="BD505" i="52"/>
  <c r="BC505" i="52"/>
  <c r="BB505" i="52"/>
  <c r="BA505" i="52"/>
  <c r="AZ505" i="52"/>
  <c r="AY505" i="52"/>
  <c r="AX505" i="52"/>
  <c r="AW505" i="52"/>
  <c r="AV505" i="52"/>
  <c r="AU505" i="52"/>
  <c r="AT505" i="52"/>
  <c r="AS505" i="52"/>
  <c r="AR505" i="52"/>
  <c r="AQ505" i="52"/>
  <c r="AP505" i="52"/>
  <c r="AO505" i="52"/>
  <c r="AN505" i="52"/>
  <c r="AM505" i="52"/>
  <c r="AL505" i="52"/>
  <c r="AK505" i="52"/>
  <c r="BH504" i="52"/>
  <c r="BG504" i="52"/>
  <c r="BF504" i="52"/>
  <c r="BE504" i="52"/>
  <c r="BD504" i="52"/>
  <c r="BC504" i="52"/>
  <c r="BB504" i="52"/>
  <c r="BA504" i="52"/>
  <c r="AZ504" i="52"/>
  <c r="AY504" i="52"/>
  <c r="AX504" i="52"/>
  <c r="AW504" i="52"/>
  <c r="AV504" i="52"/>
  <c r="AU504" i="52"/>
  <c r="AT504" i="52"/>
  <c r="AS504" i="52"/>
  <c r="AR504" i="52"/>
  <c r="AQ504" i="52"/>
  <c r="AP504" i="52"/>
  <c r="AO504" i="52"/>
  <c r="AN504" i="52"/>
  <c r="AM504" i="52"/>
  <c r="AL504" i="52"/>
  <c r="AK504" i="52"/>
  <c r="BH503" i="52"/>
  <c r="BG503" i="52"/>
  <c r="BF503" i="52"/>
  <c r="BE503" i="52"/>
  <c r="BD503" i="52"/>
  <c r="BC503" i="52"/>
  <c r="BB503" i="52"/>
  <c r="BA503" i="52"/>
  <c r="AZ503" i="52"/>
  <c r="AY503" i="52"/>
  <c r="AX503" i="52"/>
  <c r="AW503" i="52"/>
  <c r="AV503" i="52"/>
  <c r="AU503" i="52"/>
  <c r="AT503" i="52"/>
  <c r="AS503" i="52"/>
  <c r="AR503" i="52"/>
  <c r="AQ503" i="52"/>
  <c r="AP503" i="52"/>
  <c r="AO503" i="52"/>
  <c r="AN503" i="52"/>
  <c r="AM503" i="52"/>
  <c r="AL503" i="52"/>
  <c r="AK503" i="52"/>
  <c r="BH502" i="52"/>
  <c r="BG502" i="52"/>
  <c r="BF502" i="52"/>
  <c r="BE502" i="52"/>
  <c r="BD502" i="52"/>
  <c r="BC502" i="52"/>
  <c r="BB502" i="52"/>
  <c r="BA502" i="52"/>
  <c r="AZ502" i="52"/>
  <c r="AY502" i="52"/>
  <c r="AX502" i="52"/>
  <c r="AW502" i="52"/>
  <c r="AV502" i="52"/>
  <c r="AU502" i="52"/>
  <c r="AT502" i="52"/>
  <c r="AS502" i="52"/>
  <c r="AR502" i="52"/>
  <c r="AQ502" i="52"/>
  <c r="AP502" i="52"/>
  <c r="AO502" i="52"/>
  <c r="AN502" i="52"/>
  <c r="AM502" i="52"/>
  <c r="AL502" i="52"/>
  <c r="AK502" i="52"/>
  <c r="BH501" i="52"/>
  <c r="BG501" i="52"/>
  <c r="BF501" i="52"/>
  <c r="BE501" i="52"/>
  <c r="BD501" i="52"/>
  <c r="BC501" i="52"/>
  <c r="BB501" i="52"/>
  <c r="BA501" i="52"/>
  <c r="AZ501" i="52"/>
  <c r="AY501" i="52"/>
  <c r="AX501" i="52"/>
  <c r="AW501" i="52"/>
  <c r="AV501" i="52"/>
  <c r="AU501" i="52"/>
  <c r="AT501" i="52"/>
  <c r="AS501" i="52"/>
  <c r="AR501" i="52"/>
  <c r="AQ501" i="52"/>
  <c r="AP501" i="52"/>
  <c r="AO501" i="52"/>
  <c r="AN501" i="52"/>
  <c r="AM501" i="52"/>
  <c r="AL501" i="52"/>
  <c r="AK501" i="52"/>
  <c r="BH500" i="52"/>
  <c r="BG500" i="52"/>
  <c r="BF500" i="52"/>
  <c r="BE500" i="52"/>
  <c r="BD500" i="52"/>
  <c r="BC500" i="52"/>
  <c r="BB500" i="52"/>
  <c r="BA500" i="52"/>
  <c r="AZ500" i="52"/>
  <c r="AY500" i="52"/>
  <c r="AX500" i="52"/>
  <c r="AW500" i="52"/>
  <c r="AV500" i="52"/>
  <c r="AU500" i="52"/>
  <c r="AT500" i="52"/>
  <c r="AS500" i="52"/>
  <c r="AR500" i="52"/>
  <c r="AQ500" i="52"/>
  <c r="AP500" i="52"/>
  <c r="AO500" i="52"/>
  <c r="AN500" i="52"/>
  <c r="AM500" i="52"/>
  <c r="AL500" i="52"/>
  <c r="AK500" i="52"/>
  <c r="BH499" i="52"/>
  <c r="BG499" i="52"/>
  <c r="BF499" i="52"/>
  <c r="BE499" i="52"/>
  <c r="BD499" i="52"/>
  <c r="BC499" i="52"/>
  <c r="BB499" i="52"/>
  <c r="BA499" i="52"/>
  <c r="AZ499" i="52"/>
  <c r="AY499" i="52"/>
  <c r="AX499" i="52"/>
  <c r="AW499" i="52"/>
  <c r="AV499" i="52"/>
  <c r="AU499" i="52"/>
  <c r="AT499" i="52"/>
  <c r="AS499" i="52"/>
  <c r="AR499" i="52"/>
  <c r="AQ499" i="52"/>
  <c r="AP499" i="52"/>
  <c r="AO499" i="52"/>
  <c r="AN499" i="52"/>
  <c r="AM499" i="52"/>
  <c r="AL499" i="52"/>
  <c r="AK499" i="52"/>
  <c r="BH498" i="52"/>
  <c r="BG498" i="52"/>
  <c r="BF498" i="52"/>
  <c r="BE498" i="52"/>
  <c r="BD498" i="52"/>
  <c r="BC498" i="52"/>
  <c r="BB498" i="52"/>
  <c r="BA498" i="52"/>
  <c r="AZ498" i="52"/>
  <c r="AY498" i="52"/>
  <c r="AX498" i="52"/>
  <c r="AW498" i="52"/>
  <c r="AV498" i="52"/>
  <c r="AU498" i="52"/>
  <c r="AT498" i="52"/>
  <c r="AS498" i="52"/>
  <c r="AR498" i="52"/>
  <c r="AQ498" i="52"/>
  <c r="AP498" i="52"/>
  <c r="AO498" i="52"/>
  <c r="AN498" i="52"/>
  <c r="AM498" i="52"/>
  <c r="AL498" i="52"/>
  <c r="AK498" i="52"/>
  <c r="BH497" i="52"/>
  <c r="BG497" i="52"/>
  <c r="BF497" i="52"/>
  <c r="BE497" i="52"/>
  <c r="BD497" i="52"/>
  <c r="BC497" i="52"/>
  <c r="BB497" i="52"/>
  <c r="BA497" i="52"/>
  <c r="AZ497" i="52"/>
  <c r="AY497" i="52"/>
  <c r="AX497" i="52"/>
  <c r="AW497" i="52"/>
  <c r="AV497" i="52"/>
  <c r="AU497" i="52"/>
  <c r="AT497" i="52"/>
  <c r="AS497" i="52"/>
  <c r="AR497" i="52"/>
  <c r="AQ497" i="52"/>
  <c r="AP497" i="52"/>
  <c r="AO497" i="52"/>
  <c r="AN497" i="52"/>
  <c r="AM497" i="52"/>
  <c r="AL497" i="52"/>
  <c r="AK497" i="52"/>
  <c r="BH496" i="52"/>
  <c r="BG496" i="52"/>
  <c r="BF496" i="52"/>
  <c r="BE496" i="52"/>
  <c r="BD496" i="52"/>
  <c r="BC496" i="52"/>
  <c r="BB496" i="52"/>
  <c r="BA496" i="52"/>
  <c r="AZ496" i="52"/>
  <c r="AY496" i="52"/>
  <c r="AX496" i="52"/>
  <c r="AW496" i="52"/>
  <c r="AV496" i="52"/>
  <c r="AU496" i="52"/>
  <c r="AT496" i="52"/>
  <c r="AS496" i="52"/>
  <c r="AR496" i="52"/>
  <c r="AQ496" i="52"/>
  <c r="AP496" i="52"/>
  <c r="AO496" i="52"/>
  <c r="AN496" i="52"/>
  <c r="AM496" i="52"/>
  <c r="AL496" i="52"/>
  <c r="AK496" i="52"/>
  <c r="BH495" i="52"/>
  <c r="BG495" i="52"/>
  <c r="BF495" i="52"/>
  <c r="BE495" i="52"/>
  <c r="BD495" i="52"/>
  <c r="BC495" i="52"/>
  <c r="BB495" i="52"/>
  <c r="BA495" i="52"/>
  <c r="AZ495" i="52"/>
  <c r="AY495" i="52"/>
  <c r="AX495" i="52"/>
  <c r="AW495" i="52"/>
  <c r="AV495" i="52"/>
  <c r="AU495" i="52"/>
  <c r="AT495" i="52"/>
  <c r="AS495" i="52"/>
  <c r="AR495" i="52"/>
  <c r="AQ495" i="52"/>
  <c r="AP495" i="52"/>
  <c r="AO495" i="52"/>
  <c r="AN495" i="52"/>
  <c r="AM495" i="52"/>
  <c r="AL495" i="52"/>
  <c r="AK495" i="52"/>
  <c r="BH494" i="52"/>
  <c r="BG494" i="52"/>
  <c r="BF494" i="52"/>
  <c r="BE494" i="52"/>
  <c r="BD494" i="52"/>
  <c r="BC494" i="52"/>
  <c r="BB494" i="52"/>
  <c r="BA494" i="52"/>
  <c r="AZ494" i="52"/>
  <c r="AY494" i="52"/>
  <c r="AX494" i="52"/>
  <c r="AW494" i="52"/>
  <c r="AV494" i="52"/>
  <c r="AU494" i="52"/>
  <c r="AT494" i="52"/>
  <c r="AS494" i="52"/>
  <c r="AR494" i="52"/>
  <c r="AQ494" i="52"/>
  <c r="AP494" i="52"/>
  <c r="AO494" i="52"/>
  <c r="AN494" i="52"/>
  <c r="AM494" i="52"/>
  <c r="AL494" i="52"/>
  <c r="AK494" i="52"/>
  <c r="BH493" i="52"/>
  <c r="BG493" i="52"/>
  <c r="BF493" i="52"/>
  <c r="BE493" i="52"/>
  <c r="BD493" i="52"/>
  <c r="BC493" i="52"/>
  <c r="BB493" i="52"/>
  <c r="BA493" i="52"/>
  <c r="AZ493" i="52"/>
  <c r="AY493" i="52"/>
  <c r="AX493" i="52"/>
  <c r="AW493" i="52"/>
  <c r="AV493" i="52"/>
  <c r="AU493" i="52"/>
  <c r="AT493" i="52"/>
  <c r="AS493" i="52"/>
  <c r="AR493" i="52"/>
  <c r="AQ493" i="52"/>
  <c r="AP493" i="52"/>
  <c r="AO493" i="52"/>
  <c r="AN493" i="52"/>
  <c r="AM493" i="52"/>
  <c r="AL493" i="52"/>
  <c r="AK493" i="52"/>
  <c r="BH492" i="52"/>
  <c r="BG492" i="52"/>
  <c r="BF492" i="52"/>
  <c r="BE492" i="52"/>
  <c r="BD492" i="52"/>
  <c r="BC492" i="52"/>
  <c r="BB492" i="52"/>
  <c r="BA492" i="52"/>
  <c r="AZ492" i="52"/>
  <c r="AY492" i="52"/>
  <c r="AX492" i="52"/>
  <c r="AW492" i="52"/>
  <c r="AV492" i="52"/>
  <c r="AU492" i="52"/>
  <c r="AT492" i="52"/>
  <c r="AS492" i="52"/>
  <c r="AR492" i="52"/>
  <c r="AQ492" i="52"/>
  <c r="AP492" i="52"/>
  <c r="AO492" i="52"/>
  <c r="AN492" i="52"/>
  <c r="AM492" i="52"/>
  <c r="AL492" i="52"/>
  <c r="AK492" i="52"/>
  <c r="BH491" i="52"/>
  <c r="BG491" i="52"/>
  <c r="BF491" i="52"/>
  <c r="BE491" i="52"/>
  <c r="BD491" i="52"/>
  <c r="BC491" i="52"/>
  <c r="BB491" i="52"/>
  <c r="BA491" i="52"/>
  <c r="AZ491" i="52"/>
  <c r="AY491" i="52"/>
  <c r="AX491" i="52"/>
  <c r="AW491" i="52"/>
  <c r="AV491" i="52"/>
  <c r="AU491" i="52"/>
  <c r="AT491" i="52"/>
  <c r="AS491" i="52"/>
  <c r="AR491" i="52"/>
  <c r="AQ491" i="52"/>
  <c r="AP491" i="52"/>
  <c r="AO491" i="52"/>
  <c r="AN491" i="52"/>
  <c r="AM491" i="52"/>
  <c r="AL491" i="52"/>
  <c r="AK491" i="52"/>
  <c r="BH490" i="52"/>
  <c r="BG490" i="52"/>
  <c r="BF490" i="52"/>
  <c r="BE490" i="52"/>
  <c r="BD490" i="52"/>
  <c r="BC490" i="52"/>
  <c r="BB490" i="52"/>
  <c r="BA490" i="52"/>
  <c r="AZ490" i="52"/>
  <c r="AY490" i="52"/>
  <c r="AX490" i="52"/>
  <c r="AW490" i="52"/>
  <c r="AV490" i="52"/>
  <c r="AU490" i="52"/>
  <c r="AT490" i="52"/>
  <c r="AS490" i="52"/>
  <c r="AR490" i="52"/>
  <c r="AQ490" i="52"/>
  <c r="AP490" i="52"/>
  <c r="AO490" i="52"/>
  <c r="AN490" i="52"/>
  <c r="AM490" i="52"/>
  <c r="AL490" i="52"/>
  <c r="AK490" i="52"/>
  <c r="BH489" i="52"/>
  <c r="BG489" i="52"/>
  <c r="BF489" i="52"/>
  <c r="BE489" i="52"/>
  <c r="BD489" i="52"/>
  <c r="BC489" i="52"/>
  <c r="BB489" i="52"/>
  <c r="BA489" i="52"/>
  <c r="AZ489" i="52"/>
  <c r="AY489" i="52"/>
  <c r="AX489" i="52"/>
  <c r="AW489" i="52"/>
  <c r="AV489" i="52"/>
  <c r="AU489" i="52"/>
  <c r="AT489" i="52"/>
  <c r="AS489" i="52"/>
  <c r="AR489" i="52"/>
  <c r="AQ489" i="52"/>
  <c r="AP489" i="52"/>
  <c r="AO489" i="52"/>
  <c r="AN489" i="52"/>
  <c r="AM489" i="52"/>
  <c r="AL489" i="52"/>
  <c r="AK489" i="52"/>
  <c r="BH488" i="52"/>
  <c r="BG488" i="52"/>
  <c r="BF488" i="52"/>
  <c r="BE488" i="52"/>
  <c r="BD488" i="52"/>
  <c r="BC488" i="52"/>
  <c r="BB488" i="52"/>
  <c r="BA488" i="52"/>
  <c r="AZ488" i="52"/>
  <c r="AY488" i="52"/>
  <c r="AX488" i="52"/>
  <c r="AW488" i="52"/>
  <c r="AV488" i="52"/>
  <c r="AU488" i="52"/>
  <c r="AT488" i="52"/>
  <c r="AS488" i="52"/>
  <c r="AR488" i="52"/>
  <c r="AQ488" i="52"/>
  <c r="AP488" i="52"/>
  <c r="AO488" i="52"/>
  <c r="AN488" i="52"/>
  <c r="AM488" i="52"/>
  <c r="AL488" i="52"/>
  <c r="AK488" i="52"/>
  <c r="BH487" i="52"/>
  <c r="BG487" i="52"/>
  <c r="BF487" i="52"/>
  <c r="BE487" i="52"/>
  <c r="BD487" i="52"/>
  <c r="BC487" i="52"/>
  <c r="BB487" i="52"/>
  <c r="BA487" i="52"/>
  <c r="AZ487" i="52"/>
  <c r="AY487" i="52"/>
  <c r="AX487" i="52"/>
  <c r="AW487" i="52"/>
  <c r="AV487" i="52"/>
  <c r="AU487" i="52"/>
  <c r="AT487" i="52"/>
  <c r="AS487" i="52"/>
  <c r="AR487" i="52"/>
  <c r="AQ487" i="52"/>
  <c r="AP487" i="52"/>
  <c r="AO487" i="52"/>
  <c r="AN487" i="52"/>
  <c r="AM487" i="52"/>
  <c r="AL487" i="52"/>
  <c r="AK487" i="52"/>
  <c r="BH486" i="52"/>
  <c r="BG486" i="52"/>
  <c r="BF486" i="52"/>
  <c r="BE486" i="52"/>
  <c r="BD486" i="52"/>
  <c r="BC486" i="52"/>
  <c r="BB486" i="52"/>
  <c r="BA486" i="52"/>
  <c r="AZ486" i="52"/>
  <c r="AY486" i="52"/>
  <c r="AX486" i="52"/>
  <c r="AW486" i="52"/>
  <c r="AV486" i="52"/>
  <c r="AU486" i="52"/>
  <c r="AT486" i="52"/>
  <c r="AS486" i="52"/>
  <c r="AR486" i="52"/>
  <c r="AQ486" i="52"/>
  <c r="AP486" i="52"/>
  <c r="AO486" i="52"/>
  <c r="AN486" i="52"/>
  <c r="AM486" i="52"/>
  <c r="AL486" i="52"/>
  <c r="AK486" i="52"/>
  <c r="BH485" i="52"/>
  <c r="BG485" i="52"/>
  <c r="BF485" i="52"/>
  <c r="BE485" i="52"/>
  <c r="BD485" i="52"/>
  <c r="BC485" i="52"/>
  <c r="BB485" i="52"/>
  <c r="BA485" i="52"/>
  <c r="AZ485" i="52"/>
  <c r="AY485" i="52"/>
  <c r="AX485" i="52"/>
  <c r="AW485" i="52"/>
  <c r="AV485" i="52"/>
  <c r="AU485" i="52"/>
  <c r="AT485" i="52"/>
  <c r="AS485" i="52"/>
  <c r="AR485" i="52"/>
  <c r="AQ485" i="52"/>
  <c r="AP485" i="52"/>
  <c r="AO485" i="52"/>
  <c r="AN485" i="52"/>
  <c r="AM485" i="52"/>
  <c r="AL485" i="52"/>
  <c r="AK485" i="52"/>
  <c r="BH484" i="52"/>
  <c r="BG484" i="52"/>
  <c r="BF484" i="52"/>
  <c r="BE484" i="52"/>
  <c r="BD484" i="52"/>
  <c r="BC484" i="52"/>
  <c r="BB484" i="52"/>
  <c r="BA484" i="52"/>
  <c r="AZ484" i="52"/>
  <c r="AY484" i="52"/>
  <c r="AX484" i="52"/>
  <c r="AW484" i="52"/>
  <c r="AV484" i="52"/>
  <c r="AU484" i="52"/>
  <c r="AT484" i="52"/>
  <c r="AS484" i="52"/>
  <c r="AR484" i="52"/>
  <c r="AQ484" i="52"/>
  <c r="AP484" i="52"/>
  <c r="AO484" i="52"/>
  <c r="AN484" i="52"/>
  <c r="AM484" i="52"/>
  <c r="AL484" i="52"/>
  <c r="AK484" i="52"/>
  <c r="BH483" i="52"/>
  <c r="BG483" i="52"/>
  <c r="BF483" i="52"/>
  <c r="BE483" i="52"/>
  <c r="BD483" i="52"/>
  <c r="BC483" i="52"/>
  <c r="BB483" i="52"/>
  <c r="BA483" i="52"/>
  <c r="AZ483" i="52"/>
  <c r="AY483" i="52"/>
  <c r="AX483" i="52"/>
  <c r="AW483" i="52"/>
  <c r="AV483" i="52"/>
  <c r="AU483" i="52"/>
  <c r="AT483" i="52"/>
  <c r="AS483" i="52"/>
  <c r="AR483" i="52"/>
  <c r="AQ483" i="52"/>
  <c r="AP483" i="52"/>
  <c r="AO483" i="52"/>
  <c r="AN483" i="52"/>
  <c r="AM483" i="52"/>
  <c r="AL483" i="52"/>
  <c r="AK483" i="52"/>
  <c r="BH482" i="52"/>
  <c r="BG482" i="52"/>
  <c r="BF482" i="52"/>
  <c r="BE482" i="52"/>
  <c r="BD482" i="52"/>
  <c r="BC482" i="52"/>
  <c r="BB482" i="52"/>
  <c r="BA482" i="52"/>
  <c r="AZ482" i="52"/>
  <c r="AY482" i="52"/>
  <c r="AX482" i="52"/>
  <c r="AW482" i="52"/>
  <c r="AV482" i="52"/>
  <c r="AU482" i="52"/>
  <c r="AT482" i="52"/>
  <c r="AS482" i="52"/>
  <c r="AR482" i="52"/>
  <c r="AQ482" i="52"/>
  <c r="AP482" i="52"/>
  <c r="AO482" i="52"/>
  <c r="AN482" i="52"/>
  <c r="AM482" i="52"/>
  <c r="AL482" i="52"/>
  <c r="AK482" i="52"/>
  <c r="BH481" i="52"/>
  <c r="BG481" i="52"/>
  <c r="BF481" i="52"/>
  <c r="BE481" i="52"/>
  <c r="BD481" i="52"/>
  <c r="BC481" i="52"/>
  <c r="BB481" i="52"/>
  <c r="BA481" i="52"/>
  <c r="AZ481" i="52"/>
  <c r="AY481" i="52"/>
  <c r="AX481" i="52"/>
  <c r="AW481" i="52"/>
  <c r="AV481" i="52"/>
  <c r="AU481" i="52"/>
  <c r="AT481" i="52"/>
  <c r="AS481" i="52"/>
  <c r="AR481" i="52"/>
  <c r="AQ481" i="52"/>
  <c r="AP481" i="52"/>
  <c r="AO481" i="52"/>
  <c r="AN481" i="52"/>
  <c r="AM481" i="52"/>
  <c r="AL481" i="52"/>
  <c r="AK481" i="52"/>
  <c r="BH480" i="52"/>
  <c r="BG480" i="52"/>
  <c r="BF480" i="52"/>
  <c r="BE480" i="52"/>
  <c r="BD480" i="52"/>
  <c r="BC480" i="52"/>
  <c r="BB480" i="52"/>
  <c r="BA480" i="52"/>
  <c r="AZ480" i="52"/>
  <c r="AY480" i="52"/>
  <c r="AX480" i="52"/>
  <c r="AW480" i="52"/>
  <c r="AV480" i="52"/>
  <c r="AU480" i="52"/>
  <c r="AT480" i="52"/>
  <c r="AS480" i="52"/>
  <c r="AR480" i="52"/>
  <c r="AQ480" i="52"/>
  <c r="AP480" i="52"/>
  <c r="AO480" i="52"/>
  <c r="AN480" i="52"/>
  <c r="AM480" i="52"/>
  <c r="AL480" i="52"/>
  <c r="AK480" i="52"/>
  <c r="BH479" i="52"/>
  <c r="BG479" i="52"/>
  <c r="BF479" i="52"/>
  <c r="BE479" i="52"/>
  <c r="BD479" i="52"/>
  <c r="BC479" i="52"/>
  <c r="BB479" i="52"/>
  <c r="BA479" i="52"/>
  <c r="AZ479" i="52"/>
  <c r="AY479" i="52"/>
  <c r="AX479" i="52"/>
  <c r="AW479" i="52"/>
  <c r="AV479" i="52"/>
  <c r="AU479" i="52"/>
  <c r="AT479" i="52"/>
  <c r="AS479" i="52"/>
  <c r="AR479" i="52"/>
  <c r="AQ479" i="52"/>
  <c r="AP479" i="52"/>
  <c r="AO479" i="52"/>
  <c r="AN479" i="52"/>
  <c r="AM479" i="52"/>
  <c r="AL479" i="52"/>
  <c r="AK479" i="52"/>
  <c r="BH478" i="52"/>
  <c r="BG478" i="52"/>
  <c r="BF478" i="52"/>
  <c r="BE478" i="52"/>
  <c r="BD478" i="52"/>
  <c r="BC478" i="52"/>
  <c r="BB478" i="52"/>
  <c r="BA478" i="52"/>
  <c r="AZ478" i="52"/>
  <c r="AY478" i="52"/>
  <c r="AX478" i="52"/>
  <c r="AW478" i="52"/>
  <c r="AV478" i="52"/>
  <c r="AU478" i="52"/>
  <c r="AT478" i="52"/>
  <c r="AS478" i="52"/>
  <c r="AR478" i="52"/>
  <c r="AQ478" i="52"/>
  <c r="AP478" i="52"/>
  <c r="AO478" i="52"/>
  <c r="AN478" i="52"/>
  <c r="AM478" i="52"/>
  <c r="AL478" i="52"/>
  <c r="AK478" i="52"/>
  <c r="BH477" i="52"/>
  <c r="BG477" i="52"/>
  <c r="BF477" i="52"/>
  <c r="BE477" i="52"/>
  <c r="BD477" i="52"/>
  <c r="BC477" i="52"/>
  <c r="BB477" i="52"/>
  <c r="BA477" i="52"/>
  <c r="AZ477" i="52"/>
  <c r="AY477" i="52"/>
  <c r="AX477" i="52"/>
  <c r="AW477" i="52"/>
  <c r="AV477" i="52"/>
  <c r="AU477" i="52"/>
  <c r="AT477" i="52"/>
  <c r="AS477" i="52"/>
  <c r="AR477" i="52"/>
  <c r="AQ477" i="52"/>
  <c r="AP477" i="52"/>
  <c r="AO477" i="52"/>
  <c r="AN477" i="52"/>
  <c r="AM477" i="52"/>
  <c r="AL477" i="52"/>
  <c r="AK477" i="52"/>
  <c r="BH476" i="52"/>
  <c r="BG476" i="52"/>
  <c r="BF476" i="52"/>
  <c r="BE476" i="52"/>
  <c r="BD476" i="52"/>
  <c r="BC476" i="52"/>
  <c r="BB476" i="52"/>
  <c r="BA476" i="52"/>
  <c r="AZ476" i="52"/>
  <c r="AY476" i="52"/>
  <c r="AX476" i="52"/>
  <c r="AW476" i="52"/>
  <c r="AV476" i="52"/>
  <c r="AU476" i="52"/>
  <c r="AT476" i="52"/>
  <c r="AS476" i="52"/>
  <c r="AR476" i="52"/>
  <c r="AQ476" i="52"/>
  <c r="AP476" i="52"/>
  <c r="AO476" i="52"/>
  <c r="AN476" i="52"/>
  <c r="AM476" i="52"/>
  <c r="AL476" i="52"/>
  <c r="AK476" i="52"/>
  <c r="BH475" i="52"/>
  <c r="BG475" i="52"/>
  <c r="BF475" i="52"/>
  <c r="BE475" i="52"/>
  <c r="BD475" i="52"/>
  <c r="BC475" i="52"/>
  <c r="BB475" i="52"/>
  <c r="BA475" i="52"/>
  <c r="AZ475" i="52"/>
  <c r="AY475" i="52"/>
  <c r="AX475" i="52"/>
  <c r="AW475" i="52"/>
  <c r="AV475" i="52"/>
  <c r="AU475" i="52"/>
  <c r="AT475" i="52"/>
  <c r="AS475" i="52"/>
  <c r="AR475" i="52"/>
  <c r="AQ475" i="52"/>
  <c r="AP475" i="52"/>
  <c r="AO475" i="52"/>
  <c r="AN475" i="52"/>
  <c r="AM475" i="52"/>
  <c r="AL475" i="52"/>
  <c r="AK475" i="52"/>
  <c r="BH474" i="52"/>
  <c r="BG474" i="52"/>
  <c r="BF474" i="52"/>
  <c r="BE474" i="52"/>
  <c r="BD474" i="52"/>
  <c r="BC474" i="52"/>
  <c r="BB474" i="52"/>
  <c r="BA474" i="52"/>
  <c r="AZ474" i="52"/>
  <c r="AY474" i="52"/>
  <c r="AX474" i="52"/>
  <c r="AW474" i="52"/>
  <c r="AV474" i="52"/>
  <c r="AU474" i="52"/>
  <c r="AT474" i="52"/>
  <c r="AS474" i="52"/>
  <c r="AR474" i="52"/>
  <c r="AQ474" i="52"/>
  <c r="AP474" i="52"/>
  <c r="AO474" i="52"/>
  <c r="AN474" i="52"/>
  <c r="AM474" i="52"/>
  <c r="AL474" i="52"/>
  <c r="AK474" i="52"/>
  <c r="BH473" i="52"/>
  <c r="BG473" i="52"/>
  <c r="BF473" i="52"/>
  <c r="BE473" i="52"/>
  <c r="BD473" i="52"/>
  <c r="BC473" i="52"/>
  <c r="BB473" i="52"/>
  <c r="BA473" i="52"/>
  <c r="AZ473" i="52"/>
  <c r="AY473" i="52"/>
  <c r="AX473" i="52"/>
  <c r="AW473" i="52"/>
  <c r="AV473" i="52"/>
  <c r="AU473" i="52"/>
  <c r="AT473" i="52"/>
  <c r="AS473" i="52"/>
  <c r="AR473" i="52"/>
  <c r="AQ473" i="52"/>
  <c r="AP473" i="52"/>
  <c r="AO473" i="52"/>
  <c r="AN473" i="52"/>
  <c r="AM473" i="52"/>
  <c r="AL473" i="52"/>
  <c r="AK473" i="52"/>
  <c r="BH472" i="52"/>
  <c r="BG472" i="52"/>
  <c r="BF472" i="52"/>
  <c r="BE472" i="52"/>
  <c r="BD472" i="52"/>
  <c r="BC472" i="52"/>
  <c r="BB472" i="52"/>
  <c r="BA472" i="52"/>
  <c r="AZ472" i="52"/>
  <c r="AY472" i="52"/>
  <c r="AX472" i="52"/>
  <c r="AW472" i="52"/>
  <c r="AV472" i="52"/>
  <c r="AU472" i="52"/>
  <c r="AT472" i="52"/>
  <c r="AS472" i="52"/>
  <c r="AR472" i="52"/>
  <c r="AQ472" i="52"/>
  <c r="AP472" i="52"/>
  <c r="AO472" i="52"/>
  <c r="AN472" i="52"/>
  <c r="AM472" i="52"/>
  <c r="AL472" i="52"/>
  <c r="AK472" i="52"/>
  <c r="BH471" i="52"/>
  <c r="BG471" i="52"/>
  <c r="BF471" i="52"/>
  <c r="BE471" i="52"/>
  <c r="BD471" i="52"/>
  <c r="BC471" i="52"/>
  <c r="BB471" i="52"/>
  <c r="BA471" i="52"/>
  <c r="AZ471" i="52"/>
  <c r="AY471" i="52"/>
  <c r="AX471" i="52"/>
  <c r="AW471" i="52"/>
  <c r="AV471" i="52"/>
  <c r="AU471" i="52"/>
  <c r="AT471" i="52"/>
  <c r="AS471" i="52"/>
  <c r="AR471" i="52"/>
  <c r="AQ471" i="52"/>
  <c r="AP471" i="52"/>
  <c r="AO471" i="52"/>
  <c r="AN471" i="52"/>
  <c r="AM471" i="52"/>
  <c r="AL471" i="52"/>
  <c r="AK471" i="52"/>
  <c r="BH470" i="52"/>
  <c r="BG470" i="52"/>
  <c r="BF470" i="52"/>
  <c r="BE470" i="52"/>
  <c r="BD470" i="52"/>
  <c r="BC470" i="52"/>
  <c r="BB470" i="52"/>
  <c r="BA470" i="52"/>
  <c r="AZ470" i="52"/>
  <c r="AY470" i="52"/>
  <c r="AX470" i="52"/>
  <c r="AW470" i="52"/>
  <c r="AV470" i="52"/>
  <c r="AU470" i="52"/>
  <c r="AT470" i="52"/>
  <c r="AS470" i="52"/>
  <c r="AR470" i="52"/>
  <c r="AQ470" i="52"/>
  <c r="AP470" i="52"/>
  <c r="AO470" i="52"/>
  <c r="AN470" i="52"/>
  <c r="AM470" i="52"/>
  <c r="AL470" i="52"/>
  <c r="AK470" i="52"/>
  <c r="BH469" i="52"/>
  <c r="BG469" i="52"/>
  <c r="BF469" i="52"/>
  <c r="BE469" i="52"/>
  <c r="BD469" i="52"/>
  <c r="BC469" i="52"/>
  <c r="BB469" i="52"/>
  <c r="BA469" i="52"/>
  <c r="AZ469" i="52"/>
  <c r="AY469" i="52"/>
  <c r="AX469" i="52"/>
  <c r="AW469" i="52"/>
  <c r="AV469" i="52"/>
  <c r="AU469" i="52"/>
  <c r="AT469" i="52"/>
  <c r="AS469" i="52"/>
  <c r="AR469" i="52"/>
  <c r="AQ469" i="52"/>
  <c r="AP469" i="52"/>
  <c r="AO469" i="52"/>
  <c r="AN469" i="52"/>
  <c r="AM469" i="52"/>
  <c r="AL469" i="52"/>
  <c r="AK469" i="52"/>
  <c r="BH468" i="52"/>
  <c r="BG468" i="52"/>
  <c r="BF468" i="52"/>
  <c r="BE468" i="52"/>
  <c r="BD468" i="52"/>
  <c r="BC468" i="52"/>
  <c r="BB468" i="52"/>
  <c r="BA468" i="52"/>
  <c r="AZ468" i="52"/>
  <c r="AY468" i="52"/>
  <c r="AX468" i="52"/>
  <c r="AW468" i="52"/>
  <c r="AV468" i="52"/>
  <c r="AU468" i="52"/>
  <c r="AT468" i="52"/>
  <c r="AS468" i="52"/>
  <c r="AR468" i="52"/>
  <c r="AQ468" i="52"/>
  <c r="AP468" i="52"/>
  <c r="AO468" i="52"/>
  <c r="AN468" i="52"/>
  <c r="AM468" i="52"/>
  <c r="AL468" i="52"/>
  <c r="AK468" i="52"/>
  <c r="BH467" i="52"/>
  <c r="BG467" i="52"/>
  <c r="BF467" i="52"/>
  <c r="BE467" i="52"/>
  <c r="BD467" i="52"/>
  <c r="BC467" i="52"/>
  <c r="BB467" i="52"/>
  <c r="BA467" i="52"/>
  <c r="AZ467" i="52"/>
  <c r="AY467" i="52"/>
  <c r="AX467" i="52"/>
  <c r="AW467" i="52"/>
  <c r="AV467" i="52"/>
  <c r="AU467" i="52"/>
  <c r="AT467" i="52"/>
  <c r="AS467" i="52"/>
  <c r="AR467" i="52"/>
  <c r="AQ467" i="52"/>
  <c r="AP467" i="52"/>
  <c r="AO467" i="52"/>
  <c r="AN467" i="52"/>
  <c r="AM467" i="52"/>
  <c r="AL467" i="52"/>
  <c r="AK467" i="52"/>
  <c r="BH466" i="52"/>
  <c r="BG466" i="52"/>
  <c r="BF466" i="52"/>
  <c r="BE466" i="52"/>
  <c r="BD466" i="52"/>
  <c r="BC466" i="52"/>
  <c r="BB466" i="52"/>
  <c r="BA466" i="52"/>
  <c r="AZ466" i="52"/>
  <c r="AY466" i="52"/>
  <c r="AX466" i="52"/>
  <c r="AW466" i="52"/>
  <c r="AV466" i="52"/>
  <c r="AU466" i="52"/>
  <c r="AT466" i="52"/>
  <c r="AS466" i="52"/>
  <c r="AR466" i="52"/>
  <c r="AQ466" i="52"/>
  <c r="AP466" i="52"/>
  <c r="AO466" i="52"/>
  <c r="AN466" i="52"/>
  <c r="AM466" i="52"/>
  <c r="AL466" i="52"/>
  <c r="AK466" i="52"/>
  <c r="BH465" i="52"/>
  <c r="BG465" i="52"/>
  <c r="BF465" i="52"/>
  <c r="BE465" i="52"/>
  <c r="BD465" i="52"/>
  <c r="BC465" i="52"/>
  <c r="BB465" i="52"/>
  <c r="BA465" i="52"/>
  <c r="AZ465" i="52"/>
  <c r="AY465" i="52"/>
  <c r="AX465" i="52"/>
  <c r="AW465" i="52"/>
  <c r="AV465" i="52"/>
  <c r="AU465" i="52"/>
  <c r="AT465" i="52"/>
  <c r="AS465" i="52"/>
  <c r="AR465" i="52"/>
  <c r="AQ465" i="52"/>
  <c r="AP465" i="52"/>
  <c r="AO465" i="52"/>
  <c r="AN465" i="52"/>
  <c r="AM465" i="52"/>
  <c r="AL465" i="52"/>
  <c r="AK465" i="52"/>
  <c r="BH464" i="52"/>
  <c r="BG464" i="52"/>
  <c r="BF464" i="52"/>
  <c r="BE464" i="52"/>
  <c r="BD464" i="52"/>
  <c r="BC464" i="52"/>
  <c r="BB464" i="52"/>
  <c r="BA464" i="52"/>
  <c r="AZ464" i="52"/>
  <c r="AY464" i="52"/>
  <c r="AX464" i="52"/>
  <c r="AW464" i="52"/>
  <c r="AV464" i="52"/>
  <c r="AU464" i="52"/>
  <c r="AT464" i="52"/>
  <c r="AS464" i="52"/>
  <c r="AR464" i="52"/>
  <c r="AQ464" i="52"/>
  <c r="AP464" i="52"/>
  <c r="AO464" i="52"/>
  <c r="AN464" i="52"/>
  <c r="AM464" i="52"/>
  <c r="AL464" i="52"/>
  <c r="AK464" i="52"/>
  <c r="BH463" i="52"/>
  <c r="BG463" i="52"/>
  <c r="BF463" i="52"/>
  <c r="BE463" i="52"/>
  <c r="BD463" i="52"/>
  <c r="BC463" i="52"/>
  <c r="BB463" i="52"/>
  <c r="BA463" i="52"/>
  <c r="AZ463" i="52"/>
  <c r="AY463" i="52"/>
  <c r="AX463" i="52"/>
  <c r="AW463" i="52"/>
  <c r="AV463" i="52"/>
  <c r="AU463" i="52"/>
  <c r="AT463" i="52"/>
  <c r="AS463" i="52"/>
  <c r="AR463" i="52"/>
  <c r="AQ463" i="52"/>
  <c r="AP463" i="52"/>
  <c r="AO463" i="52"/>
  <c r="AN463" i="52"/>
  <c r="AM463" i="52"/>
  <c r="AL463" i="52"/>
  <c r="AK463" i="52"/>
  <c r="BH462" i="52"/>
  <c r="BG462" i="52"/>
  <c r="BF462" i="52"/>
  <c r="BE462" i="52"/>
  <c r="BD462" i="52"/>
  <c r="BC462" i="52"/>
  <c r="BB462" i="52"/>
  <c r="BA462" i="52"/>
  <c r="AZ462" i="52"/>
  <c r="AY462" i="52"/>
  <c r="AX462" i="52"/>
  <c r="AW462" i="52"/>
  <c r="AV462" i="52"/>
  <c r="AU462" i="52"/>
  <c r="AT462" i="52"/>
  <c r="AS462" i="52"/>
  <c r="AR462" i="52"/>
  <c r="AQ462" i="52"/>
  <c r="AP462" i="52"/>
  <c r="AO462" i="52"/>
  <c r="AN462" i="52"/>
  <c r="AM462" i="52"/>
  <c r="AL462" i="52"/>
  <c r="AK462" i="52"/>
  <c r="BH461" i="52"/>
  <c r="BG461" i="52"/>
  <c r="BF461" i="52"/>
  <c r="BE461" i="52"/>
  <c r="BD461" i="52"/>
  <c r="BC461" i="52"/>
  <c r="BB461" i="52"/>
  <c r="BA461" i="52"/>
  <c r="AZ461" i="52"/>
  <c r="AY461" i="52"/>
  <c r="AX461" i="52"/>
  <c r="AW461" i="52"/>
  <c r="AV461" i="52"/>
  <c r="AU461" i="52"/>
  <c r="AT461" i="52"/>
  <c r="AS461" i="52"/>
  <c r="AR461" i="52"/>
  <c r="AQ461" i="52"/>
  <c r="AP461" i="52"/>
  <c r="AO461" i="52"/>
  <c r="AN461" i="52"/>
  <c r="AM461" i="52"/>
  <c r="AL461" i="52"/>
  <c r="AK461" i="52"/>
  <c r="BH460" i="52"/>
  <c r="BG460" i="52"/>
  <c r="BF460" i="52"/>
  <c r="BE460" i="52"/>
  <c r="BD460" i="52"/>
  <c r="BC460" i="52"/>
  <c r="BB460" i="52"/>
  <c r="BA460" i="52"/>
  <c r="AZ460" i="52"/>
  <c r="AY460" i="52"/>
  <c r="AX460" i="52"/>
  <c r="AW460" i="52"/>
  <c r="AV460" i="52"/>
  <c r="AU460" i="52"/>
  <c r="AT460" i="52"/>
  <c r="AS460" i="52"/>
  <c r="AR460" i="52"/>
  <c r="AQ460" i="52"/>
  <c r="AP460" i="52"/>
  <c r="AO460" i="52"/>
  <c r="AN460" i="52"/>
  <c r="AM460" i="52"/>
  <c r="AL460" i="52"/>
  <c r="AK460" i="52"/>
  <c r="BH459" i="52"/>
  <c r="BG459" i="52"/>
  <c r="BF459" i="52"/>
  <c r="BE459" i="52"/>
  <c r="BD459" i="52"/>
  <c r="BC459" i="52"/>
  <c r="BB459" i="52"/>
  <c r="BA459" i="52"/>
  <c r="AZ459" i="52"/>
  <c r="AY459" i="52"/>
  <c r="AX459" i="52"/>
  <c r="AW459" i="52"/>
  <c r="AV459" i="52"/>
  <c r="AU459" i="52"/>
  <c r="AT459" i="52"/>
  <c r="AS459" i="52"/>
  <c r="AR459" i="52"/>
  <c r="AQ459" i="52"/>
  <c r="AP459" i="52"/>
  <c r="AO459" i="52"/>
  <c r="AN459" i="52"/>
  <c r="AM459" i="52"/>
  <c r="AL459" i="52"/>
  <c r="AK459" i="52"/>
  <c r="BH458" i="52"/>
  <c r="BG458" i="52"/>
  <c r="BF458" i="52"/>
  <c r="BE458" i="52"/>
  <c r="BD458" i="52"/>
  <c r="BC458" i="52"/>
  <c r="BB458" i="52"/>
  <c r="BA458" i="52"/>
  <c r="AZ458" i="52"/>
  <c r="AY458" i="52"/>
  <c r="AX458" i="52"/>
  <c r="AW458" i="52"/>
  <c r="AV458" i="52"/>
  <c r="AU458" i="52"/>
  <c r="AT458" i="52"/>
  <c r="AS458" i="52"/>
  <c r="AR458" i="52"/>
  <c r="AQ458" i="52"/>
  <c r="AP458" i="52"/>
  <c r="AO458" i="52"/>
  <c r="AN458" i="52"/>
  <c r="AM458" i="52"/>
  <c r="AL458" i="52"/>
  <c r="AK458" i="52"/>
  <c r="BH457" i="52"/>
  <c r="BG457" i="52"/>
  <c r="BF457" i="52"/>
  <c r="BE457" i="52"/>
  <c r="BD457" i="52"/>
  <c r="BC457" i="52"/>
  <c r="BB457" i="52"/>
  <c r="BA457" i="52"/>
  <c r="AZ457" i="52"/>
  <c r="AY457" i="52"/>
  <c r="AX457" i="52"/>
  <c r="AW457" i="52"/>
  <c r="AV457" i="52"/>
  <c r="AU457" i="52"/>
  <c r="AT457" i="52"/>
  <c r="AS457" i="52"/>
  <c r="AR457" i="52"/>
  <c r="AQ457" i="52"/>
  <c r="AP457" i="52"/>
  <c r="AO457" i="52"/>
  <c r="AN457" i="52"/>
  <c r="AM457" i="52"/>
  <c r="AL457" i="52"/>
  <c r="AK457" i="52"/>
  <c r="BH456" i="52"/>
  <c r="BG456" i="52"/>
  <c r="BF456" i="52"/>
  <c r="BE456" i="52"/>
  <c r="BD456" i="52"/>
  <c r="BC456" i="52"/>
  <c r="BB456" i="52"/>
  <c r="BA456" i="52"/>
  <c r="AZ456" i="52"/>
  <c r="AY456" i="52"/>
  <c r="AX456" i="52"/>
  <c r="AW456" i="52"/>
  <c r="AV456" i="52"/>
  <c r="AU456" i="52"/>
  <c r="AT456" i="52"/>
  <c r="AS456" i="52"/>
  <c r="AR456" i="52"/>
  <c r="AQ456" i="52"/>
  <c r="AP456" i="52"/>
  <c r="AO456" i="52"/>
  <c r="AN456" i="52"/>
  <c r="AM456" i="52"/>
  <c r="AL456" i="52"/>
  <c r="AK456" i="52"/>
  <c r="BH455" i="52"/>
  <c r="BG455" i="52"/>
  <c r="BF455" i="52"/>
  <c r="BE455" i="52"/>
  <c r="BD455" i="52"/>
  <c r="BC455" i="52"/>
  <c r="BB455" i="52"/>
  <c r="BA455" i="52"/>
  <c r="AZ455" i="52"/>
  <c r="AY455" i="52"/>
  <c r="AX455" i="52"/>
  <c r="AW455" i="52"/>
  <c r="AV455" i="52"/>
  <c r="AU455" i="52"/>
  <c r="AT455" i="52"/>
  <c r="AS455" i="52"/>
  <c r="AR455" i="52"/>
  <c r="AQ455" i="52"/>
  <c r="AP455" i="52"/>
  <c r="AO455" i="52"/>
  <c r="AN455" i="52"/>
  <c r="AM455" i="52"/>
  <c r="AL455" i="52"/>
  <c r="AK455" i="52"/>
  <c r="BH454" i="52"/>
  <c r="BG454" i="52"/>
  <c r="BF454" i="52"/>
  <c r="BE454" i="52"/>
  <c r="BD454" i="52"/>
  <c r="BC454" i="52"/>
  <c r="BB454" i="52"/>
  <c r="BA454" i="52"/>
  <c r="AZ454" i="52"/>
  <c r="AY454" i="52"/>
  <c r="AX454" i="52"/>
  <c r="AW454" i="52"/>
  <c r="AV454" i="52"/>
  <c r="AU454" i="52"/>
  <c r="AT454" i="52"/>
  <c r="AS454" i="52"/>
  <c r="AR454" i="52"/>
  <c r="AQ454" i="52"/>
  <c r="AP454" i="52"/>
  <c r="AO454" i="52"/>
  <c r="AN454" i="52"/>
  <c r="AM454" i="52"/>
  <c r="AL454" i="52"/>
  <c r="AK454" i="52"/>
  <c r="BH453" i="52"/>
  <c r="BG453" i="52"/>
  <c r="BF453" i="52"/>
  <c r="BE453" i="52"/>
  <c r="BD453" i="52"/>
  <c r="BC453" i="52"/>
  <c r="BB453" i="52"/>
  <c r="BA453" i="52"/>
  <c r="AZ453" i="52"/>
  <c r="AY453" i="52"/>
  <c r="AX453" i="52"/>
  <c r="AW453" i="52"/>
  <c r="AV453" i="52"/>
  <c r="AU453" i="52"/>
  <c r="AT453" i="52"/>
  <c r="AS453" i="52"/>
  <c r="AR453" i="52"/>
  <c r="AQ453" i="52"/>
  <c r="AP453" i="52"/>
  <c r="AO453" i="52"/>
  <c r="AN453" i="52"/>
  <c r="AM453" i="52"/>
  <c r="AL453" i="52"/>
  <c r="AK453" i="52"/>
  <c r="BH452" i="52"/>
  <c r="BG452" i="52"/>
  <c r="BF452" i="52"/>
  <c r="BE452" i="52"/>
  <c r="BD452" i="52"/>
  <c r="BC452" i="52"/>
  <c r="BB452" i="52"/>
  <c r="BA452" i="52"/>
  <c r="AZ452" i="52"/>
  <c r="AY452" i="52"/>
  <c r="AX452" i="52"/>
  <c r="AW452" i="52"/>
  <c r="AV452" i="52"/>
  <c r="AU452" i="52"/>
  <c r="AT452" i="52"/>
  <c r="AS452" i="52"/>
  <c r="AR452" i="52"/>
  <c r="AQ452" i="52"/>
  <c r="AP452" i="52"/>
  <c r="AO452" i="52"/>
  <c r="AN452" i="52"/>
  <c r="AM452" i="52"/>
  <c r="AL452" i="52"/>
  <c r="AK452" i="52"/>
  <c r="BH451" i="52"/>
  <c r="BG451" i="52"/>
  <c r="BF451" i="52"/>
  <c r="BE451" i="52"/>
  <c r="BD451" i="52"/>
  <c r="BC451" i="52"/>
  <c r="BB451" i="52"/>
  <c r="BA451" i="52"/>
  <c r="AZ451" i="52"/>
  <c r="AY451" i="52"/>
  <c r="AX451" i="52"/>
  <c r="AW451" i="52"/>
  <c r="AV451" i="52"/>
  <c r="AU451" i="52"/>
  <c r="AT451" i="52"/>
  <c r="AS451" i="52"/>
  <c r="AR451" i="52"/>
  <c r="AQ451" i="52"/>
  <c r="AP451" i="52"/>
  <c r="AO451" i="52"/>
  <c r="AN451" i="52"/>
  <c r="AM451" i="52"/>
  <c r="AL451" i="52"/>
  <c r="AK451" i="52"/>
  <c r="BH450" i="52"/>
  <c r="BG450" i="52"/>
  <c r="BF450" i="52"/>
  <c r="BE450" i="52"/>
  <c r="BD450" i="52"/>
  <c r="BC450" i="52"/>
  <c r="BB450" i="52"/>
  <c r="BA450" i="52"/>
  <c r="AZ450" i="52"/>
  <c r="AY450" i="52"/>
  <c r="AX450" i="52"/>
  <c r="AW450" i="52"/>
  <c r="AV450" i="52"/>
  <c r="AU450" i="52"/>
  <c r="AT450" i="52"/>
  <c r="AS450" i="52"/>
  <c r="AR450" i="52"/>
  <c r="AQ450" i="52"/>
  <c r="AP450" i="52"/>
  <c r="AO450" i="52"/>
  <c r="AN450" i="52"/>
  <c r="AM450" i="52"/>
  <c r="AL450" i="52"/>
  <c r="AK450" i="52"/>
  <c r="BH449" i="52"/>
  <c r="BG449" i="52"/>
  <c r="BF449" i="52"/>
  <c r="BE449" i="52"/>
  <c r="BD449" i="52"/>
  <c r="BC449" i="52"/>
  <c r="BB449" i="52"/>
  <c r="BA449" i="52"/>
  <c r="AZ449" i="52"/>
  <c r="AY449" i="52"/>
  <c r="AX449" i="52"/>
  <c r="AW449" i="52"/>
  <c r="AV449" i="52"/>
  <c r="AU449" i="52"/>
  <c r="AT449" i="52"/>
  <c r="AS449" i="52"/>
  <c r="AR449" i="52"/>
  <c r="AQ449" i="52"/>
  <c r="AP449" i="52"/>
  <c r="AO449" i="52"/>
  <c r="AN449" i="52"/>
  <c r="AM449" i="52"/>
  <c r="AL449" i="52"/>
  <c r="AK449" i="52"/>
  <c r="BH448" i="52"/>
  <c r="BG448" i="52"/>
  <c r="BF448" i="52"/>
  <c r="BE448" i="52"/>
  <c r="BD448" i="52"/>
  <c r="BC448" i="52"/>
  <c r="BB448" i="52"/>
  <c r="BA448" i="52"/>
  <c r="AZ448" i="52"/>
  <c r="AY448" i="52"/>
  <c r="AX448" i="52"/>
  <c r="AW448" i="52"/>
  <c r="AV448" i="52"/>
  <c r="AU448" i="52"/>
  <c r="AT448" i="52"/>
  <c r="AS448" i="52"/>
  <c r="AR448" i="52"/>
  <c r="AQ448" i="52"/>
  <c r="AP448" i="52"/>
  <c r="AO448" i="52"/>
  <c r="AN448" i="52"/>
  <c r="AM448" i="52"/>
  <c r="AL448" i="52"/>
  <c r="AK448" i="52"/>
  <c r="BH447" i="52"/>
  <c r="BG447" i="52"/>
  <c r="BF447" i="52"/>
  <c r="BE447" i="52"/>
  <c r="BD447" i="52"/>
  <c r="BC447" i="52"/>
  <c r="BB447" i="52"/>
  <c r="BA447" i="52"/>
  <c r="AZ447" i="52"/>
  <c r="AY447" i="52"/>
  <c r="AX447" i="52"/>
  <c r="AW447" i="52"/>
  <c r="AV447" i="52"/>
  <c r="AU447" i="52"/>
  <c r="AT447" i="52"/>
  <c r="AS447" i="52"/>
  <c r="AR447" i="52"/>
  <c r="AQ447" i="52"/>
  <c r="AP447" i="52"/>
  <c r="AO447" i="52"/>
  <c r="AN447" i="52"/>
  <c r="AM447" i="52"/>
  <c r="AL447" i="52"/>
  <c r="AK447" i="52"/>
  <c r="BH446" i="52"/>
  <c r="BG446" i="52"/>
  <c r="BF446" i="52"/>
  <c r="BE446" i="52"/>
  <c r="BD446" i="52"/>
  <c r="BC446" i="52"/>
  <c r="BB446" i="52"/>
  <c r="BA446" i="52"/>
  <c r="AZ446" i="52"/>
  <c r="AY446" i="52"/>
  <c r="AX446" i="52"/>
  <c r="AW446" i="52"/>
  <c r="AV446" i="52"/>
  <c r="AU446" i="52"/>
  <c r="AT446" i="52"/>
  <c r="AS446" i="52"/>
  <c r="AR446" i="52"/>
  <c r="AQ446" i="52"/>
  <c r="AP446" i="52"/>
  <c r="AO446" i="52"/>
  <c r="AN446" i="52"/>
  <c r="AM446" i="52"/>
  <c r="AL446" i="52"/>
  <c r="AK446" i="52"/>
  <c r="BH445" i="52"/>
  <c r="BG445" i="52"/>
  <c r="BF445" i="52"/>
  <c r="BE445" i="52"/>
  <c r="BD445" i="52"/>
  <c r="BC445" i="52"/>
  <c r="BB445" i="52"/>
  <c r="BA445" i="52"/>
  <c r="AZ445" i="52"/>
  <c r="AY445" i="52"/>
  <c r="AX445" i="52"/>
  <c r="AW445" i="52"/>
  <c r="AV445" i="52"/>
  <c r="AU445" i="52"/>
  <c r="AT445" i="52"/>
  <c r="AS445" i="52"/>
  <c r="AR445" i="52"/>
  <c r="AQ445" i="52"/>
  <c r="AP445" i="52"/>
  <c r="AO445" i="52"/>
  <c r="AN445" i="52"/>
  <c r="AM445" i="52"/>
  <c r="AL445" i="52"/>
  <c r="AK445" i="52"/>
  <c r="BH444" i="52"/>
  <c r="BG444" i="52"/>
  <c r="BF444" i="52"/>
  <c r="BE444" i="52"/>
  <c r="BD444" i="52"/>
  <c r="BC444" i="52"/>
  <c r="BB444" i="52"/>
  <c r="BA444" i="52"/>
  <c r="AZ444" i="52"/>
  <c r="AY444" i="52"/>
  <c r="AX444" i="52"/>
  <c r="AW444" i="52"/>
  <c r="AV444" i="52"/>
  <c r="AU444" i="52"/>
  <c r="AT444" i="52"/>
  <c r="AS444" i="52"/>
  <c r="AR444" i="52"/>
  <c r="AQ444" i="52"/>
  <c r="AP444" i="52"/>
  <c r="AO444" i="52"/>
  <c r="AN444" i="52"/>
  <c r="AM444" i="52"/>
  <c r="AL444" i="52"/>
  <c r="AK444" i="52"/>
  <c r="BH443" i="52"/>
  <c r="BG443" i="52"/>
  <c r="BF443" i="52"/>
  <c r="BE443" i="52"/>
  <c r="BD443" i="52"/>
  <c r="BC443" i="52"/>
  <c r="BB443" i="52"/>
  <c r="BA443" i="52"/>
  <c r="AZ443" i="52"/>
  <c r="AY443" i="52"/>
  <c r="AX443" i="52"/>
  <c r="AW443" i="52"/>
  <c r="AV443" i="52"/>
  <c r="AU443" i="52"/>
  <c r="AT443" i="52"/>
  <c r="AS443" i="52"/>
  <c r="AR443" i="52"/>
  <c r="AQ443" i="52"/>
  <c r="AP443" i="52"/>
  <c r="AO443" i="52"/>
  <c r="AN443" i="52"/>
  <c r="AM443" i="52"/>
  <c r="AL443" i="52"/>
  <c r="AK443" i="52"/>
  <c r="BH442" i="52"/>
  <c r="BG442" i="52"/>
  <c r="BF442" i="52"/>
  <c r="BE442" i="52"/>
  <c r="BD442" i="52"/>
  <c r="BC442" i="52"/>
  <c r="BB442" i="52"/>
  <c r="BA442" i="52"/>
  <c r="AZ442" i="52"/>
  <c r="AY442" i="52"/>
  <c r="AX442" i="52"/>
  <c r="AW442" i="52"/>
  <c r="AV442" i="52"/>
  <c r="AU442" i="52"/>
  <c r="AT442" i="52"/>
  <c r="AS442" i="52"/>
  <c r="AR442" i="52"/>
  <c r="AQ442" i="52"/>
  <c r="AP442" i="52"/>
  <c r="AO442" i="52"/>
  <c r="AN442" i="52"/>
  <c r="AM442" i="52"/>
  <c r="AL442" i="52"/>
  <c r="AK442" i="52"/>
  <c r="BH441" i="52"/>
  <c r="BG441" i="52"/>
  <c r="BF441" i="52"/>
  <c r="BE441" i="52"/>
  <c r="BD441" i="52"/>
  <c r="BC441" i="52"/>
  <c r="BB441" i="52"/>
  <c r="BA441" i="52"/>
  <c r="AZ441" i="52"/>
  <c r="AY441" i="52"/>
  <c r="AX441" i="52"/>
  <c r="AW441" i="52"/>
  <c r="AV441" i="52"/>
  <c r="AU441" i="52"/>
  <c r="AT441" i="52"/>
  <c r="AS441" i="52"/>
  <c r="AR441" i="52"/>
  <c r="AQ441" i="52"/>
  <c r="AP441" i="52"/>
  <c r="AO441" i="52"/>
  <c r="AN441" i="52"/>
  <c r="AM441" i="52"/>
  <c r="AL441" i="52"/>
  <c r="AK441" i="52"/>
  <c r="BH440" i="52"/>
  <c r="BG440" i="52"/>
  <c r="BF440" i="52"/>
  <c r="BE440" i="52"/>
  <c r="BD440" i="52"/>
  <c r="BC440" i="52"/>
  <c r="BB440" i="52"/>
  <c r="BA440" i="52"/>
  <c r="AZ440" i="52"/>
  <c r="AY440" i="52"/>
  <c r="AX440" i="52"/>
  <c r="AW440" i="52"/>
  <c r="AV440" i="52"/>
  <c r="AU440" i="52"/>
  <c r="AT440" i="52"/>
  <c r="AS440" i="52"/>
  <c r="AR440" i="52"/>
  <c r="AQ440" i="52"/>
  <c r="AP440" i="52"/>
  <c r="AO440" i="52"/>
  <c r="AN440" i="52"/>
  <c r="AM440" i="52"/>
  <c r="AL440" i="52"/>
  <c r="AK440" i="52"/>
  <c r="BH439" i="52"/>
  <c r="BG439" i="52"/>
  <c r="BF439" i="52"/>
  <c r="BE439" i="52"/>
  <c r="BD439" i="52"/>
  <c r="BC439" i="52"/>
  <c r="BB439" i="52"/>
  <c r="BA439" i="52"/>
  <c r="AZ439" i="52"/>
  <c r="AY439" i="52"/>
  <c r="AX439" i="52"/>
  <c r="AW439" i="52"/>
  <c r="AV439" i="52"/>
  <c r="AU439" i="52"/>
  <c r="AT439" i="52"/>
  <c r="AS439" i="52"/>
  <c r="AR439" i="52"/>
  <c r="AQ439" i="52"/>
  <c r="AP439" i="52"/>
  <c r="AO439" i="52"/>
  <c r="AN439" i="52"/>
  <c r="AM439" i="52"/>
  <c r="AL439" i="52"/>
  <c r="AK439" i="52"/>
  <c r="BH438" i="52"/>
  <c r="BG438" i="52"/>
  <c r="BF438" i="52"/>
  <c r="BE438" i="52"/>
  <c r="BD438" i="52"/>
  <c r="BC438" i="52"/>
  <c r="BB438" i="52"/>
  <c r="BA438" i="52"/>
  <c r="AZ438" i="52"/>
  <c r="AY438" i="52"/>
  <c r="AX438" i="52"/>
  <c r="AW438" i="52"/>
  <c r="AV438" i="52"/>
  <c r="AU438" i="52"/>
  <c r="AT438" i="52"/>
  <c r="AS438" i="52"/>
  <c r="AR438" i="52"/>
  <c r="AQ438" i="52"/>
  <c r="AP438" i="52"/>
  <c r="AO438" i="52"/>
  <c r="AN438" i="52"/>
  <c r="AM438" i="52"/>
  <c r="AL438" i="52"/>
  <c r="AK438" i="52"/>
  <c r="BH437" i="52"/>
  <c r="BG437" i="52"/>
  <c r="BF437" i="52"/>
  <c r="BE437" i="52"/>
  <c r="BD437" i="52"/>
  <c r="BC437" i="52"/>
  <c r="BB437" i="52"/>
  <c r="BA437" i="52"/>
  <c r="AZ437" i="52"/>
  <c r="AY437" i="52"/>
  <c r="AX437" i="52"/>
  <c r="AW437" i="52"/>
  <c r="AV437" i="52"/>
  <c r="AU437" i="52"/>
  <c r="AT437" i="52"/>
  <c r="AS437" i="52"/>
  <c r="AR437" i="52"/>
  <c r="AQ437" i="52"/>
  <c r="AP437" i="52"/>
  <c r="AO437" i="52"/>
  <c r="AN437" i="52"/>
  <c r="AM437" i="52"/>
  <c r="AL437" i="52"/>
  <c r="AK437" i="52"/>
  <c r="BH436" i="52"/>
  <c r="BG436" i="52"/>
  <c r="BF436" i="52"/>
  <c r="BE436" i="52"/>
  <c r="BD436" i="52"/>
  <c r="BC436" i="52"/>
  <c r="BB436" i="52"/>
  <c r="BA436" i="52"/>
  <c r="AZ436" i="52"/>
  <c r="AY436" i="52"/>
  <c r="AX436" i="52"/>
  <c r="AW436" i="52"/>
  <c r="AV436" i="52"/>
  <c r="AU436" i="52"/>
  <c r="AT436" i="52"/>
  <c r="AS436" i="52"/>
  <c r="AR436" i="52"/>
  <c r="AQ436" i="52"/>
  <c r="AP436" i="52"/>
  <c r="AO436" i="52"/>
  <c r="AN436" i="52"/>
  <c r="AM436" i="52"/>
  <c r="AL436" i="52"/>
  <c r="AK436" i="52"/>
  <c r="BH435" i="52"/>
  <c r="BG435" i="52"/>
  <c r="BF435" i="52"/>
  <c r="BE435" i="52"/>
  <c r="BD435" i="52"/>
  <c r="BC435" i="52"/>
  <c r="BB435" i="52"/>
  <c r="BA435" i="52"/>
  <c r="AZ435" i="52"/>
  <c r="AY435" i="52"/>
  <c r="AX435" i="52"/>
  <c r="AW435" i="52"/>
  <c r="AV435" i="52"/>
  <c r="AU435" i="52"/>
  <c r="AT435" i="52"/>
  <c r="AS435" i="52"/>
  <c r="AR435" i="52"/>
  <c r="AQ435" i="52"/>
  <c r="AP435" i="52"/>
  <c r="AO435" i="52"/>
  <c r="AN435" i="52"/>
  <c r="AM435" i="52"/>
  <c r="AL435" i="52"/>
  <c r="AK435" i="52"/>
  <c r="BH434" i="52"/>
  <c r="BG434" i="52"/>
  <c r="BF434" i="52"/>
  <c r="BE434" i="52"/>
  <c r="BD434" i="52"/>
  <c r="BC434" i="52"/>
  <c r="BB434" i="52"/>
  <c r="BA434" i="52"/>
  <c r="AZ434" i="52"/>
  <c r="AY434" i="52"/>
  <c r="AX434" i="52"/>
  <c r="AW434" i="52"/>
  <c r="AV434" i="52"/>
  <c r="AU434" i="52"/>
  <c r="AT434" i="52"/>
  <c r="AS434" i="52"/>
  <c r="AR434" i="52"/>
  <c r="AQ434" i="52"/>
  <c r="AP434" i="52"/>
  <c r="AO434" i="52"/>
  <c r="AN434" i="52"/>
  <c r="AM434" i="52"/>
  <c r="AL434" i="52"/>
  <c r="AK434" i="52"/>
  <c r="BH433" i="52"/>
  <c r="BG433" i="52"/>
  <c r="BF433" i="52"/>
  <c r="BE433" i="52"/>
  <c r="BD433" i="52"/>
  <c r="BC433" i="52"/>
  <c r="BB433" i="52"/>
  <c r="BA433" i="52"/>
  <c r="AZ433" i="52"/>
  <c r="AY433" i="52"/>
  <c r="AX433" i="52"/>
  <c r="AW433" i="52"/>
  <c r="AV433" i="52"/>
  <c r="AU433" i="52"/>
  <c r="AT433" i="52"/>
  <c r="AS433" i="52"/>
  <c r="AR433" i="52"/>
  <c r="AQ433" i="52"/>
  <c r="AP433" i="52"/>
  <c r="AO433" i="52"/>
  <c r="AN433" i="52"/>
  <c r="AM433" i="52"/>
  <c r="AL433" i="52"/>
  <c r="AK433" i="52"/>
  <c r="BH432" i="52"/>
  <c r="BG432" i="52"/>
  <c r="BF432" i="52"/>
  <c r="BE432" i="52"/>
  <c r="BD432" i="52"/>
  <c r="BC432" i="52"/>
  <c r="BB432" i="52"/>
  <c r="BA432" i="52"/>
  <c r="AZ432" i="52"/>
  <c r="AY432" i="52"/>
  <c r="AX432" i="52"/>
  <c r="AW432" i="52"/>
  <c r="AV432" i="52"/>
  <c r="AU432" i="52"/>
  <c r="AT432" i="52"/>
  <c r="AS432" i="52"/>
  <c r="AR432" i="52"/>
  <c r="AQ432" i="52"/>
  <c r="AP432" i="52"/>
  <c r="AO432" i="52"/>
  <c r="AN432" i="52"/>
  <c r="AM432" i="52"/>
  <c r="AL432" i="52"/>
  <c r="AK432" i="52"/>
  <c r="BH431" i="52"/>
  <c r="BG431" i="52"/>
  <c r="BF431" i="52"/>
  <c r="BE431" i="52"/>
  <c r="BD431" i="52"/>
  <c r="BC431" i="52"/>
  <c r="BB431" i="52"/>
  <c r="BA431" i="52"/>
  <c r="AZ431" i="52"/>
  <c r="AY431" i="52"/>
  <c r="AX431" i="52"/>
  <c r="AW431" i="52"/>
  <c r="AV431" i="52"/>
  <c r="AU431" i="52"/>
  <c r="AT431" i="52"/>
  <c r="AS431" i="52"/>
  <c r="AR431" i="52"/>
  <c r="AQ431" i="52"/>
  <c r="AP431" i="52"/>
  <c r="AO431" i="52"/>
  <c r="AN431" i="52"/>
  <c r="AM431" i="52"/>
  <c r="AL431" i="52"/>
  <c r="AK431" i="52"/>
  <c r="BH430" i="52"/>
  <c r="BG430" i="52"/>
  <c r="BF430" i="52"/>
  <c r="BE430" i="52"/>
  <c r="BD430" i="52"/>
  <c r="BC430" i="52"/>
  <c r="BB430" i="52"/>
  <c r="BA430" i="52"/>
  <c r="AZ430" i="52"/>
  <c r="AY430" i="52"/>
  <c r="AX430" i="52"/>
  <c r="AW430" i="52"/>
  <c r="AV430" i="52"/>
  <c r="AU430" i="52"/>
  <c r="AT430" i="52"/>
  <c r="AS430" i="52"/>
  <c r="AR430" i="52"/>
  <c r="AQ430" i="52"/>
  <c r="AP430" i="52"/>
  <c r="AO430" i="52"/>
  <c r="AN430" i="52"/>
  <c r="AM430" i="52"/>
  <c r="AL430" i="52"/>
  <c r="AK430" i="52"/>
  <c r="BH429" i="52"/>
  <c r="BG429" i="52"/>
  <c r="BF429" i="52"/>
  <c r="BE429" i="52"/>
  <c r="BD429" i="52"/>
  <c r="BC429" i="52"/>
  <c r="BB429" i="52"/>
  <c r="BA429" i="52"/>
  <c r="AZ429" i="52"/>
  <c r="AY429" i="52"/>
  <c r="AX429" i="52"/>
  <c r="AW429" i="52"/>
  <c r="AV429" i="52"/>
  <c r="AU429" i="52"/>
  <c r="AT429" i="52"/>
  <c r="AS429" i="52"/>
  <c r="AR429" i="52"/>
  <c r="AQ429" i="52"/>
  <c r="AP429" i="52"/>
  <c r="AO429" i="52"/>
  <c r="AN429" i="52"/>
  <c r="AM429" i="52"/>
  <c r="AL429" i="52"/>
  <c r="AK429" i="52"/>
  <c r="BH428" i="52"/>
  <c r="BG428" i="52"/>
  <c r="BF428" i="52"/>
  <c r="BE428" i="52"/>
  <c r="BD428" i="52"/>
  <c r="BC428" i="52"/>
  <c r="BB428" i="52"/>
  <c r="BA428" i="52"/>
  <c r="AZ428" i="52"/>
  <c r="AY428" i="52"/>
  <c r="AX428" i="52"/>
  <c r="AW428" i="52"/>
  <c r="AV428" i="52"/>
  <c r="AU428" i="52"/>
  <c r="AT428" i="52"/>
  <c r="AS428" i="52"/>
  <c r="AR428" i="52"/>
  <c r="AQ428" i="52"/>
  <c r="AP428" i="52"/>
  <c r="AO428" i="52"/>
  <c r="AN428" i="52"/>
  <c r="AM428" i="52"/>
  <c r="AL428" i="52"/>
  <c r="AK428" i="52"/>
  <c r="BH427" i="52"/>
  <c r="BG427" i="52"/>
  <c r="BF427" i="52"/>
  <c r="BE427" i="52"/>
  <c r="BD427" i="52"/>
  <c r="BC427" i="52"/>
  <c r="BB427" i="52"/>
  <c r="BA427" i="52"/>
  <c r="AZ427" i="52"/>
  <c r="AY427" i="52"/>
  <c r="AX427" i="52"/>
  <c r="AW427" i="52"/>
  <c r="AV427" i="52"/>
  <c r="AU427" i="52"/>
  <c r="AT427" i="52"/>
  <c r="AS427" i="52"/>
  <c r="AR427" i="52"/>
  <c r="AQ427" i="52"/>
  <c r="AP427" i="52"/>
  <c r="AO427" i="52"/>
  <c r="AN427" i="52"/>
  <c r="AM427" i="52"/>
  <c r="AL427" i="52"/>
  <c r="AK427" i="52"/>
  <c r="BH426" i="52"/>
  <c r="BG426" i="52"/>
  <c r="BF426" i="52"/>
  <c r="BE426" i="52"/>
  <c r="BD426" i="52"/>
  <c r="BC426" i="52"/>
  <c r="BB426" i="52"/>
  <c r="BA426" i="52"/>
  <c r="AZ426" i="52"/>
  <c r="AY426" i="52"/>
  <c r="AX426" i="52"/>
  <c r="AW426" i="52"/>
  <c r="AV426" i="52"/>
  <c r="AU426" i="52"/>
  <c r="AT426" i="52"/>
  <c r="AS426" i="52"/>
  <c r="AR426" i="52"/>
  <c r="AQ426" i="52"/>
  <c r="AP426" i="52"/>
  <c r="AO426" i="52"/>
  <c r="AN426" i="52"/>
  <c r="AM426" i="52"/>
  <c r="AL426" i="52"/>
  <c r="AK426" i="52"/>
  <c r="BH425" i="52"/>
  <c r="BG425" i="52"/>
  <c r="BF425" i="52"/>
  <c r="BE425" i="52"/>
  <c r="BD425" i="52"/>
  <c r="BC425" i="52"/>
  <c r="BB425" i="52"/>
  <c r="BA425" i="52"/>
  <c r="AZ425" i="52"/>
  <c r="AY425" i="52"/>
  <c r="AX425" i="52"/>
  <c r="AW425" i="52"/>
  <c r="AV425" i="52"/>
  <c r="AU425" i="52"/>
  <c r="AT425" i="52"/>
  <c r="AS425" i="52"/>
  <c r="AR425" i="52"/>
  <c r="AQ425" i="52"/>
  <c r="AP425" i="52"/>
  <c r="AO425" i="52"/>
  <c r="AN425" i="52"/>
  <c r="AM425" i="52"/>
  <c r="AL425" i="52"/>
  <c r="AK425" i="52"/>
  <c r="BH424" i="52"/>
  <c r="BG424" i="52"/>
  <c r="BF424" i="52"/>
  <c r="BE424" i="52"/>
  <c r="BD424" i="52"/>
  <c r="BC424" i="52"/>
  <c r="BB424" i="52"/>
  <c r="BA424" i="52"/>
  <c r="AZ424" i="52"/>
  <c r="AY424" i="52"/>
  <c r="AX424" i="52"/>
  <c r="AW424" i="52"/>
  <c r="AV424" i="52"/>
  <c r="AU424" i="52"/>
  <c r="AT424" i="52"/>
  <c r="AS424" i="52"/>
  <c r="AR424" i="52"/>
  <c r="AQ424" i="52"/>
  <c r="AP424" i="52"/>
  <c r="AO424" i="52"/>
  <c r="AN424" i="52"/>
  <c r="AM424" i="52"/>
  <c r="AL424" i="52"/>
  <c r="AK424" i="52"/>
  <c r="BH423" i="52"/>
  <c r="BG423" i="52"/>
  <c r="BF423" i="52"/>
  <c r="BE423" i="52"/>
  <c r="BD423" i="52"/>
  <c r="BC423" i="52"/>
  <c r="BB423" i="52"/>
  <c r="BA423" i="52"/>
  <c r="AZ423" i="52"/>
  <c r="AY423" i="52"/>
  <c r="AX423" i="52"/>
  <c r="AW423" i="52"/>
  <c r="AV423" i="52"/>
  <c r="AU423" i="52"/>
  <c r="AT423" i="52"/>
  <c r="AS423" i="52"/>
  <c r="AR423" i="52"/>
  <c r="AQ423" i="52"/>
  <c r="AP423" i="52"/>
  <c r="AO423" i="52"/>
  <c r="AN423" i="52"/>
  <c r="AM423" i="52"/>
  <c r="AL423" i="52"/>
  <c r="AK423" i="52"/>
  <c r="BH422" i="52"/>
  <c r="BG422" i="52"/>
  <c r="BF422" i="52"/>
  <c r="BE422" i="52"/>
  <c r="BD422" i="52"/>
  <c r="BC422" i="52"/>
  <c r="BB422" i="52"/>
  <c r="BA422" i="52"/>
  <c r="AZ422" i="52"/>
  <c r="AY422" i="52"/>
  <c r="AX422" i="52"/>
  <c r="AW422" i="52"/>
  <c r="AV422" i="52"/>
  <c r="AU422" i="52"/>
  <c r="AT422" i="52"/>
  <c r="AS422" i="52"/>
  <c r="AR422" i="52"/>
  <c r="AQ422" i="52"/>
  <c r="AP422" i="52"/>
  <c r="AO422" i="52"/>
  <c r="AN422" i="52"/>
  <c r="AM422" i="52"/>
  <c r="AL422" i="52"/>
  <c r="AK422" i="52"/>
  <c r="BH421" i="52"/>
  <c r="BG421" i="52"/>
  <c r="BF421" i="52"/>
  <c r="BE421" i="52"/>
  <c r="BD421" i="52"/>
  <c r="BC421" i="52"/>
  <c r="BB421" i="52"/>
  <c r="BA421" i="52"/>
  <c r="AZ421" i="52"/>
  <c r="AY421" i="52"/>
  <c r="AX421" i="52"/>
  <c r="AW421" i="52"/>
  <c r="AV421" i="52"/>
  <c r="AU421" i="52"/>
  <c r="AT421" i="52"/>
  <c r="AS421" i="52"/>
  <c r="AR421" i="52"/>
  <c r="AQ421" i="52"/>
  <c r="AP421" i="52"/>
  <c r="AO421" i="52"/>
  <c r="AN421" i="52"/>
  <c r="AM421" i="52"/>
  <c r="AL421" i="52"/>
  <c r="AK421" i="52"/>
  <c r="BH420" i="52"/>
  <c r="BG420" i="52"/>
  <c r="BF420" i="52"/>
  <c r="BE420" i="52"/>
  <c r="BD420" i="52"/>
  <c r="BC420" i="52"/>
  <c r="BB420" i="52"/>
  <c r="BA420" i="52"/>
  <c r="AZ420" i="52"/>
  <c r="AY420" i="52"/>
  <c r="AX420" i="52"/>
  <c r="AW420" i="52"/>
  <c r="AV420" i="52"/>
  <c r="AU420" i="52"/>
  <c r="AT420" i="52"/>
  <c r="AS420" i="52"/>
  <c r="AR420" i="52"/>
  <c r="AQ420" i="52"/>
  <c r="AP420" i="52"/>
  <c r="AO420" i="52"/>
  <c r="AN420" i="52"/>
  <c r="AM420" i="52"/>
  <c r="AL420" i="52"/>
  <c r="AK420" i="52"/>
  <c r="BH419" i="52"/>
  <c r="BG419" i="52"/>
  <c r="BF419" i="52"/>
  <c r="BE419" i="52"/>
  <c r="BD419" i="52"/>
  <c r="BC419" i="52"/>
  <c r="BB419" i="52"/>
  <c r="BA419" i="52"/>
  <c r="AZ419" i="52"/>
  <c r="AY419" i="52"/>
  <c r="AX419" i="52"/>
  <c r="AW419" i="52"/>
  <c r="AV419" i="52"/>
  <c r="AU419" i="52"/>
  <c r="AT419" i="52"/>
  <c r="AS419" i="52"/>
  <c r="AR419" i="52"/>
  <c r="AQ419" i="52"/>
  <c r="AP419" i="52"/>
  <c r="AO419" i="52"/>
  <c r="AN419" i="52"/>
  <c r="AM419" i="52"/>
  <c r="AL419" i="52"/>
  <c r="AK419" i="52"/>
  <c r="BH418" i="52"/>
  <c r="BG418" i="52"/>
  <c r="BF418" i="52"/>
  <c r="BE418" i="52"/>
  <c r="BD418" i="52"/>
  <c r="BC418" i="52"/>
  <c r="BB418" i="52"/>
  <c r="BA418" i="52"/>
  <c r="AZ418" i="52"/>
  <c r="AY418" i="52"/>
  <c r="AX418" i="52"/>
  <c r="AW418" i="52"/>
  <c r="AV418" i="52"/>
  <c r="AU418" i="52"/>
  <c r="AT418" i="52"/>
  <c r="AS418" i="52"/>
  <c r="AR418" i="52"/>
  <c r="AQ418" i="52"/>
  <c r="AP418" i="52"/>
  <c r="AO418" i="52"/>
  <c r="AN418" i="52"/>
  <c r="AM418" i="52"/>
  <c r="AL418" i="52"/>
  <c r="AK418" i="52"/>
  <c r="BH417" i="52"/>
  <c r="BG417" i="52"/>
  <c r="BF417" i="52"/>
  <c r="BE417" i="52"/>
  <c r="BD417" i="52"/>
  <c r="BC417" i="52"/>
  <c r="BB417" i="52"/>
  <c r="BA417" i="52"/>
  <c r="AZ417" i="52"/>
  <c r="AY417" i="52"/>
  <c r="AX417" i="52"/>
  <c r="AW417" i="52"/>
  <c r="AV417" i="52"/>
  <c r="AU417" i="52"/>
  <c r="AT417" i="52"/>
  <c r="AS417" i="52"/>
  <c r="AR417" i="52"/>
  <c r="AQ417" i="52"/>
  <c r="AP417" i="52"/>
  <c r="AO417" i="52"/>
  <c r="AN417" i="52"/>
  <c r="AM417" i="52"/>
  <c r="AL417" i="52"/>
  <c r="AK417" i="52"/>
  <c r="BH416" i="52"/>
  <c r="BG416" i="52"/>
  <c r="BF416" i="52"/>
  <c r="BE416" i="52"/>
  <c r="BD416" i="52"/>
  <c r="BC416" i="52"/>
  <c r="BB416" i="52"/>
  <c r="BA416" i="52"/>
  <c r="AZ416" i="52"/>
  <c r="AY416" i="52"/>
  <c r="AX416" i="52"/>
  <c r="AW416" i="52"/>
  <c r="AV416" i="52"/>
  <c r="AU416" i="52"/>
  <c r="AT416" i="52"/>
  <c r="AS416" i="52"/>
  <c r="AR416" i="52"/>
  <c r="AQ416" i="52"/>
  <c r="AP416" i="52"/>
  <c r="AO416" i="52"/>
  <c r="AN416" i="52"/>
  <c r="AM416" i="52"/>
  <c r="AL416" i="52"/>
  <c r="AK416" i="52"/>
  <c r="BH415" i="52"/>
  <c r="BG415" i="52"/>
  <c r="BF415" i="52"/>
  <c r="BE415" i="52"/>
  <c r="BD415" i="52"/>
  <c r="BC415" i="52"/>
  <c r="BB415" i="52"/>
  <c r="BA415" i="52"/>
  <c r="AZ415" i="52"/>
  <c r="AY415" i="52"/>
  <c r="AX415" i="52"/>
  <c r="AW415" i="52"/>
  <c r="AV415" i="52"/>
  <c r="AU415" i="52"/>
  <c r="AT415" i="52"/>
  <c r="AS415" i="52"/>
  <c r="AR415" i="52"/>
  <c r="AQ415" i="52"/>
  <c r="AP415" i="52"/>
  <c r="AO415" i="52"/>
  <c r="AN415" i="52"/>
  <c r="AM415" i="52"/>
  <c r="AL415" i="52"/>
  <c r="AK415" i="52"/>
  <c r="BH414" i="52"/>
  <c r="BG414" i="52"/>
  <c r="BF414" i="52"/>
  <c r="BE414" i="52"/>
  <c r="BD414" i="52"/>
  <c r="BC414" i="52"/>
  <c r="BB414" i="52"/>
  <c r="BA414" i="52"/>
  <c r="AZ414" i="52"/>
  <c r="AY414" i="52"/>
  <c r="AX414" i="52"/>
  <c r="AW414" i="52"/>
  <c r="AV414" i="52"/>
  <c r="AU414" i="52"/>
  <c r="AT414" i="52"/>
  <c r="AS414" i="52"/>
  <c r="AR414" i="52"/>
  <c r="AQ414" i="52"/>
  <c r="AP414" i="52"/>
  <c r="AO414" i="52"/>
  <c r="AN414" i="52"/>
  <c r="AM414" i="52"/>
  <c r="AL414" i="52"/>
  <c r="AK414" i="52"/>
  <c r="BH413" i="52"/>
  <c r="BG413" i="52"/>
  <c r="BF413" i="52"/>
  <c r="BE413" i="52"/>
  <c r="BD413" i="52"/>
  <c r="BC413" i="52"/>
  <c r="BB413" i="52"/>
  <c r="BA413" i="52"/>
  <c r="AZ413" i="52"/>
  <c r="AY413" i="52"/>
  <c r="AX413" i="52"/>
  <c r="AW413" i="52"/>
  <c r="AV413" i="52"/>
  <c r="AU413" i="52"/>
  <c r="AT413" i="52"/>
  <c r="AS413" i="52"/>
  <c r="AR413" i="52"/>
  <c r="AQ413" i="52"/>
  <c r="AP413" i="52"/>
  <c r="AO413" i="52"/>
  <c r="AN413" i="52"/>
  <c r="AM413" i="52"/>
  <c r="AL413" i="52"/>
  <c r="AK413" i="52"/>
  <c r="BH412" i="52"/>
  <c r="BG412" i="52"/>
  <c r="BF412" i="52"/>
  <c r="BE412" i="52"/>
  <c r="BD412" i="52"/>
  <c r="BC412" i="52"/>
  <c r="BB412" i="52"/>
  <c r="BA412" i="52"/>
  <c r="AZ412" i="52"/>
  <c r="AY412" i="52"/>
  <c r="AX412" i="52"/>
  <c r="AW412" i="52"/>
  <c r="AV412" i="52"/>
  <c r="AU412" i="52"/>
  <c r="AT412" i="52"/>
  <c r="AS412" i="52"/>
  <c r="AR412" i="52"/>
  <c r="AQ412" i="52"/>
  <c r="AP412" i="52"/>
  <c r="AO412" i="52"/>
  <c r="AN412" i="52"/>
  <c r="AM412" i="52"/>
  <c r="AL412" i="52"/>
  <c r="AK412" i="52"/>
  <c r="BH411" i="52"/>
  <c r="BG411" i="52"/>
  <c r="BF411" i="52"/>
  <c r="BE411" i="52"/>
  <c r="BD411" i="52"/>
  <c r="BC411" i="52"/>
  <c r="BB411" i="52"/>
  <c r="BA411" i="52"/>
  <c r="AZ411" i="52"/>
  <c r="AY411" i="52"/>
  <c r="AX411" i="52"/>
  <c r="AW411" i="52"/>
  <c r="AV411" i="52"/>
  <c r="AU411" i="52"/>
  <c r="AT411" i="52"/>
  <c r="AS411" i="52"/>
  <c r="AR411" i="52"/>
  <c r="AQ411" i="52"/>
  <c r="AP411" i="52"/>
  <c r="AO411" i="52"/>
  <c r="AN411" i="52"/>
  <c r="AM411" i="52"/>
  <c r="AL411" i="52"/>
  <c r="AK411" i="52"/>
  <c r="BH410" i="52"/>
  <c r="BG410" i="52"/>
  <c r="BF410" i="52"/>
  <c r="BE410" i="52"/>
  <c r="BD410" i="52"/>
  <c r="BC410" i="52"/>
  <c r="BB410" i="52"/>
  <c r="BA410" i="52"/>
  <c r="AZ410" i="52"/>
  <c r="AY410" i="52"/>
  <c r="AX410" i="52"/>
  <c r="AW410" i="52"/>
  <c r="AV410" i="52"/>
  <c r="AU410" i="52"/>
  <c r="AT410" i="52"/>
  <c r="AS410" i="52"/>
  <c r="AR410" i="52"/>
  <c r="AQ410" i="52"/>
  <c r="AP410" i="52"/>
  <c r="AO410" i="52"/>
  <c r="AN410" i="52"/>
  <c r="AM410" i="52"/>
  <c r="AL410" i="52"/>
  <c r="AK410" i="52"/>
  <c r="BH409" i="52"/>
  <c r="BG409" i="52"/>
  <c r="BF409" i="52"/>
  <c r="BE409" i="52"/>
  <c r="BD409" i="52"/>
  <c r="BC409" i="52"/>
  <c r="BB409" i="52"/>
  <c r="BA409" i="52"/>
  <c r="AZ409" i="52"/>
  <c r="AY409" i="52"/>
  <c r="AX409" i="52"/>
  <c r="AW409" i="52"/>
  <c r="AV409" i="52"/>
  <c r="AU409" i="52"/>
  <c r="AT409" i="52"/>
  <c r="AS409" i="52"/>
  <c r="AR409" i="52"/>
  <c r="AQ409" i="52"/>
  <c r="AP409" i="52"/>
  <c r="AO409" i="52"/>
  <c r="AN409" i="52"/>
  <c r="AM409" i="52"/>
  <c r="AL409" i="52"/>
  <c r="AK409" i="52"/>
  <c r="BH408" i="52"/>
  <c r="BG408" i="52"/>
  <c r="BF408" i="52"/>
  <c r="BE408" i="52"/>
  <c r="BD408" i="52"/>
  <c r="BC408" i="52"/>
  <c r="BB408" i="52"/>
  <c r="BA408" i="52"/>
  <c r="AZ408" i="52"/>
  <c r="AY408" i="52"/>
  <c r="AX408" i="52"/>
  <c r="AW408" i="52"/>
  <c r="AV408" i="52"/>
  <c r="AU408" i="52"/>
  <c r="AT408" i="52"/>
  <c r="AS408" i="52"/>
  <c r="AR408" i="52"/>
  <c r="AQ408" i="52"/>
  <c r="AP408" i="52"/>
  <c r="AO408" i="52"/>
  <c r="AN408" i="52"/>
  <c r="AM408" i="52"/>
  <c r="AL408" i="52"/>
  <c r="AK408" i="52"/>
  <c r="DA407" i="52"/>
  <c r="CZ407" i="52"/>
  <c r="CY407" i="52"/>
  <c r="CX407" i="52"/>
  <c r="CW407" i="52"/>
  <c r="CV407" i="52"/>
  <c r="CU407" i="52"/>
  <c r="CT407" i="52"/>
  <c r="CS407" i="52"/>
  <c r="CR407" i="52"/>
  <c r="CQ407" i="52"/>
  <c r="CP407" i="52"/>
  <c r="CO407" i="52"/>
  <c r="CN407" i="52"/>
  <c r="CM407" i="52"/>
  <c r="CL407" i="52"/>
  <c r="CK407" i="52"/>
  <c r="CJ407" i="52"/>
  <c r="CI407" i="52"/>
  <c r="CH407" i="52"/>
  <c r="CG407" i="52"/>
  <c r="CF407" i="52"/>
  <c r="CE407" i="52"/>
  <c r="CD407" i="52"/>
  <c r="CC407" i="52"/>
  <c r="CB407" i="52"/>
  <c r="CA407" i="52"/>
  <c r="BZ407" i="52"/>
  <c r="BY407" i="52"/>
  <c r="BX407" i="52"/>
  <c r="BW407" i="52"/>
  <c r="BV407" i="52"/>
  <c r="BU407" i="52"/>
  <c r="BT407" i="52"/>
  <c r="BS407" i="52"/>
  <c r="BR407" i="52"/>
  <c r="BQ407" i="52"/>
  <c r="BP407" i="52"/>
  <c r="BO407" i="52"/>
  <c r="BN407" i="52"/>
  <c r="BM407" i="52"/>
  <c r="BL407" i="52"/>
  <c r="BK407" i="52"/>
  <c r="BJ407" i="52"/>
  <c r="BI407" i="52"/>
  <c r="BH407" i="52"/>
  <c r="BG407" i="52"/>
  <c r="BF407" i="52"/>
  <c r="BE407" i="52"/>
  <c r="BD407" i="52"/>
  <c r="BC407" i="52"/>
  <c r="BB407" i="52"/>
  <c r="BA407" i="52"/>
  <c r="AZ407" i="52"/>
  <c r="AY407" i="52"/>
  <c r="AX407" i="52"/>
  <c r="AW407" i="52"/>
  <c r="AV407" i="52"/>
  <c r="AU407" i="52"/>
  <c r="AT407" i="52"/>
  <c r="AS407" i="52"/>
  <c r="AR407" i="52"/>
  <c r="AQ407" i="52"/>
  <c r="AP407" i="52"/>
  <c r="AO407" i="52"/>
  <c r="AN407" i="52"/>
  <c r="AM407" i="52"/>
  <c r="AL407" i="52"/>
  <c r="AK407" i="52"/>
  <c r="DA406" i="52"/>
  <c r="CZ406" i="52"/>
  <c r="CY406" i="52"/>
  <c r="CX406" i="52"/>
  <c r="CW406" i="52"/>
  <c r="CV406" i="52"/>
  <c r="CU406" i="52"/>
  <c r="CT406" i="52"/>
  <c r="CS406" i="52"/>
  <c r="CR406" i="52"/>
  <c r="CQ406" i="52"/>
  <c r="CP406" i="52"/>
  <c r="CO406" i="52"/>
  <c r="CN406" i="52"/>
  <c r="CM406" i="52"/>
  <c r="CL406" i="52"/>
  <c r="CK406" i="52"/>
  <c r="CJ406" i="52"/>
  <c r="CI406" i="52"/>
  <c r="CH406" i="52"/>
  <c r="CG406" i="52"/>
  <c r="CF406" i="52"/>
  <c r="CE406" i="52"/>
  <c r="CD406" i="52"/>
  <c r="CC406" i="52"/>
  <c r="CB406" i="52"/>
  <c r="CA406" i="52"/>
  <c r="BZ406" i="52"/>
  <c r="BY406" i="52"/>
  <c r="BX406" i="52"/>
  <c r="BW406" i="52"/>
  <c r="BV406" i="52"/>
  <c r="BU406" i="52"/>
  <c r="BT406" i="52"/>
  <c r="BS406" i="52"/>
  <c r="BR406" i="52"/>
  <c r="BQ406" i="52"/>
  <c r="BP406" i="52"/>
  <c r="BO406" i="52"/>
  <c r="BN406" i="52"/>
  <c r="BM406" i="52"/>
  <c r="BL406" i="52"/>
  <c r="BK406" i="52"/>
  <c r="BJ406" i="52"/>
  <c r="BI406" i="52"/>
  <c r="BH406" i="52"/>
  <c r="BG406" i="52"/>
  <c r="BF406" i="52"/>
  <c r="BE406" i="52"/>
  <c r="BD406" i="52"/>
  <c r="BC406" i="52"/>
  <c r="BB406" i="52"/>
  <c r="BA406" i="52"/>
  <c r="AZ406" i="52"/>
  <c r="AY406" i="52"/>
  <c r="AX406" i="52"/>
  <c r="AW406" i="52"/>
  <c r="AV406" i="52"/>
  <c r="AU406" i="52"/>
  <c r="AT406" i="52"/>
  <c r="AS406" i="52"/>
  <c r="AR406" i="52"/>
  <c r="AQ406" i="52"/>
  <c r="AP406" i="52"/>
  <c r="AO406" i="52"/>
  <c r="AN406" i="52"/>
  <c r="AM406" i="52"/>
  <c r="AL406" i="52"/>
  <c r="AK406" i="52"/>
  <c r="DA405" i="52"/>
  <c r="CZ405" i="52"/>
  <c r="CY405" i="52"/>
  <c r="CX405" i="52"/>
  <c r="CW405" i="52"/>
  <c r="CV405" i="52"/>
  <c r="CU405" i="52"/>
  <c r="CT405" i="52"/>
  <c r="CS405" i="52"/>
  <c r="CR405" i="52"/>
  <c r="CQ405" i="52"/>
  <c r="CP405" i="52"/>
  <c r="CO405" i="52"/>
  <c r="CN405" i="52"/>
  <c r="CM405" i="52"/>
  <c r="CL405" i="52"/>
  <c r="CK405" i="52"/>
  <c r="CJ405" i="52"/>
  <c r="CI405" i="52"/>
  <c r="CH405" i="52"/>
  <c r="CG405" i="52"/>
  <c r="CF405" i="52"/>
  <c r="CE405" i="52"/>
  <c r="CD405" i="52"/>
  <c r="CC405" i="52"/>
  <c r="CB405" i="52"/>
  <c r="CA405" i="52"/>
  <c r="BZ405" i="52"/>
  <c r="BY405" i="52"/>
  <c r="BX405" i="52"/>
  <c r="BW405" i="52"/>
  <c r="BV405" i="52"/>
  <c r="BU405" i="52"/>
  <c r="BT405" i="52"/>
  <c r="BS405" i="52"/>
  <c r="BR405" i="52"/>
  <c r="BQ405" i="52"/>
  <c r="BP405" i="52"/>
  <c r="BO405" i="52"/>
  <c r="BN405" i="52"/>
  <c r="BM405" i="52"/>
  <c r="BL405" i="52"/>
  <c r="BK405" i="52"/>
  <c r="BJ405" i="52"/>
  <c r="BI405" i="52"/>
  <c r="BH405" i="52"/>
  <c r="BG405" i="52"/>
  <c r="BF405" i="52"/>
  <c r="BE405" i="52"/>
  <c r="BD405" i="52"/>
  <c r="BC405" i="52"/>
  <c r="BB405" i="52"/>
  <c r="BA405" i="52"/>
  <c r="AZ405" i="52"/>
  <c r="AY405" i="52"/>
  <c r="AX405" i="52"/>
  <c r="AW405" i="52"/>
  <c r="AV405" i="52"/>
  <c r="AU405" i="52"/>
  <c r="AT405" i="52"/>
  <c r="AS405" i="52"/>
  <c r="AR405" i="52"/>
  <c r="AQ405" i="52"/>
  <c r="AP405" i="52"/>
  <c r="AO405" i="52"/>
  <c r="AN405" i="52"/>
  <c r="AM405" i="52"/>
  <c r="AL405" i="52"/>
  <c r="AK405" i="52"/>
  <c r="DA404" i="52"/>
  <c r="CZ404" i="52"/>
  <c r="CY404" i="52"/>
  <c r="CX404" i="52"/>
  <c r="CW404" i="52"/>
  <c r="CV404" i="52"/>
  <c r="CU404" i="52"/>
  <c r="CT404" i="52"/>
  <c r="CS404" i="52"/>
  <c r="CR404" i="52"/>
  <c r="CQ404" i="52"/>
  <c r="CP404" i="52"/>
  <c r="CO404" i="52"/>
  <c r="CN404" i="52"/>
  <c r="CM404" i="52"/>
  <c r="CL404" i="52"/>
  <c r="CK404" i="52"/>
  <c r="CJ404" i="52"/>
  <c r="CI404" i="52"/>
  <c r="CH404" i="52"/>
  <c r="CG404" i="52"/>
  <c r="CF404" i="52"/>
  <c r="CE404" i="52"/>
  <c r="CD404" i="52"/>
  <c r="CC404" i="52"/>
  <c r="CB404" i="52"/>
  <c r="CA404" i="52"/>
  <c r="BZ404" i="52"/>
  <c r="BY404" i="52"/>
  <c r="BX404" i="52"/>
  <c r="BW404" i="52"/>
  <c r="BV404" i="52"/>
  <c r="BU404" i="52"/>
  <c r="BT404" i="52"/>
  <c r="BS404" i="52"/>
  <c r="BR404" i="52"/>
  <c r="BQ404" i="52"/>
  <c r="BP404" i="52"/>
  <c r="BO404" i="52"/>
  <c r="BN404" i="52"/>
  <c r="BM404" i="52"/>
  <c r="BL404" i="52"/>
  <c r="BK404" i="52"/>
  <c r="BJ404" i="52"/>
  <c r="BI404" i="52"/>
  <c r="BH404" i="52"/>
  <c r="BG404" i="52"/>
  <c r="BF404" i="52"/>
  <c r="BE404" i="52"/>
  <c r="BD404" i="52"/>
  <c r="BC404" i="52"/>
  <c r="BB404" i="52"/>
  <c r="BA404" i="52"/>
  <c r="AZ404" i="52"/>
  <c r="AY404" i="52"/>
  <c r="AX404" i="52"/>
  <c r="AW404" i="52"/>
  <c r="AV404" i="52"/>
  <c r="AU404" i="52"/>
  <c r="AT404" i="52"/>
  <c r="AS404" i="52"/>
  <c r="AR404" i="52"/>
  <c r="AQ404" i="52"/>
  <c r="AP404" i="52"/>
  <c r="AO404" i="52"/>
  <c r="AN404" i="52"/>
  <c r="AM404" i="52"/>
  <c r="AL404" i="52"/>
  <c r="AK404" i="52"/>
  <c r="DA403" i="52"/>
  <c r="CZ403" i="52"/>
  <c r="CY403" i="52"/>
  <c r="CX403" i="52"/>
  <c r="CW403" i="52"/>
  <c r="CV403" i="52"/>
  <c r="CU403" i="52"/>
  <c r="CT403" i="52"/>
  <c r="CS403" i="52"/>
  <c r="CR403" i="52"/>
  <c r="CQ403" i="52"/>
  <c r="CP403" i="52"/>
  <c r="CO403" i="52"/>
  <c r="CN403" i="52"/>
  <c r="CM403" i="52"/>
  <c r="CL403" i="52"/>
  <c r="CK403" i="52"/>
  <c r="CJ403" i="52"/>
  <c r="CI403" i="52"/>
  <c r="CH403" i="52"/>
  <c r="CG403" i="52"/>
  <c r="CF403" i="52"/>
  <c r="CE403" i="52"/>
  <c r="CD403" i="52"/>
  <c r="CC403" i="52"/>
  <c r="CB403" i="52"/>
  <c r="CA403" i="52"/>
  <c r="BZ403" i="52"/>
  <c r="BY403" i="52"/>
  <c r="BX403" i="52"/>
  <c r="BW403" i="52"/>
  <c r="BV403" i="52"/>
  <c r="BU403" i="52"/>
  <c r="BT403" i="52"/>
  <c r="BS403" i="52"/>
  <c r="BR403" i="52"/>
  <c r="BQ403" i="52"/>
  <c r="BP403" i="52"/>
  <c r="BO403" i="52"/>
  <c r="BN403" i="52"/>
  <c r="BM403" i="52"/>
  <c r="BL403" i="52"/>
  <c r="BK403" i="52"/>
  <c r="BJ403" i="52"/>
  <c r="BI403" i="52"/>
  <c r="BH403" i="52"/>
  <c r="BG403" i="52"/>
  <c r="BF403" i="52"/>
  <c r="BE403" i="52"/>
  <c r="BD403" i="52"/>
  <c r="BC403" i="52"/>
  <c r="BB403" i="52"/>
  <c r="BA403" i="52"/>
  <c r="AZ403" i="52"/>
  <c r="AY403" i="52"/>
  <c r="AX403" i="52"/>
  <c r="AW403" i="52"/>
  <c r="AV403" i="52"/>
  <c r="AU403" i="52"/>
  <c r="AT403" i="52"/>
  <c r="AS403" i="52"/>
  <c r="AR403" i="52"/>
  <c r="AQ403" i="52"/>
  <c r="AP403" i="52"/>
  <c r="AO403" i="52"/>
  <c r="AN403" i="52"/>
  <c r="AM403" i="52"/>
  <c r="AL403" i="52"/>
  <c r="AK403" i="52"/>
  <c r="DA402" i="52"/>
  <c r="CZ402" i="52"/>
  <c r="CY402" i="52"/>
  <c r="CX402" i="52"/>
  <c r="CW402" i="52"/>
  <c r="CV402" i="52"/>
  <c r="CU402" i="52"/>
  <c r="CT402" i="52"/>
  <c r="CS402" i="52"/>
  <c r="CR402" i="52"/>
  <c r="CQ402" i="52"/>
  <c r="CP402" i="52"/>
  <c r="CO402" i="52"/>
  <c r="CN402" i="52"/>
  <c r="CM402" i="52"/>
  <c r="CL402" i="52"/>
  <c r="CK402" i="52"/>
  <c r="CJ402" i="52"/>
  <c r="CI402" i="52"/>
  <c r="CH402" i="52"/>
  <c r="CG402" i="52"/>
  <c r="CF402" i="52"/>
  <c r="CE402" i="52"/>
  <c r="CD402" i="52"/>
  <c r="CC402" i="52"/>
  <c r="CB402" i="52"/>
  <c r="CA402" i="52"/>
  <c r="BZ402" i="52"/>
  <c r="BY402" i="52"/>
  <c r="BX402" i="52"/>
  <c r="BW402" i="52"/>
  <c r="BV402" i="52"/>
  <c r="BU402" i="52"/>
  <c r="BT402" i="52"/>
  <c r="BS402" i="52"/>
  <c r="BR402" i="52"/>
  <c r="BQ402" i="52"/>
  <c r="BP402" i="52"/>
  <c r="BO402" i="52"/>
  <c r="BN402" i="52"/>
  <c r="BM402" i="52"/>
  <c r="BL402" i="52"/>
  <c r="BK402" i="52"/>
  <c r="BJ402" i="52"/>
  <c r="BI402" i="52"/>
  <c r="BH402" i="52"/>
  <c r="BG402" i="52"/>
  <c r="BF402" i="52"/>
  <c r="BE402" i="52"/>
  <c r="BD402" i="52"/>
  <c r="BC402" i="52"/>
  <c r="BB402" i="52"/>
  <c r="BA402" i="52"/>
  <c r="AZ402" i="52"/>
  <c r="AY402" i="52"/>
  <c r="AX402" i="52"/>
  <c r="AW402" i="52"/>
  <c r="AV402" i="52"/>
  <c r="AU402" i="52"/>
  <c r="AT402" i="52"/>
  <c r="AS402" i="52"/>
  <c r="AR402" i="52"/>
  <c r="AQ402" i="52"/>
  <c r="AP402" i="52"/>
  <c r="AO402" i="52"/>
  <c r="AN402" i="52"/>
  <c r="AM402" i="52"/>
  <c r="AL402" i="52"/>
  <c r="AK402" i="52"/>
  <c r="DA401" i="52"/>
  <c r="CZ401" i="52"/>
  <c r="CY401" i="52"/>
  <c r="CX401" i="52"/>
  <c r="CW401" i="52"/>
  <c r="CV401" i="52"/>
  <c r="CU401" i="52"/>
  <c r="CT401" i="52"/>
  <c r="CS401" i="52"/>
  <c r="CR401" i="52"/>
  <c r="CQ401" i="52"/>
  <c r="CP401" i="52"/>
  <c r="CO401" i="52"/>
  <c r="CN401" i="52"/>
  <c r="CM401" i="52"/>
  <c r="CL401" i="52"/>
  <c r="CK401" i="52"/>
  <c r="CJ401" i="52"/>
  <c r="CI401" i="52"/>
  <c r="CH401" i="52"/>
  <c r="CG401" i="52"/>
  <c r="CF401" i="52"/>
  <c r="CE401" i="52"/>
  <c r="CD401" i="52"/>
  <c r="CC401" i="52"/>
  <c r="CB401" i="52"/>
  <c r="CA401" i="52"/>
  <c r="BZ401" i="52"/>
  <c r="BY401" i="52"/>
  <c r="BX401" i="52"/>
  <c r="BW401" i="52"/>
  <c r="BV401" i="52"/>
  <c r="BU401" i="52"/>
  <c r="BT401" i="52"/>
  <c r="BS401" i="52"/>
  <c r="BR401" i="52"/>
  <c r="BQ401" i="52"/>
  <c r="BP401" i="52"/>
  <c r="BO401" i="52"/>
  <c r="BN401" i="52"/>
  <c r="BM401" i="52"/>
  <c r="BL401" i="52"/>
  <c r="BK401" i="52"/>
  <c r="BJ401" i="52"/>
  <c r="BI401" i="52"/>
  <c r="BH401" i="52"/>
  <c r="BG401" i="52"/>
  <c r="BF401" i="52"/>
  <c r="BE401" i="52"/>
  <c r="BD401" i="52"/>
  <c r="BC401" i="52"/>
  <c r="BB401" i="52"/>
  <c r="BA401" i="52"/>
  <c r="AZ401" i="52"/>
  <c r="AY401" i="52"/>
  <c r="AX401" i="52"/>
  <c r="AW401" i="52"/>
  <c r="AV401" i="52"/>
  <c r="AU401" i="52"/>
  <c r="AT401" i="52"/>
  <c r="AS401" i="52"/>
  <c r="AR401" i="52"/>
  <c r="AQ401" i="52"/>
  <c r="AP401" i="52"/>
  <c r="AO401" i="52"/>
  <c r="AN401" i="52"/>
  <c r="AM401" i="52"/>
  <c r="AL401" i="52"/>
  <c r="AK401" i="52"/>
  <c r="DA400" i="52"/>
  <c r="CZ400" i="52"/>
  <c r="CY400" i="52"/>
  <c r="CX400" i="52"/>
  <c r="CW400" i="52"/>
  <c r="CV400" i="52"/>
  <c r="CU400" i="52"/>
  <c r="CT400" i="52"/>
  <c r="CS400" i="52"/>
  <c r="CR400" i="52"/>
  <c r="CQ400" i="52"/>
  <c r="CP400" i="52"/>
  <c r="CO400" i="52"/>
  <c r="CN400" i="52"/>
  <c r="CM400" i="52"/>
  <c r="CL400" i="52"/>
  <c r="CK400" i="52"/>
  <c r="CJ400" i="52"/>
  <c r="CI400" i="52"/>
  <c r="CH400" i="52"/>
  <c r="CG400" i="52"/>
  <c r="CF400" i="52"/>
  <c r="CE400" i="52"/>
  <c r="CD400" i="52"/>
  <c r="CC400" i="52"/>
  <c r="CB400" i="52"/>
  <c r="CA400" i="52"/>
  <c r="BZ400" i="52"/>
  <c r="BY400" i="52"/>
  <c r="BX400" i="52"/>
  <c r="BW400" i="52"/>
  <c r="BV400" i="52"/>
  <c r="BU400" i="52"/>
  <c r="BT400" i="52"/>
  <c r="BS400" i="52"/>
  <c r="BR400" i="52"/>
  <c r="BQ400" i="52"/>
  <c r="BP400" i="52"/>
  <c r="BO400" i="52"/>
  <c r="BN400" i="52"/>
  <c r="BM400" i="52"/>
  <c r="BL400" i="52"/>
  <c r="BK400" i="52"/>
  <c r="BJ400" i="52"/>
  <c r="BI400" i="52"/>
  <c r="BH400" i="52"/>
  <c r="BG400" i="52"/>
  <c r="BF400" i="52"/>
  <c r="BE400" i="52"/>
  <c r="BD400" i="52"/>
  <c r="BC400" i="52"/>
  <c r="BB400" i="52"/>
  <c r="BA400" i="52"/>
  <c r="AZ400" i="52"/>
  <c r="AY400" i="52"/>
  <c r="AX400" i="52"/>
  <c r="AW400" i="52"/>
  <c r="AV400" i="52"/>
  <c r="AU400" i="52"/>
  <c r="AT400" i="52"/>
  <c r="AS400" i="52"/>
  <c r="AR400" i="52"/>
  <c r="AQ400" i="52"/>
  <c r="AP400" i="52"/>
  <c r="AO400" i="52"/>
  <c r="AN400" i="52"/>
  <c r="AM400" i="52"/>
  <c r="AL400" i="52"/>
  <c r="AK400" i="52"/>
  <c r="DA399" i="52"/>
  <c r="CZ399" i="52"/>
  <c r="CY399" i="52"/>
  <c r="CX399" i="52"/>
  <c r="CW399" i="52"/>
  <c r="CV399" i="52"/>
  <c r="CU399" i="52"/>
  <c r="CT399" i="52"/>
  <c r="CS399" i="52"/>
  <c r="CR399" i="52"/>
  <c r="CQ399" i="52"/>
  <c r="CP399" i="52"/>
  <c r="CO399" i="52"/>
  <c r="CN399" i="52"/>
  <c r="CM399" i="52"/>
  <c r="CL399" i="52"/>
  <c r="CK399" i="52"/>
  <c r="CJ399" i="52"/>
  <c r="CI399" i="52"/>
  <c r="CH399" i="52"/>
  <c r="CG399" i="52"/>
  <c r="CF399" i="52"/>
  <c r="CE399" i="52"/>
  <c r="CD399" i="52"/>
  <c r="CC399" i="52"/>
  <c r="CB399" i="52"/>
  <c r="CA399" i="52"/>
  <c r="BZ399" i="52"/>
  <c r="BY399" i="52"/>
  <c r="BX399" i="52"/>
  <c r="BW399" i="52"/>
  <c r="BV399" i="52"/>
  <c r="BU399" i="52"/>
  <c r="BT399" i="52"/>
  <c r="BS399" i="52"/>
  <c r="BR399" i="52"/>
  <c r="BQ399" i="52"/>
  <c r="BP399" i="52"/>
  <c r="BO399" i="52"/>
  <c r="BN399" i="52"/>
  <c r="BM399" i="52"/>
  <c r="BL399" i="52"/>
  <c r="BK399" i="52"/>
  <c r="BJ399" i="52"/>
  <c r="BI399" i="52"/>
  <c r="BH399" i="52"/>
  <c r="BG399" i="52"/>
  <c r="BF399" i="52"/>
  <c r="BE399" i="52"/>
  <c r="BD399" i="52"/>
  <c r="BC399" i="52"/>
  <c r="BB399" i="52"/>
  <c r="BA399" i="52"/>
  <c r="AZ399" i="52"/>
  <c r="AY399" i="52"/>
  <c r="AX399" i="52"/>
  <c r="AW399" i="52"/>
  <c r="AV399" i="52"/>
  <c r="AU399" i="52"/>
  <c r="AT399" i="52"/>
  <c r="AS399" i="52"/>
  <c r="AR399" i="52"/>
  <c r="AQ399" i="52"/>
  <c r="AP399" i="52"/>
  <c r="AO399" i="52"/>
  <c r="AN399" i="52"/>
  <c r="AM399" i="52"/>
  <c r="AL399" i="52"/>
  <c r="AK399" i="52"/>
  <c r="DA398" i="52"/>
  <c r="CZ398" i="52"/>
  <c r="CY398" i="52"/>
  <c r="CX398" i="52"/>
  <c r="CW398" i="52"/>
  <c r="CV398" i="52"/>
  <c r="CU398" i="52"/>
  <c r="CT398" i="52"/>
  <c r="CS398" i="52"/>
  <c r="CR398" i="52"/>
  <c r="CQ398" i="52"/>
  <c r="CP398" i="52"/>
  <c r="CO398" i="52"/>
  <c r="CN398" i="52"/>
  <c r="CM398" i="52"/>
  <c r="CL398" i="52"/>
  <c r="CK398" i="52"/>
  <c r="CJ398" i="52"/>
  <c r="CI398" i="52"/>
  <c r="CH398" i="52"/>
  <c r="CG398" i="52"/>
  <c r="CF398" i="52"/>
  <c r="CE398" i="52"/>
  <c r="CD398" i="52"/>
  <c r="CC398" i="52"/>
  <c r="CB398" i="52"/>
  <c r="CA398" i="52"/>
  <c r="BZ398" i="52"/>
  <c r="BY398" i="52"/>
  <c r="BX398" i="52"/>
  <c r="BW398" i="52"/>
  <c r="BV398" i="52"/>
  <c r="BU398" i="52"/>
  <c r="BT398" i="52"/>
  <c r="BS398" i="52"/>
  <c r="BR398" i="52"/>
  <c r="BQ398" i="52"/>
  <c r="BP398" i="52"/>
  <c r="BO398" i="52"/>
  <c r="BN398" i="52"/>
  <c r="BM398" i="52"/>
  <c r="BL398" i="52"/>
  <c r="BK398" i="52"/>
  <c r="BJ398" i="52"/>
  <c r="BI398" i="52"/>
  <c r="BH398" i="52"/>
  <c r="BG398" i="52"/>
  <c r="BF398" i="52"/>
  <c r="BE398" i="52"/>
  <c r="BD398" i="52"/>
  <c r="BC398" i="52"/>
  <c r="BB398" i="52"/>
  <c r="BA398" i="52"/>
  <c r="AZ398" i="52"/>
  <c r="AY398" i="52"/>
  <c r="AX398" i="52"/>
  <c r="AW398" i="52"/>
  <c r="AV398" i="52"/>
  <c r="AU398" i="52"/>
  <c r="AT398" i="52"/>
  <c r="AS398" i="52"/>
  <c r="AR398" i="52"/>
  <c r="AQ398" i="52"/>
  <c r="AP398" i="52"/>
  <c r="AO398" i="52"/>
  <c r="AN398" i="52"/>
  <c r="AM398" i="52"/>
  <c r="AL398" i="52"/>
  <c r="AK398" i="52"/>
  <c r="DA397" i="52"/>
  <c r="CZ397" i="52"/>
  <c r="CY397" i="52"/>
  <c r="CX397" i="52"/>
  <c r="CW397" i="52"/>
  <c r="CV397" i="52"/>
  <c r="CU397" i="52"/>
  <c r="CT397" i="52"/>
  <c r="CS397" i="52"/>
  <c r="CR397" i="52"/>
  <c r="CQ397" i="52"/>
  <c r="CP397" i="52"/>
  <c r="CO397" i="52"/>
  <c r="CN397" i="52"/>
  <c r="CM397" i="52"/>
  <c r="CL397" i="52"/>
  <c r="CK397" i="52"/>
  <c r="CJ397" i="52"/>
  <c r="CI397" i="52"/>
  <c r="CH397" i="52"/>
  <c r="CG397" i="52"/>
  <c r="CF397" i="52"/>
  <c r="CE397" i="52"/>
  <c r="CD397" i="52"/>
  <c r="CC397" i="52"/>
  <c r="CB397" i="52"/>
  <c r="CA397" i="52"/>
  <c r="BZ397" i="52"/>
  <c r="BY397" i="52"/>
  <c r="BX397" i="52"/>
  <c r="BW397" i="52"/>
  <c r="BV397" i="52"/>
  <c r="BU397" i="52"/>
  <c r="BT397" i="52"/>
  <c r="BS397" i="52"/>
  <c r="BR397" i="52"/>
  <c r="BQ397" i="52"/>
  <c r="BP397" i="52"/>
  <c r="BO397" i="52"/>
  <c r="BN397" i="52"/>
  <c r="BM397" i="52"/>
  <c r="BL397" i="52"/>
  <c r="BK397" i="52"/>
  <c r="BJ397" i="52"/>
  <c r="BI397" i="52"/>
  <c r="BH397" i="52"/>
  <c r="BG397" i="52"/>
  <c r="BF397" i="52"/>
  <c r="BE397" i="52"/>
  <c r="BD397" i="52"/>
  <c r="BC397" i="52"/>
  <c r="BB397" i="52"/>
  <c r="BA397" i="52"/>
  <c r="AZ397" i="52"/>
  <c r="AY397" i="52"/>
  <c r="AX397" i="52"/>
  <c r="AW397" i="52"/>
  <c r="AV397" i="52"/>
  <c r="AU397" i="52"/>
  <c r="AT397" i="52"/>
  <c r="AS397" i="52"/>
  <c r="AR397" i="52"/>
  <c r="AQ397" i="52"/>
  <c r="AP397" i="52"/>
  <c r="AO397" i="52"/>
  <c r="AN397" i="52"/>
  <c r="AM397" i="52"/>
  <c r="AL397" i="52"/>
  <c r="AK397" i="52"/>
  <c r="DA396" i="52"/>
  <c r="CZ396" i="52"/>
  <c r="CY396" i="52"/>
  <c r="CX396" i="52"/>
  <c r="CW396" i="52"/>
  <c r="CV396" i="52"/>
  <c r="CU396" i="52"/>
  <c r="CT396" i="52"/>
  <c r="CS396" i="52"/>
  <c r="CR396" i="52"/>
  <c r="CQ396" i="52"/>
  <c r="CP396" i="52"/>
  <c r="CO396" i="52"/>
  <c r="CN396" i="52"/>
  <c r="CM396" i="52"/>
  <c r="CL396" i="52"/>
  <c r="CK396" i="52"/>
  <c r="CJ396" i="52"/>
  <c r="CI396" i="52"/>
  <c r="CH396" i="52"/>
  <c r="CG396" i="52"/>
  <c r="CF396" i="52"/>
  <c r="CE396" i="52"/>
  <c r="CD396" i="52"/>
  <c r="CC396" i="52"/>
  <c r="CB396" i="52"/>
  <c r="CA396" i="52"/>
  <c r="BZ396" i="52"/>
  <c r="BY396" i="52"/>
  <c r="BX396" i="52"/>
  <c r="BW396" i="52"/>
  <c r="BV396" i="52"/>
  <c r="BU396" i="52"/>
  <c r="BT396" i="52"/>
  <c r="BS396" i="52"/>
  <c r="BR396" i="52"/>
  <c r="BQ396" i="52"/>
  <c r="BP396" i="52"/>
  <c r="BO396" i="52"/>
  <c r="BN396" i="52"/>
  <c r="BM396" i="52"/>
  <c r="BL396" i="52"/>
  <c r="BK396" i="52"/>
  <c r="BJ396" i="52"/>
  <c r="BI396" i="52"/>
  <c r="BH396" i="52"/>
  <c r="BG396" i="52"/>
  <c r="BF396" i="52"/>
  <c r="BE396" i="52"/>
  <c r="BD396" i="52"/>
  <c r="BC396" i="52"/>
  <c r="BB396" i="52"/>
  <c r="BA396" i="52"/>
  <c r="AZ396" i="52"/>
  <c r="AY396" i="52"/>
  <c r="AX396" i="52"/>
  <c r="AW396" i="52"/>
  <c r="AV396" i="52"/>
  <c r="AU396" i="52"/>
  <c r="AT396" i="52"/>
  <c r="AS396" i="52"/>
  <c r="AR396" i="52"/>
  <c r="AQ396" i="52"/>
  <c r="AP396" i="52"/>
  <c r="AO396" i="52"/>
  <c r="AN396" i="52"/>
  <c r="AM396" i="52"/>
  <c r="AL396" i="52"/>
  <c r="AK396" i="52"/>
  <c r="DA395" i="52"/>
  <c r="CZ395" i="52"/>
  <c r="CY395" i="52"/>
  <c r="CX395" i="52"/>
  <c r="CW395" i="52"/>
  <c r="CV395" i="52"/>
  <c r="CU395" i="52"/>
  <c r="CT395" i="52"/>
  <c r="CS395" i="52"/>
  <c r="CR395" i="52"/>
  <c r="CQ395" i="52"/>
  <c r="CP395" i="52"/>
  <c r="CO395" i="52"/>
  <c r="CN395" i="52"/>
  <c r="CM395" i="52"/>
  <c r="CL395" i="52"/>
  <c r="CK395" i="52"/>
  <c r="CJ395" i="52"/>
  <c r="CI395" i="52"/>
  <c r="CH395" i="52"/>
  <c r="CG395" i="52"/>
  <c r="CF395" i="52"/>
  <c r="CE395" i="52"/>
  <c r="CD395" i="52"/>
  <c r="CC395" i="52"/>
  <c r="CB395" i="52"/>
  <c r="CA395" i="52"/>
  <c r="BZ395" i="52"/>
  <c r="BY395" i="52"/>
  <c r="BX395" i="52"/>
  <c r="BW395" i="52"/>
  <c r="BV395" i="52"/>
  <c r="BU395" i="52"/>
  <c r="BT395" i="52"/>
  <c r="BS395" i="52"/>
  <c r="BR395" i="52"/>
  <c r="BQ395" i="52"/>
  <c r="BP395" i="52"/>
  <c r="BO395" i="52"/>
  <c r="BN395" i="52"/>
  <c r="BM395" i="52"/>
  <c r="BL395" i="52"/>
  <c r="BK395" i="52"/>
  <c r="BJ395" i="52"/>
  <c r="BI395" i="52"/>
  <c r="BH395" i="52"/>
  <c r="BG395" i="52"/>
  <c r="BF395" i="52"/>
  <c r="BE395" i="52"/>
  <c r="BD395" i="52"/>
  <c r="BC395" i="52"/>
  <c r="BB395" i="52"/>
  <c r="BA395" i="52"/>
  <c r="AZ395" i="52"/>
  <c r="AY395" i="52"/>
  <c r="AX395" i="52"/>
  <c r="AW395" i="52"/>
  <c r="AV395" i="52"/>
  <c r="AU395" i="52"/>
  <c r="AT395" i="52"/>
  <c r="AS395" i="52"/>
  <c r="AR395" i="52"/>
  <c r="AQ395" i="52"/>
  <c r="AP395" i="52"/>
  <c r="AO395" i="52"/>
  <c r="AN395" i="52"/>
  <c r="AM395" i="52"/>
  <c r="AL395" i="52"/>
  <c r="AK395" i="52"/>
  <c r="DA394" i="52"/>
  <c r="CZ394" i="52"/>
  <c r="CY394" i="52"/>
  <c r="CX394" i="52"/>
  <c r="CW394" i="52"/>
  <c r="CV394" i="52"/>
  <c r="CU394" i="52"/>
  <c r="CT394" i="52"/>
  <c r="CS394" i="52"/>
  <c r="CR394" i="52"/>
  <c r="CQ394" i="52"/>
  <c r="CP394" i="52"/>
  <c r="CO394" i="52"/>
  <c r="CN394" i="52"/>
  <c r="CM394" i="52"/>
  <c r="CL394" i="52"/>
  <c r="CK394" i="52"/>
  <c r="CJ394" i="52"/>
  <c r="CI394" i="52"/>
  <c r="CH394" i="52"/>
  <c r="CG394" i="52"/>
  <c r="CF394" i="52"/>
  <c r="CE394" i="52"/>
  <c r="CD394" i="52"/>
  <c r="CC394" i="52"/>
  <c r="CB394" i="52"/>
  <c r="CA394" i="52"/>
  <c r="BZ394" i="52"/>
  <c r="BY394" i="52"/>
  <c r="BX394" i="52"/>
  <c r="BW394" i="52"/>
  <c r="BV394" i="52"/>
  <c r="BU394" i="52"/>
  <c r="BT394" i="52"/>
  <c r="BS394" i="52"/>
  <c r="BR394" i="52"/>
  <c r="BQ394" i="52"/>
  <c r="BP394" i="52"/>
  <c r="BO394" i="52"/>
  <c r="BN394" i="52"/>
  <c r="BM394" i="52"/>
  <c r="BL394" i="52"/>
  <c r="BK394" i="52"/>
  <c r="BJ394" i="52"/>
  <c r="BI394" i="52"/>
  <c r="BH394" i="52"/>
  <c r="BG394" i="52"/>
  <c r="BF394" i="52"/>
  <c r="BE394" i="52"/>
  <c r="BD394" i="52"/>
  <c r="BC394" i="52"/>
  <c r="BB394" i="52"/>
  <c r="BA394" i="52"/>
  <c r="AZ394" i="52"/>
  <c r="AY394" i="52"/>
  <c r="AX394" i="52"/>
  <c r="AW394" i="52"/>
  <c r="AV394" i="52"/>
  <c r="AU394" i="52"/>
  <c r="AT394" i="52"/>
  <c r="AS394" i="52"/>
  <c r="AR394" i="52"/>
  <c r="AQ394" i="52"/>
  <c r="AP394" i="52"/>
  <c r="AO394" i="52"/>
  <c r="AN394" i="52"/>
  <c r="AM394" i="52"/>
  <c r="AL394" i="52"/>
  <c r="AK394" i="52"/>
  <c r="DA393" i="52"/>
  <c r="CZ393" i="52"/>
  <c r="CY393" i="52"/>
  <c r="CX393" i="52"/>
  <c r="CW393" i="52"/>
  <c r="CV393" i="52"/>
  <c r="CU393" i="52"/>
  <c r="CT393" i="52"/>
  <c r="CS393" i="52"/>
  <c r="CR393" i="52"/>
  <c r="CQ393" i="52"/>
  <c r="CP393" i="52"/>
  <c r="CO393" i="52"/>
  <c r="CN393" i="52"/>
  <c r="CM393" i="52"/>
  <c r="CL393" i="52"/>
  <c r="CK393" i="52"/>
  <c r="CJ393" i="52"/>
  <c r="CI393" i="52"/>
  <c r="CH393" i="52"/>
  <c r="CG393" i="52"/>
  <c r="CF393" i="52"/>
  <c r="CE393" i="52"/>
  <c r="CD393" i="52"/>
  <c r="CC393" i="52"/>
  <c r="CB393" i="52"/>
  <c r="CA393" i="52"/>
  <c r="BZ393" i="52"/>
  <c r="BY393" i="52"/>
  <c r="BX393" i="52"/>
  <c r="BW393" i="52"/>
  <c r="BV393" i="52"/>
  <c r="BU393" i="52"/>
  <c r="BT393" i="52"/>
  <c r="BS393" i="52"/>
  <c r="BR393" i="52"/>
  <c r="BQ393" i="52"/>
  <c r="BP393" i="52"/>
  <c r="BO393" i="52"/>
  <c r="BN393" i="52"/>
  <c r="BM393" i="52"/>
  <c r="BL393" i="52"/>
  <c r="BK393" i="52"/>
  <c r="BJ393" i="52"/>
  <c r="BI393" i="52"/>
  <c r="BH393" i="52"/>
  <c r="BG393" i="52"/>
  <c r="BF393" i="52"/>
  <c r="BE393" i="52"/>
  <c r="BD393" i="52"/>
  <c r="BC393" i="52"/>
  <c r="BB393" i="52"/>
  <c r="BA393" i="52"/>
  <c r="AZ393" i="52"/>
  <c r="AY393" i="52"/>
  <c r="AX393" i="52"/>
  <c r="AW393" i="52"/>
  <c r="AV393" i="52"/>
  <c r="AU393" i="52"/>
  <c r="AT393" i="52"/>
  <c r="AS393" i="52"/>
  <c r="AR393" i="52"/>
  <c r="AQ393" i="52"/>
  <c r="AP393" i="52"/>
  <c r="AO393" i="52"/>
  <c r="AN393" i="52"/>
  <c r="AM393" i="52"/>
  <c r="AL393" i="52"/>
  <c r="AK393" i="52"/>
  <c r="DA392" i="52"/>
  <c r="CZ392" i="52"/>
  <c r="CY392" i="52"/>
  <c r="CX392" i="52"/>
  <c r="CW392" i="52"/>
  <c r="CV392" i="52"/>
  <c r="CU392" i="52"/>
  <c r="CT392" i="52"/>
  <c r="CS392" i="52"/>
  <c r="CR392" i="52"/>
  <c r="CQ392" i="52"/>
  <c r="CP392" i="52"/>
  <c r="CO392" i="52"/>
  <c r="CN392" i="52"/>
  <c r="CM392" i="52"/>
  <c r="CL392" i="52"/>
  <c r="CK392" i="52"/>
  <c r="CJ392" i="52"/>
  <c r="CI392" i="52"/>
  <c r="CH392" i="52"/>
  <c r="CG392" i="52"/>
  <c r="CF392" i="52"/>
  <c r="CE392" i="52"/>
  <c r="CD392" i="52"/>
  <c r="CC392" i="52"/>
  <c r="CB392" i="52"/>
  <c r="CA392" i="52"/>
  <c r="BZ392" i="52"/>
  <c r="BY392" i="52"/>
  <c r="BX392" i="52"/>
  <c r="BW392" i="52"/>
  <c r="BV392" i="52"/>
  <c r="BU392" i="52"/>
  <c r="BT392" i="52"/>
  <c r="BS392" i="52"/>
  <c r="BR392" i="52"/>
  <c r="BQ392" i="52"/>
  <c r="BP392" i="52"/>
  <c r="BO392" i="52"/>
  <c r="BN392" i="52"/>
  <c r="BM392" i="52"/>
  <c r="BL392" i="52"/>
  <c r="BK392" i="52"/>
  <c r="BJ392" i="52"/>
  <c r="BI392" i="52"/>
  <c r="BH392" i="52"/>
  <c r="BG392" i="52"/>
  <c r="BF392" i="52"/>
  <c r="BE392" i="52"/>
  <c r="BD392" i="52"/>
  <c r="BC392" i="52"/>
  <c r="BB392" i="52"/>
  <c r="BA392" i="52"/>
  <c r="AZ392" i="52"/>
  <c r="AY392" i="52"/>
  <c r="AX392" i="52"/>
  <c r="AW392" i="52"/>
  <c r="AV392" i="52"/>
  <c r="AU392" i="52"/>
  <c r="AT392" i="52"/>
  <c r="AS392" i="52"/>
  <c r="AR392" i="52"/>
  <c r="AQ392" i="52"/>
  <c r="AP392" i="52"/>
  <c r="AO392" i="52"/>
  <c r="AN392" i="52"/>
  <c r="AM392" i="52"/>
  <c r="AL392" i="52"/>
  <c r="AK392" i="52"/>
  <c r="DA391" i="52"/>
  <c r="CZ391" i="52"/>
  <c r="CY391" i="52"/>
  <c r="CX391" i="52"/>
  <c r="CW391" i="52"/>
  <c r="CV391" i="52"/>
  <c r="CU391" i="52"/>
  <c r="CT391" i="52"/>
  <c r="CS391" i="52"/>
  <c r="CR391" i="52"/>
  <c r="CQ391" i="52"/>
  <c r="CP391" i="52"/>
  <c r="CO391" i="52"/>
  <c r="CN391" i="52"/>
  <c r="CM391" i="52"/>
  <c r="CL391" i="52"/>
  <c r="CK391" i="52"/>
  <c r="CJ391" i="52"/>
  <c r="CI391" i="52"/>
  <c r="CH391" i="52"/>
  <c r="CG391" i="52"/>
  <c r="CF391" i="52"/>
  <c r="CE391" i="52"/>
  <c r="CD391" i="52"/>
  <c r="CC391" i="52"/>
  <c r="CB391" i="52"/>
  <c r="CA391" i="52"/>
  <c r="BZ391" i="52"/>
  <c r="BY391" i="52"/>
  <c r="BX391" i="52"/>
  <c r="BW391" i="52"/>
  <c r="BV391" i="52"/>
  <c r="BU391" i="52"/>
  <c r="BT391" i="52"/>
  <c r="BS391" i="52"/>
  <c r="BR391" i="52"/>
  <c r="BQ391" i="52"/>
  <c r="BP391" i="52"/>
  <c r="BO391" i="52"/>
  <c r="BN391" i="52"/>
  <c r="BM391" i="52"/>
  <c r="BL391" i="52"/>
  <c r="BK391" i="52"/>
  <c r="BJ391" i="52"/>
  <c r="BI391" i="52"/>
  <c r="BH391" i="52"/>
  <c r="BG391" i="52"/>
  <c r="BF391" i="52"/>
  <c r="BE391" i="52"/>
  <c r="BD391" i="52"/>
  <c r="BC391" i="52"/>
  <c r="BB391" i="52"/>
  <c r="BA391" i="52"/>
  <c r="AZ391" i="52"/>
  <c r="AY391" i="52"/>
  <c r="AX391" i="52"/>
  <c r="AW391" i="52"/>
  <c r="AV391" i="52"/>
  <c r="AU391" i="52"/>
  <c r="AT391" i="52"/>
  <c r="AS391" i="52"/>
  <c r="AR391" i="52"/>
  <c r="AQ391" i="52"/>
  <c r="AP391" i="52"/>
  <c r="AO391" i="52"/>
  <c r="AN391" i="52"/>
  <c r="AM391" i="52"/>
  <c r="AL391" i="52"/>
  <c r="AK391" i="52"/>
  <c r="DA390" i="52"/>
  <c r="CZ390" i="52"/>
  <c r="CY390" i="52"/>
  <c r="CX390" i="52"/>
  <c r="CW390" i="52"/>
  <c r="CV390" i="52"/>
  <c r="CV408" i="52" s="1"/>
  <c r="CU390" i="52"/>
  <c r="CT390" i="52"/>
  <c r="CS390" i="52"/>
  <c r="CR390" i="52"/>
  <c r="CQ390" i="52"/>
  <c r="CP390" i="52"/>
  <c r="CO390" i="52"/>
  <c r="CN390" i="52"/>
  <c r="CM390" i="52"/>
  <c r="CL390" i="52"/>
  <c r="CK390" i="52"/>
  <c r="CJ390" i="52"/>
  <c r="CI390" i="52"/>
  <c r="CH390" i="52"/>
  <c r="CG390" i="52"/>
  <c r="CF390" i="52"/>
  <c r="CE390" i="52"/>
  <c r="CD390" i="52"/>
  <c r="CC390" i="52"/>
  <c r="CB390" i="52"/>
  <c r="CA390" i="52"/>
  <c r="BZ390" i="52"/>
  <c r="BY390" i="52"/>
  <c r="BX390" i="52"/>
  <c r="BX408" i="52" s="1"/>
  <c r="BW390" i="52"/>
  <c r="BV390" i="52"/>
  <c r="BU390" i="52"/>
  <c r="BT390" i="52"/>
  <c r="BS390" i="52"/>
  <c r="BR390" i="52"/>
  <c r="BQ390" i="52"/>
  <c r="BP390" i="52"/>
  <c r="BO390" i="52"/>
  <c r="BN390" i="52"/>
  <c r="BM390" i="52"/>
  <c r="BL390" i="52"/>
  <c r="BK390" i="52"/>
  <c r="BJ390" i="52"/>
  <c r="BI390" i="52"/>
  <c r="BH390" i="52"/>
  <c r="BG390" i="52"/>
  <c r="BF390" i="52"/>
  <c r="BE390" i="52"/>
  <c r="BD390" i="52"/>
  <c r="BC390" i="52"/>
  <c r="BB390" i="52"/>
  <c r="BA390" i="52"/>
  <c r="AZ390" i="52"/>
  <c r="AY390" i="52"/>
  <c r="AX390" i="52"/>
  <c r="AW390" i="52"/>
  <c r="AV390" i="52"/>
  <c r="AU390" i="52"/>
  <c r="AT390" i="52"/>
  <c r="AS390" i="52"/>
  <c r="AR390" i="52"/>
  <c r="AQ390" i="52"/>
  <c r="AP390" i="52"/>
  <c r="AO390" i="52"/>
  <c r="AN390" i="52"/>
  <c r="AM390" i="52"/>
  <c r="AL390" i="52"/>
  <c r="AK390" i="52"/>
  <c r="DA389" i="52"/>
  <c r="DA408" i="52" s="1"/>
  <c r="CZ389" i="52"/>
  <c r="CY389" i="52"/>
  <c r="CX389" i="52"/>
  <c r="CW389" i="52"/>
  <c r="CV389" i="52"/>
  <c r="CU389" i="52"/>
  <c r="CT389" i="52"/>
  <c r="CS389" i="52"/>
  <c r="CR389" i="52"/>
  <c r="CQ389" i="52"/>
  <c r="CP389" i="52"/>
  <c r="CO389" i="52"/>
  <c r="CN389" i="52"/>
  <c r="CM389" i="52"/>
  <c r="CL389" i="52"/>
  <c r="CK389" i="52"/>
  <c r="CJ389" i="52"/>
  <c r="CI389" i="52"/>
  <c r="CH389" i="52"/>
  <c r="CG389" i="52"/>
  <c r="CF389" i="52"/>
  <c r="CE389" i="52"/>
  <c r="CD389" i="52"/>
  <c r="CC389" i="52"/>
  <c r="CC408" i="52" s="1"/>
  <c r="CB389" i="52"/>
  <c r="CA389" i="52"/>
  <c r="BZ389" i="52"/>
  <c r="BY389" i="52"/>
  <c r="BX389" i="52"/>
  <c r="BW389" i="52"/>
  <c r="BV389" i="52"/>
  <c r="BU389" i="52"/>
  <c r="BT389" i="52"/>
  <c r="BS389" i="52"/>
  <c r="BR389" i="52"/>
  <c r="BQ389" i="52"/>
  <c r="BP389" i="52"/>
  <c r="BO389" i="52"/>
  <c r="BN389" i="52"/>
  <c r="BM389" i="52"/>
  <c r="BL389" i="52"/>
  <c r="BK389" i="52"/>
  <c r="BJ389" i="52"/>
  <c r="BI389" i="52"/>
  <c r="BH389" i="52"/>
  <c r="BG389" i="52"/>
  <c r="BF389" i="52"/>
  <c r="BE389" i="52"/>
  <c r="BD389" i="52"/>
  <c r="BC389" i="52"/>
  <c r="BB389" i="52"/>
  <c r="BA389" i="52"/>
  <c r="AZ389" i="52"/>
  <c r="AY389" i="52"/>
  <c r="AX389" i="52"/>
  <c r="AW389" i="52"/>
  <c r="AV389" i="52"/>
  <c r="AU389" i="52"/>
  <c r="AT389" i="52"/>
  <c r="AS389" i="52"/>
  <c r="AR389" i="52"/>
  <c r="AQ389" i="52"/>
  <c r="AP389" i="52"/>
  <c r="AO389" i="52"/>
  <c r="AN389" i="52"/>
  <c r="AM389" i="52"/>
  <c r="AL389" i="52"/>
  <c r="AK389" i="52"/>
  <c r="DA388" i="52"/>
  <c r="CZ388" i="52"/>
  <c r="CY388" i="52"/>
  <c r="CX388" i="52"/>
  <c r="CW388" i="52"/>
  <c r="CV388" i="52"/>
  <c r="CU388" i="52"/>
  <c r="CT388" i="52"/>
  <c r="CS388" i="52"/>
  <c r="CR388" i="52"/>
  <c r="CQ388" i="52"/>
  <c r="CP388" i="52"/>
  <c r="CO388" i="52"/>
  <c r="CN388" i="52"/>
  <c r="CM388" i="52"/>
  <c r="CL388" i="52"/>
  <c r="CK388" i="52"/>
  <c r="CJ388" i="52"/>
  <c r="CI388" i="52"/>
  <c r="CH388" i="52"/>
  <c r="CG388" i="52"/>
  <c r="CF388" i="52"/>
  <c r="CE388" i="52"/>
  <c r="CD388" i="52"/>
  <c r="CC388" i="52"/>
  <c r="CB388" i="52"/>
  <c r="CA388" i="52"/>
  <c r="BZ388" i="52"/>
  <c r="BY388" i="52"/>
  <c r="BX388" i="52"/>
  <c r="BW388" i="52"/>
  <c r="BV388" i="52"/>
  <c r="BU388" i="52"/>
  <c r="BT388" i="52"/>
  <c r="BS388" i="52"/>
  <c r="BR388" i="52"/>
  <c r="BQ388" i="52"/>
  <c r="BP388" i="52"/>
  <c r="BO388" i="52"/>
  <c r="BN388" i="52"/>
  <c r="BM388" i="52"/>
  <c r="BL388" i="52"/>
  <c r="BK388" i="52"/>
  <c r="BJ388" i="52"/>
  <c r="BI388" i="52"/>
  <c r="BH388" i="52"/>
  <c r="BG388" i="52"/>
  <c r="BF388" i="52"/>
  <c r="BE388" i="52"/>
  <c r="BD388" i="52"/>
  <c r="BC388" i="52"/>
  <c r="BB388" i="52"/>
  <c r="BA388" i="52"/>
  <c r="AZ388" i="52"/>
  <c r="AY388" i="52"/>
  <c r="AX388" i="52"/>
  <c r="AW388" i="52"/>
  <c r="AV388" i="52"/>
  <c r="AU388" i="52"/>
  <c r="AT388" i="52"/>
  <c r="AS388" i="52"/>
  <c r="AR388" i="52"/>
  <c r="AQ388" i="52"/>
  <c r="AP388" i="52"/>
  <c r="AO388" i="52"/>
  <c r="AN388" i="52"/>
  <c r="AM388" i="52"/>
  <c r="AL388" i="52"/>
  <c r="AK388" i="52"/>
  <c r="DA387" i="52"/>
  <c r="CZ387" i="52"/>
  <c r="CY387" i="52"/>
  <c r="CX387" i="52"/>
  <c r="CW387" i="52"/>
  <c r="CV387" i="52"/>
  <c r="CU387" i="52"/>
  <c r="CT387" i="52"/>
  <c r="CS387" i="52"/>
  <c r="CR387" i="52"/>
  <c r="CQ387" i="52"/>
  <c r="CP387" i="52"/>
  <c r="CO387" i="52"/>
  <c r="CN387" i="52"/>
  <c r="CM387" i="52"/>
  <c r="CL387" i="52"/>
  <c r="CK387" i="52"/>
  <c r="CJ387" i="52"/>
  <c r="CI387" i="52"/>
  <c r="CH387" i="52"/>
  <c r="CG387" i="52"/>
  <c r="CF387" i="52"/>
  <c r="CE387" i="52"/>
  <c r="CD387" i="52"/>
  <c r="CC387" i="52"/>
  <c r="CB387" i="52"/>
  <c r="CA387" i="52"/>
  <c r="BZ387" i="52"/>
  <c r="BY387" i="52"/>
  <c r="BX387" i="52"/>
  <c r="BW387" i="52"/>
  <c r="BV387" i="52"/>
  <c r="BU387" i="52"/>
  <c r="BT387" i="52"/>
  <c r="BS387" i="52"/>
  <c r="BR387" i="52"/>
  <c r="BQ387" i="52"/>
  <c r="BP387" i="52"/>
  <c r="BO387" i="52"/>
  <c r="BN387" i="52"/>
  <c r="BM387" i="52"/>
  <c r="BL387" i="52"/>
  <c r="BK387" i="52"/>
  <c r="BJ387" i="52"/>
  <c r="BI387" i="52"/>
  <c r="BH387" i="52"/>
  <c r="BG387" i="52"/>
  <c r="BF387" i="52"/>
  <c r="BE387" i="52"/>
  <c r="BD387" i="52"/>
  <c r="BC387" i="52"/>
  <c r="BB387" i="52"/>
  <c r="BA387" i="52"/>
  <c r="AZ387" i="52"/>
  <c r="AY387" i="52"/>
  <c r="AX387" i="52"/>
  <c r="AW387" i="52"/>
  <c r="AV387" i="52"/>
  <c r="AU387" i="52"/>
  <c r="AT387" i="52"/>
  <c r="AS387" i="52"/>
  <c r="AR387" i="52"/>
  <c r="AQ387" i="52"/>
  <c r="AQ539" i="52" s="1"/>
  <c r="AP387" i="52"/>
  <c r="AO387" i="52"/>
  <c r="AN387" i="52"/>
  <c r="AM387" i="52"/>
  <c r="AL387" i="52"/>
  <c r="AK387" i="52"/>
  <c r="DA386" i="52"/>
  <c r="CZ386" i="52"/>
  <c r="CY386" i="52"/>
  <c r="CX386" i="52"/>
  <c r="CW386" i="52"/>
  <c r="CV386" i="52"/>
  <c r="CU386" i="52"/>
  <c r="CT386" i="52"/>
  <c r="CS386" i="52"/>
  <c r="CR386" i="52"/>
  <c r="CQ386" i="52"/>
  <c r="CP386" i="52"/>
  <c r="CO386" i="52"/>
  <c r="CN386" i="52"/>
  <c r="CM386" i="52"/>
  <c r="CL386" i="52"/>
  <c r="CK386" i="52"/>
  <c r="CJ386" i="52"/>
  <c r="CJ408" i="52" s="1"/>
  <c r="CI386" i="52"/>
  <c r="CH386" i="52"/>
  <c r="CG386" i="52"/>
  <c r="CF386" i="52"/>
  <c r="CE386" i="52"/>
  <c r="CD386" i="52"/>
  <c r="CC386" i="52"/>
  <c r="CB386" i="52"/>
  <c r="CA386" i="52"/>
  <c r="BZ386" i="52"/>
  <c r="BY386" i="52"/>
  <c r="BX386" i="52"/>
  <c r="BW386" i="52"/>
  <c r="BV386" i="52"/>
  <c r="BU386" i="52"/>
  <c r="BT386" i="52"/>
  <c r="BS386" i="52"/>
  <c r="BR386" i="52"/>
  <c r="BQ386" i="52"/>
  <c r="BP386" i="52"/>
  <c r="BO386" i="52"/>
  <c r="BN386" i="52"/>
  <c r="BM386" i="52"/>
  <c r="BL386" i="52"/>
  <c r="BL408" i="52" s="1"/>
  <c r="BK386" i="52"/>
  <c r="BJ386" i="52"/>
  <c r="BI386" i="52"/>
  <c r="BH386" i="52"/>
  <c r="BG386" i="52"/>
  <c r="BF386" i="52"/>
  <c r="BE386" i="52"/>
  <c r="BD386" i="52"/>
  <c r="BC386" i="52"/>
  <c r="BB386" i="52"/>
  <c r="BA386" i="52"/>
  <c r="AZ386" i="52"/>
  <c r="AY386" i="52"/>
  <c r="AX386" i="52"/>
  <c r="AW386" i="52"/>
  <c r="AV386" i="52"/>
  <c r="AU386" i="52"/>
  <c r="AT386" i="52"/>
  <c r="AS386" i="52"/>
  <c r="AR386" i="52"/>
  <c r="AQ386" i="52"/>
  <c r="AP386" i="52"/>
  <c r="AO386" i="52"/>
  <c r="AN386" i="52"/>
  <c r="AM386" i="52"/>
  <c r="AL386" i="52"/>
  <c r="AK386" i="52"/>
  <c r="DA385" i="52"/>
  <c r="CZ385" i="52"/>
  <c r="CY385" i="52"/>
  <c r="CX385" i="52"/>
  <c r="CW385" i="52"/>
  <c r="CV385" i="52"/>
  <c r="CU385" i="52"/>
  <c r="CT385" i="52"/>
  <c r="CS385" i="52"/>
  <c r="CR385" i="52"/>
  <c r="CQ385" i="52"/>
  <c r="CP385" i="52"/>
  <c r="CO385" i="52"/>
  <c r="CO408" i="52" s="1"/>
  <c r="CN385" i="52"/>
  <c r="CM385" i="52"/>
  <c r="CL385" i="52"/>
  <c r="CK385" i="52"/>
  <c r="CJ385" i="52"/>
  <c r="CI385" i="52"/>
  <c r="CH385" i="52"/>
  <c r="CG385" i="52"/>
  <c r="CF385" i="52"/>
  <c r="CE385" i="52"/>
  <c r="CD385" i="52"/>
  <c r="CC385" i="52"/>
  <c r="CB385" i="52"/>
  <c r="CA385" i="52"/>
  <c r="BZ385" i="52"/>
  <c r="BY385" i="52"/>
  <c r="BX385" i="52"/>
  <c r="BW385" i="52"/>
  <c r="BV385" i="52"/>
  <c r="BU385" i="52"/>
  <c r="BT385" i="52"/>
  <c r="BS385" i="52"/>
  <c r="BR385" i="52"/>
  <c r="BQ385" i="52"/>
  <c r="BQ408" i="52" s="1"/>
  <c r="BP385" i="52"/>
  <c r="BO385" i="52"/>
  <c r="BN385" i="52"/>
  <c r="BM385" i="52"/>
  <c r="BL385" i="52"/>
  <c r="BK385" i="52"/>
  <c r="BJ385" i="52"/>
  <c r="BI385" i="52"/>
  <c r="BH385" i="52"/>
  <c r="BG385" i="52"/>
  <c r="BF385" i="52"/>
  <c r="BE385" i="52"/>
  <c r="BD385" i="52"/>
  <c r="BC385" i="52"/>
  <c r="BB385" i="52"/>
  <c r="BA385" i="52"/>
  <c r="AZ385" i="52"/>
  <c r="AY385" i="52"/>
  <c r="AX385" i="52"/>
  <c r="AW385" i="52"/>
  <c r="AV385" i="52"/>
  <c r="AU385" i="52"/>
  <c r="AT385" i="52"/>
  <c r="AS385" i="52"/>
  <c r="AR385" i="52"/>
  <c r="AQ385" i="52"/>
  <c r="AP385" i="52"/>
  <c r="AO385" i="52"/>
  <c r="AN385" i="52"/>
  <c r="AM385" i="52"/>
  <c r="AL385" i="52"/>
  <c r="AK385" i="52"/>
  <c r="DA384" i="52"/>
  <c r="CZ384" i="52"/>
  <c r="CY384" i="52"/>
  <c r="CY408" i="52" s="1"/>
  <c r="CX384" i="52"/>
  <c r="CX408" i="52" s="1"/>
  <c r="CW384" i="52"/>
  <c r="CV384" i="52"/>
  <c r="CU384" i="52"/>
  <c r="CU408" i="52" s="1"/>
  <c r="CT384" i="52"/>
  <c r="CS384" i="52"/>
  <c r="CS408" i="52" s="1"/>
  <c r="CR384" i="52"/>
  <c r="CR408" i="52" s="1"/>
  <c r="CQ384" i="52"/>
  <c r="CP384" i="52"/>
  <c r="CP408" i="52" s="1"/>
  <c r="CO384" i="52"/>
  <c r="CN384" i="52"/>
  <c r="CM384" i="52"/>
  <c r="CM408" i="52" s="1"/>
  <c r="CL384" i="52"/>
  <c r="CL408" i="52" s="1"/>
  <c r="CK384" i="52"/>
  <c r="CJ384" i="52"/>
  <c r="CI384" i="52"/>
  <c r="CI408" i="52" s="1"/>
  <c r="CH384" i="52"/>
  <c r="CG384" i="52"/>
  <c r="CG408" i="52" s="1"/>
  <c r="CF384" i="52"/>
  <c r="CF408" i="52" s="1"/>
  <c r="CE384" i="52"/>
  <c r="CD384" i="52"/>
  <c r="CD408" i="52" s="1"/>
  <c r="CC384" i="52"/>
  <c r="CB384" i="52"/>
  <c r="CA384" i="52"/>
  <c r="CA408" i="52" s="1"/>
  <c r="BZ384" i="52"/>
  <c r="BZ408" i="52" s="1"/>
  <c r="BY384" i="52"/>
  <c r="BX384" i="52"/>
  <c r="BW384" i="52"/>
  <c r="BW408" i="52" s="1"/>
  <c r="BV384" i="52"/>
  <c r="BU384" i="52"/>
  <c r="BU408" i="52" s="1"/>
  <c r="BT384" i="52"/>
  <c r="BT408" i="52" s="1"/>
  <c r="BS384" i="52"/>
  <c r="BR384" i="52"/>
  <c r="BR408" i="52" s="1"/>
  <c r="BQ384" i="52"/>
  <c r="BP384" i="52"/>
  <c r="BO384" i="52"/>
  <c r="BO408" i="52" s="1"/>
  <c r="BN384" i="52"/>
  <c r="BN408" i="52" s="1"/>
  <c r="BM384" i="52"/>
  <c r="BL384" i="52"/>
  <c r="BK384" i="52"/>
  <c r="BK408" i="52" s="1"/>
  <c r="BJ384" i="52"/>
  <c r="BI384" i="52"/>
  <c r="BI408" i="52" s="1"/>
  <c r="BH384" i="52"/>
  <c r="BG384" i="52"/>
  <c r="BF384" i="52"/>
  <c r="BE384" i="52"/>
  <c r="BD384" i="52"/>
  <c r="BC384" i="52"/>
  <c r="BB384" i="52"/>
  <c r="BA384" i="52"/>
  <c r="AZ384" i="52"/>
  <c r="AY384" i="52"/>
  <c r="AX384" i="52"/>
  <c r="AW384" i="52"/>
  <c r="AV384" i="52"/>
  <c r="AU384" i="52"/>
  <c r="AT384" i="52"/>
  <c r="AS384" i="52"/>
  <c r="AR384" i="52"/>
  <c r="AQ384" i="52"/>
  <c r="AP384" i="52"/>
  <c r="AO384" i="52"/>
  <c r="AN384" i="52"/>
  <c r="AM384" i="52"/>
  <c r="AL384" i="52"/>
  <c r="AK384" i="52"/>
  <c r="BH383" i="52"/>
  <c r="BG383" i="52"/>
  <c r="BF383" i="52"/>
  <c r="BE383" i="52"/>
  <c r="BD383" i="52"/>
  <c r="BC383" i="52"/>
  <c r="BB383" i="52"/>
  <c r="BA383" i="52"/>
  <c r="AZ383" i="52"/>
  <c r="AY383" i="52"/>
  <c r="AX383" i="52"/>
  <c r="AW383" i="52"/>
  <c r="AV383" i="52"/>
  <c r="AU383" i="52"/>
  <c r="AT383" i="52"/>
  <c r="AS383" i="52"/>
  <c r="AR383" i="52"/>
  <c r="AQ383" i="52"/>
  <c r="AP383" i="52"/>
  <c r="AO383" i="52"/>
  <c r="AN383" i="52"/>
  <c r="AM383" i="52"/>
  <c r="AL383" i="52"/>
  <c r="AK383" i="52"/>
  <c r="BH382" i="52"/>
  <c r="BG382" i="52"/>
  <c r="BF382" i="52"/>
  <c r="BE382" i="52"/>
  <c r="BD382" i="52"/>
  <c r="BC382" i="52"/>
  <c r="BB382" i="52"/>
  <c r="BA382" i="52"/>
  <c r="AZ382" i="52"/>
  <c r="AY382" i="52"/>
  <c r="AX382" i="52"/>
  <c r="AW382" i="52"/>
  <c r="AV382" i="52"/>
  <c r="AU382" i="52"/>
  <c r="AT382" i="52"/>
  <c r="AS382" i="52"/>
  <c r="AR382" i="52"/>
  <c r="AQ382" i="52"/>
  <c r="AP382" i="52"/>
  <c r="AO382" i="52"/>
  <c r="AN382" i="52"/>
  <c r="AM382" i="52"/>
  <c r="AL382" i="52"/>
  <c r="AK382" i="52"/>
  <c r="BH381" i="52"/>
  <c r="BG381" i="52"/>
  <c r="BF381" i="52"/>
  <c r="BE381" i="52"/>
  <c r="BD381" i="52"/>
  <c r="BC381" i="52"/>
  <c r="BB381" i="52"/>
  <c r="BA381" i="52"/>
  <c r="AZ381" i="52"/>
  <c r="AY381" i="52"/>
  <c r="AX381" i="52"/>
  <c r="AW381" i="52"/>
  <c r="AV381" i="52"/>
  <c r="AU381" i="52"/>
  <c r="AT381" i="52"/>
  <c r="AS381" i="52"/>
  <c r="AR381" i="52"/>
  <c r="AQ381" i="52"/>
  <c r="AP381" i="52"/>
  <c r="AO381" i="52"/>
  <c r="AN381" i="52"/>
  <c r="AM381" i="52"/>
  <c r="AL381" i="52"/>
  <c r="AK381" i="52"/>
  <c r="BH380" i="52"/>
  <c r="BG380" i="52"/>
  <c r="BF380" i="52"/>
  <c r="BE380" i="52"/>
  <c r="BD380" i="52"/>
  <c r="BC380" i="52"/>
  <c r="BB380" i="52"/>
  <c r="BA380" i="52"/>
  <c r="AZ380" i="52"/>
  <c r="AY380" i="52"/>
  <c r="AX380" i="52"/>
  <c r="AW380" i="52"/>
  <c r="AV380" i="52"/>
  <c r="AU380" i="52"/>
  <c r="AT380" i="52"/>
  <c r="AS380" i="52"/>
  <c r="AR380" i="52"/>
  <c r="AQ380" i="52"/>
  <c r="AP380" i="52"/>
  <c r="AO380" i="52"/>
  <c r="AN380" i="52"/>
  <c r="AM380" i="52"/>
  <c r="AL380" i="52"/>
  <c r="AK380" i="52"/>
  <c r="BH379" i="52"/>
  <c r="BG379" i="52"/>
  <c r="BF379" i="52"/>
  <c r="BE379" i="52"/>
  <c r="BD379" i="52"/>
  <c r="BC379" i="52"/>
  <c r="BB379" i="52"/>
  <c r="BA379" i="52"/>
  <c r="AZ379" i="52"/>
  <c r="AY379" i="52"/>
  <c r="AX379" i="52"/>
  <c r="AW379" i="52"/>
  <c r="AV379" i="52"/>
  <c r="AU379" i="52"/>
  <c r="AT379" i="52"/>
  <c r="AS379" i="52"/>
  <c r="AR379" i="52"/>
  <c r="AQ379" i="52"/>
  <c r="AP379" i="52"/>
  <c r="AO379" i="52"/>
  <c r="AN379" i="52"/>
  <c r="AM379" i="52"/>
  <c r="AL379" i="52"/>
  <c r="AK379" i="52"/>
  <c r="BH378" i="52"/>
  <c r="BG378" i="52"/>
  <c r="BF378" i="52"/>
  <c r="BE378" i="52"/>
  <c r="BD378" i="52"/>
  <c r="BC378" i="52"/>
  <c r="BB378" i="52"/>
  <c r="BA378" i="52"/>
  <c r="AZ378" i="52"/>
  <c r="AY378" i="52"/>
  <c r="AX378" i="52"/>
  <c r="AW378" i="52"/>
  <c r="AV378" i="52"/>
  <c r="AU378" i="52"/>
  <c r="AT378" i="52"/>
  <c r="AS378" i="52"/>
  <c r="AR378" i="52"/>
  <c r="AQ378" i="52"/>
  <c r="AP378" i="52"/>
  <c r="AO378" i="52"/>
  <c r="AN378" i="52"/>
  <c r="AM378" i="52"/>
  <c r="AL378" i="52"/>
  <c r="AK378" i="52"/>
  <c r="BH377" i="52"/>
  <c r="BG377" i="52"/>
  <c r="BF377" i="52"/>
  <c r="BE377" i="52"/>
  <c r="BD377" i="52"/>
  <c r="BC377" i="52"/>
  <c r="BB377" i="52"/>
  <c r="BA377" i="52"/>
  <c r="AZ377" i="52"/>
  <c r="AY377" i="52"/>
  <c r="AX377" i="52"/>
  <c r="AW377" i="52"/>
  <c r="AV377" i="52"/>
  <c r="AU377" i="52"/>
  <c r="AT377" i="52"/>
  <c r="AS377" i="52"/>
  <c r="AR377" i="52"/>
  <c r="AQ377" i="52"/>
  <c r="AP377" i="52"/>
  <c r="AO377" i="52"/>
  <c r="AN377" i="52"/>
  <c r="AM377" i="52"/>
  <c r="AL377" i="52"/>
  <c r="AK377" i="52"/>
  <c r="BH376" i="52"/>
  <c r="BG376" i="52"/>
  <c r="BF376" i="52"/>
  <c r="BE376" i="52"/>
  <c r="BD376" i="52"/>
  <c r="BC376" i="52"/>
  <c r="BB376" i="52"/>
  <c r="BA376" i="52"/>
  <c r="AZ376" i="52"/>
  <c r="AY376" i="52"/>
  <c r="AX376" i="52"/>
  <c r="AW376" i="52"/>
  <c r="AV376" i="52"/>
  <c r="AU376" i="52"/>
  <c r="AT376" i="52"/>
  <c r="AS376" i="52"/>
  <c r="AR376" i="52"/>
  <c r="AQ376" i="52"/>
  <c r="AP376" i="52"/>
  <c r="AO376" i="52"/>
  <c r="AN376" i="52"/>
  <c r="AM376" i="52"/>
  <c r="AL376" i="52"/>
  <c r="AK376" i="52"/>
  <c r="BH375" i="52"/>
  <c r="BG375" i="52"/>
  <c r="BF375" i="52"/>
  <c r="BE375" i="52"/>
  <c r="BD375" i="52"/>
  <c r="BC375" i="52"/>
  <c r="BB375" i="52"/>
  <c r="BA375" i="52"/>
  <c r="AZ375" i="52"/>
  <c r="AY375" i="52"/>
  <c r="AX375" i="52"/>
  <c r="AW375" i="52"/>
  <c r="AV375" i="52"/>
  <c r="AU375" i="52"/>
  <c r="AT375" i="52"/>
  <c r="AS375" i="52"/>
  <c r="AR375" i="52"/>
  <c r="AQ375" i="52"/>
  <c r="AP375" i="52"/>
  <c r="AO375" i="52"/>
  <c r="AN375" i="52"/>
  <c r="AM375" i="52"/>
  <c r="AL375" i="52"/>
  <c r="AK375" i="52"/>
  <c r="BH374" i="52"/>
  <c r="BH539" i="52" s="1"/>
  <c r="BG374" i="52"/>
  <c r="BF374" i="52"/>
  <c r="BF539" i="52" s="1"/>
  <c r="BE374" i="52"/>
  <c r="BE539" i="52" s="1"/>
  <c r="BD374" i="52"/>
  <c r="BC374" i="52"/>
  <c r="BC539" i="52" s="1"/>
  <c r="BB374" i="52"/>
  <c r="BB539" i="52" s="1"/>
  <c r="BA374" i="52"/>
  <c r="AZ374" i="52"/>
  <c r="AZ539" i="52" s="1"/>
  <c r="AY374" i="52"/>
  <c r="AY539" i="52" s="1"/>
  <c r="AX374" i="52"/>
  <c r="AW374" i="52"/>
  <c r="AW539" i="52" s="1"/>
  <c r="AV374" i="52"/>
  <c r="AV539" i="52" s="1"/>
  <c r="AU374" i="52"/>
  <c r="AT374" i="52"/>
  <c r="AT539" i="52" s="1"/>
  <c r="AS374" i="52"/>
  <c r="AS539" i="52" s="1"/>
  <c r="AR374" i="52"/>
  <c r="AQ374" i="52"/>
  <c r="AP374" i="52"/>
  <c r="AP539" i="52" s="1"/>
  <c r="AO374" i="52"/>
  <c r="AN374" i="52"/>
  <c r="AN539" i="52" s="1"/>
  <c r="AM374" i="52"/>
  <c r="AM539" i="52" s="1"/>
  <c r="AL374" i="52"/>
  <c r="AK374" i="52"/>
  <c r="AK539" i="52" s="1"/>
  <c r="AJ366" i="52"/>
  <c r="AJ207" i="52"/>
  <c r="AI203" i="52"/>
  <c r="AH367" i="52"/>
  <c r="AH204" i="52"/>
  <c r="AH205" i="52"/>
  <c r="AH206" i="52"/>
  <c r="AH207" i="52"/>
  <c r="AH208" i="52"/>
  <c r="AH209" i="52"/>
  <c r="AH210" i="52"/>
  <c r="AH211" i="52"/>
  <c r="AH212" i="52"/>
  <c r="AH213" i="52"/>
  <c r="AH214" i="52"/>
  <c r="AH215" i="52"/>
  <c r="AH216" i="52"/>
  <c r="AH217" i="52"/>
  <c r="AH218" i="52"/>
  <c r="AH219" i="52"/>
  <c r="AH220" i="52"/>
  <c r="AH221" i="52"/>
  <c r="AH222" i="52"/>
  <c r="AH223" i="52"/>
  <c r="AH224" i="52"/>
  <c r="AH225" i="52"/>
  <c r="AH226" i="52"/>
  <c r="AH227" i="52"/>
  <c r="AH228" i="52"/>
  <c r="AH229" i="52"/>
  <c r="AH230" i="52"/>
  <c r="AH231" i="52"/>
  <c r="AH232" i="52"/>
  <c r="AH233" i="52"/>
  <c r="AH234" i="52"/>
  <c r="AH235" i="52"/>
  <c r="AH236" i="52"/>
  <c r="AH237" i="52"/>
  <c r="AH238" i="52"/>
  <c r="AH239" i="52"/>
  <c r="AH240" i="52"/>
  <c r="AH241" i="52"/>
  <c r="AH242" i="52"/>
  <c r="AH243" i="52"/>
  <c r="AH244" i="52"/>
  <c r="AH245" i="52"/>
  <c r="AH246" i="52"/>
  <c r="AH247" i="52"/>
  <c r="AH248" i="52"/>
  <c r="AH249" i="52"/>
  <c r="AH250" i="52"/>
  <c r="AH251" i="52"/>
  <c r="AH252" i="52"/>
  <c r="AH253" i="52"/>
  <c r="AH254" i="52"/>
  <c r="AH255" i="52"/>
  <c r="AH256" i="52"/>
  <c r="AH257" i="52"/>
  <c r="AH258" i="52"/>
  <c r="AH259" i="52"/>
  <c r="AH260" i="52"/>
  <c r="AH261" i="52"/>
  <c r="AH262" i="52"/>
  <c r="AH263" i="52"/>
  <c r="AH264" i="52"/>
  <c r="AH265" i="52"/>
  <c r="AH266" i="52"/>
  <c r="AH267" i="52"/>
  <c r="AH268" i="52"/>
  <c r="AH269" i="52"/>
  <c r="AH270" i="52"/>
  <c r="AH271" i="52"/>
  <c r="AH272" i="52"/>
  <c r="AH273" i="52"/>
  <c r="AH274" i="52"/>
  <c r="AH275" i="52"/>
  <c r="AH276" i="52"/>
  <c r="AH277" i="52"/>
  <c r="AH278" i="52"/>
  <c r="AH279" i="52"/>
  <c r="AH280" i="52"/>
  <c r="AH281" i="52"/>
  <c r="AH282" i="52"/>
  <c r="AH283" i="52"/>
  <c r="AH284" i="52"/>
  <c r="AH285" i="52"/>
  <c r="AH286" i="52"/>
  <c r="AH287" i="52"/>
  <c r="AH288" i="52"/>
  <c r="AH289" i="52"/>
  <c r="AH290" i="52"/>
  <c r="AH291" i="52"/>
  <c r="AH292" i="52"/>
  <c r="AH293" i="52"/>
  <c r="AH294" i="52"/>
  <c r="AH295" i="52"/>
  <c r="AH296" i="52"/>
  <c r="AH297" i="52"/>
  <c r="AH298" i="52"/>
  <c r="AH299" i="52"/>
  <c r="AH300" i="52"/>
  <c r="AH301" i="52"/>
  <c r="AH302" i="52"/>
  <c r="AH303" i="52"/>
  <c r="AH304" i="52"/>
  <c r="AH305" i="52"/>
  <c r="AH306" i="52"/>
  <c r="AH307" i="52"/>
  <c r="AH308" i="52"/>
  <c r="AH309" i="52"/>
  <c r="AH310" i="52"/>
  <c r="AH311" i="52"/>
  <c r="AH312" i="52"/>
  <c r="AH313" i="52"/>
  <c r="AH314" i="52"/>
  <c r="AH315" i="52"/>
  <c r="AH316" i="52"/>
  <c r="AH317" i="52"/>
  <c r="AH318" i="52"/>
  <c r="AH319" i="52"/>
  <c r="AH320" i="52"/>
  <c r="AH321" i="52"/>
  <c r="AH322" i="52"/>
  <c r="AH323" i="52"/>
  <c r="AH324" i="52"/>
  <c r="AH325" i="52"/>
  <c r="AH326" i="52"/>
  <c r="AH327" i="52"/>
  <c r="AH328" i="52"/>
  <c r="AH329" i="52"/>
  <c r="AH330" i="52"/>
  <c r="AH331" i="52"/>
  <c r="AH332" i="52"/>
  <c r="AH333" i="52"/>
  <c r="AH334" i="52"/>
  <c r="AH335" i="52"/>
  <c r="AH336" i="52"/>
  <c r="AH337" i="52"/>
  <c r="AH338" i="52"/>
  <c r="AH339" i="52"/>
  <c r="AH340" i="52"/>
  <c r="AH341" i="52"/>
  <c r="AH342" i="52"/>
  <c r="AH343" i="52"/>
  <c r="AH344" i="52"/>
  <c r="AH345" i="52"/>
  <c r="AH346" i="52"/>
  <c r="AH347" i="52"/>
  <c r="AH348" i="52"/>
  <c r="AH349" i="52"/>
  <c r="AH350" i="52"/>
  <c r="AH351" i="52"/>
  <c r="AH352" i="52"/>
  <c r="AH353" i="52"/>
  <c r="AH354" i="52"/>
  <c r="AH355" i="52"/>
  <c r="AH356" i="52"/>
  <c r="AH357" i="52"/>
  <c r="AH358" i="52"/>
  <c r="AH359" i="52"/>
  <c r="AH360" i="52"/>
  <c r="AH361" i="52"/>
  <c r="AH362" i="52"/>
  <c r="AH363" i="52"/>
  <c r="AH364" i="52"/>
  <c r="AH365" i="52"/>
  <c r="AH366" i="52"/>
  <c r="AH203" i="52"/>
  <c r="AG367" i="52"/>
  <c r="AG204" i="52"/>
  <c r="AG205" i="52"/>
  <c r="AG206" i="52"/>
  <c r="AG207" i="52"/>
  <c r="AG208" i="52"/>
  <c r="AG209" i="52"/>
  <c r="AG210" i="52"/>
  <c r="AG211" i="52"/>
  <c r="AG212" i="52"/>
  <c r="AG213" i="52"/>
  <c r="AG214" i="52"/>
  <c r="AG215" i="52"/>
  <c r="AG216" i="52"/>
  <c r="AG217" i="52"/>
  <c r="AG218" i="52"/>
  <c r="AG219" i="52"/>
  <c r="AG220" i="52"/>
  <c r="AG221" i="52"/>
  <c r="AG222" i="52"/>
  <c r="AG223" i="52"/>
  <c r="AG224" i="52"/>
  <c r="AG225" i="52"/>
  <c r="AG226" i="52"/>
  <c r="AG227" i="52"/>
  <c r="AG228" i="52"/>
  <c r="AG229" i="52"/>
  <c r="AG230" i="52"/>
  <c r="AG231" i="52"/>
  <c r="AG232" i="52"/>
  <c r="AG233" i="52"/>
  <c r="AG234" i="52"/>
  <c r="AG235" i="52"/>
  <c r="AG236" i="52"/>
  <c r="AG237" i="52"/>
  <c r="AG238" i="52"/>
  <c r="AG239" i="52"/>
  <c r="AG240" i="52"/>
  <c r="AG241" i="52"/>
  <c r="AG242" i="52"/>
  <c r="AG243" i="52"/>
  <c r="AG244" i="52"/>
  <c r="AG245" i="52"/>
  <c r="AG246" i="52"/>
  <c r="AG247" i="52"/>
  <c r="AG248" i="52"/>
  <c r="AG249" i="52"/>
  <c r="AG250" i="52"/>
  <c r="AG251" i="52"/>
  <c r="AG252" i="52"/>
  <c r="AG253" i="52"/>
  <c r="AG254" i="52"/>
  <c r="AG255" i="52"/>
  <c r="AG256" i="52"/>
  <c r="AG257" i="52"/>
  <c r="AG258" i="52"/>
  <c r="AG259" i="52"/>
  <c r="AG260" i="52"/>
  <c r="AG261" i="52"/>
  <c r="AG262" i="52"/>
  <c r="AG263" i="52"/>
  <c r="AG264" i="52"/>
  <c r="AG265" i="52"/>
  <c r="AG266" i="52"/>
  <c r="AG267" i="52"/>
  <c r="AG268" i="52"/>
  <c r="AG269" i="52"/>
  <c r="AG270" i="52"/>
  <c r="AG271" i="52"/>
  <c r="AG272" i="52"/>
  <c r="AG273" i="52"/>
  <c r="AG274" i="52"/>
  <c r="AG275" i="52"/>
  <c r="AG276" i="52"/>
  <c r="AG277" i="52"/>
  <c r="AG278" i="52"/>
  <c r="AG279" i="52"/>
  <c r="AG280" i="52"/>
  <c r="AG281" i="52"/>
  <c r="AG282" i="52"/>
  <c r="AG283" i="52"/>
  <c r="AG284" i="52"/>
  <c r="AG285" i="52"/>
  <c r="AG286" i="52"/>
  <c r="AG287" i="52"/>
  <c r="AG288" i="52"/>
  <c r="AG289" i="52"/>
  <c r="AG290" i="52"/>
  <c r="AG291" i="52"/>
  <c r="AG292" i="52"/>
  <c r="AG293" i="52"/>
  <c r="AG294" i="52"/>
  <c r="AG295" i="52"/>
  <c r="AG296" i="52"/>
  <c r="AG297" i="52"/>
  <c r="AG298" i="52"/>
  <c r="AG299" i="52"/>
  <c r="AG300" i="52"/>
  <c r="AG301" i="52"/>
  <c r="AG302" i="52"/>
  <c r="AG303" i="52"/>
  <c r="AG304" i="52"/>
  <c r="AG305" i="52"/>
  <c r="AG306" i="52"/>
  <c r="AG307" i="52"/>
  <c r="AG308" i="52"/>
  <c r="AG309" i="52"/>
  <c r="AG310" i="52"/>
  <c r="AG311" i="52"/>
  <c r="AG312" i="52"/>
  <c r="AG313" i="52"/>
  <c r="AG314" i="52"/>
  <c r="AG315" i="52"/>
  <c r="AG316" i="52"/>
  <c r="AG317" i="52"/>
  <c r="AG318" i="52"/>
  <c r="AG319" i="52"/>
  <c r="AG320" i="52"/>
  <c r="AG321" i="52"/>
  <c r="AG322" i="52"/>
  <c r="AG323" i="52"/>
  <c r="AG324" i="52"/>
  <c r="AG325" i="52"/>
  <c r="AG326" i="52"/>
  <c r="AG327" i="52"/>
  <c r="AG328" i="52"/>
  <c r="AG329" i="52"/>
  <c r="AG330" i="52"/>
  <c r="AG331" i="52"/>
  <c r="AG332" i="52"/>
  <c r="AG333" i="52"/>
  <c r="AG334" i="52"/>
  <c r="AG335" i="52"/>
  <c r="AG336" i="52"/>
  <c r="AG337" i="52"/>
  <c r="AG338" i="52"/>
  <c r="AG339" i="52"/>
  <c r="AG340" i="52"/>
  <c r="AG341" i="52"/>
  <c r="AG342" i="52"/>
  <c r="AG343" i="52"/>
  <c r="AG344" i="52"/>
  <c r="AG345" i="52"/>
  <c r="AG346" i="52"/>
  <c r="AG347" i="52"/>
  <c r="AG348" i="52"/>
  <c r="AG349" i="52"/>
  <c r="AG350" i="52"/>
  <c r="AG351" i="52"/>
  <c r="AG352" i="52"/>
  <c r="AG353" i="52"/>
  <c r="AG354" i="52"/>
  <c r="AG355" i="52"/>
  <c r="AG356" i="52"/>
  <c r="AG357" i="52"/>
  <c r="AG358" i="52"/>
  <c r="AG359" i="52"/>
  <c r="AG360" i="52"/>
  <c r="AG361" i="52"/>
  <c r="AG362" i="52"/>
  <c r="AG363" i="52"/>
  <c r="AG364" i="52"/>
  <c r="AG365" i="52"/>
  <c r="AG366" i="52"/>
  <c r="AG203" i="52"/>
  <c r="AF359" i="52"/>
  <c r="AF213" i="52"/>
  <c r="AJ333" i="52"/>
  <c r="AJ316" i="52"/>
  <c r="AJ287" i="52"/>
  <c r="AJ269" i="52"/>
  <c r="AJ266" i="52"/>
  <c r="AJ232" i="52"/>
  <c r="AJ220" i="52"/>
  <c r="AF347" i="52"/>
  <c r="AF338" i="52"/>
  <c r="AF327" i="52"/>
  <c r="AF317" i="52"/>
  <c r="AF307" i="52"/>
  <c r="AF295" i="52"/>
  <c r="AF288" i="52"/>
  <c r="AF278" i="52"/>
  <c r="AF270" i="52"/>
  <c r="AF260" i="52"/>
  <c r="AF252" i="52"/>
  <c r="AF233" i="52"/>
  <c r="AF224" i="52"/>
  <c r="B194" i="52"/>
  <c r="B193" i="52"/>
  <c r="B192" i="52"/>
  <c r="B191" i="52"/>
  <c r="B190" i="52"/>
  <c r="B189" i="52"/>
  <c r="CX175" i="52"/>
  <c r="CW175" i="52" a="1"/>
  <c r="CW175" i="52" s="1"/>
  <c r="CV175" i="52" a="1"/>
  <c r="CV175" i="52" s="1"/>
  <c r="CU175" i="52" a="1"/>
  <c r="CU175" i="52" s="1"/>
  <c r="CT175" i="52" a="1"/>
  <c r="CT175" i="52" s="1"/>
  <c r="CS175" i="52" a="1"/>
  <c r="CS175" i="52" s="1"/>
  <c r="CR175" i="52" a="1"/>
  <c r="CR175" i="52" s="1"/>
  <c r="CQ175" i="52" a="1"/>
  <c r="CQ175" i="52" s="1"/>
  <c r="CP175" i="52" a="1"/>
  <c r="CP175" i="52" s="1"/>
  <c r="CO175" i="52" a="1"/>
  <c r="CO175" i="52" s="1"/>
  <c r="CN175" i="52" a="1"/>
  <c r="CN175" i="52" s="1"/>
  <c r="CM175" i="52" a="1"/>
  <c r="CM175" i="52" s="1"/>
  <c r="CL175" i="52" a="1"/>
  <c r="CL175" i="52" s="1"/>
  <c r="CK175" i="52" a="1"/>
  <c r="CK175" i="52" s="1"/>
  <c r="CJ175" i="52" a="1"/>
  <c r="CJ175" i="52" s="1"/>
  <c r="CI175" i="52" a="1"/>
  <c r="CI175" i="52" s="1"/>
  <c r="CH175" i="52" a="1"/>
  <c r="CH175" i="52" s="1"/>
  <c r="CG175" i="52" a="1"/>
  <c r="CG175" i="52" s="1"/>
  <c r="CF175" i="52" a="1"/>
  <c r="CF175" i="52" s="1"/>
  <c r="CE175" i="52" a="1"/>
  <c r="CE175" i="52" s="1"/>
  <c r="CD175" i="52" a="1"/>
  <c r="CD175" i="52" s="1"/>
  <c r="CC175" i="52" a="1"/>
  <c r="CC175" i="52" s="1"/>
  <c r="CB175" i="52" a="1"/>
  <c r="CB175" i="52" s="1"/>
  <c r="CA175" i="52" a="1"/>
  <c r="CA175" i="52" s="1"/>
  <c r="BZ175" i="52"/>
  <c r="BZ175" i="52" a="1"/>
  <c r="BJ178" i="52"/>
  <c r="AH175" i="52"/>
  <c r="AG175" i="52"/>
  <c r="AP189" i="52"/>
  <c r="AN189" i="52"/>
  <c r="AL189" i="52"/>
  <c r="AN188" i="52"/>
  <c r="AL188" i="52"/>
  <c r="AZ185" i="52"/>
  <c r="AN185" i="52"/>
  <c r="BH184" i="52"/>
  <c r="BG184" i="52"/>
  <c r="BF184" i="52"/>
  <c r="BE184" i="52"/>
  <c r="BD184" i="52"/>
  <c r="BC184" i="52"/>
  <c r="BB184" i="52"/>
  <c r="BA184" i="52"/>
  <c r="AZ184" i="52"/>
  <c r="AY184" i="52"/>
  <c r="AX184" i="52"/>
  <c r="AW184" i="52"/>
  <c r="AV184" i="52"/>
  <c r="AU184" i="52"/>
  <c r="AT184" i="52"/>
  <c r="AS184" i="52"/>
  <c r="AR184" i="52"/>
  <c r="AQ184" i="52"/>
  <c r="AP184" i="52"/>
  <c r="AO184" i="52"/>
  <c r="AN184" i="52"/>
  <c r="AM184" i="52"/>
  <c r="AL184" i="52"/>
  <c r="AK184" i="52"/>
  <c r="BH183" i="52"/>
  <c r="BH185" i="52" s="1"/>
  <c r="BG183" i="52"/>
  <c r="BF183" i="52"/>
  <c r="BF185" i="52" s="1"/>
  <c r="BE183" i="52"/>
  <c r="BE185" i="52" s="1"/>
  <c r="BD183" i="52"/>
  <c r="BC183" i="52"/>
  <c r="BC185" i="52" s="1"/>
  <c r="BB183" i="52"/>
  <c r="BB185" i="52" s="1"/>
  <c r="BA183" i="52"/>
  <c r="AZ183" i="52"/>
  <c r="AY183" i="52"/>
  <c r="AY185" i="52" s="1"/>
  <c r="AX183" i="52"/>
  <c r="AW183" i="52"/>
  <c r="AW185" i="52" s="1"/>
  <c r="AV183" i="52"/>
  <c r="AV185" i="52" s="1"/>
  <c r="AU183" i="52"/>
  <c r="AT183" i="52"/>
  <c r="AT185" i="52" s="1"/>
  <c r="AS183" i="52"/>
  <c r="AS185" i="52" s="1"/>
  <c r="AR183" i="52"/>
  <c r="AQ183" i="52"/>
  <c r="AQ185" i="52" s="1"/>
  <c r="AP183" i="52"/>
  <c r="AP185" i="52" s="1"/>
  <c r="AO183" i="52"/>
  <c r="AN183" i="52"/>
  <c r="AM183" i="52"/>
  <c r="AM185" i="52" s="1"/>
  <c r="AL186" i="52" s="1"/>
  <c r="AL183" i="52"/>
  <c r="AK183" i="52"/>
  <c r="AK185" i="52" s="1"/>
  <c r="BY175" i="52"/>
  <c r="BY175" i="52" a="1"/>
  <c r="BX175" i="52" a="1"/>
  <c r="BX175" i="52" s="1"/>
  <c r="BW175" i="52" a="1"/>
  <c r="BW175" i="52" s="1"/>
  <c r="BV175" i="52" a="1"/>
  <c r="BV175" i="52" s="1"/>
  <c r="BU175" i="52" a="1"/>
  <c r="BU175" i="52" s="1"/>
  <c r="BT175" i="52" a="1"/>
  <c r="BT175" i="52" s="1"/>
  <c r="BS175" i="52" a="1"/>
  <c r="BS175" i="52" s="1"/>
  <c r="BR175" i="52" a="1"/>
  <c r="BR175" i="52" s="1"/>
  <c r="BQ175" i="52" a="1"/>
  <c r="BQ175" i="52" s="1"/>
  <c r="BP175" i="52" a="1"/>
  <c r="BP175" i="52" s="1"/>
  <c r="BO175" i="52" a="1"/>
  <c r="BO175" i="52" s="1"/>
  <c r="BN175" i="52" a="1"/>
  <c r="BN175" i="52" s="1"/>
  <c r="BM175" i="52" a="1"/>
  <c r="BM175" i="52" s="1"/>
  <c r="BL175" i="52" a="1"/>
  <c r="BL175" i="52" s="1"/>
  <c r="BK175" i="52" a="1"/>
  <c r="BK175" i="52" s="1"/>
  <c r="BJ177" i="52" a="1"/>
  <c r="BJ177" i="52" s="1"/>
  <c r="BI177" i="52" a="1"/>
  <c r="BI177" i="52" s="1"/>
  <c r="BH177" i="52" a="1"/>
  <c r="BH177" i="52" s="1"/>
  <c r="BJ176" i="52"/>
  <c r="BJ176" i="52" a="1"/>
  <c r="BI176" i="52" a="1"/>
  <c r="BI176" i="52" s="1"/>
  <c r="BH176" i="52" a="1"/>
  <c r="BH176" i="52" s="1"/>
  <c r="BJ175" i="52"/>
  <c r="BJ175" i="52" a="1"/>
  <c r="BI175" i="52" a="1"/>
  <c r="BI175" i="52" s="1"/>
  <c r="BH175" i="52" a="1"/>
  <c r="BH175" i="52" s="1"/>
  <c r="B153" i="52"/>
  <c r="B152" i="52"/>
  <c r="B151" i="52"/>
  <c r="B150" i="52"/>
  <c r="B147" i="52"/>
  <c r="AL148" i="52"/>
  <c r="AP148" i="52"/>
  <c r="AN148" i="52"/>
  <c r="AN147" i="52"/>
  <c r="AL147" i="52"/>
  <c r="AZ144" i="52"/>
  <c r="AN144" i="52"/>
  <c r="BH143" i="52"/>
  <c r="BG143" i="52"/>
  <c r="BF143" i="52"/>
  <c r="BE143" i="52"/>
  <c r="BD143" i="52"/>
  <c r="BC143" i="52"/>
  <c r="BB143" i="52"/>
  <c r="BA143" i="52"/>
  <c r="AZ143" i="52"/>
  <c r="AY143" i="52"/>
  <c r="AX143" i="52"/>
  <c r="AW143" i="52"/>
  <c r="AV143" i="52"/>
  <c r="AU143" i="52"/>
  <c r="AT143" i="52"/>
  <c r="AS143" i="52"/>
  <c r="AR143" i="52"/>
  <c r="AQ143" i="52"/>
  <c r="AP143" i="52"/>
  <c r="AO143" i="52"/>
  <c r="AN143" i="52"/>
  <c r="AM143" i="52"/>
  <c r="AL143" i="52"/>
  <c r="AK143" i="52"/>
  <c r="BH142" i="52"/>
  <c r="BG142" i="52"/>
  <c r="BF142" i="52"/>
  <c r="BE142" i="52"/>
  <c r="BD142" i="52"/>
  <c r="BC142" i="52"/>
  <c r="BB142" i="52"/>
  <c r="BA142" i="52"/>
  <c r="AZ142" i="52"/>
  <c r="AY142" i="52"/>
  <c r="AX142" i="52"/>
  <c r="AW142" i="52"/>
  <c r="AV142" i="52"/>
  <c r="AU142" i="52"/>
  <c r="AT142" i="52"/>
  <c r="AS142" i="52"/>
  <c r="AR142" i="52"/>
  <c r="AQ142" i="52"/>
  <c r="AP142" i="52"/>
  <c r="AO142" i="52"/>
  <c r="AN142" i="52"/>
  <c r="AM142" i="52"/>
  <c r="AL142" i="52"/>
  <c r="AK142" i="52"/>
  <c r="BH141" i="52"/>
  <c r="BG141" i="52"/>
  <c r="BF141" i="52"/>
  <c r="BE141" i="52"/>
  <c r="BD141" i="52"/>
  <c r="BC141" i="52"/>
  <c r="BB141" i="52"/>
  <c r="BA141" i="52"/>
  <c r="AZ141" i="52"/>
  <c r="AY141" i="52"/>
  <c r="AX141" i="52"/>
  <c r="AW141" i="52"/>
  <c r="AV141" i="52"/>
  <c r="AU141" i="52"/>
  <c r="AT141" i="52"/>
  <c r="AS141" i="52"/>
  <c r="AR141" i="52"/>
  <c r="AQ141" i="52"/>
  <c r="AP141" i="52"/>
  <c r="AO141" i="52"/>
  <c r="AN141" i="52"/>
  <c r="AM141" i="52"/>
  <c r="AL141" i="52"/>
  <c r="AK141" i="52"/>
  <c r="BH140" i="52"/>
  <c r="BG140" i="52"/>
  <c r="BF140" i="52"/>
  <c r="BE140" i="52"/>
  <c r="BD140" i="52"/>
  <c r="BC140" i="52"/>
  <c r="BB140" i="52"/>
  <c r="BA140" i="52"/>
  <c r="AZ140" i="52"/>
  <c r="AY140" i="52"/>
  <c r="AX140" i="52"/>
  <c r="AW140" i="52"/>
  <c r="AV140" i="52"/>
  <c r="AU140" i="52"/>
  <c r="AT140" i="52"/>
  <c r="AS140" i="52"/>
  <c r="AR140" i="52"/>
  <c r="AQ140" i="52"/>
  <c r="AP140" i="52"/>
  <c r="AO140" i="52"/>
  <c r="AN140" i="52"/>
  <c r="AM140" i="52"/>
  <c r="AL140" i="52"/>
  <c r="AK140" i="52"/>
  <c r="BH139" i="52"/>
  <c r="BG139" i="52"/>
  <c r="BF139" i="52"/>
  <c r="BE139" i="52"/>
  <c r="BD139" i="52"/>
  <c r="BC139" i="52"/>
  <c r="BB139" i="52"/>
  <c r="BA139" i="52"/>
  <c r="AZ139" i="52"/>
  <c r="AY139" i="52"/>
  <c r="AX139" i="52"/>
  <c r="AW139" i="52"/>
  <c r="AV139" i="52"/>
  <c r="AU139" i="52"/>
  <c r="AT139" i="52"/>
  <c r="AS139" i="52"/>
  <c r="AR139" i="52"/>
  <c r="AQ139" i="52"/>
  <c r="AP139" i="52"/>
  <c r="AO139" i="52"/>
  <c r="AN139" i="52"/>
  <c r="AM139" i="52"/>
  <c r="AL139" i="52"/>
  <c r="AK139" i="52"/>
  <c r="BH138" i="52"/>
  <c r="BG138" i="52"/>
  <c r="BF138" i="52"/>
  <c r="BE138" i="52"/>
  <c r="BD138" i="52"/>
  <c r="BC138" i="52"/>
  <c r="BB138" i="52"/>
  <c r="BA138" i="52"/>
  <c r="AZ138" i="52"/>
  <c r="AY138" i="52"/>
  <c r="AX138" i="52"/>
  <c r="AW138" i="52"/>
  <c r="AV138" i="52"/>
  <c r="AU138" i="52"/>
  <c r="AT138" i="52"/>
  <c r="AS138" i="52"/>
  <c r="AR138" i="52"/>
  <c r="AQ138" i="52"/>
  <c r="AP138" i="52"/>
  <c r="AO138" i="52"/>
  <c r="AN138" i="52"/>
  <c r="AM138" i="52"/>
  <c r="AL138" i="52"/>
  <c r="AK138" i="52"/>
  <c r="BH137" i="52"/>
  <c r="BG137" i="52"/>
  <c r="BF137" i="52"/>
  <c r="BE137" i="52"/>
  <c r="BD137" i="52"/>
  <c r="BC137" i="52"/>
  <c r="BB137" i="52"/>
  <c r="BA137" i="52"/>
  <c r="AZ137" i="52"/>
  <c r="AY137" i="52"/>
  <c r="AX137" i="52"/>
  <c r="AW137" i="52"/>
  <c r="AV137" i="52"/>
  <c r="AU137" i="52"/>
  <c r="AT137" i="52"/>
  <c r="AS137" i="52"/>
  <c r="AR137" i="52"/>
  <c r="AQ137" i="52"/>
  <c r="AP137" i="52"/>
  <c r="AO137" i="52"/>
  <c r="AN137" i="52"/>
  <c r="AM137" i="52"/>
  <c r="AL137" i="52"/>
  <c r="AK137" i="52"/>
  <c r="BH136" i="52"/>
  <c r="BH144" i="52" s="1"/>
  <c r="BG136" i="52"/>
  <c r="BF136" i="52"/>
  <c r="BF144" i="52" s="1"/>
  <c r="BE136" i="52"/>
  <c r="BE144" i="52" s="1"/>
  <c r="BD136" i="52"/>
  <c r="BC136" i="52"/>
  <c r="BC144" i="52" s="1"/>
  <c r="BB136" i="52"/>
  <c r="BB144" i="52" s="1"/>
  <c r="BA136" i="52"/>
  <c r="AZ136" i="52"/>
  <c r="AY136" i="52"/>
  <c r="AY144" i="52" s="1"/>
  <c r="AX136" i="52"/>
  <c r="AW136" i="52"/>
  <c r="AW144" i="52" s="1"/>
  <c r="AV136" i="52"/>
  <c r="AV144" i="52" s="1"/>
  <c r="AU136" i="52"/>
  <c r="AT136" i="52"/>
  <c r="AT144" i="52" s="1"/>
  <c r="AS136" i="52"/>
  <c r="AS144" i="52" s="1"/>
  <c r="AR136" i="52"/>
  <c r="AQ136" i="52"/>
  <c r="AQ144" i="52" s="1"/>
  <c r="AP136" i="52"/>
  <c r="AP144" i="52" s="1"/>
  <c r="AO136" i="52"/>
  <c r="AN136" i="52"/>
  <c r="AM136" i="52"/>
  <c r="AM144" i="52" s="1"/>
  <c r="AL136" i="52"/>
  <c r="AK136" i="52"/>
  <c r="AK144" i="52" s="1"/>
  <c r="AH129" i="52"/>
  <c r="AH123" i="52"/>
  <c r="AH124" i="52"/>
  <c r="AH125" i="52"/>
  <c r="AH126" i="52"/>
  <c r="AH127" i="52"/>
  <c r="AH128" i="52"/>
  <c r="AH122" i="52"/>
  <c r="AG129" i="52"/>
  <c r="AG123" i="52"/>
  <c r="AG124" i="52"/>
  <c r="AG125" i="52"/>
  <c r="AG126" i="52"/>
  <c r="AG127" i="52"/>
  <c r="AG128" i="52"/>
  <c r="AG122" i="52"/>
  <c r="AZ122" i="52"/>
  <c r="AF122" i="52"/>
  <c r="B111" i="52"/>
  <c r="B110" i="52"/>
  <c r="B109" i="52"/>
  <c r="B108" i="52"/>
  <c r="B107" i="52"/>
  <c r="AW96" i="52"/>
  <c r="AW97" i="52"/>
  <c r="AW98" i="52"/>
  <c r="AW99" i="52"/>
  <c r="AW100" i="52"/>
  <c r="AW101" i="52"/>
  <c r="AW102" i="52"/>
  <c r="AH96" i="52"/>
  <c r="AH97" i="52"/>
  <c r="AH98" i="52"/>
  <c r="AH99" i="52"/>
  <c r="AH100" i="52"/>
  <c r="AH101" i="52"/>
  <c r="AH102" i="52"/>
  <c r="AG96" i="52"/>
  <c r="AG97" i="52"/>
  <c r="AG98" i="52"/>
  <c r="AG99" i="52"/>
  <c r="AG100" i="52"/>
  <c r="AG101" i="52"/>
  <c r="AG102" i="52"/>
  <c r="B83" i="52"/>
  <c r="B82" i="52"/>
  <c r="B81" i="52"/>
  <c r="AG70" i="52"/>
  <c r="AG71" i="52"/>
  <c r="AG72" i="52"/>
  <c r="AG73" i="52"/>
  <c r="AG74" i="52"/>
  <c r="AG75" i="52"/>
  <c r="AG76" i="52"/>
  <c r="B57" i="52"/>
  <c r="B56" i="52"/>
  <c r="B55" i="52"/>
  <c r="AG44" i="52"/>
  <c r="AG45" i="52"/>
  <c r="AG46" i="52"/>
  <c r="AG47" i="52"/>
  <c r="AG48" i="52"/>
  <c r="AG49" i="52"/>
  <c r="AG50" i="52"/>
  <c r="D137" i="52"/>
  <c r="D138" i="52"/>
  <c r="D139" i="52"/>
  <c r="D140" i="52"/>
  <c r="D141" i="52"/>
  <c r="D142" i="52"/>
  <c r="D143" i="52"/>
  <c r="D136" i="52"/>
  <c r="D123" i="52"/>
  <c r="D124" i="52"/>
  <c r="D125" i="52"/>
  <c r="D126" i="52"/>
  <c r="D127" i="52"/>
  <c r="D128" i="52"/>
  <c r="D129" i="52"/>
  <c r="D122" i="52"/>
  <c r="D96" i="52"/>
  <c r="D97" i="52"/>
  <c r="D98" i="52"/>
  <c r="D99" i="52"/>
  <c r="D100" i="52"/>
  <c r="D101" i="52"/>
  <c r="D102" i="52"/>
  <c r="D95" i="52"/>
  <c r="D70" i="52"/>
  <c r="D71" i="52"/>
  <c r="D72" i="52"/>
  <c r="D73" i="52"/>
  <c r="D74" i="52"/>
  <c r="D75" i="52"/>
  <c r="D76" i="52"/>
  <c r="D69" i="52"/>
  <c r="D44" i="52"/>
  <c r="D45" i="52"/>
  <c r="D46" i="52"/>
  <c r="D47" i="52"/>
  <c r="D48" i="52"/>
  <c r="D49" i="52"/>
  <c r="D50" i="52"/>
  <c r="D43" i="52"/>
  <c r="B200" i="50"/>
  <c r="B199" i="50"/>
  <c r="B198" i="50"/>
  <c r="B197" i="50"/>
  <c r="B196" i="50"/>
  <c r="AI185" i="50" a="1"/>
  <c r="AI185" i="50" s="1"/>
  <c r="AI186" i="50" a="1"/>
  <c r="AI186" i="50" s="1"/>
  <c r="AI187" i="50" a="1"/>
  <c r="AI187" i="50" s="1"/>
  <c r="AI188" i="50" a="1"/>
  <c r="AI188" i="50" s="1"/>
  <c r="AI189" i="50" a="1"/>
  <c r="AI189" i="50" s="1"/>
  <c r="AI190" i="50" a="1"/>
  <c r="AI190" i="50" s="1"/>
  <c r="AI191" i="50" a="1"/>
  <c r="AI191" i="50" s="1"/>
  <c r="AH191" i="50"/>
  <c r="AH185" i="50"/>
  <c r="AH186" i="50"/>
  <c r="AH187" i="50"/>
  <c r="AH188" i="50"/>
  <c r="AH189" i="50"/>
  <c r="AH190" i="50"/>
  <c r="AG185" i="50"/>
  <c r="AG186" i="50"/>
  <c r="AG187" i="50"/>
  <c r="AG188" i="50"/>
  <c r="AG189" i="50"/>
  <c r="AG190" i="50"/>
  <c r="AG191" i="50"/>
  <c r="AI184" i="50" a="1"/>
  <c r="AI184" i="50" s="1"/>
  <c r="AH184" i="50"/>
  <c r="AG184" i="50"/>
  <c r="B168" i="50"/>
  <c r="B167" i="50"/>
  <c r="B166" i="50"/>
  <c r="B165" i="50"/>
  <c r="B164" i="50"/>
  <c r="AN160" i="50"/>
  <c r="AL153" i="50" a="1"/>
  <c r="AL153" i="50" s="1"/>
  <c r="AM153" i="50" a="1"/>
  <c r="AM153" i="50" s="1"/>
  <c r="AN153" i="50" a="1"/>
  <c r="AN153" i="50" s="1"/>
  <c r="AL154" i="50" a="1"/>
  <c r="AL154" i="50" s="1"/>
  <c r="AM154" i="50" a="1"/>
  <c r="AM154" i="50" s="1"/>
  <c r="AN154" i="50" a="1"/>
  <c r="AN154" i="50" s="1"/>
  <c r="AL155" i="50" a="1"/>
  <c r="AL155" i="50" s="1"/>
  <c r="AM155" i="50" a="1"/>
  <c r="AM155" i="50" s="1"/>
  <c r="AN155" i="50" a="1"/>
  <c r="AN155" i="50" s="1"/>
  <c r="AL156" i="50" a="1"/>
  <c r="AL156" i="50" s="1"/>
  <c r="AM156" i="50" a="1"/>
  <c r="AM156" i="50" s="1"/>
  <c r="AN156" i="50" a="1"/>
  <c r="AN156" i="50" s="1"/>
  <c r="AL157" i="50" a="1"/>
  <c r="AL157" i="50" s="1"/>
  <c r="AM157" i="50" a="1"/>
  <c r="AM157" i="50" s="1"/>
  <c r="AN157" i="50" a="1"/>
  <c r="AN157" i="50" s="1"/>
  <c r="AL158" i="50" a="1"/>
  <c r="AL158" i="50" s="1"/>
  <c r="AM158" i="50" a="1"/>
  <c r="AM158" i="50" s="1"/>
  <c r="AN158" i="50" a="1"/>
  <c r="AN158" i="50" s="1"/>
  <c r="AL159" i="50" a="1"/>
  <c r="AL159" i="50" s="1"/>
  <c r="AM159" i="50" a="1"/>
  <c r="AM159" i="50" s="1"/>
  <c r="AN159" i="50" a="1"/>
  <c r="AN159" i="50" s="1"/>
  <c r="AN152" i="50" a="1"/>
  <c r="AN152" i="50" s="1"/>
  <c r="AM152" i="50" a="1"/>
  <c r="AM152" i="50" s="1"/>
  <c r="AH153" i="50"/>
  <c r="AH154" i="50"/>
  <c r="AH155" i="50"/>
  <c r="AH156" i="50"/>
  <c r="AH157" i="50"/>
  <c r="AH158" i="50"/>
  <c r="AH159" i="50"/>
  <c r="AG153" i="50"/>
  <c r="AG154" i="50"/>
  <c r="AG155" i="50"/>
  <c r="AG156" i="50"/>
  <c r="AG157" i="50"/>
  <c r="AG158" i="50"/>
  <c r="AG159" i="50"/>
  <c r="AL152" i="50" a="1"/>
  <c r="AL152" i="50" s="1"/>
  <c r="AH152" i="50"/>
  <c r="AG152" i="50"/>
  <c r="B145" i="50"/>
  <c r="B144" i="50"/>
  <c r="B143" i="50"/>
  <c r="B142" i="50"/>
  <c r="B141" i="50"/>
  <c r="AI130" i="50"/>
  <c r="AI131" i="50"/>
  <c r="AI132" i="50"/>
  <c r="AI133" i="50"/>
  <c r="AI134" i="50"/>
  <c r="AI135" i="50"/>
  <c r="AI136" i="50"/>
  <c r="AH130" i="50"/>
  <c r="AH131" i="50"/>
  <c r="AH132" i="50"/>
  <c r="AH133" i="50"/>
  <c r="AH134" i="50"/>
  <c r="AH135" i="50"/>
  <c r="AH136" i="50"/>
  <c r="AG130" i="50"/>
  <c r="AG131" i="50"/>
  <c r="AG132" i="50"/>
  <c r="AG133" i="50"/>
  <c r="AG134" i="50"/>
  <c r="AG135" i="50"/>
  <c r="AG136" i="50"/>
  <c r="AI129" i="50"/>
  <c r="AH129" i="50"/>
  <c r="AG129" i="50"/>
  <c r="B121" i="50"/>
  <c r="B120" i="50"/>
  <c r="B119" i="50"/>
  <c r="B118" i="50"/>
  <c r="B117" i="50"/>
  <c r="AI106" i="50"/>
  <c r="AI107" i="50"/>
  <c r="AI108" i="50"/>
  <c r="AI109" i="50"/>
  <c r="AI110" i="50"/>
  <c r="AI111" i="50"/>
  <c r="AI112" i="50"/>
  <c r="AH112" i="50"/>
  <c r="AH106" i="50"/>
  <c r="AH107" i="50"/>
  <c r="AH108" i="50"/>
  <c r="AH109" i="50"/>
  <c r="AH110" i="50"/>
  <c r="AH111" i="50"/>
  <c r="AG106" i="50"/>
  <c r="AG107" i="50"/>
  <c r="AG108" i="50"/>
  <c r="AG109" i="50"/>
  <c r="AG110" i="50"/>
  <c r="AG111" i="50"/>
  <c r="AG112" i="50"/>
  <c r="AI105" i="50"/>
  <c r="AH105" i="50"/>
  <c r="AG105" i="50"/>
  <c r="D185" i="50"/>
  <c r="D186" i="50"/>
  <c r="D187" i="50"/>
  <c r="D188" i="50"/>
  <c r="D189" i="50"/>
  <c r="D190" i="50"/>
  <c r="D191" i="50"/>
  <c r="D184" i="50"/>
  <c r="D153" i="50"/>
  <c r="D154" i="50"/>
  <c r="D155" i="50"/>
  <c r="D156" i="50"/>
  <c r="D157" i="50"/>
  <c r="D158" i="50"/>
  <c r="D159" i="50"/>
  <c r="D152" i="50"/>
  <c r="D130" i="50"/>
  <c r="D131" i="50"/>
  <c r="D132" i="50"/>
  <c r="D133" i="50"/>
  <c r="D134" i="50"/>
  <c r="D135" i="50"/>
  <c r="D136" i="50"/>
  <c r="D129" i="50"/>
  <c r="D106" i="50"/>
  <c r="D107" i="50"/>
  <c r="D108" i="50"/>
  <c r="D109" i="50"/>
  <c r="D110" i="50"/>
  <c r="D111" i="50"/>
  <c r="D112" i="50"/>
  <c r="D105" i="50"/>
  <c r="AM722" i="52" l="1"/>
  <c r="AL723" i="52" s="1"/>
  <c r="AL896" i="52" s="1"/>
  <c r="AL898" i="52" s="1"/>
  <c r="AG722" i="52"/>
  <c r="AH722" i="52"/>
  <c r="AL895" i="52"/>
  <c r="AP895" i="52"/>
  <c r="AN895" i="52"/>
  <c r="AN896" i="52"/>
  <c r="AP724" i="52"/>
  <c r="AN724" i="52"/>
  <c r="DA763" i="52"/>
  <c r="CR583" i="52"/>
  <c r="DA764" i="52" s="1"/>
  <c r="AN543" i="52"/>
  <c r="AN540" i="52"/>
  <c r="AL540" i="52"/>
  <c r="DA409" i="52"/>
  <c r="AN186" i="52"/>
  <c r="AL145" i="52"/>
  <c r="AN145" i="52"/>
  <c r="B98" i="50"/>
  <c r="B96" i="50"/>
  <c r="B95" i="50"/>
  <c r="B94" i="50"/>
  <c r="B93" i="50"/>
  <c r="D82" i="50"/>
  <c r="D83" i="50"/>
  <c r="D84" i="50"/>
  <c r="D85" i="50"/>
  <c r="D86" i="50"/>
  <c r="D87" i="50"/>
  <c r="D88" i="50"/>
  <c r="D81" i="50"/>
  <c r="AH82" i="50" a="1"/>
  <c r="AH82" i="50" s="1"/>
  <c r="AI82" i="50" a="1"/>
  <c r="AI82" i="50" s="1"/>
  <c r="AJ82" i="50" a="1"/>
  <c r="AJ82" i="50" s="1"/>
  <c r="AH83" i="50" a="1"/>
  <c r="AH83" i="50" s="1"/>
  <c r="AI83" i="50" a="1"/>
  <c r="AI83" i="50" s="1"/>
  <c r="AJ83" i="50" a="1"/>
  <c r="AJ83" i="50" s="1"/>
  <c r="AH84" i="50" a="1"/>
  <c r="AH84" i="50" s="1"/>
  <c r="AI84" i="50" a="1"/>
  <c r="AI84" i="50" s="1"/>
  <c r="AJ84" i="50" a="1"/>
  <c r="AJ84" i="50" s="1"/>
  <c r="AH85" i="50" a="1"/>
  <c r="AH85" i="50" s="1"/>
  <c r="AI85" i="50" a="1"/>
  <c r="AI85" i="50" s="1"/>
  <c r="AJ85" i="50" a="1"/>
  <c r="AJ85" i="50" s="1"/>
  <c r="AH86" i="50" a="1"/>
  <c r="AH86" i="50" s="1"/>
  <c r="AI86" i="50" a="1"/>
  <c r="AI86" i="50" s="1"/>
  <c r="AJ86" i="50" a="1"/>
  <c r="AJ86" i="50" s="1"/>
  <c r="AH87" i="50" a="1"/>
  <c r="AH87" i="50" s="1"/>
  <c r="AI87" i="50" a="1"/>
  <c r="AI87" i="50" s="1"/>
  <c r="AJ87" i="50" a="1"/>
  <c r="AJ87" i="50" s="1"/>
  <c r="AH88" i="50" a="1"/>
  <c r="AH88" i="50" s="1"/>
  <c r="AI88" i="50" a="1"/>
  <c r="AI88" i="50" s="1"/>
  <c r="AJ88" i="50" a="1"/>
  <c r="AJ88" i="50" s="1"/>
  <c r="AJ81" i="50" a="1"/>
  <c r="AJ81" i="50" s="1"/>
  <c r="AI81" i="50" a="1"/>
  <c r="AI81" i="50" s="1"/>
  <c r="AG82" i="50"/>
  <c r="AG83" i="50"/>
  <c r="AG84" i="50"/>
  <c r="AG85" i="50"/>
  <c r="AG86" i="50"/>
  <c r="AG87" i="50"/>
  <c r="AG88" i="50"/>
  <c r="AF82" i="50"/>
  <c r="AF83" i="50"/>
  <c r="AF84" i="50"/>
  <c r="AF85" i="50"/>
  <c r="AF86" i="50"/>
  <c r="AF87" i="50"/>
  <c r="AF88" i="50"/>
  <c r="AH81" i="50" a="1"/>
  <c r="AH81" i="50" s="1"/>
  <c r="BF81" i="50" a="1"/>
  <c r="BF81" i="50" s="1"/>
  <c r="AG81" i="50"/>
  <c r="AF81" i="50"/>
  <c r="B70" i="50"/>
  <c r="B69" i="50"/>
  <c r="B68" i="50"/>
  <c r="B67" i="50"/>
  <c r="D56" i="50"/>
  <c r="D57" i="50"/>
  <c r="D58" i="50"/>
  <c r="D59" i="50"/>
  <c r="D60" i="50"/>
  <c r="D61" i="50"/>
  <c r="D62" i="50"/>
  <c r="D55" i="50"/>
  <c r="AH56" i="50" a="1"/>
  <c r="AH56" i="50" s="1"/>
  <c r="AH57" i="50" a="1"/>
  <c r="AH57" i="50" s="1"/>
  <c r="AH58" i="50" a="1"/>
  <c r="AH58" i="50" s="1"/>
  <c r="AH59" i="50" a="1"/>
  <c r="AH59" i="50"/>
  <c r="AH60" i="50" a="1"/>
  <c r="AH60" i="50" s="1"/>
  <c r="AH61" i="50" a="1"/>
  <c r="AH61" i="50" s="1"/>
  <c r="AH62" i="50" a="1"/>
  <c r="AH62" i="50" s="1"/>
  <c r="AH55" i="50" a="1"/>
  <c r="AH55" i="50" s="1"/>
  <c r="AG56" i="50"/>
  <c r="AG57" i="50"/>
  <c r="AG58" i="50"/>
  <c r="AG59" i="50"/>
  <c r="AG60" i="50"/>
  <c r="AG61" i="50"/>
  <c r="AG62" i="50"/>
  <c r="AF56" i="50"/>
  <c r="AF57" i="50"/>
  <c r="AF58" i="50"/>
  <c r="AF59" i="50"/>
  <c r="AF60" i="50"/>
  <c r="AF61" i="50"/>
  <c r="AF62" i="50"/>
  <c r="AG55" i="50"/>
  <c r="AF55" i="50"/>
  <c r="B44" i="50"/>
  <c r="B43" i="50"/>
  <c r="B42" i="50"/>
  <c r="B41" i="50"/>
  <c r="B40" i="50"/>
  <c r="D29" i="50"/>
  <c r="D30" i="50"/>
  <c r="D31" i="50"/>
  <c r="D32" i="50"/>
  <c r="D33" i="50"/>
  <c r="D34" i="50"/>
  <c r="D35" i="50"/>
  <c r="D28" i="50"/>
  <c r="AH35" i="50" a="1"/>
  <c r="AH35" i="50" s="1"/>
  <c r="AH29" i="50" a="1"/>
  <c r="AH29" i="50" s="1"/>
  <c r="AH30" i="50" a="1"/>
  <c r="AH30" i="50" s="1"/>
  <c r="AH31" i="50" a="1"/>
  <c r="AH31" i="50"/>
  <c r="AH32" i="50" a="1"/>
  <c r="AH32" i="50" s="1"/>
  <c r="AH33" i="50" a="1"/>
  <c r="AH33" i="50" s="1"/>
  <c r="AH34" i="50" a="1"/>
  <c r="AH34" i="50" s="1"/>
  <c r="AG29" i="50"/>
  <c r="AG30" i="50"/>
  <c r="AG31" i="50"/>
  <c r="AG32" i="50"/>
  <c r="AG33" i="50"/>
  <c r="AG34" i="50"/>
  <c r="AG35" i="50"/>
  <c r="AG28" i="50"/>
  <c r="AF35" i="50"/>
  <c r="AF29" i="50"/>
  <c r="AF30" i="50"/>
  <c r="AF31" i="50"/>
  <c r="AF32" i="50"/>
  <c r="AF33" i="50"/>
  <c r="AF34" i="50"/>
  <c r="AF28" i="50"/>
  <c r="AH28" i="50" a="1"/>
  <c r="AH28" i="50" s="1"/>
  <c r="AP897" i="52" l="1"/>
  <c r="AN897" i="52"/>
  <c r="AL541" i="52"/>
  <c r="AP541" i="52"/>
  <c r="AN541" i="52"/>
  <c r="AP187" i="52"/>
  <c r="AN187" i="52"/>
  <c r="AL187" i="52"/>
  <c r="AP146" i="52"/>
  <c r="AN146" i="52"/>
  <c r="AL146" i="52"/>
  <c r="B1855" i="49" l="1"/>
  <c r="B1863" i="49"/>
  <c r="B1862" i="49"/>
  <c r="B1861" i="49"/>
  <c r="B1860" i="49"/>
  <c r="B1859" i="49"/>
  <c r="B1858" i="49"/>
  <c r="AH1837" i="49"/>
  <c r="AH1838" i="49"/>
  <c r="AH1839" i="49"/>
  <c r="AH1840" i="49"/>
  <c r="AH1841" i="49"/>
  <c r="AH1842" i="49"/>
  <c r="AH1818" i="49"/>
  <c r="AG1842" i="49"/>
  <c r="AG1837" i="49"/>
  <c r="AG1838" i="49"/>
  <c r="AG1839" i="49"/>
  <c r="AG1840" i="49"/>
  <c r="AG1841" i="49"/>
  <c r="AG1836" i="49"/>
  <c r="AF1836" i="49"/>
  <c r="CC1854" i="49" a="1"/>
  <c r="CC1854" i="49" s="1"/>
  <c r="CB1854" i="49"/>
  <c r="CB1854" i="49" a="1"/>
  <c r="CA1854" i="49" a="1"/>
  <c r="CA1854" i="49" s="1"/>
  <c r="BZ1854" i="49" a="1"/>
  <c r="BZ1854" i="49" s="1"/>
  <c r="BY1854" i="49" a="1"/>
  <c r="BY1854" i="49" s="1"/>
  <c r="BX1854" i="49"/>
  <c r="BX1854" i="49" a="1"/>
  <c r="BW1854" i="49" a="1"/>
  <c r="BW1854" i="49" s="1"/>
  <c r="BV1854" i="49" a="1"/>
  <c r="BV1854" i="49" s="1"/>
  <c r="BU1854" i="49" a="1"/>
  <c r="BU1854" i="49" s="1"/>
  <c r="BT1854" i="49"/>
  <c r="BT1854" i="49" a="1"/>
  <c r="BS1854" i="49" a="1"/>
  <c r="BS1854" i="49" s="1"/>
  <c r="BR1854" i="49" a="1"/>
  <c r="BR1854" i="49" s="1"/>
  <c r="BQ1854" i="49" a="1"/>
  <c r="BQ1854" i="49" s="1"/>
  <c r="BP1854" i="49"/>
  <c r="BP1854" i="49" a="1"/>
  <c r="BO1854" i="49" a="1"/>
  <c r="BO1854" i="49" s="1"/>
  <c r="BN1854" i="49" a="1"/>
  <c r="BN1854" i="49" s="1"/>
  <c r="BM1854" i="49" a="1"/>
  <c r="BM1854" i="49" s="1"/>
  <c r="BL1854" i="49"/>
  <c r="BL1854" i="49" a="1"/>
  <c r="BK1854" i="49" a="1"/>
  <c r="BK1854" i="49" s="1"/>
  <c r="BJ1854" i="49" a="1"/>
  <c r="BJ1854" i="49" s="1"/>
  <c r="BI1854" i="49" a="1"/>
  <c r="BI1854" i="49" s="1"/>
  <c r="BH1854" i="49"/>
  <c r="BH1854" i="49" a="1"/>
  <c r="BG1854" i="49" a="1"/>
  <c r="BG1854" i="49" s="1"/>
  <c r="BF1854" i="49" a="1"/>
  <c r="BF1854" i="49" s="1"/>
  <c r="BE1854" i="49" a="1"/>
  <c r="BE1854" i="49" s="1"/>
  <c r="BD1854" i="49"/>
  <c r="BD1854" i="49" a="1"/>
  <c r="BC1854" i="49" a="1"/>
  <c r="BC1854" i="49" s="1"/>
  <c r="BB1854" i="49" a="1"/>
  <c r="BB1854" i="49" s="1"/>
  <c r="BA1854" i="49" a="1"/>
  <c r="BA1854" i="49" s="1"/>
  <c r="AZ1854" i="49"/>
  <c r="AZ1854" i="49" a="1"/>
  <c r="AY1854" i="49"/>
  <c r="AX1854" i="49"/>
  <c r="AW1854" i="49"/>
  <c r="AV1854" i="49"/>
  <c r="AU1854" i="49"/>
  <c r="AT1854" i="49"/>
  <c r="AS1854" i="49"/>
  <c r="AS1855" i="49" s="1"/>
  <c r="AR1854" i="49"/>
  <c r="AQ1854" i="49"/>
  <c r="AP1854" i="49"/>
  <c r="AO1854" i="49"/>
  <c r="AN1854" i="49"/>
  <c r="AM1854" i="49"/>
  <c r="AL1854" i="49"/>
  <c r="AK1854" i="49"/>
  <c r="CC1853" i="49"/>
  <c r="CC1853" i="49" a="1"/>
  <c r="CB1853" i="49"/>
  <c r="CB1853" i="49" a="1"/>
  <c r="CA1853" i="49"/>
  <c r="CA1853" i="49" a="1"/>
  <c r="BZ1853" i="49" a="1"/>
  <c r="BZ1853" i="49" s="1"/>
  <c r="BY1853" i="49" a="1"/>
  <c r="BY1853" i="49" s="1"/>
  <c r="BX1853" i="49"/>
  <c r="BX1853" i="49" a="1"/>
  <c r="BW1853" i="49"/>
  <c r="BW1853" i="49" a="1"/>
  <c r="BV1853" i="49" a="1"/>
  <c r="BV1853" i="49" s="1"/>
  <c r="BU1853" i="49" a="1"/>
  <c r="BU1853" i="49" s="1"/>
  <c r="BT1853" i="49" a="1"/>
  <c r="BT1853" i="49" s="1"/>
  <c r="BS1853" i="49"/>
  <c r="BS1853" i="49" a="1"/>
  <c r="BR1853" i="49" a="1"/>
  <c r="BR1853" i="49" s="1"/>
  <c r="BQ1853" i="49" a="1"/>
  <c r="BQ1853" i="49" s="1"/>
  <c r="BP1853" i="49" a="1"/>
  <c r="BP1853" i="49" s="1"/>
  <c r="BO1853" i="49"/>
  <c r="BO1853" i="49" a="1"/>
  <c r="BN1853" i="49" a="1"/>
  <c r="BN1853" i="49" s="1"/>
  <c r="BM1853" i="49" a="1"/>
  <c r="BM1853" i="49" s="1"/>
  <c r="BL1853" i="49" a="1"/>
  <c r="BL1853" i="49" s="1"/>
  <c r="BK1853" i="49"/>
  <c r="BK1853" i="49" a="1"/>
  <c r="BJ1853" i="49" a="1"/>
  <c r="BJ1853" i="49" s="1"/>
  <c r="BI1853" i="49" a="1"/>
  <c r="BI1853" i="49" s="1"/>
  <c r="BH1853" i="49" a="1"/>
  <c r="BH1853" i="49" s="1"/>
  <c r="BG1853" i="49"/>
  <c r="BG1853" i="49" a="1"/>
  <c r="BF1853" i="49" a="1"/>
  <c r="BF1853" i="49" s="1"/>
  <c r="BE1853" i="49" a="1"/>
  <c r="BE1853" i="49" s="1"/>
  <c r="BD1853" i="49" a="1"/>
  <c r="BD1853" i="49" s="1"/>
  <c r="BC1853" i="49" a="1"/>
  <c r="BC1853" i="49" s="1"/>
  <c r="BB1853" i="49" a="1"/>
  <c r="BB1853" i="49" s="1"/>
  <c r="BA1853" i="49" a="1"/>
  <c r="BA1853" i="49" s="1"/>
  <c r="AZ1853" i="49" a="1"/>
  <c r="AZ1853" i="49" s="1"/>
  <c r="AY1853" i="49"/>
  <c r="AX1853" i="49"/>
  <c r="AW1853" i="49"/>
  <c r="AV1853" i="49"/>
  <c r="AU1853" i="49"/>
  <c r="AT1853" i="49"/>
  <c r="AS1853" i="49"/>
  <c r="AR1853" i="49"/>
  <c r="AQ1853" i="49"/>
  <c r="AP1853" i="49"/>
  <c r="AO1853" i="49"/>
  <c r="AN1853" i="49"/>
  <c r="AM1853" i="49"/>
  <c r="AL1853" i="49"/>
  <c r="AK1853" i="49"/>
  <c r="CC1852" i="49" a="1"/>
  <c r="CC1852" i="49" s="1"/>
  <c r="CB1852" i="49"/>
  <c r="CB1852" i="49" a="1"/>
  <c r="CA1852" i="49"/>
  <c r="CA1852" i="49" a="1"/>
  <c r="BZ1852" i="49"/>
  <c r="BZ1852" i="49" a="1"/>
  <c r="BY1852" i="49" a="1"/>
  <c r="BY1852" i="49" s="1"/>
  <c r="BX1852" i="49"/>
  <c r="BX1852" i="49" a="1"/>
  <c r="BW1852" i="49"/>
  <c r="BW1852" i="49" a="1"/>
  <c r="BV1852" i="49"/>
  <c r="BV1852" i="49" a="1"/>
  <c r="BU1852" i="49" a="1"/>
  <c r="BU1852" i="49" s="1"/>
  <c r="BT1852" i="49" a="1"/>
  <c r="BT1852" i="49" s="1"/>
  <c r="BS1852" i="49"/>
  <c r="BS1852" i="49" a="1"/>
  <c r="BR1852" i="49"/>
  <c r="BR1852" i="49" a="1"/>
  <c r="BQ1852" i="49" a="1"/>
  <c r="BQ1852" i="49" s="1"/>
  <c r="BP1852" i="49" a="1"/>
  <c r="BP1852" i="49" s="1"/>
  <c r="BO1852" i="49"/>
  <c r="BO1852" i="49" a="1"/>
  <c r="BN1852" i="49"/>
  <c r="BN1852" i="49" a="1"/>
  <c r="BM1852" i="49" a="1"/>
  <c r="BM1852" i="49" s="1"/>
  <c r="BL1852" i="49" a="1"/>
  <c r="BL1852" i="49" s="1"/>
  <c r="BK1852" i="49"/>
  <c r="BK1852" i="49" a="1"/>
  <c r="BJ1852" i="49"/>
  <c r="BJ1852" i="49" a="1"/>
  <c r="BI1852" i="49" a="1"/>
  <c r="BI1852" i="49" s="1"/>
  <c r="BH1852" i="49" a="1"/>
  <c r="BH1852" i="49" s="1"/>
  <c r="BG1852" i="49"/>
  <c r="BG1852" i="49" a="1"/>
  <c r="BF1852" i="49"/>
  <c r="BF1852" i="49" a="1"/>
  <c r="BE1852" i="49" a="1"/>
  <c r="BE1852" i="49" s="1"/>
  <c r="BD1852" i="49" a="1"/>
  <c r="BD1852" i="49" s="1"/>
  <c r="BC1852" i="49"/>
  <c r="BC1852" i="49" a="1"/>
  <c r="BB1852" i="49"/>
  <c r="BB1852" i="49" a="1"/>
  <c r="BA1852" i="49" a="1"/>
  <c r="BA1852" i="49" s="1"/>
  <c r="AZ1852" i="49" a="1"/>
  <c r="AZ1852" i="49" s="1"/>
  <c r="AY1852" i="49"/>
  <c r="AX1852" i="49"/>
  <c r="AW1852" i="49"/>
  <c r="AV1852" i="49"/>
  <c r="AU1852" i="49"/>
  <c r="AT1852" i="49"/>
  <c r="AS1852" i="49"/>
  <c r="AR1852" i="49"/>
  <c r="AQ1852" i="49"/>
  <c r="AP1852" i="49"/>
  <c r="AO1852" i="49"/>
  <c r="AN1852" i="49"/>
  <c r="AM1852" i="49"/>
  <c r="AL1852" i="49"/>
  <c r="AK1852" i="49"/>
  <c r="CC1851" i="49" a="1"/>
  <c r="CC1851" i="49" s="1"/>
  <c r="CB1851" i="49"/>
  <c r="CB1851" i="49" a="1"/>
  <c r="CA1851" i="49"/>
  <c r="CA1851" i="49" a="1"/>
  <c r="BZ1851" i="49"/>
  <c r="BZ1851" i="49" a="1"/>
  <c r="BY1851" i="49" a="1"/>
  <c r="BY1851" i="49" s="1"/>
  <c r="BX1851" i="49"/>
  <c r="BX1851" i="49" a="1"/>
  <c r="BW1851" i="49"/>
  <c r="BW1851" i="49" a="1"/>
  <c r="BV1851" i="49"/>
  <c r="BV1851" i="49" a="1"/>
  <c r="BU1851" i="49" a="1"/>
  <c r="BU1851" i="49" s="1"/>
  <c r="BT1851" i="49" a="1"/>
  <c r="BT1851" i="49" s="1"/>
  <c r="BS1851" i="49"/>
  <c r="BS1851" i="49" a="1"/>
  <c r="BR1851" i="49"/>
  <c r="BR1851" i="49" a="1"/>
  <c r="BQ1851" i="49" a="1"/>
  <c r="BQ1851" i="49" s="1"/>
  <c r="BP1851" i="49" a="1"/>
  <c r="BP1851" i="49" s="1"/>
  <c r="BO1851" i="49" a="1"/>
  <c r="BO1851" i="49" s="1"/>
  <c r="BN1851" i="49"/>
  <c r="BN1851" i="49" a="1"/>
  <c r="BM1851" i="49" a="1"/>
  <c r="BM1851" i="49" s="1"/>
  <c r="BL1851" i="49" a="1"/>
  <c r="BL1851" i="49" s="1"/>
  <c r="BK1851" i="49" a="1"/>
  <c r="BK1851" i="49" s="1"/>
  <c r="BJ1851" i="49"/>
  <c r="BJ1851" i="49" a="1"/>
  <c r="BI1851" i="49" a="1"/>
  <c r="BI1851" i="49" s="1"/>
  <c r="BH1851" i="49" a="1"/>
  <c r="BH1851" i="49" s="1"/>
  <c r="BG1851" i="49" a="1"/>
  <c r="BG1851" i="49" s="1"/>
  <c r="BF1851" i="49" a="1"/>
  <c r="BF1851" i="49" s="1"/>
  <c r="BE1851" i="49" a="1"/>
  <c r="BE1851" i="49" s="1"/>
  <c r="BD1851" i="49" a="1"/>
  <c r="BD1851" i="49" s="1"/>
  <c r="BC1851" i="49" a="1"/>
  <c r="BC1851" i="49" s="1"/>
  <c r="BB1851" i="49" a="1"/>
  <c r="BB1851" i="49" s="1"/>
  <c r="BA1851" i="49" a="1"/>
  <c r="BA1851" i="49" s="1"/>
  <c r="AZ1851" i="49" a="1"/>
  <c r="AZ1851" i="49" s="1"/>
  <c r="AY1851" i="49"/>
  <c r="AX1851" i="49"/>
  <c r="AW1851" i="49"/>
  <c r="AV1851" i="49"/>
  <c r="AU1851" i="49"/>
  <c r="AT1851" i="49"/>
  <c r="AS1851" i="49"/>
  <c r="AR1851" i="49"/>
  <c r="AQ1851" i="49"/>
  <c r="AP1851" i="49"/>
  <c r="AO1851" i="49"/>
  <c r="AN1851" i="49"/>
  <c r="AM1851" i="49"/>
  <c r="AL1851" i="49"/>
  <c r="AK1851" i="49"/>
  <c r="CC1850" i="49"/>
  <c r="CC1850" i="49" a="1"/>
  <c r="CB1850" i="49" a="1"/>
  <c r="CB1850" i="49" s="1"/>
  <c r="CA1850" i="49"/>
  <c r="CA1850" i="49" a="1"/>
  <c r="BZ1850" i="49"/>
  <c r="BZ1850" i="49" a="1"/>
  <c r="BY1850" i="49"/>
  <c r="BY1850" i="49" a="1"/>
  <c r="BX1850" i="49" a="1"/>
  <c r="BX1850" i="49" s="1"/>
  <c r="BW1850" i="49"/>
  <c r="BW1850" i="49" a="1"/>
  <c r="BV1850" i="49"/>
  <c r="BV1850" i="49" a="1"/>
  <c r="BU1850" i="49"/>
  <c r="BU1850" i="49" a="1"/>
  <c r="BT1850" i="49" a="1"/>
  <c r="BT1850" i="49" s="1"/>
  <c r="BS1850" i="49"/>
  <c r="BS1850" i="49" a="1"/>
  <c r="BR1850" i="49"/>
  <c r="BR1850" i="49" a="1"/>
  <c r="BQ1850" i="49"/>
  <c r="BQ1850" i="49" a="1"/>
  <c r="BP1850" i="49" a="1"/>
  <c r="BP1850" i="49" s="1"/>
  <c r="BO1850" i="49"/>
  <c r="BO1850" i="49" a="1"/>
  <c r="BN1850" i="49"/>
  <c r="BN1850" i="49" a="1"/>
  <c r="BM1850" i="49"/>
  <c r="BM1850" i="49" a="1"/>
  <c r="BL1850" i="49" a="1"/>
  <c r="BL1850" i="49" s="1"/>
  <c r="BK1850" i="49"/>
  <c r="BK1850" i="49" a="1"/>
  <c r="BJ1850" i="49"/>
  <c r="BJ1850" i="49" a="1"/>
  <c r="BI1850" i="49"/>
  <c r="BI1850" i="49" a="1"/>
  <c r="BH1850" i="49" a="1"/>
  <c r="BH1850" i="49" s="1"/>
  <c r="BG1850" i="49" a="1"/>
  <c r="BG1850" i="49" s="1"/>
  <c r="BF1850" i="49"/>
  <c r="BF1850" i="49" a="1"/>
  <c r="BE1850" i="49"/>
  <c r="BE1850" i="49" a="1"/>
  <c r="BD1850" i="49" a="1"/>
  <c r="BD1850" i="49" s="1"/>
  <c r="BC1850" i="49" a="1"/>
  <c r="BC1850" i="49" s="1"/>
  <c r="BB1850" i="49"/>
  <c r="BB1850" i="49" a="1"/>
  <c r="BA1850" i="49"/>
  <c r="BA1850" i="49" a="1"/>
  <c r="AZ1850" i="49" a="1"/>
  <c r="AZ1850" i="49" s="1"/>
  <c r="AY1850" i="49"/>
  <c r="AX1850" i="49"/>
  <c r="AW1850" i="49"/>
  <c r="AV1850" i="49"/>
  <c r="AU1850" i="49"/>
  <c r="AT1850" i="49"/>
  <c r="AS1850" i="49"/>
  <c r="AR1850" i="49"/>
  <c r="AQ1850" i="49"/>
  <c r="AP1850" i="49"/>
  <c r="AO1850" i="49"/>
  <c r="AN1850" i="49"/>
  <c r="AM1850" i="49"/>
  <c r="AL1850" i="49"/>
  <c r="AK1850" i="49"/>
  <c r="CC1849" i="49"/>
  <c r="CC1849" i="49" a="1"/>
  <c r="CB1849" i="49" a="1"/>
  <c r="CB1849" i="49" s="1"/>
  <c r="CA1849" i="49"/>
  <c r="CA1849" i="49" a="1"/>
  <c r="BZ1849" i="49"/>
  <c r="BZ1849" i="49" a="1"/>
  <c r="BY1849" i="49" a="1"/>
  <c r="BY1849" i="49" s="1"/>
  <c r="BX1849" i="49" a="1"/>
  <c r="BX1849" i="49" s="1"/>
  <c r="BW1849" i="49"/>
  <c r="BW1849" i="49" a="1"/>
  <c r="BV1849" i="49"/>
  <c r="BV1849" i="49" a="1"/>
  <c r="BU1849" i="49" a="1"/>
  <c r="BU1849" i="49" s="1"/>
  <c r="BT1849" i="49" a="1"/>
  <c r="BT1849" i="49" s="1"/>
  <c r="BS1849" i="49"/>
  <c r="BS1849" i="49" a="1"/>
  <c r="BR1849" i="49"/>
  <c r="BR1849" i="49" a="1"/>
  <c r="BQ1849" i="49" a="1"/>
  <c r="BQ1849" i="49" s="1"/>
  <c r="BP1849" i="49" a="1"/>
  <c r="BP1849" i="49" s="1"/>
  <c r="BO1849" i="49"/>
  <c r="BO1849" i="49" a="1"/>
  <c r="BN1849" i="49" a="1"/>
  <c r="BN1849" i="49" s="1"/>
  <c r="BM1849" i="49" a="1"/>
  <c r="BM1849" i="49" s="1"/>
  <c r="BL1849" i="49" a="1"/>
  <c r="BL1849" i="49" s="1"/>
  <c r="BK1849" i="49" a="1"/>
  <c r="BK1849" i="49" s="1"/>
  <c r="BJ1849" i="49" a="1"/>
  <c r="BJ1849" i="49" s="1"/>
  <c r="BI1849" i="49" a="1"/>
  <c r="BI1849" i="49" s="1"/>
  <c r="BH1849" i="49" a="1"/>
  <c r="BH1849" i="49" s="1"/>
  <c r="BG1849" i="49" a="1"/>
  <c r="BG1849" i="49" s="1"/>
  <c r="BF1849" i="49" a="1"/>
  <c r="BF1849" i="49" s="1"/>
  <c r="BE1849" i="49" a="1"/>
  <c r="BE1849" i="49" s="1"/>
  <c r="BD1849" i="49" a="1"/>
  <c r="BD1849" i="49" s="1"/>
  <c r="BC1849" i="49" a="1"/>
  <c r="BC1849" i="49" s="1"/>
  <c r="BB1849" i="49" a="1"/>
  <c r="BB1849" i="49" s="1"/>
  <c r="BA1849" i="49" a="1"/>
  <c r="BA1849" i="49" s="1"/>
  <c r="AZ1849" i="49" a="1"/>
  <c r="AZ1849" i="49" s="1"/>
  <c r="AY1849" i="49"/>
  <c r="AX1849" i="49"/>
  <c r="AW1849" i="49"/>
  <c r="AV1849" i="49"/>
  <c r="AU1849" i="49"/>
  <c r="AT1849" i="49"/>
  <c r="AS1849" i="49"/>
  <c r="AR1849" i="49"/>
  <c r="AQ1849" i="49"/>
  <c r="AP1849" i="49"/>
  <c r="AO1849" i="49"/>
  <c r="AN1849" i="49"/>
  <c r="AM1849" i="49"/>
  <c r="AL1849" i="49"/>
  <c r="AK1849" i="49"/>
  <c r="CC1848" i="49"/>
  <c r="CC1848" i="49" a="1"/>
  <c r="CB1848" i="49"/>
  <c r="CB1848" i="49" a="1"/>
  <c r="CA1848" i="49" a="1"/>
  <c r="CA1848" i="49" s="1"/>
  <c r="BZ1848" i="49"/>
  <c r="BZ1848" i="49" a="1"/>
  <c r="BY1848" i="49"/>
  <c r="BY1848" i="49" a="1"/>
  <c r="BX1848" i="49"/>
  <c r="BX1848" i="49" a="1"/>
  <c r="BW1848" i="49" a="1"/>
  <c r="BW1848" i="49" s="1"/>
  <c r="BV1848" i="49"/>
  <c r="BV1848" i="49" a="1"/>
  <c r="BU1848" i="49"/>
  <c r="BU1848" i="49" a="1"/>
  <c r="BT1848" i="49"/>
  <c r="BT1848" i="49" a="1"/>
  <c r="BS1848" i="49" a="1"/>
  <c r="BS1848" i="49" s="1"/>
  <c r="BR1848" i="49"/>
  <c r="BR1848" i="49" a="1"/>
  <c r="BQ1848" i="49"/>
  <c r="BQ1848" i="49" a="1"/>
  <c r="BP1848" i="49"/>
  <c r="BP1848" i="49" a="1"/>
  <c r="BO1848" i="49" a="1"/>
  <c r="BO1848" i="49" s="1"/>
  <c r="BN1848" i="49"/>
  <c r="BN1848" i="49" a="1"/>
  <c r="BM1848" i="49"/>
  <c r="BM1848" i="49" a="1"/>
  <c r="BL1848" i="49"/>
  <c r="BL1848" i="49" a="1"/>
  <c r="BK1848" i="49" a="1"/>
  <c r="BK1848" i="49" s="1"/>
  <c r="BJ1848" i="49"/>
  <c r="BJ1848" i="49" a="1"/>
  <c r="BI1848" i="49"/>
  <c r="BI1848" i="49" a="1"/>
  <c r="BH1848" i="49"/>
  <c r="BH1848" i="49" a="1"/>
  <c r="BG1848" i="49" a="1"/>
  <c r="BG1848" i="49" s="1"/>
  <c r="BF1848" i="49"/>
  <c r="BF1848" i="49" a="1"/>
  <c r="BE1848" i="49"/>
  <c r="BE1848" i="49" a="1"/>
  <c r="BD1848" i="49"/>
  <c r="BD1848" i="49" a="1"/>
  <c r="BC1848" i="49" a="1"/>
  <c r="BC1848" i="49" s="1"/>
  <c r="BB1848" i="49" a="1"/>
  <c r="BB1848" i="49" s="1"/>
  <c r="BA1848" i="49"/>
  <c r="BA1848" i="49" a="1"/>
  <c r="AZ1848" i="49"/>
  <c r="BN1855" i="49" s="1"/>
  <c r="AZ1848" i="49" a="1"/>
  <c r="AY1848" i="49"/>
  <c r="AY1855" i="49" s="1"/>
  <c r="AX1848" i="49"/>
  <c r="AW1848" i="49"/>
  <c r="AW1855" i="49" s="1"/>
  <c r="AV1848" i="49"/>
  <c r="AV1855" i="49" s="1"/>
  <c r="AU1848" i="49"/>
  <c r="AT1848" i="49"/>
  <c r="AT1855" i="49" s="1"/>
  <c r="AS1848" i="49"/>
  <c r="AR1848" i="49"/>
  <c r="AQ1848" i="49"/>
  <c r="AQ1855" i="49" s="1"/>
  <c r="AP1848" i="49"/>
  <c r="AP1855" i="49" s="1"/>
  <c r="AO1848" i="49"/>
  <c r="AN1848" i="49"/>
  <c r="AN1855" i="49" s="1"/>
  <c r="AM1848" i="49"/>
  <c r="AM1855" i="49" s="1"/>
  <c r="AL1856" i="49" s="1"/>
  <c r="AL1848" i="49"/>
  <c r="AK1848" i="49"/>
  <c r="AK1855" i="49" s="1"/>
  <c r="AN1856" i="49" s="1"/>
  <c r="CC1842" i="49" a="1"/>
  <c r="CC1842" i="49" s="1"/>
  <c r="CB1842" i="49"/>
  <c r="CB1842" i="49" a="1"/>
  <c r="CA1842" i="49"/>
  <c r="CA1842" i="49" a="1"/>
  <c r="BZ1842" i="49" a="1"/>
  <c r="BZ1842" i="49" s="1"/>
  <c r="BY1842" i="49" a="1"/>
  <c r="BY1842" i="49" s="1"/>
  <c r="BX1842" i="49"/>
  <c r="BX1842" i="49" a="1"/>
  <c r="BW1842" i="49" a="1"/>
  <c r="BW1842" i="49" s="1"/>
  <c r="BV1842" i="49" a="1"/>
  <c r="BV1842" i="49" s="1"/>
  <c r="BU1842" i="49" a="1"/>
  <c r="BU1842" i="49" s="1"/>
  <c r="BT1842" i="49"/>
  <c r="BT1842" i="49" a="1"/>
  <c r="BS1842" i="49" a="1"/>
  <c r="BS1842" i="49" s="1"/>
  <c r="BR1842" i="49" a="1"/>
  <c r="BR1842" i="49" s="1"/>
  <c r="BQ1842" i="49" a="1"/>
  <c r="BQ1842" i="49" s="1"/>
  <c r="BP1842" i="49"/>
  <c r="BP1842" i="49" a="1"/>
  <c r="BO1842" i="49" a="1"/>
  <c r="BO1842" i="49" s="1"/>
  <c r="BN1842" i="49" a="1"/>
  <c r="BN1842" i="49" s="1"/>
  <c r="BM1842" i="49" a="1"/>
  <c r="BM1842" i="49" s="1"/>
  <c r="BL1842" i="49"/>
  <c r="BL1842" i="49" a="1"/>
  <c r="BK1842" i="49" a="1"/>
  <c r="BK1842" i="49" s="1"/>
  <c r="BJ1842" i="49" a="1"/>
  <c r="BJ1842" i="49" s="1"/>
  <c r="BI1842" i="49" a="1"/>
  <c r="BI1842" i="49" s="1"/>
  <c r="BH1842" i="49" a="1"/>
  <c r="BH1842" i="49" s="1"/>
  <c r="BG1842" i="49" a="1"/>
  <c r="BG1842" i="49" s="1"/>
  <c r="BF1842" i="49" a="1"/>
  <c r="BF1842" i="49" s="1"/>
  <c r="BE1842" i="49" a="1"/>
  <c r="BE1842" i="49" s="1"/>
  <c r="BD1842" i="49" a="1"/>
  <c r="BD1842" i="49" s="1"/>
  <c r="BC1842" i="49" a="1"/>
  <c r="BC1842" i="49" s="1"/>
  <c r="BB1842" i="49" a="1"/>
  <c r="BB1842" i="49" s="1"/>
  <c r="BA1842" i="49" a="1"/>
  <c r="BA1842" i="49" s="1"/>
  <c r="AZ1842" i="49" a="1"/>
  <c r="AZ1842" i="49" s="1"/>
  <c r="BB1843" i="49" s="1"/>
  <c r="AY1842" i="49"/>
  <c r="AX1842" i="49"/>
  <c r="AW1842" i="49"/>
  <c r="AV1842" i="49"/>
  <c r="AU1842" i="49"/>
  <c r="AT1842" i="49"/>
  <c r="AS1842" i="49"/>
  <c r="AR1842" i="49"/>
  <c r="AQ1842" i="49"/>
  <c r="AP1842" i="49"/>
  <c r="AO1842" i="49"/>
  <c r="AN1842" i="49"/>
  <c r="AM1842" i="49"/>
  <c r="AL1842" i="49"/>
  <c r="AK1842" i="49"/>
  <c r="CC1841" i="49" a="1"/>
  <c r="CC1841" i="49" s="1"/>
  <c r="CB1841" i="49"/>
  <c r="CB1841" i="49" a="1"/>
  <c r="CA1841" i="49"/>
  <c r="CA1841" i="49" a="1"/>
  <c r="BZ1841" i="49"/>
  <c r="BZ1841" i="49" a="1"/>
  <c r="BY1841" i="49" a="1"/>
  <c r="BY1841" i="49" s="1"/>
  <c r="BX1841" i="49"/>
  <c r="BX1841" i="49" a="1"/>
  <c r="BW1841" i="49"/>
  <c r="BW1841" i="49" a="1"/>
  <c r="BV1841" i="49"/>
  <c r="BV1841" i="49" a="1"/>
  <c r="BU1841" i="49" a="1"/>
  <c r="BU1841" i="49" s="1"/>
  <c r="BT1841" i="49"/>
  <c r="BT1841" i="49" a="1"/>
  <c r="BS1841" i="49"/>
  <c r="BS1841" i="49" a="1"/>
  <c r="BR1841" i="49"/>
  <c r="BR1841" i="49" a="1"/>
  <c r="BQ1841" i="49" a="1"/>
  <c r="BQ1841" i="49" s="1"/>
  <c r="BP1841" i="49"/>
  <c r="BP1841" i="49" a="1"/>
  <c r="BO1841" i="49"/>
  <c r="BO1841" i="49" a="1"/>
  <c r="BN1841" i="49"/>
  <c r="BN1841" i="49" a="1"/>
  <c r="BM1841" i="49" a="1"/>
  <c r="BM1841" i="49" s="1"/>
  <c r="BL1841" i="49"/>
  <c r="BL1841" i="49" a="1"/>
  <c r="BK1841" i="49"/>
  <c r="BK1841" i="49" a="1"/>
  <c r="BJ1841" i="49"/>
  <c r="BJ1841" i="49" a="1"/>
  <c r="BI1841" i="49" a="1"/>
  <c r="BI1841" i="49" s="1"/>
  <c r="BH1841" i="49" a="1"/>
  <c r="BH1841" i="49" s="1"/>
  <c r="BG1841" i="49"/>
  <c r="BG1841" i="49" a="1"/>
  <c r="BF1841" i="49"/>
  <c r="BF1841" i="49" a="1"/>
  <c r="BE1841" i="49" a="1"/>
  <c r="BE1841" i="49" s="1"/>
  <c r="BD1841" i="49" a="1"/>
  <c r="BD1841" i="49" s="1"/>
  <c r="BC1841" i="49"/>
  <c r="BC1841" i="49" a="1"/>
  <c r="BB1841" i="49"/>
  <c r="BB1841" i="49" a="1"/>
  <c r="BA1841" i="49" a="1"/>
  <c r="BA1841" i="49" s="1"/>
  <c r="AZ1841" i="49" a="1"/>
  <c r="AZ1841" i="49" s="1"/>
  <c r="AY1841" i="49"/>
  <c r="AX1841" i="49"/>
  <c r="AW1841" i="49"/>
  <c r="AV1841" i="49"/>
  <c r="AU1841" i="49"/>
  <c r="AT1841" i="49"/>
  <c r="AS1841" i="49"/>
  <c r="AR1841" i="49"/>
  <c r="AQ1841" i="49"/>
  <c r="AQ1843" i="49" s="1"/>
  <c r="AP1841" i="49"/>
  <c r="AO1841" i="49"/>
  <c r="AN1841" i="49"/>
  <c r="AM1841" i="49"/>
  <c r="AL1841" i="49"/>
  <c r="AK1841" i="49"/>
  <c r="CC1840" i="49"/>
  <c r="CC1840" i="49" a="1"/>
  <c r="CB1840" i="49"/>
  <c r="CB1840" i="49" a="1"/>
  <c r="CA1840" i="49" a="1"/>
  <c r="CA1840" i="49" s="1"/>
  <c r="BZ1840" i="49" a="1"/>
  <c r="BZ1840" i="49" s="1"/>
  <c r="BY1840" i="49"/>
  <c r="BY1840" i="49" a="1"/>
  <c r="BX1840" i="49"/>
  <c r="BX1840" i="49" a="1"/>
  <c r="BW1840" i="49" a="1"/>
  <c r="BW1840" i="49" s="1"/>
  <c r="BV1840" i="49" a="1"/>
  <c r="BV1840" i="49" s="1"/>
  <c r="BU1840" i="49"/>
  <c r="BU1840" i="49" a="1"/>
  <c r="BT1840" i="49"/>
  <c r="BT1840" i="49" a="1"/>
  <c r="BS1840" i="49" a="1"/>
  <c r="BS1840" i="49" s="1"/>
  <c r="BR1840" i="49" a="1"/>
  <c r="BR1840" i="49" s="1"/>
  <c r="BQ1840" i="49"/>
  <c r="BQ1840" i="49" a="1"/>
  <c r="BP1840" i="49" a="1"/>
  <c r="BP1840" i="49" s="1"/>
  <c r="BO1840" i="49" a="1"/>
  <c r="BO1840" i="49" s="1"/>
  <c r="BN1840" i="49" a="1"/>
  <c r="BN1840" i="49" s="1"/>
  <c r="BM1840" i="49"/>
  <c r="BM1840" i="49" a="1"/>
  <c r="BL1840" i="49" a="1"/>
  <c r="BL1840" i="49" s="1"/>
  <c r="BK1840" i="49" a="1"/>
  <c r="BK1840" i="49" s="1"/>
  <c r="BJ1840" i="49" a="1"/>
  <c r="BJ1840" i="49" s="1"/>
  <c r="BI1840" i="49"/>
  <c r="BI1840" i="49" a="1"/>
  <c r="BH1840" i="49" a="1"/>
  <c r="BH1840" i="49" s="1"/>
  <c r="BG1840" i="49" a="1"/>
  <c r="BG1840" i="49" s="1"/>
  <c r="BF1840" i="49" a="1"/>
  <c r="BF1840" i="49" s="1"/>
  <c r="BE1840" i="49" a="1"/>
  <c r="BE1840" i="49" s="1"/>
  <c r="BD1840" i="49" a="1"/>
  <c r="BD1840" i="49" s="1"/>
  <c r="BC1840" i="49" a="1"/>
  <c r="BC1840" i="49" s="1"/>
  <c r="BB1840" i="49" a="1"/>
  <c r="BB1840" i="49" s="1"/>
  <c r="BA1840" i="49" a="1"/>
  <c r="BA1840" i="49" s="1"/>
  <c r="AZ1840" i="49" a="1"/>
  <c r="AZ1840" i="49" s="1"/>
  <c r="AY1840" i="49"/>
  <c r="AX1840" i="49"/>
  <c r="AW1840" i="49"/>
  <c r="AV1840" i="49"/>
  <c r="AU1840" i="49"/>
  <c r="AT1840" i="49"/>
  <c r="AS1840" i="49"/>
  <c r="AR1840" i="49"/>
  <c r="AQ1840" i="49"/>
  <c r="AP1840" i="49"/>
  <c r="AO1840" i="49"/>
  <c r="AN1840" i="49"/>
  <c r="AM1840" i="49"/>
  <c r="AL1840" i="49"/>
  <c r="AK1840" i="49"/>
  <c r="CC1839" i="49"/>
  <c r="CC1839" i="49" a="1"/>
  <c r="CB1839" i="49"/>
  <c r="CB1839" i="49" a="1"/>
  <c r="CA1839" i="49"/>
  <c r="CA1839" i="49" a="1"/>
  <c r="BZ1839" i="49" a="1"/>
  <c r="BZ1839" i="49" s="1"/>
  <c r="BY1839" i="49"/>
  <c r="BY1839" i="49" a="1"/>
  <c r="BX1839" i="49"/>
  <c r="BX1839" i="49" a="1"/>
  <c r="BW1839" i="49"/>
  <c r="BW1839" i="49" a="1"/>
  <c r="BV1839" i="49" a="1"/>
  <c r="BV1839" i="49" s="1"/>
  <c r="BU1839" i="49"/>
  <c r="BU1839" i="49" a="1"/>
  <c r="BT1839" i="49"/>
  <c r="BT1839" i="49" a="1"/>
  <c r="BS1839" i="49"/>
  <c r="BS1839" i="49" a="1"/>
  <c r="BR1839" i="49" a="1"/>
  <c r="BR1839" i="49" s="1"/>
  <c r="BQ1839" i="49"/>
  <c r="BQ1839" i="49" a="1"/>
  <c r="BP1839" i="49"/>
  <c r="BP1839" i="49" a="1"/>
  <c r="BO1839" i="49"/>
  <c r="BO1839" i="49" a="1"/>
  <c r="BN1839" i="49" a="1"/>
  <c r="BN1839" i="49" s="1"/>
  <c r="BM1839" i="49"/>
  <c r="BM1839" i="49" a="1"/>
  <c r="BL1839" i="49"/>
  <c r="BL1839" i="49" a="1"/>
  <c r="BK1839" i="49"/>
  <c r="BK1839" i="49" a="1"/>
  <c r="BJ1839" i="49" a="1"/>
  <c r="BJ1839" i="49" s="1"/>
  <c r="BI1839" i="49" a="1"/>
  <c r="BI1839" i="49" s="1"/>
  <c r="BH1839" i="49"/>
  <c r="BH1839" i="49" a="1"/>
  <c r="BG1839" i="49"/>
  <c r="BG1839" i="49" a="1"/>
  <c r="BF1839" i="49" a="1"/>
  <c r="BF1839" i="49" s="1"/>
  <c r="BE1839" i="49" a="1"/>
  <c r="BE1839" i="49" s="1"/>
  <c r="BD1839" i="49"/>
  <c r="BD1839" i="49" a="1"/>
  <c r="BC1839" i="49"/>
  <c r="BC1839" i="49" a="1"/>
  <c r="BB1839" i="49" a="1"/>
  <c r="BB1839" i="49" s="1"/>
  <c r="BA1839" i="49" a="1"/>
  <c r="BA1839" i="49" s="1"/>
  <c r="AZ1839" i="49"/>
  <c r="AZ1839" i="49" a="1"/>
  <c r="AY1839" i="49"/>
  <c r="AX1839" i="49"/>
  <c r="AW1839" i="49"/>
  <c r="AV1839" i="49"/>
  <c r="AU1839" i="49"/>
  <c r="AT1839" i="49"/>
  <c r="AS1839" i="49"/>
  <c r="AR1839" i="49"/>
  <c r="AQ1839" i="49"/>
  <c r="AP1839" i="49"/>
  <c r="AO1839" i="49"/>
  <c r="AN1839" i="49"/>
  <c r="AM1839" i="49"/>
  <c r="AL1839" i="49"/>
  <c r="AK1839" i="49"/>
  <c r="CC1838" i="49"/>
  <c r="CC1838" i="49" a="1"/>
  <c r="CB1838" i="49" a="1"/>
  <c r="CB1838" i="49" s="1"/>
  <c r="CA1838" i="49" a="1"/>
  <c r="CA1838" i="49" s="1"/>
  <c r="BZ1838" i="49" a="1"/>
  <c r="BZ1838" i="49" s="1"/>
  <c r="BY1838" i="49"/>
  <c r="BY1838" i="49" a="1"/>
  <c r="BX1838" i="49" a="1"/>
  <c r="BX1838" i="49" s="1"/>
  <c r="BW1838" i="49" a="1"/>
  <c r="BW1838" i="49" s="1"/>
  <c r="BV1838" i="49" a="1"/>
  <c r="BV1838" i="49" s="1"/>
  <c r="BU1838" i="49"/>
  <c r="BU1838" i="49" a="1"/>
  <c r="BT1838" i="49" a="1"/>
  <c r="BT1838" i="49" s="1"/>
  <c r="BS1838" i="49" a="1"/>
  <c r="BS1838" i="49" s="1"/>
  <c r="BR1838" i="49" a="1"/>
  <c r="BR1838" i="49" s="1"/>
  <c r="BQ1838" i="49" a="1"/>
  <c r="BQ1838" i="49" s="1"/>
  <c r="BP1838" i="49" a="1"/>
  <c r="BP1838" i="49" s="1"/>
  <c r="BO1838" i="49" a="1"/>
  <c r="BO1838" i="49" s="1"/>
  <c r="BN1838" i="49" a="1"/>
  <c r="BN1838" i="49" s="1"/>
  <c r="BM1838" i="49" a="1"/>
  <c r="BM1838" i="49" s="1"/>
  <c r="BL1838" i="49" a="1"/>
  <c r="BL1838" i="49" s="1"/>
  <c r="BK1838" i="49" a="1"/>
  <c r="BK1838" i="49" s="1"/>
  <c r="BJ1838" i="49" a="1"/>
  <c r="BJ1838" i="49" s="1"/>
  <c r="BI1838" i="49" a="1"/>
  <c r="BI1838" i="49" s="1"/>
  <c r="BH1838" i="49" a="1"/>
  <c r="BH1838" i="49" s="1"/>
  <c r="BG1838" i="49" a="1"/>
  <c r="BG1838" i="49" s="1"/>
  <c r="BF1838" i="49" a="1"/>
  <c r="BF1838" i="49" s="1"/>
  <c r="BE1838" i="49" a="1"/>
  <c r="BE1838" i="49" s="1"/>
  <c r="BD1838" i="49" a="1"/>
  <c r="BD1838" i="49" s="1"/>
  <c r="BC1838" i="49" a="1"/>
  <c r="BC1838" i="49" s="1"/>
  <c r="BB1838" i="49" a="1"/>
  <c r="BB1838" i="49" s="1"/>
  <c r="BA1838" i="49" a="1"/>
  <c r="BA1838" i="49" s="1"/>
  <c r="AZ1838" i="49" a="1"/>
  <c r="AZ1838" i="49" s="1"/>
  <c r="AY1838" i="49"/>
  <c r="AX1838" i="49"/>
  <c r="AW1838" i="49"/>
  <c r="AV1838" i="49"/>
  <c r="AU1838" i="49"/>
  <c r="AT1838" i="49"/>
  <c r="AS1838" i="49"/>
  <c r="AR1838" i="49"/>
  <c r="AQ1838" i="49"/>
  <c r="AP1838" i="49"/>
  <c r="AO1838" i="49"/>
  <c r="AN1838" i="49"/>
  <c r="AM1838" i="49"/>
  <c r="AL1838" i="49"/>
  <c r="AK1838" i="49"/>
  <c r="CC1837" i="49"/>
  <c r="CC1837" i="49" a="1"/>
  <c r="CB1837" i="49"/>
  <c r="CB1837" i="49" a="1"/>
  <c r="CA1837" i="49" a="1"/>
  <c r="CA1837" i="49" s="1"/>
  <c r="BZ1837" i="49"/>
  <c r="BZ1837" i="49" a="1"/>
  <c r="BY1837" i="49"/>
  <c r="BY1837" i="49" a="1"/>
  <c r="BX1837" i="49"/>
  <c r="BX1837" i="49" a="1"/>
  <c r="BW1837" i="49" a="1"/>
  <c r="BW1837" i="49" s="1"/>
  <c r="BV1837" i="49" a="1"/>
  <c r="BV1837" i="49" s="1"/>
  <c r="BU1837" i="49"/>
  <c r="BU1837" i="49" a="1"/>
  <c r="BT1837" i="49"/>
  <c r="BT1837" i="49" a="1"/>
  <c r="BS1837" i="49" a="1"/>
  <c r="BS1837" i="49" s="1"/>
  <c r="BR1837" i="49" a="1"/>
  <c r="BR1837" i="49" s="1"/>
  <c r="BQ1837" i="49"/>
  <c r="BQ1837" i="49" a="1"/>
  <c r="BP1837" i="49"/>
  <c r="BP1837" i="49" a="1"/>
  <c r="BO1837" i="49" a="1"/>
  <c r="BO1837" i="49" s="1"/>
  <c r="BN1837" i="49" a="1"/>
  <c r="BN1837" i="49" s="1"/>
  <c r="BM1837" i="49"/>
  <c r="BM1837" i="49" a="1"/>
  <c r="BL1837" i="49"/>
  <c r="BL1837" i="49" a="1"/>
  <c r="BK1837" i="49" a="1"/>
  <c r="BK1837" i="49" s="1"/>
  <c r="BJ1837" i="49" a="1"/>
  <c r="BJ1837" i="49" s="1"/>
  <c r="BI1837" i="49"/>
  <c r="BI1837" i="49" a="1"/>
  <c r="BH1837" i="49"/>
  <c r="BH1837" i="49" a="1"/>
  <c r="BG1837" i="49" a="1"/>
  <c r="BG1837" i="49" s="1"/>
  <c r="BF1837" i="49" a="1"/>
  <c r="BF1837" i="49" s="1"/>
  <c r="BE1837" i="49"/>
  <c r="BE1837" i="49" a="1"/>
  <c r="BD1837" i="49"/>
  <c r="BD1837" i="49" a="1"/>
  <c r="BC1837" i="49" a="1"/>
  <c r="BC1837" i="49" s="1"/>
  <c r="BB1837" i="49" a="1"/>
  <c r="BB1837" i="49" s="1"/>
  <c r="BA1837" i="49"/>
  <c r="BA1837" i="49" a="1"/>
  <c r="AZ1837" i="49"/>
  <c r="AZ1837" i="49" a="1"/>
  <c r="AY1837" i="49"/>
  <c r="AX1837" i="49"/>
  <c r="AW1837" i="49"/>
  <c r="AV1837" i="49"/>
  <c r="AU1837" i="49"/>
  <c r="AT1837" i="49"/>
  <c r="AS1837" i="49"/>
  <c r="AR1837" i="49"/>
  <c r="AQ1837" i="49"/>
  <c r="AP1837" i="49"/>
  <c r="AO1837" i="49"/>
  <c r="AN1837" i="49"/>
  <c r="AM1837" i="49"/>
  <c r="AL1837" i="49"/>
  <c r="AK1837" i="49"/>
  <c r="CC1836" i="49" a="1"/>
  <c r="CC1836" i="49" s="1"/>
  <c r="CB1836" i="49" a="1"/>
  <c r="CB1836" i="49" s="1"/>
  <c r="CA1836" i="49" a="1"/>
  <c r="CA1836" i="49" s="1"/>
  <c r="BZ1836" i="49"/>
  <c r="BZ1836" i="49" a="1"/>
  <c r="BY1836" i="49" a="1"/>
  <c r="BY1836" i="49" s="1"/>
  <c r="BX1836" i="49" a="1"/>
  <c r="BX1836" i="49" s="1"/>
  <c r="BW1836" i="49" a="1"/>
  <c r="BW1836" i="49" s="1"/>
  <c r="BV1836" i="49" a="1"/>
  <c r="BV1836" i="49" s="1"/>
  <c r="BU1836" i="49" a="1"/>
  <c r="BU1836" i="49" s="1"/>
  <c r="BT1836" i="49" a="1"/>
  <c r="BT1836" i="49" s="1"/>
  <c r="BS1836" i="49" a="1"/>
  <c r="BS1836" i="49" s="1"/>
  <c r="BR1836" i="49" a="1"/>
  <c r="BR1836" i="49" s="1"/>
  <c r="BQ1836" i="49" a="1"/>
  <c r="BQ1836" i="49" s="1"/>
  <c r="BP1836" i="49" a="1"/>
  <c r="BP1836" i="49" s="1"/>
  <c r="BO1836" i="49" a="1"/>
  <c r="BO1836" i="49" s="1"/>
  <c r="BN1836" i="49" a="1"/>
  <c r="BN1836" i="49" s="1"/>
  <c r="BM1836" i="49" a="1"/>
  <c r="BM1836" i="49" s="1"/>
  <c r="BL1836" i="49" a="1"/>
  <c r="BL1836" i="49" s="1"/>
  <c r="BK1836" i="49" a="1"/>
  <c r="BK1836" i="49" s="1"/>
  <c r="BJ1836" i="49" a="1"/>
  <c r="BJ1836" i="49" s="1"/>
  <c r="BI1836" i="49" a="1"/>
  <c r="BI1836" i="49" s="1"/>
  <c r="BH1836" i="49" a="1"/>
  <c r="BH1836" i="49" s="1"/>
  <c r="BG1836" i="49" a="1"/>
  <c r="BG1836" i="49" s="1"/>
  <c r="BF1836" i="49" a="1"/>
  <c r="BF1836" i="49" s="1"/>
  <c r="BE1836" i="49" a="1"/>
  <c r="BE1836" i="49" s="1"/>
  <c r="BD1836" i="49" a="1"/>
  <c r="BD1836" i="49" s="1"/>
  <c r="BC1836" i="49" a="1"/>
  <c r="BC1836" i="49" s="1"/>
  <c r="BN1843" i="49" s="1"/>
  <c r="BB1836" i="49" a="1"/>
  <c r="BB1836" i="49" s="1"/>
  <c r="BA1836" i="49" a="1"/>
  <c r="BA1836" i="49" s="1"/>
  <c r="AZ1836" i="49" a="1"/>
  <c r="AZ1836" i="49" s="1"/>
  <c r="AY1836" i="49"/>
  <c r="AY1843" i="49" s="1"/>
  <c r="AX1836" i="49"/>
  <c r="AW1836" i="49"/>
  <c r="AW1843" i="49" s="1"/>
  <c r="AV1836" i="49"/>
  <c r="AV1843" i="49" s="1"/>
  <c r="AU1836" i="49"/>
  <c r="AT1836" i="49"/>
  <c r="AT1843" i="49" s="1"/>
  <c r="AS1836" i="49"/>
  <c r="AS1843" i="49" s="1"/>
  <c r="AR1836" i="49"/>
  <c r="AQ1836" i="49"/>
  <c r="AP1836" i="49"/>
  <c r="AP1843" i="49" s="1"/>
  <c r="AO1836" i="49"/>
  <c r="AN1836" i="49"/>
  <c r="AN1843" i="49" s="1"/>
  <c r="AM1836" i="49"/>
  <c r="AM1843" i="49" s="1"/>
  <c r="AL1844" i="49" s="1"/>
  <c r="AL1836" i="49"/>
  <c r="AK1836" i="49"/>
  <c r="AK1843" i="49" s="1"/>
  <c r="AN1844" i="49" s="1"/>
  <c r="AH1836" i="49"/>
  <c r="AH1843" i="49" s="1"/>
  <c r="B1826" i="49"/>
  <c r="B1825" i="49"/>
  <c r="B1824" i="49"/>
  <c r="B1823" i="49"/>
  <c r="B1822" i="49"/>
  <c r="B1821" i="49"/>
  <c r="B1818" i="49"/>
  <c r="AT1779" i="49" a="1"/>
  <c r="AT1779" i="49" s="1"/>
  <c r="AU1779" i="49" a="1"/>
  <c r="AU1779" i="49" s="1"/>
  <c r="AV1779" i="49" a="1"/>
  <c r="AV1779" i="49" s="1"/>
  <c r="AT1780" i="49" a="1"/>
  <c r="AT1780" i="49"/>
  <c r="AU1780" i="49" a="1"/>
  <c r="AU1780" i="49" s="1"/>
  <c r="AV1780" i="49" a="1"/>
  <c r="AV1780" i="49" s="1"/>
  <c r="AT1781" i="49" a="1"/>
  <c r="AT1781" i="49" s="1"/>
  <c r="AU1781" i="49" a="1"/>
  <c r="AU1781" i="49"/>
  <c r="AV1781" i="49" a="1"/>
  <c r="AV1781" i="49" s="1"/>
  <c r="AT1782" i="49" a="1"/>
  <c r="AT1782" i="49" s="1"/>
  <c r="AU1782" i="49" a="1"/>
  <c r="AU1782" i="49" s="1"/>
  <c r="AV1782" i="49" a="1"/>
  <c r="AV1782" i="49"/>
  <c r="AT1783" i="49" a="1"/>
  <c r="AT1783" i="49" s="1"/>
  <c r="AU1783" i="49" a="1"/>
  <c r="AU1783" i="49" s="1"/>
  <c r="AV1783" i="49" a="1"/>
  <c r="AV1783" i="49" s="1"/>
  <c r="AT1784" i="49" a="1"/>
  <c r="AT1784" i="49"/>
  <c r="AU1784" i="49" a="1"/>
  <c r="AU1784" i="49" s="1"/>
  <c r="AV1784" i="49" a="1"/>
  <c r="AV1784" i="49" s="1"/>
  <c r="AT1785" i="49" a="1"/>
  <c r="AT1785" i="49" s="1"/>
  <c r="AU1785" i="49" a="1"/>
  <c r="AU1785" i="49"/>
  <c r="AV1785" i="49" a="1"/>
  <c r="AV1785" i="49" s="1"/>
  <c r="AT1786" i="49" a="1"/>
  <c r="AT1786" i="49" s="1"/>
  <c r="AU1786" i="49" a="1"/>
  <c r="AU1786" i="49" s="1"/>
  <c r="AV1786" i="49" a="1"/>
  <c r="AV1786" i="49"/>
  <c r="AT1787" i="49" a="1"/>
  <c r="AT1787" i="49" s="1"/>
  <c r="AU1787" i="49" a="1"/>
  <c r="AU1787" i="49" s="1"/>
  <c r="AV1787" i="49" a="1"/>
  <c r="AV1787" i="49" s="1"/>
  <c r="AT1788" i="49" a="1"/>
  <c r="AT1788" i="49"/>
  <c r="AU1788" i="49" a="1"/>
  <c r="AU1788" i="49" s="1"/>
  <c r="AV1788" i="49" a="1"/>
  <c r="AV1788" i="49" s="1"/>
  <c r="AT1789" i="49" a="1"/>
  <c r="AT1789" i="49" s="1"/>
  <c r="AU1789" i="49" a="1"/>
  <c r="AU1789" i="49"/>
  <c r="AV1789" i="49" a="1"/>
  <c r="AV1789" i="49" s="1"/>
  <c r="AT1790" i="49" a="1"/>
  <c r="AT1790" i="49" s="1"/>
  <c r="AU1790" i="49" a="1"/>
  <c r="AU1790" i="49" s="1"/>
  <c r="AV1790" i="49" a="1"/>
  <c r="AV1790" i="49"/>
  <c r="AT1791" i="49" a="1"/>
  <c r="AT1791" i="49" s="1"/>
  <c r="AU1791" i="49" a="1"/>
  <c r="AU1791" i="49" s="1"/>
  <c r="AV1791" i="49" a="1"/>
  <c r="AV1791" i="49" s="1"/>
  <c r="AT1792" i="49" a="1"/>
  <c r="AT1792" i="49"/>
  <c r="AU1792" i="49" a="1"/>
  <c r="AU1792" i="49" s="1"/>
  <c r="AV1792" i="49" a="1"/>
  <c r="AV1792" i="49" s="1"/>
  <c r="AT1793" i="49" a="1"/>
  <c r="AT1793" i="49" s="1"/>
  <c r="AU1793" i="49" a="1"/>
  <c r="AU1793" i="49"/>
  <c r="AV1793" i="49" a="1"/>
  <c r="AV1793" i="49" s="1"/>
  <c r="AT1794" i="49" a="1"/>
  <c r="AT1794" i="49" s="1"/>
  <c r="AU1794" i="49" a="1"/>
  <c r="AU1794" i="49" s="1"/>
  <c r="AV1794" i="49" a="1"/>
  <c r="AV1794" i="49"/>
  <c r="AT1795" i="49" a="1"/>
  <c r="AT1795" i="49" s="1"/>
  <c r="AU1795" i="49" a="1"/>
  <c r="AU1795" i="49" s="1"/>
  <c r="AV1795" i="49" a="1"/>
  <c r="AV1795" i="49" s="1"/>
  <c r="AT1796" i="49" a="1"/>
  <c r="AT1796" i="49"/>
  <c r="AU1796" i="49" a="1"/>
  <c r="AU1796" i="49" s="1"/>
  <c r="AV1796" i="49" a="1"/>
  <c r="AV1796" i="49" s="1"/>
  <c r="AT1797" i="49" a="1"/>
  <c r="AT1797" i="49" s="1"/>
  <c r="AU1797" i="49" a="1"/>
  <c r="AU1797" i="49"/>
  <c r="AV1797" i="49" a="1"/>
  <c r="AV1797" i="49" s="1"/>
  <c r="AT1798" i="49" a="1"/>
  <c r="AT1798" i="49" s="1"/>
  <c r="AU1798" i="49" a="1"/>
  <c r="AU1798" i="49" s="1"/>
  <c r="AV1798" i="49" a="1"/>
  <c r="AV1798" i="49"/>
  <c r="AT1799" i="49" a="1"/>
  <c r="AT1799" i="49" s="1"/>
  <c r="AU1799" i="49" a="1"/>
  <c r="AU1799" i="49" s="1"/>
  <c r="AV1799" i="49" a="1"/>
  <c r="AV1799" i="49" s="1"/>
  <c r="AT1800" i="49" a="1"/>
  <c r="AT1800" i="49"/>
  <c r="AU1800" i="49" a="1"/>
  <c r="AU1800" i="49" s="1"/>
  <c r="AV1800" i="49" a="1"/>
  <c r="AV1800" i="49" s="1"/>
  <c r="AT1801" i="49" a="1"/>
  <c r="AT1801" i="49" s="1"/>
  <c r="AU1801" i="49" a="1"/>
  <c r="AU1801" i="49"/>
  <c r="AV1801" i="49" a="1"/>
  <c r="AV1801" i="49" s="1"/>
  <c r="AT1802" i="49" a="1"/>
  <c r="AT1802" i="49" s="1"/>
  <c r="AU1802" i="49" a="1"/>
  <c r="AU1802" i="49" s="1"/>
  <c r="AV1802" i="49" a="1"/>
  <c r="AV1802" i="49"/>
  <c r="AT1803" i="49" a="1"/>
  <c r="AT1803" i="49" s="1"/>
  <c r="AU1803" i="49" a="1"/>
  <c r="AU1803" i="49" s="1"/>
  <c r="AV1803" i="49" a="1"/>
  <c r="AV1803" i="49" s="1"/>
  <c r="AT1804" i="49" a="1"/>
  <c r="AT1804" i="49"/>
  <c r="AU1804" i="49" a="1"/>
  <c r="AU1804" i="49" s="1"/>
  <c r="AV1804" i="49" a="1"/>
  <c r="AV1804" i="49" s="1"/>
  <c r="AT1805" i="49" a="1"/>
  <c r="AT1805" i="49" s="1"/>
  <c r="AU1805" i="49" a="1"/>
  <c r="AU1805" i="49"/>
  <c r="AV1805" i="49" a="1"/>
  <c r="AV1805" i="49" s="1"/>
  <c r="AT1806" i="49" a="1"/>
  <c r="AT1806" i="49" s="1"/>
  <c r="AU1806" i="49" a="1"/>
  <c r="AU1806" i="49" s="1"/>
  <c r="AV1806" i="49" a="1"/>
  <c r="AV1806" i="49"/>
  <c r="AT1807" i="49" a="1"/>
  <c r="AT1807" i="49" s="1"/>
  <c r="AU1807" i="49" a="1"/>
  <c r="AU1807" i="49" s="1"/>
  <c r="AV1807" i="49" a="1"/>
  <c r="AV1807" i="49" s="1"/>
  <c r="AT1808" i="49" a="1"/>
  <c r="AT1808" i="49"/>
  <c r="AU1808" i="49" a="1"/>
  <c r="AU1808" i="49" s="1"/>
  <c r="AV1808" i="49" a="1"/>
  <c r="AV1808" i="49" s="1"/>
  <c r="AT1809" i="49" a="1"/>
  <c r="AT1809" i="49" s="1"/>
  <c r="AU1809" i="49" a="1"/>
  <c r="AU1809" i="49"/>
  <c r="AV1809" i="49" a="1"/>
  <c r="AV1809" i="49" s="1"/>
  <c r="AT1810" i="49" a="1"/>
  <c r="AT1810" i="49" s="1"/>
  <c r="AU1810" i="49" a="1"/>
  <c r="AU1810" i="49" s="1"/>
  <c r="AV1810" i="49" a="1"/>
  <c r="AV1810" i="49"/>
  <c r="AT1811" i="49" a="1"/>
  <c r="AT1811" i="49" s="1"/>
  <c r="AU1811" i="49" a="1"/>
  <c r="AU1811" i="49" s="1"/>
  <c r="AV1811" i="49" a="1"/>
  <c r="AV1811" i="49" s="1"/>
  <c r="AT1812" i="49" a="1"/>
  <c r="AT1812" i="49"/>
  <c r="AU1812" i="49" a="1"/>
  <c r="AU1812" i="49" s="1"/>
  <c r="AV1812" i="49" a="1"/>
  <c r="AV1812" i="49" s="1"/>
  <c r="AT1813" i="49" a="1"/>
  <c r="AT1813" i="49" s="1"/>
  <c r="AU1813" i="49" a="1"/>
  <c r="AU1813" i="49"/>
  <c r="AV1813" i="49" a="1"/>
  <c r="AV1813" i="49" s="1"/>
  <c r="AT1814" i="49" a="1"/>
  <c r="AT1814" i="49" s="1"/>
  <c r="AU1814" i="49" a="1"/>
  <c r="AU1814" i="49" s="1"/>
  <c r="AV1814" i="49" a="1"/>
  <c r="AV1814" i="49"/>
  <c r="AT1815" i="49" a="1"/>
  <c r="AT1815" i="49" s="1"/>
  <c r="AU1815" i="49" a="1"/>
  <c r="AU1815" i="49" s="1"/>
  <c r="AV1815" i="49" a="1"/>
  <c r="AV1815" i="49" s="1"/>
  <c r="AT1816" i="49" a="1"/>
  <c r="AT1816" i="49"/>
  <c r="AU1816" i="49" a="1"/>
  <c r="AU1816" i="49" s="1"/>
  <c r="AV1816" i="49" a="1"/>
  <c r="AV1816" i="49" s="1"/>
  <c r="AT1817" i="49" a="1"/>
  <c r="AT1817" i="49" s="1"/>
  <c r="AU1817" i="49" a="1"/>
  <c r="AU1817" i="49"/>
  <c r="AV1817" i="49" a="1"/>
  <c r="AV1817" i="49" s="1"/>
  <c r="AT1778" i="49" a="1"/>
  <c r="AT1778" i="49" s="1"/>
  <c r="AV1778" i="49" a="1"/>
  <c r="AV1778" i="49" s="1"/>
  <c r="AU1778" i="49" a="1"/>
  <c r="AU1778" i="49" s="1"/>
  <c r="AG1817" i="49"/>
  <c r="AG1779" i="49"/>
  <c r="AG1780" i="49"/>
  <c r="AG1781" i="49"/>
  <c r="AG1782" i="49"/>
  <c r="AG1783" i="49"/>
  <c r="AG1784" i="49"/>
  <c r="AG1785" i="49"/>
  <c r="AG1786" i="49"/>
  <c r="AG1787" i="49"/>
  <c r="AG1788" i="49"/>
  <c r="AG1789" i="49"/>
  <c r="AG1790" i="49"/>
  <c r="AG1791" i="49"/>
  <c r="AG1792" i="49"/>
  <c r="AG1793" i="49"/>
  <c r="AG1794" i="49"/>
  <c r="AG1795" i="49"/>
  <c r="AG1796" i="49"/>
  <c r="AG1797" i="49"/>
  <c r="AG1798" i="49"/>
  <c r="AG1799" i="49"/>
  <c r="AG1800" i="49"/>
  <c r="AG1801" i="49"/>
  <c r="AG1802" i="49"/>
  <c r="AG1803" i="49"/>
  <c r="AG1804" i="49"/>
  <c r="AG1805" i="49"/>
  <c r="AG1806" i="49"/>
  <c r="AG1807" i="49"/>
  <c r="AG1808" i="49"/>
  <c r="AG1809" i="49"/>
  <c r="AG1810" i="49"/>
  <c r="AG1811" i="49"/>
  <c r="AG1812" i="49"/>
  <c r="AG1813" i="49"/>
  <c r="AG1814" i="49"/>
  <c r="AG1815" i="49"/>
  <c r="AG1816" i="49"/>
  <c r="AG1778" i="49"/>
  <c r="AF1807" i="49"/>
  <c r="AF1800" i="49"/>
  <c r="AF1794" i="49"/>
  <c r="AF1782" i="49"/>
  <c r="AF1778" i="49"/>
  <c r="AY1817" i="49" a="1"/>
  <c r="AY1817" i="49" s="1"/>
  <c r="AX1817" i="49" a="1"/>
  <c r="AX1817" i="49" s="1"/>
  <c r="AW1817" i="49" a="1"/>
  <c r="AW1817" i="49" s="1"/>
  <c r="AK1817" i="49"/>
  <c r="AJ1817" i="49"/>
  <c r="AI1817" i="49"/>
  <c r="AH1817" i="49"/>
  <c r="AY1816" i="49"/>
  <c r="AY1816" i="49" a="1"/>
  <c r="AX1816" i="49" a="1"/>
  <c r="AX1816" i="49" s="1"/>
  <c r="AW1816" i="49" a="1"/>
  <c r="AW1816" i="49" s="1"/>
  <c r="AK1816" i="49"/>
  <c r="AJ1816" i="49"/>
  <c r="AI1816" i="49"/>
  <c r="AH1816" i="49"/>
  <c r="AY1815" i="49" a="1"/>
  <c r="AY1815" i="49" s="1"/>
  <c r="AX1815" i="49"/>
  <c r="AX1815" i="49" a="1"/>
  <c r="AW1815" i="49" a="1"/>
  <c r="AW1815" i="49" s="1"/>
  <c r="AK1815" i="49"/>
  <c r="AJ1815" i="49"/>
  <c r="AI1815" i="49"/>
  <c r="AH1815" i="49"/>
  <c r="AY1814" i="49" a="1"/>
  <c r="AY1814" i="49" s="1"/>
  <c r="AX1814" i="49" a="1"/>
  <c r="AX1814" i="49" s="1"/>
  <c r="AW1814" i="49"/>
  <c r="AW1814" i="49" a="1"/>
  <c r="AK1814" i="49"/>
  <c r="AJ1814" i="49"/>
  <c r="AI1814" i="49"/>
  <c r="AH1814" i="49"/>
  <c r="AY1813" i="49"/>
  <c r="AY1813" i="49" a="1"/>
  <c r="AX1813" i="49" a="1"/>
  <c r="AX1813" i="49" s="1"/>
  <c r="AW1813" i="49" a="1"/>
  <c r="AW1813" i="49" s="1"/>
  <c r="AK1813" i="49"/>
  <c r="AJ1813" i="49"/>
  <c r="AI1813" i="49"/>
  <c r="AH1813" i="49"/>
  <c r="AY1812" i="49" a="1"/>
  <c r="AY1812" i="49" s="1"/>
  <c r="AX1812" i="49"/>
  <c r="AX1812" i="49" a="1"/>
  <c r="AW1812" i="49" a="1"/>
  <c r="AW1812" i="49" s="1"/>
  <c r="AK1812" i="49"/>
  <c r="AJ1812" i="49"/>
  <c r="AI1812" i="49"/>
  <c r="AH1812" i="49"/>
  <c r="AY1811" i="49" a="1"/>
  <c r="AY1811" i="49" s="1"/>
  <c r="AX1811" i="49" a="1"/>
  <c r="AX1811" i="49" s="1"/>
  <c r="AW1811" i="49" a="1"/>
  <c r="AW1811" i="49" s="1"/>
  <c r="AK1811" i="49"/>
  <c r="AJ1811" i="49"/>
  <c r="AI1811" i="49"/>
  <c r="AH1811" i="49"/>
  <c r="AY1810" i="49"/>
  <c r="AY1810" i="49" a="1"/>
  <c r="AX1810" i="49"/>
  <c r="AX1810" i="49" a="1"/>
  <c r="AW1810" i="49" a="1"/>
  <c r="AW1810" i="49" s="1"/>
  <c r="AK1810" i="49"/>
  <c r="AJ1810" i="49"/>
  <c r="AI1810" i="49"/>
  <c r="AH1810" i="49"/>
  <c r="AY1809" i="49" a="1"/>
  <c r="AY1809" i="49" s="1"/>
  <c r="AX1809" i="49" a="1"/>
  <c r="AX1809" i="49" s="1"/>
  <c r="AW1809" i="49"/>
  <c r="AW1809" i="49" a="1"/>
  <c r="AK1809" i="49"/>
  <c r="AJ1809" i="49"/>
  <c r="AI1809" i="49"/>
  <c r="AH1809" i="49"/>
  <c r="AY1808" i="49"/>
  <c r="AY1808" i="49" a="1"/>
  <c r="AX1808" i="49"/>
  <c r="AX1808" i="49" a="1"/>
  <c r="AW1808" i="49" a="1"/>
  <c r="AW1808" i="49" s="1"/>
  <c r="AK1808" i="49"/>
  <c r="AJ1808" i="49"/>
  <c r="AI1808" i="49"/>
  <c r="AH1808" i="49"/>
  <c r="AY1807" i="49" a="1"/>
  <c r="AY1807" i="49" s="1"/>
  <c r="AX1807" i="49"/>
  <c r="AX1807" i="49" a="1"/>
  <c r="AW1807" i="49" a="1"/>
  <c r="AW1807" i="49" s="1"/>
  <c r="AK1807" i="49"/>
  <c r="AJ1807" i="49"/>
  <c r="AI1807" i="49"/>
  <c r="AH1807" i="49"/>
  <c r="AY1806" i="49" a="1"/>
  <c r="AY1806" i="49" s="1"/>
  <c r="AX1806" i="49" a="1"/>
  <c r="AX1806" i="49" s="1"/>
  <c r="AW1806" i="49" a="1"/>
  <c r="AW1806" i="49" s="1"/>
  <c r="AK1806" i="49"/>
  <c r="AJ1806" i="49"/>
  <c r="AI1806" i="49"/>
  <c r="AH1806" i="49"/>
  <c r="AY1805" i="49" a="1"/>
  <c r="AY1805" i="49" s="1"/>
  <c r="AX1805" i="49"/>
  <c r="AX1805" i="49" a="1"/>
  <c r="AW1805" i="49" a="1"/>
  <c r="AW1805" i="49" s="1"/>
  <c r="AK1805" i="49"/>
  <c r="AJ1805" i="49"/>
  <c r="AI1805" i="49"/>
  <c r="AH1805" i="49"/>
  <c r="AY1804" i="49" a="1"/>
  <c r="AY1804" i="49" s="1"/>
  <c r="AX1804" i="49" a="1"/>
  <c r="AX1804" i="49" s="1"/>
  <c r="AW1804" i="49" a="1"/>
  <c r="AW1804" i="49" s="1"/>
  <c r="AK1804" i="49"/>
  <c r="AJ1804" i="49"/>
  <c r="AI1804" i="49"/>
  <c r="AH1804" i="49"/>
  <c r="AY1803" i="49"/>
  <c r="AY1803" i="49" a="1"/>
  <c r="AX1803" i="49" a="1"/>
  <c r="AX1803" i="49" s="1"/>
  <c r="AW1803" i="49"/>
  <c r="AW1803" i="49" a="1"/>
  <c r="AK1803" i="49"/>
  <c r="AJ1803" i="49"/>
  <c r="AI1803" i="49"/>
  <c r="AH1803" i="49"/>
  <c r="AY1802" i="49" a="1"/>
  <c r="AY1802" i="49" s="1"/>
  <c r="AX1802" i="49" a="1"/>
  <c r="AX1802" i="49" s="1"/>
  <c r="AW1802" i="49" a="1"/>
  <c r="AW1802" i="49" s="1"/>
  <c r="AK1802" i="49"/>
  <c r="AJ1802" i="49"/>
  <c r="AI1802" i="49"/>
  <c r="AH1802" i="49"/>
  <c r="AY1801" i="49" a="1"/>
  <c r="AY1801" i="49" s="1"/>
  <c r="AX1801" i="49"/>
  <c r="AX1801" i="49" a="1"/>
  <c r="AW1801" i="49" a="1"/>
  <c r="AW1801" i="49" s="1"/>
  <c r="AK1801" i="49"/>
  <c r="AJ1801" i="49"/>
  <c r="AI1801" i="49"/>
  <c r="AH1801" i="49"/>
  <c r="AY1800" i="49" a="1"/>
  <c r="AY1800" i="49" s="1"/>
  <c r="AX1800" i="49"/>
  <c r="AX1800" i="49" a="1"/>
  <c r="AW1800" i="49" a="1"/>
  <c r="AW1800" i="49" s="1"/>
  <c r="AK1800" i="49"/>
  <c r="AJ1800" i="49"/>
  <c r="AI1800" i="49"/>
  <c r="AH1800" i="49"/>
  <c r="AY1799" i="49" a="1"/>
  <c r="AY1799" i="49" s="1"/>
  <c r="AX1799" i="49" a="1"/>
  <c r="AX1799" i="49" s="1"/>
  <c r="AW1799" i="49" a="1"/>
  <c r="AW1799" i="49" s="1"/>
  <c r="AK1799" i="49"/>
  <c r="AJ1799" i="49"/>
  <c r="AI1799" i="49"/>
  <c r="AH1799" i="49"/>
  <c r="AY1798" i="49"/>
  <c r="AY1798" i="49" a="1"/>
  <c r="AX1798" i="49"/>
  <c r="AX1798" i="49" a="1"/>
  <c r="AW1798" i="49" a="1"/>
  <c r="AW1798" i="49" s="1"/>
  <c r="AK1798" i="49"/>
  <c r="AJ1798" i="49"/>
  <c r="AI1798" i="49"/>
  <c r="AH1798" i="49"/>
  <c r="AY1797" i="49" a="1"/>
  <c r="AY1797" i="49" s="1"/>
  <c r="AX1797" i="49" a="1"/>
  <c r="AX1797" i="49" s="1"/>
  <c r="AW1797" i="49" a="1"/>
  <c r="AW1797" i="49" s="1"/>
  <c r="AK1797" i="49"/>
  <c r="AJ1797" i="49"/>
  <c r="AI1797" i="49"/>
  <c r="AH1797" i="49"/>
  <c r="AY1796" i="49"/>
  <c r="AY1796" i="49" a="1"/>
  <c r="AX1796" i="49"/>
  <c r="AX1796" i="49" a="1"/>
  <c r="AW1796" i="49"/>
  <c r="AW1796" i="49" a="1"/>
  <c r="AK1796" i="49"/>
  <c r="AJ1796" i="49"/>
  <c r="AI1796" i="49"/>
  <c r="AH1796" i="49"/>
  <c r="AY1795" i="49" a="1"/>
  <c r="AY1795" i="49" s="1"/>
  <c r="AX1795" i="49" a="1"/>
  <c r="AX1795" i="49" s="1"/>
  <c r="AW1795" i="49" a="1"/>
  <c r="AW1795" i="49" s="1"/>
  <c r="AK1795" i="49"/>
  <c r="AJ1795" i="49"/>
  <c r="AI1795" i="49"/>
  <c r="AH1795" i="49"/>
  <c r="AY1794" i="49"/>
  <c r="AY1794" i="49" a="1"/>
  <c r="AX1794" i="49"/>
  <c r="AX1794" i="49" a="1"/>
  <c r="AW1794" i="49" a="1"/>
  <c r="AW1794" i="49" s="1"/>
  <c r="AK1794" i="49"/>
  <c r="AJ1794" i="49"/>
  <c r="AI1794" i="49"/>
  <c r="AH1794" i="49"/>
  <c r="AY1793" i="49"/>
  <c r="AY1793" i="49" a="1"/>
  <c r="AX1793" i="49" a="1"/>
  <c r="AX1793" i="49" s="1"/>
  <c r="AW1793" i="49"/>
  <c r="AW1793" i="49" a="1"/>
  <c r="AK1793" i="49"/>
  <c r="AJ1793" i="49"/>
  <c r="AI1793" i="49"/>
  <c r="AH1793" i="49"/>
  <c r="AY1792" i="49"/>
  <c r="AY1792" i="49" a="1"/>
  <c r="AX1792" i="49" a="1"/>
  <c r="AX1792" i="49" s="1"/>
  <c r="AW1792" i="49" a="1"/>
  <c r="AW1792" i="49" s="1"/>
  <c r="AK1792" i="49"/>
  <c r="AJ1792" i="49"/>
  <c r="AI1792" i="49"/>
  <c r="AH1792" i="49"/>
  <c r="AY1791" i="49" a="1"/>
  <c r="AY1791" i="49" s="1"/>
  <c r="AX1791" i="49"/>
  <c r="AX1791" i="49" a="1"/>
  <c r="AW1791" i="49" a="1"/>
  <c r="AW1791" i="49" s="1"/>
  <c r="AK1791" i="49"/>
  <c r="AJ1791" i="49"/>
  <c r="AI1791" i="49"/>
  <c r="AH1791" i="49"/>
  <c r="AY1790" i="49" a="1"/>
  <c r="AY1790" i="49" s="1"/>
  <c r="AX1790" i="49" a="1"/>
  <c r="AX1790" i="49" s="1"/>
  <c r="AW1790" i="49" a="1"/>
  <c r="AW1790" i="49" s="1"/>
  <c r="AK1790" i="49"/>
  <c r="AJ1790" i="49"/>
  <c r="AI1790" i="49"/>
  <c r="AH1790" i="49"/>
  <c r="AY1789" i="49"/>
  <c r="AY1789" i="49" a="1"/>
  <c r="AX1789" i="49" a="1"/>
  <c r="AX1789" i="49" s="1"/>
  <c r="AW1789" i="49"/>
  <c r="AW1789" i="49" a="1"/>
  <c r="AK1789" i="49"/>
  <c r="AJ1789" i="49"/>
  <c r="AI1789" i="49"/>
  <c r="AH1789" i="49"/>
  <c r="AY1788" i="49" a="1"/>
  <c r="AY1788" i="49" s="1"/>
  <c r="AX1788" i="49" a="1"/>
  <c r="AX1788" i="49" s="1"/>
  <c r="AW1788" i="49" a="1"/>
  <c r="AW1788" i="49" s="1"/>
  <c r="AK1788" i="49"/>
  <c r="AJ1788" i="49"/>
  <c r="AI1788" i="49"/>
  <c r="AH1788" i="49"/>
  <c r="AY1787" i="49" a="1"/>
  <c r="AY1787" i="49" s="1"/>
  <c r="AX1787" i="49"/>
  <c r="AX1787" i="49" a="1"/>
  <c r="AW1787" i="49" a="1"/>
  <c r="AW1787" i="49" s="1"/>
  <c r="AK1787" i="49"/>
  <c r="AJ1787" i="49"/>
  <c r="AI1787" i="49"/>
  <c r="AH1787" i="49"/>
  <c r="AY1786" i="49" a="1"/>
  <c r="AY1786" i="49" s="1"/>
  <c r="AX1786" i="49"/>
  <c r="AX1786" i="49" a="1"/>
  <c r="AW1786" i="49" a="1"/>
  <c r="AW1786" i="49" s="1"/>
  <c r="AK1786" i="49"/>
  <c r="AJ1786" i="49"/>
  <c r="AI1786" i="49"/>
  <c r="AH1786" i="49"/>
  <c r="AY1785" i="49"/>
  <c r="AY1785" i="49" a="1"/>
  <c r="AX1785" i="49" a="1"/>
  <c r="AX1785" i="49" s="1"/>
  <c r="AW1785" i="49"/>
  <c r="AW1785" i="49" a="1"/>
  <c r="AK1785" i="49"/>
  <c r="AJ1785" i="49"/>
  <c r="AI1785" i="49"/>
  <c r="AH1785" i="49"/>
  <c r="AY1784" i="49"/>
  <c r="AY1784" i="49" a="1"/>
  <c r="AX1784" i="49" a="1"/>
  <c r="AX1784" i="49" s="1"/>
  <c r="AW1784" i="49"/>
  <c r="AW1784" i="49" a="1"/>
  <c r="AK1784" i="49"/>
  <c r="AJ1784" i="49"/>
  <c r="AI1784" i="49"/>
  <c r="AH1784" i="49"/>
  <c r="AY1783" i="49" a="1"/>
  <c r="AY1783" i="49" s="1"/>
  <c r="AX1783" i="49"/>
  <c r="AX1783" i="49" a="1"/>
  <c r="AW1783" i="49" a="1"/>
  <c r="AW1783" i="49" s="1"/>
  <c r="AK1783" i="49"/>
  <c r="AJ1783" i="49"/>
  <c r="AI1783" i="49"/>
  <c r="AH1783" i="49"/>
  <c r="AY1782" i="49"/>
  <c r="AY1782" i="49" a="1"/>
  <c r="AX1782" i="49" a="1"/>
  <c r="AX1782" i="49" s="1"/>
  <c r="AW1782" i="49"/>
  <c r="AW1782" i="49" a="1"/>
  <c r="AK1782" i="49"/>
  <c r="AJ1782" i="49"/>
  <c r="AI1782" i="49"/>
  <c r="AH1782" i="49"/>
  <c r="AY1781" i="49" a="1"/>
  <c r="AY1781" i="49" s="1"/>
  <c r="AX1781" i="49"/>
  <c r="AX1781" i="49" a="1"/>
  <c r="AW1781" i="49" a="1"/>
  <c r="AW1781" i="49" s="1"/>
  <c r="AK1781" i="49"/>
  <c r="AJ1781" i="49"/>
  <c r="AI1781" i="49"/>
  <c r="AH1781" i="49"/>
  <c r="AY1780" i="49"/>
  <c r="AY1780" i="49" a="1"/>
  <c r="AX1780" i="49" a="1"/>
  <c r="AX1780" i="49" s="1"/>
  <c r="AW1780" i="49"/>
  <c r="AW1780" i="49" a="1"/>
  <c r="AN1780" i="49"/>
  <c r="AM1780" i="49"/>
  <c r="AL1780" i="49"/>
  <c r="AK1780" i="49"/>
  <c r="AJ1780" i="49"/>
  <c r="AI1780" i="49"/>
  <c r="AH1780" i="49"/>
  <c r="AY1779" i="49"/>
  <c r="AY1779" i="49" a="1"/>
  <c r="AX1779" i="49" a="1"/>
  <c r="AX1779" i="49" s="1"/>
  <c r="AW1779" i="49" a="1"/>
  <c r="AW1779" i="49" s="1"/>
  <c r="AR1779" i="49"/>
  <c r="AQ1779" i="49"/>
  <c r="AP1779" i="49"/>
  <c r="AS1779" i="49" s="1"/>
  <c r="AN1779" i="49"/>
  <c r="AM1779" i="49"/>
  <c r="AL1779" i="49"/>
  <c r="AK1779" i="49"/>
  <c r="AJ1779" i="49"/>
  <c r="AI1779" i="49"/>
  <c r="AH1779" i="49"/>
  <c r="AY1778" i="49"/>
  <c r="AY1778" i="49" a="1"/>
  <c r="AX1778" i="49" a="1"/>
  <c r="AX1778" i="49" s="1"/>
  <c r="AW1778" i="49" a="1"/>
  <c r="AW1778" i="49" s="1"/>
  <c r="AY1818" i="49" s="1"/>
  <c r="AR1778" i="49"/>
  <c r="AQ1778" i="49"/>
  <c r="AP1778" i="49"/>
  <c r="AN1778" i="49"/>
  <c r="AN1781" i="49" s="1"/>
  <c r="AM1778" i="49"/>
  <c r="AL1778" i="49"/>
  <c r="AK1778" i="49"/>
  <c r="AJ1778" i="49"/>
  <c r="AI1778" i="49"/>
  <c r="AH1778" i="49"/>
  <c r="AR1777" i="49"/>
  <c r="AQ1777" i="49"/>
  <c r="AP1777" i="49"/>
  <c r="B1769" i="49"/>
  <c r="B1768" i="49"/>
  <c r="B1767" i="49"/>
  <c r="B1766" i="49"/>
  <c r="B1765" i="49"/>
  <c r="B1764" i="49"/>
  <c r="AG1748" i="49"/>
  <c r="AG1743" i="49"/>
  <c r="AG1744" i="49"/>
  <c r="AG1745" i="49"/>
  <c r="AG1746" i="49"/>
  <c r="AG1747" i="49"/>
  <c r="AG1742" i="49"/>
  <c r="AF1742" i="49"/>
  <c r="BN1760" i="49" a="1"/>
  <c r="BN1760" i="49" s="1"/>
  <c r="BM1760" i="49" a="1"/>
  <c r="BM1760" i="49" s="1"/>
  <c r="BL1760" i="49" a="1"/>
  <c r="BL1760" i="49" s="1"/>
  <c r="BK1760" i="49" a="1"/>
  <c r="BK1760" i="49" s="1"/>
  <c r="BJ1760" i="49" a="1"/>
  <c r="BJ1760" i="49" s="1"/>
  <c r="BI1760" i="49" a="1"/>
  <c r="BI1760" i="49" s="1"/>
  <c r="BH1760" i="49" a="1"/>
  <c r="BH1760" i="49" s="1"/>
  <c r="BG1760" i="49" a="1"/>
  <c r="BG1760" i="49" s="1"/>
  <c r="BF1760" i="49" a="1"/>
  <c r="BF1760" i="49" s="1"/>
  <c r="BE1760" i="49" a="1"/>
  <c r="BE1760" i="49" s="1"/>
  <c r="BD1760" i="49" a="1"/>
  <c r="BD1760" i="49" s="1"/>
  <c r="BC1760" i="49" a="1"/>
  <c r="BC1760" i="49" s="1"/>
  <c r="BB1760" i="49" a="1"/>
  <c r="BB1760" i="49" s="1"/>
  <c r="BA1760" i="49" a="1"/>
  <c r="BA1760" i="49" s="1"/>
  <c r="AZ1760" i="49" a="1"/>
  <c r="AZ1760" i="49" s="1"/>
  <c r="AY1760" i="49"/>
  <c r="AX1760" i="49"/>
  <c r="AW1760" i="49"/>
  <c r="AV1760" i="49"/>
  <c r="AU1760" i="49"/>
  <c r="AT1760" i="49"/>
  <c r="AS1760" i="49"/>
  <c r="AR1760" i="49"/>
  <c r="AQ1760" i="49"/>
  <c r="AP1760" i="49"/>
  <c r="AO1760" i="49"/>
  <c r="AN1760" i="49"/>
  <c r="AM1760" i="49"/>
  <c r="AL1760" i="49"/>
  <c r="AK1760" i="49"/>
  <c r="BN1759" i="49"/>
  <c r="BN1759" i="49" a="1"/>
  <c r="BM1759" i="49"/>
  <c r="BM1759" i="49" a="1"/>
  <c r="BL1759" i="49" a="1"/>
  <c r="BL1759" i="49" s="1"/>
  <c r="BK1759" i="49" a="1"/>
  <c r="BK1759" i="49" s="1"/>
  <c r="BJ1759" i="49"/>
  <c r="BJ1759" i="49" a="1"/>
  <c r="BI1759" i="49" a="1"/>
  <c r="BI1759" i="49" s="1"/>
  <c r="BH1759" i="49" a="1"/>
  <c r="BH1759" i="49" s="1"/>
  <c r="BG1759" i="49" a="1"/>
  <c r="BG1759" i="49" s="1"/>
  <c r="BF1759" i="49"/>
  <c r="BF1759" i="49" a="1"/>
  <c r="BE1759" i="49" a="1"/>
  <c r="BE1759" i="49" s="1"/>
  <c r="BD1759" i="49" a="1"/>
  <c r="BD1759" i="49" s="1"/>
  <c r="BC1759" i="49" a="1"/>
  <c r="BC1759" i="49" s="1"/>
  <c r="BB1759" i="49"/>
  <c r="BB1759" i="49" a="1"/>
  <c r="BA1759" i="49" a="1"/>
  <c r="BA1759" i="49" s="1"/>
  <c r="AZ1759" i="49" a="1"/>
  <c r="AZ1759" i="49" s="1"/>
  <c r="AY1759" i="49"/>
  <c r="AX1759" i="49"/>
  <c r="AW1759" i="49"/>
  <c r="AV1759" i="49"/>
  <c r="AU1759" i="49"/>
  <c r="AT1759" i="49"/>
  <c r="AS1759" i="49"/>
  <c r="AR1759" i="49"/>
  <c r="AQ1759" i="49"/>
  <c r="AP1759" i="49"/>
  <c r="AO1759" i="49"/>
  <c r="AN1759" i="49"/>
  <c r="AM1759" i="49"/>
  <c r="AL1759" i="49"/>
  <c r="AK1759" i="49"/>
  <c r="BN1758" i="49" a="1"/>
  <c r="BN1758" i="49" s="1"/>
  <c r="BM1758" i="49" a="1"/>
  <c r="BM1758" i="49" s="1"/>
  <c r="BL1758" i="49"/>
  <c r="BL1758" i="49" a="1"/>
  <c r="BK1758" i="49"/>
  <c r="BK1758" i="49" a="1"/>
  <c r="BJ1758" i="49" a="1"/>
  <c r="BJ1758" i="49" s="1"/>
  <c r="BI1758" i="49" a="1"/>
  <c r="BI1758" i="49" s="1"/>
  <c r="BH1758" i="49" a="1"/>
  <c r="BH1758" i="49" s="1"/>
  <c r="BG1758" i="49"/>
  <c r="BG1758" i="49" a="1"/>
  <c r="BF1758" i="49" a="1"/>
  <c r="BF1758" i="49" s="1"/>
  <c r="BE1758" i="49" a="1"/>
  <c r="BE1758" i="49" s="1"/>
  <c r="BD1758" i="49" a="1"/>
  <c r="BD1758" i="49" s="1"/>
  <c r="BC1758" i="49"/>
  <c r="BC1758" i="49" a="1"/>
  <c r="BB1758" i="49" a="1"/>
  <c r="BB1758" i="49" s="1"/>
  <c r="BA1758" i="49" a="1"/>
  <c r="BA1758" i="49" s="1"/>
  <c r="AZ1758" i="49" a="1"/>
  <c r="AZ1758" i="49" s="1"/>
  <c r="AY1758" i="49"/>
  <c r="AX1758" i="49"/>
  <c r="AW1758" i="49"/>
  <c r="AV1758" i="49"/>
  <c r="AU1758" i="49"/>
  <c r="AT1758" i="49"/>
  <c r="AS1758" i="49"/>
  <c r="AR1758" i="49"/>
  <c r="AQ1758" i="49"/>
  <c r="AP1758" i="49"/>
  <c r="AO1758" i="49"/>
  <c r="AN1758" i="49"/>
  <c r="AM1758" i="49"/>
  <c r="AL1758" i="49"/>
  <c r="AK1758" i="49"/>
  <c r="BN1757" i="49" a="1"/>
  <c r="BN1757" i="49" s="1"/>
  <c r="BM1757" i="49" a="1"/>
  <c r="BM1757" i="49" s="1"/>
  <c r="BL1757" i="49" a="1"/>
  <c r="BL1757" i="49" s="1"/>
  <c r="BK1757" i="49"/>
  <c r="BK1757" i="49" a="1"/>
  <c r="BJ1757" i="49" a="1"/>
  <c r="BJ1757" i="49" s="1"/>
  <c r="BI1757" i="49" a="1"/>
  <c r="BI1757" i="49" s="1"/>
  <c r="BH1757" i="49" a="1"/>
  <c r="BH1757" i="49" s="1"/>
  <c r="BG1757" i="49"/>
  <c r="BG1757" i="49" a="1"/>
  <c r="BF1757" i="49" a="1"/>
  <c r="BF1757" i="49" s="1"/>
  <c r="BE1757" i="49" a="1"/>
  <c r="BE1757" i="49" s="1"/>
  <c r="BD1757" i="49" a="1"/>
  <c r="BD1757" i="49" s="1"/>
  <c r="BC1757" i="49"/>
  <c r="BC1757" i="49" a="1"/>
  <c r="BB1757" i="49" a="1"/>
  <c r="BB1757" i="49" s="1"/>
  <c r="BA1757" i="49" a="1"/>
  <c r="BA1757" i="49" s="1"/>
  <c r="AZ1757" i="49" a="1"/>
  <c r="AZ1757" i="49" s="1"/>
  <c r="AY1757" i="49"/>
  <c r="AX1757" i="49"/>
  <c r="AW1757" i="49"/>
  <c r="AV1757" i="49"/>
  <c r="AU1757" i="49"/>
  <c r="AT1757" i="49"/>
  <c r="AS1757" i="49"/>
  <c r="AR1757" i="49"/>
  <c r="AQ1757" i="49"/>
  <c r="AP1757" i="49"/>
  <c r="AO1757" i="49"/>
  <c r="AN1757" i="49"/>
  <c r="AM1757" i="49"/>
  <c r="AL1757" i="49"/>
  <c r="AK1757" i="49"/>
  <c r="BN1756" i="49" a="1"/>
  <c r="BN1756" i="49" s="1"/>
  <c r="BM1756" i="49" a="1"/>
  <c r="BM1756" i="49" s="1"/>
  <c r="BL1756" i="49"/>
  <c r="BL1756" i="49" a="1"/>
  <c r="BK1756" i="49" a="1"/>
  <c r="BK1756" i="49" s="1"/>
  <c r="BJ1756" i="49" a="1"/>
  <c r="BJ1756" i="49" s="1"/>
  <c r="BI1756" i="49" a="1"/>
  <c r="BI1756" i="49" s="1"/>
  <c r="BH1756" i="49"/>
  <c r="BH1756" i="49" a="1"/>
  <c r="BG1756" i="49" a="1"/>
  <c r="BG1756" i="49" s="1"/>
  <c r="BF1756" i="49" a="1"/>
  <c r="BF1756" i="49" s="1"/>
  <c r="BE1756" i="49" a="1"/>
  <c r="BE1756" i="49" s="1"/>
  <c r="BD1756" i="49"/>
  <c r="BD1756" i="49" a="1"/>
  <c r="BC1756" i="49" a="1"/>
  <c r="BC1756" i="49" s="1"/>
  <c r="BB1756" i="49" a="1"/>
  <c r="BB1756" i="49" s="1"/>
  <c r="BA1756" i="49" a="1"/>
  <c r="BA1756" i="49" s="1"/>
  <c r="AZ1756" i="49"/>
  <c r="AZ1756" i="49" a="1"/>
  <c r="AY1756" i="49"/>
  <c r="AX1756" i="49"/>
  <c r="AW1756" i="49"/>
  <c r="AV1756" i="49"/>
  <c r="AU1756" i="49"/>
  <c r="AT1756" i="49"/>
  <c r="AS1756" i="49"/>
  <c r="AR1756" i="49"/>
  <c r="AQ1756" i="49"/>
  <c r="AP1756" i="49"/>
  <c r="AO1756" i="49"/>
  <c r="AN1756" i="49"/>
  <c r="AN1761" i="49" s="1"/>
  <c r="AM1756" i="49"/>
  <c r="AL1756" i="49"/>
  <c r="AK1756" i="49"/>
  <c r="BN1755" i="49" a="1"/>
  <c r="BN1755" i="49" s="1"/>
  <c r="BM1755" i="49" a="1"/>
  <c r="BM1755" i="49" s="1"/>
  <c r="BL1755" i="49"/>
  <c r="BL1755" i="49" a="1"/>
  <c r="BK1755" i="49" a="1"/>
  <c r="BK1755" i="49" s="1"/>
  <c r="BJ1755" i="49" a="1"/>
  <c r="BJ1755" i="49" s="1"/>
  <c r="BI1755" i="49" a="1"/>
  <c r="BI1755" i="49" s="1"/>
  <c r="BH1755" i="49"/>
  <c r="BH1755" i="49" a="1"/>
  <c r="BG1755" i="49" a="1"/>
  <c r="BG1755" i="49" s="1"/>
  <c r="BF1755" i="49" a="1"/>
  <c r="BF1755" i="49" s="1"/>
  <c r="BE1755" i="49" a="1"/>
  <c r="BE1755" i="49" s="1"/>
  <c r="BD1755" i="49"/>
  <c r="BD1755" i="49" a="1"/>
  <c r="BC1755" i="49" a="1"/>
  <c r="BC1755" i="49" s="1"/>
  <c r="BB1755" i="49" a="1"/>
  <c r="BB1755" i="49" s="1"/>
  <c r="BA1755" i="49" a="1"/>
  <c r="BA1755" i="49" s="1"/>
  <c r="AZ1755" i="49"/>
  <c r="AZ1755" i="49" a="1"/>
  <c r="AY1755" i="49"/>
  <c r="AX1755" i="49"/>
  <c r="AW1755" i="49"/>
  <c r="AV1755" i="49"/>
  <c r="AU1755" i="49"/>
  <c r="AT1755" i="49"/>
  <c r="AS1755" i="49"/>
  <c r="AR1755" i="49"/>
  <c r="AQ1755" i="49"/>
  <c r="AP1755" i="49"/>
  <c r="AO1755" i="49"/>
  <c r="AN1755" i="49"/>
  <c r="AM1755" i="49"/>
  <c r="AL1755" i="49"/>
  <c r="AK1755" i="49"/>
  <c r="BN1754" i="49" a="1"/>
  <c r="BN1754" i="49" s="1"/>
  <c r="BM1754" i="49"/>
  <c r="BM1754" i="49" a="1"/>
  <c r="BL1754" i="49" a="1"/>
  <c r="BL1754" i="49" s="1"/>
  <c r="BK1754" i="49" a="1"/>
  <c r="BK1754" i="49" s="1"/>
  <c r="BJ1754" i="49" a="1"/>
  <c r="BJ1754" i="49" s="1"/>
  <c r="BI1754" i="49"/>
  <c r="BI1754" i="49" a="1"/>
  <c r="BH1754" i="49" a="1"/>
  <c r="BH1754" i="49" s="1"/>
  <c r="BG1754" i="49" a="1"/>
  <c r="BG1754" i="49" s="1"/>
  <c r="BF1754" i="49" a="1"/>
  <c r="BF1754" i="49" s="1"/>
  <c r="BE1754" i="49"/>
  <c r="BE1754" i="49" a="1"/>
  <c r="BD1754" i="49" a="1"/>
  <c r="BD1754" i="49" s="1"/>
  <c r="BC1754" i="49" a="1"/>
  <c r="BC1754" i="49" s="1"/>
  <c r="BB1754" i="49" a="1"/>
  <c r="BB1754" i="49" s="1"/>
  <c r="BA1754" i="49"/>
  <c r="BA1754" i="49" a="1"/>
  <c r="AZ1754" i="49" a="1"/>
  <c r="AZ1754" i="49" s="1"/>
  <c r="AY1754" i="49"/>
  <c r="AY1761" i="49" s="1"/>
  <c r="AX1754" i="49"/>
  <c r="AW1754" i="49"/>
  <c r="AW1761" i="49" s="1"/>
  <c r="AV1754" i="49"/>
  <c r="AV1761" i="49" s="1"/>
  <c r="AU1754" i="49"/>
  <c r="AT1754" i="49"/>
  <c r="AT1761" i="49" s="1"/>
  <c r="AS1754" i="49"/>
  <c r="AS1761" i="49" s="1"/>
  <c r="AR1754" i="49"/>
  <c r="AQ1754" i="49"/>
  <c r="AQ1761" i="49" s="1"/>
  <c r="AP1754" i="49"/>
  <c r="AP1761" i="49" s="1"/>
  <c r="AO1754" i="49"/>
  <c r="AN1754" i="49"/>
  <c r="AM1754" i="49"/>
  <c r="AM1761" i="49" s="1"/>
  <c r="AL1754" i="49"/>
  <c r="AK1754" i="49"/>
  <c r="AK1761" i="49" s="1"/>
  <c r="BN1748" i="49" a="1"/>
  <c r="BN1748" i="49" s="1"/>
  <c r="BM1748" i="49"/>
  <c r="BM1748" i="49" a="1"/>
  <c r="BL1748" i="49" a="1"/>
  <c r="BL1748" i="49" s="1"/>
  <c r="BK1748" i="49" a="1"/>
  <c r="BK1748" i="49" s="1"/>
  <c r="BJ1748" i="49" a="1"/>
  <c r="BJ1748" i="49" s="1"/>
  <c r="BI1748" i="49"/>
  <c r="BI1748" i="49" a="1"/>
  <c r="BH1748" i="49" a="1"/>
  <c r="BH1748" i="49" s="1"/>
  <c r="BG1748" i="49" a="1"/>
  <c r="BG1748" i="49" s="1"/>
  <c r="BF1748" i="49" a="1"/>
  <c r="BF1748" i="49" s="1"/>
  <c r="BE1748" i="49"/>
  <c r="BE1748" i="49" a="1"/>
  <c r="BD1748" i="49" a="1"/>
  <c r="BD1748" i="49" s="1"/>
  <c r="BC1748" i="49" a="1"/>
  <c r="BC1748" i="49" s="1"/>
  <c r="BB1748" i="49" a="1"/>
  <c r="BB1748" i="49" s="1"/>
  <c r="BA1748" i="49"/>
  <c r="BA1748" i="49" a="1"/>
  <c r="AZ1748" i="49" a="1"/>
  <c r="AZ1748" i="49" s="1"/>
  <c r="AY1748" i="49"/>
  <c r="AX1748" i="49"/>
  <c r="AW1748" i="49"/>
  <c r="AV1748" i="49"/>
  <c r="AU1748" i="49"/>
  <c r="AT1748" i="49"/>
  <c r="AS1748" i="49"/>
  <c r="AR1748" i="49"/>
  <c r="AQ1748" i="49"/>
  <c r="AP1748" i="49"/>
  <c r="AO1748" i="49"/>
  <c r="AN1748" i="49"/>
  <c r="AM1748" i="49"/>
  <c r="AL1748" i="49"/>
  <c r="AK1748" i="49"/>
  <c r="AH1748" i="49"/>
  <c r="BN1747" i="49"/>
  <c r="BN1747" i="49" a="1"/>
  <c r="BM1747" i="49"/>
  <c r="BM1747" i="49" a="1"/>
  <c r="BL1747" i="49"/>
  <c r="BL1747" i="49" a="1"/>
  <c r="BK1747" i="49" a="1"/>
  <c r="BK1747" i="49" s="1"/>
  <c r="BJ1747" i="49"/>
  <c r="BJ1747" i="49" a="1"/>
  <c r="BI1747" i="49"/>
  <c r="BI1747" i="49" a="1"/>
  <c r="BH1747" i="49"/>
  <c r="BH1747" i="49" a="1"/>
  <c r="BG1747" i="49" a="1"/>
  <c r="BG1747" i="49" s="1"/>
  <c r="BF1747" i="49"/>
  <c r="BF1747" i="49" a="1"/>
  <c r="BE1747" i="49"/>
  <c r="BE1747" i="49" a="1"/>
  <c r="BD1747" i="49" a="1"/>
  <c r="BD1747" i="49" s="1"/>
  <c r="BC1747" i="49" a="1"/>
  <c r="BC1747" i="49" s="1"/>
  <c r="BB1747" i="49"/>
  <c r="BB1747" i="49" a="1"/>
  <c r="BA1747" i="49"/>
  <c r="BA1747" i="49" a="1"/>
  <c r="AZ1747" i="49" a="1"/>
  <c r="AZ1747" i="49" s="1"/>
  <c r="AY1747" i="49"/>
  <c r="AX1747" i="49"/>
  <c r="AW1747" i="49"/>
  <c r="AV1747" i="49"/>
  <c r="AU1747" i="49"/>
  <c r="AT1747" i="49"/>
  <c r="AS1747" i="49"/>
  <c r="AR1747" i="49"/>
  <c r="AQ1747" i="49"/>
  <c r="AP1747" i="49"/>
  <c r="AO1747" i="49"/>
  <c r="AN1747" i="49"/>
  <c r="AM1747" i="49"/>
  <c r="AL1747" i="49"/>
  <c r="AK1747" i="49"/>
  <c r="AH1747" i="49"/>
  <c r="BN1746" i="49" a="1"/>
  <c r="BN1746" i="49" s="1"/>
  <c r="BM1746" i="49" a="1"/>
  <c r="BM1746" i="49" s="1"/>
  <c r="BL1746" i="49"/>
  <c r="BL1746" i="49" a="1"/>
  <c r="BK1746" i="49" a="1"/>
  <c r="BK1746" i="49" s="1"/>
  <c r="BJ1746" i="49" a="1"/>
  <c r="BJ1746" i="49" s="1"/>
  <c r="BI1746" i="49" a="1"/>
  <c r="BI1746" i="49" s="1"/>
  <c r="BH1746" i="49"/>
  <c r="BH1746" i="49" a="1"/>
  <c r="BG1746" i="49" a="1"/>
  <c r="BG1746" i="49" s="1"/>
  <c r="BF1746" i="49" a="1"/>
  <c r="BF1746" i="49" s="1"/>
  <c r="BE1746" i="49" a="1"/>
  <c r="BE1746" i="49" s="1"/>
  <c r="BD1746" i="49"/>
  <c r="BD1746" i="49" a="1"/>
  <c r="BC1746" i="49" a="1"/>
  <c r="BC1746" i="49" s="1"/>
  <c r="BB1746" i="49" a="1"/>
  <c r="BB1746" i="49" s="1"/>
  <c r="BA1746" i="49" a="1"/>
  <c r="BA1746" i="49" s="1"/>
  <c r="AZ1746" i="49"/>
  <c r="AZ1746" i="49" a="1"/>
  <c r="AY1746" i="49"/>
  <c r="AX1746" i="49"/>
  <c r="AW1746" i="49"/>
  <c r="AV1746" i="49"/>
  <c r="AU1746" i="49"/>
  <c r="AT1746" i="49"/>
  <c r="AS1746" i="49"/>
  <c r="AR1746" i="49"/>
  <c r="AQ1746" i="49"/>
  <c r="AP1746" i="49"/>
  <c r="AO1746" i="49"/>
  <c r="AN1746" i="49"/>
  <c r="AM1746" i="49"/>
  <c r="AL1746" i="49"/>
  <c r="AK1746" i="49"/>
  <c r="AH1746" i="49"/>
  <c r="BN1745" i="49" a="1"/>
  <c r="BN1745" i="49" s="1"/>
  <c r="BM1745" i="49"/>
  <c r="BM1745" i="49" a="1"/>
  <c r="BL1745" i="49"/>
  <c r="BL1745" i="49" a="1"/>
  <c r="BK1745" i="49"/>
  <c r="BK1745" i="49" a="1"/>
  <c r="BJ1745" i="49" a="1"/>
  <c r="BJ1745" i="49" s="1"/>
  <c r="BI1745" i="49"/>
  <c r="BI1745" i="49" a="1"/>
  <c r="BH1745" i="49"/>
  <c r="BH1745" i="49" a="1"/>
  <c r="BG1745" i="49" a="1"/>
  <c r="BG1745" i="49" s="1"/>
  <c r="BF1745" i="49" a="1"/>
  <c r="BF1745" i="49" s="1"/>
  <c r="BE1745" i="49"/>
  <c r="BE1745" i="49" a="1"/>
  <c r="BD1745" i="49"/>
  <c r="BD1745" i="49" a="1"/>
  <c r="BC1745" i="49" a="1"/>
  <c r="BC1745" i="49" s="1"/>
  <c r="BB1745" i="49" a="1"/>
  <c r="BB1745" i="49" s="1"/>
  <c r="BA1745" i="49"/>
  <c r="BA1745" i="49" a="1"/>
  <c r="AZ1745" i="49"/>
  <c r="AZ1745" i="49" a="1"/>
  <c r="AY1745" i="49"/>
  <c r="AX1745" i="49"/>
  <c r="AW1745" i="49"/>
  <c r="AV1745" i="49"/>
  <c r="AV1749" i="49" s="1"/>
  <c r="AU1745" i="49"/>
  <c r="AT1745" i="49"/>
  <c r="AS1745" i="49"/>
  <c r="AR1745" i="49"/>
  <c r="AQ1745" i="49"/>
  <c r="AP1745" i="49"/>
  <c r="AO1745" i="49"/>
  <c r="AN1745" i="49"/>
  <c r="AM1745" i="49"/>
  <c r="AL1745" i="49"/>
  <c r="AK1745" i="49"/>
  <c r="AH1745" i="49"/>
  <c r="BN1744" i="49" a="1"/>
  <c r="BN1744" i="49" s="1"/>
  <c r="BM1744" i="49" a="1"/>
  <c r="BM1744" i="49" s="1"/>
  <c r="BL1744" i="49" a="1"/>
  <c r="BL1744" i="49" s="1"/>
  <c r="BK1744" i="49"/>
  <c r="BK1744" i="49" a="1"/>
  <c r="BJ1744" i="49" a="1"/>
  <c r="BJ1744" i="49" s="1"/>
  <c r="BI1744" i="49" a="1"/>
  <c r="BI1744" i="49" s="1"/>
  <c r="BH1744" i="49" a="1"/>
  <c r="BH1744" i="49" s="1"/>
  <c r="BG1744" i="49"/>
  <c r="BG1744" i="49" a="1"/>
  <c r="BF1744" i="49" a="1"/>
  <c r="BF1744" i="49" s="1"/>
  <c r="BE1744" i="49" a="1"/>
  <c r="BE1744" i="49" s="1"/>
  <c r="BD1744" i="49" a="1"/>
  <c r="BD1744" i="49" s="1"/>
  <c r="BC1744" i="49"/>
  <c r="BC1744" i="49" a="1"/>
  <c r="BB1744" i="49" a="1"/>
  <c r="BB1744" i="49" s="1"/>
  <c r="BA1744" i="49" a="1"/>
  <c r="BA1744" i="49" s="1"/>
  <c r="AZ1744" i="49" a="1"/>
  <c r="AZ1744" i="49" s="1"/>
  <c r="AY1744" i="49"/>
  <c r="AX1744" i="49"/>
  <c r="AW1744" i="49"/>
  <c r="AV1744" i="49"/>
  <c r="AU1744" i="49"/>
  <c r="AT1744" i="49"/>
  <c r="AT1749" i="49" s="1"/>
  <c r="AS1744" i="49"/>
  <c r="AR1744" i="49"/>
  <c r="AQ1744" i="49"/>
  <c r="AP1744" i="49"/>
  <c r="AO1744" i="49"/>
  <c r="AN1744" i="49"/>
  <c r="AM1744" i="49"/>
  <c r="AL1744" i="49"/>
  <c r="AK1744" i="49"/>
  <c r="AH1744" i="49"/>
  <c r="BN1743" i="49"/>
  <c r="BN1743" i="49" a="1"/>
  <c r="BM1743" i="49" a="1"/>
  <c r="BM1743" i="49" s="1"/>
  <c r="BL1743" i="49"/>
  <c r="BL1743" i="49" a="1"/>
  <c r="BK1743" i="49"/>
  <c r="BK1743" i="49" a="1"/>
  <c r="BJ1743" i="49"/>
  <c r="BJ1743" i="49" a="1"/>
  <c r="BI1743" i="49" a="1"/>
  <c r="BI1743" i="49" s="1"/>
  <c r="BH1743" i="49"/>
  <c r="BH1743" i="49" a="1"/>
  <c r="BG1743" i="49"/>
  <c r="BG1743" i="49" a="1"/>
  <c r="BF1743" i="49"/>
  <c r="BF1743" i="49" a="1"/>
  <c r="BE1743" i="49" a="1"/>
  <c r="BE1743" i="49" s="1"/>
  <c r="BD1743" i="49"/>
  <c r="BD1743" i="49" a="1"/>
  <c r="BC1743" i="49" a="1"/>
  <c r="BC1743" i="49" s="1"/>
  <c r="BB1743" i="49" a="1"/>
  <c r="BB1743" i="49" s="1"/>
  <c r="BA1743" i="49" a="1"/>
  <c r="BA1743" i="49" s="1"/>
  <c r="AZ1743" i="49"/>
  <c r="AZ1743" i="49" a="1"/>
  <c r="AY1743" i="49"/>
  <c r="AX1743" i="49"/>
  <c r="AW1743" i="49"/>
  <c r="AV1743" i="49"/>
  <c r="AU1743" i="49"/>
  <c r="AT1743" i="49"/>
  <c r="AS1743" i="49"/>
  <c r="AR1743" i="49"/>
  <c r="AQ1743" i="49"/>
  <c r="AP1743" i="49"/>
  <c r="AO1743" i="49"/>
  <c r="AN1743" i="49"/>
  <c r="AM1743" i="49"/>
  <c r="AL1743" i="49"/>
  <c r="AK1743" i="49"/>
  <c r="AH1743" i="49"/>
  <c r="BN1742" i="49"/>
  <c r="BN1742" i="49" a="1"/>
  <c r="BM1742" i="49" a="1"/>
  <c r="BM1742" i="49" s="1"/>
  <c r="BL1742" i="49" a="1"/>
  <c r="BL1742" i="49" s="1"/>
  <c r="BK1742" i="49" a="1"/>
  <c r="BK1742" i="49" s="1"/>
  <c r="BJ1742" i="49"/>
  <c r="BJ1742" i="49" a="1"/>
  <c r="BI1742" i="49" a="1"/>
  <c r="BI1742" i="49" s="1"/>
  <c r="BH1742" i="49" a="1"/>
  <c r="BH1742" i="49" s="1"/>
  <c r="BG1742" i="49" a="1"/>
  <c r="BG1742" i="49" s="1"/>
  <c r="BF1742" i="49"/>
  <c r="BF1742" i="49" a="1"/>
  <c r="BE1742" i="49" a="1"/>
  <c r="BE1742" i="49" s="1"/>
  <c r="BD1742" i="49" a="1"/>
  <c r="BD1742" i="49" s="1"/>
  <c r="BC1742" i="49" a="1"/>
  <c r="BC1742" i="49" s="1"/>
  <c r="BB1742" i="49"/>
  <c r="BB1742" i="49" a="1"/>
  <c r="BA1742" i="49" a="1"/>
  <c r="BA1742" i="49" s="1"/>
  <c r="AZ1742" i="49" a="1"/>
  <c r="AZ1742" i="49" s="1"/>
  <c r="AY1742" i="49"/>
  <c r="AY1749" i="49" s="1"/>
  <c r="AX1742" i="49"/>
  <c r="AW1742" i="49"/>
  <c r="AW1749" i="49" s="1"/>
  <c r="AV1742" i="49"/>
  <c r="AU1742" i="49"/>
  <c r="AT1742" i="49"/>
  <c r="AS1742" i="49"/>
  <c r="AS1749" i="49" s="1"/>
  <c r="AR1742" i="49"/>
  <c r="AQ1742" i="49"/>
  <c r="AQ1749" i="49" s="1"/>
  <c r="AP1742" i="49"/>
  <c r="AP1749" i="49" s="1"/>
  <c r="AO1742" i="49"/>
  <c r="AN1742" i="49"/>
  <c r="AN1749" i="49" s="1"/>
  <c r="AM1742" i="49"/>
  <c r="AL1742" i="49"/>
  <c r="AK1742" i="49"/>
  <c r="AK1749" i="49" s="1"/>
  <c r="AH1742" i="49"/>
  <c r="B1729" i="49"/>
  <c r="AG1645" i="49"/>
  <c r="AG1646" i="49"/>
  <c r="AG1641" i="49"/>
  <c r="AG1642" i="49"/>
  <c r="AG1644" i="49"/>
  <c r="AG1640" i="49"/>
  <c r="AF1643" i="49"/>
  <c r="AF1639" i="49"/>
  <c r="AD1724" i="49"/>
  <c r="AC1724" i="49"/>
  <c r="AB1724" i="49"/>
  <c r="AA1724" i="49"/>
  <c r="Z1724" i="49"/>
  <c r="Y1724" i="49"/>
  <c r="X1724" i="49"/>
  <c r="W1724" i="49"/>
  <c r="V1724" i="49"/>
  <c r="AD1678" i="49"/>
  <c r="AC1678" i="49"/>
  <c r="AB1678" i="49"/>
  <c r="AA1678" i="49"/>
  <c r="Z1678" i="49"/>
  <c r="Y1678" i="49"/>
  <c r="X1678" i="49"/>
  <c r="W1678" i="49"/>
  <c r="V1678" i="49"/>
  <c r="U1678" i="49"/>
  <c r="T1678" i="49"/>
  <c r="S1678" i="49"/>
  <c r="R1678" i="49"/>
  <c r="Q1678" i="49"/>
  <c r="AD1723" i="49"/>
  <c r="AC1723" i="49"/>
  <c r="AB1723" i="49"/>
  <c r="AA1723" i="49"/>
  <c r="Z1723" i="49"/>
  <c r="Y1723" i="49"/>
  <c r="X1723" i="49"/>
  <c r="W1723" i="49"/>
  <c r="V1723" i="49"/>
  <c r="AD1677" i="49"/>
  <c r="AC1677" i="49"/>
  <c r="AB1677" i="49"/>
  <c r="AA1677" i="49"/>
  <c r="Z1677" i="49"/>
  <c r="Y1677" i="49"/>
  <c r="X1677" i="49"/>
  <c r="W1677" i="49"/>
  <c r="V1677" i="49"/>
  <c r="U1677" i="49"/>
  <c r="T1677" i="49"/>
  <c r="S1677" i="49"/>
  <c r="R1677" i="49"/>
  <c r="Q1677" i="49"/>
  <c r="AD1722" i="49"/>
  <c r="AC1722" i="49"/>
  <c r="AB1722" i="49"/>
  <c r="AA1722" i="49"/>
  <c r="Z1722" i="49"/>
  <c r="Y1722" i="49"/>
  <c r="X1722" i="49"/>
  <c r="W1722" i="49"/>
  <c r="V1722" i="49"/>
  <c r="AD1676" i="49"/>
  <c r="AC1676" i="49"/>
  <c r="AB1676" i="49"/>
  <c r="AA1676" i="49"/>
  <c r="Z1676" i="49"/>
  <c r="Y1676" i="49"/>
  <c r="X1676" i="49"/>
  <c r="W1676" i="49"/>
  <c r="V1676" i="49"/>
  <c r="U1676" i="49"/>
  <c r="T1676" i="49"/>
  <c r="S1676" i="49"/>
  <c r="R1676" i="49"/>
  <c r="Q1676" i="49"/>
  <c r="AD1721" i="49"/>
  <c r="AC1721" i="49"/>
  <c r="AB1721" i="49"/>
  <c r="AA1721" i="49"/>
  <c r="Z1721" i="49"/>
  <c r="Y1721" i="49"/>
  <c r="X1721" i="49"/>
  <c r="W1721" i="49"/>
  <c r="V1721" i="49"/>
  <c r="AD1675" i="49"/>
  <c r="AC1675" i="49"/>
  <c r="AB1675" i="49"/>
  <c r="AA1675" i="49"/>
  <c r="Z1675" i="49"/>
  <c r="Y1675" i="49"/>
  <c r="X1675" i="49"/>
  <c r="W1675" i="49"/>
  <c r="V1675" i="49"/>
  <c r="U1675" i="49"/>
  <c r="T1675" i="49"/>
  <c r="S1675" i="49"/>
  <c r="R1675" i="49"/>
  <c r="Q1675" i="49"/>
  <c r="AD1720" i="49"/>
  <c r="AC1720" i="49"/>
  <c r="AB1720" i="49"/>
  <c r="AA1720" i="49"/>
  <c r="Z1720" i="49"/>
  <c r="Y1720" i="49"/>
  <c r="X1720" i="49"/>
  <c r="W1720" i="49"/>
  <c r="V1720" i="49"/>
  <c r="AD1674" i="49"/>
  <c r="AC1674" i="49"/>
  <c r="AB1674" i="49"/>
  <c r="AA1674" i="49"/>
  <c r="Z1674" i="49"/>
  <c r="Y1674" i="49"/>
  <c r="X1674" i="49"/>
  <c r="W1674" i="49"/>
  <c r="V1674" i="49"/>
  <c r="U1674" i="49"/>
  <c r="T1674" i="49"/>
  <c r="S1674" i="49"/>
  <c r="R1674" i="49"/>
  <c r="Q1674" i="49"/>
  <c r="AD1719" i="49"/>
  <c r="AC1719" i="49"/>
  <c r="AB1719" i="49"/>
  <c r="AA1719" i="49"/>
  <c r="Z1719" i="49"/>
  <c r="Y1719" i="49"/>
  <c r="X1719" i="49"/>
  <c r="W1719" i="49"/>
  <c r="V1719" i="49"/>
  <c r="AD1673" i="49"/>
  <c r="AC1673" i="49"/>
  <c r="AB1673" i="49"/>
  <c r="AA1673" i="49"/>
  <c r="Z1673" i="49"/>
  <c r="Y1673" i="49"/>
  <c r="X1673" i="49"/>
  <c r="W1673" i="49"/>
  <c r="V1673" i="49"/>
  <c r="U1673" i="49"/>
  <c r="T1673" i="49"/>
  <c r="S1673" i="49"/>
  <c r="R1673" i="49"/>
  <c r="Q1673" i="49"/>
  <c r="AD1718" i="49"/>
  <c r="AC1718" i="49"/>
  <c r="AB1718" i="49"/>
  <c r="AA1718" i="49"/>
  <c r="Z1718" i="49"/>
  <c r="Y1718" i="49"/>
  <c r="X1718" i="49"/>
  <c r="W1718" i="49"/>
  <c r="V1718" i="49"/>
  <c r="AD1672" i="49"/>
  <c r="AC1672" i="49"/>
  <c r="AB1672" i="49"/>
  <c r="AA1672" i="49"/>
  <c r="Z1672" i="49"/>
  <c r="Y1672" i="49"/>
  <c r="X1672" i="49"/>
  <c r="W1672" i="49"/>
  <c r="V1672" i="49"/>
  <c r="U1672" i="49"/>
  <c r="T1672" i="49"/>
  <c r="S1672" i="49"/>
  <c r="R1672" i="49"/>
  <c r="Q1672" i="49"/>
  <c r="AD1717" i="49"/>
  <c r="AC1717" i="49"/>
  <c r="AB1717" i="49"/>
  <c r="AA1717" i="49"/>
  <c r="Z1717" i="49"/>
  <c r="Y1717" i="49"/>
  <c r="X1717" i="49"/>
  <c r="W1717" i="49"/>
  <c r="V1717" i="49"/>
  <c r="AD1671" i="49"/>
  <c r="AC1671" i="49"/>
  <c r="AB1671" i="49"/>
  <c r="AA1671" i="49"/>
  <c r="Z1671" i="49"/>
  <c r="Y1671" i="49"/>
  <c r="X1671" i="49"/>
  <c r="W1671" i="49"/>
  <c r="V1671" i="49"/>
  <c r="U1671" i="49"/>
  <c r="T1671" i="49"/>
  <c r="S1671" i="49"/>
  <c r="R1671" i="49"/>
  <c r="Q1671" i="49"/>
  <c r="AD1716" i="49"/>
  <c r="AC1716" i="49"/>
  <c r="AB1716" i="49"/>
  <c r="AA1716" i="49"/>
  <c r="Z1716" i="49"/>
  <c r="Y1716" i="49"/>
  <c r="X1716" i="49"/>
  <c r="W1716" i="49"/>
  <c r="V1716" i="49"/>
  <c r="AD1670" i="49"/>
  <c r="AC1670" i="49"/>
  <c r="AB1670" i="49"/>
  <c r="AA1670" i="49"/>
  <c r="Z1670" i="49"/>
  <c r="Y1670" i="49"/>
  <c r="X1670" i="49"/>
  <c r="W1670" i="49"/>
  <c r="V1670" i="49"/>
  <c r="U1670" i="49"/>
  <c r="T1670" i="49"/>
  <c r="S1670" i="49"/>
  <c r="R1670" i="49"/>
  <c r="Q1670" i="49"/>
  <c r="AD1715" i="49"/>
  <c r="AC1715" i="49"/>
  <c r="AB1715" i="49"/>
  <c r="AA1715" i="49"/>
  <c r="Z1715" i="49"/>
  <c r="Y1715" i="49"/>
  <c r="X1715" i="49"/>
  <c r="W1715" i="49"/>
  <c r="V1715" i="49"/>
  <c r="AD1669" i="49"/>
  <c r="AC1669" i="49"/>
  <c r="AB1669" i="49"/>
  <c r="AA1669" i="49"/>
  <c r="Z1669" i="49"/>
  <c r="Y1669" i="49"/>
  <c r="X1669" i="49"/>
  <c r="W1669" i="49"/>
  <c r="V1669" i="49"/>
  <c r="U1669" i="49"/>
  <c r="T1669" i="49"/>
  <c r="S1669" i="49"/>
  <c r="R1669" i="49"/>
  <c r="Q1669" i="49"/>
  <c r="AD1714" i="49"/>
  <c r="AC1714" i="49"/>
  <c r="AB1714" i="49"/>
  <c r="AA1714" i="49"/>
  <c r="Z1714" i="49"/>
  <c r="Y1714" i="49"/>
  <c r="X1714" i="49"/>
  <c r="W1714" i="49"/>
  <c r="V1714" i="49"/>
  <c r="AD1668" i="49"/>
  <c r="AC1668" i="49"/>
  <c r="AB1668" i="49"/>
  <c r="AA1668" i="49"/>
  <c r="Z1668" i="49"/>
  <c r="Y1668" i="49"/>
  <c r="X1668" i="49"/>
  <c r="W1668" i="49"/>
  <c r="V1668" i="49"/>
  <c r="U1668" i="49"/>
  <c r="T1668" i="49"/>
  <c r="S1668" i="49"/>
  <c r="R1668" i="49"/>
  <c r="Q1668" i="49"/>
  <c r="AD1713" i="49"/>
  <c r="AC1713" i="49"/>
  <c r="AB1713" i="49"/>
  <c r="AA1713" i="49"/>
  <c r="Z1713" i="49"/>
  <c r="Y1713" i="49"/>
  <c r="X1713" i="49"/>
  <c r="W1713" i="49"/>
  <c r="V1713" i="49"/>
  <c r="AD1667" i="49"/>
  <c r="AC1667" i="49"/>
  <c r="AB1667" i="49"/>
  <c r="AA1667" i="49"/>
  <c r="Z1667" i="49"/>
  <c r="Y1667" i="49"/>
  <c r="X1667" i="49"/>
  <c r="W1667" i="49"/>
  <c r="V1667" i="49"/>
  <c r="U1667" i="49"/>
  <c r="T1667" i="49"/>
  <c r="S1667" i="49"/>
  <c r="R1667" i="49"/>
  <c r="Q1667" i="49"/>
  <c r="AD1712" i="49"/>
  <c r="AC1712" i="49"/>
  <c r="AB1712" i="49"/>
  <c r="AA1712" i="49"/>
  <c r="Z1712" i="49"/>
  <c r="Y1712" i="49"/>
  <c r="X1712" i="49"/>
  <c r="W1712" i="49"/>
  <c r="V1712" i="49"/>
  <c r="AD1666" i="49"/>
  <c r="AC1666" i="49"/>
  <c r="AB1666" i="49"/>
  <c r="AA1666" i="49"/>
  <c r="Z1666" i="49"/>
  <c r="Y1666" i="49"/>
  <c r="X1666" i="49"/>
  <c r="W1666" i="49"/>
  <c r="V1666" i="49"/>
  <c r="U1666" i="49"/>
  <c r="T1666" i="49"/>
  <c r="S1666" i="49"/>
  <c r="R1666" i="49"/>
  <c r="Q1666" i="49"/>
  <c r="AD1711" i="49"/>
  <c r="AC1711" i="49"/>
  <c r="AB1711" i="49"/>
  <c r="AA1711" i="49"/>
  <c r="Z1711" i="49"/>
  <c r="Y1711" i="49"/>
  <c r="X1711" i="49"/>
  <c r="W1711" i="49"/>
  <c r="V1711" i="49"/>
  <c r="AD1665" i="49"/>
  <c r="AC1665" i="49"/>
  <c r="AB1665" i="49"/>
  <c r="AA1665" i="49"/>
  <c r="Z1665" i="49"/>
  <c r="Y1665" i="49"/>
  <c r="X1665" i="49"/>
  <c r="W1665" i="49"/>
  <c r="V1665" i="49"/>
  <c r="U1665" i="49"/>
  <c r="T1665" i="49"/>
  <c r="S1665" i="49"/>
  <c r="R1665" i="49"/>
  <c r="Q1665" i="49"/>
  <c r="AD1710" i="49"/>
  <c r="AC1710" i="49"/>
  <c r="AB1710" i="49"/>
  <c r="AA1710" i="49"/>
  <c r="Z1710" i="49"/>
  <c r="Y1710" i="49"/>
  <c r="X1710" i="49"/>
  <c r="W1710" i="49"/>
  <c r="V1710" i="49"/>
  <c r="AD1664" i="49"/>
  <c r="AC1664" i="49"/>
  <c r="AB1664" i="49"/>
  <c r="AA1664" i="49"/>
  <c r="Z1664" i="49"/>
  <c r="Y1664" i="49"/>
  <c r="X1664" i="49"/>
  <c r="W1664" i="49"/>
  <c r="V1664" i="49"/>
  <c r="U1664" i="49"/>
  <c r="T1664" i="49"/>
  <c r="S1664" i="49"/>
  <c r="R1664" i="49"/>
  <c r="Q1664" i="49"/>
  <c r="AD1709" i="49"/>
  <c r="AC1709" i="49"/>
  <c r="AB1709" i="49"/>
  <c r="AA1709" i="49"/>
  <c r="Z1709" i="49"/>
  <c r="Y1709" i="49"/>
  <c r="X1709" i="49"/>
  <c r="W1709" i="49"/>
  <c r="V1709" i="49"/>
  <c r="AD1663" i="49"/>
  <c r="AC1663" i="49"/>
  <c r="AB1663" i="49"/>
  <c r="AA1663" i="49"/>
  <c r="Z1663" i="49"/>
  <c r="Y1663" i="49"/>
  <c r="X1663" i="49"/>
  <c r="W1663" i="49"/>
  <c r="V1663" i="49"/>
  <c r="U1663" i="49"/>
  <c r="T1663" i="49"/>
  <c r="S1663" i="49"/>
  <c r="R1663" i="49"/>
  <c r="Q1663" i="49"/>
  <c r="AD1708" i="49"/>
  <c r="AC1708" i="49"/>
  <c r="AB1708" i="49"/>
  <c r="AA1708" i="49"/>
  <c r="Z1708" i="49"/>
  <c r="Y1708" i="49"/>
  <c r="X1708" i="49"/>
  <c r="W1708" i="49"/>
  <c r="V1708" i="49"/>
  <c r="AD1662" i="49"/>
  <c r="AC1662" i="49"/>
  <c r="AB1662" i="49"/>
  <c r="AA1662" i="49"/>
  <c r="Z1662" i="49"/>
  <c r="Y1662" i="49"/>
  <c r="X1662" i="49"/>
  <c r="W1662" i="49"/>
  <c r="V1662" i="49"/>
  <c r="U1662" i="49"/>
  <c r="T1662" i="49"/>
  <c r="S1662" i="49"/>
  <c r="R1662" i="49"/>
  <c r="Q1662" i="49"/>
  <c r="AD1707" i="49"/>
  <c r="AC1707" i="49"/>
  <c r="AB1707" i="49"/>
  <c r="AA1707" i="49"/>
  <c r="Z1707" i="49"/>
  <c r="Y1707" i="49"/>
  <c r="X1707" i="49"/>
  <c r="W1707" i="49"/>
  <c r="V1707" i="49"/>
  <c r="AD1661" i="49"/>
  <c r="AC1661" i="49"/>
  <c r="AB1661" i="49"/>
  <c r="AA1661" i="49"/>
  <c r="Z1661" i="49"/>
  <c r="Y1661" i="49"/>
  <c r="X1661" i="49"/>
  <c r="W1661" i="49"/>
  <c r="V1661" i="49"/>
  <c r="U1661" i="49"/>
  <c r="T1661" i="49"/>
  <c r="S1661" i="49"/>
  <c r="R1661" i="49"/>
  <c r="Q1661" i="49"/>
  <c r="AD1706" i="49"/>
  <c r="AC1706" i="49"/>
  <c r="AB1706" i="49"/>
  <c r="AA1706" i="49"/>
  <c r="Z1706" i="49"/>
  <c r="Y1706" i="49"/>
  <c r="X1706" i="49"/>
  <c r="W1706" i="49"/>
  <c r="V1706" i="49"/>
  <c r="AD1660" i="49"/>
  <c r="AC1660" i="49"/>
  <c r="AB1660" i="49"/>
  <c r="AA1660" i="49"/>
  <c r="Z1660" i="49"/>
  <c r="Y1660" i="49"/>
  <c r="X1660" i="49"/>
  <c r="W1660" i="49"/>
  <c r="V1660" i="49"/>
  <c r="U1660" i="49"/>
  <c r="T1660" i="49"/>
  <c r="S1660" i="49"/>
  <c r="R1660" i="49"/>
  <c r="Q1660" i="49"/>
  <c r="AD1705" i="49"/>
  <c r="AC1705" i="49"/>
  <c r="AB1705" i="49"/>
  <c r="AA1705" i="49"/>
  <c r="Z1705" i="49"/>
  <c r="Y1705" i="49"/>
  <c r="X1705" i="49"/>
  <c r="W1705" i="49"/>
  <c r="V1705" i="49"/>
  <c r="AD1659" i="49"/>
  <c r="AC1659" i="49"/>
  <c r="AB1659" i="49"/>
  <c r="AA1659" i="49"/>
  <c r="Z1659" i="49"/>
  <c r="Y1659" i="49"/>
  <c r="X1659" i="49"/>
  <c r="W1659" i="49"/>
  <c r="V1659" i="49"/>
  <c r="U1659" i="49"/>
  <c r="T1659" i="49"/>
  <c r="S1659" i="49"/>
  <c r="R1659" i="49"/>
  <c r="Q1659" i="49"/>
  <c r="AD1704" i="49"/>
  <c r="AC1704" i="49"/>
  <c r="AB1704" i="49"/>
  <c r="AA1704" i="49"/>
  <c r="Z1704" i="49"/>
  <c r="Y1704" i="49"/>
  <c r="X1704" i="49"/>
  <c r="W1704" i="49"/>
  <c r="V1704" i="49"/>
  <c r="AD1658" i="49"/>
  <c r="AC1658" i="49"/>
  <c r="AB1658" i="49"/>
  <c r="AA1658" i="49"/>
  <c r="Z1658" i="49"/>
  <c r="Y1658" i="49"/>
  <c r="X1658" i="49"/>
  <c r="W1658" i="49"/>
  <c r="V1658" i="49"/>
  <c r="U1658" i="49"/>
  <c r="T1658" i="49"/>
  <c r="S1658" i="49"/>
  <c r="R1658" i="49"/>
  <c r="Q1658" i="49"/>
  <c r="AD1703" i="49"/>
  <c r="AC1703" i="49"/>
  <c r="AB1703" i="49"/>
  <c r="AA1703" i="49"/>
  <c r="Z1703" i="49"/>
  <c r="Y1703" i="49"/>
  <c r="X1703" i="49"/>
  <c r="W1703" i="49"/>
  <c r="V1703" i="49"/>
  <c r="AD1657" i="49"/>
  <c r="AC1657" i="49"/>
  <c r="AB1657" i="49"/>
  <c r="AA1657" i="49"/>
  <c r="Z1657" i="49"/>
  <c r="Y1657" i="49"/>
  <c r="X1657" i="49"/>
  <c r="W1657" i="49"/>
  <c r="V1657" i="49"/>
  <c r="U1657" i="49"/>
  <c r="T1657" i="49"/>
  <c r="S1657" i="49"/>
  <c r="R1657" i="49"/>
  <c r="Q1657" i="49"/>
  <c r="AD1702" i="49"/>
  <c r="AC1702" i="49"/>
  <c r="AB1702" i="49"/>
  <c r="AA1702" i="49"/>
  <c r="Z1702" i="49"/>
  <c r="Y1702" i="49"/>
  <c r="X1702" i="49"/>
  <c r="W1702" i="49"/>
  <c r="V1702" i="49"/>
  <c r="AD1656" i="49"/>
  <c r="AC1656" i="49"/>
  <c r="AB1656" i="49"/>
  <c r="AA1656" i="49"/>
  <c r="Z1656" i="49"/>
  <c r="Y1656" i="49"/>
  <c r="X1656" i="49"/>
  <c r="W1656" i="49"/>
  <c r="V1656" i="49"/>
  <c r="U1656" i="49"/>
  <c r="T1656" i="49"/>
  <c r="S1656" i="49"/>
  <c r="R1656" i="49"/>
  <c r="Q1656" i="49"/>
  <c r="AD1701" i="49"/>
  <c r="AC1701" i="49"/>
  <c r="AB1701" i="49"/>
  <c r="AA1701" i="49"/>
  <c r="Z1701" i="49"/>
  <c r="Y1701" i="49"/>
  <c r="X1701" i="49"/>
  <c r="W1701" i="49"/>
  <c r="V1701" i="49"/>
  <c r="AD1655" i="49"/>
  <c r="AC1655" i="49"/>
  <c r="AB1655" i="49"/>
  <c r="AA1655" i="49"/>
  <c r="Z1655" i="49"/>
  <c r="Y1655" i="49"/>
  <c r="X1655" i="49"/>
  <c r="W1655" i="49"/>
  <c r="V1655" i="49"/>
  <c r="U1655" i="49"/>
  <c r="T1655" i="49"/>
  <c r="S1655" i="49"/>
  <c r="R1655" i="49"/>
  <c r="Q1655" i="49"/>
  <c r="AD1700" i="49"/>
  <c r="AC1700" i="49"/>
  <c r="AB1700" i="49"/>
  <c r="AA1700" i="49"/>
  <c r="Z1700" i="49"/>
  <c r="Y1700" i="49"/>
  <c r="X1700" i="49"/>
  <c r="W1700" i="49"/>
  <c r="V1700" i="49"/>
  <c r="AD1654" i="49"/>
  <c r="AC1654" i="49"/>
  <c r="AB1654" i="49"/>
  <c r="AA1654" i="49"/>
  <c r="Z1654" i="49"/>
  <c r="Y1654" i="49"/>
  <c r="X1654" i="49"/>
  <c r="W1654" i="49"/>
  <c r="V1654" i="49"/>
  <c r="U1654" i="49"/>
  <c r="T1654" i="49"/>
  <c r="S1654" i="49"/>
  <c r="R1654" i="49"/>
  <c r="Q1654" i="49"/>
  <c r="AD1699" i="49"/>
  <c r="AC1699" i="49"/>
  <c r="AB1699" i="49"/>
  <c r="AA1699" i="49"/>
  <c r="Z1699" i="49"/>
  <c r="Y1699" i="49"/>
  <c r="X1699" i="49"/>
  <c r="W1699" i="49"/>
  <c r="V1699" i="49"/>
  <c r="AD1653" i="49"/>
  <c r="AC1653" i="49"/>
  <c r="AB1653" i="49"/>
  <c r="AA1653" i="49"/>
  <c r="Z1653" i="49"/>
  <c r="Y1653" i="49"/>
  <c r="X1653" i="49"/>
  <c r="W1653" i="49"/>
  <c r="V1653" i="49"/>
  <c r="U1653" i="49"/>
  <c r="T1653" i="49"/>
  <c r="S1653" i="49"/>
  <c r="R1653" i="49"/>
  <c r="Q1653" i="49"/>
  <c r="AD1698" i="49"/>
  <c r="AC1698" i="49"/>
  <c r="AB1698" i="49"/>
  <c r="AA1698" i="49"/>
  <c r="Z1698" i="49"/>
  <c r="Y1698" i="49"/>
  <c r="X1698" i="49"/>
  <c r="W1698" i="49"/>
  <c r="V1698" i="49"/>
  <c r="AD1652" i="49"/>
  <c r="AC1652" i="49"/>
  <c r="AB1652" i="49"/>
  <c r="AA1652" i="49"/>
  <c r="Z1652" i="49"/>
  <c r="Y1652" i="49"/>
  <c r="X1652" i="49"/>
  <c r="W1652" i="49"/>
  <c r="V1652" i="49"/>
  <c r="U1652" i="49"/>
  <c r="T1652" i="49"/>
  <c r="S1652" i="49"/>
  <c r="R1652" i="49"/>
  <c r="Q1652" i="49"/>
  <c r="AD1697" i="49"/>
  <c r="AC1697" i="49"/>
  <c r="AB1697" i="49"/>
  <c r="AA1697" i="49"/>
  <c r="Z1697" i="49"/>
  <c r="Y1697" i="49"/>
  <c r="X1697" i="49"/>
  <c r="W1697" i="49"/>
  <c r="V1697" i="49"/>
  <c r="AD1651" i="49"/>
  <c r="AC1651" i="49"/>
  <c r="AB1651" i="49"/>
  <c r="AA1651" i="49"/>
  <c r="Z1651" i="49"/>
  <c r="Y1651" i="49"/>
  <c r="X1651" i="49"/>
  <c r="W1651" i="49"/>
  <c r="V1651" i="49"/>
  <c r="U1651" i="49"/>
  <c r="T1651" i="49"/>
  <c r="S1651" i="49"/>
  <c r="R1651" i="49"/>
  <c r="Q1651" i="49"/>
  <c r="AD1696" i="49"/>
  <c r="AC1696" i="49"/>
  <c r="AB1696" i="49"/>
  <c r="AA1696" i="49"/>
  <c r="Z1696" i="49"/>
  <c r="Y1696" i="49"/>
  <c r="X1696" i="49"/>
  <c r="W1696" i="49"/>
  <c r="V1696" i="49"/>
  <c r="AD1650" i="49"/>
  <c r="AC1650" i="49"/>
  <c r="AB1650" i="49"/>
  <c r="AA1650" i="49"/>
  <c r="Z1650" i="49"/>
  <c r="Y1650" i="49"/>
  <c r="X1650" i="49"/>
  <c r="W1650" i="49"/>
  <c r="V1650" i="49"/>
  <c r="U1650" i="49"/>
  <c r="T1650" i="49"/>
  <c r="S1650" i="49"/>
  <c r="R1650" i="49"/>
  <c r="Q1650" i="49"/>
  <c r="AD1695" i="49"/>
  <c r="AC1695" i="49"/>
  <c r="AB1695" i="49"/>
  <c r="AA1695" i="49"/>
  <c r="Z1695" i="49"/>
  <c r="Y1695" i="49"/>
  <c r="X1695" i="49"/>
  <c r="W1695" i="49"/>
  <c r="V1695" i="49"/>
  <c r="AD1649" i="49"/>
  <c r="AC1649" i="49"/>
  <c r="AB1649" i="49"/>
  <c r="AA1649" i="49"/>
  <c r="Z1649" i="49"/>
  <c r="Y1649" i="49"/>
  <c r="X1649" i="49"/>
  <c r="W1649" i="49"/>
  <c r="V1649" i="49"/>
  <c r="U1649" i="49"/>
  <c r="T1649" i="49"/>
  <c r="S1649" i="49"/>
  <c r="R1649" i="49"/>
  <c r="Q1649" i="49"/>
  <c r="AD1694" i="49"/>
  <c r="AC1694" i="49"/>
  <c r="AB1694" i="49"/>
  <c r="AA1694" i="49"/>
  <c r="Z1694" i="49"/>
  <c r="Y1694" i="49"/>
  <c r="X1694" i="49"/>
  <c r="W1694" i="49"/>
  <c r="V1694" i="49"/>
  <c r="AD1648" i="49"/>
  <c r="AC1648" i="49"/>
  <c r="AB1648" i="49"/>
  <c r="AA1648" i="49"/>
  <c r="Z1648" i="49"/>
  <c r="Y1648" i="49"/>
  <c r="X1648" i="49"/>
  <c r="W1648" i="49"/>
  <c r="V1648" i="49"/>
  <c r="U1648" i="49"/>
  <c r="T1648" i="49"/>
  <c r="S1648" i="49"/>
  <c r="R1648" i="49"/>
  <c r="Q1648" i="49"/>
  <c r="Q1647" i="49"/>
  <c r="AD1693" i="49"/>
  <c r="AC1693" i="49"/>
  <c r="AB1693" i="49"/>
  <c r="AA1693" i="49"/>
  <c r="Z1693" i="49"/>
  <c r="Y1693" i="49"/>
  <c r="X1693" i="49"/>
  <c r="W1693" i="49"/>
  <c r="V1693" i="49"/>
  <c r="AD1647" i="49"/>
  <c r="AC1647" i="49"/>
  <c r="AB1647" i="49"/>
  <c r="AA1647" i="49"/>
  <c r="Z1647" i="49"/>
  <c r="Y1647" i="49"/>
  <c r="X1647" i="49"/>
  <c r="W1647" i="49"/>
  <c r="V1647" i="49"/>
  <c r="U1647" i="49"/>
  <c r="T1647" i="49"/>
  <c r="S1647" i="49"/>
  <c r="R1647" i="49"/>
  <c r="V1689" i="49"/>
  <c r="AD1689" i="49"/>
  <c r="AC1689" i="49"/>
  <c r="AB1689" i="49"/>
  <c r="AA1689" i="49"/>
  <c r="Z1689" i="49"/>
  <c r="Y1689" i="49"/>
  <c r="X1689" i="49"/>
  <c r="W1689" i="49"/>
  <c r="V1685" i="49"/>
  <c r="W1685" i="49"/>
  <c r="AD1685" i="49"/>
  <c r="AC1685" i="49"/>
  <c r="AB1685" i="49"/>
  <c r="AA1685" i="49"/>
  <c r="Z1685" i="49"/>
  <c r="Y1685" i="49"/>
  <c r="X1685" i="49"/>
  <c r="P1678" i="49"/>
  <c r="P1677" i="49"/>
  <c r="P1676" i="49"/>
  <c r="P1675" i="49"/>
  <c r="P1674" i="49"/>
  <c r="P1673" i="49"/>
  <c r="P1672" i="49"/>
  <c r="P1671" i="49"/>
  <c r="P1670" i="49"/>
  <c r="P1669" i="49"/>
  <c r="P1668" i="49"/>
  <c r="P1667" i="49"/>
  <c r="P1666" i="49"/>
  <c r="P1665" i="49"/>
  <c r="P1664" i="49"/>
  <c r="P1663" i="49"/>
  <c r="P1662" i="49"/>
  <c r="P1661" i="49"/>
  <c r="P1660" i="49"/>
  <c r="P1659" i="49"/>
  <c r="P1658" i="49"/>
  <c r="P1657" i="49"/>
  <c r="P1656" i="49"/>
  <c r="P1655" i="49"/>
  <c r="P1654" i="49"/>
  <c r="P1653" i="49"/>
  <c r="P1652" i="49"/>
  <c r="P1651" i="49"/>
  <c r="P1650" i="49"/>
  <c r="P1649" i="49"/>
  <c r="P1648" i="49"/>
  <c r="P1647" i="49"/>
  <c r="Q1643" i="49"/>
  <c r="AD1643" i="49"/>
  <c r="AC1643" i="49"/>
  <c r="AB1643" i="49"/>
  <c r="AA1643" i="49"/>
  <c r="Z1643" i="49"/>
  <c r="Y1643" i="49"/>
  <c r="X1643" i="49"/>
  <c r="BM1640" i="49" s="1"/>
  <c r="W1643" i="49"/>
  <c r="BL1640" i="49" s="1"/>
  <c r="V1643" i="49"/>
  <c r="BK1640" i="49" s="1"/>
  <c r="U1643" i="49"/>
  <c r="BJ1640" i="49" s="1"/>
  <c r="T1643" i="49"/>
  <c r="S1643" i="49"/>
  <c r="BH1640" i="49" s="1"/>
  <c r="R1643" i="49"/>
  <c r="BG1640" i="49"/>
  <c r="BI1640" i="49"/>
  <c r="Q1639" i="49"/>
  <c r="AD1639" i="49"/>
  <c r="BC1653" i="49" s="1"/>
  <c r="AC1639" i="49"/>
  <c r="AB1639" i="49"/>
  <c r="AA1639" i="49"/>
  <c r="Z1639" i="49"/>
  <c r="BC1649" i="49" s="1"/>
  <c r="Y1639" i="49"/>
  <c r="X1639" i="49"/>
  <c r="W1639" i="49"/>
  <c r="BC1651" i="49"/>
  <c r="BC1646" i="49"/>
  <c r="V1639" i="49"/>
  <c r="BC1645" i="49" s="1"/>
  <c r="U1639" i="49"/>
  <c r="BC1644" i="49" s="1"/>
  <c r="T1639" i="49"/>
  <c r="S1639" i="49"/>
  <c r="R1639" i="49"/>
  <c r="BC1641" i="49" s="1"/>
  <c r="AZ1686" i="49"/>
  <c r="AV1686" i="49"/>
  <c r="P1643" i="49"/>
  <c r="BC1647" i="49"/>
  <c r="P1639" i="49"/>
  <c r="BE1640" i="49"/>
  <c r="BC1643" i="49"/>
  <c r="BC1652" i="49"/>
  <c r="BC1648" i="49"/>
  <c r="AV1693" i="49"/>
  <c r="AU1693" i="49"/>
  <c r="AT1693" i="49"/>
  <c r="AV1692" i="49"/>
  <c r="AU1692" i="49"/>
  <c r="AT1692" i="49"/>
  <c r="AS1692" i="49"/>
  <c r="AR1692" i="49"/>
  <c r="AQ1692" i="49"/>
  <c r="AP1692" i="49"/>
  <c r="AO1692" i="49"/>
  <c r="AN1692" i="49"/>
  <c r="AM1692" i="49"/>
  <c r="AL1692" i="49"/>
  <c r="AK1692" i="49"/>
  <c r="AV1691" i="49"/>
  <c r="AU1691" i="49"/>
  <c r="AT1691" i="49"/>
  <c r="AS1691" i="49"/>
  <c r="AR1691" i="49"/>
  <c r="AQ1691" i="49"/>
  <c r="AP1691" i="49"/>
  <c r="AO1691" i="49"/>
  <c r="AN1691" i="49"/>
  <c r="AM1691" i="49"/>
  <c r="AL1691" i="49"/>
  <c r="AK1691" i="49"/>
  <c r="AV1690" i="49"/>
  <c r="AU1690" i="49"/>
  <c r="AT1690" i="49"/>
  <c r="AS1690" i="49"/>
  <c r="AS1693" i="49" s="1"/>
  <c r="AR1690" i="49"/>
  <c r="AQ1690" i="49"/>
  <c r="AP1690" i="49"/>
  <c r="AP1693" i="49" s="1"/>
  <c r="AO1690" i="49"/>
  <c r="AN1690" i="49"/>
  <c r="AM1690" i="49"/>
  <c r="AM1693" i="49" s="1"/>
  <c r="AL1690" i="49"/>
  <c r="AK1690" i="49"/>
  <c r="AV1689" i="49"/>
  <c r="AU1689" i="49"/>
  <c r="AT1689" i="49"/>
  <c r="AV1688" i="49"/>
  <c r="AU1688" i="49"/>
  <c r="AT1688" i="49"/>
  <c r="AS1688" i="49"/>
  <c r="AR1688" i="49"/>
  <c r="AQ1688" i="49"/>
  <c r="AP1688" i="49"/>
  <c r="AO1688" i="49"/>
  <c r="AN1688" i="49"/>
  <c r="AM1688" i="49"/>
  <c r="AL1688" i="49"/>
  <c r="AK1688" i="49"/>
  <c r="AV1687" i="49"/>
  <c r="AU1687" i="49"/>
  <c r="AT1687" i="49"/>
  <c r="AS1687" i="49"/>
  <c r="AR1687" i="49"/>
  <c r="AQ1687" i="49"/>
  <c r="AP1687" i="49"/>
  <c r="AO1687" i="49"/>
  <c r="AN1687" i="49"/>
  <c r="AM1687" i="49"/>
  <c r="AL1687" i="49"/>
  <c r="AK1687" i="49"/>
  <c r="BF1686" i="49"/>
  <c r="BE1686" i="49"/>
  <c r="BD1686" i="49"/>
  <c r="BC1686" i="49"/>
  <c r="BB1686" i="49"/>
  <c r="BA1686" i="49"/>
  <c r="AY1686" i="49"/>
  <c r="AX1686" i="49"/>
  <c r="AU1686" i="49"/>
  <c r="AT1686" i="49"/>
  <c r="AS1686" i="49"/>
  <c r="AS1689" i="49" s="1"/>
  <c r="AR1686" i="49"/>
  <c r="AQ1686" i="49"/>
  <c r="AP1686" i="49"/>
  <c r="AP1689" i="49" s="1"/>
  <c r="AO1686" i="49"/>
  <c r="AN1686" i="49"/>
  <c r="AM1686" i="49"/>
  <c r="AM1689" i="49" s="1"/>
  <c r="AL1694" i="49" s="1"/>
  <c r="AL1686" i="49"/>
  <c r="AK1686" i="49"/>
  <c r="BF1685" i="49"/>
  <c r="BE1685" i="49"/>
  <c r="BD1685" i="49"/>
  <c r="BC1685" i="49"/>
  <c r="BB1685" i="49"/>
  <c r="BA1685" i="49"/>
  <c r="AZ1685" i="49"/>
  <c r="AY1685" i="49"/>
  <c r="AX1685" i="49"/>
  <c r="AV1685" i="49"/>
  <c r="AU1685" i="49"/>
  <c r="AT1685" i="49"/>
  <c r="AT1694" i="49" s="1"/>
  <c r="BF1684" i="49"/>
  <c r="BE1684" i="49"/>
  <c r="BD1684" i="49"/>
  <c r="BC1684" i="49"/>
  <c r="BB1684" i="49"/>
  <c r="BA1684" i="49"/>
  <c r="AZ1684" i="49"/>
  <c r="AY1684" i="49"/>
  <c r="AX1684" i="49"/>
  <c r="BB1653" i="49"/>
  <c r="BA1653" i="49"/>
  <c r="BB1652" i="49"/>
  <c r="BA1652" i="49"/>
  <c r="BB1651" i="49"/>
  <c r="BA1651" i="49"/>
  <c r="BC1650" i="49"/>
  <c r="BB1650" i="49"/>
  <c r="BA1650" i="49"/>
  <c r="BB1649" i="49"/>
  <c r="BA1649" i="49"/>
  <c r="BB1648" i="49"/>
  <c r="BA1648" i="49"/>
  <c r="BB1647" i="49"/>
  <c r="BA1647" i="49"/>
  <c r="BB1646" i="49"/>
  <c r="BA1646" i="49"/>
  <c r="AY1646" i="49"/>
  <c r="AX1646" i="49"/>
  <c r="AW1646" i="49"/>
  <c r="AV1646" i="49"/>
  <c r="AU1646" i="49"/>
  <c r="AT1646" i="49"/>
  <c r="AS1646" i="49"/>
  <c r="AR1646" i="49"/>
  <c r="AQ1646" i="49"/>
  <c r="AP1646" i="49"/>
  <c r="AO1646" i="49"/>
  <c r="AN1646" i="49"/>
  <c r="AM1646" i="49"/>
  <c r="AL1646" i="49"/>
  <c r="AK1646" i="49"/>
  <c r="AH1646" i="49"/>
  <c r="BB1645" i="49"/>
  <c r="BA1645" i="49"/>
  <c r="AY1645" i="49"/>
  <c r="AX1645" i="49"/>
  <c r="AW1645" i="49"/>
  <c r="AV1645" i="49"/>
  <c r="AU1645" i="49"/>
  <c r="AT1645" i="49"/>
  <c r="AS1645" i="49"/>
  <c r="AR1645" i="49"/>
  <c r="AQ1645" i="49"/>
  <c r="AP1645" i="49"/>
  <c r="AO1645" i="49"/>
  <c r="AN1645" i="49"/>
  <c r="AM1645" i="49"/>
  <c r="AL1645" i="49"/>
  <c r="AK1645" i="49"/>
  <c r="AH1645" i="49"/>
  <c r="BB1644" i="49"/>
  <c r="BA1644" i="49"/>
  <c r="AY1644" i="49"/>
  <c r="AX1644" i="49"/>
  <c r="AW1644" i="49"/>
  <c r="AV1644" i="49"/>
  <c r="AU1644" i="49"/>
  <c r="AT1644" i="49"/>
  <c r="AS1644" i="49"/>
  <c r="AS1647" i="49" s="1"/>
  <c r="AR1644" i="49"/>
  <c r="AQ1644" i="49"/>
  <c r="AP1644" i="49"/>
  <c r="AP1647" i="49" s="1"/>
  <c r="AO1644" i="49"/>
  <c r="AN1644" i="49"/>
  <c r="AM1644" i="49"/>
  <c r="AM1647" i="49" s="1"/>
  <c r="AL1644" i="49"/>
  <c r="AK1644" i="49"/>
  <c r="AH1644" i="49"/>
  <c r="BB1643" i="49"/>
  <c r="BA1643" i="49"/>
  <c r="BC1642" i="49"/>
  <c r="BB1642" i="49"/>
  <c r="BA1642" i="49"/>
  <c r="AY1642" i="49"/>
  <c r="AX1642" i="49"/>
  <c r="AW1642" i="49"/>
  <c r="AV1642" i="49"/>
  <c r="AU1642" i="49"/>
  <c r="AT1642" i="49"/>
  <c r="AS1642" i="49"/>
  <c r="AR1642" i="49"/>
  <c r="AQ1642" i="49"/>
  <c r="AP1642" i="49"/>
  <c r="AO1642" i="49"/>
  <c r="AN1642" i="49"/>
  <c r="AM1642" i="49"/>
  <c r="AL1642" i="49"/>
  <c r="AK1642" i="49"/>
  <c r="AH1642" i="49"/>
  <c r="BB1641" i="49"/>
  <c r="BA1641" i="49"/>
  <c r="AY1641" i="49"/>
  <c r="AX1641" i="49"/>
  <c r="AW1641" i="49"/>
  <c r="AV1641" i="49"/>
  <c r="AU1641" i="49"/>
  <c r="AT1641" i="49"/>
  <c r="AS1641" i="49"/>
  <c r="AR1641" i="49"/>
  <c r="AQ1641" i="49"/>
  <c r="AP1641" i="49"/>
  <c r="AO1641" i="49"/>
  <c r="AN1641" i="49"/>
  <c r="AM1641" i="49"/>
  <c r="AL1641" i="49"/>
  <c r="AK1641" i="49"/>
  <c r="AH1641" i="49"/>
  <c r="BS1640" i="49"/>
  <c r="BR1640" i="49"/>
  <c r="BQ1640" i="49"/>
  <c r="BP1640" i="49"/>
  <c r="BO1640" i="49"/>
  <c r="BN1640" i="49"/>
  <c r="BF1640" i="49"/>
  <c r="BC1640" i="49"/>
  <c r="BB1640" i="49"/>
  <c r="BA1640" i="49"/>
  <c r="AY1640" i="49"/>
  <c r="AX1640" i="49"/>
  <c r="AW1640" i="49"/>
  <c r="AV1640" i="49"/>
  <c r="AU1640" i="49"/>
  <c r="AT1640" i="49"/>
  <c r="AS1640" i="49"/>
  <c r="AS1643" i="49" s="1"/>
  <c r="AR1640" i="49"/>
  <c r="AQ1640" i="49"/>
  <c r="AP1640" i="49"/>
  <c r="AO1640" i="49"/>
  <c r="AN1640" i="49"/>
  <c r="AM1640" i="49"/>
  <c r="AL1640" i="49"/>
  <c r="AK1640" i="49"/>
  <c r="AH1640" i="49"/>
  <c r="BS1639" i="49"/>
  <c r="BR1639" i="49"/>
  <c r="BQ1639" i="49"/>
  <c r="BP1639" i="49"/>
  <c r="BO1639" i="49"/>
  <c r="BN1639" i="49"/>
  <c r="BM1639" i="49"/>
  <c r="BL1639" i="49"/>
  <c r="BK1639" i="49"/>
  <c r="BJ1639" i="49"/>
  <c r="BI1639" i="49"/>
  <c r="BH1639" i="49"/>
  <c r="BG1639" i="49"/>
  <c r="BF1639" i="49"/>
  <c r="BE1639" i="49"/>
  <c r="BB1639" i="49"/>
  <c r="BA1639" i="49"/>
  <c r="BS1638" i="49"/>
  <c r="BR1638" i="49"/>
  <c r="BQ1638" i="49"/>
  <c r="BP1638" i="49"/>
  <c r="BO1638" i="49"/>
  <c r="BN1638" i="49"/>
  <c r="BM1638" i="49"/>
  <c r="BL1638" i="49"/>
  <c r="BK1638" i="49"/>
  <c r="BJ1638" i="49"/>
  <c r="BI1638" i="49"/>
  <c r="BH1638" i="49"/>
  <c r="BG1638" i="49"/>
  <c r="BF1638" i="49"/>
  <c r="BE1638" i="49"/>
  <c r="B1627" i="49"/>
  <c r="B1626" i="49"/>
  <c r="B1625" i="49"/>
  <c r="B1624" i="49"/>
  <c r="B1622" i="49"/>
  <c r="B1619" i="49"/>
  <c r="B1623" i="49"/>
  <c r="AD1618" i="49"/>
  <c r="AC1618" i="49"/>
  <c r="AB1618" i="49"/>
  <c r="AA1618" i="49"/>
  <c r="Z1618" i="49"/>
  <c r="Y1618" i="49"/>
  <c r="X1618" i="49"/>
  <c r="W1618" i="49"/>
  <c r="V1618" i="49"/>
  <c r="AD1446" i="49"/>
  <c r="AC1446" i="49"/>
  <c r="AB1446" i="49"/>
  <c r="AA1446" i="49"/>
  <c r="Z1446" i="49"/>
  <c r="Y1446" i="49"/>
  <c r="X1446" i="49"/>
  <c r="W1446" i="49"/>
  <c r="V1446" i="49"/>
  <c r="U1446" i="49"/>
  <c r="T1446" i="49"/>
  <c r="S1446" i="49"/>
  <c r="R1446" i="49"/>
  <c r="Q1446" i="49"/>
  <c r="P1446" i="49"/>
  <c r="AH1282" i="49"/>
  <c r="AH1283" i="49"/>
  <c r="AH1284" i="49"/>
  <c r="AH1285" i="49"/>
  <c r="AH1286" i="49"/>
  <c r="AH1287" i="49"/>
  <c r="AH1288" i="49"/>
  <c r="AH1289" i="49"/>
  <c r="AH1290" i="49"/>
  <c r="AH1291" i="49"/>
  <c r="AH1292" i="49"/>
  <c r="AH1293" i="49"/>
  <c r="AH1294" i="49"/>
  <c r="AH1295" i="49"/>
  <c r="AH1296" i="49"/>
  <c r="AH1297" i="49"/>
  <c r="AH1298" i="49"/>
  <c r="AH1299" i="49"/>
  <c r="AH1300" i="49"/>
  <c r="AH1301" i="49"/>
  <c r="AH1302" i="49"/>
  <c r="AH1303" i="49"/>
  <c r="AH1304" i="49"/>
  <c r="AH1305" i="49"/>
  <c r="AH1306" i="49"/>
  <c r="AH1307" i="49"/>
  <c r="AH1308" i="49"/>
  <c r="AH1309" i="49"/>
  <c r="AH1310" i="49"/>
  <c r="AH1311" i="49"/>
  <c r="AH1312" i="49"/>
  <c r="AH1313" i="49"/>
  <c r="AH1314" i="49"/>
  <c r="AH1315" i="49"/>
  <c r="AH1316" i="49"/>
  <c r="AH1317" i="49"/>
  <c r="AH1318" i="49"/>
  <c r="AH1319" i="49"/>
  <c r="AH1320" i="49"/>
  <c r="AH1321" i="49"/>
  <c r="AH1322" i="49"/>
  <c r="AH1323" i="49"/>
  <c r="AH1324" i="49"/>
  <c r="AH1325" i="49"/>
  <c r="AH1326" i="49"/>
  <c r="AH1327" i="49"/>
  <c r="AH1328" i="49"/>
  <c r="AH1329" i="49"/>
  <c r="AH1330" i="49"/>
  <c r="AH1331" i="49"/>
  <c r="AH1332" i="49"/>
  <c r="AH1333" i="49"/>
  <c r="AH1334" i="49"/>
  <c r="AH1335" i="49"/>
  <c r="AH1336" i="49"/>
  <c r="AH1337" i="49"/>
  <c r="AH1338" i="49"/>
  <c r="AH1339" i="49"/>
  <c r="AH1340" i="49"/>
  <c r="AH1341" i="49"/>
  <c r="AH1342" i="49"/>
  <c r="AH1343" i="49"/>
  <c r="AH1344" i="49"/>
  <c r="AH1345" i="49"/>
  <c r="AH1346" i="49"/>
  <c r="AH1347" i="49"/>
  <c r="AH1348" i="49"/>
  <c r="AH1349" i="49"/>
  <c r="AH1350" i="49"/>
  <c r="AH1351" i="49"/>
  <c r="AH1352" i="49"/>
  <c r="AH1353" i="49"/>
  <c r="AH1354" i="49"/>
  <c r="AH1355" i="49"/>
  <c r="AH1356" i="49"/>
  <c r="AH1357" i="49"/>
  <c r="AH1358" i="49"/>
  <c r="AH1359" i="49"/>
  <c r="AH1360" i="49"/>
  <c r="AH1361" i="49"/>
  <c r="AH1362" i="49"/>
  <c r="AH1363" i="49"/>
  <c r="AH1364" i="49"/>
  <c r="AH1365" i="49"/>
  <c r="AH1366" i="49"/>
  <c r="AH1367" i="49"/>
  <c r="AH1368" i="49"/>
  <c r="AH1369" i="49"/>
  <c r="AH1370" i="49"/>
  <c r="AH1371" i="49"/>
  <c r="AH1372" i="49"/>
  <c r="AH1373" i="49"/>
  <c r="AH1374" i="49"/>
  <c r="AH1375" i="49"/>
  <c r="AH1376" i="49"/>
  <c r="AH1377" i="49"/>
  <c r="AH1378" i="49"/>
  <c r="AH1379" i="49"/>
  <c r="AH1380" i="49"/>
  <c r="AH1381" i="49"/>
  <c r="AH1382" i="49"/>
  <c r="AH1383" i="49"/>
  <c r="AH1384" i="49"/>
  <c r="AH1385" i="49"/>
  <c r="AH1386" i="49"/>
  <c r="AH1387" i="49"/>
  <c r="AH1388" i="49"/>
  <c r="AH1389" i="49"/>
  <c r="AH1390" i="49"/>
  <c r="AH1391" i="49"/>
  <c r="AH1392" i="49"/>
  <c r="AH1393" i="49"/>
  <c r="AH1394" i="49"/>
  <c r="AH1395" i="49"/>
  <c r="AH1396" i="49"/>
  <c r="AH1397" i="49"/>
  <c r="AH1398" i="49"/>
  <c r="AH1399" i="49"/>
  <c r="AH1400" i="49"/>
  <c r="AH1401" i="49"/>
  <c r="AH1402" i="49"/>
  <c r="AH1403" i="49"/>
  <c r="AH1404" i="49"/>
  <c r="AH1405" i="49"/>
  <c r="AH1406" i="49"/>
  <c r="AH1407" i="49"/>
  <c r="AH1408" i="49"/>
  <c r="AH1409" i="49"/>
  <c r="AH1410" i="49"/>
  <c r="AH1411" i="49"/>
  <c r="AH1412" i="49"/>
  <c r="AH1413" i="49"/>
  <c r="AH1414" i="49"/>
  <c r="AH1415" i="49"/>
  <c r="AH1416" i="49"/>
  <c r="AH1417" i="49"/>
  <c r="AH1418" i="49"/>
  <c r="AH1419" i="49"/>
  <c r="AH1420" i="49"/>
  <c r="AH1421" i="49"/>
  <c r="AH1422" i="49"/>
  <c r="AH1423" i="49"/>
  <c r="AH1424" i="49"/>
  <c r="AH1425" i="49"/>
  <c r="AH1426" i="49"/>
  <c r="AH1427" i="49"/>
  <c r="AH1428" i="49"/>
  <c r="AH1429" i="49"/>
  <c r="AH1430" i="49"/>
  <c r="AH1431" i="49"/>
  <c r="AH1432" i="49"/>
  <c r="AH1433" i="49"/>
  <c r="AH1434" i="49"/>
  <c r="AH1435" i="49"/>
  <c r="AH1436" i="49"/>
  <c r="AH1437" i="49"/>
  <c r="AH1438" i="49"/>
  <c r="AH1439" i="49"/>
  <c r="AH1440" i="49"/>
  <c r="AH1441" i="49"/>
  <c r="AH1442" i="49"/>
  <c r="AH1443" i="49"/>
  <c r="AH1444" i="49"/>
  <c r="AH1445" i="49"/>
  <c r="AG1282" i="49"/>
  <c r="AG1283" i="49"/>
  <c r="AG1284" i="49"/>
  <c r="AG1285" i="49"/>
  <c r="AG1286" i="49"/>
  <c r="AG1287" i="49"/>
  <c r="AG1288" i="49"/>
  <c r="AG1289" i="49"/>
  <c r="AG1290" i="49"/>
  <c r="AG1291" i="49"/>
  <c r="AG1292" i="49"/>
  <c r="AG1293" i="49"/>
  <c r="AG1294" i="49"/>
  <c r="AG1295" i="49"/>
  <c r="AG1296" i="49"/>
  <c r="AG1297" i="49"/>
  <c r="AG1298" i="49"/>
  <c r="AG1299" i="49"/>
  <c r="AG1300" i="49"/>
  <c r="AG1301" i="49"/>
  <c r="AG1302" i="49"/>
  <c r="AG1303" i="49"/>
  <c r="AG1304" i="49"/>
  <c r="AG1305" i="49"/>
  <c r="AG1306" i="49"/>
  <c r="AG1307" i="49"/>
  <c r="AG1308" i="49"/>
  <c r="AG1309" i="49"/>
  <c r="AG1310" i="49"/>
  <c r="AG1311" i="49"/>
  <c r="AG1312" i="49"/>
  <c r="AG1313" i="49"/>
  <c r="AG1314" i="49"/>
  <c r="AG1315" i="49"/>
  <c r="AG1316" i="49"/>
  <c r="AG1317" i="49"/>
  <c r="AG1318" i="49"/>
  <c r="AG1319" i="49"/>
  <c r="AG1320" i="49"/>
  <c r="AG1321" i="49"/>
  <c r="AG1322" i="49"/>
  <c r="AG1323" i="49"/>
  <c r="AG1324" i="49"/>
  <c r="AG1325" i="49"/>
  <c r="AG1326" i="49"/>
  <c r="AG1327" i="49"/>
  <c r="AG1328" i="49"/>
  <c r="AG1329" i="49"/>
  <c r="AG1330" i="49"/>
  <c r="AG1331" i="49"/>
  <c r="AG1332" i="49"/>
  <c r="AG1333" i="49"/>
  <c r="AG1334" i="49"/>
  <c r="AG1335" i="49"/>
  <c r="AG1336" i="49"/>
  <c r="AG1337" i="49"/>
  <c r="AG1338" i="49"/>
  <c r="AG1339" i="49"/>
  <c r="AG1340" i="49"/>
  <c r="AG1341" i="49"/>
  <c r="AG1342" i="49"/>
  <c r="AG1343" i="49"/>
  <c r="AG1344" i="49"/>
  <c r="AG1345" i="49"/>
  <c r="AG1346" i="49"/>
  <c r="AG1347" i="49"/>
  <c r="AG1348" i="49"/>
  <c r="AG1349" i="49"/>
  <c r="AG1350" i="49"/>
  <c r="AG1351" i="49"/>
  <c r="AG1352" i="49"/>
  <c r="AG1353" i="49"/>
  <c r="AG1354" i="49"/>
  <c r="AG1355" i="49"/>
  <c r="AG1356" i="49"/>
  <c r="AG1357" i="49"/>
  <c r="AG1358" i="49"/>
  <c r="AG1359" i="49"/>
  <c r="AG1360" i="49"/>
  <c r="AG1361" i="49"/>
  <c r="AG1362" i="49"/>
  <c r="AG1363" i="49"/>
  <c r="AG1364" i="49"/>
  <c r="AG1365" i="49"/>
  <c r="AG1366" i="49"/>
  <c r="AG1367" i="49"/>
  <c r="AG1368" i="49"/>
  <c r="AG1369" i="49"/>
  <c r="AG1370" i="49"/>
  <c r="AG1371" i="49"/>
  <c r="AG1372" i="49"/>
  <c r="AG1373" i="49"/>
  <c r="AG1374" i="49"/>
  <c r="AG1375" i="49"/>
  <c r="AG1376" i="49"/>
  <c r="AG1377" i="49"/>
  <c r="AG1378" i="49"/>
  <c r="AG1379" i="49"/>
  <c r="AG1380" i="49"/>
  <c r="AG1381" i="49"/>
  <c r="AG1382" i="49"/>
  <c r="AG1383" i="49"/>
  <c r="AG1384" i="49"/>
  <c r="AG1385" i="49"/>
  <c r="AG1386" i="49"/>
  <c r="AG1387" i="49"/>
  <c r="AG1388" i="49"/>
  <c r="AG1389" i="49"/>
  <c r="AG1390" i="49"/>
  <c r="AG1391" i="49"/>
  <c r="AG1392" i="49"/>
  <c r="AG1393" i="49"/>
  <c r="AG1394" i="49"/>
  <c r="AG1395" i="49"/>
  <c r="AG1396" i="49"/>
  <c r="AG1397" i="49"/>
  <c r="AG1398" i="49"/>
  <c r="AG1399" i="49"/>
  <c r="AG1400" i="49"/>
  <c r="AG1401" i="49"/>
  <c r="AG1402" i="49"/>
  <c r="AG1403" i="49"/>
  <c r="AG1404" i="49"/>
  <c r="AG1405" i="49"/>
  <c r="AG1406" i="49"/>
  <c r="AG1407" i="49"/>
  <c r="AG1408" i="49"/>
  <c r="AG1409" i="49"/>
  <c r="AG1410" i="49"/>
  <c r="AG1411" i="49"/>
  <c r="AG1412" i="49"/>
  <c r="AG1413" i="49"/>
  <c r="AG1414" i="49"/>
  <c r="AG1415" i="49"/>
  <c r="AG1416" i="49"/>
  <c r="AG1417" i="49"/>
  <c r="AG1418" i="49"/>
  <c r="AG1419" i="49"/>
  <c r="AG1420" i="49"/>
  <c r="AG1421" i="49"/>
  <c r="AG1422" i="49"/>
  <c r="AG1423" i="49"/>
  <c r="AG1424" i="49"/>
  <c r="AG1425" i="49"/>
  <c r="AG1426" i="49"/>
  <c r="AG1427" i="49"/>
  <c r="AG1428" i="49"/>
  <c r="AG1429" i="49"/>
  <c r="AG1430" i="49"/>
  <c r="AG1431" i="49"/>
  <c r="AG1432" i="49"/>
  <c r="AG1433" i="49"/>
  <c r="AG1434" i="49"/>
  <c r="AG1435" i="49"/>
  <c r="AG1436" i="49"/>
  <c r="AG1437" i="49"/>
  <c r="AG1438" i="49"/>
  <c r="AG1439" i="49"/>
  <c r="AG1440" i="49"/>
  <c r="AG1441" i="49"/>
  <c r="AG1442" i="49"/>
  <c r="AG1443" i="49"/>
  <c r="AG1444" i="49"/>
  <c r="AG1445" i="49"/>
  <c r="AJ1444" i="49"/>
  <c r="AJ1411" i="49"/>
  <c r="AJ1394" i="49"/>
  <c r="AJ1365" i="49"/>
  <c r="AJ1347" i="49"/>
  <c r="AJ1344" i="49"/>
  <c r="AJ1310" i="49"/>
  <c r="AJ1298" i="49"/>
  <c r="AJ1285" i="49"/>
  <c r="AI1281" i="49"/>
  <c r="AG1281" i="49"/>
  <c r="AS1617" i="49"/>
  <c r="AR1617" i="49"/>
  <c r="AQ1617" i="49"/>
  <c r="AP1617" i="49"/>
  <c r="AO1617" i="49"/>
  <c r="AN1617" i="49"/>
  <c r="AM1617" i="49"/>
  <c r="AL1617" i="49"/>
  <c r="AK1617" i="49"/>
  <c r="AS1616" i="49"/>
  <c r="AR1616" i="49"/>
  <c r="AQ1616" i="49"/>
  <c r="AP1616" i="49"/>
  <c r="AO1616" i="49"/>
  <c r="AN1616" i="49"/>
  <c r="AM1616" i="49"/>
  <c r="AL1616" i="49"/>
  <c r="AK1616" i="49"/>
  <c r="AS1615" i="49"/>
  <c r="AR1615" i="49"/>
  <c r="AQ1615" i="49"/>
  <c r="AP1615" i="49"/>
  <c r="AO1615" i="49"/>
  <c r="AN1615" i="49"/>
  <c r="AM1615" i="49"/>
  <c r="AL1615" i="49"/>
  <c r="AK1615" i="49"/>
  <c r="AS1614" i="49"/>
  <c r="AR1614" i="49"/>
  <c r="AQ1614" i="49"/>
  <c r="AP1614" i="49"/>
  <c r="AO1614" i="49"/>
  <c r="AN1614" i="49"/>
  <c r="AM1614" i="49"/>
  <c r="AL1614" i="49"/>
  <c r="AK1614" i="49"/>
  <c r="AS1613" i="49"/>
  <c r="AR1613" i="49"/>
  <c r="AQ1613" i="49"/>
  <c r="AP1613" i="49"/>
  <c r="AO1613" i="49"/>
  <c r="AN1613" i="49"/>
  <c r="AM1613" i="49"/>
  <c r="AL1613" i="49"/>
  <c r="AK1613" i="49"/>
  <c r="AS1612" i="49"/>
  <c r="AR1612" i="49"/>
  <c r="AQ1612" i="49"/>
  <c r="AP1612" i="49"/>
  <c r="AO1612" i="49"/>
  <c r="AN1612" i="49"/>
  <c r="AM1612" i="49"/>
  <c r="AL1612" i="49"/>
  <c r="AK1612" i="49"/>
  <c r="AS1611" i="49"/>
  <c r="AR1611" i="49"/>
  <c r="AQ1611" i="49"/>
  <c r="AP1611" i="49"/>
  <c r="AO1611" i="49"/>
  <c r="AN1611" i="49"/>
  <c r="AM1611" i="49"/>
  <c r="AL1611" i="49"/>
  <c r="AK1611" i="49"/>
  <c r="AS1610" i="49"/>
  <c r="AR1610" i="49"/>
  <c r="AQ1610" i="49"/>
  <c r="AP1610" i="49"/>
  <c r="AO1610" i="49"/>
  <c r="AN1610" i="49"/>
  <c r="AM1610" i="49"/>
  <c r="AL1610" i="49"/>
  <c r="AK1610" i="49"/>
  <c r="AS1609" i="49"/>
  <c r="AR1609" i="49"/>
  <c r="AQ1609" i="49"/>
  <c r="AP1609" i="49"/>
  <c r="AO1609" i="49"/>
  <c r="AN1609" i="49"/>
  <c r="AM1609" i="49"/>
  <c r="AL1609" i="49"/>
  <c r="AK1609" i="49"/>
  <c r="AS1608" i="49"/>
  <c r="AR1608" i="49"/>
  <c r="AQ1608" i="49"/>
  <c r="AP1608" i="49"/>
  <c r="AO1608" i="49"/>
  <c r="AN1608" i="49"/>
  <c r="AM1608" i="49"/>
  <c r="AL1608" i="49"/>
  <c r="AK1608" i="49"/>
  <c r="AS1607" i="49"/>
  <c r="AR1607" i="49"/>
  <c r="AQ1607" i="49"/>
  <c r="AP1607" i="49"/>
  <c r="AO1607" i="49"/>
  <c r="AN1607" i="49"/>
  <c r="AM1607" i="49"/>
  <c r="AL1607" i="49"/>
  <c r="AK1607" i="49"/>
  <c r="AS1606" i="49"/>
  <c r="AR1606" i="49"/>
  <c r="AQ1606" i="49"/>
  <c r="AP1606" i="49"/>
  <c r="AO1606" i="49"/>
  <c r="AN1606" i="49"/>
  <c r="AM1606" i="49"/>
  <c r="AL1606" i="49"/>
  <c r="AK1606" i="49"/>
  <c r="AS1605" i="49"/>
  <c r="AR1605" i="49"/>
  <c r="AQ1605" i="49"/>
  <c r="AP1605" i="49"/>
  <c r="AO1605" i="49"/>
  <c r="AN1605" i="49"/>
  <c r="AM1605" i="49"/>
  <c r="AL1605" i="49"/>
  <c r="AK1605" i="49"/>
  <c r="AS1604" i="49"/>
  <c r="AR1604" i="49"/>
  <c r="AQ1604" i="49"/>
  <c r="AP1604" i="49"/>
  <c r="AO1604" i="49"/>
  <c r="AN1604" i="49"/>
  <c r="AM1604" i="49"/>
  <c r="AL1604" i="49"/>
  <c r="AK1604" i="49"/>
  <c r="AS1603" i="49"/>
  <c r="AR1603" i="49"/>
  <c r="AQ1603" i="49"/>
  <c r="AP1603" i="49"/>
  <c r="AO1603" i="49"/>
  <c r="AN1603" i="49"/>
  <c r="AM1603" i="49"/>
  <c r="AL1603" i="49"/>
  <c r="AK1603" i="49"/>
  <c r="AS1602" i="49"/>
  <c r="AR1602" i="49"/>
  <c r="AQ1602" i="49"/>
  <c r="AP1602" i="49"/>
  <c r="AO1602" i="49"/>
  <c r="AN1602" i="49"/>
  <c r="AM1602" i="49"/>
  <c r="AL1602" i="49"/>
  <c r="AK1602" i="49"/>
  <c r="AS1601" i="49"/>
  <c r="AR1601" i="49"/>
  <c r="AQ1601" i="49"/>
  <c r="AP1601" i="49"/>
  <c r="AO1601" i="49"/>
  <c r="AN1601" i="49"/>
  <c r="AM1601" i="49"/>
  <c r="AL1601" i="49"/>
  <c r="AK1601" i="49"/>
  <c r="AS1600" i="49"/>
  <c r="AR1600" i="49"/>
  <c r="AQ1600" i="49"/>
  <c r="AP1600" i="49"/>
  <c r="AO1600" i="49"/>
  <c r="AN1600" i="49"/>
  <c r="AM1600" i="49"/>
  <c r="AL1600" i="49"/>
  <c r="AK1600" i="49"/>
  <c r="AS1599" i="49"/>
  <c r="AR1599" i="49"/>
  <c r="AQ1599" i="49"/>
  <c r="AP1599" i="49"/>
  <c r="AO1599" i="49"/>
  <c r="AN1599" i="49"/>
  <c r="AM1599" i="49"/>
  <c r="AL1599" i="49"/>
  <c r="AK1599" i="49"/>
  <c r="AS1598" i="49"/>
  <c r="AR1598" i="49"/>
  <c r="AQ1598" i="49"/>
  <c r="AP1598" i="49"/>
  <c r="AO1598" i="49"/>
  <c r="AN1598" i="49"/>
  <c r="AM1598" i="49"/>
  <c r="AL1598" i="49"/>
  <c r="AK1598" i="49"/>
  <c r="AS1597" i="49"/>
  <c r="AR1597" i="49"/>
  <c r="AQ1597" i="49"/>
  <c r="AP1597" i="49"/>
  <c r="AO1597" i="49"/>
  <c r="AN1597" i="49"/>
  <c r="AM1597" i="49"/>
  <c r="AL1597" i="49"/>
  <c r="AK1597" i="49"/>
  <c r="AS1596" i="49"/>
  <c r="AR1596" i="49"/>
  <c r="AQ1596" i="49"/>
  <c r="AP1596" i="49"/>
  <c r="AO1596" i="49"/>
  <c r="AN1596" i="49"/>
  <c r="AM1596" i="49"/>
  <c r="AL1596" i="49"/>
  <c r="AK1596" i="49"/>
  <c r="AS1595" i="49"/>
  <c r="AR1595" i="49"/>
  <c r="AQ1595" i="49"/>
  <c r="AP1595" i="49"/>
  <c r="AO1595" i="49"/>
  <c r="AN1595" i="49"/>
  <c r="AM1595" i="49"/>
  <c r="AL1595" i="49"/>
  <c r="AK1595" i="49"/>
  <c r="AS1594" i="49"/>
  <c r="AR1594" i="49"/>
  <c r="AQ1594" i="49"/>
  <c r="AP1594" i="49"/>
  <c r="AO1594" i="49"/>
  <c r="AN1594" i="49"/>
  <c r="AM1594" i="49"/>
  <c r="AL1594" i="49"/>
  <c r="AK1594" i="49"/>
  <c r="AS1593" i="49"/>
  <c r="AR1593" i="49"/>
  <c r="AQ1593" i="49"/>
  <c r="AP1593" i="49"/>
  <c r="AO1593" i="49"/>
  <c r="AN1593" i="49"/>
  <c r="AM1593" i="49"/>
  <c r="AL1593" i="49"/>
  <c r="AK1593" i="49"/>
  <c r="AS1592" i="49"/>
  <c r="AR1592" i="49"/>
  <c r="AQ1592" i="49"/>
  <c r="AP1592" i="49"/>
  <c r="AO1592" i="49"/>
  <c r="AN1592" i="49"/>
  <c r="AM1592" i="49"/>
  <c r="AL1592" i="49"/>
  <c r="AK1592" i="49"/>
  <c r="AS1591" i="49"/>
  <c r="AR1591" i="49"/>
  <c r="AQ1591" i="49"/>
  <c r="AP1591" i="49"/>
  <c r="AO1591" i="49"/>
  <c r="AN1591" i="49"/>
  <c r="AM1591" i="49"/>
  <c r="AL1591" i="49"/>
  <c r="AK1591" i="49"/>
  <c r="AS1590" i="49"/>
  <c r="AR1590" i="49"/>
  <c r="AQ1590" i="49"/>
  <c r="AP1590" i="49"/>
  <c r="AO1590" i="49"/>
  <c r="AN1590" i="49"/>
  <c r="AM1590" i="49"/>
  <c r="AL1590" i="49"/>
  <c r="AK1590" i="49"/>
  <c r="AS1589" i="49"/>
  <c r="AR1589" i="49"/>
  <c r="AQ1589" i="49"/>
  <c r="AP1589" i="49"/>
  <c r="AO1589" i="49"/>
  <c r="AN1589" i="49"/>
  <c r="AM1589" i="49"/>
  <c r="AL1589" i="49"/>
  <c r="AK1589" i="49"/>
  <c r="AS1588" i="49"/>
  <c r="AR1588" i="49"/>
  <c r="AQ1588" i="49"/>
  <c r="AP1588" i="49"/>
  <c r="AO1588" i="49"/>
  <c r="AN1588" i="49"/>
  <c r="AM1588" i="49"/>
  <c r="AL1588" i="49"/>
  <c r="AK1588" i="49"/>
  <c r="AS1587" i="49"/>
  <c r="AR1587" i="49"/>
  <c r="AQ1587" i="49"/>
  <c r="AP1587" i="49"/>
  <c r="AO1587" i="49"/>
  <c r="AN1587" i="49"/>
  <c r="AM1587" i="49"/>
  <c r="AL1587" i="49"/>
  <c r="AK1587" i="49"/>
  <c r="AS1586" i="49"/>
  <c r="AR1586" i="49"/>
  <c r="AQ1586" i="49"/>
  <c r="AP1586" i="49"/>
  <c r="AO1586" i="49"/>
  <c r="AN1586" i="49"/>
  <c r="AM1586" i="49"/>
  <c r="AL1586" i="49"/>
  <c r="AK1586" i="49"/>
  <c r="AS1585" i="49"/>
  <c r="AR1585" i="49"/>
  <c r="AQ1585" i="49"/>
  <c r="AP1585" i="49"/>
  <c r="AO1585" i="49"/>
  <c r="AN1585" i="49"/>
  <c r="AM1585" i="49"/>
  <c r="AL1585" i="49"/>
  <c r="AK1585" i="49"/>
  <c r="AS1584" i="49"/>
  <c r="AR1584" i="49"/>
  <c r="AQ1584" i="49"/>
  <c r="AP1584" i="49"/>
  <c r="AO1584" i="49"/>
  <c r="AN1584" i="49"/>
  <c r="AM1584" i="49"/>
  <c r="AL1584" i="49"/>
  <c r="AK1584" i="49"/>
  <c r="AS1583" i="49"/>
  <c r="AR1583" i="49"/>
  <c r="AQ1583" i="49"/>
  <c r="AP1583" i="49"/>
  <c r="AO1583" i="49"/>
  <c r="AN1583" i="49"/>
  <c r="AM1583" i="49"/>
  <c r="AL1583" i="49"/>
  <c r="AK1583" i="49"/>
  <c r="AS1582" i="49"/>
  <c r="AR1582" i="49"/>
  <c r="AQ1582" i="49"/>
  <c r="AP1582" i="49"/>
  <c r="AO1582" i="49"/>
  <c r="AN1582" i="49"/>
  <c r="AM1582" i="49"/>
  <c r="AL1582" i="49"/>
  <c r="AK1582" i="49"/>
  <c r="AS1581" i="49"/>
  <c r="AR1581" i="49"/>
  <c r="AQ1581" i="49"/>
  <c r="AP1581" i="49"/>
  <c r="AO1581" i="49"/>
  <c r="AN1581" i="49"/>
  <c r="AM1581" i="49"/>
  <c r="AL1581" i="49"/>
  <c r="AK1581" i="49"/>
  <c r="AS1580" i="49"/>
  <c r="AR1580" i="49"/>
  <c r="AQ1580" i="49"/>
  <c r="AP1580" i="49"/>
  <c r="AO1580" i="49"/>
  <c r="AN1580" i="49"/>
  <c r="AM1580" i="49"/>
  <c r="AL1580" i="49"/>
  <c r="AK1580" i="49"/>
  <c r="AS1579" i="49"/>
  <c r="AR1579" i="49"/>
  <c r="AQ1579" i="49"/>
  <c r="AP1579" i="49"/>
  <c r="AO1579" i="49"/>
  <c r="AN1579" i="49"/>
  <c r="AM1579" i="49"/>
  <c r="AL1579" i="49"/>
  <c r="AK1579" i="49"/>
  <c r="AS1578" i="49"/>
  <c r="AR1578" i="49"/>
  <c r="AQ1578" i="49"/>
  <c r="AP1578" i="49"/>
  <c r="AO1578" i="49"/>
  <c r="AN1578" i="49"/>
  <c r="AM1578" i="49"/>
  <c r="AL1578" i="49"/>
  <c r="AK1578" i="49"/>
  <c r="AS1577" i="49"/>
  <c r="AR1577" i="49"/>
  <c r="AQ1577" i="49"/>
  <c r="AP1577" i="49"/>
  <c r="AO1577" i="49"/>
  <c r="AN1577" i="49"/>
  <c r="AM1577" i="49"/>
  <c r="AL1577" i="49"/>
  <c r="AK1577" i="49"/>
  <c r="AS1576" i="49"/>
  <c r="AR1576" i="49"/>
  <c r="AQ1576" i="49"/>
  <c r="AP1576" i="49"/>
  <c r="AO1576" i="49"/>
  <c r="AN1576" i="49"/>
  <c r="AM1576" i="49"/>
  <c r="AL1576" i="49"/>
  <c r="AK1576" i="49"/>
  <c r="AS1575" i="49"/>
  <c r="AR1575" i="49"/>
  <c r="AQ1575" i="49"/>
  <c r="AP1575" i="49"/>
  <c r="AO1575" i="49"/>
  <c r="AN1575" i="49"/>
  <c r="AM1575" i="49"/>
  <c r="AL1575" i="49"/>
  <c r="AK1575" i="49"/>
  <c r="AS1574" i="49"/>
  <c r="AR1574" i="49"/>
  <c r="AQ1574" i="49"/>
  <c r="AP1574" i="49"/>
  <c r="AO1574" i="49"/>
  <c r="AN1574" i="49"/>
  <c r="AM1574" i="49"/>
  <c r="AL1574" i="49"/>
  <c r="AK1574" i="49"/>
  <c r="AS1573" i="49"/>
  <c r="AR1573" i="49"/>
  <c r="AQ1573" i="49"/>
  <c r="AP1573" i="49"/>
  <c r="AO1573" i="49"/>
  <c r="AN1573" i="49"/>
  <c r="AM1573" i="49"/>
  <c r="AL1573" i="49"/>
  <c r="AK1573" i="49"/>
  <c r="AS1572" i="49"/>
  <c r="AR1572" i="49"/>
  <c r="AQ1572" i="49"/>
  <c r="AP1572" i="49"/>
  <c r="AO1572" i="49"/>
  <c r="AN1572" i="49"/>
  <c r="AM1572" i="49"/>
  <c r="AL1572" i="49"/>
  <c r="AK1572" i="49"/>
  <c r="AS1571" i="49"/>
  <c r="AR1571" i="49"/>
  <c r="AQ1571" i="49"/>
  <c r="AP1571" i="49"/>
  <c r="AO1571" i="49"/>
  <c r="AN1571" i="49"/>
  <c r="AM1571" i="49"/>
  <c r="AL1571" i="49"/>
  <c r="AK1571" i="49"/>
  <c r="AS1570" i="49"/>
  <c r="AR1570" i="49"/>
  <c r="AQ1570" i="49"/>
  <c r="AP1570" i="49"/>
  <c r="AO1570" i="49"/>
  <c r="AN1570" i="49"/>
  <c r="AM1570" i="49"/>
  <c r="AL1570" i="49"/>
  <c r="AK1570" i="49"/>
  <c r="AS1569" i="49"/>
  <c r="AR1569" i="49"/>
  <c r="AQ1569" i="49"/>
  <c r="AP1569" i="49"/>
  <c r="AO1569" i="49"/>
  <c r="AN1569" i="49"/>
  <c r="AM1569" i="49"/>
  <c r="AL1569" i="49"/>
  <c r="AK1569" i="49"/>
  <c r="AS1568" i="49"/>
  <c r="AR1568" i="49"/>
  <c r="AQ1568" i="49"/>
  <c r="AP1568" i="49"/>
  <c r="AO1568" i="49"/>
  <c r="AN1568" i="49"/>
  <c r="AM1568" i="49"/>
  <c r="AL1568" i="49"/>
  <c r="AK1568" i="49"/>
  <c r="AS1567" i="49"/>
  <c r="AR1567" i="49"/>
  <c r="AQ1567" i="49"/>
  <c r="AP1567" i="49"/>
  <c r="AO1567" i="49"/>
  <c r="AN1567" i="49"/>
  <c r="AM1567" i="49"/>
  <c r="AL1567" i="49"/>
  <c r="AK1567" i="49"/>
  <c r="AS1566" i="49"/>
  <c r="AR1566" i="49"/>
  <c r="AQ1566" i="49"/>
  <c r="AP1566" i="49"/>
  <c r="AO1566" i="49"/>
  <c r="AN1566" i="49"/>
  <c r="AM1566" i="49"/>
  <c r="AL1566" i="49"/>
  <c r="AK1566" i="49"/>
  <c r="AS1565" i="49"/>
  <c r="AR1565" i="49"/>
  <c r="AQ1565" i="49"/>
  <c r="AP1565" i="49"/>
  <c r="AO1565" i="49"/>
  <c r="AN1565" i="49"/>
  <c r="AM1565" i="49"/>
  <c r="AL1565" i="49"/>
  <c r="AK1565" i="49"/>
  <c r="AS1564" i="49"/>
  <c r="AR1564" i="49"/>
  <c r="AQ1564" i="49"/>
  <c r="AP1564" i="49"/>
  <c r="AO1564" i="49"/>
  <c r="AN1564" i="49"/>
  <c r="AM1564" i="49"/>
  <c r="AL1564" i="49"/>
  <c r="AK1564" i="49"/>
  <c r="AS1563" i="49"/>
  <c r="AR1563" i="49"/>
  <c r="AQ1563" i="49"/>
  <c r="AP1563" i="49"/>
  <c r="AO1563" i="49"/>
  <c r="AN1563" i="49"/>
  <c r="AM1563" i="49"/>
  <c r="AL1563" i="49"/>
  <c r="AK1563" i="49"/>
  <c r="AS1562" i="49"/>
  <c r="AR1562" i="49"/>
  <c r="AQ1562" i="49"/>
  <c r="AP1562" i="49"/>
  <c r="AO1562" i="49"/>
  <c r="AN1562" i="49"/>
  <c r="AM1562" i="49"/>
  <c r="AL1562" i="49"/>
  <c r="AK1562" i="49"/>
  <c r="AS1561" i="49"/>
  <c r="AR1561" i="49"/>
  <c r="AQ1561" i="49"/>
  <c r="AP1561" i="49"/>
  <c r="AO1561" i="49"/>
  <c r="AN1561" i="49"/>
  <c r="AM1561" i="49"/>
  <c r="AL1561" i="49"/>
  <c r="AK1561" i="49"/>
  <c r="AS1560" i="49"/>
  <c r="AR1560" i="49"/>
  <c r="AQ1560" i="49"/>
  <c r="AP1560" i="49"/>
  <c r="AO1560" i="49"/>
  <c r="AN1560" i="49"/>
  <c r="AM1560" i="49"/>
  <c r="AL1560" i="49"/>
  <c r="AK1560" i="49"/>
  <c r="AS1559" i="49"/>
  <c r="AR1559" i="49"/>
  <c r="AQ1559" i="49"/>
  <c r="AP1559" i="49"/>
  <c r="AO1559" i="49"/>
  <c r="AN1559" i="49"/>
  <c r="AM1559" i="49"/>
  <c r="AL1559" i="49"/>
  <c r="AK1559" i="49"/>
  <c r="AS1558" i="49"/>
  <c r="AR1558" i="49"/>
  <c r="AQ1558" i="49"/>
  <c r="AP1558" i="49"/>
  <c r="AO1558" i="49"/>
  <c r="AN1558" i="49"/>
  <c r="AM1558" i="49"/>
  <c r="AL1558" i="49"/>
  <c r="AK1558" i="49"/>
  <c r="AS1557" i="49"/>
  <c r="AR1557" i="49"/>
  <c r="AQ1557" i="49"/>
  <c r="AP1557" i="49"/>
  <c r="AO1557" i="49"/>
  <c r="AN1557" i="49"/>
  <c r="AM1557" i="49"/>
  <c r="AL1557" i="49"/>
  <c r="AK1557" i="49"/>
  <c r="AS1556" i="49"/>
  <c r="AR1556" i="49"/>
  <c r="AQ1556" i="49"/>
  <c r="AP1556" i="49"/>
  <c r="AO1556" i="49"/>
  <c r="AN1556" i="49"/>
  <c r="AM1556" i="49"/>
  <c r="AL1556" i="49"/>
  <c r="AK1556" i="49"/>
  <c r="AS1555" i="49"/>
  <c r="AR1555" i="49"/>
  <c r="AQ1555" i="49"/>
  <c r="AP1555" i="49"/>
  <c r="AO1555" i="49"/>
  <c r="AN1555" i="49"/>
  <c r="AM1555" i="49"/>
  <c r="AL1555" i="49"/>
  <c r="AK1555" i="49"/>
  <c r="AS1554" i="49"/>
  <c r="AR1554" i="49"/>
  <c r="AQ1554" i="49"/>
  <c r="AP1554" i="49"/>
  <c r="AO1554" i="49"/>
  <c r="AN1554" i="49"/>
  <c r="AM1554" i="49"/>
  <c r="AL1554" i="49"/>
  <c r="AK1554" i="49"/>
  <c r="AS1553" i="49"/>
  <c r="AR1553" i="49"/>
  <c r="AQ1553" i="49"/>
  <c r="AP1553" i="49"/>
  <c r="AO1553" i="49"/>
  <c r="AN1553" i="49"/>
  <c r="AM1553" i="49"/>
  <c r="AL1553" i="49"/>
  <c r="AK1553" i="49"/>
  <c r="AS1552" i="49"/>
  <c r="AR1552" i="49"/>
  <c r="AQ1552" i="49"/>
  <c r="AP1552" i="49"/>
  <c r="AO1552" i="49"/>
  <c r="AN1552" i="49"/>
  <c r="AM1552" i="49"/>
  <c r="AL1552" i="49"/>
  <c r="AK1552" i="49"/>
  <c r="AS1551" i="49"/>
  <c r="AR1551" i="49"/>
  <c r="AQ1551" i="49"/>
  <c r="AP1551" i="49"/>
  <c r="AO1551" i="49"/>
  <c r="AN1551" i="49"/>
  <c r="AM1551" i="49"/>
  <c r="AL1551" i="49"/>
  <c r="AK1551" i="49"/>
  <c r="AS1550" i="49"/>
  <c r="AR1550" i="49"/>
  <c r="AQ1550" i="49"/>
  <c r="AP1550" i="49"/>
  <c r="AO1550" i="49"/>
  <c r="AN1550" i="49"/>
  <c r="AM1550" i="49"/>
  <c r="AL1550" i="49"/>
  <c r="AK1550" i="49"/>
  <c r="AS1549" i="49"/>
  <c r="AR1549" i="49"/>
  <c r="AQ1549" i="49"/>
  <c r="AP1549" i="49"/>
  <c r="AO1549" i="49"/>
  <c r="AN1549" i="49"/>
  <c r="AM1549" i="49"/>
  <c r="AL1549" i="49"/>
  <c r="AK1549" i="49"/>
  <c r="AS1548" i="49"/>
  <c r="AR1548" i="49"/>
  <c r="AQ1548" i="49"/>
  <c r="AP1548" i="49"/>
  <c r="AO1548" i="49"/>
  <c r="AN1548" i="49"/>
  <c r="AM1548" i="49"/>
  <c r="AL1548" i="49"/>
  <c r="AK1548" i="49"/>
  <c r="AS1547" i="49"/>
  <c r="AR1547" i="49"/>
  <c r="AQ1547" i="49"/>
  <c r="AP1547" i="49"/>
  <c r="AO1547" i="49"/>
  <c r="AN1547" i="49"/>
  <c r="AM1547" i="49"/>
  <c r="AL1547" i="49"/>
  <c r="AK1547" i="49"/>
  <c r="AS1546" i="49"/>
  <c r="AR1546" i="49"/>
  <c r="AQ1546" i="49"/>
  <c r="AP1546" i="49"/>
  <c r="AO1546" i="49"/>
  <c r="AN1546" i="49"/>
  <c r="AM1546" i="49"/>
  <c r="AL1546" i="49"/>
  <c r="AK1546" i="49"/>
  <c r="AS1545" i="49"/>
  <c r="AR1545" i="49"/>
  <c r="AQ1545" i="49"/>
  <c r="AP1545" i="49"/>
  <c r="AO1545" i="49"/>
  <c r="AN1545" i="49"/>
  <c r="AM1545" i="49"/>
  <c r="AL1545" i="49"/>
  <c r="AK1545" i="49"/>
  <c r="AS1544" i="49"/>
  <c r="AR1544" i="49"/>
  <c r="AQ1544" i="49"/>
  <c r="AP1544" i="49"/>
  <c r="AO1544" i="49"/>
  <c r="AN1544" i="49"/>
  <c r="AM1544" i="49"/>
  <c r="AL1544" i="49"/>
  <c r="AK1544" i="49"/>
  <c r="AS1543" i="49"/>
  <c r="AR1543" i="49"/>
  <c r="AQ1543" i="49"/>
  <c r="AP1543" i="49"/>
  <c r="AO1543" i="49"/>
  <c r="AN1543" i="49"/>
  <c r="AM1543" i="49"/>
  <c r="AL1543" i="49"/>
  <c r="AK1543" i="49"/>
  <c r="AS1542" i="49"/>
  <c r="AR1542" i="49"/>
  <c r="AQ1542" i="49"/>
  <c r="AP1542" i="49"/>
  <c r="AO1542" i="49"/>
  <c r="AN1542" i="49"/>
  <c r="AM1542" i="49"/>
  <c r="AL1542" i="49"/>
  <c r="AK1542" i="49"/>
  <c r="AS1541" i="49"/>
  <c r="AR1541" i="49"/>
  <c r="AQ1541" i="49"/>
  <c r="AP1541" i="49"/>
  <c r="AO1541" i="49"/>
  <c r="AN1541" i="49"/>
  <c r="AM1541" i="49"/>
  <c r="AL1541" i="49"/>
  <c r="AK1541" i="49"/>
  <c r="AS1540" i="49"/>
  <c r="AR1540" i="49"/>
  <c r="AQ1540" i="49"/>
  <c r="AP1540" i="49"/>
  <c r="AO1540" i="49"/>
  <c r="AN1540" i="49"/>
  <c r="AM1540" i="49"/>
  <c r="AL1540" i="49"/>
  <c r="AK1540" i="49"/>
  <c r="AS1539" i="49"/>
  <c r="AR1539" i="49"/>
  <c r="AQ1539" i="49"/>
  <c r="AP1539" i="49"/>
  <c r="AO1539" i="49"/>
  <c r="AN1539" i="49"/>
  <c r="AM1539" i="49"/>
  <c r="AL1539" i="49"/>
  <c r="AK1539" i="49"/>
  <c r="AS1538" i="49"/>
  <c r="AR1538" i="49"/>
  <c r="AQ1538" i="49"/>
  <c r="AP1538" i="49"/>
  <c r="AO1538" i="49"/>
  <c r="AN1538" i="49"/>
  <c r="AM1538" i="49"/>
  <c r="AL1538" i="49"/>
  <c r="AK1538" i="49"/>
  <c r="AS1537" i="49"/>
  <c r="AR1537" i="49"/>
  <c r="AQ1537" i="49"/>
  <c r="AP1537" i="49"/>
  <c r="AO1537" i="49"/>
  <c r="AN1537" i="49"/>
  <c r="AM1537" i="49"/>
  <c r="AL1537" i="49"/>
  <c r="AK1537" i="49"/>
  <c r="AS1536" i="49"/>
  <c r="AR1536" i="49"/>
  <c r="AQ1536" i="49"/>
  <c r="AP1536" i="49"/>
  <c r="AO1536" i="49"/>
  <c r="AN1536" i="49"/>
  <c r="AM1536" i="49"/>
  <c r="AL1536" i="49"/>
  <c r="AK1536" i="49"/>
  <c r="AS1535" i="49"/>
  <c r="AR1535" i="49"/>
  <c r="AQ1535" i="49"/>
  <c r="AP1535" i="49"/>
  <c r="AO1535" i="49"/>
  <c r="AN1535" i="49"/>
  <c r="AM1535" i="49"/>
  <c r="AL1535" i="49"/>
  <c r="AK1535" i="49"/>
  <c r="AS1534" i="49"/>
  <c r="AR1534" i="49"/>
  <c r="AQ1534" i="49"/>
  <c r="AP1534" i="49"/>
  <c r="AO1534" i="49"/>
  <c r="AN1534" i="49"/>
  <c r="AM1534" i="49"/>
  <c r="AL1534" i="49"/>
  <c r="AK1534" i="49"/>
  <c r="AS1533" i="49"/>
  <c r="AR1533" i="49"/>
  <c r="AQ1533" i="49"/>
  <c r="AP1533" i="49"/>
  <c r="AO1533" i="49"/>
  <c r="AN1533" i="49"/>
  <c r="AM1533" i="49"/>
  <c r="AL1533" i="49"/>
  <c r="AK1533" i="49"/>
  <c r="AS1532" i="49"/>
  <c r="AR1532" i="49"/>
  <c r="AQ1532" i="49"/>
  <c r="AP1532" i="49"/>
  <c r="AO1532" i="49"/>
  <c r="AN1532" i="49"/>
  <c r="AM1532" i="49"/>
  <c r="AL1532" i="49"/>
  <c r="AK1532" i="49"/>
  <c r="AS1531" i="49"/>
  <c r="AR1531" i="49"/>
  <c r="AQ1531" i="49"/>
  <c r="AP1531" i="49"/>
  <c r="AO1531" i="49"/>
  <c r="AN1531" i="49"/>
  <c r="AM1531" i="49"/>
  <c r="AL1531" i="49"/>
  <c r="AK1531" i="49"/>
  <c r="AS1530" i="49"/>
  <c r="AR1530" i="49"/>
  <c r="AQ1530" i="49"/>
  <c r="AP1530" i="49"/>
  <c r="AO1530" i="49"/>
  <c r="AN1530" i="49"/>
  <c r="AM1530" i="49"/>
  <c r="AL1530" i="49"/>
  <c r="AK1530" i="49"/>
  <c r="AS1529" i="49"/>
  <c r="AR1529" i="49"/>
  <c r="AQ1529" i="49"/>
  <c r="AP1529" i="49"/>
  <c r="AO1529" i="49"/>
  <c r="AN1529" i="49"/>
  <c r="AM1529" i="49"/>
  <c r="AL1529" i="49"/>
  <c r="AK1529" i="49"/>
  <c r="AS1528" i="49"/>
  <c r="AR1528" i="49"/>
  <c r="AQ1528" i="49"/>
  <c r="AP1528" i="49"/>
  <c r="AO1528" i="49"/>
  <c r="AN1528" i="49"/>
  <c r="AM1528" i="49"/>
  <c r="AL1528" i="49"/>
  <c r="AK1528" i="49"/>
  <c r="AS1527" i="49"/>
  <c r="AR1527" i="49"/>
  <c r="AQ1527" i="49"/>
  <c r="AP1527" i="49"/>
  <c r="AO1527" i="49"/>
  <c r="AN1527" i="49"/>
  <c r="AM1527" i="49"/>
  <c r="AL1527" i="49"/>
  <c r="AK1527" i="49"/>
  <c r="AS1526" i="49"/>
  <c r="AR1526" i="49"/>
  <c r="AQ1526" i="49"/>
  <c r="AP1526" i="49"/>
  <c r="AO1526" i="49"/>
  <c r="AN1526" i="49"/>
  <c r="AM1526" i="49"/>
  <c r="AL1526" i="49"/>
  <c r="AK1526" i="49"/>
  <c r="AS1525" i="49"/>
  <c r="AR1525" i="49"/>
  <c r="AQ1525" i="49"/>
  <c r="AP1525" i="49"/>
  <c r="AO1525" i="49"/>
  <c r="AN1525" i="49"/>
  <c r="AM1525" i="49"/>
  <c r="AL1525" i="49"/>
  <c r="AK1525" i="49"/>
  <c r="AS1524" i="49"/>
  <c r="AR1524" i="49"/>
  <c r="AQ1524" i="49"/>
  <c r="AP1524" i="49"/>
  <c r="AO1524" i="49"/>
  <c r="AN1524" i="49"/>
  <c r="AM1524" i="49"/>
  <c r="AL1524" i="49"/>
  <c r="AK1524" i="49"/>
  <c r="AS1523" i="49"/>
  <c r="AR1523" i="49"/>
  <c r="AQ1523" i="49"/>
  <c r="AP1523" i="49"/>
  <c r="AO1523" i="49"/>
  <c r="AN1523" i="49"/>
  <c r="AM1523" i="49"/>
  <c r="AL1523" i="49"/>
  <c r="AK1523" i="49"/>
  <c r="AS1522" i="49"/>
  <c r="AR1522" i="49"/>
  <c r="AQ1522" i="49"/>
  <c r="AP1522" i="49"/>
  <c r="AO1522" i="49"/>
  <c r="AN1522" i="49"/>
  <c r="AM1522" i="49"/>
  <c r="AL1522" i="49"/>
  <c r="AK1522" i="49"/>
  <c r="AS1521" i="49"/>
  <c r="AR1521" i="49"/>
  <c r="AQ1521" i="49"/>
  <c r="AP1521" i="49"/>
  <c r="AO1521" i="49"/>
  <c r="AN1521" i="49"/>
  <c r="AM1521" i="49"/>
  <c r="AL1521" i="49"/>
  <c r="AK1521" i="49"/>
  <c r="AS1520" i="49"/>
  <c r="AR1520" i="49"/>
  <c r="AQ1520" i="49"/>
  <c r="AP1520" i="49"/>
  <c r="AO1520" i="49"/>
  <c r="AN1520" i="49"/>
  <c r="AM1520" i="49"/>
  <c r="AL1520" i="49"/>
  <c r="AK1520" i="49"/>
  <c r="AS1519" i="49"/>
  <c r="AR1519" i="49"/>
  <c r="AQ1519" i="49"/>
  <c r="AP1519" i="49"/>
  <c r="AO1519" i="49"/>
  <c r="AN1519" i="49"/>
  <c r="AM1519" i="49"/>
  <c r="AL1519" i="49"/>
  <c r="AK1519" i="49"/>
  <c r="AS1518" i="49"/>
  <c r="AR1518" i="49"/>
  <c r="AQ1518" i="49"/>
  <c r="AP1518" i="49"/>
  <c r="AO1518" i="49"/>
  <c r="AN1518" i="49"/>
  <c r="AM1518" i="49"/>
  <c r="AL1518" i="49"/>
  <c r="AK1518" i="49"/>
  <c r="AS1517" i="49"/>
  <c r="AR1517" i="49"/>
  <c r="AQ1517" i="49"/>
  <c r="AP1517" i="49"/>
  <c r="AO1517" i="49"/>
  <c r="AN1517" i="49"/>
  <c r="AM1517" i="49"/>
  <c r="AL1517" i="49"/>
  <c r="AK1517" i="49"/>
  <c r="AS1516" i="49"/>
  <c r="AR1516" i="49"/>
  <c r="AQ1516" i="49"/>
  <c r="AP1516" i="49"/>
  <c r="AO1516" i="49"/>
  <c r="AN1516" i="49"/>
  <c r="AM1516" i="49"/>
  <c r="AL1516" i="49"/>
  <c r="AK1516" i="49"/>
  <c r="AS1515" i="49"/>
  <c r="AR1515" i="49"/>
  <c r="AQ1515" i="49"/>
  <c r="AP1515" i="49"/>
  <c r="AO1515" i="49"/>
  <c r="AN1515" i="49"/>
  <c r="AM1515" i="49"/>
  <c r="AL1515" i="49"/>
  <c r="AK1515" i="49"/>
  <c r="AS1514" i="49"/>
  <c r="AR1514" i="49"/>
  <c r="AQ1514" i="49"/>
  <c r="AP1514" i="49"/>
  <c r="AO1514" i="49"/>
  <c r="AN1514" i="49"/>
  <c r="AM1514" i="49"/>
  <c r="AL1514" i="49"/>
  <c r="AK1514" i="49"/>
  <c r="AS1513" i="49"/>
  <c r="AR1513" i="49"/>
  <c r="AQ1513" i="49"/>
  <c r="AP1513" i="49"/>
  <c r="AO1513" i="49"/>
  <c r="AN1513" i="49"/>
  <c r="AM1513" i="49"/>
  <c r="AL1513" i="49"/>
  <c r="AK1513" i="49"/>
  <c r="AS1512" i="49"/>
  <c r="AR1512" i="49"/>
  <c r="AQ1512" i="49"/>
  <c r="AP1512" i="49"/>
  <c r="AO1512" i="49"/>
  <c r="AN1512" i="49"/>
  <c r="AM1512" i="49"/>
  <c r="AL1512" i="49"/>
  <c r="AK1512" i="49"/>
  <c r="AS1511" i="49"/>
  <c r="AR1511" i="49"/>
  <c r="AQ1511" i="49"/>
  <c r="AP1511" i="49"/>
  <c r="AO1511" i="49"/>
  <c r="AN1511" i="49"/>
  <c r="AM1511" i="49"/>
  <c r="AL1511" i="49"/>
  <c r="AK1511" i="49"/>
  <c r="AS1510" i="49"/>
  <c r="AR1510" i="49"/>
  <c r="AQ1510" i="49"/>
  <c r="AP1510" i="49"/>
  <c r="AO1510" i="49"/>
  <c r="AN1510" i="49"/>
  <c r="AM1510" i="49"/>
  <c r="AL1510" i="49"/>
  <c r="AK1510" i="49"/>
  <c r="AS1509" i="49"/>
  <c r="AR1509" i="49"/>
  <c r="AQ1509" i="49"/>
  <c r="AP1509" i="49"/>
  <c r="AO1509" i="49"/>
  <c r="AN1509" i="49"/>
  <c r="AM1509" i="49"/>
  <c r="AL1509" i="49"/>
  <c r="AK1509" i="49"/>
  <c r="AS1508" i="49"/>
  <c r="AR1508" i="49"/>
  <c r="AQ1508" i="49"/>
  <c r="AP1508" i="49"/>
  <c r="AO1508" i="49"/>
  <c r="AN1508" i="49"/>
  <c r="AM1508" i="49"/>
  <c r="AL1508" i="49"/>
  <c r="AK1508" i="49"/>
  <c r="AS1507" i="49"/>
  <c r="AR1507" i="49"/>
  <c r="AQ1507" i="49"/>
  <c r="AP1507" i="49"/>
  <c r="AO1507" i="49"/>
  <c r="AN1507" i="49"/>
  <c r="AM1507" i="49"/>
  <c r="AL1507" i="49"/>
  <c r="AK1507" i="49"/>
  <c r="AS1506" i="49"/>
  <c r="AR1506" i="49"/>
  <c r="AQ1506" i="49"/>
  <c r="AP1506" i="49"/>
  <c r="AO1506" i="49"/>
  <c r="AN1506" i="49"/>
  <c r="AM1506" i="49"/>
  <c r="AL1506" i="49"/>
  <c r="AK1506" i="49"/>
  <c r="AS1505" i="49"/>
  <c r="AR1505" i="49"/>
  <c r="AQ1505" i="49"/>
  <c r="AP1505" i="49"/>
  <c r="AO1505" i="49"/>
  <c r="AN1505" i="49"/>
  <c r="AM1505" i="49"/>
  <c r="AL1505" i="49"/>
  <c r="AK1505" i="49"/>
  <c r="AS1504" i="49"/>
  <c r="AR1504" i="49"/>
  <c r="AQ1504" i="49"/>
  <c r="AP1504" i="49"/>
  <c r="AO1504" i="49"/>
  <c r="AN1504" i="49"/>
  <c r="AM1504" i="49"/>
  <c r="AL1504" i="49"/>
  <c r="AK1504" i="49"/>
  <c r="AS1503" i="49"/>
  <c r="AR1503" i="49"/>
  <c r="AQ1503" i="49"/>
  <c r="AP1503" i="49"/>
  <c r="AO1503" i="49"/>
  <c r="AN1503" i="49"/>
  <c r="AM1503" i="49"/>
  <c r="AL1503" i="49"/>
  <c r="AK1503" i="49"/>
  <c r="AS1502" i="49"/>
  <c r="AR1502" i="49"/>
  <c r="AQ1502" i="49"/>
  <c r="AP1502" i="49"/>
  <c r="AO1502" i="49"/>
  <c r="AN1502" i="49"/>
  <c r="AM1502" i="49"/>
  <c r="AL1502" i="49"/>
  <c r="AK1502" i="49"/>
  <c r="AS1501" i="49"/>
  <c r="AR1501" i="49"/>
  <c r="AQ1501" i="49"/>
  <c r="AP1501" i="49"/>
  <c r="AO1501" i="49"/>
  <c r="AN1501" i="49"/>
  <c r="AM1501" i="49"/>
  <c r="AL1501" i="49"/>
  <c r="AK1501" i="49"/>
  <c r="AS1500" i="49"/>
  <c r="AR1500" i="49"/>
  <c r="AQ1500" i="49"/>
  <c r="AP1500" i="49"/>
  <c r="AO1500" i="49"/>
  <c r="AN1500" i="49"/>
  <c r="AM1500" i="49"/>
  <c r="AL1500" i="49"/>
  <c r="AK1500" i="49"/>
  <c r="AS1499" i="49"/>
  <c r="AR1499" i="49"/>
  <c r="AQ1499" i="49"/>
  <c r="AP1499" i="49"/>
  <c r="AO1499" i="49"/>
  <c r="AN1499" i="49"/>
  <c r="AM1499" i="49"/>
  <c r="AL1499" i="49"/>
  <c r="AK1499" i="49"/>
  <c r="AS1498" i="49"/>
  <c r="AR1498" i="49"/>
  <c r="AQ1498" i="49"/>
  <c r="AP1498" i="49"/>
  <c r="AO1498" i="49"/>
  <c r="AN1498" i="49"/>
  <c r="AM1498" i="49"/>
  <c r="AL1498" i="49"/>
  <c r="AK1498" i="49"/>
  <c r="AS1497" i="49"/>
  <c r="AR1497" i="49"/>
  <c r="AQ1497" i="49"/>
  <c r="AP1497" i="49"/>
  <c r="AO1497" i="49"/>
  <c r="AN1497" i="49"/>
  <c r="AM1497" i="49"/>
  <c r="AL1497" i="49"/>
  <c r="AK1497" i="49"/>
  <c r="AS1496" i="49"/>
  <c r="AR1496" i="49"/>
  <c r="AQ1496" i="49"/>
  <c r="AP1496" i="49"/>
  <c r="AO1496" i="49"/>
  <c r="AN1496" i="49"/>
  <c r="AM1496" i="49"/>
  <c r="AL1496" i="49"/>
  <c r="AK1496" i="49"/>
  <c r="AS1495" i="49"/>
  <c r="AR1495" i="49"/>
  <c r="AQ1495" i="49"/>
  <c r="AP1495" i="49"/>
  <c r="AO1495" i="49"/>
  <c r="AN1495" i="49"/>
  <c r="AM1495" i="49"/>
  <c r="AL1495" i="49"/>
  <c r="AK1495" i="49"/>
  <c r="AS1494" i="49"/>
  <c r="AR1494" i="49"/>
  <c r="AQ1494" i="49"/>
  <c r="AP1494" i="49"/>
  <c r="AO1494" i="49"/>
  <c r="AN1494" i="49"/>
  <c r="AM1494" i="49"/>
  <c r="AL1494" i="49"/>
  <c r="AK1494" i="49"/>
  <c r="AS1493" i="49"/>
  <c r="AR1493" i="49"/>
  <c r="AQ1493" i="49"/>
  <c r="AP1493" i="49"/>
  <c r="AO1493" i="49"/>
  <c r="AN1493" i="49"/>
  <c r="AM1493" i="49"/>
  <c r="AL1493" i="49"/>
  <c r="AK1493" i="49"/>
  <c r="AS1492" i="49"/>
  <c r="AR1492" i="49"/>
  <c r="AQ1492" i="49"/>
  <c r="AP1492" i="49"/>
  <c r="AO1492" i="49"/>
  <c r="AN1492" i="49"/>
  <c r="AM1492" i="49"/>
  <c r="AL1492" i="49"/>
  <c r="AK1492" i="49"/>
  <c r="AS1491" i="49"/>
  <c r="AR1491" i="49"/>
  <c r="AQ1491" i="49"/>
  <c r="AP1491" i="49"/>
  <c r="AO1491" i="49"/>
  <c r="AN1491" i="49"/>
  <c r="AM1491" i="49"/>
  <c r="AL1491" i="49"/>
  <c r="AK1491" i="49"/>
  <c r="AS1490" i="49"/>
  <c r="AR1490" i="49"/>
  <c r="AQ1490" i="49"/>
  <c r="AP1490" i="49"/>
  <c r="AO1490" i="49"/>
  <c r="AN1490" i="49"/>
  <c r="AM1490" i="49"/>
  <c r="AL1490" i="49"/>
  <c r="AK1490" i="49"/>
  <c r="AS1489" i="49"/>
  <c r="AR1489" i="49"/>
  <c r="AQ1489" i="49"/>
  <c r="AP1489" i="49"/>
  <c r="AO1489" i="49"/>
  <c r="AN1489" i="49"/>
  <c r="AM1489" i="49"/>
  <c r="AL1489" i="49"/>
  <c r="AK1489" i="49"/>
  <c r="AS1488" i="49"/>
  <c r="AR1488" i="49"/>
  <c r="AQ1488" i="49"/>
  <c r="AP1488" i="49"/>
  <c r="AO1488" i="49"/>
  <c r="AN1488" i="49"/>
  <c r="AM1488" i="49"/>
  <c r="AL1488" i="49"/>
  <c r="AK1488" i="49"/>
  <c r="AS1487" i="49"/>
  <c r="AR1487" i="49"/>
  <c r="AQ1487" i="49"/>
  <c r="AP1487" i="49"/>
  <c r="AO1487" i="49"/>
  <c r="AN1487" i="49"/>
  <c r="AM1487" i="49"/>
  <c r="AL1487" i="49"/>
  <c r="AK1487" i="49"/>
  <c r="AS1486" i="49"/>
  <c r="AR1486" i="49"/>
  <c r="AQ1486" i="49"/>
  <c r="AP1486" i="49"/>
  <c r="AO1486" i="49"/>
  <c r="AN1486" i="49"/>
  <c r="AM1486" i="49"/>
  <c r="AL1486" i="49"/>
  <c r="AK1486" i="49"/>
  <c r="AS1485" i="49"/>
  <c r="AR1485" i="49"/>
  <c r="AQ1485" i="49"/>
  <c r="AP1485" i="49"/>
  <c r="AO1485" i="49"/>
  <c r="AN1485" i="49"/>
  <c r="AM1485" i="49"/>
  <c r="AL1485" i="49"/>
  <c r="AK1485" i="49"/>
  <c r="AS1484" i="49"/>
  <c r="AR1484" i="49"/>
  <c r="AQ1484" i="49"/>
  <c r="AP1484" i="49"/>
  <c r="AO1484" i="49"/>
  <c r="AN1484" i="49"/>
  <c r="AM1484" i="49"/>
  <c r="AL1484" i="49"/>
  <c r="AK1484" i="49"/>
  <c r="AS1483" i="49"/>
  <c r="AR1483" i="49"/>
  <c r="AQ1483" i="49"/>
  <c r="AP1483" i="49"/>
  <c r="AO1483" i="49"/>
  <c r="AN1483" i="49"/>
  <c r="AM1483" i="49"/>
  <c r="AL1483" i="49"/>
  <c r="AK1483" i="49"/>
  <c r="AS1482" i="49"/>
  <c r="AR1482" i="49"/>
  <c r="AQ1482" i="49"/>
  <c r="AP1482" i="49"/>
  <c r="AO1482" i="49"/>
  <c r="AN1482" i="49"/>
  <c r="AM1482" i="49"/>
  <c r="AL1482" i="49"/>
  <c r="AK1482" i="49"/>
  <c r="AS1481" i="49"/>
  <c r="AR1481" i="49"/>
  <c r="AQ1481" i="49"/>
  <c r="AP1481" i="49"/>
  <c r="AO1481" i="49"/>
  <c r="AN1481" i="49"/>
  <c r="AM1481" i="49"/>
  <c r="AL1481" i="49"/>
  <c r="AK1481" i="49"/>
  <c r="AS1480" i="49"/>
  <c r="AR1480" i="49"/>
  <c r="AQ1480" i="49"/>
  <c r="AP1480" i="49"/>
  <c r="AO1480" i="49"/>
  <c r="AN1480" i="49"/>
  <c r="AM1480" i="49"/>
  <c r="AL1480" i="49"/>
  <c r="AK1480" i="49"/>
  <c r="AS1479" i="49"/>
  <c r="AR1479" i="49"/>
  <c r="AQ1479" i="49"/>
  <c r="AP1479" i="49"/>
  <c r="AO1479" i="49"/>
  <c r="AN1479" i="49"/>
  <c r="AM1479" i="49"/>
  <c r="AL1479" i="49"/>
  <c r="AK1479" i="49"/>
  <c r="AS1478" i="49"/>
  <c r="AR1478" i="49"/>
  <c r="AQ1478" i="49"/>
  <c r="AP1478" i="49"/>
  <c r="AO1478" i="49"/>
  <c r="AN1478" i="49"/>
  <c r="AM1478" i="49"/>
  <c r="AL1478" i="49"/>
  <c r="AK1478" i="49"/>
  <c r="AS1477" i="49"/>
  <c r="AR1477" i="49"/>
  <c r="AQ1477" i="49"/>
  <c r="AP1477" i="49"/>
  <c r="AO1477" i="49"/>
  <c r="AN1477" i="49"/>
  <c r="AM1477" i="49"/>
  <c r="AL1477" i="49"/>
  <c r="AK1477" i="49"/>
  <c r="AS1476" i="49"/>
  <c r="AR1476" i="49"/>
  <c r="AQ1476" i="49"/>
  <c r="AP1476" i="49"/>
  <c r="AO1476" i="49"/>
  <c r="AN1476" i="49"/>
  <c r="AM1476" i="49"/>
  <c r="AL1476" i="49"/>
  <c r="AK1476" i="49"/>
  <c r="AS1475" i="49"/>
  <c r="AR1475" i="49"/>
  <c r="AQ1475" i="49"/>
  <c r="AP1475" i="49"/>
  <c r="AO1475" i="49"/>
  <c r="AN1475" i="49"/>
  <c r="AM1475" i="49"/>
  <c r="AL1475" i="49"/>
  <c r="AK1475" i="49"/>
  <c r="AS1474" i="49"/>
  <c r="AR1474" i="49"/>
  <c r="AQ1474" i="49"/>
  <c r="AP1474" i="49"/>
  <c r="AO1474" i="49"/>
  <c r="AN1474" i="49"/>
  <c r="AM1474" i="49"/>
  <c r="AL1474" i="49"/>
  <c r="AK1474" i="49"/>
  <c r="AS1473" i="49"/>
  <c r="AR1473" i="49"/>
  <c r="AQ1473" i="49"/>
  <c r="AP1473" i="49"/>
  <c r="AO1473" i="49"/>
  <c r="AN1473" i="49"/>
  <c r="AM1473" i="49"/>
  <c r="AL1473" i="49"/>
  <c r="AK1473" i="49"/>
  <c r="AS1472" i="49"/>
  <c r="AR1472" i="49"/>
  <c r="AQ1472" i="49"/>
  <c r="AP1472" i="49"/>
  <c r="AO1472" i="49"/>
  <c r="AN1472" i="49"/>
  <c r="AM1472" i="49"/>
  <c r="AL1472" i="49"/>
  <c r="AK1472" i="49"/>
  <c r="CL1471" i="49"/>
  <c r="CK1471" i="49"/>
  <c r="CJ1471" i="49"/>
  <c r="CI1471" i="49"/>
  <c r="CH1471" i="49"/>
  <c r="CG1471" i="49"/>
  <c r="CF1471" i="49"/>
  <c r="CE1471" i="49"/>
  <c r="CD1471" i="49"/>
  <c r="CC1471" i="49"/>
  <c r="CB1471" i="49"/>
  <c r="CA1471" i="49"/>
  <c r="BZ1471" i="49"/>
  <c r="BY1471" i="49"/>
  <c r="BX1471" i="49"/>
  <c r="BW1471" i="49"/>
  <c r="BV1471" i="49"/>
  <c r="BU1471" i="49"/>
  <c r="BT1471" i="49"/>
  <c r="BS1471" i="49"/>
  <c r="BR1471" i="49"/>
  <c r="BQ1471" i="49"/>
  <c r="BP1471" i="49"/>
  <c r="BO1471" i="49"/>
  <c r="BN1471" i="49"/>
  <c r="BM1471" i="49"/>
  <c r="BL1471" i="49"/>
  <c r="BK1471" i="49"/>
  <c r="BJ1471" i="49"/>
  <c r="BI1471" i="49"/>
  <c r="BH1471" i="49"/>
  <c r="BG1471" i="49"/>
  <c r="BF1471" i="49"/>
  <c r="BE1471" i="49"/>
  <c r="BD1471" i="49"/>
  <c r="BC1471" i="49"/>
  <c r="BB1471" i="49"/>
  <c r="BA1471" i="49"/>
  <c r="AZ1471" i="49"/>
  <c r="AY1471" i="49"/>
  <c r="AX1471" i="49"/>
  <c r="AW1471" i="49"/>
  <c r="AV1471" i="49"/>
  <c r="AU1471" i="49"/>
  <c r="AT1471" i="49"/>
  <c r="AS1471" i="49"/>
  <c r="AR1471" i="49"/>
  <c r="AQ1471" i="49"/>
  <c r="AP1471" i="49"/>
  <c r="AO1471" i="49"/>
  <c r="AN1471" i="49"/>
  <c r="AM1471" i="49"/>
  <c r="AL1471" i="49"/>
  <c r="AK1471" i="49"/>
  <c r="CL1470" i="49"/>
  <c r="CK1470" i="49"/>
  <c r="CJ1470" i="49"/>
  <c r="CI1470" i="49"/>
  <c r="CH1470" i="49"/>
  <c r="CG1470" i="49"/>
  <c r="CF1470" i="49"/>
  <c r="CE1470" i="49"/>
  <c r="CD1470" i="49"/>
  <c r="CC1470" i="49"/>
  <c r="CB1470" i="49"/>
  <c r="CA1470" i="49"/>
  <c r="BZ1470" i="49"/>
  <c r="BY1470" i="49"/>
  <c r="BX1470" i="49"/>
  <c r="BW1470" i="49"/>
  <c r="BV1470" i="49"/>
  <c r="BU1470" i="49"/>
  <c r="BT1470" i="49"/>
  <c r="BS1470" i="49"/>
  <c r="BR1470" i="49"/>
  <c r="BQ1470" i="49"/>
  <c r="BP1470" i="49"/>
  <c r="BO1470" i="49"/>
  <c r="BN1470" i="49"/>
  <c r="BM1470" i="49"/>
  <c r="BL1470" i="49"/>
  <c r="BK1470" i="49"/>
  <c r="BJ1470" i="49"/>
  <c r="BI1470" i="49"/>
  <c r="BH1470" i="49"/>
  <c r="BG1470" i="49"/>
  <c r="BF1470" i="49"/>
  <c r="BE1470" i="49"/>
  <c r="BD1470" i="49"/>
  <c r="BC1470" i="49"/>
  <c r="BB1470" i="49"/>
  <c r="BA1470" i="49"/>
  <c r="AZ1470" i="49"/>
  <c r="AY1470" i="49"/>
  <c r="AX1470" i="49"/>
  <c r="AW1470" i="49"/>
  <c r="AV1470" i="49"/>
  <c r="AU1470" i="49"/>
  <c r="AT1470" i="49"/>
  <c r="AS1470" i="49"/>
  <c r="AR1470" i="49"/>
  <c r="AQ1470" i="49"/>
  <c r="AP1470" i="49"/>
  <c r="AO1470" i="49"/>
  <c r="AN1470" i="49"/>
  <c r="AM1470" i="49"/>
  <c r="AL1470" i="49"/>
  <c r="AK1470" i="49"/>
  <c r="CL1469" i="49"/>
  <c r="CK1469" i="49"/>
  <c r="CJ1469" i="49"/>
  <c r="CI1469" i="49"/>
  <c r="CH1469" i="49"/>
  <c r="CG1469" i="49"/>
  <c r="CF1469" i="49"/>
  <c r="CE1469" i="49"/>
  <c r="CD1469" i="49"/>
  <c r="CC1469" i="49"/>
  <c r="CB1469" i="49"/>
  <c r="CA1469" i="49"/>
  <c r="BZ1469" i="49"/>
  <c r="BY1469" i="49"/>
  <c r="BX1469" i="49"/>
  <c r="BW1469" i="49"/>
  <c r="BV1469" i="49"/>
  <c r="BU1469" i="49"/>
  <c r="BT1469" i="49"/>
  <c r="BS1469" i="49"/>
  <c r="BR1469" i="49"/>
  <c r="BQ1469" i="49"/>
  <c r="BP1469" i="49"/>
  <c r="BO1469" i="49"/>
  <c r="BN1469" i="49"/>
  <c r="BM1469" i="49"/>
  <c r="BL1469" i="49"/>
  <c r="BK1469" i="49"/>
  <c r="BJ1469" i="49"/>
  <c r="BI1469" i="49"/>
  <c r="BH1469" i="49"/>
  <c r="BG1469" i="49"/>
  <c r="BF1469" i="49"/>
  <c r="BE1469" i="49"/>
  <c r="BD1469" i="49"/>
  <c r="BC1469" i="49"/>
  <c r="BB1469" i="49"/>
  <c r="BA1469" i="49"/>
  <c r="AZ1469" i="49"/>
  <c r="AY1469" i="49"/>
  <c r="AX1469" i="49"/>
  <c r="AW1469" i="49"/>
  <c r="AV1469" i="49"/>
  <c r="AU1469" i="49"/>
  <c r="AT1469" i="49"/>
  <c r="AS1469" i="49"/>
  <c r="AR1469" i="49"/>
  <c r="AQ1469" i="49"/>
  <c r="AP1469" i="49"/>
  <c r="AO1469" i="49"/>
  <c r="AN1469" i="49"/>
  <c r="AM1469" i="49"/>
  <c r="AL1469" i="49"/>
  <c r="AK1469" i="49"/>
  <c r="CL1468" i="49"/>
  <c r="CK1468" i="49"/>
  <c r="CJ1468" i="49"/>
  <c r="CI1468" i="49"/>
  <c r="CH1468" i="49"/>
  <c r="CG1468" i="49"/>
  <c r="CF1468" i="49"/>
  <c r="CE1468" i="49"/>
  <c r="CD1468" i="49"/>
  <c r="CC1468" i="49"/>
  <c r="CB1468" i="49"/>
  <c r="CA1468" i="49"/>
  <c r="BZ1468" i="49"/>
  <c r="BY1468" i="49"/>
  <c r="BX1468" i="49"/>
  <c r="BW1468" i="49"/>
  <c r="BV1468" i="49"/>
  <c r="BU1468" i="49"/>
  <c r="BT1468" i="49"/>
  <c r="BS1468" i="49"/>
  <c r="BR1468" i="49"/>
  <c r="BQ1468" i="49"/>
  <c r="BP1468" i="49"/>
  <c r="BO1468" i="49"/>
  <c r="BN1468" i="49"/>
  <c r="BM1468" i="49"/>
  <c r="BL1468" i="49"/>
  <c r="BK1468" i="49"/>
  <c r="BJ1468" i="49"/>
  <c r="BI1468" i="49"/>
  <c r="BH1468" i="49"/>
  <c r="BG1468" i="49"/>
  <c r="BF1468" i="49"/>
  <c r="BE1468" i="49"/>
  <c r="BD1468" i="49"/>
  <c r="BC1468" i="49"/>
  <c r="BB1468" i="49"/>
  <c r="BA1468" i="49"/>
  <c r="AZ1468" i="49"/>
  <c r="AY1468" i="49"/>
  <c r="AX1468" i="49"/>
  <c r="AW1468" i="49"/>
  <c r="AV1468" i="49"/>
  <c r="AU1468" i="49"/>
  <c r="AT1468" i="49"/>
  <c r="AS1468" i="49"/>
  <c r="AR1468" i="49"/>
  <c r="AQ1468" i="49"/>
  <c r="AP1468" i="49"/>
  <c r="AO1468" i="49"/>
  <c r="AN1468" i="49"/>
  <c r="AM1468" i="49"/>
  <c r="AL1468" i="49"/>
  <c r="AK1468" i="49"/>
  <c r="CL1467" i="49"/>
  <c r="CK1467" i="49"/>
  <c r="CJ1467" i="49"/>
  <c r="CI1467" i="49"/>
  <c r="CH1467" i="49"/>
  <c r="CG1467" i="49"/>
  <c r="CF1467" i="49"/>
  <c r="CE1467" i="49"/>
  <c r="CD1467" i="49"/>
  <c r="CC1467" i="49"/>
  <c r="CB1467" i="49"/>
  <c r="CA1467" i="49"/>
  <c r="BZ1467" i="49"/>
  <c r="BY1467" i="49"/>
  <c r="BX1467" i="49"/>
  <c r="BW1467" i="49"/>
  <c r="BV1467" i="49"/>
  <c r="BU1467" i="49"/>
  <c r="BT1467" i="49"/>
  <c r="BS1467" i="49"/>
  <c r="BR1467" i="49"/>
  <c r="BQ1467" i="49"/>
  <c r="BP1467" i="49"/>
  <c r="BO1467" i="49"/>
  <c r="BN1467" i="49"/>
  <c r="BM1467" i="49"/>
  <c r="BL1467" i="49"/>
  <c r="BK1467" i="49"/>
  <c r="BJ1467" i="49"/>
  <c r="BI1467" i="49"/>
  <c r="BH1467" i="49"/>
  <c r="BG1467" i="49"/>
  <c r="BF1467" i="49"/>
  <c r="BE1467" i="49"/>
  <c r="BD1467" i="49"/>
  <c r="BC1467" i="49"/>
  <c r="BB1467" i="49"/>
  <c r="BA1467" i="49"/>
  <c r="AZ1467" i="49"/>
  <c r="AY1467" i="49"/>
  <c r="AX1467" i="49"/>
  <c r="AW1467" i="49"/>
  <c r="AV1467" i="49"/>
  <c r="AU1467" i="49"/>
  <c r="AT1467" i="49"/>
  <c r="AS1467" i="49"/>
  <c r="AR1467" i="49"/>
  <c r="AQ1467" i="49"/>
  <c r="AP1467" i="49"/>
  <c r="AO1467" i="49"/>
  <c r="AN1467" i="49"/>
  <c r="AM1467" i="49"/>
  <c r="AL1467" i="49"/>
  <c r="AK1467" i="49"/>
  <c r="CL1466" i="49"/>
  <c r="CK1466" i="49"/>
  <c r="CJ1466" i="49"/>
  <c r="CI1466" i="49"/>
  <c r="CH1466" i="49"/>
  <c r="CG1466" i="49"/>
  <c r="CF1466" i="49"/>
  <c r="CE1466" i="49"/>
  <c r="CD1466" i="49"/>
  <c r="CC1466" i="49"/>
  <c r="CB1466" i="49"/>
  <c r="CA1466" i="49"/>
  <c r="BZ1466" i="49"/>
  <c r="BY1466" i="49"/>
  <c r="BX1466" i="49"/>
  <c r="BW1466" i="49"/>
  <c r="BV1466" i="49"/>
  <c r="BU1466" i="49"/>
  <c r="BT1466" i="49"/>
  <c r="BS1466" i="49"/>
  <c r="BR1466" i="49"/>
  <c r="BQ1466" i="49"/>
  <c r="BP1466" i="49"/>
  <c r="BO1466" i="49"/>
  <c r="BN1466" i="49"/>
  <c r="BM1466" i="49"/>
  <c r="BL1466" i="49"/>
  <c r="BK1466" i="49"/>
  <c r="BJ1466" i="49"/>
  <c r="BI1466" i="49"/>
  <c r="BH1466" i="49"/>
  <c r="BG1466" i="49"/>
  <c r="BF1466" i="49"/>
  <c r="BE1466" i="49"/>
  <c r="BD1466" i="49"/>
  <c r="BC1466" i="49"/>
  <c r="BB1466" i="49"/>
  <c r="BA1466" i="49"/>
  <c r="AZ1466" i="49"/>
  <c r="AY1466" i="49"/>
  <c r="AX1466" i="49"/>
  <c r="AW1466" i="49"/>
  <c r="AV1466" i="49"/>
  <c r="AU1466" i="49"/>
  <c r="AT1466" i="49"/>
  <c r="AS1466" i="49"/>
  <c r="AR1466" i="49"/>
  <c r="AQ1466" i="49"/>
  <c r="AP1466" i="49"/>
  <c r="AO1466" i="49"/>
  <c r="AN1466" i="49"/>
  <c r="AM1466" i="49"/>
  <c r="AL1466" i="49"/>
  <c r="AK1466" i="49"/>
  <c r="CL1465" i="49"/>
  <c r="CK1465" i="49"/>
  <c r="CJ1465" i="49"/>
  <c r="CI1465" i="49"/>
  <c r="CH1465" i="49"/>
  <c r="CG1465" i="49"/>
  <c r="CF1465" i="49"/>
  <c r="CE1465" i="49"/>
  <c r="CD1465" i="49"/>
  <c r="CC1465" i="49"/>
  <c r="CB1465" i="49"/>
  <c r="CA1465" i="49"/>
  <c r="BZ1465" i="49"/>
  <c r="BY1465" i="49"/>
  <c r="BX1465" i="49"/>
  <c r="BX1472" i="49" s="1"/>
  <c r="BW1465" i="49"/>
  <c r="BW1472" i="49" s="1"/>
  <c r="BV1465" i="49"/>
  <c r="BU1465" i="49"/>
  <c r="BT1465" i="49"/>
  <c r="BS1465" i="49"/>
  <c r="BR1465" i="49"/>
  <c r="BQ1465" i="49"/>
  <c r="BP1465" i="49"/>
  <c r="BO1465" i="49"/>
  <c r="BN1465" i="49"/>
  <c r="BM1465" i="49"/>
  <c r="BL1465" i="49"/>
  <c r="BK1465" i="49"/>
  <c r="BJ1465" i="49"/>
  <c r="BI1465" i="49"/>
  <c r="BH1465" i="49"/>
  <c r="BG1465" i="49"/>
  <c r="BF1465" i="49"/>
  <c r="BE1465" i="49"/>
  <c r="BD1465" i="49"/>
  <c r="BC1465" i="49"/>
  <c r="BB1465" i="49"/>
  <c r="BA1465" i="49"/>
  <c r="AZ1465" i="49"/>
  <c r="AZ1472" i="49" s="1"/>
  <c r="AY1465" i="49"/>
  <c r="AY1472" i="49" s="1"/>
  <c r="AX1465" i="49"/>
  <c r="AW1465" i="49"/>
  <c r="AV1465" i="49"/>
  <c r="AU1465" i="49"/>
  <c r="AT1465" i="49"/>
  <c r="AS1465" i="49"/>
  <c r="AR1465" i="49"/>
  <c r="AQ1465" i="49"/>
  <c r="AP1465" i="49"/>
  <c r="AO1465" i="49"/>
  <c r="AN1465" i="49"/>
  <c r="AM1465" i="49"/>
  <c r="AL1465" i="49"/>
  <c r="AK1465" i="49"/>
  <c r="CL1464" i="49"/>
  <c r="CK1464" i="49"/>
  <c r="CJ1464" i="49"/>
  <c r="CI1464" i="49"/>
  <c r="CH1464" i="49"/>
  <c r="CG1464" i="49"/>
  <c r="CF1464" i="49"/>
  <c r="CF1472" i="49" s="1"/>
  <c r="CE1464" i="49"/>
  <c r="CD1464" i="49"/>
  <c r="CC1464" i="49"/>
  <c r="CC1472" i="49" s="1"/>
  <c r="CB1464" i="49"/>
  <c r="CA1464" i="49"/>
  <c r="BZ1464" i="49"/>
  <c r="BY1464" i="49"/>
  <c r="BX1464" i="49"/>
  <c r="BW1464" i="49"/>
  <c r="BV1464" i="49"/>
  <c r="BU1464" i="49"/>
  <c r="BU1472" i="49" s="1"/>
  <c r="BT1464" i="49"/>
  <c r="BS1464" i="49"/>
  <c r="BR1464" i="49"/>
  <c r="BQ1464" i="49"/>
  <c r="BP1464" i="49"/>
  <c r="BO1464" i="49"/>
  <c r="BN1464" i="49"/>
  <c r="BM1464" i="49"/>
  <c r="BL1464" i="49"/>
  <c r="BK1464" i="49"/>
  <c r="BJ1464" i="49"/>
  <c r="BI1464" i="49"/>
  <c r="BH1464" i="49"/>
  <c r="BH1472" i="49" s="1"/>
  <c r="BG1464" i="49"/>
  <c r="BF1464" i="49"/>
  <c r="BE1464" i="49"/>
  <c r="BE1472" i="49" s="1"/>
  <c r="BD1464" i="49"/>
  <c r="BC1464" i="49"/>
  <c r="BB1464" i="49"/>
  <c r="BA1464" i="49"/>
  <c r="AZ1464" i="49"/>
  <c r="AY1464" i="49"/>
  <c r="AX1464" i="49"/>
  <c r="AW1464" i="49"/>
  <c r="AW1472" i="49" s="1"/>
  <c r="AV1464" i="49"/>
  <c r="AU1464" i="49"/>
  <c r="AT1464" i="49"/>
  <c r="AS1464" i="49"/>
  <c r="AR1464" i="49"/>
  <c r="AQ1464" i="49"/>
  <c r="AP1464" i="49"/>
  <c r="AO1464" i="49"/>
  <c r="AN1464" i="49"/>
  <c r="AM1464" i="49"/>
  <c r="AL1464" i="49"/>
  <c r="AK1464" i="49"/>
  <c r="CL1463" i="49"/>
  <c r="CL1472" i="49" s="1"/>
  <c r="CK1463" i="49"/>
  <c r="CJ1463" i="49"/>
  <c r="CJ1472" i="49" s="1"/>
  <c r="CI1463" i="49"/>
  <c r="CI1472" i="49" s="1"/>
  <c r="CH1463" i="49"/>
  <c r="CG1463" i="49"/>
  <c r="CG1472" i="49" s="1"/>
  <c r="CF1463" i="49"/>
  <c r="CE1463" i="49"/>
  <c r="CD1463" i="49"/>
  <c r="CD1472" i="49" s="1"/>
  <c r="CC1463" i="49"/>
  <c r="CB1463" i="49"/>
  <c r="CA1463" i="49"/>
  <c r="CA1472" i="49" s="1"/>
  <c r="BZ1463" i="49"/>
  <c r="BZ1472" i="49" s="1"/>
  <c r="BY1463" i="49"/>
  <c r="BX1463" i="49"/>
  <c r="BW1463" i="49"/>
  <c r="BV1463" i="49"/>
  <c r="BU1463" i="49"/>
  <c r="BT1463" i="49"/>
  <c r="BT1472" i="49" s="1"/>
  <c r="BS1463" i="49"/>
  <c r="BR1463" i="49"/>
  <c r="BR1472" i="49" s="1"/>
  <c r="BQ1463" i="49"/>
  <c r="BQ1472" i="49" s="1"/>
  <c r="BP1463" i="49"/>
  <c r="BO1463" i="49"/>
  <c r="BO1472" i="49" s="1"/>
  <c r="BN1463" i="49"/>
  <c r="BN1472" i="49" s="1"/>
  <c r="BM1463" i="49"/>
  <c r="BL1463" i="49"/>
  <c r="BL1472" i="49" s="1"/>
  <c r="BK1463" i="49"/>
  <c r="BK1472" i="49" s="1"/>
  <c r="BJ1463" i="49"/>
  <c r="BI1463" i="49"/>
  <c r="BI1472" i="49" s="1"/>
  <c r="BH1463" i="49"/>
  <c r="BG1463" i="49"/>
  <c r="BF1463" i="49"/>
  <c r="BF1472" i="49" s="1"/>
  <c r="BE1463" i="49"/>
  <c r="BD1463" i="49"/>
  <c r="BC1463" i="49"/>
  <c r="BC1472" i="49" s="1"/>
  <c r="BB1463" i="49"/>
  <c r="BB1472" i="49" s="1"/>
  <c r="BA1463" i="49"/>
  <c r="AZ1463" i="49"/>
  <c r="AY1463" i="49"/>
  <c r="AX1463" i="49"/>
  <c r="AW1463" i="49"/>
  <c r="AV1463" i="49"/>
  <c r="AV1472" i="49" s="1"/>
  <c r="AU1463" i="49"/>
  <c r="AT1463" i="49"/>
  <c r="AT1472" i="49" s="1"/>
  <c r="AS1463" i="49"/>
  <c r="AR1463" i="49"/>
  <c r="AQ1463" i="49"/>
  <c r="AP1463" i="49"/>
  <c r="AO1463" i="49"/>
  <c r="AN1463" i="49"/>
  <c r="AM1463" i="49"/>
  <c r="AL1463" i="49"/>
  <c r="AK1463" i="49"/>
  <c r="AS1462" i="49"/>
  <c r="AR1462" i="49"/>
  <c r="AQ1462" i="49"/>
  <c r="AP1462" i="49"/>
  <c r="AO1462" i="49"/>
  <c r="AN1462" i="49"/>
  <c r="AM1462" i="49"/>
  <c r="AL1462" i="49"/>
  <c r="AK1462" i="49"/>
  <c r="AS1461" i="49"/>
  <c r="AR1461" i="49"/>
  <c r="AQ1461" i="49"/>
  <c r="AP1461" i="49"/>
  <c r="AO1461" i="49"/>
  <c r="AN1461" i="49"/>
  <c r="AM1461" i="49"/>
  <c r="AL1461" i="49"/>
  <c r="AK1461" i="49"/>
  <c r="AS1460" i="49"/>
  <c r="AR1460" i="49"/>
  <c r="AQ1460" i="49"/>
  <c r="AP1460" i="49"/>
  <c r="AO1460" i="49"/>
  <c r="AN1460" i="49"/>
  <c r="AM1460" i="49"/>
  <c r="AL1460" i="49"/>
  <c r="AK1460" i="49"/>
  <c r="AS1459" i="49"/>
  <c r="AR1459" i="49"/>
  <c r="AQ1459" i="49"/>
  <c r="AP1459" i="49"/>
  <c r="AO1459" i="49"/>
  <c r="AN1459" i="49"/>
  <c r="AM1459" i="49"/>
  <c r="AL1459" i="49"/>
  <c r="AK1459" i="49"/>
  <c r="AS1458" i="49"/>
  <c r="AR1458" i="49"/>
  <c r="AQ1458" i="49"/>
  <c r="AP1458" i="49"/>
  <c r="AO1458" i="49"/>
  <c r="AN1458" i="49"/>
  <c r="AM1458" i="49"/>
  <c r="AL1458" i="49"/>
  <c r="AK1458" i="49"/>
  <c r="AS1457" i="49"/>
  <c r="AR1457" i="49"/>
  <c r="AQ1457" i="49"/>
  <c r="AP1457" i="49"/>
  <c r="AO1457" i="49"/>
  <c r="AN1457" i="49"/>
  <c r="AM1457" i="49"/>
  <c r="AL1457" i="49"/>
  <c r="AK1457" i="49"/>
  <c r="AS1456" i="49"/>
  <c r="AR1456" i="49"/>
  <c r="AQ1456" i="49"/>
  <c r="AP1456" i="49"/>
  <c r="AO1456" i="49"/>
  <c r="AN1456" i="49"/>
  <c r="AM1456" i="49"/>
  <c r="AL1456" i="49"/>
  <c r="AK1456" i="49"/>
  <c r="AS1455" i="49"/>
  <c r="AR1455" i="49"/>
  <c r="AQ1455" i="49"/>
  <c r="AP1455" i="49"/>
  <c r="AO1455" i="49"/>
  <c r="AN1455" i="49"/>
  <c r="AN1618" i="49" s="1"/>
  <c r="AM1455" i="49"/>
  <c r="AL1455" i="49"/>
  <c r="AK1455" i="49"/>
  <c r="AS1454" i="49"/>
  <c r="AR1454" i="49"/>
  <c r="AQ1454" i="49"/>
  <c r="AP1454" i="49"/>
  <c r="AO1454" i="49"/>
  <c r="AN1454" i="49"/>
  <c r="AM1454" i="49"/>
  <c r="AL1454" i="49"/>
  <c r="AK1454" i="49"/>
  <c r="AS1453" i="49"/>
  <c r="AS1618" i="49" s="1"/>
  <c r="AR1453" i="49"/>
  <c r="AQ1453" i="49"/>
  <c r="AQ1618" i="49" s="1"/>
  <c r="AP1453" i="49"/>
  <c r="AP1618" i="49" s="1"/>
  <c r="AO1453" i="49"/>
  <c r="AN1453" i="49"/>
  <c r="AM1453" i="49"/>
  <c r="AM1618" i="49" s="1"/>
  <c r="AL1619" i="49" s="1"/>
  <c r="AL1453" i="49"/>
  <c r="AK1453" i="49"/>
  <c r="AK1618" i="49" s="1"/>
  <c r="AN1619" i="49" s="1"/>
  <c r="AY1445" i="49"/>
  <c r="AX1445" i="49"/>
  <c r="AW1445" i="49"/>
  <c r="AV1445" i="49"/>
  <c r="AU1445" i="49"/>
  <c r="AT1445" i="49"/>
  <c r="AS1445" i="49"/>
  <c r="AR1445" i="49"/>
  <c r="AQ1445" i="49"/>
  <c r="AP1445" i="49"/>
  <c r="AO1445" i="49"/>
  <c r="AN1445" i="49"/>
  <c r="AM1445" i="49"/>
  <c r="AL1445" i="49"/>
  <c r="AK1445" i="49"/>
  <c r="AY1444" i="49"/>
  <c r="AX1444" i="49"/>
  <c r="AW1444" i="49"/>
  <c r="AV1444" i="49"/>
  <c r="AU1444" i="49"/>
  <c r="AT1444" i="49"/>
  <c r="AS1444" i="49"/>
  <c r="AR1444" i="49"/>
  <c r="AQ1444" i="49"/>
  <c r="AP1444" i="49"/>
  <c r="AO1444" i="49"/>
  <c r="AN1444" i="49"/>
  <c r="AM1444" i="49"/>
  <c r="AL1444" i="49"/>
  <c r="AK1444" i="49"/>
  <c r="AY1443" i="49"/>
  <c r="AX1443" i="49"/>
  <c r="AW1443" i="49"/>
  <c r="AV1443" i="49"/>
  <c r="AU1443" i="49"/>
  <c r="AT1443" i="49"/>
  <c r="AS1443" i="49"/>
  <c r="AR1443" i="49"/>
  <c r="AQ1443" i="49"/>
  <c r="AP1443" i="49"/>
  <c r="AO1443" i="49"/>
  <c r="AN1443" i="49"/>
  <c r="AM1443" i="49"/>
  <c r="AL1443" i="49"/>
  <c r="AK1443" i="49"/>
  <c r="AY1442" i="49"/>
  <c r="AX1442" i="49"/>
  <c r="AW1442" i="49"/>
  <c r="AV1442" i="49"/>
  <c r="AU1442" i="49"/>
  <c r="AT1442" i="49"/>
  <c r="AS1442" i="49"/>
  <c r="AR1442" i="49"/>
  <c r="AQ1442" i="49"/>
  <c r="AP1442" i="49"/>
  <c r="AO1442" i="49"/>
  <c r="AN1442" i="49"/>
  <c r="AM1442" i="49"/>
  <c r="AL1442" i="49"/>
  <c r="AK1442" i="49"/>
  <c r="AY1441" i="49"/>
  <c r="AX1441" i="49"/>
  <c r="AW1441" i="49"/>
  <c r="AV1441" i="49"/>
  <c r="AU1441" i="49"/>
  <c r="AT1441" i="49"/>
  <c r="AS1441" i="49"/>
  <c r="AR1441" i="49"/>
  <c r="AQ1441" i="49"/>
  <c r="AP1441" i="49"/>
  <c r="AO1441" i="49"/>
  <c r="AN1441" i="49"/>
  <c r="AM1441" i="49"/>
  <c r="AL1441" i="49"/>
  <c r="AK1441" i="49"/>
  <c r="AY1440" i="49"/>
  <c r="AX1440" i="49"/>
  <c r="AW1440" i="49"/>
  <c r="AV1440" i="49"/>
  <c r="AU1440" i="49"/>
  <c r="AT1440" i="49"/>
  <c r="AS1440" i="49"/>
  <c r="AR1440" i="49"/>
  <c r="AQ1440" i="49"/>
  <c r="AP1440" i="49"/>
  <c r="AO1440" i="49"/>
  <c r="AN1440" i="49"/>
  <c r="AM1440" i="49"/>
  <c r="AL1440" i="49"/>
  <c r="AK1440" i="49"/>
  <c r="AY1439" i="49"/>
  <c r="AX1439" i="49"/>
  <c r="AW1439" i="49"/>
  <c r="AV1439" i="49"/>
  <c r="AU1439" i="49"/>
  <c r="AT1439" i="49"/>
  <c r="AS1439" i="49"/>
  <c r="AR1439" i="49"/>
  <c r="AQ1439" i="49"/>
  <c r="AP1439" i="49"/>
  <c r="AO1439" i="49"/>
  <c r="AN1439" i="49"/>
  <c r="AM1439" i="49"/>
  <c r="AL1439" i="49"/>
  <c r="AK1439" i="49"/>
  <c r="AY1438" i="49"/>
  <c r="AX1438" i="49"/>
  <c r="AW1438" i="49"/>
  <c r="AV1438" i="49"/>
  <c r="AU1438" i="49"/>
  <c r="AT1438" i="49"/>
  <c r="AS1438" i="49"/>
  <c r="AR1438" i="49"/>
  <c r="AQ1438" i="49"/>
  <c r="AP1438" i="49"/>
  <c r="AO1438" i="49"/>
  <c r="AN1438" i="49"/>
  <c r="AM1438" i="49"/>
  <c r="AL1438" i="49"/>
  <c r="AK1438" i="49"/>
  <c r="AY1437" i="49"/>
  <c r="AX1437" i="49"/>
  <c r="AW1437" i="49"/>
  <c r="AV1437" i="49"/>
  <c r="AU1437" i="49"/>
  <c r="AT1437" i="49"/>
  <c r="AS1437" i="49"/>
  <c r="AR1437" i="49"/>
  <c r="AQ1437" i="49"/>
  <c r="AP1437" i="49"/>
  <c r="AO1437" i="49"/>
  <c r="AN1437" i="49"/>
  <c r="AM1437" i="49"/>
  <c r="AL1437" i="49"/>
  <c r="AK1437" i="49"/>
  <c r="AF1437" i="49"/>
  <c r="AY1436" i="49"/>
  <c r="AX1436" i="49"/>
  <c r="AW1436" i="49"/>
  <c r="AV1436" i="49"/>
  <c r="AU1436" i="49"/>
  <c r="AT1436" i="49"/>
  <c r="AS1436" i="49"/>
  <c r="AR1436" i="49"/>
  <c r="AQ1436" i="49"/>
  <c r="AP1436" i="49"/>
  <c r="AO1436" i="49"/>
  <c r="AN1436" i="49"/>
  <c r="AM1436" i="49"/>
  <c r="AL1436" i="49"/>
  <c r="AK1436" i="49"/>
  <c r="AY1435" i="49"/>
  <c r="AX1435" i="49"/>
  <c r="AW1435" i="49"/>
  <c r="AV1435" i="49"/>
  <c r="AU1435" i="49"/>
  <c r="AT1435" i="49"/>
  <c r="AS1435" i="49"/>
  <c r="AR1435" i="49"/>
  <c r="AQ1435" i="49"/>
  <c r="AP1435" i="49"/>
  <c r="AO1435" i="49"/>
  <c r="AN1435" i="49"/>
  <c r="AM1435" i="49"/>
  <c r="AL1435" i="49"/>
  <c r="AK1435" i="49"/>
  <c r="AY1434" i="49"/>
  <c r="AX1434" i="49"/>
  <c r="AW1434" i="49"/>
  <c r="AV1434" i="49"/>
  <c r="AU1434" i="49"/>
  <c r="AT1434" i="49"/>
  <c r="AS1434" i="49"/>
  <c r="AR1434" i="49"/>
  <c r="AQ1434" i="49"/>
  <c r="AP1434" i="49"/>
  <c r="AO1434" i="49"/>
  <c r="AN1434" i="49"/>
  <c r="AM1434" i="49"/>
  <c r="AL1434" i="49"/>
  <c r="AK1434" i="49"/>
  <c r="AY1433" i="49"/>
  <c r="AX1433" i="49"/>
  <c r="AW1433" i="49"/>
  <c r="AV1433" i="49"/>
  <c r="AU1433" i="49"/>
  <c r="AT1433" i="49"/>
  <c r="AS1433" i="49"/>
  <c r="AR1433" i="49"/>
  <c r="AQ1433" i="49"/>
  <c r="AP1433" i="49"/>
  <c r="AO1433" i="49"/>
  <c r="AN1433" i="49"/>
  <c r="AM1433" i="49"/>
  <c r="AL1433" i="49"/>
  <c r="AK1433" i="49"/>
  <c r="AY1432" i="49"/>
  <c r="AX1432" i="49"/>
  <c r="AW1432" i="49"/>
  <c r="AV1432" i="49"/>
  <c r="AU1432" i="49"/>
  <c r="AT1432" i="49"/>
  <c r="AS1432" i="49"/>
  <c r="AR1432" i="49"/>
  <c r="AQ1432" i="49"/>
  <c r="AP1432" i="49"/>
  <c r="AO1432" i="49"/>
  <c r="AN1432" i="49"/>
  <c r="AM1432" i="49"/>
  <c r="AL1432" i="49"/>
  <c r="AK1432" i="49"/>
  <c r="AY1431" i="49"/>
  <c r="AX1431" i="49"/>
  <c r="AW1431" i="49"/>
  <c r="AV1431" i="49"/>
  <c r="AU1431" i="49"/>
  <c r="AT1431" i="49"/>
  <c r="AS1431" i="49"/>
  <c r="AR1431" i="49"/>
  <c r="AQ1431" i="49"/>
  <c r="AP1431" i="49"/>
  <c r="AO1431" i="49"/>
  <c r="AN1431" i="49"/>
  <c r="AM1431" i="49"/>
  <c r="AL1431" i="49"/>
  <c r="AK1431" i="49"/>
  <c r="AY1430" i="49"/>
  <c r="AX1430" i="49"/>
  <c r="AW1430" i="49"/>
  <c r="AV1430" i="49"/>
  <c r="AU1430" i="49"/>
  <c r="AT1430" i="49"/>
  <c r="AS1430" i="49"/>
  <c r="AR1430" i="49"/>
  <c r="AQ1430" i="49"/>
  <c r="AP1430" i="49"/>
  <c r="AO1430" i="49"/>
  <c r="AN1430" i="49"/>
  <c r="AM1430" i="49"/>
  <c r="AL1430" i="49"/>
  <c r="AK1430" i="49"/>
  <c r="AY1429" i="49"/>
  <c r="AX1429" i="49"/>
  <c r="AW1429" i="49"/>
  <c r="AV1429" i="49"/>
  <c r="AU1429" i="49"/>
  <c r="AT1429" i="49"/>
  <c r="AS1429" i="49"/>
  <c r="AR1429" i="49"/>
  <c r="AQ1429" i="49"/>
  <c r="AP1429" i="49"/>
  <c r="AO1429" i="49"/>
  <c r="AN1429" i="49"/>
  <c r="AM1429" i="49"/>
  <c r="AL1429" i="49"/>
  <c r="AK1429" i="49"/>
  <c r="AY1428" i="49"/>
  <c r="AX1428" i="49"/>
  <c r="AW1428" i="49"/>
  <c r="AV1428" i="49"/>
  <c r="AU1428" i="49"/>
  <c r="AT1428" i="49"/>
  <c r="AS1428" i="49"/>
  <c r="AR1428" i="49"/>
  <c r="AQ1428" i="49"/>
  <c r="AP1428" i="49"/>
  <c r="AO1428" i="49"/>
  <c r="AN1428" i="49"/>
  <c r="AM1428" i="49"/>
  <c r="AL1428" i="49"/>
  <c r="AK1428" i="49"/>
  <c r="AY1427" i="49"/>
  <c r="AX1427" i="49"/>
  <c r="AW1427" i="49"/>
  <c r="AV1427" i="49"/>
  <c r="AU1427" i="49"/>
  <c r="AT1427" i="49"/>
  <c r="AS1427" i="49"/>
  <c r="AR1427" i="49"/>
  <c r="AQ1427" i="49"/>
  <c r="AP1427" i="49"/>
  <c r="AO1427" i="49"/>
  <c r="AN1427" i="49"/>
  <c r="AM1427" i="49"/>
  <c r="AL1427" i="49"/>
  <c r="AK1427" i="49"/>
  <c r="AY1426" i="49"/>
  <c r="AX1426" i="49"/>
  <c r="AW1426" i="49"/>
  <c r="AV1426" i="49"/>
  <c r="AU1426" i="49"/>
  <c r="AT1426" i="49"/>
  <c r="AS1426" i="49"/>
  <c r="AR1426" i="49"/>
  <c r="AQ1426" i="49"/>
  <c r="AP1426" i="49"/>
  <c r="AO1426" i="49"/>
  <c r="AN1426" i="49"/>
  <c r="AM1426" i="49"/>
  <c r="AL1426" i="49"/>
  <c r="AK1426" i="49"/>
  <c r="AY1425" i="49"/>
  <c r="AX1425" i="49"/>
  <c r="AW1425" i="49"/>
  <c r="AV1425" i="49"/>
  <c r="AU1425" i="49"/>
  <c r="AT1425" i="49"/>
  <c r="AS1425" i="49"/>
  <c r="AR1425" i="49"/>
  <c r="AQ1425" i="49"/>
  <c r="AP1425" i="49"/>
  <c r="AO1425" i="49"/>
  <c r="AN1425" i="49"/>
  <c r="AM1425" i="49"/>
  <c r="AL1425" i="49"/>
  <c r="AK1425" i="49"/>
  <c r="AF1425" i="49"/>
  <c r="AF1446" i="49" s="1"/>
  <c r="AY1424" i="49"/>
  <c r="AX1424" i="49"/>
  <c r="AW1424" i="49"/>
  <c r="AV1424" i="49"/>
  <c r="AU1424" i="49"/>
  <c r="AT1424" i="49"/>
  <c r="AS1424" i="49"/>
  <c r="AR1424" i="49"/>
  <c r="AQ1424" i="49"/>
  <c r="AP1424" i="49"/>
  <c r="AO1424" i="49"/>
  <c r="AN1424" i="49"/>
  <c r="AM1424" i="49"/>
  <c r="AL1424" i="49"/>
  <c r="AK1424" i="49"/>
  <c r="AY1423" i="49"/>
  <c r="AX1423" i="49"/>
  <c r="AW1423" i="49"/>
  <c r="AV1423" i="49"/>
  <c r="AU1423" i="49"/>
  <c r="AT1423" i="49"/>
  <c r="AS1423" i="49"/>
  <c r="AR1423" i="49"/>
  <c r="AQ1423" i="49"/>
  <c r="AP1423" i="49"/>
  <c r="AO1423" i="49"/>
  <c r="AN1423" i="49"/>
  <c r="AM1423" i="49"/>
  <c r="AL1423" i="49"/>
  <c r="AK1423" i="49"/>
  <c r="AY1422" i="49"/>
  <c r="AX1422" i="49"/>
  <c r="AW1422" i="49"/>
  <c r="AV1422" i="49"/>
  <c r="AU1422" i="49"/>
  <c r="AT1422" i="49"/>
  <c r="AS1422" i="49"/>
  <c r="AR1422" i="49"/>
  <c r="AQ1422" i="49"/>
  <c r="AP1422" i="49"/>
  <c r="AO1422" i="49"/>
  <c r="AN1422" i="49"/>
  <c r="AM1422" i="49"/>
  <c r="AL1422" i="49"/>
  <c r="AK1422" i="49"/>
  <c r="AY1421" i="49"/>
  <c r="AX1421" i="49"/>
  <c r="AW1421" i="49"/>
  <c r="AV1421" i="49"/>
  <c r="AU1421" i="49"/>
  <c r="AT1421" i="49"/>
  <c r="AS1421" i="49"/>
  <c r="AR1421" i="49"/>
  <c r="AQ1421" i="49"/>
  <c r="AP1421" i="49"/>
  <c r="AO1421" i="49"/>
  <c r="AN1421" i="49"/>
  <c r="AM1421" i="49"/>
  <c r="AL1421" i="49"/>
  <c r="AK1421" i="49"/>
  <c r="AY1420" i="49"/>
  <c r="AX1420" i="49"/>
  <c r="AW1420" i="49"/>
  <c r="AV1420" i="49"/>
  <c r="AU1420" i="49"/>
  <c r="AT1420" i="49"/>
  <c r="AS1420" i="49"/>
  <c r="AR1420" i="49"/>
  <c r="AQ1420" i="49"/>
  <c r="AP1420" i="49"/>
  <c r="AO1420" i="49"/>
  <c r="AN1420" i="49"/>
  <c r="AM1420" i="49"/>
  <c r="AL1420" i="49"/>
  <c r="AK1420" i="49"/>
  <c r="AY1419" i="49"/>
  <c r="AX1419" i="49"/>
  <c r="AW1419" i="49"/>
  <c r="AV1419" i="49"/>
  <c r="AU1419" i="49"/>
  <c r="AT1419" i="49"/>
  <c r="AS1419" i="49"/>
  <c r="AR1419" i="49"/>
  <c r="AQ1419" i="49"/>
  <c r="AP1419" i="49"/>
  <c r="AO1419" i="49"/>
  <c r="AN1419" i="49"/>
  <c r="AM1419" i="49"/>
  <c r="AL1419" i="49"/>
  <c r="AK1419" i="49"/>
  <c r="AY1418" i="49"/>
  <c r="AX1418" i="49"/>
  <c r="AW1418" i="49"/>
  <c r="AV1418" i="49"/>
  <c r="AU1418" i="49"/>
  <c r="AT1418" i="49"/>
  <c r="AS1418" i="49"/>
  <c r="AR1418" i="49"/>
  <c r="AQ1418" i="49"/>
  <c r="AP1418" i="49"/>
  <c r="AO1418" i="49"/>
  <c r="AN1418" i="49"/>
  <c r="AM1418" i="49"/>
  <c r="AL1418" i="49"/>
  <c r="AK1418" i="49"/>
  <c r="AY1417" i="49"/>
  <c r="AX1417" i="49"/>
  <c r="AW1417" i="49"/>
  <c r="AV1417" i="49"/>
  <c r="AU1417" i="49"/>
  <c r="AT1417" i="49"/>
  <c r="AS1417" i="49"/>
  <c r="AR1417" i="49"/>
  <c r="AQ1417" i="49"/>
  <c r="AP1417" i="49"/>
  <c r="AO1417" i="49"/>
  <c r="AN1417" i="49"/>
  <c r="AM1417" i="49"/>
  <c r="AL1417" i="49"/>
  <c r="AK1417" i="49"/>
  <c r="AY1416" i="49"/>
  <c r="AX1416" i="49"/>
  <c r="AW1416" i="49"/>
  <c r="AV1416" i="49"/>
  <c r="AU1416" i="49"/>
  <c r="AT1416" i="49"/>
  <c r="AS1416" i="49"/>
  <c r="AR1416" i="49"/>
  <c r="AQ1416" i="49"/>
  <c r="AP1416" i="49"/>
  <c r="AO1416" i="49"/>
  <c r="AN1416" i="49"/>
  <c r="AM1416" i="49"/>
  <c r="AL1416" i="49"/>
  <c r="AK1416" i="49"/>
  <c r="AF1416" i="49"/>
  <c r="AY1415" i="49"/>
  <c r="AX1415" i="49"/>
  <c r="AW1415" i="49"/>
  <c r="AV1415" i="49"/>
  <c r="AU1415" i="49"/>
  <c r="AT1415" i="49"/>
  <c r="AS1415" i="49"/>
  <c r="AR1415" i="49"/>
  <c r="AQ1415" i="49"/>
  <c r="AP1415" i="49"/>
  <c r="AO1415" i="49"/>
  <c r="AN1415" i="49"/>
  <c r="AM1415" i="49"/>
  <c r="AL1415" i="49"/>
  <c r="AK1415" i="49"/>
  <c r="AY1414" i="49"/>
  <c r="AX1414" i="49"/>
  <c r="AW1414" i="49"/>
  <c r="AV1414" i="49"/>
  <c r="AU1414" i="49"/>
  <c r="AT1414" i="49"/>
  <c r="AS1414" i="49"/>
  <c r="AR1414" i="49"/>
  <c r="AQ1414" i="49"/>
  <c r="AP1414" i="49"/>
  <c r="AO1414" i="49"/>
  <c r="AN1414" i="49"/>
  <c r="AM1414" i="49"/>
  <c r="AL1414" i="49"/>
  <c r="AK1414" i="49"/>
  <c r="AY1413" i="49"/>
  <c r="AX1413" i="49"/>
  <c r="AW1413" i="49"/>
  <c r="AV1413" i="49"/>
  <c r="AU1413" i="49"/>
  <c r="AT1413" i="49"/>
  <c r="AS1413" i="49"/>
  <c r="AR1413" i="49"/>
  <c r="AQ1413" i="49"/>
  <c r="AP1413" i="49"/>
  <c r="AO1413" i="49"/>
  <c r="AN1413" i="49"/>
  <c r="AM1413" i="49"/>
  <c r="AL1413" i="49"/>
  <c r="AK1413" i="49"/>
  <c r="AY1412" i="49"/>
  <c r="AX1412" i="49"/>
  <c r="AW1412" i="49"/>
  <c r="AV1412" i="49"/>
  <c r="AU1412" i="49"/>
  <c r="AT1412" i="49"/>
  <c r="AS1412" i="49"/>
  <c r="AR1412" i="49"/>
  <c r="AQ1412" i="49"/>
  <c r="AP1412" i="49"/>
  <c r="AO1412" i="49"/>
  <c r="AN1412" i="49"/>
  <c r="AM1412" i="49"/>
  <c r="AL1412" i="49"/>
  <c r="AK1412" i="49"/>
  <c r="AY1411" i="49"/>
  <c r="AX1411" i="49"/>
  <c r="AW1411" i="49"/>
  <c r="AV1411" i="49"/>
  <c r="AU1411" i="49"/>
  <c r="AT1411" i="49"/>
  <c r="AS1411" i="49"/>
  <c r="AR1411" i="49"/>
  <c r="AQ1411" i="49"/>
  <c r="AP1411" i="49"/>
  <c r="AO1411" i="49"/>
  <c r="AN1411" i="49"/>
  <c r="AM1411" i="49"/>
  <c r="AL1411" i="49"/>
  <c r="AK1411" i="49"/>
  <c r="AY1410" i="49"/>
  <c r="AX1410" i="49"/>
  <c r="AW1410" i="49"/>
  <c r="AV1410" i="49"/>
  <c r="AU1410" i="49"/>
  <c r="AT1410" i="49"/>
  <c r="AS1410" i="49"/>
  <c r="AR1410" i="49"/>
  <c r="AQ1410" i="49"/>
  <c r="AP1410" i="49"/>
  <c r="AO1410" i="49"/>
  <c r="AN1410" i="49"/>
  <c r="AM1410" i="49"/>
  <c r="AL1410" i="49"/>
  <c r="AK1410" i="49"/>
  <c r="AY1409" i="49"/>
  <c r="AX1409" i="49"/>
  <c r="AW1409" i="49"/>
  <c r="AV1409" i="49"/>
  <c r="AU1409" i="49"/>
  <c r="AT1409" i="49"/>
  <c r="AS1409" i="49"/>
  <c r="AR1409" i="49"/>
  <c r="AQ1409" i="49"/>
  <c r="AP1409" i="49"/>
  <c r="AO1409" i="49"/>
  <c r="AN1409" i="49"/>
  <c r="AM1409" i="49"/>
  <c r="AL1409" i="49"/>
  <c r="AK1409" i="49"/>
  <c r="AY1408" i="49"/>
  <c r="AX1408" i="49"/>
  <c r="AW1408" i="49"/>
  <c r="AV1408" i="49"/>
  <c r="AU1408" i="49"/>
  <c r="AT1408" i="49"/>
  <c r="AS1408" i="49"/>
  <c r="AR1408" i="49"/>
  <c r="AQ1408" i="49"/>
  <c r="AP1408" i="49"/>
  <c r="AO1408" i="49"/>
  <c r="AN1408" i="49"/>
  <c r="AM1408" i="49"/>
  <c r="AL1408" i="49"/>
  <c r="AK1408" i="49"/>
  <c r="AY1407" i="49"/>
  <c r="AX1407" i="49"/>
  <c r="AW1407" i="49"/>
  <c r="AV1407" i="49"/>
  <c r="AU1407" i="49"/>
  <c r="AT1407" i="49"/>
  <c r="AS1407" i="49"/>
  <c r="AR1407" i="49"/>
  <c r="AQ1407" i="49"/>
  <c r="AP1407" i="49"/>
  <c r="AO1407" i="49"/>
  <c r="AN1407" i="49"/>
  <c r="AM1407" i="49"/>
  <c r="AL1407" i="49"/>
  <c r="AK1407" i="49"/>
  <c r="AY1406" i="49"/>
  <c r="AX1406" i="49"/>
  <c r="AW1406" i="49"/>
  <c r="AV1406" i="49"/>
  <c r="AU1406" i="49"/>
  <c r="AT1406" i="49"/>
  <c r="AS1406" i="49"/>
  <c r="AR1406" i="49"/>
  <c r="AQ1406" i="49"/>
  <c r="AP1406" i="49"/>
  <c r="AO1406" i="49"/>
  <c r="AN1406" i="49"/>
  <c r="AM1406" i="49"/>
  <c r="AL1406" i="49"/>
  <c r="AK1406" i="49"/>
  <c r="AY1405" i="49"/>
  <c r="AX1405" i="49"/>
  <c r="AW1405" i="49"/>
  <c r="AV1405" i="49"/>
  <c r="AU1405" i="49"/>
  <c r="AT1405" i="49"/>
  <c r="AS1405" i="49"/>
  <c r="AR1405" i="49"/>
  <c r="AQ1405" i="49"/>
  <c r="AP1405" i="49"/>
  <c r="AO1405" i="49"/>
  <c r="AN1405" i="49"/>
  <c r="AM1405" i="49"/>
  <c r="AL1405" i="49"/>
  <c r="AK1405" i="49"/>
  <c r="AF1405" i="49"/>
  <c r="AY1404" i="49"/>
  <c r="AX1404" i="49"/>
  <c r="AW1404" i="49"/>
  <c r="AV1404" i="49"/>
  <c r="AU1404" i="49"/>
  <c r="AT1404" i="49"/>
  <c r="AS1404" i="49"/>
  <c r="AR1404" i="49"/>
  <c r="AQ1404" i="49"/>
  <c r="AP1404" i="49"/>
  <c r="AO1404" i="49"/>
  <c r="AN1404" i="49"/>
  <c r="AM1404" i="49"/>
  <c r="AL1404" i="49"/>
  <c r="AK1404" i="49"/>
  <c r="AY1403" i="49"/>
  <c r="AX1403" i="49"/>
  <c r="AW1403" i="49"/>
  <c r="AV1403" i="49"/>
  <c r="AU1403" i="49"/>
  <c r="AT1403" i="49"/>
  <c r="AS1403" i="49"/>
  <c r="AR1403" i="49"/>
  <c r="AQ1403" i="49"/>
  <c r="AP1403" i="49"/>
  <c r="AO1403" i="49"/>
  <c r="AN1403" i="49"/>
  <c r="AM1403" i="49"/>
  <c r="AL1403" i="49"/>
  <c r="AK1403" i="49"/>
  <c r="AY1402" i="49"/>
  <c r="AX1402" i="49"/>
  <c r="AW1402" i="49"/>
  <c r="AV1402" i="49"/>
  <c r="AU1402" i="49"/>
  <c r="AT1402" i="49"/>
  <c r="AS1402" i="49"/>
  <c r="AR1402" i="49"/>
  <c r="AQ1402" i="49"/>
  <c r="AP1402" i="49"/>
  <c r="AO1402" i="49"/>
  <c r="AN1402" i="49"/>
  <c r="AM1402" i="49"/>
  <c r="AL1402" i="49"/>
  <c r="AK1402" i="49"/>
  <c r="AY1401" i="49"/>
  <c r="AX1401" i="49"/>
  <c r="AW1401" i="49"/>
  <c r="AV1401" i="49"/>
  <c r="AU1401" i="49"/>
  <c r="AT1401" i="49"/>
  <c r="AS1401" i="49"/>
  <c r="AR1401" i="49"/>
  <c r="AQ1401" i="49"/>
  <c r="AP1401" i="49"/>
  <c r="AO1401" i="49"/>
  <c r="AN1401" i="49"/>
  <c r="AM1401" i="49"/>
  <c r="AL1401" i="49"/>
  <c r="AK1401" i="49"/>
  <c r="AY1400" i="49"/>
  <c r="AX1400" i="49"/>
  <c r="AW1400" i="49"/>
  <c r="AV1400" i="49"/>
  <c r="AU1400" i="49"/>
  <c r="AT1400" i="49"/>
  <c r="AS1400" i="49"/>
  <c r="AR1400" i="49"/>
  <c r="AQ1400" i="49"/>
  <c r="AP1400" i="49"/>
  <c r="AO1400" i="49"/>
  <c r="AN1400" i="49"/>
  <c r="AM1400" i="49"/>
  <c r="AL1400" i="49"/>
  <c r="AK1400" i="49"/>
  <c r="AY1399" i="49"/>
  <c r="AX1399" i="49"/>
  <c r="AW1399" i="49"/>
  <c r="AV1399" i="49"/>
  <c r="AU1399" i="49"/>
  <c r="AT1399" i="49"/>
  <c r="AS1399" i="49"/>
  <c r="AR1399" i="49"/>
  <c r="AQ1399" i="49"/>
  <c r="AP1399" i="49"/>
  <c r="AO1399" i="49"/>
  <c r="AN1399" i="49"/>
  <c r="AM1399" i="49"/>
  <c r="AL1399" i="49"/>
  <c r="AK1399" i="49"/>
  <c r="AY1398" i="49"/>
  <c r="AX1398" i="49"/>
  <c r="AW1398" i="49"/>
  <c r="AV1398" i="49"/>
  <c r="AU1398" i="49"/>
  <c r="AT1398" i="49"/>
  <c r="AS1398" i="49"/>
  <c r="AR1398" i="49"/>
  <c r="AQ1398" i="49"/>
  <c r="AP1398" i="49"/>
  <c r="AO1398" i="49"/>
  <c r="AN1398" i="49"/>
  <c r="AM1398" i="49"/>
  <c r="AL1398" i="49"/>
  <c r="AK1398" i="49"/>
  <c r="AY1397" i="49"/>
  <c r="AX1397" i="49"/>
  <c r="AW1397" i="49"/>
  <c r="AV1397" i="49"/>
  <c r="AU1397" i="49"/>
  <c r="AT1397" i="49"/>
  <c r="AS1397" i="49"/>
  <c r="AR1397" i="49"/>
  <c r="AQ1397" i="49"/>
  <c r="AP1397" i="49"/>
  <c r="AO1397" i="49"/>
  <c r="AN1397" i="49"/>
  <c r="AM1397" i="49"/>
  <c r="AL1397" i="49"/>
  <c r="AK1397" i="49"/>
  <c r="AY1396" i="49"/>
  <c r="AX1396" i="49"/>
  <c r="AW1396" i="49"/>
  <c r="AV1396" i="49"/>
  <c r="AU1396" i="49"/>
  <c r="AT1396" i="49"/>
  <c r="AS1396" i="49"/>
  <c r="AR1396" i="49"/>
  <c r="AQ1396" i="49"/>
  <c r="AP1396" i="49"/>
  <c r="AO1396" i="49"/>
  <c r="AN1396" i="49"/>
  <c r="AM1396" i="49"/>
  <c r="AL1396" i="49"/>
  <c r="AK1396" i="49"/>
  <c r="AY1395" i="49"/>
  <c r="AX1395" i="49"/>
  <c r="AW1395" i="49"/>
  <c r="AV1395" i="49"/>
  <c r="AU1395" i="49"/>
  <c r="AT1395" i="49"/>
  <c r="AS1395" i="49"/>
  <c r="AR1395" i="49"/>
  <c r="AQ1395" i="49"/>
  <c r="AP1395" i="49"/>
  <c r="AO1395" i="49"/>
  <c r="AN1395" i="49"/>
  <c r="AM1395" i="49"/>
  <c r="AL1395" i="49"/>
  <c r="AK1395" i="49"/>
  <c r="AF1395" i="49"/>
  <c r="AY1394" i="49"/>
  <c r="AX1394" i="49"/>
  <c r="AW1394" i="49"/>
  <c r="AV1394" i="49"/>
  <c r="AU1394" i="49"/>
  <c r="AT1394" i="49"/>
  <c r="AS1394" i="49"/>
  <c r="AR1394" i="49"/>
  <c r="AQ1394" i="49"/>
  <c r="AP1394" i="49"/>
  <c r="AO1394" i="49"/>
  <c r="AN1394" i="49"/>
  <c r="AM1394" i="49"/>
  <c r="AL1394" i="49"/>
  <c r="AK1394" i="49"/>
  <c r="AY1393" i="49"/>
  <c r="AX1393" i="49"/>
  <c r="AW1393" i="49"/>
  <c r="AV1393" i="49"/>
  <c r="AU1393" i="49"/>
  <c r="AT1393" i="49"/>
  <c r="AS1393" i="49"/>
  <c r="AR1393" i="49"/>
  <c r="AQ1393" i="49"/>
  <c r="AP1393" i="49"/>
  <c r="AO1393" i="49"/>
  <c r="AN1393" i="49"/>
  <c r="AM1393" i="49"/>
  <c r="AL1393" i="49"/>
  <c r="AK1393" i="49"/>
  <c r="AY1392" i="49"/>
  <c r="AX1392" i="49"/>
  <c r="AW1392" i="49"/>
  <c r="AV1392" i="49"/>
  <c r="AU1392" i="49"/>
  <c r="AT1392" i="49"/>
  <c r="AS1392" i="49"/>
  <c r="AR1392" i="49"/>
  <c r="AQ1392" i="49"/>
  <c r="AP1392" i="49"/>
  <c r="AO1392" i="49"/>
  <c r="AN1392" i="49"/>
  <c r="AM1392" i="49"/>
  <c r="AL1392" i="49"/>
  <c r="AK1392" i="49"/>
  <c r="AY1391" i="49"/>
  <c r="AX1391" i="49"/>
  <c r="AW1391" i="49"/>
  <c r="AV1391" i="49"/>
  <c r="AU1391" i="49"/>
  <c r="AT1391" i="49"/>
  <c r="AS1391" i="49"/>
  <c r="AR1391" i="49"/>
  <c r="AQ1391" i="49"/>
  <c r="AP1391" i="49"/>
  <c r="AO1391" i="49"/>
  <c r="AN1391" i="49"/>
  <c r="AM1391" i="49"/>
  <c r="AL1391" i="49"/>
  <c r="AK1391" i="49"/>
  <c r="AY1390" i="49"/>
  <c r="AX1390" i="49"/>
  <c r="AW1390" i="49"/>
  <c r="AV1390" i="49"/>
  <c r="AU1390" i="49"/>
  <c r="AT1390" i="49"/>
  <c r="AS1390" i="49"/>
  <c r="AR1390" i="49"/>
  <c r="AQ1390" i="49"/>
  <c r="AP1390" i="49"/>
  <c r="AO1390" i="49"/>
  <c r="AN1390" i="49"/>
  <c r="AM1390" i="49"/>
  <c r="AL1390" i="49"/>
  <c r="AK1390" i="49"/>
  <c r="AY1389" i="49"/>
  <c r="AX1389" i="49"/>
  <c r="AW1389" i="49"/>
  <c r="AV1389" i="49"/>
  <c r="AU1389" i="49"/>
  <c r="AT1389" i="49"/>
  <c r="AS1389" i="49"/>
  <c r="AR1389" i="49"/>
  <c r="AQ1389" i="49"/>
  <c r="AP1389" i="49"/>
  <c r="AO1389" i="49"/>
  <c r="AN1389" i="49"/>
  <c r="AM1389" i="49"/>
  <c r="AL1389" i="49"/>
  <c r="AK1389" i="49"/>
  <c r="AY1388" i="49"/>
  <c r="AX1388" i="49"/>
  <c r="AW1388" i="49"/>
  <c r="AV1388" i="49"/>
  <c r="AU1388" i="49"/>
  <c r="AT1388" i="49"/>
  <c r="AS1388" i="49"/>
  <c r="AR1388" i="49"/>
  <c r="AQ1388" i="49"/>
  <c r="AP1388" i="49"/>
  <c r="AO1388" i="49"/>
  <c r="AN1388" i="49"/>
  <c r="AM1388" i="49"/>
  <c r="AL1388" i="49"/>
  <c r="AK1388" i="49"/>
  <c r="AY1387" i="49"/>
  <c r="AX1387" i="49"/>
  <c r="AW1387" i="49"/>
  <c r="AV1387" i="49"/>
  <c r="AU1387" i="49"/>
  <c r="AT1387" i="49"/>
  <c r="AS1387" i="49"/>
  <c r="AR1387" i="49"/>
  <c r="AQ1387" i="49"/>
  <c r="AP1387" i="49"/>
  <c r="AO1387" i="49"/>
  <c r="AN1387" i="49"/>
  <c r="AM1387" i="49"/>
  <c r="AL1387" i="49"/>
  <c r="AK1387" i="49"/>
  <c r="AY1386" i="49"/>
  <c r="AX1386" i="49"/>
  <c r="AW1386" i="49"/>
  <c r="AV1386" i="49"/>
  <c r="AU1386" i="49"/>
  <c r="AT1386" i="49"/>
  <c r="AS1386" i="49"/>
  <c r="AR1386" i="49"/>
  <c r="AQ1386" i="49"/>
  <c r="AP1386" i="49"/>
  <c r="AO1386" i="49"/>
  <c r="AN1386" i="49"/>
  <c r="AM1386" i="49"/>
  <c r="AL1386" i="49"/>
  <c r="AK1386" i="49"/>
  <c r="AY1385" i="49"/>
  <c r="AX1385" i="49"/>
  <c r="AW1385" i="49"/>
  <c r="AV1385" i="49"/>
  <c r="AU1385" i="49"/>
  <c r="AT1385" i="49"/>
  <c r="AS1385" i="49"/>
  <c r="AR1385" i="49"/>
  <c r="AQ1385" i="49"/>
  <c r="AP1385" i="49"/>
  <c r="AO1385" i="49"/>
  <c r="AN1385" i="49"/>
  <c r="AM1385" i="49"/>
  <c r="AL1385" i="49"/>
  <c r="AK1385" i="49"/>
  <c r="AF1385" i="49"/>
  <c r="AY1384" i="49"/>
  <c r="AX1384" i="49"/>
  <c r="AW1384" i="49"/>
  <c r="AV1384" i="49"/>
  <c r="AU1384" i="49"/>
  <c r="AT1384" i="49"/>
  <c r="AS1384" i="49"/>
  <c r="AR1384" i="49"/>
  <c r="AQ1384" i="49"/>
  <c r="AP1384" i="49"/>
  <c r="AO1384" i="49"/>
  <c r="AN1384" i="49"/>
  <c r="AM1384" i="49"/>
  <c r="AL1384" i="49"/>
  <c r="AK1384" i="49"/>
  <c r="AY1383" i="49"/>
  <c r="AX1383" i="49"/>
  <c r="AW1383" i="49"/>
  <c r="AV1383" i="49"/>
  <c r="AU1383" i="49"/>
  <c r="AT1383" i="49"/>
  <c r="AS1383" i="49"/>
  <c r="AR1383" i="49"/>
  <c r="AQ1383" i="49"/>
  <c r="AP1383" i="49"/>
  <c r="AO1383" i="49"/>
  <c r="AN1383" i="49"/>
  <c r="AM1383" i="49"/>
  <c r="AL1383" i="49"/>
  <c r="AK1383" i="49"/>
  <c r="AY1382" i="49"/>
  <c r="AX1382" i="49"/>
  <c r="AW1382" i="49"/>
  <c r="AV1382" i="49"/>
  <c r="AU1382" i="49"/>
  <c r="AT1382" i="49"/>
  <c r="AS1382" i="49"/>
  <c r="AR1382" i="49"/>
  <c r="AQ1382" i="49"/>
  <c r="AP1382" i="49"/>
  <c r="AO1382" i="49"/>
  <c r="AN1382" i="49"/>
  <c r="AM1382" i="49"/>
  <c r="AL1382" i="49"/>
  <c r="AK1382" i="49"/>
  <c r="AY1381" i="49"/>
  <c r="AX1381" i="49"/>
  <c r="AW1381" i="49"/>
  <c r="AV1381" i="49"/>
  <c r="AU1381" i="49"/>
  <c r="AT1381" i="49"/>
  <c r="AS1381" i="49"/>
  <c r="AR1381" i="49"/>
  <c r="AQ1381" i="49"/>
  <c r="AP1381" i="49"/>
  <c r="AO1381" i="49"/>
  <c r="AN1381" i="49"/>
  <c r="AM1381" i="49"/>
  <c r="AL1381" i="49"/>
  <c r="AK1381" i="49"/>
  <c r="AY1380" i="49"/>
  <c r="AX1380" i="49"/>
  <c r="AW1380" i="49"/>
  <c r="AV1380" i="49"/>
  <c r="AU1380" i="49"/>
  <c r="AT1380" i="49"/>
  <c r="AS1380" i="49"/>
  <c r="AR1380" i="49"/>
  <c r="AQ1380" i="49"/>
  <c r="AP1380" i="49"/>
  <c r="AO1380" i="49"/>
  <c r="AN1380" i="49"/>
  <c r="AM1380" i="49"/>
  <c r="AL1380" i="49"/>
  <c r="AK1380" i="49"/>
  <c r="AY1379" i="49"/>
  <c r="AX1379" i="49"/>
  <c r="AW1379" i="49"/>
  <c r="AV1379" i="49"/>
  <c r="AU1379" i="49"/>
  <c r="AT1379" i="49"/>
  <c r="AS1379" i="49"/>
  <c r="AR1379" i="49"/>
  <c r="AQ1379" i="49"/>
  <c r="AP1379" i="49"/>
  <c r="AO1379" i="49"/>
  <c r="AN1379" i="49"/>
  <c r="AM1379" i="49"/>
  <c r="AL1379" i="49"/>
  <c r="AK1379" i="49"/>
  <c r="AY1378" i="49"/>
  <c r="AX1378" i="49"/>
  <c r="AW1378" i="49"/>
  <c r="AV1378" i="49"/>
  <c r="AU1378" i="49"/>
  <c r="AT1378" i="49"/>
  <c r="AS1378" i="49"/>
  <c r="AR1378" i="49"/>
  <c r="AQ1378" i="49"/>
  <c r="AP1378" i="49"/>
  <c r="AO1378" i="49"/>
  <c r="AN1378" i="49"/>
  <c r="AM1378" i="49"/>
  <c r="AL1378" i="49"/>
  <c r="AK1378" i="49"/>
  <c r="AY1377" i="49"/>
  <c r="AX1377" i="49"/>
  <c r="AW1377" i="49"/>
  <c r="AV1377" i="49"/>
  <c r="AU1377" i="49"/>
  <c r="AT1377" i="49"/>
  <c r="AS1377" i="49"/>
  <c r="AR1377" i="49"/>
  <c r="AQ1377" i="49"/>
  <c r="AP1377" i="49"/>
  <c r="AO1377" i="49"/>
  <c r="AN1377" i="49"/>
  <c r="AM1377" i="49"/>
  <c r="AL1377" i="49"/>
  <c r="AK1377" i="49"/>
  <c r="AY1376" i="49"/>
  <c r="AX1376" i="49"/>
  <c r="AW1376" i="49"/>
  <c r="AV1376" i="49"/>
  <c r="AU1376" i="49"/>
  <c r="AT1376" i="49"/>
  <c r="AS1376" i="49"/>
  <c r="AR1376" i="49"/>
  <c r="AQ1376" i="49"/>
  <c r="AP1376" i="49"/>
  <c r="AO1376" i="49"/>
  <c r="AN1376" i="49"/>
  <c r="AM1376" i="49"/>
  <c r="AL1376" i="49"/>
  <c r="AK1376" i="49"/>
  <c r="AY1375" i="49"/>
  <c r="AX1375" i="49"/>
  <c r="AW1375" i="49"/>
  <c r="AV1375" i="49"/>
  <c r="AU1375" i="49"/>
  <c r="AT1375" i="49"/>
  <c r="AS1375" i="49"/>
  <c r="AR1375" i="49"/>
  <c r="AQ1375" i="49"/>
  <c r="AP1375" i="49"/>
  <c r="AO1375" i="49"/>
  <c r="AN1375" i="49"/>
  <c r="AM1375" i="49"/>
  <c r="AL1375" i="49"/>
  <c r="AK1375" i="49"/>
  <c r="AY1374" i="49"/>
  <c r="AX1374" i="49"/>
  <c r="AW1374" i="49"/>
  <c r="AV1374" i="49"/>
  <c r="AU1374" i="49"/>
  <c r="AT1374" i="49"/>
  <c r="AS1374" i="49"/>
  <c r="AR1374" i="49"/>
  <c r="AQ1374" i="49"/>
  <c r="AP1374" i="49"/>
  <c r="AO1374" i="49"/>
  <c r="AN1374" i="49"/>
  <c r="AM1374" i="49"/>
  <c r="AL1374" i="49"/>
  <c r="AK1374" i="49"/>
  <c r="AY1373" i="49"/>
  <c r="AX1373" i="49"/>
  <c r="AW1373" i="49"/>
  <c r="AV1373" i="49"/>
  <c r="AU1373" i="49"/>
  <c r="AT1373" i="49"/>
  <c r="AS1373" i="49"/>
  <c r="AR1373" i="49"/>
  <c r="AQ1373" i="49"/>
  <c r="AP1373" i="49"/>
  <c r="AO1373" i="49"/>
  <c r="AN1373" i="49"/>
  <c r="AM1373" i="49"/>
  <c r="AL1373" i="49"/>
  <c r="AK1373" i="49"/>
  <c r="AF1373" i="49"/>
  <c r="AY1372" i="49"/>
  <c r="AX1372" i="49"/>
  <c r="AW1372" i="49"/>
  <c r="AV1372" i="49"/>
  <c r="AU1372" i="49"/>
  <c r="AT1372" i="49"/>
  <c r="AS1372" i="49"/>
  <c r="AR1372" i="49"/>
  <c r="AQ1372" i="49"/>
  <c r="AP1372" i="49"/>
  <c r="AO1372" i="49"/>
  <c r="AN1372" i="49"/>
  <c r="AM1372" i="49"/>
  <c r="AL1372" i="49"/>
  <c r="AK1372" i="49"/>
  <c r="AY1371" i="49"/>
  <c r="AX1371" i="49"/>
  <c r="AW1371" i="49"/>
  <c r="AV1371" i="49"/>
  <c r="AU1371" i="49"/>
  <c r="AT1371" i="49"/>
  <c r="AS1371" i="49"/>
  <c r="AR1371" i="49"/>
  <c r="AQ1371" i="49"/>
  <c r="AP1371" i="49"/>
  <c r="AO1371" i="49"/>
  <c r="AN1371" i="49"/>
  <c r="AM1371" i="49"/>
  <c r="AL1371" i="49"/>
  <c r="AK1371" i="49"/>
  <c r="AY1370" i="49"/>
  <c r="AX1370" i="49"/>
  <c r="AW1370" i="49"/>
  <c r="AV1370" i="49"/>
  <c r="AU1370" i="49"/>
  <c r="AT1370" i="49"/>
  <c r="AS1370" i="49"/>
  <c r="AR1370" i="49"/>
  <c r="AQ1370" i="49"/>
  <c r="AP1370" i="49"/>
  <c r="AO1370" i="49"/>
  <c r="AN1370" i="49"/>
  <c r="AM1370" i="49"/>
  <c r="AL1370" i="49"/>
  <c r="AK1370" i="49"/>
  <c r="AY1369" i="49"/>
  <c r="AX1369" i="49"/>
  <c r="AW1369" i="49"/>
  <c r="AV1369" i="49"/>
  <c r="AU1369" i="49"/>
  <c r="AT1369" i="49"/>
  <c r="AS1369" i="49"/>
  <c r="AR1369" i="49"/>
  <c r="AQ1369" i="49"/>
  <c r="AP1369" i="49"/>
  <c r="AO1369" i="49"/>
  <c r="AN1369" i="49"/>
  <c r="AM1369" i="49"/>
  <c r="AL1369" i="49"/>
  <c r="AK1369" i="49"/>
  <c r="AY1368" i="49"/>
  <c r="AX1368" i="49"/>
  <c r="AW1368" i="49"/>
  <c r="AV1368" i="49"/>
  <c r="AU1368" i="49"/>
  <c r="AT1368" i="49"/>
  <c r="AS1368" i="49"/>
  <c r="AR1368" i="49"/>
  <c r="AQ1368" i="49"/>
  <c r="AP1368" i="49"/>
  <c r="AO1368" i="49"/>
  <c r="AN1368" i="49"/>
  <c r="AM1368" i="49"/>
  <c r="AL1368" i="49"/>
  <c r="AK1368" i="49"/>
  <c r="AY1367" i="49"/>
  <c r="AX1367" i="49"/>
  <c r="AW1367" i="49"/>
  <c r="AV1367" i="49"/>
  <c r="AU1367" i="49"/>
  <c r="AT1367" i="49"/>
  <c r="AS1367" i="49"/>
  <c r="AR1367" i="49"/>
  <c r="AQ1367" i="49"/>
  <c r="AP1367" i="49"/>
  <c r="AO1367" i="49"/>
  <c r="AN1367" i="49"/>
  <c r="AM1367" i="49"/>
  <c r="AL1367" i="49"/>
  <c r="AK1367" i="49"/>
  <c r="AY1366" i="49"/>
  <c r="AX1366" i="49"/>
  <c r="AW1366" i="49"/>
  <c r="AV1366" i="49"/>
  <c r="AU1366" i="49"/>
  <c r="AT1366" i="49"/>
  <c r="AS1366" i="49"/>
  <c r="AR1366" i="49"/>
  <c r="AQ1366" i="49"/>
  <c r="AP1366" i="49"/>
  <c r="AO1366" i="49"/>
  <c r="AN1366" i="49"/>
  <c r="AM1366" i="49"/>
  <c r="AL1366" i="49"/>
  <c r="AK1366" i="49"/>
  <c r="AF1366" i="49"/>
  <c r="AY1365" i="49"/>
  <c r="AX1365" i="49"/>
  <c r="AW1365" i="49"/>
  <c r="AV1365" i="49"/>
  <c r="AU1365" i="49"/>
  <c r="AT1365" i="49"/>
  <c r="AS1365" i="49"/>
  <c r="AR1365" i="49"/>
  <c r="AQ1365" i="49"/>
  <c r="AP1365" i="49"/>
  <c r="AO1365" i="49"/>
  <c r="AN1365" i="49"/>
  <c r="AM1365" i="49"/>
  <c r="AL1365" i="49"/>
  <c r="AK1365" i="49"/>
  <c r="AY1364" i="49"/>
  <c r="AX1364" i="49"/>
  <c r="AW1364" i="49"/>
  <c r="AV1364" i="49"/>
  <c r="AU1364" i="49"/>
  <c r="AT1364" i="49"/>
  <c r="AS1364" i="49"/>
  <c r="AR1364" i="49"/>
  <c r="AQ1364" i="49"/>
  <c r="AP1364" i="49"/>
  <c r="AO1364" i="49"/>
  <c r="AN1364" i="49"/>
  <c r="AM1364" i="49"/>
  <c r="AL1364" i="49"/>
  <c r="AK1364" i="49"/>
  <c r="AY1363" i="49"/>
  <c r="AX1363" i="49"/>
  <c r="AW1363" i="49"/>
  <c r="AV1363" i="49"/>
  <c r="AU1363" i="49"/>
  <c r="AT1363" i="49"/>
  <c r="AS1363" i="49"/>
  <c r="AR1363" i="49"/>
  <c r="AQ1363" i="49"/>
  <c r="AP1363" i="49"/>
  <c r="AO1363" i="49"/>
  <c r="AN1363" i="49"/>
  <c r="AM1363" i="49"/>
  <c r="AL1363" i="49"/>
  <c r="AK1363" i="49"/>
  <c r="AY1362" i="49"/>
  <c r="AX1362" i="49"/>
  <c r="AW1362" i="49"/>
  <c r="AV1362" i="49"/>
  <c r="AU1362" i="49"/>
  <c r="AT1362" i="49"/>
  <c r="AS1362" i="49"/>
  <c r="AR1362" i="49"/>
  <c r="AQ1362" i="49"/>
  <c r="AP1362" i="49"/>
  <c r="AO1362" i="49"/>
  <c r="AN1362" i="49"/>
  <c r="AM1362" i="49"/>
  <c r="AL1362" i="49"/>
  <c r="AK1362" i="49"/>
  <c r="AY1361" i="49"/>
  <c r="AX1361" i="49"/>
  <c r="AW1361" i="49"/>
  <c r="AV1361" i="49"/>
  <c r="AU1361" i="49"/>
  <c r="AT1361" i="49"/>
  <c r="AS1361" i="49"/>
  <c r="AR1361" i="49"/>
  <c r="AQ1361" i="49"/>
  <c r="AP1361" i="49"/>
  <c r="AO1361" i="49"/>
  <c r="AN1361" i="49"/>
  <c r="AM1361" i="49"/>
  <c r="AL1361" i="49"/>
  <c r="AK1361" i="49"/>
  <c r="AY1360" i="49"/>
  <c r="AX1360" i="49"/>
  <c r="AW1360" i="49"/>
  <c r="AV1360" i="49"/>
  <c r="AU1360" i="49"/>
  <c r="AT1360" i="49"/>
  <c r="AS1360" i="49"/>
  <c r="AR1360" i="49"/>
  <c r="AQ1360" i="49"/>
  <c r="AP1360" i="49"/>
  <c r="AO1360" i="49"/>
  <c r="AN1360" i="49"/>
  <c r="AM1360" i="49"/>
  <c r="AL1360" i="49"/>
  <c r="AK1360" i="49"/>
  <c r="AY1359" i="49"/>
  <c r="AX1359" i="49"/>
  <c r="AW1359" i="49"/>
  <c r="AV1359" i="49"/>
  <c r="AU1359" i="49"/>
  <c r="AT1359" i="49"/>
  <c r="AS1359" i="49"/>
  <c r="AR1359" i="49"/>
  <c r="AQ1359" i="49"/>
  <c r="AP1359" i="49"/>
  <c r="AO1359" i="49"/>
  <c r="AN1359" i="49"/>
  <c r="AM1359" i="49"/>
  <c r="AL1359" i="49"/>
  <c r="AK1359" i="49"/>
  <c r="AY1358" i="49"/>
  <c r="AX1358" i="49"/>
  <c r="AW1358" i="49"/>
  <c r="AV1358" i="49"/>
  <c r="AU1358" i="49"/>
  <c r="AT1358" i="49"/>
  <c r="AS1358" i="49"/>
  <c r="AR1358" i="49"/>
  <c r="AQ1358" i="49"/>
  <c r="AP1358" i="49"/>
  <c r="AO1358" i="49"/>
  <c r="AN1358" i="49"/>
  <c r="AM1358" i="49"/>
  <c r="AL1358" i="49"/>
  <c r="AK1358" i="49"/>
  <c r="AY1357" i="49"/>
  <c r="AX1357" i="49"/>
  <c r="AW1357" i="49"/>
  <c r="AV1357" i="49"/>
  <c r="AU1357" i="49"/>
  <c r="AT1357" i="49"/>
  <c r="AS1357" i="49"/>
  <c r="AR1357" i="49"/>
  <c r="AQ1357" i="49"/>
  <c r="AP1357" i="49"/>
  <c r="AO1357" i="49"/>
  <c r="AN1357" i="49"/>
  <c r="AM1357" i="49"/>
  <c r="AL1357" i="49"/>
  <c r="AK1357" i="49"/>
  <c r="AY1356" i="49"/>
  <c r="AX1356" i="49"/>
  <c r="AW1356" i="49"/>
  <c r="AV1356" i="49"/>
  <c r="AU1356" i="49"/>
  <c r="AT1356" i="49"/>
  <c r="AS1356" i="49"/>
  <c r="AR1356" i="49"/>
  <c r="AQ1356" i="49"/>
  <c r="AP1356" i="49"/>
  <c r="AO1356" i="49"/>
  <c r="AN1356" i="49"/>
  <c r="AM1356" i="49"/>
  <c r="AL1356" i="49"/>
  <c r="AK1356" i="49"/>
  <c r="AF1356" i="49"/>
  <c r="AY1355" i="49"/>
  <c r="AX1355" i="49"/>
  <c r="AW1355" i="49"/>
  <c r="AV1355" i="49"/>
  <c r="AU1355" i="49"/>
  <c r="AT1355" i="49"/>
  <c r="AS1355" i="49"/>
  <c r="AR1355" i="49"/>
  <c r="AQ1355" i="49"/>
  <c r="AP1355" i="49"/>
  <c r="AO1355" i="49"/>
  <c r="AN1355" i="49"/>
  <c r="AM1355" i="49"/>
  <c r="AL1355" i="49"/>
  <c r="AK1355" i="49"/>
  <c r="AY1354" i="49"/>
  <c r="AX1354" i="49"/>
  <c r="AW1354" i="49"/>
  <c r="AV1354" i="49"/>
  <c r="AU1354" i="49"/>
  <c r="AT1354" i="49"/>
  <c r="AS1354" i="49"/>
  <c r="AR1354" i="49"/>
  <c r="AQ1354" i="49"/>
  <c r="AP1354" i="49"/>
  <c r="AO1354" i="49"/>
  <c r="AN1354" i="49"/>
  <c r="AM1354" i="49"/>
  <c r="AL1354" i="49"/>
  <c r="AK1354" i="49"/>
  <c r="AY1353" i="49"/>
  <c r="AX1353" i="49"/>
  <c r="AW1353" i="49"/>
  <c r="AV1353" i="49"/>
  <c r="AU1353" i="49"/>
  <c r="AT1353" i="49"/>
  <c r="AS1353" i="49"/>
  <c r="AR1353" i="49"/>
  <c r="AQ1353" i="49"/>
  <c r="AP1353" i="49"/>
  <c r="AO1353" i="49"/>
  <c r="AN1353" i="49"/>
  <c r="AM1353" i="49"/>
  <c r="AL1353" i="49"/>
  <c r="AK1353" i="49"/>
  <c r="AY1352" i="49"/>
  <c r="AX1352" i="49"/>
  <c r="AW1352" i="49"/>
  <c r="AV1352" i="49"/>
  <c r="AU1352" i="49"/>
  <c r="AT1352" i="49"/>
  <c r="AS1352" i="49"/>
  <c r="AR1352" i="49"/>
  <c r="AQ1352" i="49"/>
  <c r="AP1352" i="49"/>
  <c r="AO1352" i="49"/>
  <c r="AN1352" i="49"/>
  <c r="AM1352" i="49"/>
  <c r="AL1352" i="49"/>
  <c r="AK1352" i="49"/>
  <c r="AY1351" i="49"/>
  <c r="AX1351" i="49"/>
  <c r="AW1351" i="49"/>
  <c r="AV1351" i="49"/>
  <c r="AU1351" i="49"/>
  <c r="AT1351" i="49"/>
  <c r="AS1351" i="49"/>
  <c r="AR1351" i="49"/>
  <c r="AQ1351" i="49"/>
  <c r="AP1351" i="49"/>
  <c r="AO1351" i="49"/>
  <c r="AN1351" i="49"/>
  <c r="AM1351" i="49"/>
  <c r="AL1351" i="49"/>
  <c r="AK1351" i="49"/>
  <c r="AY1350" i="49"/>
  <c r="AX1350" i="49"/>
  <c r="AW1350" i="49"/>
  <c r="AV1350" i="49"/>
  <c r="AU1350" i="49"/>
  <c r="AT1350" i="49"/>
  <c r="AS1350" i="49"/>
  <c r="AR1350" i="49"/>
  <c r="AQ1350" i="49"/>
  <c r="AP1350" i="49"/>
  <c r="AO1350" i="49"/>
  <c r="AN1350" i="49"/>
  <c r="AM1350" i="49"/>
  <c r="AL1350" i="49"/>
  <c r="AK1350" i="49"/>
  <c r="AY1349" i="49"/>
  <c r="AX1349" i="49"/>
  <c r="AW1349" i="49"/>
  <c r="AV1349" i="49"/>
  <c r="AU1349" i="49"/>
  <c r="AT1349" i="49"/>
  <c r="AS1349" i="49"/>
  <c r="AR1349" i="49"/>
  <c r="AQ1349" i="49"/>
  <c r="AP1349" i="49"/>
  <c r="AO1349" i="49"/>
  <c r="AN1349" i="49"/>
  <c r="AM1349" i="49"/>
  <c r="AL1349" i="49"/>
  <c r="AK1349" i="49"/>
  <c r="AY1348" i="49"/>
  <c r="AX1348" i="49"/>
  <c r="AW1348" i="49"/>
  <c r="AV1348" i="49"/>
  <c r="AU1348" i="49"/>
  <c r="AT1348" i="49"/>
  <c r="AS1348" i="49"/>
  <c r="AR1348" i="49"/>
  <c r="AQ1348" i="49"/>
  <c r="AP1348" i="49"/>
  <c r="AO1348" i="49"/>
  <c r="AN1348" i="49"/>
  <c r="AM1348" i="49"/>
  <c r="AL1348" i="49"/>
  <c r="AK1348" i="49"/>
  <c r="AF1348" i="49"/>
  <c r="AY1347" i="49"/>
  <c r="AX1347" i="49"/>
  <c r="AW1347" i="49"/>
  <c r="AV1347" i="49"/>
  <c r="AU1347" i="49"/>
  <c r="AT1347" i="49"/>
  <c r="AS1347" i="49"/>
  <c r="AR1347" i="49"/>
  <c r="AQ1347" i="49"/>
  <c r="AP1347" i="49"/>
  <c r="AO1347" i="49"/>
  <c r="AN1347" i="49"/>
  <c r="AM1347" i="49"/>
  <c r="AL1347" i="49"/>
  <c r="AK1347" i="49"/>
  <c r="AY1346" i="49"/>
  <c r="AX1346" i="49"/>
  <c r="AW1346" i="49"/>
  <c r="AV1346" i="49"/>
  <c r="AU1346" i="49"/>
  <c r="AT1346" i="49"/>
  <c r="AS1346" i="49"/>
  <c r="AR1346" i="49"/>
  <c r="AQ1346" i="49"/>
  <c r="AP1346" i="49"/>
  <c r="AO1346" i="49"/>
  <c r="AN1346" i="49"/>
  <c r="AM1346" i="49"/>
  <c r="AL1346" i="49"/>
  <c r="AK1346" i="49"/>
  <c r="AY1345" i="49"/>
  <c r="AX1345" i="49"/>
  <c r="AW1345" i="49"/>
  <c r="AV1345" i="49"/>
  <c r="AU1345" i="49"/>
  <c r="AT1345" i="49"/>
  <c r="AS1345" i="49"/>
  <c r="AR1345" i="49"/>
  <c r="AQ1345" i="49"/>
  <c r="AP1345" i="49"/>
  <c r="AO1345" i="49"/>
  <c r="AN1345" i="49"/>
  <c r="AM1345" i="49"/>
  <c r="AL1345" i="49"/>
  <c r="AK1345" i="49"/>
  <c r="AY1344" i="49"/>
  <c r="AX1344" i="49"/>
  <c r="AW1344" i="49"/>
  <c r="AV1344" i="49"/>
  <c r="AU1344" i="49"/>
  <c r="AT1344" i="49"/>
  <c r="AS1344" i="49"/>
  <c r="AR1344" i="49"/>
  <c r="AQ1344" i="49"/>
  <c r="AP1344" i="49"/>
  <c r="AO1344" i="49"/>
  <c r="AN1344" i="49"/>
  <c r="AM1344" i="49"/>
  <c r="AL1344" i="49"/>
  <c r="AK1344" i="49"/>
  <c r="AY1343" i="49"/>
  <c r="AX1343" i="49"/>
  <c r="AW1343" i="49"/>
  <c r="AV1343" i="49"/>
  <c r="AU1343" i="49"/>
  <c r="AT1343" i="49"/>
  <c r="AS1343" i="49"/>
  <c r="AR1343" i="49"/>
  <c r="AQ1343" i="49"/>
  <c r="AP1343" i="49"/>
  <c r="AO1343" i="49"/>
  <c r="AN1343" i="49"/>
  <c r="AM1343" i="49"/>
  <c r="AL1343" i="49"/>
  <c r="AK1343" i="49"/>
  <c r="AY1342" i="49"/>
  <c r="AX1342" i="49"/>
  <c r="AW1342" i="49"/>
  <c r="AV1342" i="49"/>
  <c r="AU1342" i="49"/>
  <c r="AT1342" i="49"/>
  <c r="AS1342" i="49"/>
  <c r="AR1342" i="49"/>
  <c r="AQ1342" i="49"/>
  <c r="AP1342" i="49"/>
  <c r="AO1342" i="49"/>
  <c r="AN1342" i="49"/>
  <c r="AM1342" i="49"/>
  <c r="AL1342" i="49"/>
  <c r="AK1342" i="49"/>
  <c r="AY1341" i="49"/>
  <c r="AX1341" i="49"/>
  <c r="AW1341" i="49"/>
  <c r="AV1341" i="49"/>
  <c r="AU1341" i="49"/>
  <c r="AT1341" i="49"/>
  <c r="AS1341" i="49"/>
  <c r="AR1341" i="49"/>
  <c r="AQ1341" i="49"/>
  <c r="AP1341" i="49"/>
  <c r="AO1341" i="49"/>
  <c r="AN1341" i="49"/>
  <c r="AM1341" i="49"/>
  <c r="AL1341" i="49"/>
  <c r="AK1341" i="49"/>
  <c r="AY1340" i="49"/>
  <c r="AX1340" i="49"/>
  <c r="AW1340" i="49"/>
  <c r="AV1340" i="49"/>
  <c r="AU1340" i="49"/>
  <c r="AT1340" i="49"/>
  <c r="AS1340" i="49"/>
  <c r="AR1340" i="49"/>
  <c r="AQ1340" i="49"/>
  <c r="AP1340" i="49"/>
  <c r="AO1340" i="49"/>
  <c r="AN1340" i="49"/>
  <c r="AM1340" i="49"/>
  <c r="AL1340" i="49"/>
  <c r="AK1340" i="49"/>
  <c r="AY1339" i="49"/>
  <c r="AX1339" i="49"/>
  <c r="AW1339" i="49"/>
  <c r="AV1339" i="49"/>
  <c r="AU1339" i="49"/>
  <c r="AT1339" i="49"/>
  <c r="AS1339" i="49"/>
  <c r="AR1339" i="49"/>
  <c r="AQ1339" i="49"/>
  <c r="AP1339" i="49"/>
  <c r="AO1339" i="49"/>
  <c r="AN1339" i="49"/>
  <c r="AM1339" i="49"/>
  <c r="AL1339" i="49"/>
  <c r="AK1339" i="49"/>
  <c r="AY1338" i="49"/>
  <c r="AX1338" i="49"/>
  <c r="AW1338" i="49"/>
  <c r="AV1338" i="49"/>
  <c r="AU1338" i="49"/>
  <c r="AT1338" i="49"/>
  <c r="AS1338" i="49"/>
  <c r="AR1338" i="49"/>
  <c r="AQ1338" i="49"/>
  <c r="AP1338" i="49"/>
  <c r="AO1338" i="49"/>
  <c r="AN1338" i="49"/>
  <c r="AM1338" i="49"/>
  <c r="AL1338" i="49"/>
  <c r="AK1338" i="49"/>
  <c r="AF1338" i="49"/>
  <c r="AY1337" i="49"/>
  <c r="AX1337" i="49"/>
  <c r="AW1337" i="49"/>
  <c r="AV1337" i="49"/>
  <c r="AU1337" i="49"/>
  <c r="AT1337" i="49"/>
  <c r="AS1337" i="49"/>
  <c r="AR1337" i="49"/>
  <c r="AQ1337" i="49"/>
  <c r="AP1337" i="49"/>
  <c r="AO1337" i="49"/>
  <c r="AN1337" i="49"/>
  <c r="AM1337" i="49"/>
  <c r="AL1337" i="49"/>
  <c r="AK1337" i="49"/>
  <c r="AY1336" i="49"/>
  <c r="AX1336" i="49"/>
  <c r="AW1336" i="49"/>
  <c r="AV1336" i="49"/>
  <c r="AU1336" i="49"/>
  <c r="AT1336" i="49"/>
  <c r="AS1336" i="49"/>
  <c r="AR1336" i="49"/>
  <c r="AQ1336" i="49"/>
  <c r="AP1336" i="49"/>
  <c r="AO1336" i="49"/>
  <c r="AN1336" i="49"/>
  <c r="AM1336" i="49"/>
  <c r="AL1336" i="49"/>
  <c r="AK1336" i="49"/>
  <c r="AY1335" i="49"/>
  <c r="AX1335" i="49"/>
  <c r="AW1335" i="49"/>
  <c r="AV1335" i="49"/>
  <c r="AU1335" i="49"/>
  <c r="AT1335" i="49"/>
  <c r="AS1335" i="49"/>
  <c r="AR1335" i="49"/>
  <c r="AQ1335" i="49"/>
  <c r="AP1335" i="49"/>
  <c r="AO1335" i="49"/>
  <c r="AN1335" i="49"/>
  <c r="AM1335" i="49"/>
  <c r="AL1335" i="49"/>
  <c r="AK1335" i="49"/>
  <c r="AY1334" i="49"/>
  <c r="AX1334" i="49"/>
  <c r="AW1334" i="49"/>
  <c r="AV1334" i="49"/>
  <c r="AU1334" i="49"/>
  <c r="AT1334" i="49"/>
  <c r="AS1334" i="49"/>
  <c r="AR1334" i="49"/>
  <c r="AQ1334" i="49"/>
  <c r="AP1334" i="49"/>
  <c r="AO1334" i="49"/>
  <c r="AN1334" i="49"/>
  <c r="AM1334" i="49"/>
  <c r="AL1334" i="49"/>
  <c r="AK1334" i="49"/>
  <c r="AY1333" i="49"/>
  <c r="AX1333" i="49"/>
  <c r="AW1333" i="49"/>
  <c r="AV1333" i="49"/>
  <c r="AU1333" i="49"/>
  <c r="AT1333" i="49"/>
  <c r="AS1333" i="49"/>
  <c r="AR1333" i="49"/>
  <c r="AQ1333" i="49"/>
  <c r="AP1333" i="49"/>
  <c r="AO1333" i="49"/>
  <c r="AN1333" i="49"/>
  <c r="AM1333" i="49"/>
  <c r="AL1333" i="49"/>
  <c r="AK1333" i="49"/>
  <c r="AY1332" i="49"/>
  <c r="AX1332" i="49"/>
  <c r="AW1332" i="49"/>
  <c r="AV1332" i="49"/>
  <c r="AU1332" i="49"/>
  <c r="AT1332" i="49"/>
  <c r="AS1332" i="49"/>
  <c r="AR1332" i="49"/>
  <c r="AQ1332" i="49"/>
  <c r="AP1332" i="49"/>
  <c r="AO1332" i="49"/>
  <c r="AN1332" i="49"/>
  <c r="AM1332" i="49"/>
  <c r="AL1332" i="49"/>
  <c r="AK1332" i="49"/>
  <c r="AY1331" i="49"/>
  <c r="AX1331" i="49"/>
  <c r="AW1331" i="49"/>
  <c r="AV1331" i="49"/>
  <c r="AU1331" i="49"/>
  <c r="AT1331" i="49"/>
  <c r="AS1331" i="49"/>
  <c r="AR1331" i="49"/>
  <c r="AQ1331" i="49"/>
  <c r="AP1331" i="49"/>
  <c r="AO1331" i="49"/>
  <c r="AN1331" i="49"/>
  <c r="AM1331" i="49"/>
  <c r="AL1331" i="49"/>
  <c r="AK1331" i="49"/>
  <c r="AY1330" i="49"/>
  <c r="AX1330" i="49"/>
  <c r="AW1330" i="49"/>
  <c r="AV1330" i="49"/>
  <c r="AU1330" i="49"/>
  <c r="AT1330" i="49"/>
  <c r="AS1330" i="49"/>
  <c r="AR1330" i="49"/>
  <c r="AQ1330" i="49"/>
  <c r="AP1330" i="49"/>
  <c r="AO1330" i="49"/>
  <c r="AN1330" i="49"/>
  <c r="AM1330" i="49"/>
  <c r="AL1330" i="49"/>
  <c r="AK1330" i="49"/>
  <c r="AF1330" i="49"/>
  <c r="AY1329" i="49"/>
  <c r="AX1329" i="49"/>
  <c r="AW1329" i="49"/>
  <c r="AV1329" i="49"/>
  <c r="AU1329" i="49"/>
  <c r="AT1329" i="49"/>
  <c r="AS1329" i="49"/>
  <c r="AR1329" i="49"/>
  <c r="AQ1329" i="49"/>
  <c r="AP1329" i="49"/>
  <c r="AO1329" i="49"/>
  <c r="AN1329" i="49"/>
  <c r="AM1329" i="49"/>
  <c r="AL1329" i="49"/>
  <c r="AK1329" i="49"/>
  <c r="AY1328" i="49"/>
  <c r="AX1328" i="49"/>
  <c r="AW1328" i="49"/>
  <c r="AV1328" i="49"/>
  <c r="AU1328" i="49"/>
  <c r="AT1328" i="49"/>
  <c r="AS1328" i="49"/>
  <c r="AR1328" i="49"/>
  <c r="AQ1328" i="49"/>
  <c r="AP1328" i="49"/>
  <c r="AO1328" i="49"/>
  <c r="AN1328" i="49"/>
  <c r="AM1328" i="49"/>
  <c r="AL1328" i="49"/>
  <c r="AK1328" i="49"/>
  <c r="AY1327" i="49"/>
  <c r="AX1327" i="49"/>
  <c r="AW1327" i="49"/>
  <c r="AV1327" i="49"/>
  <c r="AU1327" i="49"/>
  <c r="AT1327" i="49"/>
  <c r="AS1327" i="49"/>
  <c r="AR1327" i="49"/>
  <c r="AQ1327" i="49"/>
  <c r="AP1327" i="49"/>
  <c r="AO1327" i="49"/>
  <c r="AN1327" i="49"/>
  <c r="AM1327" i="49"/>
  <c r="AL1327" i="49"/>
  <c r="AK1327" i="49"/>
  <c r="AY1326" i="49"/>
  <c r="AX1326" i="49"/>
  <c r="AW1326" i="49"/>
  <c r="AV1326" i="49"/>
  <c r="AU1326" i="49"/>
  <c r="AT1326" i="49"/>
  <c r="AS1326" i="49"/>
  <c r="AR1326" i="49"/>
  <c r="AQ1326" i="49"/>
  <c r="AP1326" i="49"/>
  <c r="AO1326" i="49"/>
  <c r="AN1326" i="49"/>
  <c r="AM1326" i="49"/>
  <c r="AL1326" i="49"/>
  <c r="AK1326" i="49"/>
  <c r="AY1325" i="49"/>
  <c r="AX1325" i="49"/>
  <c r="AW1325" i="49"/>
  <c r="AV1325" i="49"/>
  <c r="AU1325" i="49"/>
  <c r="AT1325" i="49"/>
  <c r="AS1325" i="49"/>
  <c r="AR1325" i="49"/>
  <c r="AQ1325" i="49"/>
  <c r="AP1325" i="49"/>
  <c r="AO1325" i="49"/>
  <c r="AN1325" i="49"/>
  <c r="AM1325" i="49"/>
  <c r="AL1325" i="49"/>
  <c r="AK1325" i="49"/>
  <c r="AY1324" i="49"/>
  <c r="AX1324" i="49"/>
  <c r="AW1324" i="49"/>
  <c r="AV1324" i="49"/>
  <c r="AU1324" i="49"/>
  <c r="AT1324" i="49"/>
  <c r="AS1324" i="49"/>
  <c r="AR1324" i="49"/>
  <c r="AQ1324" i="49"/>
  <c r="AP1324" i="49"/>
  <c r="AO1324" i="49"/>
  <c r="AN1324" i="49"/>
  <c r="AM1324" i="49"/>
  <c r="AL1324" i="49"/>
  <c r="AK1324" i="49"/>
  <c r="AY1323" i="49"/>
  <c r="AX1323" i="49"/>
  <c r="AW1323" i="49"/>
  <c r="AV1323" i="49"/>
  <c r="AU1323" i="49"/>
  <c r="AT1323" i="49"/>
  <c r="AS1323" i="49"/>
  <c r="AR1323" i="49"/>
  <c r="AQ1323" i="49"/>
  <c r="AP1323" i="49"/>
  <c r="AO1323" i="49"/>
  <c r="AN1323" i="49"/>
  <c r="AM1323" i="49"/>
  <c r="AL1323" i="49"/>
  <c r="AK1323" i="49"/>
  <c r="AY1322" i="49"/>
  <c r="AX1322" i="49"/>
  <c r="AW1322" i="49"/>
  <c r="AV1322" i="49"/>
  <c r="AU1322" i="49"/>
  <c r="AT1322" i="49"/>
  <c r="AS1322" i="49"/>
  <c r="AR1322" i="49"/>
  <c r="AQ1322" i="49"/>
  <c r="AP1322" i="49"/>
  <c r="AO1322" i="49"/>
  <c r="AN1322" i="49"/>
  <c r="AM1322" i="49"/>
  <c r="AL1322" i="49"/>
  <c r="AK1322" i="49"/>
  <c r="AY1321" i="49"/>
  <c r="AX1321" i="49"/>
  <c r="AW1321" i="49"/>
  <c r="AV1321" i="49"/>
  <c r="AU1321" i="49"/>
  <c r="AT1321" i="49"/>
  <c r="AS1321" i="49"/>
  <c r="AR1321" i="49"/>
  <c r="AQ1321" i="49"/>
  <c r="AP1321" i="49"/>
  <c r="AO1321" i="49"/>
  <c r="AN1321" i="49"/>
  <c r="AM1321" i="49"/>
  <c r="AL1321" i="49"/>
  <c r="AK1321" i="49"/>
  <c r="AY1320" i="49"/>
  <c r="AX1320" i="49"/>
  <c r="AW1320" i="49"/>
  <c r="AV1320" i="49"/>
  <c r="AU1320" i="49"/>
  <c r="AT1320" i="49"/>
  <c r="AS1320" i="49"/>
  <c r="AR1320" i="49"/>
  <c r="AQ1320" i="49"/>
  <c r="AP1320" i="49"/>
  <c r="AO1320" i="49"/>
  <c r="AN1320" i="49"/>
  <c r="AM1320" i="49"/>
  <c r="AL1320" i="49"/>
  <c r="AK1320" i="49"/>
  <c r="AY1319" i="49"/>
  <c r="AX1319" i="49"/>
  <c r="AW1319" i="49"/>
  <c r="AV1319" i="49"/>
  <c r="AU1319" i="49"/>
  <c r="AT1319" i="49"/>
  <c r="AS1319" i="49"/>
  <c r="AR1319" i="49"/>
  <c r="AQ1319" i="49"/>
  <c r="AP1319" i="49"/>
  <c r="AO1319" i="49"/>
  <c r="AN1319" i="49"/>
  <c r="AM1319" i="49"/>
  <c r="AL1319" i="49"/>
  <c r="AK1319" i="49"/>
  <c r="AY1318" i="49"/>
  <c r="AX1318" i="49"/>
  <c r="AW1318" i="49"/>
  <c r="AV1318" i="49"/>
  <c r="AU1318" i="49"/>
  <c r="AT1318" i="49"/>
  <c r="AS1318" i="49"/>
  <c r="AR1318" i="49"/>
  <c r="AQ1318" i="49"/>
  <c r="AP1318" i="49"/>
  <c r="AO1318" i="49"/>
  <c r="AN1318" i="49"/>
  <c r="AM1318" i="49"/>
  <c r="AL1318" i="49"/>
  <c r="AK1318" i="49"/>
  <c r="AY1317" i="49"/>
  <c r="AX1317" i="49"/>
  <c r="AW1317" i="49"/>
  <c r="AV1317" i="49"/>
  <c r="AU1317" i="49"/>
  <c r="AT1317" i="49"/>
  <c r="AS1317" i="49"/>
  <c r="AR1317" i="49"/>
  <c r="AQ1317" i="49"/>
  <c r="AP1317" i="49"/>
  <c r="AO1317" i="49"/>
  <c r="AN1317" i="49"/>
  <c r="AM1317" i="49"/>
  <c r="AL1317" i="49"/>
  <c r="AK1317" i="49"/>
  <c r="AY1316" i="49"/>
  <c r="AX1316" i="49"/>
  <c r="AW1316" i="49"/>
  <c r="AV1316" i="49"/>
  <c r="AU1316" i="49"/>
  <c r="AT1316" i="49"/>
  <c r="AS1316" i="49"/>
  <c r="AR1316" i="49"/>
  <c r="AQ1316" i="49"/>
  <c r="AP1316" i="49"/>
  <c r="AO1316" i="49"/>
  <c r="AN1316" i="49"/>
  <c r="AM1316" i="49"/>
  <c r="AL1316" i="49"/>
  <c r="AK1316" i="49"/>
  <c r="AY1315" i="49"/>
  <c r="AX1315" i="49"/>
  <c r="AW1315" i="49"/>
  <c r="AV1315" i="49"/>
  <c r="AU1315" i="49"/>
  <c r="AT1315" i="49"/>
  <c r="AS1315" i="49"/>
  <c r="AR1315" i="49"/>
  <c r="AQ1315" i="49"/>
  <c r="AP1315" i="49"/>
  <c r="AO1315" i="49"/>
  <c r="AN1315" i="49"/>
  <c r="AM1315" i="49"/>
  <c r="AL1315" i="49"/>
  <c r="AK1315" i="49"/>
  <c r="AY1314" i="49"/>
  <c r="AX1314" i="49"/>
  <c r="AW1314" i="49"/>
  <c r="AV1314" i="49"/>
  <c r="AU1314" i="49"/>
  <c r="AT1314" i="49"/>
  <c r="AS1314" i="49"/>
  <c r="AR1314" i="49"/>
  <c r="AQ1314" i="49"/>
  <c r="AP1314" i="49"/>
  <c r="AO1314" i="49"/>
  <c r="AN1314" i="49"/>
  <c r="AM1314" i="49"/>
  <c r="AL1314" i="49"/>
  <c r="AK1314" i="49"/>
  <c r="AY1313" i="49"/>
  <c r="AX1313" i="49"/>
  <c r="AW1313" i="49"/>
  <c r="AV1313" i="49"/>
  <c r="AU1313" i="49"/>
  <c r="AT1313" i="49"/>
  <c r="AS1313" i="49"/>
  <c r="AR1313" i="49"/>
  <c r="AQ1313" i="49"/>
  <c r="AP1313" i="49"/>
  <c r="AO1313" i="49"/>
  <c r="AN1313" i="49"/>
  <c r="AM1313" i="49"/>
  <c r="AL1313" i="49"/>
  <c r="AK1313" i="49"/>
  <c r="AY1312" i="49"/>
  <c r="AX1312" i="49"/>
  <c r="AW1312" i="49"/>
  <c r="AV1312" i="49"/>
  <c r="AU1312" i="49"/>
  <c r="AT1312" i="49"/>
  <c r="AS1312" i="49"/>
  <c r="AR1312" i="49"/>
  <c r="AQ1312" i="49"/>
  <c r="AP1312" i="49"/>
  <c r="AO1312" i="49"/>
  <c r="AN1312" i="49"/>
  <c r="AM1312" i="49"/>
  <c r="AL1312" i="49"/>
  <c r="AK1312" i="49"/>
  <c r="AY1311" i="49"/>
  <c r="AX1311" i="49"/>
  <c r="AW1311" i="49"/>
  <c r="AV1311" i="49"/>
  <c r="AU1311" i="49"/>
  <c r="AT1311" i="49"/>
  <c r="AS1311" i="49"/>
  <c r="AR1311" i="49"/>
  <c r="AQ1311" i="49"/>
  <c r="AP1311" i="49"/>
  <c r="AO1311" i="49"/>
  <c r="AN1311" i="49"/>
  <c r="AM1311" i="49"/>
  <c r="AL1311" i="49"/>
  <c r="AK1311" i="49"/>
  <c r="AF1311" i="49"/>
  <c r="AY1310" i="49"/>
  <c r="AX1310" i="49"/>
  <c r="AW1310" i="49"/>
  <c r="AV1310" i="49"/>
  <c r="AU1310" i="49"/>
  <c r="AT1310" i="49"/>
  <c r="AS1310" i="49"/>
  <c r="AR1310" i="49"/>
  <c r="AQ1310" i="49"/>
  <c r="AP1310" i="49"/>
  <c r="AO1310" i="49"/>
  <c r="AN1310" i="49"/>
  <c r="AM1310" i="49"/>
  <c r="AL1310" i="49"/>
  <c r="AK1310" i="49"/>
  <c r="AY1309" i="49"/>
  <c r="AX1309" i="49"/>
  <c r="AW1309" i="49"/>
  <c r="AV1309" i="49"/>
  <c r="AU1309" i="49"/>
  <c r="AT1309" i="49"/>
  <c r="AS1309" i="49"/>
  <c r="AR1309" i="49"/>
  <c r="AQ1309" i="49"/>
  <c r="AP1309" i="49"/>
  <c r="AO1309" i="49"/>
  <c r="AN1309" i="49"/>
  <c r="AM1309" i="49"/>
  <c r="AL1309" i="49"/>
  <c r="AK1309" i="49"/>
  <c r="AY1308" i="49"/>
  <c r="AX1308" i="49"/>
  <c r="AW1308" i="49"/>
  <c r="AV1308" i="49"/>
  <c r="AU1308" i="49"/>
  <c r="AT1308" i="49"/>
  <c r="AS1308" i="49"/>
  <c r="AR1308" i="49"/>
  <c r="AQ1308" i="49"/>
  <c r="AP1308" i="49"/>
  <c r="AO1308" i="49"/>
  <c r="AN1308" i="49"/>
  <c r="AM1308" i="49"/>
  <c r="AL1308" i="49"/>
  <c r="AK1308" i="49"/>
  <c r="AY1307" i="49"/>
  <c r="AX1307" i="49"/>
  <c r="AW1307" i="49"/>
  <c r="AV1307" i="49"/>
  <c r="AU1307" i="49"/>
  <c r="AT1307" i="49"/>
  <c r="AS1307" i="49"/>
  <c r="AR1307" i="49"/>
  <c r="AQ1307" i="49"/>
  <c r="AP1307" i="49"/>
  <c r="AO1307" i="49"/>
  <c r="AN1307" i="49"/>
  <c r="AM1307" i="49"/>
  <c r="AL1307" i="49"/>
  <c r="AK1307" i="49"/>
  <c r="AY1306" i="49"/>
  <c r="AX1306" i="49"/>
  <c r="AW1306" i="49"/>
  <c r="AV1306" i="49"/>
  <c r="AU1306" i="49"/>
  <c r="AT1306" i="49"/>
  <c r="AS1306" i="49"/>
  <c r="AR1306" i="49"/>
  <c r="AQ1306" i="49"/>
  <c r="AP1306" i="49"/>
  <c r="AO1306" i="49"/>
  <c r="AN1306" i="49"/>
  <c r="AM1306" i="49"/>
  <c r="AL1306" i="49"/>
  <c r="AK1306" i="49"/>
  <c r="CR1305" i="49"/>
  <c r="CQ1305" i="49"/>
  <c r="CP1305" i="49"/>
  <c r="CO1305" i="49"/>
  <c r="CN1305" i="49"/>
  <c r="CM1305" i="49"/>
  <c r="CL1305" i="49"/>
  <c r="CK1305" i="49"/>
  <c r="CJ1305" i="49"/>
  <c r="CI1305" i="49"/>
  <c r="CH1305" i="49"/>
  <c r="CG1305" i="49"/>
  <c r="CF1305" i="49"/>
  <c r="CE1305" i="49"/>
  <c r="CD1305" i="49"/>
  <c r="CC1305" i="49"/>
  <c r="CB1305" i="49"/>
  <c r="CA1305" i="49"/>
  <c r="BZ1305" i="49"/>
  <c r="BY1305" i="49"/>
  <c r="BX1305" i="49"/>
  <c r="BW1305" i="49"/>
  <c r="BV1305" i="49"/>
  <c r="BU1305" i="49"/>
  <c r="BT1305" i="49"/>
  <c r="BS1305" i="49"/>
  <c r="BR1305" i="49"/>
  <c r="BQ1305" i="49"/>
  <c r="BP1305" i="49"/>
  <c r="BO1305" i="49"/>
  <c r="BN1305" i="49"/>
  <c r="BM1305" i="49"/>
  <c r="BL1305" i="49"/>
  <c r="BK1305" i="49"/>
  <c r="BJ1305" i="49"/>
  <c r="BI1305" i="49"/>
  <c r="BH1305" i="49"/>
  <c r="BG1305" i="49"/>
  <c r="BF1305" i="49"/>
  <c r="BE1305" i="49"/>
  <c r="BD1305" i="49"/>
  <c r="BC1305" i="49"/>
  <c r="BB1305" i="49"/>
  <c r="BA1305" i="49"/>
  <c r="AZ1305" i="49"/>
  <c r="AY1305" i="49"/>
  <c r="AX1305" i="49"/>
  <c r="AW1305" i="49"/>
  <c r="AV1305" i="49"/>
  <c r="AU1305" i="49"/>
  <c r="AT1305" i="49"/>
  <c r="AS1305" i="49"/>
  <c r="AR1305" i="49"/>
  <c r="AQ1305" i="49"/>
  <c r="AP1305" i="49"/>
  <c r="AO1305" i="49"/>
  <c r="AN1305" i="49"/>
  <c r="AM1305" i="49"/>
  <c r="AL1305" i="49"/>
  <c r="AK1305" i="49"/>
  <c r="CR1304" i="49"/>
  <c r="CQ1304" i="49"/>
  <c r="CP1304" i="49"/>
  <c r="CO1304" i="49"/>
  <c r="CN1304" i="49"/>
  <c r="CM1304" i="49"/>
  <c r="CL1304" i="49"/>
  <c r="CK1304" i="49"/>
  <c r="CJ1304" i="49"/>
  <c r="CI1304" i="49"/>
  <c r="CH1304" i="49"/>
  <c r="CG1304" i="49"/>
  <c r="CF1304" i="49"/>
  <c r="CE1304" i="49"/>
  <c r="CD1304" i="49"/>
  <c r="CC1304" i="49"/>
  <c r="CB1304" i="49"/>
  <c r="CA1304" i="49"/>
  <c r="BZ1304" i="49"/>
  <c r="BY1304" i="49"/>
  <c r="BX1304" i="49"/>
  <c r="BW1304" i="49"/>
  <c r="BV1304" i="49"/>
  <c r="BU1304" i="49"/>
  <c r="BT1304" i="49"/>
  <c r="BS1304" i="49"/>
  <c r="BR1304" i="49"/>
  <c r="BQ1304" i="49"/>
  <c r="BP1304" i="49"/>
  <c r="BO1304" i="49"/>
  <c r="BN1304" i="49"/>
  <c r="BM1304" i="49"/>
  <c r="BL1304" i="49"/>
  <c r="BK1304" i="49"/>
  <c r="BJ1304" i="49"/>
  <c r="BI1304" i="49"/>
  <c r="BH1304" i="49"/>
  <c r="BG1304" i="49"/>
  <c r="BF1304" i="49"/>
  <c r="BE1304" i="49"/>
  <c r="BD1304" i="49"/>
  <c r="BC1304" i="49"/>
  <c r="BB1304" i="49"/>
  <c r="BA1304" i="49"/>
  <c r="AZ1304" i="49"/>
  <c r="AY1304" i="49"/>
  <c r="AX1304" i="49"/>
  <c r="AW1304" i="49"/>
  <c r="AV1304" i="49"/>
  <c r="AU1304" i="49"/>
  <c r="AT1304" i="49"/>
  <c r="AS1304" i="49"/>
  <c r="AR1304" i="49"/>
  <c r="AQ1304" i="49"/>
  <c r="AP1304" i="49"/>
  <c r="AO1304" i="49"/>
  <c r="AN1304" i="49"/>
  <c r="AM1304" i="49"/>
  <c r="AL1304" i="49"/>
  <c r="AK1304" i="49"/>
  <c r="CR1303" i="49"/>
  <c r="CQ1303" i="49"/>
  <c r="CP1303" i="49"/>
  <c r="CO1303" i="49"/>
  <c r="CN1303" i="49"/>
  <c r="CM1303" i="49"/>
  <c r="CL1303" i="49"/>
  <c r="CK1303" i="49"/>
  <c r="CJ1303" i="49"/>
  <c r="CI1303" i="49"/>
  <c r="CH1303" i="49"/>
  <c r="CG1303" i="49"/>
  <c r="CF1303" i="49"/>
  <c r="CE1303" i="49"/>
  <c r="CD1303" i="49"/>
  <c r="CC1303" i="49"/>
  <c r="CB1303" i="49"/>
  <c r="CA1303" i="49"/>
  <c r="BZ1303" i="49"/>
  <c r="BY1303" i="49"/>
  <c r="BX1303" i="49"/>
  <c r="BW1303" i="49"/>
  <c r="BV1303" i="49"/>
  <c r="BU1303" i="49"/>
  <c r="BT1303" i="49"/>
  <c r="BS1303" i="49"/>
  <c r="BR1303" i="49"/>
  <c r="BQ1303" i="49"/>
  <c r="BP1303" i="49"/>
  <c r="BO1303" i="49"/>
  <c r="BN1303" i="49"/>
  <c r="BM1303" i="49"/>
  <c r="BL1303" i="49"/>
  <c r="BK1303" i="49"/>
  <c r="BJ1303" i="49"/>
  <c r="BI1303" i="49"/>
  <c r="BH1303" i="49"/>
  <c r="BG1303" i="49"/>
  <c r="BF1303" i="49"/>
  <c r="BE1303" i="49"/>
  <c r="BD1303" i="49"/>
  <c r="BC1303" i="49"/>
  <c r="BB1303" i="49"/>
  <c r="BA1303" i="49"/>
  <c r="AZ1303" i="49"/>
  <c r="AY1303" i="49"/>
  <c r="AX1303" i="49"/>
  <c r="AW1303" i="49"/>
  <c r="AV1303" i="49"/>
  <c r="AU1303" i="49"/>
  <c r="AT1303" i="49"/>
  <c r="AS1303" i="49"/>
  <c r="AR1303" i="49"/>
  <c r="AQ1303" i="49"/>
  <c r="AP1303" i="49"/>
  <c r="AO1303" i="49"/>
  <c r="AN1303" i="49"/>
  <c r="AM1303" i="49"/>
  <c r="AL1303" i="49"/>
  <c r="AK1303" i="49"/>
  <c r="CR1302" i="49"/>
  <c r="CQ1302" i="49"/>
  <c r="CP1302" i="49"/>
  <c r="CO1302" i="49"/>
  <c r="CN1302" i="49"/>
  <c r="CM1302" i="49"/>
  <c r="CL1302" i="49"/>
  <c r="CK1302" i="49"/>
  <c r="CJ1302" i="49"/>
  <c r="CI1302" i="49"/>
  <c r="CH1302" i="49"/>
  <c r="CG1302" i="49"/>
  <c r="CF1302" i="49"/>
  <c r="CE1302" i="49"/>
  <c r="CD1302" i="49"/>
  <c r="CC1302" i="49"/>
  <c r="CB1302" i="49"/>
  <c r="CA1302" i="49"/>
  <c r="BZ1302" i="49"/>
  <c r="BY1302" i="49"/>
  <c r="BX1302" i="49"/>
  <c r="BW1302" i="49"/>
  <c r="BV1302" i="49"/>
  <c r="BU1302" i="49"/>
  <c r="BT1302" i="49"/>
  <c r="BS1302" i="49"/>
  <c r="BR1302" i="49"/>
  <c r="BQ1302" i="49"/>
  <c r="BP1302" i="49"/>
  <c r="BO1302" i="49"/>
  <c r="BN1302" i="49"/>
  <c r="BM1302" i="49"/>
  <c r="BL1302" i="49"/>
  <c r="BK1302" i="49"/>
  <c r="BJ1302" i="49"/>
  <c r="BI1302" i="49"/>
  <c r="BH1302" i="49"/>
  <c r="BG1302" i="49"/>
  <c r="BF1302" i="49"/>
  <c r="BE1302" i="49"/>
  <c r="BD1302" i="49"/>
  <c r="BC1302" i="49"/>
  <c r="BB1302" i="49"/>
  <c r="BA1302" i="49"/>
  <c r="AZ1302" i="49"/>
  <c r="AY1302" i="49"/>
  <c r="AX1302" i="49"/>
  <c r="AW1302" i="49"/>
  <c r="AV1302" i="49"/>
  <c r="AU1302" i="49"/>
  <c r="AT1302" i="49"/>
  <c r="AS1302" i="49"/>
  <c r="AR1302" i="49"/>
  <c r="AQ1302" i="49"/>
  <c r="AP1302" i="49"/>
  <c r="AO1302" i="49"/>
  <c r="AN1302" i="49"/>
  <c r="AM1302" i="49"/>
  <c r="AL1302" i="49"/>
  <c r="AK1302" i="49"/>
  <c r="AF1302" i="49"/>
  <c r="CR1301" i="49"/>
  <c r="CQ1301" i="49"/>
  <c r="CP1301" i="49"/>
  <c r="CO1301" i="49"/>
  <c r="CN1301" i="49"/>
  <c r="CM1301" i="49"/>
  <c r="CL1301" i="49"/>
  <c r="CK1301" i="49"/>
  <c r="CJ1301" i="49"/>
  <c r="CI1301" i="49"/>
  <c r="CH1301" i="49"/>
  <c r="CG1301" i="49"/>
  <c r="CF1301" i="49"/>
  <c r="CE1301" i="49"/>
  <c r="CD1301" i="49"/>
  <c r="CC1301" i="49"/>
  <c r="CB1301" i="49"/>
  <c r="CA1301" i="49"/>
  <c r="BZ1301" i="49"/>
  <c r="BY1301" i="49"/>
  <c r="BX1301" i="49"/>
  <c r="BW1301" i="49"/>
  <c r="BV1301" i="49"/>
  <c r="BU1301" i="49"/>
  <c r="BT1301" i="49"/>
  <c r="BS1301" i="49"/>
  <c r="BR1301" i="49"/>
  <c r="BQ1301" i="49"/>
  <c r="BP1301" i="49"/>
  <c r="BO1301" i="49"/>
  <c r="BN1301" i="49"/>
  <c r="BM1301" i="49"/>
  <c r="BL1301" i="49"/>
  <c r="BK1301" i="49"/>
  <c r="BJ1301" i="49"/>
  <c r="BI1301" i="49"/>
  <c r="BH1301" i="49"/>
  <c r="BG1301" i="49"/>
  <c r="BF1301" i="49"/>
  <c r="BE1301" i="49"/>
  <c r="BD1301" i="49"/>
  <c r="BC1301" i="49"/>
  <c r="BB1301" i="49"/>
  <c r="BA1301" i="49"/>
  <c r="AZ1301" i="49"/>
  <c r="AY1301" i="49"/>
  <c r="AX1301" i="49"/>
  <c r="AW1301" i="49"/>
  <c r="AV1301" i="49"/>
  <c r="AU1301" i="49"/>
  <c r="AT1301" i="49"/>
  <c r="AS1301" i="49"/>
  <c r="AR1301" i="49"/>
  <c r="AQ1301" i="49"/>
  <c r="AP1301" i="49"/>
  <c r="AO1301" i="49"/>
  <c r="AN1301" i="49"/>
  <c r="AM1301" i="49"/>
  <c r="AL1301" i="49"/>
  <c r="AK1301" i="49"/>
  <c r="CR1300" i="49"/>
  <c r="CQ1300" i="49"/>
  <c r="CP1300" i="49"/>
  <c r="CO1300" i="49"/>
  <c r="CN1300" i="49"/>
  <c r="CM1300" i="49"/>
  <c r="CL1300" i="49"/>
  <c r="CK1300" i="49"/>
  <c r="CJ1300" i="49"/>
  <c r="CI1300" i="49"/>
  <c r="CH1300" i="49"/>
  <c r="CG1300" i="49"/>
  <c r="CF1300" i="49"/>
  <c r="CE1300" i="49"/>
  <c r="CD1300" i="49"/>
  <c r="CC1300" i="49"/>
  <c r="CB1300" i="49"/>
  <c r="CA1300" i="49"/>
  <c r="BZ1300" i="49"/>
  <c r="BY1300" i="49"/>
  <c r="BX1300" i="49"/>
  <c r="BW1300" i="49"/>
  <c r="BV1300" i="49"/>
  <c r="BU1300" i="49"/>
  <c r="BT1300" i="49"/>
  <c r="BS1300" i="49"/>
  <c r="BR1300" i="49"/>
  <c r="BQ1300" i="49"/>
  <c r="BP1300" i="49"/>
  <c r="BO1300" i="49"/>
  <c r="BN1300" i="49"/>
  <c r="BM1300" i="49"/>
  <c r="BL1300" i="49"/>
  <c r="BK1300" i="49"/>
  <c r="BJ1300" i="49"/>
  <c r="BI1300" i="49"/>
  <c r="BH1300" i="49"/>
  <c r="BG1300" i="49"/>
  <c r="BF1300" i="49"/>
  <c r="BE1300" i="49"/>
  <c r="BD1300" i="49"/>
  <c r="BC1300" i="49"/>
  <c r="BB1300" i="49"/>
  <c r="BA1300" i="49"/>
  <c r="AZ1300" i="49"/>
  <c r="AY1300" i="49"/>
  <c r="AX1300" i="49"/>
  <c r="AW1300" i="49"/>
  <c r="AV1300" i="49"/>
  <c r="AU1300" i="49"/>
  <c r="AT1300" i="49"/>
  <c r="AS1300" i="49"/>
  <c r="AR1300" i="49"/>
  <c r="AQ1300" i="49"/>
  <c r="AP1300" i="49"/>
  <c r="AO1300" i="49"/>
  <c r="AN1300" i="49"/>
  <c r="AM1300" i="49"/>
  <c r="AL1300" i="49"/>
  <c r="AK1300" i="49"/>
  <c r="CR1299" i="49"/>
  <c r="CQ1299" i="49"/>
  <c r="CP1299" i="49"/>
  <c r="CO1299" i="49"/>
  <c r="CN1299" i="49"/>
  <c r="CM1299" i="49"/>
  <c r="CL1299" i="49"/>
  <c r="CK1299" i="49"/>
  <c r="CJ1299" i="49"/>
  <c r="CI1299" i="49"/>
  <c r="CH1299" i="49"/>
  <c r="CG1299" i="49"/>
  <c r="CF1299" i="49"/>
  <c r="CE1299" i="49"/>
  <c r="CD1299" i="49"/>
  <c r="CC1299" i="49"/>
  <c r="CB1299" i="49"/>
  <c r="CA1299" i="49"/>
  <c r="BZ1299" i="49"/>
  <c r="BY1299" i="49"/>
  <c r="BX1299" i="49"/>
  <c r="BW1299" i="49"/>
  <c r="BV1299" i="49"/>
  <c r="BU1299" i="49"/>
  <c r="BT1299" i="49"/>
  <c r="BS1299" i="49"/>
  <c r="BR1299" i="49"/>
  <c r="BQ1299" i="49"/>
  <c r="BP1299" i="49"/>
  <c r="BO1299" i="49"/>
  <c r="BN1299" i="49"/>
  <c r="BM1299" i="49"/>
  <c r="BL1299" i="49"/>
  <c r="BK1299" i="49"/>
  <c r="BJ1299" i="49"/>
  <c r="BI1299" i="49"/>
  <c r="BH1299" i="49"/>
  <c r="BG1299" i="49"/>
  <c r="BF1299" i="49"/>
  <c r="BE1299" i="49"/>
  <c r="BD1299" i="49"/>
  <c r="BC1299" i="49"/>
  <c r="BB1299" i="49"/>
  <c r="BA1299" i="49"/>
  <c r="AZ1299" i="49"/>
  <c r="AY1299" i="49"/>
  <c r="AX1299" i="49"/>
  <c r="AW1299" i="49"/>
  <c r="AV1299" i="49"/>
  <c r="AU1299" i="49"/>
  <c r="AT1299" i="49"/>
  <c r="AS1299" i="49"/>
  <c r="AR1299" i="49"/>
  <c r="AQ1299" i="49"/>
  <c r="AP1299" i="49"/>
  <c r="AO1299" i="49"/>
  <c r="AN1299" i="49"/>
  <c r="AM1299" i="49"/>
  <c r="AL1299" i="49"/>
  <c r="AK1299" i="49"/>
  <c r="CR1298" i="49"/>
  <c r="CQ1298" i="49"/>
  <c r="CP1298" i="49"/>
  <c r="CO1298" i="49"/>
  <c r="CN1298" i="49"/>
  <c r="CM1298" i="49"/>
  <c r="CL1298" i="49"/>
  <c r="CK1298" i="49"/>
  <c r="CJ1298" i="49"/>
  <c r="CI1298" i="49"/>
  <c r="CH1298" i="49"/>
  <c r="CG1298" i="49"/>
  <c r="CF1298" i="49"/>
  <c r="CE1298" i="49"/>
  <c r="CD1298" i="49"/>
  <c r="CC1298" i="49"/>
  <c r="CB1298" i="49"/>
  <c r="CA1298" i="49"/>
  <c r="BZ1298" i="49"/>
  <c r="BY1298" i="49"/>
  <c r="BX1298" i="49"/>
  <c r="BW1298" i="49"/>
  <c r="BV1298" i="49"/>
  <c r="BU1298" i="49"/>
  <c r="BT1298" i="49"/>
  <c r="BS1298" i="49"/>
  <c r="BR1298" i="49"/>
  <c r="BQ1298" i="49"/>
  <c r="BP1298" i="49"/>
  <c r="BO1298" i="49"/>
  <c r="BN1298" i="49"/>
  <c r="BM1298" i="49"/>
  <c r="BL1298" i="49"/>
  <c r="BK1298" i="49"/>
  <c r="BJ1298" i="49"/>
  <c r="BI1298" i="49"/>
  <c r="BH1298" i="49"/>
  <c r="BG1298" i="49"/>
  <c r="BF1298" i="49"/>
  <c r="BE1298" i="49"/>
  <c r="BD1298" i="49"/>
  <c r="BC1298" i="49"/>
  <c r="BB1298" i="49"/>
  <c r="BA1298" i="49"/>
  <c r="AZ1298" i="49"/>
  <c r="AY1298" i="49"/>
  <c r="AX1298" i="49"/>
  <c r="AW1298" i="49"/>
  <c r="AV1298" i="49"/>
  <c r="AU1298" i="49"/>
  <c r="AT1298" i="49"/>
  <c r="AS1298" i="49"/>
  <c r="AR1298" i="49"/>
  <c r="AQ1298" i="49"/>
  <c r="AP1298" i="49"/>
  <c r="AO1298" i="49"/>
  <c r="AN1298" i="49"/>
  <c r="AM1298" i="49"/>
  <c r="AL1298" i="49"/>
  <c r="AK1298" i="49"/>
  <c r="CR1297" i="49"/>
  <c r="CQ1297" i="49"/>
  <c r="CP1297" i="49"/>
  <c r="CO1297" i="49"/>
  <c r="CN1297" i="49"/>
  <c r="CM1297" i="49"/>
  <c r="CL1297" i="49"/>
  <c r="CK1297" i="49"/>
  <c r="CJ1297" i="49"/>
  <c r="CI1297" i="49"/>
  <c r="CH1297" i="49"/>
  <c r="CG1297" i="49"/>
  <c r="CF1297" i="49"/>
  <c r="CE1297" i="49"/>
  <c r="CD1297" i="49"/>
  <c r="CC1297" i="49"/>
  <c r="CB1297" i="49"/>
  <c r="CA1297" i="49"/>
  <c r="BZ1297" i="49"/>
  <c r="BY1297" i="49"/>
  <c r="BX1297" i="49"/>
  <c r="BW1297" i="49"/>
  <c r="BV1297" i="49"/>
  <c r="BU1297" i="49"/>
  <c r="BT1297" i="49"/>
  <c r="BS1297" i="49"/>
  <c r="BR1297" i="49"/>
  <c r="BQ1297" i="49"/>
  <c r="BP1297" i="49"/>
  <c r="BO1297" i="49"/>
  <c r="BN1297" i="49"/>
  <c r="BM1297" i="49"/>
  <c r="BL1297" i="49"/>
  <c r="BK1297" i="49"/>
  <c r="BJ1297" i="49"/>
  <c r="BI1297" i="49"/>
  <c r="BH1297" i="49"/>
  <c r="BG1297" i="49"/>
  <c r="BF1297" i="49"/>
  <c r="BE1297" i="49"/>
  <c r="BD1297" i="49"/>
  <c r="BC1297" i="49"/>
  <c r="BB1297" i="49"/>
  <c r="BA1297" i="49"/>
  <c r="AZ1297" i="49"/>
  <c r="AY1297" i="49"/>
  <c r="AX1297" i="49"/>
  <c r="AW1297" i="49"/>
  <c r="AV1297" i="49"/>
  <c r="AU1297" i="49"/>
  <c r="AT1297" i="49"/>
  <c r="AS1297" i="49"/>
  <c r="AR1297" i="49"/>
  <c r="AQ1297" i="49"/>
  <c r="AP1297" i="49"/>
  <c r="AO1297" i="49"/>
  <c r="AN1297" i="49"/>
  <c r="AM1297" i="49"/>
  <c r="AL1297" i="49"/>
  <c r="AK1297" i="49"/>
  <c r="CR1296" i="49"/>
  <c r="CQ1296" i="49"/>
  <c r="CP1296" i="49"/>
  <c r="CO1296" i="49"/>
  <c r="CN1296" i="49"/>
  <c r="CM1296" i="49"/>
  <c r="CL1296" i="49"/>
  <c r="CK1296" i="49"/>
  <c r="CJ1296" i="49"/>
  <c r="CI1296" i="49"/>
  <c r="CH1296" i="49"/>
  <c r="CG1296" i="49"/>
  <c r="CF1296" i="49"/>
  <c r="CE1296" i="49"/>
  <c r="CD1296" i="49"/>
  <c r="CC1296" i="49"/>
  <c r="CB1296" i="49"/>
  <c r="CA1296" i="49"/>
  <c r="BZ1296" i="49"/>
  <c r="BY1296" i="49"/>
  <c r="BX1296" i="49"/>
  <c r="BW1296" i="49"/>
  <c r="BV1296" i="49"/>
  <c r="BU1296" i="49"/>
  <c r="BT1296" i="49"/>
  <c r="BS1296" i="49"/>
  <c r="BR1296" i="49"/>
  <c r="BQ1296" i="49"/>
  <c r="BP1296" i="49"/>
  <c r="BO1296" i="49"/>
  <c r="BN1296" i="49"/>
  <c r="BM1296" i="49"/>
  <c r="BL1296" i="49"/>
  <c r="BK1296" i="49"/>
  <c r="BJ1296" i="49"/>
  <c r="BI1296" i="49"/>
  <c r="BH1296" i="49"/>
  <c r="BG1296" i="49"/>
  <c r="BF1296" i="49"/>
  <c r="BE1296" i="49"/>
  <c r="BD1296" i="49"/>
  <c r="BC1296" i="49"/>
  <c r="BB1296" i="49"/>
  <c r="BA1296" i="49"/>
  <c r="AZ1296" i="49"/>
  <c r="AY1296" i="49"/>
  <c r="AX1296" i="49"/>
  <c r="AW1296" i="49"/>
  <c r="AV1296" i="49"/>
  <c r="AU1296" i="49"/>
  <c r="AT1296" i="49"/>
  <c r="AS1296" i="49"/>
  <c r="AR1296" i="49"/>
  <c r="AQ1296" i="49"/>
  <c r="AP1296" i="49"/>
  <c r="AO1296" i="49"/>
  <c r="AN1296" i="49"/>
  <c r="AM1296" i="49"/>
  <c r="AL1296" i="49"/>
  <c r="AK1296" i="49"/>
  <c r="CR1295" i="49"/>
  <c r="CQ1295" i="49"/>
  <c r="CP1295" i="49"/>
  <c r="CO1295" i="49"/>
  <c r="CN1295" i="49"/>
  <c r="CM1295" i="49"/>
  <c r="CL1295" i="49"/>
  <c r="CK1295" i="49"/>
  <c r="CJ1295" i="49"/>
  <c r="CI1295" i="49"/>
  <c r="CH1295" i="49"/>
  <c r="CG1295" i="49"/>
  <c r="CF1295" i="49"/>
  <c r="CE1295" i="49"/>
  <c r="CD1295" i="49"/>
  <c r="CC1295" i="49"/>
  <c r="CB1295" i="49"/>
  <c r="CA1295" i="49"/>
  <c r="BZ1295" i="49"/>
  <c r="BY1295" i="49"/>
  <c r="BX1295" i="49"/>
  <c r="BW1295" i="49"/>
  <c r="BV1295" i="49"/>
  <c r="BU1295" i="49"/>
  <c r="BT1295" i="49"/>
  <c r="BS1295" i="49"/>
  <c r="BR1295" i="49"/>
  <c r="BQ1295" i="49"/>
  <c r="BP1295" i="49"/>
  <c r="BO1295" i="49"/>
  <c r="BN1295" i="49"/>
  <c r="BM1295" i="49"/>
  <c r="BL1295" i="49"/>
  <c r="BK1295" i="49"/>
  <c r="BJ1295" i="49"/>
  <c r="BI1295" i="49"/>
  <c r="BH1295" i="49"/>
  <c r="BG1295" i="49"/>
  <c r="BF1295" i="49"/>
  <c r="BE1295" i="49"/>
  <c r="BD1295" i="49"/>
  <c r="BC1295" i="49"/>
  <c r="BB1295" i="49"/>
  <c r="BA1295" i="49"/>
  <c r="AZ1295" i="49"/>
  <c r="AY1295" i="49"/>
  <c r="AX1295" i="49"/>
  <c r="AW1295" i="49"/>
  <c r="AV1295" i="49"/>
  <c r="AU1295" i="49"/>
  <c r="AT1295" i="49"/>
  <c r="AS1295" i="49"/>
  <c r="AR1295" i="49"/>
  <c r="AQ1295" i="49"/>
  <c r="AP1295" i="49"/>
  <c r="AO1295" i="49"/>
  <c r="AN1295" i="49"/>
  <c r="AM1295" i="49"/>
  <c r="AL1295" i="49"/>
  <c r="AK1295" i="49"/>
  <c r="CR1294" i="49"/>
  <c r="CQ1294" i="49"/>
  <c r="CP1294" i="49"/>
  <c r="CO1294" i="49"/>
  <c r="CN1294" i="49"/>
  <c r="CM1294" i="49"/>
  <c r="CL1294" i="49"/>
  <c r="CK1294" i="49"/>
  <c r="CJ1294" i="49"/>
  <c r="CI1294" i="49"/>
  <c r="CH1294" i="49"/>
  <c r="CG1294" i="49"/>
  <c r="CF1294" i="49"/>
  <c r="CF1306" i="49" s="1"/>
  <c r="CE1294" i="49"/>
  <c r="CD1294" i="49"/>
  <c r="CC1294" i="49"/>
  <c r="CB1294" i="49"/>
  <c r="CA1294" i="49"/>
  <c r="BZ1294" i="49"/>
  <c r="BY1294" i="49"/>
  <c r="BX1294" i="49"/>
  <c r="BW1294" i="49"/>
  <c r="BV1294" i="49"/>
  <c r="BU1294" i="49"/>
  <c r="BT1294" i="49"/>
  <c r="BS1294" i="49"/>
  <c r="BR1294" i="49"/>
  <c r="BQ1294" i="49"/>
  <c r="BP1294" i="49"/>
  <c r="BO1294" i="49"/>
  <c r="BN1294" i="49"/>
  <c r="BM1294" i="49"/>
  <c r="BL1294" i="49"/>
  <c r="BK1294" i="49"/>
  <c r="BJ1294" i="49"/>
  <c r="BI1294" i="49"/>
  <c r="BH1294" i="49"/>
  <c r="BG1294" i="49"/>
  <c r="BF1294" i="49"/>
  <c r="BE1294" i="49"/>
  <c r="BD1294" i="49"/>
  <c r="BC1294" i="49"/>
  <c r="BB1294" i="49"/>
  <c r="BA1294" i="49"/>
  <c r="AZ1294" i="49"/>
  <c r="AY1294" i="49"/>
  <c r="AX1294" i="49"/>
  <c r="AW1294" i="49"/>
  <c r="AV1294" i="49"/>
  <c r="AU1294" i="49"/>
  <c r="AT1294" i="49"/>
  <c r="AS1294" i="49"/>
  <c r="AR1294" i="49"/>
  <c r="AQ1294" i="49"/>
  <c r="AP1294" i="49"/>
  <c r="AO1294" i="49"/>
  <c r="AN1294" i="49"/>
  <c r="AM1294" i="49"/>
  <c r="AL1294" i="49"/>
  <c r="AK1294" i="49"/>
  <c r="CR1293" i="49"/>
  <c r="CQ1293" i="49"/>
  <c r="CP1293" i="49"/>
  <c r="CO1293" i="49"/>
  <c r="CN1293" i="49"/>
  <c r="CM1293" i="49"/>
  <c r="CL1293" i="49"/>
  <c r="CK1293" i="49"/>
  <c r="CJ1293" i="49"/>
  <c r="CI1293" i="49"/>
  <c r="CH1293" i="49"/>
  <c r="CG1293" i="49"/>
  <c r="CF1293" i="49"/>
  <c r="CE1293" i="49"/>
  <c r="CD1293" i="49"/>
  <c r="CC1293" i="49"/>
  <c r="CC1306" i="49" s="1"/>
  <c r="CB1293" i="49"/>
  <c r="CA1293" i="49"/>
  <c r="BZ1293" i="49"/>
  <c r="BY1293" i="49"/>
  <c r="BX1293" i="49"/>
  <c r="BW1293" i="49"/>
  <c r="BV1293" i="49"/>
  <c r="BU1293" i="49"/>
  <c r="BU1306" i="49" s="1"/>
  <c r="BT1293" i="49"/>
  <c r="BS1293" i="49"/>
  <c r="BR1293" i="49"/>
  <c r="BQ1293" i="49"/>
  <c r="BP1293" i="49"/>
  <c r="BO1293" i="49"/>
  <c r="BN1293" i="49"/>
  <c r="BM1293" i="49"/>
  <c r="BL1293" i="49"/>
  <c r="BK1293" i="49"/>
  <c r="BJ1293" i="49"/>
  <c r="BI1293" i="49"/>
  <c r="BH1293" i="49"/>
  <c r="BG1293" i="49"/>
  <c r="BF1293" i="49"/>
  <c r="BE1293" i="49"/>
  <c r="BE1306" i="49" s="1"/>
  <c r="BD1293" i="49"/>
  <c r="BC1293" i="49"/>
  <c r="BB1293" i="49"/>
  <c r="BA1293" i="49"/>
  <c r="AZ1293" i="49"/>
  <c r="AY1293" i="49"/>
  <c r="AX1293" i="49"/>
  <c r="AW1293" i="49"/>
  <c r="AV1293" i="49"/>
  <c r="AU1293" i="49"/>
  <c r="AT1293" i="49"/>
  <c r="AS1293" i="49"/>
  <c r="AR1293" i="49"/>
  <c r="AQ1293" i="49"/>
  <c r="AP1293" i="49"/>
  <c r="AO1293" i="49"/>
  <c r="AN1293" i="49"/>
  <c r="AM1293" i="49"/>
  <c r="AL1293" i="49"/>
  <c r="AK1293" i="49"/>
  <c r="CR1292" i="49"/>
  <c r="CR1306" i="49" s="1"/>
  <c r="CQ1292" i="49"/>
  <c r="CP1292" i="49"/>
  <c r="CO1292" i="49"/>
  <c r="CN1292" i="49"/>
  <c r="CM1292" i="49"/>
  <c r="CL1292" i="49"/>
  <c r="CL1306" i="49" s="1"/>
  <c r="CK1292" i="49"/>
  <c r="CJ1292" i="49"/>
  <c r="CI1292" i="49"/>
  <c r="CH1292" i="49"/>
  <c r="CG1292" i="49"/>
  <c r="CF1292" i="49"/>
  <c r="CE1292" i="49"/>
  <c r="CD1292" i="49"/>
  <c r="CD1306" i="49" s="1"/>
  <c r="CC1292" i="49"/>
  <c r="CB1292" i="49"/>
  <c r="CA1292" i="49"/>
  <c r="BZ1292" i="49"/>
  <c r="BY1292" i="49"/>
  <c r="BX1292" i="49"/>
  <c r="BW1292" i="49"/>
  <c r="BV1292" i="49"/>
  <c r="BU1292" i="49"/>
  <c r="BT1292" i="49"/>
  <c r="BT1306" i="49" s="1"/>
  <c r="BS1292" i="49"/>
  <c r="BR1292" i="49"/>
  <c r="BQ1292" i="49"/>
  <c r="BP1292" i="49"/>
  <c r="BO1292" i="49"/>
  <c r="BN1292" i="49"/>
  <c r="BN1306" i="49" s="1"/>
  <c r="BM1292" i="49"/>
  <c r="BL1292" i="49"/>
  <c r="BK1292" i="49"/>
  <c r="BJ1292" i="49"/>
  <c r="BI1292" i="49"/>
  <c r="BH1292" i="49"/>
  <c r="BG1292" i="49"/>
  <c r="BF1292" i="49"/>
  <c r="BF1306" i="49" s="1"/>
  <c r="BE1292" i="49"/>
  <c r="BD1292" i="49"/>
  <c r="BC1292" i="49"/>
  <c r="BB1292" i="49"/>
  <c r="BA1292" i="49"/>
  <c r="AZ1292" i="49"/>
  <c r="AY1292" i="49"/>
  <c r="AX1292" i="49"/>
  <c r="AW1292" i="49"/>
  <c r="AV1292" i="49"/>
  <c r="AU1292" i="49"/>
  <c r="AT1292" i="49"/>
  <c r="AS1292" i="49"/>
  <c r="AR1292" i="49"/>
  <c r="AQ1292" i="49"/>
  <c r="AP1292" i="49"/>
  <c r="AO1292" i="49"/>
  <c r="AN1292" i="49"/>
  <c r="AM1292" i="49"/>
  <c r="AL1292" i="49"/>
  <c r="AK1292" i="49"/>
  <c r="CR1291" i="49"/>
  <c r="CQ1291" i="49"/>
  <c r="CP1291" i="49"/>
  <c r="CP1306" i="49" s="1"/>
  <c r="CO1291" i="49"/>
  <c r="CO1306" i="49" s="1"/>
  <c r="CN1291" i="49"/>
  <c r="CM1291" i="49"/>
  <c r="CM1306" i="49" s="1"/>
  <c r="CL1291" i="49"/>
  <c r="CK1291" i="49"/>
  <c r="CJ1291" i="49"/>
  <c r="CJ1306" i="49" s="1"/>
  <c r="CI1291" i="49"/>
  <c r="CI1306" i="49" s="1"/>
  <c r="CH1291" i="49"/>
  <c r="CG1291" i="49"/>
  <c r="CG1306" i="49" s="1"/>
  <c r="CF1291" i="49"/>
  <c r="CE1291" i="49"/>
  <c r="CD1291" i="49"/>
  <c r="CC1291" i="49"/>
  <c r="CB1291" i="49"/>
  <c r="CA1291" i="49"/>
  <c r="CA1306" i="49" s="1"/>
  <c r="BZ1291" i="49"/>
  <c r="BZ1306" i="49" s="1"/>
  <c r="BY1291" i="49"/>
  <c r="BX1291" i="49"/>
  <c r="BX1306" i="49" s="1"/>
  <c r="BW1291" i="49"/>
  <c r="BW1306" i="49" s="1"/>
  <c r="BV1291" i="49"/>
  <c r="BU1291" i="49"/>
  <c r="BT1291" i="49"/>
  <c r="BS1291" i="49"/>
  <c r="BR1291" i="49"/>
  <c r="BR1306" i="49" s="1"/>
  <c r="BQ1291" i="49"/>
  <c r="BQ1306" i="49" s="1"/>
  <c r="BP1291" i="49"/>
  <c r="BO1291" i="49"/>
  <c r="BO1306" i="49" s="1"/>
  <c r="BN1291" i="49"/>
  <c r="BM1291" i="49"/>
  <c r="BL1291" i="49"/>
  <c r="BL1306" i="49" s="1"/>
  <c r="BK1291" i="49"/>
  <c r="BK1306" i="49" s="1"/>
  <c r="BJ1291" i="49"/>
  <c r="BI1291" i="49"/>
  <c r="BI1306" i="49" s="1"/>
  <c r="BH1291" i="49"/>
  <c r="BH1306" i="49" s="1"/>
  <c r="BG1291" i="49"/>
  <c r="BF1291" i="49"/>
  <c r="BE1291" i="49"/>
  <c r="BD1291" i="49"/>
  <c r="BC1291" i="49"/>
  <c r="BC1306" i="49" s="1"/>
  <c r="BB1291" i="49"/>
  <c r="BB1306" i="49" s="1"/>
  <c r="BA1291" i="49"/>
  <c r="AZ1291" i="49"/>
  <c r="AZ1306" i="49" s="1"/>
  <c r="AY1291" i="49"/>
  <c r="AX1291" i="49"/>
  <c r="AW1291" i="49"/>
  <c r="AV1291" i="49"/>
  <c r="AU1291" i="49"/>
  <c r="AT1291" i="49"/>
  <c r="AS1291" i="49"/>
  <c r="AR1291" i="49"/>
  <c r="AQ1291" i="49"/>
  <c r="AP1291" i="49"/>
  <c r="AO1291" i="49"/>
  <c r="AN1291" i="49"/>
  <c r="AM1291" i="49"/>
  <c r="AL1291" i="49"/>
  <c r="AK1291" i="49"/>
  <c r="AF1291" i="49"/>
  <c r="AY1290" i="49"/>
  <c r="AX1290" i="49"/>
  <c r="AW1290" i="49"/>
  <c r="AV1290" i="49"/>
  <c r="AU1290" i="49"/>
  <c r="AT1290" i="49"/>
  <c r="AS1290" i="49"/>
  <c r="AR1290" i="49"/>
  <c r="AQ1290" i="49"/>
  <c r="AP1290" i="49"/>
  <c r="AO1290" i="49"/>
  <c r="AN1290" i="49"/>
  <c r="AM1290" i="49"/>
  <c r="AL1290" i="49"/>
  <c r="AK1290" i="49"/>
  <c r="AY1289" i="49"/>
  <c r="AX1289" i="49"/>
  <c r="AW1289" i="49"/>
  <c r="AV1289" i="49"/>
  <c r="AU1289" i="49"/>
  <c r="AT1289" i="49"/>
  <c r="AS1289" i="49"/>
  <c r="AR1289" i="49"/>
  <c r="AQ1289" i="49"/>
  <c r="AP1289" i="49"/>
  <c r="AO1289" i="49"/>
  <c r="AN1289" i="49"/>
  <c r="AM1289" i="49"/>
  <c r="AL1289" i="49"/>
  <c r="AK1289" i="49"/>
  <c r="AY1288" i="49"/>
  <c r="AX1288" i="49"/>
  <c r="AW1288" i="49"/>
  <c r="AV1288" i="49"/>
  <c r="AU1288" i="49"/>
  <c r="AT1288" i="49"/>
  <c r="AS1288" i="49"/>
  <c r="AR1288" i="49"/>
  <c r="AQ1288" i="49"/>
  <c r="AP1288" i="49"/>
  <c r="AO1288" i="49"/>
  <c r="AN1288" i="49"/>
  <c r="AM1288" i="49"/>
  <c r="AL1288" i="49"/>
  <c r="AK1288" i="49"/>
  <c r="AY1287" i="49"/>
  <c r="AX1287" i="49"/>
  <c r="AW1287" i="49"/>
  <c r="AV1287" i="49"/>
  <c r="AU1287" i="49"/>
  <c r="AT1287" i="49"/>
  <c r="AS1287" i="49"/>
  <c r="AR1287" i="49"/>
  <c r="AQ1287" i="49"/>
  <c r="AP1287" i="49"/>
  <c r="AO1287" i="49"/>
  <c r="AN1287" i="49"/>
  <c r="AM1287" i="49"/>
  <c r="AL1287" i="49"/>
  <c r="AK1287" i="49"/>
  <c r="AY1286" i="49"/>
  <c r="AX1286" i="49"/>
  <c r="AW1286" i="49"/>
  <c r="AV1286" i="49"/>
  <c r="AU1286" i="49"/>
  <c r="AT1286" i="49"/>
  <c r="AS1286" i="49"/>
  <c r="AR1286" i="49"/>
  <c r="AQ1286" i="49"/>
  <c r="AP1286" i="49"/>
  <c r="AO1286" i="49"/>
  <c r="AN1286" i="49"/>
  <c r="AM1286" i="49"/>
  <c r="AL1286" i="49"/>
  <c r="AK1286" i="49"/>
  <c r="AY1285" i="49"/>
  <c r="AX1285" i="49"/>
  <c r="AW1285" i="49"/>
  <c r="AV1285" i="49"/>
  <c r="AU1285" i="49"/>
  <c r="AT1285" i="49"/>
  <c r="AS1285" i="49"/>
  <c r="AR1285" i="49"/>
  <c r="AQ1285" i="49"/>
  <c r="AQ1446" i="49" s="1"/>
  <c r="AP1285" i="49"/>
  <c r="AO1285" i="49"/>
  <c r="AN1285" i="49"/>
  <c r="AM1285" i="49"/>
  <c r="AL1285" i="49"/>
  <c r="AK1285" i="49"/>
  <c r="AY1284" i="49"/>
  <c r="AX1284" i="49"/>
  <c r="AW1284" i="49"/>
  <c r="AV1284" i="49"/>
  <c r="AU1284" i="49"/>
  <c r="AT1284" i="49"/>
  <c r="AS1284" i="49"/>
  <c r="AR1284" i="49"/>
  <c r="AQ1284" i="49"/>
  <c r="AP1284" i="49"/>
  <c r="AO1284" i="49"/>
  <c r="AN1284" i="49"/>
  <c r="AM1284" i="49"/>
  <c r="AL1284" i="49"/>
  <c r="AK1284" i="49"/>
  <c r="AY1283" i="49"/>
  <c r="AX1283" i="49"/>
  <c r="AW1283" i="49"/>
  <c r="AV1283" i="49"/>
  <c r="AU1283" i="49"/>
  <c r="AT1283" i="49"/>
  <c r="AS1283" i="49"/>
  <c r="AR1283" i="49"/>
  <c r="AQ1283" i="49"/>
  <c r="AP1283" i="49"/>
  <c r="AO1283" i="49"/>
  <c r="AN1283" i="49"/>
  <c r="AM1283" i="49"/>
  <c r="AL1283" i="49"/>
  <c r="AK1283" i="49"/>
  <c r="AY1282" i="49"/>
  <c r="AX1282" i="49"/>
  <c r="AW1282" i="49"/>
  <c r="AV1282" i="49"/>
  <c r="AU1282" i="49"/>
  <c r="AT1282" i="49"/>
  <c r="AS1282" i="49"/>
  <c r="AR1282" i="49"/>
  <c r="AQ1282" i="49"/>
  <c r="AP1282" i="49"/>
  <c r="AO1282" i="49"/>
  <c r="AN1282" i="49"/>
  <c r="AM1282" i="49"/>
  <c r="AL1282" i="49"/>
  <c r="AK1282" i="49"/>
  <c r="AY1281" i="49"/>
  <c r="AY1446" i="49" s="1"/>
  <c r="AX1281" i="49"/>
  <c r="AW1281" i="49"/>
  <c r="AW1446" i="49" s="1"/>
  <c r="AV1281" i="49"/>
  <c r="AV1446" i="49" s="1"/>
  <c r="AU1281" i="49"/>
  <c r="AT1281" i="49"/>
  <c r="AT1446" i="49" s="1"/>
  <c r="AS1281" i="49"/>
  <c r="AS1446" i="49" s="1"/>
  <c r="AR1281" i="49"/>
  <c r="AQ1281" i="49"/>
  <c r="AP1281" i="49"/>
  <c r="AP1446" i="49" s="1"/>
  <c r="AO1281" i="49"/>
  <c r="AN1281" i="49"/>
  <c r="AN1446" i="49" s="1"/>
  <c r="AM1281" i="49"/>
  <c r="AM1446" i="49" s="1"/>
  <c r="AL1281" i="49"/>
  <c r="AK1281" i="49"/>
  <c r="AK1446" i="49" s="1"/>
  <c r="AN1447" i="49" s="1"/>
  <c r="AH1281" i="49"/>
  <c r="B1271" i="49"/>
  <c r="B1270" i="49"/>
  <c r="B1269" i="49"/>
  <c r="B1268" i="49"/>
  <c r="B1267" i="49"/>
  <c r="B1266" i="49"/>
  <c r="AJ1088" i="49"/>
  <c r="AJ1055" i="49"/>
  <c r="AJ1038" i="49"/>
  <c r="AJ1009" i="49"/>
  <c r="AJ991" i="49"/>
  <c r="AJ988" i="49"/>
  <c r="AJ954" i="49"/>
  <c r="AJ942" i="49"/>
  <c r="AJ929" i="49"/>
  <c r="AH926" i="49"/>
  <c r="AH927" i="49"/>
  <c r="AH928" i="49"/>
  <c r="AH929" i="49"/>
  <c r="AH930" i="49"/>
  <c r="AH931" i="49"/>
  <c r="AH932" i="49"/>
  <c r="AH933" i="49"/>
  <c r="AH934" i="49"/>
  <c r="AH935" i="49"/>
  <c r="AH936" i="49"/>
  <c r="AH937" i="49"/>
  <c r="AH938" i="49"/>
  <c r="AH939" i="49"/>
  <c r="AH940" i="49"/>
  <c r="AH941" i="49"/>
  <c r="AH942" i="49"/>
  <c r="AH943" i="49"/>
  <c r="AH944" i="49"/>
  <c r="AH945" i="49"/>
  <c r="AH946" i="49"/>
  <c r="AH947" i="49"/>
  <c r="AH948" i="49"/>
  <c r="AH949" i="49"/>
  <c r="AH950" i="49"/>
  <c r="AH951" i="49"/>
  <c r="AH952" i="49"/>
  <c r="AH953" i="49"/>
  <c r="AH954" i="49"/>
  <c r="AH955" i="49"/>
  <c r="AH956" i="49"/>
  <c r="AH957" i="49"/>
  <c r="AH958" i="49"/>
  <c r="AH959" i="49"/>
  <c r="AH960" i="49"/>
  <c r="AH961" i="49"/>
  <c r="AH962" i="49"/>
  <c r="AH963" i="49"/>
  <c r="AH964" i="49"/>
  <c r="AH965" i="49"/>
  <c r="AH966" i="49"/>
  <c r="AH967" i="49"/>
  <c r="AH968" i="49"/>
  <c r="AH969" i="49"/>
  <c r="AH970" i="49"/>
  <c r="AH971" i="49"/>
  <c r="AH972" i="49"/>
  <c r="AH973" i="49"/>
  <c r="AH974" i="49"/>
  <c r="AH975" i="49"/>
  <c r="AH976" i="49"/>
  <c r="AH977" i="49"/>
  <c r="AH978" i="49"/>
  <c r="AH979" i="49"/>
  <c r="AH980" i="49"/>
  <c r="AH981" i="49"/>
  <c r="AH982" i="49"/>
  <c r="AH983" i="49"/>
  <c r="AH984" i="49"/>
  <c r="AH985" i="49"/>
  <c r="AH986" i="49"/>
  <c r="AH987" i="49"/>
  <c r="AH988" i="49"/>
  <c r="AH989" i="49"/>
  <c r="AH990" i="49"/>
  <c r="AH991" i="49"/>
  <c r="AH992" i="49"/>
  <c r="AH993" i="49"/>
  <c r="AH994" i="49"/>
  <c r="AH995" i="49"/>
  <c r="AH996" i="49"/>
  <c r="AH997" i="49"/>
  <c r="AH998" i="49"/>
  <c r="AH999" i="49"/>
  <c r="AH1000" i="49"/>
  <c r="AH1001" i="49"/>
  <c r="AH1002" i="49"/>
  <c r="AH1003" i="49"/>
  <c r="AH1004" i="49"/>
  <c r="AH1005" i="49"/>
  <c r="AH1006" i="49"/>
  <c r="AH1007" i="49"/>
  <c r="AH1008" i="49"/>
  <c r="AH1009" i="49"/>
  <c r="AH1010" i="49"/>
  <c r="AH1011" i="49"/>
  <c r="AH1012" i="49"/>
  <c r="AH1013" i="49"/>
  <c r="AH1014" i="49"/>
  <c r="AH1015" i="49"/>
  <c r="AH1016" i="49"/>
  <c r="AH1017" i="49"/>
  <c r="AH1018" i="49"/>
  <c r="AH1019" i="49"/>
  <c r="AH1020" i="49"/>
  <c r="AH1021" i="49"/>
  <c r="AH1022" i="49"/>
  <c r="AH1023" i="49"/>
  <c r="AH1024" i="49"/>
  <c r="AH1025" i="49"/>
  <c r="AH1026" i="49"/>
  <c r="AH1027" i="49"/>
  <c r="AH1028" i="49"/>
  <c r="AH1029" i="49"/>
  <c r="AH1030" i="49"/>
  <c r="AH1031" i="49"/>
  <c r="AH1032" i="49"/>
  <c r="AH1033" i="49"/>
  <c r="AH1034" i="49"/>
  <c r="AH1035" i="49"/>
  <c r="AH1036" i="49"/>
  <c r="AH1037" i="49"/>
  <c r="AH1038" i="49"/>
  <c r="AH1039" i="49"/>
  <c r="AH1040" i="49"/>
  <c r="AH1041" i="49"/>
  <c r="AH1042" i="49"/>
  <c r="AH1043" i="49"/>
  <c r="AH1044" i="49"/>
  <c r="AH1045" i="49"/>
  <c r="AH1046" i="49"/>
  <c r="AH1047" i="49"/>
  <c r="AH1048" i="49"/>
  <c r="AH1049" i="49"/>
  <c r="AH1050" i="49"/>
  <c r="AH1051" i="49"/>
  <c r="AH1052" i="49"/>
  <c r="AH1053" i="49"/>
  <c r="AH1054" i="49"/>
  <c r="AH1055" i="49"/>
  <c r="AH1056" i="49"/>
  <c r="AH1057" i="49"/>
  <c r="AH1058" i="49"/>
  <c r="AH1059" i="49"/>
  <c r="AH1060" i="49"/>
  <c r="AH1061" i="49"/>
  <c r="AH1062" i="49"/>
  <c r="AH1063" i="49"/>
  <c r="AH1064" i="49"/>
  <c r="AH1065" i="49"/>
  <c r="AH1066" i="49"/>
  <c r="AH1067" i="49"/>
  <c r="AH1068" i="49"/>
  <c r="AH1069" i="49"/>
  <c r="AH1070" i="49"/>
  <c r="AH1071" i="49"/>
  <c r="AH1072" i="49"/>
  <c r="AH1073" i="49"/>
  <c r="AH1074" i="49"/>
  <c r="AH1075" i="49"/>
  <c r="AH1076" i="49"/>
  <c r="AH1077" i="49"/>
  <c r="AH1078" i="49"/>
  <c r="AH1079" i="49"/>
  <c r="AH1080" i="49"/>
  <c r="AH1081" i="49"/>
  <c r="AH1082" i="49"/>
  <c r="AH1083" i="49"/>
  <c r="AH1084" i="49"/>
  <c r="AH1085" i="49"/>
  <c r="AH1086" i="49"/>
  <c r="AH1087" i="49"/>
  <c r="AH1088" i="49"/>
  <c r="AH1089" i="49"/>
  <c r="AG926" i="49"/>
  <c r="AG927" i="49"/>
  <c r="AG928" i="49"/>
  <c r="AG929" i="49"/>
  <c r="AG930" i="49"/>
  <c r="AG931" i="49"/>
  <c r="AG932" i="49"/>
  <c r="AG933" i="49"/>
  <c r="AG934" i="49"/>
  <c r="AG935" i="49"/>
  <c r="AG936" i="49"/>
  <c r="AG937" i="49"/>
  <c r="AG938" i="49"/>
  <c r="AG939" i="49"/>
  <c r="AG940" i="49"/>
  <c r="AG941" i="49"/>
  <c r="AG942" i="49"/>
  <c r="AG943" i="49"/>
  <c r="AG944" i="49"/>
  <c r="AG945" i="49"/>
  <c r="AG946" i="49"/>
  <c r="AG947" i="49"/>
  <c r="AG948" i="49"/>
  <c r="AG949" i="49"/>
  <c r="AG950" i="49"/>
  <c r="AG951" i="49"/>
  <c r="AG952" i="49"/>
  <c r="AG953" i="49"/>
  <c r="AG954" i="49"/>
  <c r="AG955" i="49"/>
  <c r="AG956" i="49"/>
  <c r="AG957" i="49"/>
  <c r="AG958" i="49"/>
  <c r="AG959" i="49"/>
  <c r="AG960" i="49"/>
  <c r="AG961" i="49"/>
  <c r="AG962" i="49"/>
  <c r="AG963" i="49"/>
  <c r="AG964" i="49"/>
  <c r="AG965" i="49"/>
  <c r="AG966" i="49"/>
  <c r="AG967" i="49"/>
  <c r="AG968" i="49"/>
  <c r="AG969" i="49"/>
  <c r="AG970" i="49"/>
  <c r="AG971" i="49"/>
  <c r="AG972" i="49"/>
  <c r="AG973" i="49"/>
  <c r="AG974" i="49"/>
  <c r="AG975" i="49"/>
  <c r="AG976" i="49"/>
  <c r="AG977" i="49"/>
  <c r="AG978" i="49"/>
  <c r="AG979" i="49"/>
  <c r="AG980" i="49"/>
  <c r="AG981" i="49"/>
  <c r="AG982" i="49"/>
  <c r="AG983" i="49"/>
  <c r="AG984" i="49"/>
  <c r="AG985" i="49"/>
  <c r="AG986" i="49"/>
  <c r="AG987" i="49"/>
  <c r="AG988" i="49"/>
  <c r="AG989" i="49"/>
  <c r="AG990" i="49"/>
  <c r="AG991" i="49"/>
  <c r="AG992" i="49"/>
  <c r="AG993" i="49"/>
  <c r="AG994" i="49"/>
  <c r="AG995" i="49"/>
  <c r="AG996" i="49"/>
  <c r="AG997" i="49"/>
  <c r="AG998" i="49"/>
  <c r="AG999" i="49"/>
  <c r="AG1000" i="49"/>
  <c r="AG1001" i="49"/>
  <c r="AG1002" i="49"/>
  <c r="AG1003" i="49"/>
  <c r="AG1004" i="49"/>
  <c r="AG1005" i="49"/>
  <c r="AG1006" i="49"/>
  <c r="AG1007" i="49"/>
  <c r="AG1008" i="49"/>
  <c r="AG1009" i="49"/>
  <c r="AG1010" i="49"/>
  <c r="AG1011" i="49"/>
  <c r="AG1012" i="49"/>
  <c r="AG1013" i="49"/>
  <c r="AG1014" i="49"/>
  <c r="AG1015" i="49"/>
  <c r="AG1016" i="49"/>
  <c r="AG1017" i="49"/>
  <c r="AG1018" i="49"/>
  <c r="AG1019" i="49"/>
  <c r="AG1020" i="49"/>
  <c r="AG1021" i="49"/>
  <c r="AG1022" i="49"/>
  <c r="AG1023" i="49"/>
  <c r="AG1024" i="49"/>
  <c r="AG1025" i="49"/>
  <c r="AG1026" i="49"/>
  <c r="AG1027" i="49"/>
  <c r="AG1028" i="49"/>
  <c r="AG1029" i="49"/>
  <c r="AG1030" i="49"/>
  <c r="AG1031" i="49"/>
  <c r="AG1032" i="49"/>
  <c r="AG1033" i="49"/>
  <c r="AG1034" i="49"/>
  <c r="AG1035" i="49"/>
  <c r="AG1036" i="49"/>
  <c r="AG1037" i="49"/>
  <c r="AG1038" i="49"/>
  <c r="AG1039" i="49"/>
  <c r="AG1040" i="49"/>
  <c r="AG1041" i="49"/>
  <c r="AG1042" i="49"/>
  <c r="AG1043" i="49"/>
  <c r="AG1044" i="49"/>
  <c r="AG1045" i="49"/>
  <c r="AG1046" i="49"/>
  <c r="AG1047" i="49"/>
  <c r="AG1048" i="49"/>
  <c r="AG1049" i="49"/>
  <c r="AG1050" i="49"/>
  <c r="AG1051" i="49"/>
  <c r="AG1052" i="49"/>
  <c r="AG1053" i="49"/>
  <c r="AG1054" i="49"/>
  <c r="AG1055" i="49"/>
  <c r="AG1056" i="49"/>
  <c r="AG1057" i="49"/>
  <c r="AG1058" i="49"/>
  <c r="AG1059" i="49"/>
  <c r="AG1060" i="49"/>
  <c r="AG1061" i="49"/>
  <c r="AG1062" i="49"/>
  <c r="AG1063" i="49"/>
  <c r="AG1064" i="49"/>
  <c r="AG1065" i="49"/>
  <c r="AG1066" i="49"/>
  <c r="AG1067" i="49"/>
  <c r="AG1068" i="49"/>
  <c r="AG1069" i="49"/>
  <c r="AG1070" i="49"/>
  <c r="AG1071" i="49"/>
  <c r="AG1072" i="49"/>
  <c r="AG1073" i="49"/>
  <c r="AG1074" i="49"/>
  <c r="AG1075" i="49"/>
  <c r="AG1076" i="49"/>
  <c r="AG1077" i="49"/>
  <c r="AG1078" i="49"/>
  <c r="AG1079" i="49"/>
  <c r="AG1080" i="49"/>
  <c r="AG1081" i="49"/>
  <c r="AG1082" i="49"/>
  <c r="AG1083" i="49"/>
  <c r="AG1084" i="49"/>
  <c r="AG1085" i="49"/>
  <c r="AG1086" i="49"/>
  <c r="AG1087" i="49"/>
  <c r="AG1088" i="49"/>
  <c r="AG1089" i="49"/>
  <c r="B1263" i="49"/>
  <c r="AD1262" i="49"/>
  <c r="AC1262" i="49"/>
  <c r="AB1262" i="49"/>
  <c r="AA1262" i="49"/>
  <c r="Z1262" i="49"/>
  <c r="Y1262" i="49"/>
  <c r="X1262" i="49"/>
  <c r="W1262" i="49"/>
  <c r="V1262" i="49"/>
  <c r="AD1090" i="49"/>
  <c r="AC1090" i="49"/>
  <c r="AB1090" i="49"/>
  <c r="AA1090" i="49"/>
  <c r="Z1090" i="49"/>
  <c r="Y1090" i="49"/>
  <c r="X1090" i="49"/>
  <c r="W1090" i="49"/>
  <c r="V1090" i="49"/>
  <c r="U1090" i="49"/>
  <c r="T1090" i="49"/>
  <c r="S1090" i="49"/>
  <c r="R1090" i="49"/>
  <c r="Q1090" i="49"/>
  <c r="P1090" i="49"/>
  <c r="AI925" i="49"/>
  <c r="AG925" i="49"/>
  <c r="AF1081" i="49"/>
  <c r="AF1069" i="49"/>
  <c r="AF1060" i="49"/>
  <c r="AF1049" i="49"/>
  <c r="AF1039" i="49"/>
  <c r="AF1029" i="49"/>
  <c r="AF1017" i="49"/>
  <c r="AF1010" i="49"/>
  <c r="AF1000" i="49"/>
  <c r="AF992" i="49"/>
  <c r="AF982" i="49"/>
  <c r="AF974" i="49"/>
  <c r="AF955" i="49"/>
  <c r="AF946" i="49"/>
  <c r="AF935" i="49"/>
  <c r="AS1261" i="49"/>
  <c r="AR1261" i="49"/>
  <c r="AQ1261" i="49"/>
  <c r="AP1261" i="49"/>
  <c r="AO1261" i="49"/>
  <c r="AN1261" i="49"/>
  <c r="AM1261" i="49"/>
  <c r="AL1261" i="49"/>
  <c r="AK1261" i="49"/>
  <c r="AS1260" i="49"/>
  <c r="AR1260" i="49"/>
  <c r="AQ1260" i="49"/>
  <c r="AP1260" i="49"/>
  <c r="AO1260" i="49"/>
  <c r="AN1260" i="49"/>
  <c r="AM1260" i="49"/>
  <c r="AL1260" i="49"/>
  <c r="AK1260" i="49"/>
  <c r="AS1259" i="49"/>
  <c r="AR1259" i="49"/>
  <c r="AQ1259" i="49"/>
  <c r="AP1259" i="49"/>
  <c r="AO1259" i="49"/>
  <c r="AN1259" i="49"/>
  <c r="AM1259" i="49"/>
  <c r="AL1259" i="49"/>
  <c r="AK1259" i="49"/>
  <c r="AS1258" i="49"/>
  <c r="AR1258" i="49"/>
  <c r="AQ1258" i="49"/>
  <c r="AP1258" i="49"/>
  <c r="AO1258" i="49"/>
  <c r="AN1258" i="49"/>
  <c r="AM1258" i="49"/>
  <c r="AL1258" i="49"/>
  <c r="AK1258" i="49"/>
  <c r="AS1257" i="49"/>
  <c r="AR1257" i="49"/>
  <c r="AQ1257" i="49"/>
  <c r="AP1257" i="49"/>
  <c r="AO1257" i="49"/>
  <c r="AN1257" i="49"/>
  <c r="AM1257" i="49"/>
  <c r="AL1257" i="49"/>
  <c r="AK1257" i="49"/>
  <c r="AS1256" i="49"/>
  <c r="AR1256" i="49"/>
  <c r="AQ1256" i="49"/>
  <c r="AP1256" i="49"/>
  <c r="AO1256" i="49"/>
  <c r="AN1256" i="49"/>
  <c r="AM1256" i="49"/>
  <c r="AL1256" i="49"/>
  <c r="AK1256" i="49"/>
  <c r="AS1255" i="49"/>
  <c r="AR1255" i="49"/>
  <c r="AQ1255" i="49"/>
  <c r="AP1255" i="49"/>
  <c r="AO1255" i="49"/>
  <c r="AN1255" i="49"/>
  <c r="AM1255" i="49"/>
  <c r="AL1255" i="49"/>
  <c r="AK1255" i="49"/>
  <c r="AS1254" i="49"/>
  <c r="AR1254" i="49"/>
  <c r="AQ1254" i="49"/>
  <c r="AP1254" i="49"/>
  <c r="AO1254" i="49"/>
  <c r="AN1254" i="49"/>
  <c r="AM1254" i="49"/>
  <c r="AL1254" i="49"/>
  <c r="AK1254" i="49"/>
  <c r="AS1253" i="49"/>
  <c r="AR1253" i="49"/>
  <c r="AQ1253" i="49"/>
  <c r="AP1253" i="49"/>
  <c r="AO1253" i="49"/>
  <c r="AN1253" i="49"/>
  <c r="AM1253" i="49"/>
  <c r="AL1253" i="49"/>
  <c r="AK1253" i="49"/>
  <c r="AS1252" i="49"/>
  <c r="AR1252" i="49"/>
  <c r="AQ1252" i="49"/>
  <c r="AP1252" i="49"/>
  <c r="AO1252" i="49"/>
  <c r="AN1252" i="49"/>
  <c r="AM1252" i="49"/>
  <c r="AL1252" i="49"/>
  <c r="AK1252" i="49"/>
  <c r="AS1251" i="49"/>
  <c r="AR1251" i="49"/>
  <c r="AQ1251" i="49"/>
  <c r="AP1251" i="49"/>
  <c r="AO1251" i="49"/>
  <c r="AN1251" i="49"/>
  <c r="AM1251" i="49"/>
  <c r="AL1251" i="49"/>
  <c r="AK1251" i="49"/>
  <c r="AS1250" i="49"/>
  <c r="AR1250" i="49"/>
  <c r="AQ1250" i="49"/>
  <c r="AP1250" i="49"/>
  <c r="AO1250" i="49"/>
  <c r="AN1250" i="49"/>
  <c r="AM1250" i="49"/>
  <c r="AL1250" i="49"/>
  <c r="AK1250" i="49"/>
  <c r="AS1249" i="49"/>
  <c r="AR1249" i="49"/>
  <c r="AQ1249" i="49"/>
  <c r="AP1249" i="49"/>
  <c r="AO1249" i="49"/>
  <c r="AN1249" i="49"/>
  <c r="AM1249" i="49"/>
  <c r="AL1249" i="49"/>
  <c r="AK1249" i="49"/>
  <c r="AS1248" i="49"/>
  <c r="AR1248" i="49"/>
  <c r="AQ1248" i="49"/>
  <c r="AP1248" i="49"/>
  <c r="AO1248" i="49"/>
  <c r="AN1248" i="49"/>
  <c r="AM1248" i="49"/>
  <c r="AL1248" i="49"/>
  <c r="AK1248" i="49"/>
  <c r="AS1247" i="49"/>
  <c r="AR1247" i="49"/>
  <c r="AQ1247" i="49"/>
  <c r="AP1247" i="49"/>
  <c r="AO1247" i="49"/>
  <c r="AN1247" i="49"/>
  <c r="AM1247" i="49"/>
  <c r="AL1247" i="49"/>
  <c r="AK1247" i="49"/>
  <c r="AS1246" i="49"/>
  <c r="AR1246" i="49"/>
  <c r="AQ1246" i="49"/>
  <c r="AP1246" i="49"/>
  <c r="AO1246" i="49"/>
  <c r="AN1246" i="49"/>
  <c r="AM1246" i="49"/>
  <c r="AL1246" i="49"/>
  <c r="AK1246" i="49"/>
  <c r="AS1245" i="49"/>
  <c r="AR1245" i="49"/>
  <c r="AQ1245" i="49"/>
  <c r="AP1245" i="49"/>
  <c r="AO1245" i="49"/>
  <c r="AN1245" i="49"/>
  <c r="AM1245" i="49"/>
  <c r="AL1245" i="49"/>
  <c r="AK1245" i="49"/>
  <c r="AS1244" i="49"/>
  <c r="AR1244" i="49"/>
  <c r="AQ1244" i="49"/>
  <c r="AP1244" i="49"/>
  <c r="AO1244" i="49"/>
  <c r="AN1244" i="49"/>
  <c r="AM1244" i="49"/>
  <c r="AL1244" i="49"/>
  <c r="AK1244" i="49"/>
  <c r="AS1243" i="49"/>
  <c r="AR1243" i="49"/>
  <c r="AQ1243" i="49"/>
  <c r="AP1243" i="49"/>
  <c r="AO1243" i="49"/>
  <c r="AN1243" i="49"/>
  <c r="AM1243" i="49"/>
  <c r="AL1243" i="49"/>
  <c r="AK1243" i="49"/>
  <c r="AS1242" i="49"/>
  <c r="AR1242" i="49"/>
  <c r="AQ1242" i="49"/>
  <c r="AP1242" i="49"/>
  <c r="AO1242" i="49"/>
  <c r="AN1242" i="49"/>
  <c r="AM1242" i="49"/>
  <c r="AL1242" i="49"/>
  <c r="AK1242" i="49"/>
  <c r="AS1241" i="49"/>
  <c r="AR1241" i="49"/>
  <c r="AQ1241" i="49"/>
  <c r="AP1241" i="49"/>
  <c r="AO1241" i="49"/>
  <c r="AN1241" i="49"/>
  <c r="AM1241" i="49"/>
  <c r="AL1241" i="49"/>
  <c r="AK1241" i="49"/>
  <c r="AS1240" i="49"/>
  <c r="AR1240" i="49"/>
  <c r="AQ1240" i="49"/>
  <c r="AP1240" i="49"/>
  <c r="AO1240" i="49"/>
  <c r="AN1240" i="49"/>
  <c r="AM1240" i="49"/>
  <c r="AL1240" i="49"/>
  <c r="AK1240" i="49"/>
  <c r="AS1239" i="49"/>
  <c r="AR1239" i="49"/>
  <c r="AQ1239" i="49"/>
  <c r="AP1239" i="49"/>
  <c r="AO1239" i="49"/>
  <c r="AN1239" i="49"/>
  <c r="AM1239" i="49"/>
  <c r="AL1239" i="49"/>
  <c r="AK1239" i="49"/>
  <c r="AS1238" i="49"/>
  <c r="AR1238" i="49"/>
  <c r="AQ1238" i="49"/>
  <c r="AP1238" i="49"/>
  <c r="AO1238" i="49"/>
  <c r="AN1238" i="49"/>
  <c r="AM1238" i="49"/>
  <c r="AL1238" i="49"/>
  <c r="AK1238" i="49"/>
  <c r="AS1237" i="49"/>
  <c r="AR1237" i="49"/>
  <c r="AQ1237" i="49"/>
  <c r="AP1237" i="49"/>
  <c r="AO1237" i="49"/>
  <c r="AN1237" i="49"/>
  <c r="AM1237" i="49"/>
  <c r="AL1237" i="49"/>
  <c r="AK1237" i="49"/>
  <c r="AS1236" i="49"/>
  <c r="AR1236" i="49"/>
  <c r="AQ1236" i="49"/>
  <c r="AP1236" i="49"/>
  <c r="AO1236" i="49"/>
  <c r="AN1236" i="49"/>
  <c r="AM1236" i="49"/>
  <c r="AL1236" i="49"/>
  <c r="AK1236" i="49"/>
  <c r="AS1235" i="49"/>
  <c r="AR1235" i="49"/>
  <c r="AQ1235" i="49"/>
  <c r="AP1235" i="49"/>
  <c r="AO1235" i="49"/>
  <c r="AN1235" i="49"/>
  <c r="AM1235" i="49"/>
  <c r="AL1235" i="49"/>
  <c r="AK1235" i="49"/>
  <c r="AS1234" i="49"/>
  <c r="AR1234" i="49"/>
  <c r="AQ1234" i="49"/>
  <c r="AP1234" i="49"/>
  <c r="AO1234" i="49"/>
  <c r="AN1234" i="49"/>
  <c r="AM1234" i="49"/>
  <c r="AL1234" i="49"/>
  <c r="AK1234" i="49"/>
  <c r="AS1233" i="49"/>
  <c r="AR1233" i="49"/>
  <c r="AQ1233" i="49"/>
  <c r="AP1233" i="49"/>
  <c r="AO1233" i="49"/>
  <c r="AN1233" i="49"/>
  <c r="AM1233" i="49"/>
  <c r="AL1233" i="49"/>
  <c r="AK1233" i="49"/>
  <c r="AS1232" i="49"/>
  <c r="AR1232" i="49"/>
  <c r="AQ1232" i="49"/>
  <c r="AP1232" i="49"/>
  <c r="AO1232" i="49"/>
  <c r="AN1232" i="49"/>
  <c r="AM1232" i="49"/>
  <c r="AL1232" i="49"/>
  <c r="AK1232" i="49"/>
  <c r="AS1231" i="49"/>
  <c r="AR1231" i="49"/>
  <c r="AQ1231" i="49"/>
  <c r="AP1231" i="49"/>
  <c r="AO1231" i="49"/>
  <c r="AN1231" i="49"/>
  <c r="AM1231" i="49"/>
  <c r="AL1231" i="49"/>
  <c r="AK1231" i="49"/>
  <c r="AS1230" i="49"/>
  <c r="AR1230" i="49"/>
  <c r="AQ1230" i="49"/>
  <c r="AP1230" i="49"/>
  <c r="AO1230" i="49"/>
  <c r="AN1230" i="49"/>
  <c r="AM1230" i="49"/>
  <c r="AL1230" i="49"/>
  <c r="AK1230" i="49"/>
  <c r="AS1229" i="49"/>
  <c r="AR1229" i="49"/>
  <c r="AQ1229" i="49"/>
  <c r="AP1229" i="49"/>
  <c r="AO1229" i="49"/>
  <c r="AN1229" i="49"/>
  <c r="AM1229" i="49"/>
  <c r="AL1229" i="49"/>
  <c r="AK1229" i="49"/>
  <c r="AS1228" i="49"/>
  <c r="AR1228" i="49"/>
  <c r="AQ1228" i="49"/>
  <c r="AP1228" i="49"/>
  <c r="AO1228" i="49"/>
  <c r="AN1228" i="49"/>
  <c r="AM1228" i="49"/>
  <c r="AL1228" i="49"/>
  <c r="AK1228" i="49"/>
  <c r="AS1227" i="49"/>
  <c r="AR1227" i="49"/>
  <c r="AQ1227" i="49"/>
  <c r="AP1227" i="49"/>
  <c r="AO1227" i="49"/>
  <c r="AN1227" i="49"/>
  <c r="AM1227" i="49"/>
  <c r="AL1227" i="49"/>
  <c r="AK1227" i="49"/>
  <c r="AS1226" i="49"/>
  <c r="AR1226" i="49"/>
  <c r="AQ1226" i="49"/>
  <c r="AP1226" i="49"/>
  <c r="AO1226" i="49"/>
  <c r="AN1226" i="49"/>
  <c r="AM1226" i="49"/>
  <c r="AL1226" i="49"/>
  <c r="AK1226" i="49"/>
  <c r="AS1225" i="49"/>
  <c r="AR1225" i="49"/>
  <c r="AQ1225" i="49"/>
  <c r="AP1225" i="49"/>
  <c r="AO1225" i="49"/>
  <c r="AN1225" i="49"/>
  <c r="AM1225" i="49"/>
  <c r="AL1225" i="49"/>
  <c r="AK1225" i="49"/>
  <c r="AS1224" i="49"/>
  <c r="AR1224" i="49"/>
  <c r="AQ1224" i="49"/>
  <c r="AP1224" i="49"/>
  <c r="AO1224" i="49"/>
  <c r="AN1224" i="49"/>
  <c r="AM1224" i="49"/>
  <c r="AL1224" i="49"/>
  <c r="AK1224" i="49"/>
  <c r="AS1223" i="49"/>
  <c r="AR1223" i="49"/>
  <c r="AQ1223" i="49"/>
  <c r="AP1223" i="49"/>
  <c r="AO1223" i="49"/>
  <c r="AN1223" i="49"/>
  <c r="AM1223" i="49"/>
  <c r="AL1223" i="49"/>
  <c r="AK1223" i="49"/>
  <c r="AS1222" i="49"/>
  <c r="AR1222" i="49"/>
  <c r="AQ1222" i="49"/>
  <c r="AP1222" i="49"/>
  <c r="AO1222" i="49"/>
  <c r="AN1222" i="49"/>
  <c r="AM1222" i="49"/>
  <c r="AL1222" i="49"/>
  <c r="AK1222" i="49"/>
  <c r="AS1221" i="49"/>
  <c r="AR1221" i="49"/>
  <c r="AQ1221" i="49"/>
  <c r="AP1221" i="49"/>
  <c r="AO1221" i="49"/>
  <c r="AN1221" i="49"/>
  <c r="AM1221" i="49"/>
  <c r="AL1221" i="49"/>
  <c r="AK1221" i="49"/>
  <c r="AS1220" i="49"/>
  <c r="AR1220" i="49"/>
  <c r="AQ1220" i="49"/>
  <c r="AP1220" i="49"/>
  <c r="AO1220" i="49"/>
  <c r="AN1220" i="49"/>
  <c r="AM1220" i="49"/>
  <c r="AL1220" i="49"/>
  <c r="AK1220" i="49"/>
  <c r="AS1219" i="49"/>
  <c r="AR1219" i="49"/>
  <c r="AQ1219" i="49"/>
  <c r="AP1219" i="49"/>
  <c r="AO1219" i="49"/>
  <c r="AN1219" i="49"/>
  <c r="AM1219" i="49"/>
  <c r="AL1219" i="49"/>
  <c r="AK1219" i="49"/>
  <c r="AS1218" i="49"/>
  <c r="AR1218" i="49"/>
  <c r="AQ1218" i="49"/>
  <c r="AP1218" i="49"/>
  <c r="AO1218" i="49"/>
  <c r="AN1218" i="49"/>
  <c r="AM1218" i="49"/>
  <c r="AL1218" i="49"/>
  <c r="AK1218" i="49"/>
  <c r="AS1217" i="49"/>
  <c r="AR1217" i="49"/>
  <c r="AQ1217" i="49"/>
  <c r="AP1217" i="49"/>
  <c r="AO1217" i="49"/>
  <c r="AN1217" i="49"/>
  <c r="AM1217" i="49"/>
  <c r="AL1217" i="49"/>
  <c r="AK1217" i="49"/>
  <c r="AS1216" i="49"/>
  <c r="AR1216" i="49"/>
  <c r="AQ1216" i="49"/>
  <c r="AP1216" i="49"/>
  <c r="AO1216" i="49"/>
  <c r="AN1216" i="49"/>
  <c r="AM1216" i="49"/>
  <c r="AL1216" i="49"/>
  <c r="AK1216" i="49"/>
  <c r="AS1215" i="49"/>
  <c r="AR1215" i="49"/>
  <c r="AQ1215" i="49"/>
  <c r="AP1215" i="49"/>
  <c r="AO1215" i="49"/>
  <c r="AN1215" i="49"/>
  <c r="AM1215" i="49"/>
  <c r="AL1215" i="49"/>
  <c r="AK1215" i="49"/>
  <c r="AS1214" i="49"/>
  <c r="AR1214" i="49"/>
  <c r="AQ1214" i="49"/>
  <c r="AP1214" i="49"/>
  <c r="AO1214" i="49"/>
  <c r="AN1214" i="49"/>
  <c r="AM1214" i="49"/>
  <c r="AL1214" i="49"/>
  <c r="AK1214" i="49"/>
  <c r="AS1213" i="49"/>
  <c r="AR1213" i="49"/>
  <c r="AQ1213" i="49"/>
  <c r="AP1213" i="49"/>
  <c r="AO1213" i="49"/>
  <c r="AN1213" i="49"/>
  <c r="AM1213" i="49"/>
  <c r="AL1213" i="49"/>
  <c r="AK1213" i="49"/>
  <c r="AS1212" i="49"/>
  <c r="AR1212" i="49"/>
  <c r="AQ1212" i="49"/>
  <c r="AP1212" i="49"/>
  <c r="AO1212" i="49"/>
  <c r="AN1212" i="49"/>
  <c r="AM1212" i="49"/>
  <c r="AL1212" i="49"/>
  <c r="AK1212" i="49"/>
  <c r="AS1211" i="49"/>
  <c r="AR1211" i="49"/>
  <c r="AQ1211" i="49"/>
  <c r="AP1211" i="49"/>
  <c r="AO1211" i="49"/>
  <c r="AN1211" i="49"/>
  <c r="AM1211" i="49"/>
  <c r="AL1211" i="49"/>
  <c r="AK1211" i="49"/>
  <c r="AS1210" i="49"/>
  <c r="AR1210" i="49"/>
  <c r="AQ1210" i="49"/>
  <c r="AP1210" i="49"/>
  <c r="AO1210" i="49"/>
  <c r="AN1210" i="49"/>
  <c r="AM1210" i="49"/>
  <c r="AL1210" i="49"/>
  <c r="AK1210" i="49"/>
  <c r="AS1209" i="49"/>
  <c r="AR1209" i="49"/>
  <c r="AQ1209" i="49"/>
  <c r="AP1209" i="49"/>
  <c r="AO1209" i="49"/>
  <c r="AN1209" i="49"/>
  <c r="AM1209" i="49"/>
  <c r="AL1209" i="49"/>
  <c r="AK1209" i="49"/>
  <c r="AS1208" i="49"/>
  <c r="AR1208" i="49"/>
  <c r="AQ1208" i="49"/>
  <c r="AP1208" i="49"/>
  <c r="AO1208" i="49"/>
  <c r="AN1208" i="49"/>
  <c r="AM1208" i="49"/>
  <c r="AL1208" i="49"/>
  <c r="AK1208" i="49"/>
  <c r="AS1207" i="49"/>
  <c r="AR1207" i="49"/>
  <c r="AQ1207" i="49"/>
  <c r="AP1207" i="49"/>
  <c r="AO1207" i="49"/>
  <c r="AN1207" i="49"/>
  <c r="AM1207" i="49"/>
  <c r="AL1207" i="49"/>
  <c r="AK1207" i="49"/>
  <c r="AS1206" i="49"/>
  <c r="AR1206" i="49"/>
  <c r="AQ1206" i="49"/>
  <c r="AP1206" i="49"/>
  <c r="AO1206" i="49"/>
  <c r="AN1206" i="49"/>
  <c r="AM1206" i="49"/>
  <c r="AL1206" i="49"/>
  <c r="AK1206" i="49"/>
  <c r="AS1205" i="49"/>
  <c r="AR1205" i="49"/>
  <c r="AQ1205" i="49"/>
  <c r="AP1205" i="49"/>
  <c r="AO1205" i="49"/>
  <c r="AN1205" i="49"/>
  <c r="AM1205" i="49"/>
  <c r="AL1205" i="49"/>
  <c r="AK1205" i="49"/>
  <c r="AS1204" i="49"/>
  <c r="AR1204" i="49"/>
  <c r="AQ1204" i="49"/>
  <c r="AP1204" i="49"/>
  <c r="AO1204" i="49"/>
  <c r="AN1204" i="49"/>
  <c r="AM1204" i="49"/>
  <c r="AL1204" i="49"/>
  <c r="AK1204" i="49"/>
  <c r="AS1203" i="49"/>
  <c r="AR1203" i="49"/>
  <c r="AQ1203" i="49"/>
  <c r="AP1203" i="49"/>
  <c r="AO1203" i="49"/>
  <c r="AN1203" i="49"/>
  <c r="AM1203" i="49"/>
  <c r="AL1203" i="49"/>
  <c r="AK1203" i="49"/>
  <c r="AS1202" i="49"/>
  <c r="AR1202" i="49"/>
  <c r="AQ1202" i="49"/>
  <c r="AP1202" i="49"/>
  <c r="AO1202" i="49"/>
  <c r="AN1202" i="49"/>
  <c r="AM1202" i="49"/>
  <c r="AL1202" i="49"/>
  <c r="AK1202" i="49"/>
  <c r="AS1201" i="49"/>
  <c r="AR1201" i="49"/>
  <c r="AQ1201" i="49"/>
  <c r="AP1201" i="49"/>
  <c r="AO1201" i="49"/>
  <c r="AN1201" i="49"/>
  <c r="AM1201" i="49"/>
  <c r="AL1201" i="49"/>
  <c r="AK1201" i="49"/>
  <c r="AS1200" i="49"/>
  <c r="AR1200" i="49"/>
  <c r="AQ1200" i="49"/>
  <c r="AP1200" i="49"/>
  <c r="AO1200" i="49"/>
  <c r="AN1200" i="49"/>
  <c r="AM1200" i="49"/>
  <c r="AL1200" i="49"/>
  <c r="AK1200" i="49"/>
  <c r="AS1199" i="49"/>
  <c r="AR1199" i="49"/>
  <c r="AQ1199" i="49"/>
  <c r="AP1199" i="49"/>
  <c r="AO1199" i="49"/>
  <c r="AN1199" i="49"/>
  <c r="AM1199" i="49"/>
  <c r="AL1199" i="49"/>
  <c r="AK1199" i="49"/>
  <c r="AS1198" i="49"/>
  <c r="AR1198" i="49"/>
  <c r="AQ1198" i="49"/>
  <c r="AP1198" i="49"/>
  <c r="AO1198" i="49"/>
  <c r="AN1198" i="49"/>
  <c r="AM1198" i="49"/>
  <c r="AL1198" i="49"/>
  <c r="AK1198" i="49"/>
  <c r="AS1197" i="49"/>
  <c r="AR1197" i="49"/>
  <c r="AQ1197" i="49"/>
  <c r="AP1197" i="49"/>
  <c r="AO1197" i="49"/>
  <c r="AN1197" i="49"/>
  <c r="AM1197" i="49"/>
  <c r="AL1197" i="49"/>
  <c r="AK1197" i="49"/>
  <c r="AS1196" i="49"/>
  <c r="AR1196" i="49"/>
  <c r="AQ1196" i="49"/>
  <c r="AP1196" i="49"/>
  <c r="AO1196" i="49"/>
  <c r="AN1196" i="49"/>
  <c r="AM1196" i="49"/>
  <c r="AL1196" i="49"/>
  <c r="AK1196" i="49"/>
  <c r="AS1195" i="49"/>
  <c r="AR1195" i="49"/>
  <c r="AQ1195" i="49"/>
  <c r="AP1195" i="49"/>
  <c r="AO1195" i="49"/>
  <c r="AN1195" i="49"/>
  <c r="AM1195" i="49"/>
  <c r="AL1195" i="49"/>
  <c r="AK1195" i="49"/>
  <c r="AS1194" i="49"/>
  <c r="AR1194" i="49"/>
  <c r="AQ1194" i="49"/>
  <c r="AP1194" i="49"/>
  <c r="AO1194" i="49"/>
  <c r="AN1194" i="49"/>
  <c r="AM1194" i="49"/>
  <c r="AL1194" i="49"/>
  <c r="AK1194" i="49"/>
  <c r="AS1193" i="49"/>
  <c r="AR1193" i="49"/>
  <c r="AQ1193" i="49"/>
  <c r="AP1193" i="49"/>
  <c r="AO1193" i="49"/>
  <c r="AN1193" i="49"/>
  <c r="AM1193" i="49"/>
  <c r="AL1193" i="49"/>
  <c r="AK1193" i="49"/>
  <c r="AS1192" i="49"/>
  <c r="AR1192" i="49"/>
  <c r="AQ1192" i="49"/>
  <c r="AP1192" i="49"/>
  <c r="AO1192" i="49"/>
  <c r="AN1192" i="49"/>
  <c r="AM1192" i="49"/>
  <c r="AL1192" i="49"/>
  <c r="AK1192" i="49"/>
  <c r="AS1191" i="49"/>
  <c r="AR1191" i="49"/>
  <c r="AQ1191" i="49"/>
  <c r="AP1191" i="49"/>
  <c r="AO1191" i="49"/>
  <c r="AN1191" i="49"/>
  <c r="AM1191" i="49"/>
  <c r="AL1191" i="49"/>
  <c r="AK1191" i="49"/>
  <c r="AS1190" i="49"/>
  <c r="AR1190" i="49"/>
  <c r="AQ1190" i="49"/>
  <c r="AP1190" i="49"/>
  <c r="AO1190" i="49"/>
  <c r="AN1190" i="49"/>
  <c r="AM1190" i="49"/>
  <c r="AL1190" i="49"/>
  <c r="AK1190" i="49"/>
  <c r="AS1189" i="49"/>
  <c r="AR1189" i="49"/>
  <c r="AQ1189" i="49"/>
  <c r="AP1189" i="49"/>
  <c r="AO1189" i="49"/>
  <c r="AN1189" i="49"/>
  <c r="AM1189" i="49"/>
  <c r="AL1189" i="49"/>
  <c r="AK1189" i="49"/>
  <c r="AS1188" i="49"/>
  <c r="AR1188" i="49"/>
  <c r="AQ1188" i="49"/>
  <c r="AP1188" i="49"/>
  <c r="AO1188" i="49"/>
  <c r="AN1188" i="49"/>
  <c r="AM1188" i="49"/>
  <c r="AL1188" i="49"/>
  <c r="AK1188" i="49"/>
  <c r="AS1187" i="49"/>
  <c r="AR1187" i="49"/>
  <c r="AQ1187" i="49"/>
  <c r="AP1187" i="49"/>
  <c r="AO1187" i="49"/>
  <c r="AN1187" i="49"/>
  <c r="AM1187" i="49"/>
  <c r="AL1187" i="49"/>
  <c r="AK1187" i="49"/>
  <c r="AS1186" i="49"/>
  <c r="AR1186" i="49"/>
  <c r="AQ1186" i="49"/>
  <c r="AP1186" i="49"/>
  <c r="AO1186" i="49"/>
  <c r="AN1186" i="49"/>
  <c r="AM1186" i="49"/>
  <c r="AL1186" i="49"/>
  <c r="AK1186" i="49"/>
  <c r="AS1185" i="49"/>
  <c r="AR1185" i="49"/>
  <c r="AQ1185" i="49"/>
  <c r="AP1185" i="49"/>
  <c r="AO1185" i="49"/>
  <c r="AN1185" i="49"/>
  <c r="AM1185" i="49"/>
  <c r="AL1185" i="49"/>
  <c r="AK1185" i="49"/>
  <c r="AS1184" i="49"/>
  <c r="AR1184" i="49"/>
  <c r="AQ1184" i="49"/>
  <c r="AP1184" i="49"/>
  <c r="AO1184" i="49"/>
  <c r="AN1184" i="49"/>
  <c r="AM1184" i="49"/>
  <c r="AL1184" i="49"/>
  <c r="AK1184" i="49"/>
  <c r="AS1183" i="49"/>
  <c r="AR1183" i="49"/>
  <c r="AQ1183" i="49"/>
  <c r="AP1183" i="49"/>
  <c r="AO1183" i="49"/>
  <c r="AN1183" i="49"/>
  <c r="AM1183" i="49"/>
  <c r="AL1183" i="49"/>
  <c r="AK1183" i="49"/>
  <c r="AS1182" i="49"/>
  <c r="AR1182" i="49"/>
  <c r="AQ1182" i="49"/>
  <c r="AP1182" i="49"/>
  <c r="AO1182" i="49"/>
  <c r="AN1182" i="49"/>
  <c r="AM1182" i="49"/>
  <c r="AL1182" i="49"/>
  <c r="AK1182" i="49"/>
  <c r="AS1181" i="49"/>
  <c r="AR1181" i="49"/>
  <c r="AQ1181" i="49"/>
  <c r="AP1181" i="49"/>
  <c r="AO1181" i="49"/>
  <c r="AN1181" i="49"/>
  <c r="AM1181" i="49"/>
  <c r="AL1181" i="49"/>
  <c r="AK1181" i="49"/>
  <c r="AS1180" i="49"/>
  <c r="AR1180" i="49"/>
  <c r="AQ1180" i="49"/>
  <c r="AP1180" i="49"/>
  <c r="AO1180" i="49"/>
  <c r="AN1180" i="49"/>
  <c r="AM1180" i="49"/>
  <c r="AL1180" i="49"/>
  <c r="AK1180" i="49"/>
  <c r="AS1179" i="49"/>
  <c r="AR1179" i="49"/>
  <c r="AQ1179" i="49"/>
  <c r="AP1179" i="49"/>
  <c r="AO1179" i="49"/>
  <c r="AN1179" i="49"/>
  <c r="AM1179" i="49"/>
  <c r="AL1179" i="49"/>
  <c r="AK1179" i="49"/>
  <c r="AS1178" i="49"/>
  <c r="AR1178" i="49"/>
  <c r="AQ1178" i="49"/>
  <c r="AP1178" i="49"/>
  <c r="AO1178" i="49"/>
  <c r="AN1178" i="49"/>
  <c r="AM1178" i="49"/>
  <c r="AL1178" i="49"/>
  <c r="AK1178" i="49"/>
  <c r="AS1177" i="49"/>
  <c r="AR1177" i="49"/>
  <c r="AQ1177" i="49"/>
  <c r="AP1177" i="49"/>
  <c r="AO1177" i="49"/>
  <c r="AN1177" i="49"/>
  <c r="AM1177" i="49"/>
  <c r="AL1177" i="49"/>
  <c r="AK1177" i="49"/>
  <c r="AS1176" i="49"/>
  <c r="AR1176" i="49"/>
  <c r="AQ1176" i="49"/>
  <c r="AP1176" i="49"/>
  <c r="AO1176" i="49"/>
  <c r="AN1176" i="49"/>
  <c r="AM1176" i="49"/>
  <c r="AL1176" i="49"/>
  <c r="AK1176" i="49"/>
  <c r="AS1175" i="49"/>
  <c r="AR1175" i="49"/>
  <c r="AQ1175" i="49"/>
  <c r="AP1175" i="49"/>
  <c r="AO1175" i="49"/>
  <c r="AN1175" i="49"/>
  <c r="AM1175" i="49"/>
  <c r="AL1175" i="49"/>
  <c r="AK1175" i="49"/>
  <c r="AS1174" i="49"/>
  <c r="AR1174" i="49"/>
  <c r="AQ1174" i="49"/>
  <c r="AP1174" i="49"/>
  <c r="AO1174" i="49"/>
  <c r="AN1174" i="49"/>
  <c r="AM1174" i="49"/>
  <c r="AL1174" i="49"/>
  <c r="AK1174" i="49"/>
  <c r="AS1173" i="49"/>
  <c r="AR1173" i="49"/>
  <c r="AQ1173" i="49"/>
  <c r="AP1173" i="49"/>
  <c r="AO1173" i="49"/>
  <c r="AN1173" i="49"/>
  <c r="AM1173" i="49"/>
  <c r="AL1173" i="49"/>
  <c r="AK1173" i="49"/>
  <c r="AS1172" i="49"/>
  <c r="AR1172" i="49"/>
  <c r="AQ1172" i="49"/>
  <c r="AP1172" i="49"/>
  <c r="AO1172" i="49"/>
  <c r="AN1172" i="49"/>
  <c r="AM1172" i="49"/>
  <c r="AL1172" i="49"/>
  <c r="AK1172" i="49"/>
  <c r="AS1171" i="49"/>
  <c r="AR1171" i="49"/>
  <c r="AQ1171" i="49"/>
  <c r="AP1171" i="49"/>
  <c r="AO1171" i="49"/>
  <c r="AN1171" i="49"/>
  <c r="AM1171" i="49"/>
  <c r="AL1171" i="49"/>
  <c r="AK1171" i="49"/>
  <c r="AS1170" i="49"/>
  <c r="AR1170" i="49"/>
  <c r="AQ1170" i="49"/>
  <c r="AP1170" i="49"/>
  <c r="AO1170" i="49"/>
  <c r="AN1170" i="49"/>
  <c r="AM1170" i="49"/>
  <c r="AL1170" i="49"/>
  <c r="AK1170" i="49"/>
  <c r="AS1169" i="49"/>
  <c r="AR1169" i="49"/>
  <c r="AQ1169" i="49"/>
  <c r="AP1169" i="49"/>
  <c r="AO1169" i="49"/>
  <c r="AN1169" i="49"/>
  <c r="AM1169" i="49"/>
  <c r="AL1169" i="49"/>
  <c r="AK1169" i="49"/>
  <c r="AS1168" i="49"/>
  <c r="AR1168" i="49"/>
  <c r="AQ1168" i="49"/>
  <c r="AP1168" i="49"/>
  <c r="AO1168" i="49"/>
  <c r="AN1168" i="49"/>
  <c r="AM1168" i="49"/>
  <c r="AL1168" i="49"/>
  <c r="AK1168" i="49"/>
  <c r="AS1167" i="49"/>
  <c r="AR1167" i="49"/>
  <c r="AQ1167" i="49"/>
  <c r="AP1167" i="49"/>
  <c r="AO1167" i="49"/>
  <c r="AN1167" i="49"/>
  <c r="AM1167" i="49"/>
  <c r="AL1167" i="49"/>
  <c r="AK1167" i="49"/>
  <c r="AS1166" i="49"/>
  <c r="AR1166" i="49"/>
  <c r="AQ1166" i="49"/>
  <c r="AP1166" i="49"/>
  <c r="AO1166" i="49"/>
  <c r="AN1166" i="49"/>
  <c r="AM1166" i="49"/>
  <c r="AL1166" i="49"/>
  <c r="AK1166" i="49"/>
  <c r="AS1165" i="49"/>
  <c r="AR1165" i="49"/>
  <c r="AQ1165" i="49"/>
  <c r="AP1165" i="49"/>
  <c r="AO1165" i="49"/>
  <c r="AN1165" i="49"/>
  <c r="AM1165" i="49"/>
  <c r="AL1165" i="49"/>
  <c r="AK1165" i="49"/>
  <c r="AS1164" i="49"/>
  <c r="AR1164" i="49"/>
  <c r="AQ1164" i="49"/>
  <c r="AP1164" i="49"/>
  <c r="AO1164" i="49"/>
  <c r="AN1164" i="49"/>
  <c r="AM1164" i="49"/>
  <c r="AL1164" i="49"/>
  <c r="AK1164" i="49"/>
  <c r="AS1163" i="49"/>
  <c r="AR1163" i="49"/>
  <c r="AQ1163" i="49"/>
  <c r="AP1163" i="49"/>
  <c r="AO1163" i="49"/>
  <c r="AN1163" i="49"/>
  <c r="AM1163" i="49"/>
  <c r="AL1163" i="49"/>
  <c r="AK1163" i="49"/>
  <c r="AS1162" i="49"/>
  <c r="AR1162" i="49"/>
  <c r="AQ1162" i="49"/>
  <c r="AP1162" i="49"/>
  <c r="AO1162" i="49"/>
  <c r="AN1162" i="49"/>
  <c r="AM1162" i="49"/>
  <c r="AL1162" i="49"/>
  <c r="AK1162" i="49"/>
  <c r="AS1161" i="49"/>
  <c r="AR1161" i="49"/>
  <c r="AQ1161" i="49"/>
  <c r="AP1161" i="49"/>
  <c r="AO1161" i="49"/>
  <c r="AN1161" i="49"/>
  <c r="AM1161" i="49"/>
  <c r="AL1161" i="49"/>
  <c r="AK1161" i="49"/>
  <c r="AS1160" i="49"/>
  <c r="AR1160" i="49"/>
  <c r="AQ1160" i="49"/>
  <c r="AP1160" i="49"/>
  <c r="AO1160" i="49"/>
  <c r="AN1160" i="49"/>
  <c r="AM1160" i="49"/>
  <c r="AL1160" i="49"/>
  <c r="AK1160" i="49"/>
  <c r="AS1159" i="49"/>
  <c r="AR1159" i="49"/>
  <c r="AQ1159" i="49"/>
  <c r="AP1159" i="49"/>
  <c r="AO1159" i="49"/>
  <c r="AN1159" i="49"/>
  <c r="AM1159" i="49"/>
  <c r="AL1159" i="49"/>
  <c r="AK1159" i="49"/>
  <c r="AS1158" i="49"/>
  <c r="AR1158" i="49"/>
  <c r="AQ1158" i="49"/>
  <c r="AP1158" i="49"/>
  <c r="AO1158" i="49"/>
  <c r="AN1158" i="49"/>
  <c r="AM1158" i="49"/>
  <c r="AL1158" i="49"/>
  <c r="AK1158" i="49"/>
  <c r="AS1157" i="49"/>
  <c r="AR1157" i="49"/>
  <c r="AQ1157" i="49"/>
  <c r="AP1157" i="49"/>
  <c r="AO1157" i="49"/>
  <c r="AN1157" i="49"/>
  <c r="AM1157" i="49"/>
  <c r="AL1157" i="49"/>
  <c r="AK1157" i="49"/>
  <c r="AS1156" i="49"/>
  <c r="AR1156" i="49"/>
  <c r="AQ1156" i="49"/>
  <c r="AP1156" i="49"/>
  <c r="AO1156" i="49"/>
  <c r="AN1156" i="49"/>
  <c r="AM1156" i="49"/>
  <c r="AL1156" i="49"/>
  <c r="AK1156" i="49"/>
  <c r="AS1155" i="49"/>
  <c r="AR1155" i="49"/>
  <c r="AQ1155" i="49"/>
  <c r="AP1155" i="49"/>
  <c r="AO1155" i="49"/>
  <c r="AN1155" i="49"/>
  <c r="AM1155" i="49"/>
  <c r="AL1155" i="49"/>
  <c r="AK1155" i="49"/>
  <c r="AS1154" i="49"/>
  <c r="AR1154" i="49"/>
  <c r="AQ1154" i="49"/>
  <c r="AP1154" i="49"/>
  <c r="AO1154" i="49"/>
  <c r="AN1154" i="49"/>
  <c r="AM1154" i="49"/>
  <c r="AL1154" i="49"/>
  <c r="AK1154" i="49"/>
  <c r="AS1153" i="49"/>
  <c r="AR1153" i="49"/>
  <c r="AQ1153" i="49"/>
  <c r="AP1153" i="49"/>
  <c r="AO1153" i="49"/>
  <c r="AN1153" i="49"/>
  <c r="AM1153" i="49"/>
  <c r="AL1153" i="49"/>
  <c r="AK1153" i="49"/>
  <c r="AS1152" i="49"/>
  <c r="AR1152" i="49"/>
  <c r="AQ1152" i="49"/>
  <c r="AP1152" i="49"/>
  <c r="AO1152" i="49"/>
  <c r="AN1152" i="49"/>
  <c r="AM1152" i="49"/>
  <c r="AL1152" i="49"/>
  <c r="AK1152" i="49"/>
  <c r="AS1151" i="49"/>
  <c r="AR1151" i="49"/>
  <c r="AQ1151" i="49"/>
  <c r="AP1151" i="49"/>
  <c r="AO1151" i="49"/>
  <c r="AN1151" i="49"/>
  <c r="AM1151" i="49"/>
  <c r="AL1151" i="49"/>
  <c r="AK1151" i="49"/>
  <c r="AS1150" i="49"/>
  <c r="AR1150" i="49"/>
  <c r="AQ1150" i="49"/>
  <c r="AP1150" i="49"/>
  <c r="AO1150" i="49"/>
  <c r="AN1150" i="49"/>
  <c r="AM1150" i="49"/>
  <c r="AL1150" i="49"/>
  <c r="AK1150" i="49"/>
  <c r="AS1149" i="49"/>
  <c r="AR1149" i="49"/>
  <c r="AQ1149" i="49"/>
  <c r="AP1149" i="49"/>
  <c r="AO1149" i="49"/>
  <c r="AN1149" i="49"/>
  <c r="AM1149" i="49"/>
  <c r="AL1149" i="49"/>
  <c r="AK1149" i="49"/>
  <c r="AS1148" i="49"/>
  <c r="AR1148" i="49"/>
  <c r="AQ1148" i="49"/>
  <c r="AP1148" i="49"/>
  <c r="AO1148" i="49"/>
  <c r="AN1148" i="49"/>
  <c r="AM1148" i="49"/>
  <c r="AL1148" i="49"/>
  <c r="AK1148" i="49"/>
  <c r="AS1147" i="49"/>
  <c r="AR1147" i="49"/>
  <c r="AQ1147" i="49"/>
  <c r="AP1147" i="49"/>
  <c r="AO1147" i="49"/>
  <c r="AN1147" i="49"/>
  <c r="AM1147" i="49"/>
  <c r="AL1147" i="49"/>
  <c r="AK1147" i="49"/>
  <c r="AS1146" i="49"/>
  <c r="AR1146" i="49"/>
  <c r="AQ1146" i="49"/>
  <c r="AP1146" i="49"/>
  <c r="AO1146" i="49"/>
  <c r="AN1146" i="49"/>
  <c r="AM1146" i="49"/>
  <c r="AL1146" i="49"/>
  <c r="AK1146" i="49"/>
  <c r="AS1145" i="49"/>
  <c r="AR1145" i="49"/>
  <c r="AQ1145" i="49"/>
  <c r="AP1145" i="49"/>
  <c r="AO1145" i="49"/>
  <c r="AN1145" i="49"/>
  <c r="AM1145" i="49"/>
  <c r="AL1145" i="49"/>
  <c r="AK1145" i="49"/>
  <c r="AS1144" i="49"/>
  <c r="AR1144" i="49"/>
  <c r="AQ1144" i="49"/>
  <c r="AP1144" i="49"/>
  <c r="AO1144" i="49"/>
  <c r="AN1144" i="49"/>
  <c r="AM1144" i="49"/>
  <c r="AL1144" i="49"/>
  <c r="AK1144" i="49"/>
  <c r="AS1143" i="49"/>
  <c r="AR1143" i="49"/>
  <c r="AQ1143" i="49"/>
  <c r="AP1143" i="49"/>
  <c r="AO1143" i="49"/>
  <c r="AN1143" i="49"/>
  <c r="AM1143" i="49"/>
  <c r="AL1143" i="49"/>
  <c r="AK1143" i="49"/>
  <c r="AS1142" i="49"/>
  <c r="AR1142" i="49"/>
  <c r="AQ1142" i="49"/>
  <c r="AP1142" i="49"/>
  <c r="AO1142" i="49"/>
  <c r="AN1142" i="49"/>
  <c r="AM1142" i="49"/>
  <c r="AL1142" i="49"/>
  <c r="AK1142" i="49"/>
  <c r="AS1141" i="49"/>
  <c r="AR1141" i="49"/>
  <c r="AQ1141" i="49"/>
  <c r="AP1141" i="49"/>
  <c r="AO1141" i="49"/>
  <c r="AN1141" i="49"/>
  <c r="AM1141" i="49"/>
  <c r="AL1141" i="49"/>
  <c r="AK1141" i="49"/>
  <c r="AS1140" i="49"/>
  <c r="AR1140" i="49"/>
  <c r="AQ1140" i="49"/>
  <c r="AP1140" i="49"/>
  <c r="AO1140" i="49"/>
  <c r="AN1140" i="49"/>
  <c r="AM1140" i="49"/>
  <c r="AL1140" i="49"/>
  <c r="AK1140" i="49"/>
  <c r="AS1139" i="49"/>
  <c r="AR1139" i="49"/>
  <c r="AQ1139" i="49"/>
  <c r="AP1139" i="49"/>
  <c r="AO1139" i="49"/>
  <c r="AN1139" i="49"/>
  <c r="AM1139" i="49"/>
  <c r="AL1139" i="49"/>
  <c r="AK1139" i="49"/>
  <c r="AS1138" i="49"/>
  <c r="AR1138" i="49"/>
  <c r="AQ1138" i="49"/>
  <c r="AP1138" i="49"/>
  <c r="AO1138" i="49"/>
  <c r="AN1138" i="49"/>
  <c r="AM1138" i="49"/>
  <c r="AL1138" i="49"/>
  <c r="AK1138" i="49"/>
  <c r="AS1137" i="49"/>
  <c r="AR1137" i="49"/>
  <c r="AQ1137" i="49"/>
  <c r="AP1137" i="49"/>
  <c r="AO1137" i="49"/>
  <c r="AN1137" i="49"/>
  <c r="AM1137" i="49"/>
  <c r="AL1137" i="49"/>
  <c r="AK1137" i="49"/>
  <c r="AS1136" i="49"/>
  <c r="AR1136" i="49"/>
  <c r="AQ1136" i="49"/>
  <c r="AP1136" i="49"/>
  <c r="AO1136" i="49"/>
  <c r="AN1136" i="49"/>
  <c r="AM1136" i="49"/>
  <c r="AL1136" i="49"/>
  <c r="AK1136" i="49"/>
  <c r="AS1135" i="49"/>
  <c r="AR1135" i="49"/>
  <c r="AQ1135" i="49"/>
  <c r="AP1135" i="49"/>
  <c r="AO1135" i="49"/>
  <c r="AN1135" i="49"/>
  <c r="AM1135" i="49"/>
  <c r="AL1135" i="49"/>
  <c r="AK1135" i="49"/>
  <c r="AS1134" i="49"/>
  <c r="AR1134" i="49"/>
  <c r="AQ1134" i="49"/>
  <c r="AP1134" i="49"/>
  <c r="AO1134" i="49"/>
  <c r="AN1134" i="49"/>
  <c r="AM1134" i="49"/>
  <c r="AL1134" i="49"/>
  <c r="AK1134" i="49"/>
  <c r="AS1133" i="49"/>
  <c r="AR1133" i="49"/>
  <c r="AQ1133" i="49"/>
  <c r="AP1133" i="49"/>
  <c r="AO1133" i="49"/>
  <c r="AN1133" i="49"/>
  <c r="AM1133" i="49"/>
  <c r="AL1133" i="49"/>
  <c r="AK1133" i="49"/>
  <c r="AS1132" i="49"/>
  <c r="AR1132" i="49"/>
  <c r="AQ1132" i="49"/>
  <c r="AP1132" i="49"/>
  <c r="AO1132" i="49"/>
  <c r="AN1132" i="49"/>
  <c r="AM1132" i="49"/>
  <c r="AL1132" i="49"/>
  <c r="AK1132" i="49"/>
  <c r="AS1131" i="49"/>
  <c r="AR1131" i="49"/>
  <c r="AQ1131" i="49"/>
  <c r="AP1131" i="49"/>
  <c r="AO1131" i="49"/>
  <c r="AN1131" i="49"/>
  <c r="AM1131" i="49"/>
  <c r="AL1131" i="49"/>
  <c r="AK1131" i="49"/>
  <c r="AS1130" i="49"/>
  <c r="AR1130" i="49"/>
  <c r="AQ1130" i="49"/>
  <c r="AP1130" i="49"/>
  <c r="AO1130" i="49"/>
  <c r="AN1130" i="49"/>
  <c r="AM1130" i="49"/>
  <c r="AL1130" i="49"/>
  <c r="AK1130" i="49"/>
  <c r="AS1129" i="49"/>
  <c r="AR1129" i="49"/>
  <c r="AQ1129" i="49"/>
  <c r="AP1129" i="49"/>
  <c r="AO1129" i="49"/>
  <c r="AN1129" i="49"/>
  <c r="AM1129" i="49"/>
  <c r="AL1129" i="49"/>
  <c r="AK1129" i="49"/>
  <c r="AS1128" i="49"/>
  <c r="AR1128" i="49"/>
  <c r="AQ1128" i="49"/>
  <c r="AP1128" i="49"/>
  <c r="AO1128" i="49"/>
  <c r="AN1128" i="49"/>
  <c r="AM1128" i="49"/>
  <c r="AL1128" i="49"/>
  <c r="AK1128" i="49"/>
  <c r="AS1127" i="49"/>
  <c r="AR1127" i="49"/>
  <c r="AQ1127" i="49"/>
  <c r="AP1127" i="49"/>
  <c r="AO1127" i="49"/>
  <c r="AN1127" i="49"/>
  <c r="AM1127" i="49"/>
  <c r="AL1127" i="49"/>
  <c r="AK1127" i="49"/>
  <c r="AS1126" i="49"/>
  <c r="AR1126" i="49"/>
  <c r="AQ1126" i="49"/>
  <c r="AP1126" i="49"/>
  <c r="AO1126" i="49"/>
  <c r="AN1126" i="49"/>
  <c r="AM1126" i="49"/>
  <c r="AL1126" i="49"/>
  <c r="AK1126" i="49"/>
  <c r="AS1125" i="49"/>
  <c r="AR1125" i="49"/>
  <c r="AQ1125" i="49"/>
  <c r="AP1125" i="49"/>
  <c r="AO1125" i="49"/>
  <c r="AN1125" i="49"/>
  <c r="AM1125" i="49"/>
  <c r="AL1125" i="49"/>
  <c r="AK1125" i="49"/>
  <c r="AS1124" i="49"/>
  <c r="AR1124" i="49"/>
  <c r="AQ1124" i="49"/>
  <c r="AP1124" i="49"/>
  <c r="AO1124" i="49"/>
  <c r="AN1124" i="49"/>
  <c r="AM1124" i="49"/>
  <c r="AL1124" i="49"/>
  <c r="AK1124" i="49"/>
  <c r="AS1123" i="49"/>
  <c r="AR1123" i="49"/>
  <c r="AQ1123" i="49"/>
  <c r="AP1123" i="49"/>
  <c r="AO1123" i="49"/>
  <c r="AN1123" i="49"/>
  <c r="AM1123" i="49"/>
  <c r="AL1123" i="49"/>
  <c r="AK1123" i="49"/>
  <c r="AS1122" i="49"/>
  <c r="AR1122" i="49"/>
  <c r="AQ1122" i="49"/>
  <c r="AP1122" i="49"/>
  <c r="AO1122" i="49"/>
  <c r="AN1122" i="49"/>
  <c r="AM1122" i="49"/>
  <c r="AL1122" i="49"/>
  <c r="AK1122" i="49"/>
  <c r="AS1121" i="49"/>
  <c r="AR1121" i="49"/>
  <c r="AQ1121" i="49"/>
  <c r="AP1121" i="49"/>
  <c r="AO1121" i="49"/>
  <c r="AN1121" i="49"/>
  <c r="AM1121" i="49"/>
  <c r="AL1121" i="49"/>
  <c r="AK1121" i="49"/>
  <c r="AS1120" i="49"/>
  <c r="AR1120" i="49"/>
  <c r="AQ1120" i="49"/>
  <c r="AP1120" i="49"/>
  <c r="AO1120" i="49"/>
  <c r="AN1120" i="49"/>
  <c r="AM1120" i="49"/>
  <c r="AL1120" i="49"/>
  <c r="AK1120" i="49"/>
  <c r="AS1119" i="49"/>
  <c r="AR1119" i="49"/>
  <c r="AQ1119" i="49"/>
  <c r="AP1119" i="49"/>
  <c r="AO1119" i="49"/>
  <c r="AN1119" i="49"/>
  <c r="AM1119" i="49"/>
  <c r="AL1119" i="49"/>
  <c r="AK1119" i="49"/>
  <c r="AS1118" i="49"/>
  <c r="AR1118" i="49"/>
  <c r="AQ1118" i="49"/>
  <c r="AP1118" i="49"/>
  <c r="AO1118" i="49"/>
  <c r="AN1118" i="49"/>
  <c r="AM1118" i="49"/>
  <c r="AL1118" i="49"/>
  <c r="AK1118" i="49"/>
  <c r="AS1117" i="49"/>
  <c r="AR1117" i="49"/>
  <c r="AQ1117" i="49"/>
  <c r="AP1117" i="49"/>
  <c r="AO1117" i="49"/>
  <c r="AN1117" i="49"/>
  <c r="AM1117" i="49"/>
  <c r="AL1117" i="49"/>
  <c r="AK1117" i="49"/>
  <c r="AS1116" i="49"/>
  <c r="AR1116" i="49"/>
  <c r="AQ1116" i="49"/>
  <c r="AP1116" i="49"/>
  <c r="AO1116" i="49"/>
  <c r="AN1116" i="49"/>
  <c r="AM1116" i="49"/>
  <c r="AL1116" i="49"/>
  <c r="AK1116" i="49"/>
  <c r="CL1115" i="49"/>
  <c r="CK1115" i="49"/>
  <c r="CJ1115" i="49"/>
  <c r="CI1115" i="49"/>
  <c r="CH1115" i="49"/>
  <c r="CG1115" i="49"/>
  <c r="CF1115" i="49"/>
  <c r="CE1115" i="49"/>
  <c r="CD1115" i="49"/>
  <c r="CC1115" i="49"/>
  <c r="CB1115" i="49"/>
  <c r="CA1115" i="49"/>
  <c r="BZ1115" i="49"/>
  <c r="BY1115" i="49"/>
  <c r="BX1115" i="49"/>
  <c r="BW1115" i="49"/>
  <c r="BV1115" i="49"/>
  <c r="BU1115" i="49"/>
  <c r="BT1115" i="49"/>
  <c r="BS1115" i="49"/>
  <c r="BR1115" i="49"/>
  <c r="BQ1115" i="49"/>
  <c r="BP1115" i="49"/>
  <c r="BO1115" i="49"/>
  <c r="BN1115" i="49"/>
  <c r="BM1115" i="49"/>
  <c r="BL1115" i="49"/>
  <c r="BK1115" i="49"/>
  <c r="BJ1115" i="49"/>
  <c r="BI1115" i="49"/>
  <c r="BH1115" i="49"/>
  <c r="BG1115" i="49"/>
  <c r="BF1115" i="49"/>
  <c r="BE1115" i="49"/>
  <c r="BD1115" i="49"/>
  <c r="BC1115" i="49"/>
  <c r="BB1115" i="49"/>
  <c r="BA1115" i="49"/>
  <c r="AZ1115" i="49"/>
  <c r="AY1115" i="49"/>
  <c r="AX1115" i="49"/>
  <c r="AW1115" i="49"/>
  <c r="AV1115" i="49"/>
  <c r="AU1115" i="49"/>
  <c r="AT1115" i="49"/>
  <c r="AS1115" i="49"/>
  <c r="AR1115" i="49"/>
  <c r="AQ1115" i="49"/>
  <c r="AP1115" i="49"/>
  <c r="AO1115" i="49"/>
  <c r="AN1115" i="49"/>
  <c r="AM1115" i="49"/>
  <c r="AL1115" i="49"/>
  <c r="AK1115" i="49"/>
  <c r="CL1114" i="49"/>
  <c r="CK1114" i="49"/>
  <c r="CJ1114" i="49"/>
  <c r="CI1114" i="49"/>
  <c r="CH1114" i="49"/>
  <c r="CG1114" i="49"/>
  <c r="CF1114" i="49"/>
  <c r="CE1114" i="49"/>
  <c r="CD1114" i="49"/>
  <c r="CC1114" i="49"/>
  <c r="CB1114" i="49"/>
  <c r="CA1114" i="49"/>
  <c r="BZ1114" i="49"/>
  <c r="BY1114" i="49"/>
  <c r="BX1114" i="49"/>
  <c r="BW1114" i="49"/>
  <c r="BV1114" i="49"/>
  <c r="BU1114" i="49"/>
  <c r="BT1114" i="49"/>
  <c r="BS1114" i="49"/>
  <c r="BR1114" i="49"/>
  <c r="BQ1114" i="49"/>
  <c r="BP1114" i="49"/>
  <c r="BO1114" i="49"/>
  <c r="BN1114" i="49"/>
  <c r="BM1114" i="49"/>
  <c r="BL1114" i="49"/>
  <c r="BK1114" i="49"/>
  <c r="BJ1114" i="49"/>
  <c r="BI1114" i="49"/>
  <c r="BH1114" i="49"/>
  <c r="BG1114" i="49"/>
  <c r="BF1114" i="49"/>
  <c r="BE1114" i="49"/>
  <c r="BD1114" i="49"/>
  <c r="BC1114" i="49"/>
  <c r="BB1114" i="49"/>
  <c r="BA1114" i="49"/>
  <c r="AZ1114" i="49"/>
  <c r="AY1114" i="49"/>
  <c r="AX1114" i="49"/>
  <c r="AW1114" i="49"/>
  <c r="AV1114" i="49"/>
  <c r="AU1114" i="49"/>
  <c r="AT1114" i="49"/>
  <c r="AS1114" i="49"/>
  <c r="AR1114" i="49"/>
  <c r="AQ1114" i="49"/>
  <c r="AP1114" i="49"/>
  <c r="AO1114" i="49"/>
  <c r="AN1114" i="49"/>
  <c r="AM1114" i="49"/>
  <c r="AL1114" i="49"/>
  <c r="AK1114" i="49"/>
  <c r="CL1113" i="49"/>
  <c r="CK1113" i="49"/>
  <c r="CJ1113" i="49"/>
  <c r="CI1113" i="49"/>
  <c r="CH1113" i="49"/>
  <c r="CG1113" i="49"/>
  <c r="CF1113" i="49"/>
  <c r="CE1113" i="49"/>
  <c r="CD1113" i="49"/>
  <c r="CC1113" i="49"/>
  <c r="CB1113" i="49"/>
  <c r="CA1113" i="49"/>
  <c r="BZ1113" i="49"/>
  <c r="BY1113" i="49"/>
  <c r="BX1113" i="49"/>
  <c r="BW1113" i="49"/>
  <c r="BV1113" i="49"/>
  <c r="BU1113" i="49"/>
  <c r="BT1113" i="49"/>
  <c r="BS1113" i="49"/>
  <c r="BR1113" i="49"/>
  <c r="BQ1113" i="49"/>
  <c r="BP1113" i="49"/>
  <c r="BO1113" i="49"/>
  <c r="BN1113" i="49"/>
  <c r="BM1113" i="49"/>
  <c r="BL1113" i="49"/>
  <c r="BK1113" i="49"/>
  <c r="BJ1113" i="49"/>
  <c r="BI1113" i="49"/>
  <c r="BH1113" i="49"/>
  <c r="BG1113" i="49"/>
  <c r="BF1113" i="49"/>
  <c r="BE1113" i="49"/>
  <c r="BD1113" i="49"/>
  <c r="BC1113" i="49"/>
  <c r="BB1113" i="49"/>
  <c r="BA1113" i="49"/>
  <c r="AZ1113" i="49"/>
  <c r="AY1113" i="49"/>
  <c r="AX1113" i="49"/>
  <c r="AW1113" i="49"/>
  <c r="AV1113" i="49"/>
  <c r="AU1113" i="49"/>
  <c r="AT1113" i="49"/>
  <c r="AS1113" i="49"/>
  <c r="AR1113" i="49"/>
  <c r="AQ1113" i="49"/>
  <c r="AP1113" i="49"/>
  <c r="AO1113" i="49"/>
  <c r="AN1113" i="49"/>
  <c r="AM1113" i="49"/>
  <c r="AL1113" i="49"/>
  <c r="AK1113" i="49"/>
  <c r="CL1112" i="49"/>
  <c r="CK1112" i="49"/>
  <c r="CJ1112" i="49"/>
  <c r="CI1112" i="49"/>
  <c r="CH1112" i="49"/>
  <c r="CG1112" i="49"/>
  <c r="CF1112" i="49"/>
  <c r="CE1112" i="49"/>
  <c r="CD1112" i="49"/>
  <c r="CC1112" i="49"/>
  <c r="CB1112" i="49"/>
  <c r="CA1112" i="49"/>
  <c r="BZ1112" i="49"/>
  <c r="BY1112" i="49"/>
  <c r="BX1112" i="49"/>
  <c r="BW1112" i="49"/>
  <c r="BV1112" i="49"/>
  <c r="BU1112" i="49"/>
  <c r="BT1112" i="49"/>
  <c r="BS1112" i="49"/>
  <c r="BR1112" i="49"/>
  <c r="BQ1112" i="49"/>
  <c r="BP1112" i="49"/>
  <c r="BO1112" i="49"/>
  <c r="BN1112" i="49"/>
  <c r="BM1112" i="49"/>
  <c r="BL1112" i="49"/>
  <c r="BK1112" i="49"/>
  <c r="BJ1112" i="49"/>
  <c r="BI1112" i="49"/>
  <c r="BH1112" i="49"/>
  <c r="BG1112" i="49"/>
  <c r="BF1112" i="49"/>
  <c r="BE1112" i="49"/>
  <c r="BD1112" i="49"/>
  <c r="BC1112" i="49"/>
  <c r="BB1112" i="49"/>
  <c r="BA1112" i="49"/>
  <c r="AZ1112" i="49"/>
  <c r="AY1112" i="49"/>
  <c r="AX1112" i="49"/>
  <c r="AW1112" i="49"/>
  <c r="AV1112" i="49"/>
  <c r="AU1112" i="49"/>
  <c r="AT1112" i="49"/>
  <c r="AS1112" i="49"/>
  <c r="AR1112" i="49"/>
  <c r="AQ1112" i="49"/>
  <c r="AP1112" i="49"/>
  <c r="AO1112" i="49"/>
  <c r="AN1112" i="49"/>
  <c r="AM1112" i="49"/>
  <c r="AL1112" i="49"/>
  <c r="AK1112" i="49"/>
  <c r="CL1111" i="49"/>
  <c r="CK1111" i="49"/>
  <c r="CJ1111" i="49"/>
  <c r="CI1111" i="49"/>
  <c r="CH1111" i="49"/>
  <c r="CG1111" i="49"/>
  <c r="CF1111" i="49"/>
  <c r="CE1111" i="49"/>
  <c r="CD1111" i="49"/>
  <c r="CC1111" i="49"/>
  <c r="CB1111" i="49"/>
  <c r="CA1111" i="49"/>
  <c r="BZ1111" i="49"/>
  <c r="BY1111" i="49"/>
  <c r="BX1111" i="49"/>
  <c r="BW1111" i="49"/>
  <c r="BV1111" i="49"/>
  <c r="BU1111" i="49"/>
  <c r="BT1111" i="49"/>
  <c r="BS1111" i="49"/>
  <c r="BR1111" i="49"/>
  <c r="BQ1111" i="49"/>
  <c r="BP1111" i="49"/>
  <c r="BO1111" i="49"/>
  <c r="BN1111" i="49"/>
  <c r="BM1111" i="49"/>
  <c r="BL1111" i="49"/>
  <c r="BK1111" i="49"/>
  <c r="BJ1111" i="49"/>
  <c r="BI1111" i="49"/>
  <c r="BH1111" i="49"/>
  <c r="BG1111" i="49"/>
  <c r="BF1111" i="49"/>
  <c r="BE1111" i="49"/>
  <c r="BD1111" i="49"/>
  <c r="BC1111" i="49"/>
  <c r="BB1111" i="49"/>
  <c r="BA1111" i="49"/>
  <c r="AZ1111" i="49"/>
  <c r="AY1111" i="49"/>
  <c r="AX1111" i="49"/>
  <c r="AW1111" i="49"/>
  <c r="AV1111" i="49"/>
  <c r="AU1111" i="49"/>
  <c r="AT1111" i="49"/>
  <c r="AS1111" i="49"/>
  <c r="AR1111" i="49"/>
  <c r="AQ1111" i="49"/>
  <c r="AP1111" i="49"/>
  <c r="AO1111" i="49"/>
  <c r="AN1111" i="49"/>
  <c r="AM1111" i="49"/>
  <c r="AL1111" i="49"/>
  <c r="AK1111" i="49"/>
  <c r="CL1110" i="49"/>
  <c r="CK1110" i="49"/>
  <c r="CJ1110" i="49"/>
  <c r="CI1110" i="49"/>
  <c r="CH1110" i="49"/>
  <c r="CG1110" i="49"/>
  <c r="CF1110" i="49"/>
  <c r="CE1110" i="49"/>
  <c r="CD1110" i="49"/>
  <c r="CC1110" i="49"/>
  <c r="CB1110" i="49"/>
  <c r="CA1110" i="49"/>
  <c r="BZ1110" i="49"/>
  <c r="BY1110" i="49"/>
  <c r="BX1110" i="49"/>
  <c r="BW1110" i="49"/>
  <c r="BV1110" i="49"/>
  <c r="BU1110" i="49"/>
  <c r="BT1110" i="49"/>
  <c r="BS1110" i="49"/>
  <c r="BR1110" i="49"/>
  <c r="BQ1110" i="49"/>
  <c r="BP1110" i="49"/>
  <c r="BO1110" i="49"/>
  <c r="BN1110" i="49"/>
  <c r="BM1110" i="49"/>
  <c r="BL1110" i="49"/>
  <c r="BK1110" i="49"/>
  <c r="BJ1110" i="49"/>
  <c r="BI1110" i="49"/>
  <c r="BH1110" i="49"/>
  <c r="BG1110" i="49"/>
  <c r="BF1110" i="49"/>
  <c r="BE1110" i="49"/>
  <c r="BD1110" i="49"/>
  <c r="BC1110" i="49"/>
  <c r="BB1110" i="49"/>
  <c r="BA1110" i="49"/>
  <c r="AZ1110" i="49"/>
  <c r="AY1110" i="49"/>
  <c r="AX1110" i="49"/>
  <c r="AW1110" i="49"/>
  <c r="AV1110" i="49"/>
  <c r="AU1110" i="49"/>
  <c r="AT1110" i="49"/>
  <c r="AS1110" i="49"/>
  <c r="AR1110" i="49"/>
  <c r="AQ1110" i="49"/>
  <c r="AP1110" i="49"/>
  <c r="AO1110" i="49"/>
  <c r="AN1110" i="49"/>
  <c r="AM1110" i="49"/>
  <c r="AL1110" i="49"/>
  <c r="AK1110" i="49"/>
  <c r="CL1109" i="49"/>
  <c r="CK1109" i="49"/>
  <c r="CJ1109" i="49"/>
  <c r="CI1109" i="49"/>
  <c r="CH1109" i="49"/>
  <c r="CG1109" i="49"/>
  <c r="CG1116" i="49" s="1"/>
  <c r="CF1109" i="49"/>
  <c r="CE1109" i="49"/>
  <c r="CD1109" i="49"/>
  <c r="CC1109" i="49"/>
  <c r="CB1109" i="49"/>
  <c r="CA1109" i="49"/>
  <c r="BZ1109" i="49"/>
  <c r="BY1109" i="49"/>
  <c r="BX1109" i="49"/>
  <c r="BX1116" i="49" s="1"/>
  <c r="BW1109" i="49"/>
  <c r="BV1109" i="49"/>
  <c r="BU1109" i="49"/>
  <c r="BT1109" i="49"/>
  <c r="BS1109" i="49"/>
  <c r="BR1109" i="49"/>
  <c r="BQ1109" i="49"/>
  <c r="BP1109" i="49"/>
  <c r="BO1109" i="49"/>
  <c r="BN1109" i="49"/>
  <c r="BM1109" i="49"/>
  <c r="BL1109" i="49"/>
  <c r="BK1109" i="49"/>
  <c r="BJ1109" i="49"/>
  <c r="BI1109" i="49"/>
  <c r="BI1116" i="49" s="1"/>
  <c r="BH1109" i="49"/>
  <c r="BG1109" i="49"/>
  <c r="BF1109" i="49"/>
  <c r="BE1109" i="49"/>
  <c r="BD1109" i="49"/>
  <c r="BC1109" i="49"/>
  <c r="BB1109" i="49"/>
  <c r="BA1109" i="49"/>
  <c r="AZ1109" i="49"/>
  <c r="AZ1116" i="49" s="1"/>
  <c r="AY1109" i="49"/>
  <c r="AX1109" i="49"/>
  <c r="AW1109" i="49"/>
  <c r="AV1109" i="49"/>
  <c r="AU1109" i="49"/>
  <c r="AT1109" i="49"/>
  <c r="AS1109" i="49"/>
  <c r="AR1109" i="49"/>
  <c r="AQ1109" i="49"/>
  <c r="AP1109" i="49"/>
  <c r="AO1109" i="49"/>
  <c r="AN1109" i="49"/>
  <c r="AM1109" i="49"/>
  <c r="AL1109" i="49"/>
  <c r="AK1109" i="49"/>
  <c r="CL1108" i="49"/>
  <c r="CL1116" i="49" s="1"/>
  <c r="CK1108" i="49"/>
  <c r="CJ1108" i="49"/>
  <c r="CI1108" i="49"/>
  <c r="CH1108" i="49"/>
  <c r="CG1108" i="49"/>
  <c r="CF1108" i="49"/>
  <c r="CE1108" i="49"/>
  <c r="CD1108" i="49"/>
  <c r="CD1116" i="49" s="1"/>
  <c r="CC1108" i="49"/>
  <c r="CB1108" i="49"/>
  <c r="CA1108" i="49"/>
  <c r="BZ1108" i="49"/>
  <c r="BY1108" i="49"/>
  <c r="BX1108" i="49"/>
  <c r="BW1108" i="49"/>
  <c r="BV1108" i="49"/>
  <c r="BU1108" i="49"/>
  <c r="BT1108" i="49"/>
  <c r="BS1108" i="49"/>
  <c r="BR1108" i="49"/>
  <c r="BQ1108" i="49"/>
  <c r="BP1108" i="49"/>
  <c r="BO1108" i="49"/>
  <c r="BN1108" i="49"/>
  <c r="BN1116" i="49" s="1"/>
  <c r="BM1108" i="49"/>
  <c r="BL1108" i="49"/>
  <c r="BK1108" i="49"/>
  <c r="BJ1108" i="49"/>
  <c r="BI1108" i="49"/>
  <c r="BH1108" i="49"/>
  <c r="BG1108" i="49"/>
  <c r="BF1108" i="49"/>
  <c r="BF1116" i="49" s="1"/>
  <c r="BE1108" i="49"/>
  <c r="BD1108" i="49"/>
  <c r="BC1108" i="49"/>
  <c r="BB1108" i="49"/>
  <c r="BA1108" i="49"/>
  <c r="AZ1108" i="49"/>
  <c r="AY1108" i="49"/>
  <c r="AX1108" i="49"/>
  <c r="AW1108" i="49"/>
  <c r="AV1108" i="49"/>
  <c r="AU1108" i="49"/>
  <c r="AT1108" i="49"/>
  <c r="AS1108" i="49"/>
  <c r="AR1108" i="49"/>
  <c r="AQ1108" i="49"/>
  <c r="AP1108" i="49"/>
  <c r="AO1108" i="49"/>
  <c r="AN1108" i="49"/>
  <c r="AM1108" i="49"/>
  <c r="AL1108" i="49"/>
  <c r="AK1108" i="49"/>
  <c r="CL1107" i="49"/>
  <c r="CK1107" i="49"/>
  <c r="CJ1107" i="49"/>
  <c r="CJ1116" i="49" s="1"/>
  <c r="CI1107" i="49"/>
  <c r="CI1116" i="49" s="1"/>
  <c r="CH1107" i="49"/>
  <c r="CG1107" i="49"/>
  <c r="CF1107" i="49"/>
  <c r="CF1116" i="49" s="1"/>
  <c r="CE1107" i="49"/>
  <c r="CD1107" i="49"/>
  <c r="CC1107" i="49"/>
  <c r="CC1116" i="49" s="1"/>
  <c r="CB1107" i="49"/>
  <c r="CA1107" i="49"/>
  <c r="CA1116" i="49" s="1"/>
  <c r="BZ1107" i="49"/>
  <c r="BZ1116" i="49" s="1"/>
  <c r="BY1107" i="49"/>
  <c r="BX1107" i="49"/>
  <c r="BW1107" i="49"/>
  <c r="BW1116" i="49" s="1"/>
  <c r="BV1107" i="49"/>
  <c r="BU1107" i="49"/>
  <c r="BU1116" i="49" s="1"/>
  <c r="BT1107" i="49"/>
  <c r="BT1116" i="49" s="1"/>
  <c r="BS1107" i="49"/>
  <c r="BR1107" i="49"/>
  <c r="BR1116" i="49" s="1"/>
  <c r="BQ1107" i="49"/>
  <c r="BQ1116" i="49" s="1"/>
  <c r="BP1107" i="49"/>
  <c r="BO1107" i="49"/>
  <c r="BO1116" i="49" s="1"/>
  <c r="BN1107" i="49"/>
  <c r="BM1107" i="49"/>
  <c r="BL1107" i="49"/>
  <c r="BL1116" i="49" s="1"/>
  <c r="BK1107" i="49"/>
  <c r="BK1116" i="49" s="1"/>
  <c r="BJ1107" i="49"/>
  <c r="BI1107" i="49"/>
  <c r="BH1107" i="49"/>
  <c r="BH1116" i="49" s="1"/>
  <c r="BG1107" i="49"/>
  <c r="BF1107" i="49"/>
  <c r="BE1107" i="49"/>
  <c r="BE1116" i="49" s="1"/>
  <c r="BD1107" i="49"/>
  <c r="BC1107" i="49"/>
  <c r="BC1116" i="49" s="1"/>
  <c r="BB1107" i="49"/>
  <c r="BB1116" i="49" s="1"/>
  <c r="BA1107" i="49"/>
  <c r="AZ1107" i="49"/>
  <c r="AY1107" i="49"/>
  <c r="AY1116" i="49" s="1"/>
  <c r="AX1107" i="49"/>
  <c r="AW1107" i="49"/>
  <c r="AW1116" i="49" s="1"/>
  <c r="AV1107" i="49"/>
  <c r="AV1116" i="49" s="1"/>
  <c r="AU1107" i="49"/>
  <c r="AT1107" i="49"/>
  <c r="AT1116" i="49" s="1"/>
  <c r="AS1107" i="49"/>
  <c r="AR1107" i="49"/>
  <c r="AQ1107" i="49"/>
  <c r="AP1107" i="49"/>
  <c r="AO1107" i="49"/>
  <c r="AN1107" i="49"/>
  <c r="AM1107" i="49"/>
  <c r="AL1107" i="49"/>
  <c r="AK1107" i="49"/>
  <c r="AS1106" i="49"/>
  <c r="AR1106" i="49"/>
  <c r="AQ1106" i="49"/>
  <c r="AP1106" i="49"/>
  <c r="AO1106" i="49"/>
  <c r="AN1106" i="49"/>
  <c r="AM1106" i="49"/>
  <c r="AL1106" i="49"/>
  <c r="AK1106" i="49"/>
  <c r="AS1105" i="49"/>
  <c r="AR1105" i="49"/>
  <c r="AQ1105" i="49"/>
  <c r="AP1105" i="49"/>
  <c r="AO1105" i="49"/>
  <c r="AN1105" i="49"/>
  <c r="AM1105" i="49"/>
  <c r="AL1105" i="49"/>
  <c r="AK1105" i="49"/>
  <c r="AS1104" i="49"/>
  <c r="AR1104" i="49"/>
  <c r="AQ1104" i="49"/>
  <c r="AP1104" i="49"/>
  <c r="AO1104" i="49"/>
  <c r="AN1104" i="49"/>
  <c r="AM1104" i="49"/>
  <c r="AL1104" i="49"/>
  <c r="AK1104" i="49"/>
  <c r="AS1103" i="49"/>
  <c r="AR1103" i="49"/>
  <c r="AQ1103" i="49"/>
  <c r="AP1103" i="49"/>
  <c r="AO1103" i="49"/>
  <c r="AN1103" i="49"/>
  <c r="AM1103" i="49"/>
  <c r="AL1103" i="49"/>
  <c r="AK1103" i="49"/>
  <c r="AS1102" i="49"/>
  <c r="AR1102" i="49"/>
  <c r="AQ1102" i="49"/>
  <c r="AP1102" i="49"/>
  <c r="AO1102" i="49"/>
  <c r="AN1102" i="49"/>
  <c r="AM1102" i="49"/>
  <c r="AL1102" i="49"/>
  <c r="AK1102" i="49"/>
  <c r="AS1101" i="49"/>
  <c r="AR1101" i="49"/>
  <c r="AQ1101" i="49"/>
  <c r="AP1101" i="49"/>
  <c r="AO1101" i="49"/>
  <c r="AN1101" i="49"/>
  <c r="AM1101" i="49"/>
  <c r="AL1101" i="49"/>
  <c r="AK1101" i="49"/>
  <c r="AS1100" i="49"/>
  <c r="AR1100" i="49"/>
  <c r="AQ1100" i="49"/>
  <c r="AP1100" i="49"/>
  <c r="AO1100" i="49"/>
  <c r="AN1100" i="49"/>
  <c r="AM1100" i="49"/>
  <c r="AL1100" i="49"/>
  <c r="AK1100" i="49"/>
  <c r="AS1099" i="49"/>
  <c r="AR1099" i="49"/>
  <c r="AQ1099" i="49"/>
  <c r="AP1099" i="49"/>
  <c r="AO1099" i="49"/>
  <c r="AN1099" i="49"/>
  <c r="AN1262" i="49" s="1"/>
  <c r="AM1099" i="49"/>
  <c r="AL1099" i="49"/>
  <c r="AK1099" i="49"/>
  <c r="AS1098" i="49"/>
  <c r="AR1098" i="49"/>
  <c r="AQ1098" i="49"/>
  <c r="AP1098" i="49"/>
  <c r="AO1098" i="49"/>
  <c r="AN1098" i="49"/>
  <c r="AM1098" i="49"/>
  <c r="AL1098" i="49"/>
  <c r="AK1098" i="49"/>
  <c r="AS1097" i="49"/>
  <c r="AS1262" i="49" s="1"/>
  <c r="AR1097" i="49"/>
  <c r="AQ1097" i="49"/>
  <c r="AQ1262" i="49" s="1"/>
  <c r="AP1097" i="49"/>
  <c r="AP1262" i="49" s="1"/>
  <c r="AO1097" i="49"/>
  <c r="AN1097" i="49"/>
  <c r="AM1097" i="49"/>
  <c r="AM1262" i="49" s="1"/>
  <c r="AL1097" i="49"/>
  <c r="AK1097" i="49"/>
  <c r="AK1262" i="49" s="1"/>
  <c r="AY1089" i="49"/>
  <c r="AX1089" i="49"/>
  <c r="AW1089" i="49"/>
  <c r="AV1089" i="49"/>
  <c r="AU1089" i="49"/>
  <c r="AT1089" i="49"/>
  <c r="AS1089" i="49"/>
  <c r="AR1089" i="49"/>
  <c r="AQ1089" i="49"/>
  <c r="AP1089" i="49"/>
  <c r="AO1089" i="49"/>
  <c r="AN1089" i="49"/>
  <c r="AM1089" i="49"/>
  <c r="AL1089" i="49"/>
  <c r="AK1089" i="49"/>
  <c r="AY1088" i="49"/>
  <c r="AX1088" i="49"/>
  <c r="AW1088" i="49"/>
  <c r="AV1088" i="49"/>
  <c r="AU1088" i="49"/>
  <c r="AT1088" i="49"/>
  <c r="AS1088" i="49"/>
  <c r="AR1088" i="49"/>
  <c r="AQ1088" i="49"/>
  <c r="AP1088" i="49"/>
  <c r="AO1088" i="49"/>
  <c r="AN1088" i="49"/>
  <c r="AM1088" i="49"/>
  <c r="AL1088" i="49"/>
  <c r="AK1088" i="49"/>
  <c r="AY1087" i="49"/>
  <c r="AX1087" i="49"/>
  <c r="AW1087" i="49"/>
  <c r="AV1087" i="49"/>
  <c r="AU1087" i="49"/>
  <c r="AT1087" i="49"/>
  <c r="AS1087" i="49"/>
  <c r="AR1087" i="49"/>
  <c r="AQ1087" i="49"/>
  <c r="AP1087" i="49"/>
  <c r="AO1087" i="49"/>
  <c r="AN1087" i="49"/>
  <c r="AM1087" i="49"/>
  <c r="AL1087" i="49"/>
  <c r="AK1087" i="49"/>
  <c r="AY1086" i="49"/>
  <c r="AX1086" i="49"/>
  <c r="AW1086" i="49"/>
  <c r="AV1086" i="49"/>
  <c r="AU1086" i="49"/>
  <c r="AT1086" i="49"/>
  <c r="AS1086" i="49"/>
  <c r="AR1086" i="49"/>
  <c r="AQ1086" i="49"/>
  <c r="AP1086" i="49"/>
  <c r="AO1086" i="49"/>
  <c r="AN1086" i="49"/>
  <c r="AM1086" i="49"/>
  <c r="AL1086" i="49"/>
  <c r="AK1086" i="49"/>
  <c r="AY1085" i="49"/>
  <c r="AX1085" i="49"/>
  <c r="AW1085" i="49"/>
  <c r="AV1085" i="49"/>
  <c r="AU1085" i="49"/>
  <c r="AT1085" i="49"/>
  <c r="AS1085" i="49"/>
  <c r="AR1085" i="49"/>
  <c r="AQ1085" i="49"/>
  <c r="AP1085" i="49"/>
  <c r="AO1085" i="49"/>
  <c r="AN1085" i="49"/>
  <c r="AM1085" i="49"/>
  <c r="AL1085" i="49"/>
  <c r="AK1085" i="49"/>
  <c r="AY1084" i="49"/>
  <c r="AX1084" i="49"/>
  <c r="AW1084" i="49"/>
  <c r="AV1084" i="49"/>
  <c r="AU1084" i="49"/>
  <c r="AT1084" i="49"/>
  <c r="AS1084" i="49"/>
  <c r="AR1084" i="49"/>
  <c r="AQ1084" i="49"/>
  <c r="AP1084" i="49"/>
  <c r="AO1084" i="49"/>
  <c r="AN1084" i="49"/>
  <c r="AM1084" i="49"/>
  <c r="AL1084" i="49"/>
  <c r="AK1084" i="49"/>
  <c r="AY1083" i="49"/>
  <c r="AX1083" i="49"/>
  <c r="AW1083" i="49"/>
  <c r="AV1083" i="49"/>
  <c r="AU1083" i="49"/>
  <c r="AT1083" i="49"/>
  <c r="AS1083" i="49"/>
  <c r="AR1083" i="49"/>
  <c r="AQ1083" i="49"/>
  <c r="AP1083" i="49"/>
  <c r="AO1083" i="49"/>
  <c r="AN1083" i="49"/>
  <c r="AM1083" i="49"/>
  <c r="AL1083" i="49"/>
  <c r="AK1083" i="49"/>
  <c r="AY1082" i="49"/>
  <c r="AX1082" i="49"/>
  <c r="AW1082" i="49"/>
  <c r="AV1082" i="49"/>
  <c r="AU1082" i="49"/>
  <c r="AT1082" i="49"/>
  <c r="AS1082" i="49"/>
  <c r="AR1082" i="49"/>
  <c r="AQ1082" i="49"/>
  <c r="AP1082" i="49"/>
  <c r="AO1082" i="49"/>
  <c r="AN1082" i="49"/>
  <c r="AM1082" i="49"/>
  <c r="AL1082" i="49"/>
  <c r="AK1082" i="49"/>
  <c r="AY1081" i="49"/>
  <c r="AX1081" i="49"/>
  <c r="AW1081" i="49"/>
  <c r="AV1081" i="49"/>
  <c r="AU1081" i="49"/>
  <c r="AT1081" i="49"/>
  <c r="AS1081" i="49"/>
  <c r="AR1081" i="49"/>
  <c r="AQ1081" i="49"/>
  <c r="AP1081" i="49"/>
  <c r="AO1081" i="49"/>
  <c r="AN1081" i="49"/>
  <c r="AM1081" i="49"/>
  <c r="AL1081" i="49"/>
  <c r="AK1081" i="49"/>
  <c r="AY1080" i="49"/>
  <c r="AX1080" i="49"/>
  <c r="AW1080" i="49"/>
  <c r="AV1080" i="49"/>
  <c r="AU1080" i="49"/>
  <c r="AT1080" i="49"/>
  <c r="AS1080" i="49"/>
  <c r="AR1080" i="49"/>
  <c r="AQ1080" i="49"/>
  <c r="AP1080" i="49"/>
  <c r="AO1080" i="49"/>
  <c r="AN1080" i="49"/>
  <c r="AM1080" i="49"/>
  <c r="AL1080" i="49"/>
  <c r="AK1080" i="49"/>
  <c r="AY1079" i="49"/>
  <c r="AX1079" i="49"/>
  <c r="AW1079" i="49"/>
  <c r="AV1079" i="49"/>
  <c r="AU1079" i="49"/>
  <c r="AT1079" i="49"/>
  <c r="AS1079" i="49"/>
  <c r="AR1079" i="49"/>
  <c r="AQ1079" i="49"/>
  <c r="AP1079" i="49"/>
  <c r="AO1079" i="49"/>
  <c r="AN1079" i="49"/>
  <c r="AM1079" i="49"/>
  <c r="AL1079" i="49"/>
  <c r="AK1079" i="49"/>
  <c r="AY1078" i="49"/>
  <c r="AX1078" i="49"/>
  <c r="AW1078" i="49"/>
  <c r="AV1078" i="49"/>
  <c r="AU1078" i="49"/>
  <c r="AT1078" i="49"/>
  <c r="AS1078" i="49"/>
  <c r="AR1078" i="49"/>
  <c r="AQ1078" i="49"/>
  <c r="AP1078" i="49"/>
  <c r="AO1078" i="49"/>
  <c r="AN1078" i="49"/>
  <c r="AM1078" i="49"/>
  <c r="AL1078" i="49"/>
  <c r="AK1078" i="49"/>
  <c r="AY1077" i="49"/>
  <c r="AX1077" i="49"/>
  <c r="AW1077" i="49"/>
  <c r="AV1077" i="49"/>
  <c r="AU1077" i="49"/>
  <c r="AT1077" i="49"/>
  <c r="AS1077" i="49"/>
  <c r="AR1077" i="49"/>
  <c r="AQ1077" i="49"/>
  <c r="AP1077" i="49"/>
  <c r="AO1077" i="49"/>
  <c r="AN1077" i="49"/>
  <c r="AM1077" i="49"/>
  <c r="AL1077" i="49"/>
  <c r="AK1077" i="49"/>
  <c r="AY1076" i="49"/>
  <c r="AX1076" i="49"/>
  <c r="AW1076" i="49"/>
  <c r="AV1076" i="49"/>
  <c r="AU1076" i="49"/>
  <c r="AT1076" i="49"/>
  <c r="AS1076" i="49"/>
  <c r="AR1076" i="49"/>
  <c r="AQ1076" i="49"/>
  <c r="AP1076" i="49"/>
  <c r="AO1076" i="49"/>
  <c r="AN1076" i="49"/>
  <c r="AM1076" i="49"/>
  <c r="AL1076" i="49"/>
  <c r="AK1076" i="49"/>
  <c r="AY1075" i="49"/>
  <c r="AX1075" i="49"/>
  <c r="AW1075" i="49"/>
  <c r="AV1075" i="49"/>
  <c r="AU1075" i="49"/>
  <c r="AT1075" i="49"/>
  <c r="AS1075" i="49"/>
  <c r="AR1075" i="49"/>
  <c r="AQ1075" i="49"/>
  <c r="AP1075" i="49"/>
  <c r="AO1075" i="49"/>
  <c r="AN1075" i="49"/>
  <c r="AM1075" i="49"/>
  <c r="AL1075" i="49"/>
  <c r="AK1075" i="49"/>
  <c r="AY1074" i="49"/>
  <c r="AX1074" i="49"/>
  <c r="AW1074" i="49"/>
  <c r="AV1074" i="49"/>
  <c r="AU1074" i="49"/>
  <c r="AT1074" i="49"/>
  <c r="AS1074" i="49"/>
  <c r="AR1074" i="49"/>
  <c r="AQ1074" i="49"/>
  <c r="AP1074" i="49"/>
  <c r="AO1074" i="49"/>
  <c r="AN1074" i="49"/>
  <c r="AM1074" i="49"/>
  <c r="AL1074" i="49"/>
  <c r="AK1074" i="49"/>
  <c r="AY1073" i="49"/>
  <c r="AX1073" i="49"/>
  <c r="AW1073" i="49"/>
  <c r="AV1073" i="49"/>
  <c r="AU1073" i="49"/>
  <c r="AT1073" i="49"/>
  <c r="AS1073" i="49"/>
  <c r="AR1073" i="49"/>
  <c r="AQ1073" i="49"/>
  <c r="AP1073" i="49"/>
  <c r="AO1073" i="49"/>
  <c r="AN1073" i="49"/>
  <c r="AM1073" i="49"/>
  <c r="AL1073" i="49"/>
  <c r="AK1073" i="49"/>
  <c r="AY1072" i="49"/>
  <c r="AX1072" i="49"/>
  <c r="AW1072" i="49"/>
  <c r="AV1072" i="49"/>
  <c r="AU1072" i="49"/>
  <c r="AT1072" i="49"/>
  <c r="AS1072" i="49"/>
  <c r="AR1072" i="49"/>
  <c r="AQ1072" i="49"/>
  <c r="AP1072" i="49"/>
  <c r="AO1072" i="49"/>
  <c r="AN1072" i="49"/>
  <c r="AM1072" i="49"/>
  <c r="AL1072" i="49"/>
  <c r="AK1072" i="49"/>
  <c r="AY1071" i="49"/>
  <c r="AX1071" i="49"/>
  <c r="AW1071" i="49"/>
  <c r="AV1071" i="49"/>
  <c r="AU1071" i="49"/>
  <c r="AT1071" i="49"/>
  <c r="AS1071" i="49"/>
  <c r="AR1071" i="49"/>
  <c r="AQ1071" i="49"/>
  <c r="AP1071" i="49"/>
  <c r="AO1071" i="49"/>
  <c r="AN1071" i="49"/>
  <c r="AM1071" i="49"/>
  <c r="AL1071" i="49"/>
  <c r="AK1071" i="49"/>
  <c r="AY1070" i="49"/>
  <c r="AX1070" i="49"/>
  <c r="AW1070" i="49"/>
  <c r="AV1070" i="49"/>
  <c r="AU1070" i="49"/>
  <c r="AT1070" i="49"/>
  <c r="AS1070" i="49"/>
  <c r="AR1070" i="49"/>
  <c r="AQ1070" i="49"/>
  <c r="AP1070" i="49"/>
  <c r="AO1070" i="49"/>
  <c r="AN1070" i="49"/>
  <c r="AM1070" i="49"/>
  <c r="AL1070" i="49"/>
  <c r="AK1070" i="49"/>
  <c r="AY1069" i="49"/>
  <c r="AX1069" i="49"/>
  <c r="AW1069" i="49"/>
  <c r="AV1069" i="49"/>
  <c r="AU1069" i="49"/>
  <c r="AT1069" i="49"/>
  <c r="AS1069" i="49"/>
  <c r="AR1069" i="49"/>
  <c r="AQ1069" i="49"/>
  <c r="AP1069" i="49"/>
  <c r="AO1069" i="49"/>
  <c r="AN1069" i="49"/>
  <c r="AM1069" i="49"/>
  <c r="AL1069" i="49"/>
  <c r="AK1069" i="49"/>
  <c r="AY1068" i="49"/>
  <c r="AX1068" i="49"/>
  <c r="AW1068" i="49"/>
  <c r="AV1068" i="49"/>
  <c r="AU1068" i="49"/>
  <c r="AT1068" i="49"/>
  <c r="AS1068" i="49"/>
  <c r="AR1068" i="49"/>
  <c r="AQ1068" i="49"/>
  <c r="AP1068" i="49"/>
  <c r="AO1068" i="49"/>
  <c r="AN1068" i="49"/>
  <c r="AM1068" i="49"/>
  <c r="AL1068" i="49"/>
  <c r="AK1068" i="49"/>
  <c r="AY1067" i="49"/>
  <c r="AX1067" i="49"/>
  <c r="AW1067" i="49"/>
  <c r="AV1067" i="49"/>
  <c r="AU1067" i="49"/>
  <c r="AT1067" i="49"/>
  <c r="AS1067" i="49"/>
  <c r="AR1067" i="49"/>
  <c r="AQ1067" i="49"/>
  <c r="AP1067" i="49"/>
  <c r="AO1067" i="49"/>
  <c r="AN1067" i="49"/>
  <c r="AM1067" i="49"/>
  <c r="AL1067" i="49"/>
  <c r="AK1067" i="49"/>
  <c r="AY1066" i="49"/>
  <c r="AX1066" i="49"/>
  <c r="AW1066" i="49"/>
  <c r="AV1066" i="49"/>
  <c r="AU1066" i="49"/>
  <c r="AT1066" i="49"/>
  <c r="AS1066" i="49"/>
  <c r="AR1066" i="49"/>
  <c r="AQ1066" i="49"/>
  <c r="AP1066" i="49"/>
  <c r="AO1066" i="49"/>
  <c r="AN1066" i="49"/>
  <c r="AM1066" i="49"/>
  <c r="AL1066" i="49"/>
  <c r="AK1066" i="49"/>
  <c r="AY1065" i="49"/>
  <c r="AX1065" i="49"/>
  <c r="AW1065" i="49"/>
  <c r="AV1065" i="49"/>
  <c r="AU1065" i="49"/>
  <c r="AT1065" i="49"/>
  <c r="AS1065" i="49"/>
  <c r="AR1065" i="49"/>
  <c r="AQ1065" i="49"/>
  <c r="AP1065" i="49"/>
  <c r="AO1065" i="49"/>
  <c r="AN1065" i="49"/>
  <c r="AM1065" i="49"/>
  <c r="AL1065" i="49"/>
  <c r="AK1065" i="49"/>
  <c r="AY1064" i="49"/>
  <c r="AX1064" i="49"/>
  <c r="AW1064" i="49"/>
  <c r="AV1064" i="49"/>
  <c r="AU1064" i="49"/>
  <c r="AT1064" i="49"/>
  <c r="AS1064" i="49"/>
  <c r="AR1064" i="49"/>
  <c r="AQ1064" i="49"/>
  <c r="AP1064" i="49"/>
  <c r="AO1064" i="49"/>
  <c r="AN1064" i="49"/>
  <c r="AM1064" i="49"/>
  <c r="AL1064" i="49"/>
  <c r="AK1064" i="49"/>
  <c r="AY1063" i="49"/>
  <c r="AX1063" i="49"/>
  <c r="AW1063" i="49"/>
  <c r="AV1063" i="49"/>
  <c r="AU1063" i="49"/>
  <c r="AT1063" i="49"/>
  <c r="AS1063" i="49"/>
  <c r="AR1063" i="49"/>
  <c r="AQ1063" i="49"/>
  <c r="AP1063" i="49"/>
  <c r="AO1063" i="49"/>
  <c r="AN1063" i="49"/>
  <c r="AM1063" i="49"/>
  <c r="AL1063" i="49"/>
  <c r="AK1063" i="49"/>
  <c r="AY1062" i="49"/>
  <c r="AX1062" i="49"/>
  <c r="AW1062" i="49"/>
  <c r="AV1062" i="49"/>
  <c r="AU1062" i="49"/>
  <c r="AT1062" i="49"/>
  <c r="AS1062" i="49"/>
  <c r="AR1062" i="49"/>
  <c r="AQ1062" i="49"/>
  <c r="AP1062" i="49"/>
  <c r="AO1062" i="49"/>
  <c r="AN1062" i="49"/>
  <c r="AM1062" i="49"/>
  <c r="AL1062" i="49"/>
  <c r="AK1062" i="49"/>
  <c r="AY1061" i="49"/>
  <c r="AX1061" i="49"/>
  <c r="AW1061" i="49"/>
  <c r="AV1061" i="49"/>
  <c r="AU1061" i="49"/>
  <c r="AT1061" i="49"/>
  <c r="AS1061" i="49"/>
  <c r="AR1061" i="49"/>
  <c r="AQ1061" i="49"/>
  <c r="AP1061" i="49"/>
  <c r="AO1061" i="49"/>
  <c r="AN1061" i="49"/>
  <c r="AM1061" i="49"/>
  <c r="AL1061" i="49"/>
  <c r="AK1061" i="49"/>
  <c r="AY1060" i="49"/>
  <c r="AX1060" i="49"/>
  <c r="AW1060" i="49"/>
  <c r="AV1060" i="49"/>
  <c r="AU1060" i="49"/>
  <c r="AT1060" i="49"/>
  <c r="AS1060" i="49"/>
  <c r="AR1060" i="49"/>
  <c r="AQ1060" i="49"/>
  <c r="AP1060" i="49"/>
  <c r="AO1060" i="49"/>
  <c r="AN1060" i="49"/>
  <c r="AM1060" i="49"/>
  <c r="AL1060" i="49"/>
  <c r="AK1060" i="49"/>
  <c r="AY1059" i="49"/>
  <c r="AX1059" i="49"/>
  <c r="AW1059" i="49"/>
  <c r="AV1059" i="49"/>
  <c r="AU1059" i="49"/>
  <c r="AT1059" i="49"/>
  <c r="AS1059" i="49"/>
  <c r="AR1059" i="49"/>
  <c r="AQ1059" i="49"/>
  <c r="AP1059" i="49"/>
  <c r="AO1059" i="49"/>
  <c r="AN1059" i="49"/>
  <c r="AM1059" i="49"/>
  <c r="AL1059" i="49"/>
  <c r="AK1059" i="49"/>
  <c r="AY1058" i="49"/>
  <c r="AX1058" i="49"/>
  <c r="AW1058" i="49"/>
  <c r="AV1058" i="49"/>
  <c r="AU1058" i="49"/>
  <c r="AT1058" i="49"/>
  <c r="AS1058" i="49"/>
  <c r="AR1058" i="49"/>
  <c r="AQ1058" i="49"/>
  <c r="AP1058" i="49"/>
  <c r="AO1058" i="49"/>
  <c r="AN1058" i="49"/>
  <c r="AM1058" i="49"/>
  <c r="AL1058" i="49"/>
  <c r="AK1058" i="49"/>
  <c r="AY1057" i="49"/>
  <c r="AX1057" i="49"/>
  <c r="AW1057" i="49"/>
  <c r="AV1057" i="49"/>
  <c r="AU1057" i="49"/>
  <c r="AT1057" i="49"/>
  <c r="AS1057" i="49"/>
  <c r="AR1057" i="49"/>
  <c r="AQ1057" i="49"/>
  <c r="AP1057" i="49"/>
  <c r="AO1057" i="49"/>
  <c r="AN1057" i="49"/>
  <c r="AM1057" i="49"/>
  <c r="AL1057" i="49"/>
  <c r="AK1057" i="49"/>
  <c r="AY1056" i="49"/>
  <c r="AX1056" i="49"/>
  <c r="AW1056" i="49"/>
  <c r="AV1056" i="49"/>
  <c r="AU1056" i="49"/>
  <c r="AT1056" i="49"/>
  <c r="AS1056" i="49"/>
  <c r="AR1056" i="49"/>
  <c r="AQ1056" i="49"/>
  <c r="AP1056" i="49"/>
  <c r="AO1056" i="49"/>
  <c r="AN1056" i="49"/>
  <c r="AM1056" i="49"/>
  <c r="AL1056" i="49"/>
  <c r="AK1056" i="49"/>
  <c r="AY1055" i="49"/>
  <c r="AX1055" i="49"/>
  <c r="AW1055" i="49"/>
  <c r="AV1055" i="49"/>
  <c r="AU1055" i="49"/>
  <c r="AT1055" i="49"/>
  <c r="AS1055" i="49"/>
  <c r="AR1055" i="49"/>
  <c r="AQ1055" i="49"/>
  <c r="AP1055" i="49"/>
  <c r="AO1055" i="49"/>
  <c r="AN1055" i="49"/>
  <c r="AM1055" i="49"/>
  <c r="AL1055" i="49"/>
  <c r="AK1055" i="49"/>
  <c r="AY1054" i="49"/>
  <c r="AX1054" i="49"/>
  <c r="AW1054" i="49"/>
  <c r="AV1054" i="49"/>
  <c r="AU1054" i="49"/>
  <c r="AT1054" i="49"/>
  <c r="AS1054" i="49"/>
  <c r="AR1054" i="49"/>
  <c r="AQ1054" i="49"/>
  <c r="AP1054" i="49"/>
  <c r="AO1054" i="49"/>
  <c r="AN1054" i="49"/>
  <c r="AM1054" i="49"/>
  <c r="AL1054" i="49"/>
  <c r="AK1054" i="49"/>
  <c r="AY1053" i="49"/>
  <c r="AX1053" i="49"/>
  <c r="AW1053" i="49"/>
  <c r="AV1053" i="49"/>
  <c r="AU1053" i="49"/>
  <c r="AT1053" i="49"/>
  <c r="AS1053" i="49"/>
  <c r="AR1053" i="49"/>
  <c r="AQ1053" i="49"/>
  <c r="AP1053" i="49"/>
  <c r="AO1053" i="49"/>
  <c r="AN1053" i="49"/>
  <c r="AM1053" i="49"/>
  <c r="AL1053" i="49"/>
  <c r="AK1053" i="49"/>
  <c r="AY1052" i="49"/>
  <c r="AX1052" i="49"/>
  <c r="AW1052" i="49"/>
  <c r="AV1052" i="49"/>
  <c r="AU1052" i="49"/>
  <c r="AT1052" i="49"/>
  <c r="AS1052" i="49"/>
  <c r="AR1052" i="49"/>
  <c r="AQ1052" i="49"/>
  <c r="AP1052" i="49"/>
  <c r="AO1052" i="49"/>
  <c r="AN1052" i="49"/>
  <c r="AM1052" i="49"/>
  <c r="AL1052" i="49"/>
  <c r="AK1052" i="49"/>
  <c r="AY1051" i="49"/>
  <c r="AX1051" i="49"/>
  <c r="AW1051" i="49"/>
  <c r="AV1051" i="49"/>
  <c r="AU1051" i="49"/>
  <c r="AT1051" i="49"/>
  <c r="AS1051" i="49"/>
  <c r="AR1051" i="49"/>
  <c r="AQ1051" i="49"/>
  <c r="AP1051" i="49"/>
  <c r="AO1051" i="49"/>
  <c r="AN1051" i="49"/>
  <c r="AM1051" i="49"/>
  <c r="AL1051" i="49"/>
  <c r="AK1051" i="49"/>
  <c r="AY1050" i="49"/>
  <c r="AX1050" i="49"/>
  <c r="AW1050" i="49"/>
  <c r="AV1050" i="49"/>
  <c r="AU1050" i="49"/>
  <c r="AT1050" i="49"/>
  <c r="AS1050" i="49"/>
  <c r="AR1050" i="49"/>
  <c r="AQ1050" i="49"/>
  <c r="AP1050" i="49"/>
  <c r="AO1050" i="49"/>
  <c r="AN1050" i="49"/>
  <c r="AM1050" i="49"/>
  <c r="AL1050" i="49"/>
  <c r="AK1050" i="49"/>
  <c r="AY1049" i="49"/>
  <c r="AX1049" i="49"/>
  <c r="AW1049" i="49"/>
  <c r="AV1049" i="49"/>
  <c r="AU1049" i="49"/>
  <c r="AT1049" i="49"/>
  <c r="AS1049" i="49"/>
  <c r="AR1049" i="49"/>
  <c r="AQ1049" i="49"/>
  <c r="AP1049" i="49"/>
  <c r="AO1049" i="49"/>
  <c r="AN1049" i="49"/>
  <c r="AM1049" i="49"/>
  <c r="AL1049" i="49"/>
  <c r="AK1049" i="49"/>
  <c r="AY1048" i="49"/>
  <c r="AX1048" i="49"/>
  <c r="AW1048" i="49"/>
  <c r="AV1048" i="49"/>
  <c r="AU1048" i="49"/>
  <c r="AT1048" i="49"/>
  <c r="AS1048" i="49"/>
  <c r="AR1048" i="49"/>
  <c r="AQ1048" i="49"/>
  <c r="AP1048" i="49"/>
  <c r="AO1048" i="49"/>
  <c r="AN1048" i="49"/>
  <c r="AM1048" i="49"/>
  <c r="AL1048" i="49"/>
  <c r="AK1048" i="49"/>
  <c r="AY1047" i="49"/>
  <c r="AX1047" i="49"/>
  <c r="AW1047" i="49"/>
  <c r="AV1047" i="49"/>
  <c r="AU1047" i="49"/>
  <c r="AT1047" i="49"/>
  <c r="AS1047" i="49"/>
  <c r="AR1047" i="49"/>
  <c r="AQ1047" i="49"/>
  <c r="AP1047" i="49"/>
  <c r="AO1047" i="49"/>
  <c r="AN1047" i="49"/>
  <c r="AM1047" i="49"/>
  <c r="AL1047" i="49"/>
  <c r="AK1047" i="49"/>
  <c r="AY1046" i="49"/>
  <c r="AX1046" i="49"/>
  <c r="AW1046" i="49"/>
  <c r="AV1046" i="49"/>
  <c r="AU1046" i="49"/>
  <c r="AT1046" i="49"/>
  <c r="AS1046" i="49"/>
  <c r="AR1046" i="49"/>
  <c r="AQ1046" i="49"/>
  <c r="AP1046" i="49"/>
  <c r="AO1046" i="49"/>
  <c r="AN1046" i="49"/>
  <c r="AM1046" i="49"/>
  <c r="AL1046" i="49"/>
  <c r="AK1046" i="49"/>
  <c r="AY1045" i="49"/>
  <c r="AX1045" i="49"/>
  <c r="AW1045" i="49"/>
  <c r="AV1045" i="49"/>
  <c r="AU1045" i="49"/>
  <c r="AT1045" i="49"/>
  <c r="AS1045" i="49"/>
  <c r="AR1045" i="49"/>
  <c r="AQ1045" i="49"/>
  <c r="AP1045" i="49"/>
  <c r="AO1045" i="49"/>
  <c r="AN1045" i="49"/>
  <c r="AM1045" i="49"/>
  <c r="AL1045" i="49"/>
  <c r="AK1045" i="49"/>
  <c r="AY1044" i="49"/>
  <c r="AX1044" i="49"/>
  <c r="AW1044" i="49"/>
  <c r="AV1044" i="49"/>
  <c r="AU1044" i="49"/>
  <c r="AT1044" i="49"/>
  <c r="AS1044" i="49"/>
  <c r="AR1044" i="49"/>
  <c r="AQ1044" i="49"/>
  <c r="AP1044" i="49"/>
  <c r="AO1044" i="49"/>
  <c r="AN1044" i="49"/>
  <c r="AM1044" i="49"/>
  <c r="AL1044" i="49"/>
  <c r="AK1044" i="49"/>
  <c r="AY1043" i="49"/>
  <c r="AX1043" i="49"/>
  <c r="AW1043" i="49"/>
  <c r="AV1043" i="49"/>
  <c r="AU1043" i="49"/>
  <c r="AT1043" i="49"/>
  <c r="AS1043" i="49"/>
  <c r="AR1043" i="49"/>
  <c r="AQ1043" i="49"/>
  <c r="AP1043" i="49"/>
  <c r="AO1043" i="49"/>
  <c r="AN1043" i="49"/>
  <c r="AM1043" i="49"/>
  <c r="AL1043" i="49"/>
  <c r="AK1043" i="49"/>
  <c r="AY1042" i="49"/>
  <c r="AX1042" i="49"/>
  <c r="AW1042" i="49"/>
  <c r="AV1042" i="49"/>
  <c r="AU1042" i="49"/>
  <c r="AT1042" i="49"/>
  <c r="AS1042" i="49"/>
  <c r="AR1042" i="49"/>
  <c r="AQ1042" i="49"/>
  <c r="AP1042" i="49"/>
  <c r="AO1042" i="49"/>
  <c r="AN1042" i="49"/>
  <c r="AM1042" i="49"/>
  <c r="AL1042" i="49"/>
  <c r="AK1042" i="49"/>
  <c r="AY1041" i="49"/>
  <c r="AX1041" i="49"/>
  <c r="AW1041" i="49"/>
  <c r="AV1041" i="49"/>
  <c r="AU1041" i="49"/>
  <c r="AT1041" i="49"/>
  <c r="AS1041" i="49"/>
  <c r="AR1041" i="49"/>
  <c r="AQ1041" i="49"/>
  <c r="AP1041" i="49"/>
  <c r="AO1041" i="49"/>
  <c r="AN1041" i="49"/>
  <c r="AM1041" i="49"/>
  <c r="AL1041" i="49"/>
  <c r="AK1041" i="49"/>
  <c r="AY1040" i="49"/>
  <c r="AX1040" i="49"/>
  <c r="AW1040" i="49"/>
  <c r="AV1040" i="49"/>
  <c r="AU1040" i="49"/>
  <c r="AT1040" i="49"/>
  <c r="AS1040" i="49"/>
  <c r="AR1040" i="49"/>
  <c r="AQ1040" i="49"/>
  <c r="AP1040" i="49"/>
  <c r="AO1040" i="49"/>
  <c r="AN1040" i="49"/>
  <c r="AM1040" i="49"/>
  <c r="AL1040" i="49"/>
  <c r="AK1040" i="49"/>
  <c r="AY1039" i="49"/>
  <c r="AX1039" i="49"/>
  <c r="AW1039" i="49"/>
  <c r="AV1039" i="49"/>
  <c r="AU1039" i="49"/>
  <c r="AT1039" i="49"/>
  <c r="AS1039" i="49"/>
  <c r="AR1039" i="49"/>
  <c r="AQ1039" i="49"/>
  <c r="AP1039" i="49"/>
  <c r="AO1039" i="49"/>
  <c r="AN1039" i="49"/>
  <c r="AM1039" i="49"/>
  <c r="AL1039" i="49"/>
  <c r="AK1039" i="49"/>
  <c r="AY1038" i="49"/>
  <c r="AX1038" i="49"/>
  <c r="AW1038" i="49"/>
  <c r="AV1038" i="49"/>
  <c r="AU1038" i="49"/>
  <c r="AT1038" i="49"/>
  <c r="AS1038" i="49"/>
  <c r="AR1038" i="49"/>
  <c r="AQ1038" i="49"/>
  <c r="AP1038" i="49"/>
  <c r="AO1038" i="49"/>
  <c r="AN1038" i="49"/>
  <c r="AM1038" i="49"/>
  <c r="AL1038" i="49"/>
  <c r="AK1038" i="49"/>
  <c r="AY1037" i="49"/>
  <c r="AX1037" i="49"/>
  <c r="AW1037" i="49"/>
  <c r="AV1037" i="49"/>
  <c r="AU1037" i="49"/>
  <c r="AT1037" i="49"/>
  <c r="AS1037" i="49"/>
  <c r="AR1037" i="49"/>
  <c r="AQ1037" i="49"/>
  <c r="AP1037" i="49"/>
  <c r="AO1037" i="49"/>
  <c r="AN1037" i="49"/>
  <c r="AM1037" i="49"/>
  <c r="AL1037" i="49"/>
  <c r="AK1037" i="49"/>
  <c r="AY1036" i="49"/>
  <c r="AX1036" i="49"/>
  <c r="AW1036" i="49"/>
  <c r="AV1036" i="49"/>
  <c r="AU1036" i="49"/>
  <c r="AT1036" i="49"/>
  <c r="AS1036" i="49"/>
  <c r="AR1036" i="49"/>
  <c r="AQ1036" i="49"/>
  <c r="AP1036" i="49"/>
  <c r="AO1036" i="49"/>
  <c r="AN1036" i="49"/>
  <c r="AM1036" i="49"/>
  <c r="AL1036" i="49"/>
  <c r="AK1036" i="49"/>
  <c r="AY1035" i="49"/>
  <c r="AX1035" i="49"/>
  <c r="AW1035" i="49"/>
  <c r="AV1035" i="49"/>
  <c r="AU1035" i="49"/>
  <c r="AT1035" i="49"/>
  <c r="AS1035" i="49"/>
  <c r="AR1035" i="49"/>
  <c r="AQ1035" i="49"/>
  <c r="AP1035" i="49"/>
  <c r="AO1035" i="49"/>
  <c r="AN1035" i="49"/>
  <c r="AM1035" i="49"/>
  <c r="AL1035" i="49"/>
  <c r="AK1035" i="49"/>
  <c r="AY1034" i="49"/>
  <c r="AX1034" i="49"/>
  <c r="AW1034" i="49"/>
  <c r="AV1034" i="49"/>
  <c r="AU1034" i="49"/>
  <c r="AT1034" i="49"/>
  <c r="AS1034" i="49"/>
  <c r="AR1034" i="49"/>
  <c r="AQ1034" i="49"/>
  <c r="AP1034" i="49"/>
  <c r="AO1034" i="49"/>
  <c r="AN1034" i="49"/>
  <c r="AM1034" i="49"/>
  <c r="AL1034" i="49"/>
  <c r="AK1034" i="49"/>
  <c r="AY1033" i="49"/>
  <c r="AX1033" i="49"/>
  <c r="AW1033" i="49"/>
  <c r="AV1033" i="49"/>
  <c r="AU1033" i="49"/>
  <c r="AT1033" i="49"/>
  <c r="AS1033" i="49"/>
  <c r="AR1033" i="49"/>
  <c r="AQ1033" i="49"/>
  <c r="AP1033" i="49"/>
  <c r="AO1033" i="49"/>
  <c r="AN1033" i="49"/>
  <c r="AM1033" i="49"/>
  <c r="AL1033" i="49"/>
  <c r="AK1033" i="49"/>
  <c r="AY1032" i="49"/>
  <c r="AX1032" i="49"/>
  <c r="AW1032" i="49"/>
  <c r="AV1032" i="49"/>
  <c r="AU1032" i="49"/>
  <c r="AT1032" i="49"/>
  <c r="AS1032" i="49"/>
  <c r="AR1032" i="49"/>
  <c r="AQ1032" i="49"/>
  <c r="AP1032" i="49"/>
  <c r="AO1032" i="49"/>
  <c r="AN1032" i="49"/>
  <c r="AM1032" i="49"/>
  <c r="AL1032" i="49"/>
  <c r="AK1032" i="49"/>
  <c r="AY1031" i="49"/>
  <c r="AX1031" i="49"/>
  <c r="AW1031" i="49"/>
  <c r="AV1031" i="49"/>
  <c r="AU1031" i="49"/>
  <c r="AT1031" i="49"/>
  <c r="AS1031" i="49"/>
  <c r="AR1031" i="49"/>
  <c r="AQ1031" i="49"/>
  <c r="AP1031" i="49"/>
  <c r="AO1031" i="49"/>
  <c r="AN1031" i="49"/>
  <c r="AM1031" i="49"/>
  <c r="AL1031" i="49"/>
  <c r="AK1031" i="49"/>
  <c r="AY1030" i="49"/>
  <c r="AX1030" i="49"/>
  <c r="AW1030" i="49"/>
  <c r="AV1030" i="49"/>
  <c r="AU1030" i="49"/>
  <c r="AT1030" i="49"/>
  <c r="AS1030" i="49"/>
  <c r="AR1030" i="49"/>
  <c r="AQ1030" i="49"/>
  <c r="AP1030" i="49"/>
  <c r="AO1030" i="49"/>
  <c r="AN1030" i="49"/>
  <c r="AM1030" i="49"/>
  <c r="AL1030" i="49"/>
  <c r="AK1030" i="49"/>
  <c r="AY1029" i="49"/>
  <c r="AX1029" i="49"/>
  <c r="AW1029" i="49"/>
  <c r="AV1029" i="49"/>
  <c r="AU1029" i="49"/>
  <c r="AT1029" i="49"/>
  <c r="AS1029" i="49"/>
  <c r="AR1029" i="49"/>
  <c r="AQ1029" i="49"/>
  <c r="AP1029" i="49"/>
  <c r="AO1029" i="49"/>
  <c r="AN1029" i="49"/>
  <c r="AM1029" i="49"/>
  <c r="AL1029" i="49"/>
  <c r="AK1029" i="49"/>
  <c r="AY1028" i="49"/>
  <c r="AX1028" i="49"/>
  <c r="AW1028" i="49"/>
  <c r="AV1028" i="49"/>
  <c r="AU1028" i="49"/>
  <c r="AT1028" i="49"/>
  <c r="AS1028" i="49"/>
  <c r="AR1028" i="49"/>
  <c r="AQ1028" i="49"/>
  <c r="AP1028" i="49"/>
  <c r="AO1028" i="49"/>
  <c r="AN1028" i="49"/>
  <c r="AM1028" i="49"/>
  <c r="AL1028" i="49"/>
  <c r="AK1028" i="49"/>
  <c r="AY1027" i="49"/>
  <c r="AX1027" i="49"/>
  <c r="AW1027" i="49"/>
  <c r="AV1027" i="49"/>
  <c r="AU1027" i="49"/>
  <c r="AT1027" i="49"/>
  <c r="AS1027" i="49"/>
  <c r="AR1027" i="49"/>
  <c r="AQ1027" i="49"/>
  <c r="AP1027" i="49"/>
  <c r="AO1027" i="49"/>
  <c r="AN1027" i="49"/>
  <c r="AM1027" i="49"/>
  <c r="AL1027" i="49"/>
  <c r="AK1027" i="49"/>
  <c r="AY1026" i="49"/>
  <c r="AX1026" i="49"/>
  <c r="AW1026" i="49"/>
  <c r="AV1026" i="49"/>
  <c r="AU1026" i="49"/>
  <c r="AT1026" i="49"/>
  <c r="AS1026" i="49"/>
  <c r="AR1026" i="49"/>
  <c r="AQ1026" i="49"/>
  <c r="AP1026" i="49"/>
  <c r="AO1026" i="49"/>
  <c r="AN1026" i="49"/>
  <c r="AM1026" i="49"/>
  <c r="AL1026" i="49"/>
  <c r="AK1026" i="49"/>
  <c r="AY1025" i="49"/>
  <c r="AX1025" i="49"/>
  <c r="AW1025" i="49"/>
  <c r="AV1025" i="49"/>
  <c r="AU1025" i="49"/>
  <c r="AT1025" i="49"/>
  <c r="AS1025" i="49"/>
  <c r="AR1025" i="49"/>
  <c r="AQ1025" i="49"/>
  <c r="AP1025" i="49"/>
  <c r="AO1025" i="49"/>
  <c r="AN1025" i="49"/>
  <c r="AM1025" i="49"/>
  <c r="AL1025" i="49"/>
  <c r="AK1025" i="49"/>
  <c r="AY1024" i="49"/>
  <c r="AX1024" i="49"/>
  <c r="AW1024" i="49"/>
  <c r="AV1024" i="49"/>
  <c r="AU1024" i="49"/>
  <c r="AT1024" i="49"/>
  <c r="AS1024" i="49"/>
  <c r="AR1024" i="49"/>
  <c r="AQ1024" i="49"/>
  <c r="AP1024" i="49"/>
  <c r="AO1024" i="49"/>
  <c r="AN1024" i="49"/>
  <c r="AM1024" i="49"/>
  <c r="AL1024" i="49"/>
  <c r="AK1024" i="49"/>
  <c r="AY1023" i="49"/>
  <c r="AX1023" i="49"/>
  <c r="AW1023" i="49"/>
  <c r="AV1023" i="49"/>
  <c r="AU1023" i="49"/>
  <c r="AT1023" i="49"/>
  <c r="AS1023" i="49"/>
  <c r="AR1023" i="49"/>
  <c r="AQ1023" i="49"/>
  <c r="AP1023" i="49"/>
  <c r="AO1023" i="49"/>
  <c r="AN1023" i="49"/>
  <c r="AM1023" i="49"/>
  <c r="AL1023" i="49"/>
  <c r="AK1023" i="49"/>
  <c r="AY1022" i="49"/>
  <c r="AX1022" i="49"/>
  <c r="AW1022" i="49"/>
  <c r="AV1022" i="49"/>
  <c r="AU1022" i="49"/>
  <c r="AT1022" i="49"/>
  <c r="AS1022" i="49"/>
  <c r="AR1022" i="49"/>
  <c r="AQ1022" i="49"/>
  <c r="AP1022" i="49"/>
  <c r="AO1022" i="49"/>
  <c r="AN1022" i="49"/>
  <c r="AM1022" i="49"/>
  <c r="AL1022" i="49"/>
  <c r="AK1022" i="49"/>
  <c r="AY1021" i="49"/>
  <c r="AX1021" i="49"/>
  <c r="AW1021" i="49"/>
  <c r="AV1021" i="49"/>
  <c r="AU1021" i="49"/>
  <c r="AT1021" i="49"/>
  <c r="AS1021" i="49"/>
  <c r="AR1021" i="49"/>
  <c r="AQ1021" i="49"/>
  <c r="AP1021" i="49"/>
  <c r="AO1021" i="49"/>
  <c r="AN1021" i="49"/>
  <c r="AM1021" i="49"/>
  <c r="AL1021" i="49"/>
  <c r="AK1021" i="49"/>
  <c r="AY1020" i="49"/>
  <c r="AX1020" i="49"/>
  <c r="AW1020" i="49"/>
  <c r="AV1020" i="49"/>
  <c r="AU1020" i="49"/>
  <c r="AT1020" i="49"/>
  <c r="AS1020" i="49"/>
  <c r="AR1020" i="49"/>
  <c r="AQ1020" i="49"/>
  <c r="AP1020" i="49"/>
  <c r="AO1020" i="49"/>
  <c r="AN1020" i="49"/>
  <c r="AM1020" i="49"/>
  <c r="AL1020" i="49"/>
  <c r="AK1020" i="49"/>
  <c r="AY1019" i="49"/>
  <c r="AX1019" i="49"/>
  <c r="AW1019" i="49"/>
  <c r="AV1019" i="49"/>
  <c r="AU1019" i="49"/>
  <c r="AT1019" i="49"/>
  <c r="AS1019" i="49"/>
  <c r="AR1019" i="49"/>
  <c r="AQ1019" i="49"/>
  <c r="AP1019" i="49"/>
  <c r="AO1019" i="49"/>
  <c r="AN1019" i="49"/>
  <c r="AM1019" i="49"/>
  <c r="AL1019" i="49"/>
  <c r="AK1019" i="49"/>
  <c r="AY1018" i="49"/>
  <c r="AX1018" i="49"/>
  <c r="AW1018" i="49"/>
  <c r="AV1018" i="49"/>
  <c r="AU1018" i="49"/>
  <c r="AT1018" i="49"/>
  <c r="AS1018" i="49"/>
  <c r="AR1018" i="49"/>
  <c r="AQ1018" i="49"/>
  <c r="AP1018" i="49"/>
  <c r="AO1018" i="49"/>
  <c r="AN1018" i="49"/>
  <c r="AM1018" i="49"/>
  <c r="AL1018" i="49"/>
  <c r="AK1018" i="49"/>
  <c r="AY1017" i="49"/>
  <c r="AX1017" i="49"/>
  <c r="AW1017" i="49"/>
  <c r="AV1017" i="49"/>
  <c r="AU1017" i="49"/>
  <c r="AT1017" i="49"/>
  <c r="AS1017" i="49"/>
  <c r="AR1017" i="49"/>
  <c r="AQ1017" i="49"/>
  <c r="AP1017" i="49"/>
  <c r="AO1017" i="49"/>
  <c r="AN1017" i="49"/>
  <c r="AM1017" i="49"/>
  <c r="AL1017" i="49"/>
  <c r="AK1017" i="49"/>
  <c r="AY1016" i="49"/>
  <c r="AX1016" i="49"/>
  <c r="AW1016" i="49"/>
  <c r="AV1016" i="49"/>
  <c r="AU1016" i="49"/>
  <c r="AT1016" i="49"/>
  <c r="AS1016" i="49"/>
  <c r="AR1016" i="49"/>
  <c r="AQ1016" i="49"/>
  <c r="AP1016" i="49"/>
  <c r="AO1016" i="49"/>
  <c r="AN1016" i="49"/>
  <c r="AM1016" i="49"/>
  <c r="AL1016" i="49"/>
  <c r="AK1016" i="49"/>
  <c r="AY1015" i="49"/>
  <c r="AX1015" i="49"/>
  <c r="AW1015" i="49"/>
  <c r="AV1015" i="49"/>
  <c r="AU1015" i="49"/>
  <c r="AT1015" i="49"/>
  <c r="AS1015" i="49"/>
  <c r="AR1015" i="49"/>
  <c r="AQ1015" i="49"/>
  <c r="AP1015" i="49"/>
  <c r="AO1015" i="49"/>
  <c r="AN1015" i="49"/>
  <c r="AM1015" i="49"/>
  <c r="AL1015" i="49"/>
  <c r="AK1015" i="49"/>
  <c r="AY1014" i="49"/>
  <c r="AX1014" i="49"/>
  <c r="AW1014" i="49"/>
  <c r="AV1014" i="49"/>
  <c r="AU1014" i="49"/>
  <c r="AT1014" i="49"/>
  <c r="AS1014" i="49"/>
  <c r="AR1014" i="49"/>
  <c r="AQ1014" i="49"/>
  <c r="AP1014" i="49"/>
  <c r="AO1014" i="49"/>
  <c r="AN1014" i="49"/>
  <c r="AM1014" i="49"/>
  <c r="AL1014" i="49"/>
  <c r="AK1014" i="49"/>
  <c r="AY1013" i="49"/>
  <c r="AX1013" i="49"/>
  <c r="AW1013" i="49"/>
  <c r="AV1013" i="49"/>
  <c r="AU1013" i="49"/>
  <c r="AT1013" i="49"/>
  <c r="AS1013" i="49"/>
  <c r="AR1013" i="49"/>
  <c r="AQ1013" i="49"/>
  <c r="AP1013" i="49"/>
  <c r="AO1013" i="49"/>
  <c r="AN1013" i="49"/>
  <c r="AM1013" i="49"/>
  <c r="AL1013" i="49"/>
  <c r="AK1013" i="49"/>
  <c r="AY1012" i="49"/>
  <c r="AX1012" i="49"/>
  <c r="AW1012" i="49"/>
  <c r="AV1012" i="49"/>
  <c r="AU1012" i="49"/>
  <c r="AT1012" i="49"/>
  <c r="AS1012" i="49"/>
  <c r="AR1012" i="49"/>
  <c r="AQ1012" i="49"/>
  <c r="AP1012" i="49"/>
  <c r="AO1012" i="49"/>
  <c r="AN1012" i="49"/>
  <c r="AM1012" i="49"/>
  <c r="AL1012" i="49"/>
  <c r="AK1012" i="49"/>
  <c r="AY1011" i="49"/>
  <c r="AX1011" i="49"/>
  <c r="AW1011" i="49"/>
  <c r="AV1011" i="49"/>
  <c r="AU1011" i="49"/>
  <c r="AT1011" i="49"/>
  <c r="AS1011" i="49"/>
  <c r="AR1011" i="49"/>
  <c r="AQ1011" i="49"/>
  <c r="AP1011" i="49"/>
  <c r="AO1011" i="49"/>
  <c r="AN1011" i="49"/>
  <c r="AM1011" i="49"/>
  <c r="AL1011" i="49"/>
  <c r="AK1011" i="49"/>
  <c r="AY1010" i="49"/>
  <c r="AX1010" i="49"/>
  <c r="AW1010" i="49"/>
  <c r="AV1010" i="49"/>
  <c r="AU1010" i="49"/>
  <c r="AT1010" i="49"/>
  <c r="AS1010" i="49"/>
  <c r="AR1010" i="49"/>
  <c r="AQ1010" i="49"/>
  <c r="AP1010" i="49"/>
  <c r="AO1010" i="49"/>
  <c r="AN1010" i="49"/>
  <c r="AM1010" i="49"/>
  <c r="AL1010" i="49"/>
  <c r="AK1010" i="49"/>
  <c r="AY1009" i="49"/>
  <c r="AX1009" i="49"/>
  <c r="AW1009" i="49"/>
  <c r="AV1009" i="49"/>
  <c r="AU1009" i="49"/>
  <c r="AT1009" i="49"/>
  <c r="AS1009" i="49"/>
  <c r="AR1009" i="49"/>
  <c r="AQ1009" i="49"/>
  <c r="AP1009" i="49"/>
  <c r="AO1009" i="49"/>
  <c r="AN1009" i="49"/>
  <c r="AM1009" i="49"/>
  <c r="AL1009" i="49"/>
  <c r="AK1009" i="49"/>
  <c r="AY1008" i="49"/>
  <c r="AX1008" i="49"/>
  <c r="AW1008" i="49"/>
  <c r="AV1008" i="49"/>
  <c r="AU1008" i="49"/>
  <c r="AT1008" i="49"/>
  <c r="AS1008" i="49"/>
  <c r="AR1008" i="49"/>
  <c r="AQ1008" i="49"/>
  <c r="AP1008" i="49"/>
  <c r="AO1008" i="49"/>
  <c r="AN1008" i="49"/>
  <c r="AM1008" i="49"/>
  <c r="AL1008" i="49"/>
  <c r="AK1008" i="49"/>
  <c r="AY1007" i="49"/>
  <c r="AX1007" i="49"/>
  <c r="AW1007" i="49"/>
  <c r="AV1007" i="49"/>
  <c r="AU1007" i="49"/>
  <c r="AT1007" i="49"/>
  <c r="AS1007" i="49"/>
  <c r="AR1007" i="49"/>
  <c r="AQ1007" i="49"/>
  <c r="AP1007" i="49"/>
  <c r="AO1007" i="49"/>
  <c r="AN1007" i="49"/>
  <c r="AM1007" i="49"/>
  <c r="AL1007" i="49"/>
  <c r="AK1007" i="49"/>
  <c r="AY1006" i="49"/>
  <c r="AX1006" i="49"/>
  <c r="AW1006" i="49"/>
  <c r="AV1006" i="49"/>
  <c r="AU1006" i="49"/>
  <c r="AT1006" i="49"/>
  <c r="AS1006" i="49"/>
  <c r="AR1006" i="49"/>
  <c r="AQ1006" i="49"/>
  <c r="AP1006" i="49"/>
  <c r="AO1006" i="49"/>
  <c r="AN1006" i="49"/>
  <c r="AM1006" i="49"/>
  <c r="AL1006" i="49"/>
  <c r="AK1006" i="49"/>
  <c r="AY1005" i="49"/>
  <c r="AX1005" i="49"/>
  <c r="AW1005" i="49"/>
  <c r="AV1005" i="49"/>
  <c r="AU1005" i="49"/>
  <c r="AT1005" i="49"/>
  <c r="AS1005" i="49"/>
  <c r="AR1005" i="49"/>
  <c r="AQ1005" i="49"/>
  <c r="AP1005" i="49"/>
  <c r="AO1005" i="49"/>
  <c r="AN1005" i="49"/>
  <c r="AM1005" i="49"/>
  <c r="AL1005" i="49"/>
  <c r="AK1005" i="49"/>
  <c r="AY1004" i="49"/>
  <c r="AX1004" i="49"/>
  <c r="AW1004" i="49"/>
  <c r="AV1004" i="49"/>
  <c r="AU1004" i="49"/>
  <c r="AT1004" i="49"/>
  <c r="AS1004" i="49"/>
  <c r="AR1004" i="49"/>
  <c r="AQ1004" i="49"/>
  <c r="AP1004" i="49"/>
  <c r="AO1004" i="49"/>
  <c r="AN1004" i="49"/>
  <c r="AM1004" i="49"/>
  <c r="AL1004" i="49"/>
  <c r="AK1004" i="49"/>
  <c r="AY1003" i="49"/>
  <c r="AX1003" i="49"/>
  <c r="AW1003" i="49"/>
  <c r="AV1003" i="49"/>
  <c r="AU1003" i="49"/>
  <c r="AT1003" i="49"/>
  <c r="AS1003" i="49"/>
  <c r="AR1003" i="49"/>
  <c r="AQ1003" i="49"/>
  <c r="AP1003" i="49"/>
  <c r="AO1003" i="49"/>
  <c r="AN1003" i="49"/>
  <c r="AM1003" i="49"/>
  <c r="AL1003" i="49"/>
  <c r="AK1003" i="49"/>
  <c r="AY1002" i="49"/>
  <c r="AX1002" i="49"/>
  <c r="AW1002" i="49"/>
  <c r="AV1002" i="49"/>
  <c r="AU1002" i="49"/>
  <c r="AT1002" i="49"/>
  <c r="AS1002" i="49"/>
  <c r="AR1002" i="49"/>
  <c r="AQ1002" i="49"/>
  <c r="AP1002" i="49"/>
  <c r="AO1002" i="49"/>
  <c r="AN1002" i="49"/>
  <c r="AM1002" i="49"/>
  <c r="AL1002" i="49"/>
  <c r="AK1002" i="49"/>
  <c r="AY1001" i="49"/>
  <c r="AX1001" i="49"/>
  <c r="AW1001" i="49"/>
  <c r="AV1001" i="49"/>
  <c r="AU1001" i="49"/>
  <c r="AT1001" i="49"/>
  <c r="AS1001" i="49"/>
  <c r="AR1001" i="49"/>
  <c r="AQ1001" i="49"/>
  <c r="AP1001" i="49"/>
  <c r="AO1001" i="49"/>
  <c r="AN1001" i="49"/>
  <c r="AM1001" i="49"/>
  <c r="AL1001" i="49"/>
  <c r="AK1001" i="49"/>
  <c r="AY1000" i="49"/>
  <c r="AX1000" i="49"/>
  <c r="AW1000" i="49"/>
  <c r="AV1000" i="49"/>
  <c r="AU1000" i="49"/>
  <c r="AT1000" i="49"/>
  <c r="AS1000" i="49"/>
  <c r="AR1000" i="49"/>
  <c r="AQ1000" i="49"/>
  <c r="AP1000" i="49"/>
  <c r="AO1000" i="49"/>
  <c r="AN1000" i="49"/>
  <c r="AM1000" i="49"/>
  <c r="AL1000" i="49"/>
  <c r="AK1000" i="49"/>
  <c r="AY999" i="49"/>
  <c r="AX999" i="49"/>
  <c r="AW999" i="49"/>
  <c r="AV999" i="49"/>
  <c r="AU999" i="49"/>
  <c r="AT999" i="49"/>
  <c r="AS999" i="49"/>
  <c r="AR999" i="49"/>
  <c r="AQ999" i="49"/>
  <c r="AP999" i="49"/>
  <c r="AO999" i="49"/>
  <c r="AN999" i="49"/>
  <c r="AM999" i="49"/>
  <c r="AL999" i="49"/>
  <c r="AK999" i="49"/>
  <c r="AY998" i="49"/>
  <c r="AX998" i="49"/>
  <c r="AW998" i="49"/>
  <c r="AV998" i="49"/>
  <c r="AU998" i="49"/>
  <c r="AT998" i="49"/>
  <c r="AS998" i="49"/>
  <c r="AR998" i="49"/>
  <c r="AQ998" i="49"/>
  <c r="AP998" i="49"/>
  <c r="AO998" i="49"/>
  <c r="AN998" i="49"/>
  <c r="AM998" i="49"/>
  <c r="AL998" i="49"/>
  <c r="AK998" i="49"/>
  <c r="AY997" i="49"/>
  <c r="AX997" i="49"/>
  <c r="AW997" i="49"/>
  <c r="AV997" i="49"/>
  <c r="AU997" i="49"/>
  <c r="AT997" i="49"/>
  <c r="AS997" i="49"/>
  <c r="AR997" i="49"/>
  <c r="AQ997" i="49"/>
  <c r="AP997" i="49"/>
  <c r="AO997" i="49"/>
  <c r="AN997" i="49"/>
  <c r="AM997" i="49"/>
  <c r="AL997" i="49"/>
  <c r="AK997" i="49"/>
  <c r="AY996" i="49"/>
  <c r="AX996" i="49"/>
  <c r="AW996" i="49"/>
  <c r="AV996" i="49"/>
  <c r="AU996" i="49"/>
  <c r="AT996" i="49"/>
  <c r="AS996" i="49"/>
  <c r="AR996" i="49"/>
  <c r="AQ996" i="49"/>
  <c r="AP996" i="49"/>
  <c r="AO996" i="49"/>
  <c r="AN996" i="49"/>
  <c r="AM996" i="49"/>
  <c r="AL996" i="49"/>
  <c r="AK996" i="49"/>
  <c r="AY995" i="49"/>
  <c r="AX995" i="49"/>
  <c r="AW995" i="49"/>
  <c r="AV995" i="49"/>
  <c r="AU995" i="49"/>
  <c r="AT995" i="49"/>
  <c r="AS995" i="49"/>
  <c r="AR995" i="49"/>
  <c r="AQ995" i="49"/>
  <c r="AP995" i="49"/>
  <c r="AO995" i="49"/>
  <c r="AN995" i="49"/>
  <c r="AM995" i="49"/>
  <c r="AL995" i="49"/>
  <c r="AK995" i="49"/>
  <c r="AY994" i="49"/>
  <c r="AX994" i="49"/>
  <c r="AW994" i="49"/>
  <c r="AV994" i="49"/>
  <c r="AU994" i="49"/>
  <c r="AT994" i="49"/>
  <c r="AS994" i="49"/>
  <c r="AR994" i="49"/>
  <c r="AQ994" i="49"/>
  <c r="AP994" i="49"/>
  <c r="AO994" i="49"/>
  <c r="AN994" i="49"/>
  <c r="AM994" i="49"/>
  <c r="AL994" i="49"/>
  <c r="AK994" i="49"/>
  <c r="AY993" i="49"/>
  <c r="AX993" i="49"/>
  <c r="AW993" i="49"/>
  <c r="AV993" i="49"/>
  <c r="AU993" i="49"/>
  <c r="AT993" i="49"/>
  <c r="AS993" i="49"/>
  <c r="AR993" i="49"/>
  <c r="AQ993" i="49"/>
  <c r="AP993" i="49"/>
  <c r="AO993" i="49"/>
  <c r="AN993" i="49"/>
  <c r="AM993" i="49"/>
  <c r="AL993" i="49"/>
  <c r="AK993" i="49"/>
  <c r="AY992" i="49"/>
  <c r="AX992" i="49"/>
  <c r="AW992" i="49"/>
  <c r="AV992" i="49"/>
  <c r="AU992" i="49"/>
  <c r="AT992" i="49"/>
  <c r="AS992" i="49"/>
  <c r="AR992" i="49"/>
  <c r="AQ992" i="49"/>
  <c r="AP992" i="49"/>
  <c r="AO992" i="49"/>
  <c r="AN992" i="49"/>
  <c r="AM992" i="49"/>
  <c r="AL992" i="49"/>
  <c r="AK992" i="49"/>
  <c r="AY991" i="49"/>
  <c r="AX991" i="49"/>
  <c r="AW991" i="49"/>
  <c r="AV991" i="49"/>
  <c r="AU991" i="49"/>
  <c r="AT991" i="49"/>
  <c r="AS991" i="49"/>
  <c r="AR991" i="49"/>
  <c r="AQ991" i="49"/>
  <c r="AP991" i="49"/>
  <c r="AO991" i="49"/>
  <c r="AN991" i="49"/>
  <c r="AM991" i="49"/>
  <c r="AL991" i="49"/>
  <c r="AK991" i="49"/>
  <c r="AY990" i="49"/>
  <c r="AX990" i="49"/>
  <c r="AW990" i="49"/>
  <c r="AV990" i="49"/>
  <c r="AU990" i="49"/>
  <c r="AT990" i="49"/>
  <c r="AS990" i="49"/>
  <c r="AR990" i="49"/>
  <c r="AQ990" i="49"/>
  <c r="AP990" i="49"/>
  <c r="AO990" i="49"/>
  <c r="AN990" i="49"/>
  <c r="AM990" i="49"/>
  <c r="AL990" i="49"/>
  <c r="AK990" i="49"/>
  <c r="AY989" i="49"/>
  <c r="AX989" i="49"/>
  <c r="AW989" i="49"/>
  <c r="AV989" i="49"/>
  <c r="AU989" i="49"/>
  <c r="AT989" i="49"/>
  <c r="AS989" i="49"/>
  <c r="AR989" i="49"/>
  <c r="AQ989" i="49"/>
  <c r="AP989" i="49"/>
  <c r="AO989" i="49"/>
  <c r="AN989" i="49"/>
  <c r="AM989" i="49"/>
  <c r="AL989" i="49"/>
  <c r="AK989" i="49"/>
  <c r="AY988" i="49"/>
  <c r="AX988" i="49"/>
  <c r="AW988" i="49"/>
  <c r="AV988" i="49"/>
  <c r="AU988" i="49"/>
  <c r="AT988" i="49"/>
  <c r="AS988" i="49"/>
  <c r="AR988" i="49"/>
  <c r="AQ988" i="49"/>
  <c r="AP988" i="49"/>
  <c r="AO988" i="49"/>
  <c r="AN988" i="49"/>
  <c r="AM988" i="49"/>
  <c r="AL988" i="49"/>
  <c r="AK988" i="49"/>
  <c r="AY987" i="49"/>
  <c r="AX987" i="49"/>
  <c r="AW987" i="49"/>
  <c r="AV987" i="49"/>
  <c r="AU987" i="49"/>
  <c r="AT987" i="49"/>
  <c r="AS987" i="49"/>
  <c r="AR987" i="49"/>
  <c r="AQ987" i="49"/>
  <c r="AP987" i="49"/>
  <c r="AO987" i="49"/>
  <c r="AN987" i="49"/>
  <c r="AM987" i="49"/>
  <c r="AL987" i="49"/>
  <c r="AK987" i="49"/>
  <c r="AY986" i="49"/>
  <c r="AX986" i="49"/>
  <c r="AW986" i="49"/>
  <c r="AV986" i="49"/>
  <c r="AU986" i="49"/>
  <c r="AT986" i="49"/>
  <c r="AS986" i="49"/>
  <c r="AR986" i="49"/>
  <c r="AQ986" i="49"/>
  <c r="AP986" i="49"/>
  <c r="AO986" i="49"/>
  <c r="AN986" i="49"/>
  <c r="AM986" i="49"/>
  <c r="AL986" i="49"/>
  <c r="AK986" i="49"/>
  <c r="AY985" i="49"/>
  <c r="AX985" i="49"/>
  <c r="AW985" i="49"/>
  <c r="AV985" i="49"/>
  <c r="AU985" i="49"/>
  <c r="AT985" i="49"/>
  <c r="AS985" i="49"/>
  <c r="AR985" i="49"/>
  <c r="AQ985" i="49"/>
  <c r="AP985" i="49"/>
  <c r="AO985" i="49"/>
  <c r="AN985" i="49"/>
  <c r="AM985" i="49"/>
  <c r="AL985" i="49"/>
  <c r="AK985" i="49"/>
  <c r="AY984" i="49"/>
  <c r="AX984" i="49"/>
  <c r="AW984" i="49"/>
  <c r="AV984" i="49"/>
  <c r="AU984" i="49"/>
  <c r="AT984" i="49"/>
  <c r="AS984" i="49"/>
  <c r="AR984" i="49"/>
  <c r="AQ984" i="49"/>
  <c r="AP984" i="49"/>
  <c r="AO984" i="49"/>
  <c r="AN984" i="49"/>
  <c r="AM984" i="49"/>
  <c r="AL984" i="49"/>
  <c r="AK984" i="49"/>
  <c r="AY983" i="49"/>
  <c r="AX983" i="49"/>
  <c r="AW983" i="49"/>
  <c r="AV983" i="49"/>
  <c r="AU983" i="49"/>
  <c r="AT983" i="49"/>
  <c r="AS983" i="49"/>
  <c r="AR983" i="49"/>
  <c r="AQ983" i="49"/>
  <c r="AP983" i="49"/>
  <c r="AO983" i="49"/>
  <c r="AN983" i="49"/>
  <c r="AM983" i="49"/>
  <c r="AL983" i="49"/>
  <c r="AK983" i="49"/>
  <c r="AY982" i="49"/>
  <c r="AX982" i="49"/>
  <c r="AW982" i="49"/>
  <c r="AV982" i="49"/>
  <c r="AU982" i="49"/>
  <c r="AT982" i="49"/>
  <c r="AS982" i="49"/>
  <c r="AR982" i="49"/>
  <c r="AQ982" i="49"/>
  <c r="AP982" i="49"/>
  <c r="AO982" i="49"/>
  <c r="AN982" i="49"/>
  <c r="AM982" i="49"/>
  <c r="AL982" i="49"/>
  <c r="AK982" i="49"/>
  <c r="AY981" i="49"/>
  <c r="AX981" i="49"/>
  <c r="AW981" i="49"/>
  <c r="AV981" i="49"/>
  <c r="AU981" i="49"/>
  <c r="AT981" i="49"/>
  <c r="AS981" i="49"/>
  <c r="AR981" i="49"/>
  <c r="AQ981" i="49"/>
  <c r="AP981" i="49"/>
  <c r="AO981" i="49"/>
  <c r="AN981" i="49"/>
  <c r="AM981" i="49"/>
  <c r="AL981" i="49"/>
  <c r="AK981" i="49"/>
  <c r="AY980" i="49"/>
  <c r="AX980" i="49"/>
  <c r="AW980" i="49"/>
  <c r="AV980" i="49"/>
  <c r="AU980" i="49"/>
  <c r="AT980" i="49"/>
  <c r="AS980" i="49"/>
  <c r="AR980" i="49"/>
  <c r="AQ980" i="49"/>
  <c r="AP980" i="49"/>
  <c r="AO980" i="49"/>
  <c r="AN980" i="49"/>
  <c r="AM980" i="49"/>
  <c r="AL980" i="49"/>
  <c r="AK980" i="49"/>
  <c r="AY979" i="49"/>
  <c r="AX979" i="49"/>
  <c r="AW979" i="49"/>
  <c r="AV979" i="49"/>
  <c r="AU979" i="49"/>
  <c r="AT979" i="49"/>
  <c r="AS979" i="49"/>
  <c r="AR979" i="49"/>
  <c r="AQ979" i="49"/>
  <c r="AP979" i="49"/>
  <c r="AO979" i="49"/>
  <c r="AN979" i="49"/>
  <c r="AM979" i="49"/>
  <c r="AL979" i="49"/>
  <c r="AK979" i="49"/>
  <c r="AY978" i="49"/>
  <c r="AX978" i="49"/>
  <c r="AW978" i="49"/>
  <c r="AV978" i="49"/>
  <c r="AU978" i="49"/>
  <c r="AT978" i="49"/>
  <c r="AS978" i="49"/>
  <c r="AR978" i="49"/>
  <c r="AQ978" i="49"/>
  <c r="AP978" i="49"/>
  <c r="AO978" i="49"/>
  <c r="AN978" i="49"/>
  <c r="AM978" i="49"/>
  <c r="AL978" i="49"/>
  <c r="AK978" i="49"/>
  <c r="AY977" i="49"/>
  <c r="AX977" i="49"/>
  <c r="AW977" i="49"/>
  <c r="AV977" i="49"/>
  <c r="AU977" i="49"/>
  <c r="AT977" i="49"/>
  <c r="AS977" i="49"/>
  <c r="AR977" i="49"/>
  <c r="AQ977" i="49"/>
  <c r="AP977" i="49"/>
  <c r="AO977" i="49"/>
  <c r="AN977" i="49"/>
  <c r="AM977" i="49"/>
  <c r="AL977" i="49"/>
  <c r="AK977" i="49"/>
  <c r="AY976" i="49"/>
  <c r="AX976" i="49"/>
  <c r="AW976" i="49"/>
  <c r="AV976" i="49"/>
  <c r="AU976" i="49"/>
  <c r="AT976" i="49"/>
  <c r="AS976" i="49"/>
  <c r="AR976" i="49"/>
  <c r="AQ976" i="49"/>
  <c r="AP976" i="49"/>
  <c r="AO976" i="49"/>
  <c r="AN976" i="49"/>
  <c r="AM976" i="49"/>
  <c r="AL976" i="49"/>
  <c r="AK976" i="49"/>
  <c r="AY975" i="49"/>
  <c r="AX975" i="49"/>
  <c r="AW975" i="49"/>
  <c r="AV975" i="49"/>
  <c r="AU975" i="49"/>
  <c r="AT975" i="49"/>
  <c r="AS975" i="49"/>
  <c r="AR975" i="49"/>
  <c r="AQ975" i="49"/>
  <c r="AP975" i="49"/>
  <c r="AO975" i="49"/>
  <c r="AN975" i="49"/>
  <c r="AM975" i="49"/>
  <c r="AL975" i="49"/>
  <c r="AK975" i="49"/>
  <c r="AY974" i="49"/>
  <c r="AX974" i="49"/>
  <c r="AW974" i="49"/>
  <c r="AV974" i="49"/>
  <c r="AU974" i="49"/>
  <c r="AT974" i="49"/>
  <c r="AS974" i="49"/>
  <c r="AR974" i="49"/>
  <c r="AQ974" i="49"/>
  <c r="AP974" i="49"/>
  <c r="AO974" i="49"/>
  <c r="AN974" i="49"/>
  <c r="AM974" i="49"/>
  <c r="AL974" i="49"/>
  <c r="AK974" i="49"/>
  <c r="AY973" i="49"/>
  <c r="AX973" i="49"/>
  <c r="AW973" i="49"/>
  <c r="AV973" i="49"/>
  <c r="AU973" i="49"/>
  <c r="AT973" i="49"/>
  <c r="AS973" i="49"/>
  <c r="AR973" i="49"/>
  <c r="AQ973" i="49"/>
  <c r="AP973" i="49"/>
  <c r="AO973" i="49"/>
  <c r="AN973" i="49"/>
  <c r="AM973" i="49"/>
  <c r="AL973" i="49"/>
  <c r="AK973" i="49"/>
  <c r="AY972" i="49"/>
  <c r="AX972" i="49"/>
  <c r="AW972" i="49"/>
  <c r="AV972" i="49"/>
  <c r="AU972" i="49"/>
  <c r="AT972" i="49"/>
  <c r="AS972" i="49"/>
  <c r="AR972" i="49"/>
  <c r="AQ972" i="49"/>
  <c r="AP972" i="49"/>
  <c r="AO972" i="49"/>
  <c r="AN972" i="49"/>
  <c r="AM972" i="49"/>
  <c r="AL972" i="49"/>
  <c r="AK972" i="49"/>
  <c r="AY971" i="49"/>
  <c r="AX971" i="49"/>
  <c r="AW971" i="49"/>
  <c r="AV971" i="49"/>
  <c r="AU971" i="49"/>
  <c r="AT971" i="49"/>
  <c r="AS971" i="49"/>
  <c r="AR971" i="49"/>
  <c r="AQ971" i="49"/>
  <c r="AP971" i="49"/>
  <c r="AO971" i="49"/>
  <c r="AN971" i="49"/>
  <c r="AM971" i="49"/>
  <c r="AL971" i="49"/>
  <c r="AK971" i="49"/>
  <c r="AY970" i="49"/>
  <c r="AX970" i="49"/>
  <c r="AW970" i="49"/>
  <c r="AV970" i="49"/>
  <c r="AU970" i="49"/>
  <c r="AT970" i="49"/>
  <c r="AS970" i="49"/>
  <c r="AR970" i="49"/>
  <c r="AQ970" i="49"/>
  <c r="AP970" i="49"/>
  <c r="AO970" i="49"/>
  <c r="AN970" i="49"/>
  <c r="AM970" i="49"/>
  <c r="AL970" i="49"/>
  <c r="AK970" i="49"/>
  <c r="AY969" i="49"/>
  <c r="AX969" i="49"/>
  <c r="AW969" i="49"/>
  <c r="AV969" i="49"/>
  <c r="AU969" i="49"/>
  <c r="AT969" i="49"/>
  <c r="AS969" i="49"/>
  <c r="AR969" i="49"/>
  <c r="AQ969" i="49"/>
  <c r="AP969" i="49"/>
  <c r="AO969" i="49"/>
  <c r="AN969" i="49"/>
  <c r="AM969" i="49"/>
  <c r="AL969" i="49"/>
  <c r="AK969" i="49"/>
  <c r="AY968" i="49"/>
  <c r="AX968" i="49"/>
  <c r="AW968" i="49"/>
  <c r="AV968" i="49"/>
  <c r="AU968" i="49"/>
  <c r="AT968" i="49"/>
  <c r="AS968" i="49"/>
  <c r="AR968" i="49"/>
  <c r="AQ968" i="49"/>
  <c r="AP968" i="49"/>
  <c r="AO968" i="49"/>
  <c r="AN968" i="49"/>
  <c r="AM968" i="49"/>
  <c r="AL968" i="49"/>
  <c r="AK968" i="49"/>
  <c r="AY967" i="49"/>
  <c r="AX967" i="49"/>
  <c r="AW967" i="49"/>
  <c r="AV967" i="49"/>
  <c r="AU967" i="49"/>
  <c r="AT967" i="49"/>
  <c r="AS967" i="49"/>
  <c r="AR967" i="49"/>
  <c r="AQ967" i="49"/>
  <c r="AP967" i="49"/>
  <c r="AO967" i="49"/>
  <c r="AN967" i="49"/>
  <c r="AM967" i="49"/>
  <c r="AL967" i="49"/>
  <c r="AK967" i="49"/>
  <c r="AY966" i="49"/>
  <c r="AX966" i="49"/>
  <c r="AW966" i="49"/>
  <c r="AV966" i="49"/>
  <c r="AU966" i="49"/>
  <c r="AT966" i="49"/>
  <c r="AS966" i="49"/>
  <c r="AR966" i="49"/>
  <c r="AQ966" i="49"/>
  <c r="AP966" i="49"/>
  <c r="AO966" i="49"/>
  <c r="AN966" i="49"/>
  <c r="AM966" i="49"/>
  <c r="AL966" i="49"/>
  <c r="AK966" i="49"/>
  <c r="AY965" i="49"/>
  <c r="AX965" i="49"/>
  <c r="AW965" i="49"/>
  <c r="AV965" i="49"/>
  <c r="AU965" i="49"/>
  <c r="AT965" i="49"/>
  <c r="AS965" i="49"/>
  <c r="AR965" i="49"/>
  <c r="AQ965" i="49"/>
  <c r="AP965" i="49"/>
  <c r="AO965" i="49"/>
  <c r="AN965" i="49"/>
  <c r="AM965" i="49"/>
  <c r="AL965" i="49"/>
  <c r="AK965" i="49"/>
  <c r="AY964" i="49"/>
  <c r="AX964" i="49"/>
  <c r="AW964" i="49"/>
  <c r="AV964" i="49"/>
  <c r="AU964" i="49"/>
  <c r="AT964" i="49"/>
  <c r="AS964" i="49"/>
  <c r="AR964" i="49"/>
  <c r="AQ964" i="49"/>
  <c r="AP964" i="49"/>
  <c r="AO964" i="49"/>
  <c r="AN964" i="49"/>
  <c r="AM964" i="49"/>
  <c r="AL964" i="49"/>
  <c r="AK964" i="49"/>
  <c r="AY963" i="49"/>
  <c r="AX963" i="49"/>
  <c r="AW963" i="49"/>
  <c r="AV963" i="49"/>
  <c r="AU963" i="49"/>
  <c r="AT963" i="49"/>
  <c r="AS963" i="49"/>
  <c r="AR963" i="49"/>
  <c r="AQ963" i="49"/>
  <c r="AP963" i="49"/>
  <c r="AO963" i="49"/>
  <c r="AN963" i="49"/>
  <c r="AM963" i="49"/>
  <c r="AL963" i="49"/>
  <c r="AK963" i="49"/>
  <c r="AY962" i="49"/>
  <c r="AX962" i="49"/>
  <c r="AW962" i="49"/>
  <c r="AV962" i="49"/>
  <c r="AU962" i="49"/>
  <c r="AT962" i="49"/>
  <c r="AS962" i="49"/>
  <c r="AR962" i="49"/>
  <c r="AQ962" i="49"/>
  <c r="AP962" i="49"/>
  <c r="AO962" i="49"/>
  <c r="AN962" i="49"/>
  <c r="AM962" i="49"/>
  <c r="AL962" i="49"/>
  <c r="AK962" i="49"/>
  <c r="AY961" i="49"/>
  <c r="AX961" i="49"/>
  <c r="AW961" i="49"/>
  <c r="AV961" i="49"/>
  <c r="AU961" i="49"/>
  <c r="AT961" i="49"/>
  <c r="AS961" i="49"/>
  <c r="AR961" i="49"/>
  <c r="AQ961" i="49"/>
  <c r="AP961" i="49"/>
  <c r="AO961" i="49"/>
  <c r="AN961" i="49"/>
  <c r="AM961" i="49"/>
  <c r="AL961" i="49"/>
  <c r="AK961" i="49"/>
  <c r="AY960" i="49"/>
  <c r="AX960" i="49"/>
  <c r="AW960" i="49"/>
  <c r="AV960" i="49"/>
  <c r="AU960" i="49"/>
  <c r="AT960" i="49"/>
  <c r="AS960" i="49"/>
  <c r="AR960" i="49"/>
  <c r="AQ960" i="49"/>
  <c r="AP960" i="49"/>
  <c r="AO960" i="49"/>
  <c r="AN960" i="49"/>
  <c r="AM960" i="49"/>
  <c r="AL960" i="49"/>
  <c r="AK960" i="49"/>
  <c r="AY959" i="49"/>
  <c r="AX959" i="49"/>
  <c r="AW959" i="49"/>
  <c r="AV959" i="49"/>
  <c r="AU959" i="49"/>
  <c r="AT959" i="49"/>
  <c r="AS959" i="49"/>
  <c r="AR959" i="49"/>
  <c r="AQ959" i="49"/>
  <c r="AP959" i="49"/>
  <c r="AO959" i="49"/>
  <c r="AN959" i="49"/>
  <c r="AM959" i="49"/>
  <c r="AL959" i="49"/>
  <c r="AK959" i="49"/>
  <c r="AY958" i="49"/>
  <c r="AX958" i="49"/>
  <c r="AW958" i="49"/>
  <c r="AV958" i="49"/>
  <c r="AU958" i="49"/>
  <c r="AT958" i="49"/>
  <c r="AS958" i="49"/>
  <c r="AR958" i="49"/>
  <c r="AQ958" i="49"/>
  <c r="AP958" i="49"/>
  <c r="AO958" i="49"/>
  <c r="AN958" i="49"/>
  <c r="AM958" i="49"/>
  <c r="AL958" i="49"/>
  <c r="AK958" i="49"/>
  <c r="AY957" i="49"/>
  <c r="AX957" i="49"/>
  <c r="AW957" i="49"/>
  <c r="AV957" i="49"/>
  <c r="AU957" i="49"/>
  <c r="AT957" i="49"/>
  <c r="AS957" i="49"/>
  <c r="AR957" i="49"/>
  <c r="AQ957" i="49"/>
  <c r="AP957" i="49"/>
  <c r="AO957" i="49"/>
  <c r="AN957" i="49"/>
  <c r="AM957" i="49"/>
  <c r="AL957" i="49"/>
  <c r="AK957" i="49"/>
  <c r="AY956" i="49"/>
  <c r="AX956" i="49"/>
  <c r="AW956" i="49"/>
  <c r="AV956" i="49"/>
  <c r="AU956" i="49"/>
  <c r="AT956" i="49"/>
  <c r="AS956" i="49"/>
  <c r="AR956" i="49"/>
  <c r="AQ956" i="49"/>
  <c r="AP956" i="49"/>
  <c r="AO956" i="49"/>
  <c r="AN956" i="49"/>
  <c r="AM956" i="49"/>
  <c r="AL956" i="49"/>
  <c r="AK956" i="49"/>
  <c r="AY955" i="49"/>
  <c r="AX955" i="49"/>
  <c r="AW955" i="49"/>
  <c r="AV955" i="49"/>
  <c r="AU955" i="49"/>
  <c r="AT955" i="49"/>
  <c r="AS955" i="49"/>
  <c r="AR955" i="49"/>
  <c r="AQ955" i="49"/>
  <c r="AP955" i="49"/>
  <c r="AO955" i="49"/>
  <c r="AN955" i="49"/>
  <c r="AM955" i="49"/>
  <c r="AL955" i="49"/>
  <c r="AK955" i="49"/>
  <c r="AY954" i="49"/>
  <c r="AX954" i="49"/>
  <c r="AW954" i="49"/>
  <c r="AV954" i="49"/>
  <c r="AU954" i="49"/>
  <c r="AT954" i="49"/>
  <c r="AS954" i="49"/>
  <c r="AR954" i="49"/>
  <c r="AQ954" i="49"/>
  <c r="AP954" i="49"/>
  <c r="AO954" i="49"/>
  <c r="AN954" i="49"/>
  <c r="AM954" i="49"/>
  <c r="AL954" i="49"/>
  <c r="AK954" i="49"/>
  <c r="AY953" i="49"/>
  <c r="AX953" i="49"/>
  <c r="AW953" i="49"/>
  <c r="AV953" i="49"/>
  <c r="AU953" i="49"/>
  <c r="AT953" i="49"/>
  <c r="AS953" i="49"/>
  <c r="AR953" i="49"/>
  <c r="AQ953" i="49"/>
  <c r="AP953" i="49"/>
  <c r="AO953" i="49"/>
  <c r="AN953" i="49"/>
  <c r="AM953" i="49"/>
  <c r="AL953" i="49"/>
  <c r="AK953" i="49"/>
  <c r="AY952" i="49"/>
  <c r="AX952" i="49"/>
  <c r="AW952" i="49"/>
  <c r="AV952" i="49"/>
  <c r="AU952" i="49"/>
  <c r="AT952" i="49"/>
  <c r="AS952" i="49"/>
  <c r="AR952" i="49"/>
  <c r="AQ952" i="49"/>
  <c r="AP952" i="49"/>
  <c r="AO952" i="49"/>
  <c r="AN952" i="49"/>
  <c r="AM952" i="49"/>
  <c r="AL952" i="49"/>
  <c r="AK952" i="49"/>
  <c r="AY951" i="49"/>
  <c r="AX951" i="49"/>
  <c r="AW951" i="49"/>
  <c r="AV951" i="49"/>
  <c r="AU951" i="49"/>
  <c r="AT951" i="49"/>
  <c r="AS951" i="49"/>
  <c r="AR951" i="49"/>
  <c r="AQ951" i="49"/>
  <c r="AP951" i="49"/>
  <c r="AO951" i="49"/>
  <c r="AN951" i="49"/>
  <c r="AM951" i="49"/>
  <c r="AL951" i="49"/>
  <c r="AK951" i="49"/>
  <c r="AY950" i="49"/>
  <c r="AX950" i="49"/>
  <c r="AW950" i="49"/>
  <c r="AV950" i="49"/>
  <c r="AU950" i="49"/>
  <c r="AT950" i="49"/>
  <c r="AS950" i="49"/>
  <c r="AR950" i="49"/>
  <c r="AQ950" i="49"/>
  <c r="AP950" i="49"/>
  <c r="AO950" i="49"/>
  <c r="AN950" i="49"/>
  <c r="AM950" i="49"/>
  <c r="AL950" i="49"/>
  <c r="AK950" i="49"/>
  <c r="CR949" i="49"/>
  <c r="CQ949" i="49"/>
  <c r="CP949" i="49"/>
  <c r="CO949" i="49"/>
  <c r="CN949" i="49"/>
  <c r="CM949" i="49"/>
  <c r="CL949" i="49"/>
  <c r="CK949" i="49"/>
  <c r="CJ949" i="49"/>
  <c r="CI949" i="49"/>
  <c r="CH949" i="49"/>
  <c r="CG949" i="49"/>
  <c r="CF949" i="49"/>
  <c r="CE949" i="49"/>
  <c r="CD949" i="49"/>
  <c r="CC949" i="49"/>
  <c r="CB949" i="49"/>
  <c r="CA949" i="49"/>
  <c r="BZ949" i="49"/>
  <c r="BY949" i="49"/>
  <c r="BX949" i="49"/>
  <c r="BW949" i="49"/>
  <c r="BV949" i="49"/>
  <c r="BU949" i="49"/>
  <c r="BT949" i="49"/>
  <c r="BS949" i="49"/>
  <c r="BR949" i="49"/>
  <c r="BQ949" i="49"/>
  <c r="BP949" i="49"/>
  <c r="BO949" i="49"/>
  <c r="BN949" i="49"/>
  <c r="BM949" i="49"/>
  <c r="BL949" i="49"/>
  <c r="BK949" i="49"/>
  <c r="BJ949" i="49"/>
  <c r="BI949" i="49"/>
  <c r="BH949" i="49"/>
  <c r="BG949" i="49"/>
  <c r="BF949" i="49"/>
  <c r="BE949" i="49"/>
  <c r="BD949" i="49"/>
  <c r="BC949" i="49"/>
  <c r="BB949" i="49"/>
  <c r="BA949" i="49"/>
  <c r="AZ949" i="49"/>
  <c r="AY949" i="49"/>
  <c r="AX949" i="49"/>
  <c r="AW949" i="49"/>
  <c r="AV949" i="49"/>
  <c r="AU949" i="49"/>
  <c r="AT949" i="49"/>
  <c r="AS949" i="49"/>
  <c r="AR949" i="49"/>
  <c r="AQ949" i="49"/>
  <c r="AP949" i="49"/>
  <c r="AO949" i="49"/>
  <c r="AN949" i="49"/>
  <c r="AM949" i="49"/>
  <c r="AL949" i="49"/>
  <c r="AK949" i="49"/>
  <c r="CR948" i="49"/>
  <c r="CQ948" i="49"/>
  <c r="CP948" i="49"/>
  <c r="CO948" i="49"/>
  <c r="CN948" i="49"/>
  <c r="CM948" i="49"/>
  <c r="CL948" i="49"/>
  <c r="CK948" i="49"/>
  <c r="CJ948" i="49"/>
  <c r="CI948" i="49"/>
  <c r="CH948" i="49"/>
  <c r="CG948" i="49"/>
  <c r="CF948" i="49"/>
  <c r="CE948" i="49"/>
  <c r="CD948" i="49"/>
  <c r="CC948" i="49"/>
  <c r="CB948" i="49"/>
  <c r="CA948" i="49"/>
  <c r="BZ948" i="49"/>
  <c r="BY948" i="49"/>
  <c r="BX948" i="49"/>
  <c r="BW948" i="49"/>
  <c r="BV948" i="49"/>
  <c r="BU948" i="49"/>
  <c r="BT948" i="49"/>
  <c r="BS948" i="49"/>
  <c r="BR948" i="49"/>
  <c r="BQ948" i="49"/>
  <c r="BP948" i="49"/>
  <c r="BO948" i="49"/>
  <c r="BN948" i="49"/>
  <c r="BM948" i="49"/>
  <c r="BL948" i="49"/>
  <c r="BK948" i="49"/>
  <c r="BJ948" i="49"/>
  <c r="BI948" i="49"/>
  <c r="BH948" i="49"/>
  <c r="BG948" i="49"/>
  <c r="BF948" i="49"/>
  <c r="BE948" i="49"/>
  <c r="BD948" i="49"/>
  <c r="BC948" i="49"/>
  <c r="BB948" i="49"/>
  <c r="BA948" i="49"/>
  <c r="AZ948" i="49"/>
  <c r="AY948" i="49"/>
  <c r="AX948" i="49"/>
  <c r="AW948" i="49"/>
  <c r="AV948" i="49"/>
  <c r="AU948" i="49"/>
  <c r="AT948" i="49"/>
  <c r="AS948" i="49"/>
  <c r="AR948" i="49"/>
  <c r="AQ948" i="49"/>
  <c r="AP948" i="49"/>
  <c r="AO948" i="49"/>
  <c r="AN948" i="49"/>
  <c r="AM948" i="49"/>
  <c r="AL948" i="49"/>
  <c r="AK948" i="49"/>
  <c r="CR947" i="49"/>
  <c r="CQ947" i="49"/>
  <c r="CP947" i="49"/>
  <c r="CO947" i="49"/>
  <c r="CN947" i="49"/>
  <c r="CM947" i="49"/>
  <c r="CL947" i="49"/>
  <c r="CK947" i="49"/>
  <c r="CJ947" i="49"/>
  <c r="CI947" i="49"/>
  <c r="CH947" i="49"/>
  <c r="CG947" i="49"/>
  <c r="CF947" i="49"/>
  <c r="CE947" i="49"/>
  <c r="CD947" i="49"/>
  <c r="CC947" i="49"/>
  <c r="CB947" i="49"/>
  <c r="CA947" i="49"/>
  <c r="BZ947" i="49"/>
  <c r="BY947" i="49"/>
  <c r="BX947" i="49"/>
  <c r="BW947" i="49"/>
  <c r="BV947" i="49"/>
  <c r="BU947" i="49"/>
  <c r="BT947" i="49"/>
  <c r="BS947" i="49"/>
  <c r="BR947" i="49"/>
  <c r="BQ947" i="49"/>
  <c r="BP947" i="49"/>
  <c r="BO947" i="49"/>
  <c r="BN947" i="49"/>
  <c r="BM947" i="49"/>
  <c r="BL947" i="49"/>
  <c r="BK947" i="49"/>
  <c r="BJ947" i="49"/>
  <c r="BI947" i="49"/>
  <c r="BH947" i="49"/>
  <c r="BG947" i="49"/>
  <c r="BF947" i="49"/>
  <c r="BE947" i="49"/>
  <c r="BD947" i="49"/>
  <c r="BC947" i="49"/>
  <c r="BB947" i="49"/>
  <c r="BA947" i="49"/>
  <c r="AZ947" i="49"/>
  <c r="AY947" i="49"/>
  <c r="AX947" i="49"/>
  <c r="AW947" i="49"/>
  <c r="AV947" i="49"/>
  <c r="AU947" i="49"/>
  <c r="AT947" i="49"/>
  <c r="AS947" i="49"/>
  <c r="AR947" i="49"/>
  <c r="AQ947" i="49"/>
  <c r="AP947" i="49"/>
  <c r="AO947" i="49"/>
  <c r="AN947" i="49"/>
  <c r="AM947" i="49"/>
  <c r="AL947" i="49"/>
  <c r="AK947" i="49"/>
  <c r="CR946" i="49"/>
  <c r="CQ946" i="49"/>
  <c r="CP946" i="49"/>
  <c r="CO946" i="49"/>
  <c r="CN946" i="49"/>
  <c r="CM946" i="49"/>
  <c r="CL946" i="49"/>
  <c r="CK946" i="49"/>
  <c r="CJ946" i="49"/>
  <c r="CI946" i="49"/>
  <c r="CH946" i="49"/>
  <c r="CG946" i="49"/>
  <c r="CF946" i="49"/>
  <c r="CE946" i="49"/>
  <c r="CD946" i="49"/>
  <c r="CC946" i="49"/>
  <c r="CB946" i="49"/>
  <c r="CA946" i="49"/>
  <c r="BZ946" i="49"/>
  <c r="BY946" i="49"/>
  <c r="BX946" i="49"/>
  <c r="BW946" i="49"/>
  <c r="BV946" i="49"/>
  <c r="BU946" i="49"/>
  <c r="BT946" i="49"/>
  <c r="BS946" i="49"/>
  <c r="BR946" i="49"/>
  <c r="BQ946" i="49"/>
  <c r="BP946" i="49"/>
  <c r="BO946" i="49"/>
  <c r="BN946" i="49"/>
  <c r="BM946" i="49"/>
  <c r="BL946" i="49"/>
  <c r="BK946" i="49"/>
  <c r="BJ946" i="49"/>
  <c r="BI946" i="49"/>
  <c r="BH946" i="49"/>
  <c r="BG946" i="49"/>
  <c r="BF946" i="49"/>
  <c r="BE946" i="49"/>
  <c r="BD946" i="49"/>
  <c r="BC946" i="49"/>
  <c r="BB946" i="49"/>
  <c r="BA946" i="49"/>
  <c r="AZ946" i="49"/>
  <c r="AY946" i="49"/>
  <c r="AX946" i="49"/>
  <c r="AW946" i="49"/>
  <c r="AV946" i="49"/>
  <c r="AU946" i="49"/>
  <c r="AT946" i="49"/>
  <c r="AS946" i="49"/>
  <c r="AR946" i="49"/>
  <c r="AQ946" i="49"/>
  <c r="AP946" i="49"/>
  <c r="AO946" i="49"/>
  <c r="AN946" i="49"/>
  <c r="AM946" i="49"/>
  <c r="AL946" i="49"/>
  <c r="AK946" i="49"/>
  <c r="CR945" i="49"/>
  <c r="CQ945" i="49"/>
  <c r="CP945" i="49"/>
  <c r="CO945" i="49"/>
  <c r="CN945" i="49"/>
  <c r="CM945" i="49"/>
  <c r="CL945" i="49"/>
  <c r="CK945" i="49"/>
  <c r="CJ945" i="49"/>
  <c r="CI945" i="49"/>
  <c r="CH945" i="49"/>
  <c r="CG945" i="49"/>
  <c r="CF945" i="49"/>
  <c r="CE945" i="49"/>
  <c r="CD945" i="49"/>
  <c r="CC945" i="49"/>
  <c r="CB945" i="49"/>
  <c r="CA945" i="49"/>
  <c r="BZ945" i="49"/>
  <c r="BY945" i="49"/>
  <c r="BX945" i="49"/>
  <c r="BW945" i="49"/>
  <c r="BV945" i="49"/>
  <c r="BU945" i="49"/>
  <c r="BU950" i="49" s="1"/>
  <c r="BT945" i="49"/>
  <c r="BS945" i="49"/>
  <c r="BR945" i="49"/>
  <c r="BQ945" i="49"/>
  <c r="BP945" i="49"/>
  <c r="BO945" i="49"/>
  <c r="BN945" i="49"/>
  <c r="BM945" i="49"/>
  <c r="BL945" i="49"/>
  <c r="BK945" i="49"/>
  <c r="BJ945" i="49"/>
  <c r="BI945" i="49"/>
  <c r="BH945" i="49"/>
  <c r="BG945" i="49"/>
  <c r="BF945" i="49"/>
  <c r="BE945" i="49"/>
  <c r="BD945" i="49"/>
  <c r="BC945" i="49"/>
  <c r="BB945" i="49"/>
  <c r="BA945" i="49"/>
  <c r="AZ945" i="49"/>
  <c r="AY945" i="49"/>
  <c r="AX945" i="49"/>
  <c r="AW945" i="49"/>
  <c r="AV945" i="49"/>
  <c r="AU945" i="49"/>
  <c r="AT945" i="49"/>
  <c r="AS945" i="49"/>
  <c r="AR945" i="49"/>
  <c r="AQ945" i="49"/>
  <c r="AP945" i="49"/>
  <c r="AO945" i="49"/>
  <c r="AN945" i="49"/>
  <c r="AM945" i="49"/>
  <c r="AL945" i="49"/>
  <c r="AK945" i="49"/>
  <c r="CR944" i="49"/>
  <c r="CQ944" i="49"/>
  <c r="CP944" i="49"/>
  <c r="CO944" i="49"/>
  <c r="CN944" i="49"/>
  <c r="CM944" i="49"/>
  <c r="CL944" i="49"/>
  <c r="CK944" i="49"/>
  <c r="CJ944" i="49"/>
  <c r="CI944" i="49"/>
  <c r="CH944" i="49"/>
  <c r="CG944" i="49"/>
  <c r="CF944" i="49"/>
  <c r="CE944" i="49"/>
  <c r="CD944" i="49"/>
  <c r="CC944" i="49"/>
  <c r="CB944" i="49"/>
  <c r="CA944" i="49"/>
  <c r="BZ944" i="49"/>
  <c r="BY944" i="49"/>
  <c r="BX944" i="49"/>
  <c r="BW944" i="49"/>
  <c r="BV944" i="49"/>
  <c r="BU944" i="49"/>
  <c r="BT944" i="49"/>
  <c r="BS944" i="49"/>
  <c r="BR944" i="49"/>
  <c r="BQ944" i="49"/>
  <c r="BP944" i="49"/>
  <c r="BO944" i="49"/>
  <c r="BN944" i="49"/>
  <c r="BM944" i="49"/>
  <c r="BL944" i="49"/>
  <c r="BK944" i="49"/>
  <c r="BJ944" i="49"/>
  <c r="BI944" i="49"/>
  <c r="BH944" i="49"/>
  <c r="BG944" i="49"/>
  <c r="BF944" i="49"/>
  <c r="BE944" i="49"/>
  <c r="BD944" i="49"/>
  <c r="BC944" i="49"/>
  <c r="BB944" i="49"/>
  <c r="BA944" i="49"/>
  <c r="AZ944" i="49"/>
  <c r="AY944" i="49"/>
  <c r="AX944" i="49"/>
  <c r="AW944" i="49"/>
  <c r="AV944" i="49"/>
  <c r="AU944" i="49"/>
  <c r="AT944" i="49"/>
  <c r="AS944" i="49"/>
  <c r="AR944" i="49"/>
  <c r="AQ944" i="49"/>
  <c r="AP944" i="49"/>
  <c r="AO944" i="49"/>
  <c r="AN944" i="49"/>
  <c r="AM944" i="49"/>
  <c r="AL944" i="49"/>
  <c r="AK944" i="49"/>
  <c r="CR943" i="49"/>
  <c r="CQ943" i="49"/>
  <c r="CP943" i="49"/>
  <c r="CO943" i="49"/>
  <c r="CN943" i="49"/>
  <c r="CM943" i="49"/>
  <c r="CL943" i="49"/>
  <c r="CK943" i="49"/>
  <c r="CJ943" i="49"/>
  <c r="CI943" i="49"/>
  <c r="CH943" i="49"/>
  <c r="CG943" i="49"/>
  <c r="CG950" i="49" s="1"/>
  <c r="CF943" i="49"/>
  <c r="CE943" i="49"/>
  <c r="CD943" i="49"/>
  <c r="CC943" i="49"/>
  <c r="CB943" i="49"/>
  <c r="CA943" i="49"/>
  <c r="BZ943" i="49"/>
  <c r="BY943" i="49"/>
  <c r="BX943" i="49"/>
  <c r="BW943" i="49"/>
  <c r="BV943" i="49"/>
  <c r="BU943" i="49"/>
  <c r="BT943" i="49"/>
  <c r="BS943" i="49"/>
  <c r="BR943" i="49"/>
  <c r="BQ943" i="49"/>
  <c r="BP943" i="49"/>
  <c r="BO943" i="49"/>
  <c r="BN943" i="49"/>
  <c r="BM943" i="49"/>
  <c r="BL943" i="49"/>
  <c r="BK943" i="49"/>
  <c r="BJ943" i="49"/>
  <c r="BI943" i="49"/>
  <c r="BI950" i="49" s="1"/>
  <c r="BH943" i="49"/>
  <c r="BG943" i="49"/>
  <c r="BF943" i="49"/>
  <c r="BE943" i="49"/>
  <c r="BD943" i="49"/>
  <c r="BC943" i="49"/>
  <c r="BB943" i="49"/>
  <c r="BA943" i="49"/>
  <c r="AZ943" i="49"/>
  <c r="AY943" i="49"/>
  <c r="AX943" i="49"/>
  <c r="AW943" i="49"/>
  <c r="AV943" i="49"/>
  <c r="AU943" i="49"/>
  <c r="AT943" i="49"/>
  <c r="AS943" i="49"/>
  <c r="AR943" i="49"/>
  <c r="AQ943" i="49"/>
  <c r="AP943" i="49"/>
  <c r="AO943" i="49"/>
  <c r="AN943" i="49"/>
  <c r="AM943" i="49"/>
  <c r="AL943" i="49"/>
  <c r="AK943" i="49"/>
  <c r="CR942" i="49"/>
  <c r="CQ942" i="49"/>
  <c r="CP942" i="49"/>
  <c r="CO942" i="49"/>
  <c r="CN942" i="49"/>
  <c r="CM942" i="49"/>
  <c r="CL942" i="49"/>
  <c r="CK942" i="49"/>
  <c r="CJ942" i="49"/>
  <c r="CI942" i="49"/>
  <c r="CH942" i="49"/>
  <c r="CG942" i="49"/>
  <c r="CF942" i="49"/>
  <c r="CE942" i="49"/>
  <c r="CD942" i="49"/>
  <c r="CC942" i="49"/>
  <c r="CB942" i="49"/>
  <c r="CA942" i="49"/>
  <c r="BZ942" i="49"/>
  <c r="BY942" i="49"/>
  <c r="BX942" i="49"/>
  <c r="BW942" i="49"/>
  <c r="BV942" i="49"/>
  <c r="BU942" i="49"/>
  <c r="BT942" i="49"/>
  <c r="BS942" i="49"/>
  <c r="BR942" i="49"/>
  <c r="BQ942" i="49"/>
  <c r="BP942" i="49"/>
  <c r="BO942" i="49"/>
  <c r="BN942" i="49"/>
  <c r="BM942" i="49"/>
  <c r="BL942" i="49"/>
  <c r="BK942" i="49"/>
  <c r="BJ942" i="49"/>
  <c r="BI942" i="49"/>
  <c r="BH942" i="49"/>
  <c r="BG942" i="49"/>
  <c r="BF942" i="49"/>
  <c r="BE942" i="49"/>
  <c r="BD942" i="49"/>
  <c r="BC942" i="49"/>
  <c r="BB942" i="49"/>
  <c r="BA942" i="49"/>
  <c r="AZ942" i="49"/>
  <c r="AY942" i="49"/>
  <c r="AX942" i="49"/>
  <c r="AW942" i="49"/>
  <c r="AV942" i="49"/>
  <c r="AU942" i="49"/>
  <c r="AT942" i="49"/>
  <c r="AS942" i="49"/>
  <c r="AR942" i="49"/>
  <c r="AQ942" i="49"/>
  <c r="AP942" i="49"/>
  <c r="AO942" i="49"/>
  <c r="AN942" i="49"/>
  <c r="AM942" i="49"/>
  <c r="AL942" i="49"/>
  <c r="AK942" i="49"/>
  <c r="CR941" i="49"/>
  <c r="CQ941" i="49"/>
  <c r="CP941" i="49"/>
  <c r="CO941" i="49"/>
  <c r="CN941" i="49"/>
  <c r="CM941" i="49"/>
  <c r="CL941" i="49"/>
  <c r="CK941" i="49"/>
  <c r="CJ941" i="49"/>
  <c r="CI941" i="49"/>
  <c r="CH941" i="49"/>
  <c r="CG941" i="49"/>
  <c r="CF941" i="49"/>
  <c r="CE941" i="49"/>
  <c r="CD941" i="49"/>
  <c r="CC941" i="49"/>
  <c r="CB941" i="49"/>
  <c r="CA941" i="49"/>
  <c r="BZ941" i="49"/>
  <c r="BY941" i="49"/>
  <c r="BX941" i="49"/>
  <c r="BW941" i="49"/>
  <c r="BV941" i="49"/>
  <c r="BU941" i="49"/>
  <c r="BT941" i="49"/>
  <c r="BS941" i="49"/>
  <c r="BR941" i="49"/>
  <c r="BQ941" i="49"/>
  <c r="BP941" i="49"/>
  <c r="BO941" i="49"/>
  <c r="BN941" i="49"/>
  <c r="BM941" i="49"/>
  <c r="BL941" i="49"/>
  <c r="BK941" i="49"/>
  <c r="BJ941" i="49"/>
  <c r="BI941" i="49"/>
  <c r="BH941" i="49"/>
  <c r="BG941" i="49"/>
  <c r="BF941" i="49"/>
  <c r="BE941" i="49"/>
  <c r="BD941" i="49"/>
  <c r="BC941" i="49"/>
  <c r="BB941" i="49"/>
  <c r="BA941" i="49"/>
  <c r="AZ941" i="49"/>
  <c r="AY941" i="49"/>
  <c r="AX941" i="49"/>
  <c r="AW941" i="49"/>
  <c r="AV941" i="49"/>
  <c r="AU941" i="49"/>
  <c r="AT941" i="49"/>
  <c r="AS941" i="49"/>
  <c r="AR941" i="49"/>
  <c r="AQ941" i="49"/>
  <c r="AP941" i="49"/>
  <c r="AO941" i="49"/>
  <c r="AN941" i="49"/>
  <c r="AM941" i="49"/>
  <c r="AL941" i="49"/>
  <c r="AK941" i="49"/>
  <c r="CR940" i="49"/>
  <c r="CQ940" i="49"/>
  <c r="CP940" i="49"/>
  <c r="CO940" i="49"/>
  <c r="CN940" i="49"/>
  <c r="CM940" i="49"/>
  <c r="CL940" i="49"/>
  <c r="CK940" i="49"/>
  <c r="CJ940" i="49"/>
  <c r="CI940" i="49"/>
  <c r="CH940" i="49"/>
  <c r="CG940" i="49"/>
  <c r="CF940" i="49"/>
  <c r="CE940" i="49"/>
  <c r="CD940" i="49"/>
  <c r="CC940" i="49"/>
  <c r="CB940" i="49"/>
  <c r="CA940" i="49"/>
  <c r="BZ940" i="49"/>
  <c r="BY940" i="49"/>
  <c r="BX940" i="49"/>
  <c r="BW940" i="49"/>
  <c r="BV940" i="49"/>
  <c r="BU940" i="49"/>
  <c r="BT940" i="49"/>
  <c r="BS940" i="49"/>
  <c r="BR940" i="49"/>
  <c r="BQ940" i="49"/>
  <c r="BP940" i="49"/>
  <c r="BO940" i="49"/>
  <c r="BN940" i="49"/>
  <c r="BM940" i="49"/>
  <c r="BL940" i="49"/>
  <c r="BK940" i="49"/>
  <c r="BJ940" i="49"/>
  <c r="BI940" i="49"/>
  <c r="BH940" i="49"/>
  <c r="BG940" i="49"/>
  <c r="BF940" i="49"/>
  <c r="BE940" i="49"/>
  <c r="BD940" i="49"/>
  <c r="BC940" i="49"/>
  <c r="BB940" i="49"/>
  <c r="BA940" i="49"/>
  <c r="AZ940" i="49"/>
  <c r="AY940" i="49"/>
  <c r="AX940" i="49"/>
  <c r="AW940" i="49"/>
  <c r="AV940" i="49"/>
  <c r="AU940" i="49"/>
  <c r="AT940" i="49"/>
  <c r="AS940" i="49"/>
  <c r="AR940" i="49"/>
  <c r="AQ940" i="49"/>
  <c r="AP940" i="49"/>
  <c r="AO940" i="49"/>
  <c r="AN940" i="49"/>
  <c r="AM940" i="49"/>
  <c r="AL940" i="49"/>
  <c r="AK940" i="49"/>
  <c r="CR939" i="49"/>
  <c r="CQ939" i="49"/>
  <c r="CP939" i="49"/>
  <c r="CO939" i="49"/>
  <c r="CN939" i="49"/>
  <c r="CM939" i="49"/>
  <c r="CL939" i="49"/>
  <c r="CK939" i="49"/>
  <c r="CJ939" i="49"/>
  <c r="CI939" i="49"/>
  <c r="CH939" i="49"/>
  <c r="CG939" i="49"/>
  <c r="CF939" i="49"/>
  <c r="CE939" i="49"/>
  <c r="CD939" i="49"/>
  <c r="CC939" i="49"/>
  <c r="CB939" i="49"/>
  <c r="CA939" i="49"/>
  <c r="BZ939" i="49"/>
  <c r="BY939" i="49"/>
  <c r="BX939" i="49"/>
  <c r="BW939" i="49"/>
  <c r="BV939" i="49"/>
  <c r="BU939" i="49"/>
  <c r="BT939" i="49"/>
  <c r="BS939" i="49"/>
  <c r="BR939" i="49"/>
  <c r="BQ939" i="49"/>
  <c r="BP939" i="49"/>
  <c r="BO939" i="49"/>
  <c r="BN939" i="49"/>
  <c r="BM939" i="49"/>
  <c r="BL939" i="49"/>
  <c r="BK939" i="49"/>
  <c r="BJ939" i="49"/>
  <c r="BI939" i="49"/>
  <c r="BH939" i="49"/>
  <c r="BG939" i="49"/>
  <c r="BF939" i="49"/>
  <c r="BE939" i="49"/>
  <c r="BD939" i="49"/>
  <c r="BC939" i="49"/>
  <c r="BB939" i="49"/>
  <c r="BA939" i="49"/>
  <c r="AZ939" i="49"/>
  <c r="AY939" i="49"/>
  <c r="AX939" i="49"/>
  <c r="AW939" i="49"/>
  <c r="AV939" i="49"/>
  <c r="AU939" i="49"/>
  <c r="AT939" i="49"/>
  <c r="AS939" i="49"/>
  <c r="AR939" i="49"/>
  <c r="AQ939" i="49"/>
  <c r="AP939" i="49"/>
  <c r="AO939" i="49"/>
  <c r="AN939" i="49"/>
  <c r="AM939" i="49"/>
  <c r="AL939" i="49"/>
  <c r="AK939" i="49"/>
  <c r="CR938" i="49"/>
  <c r="CQ938" i="49"/>
  <c r="CP938" i="49"/>
  <c r="CO938" i="49"/>
  <c r="CN938" i="49"/>
  <c r="CM938" i="49"/>
  <c r="CL938" i="49"/>
  <c r="CK938" i="49"/>
  <c r="CJ938" i="49"/>
  <c r="CI938" i="49"/>
  <c r="CH938" i="49"/>
  <c r="CG938" i="49"/>
  <c r="CF938" i="49"/>
  <c r="CE938" i="49"/>
  <c r="CD938" i="49"/>
  <c r="CC938" i="49"/>
  <c r="CB938" i="49"/>
  <c r="CA938" i="49"/>
  <c r="BZ938" i="49"/>
  <c r="BY938" i="49"/>
  <c r="BX938" i="49"/>
  <c r="BW938" i="49"/>
  <c r="BV938" i="49"/>
  <c r="BU938" i="49"/>
  <c r="BT938" i="49"/>
  <c r="BS938" i="49"/>
  <c r="BR938" i="49"/>
  <c r="BQ938" i="49"/>
  <c r="BP938" i="49"/>
  <c r="BO938" i="49"/>
  <c r="BN938" i="49"/>
  <c r="BM938" i="49"/>
  <c r="BL938" i="49"/>
  <c r="BK938" i="49"/>
  <c r="BJ938" i="49"/>
  <c r="BI938" i="49"/>
  <c r="BH938" i="49"/>
  <c r="BG938" i="49"/>
  <c r="BF938" i="49"/>
  <c r="BE938" i="49"/>
  <c r="BD938" i="49"/>
  <c r="BC938" i="49"/>
  <c r="BB938" i="49"/>
  <c r="BA938" i="49"/>
  <c r="AZ938" i="49"/>
  <c r="AY938" i="49"/>
  <c r="AX938" i="49"/>
  <c r="AW938" i="49"/>
  <c r="AV938" i="49"/>
  <c r="AU938" i="49"/>
  <c r="AT938" i="49"/>
  <c r="AS938" i="49"/>
  <c r="AR938" i="49"/>
  <c r="AQ938" i="49"/>
  <c r="AP938" i="49"/>
  <c r="AO938" i="49"/>
  <c r="AN938" i="49"/>
  <c r="AM938" i="49"/>
  <c r="AL938" i="49"/>
  <c r="AK938" i="49"/>
  <c r="CR937" i="49"/>
  <c r="CQ937" i="49"/>
  <c r="CP937" i="49"/>
  <c r="CO937" i="49"/>
  <c r="CN937" i="49"/>
  <c r="CM937" i="49"/>
  <c r="CL937" i="49"/>
  <c r="CK937" i="49"/>
  <c r="CJ937" i="49"/>
  <c r="CI937" i="49"/>
  <c r="CH937" i="49"/>
  <c r="CG937" i="49"/>
  <c r="CF937" i="49"/>
  <c r="CE937" i="49"/>
  <c r="CD937" i="49"/>
  <c r="CD950" i="49" s="1"/>
  <c r="CC937" i="49"/>
  <c r="CB937" i="49"/>
  <c r="CA937" i="49"/>
  <c r="BZ937" i="49"/>
  <c r="BY937" i="49"/>
  <c r="BX937" i="49"/>
  <c r="BW937" i="49"/>
  <c r="BW950" i="49" s="1"/>
  <c r="BV937" i="49"/>
  <c r="BU937" i="49"/>
  <c r="BT937" i="49"/>
  <c r="BS937" i="49"/>
  <c r="BR937" i="49"/>
  <c r="BQ937" i="49"/>
  <c r="BP937" i="49"/>
  <c r="BO937" i="49"/>
  <c r="BN937" i="49"/>
  <c r="BM937" i="49"/>
  <c r="BL937" i="49"/>
  <c r="BK937" i="49"/>
  <c r="BJ937" i="49"/>
  <c r="BI937" i="49"/>
  <c r="BH937" i="49"/>
  <c r="BG937" i="49"/>
  <c r="BF937" i="49"/>
  <c r="BF950" i="49" s="1"/>
  <c r="BE937" i="49"/>
  <c r="BD937" i="49"/>
  <c r="BC937" i="49"/>
  <c r="BB937" i="49"/>
  <c r="BA937" i="49"/>
  <c r="AZ937" i="49"/>
  <c r="AY937" i="49"/>
  <c r="AX937" i="49"/>
  <c r="AW937" i="49"/>
  <c r="AV937" i="49"/>
  <c r="AU937" i="49"/>
  <c r="AT937" i="49"/>
  <c r="AS937" i="49"/>
  <c r="AR937" i="49"/>
  <c r="AQ937" i="49"/>
  <c r="AP937" i="49"/>
  <c r="AO937" i="49"/>
  <c r="AN937" i="49"/>
  <c r="AM937" i="49"/>
  <c r="AL937" i="49"/>
  <c r="AK937" i="49"/>
  <c r="CR936" i="49"/>
  <c r="CQ936" i="49"/>
  <c r="CP936" i="49"/>
  <c r="CO936" i="49"/>
  <c r="CN936" i="49"/>
  <c r="CM936" i="49"/>
  <c r="CL936" i="49"/>
  <c r="CK936" i="49"/>
  <c r="CJ936" i="49"/>
  <c r="CI936" i="49"/>
  <c r="CH936" i="49"/>
  <c r="CG936" i="49"/>
  <c r="CF936" i="49"/>
  <c r="CE936" i="49"/>
  <c r="CD936" i="49"/>
  <c r="CC936" i="49"/>
  <c r="CB936" i="49"/>
  <c r="CA936" i="49"/>
  <c r="BZ936" i="49"/>
  <c r="BY936" i="49"/>
  <c r="BX936" i="49"/>
  <c r="BW936" i="49"/>
  <c r="BV936" i="49"/>
  <c r="BU936" i="49"/>
  <c r="BT936" i="49"/>
  <c r="BS936" i="49"/>
  <c r="BR936" i="49"/>
  <c r="BQ936" i="49"/>
  <c r="BP936" i="49"/>
  <c r="BO936" i="49"/>
  <c r="BN936" i="49"/>
  <c r="BM936" i="49"/>
  <c r="BL936" i="49"/>
  <c r="BK936" i="49"/>
  <c r="BJ936" i="49"/>
  <c r="BI936" i="49"/>
  <c r="BH936" i="49"/>
  <c r="BG936" i="49"/>
  <c r="BF936" i="49"/>
  <c r="BE936" i="49"/>
  <c r="BD936" i="49"/>
  <c r="BC936" i="49"/>
  <c r="BB936" i="49"/>
  <c r="BA936" i="49"/>
  <c r="AZ936" i="49"/>
  <c r="AY936" i="49"/>
  <c r="AX936" i="49"/>
  <c r="AW936" i="49"/>
  <c r="AV936" i="49"/>
  <c r="AU936" i="49"/>
  <c r="AT936" i="49"/>
  <c r="AS936" i="49"/>
  <c r="AR936" i="49"/>
  <c r="AQ936" i="49"/>
  <c r="AP936" i="49"/>
  <c r="AO936" i="49"/>
  <c r="AN936" i="49"/>
  <c r="AM936" i="49"/>
  <c r="AL936" i="49"/>
  <c r="AK936" i="49"/>
  <c r="CR935" i="49"/>
  <c r="CR950" i="49" s="1"/>
  <c r="CQ935" i="49"/>
  <c r="CP935" i="49"/>
  <c r="CP950" i="49" s="1"/>
  <c r="CO935" i="49"/>
  <c r="CO950" i="49" s="1"/>
  <c r="CN935" i="49"/>
  <c r="CM935" i="49"/>
  <c r="CM950" i="49" s="1"/>
  <c r="CL935" i="49"/>
  <c r="CL950" i="49" s="1"/>
  <c r="CK935" i="49"/>
  <c r="CJ935" i="49"/>
  <c r="CJ950" i="49" s="1"/>
  <c r="CI935" i="49"/>
  <c r="CI950" i="49" s="1"/>
  <c r="CH935" i="49"/>
  <c r="CG935" i="49"/>
  <c r="CF935" i="49"/>
  <c r="CF950" i="49" s="1"/>
  <c r="CE935" i="49"/>
  <c r="CD935" i="49"/>
  <c r="CC935" i="49"/>
  <c r="CC950" i="49" s="1"/>
  <c r="CB935" i="49"/>
  <c r="CA935" i="49"/>
  <c r="CA950" i="49" s="1"/>
  <c r="BZ935" i="49"/>
  <c r="BZ950" i="49" s="1"/>
  <c r="BY935" i="49"/>
  <c r="BX935" i="49"/>
  <c r="BX950" i="49" s="1"/>
  <c r="BW935" i="49"/>
  <c r="BV935" i="49"/>
  <c r="BU935" i="49"/>
  <c r="BT935" i="49"/>
  <c r="BT950" i="49" s="1"/>
  <c r="BS935" i="49"/>
  <c r="BR935" i="49"/>
  <c r="BR950" i="49" s="1"/>
  <c r="BQ935" i="49"/>
  <c r="BQ950" i="49" s="1"/>
  <c r="BP935" i="49"/>
  <c r="BO935" i="49"/>
  <c r="BO950" i="49" s="1"/>
  <c r="BN935" i="49"/>
  <c r="BN950" i="49" s="1"/>
  <c r="BM935" i="49"/>
  <c r="BL935" i="49"/>
  <c r="BL950" i="49" s="1"/>
  <c r="BK935" i="49"/>
  <c r="BK950" i="49" s="1"/>
  <c r="BJ935" i="49"/>
  <c r="BI935" i="49"/>
  <c r="BH935" i="49"/>
  <c r="BH950" i="49" s="1"/>
  <c r="BG935" i="49"/>
  <c r="BF935" i="49"/>
  <c r="BE935" i="49"/>
  <c r="BE950" i="49" s="1"/>
  <c r="BD935" i="49"/>
  <c r="BC935" i="49"/>
  <c r="BC950" i="49" s="1"/>
  <c r="BB935" i="49"/>
  <c r="BB950" i="49" s="1"/>
  <c r="BA935" i="49"/>
  <c r="AZ935" i="49"/>
  <c r="AZ950" i="49" s="1"/>
  <c r="AY935" i="49"/>
  <c r="AX935" i="49"/>
  <c r="AW935" i="49"/>
  <c r="AV935" i="49"/>
  <c r="AU935" i="49"/>
  <c r="AT935" i="49"/>
  <c r="AS935" i="49"/>
  <c r="AR935" i="49"/>
  <c r="AQ935" i="49"/>
  <c r="AP935" i="49"/>
  <c r="AO935" i="49"/>
  <c r="AN935" i="49"/>
  <c r="AM935" i="49"/>
  <c r="AL935" i="49"/>
  <c r="AK935" i="49"/>
  <c r="AY934" i="49"/>
  <c r="AX934" i="49"/>
  <c r="AW934" i="49"/>
  <c r="AV934" i="49"/>
  <c r="AU934" i="49"/>
  <c r="AT934" i="49"/>
  <c r="AS934" i="49"/>
  <c r="AR934" i="49"/>
  <c r="AQ934" i="49"/>
  <c r="AP934" i="49"/>
  <c r="AO934" i="49"/>
  <c r="AN934" i="49"/>
  <c r="AM934" i="49"/>
  <c r="AL934" i="49"/>
  <c r="AK934" i="49"/>
  <c r="AY933" i="49"/>
  <c r="AX933" i="49"/>
  <c r="AW933" i="49"/>
  <c r="AV933" i="49"/>
  <c r="AU933" i="49"/>
  <c r="AT933" i="49"/>
  <c r="AS933" i="49"/>
  <c r="AR933" i="49"/>
  <c r="AQ933" i="49"/>
  <c r="AP933" i="49"/>
  <c r="AO933" i="49"/>
  <c r="AN933" i="49"/>
  <c r="AM933" i="49"/>
  <c r="AL933" i="49"/>
  <c r="AK933" i="49"/>
  <c r="AY932" i="49"/>
  <c r="AX932" i="49"/>
  <c r="AW932" i="49"/>
  <c r="AV932" i="49"/>
  <c r="AU932" i="49"/>
  <c r="AT932" i="49"/>
  <c r="AS932" i="49"/>
  <c r="AR932" i="49"/>
  <c r="AQ932" i="49"/>
  <c r="AP932" i="49"/>
  <c r="AO932" i="49"/>
  <c r="AN932" i="49"/>
  <c r="AM932" i="49"/>
  <c r="AL932" i="49"/>
  <c r="AK932" i="49"/>
  <c r="AY931" i="49"/>
  <c r="AX931" i="49"/>
  <c r="AW931" i="49"/>
  <c r="AV931" i="49"/>
  <c r="AU931" i="49"/>
  <c r="AT931" i="49"/>
  <c r="AS931" i="49"/>
  <c r="AR931" i="49"/>
  <c r="AQ931" i="49"/>
  <c r="AP931" i="49"/>
  <c r="AO931" i="49"/>
  <c r="AN931" i="49"/>
  <c r="AM931" i="49"/>
  <c r="AL931" i="49"/>
  <c r="AK931" i="49"/>
  <c r="AY930" i="49"/>
  <c r="AX930" i="49"/>
  <c r="AW930" i="49"/>
  <c r="AV930" i="49"/>
  <c r="AU930" i="49"/>
  <c r="AT930" i="49"/>
  <c r="AS930" i="49"/>
  <c r="AR930" i="49"/>
  <c r="AQ930" i="49"/>
  <c r="AP930" i="49"/>
  <c r="AO930" i="49"/>
  <c r="AN930" i="49"/>
  <c r="AM930" i="49"/>
  <c r="AL930" i="49"/>
  <c r="AK930" i="49"/>
  <c r="AY929" i="49"/>
  <c r="AX929" i="49"/>
  <c r="AW929" i="49"/>
  <c r="AV929" i="49"/>
  <c r="AU929" i="49"/>
  <c r="AT929" i="49"/>
  <c r="AS929" i="49"/>
  <c r="AR929" i="49"/>
  <c r="AQ929" i="49"/>
  <c r="AQ1090" i="49" s="1"/>
  <c r="AP929" i="49"/>
  <c r="AO929" i="49"/>
  <c r="AN929" i="49"/>
  <c r="AM929" i="49"/>
  <c r="AL929" i="49"/>
  <c r="AK929" i="49"/>
  <c r="AY928" i="49"/>
  <c r="AX928" i="49"/>
  <c r="AW928" i="49"/>
  <c r="AV928" i="49"/>
  <c r="AU928" i="49"/>
  <c r="AT928" i="49"/>
  <c r="AS928" i="49"/>
  <c r="AR928" i="49"/>
  <c r="AQ928" i="49"/>
  <c r="AP928" i="49"/>
  <c r="AO928" i="49"/>
  <c r="AN928" i="49"/>
  <c r="AM928" i="49"/>
  <c r="AL928" i="49"/>
  <c r="AK928" i="49"/>
  <c r="AY927" i="49"/>
  <c r="AX927" i="49"/>
  <c r="AW927" i="49"/>
  <c r="AV927" i="49"/>
  <c r="AU927" i="49"/>
  <c r="AT927" i="49"/>
  <c r="AS927" i="49"/>
  <c r="AR927" i="49"/>
  <c r="AQ927" i="49"/>
  <c r="AP927" i="49"/>
  <c r="AO927" i="49"/>
  <c r="AN927" i="49"/>
  <c r="AM927" i="49"/>
  <c r="AL927" i="49"/>
  <c r="AK927" i="49"/>
  <c r="AY926" i="49"/>
  <c r="AX926" i="49"/>
  <c r="AW926" i="49"/>
  <c r="AV926" i="49"/>
  <c r="AU926" i="49"/>
  <c r="AT926" i="49"/>
  <c r="AS926" i="49"/>
  <c r="AR926" i="49"/>
  <c r="AQ926" i="49"/>
  <c r="AP926" i="49"/>
  <c r="AO926" i="49"/>
  <c r="AN926" i="49"/>
  <c r="AM926" i="49"/>
  <c r="AL926" i="49"/>
  <c r="AK926" i="49"/>
  <c r="AY925" i="49"/>
  <c r="AY1090" i="49" s="1"/>
  <c r="AX925" i="49"/>
  <c r="AW925" i="49"/>
  <c r="AW1090" i="49" s="1"/>
  <c r="AV925" i="49"/>
  <c r="AV1090" i="49" s="1"/>
  <c r="AU925" i="49"/>
  <c r="AT925" i="49"/>
  <c r="AT1090" i="49" s="1"/>
  <c r="AS925" i="49"/>
  <c r="AS1090" i="49" s="1"/>
  <c r="AR925" i="49"/>
  <c r="AQ925" i="49"/>
  <c r="AP925" i="49"/>
  <c r="AP1090" i="49" s="1"/>
  <c r="AO925" i="49"/>
  <c r="AN925" i="49"/>
  <c r="AN1090" i="49" s="1"/>
  <c r="AM925" i="49"/>
  <c r="AL925" i="49"/>
  <c r="AK925" i="49"/>
  <c r="AK1090" i="49" s="1"/>
  <c r="AH925" i="49"/>
  <c r="AG1843" i="49" l="1"/>
  <c r="AP1857" i="49"/>
  <c r="AN1857" i="49"/>
  <c r="AL1857" i="49"/>
  <c r="BN1856" i="49"/>
  <c r="CC1855" i="49"/>
  <c r="AL1858" i="49"/>
  <c r="CC1843" i="49"/>
  <c r="AP1845" i="49"/>
  <c r="AN1845" i="49"/>
  <c r="AL1845" i="49"/>
  <c r="AV1818" i="49"/>
  <c r="AK1818" i="49"/>
  <c r="AK1819" i="49" s="1"/>
  <c r="AG1818" i="49"/>
  <c r="AF1818" i="49"/>
  <c r="AN1782" i="49"/>
  <c r="AN1783" i="49" s="1"/>
  <c r="AH1749" i="49"/>
  <c r="AM1749" i="49"/>
  <c r="AL1750" i="49" s="1"/>
  <c r="BC1639" i="49"/>
  <c r="BC1654" i="49" s="1"/>
  <c r="AG1749" i="49"/>
  <c r="AL1762" i="49"/>
  <c r="BB1749" i="49"/>
  <c r="AN1750" i="49"/>
  <c r="BN1761" i="49"/>
  <c r="AN1762" i="49"/>
  <c r="BN1749" i="49"/>
  <c r="BG1686" i="49"/>
  <c r="AV1694" i="49"/>
  <c r="AF1647" i="49"/>
  <c r="B1732" i="49" s="1"/>
  <c r="AY1643" i="49"/>
  <c r="AY1647" i="49"/>
  <c r="AH1647" i="49"/>
  <c r="B1730" i="49" s="1"/>
  <c r="AV1647" i="49"/>
  <c r="AM1643" i="49"/>
  <c r="BT1640" i="49"/>
  <c r="AV1643" i="49"/>
  <c r="BA1654" i="49"/>
  <c r="AG1647" i="49"/>
  <c r="B1728" i="49" s="1"/>
  <c r="AP1643" i="49"/>
  <c r="AG1446" i="49"/>
  <c r="AJ1446" i="49"/>
  <c r="AH1446" i="49"/>
  <c r="AN1621" i="49"/>
  <c r="AP1448" i="49"/>
  <c r="AN1448" i="49"/>
  <c r="AL1448" i="49"/>
  <c r="AL1447" i="49"/>
  <c r="AL1621" i="49" s="1"/>
  <c r="AL1623" i="49" s="1"/>
  <c r="CL1473" i="49"/>
  <c r="CR1307" i="49"/>
  <c r="CL1474" i="49" s="1"/>
  <c r="CL1475" i="49" s="1"/>
  <c r="AL1620" i="49"/>
  <c r="AP1620" i="49"/>
  <c r="AN1620" i="49"/>
  <c r="AM1090" i="49"/>
  <c r="AL1091" i="49" s="1"/>
  <c r="AG1090" i="49"/>
  <c r="AJ1090" i="49"/>
  <c r="AH1090" i="49"/>
  <c r="AF1090" i="49"/>
  <c r="AN1091" i="49"/>
  <c r="AL1263" i="49"/>
  <c r="AL1265" i="49" s="1"/>
  <c r="AL1267" i="49" s="1"/>
  <c r="CL1117" i="49"/>
  <c r="CR951" i="49"/>
  <c r="CL1118" i="49" s="1"/>
  <c r="CL1119" i="49" s="1"/>
  <c r="AN1263" i="49"/>
  <c r="B915" i="49"/>
  <c r="B914" i="49"/>
  <c r="B913" i="49"/>
  <c r="B912" i="49"/>
  <c r="M23" i="34"/>
  <c r="B911" i="49"/>
  <c r="B910" i="49"/>
  <c r="AD906" i="49"/>
  <c r="AC906" i="49"/>
  <c r="AB906" i="49"/>
  <c r="AA906" i="49"/>
  <c r="BE901" i="49" s="1" a="1"/>
  <c r="BE901" i="49" s="1"/>
  <c r="Z906" i="49"/>
  <c r="BD901" i="49" s="1" a="1"/>
  <c r="BD901" i="49" s="1"/>
  <c r="Y906" i="49"/>
  <c r="X906" i="49"/>
  <c r="W906" i="49"/>
  <c r="BD900" i="49" s="1" a="1"/>
  <c r="BD900" i="49" s="1"/>
  <c r="V906" i="49"/>
  <c r="AD897" i="49"/>
  <c r="AC897" i="49"/>
  <c r="AB897" i="49"/>
  <c r="AA897" i="49"/>
  <c r="Z897" i="49"/>
  <c r="Y897" i="49"/>
  <c r="X897" i="49"/>
  <c r="BE897" i="49" s="1" a="1"/>
  <c r="BE897" i="49" s="1"/>
  <c r="W897" i="49"/>
  <c r="V897" i="49"/>
  <c r="U897" i="49"/>
  <c r="T897" i="49"/>
  <c r="S897" i="49"/>
  <c r="R897" i="49"/>
  <c r="Q897" i="49"/>
  <c r="P897" i="49"/>
  <c r="BC895" i="49" s="1" a="1"/>
  <c r="BC895" i="49" s="1"/>
  <c r="AP25" i="61"/>
  <c r="AP26" i="61"/>
  <c r="AP27" i="61"/>
  <c r="AP28" i="61"/>
  <c r="AP29" i="61"/>
  <c r="AP30" i="61"/>
  <c r="AP31" i="61"/>
  <c r="M25" i="61"/>
  <c r="AO25" i="61" s="1"/>
  <c r="M26" i="61"/>
  <c r="AO26" i="61" s="1"/>
  <c r="M27" i="61"/>
  <c r="AO27" i="61" s="1"/>
  <c r="M28" i="61"/>
  <c r="AO28" i="61" s="1"/>
  <c r="M29" i="61"/>
  <c r="AO29" i="61" s="1"/>
  <c r="M30" i="61"/>
  <c r="AO30" i="61" s="1"/>
  <c r="M31" i="61"/>
  <c r="AO31" i="61" s="1"/>
  <c r="M24" i="61"/>
  <c r="AO24" i="61" s="1"/>
  <c r="BE903" i="49"/>
  <c r="D25" i="61"/>
  <c r="D26" i="61"/>
  <c r="D27" i="61"/>
  <c r="D28" i="61"/>
  <c r="D29" i="61"/>
  <c r="D30" i="61"/>
  <c r="D31" i="61"/>
  <c r="D24" i="61"/>
  <c r="AP24" i="61"/>
  <c r="AP32" i="61" s="1"/>
  <c r="B36" i="61" s="1"/>
  <c r="BE902" i="49" a="1"/>
  <c r="BE902" i="49" s="1"/>
  <c r="BD902" i="49" a="1"/>
  <c r="BD902" i="49" s="1"/>
  <c r="BE900" i="49" a="1"/>
  <c r="BE900" i="49" s="1"/>
  <c r="BE899" i="49" a="1"/>
  <c r="BE899" i="49" s="1"/>
  <c r="BD899" i="49" a="1"/>
  <c r="BD899" i="49" s="1"/>
  <c r="BE898" i="49" a="1"/>
  <c r="BE898" i="49" s="1"/>
  <c r="BD898" i="49" a="1"/>
  <c r="BD898" i="49" s="1"/>
  <c r="B332" i="57"/>
  <c r="B333" i="57"/>
  <c r="B334" i="57"/>
  <c r="B335" i="57"/>
  <c r="BD897" i="49" a="1"/>
  <c r="BD897" i="49" s="1"/>
  <c r="BE896" i="49" a="1"/>
  <c r="BE896" i="49" s="1"/>
  <c r="BD896" i="49" a="1"/>
  <c r="BD896" i="49" s="1"/>
  <c r="BE895" i="49" a="1"/>
  <c r="BE895" i="49" s="1"/>
  <c r="BD895" i="49" a="1"/>
  <c r="BD895" i="49" s="1"/>
  <c r="AG319" i="57"/>
  <c r="AH319" i="57"/>
  <c r="AI319" i="57"/>
  <c r="AJ319" i="57"/>
  <c r="AK319" i="57"/>
  <c r="AL319" i="57"/>
  <c r="AM319" i="57"/>
  <c r="AN319" i="57"/>
  <c r="AG320" i="57"/>
  <c r="AH320" i="57"/>
  <c r="AI320" i="57"/>
  <c r="AJ320" i="57"/>
  <c r="AK320" i="57"/>
  <c r="AL320" i="57"/>
  <c r="AM320" i="57"/>
  <c r="AN320" i="57"/>
  <c r="AG321" i="57"/>
  <c r="AH321" i="57"/>
  <c r="AI321" i="57"/>
  <c r="AJ321" i="57"/>
  <c r="AK321" i="57"/>
  <c r="AL321" i="57"/>
  <c r="AM321" i="57"/>
  <c r="AN321" i="57"/>
  <c r="AG322" i="57"/>
  <c r="AH322" i="57"/>
  <c r="AI322" i="57"/>
  <c r="AJ322" i="57"/>
  <c r="AK322" i="57"/>
  <c r="AL322" i="57"/>
  <c r="AM322" i="57"/>
  <c r="AN322" i="57"/>
  <c r="AG323" i="57"/>
  <c r="AH323" i="57"/>
  <c r="AI323" i="57"/>
  <c r="AJ323" i="57"/>
  <c r="AK323" i="57"/>
  <c r="AL323" i="57"/>
  <c r="AM323" i="57"/>
  <c r="AN323" i="57"/>
  <c r="AG324" i="57"/>
  <c r="AH324" i="57"/>
  <c r="AI324" i="57"/>
  <c r="AJ324" i="57"/>
  <c r="AK324" i="57"/>
  <c r="AL324" i="57"/>
  <c r="AM324" i="57"/>
  <c r="AN324" i="57"/>
  <c r="AG325" i="57"/>
  <c r="AH325" i="57"/>
  <c r="AH326" i="57" s="1"/>
  <c r="AI325" i="57"/>
  <c r="AI326" i="57" s="1"/>
  <c r="B329" i="57" s="1"/>
  <c r="AJ325" i="57"/>
  <c r="AJ326" i="57" s="1"/>
  <c r="AK325" i="57"/>
  <c r="AL325" i="57"/>
  <c r="AM325" i="57"/>
  <c r="AN325" i="57"/>
  <c r="AK326" i="57" s="1"/>
  <c r="AG318" i="57"/>
  <c r="AG326" i="57" s="1"/>
  <c r="AH318" i="57"/>
  <c r="AI318" i="57"/>
  <c r="AJ318" i="57"/>
  <c r="AK318" i="57"/>
  <c r="AL318" i="57"/>
  <c r="AM318" i="57"/>
  <c r="AN318" i="57"/>
  <c r="AB326" i="57"/>
  <c r="Y326" i="57"/>
  <c r="V326" i="57"/>
  <c r="S326" i="57"/>
  <c r="P326" i="57"/>
  <c r="D319" i="57"/>
  <c r="D320" i="57"/>
  <c r="D321" i="57"/>
  <c r="D322" i="57"/>
  <c r="D323" i="57"/>
  <c r="D324" i="57"/>
  <c r="D325" i="57"/>
  <c r="D318" i="57"/>
  <c r="BB898" i="49"/>
  <c r="AH292" i="57"/>
  <c r="AH299" i="57" s="1"/>
  <c r="B304" i="57" s="1"/>
  <c r="AJ292" i="57"/>
  <c r="B306" i="57" s="1"/>
  <c r="AK292" i="57"/>
  <c r="AL292" i="57"/>
  <c r="AM292" i="57"/>
  <c r="AN292" i="57"/>
  <c r="AH293" i="57"/>
  <c r="AJ293" i="57"/>
  <c r="AK293" i="57"/>
  <c r="AL293" i="57"/>
  <c r="AM293" i="57"/>
  <c r="AN293" i="57"/>
  <c r="AH294" i="57"/>
  <c r="AJ294" i="57"/>
  <c r="AK294" i="57"/>
  <c r="AL294" i="57"/>
  <c r="AM294" i="57"/>
  <c r="AN294" i="57"/>
  <c r="AH295" i="57"/>
  <c r="AJ295" i="57"/>
  <c r="AK295" i="57"/>
  <c r="AL295" i="57"/>
  <c r="AM295" i="57"/>
  <c r="AN295" i="57"/>
  <c r="AH296" i="57"/>
  <c r="AJ296" i="57"/>
  <c r="AK296" i="57"/>
  <c r="AL296" i="57"/>
  <c r="AM296" i="57"/>
  <c r="AN296" i="57"/>
  <c r="AH297" i="57"/>
  <c r="AJ297" i="57"/>
  <c r="AK297" i="57"/>
  <c r="AL297" i="57"/>
  <c r="AM297" i="57"/>
  <c r="AN297" i="57"/>
  <c r="AH298" i="57"/>
  <c r="AJ298" i="57"/>
  <c r="AK298" i="57"/>
  <c r="AL298" i="57"/>
  <c r="AM298" i="57"/>
  <c r="AJ291" i="57"/>
  <c r="AH291" i="57"/>
  <c r="AB299" i="57"/>
  <c r="Y299" i="57"/>
  <c r="V299" i="57"/>
  <c r="S299" i="57"/>
  <c r="P299" i="57"/>
  <c r="D292" i="57"/>
  <c r="D293" i="57"/>
  <c r="D294" i="57"/>
  <c r="D295" i="57"/>
  <c r="D296" i="57"/>
  <c r="D297" i="57"/>
  <c r="D298" i="57"/>
  <c r="D291" i="57"/>
  <c r="AK291" i="57"/>
  <c r="AL291" i="57"/>
  <c r="AM291" i="57"/>
  <c r="AN291" i="57"/>
  <c r="AG895" i="49"/>
  <c r="BC902" i="49" a="1"/>
  <c r="BC902" i="49" s="1"/>
  <c r="BC901" i="49" a="1"/>
  <c r="BC901" i="49" s="1"/>
  <c r="BC900" i="49" a="1"/>
  <c r="BC900" i="49" s="1"/>
  <c r="BC896" i="49" a="1"/>
  <c r="BC896" i="49" s="1"/>
  <c r="BC899" i="49" a="1"/>
  <c r="BC899" i="49" s="1"/>
  <c r="BC898" i="49" a="1"/>
  <c r="BC898" i="49" s="1"/>
  <c r="BC897" i="49" a="1"/>
  <c r="BC897" i="49" s="1"/>
  <c r="BB897" i="49" a="1"/>
  <c r="BB897" i="49" s="1"/>
  <c r="BA897" i="49" a="1"/>
  <c r="BA897" i="49" s="1"/>
  <c r="BB896" i="49" a="1"/>
  <c r="BB896" i="49" s="1"/>
  <c r="BA896" i="49" a="1"/>
  <c r="BA896" i="49" s="1"/>
  <c r="AZ896" i="49" a="1"/>
  <c r="AZ896" i="49" s="1"/>
  <c r="BB895" i="49" a="1"/>
  <c r="BB895" i="49" s="1"/>
  <c r="BA895" i="49" a="1"/>
  <c r="BA895" i="49" s="1"/>
  <c r="AZ895" i="49" a="1"/>
  <c r="AZ895" i="49" s="1"/>
  <c r="AH895" i="49"/>
  <c r="B274" i="57"/>
  <c r="B275" i="57"/>
  <c r="D260" i="57"/>
  <c r="D261" i="57"/>
  <c r="D262" i="57"/>
  <c r="D263" i="57"/>
  <c r="D264" i="57"/>
  <c r="D265" i="57"/>
  <c r="D266" i="57"/>
  <c r="D259" i="57"/>
  <c r="AC267" i="57"/>
  <c r="AA267" i="57"/>
  <c r="Y267" i="57"/>
  <c r="W267" i="57"/>
  <c r="U267" i="57"/>
  <c r="S267" i="57"/>
  <c r="Q267" i="57"/>
  <c r="AG260" i="57"/>
  <c r="AH260" i="57"/>
  <c r="AI260" i="57"/>
  <c r="AJ260" i="57"/>
  <c r="AK260" i="57"/>
  <c r="AL260" i="57"/>
  <c r="AM260" i="57"/>
  <c r="AN260" i="57"/>
  <c r="AO260" i="57"/>
  <c r="AP260" i="57"/>
  <c r="AG261" i="57"/>
  <c r="AH261" i="57"/>
  <c r="AI261" i="57"/>
  <c r="AJ261" i="57"/>
  <c r="AK261" i="57"/>
  <c r="AL261" i="57"/>
  <c r="AM261" i="57"/>
  <c r="AN261" i="57"/>
  <c r="AO261" i="57"/>
  <c r="AP261" i="57"/>
  <c r="AG262" i="57"/>
  <c r="AH262" i="57"/>
  <c r="AI262" i="57"/>
  <c r="AJ262" i="57"/>
  <c r="AK262" i="57"/>
  <c r="AL262" i="57"/>
  <c r="AM262" i="57"/>
  <c r="AN262" i="57"/>
  <c r="AO262" i="57"/>
  <c r="AP262" i="57"/>
  <c r="AG263" i="57"/>
  <c r="AH263" i="57"/>
  <c r="AI263" i="57"/>
  <c r="AJ263" i="57"/>
  <c r="AK263" i="57"/>
  <c r="AL263" i="57"/>
  <c r="AM263" i="57"/>
  <c r="AN263" i="57"/>
  <c r="AO263" i="57"/>
  <c r="AP263" i="57"/>
  <c r="AG264" i="57"/>
  <c r="AH264" i="57"/>
  <c r="AI264" i="57"/>
  <c r="AJ264" i="57"/>
  <c r="AK264" i="57"/>
  <c r="AL264" i="57"/>
  <c r="AM264" i="57"/>
  <c r="AN264" i="57"/>
  <c r="AO264" i="57"/>
  <c r="AP264" i="57"/>
  <c r="AG265" i="57"/>
  <c r="AH265" i="57"/>
  <c r="AI265" i="57"/>
  <c r="AJ265" i="57"/>
  <c r="AK265" i="57"/>
  <c r="AL265" i="57"/>
  <c r="AM265" i="57"/>
  <c r="AN265" i="57"/>
  <c r="AO265" i="57"/>
  <c r="AP265" i="57"/>
  <c r="AG266" i="57"/>
  <c r="AH266" i="57"/>
  <c r="AH267" i="57" s="1"/>
  <c r="AI266" i="57"/>
  <c r="AI267" i="57" s="1"/>
  <c r="B270" i="57" s="1"/>
  <c r="AJ266" i="57"/>
  <c r="AJ267" i="57" s="1"/>
  <c r="AK266" i="57"/>
  <c r="AL266" i="57"/>
  <c r="AM266" i="57"/>
  <c r="AN266" i="57"/>
  <c r="AO266" i="57"/>
  <c r="AK267" i="57"/>
  <c r="B276" i="57" s="1"/>
  <c r="AG259" i="57"/>
  <c r="AH259" i="57"/>
  <c r="AI259" i="57"/>
  <c r="AJ259" i="57"/>
  <c r="AK259" i="57"/>
  <c r="AL259" i="57"/>
  <c r="AM259" i="57"/>
  <c r="AN259" i="57"/>
  <c r="AO259" i="57"/>
  <c r="AP259" i="57"/>
  <c r="AS905" i="49"/>
  <c r="AR905" i="49"/>
  <c r="AQ905" i="49"/>
  <c r="AP905" i="49"/>
  <c r="AO905" i="49"/>
  <c r="AN905" i="49"/>
  <c r="AM905" i="49"/>
  <c r="AM906" i="49" s="1"/>
  <c r="AL907" i="49" s="1"/>
  <c r="AL905" i="49"/>
  <c r="AK905" i="49"/>
  <c r="AS904" i="49"/>
  <c r="AS906" i="49" s="1"/>
  <c r="AR904" i="49"/>
  <c r="AQ904" i="49"/>
  <c r="AQ906" i="49" s="1"/>
  <c r="AP904" i="49"/>
  <c r="AP906" i="49" s="1"/>
  <c r="AO904" i="49"/>
  <c r="AN904" i="49"/>
  <c r="AN906" i="49" s="1"/>
  <c r="AM904" i="49"/>
  <c r="AL904" i="49"/>
  <c r="AK904" i="49"/>
  <c r="AK906" i="49" s="1"/>
  <c r="AV897" i="49"/>
  <c r="AY896" i="49"/>
  <c r="AX896" i="49"/>
  <c r="AW896" i="49"/>
  <c r="AV896" i="49"/>
  <c r="AU896" i="49"/>
  <c r="AT896" i="49"/>
  <c r="AT897" i="49" s="1"/>
  <c r="AS896" i="49"/>
  <c r="AR896" i="49"/>
  <c r="AQ896" i="49"/>
  <c r="AP896" i="49"/>
  <c r="AO896" i="49"/>
  <c r="AN896" i="49"/>
  <c r="AM896" i="49"/>
  <c r="AL896" i="49"/>
  <c r="AK896" i="49"/>
  <c r="AY895" i="49"/>
  <c r="AY897" i="49" s="1"/>
  <c r="AX895" i="49"/>
  <c r="AW895" i="49"/>
  <c r="AW897" i="49" s="1"/>
  <c r="AV895" i="49"/>
  <c r="AU895" i="49"/>
  <c r="AT895" i="49"/>
  <c r="AS895" i="49"/>
  <c r="AS897" i="49" s="1"/>
  <c r="AR895" i="49"/>
  <c r="AQ895" i="49"/>
  <c r="AQ897" i="49" s="1"/>
  <c r="AP895" i="49"/>
  <c r="AP897" i="49" s="1"/>
  <c r="AO895" i="49"/>
  <c r="AN895" i="49"/>
  <c r="AN897" i="49" s="1"/>
  <c r="AM895" i="49"/>
  <c r="AM897" i="49" s="1"/>
  <c r="AL895" i="49"/>
  <c r="AK895" i="49"/>
  <c r="AK897" i="49" s="1"/>
  <c r="B245" i="57"/>
  <c r="B246" i="57"/>
  <c r="B874" i="49"/>
  <c r="B873" i="49"/>
  <c r="B872" i="49"/>
  <c r="B871" i="49"/>
  <c r="B870" i="49"/>
  <c r="B869" i="49"/>
  <c r="AQ847" i="49"/>
  <c r="AN865" i="49"/>
  <c r="AL847" i="49" a="1"/>
  <c r="AL847" i="49" s="1"/>
  <c r="AM847" i="49" a="1"/>
  <c r="AM847" i="49" s="1"/>
  <c r="AN847" i="49" a="1"/>
  <c r="AN847" i="49" s="1"/>
  <c r="AL848" i="49" a="1"/>
  <c r="AL848" i="49"/>
  <c r="AM848" i="49" a="1"/>
  <c r="AM848" i="49" s="1"/>
  <c r="AN848" i="49" a="1"/>
  <c r="AN848" i="49" s="1"/>
  <c r="AL849" i="49" a="1"/>
  <c r="AL849" i="49" s="1"/>
  <c r="AM849" i="49" a="1"/>
  <c r="AM849" i="49"/>
  <c r="AN849" i="49" a="1"/>
  <c r="AN849" i="49" s="1"/>
  <c r="AL850" i="49" a="1"/>
  <c r="AL850" i="49" s="1"/>
  <c r="AM850" i="49" a="1"/>
  <c r="AM850" i="49" s="1"/>
  <c r="AN850" i="49" a="1"/>
  <c r="AN850" i="49"/>
  <c r="AL851" i="49" a="1"/>
  <c r="AL851" i="49" s="1"/>
  <c r="AM851" i="49" a="1"/>
  <c r="AM851" i="49" s="1"/>
  <c r="AN851" i="49" a="1"/>
  <c r="AN851" i="49" s="1"/>
  <c r="AL852" i="49" a="1"/>
  <c r="AL852" i="49"/>
  <c r="AM852" i="49" a="1"/>
  <c r="AM852" i="49" s="1"/>
  <c r="AN852" i="49" a="1"/>
  <c r="AN852" i="49" s="1"/>
  <c r="AL853" i="49" a="1"/>
  <c r="AL853" i="49" s="1"/>
  <c r="AM853" i="49" a="1"/>
  <c r="AM853" i="49"/>
  <c r="AN853" i="49" a="1"/>
  <c r="AN853" i="49" s="1"/>
  <c r="AL854" i="49" a="1"/>
  <c r="AL854" i="49" s="1"/>
  <c r="AM854" i="49" a="1"/>
  <c r="AM854" i="49" s="1"/>
  <c r="AN854" i="49" a="1"/>
  <c r="AN854" i="49"/>
  <c r="AL855" i="49" a="1"/>
  <c r="AL855" i="49" s="1"/>
  <c r="AM855" i="49" a="1"/>
  <c r="AM855" i="49" s="1"/>
  <c r="AN855" i="49" a="1"/>
  <c r="AN855" i="49" s="1"/>
  <c r="AL856" i="49" a="1"/>
  <c r="AL856" i="49"/>
  <c r="AM856" i="49" a="1"/>
  <c r="AM856" i="49" s="1"/>
  <c r="AN856" i="49" a="1"/>
  <c r="AN856" i="49" s="1"/>
  <c r="AL857" i="49" a="1"/>
  <c r="AL857" i="49" s="1"/>
  <c r="AM857" i="49" a="1"/>
  <c r="AM857" i="49"/>
  <c r="AN857" i="49" a="1"/>
  <c r="AN857" i="49" s="1"/>
  <c r="AL858" i="49" a="1"/>
  <c r="AL858" i="49" s="1"/>
  <c r="AM858" i="49" a="1"/>
  <c r="AM858" i="49" s="1"/>
  <c r="AN858" i="49" a="1"/>
  <c r="AN858" i="49"/>
  <c r="AL859" i="49" a="1"/>
  <c r="AL859" i="49" s="1"/>
  <c r="AM859" i="49" a="1"/>
  <c r="AM859" i="49" s="1"/>
  <c r="AN859" i="49" a="1"/>
  <c r="AN859" i="49" s="1"/>
  <c r="AL860" i="49" a="1"/>
  <c r="AL860" i="49"/>
  <c r="AM860" i="49" a="1"/>
  <c r="AM860" i="49" s="1"/>
  <c r="AN860" i="49" a="1"/>
  <c r="AN860" i="49" s="1"/>
  <c r="AL861" i="49" a="1"/>
  <c r="AL861" i="49" s="1"/>
  <c r="AM861" i="49" a="1"/>
  <c r="AM861" i="49"/>
  <c r="AN861" i="49" a="1"/>
  <c r="AN861" i="49" s="1"/>
  <c r="AL862" i="49" a="1"/>
  <c r="AL862" i="49" s="1"/>
  <c r="AM862" i="49" a="1"/>
  <c r="AM862" i="49" s="1"/>
  <c r="AN862" i="49" a="1"/>
  <c r="AN862" i="49"/>
  <c r="AL863" i="49" a="1"/>
  <c r="AL863" i="49" s="1"/>
  <c r="AM863" i="49" a="1"/>
  <c r="AM863" i="49" s="1"/>
  <c r="AN863" i="49" a="1"/>
  <c r="AN863" i="49" s="1"/>
  <c r="AL864" i="49" a="1"/>
  <c r="AL864" i="49"/>
  <c r="AM864" i="49" a="1"/>
  <c r="AM864" i="49" s="1"/>
  <c r="AN864" i="49" a="1"/>
  <c r="AN864" i="49" s="1"/>
  <c r="AK865" i="49"/>
  <c r="AI864" i="49"/>
  <c r="AJ864" i="49"/>
  <c r="AK864" i="49"/>
  <c r="AI847" i="49"/>
  <c r="AJ847" i="49"/>
  <c r="AK847" i="49"/>
  <c r="AI848" i="49"/>
  <c r="AJ848" i="49"/>
  <c r="AK848" i="49"/>
  <c r="AI849" i="49"/>
  <c r="AJ849" i="49"/>
  <c r="AK849" i="49"/>
  <c r="AI850" i="49"/>
  <c r="AJ850" i="49"/>
  <c r="AK850" i="49"/>
  <c r="AI851" i="49"/>
  <c r="AJ851" i="49"/>
  <c r="AK851" i="49"/>
  <c r="AI852" i="49"/>
  <c r="AJ852" i="49"/>
  <c r="AK852" i="49"/>
  <c r="AI853" i="49"/>
  <c r="AJ853" i="49"/>
  <c r="AK853" i="49"/>
  <c r="AI854" i="49"/>
  <c r="AJ854" i="49"/>
  <c r="AK854" i="49"/>
  <c r="AI855" i="49"/>
  <c r="AJ855" i="49"/>
  <c r="AK855" i="49"/>
  <c r="AI856" i="49"/>
  <c r="AJ856" i="49"/>
  <c r="AK856" i="49"/>
  <c r="AI857" i="49"/>
  <c r="AJ857" i="49"/>
  <c r="AK857" i="49"/>
  <c r="AI858" i="49"/>
  <c r="AJ858" i="49"/>
  <c r="AK858" i="49"/>
  <c r="AI859" i="49"/>
  <c r="AJ859" i="49"/>
  <c r="AK859" i="49"/>
  <c r="AI860" i="49"/>
  <c r="AJ860" i="49"/>
  <c r="AK860" i="49"/>
  <c r="AI861" i="49"/>
  <c r="AJ861" i="49"/>
  <c r="AK861" i="49"/>
  <c r="AI862" i="49"/>
  <c r="AJ862" i="49"/>
  <c r="AK862" i="49"/>
  <c r="AI863" i="49"/>
  <c r="AJ863" i="49"/>
  <c r="AK863" i="49"/>
  <c r="AH846" i="49"/>
  <c r="AG846" i="49"/>
  <c r="AQ846" i="49" a="1"/>
  <c r="AQ846" i="49" s="1"/>
  <c r="AP846" i="49"/>
  <c r="AP846" i="49" a="1"/>
  <c r="AO846" i="49" a="1"/>
  <c r="AO846" i="49" s="1"/>
  <c r="AN846" i="49" a="1"/>
  <c r="AN846" i="49" s="1"/>
  <c r="AM846" i="49" a="1"/>
  <c r="AM846" i="49" s="1"/>
  <c r="AL846" i="49"/>
  <c r="AL846" i="49" a="1"/>
  <c r="S230" i="57"/>
  <c r="T230" i="57"/>
  <c r="U230" i="57"/>
  <c r="V230" i="57"/>
  <c r="W230" i="57"/>
  <c r="X230" i="57"/>
  <c r="Y230" i="57"/>
  <c r="Z230" i="57"/>
  <c r="AA230" i="57"/>
  <c r="AB230" i="57"/>
  <c r="AC230" i="57"/>
  <c r="AD230" i="57"/>
  <c r="R230" i="57"/>
  <c r="D223" i="57"/>
  <c r="D224" i="57"/>
  <c r="D225" i="57"/>
  <c r="D226" i="57"/>
  <c r="D227" i="57"/>
  <c r="D228" i="57"/>
  <c r="D229" i="57"/>
  <c r="D222" i="57"/>
  <c r="AK846" i="49"/>
  <c r="AJ846" i="49"/>
  <c r="AI846" i="49"/>
  <c r="AK223" i="57"/>
  <c r="AL223" i="57"/>
  <c r="AM223" i="57"/>
  <c r="AN223" i="57"/>
  <c r="AO223" i="57"/>
  <c r="AP223" i="57"/>
  <c r="AQ223" i="57"/>
  <c r="AR223" i="57"/>
  <c r="AS223" i="57"/>
  <c r="AT223" i="57"/>
  <c r="AU223" i="57"/>
  <c r="AV223" i="57"/>
  <c r="AK224" i="57"/>
  <c r="AL224" i="57"/>
  <c r="AM224" i="57"/>
  <c r="AN224" i="57"/>
  <c r="AO224" i="57"/>
  <c r="AP224" i="57"/>
  <c r="AQ224" i="57"/>
  <c r="AR224" i="57"/>
  <c r="AS224" i="57"/>
  <c r="AT224" i="57"/>
  <c r="AU224" i="57"/>
  <c r="AV224" i="57"/>
  <c r="AK225" i="57"/>
  <c r="AL225" i="57"/>
  <c r="AM225" i="57"/>
  <c r="AN225" i="57"/>
  <c r="AO225" i="57"/>
  <c r="AP225" i="57"/>
  <c r="AQ225" i="57"/>
  <c r="AR225" i="57"/>
  <c r="AS225" i="57"/>
  <c r="AT225" i="57"/>
  <c r="AU225" i="57"/>
  <c r="AV225" i="57"/>
  <c r="AK226" i="57"/>
  <c r="AL226" i="57"/>
  <c r="AM226" i="57"/>
  <c r="AN226" i="57"/>
  <c r="AO226" i="57"/>
  <c r="AP226" i="57"/>
  <c r="AQ226" i="57"/>
  <c r="AR226" i="57"/>
  <c r="AS226" i="57"/>
  <c r="AT226" i="57"/>
  <c r="AU226" i="57"/>
  <c r="AV226" i="57"/>
  <c r="AK227" i="57"/>
  <c r="AL227" i="57"/>
  <c r="AM227" i="57"/>
  <c r="AN227" i="57"/>
  <c r="AO227" i="57"/>
  <c r="AP227" i="57"/>
  <c r="AQ227" i="57"/>
  <c r="AR227" i="57"/>
  <c r="AS227" i="57"/>
  <c r="AT227" i="57"/>
  <c r="AU227" i="57"/>
  <c r="AV227" i="57"/>
  <c r="AK228" i="57"/>
  <c r="AL228" i="57"/>
  <c r="AM228" i="57"/>
  <c r="AN228" i="57"/>
  <c r="AO228" i="57"/>
  <c r="AP228" i="57"/>
  <c r="AQ228" i="57"/>
  <c r="AR228" i="57"/>
  <c r="AS228" i="57"/>
  <c r="AT228" i="57"/>
  <c r="AU228" i="57"/>
  <c r="AV228" i="57"/>
  <c r="AK229" i="57"/>
  <c r="AL229" i="57"/>
  <c r="AM229" i="57"/>
  <c r="AN229" i="57"/>
  <c r="AO229" i="57"/>
  <c r="AP229" i="57"/>
  <c r="AQ229" i="57"/>
  <c r="AR229" i="57"/>
  <c r="AS229" i="57"/>
  <c r="AT229" i="57"/>
  <c r="AU229" i="57"/>
  <c r="AL222" i="57"/>
  <c r="AM222" i="57"/>
  <c r="AN222" i="57"/>
  <c r="AO222" i="57"/>
  <c r="AP222" i="57"/>
  <c r="AQ222" i="57"/>
  <c r="AR222" i="57"/>
  <c r="AS222" i="57"/>
  <c r="AT222" i="57"/>
  <c r="AU222" i="57"/>
  <c r="AV222" i="57"/>
  <c r="AK222" i="57"/>
  <c r="B837" i="49"/>
  <c r="B836" i="49"/>
  <c r="B835" i="49"/>
  <c r="AJ230" i="57"/>
  <c r="B834" i="49"/>
  <c r="B833" i="49"/>
  <c r="D822" i="49"/>
  <c r="D823" i="49"/>
  <c r="D824" i="49"/>
  <c r="D825" i="49"/>
  <c r="D826" i="49"/>
  <c r="D827" i="49"/>
  <c r="D828" i="49"/>
  <c r="D821" i="49"/>
  <c r="AP831" i="49"/>
  <c r="AN831" i="49"/>
  <c r="AL831" i="49"/>
  <c r="AH223" i="57"/>
  <c r="AI223" i="57"/>
  <c r="AJ223" i="57"/>
  <c r="AH224" i="57"/>
  <c r="AI224" i="57"/>
  <c r="AJ224" i="57"/>
  <c r="AH225" i="57"/>
  <c r="AI225" i="57"/>
  <c r="AJ225" i="57"/>
  <c r="AH226" i="57"/>
  <c r="AI226" i="57"/>
  <c r="AJ226" i="57"/>
  <c r="AH227" i="57"/>
  <c r="AI227" i="57"/>
  <c r="AJ227" i="57"/>
  <c r="AH228" i="57"/>
  <c r="AI228" i="57"/>
  <c r="AJ228" i="57"/>
  <c r="AH229" i="57"/>
  <c r="AH230" i="57" s="1"/>
  <c r="AI229" i="57"/>
  <c r="AI230" i="57" s="1"/>
  <c r="B233" i="57" s="1"/>
  <c r="AJ229" i="57"/>
  <c r="BF822" i="49"/>
  <c r="BF823" i="49"/>
  <c r="BF824" i="49"/>
  <c r="BF825" i="49"/>
  <c r="BF826" i="49"/>
  <c r="BF827" i="49"/>
  <c r="BF828" i="49"/>
  <c r="AK822" i="49"/>
  <c r="AL822" i="49"/>
  <c r="AM822" i="49"/>
  <c r="AN822" i="49"/>
  <c r="AO822" i="49"/>
  <c r="AP822" i="49"/>
  <c r="AQ822" i="49"/>
  <c r="AR822" i="49"/>
  <c r="AS822" i="49"/>
  <c r="AT822" i="49"/>
  <c r="AU822" i="49"/>
  <c r="AV822" i="49"/>
  <c r="AK823" i="49"/>
  <c r="AL823" i="49"/>
  <c r="AM823" i="49"/>
  <c r="AN823" i="49"/>
  <c r="AO823" i="49"/>
  <c r="AP823" i="49"/>
  <c r="AQ823" i="49"/>
  <c r="AR823" i="49"/>
  <c r="AS823" i="49"/>
  <c r="AT823" i="49"/>
  <c r="AU823" i="49"/>
  <c r="AV823" i="49"/>
  <c r="AK824" i="49"/>
  <c r="AL824" i="49"/>
  <c r="AM824" i="49"/>
  <c r="AN824" i="49"/>
  <c r="AO824" i="49"/>
  <c r="AP824" i="49"/>
  <c r="AQ824" i="49"/>
  <c r="AR824" i="49"/>
  <c r="AS824" i="49"/>
  <c r="AT824" i="49"/>
  <c r="AU824" i="49"/>
  <c r="AV824" i="49"/>
  <c r="AK825" i="49"/>
  <c r="AL825" i="49"/>
  <c r="AM825" i="49"/>
  <c r="AN825" i="49"/>
  <c r="AO825" i="49"/>
  <c r="AP825" i="49"/>
  <c r="AQ825" i="49"/>
  <c r="AR825" i="49"/>
  <c r="AS825" i="49"/>
  <c r="AT825" i="49"/>
  <c r="AU825" i="49"/>
  <c r="AV825" i="49"/>
  <c r="AK826" i="49"/>
  <c r="AL826" i="49"/>
  <c r="AM826" i="49"/>
  <c r="AN826" i="49"/>
  <c r="AO826" i="49"/>
  <c r="AP826" i="49"/>
  <c r="AQ826" i="49"/>
  <c r="AR826" i="49"/>
  <c r="AS826" i="49"/>
  <c r="AT826" i="49"/>
  <c r="AU826" i="49"/>
  <c r="AV826" i="49"/>
  <c r="AK827" i="49"/>
  <c r="AL827" i="49"/>
  <c r="AM827" i="49"/>
  <c r="AN827" i="49"/>
  <c r="AO827" i="49"/>
  <c r="AP827" i="49"/>
  <c r="AQ827" i="49"/>
  <c r="AR827" i="49"/>
  <c r="AS827" i="49"/>
  <c r="AT827" i="49"/>
  <c r="AU827" i="49"/>
  <c r="AV827" i="49"/>
  <c r="AK828" i="49"/>
  <c r="AL828" i="49"/>
  <c r="AM828" i="49"/>
  <c r="AN828" i="49"/>
  <c r="AO828" i="49"/>
  <c r="AP828" i="49"/>
  <c r="AQ828" i="49"/>
  <c r="AR828" i="49"/>
  <c r="AS828" i="49"/>
  <c r="AT828" i="49"/>
  <c r="AU828" i="49"/>
  <c r="AV828" i="49"/>
  <c r="AN821" i="49"/>
  <c r="AO821" i="49"/>
  <c r="AP821" i="49"/>
  <c r="AQ821" i="49"/>
  <c r="AR821" i="49"/>
  <c r="AS821" i="49"/>
  <c r="AT821" i="49"/>
  <c r="AU821" i="49"/>
  <c r="AV821" i="49"/>
  <c r="AM821" i="49"/>
  <c r="AL821" i="49"/>
  <c r="AK821" i="49"/>
  <c r="AJ222" i="57"/>
  <c r="AH822" i="49"/>
  <c r="AH823" i="49"/>
  <c r="AH824" i="49"/>
  <c r="AH825" i="49"/>
  <c r="AH826" i="49"/>
  <c r="AH827" i="49"/>
  <c r="AH828" i="49"/>
  <c r="AG822" i="49"/>
  <c r="AG823" i="49"/>
  <c r="AG824" i="49"/>
  <c r="AG825" i="49"/>
  <c r="AG826" i="49"/>
  <c r="AG827" i="49"/>
  <c r="AG828" i="49"/>
  <c r="BF821" i="49"/>
  <c r="AH821" i="49"/>
  <c r="AG821" i="49"/>
  <c r="AH222" i="57"/>
  <c r="AI222" i="57"/>
  <c r="B815" i="49"/>
  <c r="B814" i="49"/>
  <c r="B813" i="49"/>
  <c r="B812" i="49"/>
  <c r="B811" i="49"/>
  <c r="B810" i="49"/>
  <c r="AQ797" i="49"/>
  <c r="AN806" i="49"/>
  <c r="AL797" i="49" a="1"/>
  <c r="AL797" i="49" s="1"/>
  <c r="AM797" i="49" a="1"/>
  <c r="AM797" i="49" s="1"/>
  <c r="AN797" i="49" a="1"/>
  <c r="AN797" i="49" s="1"/>
  <c r="AL798" i="49" a="1"/>
  <c r="AL798" i="49"/>
  <c r="AM798" i="49" a="1"/>
  <c r="AM798" i="49" s="1"/>
  <c r="AN798" i="49" a="1"/>
  <c r="AN798" i="49" s="1"/>
  <c r="AL799" i="49" a="1"/>
  <c r="AL799" i="49" s="1"/>
  <c r="AM799" i="49" a="1"/>
  <c r="AM799" i="49"/>
  <c r="AN799" i="49" a="1"/>
  <c r="AN799" i="49" s="1"/>
  <c r="AL800" i="49" a="1"/>
  <c r="AL800" i="49" s="1"/>
  <c r="AM800" i="49" a="1"/>
  <c r="AM800" i="49" s="1"/>
  <c r="AN800" i="49" a="1"/>
  <c r="AN800" i="49"/>
  <c r="AL801" i="49" a="1"/>
  <c r="AL801" i="49" s="1"/>
  <c r="AM801" i="49" a="1"/>
  <c r="AM801" i="49" s="1"/>
  <c r="AN801" i="49" a="1"/>
  <c r="AN801" i="49" s="1"/>
  <c r="AL802" i="49" a="1"/>
  <c r="AL802" i="49"/>
  <c r="AM802" i="49" a="1"/>
  <c r="AM802" i="49" s="1"/>
  <c r="AN802" i="49" a="1"/>
  <c r="AN802" i="49" s="1"/>
  <c r="AL803" i="49" a="1"/>
  <c r="AL803" i="49" s="1"/>
  <c r="AM803" i="49" a="1"/>
  <c r="AM803" i="49"/>
  <c r="AN803" i="49" a="1"/>
  <c r="AN803" i="49" s="1"/>
  <c r="AL804" i="49" a="1"/>
  <c r="AL804" i="49" s="1"/>
  <c r="AM804" i="49" a="1"/>
  <c r="AM804" i="49" s="1"/>
  <c r="AN804" i="49" a="1"/>
  <c r="AN804" i="49"/>
  <c r="AL805" i="49" a="1"/>
  <c r="AL805" i="49" s="1"/>
  <c r="AM805" i="49" a="1"/>
  <c r="AM805" i="49" s="1"/>
  <c r="AN805" i="49" a="1"/>
  <c r="AN805" i="49" s="1"/>
  <c r="AH796" i="49"/>
  <c r="AG796" i="49"/>
  <c r="D184" i="57"/>
  <c r="D185" i="57"/>
  <c r="D186" i="57"/>
  <c r="D187" i="57"/>
  <c r="D188" i="57"/>
  <c r="D189" i="57"/>
  <c r="D190" i="57"/>
  <c r="D183" i="57"/>
  <c r="B208" i="57"/>
  <c r="B209" i="57"/>
  <c r="B194" i="57"/>
  <c r="O191" i="57"/>
  <c r="P191" i="57"/>
  <c r="Q191" i="57"/>
  <c r="R191" i="57"/>
  <c r="S191" i="57"/>
  <c r="T191" i="57"/>
  <c r="U191" i="57"/>
  <c r="V191" i="57"/>
  <c r="W191" i="57"/>
  <c r="X191" i="57"/>
  <c r="Y191" i="57"/>
  <c r="Z191" i="57"/>
  <c r="AA191" i="57"/>
  <c r="AB191" i="57"/>
  <c r="AC191" i="57"/>
  <c r="AD191" i="57"/>
  <c r="N191" i="57"/>
  <c r="AG184" i="57"/>
  <c r="AH184" i="57"/>
  <c r="AI184" i="57"/>
  <c r="AJ184" i="57"/>
  <c r="AK184" i="57"/>
  <c r="AG185" i="57"/>
  <c r="AH185" i="57"/>
  <c r="AI185" i="57"/>
  <c r="AJ185" i="57"/>
  <c r="AK185" i="57"/>
  <c r="AG186" i="57"/>
  <c r="AH186" i="57"/>
  <c r="AI186" i="57"/>
  <c r="AJ186" i="57"/>
  <c r="AK186" i="57"/>
  <c r="AG187" i="57"/>
  <c r="AH187" i="57"/>
  <c r="AI187" i="57"/>
  <c r="AJ187" i="57"/>
  <c r="AK187" i="57"/>
  <c r="AG188" i="57"/>
  <c r="AH188" i="57"/>
  <c r="AI188" i="57"/>
  <c r="AJ188" i="57"/>
  <c r="AK188" i="57"/>
  <c r="AG189" i="57"/>
  <c r="AH189" i="57"/>
  <c r="AI189" i="57"/>
  <c r="AJ189" i="57"/>
  <c r="AK189" i="57"/>
  <c r="AG190" i="57"/>
  <c r="AH190" i="57"/>
  <c r="AI190" i="57"/>
  <c r="AJ190" i="57"/>
  <c r="AK190" i="57"/>
  <c r="AL184" i="57"/>
  <c r="AM184" i="57"/>
  <c r="AN184" i="57"/>
  <c r="AL191" i="57" s="1"/>
  <c r="B210" i="57" s="1"/>
  <c r="AO184" i="57"/>
  <c r="AP184" i="57"/>
  <c r="AQ184" i="57"/>
  <c r="AR184" i="57"/>
  <c r="AS184" i="57"/>
  <c r="AT184" i="57"/>
  <c r="AU184" i="57"/>
  <c r="AV184" i="57"/>
  <c r="AW184" i="57"/>
  <c r="AX184" i="57"/>
  <c r="AY184" i="57"/>
  <c r="AZ184" i="57"/>
  <c r="BA184" i="57"/>
  <c r="AL185" i="57"/>
  <c r="AM185" i="57"/>
  <c r="AN185" i="57"/>
  <c r="AO185" i="57"/>
  <c r="AP185" i="57"/>
  <c r="AQ185" i="57"/>
  <c r="AR185" i="57"/>
  <c r="AS185" i="57"/>
  <c r="AT185" i="57"/>
  <c r="AU185" i="57"/>
  <c r="AV185" i="57"/>
  <c r="AW185" i="57"/>
  <c r="AX185" i="57"/>
  <c r="AY185" i="57"/>
  <c r="AZ185" i="57"/>
  <c r="BA185" i="57"/>
  <c r="AL186" i="57"/>
  <c r="AM186" i="57"/>
  <c r="AN186" i="57"/>
  <c r="AO186" i="57"/>
  <c r="AP186" i="57"/>
  <c r="AQ186" i="57"/>
  <c r="AR186" i="57"/>
  <c r="AS186" i="57"/>
  <c r="AT186" i="57"/>
  <c r="AU186" i="57"/>
  <c r="AV186" i="57"/>
  <c r="AW186" i="57"/>
  <c r="AX186" i="57"/>
  <c r="AY186" i="57"/>
  <c r="AZ186" i="57"/>
  <c r="BA186" i="57"/>
  <c r="AL187" i="57"/>
  <c r="AM187" i="57"/>
  <c r="AN187" i="57"/>
  <c r="AO187" i="57"/>
  <c r="AP187" i="57"/>
  <c r="AQ187" i="57"/>
  <c r="AR187" i="57"/>
  <c r="AS187" i="57"/>
  <c r="AT187" i="57"/>
  <c r="AU187" i="57"/>
  <c r="AV187" i="57"/>
  <c r="AW187" i="57"/>
  <c r="AX187" i="57"/>
  <c r="AY187" i="57"/>
  <c r="AZ187" i="57"/>
  <c r="BA187" i="57"/>
  <c r="AL188" i="57"/>
  <c r="AM188" i="57"/>
  <c r="AN188" i="57"/>
  <c r="AO188" i="57"/>
  <c r="AP188" i="57"/>
  <c r="AQ188" i="57"/>
  <c r="AR188" i="57"/>
  <c r="AS188" i="57"/>
  <c r="AT188" i="57"/>
  <c r="AU188" i="57"/>
  <c r="AV188" i="57"/>
  <c r="AW188" i="57"/>
  <c r="AX188" i="57"/>
  <c r="AY188" i="57"/>
  <c r="AZ188" i="57"/>
  <c r="BA188" i="57"/>
  <c r="AL189" i="57"/>
  <c r="AM189" i="57"/>
  <c r="AN189" i="57"/>
  <c r="AO189" i="57"/>
  <c r="AP189" i="57"/>
  <c r="AQ189" i="57"/>
  <c r="AR189" i="57"/>
  <c r="AS189" i="57"/>
  <c r="AT189" i="57"/>
  <c r="AU189" i="57"/>
  <c r="AV189" i="57"/>
  <c r="AW189" i="57"/>
  <c r="AX189" i="57"/>
  <c r="AY189" i="57"/>
  <c r="AZ189" i="57"/>
  <c r="BA189" i="57"/>
  <c r="AL190" i="57"/>
  <c r="AM190" i="57"/>
  <c r="AN190" i="57"/>
  <c r="AO190" i="57"/>
  <c r="AP190" i="57"/>
  <c r="AQ190" i="57"/>
  <c r="AR190" i="57"/>
  <c r="AS190" i="57"/>
  <c r="AT190" i="57"/>
  <c r="AU190" i="57"/>
  <c r="AV190" i="57"/>
  <c r="AW190" i="57"/>
  <c r="AX190" i="57"/>
  <c r="AY190" i="57"/>
  <c r="AZ190" i="57"/>
  <c r="AM183" i="57"/>
  <c r="AN183" i="57"/>
  <c r="AO183" i="57"/>
  <c r="AP183" i="57"/>
  <c r="AQ183" i="57"/>
  <c r="AR183" i="57"/>
  <c r="AS183" i="57"/>
  <c r="AT183" i="57"/>
  <c r="AU183" i="57"/>
  <c r="AV183" i="57"/>
  <c r="AW183" i="57"/>
  <c r="AX183" i="57"/>
  <c r="AY183" i="57"/>
  <c r="AZ183" i="57"/>
  <c r="BA183" i="57"/>
  <c r="AH517" i="56"/>
  <c r="AG509" i="56"/>
  <c r="AH473" i="56"/>
  <c r="AG465" i="56"/>
  <c r="AH429" i="56"/>
  <c r="AH323" i="56"/>
  <c r="AG315" i="56"/>
  <c r="AH280" i="56"/>
  <c r="AG272" i="56"/>
  <c r="AG227" i="56"/>
  <c r="AG181" i="56"/>
  <c r="AG183" i="57"/>
  <c r="AH130" i="52"/>
  <c r="AH183" i="57"/>
  <c r="AI183" i="57"/>
  <c r="AJ183" i="57"/>
  <c r="AJ191" i="57" s="1"/>
  <c r="B211" i="57" s="1"/>
  <c r="AK183" i="57"/>
  <c r="AG95" i="52"/>
  <c r="AH103" i="52"/>
  <c r="AG69" i="52"/>
  <c r="AG43" i="52"/>
  <c r="D156" i="57"/>
  <c r="AD531" i="56"/>
  <c r="AC531" i="56"/>
  <c r="AB531" i="56"/>
  <c r="AA531" i="56"/>
  <c r="Z531" i="56"/>
  <c r="Y531" i="56"/>
  <c r="X531" i="56"/>
  <c r="W531" i="56"/>
  <c r="V531" i="56"/>
  <c r="U531" i="56"/>
  <c r="T531" i="56"/>
  <c r="S531" i="56"/>
  <c r="R531" i="56"/>
  <c r="Q531" i="56"/>
  <c r="P531" i="56"/>
  <c r="AD517" i="56"/>
  <c r="AC517" i="56"/>
  <c r="AB517" i="56"/>
  <c r="AA517" i="56"/>
  <c r="Z517" i="56"/>
  <c r="Y517" i="56"/>
  <c r="X517" i="56"/>
  <c r="W517" i="56"/>
  <c r="V517" i="56"/>
  <c r="U517" i="56"/>
  <c r="T517" i="56"/>
  <c r="S517" i="56"/>
  <c r="R517" i="56"/>
  <c r="Q517" i="56"/>
  <c r="P517" i="56"/>
  <c r="BN530" i="56" a="1"/>
  <c r="BN530" i="56" s="1"/>
  <c r="BM530" i="56" a="1"/>
  <c r="BM530" i="56" s="1"/>
  <c r="BL530" i="56" a="1"/>
  <c r="BL530" i="56" s="1"/>
  <c r="BK530" i="56"/>
  <c r="BK530" i="56" a="1"/>
  <c r="BJ530" i="56" a="1"/>
  <c r="BJ530" i="56" s="1"/>
  <c r="BI530" i="56" a="1"/>
  <c r="BI530" i="56" s="1"/>
  <c r="BH530" i="56" a="1"/>
  <c r="BH530" i="56" s="1"/>
  <c r="BG530" i="56"/>
  <c r="BG530" i="56" a="1"/>
  <c r="BF530" i="56" a="1"/>
  <c r="BF530" i="56" s="1"/>
  <c r="BE530" i="56" a="1"/>
  <c r="BE530" i="56" s="1"/>
  <c r="BD530" i="56" a="1"/>
  <c r="BD530" i="56" s="1"/>
  <c r="BC530" i="56" a="1"/>
  <c r="BC530" i="56" s="1"/>
  <c r="BB530" i="56" a="1"/>
  <c r="BB530" i="56" s="1"/>
  <c r="BA530" i="56" a="1"/>
  <c r="BA530" i="56" s="1"/>
  <c r="AZ530" i="56" a="1"/>
  <c r="AZ530" i="56" s="1"/>
  <c r="AY530" i="56"/>
  <c r="AX530" i="56"/>
  <c r="AW530" i="56"/>
  <c r="AV530" i="56"/>
  <c r="AU530" i="56"/>
  <c r="AT530" i="56"/>
  <c r="AS530" i="56"/>
  <c r="AR530" i="56"/>
  <c r="AQ530" i="56"/>
  <c r="AP530" i="56"/>
  <c r="AO530" i="56"/>
  <c r="AN530" i="56"/>
  <c r="AM530" i="56"/>
  <c r="AL530" i="56"/>
  <c r="AK530" i="56"/>
  <c r="BN529" i="56" a="1"/>
  <c r="BN529" i="56" s="1"/>
  <c r="BM529" i="56" a="1"/>
  <c r="BM529" i="56" s="1"/>
  <c r="BL529" i="56"/>
  <c r="BL529" i="56" a="1"/>
  <c r="BK529" i="56" a="1"/>
  <c r="BK529" i="56" s="1"/>
  <c r="BJ529" i="56" a="1"/>
  <c r="BJ529" i="56" s="1"/>
  <c r="BI529" i="56" a="1"/>
  <c r="BI529" i="56" s="1"/>
  <c r="BH529" i="56"/>
  <c r="BH529" i="56" a="1"/>
  <c r="BG529" i="56" a="1"/>
  <c r="BG529" i="56" s="1"/>
  <c r="BF529" i="56" a="1"/>
  <c r="BF529" i="56" s="1"/>
  <c r="BE529" i="56" a="1"/>
  <c r="BE529" i="56" s="1"/>
  <c r="BD529" i="56"/>
  <c r="BD529" i="56" a="1"/>
  <c r="BC529" i="56" a="1"/>
  <c r="BC529" i="56" s="1"/>
  <c r="BB529" i="56" a="1"/>
  <c r="BB529" i="56" s="1"/>
  <c r="BA529" i="56" a="1"/>
  <c r="BA529" i="56" s="1"/>
  <c r="AZ529" i="56"/>
  <c r="AZ529" i="56" a="1"/>
  <c r="AY529" i="56"/>
  <c r="AX529" i="56"/>
  <c r="AW529" i="56"/>
  <c r="AV529" i="56"/>
  <c r="AU529" i="56"/>
  <c r="AT529" i="56"/>
  <c r="AS529" i="56"/>
  <c r="AR529" i="56"/>
  <c r="AQ529" i="56"/>
  <c r="AP529" i="56"/>
  <c r="AO529" i="56"/>
  <c r="AN529" i="56"/>
  <c r="AM529" i="56"/>
  <c r="AL529" i="56"/>
  <c r="AK529" i="56"/>
  <c r="BN528" i="56"/>
  <c r="BN528" i="56" a="1"/>
  <c r="BM528" i="56"/>
  <c r="BM528" i="56" a="1"/>
  <c r="BL528" i="56"/>
  <c r="BL528" i="56" a="1"/>
  <c r="BK528" i="56" a="1"/>
  <c r="BK528" i="56" s="1"/>
  <c r="BJ528" i="56"/>
  <c r="BJ528" i="56" a="1"/>
  <c r="BI528" i="56"/>
  <c r="BI528" i="56" a="1"/>
  <c r="BH528" i="56"/>
  <c r="BH528" i="56" a="1"/>
  <c r="BG528" i="56" a="1"/>
  <c r="BG528" i="56" s="1"/>
  <c r="BF528" i="56" a="1"/>
  <c r="BF528" i="56" s="1"/>
  <c r="BE528" i="56"/>
  <c r="BE528" i="56" a="1"/>
  <c r="BD528" i="56"/>
  <c r="BD528" i="56" a="1"/>
  <c r="BC528" i="56" a="1"/>
  <c r="BC528" i="56" s="1"/>
  <c r="BB528" i="56" a="1"/>
  <c r="BB528" i="56" s="1"/>
  <c r="BA528" i="56"/>
  <c r="BA528" i="56" a="1"/>
  <c r="AZ528" i="56"/>
  <c r="AZ528" i="56" a="1"/>
  <c r="AY528" i="56"/>
  <c r="AX528" i="56"/>
  <c r="AW528" i="56"/>
  <c r="AV528" i="56"/>
  <c r="AU528" i="56"/>
  <c r="AT528" i="56"/>
  <c r="AS528" i="56"/>
  <c r="AR528" i="56"/>
  <c r="AQ528" i="56"/>
  <c r="AP528" i="56"/>
  <c r="AO528" i="56"/>
  <c r="AN528" i="56"/>
  <c r="AM528" i="56"/>
  <c r="AL528" i="56"/>
  <c r="AK528" i="56"/>
  <c r="BN527" i="56" a="1"/>
  <c r="BN527" i="56" s="1"/>
  <c r="BM527" i="56"/>
  <c r="BM527" i="56" a="1"/>
  <c r="BL527" i="56"/>
  <c r="BL527" i="56" a="1"/>
  <c r="BK527" i="56" a="1"/>
  <c r="BK527" i="56" s="1"/>
  <c r="BJ527" i="56" a="1"/>
  <c r="BJ527" i="56" s="1"/>
  <c r="BI527" i="56"/>
  <c r="BI527" i="56" a="1"/>
  <c r="BH527" i="56"/>
  <c r="BH527" i="56" a="1"/>
  <c r="BG527" i="56" a="1"/>
  <c r="BG527" i="56" s="1"/>
  <c r="BF527" i="56" a="1"/>
  <c r="BF527" i="56" s="1"/>
  <c r="BE527" i="56"/>
  <c r="BE527" i="56" a="1"/>
  <c r="BD527" i="56"/>
  <c r="BD527" i="56" a="1"/>
  <c r="BC527" i="56" a="1"/>
  <c r="BC527" i="56" s="1"/>
  <c r="BB527" i="56" a="1"/>
  <c r="BB527" i="56" s="1"/>
  <c r="BA527" i="56"/>
  <c r="BA527" i="56" a="1"/>
  <c r="AZ527" i="56" a="1"/>
  <c r="AZ527" i="56" s="1"/>
  <c r="AY527" i="56"/>
  <c r="AX527" i="56"/>
  <c r="AW527" i="56"/>
  <c r="AV527" i="56"/>
  <c r="AU527" i="56"/>
  <c r="AT527" i="56"/>
  <c r="AS527" i="56"/>
  <c r="AR527" i="56"/>
  <c r="AQ527" i="56"/>
  <c r="AP527" i="56"/>
  <c r="AO527" i="56"/>
  <c r="AN527" i="56"/>
  <c r="AM527" i="56"/>
  <c r="AL527" i="56"/>
  <c r="AK527" i="56"/>
  <c r="BN526" i="56"/>
  <c r="BN526" i="56" a="1"/>
  <c r="BM526" i="56"/>
  <c r="BM526" i="56" a="1"/>
  <c r="BL526" i="56" a="1"/>
  <c r="BL526" i="56" s="1"/>
  <c r="BK526" i="56" a="1"/>
  <c r="BK526" i="56" s="1"/>
  <c r="BJ526" i="56"/>
  <c r="BJ526" i="56" a="1"/>
  <c r="BI526" i="56"/>
  <c r="BI526" i="56" a="1"/>
  <c r="BH526" i="56" a="1"/>
  <c r="BH526" i="56" s="1"/>
  <c r="BG526" i="56" a="1"/>
  <c r="BG526" i="56" s="1"/>
  <c r="BF526" i="56"/>
  <c r="BF526" i="56" a="1"/>
  <c r="BE526" i="56"/>
  <c r="BE526" i="56" a="1"/>
  <c r="BD526" i="56" a="1"/>
  <c r="BD526" i="56" s="1"/>
  <c r="BC526" i="56" a="1"/>
  <c r="BC526" i="56" s="1"/>
  <c r="BB526" i="56"/>
  <c r="BB526" i="56" a="1"/>
  <c r="BA526" i="56"/>
  <c r="BA526" i="56" a="1"/>
  <c r="AZ526" i="56" a="1"/>
  <c r="AZ526" i="56" s="1"/>
  <c r="AY526" i="56"/>
  <c r="AX526" i="56"/>
  <c r="AW526" i="56"/>
  <c r="AV526" i="56"/>
  <c r="AU526" i="56"/>
  <c r="AT526" i="56"/>
  <c r="AS526" i="56"/>
  <c r="AR526" i="56"/>
  <c r="AQ526" i="56"/>
  <c r="AP526" i="56"/>
  <c r="AO526" i="56"/>
  <c r="AN526" i="56"/>
  <c r="AM526" i="56"/>
  <c r="AL526" i="56"/>
  <c r="AK526" i="56"/>
  <c r="BN525" i="56"/>
  <c r="BN525" i="56" a="1"/>
  <c r="BM525" i="56"/>
  <c r="BM525" i="56" a="1"/>
  <c r="BL525" i="56" a="1"/>
  <c r="BL525" i="56" s="1"/>
  <c r="BK525" i="56" a="1"/>
  <c r="BK525" i="56" s="1"/>
  <c r="BJ525" i="56"/>
  <c r="BJ525" i="56" a="1"/>
  <c r="BI525" i="56"/>
  <c r="BI525" i="56" a="1"/>
  <c r="BH525" i="56" a="1"/>
  <c r="BH525" i="56" s="1"/>
  <c r="BG525" i="56" a="1"/>
  <c r="BG525" i="56" s="1"/>
  <c r="BF525" i="56"/>
  <c r="BF525" i="56" a="1"/>
  <c r="BE525" i="56"/>
  <c r="BE525" i="56" a="1"/>
  <c r="BD525" i="56" a="1"/>
  <c r="BD525" i="56" s="1"/>
  <c r="BC525" i="56" a="1"/>
  <c r="BC525" i="56" s="1"/>
  <c r="BB525" i="56"/>
  <c r="BB525" i="56" a="1"/>
  <c r="BA525" i="56"/>
  <c r="BA525" i="56" a="1"/>
  <c r="AZ525" i="56" a="1"/>
  <c r="AZ525" i="56" s="1"/>
  <c r="AY525" i="56"/>
  <c r="AX525" i="56"/>
  <c r="AW525" i="56"/>
  <c r="AV525" i="56"/>
  <c r="AU525" i="56"/>
  <c r="AT525" i="56"/>
  <c r="AS525" i="56"/>
  <c r="AR525" i="56"/>
  <c r="AQ525" i="56"/>
  <c r="AP525" i="56"/>
  <c r="AO525" i="56"/>
  <c r="AN525" i="56"/>
  <c r="AM525" i="56"/>
  <c r="AL525" i="56"/>
  <c r="AK525" i="56"/>
  <c r="BN524" i="56"/>
  <c r="BN524" i="56" a="1"/>
  <c r="BM524" i="56" a="1"/>
  <c r="BM524" i="56" s="1"/>
  <c r="BL524" i="56"/>
  <c r="BL524" i="56" a="1"/>
  <c r="BK524" i="56"/>
  <c r="BK524" i="56" a="1"/>
  <c r="BJ524" i="56"/>
  <c r="BJ524" i="56" a="1"/>
  <c r="BI524" i="56" a="1"/>
  <c r="BI524" i="56" s="1"/>
  <c r="BH524" i="56"/>
  <c r="BH524" i="56" a="1"/>
  <c r="BG524" i="56" a="1"/>
  <c r="BG524" i="56" s="1"/>
  <c r="BF524" i="56"/>
  <c r="BF524" i="56" a="1"/>
  <c r="BE524" i="56" a="1"/>
  <c r="BE524" i="56" s="1"/>
  <c r="BD524" i="56"/>
  <c r="BD524" i="56" a="1"/>
  <c r="BC524" i="56" a="1"/>
  <c r="BC524" i="56" s="1"/>
  <c r="BB524" i="56" a="1"/>
  <c r="BB524" i="56" s="1"/>
  <c r="BA524" i="56" a="1"/>
  <c r="BA524" i="56" s="1"/>
  <c r="AZ524" i="56"/>
  <c r="AZ524" i="56" a="1"/>
  <c r="AY524" i="56"/>
  <c r="AX524" i="56"/>
  <c r="AW524" i="56"/>
  <c r="AV524" i="56"/>
  <c r="AU524" i="56"/>
  <c r="AT524" i="56"/>
  <c r="AT531" i="56" s="1"/>
  <c r="AS524" i="56"/>
  <c r="AR524" i="56"/>
  <c r="AQ524" i="56"/>
  <c r="AP524" i="56"/>
  <c r="AO524" i="56"/>
  <c r="AN524" i="56"/>
  <c r="AM524" i="56"/>
  <c r="AL524" i="56"/>
  <c r="AK524" i="56"/>
  <c r="BN523" i="56"/>
  <c r="BN523" i="56" a="1"/>
  <c r="BM523" i="56" a="1"/>
  <c r="BM523" i="56" s="1"/>
  <c r="BL523" i="56" a="1"/>
  <c r="BL523" i="56" s="1"/>
  <c r="BK523" i="56"/>
  <c r="BK523" i="56" a="1"/>
  <c r="BJ523" i="56"/>
  <c r="BJ523" i="56" a="1"/>
  <c r="BI523" i="56" a="1"/>
  <c r="BI523" i="56" s="1"/>
  <c r="BH523" i="56" a="1"/>
  <c r="BH523" i="56" s="1"/>
  <c r="BG523" i="56"/>
  <c r="BG523" i="56" a="1"/>
  <c r="BF523" i="56"/>
  <c r="BF523" i="56" a="1"/>
  <c r="BE523" i="56" a="1"/>
  <c r="BE523" i="56" s="1"/>
  <c r="BD523" i="56" a="1"/>
  <c r="BD523" i="56" s="1"/>
  <c r="BC523" i="56"/>
  <c r="BC523" i="56" a="1"/>
  <c r="BB523" i="56"/>
  <c r="BB523" i="56" a="1"/>
  <c r="BA523" i="56" a="1"/>
  <c r="BA523" i="56" s="1"/>
  <c r="AZ523" i="56" a="1"/>
  <c r="AZ523" i="56" s="1"/>
  <c r="AY523" i="56"/>
  <c r="AY531" i="56" s="1"/>
  <c r="AX523" i="56"/>
  <c r="AW523" i="56"/>
  <c r="AW531" i="56" s="1"/>
  <c r="AV523" i="56"/>
  <c r="AV531" i="56" s="1"/>
  <c r="AU523" i="56"/>
  <c r="AT523" i="56"/>
  <c r="AS523" i="56"/>
  <c r="AS531" i="56" s="1"/>
  <c r="AR523" i="56"/>
  <c r="AQ523" i="56"/>
  <c r="AQ531" i="56" s="1"/>
  <c r="AP523" i="56"/>
  <c r="AP531" i="56" s="1"/>
  <c r="AO523" i="56"/>
  <c r="AN523" i="56"/>
  <c r="AN531" i="56" s="1"/>
  <c r="AM523" i="56"/>
  <c r="AM531" i="56" s="1"/>
  <c r="AL523" i="56"/>
  <c r="AK523" i="56"/>
  <c r="AK531" i="56" s="1"/>
  <c r="BN516" i="56"/>
  <c r="BN516" i="56" a="1"/>
  <c r="BM516" i="56" a="1"/>
  <c r="BM516" i="56" s="1"/>
  <c r="BL516" i="56" a="1"/>
  <c r="BL516" i="56" s="1"/>
  <c r="BK516" i="56"/>
  <c r="BK516" i="56" a="1"/>
  <c r="BJ516" i="56"/>
  <c r="BJ516" i="56" a="1"/>
  <c r="BI516" i="56" a="1"/>
  <c r="BI516" i="56" s="1"/>
  <c r="BH516" i="56" a="1"/>
  <c r="BH516" i="56" s="1"/>
  <c r="BG516" i="56"/>
  <c r="BG516" i="56" a="1"/>
  <c r="BF516" i="56" a="1"/>
  <c r="BF516" i="56" s="1"/>
  <c r="BE516" i="56" a="1"/>
  <c r="BE516" i="56" s="1"/>
  <c r="BD516" i="56" a="1"/>
  <c r="BD516" i="56" s="1"/>
  <c r="BC516" i="56"/>
  <c r="BC516" i="56" a="1"/>
  <c r="BB516" i="56" a="1"/>
  <c r="BB516" i="56" s="1"/>
  <c r="BA516" i="56" a="1"/>
  <c r="BA516" i="56" s="1"/>
  <c r="AZ516" i="56" a="1"/>
  <c r="AZ516" i="56" s="1"/>
  <c r="AY516" i="56"/>
  <c r="AX516" i="56"/>
  <c r="AW516" i="56"/>
  <c r="AV516" i="56"/>
  <c r="AU516" i="56"/>
  <c r="AT516" i="56"/>
  <c r="AS516" i="56"/>
  <c r="AR516" i="56"/>
  <c r="AQ516" i="56"/>
  <c r="AP516" i="56"/>
  <c r="AO516" i="56"/>
  <c r="AN516" i="56"/>
  <c r="AM516" i="56"/>
  <c r="AL516" i="56"/>
  <c r="AK516" i="56"/>
  <c r="BN515" i="56"/>
  <c r="BN515" i="56" a="1"/>
  <c r="BM515" i="56"/>
  <c r="BM515" i="56" a="1"/>
  <c r="BL515" i="56" a="1"/>
  <c r="BL515" i="56" s="1"/>
  <c r="BK515" i="56"/>
  <c r="BK515" i="56" a="1"/>
  <c r="BJ515" i="56"/>
  <c r="BJ515" i="56" a="1"/>
  <c r="BI515" i="56"/>
  <c r="BI515" i="56" a="1"/>
  <c r="BH515" i="56" a="1"/>
  <c r="BH515" i="56" s="1"/>
  <c r="BG515" i="56"/>
  <c r="BG515" i="56" a="1"/>
  <c r="BF515" i="56"/>
  <c r="BF515" i="56" a="1"/>
  <c r="BE515" i="56"/>
  <c r="BE515" i="56" a="1"/>
  <c r="BD515" i="56" a="1"/>
  <c r="BD515" i="56" s="1"/>
  <c r="BC515" i="56"/>
  <c r="BC515" i="56" a="1"/>
  <c r="BB515" i="56"/>
  <c r="BB515" i="56" a="1"/>
  <c r="BA515" i="56"/>
  <c r="BA515" i="56" a="1"/>
  <c r="AZ515" i="56" a="1"/>
  <c r="AZ515" i="56" s="1"/>
  <c r="AY515" i="56"/>
  <c r="AX515" i="56"/>
  <c r="AW515" i="56"/>
  <c r="AV515" i="56"/>
  <c r="AU515" i="56"/>
  <c r="AT515" i="56"/>
  <c r="AS515" i="56"/>
  <c r="AR515" i="56"/>
  <c r="AQ515" i="56"/>
  <c r="AP515" i="56"/>
  <c r="AO515" i="56"/>
  <c r="AN515" i="56"/>
  <c r="AM515" i="56"/>
  <c r="AL515" i="56"/>
  <c r="AK515" i="56"/>
  <c r="BN514" i="56" a="1"/>
  <c r="BN514" i="56" s="1"/>
  <c r="BM514" i="56" a="1"/>
  <c r="BM514" i="56" s="1"/>
  <c r="BL514" i="56"/>
  <c r="BL514" i="56" a="1"/>
  <c r="BK514" i="56"/>
  <c r="BK514" i="56" a="1"/>
  <c r="BJ514" i="56" a="1"/>
  <c r="BJ514" i="56" s="1"/>
  <c r="BI514" i="56" a="1"/>
  <c r="BI514" i="56" s="1"/>
  <c r="BH514" i="56"/>
  <c r="BH514" i="56" a="1"/>
  <c r="BG514" i="56"/>
  <c r="BG514" i="56" a="1"/>
  <c r="BF514" i="56" a="1"/>
  <c r="BF514" i="56" s="1"/>
  <c r="BE514" i="56" a="1"/>
  <c r="BE514" i="56" s="1"/>
  <c r="BD514" i="56"/>
  <c r="BD514" i="56" a="1"/>
  <c r="BC514" i="56"/>
  <c r="BC514" i="56" a="1"/>
  <c r="BB514" i="56" a="1"/>
  <c r="BB514" i="56" s="1"/>
  <c r="BA514" i="56" a="1"/>
  <c r="BA514" i="56" s="1"/>
  <c r="AZ514" i="56"/>
  <c r="AZ514" i="56" a="1"/>
  <c r="AY514" i="56"/>
  <c r="AX514" i="56"/>
  <c r="AW514" i="56"/>
  <c r="AV514" i="56"/>
  <c r="AU514" i="56"/>
  <c r="AT514" i="56"/>
  <c r="AS514" i="56"/>
  <c r="AR514" i="56"/>
  <c r="AQ514" i="56"/>
  <c r="AP514" i="56"/>
  <c r="AO514" i="56"/>
  <c r="AN514" i="56"/>
  <c r="AM514" i="56"/>
  <c r="AL514" i="56"/>
  <c r="AK514" i="56"/>
  <c r="BN513" i="56"/>
  <c r="BN513" i="56" a="1"/>
  <c r="BM513" i="56" a="1"/>
  <c r="BM513" i="56" s="1"/>
  <c r="BL513" i="56"/>
  <c r="BL513" i="56" a="1"/>
  <c r="BK513" i="56"/>
  <c r="BK513" i="56" a="1"/>
  <c r="BJ513" i="56"/>
  <c r="BJ513" i="56" a="1"/>
  <c r="BI513" i="56" a="1"/>
  <c r="BI513" i="56" s="1"/>
  <c r="BH513" i="56"/>
  <c r="BH513" i="56" a="1"/>
  <c r="BG513" i="56"/>
  <c r="BG513" i="56" a="1"/>
  <c r="BF513" i="56"/>
  <c r="BF513" i="56" a="1"/>
  <c r="BE513" i="56" a="1"/>
  <c r="BE513" i="56" s="1"/>
  <c r="BD513" i="56"/>
  <c r="BD513" i="56" a="1"/>
  <c r="BC513" i="56"/>
  <c r="BC513" i="56" a="1"/>
  <c r="BB513" i="56"/>
  <c r="BB513" i="56" a="1"/>
  <c r="BA513" i="56" a="1"/>
  <c r="BA513" i="56" s="1"/>
  <c r="AZ513" i="56"/>
  <c r="AZ513" i="56" a="1"/>
  <c r="AY513" i="56"/>
  <c r="AX513" i="56"/>
  <c r="AW513" i="56"/>
  <c r="AV513" i="56"/>
  <c r="AU513" i="56"/>
  <c r="AT513" i="56"/>
  <c r="AS513" i="56"/>
  <c r="AR513" i="56"/>
  <c r="AQ513" i="56"/>
  <c r="AP513" i="56"/>
  <c r="AO513" i="56"/>
  <c r="AN513" i="56"/>
  <c r="AM513" i="56"/>
  <c r="AL513" i="56"/>
  <c r="AK513" i="56"/>
  <c r="BN512" i="56" a="1"/>
  <c r="BN512" i="56" s="1"/>
  <c r="BM512" i="56"/>
  <c r="BM512" i="56" a="1"/>
  <c r="BL512" i="56"/>
  <c r="BL512" i="56" a="1"/>
  <c r="BK512" i="56" a="1"/>
  <c r="BK512" i="56" s="1"/>
  <c r="BJ512" i="56" a="1"/>
  <c r="BJ512" i="56" s="1"/>
  <c r="BI512" i="56"/>
  <c r="BI512" i="56" a="1"/>
  <c r="BH512" i="56"/>
  <c r="BH512" i="56" a="1"/>
  <c r="BG512" i="56" a="1"/>
  <c r="BG512" i="56" s="1"/>
  <c r="BF512" i="56" a="1"/>
  <c r="BF512" i="56" s="1"/>
  <c r="BE512" i="56"/>
  <c r="BE512" i="56" a="1"/>
  <c r="BD512" i="56"/>
  <c r="BD512" i="56" a="1"/>
  <c r="BC512" i="56" a="1"/>
  <c r="BC512" i="56" s="1"/>
  <c r="BB512" i="56" a="1"/>
  <c r="BB512" i="56" s="1"/>
  <c r="BA512" i="56"/>
  <c r="BA512" i="56" a="1"/>
  <c r="AZ512" i="56"/>
  <c r="AZ512" i="56" a="1"/>
  <c r="AY512" i="56"/>
  <c r="AX512" i="56"/>
  <c r="AW512" i="56"/>
  <c r="AV512" i="56"/>
  <c r="AU512" i="56"/>
  <c r="AT512" i="56"/>
  <c r="AS512" i="56"/>
  <c r="AR512" i="56"/>
  <c r="AQ512" i="56"/>
  <c r="AP512" i="56"/>
  <c r="AO512" i="56"/>
  <c r="AN512" i="56"/>
  <c r="AM512" i="56"/>
  <c r="AL512" i="56"/>
  <c r="AK512" i="56"/>
  <c r="BN511" i="56" a="1"/>
  <c r="BN511" i="56" s="1"/>
  <c r="BM511" i="56"/>
  <c r="BM511" i="56" a="1"/>
  <c r="BL511" i="56"/>
  <c r="BL511" i="56" a="1"/>
  <c r="BK511" i="56"/>
  <c r="BK511" i="56" a="1"/>
  <c r="BJ511" i="56" a="1"/>
  <c r="BJ511" i="56" s="1"/>
  <c r="BI511" i="56"/>
  <c r="BI511" i="56" a="1"/>
  <c r="BH511" i="56"/>
  <c r="BH511" i="56" a="1"/>
  <c r="BG511" i="56"/>
  <c r="BG511" i="56" a="1"/>
  <c r="BF511" i="56" a="1"/>
  <c r="BF511" i="56" s="1"/>
  <c r="BE511" i="56"/>
  <c r="BE511" i="56" a="1"/>
  <c r="BD511" i="56"/>
  <c r="BD511" i="56" a="1"/>
  <c r="BC511" i="56"/>
  <c r="BC511" i="56" a="1"/>
  <c r="BB511" i="56" a="1"/>
  <c r="BB511" i="56" s="1"/>
  <c r="BA511" i="56"/>
  <c r="BA511" i="56" a="1"/>
  <c r="AZ511" i="56"/>
  <c r="AZ511" i="56" a="1"/>
  <c r="AY511" i="56"/>
  <c r="AX511" i="56"/>
  <c r="AW511" i="56"/>
  <c r="AV511" i="56"/>
  <c r="AV517" i="56" s="1"/>
  <c r="AU511" i="56"/>
  <c r="AT511" i="56"/>
  <c r="AS511" i="56"/>
  <c r="AR511" i="56"/>
  <c r="AQ511" i="56"/>
  <c r="AP511" i="56"/>
  <c r="AO511" i="56"/>
  <c r="AN511" i="56"/>
  <c r="AM511" i="56"/>
  <c r="AL511" i="56"/>
  <c r="AK511" i="56"/>
  <c r="BN510" i="56"/>
  <c r="BN510" i="56" a="1"/>
  <c r="BM510" i="56"/>
  <c r="BM510" i="56" a="1"/>
  <c r="BL510" i="56" a="1"/>
  <c r="BL510" i="56" s="1"/>
  <c r="BK510" i="56" a="1"/>
  <c r="BK510" i="56" s="1"/>
  <c r="BJ510" i="56"/>
  <c r="BJ510" i="56" a="1"/>
  <c r="BI510" i="56"/>
  <c r="BI510" i="56" a="1"/>
  <c r="BH510" i="56" a="1"/>
  <c r="BH510" i="56" s="1"/>
  <c r="BG510" i="56" a="1"/>
  <c r="BG510" i="56" s="1"/>
  <c r="BF510" i="56"/>
  <c r="BF510" i="56" a="1"/>
  <c r="BE510" i="56"/>
  <c r="BE510" i="56" a="1"/>
  <c r="BD510" i="56" a="1"/>
  <c r="BD510" i="56" s="1"/>
  <c r="BC510" i="56" a="1"/>
  <c r="BC510" i="56" s="1"/>
  <c r="BB510" i="56"/>
  <c r="BB510" i="56" a="1"/>
  <c r="BA510" i="56"/>
  <c r="BA510" i="56" a="1"/>
  <c r="AZ510" i="56" a="1"/>
  <c r="AZ510" i="56" s="1"/>
  <c r="AY510" i="56"/>
  <c r="AX510" i="56"/>
  <c r="AW510" i="56"/>
  <c r="AV510" i="56"/>
  <c r="AU510" i="56"/>
  <c r="AT510" i="56"/>
  <c r="AS510" i="56"/>
  <c r="AR510" i="56"/>
  <c r="AQ510" i="56"/>
  <c r="AP510" i="56"/>
  <c r="AO510" i="56"/>
  <c r="AN510" i="56"/>
  <c r="AM510" i="56"/>
  <c r="AL510" i="56"/>
  <c r="AK510" i="56"/>
  <c r="BN509" i="56"/>
  <c r="BN509" i="56" a="1"/>
  <c r="BM509" i="56"/>
  <c r="BM509" i="56" a="1"/>
  <c r="BL509" i="56"/>
  <c r="BL509" i="56" a="1"/>
  <c r="BK509" i="56" a="1"/>
  <c r="BK509" i="56" s="1"/>
  <c r="BJ509" i="56"/>
  <c r="BJ509" i="56" a="1"/>
  <c r="BI509" i="56"/>
  <c r="BI509" i="56" a="1"/>
  <c r="BH509" i="56"/>
  <c r="BH509" i="56" a="1"/>
  <c r="BG509" i="56" a="1"/>
  <c r="BG509" i="56" s="1"/>
  <c r="BF509" i="56"/>
  <c r="BF509" i="56" a="1"/>
  <c r="BE509" i="56"/>
  <c r="BE509" i="56" a="1"/>
  <c r="BD509" i="56"/>
  <c r="BD509" i="56" a="1"/>
  <c r="BC509" i="56" a="1"/>
  <c r="BC509" i="56" s="1"/>
  <c r="BB509" i="56"/>
  <c r="BB509" i="56" a="1"/>
  <c r="BA509" i="56"/>
  <c r="BA509" i="56" a="1"/>
  <c r="AZ509" i="56"/>
  <c r="AZ509" i="56" a="1"/>
  <c r="AY509" i="56"/>
  <c r="AY517" i="56" s="1"/>
  <c r="AX509" i="56"/>
  <c r="AW509" i="56"/>
  <c r="AW517" i="56" s="1"/>
  <c r="AV509" i="56"/>
  <c r="AU509" i="56"/>
  <c r="AT509" i="56"/>
  <c r="AT517" i="56" s="1"/>
  <c r="AS509" i="56"/>
  <c r="AS517" i="56" s="1"/>
  <c r="AR509" i="56"/>
  <c r="AQ509" i="56"/>
  <c r="AQ517" i="56" s="1"/>
  <c r="AP509" i="56"/>
  <c r="AP517" i="56" s="1"/>
  <c r="AO509" i="56"/>
  <c r="AN509" i="56"/>
  <c r="AN517" i="56" s="1"/>
  <c r="AM509" i="56"/>
  <c r="AM517" i="56" s="1"/>
  <c r="AL509" i="56"/>
  <c r="AK509" i="56"/>
  <c r="AK517" i="56" s="1"/>
  <c r="AH509" i="56"/>
  <c r="AD487" i="56"/>
  <c r="AC487" i="56"/>
  <c r="AB487" i="56"/>
  <c r="AA487" i="56"/>
  <c r="Z487" i="56"/>
  <c r="Y487" i="56"/>
  <c r="X487" i="56"/>
  <c r="W487" i="56"/>
  <c r="V487" i="56"/>
  <c r="U487" i="56"/>
  <c r="T487" i="56"/>
  <c r="S487" i="56"/>
  <c r="R487" i="56"/>
  <c r="Q487" i="56"/>
  <c r="P487" i="56"/>
  <c r="AD473" i="56"/>
  <c r="AC473" i="56"/>
  <c r="AB473" i="56"/>
  <c r="AA473" i="56"/>
  <c r="Z473" i="56"/>
  <c r="Y473" i="56"/>
  <c r="X473" i="56"/>
  <c r="W473" i="56"/>
  <c r="V473" i="56"/>
  <c r="U473" i="56"/>
  <c r="T473" i="56"/>
  <c r="S473" i="56"/>
  <c r="R473" i="56"/>
  <c r="Q473" i="56"/>
  <c r="P473" i="56"/>
  <c r="BN486" i="56"/>
  <c r="BN486" i="56" a="1"/>
  <c r="BM486" i="56" a="1"/>
  <c r="BM486" i="56" s="1"/>
  <c r="BL486" i="56" a="1"/>
  <c r="BL486" i="56" s="1"/>
  <c r="BK486" i="56" a="1"/>
  <c r="BK486" i="56" s="1"/>
  <c r="BJ486" i="56"/>
  <c r="BJ486" i="56" a="1"/>
  <c r="BI486" i="56" a="1"/>
  <c r="BI486" i="56" s="1"/>
  <c r="BH486" i="56" a="1"/>
  <c r="BH486" i="56" s="1"/>
  <c r="BG486" i="56" a="1"/>
  <c r="BG486" i="56" s="1"/>
  <c r="BF486" i="56"/>
  <c r="BF486" i="56" a="1"/>
  <c r="BE486" i="56" a="1"/>
  <c r="BE486" i="56" s="1"/>
  <c r="BD486" i="56" a="1"/>
  <c r="BD486" i="56" s="1"/>
  <c r="BC486" i="56" a="1"/>
  <c r="BC486" i="56" s="1"/>
  <c r="BB486" i="56"/>
  <c r="BB486" i="56" a="1"/>
  <c r="BA486" i="56" a="1"/>
  <c r="BA486" i="56" s="1"/>
  <c r="AZ486" i="56" a="1"/>
  <c r="AZ486" i="56" s="1"/>
  <c r="AY486" i="56"/>
  <c r="AX486" i="56"/>
  <c r="AW486" i="56"/>
  <c r="AV486" i="56"/>
  <c r="AU486" i="56"/>
  <c r="AT486" i="56"/>
  <c r="AS486" i="56"/>
  <c r="AR486" i="56"/>
  <c r="AQ486" i="56"/>
  <c r="AP486" i="56"/>
  <c r="AO486" i="56"/>
  <c r="AN486" i="56"/>
  <c r="AM486" i="56"/>
  <c r="AL486" i="56"/>
  <c r="AK486" i="56"/>
  <c r="BN485" i="56" a="1"/>
  <c r="BN485" i="56" s="1"/>
  <c r="BM485" i="56" a="1"/>
  <c r="BM485" i="56" s="1"/>
  <c r="BL485" i="56" a="1"/>
  <c r="BL485" i="56" s="1"/>
  <c r="BK485" i="56"/>
  <c r="BK485" i="56" a="1"/>
  <c r="BJ485" i="56" a="1"/>
  <c r="BJ485" i="56" s="1"/>
  <c r="BI485" i="56" a="1"/>
  <c r="BI485" i="56" s="1"/>
  <c r="BH485" i="56" a="1"/>
  <c r="BH485" i="56" s="1"/>
  <c r="BG485" i="56"/>
  <c r="BG485" i="56" a="1"/>
  <c r="BF485" i="56" a="1"/>
  <c r="BF485" i="56" s="1"/>
  <c r="BE485" i="56" a="1"/>
  <c r="BE485" i="56" s="1"/>
  <c r="BD485" i="56" a="1"/>
  <c r="BD485" i="56" s="1"/>
  <c r="BC485" i="56"/>
  <c r="BC485" i="56" a="1"/>
  <c r="BB485" i="56" a="1"/>
  <c r="BB485" i="56" s="1"/>
  <c r="BA485" i="56" a="1"/>
  <c r="BA485" i="56" s="1"/>
  <c r="AZ485" i="56" a="1"/>
  <c r="AZ485" i="56" s="1"/>
  <c r="AY485" i="56"/>
  <c r="AX485" i="56"/>
  <c r="AW485" i="56"/>
  <c r="AV485" i="56"/>
  <c r="AU485" i="56"/>
  <c r="AT485" i="56"/>
  <c r="AS485" i="56"/>
  <c r="AR485" i="56"/>
  <c r="AQ485" i="56"/>
  <c r="AP485" i="56"/>
  <c r="AO485" i="56"/>
  <c r="AN485" i="56"/>
  <c r="AM485" i="56"/>
  <c r="AL485" i="56"/>
  <c r="AK485" i="56"/>
  <c r="BN484" i="56" a="1"/>
  <c r="BN484" i="56" s="1"/>
  <c r="BM484" i="56" a="1"/>
  <c r="BM484" i="56" s="1"/>
  <c r="BL484" i="56" a="1"/>
  <c r="BL484" i="56" s="1"/>
  <c r="BK484" i="56"/>
  <c r="BK484" i="56" a="1"/>
  <c r="BJ484" i="56" a="1"/>
  <c r="BJ484" i="56" s="1"/>
  <c r="BI484" i="56" a="1"/>
  <c r="BI484" i="56" s="1"/>
  <c r="BH484" i="56" a="1"/>
  <c r="BH484" i="56" s="1"/>
  <c r="BG484" i="56"/>
  <c r="BG484" i="56" a="1"/>
  <c r="BF484" i="56" a="1"/>
  <c r="BF484" i="56" s="1"/>
  <c r="BE484" i="56" a="1"/>
  <c r="BE484" i="56" s="1"/>
  <c r="BD484" i="56" a="1"/>
  <c r="BD484" i="56" s="1"/>
  <c r="BC484" i="56"/>
  <c r="BC484" i="56" a="1"/>
  <c r="BB484" i="56" a="1"/>
  <c r="BB484" i="56" s="1"/>
  <c r="BA484" i="56" a="1"/>
  <c r="BA484" i="56" s="1"/>
  <c r="AZ484" i="56" a="1"/>
  <c r="AZ484" i="56" s="1"/>
  <c r="AY484" i="56"/>
  <c r="AX484" i="56"/>
  <c r="AW484" i="56"/>
  <c r="AV484" i="56"/>
  <c r="AU484" i="56"/>
  <c r="AT484" i="56"/>
  <c r="AS484" i="56"/>
  <c r="AR484" i="56"/>
  <c r="AQ484" i="56"/>
  <c r="AP484" i="56"/>
  <c r="AO484" i="56"/>
  <c r="AN484" i="56"/>
  <c r="AM484" i="56"/>
  <c r="AL484" i="56"/>
  <c r="AK484" i="56"/>
  <c r="BN483" i="56" a="1"/>
  <c r="BN483" i="56" s="1"/>
  <c r="BM483" i="56"/>
  <c r="BM483" i="56" a="1"/>
  <c r="BL483" i="56"/>
  <c r="BL483" i="56" a="1"/>
  <c r="BK483" i="56"/>
  <c r="BK483" i="56" a="1"/>
  <c r="BJ483" i="56" a="1"/>
  <c r="BJ483" i="56" s="1"/>
  <c r="BI483" i="56"/>
  <c r="BI483" i="56" a="1"/>
  <c r="BH483" i="56"/>
  <c r="BH483" i="56" a="1"/>
  <c r="BG483" i="56" a="1"/>
  <c r="BG483" i="56" s="1"/>
  <c r="BF483" i="56" a="1"/>
  <c r="BF483" i="56" s="1"/>
  <c r="BE483" i="56"/>
  <c r="BE483" i="56" a="1"/>
  <c r="BD483" i="56"/>
  <c r="BD483" i="56" a="1"/>
  <c r="BC483" i="56" a="1"/>
  <c r="BC483" i="56" s="1"/>
  <c r="BB483" i="56" a="1"/>
  <c r="BB483" i="56" s="1"/>
  <c r="BA483" i="56"/>
  <c r="BA483" i="56" a="1"/>
  <c r="AZ483" i="56"/>
  <c r="AZ483" i="56" a="1"/>
  <c r="AY483" i="56"/>
  <c r="AX483" i="56"/>
  <c r="AW483" i="56"/>
  <c r="AV483" i="56"/>
  <c r="AV487" i="56" s="1"/>
  <c r="AU483" i="56"/>
  <c r="AT483" i="56"/>
  <c r="AS483" i="56"/>
  <c r="AR483" i="56"/>
  <c r="AQ483" i="56"/>
  <c r="AP483" i="56"/>
  <c r="AO483" i="56"/>
  <c r="AN483" i="56"/>
  <c r="AM483" i="56"/>
  <c r="AL483" i="56"/>
  <c r="AK483" i="56"/>
  <c r="BN482" i="56" a="1"/>
  <c r="BN482" i="56" s="1"/>
  <c r="BM482" i="56" a="1"/>
  <c r="BM482" i="56" s="1"/>
  <c r="BL482" i="56"/>
  <c r="BL482" i="56" a="1"/>
  <c r="BK482" i="56" a="1"/>
  <c r="BK482" i="56" s="1"/>
  <c r="BJ482" i="56" a="1"/>
  <c r="BJ482" i="56" s="1"/>
  <c r="BI482" i="56" a="1"/>
  <c r="BI482" i="56" s="1"/>
  <c r="BH482" i="56"/>
  <c r="BH482" i="56" a="1"/>
  <c r="BG482" i="56" a="1"/>
  <c r="BG482" i="56" s="1"/>
  <c r="BF482" i="56" a="1"/>
  <c r="BF482" i="56" s="1"/>
  <c r="BE482" i="56" a="1"/>
  <c r="BE482" i="56" s="1"/>
  <c r="BD482" i="56"/>
  <c r="BD482" i="56" a="1"/>
  <c r="BC482" i="56" a="1"/>
  <c r="BC482" i="56" s="1"/>
  <c r="BB482" i="56" a="1"/>
  <c r="BB482" i="56" s="1"/>
  <c r="BA482" i="56" a="1"/>
  <c r="BA482" i="56" s="1"/>
  <c r="AZ482" i="56"/>
  <c r="AZ482" i="56" a="1"/>
  <c r="AY482" i="56"/>
  <c r="AX482" i="56"/>
  <c r="AW482" i="56"/>
  <c r="AV482" i="56"/>
  <c r="AU482" i="56"/>
  <c r="AT482" i="56"/>
  <c r="AS482" i="56"/>
  <c r="AR482" i="56"/>
  <c r="AQ482" i="56"/>
  <c r="AP482" i="56"/>
  <c r="AO482" i="56"/>
  <c r="AN482" i="56"/>
  <c r="AM482" i="56"/>
  <c r="AL482" i="56"/>
  <c r="AK482" i="56"/>
  <c r="BN481" i="56"/>
  <c r="BN481" i="56" a="1"/>
  <c r="BM481" i="56"/>
  <c r="BM481" i="56" a="1"/>
  <c r="BL481" i="56"/>
  <c r="BL481" i="56" a="1"/>
  <c r="BK481" i="56" a="1"/>
  <c r="BK481" i="56" s="1"/>
  <c r="BJ481" i="56"/>
  <c r="BJ481" i="56" a="1"/>
  <c r="BI481" i="56"/>
  <c r="BI481" i="56" a="1"/>
  <c r="BH481" i="56"/>
  <c r="BH481" i="56" a="1"/>
  <c r="BG481" i="56" a="1"/>
  <c r="BG481" i="56" s="1"/>
  <c r="BF481" i="56"/>
  <c r="BF481" i="56" a="1"/>
  <c r="BE481" i="56"/>
  <c r="BE481" i="56" a="1"/>
  <c r="BD481" i="56"/>
  <c r="BD481" i="56" a="1"/>
  <c r="BC481" i="56" a="1"/>
  <c r="BC481" i="56" s="1"/>
  <c r="BB481" i="56"/>
  <c r="BB481" i="56" a="1"/>
  <c r="BA481" i="56"/>
  <c r="BA481" i="56" a="1"/>
  <c r="AZ481" i="56"/>
  <c r="AZ481" i="56" a="1"/>
  <c r="AY481" i="56"/>
  <c r="AX481" i="56"/>
  <c r="AW481" i="56"/>
  <c r="AV481" i="56"/>
  <c r="AU481" i="56"/>
  <c r="AT481" i="56"/>
  <c r="AS481" i="56"/>
  <c r="AR481" i="56"/>
  <c r="AQ481" i="56"/>
  <c r="AP481" i="56"/>
  <c r="AO481" i="56"/>
  <c r="AN481" i="56"/>
  <c r="AM481" i="56"/>
  <c r="AL481" i="56"/>
  <c r="AK481" i="56"/>
  <c r="BN480" i="56" a="1"/>
  <c r="BN480" i="56" s="1"/>
  <c r="BM480" i="56"/>
  <c r="BM480" i="56" a="1"/>
  <c r="BL480" i="56" a="1"/>
  <c r="BL480" i="56" s="1"/>
  <c r="BK480" i="56" a="1"/>
  <c r="BK480" i="56" s="1"/>
  <c r="BJ480" i="56" a="1"/>
  <c r="BJ480" i="56" s="1"/>
  <c r="BI480" i="56"/>
  <c r="BI480" i="56" a="1"/>
  <c r="BH480" i="56" a="1"/>
  <c r="BH480" i="56" s="1"/>
  <c r="BG480" i="56" a="1"/>
  <c r="BG480" i="56" s="1"/>
  <c r="BF480" i="56" a="1"/>
  <c r="BF480" i="56" s="1"/>
  <c r="BE480" i="56"/>
  <c r="BE480" i="56" a="1"/>
  <c r="BD480" i="56" a="1"/>
  <c r="BD480" i="56" s="1"/>
  <c r="BC480" i="56" a="1"/>
  <c r="BC480" i="56" s="1"/>
  <c r="BB480" i="56" a="1"/>
  <c r="BB480" i="56" s="1"/>
  <c r="BA480" i="56"/>
  <c r="BA480" i="56" a="1"/>
  <c r="AZ480" i="56" a="1"/>
  <c r="AZ480" i="56" s="1"/>
  <c r="AY480" i="56"/>
  <c r="AX480" i="56"/>
  <c r="AW480" i="56"/>
  <c r="AV480" i="56"/>
  <c r="AU480" i="56"/>
  <c r="AT480" i="56"/>
  <c r="AS480" i="56"/>
  <c r="AR480" i="56"/>
  <c r="AQ480" i="56"/>
  <c r="AP480" i="56"/>
  <c r="AO480" i="56"/>
  <c r="AN480" i="56"/>
  <c r="AM480" i="56"/>
  <c r="AL480" i="56"/>
  <c r="AK480" i="56"/>
  <c r="BN479" i="56"/>
  <c r="BN479" i="56" a="1"/>
  <c r="BM479" i="56"/>
  <c r="BM479" i="56" a="1"/>
  <c r="BL479" i="56" a="1"/>
  <c r="BL479" i="56" s="1"/>
  <c r="BK479" i="56"/>
  <c r="BK479" i="56" a="1"/>
  <c r="BJ479" i="56"/>
  <c r="BJ479" i="56" a="1"/>
  <c r="BI479" i="56"/>
  <c r="BI479" i="56" a="1"/>
  <c r="BH479" i="56" a="1"/>
  <c r="BH479" i="56" s="1"/>
  <c r="BG479" i="56"/>
  <c r="BG479" i="56" a="1"/>
  <c r="BF479" i="56"/>
  <c r="BF479" i="56" a="1"/>
  <c r="BE479" i="56"/>
  <c r="BE479" i="56" a="1"/>
  <c r="BD479" i="56" a="1"/>
  <c r="BD479" i="56" s="1"/>
  <c r="BC479" i="56"/>
  <c r="BC479" i="56" a="1"/>
  <c r="BB479" i="56"/>
  <c r="BB479" i="56" a="1"/>
  <c r="BA479" i="56"/>
  <c r="BA479" i="56" a="1"/>
  <c r="AZ479" i="56" a="1"/>
  <c r="AZ479" i="56" s="1"/>
  <c r="AY479" i="56"/>
  <c r="AY487" i="56" s="1"/>
  <c r="AX479" i="56"/>
  <c r="AW479" i="56"/>
  <c r="AW487" i="56" s="1"/>
  <c r="AV479" i="56"/>
  <c r="AU479" i="56"/>
  <c r="AT479" i="56"/>
  <c r="AT487" i="56" s="1"/>
  <c r="AS479" i="56"/>
  <c r="AS487" i="56" s="1"/>
  <c r="AR479" i="56"/>
  <c r="AQ479" i="56"/>
  <c r="AQ487" i="56" s="1"/>
  <c r="AP479" i="56"/>
  <c r="AP487" i="56" s="1"/>
  <c r="AO479" i="56"/>
  <c r="AN479" i="56"/>
  <c r="AN487" i="56" s="1"/>
  <c r="AM479" i="56"/>
  <c r="AM487" i="56" s="1"/>
  <c r="AL488" i="56" s="1"/>
  <c r="AL479" i="56"/>
  <c r="AK479" i="56"/>
  <c r="AK487" i="56" s="1"/>
  <c r="BN472" i="56"/>
  <c r="BN472" i="56" a="1"/>
  <c r="BM472" i="56"/>
  <c r="BM472" i="56" a="1"/>
  <c r="BL472" i="56" a="1"/>
  <c r="BL472" i="56" s="1"/>
  <c r="BK472" i="56"/>
  <c r="BK472" i="56" a="1"/>
  <c r="BJ472" i="56"/>
  <c r="BJ472" i="56" a="1"/>
  <c r="BI472" i="56" a="1"/>
  <c r="BI472" i="56" s="1"/>
  <c r="BH472" i="56" a="1"/>
  <c r="BH472" i="56" s="1"/>
  <c r="BG472" i="56"/>
  <c r="BG472" i="56" a="1"/>
  <c r="BF472" i="56"/>
  <c r="BF472" i="56" a="1"/>
  <c r="BE472" i="56" a="1"/>
  <c r="BE472" i="56" s="1"/>
  <c r="BD472" i="56" a="1"/>
  <c r="BD472" i="56" s="1"/>
  <c r="BC472" i="56"/>
  <c r="BC472" i="56" a="1"/>
  <c r="BB472" i="56"/>
  <c r="BB472" i="56" a="1"/>
  <c r="BA472" i="56" a="1"/>
  <c r="BA472" i="56" s="1"/>
  <c r="AZ472" i="56" a="1"/>
  <c r="AZ472" i="56" s="1"/>
  <c r="AY472" i="56"/>
  <c r="AX472" i="56"/>
  <c r="AW472" i="56"/>
  <c r="AV472" i="56"/>
  <c r="AU472" i="56"/>
  <c r="AT472" i="56"/>
  <c r="AS472" i="56"/>
  <c r="AR472" i="56"/>
  <c r="AQ472" i="56"/>
  <c r="AP472" i="56"/>
  <c r="AO472" i="56"/>
  <c r="AN472" i="56"/>
  <c r="AM472" i="56"/>
  <c r="AL472" i="56"/>
  <c r="AK472" i="56"/>
  <c r="AH472" i="56"/>
  <c r="BN471" i="56" a="1"/>
  <c r="BN471" i="56" s="1"/>
  <c r="BM471" i="56" a="1"/>
  <c r="BM471" i="56" s="1"/>
  <c r="BL471" i="56"/>
  <c r="BL471" i="56" a="1"/>
  <c r="BK471" i="56" a="1"/>
  <c r="BK471" i="56" s="1"/>
  <c r="BJ471" i="56" a="1"/>
  <c r="BJ471" i="56" s="1"/>
  <c r="BI471" i="56" a="1"/>
  <c r="BI471" i="56" s="1"/>
  <c r="BH471" i="56"/>
  <c r="BH471" i="56" a="1"/>
  <c r="BG471" i="56" a="1"/>
  <c r="BG471" i="56" s="1"/>
  <c r="BF471" i="56" a="1"/>
  <c r="BF471" i="56" s="1"/>
  <c r="BE471" i="56" a="1"/>
  <c r="BE471" i="56" s="1"/>
  <c r="BD471" i="56"/>
  <c r="BD471" i="56" a="1"/>
  <c r="BC471" i="56" a="1"/>
  <c r="BC471" i="56" s="1"/>
  <c r="BB471" i="56" a="1"/>
  <c r="BB471" i="56" s="1"/>
  <c r="BA471" i="56" a="1"/>
  <c r="BA471" i="56" s="1"/>
  <c r="AZ471" i="56"/>
  <c r="AZ471" i="56" a="1"/>
  <c r="AY471" i="56"/>
  <c r="AX471" i="56"/>
  <c r="AW471" i="56"/>
  <c r="AV471" i="56"/>
  <c r="AU471" i="56"/>
  <c r="AT471" i="56"/>
  <c r="AS471" i="56"/>
  <c r="AR471" i="56"/>
  <c r="AQ471" i="56"/>
  <c r="AP471" i="56"/>
  <c r="AO471" i="56"/>
  <c r="AN471" i="56"/>
  <c r="AM471" i="56"/>
  <c r="AL471" i="56"/>
  <c r="AK471" i="56"/>
  <c r="AK473" i="56" s="1"/>
  <c r="AH471" i="56"/>
  <c r="BN470" i="56"/>
  <c r="BN470" i="56" a="1"/>
  <c r="BM470" i="56" a="1"/>
  <c r="BM470" i="56" s="1"/>
  <c r="BL470" i="56"/>
  <c r="BL470" i="56" a="1"/>
  <c r="BK470" i="56"/>
  <c r="BK470" i="56" a="1"/>
  <c r="BJ470" i="56"/>
  <c r="BJ470" i="56" a="1"/>
  <c r="BI470" i="56" a="1"/>
  <c r="BI470" i="56" s="1"/>
  <c r="BH470" i="56"/>
  <c r="BH470" i="56" a="1"/>
  <c r="BG470" i="56"/>
  <c r="BG470" i="56" a="1"/>
  <c r="BF470" i="56" a="1"/>
  <c r="BF470" i="56" s="1"/>
  <c r="BE470" i="56" a="1"/>
  <c r="BE470" i="56" s="1"/>
  <c r="BD470" i="56"/>
  <c r="BD470" i="56" a="1"/>
  <c r="BC470" i="56"/>
  <c r="BC470" i="56" a="1"/>
  <c r="BB470" i="56" a="1"/>
  <c r="BB470" i="56" s="1"/>
  <c r="BA470" i="56" a="1"/>
  <c r="BA470" i="56" s="1"/>
  <c r="AZ470" i="56"/>
  <c r="AZ470" i="56" a="1"/>
  <c r="AY470" i="56"/>
  <c r="AX470" i="56"/>
  <c r="AW470" i="56"/>
  <c r="AV470" i="56"/>
  <c r="AU470" i="56"/>
  <c r="AT470" i="56"/>
  <c r="AS470" i="56"/>
  <c r="AR470" i="56"/>
  <c r="AQ470" i="56"/>
  <c r="AP470" i="56"/>
  <c r="AO470" i="56"/>
  <c r="AN470" i="56"/>
  <c r="AM470" i="56"/>
  <c r="AL470" i="56"/>
  <c r="AK470" i="56"/>
  <c r="AH470" i="56"/>
  <c r="BN469" i="56" a="1"/>
  <c r="BN469" i="56" s="1"/>
  <c r="BM469" i="56"/>
  <c r="BM469" i="56" a="1"/>
  <c r="BL469" i="56" a="1"/>
  <c r="BL469" i="56" s="1"/>
  <c r="BK469" i="56" a="1"/>
  <c r="BK469" i="56" s="1"/>
  <c r="BJ469" i="56" a="1"/>
  <c r="BJ469" i="56" s="1"/>
  <c r="BI469" i="56"/>
  <c r="BI469" i="56" a="1"/>
  <c r="BH469" i="56" a="1"/>
  <c r="BH469" i="56" s="1"/>
  <c r="BG469" i="56" a="1"/>
  <c r="BG469" i="56" s="1"/>
  <c r="BF469" i="56" a="1"/>
  <c r="BF469" i="56" s="1"/>
  <c r="BE469" i="56"/>
  <c r="BE469" i="56" a="1"/>
  <c r="BD469" i="56" a="1"/>
  <c r="BD469" i="56" s="1"/>
  <c r="BC469" i="56" a="1"/>
  <c r="BC469" i="56" s="1"/>
  <c r="BB469" i="56" a="1"/>
  <c r="BB469" i="56" s="1"/>
  <c r="BA469" i="56"/>
  <c r="BA469" i="56" a="1"/>
  <c r="AZ469" i="56" a="1"/>
  <c r="AZ469" i="56" s="1"/>
  <c r="AY469" i="56"/>
  <c r="AX469" i="56"/>
  <c r="AW469" i="56"/>
  <c r="AV469" i="56"/>
  <c r="AU469" i="56"/>
  <c r="AT469" i="56"/>
  <c r="AS469" i="56"/>
  <c r="AR469" i="56"/>
  <c r="AQ469" i="56"/>
  <c r="AP469" i="56"/>
  <c r="AO469" i="56"/>
  <c r="AN469" i="56"/>
  <c r="AM469" i="56"/>
  <c r="AL469" i="56"/>
  <c r="AK469" i="56"/>
  <c r="AH469" i="56"/>
  <c r="BN468" i="56" a="1"/>
  <c r="BN468" i="56" s="1"/>
  <c r="BM468" i="56"/>
  <c r="BM468" i="56" a="1"/>
  <c r="BL468" i="56"/>
  <c r="BL468" i="56" a="1"/>
  <c r="BK468" i="56"/>
  <c r="BK468" i="56" a="1"/>
  <c r="BJ468" i="56" a="1"/>
  <c r="BJ468" i="56" s="1"/>
  <c r="BI468" i="56"/>
  <c r="BI468" i="56" a="1"/>
  <c r="BH468" i="56"/>
  <c r="BH468" i="56" a="1"/>
  <c r="BG468" i="56" a="1"/>
  <c r="BG468" i="56" s="1"/>
  <c r="BF468" i="56" a="1"/>
  <c r="BF468" i="56" s="1"/>
  <c r="BE468" i="56"/>
  <c r="BE468" i="56" a="1"/>
  <c r="BD468" i="56"/>
  <c r="BD468" i="56" a="1"/>
  <c r="BC468" i="56" a="1"/>
  <c r="BC468" i="56" s="1"/>
  <c r="BB468" i="56" a="1"/>
  <c r="BB468" i="56" s="1"/>
  <c r="BA468" i="56"/>
  <c r="BA468" i="56" a="1"/>
  <c r="AZ468" i="56"/>
  <c r="AZ468" i="56" a="1"/>
  <c r="AY468" i="56"/>
  <c r="AX468" i="56"/>
  <c r="AW468" i="56"/>
  <c r="AV468" i="56"/>
  <c r="AU468" i="56"/>
  <c r="AT468" i="56"/>
  <c r="AS468" i="56"/>
  <c r="AR468" i="56"/>
  <c r="AQ468" i="56"/>
  <c r="AP468" i="56"/>
  <c r="AO468" i="56"/>
  <c r="AN468" i="56"/>
  <c r="AM468" i="56"/>
  <c r="AL468" i="56"/>
  <c r="AK468" i="56"/>
  <c r="AH468" i="56"/>
  <c r="BN467" i="56"/>
  <c r="BN467" i="56" a="1"/>
  <c r="BM467" i="56" a="1"/>
  <c r="BM467" i="56" s="1"/>
  <c r="BL467" i="56" a="1"/>
  <c r="BL467" i="56" s="1"/>
  <c r="BK467" i="56" a="1"/>
  <c r="BK467" i="56" s="1"/>
  <c r="BJ467" i="56"/>
  <c r="BJ467" i="56" a="1"/>
  <c r="BI467" i="56" a="1"/>
  <c r="BI467" i="56" s="1"/>
  <c r="BH467" i="56" a="1"/>
  <c r="BH467" i="56" s="1"/>
  <c r="BG467" i="56" a="1"/>
  <c r="BG467" i="56" s="1"/>
  <c r="BF467" i="56"/>
  <c r="BF467" i="56" a="1"/>
  <c r="BE467" i="56" a="1"/>
  <c r="BE467" i="56" s="1"/>
  <c r="BD467" i="56" a="1"/>
  <c r="BD467" i="56" s="1"/>
  <c r="BC467" i="56" a="1"/>
  <c r="BC467" i="56" s="1"/>
  <c r="BB467" i="56"/>
  <c r="BB467" i="56" a="1"/>
  <c r="BA467" i="56" a="1"/>
  <c r="BA467" i="56" s="1"/>
  <c r="AZ467" i="56" a="1"/>
  <c r="AZ467" i="56" s="1"/>
  <c r="AY467" i="56"/>
  <c r="AX467" i="56"/>
  <c r="AW467" i="56"/>
  <c r="AW473" i="56" s="1"/>
  <c r="AV467" i="56"/>
  <c r="AU467" i="56"/>
  <c r="AT467" i="56"/>
  <c r="AS467" i="56"/>
  <c r="AR467" i="56"/>
  <c r="AQ467" i="56"/>
  <c r="AP467" i="56"/>
  <c r="AO467" i="56"/>
  <c r="AN467" i="56"/>
  <c r="AM467" i="56"/>
  <c r="AL467" i="56"/>
  <c r="AK467" i="56"/>
  <c r="AH467" i="56"/>
  <c r="BN466" i="56"/>
  <c r="BN466" i="56" a="1"/>
  <c r="BM466" i="56"/>
  <c r="BM466" i="56" a="1"/>
  <c r="BL466" i="56" a="1"/>
  <c r="BL466" i="56" s="1"/>
  <c r="BK466" i="56" a="1"/>
  <c r="BK466" i="56" s="1"/>
  <c r="BJ466" i="56"/>
  <c r="BJ466" i="56" a="1"/>
  <c r="BI466" i="56"/>
  <c r="BI466" i="56" a="1"/>
  <c r="BH466" i="56" a="1"/>
  <c r="BH466" i="56" s="1"/>
  <c r="BG466" i="56" a="1"/>
  <c r="BG466" i="56" s="1"/>
  <c r="BF466" i="56"/>
  <c r="BF466" i="56" a="1"/>
  <c r="BE466" i="56"/>
  <c r="BE466" i="56" a="1"/>
  <c r="BD466" i="56" a="1"/>
  <c r="BD466" i="56" s="1"/>
  <c r="BC466" i="56" a="1"/>
  <c r="BC466" i="56" s="1"/>
  <c r="BB466" i="56"/>
  <c r="BB466" i="56" a="1"/>
  <c r="BA466" i="56"/>
  <c r="BA466" i="56" a="1"/>
  <c r="AZ466" i="56" a="1"/>
  <c r="AZ466" i="56" s="1"/>
  <c r="AY466" i="56"/>
  <c r="AX466" i="56"/>
  <c r="AW466" i="56"/>
  <c r="AV466" i="56"/>
  <c r="AU466" i="56"/>
  <c r="AT466" i="56"/>
  <c r="AS466" i="56"/>
  <c r="AR466" i="56"/>
  <c r="AQ466" i="56"/>
  <c r="AP466" i="56"/>
  <c r="AO466" i="56"/>
  <c r="AN466" i="56"/>
  <c r="AM466" i="56"/>
  <c r="AM473" i="56" s="1"/>
  <c r="AL466" i="56"/>
  <c r="AK466" i="56"/>
  <c r="AH466" i="56"/>
  <c r="BN465" i="56" a="1"/>
  <c r="BN465" i="56" s="1"/>
  <c r="BM465" i="56" a="1"/>
  <c r="BM465" i="56" s="1"/>
  <c r="BL465" i="56" a="1"/>
  <c r="BL465" i="56" s="1"/>
  <c r="BK465" i="56"/>
  <c r="BK465" i="56" a="1"/>
  <c r="BJ465" i="56" a="1"/>
  <c r="BJ465" i="56" s="1"/>
  <c r="BI465" i="56" a="1"/>
  <c r="BI465" i="56" s="1"/>
  <c r="BH465" i="56" a="1"/>
  <c r="BH465" i="56" s="1"/>
  <c r="BG465" i="56"/>
  <c r="BG465" i="56" a="1"/>
  <c r="BF465" i="56" a="1"/>
  <c r="BF465" i="56" s="1"/>
  <c r="BE465" i="56" a="1"/>
  <c r="BE465" i="56" s="1"/>
  <c r="BD465" i="56" a="1"/>
  <c r="BD465" i="56" s="1"/>
  <c r="BC465" i="56"/>
  <c r="BC465" i="56" a="1"/>
  <c r="BB465" i="56" a="1"/>
  <c r="BB465" i="56" s="1"/>
  <c r="BA465" i="56" a="1"/>
  <c r="BA465" i="56" s="1"/>
  <c r="AZ465" i="56" a="1"/>
  <c r="AZ465" i="56" s="1"/>
  <c r="AY465" i="56"/>
  <c r="AY473" i="56" s="1"/>
  <c r="AX465" i="56"/>
  <c r="AW465" i="56"/>
  <c r="AV465" i="56"/>
  <c r="AV473" i="56" s="1"/>
  <c r="AU465" i="56"/>
  <c r="AT465" i="56"/>
  <c r="AT473" i="56" s="1"/>
  <c r="AS465" i="56"/>
  <c r="AS473" i="56" s="1"/>
  <c r="AR465" i="56"/>
  <c r="AQ465" i="56"/>
  <c r="AQ473" i="56" s="1"/>
  <c r="AP465" i="56"/>
  <c r="AP473" i="56" s="1"/>
  <c r="AO465" i="56"/>
  <c r="AN465" i="56"/>
  <c r="AN473" i="56" s="1"/>
  <c r="AM465" i="56"/>
  <c r="AL465" i="56"/>
  <c r="AK465" i="56"/>
  <c r="AH465" i="56"/>
  <c r="B169" i="57"/>
  <c r="D157" i="57"/>
  <c r="D158" i="57"/>
  <c r="D159" i="57"/>
  <c r="D160" i="57"/>
  <c r="D161" i="57"/>
  <c r="D162" i="57"/>
  <c r="D163" i="57"/>
  <c r="Y164" i="57"/>
  <c r="AD443" i="56"/>
  <c r="AC443" i="56"/>
  <c r="AB443" i="56"/>
  <c r="AA443" i="56"/>
  <c r="Z443" i="56"/>
  <c r="Y443" i="56"/>
  <c r="X443" i="56"/>
  <c r="W443" i="56"/>
  <c r="V443" i="56"/>
  <c r="U443" i="56"/>
  <c r="T443" i="56"/>
  <c r="S443" i="56"/>
  <c r="R443" i="56"/>
  <c r="Q443" i="56"/>
  <c r="P443" i="56"/>
  <c r="O443" i="56"/>
  <c r="N443" i="56"/>
  <c r="M443" i="56"/>
  <c r="AH164" i="57"/>
  <c r="AD429" i="56"/>
  <c r="AC429" i="56"/>
  <c r="AB429" i="56"/>
  <c r="AA429" i="56"/>
  <c r="Z429" i="56"/>
  <c r="Y429" i="56"/>
  <c r="X429" i="56"/>
  <c r="W429" i="56"/>
  <c r="V429" i="56"/>
  <c r="U429" i="56"/>
  <c r="T429" i="56"/>
  <c r="S429" i="56"/>
  <c r="R429" i="56"/>
  <c r="Q429" i="56"/>
  <c r="P429" i="56"/>
  <c r="BB442" i="56"/>
  <c r="BA442" i="56"/>
  <c r="AZ442" i="56"/>
  <c r="AY442" i="56"/>
  <c r="AX442" i="56"/>
  <c r="AW442" i="56"/>
  <c r="AV442" i="56"/>
  <c r="AU442" i="56"/>
  <c r="AT442" i="56"/>
  <c r="AS442" i="56"/>
  <c r="AR442" i="56"/>
  <c r="AQ442" i="56"/>
  <c r="AP442" i="56"/>
  <c r="AO442" i="56"/>
  <c r="AN442" i="56"/>
  <c r="AM442" i="56"/>
  <c r="AL442" i="56"/>
  <c r="AK442" i="56"/>
  <c r="BB441" i="56"/>
  <c r="BA441" i="56"/>
  <c r="AZ441" i="56"/>
  <c r="AY441" i="56"/>
  <c r="AX441" i="56"/>
  <c r="AW441" i="56"/>
  <c r="AV441" i="56"/>
  <c r="AU441" i="56"/>
  <c r="AT441" i="56"/>
  <c r="AS441" i="56"/>
  <c r="AR441" i="56"/>
  <c r="AQ441" i="56"/>
  <c r="AP441" i="56"/>
  <c r="AO441" i="56"/>
  <c r="AN441" i="56"/>
  <c r="AM441" i="56"/>
  <c r="AL441" i="56"/>
  <c r="AK441" i="56"/>
  <c r="BB440" i="56"/>
  <c r="BA440" i="56"/>
  <c r="AZ440" i="56"/>
  <c r="AY440" i="56"/>
  <c r="AX440" i="56"/>
  <c r="AW440" i="56"/>
  <c r="AV440" i="56"/>
  <c r="AU440" i="56"/>
  <c r="AT440" i="56"/>
  <c r="AS440" i="56"/>
  <c r="AR440" i="56"/>
  <c r="AQ440" i="56"/>
  <c r="AP440" i="56"/>
  <c r="AO440" i="56"/>
  <c r="AN440" i="56"/>
  <c r="AM440" i="56"/>
  <c r="AL440" i="56"/>
  <c r="AK440" i="56"/>
  <c r="BB439" i="56"/>
  <c r="BA439" i="56"/>
  <c r="AZ439" i="56"/>
  <c r="AY439" i="56"/>
  <c r="AX439" i="56"/>
  <c r="AW439" i="56"/>
  <c r="AV439" i="56"/>
  <c r="AU439" i="56"/>
  <c r="AT439" i="56"/>
  <c r="AS439" i="56"/>
  <c r="AR439" i="56"/>
  <c r="AQ439" i="56"/>
  <c r="AP439" i="56"/>
  <c r="AO439" i="56"/>
  <c r="AN439" i="56"/>
  <c r="AM439" i="56"/>
  <c r="AL439" i="56"/>
  <c r="AK439" i="56"/>
  <c r="BB438" i="56"/>
  <c r="BA438" i="56"/>
  <c r="AZ438" i="56"/>
  <c r="AY438" i="56"/>
  <c r="AX438" i="56"/>
  <c r="AW438" i="56"/>
  <c r="AV438" i="56"/>
  <c r="AU438" i="56"/>
  <c r="AT438" i="56"/>
  <c r="AS438" i="56"/>
  <c r="AR438" i="56"/>
  <c r="AQ438" i="56"/>
  <c r="AP438" i="56"/>
  <c r="AO438" i="56"/>
  <c r="AN438" i="56"/>
  <c r="AM438" i="56"/>
  <c r="AL438" i="56"/>
  <c r="AK438" i="56"/>
  <c r="BB437" i="56"/>
  <c r="BA437" i="56"/>
  <c r="AZ437" i="56"/>
  <c r="AY437" i="56"/>
  <c r="AX437" i="56"/>
  <c r="AW437" i="56"/>
  <c r="AW443" i="56" s="1"/>
  <c r="AV437" i="56"/>
  <c r="AU437" i="56"/>
  <c r="AT437" i="56"/>
  <c r="AS437" i="56"/>
  <c r="AR437" i="56"/>
  <c r="AQ437" i="56"/>
  <c r="AP437" i="56"/>
  <c r="AO437" i="56"/>
  <c r="AN437" i="56"/>
  <c r="AM437" i="56"/>
  <c r="AL437" i="56"/>
  <c r="AK437" i="56"/>
  <c r="BB436" i="56"/>
  <c r="BA436" i="56"/>
  <c r="AZ436" i="56"/>
  <c r="AY436" i="56"/>
  <c r="AX436" i="56"/>
  <c r="AW436" i="56"/>
  <c r="AV436" i="56"/>
  <c r="AU436" i="56"/>
  <c r="AT436" i="56"/>
  <c r="AS436" i="56"/>
  <c r="AR436" i="56"/>
  <c r="AQ436" i="56"/>
  <c r="AP436" i="56"/>
  <c r="AO436" i="56"/>
  <c r="AN436" i="56"/>
  <c r="AM436" i="56"/>
  <c r="AL436" i="56"/>
  <c r="AK436" i="56"/>
  <c r="BB435" i="56"/>
  <c r="BB443" i="56" s="1"/>
  <c r="BA435" i="56"/>
  <c r="AZ435" i="56"/>
  <c r="AZ443" i="56" s="1"/>
  <c r="AY435" i="56"/>
  <c r="AY443" i="56" s="1"/>
  <c r="AX435" i="56"/>
  <c r="AW435" i="56"/>
  <c r="AV435" i="56"/>
  <c r="AV443" i="56" s="1"/>
  <c r="AU435" i="56"/>
  <c r="AT435" i="56"/>
  <c r="AT443" i="56" s="1"/>
  <c r="AS435" i="56"/>
  <c r="AS443" i="56" s="1"/>
  <c r="AR435" i="56"/>
  <c r="AQ435" i="56"/>
  <c r="AQ443" i="56" s="1"/>
  <c r="AP435" i="56"/>
  <c r="AP443" i="56" s="1"/>
  <c r="AO435" i="56"/>
  <c r="AN435" i="56"/>
  <c r="AN443" i="56" s="1"/>
  <c r="AM435" i="56"/>
  <c r="AM443" i="56" s="1"/>
  <c r="AL435" i="56"/>
  <c r="AK435" i="56"/>
  <c r="AK443" i="56" s="1"/>
  <c r="AN444" i="56" s="1"/>
  <c r="AY428" i="56"/>
  <c r="AX428" i="56"/>
  <c r="AW428" i="56"/>
  <c r="AV428" i="56"/>
  <c r="AU428" i="56"/>
  <c r="AT428" i="56"/>
  <c r="AS428" i="56"/>
  <c r="AR428" i="56"/>
  <c r="AQ428" i="56"/>
  <c r="AP428" i="56"/>
  <c r="AO428" i="56"/>
  <c r="AN428" i="56"/>
  <c r="AM428" i="56"/>
  <c r="AL428" i="56"/>
  <c r="AK428" i="56"/>
  <c r="AY427" i="56"/>
  <c r="AX427" i="56"/>
  <c r="AW427" i="56"/>
  <c r="AV427" i="56"/>
  <c r="AU427" i="56"/>
  <c r="AT427" i="56"/>
  <c r="AS427" i="56"/>
  <c r="AR427" i="56"/>
  <c r="AQ427" i="56"/>
  <c r="AP427" i="56"/>
  <c r="AO427" i="56"/>
  <c r="AN427" i="56"/>
  <c r="AM427" i="56"/>
  <c r="AL427" i="56"/>
  <c r="AK427" i="56"/>
  <c r="AY426" i="56"/>
  <c r="AX426" i="56"/>
  <c r="AW426" i="56"/>
  <c r="AV426" i="56"/>
  <c r="AU426" i="56"/>
  <c r="AT426" i="56"/>
  <c r="AS426" i="56"/>
  <c r="AR426" i="56"/>
  <c r="AQ426" i="56"/>
  <c r="AP426" i="56"/>
  <c r="AO426" i="56"/>
  <c r="AN426" i="56"/>
  <c r="AM426" i="56"/>
  <c r="AM429" i="56" s="1"/>
  <c r="AL426" i="56"/>
  <c r="AK426" i="56"/>
  <c r="AY425" i="56"/>
  <c r="AX425" i="56"/>
  <c r="AW425" i="56"/>
  <c r="AV425" i="56"/>
  <c r="AU425" i="56"/>
  <c r="AT425" i="56"/>
  <c r="AS425" i="56"/>
  <c r="AR425" i="56"/>
  <c r="AQ425" i="56"/>
  <c r="AP425" i="56"/>
  <c r="AO425" i="56"/>
  <c r="AN425" i="56"/>
  <c r="AM425" i="56"/>
  <c r="AL425" i="56"/>
  <c r="AK425" i="56"/>
  <c r="AY424" i="56"/>
  <c r="AX424" i="56"/>
  <c r="AW424" i="56"/>
  <c r="AV424" i="56"/>
  <c r="AU424" i="56"/>
  <c r="AT424" i="56"/>
  <c r="AS424" i="56"/>
  <c r="AR424" i="56"/>
  <c r="AQ424" i="56"/>
  <c r="AP424" i="56"/>
  <c r="AO424" i="56"/>
  <c r="AN424" i="56"/>
  <c r="AM424" i="56"/>
  <c r="AL424" i="56"/>
  <c r="AK424" i="56"/>
  <c r="AY423" i="56"/>
  <c r="AX423" i="56"/>
  <c r="AW423" i="56"/>
  <c r="AV423" i="56"/>
  <c r="AU423" i="56"/>
  <c r="AT423" i="56"/>
  <c r="AS423" i="56"/>
  <c r="AR423" i="56"/>
  <c r="AQ423" i="56"/>
  <c r="AP423" i="56"/>
  <c r="AO423" i="56"/>
  <c r="AN423" i="56"/>
  <c r="AM423" i="56"/>
  <c r="AL423" i="56"/>
  <c r="AK423" i="56"/>
  <c r="AY422" i="56"/>
  <c r="AY429" i="56" s="1"/>
  <c r="AX422" i="56"/>
  <c r="AW422" i="56"/>
  <c r="AV422" i="56"/>
  <c r="AU422" i="56"/>
  <c r="AT422" i="56"/>
  <c r="AS422" i="56"/>
  <c r="AR422" i="56"/>
  <c r="AQ422" i="56"/>
  <c r="AP422" i="56"/>
  <c r="AO422" i="56"/>
  <c r="AN422" i="56"/>
  <c r="AM422" i="56"/>
  <c r="AL422" i="56"/>
  <c r="AK422" i="56"/>
  <c r="AY421" i="56"/>
  <c r="AX421" i="56"/>
  <c r="AW421" i="56"/>
  <c r="AW429" i="56" s="1"/>
  <c r="AV421" i="56"/>
  <c r="AV429" i="56" s="1"/>
  <c r="AU421" i="56"/>
  <c r="AT421" i="56"/>
  <c r="AT429" i="56" s="1"/>
  <c r="AS421" i="56"/>
  <c r="AS429" i="56" s="1"/>
  <c r="AR421" i="56"/>
  <c r="AQ421" i="56"/>
  <c r="AQ429" i="56" s="1"/>
  <c r="AP421" i="56"/>
  <c r="AP429" i="56" s="1"/>
  <c r="AO421" i="56"/>
  <c r="AN421" i="56"/>
  <c r="AN429" i="56" s="1"/>
  <c r="AM421" i="56"/>
  <c r="AL421" i="56"/>
  <c r="AK421" i="56"/>
  <c r="AK429" i="56" s="1"/>
  <c r="AN430" i="56" s="1"/>
  <c r="AG157" i="57"/>
  <c r="AH157" i="57"/>
  <c r="AI157" i="57"/>
  <c r="AG158" i="57"/>
  <c r="AH158" i="57"/>
  <c r="AI158" i="57"/>
  <c r="AG159" i="57"/>
  <c r="AH159" i="57"/>
  <c r="AI159" i="57"/>
  <c r="AG160" i="57"/>
  <c r="AH160" i="57"/>
  <c r="AI160" i="57"/>
  <c r="AG161" i="57"/>
  <c r="AH161" i="57"/>
  <c r="AI161" i="57"/>
  <c r="AG162" i="57"/>
  <c r="AH162" i="57"/>
  <c r="AI162" i="57"/>
  <c r="AG163" i="57"/>
  <c r="AH163" i="57"/>
  <c r="AI163" i="57"/>
  <c r="AG156" i="57"/>
  <c r="AH156" i="57"/>
  <c r="AI156" i="57"/>
  <c r="D120" i="57"/>
  <c r="D121" i="57"/>
  <c r="D122" i="57"/>
  <c r="D123" i="57"/>
  <c r="D124" i="57"/>
  <c r="D125" i="57"/>
  <c r="D126" i="57"/>
  <c r="D119" i="57"/>
  <c r="AI126" i="57"/>
  <c r="AI127" i="57" s="1"/>
  <c r="B130" i="57" s="1"/>
  <c r="AD399" i="56"/>
  <c r="AC399" i="56"/>
  <c r="AB399" i="56"/>
  <c r="AA399" i="56"/>
  <c r="Z399" i="56"/>
  <c r="Y399" i="56"/>
  <c r="X399" i="56"/>
  <c r="W399" i="56"/>
  <c r="V399" i="56"/>
  <c r="U399" i="56"/>
  <c r="T399" i="56"/>
  <c r="S399" i="56"/>
  <c r="R399" i="56"/>
  <c r="Q399" i="56"/>
  <c r="P399" i="56"/>
  <c r="O399" i="56"/>
  <c r="N399" i="56"/>
  <c r="M399" i="56"/>
  <c r="L399" i="56"/>
  <c r="K399" i="56"/>
  <c r="J399" i="56"/>
  <c r="I399" i="56"/>
  <c r="H399" i="56"/>
  <c r="G399" i="56"/>
  <c r="AC127" i="57"/>
  <c r="AA127" i="57"/>
  <c r="Y127" i="57"/>
  <c r="W127" i="57"/>
  <c r="U127" i="57"/>
  <c r="S127" i="57"/>
  <c r="Q127" i="57"/>
  <c r="AB384" i="56"/>
  <c r="O127" i="57"/>
  <c r="Q384" i="56"/>
  <c r="R384" i="56"/>
  <c r="S384" i="56"/>
  <c r="T384" i="56"/>
  <c r="U384" i="56"/>
  <c r="V384" i="56"/>
  <c r="W384" i="56"/>
  <c r="X384" i="56"/>
  <c r="Y384" i="56"/>
  <c r="Z384" i="56"/>
  <c r="AA384" i="56"/>
  <c r="P384" i="56"/>
  <c r="AT399" i="56"/>
  <c r="BE398" i="56"/>
  <c r="BD398" i="56"/>
  <c r="BC398" i="56"/>
  <c r="BB398" i="56"/>
  <c r="BA398" i="56"/>
  <c r="AZ398" i="56"/>
  <c r="AY398" i="56"/>
  <c r="AX398" i="56"/>
  <c r="AW398" i="56"/>
  <c r="AV398" i="56"/>
  <c r="AU398" i="56"/>
  <c r="AT398" i="56"/>
  <c r="AS398" i="56"/>
  <c r="AR398" i="56"/>
  <c r="AQ398" i="56"/>
  <c r="AP398" i="56"/>
  <c r="AO398" i="56"/>
  <c r="AN398" i="56"/>
  <c r="AM398" i="56"/>
  <c r="AL398" i="56"/>
  <c r="AK398" i="56"/>
  <c r="AJ398" i="56"/>
  <c r="AI398" i="56"/>
  <c r="AH398" i="56"/>
  <c r="BE397" i="56"/>
  <c r="BD397" i="56"/>
  <c r="BC397" i="56"/>
  <c r="BB397" i="56"/>
  <c r="BA397" i="56"/>
  <c r="AZ397" i="56"/>
  <c r="AY397" i="56"/>
  <c r="AX397" i="56"/>
  <c r="AW397" i="56"/>
  <c r="AV397" i="56"/>
  <c r="AU397" i="56"/>
  <c r="AT397" i="56"/>
  <c r="AS397" i="56"/>
  <c r="AR397" i="56"/>
  <c r="AQ397" i="56"/>
  <c r="AP397" i="56"/>
  <c r="AO397" i="56"/>
  <c r="AN397" i="56"/>
  <c r="AM397" i="56"/>
  <c r="AL397" i="56"/>
  <c r="AK397" i="56"/>
  <c r="AJ397" i="56"/>
  <c r="AI397" i="56"/>
  <c r="AH397" i="56"/>
  <c r="BE396" i="56"/>
  <c r="BD396" i="56"/>
  <c r="BC396" i="56"/>
  <c r="BB396" i="56"/>
  <c r="BA396" i="56"/>
  <c r="AZ396" i="56"/>
  <c r="AY396" i="56"/>
  <c r="AX396" i="56"/>
  <c r="AW396" i="56"/>
  <c r="AV396" i="56"/>
  <c r="AU396" i="56"/>
  <c r="AT396" i="56"/>
  <c r="AS396" i="56"/>
  <c r="AR396" i="56"/>
  <c r="AQ396" i="56"/>
  <c r="AP396" i="56"/>
  <c r="AO396" i="56"/>
  <c r="AN396" i="56"/>
  <c r="AM396" i="56"/>
  <c r="AL396" i="56"/>
  <c r="AK396" i="56"/>
  <c r="AJ396" i="56"/>
  <c r="AI396" i="56"/>
  <c r="AH396" i="56"/>
  <c r="BE395" i="56"/>
  <c r="BD395" i="56"/>
  <c r="BC395" i="56"/>
  <c r="BB395" i="56"/>
  <c r="BA395" i="56"/>
  <c r="AZ395" i="56"/>
  <c r="AY395" i="56"/>
  <c r="AX395" i="56"/>
  <c r="AW395" i="56"/>
  <c r="AV395" i="56"/>
  <c r="AU395" i="56"/>
  <c r="AT395" i="56"/>
  <c r="AS395" i="56"/>
  <c r="AR395" i="56"/>
  <c r="AQ395" i="56"/>
  <c r="AP395" i="56"/>
  <c r="AO395" i="56"/>
  <c r="AN395" i="56"/>
  <c r="AM395" i="56"/>
  <c r="AL395" i="56"/>
  <c r="AK395" i="56"/>
  <c r="AJ395" i="56"/>
  <c r="AI395" i="56"/>
  <c r="AH395" i="56"/>
  <c r="BE394" i="56"/>
  <c r="BD394" i="56"/>
  <c r="BC394" i="56"/>
  <c r="BB394" i="56"/>
  <c r="BA394" i="56"/>
  <c r="AZ394" i="56"/>
  <c r="AY394" i="56"/>
  <c r="AX394" i="56"/>
  <c r="AW394" i="56"/>
  <c r="AV394" i="56"/>
  <c r="AU394" i="56"/>
  <c r="AT394" i="56"/>
  <c r="AS394" i="56"/>
  <c r="AR394" i="56"/>
  <c r="AQ394" i="56"/>
  <c r="AP394" i="56"/>
  <c r="AO394" i="56"/>
  <c r="AN394" i="56"/>
  <c r="AM394" i="56"/>
  <c r="AL394" i="56"/>
  <c r="AK394" i="56"/>
  <c r="AJ394" i="56"/>
  <c r="AI394" i="56"/>
  <c r="AH394" i="56"/>
  <c r="BE393" i="56"/>
  <c r="BD393" i="56"/>
  <c r="BC393" i="56"/>
  <c r="BB393" i="56"/>
  <c r="BA393" i="56"/>
  <c r="AZ393" i="56"/>
  <c r="AY393" i="56"/>
  <c r="AX393" i="56"/>
  <c r="AW393" i="56"/>
  <c r="AV393" i="56"/>
  <c r="AU393" i="56"/>
  <c r="AT393" i="56"/>
  <c r="AS393" i="56"/>
  <c r="AR393" i="56"/>
  <c r="AQ393" i="56"/>
  <c r="AP393" i="56"/>
  <c r="AO393" i="56"/>
  <c r="AN393" i="56"/>
  <c r="AM393" i="56"/>
  <c r="AL393" i="56"/>
  <c r="AK393" i="56"/>
  <c r="AJ393" i="56"/>
  <c r="AI393" i="56"/>
  <c r="AH393" i="56"/>
  <c r="BE392" i="56"/>
  <c r="BD392" i="56"/>
  <c r="BC392" i="56"/>
  <c r="BB392" i="56"/>
  <c r="BA392" i="56"/>
  <c r="AZ392" i="56"/>
  <c r="AY392" i="56"/>
  <c r="AX392" i="56"/>
  <c r="AW392" i="56"/>
  <c r="AV392" i="56"/>
  <c r="AU392" i="56"/>
  <c r="AT392" i="56"/>
  <c r="AS392" i="56"/>
  <c r="AR392" i="56"/>
  <c r="AQ392" i="56"/>
  <c r="AP392" i="56"/>
  <c r="AO392" i="56"/>
  <c r="AN392" i="56"/>
  <c r="AM392" i="56"/>
  <c r="AL392" i="56"/>
  <c r="AK392" i="56"/>
  <c r="AJ392" i="56"/>
  <c r="AI392" i="56"/>
  <c r="AH392" i="56"/>
  <c r="BE391" i="56"/>
  <c r="BE399" i="56" s="1"/>
  <c r="BD391" i="56"/>
  <c r="BC391" i="56"/>
  <c r="BC399" i="56" s="1"/>
  <c r="BB391" i="56"/>
  <c r="BB399" i="56" s="1"/>
  <c r="BA391" i="56"/>
  <c r="AZ391" i="56"/>
  <c r="AZ399" i="56" s="1"/>
  <c r="AY391" i="56"/>
  <c r="AY399" i="56" s="1"/>
  <c r="AX391" i="56"/>
  <c r="AW391" i="56"/>
  <c r="AW399" i="56" s="1"/>
  <c r="AV391" i="56"/>
  <c r="AV399" i="56" s="1"/>
  <c r="AU391" i="56"/>
  <c r="AT391" i="56"/>
  <c r="AS391" i="56"/>
  <c r="AS399" i="56" s="1"/>
  <c r="AR391" i="56"/>
  <c r="AQ391" i="56"/>
  <c r="AQ399" i="56" s="1"/>
  <c r="AP391" i="56"/>
  <c r="AP399" i="56" s="1"/>
  <c r="AO391" i="56"/>
  <c r="AN391" i="56"/>
  <c r="AN399" i="56" s="1"/>
  <c r="AM391" i="56"/>
  <c r="AM399" i="56" s="1"/>
  <c r="AL391" i="56"/>
  <c r="AK391" i="56"/>
  <c r="AK399" i="56" s="1"/>
  <c r="AJ391" i="56"/>
  <c r="AJ399" i="56" s="1"/>
  <c r="AL400" i="56" s="1"/>
  <c r="AI391" i="56"/>
  <c r="AH391" i="56"/>
  <c r="AH399" i="56" s="1"/>
  <c r="AS384" i="56"/>
  <c r="AH384" i="56"/>
  <c r="B407" i="56" s="1"/>
  <c r="BC376" i="56"/>
  <c r="AV384" i="56"/>
  <c r="AT384" i="56"/>
  <c r="AQ384" i="56"/>
  <c r="AP384" i="56"/>
  <c r="AN384" i="56"/>
  <c r="AM384" i="56"/>
  <c r="AK384" i="56"/>
  <c r="AJ127" i="57"/>
  <c r="B135" i="57" s="1"/>
  <c r="AG120" i="57"/>
  <c r="AH120" i="57"/>
  <c r="AI120" i="57"/>
  <c r="AG121" i="57"/>
  <c r="AH121" i="57"/>
  <c r="AI121" i="57"/>
  <c r="AG122" i="57"/>
  <c r="AH122" i="57"/>
  <c r="AI122" i="57"/>
  <c r="AG123" i="57"/>
  <c r="AH123" i="57"/>
  <c r="AI123" i="57"/>
  <c r="AG124" i="57"/>
  <c r="AH124" i="57"/>
  <c r="AI124" i="57"/>
  <c r="AG125" i="57"/>
  <c r="AH125" i="57"/>
  <c r="AI125" i="57"/>
  <c r="AG126" i="57"/>
  <c r="AH126" i="57"/>
  <c r="AH127" i="57" s="1"/>
  <c r="B134" i="57" s="1"/>
  <c r="AK127" i="57"/>
  <c r="B136" i="57" s="1"/>
  <c r="AJ341" i="56"/>
  <c r="AI341" i="56"/>
  <c r="AJ349" i="56" s="1"/>
  <c r="AG341" i="56"/>
  <c r="AD323" i="56"/>
  <c r="AC323" i="56"/>
  <c r="AB323" i="56"/>
  <c r="AA323" i="56"/>
  <c r="Z323" i="56"/>
  <c r="Y323" i="56"/>
  <c r="X323" i="56"/>
  <c r="W323" i="56"/>
  <c r="V323" i="56"/>
  <c r="U323" i="56"/>
  <c r="T323" i="56"/>
  <c r="S323" i="56"/>
  <c r="R323" i="56"/>
  <c r="Q323" i="56"/>
  <c r="P323" i="56"/>
  <c r="O323" i="56"/>
  <c r="N323" i="56"/>
  <c r="M323" i="56"/>
  <c r="L323" i="56"/>
  <c r="K323" i="56"/>
  <c r="J323" i="56"/>
  <c r="I323" i="56"/>
  <c r="H323" i="56"/>
  <c r="G323" i="56"/>
  <c r="CF322" i="56" a="1"/>
  <c r="CF322" i="56" s="1"/>
  <c r="CE322" i="56" a="1"/>
  <c r="CE322" i="56" s="1"/>
  <c r="CD322" i="56" a="1"/>
  <c r="CD322" i="56" s="1"/>
  <c r="CC322" i="56" a="1"/>
  <c r="CC322" i="56" s="1"/>
  <c r="CB322" i="56" a="1"/>
  <c r="CB322" i="56" s="1"/>
  <c r="CA322" i="56" a="1"/>
  <c r="CA322" i="56" s="1"/>
  <c r="BZ322" i="56" a="1"/>
  <c r="BZ322" i="56" s="1"/>
  <c r="BY322" i="56" a="1"/>
  <c r="BY322" i="56" s="1"/>
  <c r="BX322" i="56" a="1"/>
  <c r="BX322" i="56" s="1"/>
  <c r="BW322" i="56" a="1"/>
  <c r="BW322" i="56" s="1"/>
  <c r="BV322" i="56" a="1"/>
  <c r="BV322" i="56" s="1"/>
  <c r="BU322" i="56" a="1"/>
  <c r="BU322" i="56" s="1"/>
  <c r="BT322" i="56" a="1"/>
  <c r="BT322" i="56" s="1"/>
  <c r="BS322" i="56" a="1"/>
  <c r="BS322" i="56" s="1"/>
  <c r="BR322" i="56" a="1"/>
  <c r="BR322" i="56" s="1"/>
  <c r="BQ322" i="56" a="1"/>
  <c r="BQ322" i="56" s="1"/>
  <c r="BP322" i="56" a="1"/>
  <c r="BP322" i="56" s="1"/>
  <c r="BO322" i="56" a="1"/>
  <c r="BO322" i="56" s="1"/>
  <c r="BN322" i="56" a="1"/>
  <c r="BN322" i="56" s="1"/>
  <c r="BM322" i="56" a="1"/>
  <c r="BM322" i="56" s="1"/>
  <c r="BL322" i="56" a="1"/>
  <c r="BL322" i="56" s="1"/>
  <c r="BK322" i="56" a="1"/>
  <c r="BK322" i="56" s="1"/>
  <c r="BJ322" i="56" a="1"/>
  <c r="BJ322" i="56" s="1"/>
  <c r="BI322" i="56" a="1"/>
  <c r="BI322" i="56" s="1"/>
  <c r="BH322" i="56"/>
  <c r="BG322" i="56"/>
  <c r="BF322" i="56"/>
  <c r="BE322" i="56"/>
  <c r="BD322" i="56"/>
  <c r="BC322" i="56"/>
  <c r="BB322" i="56"/>
  <c r="BA322" i="56"/>
  <c r="AZ322" i="56"/>
  <c r="AY322" i="56"/>
  <c r="AX322" i="56"/>
  <c r="AW322" i="56"/>
  <c r="AV322" i="56"/>
  <c r="AU322" i="56"/>
  <c r="AT322" i="56"/>
  <c r="AS322" i="56"/>
  <c r="AR322" i="56"/>
  <c r="AQ322" i="56"/>
  <c r="AP322" i="56"/>
  <c r="AO322" i="56"/>
  <c r="AN322" i="56"/>
  <c r="AM322" i="56"/>
  <c r="AL322" i="56"/>
  <c r="AK322" i="56"/>
  <c r="CF321" i="56" a="1"/>
  <c r="CF321" i="56" s="1"/>
  <c r="CE321" i="56" a="1"/>
  <c r="CE321" i="56" s="1"/>
  <c r="CD321" i="56" a="1"/>
  <c r="CD321" i="56" s="1"/>
  <c r="CC321" i="56" a="1"/>
  <c r="CC321" i="56" s="1"/>
  <c r="CB321" i="56" a="1"/>
  <c r="CB321" i="56" s="1"/>
  <c r="CA321" i="56" a="1"/>
  <c r="CA321" i="56" s="1"/>
  <c r="BZ321" i="56" a="1"/>
  <c r="BZ321" i="56" s="1"/>
  <c r="BY321" i="56" a="1"/>
  <c r="BY321" i="56" s="1"/>
  <c r="BX321" i="56" a="1"/>
  <c r="BX321" i="56" s="1"/>
  <c r="BW321" i="56" a="1"/>
  <c r="BW321" i="56" s="1"/>
  <c r="BV321" i="56" a="1"/>
  <c r="BV321" i="56" s="1"/>
  <c r="BU321" i="56" a="1"/>
  <c r="BU321" i="56" s="1"/>
  <c r="BT321" i="56" a="1"/>
  <c r="BT321" i="56" s="1"/>
  <c r="BS321" i="56" a="1"/>
  <c r="BS321" i="56" s="1"/>
  <c r="BR321" i="56" a="1"/>
  <c r="BR321" i="56" s="1"/>
  <c r="BQ321" i="56" a="1"/>
  <c r="BQ321" i="56" s="1"/>
  <c r="BP321" i="56" a="1"/>
  <c r="BP321" i="56" s="1"/>
  <c r="BO321" i="56" a="1"/>
  <c r="BO321" i="56" s="1"/>
  <c r="BN321" i="56" a="1"/>
  <c r="BN321" i="56" s="1"/>
  <c r="BM321" i="56" a="1"/>
  <c r="BM321" i="56" s="1"/>
  <c r="BL321" i="56" a="1"/>
  <c r="BL321" i="56" s="1"/>
  <c r="BK321" i="56" a="1"/>
  <c r="BK321" i="56" s="1"/>
  <c r="BJ321" i="56" a="1"/>
  <c r="BJ321" i="56" s="1"/>
  <c r="BI321" i="56" a="1"/>
  <c r="BI321" i="56" s="1"/>
  <c r="BH321" i="56"/>
  <c r="BG321" i="56"/>
  <c r="BF321" i="56"/>
  <c r="BE321" i="56"/>
  <c r="BD321" i="56"/>
  <c r="BC321" i="56"/>
  <c r="BB321" i="56"/>
  <c r="BA321" i="56"/>
  <c r="AZ321" i="56"/>
  <c r="AY321" i="56"/>
  <c r="AX321" i="56"/>
  <c r="AW321" i="56"/>
  <c r="AV321" i="56"/>
  <c r="AU321" i="56"/>
  <c r="AT321" i="56"/>
  <c r="AS321" i="56"/>
  <c r="AR321" i="56"/>
  <c r="AQ321" i="56"/>
  <c r="AP321" i="56"/>
  <c r="AO321" i="56"/>
  <c r="AN321" i="56"/>
  <c r="AM321" i="56"/>
  <c r="AL321" i="56"/>
  <c r="AK321" i="56"/>
  <c r="CF320" i="56" a="1"/>
  <c r="CF320" i="56" s="1"/>
  <c r="CE320" i="56" a="1"/>
  <c r="CE320" i="56" s="1"/>
  <c r="CD320" i="56" a="1"/>
  <c r="CD320" i="56" s="1"/>
  <c r="CC320" i="56" a="1"/>
  <c r="CC320" i="56" s="1"/>
  <c r="CB320" i="56" a="1"/>
  <c r="CB320" i="56" s="1"/>
  <c r="CA320" i="56" a="1"/>
  <c r="CA320" i="56" s="1"/>
  <c r="BZ320" i="56" a="1"/>
  <c r="BZ320" i="56" s="1"/>
  <c r="BY320" i="56" a="1"/>
  <c r="BY320" i="56" s="1"/>
  <c r="BX320" i="56" a="1"/>
  <c r="BX320" i="56" s="1"/>
  <c r="BW320" i="56" a="1"/>
  <c r="BW320" i="56" s="1"/>
  <c r="BV320" i="56" a="1"/>
  <c r="BV320" i="56" s="1"/>
  <c r="BU320" i="56" a="1"/>
  <c r="BU320" i="56" s="1"/>
  <c r="BT320" i="56" a="1"/>
  <c r="BT320" i="56" s="1"/>
  <c r="BS320" i="56" a="1"/>
  <c r="BS320" i="56" s="1"/>
  <c r="BR320" i="56" a="1"/>
  <c r="BR320" i="56" s="1"/>
  <c r="BQ320" i="56" a="1"/>
  <c r="BQ320" i="56" s="1"/>
  <c r="BP320" i="56" a="1"/>
  <c r="BP320" i="56" s="1"/>
  <c r="BO320" i="56" a="1"/>
  <c r="BO320" i="56" s="1"/>
  <c r="BN320" i="56" a="1"/>
  <c r="BN320" i="56" s="1"/>
  <c r="BM320" i="56" a="1"/>
  <c r="BM320" i="56" s="1"/>
  <c r="BL320" i="56" a="1"/>
  <c r="BL320" i="56" s="1"/>
  <c r="BK320" i="56" a="1"/>
  <c r="BK320" i="56" s="1"/>
  <c r="BJ320" i="56" a="1"/>
  <c r="BJ320" i="56" s="1"/>
  <c r="BI320" i="56" a="1"/>
  <c r="BI320" i="56" s="1"/>
  <c r="BH320" i="56"/>
  <c r="BG320" i="56"/>
  <c r="BF320" i="56"/>
  <c r="BE320" i="56"/>
  <c r="BD320" i="56"/>
  <c r="BC320" i="56"/>
  <c r="BB320" i="56"/>
  <c r="BA320" i="56"/>
  <c r="AZ320" i="56"/>
  <c r="AY320" i="56"/>
  <c r="AX320" i="56"/>
  <c r="AW320" i="56"/>
  <c r="AV320" i="56"/>
  <c r="AU320" i="56"/>
  <c r="AT320" i="56"/>
  <c r="AS320" i="56"/>
  <c r="AR320" i="56"/>
  <c r="AQ320" i="56"/>
  <c r="AP320" i="56"/>
  <c r="AO320" i="56"/>
  <c r="AN320" i="56"/>
  <c r="AM320" i="56"/>
  <c r="AL320" i="56"/>
  <c r="AK320" i="56"/>
  <c r="CF319" i="56" a="1"/>
  <c r="CF319" i="56" s="1"/>
  <c r="CE319" i="56" a="1"/>
  <c r="CE319" i="56" s="1"/>
  <c r="CD319" i="56" a="1"/>
  <c r="CD319" i="56" s="1"/>
  <c r="CC319" i="56" a="1"/>
  <c r="CC319" i="56" s="1"/>
  <c r="CB319" i="56" a="1"/>
  <c r="CB319" i="56" s="1"/>
  <c r="CA319" i="56" a="1"/>
  <c r="CA319" i="56" s="1"/>
  <c r="BZ319" i="56" a="1"/>
  <c r="BZ319" i="56" s="1"/>
  <c r="BY319" i="56" a="1"/>
  <c r="BY319" i="56" s="1"/>
  <c r="BX319" i="56" a="1"/>
  <c r="BX319" i="56" s="1"/>
  <c r="BW319" i="56" a="1"/>
  <c r="BW319" i="56" s="1"/>
  <c r="BV319" i="56" a="1"/>
  <c r="BV319" i="56" s="1"/>
  <c r="BU319" i="56" a="1"/>
  <c r="BU319" i="56" s="1"/>
  <c r="BT319" i="56" a="1"/>
  <c r="BT319" i="56" s="1"/>
  <c r="BS319" i="56" a="1"/>
  <c r="BS319" i="56" s="1"/>
  <c r="BR319" i="56" a="1"/>
  <c r="BR319" i="56" s="1"/>
  <c r="BQ319" i="56" a="1"/>
  <c r="BQ319" i="56" s="1"/>
  <c r="BP319" i="56" a="1"/>
  <c r="BP319" i="56" s="1"/>
  <c r="BO319" i="56" a="1"/>
  <c r="BO319" i="56" s="1"/>
  <c r="BN319" i="56" a="1"/>
  <c r="BN319" i="56" s="1"/>
  <c r="BM319" i="56" a="1"/>
  <c r="BM319" i="56" s="1"/>
  <c r="BL319" i="56" a="1"/>
  <c r="BL319" i="56" s="1"/>
  <c r="BK319" i="56" a="1"/>
  <c r="BK319" i="56" s="1"/>
  <c r="BJ319" i="56" a="1"/>
  <c r="BJ319" i="56" s="1"/>
  <c r="BI319" i="56" a="1"/>
  <c r="BI319" i="56" s="1"/>
  <c r="BH319" i="56"/>
  <c r="BG319" i="56"/>
  <c r="BF319" i="56"/>
  <c r="BE319" i="56"/>
  <c r="BD319" i="56"/>
  <c r="BC319" i="56"/>
  <c r="BB319" i="56"/>
  <c r="BA319" i="56"/>
  <c r="AZ319" i="56"/>
  <c r="AY319" i="56"/>
  <c r="AX319" i="56"/>
  <c r="AW319" i="56"/>
  <c r="AV319" i="56"/>
  <c r="AU319" i="56"/>
  <c r="AT319" i="56"/>
  <c r="AS319" i="56"/>
  <c r="AR319" i="56"/>
  <c r="AQ319" i="56"/>
  <c r="AP319" i="56"/>
  <c r="AO319" i="56"/>
  <c r="AN319" i="56"/>
  <c r="AM319" i="56"/>
  <c r="AL319" i="56"/>
  <c r="AK319" i="56"/>
  <c r="CF318" i="56" a="1"/>
  <c r="CF318" i="56" s="1"/>
  <c r="CE318" i="56" a="1"/>
  <c r="CE318" i="56" s="1"/>
  <c r="CD318" i="56" a="1"/>
  <c r="CD318" i="56" s="1"/>
  <c r="CC318" i="56" a="1"/>
  <c r="CC318" i="56" s="1"/>
  <c r="CB318" i="56" a="1"/>
  <c r="CB318" i="56" s="1"/>
  <c r="CA318" i="56" a="1"/>
  <c r="CA318" i="56" s="1"/>
  <c r="BZ318" i="56" a="1"/>
  <c r="BZ318" i="56" s="1"/>
  <c r="BY318" i="56" a="1"/>
  <c r="BY318" i="56" s="1"/>
  <c r="BX318" i="56" a="1"/>
  <c r="BX318" i="56" s="1"/>
  <c r="BW318" i="56" a="1"/>
  <c r="BW318" i="56" s="1"/>
  <c r="BV318" i="56" a="1"/>
  <c r="BV318" i="56" s="1"/>
  <c r="BU318" i="56" a="1"/>
  <c r="BU318" i="56" s="1"/>
  <c r="BT318" i="56" a="1"/>
  <c r="BT318" i="56" s="1"/>
  <c r="BS318" i="56" a="1"/>
  <c r="BS318" i="56" s="1"/>
  <c r="BR318" i="56" a="1"/>
  <c r="BR318" i="56" s="1"/>
  <c r="BQ318" i="56" a="1"/>
  <c r="BQ318" i="56" s="1"/>
  <c r="BP318" i="56" a="1"/>
  <c r="BP318" i="56" s="1"/>
  <c r="BO318" i="56" a="1"/>
  <c r="BO318" i="56" s="1"/>
  <c r="BN318" i="56" a="1"/>
  <c r="BN318" i="56" s="1"/>
  <c r="BM318" i="56" a="1"/>
  <c r="BM318" i="56" s="1"/>
  <c r="BL318" i="56" a="1"/>
  <c r="BL318" i="56" s="1"/>
  <c r="BK318" i="56" a="1"/>
  <c r="BK318" i="56" s="1"/>
  <c r="BJ318" i="56" a="1"/>
  <c r="BJ318" i="56" s="1"/>
  <c r="BI318" i="56" a="1"/>
  <c r="BI318" i="56" s="1"/>
  <c r="BH318" i="56"/>
  <c r="BG318" i="56"/>
  <c r="BF318" i="56"/>
  <c r="BE318" i="56"/>
  <c r="BD318" i="56"/>
  <c r="BC318" i="56"/>
  <c r="BB318" i="56"/>
  <c r="BA318" i="56"/>
  <c r="AZ318" i="56"/>
  <c r="AY318" i="56"/>
  <c r="AX318" i="56"/>
  <c r="AW318" i="56"/>
  <c r="AV318" i="56"/>
  <c r="AU318" i="56"/>
  <c r="AT318" i="56"/>
  <c r="AS318" i="56"/>
  <c r="AR318" i="56"/>
  <c r="AQ318" i="56"/>
  <c r="AP318" i="56"/>
  <c r="AO318" i="56"/>
  <c r="AN318" i="56"/>
  <c r="AM318" i="56"/>
  <c r="AL318" i="56"/>
  <c r="AK318" i="56"/>
  <c r="AG323" i="56"/>
  <c r="CF317" i="56" a="1"/>
  <c r="CF317" i="56" s="1"/>
  <c r="CE317" i="56" a="1"/>
  <c r="CE317" i="56" s="1"/>
  <c r="CD317" i="56" a="1"/>
  <c r="CD317" i="56" s="1"/>
  <c r="CC317" i="56" a="1"/>
  <c r="CC317" i="56" s="1"/>
  <c r="CB317" i="56" a="1"/>
  <c r="CB317" i="56" s="1"/>
  <c r="CA317" i="56" a="1"/>
  <c r="CA317" i="56" s="1"/>
  <c r="BZ317" i="56" a="1"/>
  <c r="BZ317" i="56" s="1"/>
  <c r="BY317" i="56" a="1"/>
  <c r="BY317" i="56" s="1"/>
  <c r="BX317" i="56" a="1"/>
  <c r="BX317" i="56" s="1"/>
  <c r="BW317" i="56" a="1"/>
  <c r="BW317" i="56" s="1"/>
  <c r="BV317" i="56" a="1"/>
  <c r="BV317" i="56" s="1"/>
  <c r="BU317" i="56" a="1"/>
  <c r="BU317" i="56" s="1"/>
  <c r="BT317" i="56" a="1"/>
  <c r="BT317" i="56" s="1"/>
  <c r="BS317" i="56" a="1"/>
  <c r="BS317" i="56" s="1"/>
  <c r="BR317" i="56" a="1"/>
  <c r="BR317" i="56" s="1"/>
  <c r="BQ317" i="56" a="1"/>
  <c r="BQ317" i="56" s="1"/>
  <c r="BP317" i="56" a="1"/>
  <c r="BP317" i="56" s="1"/>
  <c r="BO317" i="56" a="1"/>
  <c r="BO317" i="56" s="1"/>
  <c r="BN317" i="56" a="1"/>
  <c r="BN317" i="56" s="1"/>
  <c r="BM317" i="56" a="1"/>
  <c r="BM317" i="56" s="1"/>
  <c r="BL317" i="56" a="1"/>
  <c r="BL317" i="56" s="1"/>
  <c r="BK317" i="56" a="1"/>
  <c r="BK317" i="56" s="1"/>
  <c r="BJ317" i="56" a="1"/>
  <c r="BJ317" i="56" s="1"/>
  <c r="BI317" i="56" a="1"/>
  <c r="BI317" i="56" s="1"/>
  <c r="BH317" i="56"/>
  <c r="BG317" i="56"/>
  <c r="BF317" i="56"/>
  <c r="BE317" i="56"/>
  <c r="BD317" i="56"/>
  <c r="BC317" i="56"/>
  <c r="BB317" i="56"/>
  <c r="BA317" i="56"/>
  <c r="AZ317" i="56"/>
  <c r="AY317" i="56"/>
  <c r="AX317" i="56"/>
  <c r="AW317" i="56"/>
  <c r="AV317" i="56"/>
  <c r="AU317" i="56"/>
  <c r="AT317" i="56"/>
  <c r="AS317" i="56"/>
  <c r="AR317" i="56"/>
  <c r="AQ317" i="56"/>
  <c r="AP317" i="56"/>
  <c r="AO317" i="56"/>
  <c r="AN317" i="56"/>
  <c r="AM317" i="56"/>
  <c r="AL317" i="56"/>
  <c r="AK317" i="56"/>
  <c r="CF316" i="56" a="1"/>
  <c r="CF316" i="56" s="1"/>
  <c r="CE316" i="56" a="1"/>
  <c r="CE316" i="56" s="1"/>
  <c r="CD316" i="56" a="1"/>
  <c r="CD316" i="56" s="1"/>
  <c r="CC316" i="56" a="1"/>
  <c r="CC316" i="56" s="1"/>
  <c r="CB316" i="56" a="1"/>
  <c r="CB316" i="56" s="1"/>
  <c r="CA316" i="56" a="1"/>
  <c r="CA316" i="56" s="1"/>
  <c r="BZ316" i="56" a="1"/>
  <c r="BZ316" i="56" s="1"/>
  <c r="BY316" i="56" a="1"/>
  <c r="BY316" i="56" s="1"/>
  <c r="BX316" i="56" a="1"/>
  <c r="BX316" i="56" s="1"/>
  <c r="BW316" i="56" a="1"/>
  <c r="BW316" i="56" s="1"/>
  <c r="BV316" i="56" a="1"/>
  <c r="BV316" i="56" s="1"/>
  <c r="BU316" i="56" a="1"/>
  <c r="BU316" i="56" s="1"/>
  <c r="BT316" i="56" a="1"/>
  <c r="BT316" i="56" s="1"/>
  <c r="BS316" i="56" a="1"/>
  <c r="BS316" i="56" s="1"/>
  <c r="BR316" i="56" a="1"/>
  <c r="BR316" i="56" s="1"/>
  <c r="BQ316" i="56" a="1"/>
  <c r="BQ316" i="56" s="1"/>
  <c r="BP316" i="56" a="1"/>
  <c r="BP316" i="56" s="1"/>
  <c r="BO316" i="56" a="1"/>
  <c r="BO316" i="56" s="1"/>
  <c r="BN316" i="56" a="1"/>
  <c r="BN316" i="56" s="1"/>
  <c r="BM316" i="56" a="1"/>
  <c r="BM316" i="56" s="1"/>
  <c r="BL316" i="56" a="1"/>
  <c r="BL316" i="56" s="1"/>
  <c r="BK316" i="56" a="1"/>
  <c r="BK316" i="56" s="1"/>
  <c r="BJ316" i="56" a="1"/>
  <c r="BJ316" i="56" s="1"/>
  <c r="BI316" i="56" a="1"/>
  <c r="BI316" i="56" s="1"/>
  <c r="BH316" i="56"/>
  <c r="BG316" i="56"/>
  <c r="BF316" i="56"/>
  <c r="BE316" i="56"/>
  <c r="BD316" i="56"/>
  <c r="BC316" i="56"/>
  <c r="BB316" i="56"/>
  <c r="BA316" i="56"/>
  <c r="AZ316" i="56"/>
  <c r="AY316" i="56"/>
  <c r="AX316" i="56"/>
  <c r="AW316" i="56"/>
  <c r="AV316" i="56"/>
  <c r="AU316" i="56"/>
  <c r="AT316" i="56"/>
  <c r="AS316" i="56"/>
  <c r="AR316" i="56"/>
  <c r="AQ316" i="56"/>
  <c r="AP316" i="56"/>
  <c r="AO316" i="56"/>
  <c r="AN316" i="56"/>
  <c r="AM316" i="56"/>
  <c r="AL316" i="56"/>
  <c r="AK316" i="56"/>
  <c r="AK323" i="56" s="1"/>
  <c r="CF315" i="56" a="1"/>
  <c r="CF315" i="56" s="1"/>
  <c r="CE315" i="56" a="1"/>
  <c r="CE315" i="56" s="1"/>
  <c r="CD315" i="56" a="1"/>
  <c r="CD315" i="56" s="1"/>
  <c r="CC315" i="56" a="1"/>
  <c r="CC315" i="56" s="1"/>
  <c r="CB315" i="56" a="1"/>
  <c r="CB315" i="56" s="1"/>
  <c r="CA315" i="56" a="1"/>
  <c r="CA315" i="56" s="1"/>
  <c r="BZ315" i="56" a="1"/>
  <c r="BZ315" i="56" s="1"/>
  <c r="BY315" i="56" a="1"/>
  <c r="BY315" i="56" s="1"/>
  <c r="BX315" i="56" a="1"/>
  <c r="BX315" i="56" s="1"/>
  <c r="BW315" i="56" a="1"/>
  <c r="BW315" i="56" s="1"/>
  <c r="BV315" i="56" a="1"/>
  <c r="BV315" i="56" s="1"/>
  <c r="BU315" i="56" a="1"/>
  <c r="BU315" i="56" s="1"/>
  <c r="BT315" i="56" a="1"/>
  <c r="BT315" i="56" s="1"/>
  <c r="BS315" i="56" a="1"/>
  <c r="BS315" i="56" s="1"/>
  <c r="BR315" i="56" a="1"/>
  <c r="BR315" i="56" s="1"/>
  <c r="BQ315" i="56" a="1"/>
  <c r="BQ315" i="56" s="1"/>
  <c r="BP315" i="56" a="1"/>
  <c r="BP315" i="56" s="1"/>
  <c r="BO315" i="56" a="1"/>
  <c r="BO315" i="56" s="1"/>
  <c r="BN315" i="56" a="1"/>
  <c r="BN315" i="56" s="1"/>
  <c r="BM315" i="56" a="1"/>
  <c r="BM315" i="56" s="1"/>
  <c r="BL315" i="56" a="1"/>
  <c r="BL315" i="56" s="1"/>
  <c r="BK315" i="56" a="1"/>
  <c r="BK315" i="56" s="1"/>
  <c r="BJ315" i="56" a="1"/>
  <c r="BJ315" i="56" s="1"/>
  <c r="BI315" i="56" a="1"/>
  <c r="BI315" i="56" s="1"/>
  <c r="BH315" i="56"/>
  <c r="BH323" i="56" s="1"/>
  <c r="BG315" i="56"/>
  <c r="BF315" i="56"/>
  <c r="BF323" i="56" s="1"/>
  <c r="BE315" i="56"/>
  <c r="BE323" i="56" s="1"/>
  <c r="BD315" i="56"/>
  <c r="BC315" i="56"/>
  <c r="BC323" i="56" s="1"/>
  <c r="BB315" i="56"/>
  <c r="BB323" i="56" s="1"/>
  <c r="BA315" i="56"/>
  <c r="AZ315" i="56"/>
  <c r="AZ323" i="56" s="1"/>
  <c r="AY315" i="56"/>
  <c r="AY323" i="56" s="1"/>
  <c r="AX315" i="56"/>
  <c r="AW315" i="56"/>
  <c r="AW323" i="56" s="1"/>
  <c r="AV315" i="56"/>
  <c r="AV323" i="56" s="1"/>
  <c r="AU315" i="56"/>
  <c r="AT315" i="56"/>
  <c r="AT323" i="56" s="1"/>
  <c r="AS315" i="56"/>
  <c r="AS323" i="56" s="1"/>
  <c r="AR315" i="56"/>
  <c r="AQ315" i="56"/>
  <c r="AQ323" i="56" s="1"/>
  <c r="AP315" i="56"/>
  <c r="AP323" i="56" s="1"/>
  <c r="AO315" i="56"/>
  <c r="AN315" i="56"/>
  <c r="AN323" i="56" s="1"/>
  <c r="AM315" i="56"/>
  <c r="AM323" i="56" s="1"/>
  <c r="AL315" i="56"/>
  <c r="AK315" i="56"/>
  <c r="AH315" i="56"/>
  <c r="B297" i="56"/>
  <c r="AD294" i="56"/>
  <c r="AC294" i="56"/>
  <c r="AB294" i="56"/>
  <c r="AA294" i="56"/>
  <c r="Z294" i="56"/>
  <c r="Y294" i="56"/>
  <c r="X294" i="56"/>
  <c r="W294" i="56"/>
  <c r="V294" i="56"/>
  <c r="U294" i="56"/>
  <c r="T294" i="56"/>
  <c r="S294" i="56"/>
  <c r="R294" i="56"/>
  <c r="Q294" i="56"/>
  <c r="P294" i="56"/>
  <c r="O294" i="56"/>
  <c r="N294" i="56"/>
  <c r="M294" i="56"/>
  <c r="L294" i="56"/>
  <c r="K294" i="56"/>
  <c r="J294" i="56"/>
  <c r="I294" i="56"/>
  <c r="H294" i="56"/>
  <c r="G294" i="56"/>
  <c r="AD280" i="56"/>
  <c r="AC280" i="56"/>
  <c r="AB280" i="56"/>
  <c r="AA280" i="56"/>
  <c r="Z280" i="56"/>
  <c r="Y280" i="56"/>
  <c r="X280" i="56"/>
  <c r="W280" i="56"/>
  <c r="V280" i="56"/>
  <c r="U280" i="56"/>
  <c r="T280" i="56"/>
  <c r="S280" i="56"/>
  <c r="R280" i="56"/>
  <c r="Q280" i="56"/>
  <c r="P280" i="56"/>
  <c r="O280" i="56"/>
  <c r="N280" i="56"/>
  <c r="M280" i="56"/>
  <c r="L280" i="56"/>
  <c r="K280" i="56"/>
  <c r="J280" i="56"/>
  <c r="I280" i="56"/>
  <c r="H280" i="56"/>
  <c r="G280" i="56"/>
  <c r="BE294" i="56"/>
  <c r="AS294" i="56"/>
  <c r="CF293" i="56" a="1"/>
  <c r="CF293" i="56" s="1"/>
  <c r="CE293" i="56"/>
  <c r="CE293" i="56" a="1"/>
  <c r="CD293" i="56" a="1"/>
  <c r="CD293" i="56" s="1"/>
  <c r="CC293" i="56"/>
  <c r="CC293" i="56" a="1"/>
  <c r="CB293" i="56" a="1"/>
  <c r="CB293" i="56" s="1"/>
  <c r="CA293" i="56"/>
  <c r="CA293" i="56" a="1"/>
  <c r="BZ293" i="56" a="1"/>
  <c r="BZ293" i="56" s="1"/>
  <c r="BY293" i="56"/>
  <c r="BY293" i="56" a="1"/>
  <c r="BX293" i="56" a="1"/>
  <c r="BX293" i="56" s="1"/>
  <c r="BW293" i="56"/>
  <c r="BW293" i="56" a="1"/>
  <c r="BV293" i="56" a="1"/>
  <c r="BV293" i="56" s="1"/>
  <c r="BU293" i="56"/>
  <c r="BU293" i="56" a="1"/>
  <c r="BT293" i="56" a="1"/>
  <c r="BT293" i="56" s="1"/>
  <c r="BS293" i="56"/>
  <c r="BS293" i="56" a="1"/>
  <c r="BR293" i="56" a="1"/>
  <c r="BR293" i="56" s="1"/>
  <c r="BQ293" i="56"/>
  <c r="BQ293" i="56" a="1"/>
  <c r="BP293" i="56" a="1"/>
  <c r="BP293" i="56" s="1"/>
  <c r="BO293" i="56"/>
  <c r="BO293" i="56" a="1"/>
  <c r="BN293" i="56" a="1"/>
  <c r="BN293" i="56" s="1"/>
  <c r="BM293" i="56"/>
  <c r="BM293" i="56" a="1"/>
  <c r="BL293" i="56" a="1"/>
  <c r="BL293" i="56" s="1"/>
  <c r="BK293" i="56"/>
  <c r="BK293" i="56" a="1"/>
  <c r="BJ293" i="56" a="1"/>
  <c r="BJ293" i="56" s="1"/>
  <c r="BI293" i="56"/>
  <c r="BI293" i="56" a="1"/>
  <c r="BH293" i="56"/>
  <c r="BG293" i="56"/>
  <c r="BF293" i="56"/>
  <c r="BE293" i="56"/>
  <c r="BD293" i="56"/>
  <c r="BC293" i="56"/>
  <c r="BB293" i="56"/>
  <c r="BA293" i="56"/>
  <c r="AZ293" i="56"/>
  <c r="AY293" i="56"/>
  <c r="AX293" i="56"/>
  <c r="AW293" i="56"/>
  <c r="AV293" i="56"/>
  <c r="AU293" i="56"/>
  <c r="AT293" i="56"/>
  <c r="AS293" i="56"/>
  <c r="AR293" i="56"/>
  <c r="AQ293" i="56"/>
  <c r="AP293" i="56"/>
  <c r="AO293" i="56"/>
  <c r="AN293" i="56"/>
  <c r="AM293" i="56"/>
  <c r="AL293" i="56"/>
  <c r="AK293" i="56"/>
  <c r="CF292" i="56" a="1"/>
  <c r="CF292" i="56" s="1"/>
  <c r="CE292" i="56"/>
  <c r="CE292" i="56" a="1"/>
  <c r="CD292" i="56" a="1"/>
  <c r="CD292" i="56" s="1"/>
  <c r="CC292" i="56"/>
  <c r="CC292" i="56" a="1"/>
  <c r="CB292" i="56" a="1"/>
  <c r="CB292" i="56" s="1"/>
  <c r="CA292" i="56"/>
  <c r="CA292" i="56" a="1"/>
  <c r="BZ292" i="56" a="1"/>
  <c r="BZ292" i="56" s="1"/>
  <c r="BY292" i="56"/>
  <c r="BY292" i="56" a="1"/>
  <c r="BX292" i="56" a="1"/>
  <c r="BX292" i="56" s="1"/>
  <c r="BW292" i="56"/>
  <c r="BW292" i="56" a="1"/>
  <c r="BV292" i="56" a="1"/>
  <c r="BV292" i="56" s="1"/>
  <c r="BU292" i="56"/>
  <c r="BU292" i="56" a="1"/>
  <c r="BT292" i="56" a="1"/>
  <c r="BT292" i="56" s="1"/>
  <c r="BS292" i="56"/>
  <c r="BS292" i="56" a="1"/>
  <c r="BR292" i="56" a="1"/>
  <c r="BR292" i="56" s="1"/>
  <c r="BQ292" i="56"/>
  <c r="BQ292" i="56" a="1"/>
  <c r="BP292" i="56" a="1"/>
  <c r="BP292" i="56" s="1"/>
  <c r="BO292" i="56"/>
  <c r="BO292" i="56" a="1"/>
  <c r="BN292" i="56" a="1"/>
  <c r="BN292" i="56" s="1"/>
  <c r="BM292" i="56"/>
  <c r="BM292" i="56" a="1"/>
  <c r="BL292" i="56" a="1"/>
  <c r="BL292" i="56" s="1"/>
  <c r="BK292" i="56"/>
  <c r="BK292" i="56" a="1"/>
  <c r="BJ292" i="56" a="1"/>
  <c r="BJ292" i="56" s="1"/>
  <c r="BI292" i="56"/>
  <c r="BI292" i="56" a="1"/>
  <c r="BH292" i="56"/>
  <c r="BG292" i="56"/>
  <c r="BF292" i="56"/>
  <c r="BE292" i="56"/>
  <c r="BD292" i="56"/>
  <c r="BC292" i="56"/>
  <c r="BB292" i="56"/>
  <c r="BA292" i="56"/>
  <c r="AZ292" i="56"/>
  <c r="AY292" i="56"/>
  <c r="AX292" i="56"/>
  <c r="AW292" i="56"/>
  <c r="AV292" i="56"/>
  <c r="AU292" i="56"/>
  <c r="AT292" i="56"/>
  <c r="AS292" i="56"/>
  <c r="AR292" i="56"/>
  <c r="AQ292" i="56"/>
  <c r="AP292" i="56"/>
  <c r="AO292" i="56"/>
  <c r="AN292" i="56"/>
  <c r="AM292" i="56"/>
  <c r="AL292" i="56"/>
  <c r="AK292" i="56"/>
  <c r="CF291" i="56" a="1"/>
  <c r="CF291" i="56" s="1"/>
  <c r="CE291" i="56"/>
  <c r="CE291" i="56" a="1"/>
  <c r="CD291" i="56" a="1"/>
  <c r="CD291" i="56" s="1"/>
  <c r="CC291" i="56"/>
  <c r="CC291" i="56" a="1"/>
  <c r="CB291" i="56" a="1"/>
  <c r="CB291" i="56" s="1"/>
  <c r="CA291" i="56"/>
  <c r="CA291" i="56" a="1"/>
  <c r="BZ291" i="56" a="1"/>
  <c r="BZ291" i="56" s="1"/>
  <c r="BY291" i="56"/>
  <c r="BY291" i="56" a="1"/>
  <c r="BX291" i="56" a="1"/>
  <c r="BX291" i="56" s="1"/>
  <c r="BW291" i="56"/>
  <c r="BW291" i="56" a="1"/>
  <c r="BV291" i="56" a="1"/>
  <c r="BV291" i="56" s="1"/>
  <c r="BU291" i="56"/>
  <c r="BU291" i="56" a="1"/>
  <c r="BT291" i="56" a="1"/>
  <c r="BT291" i="56" s="1"/>
  <c r="BS291" i="56"/>
  <c r="BS291" i="56" a="1"/>
  <c r="BR291" i="56" a="1"/>
  <c r="BR291" i="56" s="1"/>
  <c r="BQ291" i="56"/>
  <c r="BQ291" i="56" a="1"/>
  <c r="BP291" i="56" a="1"/>
  <c r="BP291" i="56" s="1"/>
  <c r="BO291" i="56"/>
  <c r="BO291" i="56" a="1"/>
  <c r="BN291" i="56" a="1"/>
  <c r="BN291" i="56" s="1"/>
  <c r="BM291" i="56"/>
  <c r="BM291" i="56" a="1"/>
  <c r="BL291" i="56" a="1"/>
  <c r="BL291" i="56" s="1"/>
  <c r="BK291" i="56"/>
  <c r="BK291" i="56" a="1"/>
  <c r="BJ291" i="56" a="1"/>
  <c r="BJ291" i="56" s="1"/>
  <c r="BI291" i="56"/>
  <c r="BI291" i="56" a="1"/>
  <c r="BH291" i="56"/>
  <c r="BG291" i="56"/>
  <c r="BF291" i="56"/>
  <c r="BE291" i="56"/>
  <c r="BD291" i="56"/>
  <c r="BC291" i="56"/>
  <c r="BB291" i="56"/>
  <c r="BA291" i="56"/>
  <c r="AZ291" i="56"/>
  <c r="AY291" i="56"/>
  <c r="AX291" i="56"/>
  <c r="AW291" i="56"/>
  <c r="AV291" i="56"/>
  <c r="AU291" i="56"/>
  <c r="AT291" i="56"/>
  <c r="AS291" i="56"/>
  <c r="AR291" i="56"/>
  <c r="AQ291" i="56"/>
  <c r="AP291" i="56"/>
  <c r="AO291" i="56"/>
  <c r="AN291" i="56"/>
  <c r="AM291" i="56"/>
  <c r="AL291" i="56"/>
  <c r="AK291" i="56"/>
  <c r="CF290" i="56" a="1"/>
  <c r="CF290" i="56" s="1"/>
  <c r="CE290" i="56"/>
  <c r="CE290" i="56" a="1"/>
  <c r="CD290" i="56" a="1"/>
  <c r="CD290" i="56" s="1"/>
  <c r="CC290" i="56"/>
  <c r="CC290" i="56" a="1"/>
  <c r="CB290" i="56" a="1"/>
  <c r="CB290" i="56" s="1"/>
  <c r="CA290" i="56"/>
  <c r="CA290" i="56" a="1"/>
  <c r="BZ290" i="56" a="1"/>
  <c r="BZ290" i="56" s="1"/>
  <c r="BY290" i="56"/>
  <c r="BY290" i="56" a="1"/>
  <c r="BX290" i="56" a="1"/>
  <c r="BX290" i="56" s="1"/>
  <c r="BW290" i="56"/>
  <c r="BW290" i="56" a="1"/>
  <c r="BV290" i="56" a="1"/>
  <c r="BV290" i="56" s="1"/>
  <c r="BU290" i="56"/>
  <c r="BU290" i="56" a="1"/>
  <c r="BT290" i="56" a="1"/>
  <c r="BT290" i="56" s="1"/>
  <c r="BS290" i="56"/>
  <c r="BS290" i="56" a="1"/>
  <c r="BR290" i="56" a="1"/>
  <c r="BR290" i="56" s="1"/>
  <c r="BQ290" i="56"/>
  <c r="BQ290" i="56" a="1"/>
  <c r="BP290" i="56" a="1"/>
  <c r="BP290" i="56" s="1"/>
  <c r="BO290" i="56"/>
  <c r="BO290" i="56" a="1"/>
  <c r="BN290" i="56" a="1"/>
  <c r="BN290" i="56" s="1"/>
  <c r="BM290" i="56"/>
  <c r="BM290" i="56" a="1"/>
  <c r="BL290" i="56" a="1"/>
  <c r="BL290" i="56" s="1"/>
  <c r="BK290" i="56"/>
  <c r="BK290" i="56" a="1"/>
  <c r="BJ290" i="56" a="1"/>
  <c r="BJ290" i="56" s="1"/>
  <c r="BI290" i="56"/>
  <c r="BI290" i="56" a="1"/>
  <c r="BH290" i="56"/>
  <c r="BG290" i="56"/>
  <c r="BF290" i="56"/>
  <c r="BE290" i="56"/>
  <c r="BD290" i="56"/>
  <c r="BC290" i="56"/>
  <c r="BB290" i="56"/>
  <c r="BA290" i="56"/>
  <c r="AZ290" i="56"/>
  <c r="AY290" i="56"/>
  <c r="AX290" i="56"/>
  <c r="AW290" i="56"/>
  <c r="AV290" i="56"/>
  <c r="AU290" i="56"/>
  <c r="AT290" i="56"/>
  <c r="AS290" i="56"/>
  <c r="AR290" i="56"/>
  <c r="AQ290" i="56"/>
  <c r="AP290" i="56"/>
  <c r="AO290" i="56"/>
  <c r="AN290" i="56"/>
  <c r="AM290" i="56"/>
  <c r="AL290" i="56"/>
  <c r="AK290" i="56"/>
  <c r="CF289" i="56" a="1"/>
  <c r="CF289" i="56" s="1"/>
  <c r="CE289" i="56"/>
  <c r="CE289" i="56" a="1"/>
  <c r="CD289" i="56" a="1"/>
  <c r="CD289" i="56" s="1"/>
  <c r="CC289" i="56"/>
  <c r="CC289" i="56" a="1"/>
  <c r="CB289" i="56" a="1"/>
  <c r="CB289" i="56" s="1"/>
  <c r="CA289" i="56"/>
  <c r="CA289" i="56" a="1"/>
  <c r="BZ289" i="56" a="1"/>
  <c r="BZ289" i="56" s="1"/>
  <c r="BY289" i="56"/>
  <c r="BY289" i="56" a="1"/>
  <c r="BX289" i="56" a="1"/>
  <c r="BX289" i="56" s="1"/>
  <c r="BW289" i="56"/>
  <c r="BW289" i="56" a="1"/>
  <c r="BV289" i="56" a="1"/>
  <c r="BV289" i="56" s="1"/>
  <c r="BU289" i="56"/>
  <c r="BU289" i="56" a="1"/>
  <c r="BT289" i="56" a="1"/>
  <c r="BT289" i="56" s="1"/>
  <c r="BS289" i="56"/>
  <c r="BS289" i="56" a="1"/>
  <c r="BR289" i="56" a="1"/>
  <c r="BR289" i="56" s="1"/>
  <c r="BQ289" i="56"/>
  <c r="BQ289" i="56" a="1"/>
  <c r="BP289" i="56" a="1"/>
  <c r="BP289" i="56" s="1"/>
  <c r="BO289" i="56"/>
  <c r="BO289" i="56" a="1"/>
  <c r="BN289" i="56" a="1"/>
  <c r="BN289" i="56" s="1"/>
  <c r="BM289" i="56"/>
  <c r="BM289" i="56" a="1"/>
  <c r="BL289" i="56" a="1"/>
  <c r="BL289" i="56" s="1"/>
  <c r="BK289" i="56"/>
  <c r="BK289" i="56" a="1"/>
  <c r="BJ289" i="56" a="1"/>
  <c r="BJ289" i="56" s="1"/>
  <c r="BI289" i="56"/>
  <c r="BI289" i="56" a="1"/>
  <c r="BH289" i="56"/>
  <c r="BG289" i="56"/>
  <c r="BF289" i="56"/>
  <c r="BE289" i="56"/>
  <c r="BD289" i="56"/>
  <c r="BC289" i="56"/>
  <c r="BB289" i="56"/>
  <c r="BA289" i="56"/>
  <c r="AZ289" i="56"/>
  <c r="AY289" i="56"/>
  <c r="AX289" i="56"/>
  <c r="AW289" i="56"/>
  <c r="AV289" i="56"/>
  <c r="AU289" i="56"/>
  <c r="AT289" i="56"/>
  <c r="AS289" i="56"/>
  <c r="AR289" i="56"/>
  <c r="AQ289" i="56"/>
  <c r="AP289" i="56"/>
  <c r="AO289" i="56"/>
  <c r="AN289" i="56"/>
  <c r="AM289" i="56"/>
  <c r="AL289" i="56"/>
  <c r="AK289" i="56"/>
  <c r="CF288" i="56" a="1"/>
  <c r="CF288" i="56" s="1"/>
  <c r="CE288" i="56"/>
  <c r="CE288" i="56" a="1"/>
  <c r="CD288" i="56" a="1"/>
  <c r="CD288" i="56" s="1"/>
  <c r="CC288" i="56"/>
  <c r="CC288" i="56" a="1"/>
  <c r="CB288" i="56" a="1"/>
  <c r="CB288" i="56" s="1"/>
  <c r="CA288" i="56"/>
  <c r="CA288" i="56" a="1"/>
  <c r="BZ288" i="56" a="1"/>
  <c r="BZ288" i="56" s="1"/>
  <c r="BY288" i="56"/>
  <c r="BY288" i="56" a="1"/>
  <c r="BX288" i="56" a="1"/>
  <c r="BX288" i="56" s="1"/>
  <c r="BW288" i="56"/>
  <c r="BW288" i="56" a="1"/>
  <c r="BV288" i="56" a="1"/>
  <c r="BV288" i="56" s="1"/>
  <c r="BU288" i="56"/>
  <c r="BU288" i="56" a="1"/>
  <c r="BT288" i="56" a="1"/>
  <c r="BT288" i="56" s="1"/>
  <c r="BS288" i="56"/>
  <c r="BS288" i="56" a="1"/>
  <c r="BR288" i="56" a="1"/>
  <c r="BR288" i="56" s="1"/>
  <c r="BQ288" i="56"/>
  <c r="BQ288" i="56" a="1"/>
  <c r="BP288" i="56" a="1"/>
  <c r="BP288" i="56" s="1"/>
  <c r="BO288" i="56"/>
  <c r="BO288" i="56" a="1"/>
  <c r="BN288" i="56" a="1"/>
  <c r="BN288" i="56" s="1"/>
  <c r="BM288" i="56"/>
  <c r="BM288" i="56" a="1"/>
  <c r="BL288" i="56" a="1"/>
  <c r="BL288" i="56" s="1"/>
  <c r="BK288" i="56"/>
  <c r="BK288" i="56" a="1"/>
  <c r="BJ288" i="56" a="1"/>
  <c r="BJ288" i="56" s="1"/>
  <c r="BI288" i="56"/>
  <c r="BI288" i="56" a="1"/>
  <c r="BH288" i="56"/>
  <c r="BG288" i="56"/>
  <c r="BF288" i="56"/>
  <c r="BE288" i="56"/>
  <c r="BD288" i="56"/>
  <c r="BC288" i="56"/>
  <c r="BB288" i="56"/>
  <c r="BA288" i="56"/>
  <c r="AZ288" i="56"/>
  <c r="AY288" i="56"/>
  <c r="AX288" i="56"/>
  <c r="AW288" i="56"/>
  <c r="AV288" i="56"/>
  <c r="AU288" i="56"/>
  <c r="AT288" i="56"/>
  <c r="AS288" i="56"/>
  <c r="AR288" i="56"/>
  <c r="AQ288" i="56"/>
  <c r="AP288" i="56"/>
  <c r="AO288" i="56"/>
  <c r="AN288" i="56"/>
  <c r="AM288" i="56"/>
  <c r="AL288" i="56"/>
  <c r="AK288" i="56"/>
  <c r="CF287" i="56" a="1"/>
  <c r="CF287" i="56" s="1"/>
  <c r="CE287" i="56"/>
  <c r="CE287" i="56" a="1"/>
  <c r="CD287" i="56" a="1"/>
  <c r="CD287" i="56" s="1"/>
  <c r="CC287" i="56"/>
  <c r="CC287" i="56" a="1"/>
  <c r="CB287" i="56" a="1"/>
  <c r="CB287" i="56" s="1"/>
  <c r="CA287" i="56"/>
  <c r="CA287" i="56" a="1"/>
  <c r="BZ287" i="56" a="1"/>
  <c r="BZ287" i="56" s="1"/>
  <c r="BY287" i="56"/>
  <c r="BY287" i="56" a="1"/>
  <c r="BX287" i="56" a="1"/>
  <c r="BX287" i="56" s="1"/>
  <c r="BW287" i="56"/>
  <c r="BW287" i="56" a="1"/>
  <c r="BV287" i="56" a="1"/>
  <c r="BV287" i="56" s="1"/>
  <c r="BU287" i="56"/>
  <c r="BU287" i="56" a="1"/>
  <c r="BT287" i="56" a="1"/>
  <c r="BT287" i="56" s="1"/>
  <c r="BS287" i="56"/>
  <c r="BS287" i="56" a="1"/>
  <c r="BR287" i="56" a="1"/>
  <c r="BR287" i="56" s="1"/>
  <c r="BQ287" i="56"/>
  <c r="BQ287" i="56" a="1"/>
  <c r="BP287" i="56" a="1"/>
  <c r="BP287" i="56" s="1"/>
  <c r="BO287" i="56"/>
  <c r="BO287" i="56" a="1"/>
  <c r="BN287" i="56" a="1"/>
  <c r="BN287" i="56" s="1"/>
  <c r="BM287" i="56"/>
  <c r="BM287" i="56" a="1"/>
  <c r="BL287" i="56" a="1"/>
  <c r="BL287" i="56" s="1"/>
  <c r="BK287" i="56"/>
  <c r="BK287" i="56" a="1"/>
  <c r="BJ287" i="56" a="1"/>
  <c r="BJ287" i="56" s="1"/>
  <c r="BI287" i="56"/>
  <c r="BI287" i="56" a="1"/>
  <c r="BH287" i="56"/>
  <c r="BG287" i="56"/>
  <c r="BF287" i="56"/>
  <c r="BE287" i="56"/>
  <c r="BD287" i="56"/>
  <c r="BC287" i="56"/>
  <c r="BB287" i="56"/>
  <c r="BA287" i="56"/>
  <c r="AZ287" i="56"/>
  <c r="AY287" i="56"/>
  <c r="AX287" i="56"/>
  <c r="AW287" i="56"/>
  <c r="AV287" i="56"/>
  <c r="AU287" i="56"/>
  <c r="AT287" i="56"/>
  <c r="AS287" i="56"/>
  <c r="AR287" i="56"/>
  <c r="AQ287" i="56"/>
  <c r="AP287" i="56"/>
  <c r="AO287" i="56"/>
  <c r="AN287" i="56"/>
  <c r="AM287" i="56"/>
  <c r="AL287" i="56"/>
  <c r="AK287" i="56"/>
  <c r="CF286" i="56" a="1"/>
  <c r="CF286" i="56" s="1"/>
  <c r="CE286" i="56"/>
  <c r="CE286" i="56" a="1"/>
  <c r="CD286" i="56" a="1"/>
  <c r="CD286" i="56" s="1"/>
  <c r="CC286" i="56"/>
  <c r="CC286" i="56" a="1"/>
  <c r="CB286" i="56" a="1"/>
  <c r="CB286" i="56" s="1"/>
  <c r="CA286" i="56"/>
  <c r="CA286" i="56" a="1"/>
  <c r="BZ286" i="56" a="1"/>
  <c r="BZ286" i="56" s="1"/>
  <c r="BY286" i="56"/>
  <c r="BY286" i="56" a="1"/>
  <c r="BX286" i="56" a="1"/>
  <c r="BX286" i="56" s="1"/>
  <c r="BW286" i="56"/>
  <c r="BW286" i="56" a="1"/>
  <c r="BV286" i="56" a="1"/>
  <c r="BV286" i="56" s="1"/>
  <c r="BU286" i="56"/>
  <c r="BU286" i="56" a="1"/>
  <c r="BT286" i="56" a="1"/>
  <c r="BT286" i="56" s="1"/>
  <c r="BS286" i="56"/>
  <c r="BS286" i="56" a="1"/>
  <c r="BR286" i="56" a="1"/>
  <c r="BR286" i="56" s="1"/>
  <c r="BQ286" i="56"/>
  <c r="BQ286" i="56" a="1"/>
  <c r="BP286" i="56" a="1"/>
  <c r="BP286" i="56" s="1"/>
  <c r="BO286" i="56"/>
  <c r="BO286" i="56" a="1"/>
  <c r="BN286" i="56" a="1"/>
  <c r="BN286" i="56" s="1"/>
  <c r="BM286" i="56"/>
  <c r="BM286" i="56" a="1"/>
  <c r="BL286" i="56" a="1"/>
  <c r="BL286" i="56" s="1"/>
  <c r="BK286" i="56"/>
  <c r="BK286" i="56" a="1"/>
  <c r="BJ286" i="56" a="1"/>
  <c r="BJ286" i="56" s="1"/>
  <c r="BI286" i="56"/>
  <c r="BI286" i="56" a="1"/>
  <c r="BH286" i="56"/>
  <c r="BH294" i="56" s="1"/>
  <c r="BG286" i="56"/>
  <c r="BF286" i="56"/>
  <c r="BF294" i="56" s="1"/>
  <c r="BE286" i="56"/>
  <c r="BD286" i="56"/>
  <c r="BC286" i="56"/>
  <c r="BC294" i="56" s="1"/>
  <c r="BB286" i="56"/>
  <c r="BB294" i="56" s="1"/>
  <c r="BA286" i="56"/>
  <c r="AZ286" i="56"/>
  <c r="AZ294" i="56" s="1"/>
  <c r="AY286" i="56"/>
  <c r="AY294" i="56" s="1"/>
  <c r="AX286" i="56"/>
  <c r="AW286" i="56"/>
  <c r="AW294" i="56" s="1"/>
  <c r="AV286" i="56"/>
  <c r="AV294" i="56" s="1"/>
  <c r="AU286" i="56"/>
  <c r="AT286" i="56"/>
  <c r="AT294" i="56" s="1"/>
  <c r="AS286" i="56"/>
  <c r="AR286" i="56"/>
  <c r="AQ286" i="56"/>
  <c r="AQ294" i="56" s="1"/>
  <c r="AP286" i="56"/>
  <c r="AP294" i="56" s="1"/>
  <c r="AO286" i="56"/>
  <c r="AN286" i="56"/>
  <c r="AN294" i="56" s="1"/>
  <c r="AM286" i="56"/>
  <c r="AM294" i="56" s="1"/>
  <c r="AL295" i="56" s="1"/>
  <c r="AL286" i="56"/>
  <c r="AK286" i="56"/>
  <c r="AK294" i="56" s="1"/>
  <c r="CF279" i="56" a="1"/>
  <c r="CF279" i="56" s="1"/>
  <c r="CE279" i="56"/>
  <c r="CE279" i="56" a="1"/>
  <c r="CD279" i="56"/>
  <c r="CD279" i="56" a="1"/>
  <c r="CC279" i="56"/>
  <c r="CC279" i="56" a="1"/>
  <c r="CB279" i="56" a="1"/>
  <c r="CB279" i="56" s="1"/>
  <c r="CA279" i="56"/>
  <c r="CA279" i="56" a="1"/>
  <c r="BZ279" i="56"/>
  <c r="BZ279" i="56" a="1"/>
  <c r="BY279" i="56"/>
  <c r="BY279" i="56" a="1"/>
  <c r="BX279" i="56" a="1"/>
  <c r="BX279" i="56" s="1"/>
  <c r="BW279" i="56"/>
  <c r="BW279" i="56" a="1"/>
  <c r="BV279" i="56"/>
  <c r="BV279" i="56" a="1"/>
  <c r="BU279" i="56"/>
  <c r="BU279" i="56" a="1"/>
  <c r="BT279" i="56" a="1"/>
  <c r="BT279" i="56" s="1"/>
  <c r="BS279" i="56"/>
  <c r="BS279" i="56" a="1"/>
  <c r="BR279" i="56"/>
  <c r="BR279" i="56" a="1"/>
  <c r="BQ279" i="56"/>
  <c r="BQ279" i="56" a="1"/>
  <c r="BP279" i="56" a="1"/>
  <c r="BP279" i="56" s="1"/>
  <c r="BO279" i="56"/>
  <c r="BO279" i="56" a="1"/>
  <c r="BN279" i="56"/>
  <c r="BN279" i="56" a="1"/>
  <c r="BM279" i="56"/>
  <c r="BM279" i="56" a="1"/>
  <c r="BL279" i="56" a="1"/>
  <c r="BL279" i="56" s="1"/>
  <c r="BK279" i="56"/>
  <c r="BK279" i="56" a="1"/>
  <c r="BJ279" i="56" a="1"/>
  <c r="BJ279" i="56" s="1"/>
  <c r="BI279" i="56"/>
  <c r="BI279" i="56" a="1"/>
  <c r="BH279" i="56"/>
  <c r="BG279" i="56"/>
  <c r="BF279" i="56"/>
  <c r="BE279" i="56"/>
  <c r="BD279" i="56"/>
  <c r="BC279" i="56"/>
  <c r="BB279" i="56"/>
  <c r="BA279" i="56"/>
  <c r="AZ279" i="56"/>
  <c r="AY279" i="56"/>
  <c r="AX279" i="56"/>
  <c r="AW279" i="56"/>
  <c r="AV279" i="56"/>
  <c r="AU279" i="56"/>
  <c r="AT279" i="56"/>
  <c r="AS279" i="56"/>
  <c r="AR279" i="56"/>
  <c r="AQ279" i="56"/>
  <c r="AP279" i="56"/>
  <c r="AO279" i="56"/>
  <c r="AN279" i="56"/>
  <c r="AM279" i="56"/>
  <c r="AL279" i="56"/>
  <c r="AK279" i="56"/>
  <c r="CF278" i="56" a="1"/>
  <c r="CF278" i="56" s="1"/>
  <c r="CE278" i="56"/>
  <c r="CE278" i="56" a="1"/>
  <c r="CD278" i="56" a="1"/>
  <c r="CD278" i="56" s="1"/>
  <c r="CC278" i="56"/>
  <c r="CC278" i="56" a="1"/>
  <c r="CB278" i="56" a="1"/>
  <c r="CB278" i="56" s="1"/>
  <c r="CA278" i="56"/>
  <c r="CA278" i="56" a="1"/>
  <c r="BZ278" i="56" a="1"/>
  <c r="BZ278" i="56" s="1"/>
  <c r="BY278" i="56"/>
  <c r="BY278" i="56" a="1"/>
  <c r="BX278" i="56" a="1"/>
  <c r="BX278" i="56" s="1"/>
  <c r="BW278" i="56"/>
  <c r="BW278" i="56" a="1"/>
  <c r="BV278" i="56" a="1"/>
  <c r="BV278" i="56" s="1"/>
  <c r="BU278" i="56"/>
  <c r="BU278" i="56" a="1"/>
  <c r="BT278" i="56" a="1"/>
  <c r="BT278" i="56" s="1"/>
  <c r="BS278" i="56"/>
  <c r="BS278" i="56" a="1"/>
  <c r="BR278" i="56" a="1"/>
  <c r="BR278" i="56" s="1"/>
  <c r="BQ278" i="56"/>
  <c r="BQ278" i="56" a="1"/>
  <c r="BP278" i="56" a="1"/>
  <c r="BP278" i="56" s="1"/>
  <c r="BO278" i="56"/>
  <c r="BO278" i="56" a="1"/>
  <c r="BN278" i="56" a="1"/>
  <c r="BN278" i="56" s="1"/>
  <c r="BM278" i="56"/>
  <c r="BM278" i="56" a="1"/>
  <c r="BL278" i="56" a="1"/>
  <c r="BL278" i="56" s="1"/>
  <c r="BK278" i="56"/>
  <c r="BK278" i="56" a="1"/>
  <c r="BJ278" i="56" a="1"/>
  <c r="BJ278" i="56" s="1"/>
  <c r="BI278" i="56"/>
  <c r="BI278" i="56" a="1"/>
  <c r="BH278" i="56"/>
  <c r="BG278" i="56"/>
  <c r="BF278" i="56"/>
  <c r="BE278" i="56"/>
  <c r="BD278" i="56"/>
  <c r="BC278" i="56"/>
  <c r="BB278" i="56"/>
  <c r="BA278" i="56"/>
  <c r="AZ278" i="56"/>
  <c r="AY278" i="56"/>
  <c r="AX278" i="56"/>
  <c r="AW278" i="56"/>
  <c r="AV278" i="56"/>
  <c r="AU278" i="56"/>
  <c r="AT278" i="56"/>
  <c r="AS278" i="56"/>
  <c r="AR278" i="56"/>
  <c r="AQ278" i="56"/>
  <c r="AP278" i="56"/>
  <c r="AO278" i="56"/>
  <c r="AN278" i="56"/>
  <c r="AM278" i="56"/>
  <c r="AL278" i="56"/>
  <c r="AK278" i="56"/>
  <c r="CF277" i="56" a="1"/>
  <c r="CF277" i="56" s="1"/>
  <c r="CE277" i="56"/>
  <c r="CE277" i="56" a="1"/>
  <c r="CD277" i="56" a="1"/>
  <c r="CD277" i="56" s="1"/>
  <c r="CC277" i="56"/>
  <c r="CC277" i="56" a="1"/>
  <c r="CB277" i="56" a="1"/>
  <c r="CB277" i="56" s="1"/>
  <c r="CA277" i="56"/>
  <c r="CA277" i="56" a="1"/>
  <c r="BZ277" i="56" a="1"/>
  <c r="BZ277" i="56" s="1"/>
  <c r="BY277" i="56"/>
  <c r="BY277" i="56" a="1"/>
  <c r="BX277" i="56" a="1"/>
  <c r="BX277" i="56" s="1"/>
  <c r="BW277" i="56"/>
  <c r="BW277" i="56" a="1"/>
  <c r="BV277" i="56" a="1"/>
  <c r="BV277" i="56" s="1"/>
  <c r="BU277" i="56"/>
  <c r="BU277" i="56" a="1"/>
  <c r="BT277" i="56" a="1"/>
  <c r="BT277" i="56" s="1"/>
  <c r="BS277" i="56"/>
  <c r="BS277" i="56" a="1"/>
  <c r="BR277" i="56" a="1"/>
  <c r="BR277" i="56" s="1"/>
  <c r="BQ277" i="56"/>
  <c r="BQ277" i="56" a="1"/>
  <c r="BP277" i="56" a="1"/>
  <c r="BP277" i="56" s="1"/>
  <c r="BO277" i="56"/>
  <c r="BO277" i="56" a="1"/>
  <c r="BN277" i="56" a="1"/>
  <c r="BN277" i="56" s="1"/>
  <c r="BM277" i="56"/>
  <c r="BM277" i="56" a="1"/>
  <c r="BL277" i="56" a="1"/>
  <c r="BL277" i="56" s="1"/>
  <c r="BK277" i="56"/>
  <c r="BK277" i="56" a="1"/>
  <c r="BJ277" i="56" a="1"/>
  <c r="BJ277" i="56" s="1"/>
  <c r="BI277" i="56"/>
  <c r="BI277" i="56" a="1"/>
  <c r="BH277" i="56"/>
  <c r="BG277" i="56"/>
  <c r="BF277" i="56"/>
  <c r="BE277" i="56"/>
  <c r="BD277" i="56"/>
  <c r="BC277" i="56"/>
  <c r="BB277" i="56"/>
  <c r="BA277" i="56"/>
  <c r="AZ277" i="56"/>
  <c r="AY277" i="56"/>
  <c r="AX277" i="56"/>
  <c r="AW277" i="56"/>
  <c r="AV277" i="56"/>
  <c r="AU277" i="56"/>
  <c r="AT277" i="56"/>
  <c r="AS277" i="56"/>
  <c r="AR277" i="56"/>
  <c r="AQ277" i="56"/>
  <c r="AP277" i="56"/>
  <c r="AO277" i="56"/>
  <c r="AN277" i="56"/>
  <c r="AM277" i="56"/>
  <c r="AL277" i="56"/>
  <c r="AK277" i="56"/>
  <c r="CF276" i="56" a="1"/>
  <c r="CF276" i="56" s="1"/>
  <c r="CE276" i="56"/>
  <c r="CE276" i="56" a="1"/>
  <c r="CD276" i="56" a="1"/>
  <c r="CD276" i="56" s="1"/>
  <c r="CC276" i="56"/>
  <c r="CC276" i="56" a="1"/>
  <c r="CB276" i="56" a="1"/>
  <c r="CB276" i="56" s="1"/>
  <c r="CA276" i="56"/>
  <c r="CA276" i="56" a="1"/>
  <c r="BZ276" i="56" a="1"/>
  <c r="BZ276" i="56" s="1"/>
  <c r="BY276" i="56"/>
  <c r="BY276" i="56" a="1"/>
  <c r="BX276" i="56" a="1"/>
  <c r="BX276" i="56" s="1"/>
  <c r="BW276" i="56"/>
  <c r="BW276" i="56" a="1"/>
  <c r="BV276" i="56" a="1"/>
  <c r="BV276" i="56" s="1"/>
  <c r="BU276" i="56"/>
  <c r="BU276" i="56" a="1"/>
  <c r="BT276" i="56" a="1"/>
  <c r="BT276" i="56" s="1"/>
  <c r="BS276" i="56"/>
  <c r="BS276" i="56" a="1"/>
  <c r="BR276" i="56" a="1"/>
  <c r="BR276" i="56" s="1"/>
  <c r="BQ276" i="56"/>
  <c r="BQ276" i="56" a="1"/>
  <c r="BP276" i="56" a="1"/>
  <c r="BP276" i="56" s="1"/>
  <c r="BO276" i="56"/>
  <c r="BO276" i="56" a="1"/>
  <c r="BN276" i="56" a="1"/>
  <c r="BN276" i="56" s="1"/>
  <c r="BM276" i="56"/>
  <c r="BM276" i="56" a="1"/>
  <c r="BL276" i="56" a="1"/>
  <c r="BL276" i="56" s="1"/>
  <c r="BK276" i="56"/>
  <c r="BK276" i="56" a="1"/>
  <c r="BJ276" i="56" a="1"/>
  <c r="BJ276" i="56" s="1"/>
  <c r="BI276" i="56"/>
  <c r="BI276" i="56" a="1"/>
  <c r="BH276" i="56"/>
  <c r="BG276" i="56"/>
  <c r="BF276" i="56"/>
  <c r="BE276" i="56"/>
  <c r="BD276" i="56"/>
  <c r="BC276" i="56"/>
  <c r="BB276" i="56"/>
  <c r="BA276" i="56"/>
  <c r="AZ276" i="56"/>
  <c r="AY276" i="56"/>
  <c r="AX276" i="56"/>
  <c r="AW276" i="56"/>
  <c r="AV276" i="56"/>
  <c r="AU276" i="56"/>
  <c r="AT276" i="56"/>
  <c r="AS276" i="56"/>
  <c r="AR276" i="56"/>
  <c r="AQ276" i="56"/>
  <c r="AP276" i="56"/>
  <c r="AO276" i="56"/>
  <c r="AN276" i="56"/>
  <c r="AM276" i="56"/>
  <c r="AL276" i="56"/>
  <c r="AK276" i="56"/>
  <c r="CF275" i="56" a="1"/>
  <c r="CF275" i="56" s="1"/>
  <c r="CE275" i="56"/>
  <c r="CE275" i="56" a="1"/>
  <c r="CD275" i="56" a="1"/>
  <c r="CD275" i="56" s="1"/>
  <c r="CC275" i="56"/>
  <c r="CC275" i="56" a="1"/>
  <c r="CB275" i="56" a="1"/>
  <c r="CB275" i="56" s="1"/>
  <c r="CA275" i="56"/>
  <c r="CA275" i="56" a="1"/>
  <c r="BZ275" i="56" a="1"/>
  <c r="BZ275" i="56" s="1"/>
  <c r="BY275" i="56"/>
  <c r="BY275" i="56" a="1"/>
  <c r="BX275" i="56" a="1"/>
  <c r="BX275" i="56" s="1"/>
  <c r="BW275" i="56"/>
  <c r="BW275" i="56" a="1"/>
  <c r="BV275" i="56" a="1"/>
  <c r="BV275" i="56" s="1"/>
  <c r="BU275" i="56"/>
  <c r="BU275" i="56" a="1"/>
  <c r="BT275" i="56" a="1"/>
  <c r="BT275" i="56" s="1"/>
  <c r="BS275" i="56"/>
  <c r="BS275" i="56" a="1"/>
  <c r="BR275" i="56" a="1"/>
  <c r="BR275" i="56" s="1"/>
  <c r="BQ275" i="56" a="1"/>
  <c r="BQ275" i="56" s="1"/>
  <c r="BP275" i="56" a="1"/>
  <c r="BP275" i="56" s="1"/>
  <c r="BO275" i="56"/>
  <c r="BO275" i="56" a="1"/>
  <c r="BN275" i="56" a="1"/>
  <c r="BN275" i="56" s="1"/>
  <c r="BM275" i="56" a="1"/>
  <c r="BM275" i="56" s="1"/>
  <c r="BL275" i="56" a="1"/>
  <c r="BL275" i="56" s="1"/>
  <c r="BK275" i="56"/>
  <c r="BK275" i="56" a="1"/>
  <c r="BJ275" i="56" a="1"/>
  <c r="BJ275" i="56" s="1"/>
  <c r="BI275" i="56" a="1"/>
  <c r="BI275" i="56" s="1"/>
  <c r="BH275" i="56"/>
  <c r="BG275" i="56"/>
  <c r="BF275" i="56"/>
  <c r="BE275" i="56"/>
  <c r="BD275" i="56"/>
  <c r="BC275" i="56"/>
  <c r="BB275" i="56"/>
  <c r="BA275" i="56"/>
  <c r="AZ275" i="56"/>
  <c r="AY275" i="56"/>
  <c r="AX275" i="56"/>
  <c r="AW275" i="56"/>
  <c r="AV275" i="56"/>
  <c r="AU275" i="56"/>
  <c r="AT275" i="56"/>
  <c r="AS275" i="56"/>
  <c r="AR275" i="56"/>
  <c r="AQ275" i="56"/>
  <c r="AP275" i="56"/>
  <c r="AO275" i="56"/>
  <c r="AN275" i="56"/>
  <c r="AM275" i="56"/>
  <c r="AL275" i="56"/>
  <c r="AK275" i="56"/>
  <c r="CF274" i="56" a="1"/>
  <c r="CF274" i="56" s="1"/>
  <c r="CE274" i="56" a="1"/>
  <c r="CE274" i="56" s="1"/>
  <c r="CD274" i="56" a="1"/>
  <c r="CD274" i="56" s="1"/>
  <c r="CC274" i="56"/>
  <c r="CC274" i="56" a="1"/>
  <c r="CB274" i="56" a="1"/>
  <c r="CB274" i="56" s="1"/>
  <c r="CA274" i="56" a="1"/>
  <c r="CA274" i="56" s="1"/>
  <c r="BZ274" i="56" a="1"/>
  <c r="BZ274" i="56" s="1"/>
  <c r="BY274" i="56"/>
  <c r="BY274" i="56" a="1"/>
  <c r="BX274" i="56" a="1"/>
  <c r="BX274" i="56" s="1"/>
  <c r="BW274" i="56" a="1"/>
  <c r="BW274" i="56" s="1"/>
  <c r="BV274" i="56" a="1"/>
  <c r="BV274" i="56" s="1"/>
  <c r="BU274" i="56" a="1"/>
  <c r="BU274" i="56" s="1"/>
  <c r="BT274" i="56" a="1"/>
  <c r="BT274" i="56" s="1"/>
  <c r="BS274" i="56" a="1"/>
  <c r="BS274" i="56" s="1"/>
  <c r="BR274" i="56" a="1"/>
  <c r="BR274" i="56" s="1"/>
  <c r="BQ274" i="56" a="1"/>
  <c r="BQ274" i="56" s="1"/>
  <c r="BP274" i="56" a="1"/>
  <c r="BP274" i="56" s="1"/>
  <c r="BO274" i="56" a="1"/>
  <c r="BO274" i="56" s="1"/>
  <c r="BN274" i="56" a="1"/>
  <c r="BN274" i="56" s="1"/>
  <c r="BM274" i="56" a="1"/>
  <c r="BM274" i="56" s="1"/>
  <c r="BL274" i="56" a="1"/>
  <c r="BL274" i="56" s="1"/>
  <c r="BK274" i="56" a="1"/>
  <c r="BK274" i="56" s="1"/>
  <c r="BJ274" i="56" a="1"/>
  <c r="BJ274" i="56" s="1"/>
  <c r="BI274" i="56" a="1"/>
  <c r="BI274" i="56" s="1"/>
  <c r="BH274" i="56"/>
  <c r="BG274" i="56"/>
  <c r="BF274" i="56"/>
  <c r="BE274" i="56"/>
  <c r="BD274" i="56"/>
  <c r="BC274" i="56"/>
  <c r="BB274" i="56"/>
  <c r="BA274" i="56"/>
  <c r="AZ274" i="56"/>
  <c r="AY274" i="56"/>
  <c r="AX274" i="56"/>
  <c r="AW274" i="56"/>
  <c r="AV274" i="56"/>
  <c r="AU274" i="56"/>
  <c r="AT274" i="56"/>
  <c r="AS274" i="56"/>
  <c r="AR274" i="56"/>
  <c r="AQ274" i="56"/>
  <c r="AP274" i="56"/>
  <c r="AO274" i="56"/>
  <c r="AN274" i="56"/>
  <c r="AM274" i="56"/>
  <c r="AL274" i="56"/>
  <c r="AK274" i="56"/>
  <c r="CF273" i="56" a="1"/>
  <c r="CF273" i="56" s="1"/>
  <c r="CE273" i="56" a="1"/>
  <c r="CE273" i="56" s="1"/>
  <c r="CD273" i="56" a="1"/>
  <c r="CD273" i="56" s="1"/>
  <c r="CC273" i="56" a="1"/>
  <c r="CC273" i="56" s="1"/>
  <c r="CB273" i="56" a="1"/>
  <c r="CB273" i="56" s="1"/>
  <c r="CA273" i="56" a="1"/>
  <c r="CA273" i="56" s="1"/>
  <c r="BZ273" i="56" a="1"/>
  <c r="BZ273" i="56" s="1"/>
  <c r="BY273" i="56" a="1"/>
  <c r="BY273" i="56" s="1"/>
  <c r="BX273" i="56" a="1"/>
  <c r="BX273" i="56" s="1"/>
  <c r="BW273" i="56" a="1"/>
  <c r="BW273" i="56" s="1"/>
  <c r="BV273" i="56" a="1"/>
  <c r="BV273" i="56" s="1"/>
  <c r="BU273" i="56" a="1"/>
  <c r="BU273" i="56" s="1"/>
  <c r="BT273" i="56" a="1"/>
  <c r="BT273" i="56" s="1"/>
  <c r="BS273" i="56" a="1"/>
  <c r="BS273" i="56" s="1"/>
  <c r="BR273" i="56" a="1"/>
  <c r="BR273" i="56" s="1"/>
  <c r="BQ273" i="56" a="1"/>
  <c r="BQ273" i="56" s="1"/>
  <c r="BP273" i="56" a="1"/>
  <c r="BP273" i="56" s="1"/>
  <c r="BO273" i="56" a="1"/>
  <c r="BO273" i="56" s="1"/>
  <c r="BN273" i="56" a="1"/>
  <c r="BN273" i="56" s="1"/>
  <c r="BM273" i="56" a="1"/>
  <c r="BM273" i="56" s="1"/>
  <c r="BL273" i="56" a="1"/>
  <c r="BL273" i="56" s="1"/>
  <c r="BK273" i="56" a="1"/>
  <c r="BK273" i="56" s="1"/>
  <c r="BJ273" i="56" a="1"/>
  <c r="BJ273" i="56" s="1"/>
  <c r="BI273" i="56" a="1"/>
  <c r="BI273" i="56" s="1"/>
  <c r="BH273" i="56"/>
  <c r="BG273" i="56"/>
  <c r="BF273" i="56"/>
  <c r="BE273" i="56"/>
  <c r="BD273" i="56"/>
  <c r="BC273" i="56"/>
  <c r="BB273" i="56"/>
  <c r="BA273" i="56"/>
  <c r="AZ273" i="56"/>
  <c r="AY273" i="56"/>
  <c r="AX273" i="56"/>
  <c r="AW273" i="56"/>
  <c r="AV273" i="56"/>
  <c r="AU273" i="56"/>
  <c r="AT273" i="56"/>
  <c r="AS273" i="56"/>
  <c r="AR273" i="56"/>
  <c r="AQ273" i="56"/>
  <c r="AQ280" i="56" s="1"/>
  <c r="AP273" i="56"/>
  <c r="AO273" i="56"/>
  <c r="AN273" i="56"/>
  <c r="AM273" i="56"/>
  <c r="AL273" i="56"/>
  <c r="AK273" i="56"/>
  <c r="CF272" i="56" a="1"/>
  <c r="CF272" i="56" s="1"/>
  <c r="CE272" i="56" a="1"/>
  <c r="CE272" i="56" s="1"/>
  <c r="CD272" i="56" a="1"/>
  <c r="CD272" i="56" s="1"/>
  <c r="CC272" i="56" a="1"/>
  <c r="CC272" i="56" s="1"/>
  <c r="CB272" i="56" a="1"/>
  <c r="CB272" i="56" s="1"/>
  <c r="CA272" i="56" a="1"/>
  <c r="CA272" i="56" s="1"/>
  <c r="BZ272" i="56" a="1"/>
  <c r="BZ272" i="56" s="1"/>
  <c r="BY272" i="56" a="1"/>
  <c r="BY272" i="56" s="1"/>
  <c r="BX272" i="56" a="1"/>
  <c r="BX272" i="56" s="1"/>
  <c r="BW272" i="56" a="1"/>
  <c r="BW272" i="56" s="1"/>
  <c r="BV272" i="56" a="1"/>
  <c r="BV272" i="56" s="1"/>
  <c r="BU272" i="56" a="1"/>
  <c r="BU272" i="56" s="1"/>
  <c r="BT272" i="56" a="1"/>
  <c r="BT272" i="56" s="1"/>
  <c r="BS272" i="56" a="1"/>
  <c r="BS272" i="56" s="1"/>
  <c r="BR272" i="56" a="1"/>
  <c r="BR272" i="56" s="1"/>
  <c r="BQ272" i="56" a="1"/>
  <c r="BQ272" i="56" s="1"/>
  <c r="BP272" i="56" a="1"/>
  <c r="BP272" i="56" s="1"/>
  <c r="BO272" i="56" a="1"/>
  <c r="BO272" i="56" s="1"/>
  <c r="BN272" i="56" a="1"/>
  <c r="BN272" i="56" s="1"/>
  <c r="BM272" i="56" a="1"/>
  <c r="BM272" i="56" s="1"/>
  <c r="BL272" i="56" a="1"/>
  <c r="BL272" i="56" s="1"/>
  <c r="BK272" i="56" a="1"/>
  <c r="BK272" i="56" s="1"/>
  <c r="BJ272" i="56" a="1"/>
  <c r="BJ272" i="56" s="1"/>
  <c r="BI272" i="56" a="1"/>
  <c r="BI272" i="56" s="1"/>
  <c r="BH272" i="56"/>
  <c r="BH280" i="56" s="1"/>
  <c r="BG272" i="56"/>
  <c r="BF272" i="56"/>
  <c r="BF280" i="56" s="1"/>
  <c r="BE272" i="56"/>
  <c r="BE280" i="56" s="1"/>
  <c r="BD272" i="56"/>
  <c r="BC272" i="56"/>
  <c r="BC280" i="56" s="1"/>
  <c r="BB272" i="56"/>
  <c r="BB280" i="56" s="1"/>
  <c r="BA272" i="56"/>
  <c r="AZ272" i="56"/>
  <c r="AZ280" i="56" s="1"/>
  <c r="AY272" i="56"/>
  <c r="AY280" i="56" s="1"/>
  <c r="AX272" i="56"/>
  <c r="AW272" i="56"/>
  <c r="AW280" i="56" s="1"/>
  <c r="AV272" i="56"/>
  <c r="AV280" i="56" s="1"/>
  <c r="AU272" i="56"/>
  <c r="AT272" i="56"/>
  <c r="AT280" i="56" s="1"/>
  <c r="AS272" i="56"/>
  <c r="AS280" i="56" s="1"/>
  <c r="AR272" i="56"/>
  <c r="AQ272" i="56"/>
  <c r="AP272" i="56"/>
  <c r="AP280" i="56" s="1"/>
  <c r="AO272" i="56"/>
  <c r="AN272" i="56"/>
  <c r="AN280" i="56" s="1"/>
  <c r="AM272" i="56"/>
  <c r="AM280" i="56" s="1"/>
  <c r="AL272" i="56"/>
  <c r="AK272" i="56"/>
  <c r="AK280" i="56" s="1"/>
  <c r="AN281" i="56" s="1"/>
  <c r="AH272" i="56"/>
  <c r="AG97" i="57"/>
  <c r="AG91" i="57"/>
  <c r="AG92" i="57"/>
  <c r="AG93" i="57"/>
  <c r="AG94" i="57"/>
  <c r="AG95" i="57"/>
  <c r="AG96" i="57"/>
  <c r="AD250" i="56"/>
  <c r="AC250" i="56"/>
  <c r="AB250" i="56"/>
  <c r="AA250" i="56"/>
  <c r="Z250" i="56"/>
  <c r="Y250" i="56"/>
  <c r="X250" i="56"/>
  <c r="W250" i="56"/>
  <c r="V250" i="56"/>
  <c r="U250" i="56"/>
  <c r="T250" i="56"/>
  <c r="S250" i="56"/>
  <c r="R250" i="56"/>
  <c r="Q250" i="56"/>
  <c r="P250" i="56"/>
  <c r="O250" i="56"/>
  <c r="N250" i="56"/>
  <c r="M250" i="56"/>
  <c r="AD235" i="56"/>
  <c r="AC235" i="56"/>
  <c r="AB235" i="56"/>
  <c r="AA235" i="56"/>
  <c r="Z235" i="56"/>
  <c r="Y235" i="56"/>
  <c r="X235" i="56"/>
  <c r="W235" i="56"/>
  <c r="V235" i="56"/>
  <c r="U235" i="56"/>
  <c r="T235" i="56"/>
  <c r="S235" i="56"/>
  <c r="BT249" i="56" a="1"/>
  <c r="BT249" i="56" s="1"/>
  <c r="BS249" i="56" a="1"/>
  <c r="BS249" i="56" s="1"/>
  <c r="BR249" i="56" a="1"/>
  <c r="BR249" i="56" s="1"/>
  <c r="BQ249" i="56" a="1"/>
  <c r="BQ249" i="56" s="1"/>
  <c r="BP249" i="56" a="1"/>
  <c r="BP249" i="56" s="1"/>
  <c r="BO249" i="56" a="1"/>
  <c r="BO249" i="56" s="1"/>
  <c r="BN249" i="56" a="1"/>
  <c r="BN249" i="56" s="1"/>
  <c r="BM249" i="56" a="1"/>
  <c r="BM249" i="56" s="1"/>
  <c r="BL249" i="56" a="1"/>
  <c r="BL249" i="56" s="1"/>
  <c r="BK249" i="56" a="1"/>
  <c r="BK249" i="56" s="1"/>
  <c r="BJ249" i="56" a="1"/>
  <c r="BJ249" i="56" s="1"/>
  <c r="BI249" i="56" a="1"/>
  <c r="BI249" i="56" s="1"/>
  <c r="BH249" i="56" a="1"/>
  <c r="BH249" i="56" s="1"/>
  <c r="BG249" i="56" a="1"/>
  <c r="BG249" i="56" s="1"/>
  <c r="BF249" i="56" a="1"/>
  <c r="BF249" i="56" s="1"/>
  <c r="BE249" i="56" a="1"/>
  <c r="BE249" i="56" s="1"/>
  <c r="BD249" i="56" a="1"/>
  <c r="BD249" i="56" s="1"/>
  <c r="BC249" i="56" a="1"/>
  <c r="BC249" i="56" s="1"/>
  <c r="BB249" i="56"/>
  <c r="BA249" i="56"/>
  <c r="AZ249" i="56"/>
  <c r="AY249" i="56"/>
  <c r="AX249" i="56"/>
  <c r="AW249" i="56"/>
  <c r="AV249" i="56"/>
  <c r="AU249" i="56"/>
  <c r="AT249" i="56"/>
  <c r="AS249" i="56"/>
  <c r="AR249" i="56"/>
  <c r="AQ249" i="56"/>
  <c r="AP249" i="56"/>
  <c r="AO249" i="56"/>
  <c r="AN249" i="56"/>
  <c r="AM249" i="56"/>
  <c r="AL249" i="56"/>
  <c r="AK249" i="56"/>
  <c r="BT248" i="56" a="1"/>
  <c r="BT248" i="56" s="1"/>
  <c r="BS248" i="56" a="1"/>
  <c r="BS248" i="56" s="1"/>
  <c r="BR248" i="56" a="1"/>
  <c r="BR248" i="56" s="1"/>
  <c r="BQ248" i="56"/>
  <c r="BQ248" i="56" a="1"/>
  <c r="BP248" i="56" a="1"/>
  <c r="BP248" i="56" s="1"/>
  <c r="BO248" i="56" a="1"/>
  <c r="BO248" i="56" s="1"/>
  <c r="BN248" i="56" a="1"/>
  <c r="BN248" i="56" s="1"/>
  <c r="BM248" i="56" a="1"/>
  <c r="BM248" i="56" s="1"/>
  <c r="BL248" i="56" a="1"/>
  <c r="BL248" i="56" s="1"/>
  <c r="BK248" i="56" a="1"/>
  <c r="BK248" i="56" s="1"/>
  <c r="BJ248" i="56" a="1"/>
  <c r="BJ248" i="56" s="1"/>
  <c r="BI248" i="56" a="1"/>
  <c r="BI248" i="56" s="1"/>
  <c r="BH248" i="56" a="1"/>
  <c r="BH248" i="56" s="1"/>
  <c r="BG248" i="56" a="1"/>
  <c r="BG248" i="56" s="1"/>
  <c r="BF248" i="56" a="1"/>
  <c r="BF248" i="56" s="1"/>
  <c r="BE248" i="56" a="1"/>
  <c r="BE248" i="56" s="1"/>
  <c r="BD248" i="56" a="1"/>
  <c r="BD248" i="56" s="1"/>
  <c r="BC248" i="56" a="1"/>
  <c r="BC248" i="56" s="1"/>
  <c r="BB248" i="56"/>
  <c r="BA248" i="56"/>
  <c r="AZ248" i="56"/>
  <c r="AY248" i="56"/>
  <c r="AX248" i="56"/>
  <c r="AW248" i="56"/>
  <c r="AV248" i="56"/>
  <c r="AU248" i="56"/>
  <c r="AT248" i="56"/>
  <c r="AS248" i="56"/>
  <c r="AR248" i="56"/>
  <c r="AQ248" i="56"/>
  <c r="AP248" i="56"/>
  <c r="AO248" i="56"/>
  <c r="AN248" i="56"/>
  <c r="AM248" i="56"/>
  <c r="AL248" i="56"/>
  <c r="AK248" i="56"/>
  <c r="BT247" i="56" a="1"/>
  <c r="BT247" i="56" s="1"/>
  <c r="BS247" i="56" a="1"/>
  <c r="BS247" i="56" s="1"/>
  <c r="BR247" i="56" a="1"/>
  <c r="BR247" i="56" s="1"/>
  <c r="BQ247" i="56" a="1"/>
  <c r="BQ247" i="56" s="1"/>
  <c r="BP247" i="56" a="1"/>
  <c r="BP247" i="56" s="1"/>
  <c r="BO247" i="56" a="1"/>
  <c r="BO247" i="56" s="1"/>
  <c r="BN247" i="56" a="1"/>
  <c r="BN247" i="56" s="1"/>
  <c r="BM247" i="56" a="1"/>
  <c r="BM247" i="56" s="1"/>
  <c r="BL247" i="56" a="1"/>
  <c r="BL247" i="56" s="1"/>
  <c r="BK247" i="56" a="1"/>
  <c r="BK247" i="56" s="1"/>
  <c r="BJ247" i="56" a="1"/>
  <c r="BJ247" i="56" s="1"/>
  <c r="BI247" i="56" a="1"/>
  <c r="BI247" i="56" s="1"/>
  <c r="BH247" i="56" a="1"/>
  <c r="BH247" i="56" s="1"/>
  <c r="BG247" i="56" a="1"/>
  <c r="BG247" i="56" s="1"/>
  <c r="BF247" i="56" a="1"/>
  <c r="BF247" i="56" s="1"/>
  <c r="BE247" i="56" a="1"/>
  <c r="BE247" i="56" s="1"/>
  <c r="BD247" i="56" a="1"/>
  <c r="BD247" i="56" s="1"/>
  <c r="BC247" i="56" a="1"/>
  <c r="BC247" i="56" s="1"/>
  <c r="BB247" i="56"/>
  <c r="BA247" i="56"/>
  <c r="AZ247" i="56"/>
  <c r="AY247" i="56"/>
  <c r="AX247" i="56"/>
  <c r="AW247" i="56"/>
  <c r="AV247" i="56"/>
  <c r="AU247" i="56"/>
  <c r="AT247" i="56"/>
  <c r="AS247" i="56"/>
  <c r="AR247" i="56"/>
  <c r="AQ247" i="56"/>
  <c r="AP247" i="56"/>
  <c r="AO247" i="56"/>
  <c r="AN247" i="56"/>
  <c r="AM247" i="56"/>
  <c r="AL247" i="56"/>
  <c r="AK247" i="56"/>
  <c r="BT246" i="56" a="1"/>
  <c r="BT246" i="56" s="1"/>
  <c r="BS246" i="56" a="1"/>
  <c r="BS246" i="56" s="1"/>
  <c r="BR246" i="56" a="1"/>
  <c r="BR246" i="56" s="1"/>
  <c r="BQ246" i="56" a="1"/>
  <c r="BQ246" i="56" s="1"/>
  <c r="BP246" i="56" a="1"/>
  <c r="BP246" i="56" s="1"/>
  <c r="BO246" i="56" a="1"/>
  <c r="BO246" i="56" s="1"/>
  <c r="BN246" i="56" a="1"/>
  <c r="BN246" i="56" s="1"/>
  <c r="BM246" i="56" a="1"/>
  <c r="BM246" i="56" s="1"/>
  <c r="BL246" i="56" a="1"/>
  <c r="BL246" i="56" s="1"/>
  <c r="BK246" i="56" a="1"/>
  <c r="BK246" i="56" s="1"/>
  <c r="BJ246" i="56" a="1"/>
  <c r="BJ246" i="56" s="1"/>
  <c r="BI246" i="56" a="1"/>
  <c r="BI246" i="56" s="1"/>
  <c r="BH246" i="56" a="1"/>
  <c r="BH246" i="56" s="1"/>
  <c r="BG246" i="56" a="1"/>
  <c r="BG246" i="56" s="1"/>
  <c r="BF246" i="56" a="1"/>
  <c r="BF246" i="56" s="1"/>
  <c r="BE246" i="56" a="1"/>
  <c r="BE246" i="56" s="1"/>
  <c r="BD246" i="56" a="1"/>
  <c r="BD246" i="56" s="1"/>
  <c r="BC246" i="56" a="1"/>
  <c r="BC246" i="56" s="1"/>
  <c r="BB246" i="56"/>
  <c r="BA246" i="56"/>
  <c r="AZ246" i="56"/>
  <c r="AY246" i="56"/>
  <c r="AX246" i="56"/>
  <c r="AW246" i="56"/>
  <c r="AV246" i="56"/>
  <c r="AU246" i="56"/>
  <c r="AT246" i="56"/>
  <c r="AS246" i="56"/>
  <c r="AR246" i="56"/>
  <c r="AQ246" i="56"/>
  <c r="AP246" i="56"/>
  <c r="AO246" i="56"/>
  <c r="AN246" i="56"/>
  <c r="AM246" i="56"/>
  <c r="AL246" i="56"/>
  <c r="AK246" i="56"/>
  <c r="BT245" i="56" a="1"/>
  <c r="BT245" i="56" s="1"/>
  <c r="BS245" i="56" a="1"/>
  <c r="BS245" i="56" s="1"/>
  <c r="BR245" i="56" a="1"/>
  <c r="BR245" i="56" s="1"/>
  <c r="BQ245" i="56" a="1"/>
  <c r="BQ245" i="56" s="1"/>
  <c r="BP245" i="56" a="1"/>
  <c r="BP245" i="56" s="1"/>
  <c r="BO245" i="56" a="1"/>
  <c r="BO245" i="56" s="1"/>
  <c r="BN245" i="56" a="1"/>
  <c r="BN245" i="56" s="1"/>
  <c r="BM245" i="56" a="1"/>
  <c r="BM245" i="56" s="1"/>
  <c r="BL245" i="56" a="1"/>
  <c r="BL245" i="56" s="1"/>
  <c r="BK245" i="56" a="1"/>
  <c r="BK245" i="56" s="1"/>
  <c r="BJ245" i="56" a="1"/>
  <c r="BJ245" i="56" s="1"/>
  <c r="BI245" i="56" a="1"/>
  <c r="BI245" i="56" s="1"/>
  <c r="BH245" i="56" a="1"/>
  <c r="BH245" i="56" s="1"/>
  <c r="BG245" i="56" a="1"/>
  <c r="BG245" i="56" s="1"/>
  <c r="BF245" i="56" a="1"/>
  <c r="BF245" i="56" s="1"/>
  <c r="BE245" i="56" a="1"/>
  <c r="BE245" i="56" s="1"/>
  <c r="BD245" i="56" a="1"/>
  <c r="BD245" i="56" s="1"/>
  <c r="BC245" i="56" a="1"/>
  <c r="BC245" i="56" s="1"/>
  <c r="BB245" i="56"/>
  <c r="BA245" i="56"/>
  <c r="AZ245" i="56"/>
  <c r="AY245" i="56"/>
  <c r="AX245" i="56"/>
  <c r="AW245" i="56"/>
  <c r="AV245" i="56"/>
  <c r="AU245" i="56"/>
  <c r="AT245" i="56"/>
  <c r="AS245" i="56"/>
  <c r="AR245" i="56"/>
  <c r="AQ245" i="56"/>
  <c r="AP245" i="56"/>
  <c r="AO245" i="56"/>
  <c r="AN245" i="56"/>
  <c r="AM245" i="56"/>
  <c r="AL245" i="56"/>
  <c r="AK245" i="56"/>
  <c r="BT244" i="56" a="1"/>
  <c r="BT244" i="56" s="1"/>
  <c r="BS244" i="56" a="1"/>
  <c r="BS244" i="56" s="1"/>
  <c r="BR244" i="56" a="1"/>
  <c r="BR244" i="56" s="1"/>
  <c r="BQ244" i="56" a="1"/>
  <c r="BQ244" i="56" s="1"/>
  <c r="BP244" i="56" a="1"/>
  <c r="BP244" i="56" s="1"/>
  <c r="BO244" i="56" a="1"/>
  <c r="BO244" i="56" s="1"/>
  <c r="BN244" i="56" a="1"/>
  <c r="BN244" i="56" s="1"/>
  <c r="BM244" i="56" a="1"/>
  <c r="BM244" i="56" s="1"/>
  <c r="BL244" i="56" a="1"/>
  <c r="BL244" i="56" s="1"/>
  <c r="BK244" i="56" a="1"/>
  <c r="BK244" i="56" s="1"/>
  <c r="BJ244" i="56" a="1"/>
  <c r="BJ244" i="56" s="1"/>
  <c r="BI244" i="56" a="1"/>
  <c r="BI244" i="56" s="1"/>
  <c r="BH244" i="56" a="1"/>
  <c r="BH244" i="56" s="1"/>
  <c r="BG244" i="56" a="1"/>
  <c r="BG244" i="56" s="1"/>
  <c r="BF244" i="56" a="1"/>
  <c r="BF244" i="56" s="1"/>
  <c r="BE244" i="56" a="1"/>
  <c r="BE244" i="56" s="1"/>
  <c r="BD244" i="56" a="1"/>
  <c r="BD244" i="56" s="1"/>
  <c r="BC244" i="56" a="1"/>
  <c r="BC244" i="56" s="1"/>
  <c r="BB244" i="56"/>
  <c r="BA244" i="56"/>
  <c r="AZ244" i="56"/>
  <c r="AY244" i="56"/>
  <c r="AX244" i="56"/>
  <c r="AW244" i="56"/>
  <c r="AV244" i="56"/>
  <c r="AU244" i="56"/>
  <c r="AT244" i="56"/>
  <c r="AS244" i="56"/>
  <c r="AR244" i="56"/>
  <c r="AQ244" i="56"/>
  <c r="AP244" i="56"/>
  <c r="AO244" i="56"/>
  <c r="AN244" i="56"/>
  <c r="AM244" i="56"/>
  <c r="AL244" i="56"/>
  <c r="AK244" i="56"/>
  <c r="BT243" i="56" a="1"/>
  <c r="BT243" i="56" s="1"/>
  <c r="BS243" i="56" a="1"/>
  <c r="BS243" i="56" s="1"/>
  <c r="BR243" i="56" a="1"/>
  <c r="BR243" i="56" s="1"/>
  <c r="BQ243" i="56" a="1"/>
  <c r="BQ243" i="56" s="1"/>
  <c r="BP243" i="56" a="1"/>
  <c r="BP243" i="56" s="1"/>
  <c r="BO243" i="56" a="1"/>
  <c r="BO243" i="56" s="1"/>
  <c r="BN243" i="56" a="1"/>
  <c r="BN243" i="56" s="1"/>
  <c r="BM243" i="56" a="1"/>
  <c r="BM243" i="56" s="1"/>
  <c r="BL243" i="56" a="1"/>
  <c r="BL243" i="56" s="1"/>
  <c r="BK243" i="56" a="1"/>
  <c r="BK243" i="56" s="1"/>
  <c r="BJ243" i="56" a="1"/>
  <c r="BJ243" i="56" s="1"/>
  <c r="BI243" i="56" a="1"/>
  <c r="BI243" i="56" s="1"/>
  <c r="BH243" i="56" a="1"/>
  <c r="BH243" i="56" s="1"/>
  <c r="BG243" i="56" a="1"/>
  <c r="BG243" i="56" s="1"/>
  <c r="BF243" i="56" a="1"/>
  <c r="BF243" i="56" s="1"/>
  <c r="BE243" i="56" a="1"/>
  <c r="BE243" i="56" s="1"/>
  <c r="BD243" i="56" a="1"/>
  <c r="BD243" i="56" s="1"/>
  <c r="BC243" i="56" a="1"/>
  <c r="BC243" i="56" s="1"/>
  <c r="BB243" i="56"/>
  <c r="BA243" i="56"/>
  <c r="AZ243" i="56"/>
  <c r="AY243" i="56"/>
  <c r="AX243" i="56"/>
  <c r="AW243" i="56"/>
  <c r="AV243" i="56"/>
  <c r="AU243" i="56"/>
  <c r="AT243" i="56"/>
  <c r="AS243" i="56"/>
  <c r="AR243" i="56"/>
  <c r="AQ243" i="56"/>
  <c r="AQ250" i="56" s="1"/>
  <c r="AP243" i="56"/>
  <c r="AO243" i="56"/>
  <c r="AN243" i="56"/>
  <c r="AM243" i="56"/>
  <c r="AL243" i="56"/>
  <c r="AK243" i="56"/>
  <c r="BT242" i="56" a="1"/>
  <c r="BT242" i="56" s="1"/>
  <c r="BS242" i="56" a="1"/>
  <c r="BS242" i="56" s="1"/>
  <c r="BR242" i="56" a="1"/>
  <c r="BR242" i="56" s="1"/>
  <c r="BQ242" i="56" a="1"/>
  <c r="BQ242" i="56" s="1"/>
  <c r="BP242" i="56" a="1"/>
  <c r="BP242" i="56" s="1"/>
  <c r="BO242" i="56" a="1"/>
  <c r="BO242" i="56" s="1"/>
  <c r="BN242" i="56" a="1"/>
  <c r="BN242" i="56" s="1"/>
  <c r="BM242" i="56" a="1"/>
  <c r="BM242" i="56" s="1"/>
  <c r="BL242" i="56" a="1"/>
  <c r="BL242" i="56" s="1"/>
  <c r="BK242" i="56" a="1"/>
  <c r="BK242" i="56" s="1"/>
  <c r="BJ242" i="56" a="1"/>
  <c r="BJ242" i="56" s="1"/>
  <c r="BI242" i="56" a="1"/>
  <c r="BI242" i="56" s="1"/>
  <c r="BH242" i="56" a="1"/>
  <c r="BH242" i="56" s="1"/>
  <c r="BG242" i="56" a="1"/>
  <c r="BG242" i="56" s="1"/>
  <c r="BF242" i="56" a="1"/>
  <c r="BF242" i="56" s="1"/>
  <c r="BE242" i="56" a="1"/>
  <c r="BE242" i="56" s="1"/>
  <c r="BD242" i="56" a="1"/>
  <c r="BD242" i="56" s="1"/>
  <c r="BC242" i="56" a="1"/>
  <c r="BC242" i="56" s="1"/>
  <c r="BB242" i="56"/>
  <c r="BB250" i="56" s="1"/>
  <c r="BA242" i="56"/>
  <c r="AZ242" i="56"/>
  <c r="AZ250" i="56" s="1"/>
  <c r="AY242" i="56"/>
  <c r="AY250" i="56" s="1"/>
  <c r="AX242" i="56"/>
  <c r="AW242" i="56"/>
  <c r="AW250" i="56" s="1"/>
  <c r="AV242" i="56"/>
  <c r="AV250" i="56" s="1"/>
  <c r="AU242" i="56"/>
  <c r="AT242" i="56"/>
  <c r="AT250" i="56" s="1"/>
  <c r="AS242" i="56"/>
  <c r="AS250" i="56" s="1"/>
  <c r="AR242" i="56"/>
  <c r="AQ242" i="56"/>
  <c r="AP242" i="56"/>
  <c r="AP250" i="56" s="1"/>
  <c r="AO242" i="56"/>
  <c r="AN242" i="56"/>
  <c r="AN250" i="56" s="1"/>
  <c r="AM242" i="56"/>
  <c r="AM250" i="56" s="1"/>
  <c r="AL251" i="56" s="1"/>
  <c r="AL242" i="56"/>
  <c r="AK242" i="56"/>
  <c r="AK250" i="56" s="1"/>
  <c r="BK234" i="56"/>
  <c r="BK234" i="56" a="1"/>
  <c r="BJ234" i="56"/>
  <c r="BJ234" i="56" a="1"/>
  <c r="BI234" i="56"/>
  <c r="BI234" i="56" a="1"/>
  <c r="BH234" i="56"/>
  <c r="BH234" i="56" a="1"/>
  <c r="BG234" i="56"/>
  <c r="BG234" i="56" a="1"/>
  <c r="BF234" i="56"/>
  <c r="BF234" i="56" a="1"/>
  <c r="BE234" i="56"/>
  <c r="BE234" i="56" a="1"/>
  <c r="BD234" i="56"/>
  <c r="BD234" i="56" a="1"/>
  <c r="BC234" i="56"/>
  <c r="BC234" i="56" a="1"/>
  <c r="BB234" i="56"/>
  <c r="AY234" i="56" s="1" a="1"/>
  <c r="AY234" i="56" s="1"/>
  <c r="BA234" i="56"/>
  <c r="AZ234" i="56"/>
  <c r="AX234" i="56" a="1"/>
  <c r="AX234" i="56" s="1"/>
  <c r="AW234" i="56" a="1"/>
  <c r="AW234" i="56" s="1"/>
  <c r="AV234" i="56"/>
  <c r="AU234" i="56"/>
  <c r="AT234" i="56"/>
  <c r="AS234" i="56"/>
  <c r="AR234" i="56"/>
  <c r="AQ234" i="56"/>
  <c r="AP234" i="56"/>
  <c r="AO234" i="56"/>
  <c r="AN234" i="56"/>
  <c r="AM234" i="56"/>
  <c r="AL234" i="56"/>
  <c r="AK234" i="56"/>
  <c r="AF234" i="56"/>
  <c r="BK233" i="56"/>
  <c r="BK233" i="56" a="1"/>
  <c r="BJ233" i="56"/>
  <c r="BJ233" i="56" a="1"/>
  <c r="BI233" i="56"/>
  <c r="BI233" i="56" a="1"/>
  <c r="BH233" i="56"/>
  <c r="BH233" i="56" a="1"/>
  <c r="BG233" i="56"/>
  <c r="BG233" i="56" a="1"/>
  <c r="BF233" i="56"/>
  <c r="BF233" i="56" a="1"/>
  <c r="BE233" i="56"/>
  <c r="BE233" i="56" a="1"/>
  <c r="BD233" i="56"/>
  <c r="BD233" i="56" a="1"/>
  <c r="BC233" i="56"/>
  <c r="BC233" i="56" a="1"/>
  <c r="BB233" i="56"/>
  <c r="BA233" i="56"/>
  <c r="AX233" i="56" s="1" a="1"/>
  <c r="AX233" i="56" s="1"/>
  <c r="AZ233" i="56"/>
  <c r="AW233" i="56" s="1" a="1"/>
  <c r="AW233" i="56" s="1"/>
  <c r="AY233" i="56" a="1"/>
  <c r="AY233" i="56" s="1"/>
  <c r="AV233" i="56"/>
  <c r="AU233" i="56"/>
  <c r="AT233" i="56"/>
  <c r="AS233" i="56"/>
  <c r="AR233" i="56"/>
  <c r="AQ233" i="56"/>
  <c r="AP233" i="56"/>
  <c r="AO233" i="56"/>
  <c r="AN233" i="56"/>
  <c r="AM233" i="56"/>
  <c r="AL233" i="56"/>
  <c r="AK233" i="56"/>
  <c r="AF233" i="56"/>
  <c r="BK232" i="56"/>
  <c r="BK232" i="56" a="1"/>
  <c r="BJ232" i="56"/>
  <c r="BJ232" i="56" a="1"/>
  <c r="BI232" i="56"/>
  <c r="BI232" i="56" a="1"/>
  <c r="BH232" i="56" a="1"/>
  <c r="BH232" i="56" s="1"/>
  <c r="BG232" i="56"/>
  <c r="BG232" i="56" a="1"/>
  <c r="BF232" i="56"/>
  <c r="BF232" i="56" a="1"/>
  <c r="BE232" i="56"/>
  <c r="BE232" i="56" a="1"/>
  <c r="BD232" i="56" a="1"/>
  <c r="BD232" i="56" s="1"/>
  <c r="BC232" i="56"/>
  <c r="BC232" i="56" a="1"/>
  <c r="BB232" i="56"/>
  <c r="AY232" i="56" s="1" a="1"/>
  <c r="AY232" i="56" s="1"/>
  <c r="BA232" i="56"/>
  <c r="AZ232" i="56"/>
  <c r="AX232" i="56" a="1"/>
  <c r="AX232" i="56" s="1"/>
  <c r="AW232" i="56" a="1"/>
  <c r="AW232" i="56" s="1"/>
  <c r="AV232" i="56"/>
  <c r="AU232" i="56"/>
  <c r="AT232" i="56"/>
  <c r="AS232" i="56"/>
  <c r="AR232" i="56"/>
  <c r="AQ232" i="56"/>
  <c r="AP232" i="56"/>
  <c r="AO232" i="56"/>
  <c r="AN232" i="56"/>
  <c r="AM232" i="56"/>
  <c r="AL232" i="56"/>
  <c r="AK232" i="56"/>
  <c r="AF232" i="56"/>
  <c r="BK231" i="56"/>
  <c r="BK231" i="56" a="1"/>
  <c r="BJ231" i="56" a="1"/>
  <c r="BJ231" i="56" s="1"/>
  <c r="BI231" i="56"/>
  <c r="BI231" i="56" a="1"/>
  <c r="BH231" i="56"/>
  <c r="BH231" i="56" a="1"/>
  <c r="BG231" i="56"/>
  <c r="BG231" i="56" a="1"/>
  <c r="BF231" i="56" a="1"/>
  <c r="BF231" i="56" s="1"/>
  <c r="BE231" i="56"/>
  <c r="BE231" i="56" a="1"/>
  <c r="BD231" i="56"/>
  <c r="BD231" i="56" a="1"/>
  <c r="BC231" i="56"/>
  <c r="BC231" i="56" a="1"/>
  <c r="BB231" i="56"/>
  <c r="BA231" i="56"/>
  <c r="AX231" i="56" s="1" a="1"/>
  <c r="AX231" i="56" s="1"/>
  <c r="AZ231" i="56"/>
  <c r="AW231" i="56" s="1" a="1"/>
  <c r="AW231" i="56" s="1"/>
  <c r="AY231" i="56" a="1"/>
  <c r="AY231" i="56" s="1"/>
  <c r="AV231" i="56"/>
  <c r="AU231" i="56"/>
  <c r="AT231" i="56"/>
  <c r="AS231" i="56"/>
  <c r="AR231" i="56"/>
  <c r="AQ231" i="56"/>
  <c r="AP231" i="56"/>
  <c r="AO231" i="56"/>
  <c r="AN231" i="56"/>
  <c r="AM231" i="56"/>
  <c r="AL231" i="56"/>
  <c r="AK231" i="56"/>
  <c r="AF231" i="56"/>
  <c r="BK230" i="56"/>
  <c r="BK230" i="56" a="1"/>
  <c r="BJ230" i="56"/>
  <c r="BJ230" i="56" a="1"/>
  <c r="BI230" i="56"/>
  <c r="BI230" i="56" a="1"/>
  <c r="BH230" i="56" a="1"/>
  <c r="BH230" i="56" s="1"/>
  <c r="BG230" i="56"/>
  <c r="BG230" i="56" a="1"/>
  <c r="BF230" i="56"/>
  <c r="BF230" i="56" a="1"/>
  <c r="BE230" i="56"/>
  <c r="BE230" i="56" a="1"/>
  <c r="BD230" i="56" a="1"/>
  <c r="BD230" i="56" s="1"/>
  <c r="BC230" i="56"/>
  <c r="BC230" i="56" a="1"/>
  <c r="BB230" i="56"/>
  <c r="AY230" i="56" s="1" a="1"/>
  <c r="AY230" i="56" s="1"/>
  <c r="BA230" i="56"/>
  <c r="AZ230" i="56"/>
  <c r="AX230" i="56" a="1"/>
  <c r="AX230" i="56" s="1"/>
  <c r="AW230" i="56" a="1"/>
  <c r="AW230" i="56" s="1"/>
  <c r="AV230" i="56"/>
  <c r="AU230" i="56"/>
  <c r="AT230" i="56"/>
  <c r="AS230" i="56"/>
  <c r="AR230" i="56"/>
  <c r="AQ230" i="56"/>
  <c r="AP230" i="56"/>
  <c r="AO230" i="56"/>
  <c r="AN230" i="56"/>
  <c r="AM230" i="56"/>
  <c r="AL230" i="56"/>
  <c r="AK230" i="56"/>
  <c r="AF230" i="56"/>
  <c r="BK229" i="56"/>
  <c r="BK229" i="56" a="1"/>
  <c r="BJ229" i="56" a="1"/>
  <c r="BJ229" i="56" s="1"/>
  <c r="BI229" i="56"/>
  <c r="BI229" i="56" a="1"/>
  <c r="BH229" i="56"/>
  <c r="BH229" i="56" a="1"/>
  <c r="BG229" i="56"/>
  <c r="BG229" i="56" a="1"/>
  <c r="BF229" i="56" a="1"/>
  <c r="BF229" i="56" s="1"/>
  <c r="BE229" i="56"/>
  <c r="BE229" i="56" a="1"/>
  <c r="BD229" i="56"/>
  <c r="BD229" i="56" a="1"/>
  <c r="BC229" i="56"/>
  <c r="BC229" i="56" a="1"/>
  <c r="BB229" i="56"/>
  <c r="BA229" i="56"/>
  <c r="AX229" i="56" s="1" a="1"/>
  <c r="AX229" i="56" s="1"/>
  <c r="AZ229" i="56"/>
  <c r="AW229" i="56" s="1" a="1"/>
  <c r="AW229" i="56" s="1"/>
  <c r="AY229" i="56" a="1"/>
  <c r="AY229" i="56" s="1"/>
  <c r="AV229" i="56"/>
  <c r="AU229" i="56"/>
  <c r="AT229" i="56"/>
  <c r="AS229" i="56"/>
  <c r="AR229" i="56"/>
  <c r="AQ229" i="56"/>
  <c r="AP229" i="56"/>
  <c r="AO229" i="56"/>
  <c r="AN229" i="56"/>
  <c r="AM229" i="56"/>
  <c r="AL229" i="56"/>
  <c r="AK229" i="56"/>
  <c r="AF229" i="56"/>
  <c r="BK228" i="56"/>
  <c r="BK228" i="56" a="1"/>
  <c r="BJ228" i="56"/>
  <c r="BJ228" i="56" a="1"/>
  <c r="BI228" i="56"/>
  <c r="BI228" i="56" a="1"/>
  <c r="BH228" i="56" a="1"/>
  <c r="BH228" i="56" s="1"/>
  <c r="BG228" i="56"/>
  <c r="BG228" i="56" a="1"/>
  <c r="BF228" i="56"/>
  <c r="BF228" i="56" a="1"/>
  <c r="BE228" i="56"/>
  <c r="BE228" i="56" a="1"/>
  <c r="BD228" i="56" a="1"/>
  <c r="BD228" i="56" s="1"/>
  <c r="BC228" i="56"/>
  <c r="BC228" i="56" a="1"/>
  <c r="BB228" i="56"/>
  <c r="AY228" i="56" s="1" a="1"/>
  <c r="AY228" i="56" s="1"/>
  <c r="BA228" i="56"/>
  <c r="AX228" i="56" s="1" a="1"/>
  <c r="AX228" i="56" s="1"/>
  <c r="AZ228" i="56"/>
  <c r="AW228" i="56" a="1"/>
  <c r="AW228" i="56" s="1"/>
  <c r="AV228" i="56"/>
  <c r="AU228" i="56"/>
  <c r="AT228" i="56"/>
  <c r="AS228" i="56"/>
  <c r="AR228" i="56"/>
  <c r="AQ228" i="56"/>
  <c r="AP228" i="56"/>
  <c r="AO228" i="56"/>
  <c r="AN228" i="56"/>
  <c r="AN235" i="56" s="1"/>
  <c r="AM228" i="56"/>
  <c r="AL228" i="56"/>
  <c r="AK228" i="56"/>
  <c r="AF228" i="56"/>
  <c r="BK227" i="56"/>
  <c r="BK227" i="56" a="1"/>
  <c r="BJ227" i="56" a="1"/>
  <c r="BJ227" i="56" s="1"/>
  <c r="BI227" i="56"/>
  <c r="BI227" i="56" a="1"/>
  <c r="BH227" i="56"/>
  <c r="BH227" i="56" a="1"/>
  <c r="BG227" i="56"/>
  <c r="BG227" i="56" a="1"/>
  <c r="BF227" i="56" a="1"/>
  <c r="BF227" i="56" s="1"/>
  <c r="BE227" i="56"/>
  <c r="BE227" i="56" a="1"/>
  <c r="BD227" i="56"/>
  <c r="BD227" i="56" a="1"/>
  <c r="BC227" i="56"/>
  <c r="BC227" i="56" a="1"/>
  <c r="BB227" i="56"/>
  <c r="BA227" i="56"/>
  <c r="AX227" i="56" s="1" a="1"/>
  <c r="AX227" i="56" s="1"/>
  <c r="AZ227" i="56"/>
  <c r="AW227" i="56" s="1" a="1"/>
  <c r="AW227" i="56" s="1"/>
  <c r="AY227" i="56" a="1"/>
  <c r="AY227" i="56" s="1"/>
  <c r="AV227" i="56"/>
  <c r="AV235" i="56" s="1"/>
  <c r="AU227" i="56"/>
  <c r="AT227" i="56"/>
  <c r="AT235" i="56" s="1"/>
  <c r="AS227" i="56"/>
  <c r="AS235" i="56" s="1"/>
  <c r="AR227" i="56"/>
  <c r="AQ227" i="56"/>
  <c r="AQ235" i="56" s="1"/>
  <c r="AP227" i="56"/>
  <c r="AP235" i="56" s="1"/>
  <c r="AO227" i="56"/>
  <c r="AN227" i="56"/>
  <c r="AM227" i="56"/>
  <c r="AM235" i="56" s="1"/>
  <c r="AL227" i="56"/>
  <c r="AK227" i="56"/>
  <c r="AK235" i="56" s="1"/>
  <c r="AH227" i="56"/>
  <c r="AH235" i="56" s="1"/>
  <c r="B258" i="56" s="1"/>
  <c r="AF227" i="56"/>
  <c r="AD204" i="56"/>
  <c r="AC204" i="56"/>
  <c r="AB204" i="56"/>
  <c r="B207" i="56" s="1"/>
  <c r="AA204" i="56"/>
  <c r="Z204" i="56"/>
  <c r="Y204" i="56"/>
  <c r="X204" i="56"/>
  <c r="W204" i="56"/>
  <c r="V204" i="56"/>
  <c r="U204" i="56"/>
  <c r="T204" i="56"/>
  <c r="S204" i="56"/>
  <c r="R204" i="56"/>
  <c r="Q204" i="56"/>
  <c r="P204" i="56"/>
  <c r="O204" i="56"/>
  <c r="N204" i="56"/>
  <c r="M204" i="56"/>
  <c r="L204" i="56"/>
  <c r="K204" i="56"/>
  <c r="J204" i="56"/>
  <c r="AD189" i="56"/>
  <c r="AC189" i="56"/>
  <c r="AB189" i="56"/>
  <c r="AA189" i="56"/>
  <c r="Z189" i="56"/>
  <c r="Y189" i="56"/>
  <c r="X189" i="56"/>
  <c r="W189" i="56"/>
  <c r="V189" i="56"/>
  <c r="U189" i="56"/>
  <c r="T189" i="56"/>
  <c r="S189" i="56"/>
  <c r="R189" i="56"/>
  <c r="Q189" i="56"/>
  <c r="P189" i="56"/>
  <c r="BZ203" i="56" a="1"/>
  <c r="BZ203" i="56" s="1"/>
  <c r="BY203" i="56"/>
  <c r="BY203" i="56" a="1"/>
  <c r="BX203" i="56"/>
  <c r="BX203" i="56" a="1"/>
  <c r="BW203" i="56" a="1"/>
  <c r="BW203" i="56" s="1"/>
  <c r="BV203" i="56" a="1"/>
  <c r="BV203" i="56" s="1"/>
  <c r="BU203" i="56"/>
  <c r="BU203" i="56" a="1"/>
  <c r="BT203" i="56"/>
  <c r="BT203" i="56" a="1"/>
  <c r="BS203" i="56" a="1"/>
  <c r="BS203" i="56" s="1"/>
  <c r="BR203" i="56" a="1"/>
  <c r="BR203" i="56" s="1"/>
  <c r="BQ203" i="56"/>
  <c r="BQ203" i="56" a="1"/>
  <c r="BP203" i="56"/>
  <c r="BP203" i="56" a="1"/>
  <c r="BO203" i="56" a="1"/>
  <c r="BO203" i="56" s="1"/>
  <c r="BN203" i="56" a="1"/>
  <c r="BN203" i="56" s="1"/>
  <c r="BM203" i="56"/>
  <c r="BM203" i="56" a="1"/>
  <c r="BL203" i="56" a="1"/>
  <c r="BL203" i="56" s="1"/>
  <c r="BK203" i="56" a="1"/>
  <c r="BK203" i="56" s="1"/>
  <c r="BJ203" i="56" a="1"/>
  <c r="BJ203" i="56" s="1"/>
  <c r="BI203" i="56"/>
  <c r="BI203" i="56" a="1"/>
  <c r="BH203" i="56" a="1"/>
  <c r="BH203" i="56" s="1"/>
  <c r="BG203" i="56" a="1"/>
  <c r="BG203" i="56" s="1"/>
  <c r="BF203" i="56" a="1"/>
  <c r="BF203" i="56" s="1"/>
  <c r="BD203" i="56"/>
  <c r="BE203" i="56" s="1"/>
  <c r="BC203" i="56"/>
  <c r="BB203" i="56"/>
  <c r="BA203" i="56"/>
  <c r="AZ203" i="56"/>
  <c r="AY203" i="56"/>
  <c r="AX203" i="56"/>
  <c r="AW203" i="56"/>
  <c r="AV203" i="56"/>
  <c r="AU203" i="56"/>
  <c r="AT203" i="56"/>
  <c r="AS203" i="56"/>
  <c r="AR203" i="56"/>
  <c r="AQ203" i="56"/>
  <c r="AP203" i="56"/>
  <c r="AO203" i="56"/>
  <c r="AN203" i="56"/>
  <c r="AM203" i="56"/>
  <c r="AL203" i="56"/>
  <c r="AK203" i="56"/>
  <c r="BZ202" i="56" a="1"/>
  <c r="BZ202" i="56" s="1"/>
  <c r="BY202" i="56" a="1"/>
  <c r="BY202" i="56" s="1"/>
  <c r="BX202" i="56" a="1"/>
  <c r="BX202" i="56" s="1"/>
  <c r="BW202" i="56" a="1"/>
  <c r="BW202" i="56" s="1"/>
  <c r="BV202" i="56" a="1"/>
  <c r="BV202" i="56" s="1"/>
  <c r="BU202" i="56" a="1"/>
  <c r="BU202" i="56" s="1"/>
  <c r="BT202" i="56" a="1"/>
  <c r="BT202" i="56" s="1"/>
  <c r="BS202" i="56" a="1"/>
  <c r="BS202" i="56" s="1"/>
  <c r="BR202" i="56" a="1"/>
  <c r="BR202" i="56" s="1"/>
  <c r="BQ202" i="56" a="1"/>
  <c r="BQ202" i="56" s="1"/>
  <c r="BP202" i="56" a="1"/>
  <c r="BP202" i="56" s="1"/>
  <c r="BO202" i="56" a="1"/>
  <c r="BO202" i="56" s="1"/>
  <c r="BN202" i="56" a="1"/>
  <c r="BN202" i="56" s="1"/>
  <c r="BM202" i="56" a="1"/>
  <c r="BM202" i="56" s="1"/>
  <c r="BL202" i="56" a="1"/>
  <c r="BL202" i="56" s="1"/>
  <c r="BK202" i="56" a="1"/>
  <c r="BK202" i="56" s="1"/>
  <c r="BJ202" i="56" a="1"/>
  <c r="BJ202" i="56" s="1"/>
  <c r="BI202" i="56" a="1"/>
  <c r="BI202" i="56" s="1"/>
  <c r="BH202" i="56" a="1"/>
  <c r="BH202" i="56" s="1"/>
  <c r="BG202" i="56" a="1"/>
  <c r="BG202" i="56" s="1"/>
  <c r="BF202" i="56" a="1"/>
  <c r="BF202" i="56" s="1"/>
  <c r="BE202" i="56"/>
  <c r="BD202" i="56"/>
  <c r="BC202" i="56"/>
  <c r="BB202" i="56"/>
  <c r="BA202" i="56"/>
  <c r="AZ202" i="56"/>
  <c r="AY202" i="56"/>
  <c r="AX202" i="56"/>
  <c r="AW202" i="56"/>
  <c r="AV202" i="56"/>
  <c r="AU202" i="56"/>
  <c r="AT202" i="56"/>
  <c r="AS202" i="56"/>
  <c r="AR202" i="56"/>
  <c r="AQ202" i="56"/>
  <c r="AP202" i="56"/>
  <c r="AO202" i="56"/>
  <c r="AN202" i="56"/>
  <c r="AM202" i="56"/>
  <c r="AL202" i="56"/>
  <c r="AK202" i="56"/>
  <c r="BZ201" i="56"/>
  <c r="BZ201" i="56" a="1"/>
  <c r="BY201" i="56" a="1"/>
  <c r="BY201" i="56" s="1"/>
  <c r="BX201" i="56"/>
  <c r="BX201" i="56" a="1"/>
  <c r="BW201" i="56"/>
  <c r="BW201" i="56" a="1"/>
  <c r="BV201" i="56"/>
  <c r="BV201" i="56" a="1"/>
  <c r="BU201" i="56" a="1"/>
  <c r="BU201" i="56" s="1"/>
  <c r="BT201" i="56"/>
  <c r="BT201" i="56" a="1"/>
  <c r="BS201" i="56"/>
  <c r="BS201" i="56" a="1"/>
  <c r="BR201" i="56"/>
  <c r="BR201" i="56" a="1"/>
  <c r="BQ201" i="56" a="1"/>
  <c r="BQ201" i="56" s="1"/>
  <c r="BP201" i="56"/>
  <c r="BP201" i="56" a="1"/>
  <c r="BO201" i="56"/>
  <c r="BO201" i="56" a="1"/>
  <c r="BN201" i="56" a="1"/>
  <c r="BN201" i="56" s="1"/>
  <c r="BM201" i="56" a="1"/>
  <c r="BM201" i="56" s="1"/>
  <c r="BL201" i="56"/>
  <c r="BL201" i="56" a="1"/>
  <c r="BK201" i="56"/>
  <c r="BK201" i="56" a="1"/>
  <c r="BJ201" i="56" a="1"/>
  <c r="BJ201" i="56" s="1"/>
  <c r="BI201" i="56" a="1"/>
  <c r="BI201" i="56" s="1"/>
  <c r="BH201" i="56"/>
  <c r="BH201" i="56" a="1"/>
  <c r="BG201" i="56"/>
  <c r="BG201" i="56" a="1"/>
  <c r="BF201" i="56" a="1"/>
  <c r="BF201" i="56" s="1"/>
  <c r="BE201" i="56"/>
  <c r="BD201" i="56"/>
  <c r="BC201" i="56"/>
  <c r="BB201" i="56"/>
  <c r="BA201" i="56"/>
  <c r="AZ201" i="56"/>
  <c r="AY201" i="56"/>
  <c r="AX201" i="56"/>
  <c r="AW201" i="56"/>
  <c r="AV201" i="56"/>
  <c r="AU201" i="56"/>
  <c r="AT201" i="56"/>
  <c r="AS201" i="56"/>
  <c r="AR201" i="56"/>
  <c r="AQ201" i="56"/>
  <c r="AP201" i="56"/>
  <c r="AO201" i="56"/>
  <c r="AN201" i="56"/>
  <c r="AM201" i="56"/>
  <c r="AL201" i="56"/>
  <c r="AK201" i="56"/>
  <c r="BZ200" i="56" a="1"/>
  <c r="BZ200" i="56" s="1"/>
  <c r="BY200" i="56" a="1"/>
  <c r="BY200" i="56" s="1"/>
  <c r="BX200" i="56" a="1"/>
  <c r="BX200" i="56" s="1"/>
  <c r="BW200" i="56" a="1"/>
  <c r="BW200" i="56" s="1"/>
  <c r="BV200" i="56" a="1"/>
  <c r="BV200" i="56" s="1"/>
  <c r="BU200" i="56" a="1"/>
  <c r="BU200" i="56" s="1"/>
  <c r="BT200" i="56" a="1"/>
  <c r="BT200" i="56" s="1"/>
  <c r="BS200" i="56" a="1"/>
  <c r="BS200" i="56" s="1"/>
  <c r="BR200" i="56" a="1"/>
  <c r="BR200" i="56" s="1"/>
  <c r="BQ200" i="56" a="1"/>
  <c r="BQ200" i="56" s="1"/>
  <c r="BP200" i="56" a="1"/>
  <c r="BP200" i="56" s="1"/>
  <c r="BO200" i="56" a="1"/>
  <c r="BO200" i="56" s="1"/>
  <c r="BN200" i="56" a="1"/>
  <c r="BN200" i="56" s="1"/>
  <c r="BM200" i="56" a="1"/>
  <c r="BM200" i="56" s="1"/>
  <c r="BL200" i="56" a="1"/>
  <c r="BL200" i="56" s="1"/>
  <c r="BK200" i="56" a="1"/>
  <c r="BK200" i="56" s="1"/>
  <c r="BJ200" i="56" a="1"/>
  <c r="BJ200" i="56" s="1"/>
  <c r="BI200" i="56" a="1"/>
  <c r="BI200" i="56" s="1"/>
  <c r="BH200" i="56" a="1"/>
  <c r="BH200" i="56" s="1"/>
  <c r="BG200" i="56" a="1"/>
  <c r="BG200" i="56" s="1"/>
  <c r="BF200" i="56" a="1"/>
  <c r="BF200" i="56" s="1"/>
  <c r="BE200" i="56"/>
  <c r="BD200" i="56"/>
  <c r="BC200" i="56"/>
  <c r="BB200" i="56"/>
  <c r="BA200" i="56"/>
  <c r="AZ200" i="56"/>
  <c r="AY200" i="56"/>
  <c r="AX200" i="56"/>
  <c r="AW200" i="56"/>
  <c r="AV200" i="56"/>
  <c r="AU200" i="56"/>
  <c r="AT200" i="56"/>
  <c r="AS200" i="56"/>
  <c r="AR200" i="56"/>
  <c r="AQ200" i="56"/>
  <c r="AP200" i="56"/>
  <c r="AO200" i="56"/>
  <c r="AN200" i="56"/>
  <c r="AM200" i="56"/>
  <c r="AL200" i="56"/>
  <c r="AK200" i="56"/>
  <c r="BZ199" i="56"/>
  <c r="BZ199" i="56" a="1"/>
  <c r="BY199" i="56"/>
  <c r="BY199" i="56" a="1"/>
  <c r="BX199" i="56" a="1"/>
  <c r="BX199" i="56" s="1"/>
  <c r="BW199" i="56"/>
  <c r="BW199" i="56" a="1"/>
  <c r="BV199" i="56"/>
  <c r="BV199" i="56" a="1"/>
  <c r="BU199" i="56"/>
  <c r="BU199" i="56" a="1"/>
  <c r="BT199" i="56" a="1"/>
  <c r="BT199" i="56" s="1"/>
  <c r="BS199" i="56"/>
  <c r="BS199" i="56" a="1"/>
  <c r="BR199" i="56"/>
  <c r="BR199" i="56" a="1"/>
  <c r="BQ199" i="56" a="1"/>
  <c r="BQ199" i="56" s="1"/>
  <c r="BP199" i="56" a="1"/>
  <c r="BP199" i="56" s="1"/>
  <c r="BO199" i="56"/>
  <c r="BO199" i="56" a="1"/>
  <c r="BN199" i="56"/>
  <c r="BN199" i="56" a="1"/>
  <c r="BM199" i="56" a="1"/>
  <c r="BM199" i="56" s="1"/>
  <c r="BL199" i="56" a="1"/>
  <c r="BL199" i="56" s="1"/>
  <c r="BK199" i="56"/>
  <c r="BK199" i="56" a="1"/>
  <c r="BJ199" i="56"/>
  <c r="BJ199" i="56" a="1"/>
  <c r="BI199" i="56" a="1"/>
  <c r="BI199" i="56" s="1"/>
  <c r="BH199" i="56" a="1"/>
  <c r="BH199" i="56" s="1"/>
  <c r="BG199" i="56"/>
  <c r="BG199" i="56" a="1"/>
  <c r="BF199" i="56"/>
  <c r="BF199" i="56" a="1"/>
  <c r="BE199" i="56"/>
  <c r="BD199" i="56"/>
  <c r="BC199" i="56"/>
  <c r="BB199" i="56"/>
  <c r="BA199" i="56"/>
  <c r="AZ199" i="56"/>
  <c r="AY199" i="56"/>
  <c r="AX199" i="56"/>
  <c r="AW199" i="56"/>
  <c r="AV199" i="56"/>
  <c r="AU199" i="56"/>
  <c r="AT199" i="56"/>
  <c r="AS199" i="56"/>
  <c r="AR199" i="56"/>
  <c r="AQ199" i="56"/>
  <c r="AP199" i="56"/>
  <c r="AO199" i="56"/>
  <c r="AN199" i="56"/>
  <c r="AM199" i="56"/>
  <c r="AL199" i="56"/>
  <c r="AK199" i="56"/>
  <c r="BZ198" i="56" a="1"/>
  <c r="BZ198" i="56" s="1"/>
  <c r="BY198" i="56" a="1"/>
  <c r="BY198" i="56" s="1"/>
  <c r="BX198" i="56" a="1"/>
  <c r="BX198" i="56" s="1"/>
  <c r="BW198" i="56" a="1"/>
  <c r="BW198" i="56" s="1"/>
  <c r="BV198" i="56" a="1"/>
  <c r="BV198" i="56" s="1"/>
  <c r="BU198" i="56" a="1"/>
  <c r="BU198" i="56" s="1"/>
  <c r="BT198" i="56" a="1"/>
  <c r="BT198" i="56" s="1"/>
  <c r="BS198" i="56" a="1"/>
  <c r="BS198" i="56" s="1"/>
  <c r="BR198" i="56" a="1"/>
  <c r="BR198" i="56" s="1"/>
  <c r="BQ198" i="56" a="1"/>
  <c r="BQ198" i="56" s="1"/>
  <c r="BP198" i="56" a="1"/>
  <c r="BP198" i="56" s="1"/>
  <c r="BO198" i="56" a="1"/>
  <c r="BO198" i="56" s="1"/>
  <c r="BN198" i="56" a="1"/>
  <c r="BN198" i="56" s="1"/>
  <c r="BM198" i="56" a="1"/>
  <c r="BM198" i="56" s="1"/>
  <c r="BL198" i="56" a="1"/>
  <c r="BL198" i="56" s="1"/>
  <c r="BK198" i="56" a="1"/>
  <c r="BK198" i="56" s="1"/>
  <c r="BJ198" i="56" a="1"/>
  <c r="BJ198" i="56" s="1"/>
  <c r="BI198" i="56" a="1"/>
  <c r="BI198" i="56" s="1"/>
  <c r="BH198" i="56" a="1"/>
  <c r="BH198" i="56" s="1"/>
  <c r="BG198" i="56" a="1"/>
  <c r="BG198" i="56" s="1"/>
  <c r="BF198" i="56" a="1"/>
  <c r="BF198" i="56" s="1"/>
  <c r="BE198" i="56"/>
  <c r="BD198" i="56"/>
  <c r="BC198" i="56"/>
  <c r="BB198" i="56"/>
  <c r="BA198" i="56"/>
  <c r="AZ198" i="56"/>
  <c r="AY198" i="56"/>
  <c r="AX198" i="56"/>
  <c r="AW198" i="56"/>
  <c r="AV198" i="56"/>
  <c r="AU198" i="56"/>
  <c r="AT198" i="56"/>
  <c r="AS198" i="56"/>
  <c r="AR198" i="56"/>
  <c r="AQ198" i="56"/>
  <c r="AP198" i="56"/>
  <c r="AO198" i="56"/>
  <c r="AN198" i="56"/>
  <c r="AM198" i="56"/>
  <c r="AL198" i="56"/>
  <c r="AK198" i="56"/>
  <c r="BZ197" i="56" a="1"/>
  <c r="BZ197" i="56" s="1"/>
  <c r="BY197" i="56"/>
  <c r="BY197" i="56" a="1"/>
  <c r="BX197" i="56" a="1"/>
  <c r="BX197" i="56" s="1"/>
  <c r="BW197" i="56" a="1"/>
  <c r="BW197" i="56" s="1"/>
  <c r="BV197" i="56"/>
  <c r="BV197" i="56" a="1"/>
  <c r="BU197" i="56" a="1"/>
  <c r="BU197" i="56" s="1"/>
  <c r="BT197" i="56"/>
  <c r="BT197" i="56" a="1"/>
  <c r="BS197" i="56" a="1"/>
  <c r="BS197" i="56" s="1"/>
  <c r="BR197" i="56" a="1"/>
  <c r="BR197" i="56" s="1"/>
  <c r="BQ197" i="56"/>
  <c r="BQ197" i="56" a="1"/>
  <c r="BP197" i="56" a="1"/>
  <c r="BP197" i="56" s="1"/>
  <c r="BO197" i="56" a="1"/>
  <c r="BO197" i="56" s="1"/>
  <c r="BN197" i="56"/>
  <c r="BN197" i="56" a="1"/>
  <c r="BM197" i="56"/>
  <c r="BM197" i="56" a="1"/>
  <c r="BL197" i="56" a="1"/>
  <c r="BL197" i="56" s="1"/>
  <c r="BK197" i="56" a="1"/>
  <c r="BK197" i="56" s="1"/>
  <c r="BJ197" i="56"/>
  <c r="BJ197" i="56" a="1"/>
  <c r="BI197" i="56" a="1"/>
  <c r="BI197" i="56" s="1"/>
  <c r="BH197" i="56" a="1"/>
  <c r="BH197" i="56" s="1"/>
  <c r="BG197" i="56" a="1"/>
  <c r="BG197" i="56" s="1"/>
  <c r="BF197" i="56" a="1"/>
  <c r="BF197" i="56" s="1"/>
  <c r="BD197" i="56"/>
  <c r="BC197" i="56"/>
  <c r="BE197" i="56" s="1"/>
  <c r="BB197" i="56"/>
  <c r="BA197" i="56"/>
  <c r="AZ197" i="56"/>
  <c r="AY197" i="56"/>
  <c r="AX197" i="56"/>
  <c r="AW197" i="56"/>
  <c r="AV197" i="56"/>
  <c r="AU197" i="56"/>
  <c r="AT197" i="56"/>
  <c r="AS197" i="56"/>
  <c r="AR197" i="56"/>
  <c r="AQ197" i="56"/>
  <c r="AP197" i="56"/>
  <c r="AO197" i="56"/>
  <c r="AN197" i="56"/>
  <c r="AM197" i="56"/>
  <c r="AL197" i="56"/>
  <c r="AK197" i="56"/>
  <c r="BZ196" i="56" a="1"/>
  <c r="BZ196" i="56" s="1"/>
  <c r="BY196" i="56" a="1"/>
  <c r="BY196" i="56" s="1"/>
  <c r="BX196" i="56" a="1"/>
  <c r="BX196" i="56" s="1"/>
  <c r="BW196" i="56" a="1"/>
  <c r="BW196" i="56" s="1"/>
  <c r="BV196" i="56" a="1"/>
  <c r="BV196" i="56" s="1"/>
  <c r="BU196" i="56" a="1"/>
  <c r="BU196" i="56" s="1"/>
  <c r="BT196" i="56" a="1"/>
  <c r="BT196" i="56" s="1"/>
  <c r="BS196" i="56" a="1"/>
  <c r="BS196" i="56" s="1"/>
  <c r="BR196" i="56" a="1"/>
  <c r="BR196" i="56" s="1"/>
  <c r="BQ196" i="56" a="1"/>
  <c r="BQ196" i="56" s="1"/>
  <c r="BP196" i="56" a="1"/>
  <c r="BP196" i="56" s="1"/>
  <c r="BO196" i="56" a="1"/>
  <c r="BO196" i="56" s="1"/>
  <c r="BN196" i="56" a="1"/>
  <c r="BN196" i="56" s="1"/>
  <c r="BM196" i="56" a="1"/>
  <c r="BM196" i="56" s="1"/>
  <c r="BL196" i="56" a="1"/>
  <c r="BL196" i="56" s="1"/>
  <c r="BK196" i="56" a="1"/>
  <c r="BK196" i="56" s="1"/>
  <c r="BJ196" i="56" a="1"/>
  <c r="BJ196" i="56" s="1"/>
  <c r="BI196" i="56" a="1"/>
  <c r="BI196" i="56" s="1"/>
  <c r="BH196" i="56" a="1"/>
  <c r="BH196" i="56" s="1"/>
  <c r="BG196" i="56" a="1"/>
  <c r="BG196" i="56" s="1"/>
  <c r="BF196" i="56" a="1"/>
  <c r="BF196" i="56" s="1"/>
  <c r="BD196" i="56"/>
  <c r="BC196" i="56"/>
  <c r="BA196" i="56"/>
  <c r="AZ196" i="56"/>
  <c r="AZ204" i="56" s="1"/>
  <c r="AX196" i="56"/>
  <c r="AW196" i="56"/>
  <c r="AW204" i="56" s="1"/>
  <c r="AU196" i="56"/>
  <c r="AT196" i="56"/>
  <c r="AV196" i="56" s="1"/>
  <c r="AV204" i="56" s="1"/>
  <c r="AR196" i="56"/>
  <c r="AQ196" i="56"/>
  <c r="AQ204" i="56" s="1"/>
  <c r="AO196" i="56"/>
  <c r="AN196" i="56"/>
  <c r="AN204" i="56" s="1"/>
  <c r="AL196" i="56"/>
  <c r="AK196" i="56"/>
  <c r="AK204" i="56" s="1"/>
  <c r="BT188" i="56" a="1"/>
  <c r="BT188" i="56" s="1"/>
  <c r="BS188" i="56"/>
  <c r="BS188" i="56" a="1"/>
  <c r="BR188" i="56" a="1"/>
  <c r="BR188" i="56" s="1"/>
  <c r="BQ188" i="56"/>
  <c r="BQ188" i="56" a="1"/>
  <c r="BP188" i="56"/>
  <c r="BP188" i="56" a="1"/>
  <c r="BO188" i="56" a="1"/>
  <c r="BO188" i="56" s="1"/>
  <c r="BN188" i="56" a="1"/>
  <c r="BN188" i="56" s="1"/>
  <c r="BM188" i="56"/>
  <c r="BM188" i="56" a="1"/>
  <c r="BL188" i="56"/>
  <c r="BL188" i="56" a="1"/>
  <c r="BK188" i="56" a="1"/>
  <c r="BK188" i="56" s="1"/>
  <c r="BJ188" i="56" a="1"/>
  <c r="BJ188" i="56" s="1"/>
  <c r="BI188" i="56"/>
  <c r="BI188" i="56" a="1"/>
  <c r="BH188" i="56"/>
  <c r="BE188" i="56" s="1" a="1"/>
  <c r="BE188" i="56" s="1"/>
  <c r="BG188" i="56"/>
  <c r="BF188" i="56"/>
  <c r="BC188" i="56" s="1" a="1"/>
  <c r="BC188" i="56" s="1"/>
  <c r="BD188" i="56" a="1"/>
  <c r="BD188" i="56" s="1"/>
  <c r="BB188" i="56" a="1"/>
  <c r="BB188" i="56" s="1"/>
  <c r="BA188" i="56" a="1"/>
  <c r="BA188" i="56" s="1"/>
  <c r="AZ188" i="56" a="1"/>
  <c r="AZ188" i="56" s="1"/>
  <c r="AY188" i="56"/>
  <c r="AX188" i="56"/>
  <c r="AW188" i="56"/>
  <c r="AV188" i="56"/>
  <c r="AU188" i="56"/>
  <c r="AT188" i="56"/>
  <c r="AS188" i="56"/>
  <c r="AR188" i="56"/>
  <c r="AQ188" i="56"/>
  <c r="AP188" i="56"/>
  <c r="AO188" i="56"/>
  <c r="AN188" i="56"/>
  <c r="AM188" i="56"/>
  <c r="AL188" i="56"/>
  <c r="AK188" i="56"/>
  <c r="AF188" i="56"/>
  <c r="BT187" i="56" a="1"/>
  <c r="BT187" i="56" s="1"/>
  <c r="BS187" i="56" a="1"/>
  <c r="BS187" i="56" s="1"/>
  <c r="BR187" i="56" a="1"/>
  <c r="BR187" i="56" s="1"/>
  <c r="BQ187" i="56" a="1"/>
  <c r="BQ187" i="56" s="1"/>
  <c r="BP187" i="56" a="1"/>
  <c r="BP187" i="56" s="1"/>
  <c r="BO187" i="56" a="1"/>
  <c r="BO187" i="56" s="1"/>
  <c r="BN187" i="56" a="1"/>
  <c r="BN187" i="56" s="1"/>
  <c r="BM187" i="56" a="1"/>
  <c r="BM187" i="56" s="1"/>
  <c r="BL187" i="56" a="1"/>
  <c r="BL187" i="56" s="1"/>
  <c r="BK187" i="56" a="1"/>
  <c r="BK187" i="56" s="1"/>
  <c r="BJ187" i="56" a="1"/>
  <c r="BJ187" i="56" s="1"/>
  <c r="BI187" i="56" a="1"/>
  <c r="BI187" i="56" s="1"/>
  <c r="BH187" i="56"/>
  <c r="BE187" i="56" s="1" a="1"/>
  <c r="BE187" i="56" s="1"/>
  <c r="BG187" i="56"/>
  <c r="BD187" i="56" s="1" a="1"/>
  <c r="BD187" i="56" s="1"/>
  <c r="BF187" i="56"/>
  <c r="BC187" i="56" s="1" a="1"/>
  <c r="BC187" i="56" s="1"/>
  <c r="BB187" i="56" a="1"/>
  <c r="BB187" i="56" s="1"/>
  <c r="BA187" i="56"/>
  <c r="BA187" i="56" a="1"/>
  <c r="AZ187" i="56"/>
  <c r="AZ187" i="56" a="1"/>
  <c r="AY187" i="56"/>
  <c r="AX187" i="56"/>
  <c r="AW187" i="56"/>
  <c r="AV187" i="56"/>
  <c r="AU187" i="56"/>
  <c r="AT187" i="56"/>
  <c r="AS187" i="56"/>
  <c r="AR187" i="56"/>
  <c r="AQ187" i="56"/>
  <c r="AP187" i="56"/>
  <c r="AO187" i="56"/>
  <c r="AN187" i="56"/>
  <c r="AM187" i="56"/>
  <c r="AL187" i="56"/>
  <c r="AK187" i="56"/>
  <c r="AF187" i="56"/>
  <c r="BT186" i="56"/>
  <c r="BT186" i="56" a="1"/>
  <c r="BS186" i="56"/>
  <c r="BS186" i="56" a="1"/>
  <c r="BR186" i="56" a="1"/>
  <c r="BR186" i="56" s="1"/>
  <c r="BQ186" i="56" a="1"/>
  <c r="BQ186" i="56" s="1"/>
  <c r="BP186" i="56"/>
  <c r="BP186" i="56" a="1"/>
  <c r="BO186" i="56"/>
  <c r="BO186" i="56" a="1"/>
  <c r="BN186" i="56" a="1"/>
  <c r="BN186" i="56" s="1"/>
  <c r="BM186" i="56" a="1"/>
  <c r="BM186" i="56" s="1"/>
  <c r="BL186" i="56"/>
  <c r="BL186" i="56" a="1"/>
  <c r="BK186" i="56"/>
  <c r="BK186" i="56" a="1"/>
  <c r="BJ186" i="56" a="1"/>
  <c r="BJ186" i="56" s="1"/>
  <c r="BI186" i="56" a="1"/>
  <c r="BI186" i="56" s="1"/>
  <c r="BH186" i="56"/>
  <c r="BE186" i="56" s="1" a="1"/>
  <c r="BE186" i="56" s="1"/>
  <c r="BG186" i="56"/>
  <c r="BF186" i="56"/>
  <c r="BD186" i="56" a="1"/>
  <c r="BD186" i="56" s="1"/>
  <c r="BC186" i="56" a="1"/>
  <c r="BC186" i="56" s="1"/>
  <c r="BB186" i="56" a="1"/>
  <c r="BB186" i="56" s="1"/>
  <c r="BA186" i="56" a="1"/>
  <c r="BA186" i="56" s="1"/>
  <c r="AZ186" i="56" a="1"/>
  <c r="AZ186" i="56" s="1"/>
  <c r="AY186" i="56"/>
  <c r="AX186" i="56"/>
  <c r="AW186" i="56"/>
  <c r="AV186" i="56"/>
  <c r="AU186" i="56"/>
  <c r="AT186" i="56"/>
  <c r="AS186" i="56"/>
  <c r="AR186" i="56"/>
  <c r="AQ186" i="56"/>
  <c r="AP186" i="56"/>
  <c r="AO186" i="56"/>
  <c r="AN186" i="56"/>
  <c r="AM186" i="56"/>
  <c r="AL186" i="56"/>
  <c r="AK186" i="56"/>
  <c r="AF186" i="56"/>
  <c r="BT185" i="56" a="1"/>
  <c r="BT185" i="56" s="1"/>
  <c r="BS185" i="56" a="1"/>
  <c r="BS185" i="56" s="1"/>
  <c r="BR185" i="56" a="1"/>
  <c r="BR185" i="56" s="1"/>
  <c r="BQ185" i="56" a="1"/>
  <c r="BQ185" i="56" s="1"/>
  <c r="BP185" i="56" a="1"/>
  <c r="BP185" i="56" s="1"/>
  <c r="BO185" i="56" a="1"/>
  <c r="BO185" i="56" s="1"/>
  <c r="BN185" i="56" a="1"/>
  <c r="BN185" i="56" s="1"/>
  <c r="BM185" i="56" a="1"/>
  <c r="BM185" i="56" s="1"/>
  <c r="BL185" i="56" a="1"/>
  <c r="BL185" i="56" s="1"/>
  <c r="BK185" i="56" a="1"/>
  <c r="BK185" i="56" s="1"/>
  <c r="BJ185" i="56" a="1"/>
  <c r="BJ185" i="56" s="1"/>
  <c r="BI185" i="56" a="1"/>
  <c r="BI185" i="56" s="1"/>
  <c r="BH185" i="56"/>
  <c r="BG185" i="56"/>
  <c r="BD185" i="56" s="1" a="1"/>
  <c r="BD185" i="56" s="1"/>
  <c r="BF185" i="56"/>
  <c r="BC185" i="56" s="1" a="1"/>
  <c r="BC185" i="56" s="1"/>
  <c r="BE185" i="56" a="1"/>
  <c r="BE185" i="56" s="1"/>
  <c r="BB185" i="56" a="1"/>
  <c r="BB185" i="56" s="1"/>
  <c r="BA185" i="56" a="1"/>
  <c r="BA185" i="56" s="1"/>
  <c r="AZ185" i="56"/>
  <c r="AZ185" i="56" a="1"/>
  <c r="AY185" i="56"/>
  <c r="AX185" i="56"/>
  <c r="AW185" i="56"/>
  <c r="AV185" i="56"/>
  <c r="AU185" i="56"/>
  <c r="AT185" i="56"/>
  <c r="AS185" i="56"/>
  <c r="AR185" i="56"/>
  <c r="AQ185" i="56"/>
  <c r="AP185" i="56"/>
  <c r="AO185" i="56"/>
  <c r="AN185" i="56"/>
  <c r="AM185" i="56"/>
  <c r="AL185" i="56"/>
  <c r="AK185" i="56"/>
  <c r="AF185" i="56"/>
  <c r="BT184" i="56" a="1"/>
  <c r="BT184" i="56" s="1"/>
  <c r="BS184" i="56"/>
  <c r="BS184" i="56" a="1"/>
  <c r="BR184" i="56"/>
  <c r="BR184" i="56" a="1"/>
  <c r="BQ184" i="56" a="1"/>
  <c r="BQ184" i="56" s="1"/>
  <c r="BP184" i="56" a="1"/>
  <c r="BP184" i="56" s="1"/>
  <c r="BO184" i="56"/>
  <c r="BO184" i="56" a="1"/>
  <c r="BN184" i="56"/>
  <c r="BN184" i="56" a="1"/>
  <c r="BM184" i="56" a="1"/>
  <c r="BM184" i="56" s="1"/>
  <c r="BL184" i="56" a="1"/>
  <c r="BL184" i="56" s="1"/>
  <c r="BK184" i="56"/>
  <c r="BK184" i="56" a="1"/>
  <c r="BJ184" i="56"/>
  <c r="BJ184" i="56" a="1"/>
  <c r="BI184" i="56" a="1"/>
  <c r="BI184" i="56" s="1"/>
  <c r="BH184" i="56"/>
  <c r="BG184" i="56"/>
  <c r="BD184" i="56" s="1" a="1"/>
  <c r="BD184" i="56" s="1"/>
  <c r="BF184" i="56"/>
  <c r="BC184" i="56" s="1" a="1"/>
  <c r="BC184" i="56" s="1"/>
  <c r="BE184" i="56" a="1"/>
  <c r="BE184" i="56" s="1"/>
  <c r="BB184" i="56" a="1"/>
  <c r="BB184" i="56" s="1"/>
  <c r="BA184" i="56" a="1"/>
  <c r="BA184" i="56" s="1"/>
  <c r="AZ184" i="56" a="1"/>
  <c r="AZ184" i="56" s="1"/>
  <c r="AY184" i="56"/>
  <c r="AX184" i="56"/>
  <c r="AW184" i="56"/>
  <c r="AV184" i="56"/>
  <c r="AU184" i="56"/>
  <c r="AT184" i="56"/>
  <c r="AS184" i="56"/>
  <c r="AR184" i="56"/>
  <c r="AQ184" i="56"/>
  <c r="AP184" i="56"/>
  <c r="AO184" i="56"/>
  <c r="AN184" i="56"/>
  <c r="AM184" i="56"/>
  <c r="AL184" i="56"/>
  <c r="AK184" i="56"/>
  <c r="AF184" i="56"/>
  <c r="BT183" i="56" a="1"/>
  <c r="BT183" i="56" s="1"/>
  <c r="BS183" i="56" a="1"/>
  <c r="BS183" i="56" s="1"/>
  <c r="BR183" i="56" a="1"/>
  <c r="BR183" i="56" s="1"/>
  <c r="BQ183" i="56" a="1"/>
  <c r="BQ183" i="56" s="1"/>
  <c r="BP183" i="56" a="1"/>
  <c r="BP183" i="56" s="1"/>
  <c r="BO183" i="56" a="1"/>
  <c r="BO183" i="56" s="1"/>
  <c r="BN183" i="56" a="1"/>
  <c r="BN183" i="56" s="1"/>
  <c r="BM183" i="56" a="1"/>
  <c r="BM183" i="56" s="1"/>
  <c r="BL183" i="56" a="1"/>
  <c r="BL183" i="56" s="1"/>
  <c r="BK183" i="56" a="1"/>
  <c r="BK183" i="56" s="1"/>
  <c r="BJ183" i="56" a="1"/>
  <c r="BJ183" i="56" s="1"/>
  <c r="BI183" i="56" a="1"/>
  <c r="BI183" i="56" s="1"/>
  <c r="BH183" i="56"/>
  <c r="BG183" i="56"/>
  <c r="BD183" i="56" s="1" a="1"/>
  <c r="BD183" i="56" s="1"/>
  <c r="BF183" i="56"/>
  <c r="BE183" i="56" a="1"/>
  <c r="BE183" i="56" s="1"/>
  <c r="BC183" i="56"/>
  <c r="BC183" i="56" a="1"/>
  <c r="BB183" i="56"/>
  <c r="BB183" i="56" a="1"/>
  <c r="BA183" i="56" a="1"/>
  <c r="BA183" i="56" s="1"/>
  <c r="AZ183" i="56" a="1"/>
  <c r="AZ183" i="56" s="1"/>
  <c r="AY183" i="56"/>
  <c r="AX183" i="56"/>
  <c r="AW183" i="56"/>
  <c r="AV183" i="56"/>
  <c r="AU183" i="56"/>
  <c r="AT183" i="56"/>
  <c r="AS183" i="56"/>
  <c r="AR183" i="56"/>
  <c r="AQ183" i="56"/>
  <c r="AP183" i="56"/>
  <c r="AO183" i="56"/>
  <c r="AN183" i="56"/>
  <c r="AM183" i="56"/>
  <c r="AL183" i="56"/>
  <c r="AK183" i="56"/>
  <c r="AF183" i="56"/>
  <c r="BT182" i="56" a="1"/>
  <c r="BT182" i="56" s="1"/>
  <c r="BS182" i="56" a="1"/>
  <c r="BS182" i="56" s="1"/>
  <c r="BR182" i="56" a="1"/>
  <c r="BR182" i="56" s="1"/>
  <c r="BQ182" i="56"/>
  <c r="BQ182" i="56" a="1"/>
  <c r="BP182" i="56" a="1"/>
  <c r="BP182" i="56" s="1"/>
  <c r="BO182" i="56" a="1"/>
  <c r="BO182" i="56" s="1"/>
  <c r="BN182" i="56"/>
  <c r="BN182" i="56" a="1"/>
  <c r="BM182" i="56"/>
  <c r="BM182" i="56" a="1"/>
  <c r="BL182" i="56" a="1"/>
  <c r="BL182" i="56" s="1"/>
  <c r="BK182" i="56" a="1"/>
  <c r="BK182" i="56" s="1"/>
  <c r="BJ182" i="56"/>
  <c r="BJ182" i="56" a="1"/>
  <c r="BI182" i="56" a="1"/>
  <c r="BI182" i="56" s="1"/>
  <c r="BH182" i="56"/>
  <c r="BE182" i="56" s="1" a="1"/>
  <c r="BE182" i="56" s="1"/>
  <c r="BG182" i="56"/>
  <c r="BF182" i="56"/>
  <c r="BC182" i="56" s="1" a="1"/>
  <c r="BC182" i="56" s="1"/>
  <c r="BD182" i="56" a="1"/>
  <c r="BD182" i="56" s="1"/>
  <c r="BB182" i="56" a="1"/>
  <c r="BB182" i="56" s="1"/>
  <c r="BA182" i="56" a="1"/>
  <c r="BA182" i="56" s="1"/>
  <c r="AZ182" i="56" a="1"/>
  <c r="AZ182" i="56" s="1"/>
  <c r="AY182" i="56"/>
  <c r="AX182" i="56"/>
  <c r="AW182" i="56"/>
  <c r="AV182" i="56"/>
  <c r="AU182" i="56"/>
  <c r="AT182" i="56"/>
  <c r="AS182" i="56"/>
  <c r="AR182" i="56"/>
  <c r="AQ182" i="56"/>
  <c r="AP182" i="56"/>
  <c r="AO182" i="56"/>
  <c r="AN182" i="56"/>
  <c r="AM182" i="56"/>
  <c r="AL182" i="56"/>
  <c r="AK182" i="56"/>
  <c r="AF182" i="56"/>
  <c r="BT181" i="56" a="1"/>
  <c r="BT181" i="56" s="1"/>
  <c r="BS181" i="56" a="1"/>
  <c r="BS181" i="56" s="1"/>
  <c r="BR181" i="56" a="1"/>
  <c r="BR181" i="56" s="1"/>
  <c r="BQ181" i="56" a="1"/>
  <c r="BQ181" i="56" s="1"/>
  <c r="BP181" i="56" a="1"/>
  <c r="BP181" i="56" s="1"/>
  <c r="BO181" i="56" a="1"/>
  <c r="BO181" i="56" s="1"/>
  <c r="BN181" i="56" a="1"/>
  <c r="BN181" i="56" s="1"/>
  <c r="BM181" i="56" a="1"/>
  <c r="BM181" i="56" s="1"/>
  <c r="BL181" i="56" a="1"/>
  <c r="BL181" i="56" s="1"/>
  <c r="BK181" i="56" a="1"/>
  <c r="BK181" i="56" s="1"/>
  <c r="BJ181" i="56" a="1"/>
  <c r="BJ181" i="56" s="1"/>
  <c r="BI181" i="56" a="1"/>
  <c r="BI181" i="56" s="1"/>
  <c r="BH181" i="56"/>
  <c r="BE181" i="56" s="1" a="1"/>
  <c r="BE181" i="56" s="1"/>
  <c r="BG181" i="56"/>
  <c r="BD181" i="56" s="1" a="1"/>
  <c r="BD181" i="56" s="1"/>
  <c r="BF181" i="56"/>
  <c r="BC181" i="56" s="1" a="1"/>
  <c r="BC181" i="56" s="1"/>
  <c r="BB181" i="56" a="1"/>
  <c r="BB181" i="56" s="1"/>
  <c r="BA181" i="56" a="1"/>
  <c r="BA181" i="56" s="1"/>
  <c r="AZ181" i="56" a="1"/>
  <c r="AZ181" i="56" s="1"/>
  <c r="AX181" i="56"/>
  <c r="AW181" i="56"/>
  <c r="AW189" i="56" s="1"/>
  <c r="AV181" i="56"/>
  <c r="AU181" i="56"/>
  <c r="AT181" i="56"/>
  <c r="AR181" i="56"/>
  <c r="AQ181" i="56"/>
  <c r="AQ189" i="56" s="1"/>
  <c r="AO181" i="56"/>
  <c r="AN181" i="56"/>
  <c r="AN189" i="56" s="1"/>
  <c r="AL181" i="56"/>
  <c r="AK181" i="56"/>
  <c r="AK189" i="56" s="1"/>
  <c r="AH181" i="56"/>
  <c r="AH189" i="56" s="1"/>
  <c r="B212" i="56" s="1"/>
  <c r="AF181" i="56"/>
  <c r="AC158" i="56"/>
  <c r="AA158" i="56"/>
  <c r="Y158" i="56"/>
  <c r="W158" i="56"/>
  <c r="U158" i="56"/>
  <c r="S158" i="56"/>
  <c r="Q158" i="56"/>
  <c r="O158" i="56"/>
  <c r="M158" i="56"/>
  <c r="BB157" i="56"/>
  <c r="BB157" i="56" a="1"/>
  <c r="BA157" i="56" a="1"/>
  <c r="BA157" i="56" s="1"/>
  <c r="AZ157" i="56" a="1"/>
  <c r="AZ157" i="56" s="1"/>
  <c r="AY157" i="56" a="1"/>
  <c r="AY157" i="56" s="1"/>
  <c r="AX157" i="56"/>
  <c r="AX157" i="56" a="1"/>
  <c r="AW157" i="56" a="1"/>
  <c r="AW157" i="56" s="1"/>
  <c r="AV157" i="56" a="1"/>
  <c r="AV157" i="56" s="1"/>
  <c r="AU157" i="56" a="1"/>
  <c r="AU157" i="56" s="1"/>
  <c r="AT157" i="56"/>
  <c r="AT157" i="56" a="1"/>
  <c r="AS157" i="56"/>
  <c r="AR157" i="56"/>
  <c r="AQ157" i="56"/>
  <c r="AP157" i="56"/>
  <c r="AO157" i="56"/>
  <c r="AN157" i="56"/>
  <c r="AM157" i="56"/>
  <c r="AL157" i="56"/>
  <c r="AK157" i="56"/>
  <c r="BB156" i="56" a="1"/>
  <c r="BB156" i="56" s="1"/>
  <c r="BA156" i="56" a="1"/>
  <c r="BA156" i="56" s="1"/>
  <c r="AZ156" i="56" a="1"/>
  <c r="AZ156" i="56" s="1"/>
  <c r="AY156" i="56" a="1"/>
  <c r="AY156" i="56" s="1"/>
  <c r="AX156" i="56" a="1"/>
  <c r="AX156" i="56" s="1"/>
  <c r="AW156" i="56" a="1"/>
  <c r="AW156" i="56" s="1"/>
  <c r="AV156" i="56" a="1"/>
  <c r="AV156" i="56" s="1"/>
  <c r="AU156" i="56" a="1"/>
  <c r="AU156" i="56" s="1"/>
  <c r="AT156" i="56" a="1"/>
  <c r="AT156" i="56" s="1"/>
  <c r="AS156" i="56"/>
  <c r="AR156" i="56"/>
  <c r="AQ156" i="56"/>
  <c r="AP156" i="56"/>
  <c r="AO156" i="56"/>
  <c r="AN156" i="56"/>
  <c r="AM156" i="56"/>
  <c r="AL156" i="56"/>
  <c r="AK156" i="56"/>
  <c r="BB155" i="56" a="1"/>
  <c r="BB155" i="56" s="1"/>
  <c r="BA155" i="56"/>
  <c r="BA155" i="56" a="1"/>
  <c r="AZ155" i="56"/>
  <c r="AZ155" i="56" a="1"/>
  <c r="AY155" i="56"/>
  <c r="AY155" i="56" a="1"/>
  <c r="AX155" i="56" a="1"/>
  <c r="AX155" i="56" s="1"/>
  <c r="AW155" i="56"/>
  <c r="AW155" i="56" a="1"/>
  <c r="AV155" i="56" a="1"/>
  <c r="AV155" i="56" s="1"/>
  <c r="AU155" i="56"/>
  <c r="AU155" i="56" a="1"/>
  <c r="AT155" i="56" a="1"/>
  <c r="AT155" i="56" s="1"/>
  <c r="AS155" i="56"/>
  <c r="AS158" i="56" s="1"/>
  <c r="AR155" i="56"/>
  <c r="AQ155" i="56"/>
  <c r="AP155" i="56"/>
  <c r="AO155" i="56"/>
  <c r="AN155" i="56"/>
  <c r="AM155" i="56"/>
  <c r="AL155" i="56"/>
  <c r="AK155" i="56"/>
  <c r="BB154" i="56" a="1"/>
  <c r="BB154" i="56" s="1"/>
  <c r="BA154" i="56" a="1"/>
  <c r="BA154" i="56" s="1"/>
  <c r="AZ154" i="56" a="1"/>
  <c r="AZ154" i="56" s="1"/>
  <c r="AY154" i="56" a="1"/>
  <c r="AY154" i="56" s="1"/>
  <c r="AX154" i="56" a="1"/>
  <c r="AX154" i="56" s="1"/>
  <c r="AW154" i="56" a="1"/>
  <c r="AW154" i="56" s="1"/>
  <c r="AV154" i="56" a="1"/>
  <c r="AV154" i="56" s="1"/>
  <c r="AU154" i="56" a="1"/>
  <c r="AU154" i="56" s="1"/>
  <c r="AT154" i="56" a="1"/>
  <c r="AT154" i="56" s="1"/>
  <c r="AS154" i="56"/>
  <c r="AR154" i="56"/>
  <c r="AQ154" i="56"/>
  <c r="AP154" i="56"/>
  <c r="AO154" i="56"/>
  <c r="AN154" i="56"/>
  <c r="AM154" i="56"/>
  <c r="AL154" i="56"/>
  <c r="AK154" i="56"/>
  <c r="BB153" i="56"/>
  <c r="BB153" i="56" a="1"/>
  <c r="BA153" i="56" a="1"/>
  <c r="BA153" i="56" s="1"/>
  <c r="AZ153" i="56"/>
  <c r="AZ153" i="56" a="1"/>
  <c r="AY153" i="56" a="1"/>
  <c r="AY153" i="56" s="1"/>
  <c r="AX153" i="56"/>
  <c r="AX153" i="56" a="1"/>
  <c r="AW153" i="56" a="1"/>
  <c r="AW153" i="56" s="1"/>
  <c r="AV153" i="56"/>
  <c r="AV153" i="56" a="1"/>
  <c r="AU153" i="56" a="1"/>
  <c r="AU153" i="56" s="1"/>
  <c r="AT153" i="56" a="1"/>
  <c r="AT153" i="56" s="1"/>
  <c r="AS153" i="56"/>
  <c r="AR153" i="56"/>
  <c r="AQ153" i="56"/>
  <c r="AP153" i="56"/>
  <c r="AO153" i="56"/>
  <c r="AN153" i="56"/>
  <c r="AM153" i="56"/>
  <c r="AL153" i="56"/>
  <c r="AK153" i="56"/>
  <c r="BB152" i="56" a="1"/>
  <c r="BB152" i="56" s="1"/>
  <c r="BA152" i="56" a="1"/>
  <c r="BA152" i="56" s="1"/>
  <c r="AZ152" i="56" a="1"/>
  <c r="AZ152" i="56" s="1"/>
  <c r="AY152" i="56" a="1"/>
  <c r="AY152" i="56" s="1"/>
  <c r="AX152" i="56" a="1"/>
  <c r="AX152" i="56" s="1"/>
  <c r="AW152" i="56" a="1"/>
  <c r="AW152" i="56" s="1"/>
  <c r="AV152" i="56" a="1"/>
  <c r="AV152" i="56" s="1"/>
  <c r="AU152" i="56" a="1"/>
  <c r="AU152" i="56" s="1"/>
  <c r="AT152" i="56" a="1"/>
  <c r="AT152" i="56" s="1"/>
  <c r="AS152" i="56"/>
  <c r="AR152" i="56"/>
  <c r="AQ152" i="56"/>
  <c r="AP152" i="56"/>
  <c r="AO152" i="56"/>
  <c r="AN152" i="56"/>
  <c r="AM152" i="56"/>
  <c r="AL152" i="56"/>
  <c r="AK152" i="56"/>
  <c r="BB151" i="56" a="1"/>
  <c r="BB151" i="56" s="1"/>
  <c r="BA151" i="56" a="1"/>
  <c r="BA151" i="56" s="1"/>
  <c r="AZ151" i="56" a="1"/>
  <c r="AZ151" i="56" s="1"/>
  <c r="AY151" i="56"/>
  <c r="AY151" i="56" a="1"/>
  <c r="AX151" i="56" a="1"/>
  <c r="AX151" i="56" s="1"/>
  <c r="AW151" i="56" a="1"/>
  <c r="AW151" i="56" s="1"/>
  <c r="AV151" i="56" a="1"/>
  <c r="AV151" i="56" s="1"/>
  <c r="AU151" i="56"/>
  <c r="AU151" i="56" a="1"/>
  <c r="AT151" i="56" a="1"/>
  <c r="AT151" i="56" s="1"/>
  <c r="AS151" i="56"/>
  <c r="AR151" i="56"/>
  <c r="AQ151" i="56"/>
  <c r="AP151" i="56"/>
  <c r="AO151" i="56"/>
  <c r="AN151" i="56"/>
  <c r="AM151" i="56"/>
  <c r="AL151" i="56"/>
  <c r="AK151" i="56"/>
  <c r="BB150" i="56" a="1"/>
  <c r="BB150" i="56" s="1"/>
  <c r="BA150" i="56" a="1"/>
  <c r="BA150" i="56" s="1"/>
  <c r="AZ150" i="56" a="1"/>
  <c r="AZ150" i="56" s="1"/>
  <c r="AY150" i="56" a="1"/>
  <c r="AY150" i="56" s="1"/>
  <c r="AX150" i="56" a="1"/>
  <c r="AX150" i="56" s="1"/>
  <c r="AW150" i="56" a="1"/>
  <c r="AW150" i="56" s="1"/>
  <c r="AV150" i="56" a="1"/>
  <c r="AV150" i="56" s="1"/>
  <c r="AU150" i="56" a="1"/>
  <c r="AU150" i="56" s="1"/>
  <c r="AT150" i="56" a="1"/>
  <c r="AT150" i="56" s="1"/>
  <c r="AS150" i="56"/>
  <c r="AR150" i="56"/>
  <c r="AQ150" i="56"/>
  <c r="AQ158" i="56" s="1"/>
  <c r="AP150" i="56"/>
  <c r="AO150" i="56"/>
  <c r="AN150" i="56"/>
  <c r="AN158" i="56" s="1"/>
  <c r="AM150" i="56"/>
  <c r="AM158" i="56" s="1"/>
  <c r="AL150" i="56"/>
  <c r="AK150" i="56"/>
  <c r="AK158" i="56" s="1"/>
  <c r="AH150" i="56"/>
  <c r="AH158" i="56" s="1"/>
  <c r="B164" i="56" s="1"/>
  <c r="AD129" i="56"/>
  <c r="AC129" i="56"/>
  <c r="AB129" i="56"/>
  <c r="AA129" i="56"/>
  <c r="Z129" i="56"/>
  <c r="Y129" i="56"/>
  <c r="X129" i="56"/>
  <c r="W129" i="56"/>
  <c r="V129" i="56"/>
  <c r="U129" i="56"/>
  <c r="T129" i="56"/>
  <c r="S129" i="56"/>
  <c r="R129" i="56"/>
  <c r="Q129" i="56"/>
  <c r="P129" i="56"/>
  <c r="O129" i="56"/>
  <c r="N129" i="56"/>
  <c r="M129" i="56"/>
  <c r="AD114" i="56"/>
  <c r="AC114" i="56"/>
  <c r="AB114" i="56"/>
  <c r="AA114" i="56"/>
  <c r="Z114" i="56"/>
  <c r="Y114" i="56"/>
  <c r="X114" i="56"/>
  <c r="W114" i="56"/>
  <c r="V114" i="56"/>
  <c r="U114" i="56"/>
  <c r="T114" i="56"/>
  <c r="S114" i="56"/>
  <c r="R114" i="56"/>
  <c r="Q114" i="56"/>
  <c r="P114" i="56"/>
  <c r="O114" i="56"/>
  <c r="N114" i="56"/>
  <c r="M114" i="56"/>
  <c r="AD99" i="56"/>
  <c r="AC99" i="56"/>
  <c r="AB99" i="56"/>
  <c r="AA99" i="56"/>
  <c r="Z99" i="56"/>
  <c r="Y99" i="56"/>
  <c r="X99" i="56"/>
  <c r="W99" i="56"/>
  <c r="V99" i="56"/>
  <c r="U99" i="56"/>
  <c r="T99" i="56"/>
  <c r="S99" i="56"/>
  <c r="R99" i="56"/>
  <c r="Q99" i="56"/>
  <c r="P99" i="56"/>
  <c r="O99" i="56"/>
  <c r="N99" i="56"/>
  <c r="M99" i="56"/>
  <c r="BT128" i="56" a="1"/>
  <c r="BT128" i="56" s="1"/>
  <c r="BS128" i="56" a="1"/>
  <c r="BS128" i="56" s="1"/>
  <c r="BR128" i="56" a="1"/>
  <c r="BR128" i="56" s="1"/>
  <c r="BQ128" i="56" a="1"/>
  <c r="BQ128" i="56" s="1"/>
  <c r="BP128" i="56" a="1"/>
  <c r="BP128" i="56" s="1"/>
  <c r="BO128" i="56" a="1"/>
  <c r="BO128" i="56" s="1"/>
  <c r="BN128" i="56" a="1"/>
  <c r="BN128" i="56" s="1"/>
  <c r="BM128" i="56" a="1"/>
  <c r="BM128" i="56" s="1"/>
  <c r="BL128" i="56" a="1"/>
  <c r="BL128" i="56" s="1"/>
  <c r="BK128" i="56" a="1"/>
  <c r="BK128" i="56" s="1"/>
  <c r="BJ128" i="56" a="1"/>
  <c r="BJ128" i="56" s="1"/>
  <c r="BI128" i="56" a="1"/>
  <c r="BI128" i="56" s="1"/>
  <c r="BH128" i="56" a="1"/>
  <c r="BH128" i="56" s="1"/>
  <c r="BG128" i="56" a="1"/>
  <c r="BG128" i="56" s="1"/>
  <c r="BF128" i="56" a="1"/>
  <c r="BF128" i="56" s="1"/>
  <c r="BE128" i="56" a="1"/>
  <c r="BE128" i="56" s="1"/>
  <c r="BD128" i="56" a="1"/>
  <c r="BD128" i="56" s="1"/>
  <c r="BC128" i="56" a="1"/>
  <c r="BC128" i="56" s="1"/>
  <c r="BB128" i="56"/>
  <c r="BA128" i="56"/>
  <c r="AZ128" i="56"/>
  <c r="AY128" i="56"/>
  <c r="AX128" i="56"/>
  <c r="AW128" i="56"/>
  <c r="AV128" i="56"/>
  <c r="AU128" i="56"/>
  <c r="AT128" i="56"/>
  <c r="AS128" i="56"/>
  <c r="AR128" i="56"/>
  <c r="AQ128" i="56"/>
  <c r="AP128" i="56"/>
  <c r="AO128" i="56"/>
  <c r="AN128" i="56"/>
  <c r="AM128" i="56"/>
  <c r="AL128" i="56"/>
  <c r="AK128" i="56"/>
  <c r="BT127" i="56" a="1"/>
  <c r="BT127" i="56" s="1"/>
  <c r="BS127" i="56" a="1"/>
  <c r="BS127" i="56" s="1"/>
  <c r="BR127" i="56" a="1"/>
  <c r="BR127" i="56" s="1"/>
  <c r="BQ127" i="56" a="1"/>
  <c r="BQ127" i="56" s="1"/>
  <c r="BP127" i="56" a="1"/>
  <c r="BP127" i="56" s="1"/>
  <c r="BO127" i="56" a="1"/>
  <c r="BO127" i="56" s="1"/>
  <c r="BN127" i="56" a="1"/>
  <c r="BN127" i="56" s="1"/>
  <c r="BM127" i="56" a="1"/>
  <c r="BM127" i="56" s="1"/>
  <c r="BL127" i="56" a="1"/>
  <c r="BL127" i="56" s="1"/>
  <c r="BK127" i="56" a="1"/>
  <c r="BK127" i="56" s="1"/>
  <c r="BJ127" i="56" a="1"/>
  <c r="BJ127" i="56" s="1"/>
  <c r="BI127" i="56" a="1"/>
  <c r="BI127" i="56" s="1"/>
  <c r="BH127" i="56" a="1"/>
  <c r="BH127" i="56" s="1"/>
  <c r="BG127" i="56" a="1"/>
  <c r="BG127" i="56" s="1"/>
  <c r="BF127" i="56" a="1"/>
  <c r="BF127" i="56" s="1"/>
  <c r="BE127" i="56" a="1"/>
  <c r="BE127" i="56" s="1"/>
  <c r="BD127" i="56" a="1"/>
  <c r="BD127" i="56" s="1"/>
  <c r="BC127" i="56" a="1"/>
  <c r="BC127" i="56" s="1"/>
  <c r="BB127" i="56"/>
  <c r="BA127" i="56"/>
  <c r="AZ127" i="56"/>
  <c r="AY127" i="56"/>
  <c r="AX127" i="56"/>
  <c r="AW127" i="56"/>
  <c r="AV127" i="56"/>
  <c r="AU127" i="56"/>
  <c r="AT127" i="56"/>
  <c r="AS127" i="56"/>
  <c r="AR127" i="56"/>
  <c r="AQ127" i="56"/>
  <c r="AP127" i="56"/>
  <c r="AO127" i="56"/>
  <c r="AN127" i="56"/>
  <c r="AM127" i="56"/>
  <c r="AL127" i="56"/>
  <c r="AK127" i="56"/>
  <c r="BT126" i="56" a="1"/>
  <c r="BT126" i="56" s="1"/>
  <c r="BS126" i="56" a="1"/>
  <c r="BS126" i="56" s="1"/>
  <c r="BR126" i="56" a="1"/>
  <c r="BR126" i="56" s="1"/>
  <c r="BQ126" i="56" a="1"/>
  <c r="BQ126" i="56" s="1"/>
  <c r="BP126" i="56" a="1"/>
  <c r="BP126" i="56" s="1"/>
  <c r="BO126" i="56" a="1"/>
  <c r="BO126" i="56" s="1"/>
  <c r="BN126" i="56" a="1"/>
  <c r="BN126" i="56" s="1"/>
  <c r="BM126" i="56" a="1"/>
  <c r="BM126" i="56" s="1"/>
  <c r="BL126" i="56" a="1"/>
  <c r="BL126" i="56" s="1"/>
  <c r="BK126" i="56" a="1"/>
  <c r="BK126" i="56" s="1"/>
  <c r="BJ126" i="56" a="1"/>
  <c r="BJ126" i="56" s="1"/>
  <c r="BI126" i="56" a="1"/>
  <c r="BI126" i="56" s="1"/>
  <c r="BH126" i="56" a="1"/>
  <c r="BH126" i="56" s="1"/>
  <c r="BG126" i="56" a="1"/>
  <c r="BG126" i="56" s="1"/>
  <c r="BF126" i="56" a="1"/>
  <c r="BF126" i="56" s="1"/>
  <c r="BE126" i="56" a="1"/>
  <c r="BE126" i="56" s="1"/>
  <c r="BD126" i="56" a="1"/>
  <c r="BD126" i="56" s="1"/>
  <c r="BC126" i="56" a="1"/>
  <c r="BC126" i="56" s="1"/>
  <c r="BB126" i="56"/>
  <c r="BA126" i="56"/>
  <c r="AZ126" i="56"/>
  <c r="AY126" i="56"/>
  <c r="AX126" i="56"/>
  <c r="AW126" i="56"/>
  <c r="AV126" i="56"/>
  <c r="AU126" i="56"/>
  <c r="AT126" i="56"/>
  <c r="AS126" i="56"/>
  <c r="AR126" i="56"/>
  <c r="AQ126" i="56"/>
  <c r="AP126" i="56"/>
  <c r="AO126" i="56"/>
  <c r="AN126" i="56"/>
  <c r="AM126" i="56"/>
  <c r="AL126" i="56"/>
  <c r="AK126" i="56"/>
  <c r="BT125" i="56" a="1"/>
  <c r="BT125" i="56" s="1"/>
  <c r="BS125" i="56" a="1"/>
  <c r="BS125" i="56" s="1"/>
  <c r="BR125" i="56" a="1"/>
  <c r="BR125" i="56" s="1"/>
  <c r="BQ125" i="56" a="1"/>
  <c r="BQ125" i="56" s="1"/>
  <c r="BP125" i="56" a="1"/>
  <c r="BP125" i="56" s="1"/>
  <c r="BO125" i="56" a="1"/>
  <c r="BO125" i="56" s="1"/>
  <c r="BN125" i="56" a="1"/>
  <c r="BN125" i="56" s="1"/>
  <c r="BM125" i="56" a="1"/>
  <c r="BM125" i="56" s="1"/>
  <c r="BL125" i="56" a="1"/>
  <c r="BL125" i="56" s="1"/>
  <c r="BK125" i="56" a="1"/>
  <c r="BK125" i="56" s="1"/>
  <c r="BJ125" i="56" a="1"/>
  <c r="BJ125" i="56" s="1"/>
  <c r="BI125" i="56" a="1"/>
  <c r="BI125" i="56" s="1"/>
  <c r="BH125" i="56" a="1"/>
  <c r="BH125" i="56" s="1"/>
  <c r="BG125" i="56" a="1"/>
  <c r="BG125" i="56" s="1"/>
  <c r="BF125" i="56" a="1"/>
  <c r="BF125" i="56" s="1"/>
  <c r="BE125" i="56" a="1"/>
  <c r="BE125" i="56" s="1"/>
  <c r="BD125" i="56" a="1"/>
  <c r="BD125" i="56" s="1"/>
  <c r="BC125" i="56" a="1"/>
  <c r="BC125" i="56" s="1"/>
  <c r="BB125" i="56"/>
  <c r="BA125" i="56"/>
  <c r="AZ125" i="56"/>
  <c r="AY125" i="56"/>
  <c r="AX125" i="56"/>
  <c r="AW125" i="56"/>
  <c r="AV125" i="56"/>
  <c r="AU125" i="56"/>
  <c r="AT125" i="56"/>
  <c r="AS125" i="56"/>
  <c r="AR125" i="56"/>
  <c r="AQ125" i="56"/>
  <c r="AP125" i="56"/>
  <c r="AO125" i="56"/>
  <c r="AN125" i="56"/>
  <c r="AM125" i="56"/>
  <c r="AL125" i="56"/>
  <c r="AK125" i="56"/>
  <c r="BT124" i="56" a="1"/>
  <c r="BT124" i="56" s="1"/>
  <c r="BS124" i="56" a="1"/>
  <c r="BS124" i="56" s="1"/>
  <c r="BR124" i="56" a="1"/>
  <c r="BR124" i="56" s="1"/>
  <c r="BQ124" i="56" a="1"/>
  <c r="BQ124" i="56" s="1"/>
  <c r="BP124" i="56" a="1"/>
  <c r="BP124" i="56" s="1"/>
  <c r="BO124" i="56" a="1"/>
  <c r="BO124" i="56" s="1"/>
  <c r="BN124" i="56" a="1"/>
  <c r="BN124" i="56" s="1"/>
  <c r="BM124" i="56" a="1"/>
  <c r="BM124" i="56" s="1"/>
  <c r="BL124" i="56" a="1"/>
  <c r="BL124" i="56" s="1"/>
  <c r="BK124" i="56" a="1"/>
  <c r="BK124" i="56" s="1"/>
  <c r="BJ124" i="56" a="1"/>
  <c r="BJ124" i="56" s="1"/>
  <c r="BI124" i="56" a="1"/>
  <c r="BI124" i="56" s="1"/>
  <c r="BH124" i="56" a="1"/>
  <c r="BH124" i="56" s="1"/>
  <c r="BG124" i="56" a="1"/>
  <c r="BG124" i="56" s="1"/>
  <c r="BF124" i="56" a="1"/>
  <c r="BF124" i="56" s="1"/>
  <c r="BE124" i="56" a="1"/>
  <c r="BE124" i="56" s="1"/>
  <c r="BD124" i="56" a="1"/>
  <c r="BD124" i="56" s="1"/>
  <c r="BC124" i="56" a="1"/>
  <c r="BC124" i="56" s="1"/>
  <c r="BB124" i="56"/>
  <c r="BA124" i="56"/>
  <c r="AZ124" i="56"/>
  <c r="AY124" i="56"/>
  <c r="AX124" i="56"/>
  <c r="AW124" i="56"/>
  <c r="AV124" i="56"/>
  <c r="AU124" i="56"/>
  <c r="AT124" i="56"/>
  <c r="AS124" i="56"/>
  <c r="AR124" i="56"/>
  <c r="AQ124" i="56"/>
  <c r="AP124" i="56"/>
  <c r="AO124" i="56"/>
  <c r="AN124" i="56"/>
  <c r="AM124" i="56"/>
  <c r="AL124" i="56"/>
  <c r="AK124" i="56"/>
  <c r="BT123" i="56" a="1"/>
  <c r="BT123" i="56" s="1"/>
  <c r="BS123" i="56" a="1"/>
  <c r="BS123" i="56" s="1"/>
  <c r="BR123" i="56" a="1"/>
  <c r="BR123" i="56" s="1"/>
  <c r="BQ123" i="56" a="1"/>
  <c r="BQ123" i="56" s="1"/>
  <c r="BP123" i="56" a="1"/>
  <c r="BP123" i="56" s="1"/>
  <c r="BO123" i="56" a="1"/>
  <c r="BO123" i="56" s="1"/>
  <c r="BN123" i="56" a="1"/>
  <c r="BN123" i="56" s="1"/>
  <c r="BM123" i="56" a="1"/>
  <c r="BM123" i="56" s="1"/>
  <c r="BL123" i="56" a="1"/>
  <c r="BL123" i="56" s="1"/>
  <c r="BK123" i="56" a="1"/>
  <c r="BK123" i="56" s="1"/>
  <c r="BJ123" i="56" a="1"/>
  <c r="BJ123" i="56" s="1"/>
  <c r="BI123" i="56" a="1"/>
  <c r="BI123" i="56" s="1"/>
  <c r="BH123" i="56" a="1"/>
  <c r="BH123" i="56" s="1"/>
  <c r="BG123" i="56" a="1"/>
  <c r="BG123" i="56" s="1"/>
  <c r="BF123" i="56" a="1"/>
  <c r="BF123" i="56" s="1"/>
  <c r="BE123" i="56" a="1"/>
  <c r="BE123" i="56" s="1"/>
  <c r="BD123" i="56" a="1"/>
  <c r="BD123" i="56" s="1"/>
  <c r="BC123" i="56" a="1"/>
  <c r="BC123" i="56" s="1"/>
  <c r="BB123" i="56"/>
  <c r="BA123" i="56"/>
  <c r="AZ123" i="56"/>
  <c r="AY123" i="56"/>
  <c r="AX123" i="56"/>
  <c r="AW123" i="56"/>
  <c r="AW129" i="56" s="1"/>
  <c r="AV123" i="56"/>
  <c r="AU123" i="56"/>
  <c r="AT123" i="56"/>
  <c r="AS123" i="56"/>
  <c r="AR123" i="56"/>
  <c r="AQ123" i="56"/>
  <c r="AP123" i="56"/>
  <c r="AO123" i="56"/>
  <c r="AN123" i="56"/>
  <c r="AM123" i="56"/>
  <c r="AL123" i="56"/>
  <c r="AK123" i="56"/>
  <c r="BT122" i="56" a="1"/>
  <c r="BT122" i="56" s="1"/>
  <c r="BS122" i="56" a="1"/>
  <c r="BS122" i="56" s="1"/>
  <c r="BR122" i="56" a="1"/>
  <c r="BR122" i="56" s="1"/>
  <c r="BQ122" i="56" a="1"/>
  <c r="BQ122" i="56" s="1"/>
  <c r="BP122" i="56" a="1"/>
  <c r="BP122" i="56" s="1"/>
  <c r="BO122" i="56" a="1"/>
  <c r="BO122" i="56" s="1"/>
  <c r="BN122" i="56" a="1"/>
  <c r="BN122" i="56" s="1"/>
  <c r="BM122" i="56" a="1"/>
  <c r="BM122" i="56" s="1"/>
  <c r="BL122" i="56" a="1"/>
  <c r="BL122" i="56" s="1"/>
  <c r="BK122" i="56" a="1"/>
  <c r="BK122" i="56" s="1"/>
  <c r="BJ122" i="56" a="1"/>
  <c r="BJ122" i="56" s="1"/>
  <c r="BI122" i="56" a="1"/>
  <c r="BI122" i="56" s="1"/>
  <c r="BH122" i="56" a="1"/>
  <c r="BH122" i="56" s="1"/>
  <c r="BG122" i="56" a="1"/>
  <c r="BG122" i="56" s="1"/>
  <c r="BF122" i="56" a="1"/>
  <c r="BF122" i="56" s="1"/>
  <c r="BE122" i="56" a="1"/>
  <c r="BE122" i="56" s="1"/>
  <c r="BD122" i="56" a="1"/>
  <c r="BD122" i="56" s="1"/>
  <c r="BC122" i="56" a="1"/>
  <c r="BC122" i="56" s="1"/>
  <c r="BB122" i="56"/>
  <c r="BA122" i="56"/>
  <c r="AZ122" i="56"/>
  <c r="AY122" i="56"/>
  <c r="AX122" i="56"/>
  <c r="AW122" i="56"/>
  <c r="AV122" i="56"/>
  <c r="AU122" i="56"/>
  <c r="AT122" i="56"/>
  <c r="AS122" i="56"/>
  <c r="AR122" i="56"/>
  <c r="AQ122" i="56"/>
  <c r="AP122" i="56"/>
  <c r="AO122" i="56"/>
  <c r="AN122" i="56"/>
  <c r="AM122" i="56"/>
  <c r="AL122" i="56"/>
  <c r="AK122" i="56"/>
  <c r="BT121" i="56" a="1"/>
  <c r="BT121" i="56" s="1"/>
  <c r="BS121" i="56" a="1"/>
  <c r="BS121" i="56" s="1"/>
  <c r="BR121" i="56" a="1"/>
  <c r="BR121" i="56" s="1"/>
  <c r="BQ121" i="56" a="1"/>
  <c r="BQ121" i="56" s="1"/>
  <c r="BP121" i="56" a="1"/>
  <c r="BP121" i="56" s="1"/>
  <c r="BO121" i="56" a="1"/>
  <c r="BO121" i="56" s="1"/>
  <c r="BN121" i="56" a="1"/>
  <c r="BN121" i="56" s="1"/>
  <c r="BM121" i="56" a="1"/>
  <c r="BM121" i="56" s="1"/>
  <c r="BL121" i="56" a="1"/>
  <c r="BL121" i="56" s="1"/>
  <c r="BK121" i="56" a="1"/>
  <c r="BK121" i="56" s="1"/>
  <c r="BJ121" i="56" a="1"/>
  <c r="BJ121" i="56" s="1"/>
  <c r="BI121" i="56" a="1"/>
  <c r="BI121" i="56" s="1"/>
  <c r="BH121" i="56" a="1"/>
  <c r="BH121" i="56" s="1"/>
  <c r="BG121" i="56" a="1"/>
  <c r="BG121" i="56" s="1"/>
  <c r="BF121" i="56" a="1"/>
  <c r="BF121" i="56" s="1"/>
  <c r="BE121" i="56" a="1"/>
  <c r="BE121" i="56" s="1"/>
  <c r="BD121" i="56" a="1"/>
  <c r="BD121" i="56" s="1"/>
  <c r="BC121" i="56" a="1"/>
  <c r="BC121" i="56" s="1"/>
  <c r="BB121" i="56"/>
  <c r="BB129" i="56" s="1"/>
  <c r="BA121" i="56"/>
  <c r="AZ121" i="56"/>
  <c r="AZ129" i="56" s="1"/>
  <c r="AY121" i="56"/>
  <c r="AY129" i="56" s="1"/>
  <c r="AX121" i="56"/>
  <c r="AW121" i="56"/>
  <c r="AV121" i="56"/>
  <c r="AV129" i="56" s="1"/>
  <c r="AU121" i="56"/>
  <c r="AT121" i="56"/>
  <c r="AT129" i="56" s="1"/>
  <c r="AS121" i="56"/>
  <c r="AS129" i="56" s="1"/>
  <c r="AR121" i="56"/>
  <c r="AQ121" i="56"/>
  <c r="AQ129" i="56" s="1"/>
  <c r="AP121" i="56"/>
  <c r="AP129" i="56" s="1"/>
  <c r="AO121" i="56"/>
  <c r="AN121" i="56"/>
  <c r="AN129" i="56" s="1"/>
  <c r="AM121" i="56"/>
  <c r="AM129" i="56" s="1"/>
  <c r="AL121" i="56"/>
  <c r="AK121" i="56"/>
  <c r="AK129" i="56" s="1"/>
  <c r="AN130" i="56" s="1"/>
  <c r="AY114" i="56"/>
  <c r="AM114" i="56"/>
  <c r="BT113" i="56"/>
  <c r="BT113" i="56" a="1"/>
  <c r="BS113" i="56"/>
  <c r="BS113" i="56" a="1"/>
  <c r="BR113" i="56"/>
  <c r="BR113" i="56" a="1"/>
  <c r="BQ113" i="56"/>
  <c r="BQ113" i="56" a="1"/>
  <c r="BP113" i="56"/>
  <c r="BP113" i="56" a="1"/>
  <c r="BO113" i="56"/>
  <c r="BO113" i="56" a="1"/>
  <c r="BN113" i="56"/>
  <c r="BN113" i="56" a="1"/>
  <c r="BM113" i="56"/>
  <c r="BM113" i="56" a="1"/>
  <c r="BL113" i="56"/>
  <c r="BL113" i="56" a="1"/>
  <c r="BK113" i="56"/>
  <c r="BK113" i="56" a="1"/>
  <c r="BJ113" i="56"/>
  <c r="BJ113" i="56" a="1"/>
  <c r="BI113" i="56"/>
  <c r="BI113" i="56" a="1"/>
  <c r="BH113" i="56"/>
  <c r="BH113" i="56" a="1"/>
  <c r="BG113" i="56"/>
  <c r="BG113" i="56" a="1"/>
  <c r="BF113" i="56"/>
  <c r="BF113" i="56" a="1"/>
  <c r="BE113" i="56"/>
  <c r="BE113" i="56" a="1"/>
  <c r="BD113" i="56"/>
  <c r="BD113" i="56" a="1"/>
  <c r="BC113" i="56"/>
  <c r="BC113" i="56" a="1"/>
  <c r="BB113" i="56"/>
  <c r="BA113" i="56"/>
  <c r="AZ113" i="56"/>
  <c r="AY113" i="56"/>
  <c r="AX113" i="56"/>
  <c r="AW113" i="56"/>
  <c r="AV113" i="56"/>
  <c r="AU113" i="56"/>
  <c r="AT113" i="56"/>
  <c r="AS113" i="56"/>
  <c r="AR113" i="56"/>
  <c r="AQ113" i="56"/>
  <c r="AP113" i="56"/>
  <c r="AO113" i="56"/>
  <c r="AN113" i="56"/>
  <c r="AM113" i="56"/>
  <c r="AL113" i="56"/>
  <c r="AK113" i="56"/>
  <c r="BT112" i="56"/>
  <c r="BT112" i="56" a="1"/>
  <c r="BS112" i="56"/>
  <c r="BS112" i="56" a="1"/>
  <c r="BR112" i="56"/>
  <c r="BR112" i="56" a="1"/>
  <c r="BQ112" i="56"/>
  <c r="BQ112" i="56" a="1"/>
  <c r="BP112" i="56"/>
  <c r="BP112" i="56" a="1"/>
  <c r="BO112" i="56"/>
  <c r="BO112" i="56" a="1"/>
  <c r="BN112" i="56"/>
  <c r="BN112" i="56" a="1"/>
  <c r="BM112" i="56"/>
  <c r="BM112" i="56" a="1"/>
  <c r="BL112" i="56"/>
  <c r="BL112" i="56" a="1"/>
  <c r="BK112" i="56"/>
  <c r="BK112" i="56" a="1"/>
  <c r="BJ112" i="56"/>
  <c r="BJ112" i="56" a="1"/>
  <c r="BI112" i="56"/>
  <c r="BI112" i="56" a="1"/>
  <c r="BH112" i="56"/>
  <c r="BH112" i="56" a="1"/>
  <c r="BG112" i="56"/>
  <c r="BG112" i="56" a="1"/>
  <c r="BF112" i="56"/>
  <c r="BF112" i="56" a="1"/>
  <c r="BE112" i="56"/>
  <c r="BE112" i="56" a="1"/>
  <c r="BD112" i="56"/>
  <c r="BD112" i="56" a="1"/>
  <c r="BC112" i="56"/>
  <c r="BC112" i="56" a="1"/>
  <c r="BB112" i="56"/>
  <c r="BA112" i="56"/>
  <c r="AZ112" i="56"/>
  <c r="AY112" i="56"/>
  <c r="AX112" i="56"/>
  <c r="AW112" i="56"/>
  <c r="AV112" i="56"/>
  <c r="AU112" i="56"/>
  <c r="AT112" i="56"/>
  <c r="AS112" i="56"/>
  <c r="AR112" i="56"/>
  <c r="AQ112" i="56"/>
  <c r="AP112" i="56"/>
  <c r="AO112" i="56"/>
  <c r="AN112" i="56"/>
  <c r="AM112" i="56"/>
  <c r="AL112" i="56"/>
  <c r="AK112" i="56"/>
  <c r="BT111" i="56"/>
  <c r="BT111" i="56" a="1"/>
  <c r="BS111" i="56"/>
  <c r="BS111" i="56" a="1"/>
  <c r="BR111" i="56"/>
  <c r="BR111" i="56" a="1"/>
  <c r="BQ111" i="56"/>
  <c r="BQ111" i="56" a="1"/>
  <c r="BP111" i="56"/>
  <c r="BP111" i="56" a="1"/>
  <c r="BO111" i="56"/>
  <c r="BO111" i="56" a="1"/>
  <c r="BN111" i="56"/>
  <c r="BN111" i="56" a="1"/>
  <c r="BM111" i="56"/>
  <c r="BM111" i="56" a="1"/>
  <c r="BL111" i="56"/>
  <c r="BL111" i="56" a="1"/>
  <c r="BK111" i="56"/>
  <c r="BK111" i="56" a="1"/>
  <c r="BJ111" i="56"/>
  <c r="BJ111" i="56" a="1"/>
  <c r="BI111" i="56"/>
  <c r="BI111" i="56" a="1"/>
  <c r="BH111" i="56"/>
  <c r="BH111" i="56" a="1"/>
  <c r="BG111" i="56"/>
  <c r="BG111" i="56" a="1"/>
  <c r="BF111" i="56"/>
  <c r="BF111" i="56" a="1"/>
  <c r="BE111" i="56"/>
  <c r="BE111" i="56" a="1"/>
  <c r="BD111" i="56"/>
  <c r="BD111" i="56" a="1"/>
  <c r="BC111" i="56"/>
  <c r="BC111" i="56" a="1"/>
  <c r="BB111" i="56"/>
  <c r="BA111" i="56"/>
  <c r="AZ111" i="56"/>
  <c r="AY111" i="56"/>
  <c r="AX111" i="56"/>
  <c r="AW111" i="56"/>
  <c r="AV111" i="56"/>
  <c r="AU111" i="56"/>
  <c r="AT111" i="56"/>
  <c r="AS111" i="56"/>
  <c r="AR111" i="56"/>
  <c r="AQ111" i="56"/>
  <c r="AP111" i="56"/>
  <c r="AO111" i="56"/>
  <c r="AN111" i="56"/>
  <c r="AM111" i="56"/>
  <c r="AL111" i="56"/>
  <c r="AK111" i="56"/>
  <c r="BT110" i="56"/>
  <c r="BT110" i="56" a="1"/>
  <c r="BS110" i="56"/>
  <c r="BS110" i="56" a="1"/>
  <c r="BR110" i="56"/>
  <c r="BR110" i="56" a="1"/>
  <c r="BQ110" i="56"/>
  <c r="BQ110" i="56" a="1"/>
  <c r="BP110" i="56"/>
  <c r="BP110" i="56" a="1"/>
  <c r="BO110" i="56"/>
  <c r="BO110" i="56" a="1"/>
  <c r="BN110" i="56"/>
  <c r="BN110" i="56" a="1"/>
  <c r="BM110" i="56"/>
  <c r="BM110" i="56" a="1"/>
  <c r="BL110" i="56"/>
  <c r="BL110" i="56" a="1"/>
  <c r="BK110" i="56"/>
  <c r="BK110" i="56" a="1"/>
  <c r="BJ110" i="56"/>
  <c r="BJ110" i="56" a="1"/>
  <c r="BI110" i="56"/>
  <c r="BI110" i="56" a="1"/>
  <c r="BH110" i="56"/>
  <c r="BH110" i="56" a="1"/>
  <c r="BG110" i="56"/>
  <c r="BG110" i="56" a="1"/>
  <c r="BF110" i="56"/>
  <c r="BF110" i="56" a="1"/>
  <c r="BE110" i="56"/>
  <c r="BE110" i="56" a="1"/>
  <c r="BD110" i="56"/>
  <c r="BD110" i="56" a="1"/>
  <c r="BC110" i="56"/>
  <c r="BC110" i="56" a="1"/>
  <c r="BB110" i="56"/>
  <c r="BA110" i="56"/>
  <c r="AZ110" i="56"/>
  <c r="AY110" i="56"/>
  <c r="AX110" i="56"/>
  <c r="AW110" i="56"/>
  <c r="AV110" i="56"/>
  <c r="AU110" i="56"/>
  <c r="AT110" i="56"/>
  <c r="AS110" i="56"/>
  <c r="AR110" i="56"/>
  <c r="AQ110" i="56"/>
  <c r="AP110" i="56"/>
  <c r="AO110" i="56"/>
  <c r="AN110" i="56"/>
  <c r="AM110" i="56"/>
  <c r="AL110" i="56"/>
  <c r="AK110" i="56"/>
  <c r="BT109" i="56"/>
  <c r="BT109" i="56" a="1"/>
  <c r="BS109" i="56"/>
  <c r="BS109" i="56" a="1"/>
  <c r="BR109" i="56"/>
  <c r="BR109" i="56" a="1"/>
  <c r="BQ109" i="56"/>
  <c r="BQ109" i="56" a="1"/>
  <c r="BP109" i="56"/>
  <c r="BP109" i="56" a="1"/>
  <c r="BO109" i="56"/>
  <c r="BO109" i="56" a="1"/>
  <c r="BN109" i="56"/>
  <c r="BN109" i="56" a="1"/>
  <c r="BM109" i="56"/>
  <c r="BM109" i="56" a="1"/>
  <c r="BL109" i="56"/>
  <c r="BL109" i="56" a="1"/>
  <c r="BK109" i="56"/>
  <c r="BK109" i="56" a="1"/>
  <c r="BJ109" i="56"/>
  <c r="BJ109" i="56" a="1"/>
  <c r="BI109" i="56"/>
  <c r="BI109" i="56" a="1"/>
  <c r="BH109" i="56"/>
  <c r="BH109" i="56" a="1"/>
  <c r="BG109" i="56"/>
  <c r="BG109" i="56" a="1"/>
  <c r="BF109" i="56"/>
  <c r="BF109" i="56" a="1"/>
  <c r="BE109" i="56"/>
  <c r="BE109" i="56" a="1"/>
  <c r="BD109" i="56"/>
  <c r="BD109" i="56" a="1"/>
  <c r="BC109" i="56"/>
  <c r="BC109" i="56" a="1"/>
  <c r="BB109" i="56"/>
  <c r="BA109" i="56"/>
  <c r="AZ109" i="56"/>
  <c r="AY109" i="56"/>
  <c r="AX109" i="56"/>
  <c r="AW109" i="56"/>
  <c r="AV109" i="56"/>
  <c r="AU109" i="56"/>
  <c r="AT109" i="56"/>
  <c r="AS109" i="56"/>
  <c r="AR109" i="56"/>
  <c r="AQ109" i="56"/>
  <c r="AP109" i="56"/>
  <c r="AO109" i="56"/>
  <c r="AN109" i="56"/>
  <c r="AM109" i="56"/>
  <c r="AL109" i="56"/>
  <c r="AK109" i="56"/>
  <c r="BT108" i="56"/>
  <c r="BT108" i="56" a="1"/>
  <c r="BS108" i="56"/>
  <c r="BS108" i="56" a="1"/>
  <c r="BR108" i="56"/>
  <c r="BR108" i="56" a="1"/>
  <c r="BQ108" i="56"/>
  <c r="BQ108" i="56" a="1"/>
  <c r="BP108" i="56"/>
  <c r="BP108" i="56" a="1"/>
  <c r="BO108" i="56"/>
  <c r="BO108" i="56" a="1"/>
  <c r="BN108" i="56"/>
  <c r="BN108" i="56" a="1"/>
  <c r="BM108" i="56"/>
  <c r="BM108" i="56" a="1"/>
  <c r="BL108" i="56"/>
  <c r="BL108" i="56" a="1"/>
  <c r="BK108" i="56"/>
  <c r="BK108" i="56" a="1"/>
  <c r="BJ108" i="56"/>
  <c r="BJ108" i="56" a="1"/>
  <c r="BI108" i="56"/>
  <c r="BI108" i="56" a="1"/>
  <c r="BH108" i="56"/>
  <c r="BH108" i="56" a="1"/>
  <c r="BG108" i="56"/>
  <c r="BG108" i="56" a="1"/>
  <c r="BF108" i="56" a="1"/>
  <c r="BF108" i="56" s="1"/>
  <c r="BE108" i="56"/>
  <c r="BE108" i="56" a="1"/>
  <c r="BD108" i="56"/>
  <c r="BD108" i="56" a="1"/>
  <c r="BC108" i="56"/>
  <c r="BC108" i="56" a="1"/>
  <c r="BB108" i="56"/>
  <c r="BA108" i="56"/>
  <c r="AZ108" i="56"/>
  <c r="AY108" i="56"/>
  <c r="AX108" i="56"/>
  <c r="AW108" i="56"/>
  <c r="AV108" i="56"/>
  <c r="AU108" i="56"/>
  <c r="AT108" i="56"/>
  <c r="AS108" i="56"/>
  <c r="AR108" i="56"/>
  <c r="AQ108" i="56"/>
  <c r="AP108" i="56"/>
  <c r="AO108" i="56"/>
  <c r="AN108" i="56"/>
  <c r="AM108" i="56"/>
  <c r="AL108" i="56"/>
  <c r="AK108" i="56"/>
  <c r="BT107" i="56"/>
  <c r="BT107" i="56" a="1"/>
  <c r="BS107" i="56"/>
  <c r="BS107" i="56" a="1"/>
  <c r="BR107" i="56"/>
  <c r="BR107" i="56" a="1"/>
  <c r="BQ107" i="56" a="1"/>
  <c r="BQ107" i="56" s="1"/>
  <c r="BP107" i="56"/>
  <c r="BP107" i="56" a="1"/>
  <c r="BO107" i="56"/>
  <c r="BO107" i="56" a="1"/>
  <c r="BN107" i="56"/>
  <c r="BN107" i="56" a="1"/>
  <c r="BM107" i="56" a="1"/>
  <c r="BM107" i="56" s="1"/>
  <c r="BL107" i="56"/>
  <c r="BL107" i="56" a="1"/>
  <c r="BK107" i="56"/>
  <c r="BK107" i="56" a="1"/>
  <c r="BJ107" i="56"/>
  <c r="BJ107" i="56" a="1"/>
  <c r="BI107" i="56" a="1"/>
  <c r="BI107" i="56" s="1"/>
  <c r="BH107" i="56"/>
  <c r="BH107" i="56" a="1"/>
  <c r="BG107" i="56"/>
  <c r="BG107" i="56" a="1"/>
  <c r="BF107" i="56"/>
  <c r="BF107" i="56" a="1"/>
  <c r="BE107" i="56" a="1"/>
  <c r="BE107" i="56" s="1"/>
  <c r="BD107" i="56" a="1"/>
  <c r="BD107" i="56" s="1"/>
  <c r="BC107" i="56"/>
  <c r="BC107" i="56" a="1"/>
  <c r="BB107" i="56"/>
  <c r="BA107" i="56"/>
  <c r="AZ107" i="56"/>
  <c r="AY107" i="56"/>
  <c r="AX107" i="56"/>
  <c r="AW107" i="56"/>
  <c r="AV107" i="56"/>
  <c r="AU107" i="56"/>
  <c r="AT107" i="56"/>
  <c r="AS107" i="56"/>
  <c r="AR107" i="56"/>
  <c r="AQ107" i="56"/>
  <c r="AP107" i="56"/>
  <c r="AP114" i="56" s="1"/>
  <c r="AO107" i="56"/>
  <c r="AN107" i="56"/>
  <c r="AM107" i="56"/>
  <c r="AL107" i="56"/>
  <c r="AK107" i="56"/>
  <c r="BT106" i="56" a="1"/>
  <c r="BT106" i="56" s="1"/>
  <c r="BS106" i="56" a="1"/>
  <c r="BS106" i="56" s="1"/>
  <c r="BR106" i="56"/>
  <c r="BR106" i="56" a="1"/>
  <c r="BQ106" i="56"/>
  <c r="BQ106" i="56" a="1"/>
  <c r="BP106" i="56" a="1"/>
  <c r="BP106" i="56" s="1"/>
  <c r="BO106" i="56" a="1"/>
  <c r="BO106" i="56" s="1"/>
  <c r="BN106" i="56"/>
  <c r="BN106" i="56" a="1"/>
  <c r="BM106" i="56"/>
  <c r="BM106" i="56" a="1"/>
  <c r="BL106" i="56" a="1"/>
  <c r="BL106" i="56" s="1"/>
  <c r="BK106" i="56" a="1"/>
  <c r="BK106" i="56" s="1"/>
  <c r="BJ106" i="56"/>
  <c r="BJ106" i="56" a="1"/>
  <c r="BI106" i="56"/>
  <c r="BI106" i="56" a="1"/>
  <c r="BH106" i="56" a="1"/>
  <c r="BH106" i="56" s="1"/>
  <c r="BG106" i="56" a="1"/>
  <c r="BG106" i="56" s="1"/>
  <c r="BF106" i="56"/>
  <c r="BF106" i="56" a="1"/>
  <c r="BE106" i="56"/>
  <c r="BE106" i="56" a="1"/>
  <c r="BD106" i="56" a="1"/>
  <c r="BD106" i="56" s="1"/>
  <c r="BC106" i="56" a="1"/>
  <c r="BC106" i="56" s="1"/>
  <c r="BB106" i="56"/>
  <c r="BB114" i="56" s="1"/>
  <c r="BA106" i="56"/>
  <c r="AZ106" i="56"/>
  <c r="AZ114" i="56" s="1"/>
  <c r="AY106" i="56"/>
  <c r="AX106" i="56"/>
  <c r="AW106" i="56"/>
  <c r="AW114" i="56" s="1"/>
  <c r="AV106" i="56"/>
  <c r="AV114" i="56" s="1"/>
  <c r="AU106" i="56"/>
  <c r="AT106" i="56"/>
  <c r="AT114" i="56" s="1"/>
  <c r="AS106" i="56"/>
  <c r="AS114" i="56" s="1"/>
  <c r="AR106" i="56"/>
  <c r="AQ106" i="56"/>
  <c r="AQ114" i="56" s="1"/>
  <c r="AP106" i="56"/>
  <c r="AO106" i="56"/>
  <c r="AN106" i="56"/>
  <c r="AN114" i="56" s="1"/>
  <c r="AM106" i="56"/>
  <c r="AL106" i="56"/>
  <c r="AK106" i="56"/>
  <c r="AK114" i="56" s="1"/>
  <c r="AN115" i="56" s="1"/>
  <c r="BW98" i="56" a="1"/>
  <c r="BW98" i="56" s="1"/>
  <c r="BV98" i="56"/>
  <c r="BV98" i="56" a="1"/>
  <c r="BU98" i="56"/>
  <c r="BU98" i="56" a="1"/>
  <c r="BT98" i="56" a="1"/>
  <c r="BT98" i="56" s="1"/>
  <c r="BS98" i="56" a="1"/>
  <c r="BS98" i="56" s="1"/>
  <c r="BR98" i="56"/>
  <c r="BR98" i="56" a="1"/>
  <c r="BQ98" i="56"/>
  <c r="BQ98" i="56" a="1"/>
  <c r="BP98" i="56" a="1"/>
  <c r="BP98" i="56" s="1"/>
  <c r="BO98" i="56" a="1"/>
  <c r="BO98" i="56" s="1"/>
  <c r="BN98" i="56"/>
  <c r="BN98" i="56" a="1"/>
  <c r="BM98" i="56"/>
  <c r="BM98" i="56" a="1"/>
  <c r="BL98" i="56" a="1"/>
  <c r="BL98" i="56" s="1"/>
  <c r="BK98" i="56" a="1"/>
  <c r="BK98" i="56" s="1"/>
  <c r="BJ98" i="56"/>
  <c r="BJ98" i="56" a="1"/>
  <c r="BI98" i="56"/>
  <c r="BI98" i="56" a="1"/>
  <c r="BH98" i="56"/>
  <c r="BG98" i="56"/>
  <c r="BF98" i="56"/>
  <c r="BC98" i="56" s="1" a="1"/>
  <c r="BC98" i="56" s="1"/>
  <c r="BE98" i="56" a="1"/>
  <c r="BE98" i="56" s="1"/>
  <c r="BD98" i="56" a="1"/>
  <c r="BD98" i="56" s="1"/>
  <c r="BB98" i="56"/>
  <c r="BA98" i="56"/>
  <c r="AZ98" i="56"/>
  <c r="AY98" i="56"/>
  <c r="AX98" i="56"/>
  <c r="AW98" i="56"/>
  <c r="AV98" i="56"/>
  <c r="AU98" i="56"/>
  <c r="AT98" i="56"/>
  <c r="AS98" i="56"/>
  <c r="AR98" i="56"/>
  <c r="AQ98" i="56"/>
  <c r="AP98" i="56"/>
  <c r="AO98" i="56"/>
  <c r="AN98" i="56"/>
  <c r="AM98" i="56"/>
  <c r="AL98" i="56"/>
  <c r="AK98" i="56"/>
  <c r="BW97" i="56"/>
  <c r="BW97" i="56" a="1"/>
  <c r="BV97" i="56" a="1"/>
  <c r="BV97" i="56" s="1"/>
  <c r="BU97" i="56"/>
  <c r="BU97" i="56" a="1"/>
  <c r="BT97" i="56"/>
  <c r="BT97" i="56" a="1"/>
  <c r="BS97" i="56"/>
  <c r="BS97" i="56" a="1"/>
  <c r="BR97" i="56" a="1"/>
  <c r="BR97" i="56" s="1"/>
  <c r="BQ97" i="56"/>
  <c r="BQ97" i="56" a="1"/>
  <c r="BP97" i="56"/>
  <c r="BP97" i="56" a="1"/>
  <c r="BO97" i="56"/>
  <c r="BO97" i="56" a="1"/>
  <c r="BN97" i="56" a="1"/>
  <c r="BN97" i="56" s="1"/>
  <c r="BM97" i="56"/>
  <c r="BM97" i="56" a="1"/>
  <c r="BL97" i="56"/>
  <c r="BL97" i="56" a="1"/>
  <c r="BK97" i="56"/>
  <c r="BK97" i="56" a="1"/>
  <c r="BJ97" i="56" a="1"/>
  <c r="BJ97" i="56" s="1"/>
  <c r="BI97" i="56"/>
  <c r="BI97" i="56" a="1"/>
  <c r="BH97" i="56"/>
  <c r="BE97" i="56" s="1" a="1"/>
  <c r="BE97" i="56" s="1"/>
  <c r="BG97" i="56"/>
  <c r="BD97" i="56" s="1" a="1"/>
  <c r="BD97" i="56" s="1"/>
  <c r="BF97" i="56"/>
  <c r="BC97" i="56" a="1"/>
  <c r="BC97" i="56" s="1"/>
  <c r="BB97" i="56"/>
  <c r="BA97" i="56"/>
  <c r="AZ97" i="56"/>
  <c r="AY97" i="56"/>
  <c r="AX97" i="56"/>
  <c r="AW97" i="56"/>
  <c r="AV97" i="56"/>
  <c r="AU97" i="56"/>
  <c r="AT97" i="56"/>
  <c r="AS97" i="56"/>
  <c r="AR97" i="56"/>
  <c r="AQ97" i="56"/>
  <c r="AP97" i="56"/>
  <c r="AO97" i="56"/>
  <c r="AN97" i="56"/>
  <c r="AM97" i="56"/>
  <c r="AL97" i="56"/>
  <c r="AK97" i="56"/>
  <c r="BW96" i="56"/>
  <c r="BW96" i="56" a="1"/>
  <c r="BV96" i="56"/>
  <c r="BV96" i="56" a="1"/>
  <c r="BU96" i="56"/>
  <c r="BU96" i="56" a="1"/>
  <c r="BT96" i="56" a="1"/>
  <c r="BT96" i="56" s="1"/>
  <c r="BS96" i="56"/>
  <c r="BS96" i="56" a="1"/>
  <c r="BR96" i="56"/>
  <c r="BR96" i="56" a="1"/>
  <c r="BQ96" i="56"/>
  <c r="BQ96" i="56" a="1"/>
  <c r="BP96" i="56" a="1"/>
  <c r="BP96" i="56" s="1"/>
  <c r="BO96" i="56"/>
  <c r="BO96" i="56" a="1"/>
  <c r="BN96" i="56"/>
  <c r="BN96" i="56" a="1"/>
  <c r="BM96" i="56"/>
  <c r="BM96" i="56" a="1"/>
  <c r="BL96" i="56" a="1"/>
  <c r="BL96" i="56" s="1"/>
  <c r="BK96" i="56"/>
  <c r="BK96" i="56" a="1"/>
  <c r="BJ96" i="56"/>
  <c r="BJ96" i="56" a="1"/>
  <c r="BI96" i="56"/>
  <c r="BI96" i="56" a="1"/>
  <c r="BH96" i="56"/>
  <c r="BG96" i="56"/>
  <c r="BF96" i="56"/>
  <c r="BC96" i="56" s="1" a="1"/>
  <c r="BC96" i="56" s="1"/>
  <c r="BE96" i="56" a="1"/>
  <c r="BE96" i="56" s="1"/>
  <c r="BD96" i="56" a="1"/>
  <c r="BD96" i="56" s="1"/>
  <c r="BB96" i="56"/>
  <c r="BA96" i="56"/>
  <c r="AZ96" i="56"/>
  <c r="AY96" i="56"/>
  <c r="AX96" i="56"/>
  <c r="AW96" i="56"/>
  <c r="AV96" i="56"/>
  <c r="AU96" i="56"/>
  <c r="AT96" i="56"/>
  <c r="AS96" i="56"/>
  <c r="AR96" i="56"/>
  <c r="AQ96" i="56"/>
  <c r="AP96" i="56"/>
  <c r="AO96" i="56"/>
  <c r="AN96" i="56"/>
  <c r="AM96" i="56"/>
  <c r="AL96" i="56"/>
  <c r="AK96" i="56"/>
  <c r="BW95" i="56"/>
  <c r="BW95" i="56" a="1"/>
  <c r="BV95" i="56" a="1"/>
  <c r="BV95" i="56" s="1"/>
  <c r="BU95" i="56"/>
  <c r="BU95" i="56" a="1"/>
  <c r="BT95" i="56"/>
  <c r="BT95" i="56" a="1"/>
  <c r="BS95" i="56"/>
  <c r="BS95" i="56" a="1"/>
  <c r="BR95" i="56" a="1"/>
  <c r="BR95" i="56" s="1"/>
  <c r="BQ95" i="56"/>
  <c r="BQ95" i="56" a="1"/>
  <c r="BP95" i="56"/>
  <c r="BP95" i="56" a="1"/>
  <c r="BO95" i="56"/>
  <c r="BO95" i="56" a="1"/>
  <c r="BN95" i="56" a="1"/>
  <c r="BN95" i="56" s="1"/>
  <c r="BM95" i="56"/>
  <c r="BM95" i="56" a="1"/>
  <c r="BL95" i="56"/>
  <c r="BL95" i="56" a="1"/>
  <c r="BK95" i="56"/>
  <c r="BK95" i="56" a="1"/>
  <c r="BJ95" i="56" a="1"/>
  <c r="BJ95" i="56" s="1"/>
  <c r="BI95" i="56"/>
  <c r="BI95" i="56" a="1"/>
  <c r="BH95" i="56"/>
  <c r="BE95" i="56" s="1" a="1"/>
  <c r="BE95" i="56" s="1"/>
  <c r="BG95" i="56"/>
  <c r="BD95" i="56" s="1" a="1"/>
  <c r="BD95" i="56" s="1"/>
  <c r="BF95" i="56"/>
  <c r="BC95" i="56" s="1" a="1"/>
  <c r="BC95" i="56" s="1"/>
  <c r="BB95" i="56"/>
  <c r="BA95" i="56"/>
  <c r="AZ95" i="56"/>
  <c r="AY95" i="56"/>
  <c r="AX95" i="56"/>
  <c r="AW95" i="56"/>
  <c r="AV95" i="56"/>
  <c r="AU95" i="56"/>
  <c r="AT95" i="56"/>
  <c r="AS95" i="56"/>
  <c r="AR95" i="56"/>
  <c r="AQ95" i="56"/>
  <c r="AP95" i="56"/>
  <c r="AO95" i="56"/>
  <c r="AN95" i="56"/>
  <c r="AM95" i="56"/>
  <c r="AL95" i="56"/>
  <c r="AK95" i="56"/>
  <c r="BW94" i="56"/>
  <c r="BW94" i="56" a="1"/>
  <c r="BV94" i="56" a="1"/>
  <c r="BV94" i="56" s="1"/>
  <c r="BU94" i="56"/>
  <c r="BU94" i="56" a="1"/>
  <c r="BT94" i="56" a="1"/>
  <c r="BT94" i="56" s="1"/>
  <c r="BS94" i="56"/>
  <c r="BS94" i="56" a="1"/>
  <c r="BR94" i="56" a="1"/>
  <c r="BR94" i="56" s="1"/>
  <c r="BQ94" i="56"/>
  <c r="BQ94" i="56" a="1"/>
  <c r="BP94" i="56" a="1"/>
  <c r="BP94" i="56" s="1"/>
  <c r="BO94" i="56"/>
  <c r="BO94" i="56" a="1"/>
  <c r="BN94" i="56" a="1"/>
  <c r="BN94" i="56" s="1"/>
  <c r="BM94" i="56"/>
  <c r="BM94" i="56" a="1"/>
  <c r="BL94" i="56" a="1"/>
  <c r="BL94" i="56" s="1"/>
  <c r="BK94" i="56"/>
  <c r="BK94" i="56" a="1"/>
  <c r="BJ94" i="56" a="1"/>
  <c r="BJ94" i="56" s="1"/>
  <c r="BI94" i="56"/>
  <c r="BI94" i="56" a="1"/>
  <c r="BH94" i="56"/>
  <c r="BG94" i="56"/>
  <c r="BF94" i="56"/>
  <c r="BC94" i="56" s="1" a="1"/>
  <c r="BC94" i="56" s="1"/>
  <c r="BE94" i="56" a="1"/>
  <c r="BE94" i="56" s="1"/>
  <c r="BD94" i="56" a="1"/>
  <c r="BD94" i="56" s="1"/>
  <c r="BB94" i="56"/>
  <c r="BA94" i="56"/>
  <c r="AZ94" i="56"/>
  <c r="AY94" i="56"/>
  <c r="AX94" i="56"/>
  <c r="AW94" i="56"/>
  <c r="AV94" i="56"/>
  <c r="AU94" i="56"/>
  <c r="AT94" i="56"/>
  <c r="AS94" i="56"/>
  <c r="AR94" i="56"/>
  <c r="AQ94" i="56"/>
  <c r="AP94" i="56"/>
  <c r="AO94" i="56"/>
  <c r="AN94" i="56"/>
  <c r="AM94" i="56"/>
  <c r="AL94" i="56"/>
  <c r="AK94" i="56"/>
  <c r="BW93" i="56"/>
  <c r="BW93" i="56" a="1"/>
  <c r="BV93" i="56" a="1"/>
  <c r="BV93" i="56" s="1"/>
  <c r="BU93" i="56"/>
  <c r="BU93" i="56" a="1"/>
  <c r="BT93" i="56" a="1"/>
  <c r="BT93" i="56" s="1"/>
  <c r="BS93" i="56"/>
  <c r="BS93" i="56" a="1"/>
  <c r="BR93" i="56" a="1"/>
  <c r="BR93" i="56" s="1"/>
  <c r="BQ93" i="56"/>
  <c r="BQ93" i="56" a="1"/>
  <c r="BP93" i="56" a="1"/>
  <c r="BP93" i="56" s="1"/>
  <c r="BO93" i="56"/>
  <c r="BO93" i="56" a="1"/>
  <c r="BN93" i="56" a="1"/>
  <c r="BN93" i="56" s="1"/>
  <c r="BM93" i="56"/>
  <c r="BM93" i="56" a="1"/>
  <c r="BL93" i="56" a="1"/>
  <c r="BL93" i="56" s="1"/>
  <c r="BK93" i="56"/>
  <c r="BK93" i="56" a="1"/>
  <c r="BJ93" i="56" a="1"/>
  <c r="BJ93" i="56" s="1"/>
  <c r="BI93" i="56"/>
  <c r="BI93" i="56" a="1"/>
  <c r="BH93" i="56"/>
  <c r="BE93" i="56" s="1" a="1"/>
  <c r="BE93" i="56" s="1"/>
  <c r="BG93" i="56"/>
  <c r="BD93" i="56" s="1" a="1"/>
  <c r="BD93" i="56" s="1"/>
  <c r="BF93" i="56"/>
  <c r="BC93" i="56" s="1" a="1"/>
  <c r="BC93" i="56" s="1"/>
  <c r="BB93" i="56"/>
  <c r="BA93" i="56"/>
  <c r="AZ93" i="56"/>
  <c r="AY93" i="56"/>
  <c r="AX93" i="56"/>
  <c r="AW93" i="56"/>
  <c r="AV93" i="56"/>
  <c r="AU93" i="56"/>
  <c r="AT93" i="56"/>
  <c r="AS93" i="56"/>
  <c r="AR93" i="56"/>
  <c r="AQ93" i="56"/>
  <c r="AP93" i="56"/>
  <c r="AO93" i="56"/>
  <c r="AN93" i="56"/>
  <c r="AM93" i="56"/>
  <c r="AL93" i="56"/>
  <c r="AK93" i="56"/>
  <c r="BW92" i="56"/>
  <c r="BW92" i="56" a="1"/>
  <c r="BV92" i="56" a="1"/>
  <c r="BV92" i="56" s="1"/>
  <c r="BU92" i="56"/>
  <c r="BU92" i="56" a="1"/>
  <c r="BT92" i="56" a="1"/>
  <c r="BT92" i="56" s="1"/>
  <c r="BS92" i="56"/>
  <c r="BS92" i="56" a="1"/>
  <c r="BR92" i="56" a="1"/>
  <c r="BR92" i="56" s="1"/>
  <c r="BQ92" i="56"/>
  <c r="BQ92" i="56" a="1"/>
  <c r="BP92" i="56" a="1"/>
  <c r="BP92" i="56" s="1"/>
  <c r="BO92" i="56"/>
  <c r="BO92" i="56" a="1"/>
  <c r="BN92" i="56" a="1"/>
  <c r="BN92" i="56" s="1"/>
  <c r="BM92" i="56"/>
  <c r="BM92" i="56" a="1"/>
  <c r="BL92" i="56" a="1"/>
  <c r="BL92" i="56" s="1"/>
  <c r="BK92" i="56"/>
  <c r="BK92" i="56" a="1"/>
  <c r="BJ92" i="56" a="1"/>
  <c r="BJ92" i="56" s="1"/>
  <c r="BI92" i="56"/>
  <c r="BI92" i="56" a="1"/>
  <c r="BH92" i="56"/>
  <c r="BG92" i="56"/>
  <c r="BF92" i="56"/>
  <c r="BC92" i="56" s="1" a="1"/>
  <c r="BC92" i="56" s="1"/>
  <c r="BE92" i="56" a="1"/>
  <c r="BE92" i="56" s="1"/>
  <c r="BD92" i="56" a="1"/>
  <c r="BD92" i="56" s="1"/>
  <c r="BB92" i="56"/>
  <c r="BA92" i="56"/>
  <c r="AZ92" i="56"/>
  <c r="AY92" i="56"/>
  <c r="AX92" i="56"/>
  <c r="AW92" i="56"/>
  <c r="AV92" i="56"/>
  <c r="AU92" i="56"/>
  <c r="AT92" i="56"/>
  <c r="AS92" i="56"/>
  <c r="AR92" i="56"/>
  <c r="AQ92" i="56"/>
  <c r="AP92" i="56"/>
  <c r="AP99" i="56" s="1"/>
  <c r="AO92" i="56"/>
  <c r="AN92" i="56"/>
  <c r="AM92" i="56"/>
  <c r="AL92" i="56"/>
  <c r="AK92" i="56"/>
  <c r="BW91" i="56"/>
  <c r="BW91" i="56" a="1"/>
  <c r="BV91" i="56" a="1"/>
  <c r="BV91" i="56" s="1"/>
  <c r="BU91" i="56"/>
  <c r="BU91" i="56" a="1"/>
  <c r="BT91" i="56" a="1"/>
  <c r="BT91" i="56" s="1"/>
  <c r="BS91" i="56"/>
  <c r="BS91" i="56" a="1"/>
  <c r="BR91" i="56" a="1"/>
  <c r="BR91" i="56" s="1"/>
  <c r="BQ91" i="56"/>
  <c r="BQ91" i="56" a="1"/>
  <c r="BP91" i="56" a="1"/>
  <c r="BP91" i="56" s="1"/>
  <c r="BO91" i="56"/>
  <c r="BO91" i="56" a="1"/>
  <c r="BN91" i="56" a="1"/>
  <c r="BN91" i="56" s="1"/>
  <c r="BM91" i="56"/>
  <c r="BM91" i="56" a="1"/>
  <c r="BL91" i="56" a="1"/>
  <c r="BL91" i="56" s="1"/>
  <c r="BK91" i="56"/>
  <c r="BK91" i="56" a="1"/>
  <c r="BJ91" i="56" a="1"/>
  <c r="BJ91" i="56" s="1"/>
  <c r="BI91" i="56"/>
  <c r="BI91" i="56" a="1"/>
  <c r="BH91" i="56"/>
  <c r="BE91" i="56" s="1" a="1"/>
  <c r="BE91" i="56" s="1"/>
  <c r="BG91" i="56"/>
  <c r="BD91" i="56" s="1" a="1"/>
  <c r="BD91" i="56" s="1"/>
  <c r="BF91" i="56"/>
  <c r="BC91" i="56" s="1" a="1"/>
  <c r="BC91" i="56" s="1"/>
  <c r="BE99" i="56" s="1"/>
  <c r="BB91" i="56"/>
  <c r="BB99" i="56" s="1"/>
  <c r="BA91" i="56"/>
  <c r="AZ91" i="56"/>
  <c r="AZ99" i="56" s="1"/>
  <c r="AY91" i="56"/>
  <c r="AY99" i="56" s="1"/>
  <c r="AX91" i="56"/>
  <c r="AW91" i="56"/>
  <c r="AW99" i="56" s="1"/>
  <c r="AV91" i="56"/>
  <c r="AV99" i="56" s="1"/>
  <c r="AU91" i="56"/>
  <c r="AT91" i="56"/>
  <c r="AT99" i="56" s="1"/>
  <c r="AS91" i="56"/>
  <c r="AS99" i="56" s="1"/>
  <c r="AR91" i="56"/>
  <c r="AQ91" i="56"/>
  <c r="AQ99" i="56" s="1"/>
  <c r="AP91" i="56"/>
  <c r="AO91" i="56"/>
  <c r="AN91" i="56"/>
  <c r="AN99" i="56" s="1"/>
  <c r="AM91" i="56"/>
  <c r="AM99" i="56" s="1"/>
  <c r="AL100" i="56" s="1"/>
  <c r="AL91" i="56"/>
  <c r="AK91" i="56"/>
  <c r="AK99" i="56" s="1"/>
  <c r="AD68" i="56"/>
  <c r="AC68" i="56"/>
  <c r="AB68" i="56"/>
  <c r="AA68" i="56"/>
  <c r="Z68" i="56"/>
  <c r="Y68" i="56"/>
  <c r="X68" i="56"/>
  <c r="W68" i="56"/>
  <c r="V68" i="56"/>
  <c r="U68" i="56"/>
  <c r="T68" i="56"/>
  <c r="S68" i="56"/>
  <c r="R68" i="56"/>
  <c r="Q68" i="56"/>
  <c r="P68" i="56"/>
  <c r="O68" i="56"/>
  <c r="N68" i="56"/>
  <c r="M68" i="56"/>
  <c r="L68" i="56"/>
  <c r="K68" i="56"/>
  <c r="J68" i="56"/>
  <c r="I68" i="56"/>
  <c r="H68" i="56"/>
  <c r="G68" i="56"/>
  <c r="BH67" i="56"/>
  <c r="BG67" i="56"/>
  <c r="BF67" i="56"/>
  <c r="BE67" i="56"/>
  <c r="BD67" i="56"/>
  <c r="BC67" i="56"/>
  <c r="BB67" i="56"/>
  <c r="BA67" i="56"/>
  <c r="AZ67" i="56"/>
  <c r="AY67" i="56"/>
  <c r="AX67" i="56"/>
  <c r="AW67" i="56"/>
  <c r="AV67" i="56"/>
  <c r="AU67" i="56"/>
  <c r="AT67" i="56"/>
  <c r="AS67" i="56"/>
  <c r="AR67" i="56"/>
  <c r="AQ67" i="56"/>
  <c r="AP67" i="56"/>
  <c r="AO67" i="56"/>
  <c r="AN67" i="56"/>
  <c r="AM67" i="56"/>
  <c r="AL67" i="56"/>
  <c r="AK67" i="56"/>
  <c r="BH66" i="56"/>
  <c r="BG66" i="56"/>
  <c r="BF66" i="56"/>
  <c r="BE66" i="56"/>
  <c r="BD66" i="56"/>
  <c r="BC66" i="56"/>
  <c r="BB66" i="56"/>
  <c r="BA66" i="56"/>
  <c r="AZ66" i="56"/>
  <c r="AY66" i="56"/>
  <c r="AX66" i="56"/>
  <c r="AW66" i="56"/>
  <c r="AV66" i="56"/>
  <c r="AU66" i="56"/>
  <c r="AT66" i="56"/>
  <c r="AS66" i="56"/>
  <c r="AR66" i="56"/>
  <c r="AQ66" i="56"/>
  <c r="AP66" i="56"/>
  <c r="AO66" i="56"/>
  <c r="AN66" i="56"/>
  <c r="AM66" i="56"/>
  <c r="AL66" i="56"/>
  <c r="AK66" i="56"/>
  <c r="BH65" i="56"/>
  <c r="BG65" i="56"/>
  <c r="BF65" i="56"/>
  <c r="BE65" i="56"/>
  <c r="BD65" i="56"/>
  <c r="BC65" i="56"/>
  <c r="BB65" i="56"/>
  <c r="BA65" i="56"/>
  <c r="AZ65" i="56"/>
  <c r="AY65" i="56"/>
  <c r="AX65" i="56"/>
  <c r="AW65" i="56"/>
  <c r="AV65" i="56"/>
  <c r="AU65" i="56"/>
  <c r="AT65" i="56"/>
  <c r="AS65" i="56"/>
  <c r="AR65" i="56"/>
  <c r="AQ65" i="56"/>
  <c r="AP65" i="56"/>
  <c r="AO65" i="56"/>
  <c r="AN65" i="56"/>
  <c r="AM65" i="56"/>
  <c r="AL65" i="56"/>
  <c r="AK65" i="56"/>
  <c r="BH64" i="56"/>
  <c r="BG64" i="56"/>
  <c r="BF64" i="56"/>
  <c r="BE64" i="56"/>
  <c r="BD64" i="56"/>
  <c r="BC64" i="56"/>
  <c r="BB64" i="56"/>
  <c r="BA64" i="56"/>
  <c r="AZ64" i="56"/>
  <c r="AY64" i="56"/>
  <c r="AX64" i="56"/>
  <c r="AW64" i="56"/>
  <c r="AV64" i="56"/>
  <c r="AU64" i="56"/>
  <c r="AT64" i="56"/>
  <c r="AS64" i="56"/>
  <c r="AS68" i="56" s="1"/>
  <c r="AR64" i="56"/>
  <c r="AQ64" i="56"/>
  <c r="AP64" i="56"/>
  <c r="AO64" i="56"/>
  <c r="AN64" i="56"/>
  <c r="AM64" i="56"/>
  <c r="AL64" i="56"/>
  <c r="AK64" i="56"/>
  <c r="BH63" i="56"/>
  <c r="BG63" i="56"/>
  <c r="BF63" i="56"/>
  <c r="BE63" i="56"/>
  <c r="BD63" i="56"/>
  <c r="BC63" i="56"/>
  <c r="BB63" i="56"/>
  <c r="BA63" i="56"/>
  <c r="AZ63" i="56"/>
  <c r="AY63" i="56"/>
  <c r="AX63" i="56"/>
  <c r="AW63" i="56"/>
  <c r="AV63" i="56"/>
  <c r="AU63" i="56"/>
  <c r="AT63" i="56"/>
  <c r="AS63" i="56"/>
  <c r="AR63" i="56"/>
  <c r="AQ63" i="56"/>
  <c r="AP63" i="56"/>
  <c r="AO63" i="56"/>
  <c r="AN63" i="56"/>
  <c r="AM63" i="56"/>
  <c r="AL63" i="56"/>
  <c r="AK63" i="56"/>
  <c r="BH62" i="56"/>
  <c r="BG62" i="56"/>
  <c r="BF62" i="56"/>
  <c r="BE62" i="56"/>
  <c r="BD62" i="56"/>
  <c r="BC62" i="56"/>
  <c r="BB62" i="56"/>
  <c r="BA62" i="56"/>
  <c r="AZ62" i="56"/>
  <c r="AY62" i="56"/>
  <c r="AX62" i="56"/>
  <c r="AW62" i="56"/>
  <c r="AV62" i="56"/>
  <c r="AU62" i="56"/>
  <c r="AT62" i="56"/>
  <c r="AS62" i="56"/>
  <c r="AR62" i="56"/>
  <c r="AQ62" i="56"/>
  <c r="AP62" i="56"/>
  <c r="AO62" i="56"/>
  <c r="AN62" i="56"/>
  <c r="AM62" i="56"/>
  <c r="AL62" i="56"/>
  <c r="AK62" i="56"/>
  <c r="BH61" i="56"/>
  <c r="BG61" i="56"/>
  <c r="BF61" i="56"/>
  <c r="BE61" i="56"/>
  <c r="BD61" i="56"/>
  <c r="BC61" i="56"/>
  <c r="BB61" i="56"/>
  <c r="BA61" i="56"/>
  <c r="AZ61" i="56"/>
  <c r="AY61" i="56"/>
  <c r="AX61" i="56"/>
  <c r="AW61" i="56"/>
  <c r="AV61" i="56"/>
  <c r="AU61" i="56"/>
  <c r="AT61" i="56"/>
  <c r="AS61" i="56"/>
  <c r="AR61" i="56"/>
  <c r="AQ61" i="56"/>
  <c r="AP61" i="56"/>
  <c r="AO61" i="56"/>
  <c r="AN61" i="56"/>
  <c r="AM61" i="56"/>
  <c r="AL61" i="56"/>
  <c r="AK61" i="56"/>
  <c r="BH60" i="56"/>
  <c r="BH68" i="56" s="1"/>
  <c r="BG60" i="56"/>
  <c r="BF60" i="56"/>
  <c r="BF68" i="56" s="1"/>
  <c r="BE60" i="56"/>
  <c r="BE68" i="56" s="1"/>
  <c r="BD60" i="56"/>
  <c r="BC60" i="56"/>
  <c r="BC68" i="56" s="1"/>
  <c r="BB60" i="56"/>
  <c r="BB68" i="56" s="1"/>
  <c r="BA60" i="56"/>
  <c r="AZ60" i="56"/>
  <c r="AZ68" i="56" s="1"/>
  <c r="AY60" i="56"/>
  <c r="AY68" i="56" s="1"/>
  <c r="AX60" i="56"/>
  <c r="AW60" i="56"/>
  <c r="AW68" i="56" s="1"/>
  <c r="AV60" i="56"/>
  <c r="AV68" i="56" s="1"/>
  <c r="AU60" i="56"/>
  <c r="AT60" i="56"/>
  <c r="AT68" i="56" s="1"/>
  <c r="AS60" i="56"/>
  <c r="AR60" i="56"/>
  <c r="AQ60" i="56"/>
  <c r="AQ68" i="56" s="1"/>
  <c r="AP60" i="56"/>
  <c r="AP68" i="56" s="1"/>
  <c r="AO60" i="56"/>
  <c r="AN60" i="56"/>
  <c r="AN68" i="56" s="1"/>
  <c r="AM60" i="56"/>
  <c r="AM68" i="56" s="1"/>
  <c r="AL60" i="56"/>
  <c r="AK60" i="56"/>
  <c r="AK68" i="56" s="1"/>
  <c r="AC42" i="56"/>
  <c r="AA42" i="56"/>
  <c r="Y42" i="56"/>
  <c r="W42" i="56"/>
  <c r="U42" i="56"/>
  <c r="S42" i="56"/>
  <c r="AV41" i="56"/>
  <c r="AU41" i="56"/>
  <c r="AT41" i="56"/>
  <c r="AS41" i="56"/>
  <c r="AR41" i="56"/>
  <c r="AQ41" i="56"/>
  <c r="AP41" i="56"/>
  <c r="AP41" i="56" a="1"/>
  <c r="AO41" i="56"/>
  <c r="AO41" i="56" a="1"/>
  <c r="AN41" i="56" a="1"/>
  <c r="AN41" i="56" s="1"/>
  <c r="AF41" i="56"/>
  <c r="AV40" i="56"/>
  <c r="AU40" i="56"/>
  <c r="AT40" i="56"/>
  <c r="AS40" i="56"/>
  <c r="AR40" i="56"/>
  <c r="AQ40" i="56"/>
  <c r="AP40" i="56" a="1"/>
  <c r="AP40" i="56" s="1"/>
  <c r="AO40" i="56" a="1"/>
  <c r="AO40" i="56" s="1"/>
  <c r="AN40" i="56" a="1"/>
  <c r="AN40" i="56" s="1"/>
  <c r="AF40" i="56"/>
  <c r="AV39" i="56"/>
  <c r="AU39" i="56"/>
  <c r="AT39" i="56"/>
  <c r="AS39" i="56"/>
  <c r="AR39" i="56"/>
  <c r="AQ39" i="56"/>
  <c r="AP39" i="56"/>
  <c r="AP39" i="56" a="1"/>
  <c r="AO39" i="56"/>
  <c r="AO39" i="56" a="1"/>
  <c r="AN39" i="56"/>
  <c r="AN39" i="56" a="1"/>
  <c r="AF39" i="56"/>
  <c r="AV38" i="56"/>
  <c r="AU38" i="56"/>
  <c r="AT38" i="56"/>
  <c r="AS38" i="56"/>
  <c r="AR38" i="56"/>
  <c r="AQ38" i="56"/>
  <c r="AP38" i="56"/>
  <c r="AP38" i="56" a="1"/>
  <c r="AO38" i="56" a="1"/>
  <c r="AO38" i="56" s="1"/>
  <c r="AN38" i="56" a="1"/>
  <c r="AN38" i="56" s="1"/>
  <c r="AF38" i="56"/>
  <c r="AV37" i="56"/>
  <c r="AU37" i="56"/>
  <c r="AT37" i="56"/>
  <c r="AS37" i="56"/>
  <c r="AR37" i="56"/>
  <c r="AQ37" i="56"/>
  <c r="AP37" i="56" a="1"/>
  <c r="AP37" i="56" s="1"/>
  <c r="AO37" i="56"/>
  <c r="AO37" i="56" a="1"/>
  <c r="AN37" i="56"/>
  <c r="AN37" i="56" a="1"/>
  <c r="AF37" i="56"/>
  <c r="AV36" i="56"/>
  <c r="AU36" i="56"/>
  <c r="AT36" i="56"/>
  <c r="AS36" i="56"/>
  <c r="AR36" i="56"/>
  <c r="AQ36" i="56"/>
  <c r="AP36" i="56" a="1"/>
  <c r="AP36" i="56" s="1"/>
  <c r="AO36" i="56"/>
  <c r="AO36" i="56" a="1"/>
  <c r="AN36" i="56" a="1"/>
  <c r="AN36" i="56" s="1"/>
  <c r="AF36" i="56"/>
  <c r="AV35" i="56"/>
  <c r="AU35" i="56"/>
  <c r="AT35" i="56"/>
  <c r="AS35" i="56"/>
  <c r="AR35" i="56"/>
  <c r="AQ35" i="56"/>
  <c r="AP35" i="56"/>
  <c r="AP35" i="56" a="1"/>
  <c r="AO35" i="56" a="1"/>
  <c r="AO35" i="56" s="1"/>
  <c r="AN35" i="56"/>
  <c r="AN35" i="56" a="1"/>
  <c r="AF35" i="56"/>
  <c r="AV34" i="56"/>
  <c r="AV42" i="56" s="1"/>
  <c r="AU34" i="56"/>
  <c r="AT34" i="56"/>
  <c r="AT42" i="56" s="1"/>
  <c r="AS34" i="56"/>
  <c r="AS42" i="56" s="1"/>
  <c r="AR34" i="56"/>
  <c r="AQ34" i="56"/>
  <c r="AQ42" i="56" s="1"/>
  <c r="AP34" i="56" a="1"/>
  <c r="AP34" i="56" s="1"/>
  <c r="AO34" i="56" a="1"/>
  <c r="AO34" i="56" s="1"/>
  <c r="AN34" i="56" a="1"/>
  <c r="AN34" i="56" s="1"/>
  <c r="AH42" i="56"/>
  <c r="AF34" i="56"/>
  <c r="AQ796" i="49" a="1"/>
  <c r="AQ796" i="49" s="1"/>
  <c r="AP796" i="49" a="1"/>
  <c r="AP796" i="49" s="1"/>
  <c r="AO796" i="49" a="1"/>
  <c r="AO796" i="49" s="1"/>
  <c r="AN796" i="49" a="1"/>
  <c r="AN796" i="49" s="1"/>
  <c r="AM796" i="49" a="1"/>
  <c r="AM796" i="49" s="1"/>
  <c r="AL796" i="49" a="1"/>
  <c r="AL796" i="49" s="1"/>
  <c r="AK805" i="49"/>
  <c r="AJ805" i="49"/>
  <c r="AI805" i="49"/>
  <c r="AK804" i="49"/>
  <c r="AJ804" i="49"/>
  <c r="AI804" i="49"/>
  <c r="AK803" i="49"/>
  <c r="AJ803" i="49"/>
  <c r="AI803" i="49"/>
  <c r="AK802" i="49"/>
  <c r="AJ802" i="49"/>
  <c r="AI802" i="49"/>
  <c r="AK801" i="49"/>
  <c r="AJ801" i="49"/>
  <c r="AI801" i="49"/>
  <c r="AK800" i="49"/>
  <c r="AJ800" i="49"/>
  <c r="AI800" i="49"/>
  <c r="AK799" i="49"/>
  <c r="AJ799" i="49"/>
  <c r="AI799" i="49"/>
  <c r="AK798" i="49"/>
  <c r="AJ798" i="49"/>
  <c r="AI798" i="49"/>
  <c r="AK797" i="49"/>
  <c r="AJ797" i="49"/>
  <c r="AI797" i="49"/>
  <c r="AK796" i="49"/>
  <c r="AK806" i="49" s="1"/>
  <c r="AJ796" i="49"/>
  <c r="AI796" i="49"/>
  <c r="AU31" i="61" a="1"/>
  <c r="AQ26" i="61" a="1"/>
  <c r="AQ27" i="61" a="1"/>
  <c r="AR27" i="61" a="1"/>
  <c r="AU29" i="61" a="1"/>
  <c r="AU30" i="61" a="1"/>
  <c r="AQ31" i="61" a="1"/>
  <c r="AQ28" i="61" a="1"/>
  <c r="AR31" i="61" a="1"/>
  <c r="AQ24" i="61" a="1"/>
  <c r="AU24" i="61" a="1"/>
  <c r="AR28" i="61" a="1"/>
  <c r="AQ29" i="61" a="1"/>
  <c r="AR29" i="61" a="1"/>
  <c r="AU27" i="61" a="1"/>
  <c r="AU28" i="61" a="1"/>
  <c r="AO23" i="34" a="1"/>
  <c r="AQ30" i="61" a="1"/>
  <c r="AS23" i="34" a="1"/>
  <c r="AU25" i="61" a="1"/>
  <c r="AR26" i="61" a="1"/>
  <c r="AU26" i="61" a="1"/>
  <c r="AR25" i="61" a="1"/>
  <c r="AQ25" i="61" a="1"/>
  <c r="AR30" i="61" a="1"/>
  <c r="AN23" i="34" l="1"/>
  <c r="B28" i="34" s="1"/>
  <c r="AM23" i="34"/>
  <c r="B27" i="34" s="1"/>
  <c r="AP181" i="56"/>
  <c r="AP189" i="56" s="1"/>
  <c r="AY181" i="56"/>
  <c r="AY189" i="56" s="1"/>
  <c r="AM181" i="56"/>
  <c r="AM189" i="56" s="1"/>
  <c r="AT204" i="56"/>
  <c r="AY196" i="56"/>
  <c r="AY204" i="56" s="1"/>
  <c r="BC204" i="56"/>
  <c r="AF189" i="56"/>
  <c r="BE196" i="56"/>
  <c r="BE204" i="56" s="1"/>
  <c r="BB196" i="56"/>
  <c r="BB204" i="56" s="1"/>
  <c r="AS196" i="56"/>
  <c r="AS204" i="56" s="1"/>
  <c r="AP196" i="56"/>
  <c r="AP204" i="56" s="1"/>
  <c r="AM196" i="56"/>
  <c r="AM204" i="56" s="1"/>
  <c r="AT189" i="56"/>
  <c r="AV189" i="56"/>
  <c r="AS181" i="56"/>
  <c r="AS189" i="56" s="1"/>
  <c r="AP158" i="56"/>
  <c r="AM385" i="56"/>
  <c r="AF235" i="56"/>
  <c r="B259" i="56" s="1"/>
  <c r="AF42" i="56"/>
  <c r="AG473" i="56"/>
  <c r="AG429" i="56"/>
  <c r="AF384" i="56"/>
  <c r="B408" i="56" s="1"/>
  <c r="AG384" i="56"/>
  <c r="B405" i="56" s="1"/>
  <c r="AG349" i="56"/>
  <c r="AG280" i="56"/>
  <c r="AG189" i="56"/>
  <c r="B210" i="56" s="1"/>
  <c r="CC1856" i="49"/>
  <c r="AG235" i="56"/>
  <c r="B256" i="56" s="1"/>
  <c r="AG42" i="56"/>
  <c r="AG517" i="56"/>
  <c r="AG158" i="56"/>
  <c r="B162" i="56" s="1"/>
  <c r="AG68" i="56"/>
  <c r="AG99" i="56"/>
  <c r="AP1763" i="49"/>
  <c r="AN1763" i="49"/>
  <c r="AL1763" i="49"/>
  <c r="BN1762" i="49"/>
  <c r="AN1751" i="49"/>
  <c r="AL1751" i="49"/>
  <c r="AP1751" i="49"/>
  <c r="AL1764" i="49"/>
  <c r="AV1695" i="49"/>
  <c r="AL1648" i="49"/>
  <c r="AL1696" i="49" s="1"/>
  <c r="BC1655" i="49"/>
  <c r="AP1622" i="49"/>
  <c r="AN1622" i="49"/>
  <c r="AL1622" i="49"/>
  <c r="AL1264" i="49"/>
  <c r="AP1264" i="49"/>
  <c r="AN1264" i="49"/>
  <c r="AL1092" i="49"/>
  <c r="AN1265" i="49"/>
  <c r="AP1092" i="49"/>
  <c r="AN1092" i="49"/>
  <c r="AO32" i="61"/>
  <c r="B35" i="61" s="1"/>
  <c r="AO23" i="34"/>
  <c r="AQ23" i="34" s="1"/>
  <c r="AR23" i="34"/>
  <c r="AS23" i="34"/>
  <c r="AT23" i="34" s="1"/>
  <c r="B30" i="34" s="1"/>
  <c r="AZ897" i="49" a="1"/>
  <c r="AZ897" i="49" s="1"/>
  <c r="AR25" i="61"/>
  <c r="AT25" i="61" s="1"/>
  <c r="AU26" i="61"/>
  <c r="AV26" i="61" s="1"/>
  <c r="AQ28" i="61"/>
  <c r="AS28" i="61" s="1"/>
  <c r="AR29" i="61"/>
  <c r="AT29" i="61" s="1"/>
  <c r="AU30" i="61"/>
  <c r="AV30" i="61" s="1"/>
  <c r="AU25" i="61"/>
  <c r="AV25" i="61" s="1"/>
  <c r="AQ27" i="61"/>
  <c r="AS27" i="61" s="1"/>
  <c r="AR28" i="61"/>
  <c r="AT28" i="61" s="1"/>
  <c r="AU29" i="61"/>
  <c r="AV29" i="61" s="1"/>
  <c r="AQ31" i="61"/>
  <c r="AS31" i="61" s="1"/>
  <c r="AQ26" i="61"/>
  <c r="AS26" i="61" s="1"/>
  <c r="AR27" i="61"/>
  <c r="AT27" i="61" s="1"/>
  <c r="AU28" i="61"/>
  <c r="AV28" i="61" s="1"/>
  <c r="AQ30" i="61"/>
  <c r="AS30" i="61" s="1"/>
  <c r="AR31" i="61"/>
  <c r="AT31" i="61" s="1"/>
  <c r="AQ25" i="61"/>
  <c r="AS25" i="61" s="1"/>
  <c r="AR26" i="61"/>
  <c r="AT26" i="61" s="1"/>
  <c r="AU27" i="61"/>
  <c r="AV27" i="61" s="1"/>
  <c r="AQ29" i="61"/>
  <c r="AS29" i="61" s="1"/>
  <c r="AR30" i="61"/>
  <c r="AT30" i="61" s="1"/>
  <c r="AU31" i="61"/>
  <c r="AV31" i="61" s="1"/>
  <c r="AQ24" i="61"/>
  <c r="AS24" i="61" s="1"/>
  <c r="AT24" i="61"/>
  <c r="AU24" i="61"/>
  <c r="AV24" i="61" s="1"/>
  <c r="AG299" i="57"/>
  <c r="B303" i="57" s="1"/>
  <c r="AJ299" i="57"/>
  <c r="B305" i="57" s="1"/>
  <c r="AG267" i="57"/>
  <c r="B273" i="57" s="1"/>
  <c r="AN898" i="49"/>
  <c r="AL898" i="49"/>
  <c r="AL909" i="49" s="1"/>
  <c r="AN907" i="49"/>
  <c r="AG230" i="57"/>
  <c r="B244" i="57" s="1"/>
  <c r="AK230" i="57"/>
  <c r="B247" i="57" s="1"/>
  <c r="AI191" i="57"/>
  <c r="AK191" i="57"/>
  <c r="AH191" i="57"/>
  <c r="AG191" i="57"/>
  <c r="B207" i="57" s="1"/>
  <c r="AI164" i="57"/>
  <c r="B170" i="57" s="1"/>
  <c r="BN517" i="56"/>
  <c r="AN532" i="56"/>
  <c r="BN531" i="56"/>
  <c r="BN532" i="56" s="1"/>
  <c r="AL532" i="56"/>
  <c r="AN518" i="56"/>
  <c r="BB517" i="56"/>
  <c r="AL518" i="56"/>
  <c r="BB473" i="56"/>
  <c r="AL474" i="56"/>
  <c r="AL490" i="56"/>
  <c r="AN474" i="56"/>
  <c r="BN473" i="56"/>
  <c r="BN487" i="56"/>
  <c r="BN488" i="56" s="1"/>
  <c r="AN488" i="56"/>
  <c r="AG164" i="57"/>
  <c r="B168" i="57" s="1"/>
  <c r="BN429" i="56"/>
  <c r="AL430" i="56"/>
  <c r="AL444" i="56"/>
  <c r="AL446" i="56" s="1"/>
  <c r="BT443" i="56"/>
  <c r="AP431" i="56"/>
  <c r="AN431" i="56"/>
  <c r="AL431" i="56"/>
  <c r="AN446" i="56"/>
  <c r="AP445" i="56"/>
  <c r="AN445" i="56"/>
  <c r="AL445" i="56"/>
  <c r="BB429" i="56"/>
  <c r="AG127" i="57"/>
  <c r="B133" i="57" s="1"/>
  <c r="AN400" i="56"/>
  <c r="BB384" i="56"/>
  <c r="AL402" i="56"/>
  <c r="CC399" i="56"/>
  <c r="CC400" i="56" s="1"/>
  <c r="AN324" i="56"/>
  <c r="BK323" i="56"/>
  <c r="AL324" i="56"/>
  <c r="CF323" i="56"/>
  <c r="BK280" i="56"/>
  <c r="AL281" i="56"/>
  <c r="AL297" i="56" s="1"/>
  <c r="AP282" i="56"/>
  <c r="AN282" i="56"/>
  <c r="AL282" i="56"/>
  <c r="CF280" i="56"/>
  <c r="AN295" i="56"/>
  <c r="CF294" i="56"/>
  <c r="BT250" i="56"/>
  <c r="AY235" i="56"/>
  <c r="AN236" i="56"/>
  <c r="AL236" i="56"/>
  <c r="AL253" i="56" s="1"/>
  <c r="AN251" i="56"/>
  <c r="AN205" i="56"/>
  <c r="AN190" i="56"/>
  <c r="BZ204" i="56"/>
  <c r="B215" i="56" s="1"/>
  <c r="BB189" i="56"/>
  <c r="BE189" i="56"/>
  <c r="AL159" i="56"/>
  <c r="B165" i="56" s="1"/>
  <c r="BB158" i="56"/>
  <c r="B167" i="56" s="1"/>
  <c r="AN159" i="56"/>
  <c r="AV158" i="56"/>
  <c r="AL130" i="56"/>
  <c r="AL132" i="56" s="1"/>
  <c r="AN131" i="56"/>
  <c r="AP131" i="56"/>
  <c r="AL131" i="56"/>
  <c r="BT129" i="56"/>
  <c r="AN100" i="56"/>
  <c r="AN116" i="56"/>
  <c r="AL116" i="56"/>
  <c r="AP116" i="56"/>
  <c r="AL115" i="56"/>
  <c r="AN69" i="56"/>
  <c r="AL69" i="56"/>
  <c r="AP42" i="56"/>
  <c r="AM42" i="56"/>
  <c r="B787" i="49"/>
  <c r="B786" i="49"/>
  <c r="B785" i="49"/>
  <c r="B784" i="49"/>
  <c r="B783" i="49"/>
  <c r="D772" i="49"/>
  <c r="D773" i="49"/>
  <c r="D774" i="49"/>
  <c r="D775" i="49"/>
  <c r="D776" i="49"/>
  <c r="D777" i="49"/>
  <c r="D778" i="49"/>
  <c r="D771" i="49"/>
  <c r="AP781" i="49"/>
  <c r="AN781" i="49"/>
  <c r="AL781" i="49"/>
  <c r="BF772" i="49"/>
  <c r="BF773" i="49"/>
  <c r="BF774" i="49"/>
  <c r="BF775" i="49"/>
  <c r="BF776" i="49"/>
  <c r="BF777" i="49"/>
  <c r="BF778" i="49"/>
  <c r="AK772" i="49"/>
  <c r="AL772" i="49"/>
  <c r="AM772" i="49"/>
  <c r="AN772" i="49"/>
  <c r="AO772" i="49"/>
  <c r="AP772" i="49"/>
  <c r="AQ772" i="49"/>
  <c r="AR772" i="49"/>
  <c r="AS772" i="49"/>
  <c r="AT772" i="49"/>
  <c r="AU772" i="49"/>
  <c r="AV772" i="49"/>
  <c r="AK773" i="49"/>
  <c r="AL773" i="49"/>
  <c r="AM773" i="49"/>
  <c r="AN773" i="49"/>
  <c r="AO773" i="49"/>
  <c r="AP773" i="49"/>
  <c r="AQ773" i="49"/>
  <c r="AR773" i="49"/>
  <c r="AS773" i="49"/>
  <c r="AT773" i="49"/>
  <c r="AU773" i="49"/>
  <c r="AV773" i="49"/>
  <c r="AK774" i="49"/>
  <c r="AL774" i="49"/>
  <c r="AM774" i="49"/>
  <c r="AN774" i="49"/>
  <c r="AO774" i="49"/>
  <c r="AP774" i="49"/>
  <c r="AQ774" i="49"/>
  <c r="AR774" i="49"/>
  <c r="AS774" i="49"/>
  <c r="AT774" i="49"/>
  <c r="AU774" i="49"/>
  <c r="AV774" i="49"/>
  <c r="AK775" i="49"/>
  <c r="AL775" i="49"/>
  <c r="AM775" i="49"/>
  <c r="AN775" i="49"/>
  <c r="AO775" i="49"/>
  <c r="AP775" i="49"/>
  <c r="AQ775" i="49"/>
  <c r="AR775" i="49"/>
  <c r="AS775" i="49"/>
  <c r="AT775" i="49"/>
  <c r="AU775" i="49"/>
  <c r="AV775" i="49"/>
  <c r="AK776" i="49"/>
  <c r="AL776" i="49"/>
  <c r="AM776" i="49"/>
  <c r="AN776" i="49"/>
  <c r="AO776" i="49"/>
  <c r="AP776" i="49"/>
  <c r="AQ776" i="49"/>
  <c r="AR776" i="49"/>
  <c r="AS776" i="49"/>
  <c r="AT776" i="49"/>
  <c r="AU776" i="49"/>
  <c r="AV776" i="49"/>
  <c r="AK777" i="49"/>
  <c r="AL777" i="49"/>
  <c r="AM777" i="49"/>
  <c r="AN777" i="49"/>
  <c r="AO777" i="49"/>
  <c r="AP777" i="49"/>
  <c r="AQ777" i="49"/>
  <c r="AR777" i="49"/>
  <c r="AS777" i="49"/>
  <c r="AT777" i="49"/>
  <c r="AU777" i="49"/>
  <c r="AV777" i="49"/>
  <c r="AK778" i="49"/>
  <c r="AL778" i="49"/>
  <c r="AM778" i="49"/>
  <c r="AN778" i="49"/>
  <c r="AO778" i="49"/>
  <c r="AP778" i="49"/>
  <c r="AQ778" i="49"/>
  <c r="AR778" i="49"/>
  <c r="AS778" i="49"/>
  <c r="AT778" i="49"/>
  <c r="AU778" i="49"/>
  <c r="AV778" i="49"/>
  <c r="AN771" i="49"/>
  <c r="AO771" i="49"/>
  <c r="AP771" i="49"/>
  <c r="AQ771" i="49"/>
  <c r="AR771" i="49"/>
  <c r="AS771" i="49"/>
  <c r="AT771" i="49"/>
  <c r="AU771" i="49"/>
  <c r="AV771" i="49"/>
  <c r="AM771" i="49"/>
  <c r="AL771" i="49"/>
  <c r="AK771" i="49"/>
  <c r="AH772" i="49"/>
  <c r="AH773" i="49"/>
  <c r="AH774" i="49"/>
  <c r="AH775" i="49"/>
  <c r="AH776" i="49"/>
  <c r="AH777" i="49"/>
  <c r="AH778" i="49"/>
  <c r="AG772" i="49"/>
  <c r="AG773" i="49"/>
  <c r="AG774" i="49"/>
  <c r="AG775" i="49"/>
  <c r="AG776" i="49"/>
  <c r="AG777" i="49"/>
  <c r="AG778" i="49"/>
  <c r="BF771" i="49"/>
  <c r="AH771" i="49"/>
  <c r="AG771" i="49"/>
  <c r="B765" i="49"/>
  <c r="B764" i="49"/>
  <c r="B763" i="49"/>
  <c r="B762" i="49"/>
  <c r="B761" i="49"/>
  <c r="B760" i="49"/>
  <c r="AQ747" i="49"/>
  <c r="AL747" i="49" a="1"/>
  <c r="AL747" i="49" s="1"/>
  <c r="AM747" i="49" a="1"/>
  <c r="AM747" i="49" s="1"/>
  <c r="AN747" i="49" a="1"/>
  <c r="AN747" i="49" s="1"/>
  <c r="AL748" i="49" a="1"/>
  <c r="AL748" i="49"/>
  <c r="AM748" i="49" a="1"/>
  <c r="AM748" i="49" s="1"/>
  <c r="AN748" i="49" a="1"/>
  <c r="AN748" i="49" s="1"/>
  <c r="AL749" i="49" a="1"/>
  <c r="AL749" i="49" s="1"/>
  <c r="AM749" i="49" a="1"/>
  <c r="AM749" i="49" s="1"/>
  <c r="AN749" i="49" a="1"/>
  <c r="AN749" i="49" s="1"/>
  <c r="AL750" i="49" a="1"/>
  <c r="AL750" i="49" s="1"/>
  <c r="AM750" i="49" a="1"/>
  <c r="AM750" i="49" s="1"/>
  <c r="AN750" i="49" a="1"/>
  <c r="AN750" i="49" s="1"/>
  <c r="AL751" i="49" a="1"/>
  <c r="AL751" i="49" s="1"/>
  <c r="AM751" i="49" a="1"/>
  <c r="AM751" i="49" s="1"/>
  <c r="AN751" i="49" a="1"/>
  <c r="AN751" i="49" s="1"/>
  <c r="AL752" i="49" a="1"/>
  <c r="AL752" i="49" s="1"/>
  <c r="AM752" i="49" a="1"/>
  <c r="AM752" i="49" s="1"/>
  <c r="AN752" i="49" a="1"/>
  <c r="AN752" i="49" s="1"/>
  <c r="AL753" i="49" a="1"/>
  <c r="AL753" i="49" s="1"/>
  <c r="AM753" i="49" a="1"/>
  <c r="AM753" i="49" s="1"/>
  <c r="AN753" i="49" a="1"/>
  <c r="AN753" i="49" s="1"/>
  <c r="AL754" i="49" a="1"/>
  <c r="AL754" i="49" s="1"/>
  <c r="AM754" i="49" a="1"/>
  <c r="AM754" i="49" s="1"/>
  <c r="AN754" i="49" a="1"/>
  <c r="AN754" i="49" s="1"/>
  <c r="AL755" i="49" a="1"/>
  <c r="AL755" i="49" s="1"/>
  <c r="AM755" i="49" a="1"/>
  <c r="AM755" i="49" s="1"/>
  <c r="AN755" i="49" a="1"/>
  <c r="AN755" i="49" s="1"/>
  <c r="AH746" i="49"/>
  <c r="AG746" i="49"/>
  <c r="AN756" i="49"/>
  <c r="AQ746" i="49" a="1"/>
  <c r="AQ746" i="49" s="1"/>
  <c r="AP746" i="49" a="1"/>
  <c r="AP746" i="49" s="1"/>
  <c r="AO746" i="49" a="1"/>
  <c r="AO746" i="49" s="1"/>
  <c r="AN746" i="49" a="1"/>
  <c r="AN746" i="49" s="1"/>
  <c r="AM746" i="49" a="1"/>
  <c r="AM746" i="49" s="1"/>
  <c r="AL746" i="49" a="1"/>
  <c r="AL746" i="49" s="1"/>
  <c r="AK755" i="49"/>
  <c r="AJ755" i="49"/>
  <c r="AI755" i="49"/>
  <c r="AK754" i="49"/>
  <c r="AJ754" i="49"/>
  <c r="AI754" i="49"/>
  <c r="AK753" i="49"/>
  <c r="AJ753" i="49"/>
  <c r="AI753" i="49"/>
  <c r="AK752" i="49"/>
  <c r="AJ752" i="49"/>
  <c r="AI752" i="49"/>
  <c r="AK751" i="49"/>
  <c r="AJ751" i="49"/>
  <c r="AI751" i="49"/>
  <c r="AK750" i="49"/>
  <c r="AJ750" i="49"/>
  <c r="AI750" i="49"/>
  <c r="AK749" i="49"/>
  <c r="AJ749" i="49"/>
  <c r="AI749" i="49"/>
  <c r="AK748" i="49"/>
  <c r="AJ748" i="49"/>
  <c r="AI748" i="49"/>
  <c r="AK747" i="49"/>
  <c r="AJ747" i="49"/>
  <c r="AI747" i="49"/>
  <c r="AK746" i="49"/>
  <c r="AK756" i="49" s="1"/>
  <c r="AJ746" i="49"/>
  <c r="AI746" i="49"/>
  <c r="B737" i="49"/>
  <c r="B736" i="49"/>
  <c r="B735" i="49"/>
  <c r="B734" i="49"/>
  <c r="B733" i="49"/>
  <c r="D722" i="49"/>
  <c r="D723" i="49"/>
  <c r="D724" i="49"/>
  <c r="D725" i="49"/>
  <c r="D726" i="49"/>
  <c r="D727" i="49"/>
  <c r="D728" i="49"/>
  <c r="D721" i="49"/>
  <c r="AP731" i="49"/>
  <c r="AN731" i="49"/>
  <c r="AL731" i="49"/>
  <c r="BF728" i="49"/>
  <c r="BF722" i="49"/>
  <c r="BF723" i="49"/>
  <c r="BF724" i="49"/>
  <c r="BF725" i="49"/>
  <c r="BF726" i="49"/>
  <c r="BF727" i="49"/>
  <c r="AK722" i="49"/>
  <c r="AL722" i="49"/>
  <c r="AM722" i="49"/>
  <c r="AN722" i="49"/>
  <c r="AO722" i="49"/>
  <c r="AP722" i="49"/>
  <c r="AQ722" i="49"/>
  <c r="AR722" i="49"/>
  <c r="AS722" i="49"/>
  <c r="AT722" i="49"/>
  <c r="AU722" i="49"/>
  <c r="AV722" i="49"/>
  <c r="AK723" i="49"/>
  <c r="AL723" i="49"/>
  <c r="AM723" i="49"/>
  <c r="AN723" i="49"/>
  <c r="AO723" i="49"/>
  <c r="AP723" i="49"/>
  <c r="AQ723" i="49"/>
  <c r="AR723" i="49"/>
  <c r="AS723" i="49"/>
  <c r="AT723" i="49"/>
  <c r="AU723" i="49"/>
  <c r="AV723" i="49"/>
  <c r="AK724" i="49"/>
  <c r="AL724" i="49"/>
  <c r="AM724" i="49"/>
  <c r="AN724" i="49"/>
  <c r="AO724" i="49"/>
  <c r="AP724" i="49"/>
  <c r="AQ724" i="49"/>
  <c r="AR724" i="49"/>
  <c r="AS724" i="49"/>
  <c r="AT724" i="49"/>
  <c r="AU724" i="49"/>
  <c r="AV724" i="49"/>
  <c r="AK725" i="49"/>
  <c r="AL725" i="49"/>
  <c r="AM725" i="49"/>
  <c r="AN725" i="49"/>
  <c r="AO725" i="49"/>
  <c r="AP725" i="49"/>
  <c r="AQ725" i="49"/>
  <c r="AR725" i="49"/>
  <c r="AS725" i="49"/>
  <c r="AT725" i="49"/>
  <c r="AU725" i="49"/>
  <c r="AV725" i="49"/>
  <c r="AK726" i="49"/>
  <c r="AL726" i="49"/>
  <c r="AM726" i="49"/>
  <c r="AN726" i="49"/>
  <c r="AO726" i="49"/>
  <c r="AP726" i="49"/>
  <c r="AQ726" i="49"/>
  <c r="AR726" i="49"/>
  <c r="AS726" i="49"/>
  <c r="AT726" i="49"/>
  <c r="AU726" i="49"/>
  <c r="AV726" i="49"/>
  <c r="AK727" i="49"/>
  <c r="AL727" i="49"/>
  <c r="AM727" i="49"/>
  <c r="AN727" i="49"/>
  <c r="AO727" i="49"/>
  <c r="AP727" i="49"/>
  <c r="AQ727" i="49"/>
  <c r="AR727" i="49"/>
  <c r="AS727" i="49"/>
  <c r="AT727" i="49"/>
  <c r="AU727" i="49"/>
  <c r="AV727" i="49"/>
  <c r="AK728" i="49"/>
  <c r="AL728" i="49"/>
  <c r="AM728" i="49"/>
  <c r="AN728" i="49"/>
  <c r="AO728" i="49"/>
  <c r="AP728" i="49"/>
  <c r="AQ728" i="49"/>
  <c r="AR728" i="49"/>
  <c r="AS728" i="49"/>
  <c r="AT728" i="49"/>
  <c r="AU728" i="49"/>
  <c r="AV728" i="49"/>
  <c r="AN721" i="49"/>
  <c r="AO721" i="49"/>
  <c r="AP721" i="49"/>
  <c r="AQ721" i="49"/>
  <c r="AR721" i="49"/>
  <c r="AS721" i="49"/>
  <c r="AT721" i="49"/>
  <c r="AU721" i="49"/>
  <c r="AV721" i="49"/>
  <c r="AM721" i="49"/>
  <c r="AL721" i="49"/>
  <c r="AK721" i="49"/>
  <c r="AH722" i="49"/>
  <c r="AH723" i="49"/>
  <c r="AH724" i="49"/>
  <c r="AH725" i="49"/>
  <c r="AH726" i="49"/>
  <c r="AH727" i="49"/>
  <c r="AH728" i="49"/>
  <c r="AG722" i="49"/>
  <c r="AG723" i="49"/>
  <c r="AG724" i="49"/>
  <c r="AG725" i="49"/>
  <c r="AG726" i="49"/>
  <c r="AG727" i="49"/>
  <c r="AG728" i="49"/>
  <c r="BF721" i="49"/>
  <c r="AH721" i="49"/>
  <c r="AG721" i="49"/>
  <c r="B715" i="49"/>
  <c r="B714" i="49"/>
  <c r="B713" i="49"/>
  <c r="B712" i="49"/>
  <c r="B711" i="49"/>
  <c r="B710" i="49"/>
  <c r="AD706" i="49"/>
  <c r="AC706" i="49"/>
  <c r="AB706" i="49"/>
  <c r="AA706" i="49"/>
  <c r="Z706" i="49"/>
  <c r="Y706" i="49"/>
  <c r="X706" i="49"/>
  <c r="AV695" i="49" s="1" a="1"/>
  <c r="AV695" i="49" s="1"/>
  <c r="W706" i="49"/>
  <c r="AU695" i="49" s="1" a="1"/>
  <c r="AU695" i="49" s="1"/>
  <c r="V706" i="49"/>
  <c r="BL706" i="49"/>
  <c r="BD696" i="49" a="1"/>
  <c r="BD696" i="49" s="1"/>
  <c r="BE696" i="49" a="1"/>
  <c r="BE696" i="49" s="1"/>
  <c r="BF696" i="49" a="1"/>
  <c r="BF696" i="49" s="1"/>
  <c r="BG696" i="49" a="1"/>
  <c r="BG696" i="49"/>
  <c r="BH696" i="49" a="1"/>
  <c r="BH696" i="49" s="1"/>
  <c r="BI696" i="49" a="1"/>
  <c r="BI696" i="49" s="1"/>
  <c r="BJ696" i="49" a="1"/>
  <c r="BJ696" i="49" s="1"/>
  <c r="BK696" i="49" a="1"/>
  <c r="BK696" i="49"/>
  <c r="BL696" i="49" a="1"/>
  <c r="BL696" i="49" s="1"/>
  <c r="BD697" i="49" a="1"/>
  <c r="BD697" i="49" s="1"/>
  <c r="BE697" i="49" a="1"/>
  <c r="BE697" i="49" s="1"/>
  <c r="BF697" i="49" a="1"/>
  <c r="BF697" i="49"/>
  <c r="BG697" i="49" a="1"/>
  <c r="BG697" i="49" s="1"/>
  <c r="BH697" i="49" a="1"/>
  <c r="BH697" i="49" s="1"/>
  <c r="BI697" i="49" a="1"/>
  <c r="BI697" i="49" s="1"/>
  <c r="BJ697" i="49" a="1"/>
  <c r="BJ697" i="49"/>
  <c r="BK697" i="49" a="1"/>
  <c r="BK697" i="49" s="1"/>
  <c r="BL697" i="49" a="1"/>
  <c r="BL697" i="49" s="1"/>
  <c r="BD698" i="49" a="1"/>
  <c r="BD698" i="49" s="1"/>
  <c r="BE698" i="49" a="1"/>
  <c r="BE698" i="49"/>
  <c r="BF698" i="49" a="1"/>
  <c r="BF698" i="49" s="1"/>
  <c r="BG698" i="49" a="1"/>
  <c r="BG698" i="49" s="1"/>
  <c r="BH698" i="49" a="1"/>
  <c r="BH698" i="49" s="1"/>
  <c r="BI698" i="49" a="1"/>
  <c r="BI698" i="49"/>
  <c r="BJ698" i="49" a="1"/>
  <c r="BJ698" i="49" s="1"/>
  <c r="BK698" i="49" a="1"/>
  <c r="BK698" i="49" s="1"/>
  <c r="BL698" i="49" a="1"/>
  <c r="BL698" i="49" s="1"/>
  <c r="BD699" i="49" a="1"/>
  <c r="BD699" i="49"/>
  <c r="BE699" i="49" a="1"/>
  <c r="BE699" i="49" s="1"/>
  <c r="BF699" i="49" a="1"/>
  <c r="BF699" i="49" s="1"/>
  <c r="BG699" i="49" a="1"/>
  <c r="BG699" i="49" s="1"/>
  <c r="BH699" i="49" a="1"/>
  <c r="BH699" i="49"/>
  <c r="BI699" i="49" a="1"/>
  <c r="BI699" i="49" s="1"/>
  <c r="BJ699" i="49" a="1"/>
  <c r="BJ699" i="49" s="1"/>
  <c r="BK699" i="49" a="1"/>
  <c r="BK699" i="49" s="1"/>
  <c r="BL699" i="49" a="1"/>
  <c r="BL699" i="49"/>
  <c r="BD700" i="49" a="1"/>
  <c r="BD700" i="49" s="1"/>
  <c r="BE700" i="49" a="1"/>
  <c r="BE700" i="49" s="1"/>
  <c r="BF700" i="49" a="1"/>
  <c r="BF700" i="49" s="1"/>
  <c r="BG700" i="49" a="1"/>
  <c r="BG700" i="49"/>
  <c r="BH700" i="49" a="1"/>
  <c r="BH700" i="49" s="1"/>
  <c r="BI700" i="49" a="1"/>
  <c r="BI700" i="49" s="1"/>
  <c r="BJ700" i="49" a="1"/>
  <c r="BJ700" i="49" s="1"/>
  <c r="BK700" i="49" a="1"/>
  <c r="BK700" i="49"/>
  <c r="BL700" i="49" a="1"/>
  <c r="BL700" i="49" s="1"/>
  <c r="BD701" i="49" a="1"/>
  <c r="BD701" i="49" s="1"/>
  <c r="BE701" i="49" a="1"/>
  <c r="BE701" i="49" s="1"/>
  <c r="BF701" i="49" a="1"/>
  <c r="BF701" i="49"/>
  <c r="BG701" i="49" a="1"/>
  <c r="BG701" i="49" s="1"/>
  <c r="BH701" i="49" a="1"/>
  <c r="BH701" i="49" s="1"/>
  <c r="BI701" i="49" a="1"/>
  <c r="BI701" i="49" s="1"/>
  <c r="BJ701" i="49" a="1"/>
  <c r="BJ701" i="49"/>
  <c r="BK701" i="49" a="1"/>
  <c r="BK701" i="49" s="1"/>
  <c r="BL701" i="49" a="1"/>
  <c r="BL701" i="49" s="1"/>
  <c r="BD702" i="49" a="1"/>
  <c r="BD702" i="49" s="1"/>
  <c r="BE702" i="49" a="1"/>
  <c r="BE702" i="49"/>
  <c r="BF702" i="49" a="1"/>
  <c r="BF702" i="49" s="1"/>
  <c r="BG702" i="49" a="1"/>
  <c r="BG702" i="49" s="1"/>
  <c r="BH702" i="49" a="1"/>
  <c r="BH702" i="49" s="1"/>
  <c r="BI702" i="49" a="1"/>
  <c r="BI702" i="49"/>
  <c r="BJ702" i="49" a="1"/>
  <c r="BJ702" i="49" s="1"/>
  <c r="BK702" i="49" a="1"/>
  <c r="BK702" i="49" s="1"/>
  <c r="BL702" i="49" a="1"/>
  <c r="BL702" i="49" s="1"/>
  <c r="BD703" i="49" a="1"/>
  <c r="BD703" i="49"/>
  <c r="BE703" i="49" a="1"/>
  <c r="BE703" i="49" s="1"/>
  <c r="BF703" i="49" a="1"/>
  <c r="BF703" i="49" s="1"/>
  <c r="BG703" i="49" a="1"/>
  <c r="BG703" i="49" s="1"/>
  <c r="BH703" i="49" a="1"/>
  <c r="BH703" i="49"/>
  <c r="BI703" i="49" a="1"/>
  <c r="BI703" i="49" s="1"/>
  <c r="BJ703" i="49" a="1"/>
  <c r="BJ703" i="49" s="1"/>
  <c r="BK703" i="49" a="1"/>
  <c r="BK703" i="49" s="1"/>
  <c r="BL703" i="49" a="1"/>
  <c r="BL703" i="49"/>
  <c r="BD704" i="49" a="1"/>
  <c r="BD704" i="49" s="1"/>
  <c r="BE704" i="49" a="1"/>
  <c r="BE704" i="49" s="1"/>
  <c r="BF704" i="49" a="1"/>
  <c r="BF704" i="49" s="1"/>
  <c r="BG704" i="49" a="1"/>
  <c r="BG704" i="49"/>
  <c r="BH704" i="49" a="1"/>
  <c r="BH704" i="49" s="1"/>
  <c r="BI704" i="49" a="1"/>
  <c r="BI704" i="49" s="1"/>
  <c r="BJ704" i="49" a="1"/>
  <c r="BJ704" i="49" s="1"/>
  <c r="BK704" i="49" a="1"/>
  <c r="BK704" i="49"/>
  <c r="BL704" i="49" a="1"/>
  <c r="BL704" i="49" s="1"/>
  <c r="BD705" i="49" a="1"/>
  <c r="BD705" i="49" s="1"/>
  <c r="BE705" i="49" a="1"/>
  <c r="BE705" i="49" s="1"/>
  <c r="BF705" i="49" a="1"/>
  <c r="BF705" i="49"/>
  <c r="BG705" i="49" a="1"/>
  <c r="BG705" i="49" s="1"/>
  <c r="BH705" i="49" a="1"/>
  <c r="BH705" i="49" s="1"/>
  <c r="BI705" i="49" a="1"/>
  <c r="BI705" i="49" s="1"/>
  <c r="BJ705" i="49" a="1"/>
  <c r="BJ705" i="49"/>
  <c r="BK705" i="49" a="1"/>
  <c r="BK705" i="49" s="1"/>
  <c r="BL705" i="49" a="1"/>
  <c r="BL705" i="49" s="1"/>
  <c r="AJ698" i="49"/>
  <c r="AJ697" i="49"/>
  <c r="AJ696" i="49"/>
  <c r="AJ695" i="49"/>
  <c r="AI698" i="49"/>
  <c r="AI697" i="49"/>
  <c r="AI696" i="49"/>
  <c r="AI695" i="49"/>
  <c r="AH698" i="49"/>
  <c r="AH697" i="49"/>
  <c r="AH696" i="49"/>
  <c r="AH695" i="49"/>
  <c r="BL695" i="49" a="1"/>
  <c r="BL695" i="49" s="1"/>
  <c r="BK695" i="49" a="1"/>
  <c r="BK695" i="49" s="1"/>
  <c r="BJ695" i="49" a="1"/>
  <c r="BJ695" i="49" s="1"/>
  <c r="BI695" i="49" a="1"/>
  <c r="BI695" i="49" s="1"/>
  <c r="BH695" i="49" a="1"/>
  <c r="BH695" i="49" s="1"/>
  <c r="BG695" i="49" a="1"/>
  <c r="BG695" i="49" s="1"/>
  <c r="BF695" i="49" a="1"/>
  <c r="BF695" i="49" s="1"/>
  <c r="BE695" i="49" a="1"/>
  <c r="BE695" i="49" s="1"/>
  <c r="BD695" i="49" a="1"/>
  <c r="BD695" i="49" s="1"/>
  <c r="AS705" i="49"/>
  <c r="AR705" i="49"/>
  <c r="AQ705" i="49"/>
  <c r="AP705" i="49"/>
  <c r="AO705" i="49"/>
  <c r="AN705" i="49"/>
  <c r="AM705" i="49"/>
  <c r="AL705" i="49"/>
  <c r="AK705" i="49"/>
  <c r="AS704" i="49"/>
  <c r="AR704" i="49"/>
  <c r="AQ704" i="49"/>
  <c r="AP704" i="49"/>
  <c r="AO704" i="49"/>
  <c r="AN704" i="49"/>
  <c r="AM704" i="49"/>
  <c r="AL704" i="49"/>
  <c r="AK704" i="49"/>
  <c r="AS703" i="49"/>
  <c r="AR703" i="49"/>
  <c r="AQ703" i="49"/>
  <c r="AP703" i="49"/>
  <c r="AO703" i="49"/>
  <c r="AN703" i="49"/>
  <c r="AM703" i="49"/>
  <c r="AL703" i="49"/>
  <c r="AK703" i="49"/>
  <c r="AS702" i="49"/>
  <c r="AR702" i="49"/>
  <c r="AQ702" i="49"/>
  <c r="AP702" i="49"/>
  <c r="AO702" i="49"/>
  <c r="AN702" i="49"/>
  <c r="AM702" i="49"/>
  <c r="AL702" i="49"/>
  <c r="AK702" i="49"/>
  <c r="AS701" i="49"/>
  <c r="AR701" i="49"/>
  <c r="AQ701" i="49"/>
  <c r="AP701" i="49"/>
  <c r="AO701" i="49"/>
  <c r="AN701" i="49"/>
  <c r="AM701" i="49"/>
  <c r="AL701" i="49"/>
  <c r="AK701" i="49"/>
  <c r="AS700" i="49"/>
  <c r="AR700" i="49"/>
  <c r="AQ700" i="49"/>
  <c r="AP700" i="49"/>
  <c r="AO700" i="49"/>
  <c r="AN700" i="49"/>
  <c r="AM700" i="49"/>
  <c r="AL700" i="49"/>
  <c r="AK700" i="49"/>
  <c r="AS699" i="49"/>
  <c r="AR699" i="49"/>
  <c r="AQ699" i="49"/>
  <c r="AP699" i="49"/>
  <c r="AO699" i="49"/>
  <c r="AN699" i="49"/>
  <c r="AM699" i="49"/>
  <c r="AL699" i="49"/>
  <c r="AK699" i="49"/>
  <c r="AS698" i="49"/>
  <c r="AR698" i="49"/>
  <c r="AQ698" i="49"/>
  <c r="AP698" i="49"/>
  <c r="AO698" i="49"/>
  <c r="AN698" i="49"/>
  <c r="AM698" i="49"/>
  <c r="AL698" i="49"/>
  <c r="AK698" i="49"/>
  <c r="AS697" i="49"/>
  <c r="AS706" i="49" s="1"/>
  <c r="AR697" i="49"/>
  <c r="AQ697" i="49"/>
  <c r="AP697" i="49"/>
  <c r="AO697" i="49"/>
  <c r="AN697" i="49"/>
  <c r="AM697" i="49"/>
  <c r="AL697" i="49"/>
  <c r="AK697" i="49"/>
  <c r="AS696" i="49"/>
  <c r="AR696" i="49"/>
  <c r="AQ696" i="49"/>
  <c r="AP696" i="49"/>
  <c r="AO696" i="49"/>
  <c r="AN696" i="49"/>
  <c r="AM696" i="49"/>
  <c r="AL696" i="49"/>
  <c r="AK696" i="49"/>
  <c r="BB695" i="49" a="1"/>
  <c r="BB695" i="49" s="1"/>
  <c r="BA695" i="49" a="1"/>
  <c r="BA695" i="49" s="1"/>
  <c r="AZ695" i="49" a="1"/>
  <c r="AZ695" i="49" s="1"/>
  <c r="AY695" i="49" a="1"/>
  <c r="AY695" i="49" s="1"/>
  <c r="AX695" i="49"/>
  <c r="AX695" i="49" a="1"/>
  <c r="AW695" i="49" a="1"/>
  <c r="AW695" i="49" s="1"/>
  <c r="AT695" i="49" a="1"/>
  <c r="AT695" i="49" s="1"/>
  <c r="AS695" i="49"/>
  <c r="AR695" i="49"/>
  <c r="AQ695" i="49"/>
  <c r="AP695" i="49"/>
  <c r="AP706" i="49" s="1"/>
  <c r="AO695" i="49"/>
  <c r="AN695" i="49"/>
  <c r="AM695" i="49"/>
  <c r="AM706" i="49" s="1"/>
  <c r="AL707" i="49" s="1"/>
  <c r="AL695" i="49"/>
  <c r="AK695" i="49"/>
  <c r="B685" i="49"/>
  <c r="B684" i="49"/>
  <c r="B683" i="49"/>
  <c r="B682" i="49"/>
  <c r="B681" i="49"/>
  <c r="N677" i="49"/>
  <c r="O677" i="49"/>
  <c r="P677" i="49"/>
  <c r="Q677" i="49"/>
  <c r="R677" i="49"/>
  <c r="S677" i="49"/>
  <c r="T677" i="49"/>
  <c r="U677" i="49"/>
  <c r="V677" i="49"/>
  <c r="W677" i="49"/>
  <c r="X677" i="49"/>
  <c r="Y677" i="49"/>
  <c r="Z677" i="49"/>
  <c r="AA677" i="49"/>
  <c r="AB677" i="49"/>
  <c r="AC677" i="49"/>
  <c r="AD677" i="49"/>
  <c r="M677" i="49"/>
  <c r="AL190" i="56" l="1"/>
  <c r="AL205" i="56"/>
  <c r="B214" i="56"/>
  <c r="BT444" i="56"/>
  <c r="AV1696" i="49"/>
  <c r="B1731" i="49" s="1"/>
  <c r="AP1266" i="49"/>
  <c r="AN1266" i="49"/>
  <c r="AL1266" i="49"/>
  <c r="B29" i="34"/>
  <c r="AS32" i="61"/>
  <c r="AT32" i="61"/>
  <c r="AV32" i="61"/>
  <c r="B38" i="61" s="1"/>
  <c r="AP908" i="49"/>
  <c r="AN908" i="49"/>
  <c r="AL908" i="49"/>
  <c r="AL899" i="49"/>
  <c r="AN909" i="49"/>
  <c r="AP899" i="49"/>
  <c r="AN899" i="49"/>
  <c r="AL519" i="56"/>
  <c r="AN519" i="56"/>
  <c r="AP519" i="56"/>
  <c r="AL534" i="56"/>
  <c r="AL533" i="56"/>
  <c r="AN534" i="56"/>
  <c r="AP533" i="56"/>
  <c r="AN533" i="56"/>
  <c r="AL475" i="56"/>
  <c r="AP475" i="56"/>
  <c r="AN475" i="56"/>
  <c r="AN489" i="56"/>
  <c r="AN490" i="56"/>
  <c r="AP489" i="56"/>
  <c r="AL489" i="56"/>
  <c r="AP447" i="56"/>
  <c r="AN447" i="56"/>
  <c r="AL447" i="56"/>
  <c r="AP401" i="56"/>
  <c r="AN401" i="56"/>
  <c r="AL401" i="56"/>
  <c r="AP325" i="56"/>
  <c r="AN325" i="56"/>
  <c r="AL325" i="56"/>
  <c r="AN297" i="56"/>
  <c r="AP296" i="56"/>
  <c r="AN296" i="56"/>
  <c r="AL296" i="56"/>
  <c r="CF295" i="56"/>
  <c r="AP252" i="56"/>
  <c r="AN252" i="56"/>
  <c r="AL252" i="56"/>
  <c r="AP237" i="56"/>
  <c r="AN237" i="56"/>
  <c r="AL237" i="56"/>
  <c r="AN191" i="56"/>
  <c r="AL191" i="56"/>
  <c r="AP191" i="56"/>
  <c r="AP206" i="56"/>
  <c r="AN206" i="56"/>
  <c r="AL206" i="56"/>
  <c r="AP160" i="56"/>
  <c r="AN160" i="56"/>
  <c r="AL160" i="56"/>
  <c r="AP101" i="56"/>
  <c r="AN101" i="56"/>
  <c r="AL101" i="56"/>
  <c r="AN132" i="56"/>
  <c r="AP70" i="56"/>
  <c r="AN70" i="56"/>
  <c r="AL70" i="56"/>
  <c r="BC695" i="49"/>
  <c r="AG695" i="49"/>
  <c r="D670" i="49"/>
  <c r="D671" i="49"/>
  <c r="D672" i="49"/>
  <c r="D673" i="49"/>
  <c r="AG673" i="49" s="1"/>
  <c r="D674" i="49"/>
  <c r="AG674" i="49" s="1"/>
  <c r="D675" i="49"/>
  <c r="D676" i="49"/>
  <c r="AG676" i="49" s="1"/>
  <c r="D669" i="49"/>
  <c r="AG669" i="49" s="1"/>
  <c r="AP679" i="49"/>
  <c r="AN679" i="49"/>
  <c r="AL679" i="49"/>
  <c r="BF670" i="49"/>
  <c r="BF671" i="49"/>
  <c r="BF677" i="49" s="1"/>
  <c r="BF672" i="49"/>
  <c r="BF673" i="49"/>
  <c r="BF674" i="49"/>
  <c r="BF675" i="49"/>
  <c r="BF676" i="49"/>
  <c r="AK670" i="49"/>
  <c r="AL670" i="49"/>
  <c r="AM670" i="49"/>
  <c r="AN670" i="49"/>
  <c r="AO670" i="49"/>
  <c r="AP670" i="49"/>
  <c r="AQ670" i="49"/>
  <c r="AQ677" i="49" s="1"/>
  <c r="AR670" i="49"/>
  <c r="AS670" i="49"/>
  <c r="AT670" i="49"/>
  <c r="AU670" i="49"/>
  <c r="AV670" i="49"/>
  <c r="AW670" i="49"/>
  <c r="AX670" i="49"/>
  <c r="AY670" i="49"/>
  <c r="AZ670" i="49"/>
  <c r="BA670" i="49"/>
  <c r="BB670" i="49"/>
  <c r="AK671" i="49"/>
  <c r="AL671" i="49"/>
  <c r="AM671" i="49"/>
  <c r="AN671" i="49"/>
  <c r="AN677" i="49" s="1"/>
  <c r="AO671" i="49"/>
  <c r="AP671" i="49"/>
  <c r="AQ671" i="49"/>
  <c r="AR671" i="49"/>
  <c r="AS671" i="49"/>
  <c r="AT671" i="49"/>
  <c r="AT677" i="49" s="1"/>
  <c r="AU671" i="49"/>
  <c r="AV671" i="49"/>
  <c r="AV677" i="49" s="1"/>
  <c r="AW671" i="49"/>
  <c r="AW677" i="49" s="1"/>
  <c r="AX671" i="49"/>
  <c r="AY671" i="49"/>
  <c r="AZ671" i="49"/>
  <c r="BA671" i="49"/>
  <c r="BB671" i="49"/>
  <c r="BB677" i="49" s="1"/>
  <c r="AK672" i="49"/>
  <c r="AL672" i="49"/>
  <c r="AM672" i="49"/>
  <c r="AN672" i="49"/>
  <c r="AO672" i="49"/>
  <c r="AP672" i="49"/>
  <c r="AQ672" i="49"/>
  <c r="AR672" i="49"/>
  <c r="AS672" i="49"/>
  <c r="AT672" i="49"/>
  <c r="AU672" i="49"/>
  <c r="AV672" i="49"/>
  <c r="AW672" i="49"/>
  <c r="AX672" i="49"/>
  <c r="AY672" i="49"/>
  <c r="AZ672" i="49"/>
  <c r="BA672" i="49"/>
  <c r="BB672" i="49"/>
  <c r="AK673" i="49"/>
  <c r="AL673" i="49"/>
  <c r="AM673" i="49"/>
  <c r="AN673" i="49"/>
  <c r="AO673" i="49"/>
  <c r="AP673" i="49"/>
  <c r="AQ673" i="49"/>
  <c r="AR673" i="49"/>
  <c r="AS673" i="49"/>
  <c r="AT673" i="49"/>
  <c r="AU673" i="49"/>
  <c r="AV673" i="49"/>
  <c r="AW673" i="49"/>
  <c r="AX673" i="49"/>
  <c r="AY673" i="49"/>
  <c r="AZ673" i="49"/>
  <c r="BA673" i="49"/>
  <c r="BB673" i="49"/>
  <c r="AK674" i="49"/>
  <c r="AL674" i="49"/>
  <c r="AM674" i="49"/>
  <c r="AN674" i="49"/>
  <c r="AO674" i="49"/>
  <c r="AP674" i="49"/>
  <c r="AQ674" i="49"/>
  <c r="AR674" i="49"/>
  <c r="AS674" i="49"/>
  <c r="AT674" i="49"/>
  <c r="AU674" i="49"/>
  <c r="AV674" i="49"/>
  <c r="AW674" i="49"/>
  <c r="AX674" i="49"/>
  <c r="AY674" i="49"/>
  <c r="AZ674" i="49"/>
  <c r="BA674" i="49"/>
  <c r="BB674" i="49"/>
  <c r="AK675" i="49"/>
  <c r="AL675" i="49"/>
  <c r="AM675" i="49"/>
  <c r="AN675" i="49"/>
  <c r="AO675" i="49"/>
  <c r="AP675" i="49"/>
  <c r="AQ675" i="49"/>
  <c r="AR675" i="49"/>
  <c r="AS675" i="49"/>
  <c r="AT675" i="49"/>
  <c r="AU675" i="49"/>
  <c r="AV675" i="49"/>
  <c r="AW675" i="49"/>
  <c r="AX675" i="49"/>
  <c r="AY675" i="49"/>
  <c r="AZ675" i="49"/>
  <c r="BA675" i="49"/>
  <c r="BB675" i="49"/>
  <c r="AK676" i="49"/>
  <c r="AL676" i="49"/>
  <c r="AM676" i="49"/>
  <c r="AN676" i="49"/>
  <c r="AO676" i="49"/>
  <c r="AP676" i="49"/>
  <c r="AQ676" i="49"/>
  <c r="AR676" i="49"/>
  <c r="AS676" i="49"/>
  <c r="AT676" i="49"/>
  <c r="AU676" i="49"/>
  <c r="AV676" i="49"/>
  <c r="AW676" i="49"/>
  <c r="AX676" i="49"/>
  <c r="AY676" i="49"/>
  <c r="AZ676" i="49"/>
  <c r="BA676" i="49"/>
  <c r="BB676" i="49"/>
  <c r="AN669" i="49"/>
  <c r="AO669" i="49"/>
  <c r="AP669" i="49"/>
  <c r="AQ669" i="49"/>
  <c r="AR669" i="49"/>
  <c r="AS669" i="49"/>
  <c r="AT669" i="49"/>
  <c r="AU669" i="49"/>
  <c r="AV669" i="49"/>
  <c r="AW669" i="49"/>
  <c r="AX669" i="49"/>
  <c r="AY669" i="49"/>
  <c r="AZ669" i="49"/>
  <c r="BA669" i="49"/>
  <c r="BB669" i="49"/>
  <c r="AH670" i="49"/>
  <c r="AH671" i="49"/>
  <c r="AH672" i="49"/>
  <c r="AH673" i="49"/>
  <c r="AH674" i="49"/>
  <c r="AH675" i="49"/>
  <c r="AH676" i="49"/>
  <c r="AH677" i="49"/>
  <c r="AG670" i="49"/>
  <c r="AG671" i="49"/>
  <c r="AG672" i="49"/>
  <c r="AG675" i="49"/>
  <c r="AM669" i="49"/>
  <c r="AL669" i="49"/>
  <c r="AK669" i="49"/>
  <c r="AK677" i="49" s="1"/>
  <c r="BF669" i="49"/>
  <c r="AH669" i="49"/>
  <c r="AP677" i="49"/>
  <c r="AZ677" i="49"/>
  <c r="AY677" i="49"/>
  <c r="B659" i="49"/>
  <c r="B658" i="49"/>
  <c r="B657" i="49"/>
  <c r="B656" i="49"/>
  <c r="B655" i="49"/>
  <c r="B654" i="49"/>
  <c r="M650" i="49"/>
  <c r="AO640" i="49" s="1" a="1"/>
  <c r="AO640" i="49" s="1"/>
  <c r="AQ641" i="49"/>
  <c r="AN650" i="49"/>
  <c r="AL641" i="49" a="1"/>
  <c r="AL641" i="49" s="1"/>
  <c r="AM641" i="49" a="1"/>
  <c r="AM641" i="49" s="1"/>
  <c r="AN641" i="49" a="1"/>
  <c r="AN641" i="49" s="1"/>
  <c r="AL642" i="49" a="1"/>
  <c r="AL642" i="49"/>
  <c r="AM642" i="49" a="1"/>
  <c r="AM642" i="49" s="1"/>
  <c r="AN642" i="49" a="1"/>
  <c r="AN642" i="49" s="1"/>
  <c r="AL643" i="49" a="1"/>
  <c r="AL643" i="49" s="1"/>
  <c r="AM643" i="49" a="1"/>
  <c r="AM643" i="49"/>
  <c r="AN643" i="49" a="1"/>
  <c r="AN643" i="49" s="1"/>
  <c r="AL644" i="49" a="1"/>
  <c r="AL644" i="49" s="1"/>
  <c r="AM644" i="49" a="1"/>
  <c r="AM644" i="49" s="1"/>
  <c r="AN644" i="49" a="1"/>
  <c r="AN644" i="49"/>
  <c r="AL645" i="49" a="1"/>
  <c r="AL645" i="49" s="1"/>
  <c r="AM645" i="49" a="1"/>
  <c r="AM645" i="49" s="1"/>
  <c r="AN645" i="49" a="1"/>
  <c r="AN645" i="49" s="1"/>
  <c r="AL646" i="49" a="1"/>
  <c r="AL646" i="49"/>
  <c r="AM646" i="49" a="1"/>
  <c r="AM646" i="49" s="1"/>
  <c r="AN646" i="49" a="1"/>
  <c r="AN646" i="49" s="1"/>
  <c r="AL647" i="49" a="1"/>
  <c r="AL647" i="49" s="1"/>
  <c r="AM647" i="49" a="1"/>
  <c r="AM647" i="49"/>
  <c r="AN647" i="49" a="1"/>
  <c r="AN647" i="49" s="1"/>
  <c r="AL648" i="49" a="1"/>
  <c r="AL648" i="49" s="1"/>
  <c r="AM648" i="49" a="1"/>
  <c r="AM648" i="49" s="1"/>
  <c r="AN648" i="49" a="1"/>
  <c r="AN648" i="49" s="1"/>
  <c r="AL649" i="49" a="1"/>
  <c r="AL649" i="49" s="1"/>
  <c r="AM649" i="49" a="1"/>
  <c r="AM649" i="49" s="1"/>
  <c r="AN649" i="49" a="1"/>
  <c r="AN649" i="49" s="1"/>
  <c r="AH640" i="49"/>
  <c r="AG640" i="49"/>
  <c r="AQ640" i="49" a="1"/>
  <c r="AQ640" i="49" s="1"/>
  <c r="AP640" i="49" a="1"/>
  <c r="AP640" i="49" s="1"/>
  <c r="AN640" i="49" a="1"/>
  <c r="AN640" i="49" s="1"/>
  <c r="AM640" i="49" a="1"/>
  <c r="AM640" i="49" s="1"/>
  <c r="AL640" i="49" a="1"/>
  <c r="AL640" i="49" s="1"/>
  <c r="AK649" i="49"/>
  <c r="AJ649" i="49"/>
  <c r="AI649" i="49"/>
  <c r="AK648" i="49"/>
  <c r="AJ648" i="49"/>
  <c r="AI648" i="49"/>
  <c r="AK647" i="49"/>
  <c r="AJ647" i="49"/>
  <c r="AI647" i="49"/>
  <c r="AK646" i="49"/>
  <c r="AJ646" i="49"/>
  <c r="AI646" i="49"/>
  <c r="AK645" i="49"/>
  <c r="AJ645" i="49"/>
  <c r="AI645" i="49"/>
  <c r="AK644" i="49"/>
  <c r="AJ644" i="49"/>
  <c r="AI644" i="49"/>
  <c r="AK643" i="49"/>
  <c r="AJ643" i="49"/>
  <c r="AI643" i="49"/>
  <c r="AK642" i="49"/>
  <c r="AJ642" i="49"/>
  <c r="AI642" i="49"/>
  <c r="AK641" i="49"/>
  <c r="AJ641" i="49"/>
  <c r="AI641" i="49"/>
  <c r="AK640" i="49"/>
  <c r="AK650" i="49" s="1"/>
  <c r="AJ640" i="49"/>
  <c r="AI640" i="49"/>
  <c r="B631" i="49"/>
  <c r="B630" i="49"/>
  <c r="B629" i="49"/>
  <c r="B628" i="49"/>
  <c r="B627" i="49"/>
  <c r="D616" i="49"/>
  <c r="D617" i="49"/>
  <c r="D618" i="49"/>
  <c r="D619" i="49"/>
  <c r="D620" i="49"/>
  <c r="D621" i="49"/>
  <c r="D622" i="49"/>
  <c r="D615" i="49"/>
  <c r="AP625" i="49"/>
  <c r="AN625" i="49"/>
  <c r="AL625" i="49"/>
  <c r="BF616" i="49"/>
  <c r="BF617" i="49"/>
  <c r="BF618" i="49"/>
  <c r="BF619" i="49"/>
  <c r="BF620" i="49"/>
  <c r="BF621" i="49"/>
  <c r="BF622" i="49"/>
  <c r="AK616" i="49"/>
  <c r="AL616" i="49"/>
  <c r="AM616" i="49"/>
  <c r="AN616" i="49"/>
  <c r="AO616" i="49"/>
  <c r="AP616" i="49"/>
  <c r="AQ616" i="49"/>
  <c r="AR616" i="49"/>
  <c r="AS616" i="49"/>
  <c r="AT616" i="49"/>
  <c r="AU616" i="49"/>
  <c r="AV616" i="49"/>
  <c r="AK617" i="49"/>
  <c r="AL617" i="49"/>
  <c r="AM617" i="49"/>
  <c r="AN617" i="49"/>
  <c r="AO617" i="49"/>
  <c r="AP617" i="49"/>
  <c r="AQ617" i="49"/>
  <c r="AR617" i="49"/>
  <c r="AS617" i="49"/>
  <c r="AT617" i="49"/>
  <c r="AU617" i="49"/>
  <c r="AV617" i="49"/>
  <c r="AK618" i="49"/>
  <c r="AL618" i="49"/>
  <c r="AM618" i="49"/>
  <c r="AN618" i="49"/>
  <c r="AO618" i="49"/>
  <c r="AP618" i="49"/>
  <c r="AQ618" i="49"/>
  <c r="AR618" i="49"/>
  <c r="AS618" i="49"/>
  <c r="AT618" i="49"/>
  <c r="AU618" i="49"/>
  <c r="AV618" i="49"/>
  <c r="AK619" i="49"/>
  <c r="AL619" i="49"/>
  <c r="AM619" i="49"/>
  <c r="AN619" i="49"/>
  <c r="AO619" i="49"/>
  <c r="AP619" i="49"/>
  <c r="AQ619" i="49"/>
  <c r="AR619" i="49"/>
  <c r="AS619" i="49"/>
  <c r="AT619" i="49"/>
  <c r="AU619" i="49"/>
  <c r="AV619" i="49"/>
  <c r="AK620" i="49"/>
  <c r="AL620" i="49"/>
  <c r="AM620" i="49"/>
  <c r="AN620" i="49"/>
  <c r="AO620" i="49"/>
  <c r="AP620" i="49"/>
  <c r="AQ620" i="49"/>
  <c r="AR620" i="49"/>
  <c r="AS620" i="49"/>
  <c r="AT620" i="49"/>
  <c r="AU620" i="49"/>
  <c r="AV620" i="49"/>
  <c r="AK621" i="49"/>
  <c r="AL621" i="49"/>
  <c r="AM621" i="49"/>
  <c r="AN621" i="49"/>
  <c r="AO621" i="49"/>
  <c r="AP621" i="49"/>
  <c r="AQ621" i="49"/>
  <c r="AR621" i="49"/>
  <c r="AS621" i="49"/>
  <c r="AT621" i="49"/>
  <c r="AU621" i="49"/>
  <c r="AV621" i="49"/>
  <c r="AK622" i="49"/>
  <c r="AL622" i="49"/>
  <c r="AM622" i="49"/>
  <c r="AN622" i="49"/>
  <c r="AO622" i="49"/>
  <c r="AP622" i="49"/>
  <c r="AQ622" i="49"/>
  <c r="AR622" i="49"/>
  <c r="AS622" i="49"/>
  <c r="AT622" i="49"/>
  <c r="AU622" i="49"/>
  <c r="AV622" i="49"/>
  <c r="AN615" i="49"/>
  <c r="AO615" i="49"/>
  <c r="AP615" i="49"/>
  <c r="AQ615" i="49"/>
  <c r="AR615" i="49"/>
  <c r="AS615" i="49"/>
  <c r="AT615" i="49"/>
  <c r="AU615" i="49"/>
  <c r="AV615" i="49"/>
  <c r="AM615" i="49"/>
  <c r="AL615" i="49"/>
  <c r="AK615" i="49"/>
  <c r="AH616" i="49"/>
  <c r="AH617" i="49"/>
  <c r="AH618" i="49"/>
  <c r="AH619" i="49"/>
  <c r="AH620" i="49"/>
  <c r="AH621" i="49"/>
  <c r="AH622" i="49"/>
  <c r="AG616" i="49"/>
  <c r="AG617" i="49"/>
  <c r="AG618" i="49"/>
  <c r="AG619" i="49"/>
  <c r="AG620" i="49"/>
  <c r="AG621" i="49"/>
  <c r="AG622" i="49"/>
  <c r="BF615" i="49"/>
  <c r="AH615" i="49"/>
  <c r="AG615" i="49"/>
  <c r="B608" i="49"/>
  <c r="B607" i="49"/>
  <c r="B606" i="49"/>
  <c r="B605" i="49"/>
  <c r="B604" i="49"/>
  <c r="M600" i="49"/>
  <c r="AK600" i="49"/>
  <c r="AK599" i="49"/>
  <c r="AJ599" i="49"/>
  <c r="AI599" i="49"/>
  <c r="AK598" i="49"/>
  <c r="AJ598" i="49"/>
  <c r="AI598" i="49"/>
  <c r="AK597" i="49"/>
  <c r="AJ597" i="49"/>
  <c r="AI597" i="49"/>
  <c r="AK596" i="49"/>
  <c r="AJ596" i="49"/>
  <c r="AI596" i="49"/>
  <c r="AK595" i="49"/>
  <c r="AJ595" i="49"/>
  <c r="AI595" i="49"/>
  <c r="AK594" i="49"/>
  <c r="AJ594" i="49"/>
  <c r="AI594" i="49"/>
  <c r="AK593" i="49"/>
  <c r="AJ593" i="49"/>
  <c r="AI593" i="49"/>
  <c r="AK592" i="49"/>
  <c r="AJ592" i="49"/>
  <c r="AI592" i="49"/>
  <c r="AK591" i="49"/>
  <c r="AJ591" i="49"/>
  <c r="AI591" i="49"/>
  <c r="AK590" i="49"/>
  <c r="AJ590" i="49"/>
  <c r="AI590" i="49"/>
  <c r="AK589" i="49"/>
  <c r="AJ589" i="49"/>
  <c r="AI589" i="49"/>
  <c r="AK588" i="49"/>
  <c r="AJ588" i="49"/>
  <c r="AI588" i="49"/>
  <c r="AK587" i="49"/>
  <c r="AJ587" i="49"/>
  <c r="AI587" i="49"/>
  <c r="AK586" i="49"/>
  <c r="AJ586" i="49"/>
  <c r="AI586" i="49"/>
  <c r="AK585" i="49"/>
  <c r="AJ585" i="49"/>
  <c r="AI585" i="49"/>
  <c r="AK584" i="49"/>
  <c r="AJ584" i="49"/>
  <c r="AI584" i="49"/>
  <c r="AK583" i="49"/>
  <c r="AJ583" i="49"/>
  <c r="AI583" i="49"/>
  <c r="AK582" i="49"/>
  <c r="AJ582" i="49"/>
  <c r="AI582" i="49"/>
  <c r="AK581" i="49"/>
  <c r="AJ581" i="49"/>
  <c r="AI581" i="49"/>
  <c r="AK580" i="49"/>
  <c r="AJ580" i="49"/>
  <c r="AI580" i="49"/>
  <c r="AK579" i="49"/>
  <c r="AJ579" i="49"/>
  <c r="AI579" i="49"/>
  <c r="AK578" i="49"/>
  <c r="AJ578" i="49"/>
  <c r="AI578" i="49"/>
  <c r="AK577" i="49"/>
  <c r="AJ577" i="49"/>
  <c r="AI577" i="49"/>
  <c r="AK576" i="49"/>
  <c r="AJ576" i="49"/>
  <c r="AI576" i="49"/>
  <c r="AK575" i="49"/>
  <c r="AJ575" i="49"/>
  <c r="AI575" i="49"/>
  <c r="AI600" i="49" s="1"/>
  <c r="B105" i="57"/>
  <c r="AH575" i="49"/>
  <c r="AG575" i="49"/>
  <c r="B567" i="49"/>
  <c r="B566" i="49"/>
  <c r="B565" i="49"/>
  <c r="B564" i="49"/>
  <c r="B563" i="49"/>
  <c r="D552" i="49"/>
  <c r="D553" i="49"/>
  <c r="D554" i="49"/>
  <c r="D555" i="49"/>
  <c r="D556" i="49"/>
  <c r="D557" i="49"/>
  <c r="D558" i="49"/>
  <c r="D91" i="57"/>
  <c r="D92" i="57"/>
  <c r="D93" i="57"/>
  <c r="D94" i="57"/>
  <c r="D95" i="57"/>
  <c r="D96" i="57"/>
  <c r="D97" i="57"/>
  <c r="D551" i="49"/>
  <c r="D90" i="57"/>
  <c r="AP561" i="49"/>
  <c r="AN561" i="49"/>
  <c r="AL561" i="49"/>
  <c r="BF559" i="49"/>
  <c r="BF558" i="49"/>
  <c r="BF552" i="49"/>
  <c r="BF553" i="49"/>
  <c r="BF554" i="49"/>
  <c r="BF555" i="49"/>
  <c r="BF556" i="49"/>
  <c r="BF557" i="49"/>
  <c r="AC98" i="57"/>
  <c r="AA98" i="57"/>
  <c r="Y98" i="57"/>
  <c r="W98" i="57"/>
  <c r="U98" i="57"/>
  <c r="S98" i="57"/>
  <c r="Q98" i="57"/>
  <c r="O98" i="57"/>
  <c r="M98" i="57"/>
  <c r="AK552" i="49"/>
  <c r="AL552" i="49"/>
  <c r="AM552" i="49"/>
  <c r="AN552" i="49"/>
  <c r="AO552" i="49"/>
  <c r="AP552" i="49"/>
  <c r="AQ552" i="49"/>
  <c r="AR552" i="49"/>
  <c r="AS552" i="49"/>
  <c r="AT552" i="49"/>
  <c r="AU552" i="49"/>
  <c r="AV552" i="49"/>
  <c r="AK553" i="49"/>
  <c r="AL553" i="49"/>
  <c r="AM553" i="49"/>
  <c r="AN553" i="49"/>
  <c r="AO553" i="49"/>
  <c r="AP553" i="49"/>
  <c r="AQ553" i="49"/>
  <c r="AR553" i="49"/>
  <c r="AS553" i="49"/>
  <c r="AT553" i="49"/>
  <c r="AU553" i="49"/>
  <c r="AV553" i="49"/>
  <c r="AK554" i="49"/>
  <c r="AL554" i="49"/>
  <c r="AM554" i="49"/>
  <c r="AN554" i="49"/>
  <c r="AO554" i="49"/>
  <c r="AP554" i="49"/>
  <c r="AQ554" i="49"/>
  <c r="AR554" i="49"/>
  <c r="AS554" i="49"/>
  <c r="AT554" i="49"/>
  <c r="AU554" i="49"/>
  <c r="AV554" i="49"/>
  <c r="AK555" i="49"/>
  <c r="AL555" i="49"/>
  <c r="AM555" i="49"/>
  <c r="AN555" i="49"/>
  <c r="AO555" i="49"/>
  <c r="AP555" i="49"/>
  <c r="AQ555" i="49"/>
  <c r="AR555" i="49"/>
  <c r="AS555" i="49"/>
  <c r="AT555" i="49"/>
  <c r="AU555" i="49"/>
  <c r="AV555" i="49"/>
  <c r="AK556" i="49"/>
  <c r="AL556" i="49"/>
  <c r="AM556" i="49"/>
  <c r="AN556" i="49"/>
  <c r="AO556" i="49"/>
  <c r="AP556" i="49"/>
  <c r="AQ556" i="49"/>
  <c r="AR556" i="49"/>
  <c r="AS556" i="49"/>
  <c r="AT556" i="49"/>
  <c r="AU556" i="49"/>
  <c r="AV556" i="49"/>
  <c r="AK557" i="49"/>
  <c r="AL557" i="49"/>
  <c r="AM557" i="49"/>
  <c r="AN557" i="49"/>
  <c r="AO557" i="49"/>
  <c r="AP557" i="49"/>
  <c r="AQ557" i="49"/>
  <c r="AR557" i="49"/>
  <c r="AS557" i="49"/>
  <c r="AT557" i="49"/>
  <c r="AU557" i="49"/>
  <c r="AV557" i="49"/>
  <c r="AK558" i="49"/>
  <c r="AL558" i="49"/>
  <c r="AM558" i="49"/>
  <c r="AN558" i="49"/>
  <c r="AO558" i="49"/>
  <c r="AP558" i="49"/>
  <c r="AQ558" i="49"/>
  <c r="AR558" i="49"/>
  <c r="AS558" i="49"/>
  <c r="AT558" i="49"/>
  <c r="AU558" i="49"/>
  <c r="AV558" i="49"/>
  <c r="AN551" i="49"/>
  <c r="AO551" i="49"/>
  <c r="AP551" i="49"/>
  <c r="AQ551" i="49"/>
  <c r="AR551" i="49"/>
  <c r="AS551" i="49"/>
  <c r="AT551" i="49"/>
  <c r="AU551" i="49"/>
  <c r="AV551" i="49"/>
  <c r="AM551" i="49"/>
  <c r="AL551" i="49"/>
  <c r="AK551" i="49"/>
  <c r="AH552" i="49"/>
  <c r="AH553" i="49"/>
  <c r="AH554" i="49"/>
  <c r="AH555" i="49"/>
  <c r="AH556" i="49"/>
  <c r="AH557" i="49"/>
  <c r="AH558" i="49"/>
  <c r="AG552" i="49"/>
  <c r="AG553" i="49"/>
  <c r="AG554" i="49"/>
  <c r="AG555" i="49"/>
  <c r="AG556" i="49"/>
  <c r="AG557" i="49"/>
  <c r="AG558" i="49"/>
  <c r="BF551" i="49"/>
  <c r="AK98" i="57"/>
  <c r="B107" i="57" s="1"/>
  <c r="AH551" i="49"/>
  <c r="AG551" i="49"/>
  <c r="AJ98" i="57"/>
  <c r="B106" i="57" s="1"/>
  <c r="AH91" i="57"/>
  <c r="AI91" i="57"/>
  <c r="AH92" i="57"/>
  <c r="AI92" i="57"/>
  <c r="AH93" i="57"/>
  <c r="AI93" i="57"/>
  <c r="AH94" i="57"/>
  <c r="AI94" i="57"/>
  <c r="AH95" i="57"/>
  <c r="AI95" i="57"/>
  <c r="AH96" i="57"/>
  <c r="AI96" i="57"/>
  <c r="AH97" i="57"/>
  <c r="AH98" i="57" s="1"/>
  <c r="AI97" i="57"/>
  <c r="AI98" i="57" s="1"/>
  <c r="B101" i="57" s="1"/>
  <c r="AL207" i="56" l="1"/>
  <c r="B213" i="56" s="1"/>
  <c r="B37" i="61"/>
  <c r="AP910" i="49"/>
  <c r="AN910" i="49"/>
  <c r="AL910" i="49"/>
  <c r="AP535" i="56"/>
  <c r="AN535" i="56"/>
  <c r="AL535" i="56"/>
  <c r="AP491" i="56"/>
  <c r="AN491" i="56"/>
  <c r="AL491" i="56"/>
  <c r="AP298" i="56"/>
  <c r="AN298" i="56"/>
  <c r="AL298" i="56"/>
  <c r="AP133" i="56"/>
  <c r="AN133" i="56"/>
  <c r="AL133" i="56"/>
  <c r="AG677" i="49"/>
  <c r="AM677" i="49"/>
  <c r="AS677" i="49"/>
  <c r="AL678" i="49"/>
  <c r="AN678" i="49"/>
  <c r="AG98" i="57"/>
  <c r="B104" i="57" s="1"/>
  <c r="AH90" i="57"/>
  <c r="AI90" i="57"/>
  <c r="B79" i="57"/>
  <c r="B77" i="57"/>
  <c r="AK57" i="57"/>
  <c r="AH57" i="57"/>
  <c r="AG41" i="57" l="1"/>
  <c r="AG35" i="57"/>
  <c r="AG36" i="57"/>
  <c r="AG37" i="57"/>
  <c r="AG38" i="57"/>
  <c r="AG39" i="57"/>
  <c r="AG40" i="57"/>
  <c r="D34" i="57"/>
  <c r="B545" i="49"/>
  <c r="B544" i="49"/>
  <c r="B543" i="49"/>
  <c r="B542" i="49"/>
  <c r="B541" i="49"/>
  <c r="B540" i="49"/>
  <c r="B537" i="49"/>
  <c r="AH520" i="49"/>
  <c r="AQ521" i="49"/>
  <c r="AN534" i="49"/>
  <c r="AL521" i="49" a="1"/>
  <c r="AL521" i="49" s="1"/>
  <c r="AM521" i="49" a="1"/>
  <c r="AM521" i="49" s="1"/>
  <c r="AN521" i="49" a="1"/>
  <c r="AN521" i="49"/>
  <c r="AL522" i="49" a="1"/>
  <c r="AL522" i="49" s="1"/>
  <c r="AM522" i="49" a="1"/>
  <c r="AM522" i="49" s="1"/>
  <c r="AN522" i="49" a="1"/>
  <c r="AN522" i="49" s="1"/>
  <c r="AL523" i="49" a="1"/>
  <c r="AL523" i="49"/>
  <c r="AM523" i="49" a="1"/>
  <c r="AM523" i="49" s="1"/>
  <c r="AN523" i="49" a="1"/>
  <c r="AN523" i="49" s="1"/>
  <c r="AL524" i="49" a="1"/>
  <c r="AL524" i="49" s="1"/>
  <c r="AM524" i="49" a="1"/>
  <c r="AM524" i="49"/>
  <c r="AN524" i="49" a="1"/>
  <c r="AN524" i="49" s="1"/>
  <c r="AL525" i="49" a="1"/>
  <c r="AL525" i="49" s="1"/>
  <c r="AM525" i="49" a="1"/>
  <c r="AM525" i="49" s="1"/>
  <c r="AN525" i="49" a="1"/>
  <c r="AN525" i="49"/>
  <c r="AL526" i="49" a="1"/>
  <c r="AL526" i="49" s="1"/>
  <c r="AM526" i="49" a="1"/>
  <c r="AM526" i="49" s="1"/>
  <c r="AN526" i="49" a="1"/>
  <c r="AN526" i="49" s="1"/>
  <c r="AL527" i="49" a="1"/>
  <c r="AL527" i="49"/>
  <c r="AM527" i="49" a="1"/>
  <c r="AM527" i="49" s="1"/>
  <c r="AN527" i="49" a="1"/>
  <c r="AN527" i="49" s="1"/>
  <c r="AL528" i="49" a="1"/>
  <c r="AL528" i="49" s="1"/>
  <c r="AM528" i="49" a="1"/>
  <c r="AM528" i="49"/>
  <c r="AN528" i="49" a="1"/>
  <c r="AN528" i="49" s="1"/>
  <c r="AL529" i="49" a="1"/>
  <c r="AL529" i="49" s="1"/>
  <c r="AM529" i="49" a="1"/>
  <c r="AM529" i="49" s="1"/>
  <c r="AN529" i="49" a="1"/>
  <c r="AN529" i="49"/>
  <c r="AL530" i="49" a="1"/>
  <c r="AL530" i="49" s="1"/>
  <c r="AM530" i="49" a="1"/>
  <c r="AM530" i="49" s="1"/>
  <c r="AN530" i="49" a="1"/>
  <c r="AN530" i="49" s="1"/>
  <c r="AL531" i="49" a="1"/>
  <c r="AL531" i="49"/>
  <c r="AM531" i="49" a="1"/>
  <c r="AM531" i="49" s="1"/>
  <c r="AN531" i="49" a="1"/>
  <c r="AN531" i="49" s="1"/>
  <c r="AL532" i="49" a="1"/>
  <c r="AL532" i="49" s="1"/>
  <c r="AM532" i="49" a="1"/>
  <c r="AM532" i="49"/>
  <c r="AN532" i="49" a="1"/>
  <c r="AN532" i="49" s="1"/>
  <c r="AL533" i="49" a="1"/>
  <c r="AL533" i="49" s="1"/>
  <c r="AM533" i="49" a="1"/>
  <c r="AM533" i="49" s="1"/>
  <c r="AN533" i="49" a="1"/>
  <c r="AN533" i="49"/>
  <c r="AI521" i="49"/>
  <c r="AJ521" i="49"/>
  <c r="AK521" i="49"/>
  <c r="AI522" i="49"/>
  <c r="AJ522" i="49"/>
  <c r="AK522" i="49"/>
  <c r="AI523" i="49"/>
  <c r="AJ523" i="49"/>
  <c r="AK523" i="49"/>
  <c r="AI524" i="49"/>
  <c r="AJ524" i="49"/>
  <c r="AK524" i="49"/>
  <c r="AI525" i="49"/>
  <c r="AJ525" i="49"/>
  <c r="AK525" i="49"/>
  <c r="AI526" i="49"/>
  <c r="AJ526" i="49"/>
  <c r="AK526" i="49"/>
  <c r="AI527" i="49"/>
  <c r="AJ527" i="49"/>
  <c r="AK527" i="49"/>
  <c r="AI528" i="49"/>
  <c r="AJ528" i="49"/>
  <c r="AK528" i="49"/>
  <c r="AI529" i="49"/>
  <c r="AJ529" i="49"/>
  <c r="AK529" i="49"/>
  <c r="AI530" i="49"/>
  <c r="AJ530" i="49"/>
  <c r="AK530" i="49"/>
  <c r="AI531" i="49"/>
  <c r="AJ531" i="49"/>
  <c r="AK531" i="49"/>
  <c r="AI532" i="49"/>
  <c r="AJ532" i="49"/>
  <c r="AK532" i="49"/>
  <c r="AI533" i="49"/>
  <c r="AJ533" i="49"/>
  <c r="AK533" i="49"/>
  <c r="AG520" i="49"/>
  <c r="AL520" i="49" a="1"/>
  <c r="AL520" i="49" s="1"/>
  <c r="D49" i="57"/>
  <c r="D50" i="57"/>
  <c r="D51" i="57"/>
  <c r="D52" i="57"/>
  <c r="D53" i="57"/>
  <c r="D54" i="57"/>
  <c r="D55" i="57"/>
  <c r="AQ520" i="49" a="1"/>
  <c r="AQ520" i="49" s="1"/>
  <c r="AP520" i="49" a="1"/>
  <c r="AP520" i="49" s="1"/>
  <c r="AO520" i="49" a="1"/>
  <c r="AO520" i="49" s="1"/>
  <c r="D48" i="57"/>
  <c r="AN520" i="49" a="1"/>
  <c r="AN520" i="49" s="1"/>
  <c r="AM520" i="49" a="1"/>
  <c r="AM520" i="49" s="1"/>
  <c r="AK520" i="49"/>
  <c r="AJ520" i="49"/>
  <c r="AI520" i="49"/>
  <c r="D35" i="57"/>
  <c r="D36" i="57"/>
  <c r="D37" i="57"/>
  <c r="D38" i="57"/>
  <c r="D39" i="57"/>
  <c r="D40" i="57"/>
  <c r="D41" i="57"/>
  <c r="B509" i="49"/>
  <c r="B508" i="49"/>
  <c r="B507" i="49"/>
  <c r="B506" i="49"/>
  <c r="D494" i="49"/>
  <c r="D495" i="49"/>
  <c r="D496" i="49"/>
  <c r="D497" i="49"/>
  <c r="D498" i="49"/>
  <c r="D499" i="49"/>
  <c r="D500" i="49"/>
  <c r="D493" i="49"/>
  <c r="AP503" i="49"/>
  <c r="AN503" i="49"/>
  <c r="AL503" i="49"/>
  <c r="BF494" i="49"/>
  <c r="BF495" i="49"/>
  <c r="BF496" i="49"/>
  <c r="BF497" i="49"/>
  <c r="BF498" i="49"/>
  <c r="BF499" i="49"/>
  <c r="BF500" i="49"/>
  <c r="AK494" i="49"/>
  <c r="AL494" i="49"/>
  <c r="AM494" i="49"/>
  <c r="AN494" i="49"/>
  <c r="AO494" i="49"/>
  <c r="AP494" i="49"/>
  <c r="AQ494" i="49"/>
  <c r="AR494" i="49"/>
  <c r="AS494" i="49"/>
  <c r="AT494" i="49"/>
  <c r="AU494" i="49"/>
  <c r="AV494" i="49"/>
  <c r="AK495" i="49"/>
  <c r="AL495" i="49"/>
  <c r="AM495" i="49"/>
  <c r="AN495" i="49"/>
  <c r="AO495" i="49"/>
  <c r="AP495" i="49"/>
  <c r="AQ495" i="49"/>
  <c r="AR495" i="49"/>
  <c r="AS495" i="49"/>
  <c r="AT495" i="49"/>
  <c r="AU495" i="49"/>
  <c r="AV495" i="49"/>
  <c r="AK496" i="49"/>
  <c r="AL496" i="49"/>
  <c r="AM496" i="49"/>
  <c r="AN496" i="49"/>
  <c r="AO496" i="49"/>
  <c r="AP496" i="49"/>
  <c r="AQ496" i="49"/>
  <c r="AR496" i="49"/>
  <c r="AS496" i="49"/>
  <c r="AT496" i="49"/>
  <c r="AU496" i="49"/>
  <c r="AV496" i="49"/>
  <c r="AK497" i="49"/>
  <c r="AL497" i="49"/>
  <c r="AM497" i="49"/>
  <c r="AN497" i="49"/>
  <c r="AO497" i="49"/>
  <c r="AP497" i="49"/>
  <c r="AQ497" i="49"/>
  <c r="AR497" i="49"/>
  <c r="AS497" i="49"/>
  <c r="AT497" i="49"/>
  <c r="AU497" i="49"/>
  <c r="AV497" i="49"/>
  <c r="AK498" i="49"/>
  <c r="AL498" i="49"/>
  <c r="AM498" i="49"/>
  <c r="AN498" i="49"/>
  <c r="AO498" i="49"/>
  <c r="AP498" i="49"/>
  <c r="AQ498" i="49"/>
  <c r="AR498" i="49"/>
  <c r="AS498" i="49"/>
  <c r="AT498" i="49"/>
  <c r="AU498" i="49"/>
  <c r="AV498" i="49"/>
  <c r="AK499" i="49"/>
  <c r="AL499" i="49"/>
  <c r="AM499" i="49"/>
  <c r="AN499" i="49"/>
  <c r="AO499" i="49"/>
  <c r="AP499" i="49"/>
  <c r="AQ499" i="49"/>
  <c r="AR499" i="49"/>
  <c r="AS499" i="49"/>
  <c r="AT499" i="49"/>
  <c r="AU499" i="49"/>
  <c r="AV499" i="49"/>
  <c r="AK500" i="49"/>
  <c r="AL500" i="49"/>
  <c r="AM500" i="49"/>
  <c r="AN500" i="49"/>
  <c r="AO500" i="49"/>
  <c r="AP500" i="49"/>
  <c r="AQ500" i="49"/>
  <c r="AR500" i="49"/>
  <c r="AS500" i="49"/>
  <c r="AT500" i="49"/>
  <c r="AU500" i="49"/>
  <c r="AV500" i="49"/>
  <c r="AN493" i="49"/>
  <c r="AO493" i="49"/>
  <c r="AP493" i="49"/>
  <c r="AQ493" i="49"/>
  <c r="AR493" i="49"/>
  <c r="AS493" i="49"/>
  <c r="AT493" i="49"/>
  <c r="AU493" i="49"/>
  <c r="AV493" i="49"/>
  <c r="AM493" i="49"/>
  <c r="AL493" i="49"/>
  <c r="AK493" i="49"/>
  <c r="AH495" i="49"/>
  <c r="AH496" i="49"/>
  <c r="AH497" i="49"/>
  <c r="AH498" i="49"/>
  <c r="AH499" i="49"/>
  <c r="AH500" i="49"/>
  <c r="AH494" i="49"/>
  <c r="AG494" i="49"/>
  <c r="AG495" i="49"/>
  <c r="AG496" i="49"/>
  <c r="AG497" i="49"/>
  <c r="AG498" i="49"/>
  <c r="AG499" i="49"/>
  <c r="AG500" i="49"/>
  <c r="BF493" i="49"/>
  <c r="AH493" i="49"/>
  <c r="AG493" i="49"/>
  <c r="B486" i="49"/>
  <c r="B485" i="49"/>
  <c r="B484" i="49"/>
  <c r="B483" i="49"/>
  <c r="D471" i="49"/>
  <c r="D472" i="49"/>
  <c r="D473" i="49"/>
  <c r="D474" i="49"/>
  <c r="D475" i="49"/>
  <c r="D476" i="49"/>
  <c r="D477" i="49"/>
  <c r="D470" i="49"/>
  <c r="AP480" i="49"/>
  <c r="AN480" i="49"/>
  <c r="AL480" i="49"/>
  <c r="BF471" i="49"/>
  <c r="BF472" i="49"/>
  <c r="BF473" i="49"/>
  <c r="BF474" i="49"/>
  <c r="BF475" i="49"/>
  <c r="BF476" i="49"/>
  <c r="BF477" i="49"/>
  <c r="AK471" i="49"/>
  <c r="AL471" i="49"/>
  <c r="AM471" i="49"/>
  <c r="AN471" i="49"/>
  <c r="AO471" i="49"/>
  <c r="AP471" i="49"/>
  <c r="AQ471" i="49"/>
  <c r="AR471" i="49"/>
  <c r="AS471" i="49"/>
  <c r="AT471" i="49"/>
  <c r="AU471" i="49"/>
  <c r="AV471" i="49"/>
  <c r="AK472" i="49"/>
  <c r="AL472" i="49"/>
  <c r="AM472" i="49"/>
  <c r="AN472" i="49"/>
  <c r="AO472" i="49"/>
  <c r="AP472" i="49"/>
  <c r="AQ472" i="49"/>
  <c r="AR472" i="49"/>
  <c r="AS472" i="49"/>
  <c r="AT472" i="49"/>
  <c r="AU472" i="49"/>
  <c r="AV472" i="49"/>
  <c r="AK473" i="49"/>
  <c r="AL473" i="49"/>
  <c r="AM473" i="49"/>
  <c r="AN473" i="49"/>
  <c r="AO473" i="49"/>
  <c r="AP473" i="49"/>
  <c r="AQ473" i="49"/>
  <c r="AR473" i="49"/>
  <c r="AS473" i="49"/>
  <c r="AT473" i="49"/>
  <c r="AU473" i="49"/>
  <c r="AV473" i="49"/>
  <c r="AK474" i="49"/>
  <c r="AL474" i="49"/>
  <c r="AM474" i="49"/>
  <c r="AN474" i="49"/>
  <c r="AO474" i="49"/>
  <c r="AP474" i="49"/>
  <c r="AQ474" i="49"/>
  <c r="AR474" i="49"/>
  <c r="AS474" i="49"/>
  <c r="AT474" i="49"/>
  <c r="AU474" i="49"/>
  <c r="AV474" i="49"/>
  <c r="AK475" i="49"/>
  <c r="AL475" i="49"/>
  <c r="AM475" i="49"/>
  <c r="AN475" i="49"/>
  <c r="AO475" i="49"/>
  <c r="AP475" i="49"/>
  <c r="AQ475" i="49"/>
  <c r="AR475" i="49"/>
  <c r="AS475" i="49"/>
  <c r="AT475" i="49"/>
  <c r="AU475" i="49"/>
  <c r="AV475" i="49"/>
  <c r="AK476" i="49"/>
  <c r="AL476" i="49"/>
  <c r="AM476" i="49"/>
  <c r="AN476" i="49"/>
  <c r="AO476" i="49"/>
  <c r="AP476" i="49"/>
  <c r="AQ476" i="49"/>
  <c r="AR476" i="49"/>
  <c r="AS476" i="49"/>
  <c r="AT476" i="49"/>
  <c r="AU476" i="49"/>
  <c r="AV476" i="49"/>
  <c r="AK477" i="49"/>
  <c r="AL477" i="49"/>
  <c r="AM477" i="49"/>
  <c r="AN477" i="49"/>
  <c r="AO477" i="49"/>
  <c r="AP477" i="49"/>
  <c r="AQ477" i="49"/>
  <c r="AR477" i="49"/>
  <c r="AS477" i="49"/>
  <c r="AT477" i="49"/>
  <c r="AU477" i="49"/>
  <c r="AV477" i="49"/>
  <c r="AN470" i="49"/>
  <c r="AO470" i="49"/>
  <c r="AP470" i="49"/>
  <c r="AQ470" i="49"/>
  <c r="AR470" i="49"/>
  <c r="AS470" i="49"/>
  <c r="AT470" i="49"/>
  <c r="AU470" i="49"/>
  <c r="AV470" i="49"/>
  <c r="AM470" i="49"/>
  <c r="AL470" i="49"/>
  <c r="AK470" i="49"/>
  <c r="AH471" i="49"/>
  <c r="AH472" i="49"/>
  <c r="AH473" i="49"/>
  <c r="AH474" i="49"/>
  <c r="AH475" i="49"/>
  <c r="AH476" i="49"/>
  <c r="AH477" i="49"/>
  <c r="AG471" i="49"/>
  <c r="AG472" i="49"/>
  <c r="AG473" i="49"/>
  <c r="AG474" i="49"/>
  <c r="AG475" i="49"/>
  <c r="AG476" i="49"/>
  <c r="AG477" i="49"/>
  <c r="BF470" i="49"/>
  <c r="AH470" i="49"/>
  <c r="AG470" i="49"/>
  <c r="B463" i="49" l="1"/>
  <c r="B462" i="49"/>
  <c r="B461" i="49"/>
  <c r="B460" i="49"/>
  <c r="D448" i="49"/>
  <c r="D449" i="49"/>
  <c r="D450" i="49"/>
  <c r="D451" i="49"/>
  <c r="D452" i="49"/>
  <c r="D453" i="49"/>
  <c r="D454" i="49"/>
  <c r="D447" i="49"/>
  <c r="BF448" i="49"/>
  <c r="BF449" i="49"/>
  <c r="BF450" i="49"/>
  <c r="BF451" i="49"/>
  <c r="BF452" i="49"/>
  <c r="BF453" i="49"/>
  <c r="BF454" i="49"/>
  <c r="BF447" i="49"/>
  <c r="AP457" i="49"/>
  <c r="AN457" i="49"/>
  <c r="AL457" i="49"/>
  <c r="AK448" i="49"/>
  <c r="AL448" i="49"/>
  <c r="AM448" i="49"/>
  <c r="AN448" i="49"/>
  <c r="AO448" i="49"/>
  <c r="AP448" i="49"/>
  <c r="AQ448" i="49"/>
  <c r="AR448" i="49"/>
  <c r="AS448" i="49"/>
  <c r="AT448" i="49"/>
  <c r="AU448" i="49"/>
  <c r="AV448" i="49"/>
  <c r="AK449" i="49"/>
  <c r="AL449" i="49"/>
  <c r="AM449" i="49"/>
  <c r="AN449" i="49"/>
  <c r="AO449" i="49"/>
  <c r="AP449" i="49"/>
  <c r="AQ449" i="49"/>
  <c r="AR449" i="49"/>
  <c r="AS449" i="49"/>
  <c r="AT449" i="49"/>
  <c r="AU449" i="49"/>
  <c r="AV449" i="49"/>
  <c r="AK450" i="49"/>
  <c r="AL450" i="49"/>
  <c r="AM450" i="49"/>
  <c r="AN450" i="49"/>
  <c r="AO450" i="49"/>
  <c r="AP450" i="49"/>
  <c r="AQ450" i="49"/>
  <c r="AR450" i="49"/>
  <c r="AS450" i="49"/>
  <c r="AT450" i="49"/>
  <c r="AU450" i="49"/>
  <c r="AV450" i="49"/>
  <c r="AK451" i="49"/>
  <c r="AL451" i="49"/>
  <c r="AM451" i="49"/>
  <c r="AN451" i="49"/>
  <c r="AO451" i="49"/>
  <c r="AP451" i="49"/>
  <c r="AQ451" i="49"/>
  <c r="AR451" i="49"/>
  <c r="AS451" i="49"/>
  <c r="AT451" i="49"/>
  <c r="AU451" i="49"/>
  <c r="AV451" i="49"/>
  <c r="AK452" i="49"/>
  <c r="AL452" i="49"/>
  <c r="AM452" i="49"/>
  <c r="AN452" i="49"/>
  <c r="AO452" i="49"/>
  <c r="AP452" i="49"/>
  <c r="AQ452" i="49"/>
  <c r="AR452" i="49"/>
  <c r="AS452" i="49"/>
  <c r="AT452" i="49"/>
  <c r="AU452" i="49"/>
  <c r="AV452" i="49"/>
  <c r="AK453" i="49"/>
  <c r="AL453" i="49"/>
  <c r="AM453" i="49"/>
  <c r="AN453" i="49"/>
  <c r="AO453" i="49"/>
  <c r="AP453" i="49"/>
  <c r="AQ453" i="49"/>
  <c r="AR453" i="49"/>
  <c r="AS453" i="49"/>
  <c r="AT453" i="49"/>
  <c r="AU453" i="49"/>
  <c r="AV453" i="49"/>
  <c r="AK454" i="49"/>
  <c r="AL454" i="49"/>
  <c r="AM454" i="49"/>
  <c r="AN454" i="49"/>
  <c r="AO454" i="49"/>
  <c r="AP454" i="49"/>
  <c r="AQ454" i="49"/>
  <c r="AR454" i="49"/>
  <c r="AS454" i="49"/>
  <c r="AT454" i="49"/>
  <c r="AU454" i="49"/>
  <c r="AV454" i="49"/>
  <c r="AN447" i="49"/>
  <c r="AO447" i="49"/>
  <c r="AP447" i="49"/>
  <c r="AQ447" i="49"/>
  <c r="AR447" i="49"/>
  <c r="AS447" i="49"/>
  <c r="AT447" i="49"/>
  <c r="AU447" i="49"/>
  <c r="AV447" i="49"/>
  <c r="AM447" i="49"/>
  <c r="AL447" i="49"/>
  <c r="AK447" i="49"/>
  <c r="AH448" i="49"/>
  <c r="AH449" i="49"/>
  <c r="AH450" i="49"/>
  <c r="AH451" i="49"/>
  <c r="AH452" i="49"/>
  <c r="AH453" i="49"/>
  <c r="AH454" i="49"/>
  <c r="AG448" i="49"/>
  <c r="AG449" i="49"/>
  <c r="AG450" i="49"/>
  <c r="AG451" i="49"/>
  <c r="AG452" i="49"/>
  <c r="AG453" i="49"/>
  <c r="AG454" i="49"/>
  <c r="AH447" i="49"/>
  <c r="AG447" i="49"/>
  <c r="B440" i="49"/>
  <c r="B439" i="49"/>
  <c r="B438" i="49"/>
  <c r="B437" i="49"/>
  <c r="D425" i="49"/>
  <c r="D426" i="49"/>
  <c r="D427" i="49"/>
  <c r="D428" i="49"/>
  <c r="D429" i="49"/>
  <c r="D430" i="49"/>
  <c r="D431" i="49"/>
  <c r="D424" i="49"/>
  <c r="AP434" i="49"/>
  <c r="AN434" i="49"/>
  <c r="AL434" i="49"/>
  <c r="BF425" i="49"/>
  <c r="BF426" i="49"/>
  <c r="BF427" i="49"/>
  <c r="BF428" i="49"/>
  <c r="BF429" i="49"/>
  <c r="BF430" i="49"/>
  <c r="BF431" i="49"/>
  <c r="AK425" i="49"/>
  <c r="AL425" i="49"/>
  <c r="AM425" i="49"/>
  <c r="AN425" i="49"/>
  <c r="AO425" i="49"/>
  <c r="AP425" i="49"/>
  <c r="AQ425" i="49"/>
  <c r="AR425" i="49"/>
  <c r="AS425" i="49"/>
  <c r="AT425" i="49"/>
  <c r="AU425" i="49"/>
  <c r="AV425" i="49"/>
  <c r="AK426" i="49"/>
  <c r="AL426" i="49"/>
  <c r="AM426" i="49"/>
  <c r="AN426" i="49"/>
  <c r="AO426" i="49"/>
  <c r="AP426" i="49"/>
  <c r="AQ426" i="49"/>
  <c r="AR426" i="49"/>
  <c r="AS426" i="49"/>
  <c r="AT426" i="49"/>
  <c r="AU426" i="49"/>
  <c r="AV426" i="49"/>
  <c r="AK427" i="49"/>
  <c r="AL427" i="49"/>
  <c r="AM427" i="49"/>
  <c r="AN427" i="49"/>
  <c r="AO427" i="49"/>
  <c r="AP427" i="49"/>
  <c r="AQ427" i="49"/>
  <c r="AR427" i="49"/>
  <c r="AS427" i="49"/>
  <c r="AT427" i="49"/>
  <c r="AU427" i="49"/>
  <c r="AV427" i="49"/>
  <c r="AK428" i="49"/>
  <c r="AL428" i="49"/>
  <c r="AM428" i="49"/>
  <c r="AN428" i="49"/>
  <c r="AO428" i="49"/>
  <c r="AP428" i="49"/>
  <c r="AQ428" i="49"/>
  <c r="AR428" i="49"/>
  <c r="AS428" i="49"/>
  <c r="AT428" i="49"/>
  <c r="AU428" i="49"/>
  <c r="AV428" i="49"/>
  <c r="AK429" i="49"/>
  <c r="AL429" i="49"/>
  <c r="AM429" i="49"/>
  <c r="AN429" i="49"/>
  <c r="AO429" i="49"/>
  <c r="AP429" i="49"/>
  <c r="AQ429" i="49"/>
  <c r="AR429" i="49"/>
  <c r="AS429" i="49"/>
  <c r="AT429" i="49"/>
  <c r="AU429" i="49"/>
  <c r="AV429" i="49"/>
  <c r="AK430" i="49"/>
  <c r="AL430" i="49"/>
  <c r="AM430" i="49"/>
  <c r="AN430" i="49"/>
  <c r="AO430" i="49"/>
  <c r="AP430" i="49"/>
  <c r="AQ430" i="49"/>
  <c r="AR430" i="49"/>
  <c r="AS430" i="49"/>
  <c r="AT430" i="49"/>
  <c r="AU430" i="49"/>
  <c r="AV430" i="49"/>
  <c r="AK431" i="49"/>
  <c r="AL431" i="49"/>
  <c r="AM431" i="49"/>
  <c r="AN431" i="49"/>
  <c r="AO431" i="49"/>
  <c r="AP431" i="49"/>
  <c r="AQ431" i="49"/>
  <c r="AR431" i="49"/>
  <c r="AS431" i="49"/>
  <c r="AT431" i="49"/>
  <c r="AU431" i="49"/>
  <c r="AV431" i="49"/>
  <c r="AN424" i="49"/>
  <c r="AO424" i="49"/>
  <c r="AP424" i="49"/>
  <c r="AQ424" i="49"/>
  <c r="AR424" i="49"/>
  <c r="AS424" i="49"/>
  <c r="AT424" i="49"/>
  <c r="AU424" i="49"/>
  <c r="AV424" i="49"/>
  <c r="AM424" i="49"/>
  <c r="AL424" i="49"/>
  <c r="AK424" i="49"/>
  <c r="AH425" i="49"/>
  <c r="AH426" i="49"/>
  <c r="AH427" i="49"/>
  <c r="AH428" i="49"/>
  <c r="AH429" i="49"/>
  <c r="AH430" i="49"/>
  <c r="AH431" i="49"/>
  <c r="AG425" i="49"/>
  <c r="AG426" i="49"/>
  <c r="AG427" i="49"/>
  <c r="AG428" i="49"/>
  <c r="AG429" i="49"/>
  <c r="AG430" i="49"/>
  <c r="AG431" i="49"/>
  <c r="BF424" i="49"/>
  <c r="AH424" i="49"/>
  <c r="AG424" i="49"/>
  <c r="AK49" i="57"/>
  <c r="AL49" i="57"/>
  <c r="AM49" i="57"/>
  <c r="AN49" i="57"/>
  <c r="AO49" i="57"/>
  <c r="AP49" i="57"/>
  <c r="AQ49" i="57"/>
  <c r="AR49" i="57"/>
  <c r="AS49" i="57"/>
  <c r="AT49" i="57"/>
  <c r="AU49" i="57"/>
  <c r="AV49" i="57"/>
  <c r="AW49" i="57"/>
  <c r="AK50" i="57"/>
  <c r="AL50" i="57"/>
  <c r="AM50" i="57"/>
  <c r="AN50" i="57"/>
  <c r="AO50" i="57"/>
  <c r="AP50" i="57"/>
  <c r="AQ50" i="57"/>
  <c r="AR50" i="57"/>
  <c r="AS50" i="57"/>
  <c r="AT50" i="57"/>
  <c r="AU50" i="57"/>
  <c r="AV50" i="57"/>
  <c r="AW50" i="57"/>
  <c r="AK51" i="57"/>
  <c r="AL51" i="57"/>
  <c r="AM51" i="57"/>
  <c r="AN51" i="57"/>
  <c r="AO51" i="57"/>
  <c r="AP51" i="57"/>
  <c r="AQ51" i="57"/>
  <c r="AR51" i="57"/>
  <c r="AS51" i="57"/>
  <c r="AT51" i="57"/>
  <c r="AU51" i="57"/>
  <c r="AV51" i="57"/>
  <c r="AW51" i="57"/>
  <c r="AK52" i="57"/>
  <c r="AL52" i="57"/>
  <c r="AM52" i="57"/>
  <c r="AN52" i="57"/>
  <c r="AO52" i="57"/>
  <c r="AP52" i="57"/>
  <c r="AQ52" i="57"/>
  <c r="AR52" i="57"/>
  <c r="AS52" i="57"/>
  <c r="AT52" i="57"/>
  <c r="AU52" i="57"/>
  <c r="AV52" i="57"/>
  <c r="AW52" i="57"/>
  <c r="AK53" i="57"/>
  <c r="AL53" i="57"/>
  <c r="AM53" i="57"/>
  <c r="AN53" i="57"/>
  <c r="AO53" i="57"/>
  <c r="AP53" i="57"/>
  <c r="AQ53" i="57"/>
  <c r="AR53" i="57"/>
  <c r="AS53" i="57"/>
  <c r="AT53" i="57"/>
  <c r="AU53" i="57"/>
  <c r="AV53" i="57"/>
  <c r="AW53" i="57"/>
  <c r="AK54" i="57"/>
  <c r="AL54" i="57"/>
  <c r="AM54" i="57"/>
  <c r="AN54" i="57"/>
  <c r="AO54" i="57"/>
  <c r="AP54" i="57"/>
  <c r="AQ54" i="57"/>
  <c r="AR54" i="57"/>
  <c r="AS54" i="57"/>
  <c r="AT54" i="57"/>
  <c r="AU54" i="57"/>
  <c r="AV54" i="57"/>
  <c r="AW54" i="57"/>
  <c r="AK55" i="57"/>
  <c r="AL55" i="57"/>
  <c r="AM55" i="57"/>
  <c r="AN55" i="57"/>
  <c r="AO55" i="57"/>
  <c r="AP55" i="57"/>
  <c r="AQ55" i="57"/>
  <c r="AR55" i="57"/>
  <c r="AS55" i="57"/>
  <c r="AT55" i="57"/>
  <c r="AU55" i="57"/>
  <c r="AV55" i="57"/>
  <c r="AW55" i="57"/>
  <c r="AW48" i="57"/>
  <c r="AV48" i="57"/>
  <c r="AU48" i="57"/>
  <c r="AT48" i="57"/>
  <c r="AS48" i="57"/>
  <c r="AR48" i="57"/>
  <c r="AQ48" i="57"/>
  <c r="AP48" i="57"/>
  <c r="AO48" i="57"/>
  <c r="AN48" i="57"/>
  <c r="AM48" i="57"/>
  <c r="AL48" i="57"/>
  <c r="AK48" i="57"/>
  <c r="AH49" i="57" l="1"/>
  <c r="AI49" i="57"/>
  <c r="AH50" i="57"/>
  <c r="AI50" i="57"/>
  <c r="AH51" i="57"/>
  <c r="AI51" i="57"/>
  <c r="AH52" i="57"/>
  <c r="AI52" i="57"/>
  <c r="AH53" i="57"/>
  <c r="AI53" i="57"/>
  <c r="AH54" i="57"/>
  <c r="AI54" i="57"/>
  <c r="AH55" i="57"/>
  <c r="AH56" i="57" s="1"/>
  <c r="AI55" i="57"/>
  <c r="AI56" i="57" s="1"/>
  <c r="AK56" i="57"/>
  <c r="AH48" i="57"/>
  <c r="AI48" i="57"/>
  <c r="S56" i="57"/>
  <c r="T56" i="57"/>
  <c r="U56" i="57"/>
  <c r="V56" i="57"/>
  <c r="W56" i="57"/>
  <c r="X56" i="57"/>
  <c r="Y56" i="57"/>
  <c r="Z56" i="57"/>
  <c r="AA56" i="57"/>
  <c r="AB56" i="57"/>
  <c r="AC56" i="57"/>
  <c r="AD56" i="57"/>
  <c r="R56" i="57"/>
  <c r="U42" i="57"/>
  <c r="V42" i="57"/>
  <c r="W42" i="57"/>
  <c r="X42" i="57"/>
  <c r="Y42" i="57"/>
  <c r="Z42" i="57"/>
  <c r="AA42" i="57"/>
  <c r="AB42" i="57"/>
  <c r="AC42" i="57"/>
  <c r="AD42" i="57"/>
  <c r="T42" i="57"/>
  <c r="AH35" i="57"/>
  <c r="AJ35" i="57"/>
  <c r="AK35" i="57"/>
  <c r="AL35" i="57"/>
  <c r="AM35" i="57"/>
  <c r="AN35" i="57"/>
  <c r="AO35" i="57"/>
  <c r="AP35" i="57"/>
  <c r="AQ35" i="57"/>
  <c r="AR35" i="57"/>
  <c r="AS35" i="57"/>
  <c r="AT35" i="57"/>
  <c r="AH36" i="57"/>
  <c r="AJ36" i="57"/>
  <c r="AK36" i="57"/>
  <c r="AL36" i="57"/>
  <c r="AM36" i="57"/>
  <c r="AN36" i="57"/>
  <c r="AO36" i="57"/>
  <c r="AP36" i="57"/>
  <c r="AQ36" i="57"/>
  <c r="AR36" i="57"/>
  <c r="AS36" i="57"/>
  <c r="AT36" i="57"/>
  <c r="AH37" i="57"/>
  <c r="AJ37" i="57"/>
  <c r="AK37" i="57"/>
  <c r="AL37" i="57"/>
  <c r="AM37" i="57"/>
  <c r="AN37" i="57"/>
  <c r="AO37" i="57"/>
  <c r="AP37" i="57"/>
  <c r="AQ37" i="57"/>
  <c r="AR37" i="57"/>
  <c r="AS37" i="57"/>
  <c r="AT37" i="57"/>
  <c r="AH38" i="57"/>
  <c r="AJ38" i="57"/>
  <c r="AK38" i="57"/>
  <c r="AL38" i="57"/>
  <c r="AM38" i="57"/>
  <c r="AN38" i="57"/>
  <c r="AO38" i="57"/>
  <c r="AP38" i="57"/>
  <c r="AQ38" i="57"/>
  <c r="AR38" i="57"/>
  <c r="AS38" i="57"/>
  <c r="AT38" i="57"/>
  <c r="AH39" i="57"/>
  <c r="AJ39" i="57"/>
  <c r="AK39" i="57"/>
  <c r="AL39" i="57"/>
  <c r="AM39" i="57"/>
  <c r="AN39" i="57"/>
  <c r="AO39" i="57"/>
  <c r="AP39" i="57"/>
  <c r="AQ39" i="57"/>
  <c r="AR39" i="57"/>
  <c r="AS39" i="57"/>
  <c r="AT39" i="57"/>
  <c r="AH40" i="57"/>
  <c r="AJ40" i="57"/>
  <c r="AK40" i="57"/>
  <c r="AL40" i="57"/>
  <c r="AM40" i="57"/>
  <c r="AN40" i="57"/>
  <c r="AO40" i="57"/>
  <c r="AP40" i="57"/>
  <c r="AQ40" i="57"/>
  <c r="AR40" i="57"/>
  <c r="AS40" i="57"/>
  <c r="AT40" i="57"/>
  <c r="AH41" i="57"/>
  <c r="AJ41" i="57"/>
  <c r="AK41" i="57"/>
  <c r="AL41" i="57"/>
  <c r="AM41" i="57"/>
  <c r="AN41" i="57"/>
  <c r="AO41" i="57"/>
  <c r="AP41" i="57"/>
  <c r="AQ41" i="57"/>
  <c r="AR41" i="57"/>
  <c r="AS41" i="57"/>
  <c r="AT41" i="57"/>
  <c r="AK42" i="57" l="1"/>
  <c r="AH42" i="57"/>
  <c r="AI42" i="57"/>
  <c r="B78" i="57" s="1"/>
  <c r="AG42" i="57"/>
  <c r="B76" i="57" s="1"/>
  <c r="AH34" i="57"/>
  <c r="AJ42" i="57"/>
  <c r="B80" i="57" s="1"/>
  <c r="AK34" i="57"/>
  <c r="AL34" i="57"/>
  <c r="AM34" i="57"/>
  <c r="AN34" i="57"/>
  <c r="AO34" i="57"/>
  <c r="AP34" i="57"/>
  <c r="AQ34" i="57"/>
  <c r="AR34" i="57"/>
  <c r="AS34" i="57"/>
  <c r="AT34" i="57"/>
  <c r="B417" i="49"/>
  <c r="B416" i="49"/>
  <c r="B415" i="49"/>
  <c r="B414" i="49"/>
  <c r="D402" i="49"/>
  <c r="D403" i="49"/>
  <c r="D404" i="49"/>
  <c r="D405" i="49"/>
  <c r="D406" i="49"/>
  <c r="D407" i="49"/>
  <c r="D408" i="49"/>
  <c r="D401" i="49"/>
  <c r="AP411" i="49"/>
  <c r="AN411" i="49"/>
  <c r="AL411" i="49"/>
  <c r="AK402" i="49"/>
  <c r="AL402" i="49"/>
  <c r="AM402" i="49"/>
  <c r="AN402" i="49"/>
  <c r="AO402" i="49"/>
  <c r="AP402" i="49"/>
  <c r="AQ402" i="49"/>
  <c r="AR402" i="49"/>
  <c r="AS402" i="49"/>
  <c r="AT402" i="49"/>
  <c r="AU402" i="49"/>
  <c r="AV402" i="49"/>
  <c r="AK403" i="49"/>
  <c r="AL403" i="49"/>
  <c r="AM403" i="49"/>
  <c r="AN403" i="49"/>
  <c r="AO403" i="49"/>
  <c r="AP403" i="49"/>
  <c r="AQ403" i="49"/>
  <c r="AR403" i="49"/>
  <c r="AS403" i="49"/>
  <c r="AT403" i="49"/>
  <c r="AU403" i="49"/>
  <c r="AV403" i="49"/>
  <c r="AK404" i="49"/>
  <c r="AL404" i="49"/>
  <c r="AM404" i="49"/>
  <c r="AN404" i="49"/>
  <c r="AO404" i="49"/>
  <c r="AP404" i="49"/>
  <c r="AQ404" i="49"/>
  <c r="AR404" i="49"/>
  <c r="AS404" i="49"/>
  <c r="AT404" i="49"/>
  <c r="AU404" i="49"/>
  <c r="AV404" i="49"/>
  <c r="AK405" i="49"/>
  <c r="AL405" i="49"/>
  <c r="AM405" i="49"/>
  <c r="AN405" i="49"/>
  <c r="AO405" i="49"/>
  <c r="AP405" i="49"/>
  <c r="AQ405" i="49"/>
  <c r="AR405" i="49"/>
  <c r="AS405" i="49"/>
  <c r="AT405" i="49"/>
  <c r="AU405" i="49"/>
  <c r="AV405" i="49"/>
  <c r="AK406" i="49"/>
  <c r="AL406" i="49"/>
  <c r="AM406" i="49"/>
  <c r="AN406" i="49"/>
  <c r="AO406" i="49"/>
  <c r="AP406" i="49"/>
  <c r="AQ406" i="49"/>
  <c r="AR406" i="49"/>
  <c r="AS406" i="49"/>
  <c r="AT406" i="49"/>
  <c r="AU406" i="49"/>
  <c r="AV406" i="49"/>
  <c r="AK407" i="49"/>
  <c r="AL407" i="49"/>
  <c r="AM407" i="49"/>
  <c r="AN407" i="49"/>
  <c r="AO407" i="49"/>
  <c r="AP407" i="49"/>
  <c r="AQ407" i="49"/>
  <c r="AR407" i="49"/>
  <c r="AS407" i="49"/>
  <c r="AT407" i="49"/>
  <c r="AU407" i="49"/>
  <c r="AV407" i="49"/>
  <c r="AK408" i="49"/>
  <c r="AL408" i="49"/>
  <c r="AM408" i="49"/>
  <c r="AN408" i="49"/>
  <c r="AO408" i="49"/>
  <c r="AP408" i="49"/>
  <c r="AQ408" i="49"/>
  <c r="AR408" i="49"/>
  <c r="AS408" i="49"/>
  <c r="AT408" i="49"/>
  <c r="AU408" i="49"/>
  <c r="AV408" i="49"/>
  <c r="AN401" i="49"/>
  <c r="AO401" i="49"/>
  <c r="AP401" i="49"/>
  <c r="AQ401" i="49"/>
  <c r="AR401" i="49"/>
  <c r="AS401" i="49"/>
  <c r="AT401" i="49"/>
  <c r="AU401" i="49"/>
  <c r="AV401" i="49"/>
  <c r="AM401" i="49"/>
  <c r="AL401" i="49"/>
  <c r="AK401" i="49"/>
  <c r="AJ409" i="49"/>
  <c r="AJ408" i="49" a="1"/>
  <c r="AJ408" i="49" s="1"/>
  <c r="AJ402" i="49" a="1"/>
  <c r="AJ402" i="49" s="1"/>
  <c r="AJ403" i="49" a="1"/>
  <c r="AJ403" i="49" s="1"/>
  <c r="AJ404" i="49" a="1"/>
  <c r="AJ404" i="49" s="1"/>
  <c r="AJ405" i="49" a="1"/>
  <c r="AJ405" i="49" s="1"/>
  <c r="AJ406" i="49" a="1"/>
  <c r="AJ406" i="49" s="1"/>
  <c r="AJ407" i="49" a="1"/>
  <c r="AJ407" i="49" s="1"/>
  <c r="AJ401" i="49" a="1"/>
  <c r="AJ401" i="49" s="1"/>
  <c r="AH402" i="49"/>
  <c r="AH403" i="49"/>
  <c r="AH404" i="49"/>
  <c r="AH405" i="49"/>
  <c r="AH406" i="49"/>
  <c r="AH407" i="49"/>
  <c r="AH408" i="49"/>
  <c r="AG402" i="49"/>
  <c r="AG403" i="49"/>
  <c r="AG404" i="49"/>
  <c r="AG405" i="49"/>
  <c r="AG406" i="49"/>
  <c r="AG407" i="49"/>
  <c r="AG408" i="49"/>
  <c r="AH401" i="49"/>
  <c r="AG401" i="49"/>
  <c r="B390" i="49"/>
  <c r="B389" i="49"/>
  <c r="B388" i="49"/>
  <c r="B387" i="49"/>
  <c r="D375" i="49"/>
  <c r="D376" i="49"/>
  <c r="D377" i="49"/>
  <c r="D378" i="49"/>
  <c r="D379" i="49"/>
  <c r="D380" i="49"/>
  <c r="D381" i="49"/>
  <c r="D374" i="49"/>
  <c r="BF375" i="49"/>
  <c r="BF376" i="49"/>
  <c r="BF377" i="49"/>
  <c r="BF378" i="49"/>
  <c r="BF379" i="49"/>
  <c r="BF380" i="49"/>
  <c r="BF381" i="49"/>
  <c r="AP384" i="49"/>
  <c r="AN384" i="49"/>
  <c r="AL384" i="49"/>
  <c r="AK375" i="49"/>
  <c r="AL375" i="49"/>
  <c r="AM375" i="49"/>
  <c r="AN375" i="49"/>
  <c r="AO375" i="49"/>
  <c r="AP375" i="49"/>
  <c r="AQ375" i="49"/>
  <c r="AR375" i="49"/>
  <c r="AS375" i="49"/>
  <c r="AT375" i="49"/>
  <c r="AU375" i="49"/>
  <c r="AV375" i="49"/>
  <c r="AK376" i="49"/>
  <c r="AL376" i="49"/>
  <c r="AM376" i="49"/>
  <c r="AN376" i="49"/>
  <c r="AO376" i="49"/>
  <c r="AP376" i="49"/>
  <c r="AQ376" i="49"/>
  <c r="AR376" i="49"/>
  <c r="AS376" i="49"/>
  <c r="AT376" i="49"/>
  <c r="AU376" i="49"/>
  <c r="AV376" i="49"/>
  <c r="AK377" i="49"/>
  <c r="AL377" i="49"/>
  <c r="AM377" i="49"/>
  <c r="AN377" i="49"/>
  <c r="AO377" i="49"/>
  <c r="AP377" i="49"/>
  <c r="AQ377" i="49"/>
  <c r="AR377" i="49"/>
  <c r="AS377" i="49"/>
  <c r="AT377" i="49"/>
  <c r="AU377" i="49"/>
  <c r="AV377" i="49"/>
  <c r="AK378" i="49"/>
  <c r="AL378" i="49"/>
  <c r="AM378" i="49"/>
  <c r="AN378" i="49"/>
  <c r="AO378" i="49"/>
  <c r="AP378" i="49"/>
  <c r="AQ378" i="49"/>
  <c r="AR378" i="49"/>
  <c r="AS378" i="49"/>
  <c r="AT378" i="49"/>
  <c r="AU378" i="49"/>
  <c r="AV378" i="49"/>
  <c r="AK379" i="49"/>
  <c r="AL379" i="49"/>
  <c r="AM379" i="49"/>
  <c r="AN379" i="49"/>
  <c r="AO379" i="49"/>
  <c r="AP379" i="49"/>
  <c r="AQ379" i="49"/>
  <c r="AR379" i="49"/>
  <c r="AS379" i="49"/>
  <c r="AT379" i="49"/>
  <c r="AU379" i="49"/>
  <c r="AV379" i="49"/>
  <c r="AK380" i="49"/>
  <c r="AL380" i="49"/>
  <c r="AM380" i="49"/>
  <c r="AN380" i="49"/>
  <c r="AO380" i="49"/>
  <c r="AP380" i="49"/>
  <c r="AQ380" i="49"/>
  <c r="AR380" i="49"/>
  <c r="AS380" i="49"/>
  <c r="AT380" i="49"/>
  <c r="AU380" i="49"/>
  <c r="AV380" i="49"/>
  <c r="AK381" i="49"/>
  <c r="AL381" i="49"/>
  <c r="AM381" i="49"/>
  <c r="AN381" i="49"/>
  <c r="AO381" i="49"/>
  <c r="AP381" i="49"/>
  <c r="AQ381" i="49"/>
  <c r="AR381" i="49"/>
  <c r="AS381" i="49"/>
  <c r="AT381" i="49"/>
  <c r="AU381" i="49"/>
  <c r="AV381" i="49"/>
  <c r="AN374" i="49"/>
  <c r="AO374" i="49"/>
  <c r="AP374" i="49"/>
  <c r="AQ374" i="49"/>
  <c r="AR374" i="49"/>
  <c r="AS374" i="49"/>
  <c r="AT374" i="49"/>
  <c r="AU374" i="49"/>
  <c r="AV374" i="49"/>
  <c r="AM374" i="49"/>
  <c r="AL374" i="49"/>
  <c r="AK374" i="49"/>
  <c r="AH375" i="49"/>
  <c r="AH376" i="49"/>
  <c r="AH377" i="49"/>
  <c r="AH378" i="49"/>
  <c r="AH379" i="49"/>
  <c r="AH380" i="49"/>
  <c r="AH381" i="49"/>
  <c r="AG375" i="49"/>
  <c r="AG376" i="49"/>
  <c r="AG377" i="49"/>
  <c r="AG378" i="49"/>
  <c r="AG379" i="49"/>
  <c r="AG380" i="49"/>
  <c r="AG381" i="49"/>
  <c r="BF374" i="49"/>
  <c r="AH374" i="49"/>
  <c r="AG374" i="49"/>
  <c r="B367" i="49"/>
  <c r="B366" i="49"/>
  <c r="B365" i="49"/>
  <c r="B364" i="49"/>
  <c r="D352" i="49"/>
  <c r="D353" i="49"/>
  <c r="D354" i="49"/>
  <c r="D355" i="49"/>
  <c r="D356" i="49"/>
  <c r="D357" i="49"/>
  <c r="D358" i="49"/>
  <c r="D351" i="49"/>
  <c r="BF352" i="49"/>
  <c r="BF353" i="49"/>
  <c r="BF354" i="49"/>
  <c r="BF355" i="49"/>
  <c r="BF356" i="49"/>
  <c r="BF357" i="49"/>
  <c r="BF358" i="49"/>
  <c r="AK352" i="49"/>
  <c r="AL352" i="49"/>
  <c r="AM352" i="49"/>
  <c r="AN352" i="49"/>
  <c r="AO352" i="49"/>
  <c r="AP352" i="49"/>
  <c r="AQ352" i="49"/>
  <c r="AR352" i="49"/>
  <c r="AS352" i="49"/>
  <c r="AT352" i="49"/>
  <c r="AU352" i="49"/>
  <c r="AV352" i="49"/>
  <c r="AW352" i="49"/>
  <c r="AX352" i="49"/>
  <c r="AY352" i="49"/>
  <c r="AZ352" i="49"/>
  <c r="BA352" i="49"/>
  <c r="BB352" i="49"/>
  <c r="BC352" i="49"/>
  <c r="BD352" i="49"/>
  <c r="BE352" i="49"/>
  <c r="AK353" i="49"/>
  <c r="AL353" i="49"/>
  <c r="AM353" i="49"/>
  <c r="AN353" i="49"/>
  <c r="AO353" i="49"/>
  <c r="AP353" i="49"/>
  <c r="AQ353" i="49"/>
  <c r="AR353" i="49"/>
  <c r="AS353" i="49"/>
  <c r="AT353" i="49"/>
  <c r="AU353" i="49"/>
  <c r="AV353" i="49"/>
  <c r="AW353" i="49"/>
  <c r="AX353" i="49"/>
  <c r="AY353" i="49"/>
  <c r="AZ353" i="49"/>
  <c r="BA353" i="49"/>
  <c r="BB353" i="49"/>
  <c r="BC353" i="49"/>
  <c r="BD353" i="49"/>
  <c r="BE353" i="49"/>
  <c r="AK354" i="49"/>
  <c r="AL354" i="49"/>
  <c r="AM354" i="49"/>
  <c r="AN354" i="49"/>
  <c r="AO354" i="49"/>
  <c r="AP354" i="49"/>
  <c r="AQ354" i="49"/>
  <c r="AR354" i="49"/>
  <c r="AS354" i="49"/>
  <c r="AT354" i="49"/>
  <c r="AU354" i="49"/>
  <c r="AV354" i="49"/>
  <c r="AW354" i="49"/>
  <c r="AX354" i="49"/>
  <c r="AY354" i="49"/>
  <c r="AZ354" i="49"/>
  <c r="BA354" i="49"/>
  <c r="BB354" i="49"/>
  <c r="BC354" i="49"/>
  <c r="BD354" i="49"/>
  <c r="BE354" i="49"/>
  <c r="AK355" i="49"/>
  <c r="AL355" i="49"/>
  <c r="AM355" i="49"/>
  <c r="AN355" i="49"/>
  <c r="AO355" i="49"/>
  <c r="AP355" i="49"/>
  <c r="AQ355" i="49"/>
  <c r="AR355" i="49"/>
  <c r="AS355" i="49"/>
  <c r="AT355" i="49"/>
  <c r="AU355" i="49"/>
  <c r="AV355" i="49"/>
  <c r="AW355" i="49"/>
  <c r="AX355" i="49"/>
  <c r="AY355" i="49"/>
  <c r="AZ355" i="49"/>
  <c r="BA355" i="49"/>
  <c r="BB355" i="49"/>
  <c r="BC355" i="49"/>
  <c r="BD355" i="49"/>
  <c r="BE355" i="49"/>
  <c r="AK356" i="49"/>
  <c r="AL356" i="49"/>
  <c r="AM356" i="49"/>
  <c r="AN356" i="49"/>
  <c r="AO356" i="49"/>
  <c r="AP356" i="49"/>
  <c r="AQ356" i="49"/>
  <c r="AR356" i="49"/>
  <c r="AS356" i="49"/>
  <c r="AT356" i="49"/>
  <c r="AU356" i="49"/>
  <c r="AV356" i="49"/>
  <c r="AW356" i="49"/>
  <c r="AX356" i="49"/>
  <c r="AY356" i="49"/>
  <c r="AZ356" i="49"/>
  <c r="BA356" i="49"/>
  <c r="BB356" i="49"/>
  <c r="BC356" i="49"/>
  <c r="BD356" i="49"/>
  <c r="BE356" i="49"/>
  <c r="AK357" i="49"/>
  <c r="AL357" i="49"/>
  <c r="AM357" i="49"/>
  <c r="AN357" i="49"/>
  <c r="AO357" i="49"/>
  <c r="AP357" i="49"/>
  <c r="AQ357" i="49"/>
  <c r="AR357" i="49"/>
  <c r="AS357" i="49"/>
  <c r="AT357" i="49"/>
  <c r="AU357" i="49"/>
  <c r="AV357" i="49"/>
  <c r="AW357" i="49"/>
  <c r="AX357" i="49"/>
  <c r="AY357" i="49"/>
  <c r="AZ357" i="49"/>
  <c r="BA357" i="49"/>
  <c r="BB357" i="49"/>
  <c r="BC357" i="49"/>
  <c r="BD357" i="49"/>
  <c r="BE357" i="49"/>
  <c r="AK358" i="49"/>
  <c r="AL358" i="49"/>
  <c r="AM358" i="49"/>
  <c r="AN358" i="49"/>
  <c r="AO358" i="49"/>
  <c r="AP358" i="49"/>
  <c r="AQ358" i="49"/>
  <c r="AR358" i="49"/>
  <c r="AS358" i="49"/>
  <c r="AT358" i="49"/>
  <c r="AU358" i="49"/>
  <c r="AV358" i="49"/>
  <c r="AW358" i="49"/>
  <c r="AX358" i="49"/>
  <c r="AY358" i="49"/>
  <c r="AZ358" i="49"/>
  <c r="BA358" i="49"/>
  <c r="BB358" i="49"/>
  <c r="BC358" i="49"/>
  <c r="BD358" i="49"/>
  <c r="BE358" i="49"/>
  <c r="AN351" i="49"/>
  <c r="AO351" i="49"/>
  <c r="AP351" i="49"/>
  <c r="AQ351" i="49"/>
  <c r="AR351" i="49"/>
  <c r="AS351" i="49"/>
  <c r="AT351" i="49"/>
  <c r="AU351" i="49"/>
  <c r="AV351" i="49"/>
  <c r="AW351" i="49"/>
  <c r="AX351" i="49"/>
  <c r="AY351" i="49"/>
  <c r="AZ351" i="49"/>
  <c r="BA351" i="49"/>
  <c r="BB351" i="49"/>
  <c r="BC351" i="49"/>
  <c r="BD351" i="49"/>
  <c r="BE351" i="49"/>
  <c r="AM351" i="49"/>
  <c r="AL351" i="49"/>
  <c r="AK351" i="49"/>
  <c r="AH352" i="49"/>
  <c r="AH353" i="49"/>
  <c r="AH354" i="49"/>
  <c r="AH355" i="49"/>
  <c r="AH356" i="49"/>
  <c r="AH357" i="49"/>
  <c r="AH358" i="49"/>
  <c r="AG352" i="49"/>
  <c r="AG353" i="49"/>
  <c r="AG354" i="49"/>
  <c r="AG355" i="49"/>
  <c r="AG356" i="49"/>
  <c r="AG357" i="49"/>
  <c r="AG358" i="49"/>
  <c r="BF351" i="49"/>
  <c r="AH351" i="49"/>
  <c r="AG351" i="49"/>
  <c r="B344" i="49"/>
  <c r="B343" i="49"/>
  <c r="B342" i="49"/>
  <c r="B341" i="49"/>
  <c r="B340" i="49"/>
  <c r="AI334" i="49"/>
  <c r="AJ334" i="49"/>
  <c r="AK334" i="49"/>
  <c r="AI335" i="49"/>
  <c r="AJ335" i="49"/>
  <c r="AK335" i="49"/>
  <c r="AK333" i="49"/>
  <c r="AJ333" i="49"/>
  <c r="AI333" i="49"/>
  <c r="AH333" i="49"/>
  <c r="AG333" i="49"/>
  <c r="B327" i="49"/>
  <c r="B326" i="49"/>
  <c r="B325" i="49"/>
  <c r="B324" i="49"/>
  <c r="B323" i="49"/>
  <c r="AI298" i="49"/>
  <c r="AJ298" i="49"/>
  <c r="AK298" i="49"/>
  <c r="AI299" i="49"/>
  <c r="AJ299" i="49"/>
  <c r="AK299" i="49"/>
  <c r="AI300" i="49"/>
  <c r="AJ300" i="49"/>
  <c r="AK300" i="49"/>
  <c r="AI301" i="49"/>
  <c r="AJ301" i="49"/>
  <c r="AK301" i="49"/>
  <c r="AI302" i="49"/>
  <c r="AJ302" i="49"/>
  <c r="AK302" i="49"/>
  <c r="AI303" i="49"/>
  <c r="AJ303" i="49"/>
  <c r="AK303" i="49"/>
  <c r="AI304" i="49"/>
  <c r="AJ304" i="49"/>
  <c r="AK304" i="49"/>
  <c r="AI305" i="49"/>
  <c r="AJ305" i="49"/>
  <c r="AK305" i="49"/>
  <c r="AI306" i="49"/>
  <c r="AJ306" i="49"/>
  <c r="AK306" i="49"/>
  <c r="AI307" i="49"/>
  <c r="AJ307" i="49"/>
  <c r="AK307" i="49"/>
  <c r="AI308" i="49"/>
  <c r="AJ308" i="49"/>
  <c r="AK308" i="49"/>
  <c r="AI309" i="49"/>
  <c r="AJ309" i="49"/>
  <c r="AK309" i="49"/>
  <c r="AI310" i="49"/>
  <c r="AJ310" i="49"/>
  <c r="AK310" i="49"/>
  <c r="AI311" i="49"/>
  <c r="AJ311" i="49"/>
  <c r="AK311" i="49"/>
  <c r="AI312" i="49"/>
  <c r="AJ312" i="49"/>
  <c r="AK312" i="49"/>
  <c r="AI313" i="49"/>
  <c r="AJ313" i="49"/>
  <c r="AK313" i="49"/>
  <c r="AI314" i="49"/>
  <c r="AJ314" i="49"/>
  <c r="AK314" i="49"/>
  <c r="AI315" i="49"/>
  <c r="AJ315" i="49"/>
  <c r="AK315" i="49"/>
  <c r="AI316" i="49"/>
  <c r="AJ316" i="49"/>
  <c r="AK316" i="49"/>
  <c r="AK297" i="49"/>
  <c r="AJ297" i="49"/>
  <c r="AI297" i="49"/>
  <c r="AH297" i="49"/>
  <c r="AG297" i="49"/>
  <c r="B291" i="49"/>
  <c r="B290" i="49"/>
  <c r="B289" i="49"/>
  <c r="B288" i="49"/>
  <c r="B287" i="49"/>
  <c r="AH274" i="49"/>
  <c r="AG274" i="49"/>
  <c r="AK283" i="49"/>
  <c r="AI275" i="49"/>
  <c r="AJ275" i="49"/>
  <c r="AK275" i="49"/>
  <c r="AI276" i="49"/>
  <c r="AJ276" i="49"/>
  <c r="AK276" i="49"/>
  <c r="AI277" i="49"/>
  <c r="AJ277" i="49"/>
  <c r="AK277" i="49"/>
  <c r="AI278" i="49"/>
  <c r="AJ278" i="49"/>
  <c r="AK278" i="49"/>
  <c r="AI279" i="49"/>
  <c r="AJ279" i="49"/>
  <c r="AK279" i="49"/>
  <c r="AI280" i="49"/>
  <c r="AJ280" i="49"/>
  <c r="AK280" i="49"/>
  <c r="AI281" i="49"/>
  <c r="AJ281" i="49"/>
  <c r="AK281" i="49"/>
  <c r="AI282" i="49"/>
  <c r="AJ282" i="49"/>
  <c r="AK282" i="49"/>
  <c r="AK274" i="49"/>
  <c r="AJ274" i="49"/>
  <c r="AI274" i="49"/>
  <c r="B267" i="49"/>
  <c r="B266" i="49" l="1"/>
  <c r="B265" i="49"/>
  <c r="B264" i="49"/>
  <c r="D252" i="49"/>
  <c r="D253" i="49"/>
  <c r="D254" i="49"/>
  <c r="D255" i="49"/>
  <c r="D256" i="49"/>
  <c r="D257" i="49"/>
  <c r="D258" i="49"/>
  <c r="D251" i="49"/>
  <c r="D238" i="49"/>
  <c r="D239" i="49"/>
  <c r="D240" i="49"/>
  <c r="D241" i="49"/>
  <c r="D242" i="49"/>
  <c r="D243" i="49"/>
  <c r="D244" i="49"/>
  <c r="D237" i="49"/>
  <c r="BF238" i="49"/>
  <c r="BF239" i="49"/>
  <c r="BF240" i="49"/>
  <c r="BF241" i="49"/>
  <c r="BF242" i="49"/>
  <c r="BF243" i="49"/>
  <c r="BF244" i="49"/>
  <c r="AP263" i="49"/>
  <c r="AN262" i="49"/>
  <c r="AL262" i="49"/>
  <c r="AK252" i="49"/>
  <c r="AL252" i="49"/>
  <c r="AM252" i="49"/>
  <c r="AN252" i="49"/>
  <c r="AO252" i="49"/>
  <c r="AP252" i="49"/>
  <c r="AQ252" i="49"/>
  <c r="AR252" i="49"/>
  <c r="AS252" i="49"/>
  <c r="AT252" i="49"/>
  <c r="AU252" i="49"/>
  <c r="AV252" i="49"/>
  <c r="AW252" i="49"/>
  <c r="AX252" i="49"/>
  <c r="AY252" i="49"/>
  <c r="AK253" i="49"/>
  <c r="AL253" i="49"/>
  <c r="AM253" i="49"/>
  <c r="AN253" i="49"/>
  <c r="AO253" i="49"/>
  <c r="AP253" i="49"/>
  <c r="AQ253" i="49"/>
  <c r="AR253" i="49"/>
  <c r="AS253" i="49"/>
  <c r="AT253" i="49"/>
  <c r="AU253" i="49"/>
  <c r="AV253" i="49"/>
  <c r="AW253" i="49"/>
  <c r="AX253" i="49"/>
  <c r="AY253" i="49"/>
  <c r="AK254" i="49"/>
  <c r="AL254" i="49"/>
  <c r="AM254" i="49"/>
  <c r="AN254" i="49"/>
  <c r="AO254" i="49"/>
  <c r="AP254" i="49"/>
  <c r="AQ254" i="49"/>
  <c r="AR254" i="49"/>
  <c r="AS254" i="49"/>
  <c r="AT254" i="49"/>
  <c r="AU254" i="49"/>
  <c r="AV254" i="49"/>
  <c r="AW254" i="49"/>
  <c r="AX254" i="49"/>
  <c r="AY254" i="49"/>
  <c r="AK255" i="49"/>
  <c r="AL255" i="49"/>
  <c r="AM255" i="49"/>
  <c r="AN255" i="49"/>
  <c r="AO255" i="49"/>
  <c r="AP255" i="49"/>
  <c r="AQ255" i="49"/>
  <c r="AR255" i="49"/>
  <c r="AS255" i="49"/>
  <c r="AT255" i="49"/>
  <c r="AU255" i="49"/>
  <c r="AV255" i="49"/>
  <c r="AW255" i="49"/>
  <c r="AX255" i="49"/>
  <c r="AY255" i="49"/>
  <c r="AK256" i="49"/>
  <c r="AL256" i="49"/>
  <c r="AM256" i="49"/>
  <c r="AN256" i="49"/>
  <c r="AO256" i="49"/>
  <c r="AP256" i="49"/>
  <c r="AQ256" i="49"/>
  <c r="AR256" i="49"/>
  <c r="AS256" i="49"/>
  <c r="AT256" i="49"/>
  <c r="AU256" i="49"/>
  <c r="AV256" i="49"/>
  <c r="AW256" i="49"/>
  <c r="AX256" i="49"/>
  <c r="AY256" i="49"/>
  <c r="AK257" i="49"/>
  <c r="AL257" i="49"/>
  <c r="AM257" i="49"/>
  <c r="AN257" i="49"/>
  <c r="AO257" i="49"/>
  <c r="AP257" i="49"/>
  <c r="AQ257" i="49"/>
  <c r="AR257" i="49"/>
  <c r="AS257" i="49"/>
  <c r="AT257" i="49"/>
  <c r="AU257" i="49"/>
  <c r="AV257" i="49"/>
  <c r="AW257" i="49"/>
  <c r="AX257" i="49"/>
  <c r="AY257" i="49"/>
  <c r="AK258" i="49"/>
  <c r="AL258" i="49"/>
  <c r="AM258" i="49"/>
  <c r="AN258" i="49"/>
  <c r="AO258" i="49"/>
  <c r="AP258" i="49"/>
  <c r="AQ258" i="49"/>
  <c r="AR258" i="49"/>
  <c r="AS258" i="49"/>
  <c r="AT258" i="49"/>
  <c r="AU258" i="49"/>
  <c r="AV258" i="49"/>
  <c r="AW258" i="49"/>
  <c r="AX258" i="49"/>
  <c r="AY258" i="49"/>
  <c r="AN251" i="49"/>
  <c r="AO251" i="49"/>
  <c r="AP251" i="49"/>
  <c r="AQ251" i="49"/>
  <c r="AR251" i="49"/>
  <c r="AS251" i="49"/>
  <c r="AT251" i="49"/>
  <c r="AU251" i="49"/>
  <c r="AV251" i="49"/>
  <c r="AW251" i="49"/>
  <c r="AX251" i="49"/>
  <c r="AY251" i="49"/>
  <c r="AV244" i="49"/>
  <c r="AK238" i="49"/>
  <c r="AL238" i="49"/>
  <c r="AM238" i="49"/>
  <c r="AN238" i="49"/>
  <c r="AO238" i="49"/>
  <c r="AP238" i="49"/>
  <c r="AQ238" i="49"/>
  <c r="AR238" i="49"/>
  <c r="AS238" i="49"/>
  <c r="AT238" i="49"/>
  <c r="AU238" i="49"/>
  <c r="AV238" i="49"/>
  <c r="AK239" i="49"/>
  <c r="AL239" i="49"/>
  <c r="AM239" i="49"/>
  <c r="AN239" i="49"/>
  <c r="AO239" i="49"/>
  <c r="AP239" i="49"/>
  <c r="AQ239" i="49"/>
  <c r="AR239" i="49"/>
  <c r="AS239" i="49"/>
  <c r="AT239" i="49"/>
  <c r="AU239" i="49"/>
  <c r="AV239" i="49"/>
  <c r="AK240" i="49"/>
  <c r="AL240" i="49"/>
  <c r="AM240" i="49"/>
  <c r="AN240" i="49"/>
  <c r="AO240" i="49"/>
  <c r="AP240" i="49"/>
  <c r="AQ240" i="49"/>
  <c r="AR240" i="49"/>
  <c r="AS240" i="49"/>
  <c r="AT240" i="49"/>
  <c r="AU240" i="49"/>
  <c r="AV240" i="49"/>
  <c r="AK241" i="49"/>
  <c r="AL241" i="49"/>
  <c r="AM241" i="49"/>
  <c r="AN241" i="49"/>
  <c r="AO241" i="49"/>
  <c r="AP241" i="49"/>
  <c r="AQ241" i="49"/>
  <c r="AR241" i="49"/>
  <c r="AS241" i="49"/>
  <c r="AT241" i="49"/>
  <c r="AU241" i="49"/>
  <c r="AV241" i="49"/>
  <c r="AK242" i="49"/>
  <c r="AL242" i="49"/>
  <c r="AM242" i="49"/>
  <c r="AN242" i="49"/>
  <c r="AO242" i="49"/>
  <c r="AP242" i="49"/>
  <c r="AQ242" i="49"/>
  <c r="AR242" i="49"/>
  <c r="AS242" i="49"/>
  <c r="AT242" i="49"/>
  <c r="AU242" i="49"/>
  <c r="AV242" i="49"/>
  <c r="AK243" i="49"/>
  <c r="AL243" i="49"/>
  <c r="AM243" i="49"/>
  <c r="AN243" i="49"/>
  <c r="AO243" i="49"/>
  <c r="AP243" i="49"/>
  <c r="AQ243" i="49"/>
  <c r="AR243" i="49"/>
  <c r="AS243" i="49"/>
  <c r="AT243" i="49"/>
  <c r="AU243" i="49"/>
  <c r="AV243" i="49"/>
  <c r="AK244" i="49"/>
  <c r="AL244" i="49"/>
  <c r="AM244" i="49"/>
  <c r="AN244" i="49"/>
  <c r="AO244" i="49"/>
  <c r="AP244" i="49"/>
  <c r="AQ244" i="49"/>
  <c r="AR244" i="49"/>
  <c r="AS244" i="49"/>
  <c r="AT244" i="49"/>
  <c r="AU244" i="49"/>
  <c r="AN237" i="49"/>
  <c r="AO237" i="49"/>
  <c r="AP237" i="49"/>
  <c r="AQ237" i="49"/>
  <c r="AR237" i="49"/>
  <c r="AS237" i="49"/>
  <c r="AT237" i="49"/>
  <c r="AU237" i="49"/>
  <c r="AV237" i="49"/>
  <c r="AM237" i="49"/>
  <c r="AM251" i="49"/>
  <c r="AH238" i="49"/>
  <c r="AH239" i="49"/>
  <c r="AH240" i="49"/>
  <c r="AH241" i="49"/>
  <c r="AH242" i="49"/>
  <c r="AH243" i="49"/>
  <c r="AH244" i="49"/>
  <c r="AG238" i="49"/>
  <c r="AG239" i="49"/>
  <c r="AG240" i="49"/>
  <c r="AG241" i="49"/>
  <c r="AG242" i="49"/>
  <c r="AG243" i="49"/>
  <c r="AG244" i="49"/>
  <c r="BF237" i="49"/>
  <c r="AH237" i="49"/>
  <c r="AG237" i="49"/>
  <c r="B227" i="49"/>
  <c r="B226" i="49"/>
  <c r="B225" i="49"/>
  <c r="B224" i="49"/>
  <c r="D212" i="49"/>
  <c r="D213" i="49"/>
  <c r="D214" i="49"/>
  <c r="D215" i="49"/>
  <c r="D216" i="49"/>
  <c r="D217" i="49"/>
  <c r="D218" i="49"/>
  <c r="D211" i="49"/>
  <c r="D198" i="49"/>
  <c r="D199" i="49"/>
  <c r="D200" i="49"/>
  <c r="D201" i="49"/>
  <c r="D202" i="49"/>
  <c r="D203" i="49"/>
  <c r="D204" i="49"/>
  <c r="D197" i="49"/>
  <c r="AP223" i="49"/>
  <c r="AN223" i="49"/>
  <c r="AL223" i="49"/>
  <c r="AK212" i="49"/>
  <c r="AL212" i="49"/>
  <c r="AM212" i="49"/>
  <c r="AN212" i="49"/>
  <c r="AO212" i="49"/>
  <c r="AP212" i="49"/>
  <c r="AQ212" i="49"/>
  <c r="AR212" i="49"/>
  <c r="AS212" i="49"/>
  <c r="AT212" i="49"/>
  <c r="AU212" i="49"/>
  <c r="AV212" i="49"/>
  <c r="AW212" i="49"/>
  <c r="AX212" i="49"/>
  <c r="AY212" i="49"/>
  <c r="AZ212" i="49"/>
  <c r="BA212" i="49"/>
  <c r="BB212" i="49"/>
  <c r="BC212" i="49"/>
  <c r="BD212" i="49"/>
  <c r="BE212" i="49"/>
  <c r="AK213" i="49"/>
  <c r="AL213" i="49"/>
  <c r="AM213" i="49"/>
  <c r="AN213" i="49"/>
  <c r="AO213" i="49"/>
  <c r="AP213" i="49"/>
  <c r="AQ213" i="49"/>
  <c r="AR213" i="49"/>
  <c r="AS213" i="49"/>
  <c r="AT213" i="49"/>
  <c r="AU213" i="49"/>
  <c r="AV213" i="49"/>
  <c r="AW213" i="49"/>
  <c r="AX213" i="49"/>
  <c r="AY213" i="49"/>
  <c r="AZ213" i="49"/>
  <c r="BA213" i="49"/>
  <c r="BB213" i="49"/>
  <c r="BC213" i="49"/>
  <c r="BD213" i="49"/>
  <c r="BE213" i="49"/>
  <c r="AK214" i="49"/>
  <c r="AL214" i="49"/>
  <c r="AM214" i="49"/>
  <c r="AN214" i="49"/>
  <c r="AO214" i="49"/>
  <c r="AP214" i="49"/>
  <c r="AQ214" i="49"/>
  <c r="AR214" i="49"/>
  <c r="AS214" i="49"/>
  <c r="AT214" i="49"/>
  <c r="AU214" i="49"/>
  <c r="AV214" i="49"/>
  <c r="AW214" i="49"/>
  <c r="AX214" i="49"/>
  <c r="AY214" i="49"/>
  <c r="AZ214" i="49"/>
  <c r="BA214" i="49"/>
  <c r="BB214" i="49"/>
  <c r="BC214" i="49"/>
  <c r="BD214" i="49"/>
  <c r="BE214" i="49"/>
  <c r="AK215" i="49"/>
  <c r="AL215" i="49"/>
  <c r="AM215" i="49"/>
  <c r="AN215" i="49"/>
  <c r="AO215" i="49"/>
  <c r="AP215" i="49"/>
  <c r="AQ215" i="49"/>
  <c r="AR215" i="49"/>
  <c r="AS215" i="49"/>
  <c r="AT215" i="49"/>
  <c r="AU215" i="49"/>
  <c r="AV215" i="49"/>
  <c r="AW215" i="49"/>
  <c r="AX215" i="49"/>
  <c r="AY215" i="49"/>
  <c r="AZ215" i="49"/>
  <c r="BA215" i="49"/>
  <c r="BB215" i="49"/>
  <c r="BC215" i="49"/>
  <c r="BD215" i="49"/>
  <c r="BE215" i="49"/>
  <c r="AK216" i="49"/>
  <c r="AL216" i="49"/>
  <c r="AM216" i="49"/>
  <c r="AN216" i="49"/>
  <c r="AO216" i="49"/>
  <c r="AP216" i="49"/>
  <c r="AQ216" i="49"/>
  <c r="AR216" i="49"/>
  <c r="AS216" i="49"/>
  <c r="AT216" i="49"/>
  <c r="AU216" i="49"/>
  <c r="AV216" i="49"/>
  <c r="AW216" i="49"/>
  <c r="AX216" i="49"/>
  <c r="AY216" i="49"/>
  <c r="AZ216" i="49"/>
  <c r="BA216" i="49"/>
  <c r="BB216" i="49"/>
  <c r="BC216" i="49"/>
  <c r="BD216" i="49"/>
  <c r="BE216" i="49"/>
  <c r="AK217" i="49"/>
  <c r="AL217" i="49"/>
  <c r="AM217" i="49"/>
  <c r="AN217" i="49"/>
  <c r="AO217" i="49"/>
  <c r="AP217" i="49"/>
  <c r="AQ217" i="49"/>
  <c r="AR217" i="49"/>
  <c r="AS217" i="49"/>
  <c r="AT217" i="49"/>
  <c r="AU217" i="49"/>
  <c r="AV217" i="49"/>
  <c r="AW217" i="49"/>
  <c r="AX217" i="49"/>
  <c r="AY217" i="49"/>
  <c r="AZ217" i="49"/>
  <c r="BA217" i="49"/>
  <c r="BB217" i="49"/>
  <c r="BC217" i="49"/>
  <c r="BD217" i="49"/>
  <c r="BE217" i="49"/>
  <c r="AK218" i="49"/>
  <c r="AL218" i="49"/>
  <c r="AM218" i="49"/>
  <c r="AN218" i="49"/>
  <c r="AO218" i="49"/>
  <c r="AP218" i="49"/>
  <c r="AQ218" i="49"/>
  <c r="AR218" i="49"/>
  <c r="AS218" i="49"/>
  <c r="AT218" i="49"/>
  <c r="AU218" i="49"/>
  <c r="AV218" i="49"/>
  <c r="AW218" i="49"/>
  <c r="AX218" i="49"/>
  <c r="AY218" i="49"/>
  <c r="AZ218" i="49"/>
  <c r="BA218" i="49"/>
  <c r="BB218" i="49"/>
  <c r="BC218" i="49"/>
  <c r="BD218" i="49"/>
  <c r="BE218" i="49"/>
  <c r="AN211" i="49"/>
  <c r="AO211" i="49"/>
  <c r="AP211" i="49"/>
  <c r="AQ211" i="49"/>
  <c r="AR211" i="49"/>
  <c r="AS211" i="49"/>
  <c r="AT211" i="49"/>
  <c r="AU211" i="49"/>
  <c r="AV211" i="49"/>
  <c r="AW211" i="49"/>
  <c r="AX211" i="49"/>
  <c r="AY211" i="49"/>
  <c r="AZ211" i="49"/>
  <c r="BA211" i="49"/>
  <c r="BB211" i="49"/>
  <c r="BC211" i="49"/>
  <c r="BD211" i="49"/>
  <c r="BE211" i="49"/>
  <c r="AM211" i="49"/>
  <c r="AL211" i="49"/>
  <c r="AK211" i="49"/>
  <c r="AK198" i="49"/>
  <c r="AL198" i="49"/>
  <c r="AM198" i="49"/>
  <c r="AN198" i="49"/>
  <c r="AO198" i="49"/>
  <c r="AP198" i="49"/>
  <c r="AQ198" i="49"/>
  <c r="AR198" i="49"/>
  <c r="AS198" i="49"/>
  <c r="AT198" i="49"/>
  <c r="AU198" i="49"/>
  <c r="AV198" i="49"/>
  <c r="AW198" i="49"/>
  <c r="AX198" i="49"/>
  <c r="AY198" i="49"/>
  <c r="AZ198" i="49"/>
  <c r="BA198" i="49"/>
  <c r="BB198" i="49"/>
  <c r="AK199" i="49"/>
  <c r="AL199" i="49"/>
  <c r="AM199" i="49"/>
  <c r="AN199" i="49"/>
  <c r="AO199" i="49"/>
  <c r="AP199" i="49"/>
  <c r="AQ199" i="49"/>
  <c r="AR199" i="49"/>
  <c r="AS199" i="49"/>
  <c r="AT199" i="49"/>
  <c r="AU199" i="49"/>
  <c r="AV199" i="49"/>
  <c r="AW199" i="49"/>
  <c r="AX199" i="49"/>
  <c r="AY199" i="49"/>
  <c r="AZ199" i="49"/>
  <c r="BA199" i="49"/>
  <c r="BB199" i="49"/>
  <c r="AK200" i="49"/>
  <c r="AL200" i="49"/>
  <c r="AM200" i="49"/>
  <c r="AN200" i="49"/>
  <c r="AO200" i="49"/>
  <c r="AP200" i="49"/>
  <c r="AQ200" i="49"/>
  <c r="AR200" i="49"/>
  <c r="AS200" i="49"/>
  <c r="AT200" i="49"/>
  <c r="AU200" i="49"/>
  <c r="AV200" i="49"/>
  <c r="AW200" i="49"/>
  <c r="AX200" i="49"/>
  <c r="AY200" i="49"/>
  <c r="AZ200" i="49"/>
  <c r="BA200" i="49"/>
  <c r="BB200" i="49"/>
  <c r="AK201" i="49"/>
  <c r="AL201" i="49"/>
  <c r="AM201" i="49"/>
  <c r="AN201" i="49"/>
  <c r="AO201" i="49"/>
  <c r="AP201" i="49"/>
  <c r="AQ201" i="49"/>
  <c r="AR201" i="49"/>
  <c r="AS201" i="49"/>
  <c r="AT201" i="49"/>
  <c r="AU201" i="49"/>
  <c r="AV201" i="49"/>
  <c r="AW201" i="49"/>
  <c r="AX201" i="49"/>
  <c r="AY201" i="49"/>
  <c r="AZ201" i="49"/>
  <c r="BA201" i="49"/>
  <c r="BB201" i="49"/>
  <c r="AK202" i="49"/>
  <c r="AL202" i="49"/>
  <c r="AM202" i="49"/>
  <c r="AN202" i="49"/>
  <c r="AO202" i="49"/>
  <c r="AP202" i="49"/>
  <c r="AQ202" i="49"/>
  <c r="AR202" i="49"/>
  <c r="AS202" i="49"/>
  <c r="AT202" i="49"/>
  <c r="AU202" i="49"/>
  <c r="AV202" i="49"/>
  <c r="AW202" i="49"/>
  <c r="AX202" i="49"/>
  <c r="AY202" i="49"/>
  <c r="AZ202" i="49"/>
  <c r="BA202" i="49"/>
  <c r="BB202" i="49"/>
  <c r="AK203" i="49"/>
  <c r="AL203" i="49"/>
  <c r="AM203" i="49"/>
  <c r="AN203" i="49"/>
  <c r="AO203" i="49"/>
  <c r="AP203" i="49"/>
  <c r="AQ203" i="49"/>
  <c r="AR203" i="49"/>
  <c r="AS203" i="49"/>
  <c r="AT203" i="49"/>
  <c r="AU203" i="49"/>
  <c r="AV203" i="49"/>
  <c r="AW203" i="49"/>
  <c r="AX203" i="49"/>
  <c r="AY203" i="49"/>
  <c r="AZ203" i="49"/>
  <c r="BA203" i="49"/>
  <c r="BB203" i="49"/>
  <c r="AK204" i="49"/>
  <c r="AL204" i="49"/>
  <c r="AM204" i="49"/>
  <c r="AN204" i="49"/>
  <c r="AO204" i="49"/>
  <c r="AP204" i="49"/>
  <c r="AQ204" i="49"/>
  <c r="AR204" i="49"/>
  <c r="AS204" i="49"/>
  <c r="AT204" i="49"/>
  <c r="AU204" i="49"/>
  <c r="AV204" i="49"/>
  <c r="AW204" i="49"/>
  <c r="AX204" i="49"/>
  <c r="AY204" i="49"/>
  <c r="AZ204" i="49"/>
  <c r="BA204" i="49"/>
  <c r="BB204" i="49"/>
  <c r="AN197" i="49"/>
  <c r="AO197" i="49"/>
  <c r="AP197" i="49"/>
  <c r="AQ197" i="49"/>
  <c r="AR197" i="49"/>
  <c r="AS197" i="49"/>
  <c r="AT197" i="49"/>
  <c r="AU197" i="49"/>
  <c r="AV197" i="49"/>
  <c r="AW197" i="49"/>
  <c r="AX197" i="49"/>
  <c r="AY197" i="49"/>
  <c r="AZ197" i="49"/>
  <c r="BA197" i="49"/>
  <c r="BB197" i="49"/>
  <c r="AM197" i="49"/>
  <c r="AL197" i="49"/>
  <c r="AK197" i="49"/>
  <c r="BE205" i="49"/>
  <c r="BE204" i="49"/>
  <c r="BE198" i="49"/>
  <c r="BE199" i="49"/>
  <c r="BE200" i="49"/>
  <c r="BE201" i="49"/>
  <c r="BE202" i="49"/>
  <c r="BE203" i="49"/>
  <c r="BD204" i="49"/>
  <c r="BD198" i="49"/>
  <c r="BD199" i="49"/>
  <c r="BD200" i="49"/>
  <c r="BD201" i="49"/>
  <c r="BD202" i="49"/>
  <c r="BD203" i="49"/>
  <c r="BC204" i="49"/>
  <c r="BC198" i="49"/>
  <c r="BC199" i="49"/>
  <c r="BC200" i="49"/>
  <c r="BC201" i="49"/>
  <c r="BC202" i="49"/>
  <c r="BC203" i="49"/>
  <c r="BE197" i="49"/>
  <c r="BD197" i="49"/>
  <c r="BC197" i="49"/>
  <c r="AJ198" i="49"/>
  <c r="AJ199" i="49"/>
  <c r="AJ200" i="49"/>
  <c r="AJ201" i="49"/>
  <c r="AJ202" i="49"/>
  <c r="AJ203" i="49"/>
  <c r="AJ204" i="49"/>
  <c r="AI198" i="49"/>
  <c r="AI199" i="49"/>
  <c r="AI200" i="49"/>
  <c r="AI201" i="49"/>
  <c r="AI202" i="49"/>
  <c r="AI203" i="49"/>
  <c r="AI204" i="49"/>
  <c r="AH198" i="49"/>
  <c r="AH199" i="49"/>
  <c r="AH200" i="49"/>
  <c r="AH201" i="49"/>
  <c r="AH202" i="49"/>
  <c r="AH203" i="49"/>
  <c r="AH204" i="49"/>
  <c r="AJ197" i="49"/>
  <c r="AI197" i="49"/>
  <c r="AH197" i="49"/>
  <c r="B189" i="49"/>
  <c r="B188" i="49"/>
  <c r="B187" i="49"/>
  <c r="B186" i="49"/>
  <c r="D174" i="49"/>
  <c r="D175" i="49"/>
  <c r="D176" i="49"/>
  <c r="D177" i="49"/>
  <c r="D178" i="49"/>
  <c r="D179" i="49"/>
  <c r="D180" i="49"/>
  <c r="D173" i="49"/>
  <c r="D160" i="49"/>
  <c r="D161" i="49"/>
  <c r="D162" i="49"/>
  <c r="D163" i="49"/>
  <c r="D164" i="49"/>
  <c r="D165" i="49"/>
  <c r="D166" i="49"/>
  <c r="D159" i="49"/>
  <c r="AP185" i="49"/>
  <c r="AN185" i="49"/>
  <c r="AL185" i="49"/>
  <c r="AN184" i="49"/>
  <c r="AL184" i="49"/>
  <c r="AK174" i="49"/>
  <c r="AL174" i="49"/>
  <c r="AM174" i="49"/>
  <c r="AN174" i="49"/>
  <c r="AO174" i="49"/>
  <c r="AP174" i="49"/>
  <c r="AQ174" i="49"/>
  <c r="AR174" i="49"/>
  <c r="AS174" i="49"/>
  <c r="AT174" i="49"/>
  <c r="AU174" i="49"/>
  <c r="AV174" i="49"/>
  <c r="AW174" i="49"/>
  <c r="AX174" i="49"/>
  <c r="AY174" i="49"/>
  <c r="AZ174" i="49"/>
  <c r="BA174" i="49"/>
  <c r="BB174" i="49"/>
  <c r="BC174" i="49"/>
  <c r="BD174" i="49"/>
  <c r="BE174" i="49"/>
  <c r="AK175" i="49"/>
  <c r="AL175" i="49"/>
  <c r="AM175" i="49"/>
  <c r="AN175" i="49"/>
  <c r="AO175" i="49"/>
  <c r="AP175" i="49"/>
  <c r="AQ175" i="49"/>
  <c r="AR175" i="49"/>
  <c r="AS175" i="49"/>
  <c r="AT175" i="49"/>
  <c r="AU175" i="49"/>
  <c r="AV175" i="49"/>
  <c r="AW175" i="49"/>
  <c r="AX175" i="49"/>
  <c r="AY175" i="49"/>
  <c r="AZ175" i="49"/>
  <c r="BA175" i="49"/>
  <c r="BB175" i="49"/>
  <c r="BC175" i="49"/>
  <c r="BD175" i="49"/>
  <c r="BE175" i="49"/>
  <c r="AK176" i="49"/>
  <c r="AL176" i="49"/>
  <c r="AM176" i="49"/>
  <c r="AN176" i="49"/>
  <c r="AO176" i="49"/>
  <c r="AP176" i="49"/>
  <c r="AQ176" i="49"/>
  <c r="AR176" i="49"/>
  <c r="AS176" i="49"/>
  <c r="AT176" i="49"/>
  <c r="AU176" i="49"/>
  <c r="AV176" i="49"/>
  <c r="AW176" i="49"/>
  <c r="AX176" i="49"/>
  <c r="AY176" i="49"/>
  <c r="AZ176" i="49"/>
  <c r="BA176" i="49"/>
  <c r="BB176" i="49"/>
  <c r="BC176" i="49"/>
  <c r="BD176" i="49"/>
  <c r="BE176" i="49"/>
  <c r="AK177" i="49"/>
  <c r="AL177" i="49"/>
  <c r="AM177" i="49"/>
  <c r="AN177" i="49"/>
  <c r="AO177" i="49"/>
  <c r="AP177" i="49"/>
  <c r="AQ177" i="49"/>
  <c r="AR177" i="49"/>
  <c r="AS177" i="49"/>
  <c r="AT177" i="49"/>
  <c r="AU177" i="49"/>
  <c r="AV177" i="49"/>
  <c r="AW177" i="49"/>
  <c r="AX177" i="49"/>
  <c r="AY177" i="49"/>
  <c r="AZ177" i="49"/>
  <c r="BA177" i="49"/>
  <c r="BB177" i="49"/>
  <c r="BC177" i="49"/>
  <c r="BD177" i="49"/>
  <c r="BE177" i="49"/>
  <c r="AK178" i="49"/>
  <c r="AL178" i="49"/>
  <c r="AM178" i="49"/>
  <c r="AN178" i="49"/>
  <c r="AO178" i="49"/>
  <c r="AP178" i="49"/>
  <c r="AQ178" i="49"/>
  <c r="AR178" i="49"/>
  <c r="AS178" i="49"/>
  <c r="AT178" i="49"/>
  <c r="AU178" i="49"/>
  <c r="AV178" i="49"/>
  <c r="AW178" i="49"/>
  <c r="AX178" i="49"/>
  <c r="AY178" i="49"/>
  <c r="AZ178" i="49"/>
  <c r="BA178" i="49"/>
  <c r="BB178" i="49"/>
  <c r="BC178" i="49"/>
  <c r="BD178" i="49"/>
  <c r="BE178" i="49"/>
  <c r="AK179" i="49"/>
  <c r="AL179" i="49"/>
  <c r="AM179" i="49"/>
  <c r="AN179" i="49"/>
  <c r="AO179" i="49"/>
  <c r="AP179" i="49"/>
  <c r="AQ179" i="49"/>
  <c r="AR179" i="49"/>
  <c r="AS179" i="49"/>
  <c r="AT179" i="49"/>
  <c r="AU179" i="49"/>
  <c r="AV179" i="49"/>
  <c r="AW179" i="49"/>
  <c r="AX179" i="49"/>
  <c r="AY179" i="49"/>
  <c r="AZ179" i="49"/>
  <c r="BA179" i="49"/>
  <c r="BB179" i="49"/>
  <c r="BC179" i="49"/>
  <c r="BD179" i="49"/>
  <c r="BE179" i="49"/>
  <c r="AK180" i="49"/>
  <c r="AL180" i="49"/>
  <c r="AM180" i="49"/>
  <c r="AN180" i="49"/>
  <c r="AO180" i="49"/>
  <c r="AP180" i="49"/>
  <c r="AQ180" i="49"/>
  <c r="AR180" i="49"/>
  <c r="AS180" i="49"/>
  <c r="AT180" i="49"/>
  <c r="AU180" i="49"/>
  <c r="AV180" i="49"/>
  <c r="AW180" i="49"/>
  <c r="AX180" i="49"/>
  <c r="AY180" i="49"/>
  <c r="AZ180" i="49"/>
  <c r="BA180" i="49"/>
  <c r="BB180" i="49"/>
  <c r="BC180" i="49"/>
  <c r="BD180" i="49"/>
  <c r="BE180" i="49"/>
  <c r="AN173" i="49"/>
  <c r="AO173" i="49"/>
  <c r="AP173" i="49"/>
  <c r="AQ173" i="49"/>
  <c r="AR173" i="49"/>
  <c r="AS173" i="49"/>
  <c r="AT173" i="49"/>
  <c r="AU173" i="49"/>
  <c r="AV173" i="49"/>
  <c r="AW173" i="49"/>
  <c r="AX173" i="49"/>
  <c r="AY173" i="49"/>
  <c r="AZ173" i="49"/>
  <c r="BA173" i="49"/>
  <c r="BB173" i="49"/>
  <c r="BC173" i="49"/>
  <c r="BD173" i="49"/>
  <c r="BE173" i="49"/>
  <c r="AM173" i="49"/>
  <c r="AK160" i="49"/>
  <c r="AL160" i="49"/>
  <c r="AM160" i="49"/>
  <c r="AN160" i="49"/>
  <c r="AO160" i="49"/>
  <c r="AP160" i="49"/>
  <c r="AQ160" i="49"/>
  <c r="AR160" i="49"/>
  <c r="AS160" i="49"/>
  <c r="AT160" i="49"/>
  <c r="AU160" i="49"/>
  <c r="AV160" i="49"/>
  <c r="AW160" i="49"/>
  <c r="AX160" i="49"/>
  <c r="AY160" i="49"/>
  <c r="AZ160" i="49"/>
  <c r="BA160" i="49"/>
  <c r="BB160" i="49"/>
  <c r="AK161" i="49"/>
  <c r="AL161" i="49"/>
  <c r="AM161" i="49"/>
  <c r="AN161" i="49"/>
  <c r="AO161" i="49"/>
  <c r="AP161" i="49"/>
  <c r="AQ161" i="49"/>
  <c r="AR161" i="49"/>
  <c r="AS161" i="49"/>
  <c r="AT161" i="49"/>
  <c r="AU161" i="49"/>
  <c r="AV161" i="49"/>
  <c r="AW161" i="49"/>
  <c r="AX161" i="49"/>
  <c r="AY161" i="49"/>
  <c r="AZ161" i="49"/>
  <c r="BA161" i="49"/>
  <c r="BB161" i="49"/>
  <c r="AK162" i="49"/>
  <c r="AL162" i="49"/>
  <c r="AM162" i="49"/>
  <c r="AN162" i="49"/>
  <c r="AO162" i="49"/>
  <c r="AP162" i="49"/>
  <c r="AQ162" i="49"/>
  <c r="AR162" i="49"/>
  <c r="AS162" i="49"/>
  <c r="AT162" i="49"/>
  <c r="AU162" i="49"/>
  <c r="AV162" i="49"/>
  <c r="AW162" i="49"/>
  <c r="AX162" i="49"/>
  <c r="AY162" i="49"/>
  <c r="AZ162" i="49"/>
  <c r="BA162" i="49"/>
  <c r="BB162" i="49"/>
  <c r="AK163" i="49"/>
  <c r="AL163" i="49"/>
  <c r="AM163" i="49"/>
  <c r="AN163" i="49"/>
  <c r="AO163" i="49"/>
  <c r="AP163" i="49"/>
  <c r="AQ163" i="49"/>
  <c r="AR163" i="49"/>
  <c r="AS163" i="49"/>
  <c r="AT163" i="49"/>
  <c r="AU163" i="49"/>
  <c r="AV163" i="49"/>
  <c r="AW163" i="49"/>
  <c r="AX163" i="49"/>
  <c r="AY163" i="49"/>
  <c r="AZ163" i="49"/>
  <c r="BA163" i="49"/>
  <c r="BB163" i="49"/>
  <c r="AK164" i="49"/>
  <c r="AL164" i="49"/>
  <c r="AM164" i="49"/>
  <c r="AN164" i="49"/>
  <c r="AO164" i="49"/>
  <c r="AP164" i="49"/>
  <c r="AQ164" i="49"/>
  <c r="AR164" i="49"/>
  <c r="AS164" i="49"/>
  <c r="AT164" i="49"/>
  <c r="AU164" i="49"/>
  <c r="AV164" i="49"/>
  <c r="AW164" i="49"/>
  <c r="AX164" i="49"/>
  <c r="AY164" i="49"/>
  <c r="AZ164" i="49"/>
  <c r="BA164" i="49"/>
  <c r="BB164" i="49"/>
  <c r="AK165" i="49"/>
  <c r="AL165" i="49"/>
  <c r="AM165" i="49"/>
  <c r="AN165" i="49"/>
  <c r="AO165" i="49"/>
  <c r="AP165" i="49"/>
  <c r="AQ165" i="49"/>
  <c r="AR165" i="49"/>
  <c r="AS165" i="49"/>
  <c r="AT165" i="49"/>
  <c r="AU165" i="49"/>
  <c r="AV165" i="49"/>
  <c r="AW165" i="49"/>
  <c r="AX165" i="49"/>
  <c r="AY165" i="49"/>
  <c r="AZ165" i="49"/>
  <c r="BA165" i="49"/>
  <c r="BB165" i="49"/>
  <c r="AK166" i="49"/>
  <c r="AL166" i="49"/>
  <c r="AM166" i="49"/>
  <c r="AN166" i="49"/>
  <c r="AO166" i="49"/>
  <c r="AP166" i="49"/>
  <c r="AQ166" i="49"/>
  <c r="AR166" i="49"/>
  <c r="AS166" i="49"/>
  <c r="AT166" i="49"/>
  <c r="AU166" i="49"/>
  <c r="AV166" i="49"/>
  <c r="AW166" i="49"/>
  <c r="AX166" i="49"/>
  <c r="AY166" i="49"/>
  <c r="AZ166" i="49"/>
  <c r="BA166" i="49"/>
  <c r="BB166" i="49"/>
  <c r="AN159" i="49"/>
  <c r="AO159" i="49"/>
  <c r="AP159" i="49"/>
  <c r="AQ159" i="49"/>
  <c r="AR159" i="49"/>
  <c r="AS159" i="49"/>
  <c r="AT159" i="49"/>
  <c r="AU159" i="49"/>
  <c r="AV159" i="49"/>
  <c r="AW159" i="49"/>
  <c r="AX159" i="49"/>
  <c r="AY159" i="49"/>
  <c r="AZ159" i="49"/>
  <c r="BA159" i="49"/>
  <c r="BB159" i="49"/>
  <c r="AM159" i="49"/>
  <c r="AL159" i="49"/>
  <c r="AK159" i="49"/>
  <c r="B142" i="49"/>
  <c r="AI130" i="49"/>
  <c r="AI131" i="49"/>
  <c r="AI132" i="49"/>
  <c r="AI133" i="49"/>
  <c r="AI134" i="49"/>
  <c r="AI135" i="49"/>
  <c r="AI136" i="49"/>
  <c r="AH130" i="49"/>
  <c r="AH131" i="49"/>
  <c r="AH132" i="49"/>
  <c r="AH133" i="49"/>
  <c r="AH134" i="49"/>
  <c r="AH135" i="49"/>
  <c r="AH136" i="49"/>
  <c r="AG130" i="49"/>
  <c r="AG131" i="49"/>
  <c r="AG132" i="49"/>
  <c r="AG133" i="49"/>
  <c r="AG134" i="49"/>
  <c r="AG135" i="49"/>
  <c r="AG136" i="49"/>
  <c r="AI129" i="49"/>
  <c r="AH129" i="49"/>
  <c r="AG129" i="49"/>
  <c r="D130" i="49"/>
  <c r="D131" i="49"/>
  <c r="D132" i="49"/>
  <c r="D133" i="49"/>
  <c r="D134" i="49"/>
  <c r="D135" i="49"/>
  <c r="D136" i="49"/>
  <c r="D129" i="49"/>
  <c r="AK130" i="49"/>
  <c r="AL130" i="49"/>
  <c r="AM130" i="49"/>
  <c r="AN130" i="49"/>
  <c r="AO130" i="49"/>
  <c r="AP130" i="49"/>
  <c r="AQ130" i="49"/>
  <c r="AR130" i="49"/>
  <c r="AS130" i="49"/>
  <c r="AT130" i="49"/>
  <c r="AU130" i="49"/>
  <c r="AV130" i="49"/>
  <c r="AW130" i="49"/>
  <c r="AX130" i="49"/>
  <c r="AY130" i="49"/>
  <c r="AZ130" i="49"/>
  <c r="BA130" i="49"/>
  <c r="BB130" i="49"/>
  <c r="BC130" i="49"/>
  <c r="BD130" i="49"/>
  <c r="BE130" i="49"/>
  <c r="AK131" i="49"/>
  <c r="AL131" i="49"/>
  <c r="AM131" i="49"/>
  <c r="AN131" i="49"/>
  <c r="AO131" i="49"/>
  <c r="AP131" i="49"/>
  <c r="AQ131" i="49"/>
  <c r="AR131" i="49"/>
  <c r="AS131" i="49"/>
  <c r="AT131" i="49"/>
  <c r="AU131" i="49"/>
  <c r="AV131" i="49"/>
  <c r="AW131" i="49"/>
  <c r="AX131" i="49"/>
  <c r="AY131" i="49"/>
  <c r="AZ131" i="49"/>
  <c r="BA131" i="49"/>
  <c r="BB131" i="49"/>
  <c r="BC131" i="49"/>
  <c r="BD131" i="49"/>
  <c r="BE131" i="49"/>
  <c r="AK132" i="49"/>
  <c r="AL132" i="49"/>
  <c r="AM132" i="49"/>
  <c r="AN132" i="49"/>
  <c r="AO132" i="49"/>
  <c r="AP132" i="49"/>
  <c r="AQ132" i="49"/>
  <c r="AR132" i="49"/>
  <c r="AS132" i="49"/>
  <c r="AT132" i="49"/>
  <c r="AU132" i="49"/>
  <c r="AV132" i="49"/>
  <c r="AW132" i="49"/>
  <c r="AX132" i="49"/>
  <c r="AY132" i="49"/>
  <c r="AZ132" i="49"/>
  <c r="BA132" i="49"/>
  <c r="BB132" i="49"/>
  <c r="BC132" i="49"/>
  <c r="BD132" i="49"/>
  <c r="BE132" i="49"/>
  <c r="AK133" i="49"/>
  <c r="AL133" i="49"/>
  <c r="AM133" i="49"/>
  <c r="AN133" i="49"/>
  <c r="AO133" i="49"/>
  <c r="AP133" i="49"/>
  <c r="AQ133" i="49"/>
  <c r="AR133" i="49"/>
  <c r="AS133" i="49"/>
  <c r="AT133" i="49"/>
  <c r="AU133" i="49"/>
  <c r="AV133" i="49"/>
  <c r="AW133" i="49"/>
  <c r="AX133" i="49"/>
  <c r="AY133" i="49"/>
  <c r="AZ133" i="49"/>
  <c r="BA133" i="49"/>
  <c r="BB133" i="49"/>
  <c r="BC133" i="49"/>
  <c r="BD133" i="49"/>
  <c r="BE133" i="49"/>
  <c r="AK134" i="49"/>
  <c r="AL134" i="49"/>
  <c r="AM134" i="49"/>
  <c r="AN134" i="49"/>
  <c r="AO134" i="49"/>
  <c r="AP134" i="49"/>
  <c r="AQ134" i="49"/>
  <c r="AR134" i="49"/>
  <c r="AS134" i="49"/>
  <c r="AT134" i="49"/>
  <c r="AU134" i="49"/>
  <c r="AV134" i="49"/>
  <c r="AW134" i="49"/>
  <c r="AX134" i="49"/>
  <c r="AY134" i="49"/>
  <c r="AZ134" i="49"/>
  <c r="BA134" i="49"/>
  <c r="BB134" i="49"/>
  <c r="BC134" i="49"/>
  <c r="BD134" i="49"/>
  <c r="BE134" i="49"/>
  <c r="AK135" i="49"/>
  <c r="AL135" i="49"/>
  <c r="AM135" i="49"/>
  <c r="AN135" i="49"/>
  <c r="AO135" i="49"/>
  <c r="AP135" i="49"/>
  <c r="AQ135" i="49"/>
  <c r="AR135" i="49"/>
  <c r="AS135" i="49"/>
  <c r="AT135" i="49"/>
  <c r="AU135" i="49"/>
  <c r="AV135" i="49"/>
  <c r="AW135" i="49"/>
  <c r="AX135" i="49"/>
  <c r="AY135" i="49"/>
  <c r="AZ135" i="49"/>
  <c r="BA135" i="49"/>
  <c r="BB135" i="49"/>
  <c r="BC135" i="49"/>
  <c r="BD135" i="49"/>
  <c r="BE135" i="49"/>
  <c r="AK136" i="49"/>
  <c r="AL136" i="49"/>
  <c r="AM136" i="49"/>
  <c r="AN136" i="49"/>
  <c r="AO136" i="49"/>
  <c r="AP136" i="49"/>
  <c r="AQ136" i="49"/>
  <c r="AR136" i="49"/>
  <c r="AS136" i="49"/>
  <c r="AT136" i="49"/>
  <c r="AU136" i="49"/>
  <c r="AV136" i="49"/>
  <c r="AW136" i="49"/>
  <c r="AX136" i="49"/>
  <c r="AY136" i="49"/>
  <c r="AZ136" i="49"/>
  <c r="BA136" i="49"/>
  <c r="BB136" i="49"/>
  <c r="BC136" i="49"/>
  <c r="BD136" i="49"/>
  <c r="BE136" i="49"/>
  <c r="AN129" i="49"/>
  <c r="AO129" i="49"/>
  <c r="AP129" i="49"/>
  <c r="AQ129" i="49"/>
  <c r="AR129" i="49"/>
  <c r="AS129" i="49"/>
  <c r="AT129" i="49"/>
  <c r="AU129" i="49"/>
  <c r="AV129" i="49"/>
  <c r="AW129" i="49"/>
  <c r="AX129" i="49"/>
  <c r="AY129" i="49"/>
  <c r="AZ129" i="49"/>
  <c r="BA129" i="49"/>
  <c r="BB129" i="49"/>
  <c r="BC129" i="49"/>
  <c r="BD129" i="49"/>
  <c r="BE129" i="49"/>
  <c r="AM129" i="49"/>
  <c r="AL129" i="49"/>
  <c r="AK129" i="49"/>
  <c r="B117" i="49"/>
  <c r="D105" i="49"/>
  <c r="D106" i="49"/>
  <c r="D107" i="49"/>
  <c r="D108" i="49"/>
  <c r="D109" i="49"/>
  <c r="D110" i="49"/>
  <c r="D111" i="49"/>
  <c r="D104" i="49"/>
  <c r="D90" i="49"/>
  <c r="D91" i="49"/>
  <c r="D92" i="49"/>
  <c r="D93" i="49"/>
  <c r="D94" i="49"/>
  <c r="D95" i="49"/>
  <c r="D96" i="49"/>
  <c r="D89" i="49"/>
  <c r="BF90" i="49"/>
  <c r="BF91" i="49"/>
  <c r="BF92" i="49"/>
  <c r="BF93" i="49"/>
  <c r="BF94" i="49"/>
  <c r="BF95" i="49"/>
  <c r="BF96" i="49"/>
  <c r="AK105" i="49"/>
  <c r="AL105" i="49"/>
  <c r="AM105" i="49"/>
  <c r="AN105" i="49"/>
  <c r="AO105" i="49"/>
  <c r="AP105" i="49"/>
  <c r="AQ105" i="49"/>
  <c r="AR105" i="49"/>
  <c r="AS105" i="49"/>
  <c r="AK106" i="49"/>
  <c r="AL106" i="49"/>
  <c r="AM106" i="49"/>
  <c r="AN106" i="49"/>
  <c r="AO106" i="49"/>
  <c r="AP106" i="49"/>
  <c r="AQ106" i="49"/>
  <c r="AR106" i="49"/>
  <c r="AS106" i="49"/>
  <c r="AK107" i="49"/>
  <c r="AL107" i="49"/>
  <c r="AM107" i="49"/>
  <c r="AN107" i="49"/>
  <c r="AO107" i="49"/>
  <c r="AP107" i="49"/>
  <c r="AQ107" i="49"/>
  <c r="AR107" i="49"/>
  <c r="AS107" i="49"/>
  <c r="AK108" i="49"/>
  <c r="AL108" i="49"/>
  <c r="AM108" i="49"/>
  <c r="AN108" i="49"/>
  <c r="AO108" i="49"/>
  <c r="AP108" i="49"/>
  <c r="AQ108" i="49"/>
  <c r="AR108" i="49"/>
  <c r="AS108" i="49"/>
  <c r="AK109" i="49"/>
  <c r="AL109" i="49"/>
  <c r="AM109" i="49"/>
  <c r="AN109" i="49"/>
  <c r="AO109" i="49"/>
  <c r="AP109" i="49"/>
  <c r="AQ109" i="49"/>
  <c r="AR109" i="49"/>
  <c r="AS109" i="49"/>
  <c r="AK110" i="49"/>
  <c r="AL110" i="49"/>
  <c r="AM110" i="49"/>
  <c r="AN110" i="49"/>
  <c r="AO110" i="49"/>
  <c r="AP110" i="49"/>
  <c r="AQ110" i="49"/>
  <c r="AR110" i="49"/>
  <c r="AS110" i="49"/>
  <c r="AK111" i="49"/>
  <c r="AL111" i="49"/>
  <c r="AM111" i="49"/>
  <c r="AN111" i="49"/>
  <c r="AO111" i="49"/>
  <c r="AP111" i="49"/>
  <c r="AQ111" i="49"/>
  <c r="AR111" i="49"/>
  <c r="AS111" i="49"/>
  <c r="AN104" i="49"/>
  <c r="AO104" i="49"/>
  <c r="AP104" i="49"/>
  <c r="AQ104" i="49"/>
  <c r="AR104" i="49"/>
  <c r="AS104" i="49"/>
  <c r="AM104" i="49"/>
  <c r="AL104" i="49"/>
  <c r="AK104" i="49"/>
  <c r="AK90" i="49"/>
  <c r="AL90" i="49"/>
  <c r="AM90" i="49"/>
  <c r="AN90" i="49"/>
  <c r="AO90" i="49"/>
  <c r="AP90" i="49"/>
  <c r="AQ90" i="49"/>
  <c r="AR90" i="49"/>
  <c r="AS90" i="49"/>
  <c r="AT90" i="49"/>
  <c r="AU90" i="49"/>
  <c r="AV90" i="49"/>
  <c r="AW90" i="49"/>
  <c r="AX90" i="49"/>
  <c r="AY90" i="49"/>
  <c r="AK91" i="49"/>
  <c r="AL91" i="49"/>
  <c r="AM91" i="49"/>
  <c r="AN91" i="49"/>
  <c r="AO91" i="49"/>
  <c r="AP91" i="49"/>
  <c r="AQ91" i="49"/>
  <c r="AR91" i="49"/>
  <c r="AS91" i="49"/>
  <c r="AT91" i="49"/>
  <c r="AU91" i="49"/>
  <c r="AV91" i="49"/>
  <c r="AW91" i="49"/>
  <c r="AX91" i="49"/>
  <c r="AY91" i="49"/>
  <c r="AK92" i="49"/>
  <c r="AL92" i="49"/>
  <c r="AM92" i="49"/>
  <c r="AN92" i="49"/>
  <c r="AO92" i="49"/>
  <c r="AP92" i="49"/>
  <c r="AQ92" i="49"/>
  <c r="AR92" i="49"/>
  <c r="AS92" i="49"/>
  <c r="AT92" i="49"/>
  <c r="AU92" i="49"/>
  <c r="AV92" i="49"/>
  <c r="AW92" i="49"/>
  <c r="AX92" i="49"/>
  <c r="AY92" i="49"/>
  <c r="AK93" i="49"/>
  <c r="AL93" i="49"/>
  <c r="AM93" i="49"/>
  <c r="AN93" i="49"/>
  <c r="AO93" i="49"/>
  <c r="AP93" i="49"/>
  <c r="AQ93" i="49"/>
  <c r="AR93" i="49"/>
  <c r="AS93" i="49"/>
  <c r="AT93" i="49"/>
  <c r="AU93" i="49"/>
  <c r="AV93" i="49"/>
  <c r="AW93" i="49"/>
  <c r="AX93" i="49"/>
  <c r="AY93" i="49"/>
  <c r="AK94" i="49"/>
  <c r="AL94" i="49"/>
  <c r="AM94" i="49"/>
  <c r="AN94" i="49"/>
  <c r="AO94" i="49"/>
  <c r="AP94" i="49"/>
  <c r="AQ94" i="49"/>
  <c r="AR94" i="49"/>
  <c r="AS94" i="49"/>
  <c r="AT94" i="49"/>
  <c r="AU94" i="49"/>
  <c r="AV94" i="49"/>
  <c r="AW94" i="49"/>
  <c r="AX94" i="49"/>
  <c r="AY94" i="49"/>
  <c r="AK95" i="49"/>
  <c r="AL95" i="49"/>
  <c r="AM95" i="49"/>
  <c r="AN95" i="49"/>
  <c r="AO95" i="49"/>
  <c r="AP95" i="49"/>
  <c r="AQ95" i="49"/>
  <c r="AR95" i="49"/>
  <c r="AS95" i="49"/>
  <c r="AT95" i="49"/>
  <c r="AU95" i="49"/>
  <c r="AV95" i="49"/>
  <c r="AW95" i="49"/>
  <c r="AX95" i="49"/>
  <c r="AY95" i="49"/>
  <c r="AK96" i="49"/>
  <c r="AL96" i="49"/>
  <c r="AM96" i="49"/>
  <c r="AN96" i="49"/>
  <c r="AO96" i="49"/>
  <c r="AP96" i="49"/>
  <c r="AQ96" i="49"/>
  <c r="AR96" i="49"/>
  <c r="AS96" i="49"/>
  <c r="AT96" i="49"/>
  <c r="AU96" i="49"/>
  <c r="AV96" i="49"/>
  <c r="AW96" i="49"/>
  <c r="AX96" i="49"/>
  <c r="AY96" i="49"/>
  <c r="AN89" i="49"/>
  <c r="AO89" i="49"/>
  <c r="AP89" i="49"/>
  <c r="AQ89" i="49"/>
  <c r="AR89" i="49"/>
  <c r="AS89" i="49"/>
  <c r="AT89" i="49"/>
  <c r="AU89" i="49"/>
  <c r="AV89" i="49"/>
  <c r="AW89" i="49"/>
  <c r="AX89" i="49"/>
  <c r="AY89" i="49"/>
  <c r="AM89" i="49"/>
  <c r="AL89" i="49"/>
  <c r="AK89" i="49"/>
  <c r="AH90" i="49"/>
  <c r="AH91" i="49"/>
  <c r="AH92" i="49"/>
  <c r="AH93" i="49"/>
  <c r="AH94" i="49"/>
  <c r="AH95" i="49"/>
  <c r="AH96" i="49"/>
  <c r="AG90" i="49"/>
  <c r="AG91" i="49"/>
  <c r="AG92" i="49"/>
  <c r="AG93" i="49"/>
  <c r="AG94" i="49"/>
  <c r="AG95" i="49"/>
  <c r="AG96" i="49"/>
  <c r="BF89" i="49"/>
  <c r="AH89" i="49"/>
  <c r="AG89" i="49"/>
  <c r="B77" i="49"/>
  <c r="D65" i="49"/>
  <c r="D66" i="49"/>
  <c r="D67" i="49"/>
  <c r="D68" i="49"/>
  <c r="D69" i="49"/>
  <c r="D70" i="49"/>
  <c r="D71" i="49"/>
  <c r="D64" i="49"/>
  <c r="BF65" i="49"/>
  <c r="BF66" i="49"/>
  <c r="BF67" i="49"/>
  <c r="BF68" i="49"/>
  <c r="BF69" i="49"/>
  <c r="BF70" i="49"/>
  <c r="BF71" i="49"/>
  <c r="AK65" i="49"/>
  <c r="AL65" i="49"/>
  <c r="AM65" i="49"/>
  <c r="AN65" i="49"/>
  <c r="AO65" i="49"/>
  <c r="AP65" i="49"/>
  <c r="AQ65" i="49"/>
  <c r="AR65" i="49"/>
  <c r="AS65" i="49"/>
  <c r="AT65" i="49"/>
  <c r="AU65" i="49"/>
  <c r="AV65" i="49"/>
  <c r="AK66" i="49"/>
  <c r="AL66" i="49"/>
  <c r="AM66" i="49"/>
  <c r="AN66" i="49"/>
  <c r="AO66" i="49"/>
  <c r="AP66" i="49"/>
  <c r="AQ66" i="49"/>
  <c r="AR66" i="49"/>
  <c r="AS66" i="49"/>
  <c r="AT66" i="49"/>
  <c r="AU66" i="49"/>
  <c r="AV66" i="49"/>
  <c r="AK67" i="49"/>
  <c r="AL67" i="49"/>
  <c r="AM67" i="49"/>
  <c r="AN67" i="49"/>
  <c r="AO67" i="49"/>
  <c r="AP67" i="49"/>
  <c r="AQ67" i="49"/>
  <c r="AR67" i="49"/>
  <c r="AS67" i="49"/>
  <c r="AT67" i="49"/>
  <c r="AU67" i="49"/>
  <c r="AV67" i="49"/>
  <c r="AK68" i="49"/>
  <c r="AL68" i="49"/>
  <c r="AM68" i="49"/>
  <c r="AN68" i="49"/>
  <c r="AO68" i="49"/>
  <c r="AP68" i="49"/>
  <c r="AQ68" i="49"/>
  <c r="AR68" i="49"/>
  <c r="AS68" i="49"/>
  <c r="AT68" i="49"/>
  <c r="AU68" i="49"/>
  <c r="AV68" i="49"/>
  <c r="AK69" i="49"/>
  <c r="AL69" i="49"/>
  <c r="AM69" i="49"/>
  <c r="AN69" i="49"/>
  <c r="AO69" i="49"/>
  <c r="AP69" i="49"/>
  <c r="AQ69" i="49"/>
  <c r="AR69" i="49"/>
  <c r="AS69" i="49"/>
  <c r="AT69" i="49"/>
  <c r="AU69" i="49"/>
  <c r="AV69" i="49"/>
  <c r="AK70" i="49"/>
  <c r="AL70" i="49"/>
  <c r="AM70" i="49"/>
  <c r="AN70" i="49"/>
  <c r="AO70" i="49"/>
  <c r="AP70" i="49"/>
  <c r="AQ70" i="49"/>
  <c r="AR70" i="49"/>
  <c r="AS70" i="49"/>
  <c r="AT70" i="49"/>
  <c r="AU70" i="49"/>
  <c r="AV70" i="49"/>
  <c r="AK71" i="49"/>
  <c r="AL71" i="49"/>
  <c r="AM71" i="49"/>
  <c r="AN71" i="49"/>
  <c r="AO71" i="49"/>
  <c r="AP71" i="49"/>
  <c r="AQ71" i="49"/>
  <c r="AR71" i="49"/>
  <c r="AS71" i="49"/>
  <c r="AT71" i="49"/>
  <c r="AU71" i="49"/>
  <c r="AV71" i="49"/>
  <c r="AN64" i="49"/>
  <c r="AO64" i="49"/>
  <c r="AP64" i="49"/>
  <c r="AQ64" i="49"/>
  <c r="AR64" i="49"/>
  <c r="AS64" i="49"/>
  <c r="AT64" i="49"/>
  <c r="AU64" i="49"/>
  <c r="AV64" i="49"/>
  <c r="AM64" i="49"/>
  <c r="AL64" i="49"/>
  <c r="AK64" i="49"/>
  <c r="AH65" i="49"/>
  <c r="AH66" i="49"/>
  <c r="AH67" i="49"/>
  <c r="AH68" i="49"/>
  <c r="AH69" i="49"/>
  <c r="AH70" i="49"/>
  <c r="AH71" i="49"/>
  <c r="AG71" i="49"/>
  <c r="AG65" i="49"/>
  <c r="AG66" i="49"/>
  <c r="AG67" i="49"/>
  <c r="AG68" i="49"/>
  <c r="AG69" i="49"/>
  <c r="AG70" i="49"/>
  <c r="BF64" i="49"/>
  <c r="AH64" i="49"/>
  <c r="AG64" i="49"/>
  <c r="D41" i="49"/>
  <c r="D42" i="49"/>
  <c r="D43" i="49"/>
  <c r="D44" i="49"/>
  <c r="D45" i="49"/>
  <c r="D46" i="49"/>
  <c r="D47" i="49"/>
  <c r="D40" i="49"/>
  <c r="AI41" i="49"/>
  <c r="AJ41" i="49"/>
  <c r="AK41" i="49"/>
  <c r="AI42" i="49"/>
  <c r="AJ42" i="49"/>
  <c r="AK42" i="49"/>
  <c r="AI43" i="49"/>
  <c r="AJ43" i="49"/>
  <c r="AK43" i="49"/>
  <c r="AI44" i="49"/>
  <c r="AJ44" i="49"/>
  <c r="AK44" i="49"/>
  <c r="AI45" i="49"/>
  <c r="AJ45" i="49"/>
  <c r="AK45" i="49"/>
  <c r="AI46" i="49"/>
  <c r="AJ46" i="49"/>
  <c r="AK46" i="49"/>
  <c r="AI47" i="49"/>
  <c r="AJ47" i="49"/>
  <c r="AK47" i="49"/>
  <c r="AK40" i="49"/>
  <c r="Y200" i="53" l="1"/>
  <c r="AC86" i="53"/>
  <c r="AA86" i="53"/>
  <c r="Y86" i="53"/>
  <c r="W86" i="53"/>
  <c r="U86" i="53"/>
  <c r="S86" i="53"/>
  <c r="Q86" i="53"/>
  <c r="AS85" i="53"/>
  <c r="AR85" i="53" a="1"/>
  <c r="AR85" i="53" s="1"/>
  <c r="AQ85" i="53"/>
  <c r="AQ85" i="53" a="1"/>
  <c r="AP85" i="53" a="1"/>
  <c r="AP85" i="53" s="1"/>
  <c r="AO85" i="53"/>
  <c r="AO85" i="53" a="1"/>
  <c r="AN85" i="53" a="1"/>
  <c r="AN85" i="53" s="1"/>
  <c r="AM85" i="53"/>
  <c r="AM85" i="53" a="1"/>
  <c r="AL85" i="53"/>
  <c r="AK85" i="53" a="1"/>
  <c r="AK85" i="53" s="1"/>
  <c r="AH85" i="53"/>
  <c r="AS84" i="53"/>
  <c r="AS86" i="53" s="1"/>
  <c r="AR84" i="53" a="1"/>
  <c r="AR84" i="53" s="1"/>
  <c r="AQ84" i="53" a="1"/>
  <c r="AQ84" i="53" s="1"/>
  <c r="AP84" i="53" a="1"/>
  <c r="AP84" i="53" s="1"/>
  <c r="AO84" i="53" a="1"/>
  <c r="AO84" i="53" s="1"/>
  <c r="AN84" i="53" a="1"/>
  <c r="AN84" i="53" s="1"/>
  <c r="AM84" i="53" a="1"/>
  <c r="AM84" i="53" s="1"/>
  <c r="AL84" i="53"/>
  <c r="AK84" i="53" s="1" a="1"/>
  <c r="AK84" i="53" s="1"/>
  <c r="AK86" i="53" s="1"/>
  <c r="AJ84" i="53" a="1"/>
  <c r="AJ84" i="53" s="1"/>
  <c r="AI84" i="53" a="1"/>
  <c r="AI84" i="53" s="1"/>
  <c r="AH84" i="53"/>
  <c r="Y61" i="53"/>
  <c r="AN54" i="53" s="1" a="1"/>
  <c r="AN54" i="53" s="1"/>
  <c r="AN55" i="53" s="1"/>
  <c r="B71" i="53" s="1"/>
  <c r="S61" i="53"/>
  <c r="AM54" i="53" s="1" a="1"/>
  <c r="AM54" i="53" s="1"/>
  <c r="M61" i="53"/>
  <c r="AL54" i="53" s="1" a="1"/>
  <c r="AL54" i="53" s="1"/>
  <c r="AQ60" i="53" a="1"/>
  <c r="AQ60" i="53" s="1"/>
  <c r="AP60" i="53" a="1"/>
  <c r="AP60" i="53" s="1"/>
  <c r="AO60" i="53" a="1"/>
  <c r="AO60" i="53" s="1"/>
  <c r="AK60" i="53"/>
  <c r="AJ60" i="53"/>
  <c r="AI60" i="53"/>
  <c r="AQ59" i="53" a="1"/>
  <c r="AQ59" i="53" s="1"/>
  <c r="AP59" i="53" a="1"/>
  <c r="AP59" i="53" s="1"/>
  <c r="AO59" i="53" a="1"/>
  <c r="AO59" i="53" s="1"/>
  <c r="AK59" i="53"/>
  <c r="AJ59" i="53"/>
  <c r="AI59" i="53"/>
  <c r="AQ58" i="53" a="1"/>
  <c r="AQ58" i="53" s="1"/>
  <c r="AP58" i="53" a="1"/>
  <c r="AP58" i="53" s="1"/>
  <c r="AO58" i="53" a="1"/>
  <c r="AO58" i="53" s="1"/>
  <c r="AK58" i="53"/>
  <c r="AJ58" i="53"/>
  <c r="AI58" i="53"/>
  <c r="AQ57" i="53" a="1"/>
  <c r="AQ57" i="53" s="1"/>
  <c r="AP57" i="53" a="1"/>
  <c r="AP57" i="53" s="1"/>
  <c r="AO57" i="53" a="1"/>
  <c r="AO57" i="53" s="1"/>
  <c r="AK57" i="53"/>
  <c r="AJ57" i="53"/>
  <c r="AI57" i="53"/>
  <c r="AQ56" i="53" a="1"/>
  <c r="AQ56" i="53" s="1"/>
  <c r="AP56" i="53" a="1"/>
  <c r="AP56" i="53" s="1"/>
  <c r="AO56" i="53" a="1"/>
  <c r="AO56" i="53" s="1"/>
  <c r="AK56" i="53"/>
  <c r="AJ56" i="53"/>
  <c r="AI56" i="53"/>
  <c r="AQ55" i="53" a="1"/>
  <c r="AQ55" i="53" s="1"/>
  <c r="AP55" i="53" a="1"/>
  <c r="AP55" i="53" s="1"/>
  <c r="AO55" i="53"/>
  <c r="AO55" i="53" a="1"/>
  <c r="AK55" i="53"/>
  <c r="AJ55" i="53"/>
  <c r="AI55" i="53"/>
  <c r="AQ54" i="53" a="1"/>
  <c r="AQ54" i="53" s="1"/>
  <c r="AP54" i="53" a="1"/>
  <c r="AP54" i="53" s="1"/>
  <c r="AO54" i="53" a="1"/>
  <c r="AO54" i="53" s="1"/>
  <c r="AK54" i="53"/>
  <c r="AK61" i="53" s="1"/>
  <c r="AJ54" i="53"/>
  <c r="AI54" i="53"/>
  <c r="AI61" i="53" s="1"/>
  <c r="AH55" i="53"/>
  <c r="B69" i="53" s="1"/>
  <c r="AJ309" i="47"/>
  <c r="AI309" i="47"/>
  <c r="AH34" i="47"/>
  <c r="B39" i="47" s="1"/>
  <c r="AK37" i="53"/>
  <c r="AK38" i="53" s="1"/>
  <c r="B44" i="53" s="1"/>
  <c r="AJ37" i="53"/>
  <c r="AI37" i="53"/>
  <c r="AI38" i="53" s="1"/>
  <c r="AH37" i="53"/>
  <c r="B43" i="53" s="1"/>
  <c r="AG37" i="53"/>
  <c r="B41" i="53" s="1"/>
  <c r="Y517" i="47"/>
  <c r="S517" i="47"/>
  <c r="M517" i="47"/>
  <c r="AF517" i="47"/>
  <c r="AL517" i="47"/>
  <c r="AJ517" i="47"/>
  <c r="Y336" i="47"/>
  <c r="S336" i="47"/>
  <c r="M336" i="47"/>
  <c r="AK336" i="47"/>
  <c r="AJ334" i="47"/>
  <c r="AI334" i="47"/>
  <c r="AI336" i="47" s="1"/>
  <c r="Y293" i="47"/>
  <c r="M293" i="47"/>
  <c r="AJ266" i="47"/>
  <c r="AI266" i="47"/>
  <c r="AI293" i="47" s="1"/>
  <c r="Y216" i="47"/>
  <c r="S216" i="47"/>
  <c r="M216" i="47"/>
  <c r="AK216" i="47"/>
  <c r="AJ213" i="47"/>
  <c r="AI213" i="47"/>
  <c r="AI216" i="47" s="1"/>
  <c r="Y199" i="47"/>
  <c r="S199" i="47"/>
  <c r="AK199" i="47"/>
  <c r="AJ196" i="47"/>
  <c r="AI196" i="47"/>
  <c r="AI199" i="47" s="1"/>
  <c r="Y182" i="47"/>
  <c r="S182" i="47"/>
  <c r="M182" i="47"/>
  <c r="AK182" i="47"/>
  <c r="AJ177" i="47"/>
  <c r="AI177" i="47"/>
  <c r="AI182" i="47" s="1"/>
  <c r="Y161" i="47"/>
  <c r="S161" i="47"/>
  <c r="M161" i="47"/>
  <c r="AK161" i="47"/>
  <c r="AJ149" i="47"/>
  <c r="AI149" i="47"/>
  <c r="AI161" i="47" s="1"/>
  <c r="Y133" i="47"/>
  <c r="S133" i="47"/>
  <c r="M133" i="47"/>
  <c r="AJ113" i="47"/>
  <c r="AI113" i="47"/>
  <c r="AI133" i="47" s="1"/>
  <c r="Y99" i="47"/>
  <c r="S99" i="47"/>
  <c r="M99" i="47"/>
  <c r="AJ90" i="47"/>
  <c r="AI90" i="47"/>
  <c r="Y75" i="47"/>
  <c r="S75" i="47"/>
  <c r="M75" i="47"/>
  <c r="AK75" i="47"/>
  <c r="AJ67" i="47"/>
  <c r="AI67" i="47"/>
  <c r="AI75" i="47" s="1"/>
  <c r="Y51" i="47"/>
  <c r="S51" i="47"/>
  <c r="M51" i="47"/>
  <c r="AK51" i="47"/>
  <c r="AJ48" i="47"/>
  <c r="AI48" i="47"/>
  <c r="AI51" i="47" s="1"/>
  <c r="AJ33" i="47"/>
  <c r="AI33" i="47"/>
  <c r="AI34" i="47" s="1"/>
  <c r="AG34" i="47"/>
  <c r="B37" i="47" s="1"/>
  <c r="AJ85" i="53" l="1"/>
  <c r="AQ61" i="53"/>
  <c r="B72" i="53" s="1"/>
  <c r="AG86" i="53"/>
  <c r="AH86" i="53"/>
  <c r="AI310" i="47"/>
  <c r="AK309" i="47"/>
  <c r="AK310" i="47" s="1"/>
  <c r="AH110" i="53"/>
  <c r="AH167" i="53"/>
  <c r="AR86" i="53"/>
  <c r="AD893" i="52"/>
  <c r="AC893" i="52"/>
  <c r="AB893" i="52"/>
  <c r="AA893" i="52"/>
  <c r="Z893" i="52"/>
  <c r="Y893" i="52"/>
  <c r="X893" i="52"/>
  <c r="W893" i="52"/>
  <c r="V893" i="52"/>
  <c r="U893" i="52"/>
  <c r="T893" i="52"/>
  <c r="S893" i="52"/>
  <c r="R893" i="52"/>
  <c r="Q893" i="52"/>
  <c r="P893" i="52"/>
  <c r="O893" i="52"/>
  <c r="N893" i="52"/>
  <c r="M893" i="52"/>
  <c r="L893" i="52"/>
  <c r="K893" i="52"/>
  <c r="J893" i="52"/>
  <c r="I893" i="52"/>
  <c r="H893" i="52"/>
  <c r="G893" i="52"/>
  <c r="AD722" i="52"/>
  <c r="AC722" i="52"/>
  <c r="AB722" i="52"/>
  <c r="AA722" i="52"/>
  <c r="Z722" i="52"/>
  <c r="Y722" i="52"/>
  <c r="X722" i="52"/>
  <c r="W722" i="52"/>
  <c r="V722" i="52"/>
  <c r="U722" i="52"/>
  <c r="T722" i="52"/>
  <c r="S722" i="52"/>
  <c r="R722" i="52"/>
  <c r="Q722" i="52"/>
  <c r="P722" i="52"/>
  <c r="AD539" i="52"/>
  <c r="AC539" i="52"/>
  <c r="AB539" i="52"/>
  <c r="AA539" i="52"/>
  <c r="Z539" i="52"/>
  <c r="Y539" i="52"/>
  <c r="X539" i="52"/>
  <c r="W539" i="52"/>
  <c r="V539" i="52"/>
  <c r="U539" i="52"/>
  <c r="T539" i="52"/>
  <c r="S539" i="52"/>
  <c r="R539" i="52"/>
  <c r="Q539" i="52"/>
  <c r="P539" i="52"/>
  <c r="O539" i="52"/>
  <c r="N539" i="52"/>
  <c r="M539" i="52"/>
  <c r="L539" i="52"/>
  <c r="K539" i="52"/>
  <c r="J539" i="52"/>
  <c r="I539" i="52"/>
  <c r="H539" i="52"/>
  <c r="G539" i="52"/>
  <c r="AD368" i="52"/>
  <c r="AC368" i="52"/>
  <c r="AB368" i="52"/>
  <c r="AA368" i="52"/>
  <c r="Z368" i="52"/>
  <c r="Y368" i="52"/>
  <c r="X368" i="52"/>
  <c r="W368" i="52"/>
  <c r="V368" i="52"/>
  <c r="U368" i="52"/>
  <c r="T368" i="52"/>
  <c r="S368" i="52"/>
  <c r="R368" i="52"/>
  <c r="Q368" i="52"/>
  <c r="P368" i="52"/>
  <c r="AL543" i="52" s="1"/>
  <c r="AY367" i="52"/>
  <c r="AX367" i="52"/>
  <c r="AW367" i="52"/>
  <c r="AV367" i="52"/>
  <c r="AU367" i="52"/>
  <c r="AT367" i="52"/>
  <c r="AS367" i="52"/>
  <c r="AR367" i="52"/>
  <c r="AQ367" i="52"/>
  <c r="AP367" i="52"/>
  <c r="AO367" i="52"/>
  <c r="AN367" i="52"/>
  <c r="AM367" i="52"/>
  <c r="AL367" i="52"/>
  <c r="AK367" i="52"/>
  <c r="AY366" i="52"/>
  <c r="AX366" i="52"/>
  <c r="AW366" i="52"/>
  <c r="AV366" i="52"/>
  <c r="AU366" i="52"/>
  <c r="AT366" i="52"/>
  <c r="AS366" i="52"/>
  <c r="AR366" i="52"/>
  <c r="AQ366" i="52"/>
  <c r="AP366" i="52"/>
  <c r="AO366" i="52"/>
  <c r="AN366" i="52"/>
  <c r="AM366" i="52"/>
  <c r="AL366" i="52"/>
  <c r="AK366" i="52"/>
  <c r="AY365" i="52"/>
  <c r="AX365" i="52"/>
  <c r="AW365" i="52"/>
  <c r="AV365" i="52"/>
  <c r="AU365" i="52"/>
  <c r="AT365" i="52"/>
  <c r="AS365" i="52"/>
  <c r="AR365" i="52"/>
  <c r="AQ365" i="52"/>
  <c r="AP365" i="52"/>
  <c r="AO365" i="52"/>
  <c r="AN365" i="52"/>
  <c r="AM365" i="52"/>
  <c r="AL365" i="52"/>
  <c r="AK365" i="52"/>
  <c r="AY364" i="52"/>
  <c r="AX364" i="52"/>
  <c r="AW364" i="52"/>
  <c r="AV364" i="52"/>
  <c r="AU364" i="52"/>
  <c r="AT364" i="52"/>
  <c r="AS364" i="52"/>
  <c r="AR364" i="52"/>
  <c r="AQ364" i="52"/>
  <c r="AP364" i="52"/>
  <c r="AO364" i="52"/>
  <c r="AN364" i="52"/>
  <c r="AM364" i="52"/>
  <c r="AL364" i="52"/>
  <c r="AK364" i="52"/>
  <c r="AY363" i="52"/>
  <c r="AX363" i="52"/>
  <c r="AW363" i="52"/>
  <c r="AV363" i="52"/>
  <c r="AU363" i="52"/>
  <c r="AT363" i="52"/>
  <c r="AS363" i="52"/>
  <c r="AR363" i="52"/>
  <c r="AQ363" i="52"/>
  <c r="AP363" i="52"/>
  <c r="AO363" i="52"/>
  <c r="AN363" i="52"/>
  <c r="AM363" i="52"/>
  <c r="AL363" i="52"/>
  <c r="AK363" i="52"/>
  <c r="AY362" i="52"/>
  <c r="AX362" i="52"/>
  <c r="AW362" i="52"/>
  <c r="AV362" i="52"/>
  <c r="AU362" i="52"/>
  <c r="AT362" i="52"/>
  <c r="AS362" i="52"/>
  <c r="AR362" i="52"/>
  <c r="AQ362" i="52"/>
  <c r="AP362" i="52"/>
  <c r="AO362" i="52"/>
  <c r="AN362" i="52"/>
  <c r="AM362" i="52"/>
  <c r="AL362" i="52"/>
  <c r="AK362" i="52"/>
  <c r="AY361" i="52"/>
  <c r="AX361" i="52"/>
  <c r="AW361" i="52"/>
  <c r="AV361" i="52"/>
  <c r="AU361" i="52"/>
  <c r="AT361" i="52"/>
  <c r="AS361" i="52"/>
  <c r="AR361" i="52"/>
  <c r="AQ361" i="52"/>
  <c r="AP361" i="52"/>
  <c r="AO361" i="52"/>
  <c r="AN361" i="52"/>
  <c r="AM361" i="52"/>
  <c r="AL361" i="52"/>
  <c r="AK361" i="52"/>
  <c r="AY360" i="52"/>
  <c r="AX360" i="52"/>
  <c r="AW360" i="52"/>
  <c r="AV360" i="52"/>
  <c r="AU360" i="52"/>
  <c r="AT360" i="52"/>
  <c r="AS360" i="52"/>
  <c r="AR360" i="52"/>
  <c r="AQ360" i="52"/>
  <c r="AP360" i="52"/>
  <c r="AO360" i="52"/>
  <c r="AN360" i="52"/>
  <c r="AM360" i="52"/>
  <c r="AL360" i="52"/>
  <c r="AK360" i="52"/>
  <c r="AY359" i="52"/>
  <c r="AX359" i="52"/>
  <c r="AW359" i="52"/>
  <c r="AV359" i="52"/>
  <c r="AU359" i="52"/>
  <c r="AT359" i="52"/>
  <c r="AS359" i="52"/>
  <c r="AR359" i="52"/>
  <c r="AQ359" i="52"/>
  <c r="AP359" i="52"/>
  <c r="AO359" i="52"/>
  <c r="AN359" i="52"/>
  <c r="AM359" i="52"/>
  <c r="AL359" i="52"/>
  <c r="AK359" i="52"/>
  <c r="AF368" i="52"/>
  <c r="AY358" i="52"/>
  <c r="AX358" i="52"/>
  <c r="AW358" i="52"/>
  <c r="AV358" i="52"/>
  <c r="AU358" i="52"/>
  <c r="AT358" i="52"/>
  <c r="AS358" i="52"/>
  <c r="AR358" i="52"/>
  <c r="AQ358" i="52"/>
  <c r="AP358" i="52"/>
  <c r="AO358" i="52"/>
  <c r="AN358" i="52"/>
  <c r="AM358" i="52"/>
  <c r="AL358" i="52"/>
  <c r="AK358" i="52"/>
  <c r="AY357" i="52"/>
  <c r="AX357" i="52"/>
  <c r="AW357" i="52"/>
  <c r="AV357" i="52"/>
  <c r="AU357" i="52"/>
  <c r="AT357" i="52"/>
  <c r="AS357" i="52"/>
  <c r="AR357" i="52"/>
  <c r="AQ357" i="52"/>
  <c r="AP357" i="52"/>
  <c r="AO357" i="52"/>
  <c r="AN357" i="52"/>
  <c r="AM357" i="52"/>
  <c r="AL357" i="52"/>
  <c r="AK357" i="52"/>
  <c r="AY356" i="52"/>
  <c r="AX356" i="52"/>
  <c r="AW356" i="52"/>
  <c r="AV356" i="52"/>
  <c r="AU356" i="52"/>
  <c r="AT356" i="52"/>
  <c r="AS356" i="52"/>
  <c r="AR356" i="52"/>
  <c r="AQ356" i="52"/>
  <c r="AP356" i="52"/>
  <c r="AO356" i="52"/>
  <c r="AN356" i="52"/>
  <c r="AM356" i="52"/>
  <c r="AL356" i="52"/>
  <c r="AK356" i="52"/>
  <c r="AY355" i="52"/>
  <c r="AX355" i="52"/>
  <c r="AW355" i="52"/>
  <c r="AV355" i="52"/>
  <c r="AU355" i="52"/>
  <c r="AT355" i="52"/>
  <c r="AS355" i="52"/>
  <c r="AR355" i="52"/>
  <c r="AQ355" i="52"/>
  <c r="AP355" i="52"/>
  <c r="AO355" i="52"/>
  <c r="AN355" i="52"/>
  <c r="AM355" i="52"/>
  <c r="AL355" i="52"/>
  <c r="AK355" i="52"/>
  <c r="AY354" i="52"/>
  <c r="AX354" i="52"/>
  <c r="AW354" i="52"/>
  <c r="AV354" i="52"/>
  <c r="AU354" i="52"/>
  <c r="AT354" i="52"/>
  <c r="AS354" i="52"/>
  <c r="AR354" i="52"/>
  <c r="AQ354" i="52"/>
  <c r="AP354" i="52"/>
  <c r="AO354" i="52"/>
  <c r="AN354" i="52"/>
  <c r="AM354" i="52"/>
  <c r="AL354" i="52"/>
  <c r="AK354" i="52"/>
  <c r="AY353" i="52"/>
  <c r="AX353" i="52"/>
  <c r="AW353" i="52"/>
  <c r="AV353" i="52"/>
  <c r="AU353" i="52"/>
  <c r="AT353" i="52"/>
  <c r="AS353" i="52"/>
  <c r="AR353" i="52"/>
  <c r="AQ353" i="52"/>
  <c r="AP353" i="52"/>
  <c r="AO353" i="52"/>
  <c r="AN353" i="52"/>
  <c r="AM353" i="52"/>
  <c r="AL353" i="52"/>
  <c r="AK353" i="52"/>
  <c r="AY352" i="52"/>
  <c r="AX352" i="52"/>
  <c r="AW352" i="52"/>
  <c r="AV352" i="52"/>
  <c r="AU352" i="52"/>
  <c r="AT352" i="52"/>
  <c r="AS352" i="52"/>
  <c r="AR352" i="52"/>
  <c r="AQ352" i="52"/>
  <c r="AP352" i="52"/>
  <c r="AO352" i="52"/>
  <c r="AN352" i="52"/>
  <c r="AM352" i="52"/>
  <c r="AL352" i="52"/>
  <c r="AK352" i="52"/>
  <c r="AY351" i="52"/>
  <c r="AX351" i="52"/>
  <c r="AW351" i="52"/>
  <c r="AV351" i="52"/>
  <c r="AU351" i="52"/>
  <c r="AT351" i="52"/>
  <c r="AS351" i="52"/>
  <c r="AR351" i="52"/>
  <c r="AQ351" i="52"/>
  <c r="AP351" i="52"/>
  <c r="AO351" i="52"/>
  <c r="AN351" i="52"/>
  <c r="AM351" i="52"/>
  <c r="AL351" i="52"/>
  <c r="AK351" i="52"/>
  <c r="AY350" i="52"/>
  <c r="AX350" i="52"/>
  <c r="AW350" i="52"/>
  <c r="AV350" i="52"/>
  <c r="AU350" i="52"/>
  <c r="AT350" i="52"/>
  <c r="AS350" i="52"/>
  <c r="AR350" i="52"/>
  <c r="AQ350" i="52"/>
  <c r="AP350" i="52"/>
  <c r="AO350" i="52"/>
  <c r="AN350" i="52"/>
  <c r="AM350" i="52"/>
  <c r="AL350" i="52"/>
  <c r="AK350" i="52"/>
  <c r="AY349" i="52"/>
  <c r="AX349" i="52"/>
  <c r="AW349" i="52"/>
  <c r="AV349" i="52"/>
  <c r="AU349" i="52"/>
  <c r="AT349" i="52"/>
  <c r="AS349" i="52"/>
  <c r="AR349" i="52"/>
  <c r="AQ349" i="52"/>
  <c r="AP349" i="52"/>
  <c r="AO349" i="52"/>
  <c r="AN349" i="52"/>
  <c r="AM349" i="52"/>
  <c r="AL349" i="52"/>
  <c r="AK349" i="52"/>
  <c r="AY348" i="52"/>
  <c r="AX348" i="52"/>
  <c r="AW348" i="52"/>
  <c r="AV348" i="52"/>
  <c r="AU348" i="52"/>
  <c r="AT348" i="52"/>
  <c r="AS348" i="52"/>
  <c r="AR348" i="52"/>
  <c r="AQ348" i="52"/>
  <c r="AP348" i="52"/>
  <c r="AO348" i="52"/>
  <c r="AN348" i="52"/>
  <c r="AM348" i="52"/>
  <c r="AL348" i="52"/>
  <c r="AK348" i="52"/>
  <c r="AY347" i="52"/>
  <c r="AX347" i="52"/>
  <c r="AW347" i="52"/>
  <c r="AV347" i="52"/>
  <c r="AU347" i="52"/>
  <c r="AT347" i="52"/>
  <c r="AS347" i="52"/>
  <c r="AR347" i="52"/>
  <c r="AQ347" i="52"/>
  <c r="AP347" i="52"/>
  <c r="AO347" i="52"/>
  <c r="AN347" i="52"/>
  <c r="AM347" i="52"/>
  <c r="AL347" i="52"/>
  <c r="AK347" i="52"/>
  <c r="AY346" i="52"/>
  <c r="AX346" i="52"/>
  <c r="AW346" i="52"/>
  <c r="AV346" i="52"/>
  <c r="AU346" i="52"/>
  <c r="AT346" i="52"/>
  <c r="AS346" i="52"/>
  <c r="AR346" i="52"/>
  <c r="AQ346" i="52"/>
  <c r="AP346" i="52"/>
  <c r="AO346" i="52"/>
  <c r="AN346" i="52"/>
  <c r="AM346" i="52"/>
  <c r="AL346" i="52"/>
  <c r="AK346" i="52"/>
  <c r="AY345" i="52"/>
  <c r="AX345" i="52"/>
  <c r="AW345" i="52"/>
  <c r="AV345" i="52"/>
  <c r="AU345" i="52"/>
  <c r="AT345" i="52"/>
  <c r="AS345" i="52"/>
  <c r="AR345" i="52"/>
  <c r="AQ345" i="52"/>
  <c r="AP345" i="52"/>
  <c r="AO345" i="52"/>
  <c r="AN345" i="52"/>
  <c r="AM345" i="52"/>
  <c r="AL345" i="52"/>
  <c r="AK345" i="52"/>
  <c r="AY344" i="52"/>
  <c r="AX344" i="52"/>
  <c r="AW344" i="52"/>
  <c r="AV344" i="52"/>
  <c r="AU344" i="52"/>
  <c r="AT344" i="52"/>
  <c r="AS344" i="52"/>
  <c r="AR344" i="52"/>
  <c r="AQ344" i="52"/>
  <c r="AP344" i="52"/>
  <c r="AO344" i="52"/>
  <c r="AN344" i="52"/>
  <c r="AM344" i="52"/>
  <c r="AL344" i="52"/>
  <c r="AK344" i="52"/>
  <c r="AY343" i="52"/>
  <c r="AX343" i="52"/>
  <c r="AW343" i="52"/>
  <c r="AV343" i="52"/>
  <c r="AU343" i="52"/>
  <c r="AT343" i="52"/>
  <c r="AS343" i="52"/>
  <c r="AR343" i="52"/>
  <c r="AQ343" i="52"/>
  <c r="AP343" i="52"/>
  <c r="AO343" i="52"/>
  <c r="AN343" i="52"/>
  <c r="AM343" i="52"/>
  <c r="AL343" i="52"/>
  <c r="AK343" i="52"/>
  <c r="AY342" i="52"/>
  <c r="AX342" i="52"/>
  <c r="AW342" i="52"/>
  <c r="AV342" i="52"/>
  <c r="AU342" i="52"/>
  <c r="AT342" i="52"/>
  <c r="AS342" i="52"/>
  <c r="AR342" i="52"/>
  <c r="AQ342" i="52"/>
  <c r="AP342" i="52"/>
  <c r="AO342" i="52"/>
  <c r="AN342" i="52"/>
  <c r="AM342" i="52"/>
  <c r="AL342" i="52"/>
  <c r="AK342" i="52"/>
  <c r="AY341" i="52"/>
  <c r="AX341" i="52"/>
  <c r="AW341" i="52"/>
  <c r="AV341" i="52"/>
  <c r="AU341" i="52"/>
  <c r="AT341" i="52"/>
  <c r="AS341" i="52"/>
  <c r="AR341" i="52"/>
  <c r="AQ341" i="52"/>
  <c r="AP341" i="52"/>
  <c r="AO341" i="52"/>
  <c r="AN341" i="52"/>
  <c r="AM341" i="52"/>
  <c r="AL341" i="52"/>
  <c r="AK341" i="52"/>
  <c r="AY340" i="52"/>
  <c r="AX340" i="52"/>
  <c r="AW340" i="52"/>
  <c r="AV340" i="52"/>
  <c r="AU340" i="52"/>
  <c r="AT340" i="52"/>
  <c r="AS340" i="52"/>
  <c r="AR340" i="52"/>
  <c r="AQ340" i="52"/>
  <c r="AP340" i="52"/>
  <c r="AO340" i="52"/>
  <c r="AN340" i="52"/>
  <c r="AM340" i="52"/>
  <c r="AL340" i="52"/>
  <c r="AK340" i="52"/>
  <c r="AY339" i="52"/>
  <c r="AX339" i="52"/>
  <c r="AW339" i="52"/>
  <c r="AV339" i="52"/>
  <c r="AU339" i="52"/>
  <c r="AT339" i="52"/>
  <c r="AS339" i="52"/>
  <c r="AR339" i="52"/>
  <c r="AQ339" i="52"/>
  <c r="AP339" i="52"/>
  <c r="AO339" i="52"/>
  <c r="AN339" i="52"/>
  <c r="AM339" i="52"/>
  <c r="AL339" i="52"/>
  <c r="AK339" i="52"/>
  <c r="AY338" i="52"/>
  <c r="AX338" i="52"/>
  <c r="AW338" i="52"/>
  <c r="AV338" i="52"/>
  <c r="AU338" i="52"/>
  <c r="AT338" i="52"/>
  <c r="AS338" i="52"/>
  <c r="AR338" i="52"/>
  <c r="AQ338" i="52"/>
  <c r="AP338" i="52"/>
  <c r="AO338" i="52"/>
  <c r="AN338" i="52"/>
  <c r="AM338" i="52"/>
  <c r="AL338" i="52"/>
  <c r="AK338" i="52"/>
  <c r="AY337" i="52"/>
  <c r="AX337" i="52"/>
  <c r="AW337" i="52"/>
  <c r="AV337" i="52"/>
  <c r="AU337" i="52"/>
  <c r="AT337" i="52"/>
  <c r="AS337" i="52"/>
  <c r="AR337" i="52"/>
  <c r="AQ337" i="52"/>
  <c r="AP337" i="52"/>
  <c r="AO337" i="52"/>
  <c r="AN337" i="52"/>
  <c r="AM337" i="52"/>
  <c r="AL337" i="52"/>
  <c r="AK337" i="52"/>
  <c r="AY336" i="52"/>
  <c r="AX336" i="52"/>
  <c r="AW336" i="52"/>
  <c r="AV336" i="52"/>
  <c r="AU336" i="52"/>
  <c r="AT336" i="52"/>
  <c r="AS336" i="52"/>
  <c r="AR336" i="52"/>
  <c r="AQ336" i="52"/>
  <c r="AP336" i="52"/>
  <c r="AO336" i="52"/>
  <c r="AN336" i="52"/>
  <c r="AM336" i="52"/>
  <c r="AL336" i="52"/>
  <c r="AK336" i="52"/>
  <c r="AY335" i="52"/>
  <c r="AX335" i="52"/>
  <c r="AW335" i="52"/>
  <c r="AV335" i="52"/>
  <c r="AU335" i="52"/>
  <c r="AT335" i="52"/>
  <c r="AS335" i="52"/>
  <c r="AR335" i="52"/>
  <c r="AQ335" i="52"/>
  <c r="AP335" i="52"/>
  <c r="AO335" i="52"/>
  <c r="AN335" i="52"/>
  <c r="AM335" i="52"/>
  <c r="AL335" i="52"/>
  <c r="AK335" i="52"/>
  <c r="AY334" i="52"/>
  <c r="AX334" i="52"/>
  <c r="AW334" i="52"/>
  <c r="AV334" i="52"/>
  <c r="AU334" i="52"/>
  <c r="AT334" i="52"/>
  <c r="AS334" i="52"/>
  <c r="AR334" i="52"/>
  <c r="AQ334" i="52"/>
  <c r="AP334" i="52"/>
  <c r="AO334" i="52"/>
  <c r="AN334" i="52"/>
  <c r="AM334" i="52"/>
  <c r="AL334" i="52"/>
  <c r="AK334" i="52"/>
  <c r="AY333" i="52"/>
  <c r="AX333" i="52"/>
  <c r="AW333" i="52"/>
  <c r="AV333" i="52"/>
  <c r="AU333" i="52"/>
  <c r="AT333" i="52"/>
  <c r="AS333" i="52"/>
  <c r="AR333" i="52"/>
  <c r="AQ333" i="52"/>
  <c r="AP333" i="52"/>
  <c r="AO333" i="52"/>
  <c r="AN333" i="52"/>
  <c r="AM333" i="52"/>
  <c r="AL333" i="52"/>
  <c r="AK333" i="52"/>
  <c r="AJ368" i="52"/>
  <c r="AY332" i="52"/>
  <c r="AX332" i="52"/>
  <c r="AW332" i="52"/>
  <c r="AV332" i="52"/>
  <c r="AU332" i="52"/>
  <c r="AT332" i="52"/>
  <c r="AS332" i="52"/>
  <c r="AR332" i="52"/>
  <c r="AQ332" i="52"/>
  <c r="AP332" i="52"/>
  <c r="AO332" i="52"/>
  <c r="AN332" i="52"/>
  <c r="AM332" i="52"/>
  <c r="AL332" i="52"/>
  <c r="AK332" i="52"/>
  <c r="AY331" i="52"/>
  <c r="AX331" i="52"/>
  <c r="AW331" i="52"/>
  <c r="AV331" i="52"/>
  <c r="AU331" i="52"/>
  <c r="AT331" i="52"/>
  <c r="AS331" i="52"/>
  <c r="AR331" i="52"/>
  <c r="AQ331" i="52"/>
  <c r="AP331" i="52"/>
  <c r="AO331" i="52"/>
  <c r="AN331" i="52"/>
  <c r="AM331" i="52"/>
  <c r="AL331" i="52"/>
  <c r="AK331" i="52"/>
  <c r="AY330" i="52"/>
  <c r="AX330" i="52"/>
  <c r="AW330" i="52"/>
  <c r="AV330" i="52"/>
  <c r="AU330" i="52"/>
  <c r="AT330" i="52"/>
  <c r="AS330" i="52"/>
  <c r="AR330" i="52"/>
  <c r="AQ330" i="52"/>
  <c r="AP330" i="52"/>
  <c r="AO330" i="52"/>
  <c r="AN330" i="52"/>
  <c r="AM330" i="52"/>
  <c r="AL330" i="52"/>
  <c r="AK330" i="52"/>
  <c r="AY329" i="52"/>
  <c r="AX329" i="52"/>
  <c r="AW329" i="52"/>
  <c r="AV329" i="52"/>
  <c r="AU329" i="52"/>
  <c r="AT329" i="52"/>
  <c r="AS329" i="52"/>
  <c r="AR329" i="52"/>
  <c r="AQ329" i="52"/>
  <c r="AP329" i="52"/>
  <c r="AO329" i="52"/>
  <c r="AN329" i="52"/>
  <c r="AM329" i="52"/>
  <c r="AL329" i="52"/>
  <c r="AK329" i="52"/>
  <c r="AY328" i="52"/>
  <c r="AX328" i="52"/>
  <c r="AW328" i="52"/>
  <c r="AV328" i="52"/>
  <c r="AU328" i="52"/>
  <c r="AT328" i="52"/>
  <c r="AS328" i="52"/>
  <c r="AR328" i="52"/>
  <c r="AQ328" i="52"/>
  <c r="AP328" i="52"/>
  <c r="AO328" i="52"/>
  <c r="AN328" i="52"/>
  <c r="AM328" i="52"/>
  <c r="AL328" i="52"/>
  <c r="AK328" i="52"/>
  <c r="AY327" i="52"/>
  <c r="AX327" i="52"/>
  <c r="AW327" i="52"/>
  <c r="AV327" i="52"/>
  <c r="AU327" i="52"/>
  <c r="AT327" i="52"/>
  <c r="AS327" i="52"/>
  <c r="AR327" i="52"/>
  <c r="AQ327" i="52"/>
  <c r="AP327" i="52"/>
  <c r="AO327" i="52"/>
  <c r="AN327" i="52"/>
  <c r="AM327" i="52"/>
  <c r="AL327" i="52"/>
  <c r="AK327" i="52"/>
  <c r="AY326" i="52"/>
  <c r="AX326" i="52"/>
  <c r="AW326" i="52"/>
  <c r="AV326" i="52"/>
  <c r="AU326" i="52"/>
  <c r="AT326" i="52"/>
  <c r="AS326" i="52"/>
  <c r="AR326" i="52"/>
  <c r="AQ326" i="52"/>
  <c r="AP326" i="52"/>
  <c r="AO326" i="52"/>
  <c r="AN326" i="52"/>
  <c r="AM326" i="52"/>
  <c r="AL326" i="52"/>
  <c r="AK326" i="52"/>
  <c r="AY325" i="52"/>
  <c r="AX325" i="52"/>
  <c r="AW325" i="52"/>
  <c r="AV325" i="52"/>
  <c r="AU325" i="52"/>
  <c r="AT325" i="52"/>
  <c r="AS325" i="52"/>
  <c r="AR325" i="52"/>
  <c r="AQ325" i="52"/>
  <c r="AP325" i="52"/>
  <c r="AO325" i="52"/>
  <c r="AN325" i="52"/>
  <c r="AM325" i="52"/>
  <c r="AL325" i="52"/>
  <c r="AK325" i="52"/>
  <c r="AY324" i="52"/>
  <c r="AX324" i="52"/>
  <c r="AW324" i="52"/>
  <c r="AV324" i="52"/>
  <c r="AU324" i="52"/>
  <c r="AT324" i="52"/>
  <c r="AS324" i="52"/>
  <c r="AR324" i="52"/>
  <c r="AQ324" i="52"/>
  <c r="AP324" i="52"/>
  <c r="AO324" i="52"/>
  <c r="AN324" i="52"/>
  <c r="AM324" i="52"/>
  <c r="AL324" i="52"/>
  <c r="AK324" i="52"/>
  <c r="AY323" i="52"/>
  <c r="AX323" i="52"/>
  <c r="AW323" i="52"/>
  <c r="AV323" i="52"/>
  <c r="AU323" i="52"/>
  <c r="AT323" i="52"/>
  <c r="AS323" i="52"/>
  <c r="AR323" i="52"/>
  <c r="AQ323" i="52"/>
  <c r="AP323" i="52"/>
  <c r="AO323" i="52"/>
  <c r="AN323" i="52"/>
  <c r="AM323" i="52"/>
  <c r="AL323" i="52"/>
  <c r="AK323" i="52"/>
  <c r="AY322" i="52"/>
  <c r="AX322" i="52"/>
  <c r="AW322" i="52"/>
  <c r="AV322" i="52"/>
  <c r="AU322" i="52"/>
  <c r="AT322" i="52"/>
  <c r="AS322" i="52"/>
  <c r="AR322" i="52"/>
  <c r="AQ322" i="52"/>
  <c r="AP322" i="52"/>
  <c r="AO322" i="52"/>
  <c r="AN322" i="52"/>
  <c r="AM322" i="52"/>
  <c r="AL322" i="52"/>
  <c r="AK322" i="52"/>
  <c r="AY321" i="52"/>
  <c r="AX321" i="52"/>
  <c r="AW321" i="52"/>
  <c r="AV321" i="52"/>
  <c r="AU321" i="52"/>
  <c r="AT321" i="52"/>
  <c r="AS321" i="52"/>
  <c r="AR321" i="52"/>
  <c r="AQ321" i="52"/>
  <c r="AP321" i="52"/>
  <c r="AO321" i="52"/>
  <c r="AN321" i="52"/>
  <c r="AM321" i="52"/>
  <c r="AL321" i="52"/>
  <c r="AK321" i="52"/>
  <c r="AY320" i="52"/>
  <c r="AX320" i="52"/>
  <c r="AW320" i="52"/>
  <c r="AV320" i="52"/>
  <c r="AU320" i="52"/>
  <c r="AT320" i="52"/>
  <c r="AS320" i="52"/>
  <c r="AR320" i="52"/>
  <c r="AQ320" i="52"/>
  <c r="AP320" i="52"/>
  <c r="AO320" i="52"/>
  <c r="AN320" i="52"/>
  <c r="AM320" i="52"/>
  <c r="AL320" i="52"/>
  <c r="AK320" i="52"/>
  <c r="AY319" i="52"/>
  <c r="AX319" i="52"/>
  <c r="AW319" i="52"/>
  <c r="AV319" i="52"/>
  <c r="AU319" i="52"/>
  <c r="AT319" i="52"/>
  <c r="AS319" i="52"/>
  <c r="AR319" i="52"/>
  <c r="AQ319" i="52"/>
  <c r="AP319" i="52"/>
  <c r="AO319" i="52"/>
  <c r="AN319" i="52"/>
  <c r="AM319" i="52"/>
  <c r="AL319" i="52"/>
  <c r="AK319" i="52"/>
  <c r="AY318" i="52"/>
  <c r="AX318" i="52"/>
  <c r="AW318" i="52"/>
  <c r="AV318" i="52"/>
  <c r="AU318" i="52"/>
  <c r="AT318" i="52"/>
  <c r="AS318" i="52"/>
  <c r="AR318" i="52"/>
  <c r="AQ318" i="52"/>
  <c r="AP318" i="52"/>
  <c r="AO318" i="52"/>
  <c r="AN318" i="52"/>
  <c r="AM318" i="52"/>
  <c r="AL318" i="52"/>
  <c r="AK318" i="52"/>
  <c r="AY317" i="52"/>
  <c r="AX317" i="52"/>
  <c r="AW317" i="52"/>
  <c r="AV317" i="52"/>
  <c r="AU317" i="52"/>
  <c r="AT317" i="52"/>
  <c r="AS317" i="52"/>
  <c r="AR317" i="52"/>
  <c r="AQ317" i="52"/>
  <c r="AP317" i="52"/>
  <c r="AO317" i="52"/>
  <c r="AN317" i="52"/>
  <c r="AM317" i="52"/>
  <c r="AL317" i="52"/>
  <c r="AK317" i="52"/>
  <c r="AY316" i="52"/>
  <c r="AX316" i="52"/>
  <c r="AW316" i="52"/>
  <c r="AV316" i="52"/>
  <c r="AU316" i="52"/>
  <c r="AT316" i="52"/>
  <c r="AS316" i="52"/>
  <c r="AR316" i="52"/>
  <c r="AQ316" i="52"/>
  <c r="AP316" i="52"/>
  <c r="AO316" i="52"/>
  <c r="AN316" i="52"/>
  <c r="AM316" i="52"/>
  <c r="AL316" i="52"/>
  <c r="AK316" i="52"/>
  <c r="AY315" i="52"/>
  <c r="AX315" i="52"/>
  <c r="AW315" i="52"/>
  <c r="AV315" i="52"/>
  <c r="AU315" i="52"/>
  <c r="AT315" i="52"/>
  <c r="AS315" i="52"/>
  <c r="AR315" i="52"/>
  <c r="AQ315" i="52"/>
  <c r="AP315" i="52"/>
  <c r="AO315" i="52"/>
  <c r="AN315" i="52"/>
  <c r="AM315" i="52"/>
  <c r="AL315" i="52"/>
  <c r="AK315" i="52"/>
  <c r="AY314" i="52"/>
  <c r="AX314" i="52"/>
  <c r="AW314" i="52"/>
  <c r="AV314" i="52"/>
  <c r="AU314" i="52"/>
  <c r="AT314" i="52"/>
  <c r="AS314" i="52"/>
  <c r="AR314" i="52"/>
  <c r="AQ314" i="52"/>
  <c r="AP314" i="52"/>
  <c r="AO314" i="52"/>
  <c r="AN314" i="52"/>
  <c r="AM314" i="52"/>
  <c r="AL314" i="52"/>
  <c r="AK314" i="52"/>
  <c r="AY313" i="52"/>
  <c r="AX313" i="52"/>
  <c r="AW313" i="52"/>
  <c r="AV313" i="52"/>
  <c r="AU313" i="52"/>
  <c r="AT313" i="52"/>
  <c r="AS313" i="52"/>
  <c r="AR313" i="52"/>
  <c r="AQ313" i="52"/>
  <c r="AP313" i="52"/>
  <c r="AO313" i="52"/>
  <c r="AN313" i="52"/>
  <c r="AM313" i="52"/>
  <c r="AL313" i="52"/>
  <c r="AK313" i="52"/>
  <c r="AY312" i="52"/>
  <c r="AX312" i="52"/>
  <c r="AW312" i="52"/>
  <c r="AV312" i="52"/>
  <c r="AU312" i="52"/>
  <c r="AT312" i="52"/>
  <c r="AS312" i="52"/>
  <c r="AR312" i="52"/>
  <c r="AQ312" i="52"/>
  <c r="AP312" i="52"/>
  <c r="AO312" i="52"/>
  <c r="AN312" i="52"/>
  <c r="AM312" i="52"/>
  <c r="AL312" i="52"/>
  <c r="AK312" i="52"/>
  <c r="AY311" i="52"/>
  <c r="AX311" i="52"/>
  <c r="AW311" i="52"/>
  <c r="AV311" i="52"/>
  <c r="AU311" i="52"/>
  <c r="AT311" i="52"/>
  <c r="AS311" i="52"/>
  <c r="AR311" i="52"/>
  <c r="AQ311" i="52"/>
  <c r="AP311" i="52"/>
  <c r="AO311" i="52"/>
  <c r="AN311" i="52"/>
  <c r="AM311" i="52"/>
  <c r="AL311" i="52"/>
  <c r="AK311" i="52"/>
  <c r="AY310" i="52"/>
  <c r="AX310" i="52"/>
  <c r="AW310" i="52"/>
  <c r="AV310" i="52"/>
  <c r="AU310" i="52"/>
  <c r="AT310" i="52"/>
  <c r="AS310" i="52"/>
  <c r="AR310" i="52"/>
  <c r="AQ310" i="52"/>
  <c r="AP310" i="52"/>
  <c r="AO310" i="52"/>
  <c r="AN310" i="52"/>
  <c r="AM310" i="52"/>
  <c r="AL310" i="52"/>
  <c r="AK310" i="52"/>
  <c r="AY309" i="52"/>
  <c r="AX309" i="52"/>
  <c r="AW309" i="52"/>
  <c r="AV309" i="52"/>
  <c r="AU309" i="52"/>
  <c r="AT309" i="52"/>
  <c r="AS309" i="52"/>
  <c r="AR309" i="52"/>
  <c r="AQ309" i="52"/>
  <c r="AP309" i="52"/>
  <c r="AO309" i="52"/>
  <c r="AN309" i="52"/>
  <c r="AM309" i="52"/>
  <c r="AL309" i="52"/>
  <c r="AK309" i="52"/>
  <c r="AY308" i="52"/>
  <c r="AX308" i="52"/>
  <c r="AW308" i="52"/>
  <c r="AV308" i="52"/>
  <c r="AU308" i="52"/>
  <c r="AT308" i="52"/>
  <c r="AS308" i="52"/>
  <c r="AR308" i="52"/>
  <c r="AQ308" i="52"/>
  <c r="AP308" i="52"/>
  <c r="AO308" i="52"/>
  <c r="AN308" i="52"/>
  <c r="AM308" i="52"/>
  <c r="AL308" i="52"/>
  <c r="AK308" i="52"/>
  <c r="AY307" i="52"/>
  <c r="AX307" i="52"/>
  <c r="AW307" i="52"/>
  <c r="AV307" i="52"/>
  <c r="AU307" i="52"/>
  <c r="AT307" i="52"/>
  <c r="AS307" i="52"/>
  <c r="AR307" i="52"/>
  <c r="AQ307" i="52"/>
  <c r="AP307" i="52"/>
  <c r="AO307" i="52"/>
  <c r="AN307" i="52"/>
  <c r="AM307" i="52"/>
  <c r="AL307" i="52"/>
  <c r="AK307" i="52"/>
  <c r="AY306" i="52"/>
  <c r="AX306" i="52"/>
  <c r="AW306" i="52"/>
  <c r="AV306" i="52"/>
  <c r="AU306" i="52"/>
  <c r="AT306" i="52"/>
  <c r="AS306" i="52"/>
  <c r="AR306" i="52"/>
  <c r="AQ306" i="52"/>
  <c r="AP306" i="52"/>
  <c r="AO306" i="52"/>
  <c r="AN306" i="52"/>
  <c r="AM306" i="52"/>
  <c r="AL306" i="52"/>
  <c r="AK306" i="52"/>
  <c r="AY305" i="52"/>
  <c r="AX305" i="52"/>
  <c r="AW305" i="52"/>
  <c r="AV305" i="52"/>
  <c r="AU305" i="52"/>
  <c r="AT305" i="52"/>
  <c r="AS305" i="52"/>
  <c r="AR305" i="52"/>
  <c r="AQ305" i="52"/>
  <c r="AP305" i="52"/>
  <c r="AO305" i="52"/>
  <c r="AN305" i="52"/>
  <c r="AM305" i="52"/>
  <c r="AL305" i="52"/>
  <c r="AK305" i="52"/>
  <c r="AY304" i="52"/>
  <c r="AX304" i="52"/>
  <c r="AW304" i="52"/>
  <c r="AV304" i="52"/>
  <c r="AU304" i="52"/>
  <c r="AT304" i="52"/>
  <c r="AS304" i="52"/>
  <c r="AR304" i="52"/>
  <c r="AQ304" i="52"/>
  <c r="AP304" i="52"/>
  <c r="AO304" i="52"/>
  <c r="AN304" i="52"/>
  <c r="AM304" i="52"/>
  <c r="AL304" i="52"/>
  <c r="AK304" i="52"/>
  <c r="AY303" i="52"/>
  <c r="AX303" i="52"/>
  <c r="AW303" i="52"/>
  <c r="AV303" i="52"/>
  <c r="AU303" i="52"/>
  <c r="AT303" i="52"/>
  <c r="AS303" i="52"/>
  <c r="AR303" i="52"/>
  <c r="AQ303" i="52"/>
  <c r="AP303" i="52"/>
  <c r="AO303" i="52"/>
  <c r="AN303" i="52"/>
  <c r="AM303" i="52"/>
  <c r="AL303" i="52"/>
  <c r="AK303" i="52"/>
  <c r="AY302" i="52"/>
  <c r="AX302" i="52"/>
  <c r="AW302" i="52"/>
  <c r="AV302" i="52"/>
  <c r="AU302" i="52"/>
  <c r="AT302" i="52"/>
  <c r="AS302" i="52"/>
  <c r="AR302" i="52"/>
  <c r="AQ302" i="52"/>
  <c r="AP302" i="52"/>
  <c r="AO302" i="52"/>
  <c r="AN302" i="52"/>
  <c r="AM302" i="52"/>
  <c r="AL302" i="52"/>
  <c r="AK302" i="52"/>
  <c r="AY301" i="52"/>
  <c r="AX301" i="52"/>
  <c r="AW301" i="52"/>
  <c r="AV301" i="52"/>
  <c r="AU301" i="52"/>
  <c r="AT301" i="52"/>
  <c r="AS301" i="52"/>
  <c r="AR301" i="52"/>
  <c r="AQ301" i="52"/>
  <c r="AP301" i="52"/>
  <c r="AO301" i="52"/>
  <c r="AN301" i="52"/>
  <c r="AM301" i="52"/>
  <c r="AL301" i="52"/>
  <c r="AK301" i="52"/>
  <c r="AY300" i="52"/>
  <c r="AX300" i="52"/>
  <c r="AW300" i="52"/>
  <c r="AV300" i="52"/>
  <c r="AU300" i="52"/>
  <c r="AT300" i="52"/>
  <c r="AS300" i="52"/>
  <c r="AR300" i="52"/>
  <c r="AQ300" i="52"/>
  <c r="AP300" i="52"/>
  <c r="AO300" i="52"/>
  <c r="AN300" i="52"/>
  <c r="AM300" i="52"/>
  <c r="AL300" i="52"/>
  <c r="AK300" i="52"/>
  <c r="AY299" i="52"/>
  <c r="AX299" i="52"/>
  <c r="AW299" i="52"/>
  <c r="AV299" i="52"/>
  <c r="AU299" i="52"/>
  <c r="AT299" i="52"/>
  <c r="AS299" i="52"/>
  <c r="AR299" i="52"/>
  <c r="AQ299" i="52"/>
  <c r="AP299" i="52"/>
  <c r="AO299" i="52"/>
  <c r="AN299" i="52"/>
  <c r="AM299" i="52"/>
  <c r="AL299" i="52"/>
  <c r="AK299" i="52"/>
  <c r="AY298" i="52"/>
  <c r="AX298" i="52"/>
  <c r="AW298" i="52"/>
  <c r="AV298" i="52"/>
  <c r="AU298" i="52"/>
  <c r="AT298" i="52"/>
  <c r="AS298" i="52"/>
  <c r="AR298" i="52"/>
  <c r="AQ298" i="52"/>
  <c r="AP298" i="52"/>
  <c r="AO298" i="52"/>
  <c r="AN298" i="52"/>
  <c r="AM298" i="52"/>
  <c r="AL298" i="52"/>
  <c r="AK298" i="52"/>
  <c r="AY297" i="52"/>
  <c r="AX297" i="52"/>
  <c r="AW297" i="52"/>
  <c r="AV297" i="52"/>
  <c r="AU297" i="52"/>
  <c r="AT297" i="52"/>
  <c r="AS297" i="52"/>
  <c r="AR297" i="52"/>
  <c r="AQ297" i="52"/>
  <c r="AP297" i="52"/>
  <c r="AO297" i="52"/>
  <c r="AN297" i="52"/>
  <c r="AM297" i="52"/>
  <c r="AL297" i="52"/>
  <c r="AK297" i="52"/>
  <c r="AY296" i="52"/>
  <c r="AX296" i="52"/>
  <c r="AW296" i="52"/>
  <c r="AV296" i="52"/>
  <c r="AU296" i="52"/>
  <c r="AT296" i="52"/>
  <c r="AS296" i="52"/>
  <c r="AR296" i="52"/>
  <c r="AQ296" i="52"/>
  <c r="AP296" i="52"/>
  <c r="AO296" i="52"/>
  <c r="AN296" i="52"/>
  <c r="AM296" i="52"/>
  <c r="AL296" i="52"/>
  <c r="AK296" i="52"/>
  <c r="AY295" i="52"/>
  <c r="AX295" i="52"/>
  <c r="AW295" i="52"/>
  <c r="AV295" i="52"/>
  <c r="AU295" i="52"/>
  <c r="AT295" i="52"/>
  <c r="AS295" i="52"/>
  <c r="AR295" i="52"/>
  <c r="AQ295" i="52"/>
  <c r="AP295" i="52"/>
  <c r="AO295" i="52"/>
  <c r="AN295" i="52"/>
  <c r="AM295" i="52"/>
  <c r="AL295" i="52"/>
  <c r="AK295" i="52"/>
  <c r="AY294" i="52"/>
  <c r="AX294" i="52"/>
  <c r="AW294" i="52"/>
  <c r="AV294" i="52"/>
  <c r="AU294" i="52"/>
  <c r="AT294" i="52"/>
  <c r="AS294" i="52"/>
  <c r="AR294" i="52"/>
  <c r="AQ294" i="52"/>
  <c r="AP294" i="52"/>
  <c r="AO294" i="52"/>
  <c r="AN294" i="52"/>
  <c r="AM294" i="52"/>
  <c r="AL294" i="52"/>
  <c r="AK294" i="52"/>
  <c r="AY293" i="52"/>
  <c r="AX293" i="52"/>
  <c r="AW293" i="52"/>
  <c r="AV293" i="52"/>
  <c r="AU293" i="52"/>
  <c r="AT293" i="52"/>
  <c r="AS293" i="52"/>
  <c r="AR293" i="52"/>
  <c r="AQ293" i="52"/>
  <c r="AP293" i="52"/>
  <c r="AO293" i="52"/>
  <c r="AN293" i="52"/>
  <c r="AM293" i="52"/>
  <c r="AL293" i="52"/>
  <c r="AK293" i="52"/>
  <c r="AY292" i="52"/>
  <c r="AX292" i="52"/>
  <c r="AW292" i="52"/>
  <c r="AV292" i="52"/>
  <c r="AU292" i="52"/>
  <c r="AT292" i="52"/>
  <c r="AS292" i="52"/>
  <c r="AR292" i="52"/>
  <c r="AQ292" i="52"/>
  <c r="AP292" i="52"/>
  <c r="AO292" i="52"/>
  <c r="AN292" i="52"/>
  <c r="AM292" i="52"/>
  <c r="AL292" i="52"/>
  <c r="AK292" i="52"/>
  <c r="AY291" i="52"/>
  <c r="AX291" i="52"/>
  <c r="AW291" i="52"/>
  <c r="AV291" i="52"/>
  <c r="AU291" i="52"/>
  <c r="AT291" i="52"/>
  <c r="AS291" i="52"/>
  <c r="AR291" i="52"/>
  <c r="AQ291" i="52"/>
  <c r="AP291" i="52"/>
  <c r="AO291" i="52"/>
  <c r="AN291" i="52"/>
  <c r="AM291" i="52"/>
  <c r="AL291" i="52"/>
  <c r="AK291" i="52"/>
  <c r="AY290" i="52"/>
  <c r="AX290" i="52"/>
  <c r="AW290" i="52"/>
  <c r="AV290" i="52"/>
  <c r="AU290" i="52"/>
  <c r="AT290" i="52"/>
  <c r="AS290" i="52"/>
  <c r="AR290" i="52"/>
  <c r="AQ290" i="52"/>
  <c r="AP290" i="52"/>
  <c r="AO290" i="52"/>
  <c r="AN290" i="52"/>
  <c r="AM290" i="52"/>
  <c r="AL290" i="52"/>
  <c r="AK290" i="52"/>
  <c r="AY289" i="52"/>
  <c r="AX289" i="52"/>
  <c r="AW289" i="52"/>
  <c r="AV289" i="52"/>
  <c r="AU289" i="52"/>
  <c r="AT289" i="52"/>
  <c r="AS289" i="52"/>
  <c r="AR289" i="52"/>
  <c r="AQ289" i="52"/>
  <c r="AP289" i="52"/>
  <c r="AO289" i="52"/>
  <c r="AN289" i="52"/>
  <c r="AM289" i="52"/>
  <c r="AL289" i="52"/>
  <c r="AK289" i="52"/>
  <c r="AY288" i="52"/>
  <c r="AX288" i="52"/>
  <c r="AW288" i="52"/>
  <c r="AV288" i="52"/>
  <c r="AU288" i="52"/>
  <c r="AT288" i="52"/>
  <c r="AS288" i="52"/>
  <c r="AR288" i="52"/>
  <c r="AQ288" i="52"/>
  <c r="AP288" i="52"/>
  <c r="AO288" i="52"/>
  <c r="AN288" i="52"/>
  <c r="AM288" i="52"/>
  <c r="AL288" i="52"/>
  <c r="AK288" i="52"/>
  <c r="AY287" i="52"/>
  <c r="AX287" i="52"/>
  <c r="AW287" i="52"/>
  <c r="AV287" i="52"/>
  <c r="AU287" i="52"/>
  <c r="AT287" i="52"/>
  <c r="AS287" i="52"/>
  <c r="AR287" i="52"/>
  <c r="AQ287" i="52"/>
  <c r="AP287" i="52"/>
  <c r="AO287" i="52"/>
  <c r="AN287" i="52"/>
  <c r="AM287" i="52"/>
  <c r="AL287" i="52"/>
  <c r="AK287" i="52"/>
  <c r="AY286" i="52"/>
  <c r="AX286" i="52"/>
  <c r="AW286" i="52"/>
  <c r="AV286" i="52"/>
  <c r="AU286" i="52"/>
  <c r="AT286" i="52"/>
  <c r="AS286" i="52"/>
  <c r="AR286" i="52"/>
  <c r="AQ286" i="52"/>
  <c r="AP286" i="52"/>
  <c r="AO286" i="52"/>
  <c r="AN286" i="52"/>
  <c r="AM286" i="52"/>
  <c r="AL286" i="52"/>
  <c r="AK286" i="52"/>
  <c r="AY285" i="52"/>
  <c r="AX285" i="52"/>
  <c r="AW285" i="52"/>
  <c r="AV285" i="52"/>
  <c r="AU285" i="52"/>
  <c r="AT285" i="52"/>
  <c r="AS285" i="52"/>
  <c r="AR285" i="52"/>
  <c r="AQ285" i="52"/>
  <c r="AP285" i="52"/>
  <c r="AO285" i="52"/>
  <c r="AN285" i="52"/>
  <c r="AM285" i="52"/>
  <c r="AL285" i="52"/>
  <c r="AK285" i="52"/>
  <c r="AY284" i="52"/>
  <c r="AX284" i="52"/>
  <c r="AW284" i="52"/>
  <c r="AV284" i="52"/>
  <c r="AU284" i="52"/>
  <c r="AT284" i="52"/>
  <c r="AS284" i="52"/>
  <c r="AR284" i="52"/>
  <c r="AQ284" i="52"/>
  <c r="AP284" i="52"/>
  <c r="AO284" i="52"/>
  <c r="AN284" i="52"/>
  <c r="AM284" i="52"/>
  <c r="AL284" i="52"/>
  <c r="AK284" i="52"/>
  <c r="AY283" i="52"/>
  <c r="AX283" i="52"/>
  <c r="AW283" i="52"/>
  <c r="AV283" i="52"/>
  <c r="AU283" i="52"/>
  <c r="AT283" i="52"/>
  <c r="AS283" i="52"/>
  <c r="AR283" i="52"/>
  <c r="AQ283" i="52"/>
  <c r="AP283" i="52"/>
  <c r="AO283" i="52"/>
  <c r="AN283" i="52"/>
  <c r="AM283" i="52"/>
  <c r="AL283" i="52"/>
  <c r="AK283" i="52"/>
  <c r="AY282" i="52"/>
  <c r="AX282" i="52"/>
  <c r="AW282" i="52"/>
  <c r="AV282" i="52"/>
  <c r="AU282" i="52"/>
  <c r="AT282" i="52"/>
  <c r="AS282" i="52"/>
  <c r="AR282" i="52"/>
  <c r="AQ282" i="52"/>
  <c r="AP282" i="52"/>
  <c r="AO282" i="52"/>
  <c r="AN282" i="52"/>
  <c r="AM282" i="52"/>
  <c r="AL282" i="52"/>
  <c r="AK282" i="52"/>
  <c r="AY281" i="52"/>
  <c r="AX281" i="52"/>
  <c r="AW281" i="52"/>
  <c r="AV281" i="52"/>
  <c r="AU281" i="52"/>
  <c r="AT281" i="52"/>
  <c r="AS281" i="52"/>
  <c r="AR281" i="52"/>
  <c r="AQ281" i="52"/>
  <c r="AP281" i="52"/>
  <c r="AO281" i="52"/>
  <c r="AN281" i="52"/>
  <c r="AM281" i="52"/>
  <c r="AL281" i="52"/>
  <c r="AK281" i="52"/>
  <c r="AY280" i="52"/>
  <c r="AX280" i="52"/>
  <c r="AW280" i="52"/>
  <c r="AV280" i="52"/>
  <c r="AU280" i="52"/>
  <c r="AT280" i="52"/>
  <c r="AS280" i="52"/>
  <c r="AR280" i="52"/>
  <c r="AQ280" i="52"/>
  <c r="AP280" i="52"/>
  <c r="AO280" i="52"/>
  <c r="AN280" i="52"/>
  <c r="AM280" i="52"/>
  <c r="AL280" i="52"/>
  <c r="AK280" i="52"/>
  <c r="AY279" i="52"/>
  <c r="AX279" i="52"/>
  <c r="AW279" i="52"/>
  <c r="AV279" i="52"/>
  <c r="AU279" i="52"/>
  <c r="AT279" i="52"/>
  <c r="AS279" i="52"/>
  <c r="AR279" i="52"/>
  <c r="AQ279" i="52"/>
  <c r="AP279" i="52"/>
  <c r="AO279" i="52"/>
  <c r="AN279" i="52"/>
  <c r="AM279" i="52"/>
  <c r="AL279" i="52"/>
  <c r="AK279" i="52"/>
  <c r="AY278" i="52"/>
  <c r="AX278" i="52"/>
  <c r="AW278" i="52"/>
  <c r="AV278" i="52"/>
  <c r="AU278" i="52"/>
  <c r="AT278" i="52"/>
  <c r="AS278" i="52"/>
  <c r="AR278" i="52"/>
  <c r="AQ278" i="52"/>
  <c r="AP278" i="52"/>
  <c r="AO278" i="52"/>
  <c r="AN278" i="52"/>
  <c r="AM278" i="52"/>
  <c r="AL278" i="52"/>
  <c r="AK278" i="52"/>
  <c r="AY277" i="52"/>
  <c r="AX277" i="52"/>
  <c r="AW277" i="52"/>
  <c r="AV277" i="52"/>
  <c r="AU277" i="52"/>
  <c r="AT277" i="52"/>
  <c r="AS277" i="52"/>
  <c r="AR277" i="52"/>
  <c r="AQ277" i="52"/>
  <c r="AP277" i="52"/>
  <c r="AO277" i="52"/>
  <c r="AN277" i="52"/>
  <c r="AM277" i="52"/>
  <c r="AL277" i="52"/>
  <c r="AK277" i="52"/>
  <c r="AY276" i="52"/>
  <c r="AX276" i="52"/>
  <c r="AW276" i="52"/>
  <c r="AV276" i="52"/>
  <c r="AU276" i="52"/>
  <c r="AT276" i="52"/>
  <c r="AS276" i="52"/>
  <c r="AR276" i="52"/>
  <c r="AQ276" i="52"/>
  <c r="AP276" i="52"/>
  <c r="AO276" i="52"/>
  <c r="AN276" i="52"/>
  <c r="AM276" i="52"/>
  <c r="AL276" i="52"/>
  <c r="AK276" i="52"/>
  <c r="AY275" i="52"/>
  <c r="AX275" i="52"/>
  <c r="AW275" i="52"/>
  <c r="AV275" i="52"/>
  <c r="AU275" i="52"/>
  <c r="AT275" i="52"/>
  <c r="AS275" i="52"/>
  <c r="AR275" i="52"/>
  <c r="AQ275" i="52"/>
  <c r="AP275" i="52"/>
  <c r="AO275" i="52"/>
  <c r="AN275" i="52"/>
  <c r="AM275" i="52"/>
  <c r="AL275" i="52"/>
  <c r="AK275" i="52"/>
  <c r="AY274" i="52"/>
  <c r="AX274" i="52"/>
  <c r="AW274" i="52"/>
  <c r="AV274" i="52"/>
  <c r="AU274" i="52"/>
  <c r="AT274" i="52"/>
  <c r="AS274" i="52"/>
  <c r="AR274" i="52"/>
  <c r="AQ274" i="52"/>
  <c r="AP274" i="52"/>
  <c r="AO274" i="52"/>
  <c r="AN274" i="52"/>
  <c r="AM274" i="52"/>
  <c r="AL274" i="52"/>
  <c r="AK274" i="52"/>
  <c r="AY273" i="52"/>
  <c r="AX273" i="52"/>
  <c r="AW273" i="52"/>
  <c r="AV273" i="52"/>
  <c r="AU273" i="52"/>
  <c r="AT273" i="52"/>
  <c r="AS273" i="52"/>
  <c r="AR273" i="52"/>
  <c r="AQ273" i="52"/>
  <c r="AP273" i="52"/>
  <c r="AO273" i="52"/>
  <c r="AN273" i="52"/>
  <c r="AM273" i="52"/>
  <c r="AL273" i="52"/>
  <c r="AK273" i="52"/>
  <c r="AY272" i="52"/>
  <c r="AX272" i="52"/>
  <c r="AW272" i="52"/>
  <c r="AV272" i="52"/>
  <c r="AU272" i="52"/>
  <c r="AT272" i="52"/>
  <c r="AS272" i="52"/>
  <c r="AR272" i="52"/>
  <c r="AQ272" i="52"/>
  <c r="AP272" i="52"/>
  <c r="AO272" i="52"/>
  <c r="AN272" i="52"/>
  <c r="AM272" i="52"/>
  <c r="AL272" i="52"/>
  <c r="AK272" i="52"/>
  <c r="AY271" i="52"/>
  <c r="AX271" i="52"/>
  <c r="AW271" i="52"/>
  <c r="AV271" i="52"/>
  <c r="AU271" i="52"/>
  <c r="AT271" i="52"/>
  <c r="AS271" i="52"/>
  <c r="AR271" i="52"/>
  <c r="AQ271" i="52"/>
  <c r="AP271" i="52"/>
  <c r="AO271" i="52"/>
  <c r="AN271" i="52"/>
  <c r="AM271" i="52"/>
  <c r="AL271" i="52"/>
  <c r="AK271" i="52"/>
  <c r="AY270" i="52"/>
  <c r="AX270" i="52"/>
  <c r="AW270" i="52"/>
  <c r="AV270" i="52"/>
  <c r="AU270" i="52"/>
  <c r="AT270" i="52"/>
  <c r="AS270" i="52"/>
  <c r="AR270" i="52"/>
  <c r="AQ270" i="52"/>
  <c r="AP270" i="52"/>
  <c r="AO270" i="52"/>
  <c r="AN270" i="52"/>
  <c r="AM270" i="52"/>
  <c r="AL270" i="52"/>
  <c r="AK270" i="52"/>
  <c r="AY269" i="52"/>
  <c r="AX269" i="52"/>
  <c r="AW269" i="52"/>
  <c r="AV269" i="52"/>
  <c r="AU269" i="52"/>
  <c r="AT269" i="52"/>
  <c r="AS269" i="52"/>
  <c r="AR269" i="52"/>
  <c r="AQ269" i="52"/>
  <c r="AP269" i="52"/>
  <c r="AO269" i="52"/>
  <c r="AN269" i="52"/>
  <c r="AM269" i="52"/>
  <c r="AL269" i="52"/>
  <c r="AK269" i="52"/>
  <c r="AY268" i="52"/>
  <c r="AX268" i="52"/>
  <c r="AW268" i="52"/>
  <c r="AV268" i="52"/>
  <c r="AU268" i="52"/>
  <c r="AT268" i="52"/>
  <c r="AS268" i="52"/>
  <c r="AR268" i="52"/>
  <c r="AQ268" i="52"/>
  <c r="AP268" i="52"/>
  <c r="AO268" i="52"/>
  <c r="AN268" i="52"/>
  <c r="AM268" i="52"/>
  <c r="AL268" i="52"/>
  <c r="AK268" i="52"/>
  <c r="AY267" i="52"/>
  <c r="AX267" i="52"/>
  <c r="AW267" i="52"/>
  <c r="AV267" i="52"/>
  <c r="AU267" i="52"/>
  <c r="AT267" i="52"/>
  <c r="AS267" i="52"/>
  <c r="AR267" i="52"/>
  <c r="AQ267" i="52"/>
  <c r="AP267" i="52"/>
  <c r="AO267" i="52"/>
  <c r="AN267" i="52"/>
  <c r="AM267" i="52"/>
  <c r="AL267" i="52"/>
  <c r="AK267" i="52"/>
  <c r="AY266" i="52"/>
  <c r="AX266" i="52"/>
  <c r="AW266" i="52"/>
  <c r="AV266" i="52"/>
  <c r="AU266" i="52"/>
  <c r="AT266" i="52"/>
  <c r="AS266" i="52"/>
  <c r="AR266" i="52"/>
  <c r="AQ266" i="52"/>
  <c r="AP266" i="52"/>
  <c r="AO266" i="52"/>
  <c r="AN266" i="52"/>
  <c r="AM266" i="52"/>
  <c r="AL266" i="52"/>
  <c r="AK266" i="52"/>
  <c r="AY265" i="52"/>
  <c r="AX265" i="52"/>
  <c r="AW265" i="52"/>
  <c r="AV265" i="52"/>
  <c r="AU265" i="52"/>
  <c r="AT265" i="52"/>
  <c r="AS265" i="52"/>
  <c r="AR265" i="52"/>
  <c r="AQ265" i="52"/>
  <c r="AP265" i="52"/>
  <c r="AO265" i="52"/>
  <c r="AN265" i="52"/>
  <c r="AM265" i="52"/>
  <c r="AL265" i="52"/>
  <c r="AK265" i="52"/>
  <c r="AY264" i="52"/>
  <c r="AX264" i="52"/>
  <c r="AW264" i="52"/>
  <c r="AV264" i="52"/>
  <c r="AU264" i="52"/>
  <c r="AT264" i="52"/>
  <c r="AS264" i="52"/>
  <c r="AR264" i="52"/>
  <c r="AQ264" i="52"/>
  <c r="AP264" i="52"/>
  <c r="AO264" i="52"/>
  <c r="AN264" i="52"/>
  <c r="AM264" i="52"/>
  <c r="AL264" i="52"/>
  <c r="AK264" i="52"/>
  <c r="AY263" i="52"/>
  <c r="AX263" i="52"/>
  <c r="AW263" i="52"/>
  <c r="AV263" i="52"/>
  <c r="AU263" i="52"/>
  <c r="AT263" i="52"/>
  <c r="AS263" i="52"/>
  <c r="AR263" i="52"/>
  <c r="AQ263" i="52"/>
  <c r="AP263" i="52"/>
  <c r="AO263" i="52"/>
  <c r="AN263" i="52"/>
  <c r="AM263" i="52"/>
  <c r="AL263" i="52"/>
  <c r="AK263" i="52"/>
  <c r="AY262" i="52"/>
  <c r="AX262" i="52"/>
  <c r="AW262" i="52"/>
  <c r="AV262" i="52"/>
  <c r="AU262" i="52"/>
  <c r="AT262" i="52"/>
  <c r="AS262" i="52"/>
  <c r="AR262" i="52"/>
  <c r="AQ262" i="52"/>
  <c r="AP262" i="52"/>
  <c r="AO262" i="52"/>
  <c r="AN262" i="52"/>
  <c r="AM262" i="52"/>
  <c r="AL262" i="52"/>
  <c r="AK262" i="52"/>
  <c r="AY261" i="52"/>
  <c r="AX261" i="52"/>
  <c r="AW261" i="52"/>
  <c r="AV261" i="52"/>
  <c r="AU261" i="52"/>
  <c r="AT261" i="52"/>
  <c r="AS261" i="52"/>
  <c r="AR261" i="52"/>
  <c r="AQ261" i="52"/>
  <c r="AP261" i="52"/>
  <c r="AO261" i="52"/>
  <c r="AN261" i="52"/>
  <c r="AM261" i="52"/>
  <c r="AL261" i="52"/>
  <c r="AK261" i="52"/>
  <c r="AY260" i="52"/>
  <c r="AX260" i="52"/>
  <c r="AW260" i="52"/>
  <c r="AV260" i="52"/>
  <c r="AU260" i="52"/>
  <c r="AT260" i="52"/>
  <c r="AS260" i="52"/>
  <c r="AR260" i="52"/>
  <c r="AQ260" i="52"/>
  <c r="AP260" i="52"/>
  <c r="AO260" i="52"/>
  <c r="AN260" i="52"/>
  <c r="AM260" i="52"/>
  <c r="AL260" i="52"/>
  <c r="AK260" i="52"/>
  <c r="AY259" i="52"/>
  <c r="AX259" i="52"/>
  <c r="AW259" i="52"/>
  <c r="AV259" i="52"/>
  <c r="AU259" i="52"/>
  <c r="AT259" i="52"/>
  <c r="AS259" i="52"/>
  <c r="AR259" i="52"/>
  <c r="AQ259" i="52"/>
  <c r="AP259" i="52"/>
  <c r="AO259" i="52"/>
  <c r="AN259" i="52"/>
  <c r="AM259" i="52"/>
  <c r="AL259" i="52"/>
  <c r="AK259" i="52"/>
  <c r="AY258" i="52"/>
  <c r="AX258" i="52"/>
  <c r="AW258" i="52"/>
  <c r="AV258" i="52"/>
  <c r="AU258" i="52"/>
  <c r="AT258" i="52"/>
  <c r="AS258" i="52"/>
  <c r="AR258" i="52"/>
  <c r="AQ258" i="52"/>
  <c r="AP258" i="52"/>
  <c r="AO258" i="52"/>
  <c r="AN258" i="52"/>
  <c r="AM258" i="52"/>
  <c r="AL258" i="52"/>
  <c r="AK258" i="52"/>
  <c r="AY257" i="52"/>
  <c r="AX257" i="52"/>
  <c r="AW257" i="52"/>
  <c r="AV257" i="52"/>
  <c r="AU257" i="52"/>
  <c r="AT257" i="52"/>
  <c r="AS257" i="52"/>
  <c r="AR257" i="52"/>
  <c r="AQ257" i="52"/>
  <c r="AP257" i="52"/>
  <c r="AO257" i="52"/>
  <c r="AN257" i="52"/>
  <c r="AM257" i="52"/>
  <c r="AL257" i="52"/>
  <c r="AK257" i="52"/>
  <c r="AY256" i="52"/>
  <c r="AX256" i="52"/>
  <c r="AW256" i="52"/>
  <c r="AV256" i="52"/>
  <c r="AU256" i="52"/>
  <c r="AT256" i="52"/>
  <c r="AS256" i="52"/>
  <c r="AR256" i="52"/>
  <c r="AQ256" i="52"/>
  <c r="AP256" i="52"/>
  <c r="AO256" i="52"/>
  <c r="AN256" i="52"/>
  <c r="AM256" i="52"/>
  <c r="AL256" i="52"/>
  <c r="AK256" i="52"/>
  <c r="AY255" i="52"/>
  <c r="AX255" i="52"/>
  <c r="AW255" i="52"/>
  <c r="AV255" i="52"/>
  <c r="AU255" i="52"/>
  <c r="AT255" i="52"/>
  <c r="AS255" i="52"/>
  <c r="AR255" i="52"/>
  <c r="AQ255" i="52"/>
  <c r="AP255" i="52"/>
  <c r="AO255" i="52"/>
  <c r="AN255" i="52"/>
  <c r="AM255" i="52"/>
  <c r="AL255" i="52"/>
  <c r="AK255" i="52"/>
  <c r="AY254" i="52"/>
  <c r="AX254" i="52"/>
  <c r="AW254" i="52"/>
  <c r="AV254" i="52"/>
  <c r="AU254" i="52"/>
  <c r="AT254" i="52"/>
  <c r="AS254" i="52"/>
  <c r="AR254" i="52"/>
  <c r="AQ254" i="52"/>
  <c r="AP254" i="52"/>
  <c r="AO254" i="52"/>
  <c r="AN254" i="52"/>
  <c r="AM254" i="52"/>
  <c r="AL254" i="52"/>
  <c r="AK254" i="52"/>
  <c r="AY253" i="52"/>
  <c r="AX253" i="52"/>
  <c r="AW253" i="52"/>
  <c r="AV253" i="52"/>
  <c r="AU253" i="52"/>
  <c r="AT253" i="52"/>
  <c r="AS253" i="52"/>
  <c r="AR253" i="52"/>
  <c r="AQ253" i="52"/>
  <c r="AP253" i="52"/>
  <c r="AO253" i="52"/>
  <c r="AN253" i="52"/>
  <c r="AM253" i="52"/>
  <c r="AL253" i="52"/>
  <c r="AK253" i="52"/>
  <c r="AY252" i="52"/>
  <c r="AX252" i="52"/>
  <c r="AW252" i="52"/>
  <c r="AV252" i="52"/>
  <c r="AU252" i="52"/>
  <c r="AT252" i="52"/>
  <c r="AS252" i="52"/>
  <c r="AR252" i="52"/>
  <c r="AQ252" i="52"/>
  <c r="AP252" i="52"/>
  <c r="AO252" i="52"/>
  <c r="AN252" i="52"/>
  <c r="AM252" i="52"/>
  <c r="AL252" i="52"/>
  <c r="AK252" i="52"/>
  <c r="AY251" i="52"/>
  <c r="AX251" i="52"/>
  <c r="AW251" i="52"/>
  <c r="AV251" i="52"/>
  <c r="AU251" i="52"/>
  <c r="AT251" i="52"/>
  <c r="AS251" i="52"/>
  <c r="AR251" i="52"/>
  <c r="AQ251" i="52"/>
  <c r="AP251" i="52"/>
  <c r="AO251" i="52"/>
  <c r="AN251" i="52"/>
  <c r="AM251" i="52"/>
  <c r="AL251" i="52"/>
  <c r="AK251" i="52"/>
  <c r="AY250" i="52"/>
  <c r="AX250" i="52"/>
  <c r="AW250" i="52"/>
  <c r="AV250" i="52"/>
  <c r="AU250" i="52"/>
  <c r="AT250" i="52"/>
  <c r="AS250" i="52"/>
  <c r="AR250" i="52"/>
  <c r="AQ250" i="52"/>
  <c r="AP250" i="52"/>
  <c r="AO250" i="52"/>
  <c r="AN250" i="52"/>
  <c r="AM250" i="52"/>
  <c r="AL250" i="52"/>
  <c r="AK250" i="52"/>
  <c r="AY249" i="52"/>
  <c r="AX249" i="52"/>
  <c r="AW249" i="52"/>
  <c r="AV249" i="52"/>
  <c r="AU249" i="52"/>
  <c r="AT249" i="52"/>
  <c r="AS249" i="52"/>
  <c r="AR249" i="52"/>
  <c r="AQ249" i="52"/>
  <c r="AP249" i="52"/>
  <c r="AO249" i="52"/>
  <c r="AN249" i="52"/>
  <c r="AM249" i="52"/>
  <c r="AL249" i="52"/>
  <c r="AK249" i="52"/>
  <c r="AY248" i="52"/>
  <c r="AX248" i="52"/>
  <c r="AW248" i="52"/>
  <c r="AV248" i="52"/>
  <c r="AU248" i="52"/>
  <c r="AT248" i="52"/>
  <c r="AS248" i="52"/>
  <c r="AR248" i="52"/>
  <c r="AQ248" i="52"/>
  <c r="AP248" i="52"/>
  <c r="AO248" i="52"/>
  <c r="AN248" i="52"/>
  <c r="AM248" i="52"/>
  <c r="AL248" i="52"/>
  <c r="AK248" i="52"/>
  <c r="AY247" i="52"/>
  <c r="AX247" i="52"/>
  <c r="AW247" i="52"/>
  <c r="AV247" i="52"/>
  <c r="AU247" i="52"/>
  <c r="AT247" i="52"/>
  <c r="AS247" i="52"/>
  <c r="AR247" i="52"/>
  <c r="AQ247" i="52"/>
  <c r="AP247" i="52"/>
  <c r="AO247" i="52"/>
  <c r="AN247" i="52"/>
  <c r="AM247" i="52"/>
  <c r="AL247" i="52"/>
  <c r="AK247" i="52"/>
  <c r="AY246" i="52"/>
  <c r="AX246" i="52"/>
  <c r="AW246" i="52"/>
  <c r="AV246" i="52"/>
  <c r="AU246" i="52"/>
  <c r="AT246" i="52"/>
  <c r="AS246" i="52"/>
  <c r="AR246" i="52"/>
  <c r="AQ246" i="52"/>
  <c r="AP246" i="52"/>
  <c r="AO246" i="52"/>
  <c r="AN246" i="52"/>
  <c r="AM246" i="52"/>
  <c r="AL246" i="52"/>
  <c r="AK246" i="52"/>
  <c r="AY245" i="52"/>
  <c r="AX245" i="52"/>
  <c r="AW245" i="52"/>
  <c r="AV245" i="52"/>
  <c r="AU245" i="52"/>
  <c r="AT245" i="52"/>
  <c r="AS245" i="52"/>
  <c r="AR245" i="52"/>
  <c r="AQ245" i="52"/>
  <c r="AP245" i="52"/>
  <c r="AO245" i="52"/>
  <c r="AN245" i="52"/>
  <c r="AM245" i="52"/>
  <c r="AL245" i="52"/>
  <c r="AK245" i="52"/>
  <c r="AY244" i="52"/>
  <c r="AX244" i="52"/>
  <c r="AW244" i="52"/>
  <c r="AV244" i="52"/>
  <c r="AU244" i="52"/>
  <c r="AT244" i="52"/>
  <c r="AS244" i="52"/>
  <c r="AR244" i="52"/>
  <c r="AQ244" i="52"/>
  <c r="AP244" i="52"/>
  <c r="AO244" i="52"/>
  <c r="AN244" i="52"/>
  <c r="AM244" i="52"/>
  <c r="AL244" i="52"/>
  <c r="AK244" i="52"/>
  <c r="AY243" i="52"/>
  <c r="AX243" i="52"/>
  <c r="AW243" i="52"/>
  <c r="AV243" i="52"/>
  <c r="AU243" i="52"/>
  <c r="AT243" i="52"/>
  <c r="AS243" i="52"/>
  <c r="AR243" i="52"/>
  <c r="AQ243" i="52"/>
  <c r="AP243" i="52"/>
  <c r="AO243" i="52"/>
  <c r="AN243" i="52"/>
  <c r="AM243" i="52"/>
  <c r="AL243" i="52"/>
  <c r="AK243" i="52"/>
  <c r="AY242" i="52"/>
  <c r="AX242" i="52"/>
  <c r="AW242" i="52"/>
  <c r="AV242" i="52"/>
  <c r="AU242" i="52"/>
  <c r="AT242" i="52"/>
  <c r="AS242" i="52"/>
  <c r="AR242" i="52"/>
  <c r="AQ242" i="52"/>
  <c r="AP242" i="52"/>
  <c r="AO242" i="52"/>
  <c r="AN242" i="52"/>
  <c r="AM242" i="52"/>
  <c r="AL242" i="52"/>
  <c r="AK242" i="52"/>
  <c r="AY241" i="52"/>
  <c r="AX241" i="52"/>
  <c r="AW241" i="52"/>
  <c r="AV241" i="52"/>
  <c r="AU241" i="52"/>
  <c r="AT241" i="52"/>
  <c r="AS241" i="52"/>
  <c r="AR241" i="52"/>
  <c r="AQ241" i="52"/>
  <c r="AP241" i="52"/>
  <c r="AO241" i="52"/>
  <c r="AN241" i="52"/>
  <c r="AM241" i="52"/>
  <c r="AL241" i="52"/>
  <c r="AK241" i="52"/>
  <c r="AY240" i="52"/>
  <c r="AX240" i="52"/>
  <c r="AW240" i="52"/>
  <c r="AV240" i="52"/>
  <c r="AU240" i="52"/>
  <c r="AT240" i="52"/>
  <c r="AS240" i="52"/>
  <c r="AR240" i="52"/>
  <c r="AQ240" i="52"/>
  <c r="AP240" i="52"/>
  <c r="AO240" i="52"/>
  <c r="AN240" i="52"/>
  <c r="AM240" i="52"/>
  <c r="AL240" i="52"/>
  <c r="AK240" i="52"/>
  <c r="AY239" i="52"/>
  <c r="AX239" i="52"/>
  <c r="AW239" i="52"/>
  <c r="AV239" i="52"/>
  <c r="AU239" i="52"/>
  <c r="AT239" i="52"/>
  <c r="AS239" i="52"/>
  <c r="AR239" i="52"/>
  <c r="AQ239" i="52"/>
  <c r="AP239" i="52"/>
  <c r="AO239" i="52"/>
  <c r="AN239" i="52"/>
  <c r="AM239" i="52"/>
  <c r="AL239" i="52"/>
  <c r="AK239" i="52"/>
  <c r="AY238" i="52"/>
  <c r="AX238" i="52"/>
  <c r="AW238" i="52"/>
  <c r="AV238" i="52"/>
  <c r="AU238" i="52"/>
  <c r="AT238" i="52"/>
  <c r="AS238" i="52"/>
  <c r="AR238" i="52"/>
  <c r="AQ238" i="52"/>
  <c r="AP238" i="52"/>
  <c r="AO238" i="52"/>
  <c r="AN238" i="52"/>
  <c r="AM238" i="52"/>
  <c r="AL238" i="52"/>
  <c r="AK238" i="52"/>
  <c r="AY237" i="52"/>
  <c r="AX237" i="52"/>
  <c r="AW237" i="52"/>
  <c r="AV237" i="52"/>
  <c r="AU237" i="52"/>
  <c r="AT237" i="52"/>
  <c r="AS237" i="52"/>
  <c r="AR237" i="52"/>
  <c r="AQ237" i="52"/>
  <c r="AP237" i="52"/>
  <c r="AO237" i="52"/>
  <c r="AN237" i="52"/>
  <c r="AM237" i="52"/>
  <c r="AL237" i="52"/>
  <c r="AK237" i="52"/>
  <c r="AY236" i="52"/>
  <c r="AX236" i="52"/>
  <c r="AW236" i="52"/>
  <c r="AV236" i="52"/>
  <c r="AU236" i="52"/>
  <c r="AT236" i="52"/>
  <c r="AS236" i="52"/>
  <c r="AR236" i="52"/>
  <c r="AQ236" i="52"/>
  <c r="AP236" i="52"/>
  <c r="AO236" i="52"/>
  <c r="AN236" i="52"/>
  <c r="AM236" i="52"/>
  <c r="AL236" i="52"/>
  <c r="AK236" i="52"/>
  <c r="AY235" i="52"/>
  <c r="AX235" i="52"/>
  <c r="AW235" i="52"/>
  <c r="AV235" i="52"/>
  <c r="AU235" i="52"/>
  <c r="AT235" i="52"/>
  <c r="AS235" i="52"/>
  <c r="AR235" i="52"/>
  <c r="AQ235" i="52"/>
  <c r="AP235" i="52"/>
  <c r="AO235" i="52"/>
  <c r="AN235" i="52"/>
  <c r="AM235" i="52"/>
  <c r="AL235" i="52"/>
  <c r="AK235" i="52"/>
  <c r="AY234" i="52"/>
  <c r="AX234" i="52"/>
  <c r="AW234" i="52"/>
  <c r="AV234" i="52"/>
  <c r="AU234" i="52"/>
  <c r="AT234" i="52"/>
  <c r="AS234" i="52"/>
  <c r="AR234" i="52"/>
  <c r="AQ234" i="52"/>
  <c r="AP234" i="52"/>
  <c r="AO234" i="52"/>
  <c r="AN234" i="52"/>
  <c r="AM234" i="52"/>
  <c r="AL234" i="52"/>
  <c r="AK234" i="52"/>
  <c r="AY233" i="52"/>
  <c r="AX233" i="52"/>
  <c r="AW233" i="52"/>
  <c r="AV233" i="52"/>
  <c r="AU233" i="52"/>
  <c r="AT233" i="52"/>
  <c r="AS233" i="52"/>
  <c r="AR233" i="52"/>
  <c r="AQ233" i="52"/>
  <c r="AP233" i="52"/>
  <c r="AO233" i="52"/>
  <c r="AN233" i="52"/>
  <c r="AM233" i="52"/>
  <c r="AL233" i="52"/>
  <c r="AK233" i="52"/>
  <c r="AY232" i="52"/>
  <c r="AX232" i="52"/>
  <c r="AW232" i="52"/>
  <c r="AV232" i="52"/>
  <c r="AU232" i="52"/>
  <c r="AT232" i="52"/>
  <c r="AS232" i="52"/>
  <c r="AR232" i="52"/>
  <c r="AQ232" i="52"/>
  <c r="AP232" i="52"/>
  <c r="AO232" i="52"/>
  <c r="AN232" i="52"/>
  <c r="AM232" i="52"/>
  <c r="AL232" i="52"/>
  <c r="AK232" i="52"/>
  <c r="AY231" i="52"/>
  <c r="AX231" i="52"/>
  <c r="AW231" i="52"/>
  <c r="AV231" i="52"/>
  <c r="AU231" i="52"/>
  <c r="AT231" i="52"/>
  <c r="AS231" i="52"/>
  <c r="AR231" i="52"/>
  <c r="AQ231" i="52"/>
  <c r="AP231" i="52"/>
  <c r="AO231" i="52"/>
  <c r="AN231" i="52"/>
  <c r="AM231" i="52"/>
  <c r="AL231" i="52"/>
  <c r="AK231" i="52"/>
  <c r="AY230" i="52"/>
  <c r="AX230" i="52"/>
  <c r="AW230" i="52"/>
  <c r="AV230" i="52"/>
  <c r="AU230" i="52"/>
  <c r="AT230" i="52"/>
  <c r="AS230" i="52"/>
  <c r="AR230" i="52"/>
  <c r="AQ230" i="52"/>
  <c r="AP230" i="52"/>
  <c r="AO230" i="52"/>
  <c r="AN230" i="52"/>
  <c r="AM230" i="52"/>
  <c r="AL230" i="52"/>
  <c r="AK230" i="52"/>
  <c r="AY229" i="52"/>
  <c r="AX229" i="52"/>
  <c r="AW229" i="52"/>
  <c r="AV229" i="52"/>
  <c r="AU229" i="52"/>
  <c r="AT229" i="52"/>
  <c r="AS229" i="52"/>
  <c r="AR229" i="52"/>
  <c r="AQ229" i="52"/>
  <c r="AP229" i="52"/>
  <c r="AO229" i="52"/>
  <c r="AN229" i="52"/>
  <c r="AM229" i="52"/>
  <c r="AL229" i="52"/>
  <c r="AK229" i="52"/>
  <c r="AY228" i="52"/>
  <c r="AX228" i="52"/>
  <c r="AW228" i="52"/>
  <c r="AV228" i="52"/>
  <c r="AU228" i="52"/>
  <c r="AT228" i="52"/>
  <c r="AS228" i="52"/>
  <c r="AR228" i="52"/>
  <c r="AQ228" i="52"/>
  <c r="AP228" i="52"/>
  <c r="AO228" i="52"/>
  <c r="AN228" i="52"/>
  <c r="AM228" i="52"/>
  <c r="AL228" i="52"/>
  <c r="AK228" i="52"/>
  <c r="CR227" i="52"/>
  <c r="CQ227" i="52"/>
  <c r="CP227" i="52"/>
  <c r="CO227" i="52"/>
  <c r="CN227" i="52"/>
  <c r="CM227" i="52"/>
  <c r="CL227" i="52"/>
  <c r="CK227" i="52"/>
  <c r="CJ227" i="52"/>
  <c r="CI227" i="52"/>
  <c r="CH227" i="52"/>
  <c r="CG227" i="52"/>
  <c r="CF227" i="52"/>
  <c r="CE227" i="52"/>
  <c r="CD227" i="52"/>
  <c r="CC227" i="52"/>
  <c r="CB227" i="52"/>
  <c r="CA227" i="52"/>
  <c r="BZ227" i="52"/>
  <c r="BY227" i="52"/>
  <c r="BX227" i="52"/>
  <c r="BW227" i="52"/>
  <c r="BV227" i="52"/>
  <c r="BU227" i="52"/>
  <c r="BT227" i="52"/>
  <c r="BS227" i="52"/>
  <c r="BR227" i="52"/>
  <c r="BQ227" i="52"/>
  <c r="BP227" i="52"/>
  <c r="BO227" i="52"/>
  <c r="BN227" i="52"/>
  <c r="BM227" i="52"/>
  <c r="BL227" i="52"/>
  <c r="BK227" i="52"/>
  <c r="BJ227" i="52"/>
  <c r="BI227" i="52"/>
  <c r="BH227" i="52"/>
  <c r="BG227" i="52"/>
  <c r="BF227" i="52"/>
  <c r="BE227" i="52"/>
  <c r="BD227" i="52"/>
  <c r="BC227" i="52"/>
  <c r="BB227" i="52"/>
  <c r="BA227" i="52"/>
  <c r="AZ227" i="52"/>
  <c r="AY227" i="52"/>
  <c r="AX227" i="52"/>
  <c r="AW227" i="52"/>
  <c r="AV227" i="52"/>
  <c r="AU227" i="52"/>
  <c r="AT227" i="52"/>
  <c r="AS227" i="52"/>
  <c r="AR227" i="52"/>
  <c r="AQ227" i="52"/>
  <c r="AP227" i="52"/>
  <c r="AO227" i="52"/>
  <c r="AN227" i="52"/>
  <c r="AM227" i="52"/>
  <c r="AL227" i="52"/>
  <c r="AK227" i="52"/>
  <c r="CR226" i="52"/>
  <c r="CQ226" i="52"/>
  <c r="CP226" i="52"/>
  <c r="CO226" i="52"/>
  <c r="CN226" i="52"/>
  <c r="CM226" i="52"/>
  <c r="CL226" i="52"/>
  <c r="CK226" i="52"/>
  <c r="CJ226" i="52"/>
  <c r="CI226" i="52"/>
  <c r="CH226" i="52"/>
  <c r="CG226" i="52"/>
  <c r="CF226" i="52"/>
  <c r="CE226" i="52"/>
  <c r="CD226" i="52"/>
  <c r="CC226" i="52"/>
  <c r="CB226" i="52"/>
  <c r="CA226" i="52"/>
  <c r="BZ226" i="52"/>
  <c r="BY226" i="52"/>
  <c r="BX226" i="52"/>
  <c r="BW226" i="52"/>
  <c r="BV226" i="52"/>
  <c r="BU226" i="52"/>
  <c r="BT226" i="52"/>
  <c r="BS226" i="52"/>
  <c r="BR226" i="52"/>
  <c r="BQ226" i="52"/>
  <c r="BP226" i="52"/>
  <c r="BO226" i="52"/>
  <c r="BN226" i="52"/>
  <c r="BM226" i="52"/>
  <c r="BL226" i="52"/>
  <c r="BK226" i="52"/>
  <c r="BJ226" i="52"/>
  <c r="BI226" i="52"/>
  <c r="BH226" i="52"/>
  <c r="BG226" i="52"/>
  <c r="BF226" i="52"/>
  <c r="BE226" i="52"/>
  <c r="BD226" i="52"/>
  <c r="BC226" i="52"/>
  <c r="BB226" i="52"/>
  <c r="BA226" i="52"/>
  <c r="AZ226" i="52"/>
  <c r="AY226" i="52"/>
  <c r="AX226" i="52"/>
  <c r="AW226" i="52"/>
  <c r="AV226" i="52"/>
  <c r="AU226" i="52"/>
  <c r="AT226" i="52"/>
  <c r="AS226" i="52"/>
  <c r="AR226" i="52"/>
  <c r="AQ226" i="52"/>
  <c r="AP226" i="52"/>
  <c r="AO226" i="52"/>
  <c r="AN226" i="52"/>
  <c r="AM226" i="52"/>
  <c r="AL226" i="52"/>
  <c r="AK226" i="52"/>
  <c r="CR225" i="52"/>
  <c r="CQ225" i="52"/>
  <c r="CP225" i="52"/>
  <c r="CO225" i="52"/>
  <c r="CN225" i="52"/>
  <c r="CM225" i="52"/>
  <c r="CL225" i="52"/>
  <c r="CK225" i="52"/>
  <c r="CJ225" i="52"/>
  <c r="CI225" i="52"/>
  <c r="CH225" i="52"/>
  <c r="CG225" i="52"/>
  <c r="CF225" i="52"/>
  <c r="CE225" i="52"/>
  <c r="CD225" i="52"/>
  <c r="CC225" i="52"/>
  <c r="CB225" i="52"/>
  <c r="CA225" i="52"/>
  <c r="BZ225" i="52"/>
  <c r="BY225" i="52"/>
  <c r="BX225" i="52"/>
  <c r="BW225" i="52"/>
  <c r="BV225" i="52"/>
  <c r="BU225" i="52"/>
  <c r="BT225" i="52"/>
  <c r="BS225" i="52"/>
  <c r="BR225" i="52"/>
  <c r="BQ225" i="52"/>
  <c r="BP225" i="52"/>
  <c r="BO225" i="52"/>
  <c r="BN225" i="52"/>
  <c r="BM225" i="52"/>
  <c r="BL225" i="52"/>
  <c r="BK225" i="52"/>
  <c r="BJ225" i="52"/>
  <c r="BI225" i="52"/>
  <c r="BH225" i="52"/>
  <c r="BG225" i="52"/>
  <c r="BF225" i="52"/>
  <c r="BE225" i="52"/>
  <c r="BD225" i="52"/>
  <c r="BC225" i="52"/>
  <c r="BB225" i="52"/>
  <c r="BA225" i="52"/>
  <c r="AZ225" i="52"/>
  <c r="AY225" i="52"/>
  <c r="AX225" i="52"/>
  <c r="AW225" i="52"/>
  <c r="AV225" i="52"/>
  <c r="AU225" i="52"/>
  <c r="AT225" i="52"/>
  <c r="AS225" i="52"/>
  <c r="AR225" i="52"/>
  <c r="AQ225" i="52"/>
  <c r="AP225" i="52"/>
  <c r="AO225" i="52"/>
  <c r="AN225" i="52"/>
  <c r="AM225" i="52"/>
  <c r="AL225" i="52"/>
  <c r="AK225" i="52"/>
  <c r="CR224" i="52"/>
  <c r="CQ224" i="52"/>
  <c r="CP224" i="52"/>
  <c r="CO224" i="52"/>
  <c r="CN224" i="52"/>
  <c r="CM224" i="52"/>
  <c r="CL224" i="52"/>
  <c r="CK224" i="52"/>
  <c r="CJ224" i="52"/>
  <c r="CI224" i="52"/>
  <c r="CH224" i="52"/>
  <c r="CG224" i="52"/>
  <c r="CF224" i="52"/>
  <c r="CE224" i="52"/>
  <c r="CD224" i="52"/>
  <c r="CC224" i="52"/>
  <c r="CB224" i="52"/>
  <c r="CA224" i="52"/>
  <c r="BZ224" i="52"/>
  <c r="BY224" i="52"/>
  <c r="BX224" i="52"/>
  <c r="BW224" i="52"/>
  <c r="BV224" i="52"/>
  <c r="BU224" i="52"/>
  <c r="BT224" i="52"/>
  <c r="BS224" i="52"/>
  <c r="BR224" i="52"/>
  <c r="BQ224" i="52"/>
  <c r="BP224" i="52"/>
  <c r="BO224" i="52"/>
  <c r="BN224" i="52"/>
  <c r="BM224" i="52"/>
  <c r="BL224" i="52"/>
  <c r="BK224" i="52"/>
  <c r="BJ224" i="52"/>
  <c r="BI224" i="52"/>
  <c r="BH224" i="52"/>
  <c r="BG224" i="52"/>
  <c r="BF224" i="52"/>
  <c r="BE224" i="52"/>
  <c r="BD224" i="52"/>
  <c r="BC224" i="52"/>
  <c r="BB224" i="52"/>
  <c r="BA224" i="52"/>
  <c r="AZ224" i="52"/>
  <c r="AY224" i="52"/>
  <c r="AX224" i="52"/>
  <c r="AW224" i="52"/>
  <c r="AV224" i="52"/>
  <c r="AU224" i="52"/>
  <c r="AT224" i="52"/>
  <c r="AS224" i="52"/>
  <c r="AR224" i="52"/>
  <c r="AQ224" i="52"/>
  <c r="AP224" i="52"/>
  <c r="AO224" i="52"/>
  <c r="AN224" i="52"/>
  <c r="AM224" i="52"/>
  <c r="AL224" i="52"/>
  <c r="AK224" i="52"/>
  <c r="CR223" i="52"/>
  <c r="CQ223" i="52"/>
  <c r="CP223" i="52"/>
  <c r="CO223" i="52"/>
  <c r="CN223" i="52"/>
  <c r="CM223" i="52"/>
  <c r="CL223" i="52"/>
  <c r="CK223" i="52"/>
  <c r="CJ223" i="52"/>
  <c r="CI223" i="52"/>
  <c r="CH223" i="52"/>
  <c r="CG223" i="52"/>
  <c r="CF223" i="52"/>
  <c r="CE223" i="52"/>
  <c r="CD223" i="52"/>
  <c r="CC223" i="52"/>
  <c r="CB223" i="52"/>
  <c r="CA223" i="52"/>
  <c r="BZ223" i="52"/>
  <c r="BY223" i="52"/>
  <c r="BX223" i="52"/>
  <c r="BW223" i="52"/>
  <c r="BV223" i="52"/>
  <c r="BU223" i="52"/>
  <c r="BT223" i="52"/>
  <c r="BS223" i="52"/>
  <c r="BR223" i="52"/>
  <c r="BQ223" i="52"/>
  <c r="BP223" i="52"/>
  <c r="BO223" i="52"/>
  <c r="BN223" i="52"/>
  <c r="BM223" i="52"/>
  <c r="BL223" i="52"/>
  <c r="BK223" i="52"/>
  <c r="BJ223" i="52"/>
  <c r="BI223" i="52"/>
  <c r="BH223" i="52"/>
  <c r="BG223" i="52"/>
  <c r="BF223" i="52"/>
  <c r="BE223" i="52"/>
  <c r="BD223" i="52"/>
  <c r="BC223" i="52"/>
  <c r="BB223" i="52"/>
  <c r="BA223" i="52"/>
  <c r="AZ223" i="52"/>
  <c r="AY223" i="52"/>
  <c r="AX223" i="52"/>
  <c r="AW223" i="52"/>
  <c r="AV223" i="52"/>
  <c r="AU223" i="52"/>
  <c r="AT223" i="52"/>
  <c r="AS223" i="52"/>
  <c r="AR223" i="52"/>
  <c r="AQ223" i="52"/>
  <c r="AP223" i="52"/>
  <c r="AO223" i="52"/>
  <c r="AN223" i="52"/>
  <c r="AM223" i="52"/>
  <c r="AL223" i="52"/>
  <c r="AK223" i="52"/>
  <c r="CR222" i="52"/>
  <c r="CQ222" i="52"/>
  <c r="CP222" i="52"/>
  <c r="CO222" i="52"/>
  <c r="CN222" i="52"/>
  <c r="CM222" i="52"/>
  <c r="CL222" i="52"/>
  <c r="CK222" i="52"/>
  <c r="CJ222" i="52"/>
  <c r="CI222" i="52"/>
  <c r="CH222" i="52"/>
  <c r="CG222" i="52"/>
  <c r="CF222" i="52"/>
  <c r="CE222" i="52"/>
  <c r="CD222" i="52"/>
  <c r="CC222" i="52"/>
  <c r="CB222" i="52"/>
  <c r="CA222" i="52"/>
  <c r="BZ222" i="52"/>
  <c r="BY222" i="52"/>
  <c r="BX222" i="52"/>
  <c r="BW222" i="52"/>
  <c r="BV222" i="52"/>
  <c r="BU222" i="52"/>
  <c r="BT222" i="52"/>
  <c r="BS222" i="52"/>
  <c r="BR222" i="52"/>
  <c r="BQ222" i="52"/>
  <c r="BP222" i="52"/>
  <c r="BO222" i="52"/>
  <c r="BN222" i="52"/>
  <c r="BM222" i="52"/>
  <c r="BL222" i="52"/>
  <c r="BK222" i="52"/>
  <c r="BJ222" i="52"/>
  <c r="BI222" i="52"/>
  <c r="BH222" i="52"/>
  <c r="BG222" i="52"/>
  <c r="BF222" i="52"/>
  <c r="BE222" i="52"/>
  <c r="BD222" i="52"/>
  <c r="BC222" i="52"/>
  <c r="BB222" i="52"/>
  <c r="BA222" i="52"/>
  <c r="AZ222" i="52"/>
  <c r="AY222" i="52"/>
  <c r="AX222" i="52"/>
  <c r="AW222" i="52"/>
  <c r="AV222" i="52"/>
  <c r="AU222" i="52"/>
  <c r="AT222" i="52"/>
  <c r="AS222" i="52"/>
  <c r="AR222" i="52"/>
  <c r="AQ222" i="52"/>
  <c r="AP222" i="52"/>
  <c r="AO222" i="52"/>
  <c r="AN222" i="52"/>
  <c r="AM222" i="52"/>
  <c r="AL222" i="52"/>
  <c r="AK222" i="52"/>
  <c r="CR221" i="52"/>
  <c r="CQ221" i="52"/>
  <c r="CP221" i="52"/>
  <c r="CO221" i="52"/>
  <c r="CN221" i="52"/>
  <c r="CM221" i="52"/>
  <c r="CL221" i="52"/>
  <c r="CK221" i="52"/>
  <c r="CJ221" i="52"/>
  <c r="CI221" i="52"/>
  <c r="CH221" i="52"/>
  <c r="CG221" i="52"/>
  <c r="CF221" i="52"/>
  <c r="CE221" i="52"/>
  <c r="CD221" i="52"/>
  <c r="CC221" i="52"/>
  <c r="CB221" i="52"/>
  <c r="CA221" i="52"/>
  <c r="BZ221" i="52"/>
  <c r="BY221" i="52"/>
  <c r="BX221" i="52"/>
  <c r="BW221" i="52"/>
  <c r="BV221" i="52"/>
  <c r="BU221" i="52"/>
  <c r="BT221" i="52"/>
  <c r="BS221" i="52"/>
  <c r="BR221" i="52"/>
  <c r="BQ221" i="52"/>
  <c r="BP221" i="52"/>
  <c r="BO221" i="52"/>
  <c r="BN221" i="52"/>
  <c r="BM221" i="52"/>
  <c r="BL221" i="52"/>
  <c r="BK221" i="52"/>
  <c r="BJ221" i="52"/>
  <c r="BI221" i="52"/>
  <c r="BH221" i="52"/>
  <c r="BG221" i="52"/>
  <c r="BF221" i="52"/>
  <c r="BE221" i="52"/>
  <c r="BD221" i="52"/>
  <c r="BC221" i="52"/>
  <c r="BB221" i="52"/>
  <c r="BA221" i="52"/>
  <c r="AZ221" i="52"/>
  <c r="AY221" i="52"/>
  <c r="AX221" i="52"/>
  <c r="AW221" i="52"/>
  <c r="AV221" i="52"/>
  <c r="AU221" i="52"/>
  <c r="AT221" i="52"/>
  <c r="AS221" i="52"/>
  <c r="AR221" i="52"/>
  <c r="AQ221" i="52"/>
  <c r="AP221" i="52"/>
  <c r="AO221" i="52"/>
  <c r="AN221" i="52"/>
  <c r="AM221" i="52"/>
  <c r="AL221" i="52"/>
  <c r="AK221" i="52"/>
  <c r="CR220" i="52"/>
  <c r="CQ220" i="52"/>
  <c r="CP220" i="52"/>
  <c r="CO220" i="52"/>
  <c r="CN220" i="52"/>
  <c r="CM220" i="52"/>
  <c r="CL220" i="52"/>
  <c r="CK220" i="52"/>
  <c r="CJ220" i="52"/>
  <c r="CI220" i="52"/>
  <c r="CH220" i="52"/>
  <c r="CG220" i="52"/>
  <c r="CF220" i="52"/>
  <c r="CE220" i="52"/>
  <c r="CD220" i="52"/>
  <c r="CC220" i="52"/>
  <c r="CB220" i="52"/>
  <c r="CA220" i="52"/>
  <c r="BZ220" i="52"/>
  <c r="BY220" i="52"/>
  <c r="BX220" i="52"/>
  <c r="BW220" i="52"/>
  <c r="BV220" i="52"/>
  <c r="BU220" i="52"/>
  <c r="BT220" i="52"/>
  <c r="BS220" i="52"/>
  <c r="BR220" i="52"/>
  <c r="BQ220" i="52"/>
  <c r="BP220" i="52"/>
  <c r="BO220" i="52"/>
  <c r="BN220" i="52"/>
  <c r="BM220" i="52"/>
  <c r="BL220" i="52"/>
  <c r="BK220" i="52"/>
  <c r="BJ220" i="52"/>
  <c r="BI220" i="52"/>
  <c r="BH220" i="52"/>
  <c r="BG220" i="52"/>
  <c r="BF220" i="52"/>
  <c r="BE220" i="52"/>
  <c r="BD220" i="52"/>
  <c r="BC220" i="52"/>
  <c r="BB220" i="52"/>
  <c r="BA220" i="52"/>
  <c r="AZ220" i="52"/>
  <c r="AY220" i="52"/>
  <c r="AX220" i="52"/>
  <c r="AW220" i="52"/>
  <c r="AV220" i="52"/>
  <c r="AU220" i="52"/>
  <c r="AT220" i="52"/>
  <c r="AS220" i="52"/>
  <c r="AR220" i="52"/>
  <c r="AQ220" i="52"/>
  <c r="AP220" i="52"/>
  <c r="AO220" i="52"/>
  <c r="AN220" i="52"/>
  <c r="AM220" i="52"/>
  <c r="AL220" i="52"/>
  <c r="AK220" i="52"/>
  <c r="CR219" i="52"/>
  <c r="CQ219" i="52"/>
  <c r="CP219" i="52"/>
  <c r="CO219" i="52"/>
  <c r="CN219" i="52"/>
  <c r="CM219" i="52"/>
  <c r="CL219" i="52"/>
  <c r="CK219" i="52"/>
  <c r="CJ219" i="52"/>
  <c r="CI219" i="52"/>
  <c r="CH219" i="52"/>
  <c r="CG219" i="52"/>
  <c r="CF219" i="52"/>
  <c r="CE219" i="52"/>
  <c r="CD219" i="52"/>
  <c r="CC219" i="52"/>
  <c r="CB219" i="52"/>
  <c r="CA219" i="52"/>
  <c r="BZ219" i="52"/>
  <c r="BY219" i="52"/>
  <c r="BX219" i="52"/>
  <c r="BW219" i="52"/>
  <c r="BV219" i="52"/>
  <c r="BU219" i="52"/>
  <c r="BT219" i="52"/>
  <c r="BS219" i="52"/>
  <c r="BR219" i="52"/>
  <c r="BQ219" i="52"/>
  <c r="BP219" i="52"/>
  <c r="BO219" i="52"/>
  <c r="BN219" i="52"/>
  <c r="BM219" i="52"/>
  <c r="BL219" i="52"/>
  <c r="BK219" i="52"/>
  <c r="BJ219" i="52"/>
  <c r="BI219" i="52"/>
  <c r="BH219" i="52"/>
  <c r="BG219" i="52"/>
  <c r="BF219" i="52"/>
  <c r="BE219" i="52"/>
  <c r="BD219" i="52"/>
  <c r="BC219" i="52"/>
  <c r="BB219" i="52"/>
  <c r="BA219" i="52"/>
  <c r="AZ219" i="52"/>
  <c r="AY219" i="52"/>
  <c r="AX219" i="52"/>
  <c r="AW219" i="52"/>
  <c r="AV219" i="52"/>
  <c r="AU219" i="52"/>
  <c r="AT219" i="52"/>
  <c r="AS219" i="52"/>
  <c r="AR219" i="52"/>
  <c r="AQ219" i="52"/>
  <c r="AP219" i="52"/>
  <c r="AO219" i="52"/>
  <c r="AN219" i="52"/>
  <c r="AM219" i="52"/>
  <c r="AL219" i="52"/>
  <c r="AK219" i="52"/>
  <c r="CR218" i="52"/>
  <c r="CQ218" i="52"/>
  <c r="CP218" i="52"/>
  <c r="CO218" i="52"/>
  <c r="CN218" i="52"/>
  <c r="CM218" i="52"/>
  <c r="CL218" i="52"/>
  <c r="CK218" i="52"/>
  <c r="CJ218" i="52"/>
  <c r="CI218" i="52"/>
  <c r="CH218" i="52"/>
  <c r="CG218" i="52"/>
  <c r="CF218" i="52"/>
  <c r="CE218" i="52"/>
  <c r="CD218" i="52"/>
  <c r="CC218" i="52"/>
  <c r="CB218" i="52"/>
  <c r="CA218" i="52"/>
  <c r="BZ218" i="52"/>
  <c r="BY218" i="52"/>
  <c r="BX218" i="52"/>
  <c r="BW218" i="52"/>
  <c r="BV218" i="52"/>
  <c r="BU218" i="52"/>
  <c r="BT218" i="52"/>
  <c r="BS218" i="52"/>
  <c r="BR218" i="52"/>
  <c r="BQ218" i="52"/>
  <c r="BP218" i="52"/>
  <c r="BO218" i="52"/>
  <c r="BN218" i="52"/>
  <c r="BM218" i="52"/>
  <c r="BL218" i="52"/>
  <c r="BK218" i="52"/>
  <c r="BJ218" i="52"/>
  <c r="BI218" i="52"/>
  <c r="BH218" i="52"/>
  <c r="BG218" i="52"/>
  <c r="BF218" i="52"/>
  <c r="BE218" i="52"/>
  <c r="BD218" i="52"/>
  <c r="BC218" i="52"/>
  <c r="BB218" i="52"/>
  <c r="BA218" i="52"/>
  <c r="AZ218" i="52"/>
  <c r="AY218" i="52"/>
  <c r="AX218" i="52"/>
  <c r="AW218" i="52"/>
  <c r="AV218" i="52"/>
  <c r="AU218" i="52"/>
  <c r="AT218" i="52"/>
  <c r="AS218" i="52"/>
  <c r="AR218" i="52"/>
  <c r="AQ218" i="52"/>
  <c r="AP218" i="52"/>
  <c r="AO218" i="52"/>
  <c r="AN218" i="52"/>
  <c r="AM218" i="52"/>
  <c r="AL218" i="52"/>
  <c r="AK218" i="52"/>
  <c r="CR217" i="52"/>
  <c r="CQ217" i="52"/>
  <c r="CP217" i="52"/>
  <c r="CO217" i="52"/>
  <c r="CN217" i="52"/>
  <c r="CM217" i="52"/>
  <c r="CL217" i="52"/>
  <c r="CK217" i="52"/>
  <c r="CJ217" i="52"/>
  <c r="CI217" i="52"/>
  <c r="CH217" i="52"/>
  <c r="CG217" i="52"/>
  <c r="CF217" i="52"/>
  <c r="CE217" i="52"/>
  <c r="CD217" i="52"/>
  <c r="CC217" i="52"/>
  <c r="CB217" i="52"/>
  <c r="CA217" i="52"/>
  <c r="BZ217" i="52"/>
  <c r="BY217" i="52"/>
  <c r="BX217" i="52"/>
  <c r="BW217" i="52"/>
  <c r="BV217" i="52"/>
  <c r="BU217" i="52"/>
  <c r="BT217" i="52"/>
  <c r="BS217" i="52"/>
  <c r="BR217" i="52"/>
  <c r="BQ217" i="52"/>
  <c r="BP217" i="52"/>
  <c r="BO217" i="52"/>
  <c r="BN217" i="52"/>
  <c r="BM217" i="52"/>
  <c r="BL217" i="52"/>
  <c r="BK217" i="52"/>
  <c r="BJ217" i="52"/>
  <c r="BI217" i="52"/>
  <c r="BH217" i="52"/>
  <c r="BG217" i="52"/>
  <c r="BF217" i="52"/>
  <c r="BE217" i="52"/>
  <c r="BD217" i="52"/>
  <c r="BC217" i="52"/>
  <c r="BB217" i="52"/>
  <c r="BA217" i="52"/>
  <c r="AZ217" i="52"/>
  <c r="AY217" i="52"/>
  <c r="AX217" i="52"/>
  <c r="AW217" i="52"/>
  <c r="AV217" i="52"/>
  <c r="AU217" i="52"/>
  <c r="AT217" i="52"/>
  <c r="AS217" i="52"/>
  <c r="AR217" i="52"/>
  <c r="AQ217" i="52"/>
  <c r="AP217" i="52"/>
  <c r="AO217" i="52"/>
  <c r="AN217" i="52"/>
  <c r="AM217" i="52"/>
  <c r="AL217" i="52"/>
  <c r="AK217" i="52"/>
  <c r="CR216" i="52"/>
  <c r="CQ216" i="52"/>
  <c r="CP216" i="52"/>
  <c r="CO216" i="52"/>
  <c r="CN216" i="52"/>
  <c r="CM216" i="52"/>
  <c r="CL216" i="52"/>
  <c r="CK216" i="52"/>
  <c r="CJ216" i="52"/>
  <c r="CI216" i="52"/>
  <c r="CH216" i="52"/>
  <c r="CG216" i="52"/>
  <c r="CF216" i="52"/>
  <c r="CE216" i="52"/>
  <c r="CD216" i="52"/>
  <c r="CC216" i="52"/>
  <c r="CB216" i="52"/>
  <c r="CA216" i="52"/>
  <c r="BZ216" i="52"/>
  <c r="BY216" i="52"/>
  <c r="BX216" i="52"/>
  <c r="BW216" i="52"/>
  <c r="BV216" i="52"/>
  <c r="BU216" i="52"/>
  <c r="BT216" i="52"/>
  <c r="BS216" i="52"/>
  <c r="BR216" i="52"/>
  <c r="BQ216" i="52"/>
  <c r="BP216" i="52"/>
  <c r="BO216" i="52"/>
  <c r="BN216" i="52"/>
  <c r="BM216" i="52"/>
  <c r="BL216" i="52"/>
  <c r="BK216" i="52"/>
  <c r="BJ216" i="52"/>
  <c r="BI216" i="52"/>
  <c r="BH216" i="52"/>
  <c r="BG216" i="52"/>
  <c r="BF216" i="52"/>
  <c r="BE216" i="52"/>
  <c r="BD216" i="52"/>
  <c r="BC216" i="52"/>
  <c r="BB216" i="52"/>
  <c r="BA216" i="52"/>
  <c r="AZ216" i="52"/>
  <c r="AY216" i="52"/>
  <c r="AX216" i="52"/>
  <c r="AW216" i="52"/>
  <c r="AV216" i="52"/>
  <c r="AU216" i="52"/>
  <c r="AT216" i="52"/>
  <c r="AS216" i="52"/>
  <c r="AR216" i="52"/>
  <c r="AQ216" i="52"/>
  <c r="AP216" i="52"/>
  <c r="AO216" i="52"/>
  <c r="AN216" i="52"/>
  <c r="AM216" i="52"/>
  <c r="AL216" i="52"/>
  <c r="AK216" i="52"/>
  <c r="CR215" i="52"/>
  <c r="CQ215" i="52"/>
  <c r="CP215" i="52"/>
  <c r="CO215" i="52"/>
  <c r="CN215" i="52"/>
  <c r="CM215" i="52"/>
  <c r="CL215" i="52"/>
  <c r="CK215" i="52"/>
  <c r="CJ215" i="52"/>
  <c r="CI215" i="52"/>
  <c r="CH215" i="52"/>
  <c r="CG215" i="52"/>
  <c r="CF215" i="52"/>
  <c r="CE215" i="52"/>
  <c r="CD215" i="52"/>
  <c r="CC215" i="52"/>
  <c r="CB215" i="52"/>
  <c r="CA215" i="52"/>
  <c r="BZ215" i="52"/>
  <c r="BY215" i="52"/>
  <c r="BX215" i="52"/>
  <c r="BX228" i="52" s="1"/>
  <c r="BW215" i="52"/>
  <c r="BW228" i="52" s="1"/>
  <c r="BV215" i="52"/>
  <c r="BU215" i="52"/>
  <c r="BT215" i="52"/>
  <c r="BS215" i="52"/>
  <c r="BR215" i="52"/>
  <c r="BQ215" i="52"/>
  <c r="BP215" i="52"/>
  <c r="BO215" i="52"/>
  <c r="BN215" i="52"/>
  <c r="BM215" i="52"/>
  <c r="BL215" i="52"/>
  <c r="BK215" i="52"/>
  <c r="BJ215" i="52"/>
  <c r="BI215" i="52"/>
  <c r="BH215" i="52"/>
  <c r="BG215" i="52"/>
  <c r="BF215" i="52"/>
  <c r="BE215" i="52"/>
  <c r="BD215" i="52"/>
  <c r="BC215" i="52"/>
  <c r="BB215" i="52"/>
  <c r="BA215" i="52"/>
  <c r="AZ215" i="52"/>
  <c r="AZ228" i="52" s="1"/>
  <c r="AY215" i="52"/>
  <c r="AX215" i="52"/>
  <c r="AW215" i="52"/>
  <c r="AV215" i="52"/>
  <c r="AU215" i="52"/>
  <c r="AT215" i="52"/>
  <c r="AS215" i="52"/>
  <c r="AR215" i="52"/>
  <c r="AQ215" i="52"/>
  <c r="AP215" i="52"/>
  <c r="AO215" i="52"/>
  <c r="AN215" i="52"/>
  <c r="AM215" i="52"/>
  <c r="AL215" i="52"/>
  <c r="AK215" i="52"/>
  <c r="CR214" i="52"/>
  <c r="CQ214" i="52"/>
  <c r="CP214" i="52"/>
  <c r="CO214" i="52"/>
  <c r="CO228" i="52" s="1"/>
  <c r="CN214" i="52"/>
  <c r="CM214" i="52"/>
  <c r="CL214" i="52"/>
  <c r="CK214" i="52"/>
  <c r="CJ214" i="52"/>
  <c r="CI214" i="52"/>
  <c r="CH214" i="52"/>
  <c r="CG214" i="52"/>
  <c r="CG228" i="52" s="1"/>
  <c r="CF214" i="52"/>
  <c r="CE214" i="52"/>
  <c r="CD214" i="52"/>
  <c r="CC214" i="52"/>
  <c r="CC228" i="52" s="1"/>
  <c r="CB214" i="52"/>
  <c r="CA214" i="52"/>
  <c r="BZ214" i="52"/>
  <c r="BY214" i="52"/>
  <c r="BX214" i="52"/>
  <c r="BW214" i="52"/>
  <c r="BV214" i="52"/>
  <c r="BU214" i="52"/>
  <c r="BU228" i="52" s="1"/>
  <c r="BT214" i="52"/>
  <c r="BS214" i="52"/>
  <c r="BR214" i="52"/>
  <c r="BQ214" i="52"/>
  <c r="BQ228" i="52" s="1"/>
  <c r="BP214" i="52"/>
  <c r="BO214" i="52"/>
  <c r="BN214" i="52"/>
  <c r="BM214" i="52"/>
  <c r="BL214" i="52"/>
  <c r="BK214" i="52"/>
  <c r="BJ214" i="52"/>
  <c r="BI214" i="52"/>
  <c r="BI228" i="52" s="1"/>
  <c r="BH214" i="52"/>
  <c r="BG214" i="52"/>
  <c r="BF214" i="52"/>
  <c r="BE214" i="52"/>
  <c r="BE228" i="52" s="1"/>
  <c r="BD214" i="52"/>
  <c r="BC214" i="52"/>
  <c r="BB214" i="52"/>
  <c r="BA214" i="52"/>
  <c r="AZ214" i="52"/>
  <c r="AY214" i="52"/>
  <c r="AX214" i="52"/>
  <c r="AW214" i="52"/>
  <c r="AV214" i="52"/>
  <c r="AU214" i="52"/>
  <c r="AT214" i="52"/>
  <c r="AS214" i="52"/>
  <c r="AR214" i="52"/>
  <c r="AQ214" i="52"/>
  <c r="AP214" i="52"/>
  <c r="AO214" i="52"/>
  <c r="AN214" i="52"/>
  <c r="AM214" i="52"/>
  <c r="AL214" i="52"/>
  <c r="AK214" i="52"/>
  <c r="CR213" i="52"/>
  <c r="CR228" i="52" s="1"/>
  <c r="CQ213" i="52"/>
  <c r="CP213" i="52"/>
  <c r="CP228" i="52" s="1"/>
  <c r="CO213" i="52"/>
  <c r="CN213" i="52"/>
  <c r="CM213" i="52"/>
  <c r="CM228" i="52" s="1"/>
  <c r="CL213" i="52"/>
  <c r="CL228" i="52" s="1"/>
  <c r="CK213" i="52"/>
  <c r="CJ213" i="52"/>
  <c r="CJ228" i="52" s="1"/>
  <c r="CI213" i="52"/>
  <c r="CI228" i="52" s="1"/>
  <c r="CH213" i="52"/>
  <c r="CG213" i="52"/>
  <c r="CF213" i="52"/>
  <c r="CF228" i="52" s="1"/>
  <c r="CE213" i="52"/>
  <c r="CD213" i="52"/>
  <c r="CD228" i="52" s="1"/>
  <c r="CC213" i="52"/>
  <c r="CB213" i="52"/>
  <c r="CA213" i="52"/>
  <c r="CA228" i="52" s="1"/>
  <c r="BZ213" i="52"/>
  <c r="BZ228" i="52" s="1"/>
  <c r="BY213" i="52"/>
  <c r="BX213" i="52"/>
  <c r="BW213" i="52"/>
  <c r="BV213" i="52"/>
  <c r="BU213" i="52"/>
  <c r="BT213" i="52"/>
  <c r="BT228" i="52" s="1"/>
  <c r="BS213" i="52"/>
  <c r="BR213" i="52"/>
  <c r="BR228" i="52" s="1"/>
  <c r="BQ213" i="52"/>
  <c r="BP213" i="52"/>
  <c r="BO213" i="52"/>
  <c r="BO228" i="52" s="1"/>
  <c r="BN213" i="52"/>
  <c r="BN228" i="52" s="1"/>
  <c r="BM213" i="52"/>
  <c r="BL213" i="52"/>
  <c r="BL228" i="52" s="1"/>
  <c r="BK213" i="52"/>
  <c r="BK228" i="52" s="1"/>
  <c r="BJ213" i="52"/>
  <c r="BI213" i="52"/>
  <c r="BH213" i="52"/>
  <c r="BH228" i="52" s="1"/>
  <c r="BG213" i="52"/>
  <c r="BF213" i="52"/>
  <c r="BF228" i="52" s="1"/>
  <c r="BE213" i="52"/>
  <c r="BD213" i="52"/>
  <c r="BC213" i="52"/>
  <c r="BC228" i="52" s="1"/>
  <c r="BB213" i="52"/>
  <c r="BB228" i="52" s="1"/>
  <c r="BA213" i="52"/>
  <c r="AZ213" i="52"/>
  <c r="AY213" i="52"/>
  <c r="AX213" i="52"/>
  <c r="AW213" i="52"/>
  <c r="AV213" i="52"/>
  <c r="AU213" i="52"/>
  <c r="AT213" i="52"/>
  <c r="AS213" i="52"/>
  <c r="AR213" i="52"/>
  <c r="AQ213" i="52"/>
  <c r="AP213" i="52"/>
  <c r="AO213" i="52"/>
  <c r="AN213" i="52"/>
  <c r="AM213" i="52"/>
  <c r="AL213" i="52"/>
  <c r="AK213" i="52"/>
  <c r="AY212" i="52"/>
  <c r="AX212" i="52"/>
  <c r="AW212" i="52"/>
  <c r="AV212" i="52"/>
  <c r="AU212" i="52"/>
  <c r="AT212" i="52"/>
  <c r="AS212" i="52"/>
  <c r="AR212" i="52"/>
  <c r="AQ212" i="52"/>
  <c r="AP212" i="52"/>
  <c r="AO212" i="52"/>
  <c r="AN212" i="52"/>
  <c r="AM212" i="52"/>
  <c r="AL212" i="52"/>
  <c r="AK212" i="52"/>
  <c r="AY211" i="52"/>
  <c r="AX211" i="52"/>
  <c r="AW211" i="52"/>
  <c r="AV211" i="52"/>
  <c r="AU211" i="52"/>
  <c r="AT211" i="52"/>
  <c r="AS211" i="52"/>
  <c r="AR211" i="52"/>
  <c r="AQ211" i="52"/>
  <c r="AP211" i="52"/>
  <c r="AO211" i="52"/>
  <c r="AN211" i="52"/>
  <c r="AM211" i="52"/>
  <c r="AL211" i="52"/>
  <c r="AK211" i="52"/>
  <c r="AY210" i="52"/>
  <c r="AX210" i="52"/>
  <c r="AW210" i="52"/>
  <c r="AV210" i="52"/>
  <c r="AU210" i="52"/>
  <c r="AT210" i="52"/>
  <c r="AS210" i="52"/>
  <c r="AR210" i="52"/>
  <c r="AQ210" i="52"/>
  <c r="AP210" i="52"/>
  <c r="AO210" i="52"/>
  <c r="AN210" i="52"/>
  <c r="AM210" i="52"/>
  <c r="AL210" i="52"/>
  <c r="AK210" i="52"/>
  <c r="AY209" i="52"/>
  <c r="AX209" i="52"/>
  <c r="AW209" i="52"/>
  <c r="AV209" i="52"/>
  <c r="AU209" i="52"/>
  <c r="AT209" i="52"/>
  <c r="AS209" i="52"/>
  <c r="AR209" i="52"/>
  <c r="AQ209" i="52"/>
  <c r="AP209" i="52"/>
  <c r="AO209" i="52"/>
  <c r="AN209" i="52"/>
  <c r="AM209" i="52"/>
  <c r="AL209" i="52"/>
  <c r="AK209" i="52"/>
  <c r="AY208" i="52"/>
  <c r="AX208" i="52"/>
  <c r="AW208" i="52"/>
  <c r="AV208" i="52"/>
  <c r="AU208" i="52"/>
  <c r="AT208" i="52"/>
  <c r="AS208" i="52"/>
  <c r="AR208" i="52"/>
  <c r="AQ208" i="52"/>
  <c r="AP208" i="52"/>
  <c r="AO208" i="52"/>
  <c r="AN208" i="52"/>
  <c r="AM208" i="52"/>
  <c r="AL208" i="52"/>
  <c r="AK208" i="52"/>
  <c r="AY207" i="52"/>
  <c r="AX207" i="52"/>
  <c r="AW207" i="52"/>
  <c r="AV207" i="52"/>
  <c r="AU207" i="52"/>
  <c r="AT207" i="52"/>
  <c r="AT368" i="52" s="1"/>
  <c r="AS207" i="52"/>
  <c r="AR207" i="52"/>
  <c r="AQ207" i="52"/>
  <c r="AP207" i="52"/>
  <c r="AO207" i="52"/>
  <c r="AN207" i="52"/>
  <c r="AM207" i="52"/>
  <c r="AL207" i="52"/>
  <c r="AK207" i="52"/>
  <c r="AY206" i="52"/>
  <c r="AX206" i="52"/>
  <c r="AW206" i="52"/>
  <c r="AV206" i="52"/>
  <c r="AU206" i="52"/>
  <c r="AT206" i="52"/>
  <c r="AS206" i="52"/>
  <c r="AR206" i="52"/>
  <c r="AQ206" i="52"/>
  <c r="AP206" i="52"/>
  <c r="AO206" i="52"/>
  <c r="AN206" i="52"/>
  <c r="AM206" i="52"/>
  <c r="AL206" i="52"/>
  <c r="AK206" i="52"/>
  <c r="AY205" i="52"/>
  <c r="AX205" i="52"/>
  <c r="AW205" i="52"/>
  <c r="AV205" i="52"/>
  <c r="AU205" i="52"/>
  <c r="AT205" i="52"/>
  <c r="AS205" i="52"/>
  <c r="AR205" i="52"/>
  <c r="AQ205" i="52"/>
  <c r="AP205" i="52"/>
  <c r="AO205" i="52"/>
  <c r="AN205" i="52"/>
  <c r="AM205" i="52"/>
  <c r="AL205" i="52"/>
  <c r="AK205" i="52"/>
  <c r="AY204" i="52"/>
  <c r="AX204" i="52"/>
  <c r="AW204" i="52"/>
  <c r="AV204" i="52"/>
  <c r="AU204" i="52"/>
  <c r="AT204" i="52"/>
  <c r="AS204" i="52"/>
  <c r="AR204" i="52"/>
  <c r="AQ204" i="52"/>
  <c r="AP204" i="52"/>
  <c r="AO204" i="52"/>
  <c r="AN204" i="52"/>
  <c r="AM204" i="52"/>
  <c r="AL204" i="52"/>
  <c r="AK204" i="52"/>
  <c r="AY203" i="52"/>
  <c r="AY368" i="52" s="1"/>
  <c r="AX203" i="52"/>
  <c r="AW203" i="52"/>
  <c r="AW368" i="52" s="1"/>
  <c r="AV203" i="52"/>
  <c r="AV368" i="52" s="1"/>
  <c r="AU203" i="52"/>
  <c r="AT203" i="52"/>
  <c r="AS203" i="52"/>
  <c r="AS368" i="52" s="1"/>
  <c r="AR203" i="52"/>
  <c r="AQ203" i="52"/>
  <c r="AQ368" i="52" s="1"/>
  <c r="AP203" i="52"/>
  <c r="AP368" i="52" s="1"/>
  <c r="AO203" i="52"/>
  <c r="AN203" i="52"/>
  <c r="AN368" i="52" s="1"/>
  <c r="AM203" i="52"/>
  <c r="AL203" i="52"/>
  <c r="AK203" i="52"/>
  <c r="AK368" i="52" s="1"/>
  <c r="AH368" i="52"/>
  <c r="AD185" i="52"/>
  <c r="AC185" i="52"/>
  <c r="AB185" i="52"/>
  <c r="AA185" i="52"/>
  <c r="Z185" i="52"/>
  <c r="Y185" i="52"/>
  <c r="X185" i="52"/>
  <c r="W185" i="52"/>
  <c r="V185" i="52"/>
  <c r="U185" i="52"/>
  <c r="T185" i="52"/>
  <c r="S185" i="52"/>
  <c r="R185" i="52"/>
  <c r="Q185" i="52"/>
  <c r="P185" i="52"/>
  <c r="O185" i="52"/>
  <c r="N185" i="52"/>
  <c r="M185" i="52"/>
  <c r="L185" i="52"/>
  <c r="K185" i="52"/>
  <c r="J185" i="52"/>
  <c r="I185" i="52"/>
  <c r="H185" i="52"/>
  <c r="G185" i="52"/>
  <c r="AD177" i="52"/>
  <c r="AC177" i="52"/>
  <c r="AB177" i="52"/>
  <c r="AA177" i="52"/>
  <c r="Z177" i="52"/>
  <c r="Y177" i="52"/>
  <c r="X177" i="52"/>
  <c r="W177" i="52"/>
  <c r="V177" i="52"/>
  <c r="U177" i="52"/>
  <c r="T177" i="52"/>
  <c r="S177" i="52"/>
  <c r="R177" i="52"/>
  <c r="Q177" i="52"/>
  <c r="P177" i="52"/>
  <c r="AQ177" i="52"/>
  <c r="AY176" i="52"/>
  <c r="AX176" i="52"/>
  <c r="AW176" i="52"/>
  <c r="AV176" i="52"/>
  <c r="AU176" i="52"/>
  <c r="AT176" i="52"/>
  <c r="AS176" i="52"/>
  <c r="AR176" i="52"/>
  <c r="AQ176" i="52"/>
  <c r="AP176" i="52"/>
  <c r="AO176" i="52"/>
  <c r="AN176" i="52"/>
  <c r="AM176" i="52"/>
  <c r="AL176" i="52"/>
  <c r="AK176" i="52"/>
  <c r="AY175" i="52"/>
  <c r="AY177" i="52" s="1"/>
  <c r="AX175" i="52"/>
  <c r="AW175" i="52"/>
  <c r="AW177" i="52" s="1"/>
  <c r="AV175" i="52"/>
  <c r="AV177" i="52" s="1"/>
  <c r="AU175" i="52"/>
  <c r="AT175" i="52"/>
  <c r="AT177" i="52" s="1"/>
  <c r="AS175" i="52"/>
  <c r="AS177" i="52" s="1"/>
  <c r="AR175" i="52"/>
  <c r="AQ175" i="52"/>
  <c r="AP175" i="52"/>
  <c r="AP177" i="52" s="1"/>
  <c r="AO175" i="52"/>
  <c r="AN175" i="52"/>
  <c r="AN177" i="52" s="1"/>
  <c r="AM175" i="52"/>
  <c r="AM177" i="52" s="1"/>
  <c r="AL175" i="52"/>
  <c r="AK175" i="52"/>
  <c r="AK177" i="52" s="1"/>
  <c r="AD144" i="52"/>
  <c r="AC144" i="52"/>
  <c r="AB144" i="52"/>
  <c r="AA144" i="52"/>
  <c r="Z144" i="52"/>
  <c r="Y144" i="52"/>
  <c r="X144" i="52"/>
  <c r="W144" i="52"/>
  <c r="V144" i="52"/>
  <c r="U144" i="52"/>
  <c r="T144" i="52"/>
  <c r="S144" i="52"/>
  <c r="R144" i="52"/>
  <c r="Q144" i="52"/>
  <c r="P144" i="52"/>
  <c r="O144" i="52"/>
  <c r="N144" i="52"/>
  <c r="M144" i="52"/>
  <c r="L144" i="52"/>
  <c r="K144" i="52"/>
  <c r="J144" i="52"/>
  <c r="I144" i="52"/>
  <c r="H144" i="52"/>
  <c r="G144" i="52"/>
  <c r="AD130" i="52"/>
  <c r="AC130" i="52"/>
  <c r="AB130" i="52"/>
  <c r="AA130" i="52"/>
  <c r="Z130" i="52"/>
  <c r="Y130" i="52"/>
  <c r="X130" i="52"/>
  <c r="W130" i="52"/>
  <c r="V130" i="52"/>
  <c r="U130" i="52"/>
  <c r="T130" i="52"/>
  <c r="S130" i="52"/>
  <c r="R130" i="52"/>
  <c r="Q130" i="52"/>
  <c r="P130" i="52"/>
  <c r="AY129" i="52"/>
  <c r="AX129" i="52"/>
  <c r="AW129" i="52"/>
  <c r="AV129" i="52"/>
  <c r="AU129" i="52"/>
  <c r="AT129" i="52"/>
  <c r="AS129" i="52"/>
  <c r="AR129" i="52"/>
  <c r="AQ129" i="52"/>
  <c r="AP129" i="52"/>
  <c r="AO129" i="52"/>
  <c r="AN129" i="52"/>
  <c r="AM129" i="52"/>
  <c r="AL129" i="52"/>
  <c r="AK129" i="52"/>
  <c r="AY128" i="52"/>
  <c r="AX128" i="52"/>
  <c r="AW128" i="52"/>
  <c r="AV128" i="52"/>
  <c r="AU128" i="52"/>
  <c r="AT128" i="52"/>
  <c r="AS128" i="52"/>
  <c r="AR128" i="52"/>
  <c r="AQ128" i="52"/>
  <c r="AP128" i="52"/>
  <c r="AO128" i="52"/>
  <c r="AN128" i="52"/>
  <c r="AM128" i="52"/>
  <c r="AL128" i="52"/>
  <c r="AK128" i="52"/>
  <c r="AY127" i="52"/>
  <c r="AX127" i="52"/>
  <c r="AW127" i="52"/>
  <c r="AV127" i="52"/>
  <c r="AU127" i="52"/>
  <c r="AT127" i="52"/>
  <c r="AS127" i="52"/>
  <c r="AR127" i="52"/>
  <c r="AQ127" i="52"/>
  <c r="AP127" i="52"/>
  <c r="AO127" i="52"/>
  <c r="AN127" i="52"/>
  <c r="AM127" i="52"/>
  <c r="AL127" i="52"/>
  <c r="AK127" i="52"/>
  <c r="AY126" i="52"/>
  <c r="AX126" i="52"/>
  <c r="AW126" i="52"/>
  <c r="AV126" i="52"/>
  <c r="AU126" i="52"/>
  <c r="AT126" i="52"/>
  <c r="AS126" i="52"/>
  <c r="AR126" i="52"/>
  <c r="AQ126" i="52"/>
  <c r="AP126" i="52"/>
  <c r="AO126" i="52"/>
  <c r="AN126" i="52"/>
  <c r="AM126" i="52"/>
  <c r="AL126" i="52"/>
  <c r="AK126" i="52"/>
  <c r="AY125" i="52"/>
  <c r="AX125" i="52"/>
  <c r="AW125" i="52"/>
  <c r="AV125" i="52"/>
  <c r="AU125" i="52"/>
  <c r="AT125" i="52"/>
  <c r="AS125" i="52"/>
  <c r="AR125" i="52"/>
  <c r="AQ125" i="52"/>
  <c r="AP125" i="52"/>
  <c r="AO125" i="52"/>
  <c r="AN125" i="52"/>
  <c r="AM125" i="52"/>
  <c r="AL125" i="52"/>
  <c r="AK125" i="52"/>
  <c r="AY124" i="52"/>
  <c r="AX124" i="52"/>
  <c r="AW124" i="52"/>
  <c r="AV124" i="52"/>
  <c r="AU124" i="52"/>
  <c r="AT124" i="52"/>
  <c r="AS124" i="52"/>
  <c r="AR124" i="52"/>
  <c r="AQ124" i="52"/>
  <c r="AP124" i="52"/>
  <c r="AO124" i="52"/>
  <c r="AN124" i="52"/>
  <c r="AM124" i="52"/>
  <c r="AL124" i="52"/>
  <c r="AK124" i="52"/>
  <c r="AY123" i="52"/>
  <c r="AX123" i="52"/>
  <c r="AW123" i="52"/>
  <c r="AV123" i="52"/>
  <c r="AU123" i="52"/>
  <c r="AT123" i="52"/>
  <c r="AS123" i="52"/>
  <c r="AR123" i="52"/>
  <c r="AQ123" i="52"/>
  <c r="AP123" i="52"/>
  <c r="AP130" i="52" s="1"/>
  <c r="AO123" i="52"/>
  <c r="AN123" i="52"/>
  <c r="AM123" i="52"/>
  <c r="AL123" i="52"/>
  <c r="AK123" i="52"/>
  <c r="AZ130" i="52"/>
  <c r="B154" i="52" s="1"/>
  <c r="AY122" i="52"/>
  <c r="AY130" i="52" s="1"/>
  <c r="AX122" i="52"/>
  <c r="AW122" i="52"/>
  <c r="AW130" i="52" s="1"/>
  <c r="AV122" i="52"/>
  <c r="AV130" i="52" s="1"/>
  <c r="AU122" i="52"/>
  <c r="AT122" i="52"/>
  <c r="AT130" i="52" s="1"/>
  <c r="AS122" i="52"/>
  <c r="AS130" i="52" s="1"/>
  <c r="AR122" i="52"/>
  <c r="AQ122" i="52"/>
  <c r="AQ130" i="52" s="1"/>
  <c r="AP122" i="52"/>
  <c r="AO122" i="52"/>
  <c r="AN122" i="52"/>
  <c r="AN130" i="52" s="1"/>
  <c r="AM122" i="52"/>
  <c r="AM130" i="52" s="1"/>
  <c r="AL122" i="52"/>
  <c r="AK122" i="52"/>
  <c r="AK130" i="52" s="1"/>
  <c r="AD103" i="52"/>
  <c r="AC103" i="52"/>
  <c r="AB103" i="52"/>
  <c r="AA103" i="52"/>
  <c r="Z103" i="52"/>
  <c r="Y103" i="52"/>
  <c r="X103" i="52"/>
  <c r="W103" i="52"/>
  <c r="V103" i="52"/>
  <c r="U103" i="52"/>
  <c r="T103" i="52"/>
  <c r="S103" i="52"/>
  <c r="AV102" i="52"/>
  <c r="AU102" i="52"/>
  <c r="AT102" i="52"/>
  <c r="AS102" i="52"/>
  <c r="AR102" i="52"/>
  <c r="AQ102" i="52"/>
  <c r="AP102" i="52"/>
  <c r="AO102" i="52"/>
  <c r="AN102" i="52"/>
  <c r="AM102" i="52"/>
  <c r="AL102" i="52"/>
  <c r="AK102" i="52"/>
  <c r="AV101" i="52"/>
  <c r="AU101" i="52"/>
  <c r="AT101" i="52"/>
  <c r="AS101" i="52"/>
  <c r="AR101" i="52"/>
  <c r="AQ101" i="52"/>
  <c r="AP101" i="52"/>
  <c r="AO101" i="52"/>
  <c r="AN101" i="52"/>
  <c r="AM101" i="52"/>
  <c r="AL101" i="52"/>
  <c r="AK101" i="52"/>
  <c r="AV100" i="52"/>
  <c r="AU100" i="52"/>
  <c r="AT100" i="52"/>
  <c r="AS100" i="52"/>
  <c r="AR100" i="52"/>
  <c r="AQ100" i="52"/>
  <c r="AP100" i="52"/>
  <c r="AO100" i="52"/>
  <c r="AN100" i="52"/>
  <c r="AM100" i="52"/>
  <c r="AL100" i="52"/>
  <c r="AK100" i="52"/>
  <c r="AV99" i="52"/>
  <c r="AU99" i="52"/>
  <c r="AT99" i="52"/>
  <c r="AS99" i="52"/>
  <c r="AR99" i="52"/>
  <c r="AQ99" i="52"/>
  <c r="AP99" i="52"/>
  <c r="AO99" i="52"/>
  <c r="AN99" i="52"/>
  <c r="AM99" i="52"/>
  <c r="AL99" i="52"/>
  <c r="AK99" i="52"/>
  <c r="AV98" i="52"/>
  <c r="AU98" i="52"/>
  <c r="AT98" i="52"/>
  <c r="AS98" i="52"/>
  <c r="AR98" i="52"/>
  <c r="AQ98" i="52"/>
  <c r="AP98" i="52"/>
  <c r="AO98" i="52"/>
  <c r="AN98" i="52"/>
  <c r="AM98" i="52"/>
  <c r="AL98" i="52"/>
  <c r="AK98" i="52"/>
  <c r="AV97" i="52"/>
  <c r="AU97" i="52"/>
  <c r="AT97" i="52"/>
  <c r="AS97" i="52"/>
  <c r="AR97" i="52"/>
  <c r="AQ97" i="52"/>
  <c r="AP97" i="52"/>
  <c r="AO97" i="52"/>
  <c r="AN97" i="52"/>
  <c r="AM97" i="52"/>
  <c r="AL97" i="52"/>
  <c r="AK97" i="52"/>
  <c r="AV96" i="52"/>
  <c r="AU96" i="52"/>
  <c r="AT96" i="52"/>
  <c r="AS96" i="52"/>
  <c r="AR96" i="52"/>
  <c r="AQ96" i="52"/>
  <c r="AP96" i="52"/>
  <c r="AO96" i="52"/>
  <c r="AN96" i="52"/>
  <c r="AM96" i="52"/>
  <c r="AL96" i="52"/>
  <c r="AK96" i="52"/>
  <c r="AW95" i="52"/>
  <c r="AW103" i="52" s="1"/>
  <c r="AV95" i="52"/>
  <c r="AV103" i="52" s="1"/>
  <c r="AU95" i="52"/>
  <c r="AT95" i="52"/>
  <c r="AT103" i="52" s="1"/>
  <c r="AS95" i="52"/>
  <c r="AS103" i="52" s="1"/>
  <c r="AR95" i="52"/>
  <c r="AQ95" i="52"/>
  <c r="AQ103" i="52" s="1"/>
  <c r="AP95" i="52"/>
  <c r="AP103" i="52" s="1"/>
  <c r="AO95" i="52"/>
  <c r="AN95" i="52"/>
  <c r="AN103" i="52" s="1"/>
  <c r="AM95" i="52"/>
  <c r="AM103" i="52" s="1"/>
  <c r="AL95" i="52"/>
  <c r="AK95" i="52"/>
  <c r="AK103" i="52" s="1"/>
  <c r="AN104" i="52" s="1"/>
  <c r="AH95" i="52"/>
  <c r="AD77" i="52"/>
  <c r="AC77" i="52"/>
  <c r="AB77" i="52"/>
  <c r="AA77" i="52"/>
  <c r="Z77" i="52"/>
  <c r="Y77" i="52"/>
  <c r="X77" i="52"/>
  <c r="W77" i="52"/>
  <c r="V77" i="52"/>
  <c r="U77" i="52"/>
  <c r="T77" i="52"/>
  <c r="S77" i="52"/>
  <c r="R77" i="52"/>
  <c r="Q77" i="52"/>
  <c r="P77" i="52"/>
  <c r="AP77" i="52"/>
  <c r="AY76" i="52"/>
  <c r="AX76" i="52"/>
  <c r="AW76" i="52"/>
  <c r="AV76" i="52"/>
  <c r="AU76" i="52"/>
  <c r="AT76" i="52"/>
  <c r="AS76" i="52"/>
  <c r="AR76" i="52"/>
  <c r="AQ76" i="52"/>
  <c r="AP76" i="52"/>
  <c r="AO76" i="52"/>
  <c r="AN76" i="52"/>
  <c r="AM76" i="52"/>
  <c r="AL76" i="52"/>
  <c r="AK76" i="52"/>
  <c r="AY75" i="52"/>
  <c r="AX75" i="52"/>
  <c r="AW75" i="52"/>
  <c r="AV75" i="52"/>
  <c r="AU75" i="52"/>
  <c r="AT75" i="52"/>
  <c r="AS75" i="52"/>
  <c r="AR75" i="52"/>
  <c r="AQ75" i="52"/>
  <c r="AP75" i="52"/>
  <c r="AO75" i="52"/>
  <c r="AN75" i="52"/>
  <c r="AM75" i="52"/>
  <c r="AL75" i="52"/>
  <c r="AK75" i="52"/>
  <c r="AY74" i="52"/>
  <c r="AX74" i="52"/>
  <c r="AW74" i="52"/>
  <c r="AV74" i="52"/>
  <c r="AU74" i="52"/>
  <c r="AT74" i="52"/>
  <c r="AS74" i="52"/>
  <c r="AR74" i="52"/>
  <c r="AQ74" i="52"/>
  <c r="AP74" i="52"/>
  <c r="AO74" i="52"/>
  <c r="AN74" i="52"/>
  <c r="AM74" i="52"/>
  <c r="AL74" i="52"/>
  <c r="AK74" i="52"/>
  <c r="AY73" i="52"/>
  <c r="AX73" i="52"/>
  <c r="AW73" i="52"/>
  <c r="AV73" i="52"/>
  <c r="AU73" i="52"/>
  <c r="AT73" i="52"/>
  <c r="AS73" i="52"/>
  <c r="AR73" i="52"/>
  <c r="AQ73" i="52"/>
  <c r="AP73" i="52"/>
  <c r="AO73" i="52"/>
  <c r="AN73" i="52"/>
  <c r="AM73" i="52"/>
  <c r="AL73" i="52"/>
  <c r="AK73" i="52"/>
  <c r="AY72" i="52"/>
  <c r="AX72" i="52"/>
  <c r="AW72" i="52"/>
  <c r="AV72" i="52"/>
  <c r="AU72" i="52"/>
  <c r="AT72" i="52"/>
  <c r="AS72" i="52"/>
  <c r="AR72" i="52"/>
  <c r="AQ72" i="52"/>
  <c r="AP72" i="52"/>
  <c r="AO72" i="52"/>
  <c r="AN72" i="52"/>
  <c r="AM72" i="52"/>
  <c r="AL72" i="52"/>
  <c r="AK72" i="52"/>
  <c r="AY71" i="52"/>
  <c r="AX71" i="52"/>
  <c r="AW71" i="52"/>
  <c r="AV71" i="52"/>
  <c r="AU71" i="52"/>
  <c r="AT71" i="52"/>
  <c r="AS71" i="52"/>
  <c r="AR71" i="52"/>
  <c r="AQ71" i="52"/>
  <c r="AQ77" i="52" s="1"/>
  <c r="AP71" i="52"/>
  <c r="AO71" i="52"/>
  <c r="AN71" i="52"/>
  <c r="AM71" i="52"/>
  <c r="AL71" i="52"/>
  <c r="AK71" i="52"/>
  <c r="AY70" i="52"/>
  <c r="AX70" i="52"/>
  <c r="AW70" i="52"/>
  <c r="AV70" i="52"/>
  <c r="AU70" i="52"/>
  <c r="AT70" i="52"/>
  <c r="AS70" i="52"/>
  <c r="AR70" i="52"/>
  <c r="AQ70" i="52"/>
  <c r="AP70" i="52"/>
  <c r="AO70" i="52"/>
  <c r="AN70" i="52"/>
  <c r="AM70" i="52"/>
  <c r="AL70" i="52"/>
  <c r="AK70" i="52"/>
  <c r="AY69" i="52"/>
  <c r="AY77" i="52" s="1"/>
  <c r="AX69" i="52"/>
  <c r="AW69" i="52"/>
  <c r="AW77" i="52" s="1"/>
  <c r="AV69" i="52"/>
  <c r="AV77" i="52" s="1"/>
  <c r="AU69" i="52"/>
  <c r="AT69" i="52"/>
  <c r="AT77" i="52" s="1"/>
  <c r="AS69" i="52"/>
  <c r="AS77" i="52" s="1"/>
  <c r="AR69" i="52"/>
  <c r="AQ69" i="52"/>
  <c r="AP69" i="52"/>
  <c r="AO69" i="52"/>
  <c r="AN69" i="52"/>
  <c r="AN77" i="52" s="1"/>
  <c r="AM69" i="52"/>
  <c r="AM77" i="52" s="1"/>
  <c r="AL69" i="52"/>
  <c r="AK69" i="52"/>
  <c r="AK77" i="52" s="1"/>
  <c r="Y51" i="52"/>
  <c r="S51" i="52"/>
  <c r="M51" i="52"/>
  <c r="AK50" i="52"/>
  <c r="AJ50" i="52"/>
  <c r="AI50" i="52"/>
  <c r="AK49" i="52"/>
  <c r="AJ49" i="52"/>
  <c r="AI49" i="52"/>
  <c r="AK48" i="52"/>
  <c r="AJ48" i="52"/>
  <c r="AI48" i="52"/>
  <c r="AK47" i="52"/>
  <c r="AJ47" i="52"/>
  <c r="AI47" i="52"/>
  <c r="AK46" i="52"/>
  <c r="AJ46" i="52"/>
  <c r="AI46" i="52"/>
  <c r="AK45" i="52"/>
  <c r="AJ45" i="52"/>
  <c r="AI45" i="52"/>
  <c r="AK44" i="52"/>
  <c r="AJ44" i="52"/>
  <c r="AI44" i="52"/>
  <c r="AK43" i="52"/>
  <c r="AK51" i="52" s="1"/>
  <c r="AJ43" i="52"/>
  <c r="AI43" i="52"/>
  <c r="AI51" i="52" s="1"/>
  <c r="AB192" i="50"/>
  <c r="Y192" i="50"/>
  <c r="V192" i="50"/>
  <c r="S192" i="50"/>
  <c r="P192" i="50"/>
  <c r="AJ191" i="50"/>
  <c r="AF191" i="50"/>
  <c r="AJ190" i="50"/>
  <c r="AF190" i="50"/>
  <c r="AJ189" i="50"/>
  <c r="AF189" i="50"/>
  <c r="AJ188" i="50"/>
  <c r="AF188" i="50"/>
  <c r="AJ187" i="50"/>
  <c r="AF187" i="50"/>
  <c r="AJ186" i="50"/>
  <c r="AF186" i="50"/>
  <c r="AJ185" i="50"/>
  <c r="AF185" i="50"/>
  <c r="AJ184" i="50"/>
  <c r="AJ192" i="50" s="1"/>
  <c r="AF184" i="50"/>
  <c r="Y160" i="50"/>
  <c r="S160" i="50"/>
  <c r="M160" i="50"/>
  <c r="AK159" i="50"/>
  <c r="AJ159" i="50"/>
  <c r="AI159" i="50"/>
  <c r="AK158" i="50"/>
  <c r="AJ158" i="50"/>
  <c r="AI158" i="50"/>
  <c r="AK157" i="50"/>
  <c r="AJ157" i="50"/>
  <c r="AI157" i="50"/>
  <c r="AK156" i="50"/>
  <c r="AJ156" i="50"/>
  <c r="AI156" i="50"/>
  <c r="AK155" i="50"/>
  <c r="AJ155" i="50"/>
  <c r="AI155" i="50"/>
  <c r="AK154" i="50"/>
  <c r="AJ154" i="50"/>
  <c r="AI154" i="50"/>
  <c r="AK153" i="50"/>
  <c r="AJ153" i="50"/>
  <c r="AI153" i="50"/>
  <c r="AK152" i="50"/>
  <c r="AK160" i="50" s="1"/>
  <c r="AJ152" i="50"/>
  <c r="AI152" i="50"/>
  <c r="AI160" i="50" s="1"/>
  <c r="AD137" i="50"/>
  <c r="AC137" i="50"/>
  <c r="AB137" i="50"/>
  <c r="AA137" i="50"/>
  <c r="Z137" i="50"/>
  <c r="Y137" i="50"/>
  <c r="X137" i="50"/>
  <c r="W137" i="50"/>
  <c r="V137" i="50"/>
  <c r="U137" i="50"/>
  <c r="T137" i="50"/>
  <c r="S137" i="50"/>
  <c r="AS137" i="50"/>
  <c r="AV136" i="50"/>
  <c r="AU136" i="50"/>
  <c r="AT136" i="50"/>
  <c r="AS136" i="50"/>
  <c r="AR136" i="50"/>
  <c r="AQ136" i="50"/>
  <c r="AP136" i="50"/>
  <c r="AO136" i="50"/>
  <c r="AN136" i="50"/>
  <c r="AM136" i="50"/>
  <c r="AL136" i="50"/>
  <c r="AK136" i="50"/>
  <c r="AV135" i="50"/>
  <c r="AU135" i="50"/>
  <c r="AT135" i="50"/>
  <c r="AS135" i="50"/>
  <c r="AR135" i="50"/>
  <c r="AQ135" i="50"/>
  <c r="AP135" i="50"/>
  <c r="AO135" i="50"/>
  <c r="AN135" i="50"/>
  <c r="AM135" i="50"/>
  <c r="AL135" i="50"/>
  <c r="AK135" i="50"/>
  <c r="AV134" i="50"/>
  <c r="AU134" i="50"/>
  <c r="AT134" i="50"/>
  <c r="AS134" i="50"/>
  <c r="AR134" i="50"/>
  <c r="AQ134" i="50"/>
  <c r="AP134" i="50"/>
  <c r="AO134" i="50"/>
  <c r="AN134" i="50"/>
  <c r="AM134" i="50"/>
  <c r="AL134" i="50"/>
  <c r="AK134" i="50"/>
  <c r="AV133" i="50"/>
  <c r="AU133" i="50"/>
  <c r="AT133" i="50"/>
  <c r="AS133" i="50"/>
  <c r="AR133" i="50"/>
  <c r="AQ133" i="50"/>
  <c r="AP133" i="50"/>
  <c r="AO133" i="50"/>
  <c r="AN133" i="50"/>
  <c r="AM133" i="50"/>
  <c r="AL133" i="50"/>
  <c r="AK133" i="50"/>
  <c r="AV132" i="50"/>
  <c r="AU132" i="50"/>
  <c r="AT132" i="50"/>
  <c r="AS132" i="50"/>
  <c r="AR132" i="50"/>
  <c r="AQ132" i="50"/>
  <c r="AP132" i="50"/>
  <c r="AO132" i="50"/>
  <c r="AN132" i="50"/>
  <c r="AM132" i="50"/>
  <c r="AL132" i="50"/>
  <c r="AK132" i="50"/>
  <c r="AV131" i="50"/>
  <c r="AU131" i="50"/>
  <c r="AT131" i="50"/>
  <c r="AS131" i="50"/>
  <c r="AR131" i="50"/>
  <c r="AQ131" i="50"/>
  <c r="AP131" i="50"/>
  <c r="AO131" i="50"/>
  <c r="AN131" i="50"/>
  <c r="AM131" i="50"/>
  <c r="AL131" i="50"/>
  <c r="AK131" i="50"/>
  <c r="AV130" i="50"/>
  <c r="AU130" i="50"/>
  <c r="AT130" i="50"/>
  <c r="AS130" i="50"/>
  <c r="AR130" i="50"/>
  <c r="AQ130" i="50"/>
  <c r="AP130" i="50"/>
  <c r="AO130" i="50"/>
  <c r="AN130" i="50"/>
  <c r="AM130" i="50"/>
  <c r="AL130" i="50"/>
  <c r="AK130" i="50"/>
  <c r="AV129" i="50"/>
  <c r="AV137" i="50" s="1"/>
  <c r="AU129" i="50"/>
  <c r="AT129" i="50"/>
  <c r="AT137" i="50" s="1"/>
  <c r="AS129" i="50"/>
  <c r="AR129" i="50"/>
  <c r="AQ129" i="50"/>
  <c r="AQ137" i="50" s="1"/>
  <c r="AP129" i="50"/>
  <c r="AP137" i="50" s="1"/>
  <c r="AO129" i="50"/>
  <c r="AN129" i="50"/>
  <c r="AN137" i="50" s="1"/>
  <c r="AM129" i="50"/>
  <c r="AM137" i="50" s="1"/>
  <c r="AL138" i="50" s="1"/>
  <c r="AL129" i="50"/>
  <c r="AK129" i="50"/>
  <c r="AK137" i="50" s="1"/>
  <c r="AD113" i="50"/>
  <c r="AC113" i="50"/>
  <c r="AB113" i="50"/>
  <c r="AA113" i="50"/>
  <c r="Z113" i="50"/>
  <c r="Y113" i="50"/>
  <c r="X113" i="50"/>
  <c r="W113" i="50"/>
  <c r="V113" i="50"/>
  <c r="U113" i="50"/>
  <c r="T113" i="50"/>
  <c r="S113" i="50"/>
  <c r="AV112" i="50"/>
  <c r="AU112" i="50"/>
  <c r="AT112" i="50"/>
  <c r="AS112" i="50"/>
  <c r="AR112" i="50"/>
  <c r="AQ112" i="50"/>
  <c r="AP112" i="50"/>
  <c r="AO112" i="50"/>
  <c r="AN112" i="50"/>
  <c r="AM112" i="50"/>
  <c r="AL112" i="50"/>
  <c r="AK112" i="50"/>
  <c r="AV111" i="50"/>
  <c r="AU111" i="50"/>
  <c r="AT111" i="50"/>
  <c r="AS111" i="50"/>
  <c r="AR111" i="50"/>
  <c r="AQ111" i="50"/>
  <c r="AP111" i="50"/>
  <c r="AO111" i="50"/>
  <c r="AN111" i="50"/>
  <c r="AM111" i="50"/>
  <c r="AL111" i="50"/>
  <c r="AK111" i="50"/>
  <c r="AV110" i="50"/>
  <c r="AU110" i="50"/>
  <c r="AT110" i="50"/>
  <c r="AS110" i="50"/>
  <c r="AR110" i="50"/>
  <c r="AQ110" i="50"/>
  <c r="AP110" i="50"/>
  <c r="AO110" i="50"/>
  <c r="AN110" i="50"/>
  <c r="AM110" i="50"/>
  <c r="AL110" i="50"/>
  <c r="AK110" i="50"/>
  <c r="AV109" i="50"/>
  <c r="AV113" i="50" s="1"/>
  <c r="AU109" i="50"/>
  <c r="AT109" i="50"/>
  <c r="AS109" i="50"/>
  <c r="AR109" i="50"/>
  <c r="AQ109" i="50"/>
  <c r="AP109" i="50"/>
  <c r="AO109" i="50"/>
  <c r="AN109" i="50"/>
  <c r="AM109" i="50"/>
  <c r="AL109" i="50"/>
  <c r="AK109" i="50"/>
  <c r="AV108" i="50"/>
  <c r="AU108" i="50"/>
  <c r="AT108" i="50"/>
  <c r="AT113" i="50" s="1"/>
  <c r="AS108" i="50"/>
  <c r="AS113" i="50" s="1"/>
  <c r="AR108" i="50"/>
  <c r="AQ108" i="50"/>
  <c r="AP108" i="50"/>
  <c r="AO108" i="50"/>
  <c r="AN108" i="50"/>
  <c r="AM108" i="50"/>
  <c r="AL108" i="50"/>
  <c r="AK108" i="50"/>
  <c r="AV107" i="50"/>
  <c r="AU107" i="50"/>
  <c r="AT107" i="50"/>
  <c r="AS107" i="50"/>
  <c r="AR107" i="50"/>
  <c r="AQ107" i="50"/>
  <c r="AP107" i="50"/>
  <c r="AO107" i="50"/>
  <c r="AN107" i="50"/>
  <c r="AM107" i="50"/>
  <c r="AL107" i="50"/>
  <c r="AK107" i="50"/>
  <c r="AV106" i="50"/>
  <c r="AU106" i="50"/>
  <c r="AT106" i="50"/>
  <c r="AS106" i="50"/>
  <c r="AR106" i="50"/>
  <c r="AQ106" i="50"/>
  <c r="AP106" i="50"/>
  <c r="AO106" i="50"/>
  <c r="AN106" i="50"/>
  <c r="AM106" i="50"/>
  <c r="AL106" i="50"/>
  <c r="AK106" i="50"/>
  <c r="AV105" i="50"/>
  <c r="AU105" i="50"/>
  <c r="AT105" i="50"/>
  <c r="AS105" i="50"/>
  <c r="AR105" i="50"/>
  <c r="AQ105" i="50"/>
  <c r="AQ113" i="50" s="1"/>
  <c r="AP105" i="50"/>
  <c r="AP113" i="50" s="1"/>
  <c r="AO105" i="50"/>
  <c r="AN105" i="50"/>
  <c r="AN113" i="50" s="1"/>
  <c r="AM105" i="50"/>
  <c r="AM113" i="50" s="1"/>
  <c r="AL105" i="50"/>
  <c r="AK105" i="50"/>
  <c r="AK113" i="50" s="1"/>
  <c r="AD89" i="50"/>
  <c r="AC89" i="50"/>
  <c r="AB89" i="50"/>
  <c r="AA89" i="50"/>
  <c r="Z89" i="50"/>
  <c r="Y89" i="50"/>
  <c r="X89" i="50"/>
  <c r="W89" i="50"/>
  <c r="V89" i="50"/>
  <c r="U89" i="50"/>
  <c r="T89" i="50"/>
  <c r="S89" i="50"/>
  <c r="R89" i="50"/>
  <c r="Q89" i="50"/>
  <c r="P89" i="50"/>
  <c r="O89" i="50"/>
  <c r="N89" i="50"/>
  <c r="M89" i="50"/>
  <c r="L89" i="50"/>
  <c r="K89" i="50"/>
  <c r="J89" i="50"/>
  <c r="BE88" i="50"/>
  <c r="BD88" i="50"/>
  <c r="BC88" i="50"/>
  <c r="BB88" i="50"/>
  <c r="BA88" i="50"/>
  <c r="AZ88" i="50"/>
  <c r="AY88" i="50"/>
  <c r="AX88" i="50"/>
  <c r="AW88" i="50"/>
  <c r="AV88" i="50"/>
  <c r="AU88" i="50"/>
  <c r="AT88" i="50"/>
  <c r="AS88" i="50"/>
  <c r="AR88" i="50"/>
  <c r="AQ88" i="50"/>
  <c r="AP88" i="50"/>
  <c r="AO88" i="50"/>
  <c r="AN88" i="50"/>
  <c r="AM88" i="50"/>
  <c r="AL88" i="50"/>
  <c r="AK88" i="50"/>
  <c r="BE87" i="50"/>
  <c r="BD87" i="50"/>
  <c r="BC87" i="50"/>
  <c r="BB87" i="50"/>
  <c r="BA87" i="50"/>
  <c r="AZ87" i="50"/>
  <c r="AY87" i="50"/>
  <c r="AX87" i="50"/>
  <c r="AW87" i="50"/>
  <c r="AV87" i="50"/>
  <c r="AU87" i="50"/>
  <c r="AT87" i="50"/>
  <c r="AS87" i="50"/>
  <c r="AR87" i="50"/>
  <c r="AQ87" i="50"/>
  <c r="AP87" i="50"/>
  <c r="AO87" i="50"/>
  <c r="AN87" i="50"/>
  <c r="AM87" i="50"/>
  <c r="AL87" i="50"/>
  <c r="AK87" i="50"/>
  <c r="BE86" i="50"/>
  <c r="BD86" i="50"/>
  <c r="BC86" i="50"/>
  <c r="BB86" i="50"/>
  <c r="BA86" i="50"/>
  <c r="AZ86" i="50"/>
  <c r="AY86" i="50"/>
  <c r="AX86" i="50"/>
  <c r="AW86" i="50"/>
  <c r="AV86" i="50"/>
  <c r="AU86" i="50"/>
  <c r="AT86" i="50"/>
  <c r="AS86" i="50"/>
  <c r="AR86" i="50"/>
  <c r="AQ86" i="50"/>
  <c r="AP86" i="50"/>
  <c r="AO86" i="50"/>
  <c r="AN86" i="50"/>
  <c r="AM86" i="50"/>
  <c r="AL86" i="50"/>
  <c r="AK86" i="50"/>
  <c r="BE85" i="50"/>
  <c r="BE89" i="50" s="1"/>
  <c r="BD85" i="50"/>
  <c r="BC85" i="50"/>
  <c r="BB85" i="50"/>
  <c r="BA85" i="50"/>
  <c r="AZ85" i="50"/>
  <c r="AY85" i="50"/>
  <c r="AX85" i="50"/>
  <c r="AW85" i="50"/>
  <c r="AV85" i="50"/>
  <c r="AU85" i="50"/>
  <c r="AT85" i="50"/>
  <c r="AS85" i="50"/>
  <c r="AR85" i="50"/>
  <c r="AQ85" i="50"/>
  <c r="AP85" i="50"/>
  <c r="AO85" i="50"/>
  <c r="AN85" i="50"/>
  <c r="AM85" i="50"/>
  <c r="AL85" i="50"/>
  <c r="AK85" i="50"/>
  <c r="BE84" i="50"/>
  <c r="BD84" i="50"/>
  <c r="BC84" i="50"/>
  <c r="BB84" i="50"/>
  <c r="BA84" i="50"/>
  <c r="AZ84" i="50"/>
  <c r="AY84" i="50"/>
  <c r="AX84" i="50"/>
  <c r="AW84" i="50"/>
  <c r="AV84" i="50"/>
  <c r="AU84" i="50"/>
  <c r="AT84" i="50"/>
  <c r="AS84" i="50"/>
  <c r="AR84" i="50"/>
  <c r="AQ84" i="50"/>
  <c r="AP84" i="50"/>
  <c r="AO84" i="50"/>
  <c r="AN84" i="50"/>
  <c r="AM84" i="50"/>
  <c r="AL84" i="50"/>
  <c r="AK84" i="50"/>
  <c r="BE83" i="50"/>
  <c r="BD83" i="50"/>
  <c r="BC83" i="50"/>
  <c r="BB83" i="50"/>
  <c r="BA83" i="50"/>
  <c r="AZ83" i="50"/>
  <c r="AY83" i="50"/>
  <c r="AX83" i="50"/>
  <c r="AW83" i="50"/>
  <c r="AV83" i="50"/>
  <c r="AU83" i="50"/>
  <c r="AT83" i="50"/>
  <c r="AS83" i="50"/>
  <c r="AR83" i="50"/>
  <c r="AQ83" i="50"/>
  <c r="AP83" i="50"/>
  <c r="AO83" i="50"/>
  <c r="AN83" i="50"/>
  <c r="AM83" i="50"/>
  <c r="AL83" i="50"/>
  <c r="AK83" i="50"/>
  <c r="BE82" i="50"/>
  <c r="BD82" i="50"/>
  <c r="BC82" i="50"/>
  <c r="BB82" i="50"/>
  <c r="BA82" i="50"/>
  <c r="AZ82" i="50"/>
  <c r="AY82" i="50"/>
  <c r="AX82" i="50"/>
  <c r="AW82" i="50"/>
  <c r="AV82" i="50"/>
  <c r="AU82" i="50"/>
  <c r="AT82" i="50"/>
  <c r="AS82" i="50"/>
  <c r="AR82" i="50"/>
  <c r="AQ82" i="50"/>
  <c r="AP82" i="50"/>
  <c r="AO82" i="50"/>
  <c r="AN82" i="50"/>
  <c r="AM82" i="50"/>
  <c r="AL82" i="50"/>
  <c r="AK82" i="50"/>
  <c r="BE81" i="50"/>
  <c r="BD81" i="50"/>
  <c r="BC81" i="50"/>
  <c r="BC89" i="50" s="1"/>
  <c r="BB81" i="50"/>
  <c r="BB89" i="50" s="1"/>
  <c r="BA81" i="50"/>
  <c r="AZ81" i="50"/>
  <c r="AZ89" i="50" s="1"/>
  <c r="AY81" i="50"/>
  <c r="AY89" i="50" s="1"/>
  <c r="AX81" i="50"/>
  <c r="AW81" i="50"/>
  <c r="AW89" i="50" s="1"/>
  <c r="AV81" i="50"/>
  <c r="AV89" i="50" s="1"/>
  <c r="AU81" i="50"/>
  <c r="AT81" i="50"/>
  <c r="AT89" i="50" s="1"/>
  <c r="AS81" i="50"/>
  <c r="AS89" i="50" s="1"/>
  <c r="AR81" i="50"/>
  <c r="AQ81" i="50"/>
  <c r="AQ89" i="50" s="1"/>
  <c r="AP81" i="50"/>
  <c r="AP89" i="50" s="1"/>
  <c r="AO81" i="50"/>
  <c r="AN81" i="50"/>
  <c r="AN89" i="50" s="1"/>
  <c r="AM81" i="50"/>
  <c r="AM89" i="50" s="1"/>
  <c r="AL90" i="50" s="1"/>
  <c r="AL81" i="50"/>
  <c r="AK81" i="50"/>
  <c r="AK89" i="50" s="1"/>
  <c r="Y63" i="50"/>
  <c r="AA36" i="50"/>
  <c r="W36" i="50"/>
  <c r="S36" i="50"/>
  <c r="O36" i="50"/>
  <c r="AK35" i="50"/>
  <c r="AJ35" i="50"/>
  <c r="AI35" i="50"/>
  <c r="AK34" i="50"/>
  <c r="AJ34" i="50"/>
  <c r="AI34" i="50"/>
  <c r="AK33" i="50"/>
  <c r="AJ33" i="50"/>
  <c r="AI33" i="50"/>
  <c r="AK32" i="50"/>
  <c r="AJ32" i="50"/>
  <c r="AI32" i="50"/>
  <c r="AK31" i="50"/>
  <c r="AJ31" i="50"/>
  <c r="AI31" i="50"/>
  <c r="AK30" i="50"/>
  <c r="AJ30" i="50"/>
  <c r="AI30" i="50"/>
  <c r="AK29" i="50"/>
  <c r="AJ29" i="50"/>
  <c r="AI29" i="50"/>
  <c r="AK28" i="50"/>
  <c r="AK36" i="50" s="1"/>
  <c r="AJ28" i="50"/>
  <c r="AI28" i="50"/>
  <c r="AI36" i="50" s="1"/>
  <c r="B1007" i="48"/>
  <c r="B1006" i="48"/>
  <c r="B1005" i="48"/>
  <c r="B1004" i="48"/>
  <c r="B1003" i="48"/>
  <c r="B1002" i="48"/>
  <c r="B999" i="48"/>
  <c r="AT960" i="48" a="1"/>
  <c r="AT960" i="48" s="1"/>
  <c r="AU960" i="48" a="1"/>
  <c r="AU960" i="48" s="1"/>
  <c r="AV960" i="48" a="1"/>
  <c r="AV960" i="48" s="1"/>
  <c r="AT961" i="48" a="1"/>
  <c r="AT961" i="48"/>
  <c r="AU961" i="48" a="1"/>
  <c r="AU961" i="48" s="1"/>
  <c r="AV961" i="48" a="1"/>
  <c r="AV961" i="48" s="1"/>
  <c r="AT962" i="48" a="1"/>
  <c r="AT962" i="48" s="1"/>
  <c r="AU962" i="48" a="1"/>
  <c r="AU962" i="48"/>
  <c r="AV962" i="48" a="1"/>
  <c r="AV962" i="48" s="1"/>
  <c r="AT963" i="48" a="1"/>
  <c r="AT963" i="48" s="1"/>
  <c r="AU963" i="48" a="1"/>
  <c r="AU963" i="48" s="1"/>
  <c r="AV963" i="48" a="1"/>
  <c r="AV963" i="48"/>
  <c r="AT964" i="48" a="1"/>
  <c r="AT964" i="48" s="1"/>
  <c r="AU964" i="48" a="1"/>
  <c r="AU964" i="48" s="1"/>
  <c r="AV964" i="48" a="1"/>
  <c r="AV964" i="48" s="1"/>
  <c r="AT965" i="48" a="1"/>
  <c r="AT965" i="48"/>
  <c r="AU965" i="48" a="1"/>
  <c r="AU965" i="48" s="1"/>
  <c r="AV965" i="48" a="1"/>
  <c r="AV965" i="48" s="1"/>
  <c r="AT966" i="48" a="1"/>
  <c r="AT966" i="48" s="1"/>
  <c r="AU966" i="48" a="1"/>
  <c r="AU966" i="48"/>
  <c r="AV966" i="48" a="1"/>
  <c r="AV966" i="48" s="1"/>
  <c r="AT967" i="48" a="1"/>
  <c r="AT967" i="48" s="1"/>
  <c r="AU967" i="48" a="1"/>
  <c r="AU967" i="48" s="1"/>
  <c r="AV967" i="48" a="1"/>
  <c r="AV967" i="48"/>
  <c r="AT968" i="48" a="1"/>
  <c r="AT968" i="48" s="1"/>
  <c r="AU968" i="48" a="1"/>
  <c r="AU968" i="48" s="1"/>
  <c r="AV968" i="48" a="1"/>
  <c r="AV968" i="48" s="1"/>
  <c r="AT969" i="48" a="1"/>
  <c r="AT969" i="48"/>
  <c r="AU969" i="48" a="1"/>
  <c r="AU969" i="48" s="1"/>
  <c r="AV969" i="48" a="1"/>
  <c r="AV969" i="48" s="1"/>
  <c r="AT970" i="48" a="1"/>
  <c r="AT970" i="48" s="1"/>
  <c r="AU970" i="48" a="1"/>
  <c r="AU970" i="48"/>
  <c r="AV970" i="48" a="1"/>
  <c r="AV970" i="48" s="1"/>
  <c r="AT971" i="48" a="1"/>
  <c r="AT971" i="48" s="1"/>
  <c r="AU971" i="48" a="1"/>
  <c r="AU971" i="48" s="1"/>
  <c r="AV971" i="48" a="1"/>
  <c r="AV971" i="48"/>
  <c r="AT972" i="48" a="1"/>
  <c r="AT972" i="48" s="1"/>
  <c r="AU972" i="48" a="1"/>
  <c r="AU972" i="48" s="1"/>
  <c r="AV972" i="48" a="1"/>
  <c r="AV972" i="48" s="1"/>
  <c r="AT973" i="48" a="1"/>
  <c r="AT973" i="48"/>
  <c r="AU973" i="48" a="1"/>
  <c r="AU973" i="48" s="1"/>
  <c r="AV973" i="48" a="1"/>
  <c r="AV973" i="48" s="1"/>
  <c r="AT974" i="48" a="1"/>
  <c r="AT974" i="48" s="1"/>
  <c r="AU974" i="48" a="1"/>
  <c r="AU974" i="48"/>
  <c r="AV974" i="48" a="1"/>
  <c r="AV974" i="48" s="1"/>
  <c r="AT975" i="48" a="1"/>
  <c r="AT975" i="48" s="1"/>
  <c r="AU975" i="48" a="1"/>
  <c r="AU975" i="48" s="1"/>
  <c r="AV975" i="48" a="1"/>
  <c r="AV975" i="48"/>
  <c r="AT976" i="48" a="1"/>
  <c r="AT976" i="48" s="1"/>
  <c r="AU976" i="48" a="1"/>
  <c r="AU976" i="48" s="1"/>
  <c r="AV976" i="48" a="1"/>
  <c r="AV976" i="48" s="1"/>
  <c r="AT977" i="48" a="1"/>
  <c r="AT977" i="48"/>
  <c r="AU977" i="48" a="1"/>
  <c r="AU977" i="48" s="1"/>
  <c r="AV977" i="48" a="1"/>
  <c r="AV977" i="48" s="1"/>
  <c r="AT978" i="48" a="1"/>
  <c r="AT978" i="48" s="1"/>
  <c r="AU978" i="48" a="1"/>
  <c r="AU978" i="48"/>
  <c r="AV978" i="48" a="1"/>
  <c r="AV978" i="48" s="1"/>
  <c r="AT979" i="48" a="1"/>
  <c r="AT979" i="48" s="1"/>
  <c r="AU979" i="48" a="1"/>
  <c r="AU979" i="48" s="1"/>
  <c r="AV979" i="48" a="1"/>
  <c r="AV979" i="48"/>
  <c r="AT980" i="48" a="1"/>
  <c r="AT980" i="48" s="1"/>
  <c r="AU980" i="48" a="1"/>
  <c r="AU980" i="48" s="1"/>
  <c r="AV980" i="48" a="1"/>
  <c r="AV980" i="48" s="1"/>
  <c r="AT981" i="48" a="1"/>
  <c r="AT981" i="48"/>
  <c r="AU981" i="48" a="1"/>
  <c r="AU981" i="48" s="1"/>
  <c r="AV981" i="48" a="1"/>
  <c r="AV981" i="48" s="1"/>
  <c r="AT982" i="48" a="1"/>
  <c r="AT982" i="48" s="1"/>
  <c r="AU982" i="48" a="1"/>
  <c r="AU982" i="48"/>
  <c r="AV982" i="48" a="1"/>
  <c r="AV982" i="48" s="1"/>
  <c r="AT983" i="48" a="1"/>
  <c r="AT983" i="48" s="1"/>
  <c r="AU983" i="48" a="1"/>
  <c r="AU983" i="48" s="1"/>
  <c r="AV983" i="48" a="1"/>
  <c r="AV983" i="48"/>
  <c r="AT984" i="48" a="1"/>
  <c r="AT984" i="48" s="1"/>
  <c r="AU984" i="48" a="1"/>
  <c r="AU984" i="48" s="1"/>
  <c r="AV984" i="48" a="1"/>
  <c r="AV984" i="48" s="1"/>
  <c r="AT985" i="48" a="1"/>
  <c r="AT985" i="48"/>
  <c r="AU985" i="48" a="1"/>
  <c r="AU985" i="48" s="1"/>
  <c r="AV985" i="48" a="1"/>
  <c r="AV985" i="48" s="1"/>
  <c r="AT986" i="48" a="1"/>
  <c r="AT986" i="48" s="1"/>
  <c r="AU986" i="48" a="1"/>
  <c r="AU986" i="48"/>
  <c r="AV986" i="48" a="1"/>
  <c r="AV986" i="48" s="1"/>
  <c r="AT987" i="48" a="1"/>
  <c r="AT987" i="48" s="1"/>
  <c r="AU987" i="48" a="1"/>
  <c r="AU987" i="48" s="1"/>
  <c r="AV987" i="48" a="1"/>
  <c r="AV987" i="48"/>
  <c r="AT988" i="48" a="1"/>
  <c r="AT988" i="48" s="1"/>
  <c r="AU988" i="48" a="1"/>
  <c r="AU988" i="48" s="1"/>
  <c r="AV988" i="48" a="1"/>
  <c r="AV988" i="48" s="1"/>
  <c r="AT989" i="48" a="1"/>
  <c r="AT989" i="48"/>
  <c r="AU989" i="48" a="1"/>
  <c r="AU989" i="48" s="1"/>
  <c r="AV989" i="48" a="1"/>
  <c r="AV989" i="48" s="1"/>
  <c r="AT990" i="48" a="1"/>
  <c r="AT990" i="48" s="1"/>
  <c r="AU990" i="48" a="1"/>
  <c r="AU990" i="48"/>
  <c r="AV990" i="48" a="1"/>
  <c r="AV990" i="48" s="1"/>
  <c r="AT991" i="48" a="1"/>
  <c r="AT991" i="48" s="1"/>
  <c r="AU991" i="48" a="1"/>
  <c r="AU991" i="48" s="1"/>
  <c r="AV991" i="48" a="1"/>
  <c r="AV991" i="48"/>
  <c r="AT992" i="48" a="1"/>
  <c r="AT992" i="48" s="1"/>
  <c r="AU992" i="48" a="1"/>
  <c r="AU992" i="48" s="1"/>
  <c r="AV992" i="48" a="1"/>
  <c r="AV992" i="48" s="1"/>
  <c r="AT993" i="48" a="1"/>
  <c r="AT993" i="48"/>
  <c r="AU993" i="48" a="1"/>
  <c r="AU993" i="48" s="1"/>
  <c r="AV993" i="48" a="1"/>
  <c r="AV993" i="48" s="1"/>
  <c r="AT994" i="48" a="1"/>
  <c r="AT994" i="48" s="1"/>
  <c r="AU994" i="48" a="1"/>
  <c r="AU994" i="48"/>
  <c r="AV994" i="48" a="1"/>
  <c r="AV994" i="48" s="1"/>
  <c r="AT995" i="48" a="1"/>
  <c r="AT995" i="48" s="1"/>
  <c r="AU995" i="48" a="1"/>
  <c r="AU995" i="48" s="1"/>
  <c r="AV995" i="48" a="1"/>
  <c r="AV995" i="48"/>
  <c r="AT996" i="48" a="1"/>
  <c r="AT996" i="48" s="1"/>
  <c r="AU996" i="48" a="1"/>
  <c r="AU996" i="48" s="1"/>
  <c r="AV996" i="48" a="1"/>
  <c r="AV996" i="48" s="1"/>
  <c r="AT997" i="48" a="1"/>
  <c r="AT997" i="48"/>
  <c r="AU997" i="48" a="1"/>
  <c r="AU997" i="48" s="1"/>
  <c r="AV997" i="48" a="1"/>
  <c r="AV997" i="48" s="1"/>
  <c r="AT998" i="48" a="1"/>
  <c r="AT998" i="48" s="1"/>
  <c r="AU998" i="48" a="1"/>
  <c r="AU998" i="48"/>
  <c r="AV998" i="48" a="1"/>
  <c r="AV998" i="48" s="1"/>
  <c r="AT959" i="48" a="1"/>
  <c r="AT959" i="48" s="1"/>
  <c r="AV959" i="48" a="1"/>
  <c r="AV959" i="48" s="1"/>
  <c r="AU959" i="48" a="1"/>
  <c r="AU959" i="48" s="1"/>
  <c r="AH960" i="48"/>
  <c r="AH961" i="48"/>
  <c r="AH962" i="48"/>
  <c r="AH963" i="48"/>
  <c r="AH964" i="48"/>
  <c r="AH965" i="48"/>
  <c r="AH966" i="48"/>
  <c r="AH967" i="48"/>
  <c r="AH968" i="48"/>
  <c r="AH969" i="48"/>
  <c r="AH970" i="48"/>
  <c r="AH971" i="48"/>
  <c r="AH972" i="48"/>
  <c r="AH973" i="48"/>
  <c r="AH974" i="48"/>
  <c r="AH975" i="48"/>
  <c r="AH976" i="48"/>
  <c r="AH977" i="48"/>
  <c r="AH978" i="48"/>
  <c r="AH979" i="48"/>
  <c r="AH980" i="48"/>
  <c r="AH981" i="48"/>
  <c r="AH982" i="48"/>
  <c r="AH983" i="48"/>
  <c r="AH984" i="48"/>
  <c r="AH985" i="48"/>
  <c r="AH986" i="48"/>
  <c r="AH987" i="48"/>
  <c r="AH988" i="48"/>
  <c r="AH989" i="48"/>
  <c r="AH990" i="48"/>
  <c r="AH991" i="48"/>
  <c r="AH992" i="48"/>
  <c r="AH993" i="48"/>
  <c r="AH994" i="48"/>
  <c r="AH995" i="48"/>
  <c r="AH996" i="48"/>
  <c r="AH997" i="48"/>
  <c r="AH998" i="48"/>
  <c r="AG998" i="48"/>
  <c r="AG960" i="48"/>
  <c r="AG961" i="48"/>
  <c r="AG962" i="48"/>
  <c r="AG963" i="48"/>
  <c r="AG964" i="48"/>
  <c r="AG965" i="48"/>
  <c r="AG966" i="48"/>
  <c r="AG967" i="48"/>
  <c r="AG968" i="48"/>
  <c r="AG969" i="48"/>
  <c r="AG970" i="48"/>
  <c r="AG971" i="48"/>
  <c r="AG972" i="48"/>
  <c r="AG973" i="48"/>
  <c r="AG974" i="48"/>
  <c r="AG975" i="48"/>
  <c r="AG976" i="48"/>
  <c r="AG977" i="48"/>
  <c r="AG978" i="48"/>
  <c r="AG979" i="48"/>
  <c r="AG980" i="48"/>
  <c r="AG981" i="48"/>
  <c r="AG982" i="48"/>
  <c r="AG983" i="48"/>
  <c r="AG984" i="48"/>
  <c r="AG985" i="48"/>
  <c r="AG986" i="48"/>
  <c r="AG987" i="48"/>
  <c r="AG988" i="48"/>
  <c r="AG989" i="48"/>
  <c r="AG990" i="48"/>
  <c r="AG991" i="48"/>
  <c r="AG992" i="48"/>
  <c r="AG993" i="48"/>
  <c r="AG994" i="48"/>
  <c r="AG995" i="48"/>
  <c r="AG996" i="48"/>
  <c r="AG997" i="48"/>
  <c r="AG959" i="48"/>
  <c r="AF988" i="48"/>
  <c r="AF981" i="48"/>
  <c r="AF975" i="48"/>
  <c r="AF963" i="48"/>
  <c r="AF959" i="48"/>
  <c r="AY998" i="48" a="1"/>
  <c r="AY998" i="48" s="1"/>
  <c r="AX998" i="48" a="1"/>
  <c r="AX998" i="48" s="1"/>
  <c r="AW998" i="48" a="1"/>
  <c r="AW998" i="48" s="1"/>
  <c r="AK998" i="48"/>
  <c r="AJ998" i="48"/>
  <c r="AI998" i="48"/>
  <c r="AY997" i="48"/>
  <c r="AY997" i="48" a="1"/>
  <c r="AX997" i="48" a="1"/>
  <c r="AX997" i="48" s="1"/>
  <c r="AW997" i="48" a="1"/>
  <c r="AW997" i="48" s="1"/>
  <c r="AK997" i="48"/>
  <c r="AJ997" i="48"/>
  <c r="AI997" i="48"/>
  <c r="AY996" i="48" a="1"/>
  <c r="AY996" i="48" s="1"/>
  <c r="AX996" i="48"/>
  <c r="AX996" i="48" a="1"/>
  <c r="AW996" i="48" a="1"/>
  <c r="AW996" i="48" s="1"/>
  <c r="AK996" i="48"/>
  <c r="AJ996" i="48"/>
  <c r="AI996" i="48"/>
  <c r="AY995" i="48" a="1"/>
  <c r="AY995" i="48" s="1"/>
  <c r="AX995" i="48" a="1"/>
  <c r="AX995" i="48" s="1"/>
  <c r="AW995" i="48"/>
  <c r="AW995" i="48" a="1"/>
  <c r="AK995" i="48"/>
  <c r="AJ995" i="48"/>
  <c r="AI995" i="48"/>
  <c r="AY994" i="48" a="1"/>
  <c r="AY994" i="48" s="1"/>
  <c r="AX994" i="48" a="1"/>
  <c r="AX994" i="48" s="1"/>
  <c r="AW994" i="48" a="1"/>
  <c r="AW994" i="48" s="1"/>
  <c r="AK994" i="48"/>
  <c r="AJ994" i="48"/>
  <c r="AI994" i="48"/>
  <c r="AY993" i="48" a="1"/>
  <c r="AY993" i="48" s="1"/>
  <c r="AX993" i="48"/>
  <c r="AX993" i="48" a="1"/>
  <c r="AW993" i="48" a="1"/>
  <c r="AW993" i="48" s="1"/>
  <c r="AK993" i="48"/>
  <c r="AJ993" i="48"/>
  <c r="AI993" i="48"/>
  <c r="AY992" i="48" a="1"/>
  <c r="AY992" i="48" s="1"/>
  <c r="AX992" i="48" a="1"/>
  <c r="AX992" i="48" s="1"/>
  <c r="AW992" i="48" a="1"/>
  <c r="AW992" i="48" s="1"/>
  <c r="AK992" i="48"/>
  <c r="AJ992" i="48"/>
  <c r="AI992" i="48"/>
  <c r="AY991" i="48"/>
  <c r="AY991" i="48" a="1"/>
  <c r="AX991" i="48" a="1"/>
  <c r="AX991" i="48" s="1"/>
  <c r="AW991" i="48"/>
  <c r="AW991" i="48" a="1"/>
  <c r="AK991" i="48"/>
  <c r="AJ991" i="48"/>
  <c r="AI991" i="48"/>
  <c r="AY990" i="48" a="1"/>
  <c r="AY990" i="48" s="1"/>
  <c r="AX990" i="48" a="1"/>
  <c r="AX990" i="48" s="1"/>
  <c r="AW990" i="48" a="1"/>
  <c r="AW990" i="48" s="1"/>
  <c r="AK990" i="48"/>
  <c r="AJ990" i="48"/>
  <c r="AI990" i="48"/>
  <c r="AY989" i="48" a="1"/>
  <c r="AY989" i="48" s="1"/>
  <c r="AX989" i="48"/>
  <c r="AX989" i="48" a="1"/>
  <c r="AW989" i="48" a="1"/>
  <c r="AW989" i="48" s="1"/>
  <c r="AK989" i="48"/>
  <c r="AJ989" i="48"/>
  <c r="AI989" i="48"/>
  <c r="AY988" i="48"/>
  <c r="AY988" i="48" a="1"/>
  <c r="AX988" i="48" a="1"/>
  <c r="AX988" i="48" s="1"/>
  <c r="AW988" i="48" a="1"/>
  <c r="AW988" i="48" s="1"/>
  <c r="AK988" i="48"/>
  <c r="AJ988" i="48"/>
  <c r="AI988" i="48"/>
  <c r="AY987" i="48" a="1"/>
  <c r="AY987" i="48" s="1"/>
  <c r="AX987" i="48" a="1"/>
  <c r="AX987" i="48" s="1"/>
  <c r="AW987" i="48"/>
  <c r="AW987" i="48" a="1"/>
  <c r="AK987" i="48"/>
  <c r="AJ987" i="48"/>
  <c r="AI987" i="48"/>
  <c r="AY986" i="48" a="1"/>
  <c r="AY986" i="48" s="1"/>
  <c r="AX986" i="48"/>
  <c r="AX986" i="48" a="1"/>
  <c r="AW986" i="48" a="1"/>
  <c r="AW986" i="48" s="1"/>
  <c r="AK986" i="48"/>
  <c r="AJ986" i="48"/>
  <c r="AI986" i="48"/>
  <c r="AY985" i="48" a="1"/>
  <c r="AY985" i="48" s="1"/>
  <c r="AX985" i="48"/>
  <c r="AX985" i="48" a="1"/>
  <c r="AW985" i="48"/>
  <c r="AW985" i="48" a="1"/>
  <c r="AK985" i="48"/>
  <c r="AJ985" i="48"/>
  <c r="AI985" i="48"/>
  <c r="AY984" i="48"/>
  <c r="AY984" i="48" a="1"/>
  <c r="AX984" i="48" a="1"/>
  <c r="AX984" i="48" s="1"/>
  <c r="AW984" i="48"/>
  <c r="AW984" i="48" a="1"/>
  <c r="AK984" i="48"/>
  <c r="AJ984" i="48"/>
  <c r="AI984" i="48"/>
  <c r="AY983" i="48"/>
  <c r="AY983" i="48" a="1"/>
  <c r="AX983" i="48"/>
  <c r="AX983" i="48" a="1"/>
  <c r="AW983" i="48" a="1"/>
  <c r="AW983" i="48" s="1"/>
  <c r="AK983" i="48"/>
  <c r="AJ983" i="48"/>
  <c r="AI983" i="48"/>
  <c r="AY982" i="48" a="1"/>
  <c r="AY982" i="48" s="1"/>
  <c r="AX982" i="48"/>
  <c r="AX982" i="48" a="1"/>
  <c r="AW982" i="48" a="1"/>
  <c r="AW982" i="48" s="1"/>
  <c r="AK982" i="48"/>
  <c r="AJ982" i="48"/>
  <c r="AI982" i="48"/>
  <c r="AY981" i="48"/>
  <c r="AY981" i="48" a="1"/>
  <c r="AX981" i="48" a="1"/>
  <c r="AX981" i="48" s="1"/>
  <c r="AW981" i="48" a="1"/>
  <c r="AW981" i="48" s="1"/>
  <c r="AK981" i="48"/>
  <c r="AJ981" i="48"/>
  <c r="AI981" i="48"/>
  <c r="AY980" i="48" a="1"/>
  <c r="AY980" i="48" s="1"/>
  <c r="AX980" i="48" a="1"/>
  <c r="AX980" i="48" s="1"/>
  <c r="AW980" i="48" a="1"/>
  <c r="AW980" i="48" s="1"/>
  <c r="AK980" i="48"/>
  <c r="AJ980" i="48"/>
  <c r="AI980" i="48"/>
  <c r="AY979" i="48" a="1"/>
  <c r="AY979" i="48" s="1"/>
  <c r="AX979" i="48"/>
  <c r="AX979" i="48" a="1"/>
  <c r="AW979" i="48" a="1"/>
  <c r="AW979" i="48" s="1"/>
  <c r="AK979" i="48"/>
  <c r="AJ979" i="48"/>
  <c r="AI979" i="48"/>
  <c r="AY978" i="48" a="1"/>
  <c r="AY978" i="48" s="1"/>
  <c r="AX978" i="48"/>
  <c r="AX978" i="48" a="1"/>
  <c r="AW978" i="48"/>
  <c r="AW978" i="48" a="1"/>
  <c r="AK978" i="48"/>
  <c r="AJ978" i="48"/>
  <c r="AI978" i="48"/>
  <c r="AY977" i="48"/>
  <c r="AY977" i="48" a="1"/>
  <c r="AX977" i="48" a="1"/>
  <c r="AX977" i="48" s="1"/>
  <c r="AW977" i="48"/>
  <c r="AW977" i="48" a="1"/>
  <c r="AK977" i="48"/>
  <c r="AJ977" i="48"/>
  <c r="AI977" i="48"/>
  <c r="AY976" i="48"/>
  <c r="AY976" i="48" a="1"/>
  <c r="AX976" i="48"/>
  <c r="AX976" i="48" a="1"/>
  <c r="AW976" i="48" a="1"/>
  <c r="AW976" i="48" s="1"/>
  <c r="AK976" i="48"/>
  <c r="AJ976" i="48"/>
  <c r="AI976" i="48"/>
  <c r="AY975" i="48" a="1"/>
  <c r="AY975" i="48" s="1"/>
  <c r="AX975" i="48"/>
  <c r="AX975" i="48" a="1"/>
  <c r="AW975" i="48" a="1"/>
  <c r="AW975" i="48" s="1"/>
  <c r="AK975" i="48"/>
  <c r="AJ975" i="48"/>
  <c r="AI975" i="48"/>
  <c r="AY974" i="48"/>
  <c r="AY974" i="48" a="1"/>
  <c r="AX974" i="48" a="1"/>
  <c r="AX974" i="48" s="1"/>
  <c r="AW974" i="48"/>
  <c r="AW974" i="48" a="1"/>
  <c r="AK974" i="48"/>
  <c r="AJ974" i="48"/>
  <c r="AI974" i="48"/>
  <c r="AY973" i="48" a="1"/>
  <c r="AY973" i="48" s="1"/>
  <c r="AX973" i="48" a="1"/>
  <c r="AX973" i="48" s="1"/>
  <c r="AW973" i="48" a="1"/>
  <c r="AW973" i="48" s="1"/>
  <c r="AK973" i="48"/>
  <c r="AJ973" i="48"/>
  <c r="AI973" i="48"/>
  <c r="AY972" i="48" a="1"/>
  <c r="AY972" i="48" s="1"/>
  <c r="AX972" i="48"/>
  <c r="AX972" i="48" a="1"/>
  <c r="AW972" i="48" a="1"/>
  <c r="AW972" i="48" s="1"/>
  <c r="AK972" i="48"/>
  <c r="AJ972" i="48"/>
  <c r="AI972" i="48"/>
  <c r="AY971" i="48" a="1"/>
  <c r="AY971" i="48" s="1"/>
  <c r="AX971" i="48"/>
  <c r="AX971" i="48" a="1"/>
  <c r="AW971" i="48"/>
  <c r="AW971" i="48" a="1"/>
  <c r="AK971" i="48"/>
  <c r="AJ971" i="48"/>
  <c r="AI971" i="48"/>
  <c r="AY970" i="48"/>
  <c r="AY970" i="48" a="1"/>
  <c r="AX970" i="48" a="1"/>
  <c r="AX970" i="48" s="1"/>
  <c r="AW970" i="48"/>
  <c r="AW970" i="48" a="1"/>
  <c r="AK970" i="48"/>
  <c r="AJ970" i="48"/>
  <c r="AI970" i="48"/>
  <c r="AY969" i="48"/>
  <c r="AY969" i="48" a="1"/>
  <c r="AX969" i="48"/>
  <c r="AX969" i="48" a="1"/>
  <c r="AW969" i="48" a="1"/>
  <c r="AW969" i="48" s="1"/>
  <c r="AK969" i="48"/>
  <c r="AJ969" i="48"/>
  <c r="AI969" i="48"/>
  <c r="AY968" i="48" a="1"/>
  <c r="AY968" i="48" s="1"/>
  <c r="AX968" i="48"/>
  <c r="AX968" i="48" a="1"/>
  <c r="AW968" i="48" a="1"/>
  <c r="AW968" i="48" s="1"/>
  <c r="AK968" i="48"/>
  <c r="AJ968" i="48"/>
  <c r="AI968" i="48"/>
  <c r="AY967" i="48"/>
  <c r="AY967" i="48" a="1"/>
  <c r="AX967" i="48" a="1"/>
  <c r="AX967" i="48" s="1"/>
  <c r="AW967" i="48" a="1"/>
  <c r="AW967" i="48" s="1"/>
  <c r="AK967" i="48"/>
  <c r="AJ967" i="48"/>
  <c r="AI967" i="48"/>
  <c r="AY966" i="48"/>
  <c r="AY966" i="48" a="1"/>
  <c r="AX966" i="48" a="1"/>
  <c r="AX966" i="48" s="1"/>
  <c r="AW966" i="48"/>
  <c r="AW966" i="48" a="1"/>
  <c r="AK966" i="48"/>
  <c r="AJ966" i="48"/>
  <c r="AI966" i="48"/>
  <c r="AY965" i="48" a="1"/>
  <c r="AY965" i="48" s="1"/>
  <c r="AX965" i="48" a="1"/>
  <c r="AX965" i="48" s="1"/>
  <c r="AW965" i="48" a="1"/>
  <c r="AW965" i="48" s="1"/>
  <c r="AK965" i="48"/>
  <c r="AJ965" i="48"/>
  <c r="AI965" i="48"/>
  <c r="AY964" i="48" a="1"/>
  <c r="AY964" i="48" s="1"/>
  <c r="AX964" i="48"/>
  <c r="AX964" i="48" a="1"/>
  <c r="AW964" i="48" a="1"/>
  <c r="AW964" i="48" s="1"/>
  <c r="AK964" i="48"/>
  <c r="AJ964" i="48"/>
  <c r="AI964" i="48"/>
  <c r="AY963" i="48"/>
  <c r="AY963" i="48" a="1"/>
  <c r="AX963" i="48" a="1"/>
  <c r="AX963" i="48" s="1"/>
  <c r="AW963" i="48"/>
  <c r="AW963" i="48" a="1"/>
  <c r="AK963" i="48"/>
  <c r="AJ963" i="48"/>
  <c r="AI963" i="48"/>
  <c r="AY962" i="48"/>
  <c r="AY962" i="48" a="1"/>
  <c r="AX962" i="48"/>
  <c r="AX962" i="48" a="1"/>
  <c r="AW962" i="48" a="1"/>
  <c r="AW962" i="48" s="1"/>
  <c r="AK962" i="48"/>
  <c r="AJ962" i="48"/>
  <c r="AI962" i="48"/>
  <c r="AY961" i="48" a="1"/>
  <c r="AY961" i="48" s="1"/>
  <c r="AX961" i="48" a="1"/>
  <c r="AX961" i="48" s="1"/>
  <c r="AW961" i="48" a="1"/>
  <c r="AW961" i="48" s="1"/>
  <c r="AN961" i="48"/>
  <c r="AM961" i="48"/>
  <c r="AL961" i="48"/>
  <c r="AK961" i="48"/>
  <c r="AJ961" i="48"/>
  <c r="AI961" i="48"/>
  <c r="AY960" i="48" a="1"/>
  <c r="AY960" i="48" s="1"/>
  <c r="AX960" i="48"/>
  <c r="AX960" i="48" a="1"/>
  <c r="AW960" i="48" a="1"/>
  <c r="AW960" i="48" s="1"/>
  <c r="AR960" i="48"/>
  <c r="AQ960" i="48"/>
  <c r="AP960" i="48"/>
  <c r="AS960" i="48" s="1"/>
  <c r="AN960" i="48"/>
  <c r="AM960" i="48"/>
  <c r="AL960" i="48"/>
  <c r="AK960" i="48"/>
  <c r="AJ960" i="48"/>
  <c r="AI960" i="48"/>
  <c r="AY959" i="48" a="1"/>
  <c r="AY959" i="48" s="1"/>
  <c r="AX959" i="48"/>
  <c r="AX959" i="48" a="1"/>
  <c r="AW959" i="48" a="1"/>
  <c r="AW959" i="48" s="1"/>
  <c r="AY999" i="48" s="1"/>
  <c r="AR959" i="48"/>
  <c r="AQ959" i="48"/>
  <c r="AP959" i="48"/>
  <c r="AN959" i="48"/>
  <c r="AN962" i="48" s="1"/>
  <c r="AN963" i="48" s="1"/>
  <c r="AN964" i="48" s="1"/>
  <c r="AM959" i="48"/>
  <c r="AL959" i="48"/>
  <c r="AK959" i="48"/>
  <c r="AJ959" i="48"/>
  <c r="AI959" i="48"/>
  <c r="AH959" i="48"/>
  <c r="AR958" i="48"/>
  <c r="AQ958" i="48"/>
  <c r="AP958" i="48"/>
  <c r="B949" i="48"/>
  <c r="B948" i="48"/>
  <c r="B947" i="48"/>
  <c r="B946" i="48"/>
  <c r="B945" i="48"/>
  <c r="AH908" i="48"/>
  <c r="AH909" i="48"/>
  <c r="AH904" i="48"/>
  <c r="AH905" i="48"/>
  <c r="AG908" i="48"/>
  <c r="AG909" i="48"/>
  <c r="AG904" i="48"/>
  <c r="AG905" i="48"/>
  <c r="AD941" i="48"/>
  <c r="AC941" i="48"/>
  <c r="AB941" i="48"/>
  <c r="AA941" i="48"/>
  <c r="Z941" i="48"/>
  <c r="Y941" i="48"/>
  <c r="X941" i="48"/>
  <c r="W941" i="48"/>
  <c r="AD940" i="48"/>
  <c r="AC940" i="48"/>
  <c r="AB940" i="48"/>
  <c r="AA940" i="48"/>
  <c r="Z940" i="48"/>
  <c r="Y940" i="48"/>
  <c r="X940" i="48"/>
  <c r="W940" i="48"/>
  <c r="AD939" i="48"/>
  <c r="AC939" i="48"/>
  <c r="AB939" i="48"/>
  <c r="AA939" i="48"/>
  <c r="Z939" i="48"/>
  <c r="Y939" i="48"/>
  <c r="X939" i="48"/>
  <c r="W939" i="48"/>
  <c r="AD938" i="48"/>
  <c r="AC938" i="48"/>
  <c r="AB938" i="48"/>
  <c r="AA938" i="48"/>
  <c r="Z938" i="48"/>
  <c r="Y938" i="48"/>
  <c r="X938" i="48"/>
  <c r="W938" i="48"/>
  <c r="AD937" i="48"/>
  <c r="AC937" i="48"/>
  <c r="AB937" i="48"/>
  <c r="AA937" i="48"/>
  <c r="Z937" i="48"/>
  <c r="Y937" i="48"/>
  <c r="X937" i="48"/>
  <c r="W937" i="48"/>
  <c r="AD936" i="48"/>
  <c r="AC936" i="48"/>
  <c r="AB936" i="48"/>
  <c r="AA936" i="48"/>
  <c r="Z936" i="48"/>
  <c r="Y936" i="48"/>
  <c r="X936" i="48"/>
  <c r="W936" i="48"/>
  <c r="AD935" i="48"/>
  <c r="AC935" i="48"/>
  <c r="AB935" i="48"/>
  <c r="AA935" i="48"/>
  <c r="Z935" i="48"/>
  <c r="Y935" i="48"/>
  <c r="X935" i="48"/>
  <c r="W935" i="48"/>
  <c r="AD934" i="48"/>
  <c r="AC934" i="48"/>
  <c r="AB934" i="48"/>
  <c r="AA934" i="48"/>
  <c r="Z934" i="48"/>
  <c r="Y934" i="48"/>
  <c r="X934" i="48"/>
  <c r="W934" i="48"/>
  <c r="AD933" i="48"/>
  <c r="AC933" i="48"/>
  <c r="AB933" i="48"/>
  <c r="AA933" i="48"/>
  <c r="Z933" i="48"/>
  <c r="Y933" i="48"/>
  <c r="X933" i="48"/>
  <c r="W933" i="48"/>
  <c r="W932" i="48"/>
  <c r="AD932" i="48"/>
  <c r="AC932" i="48"/>
  <c r="AB932" i="48"/>
  <c r="AA932" i="48"/>
  <c r="Z932" i="48"/>
  <c r="Y932" i="48"/>
  <c r="X932" i="48"/>
  <c r="AD931" i="48"/>
  <c r="AC931" i="48"/>
  <c r="AB931" i="48"/>
  <c r="AA931" i="48"/>
  <c r="Z931" i="48"/>
  <c r="Y931" i="48"/>
  <c r="X931" i="48"/>
  <c r="W931" i="48"/>
  <c r="AD930" i="48"/>
  <c r="AC930" i="48"/>
  <c r="AB930" i="48"/>
  <c r="AA930" i="48"/>
  <c r="Z930" i="48"/>
  <c r="Y930" i="48"/>
  <c r="X930" i="48"/>
  <c r="W930" i="48"/>
  <c r="AD929" i="48"/>
  <c r="AC929" i="48"/>
  <c r="AB929" i="48"/>
  <c r="W910" i="48"/>
  <c r="W911" i="48"/>
  <c r="W912" i="48"/>
  <c r="W913" i="48"/>
  <c r="W914" i="48"/>
  <c r="W915" i="48"/>
  <c r="W916" i="48"/>
  <c r="W917" i="48"/>
  <c r="W918" i="48"/>
  <c r="W919" i="48"/>
  <c r="W920" i="48"/>
  <c r="W921" i="48"/>
  <c r="W922" i="48"/>
  <c r="W923" i="48"/>
  <c r="W924" i="48"/>
  <c r="W925" i="48"/>
  <c r="W926" i="48"/>
  <c r="W927" i="48"/>
  <c r="W928" i="48"/>
  <c r="W929" i="48"/>
  <c r="X910" i="48"/>
  <c r="Y910" i="48"/>
  <c r="Z910" i="48"/>
  <c r="AA910" i="48"/>
  <c r="AB910" i="48"/>
  <c r="AC910" i="48"/>
  <c r="AD910" i="48"/>
  <c r="X911" i="48"/>
  <c r="Y911" i="48"/>
  <c r="Z911" i="48"/>
  <c r="AA911" i="48"/>
  <c r="AB911" i="48"/>
  <c r="AC911" i="48"/>
  <c r="AD911" i="48"/>
  <c r="X912" i="48"/>
  <c r="Y912" i="48"/>
  <c r="Z912" i="48"/>
  <c r="AA912" i="48"/>
  <c r="AB912" i="48"/>
  <c r="AC912" i="48"/>
  <c r="AD912" i="48"/>
  <c r="X913" i="48"/>
  <c r="Y913" i="48"/>
  <c r="Z913" i="48"/>
  <c r="AA913" i="48"/>
  <c r="AB913" i="48"/>
  <c r="AC913" i="48"/>
  <c r="AD913" i="48"/>
  <c r="X914" i="48"/>
  <c r="Y914" i="48"/>
  <c r="Z914" i="48"/>
  <c r="AA914" i="48"/>
  <c r="AB914" i="48"/>
  <c r="AC914" i="48"/>
  <c r="AD914" i="48"/>
  <c r="X915" i="48"/>
  <c r="Y915" i="48"/>
  <c r="Z915" i="48"/>
  <c r="AA915" i="48"/>
  <c r="AB915" i="48"/>
  <c r="AC915" i="48"/>
  <c r="AD915" i="48"/>
  <c r="X916" i="48"/>
  <c r="Y916" i="48"/>
  <c r="Z916" i="48"/>
  <c r="AA916" i="48"/>
  <c r="AB916" i="48"/>
  <c r="AC916" i="48"/>
  <c r="AD916" i="48"/>
  <c r="X917" i="48"/>
  <c r="Y917" i="48"/>
  <c r="Z917" i="48"/>
  <c r="AA917" i="48"/>
  <c r="AB917" i="48"/>
  <c r="AC917" i="48"/>
  <c r="AD917" i="48"/>
  <c r="X918" i="48"/>
  <c r="Y918" i="48"/>
  <c r="Z918" i="48"/>
  <c r="AA918" i="48"/>
  <c r="AB918" i="48"/>
  <c r="AC918" i="48"/>
  <c r="AD918" i="48"/>
  <c r="X919" i="48"/>
  <c r="Y919" i="48"/>
  <c r="Z919" i="48"/>
  <c r="AA919" i="48"/>
  <c r="AB919" i="48"/>
  <c r="AC919" i="48"/>
  <c r="AD919" i="48"/>
  <c r="X920" i="48"/>
  <c r="Y920" i="48"/>
  <c r="Z920" i="48"/>
  <c r="AA920" i="48"/>
  <c r="AB920" i="48"/>
  <c r="AC920" i="48"/>
  <c r="AD920" i="48"/>
  <c r="X921" i="48"/>
  <c r="Y921" i="48"/>
  <c r="Z921" i="48"/>
  <c r="AA921" i="48"/>
  <c r="AB921" i="48"/>
  <c r="AC921" i="48"/>
  <c r="AD921" i="48"/>
  <c r="X922" i="48"/>
  <c r="Y922" i="48"/>
  <c r="Z922" i="48"/>
  <c r="AA922" i="48"/>
  <c r="AB922" i="48"/>
  <c r="AC922" i="48"/>
  <c r="AD922" i="48"/>
  <c r="X923" i="48"/>
  <c r="Y923" i="48"/>
  <c r="Z923" i="48"/>
  <c r="AA923" i="48"/>
  <c r="AB923" i="48"/>
  <c r="AC923" i="48"/>
  <c r="AD923" i="48"/>
  <c r="X924" i="48"/>
  <c r="Y924" i="48"/>
  <c r="Z924" i="48"/>
  <c r="AA924" i="48"/>
  <c r="AB924" i="48"/>
  <c r="AC924" i="48"/>
  <c r="AD924" i="48"/>
  <c r="X925" i="48"/>
  <c r="Y925" i="48"/>
  <c r="Z925" i="48"/>
  <c r="AA925" i="48"/>
  <c r="AB925" i="48"/>
  <c r="AC925" i="48"/>
  <c r="AD925" i="48"/>
  <c r="X926" i="48"/>
  <c r="Y926" i="48"/>
  <c r="Z926" i="48"/>
  <c r="AA926" i="48"/>
  <c r="AB926" i="48"/>
  <c r="AC926" i="48"/>
  <c r="AD926" i="48"/>
  <c r="X927" i="48"/>
  <c r="Y927" i="48"/>
  <c r="Z927" i="48"/>
  <c r="AA927" i="48"/>
  <c r="AB927" i="48"/>
  <c r="AC927" i="48"/>
  <c r="AD927" i="48"/>
  <c r="X928" i="48"/>
  <c r="Y928" i="48"/>
  <c r="Z928" i="48"/>
  <c r="AA928" i="48"/>
  <c r="AB928" i="48"/>
  <c r="AC928" i="48"/>
  <c r="AD928" i="48"/>
  <c r="X929" i="48"/>
  <c r="Y929" i="48"/>
  <c r="Z929" i="48"/>
  <c r="AA929" i="48"/>
  <c r="AG907" i="48"/>
  <c r="AD906" i="48"/>
  <c r="BF903" i="48" s="1"/>
  <c r="AC906" i="48"/>
  <c r="BE903" i="48" s="1"/>
  <c r="AB906" i="48"/>
  <c r="AA906" i="48"/>
  <c r="BC903" i="48" s="1"/>
  <c r="Z906" i="48"/>
  <c r="BB903" i="48" s="1"/>
  <c r="Y906" i="48"/>
  <c r="BA903" i="48" s="1"/>
  <c r="X906" i="48"/>
  <c r="AZ903" i="48" s="1"/>
  <c r="W906" i="48"/>
  <c r="AY903" i="48" s="1"/>
  <c r="AG903" i="48"/>
  <c r="AD902" i="48"/>
  <c r="AV910" i="48" s="1"/>
  <c r="AC902" i="48"/>
  <c r="AV909" i="48" s="1"/>
  <c r="AB902" i="48"/>
  <c r="AV908" i="48" s="1"/>
  <c r="AA902" i="48"/>
  <c r="AV907" i="48" s="1"/>
  <c r="Z902" i="48"/>
  <c r="AV906" i="48" s="1"/>
  <c r="Y902" i="48"/>
  <c r="X902" i="48"/>
  <c r="AV904" i="48" s="1"/>
  <c r="W902" i="48"/>
  <c r="AF906" i="48"/>
  <c r="AF902" i="48"/>
  <c r="AU910" i="48"/>
  <c r="AT910" i="48"/>
  <c r="AU909" i="48"/>
  <c r="AT909" i="48"/>
  <c r="AS909" i="48"/>
  <c r="AR909" i="48"/>
  <c r="AQ909" i="48"/>
  <c r="AP909" i="48"/>
  <c r="AO909" i="48"/>
  <c r="AN909" i="48"/>
  <c r="AM909" i="48"/>
  <c r="AL909" i="48"/>
  <c r="AK909" i="48"/>
  <c r="AU908" i="48"/>
  <c r="AT908" i="48"/>
  <c r="AS908" i="48"/>
  <c r="AR908" i="48"/>
  <c r="AQ908" i="48"/>
  <c r="AP908" i="48"/>
  <c r="AO908" i="48"/>
  <c r="AN908" i="48"/>
  <c r="AM908" i="48"/>
  <c r="AL908" i="48"/>
  <c r="AK908" i="48"/>
  <c r="AU907" i="48"/>
  <c r="AT907" i="48"/>
  <c r="AS907" i="48"/>
  <c r="AS910" i="48" s="1"/>
  <c r="AR907" i="48"/>
  <c r="AQ907" i="48"/>
  <c r="AP907" i="48"/>
  <c r="AP910" i="48" s="1"/>
  <c r="AO907" i="48"/>
  <c r="AN907" i="48"/>
  <c r="AM907" i="48"/>
  <c r="AL907" i="48"/>
  <c r="AK907" i="48"/>
  <c r="AH907" i="48"/>
  <c r="AU906" i="48"/>
  <c r="AT906" i="48"/>
  <c r="AV905" i="48"/>
  <c r="AU905" i="48"/>
  <c r="AT905" i="48"/>
  <c r="AS905" i="48"/>
  <c r="AR905" i="48"/>
  <c r="AQ905" i="48"/>
  <c r="AP905" i="48"/>
  <c r="AO905" i="48"/>
  <c r="AN905" i="48"/>
  <c r="AM905" i="48"/>
  <c r="AL905" i="48"/>
  <c r="AK905" i="48"/>
  <c r="AU904" i="48"/>
  <c r="AT904" i="48"/>
  <c r="AS904" i="48"/>
  <c r="AR904" i="48"/>
  <c r="AQ904" i="48"/>
  <c r="AP904" i="48"/>
  <c r="AO904" i="48"/>
  <c r="AN904" i="48"/>
  <c r="AM904" i="48"/>
  <c r="AL904" i="48"/>
  <c r="AK904" i="48"/>
  <c r="BD903" i="48"/>
  <c r="AV903" i="48"/>
  <c r="AU903" i="48"/>
  <c r="AT903" i="48"/>
  <c r="AS903" i="48"/>
  <c r="AS906" i="48" s="1"/>
  <c r="AR903" i="48"/>
  <c r="AQ903" i="48"/>
  <c r="AP903" i="48"/>
  <c r="AP906" i="48" s="1"/>
  <c r="AO903" i="48"/>
  <c r="AN903" i="48"/>
  <c r="AM903" i="48"/>
  <c r="AL903" i="48"/>
  <c r="AK903" i="48"/>
  <c r="AH903" i="48"/>
  <c r="BF902" i="48"/>
  <c r="BE902" i="48"/>
  <c r="BD902" i="48"/>
  <c r="BC902" i="48"/>
  <c r="BB902" i="48"/>
  <c r="BA902" i="48"/>
  <c r="AZ902" i="48"/>
  <c r="AY902" i="48"/>
  <c r="AX902" i="48"/>
  <c r="AU902" i="48"/>
  <c r="AT902" i="48"/>
  <c r="AT911" i="48" s="1"/>
  <c r="BF901" i="48"/>
  <c r="BE901" i="48"/>
  <c r="BD901" i="48"/>
  <c r="BC901" i="48"/>
  <c r="BB901" i="48"/>
  <c r="BA901" i="48"/>
  <c r="AZ901" i="48"/>
  <c r="AY901" i="48"/>
  <c r="AX901" i="48"/>
  <c r="V941" i="48"/>
  <c r="V940" i="48"/>
  <c r="V939" i="48"/>
  <c r="V938" i="48"/>
  <c r="V937" i="48"/>
  <c r="V936" i="48"/>
  <c r="V935" i="48"/>
  <c r="V934" i="48"/>
  <c r="V933" i="48"/>
  <c r="V932" i="48"/>
  <c r="V931" i="48"/>
  <c r="V930" i="48"/>
  <c r="V929" i="48"/>
  <c r="V928" i="48"/>
  <c r="V927" i="48"/>
  <c r="V926" i="48"/>
  <c r="V925" i="48"/>
  <c r="V924" i="48"/>
  <c r="V923" i="48"/>
  <c r="V922" i="48"/>
  <c r="V921" i="48"/>
  <c r="V920" i="48"/>
  <c r="V919" i="48"/>
  <c r="V918" i="48"/>
  <c r="V917" i="48"/>
  <c r="V916" i="48"/>
  <c r="V915" i="48"/>
  <c r="V914" i="48"/>
  <c r="V913" i="48"/>
  <c r="V912" i="48"/>
  <c r="V911" i="48"/>
  <c r="V910" i="48"/>
  <c r="V906" i="48"/>
  <c r="V902" i="48"/>
  <c r="B892" i="48"/>
  <c r="B891" i="48"/>
  <c r="B890" i="48"/>
  <c r="B889" i="48"/>
  <c r="B888" i="48"/>
  <c r="B887" i="48"/>
  <c r="B884" i="48"/>
  <c r="AH719" i="48"/>
  <c r="AH720" i="48"/>
  <c r="AH721" i="48"/>
  <c r="AH722" i="48"/>
  <c r="AH723" i="48"/>
  <c r="AH724" i="48"/>
  <c r="AH725" i="48"/>
  <c r="AH726" i="48"/>
  <c r="AH727" i="48"/>
  <c r="AH728" i="48"/>
  <c r="AH729" i="48"/>
  <c r="AH730" i="48"/>
  <c r="AH731" i="48"/>
  <c r="AH732" i="48"/>
  <c r="AH733" i="48"/>
  <c r="AH734" i="48"/>
  <c r="AH735" i="48"/>
  <c r="AH736" i="48"/>
  <c r="AH737" i="48"/>
  <c r="AH738" i="48"/>
  <c r="AH739" i="48"/>
  <c r="AH740" i="48"/>
  <c r="AH741" i="48"/>
  <c r="AH742" i="48"/>
  <c r="AH743" i="48"/>
  <c r="AH744" i="48"/>
  <c r="AH745" i="48"/>
  <c r="AH746" i="48"/>
  <c r="AH747" i="48"/>
  <c r="AH748" i="48"/>
  <c r="AH749" i="48"/>
  <c r="AH750" i="48"/>
  <c r="AH751" i="48"/>
  <c r="AH752" i="48"/>
  <c r="AH753" i="48"/>
  <c r="AH754" i="48"/>
  <c r="AH755" i="48"/>
  <c r="AH756" i="48"/>
  <c r="AH757" i="48"/>
  <c r="AH758" i="48"/>
  <c r="AH759" i="48"/>
  <c r="AH760" i="48"/>
  <c r="AH761" i="48"/>
  <c r="AH762" i="48"/>
  <c r="AH763" i="48"/>
  <c r="AH764" i="48"/>
  <c r="AH765" i="48"/>
  <c r="AH766" i="48"/>
  <c r="AH767" i="48"/>
  <c r="AH768" i="48"/>
  <c r="AH769" i="48"/>
  <c r="AH770" i="48"/>
  <c r="AH771" i="48"/>
  <c r="AH772" i="48"/>
  <c r="AH773" i="48"/>
  <c r="AH774" i="48"/>
  <c r="AH775" i="48"/>
  <c r="AH776" i="48"/>
  <c r="AH777" i="48"/>
  <c r="AH778" i="48"/>
  <c r="AH779" i="48"/>
  <c r="AH780" i="48"/>
  <c r="AH781" i="48"/>
  <c r="AH782" i="48"/>
  <c r="AH783" i="48"/>
  <c r="AH784" i="48"/>
  <c r="AH785" i="48"/>
  <c r="AH786" i="48"/>
  <c r="AH787" i="48"/>
  <c r="AH788" i="48"/>
  <c r="AH789" i="48"/>
  <c r="AH790" i="48"/>
  <c r="AH791" i="48"/>
  <c r="AH792" i="48"/>
  <c r="AH793" i="48"/>
  <c r="AH794" i="48"/>
  <c r="AH795" i="48"/>
  <c r="AH796" i="48"/>
  <c r="AH797" i="48"/>
  <c r="AH798" i="48"/>
  <c r="AH799" i="48"/>
  <c r="AH800" i="48"/>
  <c r="AH801" i="48"/>
  <c r="AH802" i="48"/>
  <c r="AH803" i="48"/>
  <c r="AH804" i="48"/>
  <c r="AH805" i="48"/>
  <c r="AH806" i="48"/>
  <c r="AH807" i="48"/>
  <c r="AH808" i="48"/>
  <c r="AH809" i="48"/>
  <c r="AH810" i="48"/>
  <c r="AH811" i="48"/>
  <c r="AH812" i="48"/>
  <c r="AH813" i="48"/>
  <c r="AH814" i="48"/>
  <c r="AH815" i="48"/>
  <c r="AH816" i="48"/>
  <c r="AH817" i="48"/>
  <c r="AH818" i="48"/>
  <c r="AH819" i="48"/>
  <c r="AH820" i="48"/>
  <c r="AH821" i="48"/>
  <c r="AH822" i="48"/>
  <c r="AH823" i="48"/>
  <c r="AH824" i="48"/>
  <c r="AH825" i="48"/>
  <c r="AH826" i="48"/>
  <c r="AH827" i="48"/>
  <c r="AH828" i="48"/>
  <c r="AH829" i="48"/>
  <c r="AH830" i="48"/>
  <c r="AH831" i="48"/>
  <c r="AH832" i="48"/>
  <c r="AH833" i="48"/>
  <c r="AH834" i="48"/>
  <c r="AH835" i="48"/>
  <c r="AH836" i="48"/>
  <c r="AH837" i="48"/>
  <c r="AH838" i="48"/>
  <c r="AH839" i="48"/>
  <c r="AH840" i="48"/>
  <c r="AH841" i="48"/>
  <c r="AH842" i="48"/>
  <c r="AH843" i="48"/>
  <c r="AH844" i="48"/>
  <c r="AH845" i="48"/>
  <c r="AH846" i="48"/>
  <c r="AH847" i="48"/>
  <c r="AH848" i="48"/>
  <c r="AH849" i="48"/>
  <c r="AH850" i="48"/>
  <c r="AH851" i="48"/>
  <c r="AH852" i="48"/>
  <c r="AH853" i="48"/>
  <c r="AH854" i="48"/>
  <c r="AH855" i="48"/>
  <c r="AH856" i="48"/>
  <c r="AH857" i="48"/>
  <c r="AH858" i="48"/>
  <c r="AH859" i="48"/>
  <c r="AH860" i="48"/>
  <c r="AH861" i="48"/>
  <c r="AH862" i="48"/>
  <c r="AH863" i="48"/>
  <c r="AH864" i="48"/>
  <c r="AH865" i="48"/>
  <c r="AH866" i="48"/>
  <c r="AH867" i="48"/>
  <c r="AH868" i="48"/>
  <c r="AH869" i="48"/>
  <c r="AH870" i="48"/>
  <c r="AH871" i="48"/>
  <c r="AH872" i="48"/>
  <c r="AH873" i="48"/>
  <c r="AH874" i="48"/>
  <c r="AH875" i="48"/>
  <c r="AH876" i="48"/>
  <c r="AH877" i="48"/>
  <c r="AH878" i="48"/>
  <c r="AH879" i="48"/>
  <c r="AH880" i="48"/>
  <c r="AH881" i="48"/>
  <c r="AH882" i="48"/>
  <c r="AG719" i="48"/>
  <c r="AG720" i="48"/>
  <c r="AG721" i="48"/>
  <c r="AG722" i="48"/>
  <c r="AG723" i="48"/>
  <c r="AG724" i="48"/>
  <c r="AG725" i="48"/>
  <c r="AG726" i="48"/>
  <c r="AG727" i="48"/>
  <c r="AG728" i="48"/>
  <c r="AG729" i="48"/>
  <c r="AG730" i="48"/>
  <c r="AG731" i="48"/>
  <c r="AG732" i="48"/>
  <c r="AG733" i="48"/>
  <c r="AG734" i="48"/>
  <c r="AG735" i="48"/>
  <c r="AG736" i="48"/>
  <c r="AG737" i="48"/>
  <c r="AG738" i="48"/>
  <c r="AG739" i="48"/>
  <c r="AG740" i="48"/>
  <c r="AG741" i="48"/>
  <c r="AG742" i="48"/>
  <c r="AG743" i="48"/>
  <c r="AG744" i="48"/>
  <c r="AG745" i="48"/>
  <c r="AG746" i="48"/>
  <c r="AG747" i="48"/>
  <c r="AG748" i="48"/>
  <c r="AG749" i="48"/>
  <c r="AG750" i="48"/>
  <c r="AG751" i="48"/>
  <c r="AG752" i="48"/>
  <c r="AG753" i="48"/>
  <c r="AG754" i="48"/>
  <c r="AG755" i="48"/>
  <c r="AG756" i="48"/>
  <c r="AG757" i="48"/>
  <c r="AG758" i="48"/>
  <c r="AG759" i="48"/>
  <c r="AG760" i="48"/>
  <c r="AG761" i="48"/>
  <c r="AG762" i="48"/>
  <c r="AG763" i="48"/>
  <c r="AG764" i="48"/>
  <c r="AG765" i="48"/>
  <c r="AG766" i="48"/>
  <c r="AG767" i="48"/>
  <c r="AG768" i="48"/>
  <c r="AG769" i="48"/>
  <c r="AG770" i="48"/>
  <c r="AG771" i="48"/>
  <c r="AG772" i="48"/>
  <c r="AG773" i="48"/>
  <c r="AG774" i="48"/>
  <c r="AG775" i="48"/>
  <c r="AG776" i="48"/>
  <c r="AG777" i="48"/>
  <c r="AG778" i="48"/>
  <c r="AG779" i="48"/>
  <c r="AG780" i="48"/>
  <c r="AG781" i="48"/>
  <c r="AG782" i="48"/>
  <c r="AG783" i="48"/>
  <c r="AG784" i="48"/>
  <c r="AG785" i="48"/>
  <c r="AG786" i="48"/>
  <c r="AG787" i="48"/>
  <c r="AG788" i="48"/>
  <c r="AG789" i="48"/>
  <c r="AG790" i="48"/>
  <c r="AG791" i="48"/>
  <c r="AG792" i="48"/>
  <c r="AG793" i="48"/>
  <c r="AG794" i="48"/>
  <c r="AG795" i="48"/>
  <c r="AG796" i="48"/>
  <c r="AG797" i="48"/>
  <c r="AG798" i="48"/>
  <c r="AG799" i="48"/>
  <c r="AG800" i="48"/>
  <c r="AG801" i="48"/>
  <c r="AG802" i="48"/>
  <c r="AG803" i="48"/>
  <c r="AG804" i="48"/>
  <c r="AG805" i="48"/>
  <c r="AG806" i="48"/>
  <c r="AG807" i="48"/>
  <c r="AG808" i="48"/>
  <c r="AG809" i="48"/>
  <c r="AG810" i="48"/>
  <c r="AG811" i="48"/>
  <c r="AG812" i="48"/>
  <c r="AG813" i="48"/>
  <c r="AG814" i="48"/>
  <c r="AG815" i="48"/>
  <c r="AG816" i="48"/>
  <c r="AG817" i="48"/>
  <c r="AG818" i="48"/>
  <c r="AG819" i="48"/>
  <c r="AG820" i="48"/>
  <c r="AG821" i="48"/>
  <c r="AG822" i="48"/>
  <c r="AG823" i="48"/>
  <c r="AG824" i="48"/>
  <c r="AG825" i="48"/>
  <c r="AG826" i="48"/>
  <c r="AG827" i="48"/>
  <c r="AG828" i="48"/>
  <c r="AG829" i="48"/>
  <c r="AG830" i="48"/>
  <c r="AG831" i="48"/>
  <c r="AG832" i="48"/>
  <c r="AG833" i="48"/>
  <c r="AG834" i="48"/>
  <c r="AG835" i="48"/>
  <c r="AG836" i="48"/>
  <c r="AG837" i="48"/>
  <c r="AG838" i="48"/>
  <c r="AG839" i="48"/>
  <c r="AG840" i="48"/>
  <c r="AG841" i="48"/>
  <c r="AG842" i="48"/>
  <c r="AG843" i="48"/>
  <c r="AG844" i="48"/>
  <c r="AG845" i="48"/>
  <c r="AG846" i="48"/>
  <c r="AG847" i="48"/>
  <c r="AG848" i="48"/>
  <c r="AG849" i="48"/>
  <c r="AG850" i="48"/>
  <c r="AG851" i="48"/>
  <c r="AG852" i="48"/>
  <c r="AG853" i="48"/>
  <c r="AG854" i="48"/>
  <c r="AG855" i="48"/>
  <c r="AG856" i="48"/>
  <c r="AG857" i="48"/>
  <c r="AG858" i="48"/>
  <c r="AG859" i="48"/>
  <c r="AG860" i="48"/>
  <c r="AG861" i="48"/>
  <c r="AG862" i="48"/>
  <c r="AG863" i="48"/>
  <c r="AG864" i="48"/>
  <c r="AG865" i="48"/>
  <c r="AG866" i="48"/>
  <c r="AG867" i="48"/>
  <c r="AG868" i="48"/>
  <c r="AG869" i="48"/>
  <c r="AG870" i="48"/>
  <c r="AG871" i="48"/>
  <c r="AG872" i="48"/>
  <c r="AG873" i="48"/>
  <c r="AG874" i="48"/>
  <c r="AG875" i="48"/>
  <c r="AG876" i="48"/>
  <c r="AG877" i="48"/>
  <c r="AG878" i="48"/>
  <c r="AG879" i="48"/>
  <c r="AG880" i="48"/>
  <c r="AG881" i="48"/>
  <c r="AG882" i="48"/>
  <c r="AI718" i="48"/>
  <c r="AG718" i="48"/>
  <c r="AS882" i="48"/>
  <c r="AR882" i="48"/>
  <c r="AQ882" i="48"/>
  <c r="AP882" i="48"/>
  <c r="AO882" i="48"/>
  <c r="AN882" i="48"/>
  <c r="AM882" i="48"/>
  <c r="AL882" i="48"/>
  <c r="AK882" i="48"/>
  <c r="AS881" i="48"/>
  <c r="AR881" i="48"/>
  <c r="AQ881" i="48"/>
  <c r="AP881" i="48"/>
  <c r="AO881" i="48"/>
  <c r="AN881" i="48"/>
  <c r="AM881" i="48"/>
  <c r="AL881" i="48"/>
  <c r="AK881" i="48"/>
  <c r="AJ881" i="48"/>
  <c r="AS880" i="48"/>
  <c r="AR880" i="48"/>
  <c r="AQ880" i="48"/>
  <c r="AP880" i="48"/>
  <c r="AO880" i="48"/>
  <c r="AN880" i="48"/>
  <c r="AM880" i="48"/>
  <c r="AL880" i="48"/>
  <c r="AK880" i="48"/>
  <c r="AS879" i="48"/>
  <c r="AR879" i="48"/>
  <c r="AQ879" i="48"/>
  <c r="AP879" i="48"/>
  <c r="AO879" i="48"/>
  <c r="AN879" i="48"/>
  <c r="AM879" i="48"/>
  <c r="AL879" i="48"/>
  <c r="AK879" i="48"/>
  <c r="AS878" i="48"/>
  <c r="AR878" i="48"/>
  <c r="AQ878" i="48"/>
  <c r="AP878" i="48"/>
  <c r="AO878" i="48"/>
  <c r="AN878" i="48"/>
  <c r="AM878" i="48"/>
  <c r="AL878" i="48"/>
  <c r="AK878" i="48"/>
  <c r="AS877" i="48"/>
  <c r="AR877" i="48"/>
  <c r="AQ877" i="48"/>
  <c r="AP877" i="48"/>
  <c r="AO877" i="48"/>
  <c r="AN877" i="48"/>
  <c r="AM877" i="48"/>
  <c r="AL877" i="48"/>
  <c r="AK877" i="48"/>
  <c r="AS876" i="48"/>
  <c r="AR876" i="48"/>
  <c r="AQ876" i="48"/>
  <c r="AP876" i="48"/>
  <c r="AO876" i="48"/>
  <c r="AN876" i="48"/>
  <c r="AM876" i="48"/>
  <c r="AL876" i="48"/>
  <c r="AK876" i="48"/>
  <c r="AS875" i="48"/>
  <c r="AR875" i="48"/>
  <c r="AQ875" i="48"/>
  <c r="AP875" i="48"/>
  <c r="AO875" i="48"/>
  <c r="AN875" i="48"/>
  <c r="AM875" i="48"/>
  <c r="AL875" i="48"/>
  <c r="AK875" i="48"/>
  <c r="AS874" i="48"/>
  <c r="AR874" i="48"/>
  <c r="AQ874" i="48"/>
  <c r="AP874" i="48"/>
  <c r="AO874" i="48"/>
  <c r="AN874" i="48"/>
  <c r="AM874" i="48"/>
  <c r="AL874" i="48"/>
  <c r="AK874" i="48"/>
  <c r="AF874" i="48"/>
  <c r="AF883" i="48" s="1"/>
  <c r="AS873" i="48"/>
  <c r="AR873" i="48"/>
  <c r="AQ873" i="48"/>
  <c r="AP873" i="48"/>
  <c r="AO873" i="48"/>
  <c r="AN873" i="48"/>
  <c r="AM873" i="48"/>
  <c r="AL873" i="48"/>
  <c r="AK873" i="48"/>
  <c r="AS872" i="48"/>
  <c r="AR872" i="48"/>
  <c r="AQ872" i="48"/>
  <c r="AP872" i="48"/>
  <c r="AO872" i="48"/>
  <c r="AN872" i="48"/>
  <c r="AM872" i="48"/>
  <c r="AL872" i="48"/>
  <c r="AK872" i="48"/>
  <c r="AS871" i="48"/>
  <c r="AR871" i="48"/>
  <c r="AQ871" i="48"/>
  <c r="AP871" i="48"/>
  <c r="AO871" i="48"/>
  <c r="AN871" i="48"/>
  <c r="AM871" i="48"/>
  <c r="AL871" i="48"/>
  <c r="AK871" i="48"/>
  <c r="AS870" i="48"/>
  <c r="AR870" i="48"/>
  <c r="AQ870" i="48"/>
  <c r="AP870" i="48"/>
  <c r="AO870" i="48"/>
  <c r="AN870" i="48"/>
  <c r="AM870" i="48"/>
  <c r="AL870" i="48"/>
  <c r="AK870" i="48"/>
  <c r="AS869" i="48"/>
  <c r="AR869" i="48"/>
  <c r="AQ869" i="48"/>
  <c r="AP869" i="48"/>
  <c r="AO869" i="48"/>
  <c r="AN869" i="48"/>
  <c r="AM869" i="48"/>
  <c r="AL869" i="48"/>
  <c r="AK869" i="48"/>
  <c r="AS868" i="48"/>
  <c r="AR868" i="48"/>
  <c r="AQ868" i="48"/>
  <c r="AP868" i="48"/>
  <c r="AO868" i="48"/>
  <c r="AN868" i="48"/>
  <c r="AM868" i="48"/>
  <c r="AL868" i="48"/>
  <c r="AK868" i="48"/>
  <c r="AS867" i="48"/>
  <c r="AR867" i="48"/>
  <c r="AQ867" i="48"/>
  <c r="AP867" i="48"/>
  <c r="AO867" i="48"/>
  <c r="AN867" i="48"/>
  <c r="AM867" i="48"/>
  <c r="AL867" i="48"/>
  <c r="AK867" i="48"/>
  <c r="AS866" i="48"/>
  <c r="AR866" i="48"/>
  <c r="AQ866" i="48"/>
  <c r="AP866" i="48"/>
  <c r="AO866" i="48"/>
  <c r="AN866" i="48"/>
  <c r="AM866" i="48"/>
  <c r="AL866" i="48"/>
  <c r="AK866" i="48"/>
  <c r="AS865" i="48"/>
  <c r="AR865" i="48"/>
  <c r="AQ865" i="48"/>
  <c r="AP865" i="48"/>
  <c r="AO865" i="48"/>
  <c r="AN865" i="48"/>
  <c r="AM865" i="48"/>
  <c r="AL865" i="48"/>
  <c r="AK865" i="48"/>
  <c r="AS864" i="48"/>
  <c r="AR864" i="48"/>
  <c r="AQ864" i="48"/>
  <c r="AP864" i="48"/>
  <c r="AO864" i="48"/>
  <c r="AN864" i="48"/>
  <c r="AM864" i="48"/>
  <c r="AL864" i="48"/>
  <c r="AK864" i="48"/>
  <c r="AS863" i="48"/>
  <c r="AR863" i="48"/>
  <c r="AQ863" i="48"/>
  <c r="AP863" i="48"/>
  <c r="AO863" i="48"/>
  <c r="AN863" i="48"/>
  <c r="AM863" i="48"/>
  <c r="AL863" i="48"/>
  <c r="AK863" i="48"/>
  <c r="AS862" i="48"/>
  <c r="AR862" i="48"/>
  <c r="AQ862" i="48"/>
  <c r="AP862" i="48"/>
  <c r="AO862" i="48"/>
  <c r="AN862" i="48"/>
  <c r="AM862" i="48"/>
  <c r="AL862" i="48"/>
  <c r="AK862" i="48"/>
  <c r="AF862" i="48"/>
  <c r="AS861" i="48"/>
  <c r="AR861" i="48"/>
  <c r="AQ861" i="48"/>
  <c r="AP861" i="48"/>
  <c r="AO861" i="48"/>
  <c r="AN861" i="48"/>
  <c r="AM861" i="48"/>
  <c r="AL861" i="48"/>
  <c r="AK861" i="48"/>
  <c r="AS860" i="48"/>
  <c r="AR860" i="48"/>
  <c r="AQ860" i="48"/>
  <c r="AP860" i="48"/>
  <c r="AO860" i="48"/>
  <c r="AN860" i="48"/>
  <c r="AM860" i="48"/>
  <c r="AL860" i="48"/>
  <c r="AK860" i="48"/>
  <c r="AS859" i="48"/>
  <c r="AR859" i="48"/>
  <c r="AQ859" i="48"/>
  <c r="AP859" i="48"/>
  <c r="AO859" i="48"/>
  <c r="AN859" i="48"/>
  <c r="AM859" i="48"/>
  <c r="AL859" i="48"/>
  <c r="AK859" i="48"/>
  <c r="AS858" i="48"/>
  <c r="AR858" i="48"/>
  <c r="AQ858" i="48"/>
  <c r="AP858" i="48"/>
  <c r="AO858" i="48"/>
  <c r="AN858" i="48"/>
  <c r="AM858" i="48"/>
  <c r="AL858" i="48"/>
  <c r="AK858" i="48"/>
  <c r="AS857" i="48"/>
  <c r="AR857" i="48"/>
  <c r="AQ857" i="48"/>
  <c r="AP857" i="48"/>
  <c r="AO857" i="48"/>
  <c r="AN857" i="48"/>
  <c r="AM857" i="48"/>
  <c r="AL857" i="48"/>
  <c r="AK857" i="48"/>
  <c r="AS856" i="48"/>
  <c r="AR856" i="48"/>
  <c r="AQ856" i="48"/>
  <c r="AP856" i="48"/>
  <c r="AO856" i="48"/>
  <c r="AN856" i="48"/>
  <c r="AM856" i="48"/>
  <c r="AL856" i="48"/>
  <c r="AK856" i="48"/>
  <c r="AS855" i="48"/>
  <c r="AR855" i="48"/>
  <c r="AQ855" i="48"/>
  <c r="AP855" i="48"/>
  <c r="AO855" i="48"/>
  <c r="AN855" i="48"/>
  <c r="AM855" i="48"/>
  <c r="AL855" i="48"/>
  <c r="AK855" i="48"/>
  <c r="AS854" i="48"/>
  <c r="AR854" i="48"/>
  <c r="AQ854" i="48"/>
  <c r="AP854" i="48"/>
  <c r="AO854" i="48"/>
  <c r="AN854" i="48"/>
  <c r="AM854" i="48"/>
  <c r="AL854" i="48"/>
  <c r="AK854" i="48"/>
  <c r="AS853" i="48"/>
  <c r="AR853" i="48"/>
  <c r="AQ853" i="48"/>
  <c r="AP853" i="48"/>
  <c r="AO853" i="48"/>
  <c r="AN853" i="48"/>
  <c r="AM853" i="48"/>
  <c r="AL853" i="48"/>
  <c r="AK853" i="48"/>
  <c r="AF853" i="48"/>
  <c r="AS852" i="48"/>
  <c r="AR852" i="48"/>
  <c r="AQ852" i="48"/>
  <c r="AP852" i="48"/>
  <c r="AO852" i="48"/>
  <c r="AN852" i="48"/>
  <c r="AM852" i="48"/>
  <c r="AL852" i="48"/>
  <c r="AK852" i="48"/>
  <c r="AS851" i="48"/>
  <c r="AR851" i="48"/>
  <c r="AQ851" i="48"/>
  <c r="AP851" i="48"/>
  <c r="AO851" i="48"/>
  <c r="AN851" i="48"/>
  <c r="AM851" i="48"/>
  <c r="AL851" i="48"/>
  <c r="AK851" i="48"/>
  <c r="AS850" i="48"/>
  <c r="AR850" i="48"/>
  <c r="AQ850" i="48"/>
  <c r="AP850" i="48"/>
  <c r="AO850" i="48"/>
  <c r="AN850" i="48"/>
  <c r="AM850" i="48"/>
  <c r="AL850" i="48"/>
  <c r="AK850" i="48"/>
  <c r="AS849" i="48"/>
  <c r="AR849" i="48"/>
  <c r="AQ849" i="48"/>
  <c r="AP849" i="48"/>
  <c r="AO849" i="48"/>
  <c r="AN849" i="48"/>
  <c r="AM849" i="48"/>
  <c r="AL849" i="48"/>
  <c r="AK849" i="48"/>
  <c r="AS848" i="48"/>
  <c r="AR848" i="48"/>
  <c r="AQ848" i="48"/>
  <c r="AP848" i="48"/>
  <c r="AO848" i="48"/>
  <c r="AN848" i="48"/>
  <c r="AM848" i="48"/>
  <c r="AL848" i="48"/>
  <c r="AK848" i="48"/>
  <c r="AJ848" i="48"/>
  <c r="AS847" i="48"/>
  <c r="AR847" i="48"/>
  <c r="AQ847" i="48"/>
  <c r="AP847" i="48"/>
  <c r="AO847" i="48"/>
  <c r="AN847" i="48"/>
  <c r="AM847" i="48"/>
  <c r="AL847" i="48"/>
  <c r="AK847" i="48"/>
  <c r="AS846" i="48"/>
  <c r="AR846" i="48"/>
  <c r="AQ846" i="48"/>
  <c r="AP846" i="48"/>
  <c r="AO846" i="48"/>
  <c r="AN846" i="48"/>
  <c r="AM846" i="48"/>
  <c r="AL846" i="48"/>
  <c r="AK846" i="48"/>
  <c r="AS845" i="48"/>
  <c r="AR845" i="48"/>
  <c r="AQ845" i="48"/>
  <c r="AP845" i="48"/>
  <c r="AO845" i="48"/>
  <c r="AN845" i="48"/>
  <c r="AM845" i="48"/>
  <c r="AL845" i="48"/>
  <c r="AK845" i="48"/>
  <c r="AS844" i="48"/>
  <c r="AR844" i="48"/>
  <c r="AQ844" i="48"/>
  <c r="AP844" i="48"/>
  <c r="AO844" i="48"/>
  <c r="AN844" i="48"/>
  <c r="AM844" i="48"/>
  <c r="AL844" i="48"/>
  <c r="AK844" i="48"/>
  <c r="AS843" i="48"/>
  <c r="AR843" i="48"/>
  <c r="AQ843" i="48"/>
  <c r="AP843" i="48"/>
  <c r="AO843" i="48"/>
  <c r="AN843" i="48"/>
  <c r="AM843" i="48"/>
  <c r="AL843" i="48"/>
  <c r="AK843" i="48"/>
  <c r="AS842" i="48"/>
  <c r="AR842" i="48"/>
  <c r="AQ842" i="48"/>
  <c r="AP842" i="48"/>
  <c r="AO842" i="48"/>
  <c r="AN842" i="48"/>
  <c r="AM842" i="48"/>
  <c r="AL842" i="48"/>
  <c r="AK842" i="48"/>
  <c r="AF842" i="48"/>
  <c r="AS841" i="48"/>
  <c r="AR841" i="48"/>
  <c r="AQ841" i="48"/>
  <c r="AP841" i="48"/>
  <c r="AO841" i="48"/>
  <c r="AN841" i="48"/>
  <c r="AM841" i="48"/>
  <c r="AL841" i="48"/>
  <c r="AK841" i="48"/>
  <c r="AS840" i="48"/>
  <c r="AR840" i="48"/>
  <c r="AQ840" i="48"/>
  <c r="AP840" i="48"/>
  <c r="AO840" i="48"/>
  <c r="AN840" i="48"/>
  <c r="AM840" i="48"/>
  <c r="AL840" i="48"/>
  <c r="AK840" i="48"/>
  <c r="AS839" i="48"/>
  <c r="AR839" i="48"/>
  <c r="AQ839" i="48"/>
  <c r="AP839" i="48"/>
  <c r="AO839" i="48"/>
  <c r="AN839" i="48"/>
  <c r="AM839" i="48"/>
  <c r="AL839" i="48"/>
  <c r="AK839" i="48"/>
  <c r="AS838" i="48"/>
  <c r="AR838" i="48"/>
  <c r="AQ838" i="48"/>
  <c r="AP838" i="48"/>
  <c r="AO838" i="48"/>
  <c r="AN838" i="48"/>
  <c r="AM838" i="48"/>
  <c r="AL838" i="48"/>
  <c r="AK838" i="48"/>
  <c r="AS837" i="48"/>
  <c r="AR837" i="48"/>
  <c r="AQ837" i="48"/>
  <c r="AP837" i="48"/>
  <c r="AO837" i="48"/>
  <c r="AN837" i="48"/>
  <c r="AM837" i="48"/>
  <c r="AL837" i="48"/>
  <c r="AK837" i="48"/>
  <c r="AS836" i="48"/>
  <c r="AR836" i="48"/>
  <c r="AQ836" i="48"/>
  <c r="AP836" i="48"/>
  <c r="AO836" i="48"/>
  <c r="AN836" i="48"/>
  <c r="AM836" i="48"/>
  <c r="AL836" i="48"/>
  <c r="AK836" i="48"/>
  <c r="AS835" i="48"/>
  <c r="AR835" i="48"/>
  <c r="AQ835" i="48"/>
  <c r="AP835" i="48"/>
  <c r="AO835" i="48"/>
  <c r="AN835" i="48"/>
  <c r="AM835" i="48"/>
  <c r="AL835" i="48"/>
  <c r="AK835" i="48"/>
  <c r="AS834" i="48"/>
  <c r="AR834" i="48"/>
  <c r="AQ834" i="48"/>
  <c r="AP834" i="48"/>
  <c r="AO834" i="48"/>
  <c r="AN834" i="48"/>
  <c r="AM834" i="48"/>
  <c r="AL834" i="48"/>
  <c r="AK834" i="48"/>
  <c r="AS833" i="48"/>
  <c r="AR833" i="48"/>
  <c r="AQ833" i="48"/>
  <c r="AP833" i="48"/>
  <c r="AO833" i="48"/>
  <c r="AN833" i="48"/>
  <c r="AM833" i="48"/>
  <c r="AL833" i="48"/>
  <c r="AK833" i="48"/>
  <c r="AS832" i="48"/>
  <c r="AR832" i="48"/>
  <c r="AQ832" i="48"/>
  <c r="AP832" i="48"/>
  <c r="AO832" i="48"/>
  <c r="AN832" i="48"/>
  <c r="AM832" i="48"/>
  <c r="AL832" i="48"/>
  <c r="AK832" i="48"/>
  <c r="AF832" i="48"/>
  <c r="AS831" i="48"/>
  <c r="AR831" i="48"/>
  <c r="AQ831" i="48"/>
  <c r="AP831" i="48"/>
  <c r="AO831" i="48"/>
  <c r="AN831" i="48"/>
  <c r="AM831" i="48"/>
  <c r="AL831" i="48"/>
  <c r="AK831" i="48"/>
  <c r="AJ831" i="48"/>
  <c r="AS830" i="48"/>
  <c r="AR830" i="48"/>
  <c r="AQ830" i="48"/>
  <c r="AP830" i="48"/>
  <c r="AO830" i="48"/>
  <c r="AN830" i="48"/>
  <c r="AM830" i="48"/>
  <c r="AL830" i="48"/>
  <c r="AK830" i="48"/>
  <c r="AS829" i="48"/>
  <c r="AR829" i="48"/>
  <c r="AQ829" i="48"/>
  <c r="AP829" i="48"/>
  <c r="AO829" i="48"/>
  <c r="AN829" i="48"/>
  <c r="AM829" i="48"/>
  <c r="AL829" i="48"/>
  <c r="AK829" i="48"/>
  <c r="AS828" i="48"/>
  <c r="AR828" i="48"/>
  <c r="AQ828" i="48"/>
  <c r="AP828" i="48"/>
  <c r="AO828" i="48"/>
  <c r="AN828" i="48"/>
  <c r="AM828" i="48"/>
  <c r="AL828" i="48"/>
  <c r="AK828" i="48"/>
  <c r="AS827" i="48"/>
  <c r="AR827" i="48"/>
  <c r="AQ827" i="48"/>
  <c r="AP827" i="48"/>
  <c r="AO827" i="48"/>
  <c r="AN827" i="48"/>
  <c r="AM827" i="48"/>
  <c r="AL827" i="48"/>
  <c r="AK827" i="48"/>
  <c r="AS826" i="48"/>
  <c r="AR826" i="48"/>
  <c r="AQ826" i="48"/>
  <c r="AP826" i="48"/>
  <c r="AO826" i="48"/>
  <c r="AN826" i="48"/>
  <c r="AM826" i="48"/>
  <c r="AL826" i="48"/>
  <c r="AK826" i="48"/>
  <c r="AS825" i="48"/>
  <c r="AR825" i="48"/>
  <c r="AQ825" i="48"/>
  <c r="AP825" i="48"/>
  <c r="AO825" i="48"/>
  <c r="AN825" i="48"/>
  <c r="AM825" i="48"/>
  <c r="AL825" i="48"/>
  <c r="AK825" i="48"/>
  <c r="AS824" i="48"/>
  <c r="AR824" i="48"/>
  <c r="AQ824" i="48"/>
  <c r="AP824" i="48"/>
  <c r="AO824" i="48"/>
  <c r="AN824" i="48"/>
  <c r="AM824" i="48"/>
  <c r="AL824" i="48"/>
  <c r="AK824" i="48"/>
  <c r="AS823" i="48"/>
  <c r="AR823" i="48"/>
  <c r="AQ823" i="48"/>
  <c r="AP823" i="48"/>
  <c r="AO823" i="48"/>
  <c r="AN823" i="48"/>
  <c r="AM823" i="48"/>
  <c r="AL823" i="48"/>
  <c r="AK823" i="48"/>
  <c r="AS822" i="48"/>
  <c r="AR822" i="48"/>
  <c r="AQ822" i="48"/>
  <c r="AP822" i="48"/>
  <c r="AO822" i="48"/>
  <c r="AN822" i="48"/>
  <c r="AM822" i="48"/>
  <c r="AL822" i="48"/>
  <c r="AK822" i="48"/>
  <c r="AF822" i="48"/>
  <c r="AS821" i="48"/>
  <c r="AR821" i="48"/>
  <c r="AQ821" i="48"/>
  <c r="AP821" i="48"/>
  <c r="AO821" i="48"/>
  <c r="AN821" i="48"/>
  <c r="AM821" i="48"/>
  <c r="AL821" i="48"/>
  <c r="AK821" i="48"/>
  <c r="AS820" i="48"/>
  <c r="AR820" i="48"/>
  <c r="AQ820" i="48"/>
  <c r="AP820" i="48"/>
  <c r="AO820" i="48"/>
  <c r="AN820" i="48"/>
  <c r="AM820" i="48"/>
  <c r="AL820" i="48"/>
  <c r="AK820" i="48"/>
  <c r="AS819" i="48"/>
  <c r="AR819" i="48"/>
  <c r="AQ819" i="48"/>
  <c r="AP819" i="48"/>
  <c r="AO819" i="48"/>
  <c r="AN819" i="48"/>
  <c r="AM819" i="48"/>
  <c r="AL819" i="48"/>
  <c r="AK819" i="48"/>
  <c r="AS818" i="48"/>
  <c r="AR818" i="48"/>
  <c r="AQ818" i="48"/>
  <c r="AP818" i="48"/>
  <c r="AO818" i="48"/>
  <c r="AN818" i="48"/>
  <c r="AM818" i="48"/>
  <c r="AL818" i="48"/>
  <c r="AK818" i="48"/>
  <c r="AS817" i="48"/>
  <c r="AR817" i="48"/>
  <c r="AQ817" i="48"/>
  <c r="AP817" i="48"/>
  <c r="AO817" i="48"/>
  <c r="AN817" i="48"/>
  <c r="AM817" i="48"/>
  <c r="AL817" i="48"/>
  <c r="AK817" i="48"/>
  <c r="AS816" i="48"/>
  <c r="AR816" i="48"/>
  <c r="AQ816" i="48"/>
  <c r="AP816" i="48"/>
  <c r="AO816" i="48"/>
  <c r="AN816" i="48"/>
  <c r="AM816" i="48"/>
  <c r="AL816" i="48"/>
  <c r="AK816" i="48"/>
  <c r="AS815" i="48"/>
  <c r="AR815" i="48"/>
  <c r="AQ815" i="48"/>
  <c r="AP815" i="48"/>
  <c r="AO815" i="48"/>
  <c r="AN815" i="48"/>
  <c r="AM815" i="48"/>
  <c r="AL815" i="48"/>
  <c r="AK815" i="48"/>
  <c r="AS814" i="48"/>
  <c r="AR814" i="48"/>
  <c r="AQ814" i="48"/>
  <c r="AP814" i="48"/>
  <c r="AO814" i="48"/>
  <c r="AN814" i="48"/>
  <c r="AM814" i="48"/>
  <c r="AL814" i="48"/>
  <c r="AK814" i="48"/>
  <c r="AS813" i="48"/>
  <c r="AR813" i="48"/>
  <c r="AQ813" i="48"/>
  <c r="AP813" i="48"/>
  <c r="AO813" i="48"/>
  <c r="AN813" i="48"/>
  <c r="AM813" i="48"/>
  <c r="AL813" i="48"/>
  <c r="AK813" i="48"/>
  <c r="AS812" i="48"/>
  <c r="AR812" i="48"/>
  <c r="AQ812" i="48"/>
  <c r="AP812" i="48"/>
  <c r="AO812" i="48"/>
  <c r="AN812" i="48"/>
  <c r="AM812" i="48"/>
  <c r="AL812" i="48"/>
  <c r="AK812" i="48"/>
  <c r="AS811" i="48"/>
  <c r="AR811" i="48"/>
  <c r="AQ811" i="48"/>
  <c r="AP811" i="48"/>
  <c r="AO811" i="48"/>
  <c r="AN811" i="48"/>
  <c r="AM811" i="48"/>
  <c r="AL811" i="48"/>
  <c r="AK811" i="48"/>
  <c r="AS810" i="48"/>
  <c r="AR810" i="48"/>
  <c r="AQ810" i="48"/>
  <c r="AP810" i="48"/>
  <c r="AO810" i="48"/>
  <c r="AN810" i="48"/>
  <c r="AM810" i="48"/>
  <c r="AL810" i="48"/>
  <c r="AK810" i="48"/>
  <c r="AF810" i="48"/>
  <c r="AS809" i="48"/>
  <c r="AR809" i="48"/>
  <c r="AQ809" i="48"/>
  <c r="AP809" i="48"/>
  <c r="AO809" i="48"/>
  <c r="AN809" i="48"/>
  <c r="AM809" i="48"/>
  <c r="AL809" i="48"/>
  <c r="AK809" i="48"/>
  <c r="AS808" i="48"/>
  <c r="AR808" i="48"/>
  <c r="AQ808" i="48"/>
  <c r="AP808" i="48"/>
  <c r="AO808" i="48"/>
  <c r="AN808" i="48"/>
  <c r="AM808" i="48"/>
  <c r="AL808" i="48"/>
  <c r="AK808" i="48"/>
  <c r="AS807" i="48"/>
  <c r="AR807" i="48"/>
  <c r="AQ807" i="48"/>
  <c r="AP807" i="48"/>
  <c r="AO807" i="48"/>
  <c r="AN807" i="48"/>
  <c r="AM807" i="48"/>
  <c r="AL807" i="48"/>
  <c r="AK807" i="48"/>
  <c r="AS806" i="48"/>
  <c r="AR806" i="48"/>
  <c r="AQ806" i="48"/>
  <c r="AP806" i="48"/>
  <c r="AO806" i="48"/>
  <c r="AN806" i="48"/>
  <c r="AM806" i="48"/>
  <c r="AL806" i="48"/>
  <c r="AK806" i="48"/>
  <c r="AS805" i="48"/>
  <c r="AR805" i="48"/>
  <c r="AQ805" i="48"/>
  <c r="AP805" i="48"/>
  <c r="AO805" i="48"/>
  <c r="AN805" i="48"/>
  <c r="AM805" i="48"/>
  <c r="AL805" i="48"/>
  <c r="AK805" i="48"/>
  <c r="AS804" i="48"/>
  <c r="AR804" i="48"/>
  <c r="AQ804" i="48"/>
  <c r="AP804" i="48"/>
  <c r="AO804" i="48"/>
  <c r="AN804" i="48"/>
  <c r="AM804" i="48"/>
  <c r="AL804" i="48"/>
  <c r="AK804" i="48"/>
  <c r="AS803" i="48"/>
  <c r="AR803" i="48"/>
  <c r="AQ803" i="48"/>
  <c r="AP803" i="48"/>
  <c r="AO803" i="48"/>
  <c r="AN803" i="48"/>
  <c r="AM803" i="48"/>
  <c r="AL803" i="48"/>
  <c r="AK803" i="48"/>
  <c r="AF803" i="48"/>
  <c r="AS802" i="48"/>
  <c r="AR802" i="48"/>
  <c r="AQ802" i="48"/>
  <c r="AP802" i="48"/>
  <c r="AO802" i="48"/>
  <c r="AN802" i="48"/>
  <c r="AM802" i="48"/>
  <c r="AL802" i="48"/>
  <c r="AK802" i="48"/>
  <c r="AJ802" i="48"/>
  <c r="AS801" i="48"/>
  <c r="AR801" i="48"/>
  <c r="AQ801" i="48"/>
  <c r="AP801" i="48"/>
  <c r="AO801" i="48"/>
  <c r="AN801" i="48"/>
  <c r="AM801" i="48"/>
  <c r="AL801" i="48"/>
  <c r="AK801" i="48"/>
  <c r="AS800" i="48"/>
  <c r="AR800" i="48"/>
  <c r="AQ800" i="48"/>
  <c r="AP800" i="48"/>
  <c r="AO800" i="48"/>
  <c r="AN800" i="48"/>
  <c r="AM800" i="48"/>
  <c r="AL800" i="48"/>
  <c r="AK800" i="48"/>
  <c r="AS799" i="48"/>
  <c r="AR799" i="48"/>
  <c r="AQ799" i="48"/>
  <c r="AP799" i="48"/>
  <c r="AO799" i="48"/>
  <c r="AN799" i="48"/>
  <c r="AM799" i="48"/>
  <c r="AL799" i="48"/>
  <c r="AK799" i="48"/>
  <c r="AS798" i="48"/>
  <c r="AR798" i="48"/>
  <c r="AQ798" i="48"/>
  <c r="AP798" i="48"/>
  <c r="AO798" i="48"/>
  <c r="AN798" i="48"/>
  <c r="AM798" i="48"/>
  <c r="AL798" i="48"/>
  <c r="AK798" i="48"/>
  <c r="AS797" i="48"/>
  <c r="AR797" i="48"/>
  <c r="AQ797" i="48"/>
  <c r="AP797" i="48"/>
  <c r="AO797" i="48"/>
  <c r="AN797" i="48"/>
  <c r="AM797" i="48"/>
  <c r="AL797" i="48"/>
  <c r="AK797" i="48"/>
  <c r="AS796" i="48"/>
  <c r="AR796" i="48"/>
  <c r="AQ796" i="48"/>
  <c r="AP796" i="48"/>
  <c r="AO796" i="48"/>
  <c r="AN796" i="48"/>
  <c r="AM796" i="48"/>
  <c r="AL796" i="48"/>
  <c r="AK796" i="48"/>
  <c r="AS795" i="48"/>
  <c r="AR795" i="48"/>
  <c r="AQ795" i="48"/>
  <c r="AP795" i="48"/>
  <c r="AO795" i="48"/>
  <c r="AN795" i="48"/>
  <c r="AM795" i="48"/>
  <c r="AL795" i="48"/>
  <c r="AK795" i="48"/>
  <c r="AS794" i="48"/>
  <c r="AR794" i="48"/>
  <c r="AQ794" i="48"/>
  <c r="AP794" i="48"/>
  <c r="AO794" i="48"/>
  <c r="AN794" i="48"/>
  <c r="AM794" i="48"/>
  <c r="AL794" i="48"/>
  <c r="AK794" i="48"/>
  <c r="AS793" i="48"/>
  <c r="AR793" i="48"/>
  <c r="AQ793" i="48"/>
  <c r="AP793" i="48"/>
  <c r="AO793" i="48"/>
  <c r="AN793" i="48"/>
  <c r="AM793" i="48"/>
  <c r="AL793" i="48"/>
  <c r="AK793" i="48"/>
  <c r="AF793" i="48"/>
  <c r="AS792" i="48"/>
  <c r="AR792" i="48"/>
  <c r="AQ792" i="48"/>
  <c r="AP792" i="48"/>
  <c r="AO792" i="48"/>
  <c r="AN792" i="48"/>
  <c r="AM792" i="48"/>
  <c r="AL792" i="48"/>
  <c r="AK792" i="48"/>
  <c r="AS791" i="48"/>
  <c r="AR791" i="48"/>
  <c r="AQ791" i="48"/>
  <c r="AP791" i="48"/>
  <c r="AO791" i="48"/>
  <c r="AN791" i="48"/>
  <c r="AM791" i="48"/>
  <c r="AL791" i="48"/>
  <c r="AK791" i="48"/>
  <c r="AS790" i="48"/>
  <c r="AR790" i="48"/>
  <c r="AQ790" i="48"/>
  <c r="AP790" i="48"/>
  <c r="AO790" i="48"/>
  <c r="AN790" i="48"/>
  <c r="AM790" i="48"/>
  <c r="AL790" i="48"/>
  <c r="AK790" i="48"/>
  <c r="AS789" i="48"/>
  <c r="AR789" i="48"/>
  <c r="AQ789" i="48"/>
  <c r="AP789" i="48"/>
  <c r="AO789" i="48"/>
  <c r="AN789" i="48"/>
  <c r="AM789" i="48"/>
  <c r="AL789" i="48"/>
  <c r="AK789" i="48"/>
  <c r="AS788" i="48"/>
  <c r="AR788" i="48"/>
  <c r="AQ788" i="48"/>
  <c r="AP788" i="48"/>
  <c r="AO788" i="48"/>
  <c r="AN788" i="48"/>
  <c r="AM788" i="48"/>
  <c r="AL788" i="48"/>
  <c r="AK788" i="48"/>
  <c r="AS787" i="48"/>
  <c r="AR787" i="48"/>
  <c r="AQ787" i="48"/>
  <c r="AP787" i="48"/>
  <c r="AO787" i="48"/>
  <c r="AN787" i="48"/>
  <c r="AM787" i="48"/>
  <c r="AL787" i="48"/>
  <c r="AK787" i="48"/>
  <c r="AS786" i="48"/>
  <c r="AR786" i="48"/>
  <c r="AQ786" i="48"/>
  <c r="AP786" i="48"/>
  <c r="AO786" i="48"/>
  <c r="AN786" i="48"/>
  <c r="AM786" i="48"/>
  <c r="AL786" i="48"/>
  <c r="AK786" i="48"/>
  <c r="AS785" i="48"/>
  <c r="AR785" i="48"/>
  <c r="AQ785" i="48"/>
  <c r="AP785" i="48"/>
  <c r="AO785" i="48"/>
  <c r="AN785" i="48"/>
  <c r="AM785" i="48"/>
  <c r="AL785" i="48"/>
  <c r="AK785" i="48"/>
  <c r="AF785" i="48"/>
  <c r="AS784" i="48"/>
  <c r="AR784" i="48"/>
  <c r="AQ784" i="48"/>
  <c r="AP784" i="48"/>
  <c r="AO784" i="48"/>
  <c r="AN784" i="48"/>
  <c r="AM784" i="48"/>
  <c r="AL784" i="48"/>
  <c r="AK784" i="48"/>
  <c r="AJ784" i="48"/>
  <c r="AS783" i="48"/>
  <c r="AR783" i="48"/>
  <c r="AQ783" i="48"/>
  <c r="AP783" i="48"/>
  <c r="AO783" i="48"/>
  <c r="AN783" i="48"/>
  <c r="AM783" i="48"/>
  <c r="AL783" i="48"/>
  <c r="AK783" i="48"/>
  <c r="AS782" i="48"/>
  <c r="AR782" i="48"/>
  <c r="AQ782" i="48"/>
  <c r="AP782" i="48"/>
  <c r="AO782" i="48"/>
  <c r="AN782" i="48"/>
  <c r="AM782" i="48"/>
  <c r="AL782" i="48"/>
  <c r="AK782" i="48"/>
  <c r="AS781" i="48"/>
  <c r="AR781" i="48"/>
  <c r="AQ781" i="48"/>
  <c r="AP781" i="48"/>
  <c r="AO781" i="48"/>
  <c r="AN781" i="48"/>
  <c r="AM781" i="48"/>
  <c r="AL781" i="48"/>
  <c r="AK781" i="48"/>
  <c r="AJ781" i="48"/>
  <c r="AS780" i="48"/>
  <c r="AR780" i="48"/>
  <c r="AQ780" i="48"/>
  <c r="AP780" i="48"/>
  <c r="AO780" i="48"/>
  <c r="AN780" i="48"/>
  <c r="AM780" i="48"/>
  <c r="AL780" i="48"/>
  <c r="AK780" i="48"/>
  <c r="AS779" i="48"/>
  <c r="AR779" i="48"/>
  <c r="AQ779" i="48"/>
  <c r="AP779" i="48"/>
  <c r="AO779" i="48"/>
  <c r="AN779" i="48"/>
  <c r="AM779" i="48"/>
  <c r="AL779" i="48"/>
  <c r="AK779" i="48"/>
  <c r="AS778" i="48"/>
  <c r="AR778" i="48"/>
  <c r="AQ778" i="48"/>
  <c r="AP778" i="48"/>
  <c r="AO778" i="48"/>
  <c r="AN778" i="48"/>
  <c r="AM778" i="48"/>
  <c r="AL778" i="48"/>
  <c r="AK778" i="48"/>
  <c r="AS777" i="48"/>
  <c r="AR777" i="48"/>
  <c r="AQ777" i="48"/>
  <c r="AP777" i="48"/>
  <c r="AO777" i="48"/>
  <c r="AN777" i="48"/>
  <c r="AM777" i="48"/>
  <c r="AL777" i="48"/>
  <c r="AK777" i="48"/>
  <c r="AS776" i="48"/>
  <c r="AR776" i="48"/>
  <c r="AQ776" i="48"/>
  <c r="AP776" i="48"/>
  <c r="AO776" i="48"/>
  <c r="AN776" i="48"/>
  <c r="AM776" i="48"/>
  <c r="AL776" i="48"/>
  <c r="AK776" i="48"/>
  <c r="AS775" i="48"/>
  <c r="AR775" i="48"/>
  <c r="AQ775" i="48"/>
  <c r="AP775" i="48"/>
  <c r="AO775" i="48"/>
  <c r="AN775" i="48"/>
  <c r="AM775" i="48"/>
  <c r="AL775" i="48"/>
  <c r="AK775" i="48"/>
  <c r="AF775" i="48"/>
  <c r="AS774" i="48"/>
  <c r="AR774" i="48"/>
  <c r="AQ774" i="48"/>
  <c r="AP774" i="48"/>
  <c r="AO774" i="48"/>
  <c r="AN774" i="48"/>
  <c r="AM774" i="48"/>
  <c r="AL774" i="48"/>
  <c r="AK774" i="48"/>
  <c r="AS773" i="48"/>
  <c r="AR773" i="48"/>
  <c r="AQ773" i="48"/>
  <c r="AP773" i="48"/>
  <c r="AO773" i="48"/>
  <c r="AN773" i="48"/>
  <c r="AM773" i="48"/>
  <c r="AL773" i="48"/>
  <c r="AK773" i="48"/>
  <c r="AS772" i="48"/>
  <c r="AR772" i="48"/>
  <c r="AQ772" i="48"/>
  <c r="AP772" i="48"/>
  <c r="AO772" i="48"/>
  <c r="AN772" i="48"/>
  <c r="AM772" i="48"/>
  <c r="AL772" i="48"/>
  <c r="AK772" i="48"/>
  <c r="AS771" i="48"/>
  <c r="AR771" i="48"/>
  <c r="AQ771" i="48"/>
  <c r="AP771" i="48"/>
  <c r="AO771" i="48"/>
  <c r="AN771" i="48"/>
  <c r="AM771" i="48"/>
  <c r="AL771" i="48"/>
  <c r="AK771" i="48"/>
  <c r="AS770" i="48"/>
  <c r="AR770" i="48"/>
  <c r="AQ770" i="48"/>
  <c r="AP770" i="48"/>
  <c r="AO770" i="48"/>
  <c r="AN770" i="48"/>
  <c r="AM770" i="48"/>
  <c r="AL770" i="48"/>
  <c r="AK770" i="48"/>
  <c r="AS769" i="48"/>
  <c r="AR769" i="48"/>
  <c r="AQ769" i="48"/>
  <c r="AP769" i="48"/>
  <c r="AO769" i="48"/>
  <c r="AN769" i="48"/>
  <c r="AM769" i="48"/>
  <c r="AL769" i="48"/>
  <c r="AK769" i="48"/>
  <c r="AS768" i="48"/>
  <c r="AR768" i="48"/>
  <c r="AQ768" i="48"/>
  <c r="AP768" i="48"/>
  <c r="AO768" i="48"/>
  <c r="AN768" i="48"/>
  <c r="AM768" i="48"/>
  <c r="AL768" i="48"/>
  <c r="AK768" i="48"/>
  <c r="AS767" i="48"/>
  <c r="AR767" i="48"/>
  <c r="AQ767" i="48"/>
  <c r="AP767" i="48"/>
  <c r="AO767" i="48"/>
  <c r="AN767" i="48"/>
  <c r="AM767" i="48"/>
  <c r="AL767" i="48"/>
  <c r="AK767" i="48"/>
  <c r="AF767" i="48"/>
  <c r="AS766" i="48"/>
  <c r="AR766" i="48"/>
  <c r="AQ766" i="48"/>
  <c r="AP766" i="48"/>
  <c r="AO766" i="48"/>
  <c r="AN766" i="48"/>
  <c r="AM766" i="48"/>
  <c r="AL766" i="48"/>
  <c r="AK766" i="48"/>
  <c r="AS765" i="48"/>
  <c r="AR765" i="48"/>
  <c r="AQ765" i="48"/>
  <c r="AP765" i="48"/>
  <c r="AO765" i="48"/>
  <c r="AN765" i="48"/>
  <c r="AM765" i="48"/>
  <c r="AL765" i="48"/>
  <c r="AK765" i="48"/>
  <c r="AS764" i="48"/>
  <c r="AR764" i="48"/>
  <c r="AQ764" i="48"/>
  <c r="AP764" i="48"/>
  <c r="AO764" i="48"/>
  <c r="AN764" i="48"/>
  <c r="AM764" i="48"/>
  <c r="AL764" i="48"/>
  <c r="AK764" i="48"/>
  <c r="AS763" i="48"/>
  <c r="AR763" i="48"/>
  <c r="AQ763" i="48"/>
  <c r="AP763" i="48"/>
  <c r="AO763" i="48"/>
  <c r="AN763" i="48"/>
  <c r="AM763" i="48"/>
  <c r="AL763" i="48"/>
  <c r="AK763" i="48"/>
  <c r="AS762" i="48"/>
  <c r="AR762" i="48"/>
  <c r="AQ762" i="48"/>
  <c r="AP762" i="48"/>
  <c r="AO762" i="48"/>
  <c r="AN762" i="48"/>
  <c r="AM762" i="48"/>
  <c r="AL762" i="48"/>
  <c r="AK762" i="48"/>
  <c r="AS761" i="48"/>
  <c r="AR761" i="48"/>
  <c r="AQ761" i="48"/>
  <c r="AP761" i="48"/>
  <c r="AO761" i="48"/>
  <c r="AN761" i="48"/>
  <c r="AM761" i="48"/>
  <c r="AL761" i="48"/>
  <c r="AK761" i="48"/>
  <c r="AS760" i="48"/>
  <c r="AR760" i="48"/>
  <c r="AQ760" i="48"/>
  <c r="AP760" i="48"/>
  <c r="AO760" i="48"/>
  <c r="AN760" i="48"/>
  <c r="AM760" i="48"/>
  <c r="AL760" i="48"/>
  <c r="AK760" i="48"/>
  <c r="AS759" i="48"/>
  <c r="AR759" i="48"/>
  <c r="AQ759" i="48"/>
  <c r="AP759" i="48"/>
  <c r="AO759" i="48"/>
  <c r="AN759" i="48"/>
  <c r="AM759" i="48"/>
  <c r="AL759" i="48"/>
  <c r="AK759" i="48"/>
  <c r="AS758" i="48"/>
  <c r="AR758" i="48"/>
  <c r="AQ758" i="48"/>
  <c r="AP758" i="48"/>
  <c r="AO758" i="48"/>
  <c r="AN758" i="48"/>
  <c r="AM758" i="48"/>
  <c r="AL758" i="48"/>
  <c r="AK758" i="48"/>
  <c r="AS757" i="48"/>
  <c r="AR757" i="48"/>
  <c r="AQ757" i="48"/>
  <c r="AP757" i="48"/>
  <c r="AO757" i="48"/>
  <c r="AN757" i="48"/>
  <c r="AM757" i="48"/>
  <c r="AL757" i="48"/>
  <c r="AK757" i="48"/>
  <c r="AS756" i="48"/>
  <c r="AR756" i="48"/>
  <c r="AQ756" i="48"/>
  <c r="AP756" i="48"/>
  <c r="AO756" i="48"/>
  <c r="AN756" i="48"/>
  <c r="AM756" i="48"/>
  <c r="AL756" i="48"/>
  <c r="AK756" i="48"/>
  <c r="AS755" i="48"/>
  <c r="AR755" i="48"/>
  <c r="AQ755" i="48"/>
  <c r="AP755" i="48"/>
  <c r="AO755" i="48"/>
  <c r="AN755" i="48"/>
  <c r="AM755" i="48"/>
  <c r="AL755" i="48"/>
  <c r="AK755" i="48"/>
  <c r="AS754" i="48"/>
  <c r="AR754" i="48"/>
  <c r="AQ754" i="48"/>
  <c r="AP754" i="48"/>
  <c r="AO754" i="48"/>
  <c r="AN754" i="48"/>
  <c r="AM754" i="48"/>
  <c r="AL754" i="48"/>
  <c r="AK754" i="48"/>
  <c r="AS753" i="48"/>
  <c r="AR753" i="48"/>
  <c r="AQ753" i="48"/>
  <c r="AP753" i="48"/>
  <c r="AO753" i="48"/>
  <c r="AN753" i="48"/>
  <c r="AM753" i="48"/>
  <c r="AL753" i="48"/>
  <c r="AK753" i="48"/>
  <c r="AS752" i="48"/>
  <c r="AR752" i="48"/>
  <c r="AQ752" i="48"/>
  <c r="AP752" i="48"/>
  <c r="AO752" i="48"/>
  <c r="AN752" i="48"/>
  <c r="AM752" i="48"/>
  <c r="AL752" i="48"/>
  <c r="AK752" i="48"/>
  <c r="AS751" i="48"/>
  <c r="AR751" i="48"/>
  <c r="AQ751" i="48"/>
  <c r="AP751" i="48"/>
  <c r="AO751" i="48"/>
  <c r="AN751" i="48"/>
  <c r="AM751" i="48"/>
  <c r="AL751" i="48"/>
  <c r="AK751" i="48"/>
  <c r="AS750" i="48"/>
  <c r="AR750" i="48"/>
  <c r="AQ750" i="48"/>
  <c r="AP750" i="48"/>
  <c r="AO750" i="48"/>
  <c r="AN750" i="48"/>
  <c r="AM750" i="48"/>
  <c r="AL750" i="48"/>
  <c r="AK750" i="48"/>
  <c r="AS749" i="48"/>
  <c r="AR749" i="48"/>
  <c r="AQ749" i="48"/>
  <c r="AP749" i="48"/>
  <c r="AO749" i="48"/>
  <c r="AN749" i="48"/>
  <c r="AM749" i="48"/>
  <c r="AL749" i="48"/>
  <c r="AK749" i="48"/>
  <c r="AS748" i="48"/>
  <c r="AR748" i="48"/>
  <c r="AQ748" i="48"/>
  <c r="AP748" i="48"/>
  <c r="AO748" i="48"/>
  <c r="AN748" i="48"/>
  <c r="AM748" i="48"/>
  <c r="AL748" i="48"/>
  <c r="AK748" i="48"/>
  <c r="AF748" i="48"/>
  <c r="AS747" i="48"/>
  <c r="AR747" i="48"/>
  <c r="AQ747" i="48"/>
  <c r="AP747" i="48"/>
  <c r="AO747" i="48"/>
  <c r="AN747" i="48"/>
  <c r="AM747" i="48"/>
  <c r="AL747" i="48"/>
  <c r="AK747" i="48"/>
  <c r="AJ747" i="48"/>
  <c r="AS746" i="48"/>
  <c r="AR746" i="48"/>
  <c r="AQ746" i="48"/>
  <c r="AP746" i="48"/>
  <c r="AO746" i="48"/>
  <c r="AN746" i="48"/>
  <c r="AM746" i="48"/>
  <c r="AL746" i="48"/>
  <c r="AK746" i="48"/>
  <c r="AS745" i="48"/>
  <c r="AR745" i="48"/>
  <c r="AQ745" i="48"/>
  <c r="AP745" i="48"/>
  <c r="AO745" i="48"/>
  <c r="AN745" i="48"/>
  <c r="AM745" i="48"/>
  <c r="AL745" i="48"/>
  <c r="AK745" i="48"/>
  <c r="AS744" i="48"/>
  <c r="AR744" i="48"/>
  <c r="AQ744" i="48"/>
  <c r="AP744" i="48"/>
  <c r="AO744" i="48"/>
  <c r="AN744" i="48"/>
  <c r="AM744" i="48"/>
  <c r="AL744" i="48"/>
  <c r="AK744" i="48"/>
  <c r="AS743" i="48"/>
  <c r="AR743" i="48"/>
  <c r="AQ743" i="48"/>
  <c r="AP743" i="48"/>
  <c r="AO743" i="48"/>
  <c r="AN743" i="48"/>
  <c r="AM743" i="48"/>
  <c r="AL743" i="48"/>
  <c r="AK743" i="48"/>
  <c r="AS742" i="48"/>
  <c r="AR742" i="48"/>
  <c r="AQ742" i="48"/>
  <c r="AP742" i="48"/>
  <c r="AO742" i="48"/>
  <c r="AN742" i="48"/>
  <c r="AM742" i="48"/>
  <c r="AL742" i="48"/>
  <c r="AK742" i="48"/>
  <c r="AS741" i="48"/>
  <c r="AR741" i="48"/>
  <c r="AQ741" i="48"/>
  <c r="AP741" i="48"/>
  <c r="AO741" i="48"/>
  <c r="AN741" i="48"/>
  <c r="AM741" i="48"/>
  <c r="AL741" i="48"/>
  <c r="AK741" i="48"/>
  <c r="AS740" i="48"/>
  <c r="AR740" i="48"/>
  <c r="AQ740" i="48"/>
  <c r="AP740" i="48"/>
  <c r="AO740" i="48"/>
  <c r="AN740" i="48"/>
  <c r="AM740" i="48"/>
  <c r="AL740" i="48"/>
  <c r="AK740" i="48"/>
  <c r="AS739" i="48"/>
  <c r="AR739" i="48"/>
  <c r="AQ739" i="48"/>
  <c r="AP739" i="48"/>
  <c r="AO739" i="48"/>
  <c r="AN739" i="48"/>
  <c r="AM739" i="48"/>
  <c r="AL739" i="48"/>
  <c r="AK739" i="48"/>
  <c r="AF739" i="48"/>
  <c r="AS738" i="48"/>
  <c r="AR738" i="48"/>
  <c r="AQ738" i="48"/>
  <c r="AP738" i="48"/>
  <c r="AO738" i="48"/>
  <c r="AN738" i="48"/>
  <c r="AM738" i="48"/>
  <c r="AL738" i="48"/>
  <c r="AK738" i="48"/>
  <c r="CF737" i="48"/>
  <c r="CD737" i="48"/>
  <c r="CC737" i="48"/>
  <c r="BW737" i="48"/>
  <c r="BH737" i="48"/>
  <c r="BF737" i="48"/>
  <c r="BE737" i="48"/>
  <c r="AY737" i="48"/>
  <c r="AS737" i="48"/>
  <c r="AR737" i="48"/>
  <c r="AQ737" i="48"/>
  <c r="AP737" i="48"/>
  <c r="AO737" i="48"/>
  <c r="AN737" i="48"/>
  <c r="AM737" i="48"/>
  <c r="AL737" i="48"/>
  <c r="AK737" i="48"/>
  <c r="CL736" i="48"/>
  <c r="CK736" i="48"/>
  <c r="CJ736" i="48"/>
  <c r="CI736" i="48"/>
  <c r="CH736" i="48"/>
  <c r="CG736" i="48"/>
  <c r="CF736" i="48"/>
  <c r="CE736" i="48"/>
  <c r="CD736" i="48"/>
  <c r="CC736" i="48"/>
  <c r="CB736" i="48"/>
  <c r="CA736" i="48"/>
  <c r="BZ736" i="48"/>
  <c r="BY736" i="48"/>
  <c r="BX736" i="48"/>
  <c r="BW736" i="48"/>
  <c r="BV736" i="48"/>
  <c r="BU736" i="48"/>
  <c r="BT736" i="48"/>
  <c r="BS736" i="48"/>
  <c r="BR736" i="48"/>
  <c r="BQ736" i="48"/>
  <c r="BP736" i="48"/>
  <c r="BO736" i="48"/>
  <c r="BN736" i="48"/>
  <c r="BM736" i="48"/>
  <c r="BL736" i="48"/>
  <c r="BK736" i="48"/>
  <c r="BJ736" i="48"/>
  <c r="BI736" i="48"/>
  <c r="BH736" i="48"/>
  <c r="BG736" i="48"/>
  <c r="BF736" i="48"/>
  <c r="BE736" i="48"/>
  <c r="BD736" i="48"/>
  <c r="BC736" i="48"/>
  <c r="BB736" i="48"/>
  <c r="BA736" i="48"/>
  <c r="AZ736" i="48"/>
  <c r="AY736" i="48"/>
  <c r="AX736" i="48"/>
  <c r="AW736" i="48"/>
  <c r="AV736" i="48"/>
  <c r="AU736" i="48"/>
  <c r="AT736" i="48"/>
  <c r="AS736" i="48"/>
  <c r="AR736" i="48"/>
  <c r="AQ736" i="48"/>
  <c r="AP736" i="48"/>
  <c r="AO736" i="48"/>
  <c r="AN736" i="48"/>
  <c r="AM736" i="48"/>
  <c r="AL736" i="48"/>
  <c r="AK736" i="48"/>
  <c r="CL735" i="48"/>
  <c r="CK735" i="48"/>
  <c r="CJ735" i="48"/>
  <c r="CI735" i="48"/>
  <c r="CH735" i="48"/>
  <c r="CG735" i="48"/>
  <c r="CG737" i="48" s="1"/>
  <c r="CF735" i="48"/>
  <c r="CE735" i="48"/>
  <c r="CD735" i="48"/>
  <c r="CC735" i="48"/>
  <c r="CB735" i="48"/>
  <c r="CA735" i="48"/>
  <c r="BZ735" i="48"/>
  <c r="BY735" i="48"/>
  <c r="BX735" i="48"/>
  <c r="BW735" i="48"/>
  <c r="BV735" i="48"/>
  <c r="BU735" i="48"/>
  <c r="BT735" i="48"/>
  <c r="BS735" i="48"/>
  <c r="BR735" i="48"/>
  <c r="BQ735" i="48"/>
  <c r="BQ737" i="48" s="1"/>
  <c r="BP735" i="48"/>
  <c r="BO735" i="48"/>
  <c r="BN735" i="48"/>
  <c r="BM735" i="48"/>
  <c r="BL735" i="48"/>
  <c r="BK735" i="48"/>
  <c r="BJ735" i="48"/>
  <c r="BI735" i="48"/>
  <c r="BI737" i="48" s="1"/>
  <c r="BH735" i="48"/>
  <c r="BG735" i="48"/>
  <c r="BF735" i="48"/>
  <c r="BE735" i="48"/>
  <c r="BD735" i="48"/>
  <c r="BC735" i="48"/>
  <c r="BB735" i="48"/>
  <c r="BA735" i="48"/>
  <c r="AZ735" i="48"/>
  <c r="AY735" i="48"/>
  <c r="AX735" i="48"/>
  <c r="AW735" i="48"/>
  <c r="AV735" i="48"/>
  <c r="AU735" i="48"/>
  <c r="AT735" i="48"/>
  <c r="AS735" i="48"/>
  <c r="AR735" i="48"/>
  <c r="AQ735" i="48"/>
  <c r="AP735" i="48"/>
  <c r="AO735" i="48"/>
  <c r="AN735" i="48"/>
  <c r="AM735" i="48"/>
  <c r="AL735" i="48"/>
  <c r="AK735" i="48"/>
  <c r="AJ735" i="48"/>
  <c r="CL734" i="48"/>
  <c r="CK734" i="48"/>
  <c r="CJ734" i="48"/>
  <c r="CI734" i="48"/>
  <c r="CH734" i="48"/>
  <c r="CG734" i="48"/>
  <c r="CF734" i="48"/>
  <c r="CE734" i="48"/>
  <c r="CD734" i="48"/>
  <c r="CC734" i="48"/>
  <c r="CB734" i="48"/>
  <c r="CA734" i="48"/>
  <c r="BZ734" i="48"/>
  <c r="BY734" i="48"/>
  <c r="BX734" i="48"/>
  <c r="BW734" i="48"/>
  <c r="BV734" i="48"/>
  <c r="BU734" i="48"/>
  <c r="BT734" i="48"/>
  <c r="BS734" i="48"/>
  <c r="BR734" i="48"/>
  <c r="BQ734" i="48"/>
  <c r="BP734" i="48"/>
  <c r="BO734" i="48"/>
  <c r="BN734" i="48"/>
  <c r="BM734" i="48"/>
  <c r="BL734" i="48"/>
  <c r="BK734" i="48"/>
  <c r="BJ734" i="48"/>
  <c r="BI734" i="48"/>
  <c r="BH734" i="48"/>
  <c r="BG734" i="48"/>
  <c r="BF734" i="48"/>
  <c r="BE734" i="48"/>
  <c r="BD734" i="48"/>
  <c r="BC734" i="48"/>
  <c r="BB734" i="48"/>
  <c r="BA734" i="48"/>
  <c r="AZ734" i="48"/>
  <c r="AY734" i="48"/>
  <c r="AX734" i="48"/>
  <c r="AW734" i="48"/>
  <c r="AV734" i="48"/>
  <c r="AU734" i="48"/>
  <c r="AT734" i="48"/>
  <c r="AS734" i="48"/>
  <c r="AR734" i="48"/>
  <c r="AQ734" i="48"/>
  <c r="AP734" i="48"/>
  <c r="AO734" i="48"/>
  <c r="AN734" i="48"/>
  <c r="AM734" i="48"/>
  <c r="AL734" i="48"/>
  <c r="AK734" i="48"/>
  <c r="CL733" i="48"/>
  <c r="CK733" i="48"/>
  <c r="CJ733" i="48"/>
  <c r="CI733" i="48"/>
  <c r="CH733" i="48"/>
  <c r="CG733" i="48"/>
  <c r="CF733" i="48"/>
  <c r="CE733" i="48"/>
  <c r="CD733" i="48"/>
  <c r="CC733" i="48"/>
  <c r="CB733" i="48"/>
  <c r="CA733" i="48"/>
  <c r="BZ733" i="48"/>
  <c r="BY733" i="48"/>
  <c r="BX733" i="48"/>
  <c r="BW733" i="48"/>
  <c r="BV733" i="48"/>
  <c r="BU733" i="48"/>
  <c r="BT733" i="48"/>
  <c r="BS733" i="48"/>
  <c r="BR733" i="48"/>
  <c r="BQ733" i="48"/>
  <c r="BP733" i="48"/>
  <c r="BO733" i="48"/>
  <c r="BN733" i="48"/>
  <c r="BM733" i="48"/>
  <c r="BL733" i="48"/>
  <c r="BK733" i="48"/>
  <c r="BJ733" i="48"/>
  <c r="BI733" i="48"/>
  <c r="BH733" i="48"/>
  <c r="BG733" i="48"/>
  <c r="BF733" i="48"/>
  <c r="BE733" i="48"/>
  <c r="BD733" i="48"/>
  <c r="BC733" i="48"/>
  <c r="BB733" i="48"/>
  <c r="BA733" i="48"/>
  <c r="AZ733" i="48"/>
  <c r="AY733" i="48"/>
  <c r="AX733" i="48"/>
  <c r="AW733" i="48"/>
  <c r="AV733" i="48"/>
  <c r="AU733" i="48"/>
  <c r="AT733" i="48"/>
  <c r="AS733" i="48"/>
  <c r="AR733" i="48"/>
  <c r="AQ733" i="48"/>
  <c r="AP733" i="48"/>
  <c r="AO733" i="48"/>
  <c r="AN733" i="48"/>
  <c r="AM733" i="48"/>
  <c r="AL733" i="48"/>
  <c r="AK733" i="48"/>
  <c r="CL732" i="48"/>
  <c r="CK732" i="48"/>
  <c r="CJ732" i="48"/>
  <c r="CI732" i="48"/>
  <c r="CH732" i="48"/>
  <c r="CG732" i="48"/>
  <c r="CF732" i="48"/>
  <c r="CE732" i="48"/>
  <c r="CD732" i="48"/>
  <c r="CC732" i="48"/>
  <c r="CB732" i="48"/>
  <c r="CA732" i="48"/>
  <c r="BZ732" i="48"/>
  <c r="BY732" i="48"/>
  <c r="BX732" i="48"/>
  <c r="BW732" i="48"/>
  <c r="BV732" i="48"/>
  <c r="BU732" i="48"/>
  <c r="BT732" i="48"/>
  <c r="BS732" i="48"/>
  <c r="BR732" i="48"/>
  <c r="BQ732" i="48"/>
  <c r="BP732" i="48"/>
  <c r="BO732" i="48"/>
  <c r="BN732" i="48"/>
  <c r="BM732" i="48"/>
  <c r="BL732" i="48"/>
  <c r="BK732" i="48"/>
  <c r="BJ732" i="48"/>
  <c r="BI732" i="48"/>
  <c r="BH732" i="48"/>
  <c r="BG732" i="48"/>
  <c r="BF732" i="48"/>
  <c r="BE732" i="48"/>
  <c r="BD732" i="48"/>
  <c r="BC732" i="48"/>
  <c r="BB732" i="48"/>
  <c r="BA732" i="48"/>
  <c r="AZ732" i="48"/>
  <c r="AY732" i="48"/>
  <c r="AX732" i="48"/>
  <c r="AW732" i="48"/>
  <c r="AV732" i="48"/>
  <c r="AU732" i="48"/>
  <c r="AT732" i="48"/>
  <c r="AS732" i="48"/>
  <c r="AR732" i="48"/>
  <c r="AQ732" i="48"/>
  <c r="AP732" i="48"/>
  <c r="AO732" i="48"/>
  <c r="AN732" i="48"/>
  <c r="AM732" i="48"/>
  <c r="AL732" i="48"/>
  <c r="AK732" i="48"/>
  <c r="CL731" i="48"/>
  <c r="CK731" i="48"/>
  <c r="CJ731" i="48"/>
  <c r="CI731" i="48"/>
  <c r="CH731" i="48"/>
  <c r="CG731" i="48"/>
  <c r="CF731" i="48"/>
  <c r="CE731" i="48"/>
  <c r="CD731" i="48"/>
  <c r="CC731" i="48"/>
  <c r="CB731" i="48"/>
  <c r="CA731" i="48"/>
  <c r="BZ731" i="48"/>
  <c r="BY731" i="48"/>
  <c r="BX731" i="48"/>
  <c r="BW731" i="48"/>
  <c r="BV731" i="48"/>
  <c r="BU731" i="48"/>
  <c r="BT731" i="48"/>
  <c r="BS731" i="48"/>
  <c r="BR731" i="48"/>
  <c r="BQ731" i="48"/>
  <c r="BP731" i="48"/>
  <c r="BO731" i="48"/>
  <c r="BN731" i="48"/>
  <c r="BM731" i="48"/>
  <c r="BL731" i="48"/>
  <c r="BK731" i="48"/>
  <c r="BJ731" i="48"/>
  <c r="BI731" i="48"/>
  <c r="BH731" i="48"/>
  <c r="BG731" i="48"/>
  <c r="BF731" i="48"/>
  <c r="BE731" i="48"/>
  <c r="BD731" i="48"/>
  <c r="BC731" i="48"/>
  <c r="BB731" i="48"/>
  <c r="BA731" i="48"/>
  <c r="AZ731" i="48"/>
  <c r="AY731" i="48"/>
  <c r="AX731" i="48"/>
  <c r="AW731" i="48"/>
  <c r="AV731" i="48"/>
  <c r="AU731" i="48"/>
  <c r="AT731" i="48"/>
  <c r="AS731" i="48"/>
  <c r="AR731" i="48"/>
  <c r="AQ731" i="48"/>
  <c r="AP731" i="48"/>
  <c r="AO731" i="48"/>
  <c r="AN731" i="48"/>
  <c r="AM731" i="48"/>
  <c r="AL731" i="48"/>
  <c r="AK731" i="48"/>
  <c r="CL730" i="48"/>
  <c r="CK730" i="48"/>
  <c r="CJ730" i="48"/>
  <c r="CI730" i="48"/>
  <c r="CH730" i="48"/>
  <c r="CG730" i="48"/>
  <c r="CF730" i="48"/>
  <c r="CE730" i="48"/>
  <c r="CD730" i="48"/>
  <c r="CC730" i="48"/>
  <c r="CB730" i="48"/>
  <c r="CA730" i="48"/>
  <c r="BZ730" i="48"/>
  <c r="BY730" i="48"/>
  <c r="BX730" i="48"/>
  <c r="BW730" i="48"/>
  <c r="BV730" i="48"/>
  <c r="BU730" i="48"/>
  <c r="BT730" i="48"/>
  <c r="BS730" i="48"/>
  <c r="BR730" i="48"/>
  <c r="BQ730" i="48"/>
  <c r="BP730" i="48"/>
  <c r="BO730" i="48"/>
  <c r="BN730" i="48"/>
  <c r="BM730" i="48"/>
  <c r="BL730" i="48"/>
  <c r="BK730" i="48"/>
  <c r="BJ730" i="48"/>
  <c r="BI730" i="48"/>
  <c r="BH730" i="48"/>
  <c r="BG730" i="48"/>
  <c r="BF730" i="48"/>
  <c r="BE730" i="48"/>
  <c r="BD730" i="48"/>
  <c r="BC730" i="48"/>
  <c r="BB730" i="48"/>
  <c r="BA730" i="48"/>
  <c r="AZ730" i="48"/>
  <c r="AY730" i="48"/>
  <c r="AX730" i="48"/>
  <c r="AW730" i="48"/>
  <c r="AV730" i="48"/>
  <c r="AU730" i="48"/>
  <c r="AT730" i="48"/>
  <c r="AS730" i="48"/>
  <c r="AR730" i="48"/>
  <c r="AQ730" i="48"/>
  <c r="AP730" i="48"/>
  <c r="AO730" i="48"/>
  <c r="AN730" i="48"/>
  <c r="AM730" i="48"/>
  <c r="AL730" i="48"/>
  <c r="AK730" i="48"/>
  <c r="CL729" i="48"/>
  <c r="CK729" i="48"/>
  <c r="CJ729" i="48"/>
  <c r="CI729" i="48"/>
  <c r="CH729" i="48"/>
  <c r="CG729" i="48"/>
  <c r="CF729" i="48"/>
  <c r="CE729" i="48"/>
  <c r="CD729" i="48"/>
  <c r="CC729" i="48"/>
  <c r="CB729" i="48"/>
  <c r="CA729" i="48"/>
  <c r="BZ729" i="48"/>
  <c r="BY729" i="48"/>
  <c r="BX729" i="48"/>
  <c r="BW729" i="48"/>
  <c r="BV729" i="48"/>
  <c r="BU729" i="48"/>
  <c r="BT729" i="48"/>
  <c r="BS729" i="48"/>
  <c r="BR729" i="48"/>
  <c r="BQ729" i="48"/>
  <c r="BP729" i="48"/>
  <c r="BO729" i="48"/>
  <c r="BN729" i="48"/>
  <c r="BM729" i="48"/>
  <c r="BL729" i="48"/>
  <c r="BK729" i="48"/>
  <c r="BJ729" i="48"/>
  <c r="BI729" i="48"/>
  <c r="BH729" i="48"/>
  <c r="BG729" i="48"/>
  <c r="BF729" i="48"/>
  <c r="BE729" i="48"/>
  <c r="BD729" i="48"/>
  <c r="BC729" i="48"/>
  <c r="BB729" i="48"/>
  <c r="BA729" i="48"/>
  <c r="AZ729" i="48"/>
  <c r="AY729" i="48"/>
  <c r="AX729" i="48"/>
  <c r="AW729" i="48"/>
  <c r="AV729" i="48"/>
  <c r="AU729" i="48"/>
  <c r="AT729" i="48"/>
  <c r="AS729" i="48"/>
  <c r="AR729" i="48"/>
  <c r="AQ729" i="48"/>
  <c r="AP729" i="48"/>
  <c r="AO729" i="48"/>
  <c r="AN729" i="48"/>
  <c r="AM729" i="48"/>
  <c r="AL729" i="48"/>
  <c r="AK729" i="48"/>
  <c r="CL728" i="48"/>
  <c r="CL737" i="48" s="1"/>
  <c r="CK728" i="48"/>
  <c r="CJ728" i="48"/>
  <c r="CJ737" i="48" s="1"/>
  <c r="CI728" i="48"/>
  <c r="CI737" i="48" s="1"/>
  <c r="CH728" i="48"/>
  <c r="CG728" i="48"/>
  <c r="CF728" i="48"/>
  <c r="CE728" i="48"/>
  <c r="CD728" i="48"/>
  <c r="CC728" i="48"/>
  <c r="CB728" i="48"/>
  <c r="CA728" i="48"/>
  <c r="CA737" i="48" s="1"/>
  <c r="BZ728" i="48"/>
  <c r="BZ737" i="48" s="1"/>
  <c r="BY728" i="48"/>
  <c r="BX728" i="48"/>
  <c r="BX737" i="48" s="1"/>
  <c r="BW728" i="48"/>
  <c r="BV728" i="48"/>
  <c r="BU728" i="48"/>
  <c r="BU737" i="48" s="1"/>
  <c r="BT728" i="48"/>
  <c r="BT737" i="48" s="1"/>
  <c r="BS728" i="48"/>
  <c r="BR728" i="48"/>
  <c r="BR737" i="48" s="1"/>
  <c r="BQ728" i="48"/>
  <c r="BP728" i="48"/>
  <c r="BO728" i="48"/>
  <c r="BO737" i="48" s="1"/>
  <c r="BN728" i="48"/>
  <c r="BN737" i="48" s="1"/>
  <c r="BM728" i="48"/>
  <c r="BL728" i="48"/>
  <c r="BL737" i="48" s="1"/>
  <c r="BK728" i="48"/>
  <c r="BK737" i="48" s="1"/>
  <c r="BJ728" i="48"/>
  <c r="BI728" i="48"/>
  <c r="BH728" i="48"/>
  <c r="BG728" i="48"/>
  <c r="BF728" i="48"/>
  <c r="BE728" i="48"/>
  <c r="BD728" i="48"/>
  <c r="BC728" i="48"/>
  <c r="BC737" i="48" s="1"/>
  <c r="BB728" i="48"/>
  <c r="BB737" i="48" s="1"/>
  <c r="BA728" i="48"/>
  <c r="AZ728" i="48"/>
  <c r="AZ737" i="48" s="1"/>
  <c r="AY728" i="48"/>
  <c r="AX728" i="48"/>
  <c r="AW728" i="48"/>
  <c r="AW737" i="48" s="1"/>
  <c r="AV728" i="48"/>
  <c r="AV737" i="48" s="1"/>
  <c r="AU728" i="48"/>
  <c r="AT728" i="48"/>
  <c r="AT737" i="48" s="1"/>
  <c r="AS728" i="48"/>
  <c r="AR728" i="48"/>
  <c r="AQ728" i="48"/>
  <c r="AP728" i="48"/>
  <c r="AO728" i="48"/>
  <c r="AN728" i="48"/>
  <c r="AM728" i="48"/>
  <c r="AL728" i="48"/>
  <c r="AK728" i="48"/>
  <c r="AF728" i="48"/>
  <c r="AS727" i="48"/>
  <c r="AR727" i="48"/>
  <c r="AQ727" i="48"/>
  <c r="AP727" i="48"/>
  <c r="AO727" i="48"/>
  <c r="AN727" i="48"/>
  <c r="AM727" i="48"/>
  <c r="AL727" i="48"/>
  <c r="AK727" i="48"/>
  <c r="AS726" i="48"/>
  <c r="AR726" i="48"/>
  <c r="AQ726" i="48"/>
  <c r="AP726" i="48"/>
  <c r="AO726" i="48"/>
  <c r="AN726" i="48"/>
  <c r="AM726" i="48"/>
  <c r="AL726" i="48"/>
  <c r="AK726" i="48"/>
  <c r="AS725" i="48"/>
  <c r="AR725" i="48"/>
  <c r="AQ725" i="48"/>
  <c r="AP725" i="48"/>
  <c r="AO725" i="48"/>
  <c r="AN725" i="48"/>
  <c r="AM725" i="48"/>
  <c r="AL725" i="48"/>
  <c r="AK725" i="48"/>
  <c r="AS724" i="48"/>
  <c r="AR724" i="48"/>
  <c r="AQ724" i="48"/>
  <c r="AP724" i="48"/>
  <c r="AO724" i="48"/>
  <c r="AN724" i="48"/>
  <c r="AM724" i="48"/>
  <c r="AL724" i="48"/>
  <c r="AK724" i="48"/>
  <c r="AS723" i="48"/>
  <c r="AR723" i="48"/>
  <c r="AQ723" i="48"/>
  <c r="AP723" i="48"/>
  <c r="AO723" i="48"/>
  <c r="AN723" i="48"/>
  <c r="AM723" i="48"/>
  <c r="AL723" i="48"/>
  <c r="AK723" i="48"/>
  <c r="AS722" i="48"/>
  <c r="AR722" i="48"/>
  <c r="AQ722" i="48"/>
  <c r="AP722" i="48"/>
  <c r="AO722" i="48"/>
  <c r="AN722" i="48"/>
  <c r="AM722" i="48"/>
  <c r="AL722" i="48"/>
  <c r="AK722" i="48"/>
  <c r="AJ722" i="48"/>
  <c r="AS721" i="48"/>
  <c r="AR721" i="48"/>
  <c r="AQ721" i="48"/>
  <c r="AP721" i="48"/>
  <c r="AO721" i="48"/>
  <c r="AN721" i="48"/>
  <c r="AM721" i="48"/>
  <c r="AL721" i="48"/>
  <c r="AK721" i="48"/>
  <c r="AS720" i="48"/>
  <c r="AR720" i="48"/>
  <c r="AQ720" i="48"/>
  <c r="AP720" i="48"/>
  <c r="AO720" i="48"/>
  <c r="AN720" i="48"/>
  <c r="AM720" i="48"/>
  <c r="AL720" i="48"/>
  <c r="AK720" i="48"/>
  <c r="AS719" i="48"/>
  <c r="AS883" i="48" s="1"/>
  <c r="AR719" i="48"/>
  <c r="AQ719" i="48"/>
  <c r="AP719" i="48"/>
  <c r="AO719" i="48"/>
  <c r="AN719" i="48"/>
  <c r="AM719" i="48"/>
  <c r="AL719" i="48"/>
  <c r="AK719" i="48"/>
  <c r="AS718" i="48"/>
  <c r="AR718" i="48"/>
  <c r="AQ718" i="48"/>
  <c r="AQ883" i="48" s="1"/>
  <c r="AP718" i="48"/>
  <c r="AP883" i="48" s="1"/>
  <c r="AO718" i="48"/>
  <c r="AN718" i="48"/>
  <c r="AN883" i="48" s="1"/>
  <c r="AM718" i="48"/>
  <c r="AL718" i="48"/>
  <c r="AK718" i="48"/>
  <c r="AK883" i="48" s="1"/>
  <c r="AH718" i="48"/>
  <c r="B710" i="48"/>
  <c r="B709" i="48"/>
  <c r="B708" i="48"/>
  <c r="B707" i="48"/>
  <c r="B706" i="48"/>
  <c r="B705" i="48"/>
  <c r="AH537" i="48"/>
  <c r="AH538" i="48"/>
  <c r="AH539" i="48"/>
  <c r="AH540" i="48"/>
  <c r="AH541" i="48"/>
  <c r="AH542" i="48"/>
  <c r="AH543" i="48"/>
  <c r="AH544" i="48"/>
  <c r="AH545" i="48"/>
  <c r="AH546" i="48"/>
  <c r="AH547" i="48"/>
  <c r="AH548" i="48"/>
  <c r="AH549" i="48"/>
  <c r="AH550" i="48"/>
  <c r="AH551" i="48"/>
  <c r="AH552" i="48"/>
  <c r="AH553" i="48"/>
  <c r="AH554" i="48"/>
  <c r="AH555" i="48"/>
  <c r="AH556" i="48"/>
  <c r="AH557" i="48"/>
  <c r="AH558" i="48"/>
  <c r="AH559" i="48"/>
  <c r="AH560" i="48"/>
  <c r="AH561" i="48"/>
  <c r="AH562" i="48"/>
  <c r="AH563" i="48"/>
  <c r="AH564" i="48"/>
  <c r="AH565" i="48"/>
  <c r="AH566" i="48"/>
  <c r="AH567" i="48"/>
  <c r="AH568" i="48"/>
  <c r="AH569" i="48"/>
  <c r="AH570" i="48"/>
  <c r="AH571" i="48"/>
  <c r="AH572" i="48"/>
  <c r="AH573" i="48"/>
  <c r="AH574" i="48"/>
  <c r="AH575" i="48"/>
  <c r="AH576" i="48"/>
  <c r="AH577" i="48"/>
  <c r="AH578" i="48"/>
  <c r="AH579" i="48"/>
  <c r="AH580" i="48"/>
  <c r="AH581" i="48"/>
  <c r="AH582" i="48"/>
  <c r="AH583" i="48"/>
  <c r="AH584" i="48"/>
  <c r="AH585" i="48"/>
  <c r="AH586" i="48"/>
  <c r="AH587" i="48"/>
  <c r="AH588" i="48"/>
  <c r="AH589" i="48"/>
  <c r="AH590" i="48"/>
  <c r="AH591" i="48"/>
  <c r="AH592" i="48"/>
  <c r="AH593" i="48"/>
  <c r="AH594" i="48"/>
  <c r="AH595" i="48"/>
  <c r="AH596" i="48"/>
  <c r="AH597" i="48"/>
  <c r="AH598" i="48"/>
  <c r="AH599" i="48"/>
  <c r="AH600" i="48"/>
  <c r="AH601" i="48"/>
  <c r="AH602" i="48"/>
  <c r="AH603" i="48"/>
  <c r="AH604" i="48"/>
  <c r="AH605" i="48"/>
  <c r="AH606" i="48"/>
  <c r="AH607" i="48"/>
  <c r="AH608" i="48"/>
  <c r="AH609" i="48"/>
  <c r="AH610" i="48"/>
  <c r="AH611" i="48"/>
  <c r="AH612" i="48"/>
  <c r="AH613" i="48"/>
  <c r="AH614" i="48"/>
  <c r="AH615" i="48"/>
  <c r="AH616" i="48"/>
  <c r="AH617" i="48"/>
  <c r="AH618" i="48"/>
  <c r="AH619" i="48"/>
  <c r="AH620" i="48"/>
  <c r="AH621" i="48"/>
  <c r="AH622" i="48"/>
  <c r="AH623" i="48"/>
  <c r="AH624" i="48"/>
  <c r="AH625" i="48"/>
  <c r="AH626" i="48"/>
  <c r="AH627" i="48"/>
  <c r="AH628" i="48"/>
  <c r="AH629" i="48"/>
  <c r="AH630" i="48"/>
  <c r="AH631" i="48"/>
  <c r="AH632" i="48"/>
  <c r="AH633" i="48"/>
  <c r="AH634" i="48"/>
  <c r="AH635" i="48"/>
  <c r="AH636" i="48"/>
  <c r="AH637" i="48"/>
  <c r="AH638" i="48"/>
  <c r="AH639" i="48"/>
  <c r="AH640" i="48"/>
  <c r="AH641" i="48"/>
  <c r="AH642" i="48"/>
  <c r="AH643" i="48"/>
  <c r="AH644" i="48"/>
  <c r="AH645" i="48"/>
  <c r="AH646" i="48"/>
  <c r="AH647" i="48"/>
  <c r="AH648" i="48"/>
  <c r="AH649" i="48"/>
  <c r="AH650" i="48"/>
  <c r="AH651" i="48"/>
  <c r="AH652" i="48"/>
  <c r="AH653" i="48"/>
  <c r="AH654" i="48"/>
  <c r="AH655" i="48"/>
  <c r="AH656" i="48"/>
  <c r="AH657" i="48"/>
  <c r="AH658" i="48"/>
  <c r="AH659" i="48"/>
  <c r="AH660" i="48"/>
  <c r="AH661" i="48"/>
  <c r="AH662" i="48"/>
  <c r="AH663" i="48"/>
  <c r="AH664" i="48"/>
  <c r="AH665" i="48"/>
  <c r="AH666" i="48"/>
  <c r="AH667" i="48"/>
  <c r="AH668" i="48"/>
  <c r="AH669" i="48"/>
  <c r="AH670" i="48"/>
  <c r="AH671" i="48"/>
  <c r="AH672" i="48"/>
  <c r="AH673" i="48"/>
  <c r="AH674" i="48"/>
  <c r="AH675" i="48"/>
  <c r="AH676" i="48"/>
  <c r="AH677" i="48"/>
  <c r="AH678" i="48"/>
  <c r="AH679" i="48"/>
  <c r="AH680" i="48"/>
  <c r="AH681" i="48"/>
  <c r="AH682" i="48"/>
  <c r="AH683" i="48"/>
  <c r="AH684" i="48"/>
  <c r="AH685" i="48"/>
  <c r="AH686" i="48"/>
  <c r="AH687" i="48"/>
  <c r="AH688" i="48"/>
  <c r="AH689" i="48"/>
  <c r="AH690" i="48"/>
  <c r="AH691" i="48"/>
  <c r="AH692" i="48"/>
  <c r="AH693" i="48"/>
  <c r="AH694" i="48"/>
  <c r="AH695" i="48"/>
  <c r="AH696" i="48"/>
  <c r="AH697" i="48"/>
  <c r="AH698" i="48"/>
  <c r="AH699" i="48"/>
  <c r="AH700" i="48"/>
  <c r="AG537" i="48"/>
  <c r="AG538" i="48"/>
  <c r="AG539" i="48"/>
  <c r="AG540" i="48"/>
  <c r="AG541" i="48"/>
  <c r="AG542" i="48"/>
  <c r="AG543" i="48"/>
  <c r="AG544" i="48"/>
  <c r="AG545" i="48"/>
  <c r="AG546" i="48"/>
  <c r="AG547" i="48"/>
  <c r="AG548" i="48"/>
  <c r="AG549" i="48"/>
  <c r="AG550" i="48"/>
  <c r="AG551" i="48"/>
  <c r="AG552" i="48"/>
  <c r="AG553" i="48"/>
  <c r="AG554" i="48"/>
  <c r="AG555" i="48"/>
  <c r="AG556" i="48"/>
  <c r="AG557" i="48"/>
  <c r="AG558" i="48"/>
  <c r="AG559" i="48"/>
  <c r="AG560" i="48"/>
  <c r="AG561" i="48"/>
  <c r="AG562" i="48"/>
  <c r="AG563" i="48"/>
  <c r="AG564" i="48"/>
  <c r="AG565" i="48"/>
  <c r="AG566" i="48"/>
  <c r="AG567" i="48"/>
  <c r="AG568" i="48"/>
  <c r="AG569" i="48"/>
  <c r="AG570" i="48"/>
  <c r="AG571" i="48"/>
  <c r="AG572" i="48"/>
  <c r="AG573" i="48"/>
  <c r="AG574" i="48"/>
  <c r="AG575" i="48"/>
  <c r="AG576" i="48"/>
  <c r="AG577" i="48"/>
  <c r="AG578" i="48"/>
  <c r="AG579" i="48"/>
  <c r="AG580" i="48"/>
  <c r="AG581" i="48"/>
  <c r="AG582" i="48"/>
  <c r="AG583" i="48"/>
  <c r="AG584" i="48"/>
  <c r="AG585" i="48"/>
  <c r="AG586" i="48"/>
  <c r="AG587" i="48"/>
  <c r="AG588" i="48"/>
  <c r="AG589" i="48"/>
  <c r="AG590" i="48"/>
  <c r="AG591" i="48"/>
  <c r="AG592" i="48"/>
  <c r="AG593" i="48"/>
  <c r="AG594" i="48"/>
  <c r="AG595" i="48"/>
  <c r="AG596" i="48"/>
  <c r="AG597" i="48"/>
  <c r="AG598" i="48"/>
  <c r="AG599" i="48"/>
  <c r="AG600" i="48"/>
  <c r="AG601" i="48"/>
  <c r="AG602" i="48"/>
  <c r="AG603" i="48"/>
  <c r="AG604" i="48"/>
  <c r="AG605" i="48"/>
  <c r="AG606" i="48"/>
  <c r="AG607" i="48"/>
  <c r="AG608" i="48"/>
  <c r="AG609" i="48"/>
  <c r="AG610" i="48"/>
  <c r="AG611" i="48"/>
  <c r="AG612" i="48"/>
  <c r="AG613" i="48"/>
  <c r="AG614" i="48"/>
  <c r="AG615" i="48"/>
  <c r="AG616" i="48"/>
  <c r="AG617" i="48"/>
  <c r="AG618" i="48"/>
  <c r="AG619" i="48"/>
  <c r="AG620" i="48"/>
  <c r="AG621" i="48"/>
  <c r="AG622" i="48"/>
  <c r="AG623" i="48"/>
  <c r="AG624" i="48"/>
  <c r="AG625" i="48"/>
  <c r="AG626" i="48"/>
  <c r="AG627" i="48"/>
  <c r="AG628" i="48"/>
  <c r="AG629" i="48"/>
  <c r="AG630" i="48"/>
  <c r="AG631" i="48"/>
  <c r="AG632" i="48"/>
  <c r="AG633" i="48"/>
  <c r="AG634" i="48"/>
  <c r="AG635" i="48"/>
  <c r="AG636" i="48"/>
  <c r="AG637" i="48"/>
  <c r="AG638" i="48"/>
  <c r="AG639" i="48"/>
  <c r="AG640" i="48"/>
  <c r="AG641" i="48"/>
  <c r="AG642" i="48"/>
  <c r="AG643" i="48"/>
  <c r="AG644" i="48"/>
  <c r="AG645" i="48"/>
  <c r="AG646" i="48"/>
  <c r="AG647" i="48"/>
  <c r="AG648" i="48"/>
  <c r="AG649" i="48"/>
  <c r="AG650" i="48"/>
  <c r="AG651" i="48"/>
  <c r="AG652" i="48"/>
  <c r="AG653" i="48"/>
  <c r="AG654" i="48"/>
  <c r="AG655" i="48"/>
  <c r="AG656" i="48"/>
  <c r="AG657" i="48"/>
  <c r="AG658" i="48"/>
  <c r="AG659" i="48"/>
  <c r="AG660" i="48"/>
  <c r="AG661" i="48"/>
  <c r="AG662" i="48"/>
  <c r="AG663" i="48"/>
  <c r="AG664" i="48"/>
  <c r="AG665" i="48"/>
  <c r="AG666" i="48"/>
  <c r="AG667" i="48"/>
  <c r="AG668" i="48"/>
  <c r="AG669" i="48"/>
  <c r="AG670" i="48"/>
  <c r="AG671" i="48"/>
  <c r="AG672" i="48"/>
  <c r="AG673" i="48"/>
  <c r="AG674" i="48"/>
  <c r="AG675" i="48"/>
  <c r="AG676" i="48"/>
  <c r="AG677" i="48"/>
  <c r="AG678" i="48"/>
  <c r="AG679" i="48"/>
  <c r="AG680" i="48"/>
  <c r="AG681" i="48"/>
  <c r="AG682" i="48"/>
  <c r="AG683" i="48"/>
  <c r="AG684" i="48"/>
  <c r="AG685" i="48"/>
  <c r="AG686" i="48"/>
  <c r="AG687" i="48"/>
  <c r="AG688" i="48"/>
  <c r="AG689" i="48"/>
  <c r="AG690" i="48"/>
  <c r="AG691" i="48"/>
  <c r="AG692" i="48"/>
  <c r="AG693" i="48"/>
  <c r="AG694" i="48"/>
  <c r="AG695" i="48"/>
  <c r="AG696" i="48"/>
  <c r="AG697" i="48"/>
  <c r="AG698" i="48"/>
  <c r="AG699" i="48"/>
  <c r="AG700" i="48"/>
  <c r="AF692" i="48"/>
  <c r="AF680" i="48"/>
  <c r="AF671" i="48"/>
  <c r="AF660" i="48"/>
  <c r="AF650" i="48"/>
  <c r="AF640" i="48"/>
  <c r="AF628" i="48"/>
  <c r="AF621" i="48"/>
  <c r="AF611" i="48"/>
  <c r="AF603" i="48"/>
  <c r="AF593" i="48"/>
  <c r="AF585" i="48"/>
  <c r="AF566" i="48"/>
  <c r="AF557" i="48"/>
  <c r="AF546" i="48"/>
  <c r="AI536" i="48"/>
  <c r="AG536" i="48"/>
  <c r="AL724" i="52" l="1"/>
  <c r="AL897" i="52"/>
  <c r="AM368" i="52"/>
  <c r="AG51" i="52"/>
  <c r="AG89" i="50"/>
  <c r="AG36" i="50"/>
  <c r="AF89" i="50"/>
  <c r="AG77" i="52"/>
  <c r="AJ89" i="50"/>
  <c r="AG113" i="50"/>
  <c r="AF63" i="50"/>
  <c r="AH113" i="50"/>
  <c r="AG137" i="50"/>
  <c r="AG63" i="50"/>
  <c r="BF89" i="50"/>
  <c r="B97" i="50" s="1"/>
  <c r="AI113" i="50"/>
  <c r="AH137" i="50"/>
  <c r="AG103" i="52"/>
  <c r="AI137" i="50"/>
  <c r="AG160" i="50"/>
  <c r="AH160" i="50"/>
  <c r="AG192" i="50"/>
  <c r="AF36" i="50"/>
  <c r="AH192" i="50"/>
  <c r="AG368" i="52"/>
  <c r="AN369" i="52"/>
  <c r="AL369" i="52"/>
  <c r="AL542" i="52" s="1"/>
  <c r="AL544" i="52" s="1"/>
  <c r="CR229" i="52"/>
  <c r="AN178" i="52"/>
  <c r="AL178" i="52"/>
  <c r="AG130" i="52"/>
  <c r="AN131" i="52"/>
  <c r="AL131" i="52"/>
  <c r="AP105" i="52"/>
  <c r="AN105" i="52"/>
  <c r="AL105" i="52"/>
  <c r="AL104" i="52"/>
  <c r="AM78" i="52"/>
  <c r="AI192" i="50"/>
  <c r="AN138" i="50"/>
  <c r="AN114" i="50"/>
  <c r="AL114" i="50"/>
  <c r="AN90" i="50"/>
  <c r="AH63" i="50"/>
  <c r="AH36" i="50"/>
  <c r="AK999" i="48"/>
  <c r="AK1000" i="48" s="1"/>
  <c r="AV999" i="48"/>
  <c r="AH999" i="48"/>
  <c r="AG999" i="48"/>
  <c r="AF999" i="48"/>
  <c r="AX903" i="48"/>
  <c r="BG903" i="48" s="1"/>
  <c r="AM910" i="48"/>
  <c r="AH910" i="48"/>
  <c r="AV902" i="48"/>
  <c r="AV911" i="48" s="1"/>
  <c r="AM906" i="48"/>
  <c r="AF910" i="48"/>
  <c r="AG910" i="48"/>
  <c r="AM883" i="48"/>
  <c r="AL884" i="48" s="1"/>
  <c r="AL886" i="48" s="1"/>
  <c r="AJ883" i="48"/>
  <c r="AH883" i="48"/>
  <c r="AG883" i="48"/>
  <c r="CL738" i="48"/>
  <c r="CM739" i="48" s="1"/>
  <c r="AN884" i="48"/>
  <c r="AP370" i="52" l="1"/>
  <c r="AN370" i="52"/>
  <c r="AL370" i="52"/>
  <c r="AN179" i="52"/>
  <c r="AP179" i="52"/>
  <c r="AL179" i="52"/>
  <c r="AP132" i="52"/>
  <c r="AN132" i="52"/>
  <c r="AL132" i="52"/>
  <c r="AP139" i="50"/>
  <c r="AN139" i="50"/>
  <c r="AL139" i="50"/>
  <c r="AP115" i="50"/>
  <c r="AN115" i="50"/>
  <c r="AL115" i="50"/>
  <c r="AP91" i="50"/>
  <c r="AN91" i="50"/>
  <c r="AL91" i="50"/>
  <c r="AL911" i="48"/>
  <c r="AL913" i="48" s="1"/>
  <c r="AV912" i="48"/>
  <c r="AV913" i="48" s="1"/>
  <c r="AP885" i="48"/>
  <c r="AN885" i="48"/>
  <c r="B528" i="48" l="1"/>
  <c r="B527" i="48"/>
  <c r="B526" i="48"/>
  <c r="B525" i="48"/>
  <c r="B524" i="48"/>
  <c r="B523" i="48"/>
  <c r="AV524" i="48"/>
  <c r="AV519" i="48"/>
  <c r="AS518" i="48"/>
  <c r="AH517" i="48"/>
  <c r="AG517" i="48"/>
  <c r="AV523" i="48" a="1"/>
  <c r="AV523" i="48" s="1"/>
  <c r="AU523" i="48" a="1"/>
  <c r="AU523" i="48" s="1"/>
  <c r="AT523" i="48" a="1"/>
  <c r="AT523" i="48" s="1"/>
  <c r="AV522" i="48" a="1"/>
  <c r="AV522" i="48" s="1"/>
  <c r="AU522" i="48" a="1"/>
  <c r="AU522" i="48" s="1"/>
  <c r="AT522" i="48" a="1"/>
  <c r="AT522" i="48" s="1"/>
  <c r="AV521" i="48" a="1"/>
  <c r="AV521" i="48" s="1"/>
  <c r="AU521" i="48" a="1"/>
  <c r="AU521" i="48" s="1"/>
  <c r="AT521" i="48" a="1"/>
  <c r="AT521" i="48" s="1"/>
  <c r="AY518" i="48" a="1"/>
  <c r="AY518" i="48" s="1"/>
  <c r="AX518" i="48" a="1"/>
  <c r="AX518" i="48" s="1"/>
  <c r="AW518" i="48" a="1"/>
  <c r="AW518" i="48" s="1"/>
  <c r="AV518" i="48" a="1"/>
  <c r="AV518" i="48" s="1"/>
  <c r="AU518" i="48" a="1"/>
  <c r="AU518" i="48" s="1"/>
  <c r="AT518" i="48" a="1"/>
  <c r="AT518" i="48" s="1"/>
  <c r="AV517" i="48" a="1"/>
  <c r="AV517" i="48" s="1"/>
  <c r="AU517" i="48" a="1"/>
  <c r="AU517" i="48" s="1"/>
  <c r="AT517" i="48" a="1"/>
  <c r="AT517" i="48" s="1"/>
  <c r="B498" i="48"/>
  <c r="B497" i="48"/>
  <c r="B496" i="48"/>
  <c r="B495" i="48"/>
  <c r="B494" i="48"/>
  <c r="D482" i="48"/>
  <c r="D483" i="48"/>
  <c r="D484" i="48"/>
  <c r="D485" i="48"/>
  <c r="D486" i="48"/>
  <c r="D487" i="48"/>
  <c r="D488" i="48"/>
  <c r="D481" i="48"/>
  <c r="AP491" i="48"/>
  <c r="AN491" i="48"/>
  <c r="AL491" i="48"/>
  <c r="AW482" i="48"/>
  <c r="AW483" i="48"/>
  <c r="AW484" i="48"/>
  <c r="AW485" i="48"/>
  <c r="AW486" i="48"/>
  <c r="AW487" i="48"/>
  <c r="AW488" i="48"/>
  <c r="AK482" i="48"/>
  <c r="AL482" i="48"/>
  <c r="AM482" i="48"/>
  <c r="AN482" i="48"/>
  <c r="AO482" i="48"/>
  <c r="AP482" i="48"/>
  <c r="AQ482" i="48"/>
  <c r="AR482" i="48"/>
  <c r="AS482" i="48"/>
  <c r="AT482" i="48"/>
  <c r="AU482" i="48"/>
  <c r="AV482" i="48"/>
  <c r="AK483" i="48"/>
  <c r="AL483" i="48"/>
  <c r="AM483" i="48"/>
  <c r="AN483" i="48"/>
  <c r="AO483" i="48"/>
  <c r="AP483" i="48"/>
  <c r="AQ483" i="48"/>
  <c r="AR483" i="48"/>
  <c r="AS483" i="48"/>
  <c r="AT483" i="48"/>
  <c r="AU483" i="48"/>
  <c r="AV483" i="48"/>
  <c r="AK484" i="48"/>
  <c r="AL484" i="48"/>
  <c r="AM484" i="48"/>
  <c r="AN484" i="48"/>
  <c r="AO484" i="48"/>
  <c r="AP484" i="48"/>
  <c r="AQ484" i="48"/>
  <c r="AR484" i="48"/>
  <c r="AS484" i="48"/>
  <c r="AT484" i="48"/>
  <c r="AU484" i="48"/>
  <c r="AV484" i="48"/>
  <c r="AK485" i="48"/>
  <c r="AL485" i="48"/>
  <c r="AM485" i="48"/>
  <c r="AN485" i="48"/>
  <c r="AO485" i="48"/>
  <c r="AP485" i="48"/>
  <c r="AQ485" i="48"/>
  <c r="AR485" i="48"/>
  <c r="AS485" i="48"/>
  <c r="AT485" i="48"/>
  <c r="AU485" i="48"/>
  <c r="AV485" i="48"/>
  <c r="AK486" i="48"/>
  <c r="AL486" i="48"/>
  <c r="AM486" i="48"/>
  <c r="AN486" i="48"/>
  <c r="AO486" i="48"/>
  <c r="AP486" i="48"/>
  <c r="AQ486" i="48"/>
  <c r="AR486" i="48"/>
  <c r="AS486" i="48"/>
  <c r="AT486" i="48"/>
  <c r="AU486" i="48"/>
  <c r="AV486" i="48"/>
  <c r="AK487" i="48"/>
  <c r="AL487" i="48"/>
  <c r="AM487" i="48"/>
  <c r="AN487" i="48"/>
  <c r="AO487" i="48"/>
  <c r="AP487" i="48"/>
  <c r="AQ487" i="48"/>
  <c r="AR487" i="48"/>
  <c r="AS487" i="48"/>
  <c r="AT487" i="48"/>
  <c r="AU487" i="48"/>
  <c r="AV487" i="48"/>
  <c r="AK488" i="48"/>
  <c r="AL488" i="48"/>
  <c r="AM488" i="48"/>
  <c r="AN488" i="48"/>
  <c r="AO488" i="48"/>
  <c r="AP488" i="48"/>
  <c r="AQ488" i="48"/>
  <c r="AR488" i="48"/>
  <c r="AS488" i="48"/>
  <c r="AT488" i="48"/>
  <c r="AU488" i="48"/>
  <c r="AV488" i="48"/>
  <c r="AN481" i="48"/>
  <c r="AO481" i="48"/>
  <c r="AP481" i="48"/>
  <c r="AQ481" i="48"/>
  <c r="AR481" i="48"/>
  <c r="AS481" i="48"/>
  <c r="AT481" i="48"/>
  <c r="AU481" i="48"/>
  <c r="AV481" i="48"/>
  <c r="AM481" i="48"/>
  <c r="AH482" i="48" l="1"/>
  <c r="AH483" i="48"/>
  <c r="AH484" i="48"/>
  <c r="AH485" i="48"/>
  <c r="AH486" i="48"/>
  <c r="AH487" i="48"/>
  <c r="AH488" i="48"/>
  <c r="AG482" i="48"/>
  <c r="AG483" i="48"/>
  <c r="AG484" i="48"/>
  <c r="AG485" i="48"/>
  <c r="AG486" i="48"/>
  <c r="AG487" i="48"/>
  <c r="AG488" i="48"/>
  <c r="AF482" i="48"/>
  <c r="AF483" i="48"/>
  <c r="AF484" i="48"/>
  <c r="AF485" i="48"/>
  <c r="AF486" i="48"/>
  <c r="AF487" i="48"/>
  <c r="AF488" i="48"/>
  <c r="B473" i="48"/>
  <c r="B472" i="48"/>
  <c r="B471" i="48"/>
  <c r="B470" i="48"/>
  <c r="B469" i="48"/>
  <c r="AK465" i="48"/>
  <c r="AI441" i="48"/>
  <c r="AJ441" i="48"/>
  <c r="AK441" i="48"/>
  <c r="AI442" i="48"/>
  <c r="AJ442" i="48"/>
  <c r="AK442" i="48"/>
  <c r="AI443" i="48"/>
  <c r="AJ443" i="48"/>
  <c r="AK443" i="48"/>
  <c r="AI444" i="48"/>
  <c r="AJ444" i="48"/>
  <c r="AK444" i="48"/>
  <c r="AI445" i="48"/>
  <c r="AJ445" i="48"/>
  <c r="AK445" i="48"/>
  <c r="AI446" i="48"/>
  <c r="AJ446" i="48"/>
  <c r="AK446" i="48"/>
  <c r="AI447" i="48"/>
  <c r="AJ447" i="48"/>
  <c r="AK447" i="48"/>
  <c r="AI448" i="48"/>
  <c r="AJ448" i="48"/>
  <c r="AK448" i="48"/>
  <c r="AI449" i="48"/>
  <c r="AJ449" i="48"/>
  <c r="AK449" i="48"/>
  <c r="AI450" i="48"/>
  <c r="AJ450" i="48"/>
  <c r="AK450" i="48"/>
  <c r="AI451" i="48"/>
  <c r="AJ451" i="48"/>
  <c r="AK451" i="48"/>
  <c r="AI452" i="48"/>
  <c r="AJ452" i="48"/>
  <c r="AK452" i="48"/>
  <c r="AI453" i="48"/>
  <c r="AJ453" i="48"/>
  <c r="AK453" i="48"/>
  <c r="AI454" i="48"/>
  <c r="AJ454" i="48"/>
  <c r="AK454" i="48"/>
  <c r="AI455" i="48"/>
  <c r="AJ455" i="48"/>
  <c r="AK455" i="48"/>
  <c r="AI456" i="48"/>
  <c r="AJ456" i="48"/>
  <c r="AK456" i="48"/>
  <c r="AI457" i="48"/>
  <c r="AJ457" i="48"/>
  <c r="AK457" i="48"/>
  <c r="AI458" i="48"/>
  <c r="AJ458" i="48"/>
  <c r="AK458" i="48"/>
  <c r="AI459" i="48"/>
  <c r="AJ459" i="48"/>
  <c r="AK459" i="48"/>
  <c r="AI460" i="48"/>
  <c r="AJ460" i="48"/>
  <c r="AK460" i="48"/>
  <c r="AI461" i="48"/>
  <c r="AJ461" i="48"/>
  <c r="AK461" i="48"/>
  <c r="AI462" i="48"/>
  <c r="AJ462" i="48"/>
  <c r="AK462" i="48"/>
  <c r="AI463" i="48"/>
  <c r="AJ463" i="48"/>
  <c r="AK463" i="48"/>
  <c r="AI464" i="48"/>
  <c r="AJ464" i="48"/>
  <c r="AK464" i="48"/>
  <c r="AK440" i="48"/>
  <c r="AH440" i="48"/>
  <c r="AG440" i="48"/>
  <c r="AJ440" i="48"/>
  <c r="AI440" i="48"/>
  <c r="B432" i="48"/>
  <c r="B431" i="48"/>
  <c r="B430" i="48"/>
  <c r="B429" i="48"/>
  <c r="D417" i="48"/>
  <c r="D418" i="48"/>
  <c r="D419" i="48"/>
  <c r="D420" i="48"/>
  <c r="D421" i="48"/>
  <c r="D422" i="48"/>
  <c r="D423" i="48"/>
  <c r="D416" i="48"/>
  <c r="AW417" i="48"/>
  <c r="AW418" i="48"/>
  <c r="AW419" i="48"/>
  <c r="AW420" i="48"/>
  <c r="AW421" i="48"/>
  <c r="AW422" i="48"/>
  <c r="AW423" i="48"/>
  <c r="AP426" i="48"/>
  <c r="AN426" i="48"/>
  <c r="AL426" i="48"/>
  <c r="AL425" i="48"/>
  <c r="AK417" i="48"/>
  <c r="AL417" i="48"/>
  <c r="AM417" i="48"/>
  <c r="AN417" i="48"/>
  <c r="AO417" i="48"/>
  <c r="AP417" i="48"/>
  <c r="AQ417" i="48"/>
  <c r="AR417" i="48"/>
  <c r="AS417" i="48"/>
  <c r="AT417" i="48"/>
  <c r="AU417" i="48"/>
  <c r="AV417" i="48"/>
  <c r="AK418" i="48"/>
  <c r="AL418" i="48"/>
  <c r="AM418" i="48"/>
  <c r="AN418" i="48"/>
  <c r="AO418" i="48"/>
  <c r="AP418" i="48"/>
  <c r="AQ418" i="48"/>
  <c r="AR418" i="48"/>
  <c r="AS418" i="48"/>
  <c r="AT418" i="48"/>
  <c r="AU418" i="48"/>
  <c r="AV418" i="48"/>
  <c r="AK419" i="48"/>
  <c r="AL419" i="48"/>
  <c r="AM419" i="48"/>
  <c r="AN419" i="48"/>
  <c r="AO419" i="48"/>
  <c r="AP419" i="48"/>
  <c r="AQ419" i="48"/>
  <c r="AR419" i="48"/>
  <c r="AS419" i="48"/>
  <c r="AT419" i="48"/>
  <c r="AU419" i="48"/>
  <c r="AV419" i="48"/>
  <c r="AK420" i="48"/>
  <c r="AL420" i="48"/>
  <c r="AM420" i="48"/>
  <c r="AN420" i="48"/>
  <c r="AO420" i="48"/>
  <c r="AP420" i="48"/>
  <c r="AQ420" i="48"/>
  <c r="AR420" i="48"/>
  <c r="AS420" i="48"/>
  <c r="AT420" i="48"/>
  <c r="AU420" i="48"/>
  <c r="AV420" i="48"/>
  <c r="AK421" i="48"/>
  <c r="AL421" i="48"/>
  <c r="AM421" i="48"/>
  <c r="AN421" i="48"/>
  <c r="AO421" i="48"/>
  <c r="AP421" i="48"/>
  <c r="AQ421" i="48"/>
  <c r="AR421" i="48"/>
  <c r="AS421" i="48"/>
  <c r="AT421" i="48"/>
  <c r="AU421" i="48"/>
  <c r="AV421" i="48"/>
  <c r="AK422" i="48"/>
  <c r="AL422" i="48"/>
  <c r="AM422" i="48"/>
  <c r="AN422" i="48"/>
  <c r="AO422" i="48"/>
  <c r="AP422" i="48"/>
  <c r="AQ422" i="48"/>
  <c r="AR422" i="48"/>
  <c r="AS422" i="48"/>
  <c r="AT422" i="48"/>
  <c r="AU422" i="48"/>
  <c r="AV422" i="48"/>
  <c r="AK423" i="48"/>
  <c r="AL423" i="48"/>
  <c r="AM423" i="48"/>
  <c r="AN423" i="48"/>
  <c r="AO423" i="48"/>
  <c r="AP423" i="48"/>
  <c r="AQ423" i="48"/>
  <c r="AR423" i="48"/>
  <c r="AS423" i="48"/>
  <c r="AT423" i="48"/>
  <c r="AU423" i="48"/>
  <c r="AV423" i="48"/>
  <c r="AN416" i="48"/>
  <c r="AO416" i="48"/>
  <c r="AP416" i="48"/>
  <c r="AQ416" i="48"/>
  <c r="AR416" i="48"/>
  <c r="AS416" i="48"/>
  <c r="AT416" i="48"/>
  <c r="AU416" i="48"/>
  <c r="AV416" i="48"/>
  <c r="AM416" i="48"/>
  <c r="AH417" i="48"/>
  <c r="AH418" i="48"/>
  <c r="AH419" i="48"/>
  <c r="AH420" i="48"/>
  <c r="AH421" i="48"/>
  <c r="AH422" i="48"/>
  <c r="AH423" i="48"/>
  <c r="AG417" i="48"/>
  <c r="AG418" i="48"/>
  <c r="AG419" i="48"/>
  <c r="AG420" i="48"/>
  <c r="AG421" i="48"/>
  <c r="AG422" i="48"/>
  <c r="AG423" i="48"/>
  <c r="B410" i="48"/>
  <c r="B409" i="48"/>
  <c r="B408" i="48"/>
  <c r="B407" i="48"/>
  <c r="B406" i="48"/>
  <c r="B405" i="48"/>
  <c r="B402" i="48"/>
  <c r="AQ386" i="48"/>
  <c r="AL386" i="48" a="1"/>
  <c r="AL386" i="48" s="1"/>
  <c r="AM386" i="48" a="1"/>
  <c r="AM386" i="48" s="1"/>
  <c r="AN386" i="48" a="1"/>
  <c r="AN386" i="48" s="1"/>
  <c r="AL387" i="48" a="1"/>
  <c r="AL387" i="48" s="1"/>
  <c r="AM387" i="48" a="1"/>
  <c r="AM387" i="48" s="1"/>
  <c r="AN387" i="48" a="1"/>
  <c r="AN387" i="48" s="1"/>
  <c r="AL388" i="48" a="1"/>
  <c r="AL388" i="48" s="1"/>
  <c r="AM388" i="48" a="1"/>
  <c r="AM388" i="48" s="1"/>
  <c r="AN388" i="48" a="1"/>
  <c r="AN388" i="48" s="1"/>
  <c r="AL389" i="48" a="1"/>
  <c r="AL389" i="48" s="1"/>
  <c r="AM389" i="48" a="1"/>
  <c r="AM389" i="48" s="1"/>
  <c r="AN389" i="48" a="1"/>
  <c r="AN389" i="48" s="1"/>
  <c r="AL390" i="48" a="1"/>
  <c r="AL390" i="48" s="1"/>
  <c r="AM390" i="48" a="1"/>
  <c r="AM390" i="48" s="1"/>
  <c r="AN390" i="48" a="1"/>
  <c r="AN390" i="48" s="1"/>
  <c r="AL391" i="48" a="1"/>
  <c r="AL391" i="48" s="1"/>
  <c r="AM391" i="48" a="1"/>
  <c r="AM391" i="48" s="1"/>
  <c r="AN391" i="48" a="1"/>
  <c r="AN391" i="48" s="1"/>
  <c r="AL392" i="48" a="1"/>
  <c r="AL392" i="48" s="1"/>
  <c r="AM392" i="48" a="1"/>
  <c r="AM392" i="48" s="1"/>
  <c r="AN392" i="48" a="1"/>
  <c r="AN392" i="48" s="1"/>
  <c r="AL393" i="48" a="1"/>
  <c r="AL393" i="48" s="1"/>
  <c r="AM393" i="48" a="1"/>
  <c r="AM393" i="48" s="1"/>
  <c r="AN393" i="48" a="1"/>
  <c r="AN393" i="48" s="1"/>
  <c r="AL394" i="48" a="1"/>
  <c r="AL394" i="48" s="1"/>
  <c r="AM394" i="48" a="1"/>
  <c r="AM394" i="48" s="1"/>
  <c r="AN394" i="48" a="1"/>
  <c r="AN394" i="48" s="1"/>
  <c r="AL395" i="48" a="1"/>
  <c r="AL395" i="48" s="1"/>
  <c r="AM395" i="48" a="1"/>
  <c r="AM395" i="48" s="1"/>
  <c r="AN395" i="48" a="1"/>
  <c r="AN395" i="48" s="1"/>
  <c r="AL396" i="48" a="1"/>
  <c r="AL396" i="48" s="1"/>
  <c r="AM396" i="48" a="1"/>
  <c r="AM396" i="48" s="1"/>
  <c r="AN396" i="48" a="1"/>
  <c r="AN396" i="48" s="1"/>
  <c r="AL397" i="48" a="1"/>
  <c r="AL397" i="48" s="1"/>
  <c r="AM397" i="48" a="1"/>
  <c r="AM397" i="48" s="1"/>
  <c r="AN397" i="48" a="1"/>
  <c r="AN397" i="48" s="1"/>
  <c r="AL398" i="48" a="1"/>
  <c r="AL398" i="48" s="1"/>
  <c r="AM398" i="48" a="1"/>
  <c r="AM398" i="48" s="1"/>
  <c r="AN398" i="48" a="1"/>
  <c r="AN398" i="48" s="1"/>
  <c r="AI386" i="48"/>
  <c r="AJ386" i="48"/>
  <c r="AK386" i="48"/>
  <c r="AI387" i="48"/>
  <c r="AJ387" i="48"/>
  <c r="AK387" i="48"/>
  <c r="AI388" i="48"/>
  <c r="AJ388" i="48"/>
  <c r="AK388" i="48"/>
  <c r="AI389" i="48"/>
  <c r="AJ389" i="48"/>
  <c r="AK389" i="48"/>
  <c r="AI390" i="48"/>
  <c r="AJ390" i="48"/>
  <c r="AK390" i="48"/>
  <c r="AI391" i="48"/>
  <c r="AJ391" i="48"/>
  <c r="AK391" i="48"/>
  <c r="AI392" i="48"/>
  <c r="AJ392" i="48"/>
  <c r="AK392" i="48"/>
  <c r="AI393" i="48"/>
  <c r="AJ393" i="48"/>
  <c r="AK393" i="48"/>
  <c r="AI394" i="48"/>
  <c r="AJ394" i="48"/>
  <c r="AK394" i="48"/>
  <c r="AI395" i="48"/>
  <c r="AJ395" i="48"/>
  <c r="AK395" i="48"/>
  <c r="AI396" i="48"/>
  <c r="AJ396" i="48"/>
  <c r="AK396" i="48"/>
  <c r="AI397" i="48"/>
  <c r="AJ397" i="48"/>
  <c r="AK397" i="48"/>
  <c r="AI398" i="48"/>
  <c r="AJ398" i="48"/>
  <c r="AK398" i="48"/>
  <c r="AH386" i="48"/>
  <c r="AH385" i="48"/>
  <c r="AN399" i="48"/>
  <c r="AQ385" i="48" a="1"/>
  <c r="AQ385" i="48" s="1"/>
  <c r="AP385" i="48" a="1"/>
  <c r="AP385" i="48" s="1"/>
  <c r="AO385" i="48" a="1"/>
  <c r="AO385" i="48" s="1"/>
  <c r="AN385" i="48" a="1"/>
  <c r="AN385" i="48" s="1"/>
  <c r="AM385" i="48" a="1"/>
  <c r="AM385" i="48" s="1"/>
  <c r="AL385" i="48" a="1"/>
  <c r="AL385" i="48" s="1"/>
  <c r="AG385" i="48"/>
  <c r="AK385" i="48"/>
  <c r="AJ385" i="48"/>
  <c r="AI385" i="48"/>
  <c r="AF385" i="48"/>
  <c r="B374" i="48"/>
  <c r="AI465" i="48" l="1"/>
  <c r="AI399" i="48"/>
  <c r="AK399" i="48"/>
  <c r="B373" i="48"/>
  <c r="B372" i="48"/>
  <c r="B371" i="48"/>
  <c r="D359" i="48"/>
  <c r="D360" i="48"/>
  <c r="D361" i="48"/>
  <c r="D362" i="48"/>
  <c r="D363" i="48"/>
  <c r="D364" i="48"/>
  <c r="D365" i="48"/>
  <c r="D358" i="48"/>
  <c r="AW359" i="48"/>
  <c r="AW360" i="48"/>
  <c r="AW361" i="48"/>
  <c r="AW362" i="48"/>
  <c r="AW363" i="48"/>
  <c r="AW364" i="48"/>
  <c r="AW365" i="48"/>
  <c r="AP368" i="48"/>
  <c r="AN368" i="48"/>
  <c r="AL368" i="48"/>
  <c r="AK359" i="48"/>
  <c r="AL359" i="48"/>
  <c r="AM359" i="48"/>
  <c r="AN359" i="48"/>
  <c r="AO359" i="48"/>
  <c r="AP359" i="48"/>
  <c r="AQ359" i="48"/>
  <c r="AR359" i="48"/>
  <c r="AS359" i="48"/>
  <c r="AT359" i="48"/>
  <c r="AU359" i="48"/>
  <c r="AV359" i="48"/>
  <c r="AK360" i="48"/>
  <c r="AL360" i="48"/>
  <c r="AM360" i="48"/>
  <c r="AN360" i="48"/>
  <c r="AO360" i="48"/>
  <c r="AP360" i="48"/>
  <c r="AQ360" i="48"/>
  <c r="AR360" i="48"/>
  <c r="AS360" i="48"/>
  <c r="AT360" i="48"/>
  <c r="AU360" i="48"/>
  <c r="AV360" i="48"/>
  <c r="AK361" i="48"/>
  <c r="AL361" i="48"/>
  <c r="AM361" i="48"/>
  <c r="AN361" i="48"/>
  <c r="AO361" i="48"/>
  <c r="AP361" i="48"/>
  <c r="AQ361" i="48"/>
  <c r="AR361" i="48"/>
  <c r="AS361" i="48"/>
  <c r="AT361" i="48"/>
  <c r="AU361" i="48"/>
  <c r="AV361" i="48"/>
  <c r="AK362" i="48"/>
  <c r="AL362" i="48"/>
  <c r="AM362" i="48"/>
  <c r="AN362" i="48"/>
  <c r="AO362" i="48"/>
  <c r="AP362" i="48"/>
  <c r="AQ362" i="48"/>
  <c r="AR362" i="48"/>
  <c r="AS362" i="48"/>
  <c r="AT362" i="48"/>
  <c r="AU362" i="48"/>
  <c r="AV362" i="48"/>
  <c r="AK363" i="48"/>
  <c r="AL363" i="48"/>
  <c r="AM363" i="48"/>
  <c r="AN363" i="48"/>
  <c r="AO363" i="48"/>
  <c r="AP363" i="48"/>
  <c r="AQ363" i="48"/>
  <c r="AR363" i="48"/>
  <c r="AS363" i="48"/>
  <c r="AT363" i="48"/>
  <c r="AU363" i="48"/>
  <c r="AV363" i="48"/>
  <c r="AK364" i="48"/>
  <c r="AL364" i="48"/>
  <c r="AM364" i="48"/>
  <c r="AN364" i="48"/>
  <c r="AO364" i="48"/>
  <c r="AP364" i="48"/>
  <c r="AQ364" i="48"/>
  <c r="AR364" i="48"/>
  <c r="AS364" i="48"/>
  <c r="AT364" i="48"/>
  <c r="AU364" i="48"/>
  <c r="AV364" i="48"/>
  <c r="AK365" i="48"/>
  <c r="AL365" i="48"/>
  <c r="AM365" i="48"/>
  <c r="AN365" i="48"/>
  <c r="AO365" i="48"/>
  <c r="AP365" i="48"/>
  <c r="AQ365" i="48"/>
  <c r="AR365" i="48"/>
  <c r="AS365" i="48"/>
  <c r="AT365" i="48"/>
  <c r="AU365" i="48"/>
  <c r="AV365" i="48"/>
  <c r="AN358" i="48"/>
  <c r="AO358" i="48"/>
  <c r="AP358" i="48"/>
  <c r="AQ358" i="48"/>
  <c r="AR358" i="48"/>
  <c r="AS358" i="48"/>
  <c r="AT358" i="48"/>
  <c r="AU358" i="48"/>
  <c r="AV358" i="48"/>
  <c r="AM358" i="48"/>
  <c r="AH359" i="48"/>
  <c r="AH360" i="48"/>
  <c r="AH361" i="48"/>
  <c r="AH362" i="48"/>
  <c r="AH363" i="48"/>
  <c r="AH364" i="48"/>
  <c r="AH365" i="48"/>
  <c r="AG359" i="48"/>
  <c r="AG360" i="48"/>
  <c r="AG361" i="48"/>
  <c r="AG362" i="48"/>
  <c r="AG363" i="48"/>
  <c r="AG364" i="48"/>
  <c r="AG365" i="48"/>
  <c r="B351" i="48"/>
  <c r="B350" i="48"/>
  <c r="B349" i="48"/>
  <c r="B348" i="48"/>
  <c r="D336" i="48"/>
  <c r="D337" i="48"/>
  <c r="D338" i="48"/>
  <c r="D339" i="48"/>
  <c r="D340" i="48"/>
  <c r="D341" i="48"/>
  <c r="D342" i="48"/>
  <c r="D335" i="48"/>
  <c r="AW343" i="48"/>
  <c r="AW336" i="48"/>
  <c r="AW337" i="48"/>
  <c r="AW338" i="48"/>
  <c r="AW339" i="48"/>
  <c r="AW340" i="48"/>
  <c r="AW341" i="48"/>
  <c r="AW342" i="48"/>
  <c r="AP345" i="48"/>
  <c r="AN345" i="48"/>
  <c r="AL345" i="48"/>
  <c r="AK336" i="48"/>
  <c r="AL336" i="48"/>
  <c r="AM336" i="48"/>
  <c r="AN336" i="48"/>
  <c r="AO336" i="48"/>
  <c r="AP336" i="48"/>
  <c r="AQ336" i="48"/>
  <c r="AR336" i="48"/>
  <c r="AS336" i="48"/>
  <c r="AT336" i="48"/>
  <c r="AU336" i="48"/>
  <c r="AV336" i="48"/>
  <c r="AK337" i="48"/>
  <c r="AL337" i="48"/>
  <c r="AM337" i="48"/>
  <c r="AN337" i="48"/>
  <c r="AO337" i="48"/>
  <c r="AP337" i="48"/>
  <c r="AQ337" i="48"/>
  <c r="AR337" i="48"/>
  <c r="AS337" i="48"/>
  <c r="AT337" i="48"/>
  <c r="AU337" i="48"/>
  <c r="AV337" i="48"/>
  <c r="AK338" i="48"/>
  <c r="AL338" i="48"/>
  <c r="AM338" i="48"/>
  <c r="AN338" i="48"/>
  <c r="AO338" i="48"/>
  <c r="AP338" i="48"/>
  <c r="AQ338" i="48"/>
  <c r="AR338" i="48"/>
  <c r="AS338" i="48"/>
  <c r="AT338" i="48"/>
  <c r="AU338" i="48"/>
  <c r="AV338" i="48"/>
  <c r="AK339" i="48"/>
  <c r="AL339" i="48"/>
  <c r="AM339" i="48"/>
  <c r="AN339" i="48"/>
  <c r="AO339" i="48"/>
  <c r="AP339" i="48"/>
  <c r="AQ339" i="48"/>
  <c r="AR339" i="48"/>
  <c r="AS339" i="48"/>
  <c r="AT339" i="48"/>
  <c r="AU339" i="48"/>
  <c r="AV339" i="48"/>
  <c r="AK340" i="48"/>
  <c r="AL340" i="48"/>
  <c r="AM340" i="48"/>
  <c r="AN340" i="48"/>
  <c r="AO340" i="48"/>
  <c r="AP340" i="48"/>
  <c r="AQ340" i="48"/>
  <c r="AR340" i="48"/>
  <c r="AS340" i="48"/>
  <c r="AT340" i="48"/>
  <c r="AU340" i="48"/>
  <c r="AV340" i="48"/>
  <c r="AK341" i="48"/>
  <c r="AL341" i="48"/>
  <c r="AM341" i="48"/>
  <c r="AN341" i="48"/>
  <c r="AO341" i="48"/>
  <c r="AP341" i="48"/>
  <c r="AQ341" i="48"/>
  <c r="AR341" i="48"/>
  <c r="AS341" i="48"/>
  <c r="AT341" i="48"/>
  <c r="AU341" i="48"/>
  <c r="AV341" i="48"/>
  <c r="AK342" i="48"/>
  <c r="AL342" i="48"/>
  <c r="AM342" i="48"/>
  <c r="AN342" i="48"/>
  <c r="AO342" i="48"/>
  <c r="AP342" i="48"/>
  <c r="AQ342" i="48"/>
  <c r="AR342" i="48"/>
  <c r="AS342" i="48"/>
  <c r="AT342" i="48"/>
  <c r="AU342" i="48"/>
  <c r="AV342" i="48"/>
  <c r="AN335" i="48"/>
  <c r="AO335" i="48"/>
  <c r="AP335" i="48"/>
  <c r="AQ335" i="48"/>
  <c r="AR335" i="48"/>
  <c r="AS335" i="48"/>
  <c r="AT335" i="48"/>
  <c r="AU335" i="48"/>
  <c r="AV335" i="48"/>
  <c r="AM335" i="48"/>
  <c r="AH336" i="48"/>
  <c r="AH337" i="48"/>
  <c r="AH338" i="48"/>
  <c r="AH339" i="48"/>
  <c r="AH340" i="48"/>
  <c r="AH341" i="48"/>
  <c r="AH342" i="48"/>
  <c r="AG342" i="48"/>
  <c r="AG336" i="48"/>
  <c r="AG337" i="48"/>
  <c r="AG338" i="48"/>
  <c r="AG339" i="48"/>
  <c r="AG340" i="48"/>
  <c r="AG341" i="48"/>
  <c r="B328" i="48"/>
  <c r="B327" i="48"/>
  <c r="B326" i="48"/>
  <c r="B325" i="48"/>
  <c r="D313" i="48"/>
  <c r="D314" i="48"/>
  <c r="D315" i="48"/>
  <c r="D316" i="48"/>
  <c r="D317" i="48"/>
  <c r="D318" i="48"/>
  <c r="D319" i="48"/>
  <c r="D312" i="48"/>
  <c r="AW313" i="48"/>
  <c r="AW314" i="48"/>
  <c r="AW315" i="48"/>
  <c r="AW316" i="48"/>
  <c r="AW317" i="48"/>
  <c r="AW318" i="48"/>
  <c r="AW319" i="48"/>
  <c r="AP322" i="48"/>
  <c r="AN322" i="48"/>
  <c r="AL322" i="48"/>
  <c r="AL321" i="48"/>
  <c r="AK313" i="48"/>
  <c r="AL313" i="48"/>
  <c r="AM313" i="48"/>
  <c r="AN313" i="48"/>
  <c r="AO313" i="48"/>
  <c r="AP313" i="48"/>
  <c r="AQ313" i="48"/>
  <c r="AR313" i="48"/>
  <c r="AS313" i="48"/>
  <c r="AT313" i="48"/>
  <c r="AU313" i="48"/>
  <c r="AV313" i="48"/>
  <c r="AK314" i="48"/>
  <c r="AL314" i="48"/>
  <c r="AM314" i="48"/>
  <c r="AN314" i="48"/>
  <c r="AO314" i="48"/>
  <c r="AP314" i="48"/>
  <c r="AQ314" i="48"/>
  <c r="AR314" i="48"/>
  <c r="AS314" i="48"/>
  <c r="AT314" i="48"/>
  <c r="AU314" i="48"/>
  <c r="AV314" i="48"/>
  <c r="AK315" i="48"/>
  <c r="AL315" i="48"/>
  <c r="AM315" i="48"/>
  <c r="AN315" i="48"/>
  <c r="AO315" i="48"/>
  <c r="AP315" i="48"/>
  <c r="AQ315" i="48"/>
  <c r="AR315" i="48"/>
  <c r="AS315" i="48"/>
  <c r="AT315" i="48"/>
  <c r="AU315" i="48"/>
  <c r="AV315" i="48"/>
  <c r="AK316" i="48"/>
  <c r="AL316" i="48"/>
  <c r="AM316" i="48"/>
  <c r="AN316" i="48"/>
  <c r="AO316" i="48"/>
  <c r="AP316" i="48"/>
  <c r="AQ316" i="48"/>
  <c r="AR316" i="48"/>
  <c r="AS316" i="48"/>
  <c r="AT316" i="48"/>
  <c r="AU316" i="48"/>
  <c r="AV316" i="48"/>
  <c r="AK317" i="48"/>
  <c r="AL317" i="48"/>
  <c r="AM317" i="48"/>
  <c r="AN317" i="48"/>
  <c r="AO317" i="48"/>
  <c r="AP317" i="48"/>
  <c r="AQ317" i="48"/>
  <c r="AR317" i="48"/>
  <c r="AS317" i="48"/>
  <c r="AT317" i="48"/>
  <c r="AU317" i="48"/>
  <c r="AV317" i="48"/>
  <c r="AK318" i="48"/>
  <c r="AL318" i="48"/>
  <c r="AM318" i="48"/>
  <c r="AN318" i="48"/>
  <c r="AO318" i="48"/>
  <c r="AP318" i="48"/>
  <c r="AQ318" i="48"/>
  <c r="AR318" i="48"/>
  <c r="AS318" i="48"/>
  <c r="AT318" i="48"/>
  <c r="AU318" i="48"/>
  <c r="AV318" i="48"/>
  <c r="AK319" i="48"/>
  <c r="AL319" i="48"/>
  <c r="AM319" i="48"/>
  <c r="AN319" i="48"/>
  <c r="AO319" i="48"/>
  <c r="AP319" i="48"/>
  <c r="AQ319" i="48"/>
  <c r="AR319" i="48"/>
  <c r="AS319" i="48"/>
  <c r="AT319" i="48"/>
  <c r="AU319" i="48"/>
  <c r="AV319" i="48"/>
  <c r="AN312" i="48"/>
  <c r="AO312" i="48"/>
  <c r="AP312" i="48"/>
  <c r="AQ312" i="48"/>
  <c r="AR312" i="48"/>
  <c r="AS312" i="48"/>
  <c r="AT312" i="48"/>
  <c r="AU312" i="48"/>
  <c r="AV312" i="48"/>
  <c r="AM312" i="48"/>
  <c r="AH320" i="48"/>
  <c r="AH313" i="48"/>
  <c r="AH314" i="48"/>
  <c r="AH315" i="48"/>
  <c r="AH316" i="48"/>
  <c r="AH317" i="48"/>
  <c r="AH318" i="48"/>
  <c r="AH319" i="48"/>
  <c r="AG313" i="48"/>
  <c r="AG314" i="48"/>
  <c r="AG315" i="48"/>
  <c r="AG316" i="48"/>
  <c r="AG317" i="48"/>
  <c r="AG318" i="48"/>
  <c r="AG319" i="48"/>
  <c r="B305" i="48" l="1"/>
  <c r="B304" i="48"/>
  <c r="B303" i="48"/>
  <c r="AW481" i="48" l="1"/>
  <c r="AW416" i="48"/>
  <c r="AW358" i="48"/>
  <c r="AW335" i="48"/>
  <c r="AW312" i="48"/>
  <c r="AH481" i="48"/>
  <c r="AG481" i="48"/>
  <c r="AH416" i="48"/>
  <c r="AG416" i="48"/>
  <c r="AH358" i="48"/>
  <c r="AG358" i="48"/>
  <c r="AH335" i="48"/>
  <c r="AG335" i="48"/>
  <c r="AH312" i="48"/>
  <c r="AG312" i="48"/>
  <c r="B302" i="48"/>
  <c r="B301" i="48"/>
  <c r="AI293" i="48"/>
  <c r="AJ293" i="48"/>
  <c r="AK293" i="48"/>
  <c r="AI294" i="48"/>
  <c r="AJ294" i="48"/>
  <c r="AK294" i="48"/>
  <c r="AI295" i="48"/>
  <c r="AJ295" i="48"/>
  <c r="AK295" i="48"/>
  <c r="AI296" i="48"/>
  <c r="AJ296" i="48"/>
  <c r="AK296" i="48"/>
  <c r="AK292" i="48"/>
  <c r="AH292" i="48"/>
  <c r="AG292" i="48"/>
  <c r="B286" i="48"/>
  <c r="B285" i="48"/>
  <c r="B284" i="48"/>
  <c r="B283" i="48"/>
  <c r="B282" i="48"/>
  <c r="AK276" i="48"/>
  <c r="AK275" i="48"/>
  <c r="AI265" i="48"/>
  <c r="AJ265" i="48"/>
  <c r="AK265" i="48"/>
  <c r="AI266" i="48"/>
  <c r="AJ266" i="48"/>
  <c r="AK266" i="48"/>
  <c r="AI267" i="48"/>
  <c r="AJ267" i="48"/>
  <c r="AK267" i="48"/>
  <c r="AI268" i="48"/>
  <c r="AJ268" i="48"/>
  <c r="AK268" i="48"/>
  <c r="AI269" i="48"/>
  <c r="AJ269" i="48"/>
  <c r="AK269" i="48"/>
  <c r="AI270" i="48"/>
  <c r="AJ270" i="48"/>
  <c r="AK270" i="48"/>
  <c r="AI271" i="48"/>
  <c r="AJ271" i="48"/>
  <c r="AK271" i="48"/>
  <c r="AI272" i="48"/>
  <c r="AJ272" i="48"/>
  <c r="AK272" i="48"/>
  <c r="AI273" i="48"/>
  <c r="AJ273" i="48"/>
  <c r="AK273" i="48"/>
  <c r="AI274" i="48"/>
  <c r="AJ274" i="48"/>
  <c r="AK274" i="48"/>
  <c r="AI275" i="48"/>
  <c r="AJ275" i="48"/>
  <c r="AK264" i="48"/>
  <c r="AH264" i="48"/>
  <c r="AG264" i="48"/>
  <c r="B258" i="48"/>
  <c r="B257" i="48"/>
  <c r="B256" i="48"/>
  <c r="B255" i="48"/>
  <c r="B254" i="48"/>
  <c r="Y248" i="48"/>
  <c r="AK248" i="48"/>
  <c r="AK247" i="48"/>
  <c r="AI229" i="48"/>
  <c r="AJ229" i="48"/>
  <c r="AK229" i="48"/>
  <c r="AI230" i="48"/>
  <c r="AJ230" i="48"/>
  <c r="AK230" i="48"/>
  <c r="AI231" i="48"/>
  <c r="AJ231" i="48"/>
  <c r="AK231" i="48"/>
  <c r="AI232" i="48"/>
  <c r="AJ232" i="48"/>
  <c r="AK232" i="48"/>
  <c r="AI233" i="48"/>
  <c r="AJ233" i="48"/>
  <c r="AK233" i="48"/>
  <c r="AI234" i="48"/>
  <c r="AJ234" i="48"/>
  <c r="AK234" i="48"/>
  <c r="AI235" i="48"/>
  <c r="AJ235" i="48"/>
  <c r="AK235" i="48"/>
  <c r="AI236" i="48"/>
  <c r="AJ236" i="48"/>
  <c r="AK236" i="48"/>
  <c r="AI237" i="48"/>
  <c r="AJ237" i="48"/>
  <c r="AK237" i="48"/>
  <c r="AI238" i="48"/>
  <c r="AJ238" i="48"/>
  <c r="AK238" i="48"/>
  <c r="AI239" i="48"/>
  <c r="AJ239" i="48"/>
  <c r="AK239" i="48"/>
  <c r="AI240" i="48"/>
  <c r="AJ240" i="48"/>
  <c r="AK240" i="48"/>
  <c r="AI241" i="48"/>
  <c r="AJ241" i="48"/>
  <c r="AK241" i="48"/>
  <c r="AI242" i="48"/>
  <c r="AJ242" i="48"/>
  <c r="AK242" i="48"/>
  <c r="AI243" i="48"/>
  <c r="AJ243" i="48"/>
  <c r="AK243" i="48"/>
  <c r="AI244" i="48"/>
  <c r="AJ244" i="48"/>
  <c r="AK244" i="48"/>
  <c r="AI245" i="48"/>
  <c r="AJ245" i="48"/>
  <c r="AK245" i="48"/>
  <c r="AI246" i="48"/>
  <c r="AJ246" i="48"/>
  <c r="AK246" i="48"/>
  <c r="AI247" i="48"/>
  <c r="AJ247" i="48"/>
  <c r="AK228" i="48"/>
  <c r="AH228" i="48"/>
  <c r="AG228" i="48"/>
  <c r="B222" i="48"/>
  <c r="B221" i="48"/>
  <c r="B220" i="48"/>
  <c r="B219" i="48"/>
  <c r="B218" i="48"/>
  <c r="AK214" i="48"/>
  <c r="AI206" i="48"/>
  <c r="AJ206" i="48"/>
  <c r="AK206" i="48"/>
  <c r="AI207" i="48"/>
  <c r="AJ207" i="48"/>
  <c r="AK207" i="48"/>
  <c r="AI208" i="48"/>
  <c r="AI214" i="48" s="1"/>
  <c r="AJ208" i="48"/>
  <c r="AK208" i="48"/>
  <c r="AI209" i="48"/>
  <c r="AJ209" i="48"/>
  <c r="AK209" i="48"/>
  <c r="AI210" i="48"/>
  <c r="AJ210" i="48"/>
  <c r="AK210" i="48"/>
  <c r="AI211" i="48"/>
  <c r="AJ211" i="48"/>
  <c r="AK211" i="48"/>
  <c r="AI212" i="48"/>
  <c r="AJ212" i="48"/>
  <c r="AK212" i="48"/>
  <c r="AI213" i="48"/>
  <c r="AJ213" i="48"/>
  <c r="AK213" i="48"/>
  <c r="AK205" i="48"/>
  <c r="AH205" i="48"/>
  <c r="AG205" i="48"/>
  <c r="B198" i="48"/>
  <c r="B197" i="48"/>
  <c r="B196" i="48"/>
  <c r="B195" i="48"/>
  <c r="B194" i="48"/>
  <c r="B604" i="58"/>
  <c r="B551" i="58"/>
  <c r="AG474" i="58"/>
  <c r="B487" i="58" s="1"/>
  <c r="AK474" i="58"/>
  <c r="AG446" i="58"/>
  <c r="B460" i="58" s="1"/>
  <c r="AL446" i="58"/>
  <c r="B432" i="58"/>
  <c r="AG419" i="58"/>
  <c r="AK419" i="58"/>
  <c r="B405" i="58"/>
  <c r="AG387" i="58"/>
  <c r="AM387" i="58"/>
  <c r="AL387" i="58"/>
  <c r="AK387" i="58"/>
  <c r="AG358" i="58"/>
  <c r="B371" i="58" s="1"/>
  <c r="AH182" i="48"/>
  <c r="AG182" i="48"/>
  <c r="AM358" i="58"/>
  <c r="AL358" i="58"/>
  <c r="AI183" i="48"/>
  <c r="AJ183" i="48"/>
  <c r="AK183" i="48"/>
  <c r="AI184" i="48"/>
  <c r="AJ184" i="48"/>
  <c r="AK184" i="48"/>
  <c r="AI185" i="48"/>
  <c r="AJ185" i="48"/>
  <c r="AK185" i="48"/>
  <c r="AI186" i="48"/>
  <c r="AJ186" i="48"/>
  <c r="AK186" i="48"/>
  <c r="AI187" i="48"/>
  <c r="AJ187" i="48"/>
  <c r="AK187" i="48"/>
  <c r="AI188" i="48"/>
  <c r="AJ188" i="48"/>
  <c r="AK188" i="48"/>
  <c r="AI189" i="48"/>
  <c r="AJ189" i="48"/>
  <c r="AK189" i="48"/>
  <c r="AK182" i="48"/>
  <c r="AG170" i="58"/>
  <c r="AG154" i="37"/>
  <c r="AG60" i="37"/>
  <c r="B174" i="48"/>
  <c r="B1186" i="59"/>
  <c r="B173" i="48"/>
  <c r="B172" i="48"/>
  <c r="AG819" i="59"/>
  <c r="B824" i="59" s="1"/>
  <c r="B171" i="48"/>
  <c r="D159" i="48"/>
  <c r="D160" i="48"/>
  <c r="D161" i="48"/>
  <c r="D162" i="48"/>
  <c r="D163" i="48"/>
  <c r="D164" i="48"/>
  <c r="D165" i="48"/>
  <c r="D158" i="48"/>
  <c r="AW159" i="48"/>
  <c r="AW160" i="48"/>
  <c r="AW161" i="48"/>
  <c r="AW162" i="48"/>
  <c r="AW163" i="48"/>
  <c r="AW164" i="48"/>
  <c r="AW165" i="48"/>
  <c r="AP168" i="48"/>
  <c r="AN168" i="48"/>
  <c r="AL168" i="48"/>
  <c r="AK159" i="48"/>
  <c r="AL159" i="48"/>
  <c r="AM159" i="48"/>
  <c r="AN159" i="48"/>
  <c r="AO159" i="48"/>
  <c r="AP159" i="48"/>
  <c r="AQ159" i="48"/>
  <c r="AR159" i="48"/>
  <c r="AS159" i="48"/>
  <c r="AT159" i="48"/>
  <c r="AU159" i="48"/>
  <c r="AV159" i="48"/>
  <c r="AK160" i="48"/>
  <c r="AL160" i="48"/>
  <c r="AM160" i="48"/>
  <c r="AN160" i="48"/>
  <c r="AO160" i="48"/>
  <c r="AP160" i="48"/>
  <c r="AQ160" i="48"/>
  <c r="AR160" i="48"/>
  <c r="AS160" i="48"/>
  <c r="AT160" i="48"/>
  <c r="AU160" i="48"/>
  <c r="AV160" i="48"/>
  <c r="AK161" i="48"/>
  <c r="AL161" i="48"/>
  <c r="AM161" i="48"/>
  <c r="AN161" i="48"/>
  <c r="AO161" i="48"/>
  <c r="AP161" i="48"/>
  <c r="AQ161" i="48"/>
  <c r="AR161" i="48"/>
  <c r="AS161" i="48"/>
  <c r="AT161" i="48"/>
  <c r="AU161" i="48"/>
  <c r="AV161" i="48"/>
  <c r="AK162" i="48"/>
  <c r="AL162" i="48"/>
  <c r="AM162" i="48"/>
  <c r="AN162" i="48"/>
  <c r="AO162" i="48"/>
  <c r="AP162" i="48"/>
  <c r="AQ162" i="48"/>
  <c r="AR162" i="48"/>
  <c r="AS162" i="48"/>
  <c r="AT162" i="48"/>
  <c r="AU162" i="48"/>
  <c r="AV162" i="48"/>
  <c r="AK163" i="48"/>
  <c r="AL163" i="48"/>
  <c r="AM163" i="48"/>
  <c r="AN163" i="48"/>
  <c r="AO163" i="48"/>
  <c r="AP163" i="48"/>
  <c r="AQ163" i="48"/>
  <c r="AR163" i="48"/>
  <c r="AS163" i="48"/>
  <c r="AT163" i="48"/>
  <c r="AU163" i="48"/>
  <c r="AV163" i="48"/>
  <c r="AK164" i="48"/>
  <c r="AL164" i="48"/>
  <c r="AM164" i="48"/>
  <c r="AN164" i="48"/>
  <c r="AO164" i="48"/>
  <c r="AP164" i="48"/>
  <c r="AQ164" i="48"/>
  <c r="AR164" i="48"/>
  <c r="AS164" i="48"/>
  <c r="AT164" i="48"/>
  <c r="AU164" i="48"/>
  <c r="AV164" i="48"/>
  <c r="AK165" i="48"/>
  <c r="AL165" i="48"/>
  <c r="AM165" i="48"/>
  <c r="AN165" i="48"/>
  <c r="AO165" i="48"/>
  <c r="AP165" i="48"/>
  <c r="AQ165" i="48"/>
  <c r="AR165" i="48"/>
  <c r="AS165" i="48"/>
  <c r="AT165" i="48"/>
  <c r="AU165" i="48"/>
  <c r="AV165" i="48"/>
  <c r="AN158" i="48"/>
  <c r="AO158" i="48"/>
  <c r="AP158" i="48"/>
  <c r="AQ158" i="48"/>
  <c r="AR158" i="48"/>
  <c r="AS158" i="48"/>
  <c r="AT158" i="48"/>
  <c r="AU158" i="48"/>
  <c r="AV158" i="48"/>
  <c r="AM158" i="48"/>
  <c r="AH159" i="48"/>
  <c r="AH160" i="48"/>
  <c r="AH161" i="48"/>
  <c r="AH162" i="48"/>
  <c r="AH163" i="48"/>
  <c r="AH164" i="48"/>
  <c r="AH165" i="48"/>
  <c r="AG159" i="48"/>
  <c r="AG160" i="48"/>
  <c r="AG161" i="48"/>
  <c r="AG162" i="48"/>
  <c r="AG163" i="48"/>
  <c r="AG164" i="48"/>
  <c r="AG165" i="48"/>
  <c r="B151" i="48"/>
  <c r="B150" i="48"/>
  <c r="B149" i="48"/>
  <c r="B148" i="48"/>
  <c r="AG340" i="59"/>
  <c r="AJ474" i="58"/>
  <c r="AI474" i="58"/>
  <c r="AH474" i="58"/>
  <c r="AM474" i="58"/>
  <c r="AL474" i="58"/>
  <c r="D136" i="48"/>
  <c r="D137" i="48"/>
  <c r="D138" i="48"/>
  <c r="D139" i="48"/>
  <c r="D140" i="48"/>
  <c r="D141" i="48"/>
  <c r="D142" i="48"/>
  <c r="D135" i="48"/>
  <c r="AW136" i="48"/>
  <c r="AW137" i="48"/>
  <c r="AW138" i="48"/>
  <c r="AW139" i="48"/>
  <c r="AW140" i="48"/>
  <c r="AW141" i="48"/>
  <c r="AW142" i="48"/>
  <c r="AT454" i="58"/>
  <c r="AT453" i="58"/>
  <c r="AS453" i="58"/>
  <c r="AR453" i="58"/>
  <c r="AT447" i="58"/>
  <c r="AS447" i="58"/>
  <c r="AP145" i="48"/>
  <c r="AN145" i="48"/>
  <c r="AL145" i="48"/>
  <c r="AR447" i="58"/>
  <c r="AK136" i="48"/>
  <c r="AL136" i="48"/>
  <c r="AM136" i="48"/>
  <c r="AN136" i="48"/>
  <c r="AO136" i="48"/>
  <c r="AP136" i="48"/>
  <c r="AQ136" i="48"/>
  <c r="AR136" i="48"/>
  <c r="AS136" i="48"/>
  <c r="AK137" i="48"/>
  <c r="AL137" i="48"/>
  <c r="AM137" i="48"/>
  <c r="AN137" i="48"/>
  <c r="AO137" i="48"/>
  <c r="AP137" i="48"/>
  <c r="AQ137" i="48"/>
  <c r="AR137" i="48"/>
  <c r="AS137" i="48"/>
  <c r="AK138" i="48"/>
  <c r="AL138" i="48"/>
  <c r="AM138" i="48"/>
  <c r="AN138" i="48"/>
  <c r="AO138" i="48"/>
  <c r="AP138" i="48"/>
  <c r="AQ138" i="48"/>
  <c r="AR138" i="48"/>
  <c r="AS138" i="48"/>
  <c r="AK139" i="48"/>
  <c r="AL139" i="48"/>
  <c r="AM139" i="48"/>
  <c r="AN139" i="48"/>
  <c r="AO139" i="48"/>
  <c r="AP139" i="48"/>
  <c r="AQ139" i="48"/>
  <c r="AR139" i="48"/>
  <c r="AS139" i="48"/>
  <c r="AK140" i="48"/>
  <c r="AL140" i="48"/>
  <c r="AM140" i="48"/>
  <c r="AN140" i="48"/>
  <c r="AO140" i="48"/>
  <c r="AP140" i="48"/>
  <c r="AQ140" i="48"/>
  <c r="AR140" i="48"/>
  <c r="AS140" i="48"/>
  <c r="AK141" i="48"/>
  <c r="AL141" i="48"/>
  <c r="AM141" i="48"/>
  <c r="AN141" i="48"/>
  <c r="AO141" i="48"/>
  <c r="AP141" i="48"/>
  <c r="AQ141" i="48"/>
  <c r="AR141" i="48"/>
  <c r="AS141" i="48"/>
  <c r="AK142" i="48"/>
  <c r="AL142" i="48"/>
  <c r="AM142" i="48"/>
  <c r="AN142" i="48"/>
  <c r="AO142" i="48"/>
  <c r="AP142" i="48"/>
  <c r="AQ142" i="48"/>
  <c r="AR142" i="48"/>
  <c r="AS142" i="48"/>
  <c r="AN135" i="48"/>
  <c r="AO135" i="48"/>
  <c r="AP135" i="48"/>
  <c r="AQ135" i="48"/>
  <c r="AR135" i="48"/>
  <c r="AS135" i="48"/>
  <c r="AM135" i="48"/>
  <c r="AH136" i="48"/>
  <c r="AH137" i="48"/>
  <c r="AH138" i="48"/>
  <c r="AH139" i="48"/>
  <c r="AH140" i="48"/>
  <c r="AH141" i="48"/>
  <c r="AH142" i="48"/>
  <c r="AG136" i="48"/>
  <c r="AG137" i="48"/>
  <c r="AG138" i="48"/>
  <c r="AG139" i="48"/>
  <c r="AG140" i="48"/>
  <c r="AG141" i="48"/>
  <c r="AG142" i="48"/>
  <c r="B128" i="48"/>
  <c r="B127" i="48"/>
  <c r="B126" i="48"/>
  <c r="B125" i="48"/>
  <c r="AM419" i="58"/>
  <c r="AL419" i="58"/>
  <c r="AJ419" i="58"/>
  <c r="AI419" i="58"/>
  <c r="AH419" i="58"/>
  <c r="AR389" i="58"/>
  <c r="D113" i="48"/>
  <c r="D114" i="48"/>
  <c r="D115" i="48"/>
  <c r="D116" i="48"/>
  <c r="D117" i="48"/>
  <c r="D118" i="48"/>
  <c r="D119" i="48"/>
  <c r="D112" i="48"/>
  <c r="AW113" i="48"/>
  <c r="AW114" i="48"/>
  <c r="AW115" i="48"/>
  <c r="AW116" i="48"/>
  <c r="AW117" i="48"/>
  <c r="AW118" i="48"/>
  <c r="AW119" i="48"/>
  <c r="AP122" i="48"/>
  <c r="AN122" i="48"/>
  <c r="AL122" i="48"/>
  <c r="AK113" i="48"/>
  <c r="AL113" i="48"/>
  <c r="AM113" i="48"/>
  <c r="AN113" i="48"/>
  <c r="AO113" i="48"/>
  <c r="AP113" i="48"/>
  <c r="AQ113" i="48"/>
  <c r="AR113" i="48"/>
  <c r="AS113" i="48"/>
  <c r="AT113" i="48"/>
  <c r="AU113" i="48"/>
  <c r="AV113" i="48"/>
  <c r="AK114" i="48"/>
  <c r="AL114" i="48"/>
  <c r="AM114" i="48"/>
  <c r="AN114" i="48"/>
  <c r="AO114" i="48"/>
  <c r="AP114" i="48"/>
  <c r="AQ114" i="48"/>
  <c r="AR114" i="48"/>
  <c r="AS114" i="48"/>
  <c r="AT114" i="48"/>
  <c r="AU114" i="48"/>
  <c r="AV114" i="48"/>
  <c r="AK115" i="48"/>
  <c r="AL115" i="48"/>
  <c r="AM115" i="48"/>
  <c r="AN115" i="48"/>
  <c r="AO115" i="48"/>
  <c r="AP115" i="48"/>
  <c r="AQ115" i="48"/>
  <c r="AR115" i="48"/>
  <c r="AS115" i="48"/>
  <c r="AT115" i="48"/>
  <c r="AU115" i="48"/>
  <c r="AV115" i="48"/>
  <c r="AK116" i="48"/>
  <c r="AL116" i="48"/>
  <c r="AM116" i="48"/>
  <c r="AN116" i="48"/>
  <c r="AO116" i="48"/>
  <c r="AP116" i="48"/>
  <c r="AQ116" i="48"/>
  <c r="AR116" i="48"/>
  <c r="AS116" i="48"/>
  <c r="AT116" i="48"/>
  <c r="AU116" i="48"/>
  <c r="AV116" i="48"/>
  <c r="AK117" i="48"/>
  <c r="AL117" i="48"/>
  <c r="AM117" i="48"/>
  <c r="AN117" i="48"/>
  <c r="AO117" i="48"/>
  <c r="AP117" i="48"/>
  <c r="AQ117" i="48"/>
  <c r="AR117" i="48"/>
  <c r="AS117" i="48"/>
  <c r="AT117" i="48"/>
  <c r="AU117" i="48"/>
  <c r="AV117" i="48"/>
  <c r="AK118" i="48"/>
  <c r="AL118" i="48"/>
  <c r="AM118" i="48"/>
  <c r="AN118" i="48"/>
  <c r="AO118" i="48"/>
  <c r="AP118" i="48"/>
  <c r="AQ118" i="48"/>
  <c r="AR118" i="48"/>
  <c r="AS118" i="48"/>
  <c r="AT118" i="48"/>
  <c r="AU118" i="48"/>
  <c r="AV118" i="48"/>
  <c r="AK119" i="48"/>
  <c r="AL119" i="48"/>
  <c r="AM119" i="48"/>
  <c r="AN119" i="48"/>
  <c r="AO119" i="48"/>
  <c r="AP119" i="48"/>
  <c r="AQ119" i="48"/>
  <c r="AR119" i="48"/>
  <c r="AS119" i="48"/>
  <c r="AT119" i="48"/>
  <c r="AU119" i="48"/>
  <c r="AV119" i="48"/>
  <c r="AN112" i="48"/>
  <c r="AO112" i="48"/>
  <c r="AP112" i="48"/>
  <c r="AQ112" i="48"/>
  <c r="AR112" i="48"/>
  <c r="AS112" i="48"/>
  <c r="AT112" i="48"/>
  <c r="AU112" i="48"/>
  <c r="AV112" i="48"/>
  <c r="AM112" i="48"/>
  <c r="B373" i="58"/>
  <c r="AH113" i="48"/>
  <c r="AH114" i="48"/>
  <c r="AH115" i="48"/>
  <c r="AH116" i="48"/>
  <c r="AH117" i="48"/>
  <c r="AH118" i="48"/>
  <c r="AH119" i="48"/>
  <c r="B372" i="58"/>
  <c r="AT358" i="58"/>
  <c r="AR358" i="58"/>
  <c r="AG119" i="48"/>
  <c r="AN358" i="58"/>
  <c r="AK361" i="58"/>
  <c r="AG113" i="48"/>
  <c r="AG114" i="48"/>
  <c r="AG115" i="48"/>
  <c r="AG116" i="48"/>
  <c r="AG117" i="48"/>
  <c r="AG118" i="48"/>
  <c r="AT335" i="58"/>
  <c r="AR334" i="58"/>
  <c r="B323" i="58"/>
  <c r="AJ314" i="58"/>
  <c r="AI314" i="58"/>
  <c r="AH314" i="58"/>
  <c r="AL294" i="58"/>
  <c r="AK294" i="58"/>
  <c r="AJ294" i="58"/>
  <c r="AI294" i="58"/>
  <c r="AW158" i="48"/>
  <c r="AH158" i="48"/>
  <c r="AG158" i="48"/>
  <c r="AG166" i="48" s="1"/>
  <c r="B170" i="48" s="1"/>
  <c r="AW135" i="48"/>
  <c r="AH135" i="48"/>
  <c r="AG135" i="48"/>
  <c r="AW112" i="48"/>
  <c r="AH112" i="48"/>
  <c r="AG112" i="48"/>
  <c r="B102" i="48"/>
  <c r="B101" i="48"/>
  <c r="D89" i="48"/>
  <c r="D90" i="48"/>
  <c r="D91" i="48"/>
  <c r="D92" i="48"/>
  <c r="D93" i="48"/>
  <c r="D94" i="48"/>
  <c r="D95" i="48"/>
  <c r="D88" i="48"/>
  <c r="AP98" i="48"/>
  <c r="AN98" i="48"/>
  <c r="AL98" i="48"/>
  <c r="AK89" i="48"/>
  <c r="AL89" i="48"/>
  <c r="AM89" i="48"/>
  <c r="AN89" i="48"/>
  <c r="AO89" i="48"/>
  <c r="AP89" i="48"/>
  <c r="AQ89" i="48"/>
  <c r="AR89" i="48"/>
  <c r="AS89" i="48"/>
  <c r="AT89" i="48"/>
  <c r="AU89" i="48"/>
  <c r="AV89" i="48"/>
  <c r="AK90" i="48"/>
  <c r="AL90" i="48"/>
  <c r="AM90" i="48"/>
  <c r="AN90" i="48"/>
  <c r="AO90" i="48"/>
  <c r="AP90" i="48"/>
  <c r="AQ90" i="48"/>
  <c r="AR90" i="48"/>
  <c r="AS90" i="48"/>
  <c r="AT90" i="48"/>
  <c r="AU90" i="48"/>
  <c r="AV90" i="48"/>
  <c r="AK91" i="48"/>
  <c r="AL91" i="48"/>
  <c r="AM91" i="48"/>
  <c r="AN91" i="48"/>
  <c r="AO91" i="48"/>
  <c r="AP91" i="48"/>
  <c r="AQ91" i="48"/>
  <c r="AR91" i="48"/>
  <c r="AS91" i="48"/>
  <c r="AT91" i="48"/>
  <c r="AU91" i="48"/>
  <c r="AV91" i="48"/>
  <c r="AK92" i="48"/>
  <c r="AL92" i="48"/>
  <c r="AM92" i="48"/>
  <c r="AN92" i="48"/>
  <c r="AO92" i="48"/>
  <c r="AP92" i="48"/>
  <c r="AQ92" i="48"/>
  <c r="AR92" i="48"/>
  <c r="AS92" i="48"/>
  <c r="AT92" i="48"/>
  <c r="AU92" i="48"/>
  <c r="AV92" i="48"/>
  <c r="AK93" i="48"/>
  <c r="AL93" i="48"/>
  <c r="AM93" i="48"/>
  <c r="AN93" i="48"/>
  <c r="AO93" i="48"/>
  <c r="AP93" i="48"/>
  <c r="AQ93" i="48"/>
  <c r="AR93" i="48"/>
  <c r="AS93" i="48"/>
  <c r="AT93" i="48"/>
  <c r="AU93" i="48"/>
  <c r="AV93" i="48"/>
  <c r="AK94" i="48"/>
  <c r="AL94" i="48"/>
  <c r="AM94" i="48"/>
  <c r="AN94" i="48"/>
  <c r="AO94" i="48"/>
  <c r="AP94" i="48"/>
  <c r="AQ94" i="48"/>
  <c r="AR94" i="48"/>
  <c r="AS94" i="48"/>
  <c r="AT94" i="48"/>
  <c r="AU94" i="48"/>
  <c r="AV94" i="48"/>
  <c r="AK95" i="48"/>
  <c r="AL95" i="48"/>
  <c r="AM95" i="48"/>
  <c r="AN95" i="48"/>
  <c r="AO95" i="48"/>
  <c r="AP95" i="48"/>
  <c r="AQ95" i="48"/>
  <c r="AR95" i="48"/>
  <c r="AS95" i="48"/>
  <c r="AT95" i="48"/>
  <c r="AU95" i="48"/>
  <c r="AV95" i="48"/>
  <c r="AN88" i="48"/>
  <c r="AO88" i="48"/>
  <c r="AP88" i="48"/>
  <c r="AQ88" i="48"/>
  <c r="AR88" i="48"/>
  <c r="AS88" i="48"/>
  <c r="AT88" i="48"/>
  <c r="AU88" i="48"/>
  <c r="AV88" i="48"/>
  <c r="AM88" i="48"/>
  <c r="AG89" i="48"/>
  <c r="AG90" i="48"/>
  <c r="AG91" i="48"/>
  <c r="AG92" i="48"/>
  <c r="AG93" i="48"/>
  <c r="AG94" i="48"/>
  <c r="AG95" i="48"/>
  <c r="B77" i="48"/>
  <c r="B76" i="48"/>
  <c r="D64" i="48"/>
  <c r="D65" i="48"/>
  <c r="D66" i="48"/>
  <c r="D67" i="48"/>
  <c r="D68" i="48"/>
  <c r="D69" i="48"/>
  <c r="AG69" i="48" s="1"/>
  <c r="D70" i="48"/>
  <c r="AG70" i="48" s="1"/>
  <c r="D63" i="48"/>
  <c r="AI64" i="48"/>
  <c r="AJ64" i="48"/>
  <c r="AK64" i="48"/>
  <c r="AI65" i="48"/>
  <c r="AJ65" i="48"/>
  <c r="AK65" i="48"/>
  <c r="AI66" i="48"/>
  <c r="AJ66" i="48"/>
  <c r="AK66" i="48"/>
  <c r="AI67" i="48"/>
  <c r="AJ67" i="48"/>
  <c r="AK67" i="48"/>
  <c r="AI68" i="48"/>
  <c r="AJ68" i="48"/>
  <c r="AK68" i="48"/>
  <c r="AI69" i="48"/>
  <c r="AJ69" i="48"/>
  <c r="AK69" i="48"/>
  <c r="AI70" i="48"/>
  <c r="AJ70" i="48"/>
  <c r="AK70" i="48"/>
  <c r="AK63" i="48"/>
  <c r="AG64" i="48"/>
  <c r="AG65" i="48"/>
  <c r="AG66" i="48"/>
  <c r="AG67" i="48"/>
  <c r="AG68" i="48"/>
  <c r="AG35" i="48"/>
  <c r="AG36" i="48"/>
  <c r="AG37" i="48"/>
  <c r="AG38" i="48"/>
  <c r="AG39" i="48"/>
  <c r="AG40" i="48"/>
  <c r="AG41" i="48"/>
  <c r="D35" i="48"/>
  <c r="D36" i="48"/>
  <c r="D37" i="48"/>
  <c r="D38" i="48"/>
  <c r="D39" i="48"/>
  <c r="D40" i="48"/>
  <c r="D41" i="48"/>
  <c r="D34" i="48"/>
  <c r="AG120" i="48" l="1"/>
  <c r="B124" i="48" s="1"/>
  <c r="Y865" i="49"/>
  <c r="S865" i="49"/>
  <c r="M865" i="49"/>
  <c r="S829" i="49"/>
  <c r="T829" i="49"/>
  <c r="U829" i="49"/>
  <c r="V829" i="49"/>
  <c r="W829" i="49"/>
  <c r="X829" i="49"/>
  <c r="Y829" i="49"/>
  <c r="Z829" i="49"/>
  <c r="AA829" i="49"/>
  <c r="AB829" i="49"/>
  <c r="AC829" i="49"/>
  <c r="AD829" i="49"/>
  <c r="AS829" i="49"/>
  <c r="Y806" i="49"/>
  <c r="S806" i="49"/>
  <c r="M806" i="49"/>
  <c r="S779" i="49"/>
  <c r="T779" i="49"/>
  <c r="U779" i="49"/>
  <c r="V779" i="49"/>
  <c r="W779" i="49"/>
  <c r="X779" i="49"/>
  <c r="Y779" i="49"/>
  <c r="Z779" i="49"/>
  <c r="AA779" i="49"/>
  <c r="AB779" i="49"/>
  <c r="AC779" i="49"/>
  <c r="AD779" i="49"/>
  <c r="AS779" i="49"/>
  <c r="Y756" i="49"/>
  <c r="S756" i="49"/>
  <c r="M756" i="49"/>
  <c r="S729" i="49"/>
  <c r="T729" i="49"/>
  <c r="U729" i="49"/>
  <c r="V729" i="49"/>
  <c r="W729" i="49"/>
  <c r="X729" i="49"/>
  <c r="Y729" i="49"/>
  <c r="Z729" i="49"/>
  <c r="AA729" i="49"/>
  <c r="AB729" i="49"/>
  <c r="AC729" i="49"/>
  <c r="AD729" i="49"/>
  <c r="AS729" i="49"/>
  <c r="Y650" i="49"/>
  <c r="S650" i="49"/>
  <c r="S623" i="49"/>
  <c r="T623" i="49"/>
  <c r="U623" i="49"/>
  <c r="V623" i="49"/>
  <c r="W623" i="49"/>
  <c r="X623" i="49"/>
  <c r="Y623" i="49"/>
  <c r="Z623" i="49"/>
  <c r="AA623" i="49"/>
  <c r="AB623" i="49"/>
  <c r="AC623" i="49"/>
  <c r="AD623" i="49"/>
  <c r="AQ623" i="49"/>
  <c r="Y600" i="49"/>
  <c r="S600" i="49"/>
  <c r="S559" i="49"/>
  <c r="T559" i="49"/>
  <c r="U559" i="49"/>
  <c r="V559" i="49"/>
  <c r="W559" i="49"/>
  <c r="X559" i="49"/>
  <c r="Y559" i="49"/>
  <c r="Z559" i="49"/>
  <c r="AA559" i="49"/>
  <c r="AB559" i="49"/>
  <c r="AC559" i="49"/>
  <c r="AD559" i="49"/>
  <c r="AK559" i="49"/>
  <c r="AS559" i="49"/>
  <c r="AT559" i="49"/>
  <c r="AN559" i="49"/>
  <c r="Y534" i="49"/>
  <c r="S534" i="49"/>
  <c r="M534" i="49"/>
  <c r="S501" i="49"/>
  <c r="T501" i="49"/>
  <c r="U501" i="49"/>
  <c r="V501" i="49"/>
  <c r="W501" i="49"/>
  <c r="X501" i="49"/>
  <c r="Y501" i="49"/>
  <c r="Z501" i="49"/>
  <c r="AA501" i="49"/>
  <c r="AB501" i="49"/>
  <c r="AC501" i="49"/>
  <c r="AD501" i="49"/>
  <c r="AT501" i="49"/>
  <c r="AM501" i="49"/>
  <c r="S478" i="49"/>
  <c r="T478" i="49"/>
  <c r="U478" i="49"/>
  <c r="V478" i="49"/>
  <c r="W478" i="49"/>
  <c r="X478" i="49"/>
  <c r="Y478" i="49"/>
  <c r="Z478" i="49"/>
  <c r="AA478" i="49"/>
  <c r="AB478" i="49"/>
  <c r="AC478" i="49"/>
  <c r="AD478" i="49"/>
  <c r="AS478" i="49"/>
  <c r="S455" i="49"/>
  <c r="T455" i="49"/>
  <c r="U455" i="49"/>
  <c r="V455" i="49"/>
  <c r="W455" i="49"/>
  <c r="X455" i="49"/>
  <c r="Y455" i="49"/>
  <c r="Z455" i="49"/>
  <c r="AA455" i="49"/>
  <c r="AB455" i="49"/>
  <c r="AC455" i="49"/>
  <c r="AD455" i="49"/>
  <c r="AQ455" i="49"/>
  <c r="S432" i="49"/>
  <c r="T432" i="49"/>
  <c r="U432" i="49"/>
  <c r="V432" i="49"/>
  <c r="W432" i="49"/>
  <c r="X432" i="49"/>
  <c r="Y432" i="49"/>
  <c r="Z432" i="49"/>
  <c r="AA432" i="49"/>
  <c r="AB432" i="49"/>
  <c r="AC432" i="49"/>
  <c r="AD432" i="49"/>
  <c r="AP432" i="49"/>
  <c r="AI300" i="46"/>
  <c r="N8" i="19"/>
  <c r="N7" i="23" s="1"/>
  <c r="B8" i="63"/>
  <c r="B8" i="34"/>
  <c r="B8" i="41"/>
  <c r="B8" i="61"/>
  <c r="B8" i="58"/>
  <c r="B8" i="57"/>
  <c r="B8" i="44"/>
  <c r="B8" i="56"/>
  <c r="B8" i="53"/>
  <c r="B8" i="47"/>
  <c r="B8" i="52"/>
  <c r="B8" i="50"/>
  <c r="B8" i="49"/>
  <c r="B8" i="48"/>
  <c r="B8" i="46"/>
  <c r="B8" i="43"/>
  <c r="B8" i="40"/>
  <c r="B8" i="37"/>
  <c r="B8" i="59"/>
  <c r="B8" i="32"/>
  <c r="B8" i="36"/>
  <c r="B8" i="15"/>
  <c r="B7" i="23"/>
  <c r="AV432" i="49" l="1"/>
  <c r="AN432" i="49"/>
  <c r="AV455" i="49"/>
  <c r="AN455" i="49"/>
  <c r="AV501" i="49"/>
  <c r="AN501" i="49"/>
  <c r="AM432" i="49"/>
  <c r="AM478" i="49"/>
  <c r="AL479" i="49" s="1"/>
  <c r="AK534" i="49"/>
  <c r="AN779" i="49"/>
  <c r="AM779" i="49"/>
  <c r="AT779" i="49"/>
  <c r="AK779" i="49"/>
  <c r="AQ779" i="49"/>
  <c r="AP779" i="49"/>
  <c r="BF829" i="49"/>
  <c r="AV829" i="49"/>
  <c r="AN829" i="49"/>
  <c r="AM829" i="49"/>
  <c r="AT829" i="49"/>
  <c r="AK829" i="49"/>
  <c r="AH829" i="49"/>
  <c r="AQ829" i="49"/>
  <c r="AP829" i="49"/>
  <c r="AL830" i="49" s="1"/>
  <c r="AN478" i="49"/>
  <c r="AT478" i="49"/>
  <c r="AK478" i="49"/>
  <c r="AT623" i="49"/>
  <c r="AK623" i="49"/>
  <c r="AI534" i="49"/>
  <c r="AK455" i="49"/>
  <c r="AS501" i="49"/>
  <c r="AK501" i="49"/>
  <c r="AQ501" i="49"/>
  <c r="AV559" i="49"/>
  <c r="AQ559" i="49"/>
  <c r="AN560" i="49" s="1"/>
  <c r="AP559" i="49"/>
  <c r="AM455" i="49"/>
  <c r="AS455" i="49"/>
  <c r="AK432" i="49"/>
  <c r="AN433" i="49" s="1"/>
  <c r="AV478" i="49"/>
  <c r="AP501" i="49"/>
  <c r="AL502" i="49" s="1"/>
  <c r="AS623" i="49"/>
  <c r="AP623" i="49"/>
  <c r="AM729" i="49"/>
  <c r="AT729" i="49"/>
  <c r="AK729" i="49"/>
  <c r="AQ729" i="49"/>
  <c r="AP729" i="49"/>
  <c r="AT432" i="49"/>
  <c r="AQ432" i="49"/>
  <c r="AQ478" i="49"/>
  <c r="AP478" i="49"/>
  <c r="AT455" i="49"/>
  <c r="AP455" i="49"/>
  <c r="AV623" i="49"/>
  <c r="AL624" i="49" s="1"/>
  <c r="AN623" i="49"/>
  <c r="AS432" i="49"/>
  <c r="AM559" i="49"/>
  <c r="AM623" i="49"/>
  <c r="AV729" i="49"/>
  <c r="AN729" i="49"/>
  <c r="AV779" i="49"/>
  <c r="AH779" i="49"/>
  <c r="AH729" i="49"/>
  <c r="AG829" i="49"/>
  <c r="AG729" i="49"/>
  <c r="BF729" i="49"/>
  <c r="BF779" i="49"/>
  <c r="AG779" i="49"/>
  <c r="N8" i="37"/>
  <c r="N8" i="56"/>
  <c r="N8" i="46"/>
  <c r="N8" i="44"/>
  <c r="N8" i="15"/>
  <c r="N8" i="48"/>
  <c r="N8" i="57"/>
  <c r="N8" i="36"/>
  <c r="N8" i="58"/>
  <c r="N8" i="32"/>
  <c r="N8" i="50"/>
  <c r="N8" i="61"/>
  <c r="N8" i="43"/>
  <c r="N8" i="49"/>
  <c r="N8" i="59"/>
  <c r="N8" i="52"/>
  <c r="N8" i="41"/>
  <c r="N8" i="47"/>
  <c r="N8" i="34"/>
  <c r="N8" i="40"/>
  <c r="N8" i="53"/>
  <c r="N8" i="63"/>
  <c r="AL574" i="19"/>
  <c r="AM574" i="19" s="1"/>
  <c r="AL47" i="19"/>
  <c r="AM47" i="19" s="1"/>
  <c r="AL336" i="19"/>
  <c r="AM336" i="19" s="1"/>
  <c r="AL63" i="19"/>
  <c r="AM63" i="19" s="1"/>
  <c r="AL127" i="19"/>
  <c r="AM127" i="19" s="1"/>
  <c r="AL191" i="19"/>
  <c r="AM191" i="19" s="1"/>
  <c r="AL254" i="19"/>
  <c r="AM254" i="19" s="1"/>
  <c r="AL352" i="19"/>
  <c r="AM352" i="19" s="1"/>
  <c r="AL111" i="19"/>
  <c r="AM111" i="19" s="1"/>
  <c r="AL246" i="19"/>
  <c r="AM246" i="19" s="1"/>
  <c r="AL7" i="19"/>
  <c r="AM7" i="19" s="1"/>
  <c r="AL71" i="19"/>
  <c r="AM71" i="19" s="1"/>
  <c r="AL135" i="19"/>
  <c r="AM135" i="19" s="1"/>
  <c r="AL199" i="19"/>
  <c r="AM199" i="19" s="1"/>
  <c r="AL262" i="19"/>
  <c r="AM262" i="19" s="1"/>
  <c r="AL368" i="19"/>
  <c r="AM368" i="19" s="1"/>
  <c r="AL119" i="19"/>
  <c r="AM119" i="19" s="1"/>
  <c r="AL15" i="19"/>
  <c r="AM15" i="19" s="1"/>
  <c r="AL79" i="19"/>
  <c r="AM79" i="19" s="1"/>
  <c r="AL143" i="19"/>
  <c r="AM143" i="19" s="1"/>
  <c r="AL207" i="19"/>
  <c r="AM207" i="19" s="1"/>
  <c r="AL272" i="19"/>
  <c r="AM272" i="19" s="1"/>
  <c r="AL384" i="19"/>
  <c r="AM384" i="19" s="1"/>
  <c r="AL175" i="19"/>
  <c r="AM175" i="19" s="1"/>
  <c r="AL183" i="19"/>
  <c r="AM183" i="19" s="1"/>
  <c r="AL23" i="19"/>
  <c r="AM23" i="19" s="1"/>
  <c r="AL87" i="19"/>
  <c r="AM87" i="19" s="1"/>
  <c r="AL151" i="19"/>
  <c r="AM151" i="19" s="1"/>
  <c r="AL215" i="19"/>
  <c r="AM215" i="19" s="1"/>
  <c r="AL283" i="19"/>
  <c r="AM283" i="19" s="1"/>
  <c r="AL400" i="19"/>
  <c r="AM400" i="19" s="1"/>
  <c r="AL239" i="19"/>
  <c r="AM239" i="19" s="1"/>
  <c r="AL55" i="19"/>
  <c r="AM55" i="19" s="1"/>
  <c r="AL31" i="19"/>
  <c r="AM31" i="19" s="1"/>
  <c r="AL95" i="19"/>
  <c r="AM95" i="19" s="1"/>
  <c r="AL159" i="19"/>
  <c r="AM159" i="19" s="1"/>
  <c r="AL223" i="19"/>
  <c r="AM223" i="19" s="1"/>
  <c r="AL297" i="19"/>
  <c r="AM297" i="19" s="1"/>
  <c r="AL416" i="19"/>
  <c r="AM416" i="19" s="1"/>
  <c r="AL322" i="19"/>
  <c r="AM322" i="19" s="1"/>
  <c r="AL39" i="19"/>
  <c r="AM39" i="19" s="1"/>
  <c r="AL103" i="19"/>
  <c r="AM103" i="19" s="1"/>
  <c r="AL167" i="19"/>
  <c r="AM167" i="19" s="1"/>
  <c r="AL231" i="19"/>
  <c r="AM231" i="19" s="1"/>
  <c r="AL311" i="19"/>
  <c r="AM311" i="19" s="1"/>
  <c r="AL432" i="19"/>
  <c r="AM432" i="19" s="1"/>
  <c r="AL496" i="19"/>
  <c r="AM496" i="19" s="1"/>
  <c r="AL8" i="19"/>
  <c r="AM8" i="19" s="1"/>
  <c r="AL48" i="19"/>
  <c r="AM48" i="19" s="1"/>
  <c r="AL88" i="19"/>
  <c r="AM88" i="19" s="1"/>
  <c r="AL136" i="19"/>
  <c r="AM136" i="19" s="1"/>
  <c r="AL184" i="19"/>
  <c r="AM184" i="19" s="1"/>
  <c r="AL224" i="19"/>
  <c r="AM224" i="19" s="1"/>
  <c r="AL255" i="19"/>
  <c r="AM255" i="19" s="1"/>
  <c r="AL312" i="19"/>
  <c r="AM312" i="19" s="1"/>
  <c r="AL386" i="19"/>
  <c r="AM386" i="19" s="1"/>
  <c r="AL466" i="19"/>
  <c r="AM466" i="19" s="1"/>
  <c r="AL498" i="19"/>
  <c r="AM498" i="19" s="1"/>
  <c r="AL9" i="19"/>
  <c r="AM9" i="19" s="1"/>
  <c r="AL57" i="19"/>
  <c r="AM57" i="19" s="1"/>
  <c r="AL105" i="19"/>
  <c r="AM105" i="19" s="1"/>
  <c r="AL145" i="19"/>
  <c r="AM145" i="19" s="1"/>
  <c r="AL185" i="19"/>
  <c r="AM185" i="19" s="1"/>
  <c r="AL225" i="19"/>
  <c r="AM225" i="19" s="1"/>
  <c r="AL274" i="19"/>
  <c r="AM274" i="19" s="1"/>
  <c r="AL371" i="19"/>
  <c r="AM371" i="19" s="1"/>
  <c r="AL467" i="19"/>
  <c r="AM467" i="19" s="1"/>
  <c r="AL563" i="19"/>
  <c r="AM563" i="19" s="1"/>
  <c r="AL10" i="19"/>
  <c r="AM10" i="19" s="1"/>
  <c r="AL18" i="19"/>
  <c r="AM18" i="19" s="1"/>
  <c r="AL26" i="19"/>
  <c r="AM26" i="19" s="1"/>
  <c r="AL34" i="19"/>
  <c r="AM34" i="19" s="1"/>
  <c r="AL42" i="19"/>
  <c r="AM42" i="19" s="1"/>
  <c r="AL50" i="19"/>
  <c r="AM50" i="19" s="1"/>
  <c r="AL58" i="19"/>
  <c r="AM58" i="19" s="1"/>
  <c r="AL66" i="19"/>
  <c r="AM66" i="19" s="1"/>
  <c r="AL74" i="19"/>
  <c r="AM74" i="19" s="1"/>
  <c r="AL82" i="19"/>
  <c r="AM82" i="19" s="1"/>
  <c r="AL90" i="19"/>
  <c r="AM90" i="19" s="1"/>
  <c r="AL98" i="19"/>
  <c r="AM98" i="19" s="1"/>
  <c r="AL106" i="19"/>
  <c r="AM106" i="19" s="1"/>
  <c r="AL114" i="19"/>
  <c r="AM114" i="19" s="1"/>
  <c r="AL122" i="19"/>
  <c r="AM122" i="19" s="1"/>
  <c r="AL130" i="19"/>
  <c r="AM130" i="19" s="1"/>
  <c r="AL138" i="19"/>
  <c r="AM138" i="19" s="1"/>
  <c r="AL146" i="19"/>
  <c r="AM146" i="19" s="1"/>
  <c r="AL154" i="19"/>
  <c r="AM154" i="19" s="1"/>
  <c r="AL162" i="19"/>
  <c r="AM162" i="19" s="1"/>
  <c r="AL170" i="19"/>
  <c r="AM170" i="19" s="1"/>
  <c r="AL178" i="19"/>
  <c r="AM178" i="19" s="1"/>
  <c r="AL186" i="19"/>
  <c r="AM186" i="19" s="1"/>
  <c r="AL194" i="19"/>
  <c r="AM194" i="19" s="1"/>
  <c r="AL202" i="19"/>
  <c r="AM202" i="19" s="1"/>
  <c r="AL210" i="19"/>
  <c r="AM210" i="19" s="1"/>
  <c r="AL218" i="19"/>
  <c r="AM218" i="19" s="1"/>
  <c r="AL226" i="19"/>
  <c r="AM226" i="19" s="1"/>
  <c r="AL234" i="19"/>
  <c r="AM234" i="19" s="1"/>
  <c r="AL242" i="19"/>
  <c r="AM242" i="19" s="1"/>
  <c r="AL249" i="19"/>
  <c r="AM249" i="19" s="1"/>
  <c r="AL257" i="19"/>
  <c r="AM257" i="19" s="1"/>
  <c r="AL265" i="19"/>
  <c r="AM265" i="19" s="1"/>
  <c r="AL275" i="19"/>
  <c r="AM275" i="19" s="1"/>
  <c r="AL289" i="19"/>
  <c r="AM289" i="19" s="1"/>
  <c r="AL303" i="19"/>
  <c r="AM303" i="19" s="1"/>
  <c r="AL314" i="19"/>
  <c r="AM314" i="19" s="1"/>
  <c r="AL328" i="19"/>
  <c r="AM328" i="19" s="1"/>
  <c r="AL343" i="19"/>
  <c r="AM343" i="19" s="1"/>
  <c r="AL359" i="19"/>
  <c r="AM359" i="19" s="1"/>
  <c r="AL375" i="19"/>
  <c r="AM375" i="19" s="1"/>
  <c r="AL391" i="19"/>
  <c r="AM391" i="19" s="1"/>
  <c r="AL407" i="19"/>
  <c r="AM407" i="19" s="1"/>
  <c r="AL423" i="19"/>
  <c r="AM423" i="19" s="1"/>
  <c r="AL439" i="19"/>
  <c r="AM439" i="19" s="1"/>
  <c r="AL455" i="19"/>
  <c r="AM455" i="19" s="1"/>
  <c r="AL471" i="19"/>
  <c r="AM471" i="19" s="1"/>
  <c r="AL487" i="19"/>
  <c r="AM487" i="19" s="1"/>
  <c r="AL503" i="19"/>
  <c r="AM503" i="19" s="1"/>
  <c r="AL519" i="19"/>
  <c r="AM519" i="19" s="1"/>
  <c r="AL535" i="19"/>
  <c r="AM535" i="19" s="1"/>
  <c r="AL551" i="19"/>
  <c r="AM551" i="19" s="1"/>
  <c r="AL567" i="19"/>
  <c r="AM567" i="19" s="1"/>
  <c r="AL480" i="19"/>
  <c r="AM480" i="19" s="1"/>
  <c r="AL528" i="19"/>
  <c r="AM528" i="19" s="1"/>
  <c r="AL16" i="19"/>
  <c r="AM16" i="19" s="1"/>
  <c r="AL56" i="19"/>
  <c r="AM56" i="19" s="1"/>
  <c r="AL104" i="19"/>
  <c r="AM104" i="19" s="1"/>
  <c r="AL144" i="19"/>
  <c r="AM144" i="19" s="1"/>
  <c r="AL176" i="19"/>
  <c r="AM176" i="19" s="1"/>
  <c r="AL216" i="19"/>
  <c r="AM216" i="19" s="1"/>
  <c r="AL263" i="19"/>
  <c r="AM263" i="19" s="1"/>
  <c r="AL354" i="19"/>
  <c r="AM354" i="19" s="1"/>
  <c r="AL450" i="19"/>
  <c r="AM450" i="19" s="1"/>
  <c r="AL562" i="19"/>
  <c r="AM562" i="19" s="1"/>
  <c r="AL25" i="19"/>
  <c r="AM25" i="19" s="1"/>
  <c r="AL65" i="19"/>
  <c r="AM65" i="19" s="1"/>
  <c r="AL97" i="19"/>
  <c r="AM97" i="19" s="1"/>
  <c r="AL137" i="19"/>
  <c r="AM137" i="19" s="1"/>
  <c r="AL177" i="19"/>
  <c r="AM177" i="19" s="1"/>
  <c r="AL217" i="19"/>
  <c r="AM217" i="19" s="1"/>
  <c r="AL256" i="19"/>
  <c r="AM256" i="19" s="1"/>
  <c r="AL299" i="19"/>
  <c r="AM299" i="19" s="1"/>
  <c r="AL355" i="19"/>
  <c r="AM355" i="19" s="1"/>
  <c r="AL403" i="19"/>
  <c r="AM403" i="19" s="1"/>
  <c r="AL499" i="19"/>
  <c r="AM499" i="19" s="1"/>
  <c r="AL11" i="19"/>
  <c r="AM11" i="19" s="1"/>
  <c r="AL19" i="19"/>
  <c r="AM19" i="19" s="1"/>
  <c r="AL27" i="19"/>
  <c r="AM27" i="19" s="1"/>
  <c r="AL35" i="19"/>
  <c r="AM35" i="19" s="1"/>
  <c r="AL43" i="19"/>
  <c r="AM43" i="19" s="1"/>
  <c r="AL51" i="19"/>
  <c r="AM51" i="19" s="1"/>
  <c r="AL59" i="19"/>
  <c r="AM59" i="19" s="1"/>
  <c r="AL67" i="19"/>
  <c r="AM67" i="19" s="1"/>
  <c r="AL75" i="19"/>
  <c r="AM75" i="19" s="1"/>
  <c r="AL83" i="19"/>
  <c r="AM83" i="19" s="1"/>
  <c r="AL91" i="19"/>
  <c r="AM91" i="19" s="1"/>
  <c r="AL99" i="19"/>
  <c r="AM99" i="19" s="1"/>
  <c r="AL107" i="19"/>
  <c r="AM107" i="19" s="1"/>
  <c r="AL115" i="19"/>
  <c r="AM115" i="19" s="1"/>
  <c r="AL123" i="19"/>
  <c r="AM123" i="19" s="1"/>
  <c r="AL131" i="19"/>
  <c r="AM131" i="19" s="1"/>
  <c r="AL139" i="19"/>
  <c r="AM139" i="19" s="1"/>
  <c r="AL147" i="19"/>
  <c r="AM147" i="19" s="1"/>
  <c r="AL155" i="19"/>
  <c r="AM155" i="19" s="1"/>
  <c r="AL163" i="19"/>
  <c r="AM163" i="19" s="1"/>
  <c r="AL171" i="19"/>
  <c r="AM171" i="19" s="1"/>
  <c r="AL179" i="19"/>
  <c r="AM179" i="19" s="1"/>
  <c r="AL187" i="19"/>
  <c r="AM187" i="19" s="1"/>
  <c r="AL195" i="19"/>
  <c r="AM195" i="19" s="1"/>
  <c r="AL203" i="19"/>
  <c r="AM203" i="19" s="1"/>
  <c r="AL211" i="19"/>
  <c r="AM211" i="19" s="1"/>
  <c r="AL219" i="19"/>
  <c r="AM219" i="19" s="1"/>
  <c r="AL227" i="19"/>
  <c r="AM227" i="19" s="1"/>
  <c r="AL235" i="19"/>
  <c r="AM235" i="19" s="1"/>
  <c r="AL243" i="19"/>
  <c r="AM243" i="19" s="1"/>
  <c r="AL250" i="19"/>
  <c r="AM250" i="19" s="1"/>
  <c r="AL258" i="19"/>
  <c r="AM258" i="19" s="1"/>
  <c r="AL266" i="19"/>
  <c r="AM266" i="19" s="1"/>
  <c r="AL279" i="19"/>
  <c r="AM279" i="19" s="1"/>
  <c r="AL290" i="19"/>
  <c r="AM290" i="19" s="1"/>
  <c r="AL304" i="19"/>
  <c r="AM304" i="19" s="1"/>
  <c r="AL315" i="19"/>
  <c r="AM315" i="19" s="1"/>
  <c r="AL329" i="19"/>
  <c r="AM329" i="19" s="1"/>
  <c r="AL344" i="19"/>
  <c r="AM344" i="19" s="1"/>
  <c r="AL360" i="19"/>
  <c r="AM360" i="19" s="1"/>
  <c r="AL376" i="19"/>
  <c r="AM376" i="19" s="1"/>
  <c r="AL392" i="19"/>
  <c r="AM392" i="19" s="1"/>
  <c r="AL408" i="19"/>
  <c r="AM408" i="19" s="1"/>
  <c r="AL424" i="19"/>
  <c r="AM424" i="19" s="1"/>
  <c r="AL440" i="19"/>
  <c r="AM440" i="19" s="1"/>
  <c r="AL456" i="19"/>
  <c r="AM456" i="19" s="1"/>
  <c r="AL472" i="19"/>
  <c r="AM472" i="19" s="1"/>
  <c r="AL488" i="19"/>
  <c r="AM488" i="19" s="1"/>
  <c r="AL504" i="19"/>
  <c r="AM504" i="19" s="1"/>
  <c r="AL520" i="19"/>
  <c r="AM520" i="19" s="1"/>
  <c r="AL536" i="19"/>
  <c r="AM536" i="19" s="1"/>
  <c r="AL552" i="19"/>
  <c r="AM552" i="19" s="1"/>
  <c r="AL568" i="19"/>
  <c r="AM568" i="19" s="1"/>
  <c r="AL448" i="19"/>
  <c r="AM448" i="19" s="1"/>
  <c r="AL512" i="19"/>
  <c r="AM512" i="19" s="1"/>
  <c r="AL32" i="19"/>
  <c r="AM32" i="19" s="1"/>
  <c r="AL72" i="19"/>
  <c r="AM72" i="19" s="1"/>
  <c r="AL112" i="19"/>
  <c r="AM112" i="19" s="1"/>
  <c r="AL152" i="19"/>
  <c r="AM152" i="19" s="1"/>
  <c r="AL192" i="19"/>
  <c r="AM192" i="19" s="1"/>
  <c r="AL247" i="19"/>
  <c r="AM247" i="19" s="1"/>
  <c r="AL298" i="19"/>
  <c r="AM298" i="19" s="1"/>
  <c r="AL370" i="19"/>
  <c r="AM370" i="19" s="1"/>
  <c r="AL434" i="19"/>
  <c r="AM434" i="19" s="1"/>
  <c r="AL546" i="19"/>
  <c r="AM546" i="19" s="1"/>
  <c r="AL17" i="19"/>
  <c r="AM17" i="19" s="1"/>
  <c r="AL41" i="19"/>
  <c r="AM41" i="19" s="1"/>
  <c r="AL73" i="19"/>
  <c r="AM73" i="19" s="1"/>
  <c r="AL113" i="19"/>
  <c r="AM113" i="19" s="1"/>
  <c r="AL153" i="19"/>
  <c r="AM153" i="19" s="1"/>
  <c r="AL193" i="19"/>
  <c r="AM193" i="19" s="1"/>
  <c r="AL241" i="19"/>
  <c r="AM241" i="19" s="1"/>
  <c r="AL313" i="19"/>
  <c r="AM313" i="19" s="1"/>
  <c r="AL435" i="19"/>
  <c r="AM435" i="19" s="1"/>
  <c r="AL547" i="19"/>
  <c r="AM547" i="19" s="1"/>
  <c r="AL4" i="19"/>
  <c r="AM4" i="19" s="1"/>
  <c r="AL12" i="19"/>
  <c r="AM12" i="19" s="1"/>
  <c r="AL20" i="19"/>
  <c r="AM20" i="19" s="1"/>
  <c r="AL28" i="19"/>
  <c r="AM28" i="19" s="1"/>
  <c r="AL36" i="19"/>
  <c r="AM36" i="19" s="1"/>
  <c r="AL44" i="19"/>
  <c r="AM44" i="19" s="1"/>
  <c r="AL52" i="19"/>
  <c r="AM52" i="19" s="1"/>
  <c r="AL60" i="19"/>
  <c r="AM60" i="19" s="1"/>
  <c r="AL68" i="19"/>
  <c r="AM68" i="19" s="1"/>
  <c r="AL76" i="19"/>
  <c r="AM76" i="19" s="1"/>
  <c r="AL84" i="19"/>
  <c r="AM84" i="19" s="1"/>
  <c r="AL92" i="19"/>
  <c r="AM92" i="19" s="1"/>
  <c r="AL100" i="19"/>
  <c r="AM100" i="19" s="1"/>
  <c r="AL108" i="19"/>
  <c r="AM108" i="19" s="1"/>
  <c r="AL116" i="19"/>
  <c r="AM116" i="19" s="1"/>
  <c r="AL124" i="19"/>
  <c r="AM124" i="19" s="1"/>
  <c r="AL132" i="19"/>
  <c r="AM132" i="19" s="1"/>
  <c r="AL140" i="19"/>
  <c r="AM140" i="19" s="1"/>
  <c r="AL148" i="19"/>
  <c r="AM148" i="19" s="1"/>
  <c r="AL156" i="19"/>
  <c r="AM156" i="19" s="1"/>
  <c r="AL164" i="19"/>
  <c r="AM164" i="19" s="1"/>
  <c r="AL172" i="19"/>
  <c r="AM172" i="19" s="1"/>
  <c r="AL180" i="19"/>
  <c r="AM180" i="19" s="1"/>
  <c r="AL188" i="19"/>
  <c r="AM188" i="19" s="1"/>
  <c r="AL196" i="19"/>
  <c r="AM196" i="19" s="1"/>
  <c r="AL204" i="19"/>
  <c r="AM204" i="19" s="1"/>
  <c r="AL212" i="19"/>
  <c r="AM212" i="19" s="1"/>
  <c r="AL220" i="19"/>
  <c r="AM220" i="19" s="1"/>
  <c r="AL228" i="19"/>
  <c r="AM228" i="19" s="1"/>
  <c r="AL236" i="19"/>
  <c r="AM236" i="19" s="1"/>
  <c r="AL244" i="19"/>
  <c r="AM244" i="19" s="1"/>
  <c r="AL251" i="19"/>
  <c r="AM251" i="19" s="1"/>
  <c r="AL259" i="19"/>
  <c r="AM259" i="19" s="1"/>
  <c r="AL267" i="19"/>
  <c r="AM267" i="19" s="1"/>
  <c r="AL280" i="19"/>
  <c r="AM280" i="19" s="1"/>
  <c r="AL291" i="19"/>
  <c r="AM291" i="19" s="1"/>
  <c r="AL305" i="19"/>
  <c r="AM305" i="19" s="1"/>
  <c r="AL319" i="19"/>
  <c r="AM319" i="19" s="1"/>
  <c r="AL330" i="19"/>
  <c r="AM330" i="19" s="1"/>
  <c r="AL346" i="19"/>
  <c r="AM346" i="19" s="1"/>
  <c r="AL362" i="19"/>
  <c r="AM362" i="19" s="1"/>
  <c r="AL378" i="19"/>
  <c r="AM378" i="19" s="1"/>
  <c r="AL394" i="19"/>
  <c r="AM394" i="19" s="1"/>
  <c r="AL410" i="19"/>
  <c r="AM410" i="19" s="1"/>
  <c r="AL426" i="19"/>
  <c r="AM426" i="19" s="1"/>
  <c r="AL442" i="19"/>
  <c r="AM442" i="19" s="1"/>
  <c r="AL458" i="19"/>
  <c r="AM458" i="19" s="1"/>
  <c r="AL474" i="19"/>
  <c r="AM474" i="19" s="1"/>
  <c r="AL490" i="19"/>
  <c r="AM490" i="19" s="1"/>
  <c r="AL506" i="19"/>
  <c r="AM506" i="19" s="1"/>
  <c r="AL522" i="19"/>
  <c r="AM522" i="19" s="1"/>
  <c r="AL538" i="19"/>
  <c r="AM538" i="19" s="1"/>
  <c r="AL554" i="19"/>
  <c r="AM554" i="19" s="1"/>
  <c r="AL570" i="19"/>
  <c r="AM570" i="19" s="1"/>
  <c r="AL560" i="19"/>
  <c r="AM560" i="19" s="1"/>
  <c r="AL24" i="19"/>
  <c r="AM24" i="19" s="1"/>
  <c r="AL64" i="19"/>
  <c r="AM64" i="19" s="1"/>
  <c r="AL96" i="19"/>
  <c r="AM96" i="19" s="1"/>
  <c r="AL128" i="19"/>
  <c r="AM128" i="19" s="1"/>
  <c r="AL168" i="19"/>
  <c r="AM168" i="19" s="1"/>
  <c r="AL208" i="19"/>
  <c r="AM208" i="19" s="1"/>
  <c r="AL232" i="19"/>
  <c r="AM232" i="19" s="1"/>
  <c r="AL273" i="19"/>
  <c r="AM273" i="19" s="1"/>
  <c r="AL323" i="19"/>
  <c r="AM323" i="19" s="1"/>
  <c r="AL402" i="19"/>
  <c r="AM402" i="19" s="1"/>
  <c r="AL530" i="19"/>
  <c r="AM530" i="19" s="1"/>
  <c r="AL49" i="19"/>
  <c r="AM49" i="19" s="1"/>
  <c r="AL89" i="19"/>
  <c r="AM89" i="19" s="1"/>
  <c r="AL121" i="19"/>
  <c r="AM121" i="19" s="1"/>
  <c r="AL161" i="19"/>
  <c r="AM161" i="19" s="1"/>
  <c r="AL201" i="19"/>
  <c r="AM201" i="19" s="1"/>
  <c r="AL233" i="19"/>
  <c r="AM233" i="19" s="1"/>
  <c r="AL264" i="19"/>
  <c r="AM264" i="19" s="1"/>
  <c r="AL288" i="19"/>
  <c r="AM288" i="19" s="1"/>
  <c r="AL339" i="19"/>
  <c r="AM339" i="19" s="1"/>
  <c r="AL387" i="19"/>
  <c r="AM387" i="19" s="1"/>
  <c r="AL451" i="19"/>
  <c r="AM451" i="19" s="1"/>
  <c r="AL515" i="19"/>
  <c r="AM515" i="19" s="1"/>
  <c r="AL5" i="19"/>
  <c r="AM5" i="19" s="1"/>
  <c r="AL13" i="19"/>
  <c r="AM13" i="19" s="1"/>
  <c r="AL21" i="19"/>
  <c r="AM21" i="19" s="1"/>
  <c r="AL29" i="19"/>
  <c r="AM29" i="19" s="1"/>
  <c r="AL37" i="19"/>
  <c r="AM37" i="19" s="1"/>
  <c r="AL45" i="19"/>
  <c r="AM45" i="19" s="1"/>
  <c r="AL53" i="19"/>
  <c r="AM53" i="19" s="1"/>
  <c r="AL61" i="19"/>
  <c r="AM61" i="19" s="1"/>
  <c r="AL69" i="19"/>
  <c r="AM69" i="19" s="1"/>
  <c r="AL77" i="19"/>
  <c r="AM77" i="19" s="1"/>
  <c r="AL85" i="19"/>
  <c r="AM85" i="19" s="1"/>
  <c r="AL93" i="19"/>
  <c r="AM93" i="19" s="1"/>
  <c r="AL101" i="19"/>
  <c r="AM101" i="19" s="1"/>
  <c r="AL109" i="19"/>
  <c r="AM109" i="19" s="1"/>
  <c r="AL117" i="19"/>
  <c r="AM117" i="19" s="1"/>
  <c r="AL125" i="19"/>
  <c r="AM125" i="19" s="1"/>
  <c r="AL133" i="19"/>
  <c r="AM133" i="19" s="1"/>
  <c r="AL141" i="19"/>
  <c r="AM141" i="19" s="1"/>
  <c r="AL149" i="19"/>
  <c r="AM149" i="19" s="1"/>
  <c r="AL157" i="19"/>
  <c r="AM157" i="19" s="1"/>
  <c r="AL165" i="19"/>
  <c r="AM165" i="19" s="1"/>
  <c r="AL173" i="19"/>
  <c r="AM173" i="19" s="1"/>
  <c r="AL181" i="19"/>
  <c r="AM181" i="19" s="1"/>
  <c r="AL189" i="19"/>
  <c r="AM189" i="19" s="1"/>
  <c r="AL197" i="19"/>
  <c r="AM197" i="19" s="1"/>
  <c r="AL205" i="19"/>
  <c r="AM205" i="19" s="1"/>
  <c r="AL213" i="19"/>
  <c r="AM213" i="19" s="1"/>
  <c r="AL221" i="19"/>
  <c r="AM221" i="19" s="1"/>
  <c r="AL229" i="19"/>
  <c r="AM229" i="19" s="1"/>
  <c r="AL237" i="19"/>
  <c r="AM237" i="19" s="1"/>
  <c r="AL245" i="19"/>
  <c r="AM245" i="19" s="1"/>
  <c r="AL252" i="19"/>
  <c r="AM252" i="19" s="1"/>
  <c r="AL260" i="19"/>
  <c r="AM260" i="19" s="1"/>
  <c r="AL269" i="19"/>
  <c r="AM269" i="19" s="1"/>
  <c r="AL281" i="19"/>
  <c r="AM281" i="19" s="1"/>
  <c r="AL295" i="19"/>
  <c r="AM295" i="19" s="1"/>
  <c r="AL306" i="19"/>
  <c r="AM306" i="19" s="1"/>
  <c r="AL320" i="19"/>
  <c r="AM320" i="19" s="1"/>
  <c r="AL331" i="19"/>
  <c r="AM331" i="19" s="1"/>
  <c r="AL347" i="19"/>
  <c r="AM347" i="19" s="1"/>
  <c r="AL363" i="19"/>
  <c r="AM363" i="19" s="1"/>
  <c r="AL379" i="19"/>
  <c r="AM379" i="19" s="1"/>
  <c r="AL395" i="19"/>
  <c r="AM395" i="19" s="1"/>
  <c r="AL411" i="19"/>
  <c r="AM411" i="19" s="1"/>
  <c r="AL427" i="19"/>
  <c r="AM427" i="19" s="1"/>
  <c r="AL443" i="19"/>
  <c r="AM443" i="19" s="1"/>
  <c r="AL459" i="19"/>
  <c r="AM459" i="19" s="1"/>
  <c r="AL475" i="19"/>
  <c r="AM475" i="19" s="1"/>
  <c r="AL491" i="19"/>
  <c r="AM491" i="19" s="1"/>
  <c r="AL507" i="19"/>
  <c r="AM507" i="19" s="1"/>
  <c r="AL523" i="19"/>
  <c r="AM523" i="19" s="1"/>
  <c r="AL539" i="19"/>
  <c r="AM539" i="19" s="1"/>
  <c r="AL555" i="19"/>
  <c r="AM555" i="19" s="1"/>
  <c r="AL571" i="19"/>
  <c r="AM571" i="19" s="1"/>
  <c r="AL464" i="19"/>
  <c r="AM464" i="19" s="1"/>
  <c r="AL544" i="19"/>
  <c r="AM544" i="19" s="1"/>
  <c r="AL40" i="19"/>
  <c r="AM40" i="19" s="1"/>
  <c r="AL80" i="19"/>
  <c r="AM80" i="19" s="1"/>
  <c r="AL120" i="19"/>
  <c r="AM120" i="19" s="1"/>
  <c r="AL160" i="19"/>
  <c r="AM160" i="19" s="1"/>
  <c r="AL200" i="19"/>
  <c r="AM200" i="19" s="1"/>
  <c r="AL240" i="19"/>
  <c r="AM240" i="19" s="1"/>
  <c r="AL287" i="19"/>
  <c r="AM287" i="19" s="1"/>
  <c r="AL338" i="19"/>
  <c r="AM338" i="19" s="1"/>
  <c r="AL418" i="19"/>
  <c r="AM418" i="19" s="1"/>
  <c r="AL482" i="19"/>
  <c r="AM482" i="19" s="1"/>
  <c r="AL514" i="19"/>
  <c r="AM514" i="19" s="1"/>
  <c r="AL33" i="19"/>
  <c r="AM33" i="19" s="1"/>
  <c r="AL81" i="19"/>
  <c r="AM81" i="19" s="1"/>
  <c r="AL129" i="19"/>
  <c r="AM129" i="19" s="1"/>
  <c r="AL169" i="19"/>
  <c r="AM169" i="19" s="1"/>
  <c r="AL209" i="19"/>
  <c r="AM209" i="19" s="1"/>
  <c r="AL248" i="19"/>
  <c r="AM248" i="19" s="1"/>
  <c r="AL327" i="19"/>
  <c r="AM327" i="19" s="1"/>
  <c r="AL419" i="19"/>
  <c r="AM419" i="19" s="1"/>
  <c r="AL483" i="19"/>
  <c r="AM483" i="19" s="1"/>
  <c r="AL531" i="19"/>
  <c r="AM531" i="19" s="1"/>
  <c r="AL6" i="19"/>
  <c r="AM6" i="19" s="1"/>
  <c r="AL14" i="19"/>
  <c r="AM14" i="19" s="1"/>
  <c r="AL22" i="19"/>
  <c r="AM22" i="19" s="1"/>
  <c r="AL30" i="19"/>
  <c r="AM30" i="19" s="1"/>
  <c r="AL38" i="19"/>
  <c r="AM38" i="19" s="1"/>
  <c r="AL46" i="19"/>
  <c r="AM46" i="19" s="1"/>
  <c r="AL54" i="19"/>
  <c r="AM54" i="19" s="1"/>
  <c r="AL62" i="19"/>
  <c r="AM62" i="19" s="1"/>
  <c r="AL70" i="19"/>
  <c r="AM70" i="19" s="1"/>
  <c r="AL78" i="19"/>
  <c r="AM78" i="19" s="1"/>
  <c r="AL86" i="19"/>
  <c r="AM86" i="19" s="1"/>
  <c r="AL94" i="19"/>
  <c r="AM94" i="19" s="1"/>
  <c r="AL102" i="19"/>
  <c r="AM102" i="19" s="1"/>
  <c r="AL110" i="19"/>
  <c r="AM110" i="19" s="1"/>
  <c r="AL118" i="19"/>
  <c r="AM118" i="19" s="1"/>
  <c r="AL126" i="19"/>
  <c r="AM126" i="19" s="1"/>
  <c r="AL134" i="19"/>
  <c r="AM134" i="19" s="1"/>
  <c r="AL142" i="19"/>
  <c r="AM142" i="19" s="1"/>
  <c r="AL150" i="19"/>
  <c r="AM150" i="19" s="1"/>
  <c r="AL158" i="19"/>
  <c r="AM158" i="19" s="1"/>
  <c r="AL166" i="19"/>
  <c r="AM166" i="19" s="1"/>
  <c r="AL174" i="19"/>
  <c r="AM174" i="19" s="1"/>
  <c r="AL182" i="19"/>
  <c r="AM182" i="19" s="1"/>
  <c r="AL190" i="19"/>
  <c r="AM190" i="19" s="1"/>
  <c r="AL198" i="19"/>
  <c r="AM198" i="19" s="1"/>
  <c r="AL206" i="19"/>
  <c r="AM206" i="19" s="1"/>
  <c r="AL214" i="19"/>
  <c r="AM214" i="19" s="1"/>
  <c r="AL222" i="19"/>
  <c r="AM222" i="19" s="1"/>
  <c r="AL230" i="19"/>
  <c r="AM230" i="19" s="1"/>
  <c r="AL238" i="19"/>
  <c r="AM238" i="19" s="1"/>
  <c r="AL253" i="19"/>
  <c r="AM253" i="19" s="1"/>
  <c r="AL261" i="19"/>
  <c r="AM261" i="19" s="1"/>
  <c r="AL271" i="19"/>
  <c r="AM271" i="19" s="1"/>
  <c r="AL282" i="19"/>
  <c r="AM282" i="19" s="1"/>
  <c r="AL296" i="19"/>
  <c r="AM296" i="19" s="1"/>
  <c r="AL307" i="19"/>
  <c r="AM307" i="19" s="1"/>
  <c r="AL321" i="19"/>
  <c r="AM321" i="19" s="1"/>
  <c r="AL335" i="19"/>
  <c r="AM335" i="19" s="1"/>
  <c r="AL351" i="19"/>
  <c r="AM351" i="19" s="1"/>
  <c r="AL367" i="19"/>
  <c r="AM367" i="19" s="1"/>
  <c r="AL383" i="19"/>
  <c r="AM383" i="19" s="1"/>
  <c r="AL399" i="19"/>
  <c r="AM399" i="19" s="1"/>
  <c r="AL415" i="19"/>
  <c r="AM415" i="19" s="1"/>
  <c r="AL431" i="19"/>
  <c r="AM431" i="19" s="1"/>
  <c r="AL447" i="19"/>
  <c r="AM447" i="19" s="1"/>
  <c r="AL463" i="19"/>
  <c r="AM463" i="19" s="1"/>
  <c r="AL479" i="19"/>
  <c r="AM479" i="19" s="1"/>
  <c r="AL495" i="19"/>
  <c r="AM495" i="19" s="1"/>
  <c r="AL511" i="19"/>
  <c r="AM511" i="19" s="1"/>
  <c r="AL527" i="19"/>
  <c r="AM527" i="19" s="1"/>
  <c r="AL543" i="19"/>
  <c r="AM543" i="19" s="1"/>
  <c r="AL559" i="19"/>
  <c r="AM559" i="19" s="1"/>
  <c r="AL337" i="19"/>
  <c r="AM337" i="19" s="1"/>
  <c r="AL345" i="19"/>
  <c r="AM345" i="19" s="1"/>
  <c r="AL353" i="19"/>
  <c r="AM353" i="19" s="1"/>
  <c r="AL361" i="19"/>
  <c r="AM361" i="19" s="1"/>
  <c r="AL369" i="19"/>
  <c r="AM369" i="19" s="1"/>
  <c r="AL377" i="19"/>
  <c r="AM377" i="19" s="1"/>
  <c r="AL385" i="19"/>
  <c r="AM385" i="19" s="1"/>
  <c r="AL393" i="19"/>
  <c r="AM393" i="19" s="1"/>
  <c r="AL401" i="19"/>
  <c r="AM401" i="19" s="1"/>
  <c r="AL409" i="19"/>
  <c r="AM409" i="19" s="1"/>
  <c r="AL417" i="19"/>
  <c r="AM417" i="19" s="1"/>
  <c r="AL425" i="19"/>
  <c r="AM425" i="19" s="1"/>
  <c r="AL433" i="19"/>
  <c r="AM433" i="19" s="1"/>
  <c r="AL441" i="19"/>
  <c r="AM441" i="19" s="1"/>
  <c r="AL449" i="19"/>
  <c r="AM449" i="19" s="1"/>
  <c r="AL457" i="19"/>
  <c r="AM457" i="19" s="1"/>
  <c r="AL465" i="19"/>
  <c r="AM465" i="19" s="1"/>
  <c r="AL473" i="19"/>
  <c r="AM473" i="19" s="1"/>
  <c r="AL481" i="19"/>
  <c r="AM481" i="19" s="1"/>
  <c r="AL489" i="19"/>
  <c r="AM489" i="19" s="1"/>
  <c r="AL497" i="19"/>
  <c r="AM497" i="19" s="1"/>
  <c r="AL505" i="19"/>
  <c r="AM505" i="19" s="1"/>
  <c r="AL513" i="19"/>
  <c r="AM513" i="19" s="1"/>
  <c r="AL521" i="19"/>
  <c r="AM521" i="19" s="1"/>
  <c r="AL529" i="19"/>
  <c r="AM529" i="19" s="1"/>
  <c r="AL537" i="19"/>
  <c r="AM537" i="19" s="1"/>
  <c r="AL545" i="19"/>
  <c r="AM545" i="19" s="1"/>
  <c r="AL553" i="19"/>
  <c r="AM553" i="19" s="1"/>
  <c r="AL561" i="19"/>
  <c r="AM561" i="19" s="1"/>
  <c r="AL569" i="19"/>
  <c r="AM569" i="19" s="1"/>
  <c r="AL268" i="19"/>
  <c r="AM268" i="19" s="1"/>
  <c r="AL276" i="19"/>
  <c r="AM276" i="19" s="1"/>
  <c r="AL284" i="19"/>
  <c r="AM284" i="19" s="1"/>
  <c r="AL292" i="19"/>
  <c r="AM292" i="19" s="1"/>
  <c r="AL300" i="19"/>
  <c r="AM300" i="19" s="1"/>
  <c r="AL308" i="19"/>
  <c r="AM308" i="19" s="1"/>
  <c r="AL316" i="19"/>
  <c r="AM316" i="19" s="1"/>
  <c r="AL324" i="19"/>
  <c r="AM324" i="19" s="1"/>
  <c r="AL332" i="19"/>
  <c r="AM332" i="19" s="1"/>
  <c r="AL340" i="19"/>
  <c r="AM340" i="19" s="1"/>
  <c r="AL348" i="19"/>
  <c r="AM348" i="19" s="1"/>
  <c r="AL356" i="19"/>
  <c r="AM356" i="19" s="1"/>
  <c r="AL364" i="19"/>
  <c r="AM364" i="19" s="1"/>
  <c r="AL372" i="19"/>
  <c r="AM372" i="19" s="1"/>
  <c r="AL380" i="19"/>
  <c r="AM380" i="19" s="1"/>
  <c r="AL388" i="19"/>
  <c r="AM388" i="19" s="1"/>
  <c r="AL396" i="19"/>
  <c r="AM396" i="19" s="1"/>
  <c r="AL404" i="19"/>
  <c r="AM404" i="19" s="1"/>
  <c r="AL412" i="19"/>
  <c r="AM412" i="19" s="1"/>
  <c r="AL420" i="19"/>
  <c r="AM420" i="19" s="1"/>
  <c r="AL428" i="19"/>
  <c r="AM428" i="19" s="1"/>
  <c r="AL436" i="19"/>
  <c r="AM436" i="19" s="1"/>
  <c r="AL444" i="19"/>
  <c r="AM444" i="19" s="1"/>
  <c r="AL452" i="19"/>
  <c r="AM452" i="19" s="1"/>
  <c r="AL460" i="19"/>
  <c r="AM460" i="19" s="1"/>
  <c r="AL468" i="19"/>
  <c r="AM468" i="19" s="1"/>
  <c r="AL476" i="19"/>
  <c r="AM476" i="19" s="1"/>
  <c r="AL484" i="19"/>
  <c r="AM484" i="19" s="1"/>
  <c r="AL492" i="19"/>
  <c r="AM492" i="19" s="1"/>
  <c r="AL500" i="19"/>
  <c r="AM500" i="19" s="1"/>
  <c r="AL508" i="19"/>
  <c r="AM508" i="19" s="1"/>
  <c r="AL516" i="19"/>
  <c r="AM516" i="19" s="1"/>
  <c r="AL524" i="19"/>
  <c r="AM524" i="19" s="1"/>
  <c r="AL532" i="19"/>
  <c r="AM532" i="19" s="1"/>
  <c r="AL540" i="19"/>
  <c r="AM540" i="19" s="1"/>
  <c r="AL548" i="19"/>
  <c r="AM548" i="19" s="1"/>
  <c r="AL556" i="19"/>
  <c r="AM556" i="19" s="1"/>
  <c r="AL564" i="19"/>
  <c r="AM564" i="19" s="1"/>
  <c r="AL572" i="19"/>
  <c r="AM572" i="19" s="1"/>
  <c r="AL277" i="19"/>
  <c r="AM277" i="19" s="1"/>
  <c r="AL285" i="19"/>
  <c r="AM285" i="19" s="1"/>
  <c r="AL293" i="19"/>
  <c r="AM293" i="19" s="1"/>
  <c r="AL301" i="19"/>
  <c r="AM301" i="19" s="1"/>
  <c r="AL309" i="19"/>
  <c r="AM309" i="19" s="1"/>
  <c r="AL317" i="19"/>
  <c r="AM317" i="19" s="1"/>
  <c r="AL325" i="19"/>
  <c r="AM325" i="19" s="1"/>
  <c r="AL333" i="19"/>
  <c r="AM333" i="19" s="1"/>
  <c r="AL341" i="19"/>
  <c r="AM341" i="19" s="1"/>
  <c r="AL349" i="19"/>
  <c r="AM349" i="19" s="1"/>
  <c r="AL357" i="19"/>
  <c r="AM357" i="19" s="1"/>
  <c r="AL365" i="19"/>
  <c r="AM365" i="19" s="1"/>
  <c r="AL373" i="19"/>
  <c r="AM373" i="19" s="1"/>
  <c r="AL381" i="19"/>
  <c r="AM381" i="19" s="1"/>
  <c r="AL389" i="19"/>
  <c r="AM389" i="19" s="1"/>
  <c r="AL397" i="19"/>
  <c r="AM397" i="19" s="1"/>
  <c r="AL405" i="19"/>
  <c r="AM405" i="19" s="1"/>
  <c r="AL413" i="19"/>
  <c r="AM413" i="19" s="1"/>
  <c r="AL421" i="19"/>
  <c r="AM421" i="19" s="1"/>
  <c r="AL429" i="19"/>
  <c r="AM429" i="19" s="1"/>
  <c r="AL437" i="19"/>
  <c r="AM437" i="19" s="1"/>
  <c r="AL445" i="19"/>
  <c r="AM445" i="19" s="1"/>
  <c r="AL453" i="19"/>
  <c r="AM453" i="19" s="1"/>
  <c r="AL461" i="19"/>
  <c r="AM461" i="19" s="1"/>
  <c r="AL469" i="19"/>
  <c r="AM469" i="19" s="1"/>
  <c r="AL477" i="19"/>
  <c r="AM477" i="19" s="1"/>
  <c r="AL485" i="19"/>
  <c r="AM485" i="19" s="1"/>
  <c r="AL493" i="19"/>
  <c r="AM493" i="19" s="1"/>
  <c r="AL501" i="19"/>
  <c r="AM501" i="19" s="1"/>
  <c r="AL509" i="19"/>
  <c r="AM509" i="19" s="1"/>
  <c r="AL517" i="19"/>
  <c r="AM517" i="19" s="1"/>
  <c r="AL525" i="19"/>
  <c r="AM525" i="19" s="1"/>
  <c r="AL533" i="19"/>
  <c r="AM533" i="19" s="1"/>
  <c r="AL541" i="19"/>
  <c r="AM541" i="19" s="1"/>
  <c r="AL549" i="19"/>
  <c r="AM549" i="19" s="1"/>
  <c r="AL557" i="19"/>
  <c r="AM557" i="19" s="1"/>
  <c r="AL565" i="19"/>
  <c r="AM565" i="19" s="1"/>
  <c r="AL573" i="19"/>
  <c r="AM573" i="19" s="1"/>
  <c r="AL270" i="19"/>
  <c r="AM270" i="19" s="1"/>
  <c r="AL278" i="19"/>
  <c r="AM278" i="19" s="1"/>
  <c r="AL286" i="19"/>
  <c r="AM286" i="19" s="1"/>
  <c r="AL294" i="19"/>
  <c r="AM294" i="19" s="1"/>
  <c r="AL302" i="19"/>
  <c r="AM302" i="19" s="1"/>
  <c r="AL310" i="19"/>
  <c r="AM310" i="19" s="1"/>
  <c r="AL318" i="19"/>
  <c r="AM318" i="19" s="1"/>
  <c r="AL326" i="19"/>
  <c r="AM326" i="19" s="1"/>
  <c r="AL334" i="19"/>
  <c r="AM334" i="19" s="1"/>
  <c r="AL342" i="19"/>
  <c r="AM342" i="19" s="1"/>
  <c r="AL350" i="19"/>
  <c r="AM350" i="19" s="1"/>
  <c r="AL358" i="19"/>
  <c r="AM358" i="19" s="1"/>
  <c r="AL366" i="19"/>
  <c r="AM366" i="19" s="1"/>
  <c r="AL374" i="19"/>
  <c r="AM374" i="19" s="1"/>
  <c r="AL382" i="19"/>
  <c r="AM382" i="19" s="1"/>
  <c r="AL390" i="19"/>
  <c r="AM390" i="19" s="1"/>
  <c r="AL398" i="19"/>
  <c r="AM398" i="19" s="1"/>
  <c r="AL406" i="19"/>
  <c r="AM406" i="19" s="1"/>
  <c r="AL414" i="19"/>
  <c r="AM414" i="19" s="1"/>
  <c r="AL422" i="19"/>
  <c r="AM422" i="19" s="1"/>
  <c r="AL430" i="19"/>
  <c r="AM430" i="19" s="1"/>
  <c r="AL438" i="19"/>
  <c r="AM438" i="19" s="1"/>
  <c r="AL446" i="19"/>
  <c r="AM446" i="19" s="1"/>
  <c r="AL454" i="19"/>
  <c r="AM454" i="19" s="1"/>
  <c r="AL462" i="19"/>
  <c r="AM462" i="19" s="1"/>
  <c r="AL470" i="19"/>
  <c r="AM470" i="19" s="1"/>
  <c r="AL478" i="19"/>
  <c r="AM478" i="19" s="1"/>
  <c r="AL486" i="19"/>
  <c r="AM486" i="19" s="1"/>
  <c r="AL494" i="19"/>
  <c r="AM494" i="19" s="1"/>
  <c r="AL502" i="19"/>
  <c r="AM502" i="19" s="1"/>
  <c r="AL510" i="19"/>
  <c r="AM510" i="19" s="1"/>
  <c r="AL518" i="19"/>
  <c r="AM518" i="19" s="1"/>
  <c r="AL526" i="19"/>
  <c r="AM526" i="19" s="1"/>
  <c r="AL534" i="19"/>
  <c r="AM534" i="19" s="1"/>
  <c r="AL542" i="19"/>
  <c r="AM542" i="19" s="1"/>
  <c r="AL550" i="19"/>
  <c r="AM550" i="19" s="1"/>
  <c r="AL558" i="19"/>
  <c r="AM558" i="19" s="1"/>
  <c r="AL566" i="19"/>
  <c r="AM566" i="19" s="1"/>
  <c r="AN830" i="49" l="1"/>
  <c r="AN780" i="49"/>
  <c r="AN730" i="49"/>
  <c r="AL560" i="49"/>
  <c r="AN479" i="49"/>
  <c r="AL456" i="49"/>
  <c r="AN624" i="49"/>
  <c r="AL433" i="49"/>
  <c r="AL730" i="49"/>
  <c r="AN502" i="49"/>
  <c r="AL780" i="49"/>
  <c r="AN456" i="49"/>
  <c r="IL37" i="41" l="1"/>
  <c r="ID37" i="41"/>
  <c r="IB37" i="41"/>
  <c r="HV37" i="41"/>
  <c r="HN37" i="41"/>
  <c r="HM30" i="41"/>
  <c r="HO30" i="41"/>
  <c r="HQ30" i="41"/>
  <c r="HS30" i="41"/>
  <c r="HU30" i="41"/>
  <c r="HW30" i="41"/>
  <c r="HX37" i="41" s="1"/>
  <c r="HY30" i="41"/>
  <c r="IA30" i="41"/>
  <c r="IC30" i="41"/>
  <c r="IE30" i="41"/>
  <c r="IG30" i="41"/>
  <c r="II30" i="41"/>
  <c r="IK30" i="41"/>
  <c r="IM30" i="41"/>
  <c r="IO30" i="41"/>
  <c r="IQ30" i="41"/>
  <c r="IS30" i="41"/>
  <c r="IU30" i="41"/>
  <c r="IW30" i="41"/>
  <c r="IY30" i="41"/>
  <c r="HM31" i="41"/>
  <c r="HO31" i="41"/>
  <c r="HQ31" i="41"/>
  <c r="HR37" i="41" s="1"/>
  <c r="HS31" i="41"/>
  <c r="HT37" i="41" s="1"/>
  <c r="HU31" i="41"/>
  <c r="HW31" i="41"/>
  <c r="HY31" i="41"/>
  <c r="IA31" i="41"/>
  <c r="IC31" i="41"/>
  <c r="IE31" i="41"/>
  <c r="IG31" i="41"/>
  <c r="II31" i="41"/>
  <c r="IK31" i="41"/>
  <c r="IM31" i="41"/>
  <c r="IO31" i="41"/>
  <c r="IQ31" i="41"/>
  <c r="IR37" i="41" s="1"/>
  <c r="IS31" i="41"/>
  <c r="IU31" i="41"/>
  <c r="IW31" i="41"/>
  <c r="IY31" i="41"/>
  <c r="HM32" i="41"/>
  <c r="HO32" i="41"/>
  <c r="HQ32" i="41"/>
  <c r="HS32" i="41"/>
  <c r="HU32" i="41"/>
  <c r="HW32" i="41"/>
  <c r="HY32" i="41"/>
  <c r="IA32" i="41"/>
  <c r="IC32" i="41"/>
  <c r="IE32" i="41"/>
  <c r="IG32" i="41"/>
  <c r="II32" i="41"/>
  <c r="IK32" i="41"/>
  <c r="IM32" i="41"/>
  <c r="IO32" i="41"/>
  <c r="IQ32" i="41"/>
  <c r="IS32" i="41"/>
  <c r="IU32" i="41"/>
  <c r="IW32" i="41"/>
  <c r="IY32" i="41"/>
  <c r="HM33" i="41"/>
  <c r="HO33" i="41"/>
  <c r="HQ33" i="41"/>
  <c r="HS33" i="41"/>
  <c r="HU33" i="41"/>
  <c r="HW33" i="41"/>
  <c r="HY33" i="41"/>
  <c r="IA33" i="41"/>
  <c r="IC33" i="41"/>
  <c r="IE33" i="41"/>
  <c r="IG33" i="41"/>
  <c r="II33" i="41"/>
  <c r="IK33" i="41"/>
  <c r="IM33" i="41"/>
  <c r="IO33" i="41"/>
  <c r="IQ33" i="41"/>
  <c r="IS33" i="41"/>
  <c r="IU33" i="41"/>
  <c r="IW33" i="41"/>
  <c r="IY33" i="41"/>
  <c r="HM34" i="41"/>
  <c r="HO34" i="41"/>
  <c r="HQ34" i="41"/>
  <c r="HS34" i="41"/>
  <c r="HU34" i="41"/>
  <c r="HW34" i="41"/>
  <c r="HY34" i="41"/>
  <c r="IA34" i="41"/>
  <c r="IC34" i="41"/>
  <c r="IE34" i="41"/>
  <c r="IG34" i="41"/>
  <c r="II34" i="41"/>
  <c r="IK34" i="41"/>
  <c r="IM34" i="41"/>
  <c r="IO34" i="41"/>
  <c r="IQ34" i="41"/>
  <c r="IS34" i="41"/>
  <c r="IU34" i="41"/>
  <c r="IW34" i="41"/>
  <c r="IY34" i="41"/>
  <c r="HM35" i="41"/>
  <c r="HO35" i="41"/>
  <c r="HQ35" i="41"/>
  <c r="HS35" i="41"/>
  <c r="HU35" i="41"/>
  <c r="HW35" i="41"/>
  <c r="HY35" i="41"/>
  <c r="IA35" i="41"/>
  <c r="IC35" i="41"/>
  <c r="IE35" i="41"/>
  <c r="IG35" i="41"/>
  <c r="II35" i="41"/>
  <c r="IK35" i="41"/>
  <c r="IM35" i="41"/>
  <c r="IO35" i="41"/>
  <c r="IQ35" i="41"/>
  <c r="IS35" i="41"/>
  <c r="IU35" i="41"/>
  <c r="IW35" i="41"/>
  <c r="IY35" i="41"/>
  <c r="HM36" i="41"/>
  <c r="HO36" i="41"/>
  <c r="HQ36" i="41"/>
  <c r="HS36" i="41"/>
  <c r="HU36" i="41"/>
  <c r="HW36" i="41"/>
  <c r="HY36" i="41"/>
  <c r="IA36" i="41"/>
  <c r="IC36" i="41"/>
  <c r="IE36" i="41"/>
  <c r="IG36" i="41"/>
  <c r="II36" i="41"/>
  <c r="IK36" i="41"/>
  <c r="IM36" i="41"/>
  <c r="IO36" i="41"/>
  <c r="IQ36" i="41"/>
  <c r="IS36" i="41"/>
  <c r="IU36" i="41"/>
  <c r="IW36" i="41"/>
  <c r="IY36" i="41"/>
  <c r="IK29" i="41"/>
  <c r="IG29" i="41"/>
  <c r="IH37" i="41" s="1"/>
  <c r="IC29" i="41"/>
  <c r="HQ29" i="41"/>
  <c r="HO29" i="41"/>
  <c r="HM29" i="41"/>
  <c r="IY29" i="41"/>
  <c r="IW29" i="41"/>
  <c r="IU29" i="41"/>
  <c r="IS29" i="41"/>
  <c r="IQ29" i="41"/>
  <c r="IO29" i="41"/>
  <c r="IM29" i="41"/>
  <c r="II29" i="41"/>
  <c r="IJ37" i="41" s="1"/>
  <c r="IE29" i="41"/>
  <c r="IF37" i="41" s="1"/>
  <c r="IA29" i="41"/>
  <c r="HY29" i="41"/>
  <c r="HW29" i="41"/>
  <c r="HU29" i="41"/>
  <c r="HS29" i="41"/>
  <c r="FE30" i="41"/>
  <c r="FH30" i="41" s="1"/>
  <c r="FF30" i="41"/>
  <c r="FG30" i="41"/>
  <c r="FI30" i="41"/>
  <c r="FJ30" i="41"/>
  <c r="FK30" i="41"/>
  <c r="FL30" i="41"/>
  <c r="FM30" i="41"/>
  <c r="FN30" i="41"/>
  <c r="FO30" i="41"/>
  <c r="FP30" i="41"/>
  <c r="FQ30" i="41"/>
  <c r="FR30" i="41"/>
  <c r="FS30" i="41"/>
  <c r="FT30" i="41"/>
  <c r="FU30" i="41"/>
  <c r="FV30" i="41"/>
  <c r="FW30" i="41"/>
  <c r="FX30" i="41"/>
  <c r="FY30" i="41"/>
  <c r="FZ30" i="41"/>
  <c r="GA30" i="41"/>
  <c r="GB30" i="41"/>
  <c r="GC30" i="41"/>
  <c r="GD30" i="41"/>
  <c r="GE30" i="41"/>
  <c r="GF30" i="41"/>
  <c r="GG30" i="41"/>
  <c r="GH30" i="41"/>
  <c r="GI30" i="41"/>
  <c r="GJ30" i="41"/>
  <c r="GK30" i="41"/>
  <c r="GL30" i="41"/>
  <c r="GM30" i="41"/>
  <c r="GN30" i="41"/>
  <c r="GO30" i="41"/>
  <c r="GP30" i="41"/>
  <c r="GQ30" i="41"/>
  <c r="GR30" i="41"/>
  <c r="GS30" i="41"/>
  <c r="GT30" i="41"/>
  <c r="GU30" i="41"/>
  <c r="GV30" i="41"/>
  <c r="FE31" i="41"/>
  <c r="FH31" i="41" s="1"/>
  <c r="FF31" i="41"/>
  <c r="FG31" i="41"/>
  <c r="FI31" i="41"/>
  <c r="FJ31" i="41"/>
  <c r="FK31" i="41"/>
  <c r="FL31" i="41"/>
  <c r="FM31" i="41"/>
  <c r="FN31" i="41"/>
  <c r="FO31" i="41"/>
  <c r="FP31" i="41"/>
  <c r="FQ31" i="41"/>
  <c r="FR31" i="41"/>
  <c r="FS31" i="41"/>
  <c r="FT31" i="41"/>
  <c r="FU31" i="41"/>
  <c r="FV31" i="41"/>
  <c r="FW31" i="41"/>
  <c r="FX31" i="41"/>
  <c r="FY31" i="41"/>
  <c r="FZ31" i="41"/>
  <c r="GA31" i="41"/>
  <c r="GB31" i="41"/>
  <c r="GC31" i="41"/>
  <c r="GD31" i="41"/>
  <c r="GE31" i="41"/>
  <c r="GF31" i="41"/>
  <c r="GG31" i="41"/>
  <c r="GH31" i="41"/>
  <c r="GI31" i="41"/>
  <c r="GJ31" i="41"/>
  <c r="GK31" i="41"/>
  <c r="GL31" i="41"/>
  <c r="GM31" i="41"/>
  <c r="GN31" i="41"/>
  <c r="GO31" i="41"/>
  <c r="GP31" i="41"/>
  <c r="GQ31" i="41"/>
  <c r="GR31" i="41"/>
  <c r="GS31" i="41"/>
  <c r="GT31" i="41"/>
  <c r="GU31" i="41"/>
  <c r="GV31" i="41"/>
  <c r="FE32" i="41"/>
  <c r="FH32" i="41" s="1"/>
  <c r="FF32" i="41"/>
  <c r="FG32" i="41"/>
  <c r="FI32" i="41"/>
  <c r="FJ32" i="41"/>
  <c r="FK32" i="41"/>
  <c r="FL32" i="41"/>
  <c r="FM32" i="41"/>
  <c r="FN32" i="41"/>
  <c r="FO32" i="41"/>
  <c r="FP32" i="41"/>
  <c r="FQ32" i="41"/>
  <c r="FR32" i="41"/>
  <c r="FS32" i="41"/>
  <c r="FT32" i="41"/>
  <c r="FU32" i="41"/>
  <c r="FV32" i="41"/>
  <c r="FW32" i="41"/>
  <c r="FX32" i="41"/>
  <c r="FY32" i="41"/>
  <c r="FZ32" i="41"/>
  <c r="GA32" i="41"/>
  <c r="GB32" i="41"/>
  <c r="GC32" i="41"/>
  <c r="GD32" i="41"/>
  <c r="GE32" i="41"/>
  <c r="GF32" i="41"/>
  <c r="GG32" i="41"/>
  <c r="GH32" i="41"/>
  <c r="GI32" i="41"/>
  <c r="GJ32" i="41"/>
  <c r="GK32" i="41"/>
  <c r="GL32" i="41"/>
  <c r="GM32" i="41"/>
  <c r="GN32" i="41"/>
  <c r="GO32" i="41"/>
  <c r="GP32" i="41"/>
  <c r="GQ32" i="41"/>
  <c r="GR32" i="41"/>
  <c r="GS32" i="41"/>
  <c r="GT32" i="41"/>
  <c r="GU32" i="41"/>
  <c r="GV32" i="41"/>
  <c r="FE33" i="41"/>
  <c r="FH33" i="41" s="1"/>
  <c r="FF33" i="41"/>
  <c r="FG33" i="41"/>
  <c r="FI33" i="41"/>
  <c r="FJ33" i="41"/>
  <c r="FK33" i="41"/>
  <c r="FL33" i="41"/>
  <c r="FM33" i="41"/>
  <c r="FN33" i="41"/>
  <c r="FO33" i="41"/>
  <c r="FP33" i="41"/>
  <c r="FQ33" i="41"/>
  <c r="FR33" i="41"/>
  <c r="FS33" i="41"/>
  <c r="FT33" i="41"/>
  <c r="FU33" i="41"/>
  <c r="FV33" i="41"/>
  <c r="FW33" i="41"/>
  <c r="FX33" i="41"/>
  <c r="FY33" i="41"/>
  <c r="FZ33" i="41"/>
  <c r="GA33" i="41"/>
  <c r="GB33" i="41"/>
  <c r="GC33" i="41"/>
  <c r="GD33" i="41"/>
  <c r="GE33" i="41"/>
  <c r="GF33" i="41"/>
  <c r="GG33" i="41"/>
  <c r="GH33" i="41"/>
  <c r="GI33" i="41"/>
  <c r="GJ33" i="41"/>
  <c r="GK33" i="41"/>
  <c r="GL33" i="41"/>
  <c r="GM33" i="41"/>
  <c r="GN33" i="41"/>
  <c r="GO33" i="41"/>
  <c r="GP33" i="41"/>
  <c r="GQ33" i="41"/>
  <c r="GR33" i="41"/>
  <c r="GS33" i="41"/>
  <c r="GT33" i="41"/>
  <c r="GU33" i="41"/>
  <c r="GV33" i="41"/>
  <c r="FE34" i="41"/>
  <c r="FH34" i="41" s="1"/>
  <c r="CV34" i="41" s="1"/>
  <c r="FF34" i="41"/>
  <c r="FG34" i="41"/>
  <c r="FI34" i="41"/>
  <c r="FJ34" i="41"/>
  <c r="FK34" i="41"/>
  <c r="FL34" i="41"/>
  <c r="FM34" i="41"/>
  <c r="FN34" i="41"/>
  <c r="FO34" i="41"/>
  <c r="FP34" i="41"/>
  <c r="FQ34" i="41"/>
  <c r="FR34" i="41"/>
  <c r="FS34" i="41"/>
  <c r="FT34" i="41"/>
  <c r="FU34" i="41"/>
  <c r="FV34" i="41"/>
  <c r="FW34" i="41"/>
  <c r="FX34" i="41"/>
  <c r="FY34" i="41"/>
  <c r="FZ34" i="41"/>
  <c r="GA34" i="41"/>
  <c r="GB34" i="41"/>
  <c r="GC34" i="41"/>
  <c r="GD34" i="41"/>
  <c r="GE34" i="41"/>
  <c r="GF34" i="41"/>
  <c r="GG34" i="41"/>
  <c r="GH34" i="41"/>
  <c r="GI34" i="41"/>
  <c r="GJ34" i="41"/>
  <c r="GK34" i="41"/>
  <c r="GL34" i="41"/>
  <c r="GM34" i="41"/>
  <c r="GN34" i="41"/>
  <c r="GO34" i="41"/>
  <c r="GP34" i="41"/>
  <c r="GQ34" i="41"/>
  <c r="GR34" i="41"/>
  <c r="GS34" i="41"/>
  <c r="GT34" i="41"/>
  <c r="GU34" i="41"/>
  <c r="GV34" i="41"/>
  <c r="FE35" i="41"/>
  <c r="FH35" i="41" s="1"/>
  <c r="FF35" i="41"/>
  <c r="FG35" i="41"/>
  <c r="FI35" i="41"/>
  <c r="FJ35" i="41"/>
  <c r="FK35" i="41"/>
  <c r="FL35" i="41"/>
  <c r="FM35" i="41"/>
  <c r="FN35" i="41"/>
  <c r="FO35" i="41"/>
  <c r="FP35" i="41"/>
  <c r="FQ35" i="41"/>
  <c r="FR35" i="41"/>
  <c r="FS35" i="41"/>
  <c r="FT35" i="41"/>
  <c r="FU35" i="41"/>
  <c r="FV35" i="41"/>
  <c r="FW35" i="41"/>
  <c r="FX35" i="41"/>
  <c r="FY35" i="41"/>
  <c r="FZ35" i="41"/>
  <c r="GA35" i="41"/>
  <c r="GB35" i="41"/>
  <c r="GC35" i="41"/>
  <c r="GD35" i="41"/>
  <c r="GE35" i="41"/>
  <c r="GF35" i="41"/>
  <c r="GG35" i="41"/>
  <c r="GH35" i="41"/>
  <c r="GI35" i="41"/>
  <c r="GJ35" i="41"/>
  <c r="GK35" i="41"/>
  <c r="GL35" i="41"/>
  <c r="GM35" i="41"/>
  <c r="GN35" i="41"/>
  <c r="GO35" i="41"/>
  <c r="GP35" i="41"/>
  <c r="GQ35" i="41"/>
  <c r="GR35" i="41"/>
  <c r="GS35" i="41"/>
  <c r="GT35" i="41"/>
  <c r="GU35" i="41"/>
  <c r="GV35" i="41"/>
  <c r="FE36" i="41"/>
  <c r="FF36" i="41"/>
  <c r="FG36" i="41"/>
  <c r="FH36" i="41"/>
  <c r="FI36" i="41"/>
  <c r="FJ36" i="41"/>
  <c r="FK36" i="41"/>
  <c r="FL36" i="41"/>
  <c r="FM36" i="41"/>
  <c r="FN36" i="41"/>
  <c r="FO36" i="41"/>
  <c r="FP36" i="41"/>
  <c r="FQ36" i="41"/>
  <c r="FR36" i="41"/>
  <c r="FS36" i="41"/>
  <c r="FT36" i="41"/>
  <c r="FU36" i="41"/>
  <c r="FV36" i="41"/>
  <c r="FW36" i="41"/>
  <c r="FX36" i="41"/>
  <c r="FY36" i="41"/>
  <c r="FZ36" i="41"/>
  <c r="GA36" i="41"/>
  <c r="GB36" i="41"/>
  <c r="GC36" i="41"/>
  <c r="GD36" i="41"/>
  <c r="GE36" i="41"/>
  <c r="GF36" i="41"/>
  <c r="GG36" i="41"/>
  <c r="GH36" i="41"/>
  <c r="GI36" i="41"/>
  <c r="GJ36" i="41"/>
  <c r="GK36" i="41"/>
  <c r="GL36" i="41"/>
  <c r="GM36" i="41"/>
  <c r="GN36" i="41"/>
  <c r="GO36" i="41"/>
  <c r="GP36" i="41"/>
  <c r="GQ36" i="41"/>
  <c r="GR36" i="41"/>
  <c r="GS36" i="41"/>
  <c r="GT36" i="41"/>
  <c r="GU36" i="41"/>
  <c r="GV36" i="41"/>
  <c r="GT29" i="41"/>
  <c r="GP29" i="41"/>
  <c r="GO29" i="41"/>
  <c r="GG29" i="41"/>
  <c r="GC29" i="41"/>
  <c r="FY29" i="41"/>
  <c r="FV29" i="41"/>
  <c r="FT29" i="41"/>
  <c r="FS29" i="41"/>
  <c r="FR29" i="41"/>
  <c r="FO29" i="41"/>
  <c r="FL29" i="41"/>
  <c r="FK29" i="41"/>
  <c r="FJ29" i="41"/>
  <c r="FI29" i="41"/>
  <c r="GV29" i="41"/>
  <c r="GU29" i="41"/>
  <c r="GS29" i="41"/>
  <c r="GR29" i="41"/>
  <c r="GQ29" i="41"/>
  <c r="GN29" i="41"/>
  <c r="GM29" i="41"/>
  <c r="GL29" i="41"/>
  <c r="GK29" i="41"/>
  <c r="GJ29" i="41"/>
  <c r="GI29" i="41"/>
  <c r="GH29" i="41"/>
  <c r="GF29" i="41"/>
  <c r="GE29" i="41"/>
  <c r="GE37" i="41" s="1"/>
  <c r="GD29" i="41"/>
  <c r="GD37" i="41" s="1"/>
  <c r="GB29" i="41"/>
  <c r="GA29" i="41"/>
  <c r="FZ29" i="41"/>
  <c r="FX29" i="41"/>
  <c r="FW29" i="41"/>
  <c r="FU29" i="41"/>
  <c r="FQ29" i="41"/>
  <c r="FP29" i="41"/>
  <c r="FN29" i="41"/>
  <c r="FM29" i="41"/>
  <c r="FF29" i="41"/>
  <c r="FG29" i="41"/>
  <c r="FE29" i="41"/>
  <c r="FH29" i="41" s="1"/>
  <c r="FD37" i="41"/>
  <c r="FB37" i="41"/>
  <c r="EZ37" i="41"/>
  <c r="EX37" i="41"/>
  <c r="EV37" i="41"/>
  <c r="ET37" i="41"/>
  <c r="ER37" i="41"/>
  <c r="EP37" i="41"/>
  <c r="EN37" i="41"/>
  <c r="EF37" i="41"/>
  <c r="ED37" i="41"/>
  <c r="EB37" i="41"/>
  <c r="DZ37" i="41"/>
  <c r="EB30" i="41"/>
  <c r="EC30" i="41"/>
  <c r="ED30" i="41" s="1"/>
  <c r="EE30" i="41"/>
  <c r="EF30" i="41"/>
  <c r="EH30" i="41"/>
  <c r="EH37" i="41" s="1"/>
  <c r="EI30" i="41"/>
  <c r="EJ30" i="41" s="1"/>
  <c r="EJ37" i="41" s="1"/>
  <c r="EK30" i="41"/>
  <c r="EL30" i="41" s="1"/>
  <c r="EL37" i="41" s="1"/>
  <c r="EN30" i="41"/>
  <c r="EO30" i="41"/>
  <c r="EP30" i="41"/>
  <c r="EQ30" i="41"/>
  <c r="ER30" i="41"/>
  <c r="ET30" i="41"/>
  <c r="EU30" i="41"/>
  <c r="EV30" i="41" s="1"/>
  <c r="EW30" i="41"/>
  <c r="EX30" i="41"/>
  <c r="EZ30" i="41"/>
  <c r="FA30" i="41"/>
  <c r="FB30" i="41"/>
  <c r="FC30" i="41"/>
  <c r="FD30" i="41" s="1"/>
  <c r="EB31" i="41"/>
  <c r="EC31" i="41"/>
  <c r="ED31" i="41"/>
  <c r="EE31" i="41"/>
  <c r="EF31" i="41" s="1"/>
  <c r="EH31" i="41"/>
  <c r="EI31" i="41"/>
  <c r="EJ31" i="41" s="1"/>
  <c r="EK31" i="41"/>
  <c r="EL31" i="41" s="1"/>
  <c r="EN31" i="41"/>
  <c r="EO31" i="41"/>
  <c r="EP31" i="41" s="1"/>
  <c r="EQ31" i="41"/>
  <c r="ER31" i="41"/>
  <c r="ET31" i="41"/>
  <c r="EU31" i="41"/>
  <c r="EV31" i="41" s="1"/>
  <c r="EW31" i="41"/>
  <c r="EX31" i="41"/>
  <c r="EZ31" i="41"/>
  <c r="FA31" i="41"/>
  <c r="FB31" i="41"/>
  <c r="FC31" i="41"/>
  <c r="FD31" i="41" s="1"/>
  <c r="EB32" i="41"/>
  <c r="EC32" i="41"/>
  <c r="ED32" i="41"/>
  <c r="EE32" i="41"/>
  <c r="EF32" i="41"/>
  <c r="EH32" i="41"/>
  <c r="EI32" i="41"/>
  <c r="EJ32" i="41" s="1"/>
  <c r="EK32" i="41"/>
  <c r="EL32" i="41"/>
  <c r="EN32" i="41"/>
  <c r="EO32" i="41"/>
  <c r="EP32" i="41"/>
  <c r="EQ32" i="41"/>
  <c r="ER32" i="41" s="1"/>
  <c r="ET32" i="41"/>
  <c r="EU32" i="41"/>
  <c r="EV32" i="41"/>
  <c r="EW32" i="41"/>
  <c r="EX32" i="41" s="1"/>
  <c r="EZ32" i="41"/>
  <c r="FA32" i="41"/>
  <c r="FB32" i="41" s="1"/>
  <c r="FC32" i="41"/>
  <c r="FD32" i="41"/>
  <c r="EB33" i="41"/>
  <c r="EC33" i="41"/>
  <c r="ED33" i="41" s="1"/>
  <c r="EE33" i="41"/>
  <c r="EF33" i="41"/>
  <c r="EH33" i="41"/>
  <c r="EI33" i="41"/>
  <c r="EJ33" i="41" s="1"/>
  <c r="EK33" i="41"/>
  <c r="EL33" i="41"/>
  <c r="EN33" i="41"/>
  <c r="EO33" i="41"/>
  <c r="EP33" i="41"/>
  <c r="EQ33" i="41"/>
  <c r="ER33" i="41" s="1"/>
  <c r="ET33" i="41"/>
  <c r="EU33" i="41"/>
  <c r="EV33" i="41"/>
  <c r="EW33" i="41"/>
  <c r="EX33" i="41"/>
  <c r="EZ33" i="41"/>
  <c r="FA33" i="41"/>
  <c r="FB33" i="41" s="1"/>
  <c r="FC33" i="41"/>
  <c r="FD33" i="41"/>
  <c r="EB34" i="41"/>
  <c r="EC34" i="41"/>
  <c r="ED34" i="41"/>
  <c r="EE34" i="41"/>
  <c r="EF34" i="41" s="1"/>
  <c r="EH34" i="41"/>
  <c r="EI34" i="41"/>
  <c r="EJ34" i="41"/>
  <c r="EK34" i="41"/>
  <c r="EL34" i="41" s="1"/>
  <c r="EN34" i="41"/>
  <c r="EO34" i="41"/>
  <c r="EP34" i="41" s="1"/>
  <c r="EQ34" i="41"/>
  <c r="ER34" i="41"/>
  <c r="ET34" i="41"/>
  <c r="EU34" i="41"/>
  <c r="EV34" i="41" s="1"/>
  <c r="EW34" i="41"/>
  <c r="EX34" i="41"/>
  <c r="EZ34" i="41"/>
  <c r="FA34" i="41"/>
  <c r="FB34" i="41" s="1"/>
  <c r="FC34" i="41"/>
  <c r="FD34" i="41"/>
  <c r="EB35" i="41"/>
  <c r="EC35" i="41"/>
  <c r="ED35" i="41"/>
  <c r="EE35" i="41"/>
  <c r="EF35" i="41" s="1"/>
  <c r="EH35" i="41"/>
  <c r="EI35" i="41"/>
  <c r="EJ35" i="41"/>
  <c r="EK35" i="41"/>
  <c r="EL35" i="41"/>
  <c r="EN35" i="41"/>
  <c r="EO35" i="41"/>
  <c r="EP35" i="41" s="1"/>
  <c r="EQ35" i="41"/>
  <c r="ER35" i="41"/>
  <c r="ET35" i="41"/>
  <c r="EU35" i="41"/>
  <c r="EV35" i="41"/>
  <c r="EW35" i="41"/>
  <c r="EX35" i="41" s="1"/>
  <c r="EZ35" i="41"/>
  <c r="FA35" i="41"/>
  <c r="FB35" i="41"/>
  <c r="FC35" i="41"/>
  <c r="FD35" i="41" s="1"/>
  <c r="EB36" i="41"/>
  <c r="EC36" i="41"/>
  <c r="ED36" i="41" s="1"/>
  <c r="EE36" i="41"/>
  <c r="EF36" i="41"/>
  <c r="EH36" i="41"/>
  <c r="EI36" i="41"/>
  <c r="EJ36" i="41" s="1"/>
  <c r="EK36" i="41"/>
  <c r="EL36" i="41"/>
  <c r="EN36" i="41"/>
  <c r="EO36" i="41"/>
  <c r="EP36" i="41" s="1"/>
  <c r="EQ36" i="41"/>
  <c r="ER36" i="41"/>
  <c r="ET36" i="41"/>
  <c r="EU36" i="41"/>
  <c r="EV36" i="41"/>
  <c r="EW36" i="41"/>
  <c r="EX36" i="41" s="1"/>
  <c r="EZ36" i="41"/>
  <c r="FA36" i="41"/>
  <c r="FB36" i="41"/>
  <c r="FC36" i="41"/>
  <c r="FD36" i="41"/>
  <c r="EZ29" i="41"/>
  <c r="EX29" i="41"/>
  <c r="ET29" i="41"/>
  <c r="ER29" i="41"/>
  <c r="EP29" i="41"/>
  <c r="EL29" i="41"/>
  <c r="EH29" i="41"/>
  <c r="EF29" i="41"/>
  <c r="EB29" i="41"/>
  <c r="FC29" i="41"/>
  <c r="FD29" i="41" s="1"/>
  <c r="FA29" i="41"/>
  <c r="FB29" i="41" s="1"/>
  <c r="EW29" i="41"/>
  <c r="EU29" i="41"/>
  <c r="EV29" i="41" s="1"/>
  <c r="EQ29" i="41"/>
  <c r="EO29" i="41"/>
  <c r="EN29" i="41"/>
  <c r="EK29" i="41"/>
  <c r="EJ29" i="41"/>
  <c r="EI29" i="41"/>
  <c r="EE29" i="41"/>
  <c r="ED29" i="41"/>
  <c r="EC29" i="41"/>
  <c r="DX37" i="41"/>
  <c r="DV37" i="41"/>
  <c r="DT37" i="41"/>
  <c r="DR37" i="41"/>
  <c r="DP37" i="41"/>
  <c r="DH37" i="41"/>
  <c r="DF37" i="41"/>
  <c r="DD37" i="41"/>
  <c r="DB37" i="41"/>
  <c r="CZ37" i="41"/>
  <c r="CX37" i="41"/>
  <c r="CX30" i="41"/>
  <c r="CY30" i="41"/>
  <c r="CZ30" i="41" s="1"/>
  <c r="DA30" i="41"/>
  <c r="DB30" i="41"/>
  <c r="DD30" i="41"/>
  <c r="DE30" i="41"/>
  <c r="DF30" i="41"/>
  <c r="DG30" i="41"/>
  <c r="DH30" i="41" s="1"/>
  <c r="DJ30" i="41"/>
  <c r="DK30" i="41"/>
  <c r="DL30" i="41"/>
  <c r="DM30" i="41"/>
  <c r="DN30" i="41"/>
  <c r="DP30" i="41"/>
  <c r="DQ30" i="41"/>
  <c r="DR30" i="41" s="1"/>
  <c r="DS30" i="41"/>
  <c r="DT30" i="41"/>
  <c r="DV30" i="41"/>
  <c r="DW30" i="41"/>
  <c r="DX30" i="41"/>
  <c r="DY30" i="41"/>
  <c r="DZ30" i="41" s="1"/>
  <c r="CX31" i="41"/>
  <c r="CY31" i="41"/>
  <c r="CZ31" i="41" s="1"/>
  <c r="DA31" i="41"/>
  <c r="DB31" i="41" s="1"/>
  <c r="DD31" i="41"/>
  <c r="DE31" i="41"/>
  <c r="DF31" i="41" s="1"/>
  <c r="DG31" i="41"/>
  <c r="DH31" i="41"/>
  <c r="DJ31" i="41"/>
  <c r="DK31" i="41"/>
  <c r="DL31" i="41" s="1"/>
  <c r="DM31" i="41"/>
  <c r="DN31" i="41"/>
  <c r="DP31" i="41"/>
  <c r="DQ31" i="41"/>
  <c r="DR31" i="41"/>
  <c r="DS31" i="41"/>
  <c r="DT31" i="41"/>
  <c r="DV31" i="41"/>
  <c r="DW31" i="41"/>
  <c r="DX31" i="41"/>
  <c r="DY31" i="41"/>
  <c r="DZ31" i="41"/>
  <c r="CX32" i="41"/>
  <c r="CY32" i="41"/>
  <c r="CZ32" i="41"/>
  <c r="DA32" i="41"/>
  <c r="DB32" i="41"/>
  <c r="DD32" i="41"/>
  <c r="DE32" i="41"/>
  <c r="DF32" i="41"/>
  <c r="DG32" i="41"/>
  <c r="DH32" i="41"/>
  <c r="DJ32" i="41"/>
  <c r="DK32" i="41"/>
  <c r="DL32" i="41"/>
  <c r="DM32" i="41"/>
  <c r="DN32" i="41" s="1"/>
  <c r="DP32" i="41"/>
  <c r="DQ32" i="41"/>
  <c r="DR32" i="41"/>
  <c r="DS32" i="41"/>
  <c r="DT32" i="41" s="1"/>
  <c r="DV32" i="41"/>
  <c r="DW32" i="41"/>
  <c r="DX32" i="41" s="1"/>
  <c r="DY32" i="41"/>
  <c r="DZ32" i="41"/>
  <c r="CX33" i="41"/>
  <c r="CY33" i="41"/>
  <c r="CZ33" i="41" s="1"/>
  <c r="DA33" i="41"/>
  <c r="DB33" i="41"/>
  <c r="DD33" i="41"/>
  <c r="DE33" i="41"/>
  <c r="DF33" i="41"/>
  <c r="DG33" i="41"/>
  <c r="DH33" i="41"/>
  <c r="DJ33" i="41"/>
  <c r="DK33" i="41"/>
  <c r="DL33" i="41"/>
  <c r="DM33" i="41"/>
  <c r="DN33" i="41"/>
  <c r="DP33" i="41"/>
  <c r="DQ33" i="41"/>
  <c r="DR33" i="41"/>
  <c r="DS33" i="41"/>
  <c r="DT33" i="41"/>
  <c r="DV33" i="41"/>
  <c r="DW33" i="41"/>
  <c r="DX33" i="41"/>
  <c r="DY33" i="41"/>
  <c r="DZ33" i="41"/>
  <c r="CX34" i="41"/>
  <c r="CY34" i="41"/>
  <c r="CZ34" i="41"/>
  <c r="DA34" i="41"/>
  <c r="DB34" i="41" s="1"/>
  <c r="DD34" i="41"/>
  <c r="DE34" i="41"/>
  <c r="DF34" i="41"/>
  <c r="DG34" i="41"/>
  <c r="DH34" i="41" s="1"/>
  <c r="DJ34" i="41"/>
  <c r="DK34" i="41"/>
  <c r="DL34" i="41" s="1"/>
  <c r="DM34" i="41"/>
  <c r="DN34" i="41"/>
  <c r="DP34" i="41"/>
  <c r="DQ34" i="41"/>
  <c r="DR34" i="41" s="1"/>
  <c r="DS34" i="41"/>
  <c r="DT34" i="41"/>
  <c r="DV34" i="41"/>
  <c r="DW34" i="41"/>
  <c r="DX34" i="41"/>
  <c r="DY34" i="41"/>
  <c r="DZ34" i="41"/>
  <c r="CX35" i="41"/>
  <c r="CY35" i="41"/>
  <c r="CZ35" i="41"/>
  <c r="DA35" i="41"/>
  <c r="DB35" i="41"/>
  <c r="DD35" i="41"/>
  <c r="DE35" i="41"/>
  <c r="DF35" i="41"/>
  <c r="DG35" i="41"/>
  <c r="DH35" i="41"/>
  <c r="DJ35" i="41"/>
  <c r="DK35" i="41"/>
  <c r="DL35" i="41"/>
  <c r="DM35" i="41"/>
  <c r="DN35" i="41"/>
  <c r="DP35" i="41"/>
  <c r="DQ35" i="41"/>
  <c r="DR35" i="41"/>
  <c r="DS35" i="41"/>
  <c r="DT35" i="41" s="1"/>
  <c r="DV35" i="41"/>
  <c r="DW35" i="41"/>
  <c r="DX35" i="41"/>
  <c r="DY35" i="41"/>
  <c r="DZ35" i="41" s="1"/>
  <c r="CX36" i="41"/>
  <c r="CY36" i="41"/>
  <c r="CZ36" i="41" s="1"/>
  <c r="DA36" i="41"/>
  <c r="DB36" i="41"/>
  <c r="DD36" i="41"/>
  <c r="DE36" i="41"/>
  <c r="DF36" i="41" s="1"/>
  <c r="DG36" i="41"/>
  <c r="DH36" i="41"/>
  <c r="DJ36" i="41"/>
  <c r="DK36" i="41"/>
  <c r="DL36" i="41"/>
  <c r="DM36" i="41"/>
  <c r="DN36" i="41"/>
  <c r="DP36" i="41"/>
  <c r="DQ36" i="41"/>
  <c r="DR36" i="41"/>
  <c r="DS36" i="41"/>
  <c r="DT36" i="41"/>
  <c r="DV36" i="41"/>
  <c r="DW36" i="41"/>
  <c r="DX36" i="41"/>
  <c r="DY36" i="41"/>
  <c r="DZ36" i="41"/>
  <c r="DZ29" i="41"/>
  <c r="DV29" i="41"/>
  <c r="DT29" i="41"/>
  <c r="DP29" i="41"/>
  <c r="DM29" i="41"/>
  <c r="DN29" i="41" s="1"/>
  <c r="DN37" i="41" s="1"/>
  <c r="DJ29" i="41"/>
  <c r="DJ37" i="41" s="1"/>
  <c r="DD29" i="41"/>
  <c r="DB29" i="41"/>
  <c r="DA29" i="41"/>
  <c r="CZ29" i="41"/>
  <c r="CY29" i="41"/>
  <c r="CX29" i="41"/>
  <c r="DY29" i="41"/>
  <c r="DW29" i="41"/>
  <c r="DX29" i="41" s="1"/>
  <c r="DS29" i="41"/>
  <c r="DQ29" i="41"/>
  <c r="DR29" i="41" s="1"/>
  <c r="DK29" i="41"/>
  <c r="DL29" i="41" s="1"/>
  <c r="DL37" i="41" s="1"/>
  <c r="DG29" i="41"/>
  <c r="DH29" i="41" s="1"/>
  <c r="DF29" i="41"/>
  <c r="DE29" i="41"/>
  <c r="CW30" i="41"/>
  <c r="CW31" i="41"/>
  <c r="CW32" i="41"/>
  <c r="CW33" i="41"/>
  <c r="CW34" i="41"/>
  <c r="CW35" i="41"/>
  <c r="CW36" i="41"/>
  <c r="CW29" i="41"/>
  <c r="FF37" i="41" l="1"/>
  <c r="IT37" i="41"/>
  <c r="IV37" i="41"/>
  <c r="IZ37" i="41"/>
  <c r="IX37" i="41"/>
  <c r="GT37" i="41"/>
  <c r="GU37" i="41"/>
  <c r="GS37" i="41"/>
  <c r="GV37" i="41"/>
  <c r="IN37" i="41"/>
  <c r="GK37" i="41"/>
  <c r="GL37" i="41"/>
  <c r="IP37" i="41"/>
  <c r="GM37" i="41"/>
  <c r="GN37" i="41"/>
  <c r="IR38" i="41"/>
  <c r="IJ38" i="41"/>
  <c r="CV33" i="41"/>
  <c r="GC37" i="41"/>
  <c r="GF37" i="41"/>
  <c r="FU37" i="41"/>
  <c r="FX37" i="41"/>
  <c r="FW37" i="41"/>
  <c r="FV37" i="41"/>
  <c r="HZ37" i="41"/>
  <c r="IB38" i="41" s="1"/>
  <c r="FD39" i="41"/>
  <c r="B42" i="41" s="1"/>
  <c r="HP37" i="41"/>
  <c r="HT38" i="41" s="1"/>
  <c r="FP37" i="41"/>
  <c r="HL37" i="41"/>
  <c r="B44" i="41" s="1"/>
  <c r="CV30" i="41"/>
  <c r="FO37" i="41"/>
  <c r="FN37" i="41"/>
  <c r="FM37" i="41"/>
  <c r="CV31" i="41"/>
  <c r="CW37" i="41"/>
  <c r="B41" i="41" s="1"/>
  <c r="FG37" i="41"/>
  <c r="FH37" i="41"/>
  <c r="B43" i="41" s="1"/>
  <c r="CV32" i="41"/>
  <c r="CV35" i="41"/>
  <c r="IZ38" i="41" l="1"/>
  <c r="B37" i="41" s="1"/>
  <c r="GV39" i="41"/>
  <c r="GV38" i="41"/>
  <c r="CX11" i="41"/>
  <c r="D30" i="41" l="1"/>
  <c r="D31" i="41"/>
  <c r="D32" i="41"/>
  <c r="D33" i="41"/>
  <c r="D34" i="41"/>
  <c r="D35" i="41"/>
  <c r="D36" i="41"/>
  <c r="CV36" i="41" s="1"/>
  <c r="D29" i="41"/>
  <c r="CV29" i="41" s="1"/>
  <c r="D81" i="32"/>
  <c r="CV37" i="41" l="1"/>
  <c r="B40" i="41" s="1"/>
  <c r="AD409" i="49"/>
  <c r="AC409" i="49"/>
  <c r="AB409" i="49"/>
  <c r="AA409" i="49"/>
  <c r="Z409" i="49"/>
  <c r="Y409" i="49"/>
  <c r="X409" i="49"/>
  <c r="W409" i="49"/>
  <c r="V409" i="49"/>
  <c r="U409" i="49"/>
  <c r="T409" i="49"/>
  <c r="S409" i="49"/>
  <c r="AV409" i="49"/>
  <c r="AT409" i="49"/>
  <c r="AS409" i="49"/>
  <c r="AQ409" i="49"/>
  <c r="AP409" i="49"/>
  <c r="AN409" i="49"/>
  <c r="AM409" i="49"/>
  <c r="AK409" i="49"/>
  <c r="AD382" i="49"/>
  <c r="AC382" i="49"/>
  <c r="AB382" i="49"/>
  <c r="AA382" i="49"/>
  <c r="Z382" i="49"/>
  <c r="Y382" i="49"/>
  <c r="X382" i="49"/>
  <c r="W382" i="49"/>
  <c r="V382" i="49"/>
  <c r="U382" i="49"/>
  <c r="T382" i="49"/>
  <c r="S382" i="49"/>
  <c r="AM382" i="49"/>
  <c r="AD359" i="49"/>
  <c r="AC359" i="49"/>
  <c r="AB359" i="49"/>
  <c r="AA359" i="49"/>
  <c r="Z359" i="49"/>
  <c r="Y359" i="49"/>
  <c r="X359" i="49"/>
  <c r="W359" i="49"/>
  <c r="V359" i="49"/>
  <c r="U359" i="49"/>
  <c r="T359" i="49"/>
  <c r="S359" i="49"/>
  <c r="R359" i="49"/>
  <c r="Q359" i="49"/>
  <c r="P359" i="49"/>
  <c r="O359" i="49"/>
  <c r="N359" i="49"/>
  <c r="M359" i="49"/>
  <c r="L359" i="49"/>
  <c r="K359" i="49"/>
  <c r="J359" i="49"/>
  <c r="AS359" i="49"/>
  <c r="BE359" i="49"/>
  <c r="BC359" i="49"/>
  <c r="BB359" i="49"/>
  <c r="AZ359" i="49"/>
  <c r="AY359" i="49"/>
  <c r="AW359" i="49"/>
  <c r="AV359" i="49"/>
  <c r="AT359" i="49"/>
  <c r="AQ359" i="49"/>
  <c r="AP359" i="49"/>
  <c r="AN359" i="49"/>
  <c r="AM359" i="49"/>
  <c r="AK359" i="49"/>
  <c r="B606" i="58"/>
  <c r="B605" i="58"/>
  <c r="B601" i="58"/>
  <c r="Y336" i="49"/>
  <c r="S336" i="49"/>
  <c r="M336" i="49"/>
  <c r="AK585" i="58"/>
  <c r="AL582" i="58"/>
  <c r="AT597" i="58"/>
  <c r="AR583" i="58"/>
  <c r="AS583" i="58"/>
  <c r="AT583" i="58"/>
  <c r="AR584" i="58"/>
  <c r="AS584" i="58"/>
  <c r="AT584" i="58"/>
  <c r="AR585" i="58"/>
  <c r="AS585" i="58"/>
  <c r="AT585" i="58"/>
  <c r="AR586" i="58"/>
  <c r="AS586" i="58"/>
  <c r="AT586" i="58"/>
  <c r="AR587" i="58"/>
  <c r="AS587" i="58"/>
  <c r="AT587" i="58"/>
  <c r="AR588" i="58"/>
  <c r="AS588" i="58"/>
  <c r="AT588" i="58"/>
  <c r="AR589" i="58"/>
  <c r="AS589" i="58"/>
  <c r="AT589" i="58"/>
  <c r="AR590" i="58"/>
  <c r="AS590" i="58"/>
  <c r="AT590" i="58"/>
  <c r="AR591" i="58"/>
  <c r="AS591" i="58"/>
  <c r="AT591" i="58"/>
  <c r="AR592" i="58"/>
  <c r="AS592" i="58"/>
  <c r="AT592" i="58"/>
  <c r="AR593" i="58"/>
  <c r="AS593" i="58"/>
  <c r="AT593" i="58"/>
  <c r="AR594" i="58"/>
  <c r="AS594" i="58"/>
  <c r="AT594" i="58"/>
  <c r="AR595" i="58"/>
  <c r="AS595" i="58"/>
  <c r="AT595" i="58"/>
  <c r="AR596" i="58"/>
  <c r="AS596" i="58"/>
  <c r="AT596" i="58"/>
  <c r="AR597" i="58"/>
  <c r="AS597" i="58"/>
  <c r="AT582" i="58"/>
  <c r="AS582" i="58"/>
  <c r="AR582" i="58"/>
  <c r="AJ598" i="58"/>
  <c r="AH598" i="58"/>
  <c r="AP582" i="58"/>
  <c r="AO582" i="58"/>
  <c r="AN582" i="58"/>
  <c r="Y317" i="49"/>
  <c r="S317" i="49"/>
  <c r="M317" i="49"/>
  <c r="AK582" i="58"/>
  <c r="AH583" i="58"/>
  <c r="AI583" i="58"/>
  <c r="AJ583" i="58"/>
  <c r="AH584" i="58"/>
  <c r="AI584" i="58"/>
  <c r="AJ584" i="58"/>
  <c r="AH585" i="58"/>
  <c r="AJ585" i="58" s="1"/>
  <c r="AI585" i="58"/>
  <c r="AH586" i="58"/>
  <c r="AI586" i="58"/>
  <c r="AJ586" i="58"/>
  <c r="AH587" i="58"/>
  <c r="AI587" i="58"/>
  <c r="AJ587" i="58"/>
  <c r="AH588" i="58"/>
  <c r="AJ588" i="58" s="1"/>
  <c r="AI588" i="58"/>
  <c r="AH589" i="58"/>
  <c r="AI589" i="58"/>
  <c r="AJ589" i="58" s="1"/>
  <c r="AH590" i="58"/>
  <c r="AI590" i="58"/>
  <c r="AJ590" i="58" s="1"/>
  <c r="AH591" i="58"/>
  <c r="AJ591" i="58" s="1"/>
  <c r="AI591" i="58"/>
  <c r="AH592" i="58"/>
  <c r="AJ592" i="58" s="1"/>
  <c r="AI592" i="58"/>
  <c r="AH593" i="58"/>
  <c r="AJ593" i="58" s="1"/>
  <c r="AI593" i="58"/>
  <c r="AH594" i="58"/>
  <c r="AI594" i="58"/>
  <c r="AJ594" i="58"/>
  <c r="AH595" i="58"/>
  <c r="AI595" i="58"/>
  <c r="AJ595" i="58"/>
  <c r="AH596" i="58"/>
  <c r="AJ596" i="58" s="1"/>
  <c r="AI596" i="58"/>
  <c r="AH597" i="58"/>
  <c r="AI597" i="58"/>
  <c r="AJ597" i="58"/>
  <c r="AJ582" i="58"/>
  <c r="AI582" i="58"/>
  <c r="AH582" i="58"/>
  <c r="AG582" i="58"/>
  <c r="AL564" i="58"/>
  <c r="AM564" i="58"/>
  <c r="B571" i="58" s="1"/>
  <c r="AK564" i="58"/>
  <c r="AJ564" i="58"/>
  <c r="B570" i="58" s="1"/>
  <c r="AI564" i="58"/>
  <c r="AH564" i="58"/>
  <c r="B569" i="58" s="1"/>
  <c r="AG564" i="58"/>
  <c r="B568" i="58" s="1"/>
  <c r="B553" i="58"/>
  <c r="B552" i="58"/>
  <c r="Y283" i="49"/>
  <c r="S283" i="49"/>
  <c r="M283" i="49"/>
  <c r="B548" i="58"/>
  <c r="AL519" i="58"/>
  <c r="AJ540" i="58"/>
  <c r="AJ545" i="58" s="1"/>
  <c r="AR544" i="58"/>
  <c r="AR536" i="58"/>
  <c r="AR520" i="58"/>
  <c r="AS520" i="58"/>
  <c r="AT520" i="58"/>
  <c r="AR521" i="58"/>
  <c r="AS521" i="58"/>
  <c r="AT521" i="58"/>
  <c r="AR522" i="58"/>
  <c r="AS522" i="58"/>
  <c r="AT522" i="58"/>
  <c r="AR523" i="58"/>
  <c r="AS523" i="58"/>
  <c r="AT523" i="58"/>
  <c r="AR524" i="58"/>
  <c r="AS524" i="58"/>
  <c r="AT524" i="58"/>
  <c r="AR525" i="58"/>
  <c r="AS525" i="58"/>
  <c r="AT525" i="58"/>
  <c r="AR526" i="58"/>
  <c r="AS526" i="58"/>
  <c r="AT526" i="58"/>
  <c r="AR527" i="58"/>
  <c r="AS527" i="58"/>
  <c r="AT527" i="58"/>
  <c r="AR528" i="58"/>
  <c r="AS528" i="58"/>
  <c r="AT528" i="58"/>
  <c r="AR529" i="58"/>
  <c r="AS529" i="58"/>
  <c r="AT529" i="58"/>
  <c r="AR530" i="58"/>
  <c r="AS530" i="58"/>
  <c r="AT530" i="58"/>
  <c r="AR531" i="58"/>
  <c r="AS531" i="58"/>
  <c r="AT531" i="58"/>
  <c r="AR532" i="58"/>
  <c r="AS532" i="58"/>
  <c r="AT532" i="58"/>
  <c r="AR533" i="58"/>
  <c r="AS533" i="58"/>
  <c r="AT533" i="58"/>
  <c r="AR534" i="58"/>
  <c r="AS534" i="58"/>
  <c r="AT534" i="58"/>
  <c r="AR535" i="58"/>
  <c r="AS535" i="58"/>
  <c r="AT535" i="58"/>
  <c r="AS536" i="58"/>
  <c r="AT536" i="58"/>
  <c r="AR537" i="58"/>
  <c r="AS537" i="58"/>
  <c r="AT537" i="58"/>
  <c r="AR538" i="58"/>
  <c r="AS538" i="58"/>
  <c r="AT538" i="58"/>
  <c r="AR539" i="58"/>
  <c r="AS539" i="58"/>
  <c r="AT539" i="58"/>
  <c r="AR540" i="58"/>
  <c r="AS540" i="58"/>
  <c r="AT540" i="58"/>
  <c r="AR541" i="58"/>
  <c r="AS541" i="58"/>
  <c r="AT541" i="58"/>
  <c r="AR542" i="58"/>
  <c r="AS542" i="58"/>
  <c r="AT542" i="58"/>
  <c r="AR543" i="58"/>
  <c r="AS543" i="58"/>
  <c r="AT543" i="58"/>
  <c r="AS544" i="58"/>
  <c r="AT544" i="58"/>
  <c r="AT519" i="58"/>
  <c r="AS519" i="58"/>
  <c r="AR519" i="58"/>
  <c r="AP519" i="58"/>
  <c r="AP520" i="58" s="1"/>
  <c r="B554" i="58" s="1"/>
  <c r="AO519" i="58"/>
  <c r="AN519" i="58"/>
  <c r="AH545" i="58"/>
  <c r="AK522" i="58"/>
  <c r="AM519" i="58"/>
  <c r="AK519" i="58"/>
  <c r="AH520" i="58"/>
  <c r="AI520" i="58"/>
  <c r="AJ520" i="58"/>
  <c r="AH521" i="58"/>
  <c r="AI521" i="58"/>
  <c r="AJ521" i="58"/>
  <c r="AH522" i="58"/>
  <c r="AJ522" i="58" s="1"/>
  <c r="AI522" i="58"/>
  <c r="AH523" i="58"/>
  <c r="AI523" i="58"/>
  <c r="AJ523" i="58"/>
  <c r="AH524" i="58"/>
  <c r="AI524" i="58"/>
  <c r="AJ524" i="58"/>
  <c r="AH525" i="58"/>
  <c r="AJ525" i="58" s="1"/>
  <c r="AI525" i="58"/>
  <c r="AH526" i="58"/>
  <c r="AJ526" i="58" s="1"/>
  <c r="AI526" i="58"/>
  <c r="AH527" i="58"/>
  <c r="AI527" i="58"/>
  <c r="AJ527" i="58"/>
  <c r="AH528" i="58"/>
  <c r="AJ528" i="58" s="1"/>
  <c r="AI528" i="58"/>
  <c r="AH529" i="58"/>
  <c r="AI529" i="58"/>
  <c r="AJ529" i="58"/>
  <c r="AH530" i="58"/>
  <c r="AJ530" i="58" s="1"/>
  <c r="AI530" i="58"/>
  <c r="AH531" i="58"/>
  <c r="AI531" i="58"/>
  <c r="AJ531" i="58"/>
  <c r="AH532" i="58"/>
  <c r="AI532" i="58"/>
  <c r="AJ532" i="58"/>
  <c r="AH533" i="58"/>
  <c r="AJ533" i="58" s="1"/>
  <c r="AI533" i="58"/>
  <c r="AH534" i="58"/>
  <c r="AJ534" i="58" s="1"/>
  <c r="AI534" i="58"/>
  <c r="AH535" i="58"/>
  <c r="AI535" i="58"/>
  <c r="AJ535" i="58"/>
  <c r="AH536" i="58"/>
  <c r="AJ536" i="58" s="1"/>
  <c r="AI536" i="58"/>
  <c r="AH537" i="58"/>
  <c r="AI537" i="58"/>
  <c r="AJ537" i="58"/>
  <c r="AH538" i="58"/>
  <c r="AJ538" i="58" s="1"/>
  <c r="AI538" i="58"/>
  <c r="AH539" i="58"/>
  <c r="AI539" i="58"/>
  <c r="AJ539" i="58"/>
  <c r="AH540" i="58"/>
  <c r="AI540" i="58"/>
  <c r="AH541" i="58"/>
  <c r="AJ541" i="58" s="1"/>
  <c r="AI541" i="58"/>
  <c r="AH542" i="58"/>
  <c r="AJ542" i="58" s="1"/>
  <c r="AI542" i="58"/>
  <c r="AH543" i="58"/>
  <c r="AI543" i="58"/>
  <c r="AJ543" i="58"/>
  <c r="AH544" i="58"/>
  <c r="AJ544" i="58" s="1"/>
  <c r="AI544" i="58"/>
  <c r="AJ519" i="58"/>
  <c r="AI519" i="58"/>
  <c r="AH519" i="58"/>
  <c r="AL500" i="58"/>
  <c r="AM499" i="58"/>
  <c r="B507" i="58" s="1"/>
  <c r="AK500" i="58"/>
  <c r="AJ500" i="58"/>
  <c r="B506" i="58" s="1"/>
  <c r="AI500" i="58"/>
  <c r="AH500" i="58"/>
  <c r="B505" i="58" s="1"/>
  <c r="AG500" i="58"/>
  <c r="B504" i="58" s="1"/>
  <c r="B484" i="58"/>
  <c r="B491" i="58"/>
  <c r="B490" i="58"/>
  <c r="AT480" i="58"/>
  <c r="AR475" i="58"/>
  <c r="AS475" i="58"/>
  <c r="AT475" i="58"/>
  <c r="AR476" i="58"/>
  <c r="AS476" i="58"/>
  <c r="AT476" i="58"/>
  <c r="AR477" i="58"/>
  <c r="AS477" i="58"/>
  <c r="AT477" i="58"/>
  <c r="AR478" i="58"/>
  <c r="AS478" i="58"/>
  <c r="AT478" i="58"/>
  <c r="AR479" i="58"/>
  <c r="AS479" i="58"/>
  <c r="AT479" i="58"/>
  <c r="AR480" i="58"/>
  <c r="AS480" i="58"/>
  <c r="AT474" i="58"/>
  <c r="AS474" i="58"/>
  <c r="AR474" i="58"/>
  <c r="AP474" i="58"/>
  <c r="AO474" i="58"/>
  <c r="AK477" i="58"/>
  <c r="AJ480" i="58"/>
  <c r="AI480" i="58"/>
  <c r="AH480" i="58"/>
  <c r="AI479" i="58"/>
  <c r="AJ479" i="58" s="1"/>
  <c r="AH479" i="58"/>
  <c r="AI478" i="58"/>
  <c r="AH478" i="58"/>
  <c r="AJ478" i="58" s="1"/>
  <c r="AI477" i="58"/>
  <c r="AH477" i="58"/>
  <c r="AJ477" i="58" s="1"/>
  <c r="AI476" i="58"/>
  <c r="AH476" i="58"/>
  <c r="AJ476" i="58" s="1"/>
  <c r="AI475" i="58"/>
  <c r="AH475" i="58"/>
  <c r="AJ475" i="58" s="1"/>
  <c r="AH481" i="58"/>
  <c r="B488" i="58" s="1"/>
  <c r="AN410" i="49" l="1"/>
  <c r="AL410" i="49"/>
  <c r="AH409" i="49"/>
  <c r="AI317" i="49"/>
  <c r="AK336" i="49"/>
  <c r="AK317" i="49"/>
  <c r="AV382" i="49"/>
  <c r="AK382" i="49"/>
  <c r="AS382" i="49"/>
  <c r="AG409" i="49"/>
  <c r="B413" i="49" s="1"/>
  <c r="AI336" i="49"/>
  <c r="AN382" i="49"/>
  <c r="AL360" i="49"/>
  <c r="AP382" i="49"/>
  <c r="AL383" i="49" s="1"/>
  <c r="AQ382" i="49"/>
  <c r="AT382" i="49"/>
  <c r="AT545" i="58"/>
  <c r="B555" i="58" s="1"/>
  <c r="AN360" i="49"/>
  <c r="AT598" i="58"/>
  <c r="B608" i="58" s="1"/>
  <c r="AP583" i="58"/>
  <c r="B607" i="58" s="1"/>
  <c r="AT481" i="58"/>
  <c r="AJ481" i="58"/>
  <c r="B489" i="58" s="1"/>
  <c r="B461" i="58"/>
  <c r="B457" i="58"/>
  <c r="AK449" i="58"/>
  <c r="AP446" i="58"/>
  <c r="AR448" i="58"/>
  <c r="AS448" i="58"/>
  <c r="AT448" i="58"/>
  <c r="AR449" i="58"/>
  <c r="AS449" i="58"/>
  <c r="AT449" i="58"/>
  <c r="AR450" i="58"/>
  <c r="AS450" i="58"/>
  <c r="AT450" i="58"/>
  <c r="AR451" i="58"/>
  <c r="AS451" i="58"/>
  <c r="AT451" i="58"/>
  <c r="AR452" i="58"/>
  <c r="AS452" i="58"/>
  <c r="AT452" i="58"/>
  <c r="AT446" i="58"/>
  <c r="AS446" i="58"/>
  <c r="AR446" i="58"/>
  <c r="AO446" i="58"/>
  <c r="AM446" i="58"/>
  <c r="AK446" i="58"/>
  <c r="AJ450" i="58"/>
  <c r="AJ453" i="58"/>
  <c r="AI453" i="58"/>
  <c r="AH453" i="58"/>
  <c r="AJ452" i="58"/>
  <c r="AI452" i="58"/>
  <c r="AH452" i="58"/>
  <c r="AI451" i="58"/>
  <c r="AJ451" i="58" s="1"/>
  <c r="AH451" i="58"/>
  <c r="AI450" i="58"/>
  <c r="AH450" i="58"/>
  <c r="AI449" i="58"/>
  <c r="AH449" i="58"/>
  <c r="AJ449" i="58" s="1"/>
  <c r="AI448" i="58"/>
  <c r="AH448" i="58"/>
  <c r="AJ448" i="58" s="1"/>
  <c r="AI447" i="58"/>
  <c r="AH447" i="58"/>
  <c r="AJ447" i="58" s="1"/>
  <c r="AJ446" i="58"/>
  <c r="AI446" i="58"/>
  <c r="AH446" i="58"/>
  <c r="AH454" i="58" s="1"/>
  <c r="AT425" i="58"/>
  <c r="AR420" i="58"/>
  <c r="AS420" i="58"/>
  <c r="AT420" i="58"/>
  <c r="AR421" i="58"/>
  <c r="AS421" i="58"/>
  <c r="AT421" i="58"/>
  <c r="AR422" i="58"/>
  <c r="AS422" i="58"/>
  <c r="AT422" i="58"/>
  <c r="AR423" i="58"/>
  <c r="AS423" i="58"/>
  <c r="AT423" i="58"/>
  <c r="AR424" i="58"/>
  <c r="AS424" i="58"/>
  <c r="AT424" i="58"/>
  <c r="AR425" i="58"/>
  <c r="AS425" i="58"/>
  <c r="AT419" i="58"/>
  <c r="AS419" i="58"/>
  <c r="AR419" i="58"/>
  <c r="AP419" i="58"/>
  <c r="AO419" i="58"/>
  <c r="AK422" i="58"/>
  <c r="B429" i="58" s="1"/>
  <c r="AJ425" i="58"/>
  <c r="AI425" i="58"/>
  <c r="AH425" i="58"/>
  <c r="AI424" i="58"/>
  <c r="AJ424" i="58" s="1"/>
  <c r="AH424" i="58"/>
  <c r="AI423" i="58"/>
  <c r="AH423" i="58"/>
  <c r="AJ423" i="58" s="1"/>
  <c r="AI422" i="58"/>
  <c r="AH422" i="58"/>
  <c r="AJ422" i="58" s="1"/>
  <c r="AI421" i="58"/>
  <c r="AH421" i="58"/>
  <c r="AJ421" i="58" s="1"/>
  <c r="AI420" i="58"/>
  <c r="AH420" i="58"/>
  <c r="AJ420" i="58" s="1"/>
  <c r="B402" i="58"/>
  <c r="B408" i="58"/>
  <c r="B407" i="58"/>
  <c r="B406" i="58"/>
  <c r="AS394" i="58"/>
  <c r="AK390" i="58"/>
  <c r="AT398" i="58"/>
  <c r="AR388" i="58"/>
  <c r="AS388" i="58"/>
  <c r="AT388" i="58"/>
  <c r="AS389" i="58"/>
  <c r="AT389" i="58"/>
  <c r="AR390" i="58"/>
  <c r="AS390" i="58"/>
  <c r="AT390" i="58"/>
  <c r="AR391" i="58"/>
  <c r="AS391" i="58"/>
  <c r="AT391" i="58"/>
  <c r="AR392" i="58"/>
  <c r="AS392" i="58"/>
  <c r="AT392" i="58"/>
  <c r="AR393" i="58"/>
  <c r="AS393" i="58"/>
  <c r="AT393" i="58"/>
  <c r="AR394" i="58"/>
  <c r="AT394" i="58"/>
  <c r="AR395" i="58"/>
  <c r="AS395" i="58"/>
  <c r="AT395" i="58"/>
  <c r="AR396" i="58"/>
  <c r="AS396" i="58"/>
  <c r="AT396" i="58"/>
  <c r="AR397" i="58"/>
  <c r="AS397" i="58"/>
  <c r="AT397" i="58"/>
  <c r="AR398" i="58"/>
  <c r="AS398" i="58"/>
  <c r="AT387" i="58"/>
  <c r="AS387" i="58"/>
  <c r="AR387" i="58"/>
  <c r="AP387" i="58"/>
  <c r="AO387" i="58"/>
  <c r="AJ387" i="58"/>
  <c r="AI387" i="58"/>
  <c r="AH387" i="58"/>
  <c r="AI398" i="58"/>
  <c r="AH398" i="58"/>
  <c r="AJ398" i="58" s="1"/>
  <c r="AJ397" i="58"/>
  <c r="AI397" i="58"/>
  <c r="AH397" i="58"/>
  <c r="AJ396" i="58"/>
  <c r="AI396" i="58"/>
  <c r="AH396" i="58"/>
  <c r="AI395" i="58"/>
  <c r="AJ395" i="58" s="1"/>
  <c r="AH395" i="58"/>
  <c r="AI394" i="58"/>
  <c r="AH394" i="58"/>
  <c r="AJ394" i="58" s="1"/>
  <c r="AI393" i="58"/>
  <c r="AH393" i="58"/>
  <c r="AJ393" i="58" s="1"/>
  <c r="AI392" i="58"/>
  <c r="AH392" i="58"/>
  <c r="AJ392" i="58" s="1"/>
  <c r="AI391" i="58"/>
  <c r="AH391" i="58"/>
  <c r="AJ391" i="58" s="1"/>
  <c r="AI390" i="58"/>
  <c r="AH390" i="58"/>
  <c r="AJ390" i="58" s="1"/>
  <c r="AI389" i="58"/>
  <c r="AH389" i="58"/>
  <c r="AJ389" i="58" s="1"/>
  <c r="AI388" i="58"/>
  <c r="AH388" i="58"/>
  <c r="AJ388" i="58" s="1"/>
  <c r="B368" i="58"/>
  <c r="AT364" i="58"/>
  <c r="AR359" i="58"/>
  <c r="AS359" i="58"/>
  <c r="AT359" i="58"/>
  <c r="AR360" i="58"/>
  <c r="AS360" i="58"/>
  <c r="AT360" i="58"/>
  <c r="AR361" i="58"/>
  <c r="AS361" i="58"/>
  <c r="AT361" i="58"/>
  <c r="AR362" i="58"/>
  <c r="AS362" i="58"/>
  <c r="AT362" i="58"/>
  <c r="AR363" i="58"/>
  <c r="AS363" i="58"/>
  <c r="AT363" i="58"/>
  <c r="AR364" i="58"/>
  <c r="AS364" i="58"/>
  <c r="AS358" i="58"/>
  <c r="AP358" i="58"/>
  <c r="AO358" i="58"/>
  <c r="AK358" i="58"/>
  <c r="AJ358" i="58"/>
  <c r="AI358" i="58"/>
  <c r="AH358" i="58"/>
  <c r="AI364" i="58"/>
  <c r="AJ364" i="58" s="1"/>
  <c r="AH364" i="58"/>
  <c r="AI363" i="58"/>
  <c r="AH363" i="58"/>
  <c r="AJ363" i="58" s="1"/>
  <c r="AI362" i="58"/>
  <c r="AH362" i="58"/>
  <c r="AJ362" i="58" s="1"/>
  <c r="AI361" i="58"/>
  <c r="AH361" i="58"/>
  <c r="AJ361" i="58" s="1"/>
  <c r="AI360" i="58"/>
  <c r="AH360" i="58"/>
  <c r="AJ360" i="58" s="1"/>
  <c r="AI359" i="58"/>
  <c r="AH359" i="58"/>
  <c r="AH365" i="58" s="1"/>
  <c r="B347" i="58"/>
  <c r="B346" i="58"/>
  <c r="B345" i="58"/>
  <c r="AT339" i="58"/>
  <c r="AR335" i="58"/>
  <c r="AS335" i="58"/>
  <c r="AR336" i="58"/>
  <c r="AS336" i="58"/>
  <c r="AT336" i="58"/>
  <c r="AR337" i="58"/>
  <c r="AS337" i="58"/>
  <c r="AT337" i="58"/>
  <c r="AR338" i="58"/>
  <c r="AS338" i="58"/>
  <c r="AT338" i="58"/>
  <c r="AR339" i="58"/>
  <c r="AS339" i="58"/>
  <c r="AT334" i="58"/>
  <c r="AS334" i="58"/>
  <c r="AL334" i="58"/>
  <c r="AP335" i="58"/>
  <c r="AP334" i="58"/>
  <c r="AO334" i="58"/>
  <c r="AN334" i="58"/>
  <c r="AJ340" i="58"/>
  <c r="AH340" i="58"/>
  <c r="AG335" i="58"/>
  <c r="AH335" i="58"/>
  <c r="AI335" i="58"/>
  <c r="AJ335" i="58"/>
  <c r="AG336" i="58"/>
  <c r="AH336" i="58"/>
  <c r="AI336" i="58"/>
  <c r="AJ336" i="58"/>
  <c r="AG337" i="58"/>
  <c r="AH337" i="58"/>
  <c r="AI337" i="58"/>
  <c r="AJ337" i="58"/>
  <c r="AG338" i="58"/>
  <c r="AH338" i="58"/>
  <c r="AI338" i="58"/>
  <c r="AJ338" i="58"/>
  <c r="AG339" i="58"/>
  <c r="AH339" i="58"/>
  <c r="AI339" i="58"/>
  <c r="AJ339" i="58"/>
  <c r="AL335" i="58"/>
  <c r="AL336" i="58"/>
  <c r="AL337" i="58"/>
  <c r="AL338" i="58"/>
  <c r="AL340" i="58" s="1"/>
  <c r="AL339" i="58"/>
  <c r="AM334" i="58"/>
  <c r="AK334" i="58"/>
  <c r="AJ334" i="58"/>
  <c r="AI334" i="58"/>
  <c r="AH334" i="58"/>
  <c r="AG334" i="58"/>
  <c r="P259" i="49"/>
  <c r="Q259" i="49"/>
  <c r="R259" i="49"/>
  <c r="S259" i="49"/>
  <c r="T259" i="49"/>
  <c r="U259" i="49"/>
  <c r="V259" i="49"/>
  <c r="W259" i="49"/>
  <c r="X259" i="49"/>
  <c r="Y259" i="49"/>
  <c r="Z259" i="49"/>
  <c r="AA259" i="49"/>
  <c r="AB259" i="49"/>
  <c r="AC259" i="49"/>
  <c r="AD259" i="49"/>
  <c r="S245" i="49"/>
  <c r="T245" i="49"/>
  <c r="U245" i="49"/>
  <c r="V245" i="49"/>
  <c r="W245" i="49"/>
  <c r="X245" i="49"/>
  <c r="Y245" i="49"/>
  <c r="Z245" i="49"/>
  <c r="AA245" i="49"/>
  <c r="AB245" i="49"/>
  <c r="AC245" i="49"/>
  <c r="AD245" i="49"/>
  <c r="AK251" i="49"/>
  <c r="AL251" i="49"/>
  <c r="AK237" i="49"/>
  <c r="AL237" i="49"/>
  <c r="AK245" i="49"/>
  <c r="BF245" i="49"/>
  <c r="J219" i="49"/>
  <c r="K219" i="49"/>
  <c r="L219" i="49"/>
  <c r="M219" i="49"/>
  <c r="N219" i="49"/>
  <c r="O219" i="49"/>
  <c r="P219" i="49"/>
  <c r="Q219" i="49"/>
  <c r="R219" i="49"/>
  <c r="S219" i="49"/>
  <c r="T219" i="49"/>
  <c r="U219" i="49"/>
  <c r="V219" i="49"/>
  <c r="W219" i="49"/>
  <c r="X219" i="49"/>
  <c r="Y219" i="49"/>
  <c r="Z219" i="49"/>
  <c r="AA219" i="49"/>
  <c r="AB219" i="49"/>
  <c r="AC219" i="49"/>
  <c r="AD219" i="49"/>
  <c r="M205" i="49"/>
  <c r="N205" i="49"/>
  <c r="O205" i="49"/>
  <c r="P205" i="49"/>
  <c r="Q205" i="49"/>
  <c r="R205" i="49"/>
  <c r="S205" i="49"/>
  <c r="T205" i="49"/>
  <c r="U205" i="49"/>
  <c r="V205" i="49"/>
  <c r="W205" i="49"/>
  <c r="X205" i="49"/>
  <c r="Y205" i="49"/>
  <c r="Z205" i="49"/>
  <c r="AA205" i="49"/>
  <c r="AB205" i="49"/>
  <c r="AC205" i="49"/>
  <c r="AD205" i="49"/>
  <c r="AN219" i="49"/>
  <c r="AV219" i="49"/>
  <c r="AZ205" i="49"/>
  <c r="BB205" i="49"/>
  <c r="AY205" i="49"/>
  <c r="AM205" i="49"/>
  <c r="AP205" i="49"/>
  <c r="AT205" i="49"/>
  <c r="AV205" i="49"/>
  <c r="J181" i="49"/>
  <c r="K181" i="49"/>
  <c r="L181" i="49"/>
  <c r="M181" i="49"/>
  <c r="N181" i="49"/>
  <c r="O181" i="49"/>
  <c r="P181" i="49"/>
  <c r="Q181" i="49"/>
  <c r="R181" i="49"/>
  <c r="S181" i="49"/>
  <c r="T181" i="49"/>
  <c r="U181" i="49"/>
  <c r="V181" i="49"/>
  <c r="W181" i="49"/>
  <c r="X181" i="49"/>
  <c r="Y181" i="49"/>
  <c r="Z181" i="49"/>
  <c r="AA181" i="49"/>
  <c r="AB181" i="49"/>
  <c r="AC181" i="49"/>
  <c r="AD181" i="49"/>
  <c r="M167" i="49"/>
  <c r="N167" i="49"/>
  <c r="O167" i="49"/>
  <c r="P167" i="49"/>
  <c r="Q167" i="49"/>
  <c r="R167" i="49"/>
  <c r="S167" i="49"/>
  <c r="T167" i="49"/>
  <c r="U167" i="49"/>
  <c r="V167" i="49"/>
  <c r="W167" i="49"/>
  <c r="X167" i="49"/>
  <c r="Y167" i="49"/>
  <c r="Z167" i="49"/>
  <c r="AA167" i="49"/>
  <c r="AB167" i="49"/>
  <c r="AC167" i="49"/>
  <c r="AD167" i="49"/>
  <c r="AK173" i="49"/>
  <c r="AL173" i="49"/>
  <c r="AZ181" i="49"/>
  <c r="AM181" i="49"/>
  <c r="BC181" i="49"/>
  <c r="AV181" i="49"/>
  <c r="AS181" i="49"/>
  <c r="AT181" i="49"/>
  <c r="AH159" i="49"/>
  <c r="AI159" i="49"/>
  <c r="AJ159" i="49"/>
  <c r="AH160" i="49"/>
  <c r="AI160" i="49"/>
  <c r="AJ160" i="49"/>
  <c r="AK167" i="49"/>
  <c r="AM167" i="49"/>
  <c r="AH161" i="49"/>
  <c r="AI161" i="49"/>
  <c r="AJ161" i="49"/>
  <c r="AN167" i="49"/>
  <c r="AP167" i="49"/>
  <c r="AW167" i="49"/>
  <c r="AH162" i="49"/>
  <c r="AI162" i="49"/>
  <c r="AJ162" i="49"/>
  <c r="AS167" i="49"/>
  <c r="AZ167" i="49"/>
  <c r="AH163" i="49"/>
  <c r="AI163" i="49"/>
  <c r="AJ163" i="49"/>
  <c r="AV167" i="49"/>
  <c r="AH164" i="49"/>
  <c r="AI164" i="49"/>
  <c r="AJ164" i="49"/>
  <c r="AQ167" i="49"/>
  <c r="AH165" i="49"/>
  <c r="AI165" i="49"/>
  <c r="AJ165" i="49"/>
  <c r="AT167" i="49"/>
  <c r="AH166" i="49"/>
  <c r="AI166" i="49"/>
  <c r="AJ166" i="49"/>
  <c r="J137" i="49"/>
  <c r="K137" i="49"/>
  <c r="L137" i="49"/>
  <c r="M137" i="49"/>
  <c r="N137" i="49"/>
  <c r="O137" i="49"/>
  <c r="P137" i="49"/>
  <c r="Q137" i="49"/>
  <c r="R137" i="49"/>
  <c r="S137" i="49"/>
  <c r="T137" i="49"/>
  <c r="U137" i="49"/>
  <c r="V137" i="49"/>
  <c r="W137" i="49"/>
  <c r="X137" i="49"/>
  <c r="Y137" i="49"/>
  <c r="Z137" i="49"/>
  <c r="AA137" i="49"/>
  <c r="AB137" i="49"/>
  <c r="AC137" i="49"/>
  <c r="AD137" i="49"/>
  <c r="AN137" i="49"/>
  <c r="AS137" i="49"/>
  <c r="AY137" i="49"/>
  <c r="AZ137" i="49"/>
  <c r="BE137" i="49"/>
  <c r="AG137" i="49"/>
  <c r="B141" i="49" s="1"/>
  <c r="AH137" i="49"/>
  <c r="B143" i="49" s="1"/>
  <c r="AI137" i="49"/>
  <c r="B145" i="49" s="1"/>
  <c r="AK137" i="49"/>
  <c r="AM137" i="49"/>
  <c r="AP137" i="49"/>
  <c r="AQ137" i="49"/>
  <c r="AT137" i="49"/>
  <c r="AV137" i="49"/>
  <c r="AW137" i="49"/>
  <c r="BB137" i="49"/>
  <c r="BC137" i="49"/>
  <c r="V112" i="49"/>
  <c r="W112" i="49"/>
  <c r="X112" i="49"/>
  <c r="Y112" i="49"/>
  <c r="Z112" i="49"/>
  <c r="AA112" i="49"/>
  <c r="AB112" i="49"/>
  <c r="AC112" i="49"/>
  <c r="AD112" i="49"/>
  <c r="P97" i="49"/>
  <c r="Q97" i="49"/>
  <c r="R97" i="49"/>
  <c r="S97" i="49"/>
  <c r="T97" i="49"/>
  <c r="U97" i="49"/>
  <c r="V97" i="49"/>
  <c r="W97" i="49"/>
  <c r="X97" i="49"/>
  <c r="Y97" i="49"/>
  <c r="Z97" i="49"/>
  <c r="AA97" i="49"/>
  <c r="AB97" i="49"/>
  <c r="AC97" i="49"/>
  <c r="AD97" i="49"/>
  <c r="AN112" i="49"/>
  <c r="AP112" i="49"/>
  <c r="AQ112" i="49"/>
  <c r="AM112" i="49"/>
  <c r="AK112" i="49"/>
  <c r="AS112" i="49"/>
  <c r="AV72" i="49"/>
  <c r="BF72" i="49"/>
  <c r="B80" i="49" s="1"/>
  <c r="AM97" i="49"/>
  <c r="AN97" i="49"/>
  <c r="AP97" i="49"/>
  <c r="AT97" i="49"/>
  <c r="AV97" i="49"/>
  <c r="AW97" i="49"/>
  <c r="AH97" i="49"/>
  <c r="B118" i="49" s="1"/>
  <c r="AK97" i="49"/>
  <c r="AG97" i="49"/>
  <c r="B116" i="49" s="1"/>
  <c r="AY97" i="49"/>
  <c r="BF97" i="49"/>
  <c r="B120" i="49" s="1"/>
  <c r="AQ97" i="49"/>
  <c r="AS97" i="49"/>
  <c r="S72" i="49"/>
  <c r="T72" i="49"/>
  <c r="U72" i="49"/>
  <c r="V72" i="49"/>
  <c r="W72" i="49"/>
  <c r="X72" i="49"/>
  <c r="Y72" i="49"/>
  <c r="Z72" i="49"/>
  <c r="AA72" i="49"/>
  <c r="AB72" i="49"/>
  <c r="AC72" i="49"/>
  <c r="AD72" i="49"/>
  <c r="AM72" i="49"/>
  <c r="AN72" i="49"/>
  <c r="AP72" i="49"/>
  <c r="AT72" i="49"/>
  <c r="AG72" i="49"/>
  <c r="B76" i="49" s="1"/>
  <c r="AH72" i="49"/>
  <c r="B78" i="49" s="1"/>
  <c r="AK72" i="49"/>
  <c r="AQ72" i="49"/>
  <c r="AS72" i="49"/>
  <c r="B53" i="49"/>
  <c r="Y48" i="49"/>
  <c r="S48" i="49"/>
  <c r="M48" i="49"/>
  <c r="AG40" i="49"/>
  <c r="AI40" i="49"/>
  <c r="AI48" i="49" s="1"/>
  <c r="AJ40" i="49"/>
  <c r="AG41" i="49"/>
  <c r="AK48" i="49"/>
  <c r="B54" i="49" s="1"/>
  <c r="AG42" i="49"/>
  <c r="AG43" i="49"/>
  <c r="AG44" i="49"/>
  <c r="AG45" i="49"/>
  <c r="AG46" i="49"/>
  <c r="AG47" i="49"/>
  <c r="B322" i="58"/>
  <c r="AG314" i="58"/>
  <c r="B321" i="58" s="1"/>
  <c r="B302" i="58"/>
  <c r="B307" i="58"/>
  <c r="B306" i="58"/>
  <c r="AM300" i="58"/>
  <c r="AM295" i="58"/>
  <c r="AM296" i="58"/>
  <c r="AM297" i="58"/>
  <c r="AM298" i="58"/>
  <c r="AM299" i="58"/>
  <c r="AM294" i="58"/>
  <c r="AH300" i="58"/>
  <c r="AK295" i="58"/>
  <c r="AK296" i="58"/>
  <c r="AK297" i="58"/>
  <c r="AK298" i="58"/>
  <c r="AK299" i="58"/>
  <c r="AG295" i="58"/>
  <c r="AH295" i="58"/>
  <c r="AG296" i="58"/>
  <c r="AH296" i="58"/>
  <c r="AG297" i="58"/>
  <c r="AH297" i="58"/>
  <c r="AG298" i="58"/>
  <c r="AH298" i="58"/>
  <c r="AG299" i="58"/>
  <c r="AH299" i="58"/>
  <c r="AJ295" i="58"/>
  <c r="AJ296" i="58"/>
  <c r="AJ297" i="58"/>
  <c r="AJ298" i="58"/>
  <c r="AJ299" i="58"/>
  <c r="AG267" i="58"/>
  <c r="AG266" i="58"/>
  <c r="V883" i="48"/>
  <c r="AL885" i="48" s="1"/>
  <c r="W883" i="48"/>
  <c r="X883" i="48"/>
  <c r="Y883" i="48"/>
  <c r="Z883" i="48"/>
  <c r="AA883" i="48"/>
  <c r="AB883" i="48"/>
  <c r="AC883" i="48"/>
  <c r="AD883" i="48"/>
  <c r="AG265" i="58"/>
  <c r="AH294" i="58"/>
  <c r="AG294" i="58"/>
  <c r="B702" i="48"/>
  <c r="V701" i="48"/>
  <c r="W701" i="48"/>
  <c r="X701" i="48"/>
  <c r="Y701" i="48"/>
  <c r="Z701" i="48"/>
  <c r="AA701" i="48"/>
  <c r="AB701" i="48"/>
  <c r="AC701" i="48"/>
  <c r="AD701" i="48"/>
  <c r="AH536" i="48"/>
  <c r="AH701" i="48" s="1"/>
  <c r="AK536" i="48"/>
  <c r="AK701" i="48" s="1"/>
  <c r="AL536" i="48"/>
  <c r="AM536" i="48"/>
  <c r="AN536" i="48"/>
  <c r="AN701" i="48" s="1"/>
  <c r="AO536" i="48"/>
  <c r="AP536" i="48"/>
  <c r="AQ536" i="48"/>
  <c r="AR536" i="48"/>
  <c r="AS536" i="48"/>
  <c r="AK537" i="48"/>
  <c r="AL537" i="48"/>
  <c r="AM537" i="48"/>
  <c r="AN537" i="48"/>
  <c r="AO537" i="48"/>
  <c r="AP537" i="48"/>
  <c r="AQ537" i="48"/>
  <c r="AR537" i="48"/>
  <c r="AS537" i="48"/>
  <c r="AG701" i="48"/>
  <c r="AK538" i="48"/>
  <c r="AL538" i="48"/>
  <c r="AM538" i="48"/>
  <c r="AN538" i="48"/>
  <c r="AO538" i="48"/>
  <c r="AP538" i="48"/>
  <c r="AP701" i="48" s="1"/>
  <c r="AQ538" i="48"/>
  <c r="AQ701" i="48" s="1"/>
  <c r="AR538" i="48"/>
  <c r="AS538" i="48"/>
  <c r="AK539" i="48"/>
  <c r="AL539" i="48"/>
  <c r="AM539" i="48"/>
  <c r="AN539" i="48"/>
  <c r="AO539" i="48"/>
  <c r="AP539" i="48"/>
  <c r="AQ539" i="48"/>
  <c r="AR539" i="48"/>
  <c r="AS539" i="48"/>
  <c r="AJ540" i="48"/>
  <c r="AK540" i="48"/>
  <c r="AL540" i="48"/>
  <c r="AM540" i="48"/>
  <c r="AN540" i="48"/>
  <c r="AO540" i="48"/>
  <c r="AP540" i="48"/>
  <c r="AQ540" i="48"/>
  <c r="AR540" i="48"/>
  <c r="AS540" i="48"/>
  <c r="AK541" i="48"/>
  <c r="AL541" i="48"/>
  <c r="AM541" i="48"/>
  <c r="AN541" i="48"/>
  <c r="AO541" i="48"/>
  <c r="AP541" i="48"/>
  <c r="AQ541" i="48"/>
  <c r="AR541" i="48"/>
  <c r="AS541" i="48"/>
  <c r="AK542" i="48"/>
  <c r="AL542" i="48"/>
  <c r="AM542" i="48"/>
  <c r="AN542" i="48"/>
  <c r="AO542" i="48"/>
  <c r="AP542" i="48"/>
  <c r="AQ542" i="48"/>
  <c r="AR542" i="48"/>
  <c r="AS542" i="48"/>
  <c r="AK543" i="48"/>
  <c r="AL543" i="48"/>
  <c r="AM543" i="48"/>
  <c r="AN543" i="48"/>
  <c r="AO543" i="48"/>
  <c r="AP543" i="48"/>
  <c r="AQ543" i="48"/>
  <c r="AR543" i="48"/>
  <c r="AS543" i="48"/>
  <c r="AK544" i="48"/>
  <c r="AL544" i="48"/>
  <c r="AM544" i="48"/>
  <c r="AN544" i="48"/>
  <c r="AO544" i="48"/>
  <c r="AP544" i="48"/>
  <c r="AQ544" i="48"/>
  <c r="AR544" i="48"/>
  <c r="AS544" i="48"/>
  <c r="AK545" i="48"/>
  <c r="AL545" i="48"/>
  <c r="AM545" i="48"/>
  <c r="AN545" i="48"/>
  <c r="AO545" i="48"/>
  <c r="AP545" i="48"/>
  <c r="AQ545" i="48"/>
  <c r="AR545" i="48"/>
  <c r="AS545" i="48"/>
  <c r="AS701" i="48" s="1"/>
  <c r="AK546" i="48"/>
  <c r="AL546" i="48"/>
  <c r="AM546" i="48"/>
  <c r="AN546" i="48"/>
  <c r="AO546" i="48"/>
  <c r="AP546" i="48"/>
  <c r="AQ546" i="48"/>
  <c r="AR546" i="48"/>
  <c r="AS546" i="48"/>
  <c r="AT546" i="48"/>
  <c r="AU546" i="48"/>
  <c r="AV546" i="48"/>
  <c r="AW546" i="48"/>
  <c r="AX546" i="48"/>
  <c r="AY546" i="48"/>
  <c r="AZ546" i="48"/>
  <c r="AZ555" i="48" s="1"/>
  <c r="BA546" i="48"/>
  <c r="BB546" i="48"/>
  <c r="BB555" i="48" s="1"/>
  <c r="BC546" i="48"/>
  <c r="BC555" i="48" s="1"/>
  <c r="BD546" i="48"/>
  <c r="BE546" i="48"/>
  <c r="BE555" i="48" s="1"/>
  <c r="BF546" i="48"/>
  <c r="BG546" i="48"/>
  <c r="BH546" i="48"/>
  <c r="BI546" i="48"/>
  <c r="BJ546" i="48"/>
  <c r="BK546" i="48"/>
  <c r="BK555" i="48" s="1"/>
  <c r="BL546" i="48"/>
  <c r="BL555" i="48" s="1"/>
  <c r="BM546" i="48"/>
  <c r="BN546" i="48"/>
  <c r="BO546" i="48"/>
  <c r="BP546" i="48"/>
  <c r="BQ546" i="48"/>
  <c r="BR546" i="48"/>
  <c r="BS546" i="48"/>
  <c r="BT546" i="48"/>
  <c r="BU546" i="48"/>
  <c r="BV546" i="48"/>
  <c r="BW546" i="48"/>
  <c r="BX546" i="48"/>
  <c r="BX555" i="48" s="1"/>
  <c r="BY546" i="48"/>
  <c r="BZ546" i="48"/>
  <c r="BZ555" i="48" s="1"/>
  <c r="CA546" i="48"/>
  <c r="CA555" i="48" s="1"/>
  <c r="CB546" i="48"/>
  <c r="CC546" i="48"/>
  <c r="CC555" i="48" s="1"/>
  <c r="CD546" i="48"/>
  <c r="CE546" i="48"/>
  <c r="CF546" i="48"/>
  <c r="CG546" i="48"/>
  <c r="CH546" i="48"/>
  <c r="CI546" i="48"/>
  <c r="CI555" i="48" s="1"/>
  <c r="CJ546" i="48"/>
  <c r="CJ555" i="48" s="1"/>
  <c r="CK546" i="48"/>
  <c r="CL546" i="48"/>
  <c r="AK547" i="48"/>
  <c r="AL547" i="48"/>
  <c r="AM547" i="48"/>
  <c r="AN547" i="48"/>
  <c r="AO547" i="48"/>
  <c r="AP547" i="48"/>
  <c r="AQ547" i="48"/>
  <c r="AR547" i="48"/>
  <c r="AS547" i="48"/>
  <c r="AT547" i="48"/>
  <c r="AU547" i="48"/>
  <c r="AV547" i="48"/>
  <c r="AW547" i="48"/>
  <c r="AX547" i="48"/>
  <c r="AY547" i="48"/>
  <c r="AZ547" i="48"/>
  <c r="BA547" i="48"/>
  <c r="BB547" i="48"/>
  <c r="BC547" i="48"/>
  <c r="BD547" i="48"/>
  <c r="BE547" i="48"/>
  <c r="BF547" i="48"/>
  <c r="BG547" i="48"/>
  <c r="BH547" i="48"/>
  <c r="BI547" i="48"/>
  <c r="BJ547" i="48"/>
  <c r="BK547" i="48"/>
  <c r="BL547" i="48"/>
  <c r="BM547" i="48"/>
  <c r="BN547" i="48"/>
  <c r="BO547" i="48"/>
  <c r="BP547" i="48"/>
  <c r="BQ547" i="48"/>
  <c r="BR547" i="48"/>
  <c r="BS547" i="48"/>
  <c r="BT547" i="48"/>
  <c r="BU547" i="48"/>
  <c r="BV547" i="48"/>
  <c r="BW547" i="48"/>
  <c r="BX547" i="48"/>
  <c r="BY547" i="48"/>
  <c r="BZ547" i="48"/>
  <c r="CA547" i="48"/>
  <c r="CB547" i="48"/>
  <c r="CC547" i="48"/>
  <c r="CD547" i="48"/>
  <c r="CE547" i="48"/>
  <c r="CF547" i="48"/>
  <c r="CG547" i="48"/>
  <c r="CH547" i="48"/>
  <c r="CI547" i="48"/>
  <c r="CJ547" i="48"/>
  <c r="CK547" i="48"/>
  <c r="CL547" i="48"/>
  <c r="AK548" i="48"/>
  <c r="AL548" i="48"/>
  <c r="AM548" i="48"/>
  <c r="AN548" i="48"/>
  <c r="AO548" i="48"/>
  <c r="AP548" i="48"/>
  <c r="AQ548" i="48"/>
  <c r="AR548" i="48"/>
  <c r="AS548" i="48"/>
  <c r="AT548" i="48"/>
  <c r="AU548" i="48"/>
  <c r="AV548" i="48"/>
  <c r="AW548" i="48"/>
  <c r="AX548" i="48"/>
  <c r="AY548" i="48"/>
  <c r="AZ548" i="48"/>
  <c r="BA548" i="48"/>
  <c r="BB548" i="48"/>
  <c r="BC548" i="48"/>
  <c r="BD548" i="48"/>
  <c r="BE548" i="48"/>
  <c r="BF548" i="48"/>
  <c r="BG548" i="48"/>
  <c r="BH548" i="48"/>
  <c r="BI548" i="48"/>
  <c r="BJ548" i="48"/>
  <c r="BK548" i="48"/>
  <c r="BL548" i="48"/>
  <c r="BM548" i="48"/>
  <c r="BN548" i="48"/>
  <c r="BO548" i="48"/>
  <c r="BP548" i="48"/>
  <c r="BQ548" i="48"/>
  <c r="BR548" i="48"/>
  <c r="BS548" i="48"/>
  <c r="BT548" i="48"/>
  <c r="BU548" i="48"/>
  <c r="BV548" i="48"/>
  <c r="BW548" i="48"/>
  <c r="BX548" i="48"/>
  <c r="BY548" i="48"/>
  <c r="BZ548" i="48"/>
  <c r="CA548" i="48"/>
  <c r="CB548" i="48"/>
  <c r="CC548" i="48"/>
  <c r="CD548" i="48"/>
  <c r="CE548" i="48"/>
  <c r="CF548" i="48"/>
  <c r="CG548" i="48"/>
  <c r="CH548" i="48"/>
  <c r="CI548" i="48"/>
  <c r="CJ548" i="48"/>
  <c r="CK548" i="48"/>
  <c r="CL548" i="48"/>
  <c r="AK549" i="48"/>
  <c r="AL549" i="48"/>
  <c r="AM549" i="48"/>
  <c r="AN549" i="48"/>
  <c r="AO549" i="48"/>
  <c r="AP549" i="48"/>
  <c r="AQ549" i="48"/>
  <c r="AR549" i="48"/>
  <c r="AS549" i="48"/>
  <c r="AT549" i="48"/>
  <c r="AU549" i="48"/>
  <c r="AV549" i="48"/>
  <c r="AW549" i="48"/>
  <c r="AX549" i="48"/>
  <c r="AY549" i="48"/>
  <c r="AZ549" i="48"/>
  <c r="BA549" i="48"/>
  <c r="BB549" i="48"/>
  <c r="BC549" i="48"/>
  <c r="BD549" i="48"/>
  <c r="BE549" i="48"/>
  <c r="BF549" i="48"/>
  <c r="BG549" i="48"/>
  <c r="BH549" i="48"/>
  <c r="BI549" i="48"/>
  <c r="BJ549" i="48"/>
  <c r="BK549" i="48"/>
  <c r="BL549" i="48"/>
  <c r="BM549" i="48"/>
  <c r="BN549" i="48"/>
  <c r="BO549" i="48"/>
  <c r="BP549" i="48"/>
  <c r="BQ549" i="48"/>
  <c r="BR549" i="48"/>
  <c r="BS549" i="48"/>
  <c r="BT549" i="48"/>
  <c r="BU549" i="48"/>
  <c r="BV549" i="48"/>
  <c r="BW549" i="48"/>
  <c r="BX549" i="48"/>
  <c r="BY549" i="48"/>
  <c r="BZ549" i="48"/>
  <c r="CA549" i="48"/>
  <c r="CB549" i="48"/>
  <c r="CC549" i="48"/>
  <c r="CD549" i="48"/>
  <c r="CE549" i="48"/>
  <c r="CF549" i="48"/>
  <c r="CG549" i="48"/>
  <c r="CH549" i="48"/>
  <c r="CI549" i="48"/>
  <c r="CJ549" i="48"/>
  <c r="CK549" i="48"/>
  <c r="CL549" i="48"/>
  <c r="AK550" i="48"/>
  <c r="AL550" i="48"/>
  <c r="AM550" i="48"/>
  <c r="AN550" i="48"/>
  <c r="AO550" i="48"/>
  <c r="AP550" i="48"/>
  <c r="AQ550" i="48"/>
  <c r="AR550" i="48"/>
  <c r="AS550" i="48"/>
  <c r="AT550" i="48"/>
  <c r="AU550" i="48"/>
  <c r="AV550" i="48"/>
  <c r="AW550" i="48"/>
  <c r="AX550" i="48"/>
  <c r="AY550" i="48"/>
  <c r="AZ550" i="48"/>
  <c r="BA550" i="48"/>
  <c r="BB550" i="48"/>
  <c r="BC550" i="48"/>
  <c r="BD550" i="48"/>
  <c r="BE550" i="48"/>
  <c r="BF550" i="48"/>
  <c r="BG550" i="48"/>
  <c r="BH550" i="48"/>
  <c r="BI550" i="48"/>
  <c r="BJ550" i="48"/>
  <c r="BK550" i="48"/>
  <c r="BL550" i="48"/>
  <c r="BM550" i="48"/>
  <c r="BN550" i="48"/>
  <c r="BO550" i="48"/>
  <c r="BP550" i="48"/>
  <c r="BQ550" i="48"/>
  <c r="BR550" i="48"/>
  <c r="BS550" i="48"/>
  <c r="BT550" i="48"/>
  <c r="BU550" i="48"/>
  <c r="BV550" i="48"/>
  <c r="BW550" i="48"/>
  <c r="BX550" i="48"/>
  <c r="BY550" i="48"/>
  <c r="BZ550" i="48"/>
  <c r="CA550" i="48"/>
  <c r="CB550" i="48"/>
  <c r="CC550" i="48"/>
  <c r="CD550" i="48"/>
  <c r="CE550" i="48"/>
  <c r="CF550" i="48"/>
  <c r="CG550" i="48"/>
  <c r="CH550" i="48"/>
  <c r="CI550" i="48"/>
  <c r="CJ550" i="48"/>
  <c r="CK550" i="48"/>
  <c r="CL550" i="48"/>
  <c r="AK551" i="48"/>
  <c r="AL551" i="48"/>
  <c r="AM551" i="48"/>
  <c r="AN551" i="48"/>
  <c r="AO551" i="48"/>
  <c r="AP551" i="48"/>
  <c r="AQ551" i="48"/>
  <c r="AR551" i="48"/>
  <c r="AS551" i="48"/>
  <c r="AT551" i="48"/>
  <c r="AU551" i="48"/>
  <c r="AV551" i="48"/>
  <c r="AW551" i="48"/>
  <c r="AX551" i="48"/>
  <c r="AY551" i="48"/>
  <c r="AZ551" i="48"/>
  <c r="BA551" i="48"/>
  <c r="BB551" i="48"/>
  <c r="BC551" i="48"/>
  <c r="BD551" i="48"/>
  <c r="BE551" i="48"/>
  <c r="BF551" i="48"/>
  <c r="BG551" i="48"/>
  <c r="BH551" i="48"/>
  <c r="BI551" i="48"/>
  <c r="BJ551" i="48"/>
  <c r="BK551" i="48"/>
  <c r="BL551" i="48"/>
  <c r="BM551" i="48"/>
  <c r="BN551" i="48"/>
  <c r="BO551" i="48"/>
  <c r="BP551" i="48"/>
  <c r="BQ551" i="48"/>
  <c r="BR551" i="48"/>
  <c r="BS551" i="48"/>
  <c r="BT551" i="48"/>
  <c r="BU551" i="48"/>
  <c r="BV551" i="48"/>
  <c r="BW551" i="48"/>
  <c r="BX551" i="48"/>
  <c r="BY551" i="48"/>
  <c r="BZ551" i="48"/>
  <c r="CA551" i="48"/>
  <c r="CB551" i="48"/>
  <c r="CC551" i="48"/>
  <c r="CD551" i="48"/>
  <c r="CE551" i="48"/>
  <c r="CF551" i="48"/>
  <c r="CG551" i="48"/>
  <c r="CH551" i="48"/>
  <c r="CI551" i="48"/>
  <c r="CJ551" i="48"/>
  <c r="CK551" i="48"/>
  <c r="CL551" i="48"/>
  <c r="AK552" i="48"/>
  <c r="AL552" i="48"/>
  <c r="AM552" i="48"/>
  <c r="AN552" i="48"/>
  <c r="AO552" i="48"/>
  <c r="AP552" i="48"/>
  <c r="AQ552" i="48"/>
  <c r="AR552" i="48"/>
  <c r="AS552" i="48"/>
  <c r="AT552" i="48"/>
  <c r="AU552" i="48"/>
  <c r="AV552" i="48"/>
  <c r="AW552" i="48"/>
  <c r="AX552" i="48"/>
  <c r="AY552" i="48"/>
  <c r="AZ552" i="48"/>
  <c r="BA552" i="48"/>
  <c r="BB552" i="48"/>
  <c r="BC552" i="48"/>
  <c r="BD552" i="48"/>
  <c r="BE552" i="48"/>
  <c r="BF552" i="48"/>
  <c r="BG552" i="48"/>
  <c r="BH552" i="48"/>
  <c r="BI552" i="48"/>
  <c r="BJ552" i="48"/>
  <c r="BK552" i="48"/>
  <c r="BL552" i="48"/>
  <c r="BM552" i="48"/>
  <c r="BN552" i="48"/>
  <c r="BO552" i="48"/>
  <c r="BP552" i="48"/>
  <c r="BQ552" i="48"/>
  <c r="BR552" i="48"/>
  <c r="BS552" i="48"/>
  <c r="BT552" i="48"/>
  <c r="BU552" i="48"/>
  <c r="BV552" i="48"/>
  <c r="BW552" i="48"/>
  <c r="BX552" i="48"/>
  <c r="BY552" i="48"/>
  <c r="BZ552" i="48"/>
  <c r="CA552" i="48"/>
  <c r="CB552" i="48"/>
  <c r="CC552" i="48"/>
  <c r="CD552" i="48"/>
  <c r="CE552" i="48"/>
  <c r="CF552" i="48"/>
  <c r="CG552" i="48"/>
  <c r="CH552" i="48"/>
  <c r="CI552" i="48"/>
  <c r="CJ552" i="48"/>
  <c r="CK552" i="48"/>
  <c r="CL552" i="48"/>
  <c r="AJ553" i="48"/>
  <c r="AK553" i="48"/>
  <c r="AL553" i="48"/>
  <c r="AM553" i="48"/>
  <c r="AN553" i="48"/>
  <c r="AO553" i="48"/>
  <c r="AP553" i="48"/>
  <c r="AQ553" i="48"/>
  <c r="AR553" i="48"/>
  <c r="AS553" i="48"/>
  <c r="AT553" i="48"/>
  <c r="AU553" i="48"/>
  <c r="AV553" i="48"/>
  <c r="AV555" i="48" s="1"/>
  <c r="CL556" i="48" s="1"/>
  <c r="CM557" i="48" s="1"/>
  <c r="AW553" i="48"/>
  <c r="AX553" i="48"/>
  <c r="AY553" i="48"/>
  <c r="AY555" i="48" s="1"/>
  <c r="AZ553" i="48"/>
  <c r="BA553" i="48"/>
  <c r="BB553" i="48"/>
  <c r="BC553" i="48"/>
  <c r="BD553" i="48"/>
  <c r="BE553" i="48"/>
  <c r="BF553" i="48"/>
  <c r="BG553" i="48"/>
  <c r="BH553" i="48"/>
  <c r="BI553" i="48"/>
  <c r="BJ553" i="48"/>
  <c r="BK553" i="48"/>
  <c r="BL553" i="48"/>
  <c r="BM553" i="48"/>
  <c r="BN553" i="48"/>
  <c r="BO553" i="48"/>
  <c r="BP553" i="48"/>
  <c r="BQ553" i="48"/>
  <c r="BR553" i="48"/>
  <c r="BS553" i="48"/>
  <c r="BT553" i="48"/>
  <c r="BT555" i="48" s="1"/>
  <c r="BU553" i="48"/>
  <c r="BV553" i="48"/>
  <c r="BW553" i="48"/>
  <c r="BW555" i="48" s="1"/>
  <c r="BX553" i="48"/>
  <c r="BY553" i="48"/>
  <c r="BZ553" i="48"/>
  <c r="CA553" i="48"/>
  <c r="CB553" i="48"/>
  <c r="CC553" i="48"/>
  <c r="CD553" i="48"/>
  <c r="CE553" i="48"/>
  <c r="CF553" i="48"/>
  <c r="CG553" i="48"/>
  <c r="CH553" i="48"/>
  <c r="CI553" i="48"/>
  <c r="CJ553" i="48"/>
  <c r="CK553" i="48"/>
  <c r="CL553" i="48"/>
  <c r="AK554" i="48"/>
  <c r="AL554" i="48"/>
  <c r="AM554" i="48"/>
  <c r="AN554" i="48"/>
  <c r="AO554" i="48"/>
  <c r="AP554" i="48"/>
  <c r="AQ554" i="48"/>
  <c r="AR554" i="48"/>
  <c r="AS554" i="48"/>
  <c r="AT554" i="48"/>
  <c r="AU554" i="48"/>
  <c r="AV554" i="48"/>
  <c r="AW554" i="48"/>
  <c r="AX554" i="48"/>
  <c r="AY554" i="48"/>
  <c r="AZ554" i="48"/>
  <c r="BA554" i="48"/>
  <c r="BB554" i="48"/>
  <c r="BC554" i="48"/>
  <c r="BD554" i="48"/>
  <c r="BE554" i="48"/>
  <c r="BF554" i="48"/>
  <c r="BG554" i="48"/>
  <c r="BH554" i="48"/>
  <c r="BI554" i="48"/>
  <c r="BJ554" i="48"/>
  <c r="BK554" i="48"/>
  <c r="BL554" i="48"/>
  <c r="BM554" i="48"/>
  <c r="BN554" i="48"/>
  <c r="BO554" i="48"/>
  <c r="BP554" i="48"/>
  <c r="BQ554" i="48"/>
  <c r="BR554" i="48"/>
  <c r="BR555" i="48" s="1"/>
  <c r="BS554" i="48"/>
  <c r="BT554" i="48"/>
  <c r="BU554" i="48"/>
  <c r="BV554" i="48"/>
  <c r="BW554" i="48"/>
  <c r="BX554" i="48"/>
  <c r="BY554" i="48"/>
  <c r="BZ554" i="48"/>
  <c r="CA554" i="48"/>
  <c r="CB554" i="48"/>
  <c r="CC554" i="48"/>
  <c r="CD554" i="48"/>
  <c r="CE554" i="48"/>
  <c r="CF554" i="48"/>
  <c r="CG554" i="48"/>
  <c r="CH554" i="48"/>
  <c r="CI554" i="48"/>
  <c r="CJ554" i="48"/>
  <c r="CK554" i="48"/>
  <c r="CL554" i="48"/>
  <c r="AK555" i="48"/>
  <c r="AL555" i="48"/>
  <c r="AM555" i="48"/>
  <c r="AN555" i="48"/>
  <c r="AO555" i="48"/>
  <c r="AP555" i="48"/>
  <c r="AQ555" i="48"/>
  <c r="AR555" i="48"/>
  <c r="AS555" i="48"/>
  <c r="AT555" i="48"/>
  <c r="AW555" i="48"/>
  <c r="BF555" i="48"/>
  <c r="BH555" i="48"/>
  <c r="BI555" i="48"/>
  <c r="BN555" i="48"/>
  <c r="BO555" i="48"/>
  <c r="BQ555" i="48"/>
  <c r="BU555" i="48"/>
  <c r="CD555" i="48"/>
  <c r="CF555" i="48"/>
  <c r="CG555" i="48"/>
  <c r="CL555" i="48"/>
  <c r="AK556" i="48"/>
  <c r="AL556" i="48"/>
  <c r="AM556" i="48"/>
  <c r="AN556" i="48"/>
  <c r="AO556" i="48"/>
  <c r="AP556" i="48"/>
  <c r="AQ556" i="48"/>
  <c r="AR556" i="48"/>
  <c r="AS556" i="48"/>
  <c r="AK557" i="48"/>
  <c r="AL557" i="48"/>
  <c r="AM557" i="48"/>
  <c r="AN557" i="48"/>
  <c r="AO557" i="48"/>
  <c r="AP557" i="48"/>
  <c r="AQ557" i="48"/>
  <c r="AR557" i="48"/>
  <c r="AS557" i="48"/>
  <c r="AK558" i="48"/>
  <c r="AL558" i="48"/>
  <c r="AM558" i="48"/>
  <c r="AN558" i="48"/>
  <c r="AO558" i="48"/>
  <c r="AP558" i="48"/>
  <c r="AQ558" i="48"/>
  <c r="AR558" i="48"/>
  <c r="AS558" i="48"/>
  <c r="AK559" i="48"/>
  <c r="AL559" i="48"/>
  <c r="AM559" i="48"/>
  <c r="AN559" i="48"/>
  <c r="AO559" i="48"/>
  <c r="AP559" i="48"/>
  <c r="AQ559" i="48"/>
  <c r="AR559" i="48"/>
  <c r="AS559" i="48"/>
  <c r="AK560" i="48"/>
  <c r="AL560" i="48"/>
  <c r="AM560" i="48"/>
  <c r="AN560" i="48"/>
  <c r="AO560" i="48"/>
  <c r="AP560" i="48"/>
  <c r="AQ560" i="48"/>
  <c r="AR560" i="48"/>
  <c r="AS560" i="48"/>
  <c r="AK561" i="48"/>
  <c r="AL561" i="48"/>
  <c r="AM561" i="48"/>
  <c r="AN561" i="48"/>
  <c r="AO561" i="48"/>
  <c r="AP561" i="48"/>
  <c r="AQ561" i="48"/>
  <c r="AR561" i="48"/>
  <c r="AS561" i="48"/>
  <c r="AK562" i="48"/>
  <c r="AL562" i="48"/>
  <c r="AM562" i="48"/>
  <c r="AN562" i="48"/>
  <c r="AO562" i="48"/>
  <c r="AP562" i="48"/>
  <c r="AQ562" i="48"/>
  <c r="AR562" i="48"/>
  <c r="AS562" i="48"/>
  <c r="AK563" i="48"/>
  <c r="AL563" i="48"/>
  <c r="AM563" i="48"/>
  <c r="AN563" i="48"/>
  <c r="AO563" i="48"/>
  <c r="AP563" i="48"/>
  <c r="AQ563" i="48"/>
  <c r="AR563" i="48"/>
  <c r="AS563" i="48"/>
  <c r="AK564" i="48"/>
  <c r="AL564" i="48"/>
  <c r="AM564" i="48"/>
  <c r="AN564" i="48"/>
  <c r="AO564" i="48"/>
  <c r="AP564" i="48"/>
  <c r="AQ564" i="48"/>
  <c r="AR564" i="48"/>
  <c r="AS564" i="48"/>
  <c r="AJ565" i="48"/>
  <c r="AK565" i="48"/>
  <c r="AL565" i="48"/>
  <c r="AM565" i="48"/>
  <c r="AN565" i="48"/>
  <c r="AO565" i="48"/>
  <c r="AP565" i="48"/>
  <c r="AQ565" i="48"/>
  <c r="AR565" i="48"/>
  <c r="AS565" i="48"/>
  <c r="AK566" i="48"/>
  <c r="AL566" i="48"/>
  <c r="AM566" i="48"/>
  <c r="AN566" i="48"/>
  <c r="AO566" i="48"/>
  <c r="AP566" i="48"/>
  <c r="AQ566" i="48"/>
  <c r="AR566" i="48"/>
  <c r="AS566" i="48"/>
  <c r="AK567" i="48"/>
  <c r="AL567" i="48"/>
  <c r="AM567" i="48"/>
  <c r="AN567" i="48"/>
  <c r="AO567" i="48"/>
  <c r="AP567" i="48"/>
  <c r="AQ567" i="48"/>
  <c r="AR567" i="48"/>
  <c r="AS567" i="48"/>
  <c r="AK568" i="48"/>
  <c r="AL568" i="48"/>
  <c r="AM568" i="48"/>
  <c r="AN568" i="48"/>
  <c r="AO568" i="48"/>
  <c r="AP568" i="48"/>
  <c r="AQ568" i="48"/>
  <c r="AR568" i="48"/>
  <c r="AS568" i="48"/>
  <c r="AK569" i="48"/>
  <c r="AL569" i="48"/>
  <c r="AM569" i="48"/>
  <c r="AN569" i="48"/>
  <c r="AO569" i="48"/>
  <c r="AP569" i="48"/>
  <c r="AQ569" i="48"/>
  <c r="AR569" i="48"/>
  <c r="AS569" i="48"/>
  <c r="AK570" i="48"/>
  <c r="AL570" i="48"/>
  <c r="AM570" i="48"/>
  <c r="AN570" i="48"/>
  <c r="AO570" i="48"/>
  <c r="AP570" i="48"/>
  <c r="AQ570" i="48"/>
  <c r="AR570" i="48"/>
  <c r="AS570" i="48"/>
  <c r="AK571" i="48"/>
  <c r="AL571" i="48"/>
  <c r="AM571" i="48"/>
  <c r="AN571" i="48"/>
  <c r="AO571" i="48"/>
  <c r="AP571" i="48"/>
  <c r="AQ571" i="48"/>
  <c r="AR571" i="48"/>
  <c r="AS571" i="48"/>
  <c r="AK572" i="48"/>
  <c r="AL572" i="48"/>
  <c r="AM572" i="48"/>
  <c r="AN572" i="48"/>
  <c r="AO572" i="48"/>
  <c r="AP572" i="48"/>
  <c r="AQ572" i="48"/>
  <c r="AR572" i="48"/>
  <c r="AS572" i="48"/>
  <c r="AK573" i="48"/>
  <c r="AL573" i="48"/>
  <c r="AM573" i="48"/>
  <c r="AN573" i="48"/>
  <c r="AO573" i="48"/>
  <c r="AP573" i="48"/>
  <c r="AQ573" i="48"/>
  <c r="AR573" i="48"/>
  <c r="AS573" i="48"/>
  <c r="AK574" i="48"/>
  <c r="AL574" i="48"/>
  <c r="AM574" i="48"/>
  <c r="AN574" i="48"/>
  <c r="AO574" i="48"/>
  <c r="AP574" i="48"/>
  <c r="AQ574" i="48"/>
  <c r="AR574" i="48"/>
  <c r="AS574" i="48"/>
  <c r="AK575" i="48"/>
  <c r="AL575" i="48"/>
  <c r="AM575" i="48"/>
  <c r="AN575" i="48"/>
  <c r="AO575" i="48"/>
  <c r="AP575" i="48"/>
  <c r="AQ575" i="48"/>
  <c r="AR575" i="48"/>
  <c r="AS575" i="48"/>
  <c r="AK576" i="48"/>
  <c r="AL576" i="48"/>
  <c r="AM576" i="48"/>
  <c r="AN576" i="48"/>
  <c r="AO576" i="48"/>
  <c r="AP576" i="48"/>
  <c r="AQ576" i="48"/>
  <c r="AR576" i="48"/>
  <c r="AS576" i="48"/>
  <c r="AK577" i="48"/>
  <c r="AL577" i="48"/>
  <c r="AM577" i="48"/>
  <c r="AN577" i="48"/>
  <c r="AO577" i="48"/>
  <c r="AP577" i="48"/>
  <c r="AQ577" i="48"/>
  <c r="AR577" i="48"/>
  <c r="AS577" i="48"/>
  <c r="AK578" i="48"/>
  <c r="AL578" i="48"/>
  <c r="AM578" i="48"/>
  <c r="AN578" i="48"/>
  <c r="AO578" i="48"/>
  <c r="AP578" i="48"/>
  <c r="AQ578" i="48"/>
  <c r="AR578" i="48"/>
  <c r="AS578" i="48"/>
  <c r="AK579" i="48"/>
  <c r="AL579" i="48"/>
  <c r="AM579" i="48"/>
  <c r="AN579" i="48"/>
  <c r="AO579" i="48"/>
  <c r="AP579" i="48"/>
  <c r="AQ579" i="48"/>
  <c r="AR579" i="48"/>
  <c r="AS579" i="48"/>
  <c r="AK580" i="48"/>
  <c r="AL580" i="48"/>
  <c r="AM580" i="48"/>
  <c r="AN580" i="48"/>
  <c r="AO580" i="48"/>
  <c r="AP580" i="48"/>
  <c r="AQ580" i="48"/>
  <c r="AR580" i="48"/>
  <c r="AS580" i="48"/>
  <c r="AK581" i="48"/>
  <c r="AL581" i="48"/>
  <c r="AM581" i="48"/>
  <c r="AN581" i="48"/>
  <c r="AO581" i="48"/>
  <c r="AP581" i="48"/>
  <c r="AQ581" i="48"/>
  <c r="AR581" i="48"/>
  <c r="AS581" i="48"/>
  <c r="AK582" i="48"/>
  <c r="AL582" i="48"/>
  <c r="AM582" i="48"/>
  <c r="AN582" i="48"/>
  <c r="AO582" i="48"/>
  <c r="AP582" i="48"/>
  <c r="AQ582" i="48"/>
  <c r="AR582" i="48"/>
  <c r="AS582" i="48"/>
  <c r="AK583" i="48"/>
  <c r="AL583" i="48"/>
  <c r="AM583" i="48"/>
  <c r="AN583" i="48"/>
  <c r="AO583" i="48"/>
  <c r="AP583" i="48"/>
  <c r="AQ583" i="48"/>
  <c r="AR583" i="48"/>
  <c r="AS583" i="48"/>
  <c r="AK584" i="48"/>
  <c r="AL584" i="48"/>
  <c r="AM584" i="48"/>
  <c r="AN584" i="48"/>
  <c r="AO584" i="48"/>
  <c r="AP584" i="48"/>
  <c r="AQ584" i="48"/>
  <c r="AR584" i="48"/>
  <c r="AS584" i="48"/>
  <c r="AK585" i="48"/>
  <c r="AL585" i="48"/>
  <c r="AM585" i="48"/>
  <c r="AN585" i="48"/>
  <c r="AO585" i="48"/>
  <c r="AP585" i="48"/>
  <c r="AQ585" i="48"/>
  <c r="AR585" i="48"/>
  <c r="AS585" i="48"/>
  <c r="AK586" i="48"/>
  <c r="AL586" i="48"/>
  <c r="AM586" i="48"/>
  <c r="AN586" i="48"/>
  <c r="AO586" i="48"/>
  <c r="AP586" i="48"/>
  <c r="AQ586" i="48"/>
  <c r="AR586" i="48"/>
  <c r="AS586" i="48"/>
  <c r="AK587" i="48"/>
  <c r="AL587" i="48"/>
  <c r="AM587" i="48"/>
  <c r="AN587" i="48"/>
  <c r="AO587" i="48"/>
  <c r="AP587" i="48"/>
  <c r="AQ587" i="48"/>
  <c r="AR587" i="48"/>
  <c r="AS587" i="48"/>
  <c r="AK588" i="48"/>
  <c r="AL588" i="48"/>
  <c r="AM588" i="48"/>
  <c r="AN588" i="48"/>
  <c r="AO588" i="48"/>
  <c r="AP588" i="48"/>
  <c r="AQ588" i="48"/>
  <c r="AR588" i="48"/>
  <c r="AS588" i="48"/>
  <c r="AK589" i="48"/>
  <c r="AL589" i="48"/>
  <c r="AM589" i="48"/>
  <c r="AN589" i="48"/>
  <c r="AO589" i="48"/>
  <c r="AP589" i="48"/>
  <c r="AQ589" i="48"/>
  <c r="AR589" i="48"/>
  <c r="AS589" i="48"/>
  <c r="AK590" i="48"/>
  <c r="AL590" i="48"/>
  <c r="AM590" i="48"/>
  <c r="AN590" i="48"/>
  <c r="AO590" i="48"/>
  <c r="AP590" i="48"/>
  <c r="AQ590" i="48"/>
  <c r="AR590" i="48"/>
  <c r="AS590" i="48"/>
  <c r="AK591" i="48"/>
  <c r="AL591" i="48"/>
  <c r="AM591" i="48"/>
  <c r="AN591" i="48"/>
  <c r="AO591" i="48"/>
  <c r="AP591" i="48"/>
  <c r="AQ591" i="48"/>
  <c r="AR591" i="48"/>
  <c r="AS591" i="48"/>
  <c r="AK592" i="48"/>
  <c r="AL592" i="48"/>
  <c r="AM592" i="48"/>
  <c r="AN592" i="48"/>
  <c r="AO592" i="48"/>
  <c r="AP592" i="48"/>
  <c r="AQ592" i="48"/>
  <c r="AR592" i="48"/>
  <c r="AS592" i="48"/>
  <c r="AK593" i="48"/>
  <c r="AL593" i="48"/>
  <c r="AM593" i="48"/>
  <c r="AN593" i="48"/>
  <c r="AO593" i="48"/>
  <c r="AP593" i="48"/>
  <c r="AQ593" i="48"/>
  <c r="AR593" i="48"/>
  <c r="AS593" i="48"/>
  <c r="AK594" i="48"/>
  <c r="AL594" i="48"/>
  <c r="AM594" i="48"/>
  <c r="AN594" i="48"/>
  <c r="AO594" i="48"/>
  <c r="AP594" i="48"/>
  <c r="AQ594" i="48"/>
  <c r="AR594" i="48"/>
  <c r="AS594" i="48"/>
  <c r="AK595" i="48"/>
  <c r="AL595" i="48"/>
  <c r="AM595" i="48"/>
  <c r="AN595" i="48"/>
  <c r="AO595" i="48"/>
  <c r="AP595" i="48"/>
  <c r="AQ595" i="48"/>
  <c r="AR595" i="48"/>
  <c r="AS595" i="48"/>
  <c r="AK596" i="48"/>
  <c r="AL596" i="48"/>
  <c r="AM596" i="48"/>
  <c r="AN596" i="48"/>
  <c r="AO596" i="48"/>
  <c r="AP596" i="48"/>
  <c r="AQ596" i="48"/>
  <c r="AR596" i="48"/>
  <c r="AS596" i="48"/>
  <c r="AK597" i="48"/>
  <c r="AL597" i="48"/>
  <c r="AM597" i="48"/>
  <c r="AN597" i="48"/>
  <c r="AO597" i="48"/>
  <c r="AP597" i="48"/>
  <c r="AQ597" i="48"/>
  <c r="AR597" i="48"/>
  <c r="AS597" i="48"/>
  <c r="AK598" i="48"/>
  <c r="AL598" i="48"/>
  <c r="AM598" i="48"/>
  <c r="AN598" i="48"/>
  <c r="AO598" i="48"/>
  <c r="AP598" i="48"/>
  <c r="AQ598" i="48"/>
  <c r="AR598" i="48"/>
  <c r="AS598" i="48"/>
  <c r="AJ599" i="48"/>
  <c r="AK599" i="48"/>
  <c r="AL599" i="48"/>
  <c r="AM599" i="48"/>
  <c r="AN599" i="48"/>
  <c r="AO599" i="48"/>
  <c r="AP599" i="48"/>
  <c r="AQ599" i="48"/>
  <c r="AR599" i="48"/>
  <c r="AS599" i="48"/>
  <c r="AK600" i="48"/>
  <c r="AL600" i="48"/>
  <c r="AM600" i="48"/>
  <c r="AN600" i="48"/>
  <c r="AO600" i="48"/>
  <c r="AP600" i="48"/>
  <c r="AQ600" i="48"/>
  <c r="AR600" i="48"/>
  <c r="AS600" i="48"/>
  <c r="AK601" i="48"/>
  <c r="AL601" i="48"/>
  <c r="AM601" i="48"/>
  <c r="AN601" i="48"/>
  <c r="AO601" i="48"/>
  <c r="AP601" i="48"/>
  <c r="AQ601" i="48"/>
  <c r="AR601" i="48"/>
  <c r="AS601" i="48"/>
  <c r="AJ602" i="48"/>
  <c r="AK602" i="48"/>
  <c r="AL602" i="48"/>
  <c r="AM602" i="48"/>
  <c r="AN602" i="48"/>
  <c r="AO602" i="48"/>
  <c r="AP602" i="48"/>
  <c r="AQ602" i="48"/>
  <c r="AR602" i="48"/>
  <c r="AS602" i="48"/>
  <c r="AK603" i="48"/>
  <c r="AL603" i="48"/>
  <c r="AM603" i="48"/>
  <c r="AN603" i="48"/>
  <c r="AO603" i="48"/>
  <c r="AP603" i="48"/>
  <c r="AQ603" i="48"/>
  <c r="AR603" i="48"/>
  <c r="AS603" i="48"/>
  <c r="AK604" i="48"/>
  <c r="AL604" i="48"/>
  <c r="AM604" i="48"/>
  <c r="AN604" i="48"/>
  <c r="AO604" i="48"/>
  <c r="AP604" i="48"/>
  <c r="AQ604" i="48"/>
  <c r="AR604" i="48"/>
  <c r="AS604" i="48"/>
  <c r="AK605" i="48"/>
  <c r="AL605" i="48"/>
  <c r="AM605" i="48"/>
  <c r="AN605" i="48"/>
  <c r="AO605" i="48"/>
  <c r="AP605" i="48"/>
  <c r="AQ605" i="48"/>
  <c r="AR605" i="48"/>
  <c r="AS605" i="48"/>
  <c r="AK606" i="48"/>
  <c r="AL606" i="48"/>
  <c r="AM606" i="48"/>
  <c r="AN606" i="48"/>
  <c r="AO606" i="48"/>
  <c r="AP606" i="48"/>
  <c r="AQ606" i="48"/>
  <c r="AR606" i="48"/>
  <c r="AS606" i="48"/>
  <c r="AK607" i="48"/>
  <c r="AL607" i="48"/>
  <c r="AM607" i="48"/>
  <c r="AN607" i="48"/>
  <c r="AO607" i="48"/>
  <c r="AP607" i="48"/>
  <c r="AQ607" i="48"/>
  <c r="AR607" i="48"/>
  <c r="AS607" i="48"/>
  <c r="AK608" i="48"/>
  <c r="AL608" i="48"/>
  <c r="AM608" i="48"/>
  <c r="AN608" i="48"/>
  <c r="AO608" i="48"/>
  <c r="AP608" i="48"/>
  <c r="AQ608" i="48"/>
  <c r="AR608" i="48"/>
  <c r="AS608" i="48"/>
  <c r="AK609" i="48"/>
  <c r="AL609" i="48"/>
  <c r="AM609" i="48"/>
  <c r="AN609" i="48"/>
  <c r="AO609" i="48"/>
  <c r="AP609" i="48"/>
  <c r="AQ609" i="48"/>
  <c r="AR609" i="48"/>
  <c r="AS609" i="48"/>
  <c r="AK610" i="48"/>
  <c r="AL610" i="48"/>
  <c r="AM610" i="48"/>
  <c r="AN610" i="48"/>
  <c r="AO610" i="48"/>
  <c r="AP610" i="48"/>
  <c r="AQ610" i="48"/>
  <c r="AR610" i="48"/>
  <c r="AS610" i="48"/>
  <c r="AK611" i="48"/>
  <c r="AL611" i="48"/>
  <c r="AM611" i="48"/>
  <c r="AN611" i="48"/>
  <c r="AO611" i="48"/>
  <c r="AP611" i="48"/>
  <c r="AQ611" i="48"/>
  <c r="AR611" i="48"/>
  <c r="AS611" i="48"/>
  <c r="AK612" i="48"/>
  <c r="AL612" i="48"/>
  <c r="AM612" i="48"/>
  <c r="AN612" i="48"/>
  <c r="AO612" i="48"/>
  <c r="AP612" i="48"/>
  <c r="AQ612" i="48"/>
  <c r="AR612" i="48"/>
  <c r="AS612" i="48"/>
  <c r="AK613" i="48"/>
  <c r="AL613" i="48"/>
  <c r="AM613" i="48"/>
  <c r="AN613" i="48"/>
  <c r="AO613" i="48"/>
  <c r="AP613" i="48"/>
  <c r="AQ613" i="48"/>
  <c r="AR613" i="48"/>
  <c r="AS613" i="48"/>
  <c r="AK614" i="48"/>
  <c r="AL614" i="48"/>
  <c r="AM614" i="48"/>
  <c r="AN614" i="48"/>
  <c r="AO614" i="48"/>
  <c r="AP614" i="48"/>
  <c r="AQ614" i="48"/>
  <c r="AR614" i="48"/>
  <c r="AS614" i="48"/>
  <c r="AK615" i="48"/>
  <c r="AL615" i="48"/>
  <c r="AM615" i="48"/>
  <c r="AN615" i="48"/>
  <c r="AO615" i="48"/>
  <c r="AP615" i="48"/>
  <c r="AQ615" i="48"/>
  <c r="AR615" i="48"/>
  <c r="AS615" i="48"/>
  <c r="AK616" i="48"/>
  <c r="AL616" i="48"/>
  <c r="AM616" i="48"/>
  <c r="AN616" i="48"/>
  <c r="AO616" i="48"/>
  <c r="AP616" i="48"/>
  <c r="AQ616" i="48"/>
  <c r="AR616" i="48"/>
  <c r="AS616" i="48"/>
  <c r="AK617" i="48"/>
  <c r="AL617" i="48"/>
  <c r="AM617" i="48"/>
  <c r="AN617" i="48"/>
  <c r="AO617" i="48"/>
  <c r="AP617" i="48"/>
  <c r="AQ617" i="48"/>
  <c r="AR617" i="48"/>
  <c r="AS617" i="48"/>
  <c r="AK618" i="48"/>
  <c r="AL618" i="48"/>
  <c r="AM618" i="48"/>
  <c r="AN618" i="48"/>
  <c r="AO618" i="48"/>
  <c r="AP618" i="48"/>
  <c r="AQ618" i="48"/>
  <c r="AR618" i="48"/>
  <c r="AS618" i="48"/>
  <c r="AK619" i="48"/>
  <c r="AL619" i="48"/>
  <c r="AM619" i="48"/>
  <c r="AN619" i="48"/>
  <c r="AO619" i="48"/>
  <c r="AP619" i="48"/>
  <c r="AQ619" i="48"/>
  <c r="AR619" i="48"/>
  <c r="AS619" i="48"/>
  <c r="AJ620" i="48"/>
  <c r="AK620" i="48"/>
  <c r="AL620" i="48"/>
  <c r="AM620" i="48"/>
  <c r="AN620" i="48"/>
  <c r="AO620" i="48"/>
  <c r="AP620" i="48"/>
  <c r="AQ620" i="48"/>
  <c r="AR620" i="48"/>
  <c r="AS620" i="48"/>
  <c r="AK621" i="48"/>
  <c r="AL621" i="48"/>
  <c r="AM621" i="48"/>
  <c r="AN621" i="48"/>
  <c r="AO621" i="48"/>
  <c r="AP621" i="48"/>
  <c r="AQ621" i="48"/>
  <c r="AR621" i="48"/>
  <c r="AS621" i="48"/>
  <c r="AK622" i="48"/>
  <c r="AL622" i="48"/>
  <c r="AM622" i="48"/>
  <c r="AN622" i="48"/>
  <c r="AO622" i="48"/>
  <c r="AP622" i="48"/>
  <c r="AQ622" i="48"/>
  <c r="AR622" i="48"/>
  <c r="AS622" i="48"/>
  <c r="AK623" i="48"/>
  <c r="AL623" i="48"/>
  <c r="AM623" i="48"/>
  <c r="AN623" i="48"/>
  <c r="AO623" i="48"/>
  <c r="AP623" i="48"/>
  <c r="AQ623" i="48"/>
  <c r="AR623" i="48"/>
  <c r="AS623" i="48"/>
  <c r="AK624" i="48"/>
  <c r="AL624" i="48"/>
  <c r="AM624" i="48"/>
  <c r="AN624" i="48"/>
  <c r="AO624" i="48"/>
  <c r="AP624" i="48"/>
  <c r="AQ624" i="48"/>
  <c r="AR624" i="48"/>
  <c r="AS624" i="48"/>
  <c r="AK625" i="48"/>
  <c r="AL625" i="48"/>
  <c r="AM625" i="48"/>
  <c r="AN625" i="48"/>
  <c r="AO625" i="48"/>
  <c r="AP625" i="48"/>
  <c r="AQ625" i="48"/>
  <c r="AR625" i="48"/>
  <c r="AS625" i="48"/>
  <c r="AK626" i="48"/>
  <c r="AL626" i="48"/>
  <c r="AM626" i="48"/>
  <c r="AN626" i="48"/>
  <c r="AO626" i="48"/>
  <c r="AP626" i="48"/>
  <c r="AQ626" i="48"/>
  <c r="AR626" i="48"/>
  <c r="AS626" i="48"/>
  <c r="AK627" i="48"/>
  <c r="AL627" i="48"/>
  <c r="AM627" i="48"/>
  <c r="AN627" i="48"/>
  <c r="AO627" i="48"/>
  <c r="AP627" i="48"/>
  <c r="AQ627" i="48"/>
  <c r="AR627" i="48"/>
  <c r="AS627" i="48"/>
  <c r="AK628" i="48"/>
  <c r="AL628" i="48"/>
  <c r="AM628" i="48"/>
  <c r="AN628" i="48"/>
  <c r="AO628" i="48"/>
  <c r="AP628" i="48"/>
  <c r="AQ628" i="48"/>
  <c r="AR628" i="48"/>
  <c r="AS628" i="48"/>
  <c r="AK629" i="48"/>
  <c r="AL629" i="48"/>
  <c r="AM629" i="48"/>
  <c r="AN629" i="48"/>
  <c r="AO629" i="48"/>
  <c r="AP629" i="48"/>
  <c r="AQ629" i="48"/>
  <c r="AR629" i="48"/>
  <c r="AS629" i="48"/>
  <c r="AK630" i="48"/>
  <c r="AL630" i="48"/>
  <c r="AM630" i="48"/>
  <c r="AN630" i="48"/>
  <c r="AO630" i="48"/>
  <c r="AP630" i="48"/>
  <c r="AQ630" i="48"/>
  <c r="AR630" i="48"/>
  <c r="AS630" i="48"/>
  <c r="AK631" i="48"/>
  <c r="AL631" i="48"/>
  <c r="AM631" i="48"/>
  <c r="AN631" i="48"/>
  <c r="AO631" i="48"/>
  <c r="AP631" i="48"/>
  <c r="AQ631" i="48"/>
  <c r="AR631" i="48"/>
  <c r="AS631" i="48"/>
  <c r="AK632" i="48"/>
  <c r="AL632" i="48"/>
  <c r="AM632" i="48"/>
  <c r="AN632" i="48"/>
  <c r="AO632" i="48"/>
  <c r="AP632" i="48"/>
  <c r="AQ632" i="48"/>
  <c r="AR632" i="48"/>
  <c r="AS632" i="48"/>
  <c r="AK633" i="48"/>
  <c r="AL633" i="48"/>
  <c r="AM633" i="48"/>
  <c r="AN633" i="48"/>
  <c r="AO633" i="48"/>
  <c r="AP633" i="48"/>
  <c r="AQ633" i="48"/>
  <c r="AR633" i="48"/>
  <c r="AS633" i="48"/>
  <c r="AK634" i="48"/>
  <c r="AL634" i="48"/>
  <c r="AM634" i="48"/>
  <c r="AN634" i="48"/>
  <c r="AO634" i="48"/>
  <c r="AP634" i="48"/>
  <c r="AQ634" i="48"/>
  <c r="AR634" i="48"/>
  <c r="AS634" i="48"/>
  <c r="AK635" i="48"/>
  <c r="AL635" i="48"/>
  <c r="AM635" i="48"/>
  <c r="AN635" i="48"/>
  <c r="AO635" i="48"/>
  <c r="AP635" i="48"/>
  <c r="AQ635" i="48"/>
  <c r="AR635" i="48"/>
  <c r="AS635" i="48"/>
  <c r="AK636" i="48"/>
  <c r="AL636" i="48"/>
  <c r="AM636" i="48"/>
  <c r="AN636" i="48"/>
  <c r="AO636" i="48"/>
  <c r="AP636" i="48"/>
  <c r="AQ636" i="48"/>
  <c r="AR636" i="48"/>
  <c r="AS636" i="48"/>
  <c r="AK637" i="48"/>
  <c r="AL637" i="48"/>
  <c r="AM637" i="48"/>
  <c r="AN637" i="48"/>
  <c r="AO637" i="48"/>
  <c r="AP637" i="48"/>
  <c r="AQ637" i="48"/>
  <c r="AR637" i="48"/>
  <c r="AS637" i="48"/>
  <c r="AK638" i="48"/>
  <c r="AL638" i="48"/>
  <c r="AM638" i="48"/>
  <c r="AN638" i="48"/>
  <c r="AO638" i="48"/>
  <c r="AP638" i="48"/>
  <c r="AQ638" i="48"/>
  <c r="AR638" i="48"/>
  <c r="AS638" i="48"/>
  <c r="AK639" i="48"/>
  <c r="AL639" i="48"/>
  <c r="AM639" i="48"/>
  <c r="AN639" i="48"/>
  <c r="AO639" i="48"/>
  <c r="AP639" i="48"/>
  <c r="AQ639" i="48"/>
  <c r="AR639" i="48"/>
  <c r="AS639" i="48"/>
  <c r="AK640" i="48"/>
  <c r="AL640" i="48"/>
  <c r="AM640" i="48"/>
  <c r="AN640" i="48"/>
  <c r="AO640" i="48"/>
  <c r="AP640" i="48"/>
  <c r="AQ640" i="48"/>
  <c r="AR640" i="48"/>
  <c r="AS640" i="48"/>
  <c r="AK641" i="48"/>
  <c r="AL641" i="48"/>
  <c r="AM641" i="48"/>
  <c r="AN641" i="48"/>
  <c r="AO641" i="48"/>
  <c r="AP641" i="48"/>
  <c r="AQ641" i="48"/>
  <c r="AR641" i="48"/>
  <c r="AS641" i="48"/>
  <c r="AK642" i="48"/>
  <c r="AL642" i="48"/>
  <c r="AM642" i="48"/>
  <c r="AN642" i="48"/>
  <c r="AO642" i="48"/>
  <c r="AP642" i="48"/>
  <c r="AQ642" i="48"/>
  <c r="AR642" i="48"/>
  <c r="AS642" i="48"/>
  <c r="AK643" i="48"/>
  <c r="AL643" i="48"/>
  <c r="AM643" i="48"/>
  <c r="AN643" i="48"/>
  <c r="AO643" i="48"/>
  <c r="AP643" i="48"/>
  <c r="AQ643" i="48"/>
  <c r="AR643" i="48"/>
  <c r="AS643" i="48"/>
  <c r="AK644" i="48"/>
  <c r="AL644" i="48"/>
  <c r="AM644" i="48"/>
  <c r="AN644" i="48"/>
  <c r="AO644" i="48"/>
  <c r="AP644" i="48"/>
  <c r="AQ644" i="48"/>
  <c r="AR644" i="48"/>
  <c r="AS644" i="48"/>
  <c r="AK645" i="48"/>
  <c r="AL645" i="48"/>
  <c r="AM645" i="48"/>
  <c r="AN645" i="48"/>
  <c r="AO645" i="48"/>
  <c r="AP645" i="48"/>
  <c r="AQ645" i="48"/>
  <c r="AR645" i="48"/>
  <c r="AS645" i="48"/>
  <c r="AK646" i="48"/>
  <c r="AL646" i="48"/>
  <c r="AM646" i="48"/>
  <c r="AN646" i="48"/>
  <c r="AO646" i="48"/>
  <c r="AP646" i="48"/>
  <c r="AQ646" i="48"/>
  <c r="AR646" i="48"/>
  <c r="AS646" i="48"/>
  <c r="AK647" i="48"/>
  <c r="AL647" i="48"/>
  <c r="AM647" i="48"/>
  <c r="AN647" i="48"/>
  <c r="AO647" i="48"/>
  <c r="AP647" i="48"/>
  <c r="AQ647" i="48"/>
  <c r="AR647" i="48"/>
  <c r="AS647" i="48"/>
  <c r="AK648" i="48"/>
  <c r="AL648" i="48"/>
  <c r="AM648" i="48"/>
  <c r="AN648" i="48"/>
  <c r="AO648" i="48"/>
  <c r="AP648" i="48"/>
  <c r="AQ648" i="48"/>
  <c r="AR648" i="48"/>
  <c r="AS648" i="48"/>
  <c r="AJ649" i="48"/>
  <c r="AJ701" i="48" s="1"/>
  <c r="AK649" i="48"/>
  <c r="AL649" i="48"/>
  <c r="AM649" i="48"/>
  <c r="AN649" i="48"/>
  <c r="AO649" i="48"/>
  <c r="AP649" i="48"/>
  <c r="AQ649" i="48"/>
  <c r="AR649" i="48"/>
  <c r="AS649" i="48"/>
  <c r="AK650" i="48"/>
  <c r="AL650" i="48"/>
  <c r="AM650" i="48"/>
  <c r="AN650" i="48"/>
  <c r="AO650" i="48"/>
  <c r="AP650" i="48"/>
  <c r="AQ650" i="48"/>
  <c r="AR650" i="48"/>
  <c r="AS650" i="48"/>
  <c r="AK651" i="48"/>
  <c r="AL651" i="48"/>
  <c r="AM651" i="48"/>
  <c r="AN651" i="48"/>
  <c r="AO651" i="48"/>
  <c r="AP651" i="48"/>
  <c r="AQ651" i="48"/>
  <c r="AR651" i="48"/>
  <c r="AS651" i="48"/>
  <c r="AK652" i="48"/>
  <c r="AL652" i="48"/>
  <c r="AM652" i="48"/>
  <c r="AN652" i="48"/>
  <c r="AO652" i="48"/>
  <c r="AP652" i="48"/>
  <c r="AQ652" i="48"/>
  <c r="AR652" i="48"/>
  <c r="AS652" i="48"/>
  <c r="AK653" i="48"/>
  <c r="AL653" i="48"/>
  <c r="AM653" i="48"/>
  <c r="AN653" i="48"/>
  <c r="AO653" i="48"/>
  <c r="AP653" i="48"/>
  <c r="AQ653" i="48"/>
  <c r="AR653" i="48"/>
  <c r="AS653" i="48"/>
  <c r="AK654" i="48"/>
  <c r="AL654" i="48"/>
  <c r="AM654" i="48"/>
  <c r="AN654" i="48"/>
  <c r="AO654" i="48"/>
  <c r="AP654" i="48"/>
  <c r="AQ654" i="48"/>
  <c r="AR654" i="48"/>
  <c r="AS654" i="48"/>
  <c r="AK655" i="48"/>
  <c r="AL655" i="48"/>
  <c r="AM655" i="48"/>
  <c r="AN655" i="48"/>
  <c r="AO655" i="48"/>
  <c r="AP655" i="48"/>
  <c r="AQ655" i="48"/>
  <c r="AR655" i="48"/>
  <c r="AS655" i="48"/>
  <c r="AK656" i="48"/>
  <c r="AL656" i="48"/>
  <c r="AM656" i="48"/>
  <c r="AN656" i="48"/>
  <c r="AO656" i="48"/>
  <c r="AP656" i="48"/>
  <c r="AQ656" i="48"/>
  <c r="AR656" i="48"/>
  <c r="AS656" i="48"/>
  <c r="AK657" i="48"/>
  <c r="AL657" i="48"/>
  <c r="AM657" i="48"/>
  <c r="AN657" i="48"/>
  <c r="AO657" i="48"/>
  <c r="AP657" i="48"/>
  <c r="AQ657" i="48"/>
  <c r="AR657" i="48"/>
  <c r="AS657" i="48"/>
  <c r="AK658" i="48"/>
  <c r="AL658" i="48"/>
  <c r="AM658" i="48"/>
  <c r="AN658" i="48"/>
  <c r="AO658" i="48"/>
  <c r="AP658" i="48"/>
  <c r="AQ658" i="48"/>
  <c r="AR658" i="48"/>
  <c r="AS658" i="48"/>
  <c r="AK659" i="48"/>
  <c r="AL659" i="48"/>
  <c r="AM659" i="48"/>
  <c r="AN659" i="48"/>
  <c r="AO659" i="48"/>
  <c r="AP659" i="48"/>
  <c r="AQ659" i="48"/>
  <c r="AR659" i="48"/>
  <c r="AS659" i="48"/>
  <c r="AK660" i="48"/>
  <c r="AL660" i="48"/>
  <c r="AM660" i="48"/>
  <c r="AN660" i="48"/>
  <c r="AO660" i="48"/>
  <c r="AP660" i="48"/>
  <c r="AQ660" i="48"/>
  <c r="AR660" i="48"/>
  <c r="AS660" i="48"/>
  <c r="AK661" i="48"/>
  <c r="AL661" i="48"/>
  <c r="AM661" i="48"/>
  <c r="AN661" i="48"/>
  <c r="AO661" i="48"/>
  <c r="AP661" i="48"/>
  <c r="AQ661" i="48"/>
  <c r="AR661" i="48"/>
  <c r="AS661" i="48"/>
  <c r="AK662" i="48"/>
  <c r="AL662" i="48"/>
  <c r="AM662" i="48"/>
  <c r="AN662" i="48"/>
  <c r="AO662" i="48"/>
  <c r="AP662" i="48"/>
  <c r="AQ662" i="48"/>
  <c r="AR662" i="48"/>
  <c r="AS662" i="48"/>
  <c r="AK663" i="48"/>
  <c r="AL663" i="48"/>
  <c r="AM663" i="48"/>
  <c r="AN663" i="48"/>
  <c r="AO663" i="48"/>
  <c r="AP663" i="48"/>
  <c r="AQ663" i="48"/>
  <c r="AR663" i="48"/>
  <c r="AS663" i="48"/>
  <c r="AK664" i="48"/>
  <c r="AL664" i="48"/>
  <c r="AM664" i="48"/>
  <c r="AN664" i="48"/>
  <c r="AO664" i="48"/>
  <c r="AP664" i="48"/>
  <c r="AQ664" i="48"/>
  <c r="AR664" i="48"/>
  <c r="AS664" i="48"/>
  <c r="AK665" i="48"/>
  <c r="AL665" i="48"/>
  <c r="AM665" i="48"/>
  <c r="AN665" i="48"/>
  <c r="AO665" i="48"/>
  <c r="AP665" i="48"/>
  <c r="AQ665" i="48"/>
  <c r="AR665" i="48"/>
  <c r="AS665" i="48"/>
  <c r="AJ666" i="48"/>
  <c r="AK666" i="48"/>
  <c r="AL666" i="48"/>
  <c r="AM666" i="48"/>
  <c r="AN666" i="48"/>
  <c r="AO666" i="48"/>
  <c r="AP666" i="48"/>
  <c r="AQ666" i="48"/>
  <c r="AR666" i="48"/>
  <c r="AS666" i="48"/>
  <c r="AK667" i="48"/>
  <c r="AL667" i="48"/>
  <c r="AM667" i="48"/>
  <c r="AN667" i="48"/>
  <c r="AO667" i="48"/>
  <c r="AP667" i="48"/>
  <c r="AQ667" i="48"/>
  <c r="AR667" i="48"/>
  <c r="AS667" i="48"/>
  <c r="AK668" i="48"/>
  <c r="AL668" i="48"/>
  <c r="AM668" i="48"/>
  <c r="AN668" i="48"/>
  <c r="AO668" i="48"/>
  <c r="AP668" i="48"/>
  <c r="AQ668" i="48"/>
  <c r="AR668" i="48"/>
  <c r="AS668" i="48"/>
  <c r="AK669" i="48"/>
  <c r="AL669" i="48"/>
  <c r="AM669" i="48"/>
  <c r="AN669" i="48"/>
  <c r="AO669" i="48"/>
  <c r="AP669" i="48"/>
  <c r="AQ669" i="48"/>
  <c r="AR669" i="48"/>
  <c r="AS669" i="48"/>
  <c r="AK670" i="48"/>
  <c r="AL670" i="48"/>
  <c r="AM670" i="48"/>
  <c r="AN670" i="48"/>
  <c r="AO670" i="48"/>
  <c r="AP670" i="48"/>
  <c r="AQ670" i="48"/>
  <c r="AR670" i="48"/>
  <c r="AS670" i="48"/>
  <c r="AF701" i="48"/>
  <c r="AK671" i="48"/>
  <c r="AL671" i="48"/>
  <c r="AM671" i="48"/>
  <c r="AN671" i="48"/>
  <c r="AO671" i="48"/>
  <c r="AP671" i="48"/>
  <c r="AQ671" i="48"/>
  <c r="AR671" i="48"/>
  <c r="AS671" i="48"/>
  <c r="AK672" i="48"/>
  <c r="AL672" i="48"/>
  <c r="AM672" i="48"/>
  <c r="AN672" i="48"/>
  <c r="AO672" i="48"/>
  <c r="AP672" i="48"/>
  <c r="AQ672" i="48"/>
  <c r="AR672" i="48"/>
  <c r="AS672" i="48"/>
  <c r="AK673" i="48"/>
  <c r="AL673" i="48"/>
  <c r="AM673" i="48"/>
  <c r="AN673" i="48"/>
  <c r="AO673" i="48"/>
  <c r="AP673" i="48"/>
  <c r="AQ673" i="48"/>
  <c r="AR673" i="48"/>
  <c r="AS673" i="48"/>
  <c r="AK674" i="48"/>
  <c r="AL674" i="48"/>
  <c r="AM674" i="48"/>
  <c r="AN674" i="48"/>
  <c r="AO674" i="48"/>
  <c r="AP674" i="48"/>
  <c r="AQ674" i="48"/>
  <c r="AR674" i="48"/>
  <c r="AS674" i="48"/>
  <c r="AK675" i="48"/>
  <c r="AL675" i="48"/>
  <c r="AM675" i="48"/>
  <c r="AN675" i="48"/>
  <c r="AO675" i="48"/>
  <c r="AP675" i="48"/>
  <c r="AQ675" i="48"/>
  <c r="AR675" i="48"/>
  <c r="AS675" i="48"/>
  <c r="AK676" i="48"/>
  <c r="AL676" i="48"/>
  <c r="AM676" i="48"/>
  <c r="AN676" i="48"/>
  <c r="AO676" i="48"/>
  <c r="AP676" i="48"/>
  <c r="AQ676" i="48"/>
  <c r="AR676" i="48"/>
  <c r="AS676" i="48"/>
  <c r="AK677" i="48"/>
  <c r="AL677" i="48"/>
  <c r="AM677" i="48"/>
  <c r="AN677" i="48"/>
  <c r="AO677" i="48"/>
  <c r="AP677" i="48"/>
  <c r="AQ677" i="48"/>
  <c r="AR677" i="48"/>
  <c r="AS677" i="48"/>
  <c r="AK678" i="48"/>
  <c r="AL678" i="48"/>
  <c r="AM678" i="48"/>
  <c r="AN678" i="48"/>
  <c r="AO678" i="48"/>
  <c r="AP678" i="48"/>
  <c r="AQ678" i="48"/>
  <c r="AR678" i="48"/>
  <c r="AS678" i="48"/>
  <c r="AK679" i="48"/>
  <c r="AL679" i="48"/>
  <c r="AM679" i="48"/>
  <c r="AN679" i="48"/>
  <c r="AO679" i="48"/>
  <c r="AP679" i="48"/>
  <c r="AQ679" i="48"/>
  <c r="AR679" i="48"/>
  <c r="AS679" i="48"/>
  <c r="AK680" i="48"/>
  <c r="AL680" i="48"/>
  <c r="AM680" i="48"/>
  <c r="AN680" i="48"/>
  <c r="AO680" i="48"/>
  <c r="AP680" i="48"/>
  <c r="AQ680" i="48"/>
  <c r="AR680" i="48"/>
  <c r="AS680" i="48"/>
  <c r="AK681" i="48"/>
  <c r="AL681" i="48"/>
  <c r="AM681" i="48"/>
  <c r="AN681" i="48"/>
  <c r="AO681" i="48"/>
  <c r="AP681" i="48"/>
  <c r="AQ681" i="48"/>
  <c r="AR681" i="48"/>
  <c r="AS681" i="48"/>
  <c r="AK682" i="48"/>
  <c r="AL682" i="48"/>
  <c r="AM682" i="48"/>
  <c r="AN682" i="48"/>
  <c r="AO682" i="48"/>
  <c r="AP682" i="48"/>
  <c r="AQ682" i="48"/>
  <c r="AR682" i="48"/>
  <c r="AS682" i="48"/>
  <c r="AK683" i="48"/>
  <c r="AL683" i="48"/>
  <c r="AM683" i="48"/>
  <c r="AN683" i="48"/>
  <c r="AO683" i="48"/>
  <c r="AP683" i="48"/>
  <c r="AQ683" i="48"/>
  <c r="AR683" i="48"/>
  <c r="AS683" i="48"/>
  <c r="AK684" i="48"/>
  <c r="AL684" i="48"/>
  <c r="AM684" i="48"/>
  <c r="AN684" i="48"/>
  <c r="AO684" i="48"/>
  <c r="AP684" i="48"/>
  <c r="AQ684" i="48"/>
  <c r="AR684" i="48"/>
  <c r="AS684" i="48"/>
  <c r="AK685" i="48"/>
  <c r="AL685" i="48"/>
  <c r="AM685" i="48"/>
  <c r="AN685" i="48"/>
  <c r="AO685" i="48"/>
  <c r="AP685" i="48"/>
  <c r="AQ685" i="48"/>
  <c r="AR685" i="48"/>
  <c r="AS685" i="48"/>
  <c r="AK686" i="48"/>
  <c r="AL686" i="48"/>
  <c r="AM686" i="48"/>
  <c r="AN686" i="48"/>
  <c r="AO686" i="48"/>
  <c r="AP686" i="48"/>
  <c r="AQ686" i="48"/>
  <c r="AR686" i="48"/>
  <c r="AS686" i="48"/>
  <c r="AK687" i="48"/>
  <c r="AL687" i="48"/>
  <c r="AM687" i="48"/>
  <c r="AN687" i="48"/>
  <c r="AO687" i="48"/>
  <c r="AP687" i="48"/>
  <c r="AQ687" i="48"/>
  <c r="AR687" i="48"/>
  <c r="AS687" i="48"/>
  <c r="AK688" i="48"/>
  <c r="AL688" i="48"/>
  <c r="AM688" i="48"/>
  <c r="AN688" i="48"/>
  <c r="AO688" i="48"/>
  <c r="AP688" i="48"/>
  <c r="AQ688" i="48"/>
  <c r="AR688" i="48"/>
  <c r="AS688" i="48"/>
  <c r="AK689" i="48"/>
  <c r="AL689" i="48"/>
  <c r="AM689" i="48"/>
  <c r="AN689" i="48"/>
  <c r="AO689" i="48"/>
  <c r="AP689" i="48"/>
  <c r="AQ689" i="48"/>
  <c r="AR689" i="48"/>
  <c r="AS689" i="48"/>
  <c r="AK690" i="48"/>
  <c r="AL690" i="48"/>
  <c r="AM690" i="48"/>
  <c r="AN690" i="48"/>
  <c r="AO690" i="48"/>
  <c r="AP690" i="48"/>
  <c r="AQ690" i="48"/>
  <c r="AR690" i="48"/>
  <c r="AS690" i="48"/>
  <c r="AK691" i="48"/>
  <c r="AL691" i="48"/>
  <c r="AM691" i="48"/>
  <c r="AN691" i="48"/>
  <c r="AO691" i="48"/>
  <c r="AP691" i="48"/>
  <c r="AQ691" i="48"/>
  <c r="AR691" i="48"/>
  <c r="AS691" i="48"/>
  <c r="AK692" i="48"/>
  <c r="AL692" i="48"/>
  <c r="AM692" i="48"/>
  <c r="AN692" i="48"/>
  <c r="AO692" i="48"/>
  <c r="AP692" i="48"/>
  <c r="AQ692" i="48"/>
  <c r="AR692" i="48"/>
  <c r="AS692" i="48"/>
  <c r="AK693" i="48"/>
  <c r="AL693" i="48"/>
  <c r="AM693" i="48"/>
  <c r="AN693" i="48"/>
  <c r="AO693" i="48"/>
  <c r="AP693" i="48"/>
  <c r="AQ693" i="48"/>
  <c r="AR693" i="48"/>
  <c r="AS693" i="48"/>
  <c r="AK694" i="48"/>
  <c r="AL694" i="48"/>
  <c r="AM694" i="48"/>
  <c r="AN694" i="48"/>
  <c r="AO694" i="48"/>
  <c r="AP694" i="48"/>
  <c r="AQ694" i="48"/>
  <c r="AR694" i="48"/>
  <c r="AS694" i="48"/>
  <c r="AK695" i="48"/>
  <c r="AL695" i="48"/>
  <c r="AM695" i="48"/>
  <c r="AN695" i="48"/>
  <c r="AO695" i="48"/>
  <c r="AP695" i="48"/>
  <c r="AQ695" i="48"/>
  <c r="AR695" i="48"/>
  <c r="AS695" i="48"/>
  <c r="AK696" i="48"/>
  <c r="AL696" i="48"/>
  <c r="AM696" i="48"/>
  <c r="AN696" i="48"/>
  <c r="AO696" i="48"/>
  <c r="AP696" i="48"/>
  <c r="AQ696" i="48"/>
  <c r="AR696" i="48"/>
  <c r="AS696" i="48"/>
  <c r="AK697" i="48"/>
  <c r="AL697" i="48"/>
  <c r="AM697" i="48"/>
  <c r="AN697" i="48"/>
  <c r="AO697" i="48"/>
  <c r="AP697" i="48"/>
  <c r="AQ697" i="48"/>
  <c r="AR697" i="48"/>
  <c r="AS697" i="48"/>
  <c r="AK698" i="48"/>
  <c r="AL698" i="48"/>
  <c r="AM698" i="48"/>
  <c r="AN698" i="48"/>
  <c r="AO698" i="48"/>
  <c r="AP698" i="48"/>
  <c r="AQ698" i="48"/>
  <c r="AR698" i="48"/>
  <c r="AS698" i="48"/>
  <c r="AJ699" i="48"/>
  <c r="AK699" i="48"/>
  <c r="AL699" i="48"/>
  <c r="AM699" i="48"/>
  <c r="AN699" i="48"/>
  <c r="AO699" i="48"/>
  <c r="AP699" i="48"/>
  <c r="AQ699" i="48"/>
  <c r="AR699" i="48"/>
  <c r="AS699" i="48"/>
  <c r="AK700" i="48"/>
  <c r="AL700" i="48"/>
  <c r="AM700" i="48"/>
  <c r="AN700" i="48"/>
  <c r="AO700" i="48"/>
  <c r="AP700" i="48"/>
  <c r="AQ700" i="48"/>
  <c r="AR700" i="48"/>
  <c r="AS700" i="48"/>
  <c r="B272" i="58"/>
  <c r="AJ266" i="58"/>
  <c r="AJ267" i="58"/>
  <c r="AJ268" i="58"/>
  <c r="AJ269" i="58"/>
  <c r="AJ265" i="58"/>
  <c r="V519" i="48"/>
  <c r="W519" i="48"/>
  <c r="X519" i="48"/>
  <c r="Y519" i="48"/>
  <c r="Z519" i="48"/>
  <c r="AA519" i="48"/>
  <c r="AB519" i="48"/>
  <c r="AC519" i="48"/>
  <c r="AD519" i="48"/>
  <c r="AG269" i="58"/>
  <c r="AG268" i="58"/>
  <c r="AK517" i="48"/>
  <c r="AL517" i="48"/>
  <c r="AM517" i="48"/>
  <c r="AN517" i="48"/>
  <c r="AN519" i="48" s="1"/>
  <c r="AO517" i="48"/>
  <c r="AP517" i="48"/>
  <c r="AQ517" i="48"/>
  <c r="AR517" i="48"/>
  <c r="AS517" i="48"/>
  <c r="AK518" i="48"/>
  <c r="AK519" i="48" s="1"/>
  <c r="AN520" i="48" s="1"/>
  <c r="AL518" i="48"/>
  <c r="AM518" i="48"/>
  <c r="AN518" i="48"/>
  <c r="AO518" i="48"/>
  <c r="AP518" i="48"/>
  <c r="AQ518" i="48"/>
  <c r="AQ519" i="48" s="1"/>
  <c r="AR518" i="48"/>
  <c r="AM519" i="48"/>
  <c r="AP519" i="48"/>
  <c r="AL520" i="48" s="1"/>
  <c r="AS519" i="48"/>
  <c r="AK265" i="58"/>
  <c r="AI265" i="58"/>
  <c r="AH265" i="58"/>
  <c r="AJ239" i="58"/>
  <c r="S489" i="48"/>
  <c r="T489" i="48"/>
  <c r="U489" i="48"/>
  <c r="V489" i="48"/>
  <c r="W489" i="48"/>
  <c r="X489" i="48"/>
  <c r="Y489" i="48"/>
  <c r="Z489" i="48"/>
  <c r="AA489" i="48"/>
  <c r="AB489" i="48"/>
  <c r="AC489" i="48"/>
  <c r="AD489" i="48"/>
  <c r="AI239" i="58"/>
  <c r="AF481" i="48"/>
  <c r="AI481" i="48"/>
  <c r="AK481" i="48"/>
  <c r="AL481" i="48"/>
  <c r="AM489" i="48"/>
  <c r="AN489" i="48"/>
  <c r="AQ489" i="48"/>
  <c r="AS489" i="48"/>
  <c r="AT489" i="48"/>
  <c r="AV489" i="48"/>
  <c r="AG489" i="48"/>
  <c r="B493" i="48" s="1"/>
  <c r="AH489" i="48"/>
  <c r="AI482" i="48"/>
  <c r="AK489" i="48"/>
  <c r="AF489" i="48"/>
  <c r="AI483" i="48"/>
  <c r="AI484" i="48"/>
  <c r="AI485" i="48"/>
  <c r="AI486" i="48"/>
  <c r="AW489" i="48"/>
  <c r="AI487" i="48"/>
  <c r="AI488" i="48"/>
  <c r="AP489" i="48"/>
  <c r="AH239" i="58"/>
  <c r="AG239" i="58"/>
  <c r="B254" i="58" s="1"/>
  <c r="Y465" i="48"/>
  <c r="S465" i="48"/>
  <c r="M465" i="48"/>
  <c r="AK210" i="58"/>
  <c r="AJ210" i="58"/>
  <c r="AI210" i="58"/>
  <c r="AH210" i="58"/>
  <c r="AG210" i="58"/>
  <c r="S424" i="48"/>
  <c r="T424" i="48"/>
  <c r="U424" i="48"/>
  <c r="V424" i="48"/>
  <c r="W424" i="48"/>
  <c r="X424" i="48"/>
  <c r="Y424" i="48"/>
  <c r="Z424" i="48"/>
  <c r="AA424" i="48"/>
  <c r="AB424" i="48"/>
  <c r="AC424" i="48"/>
  <c r="AD424" i="48"/>
  <c r="AK416" i="48"/>
  <c r="AL416" i="48"/>
  <c r="AN424" i="48"/>
  <c r="AP424" i="48"/>
  <c r="AV424" i="48"/>
  <c r="AW424" i="48"/>
  <c r="AG424" i="48"/>
  <c r="B428" i="48" s="1"/>
  <c r="AQ424" i="48"/>
  <c r="AH424" i="48"/>
  <c r="AK424" i="48"/>
  <c r="AT424" i="48"/>
  <c r="AM424" i="48"/>
  <c r="AS424" i="48"/>
  <c r="B201" i="58"/>
  <c r="B200" i="58"/>
  <c r="AO195" i="58"/>
  <c r="AN195" i="58"/>
  <c r="AM195" i="58"/>
  <c r="AL195" i="58"/>
  <c r="AK195" i="58"/>
  <c r="AJ195" i="58"/>
  <c r="AI195" i="58"/>
  <c r="AH195" i="58"/>
  <c r="Y399" i="48"/>
  <c r="S399" i="48"/>
  <c r="M399" i="48"/>
  <c r="AG195" i="58"/>
  <c r="B199" i="58" s="1"/>
  <c r="B184" i="58"/>
  <c r="B186" i="58"/>
  <c r="B185" i="58"/>
  <c r="AJ180" i="58"/>
  <c r="AI180" i="58"/>
  <c r="AH180" i="58"/>
  <c r="AH171" i="58"/>
  <c r="AJ171" i="58" s="1"/>
  <c r="AI171" i="58"/>
  <c r="AH172" i="58"/>
  <c r="AI172" i="58"/>
  <c r="AJ172" i="58"/>
  <c r="AH173" i="58"/>
  <c r="AJ173" i="58" s="1"/>
  <c r="AI173" i="58"/>
  <c r="AH174" i="58"/>
  <c r="AI174" i="58"/>
  <c r="AJ174" i="58"/>
  <c r="AH175" i="58"/>
  <c r="AI175" i="58"/>
  <c r="AJ175" i="58"/>
  <c r="AH176" i="58"/>
  <c r="AJ176" i="58" s="1"/>
  <c r="AI176" i="58"/>
  <c r="AH177" i="58"/>
  <c r="AI177" i="58"/>
  <c r="AJ177" i="58"/>
  <c r="AH178" i="58"/>
  <c r="AI178" i="58"/>
  <c r="AJ178" i="58"/>
  <c r="AH179" i="58"/>
  <c r="AJ179" i="58" s="1"/>
  <c r="AI179" i="58"/>
  <c r="AM170" i="58"/>
  <c r="S366" i="48"/>
  <c r="T366" i="48"/>
  <c r="U366" i="48"/>
  <c r="V366" i="48"/>
  <c r="W366" i="48"/>
  <c r="X366" i="48"/>
  <c r="Y366" i="48"/>
  <c r="Z366" i="48"/>
  <c r="AA366" i="48"/>
  <c r="AB366" i="48"/>
  <c r="AC366" i="48"/>
  <c r="AD366" i="48"/>
  <c r="AK358" i="48"/>
  <c r="AL358" i="48"/>
  <c r="AN366" i="48"/>
  <c r="AP366" i="48"/>
  <c r="AV366" i="48"/>
  <c r="AW366" i="48"/>
  <c r="AG366" i="48"/>
  <c r="B370" i="48" s="1"/>
  <c r="AQ366" i="48"/>
  <c r="AH366" i="48"/>
  <c r="AK366" i="48"/>
  <c r="AT366" i="48"/>
  <c r="AM366" i="48"/>
  <c r="AL367" i="48" s="1"/>
  <c r="AS366" i="48"/>
  <c r="AL170" i="58"/>
  <c r="AK170" i="58"/>
  <c r="AJ170" i="58"/>
  <c r="AI170" i="58"/>
  <c r="AH170" i="58"/>
  <c r="S343" i="48"/>
  <c r="T343" i="48"/>
  <c r="U343" i="48"/>
  <c r="V343" i="48"/>
  <c r="W343" i="48"/>
  <c r="X343" i="48"/>
  <c r="Y343" i="48"/>
  <c r="Z343" i="48"/>
  <c r="AA343" i="48"/>
  <c r="AB343" i="48"/>
  <c r="AC343" i="48"/>
  <c r="AD343" i="48"/>
  <c r="AK335" i="48"/>
  <c r="AL335" i="48"/>
  <c r="AN343" i="48"/>
  <c r="AP343" i="48"/>
  <c r="AV343" i="48"/>
  <c r="AG343" i="48"/>
  <c r="B347" i="48" s="1"/>
  <c r="AQ343" i="48"/>
  <c r="AH343" i="48"/>
  <c r="AK343" i="48"/>
  <c r="AT343" i="48"/>
  <c r="AM343" i="48"/>
  <c r="AS343" i="48"/>
  <c r="AH155" i="58"/>
  <c r="S320" i="48"/>
  <c r="T320" i="48"/>
  <c r="U320" i="48"/>
  <c r="V320" i="48"/>
  <c r="W320" i="48"/>
  <c r="X320" i="48"/>
  <c r="Y320" i="48"/>
  <c r="Z320" i="48"/>
  <c r="AA320" i="48"/>
  <c r="AB320" i="48"/>
  <c r="AC320" i="48"/>
  <c r="AD320" i="48"/>
  <c r="AK312" i="48"/>
  <c r="AL312" i="48"/>
  <c r="AM320" i="48"/>
  <c r="AN320" i="48"/>
  <c r="AP320" i="48"/>
  <c r="AT320" i="48"/>
  <c r="AV320" i="48"/>
  <c r="AW320" i="48"/>
  <c r="AG320" i="48"/>
  <c r="B324" i="48" s="1"/>
  <c r="AQ320" i="48"/>
  <c r="AK320" i="48"/>
  <c r="AS320" i="48"/>
  <c r="Y297" i="48"/>
  <c r="S297" i="48"/>
  <c r="M297" i="48"/>
  <c r="AI292" i="48"/>
  <c r="AI297" i="48" s="1"/>
  <c r="AJ292" i="48"/>
  <c r="AK297" i="48"/>
  <c r="Y276" i="48"/>
  <c r="S276" i="48"/>
  <c r="M276" i="48"/>
  <c r="AI264" i="48"/>
  <c r="AJ264" i="48"/>
  <c r="AI276" i="48"/>
  <c r="AI155" i="58"/>
  <c r="AG155" i="58"/>
  <c r="B160" i="58" s="1"/>
  <c r="S248" i="48"/>
  <c r="M248" i="48"/>
  <c r="AI228" i="48"/>
  <c r="AJ228" i="48"/>
  <c r="AI248" i="48"/>
  <c r="Y214" i="48"/>
  <c r="S214" i="48"/>
  <c r="M214" i="48"/>
  <c r="AI205" i="48"/>
  <c r="AJ205" i="48"/>
  <c r="Y190" i="48"/>
  <c r="S190" i="48"/>
  <c r="M190" i="48"/>
  <c r="AI182" i="48"/>
  <c r="AI190" i="48" s="1"/>
  <c r="AJ182" i="48"/>
  <c r="AK190" i="48"/>
  <c r="AP141" i="58"/>
  <c r="B148" i="58"/>
  <c r="B147" i="58"/>
  <c r="B146" i="58"/>
  <c r="AQ141" i="58"/>
  <c r="AO141" i="58"/>
  <c r="AG141" i="58"/>
  <c r="B145" i="58" s="1"/>
  <c r="AM141" i="58"/>
  <c r="AL141" i="58"/>
  <c r="AK141" i="58"/>
  <c r="AJ141" i="58"/>
  <c r="AI141" i="58"/>
  <c r="AH141" i="58"/>
  <c r="AK142" i="58"/>
  <c r="AI142" i="58"/>
  <c r="AH103" i="58"/>
  <c r="AI103" i="58"/>
  <c r="AG103" i="58"/>
  <c r="AK77" i="58"/>
  <c r="AJ77" i="58"/>
  <c r="AH77" i="58"/>
  <c r="AG77" i="58"/>
  <c r="AI62" i="58"/>
  <c r="AH62" i="58"/>
  <c r="AG62" i="58"/>
  <c r="B67" i="58" s="1"/>
  <c r="B54" i="58"/>
  <c r="AJ48" i="58"/>
  <c r="AI48" i="58"/>
  <c r="AH48" i="58"/>
  <c r="B53" i="58" s="1"/>
  <c r="AG48" i="58"/>
  <c r="B52" i="58" s="1"/>
  <c r="AG25" i="58"/>
  <c r="B29" i="58" s="1"/>
  <c r="Y598" i="58"/>
  <c r="S598" i="58"/>
  <c r="M598" i="58"/>
  <c r="S545" i="58"/>
  <c r="Y545" i="58"/>
  <c r="M545" i="58"/>
  <c r="S481" i="58"/>
  <c r="Y481" i="58"/>
  <c r="M481" i="58"/>
  <c r="AN474" i="58" s="1"/>
  <c r="AP475" i="58" s="1"/>
  <c r="S454" i="58"/>
  <c r="Y454" i="58"/>
  <c r="M454" i="58"/>
  <c r="AN446" i="58" s="1"/>
  <c r="AP447" i="58" s="1"/>
  <c r="B463" i="58" s="1"/>
  <c r="S426" i="58"/>
  <c r="Y426" i="58"/>
  <c r="M426" i="58"/>
  <c r="AN419" i="58" s="1"/>
  <c r="AP420" i="58" s="1"/>
  <c r="B435" i="58" s="1"/>
  <c r="M399" i="58"/>
  <c r="AN387" i="58" s="1"/>
  <c r="S399" i="58"/>
  <c r="Y399" i="58"/>
  <c r="Y365" i="58"/>
  <c r="S365" i="58"/>
  <c r="M365" i="58"/>
  <c r="S340" i="58"/>
  <c r="Y340" i="58"/>
  <c r="M340" i="58"/>
  <c r="M180" i="58"/>
  <c r="S180" i="58"/>
  <c r="Y180" i="58"/>
  <c r="B449" i="46"/>
  <c r="B446" i="46"/>
  <c r="B426" i="46"/>
  <c r="AJ329" i="46"/>
  <c r="AJ324" i="46"/>
  <c r="AJ325" i="46"/>
  <c r="AJ326" i="46"/>
  <c r="AJ327" i="46"/>
  <c r="AJ328" i="46"/>
  <c r="AJ330" i="46"/>
  <c r="AJ331" i="46"/>
  <c r="AJ332" i="46"/>
  <c r="AJ333" i="46"/>
  <c r="AJ334" i="46"/>
  <c r="AJ335" i="46"/>
  <c r="AJ336" i="46"/>
  <c r="AJ337" i="46"/>
  <c r="AJ338" i="46"/>
  <c r="AJ339" i="46"/>
  <c r="AJ340" i="46"/>
  <c r="AJ341" i="46"/>
  <c r="AJ342" i="46"/>
  <c r="AJ343" i="46"/>
  <c r="AJ344" i="46"/>
  <c r="AJ345" i="46"/>
  <c r="AJ346" i="46"/>
  <c r="AJ347" i="46"/>
  <c r="AJ348" i="46"/>
  <c r="AJ349" i="46"/>
  <c r="AJ350" i="46"/>
  <c r="AJ351" i="46"/>
  <c r="AJ352" i="46"/>
  <c r="AJ353" i="46"/>
  <c r="AJ354" i="46"/>
  <c r="AJ355" i="46"/>
  <c r="AJ356" i="46"/>
  <c r="AJ357" i="46"/>
  <c r="AJ358" i="46"/>
  <c r="AJ359" i="46"/>
  <c r="AJ360" i="46"/>
  <c r="AJ361" i="46"/>
  <c r="AJ362" i="46"/>
  <c r="AJ363" i="46"/>
  <c r="AJ364" i="46"/>
  <c r="AJ365" i="46"/>
  <c r="AJ366" i="46"/>
  <c r="AJ367" i="46"/>
  <c r="AJ368" i="46"/>
  <c r="AJ369" i="46"/>
  <c r="AJ370" i="46"/>
  <c r="AJ371" i="46"/>
  <c r="AJ372" i="46"/>
  <c r="AJ373" i="46"/>
  <c r="AJ374" i="46"/>
  <c r="AJ375" i="46"/>
  <c r="AJ376" i="46"/>
  <c r="AJ377" i="46"/>
  <c r="AJ378" i="46"/>
  <c r="AJ379" i="46"/>
  <c r="AJ380" i="46"/>
  <c r="AJ381" i="46"/>
  <c r="AJ382" i="46"/>
  <c r="AJ383" i="46"/>
  <c r="AJ384" i="46"/>
  <c r="AJ385" i="46"/>
  <c r="AJ386" i="46"/>
  <c r="AJ387" i="46"/>
  <c r="AJ388" i="46"/>
  <c r="AJ389" i="46"/>
  <c r="AJ390" i="46"/>
  <c r="AJ391" i="46"/>
  <c r="AJ392" i="46"/>
  <c r="AJ393" i="46"/>
  <c r="AJ394" i="46"/>
  <c r="AJ395" i="46"/>
  <c r="AJ396" i="46"/>
  <c r="AJ397" i="46"/>
  <c r="AJ398" i="46"/>
  <c r="AJ399" i="46"/>
  <c r="AJ400" i="46"/>
  <c r="AJ401" i="46"/>
  <c r="AJ402" i="46"/>
  <c r="AJ403" i="46"/>
  <c r="AJ404" i="46"/>
  <c r="AJ405" i="46"/>
  <c r="AJ406" i="46"/>
  <c r="AJ407" i="46"/>
  <c r="AJ408" i="46"/>
  <c r="AJ409" i="46"/>
  <c r="AJ410" i="46"/>
  <c r="AJ411" i="46"/>
  <c r="AJ412" i="46"/>
  <c r="AJ413" i="46"/>
  <c r="AJ414" i="46"/>
  <c r="AJ415" i="46"/>
  <c r="AJ416" i="46"/>
  <c r="AJ417" i="46"/>
  <c r="AJ418" i="46"/>
  <c r="AJ419" i="46"/>
  <c r="AJ420" i="46"/>
  <c r="AJ421" i="46"/>
  <c r="AJ422" i="46"/>
  <c r="AJ423" i="46"/>
  <c r="AI324" i="46"/>
  <c r="AG324" i="46"/>
  <c r="AP424" i="46"/>
  <c r="AK424" i="46"/>
  <c r="AO424" i="46"/>
  <c r="AM424" i="46"/>
  <c r="AU325" i="46"/>
  <c r="AW325" i="46"/>
  <c r="AY325" i="46"/>
  <c r="BA325" i="46"/>
  <c r="BC325" i="46"/>
  <c r="BE325" i="46"/>
  <c r="AU326" i="46"/>
  <c r="AW326" i="46"/>
  <c r="AY326" i="46"/>
  <c r="BA326" i="46"/>
  <c r="BC326" i="46"/>
  <c r="BE326" i="46"/>
  <c r="AU327" i="46"/>
  <c r="AW327" i="46"/>
  <c r="AY327" i="46"/>
  <c r="BA327" i="46"/>
  <c r="BC327" i="46"/>
  <c r="BE327" i="46"/>
  <c r="AU328" i="46"/>
  <c r="AW328" i="46"/>
  <c r="AY328" i="46"/>
  <c r="BA328" i="46"/>
  <c r="BC328" i="46"/>
  <c r="BE328" i="46"/>
  <c r="AU329" i="46"/>
  <c r="AW329" i="46"/>
  <c r="AY329" i="46"/>
  <c r="BA329" i="46"/>
  <c r="BC329" i="46"/>
  <c r="BE329" i="46"/>
  <c r="AU330" i="46"/>
  <c r="AW330" i="46"/>
  <c r="AY330" i="46"/>
  <c r="BA330" i="46"/>
  <c r="BC330" i="46"/>
  <c r="BE330" i="46"/>
  <c r="AU331" i="46"/>
  <c r="AW331" i="46"/>
  <c r="AY331" i="46"/>
  <c r="BA331" i="46"/>
  <c r="BC331" i="46"/>
  <c r="BE331" i="46"/>
  <c r="AU332" i="46"/>
  <c r="AW332" i="46"/>
  <c r="AY332" i="46"/>
  <c r="BA332" i="46"/>
  <c r="BC332" i="46"/>
  <c r="BE332" i="46"/>
  <c r="AU333" i="46"/>
  <c r="AW333" i="46"/>
  <c r="AY333" i="46"/>
  <c r="BA333" i="46"/>
  <c r="BC333" i="46"/>
  <c r="BE333" i="46"/>
  <c r="AU334" i="46"/>
  <c r="AW334" i="46"/>
  <c r="AY334" i="46"/>
  <c r="BA334" i="46"/>
  <c r="BC334" i="46"/>
  <c r="BE334" i="46"/>
  <c r="AU335" i="46"/>
  <c r="AW335" i="46"/>
  <c r="AY335" i="46"/>
  <c r="BA335" i="46"/>
  <c r="BC335" i="46"/>
  <c r="BE335" i="46"/>
  <c r="AU336" i="46"/>
  <c r="AW336" i="46"/>
  <c r="AY336" i="46"/>
  <c r="BA336" i="46"/>
  <c r="BC336" i="46"/>
  <c r="BE336" i="46"/>
  <c r="AU337" i="46"/>
  <c r="AW337" i="46"/>
  <c r="AY337" i="46"/>
  <c r="BA337" i="46"/>
  <c r="BC337" i="46"/>
  <c r="BE337" i="46"/>
  <c r="AU338" i="46"/>
  <c r="AW338" i="46"/>
  <c r="AY338" i="46"/>
  <c r="BA338" i="46"/>
  <c r="BC338" i="46"/>
  <c r="BE338" i="46"/>
  <c r="AU339" i="46"/>
  <c r="AW339" i="46"/>
  <c r="AY339" i="46"/>
  <c r="BA339" i="46"/>
  <c r="BC339" i="46"/>
  <c r="BE339" i="46"/>
  <c r="AU340" i="46"/>
  <c r="AW340" i="46"/>
  <c r="AY340" i="46"/>
  <c r="BA340" i="46"/>
  <c r="BC340" i="46"/>
  <c r="BE340" i="46"/>
  <c r="AU341" i="46"/>
  <c r="AW341" i="46"/>
  <c r="AY341" i="46"/>
  <c r="BA341" i="46"/>
  <c r="BC341" i="46"/>
  <c r="BE341" i="46"/>
  <c r="AU342" i="46"/>
  <c r="AW342" i="46"/>
  <c r="AY342" i="46"/>
  <c r="BA342" i="46"/>
  <c r="BC342" i="46"/>
  <c r="BE342" i="46"/>
  <c r="AU343" i="46"/>
  <c r="AW343" i="46"/>
  <c r="AY343" i="46"/>
  <c r="BA343" i="46"/>
  <c r="BC343" i="46"/>
  <c r="BE343" i="46"/>
  <c r="AU344" i="46"/>
  <c r="AW344" i="46"/>
  <c r="AY344" i="46"/>
  <c r="BA344" i="46"/>
  <c r="BC344" i="46"/>
  <c r="BE344" i="46"/>
  <c r="AU345" i="46"/>
  <c r="AW345" i="46"/>
  <c r="AY345" i="46"/>
  <c r="BA345" i="46"/>
  <c r="BC345" i="46"/>
  <c r="BE345" i="46"/>
  <c r="AU346" i="46"/>
  <c r="AW346" i="46"/>
  <c r="AY346" i="46"/>
  <c r="BA346" i="46"/>
  <c r="BC346" i="46"/>
  <c r="BE346" i="46"/>
  <c r="AU347" i="46"/>
  <c r="AW347" i="46"/>
  <c r="AY347" i="46"/>
  <c r="BA347" i="46"/>
  <c r="BC347" i="46"/>
  <c r="BE347" i="46"/>
  <c r="AU348" i="46"/>
  <c r="AW348" i="46"/>
  <c r="AY348" i="46"/>
  <c r="BA348" i="46"/>
  <c r="BC348" i="46"/>
  <c r="BE348" i="46"/>
  <c r="AU349" i="46"/>
  <c r="AW349" i="46"/>
  <c r="AY349" i="46"/>
  <c r="BA349" i="46"/>
  <c r="BC349" i="46"/>
  <c r="BE349" i="46"/>
  <c r="AU350" i="46"/>
  <c r="AW350" i="46"/>
  <c r="AY350" i="46"/>
  <c r="BA350" i="46"/>
  <c r="BC350" i="46"/>
  <c r="BE350" i="46"/>
  <c r="AU351" i="46"/>
  <c r="AW351" i="46"/>
  <c r="AY351" i="46"/>
  <c r="BA351" i="46"/>
  <c r="BC351" i="46"/>
  <c r="BE351" i="46"/>
  <c r="AU352" i="46"/>
  <c r="AW352" i="46"/>
  <c r="AY352" i="46"/>
  <c r="BA352" i="46"/>
  <c r="BC352" i="46"/>
  <c r="BE352" i="46"/>
  <c r="AU353" i="46"/>
  <c r="AW353" i="46"/>
  <c r="AY353" i="46"/>
  <c r="BA353" i="46"/>
  <c r="BC353" i="46"/>
  <c r="BE353" i="46"/>
  <c r="AU354" i="46"/>
  <c r="AW354" i="46"/>
  <c r="AY354" i="46"/>
  <c r="BA354" i="46"/>
  <c r="BC354" i="46"/>
  <c r="BE354" i="46"/>
  <c r="AU355" i="46"/>
  <c r="AW355" i="46"/>
  <c r="AY355" i="46"/>
  <c r="BA355" i="46"/>
  <c r="BC355" i="46"/>
  <c r="BE355" i="46"/>
  <c r="AU356" i="46"/>
  <c r="AW356" i="46"/>
  <c r="AY356" i="46"/>
  <c r="BA356" i="46"/>
  <c r="BC356" i="46"/>
  <c r="BE356" i="46"/>
  <c r="AU357" i="46"/>
  <c r="AW357" i="46"/>
  <c r="AY357" i="46"/>
  <c r="BA357" i="46"/>
  <c r="BC357" i="46"/>
  <c r="BE357" i="46"/>
  <c r="AU358" i="46"/>
  <c r="AW358" i="46"/>
  <c r="AY358" i="46"/>
  <c r="BA358" i="46"/>
  <c r="BC358" i="46"/>
  <c r="BE358" i="46"/>
  <c r="AU359" i="46"/>
  <c r="AW359" i="46"/>
  <c r="AY359" i="46"/>
  <c r="BA359" i="46"/>
  <c r="BC359" i="46"/>
  <c r="BE359" i="46"/>
  <c r="AU360" i="46"/>
  <c r="AW360" i="46"/>
  <c r="AY360" i="46"/>
  <c r="BA360" i="46"/>
  <c r="BC360" i="46"/>
  <c r="BE360" i="46"/>
  <c r="AU361" i="46"/>
  <c r="AW361" i="46"/>
  <c r="AY361" i="46"/>
  <c r="BA361" i="46"/>
  <c r="BC361" i="46"/>
  <c r="BE361" i="46"/>
  <c r="AU362" i="46"/>
  <c r="AW362" i="46"/>
  <c r="AY362" i="46"/>
  <c r="BA362" i="46"/>
  <c r="BC362" i="46"/>
  <c r="BE362" i="46"/>
  <c r="AU363" i="46"/>
  <c r="AW363" i="46"/>
  <c r="AY363" i="46"/>
  <c r="BA363" i="46"/>
  <c r="BC363" i="46"/>
  <c r="BE363" i="46"/>
  <c r="AU364" i="46"/>
  <c r="AW364" i="46"/>
  <c r="AY364" i="46"/>
  <c r="BA364" i="46"/>
  <c r="BC364" i="46"/>
  <c r="BE364" i="46"/>
  <c r="AU365" i="46"/>
  <c r="AW365" i="46"/>
  <c r="AY365" i="46"/>
  <c r="BA365" i="46"/>
  <c r="BC365" i="46"/>
  <c r="BE365" i="46"/>
  <c r="AU366" i="46"/>
  <c r="AW366" i="46"/>
  <c r="AY366" i="46"/>
  <c r="BA366" i="46"/>
  <c r="BC366" i="46"/>
  <c r="BE366" i="46"/>
  <c r="AU367" i="46"/>
  <c r="AW367" i="46"/>
  <c r="AY367" i="46"/>
  <c r="BA367" i="46"/>
  <c r="BC367" i="46"/>
  <c r="BE367" i="46"/>
  <c r="AU368" i="46"/>
  <c r="AW368" i="46"/>
  <c r="AY368" i="46"/>
  <c r="BA368" i="46"/>
  <c r="BC368" i="46"/>
  <c r="BE368" i="46"/>
  <c r="AU369" i="46"/>
  <c r="AW369" i="46"/>
  <c r="AY369" i="46"/>
  <c r="BA369" i="46"/>
  <c r="BC369" i="46"/>
  <c r="BE369" i="46"/>
  <c r="AU370" i="46"/>
  <c r="AW370" i="46"/>
  <c r="AY370" i="46"/>
  <c r="BA370" i="46"/>
  <c r="BC370" i="46"/>
  <c r="BE370" i="46"/>
  <c r="AU371" i="46"/>
  <c r="AW371" i="46"/>
  <c r="AY371" i="46"/>
  <c r="BA371" i="46"/>
  <c r="BC371" i="46"/>
  <c r="BE371" i="46"/>
  <c r="AU372" i="46"/>
  <c r="AW372" i="46"/>
  <c r="AY372" i="46"/>
  <c r="BA372" i="46"/>
  <c r="BC372" i="46"/>
  <c r="BE372" i="46"/>
  <c r="AU373" i="46"/>
  <c r="AW373" i="46"/>
  <c r="AY373" i="46"/>
  <c r="BA373" i="46"/>
  <c r="BC373" i="46"/>
  <c r="BE373" i="46"/>
  <c r="AU374" i="46"/>
  <c r="AW374" i="46"/>
  <c r="AY374" i="46"/>
  <c r="BA374" i="46"/>
  <c r="BC374" i="46"/>
  <c r="BE374" i="46"/>
  <c r="AU375" i="46"/>
  <c r="AW375" i="46"/>
  <c r="AY375" i="46"/>
  <c r="BA375" i="46"/>
  <c r="BC375" i="46"/>
  <c r="BE375" i="46"/>
  <c r="AU376" i="46"/>
  <c r="AW376" i="46"/>
  <c r="AY376" i="46"/>
  <c r="BA376" i="46"/>
  <c r="BC376" i="46"/>
  <c r="BE376" i="46"/>
  <c r="AU377" i="46"/>
  <c r="AW377" i="46"/>
  <c r="AY377" i="46"/>
  <c r="BA377" i="46"/>
  <c r="BC377" i="46"/>
  <c r="BE377" i="46"/>
  <c r="AU378" i="46"/>
  <c r="AW378" i="46"/>
  <c r="AY378" i="46"/>
  <c r="BA378" i="46"/>
  <c r="BC378" i="46"/>
  <c r="BE378" i="46"/>
  <c r="AU379" i="46"/>
  <c r="AW379" i="46"/>
  <c r="AY379" i="46"/>
  <c r="BA379" i="46"/>
  <c r="BC379" i="46"/>
  <c r="BE379" i="46"/>
  <c r="AU380" i="46"/>
  <c r="AW380" i="46"/>
  <c r="AY380" i="46"/>
  <c r="BA380" i="46"/>
  <c r="BC380" i="46"/>
  <c r="BE380" i="46"/>
  <c r="AU381" i="46"/>
  <c r="AW381" i="46"/>
  <c r="AY381" i="46"/>
  <c r="BA381" i="46"/>
  <c r="BC381" i="46"/>
  <c r="BE381" i="46"/>
  <c r="AU382" i="46"/>
  <c r="AW382" i="46"/>
  <c r="AY382" i="46"/>
  <c r="BA382" i="46"/>
  <c r="BC382" i="46"/>
  <c r="BE382" i="46"/>
  <c r="AU383" i="46"/>
  <c r="AW383" i="46"/>
  <c r="AY383" i="46"/>
  <c r="BA383" i="46"/>
  <c r="BC383" i="46"/>
  <c r="BE383" i="46"/>
  <c r="AU384" i="46"/>
  <c r="AW384" i="46"/>
  <c r="AY384" i="46"/>
  <c r="BA384" i="46"/>
  <c r="BC384" i="46"/>
  <c r="BE384" i="46"/>
  <c r="AU385" i="46"/>
  <c r="AW385" i="46"/>
  <c r="AY385" i="46"/>
  <c r="BA385" i="46"/>
  <c r="BC385" i="46"/>
  <c r="BE385" i="46"/>
  <c r="AU386" i="46"/>
  <c r="AW386" i="46"/>
  <c r="AY386" i="46"/>
  <c r="BA386" i="46"/>
  <c r="BC386" i="46"/>
  <c r="BE386" i="46"/>
  <c r="AU387" i="46"/>
  <c r="AW387" i="46"/>
  <c r="AY387" i="46"/>
  <c r="BA387" i="46"/>
  <c r="BC387" i="46"/>
  <c r="BE387" i="46"/>
  <c r="AU388" i="46"/>
  <c r="AW388" i="46"/>
  <c r="AY388" i="46"/>
  <c r="BA388" i="46"/>
  <c r="BC388" i="46"/>
  <c r="BE388" i="46"/>
  <c r="AU389" i="46"/>
  <c r="AW389" i="46"/>
  <c r="AY389" i="46"/>
  <c r="BA389" i="46"/>
  <c r="BC389" i="46"/>
  <c r="BE389" i="46"/>
  <c r="AU390" i="46"/>
  <c r="AW390" i="46"/>
  <c r="AY390" i="46"/>
  <c r="BA390" i="46"/>
  <c r="BC390" i="46"/>
  <c r="BE390" i="46"/>
  <c r="AU391" i="46"/>
  <c r="AW391" i="46"/>
  <c r="AY391" i="46"/>
  <c r="BA391" i="46"/>
  <c r="BC391" i="46"/>
  <c r="BE391" i="46"/>
  <c r="AU392" i="46"/>
  <c r="AW392" i="46"/>
  <c r="AY392" i="46"/>
  <c r="BA392" i="46"/>
  <c r="BC392" i="46"/>
  <c r="BE392" i="46"/>
  <c r="AU393" i="46"/>
  <c r="AW393" i="46"/>
  <c r="AY393" i="46"/>
  <c r="BA393" i="46"/>
  <c r="BC393" i="46"/>
  <c r="BE393" i="46"/>
  <c r="AU394" i="46"/>
  <c r="AW394" i="46"/>
  <c r="AY394" i="46"/>
  <c r="BA394" i="46"/>
  <c r="BC394" i="46"/>
  <c r="BE394" i="46"/>
  <c r="AU395" i="46"/>
  <c r="AW395" i="46"/>
  <c r="AY395" i="46"/>
  <c r="BA395" i="46"/>
  <c r="BC395" i="46"/>
  <c r="BE395" i="46"/>
  <c r="AU396" i="46"/>
  <c r="AW396" i="46"/>
  <c r="AY396" i="46"/>
  <c r="BA396" i="46"/>
  <c r="BC396" i="46"/>
  <c r="BE396" i="46"/>
  <c r="AU397" i="46"/>
  <c r="AW397" i="46"/>
  <c r="AY397" i="46"/>
  <c r="BA397" i="46"/>
  <c r="BC397" i="46"/>
  <c r="BE397" i="46"/>
  <c r="AU398" i="46"/>
  <c r="AW398" i="46"/>
  <c r="AY398" i="46"/>
  <c r="BA398" i="46"/>
  <c r="BC398" i="46"/>
  <c r="BE398" i="46"/>
  <c r="AU399" i="46"/>
  <c r="AW399" i="46"/>
  <c r="AY399" i="46"/>
  <c r="BA399" i="46"/>
  <c r="BC399" i="46"/>
  <c r="BE399" i="46"/>
  <c r="AU400" i="46"/>
  <c r="AW400" i="46"/>
  <c r="AY400" i="46"/>
  <c r="BA400" i="46"/>
  <c r="BC400" i="46"/>
  <c r="BE400" i="46"/>
  <c r="AU401" i="46"/>
  <c r="AW401" i="46"/>
  <c r="AY401" i="46"/>
  <c r="BA401" i="46"/>
  <c r="BC401" i="46"/>
  <c r="BE401" i="46"/>
  <c r="AU402" i="46"/>
  <c r="AW402" i="46"/>
  <c r="AY402" i="46"/>
  <c r="BA402" i="46"/>
  <c r="BC402" i="46"/>
  <c r="BE402" i="46"/>
  <c r="AU403" i="46"/>
  <c r="AW403" i="46"/>
  <c r="AY403" i="46"/>
  <c r="BA403" i="46"/>
  <c r="BC403" i="46"/>
  <c r="BE403" i="46"/>
  <c r="AU404" i="46"/>
  <c r="AW404" i="46"/>
  <c r="AY404" i="46"/>
  <c r="BA404" i="46"/>
  <c r="BC404" i="46"/>
  <c r="BE404" i="46"/>
  <c r="AU405" i="46"/>
  <c r="AW405" i="46"/>
  <c r="AY405" i="46"/>
  <c r="BA405" i="46"/>
  <c r="BC405" i="46"/>
  <c r="BE405" i="46"/>
  <c r="AU406" i="46"/>
  <c r="AW406" i="46"/>
  <c r="AY406" i="46"/>
  <c r="BA406" i="46"/>
  <c r="BC406" i="46"/>
  <c r="BE406" i="46"/>
  <c r="AU407" i="46"/>
  <c r="AW407" i="46"/>
  <c r="AY407" i="46"/>
  <c r="BA407" i="46"/>
  <c r="BC407" i="46"/>
  <c r="BE407" i="46"/>
  <c r="AU408" i="46"/>
  <c r="AW408" i="46"/>
  <c r="AY408" i="46"/>
  <c r="BA408" i="46"/>
  <c r="BC408" i="46"/>
  <c r="BE408" i="46"/>
  <c r="AU409" i="46"/>
  <c r="AW409" i="46"/>
  <c r="AY409" i="46"/>
  <c r="BA409" i="46"/>
  <c r="BC409" i="46"/>
  <c r="BE409" i="46"/>
  <c r="AU410" i="46"/>
  <c r="AW410" i="46"/>
  <c r="AY410" i="46"/>
  <c r="BA410" i="46"/>
  <c r="BC410" i="46"/>
  <c r="BE410" i="46"/>
  <c r="AU411" i="46"/>
  <c r="AW411" i="46"/>
  <c r="AY411" i="46"/>
  <c r="BA411" i="46"/>
  <c r="BC411" i="46"/>
  <c r="BE411" i="46"/>
  <c r="AU412" i="46"/>
  <c r="AW412" i="46"/>
  <c r="AY412" i="46"/>
  <c r="BA412" i="46"/>
  <c r="BC412" i="46"/>
  <c r="BE412" i="46"/>
  <c r="AU413" i="46"/>
  <c r="AW413" i="46"/>
  <c r="AY413" i="46"/>
  <c r="BA413" i="46"/>
  <c r="BC413" i="46"/>
  <c r="BE413" i="46"/>
  <c r="AU414" i="46"/>
  <c r="AW414" i="46"/>
  <c r="AY414" i="46"/>
  <c r="BA414" i="46"/>
  <c r="BC414" i="46"/>
  <c r="BE414" i="46"/>
  <c r="AU415" i="46"/>
  <c r="AW415" i="46"/>
  <c r="AY415" i="46"/>
  <c r="BA415" i="46"/>
  <c r="BC415" i="46"/>
  <c r="BE415" i="46"/>
  <c r="AU416" i="46"/>
  <c r="AW416" i="46"/>
  <c r="AY416" i="46"/>
  <c r="BA416" i="46"/>
  <c r="BC416" i="46"/>
  <c r="BE416" i="46"/>
  <c r="AU417" i="46"/>
  <c r="AW417" i="46"/>
  <c r="AY417" i="46"/>
  <c r="BA417" i="46"/>
  <c r="BC417" i="46"/>
  <c r="BE417" i="46"/>
  <c r="AU418" i="46"/>
  <c r="AW418" i="46"/>
  <c r="AY418" i="46"/>
  <c r="BA418" i="46"/>
  <c r="BC418" i="46"/>
  <c r="BE418" i="46"/>
  <c r="AU419" i="46"/>
  <c r="AW419" i="46"/>
  <c r="AY419" i="46"/>
  <c r="BA419" i="46"/>
  <c r="BC419" i="46"/>
  <c r="BE419" i="46"/>
  <c r="AU420" i="46"/>
  <c r="AW420" i="46"/>
  <c r="AY420" i="46"/>
  <c r="BA420" i="46"/>
  <c r="BC420" i="46"/>
  <c r="BE420" i="46"/>
  <c r="AU421" i="46"/>
  <c r="AW421" i="46"/>
  <c r="AY421" i="46"/>
  <c r="BA421" i="46"/>
  <c r="BC421" i="46"/>
  <c r="BE421" i="46"/>
  <c r="AU422" i="46"/>
  <c r="AW422" i="46"/>
  <c r="AY422" i="46"/>
  <c r="BA422" i="46"/>
  <c r="BC422" i="46"/>
  <c r="BE422" i="46"/>
  <c r="AU423" i="46"/>
  <c r="AW423" i="46"/>
  <c r="AY423" i="46"/>
  <c r="BA423" i="46"/>
  <c r="BC423" i="46"/>
  <c r="BE423" i="46"/>
  <c r="BC324" i="46"/>
  <c r="BD324" i="46" s="1"/>
  <c r="BA324" i="46"/>
  <c r="AY324" i="46"/>
  <c r="AW324" i="46"/>
  <c r="AX324" i="46" s="1"/>
  <c r="AU324" i="46"/>
  <c r="AK325" i="46"/>
  <c r="AL325" i="46"/>
  <c r="AM325" i="46" s="1"/>
  <c r="AN325" i="46"/>
  <c r="AO325" i="46"/>
  <c r="AK326" i="46"/>
  <c r="AL326" i="46"/>
  <c r="AM326" i="46" s="1"/>
  <c r="AN326" i="46"/>
  <c r="AO326" i="46" s="1"/>
  <c r="AK327" i="46"/>
  <c r="AL327" i="46"/>
  <c r="AM327" i="46" s="1"/>
  <c r="AN327" i="46"/>
  <c r="AO327" i="46" s="1"/>
  <c r="AK328" i="46"/>
  <c r="AL328" i="46"/>
  <c r="AM328" i="46"/>
  <c r="AN328" i="46"/>
  <c r="AO328" i="46" s="1"/>
  <c r="AK329" i="46"/>
  <c r="AL329" i="46"/>
  <c r="AM329" i="46" s="1"/>
  <c r="AN329" i="46"/>
  <c r="AO329" i="46"/>
  <c r="AK330" i="46"/>
  <c r="AL330" i="46"/>
  <c r="AM330" i="46" s="1"/>
  <c r="AN330" i="46"/>
  <c r="AO330" i="46" s="1"/>
  <c r="AK331" i="46"/>
  <c r="AL331" i="46"/>
  <c r="AM331" i="46" s="1"/>
  <c r="AN331" i="46"/>
  <c r="AO331" i="46" s="1"/>
  <c r="AK332" i="46"/>
  <c r="AL332" i="46"/>
  <c r="AM332" i="46"/>
  <c r="AN332" i="46"/>
  <c r="AO332" i="46" s="1"/>
  <c r="AK333" i="46"/>
  <c r="AL333" i="46"/>
  <c r="AM333" i="46" s="1"/>
  <c r="AN333" i="46"/>
  <c r="AO333" i="46"/>
  <c r="AK334" i="46"/>
  <c r="AL334" i="46"/>
  <c r="AM334" i="46" s="1"/>
  <c r="AN334" i="46"/>
  <c r="AO334" i="46" s="1"/>
  <c r="AK335" i="46"/>
  <c r="AL335" i="46"/>
  <c r="AM335" i="46" s="1"/>
  <c r="AN335" i="46"/>
  <c r="AO335" i="46" s="1"/>
  <c r="AK336" i="46"/>
  <c r="AL336" i="46"/>
  <c r="AM336" i="46"/>
  <c r="AN336" i="46"/>
  <c r="AO336" i="46" s="1"/>
  <c r="AK337" i="46"/>
  <c r="AL337" i="46"/>
  <c r="AM337" i="46" s="1"/>
  <c r="AN337" i="46"/>
  <c r="AO337" i="46"/>
  <c r="AK338" i="46"/>
  <c r="AL338" i="46"/>
  <c r="AM338" i="46" s="1"/>
  <c r="AN338" i="46"/>
  <c r="AO338" i="46" s="1"/>
  <c r="AK339" i="46"/>
  <c r="AL339" i="46"/>
  <c r="AM339" i="46" s="1"/>
  <c r="AN339" i="46"/>
  <c r="AO339" i="46" s="1"/>
  <c r="AK340" i="46"/>
  <c r="AL340" i="46"/>
  <c r="AM340" i="46"/>
  <c r="AN340" i="46"/>
  <c r="AO340" i="46" s="1"/>
  <c r="AK341" i="46"/>
  <c r="AL341" i="46"/>
  <c r="AM341" i="46" s="1"/>
  <c r="AN341" i="46"/>
  <c r="AO341" i="46"/>
  <c r="AK342" i="46"/>
  <c r="AL342" i="46"/>
  <c r="AM342" i="46" s="1"/>
  <c r="AN342" i="46"/>
  <c r="AO342" i="46" s="1"/>
  <c r="AK343" i="46"/>
  <c r="AL343" i="46"/>
  <c r="AM343" i="46" s="1"/>
  <c r="AN343" i="46"/>
  <c r="AO343" i="46" s="1"/>
  <c r="AK344" i="46"/>
  <c r="AL344" i="46"/>
  <c r="AM344" i="46"/>
  <c r="AN344" i="46"/>
  <c r="AO344" i="46" s="1"/>
  <c r="AK345" i="46"/>
  <c r="AL345" i="46"/>
  <c r="AM345" i="46" s="1"/>
  <c r="AN345" i="46"/>
  <c r="AO345" i="46"/>
  <c r="AK346" i="46"/>
  <c r="AL346" i="46"/>
  <c r="AM346" i="46" s="1"/>
  <c r="AN346" i="46"/>
  <c r="AO346" i="46" s="1"/>
  <c r="AK347" i="46"/>
  <c r="AL347" i="46"/>
  <c r="AM347" i="46" s="1"/>
  <c r="AN347" i="46"/>
  <c r="AO347" i="46" s="1"/>
  <c r="AK348" i="46"/>
  <c r="AL348" i="46"/>
  <c r="AM348" i="46"/>
  <c r="AN348" i="46"/>
  <c r="AO348" i="46" s="1"/>
  <c r="AK349" i="46"/>
  <c r="AL349" i="46"/>
  <c r="AM349" i="46" s="1"/>
  <c r="AN349" i="46"/>
  <c r="AO349" i="46"/>
  <c r="AK350" i="46"/>
  <c r="AL350" i="46"/>
  <c r="AM350" i="46" s="1"/>
  <c r="AN350" i="46"/>
  <c r="AO350" i="46" s="1"/>
  <c r="AK351" i="46"/>
  <c r="AL351" i="46"/>
  <c r="AM351" i="46" s="1"/>
  <c r="AN351" i="46"/>
  <c r="AO351" i="46" s="1"/>
  <c r="AK352" i="46"/>
  <c r="AL352" i="46"/>
  <c r="AM352" i="46"/>
  <c r="AN352" i="46"/>
  <c r="AO352" i="46" s="1"/>
  <c r="AK353" i="46"/>
  <c r="AL353" i="46"/>
  <c r="AM353" i="46" s="1"/>
  <c r="AN353" i="46"/>
  <c r="AO353" i="46"/>
  <c r="AK354" i="46"/>
  <c r="AL354" i="46"/>
  <c r="AM354" i="46" s="1"/>
  <c r="AN354" i="46"/>
  <c r="AO354" i="46" s="1"/>
  <c r="AK355" i="46"/>
  <c r="AL355" i="46"/>
  <c r="AM355" i="46" s="1"/>
  <c r="AN355" i="46"/>
  <c r="AO355" i="46" s="1"/>
  <c r="AK356" i="46"/>
  <c r="AL356" i="46"/>
  <c r="AM356" i="46"/>
  <c r="AN356" i="46"/>
  <c r="AO356" i="46" s="1"/>
  <c r="AK357" i="46"/>
  <c r="AL357" i="46"/>
  <c r="AM357" i="46" s="1"/>
  <c r="AN357" i="46"/>
  <c r="AO357" i="46"/>
  <c r="AK358" i="46"/>
  <c r="AL358" i="46"/>
  <c r="AM358" i="46" s="1"/>
  <c r="AN358" i="46"/>
  <c r="AO358" i="46" s="1"/>
  <c r="AK359" i="46"/>
  <c r="AL359" i="46"/>
  <c r="AM359" i="46" s="1"/>
  <c r="AN359" i="46"/>
  <c r="AO359" i="46" s="1"/>
  <c r="AK360" i="46"/>
  <c r="AL360" i="46"/>
  <c r="AM360" i="46"/>
  <c r="AN360" i="46"/>
  <c r="AO360" i="46" s="1"/>
  <c r="AK361" i="46"/>
  <c r="AL361" i="46"/>
  <c r="AM361" i="46" s="1"/>
  <c r="AN361" i="46"/>
  <c r="AO361" i="46"/>
  <c r="AK362" i="46"/>
  <c r="AL362" i="46"/>
  <c r="AM362" i="46" s="1"/>
  <c r="AN362" i="46"/>
  <c r="AO362" i="46" s="1"/>
  <c r="AK363" i="46"/>
  <c r="AL363" i="46"/>
  <c r="AM363" i="46" s="1"/>
  <c r="AN363" i="46"/>
  <c r="AO363" i="46" s="1"/>
  <c r="AK364" i="46"/>
  <c r="AL364" i="46"/>
  <c r="AM364" i="46"/>
  <c r="AN364" i="46"/>
  <c r="AO364" i="46" s="1"/>
  <c r="AK365" i="46"/>
  <c r="AL365" i="46"/>
  <c r="AM365" i="46" s="1"/>
  <c r="AN365" i="46"/>
  <c r="AO365" i="46"/>
  <c r="AK366" i="46"/>
  <c r="AL366" i="46"/>
  <c r="AM366" i="46" s="1"/>
  <c r="AN366" i="46"/>
  <c r="AO366" i="46" s="1"/>
  <c r="AK367" i="46"/>
  <c r="AL367" i="46"/>
  <c r="AM367" i="46" s="1"/>
  <c r="AN367" i="46"/>
  <c r="AO367" i="46" s="1"/>
  <c r="AK368" i="46"/>
  <c r="AL368" i="46"/>
  <c r="AM368" i="46"/>
  <c r="AN368" i="46"/>
  <c r="AO368" i="46" s="1"/>
  <c r="AK369" i="46"/>
  <c r="AL369" i="46"/>
  <c r="AM369" i="46" s="1"/>
  <c r="AN369" i="46"/>
  <c r="AO369" i="46"/>
  <c r="AK370" i="46"/>
  <c r="AL370" i="46"/>
  <c r="AM370" i="46" s="1"/>
  <c r="AN370" i="46"/>
  <c r="AO370" i="46" s="1"/>
  <c r="AK371" i="46"/>
  <c r="AL371" i="46"/>
  <c r="AM371" i="46" s="1"/>
  <c r="AN371" i="46"/>
  <c r="AO371" i="46" s="1"/>
  <c r="AK372" i="46"/>
  <c r="AL372" i="46"/>
  <c r="AM372" i="46"/>
  <c r="AN372" i="46"/>
  <c r="AO372" i="46" s="1"/>
  <c r="AK373" i="46"/>
  <c r="AL373" i="46"/>
  <c r="AM373" i="46" s="1"/>
  <c r="AN373" i="46"/>
  <c r="AO373" i="46"/>
  <c r="AK374" i="46"/>
  <c r="AL374" i="46"/>
  <c r="AM374" i="46" s="1"/>
  <c r="AN374" i="46"/>
  <c r="AO374" i="46" s="1"/>
  <c r="AK375" i="46"/>
  <c r="AL375" i="46"/>
  <c r="AM375" i="46" s="1"/>
  <c r="AN375" i="46"/>
  <c r="AO375" i="46" s="1"/>
  <c r="AK376" i="46"/>
  <c r="AL376" i="46"/>
  <c r="AM376" i="46"/>
  <c r="AN376" i="46"/>
  <c r="AO376" i="46" s="1"/>
  <c r="AK377" i="46"/>
  <c r="AL377" i="46"/>
  <c r="AM377" i="46" s="1"/>
  <c r="AN377" i="46"/>
  <c r="AO377" i="46"/>
  <c r="AK378" i="46"/>
  <c r="AL378" i="46"/>
  <c r="AM378" i="46" s="1"/>
  <c r="AN378" i="46"/>
  <c r="AO378" i="46" s="1"/>
  <c r="AK379" i="46"/>
  <c r="AL379" i="46"/>
  <c r="AM379" i="46" s="1"/>
  <c r="AN379" i="46"/>
  <c r="AO379" i="46" s="1"/>
  <c r="AK380" i="46"/>
  <c r="AL380" i="46"/>
  <c r="AM380" i="46"/>
  <c r="AN380" i="46"/>
  <c r="AO380" i="46" s="1"/>
  <c r="AK381" i="46"/>
  <c r="AL381" i="46"/>
  <c r="AM381" i="46" s="1"/>
  <c r="AN381" i="46"/>
  <c r="AO381" i="46"/>
  <c r="AK382" i="46"/>
  <c r="AL382" i="46"/>
  <c r="AM382" i="46" s="1"/>
  <c r="AN382" i="46"/>
  <c r="AO382" i="46" s="1"/>
  <c r="AK383" i="46"/>
  <c r="AL383" i="46"/>
  <c r="AM383" i="46" s="1"/>
  <c r="AN383" i="46"/>
  <c r="AO383" i="46" s="1"/>
  <c r="AK384" i="46"/>
  <c r="AL384" i="46"/>
  <c r="AM384" i="46"/>
  <c r="AN384" i="46"/>
  <c r="AO384" i="46" s="1"/>
  <c r="AK385" i="46"/>
  <c r="AL385" i="46"/>
  <c r="AM385" i="46" s="1"/>
  <c r="AN385" i="46"/>
  <c r="AO385" i="46"/>
  <c r="AK386" i="46"/>
  <c r="AL386" i="46"/>
  <c r="AM386" i="46" s="1"/>
  <c r="AN386" i="46"/>
  <c r="AO386" i="46" s="1"/>
  <c r="AK387" i="46"/>
  <c r="AL387" i="46"/>
  <c r="AM387" i="46" s="1"/>
  <c r="AN387" i="46"/>
  <c r="AO387" i="46" s="1"/>
  <c r="AK388" i="46"/>
  <c r="AL388" i="46"/>
  <c r="AM388" i="46"/>
  <c r="AN388" i="46"/>
  <c r="AO388" i="46" s="1"/>
  <c r="AK389" i="46"/>
  <c r="AL389" i="46"/>
  <c r="AM389" i="46" s="1"/>
  <c r="AN389" i="46"/>
  <c r="AO389" i="46"/>
  <c r="AK390" i="46"/>
  <c r="AL390" i="46"/>
  <c r="AM390" i="46" s="1"/>
  <c r="AN390" i="46"/>
  <c r="AO390" i="46" s="1"/>
  <c r="AK391" i="46"/>
  <c r="AL391" i="46"/>
  <c r="AM391" i="46" s="1"/>
  <c r="AN391" i="46"/>
  <c r="AO391" i="46" s="1"/>
  <c r="AK392" i="46"/>
  <c r="AL392" i="46"/>
  <c r="AM392" i="46"/>
  <c r="AN392" i="46"/>
  <c r="AO392" i="46" s="1"/>
  <c r="AK393" i="46"/>
  <c r="AL393" i="46"/>
  <c r="AM393" i="46" s="1"/>
  <c r="AN393" i="46"/>
  <c r="AO393" i="46"/>
  <c r="AK394" i="46"/>
  <c r="AL394" i="46"/>
  <c r="AM394" i="46" s="1"/>
  <c r="AN394" i="46"/>
  <c r="AO394" i="46" s="1"/>
  <c r="AK395" i="46"/>
  <c r="AL395" i="46"/>
  <c r="AM395" i="46" s="1"/>
  <c r="AN395" i="46"/>
  <c r="AO395" i="46" s="1"/>
  <c r="AK396" i="46"/>
  <c r="AL396" i="46"/>
  <c r="AM396" i="46"/>
  <c r="AN396" i="46"/>
  <c r="AO396" i="46" s="1"/>
  <c r="AK397" i="46"/>
  <c r="AL397" i="46"/>
  <c r="AM397" i="46" s="1"/>
  <c r="AN397" i="46"/>
  <c r="AO397" i="46"/>
  <c r="AK398" i="46"/>
  <c r="AL398" i="46"/>
  <c r="AM398" i="46" s="1"/>
  <c r="AN398" i="46"/>
  <c r="AO398" i="46" s="1"/>
  <c r="AK399" i="46"/>
  <c r="AL399" i="46"/>
  <c r="AM399" i="46" s="1"/>
  <c r="AN399" i="46"/>
  <c r="AO399" i="46" s="1"/>
  <c r="AK400" i="46"/>
  <c r="AL400" i="46"/>
  <c r="AM400" i="46"/>
  <c r="AN400" i="46"/>
  <c r="AO400" i="46" s="1"/>
  <c r="AK401" i="46"/>
  <c r="AL401" i="46"/>
  <c r="AM401" i="46" s="1"/>
  <c r="AN401" i="46"/>
  <c r="AO401" i="46"/>
  <c r="AK402" i="46"/>
  <c r="AL402" i="46"/>
  <c r="AM402" i="46" s="1"/>
  <c r="AN402" i="46"/>
  <c r="AO402" i="46" s="1"/>
  <c r="AK403" i="46"/>
  <c r="AL403" i="46"/>
  <c r="AM403" i="46" s="1"/>
  <c r="AN403" i="46"/>
  <c r="AO403" i="46" s="1"/>
  <c r="AK404" i="46"/>
  <c r="AL404" i="46"/>
  <c r="AM404" i="46"/>
  <c r="AN404" i="46"/>
  <c r="AO404" i="46" s="1"/>
  <c r="AK405" i="46"/>
  <c r="AL405" i="46"/>
  <c r="AM405" i="46" s="1"/>
  <c r="AN405" i="46"/>
  <c r="AO405" i="46"/>
  <c r="AK406" i="46"/>
  <c r="AL406" i="46"/>
  <c r="AM406" i="46" s="1"/>
  <c r="AN406" i="46"/>
  <c r="AO406" i="46" s="1"/>
  <c r="AK407" i="46"/>
  <c r="AL407" i="46"/>
  <c r="AM407" i="46" s="1"/>
  <c r="AN407" i="46"/>
  <c r="AO407" i="46" s="1"/>
  <c r="AK408" i="46"/>
  <c r="AL408" i="46"/>
  <c r="AM408" i="46"/>
  <c r="AN408" i="46"/>
  <c r="AO408" i="46" s="1"/>
  <c r="AK409" i="46"/>
  <c r="AL409" i="46"/>
  <c r="AM409" i="46" s="1"/>
  <c r="AN409" i="46"/>
  <c r="AO409" i="46"/>
  <c r="AK410" i="46"/>
  <c r="AL410" i="46"/>
  <c r="AM410" i="46" s="1"/>
  <c r="AN410" i="46"/>
  <c r="AO410" i="46" s="1"/>
  <c r="AK411" i="46"/>
  <c r="AL411" i="46"/>
  <c r="AM411" i="46" s="1"/>
  <c r="AN411" i="46"/>
  <c r="AO411" i="46" s="1"/>
  <c r="AK412" i="46"/>
  <c r="AL412" i="46"/>
  <c r="AM412" i="46"/>
  <c r="AN412" i="46"/>
  <c r="AO412" i="46" s="1"/>
  <c r="AK413" i="46"/>
  <c r="AL413" i="46"/>
  <c r="AM413" i="46" s="1"/>
  <c r="AN413" i="46"/>
  <c r="AO413" i="46"/>
  <c r="AK414" i="46"/>
  <c r="AL414" i="46"/>
  <c r="AM414" i="46" s="1"/>
  <c r="AN414" i="46"/>
  <c r="AO414" i="46" s="1"/>
  <c r="AK415" i="46"/>
  <c r="AL415" i="46"/>
  <c r="AM415" i="46" s="1"/>
  <c r="AN415" i="46"/>
  <c r="AO415" i="46" s="1"/>
  <c r="AK416" i="46"/>
  <c r="AL416" i="46"/>
  <c r="AM416" i="46"/>
  <c r="AN416" i="46"/>
  <c r="AO416" i="46" s="1"/>
  <c r="AK417" i="46"/>
  <c r="AL417" i="46"/>
  <c r="AM417" i="46" s="1"/>
  <c r="AN417" i="46"/>
  <c r="AO417" i="46"/>
  <c r="AK418" i="46"/>
  <c r="AL418" i="46"/>
  <c r="AM418" i="46" s="1"/>
  <c r="AN418" i="46"/>
  <c r="AO418" i="46" s="1"/>
  <c r="AK419" i="46"/>
  <c r="AL419" i="46"/>
  <c r="AM419" i="46" s="1"/>
  <c r="AN419" i="46"/>
  <c r="AO419" i="46" s="1"/>
  <c r="AK420" i="46"/>
  <c r="AL420" i="46"/>
  <c r="AM420" i="46"/>
  <c r="AN420" i="46"/>
  <c r="AO420" i="46" s="1"/>
  <c r="AK421" i="46"/>
  <c r="AL421" i="46"/>
  <c r="AM421" i="46" s="1"/>
  <c r="AN421" i="46"/>
  <c r="AO421" i="46"/>
  <c r="AK422" i="46"/>
  <c r="AL422" i="46"/>
  <c r="AM422" i="46" s="1"/>
  <c r="AN422" i="46"/>
  <c r="AO422" i="46" s="1"/>
  <c r="AK423" i="46"/>
  <c r="AL423" i="46"/>
  <c r="AM423" i="46" s="1"/>
  <c r="AN423" i="46"/>
  <c r="AO423" i="46" s="1"/>
  <c r="AG325" i="46"/>
  <c r="AH325" i="46"/>
  <c r="AG326" i="46"/>
  <c r="AH326" i="46"/>
  <c r="AG327" i="46"/>
  <c r="AH327" i="46"/>
  <c r="AG328" i="46"/>
  <c r="AH328" i="46"/>
  <c r="AG329" i="46"/>
  <c r="AH329" i="46"/>
  <c r="AG330" i="46"/>
  <c r="AH330" i="46"/>
  <c r="AG331" i="46"/>
  <c r="AH331" i="46"/>
  <c r="AG332" i="46"/>
  <c r="AH332" i="46"/>
  <c r="AG333" i="46"/>
  <c r="AH333" i="46"/>
  <c r="AG334" i="46"/>
  <c r="AH334" i="46"/>
  <c r="AG335" i="46"/>
  <c r="AH335" i="46"/>
  <c r="AG336" i="46"/>
  <c r="AH336" i="46"/>
  <c r="AG337" i="46"/>
  <c r="AH337" i="46"/>
  <c r="AG338" i="46"/>
  <c r="AH338" i="46"/>
  <c r="AG339" i="46"/>
  <c r="AH339" i="46"/>
  <c r="AG340" i="46"/>
  <c r="AH340" i="46"/>
  <c r="AG341" i="46"/>
  <c r="AH341" i="46"/>
  <c r="AG342" i="46"/>
  <c r="AH342" i="46"/>
  <c r="AG343" i="46"/>
  <c r="AH343" i="46"/>
  <c r="AG344" i="46"/>
  <c r="AH344" i="46"/>
  <c r="AG345" i="46"/>
  <c r="AH345" i="46"/>
  <c r="AG346" i="46"/>
  <c r="AH346" i="46"/>
  <c r="AG347" i="46"/>
  <c r="AH347" i="46"/>
  <c r="AG348" i="46"/>
  <c r="AH348" i="46"/>
  <c r="AG349" i="46"/>
  <c r="AH349" i="46"/>
  <c r="AG350" i="46"/>
  <c r="AH350" i="46"/>
  <c r="AG351" i="46"/>
  <c r="AH351" i="46"/>
  <c r="AG352" i="46"/>
  <c r="AH352" i="46"/>
  <c r="AG353" i="46"/>
  <c r="AH353" i="46"/>
  <c r="AG354" i="46"/>
  <c r="AH354" i="46"/>
  <c r="AG355" i="46"/>
  <c r="AH355" i="46"/>
  <c r="AG356" i="46"/>
  <c r="AH356" i="46"/>
  <c r="AG357" i="46"/>
  <c r="AH357" i="46"/>
  <c r="AG358" i="46"/>
  <c r="AH358" i="46"/>
  <c r="AG359" i="46"/>
  <c r="AH359" i="46"/>
  <c r="AG360" i="46"/>
  <c r="AH360" i="46"/>
  <c r="AG361" i="46"/>
  <c r="AH361" i="46"/>
  <c r="AG362" i="46"/>
  <c r="AH362" i="46"/>
  <c r="AG363" i="46"/>
  <c r="AH363" i="46"/>
  <c r="AG364" i="46"/>
  <c r="AH364" i="46"/>
  <c r="AG365" i="46"/>
  <c r="AH365" i="46"/>
  <c r="AG366" i="46"/>
  <c r="AH366" i="46"/>
  <c r="AG367" i="46"/>
  <c r="AH367" i="46"/>
  <c r="AG368" i="46"/>
  <c r="AH368" i="46"/>
  <c r="AG369" i="46"/>
  <c r="AH369" i="46"/>
  <c r="AG370" i="46"/>
  <c r="AH370" i="46"/>
  <c r="AG371" i="46"/>
  <c r="AH371" i="46"/>
  <c r="AG372" i="46"/>
  <c r="AH372" i="46"/>
  <c r="AG373" i="46"/>
  <c r="AH373" i="46"/>
  <c r="AG374" i="46"/>
  <c r="AH374" i="46"/>
  <c r="AG375" i="46"/>
  <c r="AH375" i="46"/>
  <c r="AG376" i="46"/>
  <c r="AH376" i="46"/>
  <c r="AG377" i="46"/>
  <c r="AH377" i="46"/>
  <c r="AG378" i="46"/>
  <c r="AH378" i="46"/>
  <c r="AG379" i="46"/>
  <c r="AH379" i="46"/>
  <c r="AG380" i="46"/>
  <c r="AH380" i="46"/>
  <c r="AG381" i="46"/>
  <c r="AH381" i="46"/>
  <c r="AG382" i="46"/>
  <c r="AH382" i="46"/>
  <c r="AG383" i="46"/>
  <c r="AH383" i="46"/>
  <c r="AG384" i="46"/>
  <c r="AH384" i="46"/>
  <c r="AG385" i="46"/>
  <c r="AH385" i="46"/>
  <c r="AG386" i="46"/>
  <c r="AH386" i="46"/>
  <c r="AG387" i="46"/>
  <c r="AH387" i="46"/>
  <c r="AG388" i="46"/>
  <c r="AH388" i="46"/>
  <c r="AG389" i="46"/>
  <c r="AH389" i="46"/>
  <c r="AG390" i="46"/>
  <c r="AH390" i="46"/>
  <c r="AG391" i="46"/>
  <c r="AH391" i="46"/>
  <c r="AG392" i="46"/>
  <c r="AH392" i="46"/>
  <c r="AG393" i="46"/>
  <c r="AH393" i="46"/>
  <c r="AG394" i="46"/>
  <c r="AH394" i="46"/>
  <c r="AG395" i="46"/>
  <c r="AH395" i="46"/>
  <c r="AG396" i="46"/>
  <c r="AH396" i="46"/>
  <c r="AG397" i="46"/>
  <c r="AH397" i="46"/>
  <c r="AG398" i="46"/>
  <c r="AH398" i="46"/>
  <c r="AG399" i="46"/>
  <c r="AH399" i="46"/>
  <c r="AG400" i="46"/>
  <c r="AH400" i="46"/>
  <c r="AG401" i="46"/>
  <c r="AH401" i="46"/>
  <c r="AG402" i="46"/>
  <c r="AH402" i="46"/>
  <c r="AG403" i="46"/>
  <c r="AH403" i="46"/>
  <c r="AG404" i="46"/>
  <c r="AH404" i="46"/>
  <c r="AG405" i="46"/>
  <c r="AH405" i="46"/>
  <c r="AG406" i="46"/>
  <c r="AH406" i="46"/>
  <c r="AG407" i="46"/>
  <c r="AH407" i="46"/>
  <c r="AG408" i="46"/>
  <c r="AH408" i="46"/>
  <c r="AG409" i="46"/>
  <c r="AH409" i="46"/>
  <c r="AG410" i="46"/>
  <c r="AH410" i="46"/>
  <c r="AG411" i="46"/>
  <c r="AH411" i="46"/>
  <c r="AG412" i="46"/>
  <c r="AH412" i="46"/>
  <c r="AG413" i="46"/>
  <c r="AH413" i="46"/>
  <c r="AG414" i="46"/>
  <c r="AH414" i="46"/>
  <c r="AG415" i="46"/>
  <c r="AH415" i="46"/>
  <c r="AG416" i="46"/>
  <c r="AH416" i="46"/>
  <c r="AG417" i="46"/>
  <c r="AH417" i="46"/>
  <c r="AG418" i="46"/>
  <c r="AH418" i="46"/>
  <c r="AG419" i="46"/>
  <c r="AH419" i="46"/>
  <c r="AG420" i="46"/>
  <c r="AH420" i="46"/>
  <c r="AG421" i="46"/>
  <c r="AH421" i="46"/>
  <c r="AG422" i="46"/>
  <c r="AH422" i="46"/>
  <c r="AG423" i="46"/>
  <c r="AH423" i="46"/>
  <c r="AS325" i="46"/>
  <c r="AS326" i="46"/>
  <c r="AS327" i="46"/>
  <c r="AS328" i="46"/>
  <c r="AS329" i="46"/>
  <c r="AS330" i="46"/>
  <c r="AS331" i="46"/>
  <c r="AS332" i="46"/>
  <c r="AS333" i="46"/>
  <c r="AS334" i="46"/>
  <c r="AS335" i="46"/>
  <c r="AS336" i="46"/>
  <c r="AS337" i="46"/>
  <c r="AS338" i="46"/>
  <c r="AS339" i="46"/>
  <c r="AS340" i="46"/>
  <c r="AS341" i="46"/>
  <c r="AS342" i="46"/>
  <c r="AS343" i="46"/>
  <c r="AS344" i="46"/>
  <c r="AS345" i="46"/>
  <c r="AS346" i="46"/>
  <c r="AS347" i="46"/>
  <c r="AS348" i="46"/>
  <c r="AS349" i="46"/>
  <c r="AS350" i="46"/>
  <c r="AS351" i="46"/>
  <c r="AS352" i="46"/>
  <c r="AS353" i="46"/>
  <c r="AS354" i="46"/>
  <c r="AS355" i="46"/>
  <c r="AS356" i="46"/>
  <c r="AS357" i="46"/>
  <c r="AS358" i="46"/>
  <c r="AS359" i="46"/>
  <c r="AS360" i="46"/>
  <c r="AS361" i="46"/>
  <c r="AS362" i="46"/>
  <c r="AS363" i="46"/>
  <c r="AS364" i="46"/>
  <c r="AS365" i="46"/>
  <c r="AS366" i="46"/>
  <c r="AS367" i="46"/>
  <c r="AS368" i="46"/>
  <c r="AS369" i="46"/>
  <c r="AS370" i="46"/>
  <c r="AS371" i="46"/>
  <c r="AS372" i="46"/>
  <c r="AS373" i="46"/>
  <c r="AS374" i="46"/>
  <c r="AS375" i="46"/>
  <c r="AS376" i="46"/>
  <c r="AS377" i="46"/>
  <c r="AS378" i="46"/>
  <c r="AS379" i="46"/>
  <c r="AS380" i="46"/>
  <c r="AS381" i="46"/>
  <c r="AS382" i="46"/>
  <c r="AS383" i="46"/>
  <c r="AS384" i="46"/>
  <c r="AS385" i="46"/>
  <c r="AS386" i="46"/>
  <c r="AS387" i="46"/>
  <c r="AS388" i="46"/>
  <c r="AS389" i="46"/>
  <c r="AS390" i="46"/>
  <c r="AS391" i="46"/>
  <c r="AS392" i="46"/>
  <c r="AS393" i="46"/>
  <c r="AS394" i="46"/>
  <c r="AS395" i="46"/>
  <c r="AS396" i="46"/>
  <c r="AS397" i="46"/>
  <c r="AS398" i="46"/>
  <c r="AS399" i="46"/>
  <c r="AS400" i="46"/>
  <c r="AS401" i="46"/>
  <c r="AS402" i="46"/>
  <c r="AS403" i="46"/>
  <c r="AS404" i="46"/>
  <c r="AS405" i="46"/>
  <c r="AS406" i="46"/>
  <c r="AS407" i="46"/>
  <c r="AS408" i="46"/>
  <c r="AS409" i="46"/>
  <c r="AS410" i="46"/>
  <c r="AS411" i="46"/>
  <c r="AS412" i="46"/>
  <c r="AS413" i="46"/>
  <c r="AS414" i="46"/>
  <c r="AS415" i="46"/>
  <c r="AS416" i="46"/>
  <c r="AS417" i="46"/>
  <c r="AS418" i="46"/>
  <c r="AS419" i="46"/>
  <c r="AS420" i="46"/>
  <c r="AS421" i="46"/>
  <c r="AS422" i="46"/>
  <c r="AS423" i="46"/>
  <c r="AS324" i="46"/>
  <c r="AR324" i="46"/>
  <c r="AO324" i="46"/>
  <c r="AN324" i="46"/>
  <c r="AM324" i="46"/>
  <c r="AL324" i="46"/>
  <c r="AK324" i="46"/>
  <c r="AH324" i="46"/>
  <c r="AI328" i="46"/>
  <c r="BE324" i="46"/>
  <c r="BF324" i="46" s="1"/>
  <c r="B305" i="46"/>
  <c r="AJ300" i="46"/>
  <c r="B306" i="46" s="1"/>
  <c r="AH300" i="46"/>
  <c r="AG300" i="46"/>
  <c r="B304" i="46" s="1"/>
  <c r="AH260" i="46"/>
  <c r="AH259" i="46"/>
  <c r="AI259" i="46"/>
  <c r="AG260" i="46"/>
  <c r="AG261" i="46"/>
  <c r="AH261" i="46"/>
  <c r="AG262" i="46"/>
  <c r="AH262" i="46"/>
  <c r="AG263" i="46"/>
  <c r="AH263" i="46"/>
  <c r="AG264" i="46"/>
  <c r="AH264" i="46"/>
  <c r="AG265" i="46"/>
  <c r="AH265" i="46"/>
  <c r="AG266" i="46"/>
  <c r="AH266" i="46"/>
  <c r="AG259" i="46"/>
  <c r="B248" i="46"/>
  <c r="B247" i="46"/>
  <c r="B246" i="46"/>
  <c r="B231" i="46"/>
  <c r="AO220" i="46"/>
  <c r="AN220" i="46"/>
  <c r="AN221" i="46"/>
  <c r="AO221" i="46"/>
  <c r="AP221" i="46"/>
  <c r="AN222" i="46"/>
  <c r="AO222" i="46"/>
  <c r="AP222" i="46"/>
  <c r="AN223" i="46"/>
  <c r="AO223" i="46"/>
  <c r="AP223" i="46"/>
  <c r="AN224" i="46"/>
  <c r="AO224" i="46"/>
  <c r="AP224" i="46"/>
  <c r="AN225" i="46"/>
  <c r="AO225" i="46"/>
  <c r="AP225" i="46"/>
  <c r="AN226" i="46"/>
  <c r="AO226" i="46"/>
  <c r="AP226" i="46"/>
  <c r="AN227" i="46"/>
  <c r="AO227" i="46"/>
  <c r="AP227" i="46"/>
  <c r="AP220" i="46"/>
  <c r="AM227" i="46"/>
  <c r="AM221" i="46"/>
  <c r="AM222" i="46"/>
  <c r="AM223" i="46"/>
  <c r="AM224" i="46"/>
  <c r="AM228" i="46" s="1"/>
  <c r="AM225" i="46"/>
  <c r="AM226" i="46"/>
  <c r="AG221" i="46"/>
  <c r="AH221" i="46"/>
  <c r="AI221" i="46"/>
  <c r="AJ221" i="46"/>
  <c r="AG222" i="46"/>
  <c r="AH222" i="46"/>
  <c r="AI222" i="46"/>
  <c r="AJ222" i="46"/>
  <c r="AG223" i="46"/>
  <c r="AH223" i="46"/>
  <c r="AI223" i="46"/>
  <c r="AJ223" i="46"/>
  <c r="AG224" i="46"/>
  <c r="AH224" i="46"/>
  <c r="AH228" i="46" s="1"/>
  <c r="AI224" i="46"/>
  <c r="AG225" i="46"/>
  <c r="AH225" i="46"/>
  <c r="AI225" i="46"/>
  <c r="AJ225" i="46"/>
  <c r="AG226" i="46"/>
  <c r="AH226" i="46"/>
  <c r="AI226" i="46"/>
  <c r="AJ226" i="46"/>
  <c r="AG227" i="46"/>
  <c r="AH227" i="46"/>
  <c r="AI227" i="46"/>
  <c r="AJ227" i="46"/>
  <c r="AM220" i="46"/>
  <c r="AL221" i="46"/>
  <c r="AL222" i="46"/>
  <c r="AL223" i="46"/>
  <c r="AL224" i="46"/>
  <c r="AL225" i="46"/>
  <c r="AL226" i="46"/>
  <c r="AL227" i="46"/>
  <c r="AL220" i="46"/>
  <c r="AJ220" i="46"/>
  <c r="AI220" i="46"/>
  <c r="AH220" i="46"/>
  <c r="AG220" i="46"/>
  <c r="N228" i="46"/>
  <c r="O228" i="46"/>
  <c r="P228" i="46"/>
  <c r="Q228" i="46"/>
  <c r="R228" i="46"/>
  <c r="S228" i="46"/>
  <c r="T228" i="46"/>
  <c r="U228" i="46"/>
  <c r="V228" i="46"/>
  <c r="W228" i="46"/>
  <c r="X228" i="46"/>
  <c r="Y228" i="46"/>
  <c r="Z228" i="46"/>
  <c r="AA228" i="46"/>
  <c r="AB228" i="46"/>
  <c r="AC228" i="46"/>
  <c r="AD228" i="46"/>
  <c r="Y59" i="40"/>
  <c r="AI51" i="40" s="1" a="1"/>
  <c r="AI51" i="40" s="1"/>
  <c r="B65" i="40" s="1"/>
  <c r="D259" i="46"/>
  <c r="D260" i="46"/>
  <c r="D261" i="46"/>
  <c r="D262" i="46"/>
  <c r="D263" i="46"/>
  <c r="D264" i="46"/>
  <c r="D265" i="46"/>
  <c r="D266" i="46"/>
  <c r="D220" i="46"/>
  <c r="D221" i="46"/>
  <c r="D222" i="46"/>
  <c r="D223" i="46"/>
  <c r="D224" i="46"/>
  <c r="D225" i="46"/>
  <c r="D226" i="46"/>
  <c r="D227" i="46"/>
  <c r="D51" i="40"/>
  <c r="B202" i="46"/>
  <c r="D167" i="46"/>
  <c r="D119" i="46"/>
  <c r="D120" i="46"/>
  <c r="D121" i="46"/>
  <c r="D122" i="46"/>
  <c r="D123" i="46"/>
  <c r="D124" i="46"/>
  <c r="D125" i="46"/>
  <c r="D126" i="46"/>
  <c r="D127" i="46"/>
  <c r="D128" i="46"/>
  <c r="D129" i="46"/>
  <c r="D130" i="46"/>
  <c r="D131" i="46"/>
  <c r="D132" i="46"/>
  <c r="D133" i="46"/>
  <c r="D134" i="46"/>
  <c r="D135" i="46"/>
  <c r="D136" i="46"/>
  <c r="D137" i="46"/>
  <c r="D138" i="46"/>
  <c r="D139" i="46"/>
  <c r="D140" i="46"/>
  <c r="D141" i="46"/>
  <c r="D142" i="46"/>
  <c r="D143" i="46"/>
  <c r="D144" i="46"/>
  <c r="D145" i="46"/>
  <c r="D146" i="46"/>
  <c r="D147" i="46"/>
  <c r="D148" i="46"/>
  <c r="D149" i="46"/>
  <c r="D150" i="46"/>
  <c r="D151" i="46"/>
  <c r="D152" i="46"/>
  <c r="D153" i="46"/>
  <c r="D154" i="46"/>
  <c r="D155" i="46"/>
  <c r="D156" i="46"/>
  <c r="D157" i="46"/>
  <c r="D158" i="46"/>
  <c r="D159" i="46"/>
  <c r="D160" i="46"/>
  <c r="D161" i="46"/>
  <c r="D162" i="46"/>
  <c r="D163" i="46"/>
  <c r="D164" i="46"/>
  <c r="D165" i="46"/>
  <c r="D166" i="46"/>
  <c r="AP118" i="46"/>
  <c r="AO118" i="46"/>
  <c r="AN118" i="46"/>
  <c r="AM118" i="46"/>
  <c r="AL118" i="46"/>
  <c r="AQ118" i="46"/>
  <c r="AS114" i="46"/>
  <c r="AQ114" i="46"/>
  <c r="AO114" i="46"/>
  <c r="AT114" i="46" s="1"/>
  <c r="AM114" i="46"/>
  <c r="AK114" i="46"/>
  <c r="AI114" i="46"/>
  <c r="AN114" i="46" s="1"/>
  <c r="BB66" i="46"/>
  <c r="AG119" i="46"/>
  <c r="AG65" i="46" s="1"/>
  <c r="AH119" i="46"/>
  <c r="AI119" i="46"/>
  <c r="AJ119" i="46"/>
  <c r="AK119" i="46"/>
  <c r="AL119" i="46"/>
  <c r="AM119" i="46"/>
  <c r="AN119" i="46"/>
  <c r="AO119" i="46"/>
  <c r="AP119" i="46"/>
  <c r="AG120" i="46"/>
  <c r="AH120" i="46"/>
  <c r="AI120" i="46"/>
  <c r="AJ120" i="46"/>
  <c r="AK120" i="46"/>
  <c r="AL120" i="46"/>
  <c r="AM120" i="46"/>
  <c r="AN120" i="46"/>
  <c r="AO120" i="46"/>
  <c r="AP120" i="46"/>
  <c r="AG121" i="46"/>
  <c r="AH121" i="46"/>
  <c r="AI121" i="46"/>
  <c r="AG67" i="46" s="1"/>
  <c r="AJ121" i="46"/>
  <c r="AK121" i="46"/>
  <c r="AL121" i="46"/>
  <c r="AM121" i="46"/>
  <c r="AN121" i="46"/>
  <c r="AO121" i="46"/>
  <c r="AP121" i="46"/>
  <c r="AG122" i="46"/>
  <c r="AG68" i="46" s="1"/>
  <c r="AH122" i="46"/>
  <c r="AI122" i="46"/>
  <c r="AJ122" i="46"/>
  <c r="AK122" i="46"/>
  <c r="AL122" i="46"/>
  <c r="AM122" i="46"/>
  <c r="AN122" i="46"/>
  <c r="AO122" i="46"/>
  <c r="AP122" i="46"/>
  <c r="AG123" i="46"/>
  <c r="AH123" i="46"/>
  <c r="AI123" i="46"/>
  <c r="AJ123" i="46"/>
  <c r="AK123" i="46"/>
  <c r="AL123" i="46"/>
  <c r="AM123" i="46"/>
  <c r="AN123" i="46"/>
  <c r="AO123" i="46"/>
  <c r="AP123" i="46"/>
  <c r="AG124" i="46"/>
  <c r="AH124" i="46"/>
  <c r="AI124" i="46"/>
  <c r="AJ124" i="46"/>
  <c r="AK124" i="46"/>
  <c r="AG70" i="46" s="1"/>
  <c r="AL124" i="46"/>
  <c r="AM124" i="46"/>
  <c r="AN124" i="46"/>
  <c r="AO124" i="46"/>
  <c r="AP124" i="46"/>
  <c r="AG125" i="46"/>
  <c r="AH125" i="46"/>
  <c r="AI125" i="46"/>
  <c r="AJ125" i="46"/>
  <c r="AK125" i="46"/>
  <c r="AL125" i="46"/>
  <c r="AM125" i="46"/>
  <c r="AN125" i="46"/>
  <c r="AO125" i="46"/>
  <c r="AP125" i="46"/>
  <c r="AG126" i="46"/>
  <c r="AG72" i="46" s="1"/>
  <c r="AH126" i="46"/>
  <c r="AI126" i="46"/>
  <c r="AJ126" i="46"/>
  <c r="AK126" i="46"/>
  <c r="AL126" i="46"/>
  <c r="AM126" i="46"/>
  <c r="AN126" i="46"/>
  <c r="AO126" i="46"/>
  <c r="AP126" i="46"/>
  <c r="AG127" i="46"/>
  <c r="AH127" i="46"/>
  <c r="AI127" i="46"/>
  <c r="AJ127" i="46"/>
  <c r="AK127" i="46"/>
  <c r="AL127" i="46"/>
  <c r="AM127" i="46"/>
  <c r="AN127" i="46"/>
  <c r="AO127" i="46"/>
  <c r="AP127" i="46"/>
  <c r="AG128" i="46"/>
  <c r="AH128" i="46"/>
  <c r="AI128" i="46"/>
  <c r="AJ128" i="46"/>
  <c r="AK128" i="46"/>
  <c r="AG74" i="46" s="1"/>
  <c r="AL128" i="46"/>
  <c r="AM128" i="46"/>
  <c r="AN128" i="46"/>
  <c r="AO128" i="46"/>
  <c r="AP128" i="46"/>
  <c r="AG129" i="46"/>
  <c r="AH129" i="46"/>
  <c r="AI129" i="46"/>
  <c r="AG75" i="46" s="1"/>
  <c r="AJ129" i="46"/>
  <c r="AK129" i="46"/>
  <c r="AL129" i="46"/>
  <c r="AM129" i="46"/>
  <c r="AN129" i="46"/>
  <c r="AO129" i="46"/>
  <c r="AP129" i="46"/>
  <c r="AG130" i="46"/>
  <c r="AG76" i="46" s="1"/>
  <c r="AH130" i="46"/>
  <c r="AI130" i="46"/>
  <c r="AJ130" i="46"/>
  <c r="AK130" i="46"/>
  <c r="AL130" i="46"/>
  <c r="AM130" i="46"/>
  <c r="AN130" i="46"/>
  <c r="AO130" i="46"/>
  <c r="AP130" i="46"/>
  <c r="AG131" i="46"/>
  <c r="AH131" i="46"/>
  <c r="AI131" i="46"/>
  <c r="AJ131" i="46"/>
  <c r="AK131" i="46"/>
  <c r="AL131" i="46"/>
  <c r="AM131" i="46"/>
  <c r="AN131" i="46"/>
  <c r="AO131" i="46"/>
  <c r="AP131" i="46"/>
  <c r="AG132" i="46"/>
  <c r="AH132" i="46"/>
  <c r="AI132" i="46"/>
  <c r="AJ132" i="46"/>
  <c r="AK132" i="46"/>
  <c r="AG78" i="46" s="1"/>
  <c r="AL132" i="46"/>
  <c r="AM132" i="46"/>
  <c r="AN132" i="46"/>
  <c r="AO132" i="46"/>
  <c r="AP132" i="46"/>
  <c r="AG133" i="46"/>
  <c r="AH133" i="46"/>
  <c r="AI133" i="46"/>
  <c r="AG79" i="46" s="1"/>
  <c r="AJ133" i="46"/>
  <c r="AK133" i="46"/>
  <c r="AL133" i="46"/>
  <c r="AM133" i="46"/>
  <c r="AN133" i="46"/>
  <c r="AO133" i="46"/>
  <c r="AP133" i="46"/>
  <c r="AG134" i="46"/>
  <c r="AH134" i="46"/>
  <c r="AI134" i="46"/>
  <c r="AJ134" i="46"/>
  <c r="AK134" i="46"/>
  <c r="AL134" i="46"/>
  <c r="AM134" i="46"/>
  <c r="AN134" i="46"/>
  <c r="AO134" i="46"/>
  <c r="AP134" i="46"/>
  <c r="AG135" i="46"/>
  <c r="AH135" i="46"/>
  <c r="AI135" i="46"/>
  <c r="AJ135" i="46"/>
  <c r="AK135" i="46"/>
  <c r="AL135" i="46"/>
  <c r="AM135" i="46"/>
  <c r="AN135" i="46"/>
  <c r="AO135" i="46"/>
  <c r="AP135" i="46"/>
  <c r="AG136" i="46"/>
  <c r="AH136" i="46"/>
  <c r="AI136" i="46"/>
  <c r="AJ136" i="46"/>
  <c r="AK136" i="46"/>
  <c r="AG82" i="46" s="1"/>
  <c r="AL136" i="46"/>
  <c r="AM136" i="46"/>
  <c r="AN136" i="46"/>
  <c r="AO136" i="46"/>
  <c r="AP136" i="46"/>
  <c r="AG137" i="46"/>
  <c r="AH137" i="46"/>
  <c r="AI137" i="46"/>
  <c r="AG83" i="46" s="1"/>
  <c r="AJ137" i="46"/>
  <c r="AK137" i="46"/>
  <c r="AL137" i="46"/>
  <c r="AM137" i="46"/>
  <c r="AN137" i="46"/>
  <c r="AO137" i="46"/>
  <c r="AP137" i="46"/>
  <c r="AG138" i="46"/>
  <c r="AG84" i="46" s="1"/>
  <c r="AH138" i="46"/>
  <c r="AI138" i="46"/>
  <c r="AJ138" i="46"/>
  <c r="AK138" i="46"/>
  <c r="AL138" i="46"/>
  <c r="AM138" i="46"/>
  <c r="AN138" i="46"/>
  <c r="AO138" i="46"/>
  <c r="AP138" i="46"/>
  <c r="AG139" i="46"/>
  <c r="AH139" i="46"/>
  <c r="AI139" i="46"/>
  <c r="AJ139" i="46"/>
  <c r="AK139" i="46"/>
  <c r="AL139" i="46"/>
  <c r="AM139" i="46"/>
  <c r="AN139" i="46"/>
  <c r="AO139" i="46"/>
  <c r="AP139" i="46"/>
  <c r="AG140" i="46"/>
  <c r="AH140" i="46"/>
  <c r="AI140" i="46"/>
  <c r="AJ140" i="46"/>
  <c r="AK140" i="46"/>
  <c r="AL140" i="46"/>
  <c r="AM140" i="46"/>
  <c r="AN140" i="46"/>
  <c r="AO140" i="46"/>
  <c r="AP140" i="46"/>
  <c r="AG141" i="46"/>
  <c r="AH141" i="46"/>
  <c r="AI141" i="46"/>
  <c r="AG87" i="46" s="1"/>
  <c r="AJ141" i="46"/>
  <c r="AK141" i="46"/>
  <c r="AL141" i="46"/>
  <c r="AM141" i="46"/>
  <c r="AN141" i="46"/>
  <c r="AO141" i="46"/>
  <c r="AP141" i="46"/>
  <c r="AG142" i="46"/>
  <c r="AG88" i="46" s="1"/>
  <c r="AH142" i="46"/>
  <c r="AI142" i="46"/>
  <c r="AJ142" i="46"/>
  <c r="AK142" i="46"/>
  <c r="AL142" i="46"/>
  <c r="AM142" i="46"/>
  <c r="AN142" i="46"/>
  <c r="AO142" i="46"/>
  <c r="AP142" i="46"/>
  <c r="AG143" i="46"/>
  <c r="AH143" i="46"/>
  <c r="AI143" i="46"/>
  <c r="AJ143" i="46"/>
  <c r="AK143" i="46"/>
  <c r="AL143" i="46"/>
  <c r="AM143" i="46"/>
  <c r="AN143" i="46"/>
  <c r="AO143" i="46"/>
  <c r="AP143" i="46"/>
  <c r="AG144" i="46"/>
  <c r="AH144" i="46"/>
  <c r="AI144" i="46"/>
  <c r="AJ144" i="46"/>
  <c r="AK144" i="46"/>
  <c r="AG90" i="46" s="1"/>
  <c r="AL144" i="46"/>
  <c r="AM144" i="46"/>
  <c r="AN144" i="46"/>
  <c r="AO144" i="46"/>
  <c r="AP144" i="46"/>
  <c r="AG145" i="46"/>
  <c r="AH145" i="46"/>
  <c r="AI145" i="46"/>
  <c r="AG91" i="46" s="1"/>
  <c r="AJ145" i="46"/>
  <c r="AK145" i="46"/>
  <c r="AL145" i="46"/>
  <c r="AM145" i="46"/>
  <c r="AN145" i="46"/>
  <c r="AO145" i="46"/>
  <c r="AP145" i="46"/>
  <c r="AG146" i="46"/>
  <c r="AG92" i="46" s="1"/>
  <c r="AH146" i="46"/>
  <c r="AI146" i="46"/>
  <c r="AJ146" i="46"/>
  <c r="AK146" i="46"/>
  <c r="AL146" i="46"/>
  <c r="AM146" i="46"/>
  <c r="AN146" i="46"/>
  <c r="AO146" i="46"/>
  <c r="AP146" i="46"/>
  <c r="AG147" i="46"/>
  <c r="AH147" i="46"/>
  <c r="AI147" i="46"/>
  <c r="AJ147" i="46"/>
  <c r="AK147" i="46"/>
  <c r="AL147" i="46"/>
  <c r="AM147" i="46"/>
  <c r="AN147" i="46"/>
  <c r="AO147" i="46"/>
  <c r="AP147" i="46"/>
  <c r="AG148" i="46"/>
  <c r="AH148" i="46"/>
  <c r="AI148" i="46"/>
  <c r="AJ148" i="46"/>
  <c r="AK148" i="46"/>
  <c r="AG94" i="46" s="1"/>
  <c r="AL148" i="46"/>
  <c r="AM148" i="46"/>
  <c r="AN148" i="46"/>
  <c r="AO148" i="46"/>
  <c r="AP148" i="46"/>
  <c r="AG149" i="46"/>
  <c r="AH149" i="46"/>
  <c r="AI149" i="46"/>
  <c r="AG95" i="46" s="1"/>
  <c r="AJ149" i="46"/>
  <c r="AK149" i="46"/>
  <c r="AL149" i="46"/>
  <c r="AM149" i="46"/>
  <c r="AN149" i="46"/>
  <c r="AO149" i="46"/>
  <c r="AP149" i="46"/>
  <c r="AG150" i="46"/>
  <c r="AG96" i="46" s="1"/>
  <c r="AH150" i="46"/>
  <c r="AI150" i="46"/>
  <c r="AJ150" i="46"/>
  <c r="AK150" i="46"/>
  <c r="AL150" i="46"/>
  <c r="AM150" i="46"/>
  <c r="AN150" i="46"/>
  <c r="AO150" i="46"/>
  <c r="AP150" i="46"/>
  <c r="AG151" i="46"/>
  <c r="AH151" i="46"/>
  <c r="AI151" i="46"/>
  <c r="AJ151" i="46"/>
  <c r="AK151" i="46"/>
  <c r="AL151" i="46"/>
  <c r="AM151" i="46"/>
  <c r="AN151" i="46"/>
  <c r="AO151" i="46"/>
  <c r="AP151" i="46"/>
  <c r="AG152" i="46"/>
  <c r="AH152" i="46"/>
  <c r="AI152" i="46"/>
  <c r="AJ152" i="46"/>
  <c r="AK152" i="46"/>
  <c r="AG98" i="46" s="1"/>
  <c r="AL152" i="46"/>
  <c r="AM152" i="46"/>
  <c r="AN152" i="46"/>
  <c r="AO152" i="46"/>
  <c r="AP152" i="46"/>
  <c r="AG153" i="46"/>
  <c r="AH153" i="46"/>
  <c r="AI153" i="46"/>
  <c r="AG99" i="46" s="1"/>
  <c r="AJ153" i="46"/>
  <c r="AK153" i="46"/>
  <c r="AL153" i="46"/>
  <c r="AM153" i="46"/>
  <c r="AN153" i="46"/>
  <c r="AO153" i="46"/>
  <c r="AP153" i="46"/>
  <c r="AG154" i="46"/>
  <c r="AG100" i="46" s="1"/>
  <c r="AH154" i="46"/>
  <c r="AI154" i="46"/>
  <c r="AJ154" i="46"/>
  <c r="AK154" i="46"/>
  <c r="AL154" i="46"/>
  <c r="AM154" i="46"/>
  <c r="AN154" i="46"/>
  <c r="AO154" i="46"/>
  <c r="AP154" i="46"/>
  <c r="AG155" i="46"/>
  <c r="AH155" i="46"/>
  <c r="AI155" i="46"/>
  <c r="AJ155" i="46"/>
  <c r="AK155" i="46"/>
  <c r="AL155" i="46"/>
  <c r="AM155" i="46"/>
  <c r="AN155" i="46"/>
  <c r="AO155" i="46"/>
  <c r="AP155" i="46"/>
  <c r="AG156" i="46"/>
  <c r="AH156" i="46"/>
  <c r="AI156" i="46"/>
  <c r="AJ156" i="46"/>
  <c r="AK156" i="46"/>
  <c r="AG102" i="46" s="1"/>
  <c r="AL156" i="46"/>
  <c r="AM156" i="46"/>
  <c r="AN156" i="46"/>
  <c r="AO156" i="46"/>
  <c r="AP156" i="46"/>
  <c r="AG157" i="46"/>
  <c r="AH157" i="46"/>
  <c r="AI157" i="46"/>
  <c r="AG103" i="46" s="1"/>
  <c r="AJ157" i="46"/>
  <c r="AK157" i="46"/>
  <c r="AL157" i="46"/>
  <c r="AM157" i="46"/>
  <c r="AN157" i="46"/>
  <c r="AO157" i="46"/>
  <c r="AP157" i="46"/>
  <c r="AG158" i="46"/>
  <c r="AG104" i="46" s="1"/>
  <c r="AH158" i="46"/>
  <c r="AI158" i="46"/>
  <c r="AJ158" i="46"/>
  <c r="AK158" i="46"/>
  <c r="AL158" i="46"/>
  <c r="AM158" i="46"/>
  <c r="AN158" i="46"/>
  <c r="AO158" i="46"/>
  <c r="AP158" i="46"/>
  <c r="AG159" i="46"/>
  <c r="AH159" i="46"/>
  <c r="AI159" i="46"/>
  <c r="AJ159" i="46"/>
  <c r="AK159" i="46"/>
  <c r="AL159" i="46"/>
  <c r="AM159" i="46"/>
  <c r="AN159" i="46"/>
  <c r="AO159" i="46"/>
  <c r="AP159" i="46"/>
  <c r="AG160" i="46"/>
  <c r="AH160" i="46"/>
  <c r="AI160" i="46"/>
  <c r="AJ160" i="46"/>
  <c r="AK160" i="46"/>
  <c r="AG106" i="46" s="1"/>
  <c r="AL160" i="46"/>
  <c r="AM160" i="46"/>
  <c r="AN160" i="46"/>
  <c r="AO160" i="46"/>
  <c r="AP160" i="46"/>
  <c r="AG161" i="46"/>
  <c r="AH161" i="46"/>
  <c r="AI161" i="46"/>
  <c r="AG107" i="46" s="1"/>
  <c r="AJ161" i="46"/>
  <c r="AK161" i="46"/>
  <c r="AL161" i="46"/>
  <c r="AM161" i="46"/>
  <c r="AN161" i="46"/>
  <c r="AO161" i="46"/>
  <c r="AP161" i="46"/>
  <c r="AG162" i="46"/>
  <c r="AG108" i="46" s="1"/>
  <c r="AH162" i="46"/>
  <c r="AI162" i="46"/>
  <c r="AJ162" i="46"/>
  <c r="AK162" i="46"/>
  <c r="AL162" i="46"/>
  <c r="AM162" i="46"/>
  <c r="AN162" i="46"/>
  <c r="AO162" i="46"/>
  <c r="AP162" i="46"/>
  <c r="AG163" i="46"/>
  <c r="AH163" i="46"/>
  <c r="AI163" i="46"/>
  <c r="AJ163" i="46"/>
  <c r="AK163" i="46"/>
  <c r="AL163" i="46"/>
  <c r="AM163" i="46"/>
  <c r="AN163" i="46"/>
  <c r="AO163" i="46"/>
  <c r="AP163" i="46"/>
  <c r="AG164" i="46"/>
  <c r="AG110" i="46" s="1"/>
  <c r="AH164" i="46"/>
  <c r="AI164" i="46"/>
  <c r="AJ164" i="46"/>
  <c r="AK164" i="46"/>
  <c r="AL164" i="46"/>
  <c r="AM164" i="46"/>
  <c r="AN164" i="46"/>
  <c r="AO164" i="46"/>
  <c r="AP164" i="46"/>
  <c r="AG165" i="46"/>
  <c r="AH165" i="46"/>
  <c r="AI165" i="46"/>
  <c r="AG111" i="46" s="1"/>
  <c r="AJ165" i="46"/>
  <c r="AK165" i="46"/>
  <c r="AL165" i="46"/>
  <c r="AM165" i="46"/>
  <c r="AN165" i="46"/>
  <c r="AO165" i="46"/>
  <c r="AP165" i="46"/>
  <c r="AG166" i="46"/>
  <c r="AG112" i="46" s="1"/>
  <c r="AH166" i="46"/>
  <c r="AI166" i="46"/>
  <c r="AJ166" i="46"/>
  <c r="AK166" i="46"/>
  <c r="AL166" i="46"/>
  <c r="AM166" i="46"/>
  <c r="AN166" i="46"/>
  <c r="AO166" i="46"/>
  <c r="AP166" i="46"/>
  <c r="AG167" i="46"/>
  <c r="AH167" i="46"/>
  <c r="AI167" i="46"/>
  <c r="AJ167" i="46"/>
  <c r="AK167" i="46"/>
  <c r="AL167" i="46"/>
  <c r="AM167" i="46"/>
  <c r="AN167" i="46"/>
  <c r="AO167" i="46"/>
  <c r="AP167" i="46"/>
  <c r="AK118" i="46"/>
  <c r="AJ118" i="46"/>
  <c r="AI118" i="46"/>
  <c r="AH118" i="46"/>
  <c r="AG118" i="46"/>
  <c r="BC65" i="46"/>
  <c r="BE65" i="46"/>
  <c r="BG65" i="46"/>
  <c r="BI65" i="46"/>
  <c r="BC66" i="46"/>
  <c r="BE66" i="46"/>
  <c r="BG66" i="46"/>
  <c r="BI66" i="46"/>
  <c r="BC67" i="46"/>
  <c r="BE67" i="46"/>
  <c r="BG67" i="46"/>
  <c r="BI67" i="46"/>
  <c r="BC68" i="46"/>
  <c r="BE68" i="46"/>
  <c r="BG68" i="46"/>
  <c r="BI68" i="46"/>
  <c r="BC69" i="46"/>
  <c r="BE69" i="46"/>
  <c r="BG69" i="46"/>
  <c r="BI69" i="46"/>
  <c r="BC70" i="46"/>
  <c r="BE70" i="46"/>
  <c r="BG70" i="46"/>
  <c r="BI70" i="46"/>
  <c r="BC71" i="46"/>
  <c r="BE71" i="46"/>
  <c r="BG71" i="46"/>
  <c r="BI71" i="46"/>
  <c r="BC72" i="46"/>
  <c r="BE72" i="46"/>
  <c r="BG72" i="46"/>
  <c r="BI72" i="46"/>
  <c r="BC73" i="46"/>
  <c r="BE73" i="46"/>
  <c r="BG73" i="46"/>
  <c r="BI73" i="46"/>
  <c r="BC74" i="46"/>
  <c r="BE74" i="46"/>
  <c r="BG74" i="46"/>
  <c r="BI74" i="46"/>
  <c r="BC75" i="46"/>
  <c r="BE75" i="46"/>
  <c r="BG75" i="46"/>
  <c r="BI75" i="46"/>
  <c r="BC76" i="46"/>
  <c r="BE76" i="46"/>
  <c r="BG76" i="46"/>
  <c r="BI76" i="46"/>
  <c r="BC77" i="46"/>
  <c r="BE77" i="46"/>
  <c r="BG77" i="46"/>
  <c r="BI77" i="46"/>
  <c r="BC78" i="46"/>
  <c r="BE78" i="46"/>
  <c r="BG78" i="46"/>
  <c r="BI78" i="46"/>
  <c r="BC79" i="46"/>
  <c r="BE79" i="46"/>
  <c r="BG79" i="46"/>
  <c r="BI79" i="46"/>
  <c r="BC80" i="46"/>
  <c r="BE80" i="46"/>
  <c r="BG80" i="46"/>
  <c r="BI80" i="46"/>
  <c r="BC81" i="46"/>
  <c r="BE81" i="46"/>
  <c r="BG81" i="46"/>
  <c r="BI81" i="46"/>
  <c r="BC82" i="46"/>
  <c r="BE82" i="46"/>
  <c r="BG82" i="46"/>
  <c r="BI82" i="46"/>
  <c r="BC83" i="46"/>
  <c r="BE83" i="46"/>
  <c r="BG83" i="46"/>
  <c r="BI83" i="46"/>
  <c r="BC84" i="46"/>
  <c r="BE84" i="46"/>
  <c r="BG84" i="46"/>
  <c r="BI84" i="46"/>
  <c r="BC85" i="46"/>
  <c r="BE85" i="46"/>
  <c r="BG85" i="46"/>
  <c r="BI85" i="46"/>
  <c r="BC86" i="46"/>
  <c r="BE86" i="46"/>
  <c r="BG86" i="46"/>
  <c r="BI86" i="46"/>
  <c r="BC87" i="46"/>
  <c r="BE87" i="46"/>
  <c r="BG87" i="46"/>
  <c r="BI87" i="46"/>
  <c r="BC88" i="46"/>
  <c r="BE88" i="46"/>
  <c r="BG88" i="46"/>
  <c r="BI88" i="46"/>
  <c r="BC89" i="46"/>
  <c r="BE89" i="46"/>
  <c r="BG89" i="46"/>
  <c r="BI89" i="46"/>
  <c r="BC90" i="46"/>
  <c r="BE90" i="46"/>
  <c r="BG90" i="46"/>
  <c r="BI90" i="46"/>
  <c r="BC91" i="46"/>
  <c r="BE91" i="46"/>
  <c r="BG91" i="46"/>
  <c r="BI91" i="46"/>
  <c r="BC92" i="46"/>
  <c r="BE92" i="46"/>
  <c r="BG92" i="46"/>
  <c r="BI92" i="46"/>
  <c r="BC93" i="46"/>
  <c r="BE93" i="46"/>
  <c r="BG93" i="46"/>
  <c r="BI93" i="46"/>
  <c r="BC94" i="46"/>
  <c r="BE94" i="46"/>
  <c r="BG94" i="46"/>
  <c r="BI94" i="46"/>
  <c r="BC95" i="46"/>
  <c r="BE95" i="46"/>
  <c r="BG95" i="46"/>
  <c r="BI95" i="46"/>
  <c r="BC96" i="46"/>
  <c r="BE96" i="46"/>
  <c r="BG96" i="46"/>
  <c r="BI96" i="46"/>
  <c r="BC97" i="46"/>
  <c r="BE97" i="46"/>
  <c r="BG97" i="46"/>
  <c r="BI97" i="46"/>
  <c r="BC98" i="46"/>
  <c r="BE98" i="46"/>
  <c r="BG98" i="46"/>
  <c r="BI98" i="46"/>
  <c r="BC99" i="46"/>
  <c r="BE99" i="46"/>
  <c r="BG99" i="46"/>
  <c r="BI99" i="46"/>
  <c r="BC100" i="46"/>
  <c r="BE100" i="46"/>
  <c r="BG100" i="46"/>
  <c r="BI100" i="46"/>
  <c r="BC101" i="46"/>
  <c r="BE101" i="46"/>
  <c r="BG101" i="46"/>
  <c r="BI101" i="46"/>
  <c r="BC102" i="46"/>
  <c r="BE102" i="46"/>
  <c r="BG102" i="46"/>
  <c r="BI102" i="46"/>
  <c r="BC103" i="46"/>
  <c r="BE103" i="46"/>
  <c r="BG103" i="46"/>
  <c r="BI103" i="46"/>
  <c r="BC104" i="46"/>
  <c r="BE104" i="46"/>
  <c r="BG104" i="46"/>
  <c r="BI104" i="46"/>
  <c r="BC105" i="46"/>
  <c r="BE105" i="46"/>
  <c r="BG105" i="46"/>
  <c r="BI105" i="46"/>
  <c r="BC106" i="46"/>
  <c r="BE106" i="46"/>
  <c r="BG106" i="46"/>
  <c r="BI106" i="46"/>
  <c r="BC107" i="46"/>
  <c r="BE107" i="46"/>
  <c r="BG107" i="46"/>
  <c r="BI107" i="46"/>
  <c r="BC108" i="46"/>
  <c r="BE108" i="46"/>
  <c r="BG108" i="46"/>
  <c r="BI108" i="46"/>
  <c r="BC109" i="46"/>
  <c r="BE109" i="46"/>
  <c r="BG109" i="46"/>
  <c r="BI109" i="46"/>
  <c r="BC110" i="46"/>
  <c r="BE110" i="46"/>
  <c r="BG110" i="46"/>
  <c r="BI110" i="46"/>
  <c r="BC111" i="46"/>
  <c r="BE111" i="46"/>
  <c r="BG111" i="46"/>
  <c r="BI111" i="46"/>
  <c r="BC112" i="46"/>
  <c r="BE112" i="46"/>
  <c r="BG112" i="46"/>
  <c r="BI112" i="46"/>
  <c r="BC113" i="46"/>
  <c r="BE113" i="46"/>
  <c r="BG113" i="46"/>
  <c r="BI113" i="46"/>
  <c r="BG64" i="46"/>
  <c r="BH114" i="46" s="1"/>
  <c r="BE64" i="46"/>
  <c r="BC64" i="46"/>
  <c r="BD64" i="46" s="1"/>
  <c r="BD114" i="46" s="1"/>
  <c r="BB64" i="46"/>
  <c r="AH65" i="46"/>
  <c r="AI65" i="46"/>
  <c r="AJ65" i="46"/>
  <c r="AK65" i="46" s="1"/>
  <c r="AL65" i="46"/>
  <c r="AM65" i="46" s="1"/>
  <c r="AO65" i="46"/>
  <c r="AP65" i="46"/>
  <c r="AQ65" i="46"/>
  <c r="AR65" i="46"/>
  <c r="AS65" i="46" s="1"/>
  <c r="AH66" i="46"/>
  <c r="AI66" i="46"/>
  <c r="AJ66" i="46"/>
  <c r="AK66" i="46" s="1"/>
  <c r="AL66" i="46"/>
  <c r="AM66" i="46" s="1"/>
  <c r="AO66" i="46"/>
  <c r="AP66" i="46"/>
  <c r="AQ66" i="46" s="1"/>
  <c r="AR66" i="46"/>
  <c r="AS66" i="46"/>
  <c r="AH67" i="46"/>
  <c r="AI67" i="46"/>
  <c r="AJ67" i="46"/>
  <c r="AK67" i="46"/>
  <c r="AL67" i="46"/>
  <c r="AM67" i="46"/>
  <c r="AO67" i="46"/>
  <c r="AP67" i="46"/>
  <c r="AQ67" i="46"/>
  <c r="AR67" i="46"/>
  <c r="AS67" i="46"/>
  <c r="AH68" i="46"/>
  <c r="AI68" i="46"/>
  <c r="AJ68" i="46"/>
  <c r="AK68" i="46" s="1"/>
  <c r="AL68" i="46"/>
  <c r="AM68" i="46" s="1"/>
  <c r="AO68" i="46"/>
  <c r="AP68" i="46"/>
  <c r="AQ68" i="46" s="1"/>
  <c r="AR68" i="46"/>
  <c r="AS68" i="46"/>
  <c r="AG69" i="46"/>
  <c r="AH69" i="46"/>
  <c r="AI69" i="46"/>
  <c r="AJ69" i="46"/>
  <c r="AK69" i="46"/>
  <c r="AL69" i="46"/>
  <c r="AM69" i="46"/>
  <c r="AO69" i="46"/>
  <c r="AP69" i="46"/>
  <c r="AQ69" i="46" s="1"/>
  <c r="AR69" i="46"/>
  <c r="AS69" i="46"/>
  <c r="AH70" i="46"/>
  <c r="AI70" i="46"/>
  <c r="AJ70" i="46"/>
  <c r="AK70" i="46" s="1"/>
  <c r="AL70" i="46"/>
  <c r="AM70" i="46" s="1"/>
  <c r="AO70" i="46"/>
  <c r="AP70" i="46"/>
  <c r="AQ70" i="46" s="1"/>
  <c r="AR70" i="46"/>
  <c r="AS70" i="46"/>
  <c r="AG71" i="46"/>
  <c r="AH71" i="46"/>
  <c r="AI71" i="46"/>
  <c r="AJ71" i="46"/>
  <c r="AK71" i="46"/>
  <c r="AL71" i="46"/>
  <c r="AM71" i="46"/>
  <c r="AO71" i="46"/>
  <c r="AP71" i="46"/>
  <c r="AQ71" i="46" s="1"/>
  <c r="AR71" i="46"/>
  <c r="AS71" i="46"/>
  <c r="AH72" i="46"/>
  <c r="AI72" i="46"/>
  <c r="AJ72" i="46"/>
  <c r="AK72" i="46" s="1"/>
  <c r="AL72" i="46"/>
  <c r="AM72" i="46" s="1"/>
  <c r="AO72" i="46"/>
  <c r="AP72" i="46"/>
  <c r="AQ72" i="46" s="1"/>
  <c r="AR72" i="46"/>
  <c r="AS72" i="46"/>
  <c r="AG73" i="46"/>
  <c r="AH73" i="46"/>
  <c r="AI73" i="46"/>
  <c r="AJ73" i="46"/>
  <c r="AK73" i="46"/>
  <c r="AL73" i="46"/>
  <c r="AM73" i="46" s="1"/>
  <c r="AO73" i="46"/>
  <c r="AP73" i="46"/>
  <c r="AQ73" i="46" s="1"/>
  <c r="AR73" i="46"/>
  <c r="AS73" i="46"/>
  <c r="AH74" i="46"/>
  <c r="AI74" i="46"/>
  <c r="AJ74" i="46"/>
  <c r="AK74" i="46" s="1"/>
  <c r="AL74" i="46"/>
  <c r="AM74" i="46" s="1"/>
  <c r="AO74" i="46"/>
  <c r="AP74" i="46"/>
  <c r="AQ74" i="46" s="1"/>
  <c r="AR74" i="46"/>
  <c r="AS74" i="46"/>
  <c r="AH75" i="46"/>
  <c r="AI75" i="46"/>
  <c r="AJ75" i="46"/>
  <c r="AK75" i="46"/>
  <c r="AL75" i="46"/>
  <c r="AM75" i="46" s="1"/>
  <c r="AO75" i="46"/>
  <c r="AP75" i="46"/>
  <c r="AQ75" i="46" s="1"/>
  <c r="AR75" i="46"/>
  <c r="AS75" i="46"/>
  <c r="AH76" i="46"/>
  <c r="AI76" i="46"/>
  <c r="AJ76" i="46"/>
  <c r="AK76" i="46" s="1"/>
  <c r="AL76" i="46"/>
  <c r="AM76" i="46" s="1"/>
  <c r="AO76" i="46"/>
  <c r="AP76" i="46"/>
  <c r="AQ76" i="46" s="1"/>
  <c r="AR76" i="46"/>
  <c r="AS76" i="46"/>
  <c r="AG77" i="46"/>
  <c r="AH77" i="46"/>
  <c r="AI77" i="46"/>
  <c r="AJ77" i="46"/>
  <c r="AK77" i="46"/>
  <c r="AL77" i="46"/>
  <c r="AM77" i="46" s="1"/>
  <c r="AO77" i="46"/>
  <c r="AP77" i="46"/>
  <c r="AQ77" i="46" s="1"/>
  <c r="AR77" i="46"/>
  <c r="AS77" i="46"/>
  <c r="AH78" i="46"/>
  <c r="AI78" i="46"/>
  <c r="AJ78" i="46"/>
  <c r="AK78" i="46" s="1"/>
  <c r="AL78" i="46"/>
  <c r="AM78" i="46" s="1"/>
  <c r="AO78" i="46"/>
  <c r="AP78" i="46"/>
  <c r="AQ78" i="46" s="1"/>
  <c r="AR78" i="46"/>
  <c r="AS78" i="46"/>
  <c r="AH79" i="46"/>
  <c r="AI79" i="46"/>
  <c r="AJ79" i="46"/>
  <c r="AK79" i="46"/>
  <c r="AL79" i="46"/>
  <c r="AM79" i="46" s="1"/>
  <c r="AO79" i="46"/>
  <c r="AP79" i="46"/>
  <c r="AQ79" i="46" s="1"/>
  <c r="AR79" i="46"/>
  <c r="AS79" i="46"/>
  <c r="AH80" i="46"/>
  <c r="AI80" i="46"/>
  <c r="AJ80" i="46"/>
  <c r="AK80" i="46" s="1"/>
  <c r="AL80" i="46"/>
  <c r="AM80" i="46" s="1"/>
  <c r="AO80" i="46"/>
  <c r="AP80" i="46"/>
  <c r="AQ80" i="46" s="1"/>
  <c r="AR80" i="46"/>
  <c r="AS80" i="46"/>
  <c r="AH81" i="46"/>
  <c r="AI81" i="46"/>
  <c r="AJ81" i="46"/>
  <c r="AK81" i="46"/>
  <c r="AL81" i="46"/>
  <c r="AM81" i="46" s="1"/>
  <c r="AO81" i="46"/>
  <c r="AP81" i="46"/>
  <c r="AQ81" i="46" s="1"/>
  <c r="AR81" i="46"/>
  <c r="AS81" i="46"/>
  <c r="AH82" i="46"/>
  <c r="AI82" i="46"/>
  <c r="AJ82" i="46"/>
  <c r="AK82" i="46" s="1"/>
  <c r="AL82" i="46"/>
  <c r="AM82" i="46" s="1"/>
  <c r="AO82" i="46"/>
  <c r="AP82" i="46"/>
  <c r="AQ82" i="46" s="1"/>
  <c r="AR82" i="46"/>
  <c r="AS82" i="46"/>
  <c r="AH83" i="46"/>
  <c r="AI83" i="46"/>
  <c r="AJ83" i="46"/>
  <c r="AK83" i="46"/>
  <c r="AL83" i="46"/>
  <c r="AM83" i="46" s="1"/>
  <c r="AO83" i="46"/>
  <c r="AP83" i="46"/>
  <c r="AQ83" i="46" s="1"/>
  <c r="AR83" i="46"/>
  <c r="AS83" i="46"/>
  <c r="AH84" i="46"/>
  <c r="AI84" i="46"/>
  <c r="AJ84" i="46"/>
  <c r="AK84" i="46" s="1"/>
  <c r="AL84" i="46"/>
  <c r="AM84" i="46" s="1"/>
  <c r="AO84" i="46"/>
  <c r="AP84" i="46"/>
  <c r="AQ84" i="46" s="1"/>
  <c r="AR84" i="46"/>
  <c r="AS84" i="46"/>
  <c r="AG85" i="46"/>
  <c r="AH85" i="46"/>
  <c r="AI85" i="46"/>
  <c r="AJ85" i="46"/>
  <c r="AK85" i="46"/>
  <c r="AL85" i="46"/>
  <c r="AM85" i="46" s="1"/>
  <c r="AO85" i="46"/>
  <c r="AP85" i="46"/>
  <c r="AQ85" i="46" s="1"/>
  <c r="AR85" i="46"/>
  <c r="AS85" i="46"/>
  <c r="AG86" i="46"/>
  <c r="AH86" i="46"/>
  <c r="AI86" i="46"/>
  <c r="AJ86" i="46"/>
  <c r="AK86" i="46" s="1"/>
  <c r="AL86" i="46"/>
  <c r="AM86" i="46" s="1"/>
  <c r="AO86" i="46"/>
  <c r="AP86" i="46"/>
  <c r="AQ86" i="46" s="1"/>
  <c r="AR86" i="46"/>
  <c r="AS86" i="46"/>
  <c r="AH87" i="46"/>
  <c r="AI87" i="46"/>
  <c r="AJ87" i="46"/>
  <c r="AK87" i="46"/>
  <c r="AL87" i="46"/>
  <c r="AM87" i="46" s="1"/>
  <c r="AO87" i="46"/>
  <c r="AP87" i="46"/>
  <c r="AQ87" i="46" s="1"/>
  <c r="AR87" i="46"/>
  <c r="AS87" i="46"/>
  <c r="AH88" i="46"/>
  <c r="AI88" i="46"/>
  <c r="AJ88" i="46"/>
  <c r="AK88" i="46" s="1"/>
  <c r="AL88" i="46"/>
  <c r="AM88" i="46" s="1"/>
  <c r="AO88" i="46"/>
  <c r="AP88" i="46"/>
  <c r="AQ88" i="46" s="1"/>
  <c r="AR88" i="46"/>
  <c r="AS88" i="46"/>
  <c r="AG89" i="46"/>
  <c r="AH89" i="46"/>
  <c r="AI89" i="46"/>
  <c r="AJ89" i="46"/>
  <c r="AK89" i="46"/>
  <c r="AL89" i="46"/>
  <c r="AM89" i="46" s="1"/>
  <c r="AO89" i="46"/>
  <c r="AP89" i="46"/>
  <c r="AQ89" i="46" s="1"/>
  <c r="AR89" i="46"/>
  <c r="AS89" i="46"/>
  <c r="AH90" i="46"/>
  <c r="AI90" i="46"/>
  <c r="AJ90" i="46"/>
  <c r="AK90" i="46" s="1"/>
  <c r="AL90" i="46"/>
  <c r="AM90" i="46" s="1"/>
  <c r="AO90" i="46"/>
  <c r="AP90" i="46"/>
  <c r="AQ90" i="46" s="1"/>
  <c r="AR90" i="46"/>
  <c r="AS90" i="46"/>
  <c r="AH91" i="46"/>
  <c r="AI91" i="46"/>
  <c r="AJ91" i="46"/>
  <c r="AK91" i="46"/>
  <c r="AL91" i="46"/>
  <c r="AM91" i="46" s="1"/>
  <c r="AO91" i="46"/>
  <c r="AP91" i="46"/>
  <c r="AQ91" i="46" s="1"/>
  <c r="AR91" i="46"/>
  <c r="AS91" i="46"/>
  <c r="AH92" i="46"/>
  <c r="AI92" i="46"/>
  <c r="AJ92" i="46"/>
  <c r="AK92" i="46" s="1"/>
  <c r="AL92" i="46"/>
  <c r="AM92" i="46" s="1"/>
  <c r="AO92" i="46"/>
  <c r="AP92" i="46"/>
  <c r="AQ92" i="46" s="1"/>
  <c r="AR92" i="46"/>
  <c r="AS92" i="46"/>
  <c r="AG93" i="46"/>
  <c r="AH93" i="46"/>
  <c r="AI93" i="46"/>
  <c r="AJ93" i="46"/>
  <c r="AK93" i="46"/>
  <c r="AL93" i="46"/>
  <c r="AM93" i="46" s="1"/>
  <c r="AO93" i="46"/>
  <c r="AP93" i="46"/>
  <c r="AQ93" i="46" s="1"/>
  <c r="AR93" i="46"/>
  <c r="AS93" i="46"/>
  <c r="AH94" i="46"/>
  <c r="AI94" i="46"/>
  <c r="AJ94" i="46"/>
  <c r="AK94" i="46" s="1"/>
  <c r="AL94" i="46"/>
  <c r="AM94" i="46" s="1"/>
  <c r="AO94" i="46"/>
  <c r="AP94" i="46"/>
  <c r="AQ94" i="46" s="1"/>
  <c r="AR94" i="46"/>
  <c r="AS94" i="46"/>
  <c r="AH95" i="46"/>
  <c r="AI95" i="46"/>
  <c r="AJ95" i="46"/>
  <c r="AK95" i="46"/>
  <c r="AL95" i="46"/>
  <c r="AM95" i="46" s="1"/>
  <c r="AO95" i="46"/>
  <c r="AP95" i="46"/>
  <c r="AQ95" i="46" s="1"/>
  <c r="AR95" i="46"/>
  <c r="AS95" i="46"/>
  <c r="AH96" i="46"/>
  <c r="AI96" i="46"/>
  <c r="AJ96" i="46"/>
  <c r="AK96" i="46"/>
  <c r="AL96" i="46"/>
  <c r="AM96" i="46" s="1"/>
  <c r="AO96" i="46"/>
  <c r="AP96" i="46"/>
  <c r="AQ96" i="46" s="1"/>
  <c r="AR96" i="46"/>
  <c r="AS96" i="46"/>
  <c r="AG97" i="46"/>
  <c r="AH97" i="46"/>
  <c r="AI97" i="46"/>
  <c r="AJ97" i="46"/>
  <c r="AK97" i="46"/>
  <c r="AL97" i="46"/>
  <c r="AM97" i="46" s="1"/>
  <c r="AO97" i="46"/>
  <c r="AP97" i="46"/>
  <c r="AQ97" i="46" s="1"/>
  <c r="AR97" i="46"/>
  <c r="AS97" i="46"/>
  <c r="AH98" i="46"/>
  <c r="AI98" i="46"/>
  <c r="AJ98" i="46"/>
  <c r="AK98" i="46"/>
  <c r="AL98" i="46"/>
  <c r="AM98" i="46" s="1"/>
  <c r="AO98" i="46"/>
  <c r="AP98" i="46"/>
  <c r="AQ98" i="46" s="1"/>
  <c r="AR98" i="46"/>
  <c r="AS98" i="46"/>
  <c r="AH99" i="46"/>
  <c r="AI99" i="46"/>
  <c r="AJ99" i="46"/>
  <c r="AK99" i="46"/>
  <c r="AL99" i="46"/>
  <c r="AM99" i="46" s="1"/>
  <c r="AO99" i="46"/>
  <c r="AP99" i="46"/>
  <c r="AQ99" i="46" s="1"/>
  <c r="AR99" i="46"/>
  <c r="AS99" i="46"/>
  <c r="AH100" i="46"/>
  <c r="AI100" i="46"/>
  <c r="AJ100" i="46"/>
  <c r="AK100" i="46"/>
  <c r="AL100" i="46"/>
  <c r="AM100" i="46" s="1"/>
  <c r="AO100" i="46"/>
  <c r="AP100" i="46"/>
  <c r="AQ100" i="46" s="1"/>
  <c r="AR100" i="46"/>
  <c r="AS100" i="46"/>
  <c r="AG101" i="46"/>
  <c r="AH101" i="46"/>
  <c r="AI101" i="46"/>
  <c r="AJ101" i="46"/>
  <c r="AK101" i="46"/>
  <c r="AL101" i="46"/>
  <c r="AM101" i="46" s="1"/>
  <c r="AO101" i="46"/>
  <c r="AP101" i="46"/>
  <c r="AQ101" i="46" s="1"/>
  <c r="AR101" i="46"/>
  <c r="AS101" i="46"/>
  <c r="AH102" i="46"/>
  <c r="AI102" i="46"/>
  <c r="AJ102" i="46"/>
  <c r="AK102" i="46"/>
  <c r="AL102" i="46"/>
  <c r="AM102" i="46" s="1"/>
  <c r="AO102" i="46"/>
  <c r="AP102" i="46"/>
  <c r="AQ102" i="46" s="1"/>
  <c r="AR102" i="46"/>
  <c r="AS102" i="46"/>
  <c r="AH103" i="46"/>
  <c r="AI103" i="46"/>
  <c r="AJ103" i="46"/>
  <c r="AK103" i="46"/>
  <c r="AL103" i="46"/>
  <c r="AM103" i="46" s="1"/>
  <c r="AO103" i="46"/>
  <c r="AP103" i="46"/>
  <c r="AQ103" i="46" s="1"/>
  <c r="AR103" i="46"/>
  <c r="AS103" i="46"/>
  <c r="AH104" i="46"/>
  <c r="AI104" i="46"/>
  <c r="AJ104" i="46"/>
  <c r="AK104" i="46"/>
  <c r="AL104" i="46"/>
  <c r="AM104" i="46" s="1"/>
  <c r="AO104" i="46"/>
  <c r="AP104" i="46"/>
  <c r="AQ104" i="46" s="1"/>
  <c r="AR104" i="46"/>
  <c r="AS104" i="46"/>
  <c r="AG105" i="46"/>
  <c r="AH105" i="46"/>
  <c r="AI105" i="46"/>
  <c r="AJ105" i="46"/>
  <c r="AK105" i="46"/>
  <c r="AL105" i="46"/>
  <c r="AM105" i="46" s="1"/>
  <c r="AO105" i="46"/>
  <c r="AP105" i="46"/>
  <c r="AQ105" i="46" s="1"/>
  <c r="AR105" i="46"/>
  <c r="AS105" i="46"/>
  <c r="AH106" i="46"/>
  <c r="AI106" i="46"/>
  <c r="AJ106" i="46"/>
  <c r="AK106" i="46"/>
  <c r="AL106" i="46"/>
  <c r="AM106" i="46" s="1"/>
  <c r="AO106" i="46"/>
  <c r="AP106" i="46"/>
  <c r="AQ106" i="46" s="1"/>
  <c r="AR106" i="46"/>
  <c r="AS106" i="46"/>
  <c r="AH107" i="46"/>
  <c r="AI107" i="46"/>
  <c r="AJ107" i="46"/>
  <c r="AK107" i="46"/>
  <c r="AL107" i="46"/>
  <c r="AM107" i="46" s="1"/>
  <c r="AO107" i="46"/>
  <c r="AP107" i="46"/>
  <c r="AQ107" i="46" s="1"/>
  <c r="AR107" i="46"/>
  <c r="AS107" i="46"/>
  <c r="AH108" i="46"/>
  <c r="AI108" i="46"/>
  <c r="AJ108" i="46"/>
  <c r="AK108" i="46"/>
  <c r="AL108" i="46"/>
  <c r="AM108" i="46" s="1"/>
  <c r="AO108" i="46"/>
  <c r="AP108" i="46"/>
  <c r="AQ108" i="46" s="1"/>
  <c r="AR108" i="46"/>
  <c r="AS108" i="46"/>
  <c r="AG109" i="46"/>
  <c r="AH109" i="46"/>
  <c r="AI109" i="46"/>
  <c r="AJ109" i="46"/>
  <c r="AK109" i="46"/>
  <c r="AL109" i="46"/>
  <c r="AM109" i="46" s="1"/>
  <c r="AO109" i="46"/>
  <c r="AP109" i="46"/>
  <c r="AQ109" i="46" s="1"/>
  <c r="AR109" i="46"/>
  <c r="AS109" i="46"/>
  <c r="AH110" i="46"/>
  <c r="AI110" i="46"/>
  <c r="AJ110" i="46"/>
  <c r="AK110" i="46"/>
  <c r="AL110" i="46"/>
  <c r="AM110" i="46" s="1"/>
  <c r="AO110" i="46"/>
  <c r="AP110" i="46"/>
  <c r="AQ110" i="46" s="1"/>
  <c r="AR110" i="46"/>
  <c r="AS110" i="46"/>
  <c r="AH111" i="46"/>
  <c r="AI111" i="46"/>
  <c r="AJ111" i="46"/>
  <c r="AK111" i="46"/>
  <c r="AL111" i="46"/>
  <c r="AM111" i="46" s="1"/>
  <c r="AO111" i="46"/>
  <c r="AP111" i="46"/>
  <c r="AQ111" i="46" s="1"/>
  <c r="AR111" i="46"/>
  <c r="AS111" i="46"/>
  <c r="AH112" i="46"/>
  <c r="AI112" i="46"/>
  <c r="AJ112" i="46"/>
  <c r="AK112" i="46"/>
  <c r="AL112" i="46"/>
  <c r="AM112" i="46" s="1"/>
  <c r="AO112" i="46"/>
  <c r="AP112" i="46"/>
  <c r="AQ112" i="46" s="1"/>
  <c r="AR112" i="46"/>
  <c r="AS112" i="46"/>
  <c r="AG113" i="46"/>
  <c r="AH113" i="46"/>
  <c r="AI113" i="46"/>
  <c r="AJ113" i="46"/>
  <c r="AK113" i="46"/>
  <c r="AL113" i="46"/>
  <c r="AM113" i="46" s="1"/>
  <c r="AO113" i="46"/>
  <c r="AP113" i="46"/>
  <c r="AQ113" i="46" s="1"/>
  <c r="AR113" i="46"/>
  <c r="AS113" i="46"/>
  <c r="AS64" i="46"/>
  <c r="AR64" i="46"/>
  <c r="AQ64" i="46"/>
  <c r="AP64" i="46"/>
  <c r="AO64" i="46"/>
  <c r="AM64" i="46"/>
  <c r="AL64" i="46"/>
  <c r="AK64" i="46"/>
  <c r="AJ64" i="46"/>
  <c r="AI64" i="46"/>
  <c r="AH64" i="46"/>
  <c r="BI64" i="46"/>
  <c r="BJ114" i="46" s="1"/>
  <c r="B37" i="46"/>
  <c r="AI32" i="46"/>
  <c r="AJ32" i="46"/>
  <c r="B38" i="46" s="1"/>
  <c r="AH32" i="46"/>
  <c r="AG32" i="46"/>
  <c r="B36" i="46" s="1"/>
  <c r="B114" i="43"/>
  <c r="AI109" i="43"/>
  <c r="AH109" i="43"/>
  <c r="AG109" i="43"/>
  <c r="B113" i="43" s="1"/>
  <c r="B94" i="43"/>
  <c r="B93" i="43"/>
  <c r="AS64" i="43"/>
  <c r="AN64" i="43"/>
  <c r="AM64" i="43"/>
  <c r="AK64" i="43"/>
  <c r="AI64" i="43"/>
  <c r="AH64" i="43"/>
  <c r="AP35" i="43"/>
  <c r="AQ35" i="43"/>
  <c r="AR35" i="43"/>
  <c r="AS35" i="43" s="1"/>
  <c r="AP36" i="43"/>
  <c r="AQ36" i="43"/>
  <c r="AR36" i="43"/>
  <c r="AS36" i="43"/>
  <c r="AP37" i="43"/>
  <c r="AQ37" i="43"/>
  <c r="AR37" i="43"/>
  <c r="AS37" i="43"/>
  <c r="AP38" i="43"/>
  <c r="AQ38" i="43"/>
  <c r="AR38" i="43"/>
  <c r="AS38" i="43"/>
  <c r="AP39" i="43"/>
  <c r="AQ39" i="43"/>
  <c r="AR39" i="43"/>
  <c r="AS39" i="43" s="1"/>
  <c r="AP40" i="43"/>
  <c r="AQ40" i="43"/>
  <c r="AR40" i="43"/>
  <c r="AS40" i="43" s="1"/>
  <c r="AP41" i="43"/>
  <c r="AQ41" i="43"/>
  <c r="AR41" i="43"/>
  <c r="AS41" i="43" s="1"/>
  <c r="AP42" i="43"/>
  <c r="AQ42" i="43"/>
  <c r="AR42" i="43"/>
  <c r="AS42" i="43"/>
  <c r="AP43" i="43"/>
  <c r="AQ43" i="43"/>
  <c r="AR43" i="43"/>
  <c r="AS43" i="43" s="1"/>
  <c r="AP44" i="43"/>
  <c r="AQ44" i="43"/>
  <c r="AR44" i="43"/>
  <c r="AS44" i="43"/>
  <c r="AP45" i="43"/>
  <c r="AQ45" i="43"/>
  <c r="AR45" i="43"/>
  <c r="AS45" i="43"/>
  <c r="AP46" i="43"/>
  <c r="AQ46" i="43"/>
  <c r="AR46" i="43"/>
  <c r="AS46" i="43"/>
  <c r="AP47" i="43"/>
  <c r="AQ47" i="43"/>
  <c r="AR47" i="43"/>
  <c r="AS47" i="43" s="1"/>
  <c r="AP48" i="43"/>
  <c r="AQ48" i="43"/>
  <c r="AR48" i="43"/>
  <c r="AS48" i="43" s="1"/>
  <c r="AP49" i="43"/>
  <c r="AQ49" i="43"/>
  <c r="AR49" i="43"/>
  <c r="AS49" i="43" s="1"/>
  <c r="AP50" i="43"/>
  <c r="AQ50" i="43"/>
  <c r="AR50" i="43"/>
  <c r="AS50" i="43"/>
  <c r="AP51" i="43"/>
  <c r="AQ51" i="43"/>
  <c r="AR51" i="43"/>
  <c r="AS51" i="43" s="1"/>
  <c r="AP52" i="43"/>
  <c r="AQ52" i="43"/>
  <c r="AR52" i="43"/>
  <c r="AS52" i="43"/>
  <c r="AP53" i="43"/>
  <c r="AQ53" i="43"/>
  <c r="AR53" i="43"/>
  <c r="AS53" i="43"/>
  <c r="AP54" i="43"/>
  <c r="AQ54" i="43"/>
  <c r="AR54" i="43"/>
  <c r="AS54" i="43"/>
  <c r="AP55" i="43"/>
  <c r="AQ55" i="43"/>
  <c r="AR55" i="43"/>
  <c r="AS55" i="43" s="1"/>
  <c r="AP56" i="43"/>
  <c r="AQ56" i="43"/>
  <c r="AR56" i="43"/>
  <c r="AS56" i="43" s="1"/>
  <c r="AP57" i="43"/>
  <c r="AQ57" i="43"/>
  <c r="AR57" i="43"/>
  <c r="AS57" i="43" s="1"/>
  <c r="AP58" i="43"/>
  <c r="AQ58" i="43"/>
  <c r="AR58" i="43"/>
  <c r="AS58" i="43"/>
  <c r="AP59" i="43"/>
  <c r="AQ59" i="43"/>
  <c r="AR59" i="43"/>
  <c r="AS59" i="43" s="1"/>
  <c r="AP60" i="43"/>
  <c r="AQ60" i="43"/>
  <c r="AR60" i="43"/>
  <c r="AS60" i="43"/>
  <c r="AP61" i="43"/>
  <c r="AQ61" i="43"/>
  <c r="AR61" i="43"/>
  <c r="AS61" i="43"/>
  <c r="AP62" i="43"/>
  <c r="AQ62" i="43"/>
  <c r="AR62" i="43"/>
  <c r="AS62" i="43"/>
  <c r="AP63" i="43"/>
  <c r="AQ63" i="43"/>
  <c r="AR63" i="43"/>
  <c r="AS63" i="43" s="1"/>
  <c r="AG35" i="43"/>
  <c r="AH35" i="43"/>
  <c r="AI35" i="43"/>
  <c r="AJ35" i="43"/>
  <c r="AK35" i="43" s="1"/>
  <c r="AL35" i="43"/>
  <c r="AM35" i="43"/>
  <c r="AG36" i="43"/>
  <c r="AH36" i="43"/>
  <c r="AI36" i="43"/>
  <c r="AJ36" i="43"/>
  <c r="AK36" i="43" s="1"/>
  <c r="AL36" i="43"/>
  <c r="AM36" i="43"/>
  <c r="AG37" i="43"/>
  <c r="AH37" i="43"/>
  <c r="AI37" i="43"/>
  <c r="AJ37" i="43"/>
  <c r="AK37" i="43" s="1"/>
  <c r="AL37" i="43"/>
  <c r="AM37" i="43" s="1"/>
  <c r="AG38" i="43"/>
  <c r="AH38" i="43"/>
  <c r="AI38" i="43"/>
  <c r="AJ38" i="43"/>
  <c r="AK38" i="43"/>
  <c r="AL38" i="43"/>
  <c r="AM38" i="43" s="1"/>
  <c r="AG39" i="43"/>
  <c r="AH39" i="43"/>
  <c r="AI39" i="43"/>
  <c r="AJ39" i="43"/>
  <c r="AK39" i="43" s="1"/>
  <c r="AL39" i="43"/>
  <c r="AM39" i="43" s="1"/>
  <c r="AG40" i="43"/>
  <c r="AH40" i="43"/>
  <c r="AI40" i="43"/>
  <c r="AJ40" i="43"/>
  <c r="AK40" i="43"/>
  <c r="AL40" i="43"/>
  <c r="AM40" i="43"/>
  <c r="AG41" i="43"/>
  <c r="AH41" i="43"/>
  <c r="AI41" i="43"/>
  <c r="AJ41" i="43"/>
  <c r="AK41" i="43"/>
  <c r="AL41" i="43"/>
  <c r="AM41" i="43" s="1"/>
  <c r="AG42" i="43"/>
  <c r="AH42" i="43"/>
  <c r="AI42" i="43"/>
  <c r="AJ42" i="43"/>
  <c r="AK42" i="43"/>
  <c r="AL42" i="43"/>
  <c r="AM42" i="43"/>
  <c r="AG43" i="43"/>
  <c r="AH43" i="43"/>
  <c r="AI43" i="43"/>
  <c r="AJ43" i="43"/>
  <c r="AK43" i="43"/>
  <c r="AL43" i="43"/>
  <c r="AM43" i="43"/>
  <c r="AG44" i="43"/>
  <c r="AH44" i="43"/>
  <c r="AI44" i="43"/>
  <c r="AJ44" i="43"/>
  <c r="AK44" i="43"/>
  <c r="AL44" i="43"/>
  <c r="AM44" i="43"/>
  <c r="AG45" i="43"/>
  <c r="AH45" i="43"/>
  <c r="AI45" i="43"/>
  <c r="AJ45" i="43"/>
  <c r="AK45" i="43" s="1"/>
  <c r="AL45" i="43"/>
  <c r="AM45" i="43"/>
  <c r="AG46" i="43"/>
  <c r="AH46" i="43"/>
  <c r="AI46" i="43"/>
  <c r="AJ46" i="43"/>
  <c r="AK46" i="43"/>
  <c r="AL46" i="43"/>
  <c r="AM46" i="43"/>
  <c r="AG47" i="43"/>
  <c r="AH47" i="43"/>
  <c r="AI47" i="43"/>
  <c r="AJ47" i="43"/>
  <c r="AK47" i="43" s="1"/>
  <c r="AL47" i="43"/>
  <c r="AM47" i="43" s="1"/>
  <c r="AG48" i="43"/>
  <c r="AH48" i="43"/>
  <c r="AI48" i="43"/>
  <c r="AJ48" i="43"/>
  <c r="AK48" i="43"/>
  <c r="AL48" i="43"/>
  <c r="AM48" i="43"/>
  <c r="AG49" i="43"/>
  <c r="AH49" i="43"/>
  <c r="AI49" i="43"/>
  <c r="AJ49" i="43"/>
  <c r="AK49" i="43"/>
  <c r="AL49" i="43"/>
  <c r="AM49" i="43" s="1"/>
  <c r="AG50" i="43"/>
  <c r="AH50" i="43"/>
  <c r="AI50" i="43"/>
  <c r="AJ50" i="43"/>
  <c r="AK50" i="43"/>
  <c r="AL50" i="43"/>
  <c r="AM50" i="43"/>
  <c r="AG51" i="43"/>
  <c r="AH51" i="43"/>
  <c r="AI51" i="43"/>
  <c r="AJ51" i="43"/>
  <c r="AK51" i="43" s="1"/>
  <c r="AL51" i="43"/>
  <c r="AM51" i="43"/>
  <c r="AG52" i="43"/>
  <c r="AH52" i="43"/>
  <c r="AI52" i="43"/>
  <c r="AJ52" i="43"/>
  <c r="AK52" i="43"/>
  <c r="AL52" i="43"/>
  <c r="AM52" i="43"/>
  <c r="AG53" i="43"/>
  <c r="AH53" i="43"/>
  <c r="AI53" i="43"/>
  <c r="AJ53" i="43"/>
  <c r="AK53" i="43" s="1"/>
  <c r="AL53" i="43"/>
  <c r="AM53" i="43" s="1"/>
  <c r="AG54" i="43"/>
  <c r="AH54" i="43"/>
  <c r="AI54" i="43"/>
  <c r="AJ54" i="43"/>
  <c r="AK54" i="43"/>
  <c r="AL54" i="43"/>
  <c r="AM54" i="43"/>
  <c r="AG55" i="43"/>
  <c r="AH55" i="43"/>
  <c r="AI55" i="43"/>
  <c r="AJ55" i="43"/>
  <c r="AK55" i="43" s="1"/>
  <c r="AL55" i="43"/>
  <c r="AM55" i="43" s="1"/>
  <c r="AG56" i="43"/>
  <c r="AH56" i="43"/>
  <c r="AI56" i="43"/>
  <c r="AJ56" i="43"/>
  <c r="AK56" i="43"/>
  <c r="AL56" i="43"/>
  <c r="AM56" i="43"/>
  <c r="AG57" i="43"/>
  <c r="AH57" i="43"/>
  <c r="AI57" i="43"/>
  <c r="AJ57" i="43"/>
  <c r="AK57" i="43"/>
  <c r="AL57" i="43"/>
  <c r="AM57" i="43" s="1"/>
  <c r="AG58" i="43"/>
  <c r="AH58" i="43"/>
  <c r="AI58" i="43"/>
  <c r="AJ58" i="43"/>
  <c r="AK58" i="43"/>
  <c r="AL58" i="43"/>
  <c r="AM58" i="43"/>
  <c r="AG59" i="43"/>
  <c r="AH59" i="43"/>
  <c r="AI59" i="43"/>
  <c r="AJ59" i="43"/>
  <c r="AK59" i="43" s="1"/>
  <c r="AL59" i="43"/>
  <c r="AM59" i="43"/>
  <c r="AG60" i="43"/>
  <c r="AH60" i="43"/>
  <c r="AI60" i="43"/>
  <c r="AJ60" i="43"/>
  <c r="AK60" i="43"/>
  <c r="AL60" i="43"/>
  <c r="AM60" i="43"/>
  <c r="AG61" i="43"/>
  <c r="AH61" i="43"/>
  <c r="AI61" i="43"/>
  <c r="AJ61" i="43"/>
  <c r="AK61" i="43" s="1"/>
  <c r="AL61" i="43"/>
  <c r="AM61" i="43" s="1"/>
  <c r="AG62" i="43"/>
  <c r="AH62" i="43"/>
  <c r="AI62" i="43"/>
  <c r="AJ62" i="43"/>
  <c r="AK62" i="43"/>
  <c r="AL62" i="43"/>
  <c r="AM62" i="43"/>
  <c r="AG63" i="43"/>
  <c r="AH63" i="43"/>
  <c r="AI63" i="43"/>
  <c r="AJ63" i="43"/>
  <c r="AK63" i="43" s="1"/>
  <c r="AL63" i="43"/>
  <c r="AM63" i="43" s="1"/>
  <c r="AS34" i="43"/>
  <c r="AR34" i="43"/>
  <c r="AQ34" i="43"/>
  <c r="AP34" i="43"/>
  <c r="AM34" i="43"/>
  <c r="AL34" i="43"/>
  <c r="AK34" i="43"/>
  <c r="AJ34" i="43"/>
  <c r="AI34" i="43"/>
  <c r="AG34" i="43"/>
  <c r="AH34" i="43"/>
  <c r="AN116" i="40"/>
  <c r="B126" i="40" s="1"/>
  <c r="B125" i="40"/>
  <c r="B124" i="40"/>
  <c r="B123" i="40"/>
  <c r="B119" i="40"/>
  <c r="AL116" i="40" a="1"/>
  <c r="AL116" i="40" s="1"/>
  <c r="AK116" i="40"/>
  <c r="AM116" i="40"/>
  <c r="AJ116" i="40"/>
  <c r="AI116" i="40"/>
  <c r="AH116" i="40"/>
  <c r="AG116" i="40"/>
  <c r="B122" i="40" s="1"/>
  <c r="AJ91" i="40"/>
  <c r="B106" i="40"/>
  <c r="B104" i="40"/>
  <c r="AM99" i="40"/>
  <c r="AK99" i="40"/>
  <c r="AH99" i="40"/>
  <c r="AJ92" i="40"/>
  <c r="AI92" i="40" a="1"/>
  <c r="AI92" i="40" s="1"/>
  <c r="AH92" i="40"/>
  <c r="AK92" i="40"/>
  <c r="AL92" i="40"/>
  <c r="AM92" i="40" s="1"/>
  <c r="AH93" i="40"/>
  <c r="AI93" i="40" a="1"/>
  <c r="AI93" i="40" s="1"/>
  <c r="AJ93" i="40"/>
  <c r="AK93" i="40"/>
  <c r="AL93" i="40"/>
  <c r="AM93" i="40" s="1"/>
  <c r="AH94" i="40"/>
  <c r="AI94" i="40" a="1"/>
  <c r="AI94" i="40" s="1"/>
  <c r="AJ94" i="40"/>
  <c r="AK94" i="40"/>
  <c r="AL94" i="40"/>
  <c r="AM94" i="40" s="1"/>
  <c r="AH95" i="40"/>
  <c r="AI95" i="40" a="1"/>
  <c r="AI95" i="40" s="1"/>
  <c r="AJ95" i="40"/>
  <c r="AK95" i="40"/>
  <c r="AL95" i="40"/>
  <c r="AM95" i="40" s="1"/>
  <c r="AH96" i="40"/>
  <c r="AI96" i="40" a="1"/>
  <c r="AI96" i="40" s="1"/>
  <c r="AJ96" i="40"/>
  <c r="AK96" i="40"/>
  <c r="AL96" i="40"/>
  <c r="AM96" i="40" s="1"/>
  <c r="AH97" i="40"/>
  <c r="AI97" i="40" a="1"/>
  <c r="AI97" i="40" s="1"/>
  <c r="AJ97" i="40"/>
  <c r="AK97" i="40"/>
  <c r="AL97" i="40"/>
  <c r="AM97" i="40" s="1"/>
  <c r="AH98" i="40"/>
  <c r="AI98" i="40" a="1"/>
  <c r="AI98" i="40" s="1"/>
  <c r="AJ98" i="40"/>
  <c r="AK98" i="40"/>
  <c r="AL98" i="40"/>
  <c r="AM98" i="40" s="1"/>
  <c r="AM91" i="40"/>
  <c r="AL91" i="40"/>
  <c r="AK91" i="40"/>
  <c r="AI91" i="40" a="1"/>
  <c r="AI91" i="40" s="1"/>
  <c r="AH91" i="40"/>
  <c r="B82" i="40"/>
  <c r="B81" i="40"/>
  <c r="B80" i="40"/>
  <c r="B79" i="40"/>
  <c r="AS76" i="40"/>
  <c r="BA75" i="40"/>
  <c r="BA76" i="40" s="1"/>
  <c r="AT75" i="40"/>
  <c r="AT76" i="40" s="1"/>
  <c r="AR75" i="40"/>
  <c r="AQ75" i="40"/>
  <c r="AP75" i="40"/>
  <c r="AO75" i="40"/>
  <c r="AN75" i="40"/>
  <c r="AM75" i="40"/>
  <c r="AL75" i="40"/>
  <c r="AK75" i="40"/>
  <c r="AJ75" i="40"/>
  <c r="AH75" i="40"/>
  <c r="AG75" i="40"/>
  <c r="AI72" i="40"/>
  <c r="AH72" i="40"/>
  <c r="AG72" i="40"/>
  <c r="AV76" i="40"/>
  <c r="AU76" i="40"/>
  <c r="AZ75" i="40"/>
  <c r="AZ76" i="40" s="1"/>
  <c r="AY75" i="40"/>
  <c r="AY76" i="40" s="1"/>
  <c r="AX75" i="40"/>
  <c r="AX76" i="40" s="1"/>
  <c r="AW75" i="40"/>
  <c r="AW76" i="40" s="1"/>
  <c r="AV75" i="40"/>
  <c r="AU75" i="40"/>
  <c r="AS75" i="40"/>
  <c r="AJ52" i="40"/>
  <c r="AK52" i="40"/>
  <c r="AL52" i="40" s="1"/>
  <c r="AJ53" i="40"/>
  <c r="AK53" i="40"/>
  <c r="AL53" i="40" s="1"/>
  <c r="AJ54" i="40"/>
  <c r="AK54" i="40"/>
  <c r="AL54" i="40" s="1"/>
  <c r="AJ55" i="40"/>
  <c r="AK55" i="40"/>
  <c r="AL55" i="40" s="1"/>
  <c r="AJ56" i="40"/>
  <c r="AK56" i="40"/>
  <c r="AL56" i="40" s="1"/>
  <c r="AJ57" i="40"/>
  <c r="AK57" i="40"/>
  <c r="AL57" i="40"/>
  <c r="AJ58" i="40"/>
  <c r="AK58" i="40"/>
  <c r="AL58" i="40" s="1"/>
  <c r="AG52" i="40"/>
  <c r="AH52" i="40"/>
  <c r="AG53" i="40"/>
  <c r="AH53" i="40"/>
  <c r="AG54" i="40"/>
  <c r="AH54" i="40"/>
  <c r="AG55" i="40"/>
  <c r="AH55" i="40"/>
  <c r="AG56" i="40"/>
  <c r="AH56" i="40"/>
  <c r="AG57" i="40"/>
  <c r="AH57" i="40"/>
  <c r="AH58" i="40"/>
  <c r="AK51" i="40"/>
  <c r="AL51" i="40" s="1"/>
  <c r="AJ51" i="40"/>
  <c r="AH51" i="40"/>
  <c r="AG51" i="40"/>
  <c r="D98" i="40"/>
  <c r="D92" i="40"/>
  <c r="D93" i="40"/>
  <c r="D94" i="40"/>
  <c r="D95" i="40"/>
  <c r="D96" i="40"/>
  <c r="D97" i="40"/>
  <c r="D91" i="40"/>
  <c r="D58" i="40"/>
  <c r="AG58" i="40" s="1"/>
  <c r="D52" i="40"/>
  <c r="D53" i="40"/>
  <c r="D54" i="40"/>
  <c r="D55" i="40"/>
  <c r="D56" i="40"/>
  <c r="D57" i="40"/>
  <c r="D52" i="59"/>
  <c r="Y99" i="40"/>
  <c r="M70" i="37"/>
  <c r="B42" i="40"/>
  <c r="B41" i="40"/>
  <c r="B40" i="40"/>
  <c r="B39" i="40"/>
  <c r="AJ32" i="40"/>
  <c r="AL31" i="40"/>
  <c r="AK31" i="40"/>
  <c r="AJ31" i="40"/>
  <c r="AI31" i="40"/>
  <c r="AH31" i="40"/>
  <c r="AG31" i="40"/>
  <c r="AK33" i="40"/>
  <c r="AL33" i="40" s="1"/>
  <c r="AJ33" i="40"/>
  <c r="AK32" i="40"/>
  <c r="AL32" i="40" s="1"/>
  <c r="B521" i="37"/>
  <c r="B520" i="37"/>
  <c r="AL515" i="37"/>
  <c r="AK515" i="37"/>
  <c r="AM515" i="37"/>
  <c r="B522" i="37" s="1"/>
  <c r="AJ515" i="37"/>
  <c r="AI515" i="37"/>
  <c r="AH515" i="37"/>
  <c r="AG515" i="37"/>
  <c r="B519" i="37" s="1"/>
  <c r="AH500" i="37"/>
  <c r="B505" i="37" s="1"/>
  <c r="AG500" i="37"/>
  <c r="B504" i="37" s="1"/>
  <c r="AH486" i="37"/>
  <c r="B491" i="37" s="1"/>
  <c r="AG486" i="37"/>
  <c r="B490" i="37" s="1"/>
  <c r="AN473" i="37"/>
  <c r="AP473" i="37"/>
  <c r="B481" i="37" s="1"/>
  <c r="AO473" i="37"/>
  <c r="B478" i="37" s="1"/>
  <c r="AK473" i="37"/>
  <c r="AL473" i="37" s="1"/>
  <c r="AL474" i="37" s="1"/>
  <c r="AI473" i="37"/>
  <c r="AJ473" i="37" s="1"/>
  <c r="AH473" i="37"/>
  <c r="AH474" i="37" s="1"/>
  <c r="B477" i="37"/>
  <c r="B451" i="37"/>
  <c r="B459" i="37"/>
  <c r="B458" i="37"/>
  <c r="B457" i="37"/>
  <c r="B456" i="37"/>
  <c r="B455" i="37"/>
  <c r="AJ451" i="37"/>
  <c r="BC451" i="37"/>
  <c r="BD451" i="37"/>
  <c r="BB452" i="37"/>
  <c r="AZ452" i="37"/>
  <c r="BA452" i="37"/>
  <c r="BB453" i="37" s="1"/>
  <c r="AW452" i="37"/>
  <c r="AX452" i="37"/>
  <c r="AY452" i="37"/>
  <c r="AT452" i="37"/>
  <c r="AU452" i="37"/>
  <c r="AV452" i="37"/>
  <c r="AQ452" i="37"/>
  <c r="AR452" i="37"/>
  <c r="AS452" i="37"/>
  <c r="AN452" i="37"/>
  <c r="AO452" i="37"/>
  <c r="AP452" i="37"/>
  <c r="AM452" i="37"/>
  <c r="AL452" i="37"/>
  <c r="AK452" i="37"/>
  <c r="AI451" i="37"/>
  <c r="AH451" i="37"/>
  <c r="AG451" i="37"/>
  <c r="BC448" i="37"/>
  <c r="BB448" i="37"/>
  <c r="AL449" i="37" s="1"/>
  <c r="BA448" i="37"/>
  <c r="AZ448" i="37"/>
  <c r="AN449" i="37" s="1"/>
  <c r="AY448" i="37"/>
  <c r="AX448" i="37"/>
  <c r="AW448" i="37"/>
  <c r="AV448" i="37"/>
  <c r="AU448" i="37"/>
  <c r="AT448" i="37"/>
  <c r="AS448" i="37"/>
  <c r="AR448" i="37"/>
  <c r="AQ448" i="37"/>
  <c r="AP448" i="37"/>
  <c r="AO448" i="37"/>
  <c r="AN448" i="37"/>
  <c r="AM448" i="37"/>
  <c r="AL448" i="37"/>
  <c r="AK448" i="37"/>
  <c r="AJ448" i="37"/>
  <c r="AI448" i="37"/>
  <c r="AH448" i="37"/>
  <c r="AG448" i="37"/>
  <c r="B454" i="37" s="1"/>
  <c r="AI428" i="37"/>
  <c r="AH428" i="37"/>
  <c r="B433" i="37" s="1"/>
  <c r="B432" i="37"/>
  <c r="AG428" i="37"/>
  <c r="B416" i="37"/>
  <c r="AJ406" i="37"/>
  <c r="AI406" i="37"/>
  <c r="AH406" i="37"/>
  <c r="AK406" i="37"/>
  <c r="AJ407" i="37"/>
  <c r="AJ408" i="37"/>
  <c r="AJ409" i="37"/>
  <c r="AJ410" i="37"/>
  <c r="AJ411" i="37"/>
  <c r="AJ412" i="37"/>
  <c r="AJ413" i="37"/>
  <c r="AG410" i="37"/>
  <c r="AH407" i="37"/>
  <c r="AG413" i="37"/>
  <c r="AG412" i="37"/>
  <c r="AG411" i="37"/>
  <c r="AG407" i="37"/>
  <c r="AG408" i="37"/>
  <c r="AG409" i="37"/>
  <c r="AG406" i="37"/>
  <c r="AH413" i="37"/>
  <c r="AH412" i="37"/>
  <c r="AH411" i="37"/>
  <c r="AH410" i="37"/>
  <c r="AH409" i="37"/>
  <c r="AH408" i="37"/>
  <c r="BB324" i="46" l="1"/>
  <c r="BB424" i="46" s="1"/>
  <c r="AZ324" i="46"/>
  <c r="AZ424" i="46" s="1"/>
  <c r="AV324" i="46"/>
  <c r="AV424" i="46" s="1"/>
  <c r="B159" i="58"/>
  <c r="AQ64" i="43"/>
  <c r="B66" i="43" s="1"/>
  <c r="BF424" i="46"/>
  <c r="BD424" i="46"/>
  <c r="AT424" i="46"/>
  <c r="B448" i="46" s="1"/>
  <c r="AX424" i="46"/>
  <c r="AN383" i="49"/>
  <c r="BC205" i="49"/>
  <c r="B223" i="49" s="1"/>
  <c r="BE166" i="49"/>
  <c r="BC166" i="49"/>
  <c r="BD166" i="49"/>
  <c r="AS205" i="49"/>
  <c r="AL206" i="49" s="1"/>
  <c r="AK205" i="49"/>
  <c r="AV245" i="49"/>
  <c r="AM245" i="49"/>
  <c r="AS245" i="49"/>
  <c r="AM259" i="49"/>
  <c r="AN73" i="49"/>
  <c r="BE164" i="49"/>
  <c r="BC164" i="49"/>
  <c r="BD164" i="49"/>
  <c r="BB167" i="49"/>
  <c r="BE181" i="49"/>
  <c r="BB181" i="49"/>
  <c r="AY181" i="49"/>
  <c r="AQ181" i="49"/>
  <c r="AQ205" i="49"/>
  <c r="AQ245" i="49"/>
  <c r="BC161" i="49"/>
  <c r="BD161" i="49"/>
  <c r="BE161" i="49"/>
  <c r="AY167" i="49"/>
  <c r="AK181" i="49"/>
  <c r="AP181" i="49"/>
  <c r="AL182" i="49" s="1"/>
  <c r="BE219" i="49"/>
  <c r="AW219" i="49"/>
  <c r="AP245" i="49"/>
  <c r="AK259" i="49"/>
  <c r="BF623" i="49"/>
  <c r="AG478" i="49"/>
  <c r="B482" i="49" s="1"/>
  <c r="AG455" i="49"/>
  <c r="B459" i="49" s="1"/>
  <c r="AG432" i="49"/>
  <c r="B436" i="49" s="1"/>
  <c r="AH478" i="49"/>
  <c r="AH432" i="49"/>
  <c r="AG501" i="49"/>
  <c r="B505" i="49" s="1"/>
  <c r="AG623" i="49"/>
  <c r="AG559" i="49"/>
  <c r="AH501" i="49"/>
  <c r="AH455" i="49"/>
  <c r="AH623" i="49"/>
  <c r="AH559" i="49"/>
  <c r="BF501" i="49"/>
  <c r="BF478" i="49"/>
  <c r="BF455" i="49"/>
  <c r="BF432" i="49"/>
  <c r="AH382" i="49"/>
  <c r="AG382" i="49"/>
  <c r="B386" i="49" s="1"/>
  <c r="AH359" i="49"/>
  <c r="BF382" i="49"/>
  <c r="AG359" i="49"/>
  <c r="B363" i="49" s="1"/>
  <c r="BF359" i="49"/>
  <c r="BC162" i="49"/>
  <c r="BD162" i="49"/>
  <c r="BE162" i="49"/>
  <c r="AW181" i="49"/>
  <c r="AW205" i="49"/>
  <c r="AV259" i="49"/>
  <c r="AL260" i="49" s="1"/>
  <c r="AT259" i="49"/>
  <c r="AS259" i="49"/>
  <c r="AY259" i="49"/>
  <c r="AQ259" i="49"/>
  <c r="BC165" i="49"/>
  <c r="BD165" i="49"/>
  <c r="BE165" i="49"/>
  <c r="AN181" i="49"/>
  <c r="AN205" i="49"/>
  <c r="AT219" i="49"/>
  <c r="AS219" i="49"/>
  <c r="AP219" i="49"/>
  <c r="BC219" i="49"/>
  <c r="AM219" i="49"/>
  <c r="AZ219" i="49"/>
  <c r="AN245" i="49"/>
  <c r="AN246" i="49" s="1"/>
  <c r="AP259" i="49"/>
  <c r="BC160" i="49"/>
  <c r="BD160" i="49"/>
  <c r="BE160" i="49"/>
  <c r="BB219" i="49"/>
  <c r="AY219" i="49"/>
  <c r="AQ219" i="49"/>
  <c r="AH245" i="49"/>
  <c r="AW259" i="49"/>
  <c r="BC163" i="49"/>
  <c r="BD163" i="49"/>
  <c r="BE163" i="49"/>
  <c r="BD159" i="49"/>
  <c r="BC159" i="49"/>
  <c r="BE159" i="49"/>
  <c r="AK219" i="49"/>
  <c r="AG245" i="49"/>
  <c r="B263" i="49" s="1"/>
  <c r="AT245" i="49"/>
  <c r="AN259" i="49"/>
  <c r="AL168" i="49"/>
  <c r="AG48" i="49"/>
  <c r="B52" i="49" s="1"/>
  <c r="AM701" i="48"/>
  <c r="AL702" i="48" s="1"/>
  <c r="AL704" i="48" s="1"/>
  <c r="AI489" i="48"/>
  <c r="AN367" i="48"/>
  <c r="AN344" i="48"/>
  <c r="AL344" i="48"/>
  <c r="B464" i="58"/>
  <c r="AT426" i="58"/>
  <c r="B436" i="58" s="1"/>
  <c r="AK300" i="58"/>
  <c r="AG99" i="40"/>
  <c r="B103" i="40" s="1"/>
  <c r="AJ270" i="58"/>
  <c r="B229" i="58"/>
  <c r="B95" i="58"/>
  <c r="B66" i="58"/>
  <c r="AG81" i="46"/>
  <c r="BF114" i="46"/>
  <c r="C168" i="46" s="1"/>
  <c r="AG80" i="46"/>
  <c r="AG66" i="46"/>
  <c r="AP64" i="43"/>
  <c r="AG64" i="43"/>
  <c r="B92" i="43" s="1"/>
  <c r="B94" i="58"/>
  <c r="AG340" i="58"/>
  <c r="B344" i="58" s="1"/>
  <c r="AG270" i="58"/>
  <c r="B275" i="58" s="1"/>
  <c r="AG228" i="46"/>
  <c r="B245" i="46" s="1"/>
  <c r="B122" i="58"/>
  <c r="AP361" i="49"/>
  <c r="AN361" i="49"/>
  <c r="AL361" i="49"/>
  <c r="AJ454" i="58"/>
  <c r="B462" i="58" s="1"/>
  <c r="AJ426" i="58"/>
  <c r="B434" i="58" s="1"/>
  <c r="AH426" i="58"/>
  <c r="B433" i="58" s="1"/>
  <c r="AT399" i="58"/>
  <c r="B409" i="58" s="1"/>
  <c r="AP388" i="58"/>
  <c r="AJ399" i="58"/>
  <c r="AH399" i="58"/>
  <c r="AT365" i="58"/>
  <c r="B375" i="58" s="1"/>
  <c r="AP359" i="58"/>
  <c r="B374" i="58" s="1"/>
  <c r="AJ359" i="58"/>
  <c r="AJ365" i="58" s="1"/>
  <c r="AT340" i="58"/>
  <c r="B348" i="58" s="1"/>
  <c r="AN206" i="49"/>
  <c r="AN168" i="49"/>
  <c r="AN138" i="49"/>
  <c r="AL138" i="49"/>
  <c r="AN113" i="49"/>
  <c r="AL113" i="49"/>
  <c r="AN98" i="49"/>
  <c r="AL98" i="49"/>
  <c r="AL73" i="49"/>
  <c r="AJ300" i="58"/>
  <c r="AG300" i="58"/>
  <c r="B305" i="58" s="1"/>
  <c r="AN702" i="48"/>
  <c r="AP521" i="48"/>
  <c r="AL521" i="48"/>
  <c r="AN521" i="48"/>
  <c r="AN490" i="48"/>
  <c r="AL490" i="48"/>
  <c r="AN425" i="48"/>
  <c r="AN321" i="48"/>
  <c r="AM142" i="58"/>
  <c r="AN142" i="58" s="1"/>
  <c r="AS424" i="46"/>
  <c r="AJ424" i="46"/>
  <c r="AH424" i="46"/>
  <c r="B445" i="46" s="1"/>
  <c r="AG424" i="46"/>
  <c r="B444" i="46" s="1"/>
  <c r="AG267" i="46"/>
  <c r="B286" i="46" s="1"/>
  <c r="AH267" i="46"/>
  <c r="AJ224" i="46"/>
  <c r="AJ228" i="46" s="1"/>
  <c r="AN228" i="46"/>
  <c r="AP228" i="46"/>
  <c r="B250" i="46" s="1"/>
  <c r="AL228" i="46"/>
  <c r="B249" i="46" s="1"/>
  <c r="AO228" i="46"/>
  <c r="AP168" i="46"/>
  <c r="AH114" i="46"/>
  <c r="B201" i="46" s="1"/>
  <c r="AL168" i="46"/>
  <c r="AM168" i="46"/>
  <c r="AN168" i="46"/>
  <c r="AO168" i="46"/>
  <c r="AX114" i="46"/>
  <c r="B204" i="46" s="1"/>
  <c r="AJ59" i="40"/>
  <c r="AL59" i="40"/>
  <c r="AG59" i="40"/>
  <c r="B63" i="40" s="1"/>
  <c r="AH59" i="40"/>
  <c r="B64" i="40" s="1"/>
  <c r="AI99" i="40"/>
  <c r="B105" i="40" s="1"/>
  <c r="AJ99" i="40"/>
  <c r="AR76" i="40"/>
  <c r="BA77" i="40"/>
  <c r="AJ34" i="40"/>
  <c r="AL34" i="40"/>
  <c r="AJ474" i="37"/>
  <c r="AM474" i="37" s="1"/>
  <c r="B480" i="37" s="1"/>
  <c r="AI452" i="37"/>
  <c r="AJ414" i="37"/>
  <c r="AH414" i="37"/>
  <c r="AG414" i="37"/>
  <c r="B419" i="37" s="1"/>
  <c r="BF425" i="46" l="1"/>
  <c r="B424" i="46" s="1"/>
  <c r="AL246" i="49"/>
  <c r="AL220" i="49"/>
  <c r="AL222" i="49" s="1"/>
  <c r="AN220" i="49"/>
  <c r="AN221" i="49" s="1"/>
  <c r="AN182" i="49"/>
  <c r="AN139" i="49"/>
  <c r="AL139" i="49"/>
  <c r="AP139" i="49"/>
  <c r="AN260" i="49"/>
  <c r="B144" i="49"/>
  <c r="BE167" i="49"/>
  <c r="BC167" i="49"/>
  <c r="B185" i="49" s="1"/>
  <c r="BD205" i="49"/>
  <c r="BD167" i="49"/>
  <c r="AL74" i="49"/>
  <c r="B79" i="49" s="1"/>
  <c r="AP74" i="49"/>
  <c r="AN74" i="49"/>
  <c r="AL115" i="49"/>
  <c r="AG114" i="46"/>
  <c r="B200" i="46" s="1"/>
  <c r="AN247" i="49"/>
  <c r="AP247" i="49"/>
  <c r="AL247" i="49"/>
  <c r="AL207" i="49"/>
  <c r="AN207" i="49"/>
  <c r="AP207" i="49"/>
  <c r="AN222" i="49"/>
  <c r="AL221" i="49"/>
  <c r="AL183" i="49"/>
  <c r="AN183" i="49"/>
  <c r="AP183" i="49"/>
  <c r="AL169" i="49"/>
  <c r="AN169" i="49"/>
  <c r="AP169" i="49"/>
  <c r="AL114" i="49"/>
  <c r="AN114" i="49"/>
  <c r="AP114" i="49"/>
  <c r="AN115" i="49"/>
  <c r="AN99" i="49"/>
  <c r="AL99" i="49"/>
  <c r="AP99" i="49"/>
  <c r="AN703" i="48"/>
  <c r="AL703" i="48"/>
  <c r="AP703" i="48"/>
  <c r="B66" i="40"/>
  <c r="AD166" i="48"/>
  <c r="AC166" i="48"/>
  <c r="AB166" i="48"/>
  <c r="AA166" i="48"/>
  <c r="Z166" i="48"/>
  <c r="Y166" i="48"/>
  <c r="X166" i="48"/>
  <c r="W166" i="48"/>
  <c r="V166" i="48"/>
  <c r="U166" i="48"/>
  <c r="T166" i="48"/>
  <c r="S166" i="48"/>
  <c r="AV166" i="48"/>
  <c r="AW166" i="48"/>
  <c r="AT166" i="48"/>
  <c r="AS166" i="48"/>
  <c r="AQ166" i="48"/>
  <c r="AP166" i="48"/>
  <c r="AN166" i="48"/>
  <c r="AM166" i="48"/>
  <c r="AL158" i="48"/>
  <c r="AK158" i="48"/>
  <c r="AK166" i="48" s="1"/>
  <c r="AH166" i="48"/>
  <c r="AD143" i="48"/>
  <c r="AC143" i="48"/>
  <c r="AB143" i="48"/>
  <c r="AA143" i="48"/>
  <c r="Z143" i="48"/>
  <c r="Y143" i="48"/>
  <c r="X143" i="48"/>
  <c r="W143" i="48"/>
  <c r="V143" i="48"/>
  <c r="AQ143" i="48"/>
  <c r="AW143" i="48"/>
  <c r="AS143" i="48"/>
  <c r="AP143" i="48"/>
  <c r="AN143" i="48"/>
  <c r="AM143" i="48"/>
  <c r="AL135" i="48"/>
  <c r="AK135" i="48"/>
  <c r="AK143" i="48" s="1"/>
  <c r="AN144" i="48" s="1"/>
  <c r="AH143" i="48"/>
  <c r="AG143" i="48"/>
  <c r="B147" i="48" s="1"/>
  <c r="AD120" i="48"/>
  <c r="AC120" i="48"/>
  <c r="AB120" i="48"/>
  <c r="AA120" i="48"/>
  <c r="Z120" i="48"/>
  <c r="Y120" i="48"/>
  <c r="X120" i="48"/>
  <c r="W120" i="48"/>
  <c r="V120" i="48"/>
  <c r="U120" i="48"/>
  <c r="T120" i="48"/>
  <c r="S120" i="48"/>
  <c r="AT120" i="48"/>
  <c r="AW120" i="48"/>
  <c r="AV120" i="48"/>
  <c r="AS120" i="48"/>
  <c r="AQ120" i="48"/>
  <c r="AP120" i="48"/>
  <c r="AN120" i="48"/>
  <c r="AM120" i="48"/>
  <c r="AL112" i="48"/>
  <c r="AK112" i="48"/>
  <c r="AK120" i="48" s="1"/>
  <c r="AH120" i="48"/>
  <c r="AD96" i="48"/>
  <c r="AC96" i="48"/>
  <c r="AB96" i="48"/>
  <c r="AA96" i="48"/>
  <c r="Z96" i="48"/>
  <c r="Y96" i="48"/>
  <c r="X96" i="48"/>
  <c r="W96" i="48"/>
  <c r="V96" i="48"/>
  <c r="U96" i="48"/>
  <c r="T96" i="48"/>
  <c r="S96" i="48"/>
  <c r="AS96" i="48"/>
  <c r="AV96" i="48"/>
  <c r="AT96" i="48"/>
  <c r="AQ96" i="48"/>
  <c r="AP96" i="48"/>
  <c r="AN96" i="48"/>
  <c r="AM96" i="48"/>
  <c r="AL88" i="48"/>
  <c r="AK88" i="48"/>
  <c r="AK96" i="48" s="1"/>
  <c r="AG88" i="48"/>
  <c r="AG96" i="48" s="1"/>
  <c r="B100" i="48" s="1"/>
  <c r="Y71" i="48"/>
  <c r="S71" i="48"/>
  <c r="M71" i="48"/>
  <c r="AK71" i="48"/>
  <c r="AJ63" i="48"/>
  <c r="AI63" i="48"/>
  <c r="AI71" i="48" s="1"/>
  <c r="AG63" i="48"/>
  <c r="AG71" i="48" s="1"/>
  <c r="B75" i="48" s="1"/>
  <c r="AG34" i="48"/>
  <c r="B395" i="37"/>
  <c r="AK390" i="37"/>
  <c r="AI390" i="37"/>
  <c r="AJ390" i="37"/>
  <c r="AH390" i="37"/>
  <c r="AG390" i="37"/>
  <c r="B394" i="37" s="1"/>
  <c r="AH374" i="37"/>
  <c r="B379" i="37" s="1"/>
  <c r="AG374" i="37"/>
  <c r="B378" i="37" s="1"/>
  <c r="AH360" i="37"/>
  <c r="B365" i="37" s="1"/>
  <c r="AG360" i="37"/>
  <c r="B364" i="37" s="1"/>
  <c r="B355" i="37"/>
  <c r="B354" i="37"/>
  <c r="B352" i="37"/>
  <c r="AO347" i="37"/>
  <c r="AP347" i="37"/>
  <c r="AN347" i="37"/>
  <c r="AL347" i="37"/>
  <c r="AK347" i="37"/>
  <c r="AJ347" i="37"/>
  <c r="AI347" i="37"/>
  <c r="AH347" i="37"/>
  <c r="AH348" i="37" s="1"/>
  <c r="AG347" i="37"/>
  <c r="B351" i="37" s="1"/>
  <c r="AJ348" i="37"/>
  <c r="AI307" i="37"/>
  <c r="AJ307" i="37"/>
  <c r="B325" i="37"/>
  <c r="AK310" i="37"/>
  <c r="AJ310" i="37"/>
  <c r="AI310" i="37"/>
  <c r="AH310" i="37"/>
  <c r="AG310" i="37"/>
  <c r="AJ319" i="37"/>
  <c r="AK319" i="37" s="1"/>
  <c r="AH319" i="37"/>
  <c r="AI319" i="37" s="1"/>
  <c r="AG319" i="37"/>
  <c r="AJ318" i="37"/>
  <c r="AK318" i="37" s="1"/>
  <c r="AH318" i="37"/>
  <c r="AI318" i="37" s="1"/>
  <c r="AG318" i="37"/>
  <c r="AJ317" i="37"/>
  <c r="AK317" i="37" s="1"/>
  <c r="AH317" i="37"/>
  <c r="AI317" i="37" s="1"/>
  <c r="AG317" i="37"/>
  <c r="AJ316" i="37"/>
  <c r="AK316" i="37" s="1"/>
  <c r="AI316" i="37"/>
  <c r="AH316" i="37"/>
  <c r="AG316" i="37"/>
  <c r="AJ315" i="37"/>
  <c r="AK315" i="37" s="1"/>
  <c r="AI315" i="37"/>
  <c r="AH315" i="37"/>
  <c r="AG315" i="37"/>
  <c r="AK314" i="37"/>
  <c r="AJ314" i="37"/>
  <c r="AI314" i="37"/>
  <c r="AH314" i="37"/>
  <c r="AG314" i="37"/>
  <c r="AK313" i="37"/>
  <c r="AJ313" i="37"/>
  <c r="AI313" i="37"/>
  <c r="AH313" i="37"/>
  <c r="AG313" i="37"/>
  <c r="AK312" i="37"/>
  <c r="AJ312" i="37"/>
  <c r="AH312" i="37"/>
  <c r="AI312" i="37" s="1"/>
  <c r="AG312" i="37"/>
  <c r="AK311" i="37"/>
  <c r="AJ311" i="37"/>
  <c r="AH311" i="37"/>
  <c r="AI311" i="37" s="1"/>
  <c r="AG311" i="37"/>
  <c r="AG320" i="37"/>
  <c r="AH307" i="37"/>
  <c r="B324" i="37" s="1"/>
  <c r="B323" i="37"/>
  <c r="B294" i="37"/>
  <c r="AJ288" i="37"/>
  <c r="AI288" i="37"/>
  <c r="AH288" i="37"/>
  <c r="AH289" i="37" s="1"/>
  <c r="AG282" i="37"/>
  <c r="AG283" i="37"/>
  <c r="AG284" i="37"/>
  <c r="AG285" i="37"/>
  <c r="AG286" i="37"/>
  <c r="AG287" i="37"/>
  <c r="AI281" i="37"/>
  <c r="AK281" i="37"/>
  <c r="AJ281" i="37"/>
  <c r="AH282" i="37"/>
  <c r="AI282" i="37"/>
  <c r="AJ282" i="37"/>
  <c r="AK282" i="37"/>
  <c r="AH283" i="37"/>
  <c r="AI283" i="37"/>
  <c r="AJ283" i="37"/>
  <c r="AK283" i="37"/>
  <c r="AH284" i="37"/>
  <c r="AI284" i="37"/>
  <c r="AJ284" i="37"/>
  <c r="AK284" i="37"/>
  <c r="AH285" i="37"/>
  <c r="AI285" i="37"/>
  <c r="AJ285" i="37"/>
  <c r="AK285" i="37"/>
  <c r="AH286" i="37"/>
  <c r="AI286" i="37"/>
  <c r="AJ286" i="37"/>
  <c r="AK286" i="37"/>
  <c r="AH287" i="37"/>
  <c r="AI287" i="37"/>
  <c r="AJ287" i="37"/>
  <c r="AK287" i="37"/>
  <c r="AK288" i="37"/>
  <c r="AH281" i="37"/>
  <c r="D286" i="37"/>
  <c r="D282" i="37"/>
  <c r="D283" i="37"/>
  <c r="D284" i="37"/>
  <c r="D285" i="37"/>
  <c r="D287" i="37"/>
  <c r="D288" i="37"/>
  <c r="AG288" i="37" s="1"/>
  <c r="D281" i="37"/>
  <c r="AG281" i="37" s="1"/>
  <c r="B274" i="37"/>
  <c r="B273" i="37"/>
  <c r="B272" i="37"/>
  <c r="B267" i="37"/>
  <c r="AR264" i="37"/>
  <c r="AQ264" i="37"/>
  <c r="AH264" i="37"/>
  <c r="AI264" i="37"/>
  <c r="AP260" i="37"/>
  <c r="AQ260" i="37"/>
  <c r="AR260" i="37"/>
  <c r="AP261" i="37"/>
  <c r="AQ261" i="37"/>
  <c r="AR261" i="37"/>
  <c r="AP262" i="37"/>
  <c r="AP264" i="37" s="1"/>
  <c r="AR265" i="37" s="1"/>
  <c r="AQ262" i="37"/>
  <c r="AR262" i="37"/>
  <c r="AP263" i="37"/>
  <c r="AQ263" i="37"/>
  <c r="AR263" i="37"/>
  <c r="AS259" i="37"/>
  <c r="AG259" i="37"/>
  <c r="B270" i="37" s="1"/>
  <c r="AR259" i="37"/>
  <c r="AQ259" i="37"/>
  <c r="AP259" i="37"/>
  <c r="AN259" i="37"/>
  <c r="AM259" i="37"/>
  <c r="AH260" i="37"/>
  <c r="AI260" i="37"/>
  <c r="AJ260" i="37"/>
  <c r="AH261" i="37"/>
  <c r="AI261" i="37"/>
  <c r="AJ261" i="37"/>
  <c r="AH262" i="37"/>
  <c r="AJ262" i="37" s="1"/>
  <c r="AJ264" i="37" s="1"/>
  <c r="AI262" i="37"/>
  <c r="AH263" i="37"/>
  <c r="AI263" i="37"/>
  <c r="AJ263" i="37" s="1"/>
  <c r="AK259" i="37"/>
  <c r="AJ259" i="37"/>
  <c r="AI259" i="37"/>
  <c r="AH259" i="37"/>
  <c r="AG232" i="37"/>
  <c r="B246" i="37" s="1"/>
  <c r="B248" i="37"/>
  <c r="B247" i="37"/>
  <c r="AI242" i="37"/>
  <c r="AH242" i="37"/>
  <c r="AJ242" i="37"/>
  <c r="AH233" i="37"/>
  <c r="AI233" i="37"/>
  <c r="AJ233" i="37"/>
  <c r="AH234" i="37"/>
  <c r="AI234" i="37"/>
  <c r="AJ234" i="37"/>
  <c r="AH235" i="37"/>
  <c r="AI235" i="37"/>
  <c r="AJ235" i="37"/>
  <c r="AH236" i="37"/>
  <c r="AI236" i="37"/>
  <c r="AJ236" i="37"/>
  <c r="AH237" i="37"/>
  <c r="AI237" i="37"/>
  <c r="AJ237" i="37"/>
  <c r="AH238" i="37"/>
  <c r="AI238" i="37"/>
  <c r="AJ238" i="37"/>
  <c r="AH239" i="37"/>
  <c r="AI239" i="37"/>
  <c r="AJ239" i="37"/>
  <c r="AH240" i="37"/>
  <c r="AI240" i="37"/>
  <c r="AJ240" i="37"/>
  <c r="AH241" i="37"/>
  <c r="AI241" i="37"/>
  <c r="AJ241" i="37"/>
  <c r="AK232" i="37"/>
  <c r="AJ232" i="37"/>
  <c r="AI232" i="37"/>
  <c r="AH232" i="37"/>
  <c r="AH217" i="37"/>
  <c r="B222" i="37" s="1"/>
  <c r="AG217" i="37"/>
  <c r="B221" i="37" s="1"/>
  <c r="AH203" i="37"/>
  <c r="B208" i="37" s="1"/>
  <c r="AG203" i="37"/>
  <c r="B207" i="37" s="1"/>
  <c r="B198" i="37"/>
  <c r="AG190" i="37"/>
  <c r="B194" i="37" s="1"/>
  <c r="AO190" i="37"/>
  <c r="AN190" i="37"/>
  <c r="B195" i="37" s="1"/>
  <c r="AL190" i="37"/>
  <c r="AK190" i="37"/>
  <c r="AJ190" i="37"/>
  <c r="AI190" i="37"/>
  <c r="AH190" i="37"/>
  <c r="AH191" i="37" s="1"/>
  <c r="AG31" i="37"/>
  <c r="AG125" i="37"/>
  <c r="B129" i="37" s="1"/>
  <c r="AP190" i="37"/>
  <c r="AL191" i="37"/>
  <c r="B170" i="37"/>
  <c r="B169" i="37"/>
  <c r="AJ164" i="37"/>
  <c r="AI164" i="37"/>
  <c r="AH164" i="37"/>
  <c r="AH155" i="37"/>
  <c r="AI155" i="37"/>
  <c r="AJ155" i="37"/>
  <c r="AH156" i="37"/>
  <c r="AI156" i="37"/>
  <c r="AJ156" i="37"/>
  <c r="AH157" i="37"/>
  <c r="AI157" i="37"/>
  <c r="AJ157" i="37"/>
  <c r="AH158" i="37"/>
  <c r="AI158" i="37"/>
  <c r="AJ158" i="37"/>
  <c r="AH159" i="37"/>
  <c r="AI159" i="37"/>
  <c r="AJ159" i="37"/>
  <c r="AH160" i="37"/>
  <c r="AI160" i="37"/>
  <c r="AJ160" i="37"/>
  <c r="AH161" i="37"/>
  <c r="AI161" i="37"/>
  <c r="AJ161" i="37"/>
  <c r="AH162" i="37"/>
  <c r="AI162" i="37"/>
  <c r="AJ162" i="37"/>
  <c r="AH163" i="37"/>
  <c r="AI163" i="37"/>
  <c r="AJ163" i="37"/>
  <c r="AK154" i="37"/>
  <c r="AJ154" i="37"/>
  <c r="AI154" i="37"/>
  <c r="AH154" i="37"/>
  <c r="B168" i="37"/>
  <c r="AH139" i="37"/>
  <c r="B144" i="37" s="1"/>
  <c r="AG139" i="37"/>
  <c r="B143" i="37" s="1"/>
  <c r="B132" i="37"/>
  <c r="AQ125" i="37"/>
  <c r="AP125" i="37"/>
  <c r="AO125" i="37"/>
  <c r="AR125" i="37"/>
  <c r="AS125" i="37" s="1"/>
  <c r="B133" i="37" s="1"/>
  <c r="AN125" i="37"/>
  <c r="B130" i="37" s="1"/>
  <c r="AL125" i="37"/>
  <c r="AK125" i="37"/>
  <c r="AJ125" i="37"/>
  <c r="AI125" i="37"/>
  <c r="AH125" i="37"/>
  <c r="AH126" i="37" s="1"/>
  <c r="AK60" i="37"/>
  <c r="AI85" i="37"/>
  <c r="AH85" i="37"/>
  <c r="AG85" i="37"/>
  <c r="B104" i="37" s="1"/>
  <c r="B76" i="37"/>
  <c r="B75" i="37"/>
  <c r="AJ70" i="37"/>
  <c r="AI70" i="37"/>
  <c r="AH70" i="37"/>
  <c r="AH61" i="37"/>
  <c r="AI61" i="37"/>
  <c r="AJ61" i="37"/>
  <c r="AH62" i="37"/>
  <c r="AI62" i="37"/>
  <c r="AJ62" i="37"/>
  <c r="AH63" i="37"/>
  <c r="AI63" i="37"/>
  <c r="AJ63" i="37"/>
  <c r="AH64" i="37"/>
  <c r="AI64" i="37"/>
  <c r="AJ64" i="37"/>
  <c r="AH65" i="37"/>
  <c r="AI65" i="37"/>
  <c r="AJ65" i="37"/>
  <c r="AH66" i="37"/>
  <c r="AI66" i="37"/>
  <c r="AJ66" i="37"/>
  <c r="AH67" i="37"/>
  <c r="AI67" i="37"/>
  <c r="AJ67" i="37"/>
  <c r="AH68" i="37"/>
  <c r="AI68" i="37"/>
  <c r="AJ68" i="37"/>
  <c r="AH69" i="37"/>
  <c r="AI69" i="37"/>
  <c r="AJ69" i="37"/>
  <c r="AI60" i="37"/>
  <c r="AH60" i="37"/>
  <c r="B74" i="37"/>
  <c r="AJ60" i="37"/>
  <c r="Y289" i="37"/>
  <c r="M264" i="37"/>
  <c r="AL259" i="37" s="1"/>
  <c r="AN260" i="37" s="1"/>
  <c r="S264" i="37"/>
  <c r="Y264" i="37"/>
  <c r="M242" i="37"/>
  <c r="S242" i="37"/>
  <c r="Y242" i="37"/>
  <c r="M164" i="37"/>
  <c r="S164" i="37"/>
  <c r="Y164" i="37"/>
  <c r="S70" i="37"/>
  <c r="Y70" i="37"/>
  <c r="AG45" i="37"/>
  <c r="B49" i="37" s="1"/>
  <c r="AH45" i="37"/>
  <c r="B50" i="37" s="1"/>
  <c r="B35" i="37"/>
  <c r="AP31" i="37"/>
  <c r="B39" i="37" s="1"/>
  <c r="AO31" i="37"/>
  <c r="AN31" i="37"/>
  <c r="B36" i="37" s="1"/>
  <c r="AK31" i="37"/>
  <c r="AL31" i="37" s="1"/>
  <c r="AL32" i="37" s="1"/>
  <c r="AI31" i="37"/>
  <c r="AJ31" i="37" s="1"/>
  <c r="AJ32" i="37" s="1"/>
  <c r="AH31" i="37"/>
  <c r="AH32" i="37" s="1"/>
  <c r="B1725" i="59"/>
  <c r="B1724" i="59"/>
  <c r="B1723" i="59"/>
  <c r="AO1721" i="59"/>
  <c r="AM1721" i="59"/>
  <c r="AK1721" i="59"/>
  <c r="AM1720" i="59"/>
  <c r="AK1720" i="59"/>
  <c r="AW1719" i="59"/>
  <c r="AW1718" i="59"/>
  <c r="AV1718" i="59"/>
  <c r="AU1718" i="59"/>
  <c r="AK1718" i="59"/>
  <c r="AM1718" i="59"/>
  <c r="AN1718" i="59"/>
  <c r="AP1718" i="59"/>
  <c r="AQ1718" i="59"/>
  <c r="AS1718" i="59"/>
  <c r="AJ1718" i="59"/>
  <c r="AH1718" i="59"/>
  <c r="AU1711" i="59"/>
  <c r="AV1711" i="59"/>
  <c r="AW1711" i="59"/>
  <c r="AX1711" i="59"/>
  <c r="AU1712" i="59"/>
  <c r="AV1712" i="59"/>
  <c r="AW1712" i="59"/>
  <c r="AX1712" i="59"/>
  <c r="AU1713" i="59"/>
  <c r="AV1713" i="59"/>
  <c r="AW1713" i="59"/>
  <c r="AX1713" i="59"/>
  <c r="AU1714" i="59"/>
  <c r="AV1714" i="59"/>
  <c r="AW1714" i="59"/>
  <c r="AX1714" i="59"/>
  <c r="AU1715" i="59"/>
  <c r="AV1715" i="59"/>
  <c r="AW1715" i="59"/>
  <c r="AX1715" i="59"/>
  <c r="AU1716" i="59"/>
  <c r="AV1716" i="59"/>
  <c r="AW1716" i="59"/>
  <c r="AX1716" i="59"/>
  <c r="AU1717" i="59"/>
  <c r="AV1717" i="59"/>
  <c r="AW1717" i="59"/>
  <c r="AX1717" i="59"/>
  <c r="AG1711" i="59"/>
  <c r="AH1711" i="59"/>
  <c r="AI1711" i="59"/>
  <c r="AJ1711" i="59"/>
  <c r="AK1711" i="59"/>
  <c r="AL1711" i="59"/>
  <c r="AM1711" i="59"/>
  <c r="AN1711" i="59"/>
  <c r="AO1711" i="59"/>
  <c r="AP1711" i="59"/>
  <c r="AQ1711" i="59"/>
  <c r="AR1711" i="59"/>
  <c r="AS1711" i="59"/>
  <c r="AG1712" i="59"/>
  <c r="AH1712" i="59"/>
  <c r="AI1712" i="59"/>
  <c r="AJ1712" i="59"/>
  <c r="AK1712" i="59"/>
  <c r="AL1712" i="59"/>
  <c r="AM1712" i="59"/>
  <c r="AN1712" i="59"/>
  <c r="AO1712" i="59"/>
  <c r="AP1712" i="59"/>
  <c r="AQ1712" i="59"/>
  <c r="AR1712" i="59"/>
  <c r="AS1712" i="59"/>
  <c r="AG1713" i="59"/>
  <c r="AH1713" i="59"/>
  <c r="AI1713" i="59"/>
  <c r="AJ1713" i="59"/>
  <c r="AK1713" i="59"/>
  <c r="AL1713" i="59"/>
  <c r="AM1713" i="59"/>
  <c r="AN1713" i="59"/>
  <c r="AO1713" i="59"/>
  <c r="AP1713" i="59"/>
  <c r="AQ1713" i="59"/>
  <c r="AR1713" i="59"/>
  <c r="AS1713" i="59"/>
  <c r="AG1714" i="59"/>
  <c r="AH1714" i="59"/>
  <c r="AI1714" i="59"/>
  <c r="AJ1714" i="59"/>
  <c r="AK1714" i="59"/>
  <c r="AL1714" i="59"/>
  <c r="AM1714" i="59"/>
  <c r="AN1714" i="59"/>
  <c r="AO1714" i="59"/>
  <c r="AP1714" i="59"/>
  <c r="AQ1714" i="59"/>
  <c r="AR1714" i="59"/>
  <c r="AS1714" i="59"/>
  <c r="AG1715" i="59"/>
  <c r="AH1715" i="59"/>
  <c r="AI1715" i="59"/>
  <c r="AJ1715" i="59"/>
  <c r="AK1715" i="59"/>
  <c r="AL1715" i="59"/>
  <c r="AM1715" i="59"/>
  <c r="AN1715" i="59"/>
  <c r="AO1715" i="59"/>
  <c r="AP1715" i="59"/>
  <c r="AQ1715" i="59"/>
  <c r="AR1715" i="59"/>
  <c r="AS1715" i="59"/>
  <c r="AG1716" i="59"/>
  <c r="AH1716" i="59"/>
  <c r="AI1716" i="59"/>
  <c r="AJ1716" i="59"/>
  <c r="AK1716" i="59"/>
  <c r="AL1716" i="59"/>
  <c r="AM1716" i="59"/>
  <c r="AN1716" i="59"/>
  <c r="AO1716" i="59"/>
  <c r="AP1716" i="59"/>
  <c r="AQ1716" i="59"/>
  <c r="AR1716" i="59"/>
  <c r="AS1716" i="59"/>
  <c r="AH1717" i="59"/>
  <c r="AI1717" i="59"/>
  <c r="AJ1717" i="59"/>
  <c r="AK1717" i="59"/>
  <c r="AL1717" i="59"/>
  <c r="AM1717" i="59"/>
  <c r="AN1717" i="59"/>
  <c r="AO1717" i="59"/>
  <c r="AP1717" i="59"/>
  <c r="AQ1717" i="59"/>
  <c r="AR1717" i="59"/>
  <c r="AS1717" i="59"/>
  <c r="AX1710" i="59"/>
  <c r="AV1710" i="59"/>
  <c r="AW1710" i="59"/>
  <c r="AU1710" i="59"/>
  <c r="AS1710" i="59"/>
  <c r="AJ1710" i="59"/>
  <c r="AI1710" i="59"/>
  <c r="AR1710" i="59"/>
  <c r="AQ1710" i="59"/>
  <c r="AP1710" i="59"/>
  <c r="AO1710" i="59"/>
  <c r="AN1710" i="59"/>
  <c r="AM1710" i="59"/>
  <c r="AL1710" i="59"/>
  <c r="AK1710" i="59"/>
  <c r="AH1710" i="59"/>
  <c r="B1699" i="59"/>
  <c r="B1698" i="59"/>
  <c r="CZ1654" i="59"/>
  <c r="CZ1655" i="59"/>
  <c r="CZ1656" i="59"/>
  <c r="CZ1657" i="59"/>
  <c r="CZ1658" i="59"/>
  <c r="CZ1659" i="59"/>
  <c r="CZ1660" i="59"/>
  <c r="CZ1653" i="59"/>
  <c r="AO1664" i="59"/>
  <c r="AM1664" i="59"/>
  <c r="AK1664" i="59"/>
  <c r="AM1663" i="59"/>
  <c r="AK1663" i="59"/>
  <c r="AK1661" i="59"/>
  <c r="AM1661" i="59"/>
  <c r="AN1661" i="59"/>
  <c r="AP1661" i="59"/>
  <c r="AQ1661" i="59"/>
  <c r="AS1661" i="59"/>
  <c r="AT1661" i="59"/>
  <c r="AV1661" i="59"/>
  <c r="AW1661" i="59"/>
  <c r="AY1661" i="59"/>
  <c r="AZ1661" i="59"/>
  <c r="BB1661" i="59"/>
  <c r="BC1661" i="59"/>
  <c r="BE1661" i="59"/>
  <c r="BF1661" i="59"/>
  <c r="BH1661" i="59"/>
  <c r="BI1661" i="59"/>
  <c r="BK1661" i="59"/>
  <c r="BL1661" i="59"/>
  <c r="BN1661" i="59"/>
  <c r="BO1661" i="59"/>
  <c r="BQ1661" i="59"/>
  <c r="BR1661" i="59"/>
  <c r="BT1661" i="59"/>
  <c r="BU1661" i="59"/>
  <c r="BW1661" i="59"/>
  <c r="BX1661" i="59"/>
  <c r="BZ1661" i="59"/>
  <c r="CA1661" i="59"/>
  <c r="CC1661" i="59"/>
  <c r="CD1661" i="59"/>
  <c r="CF1661" i="59"/>
  <c r="CG1661" i="59"/>
  <c r="CI1661" i="59"/>
  <c r="CJ1661" i="59"/>
  <c r="CL1661" i="59"/>
  <c r="CM1661" i="59"/>
  <c r="CO1661" i="59"/>
  <c r="CP1661" i="59"/>
  <c r="CR1661" i="59"/>
  <c r="CS1661" i="59"/>
  <c r="CU1661" i="59"/>
  <c r="CV1661" i="59"/>
  <c r="CX1661" i="59"/>
  <c r="AJ1661" i="59"/>
  <c r="AH1661" i="59"/>
  <c r="AG1654" i="59"/>
  <c r="AH1654" i="59"/>
  <c r="AI1654" i="59"/>
  <c r="AJ1654" i="59"/>
  <c r="AK1654" i="59"/>
  <c r="AL1654" i="59"/>
  <c r="AM1654" i="59"/>
  <c r="AN1654" i="59"/>
  <c r="AO1654" i="59"/>
  <c r="AP1654" i="59"/>
  <c r="AQ1654" i="59"/>
  <c r="AR1654" i="59"/>
  <c r="AS1654" i="59"/>
  <c r="AT1654" i="59"/>
  <c r="AU1654" i="59"/>
  <c r="AV1654" i="59"/>
  <c r="AW1654" i="59"/>
  <c r="AX1654" i="59"/>
  <c r="AY1654" i="59"/>
  <c r="AZ1654" i="59"/>
  <c r="BA1654" i="59"/>
  <c r="BB1654" i="59"/>
  <c r="BC1654" i="59"/>
  <c r="BD1654" i="59"/>
  <c r="BE1654" i="59"/>
  <c r="BF1654" i="59"/>
  <c r="BG1654" i="59"/>
  <c r="BH1654" i="59"/>
  <c r="BI1654" i="59"/>
  <c r="BJ1654" i="59"/>
  <c r="BK1654" i="59"/>
  <c r="BL1654" i="59"/>
  <c r="BM1654" i="59"/>
  <c r="BN1654" i="59"/>
  <c r="BO1654" i="59"/>
  <c r="BP1654" i="59"/>
  <c r="BQ1654" i="59"/>
  <c r="BR1654" i="59"/>
  <c r="BS1654" i="59"/>
  <c r="BT1654" i="59"/>
  <c r="BU1654" i="59"/>
  <c r="BV1654" i="59"/>
  <c r="BW1654" i="59"/>
  <c r="BX1654" i="59"/>
  <c r="BY1654" i="59"/>
  <c r="BZ1654" i="59"/>
  <c r="CA1654" i="59"/>
  <c r="CB1654" i="59"/>
  <c r="CC1654" i="59"/>
  <c r="CD1654" i="59"/>
  <c r="CE1654" i="59"/>
  <c r="CF1654" i="59"/>
  <c r="CG1654" i="59"/>
  <c r="CH1654" i="59"/>
  <c r="CI1654" i="59"/>
  <c r="CJ1654" i="59"/>
  <c r="CK1654" i="59"/>
  <c r="CL1654" i="59"/>
  <c r="CM1654" i="59"/>
  <c r="CN1654" i="59"/>
  <c r="CO1654" i="59"/>
  <c r="CP1654" i="59"/>
  <c r="CQ1654" i="59"/>
  <c r="CR1654" i="59"/>
  <c r="CS1654" i="59"/>
  <c r="CT1654" i="59"/>
  <c r="CU1654" i="59"/>
  <c r="CV1654" i="59"/>
  <c r="CW1654" i="59"/>
  <c r="CX1654" i="59"/>
  <c r="CY1654" i="59"/>
  <c r="AG1655" i="59"/>
  <c r="AH1655" i="59"/>
  <c r="AI1655" i="59"/>
  <c r="AJ1655" i="59"/>
  <c r="AK1655" i="59"/>
  <c r="AL1655" i="59"/>
  <c r="AM1655" i="59"/>
  <c r="AN1655" i="59"/>
  <c r="AO1655" i="59"/>
  <c r="AP1655" i="59"/>
  <c r="AQ1655" i="59"/>
  <c r="AR1655" i="59"/>
  <c r="AS1655" i="59"/>
  <c r="AT1655" i="59"/>
  <c r="AU1655" i="59"/>
  <c r="AV1655" i="59"/>
  <c r="AW1655" i="59"/>
  <c r="AX1655" i="59"/>
  <c r="AY1655" i="59"/>
  <c r="AZ1655" i="59"/>
  <c r="BA1655" i="59"/>
  <c r="BB1655" i="59"/>
  <c r="BC1655" i="59"/>
  <c r="BD1655" i="59"/>
  <c r="BE1655" i="59"/>
  <c r="BF1655" i="59"/>
  <c r="BG1655" i="59"/>
  <c r="BH1655" i="59"/>
  <c r="BI1655" i="59"/>
  <c r="BJ1655" i="59"/>
  <c r="BK1655" i="59"/>
  <c r="BL1655" i="59"/>
  <c r="BM1655" i="59"/>
  <c r="BN1655" i="59"/>
  <c r="BO1655" i="59"/>
  <c r="BP1655" i="59"/>
  <c r="BQ1655" i="59"/>
  <c r="BR1655" i="59"/>
  <c r="BS1655" i="59"/>
  <c r="BT1655" i="59"/>
  <c r="BU1655" i="59"/>
  <c r="BV1655" i="59"/>
  <c r="BW1655" i="59"/>
  <c r="BX1655" i="59"/>
  <c r="BY1655" i="59"/>
  <c r="BZ1655" i="59"/>
  <c r="CA1655" i="59"/>
  <c r="CB1655" i="59"/>
  <c r="CC1655" i="59"/>
  <c r="CD1655" i="59"/>
  <c r="CE1655" i="59"/>
  <c r="CF1655" i="59"/>
  <c r="CG1655" i="59"/>
  <c r="CH1655" i="59"/>
  <c r="CI1655" i="59"/>
  <c r="CJ1655" i="59"/>
  <c r="CK1655" i="59"/>
  <c r="CL1655" i="59"/>
  <c r="CM1655" i="59"/>
  <c r="CN1655" i="59"/>
  <c r="CO1655" i="59"/>
  <c r="CP1655" i="59"/>
  <c r="CQ1655" i="59"/>
  <c r="CR1655" i="59"/>
  <c r="CS1655" i="59"/>
  <c r="CT1655" i="59"/>
  <c r="CU1655" i="59"/>
  <c r="CV1655" i="59"/>
  <c r="CW1655" i="59"/>
  <c r="CX1655" i="59"/>
  <c r="CY1655" i="59"/>
  <c r="AG1656" i="59"/>
  <c r="AH1656" i="59"/>
  <c r="AI1656" i="59"/>
  <c r="AJ1656" i="59"/>
  <c r="AK1656" i="59"/>
  <c r="AL1656" i="59"/>
  <c r="AM1656" i="59"/>
  <c r="AN1656" i="59"/>
  <c r="AO1656" i="59"/>
  <c r="AP1656" i="59"/>
  <c r="AQ1656" i="59"/>
  <c r="AR1656" i="59"/>
  <c r="AS1656" i="59"/>
  <c r="AT1656" i="59"/>
  <c r="AU1656" i="59"/>
  <c r="AV1656" i="59"/>
  <c r="AW1656" i="59"/>
  <c r="AX1656" i="59"/>
  <c r="AY1656" i="59"/>
  <c r="AZ1656" i="59"/>
  <c r="BA1656" i="59"/>
  <c r="BB1656" i="59"/>
  <c r="BC1656" i="59"/>
  <c r="BD1656" i="59"/>
  <c r="BE1656" i="59"/>
  <c r="BF1656" i="59"/>
  <c r="BG1656" i="59"/>
  <c r="BH1656" i="59"/>
  <c r="BI1656" i="59"/>
  <c r="BJ1656" i="59"/>
  <c r="BK1656" i="59"/>
  <c r="BL1656" i="59"/>
  <c r="BM1656" i="59"/>
  <c r="BN1656" i="59"/>
  <c r="BO1656" i="59"/>
  <c r="BP1656" i="59"/>
  <c r="BQ1656" i="59"/>
  <c r="BR1656" i="59"/>
  <c r="BS1656" i="59"/>
  <c r="BT1656" i="59"/>
  <c r="BU1656" i="59"/>
  <c r="BV1656" i="59"/>
  <c r="BW1656" i="59"/>
  <c r="BX1656" i="59"/>
  <c r="BY1656" i="59"/>
  <c r="BZ1656" i="59"/>
  <c r="CA1656" i="59"/>
  <c r="CB1656" i="59"/>
  <c r="CC1656" i="59"/>
  <c r="CD1656" i="59"/>
  <c r="CE1656" i="59"/>
  <c r="CF1656" i="59"/>
  <c r="CG1656" i="59"/>
  <c r="CH1656" i="59"/>
  <c r="CI1656" i="59"/>
  <c r="CJ1656" i="59"/>
  <c r="CK1656" i="59"/>
  <c r="CL1656" i="59"/>
  <c r="CM1656" i="59"/>
  <c r="CN1656" i="59"/>
  <c r="CO1656" i="59"/>
  <c r="CP1656" i="59"/>
  <c r="CQ1656" i="59"/>
  <c r="CR1656" i="59"/>
  <c r="CS1656" i="59"/>
  <c r="CT1656" i="59"/>
  <c r="CU1656" i="59"/>
  <c r="CV1656" i="59"/>
  <c r="CW1656" i="59"/>
  <c r="CX1656" i="59"/>
  <c r="CY1656" i="59"/>
  <c r="AG1657" i="59"/>
  <c r="AH1657" i="59"/>
  <c r="AI1657" i="59"/>
  <c r="AJ1657" i="59"/>
  <c r="AK1657" i="59"/>
  <c r="AL1657" i="59"/>
  <c r="AM1657" i="59"/>
  <c r="AN1657" i="59"/>
  <c r="AO1657" i="59"/>
  <c r="AP1657" i="59"/>
  <c r="AQ1657" i="59"/>
  <c r="AR1657" i="59"/>
  <c r="AS1657" i="59"/>
  <c r="AT1657" i="59"/>
  <c r="AU1657" i="59"/>
  <c r="AV1657" i="59"/>
  <c r="AW1657" i="59"/>
  <c r="AX1657" i="59"/>
  <c r="AY1657" i="59"/>
  <c r="AZ1657" i="59"/>
  <c r="BA1657" i="59"/>
  <c r="BB1657" i="59"/>
  <c r="BC1657" i="59"/>
  <c r="BD1657" i="59"/>
  <c r="BE1657" i="59"/>
  <c r="BF1657" i="59"/>
  <c r="BG1657" i="59"/>
  <c r="BH1657" i="59"/>
  <c r="BI1657" i="59"/>
  <c r="BJ1657" i="59"/>
  <c r="BK1657" i="59"/>
  <c r="BL1657" i="59"/>
  <c r="BM1657" i="59"/>
  <c r="BN1657" i="59"/>
  <c r="BO1657" i="59"/>
  <c r="BP1657" i="59"/>
  <c r="BQ1657" i="59"/>
  <c r="BR1657" i="59"/>
  <c r="BS1657" i="59"/>
  <c r="BT1657" i="59"/>
  <c r="BU1657" i="59"/>
  <c r="BV1657" i="59"/>
  <c r="BW1657" i="59"/>
  <c r="BX1657" i="59"/>
  <c r="BY1657" i="59"/>
  <c r="BZ1657" i="59"/>
  <c r="CA1657" i="59"/>
  <c r="CB1657" i="59"/>
  <c r="CC1657" i="59"/>
  <c r="CD1657" i="59"/>
  <c r="CE1657" i="59"/>
  <c r="CF1657" i="59"/>
  <c r="CG1657" i="59"/>
  <c r="CH1657" i="59"/>
  <c r="CI1657" i="59"/>
  <c r="CJ1657" i="59"/>
  <c r="CK1657" i="59"/>
  <c r="CL1657" i="59"/>
  <c r="CM1657" i="59"/>
  <c r="CN1657" i="59"/>
  <c r="CO1657" i="59"/>
  <c r="CP1657" i="59"/>
  <c r="CQ1657" i="59"/>
  <c r="CR1657" i="59"/>
  <c r="CS1657" i="59"/>
  <c r="CT1657" i="59"/>
  <c r="CU1657" i="59"/>
  <c r="CV1657" i="59"/>
  <c r="CW1657" i="59"/>
  <c r="CX1657" i="59"/>
  <c r="CY1657" i="59"/>
  <c r="AG1658" i="59"/>
  <c r="AH1658" i="59"/>
  <c r="AI1658" i="59"/>
  <c r="AJ1658" i="59"/>
  <c r="AK1658" i="59"/>
  <c r="AL1658" i="59"/>
  <c r="AM1658" i="59"/>
  <c r="AN1658" i="59"/>
  <c r="AO1658" i="59"/>
  <c r="AP1658" i="59"/>
  <c r="AQ1658" i="59"/>
  <c r="AR1658" i="59"/>
  <c r="AS1658" i="59"/>
  <c r="AT1658" i="59"/>
  <c r="AU1658" i="59"/>
  <c r="AV1658" i="59"/>
  <c r="AW1658" i="59"/>
  <c r="AX1658" i="59"/>
  <c r="AY1658" i="59"/>
  <c r="AZ1658" i="59"/>
  <c r="BA1658" i="59"/>
  <c r="BB1658" i="59"/>
  <c r="BC1658" i="59"/>
  <c r="BD1658" i="59"/>
  <c r="BE1658" i="59"/>
  <c r="BF1658" i="59"/>
  <c r="BG1658" i="59"/>
  <c r="BH1658" i="59"/>
  <c r="BI1658" i="59"/>
  <c r="BJ1658" i="59"/>
  <c r="BK1658" i="59"/>
  <c r="BL1658" i="59"/>
  <c r="BM1658" i="59"/>
  <c r="BN1658" i="59"/>
  <c r="BO1658" i="59"/>
  <c r="BP1658" i="59"/>
  <c r="BQ1658" i="59"/>
  <c r="BR1658" i="59"/>
  <c r="BS1658" i="59"/>
  <c r="BT1658" i="59"/>
  <c r="BU1658" i="59"/>
  <c r="BV1658" i="59"/>
  <c r="BW1658" i="59"/>
  <c r="BX1658" i="59"/>
  <c r="BY1658" i="59"/>
  <c r="BZ1658" i="59"/>
  <c r="CA1658" i="59"/>
  <c r="CB1658" i="59"/>
  <c r="CC1658" i="59"/>
  <c r="CD1658" i="59"/>
  <c r="CE1658" i="59"/>
  <c r="CF1658" i="59"/>
  <c r="CG1658" i="59"/>
  <c r="CH1658" i="59"/>
  <c r="CI1658" i="59"/>
  <c r="CJ1658" i="59"/>
  <c r="CK1658" i="59"/>
  <c r="CL1658" i="59"/>
  <c r="CM1658" i="59"/>
  <c r="CN1658" i="59"/>
  <c r="CO1658" i="59"/>
  <c r="CP1658" i="59"/>
  <c r="CQ1658" i="59"/>
  <c r="CR1658" i="59"/>
  <c r="CS1658" i="59"/>
  <c r="CT1658" i="59"/>
  <c r="CU1658" i="59"/>
  <c r="CV1658" i="59"/>
  <c r="CW1658" i="59"/>
  <c r="CX1658" i="59"/>
  <c r="CY1658" i="59"/>
  <c r="AG1659" i="59"/>
  <c r="AH1659" i="59"/>
  <c r="AI1659" i="59"/>
  <c r="AJ1659" i="59"/>
  <c r="AK1659" i="59"/>
  <c r="AL1659" i="59"/>
  <c r="AM1659" i="59"/>
  <c r="AN1659" i="59"/>
  <c r="AO1659" i="59"/>
  <c r="AP1659" i="59"/>
  <c r="AQ1659" i="59"/>
  <c r="AR1659" i="59"/>
  <c r="AS1659" i="59"/>
  <c r="AT1659" i="59"/>
  <c r="AU1659" i="59"/>
  <c r="AV1659" i="59"/>
  <c r="AW1659" i="59"/>
  <c r="AX1659" i="59"/>
  <c r="AY1659" i="59"/>
  <c r="AZ1659" i="59"/>
  <c r="BA1659" i="59"/>
  <c r="BB1659" i="59"/>
  <c r="BC1659" i="59"/>
  <c r="BD1659" i="59"/>
  <c r="BE1659" i="59"/>
  <c r="BF1659" i="59"/>
  <c r="BG1659" i="59"/>
  <c r="BH1659" i="59"/>
  <c r="BI1659" i="59"/>
  <c r="BJ1659" i="59"/>
  <c r="BK1659" i="59"/>
  <c r="BL1659" i="59"/>
  <c r="BM1659" i="59"/>
  <c r="BN1659" i="59"/>
  <c r="BO1659" i="59"/>
  <c r="BP1659" i="59"/>
  <c r="BQ1659" i="59"/>
  <c r="BR1659" i="59"/>
  <c r="BS1659" i="59"/>
  <c r="BT1659" i="59"/>
  <c r="BU1659" i="59"/>
  <c r="BV1659" i="59"/>
  <c r="BW1659" i="59"/>
  <c r="BX1659" i="59"/>
  <c r="BY1659" i="59"/>
  <c r="BZ1659" i="59"/>
  <c r="CA1659" i="59"/>
  <c r="CB1659" i="59"/>
  <c r="CC1659" i="59"/>
  <c r="CD1659" i="59"/>
  <c r="CE1659" i="59"/>
  <c r="CF1659" i="59"/>
  <c r="CG1659" i="59"/>
  <c r="CH1659" i="59"/>
  <c r="CI1659" i="59"/>
  <c r="CJ1659" i="59"/>
  <c r="CK1659" i="59"/>
  <c r="CL1659" i="59"/>
  <c r="CM1659" i="59"/>
  <c r="CN1659" i="59"/>
  <c r="CO1659" i="59"/>
  <c r="CP1659" i="59"/>
  <c r="CQ1659" i="59"/>
  <c r="CR1659" i="59"/>
  <c r="CS1659" i="59"/>
  <c r="CT1659" i="59"/>
  <c r="CU1659" i="59"/>
  <c r="CV1659" i="59"/>
  <c r="CW1659" i="59"/>
  <c r="CX1659" i="59"/>
  <c r="CY1659" i="59"/>
  <c r="AH1660" i="59"/>
  <c r="AI1660" i="59"/>
  <c r="AJ1660" i="59"/>
  <c r="AK1660" i="59"/>
  <c r="AL1660" i="59"/>
  <c r="AM1660" i="59"/>
  <c r="AN1660" i="59"/>
  <c r="AO1660" i="59"/>
  <c r="AP1660" i="59"/>
  <c r="AQ1660" i="59"/>
  <c r="AR1660" i="59"/>
  <c r="AS1660" i="59"/>
  <c r="AT1660" i="59"/>
  <c r="AU1660" i="59"/>
  <c r="AV1660" i="59"/>
  <c r="AW1660" i="59"/>
  <c r="AX1660" i="59"/>
  <c r="AY1660" i="59"/>
  <c r="AZ1660" i="59"/>
  <c r="BA1660" i="59"/>
  <c r="BB1660" i="59"/>
  <c r="BC1660" i="59"/>
  <c r="BD1660" i="59"/>
  <c r="BE1660" i="59"/>
  <c r="BF1660" i="59"/>
  <c r="BG1660" i="59"/>
  <c r="BH1660" i="59"/>
  <c r="BI1660" i="59"/>
  <c r="BJ1660" i="59"/>
  <c r="BK1660" i="59"/>
  <c r="BL1660" i="59"/>
  <c r="BM1660" i="59"/>
  <c r="BN1660" i="59"/>
  <c r="BO1660" i="59"/>
  <c r="BP1660" i="59"/>
  <c r="BQ1660" i="59"/>
  <c r="BR1660" i="59"/>
  <c r="BS1660" i="59"/>
  <c r="BT1660" i="59"/>
  <c r="BU1660" i="59"/>
  <c r="BV1660" i="59"/>
  <c r="BW1660" i="59"/>
  <c r="BX1660" i="59"/>
  <c r="BY1660" i="59"/>
  <c r="BZ1660" i="59"/>
  <c r="CA1660" i="59"/>
  <c r="CB1660" i="59"/>
  <c r="CC1660" i="59"/>
  <c r="CD1660" i="59"/>
  <c r="CE1660" i="59"/>
  <c r="CF1660" i="59"/>
  <c r="CG1660" i="59"/>
  <c r="CH1660" i="59"/>
  <c r="CI1660" i="59"/>
  <c r="CJ1660" i="59"/>
  <c r="CK1660" i="59"/>
  <c r="CL1660" i="59"/>
  <c r="CM1660" i="59"/>
  <c r="CN1660" i="59"/>
  <c r="CO1660" i="59"/>
  <c r="CP1660" i="59"/>
  <c r="CQ1660" i="59"/>
  <c r="CR1660" i="59"/>
  <c r="CS1660" i="59"/>
  <c r="CT1660" i="59"/>
  <c r="CU1660" i="59"/>
  <c r="CV1660" i="59"/>
  <c r="CW1660" i="59"/>
  <c r="CX1660" i="59"/>
  <c r="CY1660" i="59"/>
  <c r="CY1653" i="59"/>
  <c r="CX1653" i="59"/>
  <c r="CV1653" i="59"/>
  <c r="CW1653" i="59"/>
  <c r="CS1653" i="59"/>
  <c r="CT1653" i="59"/>
  <c r="CU1653" i="59"/>
  <c r="CP1653" i="59"/>
  <c r="CQ1653" i="59"/>
  <c r="CR1653" i="59"/>
  <c r="CM1653" i="59"/>
  <c r="CN1653" i="59"/>
  <c r="CO1653" i="59"/>
  <c r="CJ1653" i="59"/>
  <c r="CK1653" i="59"/>
  <c r="CL1653" i="59"/>
  <c r="CG1653" i="59"/>
  <c r="CH1653" i="59"/>
  <c r="CI1653" i="59"/>
  <c r="CD1653" i="59"/>
  <c r="CE1653" i="59"/>
  <c r="CF1653" i="59"/>
  <c r="CC1653" i="59"/>
  <c r="CB1653" i="59"/>
  <c r="CA1653" i="59"/>
  <c r="BZ1653" i="59"/>
  <c r="BX1653" i="59"/>
  <c r="BY1653" i="59"/>
  <c r="BU1653" i="59"/>
  <c r="BV1653" i="59"/>
  <c r="BW1653" i="59"/>
  <c r="BR1653" i="59"/>
  <c r="BS1653" i="59"/>
  <c r="BT1653" i="59"/>
  <c r="BO1653" i="59"/>
  <c r="BP1653" i="59"/>
  <c r="BQ1653" i="59"/>
  <c r="BL1653" i="59"/>
  <c r="BM1653" i="59"/>
  <c r="BN1653" i="59"/>
  <c r="BI1653" i="59"/>
  <c r="BJ1653" i="59"/>
  <c r="BK1653" i="59"/>
  <c r="BF1653" i="59"/>
  <c r="BG1653" i="59"/>
  <c r="BH1653" i="59"/>
  <c r="BE1653" i="59"/>
  <c r="BD1653" i="59"/>
  <c r="BC1653" i="59"/>
  <c r="BB1653" i="59"/>
  <c r="AH1653" i="59"/>
  <c r="BA1653" i="59"/>
  <c r="AZ1653" i="59"/>
  <c r="AY1653" i="59"/>
  <c r="AX1653" i="59"/>
  <c r="AW1653" i="59"/>
  <c r="AV1653" i="59"/>
  <c r="AU1653" i="59"/>
  <c r="AT1653" i="59"/>
  <c r="AS1653" i="59"/>
  <c r="AR1653" i="59"/>
  <c r="AQ1653" i="59"/>
  <c r="AP1653" i="59"/>
  <c r="AO1653" i="59"/>
  <c r="AN1653" i="59"/>
  <c r="AM1653" i="59"/>
  <c r="AL1653" i="59"/>
  <c r="AK1653" i="59"/>
  <c r="AJ1653" i="59"/>
  <c r="AI1653" i="59"/>
  <c r="B1637" i="59"/>
  <c r="B1636" i="59"/>
  <c r="B1635" i="59"/>
  <c r="B1634" i="59"/>
  <c r="D1622" i="59"/>
  <c r="AH1604" i="59"/>
  <c r="AK1621" i="59"/>
  <c r="AM1622" i="59"/>
  <c r="AM1629" i="59" s="1"/>
  <c r="AN1622" i="59"/>
  <c r="AN1629" i="59" s="1"/>
  <c r="AO1622" i="59"/>
  <c r="AO1629" i="59" s="1"/>
  <c r="AM1623" i="59"/>
  <c r="AN1623" i="59"/>
  <c r="AO1623" i="59"/>
  <c r="AM1624" i="59"/>
  <c r="AN1624" i="59"/>
  <c r="AO1624" i="59"/>
  <c r="AM1625" i="59"/>
  <c r="AN1625" i="59"/>
  <c r="AO1625" i="59"/>
  <c r="AM1626" i="59"/>
  <c r="AN1626" i="59"/>
  <c r="AO1626" i="59"/>
  <c r="AM1627" i="59"/>
  <c r="AN1627" i="59"/>
  <c r="AO1627" i="59"/>
  <c r="AM1628" i="59"/>
  <c r="AN1628" i="59"/>
  <c r="AO1628" i="59"/>
  <c r="AH1622" i="59"/>
  <c r="AH1629" i="59" s="1"/>
  <c r="AI1622" i="59"/>
  <c r="AI1629" i="59" s="1"/>
  <c r="AJ1622" i="59"/>
  <c r="AJ1629" i="59" s="1"/>
  <c r="AK1622" i="59"/>
  <c r="AK1629" i="59" s="1"/>
  <c r="AH1623" i="59"/>
  <c r="AI1623" i="59"/>
  <c r="AJ1623" i="59"/>
  <c r="AK1623" i="59"/>
  <c r="AH1624" i="59"/>
  <c r="AI1624" i="59"/>
  <c r="AJ1624" i="59"/>
  <c r="AK1624" i="59"/>
  <c r="AH1625" i="59"/>
  <c r="AI1625" i="59"/>
  <c r="AJ1625" i="59"/>
  <c r="AK1625" i="59"/>
  <c r="AH1626" i="59"/>
  <c r="AI1626" i="59"/>
  <c r="AJ1626" i="59"/>
  <c r="AK1626" i="59"/>
  <c r="AH1627" i="59"/>
  <c r="AI1627" i="59"/>
  <c r="AJ1627" i="59"/>
  <c r="AK1627" i="59"/>
  <c r="AH1628" i="59"/>
  <c r="AI1628" i="59"/>
  <c r="AJ1628" i="59"/>
  <c r="AK1628" i="59"/>
  <c r="AO1621" i="59"/>
  <c r="AN1621" i="59"/>
  <c r="AM1621" i="59"/>
  <c r="AJ1621" i="59"/>
  <c r="AI1621" i="59"/>
  <c r="AH1621" i="59"/>
  <c r="B1612" i="59"/>
  <c r="B1611" i="59"/>
  <c r="B1610" i="59"/>
  <c r="AT1604" i="59"/>
  <c r="AG1602" i="59"/>
  <c r="AT1601" i="59"/>
  <c r="AG1601" i="59"/>
  <c r="AU1603" i="59"/>
  <c r="AW1604" i="59" s="1"/>
  <c r="AU1598" i="59"/>
  <c r="BC1598" i="59"/>
  <c r="BA1598" i="59"/>
  <c r="BB1598" i="59"/>
  <c r="AX1598" i="59"/>
  <c r="AY1598" i="59"/>
  <c r="AZ1598" i="59"/>
  <c r="AW1598" i="59"/>
  <c r="AV1598" i="59"/>
  <c r="AS1598" i="59"/>
  <c r="AS1604" i="59" s="1"/>
  <c r="AR1598" i="59"/>
  <c r="AQ1598" i="59"/>
  <c r="AQ1604" i="59" s="1"/>
  <c r="AP1598" i="59"/>
  <c r="AP1604" i="59" s="1"/>
  <c r="AO1598" i="59"/>
  <c r="AN1598" i="59"/>
  <c r="AN1604" i="59" s="1"/>
  <c r="AM1598" i="59"/>
  <c r="AM1604" i="59" s="1"/>
  <c r="AL1598" i="59"/>
  <c r="AK1598" i="59"/>
  <c r="AK1604" i="59" s="1"/>
  <c r="AJ1598" i="59"/>
  <c r="AJ1604" i="59" s="1"/>
  <c r="AI1598" i="59"/>
  <c r="AH1598" i="59"/>
  <c r="AW1603" i="59"/>
  <c r="AV1603" i="59"/>
  <c r="AS1603" i="59"/>
  <c r="AR1603" i="59"/>
  <c r="AQ1603" i="59"/>
  <c r="AP1603" i="59"/>
  <c r="AO1603" i="59"/>
  <c r="AN1603" i="59"/>
  <c r="AM1603" i="59"/>
  <c r="AL1603" i="59"/>
  <c r="AK1603" i="59"/>
  <c r="AJ1603" i="59"/>
  <c r="AI1603" i="59"/>
  <c r="AH1603" i="59"/>
  <c r="AS1602" i="59"/>
  <c r="AR1602" i="59"/>
  <c r="AQ1602" i="59"/>
  <c r="AP1602" i="59"/>
  <c r="AO1602" i="59"/>
  <c r="AN1602" i="59"/>
  <c r="AM1602" i="59"/>
  <c r="AL1602" i="59"/>
  <c r="AK1602" i="59"/>
  <c r="AJ1602" i="59"/>
  <c r="AI1602" i="59"/>
  <c r="AH1602" i="59"/>
  <c r="AS1601" i="59"/>
  <c r="AR1601" i="59"/>
  <c r="AQ1601" i="59"/>
  <c r="AP1601" i="59"/>
  <c r="AO1601" i="59"/>
  <c r="AN1601" i="59"/>
  <c r="AM1601" i="59"/>
  <c r="AL1601" i="59"/>
  <c r="AK1601" i="59"/>
  <c r="AJ1601" i="59"/>
  <c r="AI1601" i="59"/>
  <c r="AH1601" i="59"/>
  <c r="AS1600" i="59"/>
  <c r="AR1600" i="59"/>
  <c r="AQ1600" i="59"/>
  <c r="AP1600" i="59"/>
  <c r="AO1600" i="59"/>
  <c r="AN1600" i="59"/>
  <c r="AM1600" i="59"/>
  <c r="AL1600" i="59"/>
  <c r="AK1600" i="59"/>
  <c r="AJ1600" i="59"/>
  <c r="AI1600" i="59"/>
  <c r="AH1600" i="59"/>
  <c r="AS1599" i="59"/>
  <c r="AR1599" i="59"/>
  <c r="AQ1599" i="59"/>
  <c r="AP1599" i="59"/>
  <c r="AO1599" i="59"/>
  <c r="AN1599" i="59"/>
  <c r="AM1599" i="59"/>
  <c r="AL1599" i="59"/>
  <c r="AK1599" i="59"/>
  <c r="AJ1599" i="59"/>
  <c r="AI1599" i="59"/>
  <c r="AH1599" i="59"/>
  <c r="AR1604" i="59"/>
  <c r="AO1604" i="59"/>
  <c r="AL1604" i="59"/>
  <c r="AI1604" i="59"/>
  <c r="B1585" i="59"/>
  <c r="B1584" i="59"/>
  <c r="B1583" i="59"/>
  <c r="AH1578" i="59"/>
  <c r="AG1578" i="59"/>
  <c r="AI1578" i="59"/>
  <c r="AG1571" i="59"/>
  <c r="AH1571" i="59"/>
  <c r="AI1571" i="59"/>
  <c r="AJ1571" i="59"/>
  <c r="AG1572" i="59"/>
  <c r="AH1572" i="59"/>
  <c r="AI1572" i="59"/>
  <c r="AJ1572" i="59"/>
  <c r="AG1573" i="59"/>
  <c r="AH1573" i="59"/>
  <c r="AI1573" i="59"/>
  <c r="AJ1573" i="59"/>
  <c r="AG1574" i="59"/>
  <c r="AH1574" i="59"/>
  <c r="AI1574" i="59"/>
  <c r="AJ1574" i="59"/>
  <c r="AG1575" i="59"/>
  <c r="AH1575" i="59"/>
  <c r="AI1575" i="59"/>
  <c r="AJ1575" i="59"/>
  <c r="AJ1578" i="59" s="1"/>
  <c r="AG1576" i="59"/>
  <c r="AH1576" i="59"/>
  <c r="AI1576" i="59"/>
  <c r="AJ1576" i="59"/>
  <c r="AG1577" i="59"/>
  <c r="AH1577" i="59"/>
  <c r="AI1577" i="59"/>
  <c r="AJ1577" i="59"/>
  <c r="AJ1570" i="59"/>
  <c r="AI1570" i="59"/>
  <c r="AH1570" i="59"/>
  <c r="AG1570" i="59"/>
  <c r="AO1566" i="59"/>
  <c r="AM1566" i="59"/>
  <c r="AK1566" i="59"/>
  <c r="AM1565" i="59"/>
  <c r="AK1565" i="59"/>
  <c r="AK1563" i="59"/>
  <c r="AM1563" i="59"/>
  <c r="AN1563" i="59"/>
  <c r="AP1563" i="59"/>
  <c r="AQ1563" i="59"/>
  <c r="AS1563" i="59"/>
  <c r="AT1563" i="59"/>
  <c r="AV1563" i="59"/>
  <c r="AW1563" i="59"/>
  <c r="AY1563" i="59"/>
  <c r="AZ1563" i="59"/>
  <c r="BB1563" i="59"/>
  <c r="BC1563" i="59"/>
  <c r="BE1563" i="59"/>
  <c r="BF1563" i="59"/>
  <c r="BH1563" i="59"/>
  <c r="AH1563" i="59"/>
  <c r="AJ1563" i="59"/>
  <c r="AH1556" i="59"/>
  <c r="AI1556" i="59"/>
  <c r="AJ1556" i="59"/>
  <c r="AK1556" i="59"/>
  <c r="AL1556" i="59"/>
  <c r="AM1556" i="59"/>
  <c r="AN1556" i="59"/>
  <c r="AO1556" i="59"/>
  <c r="AP1556" i="59"/>
  <c r="AQ1556" i="59"/>
  <c r="AR1556" i="59"/>
  <c r="AS1556" i="59"/>
  <c r="AT1556" i="59"/>
  <c r="AU1556" i="59"/>
  <c r="AV1556" i="59"/>
  <c r="AW1556" i="59"/>
  <c r="AX1556" i="59"/>
  <c r="AY1556" i="59"/>
  <c r="AZ1556" i="59"/>
  <c r="BA1556" i="59"/>
  <c r="BB1556" i="59"/>
  <c r="BC1556" i="59"/>
  <c r="BD1556" i="59"/>
  <c r="BE1556" i="59"/>
  <c r="BF1556" i="59"/>
  <c r="BG1556" i="59"/>
  <c r="BH1556" i="59"/>
  <c r="AH1557" i="59"/>
  <c r="AI1557" i="59"/>
  <c r="AJ1557" i="59"/>
  <c r="AK1557" i="59"/>
  <c r="AL1557" i="59"/>
  <c r="AM1557" i="59"/>
  <c r="AN1557" i="59"/>
  <c r="AO1557" i="59"/>
  <c r="AP1557" i="59"/>
  <c r="AQ1557" i="59"/>
  <c r="AR1557" i="59"/>
  <c r="AS1557" i="59"/>
  <c r="AT1557" i="59"/>
  <c r="AU1557" i="59"/>
  <c r="AV1557" i="59"/>
  <c r="AW1557" i="59"/>
  <c r="AX1557" i="59"/>
  <c r="AY1557" i="59"/>
  <c r="AZ1557" i="59"/>
  <c r="BA1557" i="59"/>
  <c r="BB1557" i="59"/>
  <c r="BC1557" i="59"/>
  <c r="BD1557" i="59"/>
  <c r="BE1557" i="59"/>
  <c r="BF1557" i="59"/>
  <c r="BG1557" i="59"/>
  <c r="BH1557" i="59"/>
  <c r="AH1558" i="59"/>
  <c r="AI1558" i="59"/>
  <c r="AJ1558" i="59"/>
  <c r="AK1558" i="59"/>
  <c r="AL1558" i="59"/>
  <c r="AM1558" i="59"/>
  <c r="AN1558" i="59"/>
  <c r="AO1558" i="59"/>
  <c r="AP1558" i="59"/>
  <c r="AQ1558" i="59"/>
  <c r="AR1558" i="59"/>
  <c r="AS1558" i="59"/>
  <c r="AT1558" i="59"/>
  <c r="AU1558" i="59"/>
  <c r="AV1558" i="59"/>
  <c r="AW1558" i="59"/>
  <c r="AX1558" i="59"/>
  <c r="AY1558" i="59"/>
  <c r="AZ1558" i="59"/>
  <c r="BA1558" i="59"/>
  <c r="BB1558" i="59"/>
  <c r="BC1558" i="59"/>
  <c r="BD1558" i="59"/>
  <c r="BE1558" i="59"/>
  <c r="BF1558" i="59"/>
  <c r="BG1558" i="59"/>
  <c r="BH1558" i="59"/>
  <c r="AH1559" i="59"/>
  <c r="AI1559" i="59"/>
  <c r="AJ1559" i="59"/>
  <c r="AK1559" i="59"/>
  <c r="AL1559" i="59"/>
  <c r="AM1559" i="59"/>
  <c r="AN1559" i="59"/>
  <c r="AO1559" i="59"/>
  <c r="AP1559" i="59"/>
  <c r="AQ1559" i="59"/>
  <c r="AR1559" i="59"/>
  <c r="AS1559" i="59"/>
  <c r="AT1559" i="59"/>
  <c r="AU1559" i="59"/>
  <c r="AV1559" i="59"/>
  <c r="AW1559" i="59"/>
  <c r="AX1559" i="59"/>
  <c r="AY1559" i="59"/>
  <c r="AZ1559" i="59"/>
  <c r="BA1559" i="59"/>
  <c r="BB1559" i="59"/>
  <c r="BC1559" i="59"/>
  <c r="BD1559" i="59"/>
  <c r="BE1559" i="59"/>
  <c r="BF1559" i="59"/>
  <c r="BG1559" i="59"/>
  <c r="BH1559" i="59"/>
  <c r="AH1560" i="59"/>
  <c r="AI1560" i="59"/>
  <c r="AJ1560" i="59"/>
  <c r="AK1560" i="59"/>
  <c r="AL1560" i="59"/>
  <c r="AM1560" i="59"/>
  <c r="AN1560" i="59"/>
  <c r="AO1560" i="59"/>
  <c r="AP1560" i="59"/>
  <c r="AQ1560" i="59"/>
  <c r="AR1560" i="59"/>
  <c r="AS1560" i="59"/>
  <c r="AT1560" i="59"/>
  <c r="AU1560" i="59"/>
  <c r="AV1560" i="59"/>
  <c r="AW1560" i="59"/>
  <c r="AX1560" i="59"/>
  <c r="AY1560" i="59"/>
  <c r="AZ1560" i="59"/>
  <c r="BA1560" i="59"/>
  <c r="BB1560" i="59"/>
  <c r="BC1560" i="59"/>
  <c r="BD1560" i="59"/>
  <c r="BE1560" i="59"/>
  <c r="BF1560" i="59"/>
  <c r="BG1560" i="59"/>
  <c r="BH1560" i="59"/>
  <c r="AH1561" i="59"/>
  <c r="AI1561" i="59"/>
  <c r="AJ1561" i="59"/>
  <c r="AK1561" i="59"/>
  <c r="AL1561" i="59"/>
  <c r="AM1561" i="59"/>
  <c r="AN1561" i="59"/>
  <c r="AO1561" i="59"/>
  <c r="AP1561" i="59"/>
  <c r="AQ1561" i="59"/>
  <c r="AR1561" i="59"/>
  <c r="AS1561" i="59"/>
  <c r="AT1561" i="59"/>
  <c r="AU1561" i="59"/>
  <c r="AV1561" i="59"/>
  <c r="AW1561" i="59"/>
  <c r="AX1561" i="59"/>
  <c r="AY1561" i="59"/>
  <c r="AZ1561" i="59"/>
  <c r="BA1561" i="59"/>
  <c r="BB1561" i="59"/>
  <c r="BC1561" i="59"/>
  <c r="BD1561" i="59"/>
  <c r="BE1561" i="59"/>
  <c r="BF1561" i="59"/>
  <c r="BG1561" i="59"/>
  <c r="BH1561" i="59"/>
  <c r="AH1562" i="59"/>
  <c r="AI1562" i="59"/>
  <c r="AJ1562" i="59"/>
  <c r="AK1562" i="59"/>
  <c r="AL1562" i="59"/>
  <c r="AM1562" i="59"/>
  <c r="AN1562" i="59"/>
  <c r="AO1562" i="59"/>
  <c r="AP1562" i="59"/>
  <c r="AQ1562" i="59"/>
  <c r="AR1562" i="59"/>
  <c r="AS1562" i="59"/>
  <c r="AT1562" i="59"/>
  <c r="AU1562" i="59"/>
  <c r="AV1562" i="59"/>
  <c r="AW1562" i="59"/>
  <c r="AX1562" i="59"/>
  <c r="AY1562" i="59"/>
  <c r="AZ1562" i="59"/>
  <c r="BA1562" i="59"/>
  <c r="BB1562" i="59"/>
  <c r="BC1562" i="59"/>
  <c r="BD1562" i="59"/>
  <c r="BE1562" i="59"/>
  <c r="BF1562" i="59"/>
  <c r="BG1562" i="59"/>
  <c r="BH1562" i="59"/>
  <c r="BH1555" i="59"/>
  <c r="BF1555" i="59"/>
  <c r="BG1555" i="59"/>
  <c r="BC1555" i="59"/>
  <c r="BD1555" i="59"/>
  <c r="BE1555" i="59"/>
  <c r="BB1555" i="59"/>
  <c r="AZ1555" i="59"/>
  <c r="BA1555" i="59"/>
  <c r="AW1555" i="59"/>
  <c r="AX1555" i="59"/>
  <c r="AY1555" i="59"/>
  <c r="AV1555" i="59"/>
  <c r="AU1555" i="59"/>
  <c r="AT1555" i="59"/>
  <c r="AS1555" i="59"/>
  <c r="AR1555" i="59"/>
  <c r="AQ1555" i="59"/>
  <c r="AP1555" i="59"/>
  <c r="AO1555" i="59"/>
  <c r="AN1555" i="59"/>
  <c r="AM1555" i="59"/>
  <c r="AL1555" i="59"/>
  <c r="AK1555" i="59"/>
  <c r="AJ1555" i="59"/>
  <c r="AI1555" i="59"/>
  <c r="AH1555" i="59"/>
  <c r="B1545" i="59"/>
  <c r="B1544" i="59"/>
  <c r="B1543" i="59"/>
  <c r="AW1539" i="59"/>
  <c r="AW1538" i="59"/>
  <c r="AV1538" i="59"/>
  <c r="AU1538" i="59"/>
  <c r="AU1531" i="59"/>
  <c r="AV1531" i="59"/>
  <c r="AW1531" i="59"/>
  <c r="AX1531" i="59"/>
  <c r="AU1532" i="59"/>
  <c r="AV1532" i="59"/>
  <c r="AW1532" i="59"/>
  <c r="AX1532" i="59"/>
  <c r="AU1533" i="59"/>
  <c r="AV1533" i="59"/>
  <c r="AW1533" i="59"/>
  <c r="AX1533" i="59"/>
  <c r="AU1534" i="59"/>
  <c r="AV1534" i="59"/>
  <c r="AW1534" i="59"/>
  <c r="AX1534" i="59"/>
  <c r="AU1535" i="59"/>
  <c r="AV1535" i="59"/>
  <c r="AW1535" i="59"/>
  <c r="AX1535" i="59"/>
  <c r="AX1538" i="59" s="1"/>
  <c r="AU1536" i="59"/>
  <c r="AV1536" i="59"/>
  <c r="AW1536" i="59"/>
  <c r="AX1536" i="59"/>
  <c r="AU1537" i="59"/>
  <c r="AV1537" i="59"/>
  <c r="AW1537" i="59"/>
  <c r="AX1537" i="59"/>
  <c r="AX1530" i="59"/>
  <c r="AW1530" i="59"/>
  <c r="AV1530" i="59"/>
  <c r="AU1530" i="59"/>
  <c r="AO1541" i="59"/>
  <c r="AM1541" i="59"/>
  <c r="AK1541" i="59"/>
  <c r="AM1540" i="59"/>
  <c r="AK1540" i="59"/>
  <c r="AK1343" i="59"/>
  <c r="AK1538" i="59"/>
  <c r="AM1538" i="59"/>
  <c r="AN1538" i="59"/>
  <c r="AP1538" i="59"/>
  <c r="AQ1538" i="59"/>
  <c r="AS1538" i="59"/>
  <c r="AJ1538" i="59"/>
  <c r="AH1538" i="59"/>
  <c r="AH1531" i="59"/>
  <c r="AI1531" i="59"/>
  <c r="AJ1531" i="59"/>
  <c r="AK1531" i="59"/>
  <c r="AL1531" i="59"/>
  <c r="AM1531" i="59"/>
  <c r="AN1531" i="59"/>
  <c r="AO1531" i="59"/>
  <c r="AP1531" i="59"/>
  <c r="AQ1531" i="59"/>
  <c r="AR1531" i="59"/>
  <c r="AS1531" i="59"/>
  <c r="AH1532" i="59"/>
  <c r="AI1532" i="59"/>
  <c r="AJ1532" i="59"/>
  <c r="AK1532" i="59"/>
  <c r="AL1532" i="59"/>
  <c r="AM1532" i="59"/>
  <c r="AN1532" i="59"/>
  <c r="AO1532" i="59"/>
  <c r="AP1532" i="59"/>
  <c r="AQ1532" i="59"/>
  <c r="AR1532" i="59"/>
  <c r="AS1532" i="59"/>
  <c r="AH1533" i="59"/>
  <c r="AI1533" i="59"/>
  <c r="AJ1533" i="59"/>
  <c r="AK1533" i="59"/>
  <c r="AL1533" i="59"/>
  <c r="AM1533" i="59"/>
  <c r="AN1533" i="59"/>
  <c r="AO1533" i="59"/>
  <c r="AP1533" i="59"/>
  <c r="AQ1533" i="59"/>
  <c r="AR1533" i="59"/>
  <c r="AS1533" i="59"/>
  <c r="AH1534" i="59"/>
  <c r="AI1534" i="59"/>
  <c r="AJ1534" i="59"/>
  <c r="AK1534" i="59"/>
  <c r="AL1534" i="59"/>
  <c r="AM1534" i="59"/>
  <c r="AN1534" i="59"/>
  <c r="AO1534" i="59"/>
  <c r="AP1534" i="59"/>
  <c r="AQ1534" i="59"/>
  <c r="AR1534" i="59"/>
  <c r="AS1534" i="59"/>
  <c r="AH1535" i="59"/>
  <c r="AI1535" i="59"/>
  <c r="AJ1535" i="59"/>
  <c r="AK1535" i="59"/>
  <c r="AL1535" i="59"/>
  <c r="AM1535" i="59"/>
  <c r="AN1535" i="59"/>
  <c r="AO1535" i="59"/>
  <c r="AP1535" i="59"/>
  <c r="AQ1535" i="59"/>
  <c r="AR1535" i="59"/>
  <c r="AS1535" i="59"/>
  <c r="AH1536" i="59"/>
  <c r="AI1536" i="59"/>
  <c r="AJ1536" i="59"/>
  <c r="AK1536" i="59"/>
  <c r="AL1536" i="59"/>
  <c r="AM1536" i="59"/>
  <c r="AN1536" i="59"/>
  <c r="AO1536" i="59"/>
  <c r="AP1536" i="59"/>
  <c r="AQ1536" i="59"/>
  <c r="AR1536" i="59"/>
  <c r="AS1536" i="59"/>
  <c r="AH1537" i="59"/>
  <c r="AI1537" i="59"/>
  <c r="AJ1537" i="59"/>
  <c r="AK1537" i="59"/>
  <c r="AL1537" i="59"/>
  <c r="AM1537" i="59"/>
  <c r="AN1537" i="59"/>
  <c r="AO1537" i="59"/>
  <c r="AP1537" i="59"/>
  <c r="AQ1537" i="59"/>
  <c r="AR1537" i="59"/>
  <c r="AS1537" i="59"/>
  <c r="AS1530" i="59"/>
  <c r="AR1530" i="59"/>
  <c r="AQ1530" i="59"/>
  <c r="AP1530" i="59"/>
  <c r="AO1530" i="59"/>
  <c r="AN1530" i="59"/>
  <c r="AM1530" i="59"/>
  <c r="AL1530" i="59"/>
  <c r="AK1530" i="59"/>
  <c r="AJ1530" i="59"/>
  <c r="AI1530" i="59"/>
  <c r="AH1530" i="59"/>
  <c r="B1521" i="59"/>
  <c r="B1520" i="59"/>
  <c r="B1519" i="59"/>
  <c r="AI1515" i="59"/>
  <c r="AI1514" i="59"/>
  <c r="AH1514" i="59"/>
  <c r="AG1514" i="59"/>
  <c r="AG1507" i="59"/>
  <c r="AH1507" i="59"/>
  <c r="AI1507" i="59"/>
  <c r="AJ1507" i="59"/>
  <c r="AG1508" i="59"/>
  <c r="AH1508" i="59"/>
  <c r="AI1508" i="59"/>
  <c r="AJ1508" i="59"/>
  <c r="AG1509" i="59"/>
  <c r="AH1509" i="59"/>
  <c r="AI1509" i="59"/>
  <c r="AJ1509" i="59"/>
  <c r="AG1510" i="59"/>
  <c r="AH1510" i="59"/>
  <c r="AI1510" i="59"/>
  <c r="AJ1510" i="59"/>
  <c r="AG1511" i="59"/>
  <c r="AH1511" i="59"/>
  <c r="AI1511" i="59"/>
  <c r="AJ1511" i="59"/>
  <c r="AJ1514" i="59" s="1"/>
  <c r="AG1512" i="59"/>
  <c r="AH1512" i="59"/>
  <c r="AI1512" i="59"/>
  <c r="AJ1512" i="59"/>
  <c r="AG1513" i="59"/>
  <c r="AH1513" i="59"/>
  <c r="AI1513" i="59"/>
  <c r="AJ1513" i="59"/>
  <c r="AJ1506" i="59"/>
  <c r="AI1506" i="59"/>
  <c r="AH1506" i="59"/>
  <c r="AG1506" i="59"/>
  <c r="AO1503" i="59"/>
  <c r="AM1503" i="59"/>
  <c r="AK1503" i="59"/>
  <c r="AM1502" i="59"/>
  <c r="AK1502" i="59"/>
  <c r="AK1500" i="59"/>
  <c r="AM1500" i="59"/>
  <c r="AN1500" i="59"/>
  <c r="AP1500" i="59"/>
  <c r="AQ1500" i="59"/>
  <c r="AS1500" i="59"/>
  <c r="AT1500" i="59"/>
  <c r="AV1500" i="59"/>
  <c r="AW1500" i="59"/>
  <c r="AY1500" i="59"/>
  <c r="AZ1500" i="59"/>
  <c r="BB1500" i="59"/>
  <c r="BC1500" i="59"/>
  <c r="BE1500" i="59"/>
  <c r="BF1500" i="59"/>
  <c r="BH1500" i="59"/>
  <c r="BI1500" i="59"/>
  <c r="BK1500" i="59"/>
  <c r="BL1500" i="59"/>
  <c r="BN1500" i="59"/>
  <c r="AJ1500" i="59"/>
  <c r="AH1500" i="59"/>
  <c r="AH1493" i="59"/>
  <c r="AI1493" i="59"/>
  <c r="AJ1493" i="59"/>
  <c r="AK1493" i="59"/>
  <c r="AL1493" i="59"/>
  <c r="AM1493" i="59"/>
  <c r="AN1493" i="59"/>
  <c r="AO1493" i="59"/>
  <c r="AP1493" i="59"/>
  <c r="AQ1493" i="59"/>
  <c r="AR1493" i="59"/>
  <c r="AS1493" i="59"/>
  <c r="AT1493" i="59"/>
  <c r="AU1493" i="59"/>
  <c r="AV1493" i="59"/>
  <c r="AW1493" i="59"/>
  <c r="AX1493" i="59"/>
  <c r="AY1493" i="59"/>
  <c r="AZ1493" i="59"/>
  <c r="BA1493" i="59"/>
  <c r="BB1493" i="59"/>
  <c r="BC1493" i="59"/>
  <c r="BD1493" i="59"/>
  <c r="BE1493" i="59"/>
  <c r="BF1493" i="59"/>
  <c r="BG1493" i="59"/>
  <c r="BH1493" i="59"/>
  <c r="BI1493" i="59"/>
  <c r="BJ1493" i="59"/>
  <c r="BK1493" i="59"/>
  <c r="BL1493" i="59"/>
  <c r="BM1493" i="59"/>
  <c r="BN1493" i="59"/>
  <c r="AH1494" i="59"/>
  <c r="AI1494" i="59"/>
  <c r="AJ1494" i="59"/>
  <c r="AK1494" i="59"/>
  <c r="AL1494" i="59"/>
  <c r="AM1494" i="59"/>
  <c r="AN1494" i="59"/>
  <c r="AO1494" i="59"/>
  <c r="AP1494" i="59"/>
  <c r="AQ1494" i="59"/>
  <c r="AR1494" i="59"/>
  <c r="AS1494" i="59"/>
  <c r="AT1494" i="59"/>
  <c r="AU1494" i="59"/>
  <c r="AV1494" i="59"/>
  <c r="AW1494" i="59"/>
  <c r="AX1494" i="59"/>
  <c r="AY1494" i="59"/>
  <c r="AZ1494" i="59"/>
  <c r="BA1494" i="59"/>
  <c r="BB1494" i="59"/>
  <c r="BC1494" i="59"/>
  <c r="BD1494" i="59"/>
  <c r="BE1494" i="59"/>
  <c r="BF1494" i="59"/>
  <c r="BG1494" i="59"/>
  <c r="BH1494" i="59"/>
  <c r="BI1494" i="59"/>
  <c r="BJ1494" i="59"/>
  <c r="BK1494" i="59"/>
  <c r="BL1494" i="59"/>
  <c r="BM1494" i="59"/>
  <c r="BN1494" i="59"/>
  <c r="AH1495" i="59"/>
  <c r="AI1495" i="59"/>
  <c r="AJ1495" i="59"/>
  <c r="AK1495" i="59"/>
  <c r="AL1495" i="59"/>
  <c r="AM1495" i="59"/>
  <c r="AN1495" i="59"/>
  <c r="AO1495" i="59"/>
  <c r="AP1495" i="59"/>
  <c r="AQ1495" i="59"/>
  <c r="AR1495" i="59"/>
  <c r="AS1495" i="59"/>
  <c r="AT1495" i="59"/>
  <c r="AU1495" i="59"/>
  <c r="AV1495" i="59"/>
  <c r="AW1495" i="59"/>
  <c r="AX1495" i="59"/>
  <c r="AY1495" i="59"/>
  <c r="AZ1495" i="59"/>
  <c r="BA1495" i="59"/>
  <c r="BB1495" i="59"/>
  <c r="BC1495" i="59"/>
  <c r="BD1495" i="59"/>
  <c r="BE1495" i="59"/>
  <c r="BF1495" i="59"/>
  <c r="BG1495" i="59"/>
  <c r="BH1495" i="59"/>
  <c r="BI1495" i="59"/>
  <c r="BJ1495" i="59"/>
  <c r="BK1495" i="59"/>
  <c r="BL1495" i="59"/>
  <c r="BM1495" i="59"/>
  <c r="BN1495" i="59"/>
  <c r="AH1496" i="59"/>
  <c r="AI1496" i="59"/>
  <c r="AJ1496" i="59"/>
  <c r="AK1496" i="59"/>
  <c r="AL1496" i="59"/>
  <c r="AM1496" i="59"/>
  <c r="AN1496" i="59"/>
  <c r="AO1496" i="59"/>
  <c r="AP1496" i="59"/>
  <c r="AQ1496" i="59"/>
  <c r="AR1496" i="59"/>
  <c r="AS1496" i="59"/>
  <c r="AT1496" i="59"/>
  <c r="AU1496" i="59"/>
  <c r="AV1496" i="59"/>
  <c r="AW1496" i="59"/>
  <c r="AX1496" i="59"/>
  <c r="AY1496" i="59"/>
  <c r="AZ1496" i="59"/>
  <c r="BA1496" i="59"/>
  <c r="BB1496" i="59"/>
  <c r="BC1496" i="59"/>
  <c r="BD1496" i="59"/>
  <c r="BE1496" i="59"/>
  <c r="BF1496" i="59"/>
  <c r="BG1496" i="59"/>
  <c r="BH1496" i="59"/>
  <c r="BI1496" i="59"/>
  <c r="BJ1496" i="59"/>
  <c r="BK1496" i="59"/>
  <c r="BL1496" i="59"/>
  <c r="BM1496" i="59"/>
  <c r="BN1496" i="59"/>
  <c r="AH1497" i="59"/>
  <c r="AI1497" i="59"/>
  <c r="AJ1497" i="59"/>
  <c r="AK1497" i="59"/>
  <c r="AL1497" i="59"/>
  <c r="AM1497" i="59"/>
  <c r="AN1497" i="59"/>
  <c r="AO1497" i="59"/>
  <c r="AP1497" i="59"/>
  <c r="AQ1497" i="59"/>
  <c r="AR1497" i="59"/>
  <c r="AS1497" i="59"/>
  <c r="AT1497" i="59"/>
  <c r="AU1497" i="59"/>
  <c r="AV1497" i="59"/>
  <c r="AW1497" i="59"/>
  <c r="AX1497" i="59"/>
  <c r="AY1497" i="59"/>
  <c r="AZ1497" i="59"/>
  <c r="BA1497" i="59"/>
  <c r="BB1497" i="59"/>
  <c r="BC1497" i="59"/>
  <c r="BD1497" i="59"/>
  <c r="BE1497" i="59"/>
  <c r="BF1497" i="59"/>
  <c r="BG1497" i="59"/>
  <c r="BH1497" i="59"/>
  <c r="BI1497" i="59"/>
  <c r="BJ1497" i="59"/>
  <c r="BK1497" i="59"/>
  <c r="BL1497" i="59"/>
  <c r="BM1497" i="59"/>
  <c r="BN1497" i="59"/>
  <c r="AH1498" i="59"/>
  <c r="AI1498" i="59"/>
  <c r="AJ1498" i="59"/>
  <c r="AK1498" i="59"/>
  <c r="AL1498" i="59"/>
  <c r="AM1498" i="59"/>
  <c r="AN1498" i="59"/>
  <c r="AO1498" i="59"/>
  <c r="AP1498" i="59"/>
  <c r="AQ1498" i="59"/>
  <c r="AR1498" i="59"/>
  <c r="AS1498" i="59"/>
  <c r="AT1498" i="59"/>
  <c r="AU1498" i="59"/>
  <c r="AV1498" i="59"/>
  <c r="AW1498" i="59"/>
  <c r="AX1498" i="59"/>
  <c r="AY1498" i="59"/>
  <c r="AZ1498" i="59"/>
  <c r="BA1498" i="59"/>
  <c r="BB1498" i="59"/>
  <c r="BC1498" i="59"/>
  <c r="BD1498" i="59"/>
  <c r="BE1498" i="59"/>
  <c r="BF1498" i="59"/>
  <c r="BG1498" i="59"/>
  <c r="BH1498" i="59"/>
  <c r="BI1498" i="59"/>
  <c r="BJ1498" i="59"/>
  <c r="BK1498" i="59"/>
  <c r="BL1498" i="59"/>
  <c r="BM1498" i="59"/>
  <c r="BN1498" i="59"/>
  <c r="AH1499" i="59"/>
  <c r="AI1499" i="59"/>
  <c r="AJ1499" i="59"/>
  <c r="AK1499" i="59"/>
  <c r="AL1499" i="59"/>
  <c r="AM1499" i="59"/>
  <c r="AN1499" i="59"/>
  <c r="AO1499" i="59"/>
  <c r="AP1499" i="59"/>
  <c r="AQ1499" i="59"/>
  <c r="AR1499" i="59"/>
  <c r="AS1499" i="59"/>
  <c r="AT1499" i="59"/>
  <c r="AU1499" i="59"/>
  <c r="AV1499" i="59"/>
  <c r="AW1499" i="59"/>
  <c r="AX1499" i="59"/>
  <c r="AY1499" i="59"/>
  <c r="AZ1499" i="59"/>
  <c r="BA1499" i="59"/>
  <c r="BB1499" i="59"/>
  <c r="BC1499" i="59"/>
  <c r="BD1499" i="59"/>
  <c r="BE1499" i="59"/>
  <c r="BF1499" i="59"/>
  <c r="BG1499" i="59"/>
  <c r="BH1499" i="59"/>
  <c r="BI1499" i="59"/>
  <c r="BJ1499" i="59"/>
  <c r="BK1499" i="59"/>
  <c r="BL1499" i="59"/>
  <c r="BM1499" i="59"/>
  <c r="BN1499" i="59"/>
  <c r="BN1492" i="59"/>
  <c r="BL1492" i="59"/>
  <c r="BM1492" i="59"/>
  <c r="BI1492" i="59"/>
  <c r="BJ1492" i="59"/>
  <c r="BK1492" i="59"/>
  <c r="BF1492" i="59"/>
  <c r="BG1492" i="59"/>
  <c r="BH1492" i="59"/>
  <c r="BC1492" i="59"/>
  <c r="BD1492" i="59"/>
  <c r="BE1492" i="59"/>
  <c r="AZ1492" i="59"/>
  <c r="BA1492" i="59"/>
  <c r="BB1492" i="59"/>
  <c r="AY1492" i="59"/>
  <c r="AX1492" i="59"/>
  <c r="AW1492" i="59"/>
  <c r="AV1492" i="59"/>
  <c r="AU1492" i="59"/>
  <c r="AT1492" i="59"/>
  <c r="AS1492" i="59"/>
  <c r="AR1492" i="59"/>
  <c r="AQ1492" i="59"/>
  <c r="AP1492" i="59"/>
  <c r="AO1492" i="59"/>
  <c r="AN1492" i="59"/>
  <c r="AM1492" i="59"/>
  <c r="AK1492" i="59"/>
  <c r="AH1492" i="59"/>
  <c r="AL1492" i="59"/>
  <c r="AJ1492" i="59"/>
  <c r="AI1492" i="59"/>
  <c r="B1481" i="59"/>
  <c r="B1480" i="59"/>
  <c r="AO1446" i="59"/>
  <c r="AM1446" i="59"/>
  <c r="AK1446" i="59"/>
  <c r="AM1445" i="59"/>
  <c r="AK1445" i="59"/>
  <c r="CZ1436" i="59"/>
  <c r="CZ1437" i="59"/>
  <c r="CZ1438" i="59"/>
  <c r="CZ1439" i="59"/>
  <c r="CZ1440" i="59"/>
  <c r="CZ1441" i="59"/>
  <c r="CZ1442" i="59"/>
  <c r="CY1435" i="59"/>
  <c r="AK1443" i="59"/>
  <c r="AM1443" i="59"/>
  <c r="AN1443" i="59"/>
  <c r="AP1443" i="59"/>
  <c r="AQ1443" i="59"/>
  <c r="AS1443" i="59"/>
  <c r="AT1443" i="59"/>
  <c r="AV1443" i="59"/>
  <c r="AW1443" i="59"/>
  <c r="AY1443" i="59"/>
  <c r="AZ1443" i="59"/>
  <c r="BB1443" i="59"/>
  <c r="BC1443" i="59"/>
  <c r="BE1443" i="59"/>
  <c r="BF1443" i="59"/>
  <c r="BH1443" i="59"/>
  <c r="BI1443" i="59"/>
  <c r="BK1443" i="59"/>
  <c r="BL1443" i="59"/>
  <c r="BN1443" i="59"/>
  <c r="BO1443" i="59"/>
  <c r="BQ1443" i="59"/>
  <c r="BR1443" i="59"/>
  <c r="BT1443" i="59"/>
  <c r="BU1443" i="59"/>
  <c r="BW1443" i="59"/>
  <c r="BX1443" i="59"/>
  <c r="BZ1443" i="59"/>
  <c r="CA1443" i="59"/>
  <c r="CC1443" i="59"/>
  <c r="CD1443" i="59"/>
  <c r="CF1443" i="59"/>
  <c r="CG1443" i="59"/>
  <c r="CI1443" i="59"/>
  <c r="CJ1443" i="59"/>
  <c r="CL1443" i="59"/>
  <c r="CM1443" i="59"/>
  <c r="CO1443" i="59"/>
  <c r="CP1443" i="59"/>
  <c r="CR1443" i="59"/>
  <c r="CS1443" i="59"/>
  <c r="CU1443" i="59"/>
  <c r="CV1443" i="59"/>
  <c r="CX1443" i="59"/>
  <c r="AJ1443" i="59"/>
  <c r="AH1443" i="59"/>
  <c r="AG1436" i="59"/>
  <c r="AG1437" i="59"/>
  <c r="AG1438" i="59"/>
  <c r="AG1439" i="59"/>
  <c r="AG1440" i="59"/>
  <c r="AG1441" i="59"/>
  <c r="AH1436" i="59"/>
  <c r="AI1436" i="59"/>
  <c r="AJ1436" i="59"/>
  <c r="AK1436" i="59"/>
  <c r="AL1436" i="59"/>
  <c r="AM1436" i="59"/>
  <c r="AN1436" i="59"/>
  <c r="AO1436" i="59"/>
  <c r="AP1436" i="59"/>
  <c r="AQ1436" i="59"/>
  <c r="AR1436" i="59"/>
  <c r="AS1436" i="59"/>
  <c r="AT1436" i="59"/>
  <c r="AU1436" i="59"/>
  <c r="AV1436" i="59"/>
  <c r="AW1436" i="59"/>
  <c r="AX1436" i="59"/>
  <c r="AY1436" i="59"/>
  <c r="AZ1436" i="59"/>
  <c r="BA1436" i="59"/>
  <c r="BB1436" i="59"/>
  <c r="BC1436" i="59"/>
  <c r="BD1436" i="59"/>
  <c r="BE1436" i="59"/>
  <c r="BF1436" i="59"/>
  <c r="BG1436" i="59"/>
  <c r="BH1436" i="59"/>
  <c r="BI1436" i="59"/>
  <c r="BJ1436" i="59"/>
  <c r="BK1436" i="59"/>
  <c r="BL1436" i="59"/>
  <c r="BM1436" i="59"/>
  <c r="BN1436" i="59"/>
  <c r="BO1436" i="59"/>
  <c r="BP1436" i="59"/>
  <c r="BQ1436" i="59"/>
  <c r="BR1436" i="59"/>
  <c r="BS1436" i="59"/>
  <c r="BT1436" i="59"/>
  <c r="BU1436" i="59"/>
  <c r="BV1436" i="59"/>
  <c r="BW1436" i="59"/>
  <c r="BX1436" i="59"/>
  <c r="BY1436" i="59"/>
  <c r="BZ1436" i="59"/>
  <c r="CA1436" i="59"/>
  <c r="CB1436" i="59"/>
  <c r="CC1436" i="59"/>
  <c r="CD1436" i="59"/>
  <c r="CE1436" i="59"/>
  <c r="CF1436" i="59"/>
  <c r="CG1436" i="59"/>
  <c r="CH1436" i="59"/>
  <c r="CI1436" i="59"/>
  <c r="CJ1436" i="59"/>
  <c r="CK1436" i="59"/>
  <c r="CL1436" i="59"/>
  <c r="CM1436" i="59"/>
  <c r="CN1436" i="59"/>
  <c r="CO1436" i="59"/>
  <c r="CP1436" i="59"/>
  <c r="CQ1436" i="59"/>
  <c r="CR1436" i="59"/>
  <c r="CS1436" i="59"/>
  <c r="CT1436" i="59"/>
  <c r="CU1436" i="59"/>
  <c r="CV1436" i="59"/>
  <c r="CW1436" i="59"/>
  <c r="CX1436" i="59"/>
  <c r="CY1436" i="59"/>
  <c r="AH1437" i="59"/>
  <c r="AI1437" i="59"/>
  <c r="AJ1437" i="59"/>
  <c r="AK1437" i="59"/>
  <c r="AL1437" i="59"/>
  <c r="AM1437" i="59"/>
  <c r="AN1437" i="59"/>
  <c r="AO1437" i="59"/>
  <c r="AP1437" i="59"/>
  <c r="AQ1437" i="59"/>
  <c r="AR1437" i="59"/>
  <c r="AS1437" i="59"/>
  <c r="AT1437" i="59"/>
  <c r="AU1437" i="59"/>
  <c r="AV1437" i="59"/>
  <c r="AW1437" i="59"/>
  <c r="AX1437" i="59"/>
  <c r="AY1437" i="59"/>
  <c r="AZ1437" i="59"/>
  <c r="BA1437" i="59"/>
  <c r="BB1437" i="59"/>
  <c r="BC1437" i="59"/>
  <c r="BD1437" i="59"/>
  <c r="BE1437" i="59"/>
  <c r="BF1437" i="59"/>
  <c r="BG1437" i="59"/>
  <c r="BH1437" i="59"/>
  <c r="BI1437" i="59"/>
  <c r="BJ1437" i="59"/>
  <c r="BK1437" i="59"/>
  <c r="BL1437" i="59"/>
  <c r="BM1437" i="59"/>
  <c r="BN1437" i="59"/>
  <c r="BO1437" i="59"/>
  <c r="BP1437" i="59"/>
  <c r="BQ1437" i="59"/>
  <c r="BR1437" i="59"/>
  <c r="BS1437" i="59"/>
  <c r="BT1437" i="59"/>
  <c r="BU1437" i="59"/>
  <c r="BV1437" i="59"/>
  <c r="BW1437" i="59"/>
  <c r="BX1437" i="59"/>
  <c r="BY1437" i="59"/>
  <c r="BZ1437" i="59"/>
  <c r="CA1437" i="59"/>
  <c r="CB1437" i="59"/>
  <c r="CC1437" i="59"/>
  <c r="CD1437" i="59"/>
  <c r="CE1437" i="59"/>
  <c r="CF1437" i="59"/>
  <c r="CG1437" i="59"/>
  <c r="CH1437" i="59"/>
  <c r="CI1437" i="59"/>
  <c r="CJ1437" i="59"/>
  <c r="CK1437" i="59"/>
  <c r="CL1437" i="59"/>
  <c r="CM1437" i="59"/>
  <c r="CN1437" i="59"/>
  <c r="CO1437" i="59"/>
  <c r="CP1437" i="59"/>
  <c r="CQ1437" i="59"/>
  <c r="CR1437" i="59"/>
  <c r="CS1437" i="59"/>
  <c r="CT1437" i="59"/>
  <c r="CU1437" i="59"/>
  <c r="CV1437" i="59"/>
  <c r="CW1437" i="59"/>
  <c r="CX1437" i="59"/>
  <c r="CY1437" i="59"/>
  <c r="AH1438" i="59"/>
  <c r="AI1438" i="59"/>
  <c r="AJ1438" i="59"/>
  <c r="AK1438" i="59"/>
  <c r="AL1438" i="59"/>
  <c r="AM1438" i="59"/>
  <c r="AN1438" i="59"/>
  <c r="AO1438" i="59"/>
  <c r="AP1438" i="59"/>
  <c r="AQ1438" i="59"/>
  <c r="AR1438" i="59"/>
  <c r="AS1438" i="59"/>
  <c r="AT1438" i="59"/>
  <c r="AU1438" i="59"/>
  <c r="AV1438" i="59"/>
  <c r="AW1438" i="59"/>
  <c r="AX1438" i="59"/>
  <c r="AY1438" i="59"/>
  <c r="AZ1438" i="59"/>
  <c r="BA1438" i="59"/>
  <c r="BB1438" i="59"/>
  <c r="BC1438" i="59"/>
  <c r="BD1438" i="59"/>
  <c r="BE1438" i="59"/>
  <c r="BF1438" i="59"/>
  <c r="BG1438" i="59"/>
  <c r="BH1438" i="59"/>
  <c r="BI1438" i="59"/>
  <c r="BJ1438" i="59"/>
  <c r="BK1438" i="59"/>
  <c r="BL1438" i="59"/>
  <c r="BM1438" i="59"/>
  <c r="BN1438" i="59"/>
  <c r="BO1438" i="59"/>
  <c r="BP1438" i="59"/>
  <c r="BQ1438" i="59"/>
  <c r="BR1438" i="59"/>
  <c r="BS1438" i="59"/>
  <c r="BT1438" i="59"/>
  <c r="BU1438" i="59"/>
  <c r="BV1438" i="59"/>
  <c r="BW1438" i="59"/>
  <c r="BX1438" i="59"/>
  <c r="BY1438" i="59"/>
  <c r="BZ1438" i="59"/>
  <c r="CA1438" i="59"/>
  <c r="CB1438" i="59"/>
  <c r="CC1438" i="59"/>
  <c r="CD1438" i="59"/>
  <c r="CE1438" i="59"/>
  <c r="CF1438" i="59"/>
  <c r="CG1438" i="59"/>
  <c r="CH1438" i="59"/>
  <c r="CI1438" i="59"/>
  <c r="CJ1438" i="59"/>
  <c r="CK1438" i="59"/>
  <c r="CL1438" i="59"/>
  <c r="CM1438" i="59"/>
  <c r="CN1438" i="59"/>
  <c r="CO1438" i="59"/>
  <c r="CP1438" i="59"/>
  <c r="CQ1438" i="59"/>
  <c r="CR1438" i="59"/>
  <c r="CS1438" i="59"/>
  <c r="CT1438" i="59"/>
  <c r="CU1438" i="59"/>
  <c r="CV1438" i="59"/>
  <c r="CW1438" i="59"/>
  <c r="CX1438" i="59"/>
  <c r="CY1438" i="59"/>
  <c r="AH1439" i="59"/>
  <c r="AI1439" i="59"/>
  <c r="AJ1439" i="59"/>
  <c r="AK1439" i="59"/>
  <c r="AL1439" i="59"/>
  <c r="AM1439" i="59"/>
  <c r="AN1439" i="59"/>
  <c r="AO1439" i="59"/>
  <c r="AP1439" i="59"/>
  <c r="AQ1439" i="59"/>
  <c r="AR1439" i="59"/>
  <c r="AS1439" i="59"/>
  <c r="AT1439" i="59"/>
  <c r="AU1439" i="59"/>
  <c r="AV1439" i="59"/>
  <c r="AW1439" i="59"/>
  <c r="AX1439" i="59"/>
  <c r="AY1439" i="59"/>
  <c r="AZ1439" i="59"/>
  <c r="BA1439" i="59"/>
  <c r="BB1439" i="59"/>
  <c r="BC1439" i="59"/>
  <c r="BD1439" i="59"/>
  <c r="BE1439" i="59"/>
  <c r="BF1439" i="59"/>
  <c r="BG1439" i="59"/>
  <c r="BH1439" i="59"/>
  <c r="BI1439" i="59"/>
  <c r="BJ1439" i="59"/>
  <c r="BK1439" i="59"/>
  <c r="BL1439" i="59"/>
  <c r="BM1439" i="59"/>
  <c r="BN1439" i="59"/>
  <c r="BO1439" i="59"/>
  <c r="BP1439" i="59"/>
  <c r="BQ1439" i="59"/>
  <c r="BR1439" i="59"/>
  <c r="BS1439" i="59"/>
  <c r="BT1439" i="59"/>
  <c r="BU1439" i="59"/>
  <c r="BV1439" i="59"/>
  <c r="BW1439" i="59"/>
  <c r="BX1439" i="59"/>
  <c r="BY1439" i="59"/>
  <c r="BZ1439" i="59"/>
  <c r="CA1439" i="59"/>
  <c r="CB1439" i="59"/>
  <c r="CC1439" i="59"/>
  <c r="CD1439" i="59"/>
  <c r="CE1439" i="59"/>
  <c r="CF1439" i="59"/>
  <c r="CG1439" i="59"/>
  <c r="CH1439" i="59"/>
  <c r="CI1439" i="59"/>
  <c r="CJ1439" i="59"/>
  <c r="CK1439" i="59"/>
  <c r="CL1439" i="59"/>
  <c r="CM1439" i="59"/>
  <c r="CN1439" i="59"/>
  <c r="CO1439" i="59"/>
  <c r="CP1439" i="59"/>
  <c r="CQ1439" i="59"/>
  <c r="CR1439" i="59"/>
  <c r="CS1439" i="59"/>
  <c r="CT1439" i="59"/>
  <c r="CU1439" i="59"/>
  <c r="CV1439" i="59"/>
  <c r="CW1439" i="59"/>
  <c r="CX1439" i="59"/>
  <c r="CY1439" i="59"/>
  <c r="AH1440" i="59"/>
  <c r="AI1440" i="59"/>
  <c r="AJ1440" i="59"/>
  <c r="AK1440" i="59"/>
  <c r="AL1440" i="59"/>
  <c r="AM1440" i="59"/>
  <c r="AN1440" i="59"/>
  <c r="AO1440" i="59"/>
  <c r="AP1440" i="59"/>
  <c r="AQ1440" i="59"/>
  <c r="AR1440" i="59"/>
  <c r="AS1440" i="59"/>
  <c r="AT1440" i="59"/>
  <c r="AU1440" i="59"/>
  <c r="AV1440" i="59"/>
  <c r="AW1440" i="59"/>
  <c r="AX1440" i="59"/>
  <c r="AY1440" i="59"/>
  <c r="AZ1440" i="59"/>
  <c r="BA1440" i="59"/>
  <c r="BB1440" i="59"/>
  <c r="BC1440" i="59"/>
  <c r="BD1440" i="59"/>
  <c r="BE1440" i="59"/>
  <c r="BF1440" i="59"/>
  <c r="BG1440" i="59"/>
  <c r="BH1440" i="59"/>
  <c r="BI1440" i="59"/>
  <c r="BJ1440" i="59"/>
  <c r="BK1440" i="59"/>
  <c r="BL1440" i="59"/>
  <c r="BM1440" i="59"/>
  <c r="BN1440" i="59"/>
  <c r="BO1440" i="59"/>
  <c r="BP1440" i="59"/>
  <c r="BQ1440" i="59"/>
  <c r="BR1440" i="59"/>
  <c r="BS1440" i="59"/>
  <c r="BT1440" i="59"/>
  <c r="BU1440" i="59"/>
  <c r="BV1440" i="59"/>
  <c r="BW1440" i="59"/>
  <c r="BX1440" i="59"/>
  <c r="BY1440" i="59"/>
  <c r="BZ1440" i="59"/>
  <c r="CA1440" i="59"/>
  <c r="CB1440" i="59"/>
  <c r="CC1440" i="59"/>
  <c r="CD1440" i="59"/>
  <c r="CE1440" i="59"/>
  <c r="CF1440" i="59"/>
  <c r="CG1440" i="59"/>
  <c r="CH1440" i="59"/>
  <c r="CI1440" i="59"/>
  <c r="CJ1440" i="59"/>
  <c r="CK1440" i="59"/>
  <c r="CL1440" i="59"/>
  <c r="CM1440" i="59"/>
  <c r="CN1440" i="59"/>
  <c r="CO1440" i="59"/>
  <c r="CP1440" i="59"/>
  <c r="CQ1440" i="59"/>
  <c r="CR1440" i="59"/>
  <c r="CS1440" i="59"/>
  <c r="CT1440" i="59"/>
  <c r="CU1440" i="59"/>
  <c r="CV1440" i="59"/>
  <c r="CW1440" i="59"/>
  <c r="CX1440" i="59"/>
  <c r="CY1440" i="59"/>
  <c r="AH1441" i="59"/>
  <c r="AI1441" i="59"/>
  <c r="AJ1441" i="59"/>
  <c r="AK1441" i="59"/>
  <c r="AL1441" i="59"/>
  <c r="AM1441" i="59"/>
  <c r="AN1441" i="59"/>
  <c r="AO1441" i="59"/>
  <c r="AP1441" i="59"/>
  <c r="AQ1441" i="59"/>
  <c r="AR1441" i="59"/>
  <c r="AS1441" i="59"/>
  <c r="AT1441" i="59"/>
  <c r="AU1441" i="59"/>
  <c r="AV1441" i="59"/>
  <c r="AW1441" i="59"/>
  <c r="AX1441" i="59"/>
  <c r="AY1441" i="59"/>
  <c r="AZ1441" i="59"/>
  <c r="BA1441" i="59"/>
  <c r="BB1441" i="59"/>
  <c r="BC1441" i="59"/>
  <c r="BD1441" i="59"/>
  <c r="BE1441" i="59"/>
  <c r="BF1441" i="59"/>
  <c r="BG1441" i="59"/>
  <c r="BH1441" i="59"/>
  <c r="BI1441" i="59"/>
  <c r="BJ1441" i="59"/>
  <c r="BK1441" i="59"/>
  <c r="BL1441" i="59"/>
  <c r="BM1441" i="59"/>
  <c r="BN1441" i="59"/>
  <c r="BO1441" i="59"/>
  <c r="BP1441" i="59"/>
  <c r="BQ1441" i="59"/>
  <c r="BR1441" i="59"/>
  <c r="BS1441" i="59"/>
  <c r="BT1441" i="59"/>
  <c r="BU1441" i="59"/>
  <c r="BV1441" i="59"/>
  <c r="BW1441" i="59"/>
  <c r="BX1441" i="59"/>
  <c r="BY1441" i="59"/>
  <c r="BZ1441" i="59"/>
  <c r="CA1441" i="59"/>
  <c r="CB1441" i="59"/>
  <c r="CC1441" i="59"/>
  <c r="CD1441" i="59"/>
  <c r="CE1441" i="59"/>
  <c r="CF1441" i="59"/>
  <c r="CG1441" i="59"/>
  <c r="CH1441" i="59"/>
  <c r="CI1441" i="59"/>
  <c r="CJ1441" i="59"/>
  <c r="CK1441" i="59"/>
  <c r="CL1441" i="59"/>
  <c r="CM1441" i="59"/>
  <c r="CN1441" i="59"/>
  <c r="CO1441" i="59"/>
  <c r="CP1441" i="59"/>
  <c r="CQ1441" i="59"/>
  <c r="CR1441" i="59"/>
  <c r="CS1441" i="59"/>
  <c r="CT1441" i="59"/>
  <c r="CU1441" i="59"/>
  <c r="CV1441" i="59"/>
  <c r="CW1441" i="59"/>
  <c r="CX1441" i="59"/>
  <c r="CY1441" i="59"/>
  <c r="AH1442" i="59"/>
  <c r="AI1442" i="59"/>
  <c r="AJ1442" i="59"/>
  <c r="AK1442" i="59"/>
  <c r="AL1442" i="59"/>
  <c r="AM1442" i="59"/>
  <c r="AN1442" i="59"/>
  <c r="AO1442" i="59"/>
  <c r="AP1442" i="59"/>
  <c r="AQ1442" i="59"/>
  <c r="AR1442" i="59"/>
  <c r="AS1442" i="59"/>
  <c r="AT1442" i="59"/>
  <c r="AU1442" i="59"/>
  <c r="AV1442" i="59"/>
  <c r="AW1442" i="59"/>
  <c r="AX1442" i="59"/>
  <c r="AY1442" i="59"/>
  <c r="AZ1442" i="59"/>
  <c r="BA1442" i="59"/>
  <c r="BB1442" i="59"/>
  <c r="BC1442" i="59"/>
  <c r="BD1442" i="59"/>
  <c r="BE1442" i="59"/>
  <c r="BF1442" i="59"/>
  <c r="BG1442" i="59"/>
  <c r="BH1442" i="59"/>
  <c r="BI1442" i="59"/>
  <c r="BJ1442" i="59"/>
  <c r="BK1442" i="59"/>
  <c r="BL1442" i="59"/>
  <c r="BM1442" i="59"/>
  <c r="BN1442" i="59"/>
  <c r="BO1442" i="59"/>
  <c r="BP1442" i="59"/>
  <c r="BQ1442" i="59"/>
  <c r="BR1442" i="59"/>
  <c r="BS1442" i="59"/>
  <c r="BT1442" i="59"/>
  <c r="BU1442" i="59"/>
  <c r="BV1442" i="59"/>
  <c r="BW1442" i="59"/>
  <c r="BX1442" i="59"/>
  <c r="BY1442" i="59"/>
  <c r="BZ1442" i="59"/>
  <c r="CA1442" i="59"/>
  <c r="CB1442" i="59"/>
  <c r="CC1442" i="59"/>
  <c r="CD1442" i="59"/>
  <c r="CE1442" i="59"/>
  <c r="CF1442" i="59"/>
  <c r="CG1442" i="59"/>
  <c r="CH1442" i="59"/>
  <c r="CI1442" i="59"/>
  <c r="CJ1442" i="59"/>
  <c r="CK1442" i="59"/>
  <c r="CL1442" i="59"/>
  <c r="CM1442" i="59"/>
  <c r="CN1442" i="59"/>
  <c r="CO1442" i="59"/>
  <c r="CP1442" i="59"/>
  <c r="CQ1442" i="59"/>
  <c r="CR1442" i="59"/>
  <c r="CS1442" i="59"/>
  <c r="CT1442" i="59"/>
  <c r="CU1442" i="59"/>
  <c r="CV1442" i="59"/>
  <c r="CW1442" i="59"/>
  <c r="CX1442" i="59"/>
  <c r="CY1442" i="59"/>
  <c r="CX1435" i="59"/>
  <c r="CV1435" i="59"/>
  <c r="CW1435" i="59"/>
  <c r="CS1435" i="59"/>
  <c r="CT1435" i="59"/>
  <c r="CU1435" i="59"/>
  <c r="CP1435" i="59"/>
  <c r="CQ1435" i="59"/>
  <c r="CR1435" i="59"/>
  <c r="CM1435" i="59"/>
  <c r="CN1435" i="59"/>
  <c r="CO1435" i="59"/>
  <c r="CJ1435" i="59"/>
  <c r="CK1435" i="59"/>
  <c r="CL1435" i="59"/>
  <c r="CG1435" i="59"/>
  <c r="CH1435" i="59"/>
  <c r="CI1435" i="59"/>
  <c r="CD1435" i="59"/>
  <c r="CE1435" i="59"/>
  <c r="CF1435" i="59"/>
  <c r="CC1435" i="59"/>
  <c r="CB1435" i="59"/>
  <c r="CA1435" i="59"/>
  <c r="BZ1435" i="59"/>
  <c r="BX1435" i="59"/>
  <c r="BY1435" i="59"/>
  <c r="BU1435" i="59"/>
  <c r="BV1435" i="59"/>
  <c r="BW1435" i="59"/>
  <c r="BR1435" i="59"/>
  <c r="BS1435" i="59"/>
  <c r="BT1435" i="59"/>
  <c r="BO1435" i="59"/>
  <c r="BP1435" i="59"/>
  <c r="BQ1435" i="59"/>
  <c r="BL1435" i="59"/>
  <c r="BM1435" i="59"/>
  <c r="BN1435" i="59"/>
  <c r="BI1435" i="59"/>
  <c r="BJ1435" i="59"/>
  <c r="BK1435" i="59"/>
  <c r="BF1435" i="59"/>
  <c r="BG1435" i="59"/>
  <c r="BH1435" i="59"/>
  <c r="BE1435" i="59"/>
  <c r="BD1435" i="59"/>
  <c r="BC1435" i="59"/>
  <c r="BB1435" i="59"/>
  <c r="AY1435" i="59"/>
  <c r="AT1435" i="59"/>
  <c r="AS1435" i="59"/>
  <c r="AR1435" i="59"/>
  <c r="AQ1435" i="59"/>
  <c r="AI1435" i="59"/>
  <c r="AH1435" i="59"/>
  <c r="BA1435" i="59"/>
  <c r="AZ1435" i="59"/>
  <c r="AX1435" i="59"/>
  <c r="AW1435" i="59"/>
  <c r="AV1435" i="59"/>
  <c r="AU1435" i="59"/>
  <c r="AP1435" i="59"/>
  <c r="AO1435" i="59"/>
  <c r="AN1435" i="59"/>
  <c r="AM1435" i="59"/>
  <c r="AL1435" i="59"/>
  <c r="AK1435" i="59"/>
  <c r="AJ1435" i="59"/>
  <c r="AH1422" i="59"/>
  <c r="AH1421" i="59"/>
  <c r="AH1420" i="59"/>
  <c r="B1415" i="59"/>
  <c r="B1414" i="59"/>
  <c r="B1413" i="59"/>
  <c r="B1412" i="59"/>
  <c r="BJ1400" i="59"/>
  <c r="BJ1401" i="59"/>
  <c r="BJ1402" i="59"/>
  <c r="BJ1403" i="59"/>
  <c r="BJ1404" i="59"/>
  <c r="BJ1405" i="59"/>
  <c r="BJ1406" i="59"/>
  <c r="BJ1399" i="59"/>
  <c r="BH1408" i="59"/>
  <c r="AN1407" i="59"/>
  <c r="AO1407" i="59"/>
  <c r="AP1407" i="59"/>
  <c r="AQ1407" i="59"/>
  <c r="AR1407" i="59"/>
  <c r="AS1407" i="59"/>
  <c r="AT1407" i="59"/>
  <c r="AU1407" i="59"/>
  <c r="AV1407" i="59"/>
  <c r="AW1407" i="59"/>
  <c r="AX1407" i="59"/>
  <c r="AY1407" i="59"/>
  <c r="AZ1407" i="59"/>
  <c r="BA1407" i="59"/>
  <c r="BB1407" i="59"/>
  <c r="BC1407" i="59"/>
  <c r="BD1407" i="59"/>
  <c r="BE1407" i="59"/>
  <c r="BF1407" i="59"/>
  <c r="BG1407" i="59"/>
  <c r="BH1407" i="59"/>
  <c r="AM1407" i="59"/>
  <c r="AL1407" i="59"/>
  <c r="AK1407" i="59"/>
  <c r="AK1400" i="59"/>
  <c r="AL1400" i="59"/>
  <c r="AM1400" i="59"/>
  <c r="AN1400" i="59"/>
  <c r="AO1400" i="59"/>
  <c r="AP1400" i="59"/>
  <c r="AQ1400" i="59"/>
  <c r="AR1400" i="59"/>
  <c r="AS1400" i="59"/>
  <c r="AT1400" i="59"/>
  <c r="AU1400" i="59"/>
  <c r="AV1400" i="59"/>
  <c r="AW1400" i="59"/>
  <c r="AX1400" i="59"/>
  <c r="AY1400" i="59"/>
  <c r="AZ1400" i="59"/>
  <c r="BA1400" i="59"/>
  <c r="BB1400" i="59"/>
  <c r="BC1400" i="59"/>
  <c r="BD1400" i="59"/>
  <c r="BE1400" i="59"/>
  <c r="BF1400" i="59"/>
  <c r="BG1400" i="59"/>
  <c r="BH1400" i="59"/>
  <c r="AK1401" i="59"/>
  <c r="AL1401" i="59"/>
  <c r="AM1401" i="59"/>
  <c r="AN1401" i="59"/>
  <c r="AO1401" i="59"/>
  <c r="AP1401" i="59"/>
  <c r="AQ1401" i="59"/>
  <c r="AR1401" i="59"/>
  <c r="AS1401" i="59"/>
  <c r="AT1401" i="59"/>
  <c r="AU1401" i="59"/>
  <c r="AV1401" i="59"/>
  <c r="AW1401" i="59"/>
  <c r="AX1401" i="59"/>
  <c r="AY1401" i="59"/>
  <c r="AZ1401" i="59"/>
  <c r="BA1401" i="59"/>
  <c r="BB1401" i="59"/>
  <c r="BC1401" i="59"/>
  <c r="BD1401" i="59"/>
  <c r="BE1401" i="59"/>
  <c r="BF1401" i="59"/>
  <c r="BG1401" i="59"/>
  <c r="BH1401" i="59"/>
  <c r="AK1402" i="59"/>
  <c r="AL1402" i="59"/>
  <c r="AM1402" i="59"/>
  <c r="AN1402" i="59"/>
  <c r="AO1402" i="59"/>
  <c r="AP1402" i="59"/>
  <c r="AQ1402" i="59"/>
  <c r="AR1402" i="59"/>
  <c r="AS1402" i="59"/>
  <c r="AT1402" i="59"/>
  <c r="AU1402" i="59"/>
  <c r="AV1402" i="59"/>
  <c r="AW1402" i="59"/>
  <c r="AX1402" i="59"/>
  <c r="AY1402" i="59"/>
  <c r="AZ1402" i="59"/>
  <c r="BA1402" i="59"/>
  <c r="BB1402" i="59"/>
  <c r="BC1402" i="59"/>
  <c r="BD1402" i="59"/>
  <c r="BE1402" i="59"/>
  <c r="BF1402" i="59"/>
  <c r="BG1402" i="59"/>
  <c r="BH1402" i="59"/>
  <c r="AK1403" i="59"/>
  <c r="AL1403" i="59"/>
  <c r="AM1403" i="59"/>
  <c r="AN1403" i="59"/>
  <c r="AO1403" i="59"/>
  <c r="AP1403" i="59"/>
  <c r="AQ1403" i="59"/>
  <c r="AR1403" i="59"/>
  <c r="AS1403" i="59"/>
  <c r="AT1403" i="59"/>
  <c r="AU1403" i="59"/>
  <c r="AV1403" i="59"/>
  <c r="AW1403" i="59"/>
  <c r="AX1403" i="59"/>
  <c r="AY1403" i="59"/>
  <c r="AZ1403" i="59"/>
  <c r="BA1403" i="59"/>
  <c r="BB1403" i="59"/>
  <c r="BC1403" i="59"/>
  <c r="BD1403" i="59"/>
  <c r="BE1403" i="59"/>
  <c r="BF1403" i="59"/>
  <c r="BG1403" i="59"/>
  <c r="BH1403" i="59"/>
  <c r="AK1404" i="59"/>
  <c r="AL1404" i="59"/>
  <c r="AM1404" i="59"/>
  <c r="AN1404" i="59"/>
  <c r="AO1404" i="59"/>
  <c r="AP1404" i="59"/>
  <c r="AQ1404" i="59"/>
  <c r="AR1404" i="59"/>
  <c r="AS1404" i="59"/>
  <c r="AT1404" i="59"/>
  <c r="AU1404" i="59"/>
  <c r="AV1404" i="59"/>
  <c r="AW1404" i="59"/>
  <c r="AX1404" i="59"/>
  <c r="AY1404" i="59"/>
  <c r="AZ1404" i="59"/>
  <c r="BA1404" i="59"/>
  <c r="BB1404" i="59"/>
  <c r="BC1404" i="59"/>
  <c r="BD1404" i="59"/>
  <c r="BE1404" i="59"/>
  <c r="BF1404" i="59"/>
  <c r="BG1404" i="59"/>
  <c r="BH1404" i="59"/>
  <c r="AK1405" i="59"/>
  <c r="AL1405" i="59"/>
  <c r="AM1405" i="59"/>
  <c r="AN1405" i="59"/>
  <c r="AO1405" i="59"/>
  <c r="AP1405" i="59"/>
  <c r="AQ1405" i="59"/>
  <c r="AR1405" i="59"/>
  <c r="AS1405" i="59"/>
  <c r="AT1405" i="59"/>
  <c r="AU1405" i="59"/>
  <c r="AV1405" i="59"/>
  <c r="AW1405" i="59"/>
  <c r="AX1405" i="59"/>
  <c r="AY1405" i="59"/>
  <c r="AZ1405" i="59"/>
  <c r="BA1405" i="59"/>
  <c r="BB1405" i="59"/>
  <c r="BC1405" i="59"/>
  <c r="BD1405" i="59"/>
  <c r="BE1405" i="59"/>
  <c r="BF1405" i="59"/>
  <c r="BG1405" i="59"/>
  <c r="BH1405" i="59"/>
  <c r="AK1406" i="59"/>
  <c r="AL1406" i="59"/>
  <c r="AM1406" i="59"/>
  <c r="AN1406" i="59"/>
  <c r="AO1406" i="59"/>
  <c r="AP1406" i="59"/>
  <c r="AQ1406" i="59"/>
  <c r="AR1406" i="59"/>
  <c r="AS1406" i="59"/>
  <c r="AT1406" i="59"/>
  <c r="AU1406" i="59"/>
  <c r="AV1406" i="59"/>
  <c r="AW1406" i="59"/>
  <c r="AX1406" i="59"/>
  <c r="AY1406" i="59"/>
  <c r="AZ1406" i="59"/>
  <c r="BA1406" i="59"/>
  <c r="BB1406" i="59"/>
  <c r="BC1406" i="59"/>
  <c r="BD1406" i="59"/>
  <c r="BE1406" i="59"/>
  <c r="BF1406" i="59"/>
  <c r="BG1406" i="59"/>
  <c r="BH1406" i="59"/>
  <c r="BH1399" i="59"/>
  <c r="BF1399" i="59"/>
  <c r="BG1399" i="59"/>
  <c r="BC1399" i="59"/>
  <c r="BD1399" i="59"/>
  <c r="BE1399" i="59"/>
  <c r="AZ1399" i="59"/>
  <c r="BA1399" i="59"/>
  <c r="BB1399" i="59"/>
  <c r="AW1399" i="59"/>
  <c r="AX1399" i="59"/>
  <c r="AY1399" i="59"/>
  <c r="AV1399" i="59"/>
  <c r="AU1399" i="59"/>
  <c r="AT1399" i="59"/>
  <c r="AS1399" i="59"/>
  <c r="AR1399" i="59"/>
  <c r="AQ1399" i="59"/>
  <c r="AN1399" i="59"/>
  <c r="AO1399" i="59"/>
  <c r="AP1399" i="59"/>
  <c r="AM1399" i="59"/>
  <c r="AI1399" i="59"/>
  <c r="AL1399" i="59"/>
  <c r="AH1399" i="59"/>
  <c r="AK1399" i="59"/>
  <c r="AG1399" i="59"/>
  <c r="AG1407" i="59" s="1"/>
  <c r="AI1407" i="59"/>
  <c r="AH1407" i="59"/>
  <c r="AG1400" i="59"/>
  <c r="AH1400" i="59"/>
  <c r="AI1400" i="59"/>
  <c r="AG1401" i="59"/>
  <c r="AH1401" i="59"/>
  <c r="AI1401" i="59"/>
  <c r="AG1402" i="59"/>
  <c r="AH1402" i="59"/>
  <c r="AI1402" i="59"/>
  <c r="AG1403" i="59"/>
  <c r="AH1403" i="59"/>
  <c r="AI1403" i="59"/>
  <c r="AG1404" i="59"/>
  <c r="AH1404" i="59"/>
  <c r="AI1404" i="59"/>
  <c r="AG1405" i="59"/>
  <c r="AH1405" i="59"/>
  <c r="AI1405" i="59"/>
  <c r="AG1406" i="59"/>
  <c r="AH1406" i="59"/>
  <c r="AI1406" i="59"/>
  <c r="AO1395" i="59"/>
  <c r="AM1395" i="59"/>
  <c r="AK1395" i="59"/>
  <c r="AM1394" i="59"/>
  <c r="AK1394" i="59"/>
  <c r="AK1392" i="59"/>
  <c r="AM1392" i="59"/>
  <c r="AN1392" i="59"/>
  <c r="AP1392" i="59"/>
  <c r="AQ1392" i="59"/>
  <c r="AS1392" i="59"/>
  <c r="AT1392" i="59"/>
  <c r="AV1392" i="59"/>
  <c r="AW1392" i="59"/>
  <c r="AY1392" i="59"/>
  <c r="AZ1392" i="59"/>
  <c r="BB1392" i="59"/>
  <c r="BC1392" i="59"/>
  <c r="BE1392" i="59"/>
  <c r="BF1392" i="59"/>
  <c r="BH1392" i="59"/>
  <c r="AJ1392" i="59"/>
  <c r="AH1392" i="59"/>
  <c r="AH1385" i="59"/>
  <c r="AI1385" i="59"/>
  <c r="AJ1385" i="59"/>
  <c r="AK1385" i="59"/>
  <c r="AL1385" i="59"/>
  <c r="AM1385" i="59"/>
  <c r="AN1385" i="59"/>
  <c r="AO1385" i="59"/>
  <c r="AP1385" i="59"/>
  <c r="AQ1385" i="59"/>
  <c r="AR1385" i="59"/>
  <c r="AS1385" i="59"/>
  <c r="AT1385" i="59"/>
  <c r="AU1385" i="59"/>
  <c r="AV1385" i="59"/>
  <c r="AW1385" i="59"/>
  <c r="AX1385" i="59"/>
  <c r="AY1385" i="59"/>
  <c r="AZ1385" i="59"/>
  <c r="BA1385" i="59"/>
  <c r="BB1385" i="59"/>
  <c r="BC1385" i="59"/>
  <c r="BD1385" i="59"/>
  <c r="BE1385" i="59"/>
  <c r="BF1385" i="59"/>
  <c r="BG1385" i="59"/>
  <c r="BH1385" i="59"/>
  <c r="AH1386" i="59"/>
  <c r="AI1386" i="59"/>
  <c r="AJ1386" i="59"/>
  <c r="AK1386" i="59"/>
  <c r="AL1386" i="59"/>
  <c r="AM1386" i="59"/>
  <c r="AN1386" i="59"/>
  <c r="AO1386" i="59"/>
  <c r="AP1386" i="59"/>
  <c r="AQ1386" i="59"/>
  <c r="AR1386" i="59"/>
  <c r="AS1386" i="59"/>
  <c r="AT1386" i="59"/>
  <c r="AU1386" i="59"/>
  <c r="AV1386" i="59"/>
  <c r="AW1386" i="59"/>
  <c r="AX1386" i="59"/>
  <c r="AY1386" i="59"/>
  <c r="AZ1386" i="59"/>
  <c r="BA1386" i="59"/>
  <c r="BB1386" i="59"/>
  <c r="BC1386" i="59"/>
  <c r="BD1386" i="59"/>
  <c r="BE1386" i="59"/>
  <c r="BF1386" i="59"/>
  <c r="BG1386" i="59"/>
  <c r="BH1386" i="59"/>
  <c r="AH1387" i="59"/>
  <c r="AI1387" i="59"/>
  <c r="AJ1387" i="59"/>
  <c r="AK1387" i="59"/>
  <c r="AL1387" i="59"/>
  <c r="AM1387" i="59"/>
  <c r="AN1387" i="59"/>
  <c r="AO1387" i="59"/>
  <c r="AP1387" i="59"/>
  <c r="AQ1387" i="59"/>
  <c r="AR1387" i="59"/>
  <c r="AS1387" i="59"/>
  <c r="AT1387" i="59"/>
  <c r="AU1387" i="59"/>
  <c r="AV1387" i="59"/>
  <c r="AW1387" i="59"/>
  <c r="AX1387" i="59"/>
  <c r="AY1387" i="59"/>
  <c r="AZ1387" i="59"/>
  <c r="BA1387" i="59"/>
  <c r="BB1387" i="59"/>
  <c r="BC1387" i="59"/>
  <c r="BD1387" i="59"/>
  <c r="BE1387" i="59"/>
  <c r="BF1387" i="59"/>
  <c r="BG1387" i="59"/>
  <c r="BH1387" i="59"/>
  <c r="AH1388" i="59"/>
  <c r="AI1388" i="59"/>
  <c r="AJ1388" i="59"/>
  <c r="AK1388" i="59"/>
  <c r="AL1388" i="59"/>
  <c r="AM1388" i="59"/>
  <c r="AN1388" i="59"/>
  <c r="AO1388" i="59"/>
  <c r="AP1388" i="59"/>
  <c r="AQ1388" i="59"/>
  <c r="AR1388" i="59"/>
  <c r="AS1388" i="59"/>
  <c r="AT1388" i="59"/>
  <c r="AU1388" i="59"/>
  <c r="AV1388" i="59"/>
  <c r="AW1388" i="59"/>
  <c r="AX1388" i="59"/>
  <c r="AY1388" i="59"/>
  <c r="AZ1388" i="59"/>
  <c r="BA1388" i="59"/>
  <c r="BB1388" i="59"/>
  <c r="BC1388" i="59"/>
  <c r="BD1388" i="59"/>
  <c r="BE1388" i="59"/>
  <c r="BF1388" i="59"/>
  <c r="BG1388" i="59"/>
  <c r="BH1388" i="59"/>
  <c r="AH1389" i="59"/>
  <c r="AI1389" i="59"/>
  <c r="AJ1389" i="59"/>
  <c r="AK1389" i="59"/>
  <c r="AL1389" i="59"/>
  <c r="AM1389" i="59"/>
  <c r="AN1389" i="59"/>
  <c r="AO1389" i="59"/>
  <c r="AP1389" i="59"/>
  <c r="AQ1389" i="59"/>
  <c r="AR1389" i="59"/>
  <c r="AS1389" i="59"/>
  <c r="AT1389" i="59"/>
  <c r="AU1389" i="59"/>
  <c r="AV1389" i="59"/>
  <c r="AW1389" i="59"/>
  <c r="AX1389" i="59"/>
  <c r="AY1389" i="59"/>
  <c r="AZ1389" i="59"/>
  <c r="BA1389" i="59"/>
  <c r="BB1389" i="59"/>
  <c r="BC1389" i="59"/>
  <c r="BD1389" i="59"/>
  <c r="BE1389" i="59"/>
  <c r="BF1389" i="59"/>
  <c r="BG1389" i="59"/>
  <c r="BH1389" i="59"/>
  <c r="AH1390" i="59"/>
  <c r="AI1390" i="59"/>
  <c r="AJ1390" i="59"/>
  <c r="AK1390" i="59"/>
  <c r="AL1390" i="59"/>
  <c r="AM1390" i="59"/>
  <c r="AN1390" i="59"/>
  <c r="AO1390" i="59"/>
  <c r="AP1390" i="59"/>
  <c r="AQ1390" i="59"/>
  <c r="AR1390" i="59"/>
  <c r="AS1390" i="59"/>
  <c r="AT1390" i="59"/>
  <c r="AU1390" i="59"/>
  <c r="AV1390" i="59"/>
  <c r="AW1390" i="59"/>
  <c r="AX1390" i="59"/>
  <c r="AY1390" i="59"/>
  <c r="AZ1390" i="59"/>
  <c r="BA1390" i="59"/>
  <c r="BB1390" i="59"/>
  <c r="BC1390" i="59"/>
  <c r="BD1390" i="59"/>
  <c r="BE1390" i="59"/>
  <c r="BF1390" i="59"/>
  <c r="BG1390" i="59"/>
  <c r="BH1390" i="59"/>
  <c r="AH1391" i="59"/>
  <c r="AI1391" i="59"/>
  <c r="AJ1391" i="59"/>
  <c r="AK1391" i="59"/>
  <c r="AL1391" i="59"/>
  <c r="AM1391" i="59"/>
  <c r="AN1391" i="59"/>
  <c r="AO1391" i="59"/>
  <c r="AP1391" i="59"/>
  <c r="AQ1391" i="59"/>
  <c r="AR1391" i="59"/>
  <c r="AS1391" i="59"/>
  <c r="AT1391" i="59"/>
  <c r="AU1391" i="59"/>
  <c r="AV1391" i="59"/>
  <c r="AW1391" i="59"/>
  <c r="AX1391" i="59"/>
  <c r="AY1391" i="59"/>
  <c r="AZ1391" i="59"/>
  <c r="BA1391" i="59"/>
  <c r="BB1391" i="59"/>
  <c r="BC1391" i="59"/>
  <c r="BD1391" i="59"/>
  <c r="BE1391" i="59"/>
  <c r="BF1391" i="59"/>
  <c r="BG1391" i="59"/>
  <c r="BH1391" i="59"/>
  <c r="BH1384" i="59"/>
  <c r="BF1384" i="59"/>
  <c r="BG1384" i="59"/>
  <c r="BC1384" i="59"/>
  <c r="BD1384" i="59"/>
  <c r="BE1384" i="59"/>
  <c r="AZ1384" i="59"/>
  <c r="BA1384" i="59"/>
  <c r="BB1384" i="59"/>
  <c r="AW1384" i="59"/>
  <c r="AX1384" i="59"/>
  <c r="AY1384" i="59"/>
  <c r="AS1384" i="59"/>
  <c r="AV1384" i="59"/>
  <c r="AU1384" i="59"/>
  <c r="AT1384" i="59"/>
  <c r="AR1384" i="59"/>
  <c r="AQ1384" i="59"/>
  <c r="AP1384" i="59"/>
  <c r="AK1384" i="59"/>
  <c r="AJ1384" i="59"/>
  <c r="AI1384" i="59"/>
  <c r="AH1384" i="59"/>
  <c r="AO1384" i="59"/>
  <c r="AN1384" i="59"/>
  <c r="AM1384" i="59"/>
  <c r="AL1384" i="59"/>
  <c r="B1371" i="59"/>
  <c r="B1370" i="59"/>
  <c r="AN1365" i="59"/>
  <c r="AM1365" i="59"/>
  <c r="AL1365" i="59"/>
  <c r="AJ1365" i="59"/>
  <c r="AH1365" i="59"/>
  <c r="AO1358" i="59"/>
  <c r="AO1359" i="59"/>
  <c r="AO1360" i="59"/>
  <c r="AO1361" i="59"/>
  <c r="AO1362" i="59"/>
  <c r="AO1363" i="59"/>
  <c r="AO1364" i="59"/>
  <c r="AH1358" i="59"/>
  <c r="AI1358" i="59"/>
  <c r="AJ1358" i="59"/>
  <c r="AH1359" i="59"/>
  <c r="AI1359" i="59"/>
  <c r="AJ1359" i="59"/>
  <c r="AH1360" i="59"/>
  <c r="AI1360" i="59"/>
  <c r="AJ1360" i="59"/>
  <c r="AH1361" i="59"/>
  <c r="AI1361" i="59"/>
  <c r="AJ1361" i="59"/>
  <c r="AH1362" i="59"/>
  <c r="AI1362" i="59"/>
  <c r="AJ1362" i="59"/>
  <c r="AH1363" i="59"/>
  <c r="AI1363" i="59"/>
  <c r="AJ1363" i="59"/>
  <c r="AH1364" i="59"/>
  <c r="AI1364" i="59"/>
  <c r="AJ1364" i="59"/>
  <c r="AJ1357" i="59"/>
  <c r="AI1357" i="59"/>
  <c r="AH1357" i="59"/>
  <c r="B1348" i="59"/>
  <c r="B1347" i="59"/>
  <c r="B1346" i="59"/>
  <c r="AO1344" i="59"/>
  <c r="AM1344" i="59"/>
  <c r="AK1344" i="59"/>
  <c r="AM1343" i="59"/>
  <c r="BI1342" i="59"/>
  <c r="BI1341" i="59"/>
  <c r="BH1341" i="59"/>
  <c r="BG1341" i="59"/>
  <c r="BG1334" i="59"/>
  <c r="BH1334" i="59"/>
  <c r="BI1334" i="59"/>
  <c r="BJ1334" i="59"/>
  <c r="BG1335" i="59"/>
  <c r="BH1335" i="59"/>
  <c r="BI1335" i="59"/>
  <c r="BJ1335" i="59"/>
  <c r="BG1336" i="59"/>
  <c r="BH1336" i="59"/>
  <c r="BI1336" i="59"/>
  <c r="BJ1336" i="59"/>
  <c r="BG1337" i="59"/>
  <c r="BH1337" i="59"/>
  <c r="BI1337" i="59"/>
  <c r="BJ1337" i="59"/>
  <c r="BG1338" i="59"/>
  <c r="BH1338" i="59"/>
  <c r="BI1338" i="59"/>
  <c r="BJ1338" i="59"/>
  <c r="BG1339" i="59"/>
  <c r="BH1339" i="59"/>
  <c r="BI1339" i="59"/>
  <c r="BJ1339" i="59"/>
  <c r="BG1340" i="59"/>
  <c r="BH1340" i="59"/>
  <c r="BI1340" i="59"/>
  <c r="BJ1340" i="59"/>
  <c r="AK1341" i="59"/>
  <c r="AM1341" i="59"/>
  <c r="AN1341" i="59"/>
  <c r="AP1341" i="59"/>
  <c r="AQ1341" i="59"/>
  <c r="AS1341" i="59"/>
  <c r="AT1341" i="59"/>
  <c r="AV1341" i="59"/>
  <c r="AW1341" i="59"/>
  <c r="AY1341" i="59"/>
  <c r="AZ1341" i="59"/>
  <c r="BB1341" i="59"/>
  <c r="BC1341" i="59"/>
  <c r="BE1341" i="59"/>
  <c r="AJ1341" i="59"/>
  <c r="AH1341" i="59"/>
  <c r="BJ1333" i="59"/>
  <c r="BI1333" i="59"/>
  <c r="BH1333" i="59"/>
  <c r="BG1333" i="59"/>
  <c r="AH1334" i="59"/>
  <c r="AI1334" i="59"/>
  <c r="AJ1334" i="59"/>
  <c r="AK1334" i="59"/>
  <c r="AL1334" i="59"/>
  <c r="AM1334" i="59"/>
  <c r="AN1334" i="59"/>
  <c r="AO1334" i="59"/>
  <c r="AP1334" i="59"/>
  <c r="AQ1334" i="59"/>
  <c r="AR1334" i="59"/>
  <c r="AS1334" i="59"/>
  <c r="AT1334" i="59"/>
  <c r="AU1334" i="59"/>
  <c r="AV1334" i="59"/>
  <c r="AW1334" i="59"/>
  <c r="AX1334" i="59"/>
  <c r="AY1334" i="59"/>
  <c r="AZ1334" i="59"/>
  <c r="BA1334" i="59"/>
  <c r="BB1334" i="59"/>
  <c r="BC1334" i="59"/>
  <c r="BD1334" i="59"/>
  <c r="BE1334" i="59"/>
  <c r="AH1335" i="59"/>
  <c r="AI1335" i="59"/>
  <c r="AJ1335" i="59"/>
  <c r="AK1335" i="59"/>
  <c r="AL1335" i="59"/>
  <c r="AM1335" i="59"/>
  <c r="AN1335" i="59"/>
  <c r="AO1335" i="59"/>
  <c r="AP1335" i="59"/>
  <c r="AQ1335" i="59"/>
  <c r="AR1335" i="59"/>
  <c r="AS1335" i="59"/>
  <c r="AT1335" i="59"/>
  <c r="AU1335" i="59"/>
  <c r="AV1335" i="59"/>
  <c r="AW1335" i="59"/>
  <c r="AX1335" i="59"/>
  <c r="AY1335" i="59"/>
  <c r="AZ1335" i="59"/>
  <c r="BA1335" i="59"/>
  <c r="BB1335" i="59"/>
  <c r="BC1335" i="59"/>
  <c r="BD1335" i="59"/>
  <c r="BE1335" i="59"/>
  <c r="AH1336" i="59"/>
  <c r="AI1336" i="59"/>
  <c r="AJ1336" i="59"/>
  <c r="AK1336" i="59"/>
  <c r="AL1336" i="59"/>
  <c r="AM1336" i="59"/>
  <c r="AN1336" i="59"/>
  <c r="AO1336" i="59"/>
  <c r="AP1336" i="59"/>
  <c r="AQ1336" i="59"/>
  <c r="AR1336" i="59"/>
  <c r="AS1336" i="59"/>
  <c r="AT1336" i="59"/>
  <c r="AU1336" i="59"/>
  <c r="AV1336" i="59"/>
  <c r="AW1336" i="59"/>
  <c r="AX1336" i="59"/>
  <c r="AY1336" i="59"/>
  <c r="AZ1336" i="59"/>
  <c r="BA1336" i="59"/>
  <c r="BB1336" i="59"/>
  <c r="BC1336" i="59"/>
  <c r="BD1336" i="59"/>
  <c r="BE1336" i="59"/>
  <c r="AH1337" i="59"/>
  <c r="AI1337" i="59"/>
  <c r="AJ1337" i="59"/>
  <c r="AK1337" i="59"/>
  <c r="AL1337" i="59"/>
  <c r="AM1337" i="59"/>
  <c r="AN1337" i="59"/>
  <c r="AO1337" i="59"/>
  <c r="AP1337" i="59"/>
  <c r="AQ1337" i="59"/>
  <c r="AR1337" i="59"/>
  <c r="AS1337" i="59"/>
  <c r="AT1337" i="59"/>
  <c r="AU1337" i="59"/>
  <c r="AV1337" i="59"/>
  <c r="AW1337" i="59"/>
  <c r="AX1337" i="59"/>
  <c r="AY1337" i="59"/>
  <c r="AZ1337" i="59"/>
  <c r="BA1337" i="59"/>
  <c r="BB1337" i="59"/>
  <c r="BC1337" i="59"/>
  <c r="BD1337" i="59"/>
  <c r="BE1337" i="59"/>
  <c r="AH1338" i="59"/>
  <c r="AI1338" i="59"/>
  <c r="AJ1338" i="59"/>
  <c r="AK1338" i="59"/>
  <c r="AL1338" i="59"/>
  <c r="AM1338" i="59"/>
  <c r="AN1338" i="59"/>
  <c r="AO1338" i="59"/>
  <c r="AP1338" i="59"/>
  <c r="AQ1338" i="59"/>
  <c r="AR1338" i="59"/>
  <c r="AS1338" i="59"/>
  <c r="AT1338" i="59"/>
  <c r="AU1338" i="59"/>
  <c r="AV1338" i="59"/>
  <c r="AW1338" i="59"/>
  <c r="AX1338" i="59"/>
  <c r="AY1338" i="59"/>
  <c r="AZ1338" i="59"/>
  <c r="BA1338" i="59"/>
  <c r="BB1338" i="59"/>
  <c r="BC1338" i="59"/>
  <c r="BD1338" i="59"/>
  <c r="BE1338" i="59"/>
  <c r="AH1339" i="59"/>
  <c r="AI1339" i="59"/>
  <c r="AJ1339" i="59"/>
  <c r="AK1339" i="59"/>
  <c r="AL1339" i="59"/>
  <c r="AM1339" i="59"/>
  <c r="AN1339" i="59"/>
  <c r="AO1339" i="59"/>
  <c r="AP1339" i="59"/>
  <c r="AQ1339" i="59"/>
  <c r="AR1339" i="59"/>
  <c r="AS1339" i="59"/>
  <c r="AT1339" i="59"/>
  <c r="AU1339" i="59"/>
  <c r="AV1339" i="59"/>
  <c r="AW1339" i="59"/>
  <c r="AX1339" i="59"/>
  <c r="AY1339" i="59"/>
  <c r="AZ1339" i="59"/>
  <c r="BA1339" i="59"/>
  <c r="BB1339" i="59"/>
  <c r="BC1339" i="59"/>
  <c r="BD1339" i="59"/>
  <c r="BE1339" i="59"/>
  <c r="AH1340" i="59"/>
  <c r="AI1340" i="59"/>
  <c r="AJ1340" i="59"/>
  <c r="AK1340" i="59"/>
  <c r="AL1340" i="59"/>
  <c r="AM1340" i="59"/>
  <c r="AN1340" i="59"/>
  <c r="AO1340" i="59"/>
  <c r="AP1340" i="59"/>
  <c r="AQ1340" i="59"/>
  <c r="AR1340" i="59"/>
  <c r="AS1340" i="59"/>
  <c r="AT1340" i="59"/>
  <c r="AU1340" i="59"/>
  <c r="AV1340" i="59"/>
  <c r="AW1340" i="59"/>
  <c r="AX1340" i="59"/>
  <c r="AY1340" i="59"/>
  <c r="AZ1340" i="59"/>
  <c r="BA1340" i="59"/>
  <c r="BB1340" i="59"/>
  <c r="BC1340" i="59"/>
  <c r="BD1340" i="59"/>
  <c r="BE1340" i="59"/>
  <c r="BE1333" i="59"/>
  <c r="BD1333" i="59"/>
  <c r="BC1333" i="59"/>
  <c r="BB1333" i="59"/>
  <c r="AS1333" i="59"/>
  <c r="AR1333" i="59"/>
  <c r="AQ1333" i="59"/>
  <c r="AP1333" i="59"/>
  <c r="AO1333" i="59"/>
  <c r="AN1333" i="59"/>
  <c r="AM1333" i="59"/>
  <c r="AK1333" i="59"/>
  <c r="AH1333" i="59"/>
  <c r="BA1333" i="59"/>
  <c r="AZ1333" i="59"/>
  <c r="AY1333" i="59"/>
  <c r="AX1333" i="59"/>
  <c r="AW1333" i="59"/>
  <c r="AV1333" i="59"/>
  <c r="AU1333" i="59"/>
  <c r="AT1333" i="59"/>
  <c r="AL1333" i="59"/>
  <c r="AJ1333" i="59"/>
  <c r="AI1333" i="59"/>
  <c r="B1323" i="59"/>
  <c r="B1322" i="59"/>
  <c r="AJ1309" i="59"/>
  <c r="AI1317" i="59"/>
  <c r="AH1317" i="59"/>
  <c r="AG1317" i="59"/>
  <c r="AI1318" i="59" s="1"/>
  <c r="B1324" i="59" s="1"/>
  <c r="AG1310" i="59"/>
  <c r="AH1310" i="59"/>
  <c r="AI1310" i="59"/>
  <c r="AJ1310" i="59"/>
  <c r="AG1311" i="59"/>
  <c r="AH1311" i="59"/>
  <c r="AI1311" i="59"/>
  <c r="AJ1311" i="59"/>
  <c r="AG1312" i="59"/>
  <c r="AH1312" i="59"/>
  <c r="AI1312" i="59"/>
  <c r="AJ1312" i="59"/>
  <c r="AG1313" i="59"/>
  <c r="AH1313" i="59"/>
  <c r="AI1313" i="59"/>
  <c r="AJ1313" i="59"/>
  <c r="AG1314" i="59"/>
  <c r="AH1314" i="59"/>
  <c r="AI1314" i="59"/>
  <c r="AJ1314" i="59"/>
  <c r="AG1315" i="59"/>
  <c r="AH1315" i="59"/>
  <c r="AI1315" i="59"/>
  <c r="AJ1315" i="59"/>
  <c r="AG1316" i="59"/>
  <c r="AH1316" i="59"/>
  <c r="AI1316" i="59"/>
  <c r="AJ1316" i="59"/>
  <c r="AI1309" i="59"/>
  <c r="AH1309" i="59"/>
  <c r="AO1306" i="59"/>
  <c r="AM1306" i="59"/>
  <c r="AK1306" i="59"/>
  <c r="AM1305" i="59"/>
  <c r="AK1305" i="59"/>
  <c r="AK1303" i="59"/>
  <c r="AM1303" i="59"/>
  <c r="AN1303" i="59"/>
  <c r="AP1303" i="59"/>
  <c r="AQ1303" i="59"/>
  <c r="AS1303" i="59"/>
  <c r="AT1303" i="59"/>
  <c r="AV1303" i="59"/>
  <c r="AW1303" i="59"/>
  <c r="AY1303" i="59"/>
  <c r="AZ1303" i="59"/>
  <c r="BB1303" i="59"/>
  <c r="BC1303" i="59"/>
  <c r="BE1303" i="59"/>
  <c r="BF1303" i="59"/>
  <c r="BH1303" i="59"/>
  <c r="BI1303" i="59"/>
  <c r="BK1303" i="59"/>
  <c r="BL1303" i="59"/>
  <c r="BN1303" i="59"/>
  <c r="AJ1303" i="59"/>
  <c r="AH1303" i="59"/>
  <c r="AH1296" i="59"/>
  <c r="AI1296" i="59"/>
  <c r="AJ1296" i="59"/>
  <c r="AK1296" i="59"/>
  <c r="AL1296" i="59"/>
  <c r="AM1296" i="59"/>
  <c r="AN1296" i="59"/>
  <c r="AO1296" i="59"/>
  <c r="AP1296" i="59"/>
  <c r="AQ1296" i="59"/>
  <c r="AR1296" i="59"/>
  <c r="AS1296" i="59"/>
  <c r="AT1296" i="59"/>
  <c r="AU1296" i="59"/>
  <c r="AV1296" i="59"/>
  <c r="AW1296" i="59"/>
  <c r="AX1296" i="59"/>
  <c r="AY1296" i="59"/>
  <c r="AZ1296" i="59"/>
  <c r="BA1296" i="59"/>
  <c r="BB1296" i="59"/>
  <c r="BC1296" i="59"/>
  <c r="BD1296" i="59"/>
  <c r="BE1296" i="59"/>
  <c r="BF1296" i="59"/>
  <c r="BG1296" i="59"/>
  <c r="BH1296" i="59"/>
  <c r="BI1296" i="59"/>
  <c r="BJ1296" i="59"/>
  <c r="BK1296" i="59"/>
  <c r="BL1296" i="59"/>
  <c r="BM1296" i="59"/>
  <c r="BN1296" i="59"/>
  <c r="AH1297" i="59"/>
  <c r="AI1297" i="59"/>
  <c r="AJ1297" i="59"/>
  <c r="AK1297" i="59"/>
  <c r="AL1297" i="59"/>
  <c r="AM1297" i="59"/>
  <c r="AN1297" i="59"/>
  <c r="AO1297" i="59"/>
  <c r="AP1297" i="59"/>
  <c r="AQ1297" i="59"/>
  <c r="AR1297" i="59"/>
  <c r="AS1297" i="59"/>
  <c r="AT1297" i="59"/>
  <c r="AU1297" i="59"/>
  <c r="AV1297" i="59"/>
  <c r="AW1297" i="59"/>
  <c r="AX1297" i="59"/>
  <c r="AY1297" i="59"/>
  <c r="AZ1297" i="59"/>
  <c r="BA1297" i="59"/>
  <c r="BB1297" i="59"/>
  <c r="BC1297" i="59"/>
  <c r="BD1297" i="59"/>
  <c r="BE1297" i="59"/>
  <c r="BF1297" i="59"/>
  <c r="BG1297" i="59"/>
  <c r="BH1297" i="59"/>
  <c r="BI1297" i="59"/>
  <c r="BJ1297" i="59"/>
  <c r="BK1297" i="59"/>
  <c r="BL1297" i="59"/>
  <c r="BM1297" i="59"/>
  <c r="BN1297" i="59"/>
  <c r="AH1298" i="59"/>
  <c r="AI1298" i="59"/>
  <c r="AJ1298" i="59"/>
  <c r="AK1298" i="59"/>
  <c r="AL1298" i="59"/>
  <c r="AM1298" i="59"/>
  <c r="AN1298" i="59"/>
  <c r="AO1298" i="59"/>
  <c r="AP1298" i="59"/>
  <c r="AQ1298" i="59"/>
  <c r="AR1298" i="59"/>
  <c r="AS1298" i="59"/>
  <c r="AT1298" i="59"/>
  <c r="AU1298" i="59"/>
  <c r="AV1298" i="59"/>
  <c r="AW1298" i="59"/>
  <c r="AX1298" i="59"/>
  <c r="AY1298" i="59"/>
  <c r="AZ1298" i="59"/>
  <c r="BA1298" i="59"/>
  <c r="BB1298" i="59"/>
  <c r="BC1298" i="59"/>
  <c r="BD1298" i="59"/>
  <c r="BE1298" i="59"/>
  <c r="BF1298" i="59"/>
  <c r="BG1298" i="59"/>
  <c r="BH1298" i="59"/>
  <c r="BI1298" i="59"/>
  <c r="BJ1298" i="59"/>
  <c r="BK1298" i="59"/>
  <c r="BL1298" i="59"/>
  <c r="BM1298" i="59"/>
  <c r="BN1298" i="59"/>
  <c r="AH1299" i="59"/>
  <c r="AI1299" i="59"/>
  <c r="AJ1299" i="59"/>
  <c r="AK1299" i="59"/>
  <c r="AL1299" i="59"/>
  <c r="AM1299" i="59"/>
  <c r="AN1299" i="59"/>
  <c r="AO1299" i="59"/>
  <c r="AP1299" i="59"/>
  <c r="AQ1299" i="59"/>
  <c r="AR1299" i="59"/>
  <c r="AS1299" i="59"/>
  <c r="AT1299" i="59"/>
  <c r="AU1299" i="59"/>
  <c r="AV1299" i="59"/>
  <c r="AW1299" i="59"/>
  <c r="AX1299" i="59"/>
  <c r="AY1299" i="59"/>
  <c r="AZ1299" i="59"/>
  <c r="BA1299" i="59"/>
  <c r="BB1299" i="59"/>
  <c r="BC1299" i="59"/>
  <c r="BD1299" i="59"/>
  <c r="BE1299" i="59"/>
  <c r="BF1299" i="59"/>
  <c r="BG1299" i="59"/>
  <c r="BH1299" i="59"/>
  <c r="BI1299" i="59"/>
  <c r="BJ1299" i="59"/>
  <c r="BK1299" i="59"/>
  <c r="BL1299" i="59"/>
  <c r="BM1299" i="59"/>
  <c r="BN1299" i="59"/>
  <c r="AH1300" i="59"/>
  <c r="AI1300" i="59"/>
  <c r="AJ1300" i="59"/>
  <c r="AK1300" i="59"/>
  <c r="AL1300" i="59"/>
  <c r="AM1300" i="59"/>
  <c r="AN1300" i="59"/>
  <c r="AO1300" i="59"/>
  <c r="AP1300" i="59"/>
  <c r="AQ1300" i="59"/>
  <c r="AR1300" i="59"/>
  <c r="AS1300" i="59"/>
  <c r="AT1300" i="59"/>
  <c r="AU1300" i="59"/>
  <c r="AV1300" i="59"/>
  <c r="AW1300" i="59"/>
  <c r="AX1300" i="59"/>
  <c r="AY1300" i="59"/>
  <c r="AZ1300" i="59"/>
  <c r="BA1300" i="59"/>
  <c r="BB1300" i="59"/>
  <c r="BC1300" i="59"/>
  <c r="BD1300" i="59"/>
  <c r="BE1300" i="59"/>
  <c r="BF1300" i="59"/>
  <c r="BG1300" i="59"/>
  <c r="BH1300" i="59"/>
  <c r="BI1300" i="59"/>
  <c r="BJ1300" i="59"/>
  <c r="BK1300" i="59"/>
  <c r="BL1300" i="59"/>
  <c r="BM1300" i="59"/>
  <c r="BN1300" i="59"/>
  <c r="AH1301" i="59"/>
  <c r="AI1301" i="59"/>
  <c r="AJ1301" i="59"/>
  <c r="AK1301" i="59"/>
  <c r="AL1301" i="59"/>
  <c r="AM1301" i="59"/>
  <c r="AN1301" i="59"/>
  <c r="AO1301" i="59"/>
  <c r="AP1301" i="59"/>
  <c r="AQ1301" i="59"/>
  <c r="AR1301" i="59"/>
  <c r="AS1301" i="59"/>
  <c r="AT1301" i="59"/>
  <c r="AU1301" i="59"/>
  <c r="AV1301" i="59"/>
  <c r="AW1301" i="59"/>
  <c r="AX1301" i="59"/>
  <c r="AY1301" i="59"/>
  <c r="AZ1301" i="59"/>
  <c r="BA1301" i="59"/>
  <c r="BB1301" i="59"/>
  <c r="BC1301" i="59"/>
  <c r="BD1301" i="59"/>
  <c r="BE1301" i="59"/>
  <c r="BF1301" i="59"/>
  <c r="BG1301" i="59"/>
  <c r="BH1301" i="59"/>
  <c r="BI1301" i="59"/>
  <c r="BJ1301" i="59"/>
  <c r="BK1301" i="59"/>
  <c r="BL1301" i="59"/>
  <c r="BM1301" i="59"/>
  <c r="BN1301" i="59"/>
  <c r="AH1302" i="59"/>
  <c r="AI1302" i="59"/>
  <c r="AJ1302" i="59"/>
  <c r="AK1302" i="59"/>
  <c r="AL1302" i="59"/>
  <c r="AM1302" i="59"/>
  <c r="AN1302" i="59"/>
  <c r="AO1302" i="59"/>
  <c r="AP1302" i="59"/>
  <c r="AQ1302" i="59"/>
  <c r="AR1302" i="59"/>
  <c r="AS1302" i="59"/>
  <c r="AT1302" i="59"/>
  <c r="AU1302" i="59"/>
  <c r="AV1302" i="59"/>
  <c r="AW1302" i="59"/>
  <c r="AX1302" i="59"/>
  <c r="AY1302" i="59"/>
  <c r="AZ1302" i="59"/>
  <c r="BA1302" i="59"/>
  <c r="BB1302" i="59"/>
  <c r="BC1302" i="59"/>
  <c r="BD1302" i="59"/>
  <c r="BE1302" i="59"/>
  <c r="BF1302" i="59"/>
  <c r="BG1302" i="59"/>
  <c r="BH1302" i="59"/>
  <c r="BI1302" i="59"/>
  <c r="BJ1302" i="59"/>
  <c r="BK1302" i="59"/>
  <c r="BL1302" i="59"/>
  <c r="BM1302" i="59"/>
  <c r="BN1302" i="59"/>
  <c r="BL1295" i="59"/>
  <c r="BM1295" i="59"/>
  <c r="BN1295" i="59"/>
  <c r="BI1295" i="59"/>
  <c r="BJ1295" i="59"/>
  <c r="BK1295" i="59"/>
  <c r="BF1295" i="59"/>
  <c r="BG1295" i="59"/>
  <c r="BH1295" i="59"/>
  <c r="BC1295" i="59"/>
  <c r="BD1295" i="59"/>
  <c r="BE1295" i="59"/>
  <c r="AZ1295" i="59"/>
  <c r="BA1295" i="59"/>
  <c r="BB1295" i="59"/>
  <c r="AY1295" i="59"/>
  <c r="AX1295" i="59"/>
  <c r="AW1295" i="59"/>
  <c r="AV1295" i="59"/>
  <c r="AU1295" i="59"/>
  <c r="AT1295" i="59"/>
  <c r="AS1295" i="59"/>
  <c r="AM1295" i="59"/>
  <c r="AL1295" i="59"/>
  <c r="AK1295" i="59"/>
  <c r="AJ1295" i="59"/>
  <c r="AI1295" i="59"/>
  <c r="AH1295" i="59"/>
  <c r="AR1295" i="59"/>
  <c r="AQ1295" i="59"/>
  <c r="AP1295" i="59"/>
  <c r="AO1295" i="59"/>
  <c r="AN1295" i="59"/>
  <c r="B1283" i="59"/>
  <c r="B1282" i="59"/>
  <c r="AO1248" i="59"/>
  <c r="AM1248" i="59"/>
  <c r="AK1248" i="59"/>
  <c r="AM1247" i="59"/>
  <c r="AK1247" i="59"/>
  <c r="CZ1237" i="59"/>
  <c r="CZ1238" i="59"/>
  <c r="CZ1239" i="59"/>
  <c r="CZ1240" i="59"/>
  <c r="CZ1241" i="59"/>
  <c r="CZ1242" i="59"/>
  <c r="CZ1243" i="59"/>
  <c r="CZ1244" i="59"/>
  <c r="AK1245" i="59"/>
  <c r="AM1245" i="59"/>
  <c r="AN1245" i="59"/>
  <c r="AP1245" i="59"/>
  <c r="AQ1245" i="59"/>
  <c r="AS1245" i="59"/>
  <c r="AT1245" i="59"/>
  <c r="AV1245" i="59"/>
  <c r="AW1245" i="59"/>
  <c r="AY1245" i="59"/>
  <c r="AZ1245" i="59"/>
  <c r="BB1245" i="59"/>
  <c r="BC1245" i="59"/>
  <c r="BE1245" i="59"/>
  <c r="BF1245" i="59"/>
  <c r="BH1245" i="59"/>
  <c r="BI1245" i="59"/>
  <c r="BK1245" i="59"/>
  <c r="BL1245" i="59"/>
  <c r="BN1245" i="59"/>
  <c r="BO1245" i="59"/>
  <c r="BQ1245" i="59"/>
  <c r="BR1245" i="59"/>
  <c r="BT1245" i="59"/>
  <c r="BU1245" i="59"/>
  <c r="BW1245" i="59"/>
  <c r="BX1245" i="59"/>
  <c r="BZ1245" i="59"/>
  <c r="CA1245" i="59"/>
  <c r="CC1245" i="59"/>
  <c r="CD1245" i="59"/>
  <c r="CF1245" i="59"/>
  <c r="CG1245" i="59"/>
  <c r="CI1245" i="59"/>
  <c r="CJ1245" i="59"/>
  <c r="CL1245" i="59"/>
  <c r="CM1245" i="59"/>
  <c r="CO1245" i="59"/>
  <c r="CP1245" i="59"/>
  <c r="CR1245" i="59"/>
  <c r="CS1245" i="59"/>
  <c r="CU1245" i="59"/>
  <c r="CV1245" i="59"/>
  <c r="CX1245" i="59"/>
  <c r="AJ1245" i="59"/>
  <c r="AH1245" i="59"/>
  <c r="AG1238" i="59"/>
  <c r="AH1238" i="59"/>
  <c r="AI1238" i="59"/>
  <c r="AJ1238" i="59"/>
  <c r="AK1238" i="59"/>
  <c r="AL1238" i="59"/>
  <c r="AM1238" i="59"/>
  <c r="AN1238" i="59"/>
  <c r="AO1238" i="59"/>
  <c r="AP1238" i="59"/>
  <c r="AQ1238" i="59"/>
  <c r="AR1238" i="59"/>
  <c r="AS1238" i="59"/>
  <c r="AT1238" i="59"/>
  <c r="AU1238" i="59"/>
  <c r="AV1238" i="59"/>
  <c r="AW1238" i="59"/>
  <c r="AX1238" i="59"/>
  <c r="AY1238" i="59"/>
  <c r="AZ1238" i="59"/>
  <c r="BA1238" i="59"/>
  <c r="BB1238" i="59"/>
  <c r="BC1238" i="59"/>
  <c r="BD1238" i="59"/>
  <c r="BE1238" i="59"/>
  <c r="BF1238" i="59"/>
  <c r="BG1238" i="59"/>
  <c r="BH1238" i="59"/>
  <c r="BI1238" i="59"/>
  <c r="BJ1238" i="59"/>
  <c r="BK1238" i="59"/>
  <c r="BL1238" i="59"/>
  <c r="BM1238" i="59"/>
  <c r="BN1238" i="59"/>
  <c r="BO1238" i="59"/>
  <c r="BP1238" i="59"/>
  <c r="BQ1238" i="59"/>
  <c r="BR1238" i="59"/>
  <c r="BS1238" i="59"/>
  <c r="BT1238" i="59"/>
  <c r="BU1238" i="59"/>
  <c r="BV1238" i="59"/>
  <c r="BW1238" i="59"/>
  <c r="BX1238" i="59"/>
  <c r="BY1238" i="59"/>
  <c r="BZ1238" i="59"/>
  <c r="CA1238" i="59"/>
  <c r="CB1238" i="59"/>
  <c r="CC1238" i="59"/>
  <c r="CD1238" i="59"/>
  <c r="CE1238" i="59"/>
  <c r="CF1238" i="59"/>
  <c r="CG1238" i="59"/>
  <c r="CH1238" i="59"/>
  <c r="CI1238" i="59"/>
  <c r="CJ1238" i="59"/>
  <c r="CK1238" i="59"/>
  <c r="CL1238" i="59"/>
  <c r="CM1238" i="59"/>
  <c r="CN1238" i="59"/>
  <c r="CO1238" i="59"/>
  <c r="CP1238" i="59"/>
  <c r="CQ1238" i="59"/>
  <c r="CR1238" i="59"/>
  <c r="CS1238" i="59"/>
  <c r="CT1238" i="59"/>
  <c r="CU1238" i="59"/>
  <c r="CV1238" i="59"/>
  <c r="CW1238" i="59"/>
  <c r="CX1238" i="59"/>
  <c r="CY1238" i="59"/>
  <c r="AG1239" i="59"/>
  <c r="AH1239" i="59"/>
  <c r="AI1239" i="59"/>
  <c r="AJ1239" i="59"/>
  <c r="AK1239" i="59"/>
  <c r="AL1239" i="59"/>
  <c r="AM1239" i="59"/>
  <c r="AN1239" i="59"/>
  <c r="AO1239" i="59"/>
  <c r="AP1239" i="59"/>
  <c r="AQ1239" i="59"/>
  <c r="AR1239" i="59"/>
  <c r="AS1239" i="59"/>
  <c r="AT1239" i="59"/>
  <c r="AU1239" i="59"/>
  <c r="AV1239" i="59"/>
  <c r="AW1239" i="59"/>
  <c r="AX1239" i="59"/>
  <c r="AY1239" i="59"/>
  <c r="AZ1239" i="59"/>
  <c r="BA1239" i="59"/>
  <c r="BB1239" i="59"/>
  <c r="BC1239" i="59"/>
  <c r="BD1239" i="59"/>
  <c r="BE1239" i="59"/>
  <c r="BF1239" i="59"/>
  <c r="BG1239" i="59"/>
  <c r="BH1239" i="59"/>
  <c r="BI1239" i="59"/>
  <c r="BJ1239" i="59"/>
  <c r="BK1239" i="59"/>
  <c r="BL1239" i="59"/>
  <c r="BM1239" i="59"/>
  <c r="BN1239" i="59"/>
  <c r="BO1239" i="59"/>
  <c r="BP1239" i="59"/>
  <c r="BQ1239" i="59"/>
  <c r="BR1239" i="59"/>
  <c r="BS1239" i="59"/>
  <c r="BT1239" i="59"/>
  <c r="BU1239" i="59"/>
  <c r="BV1239" i="59"/>
  <c r="BW1239" i="59"/>
  <c r="BX1239" i="59"/>
  <c r="BY1239" i="59"/>
  <c r="BZ1239" i="59"/>
  <c r="CA1239" i="59"/>
  <c r="CB1239" i="59"/>
  <c r="CC1239" i="59"/>
  <c r="CD1239" i="59"/>
  <c r="CE1239" i="59"/>
  <c r="CF1239" i="59"/>
  <c r="CG1239" i="59"/>
  <c r="CH1239" i="59"/>
  <c r="CI1239" i="59"/>
  <c r="CJ1239" i="59"/>
  <c r="CK1239" i="59"/>
  <c r="CL1239" i="59"/>
  <c r="CM1239" i="59"/>
  <c r="CN1239" i="59"/>
  <c r="CO1239" i="59"/>
  <c r="CP1239" i="59"/>
  <c r="CQ1239" i="59"/>
  <c r="CR1239" i="59"/>
  <c r="CS1239" i="59"/>
  <c r="CT1239" i="59"/>
  <c r="CU1239" i="59"/>
  <c r="CV1239" i="59"/>
  <c r="CW1239" i="59"/>
  <c r="CX1239" i="59"/>
  <c r="CY1239" i="59"/>
  <c r="AG1240" i="59"/>
  <c r="AH1240" i="59"/>
  <c r="AI1240" i="59"/>
  <c r="AJ1240" i="59"/>
  <c r="AK1240" i="59"/>
  <c r="AL1240" i="59"/>
  <c r="AM1240" i="59"/>
  <c r="AN1240" i="59"/>
  <c r="AO1240" i="59"/>
  <c r="AP1240" i="59"/>
  <c r="AQ1240" i="59"/>
  <c r="AR1240" i="59"/>
  <c r="AS1240" i="59"/>
  <c r="AT1240" i="59"/>
  <c r="AU1240" i="59"/>
  <c r="AV1240" i="59"/>
  <c r="AW1240" i="59"/>
  <c r="AX1240" i="59"/>
  <c r="AY1240" i="59"/>
  <c r="AZ1240" i="59"/>
  <c r="BA1240" i="59"/>
  <c r="BB1240" i="59"/>
  <c r="BC1240" i="59"/>
  <c r="BD1240" i="59"/>
  <c r="BE1240" i="59"/>
  <c r="BF1240" i="59"/>
  <c r="BG1240" i="59"/>
  <c r="BH1240" i="59"/>
  <c r="BI1240" i="59"/>
  <c r="BJ1240" i="59"/>
  <c r="BK1240" i="59"/>
  <c r="BL1240" i="59"/>
  <c r="BM1240" i="59"/>
  <c r="BN1240" i="59"/>
  <c r="BO1240" i="59"/>
  <c r="BP1240" i="59"/>
  <c r="BQ1240" i="59"/>
  <c r="BR1240" i="59"/>
  <c r="BS1240" i="59"/>
  <c r="BT1240" i="59"/>
  <c r="BU1240" i="59"/>
  <c r="BV1240" i="59"/>
  <c r="BW1240" i="59"/>
  <c r="BX1240" i="59"/>
  <c r="BY1240" i="59"/>
  <c r="BZ1240" i="59"/>
  <c r="CA1240" i="59"/>
  <c r="CB1240" i="59"/>
  <c r="CC1240" i="59"/>
  <c r="CD1240" i="59"/>
  <c r="CE1240" i="59"/>
  <c r="CF1240" i="59"/>
  <c r="CG1240" i="59"/>
  <c r="CH1240" i="59"/>
  <c r="CI1240" i="59"/>
  <c r="CJ1240" i="59"/>
  <c r="CK1240" i="59"/>
  <c r="CL1240" i="59"/>
  <c r="CM1240" i="59"/>
  <c r="CN1240" i="59"/>
  <c r="CO1240" i="59"/>
  <c r="CP1240" i="59"/>
  <c r="CQ1240" i="59"/>
  <c r="CR1240" i="59"/>
  <c r="CS1240" i="59"/>
  <c r="CT1240" i="59"/>
  <c r="CU1240" i="59"/>
  <c r="CV1240" i="59"/>
  <c r="CW1240" i="59"/>
  <c r="CX1240" i="59"/>
  <c r="CY1240" i="59"/>
  <c r="AG1241" i="59"/>
  <c r="AH1241" i="59"/>
  <c r="AI1241" i="59"/>
  <c r="AJ1241" i="59"/>
  <c r="AK1241" i="59"/>
  <c r="AL1241" i="59"/>
  <c r="AM1241" i="59"/>
  <c r="AN1241" i="59"/>
  <c r="AO1241" i="59"/>
  <c r="AP1241" i="59"/>
  <c r="AQ1241" i="59"/>
  <c r="AR1241" i="59"/>
  <c r="AS1241" i="59"/>
  <c r="AT1241" i="59"/>
  <c r="AU1241" i="59"/>
  <c r="AV1241" i="59"/>
  <c r="AW1241" i="59"/>
  <c r="AX1241" i="59"/>
  <c r="AY1241" i="59"/>
  <c r="AZ1241" i="59"/>
  <c r="BA1241" i="59"/>
  <c r="BB1241" i="59"/>
  <c r="BC1241" i="59"/>
  <c r="BD1241" i="59"/>
  <c r="BE1241" i="59"/>
  <c r="BF1241" i="59"/>
  <c r="BG1241" i="59"/>
  <c r="BH1241" i="59"/>
  <c r="BI1241" i="59"/>
  <c r="BJ1241" i="59"/>
  <c r="BK1241" i="59"/>
  <c r="BL1241" i="59"/>
  <c r="BM1241" i="59"/>
  <c r="BN1241" i="59"/>
  <c r="BO1241" i="59"/>
  <c r="BP1241" i="59"/>
  <c r="BQ1241" i="59"/>
  <c r="BR1241" i="59"/>
  <c r="BS1241" i="59"/>
  <c r="BT1241" i="59"/>
  <c r="BU1241" i="59"/>
  <c r="BV1241" i="59"/>
  <c r="BW1241" i="59"/>
  <c r="BX1241" i="59"/>
  <c r="BY1241" i="59"/>
  <c r="BZ1241" i="59"/>
  <c r="CA1241" i="59"/>
  <c r="CB1241" i="59"/>
  <c r="CC1241" i="59"/>
  <c r="CD1241" i="59"/>
  <c r="CE1241" i="59"/>
  <c r="CF1241" i="59"/>
  <c r="CG1241" i="59"/>
  <c r="CH1241" i="59"/>
  <c r="CI1241" i="59"/>
  <c r="CJ1241" i="59"/>
  <c r="CK1241" i="59"/>
  <c r="CL1241" i="59"/>
  <c r="CM1241" i="59"/>
  <c r="CN1241" i="59"/>
  <c r="CO1241" i="59"/>
  <c r="CP1241" i="59"/>
  <c r="CQ1241" i="59"/>
  <c r="CR1241" i="59"/>
  <c r="CS1241" i="59"/>
  <c r="CT1241" i="59"/>
  <c r="CU1241" i="59"/>
  <c r="CV1241" i="59"/>
  <c r="CW1241" i="59"/>
  <c r="CX1241" i="59"/>
  <c r="CY1241" i="59"/>
  <c r="AG1242" i="59"/>
  <c r="AH1242" i="59"/>
  <c r="AI1242" i="59"/>
  <c r="AJ1242" i="59"/>
  <c r="AK1242" i="59"/>
  <c r="AL1242" i="59"/>
  <c r="AM1242" i="59"/>
  <c r="AN1242" i="59"/>
  <c r="AO1242" i="59"/>
  <c r="AP1242" i="59"/>
  <c r="AQ1242" i="59"/>
  <c r="AR1242" i="59"/>
  <c r="AS1242" i="59"/>
  <c r="AT1242" i="59"/>
  <c r="AU1242" i="59"/>
  <c r="AV1242" i="59"/>
  <c r="AW1242" i="59"/>
  <c r="AX1242" i="59"/>
  <c r="AY1242" i="59"/>
  <c r="AZ1242" i="59"/>
  <c r="BA1242" i="59"/>
  <c r="BB1242" i="59"/>
  <c r="BC1242" i="59"/>
  <c r="BD1242" i="59"/>
  <c r="BE1242" i="59"/>
  <c r="BF1242" i="59"/>
  <c r="BG1242" i="59"/>
  <c r="BH1242" i="59"/>
  <c r="BI1242" i="59"/>
  <c r="BJ1242" i="59"/>
  <c r="BK1242" i="59"/>
  <c r="BL1242" i="59"/>
  <c r="BM1242" i="59"/>
  <c r="BN1242" i="59"/>
  <c r="BO1242" i="59"/>
  <c r="BP1242" i="59"/>
  <c r="BQ1242" i="59"/>
  <c r="BR1242" i="59"/>
  <c r="BS1242" i="59"/>
  <c r="BT1242" i="59"/>
  <c r="BU1242" i="59"/>
  <c r="BV1242" i="59"/>
  <c r="BW1242" i="59"/>
  <c r="BX1242" i="59"/>
  <c r="BY1242" i="59"/>
  <c r="BZ1242" i="59"/>
  <c r="CA1242" i="59"/>
  <c r="CB1242" i="59"/>
  <c r="CC1242" i="59"/>
  <c r="CD1242" i="59"/>
  <c r="CE1242" i="59"/>
  <c r="CF1242" i="59"/>
  <c r="CG1242" i="59"/>
  <c r="CH1242" i="59"/>
  <c r="CI1242" i="59"/>
  <c r="CJ1242" i="59"/>
  <c r="CK1242" i="59"/>
  <c r="CL1242" i="59"/>
  <c r="CM1242" i="59"/>
  <c r="CN1242" i="59"/>
  <c r="CO1242" i="59"/>
  <c r="CP1242" i="59"/>
  <c r="CQ1242" i="59"/>
  <c r="CR1242" i="59"/>
  <c r="CS1242" i="59"/>
  <c r="CT1242" i="59"/>
  <c r="CU1242" i="59"/>
  <c r="CV1242" i="59"/>
  <c r="CW1242" i="59"/>
  <c r="CX1242" i="59"/>
  <c r="CY1242" i="59"/>
  <c r="AG1243" i="59"/>
  <c r="AH1243" i="59"/>
  <c r="AI1243" i="59"/>
  <c r="AJ1243" i="59"/>
  <c r="AK1243" i="59"/>
  <c r="AL1243" i="59"/>
  <c r="AM1243" i="59"/>
  <c r="AN1243" i="59"/>
  <c r="AO1243" i="59"/>
  <c r="AP1243" i="59"/>
  <c r="AQ1243" i="59"/>
  <c r="AR1243" i="59"/>
  <c r="AS1243" i="59"/>
  <c r="AT1243" i="59"/>
  <c r="AU1243" i="59"/>
  <c r="AV1243" i="59"/>
  <c r="AW1243" i="59"/>
  <c r="AX1243" i="59"/>
  <c r="AY1243" i="59"/>
  <c r="AZ1243" i="59"/>
  <c r="BA1243" i="59"/>
  <c r="BB1243" i="59"/>
  <c r="BC1243" i="59"/>
  <c r="BD1243" i="59"/>
  <c r="BE1243" i="59"/>
  <c r="BF1243" i="59"/>
  <c r="BG1243" i="59"/>
  <c r="BH1243" i="59"/>
  <c r="BI1243" i="59"/>
  <c r="BJ1243" i="59"/>
  <c r="BK1243" i="59"/>
  <c r="BL1243" i="59"/>
  <c r="BM1243" i="59"/>
  <c r="BN1243" i="59"/>
  <c r="BO1243" i="59"/>
  <c r="BP1243" i="59"/>
  <c r="BQ1243" i="59"/>
  <c r="BR1243" i="59"/>
  <c r="BS1243" i="59"/>
  <c r="BT1243" i="59"/>
  <c r="BU1243" i="59"/>
  <c r="BV1243" i="59"/>
  <c r="BW1243" i="59"/>
  <c r="BX1243" i="59"/>
  <c r="BY1243" i="59"/>
  <c r="BZ1243" i="59"/>
  <c r="CA1243" i="59"/>
  <c r="CB1243" i="59"/>
  <c r="CC1243" i="59"/>
  <c r="CD1243" i="59"/>
  <c r="CE1243" i="59"/>
  <c r="CF1243" i="59"/>
  <c r="CG1243" i="59"/>
  <c r="CH1243" i="59"/>
  <c r="CI1243" i="59"/>
  <c r="CJ1243" i="59"/>
  <c r="CK1243" i="59"/>
  <c r="CL1243" i="59"/>
  <c r="CM1243" i="59"/>
  <c r="CN1243" i="59"/>
  <c r="CO1243" i="59"/>
  <c r="CP1243" i="59"/>
  <c r="CQ1243" i="59"/>
  <c r="CR1243" i="59"/>
  <c r="CS1243" i="59"/>
  <c r="CT1243" i="59"/>
  <c r="CU1243" i="59"/>
  <c r="CV1243" i="59"/>
  <c r="CW1243" i="59"/>
  <c r="CX1243" i="59"/>
  <c r="CY1243" i="59"/>
  <c r="AH1244" i="59"/>
  <c r="AI1244" i="59"/>
  <c r="AJ1244" i="59"/>
  <c r="AK1244" i="59"/>
  <c r="AL1244" i="59"/>
  <c r="AM1244" i="59"/>
  <c r="AN1244" i="59"/>
  <c r="AO1244" i="59"/>
  <c r="AP1244" i="59"/>
  <c r="AQ1244" i="59"/>
  <c r="AR1244" i="59"/>
  <c r="AS1244" i="59"/>
  <c r="AT1244" i="59"/>
  <c r="AU1244" i="59"/>
  <c r="AV1244" i="59"/>
  <c r="AW1244" i="59"/>
  <c r="AX1244" i="59"/>
  <c r="AY1244" i="59"/>
  <c r="AZ1244" i="59"/>
  <c r="BA1244" i="59"/>
  <c r="BB1244" i="59"/>
  <c r="BC1244" i="59"/>
  <c r="BD1244" i="59"/>
  <c r="BE1244" i="59"/>
  <c r="BF1244" i="59"/>
  <c r="BG1244" i="59"/>
  <c r="BH1244" i="59"/>
  <c r="BI1244" i="59"/>
  <c r="BJ1244" i="59"/>
  <c r="BK1244" i="59"/>
  <c r="BL1244" i="59"/>
  <c r="BM1244" i="59"/>
  <c r="BN1244" i="59"/>
  <c r="BO1244" i="59"/>
  <c r="BP1244" i="59"/>
  <c r="BQ1244" i="59"/>
  <c r="BR1244" i="59"/>
  <c r="BS1244" i="59"/>
  <c r="BT1244" i="59"/>
  <c r="BU1244" i="59"/>
  <c r="BV1244" i="59"/>
  <c r="BW1244" i="59"/>
  <c r="BX1244" i="59"/>
  <c r="BY1244" i="59"/>
  <c r="BZ1244" i="59"/>
  <c r="CA1244" i="59"/>
  <c r="CB1244" i="59"/>
  <c r="CC1244" i="59"/>
  <c r="CD1244" i="59"/>
  <c r="CE1244" i="59"/>
  <c r="CF1244" i="59"/>
  <c r="CG1244" i="59"/>
  <c r="CH1244" i="59"/>
  <c r="CI1244" i="59"/>
  <c r="CJ1244" i="59"/>
  <c r="CK1244" i="59"/>
  <c r="CL1244" i="59"/>
  <c r="CM1244" i="59"/>
  <c r="CN1244" i="59"/>
  <c r="CO1244" i="59"/>
  <c r="CP1244" i="59"/>
  <c r="CQ1244" i="59"/>
  <c r="CR1244" i="59"/>
  <c r="CS1244" i="59"/>
  <c r="CT1244" i="59"/>
  <c r="CU1244" i="59"/>
  <c r="CV1244" i="59"/>
  <c r="CW1244" i="59"/>
  <c r="CX1244" i="59"/>
  <c r="CY1244" i="59"/>
  <c r="CY1237" i="59"/>
  <c r="CX1237" i="59"/>
  <c r="CV1237" i="59"/>
  <c r="CW1237" i="59"/>
  <c r="CS1237" i="59"/>
  <c r="CT1237" i="59"/>
  <c r="CU1237" i="59"/>
  <c r="CP1237" i="59"/>
  <c r="CQ1237" i="59"/>
  <c r="CR1237" i="59"/>
  <c r="CO1237" i="59"/>
  <c r="CM1237" i="59"/>
  <c r="CN1237" i="59"/>
  <c r="CJ1237" i="59"/>
  <c r="CK1237" i="59"/>
  <c r="CL1237" i="59"/>
  <c r="CG1237" i="59"/>
  <c r="CH1237" i="59"/>
  <c r="CI1237" i="59"/>
  <c r="CD1237" i="59"/>
  <c r="CE1237" i="59"/>
  <c r="CF1237" i="59"/>
  <c r="CC1237" i="59"/>
  <c r="CB1237" i="59"/>
  <c r="CA1237" i="59"/>
  <c r="BZ1237" i="59"/>
  <c r="BX1237" i="59"/>
  <c r="BY1237" i="59"/>
  <c r="BU1237" i="59"/>
  <c r="BV1237" i="59"/>
  <c r="BW1237" i="59"/>
  <c r="BR1237" i="59"/>
  <c r="BS1237" i="59"/>
  <c r="BT1237" i="59"/>
  <c r="BO1237" i="59"/>
  <c r="BP1237" i="59"/>
  <c r="BQ1237" i="59"/>
  <c r="BL1237" i="59"/>
  <c r="BM1237" i="59"/>
  <c r="BN1237" i="59"/>
  <c r="BI1237" i="59"/>
  <c r="BJ1237" i="59"/>
  <c r="BK1237" i="59"/>
  <c r="BF1237" i="59"/>
  <c r="BG1237" i="59"/>
  <c r="BH1237" i="59"/>
  <c r="BE1237" i="59"/>
  <c r="BD1237" i="59"/>
  <c r="BC1237" i="59"/>
  <c r="BB1237" i="59"/>
  <c r="AT1237" i="59"/>
  <c r="AL1237" i="59"/>
  <c r="AJ1237" i="59"/>
  <c r="AI1237" i="59"/>
  <c r="AH1237" i="59"/>
  <c r="BA1237" i="59"/>
  <c r="AZ1237" i="59"/>
  <c r="AY1237" i="59"/>
  <c r="AX1237" i="59"/>
  <c r="AW1237" i="59"/>
  <c r="AV1237" i="59"/>
  <c r="AU1237" i="59"/>
  <c r="AS1237" i="59"/>
  <c r="AR1237" i="59"/>
  <c r="AQ1237" i="59"/>
  <c r="AP1237" i="59"/>
  <c r="AO1237" i="59"/>
  <c r="AN1237" i="59"/>
  <c r="AM1237" i="59"/>
  <c r="AK1237" i="59"/>
  <c r="AH1226" i="59"/>
  <c r="AH1225" i="59"/>
  <c r="AH1224" i="59"/>
  <c r="B1216" i="59"/>
  <c r="B1215" i="59"/>
  <c r="AK1202" i="59"/>
  <c r="AJ1210" i="59"/>
  <c r="AI1210" i="59"/>
  <c r="AH1210" i="59"/>
  <c r="AG1203" i="59"/>
  <c r="AH1203" i="59"/>
  <c r="AI1203" i="59"/>
  <c r="AJ1203" i="59"/>
  <c r="AK1203" i="59"/>
  <c r="AL1203" i="59"/>
  <c r="AG1204" i="59"/>
  <c r="AH1204" i="59"/>
  <c r="AJ1204" i="59" s="1"/>
  <c r="AI1204" i="59"/>
  <c r="AK1204" i="59"/>
  <c r="AL1204" i="59"/>
  <c r="AG1205" i="59"/>
  <c r="AH1205" i="59"/>
  <c r="AI1205" i="59"/>
  <c r="AJ1205" i="59"/>
  <c r="AK1205" i="59"/>
  <c r="AL1205" i="59"/>
  <c r="AG1206" i="59"/>
  <c r="AH1206" i="59"/>
  <c r="AJ1206" i="59" s="1"/>
  <c r="AI1206" i="59"/>
  <c r="AK1206" i="59"/>
  <c r="AL1206" i="59"/>
  <c r="AG1207" i="59"/>
  <c r="AH1207" i="59"/>
  <c r="AI1207" i="59"/>
  <c r="AJ1207" i="59"/>
  <c r="AK1207" i="59"/>
  <c r="AL1207" i="59"/>
  <c r="AL1210" i="59" s="1"/>
  <c r="B1217" i="59" s="1"/>
  <c r="AG1208" i="59"/>
  <c r="AH1208" i="59"/>
  <c r="AJ1208" i="59" s="1"/>
  <c r="AI1208" i="59"/>
  <c r="AK1208" i="59"/>
  <c r="AL1208" i="59"/>
  <c r="AH1209" i="59"/>
  <c r="AI1209" i="59"/>
  <c r="AJ1209" i="59"/>
  <c r="AK1209" i="59"/>
  <c r="AL1209" i="59"/>
  <c r="AL1202" i="59"/>
  <c r="AJ1202" i="59"/>
  <c r="AI1202" i="59"/>
  <c r="AH1202" i="59"/>
  <c r="B1190" i="59"/>
  <c r="B1187" i="59"/>
  <c r="AZ1165" i="59"/>
  <c r="AZ1182" i="59" s="1"/>
  <c r="AX1181" i="59"/>
  <c r="AX1180" i="59"/>
  <c r="AX1179" i="59"/>
  <c r="AX1178" i="59"/>
  <c r="AX1177" i="59"/>
  <c r="AX1176" i="59"/>
  <c r="AX1175" i="59"/>
  <c r="AX1174" i="59"/>
  <c r="AX1173" i="59"/>
  <c r="AX1172" i="59"/>
  <c r="AX1171" i="59"/>
  <c r="AX1170" i="59"/>
  <c r="AX1169" i="59"/>
  <c r="AX1168" i="59"/>
  <c r="AX1167" i="59"/>
  <c r="AX1166" i="59"/>
  <c r="AX1165" i="59"/>
  <c r="AU1181" i="59"/>
  <c r="AK1166" i="59"/>
  <c r="AL1166" i="59"/>
  <c r="AM1166" i="59"/>
  <c r="AN1166" i="59"/>
  <c r="AO1166" i="59"/>
  <c r="AP1166" i="59"/>
  <c r="AQ1166" i="59"/>
  <c r="AR1166" i="59"/>
  <c r="AR1182" i="59" s="1"/>
  <c r="AT1166" i="59"/>
  <c r="AU1166" i="59"/>
  <c r="AK1167" i="59"/>
  <c r="AL1167" i="59"/>
  <c r="AM1167" i="59"/>
  <c r="AN1167" i="59"/>
  <c r="AO1167" i="59"/>
  <c r="AP1167" i="59"/>
  <c r="AQ1167" i="59"/>
  <c r="AR1167" i="59"/>
  <c r="AT1167" i="59"/>
  <c r="AU1167" i="59"/>
  <c r="AK1168" i="59"/>
  <c r="AL1168" i="59"/>
  <c r="AM1168" i="59"/>
  <c r="AN1168" i="59"/>
  <c r="AO1168" i="59"/>
  <c r="AP1168" i="59"/>
  <c r="AQ1168" i="59"/>
  <c r="AR1168" i="59"/>
  <c r="AT1168" i="59"/>
  <c r="AT1182" i="59" s="1"/>
  <c r="AU1168" i="59"/>
  <c r="AK1169" i="59"/>
  <c r="AL1169" i="59"/>
  <c r="AM1169" i="59"/>
  <c r="AN1169" i="59"/>
  <c r="AO1169" i="59"/>
  <c r="AP1169" i="59"/>
  <c r="AQ1169" i="59"/>
  <c r="AQ1182" i="59" s="1"/>
  <c r="AR1169" i="59"/>
  <c r="AT1169" i="59"/>
  <c r="AU1169" i="59"/>
  <c r="AK1170" i="59"/>
  <c r="AL1170" i="59"/>
  <c r="AM1170" i="59"/>
  <c r="AN1170" i="59"/>
  <c r="AO1170" i="59"/>
  <c r="AP1170" i="59"/>
  <c r="AQ1170" i="59"/>
  <c r="AR1170" i="59"/>
  <c r="AT1170" i="59"/>
  <c r="AU1170" i="59"/>
  <c r="AK1171" i="59"/>
  <c r="AL1171" i="59"/>
  <c r="AM1171" i="59"/>
  <c r="AN1171" i="59"/>
  <c r="AO1171" i="59"/>
  <c r="AP1171" i="59"/>
  <c r="AQ1171" i="59"/>
  <c r="AR1171" i="59"/>
  <c r="AT1171" i="59"/>
  <c r="AU1171" i="59"/>
  <c r="AK1172" i="59"/>
  <c r="AL1172" i="59"/>
  <c r="AM1172" i="59"/>
  <c r="AN1172" i="59"/>
  <c r="AO1172" i="59"/>
  <c r="AP1172" i="59"/>
  <c r="AQ1172" i="59"/>
  <c r="AR1172" i="59"/>
  <c r="AT1172" i="59"/>
  <c r="AU1172" i="59"/>
  <c r="AK1173" i="59"/>
  <c r="AL1173" i="59"/>
  <c r="AM1173" i="59"/>
  <c r="AN1173" i="59"/>
  <c r="AO1173" i="59"/>
  <c r="AP1173" i="59"/>
  <c r="AQ1173" i="59"/>
  <c r="AR1173" i="59"/>
  <c r="AT1173" i="59"/>
  <c r="AU1173" i="59"/>
  <c r="AU1182" i="59" s="1"/>
  <c r="AK1174" i="59"/>
  <c r="AL1174" i="59"/>
  <c r="AM1174" i="59"/>
  <c r="AN1174" i="59"/>
  <c r="AO1174" i="59"/>
  <c r="AP1174" i="59"/>
  <c r="AQ1174" i="59"/>
  <c r="AR1174" i="59"/>
  <c r="AT1174" i="59"/>
  <c r="AU1174" i="59"/>
  <c r="AK1175" i="59"/>
  <c r="AL1175" i="59"/>
  <c r="AM1175" i="59"/>
  <c r="AN1175" i="59"/>
  <c r="AO1175" i="59"/>
  <c r="AP1175" i="59"/>
  <c r="AQ1175" i="59"/>
  <c r="AR1175" i="59"/>
  <c r="AT1175" i="59"/>
  <c r="AU1175" i="59"/>
  <c r="AK1176" i="59"/>
  <c r="AL1176" i="59"/>
  <c r="AM1176" i="59"/>
  <c r="AN1176" i="59"/>
  <c r="AO1176" i="59"/>
  <c r="AP1176" i="59"/>
  <c r="AQ1176" i="59"/>
  <c r="AR1176" i="59"/>
  <c r="AT1176" i="59"/>
  <c r="AU1176" i="59"/>
  <c r="AK1177" i="59"/>
  <c r="AL1177" i="59"/>
  <c r="AM1177" i="59"/>
  <c r="AN1177" i="59"/>
  <c r="AO1177" i="59"/>
  <c r="AP1177" i="59"/>
  <c r="AQ1177" i="59"/>
  <c r="AR1177" i="59"/>
  <c r="AT1177" i="59"/>
  <c r="AU1177" i="59"/>
  <c r="AK1178" i="59"/>
  <c r="AL1178" i="59"/>
  <c r="AM1178" i="59"/>
  <c r="AN1178" i="59"/>
  <c r="AO1178" i="59"/>
  <c r="AP1178" i="59"/>
  <c r="AQ1178" i="59"/>
  <c r="AR1178" i="59"/>
  <c r="AT1178" i="59"/>
  <c r="AU1178" i="59"/>
  <c r="AK1179" i="59"/>
  <c r="AL1179" i="59"/>
  <c r="AM1179" i="59"/>
  <c r="AN1179" i="59"/>
  <c r="AO1179" i="59"/>
  <c r="AP1179" i="59"/>
  <c r="AQ1179" i="59"/>
  <c r="AR1179" i="59"/>
  <c r="AT1179" i="59"/>
  <c r="AU1179" i="59"/>
  <c r="AK1180" i="59"/>
  <c r="AL1180" i="59"/>
  <c r="AM1180" i="59"/>
  <c r="AN1180" i="59"/>
  <c r="AO1180" i="59"/>
  <c r="AP1180" i="59"/>
  <c r="AQ1180" i="59"/>
  <c r="AR1180" i="59"/>
  <c r="AT1180" i="59"/>
  <c r="AU1180" i="59"/>
  <c r="AK1181" i="59"/>
  <c r="AL1181" i="59"/>
  <c r="AM1181" i="59"/>
  <c r="AN1181" i="59"/>
  <c r="AO1181" i="59"/>
  <c r="AP1181" i="59"/>
  <c r="AQ1181" i="59"/>
  <c r="AR1181" i="59"/>
  <c r="AT1181" i="59"/>
  <c r="AU1165" i="59"/>
  <c r="AT1165" i="59"/>
  <c r="AR1165" i="59"/>
  <c r="AQ1165" i="59"/>
  <c r="AP1165" i="59"/>
  <c r="AO1165" i="59"/>
  <c r="AN1165" i="59"/>
  <c r="AM1165" i="59"/>
  <c r="AL1165" i="59"/>
  <c r="AK1165" i="59"/>
  <c r="AI1174" i="59"/>
  <c r="AI1172" i="59"/>
  <c r="AI1171" i="59"/>
  <c r="AI1170" i="59"/>
  <c r="AI1169" i="59"/>
  <c r="AI1168" i="59"/>
  <c r="AI1167" i="59"/>
  <c r="AI1166" i="59"/>
  <c r="AI1165" i="59"/>
  <c r="AZ1181" i="59"/>
  <c r="AZ1180" i="59"/>
  <c r="AZ1179" i="59"/>
  <c r="AZ1178" i="59"/>
  <c r="AZ1177" i="59"/>
  <c r="AZ1176" i="59"/>
  <c r="AZ1175" i="59"/>
  <c r="AZ1174" i="59"/>
  <c r="AZ1173" i="59"/>
  <c r="AZ1172" i="59"/>
  <c r="AZ1171" i="59"/>
  <c r="AZ1170" i="59"/>
  <c r="AZ1169" i="59"/>
  <c r="AZ1168" i="59"/>
  <c r="AZ1167" i="59"/>
  <c r="AZ1166" i="59"/>
  <c r="CL1124" i="59"/>
  <c r="CL1125" i="59"/>
  <c r="CL1126" i="59"/>
  <c r="CL1127" i="59"/>
  <c r="CL1128" i="59"/>
  <c r="CL1129" i="59"/>
  <c r="CL1130" i="59"/>
  <c r="CL1131" i="59"/>
  <c r="B1154" i="59"/>
  <c r="B1153" i="59"/>
  <c r="AO1132" i="59"/>
  <c r="AP1132" i="59"/>
  <c r="AR1132" i="59"/>
  <c r="AS1132" i="59"/>
  <c r="AU1132" i="59"/>
  <c r="AV1132" i="59"/>
  <c r="AX1132" i="59"/>
  <c r="AY1132" i="59"/>
  <c r="BA1132" i="59"/>
  <c r="BB1132" i="59"/>
  <c r="BD1132" i="59"/>
  <c r="BE1132" i="59"/>
  <c r="BG1132" i="59"/>
  <c r="BH1132" i="59"/>
  <c r="BJ1132" i="59"/>
  <c r="BK1132" i="59"/>
  <c r="BM1132" i="59"/>
  <c r="BN1132" i="59"/>
  <c r="BP1132" i="59"/>
  <c r="BQ1132" i="59"/>
  <c r="BS1132" i="59"/>
  <c r="BT1132" i="59"/>
  <c r="BV1132" i="59"/>
  <c r="BW1132" i="59"/>
  <c r="BY1132" i="59"/>
  <c r="BZ1132" i="59"/>
  <c r="CB1132" i="59"/>
  <c r="CC1132" i="59"/>
  <c r="CE1132" i="59"/>
  <c r="CF1132" i="59"/>
  <c r="CH1132" i="59"/>
  <c r="CI1132" i="59"/>
  <c r="AM1132" i="59"/>
  <c r="AL1132" i="59"/>
  <c r="AI1132" i="59"/>
  <c r="AH1132" i="59"/>
  <c r="CK1124" i="59"/>
  <c r="AK1125" i="59"/>
  <c r="AL1125" i="59"/>
  <c r="AM1125" i="59"/>
  <c r="AN1125" i="59"/>
  <c r="AO1125" i="59"/>
  <c r="AP1125" i="59"/>
  <c r="AQ1125" i="59"/>
  <c r="AR1125" i="59"/>
  <c r="AS1125" i="59"/>
  <c r="AT1125" i="59"/>
  <c r="AU1125" i="59"/>
  <c r="AV1125" i="59"/>
  <c r="AW1125" i="59"/>
  <c r="AX1125" i="59"/>
  <c r="AY1125" i="59"/>
  <c r="AZ1125" i="59"/>
  <c r="BA1125" i="59"/>
  <c r="BB1125" i="59"/>
  <c r="BC1125" i="59"/>
  <c r="BD1125" i="59"/>
  <c r="BE1125" i="59"/>
  <c r="BF1125" i="59"/>
  <c r="BG1125" i="59"/>
  <c r="BH1125" i="59"/>
  <c r="BI1125" i="59"/>
  <c r="BJ1125" i="59"/>
  <c r="BK1125" i="59"/>
  <c r="BL1125" i="59"/>
  <c r="BM1125" i="59"/>
  <c r="BN1125" i="59"/>
  <c r="BO1125" i="59"/>
  <c r="BP1125" i="59"/>
  <c r="BQ1125" i="59"/>
  <c r="BR1125" i="59"/>
  <c r="BS1125" i="59"/>
  <c r="BT1125" i="59"/>
  <c r="BU1125" i="59"/>
  <c r="BV1125" i="59"/>
  <c r="BW1125" i="59"/>
  <c r="BX1125" i="59"/>
  <c r="BY1125" i="59"/>
  <c r="BZ1125" i="59"/>
  <c r="CA1125" i="59"/>
  <c r="CB1125" i="59"/>
  <c r="CC1125" i="59"/>
  <c r="CD1125" i="59"/>
  <c r="CE1125" i="59"/>
  <c r="CF1125" i="59"/>
  <c r="CG1125" i="59"/>
  <c r="CH1125" i="59"/>
  <c r="CI1125" i="59"/>
  <c r="AK1126" i="59"/>
  <c r="AL1126" i="59"/>
  <c r="AM1126" i="59"/>
  <c r="AN1126" i="59"/>
  <c r="AO1126" i="59"/>
  <c r="AP1126" i="59"/>
  <c r="AQ1126" i="59"/>
  <c r="AR1126" i="59"/>
  <c r="AS1126" i="59"/>
  <c r="AT1126" i="59"/>
  <c r="AU1126" i="59"/>
  <c r="AV1126" i="59"/>
  <c r="AW1126" i="59"/>
  <c r="AX1126" i="59"/>
  <c r="AY1126" i="59"/>
  <c r="AZ1126" i="59"/>
  <c r="BA1126" i="59"/>
  <c r="BB1126" i="59"/>
  <c r="BC1126" i="59"/>
  <c r="BC1132" i="59" s="1"/>
  <c r="BD1126" i="59"/>
  <c r="BE1126" i="59"/>
  <c r="BF1126" i="59"/>
  <c r="BG1126" i="59"/>
  <c r="BH1126" i="59"/>
  <c r="BI1126" i="59"/>
  <c r="BI1132" i="59" s="1"/>
  <c r="BJ1126" i="59"/>
  <c r="BK1126" i="59"/>
  <c r="BL1126" i="59"/>
  <c r="BM1126" i="59"/>
  <c r="BN1126" i="59"/>
  <c r="BO1126" i="59"/>
  <c r="BP1126" i="59"/>
  <c r="BQ1126" i="59"/>
  <c r="BR1126" i="59"/>
  <c r="BS1126" i="59"/>
  <c r="BT1126" i="59"/>
  <c r="BU1126" i="59"/>
  <c r="BV1126" i="59"/>
  <c r="BW1126" i="59"/>
  <c r="BX1126" i="59"/>
  <c r="BY1126" i="59"/>
  <c r="BZ1126" i="59"/>
  <c r="CA1126" i="59"/>
  <c r="CA1132" i="59" s="1"/>
  <c r="CB1126" i="59"/>
  <c r="CC1126" i="59"/>
  <c r="CD1126" i="59"/>
  <c r="CD1132" i="59" s="1"/>
  <c r="CE1126" i="59"/>
  <c r="CF1126" i="59"/>
  <c r="CG1126" i="59"/>
  <c r="CG1132" i="59" s="1"/>
  <c r="CH1126" i="59"/>
  <c r="CI1126" i="59"/>
  <c r="AK1127" i="59"/>
  <c r="AL1127" i="59"/>
  <c r="AM1127" i="59"/>
  <c r="AN1127" i="59"/>
  <c r="AO1127" i="59"/>
  <c r="AP1127" i="59"/>
  <c r="AQ1127" i="59"/>
  <c r="AR1127" i="59"/>
  <c r="AS1127" i="59"/>
  <c r="AT1127" i="59"/>
  <c r="AU1127" i="59"/>
  <c r="AV1127" i="59"/>
  <c r="AW1127" i="59"/>
  <c r="AX1127" i="59"/>
  <c r="AY1127" i="59"/>
  <c r="AZ1127" i="59"/>
  <c r="BA1127" i="59"/>
  <c r="BB1127" i="59"/>
  <c r="BC1127" i="59"/>
  <c r="BD1127" i="59"/>
  <c r="BE1127" i="59"/>
  <c r="BF1127" i="59"/>
  <c r="BG1127" i="59"/>
  <c r="BH1127" i="59"/>
  <c r="BI1127" i="59"/>
  <c r="BJ1127" i="59"/>
  <c r="BK1127" i="59"/>
  <c r="BL1127" i="59"/>
  <c r="BM1127" i="59"/>
  <c r="BN1127" i="59"/>
  <c r="BO1127" i="59"/>
  <c r="BP1127" i="59"/>
  <c r="BQ1127" i="59"/>
  <c r="BR1127" i="59"/>
  <c r="BS1127" i="59"/>
  <c r="BT1127" i="59"/>
  <c r="BU1127" i="59"/>
  <c r="BV1127" i="59"/>
  <c r="BW1127" i="59"/>
  <c r="BX1127" i="59"/>
  <c r="BY1127" i="59"/>
  <c r="BZ1127" i="59"/>
  <c r="CA1127" i="59"/>
  <c r="CB1127" i="59"/>
  <c r="CC1127" i="59"/>
  <c r="CD1127" i="59"/>
  <c r="CE1127" i="59"/>
  <c r="CF1127" i="59"/>
  <c r="CG1127" i="59"/>
  <c r="CH1127" i="59"/>
  <c r="CI1127" i="59"/>
  <c r="AK1128" i="59"/>
  <c r="AL1128" i="59"/>
  <c r="AM1128" i="59"/>
  <c r="AN1128" i="59"/>
  <c r="AO1128" i="59"/>
  <c r="AP1128" i="59"/>
  <c r="AQ1128" i="59"/>
  <c r="AR1128" i="59"/>
  <c r="AS1128" i="59"/>
  <c r="AT1128" i="59"/>
  <c r="AU1128" i="59"/>
  <c r="AV1128" i="59"/>
  <c r="AW1128" i="59"/>
  <c r="AX1128" i="59"/>
  <c r="AY1128" i="59"/>
  <c r="AZ1128" i="59"/>
  <c r="BA1128" i="59"/>
  <c r="BB1128" i="59"/>
  <c r="BC1128" i="59"/>
  <c r="BD1128" i="59"/>
  <c r="BE1128" i="59"/>
  <c r="BF1128" i="59"/>
  <c r="BG1128" i="59"/>
  <c r="BH1128" i="59"/>
  <c r="BI1128" i="59"/>
  <c r="BJ1128" i="59"/>
  <c r="BK1128" i="59"/>
  <c r="BL1128" i="59"/>
  <c r="BM1128" i="59"/>
  <c r="BN1128" i="59"/>
  <c r="BO1128" i="59"/>
  <c r="BP1128" i="59"/>
  <c r="BQ1128" i="59"/>
  <c r="BR1128" i="59"/>
  <c r="BS1128" i="59"/>
  <c r="BT1128" i="59"/>
  <c r="BU1128" i="59"/>
  <c r="BV1128" i="59"/>
  <c r="BW1128" i="59"/>
  <c r="BX1128" i="59"/>
  <c r="BY1128" i="59"/>
  <c r="BZ1128" i="59"/>
  <c r="CA1128" i="59"/>
  <c r="CB1128" i="59"/>
  <c r="CC1128" i="59"/>
  <c r="CD1128" i="59"/>
  <c r="CE1128" i="59"/>
  <c r="CF1128" i="59"/>
  <c r="CG1128" i="59"/>
  <c r="CH1128" i="59"/>
  <c r="CI1128" i="59"/>
  <c r="AK1129" i="59"/>
  <c r="AL1129" i="59"/>
  <c r="AM1129" i="59"/>
  <c r="AN1129" i="59"/>
  <c r="AO1129" i="59"/>
  <c r="AP1129" i="59"/>
  <c r="AQ1129" i="59"/>
  <c r="AR1129" i="59"/>
  <c r="AS1129" i="59"/>
  <c r="AT1129" i="59"/>
  <c r="AU1129" i="59"/>
  <c r="AV1129" i="59"/>
  <c r="AW1129" i="59"/>
  <c r="AX1129" i="59"/>
  <c r="AY1129" i="59"/>
  <c r="AZ1129" i="59"/>
  <c r="BA1129" i="59"/>
  <c r="BB1129" i="59"/>
  <c r="BC1129" i="59"/>
  <c r="BD1129" i="59"/>
  <c r="BE1129" i="59"/>
  <c r="BF1129" i="59"/>
  <c r="BG1129" i="59"/>
  <c r="BH1129" i="59"/>
  <c r="BI1129" i="59"/>
  <c r="BJ1129" i="59"/>
  <c r="BK1129" i="59"/>
  <c r="BL1129" i="59"/>
  <c r="BM1129" i="59"/>
  <c r="BN1129" i="59"/>
  <c r="BO1129" i="59"/>
  <c r="BP1129" i="59"/>
  <c r="BQ1129" i="59"/>
  <c r="BR1129" i="59"/>
  <c r="BS1129" i="59"/>
  <c r="BT1129" i="59"/>
  <c r="BU1129" i="59"/>
  <c r="BV1129" i="59"/>
  <c r="BW1129" i="59"/>
  <c r="BX1129" i="59"/>
  <c r="BY1129" i="59"/>
  <c r="BZ1129" i="59"/>
  <c r="CA1129" i="59"/>
  <c r="CB1129" i="59"/>
  <c r="CC1129" i="59"/>
  <c r="CD1129" i="59"/>
  <c r="CE1129" i="59"/>
  <c r="CF1129" i="59"/>
  <c r="CG1129" i="59"/>
  <c r="CH1129" i="59"/>
  <c r="CI1129" i="59"/>
  <c r="AK1130" i="59"/>
  <c r="AL1130" i="59"/>
  <c r="AM1130" i="59"/>
  <c r="AN1130" i="59"/>
  <c r="AO1130" i="59"/>
  <c r="AP1130" i="59"/>
  <c r="AQ1130" i="59"/>
  <c r="AR1130" i="59"/>
  <c r="AS1130" i="59"/>
  <c r="AT1130" i="59"/>
  <c r="AU1130" i="59"/>
  <c r="AV1130" i="59"/>
  <c r="AW1130" i="59"/>
  <c r="AX1130" i="59"/>
  <c r="AY1130" i="59"/>
  <c r="AZ1130" i="59"/>
  <c r="BA1130" i="59"/>
  <c r="BB1130" i="59"/>
  <c r="BC1130" i="59"/>
  <c r="BD1130" i="59"/>
  <c r="BE1130" i="59"/>
  <c r="BF1130" i="59"/>
  <c r="BG1130" i="59"/>
  <c r="BH1130" i="59"/>
  <c r="BI1130" i="59"/>
  <c r="BJ1130" i="59"/>
  <c r="BK1130" i="59"/>
  <c r="BL1130" i="59"/>
  <c r="BM1130" i="59"/>
  <c r="BN1130" i="59"/>
  <c r="BO1130" i="59"/>
  <c r="BP1130" i="59"/>
  <c r="BQ1130" i="59"/>
  <c r="BR1130" i="59"/>
  <c r="BS1130" i="59"/>
  <c r="BT1130" i="59"/>
  <c r="BU1130" i="59"/>
  <c r="BV1130" i="59"/>
  <c r="BW1130" i="59"/>
  <c r="BX1130" i="59"/>
  <c r="BY1130" i="59"/>
  <c r="BZ1130" i="59"/>
  <c r="CA1130" i="59"/>
  <c r="CB1130" i="59"/>
  <c r="CC1130" i="59"/>
  <c r="CD1130" i="59"/>
  <c r="CE1130" i="59"/>
  <c r="CF1130" i="59"/>
  <c r="CG1130" i="59"/>
  <c r="CH1130" i="59"/>
  <c r="CI1130" i="59"/>
  <c r="AK1131" i="59"/>
  <c r="AL1131" i="59"/>
  <c r="AM1131" i="59"/>
  <c r="AN1131" i="59"/>
  <c r="AO1131" i="59"/>
  <c r="AP1131" i="59"/>
  <c r="AQ1131" i="59"/>
  <c r="AR1131" i="59"/>
  <c r="AS1131" i="59"/>
  <c r="AT1131" i="59"/>
  <c r="AU1131" i="59"/>
  <c r="AV1131" i="59"/>
  <c r="AW1131" i="59"/>
  <c r="AX1131" i="59"/>
  <c r="AY1131" i="59"/>
  <c r="AZ1131" i="59"/>
  <c r="BA1131" i="59"/>
  <c r="BB1131" i="59"/>
  <c r="BC1131" i="59"/>
  <c r="BD1131" i="59"/>
  <c r="BE1131" i="59"/>
  <c r="BF1131" i="59"/>
  <c r="BG1131" i="59"/>
  <c r="BH1131" i="59"/>
  <c r="BI1131" i="59"/>
  <c r="BJ1131" i="59"/>
  <c r="BK1131" i="59"/>
  <c r="BL1131" i="59"/>
  <c r="BM1131" i="59"/>
  <c r="BN1131" i="59"/>
  <c r="BO1131" i="59"/>
  <c r="BP1131" i="59"/>
  <c r="BQ1131" i="59"/>
  <c r="BR1131" i="59"/>
  <c r="BS1131" i="59"/>
  <c r="BT1131" i="59"/>
  <c r="BU1131" i="59"/>
  <c r="BV1131" i="59"/>
  <c r="BW1131" i="59"/>
  <c r="BX1131" i="59"/>
  <c r="BY1131" i="59"/>
  <c r="BZ1131" i="59"/>
  <c r="CA1131" i="59"/>
  <c r="CB1131" i="59"/>
  <c r="CC1131" i="59"/>
  <c r="CD1131" i="59"/>
  <c r="CE1131" i="59"/>
  <c r="CF1131" i="59"/>
  <c r="CG1131" i="59"/>
  <c r="CH1131" i="59"/>
  <c r="CI1131" i="59"/>
  <c r="AG1125" i="59"/>
  <c r="AH1125" i="59"/>
  <c r="AI1125" i="59"/>
  <c r="AG1126" i="59"/>
  <c r="AG1132" i="59" s="1"/>
  <c r="AI1133" i="59" s="1"/>
  <c r="B1155" i="59" s="1"/>
  <c r="AH1126" i="59"/>
  <c r="AI1126" i="59"/>
  <c r="AG1127" i="59"/>
  <c r="AH1127" i="59"/>
  <c r="AI1127" i="59"/>
  <c r="AG1128" i="59"/>
  <c r="AH1128" i="59"/>
  <c r="AI1128" i="59"/>
  <c r="AG1129" i="59"/>
  <c r="AH1129" i="59"/>
  <c r="AI1129" i="59"/>
  <c r="AG1130" i="59"/>
  <c r="AH1130" i="59"/>
  <c r="AI1130" i="59"/>
  <c r="AG1131" i="59"/>
  <c r="AH1131" i="59"/>
  <c r="AI1131" i="59"/>
  <c r="CI1124" i="59"/>
  <c r="CG1124" i="59"/>
  <c r="CH1124" i="59"/>
  <c r="CD1124" i="59"/>
  <c r="CE1124" i="59"/>
  <c r="CF1124" i="59"/>
  <c r="CA1124" i="59"/>
  <c r="CB1124" i="59"/>
  <c r="CC1124" i="59"/>
  <c r="BX1124" i="59"/>
  <c r="BY1124" i="59"/>
  <c r="BZ1124" i="59"/>
  <c r="BU1124" i="59"/>
  <c r="BU1132" i="59" s="1"/>
  <c r="BV1124" i="59"/>
  <c r="BW1124" i="59"/>
  <c r="BT1124" i="59"/>
  <c r="BS1124" i="59"/>
  <c r="BR1124" i="59"/>
  <c r="BQ1124" i="59"/>
  <c r="BO1124" i="59"/>
  <c r="BO1132" i="59" s="1"/>
  <c r="BP1124" i="59"/>
  <c r="BL1124" i="59"/>
  <c r="BM1124" i="59"/>
  <c r="BN1124" i="59"/>
  <c r="BI1124" i="59"/>
  <c r="BJ1124" i="59"/>
  <c r="BK1124" i="59"/>
  <c r="BF1124" i="59"/>
  <c r="BG1124" i="59"/>
  <c r="BH1124" i="59"/>
  <c r="BC1124" i="59"/>
  <c r="BD1124" i="59"/>
  <c r="BE1124" i="59"/>
  <c r="BB1124" i="59"/>
  <c r="BA1124" i="59"/>
  <c r="AZ1124" i="59"/>
  <c r="AY1124" i="59"/>
  <c r="AW1124" i="59"/>
  <c r="AW1132" i="59" s="1"/>
  <c r="AX1124" i="59"/>
  <c r="AT1124" i="59"/>
  <c r="AU1124" i="59"/>
  <c r="AV1124" i="59"/>
  <c r="AS1124" i="59"/>
  <c r="AQ1124" i="59"/>
  <c r="AQ1132" i="59" s="1"/>
  <c r="AR1124" i="59"/>
  <c r="AP1124" i="59"/>
  <c r="AN1124" i="59"/>
  <c r="AO1124" i="59"/>
  <c r="AM1124" i="59"/>
  <c r="AL1124" i="59"/>
  <c r="AK1124" i="59"/>
  <c r="AK1132" i="59" s="1"/>
  <c r="AI1124" i="59"/>
  <c r="AH1124" i="59"/>
  <c r="AG1124" i="59"/>
  <c r="AO1121" i="59"/>
  <c r="AM1121" i="59"/>
  <c r="AK1121" i="59"/>
  <c r="AM1120" i="59"/>
  <c r="AK1120" i="59"/>
  <c r="AK1118" i="59"/>
  <c r="AM1118" i="59"/>
  <c r="AN1118" i="59"/>
  <c r="AP1118" i="59"/>
  <c r="AQ1118" i="59"/>
  <c r="AS1118" i="59"/>
  <c r="AT1118" i="59"/>
  <c r="AV1118" i="59"/>
  <c r="AW1118" i="59"/>
  <c r="AY1118" i="59"/>
  <c r="AZ1118" i="59"/>
  <c r="BB1118" i="59"/>
  <c r="BC1118" i="59"/>
  <c r="BE1118" i="59"/>
  <c r="BF1118" i="59"/>
  <c r="BH1118" i="59"/>
  <c r="BI1118" i="59"/>
  <c r="BK1118" i="59"/>
  <c r="BL1118" i="59"/>
  <c r="BN1118" i="59"/>
  <c r="BO1118" i="59"/>
  <c r="BQ1118" i="59"/>
  <c r="BR1118" i="59"/>
  <c r="BT1118" i="59"/>
  <c r="BU1118" i="59"/>
  <c r="BW1118" i="59"/>
  <c r="BX1118" i="59"/>
  <c r="BZ1118" i="59"/>
  <c r="CA1118" i="59"/>
  <c r="CC1118" i="59"/>
  <c r="CD1118" i="59"/>
  <c r="CF1118" i="59"/>
  <c r="CG1118" i="59"/>
  <c r="CI1118" i="59"/>
  <c r="AJ1118" i="59"/>
  <c r="AH1118" i="59"/>
  <c r="AH1111" i="59"/>
  <c r="AI1111" i="59"/>
  <c r="AJ1111" i="59"/>
  <c r="AK1111" i="59"/>
  <c r="AL1111" i="59"/>
  <c r="AM1111" i="59"/>
  <c r="AN1111" i="59"/>
  <c r="AO1111" i="59"/>
  <c r="AP1111" i="59"/>
  <c r="AQ1111" i="59"/>
  <c r="AR1111" i="59"/>
  <c r="AS1111" i="59"/>
  <c r="AT1111" i="59"/>
  <c r="AU1111" i="59"/>
  <c r="AV1111" i="59"/>
  <c r="AW1111" i="59"/>
  <c r="AX1111" i="59"/>
  <c r="AY1111" i="59"/>
  <c r="AZ1111" i="59"/>
  <c r="BA1111" i="59"/>
  <c r="BB1111" i="59"/>
  <c r="BC1111" i="59"/>
  <c r="BD1111" i="59"/>
  <c r="BE1111" i="59"/>
  <c r="BF1111" i="59"/>
  <c r="BG1111" i="59"/>
  <c r="BH1111" i="59"/>
  <c r="BI1111" i="59"/>
  <c r="BJ1111" i="59"/>
  <c r="BK1111" i="59"/>
  <c r="BL1111" i="59"/>
  <c r="BM1111" i="59"/>
  <c r="BN1111" i="59"/>
  <c r="BO1111" i="59"/>
  <c r="BP1111" i="59"/>
  <c r="BQ1111" i="59"/>
  <c r="BR1111" i="59"/>
  <c r="BS1111" i="59"/>
  <c r="BT1111" i="59"/>
  <c r="BU1111" i="59"/>
  <c r="BV1111" i="59"/>
  <c r="BW1111" i="59"/>
  <c r="BX1111" i="59"/>
  <c r="BY1111" i="59"/>
  <c r="BZ1111" i="59"/>
  <c r="CA1111" i="59"/>
  <c r="CB1111" i="59"/>
  <c r="CC1111" i="59"/>
  <c r="CD1111" i="59"/>
  <c r="CE1111" i="59"/>
  <c r="CF1111" i="59"/>
  <c r="CG1111" i="59"/>
  <c r="CH1111" i="59"/>
  <c r="CI1111" i="59"/>
  <c r="AH1112" i="59"/>
  <c r="AI1112" i="59"/>
  <c r="AJ1112" i="59"/>
  <c r="AK1112" i="59"/>
  <c r="AL1112" i="59"/>
  <c r="AM1112" i="59"/>
  <c r="AN1112" i="59"/>
  <c r="AO1112" i="59"/>
  <c r="AP1112" i="59"/>
  <c r="AQ1112" i="59"/>
  <c r="AR1112" i="59"/>
  <c r="AS1112" i="59"/>
  <c r="AT1112" i="59"/>
  <c r="AU1112" i="59"/>
  <c r="AV1112" i="59"/>
  <c r="AW1112" i="59"/>
  <c r="AX1112" i="59"/>
  <c r="AY1112" i="59"/>
  <c r="AZ1112" i="59"/>
  <c r="BA1112" i="59"/>
  <c r="BB1112" i="59"/>
  <c r="BC1112" i="59"/>
  <c r="BD1112" i="59"/>
  <c r="BE1112" i="59"/>
  <c r="BF1112" i="59"/>
  <c r="BG1112" i="59"/>
  <c r="BH1112" i="59"/>
  <c r="BI1112" i="59"/>
  <c r="BJ1112" i="59"/>
  <c r="BK1112" i="59"/>
  <c r="BL1112" i="59"/>
  <c r="BM1112" i="59"/>
  <c r="BN1112" i="59"/>
  <c r="BO1112" i="59"/>
  <c r="BP1112" i="59"/>
  <c r="BQ1112" i="59"/>
  <c r="BR1112" i="59"/>
  <c r="BS1112" i="59"/>
  <c r="BT1112" i="59"/>
  <c r="BU1112" i="59"/>
  <c r="BV1112" i="59"/>
  <c r="BW1112" i="59"/>
  <c r="BX1112" i="59"/>
  <c r="BY1112" i="59"/>
  <c r="BZ1112" i="59"/>
  <c r="CA1112" i="59"/>
  <c r="CB1112" i="59"/>
  <c r="CC1112" i="59"/>
  <c r="CD1112" i="59"/>
  <c r="CE1112" i="59"/>
  <c r="CF1112" i="59"/>
  <c r="CG1112" i="59"/>
  <c r="CH1112" i="59"/>
  <c r="CI1112" i="59"/>
  <c r="AH1113" i="59"/>
  <c r="AI1113" i="59"/>
  <c r="AJ1113" i="59"/>
  <c r="AK1113" i="59"/>
  <c r="AL1113" i="59"/>
  <c r="AM1113" i="59"/>
  <c r="AN1113" i="59"/>
  <c r="AO1113" i="59"/>
  <c r="AP1113" i="59"/>
  <c r="AQ1113" i="59"/>
  <c r="AR1113" i="59"/>
  <c r="AS1113" i="59"/>
  <c r="AT1113" i="59"/>
  <c r="AU1113" i="59"/>
  <c r="AV1113" i="59"/>
  <c r="AW1113" i="59"/>
  <c r="AX1113" i="59"/>
  <c r="AY1113" i="59"/>
  <c r="AZ1113" i="59"/>
  <c r="BA1113" i="59"/>
  <c r="BB1113" i="59"/>
  <c r="BC1113" i="59"/>
  <c r="BD1113" i="59"/>
  <c r="BE1113" i="59"/>
  <c r="BF1113" i="59"/>
  <c r="BG1113" i="59"/>
  <c r="BH1113" i="59"/>
  <c r="BI1113" i="59"/>
  <c r="BJ1113" i="59"/>
  <c r="BK1113" i="59"/>
  <c r="BL1113" i="59"/>
  <c r="BM1113" i="59"/>
  <c r="BN1113" i="59"/>
  <c r="BO1113" i="59"/>
  <c r="BP1113" i="59"/>
  <c r="BQ1113" i="59"/>
  <c r="BR1113" i="59"/>
  <c r="BS1113" i="59"/>
  <c r="BT1113" i="59"/>
  <c r="BU1113" i="59"/>
  <c r="BV1113" i="59"/>
  <c r="BW1113" i="59"/>
  <c r="BX1113" i="59"/>
  <c r="BY1113" i="59"/>
  <c r="BZ1113" i="59"/>
  <c r="CA1113" i="59"/>
  <c r="CB1113" i="59"/>
  <c r="CC1113" i="59"/>
  <c r="CD1113" i="59"/>
  <c r="CE1113" i="59"/>
  <c r="CF1113" i="59"/>
  <c r="CG1113" i="59"/>
  <c r="CH1113" i="59"/>
  <c r="CI1113" i="59"/>
  <c r="AH1114" i="59"/>
  <c r="AI1114" i="59"/>
  <c r="AJ1114" i="59"/>
  <c r="AK1114" i="59"/>
  <c r="AL1114" i="59"/>
  <c r="AM1114" i="59"/>
  <c r="AN1114" i="59"/>
  <c r="AO1114" i="59"/>
  <c r="AP1114" i="59"/>
  <c r="AQ1114" i="59"/>
  <c r="AR1114" i="59"/>
  <c r="AS1114" i="59"/>
  <c r="AT1114" i="59"/>
  <c r="AU1114" i="59"/>
  <c r="AV1114" i="59"/>
  <c r="AW1114" i="59"/>
  <c r="AX1114" i="59"/>
  <c r="AY1114" i="59"/>
  <c r="AZ1114" i="59"/>
  <c r="BA1114" i="59"/>
  <c r="BB1114" i="59"/>
  <c r="BC1114" i="59"/>
  <c r="BD1114" i="59"/>
  <c r="BE1114" i="59"/>
  <c r="BF1114" i="59"/>
  <c r="BG1114" i="59"/>
  <c r="BH1114" i="59"/>
  <c r="BI1114" i="59"/>
  <c r="BJ1114" i="59"/>
  <c r="BK1114" i="59"/>
  <c r="BL1114" i="59"/>
  <c r="BM1114" i="59"/>
  <c r="BN1114" i="59"/>
  <c r="BO1114" i="59"/>
  <c r="BP1114" i="59"/>
  <c r="BQ1114" i="59"/>
  <c r="BR1114" i="59"/>
  <c r="BS1114" i="59"/>
  <c r="BT1114" i="59"/>
  <c r="BU1114" i="59"/>
  <c r="BV1114" i="59"/>
  <c r="BW1114" i="59"/>
  <c r="BX1114" i="59"/>
  <c r="BY1114" i="59"/>
  <c r="BZ1114" i="59"/>
  <c r="CA1114" i="59"/>
  <c r="CB1114" i="59"/>
  <c r="CC1114" i="59"/>
  <c r="CD1114" i="59"/>
  <c r="CE1114" i="59"/>
  <c r="CF1114" i="59"/>
  <c r="CG1114" i="59"/>
  <c r="CH1114" i="59"/>
  <c r="CI1114" i="59"/>
  <c r="AH1115" i="59"/>
  <c r="AI1115" i="59"/>
  <c r="AJ1115" i="59"/>
  <c r="AK1115" i="59"/>
  <c r="AL1115" i="59"/>
  <c r="AM1115" i="59"/>
  <c r="AN1115" i="59"/>
  <c r="AO1115" i="59"/>
  <c r="AP1115" i="59"/>
  <c r="AQ1115" i="59"/>
  <c r="AR1115" i="59"/>
  <c r="AS1115" i="59"/>
  <c r="AT1115" i="59"/>
  <c r="AU1115" i="59"/>
  <c r="AV1115" i="59"/>
  <c r="AW1115" i="59"/>
  <c r="AX1115" i="59"/>
  <c r="AY1115" i="59"/>
  <c r="AZ1115" i="59"/>
  <c r="BA1115" i="59"/>
  <c r="BB1115" i="59"/>
  <c r="BC1115" i="59"/>
  <c r="BD1115" i="59"/>
  <c r="BE1115" i="59"/>
  <c r="BF1115" i="59"/>
  <c r="BG1115" i="59"/>
  <c r="BH1115" i="59"/>
  <c r="BI1115" i="59"/>
  <c r="BJ1115" i="59"/>
  <c r="BK1115" i="59"/>
  <c r="BL1115" i="59"/>
  <c r="BM1115" i="59"/>
  <c r="BN1115" i="59"/>
  <c r="BO1115" i="59"/>
  <c r="BP1115" i="59"/>
  <c r="BQ1115" i="59"/>
  <c r="BR1115" i="59"/>
  <c r="BS1115" i="59"/>
  <c r="BT1115" i="59"/>
  <c r="BU1115" i="59"/>
  <c r="BV1115" i="59"/>
  <c r="BW1115" i="59"/>
  <c r="BX1115" i="59"/>
  <c r="BY1115" i="59"/>
  <c r="BZ1115" i="59"/>
  <c r="CA1115" i="59"/>
  <c r="CB1115" i="59"/>
  <c r="CC1115" i="59"/>
  <c r="CD1115" i="59"/>
  <c r="CE1115" i="59"/>
  <c r="CF1115" i="59"/>
  <c r="CG1115" i="59"/>
  <c r="CH1115" i="59"/>
  <c r="CI1115" i="59"/>
  <c r="AH1116" i="59"/>
  <c r="AI1116" i="59"/>
  <c r="AJ1116" i="59"/>
  <c r="AK1116" i="59"/>
  <c r="AL1116" i="59"/>
  <c r="AM1116" i="59"/>
  <c r="AN1116" i="59"/>
  <c r="AO1116" i="59"/>
  <c r="AP1116" i="59"/>
  <c r="AQ1116" i="59"/>
  <c r="AR1116" i="59"/>
  <c r="AS1116" i="59"/>
  <c r="AT1116" i="59"/>
  <c r="AU1116" i="59"/>
  <c r="AV1116" i="59"/>
  <c r="AW1116" i="59"/>
  <c r="AX1116" i="59"/>
  <c r="AY1116" i="59"/>
  <c r="AZ1116" i="59"/>
  <c r="BA1116" i="59"/>
  <c r="BB1116" i="59"/>
  <c r="BC1116" i="59"/>
  <c r="BD1116" i="59"/>
  <c r="BE1116" i="59"/>
  <c r="BF1116" i="59"/>
  <c r="BG1116" i="59"/>
  <c r="BH1116" i="59"/>
  <c r="BI1116" i="59"/>
  <c r="BJ1116" i="59"/>
  <c r="BK1116" i="59"/>
  <c r="BL1116" i="59"/>
  <c r="BM1116" i="59"/>
  <c r="BN1116" i="59"/>
  <c r="BO1116" i="59"/>
  <c r="BP1116" i="59"/>
  <c r="BQ1116" i="59"/>
  <c r="BR1116" i="59"/>
  <c r="BS1116" i="59"/>
  <c r="BT1116" i="59"/>
  <c r="BU1116" i="59"/>
  <c r="BV1116" i="59"/>
  <c r="BW1116" i="59"/>
  <c r="BX1116" i="59"/>
  <c r="BY1116" i="59"/>
  <c r="BZ1116" i="59"/>
  <c r="CA1116" i="59"/>
  <c r="CB1116" i="59"/>
  <c r="CC1116" i="59"/>
  <c r="CD1116" i="59"/>
  <c r="CE1116" i="59"/>
  <c r="CF1116" i="59"/>
  <c r="CG1116" i="59"/>
  <c r="CH1116" i="59"/>
  <c r="CI1116" i="59"/>
  <c r="AH1117" i="59"/>
  <c r="AI1117" i="59"/>
  <c r="AJ1117" i="59"/>
  <c r="AK1117" i="59"/>
  <c r="AL1117" i="59"/>
  <c r="AM1117" i="59"/>
  <c r="AN1117" i="59"/>
  <c r="AO1117" i="59"/>
  <c r="AP1117" i="59"/>
  <c r="AQ1117" i="59"/>
  <c r="AR1117" i="59"/>
  <c r="AS1117" i="59"/>
  <c r="AT1117" i="59"/>
  <c r="AU1117" i="59"/>
  <c r="AV1117" i="59"/>
  <c r="AW1117" i="59"/>
  <c r="AX1117" i="59"/>
  <c r="AY1117" i="59"/>
  <c r="AZ1117" i="59"/>
  <c r="BA1117" i="59"/>
  <c r="BB1117" i="59"/>
  <c r="BC1117" i="59"/>
  <c r="BD1117" i="59"/>
  <c r="BE1117" i="59"/>
  <c r="BF1117" i="59"/>
  <c r="BG1117" i="59"/>
  <c r="BH1117" i="59"/>
  <c r="BI1117" i="59"/>
  <c r="BJ1117" i="59"/>
  <c r="BK1117" i="59"/>
  <c r="BL1117" i="59"/>
  <c r="BM1117" i="59"/>
  <c r="BN1117" i="59"/>
  <c r="BO1117" i="59"/>
  <c r="BP1117" i="59"/>
  <c r="BQ1117" i="59"/>
  <c r="BR1117" i="59"/>
  <c r="BS1117" i="59"/>
  <c r="BT1117" i="59"/>
  <c r="BU1117" i="59"/>
  <c r="BV1117" i="59"/>
  <c r="BW1117" i="59"/>
  <c r="BX1117" i="59"/>
  <c r="BY1117" i="59"/>
  <c r="BZ1117" i="59"/>
  <c r="CA1117" i="59"/>
  <c r="CB1117" i="59"/>
  <c r="CC1117" i="59"/>
  <c r="CD1117" i="59"/>
  <c r="CE1117" i="59"/>
  <c r="CF1117" i="59"/>
  <c r="CG1117" i="59"/>
  <c r="CH1117" i="59"/>
  <c r="CI1117" i="59"/>
  <c r="CI1110" i="59"/>
  <c r="CG1110" i="59"/>
  <c r="CH1110" i="59"/>
  <c r="CD1110" i="59"/>
  <c r="CE1110" i="59"/>
  <c r="CF1110" i="59"/>
  <c r="CA1110" i="59"/>
  <c r="CB1110" i="59"/>
  <c r="CC1110" i="59"/>
  <c r="BX1110" i="59"/>
  <c r="BY1110" i="59"/>
  <c r="BZ1110" i="59"/>
  <c r="BU1110" i="59"/>
  <c r="BV1110" i="59"/>
  <c r="BW1110" i="59"/>
  <c r="BT1110" i="59"/>
  <c r="BS1110" i="59"/>
  <c r="BR1110" i="59"/>
  <c r="BQ1110" i="59"/>
  <c r="BO1110" i="59"/>
  <c r="BP1110" i="59"/>
  <c r="BL1110" i="59"/>
  <c r="BM1110" i="59"/>
  <c r="BN1110" i="59"/>
  <c r="BI1110" i="59"/>
  <c r="BJ1110" i="59"/>
  <c r="BK1110" i="59"/>
  <c r="BF1110" i="59"/>
  <c r="BG1110" i="59"/>
  <c r="BH1110" i="59"/>
  <c r="BC1110" i="59"/>
  <c r="BD1110" i="59"/>
  <c r="BE1110" i="59"/>
  <c r="BB1110" i="59"/>
  <c r="BA1110" i="59"/>
  <c r="AZ1110" i="59"/>
  <c r="AY1110" i="59"/>
  <c r="AU1110" i="59"/>
  <c r="AP1110" i="59"/>
  <c r="AO1110" i="59"/>
  <c r="AN1110" i="59"/>
  <c r="AM1110" i="59"/>
  <c r="AL1110" i="59"/>
  <c r="AK1110" i="59"/>
  <c r="AJ1110" i="59"/>
  <c r="AI1110" i="59"/>
  <c r="AH1110" i="59"/>
  <c r="AX1110" i="59"/>
  <c r="AW1110" i="59"/>
  <c r="AV1110" i="59"/>
  <c r="AT1110" i="59"/>
  <c r="AS1110" i="59"/>
  <c r="AR1110" i="59"/>
  <c r="AQ1110" i="59"/>
  <c r="B1095" i="59"/>
  <c r="BQ1080" i="59"/>
  <c r="AO1088" i="59"/>
  <c r="AP1088" i="59"/>
  <c r="AR1088" i="59"/>
  <c r="AS1088" i="59"/>
  <c r="AU1088" i="59"/>
  <c r="AV1088" i="59"/>
  <c r="AX1088" i="59"/>
  <c r="AY1088" i="59"/>
  <c r="BA1088" i="59"/>
  <c r="BB1088" i="59"/>
  <c r="BD1088" i="59"/>
  <c r="BE1088" i="59"/>
  <c r="BG1088" i="59"/>
  <c r="BH1088" i="59"/>
  <c r="BJ1088" i="59"/>
  <c r="BK1088" i="59"/>
  <c r="BM1088" i="59"/>
  <c r="BN1088" i="59"/>
  <c r="AM1088" i="59"/>
  <c r="AL1088" i="59"/>
  <c r="AI1088" i="59"/>
  <c r="AH1088" i="59"/>
  <c r="BQ1087" i="59"/>
  <c r="BQ1081" i="59"/>
  <c r="BQ1082" i="59"/>
  <c r="BQ1083" i="59"/>
  <c r="BQ1084" i="59"/>
  <c r="BQ1085" i="59"/>
  <c r="BQ1086" i="59"/>
  <c r="AK1081" i="59"/>
  <c r="AL1081" i="59"/>
  <c r="AM1081" i="59"/>
  <c r="AN1081" i="59"/>
  <c r="AO1081" i="59"/>
  <c r="AP1081" i="59"/>
  <c r="AQ1081" i="59"/>
  <c r="AR1081" i="59"/>
  <c r="AS1081" i="59"/>
  <c r="AT1081" i="59"/>
  <c r="AU1081" i="59"/>
  <c r="AV1081" i="59"/>
  <c r="AW1081" i="59"/>
  <c r="AX1081" i="59"/>
  <c r="AY1081" i="59"/>
  <c r="AZ1081" i="59"/>
  <c r="BA1081" i="59"/>
  <c r="BB1081" i="59"/>
  <c r="BC1081" i="59"/>
  <c r="BD1081" i="59"/>
  <c r="BE1081" i="59"/>
  <c r="BF1081" i="59"/>
  <c r="BG1081" i="59"/>
  <c r="BH1081" i="59"/>
  <c r="BI1081" i="59"/>
  <c r="BJ1081" i="59"/>
  <c r="BK1081" i="59"/>
  <c r="BL1081" i="59"/>
  <c r="BM1081" i="59"/>
  <c r="BN1081" i="59"/>
  <c r="AK1082" i="59"/>
  <c r="AL1082" i="59"/>
  <c r="AM1082" i="59"/>
  <c r="AN1082" i="59"/>
  <c r="AO1082" i="59"/>
  <c r="AP1082" i="59"/>
  <c r="AQ1082" i="59"/>
  <c r="AR1082" i="59"/>
  <c r="AS1082" i="59"/>
  <c r="AT1082" i="59"/>
  <c r="AU1082" i="59"/>
  <c r="AV1082" i="59"/>
  <c r="AW1082" i="59"/>
  <c r="AX1082" i="59"/>
  <c r="AY1082" i="59"/>
  <c r="AZ1082" i="59"/>
  <c r="BA1082" i="59"/>
  <c r="BB1082" i="59"/>
  <c r="BC1082" i="59"/>
  <c r="BD1082" i="59"/>
  <c r="BE1082" i="59"/>
  <c r="BF1082" i="59"/>
  <c r="BG1082" i="59"/>
  <c r="BH1082" i="59"/>
  <c r="BI1082" i="59"/>
  <c r="BJ1082" i="59"/>
  <c r="BK1082" i="59"/>
  <c r="BL1082" i="59"/>
  <c r="BM1082" i="59"/>
  <c r="BN1082" i="59"/>
  <c r="AK1083" i="59"/>
  <c r="AL1083" i="59"/>
  <c r="AM1083" i="59"/>
  <c r="AN1083" i="59"/>
  <c r="AO1083" i="59"/>
  <c r="AP1083" i="59"/>
  <c r="AQ1083" i="59"/>
  <c r="AR1083" i="59"/>
  <c r="AS1083" i="59"/>
  <c r="AT1083" i="59"/>
  <c r="AU1083" i="59"/>
  <c r="AV1083" i="59"/>
  <c r="AW1083" i="59"/>
  <c r="AX1083" i="59"/>
  <c r="AY1083" i="59"/>
  <c r="AZ1083" i="59"/>
  <c r="BA1083" i="59"/>
  <c r="BB1083" i="59"/>
  <c r="BC1083" i="59"/>
  <c r="BD1083" i="59"/>
  <c r="BE1083" i="59"/>
  <c r="BF1083" i="59"/>
  <c r="BG1083" i="59"/>
  <c r="BH1083" i="59"/>
  <c r="BI1083" i="59"/>
  <c r="BJ1083" i="59"/>
  <c r="BK1083" i="59"/>
  <c r="BL1083" i="59"/>
  <c r="BM1083" i="59"/>
  <c r="BN1083" i="59"/>
  <c r="AK1084" i="59"/>
  <c r="AL1084" i="59"/>
  <c r="AM1084" i="59"/>
  <c r="AN1084" i="59"/>
  <c r="AO1084" i="59"/>
  <c r="AP1084" i="59"/>
  <c r="AQ1084" i="59"/>
  <c r="AR1084" i="59"/>
  <c r="AS1084" i="59"/>
  <c r="AT1084" i="59"/>
  <c r="AU1084" i="59"/>
  <c r="AV1084" i="59"/>
  <c r="AW1084" i="59"/>
  <c r="AX1084" i="59"/>
  <c r="AY1084" i="59"/>
  <c r="AZ1084" i="59"/>
  <c r="BA1084" i="59"/>
  <c r="BB1084" i="59"/>
  <c r="BC1084" i="59"/>
  <c r="BD1084" i="59"/>
  <c r="BE1084" i="59"/>
  <c r="BF1084" i="59"/>
  <c r="BG1084" i="59"/>
  <c r="BH1084" i="59"/>
  <c r="BI1084" i="59"/>
  <c r="BJ1084" i="59"/>
  <c r="BK1084" i="59"/>
  <c r="BL1084" i="59"/>
  <c r="BM1084" i="59"/>
  <c r="BN1084" i="59"/>
  <c r="AK1085" i="59"/>
  <c r="AL1085" i="59"/>
  <c r="AM1085" i="59"/>
  <c r="AN1085" i="59"/>
  <c r="AO1085" i="59"/>
  <c r="AP1085" i="59"/>
  <c r="AQ1085" i="59"/>
  <c r="AR1085" i="59"/>
  <c r="AS1085" i="59"/>
  <c r="AT1085" i="59"/>
  <c r="AU1085" i="59"/>
  <c r="AV1085" i="59"/>
  <c r="AW1085" i="59"/>
  <c r="AX1085" i="59"/>
  <c r="AY1085" i="59"/>
  <c r="AZ1085" i="59"/>
  <c r="BA1085" i="59"/>
  <c r="BB1085" i="59"/>
  <c r="BC1085" i="59"/>
  <c r="BD1085" i="59"/>
  <c r="BE1085" i="59"/>
  <c r="BF1085" i="59"/>
  <c r="BG1085" i="59"/>
  <c r="BH1085" i="59"/>
  <c r="BI1085" i="59"/>
  <c r="BJ1085" i="59"/>
  <c r="BK1085" i="59"/>
  <c r="BL1085" i="59"/>
  <c r="BM1085" i="59"/>
  <c r="BN1085" i="59"/>
  <c r="AK1086" i="59"/>
  <c r="AL1086" i="59"/>
  <c r="AM1086" i="59"/>
  <c r="AN1086" i="59"/>
  <c r="AO1086" i="59"/>
  <c r="AP1086" i="59"/>
  <c r="AQ1086" i="59"/>
  <c r="AR1086" i="59"/>
  <c r="AS1086" i="59"/>
  <c r="AT1086" i="59"/>
  <c r="AU1086" i="59"/>
  <c r="AV1086" i="59"/>
  <c r="AW1086" i="59"/>
  <c r="AX1086" i="59"/>
  <c r="AY1086" i="59"/>
  <c r="AZ1086" i="59"/>
  <c r="BA1086" i="59"/>
  <c r="BB1086" i="59"/>
  <c r="BC1086" i="59"/>
  <c r="BD1086" i="59"/>
  <c r="BE1086" i="59"/>
  <c r="BF1086" i="59"/>
  <c r="BG1086" i="59"/>
  <c r="BH1086" i="59"/>
  <c r="BI1086" i="59"/>
  <c r="BJ1086" i="59"/>
  <c r="BK1086" i="59"/>
  <c r="BL1086" i="59"/>
  <c r="BM1086" i="59"/>
  <c r="BN1086" i="59"/>
  <c r="AK1087" i="59"/>
  <c r="AL1087" i="59"/>
  <c r="AM1087" i="59"/>
  <c r="AN1087" i="59"/>
  <c r="AO1087" i="59"/>
  <c r="AP1087" i="59"/>
  <c r="AQ1087" i="59"/>
  <c r="AR1087" i="59"/>
  <c r="AS1087" i="59"/>
  <c r="AT1087" i="59"/>
  <c r="AU1087" i="59"/>
  <c r="AV1087" i="59"/>
  <c r="AW1087" i="59"/>
  <c r="AX1087" i="59"/>
  <c r="AY1087" i="59"/>
  <c r="AZ1087" i="59"/>
  <c r="BA1087" i="59"/>
  <c r="BB1087" i="59"/>
  <c r="BC1087" i="59"/>
  <c r="BD1087" i="59"/>
  <c r="BE1087" i="59"/>
  <c r="BF1087" i="59"/>
  <c r="BG1087" i="59"/>
  <c r="BH1087" i="59"/>
  <c r="BI1087" i="59"/>
  <c r="BJ1087" i="59"/>
  <c r="BK1087" i="59"/>
  <c r="BL1087" i="59"/>
  <c r="BM1087" i="59"/>
  <c r="BN1087" i="59"/>
  <c r="BN1080" i="59"/>
  <c r="BM1080" i="59"/>
  <c r="BH1080" i="59"/>
  <c r="BF1080" i="59"/>
  <c r="BE1080" i="59"/>
  <c r="BL1080" i="59"/>
  <c r="BI1080" i="59"/>
  <c r="BJ1080" i="59"/>
  <c r="BK1080" i="59"/>
  <c r="BG1080" i="59"/>
  <c r="BC1080" i="59"/>
  <c r="BD1080" i="59"/>
  <c r="AZ1080" i="59"/>
  <c r="BA1080" i="59"/>
  <c r="BB1080" i="59"/>
  <c r="AY1080" i="59"/>
  <c r="AX1080" i="59"/>
  <c r="AW1080" i="59"/>
  <c r="AV1080" i="59"/>
  <c r="AT1080" i="59"/>
  <c r="AU1080" i="59"/>
  <c r="AS1080" i="59"/>
  <c r="AQ1080" i="59"/>
  <c r="AR1080" i="59"/>
  <c r="AN1080" i="59"/>
  <c r="AO1080" i="59"/>
  <c r="AP1080" i="59"/>
  <c r="AM1080" i="59"/>
  <c r="AL1080" i="59"/>
  <c r="AK1080" i="59"/>
  <c r="AH1087" i="59"/>
  <c r="AG1081" i="59"/>
  <c r="AH1081" i="59"/>
  <c r="AI1081" i="59"/>
  <c r="AG1082" i="59"/>
  <c r="AH1082" i="59"/>
  <c r="AI1082" i="59"/>
  <c r="AG1083" i="59"/>
  <c r="AH1083" i="59"/>
  <c r="AI1083" i="59"/>
  <c r="AG1084" i="59"/>
  <c r="AH1084" i="59"/>
  <c r="AI1084" i="59"/>
  <c r="AG1085" i="59"/>
  <c r="AH1085" i="59"/>
  <c r="AI1085" i="59"/>
  <c r="AG1086" i="59"/>
  <c r="AH1086" i="59"/>
  <c r="AI1086" i="59"/>
  <c r="AG1087" i="59"/>
  <c r="AI1087" i="59"/>
  <c r="AI1080" i="59"/>
  <c r="AH1080" i="59"/>
  <c r="AG1080" i="59"/>
  <c r="AO1077" i="59"/>
  <c r="AM1077" i="59"/>
  <c r="AM1076" i="59"/>
  <c r="AK1074" i="59"/>
  <c r="AM1074" i="59"/>
  <c r="AN1074" i="59"/>
  <c r="AP1074" i="59"/>
  <c r="AQ1074" i="59"/>
  <c r="AS1074" i="59"/>
  <c r="AT1074" i="59"/>
  <c r="AV1074" i="59"/>
  <c r="AW1074" i="59"/>
  <c r="AY1074" i="59"/>
  <c r="AZ1074" i="59"/>
  <c r="BB1074" i="59"/>
  <c r="BC1074" i="59"/>
  <c r="BE1074" i="59"/>
  <c r="BF1074" i="59"/>
  <c r="BH1074" i="59"/>
  <c r="BI1074" i="59"/>
  <c r="BL1074" i="59"/>
  <c r="BN1074" i="59"/>
  <c r="AJ1074" i="59"/>
  <c r="AH1074" i="59"/>
  <c r="AH1067" i="59"/>
  <c r="AI1067" i="59"/>
  <c r="AJ1067" i="59"/>
  <c r="AK1067" i="59"/>
  <c r="AL1067" i="59"/>
  <c r="AM1067" i="59"/>
  <c r="AN1067" i="59"/>
  <c r="AO1067" i="59"/>
  <c r="AP1067" i="59"/>
  <c r="AQ1067" i="59"/>
  <c r="AR1067" i="59"/>
  <c r="AS1067" i="59"/>
  <c r="AT1067" i="59"/>
  <c r="AU1067" i="59"/>
  <c r="AV1067" i="59"/>
  <c r="AW1067" i="59"/>
  <c r="AX1067" i="59"/>
  <c r="AY1067" i="59"/>
  <c r="AZ1067" i="59"/>
  <c r="BA1067" i="59"/>
  <c r="BB1067" i="59"/>
  <c r="BC1067" i="59"/>
  <c r="BD1067" i="59"/>
  <c r="BE1067" i="59"/>
  <c r="BF1067" i="59"/>
  <c r="BG1067" i="59"/>
  <c r="BH1067" i="59"/>
  <c r="BI1067" i="59"/>
  <c r="BJ1067" i="59"/>
  <c r="BK1067" i="59"/>
  <c r="BL1067" i="59"/>
  <c r="BM1067" i="59"/>
  <c r="BN1067" i="59"/>
  <c r="AH1068" i="59"/>
  <c r="AI1068" i="59"/>
  <c r="AJ1068" i="59"/>
  <c r="AK1068" i="59"/>
  <c r="AL1068" i="59"/>
  <c r="AM1068" i="59"/>
  <c r="AN1068" i="59"/>
  <c r="AO1068" i="59"/>
  <c r="AP1068" i="59"/>
  <c r="AQ1068" i="59"/>
  <c r="AR1068" i="59"/>
  <c r="AS1068" i="59"/>
  <c r="AT1068" i="59"/>
  <c r="AU1068" i="59"/>
  <c r="AV1068" i="59"/>
  <c r="AW1068" i="59"/>
  <c r="AX1068" i="59"/>
  <c r="AY1068" i="59"/>
  <c r="AZ1068" i="59"/>
  <c r="BA1068" i="59"/>
  <c r="BB1068" i="59"/>
  <c r="BC1068" i="59"/>
  <c r="BD1068" i="59"/>
  <c r="BE1068" i="59"/>
  <c r="BF1068" i="59"/>
  <c r="BG1068" i="59"/>
  <c r="BH1068" i="59"/>
  <c r="BI1068" i="59"/>
  <c r="BJ1068" i="59"/>
  <c r="BK1068" i="59"/>
  <c r="BL1068" i="59"/>
  <c r="BM1068" i="59"/>
  <c r="BN1068" i="59"/>
  <c r="AH1069" i="59"/>
  <c r="AI1069" i="59"/>
  <c r="AJ1069" i="59"/>
  <c r="AK1069" i="59"/>
  <c r="AL1069" i="59"/>
  <c r="AM1069" i="59"/>
  <c r="AN1069" i="59"/>
  <c r="AO1069" i="59"/>
  <c r="AP1069" i="59"/>
  <c r="AQ1069" i="59"/>
  <c r="AR1069" i="59"/>
  <c r="AS1069" i="59"/>
  <c r="AT1069" i="59"/>
  <c r="AU1069" i="59"/>
  <c r="AV1069" i="59"/>
  <c r="AW1069" i="59"/>
  <c r="AX1069" i="59"/>
  <c r="AY1069" i="59"/>
  <c r="AZ1069" i="59"/>
  <c r="BA1069" i="59"/>
  <c r="BB1069" i="59"/>
  <c r="BC1069" i="59"/>
  <c r="BD1069" i="59"/>
  <c r="BE1069" i="59"/>
  <c r="BF1069" i="59"/>
  <c r="BG1069" i="59"/>
  <c r="BH1069" i="59"/>
  <c r="BI1069" i="59"/>
  <c r="BJ1069" i="59"/>
  <c r="BK1069" i="59"/>
  <c r="BL1069" i="59"/>
  <c r="BM1069" i="59"/>
  <c r="BN1069" i="59"/>
  <c r="AH1070" i="59"/>
  <c r="AI1070" i="59"/>
  <c r="AJ1070" i="59"/>
  <c r="AK1070" i="59"/>
  <c r="AL1070" i="59"/>
  <c r="AM1070" i="59"/>
  <c r="AN1070" i="59"/>
  <c r="AO1070" i="59"/>
  <c r="AP1070" i="59"/>
  <c r="AQ1070" i="59"/>
  <c r="AR1070" i="59"/>
  <c r="AS1070" i="59"/>
  <c r="AT1070" i="59"/>
  <c r="AU1070" i="59"/>
  <c r="AV1070" i="59"/>
  <c r="AW1070" i="59"/>
  <c r="AX1070" i="59"/>
  <c r="AY1070" i="59"/>
  <c r="AZ1070" i="59"/>
  <c r="BA1070" i="59"/>
  <c r="BB1070" i="59"/>
  <c r="BC1070" i="59"/>
  <c r="BD1070" i="59"/>
  <c r="BE1070" i="59"/>
  <c r="BF1070" i="59"/>
  <c r="BG1070" i="59"/>
  <c r="BH1070" i="59"/>
  <c r="BI1070" i="59"/>
  <c r="BJ1070" i="59"/>
  <c r="BK1070" i="59"/>
  <c r="BK1074" i="59" s="1"/>
  <c r="AK1076" i="59" s="1"/>
  <c r="BL1070" i="59"/>
  <c r="BM1070" i="59"/>
  <c r="BN1070" i="59"/>
  <c r="AH1071" i="59"/>
  <c r="AI1071" i="59"/>
  <c r="AJ1071" i="59"/>
  <c r="AK1071" i="59"/>
  <c r="AL1071" i="59"/>
  <c r="AM1071" i="59"/>
  <c r="AN1071" i="59"/>
  <c r="AO1071" i="59"/>
  <c r="AP1071" i="59"/>
  <c r="AQ1071" i="59"/>
  <c r="AR1071" i="59"/>
  <c r="AS1071" i="59"/>
  <c r="AT1071" i="59"/>
  <c r="AU1071" i="59"/>
  <c r="AV1071" i="59"/>
  <c r="AW1071" i="59"/>
  <c r="AX1071" i="59"/>
  <c r="AY1071" i="59"/>
  <c r="AZ1071" i="59"/>
  <c r="BA1071" i="59"/>
  <c r="BB1071" i="59"/>
  <c r="BC1071" i="59"/>
  <c r="BD1071" i="59"/>
  <c r="BE1071" i="59"/>
  <c r="BF1071" i="59"/>
  <c r="BG1071" i="59"/>
  <c r="BH1071" i="59"/>
  <c r="BI1071" i="59"/>
  <c r="BJ1071" i="59"/>
  <c r="BK1071" i="59"/>
  <c r="BL1071" i="59"/>
  <c r="BM1071" i="59"/>
  <c r="BN1071" i="59"/>
  <c r="AH1072" i="59"/>
  <c r="AI1072" i="59"/>
  <c r="AJ1072" i="59"/>
  <c r="AK1072" i="59"/>
  <c r="AL1072" i="59"/>
  <c r="AM1072" i="59"/>
  <c r="AN1072" i="59"/>
  <c r="AO1072" i="59"/>
  <c r="AP1072" i="59"/>
  <c r="AQ1072" i="59"/>
  <c r="AR1072" i="59"/>
  <c r="AS1072" i="59"/>
  <c r="AT1072" i="59"/>
  <c r="AU1072" i="59"/>
  <c r="AV1072" i="59"/>
  <c r="AW1072" i="59"/>
  <c r="AX1072" i="59"/>
  <c r="AY1072" i="59"/>
  <c r="AZ1072" i="59"/>
  <c r="BA1072" i="59"/>
  <c r="BB1072" i="59"/>
  <c r="BC1072" i="59"/>
  <c r="BD1072" i="59"/>
  <c r="BE1072" i="59"/>
  <c r="BF1072" i="59"/>
  <c r="BG1072" i="59"/>
  <c r="BH1072" i="59"/>
  <c r="BI1072" i="59"/>
  <c r="BJ1072" i="59"/>
  <c r="BK1072" i="59"/>
  <c r="BL1072" i="59"/>
  <c r="BM1072" i="59"/>
  <c r="BN1072" i="59"/>
  <c r="AH1073" i="59"/>
  <c r="AI1073" i="59"/>
  <c r="AJ1073" i="59"/>
  <c r="AK1073" i="59"/>
  <c r="AL1073" i="59"/>
  <c r="AM1073" i="59"/>
  <c r="AN1073" i="59"/>
  <c r="AO1073" i="59"/>
  <c r="AP1073" i="59"/>
  <c r="AQ1073" i="59"/>
  <c r="AR1073" i="59"/>
  <c r="AS1073" i="59"/>
  <c r="AT1073" i="59"/>
  <c r="AU1073" i="59"/>
  <c r="AV1073" i="59"/>
  <c r="AW1073" i="59"/>
  <c r="AX1073" i="59"/>
  <c r="AY1073" i="59"/>
  <c r="AZ1073" i="59"/>
  <c r="BA1073" i="59"/>
  <c r="BB1073" i="59"/>
  <c r="BC1073" i="59"/>
  <c r="BD1073" i="59"/>
  <c r="BE1073" i="59"/>
  <c r="BF1073" i="59"/>
  <c r="BG1073" i="59"/>
  <c r="BH1073" i="59"/>
  <c r="BI1073" i="59"/>
  <c r="BJ1073" i="59"/>
  <c r="BK1073" i="59"/>
  <c r="BL1073" i="59"/>
  <c r="BM1073" i="59"/>
  <c r="BN1073" i="59"/>
  <c r="BN1066" i="59"/>
  <c r="BL1066" i="59"/>
  <c r="BM1066" i="59"/>
  <c r="BI1066" i="59"/>
  <c r="BJ1066" i="59"/>
  <c r="BK1066" i="59"/>
  <c r="BF1066" i="59"/>
  <c r="BG1066" i="59"/>
  <c r="BH1066" i="59"/>
  <c r="BC1066" i="59"/>
  <c r="BD1066" i="59"/>
  <c r="BE1066" i="59"/>
  <c r="AZ1066" i="59"/>
  <c r="BA1066" i="59"/>
  <c r="BB1066" i="59"/>
  <c r="AY1066" i="59"/>
  <c r="AX1066" i="59"/>
  <c r="AW1066" i="59"/>
  <c r="AV1066" i="59"/>
  <c r="AP1066" i="59"/>
  <c r="AI1066" i="59"/>
  <c r="AH1066" i="59"/>
  <c r="AU1066" i="59"/>
  <c r="AT1066" i="59"/>
  <c r="AS1066" i="59"/>
  <c r="AR1066" i="59"/>
  <c r="AQ1066" i="59"/>
  <c r="AO1066" i="59"/>
  <c r="AN1066" i="59"/>
  <c r="AM1066" i="59"/>
  <c r="AL1066" i="59"/>
  <c r="AK1066" i="59"/>
  <c r="AJ1066" i="59"/>
  <c r="B1051" i="59"/>
  <c r="AO1017" i="59"/>
  <c r="AM1017" i="59"/>
  <c r="AM1016" i="59"/>
  <c r="CX1006" i="59"/>
  <c r="CX1014" i="59" s="1"/>
  <c r="AK1014" i="59"/>
  <c r="AM1014" i="59"/>
  <c r="AN1014" i="59"/>
  <c r="AP1014" i="59"/>
  <c r="AQ1014" i="59"/>
  <c r="AS1014" i="59"/>
  <c r="AT1014" i="59"/>
  <c r="AV1014" i="59"/>
  <c r="AW1014" i="59"/>
  <c r="AY1014" i="59"/>
  <c r="AZ1014" i="59"/>
  <c r="BB1014" i="59"/>
  <c r="BC1014" i="59"/>
  <c r="BE1014" i="59"/>
  <c r="BF1014" i="59"/>
  <c r="BH1014" i="59"/>
  <c r="BI1014" i="59"/>
  <c r="BK1014" i="59"/>
  <c r="BL1014" i="59"/>
  <c r="BN1014" i="59"/>
  <c r="BO1014" i="59"/>
  <c r="BQ1014" i="59"/>
  <c r="BR1014" i="59"/>
  <c r="BT1014" i="59"/>
  <c r="BU1014" i="59"/>
  <c r="BW1014" i="59"/>
  <c r="BX1014" i="59"/>
  <c r="BZ1014" i="59"/>
  <c r="CA1014" i="59"/>
  <c r="CC1014" i="59"/>
  <c r="CD1014" i="59"/>
  <c r="CF1014" i="59"/>
  <c r="CG1014" i="59"/>
  <c r="CI1014" i="59"/>
  <c r="CJ1014" i="59"/>
  <c r="CL1014" i="59"/>
  <c r="CM1014" i="59"/>
  <c r="CO1014" i="59"/>
  <c r="CP1014" i="59"/>
  <c r="CR1014" i="59"/>
  <c r="CS1014" i="59"/>
  <c r="CU1014" i="59"/>
  <c r="CV1014" i="59"/>
  <c r="AH1014" i="59"/>
  <c r="AH1007" i="59"/>
  <c r="AI1007" i="59"/>
  <c r="AJ1007" i="59"/>
  <c r="AK1007" i="59"/>
  <c r="AL1007" i="59"/>
  <c r="AM1007" i="59"/>
  <c r="AN1007" i="59"/>
  <c r="AO1007" i="59"/>
  <c r="AP1007" i="59"/>
  <c r="AQ1007" i="59"/>
  <c r="AR1007" i="59"/>
  <c r="AS1007" i="59"/>
  <c r="AT1007" i="59"/>
  <c r="AU1007" i="59"/>
  <c r="AV1007" i="59"/>
  <c r="AW1007" i="59"/>
  <c r="AX1007" i="59"/>
  <c r="AY1007" i="59"/>
  <c r="AZ1007" i="59"/>
  <c r="BA1007" i="59"/>
  <c r="BB1007" i="59"/>
  <c r="BC1007" i="59"/>
  <c r="BD1007" i="59"/>
  <c r="BE1007" i="59"/>
  <c r="BF1007" i="59"/>
  <c r="BG1007" i="59"/>
  <c r="BH1007" i="59"/>
  <c r="BI1007" i="59"/>
  <c r="BJ1007" i="59"/>
  <c r="BK1007" i="59"/>
  <c r="BL1007" i="59"/>
  <c r="BM1007" i="59"/>
  <c r="BN1007" i="59"/>
  <c r="BO1007" i="59"/>
  <c r="BP1007" i="59"/>
  <c r="BQ1007" i="59"/>
  <c r="BR1007" i="59"/>
  <c r="BS1007" i="59"/>
  <c r="BT1007" i="59"/>
  <c r="BU1007" i="59"/>
  <c r="BV1007" i="59"/>
  <c r="BW1007" i="59"/>
  <c r="BX1007" i="59"/>
  <c r="BY1007" i="59"/>
  <c r="BZ1007" i="59"/>
  <c r="CA1007" i="59"/>
  <c r="CB1007" i="59"/>
  <c r="CC1007" i="59"/>
  <c r="CD1007" i="59"/>
  <c r="CE1007" i="59"/>
  <c r="CF1007" i="59"/>
  <c r="CG1007" i="59"/>
  <c r="CH1007" i="59"/>
  <c r="CI1007" i="59"/>
  <c r="CJ1007" i="59"/>
  <c r="CK1007" i="59"/>
  <c r="CL1007" i="59"/>
  <c r="CM1007" i="59"/>
  <c r="CN1007" i="59"/>
  <c r="CO1007" i="59"/>
  <c r="CP1007" i="59"/>
  <c r="CQ1007" i="59"/>
  <c r="CR1007" i="59"/>
  <c r="CS1007" i="59"/>
  <c r="CT1007" i="59"/>
  <c r="CU1007" i="59"/>
  <c r="CV1007" i="59"/>
  <c r="CW1007" i="59"/>
  <c r="CX1007" i="59"/>
  <c r="AH1008" i="59"/>
  <c r="AI1008" i="59"/>
  <c r="AJ1008" i="59"/>
  <c r="AK1008" i="59"/>
  <c r="AL1008" i="59"/>
  <c r="AM1008" i="59"/>
  <c r="AN1008" i="59"/>
  <c r="AO1008" i="59"/>
  <c r="AP1008" i="59"/>
  <c r="AQ1008" i="59"/>
  <c r="AR1008" i="59"/>
  <c r="AS1008" i="59"/>
  <c r="AT1008" i="59"/>
  <c r="AU1008" i="59"/>
  <c r="AV1008" i="59"/>
  <c r="AW1008" i="59"/>
  <c r="AX1008" i="59"/>
  <c r="AY1008" i="59"/>
  <c r="AZ1008" i="59"/>
  <c r="BA1008" i="59"/>
  <c r="BB1008" i="59"/>
  <c r="BC1008" i="59"/>
  <c r="BD1008" i="59"/>
  <c r="BE1008" i="59"/>
  <c r="BF1008" i="59"/>
  <c r="BG1008" i="59"/>
  <c r="BH1008" i="59"/>
  <c r="BI1008" i="59"/>
  <c r="BJ1008" i="59"/>
  <c r="BK1008" i="59"/>
  <c r="BL1008" i="59"/>
  <c r="BM1008" i="59"/>
  <c r="BN1008" i="59"/>
  <c r="BO1008" i="59"/>
  <c r="BP1008" i="59"/>
  <c r="BQ1008" i="59"/>
  <c r="BR1008" i="59"/>
  <c r="BS1008" i="59"/>
  <c r="BT1008" i="59"/>
  <c r="BU1008" i="59"/>
  <c r="BV1008" i="59"/>
  <c r="BW1008" i="59"/>
  <c r="BX1008" i="59"/>
  <c r="BY1008" i="59"/>
  <c r="BZ1008" i="59"/>
  <c r="CA1008" i="59"/>
  <c r="CB1008" i="59"/>
  <c r="CC1008" i="59"/>
  <c r="CD1008" i="59"/>
  <c r="CE1008" i="59"/>
  <c r="CF1008" i="59"/>
  <c r="CG1008" i="59"/>
  <c r="CH1008" i="59"/>
  <c r="CI1008" i="59"/>
  <c r="CJ1008" i="59"/>
  <c r="CK1008" i="59"/>
  <c r="CL1008" i="59"/>
  <c r="CM1008" i="59"/>
  <c r="CN1008" i="59"/>
  <c r="CO1008" i="59"/>
  <c r="CP1008" i="59"/>
  <c r="CQ1008" i="59"/>
  <c r="CR1008" i="59"/>
  <c r="CS1008" i="59"/>
  <c r="CT1008" i="59"/>
  <c r="CU1008" i="59"/>
  <c r="CV1008" i="59"/>
  <c r="CW1008" i="59"/>
  <c r="CX1008" i="59"/>
  <c r="AH1009" i="59"/>
  <c r="AI1009" i="59"/>
  <c r="AJ1009" i="59"/>
  <c r="AK1009" i="59"/>
  <c r="AL1009" i="59"/>
  <c r="AM1009" i="59"/>
  <c r="AN1009" i="59"/>
  <c r="AO1009" i="59"/>
  <c r="AP1009" i="59"/>
  <c r="AQ1009" i="59"/>
  <c r="AR1009" i="59"/>
  <c r="AS1009" i="59"/>
  <c r="AT1009" i="59"/>
  <c r="AU1009" i="59"/>
  <c r="AV1009" i="59"/>
  <c r="AW1009" i="59"/>
  <c r="AX1009" i="59"/>
  <c r="AY1009" i="59"/>
  <c r="AZ1009" i="59"/>
  <c r="BA1009" i="59"/>
  <c r="BB1009" i="59"/>
  <c r="BC1009" i="59"/>
  <c r="BD1009" i="59"/>
  <c r="BE1009" i="59"/>
  <c r="BF1009" i="59"/>
  <c r="BG1009" i="59"/>
  <c r="BH1009" i="59"/>
  <c r="BI1009" i="59"/>
  <c r="BJ1009" i="59"/>
  <c r="BK1009" i="59"/>
  <c r="BL1009" i="59"/>
  <c r="BM1009" i="59"/>
  <c r="BN1009" i="59"/>
  <c r="BO1009" i="59"/>
  <c r="BP1009" i="59"/>
  <c r="BQ1009" i="59"/>
  <c r="BR1009" i="59"/>
  <c r="BS1009" i="59"/>
  <c r="BT1009" i="59"/>
  <c r="BU1009" i="59"/>
  <c r="BV1009" i="59"/>
  <c r="BW1009" i="59"/>
  <c r="BX1009" i="59"/>
  <c r="BY1009" i="59"/>
  <c r="BZ1009" i="59"/>
  <c r="CA1009" i="59"/>
  <c r="CB1009" i="59"/>
  <c r="CC1009" i="59"/>
  <c r="CD1009" i="59"/>
  <c r="CE1009" i="59"/>
  <c r="CF1009" i="59"/>
  <c r="CG1009" i="59"/>
  <c r="CH1009" i="59"/>
  <c r="CI1009" i="59"/>
  <c r="CJ1009" i="59"/>
  <c r="CK1009" i="59"/>
  <c r="CL1009" i="59"/>
  <c r="CM1009" i="59"/>
  <c r="CN1009" i="59"/>
  <c r="CO1009" i="59"/>
  <c r="CP1009" i="59"/>
  <c r="CQ1009" i="59"/>
  <c r="CR1009" i="59"/>
  <c r="CS1009" i="59"/>
  <c r="CT1009" i="59"/>
  <c r="CU1009" i="59"/>
  <c r="CV1009" i="59"/>
  <c r="CW1009" i="59"/>
  <c r="CX1009" i="59"/>
  <c r="AH1010" i="59"/>
  <c r="AI1010" i="59"/>
  <c r="AJ1010" i="59"/>
  <c r="AK1010" i="59"/>
  <c r="AL1010" i="59"/>
  <c r="AM1010" i="59"/>
  <c r="AN1010" i="59"/>
  <c r="AO1010" i="59"/>
  <c r="AP1010" i="59"/>
  <c r="AQ1010" i="59"/>
  <c r="AR1010" i="59"/>
  <c r="AS1010" i="59"/>
  <c r="AT1010" i="59"/>
  <c r="AU1010" i="59"/>
  <c r="AV1010" i="59"/>
  <c r="AW1010" i="59"/>
  <c r="AX1010" i="59"/>
  <c r="AY1010" i="59"/>
  <c r="AZ1010" i="59"/>
  <c r="BA1010" i="59"/>
  <c r="BB1010" i="59"/>
  <c r="BC1010" i="59"/>
  <c r="BD1010" i="59"/>
  <c r="BE1010" i="59"/>
  <c r="BF1010" i="59"/>
  <c r="BG1010" i="59"/>
  <c r="BH1010" i="59"/>
  <c r="BI1010" i="59"/>
  <c r="BJ1010" i="59"/>
  <c r="BK1010" i="59"/>
  <c r="BL1010" i="59"/>
  <c r="BM1010" i="59"/>
  <c r="BN1010" i="59"/>
  <c r="BO1010" i="59"/>
  <c r="BP1010" i="59"/>
  <c r="BQ1010" i="59"/>
  <c r="BR1010" i="59"/>
  <c r="BS1010" i="59"/>
  <c r="BT1010" i="59"/>
  <c r="BU1010" i="59"/>
  <c r="BV1010" i="59"/>
  <c r="BW1010" i="59"/>
  <c r="BX1010" i="59"/>
  <c r="BY1010" i="59"/>
  <c r="BZ1010" i="59"/>
  <c r="CA1010" i="59"/>
  <c r="CB1010" i="59"/>
  <c r="CC1010" i="59"/>
  <c r="CD1010" i="59"/>
  <c r="CE1010" i="59"/>
  <c r="CF1010" i="59"/>
  <c r="CG1010" i="59"/>
  <c r="CH1010" i="59"/>
  <c r="CI1010" i="59"/>
  <c r="CJ1010" i="59"/>
  <c r="CK1010" i="59"/>
  <c r="CL1010" i="59"/>
  <c r="CM1010" i="59"/>
  <c r="CN1010" i="59"/>
  <c r="CO1010" i="59"/>
  <c r="CP1010" i="59"/>
  <c r="CQ1010" i="59"/>
  <c r="CR1010" i="59"/>
  <c r="CS1010" i="59"/>
  <c r="CT1010" i="59"/>
  <c r="CU1010" i="59"/>
  <c r="CV1010" i="59"/>
  <c r="CW1010" i="59"/>
  <c r="CX1010" i="59"/>
  <c r="AH1011" i="59"/>
  <c r="AI1011" i="59"/>
  <c r="AJ1011" i="59"/>
  <c r="AK1011" i="59"/>
  <c r="AL1011" i="59"/>
  <c r="AM1011" i="59"/>
  <c r="AN1011" i="59"/>
  <c r="AO1011" i="59"/>
  <c r="AP1011" i="59"/>
  <c r="AQ1011" i="59"/>
  <c r="AR1011" i="59"/>
  <c r="AS1011" i="59"/>
  <c r="AT1011" i="59"/>
  <c r="AU1011" i="59"/>
  <c r="AV1011" i="59"/>
  <c r="AW1011" i="59"/>
  <c r="AX1011" i="59"/>
  <c r="AY1011" i="59"/>
  <c r="AZ1011" i="59"/>
  <c r="BA1011" i="59"/>
  <c r="BB1011" i="59"/>
  <c r="BC1011" i="59"/>
  <c r="BD1011" i="59"/>
  <c r="BE1011" i="59"/>
  <c r="BF1011" i="59"/>
  <c r="BG1011" i="59"/>
  <c r="BH1011" i="59"/>
  <c r="BI1011" i="59"/>
  <c r="BJ1011" i="59"/>
  <c r="BK1011" i="59"/>
  <c r="BL1011" i="59"/>
  <c r="BM1011" i="59"/>
  <c r="BN1011" i="59"/>
  <c r="BO1011" i="59"/>
  <c r="BP1011" i="59"/>
  <c r="BQ1011" i="59"/>
  <c r="BR1011" i="59"/>
  <c r="BS1011" i="59"/>
  <c r="BT1011" i="59"/>
  <c r="BU1011" i="59"/>
  <c r="BV1011" i="59"/>
  <c r="BW1011" i="59"/>
  <c r="BX1011" i="59"/>
  <c r="BY1011" i="59"/>
  <c r="BZ1011" i="59"/>
  <c r="CA1011" i="59"/>
  <c r="CB1011" i="59"/>
  <c r="CC1011" i="59"/>
  <c r="CD1011" i="59"/>
  <c r="CE1011" i="59"/>
  <c r="CF1011" i="59"/>
  <c r="CG1011" i="59"/>
  <c r="CH1011" i="59"/>
  <c r="CI1011" i="59"/>
  <c r="CJ1011" i="59"/>
  <c r="CK1011" i="59"/>
  <c r="CL1011" i="59"/>
  <c r="CM1011" i="59"/>
  <c r="CN1011" i="59"/>
  <c r="CO1011" i="59"/>
  <c r="CP1011" i="59"/>
  <c r="CQ1011" i="59"/>
  <c r="CR1011" i="59"/>
  <c r="CS1011" i="59"/>
  <c r="CT1011" i="59"/>
  <c r="CU1011" i="59"/>
  <c r="CV1011" i="59"/>
  <c r="CW1011" i="59"/>
  <c r="CX1011" i="59"/>
  <c r="AH1012" i="59"/>
  <c r="AI1012" i="59"/>
  <c r="AJ1012" i="59"/>
  <c r="AK1012" i="59"/>
  <c r="AL1012" i="59"/>
  <c r="AM1012" i="59"/>
  <c r="AN1012" i="59"/>
  <c r="AO1012" i="59"/>
  <c r="AP1012" i="59"/>
  <c r="AQ1012" i="59"/>
  <c r="AR1012" i="59"/>
  <c r="AS1012" i="59"/>
  <c r="AT1012" i="59"/>
  <c r="AU1012" i="59"/>
  <c r="AV1012" i="59"/>
  <c r="AW1012" i="59"/>
  <c r="AX1012" i="59"/>
  <c r="AY1012" i="59"/>
  <c r="AZ1012" i="59"/>
  <c r="BA1012" i="59"/>
  <c r="BB1012" i="59"/>
  <c r="BC1012" i="59"/>
  <c r="BD1012" i="59"/>
  <c r="BE1012" i="59"/>
  <c r="BF1012" i="59"/>
  <c r="BG1012" i="59"/>
  <c r="BH1012" i="59"/>
  <c r="BI1012" i="59"/>
  <c r="BJ1012" i="59"/>
  <c r="BK1012" i="59"/>
  <c r="BL1012" i="59"/>
  <c r="BM1012" i="59"/>
  <c r="BN1012" i="59"/>
  <c r="BO1012" i="59"/>
  <c r="BP1012" i="59"/>
  <c r="BQ1012" i="59"/>
  <c r="BR1012" i="59"/>
  <c r="BS1012" i="59"/>
  <c r="BT1012" i="59"/>
  <c r="BU1012" i="59"/>
  <c r="BV1012" i="59"/>
  <c r="BW1012" i="59"/>
  <c r="BX1012" i="59"/>
  <c r="BY1012" i="59"/>
  <c r="BZ1012" i="59"/>
  <c r="CA1012" i="59"/>
  <c r="CB1012" i="59"/>
  <c r="CC1012" i="59"/>
  <c r="CD1012" i="59"/>
  <c r="CE1012" i="59"/>
  <c r="CF1012" i="59"/>
  <c r="CG1012" i="59"/>
  <c r="CH1012" i="59"/>
  <c r="CI1012" i="59"/>
  <c r="CJ1012" i="59"/>
  <c r="CK1012" i="59"/>
  <c r="CL1012" i="59"/>
  <c r="CM1012" i="59"/>
  <c r="CN1012" i="59"/>
  <c r="CO1012" i="59"/>
  <c r="CP1012" i="59"/>
  <c r="CQ1012" i="59"/>
  <c r="CR1012" i="59"/>
  <c r="CS1012" i="59"/>
  <c r="CT1012" i="59"/>
  <c r="CU1012" i="59"/>
  <c r="CV1012" i="59"/>
  <c r="CW1012" i="59"/>
  <c r="CX1012" i="59"/>
  <c r="AH1013" i="59"/>
  <c r="AI1013" i="59"/>
  <c r="AJ1013" i="59"/>
  <c r="AK1013" i="59"/>
  <c r="AL1013" i="59"/>
  <c r="AM1013" i="59"/>
  <c r="AN1013" i="59"/>
  <c r="AO1013" i="59"/>
  <c r="AP1013" i="59"/>
  <c r="AQ1013" i="59"/>
  <c r="AR1013" i="59"/>
  <c r="AS1013" i="59"/>
  <c r="AT1013" i="59"/>
  <c r="AU1013" i="59"/>
  <c r="AV1013" i="59"/>
  <c r="AW1013" i="59"/>
  <c r="AX1013" i="59"/>
  <c r="AY1013" i="59"/>
  <c r="AZ1013" i="59"/>
  <c r="BA1013" i="59"/>
  <c r="BB1013" i="59"/>
  <c r="BC1013" i="59"/>
  <c r="BD1013" i="59"/>
  <c r="BE1013" i="59"/>
  <c r="BF1013" i="59"/>
  <c r="BG1013" i="59"/>
  <c r="BH1013" i="59"/>
  <c r="BI1013" i="59"/>
  <c r="BJ1013" i="59"/>
  <c r="BK1013" i="59"/>
  <c r="BL1013" i="59"/>
  <c r="BM1013" i="59"/>
  <c r="BN1013" i="59"/>
  <c r="BO1013" i="59"/>
  <c r="BP1013" i="59"/>
  <c r="BQ1013" i="59"/>
  <c r="BR1013" i="59"/>
  <c r="BS1013" i="59"/>
  <c r="BT1013" i="59"/>
  <c r="BU1013" i="59"/>
  <c r="BV1013" i="59"/>
  <c r="BW1013" i="59"/>
  <c r="BX1013" i="59"/>
  <c r="BY1013" i="59"/>
  <c r="BZ1013" i="59"/>
  <c r="CA1013" i="59"/>
  <c r="CB1013" i="59"/>
  <c r="CC1013" i="59"/>
  <c r="CD1013" i="59"/>
  <c r="CE1013" i="59"/>
  <c r="CF1013" i="59"/>
  <c r="CG1013" i="59"/>
  <c r="CH1013" i="59"/>
  <c r="CI1013" i="59"/>
  <c r="CJ1013" i="59"/>
  <c r="CK1013" i="59"/>
  <c r="CL1013" i="59"/>
  <c r="CM1013" i="59"/>
  <c r="CN1013" i="59"/>
  <c r="CO1013" i="59"/>
  <c r="CP1013" i="59"/>
  <c r="CQ1013" i="59"/>
  <c r="CR1013" i="59"/>
  <c r="CS1013" i="59"/>
  <c r="CT1013" i="59"/>
  <c r="CU1013" i="59"/>
  <c r="CV1013" i="59"/>
  <c r="CW1013" i="59"/>
  <c r="CX1013" i="59"/>
  <c r="CV1006" i="59"/>
  <c r="CW1006" i="59"/>
  <c r="CS1006" i="59"/>
  <c r="CT1006" i="59"/>
  <c r="CU1006" i="59"/>
  <c r="CP1006" i="59"/>
  <c r="CQ1006" i="59"/>
  <c r="CR1006" i="59"/>
  <c r="CM1006" i="59"/>
  <c r="CN1006" i="59"/>
  <c r="CO1006" i="59"/>
  <c r="CJ1006" i="59"/>
  <c r="CK1006" i="59"/>
  <c r="CL1006" i="59"/>
  <c r="CG1006" i="59"/>
  <c r="CH1006" i="59"/>
  <c r="CI1006" i="59"/>
  <c r="CD1006" i="59"/>
  <c r="CE1006" i="59"/>
  <c r="CF1006" i="59"/>
  <c r="CA1006" i="59"/>
  <c r="CC1006" i="59"/>
  <c r="CB1006" i="59"/>
  <c r="BZ1006" i="59"/>
  <c r="BX1006" i="59"/>
  <c r="BY1006" i="59"/>
  <c r="BU1006" i="59"/>
  <c r="BV1006" i="59"/>
  <c r="BW1006" i="59"/>
  <c r="BR1006" i="59"/>
  <c r="BS1006" i="59"/>
  <c r="BT1006" i="59"/>
  <c r="BO1006" i="59"/>
  <c r="BP1006" i="59"/>
  <c r="BQ1006" i="59"/>
  <c r="BL1006" i="59"/>
  <c r="BM1006" i="59"/>
  <c r="BN1006" i="59"/>
  <c r="BI1006" i="59"/>
  <c r="BJ1006" i="59"/>
  <c r="BK1006" i="59"/>
  <c r="BF1006" i="59"/>
  <c r="BG1006" i="59"/>
  <c r="BH1006" i="59"/>
  <c r="BE1006" i="59"/>
  <c r="BC1006" i="59"/>
  <c r="BD1006" i="59"/>
  <c r="BB1006" i="59"/>
  <c r="AM1006" i="59"/>
  <c r="AL1006" i="59"/>
  <c r="AK1006" i="59"/>
  <c r="AJ1006" i="59"/>
  <c r="AI1006" i="59"/>
  <c r="AH1006" i="59"/>
  <c r="BA1006" i="59"/>
  <c r="AZ1006" i="59"/>
  <c r="AY1006" i="59"/>
  <c r="AX1006" i="59"/>
  <c r="AW1006" i="59"/>
  <c r="AV1006" i="59"/>
  <c r="AU1006" i="59"/>
  <c r="AT1006" i="59"/>
  <c r="AS1006" i="59"/>
  <c r="AR1006" i="59"/>
  <c r="AQ1006" i="59"/>
  <c r="AP1006" i="59"/>
  <c r="AO1006" i="59"/>
  <c r="AN1006" i="59"/>
  <c r="AH979" i="59"/>
  <c r="AG980" i="59"/>
  <c r="AG979" i="59"/>
  <c r="AG954" i="59"/>
  <c r="AH953" i="59"/>
  <c r="AG953" i="59"/>
  <c r="B942" i="59"/>
  <c r="B941" i="59"/>
  <c r="B940" i="59"/>
  <c r="B939" i="59"/>
  <c r="AP917" i="59"/>
  <c r="AM933" i="59"/>
  <c r="AK933" i="59"/>
  <c r="AJ933" i="59"/>
  <c r="AI933" i="59"/>
  <c r="AH933" i="59"/>
  <c r="AN933" i="59"/>
  <c r="AL933" i="59"/>
  <c r="AP918" i="59"/>
  <c r="AR918" i="59"/>
  <c r="AP919" i="59"/>
  <c r="AR919" i="59"/>
  <c r="AP920" i="59"/>
  <c r="AR920" i="59"/>
  <c r="AP921" i="59"/>
  <c r="AR921" i="59"/>
  <c r="AP922" i="59"/>
  <c r="AR922" i="59"/>
  <c r="AP923" i="59"/>
  <c r="AR923" i="59"/>
  <c r="AP924" i="59"/>
  <c r="AR924" i="59"/>
  <c r="AP925" i="59"/>
  <c r="AR925" i="59"/>
  <c r="AP926" i="59"/>
  <c r="AR926" i="59"/>
  <c r="AP927" i="59"/>
  <c r="AR927" i="59"/>
  <c r="AP928" i="59"/>
  <c r="AR928" i="59"/>
  <c r="AP929" i="59"/>
  <c r="AR929" i="59"/>
  <c r="AP930" i="59"/>
  <c r="AR930" i="59"/>
  <c r="AP931" i="59"/>
  <c r="AR931" i="59"/>
  <c r="AP932" i="59"/>
  <c r="AR932" i="59"/>
  <c r="AG918" i="59"/>
  <c r="AH918" i="59"/>
  <c r="AI918" i="59"/>
  <c r="AJ918" i="59"/>
  <c r="AK918" i="59"/>
  <c r="AL918" i="59"/>
  <c r="AM918" i="59"/>
  <c r="AN918" i="59"/>
  <c r="AG919" i="59"/>
  <c r="AH919" i="59"/>
  <c r="AI919" i="59"/>
  <c r="AJ919" i="59"/>
  <c r="AK919" i="59"/>
  <c r="AL919" i="59"/>
  <c r="AM919" i="59"/>
  <c r="AN919" i="59"/>
  <c r="AG920" i="59"/>
  <c r="AH920" i="59"/>
  <c r="AI920" i="59"/>
  <c r="AJ920" i="59"/>
  <c r="AK920" i="59"/>
  <c r="AL920" i="59"/>
  <c r="AM920" i="59"/>
  <c r="AN920" i="59"/>
  <c r="AG921" i="59"/>
  <c r="AH921" i="59"/>
  <c r="AI921" i="59"/>
  <c r="AJ921" i="59"/>
  <c r="AK921" i="59"/>
  <c r="AL921" i="59"/>
  <c r="AM921" i="59"/>
  <c r="AN921" i="59"/>
  <c r="AG922" i="59"/>
  <c r="AH922" i="59"/>
  <c r="AI922" i="59"/>
  <c r="AJ922" i="59"/>
  <c r="AK922" i="59"/>
  <c r="AL922" i="59"/>
  <c r="AM922" i="59"/>
  <c r="AN922" i="59"/>
  <c r="AG923" i="59"/>
  <c r="AH923" i="59"/>
  <c r="AI923" i="59"/>
  <c r="AJ923" i="59"/>
  <c r="AK923" i="59"/>
  <c r="AL923" i="59"/>
  <c r="AM923" i="59"/>
  <c r="AN923" i="59"/>
  <c r="AG924" i="59"/>
  <c r="AH924" i="59"/>
  <c r="AI924" i="59"/>
  <c r="AJ924" i="59"/>
  <c r="AK924" i="59"/>
  <c r="AL924" i="59"/>
  <c r="AM924" i="59"/>
  <c r="AN924" i="59"/>
  <c r="AG925" i="59"/>
  <c r="AH925" i="59"/>
  <c r="AI925" i="59"/>
  <c r="AJ925" i="59"/>
  <c r="AK925" i="59"/>
  <c r="AL925" i="59"/>
  <c r="AM925" i="59"/>
  <c r="AN925" i="59"/>
  <c r="AG926" i="59"/>
  <c r="AH926" i="59"/>
  <c r="AI926" i="59"/>
  <c r="AJ926" i="59"/>
  <c r="AK926" i="59"/>
  <c r="AL926" i="59"/>
  <c r="AM926" i="59"/>
  <c r="AN926" i="59"/>
  <c r="AG927" i="59"/>
  <c r="AH927" i="59"/>
  <c r="AI927" i="59"/>
  <c r="AJ927" i="59"/>
  <c r="AK927" i="59"/>
  <c r="AL927" i="59"/>
  <c r="AM927" i="59"/>
  <c r="AN927" i="59"/>
  <c r="AG928" i="59"/>
  <c r="AH928" i="59"/>
  <c r="AI928" i="59"/>
  <c r="AJ928" i="59"/>
  <c r="AK928" i="59"/>
  <c r="AL928" i="59"/>
  <c r="AM928" i="59"/>
  <c r="AN928" i="59"/>
  <c r="AG929" i="59"/>
  <c r="AH929" i="59"/>
  <c r="AI929" i="59"/>
  <c r="AJ929" i="59"/>
  <c r="AK929" i="59"/>
  <c r="AL929" i="59"/>
  <c r="AM929" i="59"/>
  <c r="AN929" i="59"/>
  <c r="AG930" i="59"/>
  <c r="AH930" i="59"/>
  <c r="AI930" i="59"/>
  <c r="AJ930" i="59"/>
  <c r="AK930" i="59"/>
  <c r="AL930" i="59"/>
  <c r="AM930" i="59"/>
  <c r="AN930" i="59"/>
  <c r="AG931" i="59"/>
  <c r="AH931" i="59"/>
  <c r="AI931" i="59"/>
  <c r="AJ931" i="59"/>
  <c r="AK931" i="59"/>
  <c r="AL931" i="59"/>
  <c r="AM931" i="59"/>
  <c r="AN931" i="59"/>
  <c r="AG932" i="59"/>
  <c r="AH932" i="59"/>
  <c r="AI932" i="59"/>
  <c r="AJ932" i="59"/>
  <c r="AK932" i="59"/>
  <c r="AL932" i="59"/>
  <c r="AM932" i="59"/>
  <c r="AN932" i="59"/>
  <c r="AR917" i="59"/>
  <c r="AQ917" i="59"/>
  <c r="AO917" i="59"/>
  <c r="B935" i="59" s="1"/>
  <c r="AN917" i="59"/>
  <c r="AM917" i="59"/>
  <c r="AL917" i="59"/>
  <c r="AK917" i="59"/>
  <c r="AJ917" i="59"/>
  <c r="AI917" i="59"/>
  <c r="AH917" i="59"/>
  <c r="AG917" i="59"/>
  <c r="AP221" i="49" l="1"/>
  <c r="AL261" i="49"/>
  <c r="AP261" i="49"/>
  <c r="AN261" i="49"/>
  <c r="AN263" i="49"/>
  <c r="AP116" i="49"/>
  <c r="AL116" i="49"/>
  <c r="B119" i="49" s="1"/>
  <c r="AN116" i="49"/>
  <c r="AN167" i="48"/>
  <c r="AL97" i="48"/>
  <c r="AN97" i="48"/>
  <c r="AG42" i="48"/>
  <c r="B45" i="48" s="1"/>
  <c r="BJ1341" i="59"/>
  <c r="BJ1407" i="59"/>
  <c r="AO1365" i="59"/>
  <c r="AJ1317" i="59"/>
  <c r="CY1245" i="59"/>
  <c r="B1284" i="59" s="1"/>
  <c r="AZ1132" i="59"/>
  <c r="BX1132" i="59"/>
  <c r="BF1132" i="59"/>
  <c r="BR1132" i="59"/>
  <c r="AT1132" i="59"/>
  <c r="AZ1088" i="59"/>
  <c r="AN1132" i="59"/>
  <c r="BL1132" i="59"/>
  <c r="AX1718" i="59"/>
  <c r="CZ1661" i="59"/>
  <c r="CY1661" i="59"/>
  <c r="B1700" i="59" s="1"/>
  <c r="AG933" i="59"/>
  <c r="B938" i="59" s="1"/>
  <c r="AL263" i="49"/>
  <c r="AL167" i="48"/>
  <c r="AL144" i="48"/>
  <c r="AN121" i="48"/>
  <c r="AL121" i="48"/>
  <c r="AL348" i="37"/>
  <c r="AM348" i="37" s="1"/>
  <c r="AJ289" i="37"/>
  <c r="AI320" i="37"/>
  <c r="AK320" i="37"/>
  <c r="AG289" i="37"/>
  <c r="B293" i="37" s="1"/>
  <c r="AK289" i="37"/>
  <c r="B295" i="37" s="1"/>
  <c r="AI289" i="37"/>
  <c r="AJ191" i="37"/>
  <c r="AM191" i="37" s="1"/>
  <c r="B197" i="37" s="1"/>
  <c r="AL126" i="37"/>
  <c r="AJ126" i="37"/>
  <c r="AM32" i="37"/>
  <c r="B38" i="37" s="1"/>
  <c r="AO1630" i="59"/>
  <c r="BC1599" i="59"/>
  <c r="AK1606" i="59"/>
  <c r="AM1606" i="59"/>
  <c r="B1609" i="59" s="1"/>
  <c r="AI1579" i="59"/>
  <c r="CY1443" i="59"/>
  <c r="B1482" i="59" s="1"/>
  <c r="CZ1443" i="59"/>
  <c r="AH1423" i="59"/>
  <c r="AI1408" i="59"/>
  <c r="AN1366" i="59"/>
  <c r="B1372" i="59" s="1"/>
  <c r="CZ1245" i="59"/>
  <c r="AH1227" i="59"/>
  <c r="AK1210" i="59"/>
  <c r="AX1182" i="59"/>
  <c r="AP1182" i="59"/>
  <c r="AK1182" i="59"/>
  <c r="AL1182" i="59"/>
  <c r="AM1182" i="59"/>
  <c r="AN1182" i="59"/>
  <c r="AO1182" i="59"/>
  <c r="CL1132" i="59"/>
  <c r="AK1088" i="59"/>
  <c r="AW1088" i="59"/>
  <c r="BI1088" i="59"/>
  <c r="BL1088" i="59"/>
  <c r="AN1088" i="59"/>
  <c r="AQ1088" i="59"/>
  <c r="AT1088" i="59"/>
  <c r="BF1088" i="59"/>
  <c r="AJ1014" i="59"/>
  <c r="AK1016" i="59" s="1"/>
  <c r="AG1088" i="59"/>
  <c r="AI1089" i="59" s="1"/>
  <c r="B1097" i="59" s="1"/>
  <c r="BQ1088" i="59"/>
  <c r="BC1088" i="59"/>
  <c r="AG981" i="59"/>
  <c r="B992" i="59" s="1"/>
  <c r="AG955" i="59"/>
  <c r="B966" i="59" s="1"/>
  <c r="AP933" i="59"/>
  <c r="AR933" i="59"/>
  <c r="B943" i="59" s="1"/>
  <c r="AM934" i="59"/>
  <c r="B891" i="59"/>
  <c r="B889" i="59"/>
  <c r="B902" i="59"/>
  <c r="AJ871" i="59"/>
  <c r="AK871" i="59"/>
  <c r="AH887" i="59"/>
  <c r="AK872" i="59"/>
  <c r="AL872" i="59"/>
  <c r="AK873" i="59"/>
  <c r="AL873" i="59"/>
  <c r="AK874" i="59"/>
  <c r="AL874" i="59"/>
  <c r="AK875" i="59"/>
  <c r="AL875" i="59"/>
  <c r="AK876" i="59"/>
  <c r="AL876" i="59"/>
  <c r="AK877" i="59"/>
  <c r="AL877" i="59"/>
  <c r="AK878" i="59"/>
  <c r="AL878" i="59"/>
  <c r="AK879" i="59"/>
  <c r="AL879" i="59"/>
  <c r="AK880" i="59"/>
  <c r="AL880" i="59"/>
  <c r="AK881" i="59"/>
  <c r="AL881" i="59"/>
  <c r="AK882" i="59"/>
  <c r="AL882" i="59"/>
  <c r="AK883" i="59"/>
  <c r="AL883" i="59"/>
  <c r="AK884" i="59"/>
  <c r="AL884" i="59"/>
  <c r="AK885" i="59"/>
  <c r="AL885" i="59"/>
  <c r="AK886" i="59"/>
  <c r="AL886" i="59"/>
  <c r="AG872" i="59"/>
  <c r="AH872" i="59"/>
  <c r="AG873" i="59"/>
  <c r="AH873" i="59"/>
  <c r="AG874" i="59"/>
  <c r="AH874" i="59"/>
  <c r="AG875" i="59"/>
  <c r="AH875" i="59"/>
  <c r="AG876" i="59"/>
  <c r="AH876" i="59"/>
  <c r="AG877" i="59"/>
  <c r="AH877" i="59"/>
  <c r="AG878" i="59"/>
  <c r="AH878" i="59"/>
  <c r="AG879" i="59"/>
  <c r="AH879" i="59"/>
  <c r="AG880" i="59"/>
  <c r="AH880" i="59"/>
  <c r="AG881" i="59"/>
  <c r="AH881" i="59"/>
  <c r="AG882" i="59"/>
  <c r="AH882" i="59"/>
  <c r="AG883" i="59"/>
  <c r="AH883" i="59"/>
  <c r="AG884" i="59"/>
  <c r="AH884" i="59"/>
  <c r="AG885" i="59"/>
  <c r="AH885" i="59"/>
  <c r="AG886" i="59"/>
  <c r="AH886" i="59"/>
  <c r="AL871" i="59"/>
  <c r="AI871" i="59"/>
  <c r="AH871" i="59"/>
  <c r="AG871" i="59"/>
  <c r="B854" i="59"/>
  <c r="B861" i="59"/>
  <c r="B860" i="59"/>
  <c r="B859" i="59"/>
  <c r="B858" i="59"/>
  <c r="B857" i="59"/>
  <c r="AN837" i="59"/>
  <c r="BK1333" i="59" l="1"/>
  <c r="BK1399" i="59"/>
  <c r="CI1133" i="59"/>
  <c r="AT1598" i="59"/>
  <c r="AL1621" i="59"/>
  <c r="AK1570" i="59"/>
  <c r="AK1506" i="59"/>
  <c r="AY1530" i="59"/>
  <c r="B1608" i="59"/>
  <c r="AL887" i="59"/>
  <c r="B903" i="59" s="1"/>
  <c r="AG887" i="59"/>
  <c r="B901" i="59" s="1"/>
  <c r="AL320" i="37"/>
  <c r="AM126" i="37"/>
  <c r="BN1089" i="59"/>
  <c r="B1098" i="59" s="1"/>
  <c r="AK887" i="59"/>
  <c r="AQ851" i="59" l="1"/>
  <c r="AP851" i="59"/>
  <c r="AI851" i="59"/>
  <c r="AH851" i="59"/>
  <c r="AO838" i="59"/>
  <c r="AP838" i="59"/>
  <c r="AQ838" i="59"/>
  <c r="AO839" i="59"/>
  <c r="AP839" i="59"/>
  <c r="AQ839" i="59"/>
  <c r="AO840" i="59"/>
  <c r="AP840" i="59"/>
  <c r="AQ840" i="59"/>
  <c r="AO841" i="59"/>
  <c r="AP841" i="59"/>
  <c r="AQ841" i="59"/>
  <c r="AO842" i="59"/>
  <c r="AP842" i="59"/>
  <c r="AQ842" i="59"/>
  <c r="AO843" i="59"/>
  <c r="AP843" i="59"/>
  <c r="AQ843" i="59"/>
  <c r="AO844" i="59"/>
  <c r="AP844" i="59"/>
  <c r="AQ844" i="59"/>
  <c r="AO845" i="59"/>
  <c r="AP845" i="59"/>
  <c r="AQ845" i="59"/>
  <c r="AO846" i="59"/>
  <c r="AP846" i="59"/>
  <c r="AQ846" i="59"/>
  <c r="AO847" i="59"/>
  <c r="AP847" i="59"/>
  <c r="AQ847" i="59"/>
  <c r="AO848" i="59"/>
  <c r="AP848" i="59"/>
  <c r="AQ848" i="59"/>
  <c r="AO849" i="59"/>
  <c r="AP849" i="59"/>
  <c r="AQ849" i="59"/>
  <c r="AO850" i="59"/>
  <c r="AO851" i="59" s="1"/>
  <c r="AQ852" i="59" s="1"/>
  <c r="AP850" i="59"/>
  <c r="AQ850" i="59"/>
  <c r="AQ837" i="59"/>
  <c r="AM837" i="59"/>
  <c r="AP837" i="59"/>
  <c r="AL837" i="59"/>
  <c r="AO837" i="59"/>
  <c r="AH838" i="59"/>
  <c r="AI838" i="59"/>
  <c r="AJ838" i="59"/>
  <c r="AH839" i="59"/>
  <c r="AJ839" i="59" s="1"/>
  <c r="AI839" i="59"/>
  <c r="AH840" i="59"/>
  <c r="AJ840" i="59" s="1"/>
  <c r="AI840" i="59"/>
  <c r="AH841" i="59"/>
  <c r="AI841" i="59"/>
  <c r="AJ841" i="59"/>
  <c r="AH842" i="59"/>
  <c r="AJ842" i="59" s="1"/>
  <c r="AI842" i="59"/>
  <c r="AH843" i="59"/>
  <c r="AJ843" i="59" s="1"/>
  <c r="AI843" i="59"/>
  <c r="AH844" i="59"/>
  <c r="AI844" i="59"/>
  <c r="AJ844" i="59"/>
  <c r="AH845" i="59"/>
  <c r="AI845" i="59"/>
  <c r="AJ845" i="59"/>
  <c r="AH846" i="59"/>
  <c r="AI846" i="59"/>
  <c r="AJ846" i="59"/>
  <c r="AH847" i="59"/>
  <c r="AJ847" i="59" s="1"/>
  <c r="AI847" i="59"/>
  <c r="AH848" i="59"/>
  <c r="AJ848" i="59" s="1"/>
  <c r="AI848" i="59"/>
  <c r="AH849" i="59"/>
  <c r="AI849" i="59"/>
  <c r="AJ849" i="59"/>
  <c r="AH850" i="59"/>
  <c r="AJ850" i="59" s="1"/>
  <c r="AJ851" i="59" s="1"/>
  <c r="AI850" i="59"/>
  <c r="AJ837" i="59"/>
  <c r="AI837" i="59"/>
  <c r="AH837" i="59"/>
  <c r="AG837" i="59"/>
  <c r="B826" i="59"/>
  <c r="B825" i="59"/>
  <c r="AJ819" i="59"/>
  <c r="AI819" i="59"/>
  <c r="AH819" i="59"/>
  <c r="AH821" i="59" s="1"/>
  <c r="AI820" i="59"/>
  <c r="AH820" i="59"/>
  <c r="AJ820" i="59" s="1"/>
  <c r="AI821" i="59"/>
  <c r="B798" i="59"/>
  <c r="B812" i="59"/>
  <c r="B811" i="59"/>
  <c r="B810" i="59"/>
  <c r="AW792" i="59"/>
  <c r="AX792" i="59"/>
  <c r="AV792" i="59"/>
  <c r="AT792" i="59"/>
  <c r="AS792" i="59"/>
  <c r="AR792" i="59"/>
  <c r="AQ792" i="59"/>
  <c r="AP792" i="59"/>
  <c r="AO792" i="59"/>
  <c r="AN792" i="59"/>
  <c r="AM792" i="59"/>
  <c r="AL792" i="59"/>
  <c r="AK792" i="59"/>
  <c r="AJ792" i="59"/>
  <c r="AI792" i="59"/>
  <c r="AH792" i="59"/>
  <c r="AG792" i="59"/>
  <c r="AX794" i="59"/>
  <c r="AW794" i="59"/>
  <c r="AV794" i="59"/>
  <c r="AT794" i="59"/>
  <c r="AS794" i="59"/>
  <c r="AR794" i="59"/>
  <c r="AQ794" i="59"/>
  <c r="AP794" i="59"/>
  <c r="AO794" i="59"/>
  <c r="AN794" i="59"/>
  <c r="AM794" i="59"/>
  <c r="AL794" i="59"/>
  <c r="AK794" i="59"/>
  <c r="AJ794" i="59"/>
  <c r="AI794" i="59"/>
  <c r="AH794" i="59"/>
  <c r="AG794" i="59"/>
  <c r="AX793" i="59"/>
  <c r="AW793" i="59"/>
  <c r="AV793" i="59"/>
  <c r="AT793" i="59"/>
  <c r="AS793" i="59"/>
  <c r="AR793" i="59"/>
  <c r="AQ793" i="59"/>
  <c r="AP793" i="59"/>
  <c r="AO793" i="59"/>
  <c r="AN793" i="59"/>
  <c r="AM793" i="59"/>
  <c r="AL793" i="59"/>
  <c r="AK793" i="59"/>
  <c r="AJ793" i="59"/>
  <c r="AI793" i="59"/>
  <c r="AH793" i="59"/>
  <c r="AG793" i="59"/>
  <c r="B774" i="59"/>
  <c r="B780" i="59"/>
  <c r="B779" i="59"/>
  <c r="B778" i="59"/>
  <c r="AQ738" i="59"/>
  <c r="AP738" i="59"/>
  <c r="AO738" i="59"/>
  <c r="AN772" i="59"/>
  <c r="AM772" i="59"/>
  <c r="AL772" i="59"/>
  <c r="AJ772" i="59"/>
  <c r="AI772" i="59"/>
  <c r="AH772" i="59"/>
  <c r="AN773" i="59"/>
  <c r="AQ739" i="59"/>
  <c r="AQ740" i="59"/>
  <c r="AQ741" i="59"/>
  <c r="AQ742" i="59"/>
  <c r="AQ743" i="59"/>
  <c r="AQ744" i="59"/>
  <c r="AQ745" i="59"/>
  <c r="AQ746" i="59"/>
  <c r="AQ747" i="59"/>
  <c r="AQ748" i="59"/>
  <c r="AQ749" i="59"/>
  <c r="AQ750" i="59"/>
  <c r="AQ751" i="59"/>
  <c r="AQ752" i="59"/>
  <c r="AQ753" i="59"/>
  <c r="AQ754" i="59"/>
  <c r="AQ755" i="59"/>
  <c r="AQ756" i="59"/>
  <c r="AQ757" i="59"/>
  <c r="AQ758" i="59"/>
  <c r="AQ759" i="59"/>
  <c r="AQ760" i="59"/>
  <c r="AQ761" i="59"/>
  <c r="AQ762" i="59"/>
  <c r="AQ763" i="59"/>
  <c r="AQ764" i="59"/>
  <c r="AQ765" i="59"/>
  <c r="AQ766" i="59"/>
  <c r="AQ767" i="59"/>
  <c r="AQ768" i="59"/>
  <c r="AQ769" i="59"/>
  <c r="AQ770" i="59"/>
  <c r="AQ771" i="59"/>
  <c r="AL739" i="59"/>
  <c r="AM739" i="59"/>
  <c r="AN739" i="59"/>
  <c r="AO739" i="59"/>
  <c r="AL740" i="59"/>
  <c r="AM740" i="59"/>
  <c r="AN740" i="59"/>
  <c r="AO740" i="59"/>
  <c r="AL741" i="59"/>
  <c r="AM741" i="59"/>
  <c r="AN741" i="59"/>
  <c r="AO741" i="59"/>
  <c r="AL742" i="59"/>
  <c r="AM742" i="59"/>
  <c r="AN742" i="59"/>
  <c r="AO742" i="59"/>
  <c r="AL743" i="59"/>
  <c r="AM743" i="59"/>
  <c r="AN743" i="59"/>
  <c r="AO743" i="59"/>
  <c r="AL744" i="59"/>
  <c r="AM744" i="59"/>
  <c r="AN744" i="59"/>
  <c r="AO744" i="59"/>
  <c r="AL745" i="59"/>
  <c r="AM745" i="59"/>
  <c r="AN745" i="59"/>
  <c r="AO745" i="59"/>
  <c r="AL746" i="59"/>
  <c r="AM746" i="59"/>
  <c r="AN746" i="59"/>
  <c r="AO746" i="59"/>
  <c r="AL747" i="59"/>
  <c r="AM747" i="59"/>
  <c r="AN747" i="59"/>
  <c r="AO747" i="59"/>
  <c r="AL748" i="59"/>
  <c r="AM748" i="59"/>
  <c r="AN748" i="59"/>
  <c r="AO748" i="59"/>
  <c r="AL749" i="59"/>
  <c r="AM749" i="59"/>
  <c r="AN749" i="59"/>
  <c r="AO749" i="59"/>
  <c r="AL750" i="59"/>
  <c r="AM750" i="59"/>
  <c r="AN750" i="59"/>
  <c r="AO750" i="59"/>
  <c r="AL751" i="59"/>
  <c r="AM751" i="59"/>
  <c r="AN751" i="59"/>
  <c r="AO751" i="59"/>
  <c r="AL752" i="59"/>
  <c r="AM752" i="59"/>
  <c r="AN752" i="59"/>
  <c r="AO752" i="59"/>
  <c r="AL753" i="59"/>
  <c r="AM753" i="59"/>
  <c r="AN753" i="59"/>
  <c r="AO753" i="59"/>
  <c r="AL754" i="59"/>
  <c r="AM754" i="59"/>
  <c r="AN754" i="59"/>
  <c r="AO754" i="59"/>
  <c r="AL755" i="59"/>
  <c r="AM755" i="59"/>
  <c r="AN755" i="59"/>
  <c r="AO755" i="59"/>
  <c r="AL756" i="59"/>
  <c r="AM756" i="59"/>
  <c r="AN756" i="59"/>
  <c r="AO756" i="59"/>
  <c r="AL757" i="59"/>
  <c r="AM757" i="59"/>
  <c r="AN757" i="59"/>
  <c r="AO757" i="59"/>
  <c r="AL758" i="59"/>
  <c r="AM758" i="59"/>
  <c r="AN758" i="59"/>
  <c r="AO758" i="59"/>
  <c r="AL759" i="59"/>
  <c r="AM759" i="59"/>
  <c r="AN759" i="59"/>
  <c r="AO759" i="59"/>
  <c r="AL760" i="59"/>
  <c r="AM760" i="59"/>
  <c r="AN760" i="59"/>
  <c r="AO760" i="59"/>
  <c r="AL761" i="59"/>
  <c r="AM761" i="59"/>
  <c r="AN761" i="59"/>
  <c r="AO761" i="59"/>
  <c r="AL762" i="59"/>
  <c r="AM762" i="59"/>
  <c r="AN762" i="59"/>
  <c r="AO762" i="59"/>
  <c r="AL763" i="59"/>
  <c r="AM763" i="59"/>
  <c r="AN763" i="59"/>
  <c r="AO763" i="59"/>
  <c r="AL764" i="59"/>
  <c r="AM764" i="59"/>
  <c r="AN764" i="59"/>
  <c r="AO764" i="59"/>
  <c r="AL765" i="59"/>
  <c r="AM765" i="59"/>
  <c r="AN765" i="59"/>
  <c r="AO765" i="59"/>
  <c r="AL766" i="59"/>
  <c r="AM766" i="59"/>
  <c r="AN766" i="59"/>
  <c r="AO766" i="59"/>
  <c r="AL767" i="59"/>
  <c r="AM767" i="59"/>
  <c r="AN767" i="59"/>
  <c r="AO767" i="59"/>
  <c r="AL768" i="59"/>
  <c r="AM768" i="59"/>
  <c r="AN768" i="59"/>
  <c r="AO768" i="59"/>
  <c r="AL769" i="59"/>
  <c r="AM769" i="59"/>
  <c r="AN769" i="59"/>
  <c r="AO769" i="59"/>
  <c r="AL770" i="59"/>
  <c r="AM770" i="59"/>
  <c r="AN770" i="59"/>
  <c r="AO770" i="59"/>
  <c r="AL771" i="59"/>
  <c r="AM771" i="59"/>
  <c r="AN771" i="59"/>
  <c r="AO771" i="59"/>
  <c r="AG739" i="59"/>
  <c r="AH739" i="59"/>
  <c r="AJ739" i="59" s="1"/>
  <c r="AI739" i="59"/>
  <c r="AG740" i="59"/>
  <c r="AG772" i="59" s="1"/>
  <c r="B777" i="59" s="1"/>
  <c r="AH740" i="59"/>
  <c r="AI740" i="59"/>
  <c r="AJ740" i="59"/>
  <c r="AG741" i="59"/>
  <c r="AH741" i="59"/>
  <c r="AI741" i="59"/>
  <c r="AJ741" i="59"/>
  <c r="AG742" i="59"/>
  <c r="AH742" i="59"/>
  <c r="AI742" i="59"/>
  <c r="AJ742" i="59"/>
  <c r="AG743" i="59"/>
  <c r="AH743" i="59"/>
  <c r="AI743" i="59"/>
  <c r="AJ743" i="59"/>
  <c r="AG744" i="59"/>
  <c r="AH744" i="59"/>
  <c r="AI744" i="59"/>
  <c r="AJ744" i="59"/>
  <c r="AG745" i="59"/>
  <c r="AH745" i="59"/>
  <c r="AI745" i="59"/>
  <c r="AJ745" i="59"/>
  <c r="AH746" i="59"/>
  <c r="AI746" i="59"/>
  <c r="AJ746" i="59"/>
  <c r="AG747" i="59"/>
  <c r="AH747" i="59"/>
  <c r="AI747" i="59"/>
  <c r="AJ747" i="59"/>
  <c r="AG748" i="59"/>
  <c r="AH748" i="59"/>
  <c r="AI748" i="59"/>
  <c r="AJ748" i="59"/>
  <c r="AG749" i="59"/>
  <c r="AH749" i="59"/>
  <c r="AI749" i="59"/>
  <c r="AJ749" i="59"/>
  <c r="AG750" i="59"/>
  <c r="AH750" i="59"/>
  <c r="AI750" i="59"/>
  <c r="AJ750" i="59"/>
  <c r="AG751" i="59"/>
  <c r="AH751" i="59"/>
  <c r="AI751" i="59"/>
  <c r="AJ751" i="59"/>
  <c r="AG752" i="59"/>
  <c r="AH752" i="59"/>
  <c r="AI752" i="59"/>
  <c r="AJ752" i="59"/>
  <c r="AG753" i="59"/>
  <c r="AH753" i="59"/>
  <c r="AI753" i="59"/>
  <c r="AJ753" i="59"/>
  <c r="AG754" i="59"/>
  <c r="AH754" i="59"/>
  <c r="AI754" i="59"/>
  <c r="AJ754" i="59"/>
  <c r="AG755" i="59"/>
  <c r="AH755" i="59"/>
  <c r="AI755" i="59"/>
  <c r="AJ755" i="59"/>
  <c r="AG756" i="59"/>
  <c r="AH756" i="59"/>
  <c r="AI756" i="59"/>
  <c r="AJ756" i="59"/>
  <c r="AG757" i="59"/>
  <c r="AH757" i="59"/>
  <c r="AI757" i="59"/>
  <c r="AJ757" i="59"/>
  <c r="AG758" i="59"/>
  <c r="AH758" i="59"/>
  <c r="AI758" i="59"/>
  <c r="AJ758" i="59"/>
  <c r="AG759" i="59"/>
  <c r="AH759" i="59"/>
  <c r="AI759" i="59"/>
  <c r="AJ759" i="59"/>
  <c r="AG760" i="59"/>
  <c r="AH760" i="59"/>
  <c r="AI760" i="59"/>
  <c r="AJ760" i="59"/>
  <c r="AG761" i="59"/>
  <c r="AH761" i="59"/>
  <c r="AI761" i="59"/>
  <c r="AJ761" i="59"/>
  <c r="AG762" i="59"/>
  <c r="AH762" i="59"/>
  <c r="AI762" i="59"/>
  <c r="AJ762" i="59"/>
  <c r="AG763" i="59"/>
  <c r="AH763" i="59"/>
  <c r="AI763" i="59"/>
  <c r="AJ763" i="59"/>
  <c r="AG764" i="59"/>
  <c r="AH764" i="59"/>
  <c r="AI764" i="59"/>
  <c r="AJ764" i="59"/>
  <c r="AG765" i="59"/>
  <c r="AH765" i="59"/>
  <c r="AI765" i="59"/>
  <c r="AJ765" i="59"/>
  <c r="AG766" i="59"/>
  <c r="AH766" i="59"/>
  <c r="AI766" i="59"/>
  <c r="AJ766" i="59"/>
  <c r="AG767" i="59"/>
  <c r="AH767" i="59"/>
  <c r="AI767" i="59"/>
  <c r="AJ767" i="59"/>
  <c r="AG768" i="59"/>
  <c r="AH768" i="59"/>
  <c r="AI768" i="59"/>
  <c r="AJ768" i="59"/>
  <c r="AG769" i="59"/>
  <c r="AH769" i="59"/>
  <c r="AI769" i="59"/>
  <c r="AJ769" i="59"/>
  <c r="AG770" i="59"/>
  <c r="AH770" i="59"/>
  <c r="AI770" i="59"/>
  <c r="AJ770" i="59"/>
  <c r="AG771" i="59"/>
  <c r="AH771" i="59"/>
  <c r="AI771" i="59"/>
  <c r="AJ771" i="59"/>
  <c r="AN738" i="59"/>
  <c r="AM738" i="59"/>
  <c r="AL738" i="59"/>
  <c r="AK738" i="59"/>
  <c r="AJ738" i="59"/>
  <c r="AI738" i="59"/>
  <c r="AH738" i="59"/>
  <c r="AG738" i="59"/>
  <c r="B719" i="59"/>
  <c r="B714" i="59"/>
  <c r="AO710" i="59"/>
  <c r="AO701" i="59"/>
  <c r="AO702" i="59"/>
  <c r="AO703" i="59"/>
  <c r="AO704" i="59"/>
  <c r="AO705" i="59"/>
  <c r="AO706" i="59"/>
  <c r="AO707" i="59"/>
  <c r="AO708" i="59"/>
  <c r="AO709" i="59"/>
  <c r="AJ711" i="59"/>
  <c r="AI711" i="59"/>
  <c r="AH711" i="59"/>
  <c r="AZ700" i="59"/>
  <c r="AZ711" i="59" s="1"/>
  <c r="AY700" i="59"/>
  <c r="AX700" i="59"/>
  <c r="AY710" i="59"/>
  <c r="AY701" i="59"/>
  <c r="AZ701" i="59"/>
  <c r="AY702" i="59"/>
  <c r="AZ702" i="59"/>
  <c r="AY703" i="59"/>
  <c r="AZ703" i="59"/>
  <c r="AY704" i="59"/>
  <c r="AZ704" i="59"/>
  <c r="AY705" i="59"/>
  <c r="AZ705" i="59"/>
  <c r="AY706" i="59"/>
  <c r="AZ706" i="59"/>
  <c r="AY707" i="59"/>
  <c r="AZ707" i="59"/>
  <c r="AY708" i="59"/>
  <c r="AZ708" i="59"/>
  <c r="AY709" i="59"/>
  <c r="AZ709" i="59"/>
  <c r="AZ710" i="59"/>
  <c r="AW701" i="59"/>
  <c r="AW702" i="59"/>
  <c r="AW703" i="59"/>
  <c r="AW704" i="59"/>
  <c r="AW705" i="59"/>
  <c r="AW706" i="59"/>
  <c r="AW707" i="59"/>
  <c r="AW708" i="59"/>
  <c r="AW709" i="59"/>
  <c r="AW710" i="59"/>
  <c r="AS701" i="59"/>
  <c r="AT701" i="59"/>
  <c r="AU701" i="59"/>
  <c r="AS702" i="59"/>
  <c r="AT702" i="59"/>
  <c r="AU702" i="59"/>
  <c r="AS703" i="59"/>
  <c r="AT703" i="59"/>
  <c r="AU703" i="59"/>
  <c r="AS704" i="59"/>
  <c r="AT704" i="59"/>
  <c r="AU704" i="59"/>
  <c r="AS705" i="59"/>
  <c r="AT705" i="59"/>
  <c r="AU705" i="59"/>
  <c r="AS706" i="59"/>
  <c r="AT706" i="59"/>
  <c r="AU706" i="59"/>
  <c r="AS707" i="59"/>
  <c r="AT707" i="59"/>
  <c r="AU707" i="59"/>
  <c r="AS708" i="59"/>
  <c r="AT708" i="59"/>
  <c r="AU708" i="59"/>
  <c r="AS709" i="59"/>
  <c r="AT709" i="59"/>
  <c r="AU709" i="59"/>
  <c r="AS710" i="59"/>
  <c r="AT710" i="59"/>
  <c r="AU710" i="59"/>
  <c r="AN701" i="59"/>
  <c r="AN702" i="59"/>
  <c r="AN703" i="59"/>
  <c r="AN704" i="59"/>
  <c r="AN705" i="59"/>
  <c r="AN706" i="59"/>
  <c r="AN707" i="59"/>
  <c r="AN708" i="59"/>
  <c r="AN709" i="59"/>
  <c r="AN710" i="59"/>
  <c r="AH702" i="59"/>
  <c r="AI702" i="59"/>
  <c r="AJ702" i="59"/>
  <c r="AH703" i="59"/>
  <c r="AI703" i="59"/>
  <c r="AJ703" i="59"/>
  <c r="AH704" i="59"/>
  <c r="AI704" i="59"/>
  <c r="AJ704" i="59"/>
  <c r="AH705" i="59"/>
  <c r="AI705" i="59"/>
  <c r="AJ705" i="59"/>
  <c r="AH706" i="59"/>
  <c r="AI706" i="59"/>
  <c r="AJ706" i="59"/>
  <c r="AH707" i="59"/>
  <c r="AI707" i="59"/>
  <c r="AJ707" i="59"/>
  <c r="AH708" i="59"/>
  <c r="AI708" i="59"/>
  <c r="AJ708" i="59"/>
  <c r="AH709" i="59"/>
  <c r="AI709" i="59"/>
  <c r="AJ709" i="59"/>
  <c r="AH710" i="59"/>
  <c r="AI710" i="59"/>
  <c r="AJ710" i="59"/>
  <c r="AJ700" i="59"/>
  <c r="AI700" i="59"/>
  <c r="AH700" i="59"/>
  <c r="AH701" i="59"/>
  <c r="AJ701" i="59" s="1"/>
  <c r="AI701" i="59"/>
  <c r="AW700" i="59"/>
  <c r="AV700" i="59"/>
  <c r="AU700" i="59"/>
  <c r="AT700" i="59"/>
  <c r="AS700" i="59"/>
  <c r="AR700" i="59"/>
  <c r="AQ700" i="59"/>
  <c r="AP700" i="59"/>
  <c r="AR701" i="59" s="1"/>
  <c r="AN700" i="59"/>
  <c r="AW675" i="59"/>
  <c r="B683" i="59"/>
  <c r="AV675" i="59"/>
  <c r="AU675" i="59"/>
  <c r="AT675" i="59"/>
  <c r="AS675" i="59"/>
  <c r="AO675" i="59"/>
  <c r="AN675" i="59"/>
  <c r="AP675" i="59" s="1"/>
  <c r="AM675" i="59"/>
  <c r="AL675" i="59"/>
  <c r="AK675" i="59"/>
  <c r="AJ675" i="59"/>
  <c r="AI675" i="59"/>
  <c r="AH675" i="59"/>
  <c r="B679" i="59"/>
  <c r="B650" i="59"/>
  <c r="B649" i="59"/>
  <c r="B648" i="59"/>
  <c r="AJ646" i="59"/>
  <c r="BF644" i="59"/>
  <c r="BF643" i="59"/>
  <c r="BE643" i="59"/>
  <c r="BD643" i="59"/>
  <c r="BC643" i="59"/>
  <c r="BB643" i="59"/>
  <c r="BA643" i="59"/>
  <c r="AZ643" i="59"/>
  <c r="AY643" i="59"/>
  <c r="AX643" i="59"/>
  <c r="AW643" i="59"/>
  <c r="AV643" i="59"/>
  <c r="AU643" i="59"/>
  <c r="AU636" i="59"/>
  <c r="AV636" i="59"/>
  <c r="AW636" i="59"/>
  <c r="AX636" i="59"/>
  <c r="AY636" i="59"/>
  <c r="AZ636" i="59"/>
  <c r="BA636" i="59"/>
  <c r="BB636" i="59"/>
  <c r="BC636" i="59"/>
  <c r="BD636" i="59"/>
  <c r="BE636" i="59"/>
  <c r="BF636" i="59"/>
  <c r="AU637" i="59"/>
  <c r="AV637" i="59"/>
  <c r="AW637" i="59"/>
  <c r="AX637" i="59"/>
  <c r="AY637" i="59"/>
  <c r="AZ637" i="59"/>
  <c r="BA637" i="59"/>
  <c r="BB637" i="59"/>
  <c r="BC637" i="59"/>
  <c r="BD637" i="59"/>
  <c r="BE637" i="59"/>
  <c r="BF637" i="59"/>
  <c r="AU638" i="59"/>
  <c r="AV638" i="59"/>
  <c r="AW638" i="59"/>
  <c r="AX638" i="59"/>
  <c r="AY638" i="59"/>
  <c r="AZ638" i="59"/>
  <c r="BA638" i="59"/>
  <c r="BB638" i="59"/>
  <c r="BC638" i="59"/>
  <c r="BD638" i="59"/>
  <c r="BE638" i="59"/>
  <c r="BF638" i="59"/>
  <c r="AU639" i="59"/>
  <c r="AV639" i="59"/>
  <c r="AW639" i="59"/>
  <c r="AX639" i="59"/>
  <c r="AY639" i="59"/>
  <c r="AZ639" i="59"/>
  <c r="BA639" i="59"/>
  <c r="BB639" i="59"/>
  <c r="BC639" i="59"/>
  <c r="BD639" i="59"/>
  <c r="BE639" i="59"/>
  <c r="BF639" i="59"/>
  <c r="AU640" i="59"/>
  <c r="AV640" i="59"/>
  <c r="AW640" i="59"/>
  <c r="AX640" i="59"/>
  <c r="AY640" i="59"/>
  <c r="AZ640" i="59"/>
  <c r="BA640" i="59"/>
  <c r="BB640" i="59"/>
  <c r="BC640" i="59"/>
  <c r="BD640" i="59"/>
  <c r="BE640" i="59"/>
  <c r="BF640" i="59"/>
  <c r="AU641" i="59"/>
  <c r="AV641" i="59"/>
  <c r="AW641" i="59"/>
  <c r="AX641" i="59"/>
  <c r="AY641" i="59"/>
  <c r="AZ641" i="59"/>
  <c r="BA641" i="59"/>
  <c r="BB641" i="59"/>
  <c r="BC641" i="59"/>
  <c r="BD641" i="59"/>
  <c r="BE641" i="59"/>
  <c r="BF641" i="59"/>
  <c r="AU642" i="59"/>
  <c r="AV642" i="59"/>
  <c r="AW642" i="59"/>
  <c r="AX642" i="59"/>
  <c r="AY642" i="59"/>
  <c r="AZ642" i="59"/>
  <c r="BA642" i="59"/>
  <c r="BB642" i="59"/>
  <c r="BC642" i="59"/>
  <c r="BD642" i="59"/>
  <c r="BE642" i="59"/>
  <c r="BF642" i="59"/>
  <c r="BD635" i="59"/>
  <c r="BE635" i="59"/>
  <c r="BF635" i="59"/>
  <c r="BC635" i="59"/>
  <c r="BB635" i="59"/>
  <c r="BA635" i="59"/>
  <c r="AZ635" i="59"/>
  <c r="AY635" i="59"/>
  <c r="AX635" i="59"/>
  <c r="AW635" i="59"/>
  <c r="AV635" i="59"/>
  <c r="AU635" i="59"/>
  <c r="AN646" i="59"/>
  <c r="AL646" i="59"/>
  <c r="AL645" i="59"/>
  <c r="AJ645" i="59"/>
  <c r="AK643" i="59"/>
  <c r="AM643" i="59"/>
  <c r="AN643" i="59"/>
  <c r="AP643" i="59"/>
  <c r="AQ643" i="59"/>
  <c r="AS643" i="59"/>
  <c r="AJ643" i="59"/>
  <c r="AH643" i="59"/>
  <c r="AG636" i="59"/>
  <c r="AH636" i="59"/>
  <c r="AI636" i="59"/>
  <c r="AJ636" i="59"/>
  <c r="AK636" i="59"/>
  <c r="AL636" i="59"/>
  <c r="AM636" i="59"/>
  <c r="AN636" i="59"/>
  <c r="AO636" i="59"/>
  <c r="AP636" i="59"/>
  <c r="AQ636" i="59"/>
  <c r="AR636" i="59"/>
  <c r="AS636" i="59"/>
  <c r="AG637" i="59"/>
  <c r="AH637" i="59"/>
  <c r="AI637" i="59"/>
  <c r="AJ637" i="59"/>
  <c r="AK637" i="59"/>
  <c r="AL637" i="59"/>
  <c r="AM637" i="59"/>
  <c r="AN637" i="59"/>
  <c r="AO637" i="59"/>
  <c r="AP637" i="59"/>
  <c r="AQ637" i="59"/>
  <c r="AR637" i="59"/>
  <c r="AS637" i="59"/>
  <c r="AG638" i="59"/>
  <c r="AH638" i="59"/>
  <c r="AI638" i="59"/>
  <c r="AJ638" i="59"/>
  <c r="AK638" i="59"/>
  <c r="AL638" i="59"/>
  <c r="AM638" i="59"/>
  <c r="AN638" i="59"/>
  <c r="AO638" i="59"/>
  <c r="AP638" i="59"/>
  <c r="AQ638" i="59"/>
  <c r="AR638" i="59"/>
  <c r="AS638" i="59"/>
  <c r="AG639" i="59"/>
  <c r="AH639" i="59"/>
  <c r="AI639" i="59"/>
  <c r="AJ639" i="59"/>
  <c r="AK639" i="59"/>
  <c r="AL639" i="59"/>
  <c r="AM639" i="59"/>
  <c r="AN639" i="59"/>
  <c r="AO639" i="59"/>
  <c r="AP639" i="59"/>
  <c r="AQ639" i="59"/>
  <c r="AR639" i="59"/>
  <c r="AS639" i="59"/>
  <c r="AG640" i="59"/>
  <c r="AH640" i="59"/>
  <c r="AI640" i="59"/>
  <c r="AJ640" i="59"/>
  <c r="AK640" i="59"/>
  <c r="AL640" i="59"/>
  <c r="AM640" i="59"/>
  <c r="AN640" i="59"/>
  <c r="AO640" i="59"/>
  <c r="AP640" i="59"/>
  <c r="AQ640" i="59"/>
  <c r="AR640" i="59"/>
  <c r="AS640" i="59"/>
  <c r="AG641" i="59"/>
  <c r="AH641" i="59"/>
  <c r="AI641" i="59"/>
  <c r="AJ641" i="59"/>
  <c r="AK641" i="59"/>
  <c r="AL641" i="59"/>
  <c r="AM641" i="59"/>
  <c r="AN641" i="59"/>
  <c r="AO641" i="59"/>
  <c r="AP641" i="59"/>
  <c r="AQ641" i="59"/>
  <c r="AR641" i="59"/>
  <c r="AS641" i="59"/>
  <c r="AH642" i="59"/>
  <c r="AI642" i="59"/>
  <c r="AJ642" i="59"/>
  <c r="AK642" i="59"/>
  <c r="AL642" i="59"/>
  <c r="AM642" i="59"/>
  <c r="AN642" i="59"/>
  <c r="AO642" i="59"/>
  <c r="AP642" i="59"/>
  <c r="AQ642" i="59"/>
  <c r="AR642" i="59"/>
  <c r="AS642" i="59"/>
  <c r="AS635" i="59"/>
  <c r="AM635" i="59"/>
  <c r="AL635" i="59"/>
  <c r="AK635" i="59"/>
  <c r="AJ635" i="59"/>
  <c r="AI635" i="59"/>
  <c r="AH635" i="59"/>
  <c r="AR635" i="59"/>
  <c r="AQ635" i="59"/>
  <c r="AP635" i="59"/>
  <c r="AO635" i="59"/>
  <c r="AN635" i="59"/>
  <c r="B622" i="59"/>
  <c r="B621" i="59"/>
  <c r="B620" i="59"/>
  <c r="AI616" i="59"/>
  <c r="AI615" i="59"/>
  <c r="AH615" i="59"/>
  <c r="AG615" i="59"/>
  <c r="AG608" i="59"/>
  <c r="AH608" i="59"/>
  <c r="AI608" i="59"/>
  <c r="AG609" i="59"/>
  <c r="AH609" i="59"/>
  <c r="AI609" i="59"/>
  <c r="AG610" i="59"/>
  <c r="AH610" i="59"/>
  <c r="AI610" i="59"/>
  <c r="AG611" i="59"/>
  <c r="AH611" i="59"/>
  <c r="AI611" i="59"/>
  <c r="AG612" i="59"/>
  <c r="AH612" i="59"/>
  <c r="AI612" i="59"/>
  <c r="AG613" i="59"/>
  <c r="AH613" i="59"/>
  <c r="AI613" i="59"/>
  <c r="AG614" i="59"/>
  <c r="AH614" i="59"/>
  <c r="AI614" i="59"/>
  <c r="AI607" i="59"/>
  <c r="AH607" i="59"/>
  <c r="AG607" i="59"/>
  <c r="AN603" i="59"/>
  <c r="AL603" i="59"/>
  <c r="AJ603" i="59"/>
  <c r="AT711" i="59" l="1"/>
  <c r="AU711" i="59"/>
  <c r="AS711" i="59"/>
  <c r="AU712" i="59" s="1"/>
  <c r="AO711" i="59"/>
  <c r="AW711" i="59"/>
  <c r="B718" i="59" s="1"/>
  <c r="AN711" i="59"/>
  <c r="AJ677" i="59"/>
  <c r="B680" i="59" s="1"/>
  <c r="AJ678" i="59"/>
  <c r="B681" i="59" s="1"/>
  <c r="AL711" i="59"/>
  <c r="B721" i="59" s="1"/>
  <c r="AG711" i="59"/>
  <c r="B717" i="59" s="1"/>
  <c r="AY711" i="59"/>
  <c r="AJ821" i="59"/>
  <c r="AV795" i="59"/>
  <c r="AH795" i="59"/>
  <c r="AG795" i="59"/>
  <c r="B809" i="59" s="1"/>
  <c r="AX795" i="59"/>
  <c r="B813" i="59" s="1"/>
  <c r="AW795" i="59"/>
  <c r="AT795" i="59"/>
  <c r="AO772" i="59"/>
  <c r="AQ772" i="59"/>
  <c r="B781" i="59" s="1"/>
  <c r="AR676" i="59"/>
  <c r="B682" i="59" s="1"/>
  <c r="BQ592" i="59" l="1"/>
  <c r="AL602" i="59" l="1"/>
  <c r="AJ602" i="59"/>
  <c r="AK600" i="59"/>
  <c r="AM600" i="59"/>
  <c r="AN600" i="59"/>
  <c r="AP600" i="59"/>
  <c r="AQ600" i="59"/>
  <c r="AS600" i="59"/>
  <c r="AT600" i="59"/>
  <c r="AV600" i="59"/>
  <c r="AW600" i="59"/>
  <c r="AY600" i="59"/>
  <c r="AZ600" i="59"/>
  <c r="BB600" i="59"/>
  <c r="BC600" i="59"/>
  <c r="BE600" i="59"/>
  <c r="BF600" i="59"/>
  <c r="BH600" i="59"/>
  <c r="BI600" i="59"/>
  <c r="BK600" i="59"/>
  <c r="BL600" i="59"/>
  <c r="BN600" i="59"/>
  <c r="BO600" i="59"/>
  <c r="BQ600" i="59"/>
  <c r="AJ600" i="59"/>
  <c r="AH600" i="59"/>
  <c r="AG593" i="59"/>
  <c r="AH593" i="59"/>
  <c r="AI593" i="59"/>
  <c r="AJ593" i="59"/>
  <c r="AK593" i="59"/>
  <c r="AL593" i="59"/>
  <c r="AM593" i="59"/>
  <c r="AN593" i="59"/>
  <c r="AO593" i="59"/>
  <c r="AP593" i="59"/>
  <c r="AQ593" i="59"/>
  <c r="AR593" i="59"/>
  <c r="AS593" i="59"/>
  <c r="AT593" i="59"/>
  <c r="AU593" i="59"/>
  <c r="AV593" i="59"/>
  <c r="AW593" i="59"/>
  <c r="AX593" i="59"/>
  <c r="AY593" i="59"/>
  <c r="AZ593" i="59"/>
  <c r="BA593" i="59"/>
  <c r="BB593" i="59"/>
  <c r="BC593" i="59"/>
  <c r="BD593" i="59"/>
  <c r="BE593" i="59"/>
  <c r="BF593" i="59"/>
  <c r="BG593" i="59"/>
  <c r="BH593" i="59"/>
  <c r="BI593" i="59"/>
  <c r="BJ593" i="59"/>
  <c r="BK593" i="59"/>
  <c r="BL593" i="59"/>
  <c r="BM593" i="59"/>
  <c r="BN593" i="59"/>
  <c r="BO593" i="59"/>
  <c r="BP593" i="59"/>
  <c r="BQ593" i="59"/>
  <c r="AG594" i="59"/>
  <c r="AH594" i="59"/>
  <c r="AI594" i="59"/>
  <c r="AJ594" i="59"/>
  <c r="AK594" i="59"/>
  <c r="AL594" i="59"/>
  <c r="AM594" i="59"/>
  <c r="AN594" i="59"/>
  <c r="AO594" i="59"/>
  <c r="AP594" i="59"/>
  <c r="AQ594" i="59"/>
  <c r="AR594" i="59"/>
  <c r="AS594" i="59"/>
  <c r="AT594" i="59"/>
  <c r="AU594" i="59"/>
  <c r="AV594" i="59"/>
  <c r="AW594" i="59"/>
  <c r="AX594" i="59"/>
  <c r="AY594" i="59"/>
  <c r="AZ594" i="59"/>
  <c r="BA594" i="59"/>
  <c r="BB594" i="59"/>
  <c r="BC594" i="59"/>
  <c r="BD594" i="59"/>
  <c r="BE594" i="59"/>
  <c r="BF594" i="59"/>
  <c r="BG594" i="59"/>
  <c r="BH594" i="59"/>
  <c r="BI594" i="59"/>
  <c r="BJ594" i="59"/>
  <c r="BK594" i="59"/>
  <c r="BL594" i="59"/>
  <c r="BM594" i="59"/>
  <c r="BN594" i="59"/>
  <c r="BO594" i="59"/>
  <c r="BP594" i="59"/>
  <c r="BQ594" i="59"/>
  <c r="AG595" i="59"/>
  <c r="AH595" i="59"/>
  <c r="AI595" i="59"/>
  <c r="AJ595" i="59"/>
  <c r="AK595" i="59"/>
  <c r="AL595" i="59"/>
  <c r="AM595" i="59"/>
  <c r="AN595" i="59"/>
  <c r="AO595" i="59"/>
  <c r="AP595" i="59"/>
  <c r="AQ595" i="59"/>
  <c r="AR595" i="59"/>
  <c r="AS595" i="59"/>
  <c r="AT595" i="59"/>
  <c r="AU595" i="59"/>
  <c r="AV595" i="59"/>
  <c r="AW595" i="59"/>
  <c r="AX595" i="59"/>
  <c r="AY595" i="59"/>
  <c r="AZ595" i="59"/>
  <c r="BA595" i="59"/>
  <c r="BB595" i="59"/>
  <c r="BC595" i="59"/>
  <c r="BD595" i="59"/>
  <c r="BE595" i="59"/>
  <c r="BF595" i="59"/>
  <c r="BG595" i="59"/>
  <c r="BH595" i="59"/>
  <c r="BI595" i="59"/>
  <c r="BJ595" i="59"/>
  <c r="BK595" i="59"/>
  <c r="BL595" i="59"/>
  <c r="BM595" i="59"/>
  <c r="BN595" i="59"/>
  <c r="BO595" i="59"/>
  <c r="BP595" i="59"/>
  <c r="BQ595" i="59"/>
  <c r="AG596" i="59"/>
  <c r="AH596" i="59"/>
  <c r="AI596" i="59"/>
  <c r="AJ596" i="59"/>
  <c r="AK596" i="59"/>
  <c r="AL596" i="59"/>
  <c r="AM596" i="59"/>
  <c r="AN596" i="59"/>
  <c r="AO596" i="59"/>
  <c r="AP596" i="59"/>
  <c r="AQ596" i="59"/>
  <c r="AR596" i="59"/>
  <c r="AS596" i="59"/>
  <c r="AT596" i="59"/>
  <c r="AU596" i="59"/>
  <c r="AV596" i="59"/>
  <c r="AW596" i="59"/>
  <c r="AX596" i="59"/>
  <c r="AY596" i="59"/>
  <c r="AZ596" i="59"/>
  <c r="BA596" i="59"/>
  <c r="BB596" i="59"/>
  <c r="BC596" i="59"/>
  <c r="BD596" i="59"/>
  <c r="BE596" i="59"/>
  <c r="BF596" i="59"/>
  <c r="BG596" i="59"/>
  <c r="BH596" i="59"/>
  <c r="BI596" i="59"/>
  <c r="BJ596" i="59"/>
  <c r="BK596" i="59"/>
  <c r="BL596" i="59"/>
  <c r="BM596" i="59"/>
  <c r="BN596" i="59"/>
  <c r="BO596" i="59"/>
  <c r="BP596" i="59"/>
  <c r="BQ596" i="59"/>
  <c r="AG597" i="59"/>
  <c r="AH597" i="59"/>
  <c r="AI597" i="59"/>
  <c r="AJ597" i="59"/>
  <c r="AK597" i="59"/>
  <c r="AL597" i="59"/>
  <c r="AM597" i="59"/>
  <c r="AN597" i="59"/>
  <c r="AO597" i="59"/>
  <c r="AP597" i="59"/>
  <c r="AQ597" i="59"/>
  <c r="AR597" i="59"/>
  <c r="AS597" i="59"/>
  <c r="AT597" i="59"/>
  <c r="AU597" i="59"/>
  <c r="AV597" i="59"/>
  <c r="AW597" i="59"/>
  <c r="AX597" i="59"/>
  <c r="AY597" i="59"/>
  <c r="AZ597" i="59"/>
  <c r="BA597" i="59"/>
  <c r="BB597" i="59"/>
  <c r="BC597" i="59"/>
  <c r="BD597" i="59"/>
  <c r="BE597" i="59"/>
  <c r="BF597" i="59"/>
  <c r="BG597" i="59"/>
  <c r="BH597" i="59"/>
  <c r="BI597" i="59"/>
  <c r="BJ597" i="59"/>
  <c r="BK597" i="59"/>
  <c r="BL597" i="59"/>
  <c r="BM597" i="59"/>
  <c r="BN597" i="59"/>
  <c r="BO597" i="59"/>
  <c r="BP597" i="59"/>
  <c r="BQ597" i="59"/>
  <c r="AG598" i="59"/>
  <c r="AH598" i="59"/>
  <c r="AI598" i="59"/>
  <c r="AJ598" i="59"/>
  <c r="AK598" i="59"/>
  <c r="AL598" i="59"/>
  <c r="AM598" i="59"/>
  <c r="AN598" i="59"/>
  <c r="AO598" i="59"/>
  <c r="AP598" i="59"/>
  <c r="AQ598" i="59"/>
  <c r="AR598" i="59"/>
  <c r="AS598" i="59"/>
  <c r="AT598" i="59"/>
  <c r="AU598" i="59"/>
  <c r="AV598" i="59"/>
  <c r="AW598" i="59"/>
  <c r="AX598" i="59"/>
  <c r="AY598" i="59"/>
  <c r="AZ598" i="59"/>
  <c r="BA598" i="59"/>
  <c r="BB598" i="59"/>
  <c r="BC598" i="59"/>
  <c r="BD598" i="59"/>
  <c r="BE598" i="59"/>
  <c r="BF598" i="59"/>
  <c r="BG598" i="59"/>
  <c r="BH598" i="59"/>
  <c r="BI598" i="59"/>
  <c r="BJ598" i="59"/>
  <c r="BK598" i="59"/>
  <c r="BL598" i="59"/>
  <c r="BM598" i="59"/>
  <c r="BN598" i="59"/>
  <c r="BO598" i="59"/>
  <c r="BP598" i="59"/>
  <c r="BQ598" i="59"/>
  <c r="AH599" i="59"/>
  <c r="AI599" i="59"/>
  <c r="AJ599" i="59"/>
  <c r="AK599" i="59"/>
  <c r="AL599" i="59"/>
  <c r="AM599" i="59"/>
  <c r="AN599" i="59"/>
  <c r="AO599" i="59"/>
  <c r="AP599" i="59"/>
  <c r="AQ599" i="59"/>
  <c r="AR599" i="59"/>
  <c r="AS599" i="59"/>
  <c r="AT599" i="59"/>
  <c r="AU599" i="59"/>
  <c r="AV599" i="59"/>
  <c r="AW599" i="59"/>
  <c r="AX599" i="59"/>
  <c r="AY599" i="59"/>
  <c r="AZ599" i="59"/>
  <c r="BA599" i="59"/>
  <c r="BB599" i="59"/>
  <c r="BC599" i="59"/>
  <c r="BD599" i="59"/>
  <c r="BE599" i="59"/>
  <c r="BF599" i="59"/>
  <c r="BG599" i="59"/>
  <c r="BH599" i="59"/>
  <c r="BI599" i="59"/>
  <c r="BJ599" i="59"/>
  <c r="BK599" i="59"/>
  <c r="BL599" i="59"/>
  <c r="BM599" i="59"/>
  <c r="BN599" i="59"/>
  <c r="BO599" i="59"/>
  <c r="BP599" i="59"/>
  <c r="BQ599" i="59"/>
  <c r="BO592" i="59"/>
  <c r="BP592" i="59"/>
  <c r="BL592" i="59"/>
  <c r="BM592" i="59"/>
  <c r="BN592" i="59"/>
  <c r="BI592" i="59"/>
  <c r="BJ592" i="59"/>
  <c r="BK592" i="59"/>
  <c r="BF592" i="59"/>
  <c r="BG592" i="59"/>
  <c r="BH592" i="59"/>
  <c r="BE592" i="59"/>
  <c r="BD592" i="59"/>
  <c r="BC592" i="59"/>
  <c r="BB592" i="59"/>
  <c r="AY592" i="59"/>
  <c r="AS592" i="59"/>
  <c r="AI592" i="59"/>
  <c r="AH592" i="59"/>
  <c r="BA592" i="59"/>
  <c r="AZ592" i="59"/>
  <c r="AX592" i="59"/>
  <c r="AW592" i="59"/>
  <c r="AV592" i="59"/>
  <c r="AU592" i="59"/>
  <c r="AT592" i="59"/>
  <c r="AR592" i="59"/>
  <c r="AQ592" i="59"/>
  <c r="AP592" i="59"/>
  <c r="AO592" i="59"/>
  <c r="AN592" i="59"/>
  <c r="AM592" i="59"/>
  <c r="AL592" i="59"/>
  <c r="AK592" i="59"/>
  <c r="AJ592" i="59"/>
  <c r="B568" i="59"/>
  <c r="B543" i="59"/>
  <c r="B518" i="59"/>
  <c r="B573" i="59"/>
  <c r="B572" i="59"/>
  <c r="AN568" i="59"/>
  <c r="AL568" i="59"/>
  <c r="AJ568" i="59"/>
  <c r="AL567" i="59"/>
  <c r="AJ567" i="59"/>
  <c r="BI565" i="59"/>
  <c r="BH565" i="59"/>
  <c r="BG565" i="59"/>
  <c r="AK565" i="59"/>
  <c r="AM565" i="59"/>
  <c r="AN565" i="59"/>
  <c r="AP565" i="59"/>
  <c r="AQ565" i="59"/>
  <c r="AS565" i="59"/>
  <c r="AT565" i="59"/>
  <c r="AV565" i="59"/>
  <c r="AW565" i="59"/>
  <c r="AY565" i="59"/>
  <c r="AZ565" i="59"/>
  <c r="BB565" i="59"/>
  <c r="AJ565" i="59"/>
  <c r="AH565" i="59"/>
  <c r="AG558" i="59"/>
  <c r="AH558" i="59"/>
  <c r="AI558" i="59"/>
  <c r="AJ558" i="59"/>
  <c r="AK558" i="59"/>
  <c r="AL558" i="59"/>
  <c r="AM558" i="59"/>
  <c r="AN558" i="59"/>
  <c r="AO558" i="59"/>
  <c r="AP558" i="59"/>
  <c r="AQ558" i="59"/>
  <c r="AR558" i="59"/>
  <c r="AS558" i="59"/>
  <c r="AT558" i="59"/>
  <c r="AU558" i="59"/>
  <c r="AV558" i="59"/>
  <c r="AW558" i="59"/>
  <c r="AX558" i="59"/>
  <c r="AY558" i="59"/>
  <c r="AZ558" i="59"/>
  <c r="BA558" i="59"/>
  <c r="BB558" i="59"/>
  <c r="BC558" i="59"/>
  <c r="BD558" i="59"/>
  <c r="BE558" i="59"/>
  <c r="AG559" i="59"/>
  <c r="AH559" i="59"/>
  <c r="AI559" i="59"/>
  <c r="AJ559" i="59"/>
  <c r="AK559" i="59"/>
  <c r="AL559" i="59"/>
  <c r="AM559" i="59"/>
  <c r="AN559" i="59"/>
  <c r="AO559" i="59"/>
  <c r="AP559" i="59"/>
  <c r="AQ559" i="59"/>
  <c r="AR559" i="59"/>
  <c r="AS559" i="59"/>
  <c r="AT559" i="59"/>
  <c r="AU559" i="59"/>
  <c r="AV559" i="59"/>
  <c r="AW559" i="59"/>
  <c r="AX559" i="59"/>
  <c r="AY559" i="59"/>
  <c r="AZ559" i="59"/>
  <c r="BA559" i="59"/>
  <c r="BB559" i="59"/>
  <c r="BC559" i="59"/>
  <c r="BD559" i="59"/>
  <c r="BE559" i="59"/>
  <c r="AG560" i="59"/>
  <c r="AH560" i="59"/>
  <c r="AI560" i="59"/>
  <c r="AJ560" i="59"/>
  <c r="AK560" i="59"/>
  <c r="AL560" i="59"/>
  <c r="AM560" i="59"/>
  <c r="AN560" i="59"/>
  <c r="AO560" i="59"/>
  <c r="AP560" i="59"/>
  <c r="AQ560" i="59"/>
  <c r="AR560" i="59"/>
  <c r="AS560" i="59"/>
  <c r="AT560" i="59"/>
  <c r="AU560" i="59"/>
  <c r="AV560" i="59"/>
  <c r="AW560" i="59"/>
  <c r="AX560" i="59"/>
  <c r="AY560" i="59"/>
  <c r="AZ560" i="59"/>
  <c r="BA560" i="59"/>
  <c r="BB560" i="59"/>
  <c r="BC560" i="59"/>
  <c r="BD560" i="59"/>
  <c r="BE560" i="59"/>
  <c r="AG561" i="59"/>
  <c r="AH561" i="59"/>
  <c r="AI561" i="59"/>
  <c r="AJ561" i="59"/>
  <c r="AK561" i="59"/>
  <c r="AL561" i="59"/>
  <c r="AM561" i="59"/>
  <c r="AN561" i="59"/>
  <c r="AO561" i="59"/>
  <c r="AP561" i="59"/>
  <c r="AQ561" i="59"/>
  <c r="AR561" i="59"/>
  <c r="AS561" i="59"/>
  <c r="AT561" i="59"/>
  <c r="AU561" i="59"/>
  <c r="AV561" i="59"/>
  <c r="AW561" i="59"/>
  <c r="AX561" i="59"/>
  <c r="AY561" i="59"/>
  <c r="AZ561" i="59"/>
  <c r="BA561" i="59"/>
  <c r="BB561" i="59"/>
  <c r="BC561" i="59"/>
  <c r="BD561" i="59"/>
  <c r="BE561" i="59"/>
  <c r="AG562" i="59"/>
  <c r="AH562" i="59"/>
  <c r="AI562" i="59"/>
  <c r="AJ562" i="59"/>
  <c r="AK562" i="59"/>
  <c r="AL562" i="59"/>
  <c r="AM562" i="59"/>
  <c r="AN562" i="59"/>
  <c r="AO562" i="59"/>
  <c r="AP562" i="59"/>
  <c r="AQ562" i="59"/>
  <c r="AR562" i="59"/>
  <c r="AS562" i="59"/>
  <c r="AT562" i="59"/>
  <c r="AU562" i="59"/>
  <c r="AV562" i="59"/>
  <c r="AW562" i="59"/>
  <c r="AX562" i="59"/>
  <c r="AY562" i="59"/>
  <c r="AZ562" i="59"/>
  <c r="BA562" i="59"/>
  <c r="BB562" i="59"/>
  <c r="BC562" i="59"/>
  <c r="BD562" i="59"/>
  <c r="BE562" i="59"/>
  <c r="AG563" i="59"/>
  <c r="AH563" i="59"/>
  <c r="AI563" i="59"/>
  <c r="AJ563" i="59"/>
  <c r="AK563" i="59"/>
  <c r="AL563" i="59"/>
  <c r="AM563" i="59"/>
  <c r="AN563" i="59"/>
  <c r="AO563" i="59"/>
  <c r="AP563" i="59"/>
  <c r="AQ563" i="59"/>
  <c r="AR563" i="59"/>
  <c r="AS563" i="59"/>
  <c r="AT563" i="59"/>
  <c r="AU563" i="59"/>
  <c r="AV563" i="59"/>
  <c r="AW563" i="59"/>
  <c r="AX563" i="59"/>
  <c r="AY563" i="59"/>
  <c r="AZ563" i="59"/>
  <c r="BA563" i="59"/>
  <c r="BB563" i="59"/>
  <c r="BC563" i="59"/>
  <c r="BC565" i="59" s="1"/>
  <c r="BD563" i="59"/>
  <c r="BE563" i="59"/>
  <c r="BE565" i="59" s="1"/>
  <c r="AH564" i="59"/>
  <c r="AI564" i="59"/>
  <c r="AJ564" i="59"/>
  <c r="AK564" i="59"/>
  <c r="AL564" i="59"/>
  <c r="AM564" i="59"/>
  <c r="AN564" i="59"/>
  <c r="AO564" i="59"/>
  <c r="AP564" i="59"/>
  <c r="AQ564" i="59"/>
  <c r="AR564" i="59"/>
  <c r="AS564" i="59"/>
  <c r="AT564" i="59"/>
  <c r="AU564" i="59"/>
  <c r="AV564" i="59"/>
  <c r="AW564" i="59"/>
  <c r="AX564" i="59"/>
  <c r="AY564" i="59"/>
  <c r="AZ564" i="59"/>
  <c r="BA564" i="59"/>
  <c r="BB564" i="59"/>
  <c r="BC564" i="59"/>
  <c r="BD564" i="59"/>
  <c r="BE564" i="59"/>
  <c r="BE557" i="59"/>
  <c r="AY557" i="59"/>
  <c r="AM557" i="59"/>
  <c r="AL557" i="59"/>
  <c r="AK557" i="59"/>
  <c r="AJ557" i="59"/>
  <c r="AI557" i="59"/>
  <c r="AH557" i="59"/>
  <c r="BD557" i="59"/>
  <c r="BC557" i="59"/>
  <c r="BB557" i="59"/>
  <c r="BA557" i="59"/>
  <c r="AZ557" i="59"/>
  <c r="AX557" i="59"/>
  <c r="AW557" i="59"/>
  <c r="AV557" i="59"/>
  <c r="AU557" i="59"/>
  <c r="AT557" i="59"/>
  <c r="AS557" i="59"/>
  <c r="AR557" i="59"/>
  <c r="AQ557" i="59"/>
  <c r="AP557" i="59"/>
  <c r="AO557" i="59"/>
  <c r="AN557" i="59"/>
  <c r="B548" i="59"/>
  <c r="B547" i="59"/>
  <c r="BI540" i="59"/>
  <c r="BH540" i="59"/>
  <c r="BG540" i="59"/>
  <c r="BH515" i="59"/>
  <c r="BG515" i="59"/>
  <c r="AN543" i="59"/>
  <c r="AL543" i="59"/>
  <c r="AL542" i="59"/>
  <c r="AK540" i="59"/>
  <c r="AM540" i="59"/>
  <c r="AN540" i="59"/>
  <c r="AP540" i="59"/>
  <c r="AQ540" i="59"/>
  <c r="AS540" i="59"/>
  <c r="AT540" i="59"/>
  <c r="AV540" i="59"/>
  <c r="AW540" i="59"/>
  <c r="AY540" i="59"/>
  <c r="AZ540" i="59"/>
  <c r="BB540" i="59"/>
  <c r="BC540" i="59"/>
  <c r="AJ540" i="59"/>
  <c r="AH540" i="59"/>
  <c r="AG533" i="59"/>
  <c r="AH533" i="59"/>
  <c r="AI533" i="59"/>
  <c r="AJ533" i="59"/>
  <c r="AK533" i="59"/>
  <c r="AL533" i="59"/>
  <c r="AM533" i="59"/>
  <c r="AN533" i="59"/>
  <c r="AO533" i="59"/>
  <c r="AP533" i="59"/>
  <c r="AQ533" i="59"/>
  <c r="AR533" i="59"/>
  <c r="AS533" i="59"/>
  <c r="AT533" i="59"/>
  <c r="AU533" i="59"/>
  <c r="AV533" i="59"/>
  <c r="AW533" i="59"/>
  <c r="AX533" i="59"/>
  <c r="AY533" i="59"/>
  <c r="AZ533" i="59"/>
  <c r="BA533" i="59"/>
  <c r="BB533" i="59"/>
  <c r="BC533" i="59"/>
  <c r="BD533" i="59"/>
  <c r="BE533" i="59"/>
  <c r="AG534" i="59"/>
  <c r="AH534" i="59"/>
  <c r="AI534" i="59"/>
  <c r="AJ534" i="59"/>
  <c r="AK534" i="59"/>
  <c r="AL534" i="59"/>
  <c r="AM534" i="59"/>
  <c r="AN534" i="59"/>
  <c r="AO534" i="59"/>
  <c r="AP534" i="59"/>
  <c r="AQ534" i="59"/>
  <c r="AR534" i="59"/>
  <c r="AS534" i="59"/>
  <c r="AT534" i="59"/>
  <c r="AU534" i="59"/>
  <c r="AV534" i="59"/>
  <c r="AW534" i="59"/>
  <c r="AX534" i="59"/>
  <c r="AY534" i="59"/>
  <c r="AZ534" i="59"/>
  <c r="BA534" i="59"/>
  <c r="BB534" i="59"/>
  <c r="BC534" i="59"/>
  <c r="BD534" i="59"/>
  <c r="BE534" i="59"/>
  <c r="AG535" i="59"/>
  <c r="AH535" i="59"/>
  <c r="AI535" i="59"/>
  <c r="AJ535" i="59"/>
  <c r="AK535" i="59"/>
  <c r="AL535" i="59"/>
  <c r="AM535" i="59"/>
  <c r="AN535" i="59"/>
  <c r="AO535" i="59"/>
  <c r="AP535" i="59"/>
  <c r="AQ535" i="59"/>
  <c r="AR535" i="59"/>
  <c r="AS535" i="59"/>
  <c r="AT535" i="59"/>
  <c r="AU535" i="59"/>
  <c r="AV535" i="59"/>
  <c r="AW535" i="59"/>
  <c r="AX535" i="59"/>
  <c r="AY535" i="59"/>
  <c r="AZ535" i="59"/>
  <c r="BA535" i="59"/>
  <c r="BB535" i="59"/>
  <c r="BC535" i="59"/>
  <c r="BD535" i="59"/>
  <c r="BE535" i="59"/>
  <c r="AG536" i="59"/>
  <c r="AH536" i="59"/>
  <c r="AI536" i="59"/>
  <c r="AJ536" i="59"/>
  <c r="AK536" i="59"/>
  <c r="AL536" i="59"/>
  <c r="AM536" i="59"/>
  <c r="AN536" i="59"/>
  <c r="AO536" i="59"/>
  <c r="AP536" i="59"/>
  <c r="AQ536" i="59"/>
  <c r="AR536" i="59"/>
  <c r="AS536" i="59"/>
  <c r="AT536" i="59"/>
  <c r="AU536" i="59"/>
  <c r="AV536" i="59"/>
  <c r="AW536" i="59"/>
  <c r="AX536" i="59"/>
  <c r="AY536" i="59"/>
  <c r="AZ536" i="59"/>
  <c r="BA536" i="59"/>
  <c r="BB536" i="59"/>
  <c r="BC536" i="59"/>
  <c r="BD536" i="59"/>
  <c r="BE536" i="59"/>
  <c r="AG537" i="59"/>
  <c r="AH537" i="59"/>
  <c r="AI537" i="59"/>
  <c r="AJ537" i="59"/>
  <c r="AK537" i="59"/>
  <c r="AL537" i="59"/>
  <c r="AM537" i="59"/>
  <c r="AN537" i="59"/>
  <c r="AO537" i="59"/>
  <c r="AP537" i="59"/>
  <c r="AQ537" i="59"/>
  <c r="AR537" i="59"/>
  <c r="AS537" i="59"/>
  <c r="AT537" i="59"/>
  <c r="AU537" i="59"/>
  <c r="AV537" i="59"/>
  <c r="AW537" i="59"/>
  <c r="AX537" i="59"/>
  <c r="AY537" i="59"/>
  <c r="AZ537" i="59"/>
  <c r="BA537" i="59"/>
  <c r="BB537" i="59"/>
  <c r="BC537" i="59"/>
  <c r="BD537" i="59"/>
  <c r="BE537" i="59"/>
  <c r="BE540" i="59" s="1"/>
  <c r="AJ542" i="59" s="1"/>
  <c r="AG538" i="59"/>
  <c r="AH538" i="59"/>
  <c r="AI538" i="59"/>
  <c r="AJ538" i="59"/>
  <c r="AK538" i="59"/>
  <c r="AL538" i="59"/>
  <c r="AM538" i="59"/>
  <c r="AN538" i="59"/>
  <c r="AO538" i="59"/>
  <c r="AP538" i="59"/>
  <c r="AQ538" i="59"/>
  <c r="AR538" i="59"/>
  <c r="AS538" i="59"/>
  <c r="AT538" i="59"/>
  <c r="AU538" i="59"/>
  <c r="AV538" i="59"/>
  <c r="AW538" i="59"/>
  <c r="AX538" i="59"/>
  <c r="AY538" i="59"/>
  <c r="AZ538" i="59"/>
  <c r="BA538" i="59"/>
  <c r="BB538" i="59"/>
  <c r="BC538" i="59"/>
  <c r="BD538" i="59"/>
  <c r="BE538" i="59"/>
  <c r="AH539" i="59"/>
  <c r="AI539" i="59"/>
  <c r="AJ539" i="59"/>
  <c r="AK539" i="59"/>
  <c r="AL539" i="59"/>
  <c r="AM539" i="59"/>
  <c r="AN539" i="59"/>
  <c r="AO539" i="59"/>
  <c r="AP539" i="59"/>
  <c r="AQ539" i="59"/>
  <c r="AR539" i="59"/>
  <c r="AS539" i="59"/>
  <c r="AT539" i="59"/>
  <c r="AU539" i="59"/>
  <c r="AV539" i="59"/>
  <c r="AW539" i="59"/>
  <c r="AX539" i="59"/>
  <c r="AY539" i="59"/>
  <c r="AZ539" i="59"/>
  <c r="BA539" i="59"/>
  <c r="BB539" i="59"/>
  <c r="BC539" i="59"/>
  <c r="BD539" i="59"/>
  <c r="BE539" i="59"/>
  <c r="BE532" i="59"/>
  <c r="AS532" i="59"/>
  <c r="AK532" i="59"/>
  <c r="AJ532" i="59"/>
  <c r="AI532" i="59"/>
  <c r="AH532" i="59"/>
  <c r="BD532" i="59"/>
  <c r="BC532" i="59"/>
  <c r="BB532" i="59"/>
  <c r="BA532" i="59"/>
  <c r="AZ532" i="59"/>
  <c r="AY532" i="59"/>
  <c r="AX532" i="59"/>
  <c r="AW532" i="59"/>
  <c r="AV532" i="59"/>
  <c r="AU532" i="59"/>
  <c r="AT532" i="59"/>
  <c r="AR532" i="59"/>
  <c r="AQ532" i="59"/>
  <c r="AP532" i="59"/>
  <c r="AO532" i="59"/>
  <c r="AN532" i="59"/>
  <c r="AM532" i="59"/>
  <c r="AL532" i="59"/>
  <c r="B523" i="59"/>
  <c r="B522" i="59"/>
  <c r="BF507" i="59"/>
  <c r="BI515" i="59"/>
  <c r="AN518" i="59"/>
  <c r="AL518" i="59"/>
  <c r="AJ518" i="59"/>
  <c r="AL517" i="59"/>
  <c r="AJ517" i="59"/>
  <c r="AK515" i="59"/>
  <c r="AM515" i="59"/>
  <c r="AN515" i="59"/>
  <c r="AP515" i="59"/>
  <c r="AQ515" i="59"/>
  <c r="AS515" i="59"/>
  <c r="AT515" i="59"/>
  <c r="AV515" i="59"/>
  <c r="AW515" i="59"/>
  <c r="AY515" i="59"/>
  <c r="AZ515" i="59"/>
  <c r="BB515" i="59"/>
  <c r="BC515" i="59"/>
  <c r="BE515" i="59"/>
  <c r="AJ515" i="59"/>
  <c r="AH515" i="59"/>
  <c r="AG508" i="59"/>
  <c r="AH508" i="59"/>
  <c r="AI508" i="59"/>
  <c r="AJ508" i="59"/>
  <c r="AK508" i="59"/>
  <c r="AL508" i="59"/>
  <c r="AM508" i="59"/>
  <c r="AN508" i="59"/>
  <c r="AO508" i="59"/>
  <c r="AP508" i="59"/>
  <c r="AQ508" i="59"/>
  <c r="AR508" i="59"/>
  <c r="AS508" i="59"/>
  <c r="AT508" i="59"/>
  <c r="AU508" i="59"/>
  <c r="AV508" i="59"/>
  <c r="AW508" i="59"/>
  <c r="AX508" i="59"/>
  <c r="AY508" i="59"/>
  <c r="AZ508" i="59"/>
  <c r="BA508" i="59"/>
  <c r="BB508" i="59"/>
  <c r="BC508" i="59"/>
  <c r="BD508" i="59"/>
  <c r="BE508" i="59"/>
  <c r="AG509" i="59"/>
  <c r="AH509" i="59"/>
  <c r="AI509" i="59"/>
  <c r="AJ509" i="59"/>
  <c r="AK509" i="59"/>
  <c r="AL509" i="59"/>
  <c r="AM509" i="59"/>
  <c r="AN509" i="59"/>
  <c r="AO509" i="59"/>
  <c r="AP509" i="59"/>
  <c r="AQ509" i="59"/>
  <c r="AR509" i="59"/>
  <c r="AS509" i="59"/>
  <c r="AT509" i="59"/>
  <c r="AU509" i="59"/>
  <c r="AV509" i="59"/>
  <c r="AW509" i="59"/>
  <c r="AX509" i="59"/>
  <c r="AY509" i="59"/>
  <c r="AZ509" i="59"/>
  <c r="BA509" i="59"/>
  <c r="BB509" i="59"/>
  <c r="BC509" i="59"/>
  <c r="BD509" i="59"/>
  <c r="BE509" i="59"/>
  <c r="AG510" i="59"/>
  <c r="AH510" i="59"/>
  <c r="AI510" i="59"/>
  <c r="AJ510" i="59"/>
  <c r="AK510" i="59"/>
  <c r="AL510" i="59"/>
  <c r="AM510" i="59"/>
  <c r="AN510" i="59"/>
  <c r="AO510" i="59"/>
  <c r="AP510" i="59"/>
  <c r="AQ510" i="59"/>
  <c r="AR510" i="59"/>
  <c r="AS510" i="59"/>
  <c r="AT510" i="59"/>
  <c r="AU510" i="59"/>
  <c r="AV510" i="59"/>
  <c r="AW510" i="59"/>
  <c r="AX510" i="59"/>
  <c r="AY510" i="59"/>
  <c r="AZ510" i="59"/>
  <c r="BA510" i="59"/>
  <c r="BB510" i="59"/>
  <c r="BC510" i="59"/>
  <c r="BD510" i="59"/>
  <c r="BE510" i="59"/>
  <c r="AG511" i="59"/>
  <c r="AH511" i="59"/>
  <c r="AI511" i="59"/>
  <c r="AJ511" i="59"/>
  <c r="AK511" i="59"/>
  <c r="AL511" i="59"/>
  <c r="AM511" i="59"/>
  <c r="AN511" i="59"/>
  <c r="AO511" i="59"/>
  <c r="AP511" i="59"/>
  <c r="AQ511" i="59"/>
  <c r="AR511" i="59"/>
  <c r="AS511" i="59"/>
  <c r="AT511" i="59"/>
  <c r="AU511" i="59"/>
  <c r="AV511" i="59"/>
  <c r="AW511" i="59"/>
  <c r="AX511" i="59"/>
  <c r="AY511" i="59"/>
  <c r="AZ511" i="59"/>
  <c r="BA511" i="59"/>
  <c r="BB511" i="59"/>
  <c r="BC511" i="59"/>
  <c r="BD511" i="59"/>
  <c r="BE511" i="59"/>
  <c r="AG512" i="59"/>
  <c r="AH512" i="59"/>
  <c r="AI512" i="59"/>
  <c r="AJ512" i="59"/>
  <c r="AK512" i="59"/>
  <c r="AL512" i="59"/>
  <c r="AM512" i="59"/>
  <c r="AN512" i="59"/>
  <c r="AO512" i="59"/>
  <c r="AP512" i="59"/>
  <c r="AQ512" i="59"/>
  <c r="AR512" i="59"/>
  <c r="AS512" i="59"/>
  <c r="AT512" i="59"/>
  <c r="AU512" i="59"/>
  <c r="AV512" i="59"/>
  <c r="AW512" i="59"/>
  <c r="AX512" i="59"/>
  <c r="AY512" i="59"/>
  <c r="AZ512" i="59"/>
  <c r="BA512" i="59"/>
  <c r="BB512" i="59"/>
  <c r="BC512" i="59"/>
  <c r="BD512" i="59"/>
  <c r="BE512" i="59"/>
  <c r="AG513" i="59"/>
  <c r="AH513" i="59"/>
  <c r="AI513" i="59"/>
  <c r="AJ513" i="59"/>
  <c r="AK513" i="59"/>
  <c r="AL513" i="59"/>
  <c r="AM513" i="59"/>
  <c r="AN513" i="59"/>
  <c r="AO513" i="59"/>
  <c r="AP513" i="59"/>
  <c r="AQ513" i="59"/>
  <c r="AR513" i="59"/>
  <c r="AS513" i="59"/>
  <c r="AT513" i="59"/>
  <c r="AU513" i="59"/>
  <c r="AV513" i="59"/>
  <c r="AW513" i="59"/>
  <c r="AX513" i="59"/>
  <c r="AY513" i="59"/>
  <c r="AZ513" i="59"/>
  <c r="BA513" i="59"/>
  <c r="BB513" i="59"/>
  <c r="BC513" i="59"/>
  <c r="BD513" i="59"/>
  <c r="BE513" i="59"/>
  <c r="AH514" i="59"/>
  <c r="AI514" i="59"/>
  <c r="AJ514" i="59"/>
  <c r="AK514" i="59"/>
  <c r="AL514" i="59"/>
  <c r="AM514" i="59"/>
  <c r="AN514" i="59"/>
  <c r="AO514" i="59"/>
  <c r="AP514" i="59"/>
  <c r="AQ514" i="59"/>
  <c r="AR514" i="59"/>
  <c r="AS514" i="59"/>
  <c r="AT514" i="59"/>
  <c r="AU514" i="59"/>
  <c r="AV514" i="59"/>
  <c r="AW514" i="59"/>
  <c r="AX514" i="59"/>
  <c r="AY514" i="59"/>
  <c r="AZ514" i="59"/>
  <c r="BA514" i="59"/>
  <c r="BB514" i="59"/>
  <c r="BC514" i="59"/>
  <c r="BD514" i="59"/>
  <c r="BE514" i="59"/>
  <c r="BE507" i="59"/>
  <c r="AT507" i="59"/>
  <c r="AS507" i="59"/>
  <c r="AR507" i="59"/>
  <c r="AP507" i="59"/>
  <c r="AJ507" i="59"/>
  <c r="AI507" i="59"/>
  <c r="AH507" i="59"/>
  <c r="BD507" i="59"/>
  <c r="BC507" i="59"/>
  <c r="BB507" i="59"/>
  <c r="BA507" i="59"/>
  <c r="AZ507" i="59"/>
  <c r="AY507" i="59"/>
  <c r="AX507" i="59"/>
  <c r="AW507" i="59"/>
  <c r="AV507" i="59"/>
  <c r="AU507" i="59"/>
  <c r="AQ507" i="59"/>
  <c r="AO507" i="59"/>
  <c r="AN507" i="59"/>
  <c r="AM507" i="59"/>
  <c r="AL507" i="59"/>
  <c r="AK507" i="59"/>
  <c r="B478" i="59"/>
  <c r="B477" i="59"/>
  <c r="B476" i="59"/>
  <c r="AU463" i="59"/>
  <c r="AU471" i="59" s="1"/>
  <c r="AW472" i="59" s="1"/>
  <c r="AW471" i="59"/>
  <c r="AV471" i="59"/>
  <c r="AU464" i="59"/>
  <c r="AV464" i="59"/>
  <c r="AW464" i="59"/>
  <c r="AU465" i="59"/>
  <c r="AV465" i="59"/>
  <c r="AW465" i="59"/>
  <c r="AU466" i="59"/>
  <c r="AV466" i="59"/>
  <c r="AW466" i="59"/>
  <c r="AU467" i="59"/>
  <c r="AV467" i="59"/>
  <c r="AW467" i="59"/>
  <c r="AU468" i="59"/>
  <c r="AV468" i="59"/>
  <c r="AW468" i="59"/>
  <c r="AU469" i="59"/>
  <c r="AV469" i="59"/>
  <c r="AW469" i="59"/>
  <c r="AU470" i="59"/>
  <c r="AV470" i="59"/>
  <c r="AW470" i="59"/>
  <c r="AW463" i="59"/>
  <c r="AV463" i="59"/>
  <c r="AN474" i="59"/>
  <c r="AL474" i="59"/>
  <c r="AJ474" i="59"/>
  <c r="AL473" i="59"/>
  <c r="AJ473" i="59"/>
  <c r="AK471" i="59"/>
  <c r="AM471" i="59"/>
  <c r="AN471" i="59"/>
  <c r="AP471" i="59"/>
  <c r="AQ471" i="59"/>
  <c r="AS471" i="59"/>
  <c r="AJ471" i="59"/>
  <c r="AH471" i="59"/>
  <c r="AG464" i="59"/>
  <c r="AH464" i="59"/>
  <c r="AI464" i="59"/>
  <c r="AJ464" i="59"/>
  <c r="AK464" i="59"/>
  <c r="AL464" i="59"/>
  <c r="AM464" i="59"/>
  <c r="AN464" i="59"/>
  <c r="AO464" i="59"/>
  <c r="AP464" i="59"/>
  <c r="AQ464" i="59"/>
  <c r="AR464" i="59"/>
  <c r="AS464" i="59"/>
  <c r="AG465" i="59"/>
  <c r="AH465" i="59"/>
  <c r="AI465" i="59"/>
  <c r="AJ465" i="59"/>
  <c r="AK465" i="59"/>
  <c r="AL465" i="59"/>
  <c r="AM465" i="59"/>
  <c r="AN465" i="59"/>
  <c r="AO465" i="59"/>
  <c r="AP465" i="59"/>
  <c r="AQ465" i="59"/>
  <c r="AR465" i="59"/>
  <c r="AS465" i="59"/>
  <c r="AG466" i="59"/>
  <c r="AH466" i="59"/>
  <c r="AI466" i="59"/>
  <c r="AJ466" i="59"/>
  <c r="AK466" i="59"/>
  <c r="AL466" i="59"/>
  <c r="AM466" i="59"/>
  <c r="AN466" i="59"/>
  <c r="AO466" i="59"/>
  <c r="AP466" i="59"/>
  <c r="AQ466" i="59"/>
  <c r="AR466" i="59"/>
  <c r="AS466" i="59"/>
  <c r="AG467" i="59"/>
  <c r="AH467" i="59"/>
  <c r="AI467" i="59"/>
  <c r="AJ467" i="59"/>
  <c r="AK467" i="59"/>
  <c r="AL467" i="59"/>
  <c r="AM467" i="59"/>
  <c r="AN467" i="59"/>
  <c r="AO467" i="59"/>
  <c r="AP467" i="59"/>
  <c r="AQ467" i="59"/>
  <c r="AR467" i="59"/>
  <c r="AS467" i="59"/>
  <c r="AG468" i="59"/>
  <c r="AH468" i="59"/>
  <c r="AI468" i="59"/>
  <c r="AJ468" i="59"/>
  <c r="AK468" i="59"/>
  <c r="AL468" i="59"/>
  <c r="AM468" i="59"/>
  <c r="AN468" i="59"/>
  <c r="AO468" i="59"/>
  <c r="AP468" i="59"/>
  <c r="AQ468" i="59"/>
  <c r="AR468" i="59"/>
  <c r="AS468" i="59"/>
  <c r="AG469" i="59"/>
  <c r="AH469" i="59"/>
  <c r="AI469" i="59"/>
  <c r="AJ469" i="59"/>
  <c r="AK469" i="59"/>
  <c r="AL469" i="59"/>
  <c r="AM469" i="59"/>
  <c r="AN469" i="59"/>
  <c r="AO469" i="59"/>
  <c r="AP469" i="59"/>
  <c r="AQ469" i="59"/>
  <c r="AR469" i="59"/>
  <c r="AS469" i="59"/>
  <c r="AH470" i="59"/>
  <c r="AI470" i="59"/>
  <c r="AJ470" i="59"/>
  <c r="AK470" i="59"/>
  <c r="AL470" i="59"/>
  <c r="AM470" i="59"/>
  <c r="AN470" i="59"/>
  <c r="AO470" i="59"/>
  <c r="AP470" i="59"/>
  <c r="AQ470" i="59"/>
  <c r="AR470" i="59"/>
  <c r="AS470" i="59"/>
  <c r="AS463" i="59"/>
  <c r="AM463" i="59"/>
  <c r="AK463" i="59"/>
  <c r="AJ463" i="59"/>
  <c r="AI463" i="59"/>
  <c r="AH463" i="59"/>
  <c r="AR463" i="59"/>
  <c r="AQ463" i="59"/>
  <c r="AP463" i="59"/>
  <c r="AO463" i="59"/>
  <c r="AN463" i="59"/>
  <c r="AL463" i="59"/>
  <c r="BI566" i="59" l="1"/>
  <c r="B574" i="59" s="1"/>
  <c r="BI541" i="59"/>
  <c r="B549" i="59" s="1"/>
  <c r="BI516" i="59"/>
  <c r="B524" i="59" s="1"/>
  <c r="B454" i="59" l="1"/>
  <c r="B453" i="59"/>
  <c r="B452" i="59"/>
  <c r="BF448" i="59"/>
  <c r="BF447" i="59"/>
  <c r="BE447" i="59"/>
  <c r="BD447" i="59"/>
  <c r="BD440" i="59"/>
  <c r="BE440" i="59"/>
  <c r="BF440" i="59"/>
  <c r="BD441" i="59"/>
  <c r="BE441" i="59"/>
  <c r="BF441" i="59"/>
  <c r="BD442" i="59"/>
  <c r="BE442" i="59"/>
  <c r="BF442" i="59"/>
  <c r="BD443" i="59"/>
  <c r="BE443" i="59"/>
  <c r="BF443" i="59"/>
  <c r="BD444" i="59"/>
  <c r="BE444" i="59"/>
  <c r="BF444" i="59"/>
  <c r="BD445" i="59"/>
  <c r="BE445" i="59"/>
  <c r="BF445" i="59"/>
  <c r="BD446" i="59"/>
  <c r="BE446" i="59"/>
  <c r="BF446" i="59"/>
  <c r="BF439" i="59"/>
  <c r="BE439" i="59"/>
  <c r="BD439" i="59"/>
  <c r="AN450" i="59"/>
  <c r="AL450" i="59"/>
  <c r="AJ450" i="59"/>
  <c r="AL449" i="59"/>
  <c r="AJ449" i="59"/>
  <c r="AK447" i="59"/>
  <c r="AM447" i="59"/>
  <c r="AN447" i="59"/>
  <c r="AP447" i="59"/>
  <c r="AQ447" i="59"/>
  <c r="AS447" i="59"/>
  <c r="AT447" i="59"/>
  <c r="AV447" i="59"/>
  <c r="AW447" i="59"/>
  <c r="AY447" i="59"/>
  <c r="AZ447" i="59"/>
  <c r="BB447" i="59"/>
  <c r="AJ447" i="59"/>
  <c r="AH447" i="59"/>
  <c r="AG440" i="59"/>
  <c r="AH440" i="59"/>
  <c r="AI440" i="59"/>
  <c r="AJ440" i="59"/>
  <c r="AK440" i="59"/>
  <c r="AL440" i="59"/>
  <c r="AM440" i="59"/>
  <c r="AN440" i="59"/>
  <c r="AO440" i="59"/>
  <c r="AP440" i="59"/>
  <c r="AQ440" i="59"/>
  <c r="AR440" i="59"/>
  <c r="AS440" i="59"/>
  <c r="AT440" i="59"/>
  <c r="AU440" i="59"/>
  <c r="AV440" i="59"/>
  <c r="AW440" i="59"/>
  <c r="AX440" i="59"/>
  <c r="AY440" i="59"/>
  <c r="AZ440" i="59"/>
  <c r="BA440" i="59"/>
  <c r="BB440" i="59"/>
  <c r="AG441" i="59"/>
  <c r="AH441" i="59"/>
  <c r="AI441" i="59"/>
  <c r="AJ441" i="59"/>
  <c r="AK441" i="59"/>
  <c r="AL441" i="59"/>
  <c r="AM441" i="59"/>
  <c r="AN441" i="59"/>
  <c r="AO441" i="59"/>
  <c r="AP441" i="59"/>
  <c r="AQ441" i="59"/>
  <c r="AR441" i="59"/>
  <c r="AS441" i="59"/>
  <c r="AT441" i="59"/>
  <c r="AU441" i="59"/>
  <c r="AV441" i="59"/>
  <c r="AW441" i="59"/>
  <c r="AX441" i="59"/>
  <c r="AY441" i="59"/>
  <c r="AZ441" i="59"/>
  <c r="BA441" i="59"/>
  <c r="BB441" i="59"/>
  <c r="AG442" i="59"/>
  <c r="AH442" i="59"/>
  <c r="AI442" i="59"/>
  <c r="AJ442" i="59"/>
  <c r="AK442" i="59"/>
  <c r="AL442" i="59"/>
  <c r="AM442" i="59"/>
  <c r="AN442" i="59"/>
  <c r="AO442" i="59"/>
  <c r="AP442" i="59"/>
  <c r="AQ442" i="59"/>
  <c r="AR442" i="59"/>
  <c r="AS442" i="59"/>
  <c r="AT442" i="59"/>
  <c r="AU442" i="59"/>
  <c r="AV442" i="59"/>
  <c r="AW442" i="59"/>
  <c r="AX442" i="59"/>
  <c r="AY442" i="59"/>
  <c r="AZ442" i="59"/>
  <c r="BA442" i="59"/>
  <c r="BB442" i="59"/>
  <c r="AG443" i="59"/>
  <c r="AH443" i="59"/>
  <c r="AI443" i="59"/>
  <c r="AJ443" i="59"/>
  <c r="AK443" i="59"/>
  <c r="AL443" i="59"/>
  <c r="AM443" i="59"/>
  <c r="AN443" i="59"/>
  <c r="AO443" i="59"/>
  <c r="AP443" i="59"/>
  <c r="AQ443" i="59"/>
  <c r="AR443" i="59"/>
  <c r="AS443" i="59"/>
  <c r="AT443" i="59"/>
  <c r="AU443" i="59"/>
  <c r="AV443" i="59"/>
  <c r="AW443" i="59"/>
  <c r="AX443" i="59"/>
  <c r="AY443" i="59"/>
  <c r="AZ443" i="59"/>
  <c r="BA443" i="59"/>
  <c r="BB443" i="59"/>
  <c r="AG444" i="59"/>
  <c r="AH444" i="59"/>
  <c r="AI444" i="59"/>
  <c r="AJ444" i="59"/>
  <c r="AK444" i="59"/>
  <c r="AL444" i="59"/>
  <c r="AM444" i="59"/>
  <c r="AN444" i="59"/>
  <c r="AO444" i="59"/>
  <c r="AP444" i="59"/>
  <c r="AQ444" i="59"/>
  <c r="AR444" i="59"/>
  <c r="AS444" i="59"/>
  <c r="AT444" i="59"/>
  <c r="AU444" i="59"/>
  <c r="AV444" i="59"/>
  <c r="AW444" i="59"/>
  <c r="AX444" i="59"/>
  <c r="AY444" i="59"/>
  <c r="AZ444" i="59"/>
  <c r="BA444" i="59"/>
  <c r="BB444" i="59"/>
  <c r="AG445" i="59"/>
  <c r="AH445" i="59"/>
  <c r="AI445" i="59"/>
  <c r="AJ445" i="59"/>
  <c r="AK445" i="59"/>
  <c r="AL445" i="59"/>
  <c r="AM445" i="59"/>
  <c r="AN445" i="59"/>
  <c r="AO445" i="59"/>
  <c r="AP445" i="59"/>
  <c r="AQ445" i="59"/>
  <c r="AR445" i="59"/>
  <c r="AS445" i="59"/>
  <c r="AT445" i="59"/>
  <c r="AU445" i="59"/>
  <c r="AV445" i="59"/>
  <c r="AW445" i="59"/>
  <c r="AX445" i="59"/>
  <c r="AY445" i="59"/>
  <c r="AZ445" i="59"/>
  <c r="BA445" i="59"/>
  <c r="BB445" i="59"/>
  <c r="AH446" i="59"/>
  <c r="AI446" i="59"/>
  <c r="AJ446" i="59"/>
  <c r="AK446" i="59"/>
  <c r="AL446" i="59"/>
  <c r="AM446" i="59"/>
  <c r="AN446" i="59"/>
  <c r="AO446" i="59"/>
  <c r="AP446" i="59"/>
  <c r="AQ446" i="59"/>
  <c r="AR446" i="59"/>
  <c r="AS446" i="59"/>
  <c r="AT446" i="59"/>
  <c r="AU446" i="59"/>
  <c r="AV446" i="59"/>
  <c r="AW446" i="59"/>
  <c r="AX446" i="59"/>
  <c r="AY446" i="59"/>
  <c r="AZ446" i="59"/>
  <c r="BA446" i="59"/>
  <c r="BB446" i="59"/>
  <c r="BB439" i="59"/>
  <c r="AV439" i="59"/>
  <c r="AU439" i="59"/>
  <c r="AT439" i="59"/>
  <c r="AS439" i="59"/>
  <c r="AR439" i="59"/>
  <c r="AQ439" i="59"/>
  <c r="AP439" i="59"/>
  <c r="AO439" i="59"/>
  <c r="AN439" i="59"/>
  <c r="AM439" i="59"/>
  <c r="AL439" i="59"/>
  <c r="AK439" i="59"/>
  <c r="AH439" i="59"/>
  <c r="BA439" i="59"/>
  <c r="AZ439" i="59"/>
  <c r="AY439" i="59"/>
  <c r="AX439" i="59"/>
  <c r="AW439" i="59"/>
  <c r="AJ439" i="59"/>
  <c r="AI439" i="59"/>
  <c r="B430" i="59"/>
  <c r="B429" i="59"/>
  <c r="B428" i="59"/>
  <c r="AI408" i="59"/>
  <c r="AI407" i="59"/>
  <c r="AH407" i="59"/>
  <c r="AG407" i="59"/>
  <c r="AG400" i="59"/>
  <c r="AH400" i="59"/>
  <c r="AI400" i="59"/>
  <c r="AG401" i="59"/>
  <c r="AH401" i="59"/>
  <c r="AI401" i="59"/>
  <c r="AG402" i="59"/>
  <c r="AH402" i="59"/>
  <c r="AI402" i="59"/>
  <c r="AG403" i="59"/>
  <c r="AH403" i="59"/>
  <c r="AI403" i="59"/>
  <c r="AG404" i="59"/>
  <c r="AH404" i="59"/>
  <c r="AI404" i="59"/>
  <c r="AG405" i="59"/>
  <c r="AH405" i="59"/>
  <c r="AI405" i="59"/>
  <c r="AG406" i="59"/>
  <c r="AH406" i="59"/>
  <c r="AI406" i="59"/>
  <c r="AI399" i="59"/>
  <c r="AH399" i="59"/>
  <c r="AG399" i="59"/>
  <c r="AN394" i="59"/>
  <c r="AL394" i="59"/>
  <c r="AJ394" i="59"/>
  <c r="AL393" i="59"/>
  <c r="AJ393" i="59"/>
  <c r="AK391" i="59"/>
  <c r="AM391" i="59"/>
  <c r="AN391" i="59"/>
  <c r="AP391" i="59"/>
  <c r="AQ391" i="59"/>
  <c r="AS391" i="59"/>
  <c r="AT391" i="59"/>
  <c r="AV391" i="59"/>
  <c r="AW391" i="59"/>
  <c r="AY391" i="59"/>
  <c r="AZ391" i="59"/>
  <c r="BB391" i="59"/>
  <c r="BC391" i="59"/>
  <c r="BE391" i="59"/>
  <c r="BF391" i="59"/>
  <c r="BH391" i="59"/>
  <c r="BI391" i="59"/>
  <c r="BK391" i="59"/>
  <c r="BL391" i="59"/>
  <c r="BN391" i="59"/>
  <c r="BO391" i="59"/>
  <c r="BQ391" i="59"/>
  <c r="BR391" i="59"/>
  <c r="BT391" i="59"/>
  <c r="BU391" i="59"/>
  <c r="BW391" i="59"/>
  <c r="BX391" i="59"/>
  <c r="BZ391" i="59"/>
  <c r="CA391" i="59"/>
  <c r="CC391" i="59"/>
  <c r="CD391" i="59"/>
  <c r="CF391" i="59"/>
  <c r="CG391" i="59"/>
  <c r="CI391" i="59"/>
  <c r="CJ391" i="59"/>
  <c r="CL391" i="59"/>
  <c r="CM391" i="59"/>
  <c r="CO391" i="59"/>
  <c r="CP391" i="59"/>
  <c r="CR391" i="59"/>
  <c r="CS391" i="59"/>
  <c r="CU391" i="59"/>
  <c r="CV391" i="59"/>
  <c r="CX391" i="59"/>
  <c r="AJ391" i="59"/>
  <c r="AH391" i="59"/>
  <c r="AG384" i="59"/>
  <c r="AH384" i="59"/>
  <c r="AI384" i="59"/>
  <c r="AJ384" i="59"/>
  <c r="AK384" i="59"/>
  <c r="AL384" i="59"/>
  <c r="AM384" i="59"/>
  <c r="AN384" i="59"/>
  <c r="AO384" i="59"/>
  <c r="AP384" i="59"/>
  <c r="AQ384" i="59"/>
  <c r="AR384" i="59"/>
  <c r="AS384" i="59"/>
  <c r="AT384" i="59"/>
  <c r="AU384" i="59"/>
  <c r="AV384" i="59"/>
  <c r="AW384" i="59"/>
  <c r="AX384" i="59"/>
  <c r="AY384" i="59"/>
  <c r="AZ384" i="59"/>
  <c r="BA384" i="59"/>
  <c r="BB384" i="59"/>
  <c r="BC384" i="59"/>
  <c r="BD384" i="59"/>
  <c r="BE384" i="59"/>
  <c r="BF384" i="59"/>
  <c r="BG384" i="59"/>
  <c r="BH384" i="59"/>
  <c r="BI384" i="59"/>
  <c r="BJ384" i="59"/>
  <c r="BK384" i="59"/>
  <c r="BL384" i="59"/>
  <c r="BM384" i="59"/>
  <c r="BN384" i="59"/>
  <c r="BO384" i="59"/>
  <c r="BP384" i="59"/>
  <c r="BQ384" i="59"/>
  <c r="BR384" i="59"/>
  <c r="BS384" i="59"/>
  <c r="BT384" i="59"/>
  <c r="BU384" i="59"/>
  <c r="BV384" i="59"/>
  <c r="BW384" i="59"/>
  <c r="BX384" i="59"/>
  <c r="BY384" i="59"/>
  <c r="BZ384" i="59"/>
  <c r="CA384" i="59"/>
  <c r="CB384" i="59"/>
  <c r="CC384" i="59"/>
  <c r="CD384" i="59"/>
  <c r="CE384" i="59"/>
  <c r="CF384" i="59"/>
  <c r="CG384" i="59"/>
  <c r="CH384" i="59"/>
  <c r="CI384" i="59"/>
  <c r="CJ384" i="59"/>
  <c r="CK384" i="59"/>
  <c r="CL384" i="59"/>
  <c r="CM384" i="59"/>
  <c r="CN384" i="59"/>
  <c r="CO384" i="59"/>
  <c r="CP384" i="59"/>
  <c r="CQ384" i="59"/>
  <c r="CR384" i="59"/>
  <c r="CS384" i="59"/>
  <c r="CT384" i="59"/>
  <c r="CU384" i="59"/>
  <c r="CV384" i="59"/>
  <c r="CW384" i="59"/>
  <c r="CX384" i="59"/>
  <c r="AG385" i="59"/>
  <c r="AH385" i="59"/>
  <c r="AI385" i="59"/>
  <c r="AJ385" i="59"/>
  <c r="AK385" i="59"/>
  <c r="AL385" i="59"/>
  <c r="AM385" i="59"/>
  <c r="AN385" i="59"/>
  <c r="AO385" i="59"/>
  <c r="AP385" i="59"/>
  <c r="AQ385" i="59"/>
  <c r="AR385" i="59"/>
  <c r="AS385" i="59"/>
  <c r="AT385" i="59"/>
  <c r="AU385" i="59"/>
  <c r="AV385" i="59"/>
  <c r="AW385" i="59"/>
  <c r="AX385" i="59"/>
  <c r="AY385" i="59"/>
  <c r="AZ385" i="59"/>
  <c r="BA385" i="59"/>
  <c r="BB385" i="59"/>
  <c r="BC385" i="59"/>
  <c r="BD385" i="59"/>
  <c r="BE385" i="59"/>
  <c r="BF385" i="59"/>
  <c r="BG385" i="59"/>
  <c r="BH385" i="59"/>
  <c r="BI385" i="59"/>
  <c r="BJ385" i="59"/>
  <c r="BK385" i="59"/>
  <c r="BL385" i="59"/>
  <c r="BM385" i="59"/>
  <c r="BN385" i="59"/>
  <c r="BO385" i="59"/>
  <c r="BP385" i="59"/>
  <c r="BQ385" i="59"/>
  <c r="BR385" i="59"/>
  <c r="BS385" i="59"/>
  <c r="BT385" i="59"/>
  <c r="BU385" i="59"/>
  <c r="BV385" i="59"/>
  <c r="BW385" i="59"/>
  <c r="BX385" i="59"/>
  <c r="BY385" i="59"/>
  <c r="BZ385" i="59"/>
  <c r="CA385" i="59"/>
  <c r="CB385" i="59"/>
  <c r="CC385" i="59"/>
  <c r="CD385" i="59"/>
  <c r="CE385" i="59"/>
  <c r="CF385" i="59"/>
  <c r="CG385" i="59"/>
  <c r="CH385" i="59"/>
  <c r="CI385" i="59"/>
  <c r="CJ385" i="59"/>
  <c r="CK385" i="59"/>
  <c r="CL385" i="59"/>
  <c r="CM385" i="59"/>
  <c r="CN385" i="59"/>
  <c r="CO385" i="59"/>
  <c r="CP385" i="59"/>
  <c r="CQ385" i="59"/>
  <c r="CR385" i="59"/>
  <c r="CS385" i="59"/>
  <c r="CT385" i="59"/>
  <c r="CU385" i="59"/>
  <c r="CV385" i="59"/>
  <c r="CW385" i="59"/>
  <c r="CX385" i="59"/>
  <c r="AG386" i="59"/>
  <c r="AH386" i="59"/>
  <c r="AI386" i="59"/>
  <c r="AJ386" i="59"/>
  <c r="AK386" i="59"/>
  <c r="AL386" i="59"/>
  <c r="AM386" i="59"/>
  <c r="AN386" i="59"/>
  <c r="AO386" i="59"/>
  <c r="AP386" i="59"/>
  <c r="AQ386" i="59"/>
  <c r="AR386" i="59"/>
  <c r="AS386" i="59"/>
  <c r="AT386" i="59"/>
  <c r="AU386" i="59"/>
  <c r="AV386" i="59"/>
  <c r="AW386" i="59"/>
  <c r="AX386" i="59"/>
  <c r="AY386" i="59"/>
  <c r="AZ386" i="59"/>
  <c r="BA386" i="59"/>
  <c r="BB386" i="59"/>
  <c r="BC386" i="59"/>
  <c r="BD386" i="59"/>
  <c r="BE386" i="59"/>
  <c r="BF386" i="59"/>
  <c r="BG386" i="59"/>
  <c r="BH386" i="59"/>
  <c r="BI386" i="59"/>
  <c r="BJ386" i="59"/>
  <c r="BK386" i="59"/>
  <c r="BL386" i="59"/>
  <c r="BM386" i="59"/>
  <c r="BN386" i="59"/>
  <c r="BO386" i="59"/>
  <c r="BP386" i="59"/>
  <c r="BQ386" i="59"/>
  <c r="BR386" i="59"/>
  <c r="BS386" i="59"/>
  <c r="BT386" i="59"/>
  <c r="BU386" i="59"/>
  <c r="BV386" i="59"/>
  <c r="BW386" i="59"/>
  <c r="BX386" i="59"/>
  <c r="BY386" i="59"/>
  <c r="BZ386" i="59"/>
  <c r="CA386" i="59"/>
  <c r="CB386" i="59"/>
  <c r="CC386" i="59"/>
  <c r="CD386" i="59"/>
  <c r="CE386" i="59"/>
  <c r="CF386" i="59"/>
  <c r="CG386" i="59"/>
  <c r="CH386" i="59"/>
  <c r="CI386" i="59"/>
  <c r="CJ386" i="59"/>
  <c r="CK386" i="59"/>
  <c r="CL386" i="59"/>
  <c r="CM386" i="59"/>
  <c r="CN386" i="59"/>
  <c r="CO386" i="59"/>
  <c r="CP386" i="59"/>
  <c r="CQ386" i="59"/>
  <c r="CR386" i="59"/>
  <c r="CS386" i="59"/>
  <c r="CT386" i="59"/>
  <c r="CU386" i="59"/>
  <c r="CV386" i="59"/>
  <c r="CW386" i="59"/>
  <c r="CX386" i="59"/>
  <c r="AG387" i="59"/>
  <c r="AH387" i="59"/>
  <c r="AI387" i="59"/>
  <c r="AJ387" i="59"/>
  <c r="AK387" i="59"/>
  <c r="AL387" i="59"/>
  <c r="AM387" i="59"/>
  <c r="AN387" i="59"/>
  <c r="AO387" i="59"/>
  <c r="AP387" i="59"/>
  <c r="AQ387" i="59"/>
  <c r="AR387" i="59"/>
  <c r="AS387" i="59"/>
  <c r="AT387" i="59"/>
  <c r="AU387" i="59"/>
  <c r="AV387" i="59"/>
  <c r="AW387" i="59"/>
  <c r="AX387" i="59"/>
  <c r="AY387" i="59"/>
  <c r="AZ387" i="59"/>
  <c r="BA387" i="59"/>
  <c r="BB387" i="59"/>
  <c r="BC387" i="59"/>
  <c r="BD387" i="59"/>
  <c r="BE387" i="59"/>
  <c r="BF387" i="59"/>
  <c r="BG387" i="59"/>
  <c r="BH387" i="59"/>
  <c r="BI387" i="59"/>
  <c r="BJ387" i="59"/>
  <c r="BK387" i="59"/>
  <c r="BL387" i="59"/>
  <c r="BM387" i="59"/>
  <c r="BN387" i="59"/>
  <c r="BO387" i="59"/>
  <c r="BP387" i="59"/>
  <c r="BQ387" i="59"/>
  <c r="BR387" i="59"/>
  <c r="BS387" i="59"/>
  <c r="BT387" i="59"/>
  <c r="BU387" i="59"/>
  <c r="BV387" i="59"/>
  <c r="BW387" i="59"/>
  <c r="BX387" i="59"/>
  <c r="BY387" i="59"/>
  <c r="BZ387" i="59"/>
  <c r="CA387" i="59"/>
  <c r="CB387" i="59"/>
  <c r="CC387" i="59"/>
  <c r="CD387" i="59"/>
  <c r="CE387" i="59"/>
  <c r="CF387" i="59"/>
  <c r="CG387" i="59"/>
  <c r="CH387" i="59"/>
  <c r="CI387" i="59"/>
  <c r="CJ387" i="59"/>
  <c r="CK387" i="59"/>
  <c r="CL387" i="59"/>
  <c r="CM387" i="59"/>
  <c r="CN387" i="59"/>
  <c r="CO387" i="59"/>
  <c r="CP387" i="59"/>
  <c r="CQ387" i="59"/>
  <c r="CR387" i="59"/>
  <c r="CS387" i="59"/>
  <c r="CT387" i="59"/>
  <c r="CU387" i="59"/>
  <c r="CV387" i="59"/>
  <c r="CW387" i="59"/>
  <c r="CX387" i="59"/>
  <c r="AG388" i="59"/>
  <c r="AH388" i="59"/>
  <c r="AI388" i="59"/>
  <c r="AJ388" i="59"/>
  <c r="AK388" i="59"/>
  <c r="AL388" i="59"/>
  <c r="AM388" i="59"/>
  <c r="AN388" i="59"/>
  <c r="AO388" i="59"/>
  <c r="AP388" i="59"/>
  <c r="AQ388" i="59"/>
  <c r="AR388" i="59"/>
  <c r="AS388" i="59"/>
  <c r="AT388" i="59"/>
  <c r="AU388" i="59"/>
  <c r="AV388" i="59"/>
  <c r="AW388" i="59"/>
  <c r="AX388" i="59"/>
  <c r="AY388" i="59"/>
  <c r="AZ388" i="59"/>
  <c r="BA388" i="59"/>
  <c r="BB388" i="59"/>
  <c r="BC388" i="59"/>
  <c r="BD388" i="59"/>
  <c r="BE388" i="59"/>
  <c r="BF388" i="59"/>
  <c r="BG388" i="59"/>
  <c r="BH388" i="59"/>
  <c r="BI388" i="59"/>
  <c r="BJ388" i="59"/>
  <c r="BK388" i="59"/>
  <c r="BL388" i="59"/>
  <c r="BM388" i="59"/>
  <c r="BN388" i="59"/>
  <c r="BO388" i="59"/>
  <c r="BP388" i="59"/>
  <c r="BQ388" i="59"/>
  <c r="BR388" i="59"/>
  <c r="BS388" i="59"/>
  <c r="BT388" i="59"/>
  <c r="BU388" i="59"/>
  <c r="BV388" i="59"/>
  <c r="BW388" i="59"/>
  <c r="BX388" i="59"/>
  <c r="BY388" i="59"/>
  <c r="BZ388" i="59"/>
  <c r="CA388" i="59"/>
  <c r="CB388" i="59"/>
  <c r="CC388" i="59"/>
  <c r="CD388" i="59"/>
  <c r="CE388" i="59"/>
  <c r="CF388" i="59"/>
  <c r="CG388" i="59"/>
  <c r="CH388" i="59"/>
  <c r="CI388" i="59"/>
  <c r="CJ388" i="59"/>
  <c r="CK388" i="59"/>
  <c r="CL388" i="59"/>
  <c r="CM388" i="59"/>
  <c r="CN388" i="59"/>
  <c r="CO388" i="59"/>
  <c r="CP388" i="59"/>
  <c r="CQ388" i="59"/>
  <c r="CR388" i="59"/>
  <c r="CS388" i="59"/>
  <c r="CT388" i="59"/>
  <c r="CU388" i="59"/>
  <c r="CV388" i="59"/>
  <c r="CW388" i="59"/>
  <c r="CX388" i="59"/>
  <c r="AG389" i="59"/>
  <c r="AH389" i="59"/>
  <c r="AI389" i="59"/>
  <c r="AJ389" i="59"/>
  <c r="AK389" i="59"/>
  <c r="AL389" i="59"/>
  <c r="AM389" i="59"/>
  <c r="AN389" i="59"/>
  <c r="AO389" i="59"/>
  <c r="AP389" i="59"/>
  <c r="AQ389" i="59"/>
  <c r="AR389" i="59"/>
  <c r="AS389" i="59"/>
  <c r="AT389" i="59"/>
  <c r="AU389" i="59"/>
  <c r="AV389" i="59"/>
  <c r="AW389" i="59"/>
  <c r="AX389" i="59"/>
  <c r="AY389" i="59"/>
  <c r="AZ389" i="59"/>
  <c r="BA389" i="59"/>
  <c r="BB389" i="59"/>
  <c r="BC389" i="59"/>
  <c r="BD389" i="59"/>
  <c r="BE389" i="59"/>
  <c r="BF389" i="59"/>
  <c r="BG389" i="59"/>
  <c r="BH389" i="59"/>
  <c r="BI389" i="59"/>
  <c r="BJ389" i="59"/>
  <c r="BK389" i="59"/>
  <c r="BL389" i="59"/>
  <c r="BM389" i="59"/>
  <c r="BN389" i="59"/>
  <c r="BO389" i="59"/>
  <c r="BP389" i="59"/>
  <c r="BQ389" i="59"/>
  <c r="BR389" i="59"/>
  <c r="BS389" i="59"/>
  <c r="BT389" i="59"/>
  <c r="BU389" i="59"/>
  <c r="BV389" i="59"/>
  <c r="BW389" i="59"/>
  <c r="BX389" i="59"/>
  <c r="BY389" i="59"/>
  <c r="BZ389" i="59"/>
  <c r="CA389" i="59"/>
  <c r="CB389" i="59"/>
  <c r="CC389" i="59"/>
  <c r="CD389" i="59"/>
  <c r="CE389" i="59"/>
  <c r="CF389" i="59"/>
  <c r="CG389" i="59"/>
  <c r="CH389" i="59"/>
  <c r="CI389" i="59"/>
  <c r="CJ389" i="59"/>
  <c r="CK389" i="59"/>
  <c r="CL389" i="59"/>
  <c r="CM389" i="59"/>
  <c r="CN389" i="59"/>
  <c r="CO389" i="59"/>
  <c r="CP389" i="59"/>
  <c r="CQ389" i="59"/>
  <c r="CR389" i="59"/>
  <c r="CS389" i="59"/>
  <c r="CT389" i="59"/>
  <c r="CU389" i="59"/>
  <c r="CV389" i="59"/>
  <c r="CW389" i="59"/>
  <c r="CX389" i="59"/>
  <c r="AH390" i="59"/>
  <c r="AI390" i="59"/>
  <c r="AJ390" i="59"/>
  <c r="AK390" i="59"/>
  <c r="AL390" i="59"/>
  <c r="AM390" i="59"/>
  <c r="AN390" i="59"/>
  <c r="AO390" i="59"/>
  <c r="AP390" i="59"/>
  <c r="AQ390" i="59"/>
  <c r="AR390" i="59"/>
  <c r="AS390" i="59"/>
  <c r="AT390" i="59"/>
  <c r="AU390" i="59"/>
  <c r="AV390" i="59"/>
  <c r="AW390" i="59"/>
  <c r="AX390" i="59"/>
  <c r="AY390" i="59"/>
  <c r="AZ390" i="59"/>
  <c r="BA390" i="59"/>
  <c r="BB390" i="59"/>
  <c r="BC390" i="59"/>
  <c r="BD390" i="59"/>
  <c r="BE390" i="59"/>
  <c r="BF390" i="59"/>
  <c r="BG390" i="59"/>
  <c r="BH390" i="59"/>
  <c r="BI390" i="59"/>
  <c r="BJ390" i="59"/>
  <c r="BK390" i="59"/>
  <c r="BL390" i="59"/>
  <c r="BM390" i="59"/>
  <c r="BN390" i="59"/>
  <c r="BO390" i="59"/>
  <c r="BP390" i="59"/>
  <c r="BQ390" i="59"/>
  <c r="BR390" i="59"/>
  <c r="BS390" i="59"/>
  <c r="BT390" i="59"/>
  <c r="BU390" i="59"/>
  <c r="BV390" i="59"/>
  <c r="BW390" i="59"/>
  <c r="BX390" i="59"/>
  <c r="BY390" i="59"/>
  <c r="BZ390" i="59"/>
  <c r="CA390" i="59"/>
  <c r="CB390" i="59"/>
  <c r="CC390" i="59"/>
  <c r="CD390" i="59"/>
  <c r="CE390" i="59"/>
  <c r="CF390" i="59"/>
  <c r="CG390" i="59"/>
  <c r="CH390" i="59"/>
  <c r="CI390" i="59"/>
  <c r="CJ390" i="59"/>
  <c r="CK390" i="59"/>
  <c r="CL390" i="59"/>
  <c r="CM390" i="59"/>
  <c r="CN390" i="59"/>
  <c r="CO390" i="59"/>
  <c r="CP390" i="59"/>
  <c r="CQ390" i="59"/>
  <c r="CR390" i="59"/>
  <c r="CS390" i="59"/>
  <c r="CT390" i="59"/>
  <c r="CU390" i="59"/>
  <c r="CV390" i="59"/>
  <c r="CW390" i="59"/>
  <c r="CX390" i="59"/>
  <c r="CX383" i="59"/>
  <c r="CV383" i="59"/>
  <c r="CW383" i="59"/>
  <c r="CS383" i="59"/>
  <c r="CT383" i="59"/>
  <c r="CU383" i="59"/>
  <c r="CP383" i="59"/>
  <c r="CQ383" i="59"/>
  <c r="CR383" i="59"/>
  <c r="CM383" i="59"/>
  <c r="CN383" i="59"/>
  <c r="CO383" i="59"/>
  <c r="CJ383" i="59"/>
  <c r="CK383" i="59"/>
  <c r="CL383" i="59"/>
  <c r="CG383" i="59"/>
  <c r="CH383" i="59"/>
  <c r="CI383" i="59"/>
  <c r="CD383" i="59"/>
  <c r="CE383" i="59"/>
  <c r="CF383" i="59"/>
  <c r="CC383" i="59"/>
  <c r="CB383" i="59"/>
  <c r="CA383" i="59"/>
  <c r="BZ383" i="59"/>
  <c r="BX383" i="59"/>
  <c r="BY383" i="59"/>
  <c r="BU383" i="59"/>
  <c r="BV383" i="59"/>
  <c r="BW383" i="59"/>
  <c r="BR383" i="59"/>
  <c r="BS383" i="59"/>
  <c r="BT383" i="59"/>
  <c r="BO383" i="59"/>
  <c r="BP383" i="59"/>
  <c r="BQ383" i="59"/>
  <c r="BL383" i="59"/>
  <c r="BM383" i="59"/>
  <c r="BN383" i="59"/>
  <c r="BI383" i="59"/>
  <c r="BJ383" i="59"/>
  <c r="BK383" i="59"/>
  <c r="BF383" i="59"/>
  <c r="BG383" i="59"/>
  <c r="BH383" i="59"/>
  <c r="BE383" i="59"/>
  <c r="BD383" i="59"/>
  <c r="BC383" i="59"/>
  <c r="BB383" i="59"/>
  <c r="BA383" i="59"/>
  <c r="AZ383" i="59"/>
  <c r="AY383" i="59"/>
  <c r="AX383" i="59"/>
  <c r="AW383" i="59"/>
  <c r="AV383" i="59"/>
  <c r="AU383" i="59"/>
  <c r="AT383" i="59"/>
  <c r="AS383" i="59"/>
  <c r="AR383" i="59"/>
  <c r="AQ383" i="59"/>
  <c r="AP383" i="59"/>
  <c r="AO383" i="59"/>
  <c r="AN383" i="59"/>
  <c r="AM383" i="59"/>
  <c r="AL383" i="59"/>
  <c r="AK383" i="59"/>
  <c r="AJ383" i="59"/>
  <c r="AI383" i="59"/>
  <c r="AH383" i="59"/>
  <c r="B372" i="59"/>
  <c r="B371" i="59"/>
  <c r="B370" i="59"/>
  <c r="B369" i="59"/>
  <c r="AJ365" i="59"/>
  <c r="AI365" i="59"/>
  <c r="AH365" i="59"/>
  <c r="AK340" i="59"/>
  <c r="AH342" i="59"/>
  <c r="AI342" i="59"/>
  <c r="AJ342" i="59"/>
  <c r="AH343" i="59"/>
  <c r="AI343" i="59"/>
  <c r="AJ343" i="59"/>
  <c r="AH344" i="59"/>
  <c r="AI344" i="59"/>
  <c r="AJ344" i="59"/>
  <c r="AH345" i="59"/>
  <c r="AI345" i="59"/>
  <c r="AJ345" i="59"/>
  <c r="AH346" i="59"/>
  <c r="AI346" i="59"/>
  <c r="AJ346" i="59"/>
  <c r="AH347" i="59"/>
  <c r="AI347" i="59"/>
  <c r="AJ347" i="59"/>
  <c r="AH348" i="59"/>
  <c r="AI348" i="59"/>
  <c r="AJ348" i="59"/>
  <c r="AH349" i="59"/>
  <c r="AI349" i="59"/>
  <c r="AJ349" i="59"/>
  <c r="AH350" i="59"/>
  <c r="AI350" i="59"/>
  <c r="AJ350" i="59"/>
  <c r="AH351" i="59"/>
  <c r="AI351" i="59"/>
  <c r="AJ351" i="59"/>
  <c r="AH352" i="59"/>
  <c r="AI352" i="59"/>
  <c r="AJ352" i="59"/>
  <c r="AH353" i="59"/>
  <c r="AI353" i="59"/>
  <c r="AJ353" i="59"/>
  <c r="AH354" i="59"/>
  <c r="AI354" i="59"/>
  <c r="AJ354" i="59"/>
  <c r="AH355" i="59"/>
  <c r="AI355" i="59"/>
  <c r="AJ355" i="59"/>
  <c r="AH356" i="59"/>
  <c r="AI356" i="59"/>
  <c r="AJ356" i="59"/>
  <c r="AH357" i="59"/>
  <c r="AI357" i="59"/>
  <c r="AJ357" i="59"/>
  <c r="AH358" i="59"/>
  <c r="AI358" i="59"/>
  <c r="AJ358" i="59"/>
  <c r="AH359" i="59"/>
  <c r="AI359" i="59"/>
  <c r="AJ359" i="59"/>
  <c r="AH360" i="59"/>
  <c r="AI360" i="59"/>
  <c r="AJ360" i="59"/>
  <c r="AH361" i="59"/>
  <c r="AI361" i="59"/>
  <c r="AJ361" i="59"/>
  <c r="AH362" i="59"/>
  <c r="AI362" i="59"/>
  <c r="AJ362" i="59"/>
  <c r="AH363" i="59"/>
  <c r="AI363" i="59"/>
  <c r="AJ363" i="59"/>
  <c r="AH364" i="59"/>
  <c r="AI364" i="59"/>
  <c r="AJ364" i="59"/>
  <c r="AN340" i="59"/>
  <c r="AM340" i="59"/>
  <c r="AL340" i="59"/>
  <c r="AJ340" i="59"/>
  <c r="AI340" i="59"/>
  <c r="AH340" i="59"/>
  <c r="AJ341" i="59"/>
  <c r="AI341" i="59"/>
  <c r="AH341" i="59"/>
  <c r="B331" i="59"/>
  <c r="B330" i="59"/>
  <c r="B329" i="59"/>
  <c r="AU324" i="59"/>
  <c r="AW325" i="59" s="1"/>
  <c r="AW324" i="59"/>
  <c r="AV324" i="59"/>
  <c r="AU317" i="59"/>
  <c r="AV317" i="59"/>
  <c r="AW317" i="59"/>
  <c r="AU318" i="59"/>
  <c r="AV318" i="59"/>
  <c r="AW318" i="59"/>
  <c r="AU319" i="59"/>
  <c r="AV319" i="59"/>
  <c r="AW319" i="59"/>
  <c r="AU320" i="59"/>
  <c r="AV320" i="59"/>
  <c r="AW320" i="59"/>
  <c r="AU321" i="59"/>
  <c r="AV321" i="59"/>
  <c r="AW321" i="59"/>
  <c r="AU322" i="59"/>
  <c r="AV322" i="59"/>
  <c r="AW322" i="59"/>
  <c r="AU323" i="59"/>
  <c r="AV323" i="59"/>
  <c r="AW323" i="59"/>
  <c r="AW316" i="59"/>
  <c r="AV316" i="59"/>
  <c r="AU316" i="59"/>
  <c r="AN327" i="59"/>
  <c r="AL327" i="59"/>
  <c r="AJ327" i="59"/>
  <c r="AL326" i="59"/>
  <c r="AJ326" i="59"/>
  <c r="AK324" i="59"/>
  <c r="AM324" i="59"/>
  <c r="AN324" i="59"/>
  <c r="AP324" i="59"/>
  <c r="AQ324" i="59"/>
  <c r="AS324" i="59"/>
  <c r="AJ324" i="59"/>
  <c r="AH324" i="59"/>
  <c r="AG317" i="59"/>
  <c r="AH317" i="59"/>
  <c r="AI317" i="59"/>
  <c r="AJ317" i="59"/>
  <c r="AK317" i="59"/>
  <c r="AL317" i="59"/>
  <c r="AM317" i="59"/>
  <c r="AN317" i="59"/>
  <c r="AO317" i="59"/>
  <c r="AP317" i="59"/>
  <c r="AQ317" i="59"/>
  <c r="AR317" i="59"/>
  <c r="AS317" i="59"/>
  <c r="AG318" i="59"/>
  <c r="AH318" i="59"/>
  <c r="AI318" i="59"/>
  <c r="AJ318" i="59"/>
  <c r="AK318" i="59"/>
  <c r="AL318" i="59"/>
  <c r="AM318" i="59"/>
  <c r="AN318" i="59"/>
  <c r="AO318" i="59"/>
  <c r="AP318" i="59"/>
  <c r="AQ318" i="59"/>
  <c r="AR318" i="59"/>
  <c r="AS318" i="59"/>
  <c r="AG319" i="59"/>
  <c r="AH319" i="59"/>
  <c r="AI319" i="59"/>
  <c r="AJ319" i="59"/>
  <c r="AK319" i="59"/>
  <c r="AL319" i="59"/>
  <c r="AM319" i="59"/>
  <c r="AN319" i="59"/>
  <c r="AO319" i="59"/>
  <c r="AP319" i="59"/>
  <c r="AQ319" i="59"/>
  <c r="AR319" i="59"/>
  <c r="AS319" i="59"/>
  <c r="AG320" i="59"/>
  <c r="AH320" i="59"/>
  <c r="AI320" i="59"/>
  <c r="AJ320" i="59"/>
  <c r="AK320" i="59"/>
  <c r="AL320" i="59"/>
  <c r="AM320" i="59"/>
  <c r="AN320" i="59"/>
  <c r="AO320" i="59"/>
  <c r="AP320" i="59"/>
  <c r="AQ320" i="59"/>
  <c r="AR320" i="59"/>
  <c r="AS320" i="59"/>
  <c r="AG321" i="59"/>
  <c r="AH321" i="59"/>
  <c r="AI321" i="59"/>
  <c r="AJ321" i="59"/>
  <c r="AK321" i="59"/>
  <c r="AL321" i="59"/>
  <c r="AM321" i="59"/>
  <c r="AN321" i="59"/>
  <c r="AO321" i="59"/>
  <c r="AP321" i="59"/>
  <c r="AQ321" i="59"/>
  <c r="AR321" i="59"/>
  <c r="AS321" i="59"/>
  <c r="AG322" i="59"/>
  <c r="AH322" i="59"/>
  <c r="AI322" i="59"/>
  <c r="AJ322" i="59"/>
  <c r="AK322" i="59"/>
  <c r="AL322" i="59"/>
  <c r="AM322" i="59"/>
  <c r="AN322" i="59"/>
  <c r="AO322" i="59"/>
  <c r="AP322" i="59"/>
  <c r="AQ322" i="59"/>
  <c r="AR322" i="59"/>
  <c r="AS322" i="59"/>
  <c r="AH323" i="59"/>
  <c r="AI323" i="59"/>
  <c r="AJ323" i="59"/>
  <c r="AK323" i="59"/>
  <c r="AL323" i="59"/>
  <c r="AM323" i="59"/>
  <c r="AN323" i="59"/>
  <c r="AO323" i="59"/>
  <c r="AP323" i="59"/>
  <c r="AQ323" i="59"/>
  <c r="AR323" i="59"/>
  <c r="AS323" i="59"/>
  <c r="AS316" i="59"/>
  <c r="AR316" i="59"/>
  <c r="AP316" i="59"/>
  <c r="AH316" i="59"/>
  <c r="AQ316" i="59"/>
  <c r="AO316" i="59"/>
  <c r="AN316" i="59"/>
  <c r="AM316" i="59"/>
  <c r="AL316" i="59"/>
  <c r="AK316" i="59"/>
  <c r="AJ316" i="59"/>
  <c r="AI316" i="59"/>
  <c r="B308" i="59"/>
  <c r="B307" i="59"/>
  <c r="B306" i="59"/>
  <c r="AG301" i="59"/>
  <c r="AI301" i="59"/>
  <c r="AH301" i="59"/>
  <c r="AI302" i="59"/>
  <c r="AG294" i="59"/>
  <c r="AH294" i="59"/>
  <c r="AI294" i="59"/>
  <c r="AG295" i="59"/>
  <c r="AH295" i="59"/>
  <c r="AI295" i="59"/>
  <c r="AG296" i="59"/>
  <c r="AH296" i="59"/>
  <c r="AI296" i="59"/>
  <c r="AG297" i="59"/>
  <c r="AH297" i="59"/>
  <c r="AI297" i="59"/>
  <c r="AG298" i="59"/>
  <c r="AH298" i="59"/>
  <c r="AI298" i="59"/>
  <c r="AG299" i="59"/>
  <c r="AH299" i="59"/>
  <c r="AI299" i="59"/>
  <c r="AG300" i="59"/>
  <c r="AH300" i="59"/>
  <c r="AI300" i="59"/>
  <c r="AI293" i="59"/>
  <c r="AH293" i="59"/>
  <c r="AG293" i="59"/>
  <c r="AN290" i="59"/>
  <c r="AL290" i="59"/>
  <c r="AJ290" i="59"/>
  <c r="AL289" i="59"/>
  <c r="AJ289" i="59"/>
  <c r="AK287" i="59"/>
  <c r="AM287" i="59"/>
  <c r="AN287" i="59"/>
  <c r="AP287" i="59"/>
  <c r="AQ287" i="59"/>
  <c r="AS287" i="59"/>
  <c r="AT287" i="59"/>
  <c r="AV287" i="59"/>
  <c r="AW287" i="59"/>
  <c r="AY287" i="59"/>
  <c r="AZ287" i="59"/>
  <c r="BB287" i="59"/>
  <c r="BC287" i="59"/>
  <c r="BE287" i="59"/>
  <c r="BF287" i="59"/>
  <c r="BH287" i="59"/>
  <c r="BI287" i="59"/>
  <c r="BK287" i="59"/>
  <c r="AH287" i="59"/>
  <c r="AJ287" i="59"/>
  <c r="AG280" i="59"/>
  <c r="AH280" i="59"/>
  <c r="AI280" i="59"/>
  <c r="AJ280" i="59"/>
  <c r="AK280" i="59"/>
  <c r="AL280" i="59"/>
  <c r="AM280" i="59"/>
  <c r="AN280" i="59"/>
  <c r="AO280" i="59"/>
  <c r="AP280" i="59"/>
  <c r="AQ280" i="59"/>
  <c r="AR280" i="59"/>
  <c r="AS280" i="59"/>
  <c r="AT280" i="59"/>
  <c r="AU280" i="59"/>
  <c r="AV280" i="59"/>
  <c r="AW280" i="59"/>
  <c r="AX280" i="59"/>
  <c r="AY280" i="59"/>
  <c r="AZ280" i="59"/>
  <c r="BA280" i="59"/>
  <c r="BB280" i="59"/>
  <c r="BC280" i="59"/>
  <c r="BD280" i="59"/>
  <c r="BE280" i="59"/>
  <c r="BF280" i="59"/>
  <c r="BG280" i="59"/>
  <c r="BH280" i="59"/>
  <c r="BI280" i="59"/>
  <c r="BJ280" i="59"/>
  <c r="BK280" i="59"/>
  <c r="AG281" i="59"/>
  <c r="AH281" i="59"/>
  <c r="AI281" i="59"/>
  <c r="AJ281" i="59"/>
  <c r="AK281" i="59"/>
  <c r="AL281" i="59"/>
  <c r="AM281" i="59"/>
  <c r="AN281" i="59"/>
  <c r="AO281" i="59"/>
  <c r="AP281" i="59"/>
  <c r="AQ281" i="59"/>
  <c r="AR281" i="59"/>
  <c r="AS281" i="59"/>
  <c r="AT281" i="59"/>
  <c r="AU281" i="59"/>
  <c r="AV281" i="59"/>
  <c r="AW281" i="59"/>
  <c r="AX281" i="59"/>
  <c r="AY281" i="59"/>
  <c r="AZ281" i="59"/>
  <c r="BA281" i="59"/>
  <c r="BB281" i="59"/>
  <c r="BC281" i="59"/>
  <c r="BD281" i="59"/>
  <c r="BE281" i="59"/>
  <c r="BF281" i="59"/>
  <c r="BG281" i="59"/>
  <c r="BH281" i="59"/>
  <c r="BI281" i="59"/>
  <c r="BJ281" i="59"/>
  <c r="BK281" i="59"/>
  <c r="AG282" i="59"/>
  <c r="AH282" i="59"/>
  <c r="AI282" i="59"/>
  <c r="AJ282" i="59"/>
  <c r="AK282" i="59"/>
  <c r="AL282" i="59"/>
  <c r="AM282" i="59"/>
  <c r="AN282" i="59"/>
  <c r="AO282" i="59"/>
  <c r="AP282" i="59"/>
  <c r="AQ282" i="59"/>
  <c r="AR282" i="59"/>
  <c r="AS282" i="59"/>
  <c r="AT282" i="59"/>
  <c r="AU282" i="59"/>
  <c r="AV282" i="59"/>
  <c r="AW282" i="59"/>
  <c r="AX282" i="59"/>
  <c r="AY282" i="59"/>
  <c r="AZ282" i="59"/>
  <c r="BA282" i="59"/>
  <c r="BB282" i="59"/>
  <c r="BC282" i="59"/>
  <c r="BD282" i="59"/>
  <c r="BE282" i="59"/>
  <c r="BF282" i="59"/>
  <c r="BG282" i="59"/>
  <c r="BH282" i="59"/>
  <c r="BI282" i="59"/>
  <c r="BJ282" i="59"/>
  <c r="BK282" i="59"/>
  <c r="AG283" i="59"/>
  <c r="AH283" i="59"/>
  <c r="AI283" i="59"/>
  <c r="AJ283" i="59"/>
  <c r="AK283" i="59"/>
  <c r="AL283" i="59"/>
  <c r="AM283" i="59"/>
  <c r="AN283" i="59"/>
  <c r="AO283" i="59"/>
  <c r="AP283" i="59"/>
  <c r="AQ283" i="59"/>
  <c r="AR283" i="59"/>
  <c r="AS283" i="59"/>
  <c r="AT283" i="59"/>
  <c r="AU283" i="59"/>
  <c r="AV283" i="59"/>
  <c r="AW283" i="59"/>
  <c r="AX283" i="59"/>
  <c r="AY283" i="59"/>
  <c r="AZ283" i="59"/>
  <c r="BA283" i="59"/>
  <c r="BB283" i="59"/>
  <c r="BC283" i="59"/>
  <c r="BD283" i="59"/>
  <c r="BE283" i="59"/>
  <c r="BF283" i="59"/>
  <c r="BG283" i="59"/>
  <c r="BH283" i="59"/>
  <c r="BI283" i="59"/>
  <c r="BJ283" i="59"/>
  <c r="BK283" i="59"/>
  <c r="AG284" i="59"/>
  <c r="AH284" i="59"/>
  <c r="AI284" i="59"/>
  <c r="AJ284" i="59"/>
  <c r="AK284" i="59"/>
  <c r="AL284" i="59"/>
  <c r="AM284" i="59"/>
  <c r="AN284" i="59"/>
  <c r="AO284" i="59"/>
  <c r="AP284" i="59"/>
  <c r="AQ284" i="59"/>
  <c r="AR284" i="59"/>
  <c r="AS284" i="59"/>
  <c r="AT284" i="59"/>
  <c r="AU284" i="59"/>
  <c r="AV284" i="59"/>
  <c r="AW284" i="59"/>
  <c r="AX284" i="59"/>
  <c r="AY284" i="59"/>
  <c r="AZ284" i="59"/>
  <c r="BA284" i="59"/>
  <c r="BB284" i="59"/>
  <c r="BC284" i="59"/>
  <c r="BD284" i="59"/>
  <c r="BE284" i="59"/>
  <c r="BF284" i="59"/>
  <c r="BG284" i="59"/>
  <c r="BH284" i="59"/>
  <c r="BI284" i="59"/>
  <c r="BJ284" i="59"/>
  <c r="BK284" i="59"/>
  <c r="AG285" i="59"/>
  <c r="AH285" i="59"/>
  <c r="AI285" i="59"/>
  <c r="AJ285" i="59"/>
  <c r="AK285" i="59"/>
  <c r="AL285" i="59"/>
  <c r="AM285" i="59"/>
  <c r="AN285" i="59"/>
  <c r="AO285" i="59"/>
  <c r="AP285" i="59"/>
  <c r="AQ285" i="59"/>
  <c r="AR285" i="59"/>
  <c r="AS285" i="59"/>
  <c r="AT285" i="59"/>
  <c r="AU285" i="59"/>
  <c r="AV285" i="59"/>
  <c r="AW285" i="59"/>
  <c r="AX285" i="59"/>
  <c r="AY285" i="59"/>
  <c r="AZ285" i="59"/>
  <c r="BA285" i="59"/>
  <c r="BB285" i="59"/>
  <c r="BC285" i="59"/>
  <c r="BD285" i="59"/>
  <c r="BE285" i="59"/>
  <c r="BF285" i="59"/>
  <c r="BG285" i="59"/>
  <c r="BH285" i="59"/>
  <c r="BI285" i="59"/>
  <c r="BJ285" i="59"/>
  <c r="BK285" i="59"/>
  <c r="AH286" i="59"/>
  <c r="AI286" i="59"/>
  <c r="AJ286" i="59"/>
  <c r="AK286" i="59"/>
  <c r="AL286" i="59"/>
  <c r="AM286" i="59"/>
  <c r="AN286" i="59"/>
  <c r="AO286" i="59"/>
  <c r="AP286" i="59"/>
  <c r="AQ286" i="59"/>
  <c r="AR286" i="59"/>
  <c r="AS286" i="59"/>
  <c r="AT286" i="59"/>
  <c r="AU286" i="59"/>
  <c r="AV286" i="59"/>
  <c r="AW286" i="59"/>
  <c r="AX286" i="59"/>
  <c r="AY286" i="59"/>
  <c r="AZ286" i="59"/>
  <c r="BA286" i="59"/>
  <c r="BB286" i="59"/>
  <c r="BC286" i="59"/>
  <c r="BD286" i="59"/>
  <c r="BE286" i="59"/>
  <c r="BF286" i="59"/>
  <c r="BG286" i="59"/>
  <c r="BH286" i="59"/>
  <c r="BI286" i="59"/>
  <c r="BJ286" i="59"/>
  <c r="BK286" i="59"/>
  <c r="BK279" i="59"/>
  <c r="BI279" i="59"/>
  <c r="BJ279" i="59"/>
  <c r="BF279" i="59"/>
  <c r="BG279" i="59"/>
  <c r="BH279" i="59"/>
  <c r="BC279" i="59"/>
  <c r="BD279" i="59"/>
  <c r="BE279" i="59"/>
  <c r="AZ279" i="59"/>
  <c r="BA279" i="59"/>
  <c r="BB279" i="59"/>
  <c r="AY279" i="59"/>
  <c r="AX279" i="59"/>
  <c r="AW279" i="59"/>
  <c r="AK279" i="59"/>
  <c r="AJ279" i="59"/>
  <c r="AI279" i="59"/>
  <c r="AH279" i="59"/>
  <c r="AV279" i="59"/>
  <c r="AU279" i="59"/>
  <c r="AT279" i="59"/>
  <c r="AS279" i="59"/>
  <c r="AR279" i="59"/>
  <c r="AQ279" i="59"/>
  <c r="AP279" i="59"/>
  <c r="AO279" i="59"/>
  <c r="AN279" i="59"/>
  <c r="AM279" i="59"/>
  <c r="AL279" i="59"/>
  <c r="AI248" i="59"/>
  <c r="AI249" i="59" s="1"/>
  <c r="B269" i="59" s="1"/>
  <c r="B268" i="59"/>
  <c r="B267" i="59"/>
  <c r="AH248" i="59"/>
  <c r="AG248" i="59"/>
  <c r="AG241" i="59"/>
  <c r="AH241" i="59"/>
  <c r="AI241" i="59"/>
  <c r="AG242" i="59"/>
  <c r="AH242" i="59"/>
  <c r="AI242" i="59"/>
  <c r="AG243" i="59"/>
  <c r="AH243" i="59"/>
  <c r="AI243" i="59"/>
  <c r="AG244" i="59"/>
  <c r="AH244" i="59"/>
  <c r="AI244" i="59"/>
  <c r="AG245" i="59"/>
  <c r="AH245" i="59"/>
  <c r="AI245" i="59"/>
  <c r="AG246" i="59"/>
  <c r="AH246" i="59"/>
  <c r="AI246" i="59"/>
  <c r="AG247" i="59"/>
  <c r="AH247" i="59"/>
  <c r="AI247" i="59"/>
  <c r="AI240" i="59"/>
  <c r="AH240" i="59"/>
  <c r="AG240" i="59"/>
  <c r="AN237" i="59"/>
  <c r="AL237" i="59"/>
  <c r="AJ237" i="59"/>
  <c r="AL236" i="59"/>
  <c r="AJ236" i="59"/>
  <c r="AK234" i="59"/>
  <c r="AM234" i="59"/>
  <c r="AN234" i="59"/>
  <c r="AP234" i="59"/>
  <c r="AQ234" i="59"/>
  <c r="AS234" i="59"/>
  <c r="AT234" i="59"/>
  <c r="AV234" i="59"/>
  <c r="AW234" i="59"/>
  <c r="AY234" i="59"/>
  <c r="AZ234" i="59"/>
  <c r="BB234" i="59"/>
  <c r="BC234" i="59"/>
  <c r="BE234" i="59"/>
  <c r="BF234" i="59"/>
  <c r="BH234" i="59"/>
  <c r="BI234" i="59"/>
  <c r="BK234" i="59"/>
  <c r="BL234" i="59"/>
  <c r="BN234" i="59"/>
  <c r="BO234" i="59"/>
  <c r="BQ234" i="59"/>
  <c r="BR234" i="59"/>
  <c r="BT234" i="59"/>
  <c r="BU234" i="59"/>
  <c r="BW234" i="59"/>
  <c r="BX234" i="59"/>
  <c r="BZ234" i="59"/>
  <c r="CA234" i="59"/>
  <c r="CC234" i="59"/>
  <c r="CD234" i="59"/>
  <c r="CF234" i="59"/>
  <c r="CG234" i="59"/>
  <c r="CI234" i="59"/>
  <c r="AJ234" i="59"/>
  <c r="AH234" i="59"/>
  <c r="AG227" i="59"/>
  <c r="AH227" i="59"/>
  <c r="AI227" i="59"/>
  <c r="AJ227" i="59"/>
  <c r="AK227" i="59"/>
  <c r="AL227" i="59"/>
  <c r="AM227" i="59"/>
  <c r="AN227" i="59"/>
  <c r="AO227" i="59"/>
  <c r="AP227" i="59"/>
  <c r="AQ227" i="59"/>
  <c r="AR227" i="59"/>
  <c r="AS227" i="59"/>
  <c r="AT227" i="59"/>
  <c r="AU227" i="59"/>
  <c r="AV227" i="59"/>
  <c r="AW227" i="59"/>
  <c r="AX227" i="59"/>
  <c r="AY227" i="59"/>
  <c r="AZ227" i="59"/>
  <c r="BA227" i="59"/>
  <c r="BB227" i="59"/>
  <c r="BC227" i="59"/>
  <c r="BD227" i="59"/>
  <c r="BE227" i="59"/>
  <c r="BF227" i="59"/>
  <c r="BG227" i="59"/>
  <c r="BH227" i="59"/>
  <c r="BI227" i="59"/>
  <c r="BJ227" i="59"/>
  <c r="BK227" i="59"/>
  <c r="BL227" i="59"/>
  <c r="BM227" i="59"/>
  <c r="BN227" i="59"/>
  <c r="BO227" i="59"/>
  <c r="BP227" i="59"/>
  <c r="BQ227" i="59"/>
  <c r="BR227" i="59"/>
  <c r="BS227" i="59"/>
  <c r="BT227" i="59"/>
  <c r="BU227" i="59"/>
  <c r="BV227" i="59"/>
  <c r="BW227" i="59"/>
  <c r="BX227" i="59"/>
  <c r="BY227" i="59"/>
  <c r="BZ227" i="59"/>
  <c r="CA227" i="59"/>
  <c r="CB227" i="59"/>
  <c r="CC227" i="59"/>
  <c r="CD227" i="59"/>
  <c r="CE227" i="59"/>
  <c r="CF227" i="59"/>
  <c r="CG227" i="59"/>
  <c r="CH227" i="59"/>
  <c r="CI227" i="59"/>
  <c r="AG228" i="59"/>
  <c r="AH228" i="59"/>
  <c r="AI228" i="59"/>
  <c r="AJ228" i="59"/>
  <c r="AK228" i="59"/>
  <c r="AL228" i="59"/>
  <c r="AM228" i="59"/>
  <c r="AN228" i="59"/>
  <c r="AO228" i="59"/>
  <c r="AP228" i="59"/>
  <c r="AQ228" i="59"/>
  <c r="AR228" i="59"/>
  <c r="AS228" i="59"/>
  <c r="AT228" i="59"/>
  <c r="AU228" i="59"/>
  <c r="AV228" i="59"/>
  <c r="AW228" i="59"/>
  <c r="AX228" i="59"/>
  <c r="AY228" i="59"/>
  <c r="AZ228" i="59"/>
  <c r="BA228" i="59"/>
  <c r="BB228" i="59"/>
  <c r="BC228" i="59"/>
  <c r="BD228" i="59"/>
  <c r="BE228" i="59"/>
  <c r="BF228" i="59"/>
  <c r="BG228" i="59"/>
  <c r="BH228" i="59"/>
  <c r="BI228" i="59"/>
  <c r="BJ228" i="59"/>
  <c r="BK228" i="59"/>
  <c r="BL228" i="59"/>
  <c r="BM228" i="59"/>
  <c r="BN228" i="59"/>
  <c r="BO228" i="59"/>
  <c r="BP228" i="59"/>
  <c r="BQ228" i="59"/>
  <c r="BR228" i="59"/>
  <c r="BS228" i="59"/>
  <c r="BT228" i="59"/>
  <c r="BU228" i="59"/>
  <c r="BV228" i="59"/>
  <c r="BW228" i="59"/>
  <c r="BX228" i="59"/>
  <c r="BY228" i="59"/>
  <c r="BZ228" i="59"/>
  <c r="CA228" i="59"/>
  <c r="CB228" i="59"/>
  <c r="CC228" i="59"/>
  <c r="CD228" i="59"/>
  <c r="CE228" i="59"/>
  <c r="CF228" i="59"/>
  <c r="CG228" i="59"/>
  <c r="CH228" i="59"/>
  <c r="CI228" i="59"/>
  <c r="AG229" i="59"/>
  <c r="AH229" i="59"/>
  <c r="AI229" i="59"/>
  <c r="AJ229" i="59"/>
  <c r="AK229" i="59"/>
  <c r="AL229" i="59"/>
  <c r="AM229" i="59"/>
  <c r="AN229" i="59"/>
  <c r="AO229" i="59"/>
  <c r="AP229" i="59"/>
  <c r="AQ229" i="59"/>
  <c r="AR229" i="59"/>
  <c r="AS229" i="59"/>
  <c r="AT229" i="59"/>
  <c r="AU229" i="59"/>
  <c r="AV229" i="59"/>
  <c r="AW229" i="59"/>
  <c r="AX229" i="59"/>
  <c r="AY229" i="59"/>
  <c r="AZ229" i="59"/>
  <c r="BA229" i="59"/>
  <c r="BB229" i="59"/>
  <c r="BC229" i="59"/>
  <c r="BD229" i="59"/>
  <c r="BE229" i="59"/>
  <c r="BF229" i="59"/>
  <c r="BG229" i="59"/>
  <c r="BH229" i="59"/>
  <c r="BI229" i="59"/>
  <c r="BJ229" i="59"/>
  <c r="BK229" i="59"/>
  <c r="BL229" i="59"/>
  <c r="BM229" i="59"/>
  <c r="BN229" i="59"/>
  <c r="BO229" i="59"/>
  <c r="BP229" i="59"/>
  <c r="BQ229" i="59"/>
  <c r="BR229" i="59"/>
  <c r="BS229" i="59"/>
  <c r="BT229" i="59"/>
  <c r="BU229" i="59"/>
  <c r="BV229" i="59"/>
  <c r="BW229" i="59"/>
  <c r="BX229" i="59"/>
  <c r="BY229" i="59"/>
  <c r="BZ229" i="59"/>
  <c r="CA229" i="59"/>
  <c r="CB229" i="59"/>
  <c r="CC229" i="59"/>
  <c r="CD229" i="59"/>
  <c r="CE229" i="59"/>
  <c r="CF229" i="59"/>
  <c r="CG229" i="59"/>
  <c r="CH229" i="59"/>
  <c r="CI229" i="59"/>
  <c r="AG230" i="59"/>
  <c r="AH230" i="59"/>
  <c r="AI230" i="59"/>
  <c r="AJ230" i="59"/>
  <c r="AK230" i="59"/>
  <c r="AL230" i="59"/>
  <c r="AM230" i="59"/>
  <c r="AN230" i="59"/>
  <c r="AO230" i="59"/>
  <c r="AP230" i="59"/>
  <c r="AQ230" i="59"/>
  <c r="AR230" i="59"/>
  <c r="AS230" i="59"/>
  <c r="AT230" i="59"/>
  <c r="AU230" i="59"/>
  <c r="AV230" i="59"/>
  <c r="AW230" i="59"/>
  <c r="AX230" i="59"/>
  <c r="AY230" i="59"/>
  <c r="AZ230" i="59"/>
  <c r="BA230" i="59"/>
  <c r="BB230" i="59"/>
  <c r="BC230" i="59"/>
  <c r="BD230" i="59"/>
  <c r="BE230" i="59"/>
  <c r="BF230" i="59"/>
  <c r="BG230" i="59"/>
  <c r="BH230" i="59"/>
  <c r="BI230" i="59"/>
  <c r="BJ230" i="59"/>
  <c r="BK230" i="59"/>
  <c r="BL230" i="59"/>
  <c r="BM230" i="59"/>
  <c r="BN230" i="59"/>
  <c r="BO230" i="59"/>
  <c r="BP230" i="59"/>
  <c r="BQ230" i="59"/>
  <c r="BR230" i="59"/>
  <c r="BS230" i="59"/>
  <c r="BT230" i="59"/>
  <c r="BU230" i="59"/>
  <c r="BV230" i="59"/>
  <c r="BW230" i="59"/>
  <c r="BX230" i="59"/>
  <c r="BY230" i="59"/>
  <c r="BZ230" i="59"/>
  <c r="CA230" i="59"/>
  <c r="CB230" i="59"/>
  <c r="CC230" i="59"/>
  <c r="CD230" i="59"/>
  <c r="CE230" i="59"/>
  <c r="CF230" i="59"/>
  <c r="CG230" i="59"/>
  <c r="CH230" i="59"/>
  <c r="CI230" i="59"/>
  <c r="AG231" i="59"/>
  <c r="AH231" i="59"/>
  <c r="AI231" i="59"/>
  <c r="AJ231" i="59"/>
  <c r="AK231" i="59"/>
  <c r="AL231" i="59"/>
  <c r="AM231" i="59"/>
  <c r="AN231" i="59"/>
  <c r="AO231" i="59"/>
  <c r="AP231" i="59"/>
  <c r="AQ231" i="59"/>
  <c r="AR231" i="59"/>
  <c r="AS231" i="59"/>
  <c r="AT231" i="59"/>
  <c r="AU231" i="59"/>
  <c r="AV231" i="59"/>
  <c r="AW231" i="59"/>
  <c r="AX231" i="59"/>
  <c r="AY231" i="59"/>
  <c r="AZ231" i="59"/>
  <c r="BA231" i="59"/>
  <c r="BB231" i="59"/>
  <c r="BC231" i="59"/>
  <c r="BD231" i="59"/>
  <c r="BE231" i="59"/>
  <c r="BF231" i="59"/>
  <c r="BG231" i="59"/>
  <c r="BH231" i="59"/>
  <c r="BI231" i="59"/>
  <c r="BJ231" i="59"/>
  <c r="BK231" i="59"/>
  <c r="BL231" i="59"/>
  <c r="BM231" i="59"/>
  <c r="BN231" i="59"/>
  <c r="BO231" i="59"/>
  <c r="BP231" i="59"/>
  <c r="BQ231" i="59"/>
  <c r="BR231" i="59"/>
  <c r="BS231" i="59"/>
  <c r="BT231" i="59"/>
  <c r="BU231" i="59"/>
  <c r="BV231" i="59"/>
  <c r="BW231" i="59"/>
  <c r="BX231" i="59"/>
  <c r="BY231" i="59"/>
  <c r="BZ231" i="59"/>
  <c r="CA231" i="59"/>
  <c r="CB231" i="59"/>
  <c r="CC231" i="59"/>
  <c r="CD231" i="59"/>
  <c r="CE231" i="59"/>
  <c r="CF231" i="59"/>
  <c r="CG231" i="59"/>
  <c r="CH231" i="59"/>
  <c r="CI231" i="59"/>
  <c r="AG232" i="59"/>
  <c r="AH232" i="59"/>
  <c r="AI232" i="59"/>
  <c r="AJ232" i="59"/>
  <c r="AK232" i="59"/>
  <c r="AL232" i="59"/>
  <c r="AM232" i="59"/>
  <c r="AN232" i="59"/>
  <c r="AO232" i="59"/>
  <c r="AP232" i="59"/>
  <c r="AQ232" i="59"/>
  <c r="AR232" i="59"/>
  <c r="AS232" i="59"/>
  <c r="AT232" i="59"/>
  <c r="AU232" i="59"/>
  <c r="AV232" i="59"/>
  <c r="AW232" i="59"/>
  <c r="AX232" i="59"/>
  <c r="AY232" i="59"/>
  <c r="AZ232" i="59"/>
  <c r="BA232" i="59"/>
  <c r="BB232" i="59"/>
  <c r="BC232" i="59"/>
  <c r="BD232" i="59"/>
  <c r="BE232" i="59"/>
  <c r="BF232" i="59"/>
  <c r="BG232" i="59"/>
  <c r="BH232" i="59"/>
  <c r="BI232" i="59"/>
  <c r="BJ232" i="59"/>
  <c r="BK232" i="59"/>
  <c r="BL232" i="59"/>
  <c r="BM232" i="59"/>
  <c r="BN232" i="59"/>
  <c r="BO232" i="59"/>
  <c r="BP232" i="59"/>
  <c r="BQ232" i="59"/>
  <c r="BR232" i="59"/>
  <c r="BS232" i="59"/>
  <c r="BT232" i="59"/>
  <c r="BU232" i="59"/>
  <c r="BV232" i="59"/>
  <c r="BW232" i="59"/>
  <c r="BX232" i="59"/>
  <c r="BY232" i="59"/>
  <c r="BZ232" i="59"/>
  <c r="CA232" i="59"/>
  <c r="CB232" i="59"/>
  <c r="CC232" i="59"/>
  <c r="CD232" i="59"/>
  <c r="CE232" i="59"/>
  <c r="CF232" i="59"/>
  <c r="CG232" i="59"/>
  <c r="CH232" i="59"/>
  <c r="CI232" i="59"/>
  <c r="AH233" i="59"/>
  <c r="AI233" i="59"/>
  <c r="AJ233" i="59"/>
  <c r="AK233" i="59"/>
  <c r="AL233" i="59"/>
  <c r="AM233" i="59"/>
  <c r="AN233" i="59"/>
  <c r="AO233" i="59"/>
  <c r="AP233" i="59"/>
  <c r="AQ233" i="59"/>
  <c r="AR233" i="59"/>
  <c r="AS233" i="59"/>
  <c r="AT233" i="59"/>
  <c r="AU233" i="59"/>
  <c r="AV233" i="59"/>
  <c r="AW233" i="59"/>
  <c r="AX233" i="59"/>
  <c r="AY233" i="59"/>
  <c r="AZ233" i="59"/>
  <c r="BA233" i="59"/>
  <c r="BB233" i="59"/>
  <c r="BC233" i="59"/>
  <c r="BD233" i="59"/>
  <c r="BE233" i="59"/>
  <c r="BF233" i="59"/>
  <c r="BG233" i="59"/>
  <c r="BH233" i="59"/>
  <c r="BI233" i="59"/>
  <c r="BJ233" i="59"/>
  <c r="BK233" i="59"/>
  <c r="BL233" i="59"/>
  <c r="BM233" i="59"/>
  <c r="BN233" i="59"/>
  <c r="BO233" i="59"/>
  <c r="BP233" i="59"/>
  <c r="BQ233" i="59"/>
  <c r="BR233" i="59"/>
  <c r="BS233" i="59"/>
  <c r="BT233" i="59"/>
  <c r="BU233" i="59"/>
  <c r="BV233" i="59"/>
  <c r="BW233" i="59"/>
  <c r="BX233" i="59"/>
  <c r="BY233" i="59"/>
  <c r="BZ233" i="59"/>
  <c r="CA233" i="59"/>
  <c r="CB233" i="59"/>
  <c r="CC233" i="59"/>
  <c r="CD233" i="59"/>
  <c r="CE233" i="59"/>
  <c r="CF233" i="59"/>
  <c r="CG233" i="59"/>
  <c r="CH233" i="59"/>
  <c r="CI233" i="59"/>
  <c r="CI226" i="59"/>
  <c r="CG226" i="59"/>
  <c r="CH226" i="59"/>
  <c r="CD226" i="59"/>
  <c r="CE226" i="59"/>
  <c r="CF226" i="59"/>
  <c r="CA226" i="59"/>
  <c r="CB226" i="59"/>
  <c r="CC226" i="59"/>
  <c r="BX226" i="59"/>
  <c r="BY226" i="59"/>
  <c r="BZ226" i="59"/>
  <c r="BU226" i="59"/>
  <c r="BV226" i="59"/>
  <c r="BW226" i="59"/>
  <c r="BT226" i="59"/>
  <c r="BS226" i="59"/>
  <c r="BR226" i="59"/>
  <c r="BQ226" i="59"/>
  <c r="BO226" i="59"/>
  <c r="BP226" i="59"/>
  <c r="BL226" i="59"/>
  <c r="BM226" i="59"/>
  <c r="BN226" i="59"/>
  <c r="BI226" i="59"/>
  <c r="BJ226" i="59"/>
  <c r="BK226" i="59"/>
  <c r="BF226" i="59"/>
  <c r="BG226" i="59"/>
  <c r="BH226" i="59"/>
  <c r="BC226" i="59"/>
  <c r="BD226" i="59"/>
  <c r="BE226" i="59"/>
  <c r="BB226" i="59"/>
  <c r="BA226" i="59"/>
  <c r="AZ226" i="59"/>
  <c r="AY226" i="59"/>
  <c r="AW226" i="59"/>
  <c r="AV226" i="59"/>
  <c r="AK226" i="59"/>
  <c r="AJ226" i="59"/>
  <c r="AI226" i="59"/>
  <c r="AH226" i="59"/>
  <c r="AX226" i="59"/>
  <c r="AU226" i="59"/>
  <c r="AT226" i="59"/>
  <c r="AS226" i="59"/>
  <c r="AR226" i="59"/>
  <c r="AQ226" i="59"/>
  <c r="AP226" i="59"/>
  <c r="AO226" i="59"/>
  <c r="AN226" i="59"/>
  <c r="AM226" i="59"/>
  <c r="AL226" i="59"/>
  <c r="B216" i="59"/>
  <c r="B215" i="59"/>
  <c r="B214" i="59"/>
  <c r="AI209" i="59"/>
  <c r="AH209" i="59"/>
  <c r="AG209" i="59"/>
  <c r="AG202" i="59"/>
  <c r="AH202" i="59"/>
  <c r="AI202" i="59"/>
  <c r="AG203" i="59"/>
  <c r="AH203" i="59"/>
  <c r="AI203" i="59"/>
  <c r="AG204" i="59"/>
  <c r="AH204" i="59"/>
  <c r="AI204" i="59"/>
  <c r="AG205" i="59"/>
  <c r="AH205" i="59"/>
  <c r="AI205" i="59"/>
  <c r="AG206" i="59"/>
  <c r="AH206" i="59"/>
  <c r="AI206" i="59"/>
  <c r="AG207" i="59"/>
  <c r="AH207" i="59"/>
  <c r="AI207" i="59"/>
  <c r="AG208" i="59"/>
  <c r="AH208" i="59"/>
  <c r="AI208" i="59"/>
  <c r="AG201" i="59"/>
  <c r="AI201" i="59"/>
  <c r="AH201" i="59"/>
  <c r="BF162" i="59"/>
  <c r="BF170" i="59" s="1"/>
  <c r="BE162" i="59"/>
  <c r="BD162" i="59"/>
  <c r="AN198" i="59"/>
  <c r="AL198" i="59"/>
  <c r="AJ198" i="59"/>
  <c r="AL197" i="59"/>
  <c r="AJ197" i="59"/>
  <c r="AK195" i="59"/>
  <c r="AM195" i="59"/>
  <c r="AN195" i="59"/>
  <c r="AP195" i="59"/>
  <c r="AQ195" i="59"/>
  <c r="AS195" i="59"/>
  <c r="AT195" i="59"/>
  <c r="AV195" i="59"/>
  <c r="AW195" i="59"/>
  <c r="AY195" i="59"/>
  <c r="AZ195" i="59"/>
  <c r="BB195" i="59"/>
  <c r="BC195" i="59"/>
  <c r="BE195" i="59"/>
  <c r="BF195" i="59"/>
  <c r="BH195" i="59"/>
  <c r="BI195" i="59"/>
  <c r="BK195" i="59"/>
  <c r="BL195" i="59"/>
  <c r="BN195" i="59"/>
  <c r="AH195" i="59"/>
  <c r="AJ195" i="59"/>
  <c r="AG188" i="59"/>
  <c r="AH188" i="59"/>
  <c r="AI188" i="59"/>
  <c r="AJ188" i="59"/>
  <c r="AK188" i="59"/>
  <c r="AL188" i="59"/>
  <c r="AM188" i="59"/>
  <c r="AN188" i="59"/>
  <c r="AO188" i="59"/>
  <c r="AP188" i="59"/>
  <c r="AQ188" i="59"/>
  <c r="AR188" i="59"/>
  <c r="AS188" i="59"/>
  <c r="AT188" i="59"/>
  <c r="AU188" i="59"/>
  <c r="AV188" i="59"/>
  <c r="AW188" i="59"/>
  <c r="AX188" i="59"/>
  <c r="AY188" i="59"/>
  <c r="AZ188" i="59"/>
  <c r="BA188" i="59"/>
  <c r="BB188" i="59"/>
  <c r="BC188" i="59"/>
  <c r="BD188" i="59"/>
  <c r="BE188" i="59"/>
  <c r="BF188" i="59"/>
  <c r="BG188" i="59"/>
  <c r="BH188" i="59"/>
  <c r="BI188" i="59"/>
  <c r="BJ188" i="59"/>
  <c r="BK188" i="59"/>
  <c r="BL188" i="59"/>
  <c r="BM188" i="59"/>
  <c r="BN188" i="59"/>
  <c r="AG189" i="59"/>
  <c r="AH189" i="59"/>
  <c r="AI189" i="59"/>
  <c r="AJ189" i="59"/>
  <c r="AK189" i="59"/>
  <c r="AL189" i="59"/>
  <c r="AM189" i="59"/>
  <c r="AN189" i="59"/>
  <c r="AO189" i="59"/>
  <c r="AP189" i="59"/>
  <c r="AQ189" i="59"/>
  <c r="AR189" i="59"/>
  <c r="AS189" i="59"/>
  <c r="AT189" i="59"/>
  <c r="AU189" i="59"/>
  <c r="AV189" i="59"/>
  <c r="AW189" i="59"/>
  <c r="AX189" i="59"/>
  <c r="AY189" i="59"/>
  <c r="AZ189" i="59"/>
  <c r="BA189" i="59"/>
  <c r="BB189" i="59"/>
  <c r="BC189" i="59"/>
  <c r="BD189" i="59"/>
  <c r="BE189" i="59"/>
  <c r="BF189" i="59"/>
  <c r="BG189" i="59"/>
  <c r="BH189" i="59"/>
  <c r="BI189" i="59"/>
  <c r="BJ189" i="59"/>
  <c r="BK189" i="59"/>
  <c r="BL189" i="59"/>
  <c r="BM189" i="59"/>
  <c r="BN189" i="59"/>
  <c r="AG190" i="59"/>
  <c r="AH190" i="59"/>
  <c r="AI190" i="59"/>
  <c r="AJ190" i="59"/>
  <c r="AK190" i="59"/>
  <c r="AL190" i="59"/>
  <c r="AM190" i="59"/>
  <c r="AN190" i="59"/>
  <c r="AO190" i="59"/>
  <c r="AP190" i="59"/>
  <c r="AQ190" i="59"/>
  <c r="AR190" i="59"/>
  <c r="AS190" i="59"/>
  <c r="AT190" i="59"/>
  <c r="AU190" i="59"/>
  <c r="AV190" i="59"/>
  <c r="AW190" i="59"/>
  <c r="AX190" i="59"/>
  <c r="AY190" i="59"/>
  <c r="AZ190" i="59"/>
  <c r="BA190" i="59"/>
  <c r="BB190" i="59"/>
  <c r="BC190" i="59"/>
  <c r="BD190" i="59"/>
  <c r="BE190" i="59"/>
  <c r="BF190" i="59"/>
  <c r="BG190" i="59"/>
  <c r="BH190" i="59"/>
  <c r="BI190" i="59"/>
  <c r="BJ190" i="59"/>
  <c r="BK190" i="59"/>
  <c r="BL190" i="59"/>
  <c r="BM190" i="59"/>
  <c r="BN190" i="59"/>
  <c r="AG191" i="59"/>
  <c r="AH191" i="59"/>
  <c r="AI191" i="59"/>
  <c r="AJ191" i="59"/>
  <c r="AK191" i="59"/>
  <c r="AL191" i="59"/>
  <c r="AM191" i="59"/>
  <c r="AN191" i="59"/>
  <c r="AO191" i="59"/>
  <c r="AP191" i="59"/>
  <c r="AQ191" i="59"/>
  <c r="AR191" i="59"/>
  <c r="AS191" i="59"/>
  <c r="AT191" i="59"/>
  <c r="AU191" i="59"/>
  <c r="AV191" i="59"/>
  <c r="AW191" i="59"/>
  <c r="AX191" i="59"/>
  <c r="AY191" i="59"/>
  <c r="AZ191" i="59"/>
  <c r="BA191" i="59"/>
  <c r="BB191" i="59"/>
  <c r="BC191" i="59"/>
  <c r="BD191" i="59"/>
  <c r="BE191" i="59"/>
  <c r="BF191" i="59"/>
  <c r="BG191" i="59"/>
  <c r="BH191" i="59"/>
  <c r="BI191" i="59"/>
  <c r="BJ191" i="59"/>
  <c r="BK191" i="59"/>
  <c r="BL191" i="59"/>
  <c r="BM191" i="59"/>
  <c r="BN191" i="59"/>
  <c r="AG192" i="59"/>
  <c r="AH192" i="59"/>
  <c r="AI192" i="59"/>
  <c r="AJ192" i="59"/>
  <c r="AK192" i="59"/>
  <c r="AL192" i="59"/>
  <c r="AM192" i="59"/>
  <c r="AN192" i="59"/>
  <c r="AO192" i="59"/>
  <c r="AP192" i="59"/>
  <c r="AQ192" i="59"/>
  <c r="AR192" i="59"/>
  <c r="AS192" i="59"/>
  <c r="AT192" i="59"/>
  <c r="AU192" i="59"/>
  <c r="AV192" i="59"/>
  <c r="AW192" i="59"/>
  <c r="AX192" i="59"/>
  <c r="AY192" i="59"/>
  <c r="AZ192" i="59"/>
  <c r="BA192" i="59"/>
  <c r="BB192" i="59"/>
  <c r="BC192" i="59"/>
  <c r="BD192" i="59"/>
  <c r="BE192" i="59"/>
  <c r="BF192" i="59"/>
  <c r="BG192" i="59"/>
  <c r="BH192" i="59"/>
  <c r="BI192" i="59"/>
  <c r="BJ192" i="59"/>
  <c r="BK192" i="59"/>
  <c r="BL192" i="59"/>
  <c r="BM192" i="59"/>
  <c r="BN192" i="59"/>
  <c r="AG193" i="59"/>
  <c r="AH193" i="59"/>
  <c r="AI193" i="59"/>
  <c r="AJ193" i="59"/>
  <c r="AK193" i="59"/>
  <c r="AL193" i="59"/>
  <c r="AM193" i="59"/>
  <c r="AN193" i="59"/>
  <c r="AO193" i="59"/>
  <c r="AP193" i="59"/>
  <c r="AQ193" i="59"/>
  <c r="AR193" i="59"/>
  <c r="AS193" i="59"/>
  <c r="AT193" i="59"/>
  <c r="AU193" i="59"/>
  <c r="AV193" i="59"/>
  <c r="AW193" i="59"/>
  <c r="AX193" i="59"/>
  <c r="AY193" i="59"/>
  <c r="AZ193" i="59"/>
  <c r="BA193" i="59"/>
  <c r="BB193" i="59"/>
  <c r="BC193" i="59"/>
  <c r="BD193" i="59"/>
  <c r="BE193" i="59"/>
  <c r="BF193" i="59"/>
  <c r="BG193" i="59"/>
  <c r="BH193" i="59"/>
  <c r="BI193" i="59"/>
  <c r="BJ193" i="59"/>
  <c r="BK193" i="59"/>
  <c r="BL193" i="59"/>
  <c r="BM193" i="59"/>
  <c r="BN193" i="59"/>
  <c r="AH194" i="59"/>
  <c r="AI194" i="59"/>
  <c r="AJ194" i="59"/>
  <c r="AK194" i="59"/>
  <c r="AL194" i="59"/>
  <c r="AM194" i="59"/>
  <c r="AN194" i="59"/>
  <c r="AO194" i="59"/>
  <c r="AP194" i="59"/>
  <c r="AQ194" i="59"/>
  <c r="AR194" i="59"/>
  <c r="AS194" i="59"/>
  <c r="AT194" i="59"/>
  <c r="AU194" i="59"/>
  <c r="AV194" i="59"/>
  <c r="AW194" i="59"/>
  <c r="AX194" i="59"/>
  <c r="AY194" i="59"/>
  <c r="AZ194" i="59"/>
  <c r="BA194" i="59"/>
  <c r="BB194" i="59"/>
  <c r="BC194" i="59"/>
  <c r="BD194" i="59"/>
  <c r="BE194" i="59"/>
  <c r="BF194" i="59"/>
  <c r="BG194" i="59"/>
  <c r="BH194" i="59"/>
  <c r="BI194" i="59"/>
  <c r="BJ194" i="59"/>
  <c r="BK194" i="59"/>
  <c r="BL194" i="59"/>
  <c r="BM194" i="59"/>
  <c r="BN194" i="59"/>
  <c r="BN187" i="59"/>
  <c r="BL187" i="59"/>
  <c r="BM187" i="59"/>
  <c r="BI187" i="59"/>
  <c r="BJ187" i="59"/>
  <c r="BK187" i="59"/>
  <c r="BF187" i="59"/>
  <c r="BG187" i="59"/>
  <c r="BH187" i="59"/>
  <c r="BC187" i="59"/>
  <c r="BD187" i="59"/>
  <c r="BE187" i="59"/>
  <c r="AZ187" i="59"/>
  <c r="BA187" i="59"/>
  <c r="BB187" i="59"/>
  <c r="AW187" i="59"/>
  <c r="AY187" i="59"/>
  <c r="AX187" i="59"/>
  <c r="AV187" i="59"/>
  <c r="AU187" i="59"/>
  <c r="AT187" i="59"/>
  <c r="AS187" i="59"/>
  <c r="AR187" i="59"/>
  <c r="AP187" i="59"/>
  <c r="AN187" i="59"/>
  <c r="AK187" i="59"/>
  <c r="AJ187" i="59"/>
  <c r="AI187" i="59"/>
  <c r="AH187" i="59"/>
  <c r="AQ187" i="59"/>
  <c r="AO187" i="59"/>
  <c r="AM187" i="59"/>
  <c r="AL187" i="59"/>
  <c r="B176" i="59"/>
  <c r="B175" i="59"/>
  <c r="BD170" i="59"/>
  <c r="BE170" i="59"/>
  <c r="BD163" i="59"/>
  <c r="BE163" i="59"/>
  <c r="BF163" i="59"/>
  <c r="BD164" i="59"/>
  <c r="BE164" i="59"/>
  <c r="BF164" i="59"/>
  <c r="BD165" i="59"/>
  <c r="BE165" i="59"/>
  <c r="BF165" i="59"/>
  <c r="BD166" i="59"/>
  <c r="BE166" i="59"/>
  <c r="BF166" i="59"/>
  <c r="BD167" i="59"/>
  <c r="BE167" i="59"/>
  <c r="BF167" i="59"/>
  <c r="BD168" i="59"/>
  <c r="BE168" i="59"/>
  <c r="BF168" i="59"/>
  <c r="BD169" i="59"/>
  <c r="BE169" i="59"/>
  <c r="BF169" i="59"/>
  <c r="AN173" i="59"/>
  <c r="AL173" i="59"/>
  <c r="AJ173" i="59"/>
  <c r="AL172" i="59"/>
  <c r="AJ172" i="59"/>
  <c r="AK170" i="59"/>
  <c r="AM170" i="59"/>
  <c r="AN170" i="59"/>
  <c r="AP170" i="59"/>
  <c r="AQ170" i="59"/>
  <c r="AS170" i="59"/>
  <c r="AT170" i="59"/>
  <c r="AV170" i="59"/>
  <c r="AW170" i="59"/>
  <c r="AY170" i="59"/>
  <c r="AZ170" i="59"/>
  <c r="BB170" i="59"/>
  <c r="AJ170" i="59"/>
  <c r="AH170" i="59"/>
  <c r="AG163" i="59"/>
  <c r="AH163" i="59"/>
  <c r="AI163" i="59"/>
  <c r="AJ163" i="59"/>
  <c r="AK163" i="59"/>
  <c r="AL163" i="59"/>
  <c r="AM163" i="59"/>
  <c r="AN163" i="59"/>
  <c r="AO163" i="59"/>
  <c r="AP163" i="59"/>
  <c r="AQ163" i="59"/>
  <c r="AR163" i="59"/>
  <c r="AS163" i="59"/>
  <c r="AT163" i="59"/>
  <c r="AU163" i="59"/>
  <c r="AV163" i="59"/>
  <c r="AW163" i="59"/>
  <c r="AX163" i="59"/>
  <c r="AY163" i="59"/>
  <c r="AZ163" i="59"/>
  <c r="BA163" i="59"/>
  <c r="BB163" i="59"/>
  <c r="AG164" i="59"/>
  <c r="AH164" i="59"/>
  <c r="AI164" i="59"/>
  <c r="AJ164" i="59"/>
  <c r="AK164" i="59"/>
  <c r="AL164" i="59"/>
  <c r="AM164" i="59"/>
  <c r="AN164" i="59"/>
  <c r="AO164" i="59"/>
  <c r="AP164" i="59"/>
  <c r="AQ164" i="59"/>
  <c r="AR164" i="59"/>
  <c r="AS164" i="59"/>
  <c r="AT164" i="59"/>
  <c r="AU164" i="59"/>
  <c r="AV164" i="59"/>
  <c r="AW164" i="59"/>
  <c r="AX164" i="59"/>
  <c r="AY164" i="59"/>
  <c r="AZ164" i="59"/>
  <c r="BA164" i="59"/>
  <c r="BB164" i="59"/>
  <c r="AG165" i="59"/>
  <c r="AH165" i="59"/>
  <c r="AI165" i="59"/>
  <c r="AJ165" i="59"/>
  <c r="AK165" i="59"/>
  <c r="AL165" i="59"/>
  <c r="AM165" i="59"/>
  <c r="AN165" i="59"/>
  <c r="AO165" i="59"/>
  <c r="AP165" i="59"/>
  <c r="AQ165" i="59"/>
  <c r="AR165" i="59"/>
  <c r="AS165" i="59"/>
  <c r="AT165" i="59"/>
  <c r="AU165" i="59"/>
  <c r="AV165" i="59"/>
  <c r="AW165" i="59"/>
  <c r="AX165" i="59"/>
  <c r="AY165" i="59"/>
  <c r="AZ165" i="59"/>
  <c r="BA165" i="59"/>
  <c r="BB165" i="59"/>
  <c r="AG166" i="59"/>
  <c r="AH166" i="59"/>
  <c r="AI166" i="59"/>
  <c r="AJ166" i="59"/>
  <c r="AK166" i="59"/>
  <c r="AL166" i="59"/>
  <c r="AM166" i="59"/>
  <c r="AN166" i="59"/>
  <c r="AO166" i="59"/>
  <c r="AP166" i="59"/>
  <c r="AQ166" i="59"/>
  <c r="AR166" i="59"/>
  <c r="AS166" i="59"/>
  <c r="AT166" i="59"/>
  <c r="AU166" i="59"/>
  <c r="AV166" i="59"/>
  <c r="AW166" i="59"/>
  <c r="AX166" i="59"/>
  <c r="AY166" i="59"/>
  <c r="AZ166" i="59"/>
  <c r="BA166" i="59"/>
  <c r="BB166" i="59"/>
  <c r="AG167" i="59"/>
  <c r="AH167" i="59"/>
  <c r="AI167" i="59"/>
  <c r="AJ167" i="59"/>
  <c r="AK167" i="59"/>
  <c r="AL167" i="59"/>
  <c r="AM167" i="59"/>
  <c r="AN167" i="59"/>
  <c r="AO167" i="59"/>
  <c r="AP167" i="59"/>
  <c r="AQ167" i="59"/>
  <c r="AR167" i="59"/>
  <c r="AS167" i="59"/>
  <c r="AT167" i="59"/>
  <c r="AU167" i="59"/>
  <c r="AV167" i="59"/>
  <c r="AW167" i="59"/>
  <c r="AX167" i="59"/>
  <c r="AY167" i="59"/>
  <c r="AZ167" i="59"/>
  <c r="BA167" i="59"/>
  <c r="BB167" i="59"/>
  <c r="AG168" i="59"/>
  <c r="AH168" i="59"/>
  <c r="AI168" i="59"/>
  <c r="AJ168" i="59"/>
  <c r="AK168" i="59"/>
  <c r="AL168" i="59"/>
  <c r="AM168" i="59"/>
  <c r="AN168" i="59"/>
  <c r="AO168" i="59"/>
  <c r="AP168" i="59"/>
  <c r="AQ168" i="59"/>
  <c r="AR168" i="59"/>
  <c r="AS168" i="59"/>
  <c r="AT168" i="59"/>
  <c r="AU168" i="59"/>
  <c r="AV168" i="59"/>
  <c r="AW168" i="59"/>
  <c r="AX168" i="59"/>
  <c r="AY168" i="59"/>
  <c r="AZ168" i="59"/>
  <c r="BA168" i="59"/>
  <c r="BB168" i="59"/>
  <c r="AH169" i="59"/>
  <c r="AI169" i="59"/>
  <c r="AJ169" i="59"/>
  <c r="AK169" i="59"/>
  <c r="AL169" i="59"/>
  <c r="AM169" i="59"/>
  <c r="AN169" i="59"/>
  <c r="AO169" i="59"/>
  <c r="AP169" i="59"/>
  <c r="AQ169" i="59"/>
  <c r="AR169" i="59"/>
  <c r="AS169" i="59"/>
  <c r="AT169" i="59"/>
  <c r="AU169" i="59"/>
  <c r="AV169" i="59"/>
  <c r="AW169" i="59"/>
  <c r="AX169" i="59"/>
  <c r="AY169" i="59"/>
  <c r="AZ169" i="59"/>
  <c r="BA169" i="59"/>
  <c r="BB169" i="59"/>
  <c r="BB162" i="59"/>
  <c r="AN162" i="59"/>
  <c r="AM162" i="59"/>
  <c r="AL162" i="59"/>
  <c r="AJ162" i="59"/>
  <c r="AH162" i="59"/>
  <c r="BA162" i="59"/>
  <c r="AZ162" i="59"/>
  <c r="AY162" i="59"/>
  <c r="AX162" i="59"/>
  <c r="AW162" i="59"/>
  <c r="AV162" i="59"/>
  <c r="AU162" i="59"/>
  <c r="AT162" i="59"/>
  <c r="AS162" i="59"/>
  <c r="AR162" i="59"/>
  <c r="AQ162" i="59"/>
  <c r="AP162" i="59"/>
  <c r="AO162" i="59"/>
  <c r="AK162" i="59"/>
  <c r="AI162" i="59"/>
  <c r="B154" i="59"/>
  <c r="B153" i="59"/>
  <c r="B152" i="59"/>
  <c r="BF146" i="59"/>
  <c r="BF145" i="59"/>
  <c r="BE145" i="59"/>
  <c r="BD145" i="59"/>
  <c r="BD138" i="59"/>
  <c r="BE138" i="59"/>
  <c r="BF138" i="59"/>
  <c r="BD139" i="59"/>
  <c r="BE139" i="59"/>
  <c r="BF139" i="59"/>
  <c r="BD140" i="59"/>
  <c r="BE140" i="59"/>
  <c r="BF140" i="59"/>
  <c r="BD141" i="59"/>
  <c r="BE141" i="59"/>
  <c r="BF141" i="59"/>
  <c r="BD142" i="59"/>
  <c r="BE142" i="59"/>
  <c r="BF142" i="59"/>
  <c r="BD143" i="59"/>
  <c r="BE143" i="59"/>
  <c r="BF143" i="59"/>
  <c r="BD144" i="59"/>
  <c r="BE144" i="59"/>
  <c r="BF144" i="59"/>
  <c r="BF137" i="59"/>
  <c r="BE137" i="59"/>
  <c r="BD137" i="59"/>
  <c r="AK145" i="59"/>
  <c r="AL145" i="59"/>
  <c r="AM145" i="59"/>
  <c r="AN145" i="59"/>
  <c r="AO145" i="59"/>
  <c r="AP145" i="59"/>
  <c r="AQ145" i="59"/>
  <c r="AR145" i="59"/>
  <c r="AS145" i="59"/>
  <c r="AT145" i="59"/>
  <c r="AU145" i="59"/>
  <c r="AV145" i="59"/>
  <c r="AZ145" i="59"/>
  <c r="BA145" i="59"/>
  <c r="BB145" i="59"/>
  <c r="AJ145" i="59"/>
  <c r="AI145" i="59"/>
  <c r="AH145" i="59"/>
  <c r="AG138" i="59"/>
  <c r="AH138" i="59"/>
  <c r="AI138" i="59"/>
  <c r="AJ138" i="59"/>
  <c r="AK138" i="59"/>
  <c r="AL138" i="59"/>
  <c r="AM138" i="59"/>
  <c r="AN138" i="59"/>
  <c r="AO138" i="59"/>
  <c r="AP138" i="59"/>
  <c r="AQ138" i="59"/>
  <c r="AR138" i="59"/>
  <c r="AS138" i="59"/>
  <c r="AT138" i="59"/>
  <c r="AU138" i="59"/>
  <c r="AV138" i="59"/>
  <c r="AW138" i="59"/>
  <c r="AX138" i="59"/>
  <c r="AY138" i="59"/>
  <c r="AZ138" i="59"/>
  <c r="BA138" i="59"/>
  <c r="BB138" i="59"/>
  <c r="AG139" i="59"/>
  <c r="AH139" i="59"/>
  <c r="AI139" i="59"/>
  <c r="AJ139" i="59"/>
  <c r="AK139" i="59"/>
  <c r="AL139" i="59"/>
  <c r="AM139" i="59"/>
  <c r="AN139" i="59"/>
  <c r="AO139" i="59"/>
  <c r="AP139" i="59"/>
  <c r="AQ139" i="59"/>
  <c r="AR139" i="59"/>
  <c r="AS139" i="59"/>
  <c r="AT139" i="59"/>
  <c r="AU139" i="59"/>
  <c r="AV139" i="59"/>
  <c r="AW139" i="59"/>
  <c r="AX139" i="59"/>
  <c r="AY139" i="59"/>
  <c r="AZ139" i="59"/>
  <c r="BA139" i="59"/>
  <c r="BB139" i="59"/>
  <c r="AG140" i="59"/>
  <c r="AH140" i="59"/>
  <c r="AI140" i="59"/>
  <c r="AJ140" i="59"/>
  <c r="AK140" i="59"/>
  <c r="AL140" i="59"/>
  <c r="AM140" i="59"/>
  <c r="AN140" i="59"/>
  <c r="AO140" i="59"/>
  <c r="AP140" i="59"/>
  <c r="AQ140" i="59"/>
  <c r="AR140" i="59"/>
  <c r="AS140" i="59"/>
  <c r="AT140" i="59"/>
  <c r="AU140" i="59"/>
  <c r="AV140" i="59"/>
  <c r="AW140" i="59"/>
  <c r="AX140" i="59"/>
  <c r="AY140" i="59"/>
  <c r="AZ140" i="59"/>
  <c r="BA140" i="59"/>
  <c r="BB140" i="59"/>
  <c r="AG141" i="59"/>
  <c r="AH141" i="59"/>
  <c r="AI141" i="59"/>
  <c r="AJ141" i="59"/>
  <c r="AK141" i="59"/>
  <c r="AL141" i="59"/>
  <c r="AM141" i="59"/>
  <c r="AN141" i="59"/>
  <c r="AO141" i="59"/>
  <c r="AP141" i="59"/>
  <c r="AQ141" i="59"/>
  <c r="AR141" i="59"/>
  <c r="AS141" i="59"/>
  <c r="AT141" i="59"/>
  <c r="AU141" i="59"/>
  <c r="AV141" i="59"/>
  <c r="AW141" i="59"/>
  <c r="AX141" i="59"/>
  <c r="AY141" i="59"/>
  <c r="AZ141" i="59"/>
  <c r="BA141" i="59"/>
  <c r="BB141" i="59"/>
  <c r="AG142" i="59"/>
  <c r="AH142" i="59"/>
  <c r="AI142" i="59"/>
  <c r="AJ142" i="59"/>
  <c r="AK142" i="59"/>
  <c r="AL142" i="59"/>
  <c r="AM142" i="59"/>
  <c r="AN142" i="59"/>
  <c r="AO142" i="59"/>
  <c r="AP142" i="59"/>
  <c r="AQ142" i="59"/>
  <c r="AR142" i="59"/>
  <c r="AS142" i="59"/>
  <c r="AT142" i="59"/>
  <c r="AU142" i="59"/>
  <c r="AV142" i="59"/>
  <c r="AW142" i="59"/>
  <c r="AX142" i="59"/>
  <c r="AY142" i="59"/>
  <c r="AZ142" i="59"/>
  <c r="BA142" i="59"/>
  <c r="BB142" i="59"/>
  <c r="AG143" i="59"/>
  <c r="AH143" i="59"/>
  <c r="AI143" i="59"/>
  <c r="AJ143" i="59"/>
  <c r="AK143" i="59"/>
  <c r="AL143" i="59"/>
  <c r="AM143" i="59"/>
  <c r="AN143" i="59"/>
  <c r="AO143" i="59"/>
  <c r="AP143" i="59"/>
  <c r="AQ143" i="59"/>
  <c r="AR143" i="59"/>
  <c r="AS143" i="59"/>
  <c r="AT143" i="59"/>
  <c r="AU143" i="59"/>
  <c r="AV143" i="59"/>
  <c r="AW143" i="59"/>
  <c r="AW145" i="59" s="1"/>
  <c r="AL147" i="59" s="1"/>
  <c r="AX143" i="59"/>
  <c r="AX145" i="59" s="1"/>
  <c r="AY143" i="59"/>
  <c r="AY145" i="59" s="1"/>
  <c r="AJ147" i="59" s="1"/>
  <c r="AZ143" i="59"/>
  <c r="BA143" i="59"/>
  <c r="BB143" i="59"/>
  <c r="AH144" i="59"/>
  <c r="AI144" i="59"/>
  <c r="AJ144" i="59"/>
  <c r="AK144" i="59"/>
  <c r="AL144" i="59"/>
  <c r="AM144" i="59"/>
  <c r="AN144" i="59"/>
  <c r="AO144" i="59"/>
  <c r="AP144" i="59"/>
  <c r="AQ144" i="59"/>
  <c r="AR144" i="59"/>
  <c r="AS144" i="59"/>
  <c r="AT144" i="59"/>
  <c r="AU144" i="59"/>
  <c r="AV144" i="59"/>
  <c r="AW144" i="59"/>
  <c r="AX144" i="59"/>
  <c r="AY144" i="59"/>
  <c r="AZ144" i="59"/>
  <c r="BA144" i="59"/>
  <c r="BB144" i="59"/>
  <c r="BB137" i="59"/>
  <c r="AV137" i="59"/>
  <c r="AU137" i="59"/>
  <c r="AT137" i="59"/>
  <c r="AS137" i="59"/>
  <c r="AR137" i="59"/>
  <c r="AQ137" i="59"/>
  <c r="AP137" i="59"/>
  <c r="AO137" i="59"/>
  <c r="AN137" i="59"/>
  <c r="AM137" i="59"/>
  <c r="AL137" i="59"/>
  <c r="AK137" i="59"/>
  <c r="AJ137" i="59"/>
  <c r="AI137" i="59"/>
  <c r="AH137" i="59"/>
  <c r="BA137" i="59"/>
  <c r="AZ137" i="59"/>
  <c r="AY137" i="59"/>
  <c r="AX137" i="59"/>
  <c r="AW137" i="59"/>
  <c r="B127" i="59"/>
  <c r="B126" i="59"/>
  <c r="AJ121" i="59"/>
  <c r="AI121" i="59"/>
  <c r="AH121" i="59"/>
  <c r="AG114" i="59"/>
  <c r="AH114" i="59"/>
  <c r="AI114" i="59"/>
  <c r="AJ114" i="59"/>
  <c r="AG115" i="59"/>
  <c r="AH115" i="59"/>
  <c r="AI115" i="59"/>
  <c r="AJ115" i="59"/>
  <c r="AG116" i="59"/>
  <c r="AH116" i="59"/>
  <c r="AI116" i="59"/>
  <c r="AJ116" i="59"/>
  <c r="AG117" i="59"/>
  <c r="AH117" i="59"/>
  <c r="AI117" i="59"/>
  <c r="AJ117" i="59"/>
  <c r="AG118" i="59"/>
  <c r="AH118" i="59"/>
  <c r="AI118" i="59"/>
  <c r="AJ118" i="59"/>
  <c r="AG119" i="59"/>
  <c r="AH119" i="59"/>
  <c r="AI119" i="59"/>
  <c r="AJ119" i="59"/>
  <c r="AH120" i="59"/>
  <c r="AI120" i="59"/>
  <c r="AJ120" i="59"/>
  <c r="AJ113" i="59"/>
  <c r="AI113" i="59"/>
  <c r="AH113" i="59"/>
  <c r="AD1718" i="59"/>
  <c r="S1718" i="59"/>
  <c r="T1718" i="59"/>
  <c r="U1718" i="59"/>
  <c r="V1718" i="59"/>
  <c r="W1718" i="59"/>
  <c r="X1718" i="59"/>
  <c r="Y1718" i="59"/>
  <c r="Z1718" i="59"/>
  <c r="AA1718" i="59"/>
  <c r="AB1718" i="59"/>
  <c r="AC1718" i="59"/>
  <c r="G1693" i="59"/>
  <c r="H1693" i="59"/>
  <c r="I1693" i="59"/>
  <c r="J1693" i="59"/>
  <c r="K1693" i="59"/>
  <c r="L1693" i="59"/>
  <c r="M1693" i="59"/>
  <c r="N1693" i="59"/>
  <c r="O1693" i="59"/>
  <c r="P1693" i="59"/>
  <c r="Q1693" i="59"/>
  <c r="R1693" i="59"/>
  <c r="S1693" i="59"/>
  <c r="T1693" i="59"/>
  <c r="U1693" i="59"/>
  <c r="V1693" i="59"/>
  <c r="W1693" i="59"/>
  <c r="X1693" i="59"/>
  <c r="Y1693" i="59"/>
  <c r="Z1693" i="59"/>
  <c r="AA1693" i="59"/>
  <c r="AB1693" i="59"/>
  <c r="AC1693" i="59"/>
  <c r="AD1693" i="59"/>
  <c r="G1677" i="59"/>
  <c r="H1677" i="59"/>
  <c r="I1677" i="59"/>
  <c r="J1677" i="59"/>
  <c r="K1677" i="59"/>
  <c r="L1677" i="59"/>
  <c r="M1677" i="59"/>
  <c r="N1677" i="59"/>
  <c r="O1677" i="59"/>
  <c r="P1677" i="59"/>
  <c r="Q1677" i="59"/>
  <c r="R1677" i="59"/>
  <c r="S1677" i="59"/>
  <c r="T1677" i="59"/>
  <c r="U1677" i="59"/>
  <c r="V1677" i="59"/>
  <c r="W1677" i="59"/>
  <c r="X1677" i="59"/>
  <c r="Y1677" i="59"/>
  <c r="Z1677" i="59"/>
  <c r="AA1677" i="59"/>
  <c r="AB1677" i="59"/>
  <c r="AC1677" i="59"/>
  <c r="AD1677" i="59"/>
  <c r="J1661" i="59"/>
  <c r="K1661" i="59"/>
  <c r="L1661" i="59"/>
  <c r="M1661" i="59"/>
  <c r="N1661" i="59"/>
  <c r="O1661" i="59"/>
  <c r="P1661" i="59"/>
  <c r="Q1661" i="59"/>
  <c r="R1661" i="59"/>
  <c r="S1661" i="59"/>
  <c r="T1661" i="59"/>
  <c r="U1661" i="59"/>
  <c r="V1661" i="59"/>
  <c r="W1661" i="59"/>
  <c r="X1661" i="59"/>
  <c r="Y1661" i="59"/>
  <c r="Z1661" i="59"/>
  <c r="AA1661" i="59"/>
  <c r="AB1661" i="59"/>
  <c r="AC1661" i="59"/>
  <c r="AD1661" i="59"/>
  <c r="M1629" i="59"/>
  <c r="S1629" i="59"/>
  <c r="Y1629" i="59"/>
  <c r="S1604" i="59"/>
  <c r="T1604" i="59"/>
  <c r="U1604" i="59"/>
  <c r="V1604" i="59"/>
  <c r="W1604" i="59"/>
  <c r="X1604" i="59"/>
  <c r="Y1604" i="59"/>
  <c r="Z1604" i="59"/>
  <c r="AA1604" i="59"/>
  <c r="AB1604" i="59"/>
  <c r="AC1604" i="59"/>
  <c r="AD1604" i="59"/>
  <c r="P1578" i="59"/>
  <c r="Q1578" i="59"/>
  <c r="R1578" i="59"/>
  <c r="S1578" i="59"/>
  <c r="T1578" i="59"/>
  <c r="U1578" i="59"/>
  <c r="V1578" i="59"/>
  <c r="W1578" i="59"/>
  <c r="X1578" i="59"/>
  <c r="Y1578" i="59"/>
  <c r="Z1578" i="59"/>
  <c r="AA1578" i="59"/>
  <c r="AB1578" i="59"/>
  <c r="AC1578" i="59"/>
  <c r="AD1578" i="59"/>
  <c r="T1563" i="59"/>
  <c r="U1563" i="59"/>
  <c r="V1563" i="59"/>
  <c r="W1563" i="59"/>
  <c r="X1563" i="59"/>
  <c r="Y1563" i="59"/>
  <c r="Z1563" i="59"/>
  <c r="AA1563" i="59"/>
  <c r="AB1563" i="59"/>
  <c r="AC1563" i="59"/>
  <c r="AD1563" i="59"/>
  <c r="S1563" i="59"/>
  <c r="S1538" i="59"/>
  <c r="T1538" i="59"/>
  <c r="U1538" i="59"/>
  <c r="V1538" i="59"/>
  <c r="W1538" i="59"/>
  <c r="X1538" i="59"/>
  <c r="Y1538" i="59"/>
  <c r="Z1538" i="59"/>
  <c r="AA1538" i="59"/>
  <c r="AB1538" i="59"/>
  <c r="AC1538" i="59"/>
  <c r="AD1538" i="59"/>
  <c r="M1514" i="59"/>
  <c r="N1514" i="59"/>
  <c r="O1514" i="59"/>
  <c r="P1514" i="59"/>
  <c r="Q1514" i="59"/>
  <c r="R1514" i="59"/>
  <c r="S1514" i="59"/>
  <c r="T1514" i="59"/>
  <c r="U1514" i="59"/>
  <c r="V1514" i="59"/>
  <c r="W1514" i="59"/>
  <c r="X1514" i="59"/>
  <c r="Y1514" i="59"/>
  <c r="Z1514" i="59"/>
  <c r="AA1514" i="59"/>
  <c r="AB1514" i="59"/>
  <c r="AC1514" i="59"/>
  <c r="AD1514" i="59"/>
  <c r="P1500" i="59"/>
  <c r="Q1500" i="59"/>
  <c r="R1500" i="59"/>
  <c r="S1500" i="59"/>
  <c r="T1500" i="59"/>
  <c r="U1500" i="59"/>
  <c r="V1500" i="59"/>
  <c r="W1500" i="59"/>
  <c r="X1500" i="59"/>
  <c r="Y1500" i="59"/>
  <c r="Z1500" i="59"/>
  <c r="AA1500" i="59"/>
  <c r="AB1500" i="59"/>
  <c r="AC1500" i="59"/>
  <c r="AD1500" i="59"/>
  <c r="G1475" i="59"/>
  <c r="H1475" i="59"/>
  <c r="I1475" i="59"/>
  <c r="J1475" i="59"/>
  <c r="K1475" i="59"/>
  <c r="L1475" i="59"/>
  <c r="M1475" i="59"/>
  <c r="N1475" i="59"/>
  <c r="O1475" i="59"/>
  <c r="P1475" i="59"/>
  <c r="Q1475" i="59"/>
  <c r="R1475" i="59"/>
  <c r="S1475" i="59"/>
  <c r="T1475" i="59"/>
  <c r="U1475" i="59"/>
  <c r="V1475" i="59"/>
  <c r="W1475" i="59"/>
  <c r="X1475" i="59"/>
  <c r="Y1475" i="59"/>
  <c r="Z1475" i="59"/>
  <c r="AA1475" i="59"/>
  <c r="AB1475" i="59"/>
  <c r="AC1475" i="59"/>
  <c r="AD1475" i="59"/>
  <c r="G1459" i="59"/>
  <c r="H1459" i="59"/>
  <c r="I1459" i="59"/>
  <c r="J1459" i="59"/>
  <c r="K1459" i="59"/>
  <c r="L1459" i="59"/>
  <c r="M1459" i="59"/>
  <c r="N1459" i="59"/>
  <c r="O1459" i="59"/>
  <c r="P1459" i="59"/>
  <c r="Q1459" i="59"/>
  <c r="R1459" i="59"/>
  <c r="S1459" i="59"/>
  <c r="T1459" i="59"/>
  <c r="U1459" i="59"/>
  <c r="V1459" i="59"/>
  <c r="W1459" i="59"/>
  <c r="X1459" i="59"/>
  <c r="Y1459" i="59"/>
  <c r="Z1459" i="59"/>
  <c r="AA1459" i="59"/>
  <c r="AB1459" i="59"/>
  <c r="AC1459" i="59"/>
  <c r="AD1459" i="59"/>
  <c r="J1443" i="59"/>
  <c r="K1443" i="59"/>
  <c r="L1443" i="59"/>
  <c r="M1443" i="59"/>
  <c r="N1443" i="59"/>
  <c r="O1443" i="59"/>
  <c r="P1443" i="59"/>
  <c r="Q1443" i="59"/>
  <c r="R1443" i="59"/>
  <c r="S1443" i="59"/>
  <c r="T1443" i="59"/>
  <c r="U1443" i="59"/>
  <c r="V1443" i="59"/>
  <c r="W1443" i="59"/>
  <c r="X1443" i="59"/>
  <c r="Y1443" i="59"/>
  <c r="Z1443" i="59"/>
  <c r="AA1443" i="59"/>
  <c r="AB1443" i="59"/>
  <c r="AC1443" i="59"/>
  <c r="AD1443" i="59"/>
  <c r="P1407" i="59"/>
  <c r="Q1407" i="59"/>
  <c r="R1407" i="59"/>
  <c r="S1407" i="59"/>
  <c r="T1407" i="59"/>
  <c r="U1407" i="59"/>
  <c r="V1407" i="59"/>
  <c r="W1407" i="59"/>
  <c r="X1407" i="59"/>
  <c r="Y1407" i="59"/>
  <c r="Z1407" i="59"/>
  <c r="AA1407" i="59"/>
  <c r="AB1407" i="59"/>
  <c r="AC1407" i="59"/>
  <c r="AD1407" i="59"/>
  <c r="S1392" i="59"/>
  <c r="T1392" i="59"/>
  <c r="U1392" i="59"/>
  <c r="V1392" i="59"/>
  <c r="W1392" i="59"/>
  <c r="X1392" i="59"/>
  <c r="Y1392" i="59"/>
  <c r="Z1392" i="59"/>
  <c r="AA1392" i="59"/>
  <c r="AB1392" i="59"/>
  <c r="AC1392" i="59"/>
  <c r="AD1392" i="59"/>
  <c r="M1365" i="59"/>
  <c r="S1365" i="59"/>
  <c r="Y1365" i="59"/>
  <c r="AD1341" i="59"/>
  <c r="O1341" i="59"/>
  <c r="P1341" i="59"/>
  <c r="Q1341" i="59"/>
  <c r="R1341" i="59"/>
  <c r="S1341" i="59"/>
  <c r="T1341" i="59"/>
  <c r="U1341" i="59"/>
  <c r="V1341" i="59"/>
  <c r="W1341" i="59"/>
  <c r="X1341" i="59"/>
  <c r="Y1341" i="59"/>
  <c r="Z1341" i="59"/>
  <c r="AA1341" i="59"/>
  <c r="AB1341" i="59"/>
  <c r="AC1341" i="59"/>
  <c r="H1341" i="59"/>
  <c r="I1341" i="59"/>
  <c r="J1341" i="59"/>
  <c r="K1341" i="59"/>
  <c r="L1341" i="59"/>
  <c r="M1341" i="59"/>
  <c r="N1341" i="59"/>
  <c r="G1341" i="59"/>
  <c r="M1317" i="59"/>
  <c r="N1317" i="59"/>
  <c r="O1317" i="59"/>
  <c r="P1317" i="59"/>
  <c r="Q1317" i="59"/>
  <c r="R1317" i="59"/>
  <c r="S1317" i="59"/>
  <c r="T1317" i="59"/>
  <c r="U1317" i="59"/>
  <c r="V1317" i="59"/>
  <c r="W1317" i="59"/>
  <c r="X1317" i="59"/>
  <c r="Y1317" i="59"/>
  <c r="Z1317" i="59"/>
  <c r="AA1317" i="59"/>
  <c r="AB1317" i="59"/>
  <c r="AC1317" i="59"/>
  <c r="AD1317" i="59"/>
  <c r="P1303" i="59"/>
  <c r="Q1303" i="59"/>
  <c r="R1303" i="59"/>
  <c r="S1303" i="59"/>
  <c r="T1303" i="59"/>
  <c r="U1303" i="59"/>
  <c r="V1303" i="59"/>
  <c r="W1303" i="59"/>
  <c r="X1303" i="59"/>
  <c r="Y1303" i="59"/>
  <c r="Z1303" i="59"/>
  <c r="AA1303" i="59"/>
  <c r="AB1303" i="59"/>
  <c r="AC1303" i="59"/>
  <c r="AD1303" i="59"/>
  <c r="G1277" i="59"/>
  <c r="H1277" i="59"/>
  <c r="I1277" i="59"/>
  <c r="J1277" i="59"/>
  <c r="K1277" i="59"/>
  <c r="L1277" i="59"/>
  <c r="M1277" i="59"/>
  <c r="N1277" i="59"/>
  <c r="O1277" i="59"/>
  <c r="P1277" i="59"/>
  <c r="Q1277" i="59"/>
  <c r="R1277" i="59"/>
  <c r="S1277" i="59"/>
  <c r="T1277" i="59"/>
  <c r="U1277" i="59"/>
  <c r="V1277" i="59"/>
  <c r="W1277" i="59"/>
  <c r="X1277" i="59"/>
  <c r="Y1277" i="59"/>
  <c r="Z1277" i="59"/>
  <c r="AA1277" i="59"/>
  <c r="AB1277" i="59"/>
  <c r="AC1277" i="59"/>
  <c r="AD1277" i="59"/>
  <c r="G1261" i="59"/>
  <c r="H1261" i="59"/>
  <c r="I1261" i="59"/>
  <c r="J1261" i="59"/>
  <c r="K1261" i="59"/>
  <c r="L1261" i="59"/>
  <c r="M1261" i="59"/>
  <c r="N1261" i="59"/>
  <c r="O1261" i="59"/>
  <c r="P1261" i="59"/>
  <c r="Q1261" i="59"/>
  <c r="R1261" i="59"/>
  <c r="S1261" i="59"/>
  <c r="T1261" i="59"/>
  <c r="U1261" i="59"/>
  <c r="V1261" i="59"/>
  <c r="W1261" i="59"/>
  <c r="X1261" i="59"/>
  <c r="Y1261" i="59"/>
  <c r="Z1261" i="59"/>
  <c r="AA1261" i="59"/>
  <c r="AB1261" i="59"/>
  <c r="AC1261" i="59"/>
  <c r="AD1261" i="59"/>
  <c r="J1245" i="59"/>
  <c r="K1245" i="59"/>
  <c r="L1245" i="59"/>
  <c r="M1245" i="59"/>
  <c r="N1245" i="59"/>
  <c r="O1245" i="59"/>
  <c r="P1245" i="59"/>
  <c r="Q1245" i="59"/>
  <c r="R1245" i="59"/>
  <c r="S1245" i="59"/>
  <c r="T1245" i="59"/>
  <c r="U1245" i="59"/>
  <c r="V1245" i="59"/>
  <c r="W1245" i="59"/>
  <c r="X1245" i="59"/>
  <c r="Y1245" i="59"/>
  <c r="Z1245" i="59"/>
  <c r="AA1245" i="59"/>
  <c r="AB1245" i="59"/>
  <c r="AC1245" i="59"/>
  <c r="AD1245" i="59"/>
  <c r="O1210" i="59"/>
  <c r="S1210" i="59"/>
  <c r="W1210" i="59"/>
  <c r="AA1210" i="59"/>
  <c r="T1182" i="59"/>
  <c r="U1182" i="59"/>
  <c r="V1182" i="59"/>
  <c r="W1182" i="59"/>
  <c r="X1182" i="59"/>
  <c r="Y1182" i="59"/>
  <c r="Z1182" i="59"/>
  <c r="AA1182" i="59"/>
  <c r="AB1182" i="59"/>
  <c r="AC1182" i="59"/>
  <c r="AD1182" i="59"/>
  <c r="M1146" i="59"/>
  <c r="N1146" i="59"/>
  <c r="O1146" i="59"/>
  <c r="P1146" i="59"/>
  <c r="Q1146" i="59"/>
  <c r="R1146" i="59"/>
  <c r="S1146" i="59"/>
  <c r="T1146" i="59"/>
  <c r="U1146" i="59"/>
  <c r="V1146" i="59"/>
  <c r="W1146" i="59"/>
  <c r="X1146" i="59"/>
  <c r="Y1146" i="59"/>
  <c r="Z1146" i="59"/>
  <c r="AA1146" i="59"/>
  <c r="AB1146" i="59"/>
  <c r="AC1146" i="59"/>
  <c r="AD1146" i="59"/>
  <c r="M1132" i="59"/>
  <c r="N1132" i="59"/>
  <c r="O1132" i="59"/>
  <c r="P1132" i="59"/>
  <c r="Q1132" i="59"/>
  <c r="R1132" i="59"/>
  <c r="S1132" i="59"/>
  <c r="T1132" i="59"/>
  <c r="U1132" i="59"/>
  <c r="V1132" i="59"/>
  <c r="W1132" i="59"/>
  <c r="X1132" i="59"/>
  <c r="Y1132" i="59"/>
  <c r="Z1132" i="59"/>
  <c r="AA1132" i="59"/>
  <c r="AB1132" i="59"/>
  <c r="AC1132" i="59"/>
  <c r="AD1132" i="59"/>
  <c r="N1118" i="59"/>
  <c r="O1118" i="59"/>
  <c r="P1118" i="59"/>
  <c r="Q1118" i="59"/>
  <c r="R1118" i="59"/>
  <c r="S1118" i="59"/>
  <c r="T1118" i="59"/>
  <c r="U1118" i="59"/>
  <c r="V1118" i="59"/>
  <c r="W1118" i="59"/>
  <c r="X1118" i="59"/>
  <c r="Y1118" i="59"/>
  <c r="Z1118" i="59"/>
  <c r="AA1118" i="59"/>
  <c r="AB1118" i="59"/>
  <c r="AC1118" i="59"/>
  <c r="AD1118" i="59"/>
  <c r="M1118" i="59"/>
  <c r="M1088" i="59"/>
  <c r="N1088" i="59"/>
  <c r="O1088" i="59"/>
  <c r="P1088" i="59"/>
  <c r="Q1088" i="59"/>
  <c r="R1088" i="59"/>
  <c r="S1088" i="59"/>
  <c r="T1088" i="59"/>
  <c r="U1088" i="59"/>
  <c r="V1088" i="59"/>
  <c r="W1088" i="59"/>
  <c r="X1088" i="59"/>
  <c r="Y1088" i="59"/>
  <c r="Z1088" i="59"/>
  <c r="AA1088" i="59"/>
  <c r="AB1088" i="59"/>
  <c r="AC1088" i="59"/>
  <c r="AD1088" i="59"/>
  <c r="P1074" i="59"/>
  <c r="Q1074" i="59"/>
  <c r="R1074" i="59"/>
  <c r="S1074" i="59"/>
  <c r="T1074" i="59"/>
  <c r="U1074" i="59"/>
  <c r="V1074" i="59"/>
  <c r="W1074" i="59"/>
  <c r="X1074" i="59"/>
  <c r="Y1074" i="59"/>
  <c r="Z1074" i="59"/>
  <c r="AA1074" i="59"/>
  <c r="AB1074" i="59"/>
  <c r="AC1074" i="59"/>
  <c r="AD1074" i="59"/>
  <c r="H1046" i="59"/>
  <c r="I1046" i="59"/>
  <c r="J1046" i="59"/>
  <c r="K1046" i="59"/>
  <c r="L1046" i="59"/>
  <c r="M1046" i="59"/>
  <c r="N1046" i="59"/>
  <c r="O1046" i="59"/>
  <c r="P1046" i="59"/>
  <c r="Q1046" i="59"/>
  <c r="R1046" i="59"/>
  <c r="S1046" i="59"/>
  <c r="T1046" i="59"/>
  <c r="U1046" i="59"/>
  <c r="V1046" i="59"/>
  <c r="W1046" i="59"/>
  <c r="X1046" i="59"/>
  <c r="Y1046" i="59"/>
  <c r="Z1046" i="59"/>
  <c r="AA1046" i="59"/>
  <c r="AB1046" i="59"/>
  <c r="AC1046" i="59"/>
  <c r="AD1046" i="59"/>
  <c r="G1046" i="59"/>
  <c r="H1030" i="59"/>
  <c r="I1030" i="59"/>
  <c r="J1030" i="59"/>
  <c r="K1030" i="59"/>
  <c r="L1030" i="59"/>
  <c r="M1030" i="59"/>
  <c r="N1030" i="59"/>
  <c r="O1030" i="59"/>
  <c r="P1030" i="59"/>
  <c r="Q1030" i="59"/>
  <c r="R1030" i="59"/>
  <c r="S1030" i="59"/>
  <c r="T1030" i="59"/>
  <c r="U1030" i="59"/>
  <c r="V1030" i="59"/>
  <c r="W1030" i="59"/>
  <c r="X1030" i="59"/>
  <c r="Y1030" i="59"/>
  <c r="Z1030" i="59"/>
  <c r="AA1030" i="59"/>
  <c r="AB1030" i="59"/>
  <c r="AC1030" i="59"/>
  <c r="AD1030" i="59"/>
  <c r="G1030" i="59"/>
  <c r="K1014" i="59"/>
  <c r="L1014" i="59"/>
  <c r="M1014" i="59"/>
  <c r="N1014" i="59"/>
  <c r="O1014" i="59"/>
  <c r="P1014" i="59"/>
  <c r="Q1014" i="59"/>
  <c r="R1014" i="59"/>
  <c r="S1014" i="59"/>
  <c r="T1014" i="59"/>
  <c r="U1014" i="59"/>
  <c r="V1014" i="59"/>
  <c r="W1014" i="59"/>
  <c r="X1014" i="59"/>
  <c r="Y1014" i="59"/>
  <c r="Z1014" i="59"/>
  <c r="AA1014" i="59"/>
  <c r="AB1014" i="59"/>
  <c r="AC1014" i="59"/>
  <c r="AD1014" i="59"/>
  <c r="J1014" i="59"/>
  <c r="AK1017" i="59" s="1"/>
  <c r="B1052" i="59" s="1"/>
  <c r="S851" i="59"/>
  <c r="Y851" i="59"/>
  <c r="M851" i="59"/>
  <c r="AK837" i="59" s="1"/>
  <c r="AM838" i="59" s="1"/>
  <c r="S795" i="59"/>
  <c r="T795" i="59"/>
  <c r="U795" i="59"/>
  <c r="V795" i="59"/>
  <c r="W795" i="59"/>
  <c r="X795" i="59"/>
  <c r="Y795" i="59"/>
  <c r="Z795" i="59"/>
  <c r="AA795" i="59"/>
  <c r="AB795" i="59"/>
  <c r="AC795" i="59"/>
  <c r="AU792" i="59" s="1"/>
  <c r="AD795" i="59"/>
  <c r="R795" i="59"/>
  <c r="S711" i="59"/>
  <c r="AM700" i="59" s="1"/>
  <c r="V711" i="59"/>
  <c r="Y711" i="59"/>
  <c r="AB711" i="59"/>
  <c r="P711" i="59"/>
  <c r="T643" i="59"/>
  <c r="U643" i="59"/>
  <c r="V643" i="59"/>
  <c r="W643" i="59"/>
  <c r="X643" i="59"/>
  <c r="Y643" i="59"/>
  <c r="Z643" i="59"/>
  <c r="AA643" i="59"/>
  <c r="AB643" i="59"/>
  <c r="AC643" i="59"/>
  <c r="AD643" i="59"/>
  <c r="S643" i="59"/>
  <c r="Q615" i="59"/>
  <c r="R615" i="59"/>
  <c r="S615" i="59"/>
  <c r="T615" i="59"/>
  <c r="U615" i="59"/>
  <c r="V615" i="59"/>
  <c r="W615" i="59"/>
  <c r="X615" i="59"/>
  <c r="Y615" i="59"/>
  <c r="Z615" i="59"/>
  <c r="AA615" i="59"/>
  <c r="AB615" i="59"/>
  <c r="AC615" i="59"/>
  <c r="AD615" i="59"/>
  <c r="P615" i="59"/>
  <c r="K600" i="59"/>
  <c r="L600" i="59"/>
  <c r="M600" i="59"/>
  <c r="N600" i="59"/>
  <c r="O600" i="59"/>
  <c r="P600" i="59"/>
  <c r="Q600" i="59"/>
  <c r="R600" i="59"/>
  <c r="S600" i="59"/>
  <c r="T600" i="59"/>
  <c r="U600" i="59"/>
  <c r="V600" i="59"/>
  <c r="W600" i="59"/>
  <c r="X600" i="59"/>
  <c r="Y600" i="59"/>
  <c r="Z600" i="59"/>
  <c r="AA600" i="59"/>
  <c r="AB600" i="59"/>
  <c r="AC600" i="59"/>
  <c r="AD600" i="59"/>
  <c r="J600" i="59"/>
  <c r="H565" i="59"/>
  <c r="I565" i="59"/>
  <c r="J565" i="59"/>
  <c r="K565" i="59"/>
  <c r="L565" i="59"/>
  <c r="M565" i="59"/>
  <c r="N565" i="59"/>
  <c r="O565" i="59"/>
  <c r="P565" i="59"/>
  <c r="Q565" i="59"/>
  <c r="R565" i="59"/>
  <c r="S565" i="59"/>
  <c r="T565" i="59"/>
  <c r="U565" i="59"/>
  <c r="V565" i="59"/>
  <c r="W565" i="59"/>
  <c r="X565" i="59"/>
  <c r="Y565" i="59"/>
  <c r="Z565" i="59"/>
  <c r="AA565" i="59"/>
  <c r="AB565" i="59"/>
  <c r="AC565" i="59"/>
  <c r="BF557" i="59" s="1"/>
  <c r="AD565" i="59"/>
  <c r="G565" i="59"/>
  <c r="G540" i="59"/>
  <c r="H540" i="59"/>
  <c r="I540" i="59"/>
  <c r="J540" i="59"/>
  <c r="K540" i="59"/>
  <c r="L540" i="59"/>
  <c r="M540" i="59"/>
  <c r="N540" i="59"/>
  <c r="O540" i="59"/>
  <c r="P540" i="59"/>
  <c r="Q540" i="59"/>
  <c r="R540" i="59"/>
  <c r="S540" i="59"/>
  <c r="T540" i="59"/>
  <c r="U540" i="59"/>
  <c r="V540" i="59"/>
  <c r="W540" i="59"/>
  <c r="X540" i="59"/>
  <c r="Y540" i="59"/>
  <c r="Z540" i="59"/>
  <c r="AA540" i="59"/>
  <c r="AB540" i="59"/>
  <c r="AC540" i="59"/>
  <c r="AD540" i="59"/>
  <c r="H515" i="59"/>
  <c r="I515" i="59"/>
  <c r="J515" i="59"/>
  <c r="K515" i="59"/>
  <c r="L515" i="59"/>
  <c r="M515" i="59"/>
  <c r="N515" i="59"/>
  <c r="O515" i="59"/>
  <c r="P515" i="59"/>
  <c r="Q515" i="59"/>
  <c r="R515" i="59"/>
  <c r="S515" i="59"/>
  <c r="T515" i="59"/>
  <c r="U515" i="59"/>
  <c r="V515" i="59"/>
  <c r="W515" i="59"/>
  <c r="X515" i="59"/>
  <c r="Y515" i="59"/>
  <c r="Z515" i="59"/>
  <c r="AA515" i="59"/>
  <c r="AB515" i="59"/>
  <c r="AC515" i="59"/>
  <c r="AD515" i="59"/>
  <c r="G515" i="59"/>
  <c r="T471" i="59"/>
  <c r="U471" i="59"/>
  <c r="V471" i="59"/>
  <c r="W471" i="59"/>
  <c r="X471" i="59"/>
  <c r="Y471" i="59"/>
  <c r="Z471" i="59"/>
  <c r="AA471" i="59"/>
  <c r="AB471" i="59"/>
  <c r="AC471" i="59"/>
  <c r="AD471" i="59"/>
  <c r="S471" i="59"/>
  <c r="J447" i="59"/>
  <c r="K447" i="59"/>
  <c r="L447" i="59"/>
  <c r="M447" i="59"/>
  <c r="N447" i="59"/>
  <c r="O447" i="59"/>
  <c r="P447" i="59"/>
  <c r="Q447" i="59"/>
  <c r="R447" i="59"/>
  <c r="S447" i="59"/>
  <c r="T447" i="59"/>
  <c r="U447" i="59"/>
  <c r="V447" i="59"/>
  <c r="W447" i="59"/>
  <c r="X447" i="59"/>
  <c r="Y447" i="59"/>
  <c r="Z447" i="59"/>
  <c r="AA447" i="59"/>
  <c r="AB447" i="59"/>
  <c r="AC447" i="59"/>
  <c r="AD447" i="59"/>
  <c r="G423" i="59"/>
  <c r="H423" i="59"/>
  <c r="I423" i="59"/>
  <c r="J423" i="59"/>
  <c r="K423" i="59"/>
  <c r="L423" i="59"/>
  <c r="M423" i="59"/>
  <c r="N423" i="59"/>
  <c r="O423" i="59"/>
  <c r="P423" i="59"/>
  <c r="Q423" i="59"/>
  <c r="R423" i="59"/>
  <c r="S423" i="59"/>
  <c r="T423" i="59"/>
  <c r="U423" i="59"/>
  <c r="V423" i="59"/>
  <c r="W423" i="59"/>
  <c r="X423" i="59"/>
  <c r="Y423" i="59"/>
  <c r="Z423" i="59"/>
  <c r="AA423" i="59"/>
  <c r="AB423" i="59"/>
  <c r="AC423" i="59"/>
  <c r="AD423" i="59"/>
  <c r="H407" i="59"/>
  <c r="I407" i="59"/>
  <c r="J407" i="59"/>
  <c r="K407" i="59"/>
  <c r="L407" i="59"/>
  <c r="M407" i="59"/>
  <c r="N407" i="59"/>
  <c r="O407" i="59"/>
  <c r="P407" i="59"/>
  <c r="Q407" i="59"/>
  <c r="R407" i="59"/>
  <c r="S407" i="59"/>
  <c r="T407" i="59"/>
  <c r="U407" i="59"/>
  <c r="V407" i="59"/>
  <c r="W407" i="59"/>
  <c r="X407" i="59"/>
  <c r="Y407" i="59"/>
  <c r="Z407" i="59"/>
  <c r="AA407" i="59"/>
  <c r="AB407" i="59"/>
  <c r="AC407" i="59"/>
  <c r="AD407" i="59"/>
  <c r="G407" i="59"/>
  <c r="K391" i="59"/>
  <c r="L391" i="59"/>
  <c r="M391" i="59"/>
  <c r="N391" i="59"/>
  <c r="O391" i="59"/>
  <c r="P391" i="59"/>
  <c r="Q391" i="59"/>
  <c r="R391" i="59"/>
  <c r="S391" i="59"/>
  <c r="T391" i="59"/>
  <c r="U391" i="59"/>
  <c r="V391" i="59"/>
  <c r="W391" i="59"/>
  <c r="X391" i="59"/>
  <c r="Y391" i="59"/>
  <c r="Z391" i="59"/>
  <c r="AA391" i="59"/>
  <c r="AB391" i="59"/>
  <c r="AC391" i="59"/>
  <c r="AD391" i="59"/>
  <c r="J391" i="59"/>
  <c r="M365" i="59"/>
  <c r="S365" i="59"/>
  <c r="Y365" i="59"/>
  <c r="T324" i="59"/>
  <c r="U324" i="59"/>
  <c r="V324" i="59"/>
  <c r="W324" i="59"/>
  <c r="X324" i="59"/>
  <c r="Y324" i="59"/>
  <c r="Z324" i="59"/>
  <c r="AA324" i="59"/>
  <c r="AB324" i="59"/>
  <c r="AC324" i="59"/>
  <c r="AD324" i="59"/>
  <c r="S324" i="59"/>
  <c r="Q301" i="59"/>
  <c r="R301" i="59"/>
  <c r="S301" i="59"/>
  <c r="T301" i="59"/>
  <c r="U301" i="59"/>
  <c r="V301" i="59"/>
  <c r="W301" i="59"/>
  <c r="X301" i="59"/>
  <c r="Y301" i="59"/>
  <c r="Z301" i="59"/>
  <c r="AA301" i="59"/>
  <c r="AB301" i="59"/>
  <c r="AC301" i="59"/>
  <c r="AD301" i="59"/>
  <c r="P301" i="59"/>
  <c r="AD287" i="59"/>
  <c r="Q287" i="59"/>
  <c r="R287" i="59"/>
  <c r="S287" i="59"/>
  <c r="T287" i="59"/>
  <c r="U287" i="59"/>
  <c r="V287" i="59"/>
  <c r="W287" i="59"/>
  <c r="X287" i="59"/>
  <c r="Y287" i="59"/>
  <c r="Z287" i="59"/>
  <c r="AA287" i="59"/>
  <c r="AB287" i="59"/>
  <c r="AC287" i="59"/>
  <c r="P287" i="59"/>
  <c r="M262" i="59"/>
  <c r="N262" i="59"/>
  <c r="O262" i="59"/>
  <c r="P262" i="59"/>
  <c r="Q262" i="59"/>
  <c r="R262" i="59"/>
  <c r="S262" i="59"/>
  <c r="T262" i="59"/>
  <c r="U262" i="59"/>
  <c r="V262" i="59"/>
  <c r="W262" i="59"/>
  <c r="X262" i="59"/>
  <c r="Y262" i="59"/>
  <c r="Z262" i="59"/>
  <c r="AA262" i="59"/>
  <c r="AB262" i="59"/>
  <c r="AC262" i="59"/>
  <c r="AD262" i="59"/>
  <c r="M248" i="59"/>
  <c r="N248" i="59"/>
  <c r="O248" i="59"/>
  <c r="P248" i="59"/>
  <c r="Q248" i="59"/>
  <c r="R248" i="59"/>
  <c r="S248" i="59"/>
  <c r="T248" i="59"/>
  <c r="U248" i="59"/>
  <c r="V248" i="59"/>
  <c r="W248" i="59"/>
  <c r="X248" i="59"/>
  <c r="Y248" i="59"/>
  <c r="Z248" i="59"/>
  <c r="AA248" i="59"/>
  <c r="AB248" i="59"/>
  <c r="AC248" i="59"/>
  <c r="AD248" i="59"/>
  <c r="N234" i="59"/>
  <c r="O234" i="59"/>
  <c r="P234" i="59"/>
  <c r="Q234" i="59"/>
  <c r="R234" i="59"/>
  <c r="S234" i="59"/>
  <c r="T234" i="59"/>
  <c r="U234" i="59"/>
  <c r="V234" i="59"/>
  <c r="W234" i="59"/>
  <c r="X234" i="59"/>
  <c r="Y234" i="59"/>
  <c r="Z234" i="59"/>
  <c r="AA234" i="59"/>
  <c r="AB234" i="59"/>
  <c r="AC234" i="59"/>
  <c r="AD234" i="59"/>
  <c r="M234" i="59"/>
  <c r="N209" i="59"/>
  <c r="O209" i="59"/>
  <c r="P209" i="59"/>
  <c r="Q209" i="59"/>
  <c r="R209" i="59"/>
  <c r="S209" i="59"/>
  <c r="T209" i="59"/>
  <c r="U209" i="59"/>
  <c r="V209" i="59"/>
  <c r="W209" i="59"/>
  <c r="X209" i="59"/>
  <c r="Y209" i="59"/>
  <c r="Z209" i="59"/>
  <c r="AA209" i="59"/>
  <c r="AB209" i="59"/>
  <c r="AC209" i="59"/>
  <c r="AD209" i="59"/>
  <c r="M209" i="59"/>
  <c r="P195" i="59"/>
  <c r="Q195" i="59"/>
  <c r="R195" i="59"/>
  <c r="S195" i="59"/>
  <c r="T195" i="59"/>
  <c r="U195" i="59"/>
  <c r="V195" i="59"/>
  <c r="W195" i="59"/>
  <c r="X195" i="59"/>
  <c r="Y195" i="59"/>
  <c r="Z195" i="59"/>
  <c r="AA195" i="59"/>
  <c r="AB195" i="59"/>
  <c r="AC195" i="59"/>
  <c r="AD195" i="59"/>
  <c r="J170" i="59"/>
  <c r="K170" i="59"/>
  <c r="L170" i="59"/>
  <c r="M170" i="59"/>
  <c r="N170" i="59"/>
  <c r="O170" i="59"/>
  <c r="P170" i="59"/>
  <c r="Q170" i="59"/>
  <c r="R170" i="59"/>
  <c r="S170" i="59"/>
  <c r="T170" i="59"/>
  <c r="U170" i="59"/>
  <c r="V170" i="59"/>
  <c r="W170" i="59"/>
  <c r="X170" i="59"/>
  <c r="Y170" i="59"/>
  <c r="Z170" i="59"/>
  <c r="AA170" i="59"/>
  <c r="AB170" i="59"/>
  <c r="AC170" i="59"/>
  <c r="AD170" i="59"/>
  <c r="J145" i="59"/>
  <c r="K145" i="59"/>
  <c r="L145" i="59"/>
  <c r="M145" i="59"/>
  <c r="N145" i="59"/>
  <c r="O145" i="59"/>
  <c r="P145" i="59"/>
  <c r="Q145" i="59"/>
  <c r="R145" i="59"/>
  <c r="S145" i="59"/>
  <c r="T145" i="59"/>
  <c r="U145" i="59"/>
  <c r="V145" i="59"/>
  <c r="W145" i="59"/>
  <c r="X145" i="59"/>
  <c r="Y145" i="59"/>
  <c r="Z145" i="59"/>
  <c r="BC137" i="59" s="1"/>
  <c r="B148" i="59" s="1"/>
  <c r="AA145" i="59"/>
  <c r="AB145" i="59"/>
  <c r="AC145" i="59"/>
  <c r="AD145" i="59"/>
  <c r="M121" i="59"/>
  <c r="D1711" i="59"/>
  <c r="D1712" i="59"/>
  <c r="D1713" i="59"/>
  <c r="D1714" i="59"/>
  <c r="D1715" i="59"/>
  <c r="D1716" i="59"/>
  <c r="D1717" i="59"/>
  <c r="AG1717" i="59" s="1"/>
  <c r="D1710" i="59"/>
  <c r="AG1710" i="59" s="1"/>
  <c r="D1686" i="59"/>
  <c r="D1687" i="59"/>
  <c r="D1688" i="59"/>
  <c r="D1689" i="59"/>
  <c r="D1690" i="59"/>
  <c r="D1691" i="59"/>
  <c r="D1692" i="59"/>
  <c r="D1685" i="59"/>
  <c r="D1670" i="59"/>
  <c r="D1671" i="59"/>
  <c r="D1672" i="59"/>
  <c r="D1673" i="59"/>
  <c r="D1674" i="59"/>
  <c r="D1675" i="59"/>
  <c r="D1676" i="59"/>
  <c r="D1669" i="59"/>
  <c r="D1654" i="59"/>
  <c r="D1655" i="59"/>
  <c r="D1656" i="59"/>
  <c r="D1657" i="59"/>
  <c r="D1658" i="59"/>
  <c r="D1659" i="59"/>
  <c r="D1660" i="59"/>
  <c r="AG1660" i="59" s="1"/>
  <c r="D1653" i="59"/>
  <c r="AG1653" i="59" s="1"/>
  <c r="D1623" i="59"/>
  <c r="D1624" i="59"/>
  <c r="D1625" i="59"/>
  <c r="D1626" i="59"/>
  <c r="D1627" i="59"/>
  <c r="D1628" i="59"/>
  <c r="D1621" i="59"/>
  <c r="AG1629" i="59" s="1"/>
  <c r="B1633" i="59" s="1"/>
  <c r="D1571" i="59"/>
  <c r="D1572" i="59"/>
  <c r="D1573" i="59"/>
  <c r="D1574" i="59"/>
  <c r="D1575" i="59"/>
  <c r="D1576" i="59"/>
  <c r="D1577" i="59"/>
  <c r="D1570" i="59"/>
  <c r="D1556" i="59"/>
  <c r="D1557" i="59"/>
  <c r="D1558" i="59"/>
  <c r="D1559" i="59"/>
  <c r="D1560" i="59"/>
  <c r="D1561" i="59"/>
  <c r="D1562" i="59"/>
  <c r="D1555" i="59"/>
  <c r="D1531" i="59"/>
  <c r="D1532" i="59"/>
  <c r="D1533" i="59"/>
  <c r="D1534" i="59"/>
  <c r="D1535" i="59"/>
  <c r="D1536" i="59"/>
  <c r="D1537" i="59"/>
  <c r="D1530" i="59"/>
  <c r="D1507" i="59"/>
  <c r="D1508" i="59"/>
  <c r="D1509" i="59"/>
  <c r="D1510" i="59"/>
  <c r="D1511" i="59"/>
  <c r="D1512" i="59"/>
  <c r="D1513" i="59"/>
  <c r="D1506" i="59"/>
  <c r="D1493" i="59"/>
  <c r="D1494" i="59"/>
  <c r="D1495" i="59"/>
  <c r="D1496" i="59"/>
  <c r="D1497" i="59"/>
  <c r="D1498" i="59"/>
  <c r="D1499" i="59"/>
  <c r="D1492" i="59"/>
  <c r="D1468" i="59"/>
  <c r="D1469" i="59"/>
  <c r="D1470" i="59"/>
  <c r="D1471" i="59"/>
  <c r="D1472" i="59"/>
  <c r="D1473" i="59"/>
  <c r="D1474" i="59"/>
  <c r="D1467" i="59"/>
  <c r="D1452" i="59"/>
  <c r="D1453" i="59"/>
  <c r="D1454" i="59"/>
  <c r="D1455" i="59"/>
  <c r="D1456" i="59"/>
  <c r="D1457" i="59"/>
  <c r="D1458" i="59"/>
  <c r="D1451" i="59"/>
  <c r="D1436" i="59"/>
  <c r="D1437" i="59"/>
  <c r="D1438" i="59"/>
  <c r="D1439" i="59"/>
  <c r="D1440" i="59"/>
  <c r="D1441" i="59"/>
  <c r="D1442" i="59"/>
  <c r="AG1442" i="59" s="1"/>
  <c r="D1435" i="59"/>
  <c r="D1400" i="59"/>
  <c r="D1401" i="59"/>
  <c r="D1402" i="59"/>
  <c r="D1403" i="59"/>
  <c r="D1404" i="59"/>
  <c r="D1405" i="59"/>
  <c r="D1406" i="59"/>
  <c r="D1399" i="59"/>
  <c r="D1385" i="59"/>
  <c r="D1386" i="59"/>
  <c r="D1387" i="59"/>
  <c r="D1388" i="59"/>
  <c r="D1389" i="59"/>
  <c r="D1390" i="59"/>
  <c r="D1391" i="59"/>
  <c r="D1384" i="59"/>
  <c r="D1358" i="59"/>
  <c r="D1359" i="59"/>
  <c r="D1360" i="59"/>
  <c r="D1361" i="59"/>
  <c r="D1362" i="59"/>
  <c r="D1363" i="59"/>
  <c r="D1364" i="59"/>
  <c r="D1357" i="59"/>
  <c r="D1334" i="59"/>
  <c r="D1335" i="59"/>
  <c r="D1336" i="59"/>
  <c r="D1337" i="59"/>
  <c r="D1338" i="59"/>
  <c r="D1339" i="59"/>
  <c r="D1340" i="59"/>
  <c r="D1333" i="59"/>
  <c r="D1310" i="59"/>
  <c r="D1311" i="59"/>
  <c r="D1312" i="59"/>
  <c r="D1313" i="59"/>
  <c r="D1314" i="59"/>
  <c r="D1315" i="59"/>
  <c r="D1316" i="59"/>
  <c r="D1309" i="59"/>
  <c r="D1296" i="59"/>
  <c r="D1297" i="59"/>
  <c r="D1298" i="59"/>
  <c r="D1299" i="59"/>
  <c r="D1300" i="59"/>
  <c r="D1301" i="59"/>
  <c r="D1302" i="59"/>
  <c r="D1295" i="59"/>
  <c r="D1270" i="59"/>
  <c r="D1271" i="59"/>
  <c r="D1272" i="59"/>
  <c r="D1273" i="59"/>
  <c r="D1274" i="59"/>
  <c r="D1275" i="59"/>
  <c r="D1276" i="59"/>
  <c r="D1269" i="59"/>
  <c r="D1254" i="59"/>
  <c r="D1255" i="59"/>
  <c r="D1256" i="59"/>
  <c r="D1257" i="59"/>
  <c r="D1258" i="59"/>
  <c r="D1259" i="59"/>
  <c r="D1260" i="59"/>
  <c r="D1253" i="59"/>
  <c r="D1238" i="59"/>
  <c r="D1239" i="59"/>
  <c r="D1240" i="59"/>
  <c r="D1241" i="59"/>
  <c r="D1242" i="59"/>
  <c r="D1243" i="59"/>
  <c r="D1244" i="59"/>
  <c r="AG1244" i="59" s="1"/>
  <c r="D1237" i="59"/>
  <c r="AG1237" i="59" s="1"/>
  <c r="D1203" i="59"/>
  <c r="D1204" i="59"/>
  <c r="D1205" i="59"/>
  <c r="D1206" i="59"/>
  <c r="D1207" i="59"/>
  <c r="D1208" i="59"/>
  <c r="D1209" i="59"/>
  <c r="AG1209" i="59" s="1"/>
  <c r="D1202" i="59"/>
  <c r="AG1202" i="59" s="1"/>
  <c r="D1139" i="59"/>
  <c r="D1140" i="59"/>
  <c r="D1141" i="59"/>
  <c r="D1142" i="59"/>
  <c r="D1143" i="59"/>
  <c r="D1144" i="59"/>
  <c r="D1145" i="59"/>
  <c r="D1138" i="59"/>
  <c r="D1125" i="59"/>
  <c r="D1126" i="59"/>
  <c r="D1127" i="59"/>
  <c r="D1128" i="59"/>
  <c r="D1129" i="59"/>
  <c r="D1130" i="59"/>
  <c r="D1131" i="59"/>
  <c r="D1124" i="59"/>
  <c r="D1111" i="59"/>
  <c r="D1112" i="59"/>
  <c r="D1113" i="59"/>
  <c r="D1114" i="59"/>
  <c r="D1115" i="59"/>
  <c r="D1116" i="59"/>
  <c r="D1117" i="59"/>
  <c r="D1110" i="59"/>
  <c r="D1081" i="59"/>
  <c r="D1082" i="59"/>
  <c r="D1083" i="59"/>
  <c r="D1084" i="59"/>
  <c r="D1085" i="59"/>
  <c r="D1086" i="59"/>
  <c r="D1087" i="59"/>
  <c r="D1080" i="59"/>
  <c r="D1067" i="59"/>
  <c r="D1068" i="59"/>
  <c r="D1069" i="59"/>
  <c r="D1070" i="59"/>
  <c r="D1071" i="59"/>
  <c r="D1072" i="59"/>
  <c r="D1073" i="59"/>
  <c r="D1066" i="59"/>
  <c r="D1039" i="59"/>
  <c r="D1040" i="59"/>
  <c r="D1041" i="59"/>
  <c r="D1042" i="59"/>
  <c r="D1043" i="59"/>
  <c r="D1044" i="59"/>
  <c r="D1045" i="59"/>
  <c r="D1038" i="59"/>
  <c r="D1023" i="59"/>
  <c r="D1024" i="59"/>
  <c r="D1025" i="59"/>
  <c r="D1026" i="59"/>
  <c r="D1027" i="59"/>
  <c r="D1028" i="59"/>
  <c r="D1029" i="59"/>
  <c r="D1022" i="59"/>
  <c r="D1007" i="59"/>
  <c r="D1008" i="59"/>
  <c r="D1009" i="59"/>
  <c r="D1010" i="59"/>
  <c r="D1011" i="59"/>
  <c r="D1012" i="59"/>
  <c r="D1013" i="59"/>
  <c r="D1006" i="59"/>
  <c r="D636" i="59"/>
  <c r="D637" i="59"/>
  <c r="D638" i="59"/>
  <c r="D639" i="59"/>
  <c r="D640" i="59"/>
  <c r="D641" i="59"/>
  <c r="D642" i="59"/>
  <c r="AG642" i="59" s="1"/>
  <c r="D635" i="59"/>
  <c r="AG635" i="59" s="1"/>
  <c r="D608" i="59"/>
  <c r="D609" i="59"/>
  <c r="D610" i="59"/>
  <c r="D611" i="59"/>
  <c r="D612" i="59"/>
  <c r="D613" i="59"/>
  <c r="D614" i="59"/>
  <c r="D607" i="59"/>
  <c r="D593" i="59"/>
  <c r="D594" i="59"/>
  <c r="D595" i="59"/>
  <c r="D596" i="59"/>
  <c r="D597" i="59"/>
  <c r="D598" i="59"/>
  <c r="D599" i="59"/>
  <c r="AG599" i="59" s="1"/>
  <c r="D592" i="59"/>
  <c r="AG592" i="59" s="1"/>
  <c r="D558" i="59"/>
  <c r="D559" i="59"/>
  <c r="D560" i="59"/>
  <c r="D561" i="59"/>
  <c r="D562" i="59"/>
  <c r="D563" i="59"/>
  <c r="D564" i="59"/>
  <c r="AG564" i="59" s="1"/>
  <c r="D557" i="59"/>
  <c r="AG557" i="59" s="1"/>
  <c r="D533" i="59"/>
  <c r="D534" i="59"/>
  <c r="D535" i="59"/>
  <c r="D536" i="59"/>
  <c r="D537" i="59"/>
  <c r="D538" i="59"/>
  <c r="D539" i="59"/>
  <c r="AG539" i="59" s="1"/>
  <c r="D532" i="59"/>
  <c r="AG532" i="59" s="1"/>
  <c r="D508" i="59"/>
  <c r="D509" i="59"/>
  <c r="D510" i="59"/>
  <c r="D511" i="59"/>
  <c r="D512" i="59"/>
  <c r="D513" i="59"/>
  <c r="D514" i="59"/>
  <c r="AG514" i="59" s="1"/>
  <c r="D507" i="59"/>
  <c r="AG507" i="59" s="1"/>
  <c r="D464" i="59"/>
  <c r="D465" i="59"/>
  <c r="D466" i="59"/>
  <c r="D467" i="59"/>
  <c r="D468" i="59"/>
  <c r="D469" i="59"/>
  <c r="D470" i="59"/>
  <c r="AG470" i="59" s="1"/>
  <c r="D463" i="59"/>
  <c r="AG463" i="59" s="1"/>
  <c r="D446" i="59"/>
  <c r="AG446" i="59" s="1"/>
  <c r="D440" i="59"/>
  <c r="D441" i="59"/>
  <c r="D442" i="59"/>
  <c r="D443" i="59"/>
  <c r="D444" i="59"/>
  <c r="D445" i="59"/>
  <c r="D439" i="59"/>
  <c r="AG439" i="59" s="1"/>
  <c r="D416" i="59"/>
  <c r="D417" i="59"/>
  <c r="D418" i="59"/>
  <c r="D419" i="59"/>
  <c r="D420" i="59"/>
  <c r="D421" i="59"/>
  <c r="D422" i="59"/>
  <c r="D415" i="59"/>
  <c r="D400" i="59"/>
  <c r="D401" i="59"/>
  <c r="D402" i="59"/>
  <c r="D403" i="59"/>
  <c r="D404" i="59"/>
  <c r="D405" i="59"/>
  <c r="D406" i="59"/>
  <c r="D399" i="59"/>
  <c r="D384" i="59"/>
  <c r="D385" i="59"/>
  <c r="D386" i="59"/>
  <c r="D387" i="59"/>
  <c r="D388" i="59"/>
  <c r="D389" i="59"/>
  <c r="D390" i="59"/>
  <c r="AG390" i="59" s="1"/>
  <c r="D383" i="59"/>
  <c r="AG383" i="59" s="1"/>
  <c r="D317" i="59"/>
  <c r="D318" i="59"/>
  <c r="D319" i="59"/>
  <c r="D320" i="59"/>
  <c r="D321" i="59"/>
  <c r="D322" i="59"/>
  <c r="D323" i="59"/>
  <c r="AG323" i="59" s="1"/>
  <c r="D316" i="59"/>
  <c r="AG316" i="59" s="1"/>
  <c r="D294" i="59"/>
  <c r="D295" i="59"/>
  <c r="D296" i="59"/>
  <c r="D297" i="59"/>
  <c r="D298" i="59"/>
  <c r="D299" i="59"/>
  <c r="D300" i="59"/>
  <c r="D293" i="59"/>
  <c r="D280" i="59"/>
  <c r="D281" i="59"/>
  <c r="D282" i="59"/>
  <c r="D283" i="59"/>
  <c r="D284" i="59"/>
  <c r="D285" i="59"/>
  <c r="D286" i="59"/>
  <c r="AG286" i="59" s="1"/>
  <c r="D279" i="59"/>
  <c r="AG279" i="59" s="1"/>
  <c r="D255" i="59"/>
  <c r="D256" i="59"/>
  <c r="D257" i="59"/>
  <c r="D258" i="59"/>
  <c r="D259" i="59"/>
  <c r="D260" i="59"/>
  <c r="D261" i="59"/>
  <c r="D254" i="59"/>
  <c r="D241" i="59"/>
  <c r="D242" i="59"/>
  <c r="D243" i="59"/>
  <c r="D244" i="59"/>
  <c r="D245" i="59"/>
  <c r="D246" i="59"/>
  <c r="D247" i="59"/>
  <c r="D240" i="59"/>
  <c r="D227" i="59"/>
  <c r="D228" i="59"/>
  <c r="D229" i="59"/>
  <c r="D230" i="59"/>
  <c r="D231" i="59"/>
  <c r="D232" i="59"/>
  <c r="D233" i="59"/>
  <c r="AG233" i="59" s="1"/>
  <c r="D226" i="59"/>
  <c r="AG226" i="59" s="1"/>
  <c r="D202" i="59"/>
  <c r="D203" i="59"/>
  <c r="D204" i="59"/>
  <c r="D205" i="59"/>
  <c r="D206" i="59"/>
  <c r="D207" i="59"/>
  <c r="D208" i="59"/>
  <c r="D201" i="59"/>
  <c r="D188" i="59"/>
  <c r="D189" i="59"/>
  <c r="D190" i="59"/>
  <c r="D191" i="59"/>
  <c r="D192" i="59"/>
  <c r="D193" i="59"/>
  <c r="D194" i="59"/>
  <c r="AG194" i="59" s="1"/>
  <c r="D187" i="59"/>
  <c r="AG187" i="59" s="1"/>
  <c r="D163" i="59"/>
  <c r="D164" i="59"/>
  <c r="D165" i="59"/>
  <c r="D166" i="59"/>
  <c r="D167" i="59"/>
  <c r="D168" i="59"/>
  <c r="D169" i="59"/>
  <c r="AG169" i="59" s="1"/>
  <c r="D162" i="59"/>
  <c r="AG162" i="59" s="1"/>
  <c r="D144" i="59"/>
  <c r="AG144" i="59" s="1"/>
  <c r="D138" i="59"/>
  <c r="D139" i="59"/>
  <c r="D140" i="59"/>
  <c r="D141" i="59"/>
  <c r="D142" i="59"/>
  <c r="D143" i="59"/>
  <c r="D137" i="59"/>
  <c r="AG137" i="59" s="1"/>
  <c r="D113" i="59"/>
  <c r="AG113" i="59" s="1"/>
  <c r="S121" i="59"/>
  <c r="Y121" i="59"/>
  <c r="P113" i="32"/>
  <c r="O113" i="32"/>
  <c r="D114" i="59"/>
  <c r="D115" i="59"/>
  <c r="D116" i="59"/>
  <c r="D117" i="59"/>
  <c r="D118" i="59"/>
  <c r="D119" i="59"/>
  <c r="D120" i="59"/>
  <c r="AG120" i="59" s="1"/>
  <c r="B103" i="59"/>
  <c r="B102" i="59"/>
  <c r="B101" i="59"/>
  <c r="B99" i="59"/>
  <c r="B62" i="59"/>
  <c r="AS51" i="59"/>
  <c r="AO51" i="59" a="1"/>
  <c r="AO51" i="59" s="1"/>
  <c r="AO60" i="59" s="1"/>
  <c r="B60" i="59"/>
  <c r="AW52" i="59"/>
  <c r="AX52" i="59"/>
  <c r="AW53" i="59"/>
  <c r="AX53" i="59"/>
  <c r="AW54" i="59"/>
  <c r="AX54" i="59"/>
  <c r="AW55" i="59"/>
  <c r="AX55" i="59"/>
  <c r="AW56" i="59"/>
  <c r="AX56" i="59"/>
  <c r="AW57" i="59"/>
  <c r="AX57" i="59"/>
  <c r="AW58" i="59"/>
  <c r="AX58" i="59"/>
  <c r="AW59" i="59"/>
  <c r="AX59" i="59"/>
  <c r="AX51" i="59"/>
  <c r="AW51" i="59"/>
  <c r="AU60" i="59"/>
  <c r="B100" i="59" s="1"/>
  <c r="AN60" i="59"/>
  <c r="AM60" i="59"/>
  <c r="AL60" i="59"/>
  <c r="AK60" i="59"/>
  <c r="AJ60" i="59"/>
  <c r="AI60" i="59"/>
  <c r="AH52" i="59"/>
  <c r="AI52" i="59"/>
  <c r="AJ52" i="59"/>
  <c r="AK52" i="59"/>
  <c r="AL52" i="59"/>
  <c r="AM52" i="59"/>
  <c r="AN52" i="59"/>
  <c r="AO52" i="59" a="1"/>
  <c r="AO52" i="59" s="1"/>
  <c r="AQ52" i="59"/>
  <c r="AP52" i="59" s="1"/>
  <c r="AR52" i="59"/>
  <c r="AT52" i="59"/>
  <c r="AU52" i="59"/>
  <c r="AH53" i="59"/>
  <c r="AH60" i="59" s="1"/>
  <c r="AI53" i="59"/>
  <c r="AJ53" i="59"/>
  <c r="AK53" i="59"/>
  <c r="AL53" i="59"/>
  <c r="AM53" i="59"/>
  <c r="AN53" i="59"/>
  <c r="AO53" i="59" a="1"/>
  <c r="AO53" i="59"/>
  <c r="AQ53" i="59"/>
  <c r="AP53" i="59" s="1"/>
  <c r="AP60" i="59" s="1"/>
  <c r="AR53" i="59"/>
  <c r="AT53" i="59"/>
  <c r="AU53" i="59"/>
  <c r="AH54" i="59"/>
  <c r="AI54" i="59"/>
  <c r="AJ54" i="59"/>
  <c r="AK54" i="59"/>
  <c r="AL54" i="59"/>
  <c r="AM54" i="59"/>
  <c r="AN54" i="59"/>
  <c r="AO54" i="59" a="1"/>
  <c r="AO54" i="59"/>
  <c r="AP54" i="59"/>
  <c r="AQ54" i="59"/>
  <c r="AR54" i="59"/>
  <c r="AT54" i="59"/>
  <c r="AU54" i="59"/>
  <c r="AH55" i="59"/>
  <c r="AI55" i="59"/>
  <c r="AJ55" i="59"/>
  <c r="AK55" i="59"/>
  <c r="AL55" i="59"/>
  <c r="AM55" i="59"/>
  <c r="AN55" i="59"/>
  <c r="AO55" i="59" a="1"/>
  <c r="AO55" i="59"/>
  <c r="AQ55" i="59"/>
  <c r="AP55" i="59" s="1"/>
  <c r="AR55" i="59"/>
  <c r="AT55" i="59"/>
  <c r="AU55" i="59" s="1"/>
  <c r="AH56" i="59"/>
  <c r="AI56" i="59"/>
  <c r="AJ56" i="59"/>
  <c r="AK56" i="59"/>
  <c r="AL56" i="59"/>
  <c r="AM56" i="59"/>
  <c r="AN56" i="59"/>
  <c r="AO56" i="59" a="1"/>
  <c r="AO56" i="59"/>
  <c r="AQ56" i="59"/>
  <c r="AP56" i="59" s="1"/>
  <c r="AR56" i="59"/>
  <c r="AT56" i="59"/>
  <c r="AU56" i="59"/>
  <c r="AH57" i="59"/>
  <c r="AI57" i="59"/>
  <c r="AJ57" i="59"/>
  <c r="AK57" i="59"/>
  <c r="AL57" i="59"/>
  <c r="AM57" i="59"/>
  <c r="AN57" i="59"/>
  <c r="AO57" i="59" a="1"/>
  <c r="AO57" i="59" s="1"/>
  <c r="AQ57" i="59"/>
  <c r="AP57" i="59" s="1"/>
  <c r="AR57" i="59"/>
  <c r="AR60" i="59" s="1"/>
  <c r="AT57" i="59"/>
  <c r="AU57" i="59" s="1"/>
  <c r="AH58" i="59"/>
  <c r="AI58" i="59"/>
  <c r="AJ58" i="59"/>
  <c r="AK58" i="59"/>
  <c r="AL58" i="59"/>
  <c r="AM58" i="59"/>
  <c r="AN58" i="59"/>
  <c r="AO58" i="59" a="1"/>
  <c r="AO58" i="59"/>
  <c r="AQ58" i="59"/>
  <c r="AP58" i="59" s="1"/>
  <c r="AR58" i="59"/>
  <c r="AT58" i="59"/>
  <c r="AU58" i="59" s="1"/>
  <c r="AH59" i="59"/>
  <c r="AI59" i="59"/>
  <c r="AJ59" i="59"/>
  <c r="AK59" i="59"/>
  <c r="AL59" i="59"/>
  <c r="AM59" i="59"/>
  <c r="AN59" i="59"/>
  <c r="AO59" i="59" a="1"/>
  <c r="AO59" i="59" s="1"/>
  <c r="AP59" i="59"/>
  <c r="AQ59" i="59"/>
  <c r="AR59" i="59"/>
  <c r="AT59" i="59"/>
  <c r="AU59" i="59"/>
  <c r="AG53" i="59"/>
  <c r="AG54" i="59"/>
  <c r="AG55" i="59"/>
  <c r="AG56" i="59"/>
  <c r="AG57" i="59"/>
  <c r="AG58" i="59"/>
  <c r="AG59" i="59"/>
  <c r="AG52" i="59"/>
  <c r="AG51" i="59"/>
  <c r="AR51" i="59"/>
  <c r="AQ51" i="59"/>
  <c r="AP51" i="59" s="1"/>
  <c r="AN51" i="59"/>
  <c r="AM51" i="59"/>
  <c r="AL51" i="59"/>
  <c r="AK51" i="59"/>
  <c r="AJ51" i="59"/>
  <c r="AI51" i="59"/>
  <c r="AH51" i="59"/>
  <c r="D53" i="59"/>
  <c r="D54" i="59"/>
  <c r="D55" i="59"/>
  <c r="D56" i="59"/>
  <c r="D57" i="59"/>
  <c r="D58" i="59"/>
  <c r="D59" i="59"/>
  <c r="B627" i="32"/>
  <c r="B626" i="32"/>
  <c r="AM623" i="32"/>
  <c r="AK623" i="32"/>
  <c r="AK621" i="32"/>
  <c r="AM621" i="32"/>
  <c r="AN621" i="32"/>
  <c r="AJ621" i="32"/>
  <c r="AH621" i="32"/>
  <c r="AG614" i="32"/>
  <c r="AH614" i="32"/>
  <c r="AI614" i="32"/>
  <c r="AJ614" i="32"/>
  <c r="AK614" i="32"/>
  <c r="AL614" i="32"/>
  <c r="AM614" i="32"/>
  <c r="AN614" i="32"/>
  <c r="AG615" i="32"/>
  <c r="AH615" i="32"/>
  <c r="AI615" i="32"/>
  <c r="AJ615" i="32"/>
  <c r="AK615" i="32"/>
  <c r="AL615" i="32"/>
  <c r="AM615" i="32"/>
  <c r="AN615" i="32"/>
  <c r="AG616" i="32"/>
  <c r="AH616" i="32"/>
  <c r="AI616" i="32"/>
  <c r="AJ616" i="32"/>
  <c r="AK616" i="32"/>
  <c r="AL616" i="32"/>
  <c r="AM616" i="32"/>
  <c r="AN616" i="32"/>
  <c r="AG617" i="32"/>
  <c r="AH617" i="32"/>
  <c r="AI617" i="32"/>
  <c r="AJ617" i="32"/>
  <c r="AK617" i="32"/>
  <c r="AL617" i="32"/>
  <c r="AM617" i="32"/>
  <c r="AN617" i="32"/>
  <c r="AG618" i="32"/>
  <c r="AH618" i="32"/>
  <c r="AI618" i="32"/>
  <c r="AJ618" i="32"/>
  <c r="AK618" i="32"/>
  <c r="AL618" i="32"/>
  <c r="AM618" i="32"/>
  <c r="AN618" i="32"/>
  <c r="AG619" i="32"/>
  <c r="AH619" i="32"/>
  <c r="AI619" i="32"/>
  <c r="AJ619" i="32"/>
  <c r="AK619" i="32"/>
  <c r="AL619" i="32"/>
  <c r="AM619" i="32"/>
  <c r="AN619" i="32"/>
  <c r="AH620" i="32"/>
  <c r="AI620" i="32"/>
  <c r="AJ620" i="32"/>
  <c r="AK620" i="32"/>
  <c r="AL620" i="32"/>
  <c r="AM620" i="32"/>
  <c r="AN620" i="32"/>
  <c r="AN613" i="32"/>
  <c r="AM613" i="32"/>
  <c r="AL613" i="32"/>
  <c r="AK613" i="32"/>
  <c r="AJ613" i="32"/>
  <c r="AI613" i="32"/>
  <c r="AH613" i="32"/>
  <c r="AH583" i="32"/>
  <c r="B593" i="32" s="1"/>
  <c r="AI583" i="32"/>
  <c r="AJ583" i="32"/>
  <c r="AI584" i="32"/>
  <c r="AJ584" i="32"/>
  <c r="AI585" i="32"/>
  <c r="AJ585" i="32"/>
  <c r="AI586" i="32"/>
  <c r="AJ586" i="32"/>
  <c r="AI587" i="32"/>
  <c r="AJ587" i="32"/>
  <c r="AI588" i="32"/>
  <c r="AJ588" i="32"/>
  <c r="AI589" i="32"/>
  <c r="AJ589" i="32"/>
  <c r="AI590" i="32"/>
  <c r="AJ590" i="32"/>
  <c r="AG584" i="32"/>
  <c r="AG585" i="32"/>
  <c r="AG586" i="32"/>
  <c r="AG587" i="32"/>
  <c r="AG588" i="32"/>
  <c r="AG589" i="32"/>
  <c r="AI556" i="32"/>
  <c r="AI557" i="32"/>
  <c r="AI558" i="32"/>
  <c r="AI559" i="32"/>
  <c r="AI560" i="32"/>
  <c r="AI561" i="32"/>
  <c r="AI562" i="32"/>
  <c r="AI563" i="32"/>
  <c r="AG557" i="32"/>
  <c r="AG558" i="32"/>
  <c r="AG559" i="32"/>
  <c r="AG560" i="32"/>
  <c r="AG561" i="32"/>
  <c r="AG562" i="32"/>
  <c r="AH556" i="32"/>
  <c r="B566" i="32" s="1"/>
  <c r="AH519" i="32"/>
  <c r="B529" i="32" s="1"/>
  <c r="AI519" i="32"/>
  <c r="AI520" i="32"/>
  <c r="AI521" i="32"/>
  <c r="AI522" i="32"/>
  <c r="AI523" i="32"/>
  <c r="AI524" i="32"/>
  <c r="AI525" i="32"/>
  <c r="AI526" i="32"/>
  <c r="AG520" i="32"/>
  <c r="AG521" i="32"/>
  <c r="AG522" i="32"/>
  <c r="AG523" i="32"/>
  <c r="AG524" i="32"/>
  <c r="AG525" i="32"/>
  <c r="B488" i="32"/>
  <c r="AL478" i="32"/>
  <c r="AK478" i="32"/>
  <c r="AK479" i="32"/>
  <c r="AL479" i="32"/>
  <c r="AK480" i="32"/>
  <c r="AL480" i="32"/>
  <c r="AK481" i="32"/>
  <c r="AL481" i="32"/>
  <c r="AK482" i="32"/>
  <c r="AL482" i="32"/>
  <c r="AK483" i="32"/>
  <c r="AL483" i="32"/>
  <c r="AK484" i="32"/>
  <c r="AL484" i="32"/>
  <c r="AK485" i="32"/>
  <c r="AL485" i="32"/>
  <c r="AH479" i="32"/>
  <c r="AI479" i="32"/>
  <c r="AH480" i="32"/>
  <c r="AG480" i="32" s="1"/>
  <c r="AI480" i="32"/>
  <c r="AH481" i="32"/>
  <c r="AI481" i="32"/>
  <c r="AH482" i="32"/>
  <c r="AG482" i="32" s="1"/>
  <c r="AI482" i="32"/>
  <c r="AH483" i="32"/>
  <c r="AI483" i="32"/>
  <c r="AH484" i="32"/>
  <c r="AG484" i="32" s="1"/>
  <c r="AI484" i="32"/>
  <c r="AJ478" i="32"/>
  <c r="B435" i="32"/>
  <c r="AI413" i="32"/>
  <c r="AI414" i="32"/>
  <c r="AI415" i="32"/>
  <c r="AI416" i="32"/>
  <c r="AI417" i="32"/>
  <c r="AI418" i="32"/>
  <c r="AI419" i="32"/>
  <c r="AI420" i="32"/>
  <c r="AG414" i="32"/>
  <c r="AG415" i="32"/>
  <c r="AG416" i="32"/>
  <c r="AG417" i="32"/>
  <c r="AG418" i="32"/>
  <c r="AG419" i="32"/>
  <c r="AH413" i="32"/>
  <c r="AH379" i="32"/>
  <c r="B389" i="32" s="1"/>
  <c r="AI380" i="32"/>
  <c r="AI381" i="32"/>
  <c r="AI382" i="32"/>
  <c r="AI383" i="32"/>
  <c r="AI384" i="32"/>
  <c r="AI385" i="32"/>
  <c r="AI386" i="32"/>
  <c r="AG380" i="32"/>
  <c r="AG381" i="32"/>
  <c r="AG382" i="32"/>
  <c r="AG383" i="32"/>
  <c r="AG384" i="32"/>
  <c r="AG385" i="32"/>
  <c r="AI379" i="32"/>
  <c r="AJ335" i="32"/>
  <c r="AJ336" i="32"/>
  <c r="AJ337" i="32"/>
  <c r="AJ338" i="32"/>
  <c r="AJ339" i="32"/>
  <c r="AJ340" i="32"/>
  <c r="AJ341" i="32"/>
  <c r="AG335" i="32"/>
  <c r="AG336" i="32"/>
  <c r="AG337" i="32"/>
  <c r="AG338" i="32"/>
  <c r="AG339" i="32"/>
  <c r="AG340" i="32"/>
  <c r="AJ334" i="32"/>
  <c r="AI334" i="32"/>
  <c r="B346" i="32" s="1"/>
  <c r="AH334" i="32"/>
  <c r="B344" i="32" s="1"/>
  <c r="B307" i="32"/>
  <c r="AI298" i="32"/>
  <c r="AI299" i="32"/>
  <c r="AI300" i="32"/>
  <c r="AI301" i="32"/>
  <c r="AI302" i="32"/>
  <c r="AI303" i="32"/>
  <c r="AI304" i="32"/>
  <c r="AG298" i="32"/>
  <c r="AG299" i="32"/>
  <c r="AG300" i="32"/>
  <c r="AG301" i="32"/>
  <c r="AG302" i="32"/>
  <c r="AG303" i="32"/>
  <c r="AI297" i="32"/>
  <c r="AH297" i="32"/>
  <c r="AG483" i="32" l="1"/>
  <c r="AJ342" i="32"/>
  <c r="AI305" i="32"/>
  <c r="AS1171" i="59"/>
  <c r="AS1179" i="59"/>
  <c r="AS1166" i="59"/>
  <c r="AS1174" i="59"/>
  <c r="BP1080" i="59"/>
  <c r="B1091" i="59" s="1"/>
  <c r="AS1169" i="59"/>
  <c r="AS1177" i="59"/>
  <c r="AS1165" i="59"/>
  <c r="AK1077" i="59"/>
  <c r="B1096" i="59" s="1"/>
  <c r="AS1172" i="59"/>
  <c r="AS1180" i="59"/>
  <c r="AS1167" i="59"/>
  <c r="AS1175" i="59"/>
  <c r="AI1173" i="59"/>
  <c r="AI1175" i="59" s="1"/>
  <c r="B1188" i="59" s="1"/>
  <c r="AS1170" i="59"/>
  <c r="AS1178" i="59"/>
  <c r="AS1173" i="59"/>
  <c r="AS1181" i="59"/>
  <c r="AS1168" i="59"/>
  <c r="AS1176" i="59"/>
  <c r="AG471" i="59"/>
  <c r="B475" i="59" s="1"/>
  <c r="AG515" i="59"/>
  <c r="B521" i="59" s="1"/>
  <c r="AG540" i="59"/>
  <c r="B546" i="59" s="1"/>
  <c r="AG565" i="59"/>
  <c r="B571" i="59" s="1"/>
  <c r="AG600" i="59"/>
  <c r="B619" i="59" s="1"/>
  <c r="AG643" i="59"/>
  <c r="B647" i="59" s="1"/>
  <c r="AG1014" i="59"/>
  <c r="B1050" i="59" s="1"/>
  <c r="AG1074" i="59"/>
  <c r="B1094" i="59" s="1"/>
  <c r="AG1118" i="59"/>
  <c r="B1152" i="59" s="1"/>
  <c r="AG1210" i="59"/>
  <c r="B1214" i="59" s="1"/>
  <c r="AG1245" i="59"/>
  <c r="B1281" i="59" s="1"/>
  <c r="AG1303" i="59"/>
  <c r="B1321" i="59" s="1"/>
  <c r="AG1341" i="59"/>
  <c r="B1345" i="59" s="1"/>
  <c r="AG1365" i="59"/>
  <c r="B1369" i="59" s="1"/>
  <c r="AG1392" i="59"/>
  <c r="B1411" i="59" s="1"/>
  <c r="AG1443" i="59"/>
  <c r="B1479" i="59" s="1"/>
  <c r="AG1538" i="59"/>
  <c r="B1542" i="59" s="1"/>
  <c r="AG1500" i="59"/>
  <c r="B1518" i="59" s="1"/>
  <c r="AG1563" i="59"/>
  <c r="B1582" i="59" s="1"/>
  <c r="AG195" i="59"/>
  <c r="B213" i="59" s="1"/>
  <c r="AG391" i="59"/>
  <c r="B427" i="59" s="1"/>
  <c r="AG234" i="59"/>
  <c r="B266" i="59" s="1"/>
  <c r="AG121" i="59"/>
  <c r="B125" i="59" s="1"/>
  <c r="AG1661" i="59"/>
  <c r="B1697" i="59" s="1"/>
  <c r="AG1718" i="59"/>
  <c r="B1722" i="59" s="1"/>
  <c r="AG447" i="59"/>
  <c r="B451" i="59" s="1"/>
  <c r="AG287" i="59"/>
  <c r="B305" i="59" s="1"/>
  <c r="AG170" i="59"/>
  <c r="B174" i="59" s="1"/>
  <c r="AG324" i="59"/>
  <c r="B328" i="59" s="1"/>
  <c r="AG145" i="59"/>
  <c r="B151" i="59" s="1"/>
  <c r="B720" i="59"/>
  <c r="AL486" i="32"/>
  <c r="AK486" i="32"/>
  <c r="AW60" i="59"/>
  <c r="AX60" i="59"/>
  <c r="AJ543" i="59"/>
  <c r="BF532" i="59"/>
  <c r="AN341" i="59"/>
  <c r="AI210" i="59"/>
  <c r="BF171" i="59"/>
  <c r="B177" i="59" s="1"/>
  <c r="AJ148" i="59"/>
  <c r="AN148" i="59"/>
  <c r="AL148" i="59"/>
  <c r="AG60" i="59"/>
  <c r="B98" i="59" s="1"/>
  <c r="AJ591" i="32"/>
  <c r="AI591" i="32"/>
  <c r="AI564" i="32"/>
  <c r="AI527" i="32"/>
  <c r="AG481" i="32"/>
  <c r="AG479" i="32"/>
  <c r="AI421" i="32"/>
  <c r="AI387" i="32"/>
  <c r="B281" i="32"/>
  <c r="AH263" i="32"/>
  <c r="AI279" i="32"/>
  <c r="B287" i="32" s="1"/>
  <c r="AI278" i="32"/>
  <c r="AH278" i="32"/>
  <c r="AG278" i="32"/>
  <c r="AN278" i="32"/>
  <c r="AO278" i="32"/>
  <c r="AP278" i="32"/>
  <c r="AQ278" i="32"/>
  <c r="AR278" i="32"/>
  <c r="AS278" i="32"/>
  <c r="AT278" i="32"/>
  <c r="AU278" i="32"/>
  <c r="AV278" i="32"/>
  <c r="AW278" i="32"/>
  <c r="AX278" i="32"/>
  <c r="AY278" i="32"/>
  <c r="AZ278" i="32"/>
  <c r="BA278" i="32"/>
  <c r="BB278" i="32"/>
  <c r="BC278" i="32"/>
  <c r="BD278" i="32"/>
  <c r="BE278" i="32"/>
  <c r="BF278" i="32"/>
  <c r="BG278" i="32"/>
  <c r="BH278" i="32"/>
  <c r="BI278" i="32"/>
  <c r="BJ278" i="32"/>
  <c r="BK278" i="32"/>
  <c r="BL278" i="32"/>
  <c r="BM278" i="32"/>
  <c r="BN278" i="32"/>
  <c r="AM278" i="32"/>
  <c r="AL278" i="32"/>
  <c r="AK278" i="32"/>
  <c r="AK271" i="32"/>
  <c r="AL271" i="32"/>
  <c r="AM271" i="32"/>
  <c r="AN271" i="32"/>
  <c r="AO271" i="32"/>
  <c r="AP271" i="32"/>
  <c r="AQ271" i="32"/>
  <c r="AR271" i="32"/>
  <c r="AS271" i="32"/>
  <c r="AT271" i="32"/>
  <c r="AU271" i="32"/>
  <c r="AV271" i="32"/>
  <c r="AW271" i="32"/>
  <c r="AX271" i="32"/>
  <c r="AY271" i="32"/>
  <c r="AZ271" i="32"/>
  <c r="BA271" i="32"/>
  <c r="BB271" i="32"/>
  <c r="BC271" i="32"/>
  <c r="BD271" i="32"/>
  <c r="BE271" i="32"/>
  <c r="BF271" i="32"/>
  <c r="BG271" i="32"/>
  <c r="BH271" i="32"/>
  <c r="BI271" i="32"/>
  <c r="BJ271" i="32"/>
  <c r="BK271" i="32"/>
  <c r="BL271" i="32"/>
  <c r="BM271" i="32"/>
  <c r="BN271" i="32"/>
  <c r="AK272" i="32"/>
  <c r="AL272" i="32"/>
  <c r="AM272" i="32"/>
  <c r="AN272" i="32"/>
  <c r="AO272" i="32"/>
  <c r="AP272" i="32"/>
  <c r="AQ272" i="32"/>
  <c r="AR272" i="32"/>
  <c r="AS272" i="32"/>
  <c r="AT272" i="32"/>
  <c r="AU272" i="32"/>
  <c r="AV272" i="32"/>
  <c r="AW272" i="32"/>
  <c r="AX272" i="32"/>
  <c r="AY272" i="32"/>
  <c r="AZ272" i="32"/>
  <c r="BA272" i="32"/>
  <c r="BB272" i="32"/>
  <c r="BC272" i="32"/>
  <c r="BD272" i="32"/>
  <c r="BE272" i="32"/>
  <c r="BF272" i="32"/>
  <c r="BG272" i="32"/>
  <c r="BH272" i="32"/>
  <c r="BI272" i="32"/>
  <c r="BJ272" i="32"/>
  <c r="BK272" i="32"/>
  <c r="BL272" i="32"/>
  <c r="BM272" i="32"/>
  <c r="BN272" i="32"/>
  <c r="AK273" i="32"/>
  <c r="AL273" i="32"/>
  <c r="AM273" i="32"/>
  <c r="AN273" i="32"/>
  <c r="AO273" i="32"/>
  <c r="AP273" i="32"/>
  <c r="AQ273" i="32"/>
  <c r="AR273" i="32"/>
  <c r="AS273" i="32"/>
  <c r="AT273" i="32"/>
  <c r="AU273" i="32"/>
  <c r="AV273" i="32"/>
  <c r="AW273" i="32"/>
  <c r="AX273" i="32"/>
  <c r="AY273" i="32"/>
  <c r="AZ273" i="32"/>
  <c r="BA273" i="32"/>
  <c r="BB273" i="32"/>
  <c r="BC273" i="32"/>
  <c r="BD273" i="32"/>
  <c r="BE273" i="32"/>
  <c r="BF273" i="32"/>
  <c r="BG273" i="32"/>
  <c r="BH273" i="32"/>
  <c r="BI273" i="32"/>
  <c r="BJ273" i="32"/>
  <c r="BK273" i="32"/>
  <c r="BL273" i="32"/>
  <c r="BM273" i="32"/>
  <c r="BN273" i="32"/>
  <c r="AK274" i="32"/>
  <c r="AL274" i="32"/>
  <c r="AM274" i="32"/>
  <c r="AN274" i="32"/>
  <c r="AO274" i="32"/>
  <c r="AP274" i="32"/>
  <c r="AQ274" i="32"/>
  <c r="AR274" i="32"/>
  <c r="AS274" i="32"/>
  <c r="AT274" i="32"/>
  <c r="AU274" i="32"/>
  <c r="AV274" i="32"/>
  <c r="AW274" i="32"/>
  <c r="AX274" i="32"/>
  <c r="AY274" i="32"/>
  <c r="AZ274" i="32"/>
  <c r="BA274" i="32"/>
  <c r="BB274" i="32"/>
  <c r="BC274" i="32"/>
  <c r="BD274" i="32"/>
  <c r="BE274" i="32"/>
  <c r="BF274" i="32"/>
  <c r="BG274" i="32"/>
  <c r="BH274" i="32"/>
  <c r="BI274" i="32"/>
  <c r="BJ274" i="32"/>
  <c r="BK274" i="32"/>
  <c r="BL274" i="32"/>
  <c r="BM274" i="32"/>
  <c r="BN274" i="32"/>
  <c r="AK275" i="32"/>
  <c r="AL275" i="32"/>
  <c r="AM275" i="32"/>
  <c r="AN275" i="32"/>
  <c r="AO275" i="32"/>
  <c r="AP275" i="32"/>
  <c r="AQ275" i="32"/>
  <c r="AR275" i="32"/>
  <c r="AS275" i="32"/>
  <c r="AT275" i="32"/>
  <c r="AU275" i="32"/>
  <c r="AV275" i="32"/>
  <c r="AW275" i="32"/>
  <c r="AX275" i="32"/>
  <c r="AY275" i="32"/>
  <c r="AZ275" i="32"/>
  <c r="BA275" i="32"/>
  <c r="BB275" i="32"/>
  <c r="BC275" i="32"/>
  <c r="BD275" i="32"/>
  <c r="BE275" i="32"/>
  <c r="BF275" i="32"/>
  <c r="BG275" i="32"/>
  <c r="BH275" i="32"/>
  <c r="BI275" i="32"/>
  <c r="BJ275" i="32"/>
  <c r="BK275" i="32"/>
  <c r="BL275" i="32"/>
  <c r="BM275" i="32"/>
  <c r="BN275" i="32"/>
  <c r="AK276" i="32"/>
  <c r="AL276" i="32"/>
  <c r="AM276" i="32"/>
  <c r="AN276" i="32"/>
  <c r="AO276" i="32"/>
  <c r="AP276" i="32"/>
  <c r="AQ276" i="32"/>
  <c r="AR276" i="32"/>
  <c r="AS276" i="32"/>
  <c r="AT276" i="32"/>
  <c r="AU276" i="32"/>
  <c r="AV276" i="32"/>
  <c r="AW276" i="32"/>
  <c r="AX276" i="32"/>
  <c r="AY276" i="32"/>
  <c r="AZ276" i="32"/>
  <c r="BA276" i="32"/>
  <c r="BB276" i="32"/>
  <c r="BC276" i="32"/>
  <c r="BD276" i="32"/>
  <c r="BE276" i="32"/>
  <c r="BF276" i="32"/>
  <c r="BG276" i="32"/>
  <c r="BH276" i="32"/>
  <c r="BI276" i="32"/>
  <c r="BJ276" i="32"/>
  <c r="BK276" i="32"/>
  <c r="BL276" i="32"/>
  <c r="BM276" i="32"/>
  <c r="BN276" i="32"/>
  <c r="AK277" i="32"/>
  <c r="AL277" i="32"/>
  <c r="AM277" i="32"/>
  <c r="AN277" i="32"/>
  <c r="AO277" i="32"/>
  <c r="AP277" i="32"/>
  <c r="AQ277" i="32"/>
  <c r="AR277" i="32"/>
  <c r="AS277" i="32"/>
  <c r="AT277" i="32"/>
  <c r="AU277" i="32"/>
  <c r="AV277" i="32"/>
  <c r="AW277" i="32"/>
  <c r="AX277" i="32"/>
  <c r="AY277" i="32"/>
  <c r="AZ277" i="32"/>
  <c r="BA277" i="32"/>
  <c r="BB277" i="32"/>
  <c r="BC277" i="32"/>
  <c r="BD277" i="32"/>
  <c r="BE277" i="32"/>
  <c r="BF277" i="32"/>
  <c r="BG277" i="32"/>
  <c r="BH277" i="32"/>
  <c r="BI277" i="32"/>
  <c r="BJ277" i="32"/>
  <c r="BK277" i="32"/>
  <c r="BL277" i="32"/>
  <c r="BM277" i="32"/>
  <c r="BN277" i="32"/>
  <c r="BN270" i="32"/>
  <c r="AG277" i="32"/>
  <c r="AG271" i="32"/>
  <c r="AH271" i="32"/>
  <c r="AI271" i="32"/>
  <c r="AG272" i="32"/>
  <c r="AH272" i="32"/>
  <c r="AI272" i="32"/>
  <c r="AG273" i="32"/>
  <c r="AH273" i="32"/>
  <c r="AI273" i="32"/>
  <c r="AG274" i="32"/>
  <c r="AH274" i="32"/>
  <c r="AI274" i="32"/>
  <c r="AG275" i="32"/>
  <c r="AH275" i="32"/>
  <c r="AI275" i="32"/>
  <c r="AG276" i="32"/>
  <c r="AH276" i="32"/>
  <c r="AI276" i="32"/>
  <c r="AH277" i="32"/>
  <c r="AI277" i="32"/>
  <c r="AI270" i="32"/>
  <c r="AH270" i="32"/>
  <c r="BN279" i="32" l="1"/>
  <c r="B288" i="32" s="1"/>
  <c r="AS1182" i="59"/>
  <c r="AU1183" i="59" s="1"/>
  <c r="B1189" i="59" s="1"/>
  <c r="AK263" i="32"/>
  <c r="AN263" i="32"/>
  <c r="AQ263" i="32"/>
  <c r="AT263" i="32"/>
  <c r="AW263" i="32"/>
  <c r="AZ263" i="32"/>
  <c r="BC263" i="32"/>
  <c r="BF263" i="32"/>
  <c r="BI263" i="32"/>
  <c r="BL263" i="32"/>
  <c r="AG256" i="32"/>
  <c r="AH256" i="32"/>
  <c r="AI256" i="32"/>
  <c r="AJ256" i="32"/>
  <c r="AK256" i="32"/>
  <c r="AL256" i="32"/>
  <c r="AM256" i="32"/>
  <c r="AN256" i="32"/>
  <c r="AO256" i="32"/>
  <c r="AP256" i="32"/>
  <c r="AQ256" i="32"/>
  <c r="AR256" i="32"/>
  <c r="AS256" i="32"/>
  <c r="AT256" i="32"/>
  <c r="AU256" i="32"/>
  <c r="AV256" i="32"/>
  <c r="AW256" i="32"/>
  <c r="AX256" i="32"/>
  <c r="AY256" i="32"/>
  <c r="AZ256" i="32"/>
  <c r="BA256" i="32"/>
  <c r="BB256" i="32"/>
  <c r="BC256" i="32"/>
  <c r="BD256" i="32"/>
  <c r="BE256" i="32"/>
  <c r="BF256" i="32"/>
  <c r="BG256" i="32"/>
  <c r="BH256" i="32"/>
  <c r="BI256" i="32"/>
  <c r="BJ256" i="32"/>
  <c r="BK256" i="32"/>
  <c r="BL256" i="32"/>
  <c r="BM256" i="32"/>
  <c r="BN256" i="32"/>
  <c r="AG257" i="32"/>
  <c r="AH257" i="32"/>
  <c r="AI257" i="32"/>
  <c r="AJ257" i="32"/>
  <c r="AK257" i="32"/>
  <c r="AL257" i="32"/>
  <c r="AM257" i="32"/>
  <c r="AN257" i="32"/>
  <c r="AO257" i="32"/>
  <c r="AP257" i="32"/>
  <c r="AQ257" i="32"/>
  <c r="AR257" i="32"/>
  <c r="AS257" i="32"/>
  <c r="AT257" i="32"/>
  <c r="AU257" i="32"/>
  <c r="AV257" i="32"/>
  <c r="AW257" i="32"/>
  <c r="AX257" i="32"/>
  <c r="AY257" i="32"/>
  <c r="AZ257" i="32"/>
  <c r="BA257" i="32"/>
  <c r="BB257" i="32"/>
  <c r="BC257" i="32"/>
  <c r="BD257" i="32"/>
  <c r="BE257" i="32"/>
  <c r="BF257" i="32"/>
  <c r="BG257" i="32"/>
  <c r="BH257" i="32"/>
  <c r="BI257" i="32"/>
  <c r="BJ257" i="32"/>
  <c r="BK257" i="32"/>
  <c r="BL257" i="32"/>
  <c r="BM257" i="32"/>
  <c r="BN257" i="32"/>
  <c r="AG258" i="32"/>
  <c r="AH258" i="32"/>
  <c r="AI258" i="32"/>
  <c r="AJ258" i="32"/>
  <c r="AK258" i="32"/>
  <c r="AL258" i="32"/>
  <c r="AM258" i="32"/>
  <c r="AN258" i="32"/>
  <c r="AO258" i="32"/>
  <c r="AP258" i="32"/>
  <c r="AQ258" i="32"/>
  <c r="AR258" i="32"/>
  <c r="AS258" i="32"/>
  <c r="AT258" i="32"/>
  <c r="AU258" i="32"/>
  <c r="AV258" i="32"/>
  <c r="AW258" i="32"/>
  <c r="AX258" i="32"/>
  <c r="AY258" i="32"/>
  <c r="AZ258" i="32"/>
  <c r="BA258" i="32"/>
  <c r="BB258" i="32"/>
  <c r="BC258" i="32"/>
  <c r="BD258" i="32"/>
  <c r="BE258" i="32"/>
  <c r="BF258" i="32"/>
  <c r="BG258" i="32"/>
  <c r="BH258" i="32"/>
  <c r="BI258" i="32"/>
  <c r="BJ258" i="32"/>
  <c r="BK258" i="32"/>
  <c r="BL258" i="32"/>
  <c r="BM258" i="32"/>
  <c r="BN258" i="32"/>
  <c r="AG259" i="32"/>
  <c r="AH259" i="32"/>
  <c r="AI259" i="32"/>
  <c r="AJ259" i="32"/>
  <c r="AK259" i="32"/>
  <c r="AL259" i="32"/>
  <c r="AM259" i="32"/>
  <c r="AN259" i="32"/>
  <c r="AO259" i="32"/>
  <c r="AP259" i="32"/>
  <c r="AQ259" i="32"/>
  <c r="AR259" i="32"/>
  <c r="AS259" i="32"/>
  <c r="AT259" i="32"/>
  <c r="AU259" i="32"/>
  <c r="AV259" i="32"/>
  <c r="AW259" i="32"/>
  <c r="AX259" i="32"/>
  <c r="AY259" i="32"/>
  <c r="AZ259" i="32"/>
  <c r="BA259" i="32"/>
  <c r="BB259" i="32"/>
  <c r="BC259" i="32"/>
  <c r="BD259" i="32"/>
  <c r="BE259" i="32"/>
  <c r="BF259" i="32"/>
  <c r="BG259" i="32"/>
  <c r="BH259" i="32"/>
  <c r="BI259" i="32"/>
  <c r="BJ259" i="32"/>
  <c r="BK259" i="32"/>
  <c r="BL259" i="32"/>
  <c r="BM259" i="32"/>
  <c r="BN259" i="32"/>
  <c r="AG260" i="32"/>
  <c r="AH260" i="32"/>
  <c r="AI260" i="32"/>
  <c r="AJ260" i="32"/>
  <c r="AK260" i="32"/>
  <c r="AL260" i="32"/>
  <c r="AM260" i="32"/>
  <c r="AN260" i="32"/>
  <c r="AO260" i="32"/>
  <c r="AP260" i="32"/>
  <c r="AQ260" i="32"/>
  <c r="AR260" i="32"/>
  <c r="AS260" i="32"/>
  <c r="AT260" i="32"/>
  <c r="AU260" i="32"/>
  <c r="AV260" i="32"/>
  <c r="AW260" i="32"/>
  <c r="AX260" i="32"/>
  <c r="AY260" i="32"/>
  <c r="AZ260" i="32"/>
  <c r="BA260" i="32"/>
  <c r="BB260" i="32"/>
  <c r="BC260" i="32"/>
  <c r="BD260" i="32"/>
  <c r="BE260" i="32"/>
  <c r="BF260" i="32"/>
  <c r="BG260" i="32"/>
  <c r="BH260" i="32"/>
  <c r="BI260" i="32"/>
  <c r="BJ260" i="32"/>
  <c r="BK260" i="32"/>
  <c r="BL260" i="32"/>
  <c r="BM260" i="32"/>
  <c r="BN260" i="32"/>
  <c r="AG261" i="32"/>
  <c r="AH261" i="32"/>
  <c r="AI261" i="32"/>
  <c r="AJ261" i="32"/>
  <c r="AK261" i="32"/>
  <c r="AL261" i="32"/>
  <c r="AM261" i="32"/>
  <c r="AN261" i="32"/>
  <c r="AO261" i="32"/>
  <c r="AP261" i="32"/>
  <c r="AQ261" i="32"/>
  <c r="AR261" i="32"/>
  <c r="AS261" i="32"/>
  <c r="AT261" i="32"/>
  <c r="AU261" i="32"/>
  <c r="AV261" i="32"/>
  <c r="AW261" i="32"/>
  <c r="AX261" i="32"/>
  <c r="AY261" i="32"/>
  <c r="AZ261" i="32"/>
  <c r="BA261" i="32"/>
  <c r="BB261" i="32"/>
  <c r="BC261" i="32"/>
  <c r="BD261" i="32"/>
  <c r="BE261" i="32"/>
  <c r="BF261" i="32"/>
  <c r="BG261" i="32"/>
  <c r="BH261" i="32"/>
  <c r="BI261" i="32"/>
  <c r="BJ261" i="32"/>
  <c r="BK261" i="32"/>
  <c r="BL261" i="32"/>
  <c r="BM261" i="32"/>
  <c r="BN261" i="32"/>
  <c r="AH262" i="32"/>
  <c r="AI262" i="32"/>
  <c r="AJ262" i="32"/>
  <c r="AK262" i="32"/>
  <c r="AL262" i="32"/>
  <c r="AM262" i="32"/>
  <c r="AN262" i="32"/>
  <c r="AO262" i="32"/>
  <c r="AP262" i="32"/>
  <c r="AQ262" i="32"/>
  <c r="AR262" i="32"/>
  <c r="AS262" i="32"/>
  <c r="AT262" i="32"/>
  <c r="AU262" i="32"/>
  <c r="AV262" i="32"/>
  <c r="AW262" i="32"/>
  <c r="AX262" i="32"/>
  <c r="AY262" i="32"/>
  <c r="AZ262" i="32"/>
  <c r="BA262" i="32"/>
  <c r="BB262" i="32"/>
  <c r="BC262" i="32"/>
  <c r="BD262" i="32"/>
  <c r="BE262" i="32"/>
  <c r="BF262" i="32"/>
  <c r="BG262" i="32"/>
  <c r="BH262" i="32"/>
  <c r="BI262" i="32"/>
  <c r="BJ262" i="32"/>
  <c r="BK262" i="32"/>
  <c r="BL262" i="32"/>
  <c r="BM262" i="32"/>
  <c r="BN262" i="32"/>
  <c r="BN263" i="32"/>
  <c r="BB263" i="32"/>
  <c r="BE263" i="32"/>
  <c r="BH263" i="32"/>
  <c r="BK263" i="32"/>
  <c r="AY263" i="32"/>
  <c r="AV263" i="32"/>
  <c r="AS263" i="32"/>
  <c r="AP263" i="32"/>
  <c r="AM263" i="32"/>
  <c r="AJ263" i="32"/>
  <c r="B228" i="32"/>
  <c r="AH219" i="32"/>
  <c r="AH220" i="32"/>
  <c r="AH221" i="32"/>
  <c r="AH222" i="32"/>
  <c r="AH223" i="32"/>
  <c r="AH224" i="32"/>
  <c r="AH225" i="32"/>
  <c r="AH218" i="32"/>
  <c r="AG219" i="32"/>
  <c r="AG220" i="32"/>
  <c r="AG221" i="32"/>
  <c r="AG222" i="32"/>
  <c r="AG223" i="32"/>
  <c r="AG224" i="32"/>
  <c r="AH226" i="32" l="1"/>
  <c r="AM265" i="32"/>
  <c r="B285" i="32" s="1"/>
  <c r="AK265" i="32"/>
  <c r="B286" i="32" s="1"/>
  <c r="AQ191" i="32"/>
  <c r="AP191" i="32"/>
  <c r="AO191" i="32"/>
  <c r="AN191" i="32"/>
  <c r="AM191" i="32"/>
  <c r="AM199" i="32" s="1"/>
  <c r="B204" i="32" s="1"/>
  <c r="AK191" i="32"/>
  <c r="AR192" i="32"/>
  <c r="AN193" i="32"/>
  <c r="AO193" i="32"/>
  <c r="AP193" i="32"/>
  <c r="AQ193" i="32"/>
  <c r="AR193" i="32"/>
  <c r="AN194" i="32"/>
  <c r="AO194" i="32"/>
  <c r="AP194" i="32"/>
  <c r="AQ194" i="32"/>
  <c r="AR194" i="32"/>
  <c r="AN195" i="32"/>
  <c r="AO195" i="32"/>
  <c r="AP195" i="32"/>
  <c r="AQ195" i="32"/>
  <c r="AR195" i="32"/>
  <c r="AN196" i="32"/>
  <c r="AO196" i="32"/>
  <c r="AP196" i="32"/>
  <c r="AQ196" i="32"/>
  <c r="AR196" i="32"/>
  <c r="AN197" i="32"/>
  <c r="AO197" i="32"/>
  <c r="AP197" i="32"/>
  <c r="AQ197" i="32"/>
  <c r="AR197" i="32"/>
  <c r="AN198" i="32"/>
  <c r="AO198" i="32"/>
  <c r="AP198" i="32"/>
  <c r="AQ198" i="32"/>
  <c r="AR198" i="32"/>
  <c r="AH192" i="32"/>
  <c r="AG192" i="32" s="1"/>
  <c r="AI192" i="32"/>
  <c r="AJ192" i="32"/>
  <c r="AK192" i="32"/>
  <c r="AG193" i="32"/>
  <c r="AL193" i="32"/>
  <c r="AM193" i="32"/>
  <c r="AH194" i="32"/>
  <c r="AG194" i="32" s="1"/>
  <c r="AI194" i="32"/>
  <c r="AJ194" i="32"/>
  <c r="AK194" i="32"/>
  <c r="AL194" i="32"/>
  <c r="AM194" i="32"/>
  <c r="AH195" i="32"/>
  <c r="AI195" i="32"/>
  <c r="AJ195" i="32"/>
  <c r="AK195" i="32"/>
  <c r="AL195" i="32"/>
  <c r="AM195" i="32"/>
  <c r="AH196" i="32"/>
  <c r="AG196" i="32" s="1"/>
  <c r="AI196" i="32"/>
  <c r="AJ196" i="32"/>
  <c r="AK196" i="32"/>
  <c r="AL196" i="32"/>
  <c r="AM196" i="32"/>
  <c r="AH197" i="32"/>
  <c r="AI197" i="32"/>
  <c r="AJ197" i="32"/>
  <c r="AK197" i="32"/>
  <c r="AL197" i="32"/>
  <c r="AM197" i="32"/>
  <c r="AH198" i="32"/>
  <c r="AI198" i="32"/>
  <c r="AJ198" i="32"/>
  <c r="AK198" i="32"/>
  <c r="AL198" i="32"/>
  <c r="AM198" i="32"/>
  <c r="AH191" i="32"/>
  <c r="AJ191" i="32"/>
  <c r="AI191" i="32"/>
  <c r="AL191" i="32"/>
  <c r="K621" i="32"/>
  <c r="M621" i="32"/>
  <c r="O621" i="32"/>
  <c r="Q621" i="32"/>
  <c r="S621" i="32"/>
  <c r="U621" i="32"/>
  <c r="W621" i="32"/>
  <c r="Y621" i="32"/>
  <c r="I621" i="32"/>
  <c r="P263" i="32"/>
  <c r="N278" i="32"/>
  <c r="O278" i="32"/>
  <c r="P278" i="32"/>
  <c r="Q278" i="32"/>
  <c r="R278" i="32"/>
  <c r="S278" i="32"/>
  <c r="T278" i="32"/>
  <c r="U278" i="32"/>
  <c r="V278" i="32"/>
  <c r="W278" i="32"/>
  <c r="X278" i="32"/>
  <c r="Y278" i="32"/>
  <c r="Z278" i="32"/>
  <c r="AA278" i="32"/>
  <c r="AB278" i="32"/>
  <c r="AC278" i="32"/>
  <c r="AD278" i="32"/>
  <c r="M278" i="32"/>
  <c r="Q263" i="32"/>
  <c r="R263" i="32"/>
  <c r="S263" i="32"/>
  <c r="T263" i="32"/>
  <c r="U263" i="32"/>
  <c r="V263" i="32"/>
  <c r="W263" i="32"/>
  <c r="X263" i="32"/>
  <c r="Y263" i="32"/>
  <c r="Z263" i="32"/>
  <c r="AA263" i="32"/>
  <c r="AB263" i="32"/>
  <c r="AC263" i="32"/>
  <c r="AD263" i="32"/>
  <c r="O199" i="32"/>
  <c r="S199" i="32"/>
  <c r="W199" i="32"/>
  <c r="AA199" i="32"/>
  <c r="AK116" i="32"/>
  <c r="D614" i="32"/>
  <c r="D615" i="32"/>
  <c r="D616" i="32"/>
  <c r="D617" i="32"/>
  <c r="D618" i="32"/>
  <c r="D619" i="32"/>
  <c r="D620" i="32"/>
  <c r="AG620" i="32" s="1"/>
  <c r="D613" i="32"/>
  <c r="AG613" i="32" s="1"/>
  <c r="D584" i="32"/>
  <c r="D585" i="32"/>
  <c r="D586" i="32"/>
  <c r="D587" i="32"/>
  <c r="D588" i="32"/>
  <c r="D589" i="32"/>
  <c r="D590" i="32"/>
  <c r="AG590" i="32" s="1"/>
  <c r="D583" i="32"/>
  <c r="AG583" i="32" s="1"/>
  <c r="D557" i="32"/>
  <c r="D558" i="32"/>
  <c r="D559" i="32"/>
  <c r="D560" i="32"/>
  <c r="D561" i="32"/>
  <c r="D562" i="32"/>
  <c r="D563" i="32"/>
  <c r="AG563" i="32" s="1"/>
  <c r="D556" i="32"/>
  <c r="AG556" i="32" s="1"/>
  <c r="D520" i="32"/>
  <c r="D521" i="32"/>
  <c r="D522" i="32"/>
  <c r="D523" i="32"/>
  <c r="D524" i="32"/>
  <c r="D525" i="32"/>
  <c r="D526" i="32"/>
  <c r="AG526" i="32" s="1"/>
  <c r="D519" i="32"/>
  <c r="AG519" i="32" s="1"/>
  <c r="D485" i="32"/>
  <c r="D479" i="32"/>
  <c r="D480" i="32"/>
  <c r="D481" i="32"/>
  <c r="D482" i="32"/>
  <c r="D483" i="32"/>
  <c r="D484" i="32"/>
  <c r="D478" i="32"/>
  <c r="D426" i="32"/>
  <c r="D427" i="32"/>
  <c r="D428" i="32"/>
  <c r="D429" i="32"/>
  <c r="D430" i="32"/>
  <c r="D431" i="32"/>
  <c r="D432" i="32"/>
  <c r="D425" i="32"/>
  <c r="D414" i="32"/>
  <c r="D415" i="32"/>
  <c r="D416" i="32"/>
  <c r="D417" i="32"/>
  <c r="D418" i="32"/>
  <c r="D419" i="32"/>
  <c r="D420" i="32"/>
  <c r="AG420" i="32" s="1"/>
  <c r="D413" i="32"/>
  <c r="AG413" i="32" s="1"/>
  <c r="D386" i="32"/>
  <c r="AG386" i="32" s="1"/>
  <c r="D380" i="32"/>
  <c r="D381" i="32"/>
  <c r="D382" i="32"/>
  <c r="D383" i="32"/>
  <c r="D384" i="32"/>
  <c r="D385" i="32"/>
  <c r="D379" i="32"/>
  <c r="AG379" i="32" s="1"/>
  <c r="D335" i="32"/>
  <c r="D336" i="32"/>
  <c r="D337" i="32"/>
  <c r="D338" i="32"/>
  <c r="D339" i="32"/>
  <c r="D340" i="32"/>
  <c r="D341" i="32"/>
  <c r="AG341" i="32" s="1"/>
  <c r="D334" i="32"/>
  <c r="AG334" i="32" s="1"/>
  <c r="D298" i="32"/>
  <c r="D299" i="32"/>
  <c r="D300" i="32"/>
  <c r="D301" i="32"/>
  <c r="D302" i="32"/>
  <c r="D303" i="32"/>
  <c r="D304" i="32"/>
  <c r="AG304" i="32" s="1"/>
  <c r="D297" i="32"/>
  <c r="AG297" i="32" s="1"/>
  <c r="D277" i="32"/>
  <c r="D271" i="32"/>
  <c r="D272" i="32"/>
  <c r="D273" i="32"/>
  <c r="D274" i="32"/>
  <c r="D275" i="32"/>
  <c r="D276" i="32"/>
  <c r="D270" i="32"/>
  <c r="D256" i="32"/>
  <c r="D257" i="32"/>
  <c r="D258" i="32"/>
  <c r="D259" i="32"/>
  <c r="D260" i="32"/>
  <c r="D261" i="32"/>
  <c r="D262" i="32"/>
  <c r="AG262" i="32" s="1"/>
  <c r="D255" i="32"/>
  <c r="AG255" i="32" s="1"/>
  <c r="D219" i="32"/>
  <c r="D220" i="32"/>
  <c r="D221" i="32"/>
  <c r="D222" i="32"/>
  <c r="D223" i="32"/>
  <c r="D224" i="32"/>
  <c r="D225" i="32"/>
  <c r="AG225" i="32" s="1"/>
  <c r="D218" i="32"/>
  <c r="AG218" i="32" s="1"/>
  <c r="D192" i="32"/>
  <c r="D193" i="32"/>
  <c r="D194" i="32"/>
  <c r="D195" i="32"/>
  <c r="D196" i="32"/>
  <c r="D197" i="32"/>
  <c r="D198" i="32"/>
  <c r="D191" i="32"/>
  <c r="D136" i="32"/>
  <c r="AH136" i="32"/>
  <c r="AJ136" i="32"/>
  <c r="B158" i="32" s="1"/>
  <c r="AH137" i="32"/>
  <c r="AH138" i="32"/>
  <c r="AH139" i="32"/>
  <c r="AH140" i="32"/>
  <c r="AH141" i="32"/>
  <c r="AH142" i="32"/>
  <c r="AH143" i="32"/>
  <c r="AG137" i="32"/>
  <c r="AG138" i="32"/>
  <c r="AG139" i="32"/>
  <c r="AG140" i="32"/>
  <c r="AG141" i="32"/>
  <c r="AG142" i="32"/>
  <c r="AG136" i="32"/>
  <c r="D155" i="32"/>
  <c r="D149" i="32"/>
  <c r="D150" i="32"/>
  <c r="D151" i="32"/>
  <c r="D152" i="32"/>
  <c r="D153" i="32"/>
  <c r="D154" i="32"/>
  <c r="D148" i="32"/>
  <c r="D137" i="32"/>
  <c r="D138" i="32"/>
  <c r="D139" i="32"/>
  <c r="D140" i="32"/>
  <c r="D141" i="32"/>
  <c r="D142" i="32"/>
  <c r="D143" i="32"/>
  <c r="AG143" i="32" s="1"/>
  <c r="D106" i="32"/>
  <c r="AG106" i="32" s="1"/>
  <c r="D105" i="32"/>
  <c r="B118" i="32"/>
  <c r="AQ116" i="32"/>
  <c r="AO116" i="32"/>
  <c r="AM116" i="32"/>
  <c r="AM115" i="32"/>
  <c r="AK115" i="32"/>
  <c r="AK113" i="32"/>
  <c r="AM113" i="32"/>
  <c r="AN113" i="32"/>
  <c r="AP113" i="32"/>
  <c r="AQ113" i="32"/>
  <c r="AS113" i="32"/>
  <c r="AJ113" i="32"/>
  <c r="AH113" i="32"/>
  <c r="AH106" i="32"/>
  <c r="AI106" i="32"/>
  <c r="AJ106" i="32"/>
  <c r="AK106" i="32"/>
  <c r="AL106" i="32"/>
  <c r="AM106" i="32"/>
  <c r="AN106" i="32"/>
  <c r="AO106" i="32"/>
  <c r="AP106" i="32"/>
  <c r="AQ106" i="32"/>
  <c r="AR106" i="32"/>
  <c r="AS106" i="32"/>
  <c r="AG107" i="32"/>
  <c r="AH107" i="32"/>
  <c r="AI107" i="32"/>
  <c r="AJ107" i="32"/>
  <c r="AK107" i="32"/>
  <c r="AL107" i="32"/>
  <c r="AM107" i="32"/>
  <c r="AN107" i="32"/>
  <c r="AO107" i="32"/>
  <c r="AP107" i="32"/>
  <c r="AQ107" i="32"/>
  <c r="AR107" i="32"/>
  <c r="AS107" i="32"/>
  <c r="AG108" i="32"/>
  <c r="AH108" i="32"/>
  <c r="AI108" i="32"/>
  <c r="AJ108" i="32"/>
  <c r="AK108" i="32"/>
  <c r="AL108" i="32"/>
  <c r="AM108" i="32"/>
  <c r="AN108" i="32"/>
  <c r="AO108" i="32"/>
  <c r="AP108" i="32"/>
  <c r="AQ108" i="32"/>
  <c r="AR108" i="32"/>
  <c r="AS108" i="32"/>
  <c r="AG109" i="32"/>
  <c r="AH109" i="32"/>
  <c r="AI109" i="32"/>
  <c r="AJ109" i="32"/>
  <c r="AK109" i="32"/>
  <c r="AL109" i="32"/>
  <c r="AM109" i="32"/>
  <c r="AN109" i="32"/>
  <c r="AO109" i="32"/>
  <c r="AP109" i="32"/>
  <c r="AQ109" i="32"/>
  <c r="AR109" i="32"/>
  <c r="AS109" i="32"/>
  <c r="AG110" i="32"/>
  <c r="AH110" i="32"/>
  <c r="AI110" i="32"/>
  <c r="AJ110" i="32"/>
  <c r="AK110" i="32"/>
  <c r="AL110" i="32"/>
  <c r="AM110" i="32"/>
  <c r="AN110" i="32"/>
  <c r="AO110" i="32"/>
  <c r="AP110" i="32"/>
  <c r="AQ110" i="32"/>
  <c r="AR110" i="32"/>
  <c r="AS110" i="32"/>
  <c r="AG111" i="32"/>
  <c r="AH111" i="32"/>
  <c r="AI111" i="32"/>
  <c r="AJ111" i="32"/>
  <c r="AK111" i="32"/>
  <c r="AL111" i="32"/>
  <c r="AM111" i="32"/>
  <c r="AN111" i="32"/>
  <c r="AO111" i="32"/>
  <c r="AP111" i="32"/>
  <c r="AQ111" i="32"/>
  <c r="AR111" i="32"/>
  <c r="AS111" i="32"/>
  <c r="AH112" i="32"/>
  <c r="AI112" i="32"/>
  <c r="AJ112" i="32"/>
  <c r="AK112" i="32"/>
  <c r="AL112" i="32"/>
  <c r="AM112" i="32"/>
  <c r="AN112" i="32"/>
  <c r="AO112" i="32"/>
  <c r="AP112" i="32"/>
  <c r="AQ112" i="32"/>
  <c r="AR112" i="32"/>
  <c r="AS112" i="32"/>
  <c r="AS105" i="32"/>
  <c r="AR105" i="32"/>
  <c r="AQ105" i="32"/>
  <c r="AP105" i="32"/>
  <c r="AO105" i="32"/>
  <c r="AN105" i="32"/>
  <c r="AM105" i="32"/>
  <c r="AL105" i="32"/>
  <c r="AK105" i="32"/>
  <c r="AJ105" i="32"/>
  <c r="AI105" i="32"/>
  <c r="AH105" i="32"/>
  <c r="AG105" i="32"/>
  <c r="Q113" i="32"/>
  <c r="R113" i="32"/>
  <c r="S113" i="32"/>
  <c r="T113" i="32"/>
  <c r="U113" i="32"/>
  <c r="V113" i="32"/>
  <c r="W113" i="32"/>
  <c r="X113" i="32"/>
  <c r="Y113" i="32"/>
  <c r="Z113" i="32"/>
  <c r="AA113" i="32"/>
  <c r="AB113" i="32"/>
  <c r="AC113" i="32"/>
  <c r="AD113" i="32"/>
  <c r="D107" i="32"/>
  <c r="D108" i="32"/>
  <c r="D109" i="32"/>
  <c r="D110" i="32"/>
  <c r="D111" i="32"/>
  <c r="D112" i="32"/>
  <c r="AG112" i="32" s="1"/>
  <c r="D88" i="32"/>
  <c r="AG88" i="32" s="1"/>
  <c r="D87" i="32"/>
  <c r="AG87" i="32" s="1"/>
  <c r="D86" i="32"/>
  <c r="D85" i="32"/>
  <c r="AG85" i="32" s="1"/>
  <c r="D84" i="32"/>
  <c r="D83" i="32"/>
  <c r="D82" i="32"/>
  <c r="AG82" i="32"/>
  <c r="AG81" i="32"/>
  <c r="AH82" i="32"/>
  <c r="AI82" i="32"/>
  <c r="AJ82" i="32"/>
  <c r="AK82" i="32"/>
  <c r="AG83" i="32"/>
  <c r="AH83" i="32"/>
  <c r="AI83" i="32"/>
  <c r="AJ83" i="32"/>
  <c r="AK83" i="32"/>
  <c r="AG84" i="32"/>
  <c r="AH84" i="32"/>
  <c r="AI84" i="32"/>
  <c r="AJ84" i="32"/>
  <c r="AK84" i="32"/>
  <c r="AH85" i="32"/>
  <c r="AI85" i="32"/>
  <c r="AJ85" i="32"/>
  <c r="AK85" i="32"/>
  <c r="AG86" i="32"/>
  <c r="AH86" i="32"/>
  <c r="AI86" i="32"/>
  <c r="AJ86" i="32"/>
  <c r="AK86" i="32"/>
  <c r="AH87" i="32"/>
  <c r="AI87" i="32"/>
  <c r="AJ87" i="32"/>
  <c r="AK87" i="32"/>
  <c r="AH88" i="32"/>
  <c r="AI88" i="32"/>
  <c r="AJ88" i="32"/>
  <c r="AK88" i="32"/>
  <c r="AK81" i="32"/>
  <c r="AI81" i="32"/>
  <c r="AH81" i="32"/>
  <c r="C51" i="32"/>
  <c r="B56" i="32"/>
  <c r="AQ43" i="32"/>
  <c r="AQ44" i="32"/>
  <c r="AQ45" i="32"/>
  <c r="AQ46" i="32"/>
  <c r="AQ47" i="32"/>
  <c r="AR47" i="32" s="1"/>
  <c r="AR50" i="32" s="1"/>
  <c r="B70" i="32" s="1"/>
  <c r="AQ48" i="32"/>
  <c r="AQ49" i="32"/>
  <c r="AQ42" i="32"/>
  <c r="AP43" i="32"/>
  <c r="AP42" i="32"/>
  <c r="AN43" i="32"/>
  <c r="AN44" i="32"/>
  <c r="AN45" i="32"/>
  <c r="AN46" i="32"/>
  <c r="AN47" i="32"/>
  <c r="AN50" i="32" s="1"/>
  <c r="B68" i="32" s="1"/>
  <c r="AN48" i="32"/>
  <c r="AN49" i="32"/>
  <c r="AN42" i="32"/>
  <c r="AG42" i="32"/>
  <c r="AG43" i="32"/>
  <c r="AH43" i="32"/>
  <c r="AI43" i="32"/>
  <c r="AJ43" i="32" s="1"/>
  <c r="AK43" i="32"/>
  <c r="AL43" i="32" s="1"/>
  <c r="AG44" i="32"/>
  <c r="AH44" i="32"/>
  <c r="AI44" i="32"/>
  <c r="AJ44" i="32" s="1"/>
  <c r="AK44" i="32"/>
  <c r="AL44" i="32" s="1"/>
  <c r="AG45" i="32"/>
  <c r="AH45" i="32"/>
  <c r="AI45" i="32"/>
  <c r="AJ45" i="32"/>
  <c r="AK45" i="32"/>
  <c r="AL45" i="32" s="1"/>
  <c r="AG46" i="32"/>
  <c r="AH46" i="32"/>
  <c r="AI46" i="32"/>
  <c r="AJ46" i="32" s="1"/>
  <c r="AK46" i="32"/>
  <c r="AL46" i="32"/>
  <c r="AG47" i="32"/>
  <c r="AH47" i="32"/>
  <c r="AI47" i="32"/>
  <c r="AJ47" i="32" s="1"/>
  <c r="AK47" i="32"/>
  <c r="AL47" i="32" s="1"/>
  <c r="AG48" i="32"/>
  <c r="AH48" i="32"/>
  <c r="AI48" i="32"/>
  <c r="AJ48" i="32" s="1"/>
  <c r="AK48" i="32"/>
  <c r="AL48" i="32" s="1"/>
  <c r="AG49" i="32"/>
  <c r="AH49" i="32"/>
  <c r="AI49" i="32"/>
  <c r="AJ49" i="32" s="1"/>
  <c r="AK49" i="32"/>
  <c r="AL49" i="32" s="1"/>
  <c r="AK42" i="32"/>
  <c r="AL42" i="32" s="1"/>
  <c r="AI42" i="32"/>
  <c r="AJ42" i="32" s="1"/>
  <c r="AH42" i="32"/>
  <c r="AG50" i="32" l="1"/>
  <c r="B67" i="32" s="1"/>
  <c r="AG226" i="32"/>
  <c r="B238" i="32" s="1"/>
  <c r="AG263" i="32"/>
  <c r="B284" i="32" s="1"/>
  <c r="AG305" i="32"/>
  <c r="B310" i="32" s="1"/>
  <c r="AG342" i="32"/>
  <c r="B366" i="32" s="1"/>
  <c r="AG387" i="32"/>
  <c r="B392" i="32" s="1"/>
  <c r="AG421" i="32"/>
  <c r="B464" i="32" s="1"/>
  <c r="AG527" i="32"/>
  <c r="B543" i="32" s="1"/>
  <c r="AG564" i="32"/>
  <c r="B569" i="32" s="1"/>
  <c r="AG591" i="32"/>
  <c r="B596" i="32" s="1"/>
  <c r="AG621" i="32"/>
  <c r="B625" i="32" s="1"/>
  <c r="AG198" i="32"/>
  <c r="AH50" i="32"/>
  <c r="AJ50" i="32"/>
  <c r="AL50" i="32"/>
  <c r="AH485" i="32"/>
  <c r="AI485" i="32"/>
  <c r="AQ332" i="46"/>
  <c r="AQ340" i="46"/>
  <c r="AQ348" i="46"/>
  <c r="AQ356" i="46"/>
  <c r="AQ364" i="46"/>
  <c r="AQ372" i="46"/>
  <c r="AQ380" i="46"/>
  <c r="AQ388" i="46"/>
  <c r="AQ396" i="46"/>
  <c r="AQ404" i="46"/>
  <c r="AQ412" i="46"/>
  <c r="AQ420" i="46"/>
  <c r="AQ325" i="46"/>
  <c r="AQ333" i="46"/>
  <c r="AQ341" i="46"/>
  <c r="AQ349" i="46"/>
  <c r="AQ357" i="46"/>
  <c r="AQ365" i="46"/>
  <c r="AQ373" i="46"/>
  <c r="AQ381" i="46"/>
  <c r="AQ389" i="46"/>
  <c r="AQ397" i="46"/>
  <c r="AQ405" i="46"/>
  <c r="AQ413" i="46"/>
  <c r="AQ421" i="46"/>
  <c r="AQ326" i="46"/>
  <c r="AQ334" i="46"/>
  <c r="AQ342" i="46"/>
  <c r="AQ350" i="46"/>
  <c r="AQ358" i="46"/>
  <c r="AQ366" i="46"/>
  <c r="AQ374" i="46"/>
  <c r="AQ382" i="46"/>
  <c r="AQ390" i="46"/>
  <c r="AQ398" i="46"/>
  <c r="AQ406" i="46"/>
  <c r="AQ414" i="46"/>
  <c r="AQ422" i="46"/>
  <c r="AQ327" i="46"/>
  <c r="AQ335" i="46"/>
  <c r="AQ343" i="46"/>
  <c r="AQ351" i="46"/>
  <c r="AQ359" i="46"/>
  <c r="AQ367" i="46"/>
  <c r="AQ375" i="46"/>
  <c r="AQ383" i="46"/>
  <c r="AQ391" i="46"/>
  <c r="AQ399" i="46"/>
  <c r="AQ407" i="46"/>
  <c r="AQ415" i="46"/>
  <c r="AQ423" i="46"/>
  <c r="AQ328" i="46"/>
  <c r="AQ336" i="46"/>
  <c r="AQ344" i="46"/>
  <c r="AQ352" i="46"/>
  <c r="AQ360" i="46"/>
  <c r="AQ368" i="46"/>
  <c r="AQ376" i="46"/>
  <c r="AQ384" i="46"/>
  <c r="AQ392" i="46"/>
  <c r="AQ400" i="46"/>
  <c r="AQ408" i="46"/>
  <c r="AQ416" i="46"/>
  <c r="AQ324" i="46"/>
  <c r="AQ329" i="46"/>
  <c r="AQ337" i="46"/>
  <c r="AQ345" i="46"/>
  <c r="AQ353" i="46"/>
  <c r="AQ361" i="46"/>
  <c r="AQ369" i="46"/>
  <c r="AQ377" i="46"/>
  <c r="AQ385" i="46"/>
  <c r="AQ393" i="46"/>
  <c r="AQ401" i="46"/>
  <c r="AQ409" i="46"/>
  <c r="AQ417" i="46"/>
  <c r="AQ330" i="46"/>
  <c r="AQ338" i="46"/>
  <c r="AQ346" i="46"/>
  <c r="AQ354" i="46"/>
  <c r="AQ362" i="46"/>
  <c r="AQ370" i="46"/>
  <c r="AQ378" i="46"/>
  <c r="AQ386" i="46"/>
  <c r="AQ394" i="46"/>
  <c r="AQ402" i="46"/>
  <c r="AQ410" i="46"/>
  <c r="AQ418" i="46"/>
  <c r="AQ331" i="46"/>
  <c r="AQ339" i="46"/>
  <c r="AQ347" i="46"/>
  <c r="AQ355" i="46"/>
  <c r="AQ363" i="46"/>
  <c r="AQ371" i="46"/>
  <c r="AQ379" i="46"/>
  <c r="AQ387" i="46"/>
  <c r="AQ395" i="46"/>
  <c r="AQ403" i="46"/>
  <c r="AQ411" i="46"/>
  <c r="AQ419" i="46"/>
  <c r="AH478" i="32"/>
  <c r="AG197" i="32"/>
  <c r="AQ199" i="32"/>
  <c r="AP199" i="32"/>
  <c r="AN199" i="32"/>
  <c r="AG195" i="32"/>
  <c r="AO199" i="32"/>
  <c r="AR199" i="32"/>
  <c r="AH89" i="32"/>
  <c r="B93" i="32" s="1"/>
  <c r="AJ89" i="32"/>
  <c r="B94" i="32" s="1"/>
  <c r="B119" i="32"/>
  <c r="AG191" i="32"/>
  <c r="AG144" i="32"/>
  <c r="B176" i="32" s="1"/>
  <c r="AH144" i="32"/>
  <c r="AG113" i="32"/>
  <c r="B117" i="32" s="1"/>
  <c r="AK89" i="32"/>
  <c r="B95" i="32" s="1"/>
  <c r="AI89" i="32"/>
  <c r="AG89" i="32"/>
  <c r="B92" i="32" s="1"/>
  <c r="AQ200" i="32" l="1"/>
  <c r="AG478" i="32"/>
  <c r="AG485" i="32"/>
  <c r="AM50" i="32"/>
  <c r="B69" i="32" s="1"/>
  <c r="AU114" i="46"/>
  <c r="B203" i="46" s="1"/>
  <c r="AO64" i="43"/>
  <c r="B95" i="43" s="1"/>
  <c r="AQ424" i="46"/>
  <c r="B447" i="46" s="1"/>
  <c r="AG199" i="32"/>
  <c r="B203" i="32" l="1"/>
  <c r="AG486" i="32"/>
  <c r="B500" i="32" s="1"/>
  <c r="AI449" i="44" l="1"/>
  <c r="B460" i="44" s="1"/>
  <c r="AI555" i="44"/>
  <c r="B566" i="44"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<sst xmlns="http://schemas.openxmlformats.org/spreadsheetml/2006/main" count="25882" uniqueCount="7185">
  <si>
    <t>CENSO NACIONAL DE SISTEMAS
PENITENCIARIOS ESTATALES 2024</t>
  </si>
  <si>
    <t>Módulo 2.
Centros especializados</t>
  </si>
  <si>
    <t>Índice</t>
  </si>
  <si>
    <t>Entidad:</t>
  </si>
  <si>
    <t>Clave:</t>
  </si>
  <si>
    <t>Presentación</t>
  </si>
  <si>
    <t>Informantes</t>
  </si>
  <si>
    <t>Participantes</t>
  </si>
  <si>
    <t>Sección I. Infraestructura penitenciaria</t>
  </si>
  <si>
    <t>Preguntas 1.1 a 1.16</t>
  </si>
  <si>
    <t>Sección II. Recursos humanos</t>
  </si>
  <si>
    <t>Preguntas 2.1 a 2.43</t>
  </si>
  <si>
    <t>Sección III. Órganos y unidades especializadas</t>
  </si>
  <si>
    <t>Preguntas 3.1 a 3.25</t>
  </si>
  <si>
    <t>Sección IV. Recursos presupuestales</t>
  </si>
  <si>
    <t>Preguntas 4.1 a 4.5</t>
  </si>
  <si>
    <t>Sección V. Informes, fuentes de información y registros</t>
  </si>
  <si>
    <t>Preguntas 5.1 y 5.2</t>
  </si>
  <si>
    <t>Sección VI. Asociación interinstitucional y marco regulatorio</t>
  </si>
  <si>
    <t>Preguntas 6.1 a 6.6</t>
  </si>
  <si>
    <t>Sección VII. Ingresos</t>
  </si>
  <si>
    <t>Preguntas 7.1 a 7.23</t>
  </si>
  <si>
    <t>Sección VIII. Personas adolescentes internadas</t>
  </si>
  <si>
    <t>Preguntas 8.1 a 8.36</t>
  </si>
  <si>
    <t>Sección IX. Mujeres adolescentes internadas con necesidades específicas</t>
  </si>
  <si>
    <t>Preguntas 9.1 a 9.7</t>
  </si>
  <si>
    <t>Sección X. Egresos</t>
  </si>
  <si>
    <t>Preguntas 10.1 a 10.7</t>
  </si>
  <si>
    <t>Sección XI. Personas adolescentes en tratamiento externo y justicia terapéutica</t>
  </si>
  <si>
    <t>Preguntas 11.1 a 11.16</t>
  </si>
  <si>
    <t>Sección XII. Traslados y extradiciones</t>
  </si>
  <si>
    <t>Preguntas 12.1 a 12.5</t>
  </si>
  <si>
    <t>Sección XIII. Actividades orientadas a la reinserción social</t>
  </si>
  <si>
    <t>Preguntas 13.1 a 13.20</t>
  </si>
  <si>
    <t>Sección XIV. Seguridad, protección y orden internos</t>
  </si>
  <si>
    <t>Preguntas 14.1 a 14.20</t>
  </si>
  <si>
    <t>Sección XV. Protección de derechos humanos</t>
  </si>
  <si>
    <t>Preguntas 15.1 a 15.9</t>
  </si>
  <si>
    <t>Sección XVI. Servicios para personas adolescentes egresadas y/ o en tratamiento externo</t>
  </si>
  <si>
    <t>Preguntas 16.1 a 16.24</t>
  </si>
  <si>
    <t>Complemento 1. Tipo de posesión, ubicación geográfica, horario de visitas y datos de contacto de los centros especializados</t>
  </si>
  <si>
    <t>Complemento 2. Certificaciones o acreditaciones de los centros especializados</t>
  </si>
  <si>
    <t>Complemento 3. Tipo de posesión, ubicación geográfica, horario de atención y datos de contacto de la unidad administrativa o área encargada de la prestación de los servicios para personas adolescentes egresadas y/ o en tratamiento externo</t>
  </si>
  <si>
    <t>Glosario</t>
  </si>
  <si>
    <t>Entidad</t>
  </si>
  <si>
    <t>Clave a 3 dígitos</t>
  </si>
  <si>
    <t>Municipio</t>
  </si>
  <si>
    <t>Clave a 5 dígitos</t>
  </si>
  <si>
    <t>Aguascalientes</t>
  </si>
  <si>
    <t>Ensenada</t>
  </si>
  <si>
    <t>Comondú</t>
  </si>
  <si>
    <t>Calkiní</t>
  </si>
  <si>
    <t>Abasolo</t>
  </si>
  <si>
    <t>Armería</t>
  </si>
  <si>
    <t>Acacoyagua</t>
  </si>
  <si>
    <t>Ahumada</t>
  </si>
  <si>
    <t>Azcapotzalco</t>
  </si>
  <si>
    <t>Canatlán</t>
  </si>
  <si>
    <t>Acapulco de Juárez</t>
  </si>
  <si>
    <t>Acatlán</t>
  </si>
  <si>
    <t>Acatic</t>
  </si>
  <si>
    <t>Acambay de Ruíz Castañeda</t>
  </si>
  <si>
    <t>Acuitzio</t>
  </si>
  <si>
    <t>Amacuzac</t>
  </si>
  <si>
    <t>Acaponeta</t>
  </si>
  <si>
    <t>Abejones</t>
  </si>
  <si>
    <t>Acajete</t>
  </si>
  <si>
    <t>Amealco de Bonfil</t>
  </si>
  <si>
    <t>Cozumel</t>
  </si>
  <si>
    <t>Ahualulco del Sonido 13</t>
  </si>
  <si>
    <t>Ahome</t>
  </si>
  <si>
    <t>Aconchi</t>
  </si>
  <si>
    <t>Balancán</t>
  </si>
  <si>
    <t>Amaxac de Guerrero</t>
  </si>
  <si>
    <t>Abalá</t>
  </si>
  <si>
    <t>Apozol</t>
  </si>
  <si>
    <t>Baja California</t>
  </si>
  <si>
    <t>Asientos</t>
  </si>
  <si>
    <t>Mexicali</t>
  </si>
  <si>
    <t>Mulegé</t>
  </si>
  <si>
    <t>Campeche</t>
  </si>
  <si>
    <t>Acuña</t>
  </si>
  <si>
    <t>Colima</t>
  </si>
  <si>
    <t>Acala</t>
  </si>
  <si>
    <t>Aldama</t>
  </si>
  <si>
    <t>Coyoacán</t>
  </si>
  <si>
    <t>Canelas</t>
  </si>
  <si>
    <t>Acámbaro</t>
  </si>
  <si>
    <t>Ahuacuotzingo</t>
  </si>
  <si>
    <t>Acaxochitlán</t>
  </si>
  <si>
    <t>Acatlán de Juárez</t>
  </si>
  <si>
    <t>Acolman</t>
  </si>
  <si>
    <t>Aguililla</t>
  </si>
  <si>
    <t>Atlatlahucan</t>
  </si>
  <si>
    <t>Ahuacatlán</t>
  </si>
  <si>
    <t>Agualeguas</t>
  </si>
  <si>
    <t>Acatlán de Pérez Figueroa</t>
  </si>
  <si>
    <t>Acateno</t>
  </si>
  <si>
    <t>Pinal de Amoles</t>
  </si>
  <si>
    <t>Felipe Carrillo Puerto</t>
  </si>
  <si>
    <t>Alaquines</t>
  </si>
  <si>
    <t>Angostura</t>
  </si>
  <si>
    <t>Agua Prieta</t>
  </si>
  <si>
    <t>Cárdenas</t>
  </si>
  <si>
    <t>Apetatitlán de Antonio Carvajal</t>
  </si>
  <si>
    <t>Acanceh</t>
  </si>
  <si>
    <t>Apulco</t>
  </si>
  <si>
    <t>Baja California Sur</t>
  </si>
  <si>
    <t>Calvillo</t>
  </si>
  <si>
    <t>Tecate</t>
  </si>
  <si>
    <t>La Paz</t>
  </si>
  <si>
    <t>Carmen</t>
  </si>
  <si>
    <t>Allende</t>
  </si>
  <si>
    <t>Comala</t>
  </si>
  <si>
    <t>Acapetahua</t>
  </si>
  <si>
    <t>Cuajimalpa de Morelos</t>
  </si>
  <si>
    <t>Coneto de Comonfort</t>
  </si>
  <si>
    <t>San Miguel de Allende</t>
  </si>
  <si>
    <t>Ajuchitlán del Progreso</t>
  </si>
  <si>
    <t>Actopan</t>
  </si>
  <si>
    <t>Ahualulco de Mercado</t>
  </si>
  <si>
    <t>Aculco</t>
  </si>
  <si>
    <t>Álvaro Obregón</t>
  </si>
  <si>
    <t>Axochiapan</t>
  </si>
  <si>
    <t>Amatlán de Cañas</t>
  </si>
  <si>
    <t>Los Aldamas</t>
  </si>
  <si>
    <t>Asunción Cacalotepec</t>
  </si>
  <si>
    <t>Arroyo Seco</t>
  </si>
  <si>
    <t>Isla Mujeres</t>
  </si>
  <si>
    <t>Aquismón</t>
  </si>
  <si>
    <t>Badiraguato</t>
  </si>
  <si>
    <t>Álamos</t>
  </si>
  <si>
    <t>Centla</t>
  </si>
  <si>
    <t>Altamira</t>
  </si>
  <si>
    <t>Atlangatepec</t>
  </si>
  <si>
    <t>Acayucan</t>
  </si>
  <si>
    <t>Akil</t>
  </si>
  <si>
    <t>Atolinga</t>
  </si>
  <si>
    <t>Cosío</t>
  </si>
  <si>
    <t>Tijuana</t>
  </si>
  <si>
    <t>Los Cabos</t>
  </si>
  <si>
    <t>Champotón</t>
  </si>
  <si>
    <t>Arteaga</t>
  </si>
  <si>
    <t>Coquimatlán</t>
  </si>
  <si>
    <t>Altamirano</t>
  </si>
  <si>
    <t>Aquiles Serdán</t>
  </si>
  <si>
    <t>Gustavo A. Madero</t>
  </si>
  <si>
    <t>Cuencamé</t>
  </si>
  <si>
    <t>Apaseo el Alto</t>
  </si>
  <si>
    <t>Alcozauca de Guerrero</t>
  </si>
  <si>
    <t>Agua Blanca de Iturbide</t>
  </si>
  <si>
    <t>Amacueca</t>
  </si>
  <si>
    <t>Almoloya de Alquisiras</t>
  </si>
  <si>
    <t>Angamacutiro</t>
  </si>
  <si>
    <t>Ayala</t>
  </si>
  <si>
    <t>Compostela</t>
  </si>
  <si>
    <t>Asunción Cuyotepeji</t>
  </si>
  <si>
    <t>Acatzingo</t>
  </si>
  <si>
    <t>Cadereyta de Montes</t>
  </si>
  <si>
    <t>Othón P. Blanco</t>
  </si>
  <si>
    <t>Armadillo de los Infante</t>
  </si>
  <si>
    <t>Concordia</t>
  </si>
  <si>
    <t>Altar</t>
  </si>
  <si>
    <t>Centro</t>
  </si>
  <si>
    <t>Antiguo Morelos</t>
  </si>
  <si>
    <t>Atltzayanca</t>
  </si>
  <si>
    <t>Baca</t>
  </si>
  <si>
    <t>Benito Juárez</t>
  </si>
  <si>
    <t>Coahuila de Zaragoza</t>
  </si>
  <si>
    <t>Jesús María</t>
  </si>
  <si>
    <t>Playas de Rosarito</t>
  </si>
  <si>
    <t>Loreto</t>
  </si>
  <si>
    <t>Hecelchakán</t>
  </si>
  <si>
    <t>Candela</t>
  </si>
  <si>
    <t>Cuauhtémoc</t>
  </si>
  <si>
    <t>Amatán</t>
  </si>
  <si>
    <t>Ascensión</t>
  </si>
  <si>
    <t>Iztacalco</t>
  </si>
  <si>
    <t>Durango</t>
  </si>
  <si>
    <t>Apaseo el Grande</t>
  </si>
  <si>
    <t>Alpoyeca</t>
  </si>
  <si>
    <t>Ajacuba</t>
  </si>
  <si>
    <t>Amatitán</t>
  </si>
  <si>
    <t>Almoloya de Juárez</t>
  </si>
  <si>
    <t>Angangueo</t>
  </si>
  <si>
    <t>Coatlán del Río</t>
  </si>
  <si>
    <t>Huajicori</t>
  </si>
  <si>
    <t>Anáhuac</t>
  </si>
  <si>
    <t>Asunción Ixtaltepec</t>
  </si>
  <si>
    <t>Acteopan</t>
  </si>
  <si>
    <t>Colón</t>
  </si>
  <si>
    <t>Cosalá</t>
  </si>
  <si>
    <t>Arivechi</t>
  </si>
  <si>
    <t>Comalcalco</t>
  </si>
  <si>
    <t>Burgos</t>
  </si>
  <si>
    <t>Apizaco</t>
  </si>
  <si>
    <t>Acula</t>
  </si>
  <si>
    <t>Bokobá</t>
  </si>
  <si>
    <t>Calera</t>
  </si>
  <si>
    <t>Pabellón de Arteaga</t>
  </si>
  <si>
    <t>San Quintín</t>
  </si>
  <si>
    <t>No identificado</t>
  </si>
  <si>
    <t>Hopelchén</t>
  </si>
  <si>
    <t>Castaños</t>
  </si>
  <si>
    <t>Ixtlahuacán</t>
  </si>
  <si>
    <t>Amatenango de la Frontera</t>
  </si>
  <si>
    <t>Bachíniva</t>
  </si>
  <si>
    <t>Iztapalapa</t>
  </si>
  <si>
    <t>General Simón Bolívar</t>
  </si>
  <si>
    <t>Atarjea</t>
  </si>
  <si>
    <t>Apaxtla</t>
  </si>
  <si>
    <t>Alfajayucan</t>
  </si>
  <si>
    <t>Ameca</t>
  </si>
  <si>
    <t>Almoloya del Río</t>
  </si>
  <si>
    <t>Apatzingán</t>
  </si>
  <si>
    <t>Cuautla</t>
  </si>
  <si>
    <t>Ixtlán del Río</t>
  </si>
  <si>
    <t>Apodaca</t>
  </si>
  <si>
    <t>Asunción Nochixtlán</t>
  </si>
  <si>
    <t>Corregidora</t>
  </si>
  <si>
    <t>José María Morelos</t>
  </si>
  <si>
    <t>Catorce</t>
  </si>
  <si>
    <t>Culiacán</t>
  </si>
  <si>
    <t>Arizpe</t>
  </si>
  <si>
    <t>Cunduacán</t>
  </si>
  <si>
    <t>Bustamante</t>
  </si>
  <si>
    <t>Calpulalpan</t>
  </si>
  <si>
    <t>Acultzingo</t>
  </si>
  <si>
    <t>Buctzotz</t>
  </si>
  <si>
    <t>Cañitas de Felipe Pescador</t>
  </si>
  <si>
    <t>CONFIDENCIALIDAD</t>
  </si>
  <si>
    <t>OBLIGATORIEDAD</t>
  </si>
  <si>
    <t>Chiapas</t>
  </si>
  <si>
    <t>Rincón de Romos</t>
  </si>
  <si>
    <t>San Felipe</t>
  </si>
  <si>
    <t>Palizada</t>
  </si>
  <si>
    <t>Cuatro Ciénegas</t>
  </si>
  <si>
    <t>Manzanillo</t>
  </si>
  <si>
    <t>Amatenango del Valle</t>
  </si>
  <si>
    <t>Balleza</t>
  </si>
  <si>
    <t>La Magdalena Contreras</t>
  </si>
  <si>
    <t>Gómez Palacio</t>
  </si>
  <si>
    <t>Celaya</t>
  </si>
  <si>
    <t>Arcelia</t>
  </si>
  <si>
    <t>Almoloya</t>
  </si>
  <si>
    <t>San Juanito de Escobedo</t>
  </si>
  <si>
    <t>Amanalco</t>
  </si>
  <si>
    <t>Aporo</t>
  </si>
  <si>
    <t>Cuernavaca</t>
  </si>
  <si>
    <t>Jala</t>
  </si>
  <si>
    <t>Aramberri</t>
  </si>
  <si>
    <t>Asunción Ocotlán</t>
  </si>
  <si>
    <t>Ahuatlán</t>
  </si>
  <si>
    <t>Ezequiel Montes</t>
  </si>
  <si>
    <t>Lázaro Cárdenas</t>
  </si>
  <si>
    <t>Cedral</t>
  </si>
  <si>
    <t>Choix</t>
  </si>
  <si>
    <t>Atil</t>
  </si>
  <si>
    <t>Emiliano Zapata</t>
  </si>
  <si>
    <t>Camargo</t>
  </si>
  <si>
    <t>El Carmen Tequexquitla</t>
  </si>
  <si>
    <t>Camarón de Tejeda</t>
  </si>
  <si>
    <t>Cacalchén</t>
  </si>
  <si>
    <t>Concepción del Oro</t>
  </si>
  <si>
    <r>
      <t xml:space="preserve">Conforme a lo dispuesto por el </t>
    </r>
    <r>
      <rPr>
        <b/>
        <sz val="9"/>
        <color theme="0"/>
        <rFont val="Arial"/>
        <family val="2"/>
      </rPr>
      <t>artículo 37</t>
    </r>
    <r>
      <rPr>
        <sz val="9"/>
        <color theme="0"/>
        <rFont val="Arial"/>
        <family val="2"/>
      </rPr>
      <t xml:space="preserve">, párrafo primero de la </t>
    </r>
    <r>
      <rPr>
        <b/>
        <sz val="9"/>
        <color theme="0"/>
        <rFont val="Arial"/>
        <family val="2"/>
      </rPr>
      <t>Ley del Sistema Nacional de Información Estadística y Geográfica</t>
    </r>
    <r>
      <rPr>
        <sz val="9"/>
        <color theme="0"/>
        <rFont val="Arial"/>
        <family val="2"/>
      </rPr>
      <t>: "Los datos que proporcionen para fines estadísticos los Informantes del Sistema a las Unidades en términos de la presente Ley, serán estrictamente confidenciales y bajo ninguna circunstancia podrán utilizarse para otro fin que no sea el estadístico."</t>
    </r>
  </si>
  <si>
    <r>
      <t xml:space="preserve">Conforme a lo dispuesto por el </t>
    </r>
    <r>
      <rPr>
        <b/>
        <sz val="9"/>
        <color theme="0"/>
        <rFont val="Arial"/>
        <family val="2"/>
      </rPr>
      <t>artículo 45</t>
    </r>
    <r>
      <rPr>
        <sz val="9"/>
        <color theme="0"/>
        <rFont val="Arial"/>
        <family val="2"/>
      </rPr>
      <t>, párrafo primero de la</t>
    </r>
    <r>
      <rPr>
        <b/>
        <sz val="9"/>
        <color theme="0"/>
        <rFont val="Arial"/>
        <family val="2"/>
      </rPr>
      <t xml:space="preserve"> Ley del Sistema Nacional de Información Estadística y Geográfica: </t>
    </r>
    <r>
      <rPr>
        <sz val="9"/>
        <color theme="0"/>
        <rFont val="Arial"/>
        <family val="2"/>
      </rPr>
      <t xml:space="preserve">"Los Informantes del Sistema estarán obligados a proporcionar, con veracidad y oportunidad, los datos e informes que les soliciten las autoridades competentes para fines estadísticos, censales y geográficos, y prestarán apoyo a las mismas", así como lo señalado por el </t>
    </r>
    <r>
      <rPr>
        <b/>
        <sz val="9"/>
        <color theme="0"/>
        <rFont val="Arial"/>
        <family val="2"/>
      </rPr>
      <t>artículo 46</t>
    </r>
    <r>
      <rPr>
        <sz val="9"/>
        <color theme="0"/>
        <rFont val="Arial"/>
        <family val="2"/>
      </rPr>
      <t xml:space="preserve"> de la misma: "[...] Los servidores públicos de la Federación, de las entidades federativas, de los municipios y de las demarcaciones territoriales de la Ciudad de México, tendrán la obligación de proporcionar la información básica que hubieren obtenido en el ejercicio de sus funciones y sirva para generar Información de Interés Nacional, que les solicite el Instituto [...]"</t>
    </r>
  </si>
  <si>
    <t>Chihuahua</t>
  </si>
  <si>
    <t>San José de Gracia</t>
  </si>
  <si>
    <t>Tenabo</t>
  </si>
  <si>
    <t>Escobedo</t>
  </si>
  <si>
    <t>Minatitlán</t>
  </si>
  <si>
    <t>Ángel Albino Corzo</t>
  </si>
  <si>
    <t>Batopilas de Manuel Gómez Morín</t>
  </si>
  <si>
    <t>Milpa Alta</t>
  </si>
  <si>
    <t>Guadalupe Victoria</t>
  </si>
  <si>
    <t>Manuel Doblado</t>
  </si>
  <si>
    <t>Atenango del Río</t>
  </si>
  <si>
    <t>Apan</t>
  </si>
  <si>
    <t>Arandas</t>
  </si>
  <si>
    <t>Amatepec</t>
  </si>
  <si>
    <t>Aquila</t>
  </si>
  <si>
    <t>Xalisco</t>
  </si>
  <si>
    <t>Asunción Tlacolulita</t>
  </si>
  <si>
    <t>Ahuazotepec</t>
  </si>
  <si>
    <t>Huimilpan</t>
  </si>
  <si>
    <t>Solidaridad</t>
  </si>
  <si>
    <t>Cerritos</t>
  </si>
  <si>
    <t>Elota</t>
  </si>
  <si>
    <t>Bacadéhuachi</t>
  </si>
  <si>
    <t>Huimanguillo</t>
  </si>
  <si>
    <t>Casas</t>
  </si>
  <si>
    <t>Cuapiaxtla</t>
  </si>
  <si>
    <t>Alpatláhuac</t>
  </si>
  <si>
    <t>Calotmul</t>
  </si>
  <si>
    <t>Ciudad de México</t>
  </si>
  <si>
    <t>Tepezalá</t>
  </si>
  <si>
    <t>Escárcega</t>
  </si>
  <si>
    <t>Francisco I. Madero</t>
  </si>
  <si>
    <t>Tecomán</t>
  </si>
  <si>
    <t>Arriaga</t>
  </si>
  <si>
    <t>Bocoyna</t>
  </si>
  <si>
    <t>Guanaceví</t>
  </si>
  <si>
    <t>Comonfort</t>
  </si>
  <si>
    <t>Atlamajalcingo del Monte</t>
  </si>
  <si>
    <t>El Arenal</t>
  </si>
  <si>
    <t>Amecameca</t>
  </si>
  <si>
    <t>Ario</t>
  </si>
  <si>
    <t>Huitzilac</t>
  </si>
  <si>
    <t>Del Nayar</t>
  </si>
  <si>
    <t>Cadereyta Jiménez</t>
  </si>
  <si>
    <t>Ayotzintepec</t>
  </si>
  <si>
    <t>Ahuehuetitla</t>
  </si>
  <si>
    <t>Jalpan de Serra</t>
  </si>
  <si>
    <t>Tulum</t>
  </si>
  <si>
    <t>Cerro de San Pedro</t>
  </si>
  <si>
    <t>Escuinapa</t>
  </si>
  <si>
    <t>Bacanora</t>
  </si>
  <si>
    <t>Jalapa</t>
  </si>
  <si>
    <t>Ciudad Madero</t>
  </si>
  <si>
    <t>Cuaxomulco</t>
  </si>
  <si>
    <t>Alto Lucero de Gutiérrez Barrios</t>
  </si>
  <si>
    <t>Cansahcab</t>
  </si>
  <si>
    <t>Chalchihuites</t>
  </si>
  <si>
    <t>DERECHOS DE LOS INFORMANTES DEL SISTEMA</t>
  </si>
  <si>
    <t>El Llano</t>
  </si>
  <si>
    <t>Calakmul</t>
  </si>
  <si>
    <t>Frontera</t>
  </si>
  <si>
    <t>Villa de Álvarez</t>
  </si>
  <si>
    <t>Bejucal de Ocampo</t>
  </si>
  <si>
    <t>Buenaventura</t>
  </si>
  <si>
    <t>Tláhuac</t>
  </si>
  <si>
    <t>Hidalgo</t>
  </si>
  <si>
    <t>Coroneo</t>
  </si>
  <si>
    <t>Atlixtac</t>
  </si>
  <si>
    <t>Atitalaquia</t>
  </si>
  <si>
    <t>Atemajac de Brizuela</t>
  </si>
  <si>
    <t>Apaxco</t>
  </si>
  <si>
    <t>Jantetelco</t>
  </si>
  <si>
    <t>Rosamorada</t>
  </si>
  <si>
    <t>El Carmen</t>
  </si>
  <si>
    <t>El Barrio de la Soledad</t>
  </si>
  <si>
    <t>Ajalpan</t>
  </si>
  <si>
    <t>Landa de Matamoros</t>
  </si>
  <si>
    <t>Bacalar</t>
  </si>
  <si>
    <t>Ciudad del Maíz</t>
  </si>
  <si>
    <t>El Fuerte</t>
  </si>
  <si>
    <t>Bacerac</t>
  </si>
  <si>
    <t>Jalpa de Méndez</t>
  </si>
  <si>
    <t>Cruillas</t>
  </si>
  <si>
    <t>Chiautempan</t>
  </si>
  <si>
    <t>Altotonga</t>
  </si>
  <si>
    <t>Cantamayec</t>
  </si>
  <si>
    <t>Fresnillo</t>
  </si>
  <si>
    <r>
      <t xml:space="preserve">De conformidad con lo previsto en el </t>
    </r>
    <r>
      <rPr>
        <b/>
        <sz val="9"/>
        <color theme="0"/>
        <rFont val="Arial"/>
        <family val="2"/>
      </rPr>
      <t>artículo 41</t>
    </r>
    <r>
      <rPr>
        <sz val="9"/>
        <color theme="0"/>
        <rFont val="Arial"/>
        <family val="2"/>
      </rPr>
      <t xml:space="preserve"> de la </t>
    </r>
    <r>
      <rPr>
        <b/>
        <sz val="9"/>
        <color theme="0"/>
        <rFont val="Arial"/>
        <family val="2"/>
      </rPr>
      <t>Ley del Sistema Nacional de Información Estadística y Geográfica</t>
    </r>
    <r>
      <rPr>
        <sz val="9"/>
        <color theme="0"/>
        <rFont val="Arial"/>
        <family val="2"/>
      </rPr>
      <t>, los informantes del Sistema tendrán el derecho de solicitar al Instituto Nacional de Estadística y Geografía que sean rectificados los datos que les conciernan, para lo cual deberán demostrar que son inexactos, incompletos o equívocos.</t>
    </r>
  </si>
  <si>
    <t>Guanajuato</t>
  </si>
  <si>
    <t>San Francisco de los Romo</t>
  </si>
  <si>
    <t>Candelaria</t>
  </si>
  <si>
    <t>General Cepeda</t>
  </si>
  <si>
    <t>Bella Vista</t>
  </si>
  <si>
    <t>Tlalpan</t>
  </si>
  <si>
    <t>Indé</t>
  </si>
  <si>
    <t>Cortazar</t>
  </si>
  <si>
    <t>Atoyac de Álvarez</t>
  </si>
  <si>
    <t>Atlapexco</t>
  </si>
  <si>
    <t>Atengo</t>
  </si>
  <si>
    <t>Atenco</t>
  </si>
  <si>
    <t>Briseñas</t>
  </si>
  <si>
    <t>Jiutepec</t>
  </si>
  <si>
    <t>Ruíz</t>
  </si>
  <si>
    <t>Cerralvo</t>
  </si>
  <si>
    <t>Calihualá</t>
  </si>
  <si>
    <t>Albino Zertuche</t>
  </si>
  <si>
    <t>El Marqués</t>
  </si>
  <si>
    <t>Puerto Morelos</t>
  </si>
  <si>
    <t>Ciudad Fernández</t>
  </si>
  <si>
    <t>Guasave</t>
  </si>
  <si>
    <t>Bacoachi</t>
  </si>
  <si>
    <t>Jonuta</t>
  </si>
  <si>
    <t>Gómez Farías</t>
  </si>
  <si>
    <t>Muñoz de Domingo Arenas</t>
  </si>
  <si>
    <t>Alvarado</t>
  </si>
  <si>
    <t>Celestún</t>
  </si>
  <si>
    <t>Trinidad García de la Cadena</t>
  </si>
  <si>
    <t>Guerrero</t>
  </si>
  <si>
    <t>Seybaplaya</t>
  </si>
  <si>
    <t>Berriozábal</t>
  </si>
  <si>
    <t>Carichí</t>
  </si>
  <si>
    <t>Xochimilco</t>
  </si>
  <si>
    <t>Lerdo</t>
  </si>
  <si>
    <t>Cuerámaro</t>
  </si>
  <si>
    <t>Ayutla de los Libres</t>
  </si>
  <si>
    <t>Atotonilco el Grande</t>
  </si>
  <si>
    <t>Atenguillo</t>
  </si>
  <si>
    <t>Atizapán</t>
  </si>
  <si>
    <t>Buenavista</t>
  </si>
  <si>
    <t>Jojutla</t>
  </si>
  <si>
    <t>San Blas</t>
  </si>
  <si>
    <t>Ciénega de Flores</t>
  </si>
  <si>
    <t>Candelaria Loxicha</t>
  </si>
  <si>
    <t>Aljojuca</t>
  </si>
  <si>
    <t>Pedro Escobedo</t>
  </si>
  <si>
    <t>Tancanhuitz</t>
  </si>
  <si>
    <t>Mazatlán</t>
  </si>
  <si>
    <t>Bácum</t>
  </si>
  <si>
    <t>Macuspana</t>
  </si>
  <si>
    <t>González</t>
  </si>
  <si>
    <t>Españita</t>
  </si>
  <si>
    <t>Amatitlán</t>
  </si>
  <si>
    <t>Cenotillo</t>
  </si>
  <si>
    <t>Genaro Codina</t>
  </si>
  <si>
    <t>Dzitbalché</t>
  </si>
  <si>
    <t>Bochil</t>
  </si>
  <si>
    <t>Casas Grandes</t>
  </si>
  <si>
    <t>Mapimí</t>
  </si>
  <si>
    <t>Doctor Mora</t>
  </si>
  <si>
    <t>Azoyú</t>
  </si>
  <si>
    <t>Atotonilco de Tula</t>
  </si>
  <si>
    <t>Atotonilco el Alto</t>
  </si>
  <si>
    <t>Atizapán de Zaragoza</t>
  </si>
  <si>
    <t>Carácuaro</t>
  </si>
  <si>
    <t>Jonacatepec de Leandro Valle</t>
  </si>
  <si>
    <t>San Pedro Lagunillas</t>
  </si>
  <si>
    <t>China</t>
  </si>
  <si>
    <t>Ciénega de Zimatlán</t>
  </si>
  <si>
    <t>Altepexi</t>
  </si>
  <si>
    <t>Peñamiller</t>
  </si>
  <si>
    <t>Ciudad Valles</t>
  </si>
  <si>
    <t>Mocorito</t>
  </si>
  <si>
    <t>Banámichi</t>
  </si>
  <si>
    <t>Nacajuca</t>
  </si>
  <si>
    <t>Güémez</t>
  </si>
  <si>
    <t>Huamantla</t>
  </si>
  <si>
    <t>Naranjos Amatlán</t>
  </si>
  <si>
    <t>Conkal</t>
  </si>
  <si>
    <t>General Enrique Estrada</t>
  </si>
  <si>
    <r>
      <t xml:space="preserve">El Instituto Nacional de Estadística y Geografía (INEGI) presenta la elaboración del </t>
    </r>
    <r>
      <rPr>
        <b/>
        <sz val="9"/>
        <rFont val="Arial"/>
        <family val="2"/>
      </rPr>
      <t>Censo Nacional de Sistemas Penitenciarios Estatales (CNSIPEE) 2024</t>
    </r>
    <r>
      <rPr>
        <sz val="9"/>
        <rFont val="Arial"/>
        <family val="2"/>
      </rPr>
      <t xml:space="preserve"> como respuesta a su responsabilidad de suministrar a la sociedad y al Estado información de calidad, pertinente, veraz y oportuna, atendiendo el mandato constitucional de normar y coordinar el Sistema Nacional de Información Estadística y Geográfica (SNIEG).</t>
    </r>
  </si>
  <si>
    <t>Jalisco</t>
  </si>
  <si>
    <t>Jiménez</t>
  </si>
  <si>
    <t>El Bosque</t>
  </si>
  <si>
    <t>Coronado</t>
  </si>
  <si>
    <t>Mezquital</t>
  </si>
  <si>
    <t>Dolores Hidalgo Cuna de la Independencia Nacional</t>
  </si>
  <si>
    <t>Calnali</t>
  </si>
  <si>
    <t>Atoyac</t>
  </si>
  <si>
    <t>Atlacomulco</t>
  </si>
  <si>
    <t>Coahuayana</t>
  </si>
  <si>
    <t>Mazatepec</t>
  </si>
  <si>
    <t>Santa María del Oro</t>
  </si>
  <si>
    <t>Doctor Arroyo</t>
  </si>
  <si>
    <t>Ciudad Ixtepec</t>
  </si>
  <si>
    <t>Amixtlán</t>
  </si>
  <si>
    <t>Querétaro</t>
  </si>
  <si>
    <t>Coxcatlán</t>
  </si>
  <si>
    <t>Rosario</t>
  </si>
  <si>
    <t>Baviácora</t>
  </si>
  <si>
    <t>Paraíso</t>
  </si>
  <si>
    <t>Hueyotlipan</t>
  </si>
  <si>
    <t>Amatlán de los Reyes</t>
  </si>
  <si>
    <t>Cuncunul</t>
  </si>
  <si>
    <t>General Francisco R. Murguía</t>
  </si>
  <si>
    <t>México</t>
  </si>
  <si>
    <t>Juárez</t>
  </si>
  <si>
    <t>Cacahoatán</t>
  </si>
  <si>
    <t>Coyame del Sotol</t>
  </si>
  <si>
    <t>Miguel Hidalgo</t>
  </si>
  <si>
    <t>Nazas</t>
  </si>
  <si>
    <t>Buenavista de Cuéllar</t>
  </si>
  <si>
    <t>Cardonal</t>
  </si>
  <si>
    <t>Autlán de Navarro</t>
  </si>
  <si>
    <t>Atlautla</t>
  </si>
  <si>
    <t>Coalcomán de Vázquez Pallares</t>
  </si>
  <si>
    <t>Miacatlán</t>
  </si>
  <si>
    <t>Santiago Ixcuintla</t>
  </si>
  <si>
    <t>Doctor Coss</t>
  </si>
  <si>
    <t>Coatecas Altas</t>
  </si>
  <si>
    <t>Amozoc</t>
  </si>
  <si>
    <t>San Joaquín</t>
  </si>
  <si>
    <t>Charcas</t>
  </si>
  <si>
    <t>Salvador Alvarado</t>
  </si>
  <si>
    <t>Bavispe</t>
  </si>
  <si>
    <t>Tacotalpa</t>
  </si>
  <si>
    <t>Gustavo Díaz Ordaz</t>
  </si>
  <si>
    <t>Ixtacuixtla de Mariano Matamoros</t>
  </si>
  <si>
    <t>Angel R. Cabada</t>
  </si>
  <si>
    <t>Cuzamá</t>
  </si>
  <si>
    <t>El Plateado de Joaquín Amaro</t>
  </si>
  <si>
    <t>Dicho Sistema se integra por cuatro subsistemas, mismos que permiten agrupar por temas los diversos campos de información de interés nacional, lo que se traduce en la generación, suministro y difusión de información de manera ordenada y bajo esquemas integrales y homogéneos que promuevan el cumplimiento de los objetivos del SNIEG.</t>
  </si>
  <si>
    <t>Michoacán de Ocampo</t>
  </si>
  <si>
    <t>Lamadrid</t>
  </si>
  <si>
    <t>Catazajá</t>
  </si>
  <si>
    <t>La Cruz</t>
  </si>
  <si>
    <t>Venustiano Carranza</t>
  </si>
  <si>
    <t>Nombre de Dios</t>
  </si>
  <si>
    <t>Huanímaro</t>
  </si>
  <si>
    <t>Coahuayutla de José María Izazaga</t>
  </si>
  <si>
    <t>Cuautepec de Hinojosa</t>
  </si>
  <si>
    <t>Ayotlán</t>
  </si>
  <si>
    <t>Axapusco</t>
  </si>
  <si>
    <t>Coeneo</t>
  </si>
  <si>
    <t>Ocuituco</t>
  </si>
  <si>
    <t>Tecuala</t>
  </si>
  <si>
    <t>Doctor González</t>
  </si>
  <si>
    <t>Coicoyán de las Flores</t>
  </si>
  <si>
    <t>Aquixtla</t>
  </si>
  <si>
    <t>San Juan del Río</t>
  </si>
  <si>
    <t>Ebano</t>
  </si>
  <si>
    <t>San Ignacio</t>
  </si>
  <si>
    <t>Benjamín Hill</t>
  </si>
  <si>
    <t>Teapa</t>
  </si>
  <si>
    <t>Ixtenco</t>
  </si>
  <si>
    <t>La Antigua</t>
  </si>
  <si>
    <t>Chacsinkín</t>
  </si>
  <si>
    <t>General Pánfilo Natera</t>
  </si>
  <si>
    <t>Morelos</t>
  </si>
  <si>
    <t>Matamoros</t>
  </si>
  <si>
    <t>Cintalapa de Figueroa</t>
  </si>
  <si>
    <t>Ocampo</t>
  </si>
  <si>
    <t>Irapuato</t>
  </si>
  <si>
    <t>Cocula</t>
  </si>
  <si>
    <t>Chapantongo</t>
  </si>
  <si>
    <t>Ayutla</t>
  </si>
  <si>
    <t>Ayapango</t>
  </si>
  <si>
    <t>Contepec</t>
  </si>
  <si>
    <t>Puente de Ixtla</t>
  </si>
  <si>
    <t>Tepic</t>
  </si>
  <si>
    <t>Galeana</t>
  </si>
  <si>
    <t>La Compañía</t>
  </si>
  <si>
    <t>Atempan</t>
  </si>
  <si>
    <t>Tequisquiapan</t>
  </si>
  <si>
    <t>Guadalcázar</t>
  </si>
  <si>
    <t>Sinaloa</t>
  </si>
  <si>
    <t>Caborca</t>
  </si>
  <si>
    <t>Tenosique</t>
  </si>
  <si>
    <t>Jaumave</t>
  </si>
  <si>
    <t>Mazatecochco de José María Morelos</t>
  </si>
  <si>
    <t>Apazapan</t>
  </si>
  <si>
    <t>Chankom</t>
  </si>
  <si>
    <t>Guadalupe</t>
  </si>
  <si>
    <t>Los subsistemas son los siguientes:</t>
  </si>
  <si>
    <t>Nayarit</t>
  </si>
  <si>
    <t>Monclova</t>
  </si>
  <si>
    <t>Coapilla</t>
  </si>
  <si>
    <t>Cusihuiriachi</t>
  </si>
  <si>
    <t>El Oro</t>
  </si>
  <si>
    <t>Jaral del Progreso</t>
  </si>
  <si>
    <t>Copala</t>
  </si>
  <si>
    <t>Chapulhuacán</t>
  </si>
  <si>
    <t>La Barca</t>
  </si>
  <si>
    <t>Calimaya</t>
  </si>
  <si>
    <t>Copándaro</t>
  </si>
  <si>
    <t>Temixco</t>
  </si>
  <si>
    <t>Tuxpan</t>
  </si>
  <si>
    <t>García</t>
  </si>
  <si>
    <t>Concepción Buenavista</t>
  </si>
  <si>
    <t>Atexcal</t>
  </si>
  <si>
    <t>Tolimán</t>
  </si>
  <si>
    <t>Huehuetlán</t>
  </si>
  <si>
    <t>Navolato</t>
  </si>
  <si>
    <t>Cajeme</t>
  </si>
  <si>
    <t>Contla de Juan Cuamatzi</t>
  </si>
  <si>
    <t>Chapab</t>
  </si>
  <si>
    <t>Huanusco</t>
  </si>
  <si>
    <t>Nuevo León</t>
  </si>
  <si>
    <t>Comitán de Domínguez</t>
  </si>
  <si>
    <t>Otáez</t>
  </si>
  <si>
    <t>Jerécuaro</t>
  </si>
  <si>
    <t>Copalillo</t>
  </si>
  <si>
    <t>Chilcuautla</t>
  </si>
  <si>
    <t>Bolaños</t>
  </si>
  <si>
    <t>Capulhuac</t>
  </si>
  <si>
    <t>Cotija</t>
  </si>
  <si>
    <t>Tepalcingo</t>
  </si>
  <si>
    <t>La Yesca</t>
  </si>
  <si>
    <t>San Pedro Garza García</t>
  </si>
  <si>
    <t>Concepción Pápalo</t>
  </si>
  <si>
    <t>Atlixco</t>
  </si>
  <si>
    <t>Lagunillas</t>
  </si>
  <si>
    <t>Cananea</t>
  </si>
  <si>
    <t>Llera</t>
  </si>
  <si>
    <t>Tepetitla de Lardizábal</t>
  </si>
  <si>
    <t>Astacinga</t>
  </si>
  <si>
    <t>Chemax</t>
  </si>
  <si>
    <t>Jalpa</t>
  </si>
  <si>
    <t>Subsistema Nacional de Información Demográfica y Social.
Subsistema Nacional de Información Económica.
Subsistema Nacional de Información Geográfica, Medio Ambiente, Ordenamiento Territorial y Urbano.
Subsistema Nacional de Información de Gobierno, Seguridad Pública e Impartición de Justicia.</t>
  </si>
  <si>
    <t>Oaxaca</t>
  </si>
  <si>
    <t>Múzquiz</t>
  </si>
  <si>
    <t>La Concordia</t>
  </si>
  <si>
    <t>Chínipas</t>
  </si>
  <si>
    <t>Pánuco de Coronado</t>
  </si>
  <si>
    <t>León</t>
  </si>
  <si>
    <t>Copanatoyac</t>
  </si>
  <si>
    <t>Eloxochitlán</t>
  </si>
  <si>
    <t>Cabo Corrientes</t>
  </si>
  <si>
    <t>Coacalco de Berriozábal</t>
  </si>
  <si>
    <t>Cuitzeo</t>
  </si>
  <si>
    <t>Tepoztlán</t>
  </si>
  <si>
    <t>Bahía de Banderas</t>
  </si>
  <si>
    <t>General Bravo</t>
  </si>
  <si>
    <t>Constancia del Rosario</t>
  </si>
  <si>
    <t>Atoyatempan</t>
  </si>
  <si>
    <t>Matehuala</t>
  </si>
  <si>
    <t>Carbó</t>
  </si>
  <si>
    <t>Mainero</t>
  </si>
  <si>
    <t>Sanctórum de Lázaro Cárdenas</t>
  </si>
  <si>
    <t>Atlahuilco</t>
  </si>
  <si>
    <t>Chicxulub Pueblo</t>
  </si>
  <si>
    <t>Jerez</t>
  </si>
  <si>
    <t>Puebla</t>
  </si>
  <si>
    <t>Nadadores</t>
  </si>
  <si>
    <t>Copainalá</t>
  </si>
  <si>
    <t>Delicias</t>
  </si>
  <si>
    <t>Peñón Blanco</t>
  </si>
  <si>
    <t>Moroleón</t>
  </si>
  <si>
    <t>Coyuca de Benítez</t>
  </si>
  <si>
    <t>Casimiro Castillo</t>
  </si>
  <si>
    <t>Coatepec Harinas</t>
  </si>
  <si>
    <t>Charapan</t>
  </si>
  <si>
    <t>Tetecala</t>
  </si>
  <si>
    <t>General Escobedo</t>
  </si>
  <si>
    <t>Cosolapa</t>
  </si>
  <si>
    <t>Atzala</t>
  </si>
  <si>
    <t>Mexquitic de Carmona</t>
  </si>
  <si>
    <t>La Colorada</t>
  </si>
  <si>
    <t>El Mante</t>
  </si>
  <si>
    <t>Nanacamilpa de Mariano Arista</t>
  </si>
  <si>
    <t>Chichimilá</t>
  </si>
  <si>
    <t>Jiménez del Teul</t>
  </si>
  <si>
    <t>El Subsistema Nacional de Información de Gobierno, Seguridad Pública e Impartición de Justicia (SNIGSPIJ) fue creado mediante acuerdo de la Junta de Gobierno del INEGI el 08 de diciembre de 2008, quedando establecido como el cuarto Subsistema Nacional de Información según los artículos 17 y 28 bis de la Ley del SNIEG.</t>
  </si>
  <si>
    <t>Nava</t>
  </si>
  <si>
    <t>Chalchihuitán</t>
  </si>
  <si>
    <t>Dr. Belisario Domínguez</t>
  </si>
  <si>
    <t>Poanas</t>
  </si>
  <si>
    <t>Coyuca de Catalán</t>
  </si>
  <si>
    <t>Epazoyucan</t>
  </si>
  <si>
    <t>Cihuatlán</t>
  </si>
  <si>
    <t>Cocotitlán</t>
  </si>
  <si>
    <t>Charo</t>
  </si>
  <si>
    <t>Tetela del Volcán</t>
  </si>
  <si>
    <t>General Terán</t>
  </si>
  <si>
    <t>Cosoltepec</t>
  </si>
  <si>
    <t>Atzitzihuacán</t>
  </si>
  <si>
    <t>Moctezuma</t>
  </si>
  <si>
    <t>Cucurpe</t>
  </si>
  <si>
    <t>Acuamanala de Miguel Hidalgo</t>
  </si>
  <si>
    <t>Atzacan</t>
  </si>
  <si>
    <t>Chikindzonot</t>
  </si>
  <si>
    <t>Juan Aldama</t>
  </si>
  <si>
    <t>Quintana Roo</t>
  </si>
  <si>
    <t>Chamula</t>
  </si>
  <si>
    <t>Pueblo Nuevo</t>
  </si>
  <si>
    <t>Pénjamo</t>
  </si>
  <si>
    <t>Cuajinicuilapa</t>
  </si>
  <si>
    <t>Zapotlán el Grande</t>
  </si>
  <si>
    <t>Coyotepec</t>
  </si>
  <si>
    <t>Chavinda</t>
  </si>
  <si>
    <t>Tlalnepantla</t>
  </si>
  <si>
    <t>General Treviño</t>
  </si>
  <si>
    <t>Cuilápam de Guerrero</t>
  </si>
  <si>
    <t>Atzitzintla</t>
  </si>
  <si>
    <t>Rayón</t>
  </si>
  <si>
    <t>Cumpas</t>
  </si>
  <si>
    <t>Méndez</t>
  </si>
  <si>
    <t>Natívitas</t>
  </si>
  <si>
    <t>Atzalan</t>
  </si>
  <si>
    <t>Chocholá</t>
  </si>
  <si>
    <t>Juchipila</t>
  </si>
  <si>
    <t>El SNIGSPIJ tiene como objetivo estratégico institucionalizar y operar un esquema coordinado para la producción, integración, conservación y difusión de información estadística y geográfica de interés nacional, de calidad, pertinente, veraz y oportuna que permita conocer la situación que guardan la gestión y el desempeño de las instituciones públicas que conforman el Estado y sus respectivos poderes en las funciones de gobierno, seguridad pública e impartición de justicia, para apoyar los procesos de diseño, implementación, monitoreo y evaluación de las políticas públicas en estas materias.</t>
  </si>
  <si>
    <t>San Luis Potosí</t>
  </si>
  <si>
    <t>Parras</t>
  </si>
  <si>
    <t>Chanal</t>
  </si>
  <si>
    <t>Santa Isabel</t>
  </si>
  <si>
    <t>Rodeo</t>
  </si>
  <si>
    <t>Cualác</t>
  </si>
  <si>
    <t>Huasca de Ocampo</t>
  </si>
  <si>
    <t>Cuautitlán</t>
  </si>
  <si>
    <t>Cherán</t>
  </si>
  <si>
    <t>Tlaltizapán de Zapata</t>
  </si>
  <si>
    <t>General Zaragoza</t>
  </si>
  <si>
    <t>Cuyamecalco Villa de Zaragoza</t>
  </si>
  <si>
    <t>Axutla</t>
  </si>
  <si>
    <t>Rioverde</t>
  </si>
  <si>
    <t>Divisaderos</t>
  </si>
  <si>
    <t>Mier</t>
  </si>
  <si>
    <t>Panotla</t>
  </si>
  <si>
    <t>Tlaltetela</t>
  </si>
  <si>
    <t>Chumayel</t>
  </si>
  <si>
    <t>Piedras Negras</t>
  </si>
  <si>
    <t>Chapultenango</t>
  </si>
  <si>
    <t>San Bernardo</t>
  </si>
  <si>
    <t>Purísima del Rincón</t>
  </si>
  <si>
    <t>Cuautepec</t>
  </si>
  <si>
    <t>Huautla</t>
  </si>
  <si>
    <t>Colotlán</t>
  </si>
  <si>
    <t>Chalco</t>
  </si>
  <si>
    <t>Chilchota</t>
  </si>
  <si>
    <t>Tlaquiltenango</t>
  </si>
  <si>
    <t>General Zuazua</t>
  </si>
  <si>
    <t>Chahuites</t>
  </si>
  <si>
    <t>Ayotoxco de Guerrero</t>
  </si>
  <si>
    <t>Salinas</t>
  </si>
  <si>
    <t>Empalme</t>
  </si>
  <si>
    <t>Miguel Alemán</t>
  </si>
  <si>
    <t>San Pablo del Monte</t>
  </si>
  <si>
    <t>Ayahualulco</t>
  </si>
  <si>
    <t>Dzan</t>
  </si>
  <si>
    <t>Luis Moya</t>
  </si>
  <si>
    <t>En el marco de dicho Subsistema, específicamente de los trabajos del Comité Técnico Especializado de Información de Seguridad Pública, desde el año 2009 se iniciaron las actividades de revisión y generación de lo que sería el primer instrumento de captación en materia de sistema penitenciario, en el que participaron representantes de las principales instituciones y organizaciones que convergen en dicha materia.</t>
  </si>
  <si>
    <t>Sonora</t>
  </si>
  <si>
    <t>Progreso</t>
  </si>
  <si>
    <t>Chenalhó</t>
  </si>
  <si>
    <t>Gran Morelos</t>
  </si>
  <si>
    <t>San Dimas</t>
  </si>
  <si>
    <t>Romita</t>
  </si>
  <si>
    <t>Cuetzala del Progreso</t>
  </si>
  <si>
    <t>Huazalingo</t>
  </si>
  <si>
    <t>Concepción de Buenos Aires</t>
  </si>
  <si>
    <t>Chapa de Mota</t>
  </si>
  <si>
    <t>Chinicuila</t>
  </si>
  <si>
    <t>Tlayacapan</t>
  </si>
  <si>
    <t>Chalcatongo de Hidalgo</t>
  </si>
  <si>
    <t>Calpan</t>
  </si>
  <si>
    <t>San Antonio</t>
  </si>
  <si>
    <t>Etchojoa</t>
  </si>
  <si>
    <t>Miquihuana</t>
  </si>
  <si>
    <t>Santa Cruz Tlaxcala</t>
  </si>
  <si>
    <t>Banderilla</t>
  </si>
  <si>
    <t>Dzemul</t>
  </si>
  <si>
    <t>Mazapil</t>
  </si>
  <si>
    <t>Tabasco</t>
  </si>
  <si>
    <t>Ramos Arizpe</t>
  </si>
  <si>
    <t>Chiapa de Corzo</t>
  </si>
  <si>
    <t>Guachochi</t>
  </si>
  <si>
    <t>San Juan de Guadalupe</t>
  </si>
  <si>
    <t>Salamanca</t>
  </si>
  <si>
    <t>Cutzamala de Pinzón</t>
  </si>
  <si>
    <t>Huehuetla</t>
  </si>
  <si>
    <t>Cuautitlán de García Barragán</t>
  </si>
  <si>
    <t>Chapultepec</t>
  </si>
  <si>
    <t>Chucándiro</t>
  </si>
  <si>
    <t>Totolapan</t>
  </si>
  <si>
    <t>Los Herreras</t>
  </si>
  <si>
    <t>Chiquihuitlán de Benito Juárez</t>
  </si>
  <si>
    <t>Caltepec</t>
  </si>
  <si>
    <t>San Ciro de Acosta</t>
  </si>
  <si>
    <t>Fronteras</t>
  </si>
  <si>
    <t>Nuevo Laredo</t>
  </si>
  <si>
    <t>Tenancingo</t>
  </si>
  <si>
    <t>Dzidzantún</t>
  </si>
  <si>
    <t>Melchor Ocampo</t>
  </si>
  <si>
    <r>
      <t xml:space="preserve">Como resultado, se logró el acuerdo para generar información estadística en materia de sistema penitenciario con una visión integral, implementando así en 2010 el primer instrumento de captación en el ámbito estatal denominado </t>
    </r>
    <r>
      <rPr>
        <i/>
        <sz val="9"/>
        <rFont val="Arial"/>
        <family val="2"/>
      </rPr>
      <t>Encuesta Nacional de Gobierno 2010 – Poder Ejecutivo Estatal (ENGPEE 10)</t>
    </r>
    <r>
      <rPr>
        <sz val="9"/>
        <rFont val="Arial"/>
        <family val="2"/>
      </rPr>
      <t xml:space="preserve">, con lo cual se inició una serie histórica de información que permite diseñar, monitorear y evaluar las políticas públicas en este tema. </t>
    </r>
  </si>
  <si>
    <t>Tamaulipas</t>
  </si>
  <si>
    <t>Sabinas</t>
  </si>
  <si>
    <t>Chiapilla</t>
  </si>
  <si>
    <t>Salvatierra</t>
  </si>
  <si>
    <t>Chilapa de Álvarez</t>
  </si>
  <si>
    <t>Huejutla de Reyes</t>
  </si>
  <si>
    <t>Chiautla</t>
  </si>
  <si>
    <t>Churintzio</t>
  </si>
  <si>
    <t>Xochitepec</t>
  </si>
  <si>
    <t>Higueras</t>
  </si>
  <si>
    <t>Heroica Ciudad de Ejutla de Crespo</t>
  </si>
  <si>
    <t>Camocuautla</t>
  </si>
  <si>
    <t>Granados</t>
  </si>
  <si>
    <t>Nuevo Morelos</t>
  </si>
  <si>
    <t>Teolocholco</t>
  </si>
  <si>
    <t>Boca del Río</t>
  </si>
  <si>
    <t>Dzilam de Bravo</t>
  </si>
  <si>
    <t>Mezquital del Oro</t>
  </si>
  <si>
    <t>Tlaxcala</t>
  </si>
  <si>
    <t>Sacramento</t>
  </si>
  <si>
    <t>Chicoasén</t>
  </si>
  <si>
    <t>Guadalupe y Calvo</t>
  </si>
  <si>
    <t>San Luis del Cordero</t>
  </si>
  <si>
    <t>San Diego de la Unión</t>
  </si>
  <si>
    <t>Chilpancingo de los Bravo</t>
  </si>
  <si>
    <t>Huichapan</t>
  </si>
  <si>
    <t>Cuquío</t>
  </si>
  <si>
    <t>Chicoloapan</t>
  </si>
  <si>
    <t>Churumuco</t>
  </si>
  <si>
    <t>Yautepec</t>
  </si>
  <si>
    <t>Hualahuises</t>
  </si>
  <si>
    <t>Eloxochitlán de Flores Magón</t>
  </si>
  <si>
    <t>Caxhuacan</t>
  </si>
  <si>
    <t>San Martín Chalchicuautla</t>
  </si>
  <si>
    <t>Guaymas</t>
  </si>
  <si>
    <t>Tepeyanco</t>
  </si>
  <si>
    <t>Calcahualco</t>
  </si>
  <si>
    <t>Dzilam González</t>
  </si>
  <si>
    <t>Miguel Auza</t>
  </si>
  <si>
    <r>
      <t xml:space="preserve">Posteriormente, en 2011 se realizó el segundo levantamiento de este programa estadístico bajo la denominación de </t>
    </r>
    <r>
      <rPr>
        <i/>
        <sz val="9"/>
        <rFont val="Arial"/>
        <family val="2"/>
      </rPr>
      <t>Censo Nacional de Gobierno 2011. Poder Ejecutivo Estatal (CNG 2011 PEE)</t>
    </r>
    <r>
      <rPr>
        <sz val="9"/>
        <rFont val="Arial"/>
        <family val="2"/>
      </rPr>
      <t xml:space="preserve">. El 20 de diciembre de ese mismo año se publicó en el Diario Oficial de la Federación el acuerdo por el cual la Junta de Gobierno del INEGI determinó como Información de Interés Nacional (IIN) los datos generados por este programa, otorgándoles el carácter de oficiales y de uso obligatorio para la Federación, las entidades federativas, el Distrito Federal (ahora Ciudad de México) y los municipios, siendo a partir de ese momento que se institucionalizó como </t>
    </r>
    <r>
      <rPr>
        <i/>
        <sz val="9"/>
        <rFont val="Arial"/>
        <family val="2"/>
      </rPr>
      <t xml:space="preserve">Censo Nacional de Gobierno, Seguridad Pública y Sistema Penitenciario Estatales, </t>
    </r>
    <r>
      <rPr>
        <sz val="9"/>
        <rFont val="Arial"/>
        <family val="2"/>
      </rPr>
      <t>por lo que dicha edición (con información 2010) se publicó con la denominación de IIN.</t>
    </r>
  </si>
  <si>
    <t>Veracruz de Ignacio de la Llave</t>
  </si>
  <si>
    <t>Saltillo</t>
  </si>
  <si>
    <t>Chicomuselo</t>
  </si>
  <si>
    <t>Guazapares</t>
  </si>
  <si>
    <t>San Pedro del Gallo</t>
  </si>
  <si>
    <t>Florencio Villarreal</t>
  </si>
  <si>
    <t>Ixmiquilpan</t>
  </si>
  <si>
    <t>Chapala</t>
  </si>
  <si>
    <t>Chiconcuac</t>
  </si>
  <si>
    <t>Ecuandureo</t>
  </si>
  <si>
    <t>Yecapixtla</t>
  </si>
  <si>
    <t>Iturbide</t>
  </si>
  <si>
    <t>El Espinal</t>
  </si>
  <si>
    <t>Coatepec</t>
  </si>
  <si>
    <t>San Nicolás Tolentino</t>
  </si>
  <si>
    <t>Hermosillo</t>
  </si>
  <si>
    <t>Padilla</t>
  </si>
  <si>
    <t>Terrenate</t>
  </si>
  <si>
    <t>Camerino Z. Mendoza</t>
  </si>
  <si>
    <t>Dzitás</t>
  </si>
  <si>
    <t>Momax</t>
  </si>
  <si>
    <t>Yucatán</t>
  </si>
  <si>
    <t>San Buenaventura</t>
  </si>
  <si>
    <t>Chilón</t>
  </si>
  <si>
    <t>Santa Clara</t>
  </si>
  <si>
    <t>San Francisco del Rincón</t>
  </si>
  <si>
    <t>General Canuto A. Neri</t>
  </si>
  <si>
    <t>Jacala de Ledezma</t>
  </si>
  <si>
    <t>Chimaltitán</t>
  </si>
  <si>
    <t>Chimalhuacán</t>
  </si>
  <si>
    <t>Epitacio Huerta</t>
  </si>
  <si>
    <t>Zacatepec</t>
  </si>
  <si>
    <t>Tamazulápam del Espíritu Santo</t>
  </si>
  <si>
    <t>Coatzingo</t>
  </si>
  <si>
    <t>Santa Catarina</t>
  </si>
  <si>
    <t>Huachinera</t>
  </si>
  <si>
    <t>Palmillas</t>
  </si>
  <si>
    <t>Tetla de la Solidaridad</t>
  </si>
  <si>
    <t>Carrillo Puerto</t>
  </si>
  <si>
    <t>Dzoncauich</t>
  </si>
  <si>
    <t>Monte Escobedo</t>
  </si>
  <si>
    <t>Desde entonces, se continuaron anualmente las labores de levantamiento del CNGSPSPE hasta su última edición en 2020, año a partir del cual se separa este programa estadístico en tres Censos Nacionales de Gobierno; cada uno orientado a las materias específicas de gobierno, seguridad pública y sistema penitenciario:</t>
  </si>
  <si>
    <t>Zacatecas</t>
  </si>
  <si>
    <t>San Juan de Sabinas</t>
  </si>
  <si>
    <t>Escuintla</t>
  </si>
  <si>
    <t>Hidalgo del Parral</t>
  </si>
  <si>
    <t>Santiago Papasquiaro</t>
  </si>
  <si>
    <t>San José Iturbide</t>
  </si>
  <si>
    <t>General Heliodoro Castillo</t>
  </si>
  <si>
    <t>Jaltocán</t>
  </si>
  <si>
    <t>Chiquilistlán</t>
  </si>
  <si>
    <t>Donato Guerra</t>
  </si>
  <si>
    <t>Erongarícuaro</t>
  </si>
  <si>
    <t>Zacualpan de Amilpas</t>
  </si>
  <si>
    <t>Lampazos de Naranjo</t>
  </si>
  <si>
    <t>Fresnillo de Trujano</t>
  </si>
  <si>
    <t>Cohetzala</t>
  </si>
  <si>
    <t>Santa María del Río</t>
  </si>
  <si>
    <t>Huásabas</t>
  </si>
  <si>
    <t>Reynosa</t>
  </si>
  <si>
    <t>Tetlatlahuca</t>
  </si>
  <si>
    <t>Catemaco</t>
  </si>
  <si>
    <t>Espita</t>
  </si>
  <si>
    <t>San Pedro</t>
  </si>
  <si>
    <t>Francisco León</t>
  </si>
  <si>
    <t>Huejotitán</t>
  </si>
  <si>
    <t>Súchil</t>
  </si>
  <si>
    <t>San Luis de la Paz</t>
  </si>
  <si>
    <t>Huamuxtitlán</t>
  </si>
  <si>
    <t>Juárez Hidalgo</t>
  </si>
  <si>
    <t>Degollado</t>
  </si>
  <si>
    <t>Ecatepec de Morelos</t>
  </si>
  <si>
    <t>Gabriel Zamora</t>
  </si>
  <si>
    <t>Temoac</t>
  </si>
  <si>
    <t>Linares</t>
  </si>
  <si>
    <t>Guadalupe Etla</t>
  </si>
  <si>
    <t>Cohuecan</t>
  </si>
  <si>
    <t>Santo Domingo</t>
  </si>
  <si>
    <t>Huatabampo</t>
  </si>
  <si>
    <t>Río Bravo</t>
  </si>
  <si>
    <t>Cazones de Herrera</t>
  </si>
  <si>
    <t>Halachó</t>
  </si>
  <si>
    <t>Moyahua de Estrada</t>
  </si>
  <si>
    <t>Censo Nacional de Gobiernos Estatales;
Censo Nacional de Seguridad Pública Estatal; y
Censo Nacional de Sistemas Penitenciarios Estatales.</t>
  </si>
  <si>
    <t>Sierra Mojada</t>
  </si>
  <si>
    <t>Frontera Comalapa</t>
  </si>
  <si>
    <t>Ignacio Zaragoza</t>
  </si>
  <si>
    <t>Tamazula</t>
  </si>
  <si>
    <t>Huitzuco de los Figueroa</t>
  </si>
  <si>
    <t>Lolotla</t>
  </si>
  <si>
    <t>Ejutla</t>
  </si>
  <si>
    <t>Ecatzingo</t>
  </si>
  <si>
    <t>Coatetelco</t>
  </si>
  <si>
    <t>Marín</t>
  </si>
  <si>
    <t>Guadalupe de Ramírez</t>
  </si>
  <si>
    <t>Coronango</t>
  </si>
  <si>
    <t>San Vicente Tancuayalab</t>
  </si>
  <si>
    <t>Huépac</t>
  </si>
  <si>
    <t>San Carlos</t>
  </si>
  <si>
    <t>Tlaxco</t>
  </si>
  <si>
    <t>Cerro Azul</t>
  </si>
  <si>
    <t>Hocabá</t>
  </si>
  <si>
    <t>Nochistlán de Mejía</t>
  </si>
  <si>
    <t>Torreón</t>
  </si>
  <si>
    <t>Frontera Hidalgo</t>
  </si>
  <si>
    <t>Janos</t>
  </si>
  <si>
    <t>Tepehuanes</t>
  </si>
  <si>
    <t>Santa Cruz de Juventino Rosas</t>
  </si>
  <si>
    <t>Iguala de la Independencia</t>
  </si>
  <si>
    <t>Metepec</t>
  </si>
  <si>
    <t>Encarnación de Díaz</t>
  </si>
  <si>
    <t>Huehuetoca</t>
  </si>
  <si>
    <t>La Huacana</t>
  </si>
  <si>
    <t>Xoxocotla</t>
  </si>
  <si>
    <t>Guelatao de Juárez</t>
  </si>
  <si>
    <t>Soledad de Graciano Sánchez</t>
  </si>
  <si>
    <t>Imuris</t>
  </si>
  <si>
    <t>San Fernando</t>
  </si>
  <si>
    <t>Tocatlán</t>
  </si>
  <si>
    <t>Citlaltépetl</t>
  </si>
  <si>
    <t>Hoctún</t>
  </si>
  <si>
    <t>Noria de Ángeles</t>
  </si>
  <si>
    <t>Lo anterior, como resultado de las reformas constitucionales realizadas en los últimos años, entre las que destacan aquellas en materia de seguridad pública y combate a la corrupción. En consecuencia, el Estado mexicano ha transitado por un periodo de evolución, crecimiento y diversificación institucional, multiplicando con ello sus obligaciones, responsabilidades y facultades. Desde el punto de vista estadístico, los nuevos arreglos institucionales y compromisos establecidos por ley generaron nuevas necesidades de información, lo que conllevó a realizar ajustes en materias y conceptos previamente establecidos.</t>
  </si>
  <si>
    <t>Viesca</t>
  </si>
  <si>
    <t>La Grandeza</t>
  </si>
  <si>
    <t>Tlahualilo</t>
  </si>
  <si>
    <t>Santiago Maravatío</t>
  </si>
  <si>
    <t>Igualapa</t>
  </si>
  <si>
    <t>San Agustín Metzquititlán</t>
  </si>
  <si>
    <t>Etzatlán</t>
  </si>
  <si>
    <t>Hueypoxtla</t>
  </si>
  <si>
    <t>Huandacareo</t>
  </si>
  <si>
    <t>Hueyapan</t>
  </si>
  <si>
    <t>Mier y Noriega</t>
  </si>
  <si>
    <t>Guevea de Humboldt</t>
  </si>
  <si>
    <t>Coyomeapan</t>
  </si>
  <si>
    <t>Tamasopo</t>
  </si>
  <si>
    <t>Magdalena</t>
  </si>
  <si>
    <t>San Nicolás</t>
  </si>
  <si>
    <t>Totolac</t>
  </si>
  <si>
    <t>Coacoatzintla</t>
  </si>
  <si>
    <t>Homún</t>
  </si>
  <si>
    <t>Ojocaliente</t>
  </si>
  <si>
    <t>Villa Unión</t>
  </si>
  <si>
    <t>Huehuetán</t>
  </si>
  <si>
    <t>Topia</t>
  </si>
  <si>
    <t>Silao de la Victoria</t>
  </si>
  <si>
    <t>Ixcateopan de Cuauhtémoc</t>
  </si>
  <si>
    <t>Metztitlán</t>
  </si>
  <si>
    <t>El Grullo</t>
  </si>
  <si>
    <t>Huixquilucan</t>
  </si>
  <si>
    <t>Huaniqueo</t>
  </si>
  <si>
    <t>Mina</t>
  </si>
  <si>
    <t>Mesones Hidalgo</t>
  </si>
  <si>
    <t>Tamazunchale</t>
  </si>
  <si>
    <t>Mazatán</t>
  </si>
  <si>
    <t>Soto la Marina</t>
  </si>
  <si>
    <t>Ziltlaltépec de Trinidad Sánchez Santos</t>
  </si>
  <si>
    <t>Coahuitlán</t>
  </si>
  <si>
    <t>Huhí</t>
  </si>
  <si>
    <t>Pánuco</t>
  </si>
  <si>
    <t>Este proceso de segmentación implicó revocar la determinación de Información de Interés Nacional al CNGSPSPE, mediante el acuerdo de la Junta de Gobierno del INEGI publicado el 29 de enero de 2021 en el Diario Oficial de la Federación. Su finalidad fue ampliar el alcance temático y analítico de cada rubro, así como adecuar conceptual y metodológicamente sus contenidos a las necesidades de información vigentes en las reformas constitucionales y en la transformación institucional del país.</t>
  </si>
  <si>
    <t>Zaragoza</t>
  </si>
  <si>
    <t>Huixtán</t>
  </si>
  <si>
    <t>Julimes</t>
  </si>
  <si>
    <t>Vicente Guerrero</t>
  </si>
  <si>
    <t>Tarandacuao</t>
  </si>
  <si>
    <t>Zihuatanejo de Azueta</t>
  </si>
  <si>
    <t>Mineral del Chico</t>
  </si>
  <si>
    <t>Guachinango</t>
  </si>
  <si>
    <t>Isidro Fabela</t>
  </si>
  <si>
    <t>Huetamo</t>
  </si>
  <si>
    <t>Montemorelos</t>
  </si>
  <si>
    <t>Villa Hidalgo</t>
  </si>
  <si>
    <t>Cuapiaxtla de Madero</t>
  </si>
  <si>
    <t>Tampacán</t>
  </si>
  <si>
    <t>Tampico</t>
  </si>
  <si>
    <t>Tzompantepec</t>
  </si>
  <si>
    <t>Hunucmá</t>
  </si>
  <si>
    <t>Pinos</t>
  </si>
  <si>
    <t>Huitiupán</t>
  </si>
  <si>
    <t>López</t>
  </si>
  <si>
    <t>Nuevo Ideal</t>
  </si>
  <si>
    <t>Tarimoro</t>
  </si>
  <si>
    <t>Juan R. Escudero</t>
  </si>
  <si>
    <t>Mineral del Monte</t>
  </si>
  <si>
    <t>Guadalajara</t>
  </si>
  <si>
    <t>Ixtapaluca</t>
  </si>
  <si>
    <t>Huiramba</t>
  </si>
  <si>
    <t>Monterrey</t>
  </si>
  <si>
    <t>Heroica Ciudad de Huajuapan de León</t>
  </si>
  <si>
    <t>Cuautempan</t>
  </si>
  <si>
    <t>Tampamolón Corona</t>
  </si>
  <si>
    <t>Naco</t>
  </si>
  <si>
    <t>Tula</t>
  </si>
  <si>
    <t>Xaloztoc</t>
  </si>
  <si>
    <t>Coatzacoalcos</t>
  </si>
  <si>
    <t>Ixil</t>
  </si>
  <si>
    <t>Río Grande</t>
  </si>
  <si>
    <r>
      <t xml:space="preserve">Derivado de dicha división, a la fecha se encuentra publicado el </t>
    </r>
    <r>
      <rPr>
        <i/>
        <sz val="9"/>
        <rFont val="Arial"/>
        <family val="2"/>
      </rPr>
      <t>Censo Nacional de Sistemas Penitenciarios Estatales (CNSIPEE) 2023</t>
    </r>
    <r>
      <rPr>
        <sz val="9"/>
        <rFont val="Arial"/>
        <family val="2"/>
      </rPr>
      <t>, cuyos resultados pueden ser consultados en la página de internet del Instituto: https://www.inegi.org.mx/programas/cnsipee/2023/</t>
    </r>
  </si>
  <si>
    <t>Huixtla</t>
  </si>
  <si>
    <t>Madera</t>
  </si>
  <si>
    <t>Tierra Blanca</t>
  </si>
  <si>
    <t>Leonardo Bravo</t>
  </si>
  <si>
    <t>La Misión</t>
  </si>
  <si>
    <t>Hostotipaquillo</t>
  </si>
  <si>
    <t>Ixtapan de la Sal</t>
  </si>
  <si>
    <t>Indaparapeo</t>
  </si>
  <si>
    <t>Parás</t>
  </si>
  <si>
    <t>Huautepec</t>
  </si>
  <si>
    <t>Cuautinchán</t>
  </si>
  <si>
    <t>Tamuín</t>
  </si>
  <si>
    <t>Nácori Chico</t>
  </si>
  <si>
    <t>Valle Hermoso</t>
  </si>
  <si>
    <t>Xaltocan</t>
  </si>
  <si>
    <t>Coatzintla</t>
  </si>
  <si>
    <t>Izamal</t>
  </si>
  <si>
    <t>Sain Alto</t>
  </si>
  <si>
    <t>La Independencia</t>
  </si>
  <si>
    <t>Maguarichi</t>
  </si>
  <si>
    <t>Uriangato</t>
  </si>
  <si>
    <t>Malinaltepec</t>
  </si>
  <si>
    <t>Mixquiahuala de Juárez</t>
  </si>
  <si>
    <t>Huejúcar</t>
  </si>
  <si>
    <t>Ixtapan del Oro</t>
  </si>
  <si>
    <t>Irimbo</t>
  </si>
  <si>
    <t>Pesquería</t>
  </si>
  <si>
    <t>Huautla de Jiménez</t>
  </si>
  <si>
    <t>Cuautlancingo</t>
  </si>
  <si>
    <t>Tanlajás</t>
  </si>
  <si>
    <t>Nacozari de García</t>
  </si>
  <si>
    <t>Victoria</t>
  </si>
  <si>
    <t>Papalotla de Xicohténcatl</t>
  </si>
  <si>
    <t>Coetzala</t>
  </si>
  <si>
    <t>Kanasín</t>
  </si>
  <si>
    <t>El Salvador</t>
  </si>
  <si>
    <r>
      <t xml:space="preserve">De esta forma, se presenta el </t>
    </r>
    <r>
      <rPr>
        <i/>
        <sz val="9"/>
        <rFont val="Arial"/>
        <family val="2"/>
      </rPr>
      <t>Censo Nacional de Sistemas Penitenciarios Estatales (CNSIPEE) 2024</t>
    </r>
    <r>
      <rPr>
        <sz val="9"/>
        <rFont val="Arial"/>
        <family val="2"/>
      </rPr>
      <t xml:space="preserve">, como el decimoquinto programa estadístico desarrollado por el INEGI en materia de sistema penitenciario en el ámbito estatal del Estado mexicano. Si bien el proceso de maduración de la información captada a través de este ha obligado a realizar ajustes en algunas variables, se ha preservado en todo momento la consistencia conceptual respecto de sus ediciones anteriores, continuando con la serie estadística y enriqueciendo sus contenidos por los temas que actualmente se desarrollan. </t>
    </r>
  </si>
  <si>
    <t>Ixhuatán</t>
  </si>
  <si>
    <t>Manuel Benavides</t>
  </si>
  <si>
    <t>Valle de Santiago</t>
  </si>
  <si>
    <t>Mártir de Cuilapan</t>
  </si>
  <si>
    <t>Molango de Escamilla</t>
  </si>
  <si>
    <t>Huejuquilla el Alto</t>
  </si>
  <si>
    <t>Ixtlahuaca</t>
  </si>
  <si>
    <t>Ixtlán</t>
  </si>
  <si>
    <t>Los Ramones</t>
  </si>
  <si>
    <t>Ixtlán de Juárez</t>
  </si>
  <si>
    <t>Cuayuca de Andrade</t>
  </si>
  <si>
    <t>Tanquián de Escobedo</t>
  </si>
  <si>
    <t>Navojoa</t>
  </si>
  <si>
    <t>Villagrán</t>
  </si>
  <si>
    <t>Xicohtzinco</t>
  </si>
  <si>
    <t>Colipa</t>
  </si>
  <si>
    <t>Kantunil</t>
  </si>
  <si>
    <t>Sombrerete</t>
  </si>
  <si>
    <t>Ixtacomitán</t>
  </si>
  <si>
    <t>Matachí</t>
  </si>
  <si>
    <t>Metlatónoc</t>
  </si>
  <si>
    <t>Nicolás Flores</t>
  </si>
  <si>
    <t>La Huerta</t>
  </si>
  <si>
    <t>Xalatlaco</t>
  </si>
  <si>
    <t>Jacona</t>
  </si>
  <si>
    <t>Rayones</t>
  </si>
  <si>
    <t>Juchitán de Zaragoza</t>
  </si>
  <si>
    <t>Cuetzalan del Progreso</t>
  </si>
  <si>
    <t>Tierra Nueva</t>
  </si>
  <si>
    <t>Nogales</t>
  </si>
  <si>
    <t>Xicoténcatl</t>
  </si>
  <si>
    <t>Yauhquemehcan</t>
  </si>
  <si>
    <t>Comapa</t>
  </si>
  <si>
    <t>Kaua</t>
  </si>
  <si>
    <t>Susticacán</t>
  </si>
  <si>
    <t>El CNSIPEE 2024 se conforma por los siguientes módulos:</t>
  </si>
  <si>
    <t>Ixtapa</t>
  </si>
  <si>
    <t>Mochitlán</t>
  </si>
  <si>
    <t>Nopala de Villagrán</t>
  </si>
  <si>
    <t>Ixtlahuacán de los Membrillos</t>
  </si>
  <si>
    <t>Jaltenco</t>
  </si>
  <si>
    <t>Sabinas Hidalgo</t>
  </si>
  <si>
    <t>Loma Bonita</t>
  </si>
  <si>
    <t>Cuyoaco</t>
  </si>
  <si>
    <t>Vanegas</t>
  </si>
  <si>
    <t>Ónavas</t>
  </si>
  <si>
    <t>Zacatelco</t>
  </si>
  <si>
    <t>Córdoba</t>
  </si>
  <si>
    <t>Kinchil</t>
  </si>
  <si>
    <t>Ixtapangajoya</t>
  </si>
  <si>
    <t>Meoqui</t>
  </si>
  <si>
    <t>Xichú</t>
  </si>
  <si>
    <t>Olinalá</t>
  </si>
  <si>
    <t>Omitlán de Juárez</t>
  </si>
  <si>
    <t>Ixtlahuacán del Río</t>
  </si>
  <si>
    <t>Jilotepec</t>
  </si>
  <si>
    <t>Jiquilpan</t>
  </si>
  <si>
    <t>Salinas Victoria</t>
  </si>
  <si>
    <t>Magdalena Apasco</t>
  </si>
  <si>
    <t>Chalchicomula de Sesma</t>
  </si>
  <si>
    <t>Venado</t>
  </si>
  <si>
    <t>Opodepe</t>
  </si>
  <si>
    <t>Cosamaloapan de Carpio</t>
  </si>
  <si>
    <t>Kopomá</t>
  </si>
  <si>
    <t>Tepechitlán</t>
  </si>
  <si>
    <r>
      <rPr>
        <b/>
        <sz val="9"/>
        <rFont val="Arial"/>
        <family val="2"/>
      </rPr>
      <t xml:space="preserve">Módulo 1. </t>
    </r>
    <r>
      <rPr>
        <sz val="9"/>
        <rFont val="Arial"/>
        <family val="2"/>
      </rPr>
      <t xml:space="preserve">Centros penitenciarios
</t>
    </r>
    <r>
      <rPr>
        <b/>
        <sz val="9"/>
        <rFont val="Arial"/>
        <family val="2"/>
      </rPr>
      <t>Módulo 2.</t>
    </r>
    <r>
      <rPr>
        <sz val="9"/>
        <rFont val="Arial"/>
        <family val="2"/>
      </rPr>
      <t xml:space="preserve"> Centros especializados</t>
    </r>
  </si>
  <si>
    <t>Jiquipilas</t>
  </si>
  <si>
    <t>Yuriria</t>
  </si>
  <si>
    <t>Ometepec</t>
  </si>
  <si>
    <t>San Felipe Orizatlán</t>
  </si>
  <si>
    <t>Jalostotitlán</t>
  </si>
  <si>
    <t>Jilotzingo</t>
  </si>
  <si>
    <t>San Nicolás de los Garza</t>
  </si>
  <si>
    <t>Magdalena Jaltepec</t>
  </si>
  <si>
    <t>Chapulco</t>
  </si>
  <si>
    <t>Villa de Arriaga</t>
  </si>
  <si>
    <t>Oquitoa</t>
  </si>
  <si>
    <t>Cosautlán de Carvajal</t>
  </si>
  <si>
    <t>Mama</t>
  </si>
  <si>
    <t>Tepetongo</t>
  </si>
  <si>
    <t>Jitotol</t>
  </si>
  <si>
    <t>Moris</t>
  </si>
  <si>
    <t>Pedro Ascencio Alquisiras</t>
  </si>
  <si>
    <t>Pacula</t>
  </si>
  <si>
    <t>Jamay</t>
  </si>
  <si>
    <t>Jiquipilco</t>
  </si>
  <si>
    <t>Jungapeo</t>
  </si>
  <si>
    <t>Santa Magdalena Jicotlán</t>
  </si>
  <si>
    <t>Villa de Guadalupe</t>
  </si>
  <si>
    <t>Pitiquito</t>
  </si>
  <si>
    <t>Coscomatepec</t>
  </si>
  <si>
    <t>Maní</t>
  </si>
  <si>
    <t>Teúl de González Ortega</t>
  </si>
  <si>
    <t>Cada uno de estos módulos está conformado, cuando menos, por los siguientes apartados:</t>
  </si>
  <si>
    <t>Namiquipa</t>
  </si>
  <si>
    <t>Petatlán</t>
  </si>
  <si>
    <t>Pachuca de Soto</t>
  </si>
  <si>
    <t>Jocotitlán</t>
  </si>
  <si>
    <t>Magdalena Mixtepec</t>
  </si>
  <si>
    <t>Chiautzingo</t>
  </si>
  <si>
    <t>Villa de la Paz</t>
  </si>
  <si>
    <t>Puerto Peñasco</t>
  </si>
  <si>
    <t>La Magdalena Tlaltelulco</t>
  </si>
  <si>
    <t>Cosoleacaque</t>
  </si>
  <si>
    <t>Maxcanú</t>
  </si>
  <si>
    <t>Tlaltenango de Sánchez Román</t>
  </si>
  <si>
    <t>Larráinzar</t>
  </si>
  <si>
    <t>Nonoava</t>
  </si>
  <si>
    <t>Pilcaya</t>
  </si>
  <si>
    <t>Pisaflores</t>
  </si>
  <si>
    <t>Jilotlán de los Dolores</t>
  </si>
  <si>
    <t>Joquicingo</t>
  </si>
  <si>
    <t>Madero</t>
  </si>
  <si>
    <t>Santiago</t>
  </si>
  <si>
    <t>Magdalena Ocotlán</t>
  </si>
  <si>
    <t>Chiconcuautla</t>
  </si>
  <si>
    <t>Villa de Ramos</t>
  </si>
  <si>
    <t>Quiriego</t>
  </si>
  <si>
    <t>San Damián Texóloc</t>
  </si>
  <si>
    <t>Cotaxtla</t>
  </si>
  <si>
    <t>Mayapán</t>
  </si>
  <si>
    <t>Valparaíso</t>
  </si>
  <si>
    <r>
      <rPr>
        <b/>
        <sz val="9"/>
        <rFont val="Arial"/>
        <family val="2"/>
      </rPr>
      <t>Presentación.</t>
    </r>
    <r>
      <rPr>
        <sz val="9"/>
        <rFont val="Arial"/>
        <family val="2"/>
      </rPr>
      <t xml:space="preserve"> Contiene la introducción general y antecedentes del censo, así como las instrucciones generales para la entrega formal del presente instrumento de captación.</t>
    </r>
  </si>
  <si>
    <t>La Libertad</t>
  </si>
  <si>
    <t>Nuevo Casas Grandes</t>
  </si>
  <si>
    <t>Pungarabato</t>
  </si>
  <si>
    <t>Progreso de Obregón</t>
  </si>
  <si>
    <t>Jocotepec</t>
  </si>
  <si>
    <t>Juchitepec</t>
  </si>
  <si>
    <t>Maravatío</t>
  </si>
  <si>
    <t>Vallecillo</t>
  </si>
  <si>
    <t>Magdalena Peñasco</t>
  </si>
  <si>
    <t>Chichiquila</t>
  </si>
  <si>
    <t>Villa de Reyes</t>
  </si>
  <si>
    <t>San Francisco Tetlanohcan</t>
  </si>
  <si>
    <t>Coxquihui</t>
  </si>
  <si>
    <t>Mérida</t>
  </si>
  <si>
    <t>Vetagrande</t>
  </si>
  <si>
    <t>Mapastepec</t>
  </si>
  <si>
    <t>Quechultenango</t>
  </si>
  <si>
    <t>Mineral de la Reforma</t>
  </si>
  <si>
    <t>Juanacatlán</t>
  </si>
  <si>
    <t>Lerma</t>
  </si>
  <si>
    <t>Marcos Castellanos</t>
  </si>
  <si>
    <t>Villaldama</t>
  </si>
  <si>
    <t>Magdalena Teitipac</t>
  </si>
  <si>
    <t>Chietla</t>
  </si>
  <si>
    <t>San Jerónimo Zacualpan</t>
  </si>
  <si>
    <t>Coyutla</t>
  </si>
  <si>
    <t>Mocochá</t>
  </si>
  <si>
    <t>Villa de Cos</t>
  </si>
  <si>
    <r>
      <rPr>
        <b/>
        <sz val="9"/>
        <rFont val="Arial"/>
        <family val="2"/>
      </rPr>
      <t xml:space="preserve">Informantes. </t>
    </r>
    <r>
      <rPr>
        <sz val="9"/>
        <rFont val="Arial"/>
        <family val="2"/>
      </rPr>
      <t>En este apartado se recaba información sobre las personas servidoras públicas designadas por las Unidades del Estado como responsables de recopilar, integrar y entregar la información requerida en el cuestionario.</t>
    </r>
  </si>
  <si>
    <t>Las Margaritas</t>
  </si>
  <si>
    <t>Ojinaga</t>
  </si>
  <si>
    <t>San Luis Acatlán</t>
  </si>
  <si>
    <t>San Agustín Tlaxiaca</t>
  </si>
  <si>
    <t>Juchitlán</t>
  </si>
  <si>
    <t>Malinalco</t>
  </si>
  <si>
    <t>Magdalena Tequisistlán</t>
  </si>
  <si>
    <t>Chigmecatitlán</t>
  </si>
  <si>
    <t>Villa Juárez</t>
  </si>
  <si>
    <t>Sahuaripa</t>
  </si>
  <si>
    <t>San José Teacalco</t>
  </si>
  <si>
    <t>Cuichapa</t>
  </si>
  <si>
    <t>Motul</t>
  </si>
  <si>
    <t>Villa García</t>
  </si>
  <si>
    <t>Mazapa de Madero</t>
  </si>
  <si>
    <t>Praxedis G. Guerrero</t>
  </si>
  <si>
    <t>San Marcos</t>
  </si>
  <si>
    <t>San Bartolo Tutotepec</t>
  </si>
  <si>
    <t>Lagos de Moreno</t>
  </si>
  <si>
    <t>Morelia</t>
  </si>
  <si>
    <t>Magdalena Tlacotepec</t>
  </si>
  <si>
    <t>Chignahuapan</t>
  </si>
  <si>
    <t>Axtla de Terrazas</t>
  </si>
  <si>
    <t>San Felipe de Jesús</t>
  </si>
  <si>
    <t>San Juan Huactzinco</t>
  </si>
  <si>
    <t>Cuitláhuac</t>
  </si>
  <si>
    <t>Muna</t>
  </si>
  <si>
    <t>Villa González Ortega</t>
  </si>
  <si>
    <r>
      <rPr>
        <b/>
        <sz val="9"/>
        <rFont val="Arial"/>
        <family val="2"/>
      </rPr>
      <t>Participantes.</t>
    </r>
    <r>
      <rPr>
        <sz val="9"/>
        <rFont val="Arial"/>
        <family val="2"/>
      </rPr>
      <t xml:space="preserve"> Presenta un espacio destinado a la identificación de las personas servidoras públicas que participaron en el llenado de cada módulo y/ o sección, según corresponda. </t>
    </r>
  </si>
  <si>
    <t>Riva Palacio</t>
  </si>
  <si>
    <t>San Miguel Totolapan</t>
  </si>
  <si>
    <t>San Salvador</t>
  </si>
  <si>
    <t>El Limón</t>
  </si>
  <si>
    <t>Magdalena Zahuatlán</t>
  </si>
  <si>
    <t>Chignautla</t>
  </si>
  <si>
    <t>Xilitla</t>
  </si>
  <si>
    <t>San Javier</t>
  </si>
  <si>
    <t>San Lorenzo Axocomanitla</t>
  </si>
  <si>
    <t>Chacaltianguis</t>
  </si>
  <si>
    <t>Muxupip</t>
  </si>
  <si>
    <t>Metapa</t>
  </si>
  <si>
    <t>Rosales</t>
  </si>
  <si>
    <t>Taxco de Alarcón</t>
  </si>
  <si>
    <t>Santiago de Anaya</t>
  </si>
  <si>
    <t>Mexicaltzingo</t>
  </si>
  <si>
    <t>Múgica</t>
  </si>
  <si>
    <t>Mariscala de Juárez</t>
  </si>
  <si>
    <t>Chila</t>
  </si>
  <si>
    <t>San Luis Río Colorado</t>
  </si>
  <si>
    <t>San Lucas Tecopilco</t>
  </si>
  <si>
    <t>Chalma</t>
  </si>
  <si>
    <t>Opichén</t>
  </si>
  <si>
    <t>Villanueva</t>
  </si>
  <si>
    <r>
      <rPr>
        <b/>
        <sz val="9"/>
        <rFont val="Arial"/>
        <family val="2"/>
      </rPr>
      <t>Cuestionario.</t>
    </r>
    <r>
      <rPr>
        <sz val="9"/>
        <rFont val="Arial"/>
        <family val="2"/>
      </rPr>
      <t xml:space="preserve"> Se integra por cada una de las preguntas destinadas a generar información estadística sobre los aspectos que conforman la estructura temática del presente programa. Con la finalidad de facilitar la ubicación de los temas contenidos, la versión electrónica del mismo se ha dividido en tantas pestañas como secciones son requeridas.</t>
    </r>
  </si>
  <si>
    <t>Mitontic</t>
  </si>
  <si>
    <t>Tecoanapa</t>
  </si>
  <si>
    <t>Santiago Tulantepec de Lugo Guerrero</t>
  </si>
  <si>
    <t>Nahuatzen</t>
  </si>
  <si>
    <t>Mártires de Tacubaya</t>
  </si>
  <si>
    <t>Chila de la Sal</t>
  </si>
  <si>
    <t>Villa de Arista</t>
  </si>
  <si>
    <t>San Miguel de Horcasitas</t>
  </si>
  <si>
    <t>Santa Ana Nopalucan</t>
  </si>
  <si>
    <t>Chiconamel</t>
  </si>
  <si>
    <t>Oxkutzcab</t>
  </si>
  <si>
    <t>Motozintla</t>
  </si>
  <si>
    <t>San Francisco de Borja</t>
  </si>
  <si>
    <t>Técpan de Galeana</t>
  </si>
  <si>
    <t>Singuilucan</t>
  </si>
  <si>
    <t>La Manzanilla de la Paz</t>
  </si>
  <si>
    <t>Naucalpan de Juárez</t>
  </si>
  <si>
    <t>Nocupétaro</t>
  </si>
  <si>
    <t>Matías Romero Avendaño</t>
  </si>
  <si>
    <t>Honey</t>
  </si>
  <si>
    <t>Matlapa</t>
  </si>
  <si>
    <t>San Pedro de la Cueva</t>
  </si>
  <si>
    <t>Santa Apolonia Teacalco</t>
  </si>
  <si>
    <t>Chiconquiaco</t>
  </si>
  <si>
    <t>Panabá</t>
  </si>
  <si>
    <t>Trancoso</t>
  </si>
  <si>
    <r>
      <rPr>
        <b/>
        <sz val="9"/>
        <rFont val="Arial"/>
        <family val="2"/>
      </rPr>
      <t>Glosario.</t>
    </r>
    <r>
      <rPr>
        <sz val="9"/>
        <rFont val="Arial"/>
        <family val="2"/>
      </rPr>
      <t xml:space="preserve"> Contiene un listado de conceptos y definiciones que se consideran relevantes para el llenado del cuestionario.</t>
    </r>
  </si>
  <si>
    <t>Nicolás Ruíz</t>
  </si>
  <si>
    <t>San Francisco de Conchos</t>
  </si>
  <si>
    <t>Teloloapan</t>
  </si>
  <si>
    <t>Tasquillo</t>
  </si>
  <si>
    <t>Mascota</t>
  </si>
  <si>
    <t>Nezahualcóyotl</t>
  </si>
  <si>
    <t>Nuevo Parangaricutiro</t>
  </si>
  <si>
    <t>Mazatlán Villa de Flores</t>
  </si>
  <si>
    <t>Chilchotla</t>
  </si>
  <si>
    <t>El Naranjo</t>
  </si>
  <si>
    <t>Santa Ana</t>
  </si>
  <si>
    <t>Santa Catarina Ayometla</t>
  </si>
  <si>
    <t>Chicontepec</t>
  </si>
  <si>
    <t>Peto</t>
  </si>
  <si>
    <t>Santa María de la Paz</t>
  </si>
  <si>
    <t>Ocosingo</t>
  </si>
  <si>
    <t>San Francisco del Oro</t>
  </si>
  <si>
    <t>Tepecoacuilco de Trujano</t>
  </si>
  <si>
    <t>Tecozautla</t>
  </si>
  <si>
    <t>Mazamitla</t>
  </si>
  <si>
    <t>Nextlalpan</t>
  </si>
  <si>
    <t>Nuevo Urecho</t>
  </si>
  <si>
    <t>Miahuatlán de Porfirio Díaz</t>
  </si>
  <si>
    <t>Chinantla</t>
  </si>
  <si>
    <t>Santa Cruz</t>
  </si>
  <si>
    <t>Santa Cruz Quilehtla</t>
  </si>
  <si>
    <t>Chinameca</t>
  </si>
  <si>
    <t>Asimismo, tomando en consideración la naturaleza de la información solicitada en cada módulo, alguno de estos puede presentar apartados adicionales a los anteriores, mismos que obedecen a características específicas del programa estadístico relacionado. Dichos apartados pueden ser: complementos, anexos y adiciones.</t>
  </si>
  <si>
    <t>Ocotepec</t>
  </si>
  <si>
    <t>Santa Bárbara</t>
  </si>
  <si>
    <t>Tetipac</t>
  </si>
  <si>
    <t>Tenango de Doria</t>
  </si>
  <si>
    <t>Mexticacán</t>
  </si>
  <si>
    <t>Nicolás Romero</t>
  </si>
  <si>
    <t>Numarán</t>
  </si>
  <si>
    <t>Mixistlán de la Reforma</t>
  </si>
  <si>
    <t>Domingo Arenas</t>
  </si>
  <si>
    <t>Sáric</t>
  </si>
  <si>
    <t>Santa Isabel Xiloxoxtla</t>
  </si>
  <si>
    <t>Chinampa de Gorostiza</t>
  </si>
  <si>
    <t>Ocozocoautla de Espinosa</t>
  </si>
  <si>
    <t>Satevó</t>
  </si>
  <si>
    <t>Tixtla de Guerrero</t>
  </si>
  <si>
    <t>Tepeapulco</t>
  </si>
  <si>
    <t>Mezquitic</t>
  </si>
  <si>
    <t>Nopaltepec</t>
  </si>
  <si>
    <t>Monjas</t>
  </si>
  <si>
    <t>Soyopa</t>
  </si>
  <si>
    <t>Las Choapas</t>
  </si>
  <si>
    <t>Río Lagartos</t>
  </si>
  <si>
    <r>
      <t xml:space="preserve">Particularmente, en el </t>
    </r>
    <r>
      <rPr>
        <b/>
        <sz val="9"/>
        <rFont val="Arial"/>
        <family val="2"/>
      </rPr>
      <t xml:space="preserve">módulo 2 </t>
    </r>
    <r>
      <rPr>
        <sz val="9"/>
        <rFont val="Arial"/>
        <family val="2"/>
      </rPr>
      <t>se solicita, entre otra, información sobre la infraestructura de los centros especializados de cada entidad federativa; la distribución de los recursos humanos, materiales y presupuestales con los que cuentan; la cantidad y características de las personas adolescentes ingresadas, egresadas, en tratamiento externo e internadas en los mismos; los incidentes ocurridos al interior, las actividades de reinserción social ofrecidas y la protección de los derechos humanos de las personas adolescentes internadas en dichos centros; así como de los servicios otorgados a las personas adolescentes egresadas y/ o en tratamiento externo.</t>
    </r>
  </si>
  <si>
    <t>Ostuacán</t>
  </si>
  <si>
    <t>Saucillo</t>
  </si>
  <si>
    <t>Tlacoachistlahuaca</t>
  </si>
  <si>
    <t>Tepehuacán de Guerrero</t>
  </si>
  <si>
    <t>Mixtlán</t>
  </si>
  <si>
    <t>Ocoyoacac</t>
  </si>
  <si>
    <t>Pajacuarán</t>
  </si>
  <si>
    <t>Natividad</t>
  </si>
  <si>
    <t>Epatlán</t>
  </si>
  <si>
    <t>Suaqui Grande</t>
  </si>
  <si>
    <t>Chocamán</t>
  </si>
  <si>
    <t>Sacalum</t>
  </si>
  <si>
    <t>Osumacinta</t>
  </si>
  <si>
    <t>Temósachic</t>
  </si>
  <si>
    <t>Tlacoapa</t>
  </si>
  <si>
    <t>Tepeji del Río de Ocampo</t>
  </si>
  <si>
    <t>Ocotlán</t>
  </si>
  <si>
    <t>Ocuilan</t>
  </si>
  <si>
    <t>Panindícuaro</t>
  </si>
  <si>
    <t>Nazareno Etla</t>
  </si>
  <si>
    <t>Esperanza</t>
  </si>
  <si>
    <t>Tepache</t>
  </si>
  <si>
    <t>Chontla</t>
  </si>
  <si>
    <t>Samahil</t>
  </si>
  <si>
    <r>
      <t>Para ello, este módulo contiene</t>
    </r>
    <r>
      <rPr>
        <b/>
        <sz val="9"/>
        <rFont val="Arial"/>
        <family val="2"/>
      </rPr>
      <t xml:space="preserve"> 264 preguntas</t>
    </r>
    <r>
      <rPr>
        <sz val="9"/>
        <rFont val="Arial"/>
        <family val="2"/>
      </rPr>
      <t xml:space="preserve"> agrupadas en las siguientes secciones:</t>
    </r>
  </si>
  <si>
    <t>Oxchuc</t>
  </si>
  <si>
    <t>El Tule</t>
  </si>
  <si>
    <t>Tlalchapa</t>
  </si>
  <si>
    <t>Tepetitlán</t>
  </si>
  <si>
    <t>Ojuelos de Jalisco</t>
  </si>
  <si>
    <t>Parácuaro</t>
  </si>
  <si>
    <t>Nejapa de Madero</t>
  </si>
  <si>
    <t>Francisco Z. Mena</t>
  </si>
  <si>
    <t>Trincheras</t>
  </si>
  <si>
    <t>Chumatlán</t>
  </si>
  <si>
    <t>Sanahcat</t>
  </si>
  <si>
    <t>Palenque</t>
  </si>
  <si>
    <t>Urique</t>
  </si>
  <si>
    <t>Tlalixtaquilla de Maldonado</t>
  </si>
  <si>
    <t>Tetepango</t>
  </si>
  <si>
    <t>Pihuamo</t>
  </si>
  <si>
    <t>Otumba</t>
  </si>
  <si>
    <t>Paracho</t>
  </si>
  <si>
    <t>Ixpantepec Nieves</t>
  </si>
  <si>
    <t>General Felipe Ángeles</t>
  </si>
  <si>
    <t>Tubutama</t>
  </si>
  <si>
    <t>Sección I. Infraestructura penitenciaria.
Sección II. Recursos humanos.
Sección III. Órganos y unidades especializadas.
Sección IV. Recursos presupuestales.
Sección V. Informes, fuentes de información y registros.
Sección VI. Asociación interinstitucional y marco regulatorio.
Sección VII. Ingresos.
Sección VIII. Personas adolescentes internadas.
Sección IX. Mujeres adolescentes internadas con necesidades específicas.
Sección X. Egresos.
Sección XI. Personas adolescentes en tratamiento externo y justicia terapéutica.
Sección XII. Traslados y extradiciones.
Sección XIII. Actividades orientadas a la reinserción social.
Sección XIV. Seguridad, protección y orden internos.
Sección XV. Protección de derechos humanos.
Sección XVI. Servicios para personas adolescentes egresadas y/ o en tratamiento externo.</t>
  </si>
  <si>
    <t>Pantelhó</t>
  </si>
  <si>
    <t>Uruachi</t>
  </si>
  <si>
    <t>Tlapa de Comonfort</t>
  </si>
  <si>
    <t>Villa de Tezontepec</t>
  </si>
  <si>
    <t>Poncitlán</t>
  </si>
  <si>
    <t>Otzoloapan</t>
  </si>
  <si>
    <t>Pátzcuaro</t>
  </si>
  <si>
    <t>Santiago Niltepec</t>
  </si>
  <si>
    <t>Ures</t>
  </si>
  <si>
    <t>Espinal</t>
  </si>
  <si>
    <t>Santa Elena</t>
  </si>
  <si>
    <t>Pantepec</t>
  </si>
  <si>
    <t>Valle de Zaragoza</t>
  </si>
  <si>
    <t>Tlapehuala</t>
  </si>
  <si>
    <t>Tezontepec de Aldama</t>
  </si>
  <si>
    <t>Puerto Vallarta</t>
  </si>
  <si>
    <t>Otzolotepec</t>
  </si>
  <si>
    <t>Penjamillo</t>
  </si>
  <si>
    <t>Oaxaca de Juárez</t>
  </si>
  <si>
    <t>Filomeno Mata</t>
  </si>
  <si>
    <t>Seyé</t>
  </si>
  <si>
    <r>
      <t xml:space="preserve">Considerando la relevancia y diversidad de la información solicitada a través del cuestionario, es necesario que las personas informantes sean funcionarios y funcionarias públicas que, por sus atribuciones y actividades cotidianas, cuenten con la información adecuada y necesaria. A efecto de facilitar la recolección de la información solicitada, pueden auxiliarse de las personas servidoras públicas que integran sus equipos de trabajo. Cuando esto suceda, se solicita que registren sus datos en el apartado </t>
    </r>
    <r>
      <rPr>
        <i/>
        <sz val="9"/>
        <rFont val="Arial"/>
        <family val="2"/>
      </rPr>
      <t>Participantes</t>
    </r>
    <r>
      <rPr>
        <sz val="9"/>
        <rFont val="Arial"/>
        <family val="2"/>
      </rPr>
      <t>.</t>
    </r>
  </si>
  <si>
    <t>Pichucalco</t>
  </si>
  <si>
    <t>La Unión de Isidoro Montes de Oca</t>
  </si>
  <si>
    <t>Tianguistengo</t>
  </si>
  <si>
    <t>Villa Purificación</t>
  </si>
  <si>
    <t>Ozumba</t>
  </si>
  <si>
    <t>Peribán</t>
  </si>
  <si>
    <t>Ocotlán de Morelos</t>
  </si>
  <si>
    <t>Hermenegildo Galeana</t>
  </si>
  <si>
    <t>Villa Pesqueira</t>
  </si>
  <si>
    <t>Fortín</t>
  </si>
  <si>
    <t>Sinanché</t>
  </si>
  <si>
    <t>Pijijiapan</t>
  </si>
  <si>
    <t>Xalpatláhuac</t>
  </si>
  <si>
    <t>Tizayuca</t>
  </si>
  <si>
    <t>Quitupan</t>
  </si>
  <si>
    <t>Papalotla</t>
  </si>
  <si>
    <t>La Piedad</t>
  </si>
  <si>
    <t>La Pe</t>
  </si>
  <si>
    <t>Huaquechula</t>
  </si>
  <si>
    <t>Yécora</t>
  </si>
  <si>
    <t>Gutiérrez Zamora</t>
  </si>
  <si>
    <t>Sotuta</t>
  </si>
  <si>
    <t>Las personas servidoras públicas que se establecen como informantes deberán formalizar la entrega de la información proporcionada, ello mediante el estampado de su firma en la sección "Informantes" de cada módulo o sección, así como del sello de la institución que representan. Cabe destacar que la información recabada mediante el censo, una vez recibida con la firma de la o las personas informantes y sello de la institución, será considerada como información oficial en términos de lo establecido en la Ley del SNIEG.</t>
  </si>
  <si>
    <t>El Porvenir</t>
  </si>
  <si>
    <t>Xochihuehuetlán</t>
  </si>
  <si>
    <t>Tlahuelilpan</t>
  </si>
  <si>
    <t>El Salto</t>
  </si>
  <si>
    <t>Purépero</t>
  </si>
  <si>
    <t>Pinotepa de Don Luis</t>
  </si>
  <si>
    <t>Huatlatlauca</t>
  </si>
  <si>
    <t>General Plutarco Elías Calles</t>
  </si>
  <si>
    <t>Hidalgotitlán</t>
  </si>
  <si>
    <t>Sucilá</t>
  </si>
  <si>
    <t>Villa Comaltitlán</t>
  </si>
  <si>
    <t>Xochistlahuaca</t>
  </si>
  <si>
    <t>Tlahuiltepa</t>
  </si>
  <si>
    <t>San Cristóbal de la Barranca</t>
  </si>
  <si>
    <t>Polotitlán</t>
  </si>
  <si>
    <t>Puruándiro</t>
  </si>
  <si>
    <t>Pluma Hidalgo</t>
  </si>
  <si>
    <t>Huauchinango</t>
  </si>
  <si>
    <t>Huatusco</t>
  </si>
  <si>
    <t>Sudzal</t>
  </si>
  <si>
    <t xml:space="preserve">El INEGI pondrá a disposición de la sociedad la información de este programa de forma gratuita a través del Servicio Público de Información, además de poder consultarse y descargarse de forma electrónica en el portal del Instituto: https://inegi.org.mx/programas/ </t>
  </si>
  <si>
    <t>Pueblo Nuevo Solistahuacán</t>
  </si>
  <si>
    <t>Zapotitlán Tablas</t>
  </si>
  <si>
    <t>Tlanalapa</t>
  </si>
  <si>
    <t>San Diego de Alejandría</t>
  </si>
  <si>
    <t>Queréndaro</t>
  </si>
  <si>
    <t>San José del Progreso</t>
  </si>
  <si>
    <t>San Ignacio Río Muerto</t>
  </si>
  <si>
    <t>Huayacocotla</t>
  </si>
  <si>
    <t>Suma</t>
  </si>
  <si>
    <t>Zirándaro</t>
  </si>
  <si>
    <t>Tlanchinol</t>
  </si>
  <si>
    <t>San Juan de los Lagos</t>
  </si>
  <si>
    <t>San Antonio la Isla</t>
  </si>
  <si>
    <t>Quiroga</t>
  </si>
  <si>
    <t>Putla Villa de Guerrero</t>
  </si>
  <si>
    <t>Huehuetlán el Chico</t>
  </si>
  <si>
    <t>Hueyapan de Ocampo</t>
  </si>
  <si>
    <t>Tahdziú</t>
  </si>
  <si>
    <t>Reforma</t>
  </si>
  <si>
    <t>Zitlala</t>
  </si>
  <si>
    <t>Tlaxcoapan</t>
  </si>
  <si>
    <t>San Julián</t>
  </si>
  <si>
    <t>San Felipe del Progreso</t>
  </si>
  <si>
    <t>Cojumatlán de Régules</t>
  </si>
  <si>
    <t>Santa Catarina Quioquitani</t>
  </si>
  <si>
    <t>Huejotzingo</t>
  </si>
  <si>
    <t>Huiloapan de Cuauhtémoc</t>
  </si>
  <si>
    <t>Tahmek</t>
  </si>
  <si>
    <t>Las Rosas</t>
  </si>
  <si>
    <t>Eduardo Neri</t>
  </si>
  <si>
    <t>Tolcayuca</t>
  </si>
  <si>
    <t>San Martín de las Pirámides</t>
  </si>
  <si>
    <t>Los Reyes</t>
  </si>
  <si>
    <t>Reforma de Pineda</t>
  </si>
  <si>
    <t>Ignacio de la Llave</t>
  </si>
  <si>
    <t>Teabo</t>
  </si>
  <si>
    <t>La entrega de información deberá hacerse a través de la Coordinación Estatal del INEGI en su entidad federativa, cuyo personal se acercará a los equipos de trabajo designados como responsables del llenado del cuestionario, con el objetivo de organizar los trabajos y recuperar la información requerida.</t>
  </si>
  <si>
    <t>Sabanilla</t>
  </si>
  <si>
    <t>Acatepec</t>
  </si>
  <si>
    <t>Tula de Allende</t>
  </si>
  <si>
    <t>San Martín de Bolaños</t>
  </si>
  <si>
    <t>San Mateo Atenco</t>
  </si>
  <si>
    <t>Sahuayo</t>
  </si>
  <si>
    <t>La Reforma</t>
  </si>
  <si>
    <t>Hueytamalco</t>
  </si>
  <si>
    <t>Ilamatlán</t>
  </si>
  <si>
    <t>Tecoh</t>
  </si>
  <si>
    <t>Salto de Agua</t>
  </si>
  <si>
    <t>Marquelia</t>
  </si>
  <si>
    <t>Tulancingo de Bravo</t>
  </si>
  <si>
    <t>San Martín Hidalgo</t>
  </si>
  <si>
    <t>San Simón de Guerrero</t>
  </si>
  <si>
    <t>San Lucas</t>
  </si>
  <si>
    <t>Reyes Etla</t>
  </si>
  <si>
    <t>Hueytlalpan</t>
  </si>
  <si>
    <t>Isla</t>
  </si>
  <si>
    <t>Tekal de Venegas</t>
  </si>
  <si>
    <t>La información que se entregue al INEGI tendrá un proceso de revisión y validación por parte de su personal en la Coordinación Estatal y oficinas centrales, por lo que tendrá caracter de preliminar y será susceptible de ajuste o aclaración hasta que el INEGI notifique la liberación como información definitiva. Posterior a que el personal de la Coordinación Estatal del INEGI concluya la revisión, el cuestionario podrá ser devuelto a la persona servidora pública responsable del llenado en la institución informante, a efecto de notificarle los resultados de la revisión y los ajustes o aclaraciones de información que, de ser procedentes, deberán atenderse. En caso de no presentar observaciones o hayan sido atendidas satisfactoriamente, será remitido a las oficinas centrales del Instituto para una verificación y revisión adicional.</t>
  </si>
  <si>
    <t>San Cristóbal de las Casas</t>
  </si>
  <si>
    <t>Cochoapa el Grande</t>
  </si>
  <si>
    <t>Xochiatipan</t>
  </si>
  <si>
    <t>San Miguel el Alto</t>
  </si>
  <si>
    <t>Santo Tomás</t>
  </si>
  <si>
    <t>Santa Ana Maya</t>
  </si>
  <si>
    <t>Rojas de Cuauhtémoc</t>
  </si>
  <si>
    <t>Huitzilan de Serdán</t>
  </si>
  <si>
    <t>Ixcatepec</t>
  </si>
  <si>
    <t>Tekantó</t>
  </si>
  <si>
    <t>José Joaquín de Herrera</t>
  </si>
  <si>
    <t>Xochicoatlán</t>
  </si>
  <si>
    <t>Soyaniquilpan de Juárez</t>
  </si>
  <si>
    <t>Salvador Escalante</t>
  </si>
  <si>
    <t>Salina Cruz</t>
  </si>
  <si>
    <t>Huitziltepec</t>
  </si>
  <si>
    <t>Ixhuacán de los Reyes</t>
  </si>
  <si>
    <t>Tekax</t>
  </si>
  <si>
    <r>
      <t xml:space="preserve">Si la verificación y revisión central arroja observaciones o solicitudes de aclaración de información, el cuestionario será devuelto a la Coordinación Estatal para la atención o justificación de estas situaciones con apoyo de la institución informante. En caso de que no existan observaciones, o estas se hayan atendido satisfactoriamente, se procederá con la </t>
    </r>
    <r>
      <rPr>
        <b/>
        <sz val="9"/>
        <rFont val="Arial"/>
        <family val="2"/>
      </rPr>
      <t>liberación del cuestionario como versión definitiva</t>
    </r>
    <r>
      <rPr>
        <sz val="9"/>
        <rFont val="Arial"/>
        <family val="2"/>
      </rPr>
      <t xml:space="preserve"> para su formalización mediante la firma y sello del instrumento físico por parte del informante básico e informantes complementarios. Cabe señalar que, como parte del proceso de generación de información, la información liberada se somete a la ejecución de otras fases previo a la publicación de resultados, tales como las de procesamiento y análisis de la información, existiendo la posibilidad de que surjan dudas o solicitudes de aclaración, para lo cual se solicita el apoyo de las fuentes informantes.</t>
    </r>
  </si>
  <si>
    <t>Siltepec</t>
  </si>
  <si>
    <t>Juchitán</t>
  </si>
  <si>
    <t>Yahualica</t>
  </si>
  <si>
    <t>San Sebastián del Oeste</t>
  </si>
  <si>
    <t>Sultepec</t>
  </si>
  <si>
    <t>Senguio</t>
  </si>
  <si>
    <t>San Agustín Amatengo</t>
  </si>
  <si>
    <t>Atlequizayan</t>
  </si>
  <si>
    <t>Ixhuatlán del Café</t>
  </si>
  <si>
    <t>Tekit</t>
  </si>
  <si>
    <t>Simojovel</t>
  </si>
  <si>
    <t>Iliatenco</t>
  </si>
  <si>
    <t>Zacualtipán de Ángeles</t>
  </si>
  <si>
    <t>Santa María de los Ángeles</t>
  </si>
  <si>
    <t>Tecámac</t>
  </si>
  <si>
    <t>Susupuato</t>
  </si>
  <si>
    <t>San Agustín Atenango</t>
  </si>
  <si>
    <t>Ixcamilpa de Guerrero</t>
  </si>
  <si>
    <t>Ixhuatlancillo</t>
  </si>
  <si>
    <t>Tekom</t>
  </si>
  <si>
    <t>Sitalá</t>
  </si>
  <si>
    <t>Las Vigas</t>
  </si>
  <si>
    <t>Zapotlán de Juárez</t>
  </si>
  <si>
    <t>Sayula</t>
  </si>
  <si>
    <t>Tejupilco</t>
  </si>
  <si>
    <t>Tacámbaro</t>
  </si>
  <si>
    <t>San Agustín Chayuco</t>
  </si>
  <si>
    <t>Ixcaquixtla</t>
  </si>
  <si>
    <t>Ixhuatlán del Sureste</t>
  </si>
  <si>
    <t>Telchac Pueblo</t>
  </si>
  <si>
    <t>Socoltenango</t>
  </si>
  <si>
    <t>Ñuu Savi</t>
  </si>
  <si>
    <t>Zempoala</t>
  </si>
  <si>
    <t>Tala</t>
  </si>
  <si>
    <t>Temamatla</t>
  </si>
  <si>
    <t>Tancítaro</t>
  </si>
  <si>
    <t>San Agustín de las Juntas</t>
  </si>
  <si>
    <t>Ixtacamaxtitlán</t>
  </si>
  <si>
    <t>Ixhuatlán de Madero</t>
  </si>
  <si>
    <t>Telchac Puerto</t>
  </si>
  <si>
    <t>De igual forma, en la siguiente tabla se detallan los periodos en los que se realizarán las actividades señaladas:</t>
  </si>
  <si>
    <t>Solosuchiapa</t>
  </si>
  <si>
    <t>Santa Cruz del Rincón</t>
  </si>
  <si>
    <t>Zimapán</t>
  </si>
  <si>
    <t>Talpa de Allende</t>
  </si>
  <si>
    <t>Temascalapa</t>
  </si>
  <si>
    <t>Tangamandapio</t>
  </si>
  <si>
    <t>San Agustín Etla</t>
  </si>
  <si>
    <t>Ixtepec</t>
  </si>
  <si>
    <t>Ixmatlahuacan</t>
  </si>
  <si>
    <t>Temax</t>
  </si>
  <si>
    <t>Soyaló</t>
  </si>
  <si>
    <t>Tamazula de Gordiano</t>
  </si>
  <si>
    <t>Temascalcingo</t>
  </si>
  <si>
    <t>Tangancícuaro</t>
  </si>
  <si>
    <t>San Agustín Loxicha</t>
  </si>
  <si>
    <t>Izúcar de Matamoros</t>
  </si>
  <si>
    <t>Ixtaczoquitlán</t>
  </si>
  <si>
    <t>Temozón</t>
  </si>
  <si>
    <t>Fecha</t>
  </si>
  <si>
    <t>Actividad</t>
  </si>
  <si>
    <t>Suchiapa</t>
  </si>
  <si>
    <t>Tapalpa</t>
  </si>
  <si>
    <t>Temascaltepec</t>
  </si>
  <si>
    <t>Tanhuato</t>
  </si>
  <si>
    <t>San Agustín Tlacotepec</t>
  </si>
  <si>
    <t>Jalpan</t>
  </si>
  <si>
    <t>Jalacingo</t>
  </si>
  <si>
    <t>Tepakán</t>
  </si>
  <si>
    <t>Integración de información por la institución. 
Entrega a la CE del INEGI para revisión.</t>
  </si>
  <si>
    <t>Suchiate</t>
  </si>
  <si>
    <t>Tecalitlán</t>
  </si>
  <si>
    <t>Temoaya</t>
  </si>
  <si>
    <t>Taretan</t>
  </si>
  <si>
    <t>San Agustín Yatareni</t>
  </si>
  <si>
    <t>Jolalpan</t>
  </si>
  <si>
    <t>Xalapa</t>
  </si>
  <si>
    <t>Tetiz</t>
  </si>
  <si>
    <t>Revisión de información preliminar por parte de la CE del INEGI y aclaración o ajustes por parte del informante. 
Envío de información preliminar a OC para verificación central.</t>
  </si>
  <si>
    <t>Sunuapa</t>
  </si>
  <si>
    <t>Tecolotlán</t>
  </si>
  <si>
    <t>Tarímbaro</t>
  </si>
  <si>
    <t>San Andrés Cabecera Nueva</t>
  </si>
  <si>
    <t>Jonotla</t>
  </si>
  <si>
    <t>Jalcomulco</t>
  </si>
  <si>
    <t>Teya</t>
  </si>
  <si>
    <t>Verificación de información preliminar por parte de OC y aclaración o ajustes de información.
Liberación de cuestionario como información definitiva.</t>
  </si>
  <si>
    <t>Tapachula</t>
  </si>
  <si>
    <t>Techaluta de Montenegro</t>
  </si>
  <si>
    <t>Tenango del Aire</t>
  </si>
  <si>
    <t>Tepalcatepec</t>
  </si>
  <si>
    <t>San Andrés Dinicuiti</t>
  </si>
  <si>
    <t>Jopala</t>
  </si>
  <si>
    <t>Jáltipan</t>
  </si>
  <si>
    <t>Ticul</t>
  </si>
  <si>
    <t>Recuperación de cuestionario físico con información completa y definitiva, con firma y sello.</t>
  </si>
  <si>
    <t>Tapalapa</t>
  </si>
  <si>
    <t>Tenamaxtlán</t>
  </si>
  <si>
    <t>Tenango del Valle</t>
  </si>
  <si>
    <t>Tingambato</t>
  </si>
  <si>
    <t>San Andrés Huaxpaltepec</t>
  </si>
  <si>
    <t>Juan C. Bonilla</t>
  </si>
  <si>
    <t>Jamapa</t>
  </si>
  <si>
    <t>Timucuy</t>
  </si>
  <si>
    <t>Tapilula</t>
  </si>
  <si>
    <t>Teocaltiche</t>
  </si>
  <si>
    <t>Teoloyucan</t>
  </si>
  <si>
    <t>Tingüindín</t>
  </si>
  <si>
    <t>San Andrés Huayápam</t>
  </si>
  <si>
    <t>Juan Galindo</t>
  </si>
  <si>
    <t>Jesús Carranza</t>
  </si>
  <si>
    <t>Tinum</t>
  </si>
  <si>
    <r>
      <t>Una vez que el INEGI libere el cuestionario como</t>
    </r>
    <r>
      <rPr>
        <b/>
        <sz val="9"/>
        <rFont val="Arial"/>
        <family val="2"/>
      </rPr>
      <t xml:space="preserve"> información definitiva</t>
    </r>
    <r>
      <rPr>
        <sz val="9"/>
        <rFont val="Arial"/>
        <family val="2"/>
      </rPr>
      <t xml:space="preserve"> y se tengan las </t>
    </r>
    <r>
      <rPr>
        <b/>
        <sz val="9"/>
        <rFont val="Arial"/>
        <family val="2"/>
      </rPr>
      <t>firmas y sellos</t>
    </r>
    <r>
      <rPr>
        <sz val="9"/>
        <rFont val="Arial"/>
        <family val="2"/>
      </rPr>
      <t xml:space="preserve"> correspondientes, deberá remitirse vía electrónica y de manera física, garantizando sean las mismas versiones en ambos casos y conforme a lo siguiente:</t>
    </r>
  </si>
  <si>
    <t>Tecpatán</t>
  </si>
  <si>
    <t>Teocuitatlán de Corona</t>
  </si>
  <si>
    <t>Teotihuacán</t>
  </si>
  <si>
    <t>Tiquicheo de Nicolás Romero</t>
  </si>
  <si>
    <t>San Andrés Ixtlahuaca</t>
  </si>
  <si>
    <t>Juan N. Méndez</t>
  </si>
  <si>
    <t>Xico</t>
  </si>
  <si>
    <t>Tixcacalcupul</t>
  </si>
  <si>
    <t>Tenejapa</t>
  </si>
  <si>
    <t>Tepatitlán de Morelos</t>
  </si>
  <si>
    <t>Tepetlaoxtoc</t>
  </si>
  <si>
    <t>Tlalpujahua</t>
  </si>
  <si>
    <t>San Andrés Lagunas</t>
  </si>
  <si>
    <t>Lafragua</t>
  </si>
  <si>
    <t>Tixkokob</t>
  </si>
  <si>
    <t>1) Entrega electrónica:</t>
  </si>
  <si>
    <t>Teopisca</t>
  </si>
  <si>
    <t>Tequila</t>
  </si>
  <si>
    <t>Tepetlixpa</t>
  </si>
  <si>
    <t>Tlazazalca</t>
  </si>
  <si>
    <t>San Andrés Nuxiño</t>
  </si>
  <si>
    <t>Libres</t>
  </si>
  <si>
    <t>Juan Rodríguez Clara</t>
  </si>
  <si>
    <t>Tixmehuac</t>
  </si>
  <si>
    <t>Tila</t>
  </si>
  <si>
    <t>Teuchitlán</t>
  </si>
  <si>
    <t>Tepotzotlán</t>
  </si>
  <si>
    <t>Tocumbo</t>
  </si>
  <si>
    <t>San Andrés Paxtlán</t>
  </si>
  <si>
    <t>La Magdalena Tlatlauquitepec</t>
  </si>
  <si>
    <t>Juchique de Ferrer</t>
  </si>
  <si>
    <t>Tixpéhual</t>
  </si>
  <si>
    <t>Tonalá</t>
  </si>
  <si>
    <t>Tizapán el Alto</t>
  </si>
  <si>
    <t>Tequixquiac</t>
  </si>
  <si>
    <t>Tumbiscatío</t>
  </si>
  <si>
    <t>San Andrés Sinaxtla</t>
  </si>
  <si>
    <t>Mazapiltepec de Juárez</t>
  </si>
  <si>
    <t>Landero y Coss</t>
  </si>
  <si>
    <t>Tizimín</t>
  </si>
  <si>
    <t>Totolapa</t>
  </si>
  <si>
    <t>Tlajomulco de Zúñiga</t>
  </si>
  <si>
    <t>Texcaltitlán</t>
  </si>
  <si>
    <t>Turicato</t>
  </si>
  <si>
    <t>San Andrés Solaga</t>
  </si>
  <si>
    <t>Mixtla</t>
  </si>
  <si>
    <t>Lerdo de Tejada</t>
  </si>
  <si>
    <t>Tunkás</t>
  </si>
  <si>
    <t>2) Entrega física:</t>
  </si>
  <si>
    <t>La Trinitaria</t>
  </si>
  <si>
    <t>San Pedro Tlaquepaque</t>
  </si>
  <si>
    <t>Texcalyacac</t>
  </si>
  <si>
    <t>San Andrés Teotilálpam</t>
  </si>
  <si>
    <t>Molcaxac</t>
  </si>
  <si>
    <t>Tzucacab</t>
  </si>
  <si>
    <t>Tumbalá</t>
  </si>
  <si>
    <t>Texcoco</t>
  </si>
  <si>
    <t>Tuzantla</t>
  </si>
  <si>
    <t>San Andrés Tepetlapa</t>
  </si>
  <si>
    <t>Cañada Morelos</t>
  </si>
  <si>
    <t>Maltrata</t>
  </si>
  <si>
    <t>Uayma</t>
  </si>
  <si>
    <t xml:space="preserve">La versión impresa, con las firmas y sellos correspondientes, deberá entregarse en la Coordinación Estatal del INEGI con los siguientes datos: 
</t>
  </si>
  <si>
    <t>Tuxtla Gutiérrez</t>
  </si>
  <si>
    <t>Tomatlán</t>
  </si>
  <si>
    <t>Tezoyuca</t>
  </si>
  <si>
    <t>Tzintzuntzan</t>
  </si>
  <si>
    <t>San Andrés Yaá</t>
  </si>
  <si>
    <t>Naupan</t>
  </si>
  <si>
    <t>Manlio Fabio Altamirano</t>
  </si>
  <si>
    <t>Ucú</t>
  </si>
  <si>
    <t>Tuxtla Chico</t>
  </si>
  <si>
    <t>Tianguistenco</t>
  </si>
  <si>
    <t>Tzitzio</t>
  </si>
  <si>
    <t>San Andrés Zabache</t>
  </si>
  <si>
    <t>Nauzontla</t>
  </si>
  <si>
    <t>Mariano Escobedo</t>
  </si>
  <si>
    <t>Umán</t>
  </si>
  <si>
    <t>Destinatario(a):</t>
  </si>
  <si>
    <t>Tuzantán</t>
  </si>
  <si>
    <t>Tonaya</t>
  </si>
  <si>
    <t>Timilpan</t>
  </si>
  <si>
    <t>Uruapan</t>
  </si>
  <si>
    <t>San Andrés Zautla</t>
  </si>
  <si>
    <t>Nealtican</t>
  </si>
  <si>
    <t>Martínez de la Torre</t>
  </si>
  <si>
    <t>Valladolid</t>
  </si>
  <si>
    <t>Tzimol</t>
  </si>
  <si>
    <t>Tonila</t>
  </si>
  <si>
    <t>Tlalmanalco</t>
  </si>
  <si>
    <t>San Antonino Castillo Velasco</t>
  </si>
  <si>
    <t>Nicolás Bravo</t>
  </si>
  <si>
    <t>Mecatlán</t>
  </si>
  <si>
    <t>Xocchel</t>
  </si>
  <si>
    <t>Dirección:</t>
  </si>
  <si>
    <t>Unión Juárez</t>
  </si>
  <si>
    <t>Totatiche</t>
  </si>
  <si>
    <t>Tlalnepantla de Baz</t>
  </si>
  <si>
    <t>Villamar</t>
  </si>
  <si>
    <t>San Antonino el Alto</t>
  </si>
  <si>
    <t>Nopalucan</t>
  </si>
  <si>
    <t>Mecayapan</t>
  </si>
  <si>
    <t>Yaxcabá</t>
  </si>
  <si>
    <t>Tototlán</t>
  </si>
  <si>
    <t>Tlatlaya</t>
  </si>
  <si>
    <t>Vista Hermosa</t>
  </si>
  <si>
    <t>San Antonino Monte Verde</t>
  </si>
  <si>
    <t>Medellín de Bravo</t>
  </si>
  <si>
    <t>Yaxkukul</t>
  </si>
  <si>
    <t>Villa Corzo</t>
  </si>
  <si>
    <t>Tuxcacuesco</t>
  </si>
  <si>
    <t>Toluca</t>
  </si>
  <si>
    <t>Yurécuaro</t>
  </si>
  <si>
    <t>San Antonio Acutla</t>
  </si>
  <si>
    <t>Ocoyucan</t>
  </si>
  <si>
    <t>Miahuatlán</t>
  </si>
  <si>
    <t>Yobaín</t>
  </si>
  <si>
    <t>Villaflores</t>
  </si>
  <si>
    <t>Tuxcueca</t>
  </si>
  <si>
    <t>Tonatico</t>
  </si>
  <si>
    <t>Zacapu</t>
  </si>
  <si>
    <t>San Antonio de la Cal</t>
  </si>
  <si>
    <t>Olintla</t>
  </si>
  <si>
    <t>Las Minas</t>
  </si>
  <si>
    <r>
      <t xml:space="preserve">En caso de </t>
    </r>
    <r>
      <rPr>
        <b/>
        <sz val="9"/>
        <rFont val="Arial"/>
        <family val="2"/>
      </rPr>
      <t>dudas o comentarios</t>
    </r>
    <r>
      <rPr>
        <sz val="9"/>
        <rFont val="Arial"/>
        <family val="2"/>
      </rPr>
      <t>, hacerlos llegar al personal del Departamento de Estadísticas de Gobierno de la Coordinación Estatal del INEGI que haya sido designado para el seguimiento de este programa de información:</t>
    </r>
  </si>
  <si>
    <t>Yajalón</t>
  </si>
  <si>
    <t>Tultepec</t>
  </si>
  <si>
    <t>Zamora</t>
  </si>
  <si>
    <t>San Antonio Huitepec</t>
  </si>
  <si>
    <t>Oriental</t>
  </si>
  <si>
    <t>Unión de San Antonio</t>
  </si>
  <si>
    <t>Tultitlán</t>
  </si>
  <si>
    <t>Zináparo</t>
  </si>
  <si>
    <t>San Antonio Nanahuatípam</t>
  </si>
  <si>
    <t>Pahuatlán</t>
  </si>
  <si>
    <t>Misantla</t>
  </si>
  <si>
    <t>Nombre:</t>
  </si>
  <si>
    <t>Zinacantán</t>
  </si>
  <si>
    <t>Unión de Tula</t>
  </si>
  <si>
    <t>Valle de Bravo</t>
  </si>
  <si>
    <t>Zinapécuaro</t>
  </si>
  <si>
    <t>San Antonio Sinicahua</t>
  </si>
  <si>
    <t>Palmar de Bravo</t>
  </si>
  <si>
    <t>Mixtla de Altamirano</t>
  </si>
  <si>
    <t>Área o unidad de adscripción:</t>
  </si>
  <si>
    <t>San Juan Cancuc</t>
  </si>
  <si>
    <t>Valle de Guadalupe</t>
  </si>
  <si>
    <t>Villa de Allende</t>
  </si>
  <si>
    <t>Ziracuaretiro</t>
  </si>
  <si>
    <t>San Antonio Tepetlapa</t>
  </si>
  <si>
    <t>Moloacán</t>
  </si>
  <si>
    <t>Cargo:</t>
  </si>
  <si>
    <t>Valle de Juárez</t>
  </si>
  <si>
    <t>Villa del Carbón</t>
  </si>
  <si>
    <t>Zitácuaro</t>
  </si>
  <si>
    <t>San Baltazar Chichicápam</t>
  </si>
  <si>
    <t>Petlalcingo</t>
  </si>
  <si>
    <t>Naolinco</t>
  </si>
  <si>
    <t>Correo electrónico:</t>
  </si>
  <si>
    <t>Benemérito de las Américas</t>
  </si>
  <si>
    <t>San Gabriel</t>
  </si>
  <si>
    <t>Villa Guerrero</t>
  </si>
  <si>
    <t>José Sixto Verduzco</t>
  </si>
  <si>
    <t>San Baltazar Loxicha</t>
  </si>
  <si>
    <t>Piaxtla</t>
  </si>
  <si>
    <t>Naranjal</t>
  </si>
  <si>
    <t>Teléfono:</t>
  </si>
  <si>
    <t>Extensión:</t>
  </si>
  <si>
    <t>Maravilla Tenejapa</t>
  </si>
  <si>
    <t>Villa Corona</t>
  </si>
  <si>
    <t>Villa Victoria</t>
  </si>
  <si>
    <t>San Baltazar Yatzachi el Bajo</t>
  </si>
  <si>
    <t>Nautla</t>
  </si>
  <si>
    <t>Marqués de Comillas</t>
  </si>
  <si>
    <t>Xonacatlán</t>
  </si>
  <si>
    <t>San Bartolo Coyotepec</t>
  </si>
  <si>
    <t>Quecholac</t>
  </si>
  <si>
    <t>Montecristo de Guerrero</t>
  </si>
  <si>
    <t>Zacazonapan</t>
  </si>
  <si>
    <t>San Bartolomé Ayautla</t>
  </si>
  <si>
    <t>Quimixtlán</t>
  </si>
  <si>
    <t>Oluta</t>
  </si>
  <si>
    <t>San Andrés Duraznal</t>
  </si>
  <si>
    <t>Cañadas de Obregón</t>
  </si>
  <si>
    <t>Zacualpan</t>
  </si>
  <si>
    <t>San Bartolomé Loxicha</t>
  </si>
  <si>
    <t>Rafael Lara Grajales</t>
  </si>
  <si>
    <t>Omealca</t>
  </si>
  <si>
    <t>Santiago el Pinar</t>
  </si>
  <si>
    <t>Yahualica de González Gallo</t>
  </si>
  <si>
    <t>Zinacantepec</t>
  </si>
  <si>
    <t>San Bartolomé Quialana</t>
  </si>
  <si>
    <t>Los Reyes de Juárez</t>
  </si>
  <si>
    <t>Orizaba</t>
  </si>
  <si>
    <t>Capitán Luis Ángel Vidal</t>
  </si>
  <si>
    <t>Zacoalco de Torres</t>
  </si>
  <si>
    <t>Zumpahuacán</t>
  </si>
  <si>
    <t>San Bartolomé Yucuañe</t>
  </si>
  <si>
    <t>San Andrés Cholula</t>
  </si>
  <si>
    <t>Otatitlán</t>
  </si>
  <si>
    <t>Rincón Chamula San Pedro</t>
  </si>
  <si>
    <t>Zapopan</t>
  </si>
  <si>
    <t>Zumpango</t>
  </si>
  <si>
    <t>San Bartolomé Zoogocho</t>
  </si>
  <si>
    <t>San Antonio Cañada</t>
  </si>
  <si>
    <t>Oteapan</t>
  </si>
  <si>
    <t>El Parral</t>
  </si>
  <si>
    <t>Zapotiltic</t>
  </si>
  <si>
    <t>Cuautitlán Izcalli</t>
  </si>
  <si>
    <t>San Bartolo Soyaltepec</t>
  </si>
  <si>
    <t>San Diego la Mesa Tochimiltzingo</t>
  </si>
  <si>
    <t>Ozuluama de Mascareñas</t>
  </si>
  <si>
    <t>Zapotitlán de Vadillo</t>
  </si>
  <si>
    <t>Valle de Chalco Solidaridad</t>
  </si>
  <si>
    <t>San Bartolo Yautepec</t>
  </si>
  <si>
    <t>San Felipe Teotlalcingo</t>
  </si>
  <si>
    <t>Pajapan</t>
  </si>
  <si>
    <t>Mezcalapa</t>
  </si>
  <si>
    <t>Zapotlán del Rey</t>
  </si>
  <si>
    <t>Luvianos</t>
  </si>
  <si>
    <t>San Bernardo Mixtepec</t>
  </si>
  <si>
    <t>San Felipe Tepatlán</t>
  </si>
  <si>
    <t>Honduras de la Sierra</t>
  </si>
  <si>
    <t>Zapotlanejo</t>
  </si>
  <si>
    <t>San José del Rincón</t>
  </si>
  <si>
    <t>San Blas Atempa</t>
  </si>
  <si>
    <t>San Gabriel Chilac</t>
  </si>
  <si>
    <t>Papantla</t>
  </si>
  <si>
    <t>San Ignacio Cerro Gordo</t>
  </si>
  <si>
    <t>Tonanitla</t>
  </si>
  <si>
    <t>San Carlos Yautepec</t>
  </si>
  <si>
    <t>San Gregorio Atzompa</t>
  </si>
  <si>
    <t>Paso del Macho</t>
  </si>
  <si>
    <t>San Cristóbal Amatlán</t>
  </si>
  <si>
    <t>San Jerónimo Tecuanipan</t>
  </si>
  <si>
    <t>Paso de Ovejas</t>
  </si>
  <si>
    <t>San Cristóbal Amoltepec</t>
  </si>
  <si>
    <t>San Jerónimo Xayacatlán</t>
  </si>
  <si>
    <t>La Perla</t>
  </si>
  <si>
    <t>San Cristóbal Lachirioag</t>
  </si>
  <si>
    <t>San José Chiapa</t>
  </si>
  <si>
    <t>Perote</t>
  </si>
  <si>
    <t>San Cristóbal Suchixtlahuaca</t>
  </si>
  <si>
    <t>San José Miahuatlán</t>
  </si>
  <si>
    <t>Platón Sánchez</t>
  </si>
  <si>
    <t>San Dionisio del Mar</t>
  </si>
  <si>
    <t>San Juan Atenco</t>
  </si>
  <si>
    <t>Playa Vicente</t>
  </si>
  <si>
    <t>San Dionisio Ocotepec</t>
  </si>
  <si>
    <t>San Juan Atzompa</t>
  </si>
  <si>
    <t>Poza Rica de Hidalgo</t>
  </si>
  <si>
    <t>San Dionisio Ocotlán</t>
  </si>
  <si>
    <t>San Martín Texmelucan</t>
  </si>
  <si>
    <t>Las Vigas de Ramírez</t>
  </si>
  <si>
    <t>San Esteban Atatlahuca</t>
  </si>
  <si>
    <t>San Martín Totoltepec</t>
  </si>
  <si>
    <t>Pueblo Viejo</t>
  </si>
  <si>
    <t>San Felipe Jalapa de Díaz</t>
  </si>
  <si>
    <t>San Matías Tlalancaleca</t>
  </si>
  <si>
    <t>Puente Nacional</t>
  </si>
  <si>
    <t>San Felipe Tejalápam</t>
  </si>
  <si>
    <t>San Miguel Ixitlán</t>
  </si>
  <si>
    <t>Rafael Delgado</t>
  </si>
  <si>
    <t>San Felipe Usila</t>
  </si>
  <si>
    <t>San Miguel Xoxtla</t>
  </si>
  <si>
    <t>Rafael Lucio</t>
  </si>
  <si>
    <t>San Francisco Cahuacuá</t>
  </si>
  <si>
    <t>San Nicolás Buenos Aires</t>
  </si>
  <si>
    <t>San Francisco Cajonos</t>
  </si>
  <si>
    <t>San Nicolás de los Ranchos</t>
  </si>
  <si>
    <t>Río Blanco</t>
  </si>
  <si>
    <t>San Francisco Chapulapa</t>
  </si>
  <si>
    <t>San Pablo Anicano</t>
  </si>
  <si>
    <t>Saltabarranca</t>
  </si>
  <si>
    <t>San Francisco Chindúa</t>
  </si>
  <si>
    <t>San Pedro Cholula</t>
  </si>
  <si>
    <t>San Andrés Tenejapan</t>
  </si>
  <si>
    <t>San Francisco del Mar</t>
  </si>
  <si>
    <t>San Pedro Yeloixtlahuaca</t>
  </si>
  <si>
    <t>San Andrés Tuxtla</t>
  </si>
  <si>
    <t>San Francisco Huehuetlán</t>
  </si>
  <si>
    <t>San Salvador el Seco</t>
  </si>
  <si>
    <t>San Juan Evangelista</t>
  </si>
  <si>
    <t>San Francisco Ixhuatán</t>
  </si>
  <si>
    <t>San Salvador el Verde</t>
  </si>
  <si>
    <t>Santiago Tuxtla</t>
  </si>
  <si>
    <t>San Francisco Jaltepetongo</t>
  </si>
  <si>
    <t>San Salvador Huixcolotla</t>
  </si>
  <si>
    <t>Sayula de Alemán</t>
  </si>
  <si>
    <t>San Francisco Lachigoló</t>
  </si>
  <si>
    <t>San Sebastián Tlacotepec</t>
  </si>
  <si>
    <t>Soconusco</t>
  </si>
  <si>
    <t>San Francisco Logueche</t>
  </si>
  <si>
    <t>Santa Catarina Tlaltempan</t>
  </si>
  <si>
    <t>Sochiapa</t>
  </si>
  <si>
    <t>San Francisco Nuxaño</t>
  </si>
  <si>
    <t>Santa Inés Ahuatempan</t>
  </si>
  <si>
    <t>Soledad Atzompa</t>
  </si>
  <si>
    <t>San Francisco Ozolotepec</t>
  </si>
  <si>
    <t>Santa Isabel Cholula</t>
  </si>
  <si>
    <t>Soledad de Doblado</t>
  </si>
  <si>
    <t>San Francisco Sola</t>
  </si>
  <si>
    <t>Santiago Miahuatlán</t>
  </si>
  <si>
    <t>Soteapan</t>
  </si>
  <si>
    <t>San Francisco Telixtlahuaca</t>
  </si>
  <si>
    <t>Huehuetlán el Grande</t>
  </si>
  <si>
    <t>Tamalín</t>
  </si>
  <si>
    <t>San Francisco Teopan</t>
  </si>
  <si>
    <t>Santo Tomás Hueyotlipan</t>
  </si>
  <si>
    <t>Tamiahua</t>
  </si>
  <si>
    <t>San Francisco Tlapancingo</t>
  </si>
  <si>
    <t>Soltepec</t>
  </si>
  <si>
    <t>Tampico Alto</t>
  </si>
  <si>
    <t>San Gabriel Mixtepec</t>
  </si>
  <si>
    <t>Tecali de Herrera</t>
  </si>
  <si>
    <t>Tancoco</t>
  </si>
  <si>
    <t>San Ildefonso Amatlán</t>
  </si>
  <si>
    <t>Tecamachalco</t>
  </si>
  <si>
    <t>Tantima</t>
  </si>
  <si>
    <t>San Ildefonso Sola</t>
  </si>
  <si>
    <t>Tecomatlán</t>
  </si>
  <si>
    <t>Tantoyuca</t>
  </si>
  <si>
    <t>San Ildefonso Villa Alta</t>
  </si>
  <si>
    <t>Tehuacán</t>
  </si>
  <si>
    <t>Tatatila</t>
  </si>
  <si>
    <t>San Jacinto Amilpas</t>
  </si>
  <si>
    <t>Tehuitzingo</t>
  </si>
  <si>
    <t>Castillo de Teayo</t>
  </si>
  <si>
    <t>San Jacinto Tlacotepec</t>
  </si>
  <si>
    <t>Tenampulco</t>
  </si>
  <si>
    <t>Tecolutla</t>
  </si>
  <si>
    <t>San Jerónimo Coatlán</t>
  </si>
  <si>
    <t>Teopantlán</t>
  </si>
  <si>
    <t>Tehuipango</t>
  </si>
  <si>
    <t>San Jerónimo Silacayoapilla</t>
  </si>
  <si>
    <t>Teotlalco</t>
  </si>
  <si>
    <t>Álamo Temapache</t>
  </si>
  <si>
    <t>San Jerónimo Sosola</t>
  </si>
  <si>
    <t>Tepanco de López</t>
  </si>
  <si>
    <t>Tempoal</t>
  </si>
  <si>
    <t>San Jerónimo Taviche</t>
  </si>
  <si>
    <t>Tepango de Rodríguez</t>
  </si>
  <si>
    <t>Tenampa</t>
  </si>
  <si>
    <t>San Jerónimo Tecóatl</t>
  </si>
  <si>
    <t>Tepatlaxco de Hidalgo</t>
  </si>
  <si>
    <t>Tenochtitlán</t>
  </si>
  <si>
    <t>San Jorge Nuchita</t>
  </si>
  <si>
    <t>Tepeaca</t>
  </si>
  <si>
    <t>Teocelo</t>
  </si>
  <si>
    <t>San José Ayuquila</t>
  </si>
  <si>
    <t>Tepemaxalco</t>
  </si>
  <si>
    <t>Tepatlaxco</t>
  </si>
  <si>
    <t>San José Chiltepec</t>
  </si>
  <si>
    <t>Tepeojuma</t>
  </si>
  <si>
    <t>Tepetlán</t>
  </si>
  <si>
    <t>San José del Peñasco</t>
  </si>
  <si>
    <t>Tepetzintla</t>
  </si>
  <si>
    <t>San José Estancia Grande</t>
  </si>
  <si>
    <t>Tepexco</t>
  </si>
  <si>
    <t>San José Independencia</t>
  </si>
  <si>
    <t>Tepexi de Rodríguez</t>
  </si>
  <si>
    <t>José Azueta</t>
  </si>
  <si>
    <t>San José Lachiguiri</t>
  </si>
  <si>
    <t>Tepeyahualco</t>
  </si>
  <si>
    <t>Texcatepec</t>
  </si>
  <si>
    <t>San José Tenango</t>
  </si>
  <si>
    <t>Tepeyahualco de Cuauhtémoc</t>
  </si>
  <si>
    <t>Texhuacán</t>
  </si>
  <si>
    <t>San Juan Achiutla</t>
  </si>
  <si>
    <t>Tetela de Ocampo</t>
  </si>
  <si>
    <t>Texistepec</t>
  </si>
  <si>
    <t>San Juan Atepec</t>
  </si>
  <si>
    <t>Teteles de Ávila Castillo</t>
  </si>
  <si>
    <t>Tezonapa</t>
  </si>
  <si>
    <t>Ánimas Trujano</t>
  </si>
  <si>
    <t>Teziutlán</t>
  </si>
  <si>
    <t>San Juan Bautista Atatlahuca</t>
  </si>
  <si>
    <t>Tianguismanalco</t>
  </si>
  <si>
    <t>Tihuatlán</t>
  </si>
  <si>
    <t>San Juan Bautista Coixtlahuaca</t>
  </si>
  <si>
    <t>Tilapa</t>
  </si>
  <si>
    <t>Tlacojalpan</t>
  </si>
  <si>
    <t>San Juan Bautista Cuicatlán</t>
  </si>
  <si>
    <t>Tlacotepec de Benito Juárez</t>
  </si>
  <si>
    <t>Tlacolulan</t>
  </si>
  <si>
    <t>San Juan Bautista Guelache</t>
  </si>
  <si>
    <t>Tlacuilotepec</t>
  </si>
  <si>
    <t>Tlacotalpan</t>
  </si>
  <si>
    <t>San Juan Bautista Jayacatlán</t>
  </si>
  <si>
    <t>Tlachichuca</t>
  </si>
  <si>
    <t>Tlacotepec de Mejía</t>
  </si>
  <si>
    <t>San Juan Bautista Lo de Soto</t>
  </si>
  <si>
    <t>Tlahuapan</t>
  </si>
  <si>
    <t>Tlachichilco</t>
  </si>
  <si>
    <t>San Juan Bautista Suchitepec</t>
  </si>
  <si>
    <t>Tlaltenango</t>
  </si>
  <si>
    <t>Tlalixcoyan</t>
  </si>
  <si>
    <t>San Juan Bautista Tlacoatzintepec</t>
  </si>
  <si>
    <t>Tlanepantla</t>
  </si>
  <si>
    <t>Tlalnelhuayocan</t>
  </si>
  <si>
    <t>San Juan Bautista Tlachichilco</t>
  </si>
  <si>
    <t>Tlaola</t>
  </si>
  <si>
    <t>Tlapacoyan</t>
  </si>
  <si>
    <t>San Juan Bautista Tuxtepec</t>
  </si>
  <si>
    <t>Tlapacoya</t>
  </si>
  <si>
    <t>Tlaquilpa</t>
  </si>
  <si>
    <t>San Juan Cacahuatepec</t>
  </si>
  <si>
    <t>Tlapanalá</t>
  </si>
  <si>
    <t>Tlilapan</t>
  </si>
  <si>
    <t>San Juan Cieneguilla</t>
  </si>
  <si>
    <t>Tlatlauquitepec</t>
  </si>
  <si>
    <t>San Juan Coatzóspam</t>
  </si>
  <si>
    <t>Tonayán</t>
  </si>
  <si>
    <t>San Juan Colorado</t>
  </si>
  <si>
    <t>Tochimilco</t>
  </si>
  <si>
    <t>Totutla</t>
  </si>
  <si>
    <t>San Juan Comaltepec</t>
  </si>
  <si>
    <t>Tochtepec</t>
  </si>
  <si>
    <t>San Juan Cotzocón</t>
  </si>
  <si>
    <t>Totoltepec de Guerrero</t>
  </si>
  <si>
    <t>Tuxtilla</t>
  </si>
  <si>
    <t>San Juan Chicomezúchil</t>
  </si>
  <si>
    <t>Tulcingo</t>
  </si>
  <si>
    <t>Ursulo Galván</t>
  </si>
  <si>
    <t>San Juan Chilateca</t>
  </si>
  <si>
    <t>Tuzamapan de Galeana</t>
  </si>
  <si>
    <t>Vega de Alatorre</t>
  </si>
  <si>
    <t>San Juan del Estado</t>
  </si>
  <si>
    <t>Tzicatlacoyan</t>
  </si>
  <si>
    <t>Veracruz</t>
  </si>
  <si>
    <t>Villa Aldama</t>
  </si>
  <si>
    <t>San Juan Diuxi</t>
  </si>
  <si>
    <t>San Juan Evangelista Analco</t>
  </si>
  <si>
    <t>Xayacatlán de Bravo</t>
  </si>
  <si>
    <t>Yanga</t>
  </si>
  <si>
    <t>San Juan Guelavía</t>
  </si>
  <si>
    <t>Xicotepec</t>
  </si>
  <si>
    <t>Yecuatla</t>
  </si>
  <si>
    <t>San Juan Guichicovi</t>
  </si>
  <si>
    <t>Xicotlán</t>
  </si>
  <si>
    <t>San Juan Ihualtepec</t>
  </si>
  <si>
    <t>Xiutetelco</t>
  </si>
  <si>
    <t>San Juan Juquila Mixes</t>
  </si>
  <si>
    <t>Xochiapulco</t>
  </si>
  <si>
    <t>Zentla</t>
  </si>
  <si>
    <t>San Juan Juquila Vijanos</t>
  </si>
  <si>
    <t>Xochiltepec</t>
  </si>
  <si>
    <t>Zongolica</t>
  </si>
  <si>
    <t>San Juan Lachao</t>
  </si>
  <si>
    <t>Xochitlán de Vicente Suárez</t>
  </si>
  <si>
    <t>Zontecomatlán de López y Fuentes</t>
  </si>
  <si>
    <t>San Juan Lachigalla</t>
  </si>
  <si>
    <t>Xochitlán Todos Santos</t>
  </si>
  <si>
    <t>Zozocolco de Hidalgo</t>
  </si>
  <si>
    <t>San Juan Lajarcia</t>
  </si>
  <si>
    <t>Yaonáhuac</t>
  </si>
  <si>
    <t>Agua Dulce</t>
  </si>
  <si>
    <t>San Juan Lalana</t>
  </si>
  <si>
    <t>Yehualtepec</t>
  </si>
  <si>
    <t>El Higo</t>
  </si>
  <si>
    <t>San Juan de los Cués</t>
  </si>
  <si>
    <t>Zacapala</t>
  </si>
  <si>
    <t>Nanchital de Lázaro Cárdenas del Río</t>
  </si>
  <si>
    <t>San Juan Mazatlán</t>
  </si>
  <si>
    <t>Zacapoaxtla</t>
  </si>
  <si>
    <t>Tres Valles</t>
  </si>
  <si>
    <t>San Juan Mixtepec -Dto. 08 -</t>
  </si>
  <si>
    <t>Zacatlán</t>
  </si>
  <si>
    <t>Carlos A. Carrillo</t>
  </si>
  <si>
    <t>San Juan Mixtepec -Dto. 26 -</t>
  </si>
  <si>
    <t>Zapotitlán</t>
  </si>
  <si>
    <t>Tatahuicapan de Juárez</t>
  </si>
  <si>
    <t>San Juan Ñumí</t>
  </si>
  <si>
    <t>Zapotitlán de Méndez</t>
  </si>
  <si>
    <t>Uxpanapa</t>
  </si>
  <si>
    <t>San Juan Ozolotepec</t>
  </si>
  <si>
    <t>San Rafael</t>
  </si>
  <si>
    <t>San Juan Petlapa</t>
  </si>
  <si>
    <t>Zautla</t>
  </si>
  <si>
    <t>Santiago Sochiapan</t>
  </si>
  <si>
    <t>San Juan Quiahije</t>
  </si>
  <si>
    <t>Zihuateutla</t>
  </si>
  <si>
    <t>San Juan Quiotepec</t>
  </si>
  <si>
    <t>Zinacatepec</t>
  </si>
  <si>
    <t>San Juan Sayultepec</t>
  </si>
  <si>
    <t>Zongozotla</t>
  </si>
  <si>
    <t>San Juan Tabaá</t>
  </si>
  <si>
    <t>Zoquiapan</t>
  </si>
  <si>
    <t>San Juan Tamazola</t>
  </si>
  <si>
    <t>Zoquitlán</t>
  </si>
  <si>
    <t>San Juan Teita</t>
  </si>
  <si>
    <t>San Juan Teitipac</t>
  </si>
  <si>
    <t>San Juan Tepeuxila</t>
  </si>
  <si>
    <t>San Juan Teposcolula</t>
  </si>
  <si>
    <t>San Juan Yaeé</t>
  </si>
  <si>
    <t>San Juan Yatzona</t>
  </si>
  <si>
    <t>San Juan Yucuita</t>
  </si>
  <si>
    <t>San Lorenzo</t>
  </si>
  <si>
    <t>San Lorenzo Albarradas</t>
  </si>
  <si>
    <t>San Lorenzo Cacaotepec</t>
  </si>
  <si>
    <t>San Lorenzo Cuaunecuiltitla</t>
  </si>
  <si>
    <t>San Lorenzo Texmelúcan</t>
  </si>
  <si>
    <t>San Lorenzo Victoria</t>
  </si>
  <si>
    <t>San Lucas Camotlán</t>
  </si>
  <si>
    <t>San Lucas Ojitlán</t>
  </si>
  <si>
    <t>San Lucas Quiaviní</t>
  </si>
  <si>
    <t>San Lucas Zoquiápam</t>
  </si>
  <si>
    <t>San Luis Amatlán</t>
  </si>
  <si>
    <t>San Marcial Ozolotepec</t>
  </si>
  <si>
    <t>San Marcos Arteaga</t>
  </si>
  <si>
    <t>San Martín de los Cansecos</t>
  </si>
  <si>
    <t>San Martín Huamelúlpam</t>
  </si>
  <si>
    <t>San Martín Itunyoso</t>
  </si>
  <si>
    <t>San Martín Lachilá</t>
  </si>
  <si>
    <t>San Martín Peras</t>
  </si>
  <si>
    <t>San Martín Tilcajete</t>
  </si>
  <si>
    <t>San Martín Toxpalan</t>
  </si>
  <si>
    <t>San Martín Zacatepec</t>
  </si>
  <si>
    <t>San Mateo Cajonos</t>
  </si>
  <si>
    <t>Capulálpam de Méndez</t>
  </si>
  <si>
    <t>San Mateo del Mar</t>
  </si>
  <si>
    <t>San Mateo Yoloxochitlán</t>
  </si>
  <si>
    <t>San Mateo Etlatongo</t>
  </si>
  <si>
    <t>San Mateo Nejápam</t>
  </si>
  <si>
    <t>San Mateo Peñasco</t>
  </si>
  <si>
    <t>San Mateo Piñas</t>
  </si>
  <si>
    <t>San Mateo Río Hondo</t>
  </si>
  <si>
    <t>San Mateo Sindihui</t>
  </si>
  <si>
    <t>San Mateo Tlapiltepec</t>
  </si>
  <si>
    <t>San Melchor Betaza</t>
  </si>
  <si>
    <t>San Miguel Achiutla</t>
  </si>
  <si>
    <t>San Miguel Ahuehuetitlán</t>
  </si>
  <si>
    <t>San Miguel Aloápam</t>
  </si>
  <si>
    <t>San Miguel Amatitlán</t>
  </si>
  <si>
    <t>San Miguel Amatlán</t>
  </si>
  <si>
    <t>San Miguel Coatlán</t>
  </si>
  <si>
    <t>San Miguel Chicahua</t>
  </si>
  <si>
    <t>San Miguel Chimalapa</t>
  </si>
  <si>
    <t>San Miguel del Puerto</t>
  </si>
  <si>
    <t>San Miguel del Río</t>
  </si>
  <si>
    <t>San Miguel Ejutla</t>
  </si>
  <si>
    <t>San Miguel el Grande</t>
  </si>
  <si>
    <t>San Miguel Huautla</t>
  </si>
  <si>
    <t>San Miguel Mixtepec</t>
  </si>
  <si>
    <t>San Miguel Panixtlahuaca</t>
  </si>
  <si>
    <t>San Miguel Peras</t>
  </si>
  <si>
    <t>San Miguel Piedras</t>
  </si>
  <si>
    <t>San Miguel Quetzaltepec</t>
  </si>
  <si>
    <t>San Miguel Santa Flor</t>
  </si>
  <si>
    <t>Villa Sola de Vega</t>
  </si>
  <si>
    <t>San Miguel Soyaltepec</t>
  </si>
  <si>
    <t>San Miguel Suchixtepec</t>
  </si>
  <si>
    <t>Villa Talea de Castro</t>
  </si>
  <si>
    <t>San Miguel Tecomatlán</t>
  </si>
  <si>
    <t>San Miguel Tenango</t>
  </si>
  <si>
    <t>San Miguel Tequixtepec</t>
  </si>
  <si>
    <t>San Miguel Tilquiápam</t>
  </si>
  <si>
    <t>San Miguel Tlacamama</t>
  </si>
  <si>
    <t>San Miguel Tlacotepec</t>
  </si>
  <si>
    <t>San Miguel Tulancingo</t>
  </si>
  <si>
    <t>San Miguel Yotao</t>
  </si>
  <si>
    <t>San Nicolás Hidalgo</t>
  </si>
  <si>
    <t>San Pablo Coatlán</t>
  </si>
  <si>
    <t>San Pablo Cuatro Venados</t>
  </si>
  <si>
    <t>San Pablo Etla</t>
  </si>
  <si>
    <t>San Pablo Huitzo</t>
  </si>
  <si>
    <t>San Pablo Huixtepec</t>
  </si>
  <si>
    <t>San Pablo Macuiltianguis</t>
  </si>
  <si>
    <t>San Pablo Tijaltepec</t>
  </si>
  <si>
    <t>San Pablo Villa de Mitla</t>
  </si>
  <si>
    <t>San Pablo Yaganiza</t>
  </si>
  <si>
    <t>San Pedro Amuzgos</t>
  </si>
  <si>
    <t>San Pedro Apóstol</t>
  </si>
  <si>
    <t>San Pedro Atoyac</t>
  </si>
  <si>
    <t>San Pedro Cajonos</t>
  </si>
  <si>
    <t>San Pedro Coxcaltepec Cántaros</t>
  </si>
  <si>
    <t>San Pedro Comitancillo</t>
  </si>
  <si>
    <t>San Pedro el Alto</t>
  </si>
  <si>
    <t>San Pedro Huamelula</t>
  </si>
  <si>
    <t>San Pedro Huilotepec</t>
  </si>
  <si>
    <t>San Pedro Ixcatlán</t>
  </si>
  <si>
    <t>San Pedro Ixtlahuaca</t>
  </si>
  <si>
    <t>San Pedro Jaltepetongo</t>
  </si>
  <si>
    <t>San Pedro Jicayán</t>
  </si>
  <si>
    <t>San Pedro Jocotipac</t>
  </si>
  <si>
    <t>San Pedro Juchatengo</t>
  </si>
  <si>
    <t>San Pedro Mártir</t>
  </si>
  <si>
    <t>San Pedro Mártir Quiechapa</t>
  </si>
  <si>
    <t>San Pedro Mártir Yucuxaco</t>
  </si>
  <si>
    <t>San Pedro Mixtepec -Dto. 22 -</t>
  </si>
  <si>
    <t>San Pedro Mixtepec -Dto. 26 -</t>
  </si>
  <si>
    <t>San Pedro Molinos</t>
  </si>
  <si>
    <t>San Pedro Nopala</t>
  </si>
  <si>
    <t>San Pedro Ocopetatillo</t>
  </si>
  <si>
    <t>San Pedro Ocotepec</t>
  </si>
  <si>
    <t>San Pedro Pochutla</t>
  </si>
  <si>
    <t>San Pedro Quiatoni</t>
  </si>
  <si>
    <t>San Pedro Sochiápam</t>
  </si>
  <si>
    <t>San Pedro Tapanatepec</t>
  </si>
  <si>
    <t>San Pedro Taviche</t>
  </si>
  <si>
    <t>San Pedro Teozacoalco</t>
  </si>
  <si>
    <t>San Pedro Teutila</t>
  </si>
  <si>
    <t>San Pedro Tidaá</t>
  </si>
  <si>
    <t>San Pedro Topiltepec</t>
  </si>
  <si>
    <t>San Pedro Totolápam</t>
  </si>
  <si>
    <t>Villa de Tututepec</t>
  </si>
  <si>
    <t>San Pedro Yaneri</t>
  </si>
  <si>
    <t>San Pedro Yólox</t>
  </si>
  <si>
    <t>San Pedro y San Pablo Ayutla</t>
  </si>
  <si>
    <t>Villa de Etla</t>
  </si>
  <si>
    <t>San Pedro y San Pablo Teposcolula</t>
  </si>
  <si>
    <t>San Pedro y San Pablo Tequixtepec</t>
  </si>
  <si>
    <t>San Pedro Yucunama</t>
  </si>
  <si>
    <t>San Raymundo Jalpan</t>
  </si>
  <si>
    <t>San Sebastián Abasolo</t>
  </si>
  <si>
    <t>San Sebastián Coatlán</t>
  </si>
  <si>
    <t>San Sebastián Ixcapa</t>
  </si>
  <si>
    <t>San Sebastián Nicananduta</t>
  </si>
  <si>
    <t>San Sebastián Río Hondo</t>
  </si>
  <si>
    <t>San Sebastián Tecomaxtlahuaca</t>
  </si>
  <si>
    <t>San Sebastián Teitipac</t>
  </si>
  <si>
    <t>San Sebastián Tutla</t>
  </si>
  <si>
    <t>San Simón Almolongas</t>
  </si>
  <si>
    <t>San Simón Zahuatlán</t>
  </si>
  <si>
    <t>Santa Ana Ateixtlahuaca</t>
  </si>
  <si>
    <t>Santa Ana Cuauhtémoc</t>
  </si>
  <si>
    <t>Santa Ana del Valle</t>
  </si>
  <si>
    <t>Santa Ana Tavela</t>
  </si>
  <si>
    <t>Santa Ana Tlapacoyan</t>
  </si>
  <si>
    <t>Santa Ana Yareni</t>
  </si>
  <si>
    <t>Santa Ana Zegache</t>
  </si>
  <si>
    <t>Santa Catalina Quierí</t>
  </si>
  <si>
    <t>Santa Catarina Cuixtla</t>
  </si>
  <si>
    <t>Santa Catarina Ixtepeji</t>
  </si>
  <si>
    <t>Santa Catarina Juquila</t>
  </si>
  <si>
    <t>Santa Catarina Lachatao</t>
  </si>
  <si>
    <t>Santa Catarina Loxicha</t>
  </si>
  <si>
    <t>Santa Catarina Mechoacán</t>
  </si>
  <si>
    <t>Santa Catarina Minas</t>
  </si>
  <si>
    <t>Santa Catarina Quiané</t>
  </si>
  <si>
    <t>Santa Catarina Tayata</t>
  </si>
  <si>
    <t>Santa Catarina Ticuá</t>
  </si>
  <si>
    <t>Santa Catarina Yosonotú</t>
  </si>
  <si>
    <t>Santa Catarina Zapoquila</t>
  </si>
  <si>
    <t>Santa Cruz Acatepec</t>
  </si>
  <si>
    <t>Santa Cruz Amilpas</t>
  </si>
  <si>
    <t>Santa Cruz de Bravo</t>
  </si>
  <si>
    <t>Santa Cruz Itundujia</t>
  </si>
  <si>
    <t>Santa Cruz Mixtepec</t>
  </si>
  <si>
    <t>Santa Cruz Nundaco</t>
  </si>
  <si>
    <t>Santa Cruz Papalutla</t>
  </si>
  <si>
    <t>Santa Cruz Tacache de Mina</t>
  </si>
  <si>
    <t>Santa Cruz Tacahua</t>
  </si>
  <si>
    <t>Santa Cruz Tayata</t>
  </si>
  <si>
    <t>Santa Cruz Xitla</t>
  </si>
  <si>
    <t>Santa Cruz Xoxocotlán</t>
  </si>
  <si>
    <t>Santa Cruz Zenzontepec</t>
  </si>
  <si>
    <t>Santa Gertrudis</t>
  </si>
  <si>
    <t>Santa Inés del Monte</t>
  </si>
  <si>
    <t>Santa Inés Yatzeche</t>
  </si>
  <si>
    <t>Santa Lucía del Camino</t>
  </si>
  <si>
    <t>Santa Lucía Miahuatlán</t>
  </si>
  <si>
    <t>Santa Lucía Monteverde</t>
  </si>
  <si>
    <t>Santa Lucía Ocotlán</t>
  </si>
  <si>
    <t>Santa María Alotepec</t>
  </si>
  <si>
    <t>Santa María Apazco</t>
  </si>
  <si>
    <t>Santa María la Asunción</t>
  </si>
  <si>
    <t>Heroica Ciudad de Tlaxiaco</t>
  </si>
  <si>
    <t>Ayoquezco de Aldama</t>
  </si>
  <si>
    <t>Santa María Atzompa</t>
  </si>
  <si>
    <t>Santa María Camotlán</t>
  </si>
  <si>
    <t>Santa María Colotepec</t>
  </si>
  <si>
    <t>Santa María Cortijo</t>
  </si>
  <si>
    <t>Santa María Coyotepec</t>
  </si>
  <si>
    <t>Santa María Chachoápam</t>
  </si>
  <si>
    <t>Villa de Chilapa de Díaz</t>
  </si>
  <si>
    <t>Santa María Chilchotla</t>
  </si>
  <si>
    <t>Santa María Chimalapa</t>
  </si>
  <si>
    <t>Santa María del Rosario</t>
  </si>
  <si>
    <t>Santa María del Tule</t>
  </si>
  <si>
    <t>Santa María Ecatepec</t>
  </si>
  <si>
    <t>Santa María Guelacé</t>
  </si>
  <si>
    <t>Santa María Guienagati</t>
  </si>
  <si>
    <t>Santa María Huatulco</t>
  </si>
  <si>
    <t>Santa María Huazolotitlán</t>
  </si>
  <si>
    <t>Santa María Ipalapa</t>
  </si>
  <si>
    <t>Santa María Ixcatlán</t>
  </si>
  <si>
    <t>Santa María Jacatepec</t>
  </si>
  <si>
    <t>Santa María Jalapa del Marqués</t>
  </si>
  <si>
    <t>Santa María Jaltianguis</t>
  </si>
  <si>
    <t>Santa María Lachixío</t>
  </si>
  <si>
    <t>Santa María Mixtequilla</t>
  </si>
  <si>
    <t>Santa María Nativitas</t>
  </si>
  <si>
    <t>Santa María Nduayaco</t>
  </si>
  <si>
    <t>Santa María Ozolotepec</t>
  </si>
  <si>
    <t>Santa María Pápalo</t>
  </si>
  <si>
    <t>Santa María Peñoles</t>
  </si>
  <si>
    <t>Santa María Petapa</t>
  </si>
  <si>
    <t>Santa María Quiegolani</t>
  </si>
  <si>
    <t>Santa María Sola</t>
  </si>
  <si>
    <t>Santa María Tataltepec</t>
  </si>
  <si>
    <t>Santa María Tecomavaca</t>
  </si>
  <si>
    <t>Santa María Temaxcalapa</t>
  </si>
  <si>
    <t>Santa María Temaxcaltepec</t>
  </si>
  <si>
    <t>Santa María Teopoxco</t>
  </si>
  <si>
    <t>Santa María Tepantlali</t>
  </si>
  <si>
    <t>Santa María Texcatitlán</t>
  </si>
  <si>
    <t>Santa María Tlahuitoltepec</t>
  </si>
  <si>
    <t>Santa María Tlalixtac</t>
  </si>
  <si>
    <t>Santa María Tonameca</t>
  </si>
  <si>
    <t>Santa María Totolapilla</t>
  </si>
  <si>
    <t>Santa María Xadani</t>
  </si>
  <si>
    <t>Santa María Yalina</t>
  </si>
  <si>
    <t>Santa María Yavesía</t>
  </si>
  <si>
    <t>Santa María Yolotepec</t>
  </si>
  <si>
    <t>Santa María Yosoyúa</t>
  </si>
  <si>
    <t>Santa María Yucuhiti</t>
  </si>
  <si>
    <t>Santa María Zacatepec</t>
  </si>
  <si>
    <t>Santa María Zaniza</t>
  </si>
  <si>
    <t>Santa María Zoquitlán</t>
  </si>
  <si>
    <t>Santiago Amoltepec</t>
  </si>
  <si>
    <t>Santiago Apoala</t>
  </si>
  <si>
    <t>Santiago Apóstol</t>
  </si>
  <si>
    <t>Santiago Astata</t>
  </si>
  <si>
    <t>Santiago Atitlán</t>
  </si>
  <si>
    <t>Santiago Ayuquililla</t>
  </si>
  <si>
    <t>Santiago Cacaloxtepec</t>
  </si>
  <si>
    <t>Santiago Camotlán</t>
  </si>
  <si>
    <t>Santiago Comaltepec</t>
  </si>
  <si>
    <t>Villa de Santiago Chazumba</t>
  </si>
  <si>
    <t>Santiago Choápam</t>
  </si>
  <si>
    <t>Santiago del Río</t>
  </si>
  <si>
    <t>Santiago Huajolotitlán</t>
  </si>
  <si>
    <t>Santiago Huauclilla</t>
  </si>
  <si>
    <t>Santiago Ihuitlán Plumas</t>
  </si>
  <si>
    <t>Santiago Ixcuintepec</t>
  </si>
  <si>
    <t>Santiago Ixtayutla</t>
  </si>
  <si>
    <t>Santiago Jamiltepec</t>
  </si>
  <si>
    <t>Santiago Jocotepec</t>
  </si>
  <si>
    <t>Santiago Juxtlahuaca</t>
  </si>
  <si>
    <t>Santiago Lachiguiri</t>
  </si>
  <si>
    <t>Santiago Lalopa</t>
  </si>
  <si>
    <t>Santiago Laollaga</t>
  </si>
  <si>
    <t>Santiago Laxopa</t>
  </si>
  <si>
    <t>Santiago Llano Grande</t>
  </si>
  <si>
    <t>Santiago Matatlán</t>
  </si>
  <si>
    <t>Santiago Miltepec</t>
  </si>
  <si>
    <t>Santiago Minas</t>
  </si>
  <si>
    <t>Santiago Nacaltepec</t>
  </si>
  <si>
    <t>Santiago Nejapilla</t>
  </si>
  <si>
    <t>Santiago Nundiche</t>
  </si>
  <si>
    <t>Santiago Nuyoó</t>
  </si>
  <si>
    <t>Santiago Pinotepa Nacional</t>
  </si>
  <si>
    <t>Santiago Suchilquitongo</t>
  </si>
  <si>
    <t>Santiago Tamazola</t>
  </si>
  <si>
    <t>Santiago Tapextla</t>
  </si>
  <si>
    <t>Villa Tejúpam de la Unión</t>
  </si>
  <si>
    <t>Santiago Tenango</t>
  </si>
  <si>
    <t>Santiago Tepetlapa</t>
  </si>
  <si>
    <t>Santiago Tetepec</t>
  </si>
  <si>
    <t>Santiago Texcalcingo</t>
  </si>
  <si>
    <t>Santiago Textitlán</t>
  </si>
  <si>
    <t>Santiago Tilantongo</t>
  </si>
  <si>
    <t>Santiago Tillo</t>
  </si>
  <si>
    <t>Santiago Tlazoyaltepec</t>
  </si>
  <si>
    <t>Santiago Xanica</t>
  </si>
  <si>
    <t>Santiago Xiacuí</t>
  </si>
  <si>
    <t>Santiago Yaitepec</t>
  </si>
  <si>
    <t>Santiago Yaveo</t>
  </si>
  <si>
    <t>Santiago Yolomécatl</t>
  </si>
  <si>
    <t>Santiago Yosondúa</t>
  </si>
  <si>
    <t>Santiago Yucuyachi</t>
  </si>
  <si>
    <t>Santiago Zacatepec</t>
  </si>
  <si>
    <t>Santiago Zoochila</t>
  </si>
  <si>
    <t>Nuevo Zoquiápam</t>
  </si>
  <si>
    <t>Santo Domingo Ingenio</t>
  </si>
  <si>
    <t>Santo Domingo Albarradas</t>
  </si>
  <si>
    <t>Santo Domingo Armenta</t>
  </si>
  <si>
    <t>Santo Domingo Chihuitán</t>
  </si>
  <si>
    <t>Santo Domingo de Morelos</t>
  </si>
  <si>
    <t>Santo Domingo Ixcatlán</t>
  </si>
  <si>
    <t>Santo Domingo Nuxaá</t>
  </si>
  <si>
    <t>Santo Domingo Ozolotepec</t>
  </si>
  <si>
    <t>Santo Domingo Petapa</t>
  </si>
  <si>
    <t>Santo Domingo Roayaga</t>
  </si>
  <si>
    <t>Santo Domingo Tehuantepec</t>
  </si>
  <si>
    <t>Santo Domingo Teojomulco</t>
  </si>
  <si>
    <t>Santo Domingo Tepuxtepec</t>
  </si>
  <si>
    <t>Santo Domingo Tlatayápam</t>
  </si>
  <si>
    <t>Santo Domingo Tomaltepec</t>
  </si>
  <si>
    <t>Santo Domingo Tonalá</t>
  </si>
  <si>
    <t>Santo Domingo Tonaltepec</t>
  </si>
  <si>
    <t>Santo Domingo Xagacía</t>
  </si>
  <si>
    <t>Santo Domingo Yanhuitlán</t>
  </si>
  <si>
    <t>Santo Domingo Yodohino</t>
  </si>
  <si>
    <t>Santo Domingo Zanatepec</t>
  </si>
  <si>
    <t>Santos Reyes Nopala</t>
  </si>
  <si>
    <t>Santos Reyes Pápalo</t>
  </si>
  <si>
    <t>Santos Reyes Tepejillo</t>
  </si>
  <si>
    <t>Santos Reyes Yucuná</t>
  </si>
  <si>
    <t>Santo Tomás Jalieza</t>
  </si>
  <si>
    <t>Santo Tomás Mazaltepec</t>
  </si>
  <si>
    <t>Santo Tomás Ocotepec</t>
  </si>
  <si>
    <t>Santo Tomás Tamazulapan</t>
  </si>
  <si>
    <t>San Vicente Coatlán</t>
  </si>
  <si>
    <t>San Vicente Lachixío</t>
  </si>
  <si>
    <t>San Vicente Nuñú</t>
  </si>
  <si>
    <t>Silacayoápam</t>
  </si>
  <si>
    <t>Sitio de Xitlapehua</t>
  </si>
  <si>
    <t>Soledad Etla</t>
  </si>
  <si>
    <t>Villa de Tamazulápam del Progreso</t>
  </si>
  <si>
    <t>Tanetze de Zaragoza</t>
  </si>
  <si>
    <t>Taniche</t>
  </si>
  <si>
    <t>Tataltepec de Valdés</t>
  </si>
  <si>
    <t>Teococuilco de Marcos Pérez</t>
  </si>
  <si>
    <t>Teotitlán de Flores Magón</t>
  </si>
  <si>
    <t>Teotitlán del Valle</t>
  </si>
  <si>
    <t>Teotongo</t>
  </si>
  <si>
    <t>Tepelmeme Villa de Morelos</t>
  </si>
  <si>
    <t>Heroica Villa Tezoatlán de Segura y Luna, Cuna de la Independencia de Oaxaca</t>
  </si>
  <si>
    <t>San Jerónimo Tlacochahuaya</t>
  </si>
  <si>
    <t>Tlacolula de Matamoros</t>
  </si>
  <si>
    <t>Tlacotepec Plumas</t>
  </si>
  <si>
    <t>Tlalixtac de Cabrera</t>
  </si>
  <si>
    <t>Totontepec Villa de Morelos</t>
  </si>
  <si>
    <t>Trinidad Zaachila</t>
  </si>
  <si>
    <t>La Trinidad Vista Hermosa</t>
  </si>
  <si>
    <t>Unión Hidalgo</t>
  </si>
  <si>
    <t>Valerio Trujano</t>
  </si>
  <si>
    <t>San Juan Bautista Valle Nacional</t>
  </si>
  <si>
    <t>Villa Díaz Ordaz</t>
  </si>
  <si>
    <t>Yaxe</t>
  </si>
  <si>
    <t>Magdalena Yodocono de Porfirio Díaz</t>
  </si>
  <si>
    <t>Yogana</t>
  </si>
  <si>
    <t>Yutanduchi de Guerrero</t>
  </si>
  <si>
    <t>Villa de Zaachila</t>
  </si>
  <si>
    <t>San Mateo Yucutindoo</t>
  </si>
  <si>
    <t>Zapotitlán Lagunas</t>
  </si>
  <si>
    <t>Zapotitlán Palmas</t>
  </si>
  <si>
    <t>Santa Inés de Zaragoza</t>
  </si>
  <si>
    <t>Zimatlán de Álvarez</t>
  </si>
  <si>
    <r>
      <t xml:space="preserve">Informantes
</t>
    </r>
    <r>
      <rPr>
        <i/>
        <sz val="8"/>
        <rFont val="Arial"/>
        <family val="2"/>
      </rPr>
      <t>(Responde: institución responsable de los centros especializados de la entidad federativa)</t>
    </r>
  </si>
  <si>
    <t>INFORMANTE BÁSICO</t>
  </si>
  <si>
    <t>FIRMA Y SELLO</t>
  </si>
  <si>
    <t>(Persona titular o servidora pública de la institución designada para atender la solicitud de información del presente módulo, y que tiene el carácter de figura responsable de entregar oficialmente la información. Cuando menos, se encuentra en el segundo o tercer nivel jerárquico)</t>
  </si>
  <si>
    <t>VoBo. a la información contenida en el presente cuestionario</t>
  </si>
  <si>
    <r>
      <t xml:space="preserve">Título </t>
    </r>
    <r>
      <rPr>
        <i/>
        <sz val="8"/>
        <rFont val="Arial"/>
        <family val="2"/>
      </rPr>
      <t>(Lic., Mtro(a)., Dr(a)., Ing., C., Sr(a)., etc.)</t>
    </r>
  </si>
  <si>
    <t>FIRMA</t>
  </si>
  <si>
    <t>Nombre(s):</t>
  </si>
  <si>
    <t>Primer apellido:</t>
  </si>
  <si>
    <t>Segundo apellido:</t>
  </si>
  <si>
    <t>Institución u órgano:</t>
  </si>
  <si>
    <t>INFORMANTE COMPLEMENTARIO 1</t>
  </si>
  <si>
    <t>(Persona servidora pública -titular o designada- adscrita al área que es la principal productora de la información correspondiente al presente módulo. Nota: en caso de no requerir al "Informante Complementario 1" deje las siguientes celdas en blanco)</t>
  </si>
  <si>
    <t>INFORMANTE COMPLEMENTARIO 2</t>
  </si>
  <si>
    <t>(Persona servidora pública -titular o designada- adscrita al área que es la segunda principal productora de la información correspondiente al presente módulo. Nota: en caso de no requerir al "Informante Complementario 2" deje las siguientes celdas en blanco)</t>
  </si>
  <si>
    <t>OBSERVACIONES:</t>
  </si>
  <si>
    <r>
      <t xml:space="preserve">Participantes
</t>
    </r>
    <r>
      <rPr>
        <i/>
        <sz val="8"/>
        <rFont val="Arial"/>
        <family val="2"/>
      </rPr>
      <t>(Registrar a las personas servidoras públicas que participaron en la integración de la información y/ o en el llenado de los reactivos que se solicitan en el presente módulo. En caso de que las personas servidoras públicas registradas como informantes básico y complementarios hayan integrado información, o llenado algunas preguntas, también deben registrarse en el presente apartado)</t>
    </r>
  </si>
  <si>
    <t>Personas servidoras públicas que participaron en el llenado del módulo</t>
  </si>
  <si>
    <t>Instrucciones de llenado:</t>
  </si>
  <si>
    <r>
      <rPr>
        <b/>
        <i/>
        <sz val="8"/>
        <rFont val="Arial"/>
        <family val="2"/>
      </rPr>
      <t>Título:</t>
    </r>
    <r>
      <rPr>
        <i/>
        <sz val="8"/>
        <rFont val="Arial"/>
        <family val="2"/>
      </rPr>
      <t xml:space="preserve"> anotar el grado escolar o el formalismo para referirse a la persona participante: Licenciado(a), Maestro(a), Doctor(a), Ingeniero(a), Ciudadano(a), Señor(a), etcétera.</t>
    </r>
  </si>
  <si>
    <r>
      <rPr>
        <b/>
        <i/>
        <sz val="8"/>
        <rFont val="Arial"/>
        <family val="2"/>
      </rPr>
      <t xml:space="preserve">Nombre, primer y segundo apellido: </t>
    </r>
    <r>
      <rPr>
        <i/>
        <sz val="8"/>
        <rFont val="Arial"/>
        <family val="2"/>
      </rPr>
      <t>escribir los datos completos, sin abreviaturas y con acentos.</t>
    </r>
  </si>
  <si>
    <r>
      <rPr>
        <b/>
        <i/>
        <sz val="8"/>
        <rFont val="Arial"/>
        <family val="2"/>
      </rPr>
      <t xml:space="preserve">Institución: </t>
    </r>
    <r>
      <rPr>
        <i/>
        <sz val="8"/>
        <rFont val="Arial"/>
        <family val="2"/>
      </rPr>
      <t>registrar el nombre completo de la institución de adscripción.</t>
    </r>
  </si>
  <si>
    <r>
      <rPr>
        <b/>
        <i/>
        <sz val="8"/>
        <rFont val="Arial"/>
        <family val="2"/>
      </rPr>
      <t xml:space="preserve">Unidad administrativa de adscripción: </t>
    </r>
    <r>
      <rPr>
        <i/>
        <sz val="8"/>
        <rFont val="Arial"/>
        <family val="2"/>
      </rPr>
      <t>incluir el nombre completo de la unidad administrativa o área, tal como aparece en su estructura orgánica.</t>
    </r>
  </si>
  <si>
    <r>
      <rPr>
        <b/>
        <i/>
        <sz val="8"/>
        <rFont val="Arial"/>
        <family val="2"/>
      </rPr>
      <t xml:space="preserve">Cargo o puesto: </t>
    </r>
    <r>
      <rPr>
        <i/>
        <sz val="8"/>
        <rFont val="Arial"/>
        <family val="2"/>
      </rPr>
      <t>incluir el nombre completo del cargo o puesto desempeñado.</t>
    </r>
  </si>
  <si>
    <r>
      <rPr>
        <b/>
        <i/>
        <sz val="8"/>
        <rFont val="Arial"/>
        <family val="2"/>
      </rPr>
      <t xml:space="preserve">Correo electrónico: </t>
    </r>
    <r>
      <rPr>
        <i/>
        <sz val="8"/>
        <rFont val="Arial"/>
        <family val="2"/>
      </rPr>
      <t>registrar preferentemente el correo institucional de la persona participante, evitando cuentas genéricas o personales.</t>
    </r>
  </si>
  <si>
    <r>
      <rPr>
        <b/>
        <i/>
        <sz val="8"/>
        <rFont val="Arial"/>
        <family val="2"/>
      </rPr>
      <t>Sección y/ o preguntas en las que participó:</t>
    </r>
    <r>
      <rPr>
        <i/>
        <sz val="8"/>
        <rFont val="Arial"/>
        <family val="2"/>
      </rPr>
      <t xml:space="preserve"> registrar la sección, subsección, apartado, subapartado y/ o preguntas en las que participó, conforme a lo siguiente:</t>
    </r>
  </si>
  <si>
    <t>a) Para referirse a preguntas individuales, anotar el número de la pregunta anteponiendo la letra "P", separando con coma en caso de ser varias preguntas. Ejemplo: P1.1, P1.3, P1.8.
b) Si participó en el llenado de todo el cuestionario, anotar la palabra "Todas".
c) Si participó en el llenado de todas las preguntas de una sección, subsección, apartado y/ o subapartado, anotar la nomenclatura correspondiente, separando con comas en caso de que sean dos o más. Ejemplo: I, I.2, I.3.1, I.4.1.1.
d) En caso de que su participación incluya secciones, subsecciones, apartados o subapartados completos, así como algunas preguntas específicas, anotar de forma combinada. Ejemplo: I, II.2, I.4.2, P1.25, P1.26.</t>
  </si>
  <si>
    <t>Principales fuentes de información utilizadas para la integración de la información proporcionada:</t>
  </si>
  <si>
    <r>
      <t xml:space="preserve">Como </t>
    </r>
    <r>
      <rPr>
        <b/>
        <i/>
        <sz val="8"/>
        <rFont val="Arial"/>
        <family val="2"/>
      </rPr>
      <t xml:space="preserve">fuente principal </t>
    </r>
    <r>
      <rPr>
        <i/>
        <sz val="8"/>
        <rFont val="Arial"/>
        <family val="2"/>
      </rPr>
      <t xml:space="preserve">debe considerar aquella con la cual se genera toda o la mayor parte de información que proporciona, mientras que las </t>
    </r>
    <r>
      <rPr>
        <b/>
        <i/>
        <sz val="8"/>
        <rFont val="Arial"/>
        <family val="2"/>
      </rPr>
      <t xml:space="preserve">fuentes secundarias </t>
    </r>
    <r>
      <rPr>
        <i/>
        <sz val="8"/>
        <rFont val="Arial"/>
        <family val="2"/>
      </rPr>
      <t>serían aquellas de las cuales se obtiene el resto de información (cuando hay más de una fuente).</t>
    </r>
  </si>
  <si>
    <r>
      <t xml:space="preserve">En la columna </t>
    </r>
    <r>
      <rPr>
        <b/>
        <i/>
        <sz val="8"/>
        <rFont val="Arial"/>
        <family val="2"/>
      </rPr>
      <t xml:space="preserve">Nombre de la fuente </t>
    </r>
    <r>
      <rPr>
        <i/>
        <sz val="8"/>
        <rFont val="Arial"/>
        <family val="2"/>
      </rPr>
      <t>debe</t>
    </r>
    <r>
      <rPr>
        <b/>
        <i/>
        <sz val="8"/>
        <rFont val="Arial"/>
        <family val="2"/>
      </rPr>
      <t xml:space="preserve"> </t>
    </r>
    <r>
      <rPr>
        <i/>
        <sz val="8"/>
        <rFont val="Arial"/>
        <family val="2"/>
      </rPr>
      <t>anotar el nombre o, en caso de no tenerlo, la descripción de la fuente principal y secundarias que utilizó. Si el tipo de fuente es "De palabra", en este campo deberá registrar la leyenda "De palabra".</t>
    </r>
  </si>
  <si>
    <r>
      <t xml:space="preserve">En la columna </t>
    </r>
    <r>
      <rPr>
        <b/>
        <i/>
        <sz val="8"/>
        <rFont val="Arial"/>
        <family val="2"/>
      </rPr>
      <t>Tipo de fuente</t>
    </r>
    <r>
      <rPr>
        <i/>
        <sz val="8"/>
        <rFont val="Arial"/>
        <family val="2"/>
      </rPr>
      <t xml:space="preserve"> debe clasificar la fuente o fuentes según los tipos establecidos en el catálogo siguiente, con base en las características que más se adapten a esta (seleccionar de la lista desplegable el código o numeral que corresponda al tipo deseado): </t>
    </r>
  </si>
  <si>
    <r>
      <rPr>
        <b/>
        <i/>
        <u/>
        <sz val="8"/>
        <rFont val="Arial"/>
        <family val="2"/>
      </rPr>
      <t xml:space="preserve">Catálogo de tipos de fuente:
</t>
    </r>
    <r>
      <rPr>
        <b/>
        <i/>
        <sz val="8"/>
        <rFont val="Arial"/>
        <family val="2"/>
      </rPr>
      <t>1. Sistema informático propio:</t>
    </r>
    <r>
      <rPr>
        <i/>
        <sz val="8"/>
        <rFont val="Arial"/>
        <family val="2"/>
      </rPr>
      <t xml:space="preserve"> corresponde a una solución informática que haya sido desarrollada de manera específica para los fines de la institución, ya sea de forma interna o por un tercero, y tenga el propósito de almacenar o procesar la información generada o utilizada por la institución.
</t>
    </r>
    <r>
      <rPr>
        <b/>
        <i/>
        <sz val="8"/>
        <rFont val="Arial"/>
        <family val="2"/>
      </rPr>
      <t>2. Software comercial especializado:</t>
    </r>
    <r>
      <rPr>
        <i/>
        <sz val="8"/>
        <rFont val="Arial"/>
        <family val="2"/>
      </rPr>
      <t xml:space="preserve"> se refiere a algún programa o plataforma comercial diseñada o gestionada por un tercero ajeno a la institución, que sirve para los fines de almacenamiento y procesamiento de su información, sin ser un desarrollo exclusivo para la misma.
</t>
    </r>
    <r>
      <rPr>
        <b/>
        <i/>
        <sz val="8"/>
        <rFont val="Arial"/>
        <family val="2"/>
      </rPr>
      <t>3. Base de datos u hojas de cálculo estructuradas y estandarizadas:</t>
    </r>
    <r>
      <rPr>
        <i/>
        <sz val="8"/>
        <rFont val="Arial"/>
        <family val="2"/>
      </rPr>
      <t xml:space="preserve"> se refiere a la existencia de bases de datos, tablas o conjunto de datos planos que se encuentran estructurados y estandarizados, permitiendo su explotación o consulta a través de un software estadístico o de bases de datos o funciones automatizadas o semi automatizadas (considera archivos que incluyan tablas dinámicas, programación de macros en VBA, formularios y BD en Access o similares).
</t>
    </r>
    <r>
      <rPr>
        <b/>
        <i/>
        <sz val="8"/>
        <rFont val="Arial"/>
        <family val="2"/>
      </rPr>
      <t>4. Hojas de cálculo no estructuradas o no estandarizadas:</t>
    </r>
    <r>
      <rPr>
        <i/>
        <sz val="8"/>
        <rFont val="Arial"/>
        <family val="2"/>
      </rPr>
      <t xml:space="preserve"> corresponde a que la fuente de información son libros u hojas de Excel o software similar, que concentran información generada por la institución y es consultada de forma directa sin posibilidad de hacer consultas de forma masiva o de un conjunto de datos de forma automatizada o semi automatizada. 
</t>
    </r>
    <r>
      <rPr>
        <b/>
        <i/>
        <sz val="8"/>
        <rFont val="Arial"/>
        <family val="2"/>
      </rPr>
      <t>5. Libro de gobierno en formato electrónico:</t>
    </r>
    <r>
      <rPr>
        <i/>
        <sz val="8"/>
        <rFont val="Arial"/>
        <family val="2"/>
      </rPr>
      <t xml:space="preserve"> corresponde a los libros o documentos en formato electrónico que se organizan conforme a lineamientos específicos y cuentan con formalidades como foliación, firmas, sellos, autorizaciones, etcétera, que contienen los registros de los procesos o actividades sustantivas del área o institución que genera la información.
</t>
    </r>
    <r>
      <rPr>
        <b/>
        <i/>
        <sz val="8"/>
        <rFont val="Arial"/>
        <family val="2"/>
      </rPr>
      <t xml:space="preserve">6. Libro de gobierno en papel: </t>
    </r>
    <r>
      <rPr>
        <i/>
        <sz val="8"/>
        <rFont val="Arial"/>
        <family val="2"/>
      </rPr>
      <t xml:space="preserve">corresponde a los libros o documentos físicos que se organizan conforme a lineamientos específicos y cuentan con formalidades como foliación, firmas, sellos, autorizaciones, etcétera, que contienen los registros de los procesos o actividades sustantivas del área o institución que genera la información.
</t>
    </r>
    <r>
      <rPr>
        <b/>
        <i/>
        <sz val="8"/>
        <rFont val="Arial"/>
        <family val="2"/>
      </rPr>
      <t>7. Bitácora en documento de texto electrónico:</t>
    </r>
    <r>
      <rPr>
        <i/>
        <sz val="8"/>
        <rFont val="Arial"/>
        <family val="2"/>
      </rPr>
      <t xml:space="preserve"> se refiere al registro o fuente en la que la información contenida está registrada en documentos electrónicos sin la formalidad de un libro de gobierno y que se utiliza para las actividades cotidianas del área o institución que proporciona la información.
</t>
    </r>
    <r>
      <rPr>
        <b/>
        <i/>
        <sz val="8"/>
        <rFont val="Arial"/>
        <family val="2"/>
      </rPr>
      <t>8. Bitácora en documento de texto en papel:</t>
    </r>
    <r>
      <rPr>
        <i/>
        <sz val="8"/>
        <rFont val="Arial"/>
        <family val="2"/>
      </rPr>
      <t xml:space="preserve"> se refiere al registro o fuente en la que la información contenida está registrada en documentos físicos sin la formalidad de un libro de gobierno y que se utiliza para las actividades cotidianas del área o institución que proporciona la información.
</t>
    </r>
    <r>
      <rPr>
        <b/>
        <i/>
        <sz val="8"/>
        <rFont val="Arial"/>
        <family val="2"/>
      </rPr>
      <t>9. De palabra:</t>
    </r>
    <r>
      <rPr>
        <i/>
        <sz val="8"/>
        <rFont val="Arial"/>
        <family val="2"/>
      </rPr>
      <t xml:space="preserve"> corresponde a cuando no existe una documentación o registro físico o electrónico y la información se obtiene "de palabra", es decir, la información se obtiene directamente de las personas involucradas en las actividades (ellas son la fuente) y está supeditada a la memoria de las personas servidoras públicas, no existiendo evidencia documental de lo reportado.
</t>
    </r>
    <r>
      <rPr>
        <b/>
        <i/>
        <sz val="8"/>
        <rFont val="Arial"/>
        <family val="2"/>
      </rPr>
      <t>10. Otra:</t>
    </r>
    <r>
      <rPr>
        <i/>
        <sz val="8"/>
        <rFont val="Arial"/>
        <family val="2"/>
      </rPr>
      <t xml:space="preserve"> se debe seleccionar cuando ninguno de los tipos de fuente listados anteriormente responde a las características de la fuente o medio de registro que es utilizado por el área o persona participante para el registro de la información proporcionada en este instrumento de captación.</t>
    </r>
  </si>
  <si>
    <r>
      <t xml:space="preserve">En caso de que seleccione la categoría </t>
    </r>
    <r>
      <rPr>
        <b/>
        <i/>
        <sz val="8"/>
        <rFont val="Arial"/>
        <family val="2"/>
      </rPr>
      <t>"Otra"</t>
    </r>
    <r>
      <rPr>
        <i/>
        <sz val="8"/>
        <rFont val="Arial"/>
        <family val="2"/>
      </rPr>
      <t xml:space="preserve"> en alguna de las columnas </t>
    </r>
    <r>
      <rPr>
        <b/>
        <i/>
        <sz val="8"/>
        <rFont val="Arial"/>
        <family val="2"/>
      </rPr>
      <t>"Tipo de fuente"</t>
    </r>
    <r>
      <rPr>
        <i/>
        <sz val="8"/>
        <rFont val="Arial"/>
        <family val="2"/>
      </rPr>
      <t>, favor de especificar ese otro tipo de fuente en la columna "Comentarios o especificaciones sobre el tipo de fuente".</t>
    </r>
  </si>
  <si>
    <t xml:space="preserve">No. </t>
  </si>
  <si>
    <t>Título</t>
  </si>
  <si>
    <t>Nombre(s)</t>
  </si>
  <si>
    <t>Primer apellido</t>
  </si>
  <si>
    <t>Segundo apellido</t>
  </si>
  <si>
    <t>Institución</t>
  </si>
  <si>
    <t xml:space="preserve">Unidad administrativa de adscripción </t>
  </si>
  <si>
    <t xml:space="preserve">Cargo o puesto </t>
  </si>
  <si>
    <t>Correo electrónico</t>
  </si>
  <si>
    <t>Sección y/ o preguntas en las que participó</t>
  </si>
  <si>
    <t>Principales fuentes utilizadas para la integración de la información proporcionada</t>
  </si>
  <si>
    <t>Fuente principal</t>
  </si>
  <si>
    <t>Fuente secundaria 1</t>
  </si>
  <si>
    <t>Fuente secundaria 2</t>
  </si>
  <si>
    <t>Comentarios o especificaciones sobre el tipo de fuente</t>
  </si>
  <si>
    <t>Nombre de la fuente</t>
  </si>
  <si>
    <t>Tipo de fuente</t>
  </si>
  <si>
    <t>Ej.</t>
  </si>
  <si>
    <t>Licenciada</t>
  </si>
  <si>
    <t>Hernández</t>
  </si>
  <si>
    <t>Secretaría de Salud</t>
  </si>
  <si>
    <t>Dirección General de Administración</t>
  </si>
  <si>
    <t>Directora de Recursos Financieros</t>
  </si>
  <si>
    <t>hernandezg@dgsp.gob.mx</t>
  </si>
  <si>
    <t>I, II.2, I.4.2, P1.25, P1.26</t>
  </si>
  <si>
    <t>Control de nómina que utiliza el área de recursos humanos</t>
  </si>
  <si>
    <t>Sistema de administración presupuestal y financiero</t>
  </si>
  <si>
    <t>De palabra</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</si>
  <si>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</si>
  <si>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</si>
  <si>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</si>
  <si>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</si>
  <si>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</si>
  <si>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</si>
  <si>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</si>
  <si>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</si>
  <si>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</si>
  <si>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</si>
  <si>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</si>
  <si>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</si>
  <si>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</si>
  <si>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</si>
  <si>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</si>
  <si>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</si>
  <si>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</si>
  <si>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</si>
  <si>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</si>
  <si>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</si>
  <si>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</si>
  <si>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</si>
  <si>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</si>
  <si>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</si>
  <si>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</si>
  <si>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</si>
  <si>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</si>
  <si>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</si>
  <si>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</si>
  <si>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</si>
  <si>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</si>
  <si>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</si>
  <si>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</si>
  <si>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</si>
  <si>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</si>
  <si>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 xml:space="preserve"> </t>
  </si>
  <si>
    <t>Instrucciones generales para las preguntas de la sección:</t>
  </si>
  <si>
    <r>
      <t xml:space="preserve">1.- Periodo de referencia de los datos: 
</t>
    </r>
    <r>
      <rPr>
        <b/>
        <i/>
        <sz val="8"/>
        <rFont val="Arial"/>
        <family val="2"/>
      </rPr>
      <t>Durante el año:</t>
    </r>
    <r>
      <rPr>
        <i/>
        <sz val="8"/>
        <rFont val="Arial"/>
        <family val="2"/>
      </rPr>
      <t xml:space="preserve"> la información se refiere a lo existente del 01 de enero al 31 de diciembre de 2023.
</t>
    </r>
    <r>
      <rPr>
        <b/>
        <i/>
        <sz val="8"/>
        <rFont val="Arial"/>
        <family val="2"/>
      </rPr>
      <t>Al cierre del año:</t>
    </r>
    <r>
      <rPr>
        <i/>
        <sz val="8"/>
        <rFont val="Arial"/>
        <family val="2"/>
      </rPr>
      <t xml:space="preserve"> la información se refiere a lo existente al 31 de diciembre de 2023.</t>
    </r>
  </si>
  <si>
    <t>2.- Los catálogos utilizados en el presente cuestionario corresponden a denominaciones estándar, de tal forma que si el nombre de alguna categoría no coincide exactamente con la utilizada en su institución, debe registrar los datos en aquella que sea homóloga.</t>
  </si>
  <si>
    <t>3.- Únicamente debe considerar la información relacionada con los centros especializados de tratamiento o internamiento para adolescentes que son responsabilidad de la Administración Pública de su entidad federativa, por lo que no debe considerar aquella correspondiente a los centros especializados de tratamiento o internamiento para adolescentes que son responsabilidad de las administraciones públicas municipales y/ o de la Administración Pública Federal. Tampoco debe considerar la información de los centros penitenciarios, toda vez que esta se requiere en el módulo 1 de este censo.</t>
  </si>
  <si>
    <t>4.- Únicamente debe considerar la información de los centros especializados que liste en la pregunta 1.1.</t>
  </si>
  <si>
    <t>5.- El listado de centros especializados que se despliega corresponde al que registre como respuesta en la pregunta 1.1.</t>
  </si>
  <si>
    <t>6.- Con excepción de la existencia de instrucciones, variables y/ o catálogos específicos que prevean alguna situación particular asociada a la información requerida, en caso de que determinada categoría no se encuentre prevista en su normatividad aplicable, anote "NA" (No aplica) en las celdas correspondientes.</t>
  </si>
  <si>
    <t>7.- Con excepción de la existencia de instrucciones, variables y/ o catálogos específicos que prevean alguna situación particular asociada a la información requerida, en caso de que los registros con los que cuente no le permitan desglosar la información de acuerdo con los requerimientos solicitados, anote "NS" (No se sabe) en las celdas donde no disponga de información. En el recuadro para comentarios de cada pregunta debe proporcionar una justificación respecto del uso del "NS" en determinado reactivo.</t>
  </si>
  <si>
    <t xml:space="preserve">8.- No deje celdas en blanco, salvo en los casos en que la instrucción así lo solicite. </t>
  </si>
  <si>
    <t>Glosario de la sección:</t>
  </si>
  <si>
    <r>
      <t xml:space="preserve">1.- </t>
    </r>
    <r>
      <rPr>
        <b/>
        <i/>
        <sz val="8"/>
        <rFont val="Arial"/>
        <family val="2"/>
      </rPr>
      <t>Centros especializados.</t>
    </r>
    <r>
      <rPr>
        <i/>
        <sz val="8"/>
        <rFont val="Arial"/>
        <family val="2"/>
      </rPr>
      <t xml:space="preserve"> Se refiere a todos aquellos establecimientos del ámbito estatal destinados al internamiento o semi-internamiento de las personas adolescentes, tales como: centros de tratamiento o internamiento, escuelas de readaptación social, comunidades, albergues, o cualquier otro que tenga funciones de internamiento para personas adolescentes que se encuentren sujetas a un proceso penal o en ejecución de una resolución.</t>
    </r>
  </si>
  <si>
    <t>.</t>
  </si>
  <si>
    <t>I.1 Centros especializados y capacidad instalada</t>
  </si>
  <si>
    <t>Glosario de la subsección:</t>
  </si>
  <si>
    <r>
      <t xml:space="preserve">1.- </t>
    </r>
    <r>
      <rPr>
        <b/>
        <i/>
        <sz val="8"/>
        <rFont val="Arial"/>
        <family val="2"/>
      </rPr>
      <t>Capacidad instalada para las personas adolescentes con resolución.</t>
    </r>
    <r>
      <rPr>
        <i/>
        <sz val="8"/>
        <rFont val="Arial"/>
        <family val="2"/>
      </rPr>
      <t xml:space="preserve"> Se refiere a los espacios, medidos en número de camas útiles, con los que cuentan los centros especializados para las personas adolescentes con resolución de primera instancia y/ o resolución definitiva.</t>
    </r>
  </si>
  <si>
    <r>
      <t xml:space="preserve">2.- </t>
    </r>
    <r>
      <rPr>
        <b/>
        <i/>
        <sz val="8"/>
        <rFont val="Arial"/>
        <family val="2"/>
      </rPr>
      <t xml:space="preserve">Capacidad instalada para las personas adolescentes en proceso de recibir resolución. </t>
    </r>
    <r>
      <rPr>
        <i/>
        <sz val="8"/>
        <rFont val="Arial"/>
        <family val="2"/>
      </rPr>
      <t>Se refiere a los espacios, medidos en número de camas útiles, con los que cuentan los centros especializados para las personas adolescentes que se encuentran en proceso de recibir resolución de primera instancia; incluyendo aquellos espacios para la población adolescente que se encuentra pendiente de ser puesta a disposición del órgano jurisdiccional correspondiente.</t>
    </r>
  </si>
  <si>
    <r>
      <t xml:space="preserve">3.- </t>
    </r>
    <r>
      <rPr>
        <b/>
        <i/>
        <sz val="8"/>
        <rFont val="Arial"/>
        <family val="2"/>
      </rPr>
      <t>Modelo arquitectónico.</t>
    </r>
    <r>
      <rPr>
        <i/>
        <sz val="8"/>
        <rFont val="Arial"/>
        <family val="2"/>
      </rPr>
      <t xml:space="preserve"> Se refiere al componente del régimen penitenciario que aporta los elementos de seguridad física, restringiendo o facilitando el desplazamiento, así como los espacios requeridos por los programas de alojamiento. Para efectos del presente censo, se clasifican en los siguientes tipos:</t>
    </r>
  </si>
  <si>
    <r>
      <rPr>
        <b/>
        <i/>
        <sz val="8"/>
        <rFont val="Arial"/>
        <family val="2"/>
      </rPr>
      <t xml:space="preserve">Panóptico. </t>
    </r>
    <r>
      <rPr>
        <i/>
        <sz val="8"/>
        <rFont val="Arial"/>
        <family val="2"/>
      </rPr>
      <t>Se refiere al diseño arquitectónico donde existen dos edificios concéntricos enfrentados entre sí. Uno es la torre de vigilancia central, desde la cual se puede observar cada dormitorio sin que las personas adolescentes internadas se percaten de que son vigiladas. La externa son los dormitorios a lo largo de la circunferencia, en donde se ubican las personas adolescentes internadas. Este modelo se caracteriza porque todos los dormitorios se encuentran abiertos por la parte interior y protegidos por una reja de hierro. A su vez, cada dormitorio cuenta con una ventana que da al exterior.</t>
    </r>
  </si>
  <si>
    <r>
      <rPr>
        <b/>
        <i/>
        <sz val="8"/>
        <rFont val="Arial"/>
        <family val="2"/>
      </rPr>
      <t>Radial.</t>
    </r>
    <r>
      <rPr>
        <i/>
        <sz val="8"/>
        <rFont val="Arial"/>
        <family val="2"/>
      </rPr>
      <t xml:space="preserve"> Se refiere al modelo arquitectónico, circular o no, que cuenta con seis corredores que parten del centro a intervalos regulares. En el centro, donde convergen los corredores, se encuentra un centro de vigilancia circular. Tanto en los corredores como en la estructura circular externa, en caso de que la haya, se pueden situar dormitorios o servicios generales. Entre ellos, se forman patios.</t>
    </r>
  </si>
  <si>
    <r>
      <rPr>
        <b/>
        <i/>
        <sz val="8"/>
        <rFont val="Arial"/>
        <family val="2"/>
      </rPr>
      <t xml:space="preserve">Partido paralelo. </t>
    </r>
    <r>
      <rPr>
        <i/>
        <sz val="8"/>
        <rFont val="Arial"/>
        <family val="2"/>
      </rPr>
      <t xml:space="preserve">Se refiere al diseño arquitectónico en el que los dormitorios, oficinas y servicios se encuentran ubicados en pasillos paralelos y son comunicados por un pasillo principal transversal. En el lugar donde convergen los pasillos se encuentran salas de control o puestos fijos de vigilancia en donde el personal de custodia y/ o vigilancia se ubica detrás de barreras físicas que les brindan seguridad. Los edificios pueden contar con uno o más pisos con el mismo diseño, los cuales permiten un sistema arquitectónico de fácil clasificación de las personas adolescentes internadas en espacios distintos. Este estilo arquitectónico se caracteriza por la sobriedad en el colorido, muros gruesos, muebles específicos rígidos y sujetos al piso para evitar ser utilizados como armas. </t>
    </r>
  </si>
  <si>
    <r>
      <rPr>
        <b/>
        <i/>
        <sz val="8"/>
        <rFont val="Arial"/>
        <family val="2"/>
      </rPr>
      <t>Podular.</t>
    </r>
    <r>
      <rPr>
        <i/>
        <sz val="8"/>
        <rFont val="Arial"/>
        <family val="2"/>
      </rPr>
      <t xml:space="preserve"> Se refiere al diseño arquitectónico que permite mayor flexibilidad en el movimiento interno del centro especializado, ya que no hay barreras físicas que separen al personal de custodia y/ o vigilancia de las personas adolescentes internadas. Se caracteriza por el uso de colores más brillantes y un uso esporádico de materiales de seguridad y/ o antivandalismo propios de la arquitectura penitenciaria convencional.</t>
    </r>
  </si>
  <si>
    <t>1.1.-</t>
  </si>
  <si>
    <t>Anote el nombre de cada uno de los centros especializados en operación al cierre del año 2023 con los que contaba su entidad federativa. Por cada uno de estos, señale el tipo de centro especializado del que se trate, así como su modelo arquitectónico; utilizando para tal efecto los catálogos que se presentan en la parte inferior de la siguiente tabla. Asimismo, anote el año de inicio de sus operaciones.</t>
  </si>
  <si>
    <t>En la columna "Nombre de los centros especializados" debe anotar el nombre de cada uno de los centros especializados con los que haya contado. Por su parte, en la columna "ID centro especializado" el personal INEGI debe anotar su clave y/ o número de identificación.</t>
  </si>
  <si>
    <t>El nombre de los centros especializados debe registrarse en mayúsculas, sin comillas ni signos de acentuación, puntuación, paréntesis y abreviaturas.</t>
  </si>
  <si>
    <t>En caso de que seleccione el código "5" en la columna "Tipo de centro especializado", debe anotar el nombre de dicho(s) tipo(s) centro(s) especializado(s) en el recuadro destinado para tal efecto que se encuentra al final de la tabla de respuesta.</t>
  </si>
  <si>
    <t>En caso de que seleccione el código "5" en la columna "Modelo arquitectónico", debe anotar el nombre de dicho(s) modelo(s) arquitectónico(s) en el recuadro destinado para tal efecto que se encuentra al final de la tabla de respuesta.</t>
  </si>
  <si>
    <t>En el Complemento 1 debe anotar el tipo de posesión, ubicación geográfica, horario de visitas y datos de contacto de cada uno de los centros especializados.</t>
  </si>
  <si>
    <t>Complemento 1</t>
  </si>
  <si>
    <t>Nombre de los centros especializados</t>
  </si>
  <si>
    <r>
      <t xml:space="preserve">ID centro especializado
</t>
    </r>
    <r>
      <rPr>
        <i/>
        <sz val="8"/>
        <rFont val="Arial"/>
        <family val="2"/>
      </rPr>
      <t>(para uso exclusivo del personal del INEGI)</t>
    </r>
  </si>
  <si>
    <r>
      <t xml:space="preserve">Tipo de centro especializado
</t>
    </r>
    <r>
      <rPr>
        <i/>
        <sz val="8"/>
        <rFont val="Arial"/>
        <family val="2"/>
      </rPr>
      <t>(ver catálogo)</t>
    </r>
  </si>
  <si>
    <r>
      <t xml:space="preserve">Modelo arquitectónico
</t>
    </r>
    <r>
      <rPr>
        <i/>
        <sz val="8"/>
        <rFont val="Arial"/>
        <family val="2"/>
      </rPr>
      <t>(ver catálogo)</t>
    </r>
  </si>
  <si>
    <r>
      <t xml:space="preserve">Año de inicio de operaciones
</t>
    </r>
    <r>
      <rPr>
        <i/>
        <sz val="8"/>
        <rFont val="Arial"/>
        <family val="2"/>
      </rPr>
      <t>(aaaa)</t>
    </r>
  </si>
  <si>
    <t>BLANCOS</t>
  </si>
  <si>
    <t>MINUSC</t>
  </si>
  <si>
    <t>ACENTO</t>
  </si>
  <si>
    <t>SIGNO</t>
  </si>
  <si>
    <t>NS</t>
  </si>
  <si>
    <t>AÑO</t>
  </si>
  <si>
    <t>VAL_AÑO</t>
  </si>
  <si>
    <t>COD_5 tipo</t>
  </si>
  <si>
    <r>
      <t xml:space="preserve">COD_5 </t>
    </r>
    <r>
      <rPr>
        <sz val="7"/>
        <color theme="1"/>
        <rFont val="Arial"/>
        <family val="2"/>
      </rPr>
      <t>modelo</t>
    </r>
  </si>
  <si>
    <t>Total de centros especializados</t>
  </si>
  <si>
    <r>
      <rPr>
        <sz val="9"/>
        <rFont val="Arial"/>
        <family val="2"/>
      </rPr>
      <t>Otro tipo:</t>
    </r>
    <r>
      <rPr>
        <sz val="8"/>
        <rFont val="Arial"/>
        <family val="2"/>
      </rPr>
      <t xml:space="preserve">
</t>
    </r>
    <r>
      <rPr>
        <i/>
        <sz val="8"/>
        <rFont val="Arial"/>
        <family val="2"/>
      </rPr>
      <t>(especifique)</t>
    </r>
  </si>
  <si>
    <t xml:space="preserve">  </t>
  </si>
  <si>
    <r>
      <rPr>
        <sz val="9"/>
        <rFont val="Arial"/>
        <family val="2"/>
      </rPr>
      <t>Otro modelo arquitectónico:</t>
    </r>
    <r>
      <rPr>
        <sz val="8"/>
        <rFont val="Arial"/>
        <family val="2"/>
      </rPr>
      <t xml:space="preserve">
</t>
    </r>
    <r>
      <rPr>
        <i/>
        <sz val="8"/>
        <rFont val="Arial"/>
        <family val="2"/>
      </rPr>
      <t>(especifique)</t>
    </r>
  </si>
  <si>
    <t>Catálogo de tipo de centro especializado</t>
  </si>
  <si>
    <t>Catálogo de modelo arquitectónico</t>
  </si>
  <si>
    <t>Centro de tratamiento o internamiento para personas adolescentes</t>
  </si>
  <si>
    <t>Panóptico</t>
  </si>
  <si>
    <t>Escuela de readaptación social</t>
  </si>
  <si>
    <t>Radial</t>
  </si>
  <si>
    <t>Comunidad o albergue</t>
  </si>
  <si>
    <t>Partido paralelo</t>
  </si>
  <si>
    <t>Centro especializado para personas adolescentes</t>
  </si>
  <si>
    <t xml:space="preserve">Podular </t>
  </si>
  <si>
    <r>
      <t xml:space="preserve">Otro tipo </t>
    </r>
    <r>
      <rPr>
        <i/>
        <sz val="8"/>
        <rFont val="Arial"/>
        <family val="2"/>
      </rPr>
      <t>(especifique)</t>
    </r>
  </si>
  <si>
    <r>
      <t xml:space="preserve">Otro modelo arquitectónico </t>
    </r>
    <r>
      <rPr>
        <i/>
        <sz val="8"/>
        <rFont val="Arial"/>
        <family val="2"/>
      </rPr>
      <t>(especifique)</t>
    </r>
  </si>
  <si>
    <t>En caso de tener algún comentario u observación al dato registrado en la respuesta de la presente pregunta, o los datos que derivan de la misma, favor de anotarlo en el siguiente espacio. De lo contrario, déjelo en blanco.</t>
  </si>
  <si>
    <t>1.2.-</t>
  </si>
  <si>
    <t>Indique, por cada uno de los centros especializados de su entidad federativa, si al cierre del año 2023 contaba con alguna certificación o acreditación. En caso afirmativo, anote el total de certificaciones o acreditaciones con las que contaba.</t>
  </si>
  <si>
    <t>Debe considerar la información correspondiente a las certificaciones o acreditaciones de los centros especializados relacionadas con su infraestructura, la prestación de servicios a las personas adolescentes internadas, así como los procesos y sistemas de gestión de calidad al interior de los mismos.</t>
  </si>
  <si>
    <t>En caso de que determinado centro especializado no haya contado con alguna certificación o acreditación, se haya encontrado en proceso de certificación, o no cuente con información para determinarlo, indíquelo en la columna correspondiente conforme al catálogo respectivo y deje el resto de la fila en blanco.</t>
  </si>
  <si>
    <t>En el Complemento 2 debe anotar el nombre de las certificaciones o acreditaciones con las que contaba determinado centro especializado, así como el nombre de la autoridad o asociación que la(s) haya otorgado, año de entrada en vigor y año de vencimiento.</t>
  </si>
  <si>
    <t>Complemento 2</t>
  </si>
  <si>
    <r>
      <t xml:space="preserve">¿Contaba con alguna certificación o acreditación?
</t>
    </r>
    <r>
      <rPr>
        <i/>
        <sz val="8"/>
        <rFont val="Arial"/>
        <family val="2"/>
      </rPr>
      <t>(1. Sí / 2. En proceso de certificación / 3. No / 9. No identificado)</t>
    </r>
  </si>
  <si>
    <t>Certificaciones o acreditaciones</t>
  </si>
  <si>
    <t>BLOQUEO</t>
  </si>
  <si>
    <t>ACREDITACION</t>
  </si>
  <si>
    <t>PREG.PIVOTE</t>
  </si>
  <si>
    <t>1.3.-</t>
  </si>
  <si>
    <t>Anote, por cada uno de los centros especializados de su entidad federativa, la capacidad instalada con la que contaba al cierre del año 2023, según estatus jurídico y sexo de las personas adolescentes internadas a las que estaba destinada.</t>
  </si>
  <si>
    <t>Por capacidad instalada debe considerar los espacios destinados como camas útiles, mas no las personas adolescentes internadas.</t>
  </si>
  <si>
    <t>En el apartado "Espacios (camas útiles) para personas adolescentes internadas con resolución y sin resolución" debe considerar aquellos espacios destinados a las personas adolescentes internadas en los que no se presenta alguna distinción respecto de su estatus jurídico.</t>
  </si>
  <si>
    <t>Capacidad instalada, según estatus jurídico y sexo de las personas adolescentes internadas a las que estaba destinada</t>
  </si>
  <si>
    <t>Total</t>
  </si>
  <si>
    <t>Hombres</t>
  </si>
  <si>
    <t>Mujeres</t>
  </si>
  <si>
    <t xml:space="preserve">No identificado </t>
  </si>
  <si>
    <r>
      <t xml:space="preserve">Espacios </t>
    </r>
    <r>
      <rPr>
        <i/>
        <sz val="8"/>
        <rFont val="Arial"/>
        <family val="2"/>
      </rPr>
      <t>(camas útiles)</t>
    </r>
    <r>
      <rPr>
        <sz val="9"/>
        <rFont val="Arial"/>
        <family val="2"/>
      </rPr>
      <t xml:space="preserve"> para personas adolescentes internadas con resolución</t>
    </r>
  </si>
  <si>
    <r>
      <t xml:space="preserve">Espacios </t>
    </r>
    <r>
      <rPr>
        <i/>
        <sz val="8"/>
        <rFont val="Arial"/>
        <family val="2"/>
      </rPr>
      <t>(camas útiles)</t>
    </r>
    <r>
      <rPr>
        <sz val="9"/>
        <rFont val="Arial"/>
        <family val="2"/>
      </rPr>
      <t xml:space="preserve"> para personas adolescentes internadas sin resolución</t>
    </r>
  </si>
  <si>
    <r>
      <t xml:space="preserve">Espacios </t>
    </r>
    <r>
      <rPr>
        <i/>
        <sz val="8"/>
        <rFont val="Arial"/>
        <family val="2"/>
      </rPr>
      <t>(camas útiles)</t>
    </r>
    <r>
      <rPr>
        <sz val="9"/>
        <rFont val="Arial"/>
        <family val="2"/>
      </rPr>
      <t xml:space="preserve"> para personas adolescentes internadas con resolución y sin resolución</t>
    </r>
  </si>
  <si>
    <t>Subtotal</t>
  </si>
  <si>
    <t xml:space="preserve">No Identificado </t>
  </si>
  <si>
    <t>NS1</t>
  </si>
  <si>
    <t>SUMA 1</t>
  </si>
  <si>
    <t>COMP 1</t>
  </si>
  <si>
    <t>NS2</t>
  </si>
  <si>
    <t>SUMA 2</t>
  </si>
  <si>
    <t>COMP 2</t>
  </si>
  <si>
    <t>NS3</t>
  </si>
  <si>
    <t>SUMA 3</t>
  </si>
  <si>
    <t>COMP 3</t>
  </si>
  <si>
    <t>NS4</t>
  </si>
  <si>
    <t>SUMA 4</t>
  </si>
  <si>
    <t>COMP 4</t>
  </si>
  <si>
    <t>S</t>
  </si>
  <si>
    <t>SUM COMP:</t>
  </si>
  <si>
    <t>NS COMP:</t>
  </si>
  <si>
    <t>TOT COMP:</t>
  </si>
  <si>
    <t>DES1 COMP:</t>
  </si>
  <si>
    <t>DES2 COMP:</t>
  </si>
  <si>
    <t>DES3 COMP:</t>
  </si>
  <si>
    <t>I.2 Espacios físicos</t>
  </si>
  <si>
    <r>
      <t xml:space="preserve">1.- </t>
    </r>
    <r>
      <rPr>
        <b/>
        <i/>
        <sz val="8"/>
        <rFont val="Arial"/>
        <family val="2"/>
      </rPr>
      <t>Dormitorios.</t>
    </r>
    <r>
      <rPr>
        <i/>
        <sz val="8"/>
        <rFont val="Arial"/>
        <family val="2"/>
      </rPr>
      <t xml:space="preserve"> Se refiere a los espacios físicos destinados al alojamiento de las personas adolescentes durante el internamiento, tanto de forma individual como colectiva.</t>
    </r>
  </si>
  <si>
    <r>
      <t xml:space="preserve">2- </t>
    </r>
    <r>
      <rPr>
        <b/>
        <i/>
        <sz val="8"/>
        <rFont val="Arial"/>
        <family val="2"/>
      </rPr>
      <t>Espacios físicos de infraestructura.</t>
    </r>
    <r>
      <rPr>
        <i/>
        <sz val="8"/>
        <rFont val="Arial"/>
        <family val="2"/>
      </rPr>
      <t xml:space="preserve"> Se refiere a todas aquellas áreas o partes que conforman el centro especializado en su estructura arquitectónica, por lo que de acuerdo con los tipos de función que se presentan, corresponde al espacio físico claramente dividido que tiene por objeto el desarrollo de una función específica para efectos del proceso de reinserción social en las personas adolescentes internadas.</t>
    </r>
  </si>
  <si>
    <t>1.4.-</t>
  </si>
  <si>
    <t>Indique, por cada uno de los centros especializados de su entidad federativa, si al cierre del año 2023 contaba con espacios físicos de infraestructura. En caso afirmativo, señale los espacios físicos de infraestructura con los que contaba; utilizando para tal efecto el catálogo que se presenta en la parte inferior de la siguiente tabla.</t>
  </si>
  <si>
    <t>En caso de que determinado centro especializado no haya contado con espacios físicos de infraestructura, o no cuente con información para determinarlo, indíquelo en la columna correspondiente conforme al catálogo respectivo y deje el resto de la fila en blanco.</t>
  </si>
  <si>
    <t>Para cada centro especializado, seleccione con una "X" el o los espacios físicos de infraestructura que correspondan.</t>
  </si>
  <si>
    <t>En caso de que seleccione el código "26" en el apartado "Espacios físicos de infraestructura", debe anotar el nombre de dicho(s) espacio(s) físico(s) de infraestructura en el recuadro destinado para tal efecto que se encuentra al final de la tabla de respuesta.</t>
  </si>
  <si>
    <t>(1 de 2)</t>
  </si>
  <si>
    <r>
      <t xml:space="preserve">¿Contaba con espacios físicos de infraestructura?
</t>
    </r>
    <r>
      <rPr>
        <i/>
        <sz val="8"/>
        <rFont val="Arial"/>
        <family val="2"/>
      </rPr>
      <t>(1. Sí / 2. No / 9. No identificado)</t>
    </r>
  </si>
  <si>
    <r>
      <t xml:space="preserve">Espacios físicos de infraestructura
</t>
    </r>
    <r>
      <rPr>
        <i/>
        <sz val="8"/>
        <rFont val="Arial"/>
        <family val="2"/>
      </rPr>
      <t>(ver catálogo)</t>
    </r>
  </si>
  <si>
    <t>COD_26</t>
  </si>
  <si>
    <t>(2 de 2)</t>
  </si>
  <si>
    <r>
      <t xml:space="preserve">Otro espacio físico de infraestructura:
</t>
    </r>
    <r>
      <rPr>
        <i/>
        <sz val="8"/>
        <rFont val="Arial"/>
        <family val="2"/>
      </rPr>
      <t>(especifique)</t>
    </r>
  </si>
  <si>
    <t>Catálogo de espacios físicos de infraestructura</t>
  </si>
  <si>
    <r>
      <t xml:space="preserve">Baños </t>
    </r>
    <r>
      <rPr>
        <i/>
        <sz val="8"/>
        <rFont val="Arial"/>
        <family val="2"/>
      </rPr>
      <t>(sin incluir los ubicados dentro de los dormitorios para las personas adolescentes internadas)</t>
    </r>
  </si>
  <si>
    <t>Espacios para la crianza de animales con fines de consumo humano</t>
  </si>
  <si>
    <r>
      <t xml:space="preserve">Lugares para aseo personal </t>
    </r>
    <r>
      <rPr>
        <i/>
        <sz val="8"/>
        <rFont val="Arial"/>
        <family val="2"/>
      </rPr>
      <t>(regaderas) (sin incluir los ubicados dentro de los dormitorios para las personas adolescentes internadas)</t>
    </r>
  </si>
  <si>
    <r>
      <t xml:space="preserve">Espacios para el cultivo agrícola </t>
    </r>
    <r>
      <rPr>
        <i/>
        <sz val="8"/>
        <rFont val="Arial"/>
        <family val="2"/>
      </rPr>
      <t>(plantas, semillas y/ o frutos)</t>
    </r>
  </si>
  <si>
    <t>Dormitorios para el personal</t>
  </si>
  <si>
    <t>Aulas escolares</t>
  </si>
  <si>
    <t>Áreas de ingreso y/ o aduanas</t>
  </si>
  <si>
    <r>
      <t xml:space="preserve">Canchas deportivas </t>
    </r>
    <r>
      <rPr>
        <i/>
        <sz val="8"/>
        <rFont val="Arial"/>
        <family val="2"/>
      </rPr>
      <t>(fútbol, baloncesto, voleibol, etc.)</t>
    </r>
  </si>
  <si>
    <t>Áreas de visita familiar</t>
  </si>
  <si>
    <t>Jardines y/ o jardineras</t>
  </si>
  <si>
    <t xml:space="preserve">Áreas de visita íntima </t>
  </si>
  <si>
    <t>Gimnasios</t>
  </si>
  <si>
    <r>
      <t xml:space="preserve">Locutorios </t>
    </r>
    <r>
      <rPr>
        <i/>
        <sz val="8"/>
        <rFont val="Arial"/>
        <family val="2"/>
      </rPr>
      <t>(para llamadas telefónicas y/ o videollamadas)</t>
    </r>
  </si>
  <si>
    <t>Oficinas administrativas</t>
  </si>
  <si>
    <t xml:space="preserve">Bibliotecas </t>
  </si>
  <si>
    <t xml:space="preserve">Juzgados </t>
  </si>
  <si>
    <t>Hospitales</t>
  </si>
  <si>
    <t>Comedores</t>
  </si>
  <si>
    <t>Consultorios médicos</t>
  </si>
  <si>
    <t>Espacios para culto religioso</t>
  </si>
  <si>
    <t>Consultorios de atención psicológica y/ o psiquiátrica</t>
  </si>
  <si>
    <r>
      <t xml:space="preserve">Áreas de esparcimiento y recreación </t>
    </r>
    <r>
      <rPr>
        <i/>
        <sz val="8"/>
        <rFont val="Arial"/>
        <family val="2"/>
      </rPr>
      <t>(para ver televisión, bailar, pintar, dibujar, etc.)</t>
    </r>
  </si>
  <si>
    <t>Salas de desintoxicación</t>
  </si>
  <si>
    <t>Lavandería y/ o área de lavado</t>
  </si>
  <si>
    <t>Talleres de oficios</t>
  </si>
  <si>
    <r>
      <t xml:space="preserve">Otro espacio físico de infraestructura </t>
    </r>
    <r>
      <rPr>
        <i/>
        <sz val="8"/>
        <rFont val="Arial"/>
        <family val="2"/>
      </rPr>
      <t>(especifique)</t>
    </r>
  </si>
  <si>
    <t>1.5.-</t>
  </si>
  <si>
    <t>Anote, por cada uno de los centros especializados de su entidad federativa, la cantidad de equipamiento con el que contaban al cierre del año 2023 los espacios físicos de infraestructura relacionados.</t>
  </si>
  <si>
    <t>Para cada centro especializado, en caso de que haya seleccionado el código "2" o "9" en la columna "¿Contaba con espacios físicos de infraestructura?" de la pregunta anterior, no puede registrar información en el presente reactivo.</t>
  </si>
  <si>
    <t>Para cada centro especializado, en caso de que no haya seleccionado el código "3" en el apartado "Espacios físicos de infraestructura" de la pregunta anterior, no puede registrar información en la columna "Camas útiles de los dormitorios para el personal".</t>
  </si>
  <si>
    <t>Para cada centro especializado, en caso de que no haya seleccionado el código "7" en el apartado "Espacios físicos de infraestructura" de la pregunta anterior, no puede registrar información en la columna "Cabinas de los locutorios".</t>
  </si>
  <si>
    <t>Para cada centro especializado, en caso de que no haya seleccionado el código "9", "10", "11" o "12" en el apartado "Espacios físicos de infraestructura" de la pregunta anterior, no puede registrar información en la columna "Camas hospitalarias".</t>
  </si>
  <si>
    <t>Para cada centro especializado, en caso de que no haya seleccionado el código "16" en el apartado "Espacios físicos de infraestructura" de la pregunta anterior, no puede registrar información en la columna "Pupitres, butacas o asientos escolares".</t>
  </si>
  <si>
    <t>Equipamiento de los espacios físicos de infraestructura relacionados</t>
  </si>
  <si>
    <t>BLOQUEOS</t>
  </si>
  <si>
    <r>
      <t xml:space="preserve">Camas útiles de los dormitorios para el personal </t>
    </r>
    <r>
      <rPr>
        <i/>
        <sz val="8"/>
        <rFont val="Arial"/>
        <family val="2"/>
      </rPr>
      <t>(capacidad de pernocta)</t>
    </r>
  </si>
  <si>
    <t>Cabinas de los locutorios</t>
  </si>
  <si>
    <t>Camas hospitalarias</t>
  </si>
  <si>
    <t>Pupitres, butacas o asientos escolares</t>
  </si>
  <si>
    <t>BLANC_  COD_3</t>
  </si>
  <si>
    <t>BLANC_  COD_7</t>
  </si>
  <si>
    <t>BLANC_  COD_9</t>
  </si>
  <si>
    <t>BLANC_  COD_16</t>
  </si>
  <si>
    <t>BLANC_  COD_1,2,9</t>
  </si>
  <si>
    <t>BLOQUEOS_COD_3</t>
  </si>
  <si>
    <t>BLOQUEOS_COD_7</t>
  </si>
  <si>
    <t>BLOQUEOS_COD_9</t>
  </si>
  <si>
    <t>BLOQUEOS_COD_16</t>
  </si>
  <si>
    <t>1.6.-</t>
  </si>
  <si>
    <t>Indique, por cada uno de los centros especializados de su entidad federativa, si al cierre del año 2023 contaba con espacios de infraestructura especializada. En caso afirmativo, señale los espacios de infraestructura especializada con los que contaba; utilizando para tal efecto el catálogo que se presenta en la parte inferior de la siguiente tabla.</t>
  </si>
  <si>
    <t>En caso de que determinado centro especializado no haya contado con espacios de infraestructura especializada, o no cuente con información para determinarlo, indíquelo en la columna correspondiente conforme al catálogo respectivo y deje el resto de la fila en blanco.</t>
  </si>
  <si>
    <t>En el código "5" del apartado "Espacios de infraestructura especializada" debe considerar aquellos espacios de infraestructura especializada destinados a tal fin, como son las salas de parto, salas para la lactancia materna, etc.</t>
  </si>
  <si>
    <t>En el código "6" del apartado "Espacios de infraestructura especializada" debe considerar aquellos espacios de infraestructura especializada destinados a tal fin, como son los centros de desarrollo infantil, guarderías, ludotecas, etc.</t>
  </si>
  <si>
    <t>Para cada centro especializado, seleccione con una "X" el o los espacios de infraestructura especializada que correspondan.</t>
  </si>
  <si>
    <t>En caso de que seleccione el código "10" en el apartado "Espacios de infraestructura especializada", debe anotar el nombre de dicho(s) espacio(s) de infraestructura especializada en el recuadro destinado para tal efecto que se encuentra al final de la tabla de respuesta.</t>
  </si>
  <si>
    <r>
      <t xml:space="preserve">¿Contaba con espacios de infraestructura especializada?
</t>
    </r>
    <r>
      <rPr>
        <i/>
        <sz val="8"/>
        <rFont val="Arial"/>
        <family val="2"/>
      </rPr>
      <t>(1. Sí / 2. No / 9. No identificado)</t>
    </r>
  </si>
  <si>
    <r>
      <t xml:space="preserve">Espacios de infraestructura especializada
</t>
    </r>
    <r>
      <rPr>
        <i/>
        <sz val="8"/>
        <rFont val="Arial"/>
        <family val="2"/>
      </rPr>
      <t>(ver catálogo)</t>
    </r>
  </si>
  <si>
    <t>COD_10</t>
  </si>
  <si>
    <r>
      <t xml:space="preserve">Otro espacio de infraestructura especializada:
</t>
    </r>
    <r>
      <rPr>
        <i/>
        <sz val="8"/>
        <rFont val="Arial"/>
        <family val="2"/>
      </rPr>
      <t>(especifique)</t>
    </r>
  </si>
  <si>
    <t>Catálogo de espacios de infraestructura especializada</t>
  </si>
  <si>
    <t>Espacios para personas adolescentes con internamiento preventivo</t>
  </si>
  <si>
    <t>Espacios para la educación integral y formativa de las niñas y niños que viven con sus madres adolescentes internadas</t>
  </si>
  <si>
    <r>
      <t xml:space="preserve">Espacios para personas adolescentes con internamiento </t>
    </r>
    <r>
      <rPr>
        <i/>
        <sz val="8"/>
        <rFont val="Arial"/>
        <family val="2"/>
      </rPr>
      <t>(definitivo)</t>
    </r>
  </si>
  <si>
    <t>Espacios para el alojamiento o pernocta de las niñas y niños con sus madres adolescentes internadas</t>
  </si>
  <si>
    <r>
      <t xml:space="preserve">Espacios para personas adolescentes con internamiento en tiempo libre </t>
    </r>
    <r>
      <rPr>
        <i/>
        <sz val="8"/>
        <rFont val="Arial"/>
        <family val="2"/>
      </rPr>
      <t>(semi-internamiento)</t>
    </r>
  </si>
  <si>
    <t>Espacios para personas adolescentes pertenecientes a pueblos y comunidades indígenas</t>
  </si>
  <si>
    <r>
      <t xml:space="preserve">Espacios de internamiento para personas adultas jóvenes </t>
    </r>
    <r>
      <rPr>
        <i/>
        <sz val="8"/>
        <rFont val="Arial"/>
        <family val="2"/>
      </rPr>
      <t>(personas de 18 años o más)</t>
    </r>
  </si>
  <si>
    <t>Espacios adaptados a personas adolescentes con discapacidad</t>
  </si>
  <si>
    <t>Espacios para la maternidad</t>
  </si>
  <si>
    <r>
      <t xml:space="preserve">Otro espacio de infraestructura especializada </t>
    </r>
    <r>
      <rPr>
        <i/>
        <sz val="8"/>
        <rFont val="Arial"/>
        <family val="2"/>
      </rPr>
      <t>(especifique)</t>
    </r>
  </si>
  <si>
    <t>1.7.-</t>
  </si>
  <si>
    <t>Anote, por cada uno de los centros especializados de su entidad federativa, la cantidad de dormitorios con los que contaba al cierre del año 2023, según tipo y tipo de servicio con el que contaban.</t>
  </si>
  <si>
    <t>En caso de que algunos dormitorios, tanto individuales como colectivos, hayan contado con áreas comunes donde se cuente con determinado tipo de servicio, debe contabilizarlos en la columna correspondiente del apartado relacionado con dicho tipo de servicio.</t>
  </si>
  <si>
    <t>Para cada centro especializado, la cantidad registrada en la columna "Total" debe ser igual o menor a la suma de las cantidades reportadas en las columnas "Subtotal" del apartado "Tipo de servicio", así como corresponder a su desagregación por tipo de dormitorio; toda vez que un dormitorio pudo haber contado con más de un tipo de servicio.</t>
  </si>
  <si>
    <t>Para cada centro especializado, la cantidad registrada en cada una de las columnas "Subtotal" del apartado "Tipo de servicio" debe ser igual o menor a la cantidad reportada en la columna "Total", así como corresponder a su desagregación por tipo de dormitorio. En caso de que esta instrucción no le aplique, justifíquelo en el recuadro que se encuentra al final de la tabla de respuesta.</t>
  </si>
  <si>
    <t>En caso de que registre algún valor numérico mayor a cero en el apartado "Otro tipo", debe anotar el nombre de dicho(s) tipo(s) de servicio(s) en el recuadro destinado para tal efecto que se encuentra al final de la tabla de respuesta.</t>
  </si>
  <si>
    <t>Dormitorios, según tipo y tipo de servicio con el que contaban</t>
  </si>
  <si>
    <t xml:space="preserve">Individuales </t>
  </si>
  <si>
    <t>Colectivos</t>
  </si>
  <si>
    <t>Tipo de servicio</t>
  </si>
  <si>
    <t>Agua corriente</t>
  </si>
  <si>
    <t>Tazas de baño con división física que brinde privacidad</t>
  </si>
  <si>
    <t>Lavabos</t>
  </si>
  <si>
    <r>
      <t xml:space="preserve">Lugar para aseo personal </t>
    </r>
    <r>
      <rPr>
        <i/>
        <sz val="8"/>
        <rFont val="Arial"/>
        <family val="2"/>
      </rPr>
      <t>(regaderas)</t>
    </r>
  </si>
  <si>
    <t xml:space="preserve">Subtotal </t>
  </si>
  <si>
    <t>NS5</t>
  </si>
  <si>
    <t>SUMA 5</t>
  </si>
  <si>
    <t>COMP 5</t>
  </si>
  <si>
    <t>NS6</t>
  </si>
  <si>
    <t>SUMA 6</t>
  </si>
  <si>
    <t>COMP 6</t>
  </si>
  <si>
    <t>NS7</t>
  </si>
  <si>
    <t>SUMA 7</t>
  </si>
  <si>
    <t>COMP 7</t>
  </si>
  <si>
    <t>NS8</t>
  </si>
  <si>
    <t>SUMA 8</t>
  </si>
  <si>
    <t>COMP 8</t>
  </si>
  <si>
    <t>NS9</t>
  </si>
  <si>
    <t>SUMA 9</t>
  </si>
  <si>
    <t>COMP 9</t>
  </si>
  <si>
    <t>NS10</t>
  </si>
  <si>
    <t>SUMA 10</t>
  </si>
  <si>
    <t>COMP 10</t>
  </si>
  <si>
    <t>NS11</t>
  </si>
  <si>
    <t>SUMA 11</t>
  </si>
  <si>
    <t>COMP 11</t>
  </si>
  <si>
    <t>COMP_SUBTOTAL</t>
  </si>
  <si>
    <t>Ventanas</t>
  </si>
  <si>
    <t>Ventiladores</t>
  </si>
  <si>
    <t>Drenaje</t>
  </si>
  <si>
    <t>Luz eléctrica</t>
  </si>
  <si>
    <r>
      <t xml:space="preserve">Acondicionamiento para evitar temperaturas extremas 
</t>
    </r>
    <r>
      <rPr>
        <i/>
        <sz val="8"/>
        <rFont val="Arial"/>
        <family val="2"/>
      </rPr>
      <t>(menores a 10°C y superiores a 32°C)</t>
    </r>
  </si>
  <si>
    <r>
      <t>Otro tipo</t>
    </r>
    <r>
      <rPr>
        <i/>
        <sz val="8"/>
        <rFont val="Arial"/>
        <family val="2"/>
      </rPr>
      <t xml:space="preserve">
(especifique)</t>
    </r>
  </si>
  <si>
    <t>COMP_TOTAL</t>
  </si>
  <si>
    <t>AGUA CORRIENTE</t>
  </si>
  <si>
    <t>TAZAS DE BAÑO</t>
  </si>
  <si>
    <t>LAVABOS</t>
  </si>
  <si>
    <t>LUGAR P/ ASEO</t>
  </si>
  <si>
    <t>VENTANAS</t>
  </si>
  <si>
    <t>VENTILADORES</t>
  </si>
  <si>
    <t>DRENAJE</t>
  </si>
  <si>
    <t>LUZ ELECTRICA</t>
  </si>
  <si>
    <t>ACONDICIONAMIENTO</t>
  </si>
  <si>
    <t>OTRO_TIPO</t>
  </si>
  <si>
    <t>TOTAL</t>
  </si>
  <si>
    <t>INDIVIDUALES</t>
  </si>
  <si>
    <t>COLECTIVAS</t>
  </si>
  <si>
    <r>
      <t xml:space="preserve">Otro tipo:
</t>
    </r>
    <r>
      <rPr>
        <i/>
        <sz val="8"/>
        <rFont val="Arial"/>
        <family val="2"/>
      </rPr>
      <t>(especifique)</t>
    </r>
  </si>
  <si>
    <t>1.8.-</t>
  </si>
  <si>
    <t>Indique, por cada uno de los centros especializados de su entidad federativa, si al cierre del año 2023 contaba con equipo especializado para emergencias. En caso afirmativo, señale el equipo especializado para emergencias con el que contaba.</t>
  </si>
  <si>
    <t>En caso de que determinado centro especializado no haya contado con equipo especializado para emergencias, o no cuente con información para determinarlo, indíquelo en la columna correspondiente conforme al catálogo respectivo y deje el resto de la fila en blanco.</t>
  </si>
  <si>
    <t>Para cada centro especializado, seleccione con una "X" el o los equipos especializados para emergencias que correspondan.</t>
  </si>
  <si>
    <t xml:space="preserve">En caso de que seleccione la columna "Otro equipo especializado para emergencias", debe anotar el nombre de dicho(s) equipo(s) especializado(s) para emergencias en el recuadro destinado para tal efecto que se encuentra al final de la tabla de respuesta. </t>
  </si>
  <si>
    <r>
      <t xml:space="preserve">¿Contaba con equipo especializado para emergencias?
</t>
    </r>
    <r>
      <rPr>
        <i/>
        <sz val="8"/>
        <rFont val="Arial"/>
        <family val="2"/>
      </rPr>
      <t>(1. Sí / 2. No / 9. No identificado)</t>
    </r>
  </si>
  <si>
    <t>Equipo especializado para emergencias</t>
  </si>
  <si>
    <t>Sistemas fijos contra incendios</t>
  </si>
  <si>
    <t>Extintores portátiles</t>
  </si>
  <si>
    <t>Alarmas contra incendios</t>
  </si>
  <si>
    <t>Alarmas sísmicas</t>
  </si>
  <si>
    <t>Generadores de energía eléctrica</t>
  </si>
  <si>
    <r>
      <t xml:space="preserve">Otro equipo especializado para emergencias
</t>
    </r>
    <r>
      <rPr>
        <i/>
        <sz val="8"/>
        <rFont val="Arial"/>
        <family val="2"/>
      </rPr>
      <t>(especifique)</t>
    </r>
  </si>
  <si>
    <t>OTRO_EQUIPO</t>
  </si>
  <si>
    <r>
      <t xml:space="preserve">Otro equipo especializado para emergencias:
</t>
    </r>
    <r>
      <rPr>
        <i/>
        <sz val="8"/>
        <rFont val="Arial"/>
        <family val="2"/>
      </rPr>
      <t>(especifique)</t>
    </r>
  </si>
  <si>
    <t>I.3 Infraestructura tecnológica</t>
  </si>
  <si>
    <r>
      <t xml:space="preserve">1.- </t>
    </r>
    <r>
      <rPr>
        <b/>
        <i/>
        <sz val="8"/>
        <rFont val="Arial"/>
        <family val="2"/>
      </rPr>
      <t>Infraestructura tecnológica.</t>
    </r>
    <r>
      <rPr>
        <i/>
        <sz val="8"/>
        <rFont val="Arial"/>
        <family val="2"/>
      </rPr>
      <t xml:space="preserve"> Se refiere al conjunto de hardware y software sobre el que se asientan los diferentes servicios que las organizaciones necesitan tener en funcionamiento para poder llevar a cabo toda su actividad, tanto operativa como de gestión interna.</t>
    </r>
  </si>
  <si>
    <t>1.9.-</t>
  </si>
  <si>
    <t>Indique, por cada uno de los centros especializados de su entidad federativa, si al cierre del año 2023 contaba con infraestructura tecnológica para la seguridad y vigilancia. En caso afirmativo, señale el tipo de infraestructura tecnológica con la que contaba; utilizando para tal efecto el catálogo que se presenta en la parte inferior de la siguiente tabla.</t>
  </si>
  <si>
    <t>En caso de que determinado centro especializado no haya contado con infraestructura tecnológica para la seguridad y vigilancia, o no cuente con información para determinarlo, indíquelo en la columna correspondiente conforme al catálogo respectivo y deje el resto de la fila en blanco.</t>
  </si>
  <si>
    <t>El código "5.1" del apartado "Tipo de infraestructura tecnológica para la seguridad y vigilancia" hace referencia a aquellos instalados de forma permanente en puntos de control, como pueden ser los detectores de arco.</t>
  </si>
  <si>
    <t>El código "5.2" del apartado "Tipo de infraestructura tecnológica para la seguridad y vigilancia" hace referencia a aquellos que carecen de una estructura fija y, en consecuencia, se pueden usar para inspecciones precisas que requieren de su desplazamiento, como pueden ser los detectores de mano.</t>
  </si>
  <si>
    <t>El código "6.1" del apartado "Tipo de infraestructura tecnológica para la seguridad y vigilancia" hace referencia a aquellos basados en la radiación electromagnética que permiten detectar la presencia de narcóticos a partir de la generación de imágenes del interior de objetos y personas.</t>
  </si>
  <si>
    <t>El código "6.2" del apartado "Tipo de infraestructura tecnológica para la seguridad y vigilancia" hace referencia a aquellos basados en la espectrometría de movilidad de iones que permiten detectar la presencia y el tipo de trazas de narcóticos a partir de una muestra.</t>
  </si>
  <si>
    <t>El código "6.3" del apartado "Tipo de infraestructura tecnológica para la seguridad y vigilancia" hace referencia a aquellos basados en la espectrometría Raman que permiten detectar la presencia de narcóticos a partir de la identificación de su estructura molecular.</t>
  </si>
  <si>
    <t>Para cada centro especializado, seleccione con una "X" el o los tipos de infraestructura tecnológica para la seguridad y vigilancia que correspondan.</t>
  </si>
  <si>
    <t>En caso de que seleccione el código "6.4" en el apartado "Tipo de infraestructura tecnológica para la seguridad y vigilancia", debe anotar el nombre de dicho(s) tipo(s) de detector(es) en el recuadro destinado para tal efecto que se encuentra al final de la tabla de respuesta.</t>
  </si>
  <si>
    <t>En caso de que seleccione el código "11" en el apartado "Tipo de infraestructura tecnológica para la seguridad y vigilancia", debe anotar el nombre de dicho(s) tipo(s) de infraestructura tecnológica en el recuadro destinado para tal efecto que se encuentra al final de la tabla de respuesta.</t>
  </si>
  <si>
    <r>
      <rPr>
        <b/>
        <sz val="9"/>
        <rFont val="Arial"/>
        <family val="2"/>
      </rPr>
      <t>¿Contaba con infraestructura tecnológica para la seguridad y vigilancia?</t>
    </r>
    <r>
      <rPr>
        <sz val="9"/>
        <rFont val="Arial"/>
        <family val="2"/>
      </rPr>
      <t xml:space="preserve">
</t>
    </r>
    <r>
      <rPr>
        <i/>
        <sz val="8"/>
        <rFont val="Arial"/>
        <family val="2"/>
      </rPr>
      <t>(1. Sí / 2. No / 9. No identificado)</t>
    </r>
  </si>
  <si>
    <r>
      <t xml:space="preserve">Tipo de infraestructura tecnológica para la seguridad y vigilancia
</t>
    </r>
    <r>
      <rPr>
        <i/>
        <sz val="8"/>
        <rFont val="Arial"/>
        <family val="2"/>
      </rPr>
      <t>(ver catálogo)</t>
    </r>
  </si>
  <si>
    <t>5.1</t>
  </si>
  <si>
    <t>5.2</t>
  </si>
  <si>
    <t>6.1</t>
  </si>
  <si>
    <t>6.2</t>
  </si>
  <si>
    <t>6.3</t>
  </si>
  <si>
    <t>6.4</t>
  </si>
  <si>
    <t>COD_6.4</t>
  </si>
  <si>
    <t>COD_11</t>
  </si>
  <si>
    <r>
      <t xml:space="preserve">Otro tipo de detector:
</t>
    </r>
    <r>
      <rPr>
        <i/>
        <sz val="8"/>
        <rFont val="Arial"/>
        <family val="2"/>
      </rPr>
      <t>(especifique)</t>
    </r>
  </si>
  <si>
    <r>
      <t xml:space="preserve">Otro tipo de infraestructura tecnológica:
</t>
    </r>
    <r>
      <rPr>
        <i/>
        <sz val="8"/>
        <rFont val="Arial"/>
        <family val="2"/>
      </rPr>
      <t>(especifique)</t>
    </r>
  </si>
  <si>
    <t>Catálogo de tipo de infraestructura tecnológica para la seguridad y vigilancia</t>
  </si>
  <si>
    <r>
      <t xml:space="preserve">Cámaras de vigilancia </t>
    </r>
    <r>
      <rPr>
        <i/>
        <sz val="8"/>
        <rFont val="Arial"/>
        <family val="2"/>
      </rPr>
      <t>(sin incluir aquellas que formen parte de algún circuito cerrado de televisión)</t>
    </r>
  </si>
  <si>
    <t>Equipo de bloqueo de señales de telecomunicación</t>
  </si>
  <si>
    <t xml:space="preserve">Alarmas en caso de incidentes o contingencias </t>
  </si>
  <si>
    <r>
      <rPr>
        <i/>
        <sz val="9"/>
        <rFont val="Arial"/>
        <family val="2"/>
      </rPr>
      <t>GPS</t>
    </r>
    <r>
      <rPr>
        <sz val="9"/>
        <rFont val="Arial"/>
        <family val="2"/>
      </rPr>
      <t xml:space="preserve"> en vehículos de traslado de personas adolescentes internadas</t>
    </r>
  </si>
  <si>
    <t>5. Detectores de metal</t>
  </si>
  <si>
    <t>Fijos</t>
  </si>
  <si>
    <t>Móviles</t>
  </si>
  <si>
    <t>6. Detectores de narcóticos y/ o estupefacientes</t>
  </si>
  <si>
    <t>De rayos X</t>
  </si>
  <si>
    <r>
      <t xml:space="preserve">De trazas </t>
    </r>
    <r>
      <rPr>
        <i/>
        <sz val="8"/>
        <rFont val="Arial"/>
        <family val="2"/>
      </rPr>
      <t>(espectrometría de movilidad de iones)</t>
    </r>
  </si>
  <si>
    <r>
      <t xml:space="preserve">Espectrómetro </t>
    </r>
    <r>
      <rPr>
        <i/>
        <sz val="9"/>
        <rFont val="Arial"/>
        <family val="2"/>
      </rPr>
      <t>Raman</t>
    </r>
  </si>
  <si>
    <r>
      <t xml:space="preserve">Otro tipo de detector </t>
    </r>
    <r>
      <rPr>
        <i/>
        <sz val="8"/>
        <rFont val="Arial"/>
        <family val="2"/>
      </rPr>
      <t>(especifique)</t>
    </r>
  </si>
  <si>
    <t>Cámaras termográficas</t>
  </si>
  <si>
    <t>Cámaras de sensor de movimiento</t>
  </si>
  <si>
    <t>Circuito cerrado de televisión</t>
  </si>
  <si>
    <t>Medidores de flujo y conteo de personas</t>
  </si>
  <si>
    <r>
      <t xml:space="preserve">Otro tipo de infraestructura tecnológica </t>
    </r>
    <r>
      <rPr>
        <i/>
        <sz val="8"/>
        <rFont val="Arial"/>
        <family val="2"/>
      </rPr>
      <t>(especifique)</t>
    </r>
  </si>
  <si>
    <t>1.10.-</t>
  </si>
  <si>
    <t>Indique, por cada uno de los centros especializados de su entidad federativa, si al cierre del año 2023 contaba con infraestructura tecnológica para el registro de datos biométricos de las personas adolescentes internadas. En caso afirmativo, señale el tipo de infraestructura tecnológica con la que contaba.</t>
  </si>
  <si>
    <t>En caso de que determinado centro especializado no haya contado con infraestructura tecnológica para el registro de datos biométricos de las personas adolescentes internadas, o no cuente con información para determinarlo, indíquelo en la columna correspondiente conforme al catálogo respectivo y deje el resto de la fila en blanco.</t>
  </si>
  <si>
    <t>Para cada centro especializado, seleccione con una "X" el o los tipos de infraestructura tecnológica para el registro de datos biométricos de las personas adolescentes internadas que correspondan.</t>
  </si>
  <si>
    <t xml:space="preserve">En caso de que seleccione la columna "Otro tipo de infraestructura tecnológica", debe anotar el nombre de dicho(s) tipo(s) de infraestructura tecnológica en el recuadro destinado para tal efecto que se encuentra al final de la tabla de respuesta. </t>
  </si>
  <si>
    <r>
      <rPr>
        <b/>
        <sz val="9"/>
        <rFont val="Arial"/>
        <family val="2"/>
      </rPr>
      <t>¿Contaba con infraestructura tecnológica para el registro de datos biométricos de las personas adolescentes internadas?</t>
    </r>
    <r>
      <rPr>
        <sz val="9"/>
        <rFont val="Arial"/>
        <family val="2"/>
      </rPr>
      <t xml:space="preserve">
</t>
    </r>
    <r>
      <rPr>
        <i/>
        <sz val="8"/>
        <rFont val="Arial"/>
        <family val="2"/>
      </rPr>
      <t>(1. Sí / 2. No / 9. No identificado)</t>
    </r>
  </si>
  <si>
    <t>Tipo de infraestructura tecnológica para el registro de datos biométricos las personas adolescentes internadas</t>
  </si>
  <si>
    <t>Huella dactilar</t>
  </si>
  <si>
    <t>Reconocimiento de ADN</t>
  </si>
  <si>
    <t xml:space="preserve">Reconocimiento de voz </t>
  </si>
  <si>
    <t xml:space="preserve">Reconocimiento facial </t>
  </si>
  <si>
    <t xml:space="preserve">Reconocimiento de iris </t>
  </si>
  <si>
    <t>Reconocimiento de retina</t>
  </si>
  <si>
    <t>Reconocimiento de la geometría de la mano</t>
  </si>
  <si>
    <r>
      <t xml:space="preserve">Otro tipo de infraestructura tecnológica
</t>
    </r>
    <r>
      <rPr>
        <i/>
        <sz val="8"/>
        <rFont val="Arial"/>
        <family val="2"/>
      </rPr>
      <t>(especifique)</t>
    </r>
  </si>
  <si>
    <t>OTRO_TIPO_INFRA</t>
  </si>
  <si>
    <t>I.4 Suministros</t>
  </si>
  <si>
    <r>
      <t xml:space="preserve">1.- </t>
    </r>
    <r>
      <rPr>
        <b/>
        <i/>
        <sz val="8"/>
        <rFont val="Arial"/>
        <family val="2"/>
      </rPr>
      <t xml:space="preserve">Suministros. </t>
    </r>
    <r>
      <rPr>
        <i/>
        <sz val="8"/>
        <rFont val="Arial"/>
        <family val="2"/>
      </rPr>
      <t>Se refiere a aquellos bienes que deben ofrecer gratuitamente los centros especializados a las personas adolescentes internadas.</t>
    </r>
  </si>
  <si>
    <t>1.11.-</t>
  </si>
  <si>
    <t>Indique, por cada uno de los centros especializados de su entidad federativa, si durante el año 2023 se otorgaron suministros a las personas adolescentes internadas. En caso afirmativo, señale el tipo de suministros otorgados, así como la frecuencia en la que se proporcionaron; utilizando para tal efecto los catálogos que se presentan en la parte inferior de la siguiente tabla.</t>
  </si>
  <si>
    <t>No debe considerar el suministro de agua potable y alimentos, ni el suministro de medicamentos y anticonceptivos; toda vez que dicha información se requiere en las preguntas 1.12 y 1.13, respectivamente.</t>
  </si>
  <si>
    <t>En caso de que en determinado centro especializado no se hayan otorgado suministros a las personas adolescentes internadas, o no cuente con información para determinarlo, indíquelo en la columna correspondiente conforme al catálogo respectivo y deje el resto de la fila en blanco.</t>
  </si>
  <si>
    <t>Para cada centro especializado, en el apartado "Tipo de suministros otorgados" seleccione con una "X" el o los códigos que correspondan.</t>
  </si>
  <si>
    <t>Para cada centro especializado, en el apartado "Frecuencia en la que se proporcionaron los suministros otorgados" indique, según el tipo de suministro otorgado seleccionado con anterioridad, la frecuencia en la que se proporcionó a las personas adolescentes internadas. Por ejemplo: en caso de que se haya proporcionado papel higiénico a las personas adolescentes internadas, y el mismo se haya otorgado con una periodicidad semanal, en la columna 10 del apartado "Frecuencia en la que se proporcionaron los suministros otorgados" seleccione el código "2".</t>
  </si>
  <si>
    <t xml:space="preserve">Para cada centro especializado, en caso de que en el apartado "Tipo de suministros otorgados" no haya seleccionado con una "X" determinado tipo de suministros, no puede registrar información para el mismo en el numeral correspondiente del apartado "Frecuencia en la que se proporcionaron los suministros otorgados". </t>
  </si>
  <si>
    <t>En caso de que seleccione el código "24" en el apartado "Tipo de suministros otorgados", debe anotar el nombre de dicho(s) tipo(s) de suministros en el recuadro destinado para tal efecto que se encuentra al final de la tabla de respuesta.</t>
  </si>
  <si>
    <r>
      <rPr>
        <b/>
        <sz val="9"/>
        <rFont val="Arial"/>
        <family val="2"/>
      </rPr>
      <t>¿Se otorgaron suministros a las personas adolescentes internadas?</t>
    </r>
    <r>
      <rPr>
        <sz val="9"/>
        <rFont val="Arial"/>
        <family val="2"/>
      </rPr>
      <t xml:space="preserve">
</t>
    </r>
    <r>
      <rPr>
        <i/>
        <sz val="8"/>
        <rFont val="Arial"/>
        <family val="2"/>
      </rPr>
      <t>(1. Sí / 2. No / 9. No identificado)</t>
    </r>
  </si>
  <si>
    <r>
      <t xml:space="preserve">Tipo de suministros otorgados
</t>
    </r>
    <r>
      <rPr>
        <i/>
        <sz val="8"/>
        <rFont val="Arial"/>
        <family val="2"/>
      </rPr>
      <t>(ver catálogo)</t>
    </r>
  </si>
  <si>
    <t>COD_24</t>
  </si>
  <si>
    <r>
      <t xml:space="preserve">Frecuencia en la que se proporcionaron los suministros otorgados
</t>
    </r>
    <r>
      <rPr>
        <i/>
        <sz val="8"/>
        <rFont val="Arial"/>
        <family val="2"/>
      </rPr>
      <t>(ver catálogo)</t>
    </r>
  </si>
  <si>
    <t>Catálogo de tipo de suministros otorgados</t>
  </si>
  <si>
    <t>Catálogo de frecuencia en la que se proporcionaron los suministros otorgados</t>
  </si>
  <si>
    <t xml:space="preserve">Jabón </t>
  </si>
  <si>
    <t>Diario</t>
  </si>
  <si>
    <t>Shampoo</t>
  </si>
  <si>
    <t>Semanal</t>
  </si>
  <si>
    <t>Crema corporal</t>
  </si>
  <si>
    <t>Quincenal</t>
  </si>
  <si>
    <t>Desodorante o antitranspirante</t>
  </si>
  <si>
    <t>Mensual</t>
  </si>
  <si>
    <t>Cepillo de dientes</t>
  </si>
  <si>
    <t>Bimestral</t>
  </si>
  <si>
    <t>Pasta de dientes</t>
  </si>
  <si>
    <t>Trimestral</t>
  </si>
  <si>
    <t>Rastrillo para afeitar</t>
  </si>
  <si>
    <t>Cuatrimestral</t>
  </si>
  <si>
    <t>Toallas</t>
  </si>
  <si>
    <t>Semestral</t>
  </si>
  <si>
    <t>Toallas femeninas</t>
  </si>
  <si>
    <t>Anual</t>
  </si>
  <si>
    <t>Papel higiénico</t>
  </si>
  <si>
    <t>Periodos mayores a un año</t>
  </si>
  <si>
    <t>Pañales</t>
  </si>
  <si>
    <t>Otra frecuencia</t>
  </si>
  <si>
    <t>Leche en polvo para lactantes</t>
  </si>
  <si>
    <t>99.</t>
  </si>
  <si>
    <t xml:space="preserve">Cubrebocas </t>
  </si>
  <si>
    <t>Gel antibacterial</t>
  </si>
  <si>
    <t>Calzado</t>
  </si>
  <si>
    <t xml:space="preserve">Ropa </t>
  </si>
  <si>
    <t>Colchones o colchonetas</t>
  </si>
  <si>
    <t>Cobijas</t>
  </si>
  <si>
    <t xml:space="preserve">Sábanas </t>
  </si>
  <si>
    <t>Almohadas</t>
  </si>
  <si>
    <t>Libros</t>
  </si>
  <si>
    <t>Útiles escolares</t>
  </si>
  <si>
    <r>
      <t xml:space="preserve">Artículos de limpieza </t>
    </r>
    <r>
      <rPr>
        <i/>
        <sz val="8"/>
        <rFont val="Arial"/>
        <family val="2"/>
      </rPr>
      <t>(escoba, trapeador, jalador, cubeta, detergente, etc.)</t>
    </r>
  </si>
  <si>
    <t>1.12.-</t>
  </si>
  <si>
    <t>Indique, por cada uno de los centros especializados de su entidad federativa, si durante el año 2023 se otorgó el suministro de agua potable y alimentos a las personas adolescentes internadas. En caso afirmativo, señale la frecuencia en la que se proporcionó dicho suministro; utilizando para tal efecto el catálogo que se presenta en la parte inferior de la siguiente tabla.</t>
  </si>
  <si>
    <t>En caso de que en determinado centro especializado no se haya otorgado el suministro de agua potable a las personas adolescentes internadas, o no cuente con información para determinarlo, indíquelo en la columna correspondiente conforme al catálogo respectivo y deje la columna "Frecuencia en la que se proporcionó el suministro" del apartado "Agua potable" en blanco.</t>
  </si>
  <si>
    <t>En caso de que en determinado centro especializado no se haya otorgado el suministro de alimentos a las personas adolescentes internadas, o no cuente con información para determinarlo, indíquelo en la columna correspondiente conforme al catálogo respectivo y deje la columna "Frecuencia en la que se proporcionó el suministro" del apartado "Alimentos" en blanco.</t>
  </si>
  <si>
    <t>La frecuencia “Disposición continua” hace referencia a los casos en donde el suministro de agua potable y/ o alimentos se realiza de manera permanente, es decir, las personas adolescentes internadas pueden acceder en cualquier momento a estos.</t>
  </si>
  <si>
    <t>En caso de que seleccione el código "6" en alguna de las columnas "Frecuencia en la que se proporcionó el suministro", debe anotar el nombre de dicha(s) frecuencia(s) en el recuadro destinado para tal efecto que se encuentra al final de la tabla de respuesta.</t>
  </si>
  <si>
    <t>Agua potable</t>
  </si>
  <si>
    <t>Alimentos</t>
  </si>
  <si>
    <r>
      <t xml:space="preserve">¿Se otorgó el suministro a las personas adolescentes internadas?
</t>
    </r>
    <r>
      <rPr>
        <i/>
        <sz val="8"/>
        <rFont val="Arial"/>
        <family val="2"/>
      </rPr>
      <t>(1. Sí / 2. No / 9. No identificado)</t>
    </r>
  </si>
  <si>
    <r>
      <t xml:space="preserve">Frecuencia en la que se proporcionó el suministro
</t>
    </r>
    <r>
      <rPr>
        <i/>
        <sz val="8"/>
        <rFont val="Arial"/>
        <family val="2"/>
      </rPr>
      <t>(ver catálogo)</t>
    </r>
  </si>
  <si>
    <t>BLANC_AGUA</t>
  </si>
  <si>
    <t>BLANC_  ALIMENTOS</t>
  </si>
  <si>
    <t>COD_6</t>
  </si>
  <si>
    <t>BLOQUEO1</t>
  </si>
  <si>
    <t>BLOQUEO2</t>
  </si>
  <si>
    <r>
      <t xml:space="preserve">Otra frecuencia:
</t>
    </r>
    <r>
      <rPr>
        <i/>
        <sz val="8"/>
        <rFont val="Arial"/>
        <family val="2"/>
      </rPr>
      <t>(especifique)</t>
    </r>
  </si>
  <si>
    <t>Catálogo de frecuencia en la que se proporcionó el suministro</t>
  </si>
  <si>
    <t>Disposición continua</t>
  </si>
  <si>
    <t>Una vez al día</t>
  </si>
  <si>
    <t xml:space="preserve">Dos veces al día </t>
  </si>
  <si>
    <t>Tres veces al día</t>
  </si>
  <si>
    <t>Más de tres veces al día</t>
  </si>
  <si>
    <r>
      <t xml:space="preserve">Otra frecuencia </t>
    </r>
    <r>
      <rPr>
        <i/>
        <sz val="8"/>
        <rFont val="Arial"/>
        <family val="2"/>
      </rPr>
      <t>(especifique)</t>
    </r>
  </si>
  <si>
    <t>I.5 Servicios médicos y programas educativos</t>
  </si>
  <si>
    <t>Instrucción general para las preguntas de la subsección:</t>
  </si>
  <si>
    <t>1.- Debe considerar la información relacionada con los servicios médicos y programas educativos ofertados por los centros especializados y/ o la autoridad penitenciaria responsable de los mismos, independientemente de que las personas adolescentes internadas hayan hecho uso de ellos.</t>
  </si>
  <si>
    <t>1.13.-</t>
  </si>
  <si>
    <t>Indique, por cada uno de los centros especializados de su entidad federativa, si durante el año 2023 se ofertaron servicios médicos a las personas adolescentes internadas. En caso afirmativo, señale el tipo de servicios médicos ofertados; utilizando para tal efecto el catálogo que se presenta en la parte inferior de la siguiente tabla.</t>
  </si>
  <si>
    <t>En caso de que en determinado centro especializado no se hayan ofertado servicios médicos a las personas adolescentes internadas, o no cuente con información para determinarlo, indíquelo en la columna correspondiente conforme al catálogo respectivo y deje el resto de la fila en blanco.</t>
  </si>
  <si>
    <t>El código "7" del apartado "Tipo de servicios médicos ofertados" refiere a aquellos casos en los que únicamente se proporciona el servicio de desintoxicación a las personas adolescentes internadas, sin formar parte de un tratamiento integral. Dicho tratamiento consiste en la administración de sustancias de sustitución para estabilizar a la persona y, posteriormente, ir reduciendo de forma gradual la dosis hasta suspender su administración.</t>
  </si>
  <si>
    <t>El código "8" del apartado "Tipo de servicios médicos ofertados" refiere a aquellos casos en los que se proporciona un tratamiento integral a las personas adolescentes internadas para atender, mediante una serie de intervenciones estructuradas, los problemas de salud, sociales y de otra naturaleza causados por el abuso en el consumo de sustancias psicoactivas. Dicho proceso incluye las etapas de desintoxicación, rehabilitación y postratamiento. En caso de que únicamente se oferte el servicio de desintoxicación voluntaria, debe reportarse en el código "7" conforme a lo descrito en la instrucción anterior.</t>
  </si>
  <si>
    <t>Para cada centro especializado, seleccione con una "X" el o los tipos de servicios médicos ofertados que correspondan.</t>
  </si>
  <si>
    <t>En caso de que seleccione el código "18" en el apartado "Tipo de servicios médicos ofertados", debe anotar el nombre de dicho(s) tipo(s) de servicios médicos en el recuadro destinado para tal efecto que se encuentra al final de la tabla de respuesta.</t>
  </si>
  <si>
    <r>
      <rPr>
        <b/>
        <sz val="9"/>
        <rFont val="Arial"/>
        <family val="2"/>
      </rPr>
      <t>¿Se ofertaron servicios médicos a las personas adolescentes internadas?</t>
    </r>
    <r>
      <rPr>
        <sz val="9"/>
        <rFont val="Arial"/>
        <family val="2"/>
      </rPr>
      <t xml:space="preserve">
</t>
    </r>
    <r>
      <rPr>
        <i/>
        <sz val="8"/>
        <rFont val="Arial"/>
        <family val="2"/>
      </rPr>
      <t>(1. Sí / 2. No / 9. No identificado)</t>
    </r>
  </si>
  <si>
    <r>
      <t xml:space="preserve">Tipo de servicios médicos ofertados
</t>
    </r>
    <r>
      <rPr>
        <i/>
        <sz val="8"/>
        <rFont val="Arial"/>
        <family val="2"/>
      </rPr>
      <t>(ver catálogo)</t>
    </r>
  </si>
  <si>
    <t>COD_18</t>
  </si>
  <si>
    <t>Catálogo de tipo de servicios médicos ofertados</t>
  </si>
  <si>
    <r>
      <t xml:space="preserve">Preventivos </t>
    </r>
    <r>
      <rPr>
        <i/>
        <sz val="8"/>
        <rFont val="Arial"/>
        <family val="2"/>
      </rPr>
      <t>(chequeo médico)</t>
    </r>
  </si>
  <si>
    <r>
      <t xml:space="preserve">Rehabilitación </t>
    </r>
    <r>
      <rPr>
        <i/>
        <sz val="8"/>
        <rFont val="Arial"/>
        <family val="2"/>
      </rPr>
      <t>(discapacidad motriz, visual o auditiva)</t>
    </r>
  </si>
  <si>
    <r>
      <t>Tratamiento de lesiones</t>
    </r>
    <r>
      <rPr>
        <i/>
        <sz val="8"/>
        <rFont val="Arial"/>
        <family val="2"/>
      </rPr>
      <t xml:space="preserve"> (traumatológicos)</t>
    </r>
  </si>
  <si>
    <t>Pediátricos</t>
  </si>
  <si>
    <t>Odontológicos</t>
  </si>
  <si>
    <t>Nutrición</t>
  </si>
  <si>
    <t>Ginecológicos y obstétricos</t>
  </si>
  <si>
    <t>Suministro de medicamentos</t>
  </si>
  <si>
    <t>Tratamiento de enfermedades crónicas-degenerativas</t>
  </si>
  <si>
    <t>Suministro de anticonceptivos</t>
  </si>
  <si>
    <t>Tratamiento de enfermedades mentales y/ o trastornos cognitivos</t>
  </si>
  <si>
    <t>Análisis y exámenes médicos</t>
  </si>
  <si>
    <t>Tratamiento voluntario de desintoxicación</t>
  </si>
  <si>
    <t>Vacunación</t>
  </si>
  <si>
    <t>Tratamiento de adicciones a sustancias psicoactivas</t>
  </si>
  <si>
    <t>Educación sexual</t>
  </si>
  <si>
    <t>Tratamiento de enfermedades infecciosas y/ o parasitarias</t>
  </si>
  <si>
    <t>1.14.-</t>
  </si>
  <si>
    <t>Indique, por cada uno de los centros especializados de su entidad federativa, si durante el año 2023 se ofertaron programas educativos a las personas adolescentes internadas. En caso afirmativo, señale el tipo de programas educativos ofertados.</t>
  </si>
  <si>
    <t>En caso de que en determinado centro especializado no se hayan ofertado programas educativos a las personas adolescentes internadas, o no cuente con información para determinarlo, indíquelo en la columna correspondiente conforme al catálogo respectivo y deje el resto de la fila en blanco.</t>
  </si>
  <si>
    <t>Para cada centro especializado, seleccione con una "X" el o los tipos de programas educativos ofertados que correspondan.</t>
  </si>
  <si>
    <t>En caso de que seleccione la columna "Otro tipo", debe anotar el nombre de dicho(s) tipo(s) de programas educativos en el recuadro destinado para tal efecto que se encuentra al final de la tabla de respuesta.</t>
  </si>
  <si>
    <r>
      <rPr>
        <b/>
        <sz val="9"/>
        <rFont val="Arial"/>
        <family val="2"/>
      </rPr>
      <t>¿Se ofertaron programas educativos a las personas adolescentes internadas?</t>
    </r>
    <r>
      <rPr>
        <sz val="9"/>
        <rFont val="Arial"/>
        <family val="2"/>
      </rPr>
      <t xml:space="preserve">
</t>
    </r>
    <r>
      <rPr>
        <i/>
        <sz val="8"/>
        <rFont val="Arial"/>
        <family val="2"/>
      </rPr>
      <t>(1. Sí / 2. No / 9. No identificado)</t>
    </r>
  </si>
  <si>
    <t>Tipo de programas educativos ofertados</t>
  </si>
  <si>
    <t>Abiertos</t>
  </si>
  <si>
    <t>Escolarizados</t>
  </si>
  <si>
    <t>A distancia</t>
  </si>
  <si>
    <t>Presenciales</t>
  </si>
  <si>
    <t>Semipresenciales</t>
  </si>
  <si>
    <r>
      <t xml:space="preserve">Otro tipo
</t>
    </r>
    <r>
      <rPr>
        <i/>
        <sz val="8"/>
        <rFont val="Arial"/>
        <family val="2"/>
      </rPr>
      <t>(especifique)</t>
    </r>
  </si>
  <si>
    <t>1.15.-</t>
  </si>
  <si>
    <t>Indique, por cada uno de los centros especializados de su entidad federativa, si durante el año 2023 se realizaron adecuaciones para población adolescente vulnerable en los programas educativos ofertados a las personas adolescentes internadas. En caso afirmativo, señale el tipo de población adolescente vulnerable para la cual se realizaron dichas adecuaciones.</t>
  </si>
  <si>
    <t>Para cada centro especializado, en caso de que haya seleccionado el código "2" o "9" en la columna "¿Se ofertaron programas educativos a las personas adolescentes internadas?" de la pregunta anterior, no puede registrar información en el presente reactivo.</t>
  </si>
  <si>
    <t>En caso de que en determinado centro especializado no se hayan realizado adecuaciones para población adolescente vulnerable en los programas educativos ofertados a las personas adolescentes internadas, o no cuente con información para determinarlo, indíquelo en la columna correspondiente conforme al catálogo respectivo y deje el resto de la fila en blanco.</t>
  </si>
  <si>
    <t>Para cada centro especializado, seleccione con una "X" el o los tipos de población adolescente vulnerable que correspondan.</t>
  </si>
  <si>
    <t>En caso de que seleccione la columna "Otro tipo", debe anotar el nombre de dicho(s) tipo(s) de población adolescente vulnerable en el recuadro destinado para tal efecto que se encuentra al final de la tabla de respuesta.</t>
  </si>
  <si>
    <r>
      <rPr>
        <b/>
        <sz val="9"/>
        <rFont val="Arial"/>
        <family val="2"/>
      </rPr>
      <t>¿Se realizaron adecuaciones para población adolescente vulnerable en los programas educativos ofertados a las personas adolescentes internadas?</t>
    </r>
    <r>
      <rPr>
        <sz val="9"/>
        <rFont val="Arial"/>
        <family val="2"/>
      </rPr>
      <t xml:space="preserve">
</t>
    </r>
    <r>
      <rPr>
        <i/>
        <sz val="8"/>
        <rFont val="Arial"/>
        <family val="2"/>
      </rPr>
      <t>(1. Sí / 2. No / 9. No identificado)</t>
    </r>
  </si>
  <si>
    <t>Tipo de población adolescente vulnerable</t>
  </si>
  <si>
    <t>Para personas adolescentes pertenecientes a pueblos y comunidades indígenas</t>
  </si>
  <si>
    <t>Para mujeres adolescentes embarazadas</t>
  </si>
  <si>
    <t>Para personas adolescentes con algún tipo de discapacidad permanente</t>
  </si>
  <si>
    <t>BLOQUEO_PREG 1.15</t>
  </si>
  <si>
    <t>BLOQUEO_PREG1.14</t>
  </si>
  <si>
    <t>I.6 Equipo informático</t>
  </si>
  <si>
    <t>Instrucción general para la pregunta de la subsección:</t>
  </si>
  <si>
    <t>1.- No debe considerar las multifuncionales, servidores, tabletas electrónicas, computadoras e impresoras que se hayan encontrado fuera de servicio, o bien, no habían sido asignadas para su uso u operación al cierre del año.</t>
  </si>
  <si>
    <r>
      <t xml:space="preserve">1.- </t>
    </r>
    <r>
      <rPr>
        <b/>
        <i/>
        <sz val="8"/>
        <rFont val="Arial"/>
        <family val="2"/>
      </rPr>
      <t>Multifuncional.</t>
    </r>
    <r>
      <rPr>
        <i/>
        <sz val="8"/>
        <rFont val="Arial"/>
        <family val="2"/>
      </rPr>
      <t xml:space="preserve"> Se refiere al dispositivo que tiene la particularidad de integrar, en una máquina, las funciones de varios dispositivos, permitiendo realizar varias tareas de modo simultáneo. Incorpora diferentes funciones de otros equipos o multitareas que permiten escanear, imprimir y fotocopiar a la vez, además de la capacidad de almacenar documentos en red.</t>
    </r>
  </si>
  <si>
    <r>
      <t xml:space="preserve">2.- </t>
    </r>
    <r>
      <rPr>
        <b/>
        <i/>
        <sz val="8"/>
        <rFont val="Arial"/>
        <family val="2"/>
      </rPr>
      <t xml:space="preserve">Servicios de conexión remota. </t>
    </r>
    <r>
      <rPr>
        <i/>
        <sz val="8"/>
        <rFont val="Arial"/>
        <family val="2"/>
      </rPr>
      <t>Se refiere a los servicios que posibilitan a los usuarios conectarse por red a otro ordenador como si se accediera desde el propio ordenador, permitiendo utilizar y/ o extraer información y datos. Un ejemplo de estos servicios es la VPN, que permite conectar una o más computadoras a una red privada utilizando internet.</t>
    </r>
  </si>
  <si>
    <t>1.16.-</t>
  </si>
  <si>
    <t>Anote, por cada uno de los centros especializados de su entidad federativa, la cantidad de multifuncionales, servidores y tabletas electrónicas, así como de computadoras e impresoras, según tipo, con las que contaba al cierre del año 2023. Asimismo, indique si durante el referido año contó con servicios de conexión remota.</t>
  </si>
  <si>
    <t>Multifuncionales</t>
  </si>
  <si>
    <t>Servidores</t>
  </si>
  <si>
    <t>Tabletas electrónicas</t>
  </si>
  <si>
    <t>Computadoras, según tipo</t>
  </si>
  <si>
    <t>Impresoras, según tipo</t>
  </si>
  <si>
    <r>
      <t xml:space="preserve">¿Contó con servicios de conexión remota?
</t>
    </r>
    <r>
      <rPr>
        <i/>
        <sz val="8"/>
        <rFont val="Arial"/>
        <family val="2"/>
      </rPr>
      <t>(1. Sí / 2. No / 9. No identificado)</t>
    </r>
  </si>
  <si>
    <r>
      <t xml:space="preserve">Personales
</t>
    </r>
    <r>
      <rPr>
        <i/>
        <sz val="8"/>
        <rFont val="Arial"/>
        <family val="2"/>
      </rPr>
      <t>(de escritorio)</t>
    </r>
  </si>
  <si>
    <t>Portátiles</t>
  </si>
  <si>
    <t>Para uso personal</t>
  </si>
  <si>
    <t>Para uso compartido</t>
  </si>
  <si>
    <t>4.- Únicamente debe considerar la información de los centros especializados listados en la pregunta 1.1.</t>
  </si>
  <si>
    <t>5.- Salvo aquellas preguntas que no requieran información por centro especializado, el listado de centros especializados que se despliega corresponde al que registró como respuesta en la pregunta 1.1.</t>
  </si>
  <si>
    <r>
      <t xml:space="preserve">1.- </t>
    </r>
    <r>
      <rPr>
        <b/>
        <i/>
        <sz val="8"/>
        <rFont val="Arial"/>
        <family val="2"/>
      </rPr>
      <t xml:space="preserve">Personal directivo. </t>
    </r>
    <r>
      <rPr>
        <i/>
        <sz val="8"/>
        <rFont val="Arial"/>
        <family val="2"/>
      </rPr>
      <t>Se refiere a todo el personal que ocupa algún puesto de mando, coordinación y/ o dirección. Dentro de esta categoría debe considerar a las personas titulares de las coordinaciones o direcciones de área, subdirecciones de área y/ o jefaturas de departamento.</t>
    </r>
  </si>
  <si>
    <r>
      <t xml:space="preserve">2.- </t>
    </r>
    <r>
      <rPr>
        <b/>
        <i/>
        <sz val="8"/>
        <rFont val="Arial"/>
        <family val="2"/>
      </rPr>
      <t xml:space="preserve">Personal técnico o de operación. </t>
    </r>
    <r>
      <rPr>
        <i/>
        <sz val="8"/>
        <rFont val="Arial"/>
        <family val="2"/>
      </rPr>
      <t>Se refiere a todo el personal que realiza labores especializadas en el ámbito de la reinserción social y/ o monitoreo de las condiciones de internamiento de las personas adolescentes internadas para acceder a los servicios de salud, educación, trabajo y/ o deporte. Dentro de esta categoría debe considerar al personal médico, psicológico, de instrucción, de interpretación, de trabajo social, o cualquier otro que realice funciones similares.</t>
    </r>
  </si>
  <si>
    <r>
      <t xml:space="preserve">3.- </t>
    </r>
    <r>
      <rPr>
        <b/>
        <i/>
        <sz val="8"/>
        <rFont val="Arial"/>
        <family val="2"/>
      </rPr>
      <t xml:space="preserve">Personal de custodia y/ o vigilancia. </t>
    </r>
    <r>
      <rPr>
        <i/>
        <sz val="8"/>
        <rFont val="Arial"/>
        <family val="2"/>
      </rPr>
      <t>Se refiere a todo el personal que desempeña funciones destinadas a preservar el orden y la disciplina entre las personas adolescentes internadas, así como para salvaguardar el orden de los centros especializados. Para efectos de este censo, dicho personal se clasifica en tres niveles, de acuerdo con la organización jerárquica de la institución: primer nivel jerárquico, nivel intermedio y nivel operativo.</t>
    </r>
  </si>
  <si>
    <r>
      <t xml:space="preserve">4.- </t>
    </r>
    <r>
      <rPr>
        <b/>
        <i/>
        <sz val="8"/>
        <rFont val="Arial"/>
        <family val="2"/>
      </rPr>
      <t xml:space="preserve">Personal administrativo y de apoyo. </t>
    </r>
    <r>
      <rPr>
        <i/>
        <sz val="8"/>
        <rFont val="Arial"/>
        <family val="2"/>
      </rPr>
      <t>Se refiere a todo el personal que desempeña funciones de asistencia al personal directivo, de logística, de soporte técnico, de gestión de recursos humanos, materiales, financieros y tecnológicos, u otras similares. Dentro de esta categoría debe considerar al personal secretarial, de mensajería, de conducción de vehículos, de limpieza, o cualquier otro que realice funciones similares.</t>
    </r>
  </si>
  <si>
    <t>II.1 Perfil de las personas titulares de los centros especializados</t>
  </si>
  <si>
    <t>2.1.-</t>
  </si>
  <si>
    <t>Indique los datos de la persona titular de cada uno de los centros especializados de su entidad federativa al cierre del año 2023, utilizando para tal efecto los catálogos que se presentan en la parte inferior de la siguiente tabla.</t>
  </si>
  <si>
    <t>Los datos del numeral 0 deben corresponder a los de la persona titular de la institución responsable de los centros especializados de su entidad federativa.</t>
  </si>
  <si>
    <t>En caso de que al cierre del año 2023 no se haya realizado el nombramiento de la persona titular de determinado centro especializado, o se encontrara vacante, seleccione el código "8" en la columna "Sexo" y deje el resto de la fila en blanco.</t>
  </si>
  <si>
    <t>Para el caso de la edad, debe considerar los años cumplidos al 31 de diciembre de 2023.</t>
  </si>
  <si>
    <t>Para el caso de los ingresos brutos mensuales, debe considerar aquellos percibidos por el desempeño de sus funciones como persona titular de determinado centro especializado. Estos ingresos deben anotarse en pesos mexicanos (números enteros), por lo que no debe agregar la frase "miles o millones" ni desagregar decimales.</t>
  </si>
  <si>
    <t>Para el caso de los ingresos brutos mensuales, en caso de que la persona titular de determinado centro especializado no haya recibido alguna contraprestación por el ejercicio de dicho cargo, anote "NA" (No aplica) en la columna correspondiente y justifíquelo en el recuadro de comentarios que se encuentra en la parte inferior de los catálogos de respuesta.</t>
  </si>
  <si>
    <t>Para el caso del último grado de estudios, seleccione en la primera columna el último nivel de escolaridad cursado de acuerdo con las opciones del catálogo. En la columna "Estatus" debe indicar la opción que corresponda de acuerdo con el tipo de conclusión de dicho nivel al 31 de diciembre de 2023.</t>
  </si>
  <si>
    <t>Para el caso del último grado de estudios, en caso de que registre el código "1" en la columna "Nivel de escolaridad", debe anotar el código "8" en la columna "Estatus".</t>
  </si>
  <si>
    <t>Para el caso del último grado de estudios, en caso de que registre el código "2", "3" o "4" en la columna "Nivel de escolaridad", no puede hacer uso del código "4" en la columna "Estatus".</t>
  </si>
  <si>
    <t>Para el caso del último grado de estudios, en caso de que registre el código "9" en la columna "Nivel de escolaridad", únicamente puede seleccionar el código "9" en la columna "Estatus".</t>
  </si>
  <si>
    <t>Para el caso de la institución de procedencia, debe considerar la última institución en la que la persona titular de determinado centro especializado haya prestado sus servicios previo a su nombramiento.</t>
  </si>
  <si>
    <t>Para el caso de la antigüedad en el servicio público, debe considerar los años en el mismo al 31 de diciembre de 2023, aunque estos no hayan sido continuos y/ o en el mismo cargo y/ o plaza. En caso de que dicha antigüedad sea menor a 12 meses, debe registrar 0.</t>
  </si>
  <si>
    <t>En caso de que en la columna "Institución de procedencia" seleccione algún código diferente al "22", "23", "24" o "99", en la columna "Antigüedad en el servicio público" no puede registrar 0. En caso de que esta instrucción no le aplique, justifíquelo en el recuadro que se encuentra en la parte inferior de los catálogos de respuesta.</t>
  </si>
  <si>
    <t>Para el caso de la antigüedad en el cargo, debe considerar los años continuos en el mismo al 31 de diciembre de 2023. En caso de que dicha antigüedad sea menor a 12 meses, debe registrar 0. En consecuencia, el dato registrado en esta columna debe ser igual o menor al reportado en la columna "Antigüedad en el servicio público".</t>
  </si>
  <si>
    <t>Para el numeral 0, no puede seleccionar el código "3" en la columna "Forma de designación".</t>
  </si>
  <si>
    <t>Para el numeral 0, deje en blanco la columna "Centro especializado con la misma persona titular".</t>
  </si>
  <si>
    <t>Para cada centro especializado, en caso de que la persona titular no sea la misma que la de otro centro especializado, deje en blanco la columna "Centro especializado con la misma persona titular".</t>
  </si>
  <si>
    <t>En caso de que dos o más centros especializados tengan a la misma persona titular, únicamente debe registrar la información del perfil de la persona titular en uno de ellos. En el resto de los centros especializados relacionados, en la columna "Centro especializado con la misma persona titular" anote el numeral correspondiente al centro especializado en el que reportó los datos del perfil de la persona titular, y deje el resto de la fila en blanco.</t>
  </si>
  <si>
    <t>De acuerdo con lo establecido en la instrucción anterior, en caso de que determinado centro especializado sea presidido por la persona titular de la institución responsable de los centros especializados, en la columna "Centro especializado con la misma persona titular" anote "0" y deje el resto de la fila en blanco.</t>
  </si>
  <si>
    <t>En caso de que seleccione el código "5" en la columna "Forma de designación", debe anotar el nombre de dicha forma de designación en el recuadro destinado para tal efecto que se encuentra al final de la tabla de respuesta.</t>
  </si>
  <si>
    <t>Perfil de las personas titulares de los centros especializados</t>
  </si>
  <si>
    <t>Centro especializado con la misma persona titular</t>
  </si>
  <si>
    <r>
      <t xml:space="preserve">Sexo
</t>
    </r>
    <r>
      <rPr>
        <i/>
        <sz val="8"/>
        <rFont val="Arial"/>
        <family val="2"/>
      </rPr>
      <t>(ver catálogo)</t>
    </r>
  </si>
  <si>
    <r>
      <t xml:space="preserve">Edad
</t>
    </r>
    <r>
      <rPr>
        <i/>
        <sz val="8"/>
        <rFont val="Arial"/>
        <family val="2"/>
      </rPr>
      <t>(años)</t>
    </r>
  </si>
  <si>
    <r>
      <t xml:space="preserve">Ingresos brutos mensuales
</t>
    </r>
    <r>
      <rPr>
        <i/>
        <sz val="8"/>
        <rFont val="Arial"/>
        <family val="2"/>
      </rPr>
      <t>(pesos)</t>
    </r>
  </si>
  <si>
    <t>Último grado de estudios</t>
  </si>
  <si>
    <r>
      <t xml:space="preserve">Institución de procedencia
</t>
    </r>
    <r>
      <rPr>
        <i/>
        <sz val="8"/>
        <rFont val="Arial"/>
        <family val="2"/>
      </rPr>
      <t>(ver catálogo)</t>
    </r>
  </si>
  <si>
    <r>
      <t xml:space="preserve">Antigüedad en el servicio público
</t>
    </r>
    <r>
      <rPr>
        <i/>
        <sz val="8"/>
        <rFont val="Arial"/>
        <family val="2"/>
      </rPr>
      <t>(años)</t>
    </r>
  </si>
  <si>
    <r>
      <t xml:space="preserve">Antigüedad en el cargo 
</t>
    </r>
    <r>
      <rPr>
        <i/>
        <sz val="8"/>
        <rFont val="Arial"/>
        <family val="2"/>
      </rPr>
      <t>(años)</t>
    </r>
  </si>
  <si>
    <r>
      <t xml:space="preserve">Condición de pertenencia a pueblo indígena 
</t>
    </r>
    <r>
      <rPr>
        <i/>
        <sz val="8"/>
        <rFont val="Arial"/>
        <family val="2"/>
      </rPr>
      <t>(ver catálogo)</t>
    </r>
  </si>
  <si>
    <r>
      <t xml:space="preserve">Forma de designación
</t>
    </r>
    <r>
      <rPr>
        <i/>
        <sz val="8"/>
        <rFont val="Arial"/>
        <family val="2"/>
      </rPr>
      <t>(ver catálogo)</t>
    </r>
  </si>
  <si>
    <r>
      <t xml:space="preserve">Nivel de escolaridad 
</t>
    </r>
    <r>
      <rPr>
        <i/>
        <sz val="8"/>
        <rFont val="Arial"/>
        <family val="2"/>
      </rPr>
      <t>(ver catálogo)</t>
    </r>
  </si>
  <si>
    <r>
      <t xml:space="preserve">Estatus
</t>
    </r>
    <r>
      <rPr>
        <i/>
        <sz val="8"/>
        <rFont val="Arial"/>
        <family val="2"/>
      </rPr>
      <t>(ver catálogo)</t>
    </r>
  </si>
  <si>
    <t>NUMERO</t>
  </si>
  <si>
    <t>NA</t>
  </si>
  <si>
    <t>ESTATUS_8</t>
  </si>
  <si>
    <t>ESTATUS_4</t>
  </si>
  <si>
    <t>ESTATUS_9</t>
  </si>
  <si>
    <t>ANTIGÜEDAD</t>
  </si>
  <si>
    <t>INSTITUCION_PROCEDENCIA</t>
  </si>
  <si>
    <t>EDAD</t>
  </si>
  <si>
    <t>COMP_EDAD</t>
  </si>
  <si>
    <t>FORMA_DESIG</t>
  </si>
  <si>
    <t>FORMA_DESIG_NUM_0</t>
  </si>
  <si>
    <t>DECIMALES</t>
  </si>
  <si>
    <t>COMP DEC</t>
  </si>
  <si>
    <t>BLOQUEO SEXO</t>
  </si>
  <si>
    <t>BLOQUEO MISMO TITULAR</t>
  </si>
  <si>
    <t>0.</t>
  </si>
  <si>
    <t>Persona titular de la institución responsable de los centros especializados</t>
  </si>
  <si>
    <r>
      <t xml:space="preserve">Otra forma de designación:
</t>
    </r>
    <r>
      <rPr>
        <i/>
        <sz val="8"/>
        <rFont val="Arial"/>
        <family val="2"/>
      </rPr>
      <t>(especifique)</t>
    </r>
  </si>
  <si>
    <t>Catálogo de sexo</t>
  </si>
  <si>
    <t>Catálogo de institución de procedencia</t>
  </si>
  <si>
    <t>Catálogo de condición de pertenencia a pueblo indígena</t>
  </si>
  <si>
    <t>Hombre</t>
  </si>
  <si>
    <t>Secretaría de la Defensa Nacional</t>
  </si>
  <si>
    <t>Chinanteco</t>
  </si>
  <si>
    <t>Mujer</t>
  </si>
  <si>
    <t>Secretaría de Marina</t>
  </si>
  <si>
    <t>Ch'ol</t>
  </si>
  <si>
    <t>Vacante</t>
  </si>
  <si>
    <t>Policía Federal/ Guardia Nacional</t>
  </si>
  <si>
    <t>Cora</t>
  </si>
  <si>
    <t>Órgano Administrativo Desconcentrado Prevención y Readaptación Social</t>
  </si>
  <si>
    <t>Huasteco</t>
  </si>
  <si>
    <r>
      <t xml:space="preserve">Secretaría de Seguridad y Protección Ciudadana </t>
    </r>
    <r>
      <rPr>
        <i/>
        <sz val="8"/>
        <rFont val="Arial"/>
        <family val="2"/>
      </rPr>
      <t>(sin incluir, de ser el caso, a la Policía Federal, Guardia Nacional y al Órgano Administrativo Desconcentrado Prevención y Readaptación Social)</t>
    </r>
  </si>
  <si>
    <t>Huichol</t>
  </si>
  <si>
    <t>Catálogo de nivel de escolaridad</t>
  </si>
  <si>
    <r>
      <t xml:space="preserve">Secretaría de Gobernación </t>
    </r>
    <r>
      <rPr>
        <i/>
        <sz val="8"/>
        <rFont val="Arial"/>
        <family val="2"/>
      </rPr>
      <t>(sin incluir, de ser el caso, a la Policía Federal y al Órgano Administrativo Desconcentrado Prevención y Readaptación Social)</t>
    </r>
  </si>
  <si>
    <t>Maya</t>
  </si>
  <si>
    <t>Ninguno</t>
  </si>
  <si>
    <t>Fiscalía General de la República</t>
  </si>
  <si>
    <t>Mayo</t>
  </si>
  <si>
    <t>Preescolar o primaria</t>
  </si>
  <si>
    <t xml:space="preserve">Poder Judicial de la Federación </t>
  </si>
  <si>
    <t>Mazahua</t>
  </si>
  <si>
    <t>Secundaria</t>
  </si>
  <si>
    <r>
      <t>Secretaría de Seguridad Pública u homóloga de la entidad federativa</t>
    </r>
    <r>
      <rPr>
        <i/>
        <sz val="8"/>
        <rFont val="Arial"/>
        <family val="2"/>
      </rPr>
      <t xml:space="preserve"> (sin incluir, de ser el caso, a la institución responsable de los centros especializados)</t>
    </r>
  </si>
  <si>
    <t>Mazateco</t>
  </si>
  <si>
    <t>Preparatoria</t>
  </si>
  <si>
    <r>
      <t xml:space="preserve">Secretaría de Seguridad Pública u homóloga de otra entidad federativa </t>
    </r>
    <r>
      <rPr>
        <i/>
        <sz val="8"/>
        <rFont val="Arial"/>
        <family val="2"/>
      </rPr>
      <t>(sin incluir, de ser el caso, a la institución responsable de los centros especializados)</t>
    </r>
  </si>
  <si>
    <t>Mixe</t>
  </si>
  <si>
    <t>Carrera técnica o carrera comercial</t>
  </si>
  <si>
    <r>
      <t>Secretaría de Gobierno u homóloga de la entidad federativa</t>
    </r>
    <r>
      <rPr>
        <i/>
        <sz val="8"/>
        <rFont val="Arial"/>
        <family val="2"/>
      </rPr>
      <t xml:space="preserve"> (sin incluir, de ser el caso, a la institución responsable de los centros especializados)</t>
    </r>
  </si>
  <si>
    <t>Mixteco</t>
  </si>
  <si>
    <t>Licenciatura</t>
  </si>
  <si>
    <r>
      <t xml:space="preserve">Secretaría de Gobierno u homóloga de otra entidad federativa </t>
    </r>
    <r>
      <rPr>
        <i/>
        <sz val="8"/>
        <rFont val="Arial"/>
        <family val="2"/>
      </rPr>
      <t>(sin incluir, de ser el caso, a la institución responsable de los centros especializados)</t>
    </r>
  </si>
  <si>
    <t>Náhuatl</t>
  </si>
  <si>
    <t>Maestría</t>
  </si>
  <si>
    <t>Institución responsable de los centros especializados de la entidad federativa</t>
  </si>
  <si>
    <t>Otomí</t>
  </si>
  <si>
    <t>Doctorado</t>
  </si>
  <si>
    <t>Institución responsable de los centros especializados de otra entidad federativa</t>
  </si>
  <si>
    <t>Tarasco/ Purépecha</t>
  </si>
  <si>
    <t>Fiscalía General o Procuraduría General de Justicia de la entidad federativa</t>
  </si>
  <si>
    <t>Tarahumara</t>
  </si>
  <si>
    <t>Fiscalía General o Procuraduría General de Justicia de otra entidad federativa</t>
  </si>
  <si>
    <t>Tepehuano</t>
  </si>
  <si>
    <t>Catálogo de estatus de nivel de escolaridad</t>
  </si>
  <si>
    <t>Poder Judicial de la entidad federativa</t>
  </si>
  <si>
    <t>Tlapaneco</t>
  </si>
  <si>
    <t>Cursando</t>
  </si>
  <si>
    <t>Poder Judicial de otra entidad federativa</t>
  </si>
  <si>
    <t>Totonaco</t>
  </si>
  <si>
    <t>Inconcluso</t>
  </si>
  <si>
    <t xml:space="preserve">Secretaría de Seguridad Pública u homóloga de algún municipio o demarcación territorial de la entidad federativa </t>
  </si>
  <si>
    <t>Tseltal</t>
  </si>
  <si>
    <t>Concluido</t>
  </si>
  <si>
    <t>Secretaría de Seguridad Pública u homóloga de algún municipio o demarcación territorial de otra entidad federativa</t>
  </si>
  <si>
    <t>Tsotsil</t>
  </si>
  <si>
    <t>Titulado</t>
  </si>
  <si>
    <t>Otra institución del sector público</t>
  </si>
  <si>
    <t>Yaqui</t>
  </si>
  <si>
    <t>No aplica</t>
  </si>
  <si>
    <t>Organización del sector privado</t>
  </si>
  <si>
    <t>Zapoteco</t>
  </si>
  <si>
    <t>Es primer trabajo</t>
  </si>
  <si>
    <t>Zoque</t>
  </si>
  <si>
    <t>Otra institución</t>
  </si>
  <si>
    <t>Otro pueblo indígena</t>
  </si>
  <si>
    <t>Catálogo de forma de designación</t>
  </si>
  <si>
    <t>Pueblo indígena no identificado</t>
  </si>
  <si>
    <t>Gobernador(a) o Jefe(a) de Gobierno</t>
  </si>
  <si>
    <t xml:space="preserve">Persona titular de la Secretaría de Seguridad Pública u homóloga de la entidad federativa </t>
  </si>
  <si>
    <t>Persona titular de la institución responsable de los centros especializados de la entidad federativa</t>
  </si>
  <si>
    <t>Servicio Profesional de Carrera Penitenciaria u homólogo</t>
  </si>
  <si>
    <r>
      <t xml:space="preserve">Otra forma de designación </t>
    </r>
    <r>
      <rPr>
        <i/>
        <sz val="8"/>
        <rFont val="Arial"/>
        <family val="2"/>
      </rPr>
      <t>(especifique)</t>
    </r>
  </si>
  <si>
    <t>II.2 Características del personal</t>
  </si>
  <si>
    <t>Instrucciones generales para las preguntas de la subsección:</t>
  </si>
  <si>
    <t>1.- Con excepción de las personas titulares referidas en la respuesta de la pregunta anterior, debe considerar la totalidad del personal que se encontraba adscrito a los centros especializados de la entidad federativa, de todos los tipos de régimen de contratación (confianza, base, eventual, honorarios, etc.).</t>
  </si>
  <si>
    <t>2.- Para cada centro especializado, la cantidad registrada en la columna "Total" de las preguntas 2.3, 2.4, 2.5, 2.6, 2.7, 2.8 y 2.10 debe ser igual a la cantidad reportada como respuesta en la columna "Total" de la pregunta 2.2, así como corresponder a su desagregación por sexo.</t>
  </si>
  <si>
    <t>2.2.-</t>
  </si>
  <si>
    <t xml:space="preserve">Anote, por cada uno de los centros especializados de su entidad federativa, la cantidad de personal adscrito al cierre del año 2023, según sexo. </t>
  </si>
  <si>
    <t>Personal adscrito a los centros especializados, según sexo</t>
  </si>
  <si>
    <t>SUMA</t>
  </si>
  <si>
    <t>COMP</t>
  </si>
  <si>
    <t>2.3.-</t>
  </si>
  <si>
    <t>De acuerdo con el total de personal que reportó como respuesta en la pregunta anterior, anote, por cada uno de los centros especializados de su entidad federativa, la cantidad del mismo especificando su régimen de contratación y sexo.</t>
  </si>
  <si>
    <t>En caso de que registre algún valor numérico mayor a cero en el apartado "Otro régimen de contratación", debe anotar el nombre de dicho(s) régimen(es) de contratación en el recuadro destinado para tal efecto que se encuentra al final de la tabla de respuesta.</t>
  </si>
  <si>
    <t>Personal adscrito a los centros especializados, según régimen de contratación y sexo</t>
  </si>
  <si>
    <t>Confianza</t>
  </si>
  <si>
    <t>Base</t>
  </si>
  <si>
    <t>Eventual</t>
  </si>
  <si>
    <t>Honorarios</t>
  </si>
  <si>
    <r>
      <t xml:space="preserve">Otro régimen de contratación 
</t>
    </r>
    <r>
      <rPr>
        <i/>
        <sz val="8"/>
        <rFont val="Arial"/>
        <family val="2"/>
      </rPr>
      <t>(especifique)</t>
    </r>
  </si>
  <si>
    <t>OTRO_REGIMEN</t>
  </si>
  <si>
    <t>COMP_2.2</t>
  </si>
  <si>
    <t xml:space="preserve">Hombres </t>
  </si>
  <si>
    <t>HOMBRES</t>
  </si>
  <si>
    <t>MUJERES</t>
  </si>
  <si>
    <r>
      <rPr>
        <sz val="9"/>
        <rFont val="Arial"/>
        <family val="2"/>
      </rPr>
      <t>Otro régimen de contratación:</t>
    </r>
    <r>
      <rPr>
        <i/>
        <sz val="8"/>
        <rFont val="Arial"/>
        <family val="2"/>
      </rPr>
      <t xml:space="preserve"> (especifique)</t>
    </r>
  </si>
  <si>
    <t>2.4.-</t>
  </si>
  <si>
    <t>De acuerdo con el total de personal que reportó como respuesta en la pregunta 2.2, anote, por cada uno de los centros especializados de su entidad federativa, la cantidad del mismo especificando la institución de seguridad social en la que se encontraba registrado y sexo.</t>
  </si>
  <si>
    <t>Personal adscrito a los centros especializados, según institución de seguridad social y sexo</t>
  </si>
  <si>
    <t>Instituto de Seguridad y Servicios Sociales de los Trabajadores del Estado (ISSSTE)</t>
  </si>
  <si>
    <t>Institución de Seguridad Social de la entidad federativa u homóloga</t>
  </si>
  <si>
    <t>Instituto Mexicano del Seguro Social 
(IMSS)</t>
  </si>
  <si>
    <t>Otra institución de seguridad social</t>
  </si>
  <si>
    <t>Sin seguridad social</t>
  </si>
  <si>
    <t>2.5.-</t>
  </si>
  <si>
    <t>De acuerdo con el total de personal que reportó como respuesta en la pregunta 2.2, anote, por cada uno de los centros especializados de su entidad federativa, la cantidad del mismo especificando su rango de edad y sexo.</t>
  </si>
  <si>
    <t>Debe considerar los años cumplidos al cierre del año 2023 del personal.</t>
  </si>
  <si>
    <t>Personal adscrito a los centros especializados, según rango de edad y sexo</t>
  </si>
  <si>
    <t>De 18 a 24 años</t>
  </si>
  <si>
    <t>De 25 a 29 años</t>
  </si>
  <si>
    <t>De 30 a 34 años</t>
  </si>
  <si>
    <t>De 35 a 39 años</t>
  </si>
  <si>
    <t>De 40 a 44 años</t>
  </si>
  <si>
    <t>De 45 a 49 años</t>
  </si>
  <si>
    <t xml:space="preserve">De 50 a 54 años </t>
  </si>
  <si>
    <t>De 55 a 59 años</t>
  </si>
  <si>
    <t>60 años o más</t>
  </si>
  <si>
    <t>No
identificado</t>
  </si>
  <si>
    <t>2.6.-</t>
  </si>
  <si>
    <t xml:space="preserve">De acuerdo con el total de personal que reportó como respuesta en la pregunta 2.2, anote, por cada uno de los centros especializados de su entidad federativa, la cantidad del mismo especificando su rango de ingresos y sexo. </t>
  </si>
  <si>
    <t>Debe considerar en pesos los ingresos brutos mensuales del personal.</t>
  </si>
  <si>
    <t>(1 de 3)</t>
  </si>
  <si>
    <t>Personal adscrito a los centros especializados, según rango de ingresos y sexo</t>
  </si>
  <si>
    <t>Sin paga</t>
  </si>
  <si>
    <t>De 1 a 5,000 pesos</t>
  </si>
  <si>
    <t>De 5,001 a 10,000 pesos</t>
  </si>
  <si>
    <t>De 10,001 a 15,000 pesos</t>
  </si>
  <si>
    <t>De 15,001 a 20,000 pesos</t>
  </si>
  <si>
    <t>NS12</t>
  </si>
  <si>
    <t>SUMA 12</t>
  </si>
  <si>
    <t>COMP 12</t>
  </si>
  <si>
    <t>NS13</t>
  </si>
  <si>
    <t>SUMA 13</t>
  </si>
  <si>
    <t>COMP 13</t>
  </si>
  <si>
    <t>NS14</t>
  </si>
  <si>
    <t>SUMA 14</t>
  </si>
  <si>
    <t>COMP 14</t>
  </si>
  <si>
    <t>NS15</t>
  </si>
  <si>
    <t>SUMA 15</t>
  </si>
  <si>
    <t>COMP 15</t>
  </si>
  <si>
    <t>NS16</t>
  </si>
  <si>
    <t>SUMA 16</t>
  </si>
  <si>
    <t>COMP 16</t>
  </si>
  <si>
    <t>NS17</t>
  </si>
  <si>
    <t>SUMA 17</t>
  </si>
  <si>
    <t>COMP 17</t>
  </si>
  <si>
    <t>NS18</t>
  </si>
  <si>
    <t>SUMA 18</t>
  </si>
  <si>
    <t>COMP 18</t>
  </si>
  <si>
    <t>(2 de 3)</t>
  </si>
  <si>
    <t>De 20,001 a 25,000 pesos</t>
  </si>
  <si>
    <t>De 25,001 a 30,000 pesos</t>
  </si>
  <si>
    <t>De 30,001 a 35,000 pesos</t>
  </si>
  <si>
    <t>De 35,001 a 40,000 pesos</t>
  </si>
  <si>
    <t>De 40,001 a 45,000 pesos</t>
  </si>
  <si>
    <t>De 45,001 a 50,000 pesos</t>
  </si>
  <si>
    <t>(3 de 3)</t>
  </si>
  <si>
    <t>De 50,001 a 55,000 pesos</t>
  </si>
  <si>
    <t>De 55,001 a 60,000 pesos</t>
  </si>
  <si>
    <t>De 60,001 a 65,000 pesos</t>
  </si>
  <si>
    <t>De 65,001 a 70,000 pesos</t>
  </si>
  <si>
    <t>Más de 70,000 pesos</t>
  </si>
  <si>
    <t>2.7.-</t>
  </si>
  <si>
    <t xml:space="preserve">De acuerdo con el total de personal que reportó como respuesta en la pregunta 2.2, anote, por cada uno de los centros especializados de su entidad federativa, la cantidad del mismo especificando su nivel de escolaridad y sexo. </t>
  </si>
  <si>
    <t>Debe considerar el grado máximo de estudios del que hayan cursado todos los años al cierre del año 2023 el personal, independientemente de que se cuente con el título o certificado del mismo.</t>
  </si>
  <si>
    <t>Personal adscrito a los centros especializados, según nivel de escolaridad y sexo</t>
  </si>
  <si>
    <t>2.8.-</t>
  </si>
  <si>
    <t>De acuerdo con el total de personal que reportó como respuesta en la pregunta 2.2, anote, por cada uno de los centros especializados de su entidad federativa, la cantidad del mismo especificando su condición de pertenencia a pueblo indígena y sexo.</t>
  </si>
  <si>
    <t>Personal adscrito a los centros especializados, según condición de pertenencia a pueblo indígena y sexo</t>
  </si>
  <si>
    <t xml:space="preserve">Pertenece a pueblo indígena </t>
  </si>
  <si>
    <t>No pertenece a pueblo indígena</t>
  </si>
  <si>
    <t>2.9.-</t>
  </si>
  <si>
    <t>De acuerdo con el total de personal que reportó como respuesta en el apartado “Pertenece a pueblo indígena” de la pregunta anterior, anote la cantidad del mismo especificando su pueblo indígena de pertenencia y sexo.</t>
  </si>
  <si>
    <t>En caso de que la suma de las cantidades reportadas como respuesta en la columna "Subtotal" del apartado "Pertenece a pueblo indígena" de la pregunta anterior no sea un dato numérico mayor a cero, no puede registrar información en el presente reactivo.</t>
  </si>
  <si>
    <t>La suma de las cantidades registradas en la columna "Total" debe ser igual a la suma de las cantidades reportadas como respuesta en la columna "Subtotal" del apartado “Pertenece a pueblo indígena” de la pregunta anterior, así como corresponder a su desagregación por sexo.</t>
  </si>
  <si>
    <t>Pueblo indígena de pertenencia</t>
  </si>
  <si>
    <t>Personal adscrito a los centros especializados que pertenece a pueblo indígena, según sexo</t>
  </si>
  <si>
    <t>COMP_2.8</t>
  </si>
  <si>
    <t xml:space="preserve">SUMA </t>
  </si>
  <si>
    <t xml:space="preserve">COMP </t>
  </si>
  <si>
    <t>2.10.-</t>
  </si>
  <si>
    <t xml:space="preserve">De acuerdo con el total de personal que reportó como respuesta en la pregunta 2.2, anote, por cada uno de los centros especializados de su entidad federativa, la cantidad del mismo especificando su cargo y/ o función desempeñada y sexo. </t>
  </si>
  <si>
    <t>Personal adscrito a los centros especializados, según cargo y/ o función desempeñada y sexo</t>
  </si>
  <si>
    <t>Personal directivo</t>
  </si>
  <si>
    <t>Personal técnico o de operación</t>
  </si>
  <si>
    <t>Médico</t>
  </si>
  <si>
    <t>Cirugía general</t>
  </si>
  <si>
    <t>Familiar</t>
  </si>
  <si>
    <t>Ginecología y obstetricia</t>
  </si>
  <si>
    <t>Medicina interna</t>
  </si>
  <si>
    <t>Pediatría</t>
  </si>
  <si>
    <t>NS19</t>
  </si>
  <si>
    <t>SUMA 19</t>
  </si>
  <si>
    <t>COMP 19</t>
  </si>
  <si>
    <t>NS20</t>
  </si>
  <si>
    <t>SUMA 20</t>
  </si>
  <si>
    <t>COMP 20</t>
  </si>
  <si>
    <t>NS21</t>
  </si>
  <si>
    <t>SUMA 21</t>
  </si>
  <si>
    <t>COMP 21</t>
  </si>
  <si>
    <t>NS22</t>
  </si>
  <si>
    <t>SUMA 22</t>
  </si>
  <si>
    <t>COMP 22</t>
  </si>
  <si>
    <t>NS23</t>
  </si>
  <si>
    <t>SUMA 23</t>
  </si>
  <si>
    <t>COMP 23</t>
  </si>
  <si>
    <t>Trabajo social</t>
  </si>
  <si>
    <t xml:space="preserve">Psicológico </t>
  </si>
  <si>
    <t>Criminológico</t>
  </si>
  <si>
    <t>Jurídico</t>
  </si>
  <si>
    <t>Psiquiatría</t>
  </si>
  <si>
    <t>Urgencias</t>
  </si>
  <si>
    <t>Odontológico</t>
  </si>
  <si>
    <t>Otra especialidad médica</t>
  </si>
  <si>
    <t>Personal de custodia y/ o vigilancia</t>
  </si>
  <si>
    <t>Personal administrativo y de apoyo</t>
  </si>
  <si>
    <t>Pedagógico</t>
  </si>
  <si>
    <t>Interpretación y traducción</t>
  </si>
  <si>
    <t>Otro personal técnico o de operación</t>
  </si>
  <si>
    <t>Primer nivel jerárquico</t>
  </si>
  <si>
    <t>Nivel intermedio</t>
  </si>
  <si>
    <t>Nivel operativo</t>
  </si>
  <si>
    <t>2.11.-</t>
  </si>
  <si>
    <t>De acuerdo con el total de personal que reportó como respuesta en el grupo "Personal de custodia y/ o vigilancia" de la pregunta anterior, anote, por cada uno de los centros especializados de su entidad federativa, la cantidad del mismo especificando su estado civil y sexo.</t>
  </si>
  <si>
    <t>Para cada centro especializado, la cantidad registrada en la columna "Total" debe ser igual a la suma de las cantidades reportadas como respuesta en las columnas "Subtotal" del grupo "Personal de custodia y/ o vigilancia" de la pregunta anterior, así como corresponder a su desagregación por sexo.</t>
  </si>
  <si>
    <t>Personal de custodia y/ o vigilancia adscrito a los centros especializados, según estado civil y sexo</t>
  </si>
  <si>
    <t xml:space="preserve">Unión libre </t>
  </si>
  <si>
    <t>Separadas o separados</t>
  </si>
  <si>
    <t>Viudas o viudos</t>
  </si>
  <si>
    <t>Casadas o casados</t>
  </si>
  <si>
    <t>Solteras o solteros</t>
  </si>
  <si>
    <t>COMP_2.10</t>
  </si>
  <si>
    <t>2.12.-</t>
  </si>
  <si>
    <t>De acuerdo con el total de personal que reportó como respuesta en el grupo "Personal de custodia y/ o vigilancia" de la pregunta 2.10, anote, por cada uno de los centros especializados de su entidad federativa, la cantidad del mismo especificando su sexo y condición de tener hijas y/ o hijos.</t>
  </si>
  <si>
    <t>Para cada centro especializado, la cantidad registrada en la columna "Total" debe ser igual a la suma de las cantidades reportadas como respuesta en las columnas "Subtotal" del grupo "Personal de custodia y/ o vigilancia" de la pregunta 2.10, así como corresponder a su desagregación por sexo.</t>
  </si>
  <si>
    <t>Personal de custodia y/ o vigilancia adscrito a los centros especializados, según sexo y condición de tener hijas y/ o hijos</t>
  </si>
  <si>
    <t>Con hijas y/ o hijos</t>
  </si>
  <si>
    <t>Sin hijas y/ o hijos</t>
  </si>
  <si>
    <t>II.3 Fortalecimiento policial</t>
  </si>
  <si>
    <t>1.- Con excepción de las preguntas contenidas en el apartado II.3.4, no debe considerar la información relacionada con las personas titulares referidas en la respuesta de la pregunta 2.1.</t>
  </si>
  <si>
    <t>II.3.1 Evaluaciones de control de confianza, de competencias básicas y de desempeño</t>
  </si>
  <si>
    <t>Instrucciones generales para la pregunta del apartado:</t>
  </si>
  <si>
    <t>1.- En el apartado “Con evaluaciones aprobatorias vigentes” debe considerar al personal adscrito que al cierre del año haya contado con determinada evaluación aprobatoria vigente.</t>
  </si>
  <si>
    <t>2.- En el apartado “Con evaluaciones aprobatorias no vigentes” debe considerar al personal adscrito que al cierre del año haya contado con determinada evaluación aprobatoria no vigente, sin haber sido programado a una nueva evaluación.</t>
  </si>
  <si>
    <t>3.- En el apartado "Con evaluaciones vigentes no aprobatorias” debe considerar al personal adscrito que al cierre del año haya contado con determinada evaluación vigente no aprobatoria, sin haber sido reprogramado a una nueva evaluación; esto es, no haya aprobado la evaluación correspondiente.</t>
  </si>
  <si>
    <t>4.- En el apartado “Programados a evaluaciones” debe considerar al personal adscrito que al cierre del año haya sido programado para presentar la evaluación correspondiente; ya sea por primera vez, porque haya contado con una evaluación aprobatoria no vigente, o porque haya contado con una evaluación no aprobatoria vigente.</t>
  </si>
  <si>
    <t>5.- En la columna “Evaluados con resultados pendientes” debe considerar al personal adscrito que al cierre del año haya realizado determinada evaluación, encontrándose a la espera de los resultados correspondientes.</t>
  </si>
  <si>
    <t>6.- En la columna “Sin evaluación” debe considerar al personal adscrito que al cierre del año nunca haya presentado determinada evaluación y, además, no haya sido programado para presentarla; ya sea porque es de reciente ingreso o por cualquier otro motivo.</t>
  </si>
  <si>
    <t>Glosario del apartado:</t>
  </si>
  <si>
    <r>
      <rPr>
        <i/>
        <sz val="8"/>
        <rFont val="Arial"/>
        <family val="2"/>
      </rPr>
      <t>1.-</t>
    </r>
    <r>
      <rPr>
        <b/>
        <i/>
        <sz val="8"/>
        <rFont val="Arial"/>
        <family val="2"/>
      </rPr>
      <t xml:space="preserve"> Evaluación de competencias básicas. </t>
    </r>
    <r>
      <rPr>
        <i/>
        <sz val="8"/>
        <rFont val="Arial"/>
        <family val="2"/>
      </rPr>
      <t>Se refiere a la evaluación realizada al personal de las Instituciones de Seguridad Pública sobre las habilidades, destrezas, aptitudes, conocimientos generales y específicos para desempeñar sus funciones, conforme a los perfiles aprobados por el Consejo Nacional de Seguridad Pública. Su certificación es uno de los requisitos para la obtención del Certificado Único Policial.</t>
    </r>
  </si>
  <si>
    <r>
      <rPr>
        <i/>
        <sz val="8"/>
        <rFont val="Arial"/>
        <family val="2"/>
      </rPr>
      <t>2.-</t>
    </r>
    <r>
      <rPr>
        <b/>
        <i/>
        <sz val="8"/>
        <rFont val="Arial"/>
        <family val="2"/>
      </rPr>
      <t xml:space="preserve"> Evaluación de control de confianza. </t>
    </r>
    <r>
      <rPr>
        <i/>
        <sz val="8"/>
        <rFont val="Arial"/>
        <family val="2"/>
      </rPr>
      <t>Se refiere a la evaluación realizada al personal de las Instituciones de Seguridad Pública a efecto de identificar factores de riesgo que interfieran, repercutan o pongan en peligro el desempeño de sus funciones. Generalmente consta de cinco etapas o exámenes: entorno social y situación patrimonial, psicológico, poligráfico, médico y toxicológico. Su certificación es uno de los requisitos para la obtención del Certificado Único Policial.</t>
    </r>
  </si>
  <si>
    <r>
      <rPr>
        <i/>
        <sz val="8"/>
        <rFont val="Arial"/>
        <family val="2"/>
      </rPr>
      <t>3.-</t>
    </r>
    <r>
      <rPr>
        <b/>
        <i/>
        <sz val="8"/>
        <rFont val="Arial"/>
        <family val="2"/>
      </rPr>
      <t xml:space="preserve"> Evaluación de desempeño. </t>
    </r>
    <r>
      <rPr>
        <i/>
        <sz val="8"/>
        <rFont val="Arial"/>
        <family val="2"/>
      </rPr>
      <t>Se refiere a la evaluación realizada al personal de las Instituciones de Seguridad Pública sobre el cumplimiento de sus obligaciones, así como su grado de eficacia, eficiencia y calidad, con base en los principios constitucionales de legalidad, objetividad, eficiencia, profesionalismo, honradez y respeto a los derechos humanos. Su certificación es uno de los requisitos para la obtención del Certificado Único Policial.</t>
    </r>
  </si>
  <si>
    <t>2.13.-</t>
  </si>
  <si>
    <t xml:space="preserve">Anote, por cada uno de los centros especializados de su entidad federativa, la cantidad de personal de custodia y/ o vigilancia adscrito al cierre del año 2023, según sexo, tipo y estatus de las evaluaciones que se encontraba obligado a acreditar. </t>
  </si>
  <si>
    <t>Para cada centro especializado, la cantidad registrada en la columna "Total" de cada tabla debe ser igual a la suma de las cantidades reportadas como respuesta en las columnas "Subtotal" del grupo "Personal de custodia y/ o vigilancia" de la pregunta 2.10, así como corresponder a su desagregación por sexo. En caso de que esta instrucción no le aplique, justifíquelo en el recuadro que se encuentra al final de cada tabla de respuesta.</t>
  </si>
  <si>
    <t>En caso de que registre algún valor numérico mayor a cero en el apartado "Otro estatus", debe anotar el nombre de dicho(s) estatus en el recuadro destinado para tal efecto que se encuentra al final de cada tabla de respuesta.</t>
  </si>
  <si>
    <t>I) Evaluaciones de control de confianza</t>
  </si>
  <si>
    <t>Personal de custodia y/ o vigilancia adscrito a los centros especializados, según estatus de las evaluaciones y sexo</t>
  </si>
  <si>
    <t>Con evaluaciones aprobatorias vigentes</t>
  </si>
  <si>
    <t>Con evaluaciones aprobatorias no vigentes</t>
  </si>
  <si>
    <t>Con evaluaciones vigentes no aprobatorias</t>
  </si>
  <si>
    <t>Programados a evaluaciones</t>
  </si>
  <si>
    <t>Evaluados con resultados pendientes</t>
  </si>
  <si>
    <t>Sin evaluación</t>
  </si>
  <si>
    <r>
      <t xml:space="preserve">Otro estatus
</t>
    </r>
    <r>
      <rPr>
        <i/>
        <sz val="8"/>
        <rFont val="Arial"/>
        <family val="2"/>
      </rPr>
      <t>(especifique)</t>
    </r>
  </si>
  <si>
    <t>OTRO_ESTATUS</t>
  </si>
  <si>
    <r>
      <t xml:space="preserve">Otro estatus:
</t>
    </r>
    <r>
      <rPr>
        <i/>
        <sz val="8"/>
        <rFont val="Arial"/>
        <family val="2"/>
      </rPr>
      <t>(especifique)</t>
    </r>
  </si>
  <si>
    <t>II) Evaluaciones de competencias básicas</t>
  </si>
  <si>
    <t>III) Evaluaciones de desempeño</t>
  </si>
  <si>
    <t>II.3.2 Profesionalización</t>
  </si>
  <si>
    <r>
      <t>1.-</t>
    </r>
    <r>
      <rPr>
        <b/>
        <i/>
        <sz val="8"/>
        <rFont val="Arial"/>
        <family val="2"/>
      </rPr>
      <t xml:space="preserve"> Profesionalización. </t>
    </r>
    <r>
      <rPr>
        <i/>
        <sz val="8"/>
        <rFont val="Arial"/>
        <family val="2"/>
      </rPr>
      <t>Se refiere al proceso permanente y progresivo de formación que se integra por etapas de formación inicial, actualización, promoción, especialización y alta dirección, para desarrollar al máximo las competencias, capacidades y habilidades del personal de las Instituciones de Seguridad Pública.</t>
    </r>
  </si>
  <si>
    <r>
      <t>2.-</t>
    </r>
    <r>
      <rPr>
        <b/>
        <i/>
        <sz val="8"/>
        <rFont val="Arial"/>
        <family val="2"/>
      </rPr>
      <t xml:space="preserve"> Programa Rector de Profesionalización. </t>
    </r>
    <r>
      <rPr>
        <i/>
        <sz val="8"/>
        <rFont val="Arial"/>
        <family val="2"/>
      </rPr>
      <t>Se refiere al instrumento en el que se establecen los lineamientos, programas, actividades y contenidos mínimos para la profesionalización del personal de las Instituciones de Seguridad Pública.</t>
    </r>
  </si>
  <si>
    <t>2.14.-</t>
  </si>
  <si>
    <t>Anote, por cada uno de los centros especializados de su entidad federativa, la cantidad de personal adscrito que al cierre del año 2023 contaba con la acreditación de alguno de los esquemas de profesionalización previstos en el Programa Rector de Profesionalización correspondiente, según esquema de profesionalización y sexo.</t>
  </si>
  <si>
    <t>Debe considerar al personal adscrito que al cierre del año haya contado con la aprobación de determinado esquema de profesionalización de acuerdo con los procedimientos de evaluación y acreditación correspondientes, contando con el respectivo diploma o comprobante.</t>
  </si>
  <si>
    <t>En caso de que alguna persona servidora pública tenga acreditado más de un esquema de profesionalización al cierre del año, debe considerar el más reciente.</t>
  </si>
  <si>
    <t>Para cada centro especializado, la cantidad registrada en la columna "Total" debe ser igual o menor a la cantidad reportada como respuesta en la columna "Total" de la pregunta 2.2, así como corresponder a su desagregación por sexo. En caso de que esta instrucción no le aplique, justifíquelo en el recuadro que se encuentra al final de la tabla de respuesta.</t>
  </si>
  <si>
    <t>Personal adscrito a los centros especializados que contaba con la acreditación de algún esquema de profesionalización previsto en el Programa Rector de Profesionalización correspondiente, según esquema de profesionalización y sexo</t>
  </si>
  <si>
    <t>Formación inicial</t>
  </si>
  <si>
    <t>Perfil de custodia penitenciaria</t>
  </si>
  <si>
    <t>Perfil jurídico</t>
  </si>
  <si>
    <t>Perfil administrativo</t>
  </si>
  <si>
    <t>Perfil técnico</t>
  </si>
  <si>
    <t>Para guías técnicos en el Sistema Integral de Justicia Penal para Adolescentes</t>
  </si>
  <si>
    <t>Formación inicial - 
No identificado</t>
  </si>
  <si>
    <r>
      <t xml:space="preserve">Formación continua
</t>
    </r>
    <r>
      <rPr>
        <i/>
        <sz val="8"/>
        <rFont val="Arial"/>
        <family val="2"/>
      </rPr>
      <t>(actualización)</t>
    </r>
  </si>
  <si>
    <r>
      <t xml:space="preserve">Formación continua
</t>
    </r>
    <r>
      <rPr>
        <i/>
        <sz val="8"/>
        <rFont val="Arial"/>
        <family val="2"/>
      </rPr>
      <t>(especialización)</t>
    </r>
  </si>
  <si>
    <r>
      <t xml:space="preserve">Formación continua
</t>
    </r>
    <r>
      <rPr>
        <i/>
        <sz val="8"/>
        <rFont val="Arial"/>
        <family val="2"/>
      </rPr>
      <t>(alta dirección)</t>
    </r>
  </si>
  <si>
    <t>De la Ley Nacional de Ejecución Penal para personal penitenciario</t>
  </si>
  <si>
    <t>Para intervinientes en el Sistema Integral de Justicia Penal para Adolescentes</t>
  </si>
  <si>
    <r>
      <t xml:space="preserve">Formación continua </t>
    </r>
    <r>
      <rPr>
        <i/>
        <sz val="8"/>
        <rFont val="Arial"/>
        <family val="2"/>
      </rPr>
      <t>(actualización)</t>
    </r>
    <r>
      <rPr>
        <sz val="9"/>
        <rFont val="Arial"/>
        <family val="2"/>
      </rPr>
      <t xml:space="preserve"> - 
No identificado</t>
    </r>
  </si>
  <si>
    <t>II.3.3 Certificado Único Policial</t>
  </si>
  <si>
    <r>
      <t>1.-</t>
    </r>
    <r>
      <rPr>
        <b/>
        <i/>
        <sz val="8"/>
        <rFont val="Arial"/>
        <family val="2"/>
      </rPr>
      <t xml:space="preserve"> Certificado Único Policial (CUP). </t>
    </r>
    <r>
      <rPr>
        <i/>
        <sz val="8"/>
        <rFont val="Arial"/>
        <family val="2"/>
      </rPr>
      <t>Se refiere al documento que acredita los conocimientos, las habilidades y aptitudes de las y los policías de las Instituciones de Seguridad Pública. Para su obtención, es necesario contar con formación inicial y resultados aprobatorios vigentes en relación con las evaluaciones de control de confianza, de competencias básicas y de desempeño.</t>
    </r>
  </si>
  <si>
    <t>2.15.-</t>
  </si>
  <si>
    <t>Anote, por cada uno de los centros especializados de su entidad federativa, la cantidad de personal de custodia y/ o vigilancia adscrito que al cierre del año 2023 contaba con el Certificado Único Policial vigente, según nivel jerárquico y sexo.</t>
  </si>
  <si>
    <t>Para cada centro especializado, la cantidad registrada en la columna "Total" debe ser igual o menor a la suma de las cantidades reportadas como respuesta en las columnas "Subtotal" del grupo "Personal de custodia y/ o vigilancia" de la pregunta 2.10, así como corresponder a su desagregación por sexo y nivel jerárquico. En caso de que esta instrucción no le aplique, justifíquelo en el recuadro que se encuentra al final de la tabla de respuesta.</t>
  </si>
  <si>
    <t>Personal de custodia y/ o vigilancia adscrito a los centros especializados que contaba con el Certificado Único Policial vigente, según nivel jerárquico y sexo</t>
  </si>
  <si>
    <t>COMP_PREG 2.10</t>
  </si>
  <si>
    <t xml:space="preserve">PRIMER NIVEL </t>
  </si>
  <si>
    <t>NIVEL INTERMEDIO</t>
  </si>
  <si>
    <t>NIVEL OPERATIVO</t>
  </si>
  <si>
    <t>SUM_TOTAL</t>
  </si>
  <si>
    <t>SUBTOTAL</t>
  </si>
  <si>
    <t>II.3.4 Capacitación</t>
  </si>
  <si>
    <t>Instrucciones generales para las preguntas del apartado:</t>
  </si>
  <si>
    <t>1.- Debe considerar la información de las acciones formativas impartidas al personal, independientemente de las instituciones, unidades administrativas o áreas que las hayan impartido.</t>
  </si>
  <si>
    <t>2.- Únicamente debe considerar aquellas acciones formativas que hayan realizado o consideren realizar alguna evaluación para su acreditación, por lo que no debe considerar aquellas de carácter informativo o de naturaleza similar.</t>
  </si>
  <si>
    <t>3.- No debe considerar las acciones formativas impartidas ni el personal capacitado como parte de algún esquema de profesionalización del Programa Rector de Profesionalización correspondiente, así como tampoco las evaluaciones de control de confianza, de competencias básicas y de desempeño.</t>
  </si>
  <si>
    <r>
      <t xml:space="preserve">1.- </t>
    </r>
    <r>
      <rPr>
        <b/>
        <i/>
        <sz val="8"/>
        <rFont val="Arial"/>
        <family val="2"/>
      </rPr>
      <t xml:space="preserve">Acciones formativas. </t>
    </r>
    <r>
      <rPr>
        <i/>
        <sz val="8"/>
        <rFont val="Arial"/>
        <family val="2"/>
      </rPr>
      <t>Se refiere a las acciones orientadas a la adquisición de conocimientos y competencias personales e interpersonales para el ejercicio de la función pública, mismas que conllevan algún tipo de evaluación para su acreditación. Dichas acciones pueden ser cursos, talleres, diplomados, entre otros de naturaleza similar. Para efectos del presente censo, se consideran tres tipos de medios de presentación:</t>
    </r>
  </si>
  <si>
    <r>
      <rPr>
        <b/>
        <i/>
        <sz val="8"/>
        <rFont val="Arial"/>
        <family val="2"/>
      </rPr>
      <t xml:space="preserve">Presencial. </t>
    </r>
    <r>
      <rPr>
        <i/>
        <sz val="8"/>
        <rFont val="Arial"/>
        <family val="2"/>
      </rPr>
      <t>Se refiere a las acciones formativas impartidas presencialmente en un horario y lugar establecido.</t>
    </r>
  </si>
  <si>
    <r>
      <rPr>
        <b/>
        <i/>
        <sz val="8"/>
        <rFont val="Arial"/>
        <family val="2"/>
      </rPr>
      <t xml:space="preserve">En línea. </t>
    </r>
    <r>
      <rPr>
        <i/>
        <sz val="8"/>
        <rFont val="Arial"/>
        <family val="2"/>
      </rPr>
      <t>Se refiere a las acciones formativas impartidas en línea, en las cuales los contenidos de capacitación están disponibles en horarios y periodos determinados con la finalidad de que las personas participantes puedan consultarlos y/ o utilizarlos de acuerdo con sus necesidades y disponibilidad de tiempo.</t>
    </r>
  </si>
  <si>
    <r>
      <rPr>
        <b/>
        <i/>
        <sz val="8"/>
        <rFont val="Arial"/>
        <family val="2"/>
      </rPr>
      <t xml:space="preserve">Síncrono. </t>
    </r>
    <r>
      <rPr>
        <i/>
        <sz val="8"/>
        <rFont val="Arial"/>
        <family val="2"/>
      </rPr>
      <t>Se refiere a las acciones formativas impartidas en línea que hacen uso de herramientas de comunicación en tiempo real y bajo un horario establecido.</t>
    </r>
  </si>
  <si>
    <t>2.16.-</t>
  </si>
  <si>
    <t>Indique si durante el año 2023 se impartieron acciones formativas al personal adscrito a los centros especializados de su entidad federativa. En caso afirmativo, anote la cantidad de acciones formativas impartidas, según medio de presentación, así como la cantidad de personal capacitado, según sexo.</t>
  </si>
  <si>
    <t>En caso de que no se le hayan impartido acciones formativas al personal, o no cuente con información para determinarlo, indíquelo en la columna correspondiente conforme al catálogo respectivo y deje el resto de la fila en blanco.</t>
  </si>
  <si>
    <t>En el apartado "Acciones formativas impartidas, según medio de presentación" debe considerar las acciones formativas impartidas del 01 de enero al 31 de diciembre de 2023 al personal, independientemente de que hayan concluido durante el referido año.</t>
  </si>
  <si>
    <t>En el apartado "Acciones formativas impartidas y concluidas, según medio de presentación" debe considerar las acciones formativas impartidas del 01 de enero al 31 de diciembre de 2023 al personal, y que además hayan concluido durante el referido año.</t>
  </si>
  <si>
    <t>La cantidad registrada en la columna "Total" del apartado "Acciones formativas impartidas y concluidas, según medio de presentación" debe ser igual o menor a la cantidad reportada en la columna "Total" del apartado "Acciones formativas impartidas, según medio de presentación", así como corresponder a su desagregación por medio de presentación.</t>
  </si>
  <si>
    <t>En el apartado "Personal adscrito a los centros especializados capacitado, según sexo" debe considerar al personal que haya concluido determinada acción formativa impartida y concluida entre el 01 de enero y el 31 de diciembre de 2023, independientemente de que, por cuestiones de temporalidad, cuente con el certificado, constancia, calificación aprobatoria, o cualquier documento que lo acredite.</t>
  </si>
  <si>
    <t>En caso de que la cantidad registrada en la columna "Total" del apartado "Acciones formativas impartidas y concluidas, según medio de presentación" no sea un dato numérico mayor a cero, no puede registrar información en el apartado "Personal adscrito a los centros especializados capacitado, según sexo".</t>
  </si>
  <si>
    <t xml:space="preserve">En caso de que alguna persona servidora pública haya concluido más de una acción formativa impartida y concluida entre el 01 de enero y el 31 de diciembre de 2023, debe ser considerada una sola vez en el registro de esta pregunta. </t>
  </si>
  <si>
    <r>
      <t xml:space="preserve">¿Se impartieron acciones formativas al personal?
</t>
    </r>
    <r>
      <rPr>
        <i/>
        <sz val="8"/>
        <rFont val="Arial"/>
        <family val="2"/>
      </rPr>
      <t>(1. Sí / 2. No / 9. No identificado)</t>
    </r>
  </si>
  <si>
    <t>Acciones formativas impartidas, según medio de presentación</t>
  </si>
  <si>
    <t>Acciones formativas impartidas y concluidas, según medio de presentación</t>
  </si>
  <si>
    <t>Personal adscrito a los centros especializados capacitado, según sexo</t>
  </si>
  <si>
    <t xml:space="preserve">Presencial </t>
  </si>
  <si>
    <t>En línea</t>
  </si>
  <si>
    <t>Síncrono</t>
  </si>
  <si>
    <t>SUMA1</t>
  </si>
  <si>
    <t>COMP1</t>
  </si>
  <si>
    <t>SUMA2</t>
  </si>
  <si>
    <t>COMP2</t>
  </si>
  <si>
    <t>SUMA3</t>
  </si>
  <si>
    <t>COMP3</t>
  </si>
  <si>
    <t>PRESENCIAL</t>
  </si>
  <si>
    <t>EN LINEA</t>
  </si>
  <si>
    <t>SINCRONO</t>
  </si>
  <si>
    <t>TOTAL_NS</t>
  </si>
  <si>
    <t>TOTAL_COMP</t>
  </si>
  <si>
    <t>2.17.-</t>
  </si>
  <si>
    <t>Anote la cantidad de acciones formativas, según tema, impartidas durante el año 2023 al personal adscrito a los centros especializados de su entidad federativa, así como la cantidad de personal capacitado, según sexo.</t>
  </si>
  <si>
    <t>En caso de que haya seleccionado el código "2" o "9" en la columna "¿Se impartieron acciones formativas al personal?" de la pregunta anterior, no puede registrar información en el presente reactivo.</t>
  </si>
  <si>
    <t>En caso de que no se hayan realizado acciones formativas en determinado tema, anote una "X" en la columna "No se realizaron acciones formativas" y deje el resto de la fila en blanco.</t>
  </si>
  <si>
    <t>La suma de las cantidades registradas en la columna "Acciones formativas impartidas" debe ser igual o mayor a la cantidad reportada como respuesta en la columna "Total" del apartado "Acciones formativas impartidas, según medio de presentación" de la pregunta anterior, toda vez que una acción formativa pudo haber contemplado más de un tema.</t>
  </si>
  <si>
    <t>La cantidad registrada en la columna "Acciones formativas impartidas" de cada tema debe ser igual o menor a la cantidad reportada como respuesta en la columna "Total" del apartado "Acciones formativas impartidas, según medio de presentación" de la pregunta anterior. En caso de que esta instrucción no le aplique, justifíquelo en el recuadro que se encuentra al final de la tabla de respuesta.</t>
  </si>
  <si>
    <t>La suma de las cantidades registradas en la columna "Acciones formativas impartidas y concluidas" debe ser igual o mayor a la cantidad reportada como respuesta en la columna "Total" del apartado "Acciones formativas impartidas y concluidas, según medio de presentación" de la pregunta anterior, toda vez que una acción formativa pudo haber contemplado más de un tema.</t>
  </si>
  <si>
    <t>La cantidad registrada en la columna "Acciones formativas impartidas y concluidas" de cada tema debe ser igual o menor a la cantidad reportada como respuesta en la columna "Total" del apartado "Acciones formativas impartidas y concluidas, según medio de presentación" de la pregunta anterior. En caso de que esta instrucción no le aplique, justifíquelo en el recuadro que se encuentra al final de la tabla de respuesta.</t>
  </si>
  <si>
    <t>La suma de las cantidades registradas en la columna "Acciones formativas impartidas y concluidas" debe ser igual o menor a la suma de las cantidades reportadas en la columna "Acciones formativas impartidas", así como corresponder a su desagregación por tema.</t>
  </si>
  <si>
    <t>En caso de que la cantidad registrada en la columna "Acciones formativas impartidas y concluidas" de determinado tema no sea un dato numérico mayor a cero, no puede registrar información en el apartado "Personal adscrito a los centros especializados capacitado, según sexo" de dicho tema.</t>
  </si>
  <si>
    <t>La suma de las cantidades registradas en la columna "Total" debe ser igual o mayor a la cantidad reportada como respuesta en la columna "Total" del apartado "Personal adscrito a los centros especializados capacitado, según sexo" de la pregunta anterior, así como corresponder a su desagregación por sexo; toda vez que una persona servidora pública pudo haber concluido más de una acción formativa en el mismo o en diferentes temas.</t>
  </si>
  <si>
    <t>La cantidad registrada en la columna "Total" de cada tema debe ser igual o menor a la cantidad reportada como respuesta en la columna "Total" del apartado "Personal adscrito a los centros especializados capacitado, según sexo" de la pregunta anterior, así como corresponder a su desagregación por sexo. En caso de que esta instrucción no le aplique, justifíquelo en el recuadro que se encuentra al final de la tabla de respuesta.</t>
  </si>
  <si>
    <t>TOTAL_Acciones formativas impartidas</t>
  </si>
  <si>
    <t>COMP_Acciones formativas impartidas</t>
  </si>
  <si>
    <t>TOTAL_Acciones formativas impartidas concluidas</t>
  </si>
  <si>
    <t>COMP_Acciones formativas impartidas concluidas</t>
  </si>
  <si>
    <t>En caso de que registre algún valor numérico mayor a cero en el numeral 11, debe anotar el nombre de dicho(s) tema(s) en el recuadro destinado para tal efecto que se encuentra al final de la tabla de respuesta.</t>
  </si>
  <si>
    <t>COMP_ACCIONES</t>
  </si>
  <si>
    <t>TOTAL_Personal adscrito capacitado en la materia, según sexo</t>
  </si>
  <si>
    <t>Temas</t>
  </si>
  <si>
    <t>No se realizaron acciones formativas</t>
  </si>
  <si>
    <t>Acciones formativas impartidas</t>
  </si>
  <si>
    <t>Acciones formativas impartidas y concluidas</t>
  </si>
  <si>
    <t>BLOQUEO ACCIONES</t>
  </si>
  <si>
    <t xml:space="preserve">HOMBRES </t>
  </si>
  <si>
    <t>NUM 11</t>
  </si>
  <si>
    <t>BLOQUEO X</t>
  </si>
  <si>
    <t>Derechos humanos de las personas adolescentes internadas</t>
  </si>
  <si>
    <t>Detección y apoyo de problemas de salud mental de las personas adolescentes internadas</t>
  </si>
  <si>
    <t>Identificación y atención de necesidades de personas adolescentes internadas en situación de especial vulnerabilidad</t>
  </si>
  <si>
    <t>Justicia cívica</t>
  </si>
  <si>
    <t>Mediación y resolución de conflictos</t>
  </si>
  <si>
    <t>Medidas para garantizar los derechos sexuales y reproductivos de las personas adolescentes internadas</t>
  </si>
  <si>
    <t>Perspectiva de género</t>
  </si>
  <si>
    <t>Prevención y atención de incidentes violentos</t>
  </si>
  <si>
    <t>Prohibición y prevención de la tortura sexual</t>
  </si>
  <si>
    <t>Uso de la fuerza</t>
  </si>
  <si>
    <r>
      <t xml:space="preserve">Otro tema </t>
    </r>
    <r>
      <rPr>
        <i/>
        <sz val="8"/>
        <rFont val="Arial"/>
        <family val="2"/>
      </rPr>
      <t>(especifique)</t>
    </r>
  </si>
  <si>
    <r>
      <t xml:space="preserve">Otro tema:
</t>
    </r>
    <r>
      <rPr>
        <i/>
        <sz val="8"/>
        <rFont val="Arial"/>
        <family val="2"/>
      </rPr>
      <t>(especifique)</t>
    </r>
  </si>
  <si>
    <t/>
  </si>
  <si>
    <t>II.4 Dignificación del servicio</t>
  </si>
  <si>
    <r>
      <t>1.-</t>
    </r>
    <r>
      <rPr>
        <b/>
        <i/>
        <sz val="8"/>
        <rFont val="Arial"/>
        <family val="2"/>
      </rPr>
      <t xml:space="preserve"> Manifestación. </t>
    </r>
    <r>
      <rPr>
        <i/>
        <sz val="8"/>
        <rFont val="Arial"/>
        <family val="2"/>
      </rPr>
      <t>Se refiere, en términos del presente censo, al ejercicio de la libertad de expresión y reunión por parte del personal a efecto de protestar por sus condiciones de trabajo sin suspender las labores correspondientes.</t>
    </r>
  </si>
  <si>
    <r>
      <t>2.-</t>
    </r>
    <r>
      <rPr>
        <b/>
        <i/>
        <sz val="8"/>
        <rFont val="Arial"/>
        <family val="2"/>
      </rPr>
      <t xml:space="preserve"> Emplazamiento a paro de labores. </t>
    </r>
    <r>
      <rPr>
        <i/>
        <sz val="8"/>
        <rFont val="Arial"/>
        <family val="2"/>
      </rPr>
      <t>Se refiere, en términos del presente censo, al anuncio realizado por el personal a las instancias superiores con el propósito de llevar a cabo un paro de labores en caso de no ser atendidas sus demandas.</t>
    </r>
  </si>
  <si>
    <r>
      <t>3.-</t>
    </r>
    <r>
      <rPr>
        <b/>
        <i/>
        <sz val="8"/>
        <rFont val="Arial"/>
        <family val="2"/>
      </rPr>
      <t xml:space="preserve"> Paro de labores. </t>
    </r>
    <r>
      <rPr>
        <i/>
        <sz val="8"/>
        <rFont val="Arial"/>
        <family val="2"/>
      </rPr>
      <t>Se refiere, en términos del presente censo, a la suspensión temporal del trabajo del personal como forma de protesta por sus condiciones de trabajo.</t>
    </r>
  </si>
  <si>
    <t>2.18.-</t>
  </si>
  <si>
    <t>Indique las prestaciones laborales con las que contó durante el año 2023 el personal adscrito a los centros especializados de su entidad federativa. Por cada una de estas, anote la cantidad de personal, según sexo, adscrito al cierre del referido año que, durante el mismo, contó con la prestación laboral.</t>
  </si>
  <si>
    <t>Debe considerar las prestaciones laborales con las que contaba el personal, independientemente de que el mismo haya hecho uso de ellas.</t>
  </si>
  <si>
    <t>En caso de que el personal no haya contado con determinada prestación laboral, no haya estado prevista en la legislación laboral y/ o administrativa aplicable, o no cuente con información para determinarlo, indíquelo en la columna correspondiente conforme al catálogo respectivo y deje el resto de la fila en blanco.</t>
  </si>
  <si>
    <t>Para el numeral 9, no puede registrar información en la columna "Hombres".</t>
  </si>
  <si>
    <t>Para cada prestación laboral, la cantidad registrada en la columna "Total" debe ser igual o menor a la suma de las cantidades reportadas como respuesta en la columna “Total" de la pregunta 2.2, así como corresponder a su desagregación por sexo.</t>
  </si>
  <si>
    <t>En caso de que seleccione para el numeral 34 el código "1" en la columna "¿El personal contó con la prestación laboral?", debe anotar el nombre de dicha(s) prestación(es) laboral(es) en el recuadro destinado para tal efecto que se encuentra al final de la tabla de respuesta.</t>
  </si>
  <si>
    <t xml:space="preserve">Prestaciones laborales </t>
  </si>
  <si>
    <r>
      <t xml:space="preserve">¿El personal contó con la prestación laboral?
</t>
    </r>
    <r>
      <rPr>
        <i/>
        <sz val="8"/>
        <rFont val="Arial"/>
        <family val="2"/>
      </rPr>
      <t xml:space="preserve">(1. Sí / 2. No / 8. No aplica / 9. No identificado) </t>
    </r>
  </si>
  <si>
    <t>Personal adscrito a los centros especializados que contó con la prestación laboral, según sexo</t>
  </si>
  <si>
    <t>BLOQUEO HOMBRES</t>
  </si>
  <si>
    <t>PREG.  PIVOTE</t>
  </si>
  <si>
    <t>NUM_34</t>
  </si>
  <si>
    <t>Aguinaldo</t>
  </si>
  <si>
    <t>Ahorro solidario</t>
  </si>
  <si>
    <r>
      <t xml:space="preserve">Apoyo educativo </t>
    </r>
    <r>
      <rPr>
        <i/>
        <sz val="8"/>
        <rFont val="Arial"/>
        <family val="2"/>
      </rPr>
      <t>(becas para el personal, permisos, convenios, etc.)</t>
    </r>
  </si>
  <si>
    <t>Apoyo para los familiares del personal fallecido en ejercicio de sus funciones</t>
  </si>
  <si>
    <t>Apoyo para los familiares del personal desaparecido o no localizado</t>
  </si>
  <si>
    <r>
      <t xml:space="preserve">Apoyo funerario para los familiares del personal fallecido </t>
    </r>
    <r>
      <rPr>
        <i/>
        <sz val="8"/>
        <rFont val="Arial"/>
        <family val="2"/>
      </rPr>
      <t>(no incluye al personal fallecido en ejercicio de sus funciones)</t>
    </r>
  </si>
  <si>
    <t>Apoyo para gastos funerarios de algún familiar</t>
  </si>
  <si>
    <r>
      <t xml:space="preserve">Apoyo para la vivienda </t>
    </r>
    <r>
      <rPr>
        <i/>
        <sz val="8"/>
        <rFont val="Arial"/>
        <family val="2"/>
      </rPr>
      <t>(no incluye créditos para la vivienda)</t>
    </r>
  </si>
  <si>
    <t>Apoyos para la lactancia</t>
  </si>
  <si>
    <t xml:space="preserve">Apoyo para útiles escolares de sus hijas y/ o hijos </t>
  </si>
  <si>
    <t>Áreas deportivas</t>
  </si>
  <si>
    <t>Asesoría jurídica</t>
  </si>
  <si>
    <t>Ayuda para transporte</t>
  </si>
  <si>
    <t xml:space="preserve">Becas escolares para sus hijas y/ o hijos </t>
  </si>
  <si>
    <t>Comedor dentro de las instalaciones</t>
  </si>
  <si>
    <t>Créditos automotrices</t>
  </si>
  <si>
    <t>Créditos para la vivienda</t>
  </si>
  <si>
    <r>
      <t>Créditos personales</t>
    </r>
    <r>
      <rPr>
        <i/>
        <sz val="8"/>
        <rFont val="Arial"/>
        <family val="2"/>
      </rPr>
      <t xml:space="preserve"> (no incluye créditos automotrices ni créditos para la vivienda)</t>
    </r>
  </si>
  <si>
    <t>Días de permiso</t>
  </si>
  <si>
    <t>Fondo de ahorro para el retiro</t>
  </si>
  <si>
    <t>Guardería</t>
  </si>
  <si>
    <t>Licencia de maternidad/ paternidad</t>
  </si>
  <si>
    <t>Seguro de enfermedad</t>
  </si>
  <si>
    <t>Seguro de gastos médicos mayores</t>
  </si>
  <si>
    <t>Seguro de vida</t>
  </si>
  <si>
    <t>Seguro de retiro</t>
  </si>
  <si>
    <t>Servicios médicos dentro de las instalaciones</t>
  </si>
  <si>
    <t>Servicios psicológicos o de contención emocional</t>
  </si>
  <si>
    <t>Vacaciones</t>
  </si>
  <si>
    <t>Prima quinquenal</t>
  </si>
  <si>
    <t>Prima vacacional</t>
  </si>
  <si>
    <t>Prima de antigüedad</t>
  </si>
  <si>
    <t>Vales, bonos o ayuda para despensa</t>
  </si>
  <si>
    <r>
      <t>Otra prestación laboral</t>
    </r>
    <r>
      <rPr>
        <i/>
        <sz val="8"/>
        <rFont val="Arial"/>
        <family val="2"/>
      </rPr>
      <t xml:space="preserve"> (especifique)</t>
    </r>
  </si>
  <si>
    <r>
      <t xml:space="preserve">Otra prestación laboral:
</t>
    </r>
    <r>
      <rPr>
        <i/>
        <sz val="8"/>
        <rFont val="Arial"/>
        <family val="2"/>
      </rPr>
      <t>(especifique)</t>
    </r>
  </si>
  <si>
    <t>2.19.-</t>
  </si>
  <si>
    <t>Indique si durante el año 2023 la institución responsable de los centros especializados de su entidad federativa tuvo registro de las formas de protesta listadas por parte del personal adscrito a dichos centros. En caso afirmativo, anote la cantidad de protestas realizadas por el personal durante el referido año, según motivo; utilizando para tal efecto el catálogo que se presenta en la parte inferior de la siguiente tabla.</t>
  </si>
  <si>
    <t>Para cada forma de protesta, en caso de que no haya tenido registro de protestas realizadas por el personal, o no cuente con información para determinarlo, indíquelo en la columna correspondiente conforme al catálogo respectivo y deje el resto de la fila en blanco.</t>
  </si>
  <si>
    <t>Para cada forma de protesta, la cantidad registrada en la columna "Total" debe ser igual o menor a la suma de las cantidades reportadas en las columnas del apartado "Motivo", toda vez que una protesta pudo haberse derivado a partir de más de un motivo.</t>
  </si>
  <si>
    <t>Para cada forma de protesta, la cantidad registrada en cada una de las columnas del apartado "Motivo" debe ser igual o menor a la cantidad reportada en la columna "Total". En caso de que esta instrucción no le aplique, justifíquelo en el recuadro que se encuentra al final del catálogo de respuesta.</t>
  </si>
  <si>
    <t>En caso de que registre algún valor numérico mayor a cero en la columna 11 del apartado "Motivo", debe anotar el nombre de dicho(s) motivo(s) en el recuadro destinado para tal efecto que se encuentra al final de la tabla de respuesta.</t>
  </si>
  <si>
    <t xml:space="preserve"> Formas de protesta</t>
  </si>
  <si>
    <r>
      <t xml:space="preserve">¿Tuvo registro de protestas realizadas por el personal?
</t>
    </r>
    <r>
      <rPr>
        <i/>
        <sz val="8"/>
        <rFont val="Arial"/>
        <family val="2"/>
      </rPr>
      <t>(1. Sí / 2. No / 9. No identificado)</t>
    </r>
  </si>
  <si>
    <r>
      <t xml:space="preserve">Protestas realizadas por el personal, según motivo
</t>
    </r>
    <r>
      <rPr>
        <i/>
        <sz val="8"/>
        <rFont val="Arial"/>
        <family val="2"/>
      </rPr>
      <t>(ver catálogo)</t>
    </r>
  </si>
  <si>
    <t>Motivo</t>
  </si>
  <si>
    <t>COMP_MOTIVO</t>
  </si>
  <si>
    <t>NUM_11</t>
  </si>
  <si>
    <t>Manifestaciones</t>
  </si>
  <si>
    <t>Emplazamiento a paro de labores</t>
  </si>
  <si>
    <t>Paro de labores</t>
  </si>
  <si>
    <r>
      <rPr>
        <sz val="9"/>
        <rFont val="Arial"/>
        <family val="2"/>
      </rPr>
      <t>Otro motivo:</t>
    </r>
    <r>
      <rPr>
        <i/>
        <sz val="8"/>
        <rFont val="Arial"/>
        <family val="2"/>
      </rPr>
      <t xml:space="preserve"> (especifique)</t>
    </r>
  </si>
  <si>
    <t>Catálogo de motivos de las protestas realizadas por el personal</t>
  </si>
  <si>
    <t>Ausencia de pago de remuneraciones</t>
  </si>
  <si>
    <t>Falta de contrato laboral</t>
  </si>
  <si>
    <t>Ausencia de prestaciones laborales</t>
  </si>
  <si>
    <t>Hostigamiento o acoso sexual</t>
  </si>
  <si>
    <t>Falta de equipamiento para el ejercicio de sus funciones</t>
  </si>
  <si>
    <t>Trato denigrante y humillaciones</t>
  </si>
  <si>
    <r>
      <t xml:space="preserve">Actos de corrupción o abuso de autoridad de mandos </t>
    </r>
    <r>
      <rPr>
        <i/>
        <sz val="8"/>
        <rFont val="Arial"/>
        <family val="2"/>
      </rPr>
      <t>(sin incluir el cobro de cuotas)</t>
    </r>
  </si>
  <si>
    <t>Realización de actividades que no corresponden a su empleo, cargo o comisión</t>
  </si>
  <si>
    <t>Cobro de cuotas por parte de mandos</t>
  </si>
  <si>
    <r>
      <t xml:space="preserve">Otro motivo </t>
    </r>
    <r>
      <rPr>
        <i/>
        <sz val="8"/>
        <rFont val="Arial"/>
        <family val="2"/>
      </rPr>
      <t>(especifique)</t>
    </r>
  </si>
  <si>
    <t>Inconformidad con las jornadas laborales</t>
  </si>
  <si>
    <t>2.20.-</t>
  </si>
  <si>
    <t>Anote la cantidad de personal de los centros especializados de su entidad federativa que se jubiló o renunció durante el año 2023, según sexo.</t>
  </si>
  <si>
    <t>Estatus</t>
  </si>
  <si>
    <t>Personal de los centros especializados que se jubiló o renunció, según sexo</t>
  </si>
  <si>
    <t>Personal jubilado</t>
  </si>
  <si>
    <t>Personal que renunció</t>
  </si>
  <si>
    <t>2.21.-</t>
  </si>
  <si>
    <t>Anote la cantidad de personal de custodia y/ o vigilancia, según sexo, adscrito al cierre del año 2023 a los centros especializados de su entidad federativa que, durante el referido año, desempeñó sus funciones en determinado esquema de jornada laboral.</t>
  </si>
  <si>
    <t>La suma de las cantidades registradas en la columna "Total" debe ser igual o mayor a la suma de las cantidades reportadas como respuesta en las columnas "Subtotal" del grupo "Personal de custodia y/ o vigilancia" de la pregunta 2.10, así como corresponder a su desagregación por sexo; toda vez que una persona servidora pública pudo haber desempeñado sus servicios en más de un esquema de jornada laboral.</t>
  </si>
  <si>
    <t>La cantidad registrada en la columna "Total" de cada esquema de jornada laboral debe ser igual o menor a la suma de las cantidades reportadas como respuesta en las columnas "Subtotal" del grupo "Personal de custodia y/ o vigilancia" de la pregunta 2.10, así como corresponder a su desagregación por sexo. En caso de que esta instrucción no le aplique, justifíquelo en el recuadro que se encuentra al final de la tabla de respuesta.</t>
  </si>
  <si>
    <t>En caso de que registre algún valor numérico mayor a cero en el numeral 14, debe anotar el nombre de dicho(s) esquema(s) de jornada laboral en el recuadro destinado para tal efecto que se encuentra al final de la tabla de respuesta.</t>
  </si>
  <si>
    <t>Esquemas de jornada laboral</t>
  </si>
  <si>
    <t>Personal de custodia y/ o vigilancia adscrito a los centros especializados, según sexo</t>
  </si>
  <si>
    <t>COMP_2.10_PERSONAL</t>
  </si>
  <si>
    <t>NUM_14</t>
  </si>
  <si>
    <t>COMP_2.10_ESQUEMAS</t>
  </si>
  <si>
    <t>8 por 12</t>
  </si>
  <si>
    <t>8 por 16</t>
  </si>
  <si>
    <t>8 por 24</t>
  </si>
  <si>
    <t>12 por 12</t>
  </si>
  <si>
    <t>12 por 24</t>
  </si>
  <si>
    <t>12 por 36</t>
  </si>
  <si>
    <t>24 por 24</t>
  </si>
  <si>
    <t>24 por 48</t>
  </si>
  <si>
    <t>48 por 48</t>
  </si>
  <si>
    <t>72 por 72</t>
  </si>
  <si>
    <t>96 por 96</t>
  </si>
  <si>
    <t>144 por 144</t>
  </si>
  <si>
    <r>
      <t xml:space="preserve">Jornada acumulada </t>
    </r>
    <r>
      <rPr>
        <i/>
        <sz val="8"/>
        <rFont val="Arial"/>
        <family val="2"/>
      </rPr>
      <t>(fines de semana y días inhábiles)</t>
    </r>
  </si>
  <si>
    <r>
      <t xml:space="preserve">Otro esquema de jornada laboral </t>
    </r>
    <r>
      <rPr>
        <i/>
        <sz val="8"/>
        <rFont val="Arial"/>
        <family val="2"/>
      </rPr>
      <t>(especifique)</t>
    </r>
  </si>
  <si>
    <r>
      <t xml:space="preserve">Otro esquema de jornada laboral:
</t>
    </r>
    <r>
      <rPr>
        <i/>
        <sz val="8"/>
        <rFont val="Arial"/>
        <family val="2"/>
      </rPr>
      <t>(especifique)</t>
    </r>
  </si>
  <si>
    <t>2.22.-</t>
  </si>
  <si>
    <t>Indique los elementos de uniforme policial que durante el año 2023 se otorgaron al personal de custodia y/ o vigilancia adscrito a los centros especializados de su entidad federativa. Por cada uno de estos, anote el total de elementos de uniforme policial otorgados y señale la frecuencia en la que se otorgaron durante el referido año; utilizando para tal efecto el catálogo que se presenta en la parte inferior de la siguiente tabla.</t>
  </si>
  <si>
    <t>En el numeral 3 no debe considerar la información relacionada con los chalecos balísticos, toda vez que la misma se requiere en el siguiente reactivo.</t>
  </si>
  <si>
    <t>En caso de que determinado elemento de uniforme policial no se haya otorgado al personal de custodia y/ o vigilancia, o no cuente con información para determinarlo, indíquelo en la columna correspondiente conforme al catálogo respectivo y deje el resto de la fila en blanco.</t>
  </si>
  <si>
    <t>Los numerales 11, 12 y 13 refieren a aquellos casos en los que el respectivo uniforme fue otorgado de manera completa (con todos sus elementos) al personal de custodia y/ o vigilancia, no como elementos individuales proporcionados por separado. De ser este el caso, la información que se registre en dichos numerales no debe considerarse en los numerales asociados a los elementos individuales correspondientes.</t>
  </si>
  <si>
    <t>En caso de que seleccione para el numeral 16 el código "1" en la columna "¿Se otorgó al personal de custodia y/ o vigilancia?", debe anotar el nombre de dicho(s) elemento(s) de uniforme policial en el recuadro destinado para tal efecto que se encuentra al final de la tabla de respuesta.</t>
  </si>
  <si>
    <t>En caso de que seleccione el código "9" en la columna "Frecuencia en la que se otorgaron", debe anotar el nombre de dicha(s) frecuencia(s) en el recuadro destinado para tal efecto que se encuentra al final de la tabla de respuesta.</t>
  </si>
  <si>
    <t>Elementos de uniforme policial</t>
  </si>
  <si>
    <r>
      <t xml:space="preserve">¿Se otorgó al personal de custodia y/ o vigilancia?
</t>
    </r>
    <r>
      <rPr>
        <i/>
        <sz val="8"/>
        <rFont val="Arial"/>
        <family val="2"/>
      </rPr>
      <t>(1. Sí / 2. No / 9. No identificado)</t>
    </r>
  </si>
  <si>
    <t>Elementos de uniforme policial otorgados</t>
  </si>
  <si>
    <r>
      <t xml:space="preserve">Frecuencia en la que se otorgaron
</t>
    </r>
    <r>
      <rPr>
        <i/>
        <sz val="8"/>
        <rFont val="Arial"/>
        <family val="2"/>
      </rPr>
      <t>(ver catálogo)</t>
    </r>
  </si>
  <si>
    <t>NUM_16</t>
  </si>
  <si>
    <t>COD_9</t>
  </si>
  <si>
    <t>Chamarra</t>
  </si>
  <si>
    <t>Camisola</t>
  </si>
  <si>
    <r>
      <t xml:space="preserve">Chaleco </t>
    </r>
    <r>
      <rPr>
        <i/>
        <sz val="8"/>
        <rFont val="Arial"/>
        <family val="2"/>
      </rPr>
      <t>(táctico)</t>
    </r>
  </si>
  <si>
    <t>Playera</t>
  </si>
  <si>
    <t>Pantalón</t>
  </si>
  <si>
    <t>Gorra</t>
  </si>
  <si>
    <t>Overol tipo comando</t>
  </si>
  <si>
    <t>Impermeable</t>
  </si>
  <si>
    <t>Botas</t>
  </si>
  <si>
    <t>Zapatos tipo choclo</t>
  </si>
  <si>
    <r>
      <t xml:space="preserve">Uniforme de gala </t>
    </r>
    <r>
      <rPr>
        <i/>
        <sz val="8"/>
        <rFont val="Arial"/>
        <family val="2"/>
      </rPr>
      <t>(incluye saco, pantalón, camisa, corbata o corbatín, cinturón, etc.)</t>
    </r>
  </si>
  <si>
    <r>
      <t xml:space="preserve">Uniforme táctico y/ o tipo comando </t>
    </r>
    <r>
      <rPr>
        <i/>
        <sz val="8"/>
        <rFont val="Arial"/>
        <family val="2"/>
      </rPr>
      <t>(incluye camisola, pantalón, gorra, etc.)</t>
    </r>
  </si>
  <si>
    <r>
      <t xml:space="preserve">Uniforme deportivo </t>
    </r>
    <r>
      <rPr>
        <i/>
        <sz val="8"/>
        <rFont val="Arial"/>
        <family val="2"/>
      </rPr>
      <t>(incluye chamarra o sudadera, pantalón, calcetas, etc.)</t>
    </r>
  </si>
  <si>
    <t>Fornitura</t>
  </si>
  <si>
    <t>Placas, insignias y/ o divisas</t>
  </si>
  <si>
    <r>
      <t xml:space="preserve">Otro elemento de uniforme policial </t>
    </r>
    <r>
      <rPr>
        <i/>
        <sz val="8"/>
        <rFont val="Arial"/>
        <family val="2"/>
      </rPr>
      <t>(especifique)</t>
    </r>
  </si>
  <si>
    <r>
      <t xml:space="preserve">Otro elemento de uniforme policial:
</t>
    </r>
    <r>
      <rPr>
        <i/>
        <sz val="8"/>
        <rFont val="Arial"/>
        <family val="2"/>
      </rPr>
      <t>(especifique)</t>
    </r>
  </si>
  <si>
    <t>Catálogo de frecuencia en la que se otorgaron los elementos de uniforme policial</t>
  </si>
  <si>
    <t>Una sola vez</t>
  </si>
  <si>
    <t>Cuadrienal</t>
  </si>
  <si>
    <t>Quinquenal</t>
  </si>
  <si>
    <t xml:space="preserve">Periodos mayores a cinco años </t>
  </si>
  <si>
    <t>Bienal</t>
  </si>
  <si>
    <t>Trienal</t>
  </si>
  <si>
    <t>2.23.-</t>
  </si>
  <si>
    <t>Indique los tipos de equipamiento e instrumentos para el uso de la fuerza que al cierre del año 2023 se habían otorgado y/ o asignado al personal de custodia y/ o vigilancia adscrito a los centros especializados de su entidad federativa. Por cada uno de estos, anote el total de equipamiento o instrumentos para el uso de la fuerza otorgados y/ o asignados, así como la cantidad de dicho personal, según sexo, que al cierre del referido año se le había otorgado y/ o asignado.</t>
  </si>
  <si>
    <t>No debe considerar como un tipo de equipamiento o instrumento para el uso de la fuerza a los detectores de metal fijos o móviles, toda vez que dicha información se requiere en la pregunta 1.9.</t>
  </si>
  <si>
    <t>En caso de que determinado tipo de equipamiento o instrumento para el uso de la fuerza no se haya otorgado y/ o asignado al personal de custodia y/ o vigilancia, no haya estado previsto en la legislación aplicable, o no cuente con información para determinarlo, indíquelo en la columna correspondiente conforme al catálogo respectivo y deje el resto de la fila en blanco.</t>
  </si>
  <si>
    <t>Para el numeral 1.2, no puede registrar información en la columna "Hombres".</t>
  </si>
  <si>
    <t>Para cada tipo de equipamiento e instrumento para el uso de la fuerza, la cantidad registrada en la columna "Total" debe ser igual o menor a la suma de las cantidades reportadas como respuesta en las columnas "Subtotal" del grupo "Personal de custodia y/ o vigilancia" de la pregunta 2.10, así como corresponder a su desagregación por sexo.</t>
  </si>
  <si>
    <t xml:space="preserve">Para cada tipo de equipamiento e instrumento para el uso de la fuerza, la cantidad registrada en la columna "Total" debe ser igual o menor a la cantidad reportada en la columna "Equipamiento o instrumentos para el uso de la fuerza otorgados y/ o asignados". En caso de que esta instrucción no le aplique, justifíquelo en el recuadro que se encuentra al final de la tabla de respuesta. </t>
  </si>
  <si>
    <t>En caso de que seleccione para el numeral 4 el código "1" en la columna "¿Se otorgó y/ o asignó al personal de custodia y/ o vigilancia?", debe anotar el nombre de dicho(s) tipo(s) de equipamiento o instrumentos para el uso de la fuerza en el recuadro destinado para tal efecto que se encuentra al final de la tabla de respuesta.</t>
  </si>
  <si>
    <t>Tipos de equipamiento e instrumentos para el uso de la fuerza</t>
  </si>
  <si>
    <r>
      <t xml:space="preserve">¿Se otorgó y/ o asignó al personal de custodia y/ o vigilancia?
</t>
    </r>
    <r>
      <rPr>
        <i/>
        <sz val="8"/>
        <rFont val="Arial"/>
        <family val="2"/>
      </rPr>
      <t xml:space="preserve">(1. Sí / 2. No / 8. No aplica / 9. No identificado) </t>
    </r>
  </si>
  <si>
    <t>Equipamiento o instrumentos para el uso de la fuerza otorgados y/ o asignados</t>
  </si>
  <si>
    <t>Personal de custodia y/ o vigilancia adscrito a los centros especializados al que se le otorgó y/ o asignó, según sexo</t>
  </si>
  <si>
    <t>COMP_EQUIPAMIENTOS</t>
  </si>
  <si>
    <t>NUM_4</t>
  </si>
  <si>
    <t xml:space="preserve">1. Equipamiento para el ejercicio de la función </t>
  </si>
  <si>
    <t>1.1</t>
  </si>
  <si>
    <t>Chaleco balístico</t>
  </si>
  <si>
    <t>1.2</t>
  </si>
  <si>
    <t>Chaleco balístico anatómico para mujeres</t>
  </si>
  <si>
    <t>1.3</t>
  </si>
  <si>
    <t>Casco</t>
  </si>
  <si>
    <t>1.4</t>
  </si>
  <si>
    <t>Escudo antimotín o antidisturbios</t>
  </si>
  <si>
    <t>1.5</t>
  </si>
  <si>
    <t>Rodilleras y coderas contra impactos</t>
  </si>
  <si>
    <t>1.6</t>
  </si>
  <si>
    <t>Binoculares con visión nocturna</t>
  </si>
  <si>
    <t>1.7</t>
  </si>
  <si>
    <t>Equipo de radiocomunicación</t>
  </si>
  <si>
    <t>1.8</t>
  </si>
  <si>
    <r>
      <t xml:space="preserve">Cámara corporal </t>
    </r>
    <r>
      <rPr>
        <i/>
        <sz val="8"/>
        <rFont val="Arial"/>
        <family val="2"/>
      </rPr>
      <t>(body cam, cámaras de solapa u otras similares)</t>
    </r>
  </si>
  <si>
    <t>2. Incapacitantes menos letales</t>
  </si>
  <si>
    <t>2.1</t>
  </si>
  <si>
    <t>Bastón PR-24, tolete o su equivalente</t>
  </si>
  <si>
    <t>2.2</t>
  </si>
  <si>
    <t>Dispositivos que generen descargas eléctricas</t>
  </si>
  <si>
    <t>2.3</t>
  </si>
  <si>
    <t>Esposas o candados de mano</t>
  </si>
  <si>
    <t>2.4</t>
  </si>
  <si>
    <t>Esposas o candados de pie</t>
  </si>
  <si>
    <t>2.5</t>
  </si>
  <si>
    <t xml:space="preserve">Sustancias irritantes en aerosol </t>
  </si>
  <si>
    <t>3. Letales</t>
  </si>
  <si>
    <t>3.1</t>
  </si>
  <si>
    <t>Armas de fuego permitidas</t>
  </si>
  <si>
    <t>3.2</t>
  </si>
  <si>
    <t xml:space="preserve">Explosivos permitidos </t>
  </si>
  <si>
    <t>II.5 Régimen disciplinario del personal</t>
  </si>
  <si>
    <r>
      <t xml:space="preserve">1.- </t>
    </r>
    <r>
      <rPr>
        <b/>
        <i/>
        <sz val="8"/>
        <rFont val="Arial"/>
        <family val="2"/>
      </rPr>
      <t xml:space="preserve">Régimen disciplinario. </t>
    </r>
    <r>
      <rPr>
        <i/>
        <sz val="8"/>
        <rFont val="Arial"/>
        <family val="2"/>
      </rPr>
      <t>Se refiere al conjunto de disposiciones y principios disciplinarios internos para regular el comportamiento y la conducta del personal de las fuerzas policiales de las Instituciones de Seguridad Pública, mismos que establecen los deberes, las correcciones disciplinarias, las sanciones y los procedimientos para su aplicación, a efecto de mantener la disciplina, la integridad y la ética al interior de la institución. Esta categoría debe diferenciarse de las responsabilidades administrativas, cuya investigación, sustanciación y sanción corresponde a las autoridades competentes establecidas en la Ley General de Responsabilidades Administrativas o en la disposición normativa local aplicable en la materia.</t>
    </r>
  </si>
  <si>
    <t>II.5.1 Mecanismos para la prevención e identificación de actos de corrupción o abuso de autoridad</t>
  </si>
  <si>
    <t>2.24.-</t>
  </si>
  <si>
    <t>Señale los mecanismos con los que contaba al cierre del año 2023 la institución responsable de los centros especializados de su entidad federativa para la prevención e identificación de actos de corrupción o abuso de autoridad por parte del personal adscrito a dichos centros.</t>
  </si>
  <si>
    <t xml:space="preserve">Seleccione con una "X" el o los códigos que correspondan. </t>
  </si>
  <si>
    <t>En caso de seleccionar el código "8" o "9" no puede seleccionar otro código.</t>
  </si>
  <si>
    <r>
      <t>1. Protocolos de actuación</t>
    </r>
    <r>
      <rPr>
        <i/>
        <sz val="8"/>
        <rFont val="Arial"/>
        <family val="2"/>
      </rPr>
      <t xml:space="preserve"> (atención a las personas adolescentes internadas, uso de la fuerza, control de incidentes u otros similares)</t>
    </r>
  </si>
  <si>
    <t>2. Sistemas de intervención temprana en contra de la actuación irregular del personal</t>
  </si>
  <si>
    <t>3. Evaluaciones y/ o revisiones externas por parte de otras autoridades o instituciones</t>
  </si>
  <si>
    <r>
      <t xml:space="preserve">4. Mecanismos de supervisión civil </t>
    </r>
    <r>
      <rPr>
        <i/>
        <sz val="8"/>
        <rFont val="Arial"/>
        <family val="2"/>
      </rPr>
      <t>(auditor civil, monitor civil u otros similares)</t>
    </r>
  </si>
  <si>
    <t>5. Visitas ciudadanas y de organizaciones de la sociedad civil</t>
  </si>
  <si>
    <t>6. Mecanismos de evaluación de los servicios de tratamiento o internamiento por parte de las personas adolescentes internadas</t>
  </si>
  <si>
    <r>
      <t xml:space="preserve">7. Otros mecanismos </t>
    </r>
    <r>
      <rPr>
        <i/>
        <sz val="8"/>
        <rFont val="Arial"/>
        <family val="2"/>
      </rPr>
      <t>(especifique)</t>
    </r>
  </si>
  <si>
    <t>8. No contaba con mecanismos para la prevención e identificación de actos de corrupción o abuso de autoridad</t>
  </si>
  <si>
    <t>9. No identificado</t>
  </si>
  <si>
    <t>II.5.2 Personal sancionado</t>
  </si>
  <si>
    <t>Instrucción general para las preguntas del apartado:</t>
  </si>
  <si>
    <t>1.- Únicamente debe considerar la información relacionada con el personal que haya sido sancionado mediante procedimientos disciplinarios substanciados por las autoridades internas competentes en la materia, por lo que no debe considerar la información correspondiente al personal sancionado a partir de procedimientos de responsabilidad administrativa desarrollados en el marco de la Ley General de Responsabilidades Administrativas o de la disposición normativa local aplicable en la materia.</t>
  </si>
  <si>
    <t>2.25.-</t>
  </si>
  <si>
    <t xml:space="preserve">Señale los elementos o insumos considerados durante el año 2023 en la investigación, substanciación y determinación de sanción al personal adscrito a los centros especializados de su entidad federativa con motivo de la aplicación de la normatividad en materia de régimen disciplinario. </t>
  </si>
  <si>
    <t>1. Declaraciones de víctimas</t>
  </si>
  <si>
    <r>
      <t xml:space="preserve">2. Declaraciones de pares </t>
    </r>
    <r>
      <rPr>
        <i/>
        <sz val="8"/>
        <rFont val="Arial"/>
        <family val="2"/>
      </rPr>
      <t>(declaraciones de otra persona servidora pública adscrita a los centros especializados de la entidad federativa)</t>
    </r>
  </si>
  <si>
    <t>3. Videos recuperados de cámaras de vigilancia</t>
  </si>
  <si>
    <t>4. Videos recuperados de cámaras corporales</t>
  </si>
  <si>
    <t>5. Videos recuperados de cámaras de video y/ o teléfonos inteligentes de la ciudadanía</t>
  </si>
  <si>
    <t xml:space="preserve">6. Operaciones encubiertas para probar la integridad del personal </t>
  </si>
  <si>
    <r>
      <t xml:space="preserve">7. Otros elementos o insumos </t>
    </r>
    <r>
      <rPr>
        <i/>
        <sz val="8"/>
        <rFont val="Arial"/>
        <family val="2"/>
      </rPr>
      <t>(especifique)</t>
    </r>
  </si>
  <si>
    <r>
      <t xml:space="preserve">8. No se sancionó a alguna persona servidora pública con motivo de la aplicación de la normatividad en materia de régimen disciplinario </t>
    </r>
    <r>
      <rPr>
        <i/>
        <sz val="8"/>
        <rFont val="Arial"/>
        <family val="2"/>
      </rPr>
      <t>(pase a la pregunta 2.30)</t>
    </r>
  </si>
  <si>
    <t>2.26.-</t>
  </si>
  <si>
    <t>Anote, por cada uno de los centros especializados de su entidad federativa, la cantidad de personal adscrito sancionado durante el año 2023 con motivo de la aplicación de la normatividad en materia de régimen disciplinario, según cargo y/ o función desempeñada y sexo.</t>
  </si>
  <si>
    <t>Personal adscrito a los centros especializados sancionado, según cargo y/ o función desempeñada y sexo</t>
  </si>
  <si>
    <t>2.27.-</t>
  </si>
  <si>
    <t>De acuerdo con el total de personal sancionado que reportó como respuesta en la pregunta anterior, anote, por cada uno de los centros especializados de su entidad federativa, la cantidad del mismo especificando el tipo de sanción o correctivo disciplinario impuesto y sexo.</t>
  </si>
  <si>
    <t>Para cada centro especializado, en caso de que la cantidad reportada como respuesta en la columna "Total" de la pregunta anterior no sea un dato numérico mayor a cero, no puede registrar información en el presente reactivo.</t>
  </si>
  <si>
    <t>Para cada centro especializado, la cantidad registrada en la columna "Total" debe ser igual o mayor a la cantidad reportada como respuesta en la columna "Total" de la pregunta anterior, así como corresponder a su desagregación por sexo; toda vez que a una persona servidora pública se le pudo haber impuesto más de una sanción o correctivo disciplinario.</t>
  </si>
  <si>
    <t>Para cada centro especializado, la cantidad registrada en la columna "Subtotal" de cada tipo de sanción o correctivo disciplinario debe ser igual o menor a la cantidad reportada como respuesta en la columna "Total" de la pregunta anterior, así como corresponder a su desagregación por sexo. En caso de que esta instrucción no le aplique, justifíquelo en el recuadro que se encuentra al final de la tabla de respuesta.</t>
  </si>
  <si>
    <t>En caso de que registre algún valor numérico mayor a cero en el apartado "Otro tipo", debe anotar el nombre de dicho(s) tipo(s) de sanción(es) o correctivo(s) disciplinario(s) en el recuadro destinado para tal efecto que se encuentra al final de la tabla de respuesta.</t>
  </si>
  <si>
    <t>Personal adscrito a los centros especializados sancionado, según tipo de sanción o correctivo disciplinario impuesto y sexo</t>
  </si>
  <si>
    <t>Amonestación</t>
  </si>
  <si>
    <t>Arresto</t>
  </si>
  <si>
    <t>Cambio de adscripción</t>
  </si>
  <si>
    <t xml:space="preserve">Suspensión del empleo, cargo o comisión </t>
  </si>
  <si>
    <t>Inhabilitación temporal</t>
  </si>
  <si>
    <t>Destitución o remoción</t>
  </si>
  <si>
    <t>Sanciones económicas</t>
  </si>
  <si>
    <t>Restricción</t>
  </si>
  <si>
    <t>COMP_TOTAL_PREG.2.26</t>
  </si>
  <si>
    <t>AMONESTACIÓN</t>
  </si>
  <si>
    <t>ARRESTO</t>
  </si>
  <si>
    <t>CAMBIO DE ADSCRIPCIÓN</t>
  </si>
  <si>
    <t>SUSPENSIÓN DEL EMPLEO CARGO O COMISIÓN</t>
  </si>
  <si>
    <t>INHABILITACIÓN TEMPORAL</t>
  </si>
  <si>
    <t>DESTITUCIÓN O REMOCIÓN</t>
  </si>
  <si>
    <t>SANCIONES ECONOMICAS</t>
  </si>
  <si>
    <t>RESTRICCIÓN</t>
  </si>
  <si>
    <t>OTRO TIPO</t>
  </si>
  <si>
    <t>NO IDENTIFICADO</t>
  </si>
  <si>
    <t>2.28.-</t>
  </si>
  <si>
    <t>De acuerdo con el total de personal sancionado que reportó como respuesta en la pregunta 2.26, anote, por cada uno de los centros especializados de su entidad federativa, la cantidad del mismo especificando el tipo de falta o infracción disciplinaria cometida y sexo.</t>
  </si>
  <si>
    <t>Para cada centro especializado, en caso de que la cantidad reportada como respuesta en la columna "Total" de la pregunta 2.26 no sea un dato numérico mayor a cero, no puede registrar información en el presente reactivo.</t>
  </si>
  <si>
    <t>Para cada centro especializado, la cantidad registrada en la columna "Total" debe ser igual o mayor a la cantidad reportada como respuesta en la columna "Total" de la pregunta 2.26, así como corresponder a su desagregación por sexo; toda vez que una persona servidora pública pudo haber cometido más de una falta o infracción disciplinaria.</t>
  </si>
  <si>
    <t>Para cada centro especializado, la cantidad registrada en la columna "Subtotal" de cada tipo de falta o infracción disciplinaria debe ser igual o menor a la cantidad reportada como respuesta en la columna "Total" de la pregunta 2.26, así como corresponder a su desagregación por sexo. En caso de que esta instrucción no le aplique, justifíquelo en el recuadro que se encuentra al final de la tabla de respuesta.</t>
  </si>
  <si>
    <t>En caso de que registre algún valor numérico mayor a cero en el apartado "Otro tipo", debe anotar el nombre de dicho(s) tipo(s) de falta(s) o infracción(es) disciplinaria(s) en el recuadro destinado para tal efecto que se encuentra al final de la tabla de respuesta.</t>
  </si>
  <si>
    <t>Personal adscrito a los centros especializados sancionado, según tipo de falta o infracción disciplinaria cometida y sexo</t>
  </si>
  <si>
    <t>Cobros indebidos a las personas adolescentes internadas en la realización del pase de lista</t>
  </si>
  <si>
    <t>Cobros indebidos a las personas adolescentes internadas para acceder a los bienes y servicios proporcionados y/ o brindados por los centros especializados</t>
  </si>
  <si>
    <t>Establecer áreas o estancias de distinción o privilegio para las personas adolescentes internadas</t>
  </si>
  <si>
    <t>Facilitar a las personas adolescentes internadas la realización de actividades no autorizadas</t>
  </si>
  <si>
    <t>Facilitar la comunicación entre las personas adolescentes internadas de diferentes módulos y secciones</t>
  </si>
  <si>
    <t>Introducir al centro especializado dinero, alimentos, sustancias, artefactos, armas, instrumentos de comunicación, así como cualquier objeto no autorizado</t>
  </si>
  <si>
    <t>Presentarse o desarrollar sus labores en estado de intoxicación etílica o por alguna droga sin prescripción médica, o consumirlas en su horario de trabajo</t>
  </si>
  <si>
    <t>Faltar a su servicio en el centro especializado sin causa justificada</t>
  </si>
  <si>
    <t>Consultar o extraer información contenida en los expedientes, libros de registro, programas informáticos o cualquier otro documento del centro especializado cuando no tenga autorización, así como hacer mal uso de ella</t>
  </si>
  <si>
    <r>
      <t xml:space="preserve">Propiciar o producir daño a personas </t>
    </r>
    <r>
      <rPr>
        <i/>
        <sz val="8"/>
        <rFont val="Arial"/>
        <family val="2"/>
      </rPr>
      <t>(sin incluir a las personas adolescentes internadas),</t>
    </r>
    <r>
      <rPr>
        <sz val="9"/>
        <rFont val="Arial"/>
        <family val="2"/>
      </rPr>
      <t xml:space="preserve"> lugares, instalaciones, objetos o documentos que tenga bajo su cuidado o aquellos a los que tenga acceso por motivo de su empleo, cargo o comisión</t>
    </r>
  </si>
  <si>
    <t>Abandonar sus funciones sin causa justificada</t>
  </si>
  <si>
    <t>Cobros indebidos a las personas privadas de la libertad en la realización del pase de lista</t>
  </si>
  <si>
    <t>Cobros indebidos a las personas privadas de la libertad para acceder a los bienes y servicios proporcionados y/ o brindados por los centros penitenciarios</t>
  </si>
  <si>
    <t xml:space="preserve">Establecer áreas o estancias de distinción o privilegio para las personas privadas de la libertad </t>
  </si>
  <si>
    <t>Facilitar a las personas privadas de la libertad la realización de actividades no autorizadas</t>
  </si>
  <si>
    <t>Facilitar la comunicación entre personas privadas de la libertad de diferentes módulos y secciones</t>
  </si>
  <si>
    <t>Introducir al centro penitenciario dinero, alimentos, sustancias, artefactos, armas, instrumentos de comunicación, así como cualquier objeto no autorizado</t>
  </si>
  <si>
    <t>Faltar a su servicio en el centro penitenciario sin causa justificada</t>
  </si>
  <si>
    <t>Consultar o extraer información contenida en los expedientes, libros de registro, programas informáticos o cualquier otro documento del centro penitenciario cuando no tenga autorización, así como hacer mal uso de ella</t>
  </si>
  <si>
    <t>Propiciar o producir daño a personas (sin incluir a la población privada de la libertad), lugares, instalaciones, objetos o documentos que tenga bajo su cuidado o aquellos a los que tenga acceso por motivo de su empleo, cargo o comisión</t>
  </si>
  <si>
    <t>Uso de documentación falsa o apócrifa</t>
  </si>
  <si>
    <t>Abstenerse de observar un trato digno con las personas privadas de la libertad
(no incluye aquellas relacionadas con el uso irracional y desproporcionado de la fuerza)</t>
  </si>
  <si>
    <t>Hacer uso de la fuerza de forma irracional y desproporcionada en contra de las personas privadas de la libertad</t>
  </si>
  <si>
    <t>Ejercer violencia de género en contra del personal del centro penitenciario</t>
  </si>
  <si>
    <t>Otro tipo
(especifique)</t>
  </si>
  <si>
    <r>
      <t xml:space="preserve">Abstenerse de observar un trato digno con las personas adolescentes internadas
</t>
    </r>
    <r>
      <rPr>
        <i/>
        <sz val="8"/>
        <rFont val="Arial"/>
        <family val="2"/>
      </rPr>
      <t>(no incluye aquellas relacionadas con el uso irracional y desproporcionado de la fuerza)</t>
    </r>
  </si>
  <si>
    <t>Hacer uso de la fuerza de forma irracional y desproporcionada en contra de las personas adolescentes internadas</t>
  </si>
  <si>
    <t>Ejercer violencia de género contra personal del propio centro especializado</t>
  </si>
  <si>
    <t>2.29.-</t>
  </si>
  <si>
    <t>De acuerdo con el total de personal sancionado que reportó como respuesta en las preguntas 2.27 y 2.28, anote la cantidad del mismo especificando el tipo de falta o infracción disciplinaria cometida, así como el tipo de sanción o correctivo disciplinario impuesto.</t>
  </si>
  <si>
    <t>La suma de las cantidades registradas en la columna "Total" debe ser igual o mayor a la suma de las cantidades reportadas como respuesta en la columna "Total" de la pregunta 2.27, así como corresponder a su desagregación por tipo de sanción o correctivo disciplinario; toda vez que una sanción o correctivo disciplinario se pudo haber impuesto por la comisión de más de una falta o infracción disciplinaria.</t>
  </si>
  <si>
    <t>La cantidad registrada en la columna "Total" de cada tipo de falta o infracción disciplinaria debe ser igual o menor a la suma de las cantidades reportadas como respuesta en la columna "Total" de la pregunta 2.27, así como corresponder a su desagregación por tipo de sanción o correctivo disciplinario. En caso de que esta instrucción no le aplique, justifíquelo en el recuadro que se encuentra al final de la tabla de respuesta.</t>
  </si>
  <si>
    <t>La suma de las cantidades registradas en la columna "Total" debe ser igual a la suma de las cantidades reportadas como respuesta en la columna "Total" de la pregunta anterior, así como corresponder a su desagregación por tipo de falta o infracción disciplinaria. En caso de que esta instrucción no le aplique, justifíquelo en el recuadro que se encuentra al final de la tabla de respuesta.</t>
  </si>
  <si>
    <t>Tipo de faltas o infracciones disciplinarias</t>
  </si>
  <si>
    <t>Personal adscrito a los centros especializados sancionado, según tipo de sanción o correctivo disciplinario impuesto</t>
  </si>
  <si>
    <t>Otro tipo</t>
  </si>
  <si>
    <t>COMP_TIPO_SANCION</t>
  </si>
  <si>
    <t>COMP_PREG.2.28</t>
  </si>
  <si>
    <t>1.-</t>
  </si>
  <si>
    <t>2.-</t>
  </si>
  <si>
    <t>CAMBIO DE ADSCRIPCION</t>
  </si>
  <si>
    <t>3.-</t>
  </si>
  <si>
    <t>SUSPENSION DEL EMPLEO</t>
  </si>
  <si>
    <t>4.-</t>
  </si>
  <si>
    <t>INHABILITACION TEMPORAL</t>
  </si>
  <si>
    <t>5.-</t>
  </si>
  <si>
    <t>DESTITUCION O REMOCION</t>
  </si>
  <si>
    <t>6.-</t>
  </si>
  <si>
    <t>7.-</t>
  </si>
  <si>
    <t>RESTRICCION</t>
  </si>
  <si>
    <t>8.-</t>
  </si>
  <si>
    <t>9.-</t>
  </si>
  <si>
    <r>
      <t>Propiciar o producir daño a personas</t>
    </r>
    <r>
      <rPr>
        <i/>
        <sz val="8"/>
        <rFont val="Arial"/>
        <family val="2"/>
      </rPr>
      <t xml:space="preserve"> (sin incluir a las personas adolescentes internadas),</t>
    </r>
    <r>
      <rPr>
        <sz val="9"/>
        <rFont val="Arial"/>
        <family val="2"/>
      </rPr>
      <t xml:space="preserve"> lugares, instalaciones, objetos o documentos que tenga bajo su cuidado o aquellos a los que tenga acceso por motivo de su empleo, cargo o comisión</t>
    </r>
  </si>
  <si>
    <t>10.-</t>
  </si>
  <si>
    <t>11.-</t>
  </si>
  <si>
    <t>12.-</t>
  </si>
  <si>
    <r>
      <t xml:space="preserve">Abstenerse de observar un trato digno con las personas adolescentes internadas </t>
    </r>
    <r>
      <rPr>
        <i/>
        <sz val="8"/>
        <rFont val="Arial"/>
        <family val="2"/>
      </rPr>
      <t>(no incluye aquellas relacionadas con el uso irracional y desproporcionado de la fuerza)</t>
    </r>
  </si>
  <si>
    <t>13.-</t>
  </si>
  <si>
    <t>14.-</t>
  </si>
  <si>
    <t>15.-</t>
  </si>
  <si>
    <t>16.-</t>
  </si>
  <si>
    <t>17.-</t>
  </si>
  <si>
    <t>II.5.3 Personal denunciado</t>
  </si>
  <si>
    <t>Instrucción general para la pregunta del apartado:</t>
  </si>
  <si>
    <t>1.- Debe considerar la información relacionada con el personal que haya sido denunciado por la comisión de alguna falta o infracción disciplinaria que llegase a constituir delito conforme a lo establecido en la normatividad aplicable.</t>
  </si>
  <si>
    <t>2.30.-</t>
  </si>
  <si>
    <t>Indique, por cada uno de los centros especializados de su entidad federativa, si durante el año 2023 se presentaron denuncias y/ o querellas ante el Ministerio Público en contra del personal adscrito derivado de algún presunto delito cometido por este en el ejercicio de sus funciones. En caso afirmativo, anote la cantidad de personal denunciado durante el referido año, según sexo.</t>
  </si>
  <si>
    <t>En caso de que en determinado centro especializado no se hayan presentado denuncias y/ o querellas ante el Ministerio Público derivado de algún presunto delito cometido por el personal adscrito en el ejercicio de sus funciones, o no cuente con información para determinarlo, indíquelo en la columna correspondiente conforme al catálogo respectivo y deje el resto de la fila en blanco.</t>
  </si>
  <si>
    <t>En la categoría "No identificado" del apartado "Personal adscrito a los centros especializados denunciado, según sexo" debe considerar la información de aquellas denuncias presentadas en contra de las personas servidoras públicas que resulten responsables, por lo que al momento de su registro no fue posible determinar el sexo de las mismas.</t>
  </si>
  <si>
    <r>
      <t xml:space="preserve">¿Se presentaron denuncias y/ o querellas ante el Ministerio Público derivado de algún presunto delito cometido por el personal adscrito en el ejercicio de sus funciones?
</t>
    </r>
    <r>
      <rPr>
        <i/>
        <sz val="8"/>
        <rFont val="Arial"/>
        <family val="2"/>
      </rPr>
      <t>(1. Sí / 2. No / 9. No identificado)</t>
    </r>
  </si>
  <si>
    <t>Personal adscrito a los centros especializados denunciado,
según sexo</t>
  </si>
  <si>
    <t>II.6 Personal lesionado, fallecido y desaparecido o no localizado</t>
  </si>
  <si>
    <t>II.6.1 Personal lesionado</t>
  </si>
  <si>
    <t>1.- Debe considerar la información relacionada con el personal que haya resultado lesionado en el desempeño de las funciones inherentes a su empleo, cargo o comisión; gozando, como consecuencia de ello, de alguna licencia por incapacidad temporal, parcial o total.</t>
  </si>
  <si>
    <t>2.- En caso de que seleccione para todos los centros especializados el código "2" o "9" en la columna "¿Tuvo registro de la lesión de alguna persona servidora pública?" de la pregunta 2.31, pase a la pregunta 2.36.</t>
  </si>
  <si>
    <t>3.- Para cada centro especializado, en caso de que seleccione el código "2" o "9" en la columna "¿Tuvo registro de la lesión de alguna persona servidora pública?" de la pregunta 2.31, no puede registrar información en las preguntas 2.32, 2.33, 2.34 y 2.35.</t>
  </si>
  <si>
    <t>COD_2</t>
  </si>
  <si>
    <t>TOTAL_CEN_PEN</t>
  </si>
  <si>
    <t>2.31.-</t>
  </si>
  <si>
    <t>Indique, por cada uno de los centros especializados de su entidad federativa, si durante el año 2023 tuvo registro de la lesión de alguna persona servidora pública. En caso afirmativo, anote la cantidad de personal lesionado durante el referido año, según cargo y/ o función desempeñada y sexo.</t>
  </si>
  <si>
    <t xml:space="preserve">En caso de que determinado centro especializado no haya tenido registro de la lesión de alguna persona servidora pública, o no cuente con información para determinarlo, indíquelo en la columna correspondiente conforme al catálogo respectivo y deje el resto de la fila en blanco. </t>
  </si>
  <si>
    <t xml:space="preserve">En caso de que alguna persona servidora pública haya sido lesionada en más de una ocasión durante el año, debe ser considerada una sola vez en el registro de esta pregunta. </t>
  </si>
  <si>
    <r>
      <t xml:space="preserve">¿Tuvo registro de la lesión de alguna persona servidora pública?
</t>
    </r>
    <r>
      <rPr>
        <i/>
        <sz val="8"/>
        <rFont val="Arial"/>
        <family val="2"/>
      </rPr>
      <t>(1. Sí / 2. No / 9. No identificado)</t>
    </r>
  </si>
  <si>
    <t>Personal adscrito a los centros especializados lesionado, según cargo y/ o función desempeñada y sexo</t>
  </si>
  <si>
    <t>2.32.-</t>
  </si>
  <si>
    <t>De acuerdo con el total de personal lesionado que reportó como respuesta en la pregunta anterior, anote, por cada uno de los centros especializados de su entidad federativa, la cantidad del mismo especificando su rango de edad y sexo.</t>
  </si>
  <si>
    <t>Debe considerar los años cumplidos al momento de la lesión del personal. En caso de que alguna persona servidora pública haya sido lesionada en más de una ocasión durante el año y, por consiguiente, haya tenido edades diferentes en cada uno de estos eventos, debe considerar los años cumplidos al momento de la primera lesión sufrida.</t>
  </si>
  <si>
    <t>Para cada centro especializado, la cantidad registrada en la columna "Total" debe ser igual a la cantidad reportada como respuesta en la columna "Total" de la pregunta anterior, así como corresponder a su desagregación por sexo.</t>
  </si>
  <si>
    <t>Personal adscrito a los centros especializados lesionado, según rango de edad y sexo</t>
  </si>
  <si>
    <t>COMP_TOTAL_PREG.2.31</t>
  </si>
  <si>
    <t>BLOQUEO  2 o 9</t>
  </si>
  <si>
    <t>2.33.-</t>
  </si>
  <si>
    <t>De acuerdo con el total de personal lesionado que reportó como respuesta en la pregunta 2.31, anote, por cada uno de los centros especializados de su entidad federativa, la cantidad del mismo especificando el número de veces que fue lesionado y sexo.</t>
  </si>
  <si>
    <t>Para cada centro especializado, la cantidad registrada en la columna "Total" debe ser igual a la cantidad reportada como respuesta en la columna "Total" de la pregunta 2.31, así como corresponder a su desagregación por sexo.</t>
  </si>
  <si>
    <t>Personal adscrito a los centros especializados lesionado, según número de veces que fue lesionado y sexo</t>
  </si>
  <si>
    <t xml:space="preserve">Una vez </t>
  </si>
  <si>
    <t>Dos veces</t>
  </si>
  <si>
    <t>Tres veces</t>
  </si>
  <si>
    <t>Cuatro veces</t>
  </si>
  <si>
    <t>Cinco veces</t>
  </si>
  <si>
    <t>Seis veces o más</t>
  </si>
  <si>
    <t>2.34.-</t>
  </si>
  <si>
    <t>De acuerdo con el total de personal lesionado que reportó como respuesta en la pregunta 2.31, anote, por cada uno de los centros especializados de su entidad federativa, la cantidad del mismo cuya lesión o lesiones hayan derivado de la ocurrencia de algún incidente.</t>
  </si>
  <si>
    <t>Únicamente debe considerar la información relacionada con el personal lesionado con motivo de la ocurrencia de algún incidente al interior del centro especializado (fuga o evasión de personas adolescentes internadas, motines, riñas, etc.), por lo que no debe considerar aquel personal cuya lesión haya derivado de alguna otra causa, independientemente de que la misma haya tenido lugar al interior del centro especializado.</t>
  </si>
  <si>
    <t>Para cada centro especializado, la cantidad registrada en la columna "Total" debe ser igual o menor a la cantidad reportada como respuesta en la columna "Total" de la pregunta 2.31, así como corresponder a su desagregación por sexo.</t>
  </si>
  <si>
    <t>Personal adscrito a los centros especializados lesionado con motivo de la ocurrencia de algún incidente, según sexo</t>
  </si>
  <si>
    <t>2.35.-</t>
  </si>
  <si>
    <t>De acuerdo con el total de personal lesionado que reportó como respuesta en la pregunta 2.31, anote, por cada uno de los centros especializados de su entidad federativa, la cantidad del mismo especificando el tipo de incapacidad recibida y sexo.</t>
  </si>
  <si>
    <t>Para cada centro especializado, la cantidad registrada en la columna "Total" debe ser igual o mayor a la cantidad reportada como respuesta en la columna "Total" de la pregunta 2.31, así como corresponder a su desagregación por sexo; toda vez que una persona servidora pública pudo haber recibido más de un tipo de incapacidad, ya sea por una misma lesión o por lesiones distintas.</t>
  </si>
  <si>
    <t>Para cada centro especializado, la cantidad registrada en la columna "Subtotal" de cada tipo de incapacidad recibida debe ser igual o menor a la cantidad reportada como respuesta en la columna "Total" de la pregunta 2.31, así como corresponder a su desagregación por sexo. En caso de que esta instrucción no le aplique, justifíquelo en el recuadro que se encuentra al final de la tabla de respuesta.</t>
  </si>
  <si>
    <t>Personal adscrito a los centros especializados lesionado, según tipo de incapacidad recibida y sexo</t>
  </si>
  <si>
    <t>Temporal</t>
  </si>
  <si>
    <t>De 1 a 15 días</t>
  </si>
  <si>
    <t xml:space="preserve">De 16 a 30 días </t>
  </si>
  <si>
    <t>De 31 a 45 días</t>
  </si>
  <si>
    <t>Parcial y/ o permanente</t>
  </si>
  <si>
    <t>De 46 a 60 días</t>
  </si>
  <si>
    <t>Más de 60 días</t>
  </si>
  <si>
    <t>Incapacidad temporal no identificada</t>
  </si>
  <si>
    <t xml:space="preserve">DE 1 A 15 DIAS </t>
  </si>
  <si>
    <t>DE 16 A 30 DIAS</t>
  </si>
  <si>
    <t xml:space="preserve">DE 31 A 45 DIAS </t>
  </si>
  <si>
    <t xml:space="preserve">DE 46 A 60 DIAS </t>
  </si>
  <si>
    <t xml:space="preserve">MAS DE 60 DIAS </t>
  </si>
  <si>
    <t>INCAPACIDAD TEMPORAL NO IDENTIFICADA</t>
  </si>
  <si>
    <t>PARCIAL O/ PERMANENTEMENTE</t>
  </si>
  <si>
    <t>II.6.2 Personal fallecido</t>
  </si>
  <si>
    <t>1.- En caso de que seleccione para todos los centros especializados el código "2" o "9" en la columna "¿Tuvo registro del fallecimiento de alguna persona servidora pública?" de la pregunta 2.36, pase a la pregunta 2.42.</t>
  </si>
  <si>
    <t>2.- Para cada centro especializado, en caso de que seleccione el código "2" o "9" en la columna "¿Tuvo registro del fallecimiento de alguna persona servidora pública?" de la pregunta 2.36, no puede registrar información en las preguntas 2.37, 2.38 y 2.39.</t>
  </si>
  <si>
    <t>3.- Para cada centro especializado, la cantidad registrada en la columna "Total" de las preguntas 2.37, 2.38 y 2.39 debe ser igual a la cantidad reportada como respuesta en la columna "Total" de la pregunta 2.36, así como corresponder a su desagregación por sexo.</t>
  </si>
  <si>
    <r>
      <t xml:space="preserve">1.- </t>
    </r>
    <r>
      <rPr>
        <b/>
        <i/>
        <sz val="8"/>
        <rFont val="Arial"/>
        <family val="2"/>
      </rPr>
      <t>Muertes por causas naturales.</t>
    </r>
    <r>
      <rPr>
        <i/>
        <sz val="8"/>
        <rFont val="Arial"/>
        <family val="2"/>
      </rPr>
      <t xml:space="preserve"> Se refiere a aquellas muertes atribuibles principalmente a una enfermedad o a un fallo interno del organismo, por ejemplo, la provocada por infartos de miocardio o complicaciones derivadas de infecciones víricas, entre otras.</t>
    </r>
  </si>
  <si>
    <r>
      <t xml:space="preserve">2.- </t>
    </r>
    <r>
      <rPr>
        <b/>
        <i/>
        <sz val="8"/>
        <rFont val="Arial"/>
        <family val="2"/>
      </rPr>
      <t>Muertes por otras causas externas.</t>
    </r>
    <r>
      <rPr>
        <i/>
        <sz val="8"/>
        <rFont val="Arial"/>
        <family val="2"/>
      </rPr>
      <t xml:space="preserve"> Se refiere a aquellas muertes causadas por factores ajenos a causas naturales o por circunstancias que parecen indicar que el deceso fue causado por factores ajenos a causas naturales. Deben incluirse las muertes debidas a una intoxicación aguda por alcohol o drogas, aquellas derivadas de complicaciones de la atención médica y quirúrgica, las relacionadas a acciones asociadas a la exposición con fuerzas naturales, por ejemplo, exposición al calor natural o rayos solares excesivos, exposición al frío natural excesivo, asimismo deberá contabilizar las muertes relacionadas a la privación de agua o alimentos, entre otras. No debe considerar las muertes provocadas por una lesión infligida deliberadamente (como el homicidio o el suicidio) y la muerte provocada por una lesión no deliberada, de modo accidental.</t>
    </r>
  </si>
  <si>
    <t>2.36.-</t>
  </si>
  <si>
    <t>Indique, por cada uno de los centros especializados de su entidad federativa, si durante el año 2023 tuvo registro del fallecimiento de alguna persona servidora pública. En caso afirmativo, anote la cantidad de personal fallecido durante el referido año, según cargo y/ o función desempeñada y sexo.</t>
  </si>
  <si>
    <t>En caso de que determinado centro especializado no haya tenido registro del fallecimiento de alguna persona servidora pública, o no cuente con información para determinarlo, indíquelo en la columna correspondiente conforme al catálogo respectivo y deje el resto de la fila en blanco.</t>
  </si>
  <si>
    <r>
      <t xml:space="preserve">¿Tuvo registro del fallecimiento de alguna persona servidora pública?
</t>
    </r>
    <r>
      <rPr>
        <i/>
        <sz val="8"/>
        <rFont val="Arial"/>
        <family val="2"/>
      </rPr>
      <t>(1. Sí / 2. No / 9. No identificado)</t>
    </r>
  </si>
  <si>
    <t>Personal adscrito a los centros especializados fallecido, según cargo y/ o función desempeñada y sexo</t>
  </si>
  <si>
    <t xml:space="preserve">Nombre de los centros especializados </t>
  </si>
  <si>
    <t>2.37.-</t>
  </si>
  <si>
    <t>De acuerdo con el total de personal fallecido que reportó como respuesta en la pregunta anterior, anote, por cada uno de los centros especializados de su entidad federativa, la cantidad del mismo especificando su rango de edad y sexo.</t>
  </si>
  <si>
    <t>Debe considerar los años cumplidos al momento del fallecimiento del personal.</t>
  </si>
  <si>
    <t>Personal adscrito a los centros especializados fallecido, según rango de edad y sexo</t>
  </si>
  <si>
    <t>COMP_TOTAL_PREG.2.36</t>
  </si>
  <si>
    <t>2.38.-</t>
  </si>
  <si>
    <t>De acuerdo con el total de personal fallecido que reportó como respuesta en la pregunta 2.36, anote, por cada uno de los centros especializados de su entidad federativa, la cantidad del mismo especificando el momento del fallecimiento y sexo.</t>
  </si>
  <si>
    <t>En el apartado "Durante la jornada laboral" debe considerar la información relacionada con el personal fallecido cuya causa de defunción se haya presentado durante su jornada laboral, independientemente de que el deceso haya ocurrido con posterioridad a la misma.</t>
  </si>
  <si>
    <t>Personal adscrito a los centros especializados fallecido, según momento del fallecimiento y sexo</t>
  </si>
  <si>
    <t>Durante la jornada laboral</t>
  </si>
  <si>
    <t>Fuera de la jornada laboral</t>
  </si>
  <si>
    <t>2.39.-</t>
  </si>
  <si>
    <t>De acuerdo con el total de personal fallecido que reportó como respuesta en la pregunta 2.36, anote, por cada uno de los centros especializados de su entidad federativa, la cantidad del mismo especificando la causa del fallecimiento y sexo.</t>
  </si>
  <si>
    <t>Personal adscrito a los centros especializados fallecido, según causa del fallecimiento y sexo</t>
  </si>
  <si>
    <t>Homicidio</t>
  </si>
  <si>
    <t>Doloso</t>
  </si>
  <si>
    <t>Culposo</t>
  </si>
  <si>
    <t>Homicidio no identificado</t>
  </si>
  <si>
    <t>Suicidio</t>
  </si>
  <si>
    <t>Accidentes</t>
  </si>
  <si>
    <t>Causas naturales</t>
  </si>
  <si>
    <t>Otras causas externas</t>
  </si>
  <si>
    <t>2.40.-</t>
  </si>
  <si>
    <t>De acuerdo con el total de personal fallecido que reportó como respuesta en el grupo "Homicidio" y en el apartado "Suicidio" de la pregunta anterior, anote la cantidad del mismo especificando el instrumento utilizado para su comisión y sexo.</t>
  </si>
  <si>
    <t>En caso de que la suma de las cantidades reportadas como respuesta en la columna "Subtotal" de los tipos de homicidio considerados en el grupo "Homicidio" de la pregunta anterior no sea un dato numérico mayor a cero, no puede registrar información en el grupo "Homicidio".</t>
  </si>
  <si>
    <t>En caso de que la suma de las cantidades reportadas como respuesta en la columna "Subtotal" del apartado "Suicidio" de la pregunta anterior no sea un dato numérico mayor a cero, no puede registrar información en el apartado "Suicidio".</t>
  </si>
  <si>
    <t>La suma de las cantidades registradas en las columnas "Total" del grupo "Homicidio" debe ser igual a la suma de las cantidades reportadas como respuesta en la columna "Subtotal" de los tipos de homicidio considerados en el grupo "Homicidio" de la pregunta anterior, así como corresponder a su desagregación por tipo de homicidio y sexo.</t>
  </si>
  <si>
    <t>La suma de las cantidades registradas en la columna "Total" del apartado "Suicidio” debe ser igual a la suma de las cantidades reportadas como respuesta en la columna "Subtotal" del apartado "Suicidio" de la pregunta anterior, así como corresponder a su desagregación por sexo.</t>
  </si>
  <si>
    <t>Instrumento utilizado para la comisión</t>
  </si>
  <si>
    <t>Personal adscrito a los centros especializados fallecido por homicidio o suicidio, según sexo</t>
  </si>
  <si>
    <t xml:space="preserve">Homicidio </t>
  </si>
  <si>
    <t xml:space="preserve">Suicidio </t>
  </si>
  <si>
    <t>COMP_HOMICIDIO_PREG.2.39</t>
  </si>
  <si>
    <t>DOLOSO</t>
  </si>
  <si>
    <t>CULPOSO</t>
  </si>
  <si>
    <t>HOMICIDIO NO IDENTIFICADO</t>
  </si>
  <si>
    <t>Con arma de fuego</t>
  </si>
  <si>
    <t>Con arma blanca</t>
  </si>
  <si>
    <t>BLOQUEO HOMICIDIO</t>
  </si>
  <si>
    <t>Con alguna parte del cuerpo</t>
  </si>
  <si>
    <t>BLC.COMP_2.39</t>
  </si>
  <si>
    <t>Con otro instrumento</t>
  </si>
  <si>
    <t>COMP_SUICIDIO_PREG.2.39</t>
  </si>
  <si>
    <t>Con dos o más instrumentos</t>
  </si>
  <si>
    <t>BLOQUEO SUICIDIO</t>
  </si>
  <si>
    <t>2.41.-</t>
  </si>
  <si>
    <t>De acuerdo con el total de personal fallecido que reportó como respuesta en el apartado "Durante la jornada laboral" de la pregunta 2.38, anote, por cada uno de los centros especializados de su entidad federativa, la cantidad del mismo cuya causa de fallecimiento haya derivado de la ocurrencia de algún incidente.</t>
  </si>
  <si>
    <t>Para cada centro especializado, en caso de que la cantidad reportada como respuesta en la columna "Subtotal" del apartado "Durante la jornada laboral" de la pregunta 2.38 no sea un dato numérico mayor a cero, no puede registrar información en el presente reactivo. En caso de que esta instrucción no le aplique, justifíquelo en el recuadro que se encuentra al final de la tabla de respuesta.</t>
  </si>
  <si>
    <t>Únicamente debe considerar la información relacionada con el personal fallecido con motivo de la ocurrencia de algún incidente al interior del centro especializado (fuga o evasión de personas adolescentes internadas, motines, riñas, etc.), por lo que no debe considerar aquel personal cuyo fallecimiento haya derivado de alguna otra causa, independientemente de que la misma haya tenido lugar al interior del centro especializado y/ o durante su jornada laboral.</t>
  </si>
  <si>
    <t>Para cada centro especializado, la cantidad registrada en la columna "Total" debe ser igual o menor a la cantidad reportada como respuesta en la columna "Subtotal" del apartado "Durante la jornada laboral" de la pregunta 2.38, así como corresponder a su desagregación por sexo. En caso de que esta instrucción no le aplique, justifíquelo en el recuadro que se encuentra al final de la tabla de respuesta.</t>
  </si>
  <si>
    <t>Personal adscrito a los centros especializados fallecido con motivo de la ocurrencia de algún incidente, según sexo</t>
  </si>
  <si>
    <t>COMP_DURANTE LA JORNADA LABORAL_PREG.2.38</t>
  </si>
  <si>
    <t>II.6.3 Personal desaparecido o no localizado</t>
  </si>
  <si>
    <r>
      <t xml:space="preserve">1.- </t>
    </r>
    <r>
      <rPr>
        <b/>
        <i/>
        <sz val="8"/>
        <rFont val="Arial"/>
        <family val="2"/>
      </rPr>
      <t xml:space="preserve">Personal desaparecido. </t>
    </r>
    <r>
      <rPr>
        <i/>
        <sz val="8"/>
        <rFont val="Arial"/>
        <family val="2"/>
      </rPr>
      <t>Se refiere a aquella persona servidora pública cuyo paradero se desconoce y se presuma, a partir de cualquier indicio, que su ausencia se relaciona con la comisión de algún delito.</t>
    </r>
  </si>
  <si>
    <r>
      <t xml:space="preserve">2.- </t>
    </r>
    <r>
      <rPr>
        <b/>
        <i/>
        <sz val="8"/>
        <rFont val="Arial"/>
        <family val="2"/>
      </rPr>
      <t xml:space="preserve">Personal no localizado. </t>
    </r>
    <r>
      <rPr>
        <i/>
        <sz val="8"/>
        <rFont val="Arial"/>
        <family val="2"/>
      </rPr>
      <t>Se refiere a aquella persona servidora pública cuya ubicación se desconoce y, de acuerdo con la información reportada a la autoridad, su ausencia no se relaciona con la probable comisión de algún delito.</t>
    </r>
  </si>
  <si>
    <t>2.42.-</t>
  </si>
  <si>
    <t>Indique, por cada uno de los centros especializados de su entidad federativa, si durante el año 2023 tuvo registro de la desaparición o no localización de alguna persona servidora pública. En caso afirmativo, anote la cantidad de personal desaparecido o no localizado durante el referido año, según cargo y/o función desempeñada y sexo.</t>
  </si>
  <si>
    <t>En caso de que determinado centro especializado no haya tenido registro de la desaparición o no localización de alguna persona servidora pública, o no cuente con información para determinarlo, indíquelo en la columna correspondiente conforme al catálogo respectivo y deje el resto de la fila en blanco.</t>
  </si>
  <si>
    <r>
      <t xml:space="preserve">¿Tuvo registro de la desaparición o no localización de alguna persona servidora pública?
</t>
    </r>
    <r>
      <rPr>
        <i/>
        <sz val="8"/>
        <rFont val="Arial"/>
        <family val="2"/>
      </rPr>
      <t>(1. Sí / 2. No / 9. No identificado)</t>
    </r>
  </si>
  <si>
    <t>Personal adscrito a los centros especializados desaparecido o no localizado, según cargo y/ o función desempeñada y sexo</t>
  </si>
  <si>
    <t>2.43.-</t>
  </si>
  <si>
    <t>De acuerdo con el total de personal desaparecido o no localizado que reportó como respuesta en la pregunta anterior, anote, por cada uno de los centros especializados de su entidad federativa, la cantidad del mismo especificando su estatus y sexo.</t>
  </si>
  <si>
    <t>Para cada centro especializado, en caso de que haya seleccionado el código "2" o "9" en la columna "¿Tuvo registro de la desaparición o no localización de alguna persona servidora pública?" de la pregunta anterior, no puede registrar información en el presente reactivo.</t>
  </si>
  <si>
    <t>Personal adscrito a los centros especializados desaparecido o no localizado, según estatus y sexo</t>
  </si>
  <si>
    <t>Desaparecido</t>
  </si>
  <si>
    <t>No localizado</t>
  </si>
  <si>
    <t>COMP_PREG.2.42</t>
  </si>
  <si>
    <t>5.- Con excepción de la existencia de instrucciones, variables y/ o catálogos específicos que prevean alguna situación particular asociada a la información requerida, en caso de que determinada categoría no se encuentre prevista en su normatividad aplicable, anote "NA" (No aplica) en las celdas correspondientes.</t>
  </si>
  <si>
    <t>6.- Con excepción de la existencia de instrucciones, variables y/ o catálogos específicos que prevean alguna situación particular asociada a la información requerida, en caso de que los registros con los que cuente no le permitan desglosar la información de acuerdo con los requerimientos solicitados, anote "NS" (No se sabe) en las celdas donde no disponga de información. En el recuadro para comentarios de cada pregunta debe proporcionar una justificación respecto del uso del "NS" en determinado reactivo.</t>
  </si>
  <si>
    <t xml:space="preserve">7.- No deje celdas en blanco, salvo en los casos en que la instrucción así lo solicite. </t>
  </si>
  <si>
    <t>III.1 Unidad estadística u homóloga</t>
  </si>
  <si>
    <t>1.- Debe considerar la existencia de alguna unidad administrativa o área encargada del desarrollo de actividades para la generación y tratamiento de información estadística y geográfica para los centros especializados de la entidad federativa, independientemente de que sea la misma de la institución responsable de los centros penitenciarios.</t>
  </si>
  <si>
    <t>2.- Únicamente debe considerar la existencia de alguna unidad administrativa o área, según sea el caso, que tenga como principal atribución el desarrollo de actividades para la generación y tratamiento de información estadística y geográfica, por lo que no debe considerar aquellas unidades administrativas o áreas, según sea el caso, encargadas de la planeación y/ o evaluación institucional que, entre sus atribuciones, desarrollen este tipo de actividades.</t>
  </si>
  <si>
    <t>3.- En caso de que seleccione el código "2", "3" o "9" en la columna "¿Contaba con alguna unidad administrativa o área encargada del desarrollo de actividades para la generación y tratamiento de información estadística y geográfica?" de la pregunta 3.1, pase a la pregunta 3.5.</t>
  </si>
  <si>
    <t>3.1.-</t>
  </si>
  <si>
    <t>Indique si al cierre del año 2023 la institución responsable de los centros especializados de su entidad federativa contaba con alguna unidad administrativa o área cuya principal atribución haya sido el desarrollo de actividades para la generación y tratamiento de información estadística y geográfica en la materia. En caso afirmativo, anote el año de creación y el nombre de la misma.</t>
  </si>
  <si>
    <t>En caso de que no haya contado con alguna unidad administrativa o área encargada del desarrollo de actividades para la generación y tratamiento de información estadística y geográfica, se haya encontrado en proceso de integración, o no cuente con información para determinarlo, indíquelo en la columna correspondiente conforme al catálogo respectivo y deje el resto de la fila en blanco.</t>
  </si>
  <si>
    <t>El nombre de la unidad administrativa o área encargada del desarrollo de actividades para la generación y tratamiento de información estadística y geográfica debe registrarse en mayúsculas, sin comillas ni signos de acentuación, puntuación, paréntesis y abreviaturas.</t>
  </si>
  <si>
    <t>En caso de que seleccione el código "3" o "9" en la columna "¿Contaba con alguna unidad administrativa o área encargada del desarrollo de actividades para la generación y tratamiento de información estadística y geográfica?", explique dicha situación en el recuadro que se encuentra en la parte inferior de la tabla de respuesta.</t>
  </si>
  <si>
    <r>
      <t xml:space="preserve">¿Contaba con alguna unidad administrativa o área encargada del desarrollo de actividades para la generación y tratamiento de información estadística y geográfica?
</t>
    </r>
    <r>
      <rPr>
        <i/>
        <sz val="8"/>
        <rFont val="Arial"/>
        <family val="2"/>
      </rPr>
      <t>(1. Sí / 2. En proceso de integración / 3. No / 9. No identificado)</t>
    </r>
  </si>
  <si>
    <r>
      <t xml:space="preserve">Año de creación 
</t>
    </r>
    <r>
      <rPr>
        <i/>
        <sz val="8"/>
        <rFont val="Arial"/>
        <family val="2"/>
      </rPr>
      <t>(aaaa)</t>
    </r>
  </si>
  <si>
    <t>Nombre</t>
  </si>
  <si>
    <t>3.2.-</t>
  </si>
  <si>
    <t>¿La unidad administrativa o área encargada del desarrollo de actividades para la generación y tratamiento de información estadística y geográfica es la misma que la de la institución responsable de los centros penitenciarios?</t>
  </si>
  <si>
    <t>Seleccione con una "X" un solo código.</t>
  </si>
  <si>
    <t>En caso de que haya seleccionado el código "2", "3" o "9" en la columna "¿Contaba con alguna unidad administrativa o área encargada del desarrollo de actividades para la generación y tratamiento de información estadística y geográfica?" de la pregunta 3.1 del módulo 1 de este censo, no puede seleccionar el código "1".</t>
  </si>
  <si>
    <t>COD</t>
  </si>
  <si>
    <t>BLOQUEO 3.1</t>
  </si>
  <si>
    <r>
      <t xml:space="preserve">1. Sí </t>
    </r>
    <r>
      <rPr>
        <i/>
        <sz val="8"/>
        <rFont val="Arial"/>
        <family val="2"/>
      </rPr>
      <t>(pase a la pregunta 3.4)</t>
    </r>
  </si>
  <si>
    <t>2. No</t>
  </si>
  <si>
    <t>3.3.-</t>
  </si>
  <si>
    <t>Anote la cantidad de personal adscrito al cierre del año 2023 a la unidad administrativa o área encargada del desarrollo de actividades para la generación y tratamiento de información estadística y geográfica, según rango de edad y sexo.</t>
  </si>
  <si>
    <t>Rango de edad</t>
  </si>
  <si>
    <t>Personal adscrito a la unidad administrativa o área encargada del desarrollo de actividades para la generación y tratamiento de información estadística y geográfica, según sexo</t>
  </si>
  <si>
    <t xml:space="preserve">10. </t>
  </si>
  <si>
    <t>3.4.-</t>
  </si>
  <si>
    <t>Señale el tipo de información generada por la unidad administrativa o área encargada del desarrollo de actividades para la generación y tratamiento de información estadística y geográfica.</t>
  </si>
  <si>
    <t>En caso de seleccionar el código "99" no puede seleccionar otro código.</t>
  </si>
  <si>
    <t>1. Sobre la gestión de los centros especializados</t>
  </si>
  <si>
    <t>BLOQUEO 99</t>
  </si>
  <si>
    <t>2. Sobre las funciones y/ o procesos de las unidades administrativas que forman parte de los centros especializados</t>
  </si>
  <si>
    <t>3. Sobre el cómputo de las sanciones de internamiento o semi-internamiento y abono del tiempo del internamiento preventivo y/ o estancia domiciliaria</t>
  </si>
  <si>
    <t>4. Sobre el cumplimiento de las resoluciones y medidas de seguimiento impuestas por el Juez de Ejecución en el caso de tratamiento externo</t>
  </si>
  <si>
    <t>5. Sobre el expediente de ejecución de las personas adolescentes internadas</t>
  </si>
  <si>
    <t>6. Sobre el control de visitas familiares, íntimas, religiosas, humanitarias y/ o de las personas defensoras</t>
  </si>
  <si>
    <t>7. Sobre la identificación y tratamiento de las personas adolescentes internadas con problemas de adicciones a sustancias psicoactivas</t>
  </si>
  <si>
    <t>8. Sobre la identificación y tratamiento de las personas adolescentes internadas con problemas de salud mental</t>
  </si>
  <si>
    <t>9. Sobre la imposición de correctivos disciplinarios al personal</t>
  </si>
  <si>
    <t>10. Sobre la imposición de sanciones disciplinarias a las personas adolescentes internadas</t>
  </si>
  <si>
    <r>
      <t>11. Sobre las personas adolescentes que ingresan y egresan de los centros especializados</t>
    </r>
    <r>
      <rPr>
        <i/>
        <sz val="8"/>
        <rFont val="Arial"/>
        <family val="2"/>
      </rPr>
      <t xml:space="preserve"> (sexo, edad, estatus jurídico, nivel de escolaridad, etc.)</t>
    </r>
  </si>
  <si>
    <t>12. Sobre las quejas por presuntas violaciones a los derechos humanos de las personas adolescentes internadas</t>
  </si>
  <si>
    <t>13. Sobre las recomendaciones y/ o evaluaciones por parte de organismos externos</t>
  </si>
  <si>
    <t>14. Sobre los incidentes y riesgos en los centros especializados</t>
  </si>
  <si>
    <t>15. Sobre las revisiones a personas y a lugares realizadas en los centros especializados</t>
  </si>
  <si>
    <r>
      <t xml:space="preserve">16. Otro tipo de información </t>
    </r>
    <r>
      <rPr>
        <i/>
        <sz val="8"/>
        <rFont val="Arial"/>
        <family val="2"/>
      </rPr>
      <t>(especifique)</t>
    </r>
  </si>
  <si>
    <t>99. No identificado</t>
  </si>
  <si>
    <t>III.2 Unidad de inteligencia penitenciaria u homóloga</t>
  </si>
  <si>
    <t>1.- Debe considerar la existencia de alguna unidad de inteligencia penitenciaria u homóloga para los centros especializados de la entidad federativa, independientemente de que sea la misma de la institución responsable de los centros penitenciarios.</t>
  </si>
  <si>
    <t>2.- En caso de que seleccione el código "2", "3" o "9" en la columna "¿Contaba con alguna unidad de inteligencia penitenciaria u homóloga?" de la pregunta 3.5, pase a la pregunta 3.8.</t>
  </si>
  <si>
    <r>
      <t xml:space="preserve">1.- </t>
    </r>
    <r>
      <rPr>
        <b/>
        <i/>
        <sz val="8"/>
        <rFont val="Arial"/>
        <family val="2"/>
      </rPr>
      <t xml:space="preserve">Unidad de inteligencia penitenciaria u homóloga. </t>
    </r>
    <r>
      <rPr>
        <i/>
        <sz val="8"/>
        <rFont val="Arial"/>
        <family val="2"/>
      </rPr>
      <t>Se refiere a la unidad o área administrativa de la institución responsable de los centros especializados de la entidad federativa encargada de recabar, clasificar, procesar, analizar y explotar información para generar inteligencia al interior de los mismos a efecto de identificar los factores de riesgo, prevenir la comisión de delitos, implementar estrategias y demás acciones que contribuyan a garantizar su seguridad.</t>
    </r>
  </si>
  <si>
    <t>3.5.-</t>
  </si>
  <si>
    <t>Indique si al cierre del año 2023 la institución responsable de los centros especializados de su entidad federativa contaba con alguna unidad de inteligencia penitenciaria u homóloga. En caso afirmativo, indique si dicha unidad es la misma que la unidad administrativa o área encargada del desarrollo de actividades para la generación y tratamiento de información estadística y geográfica referida como respuesta en la pregunta 3.1. De no ser la misma, anote el año de creación y el nombre de la primera.</t>
  </si>
  <si>
    <t>En caso de que no haya contado con alguna unidad de inteligencia penitenciaria u homóloga, se haya encontrado en proceso de integración, o no cuente con información para determinarlo, indíquelo en la columna correspondiente conforme al catálogo respectivo y deje el resto de la fila en blanco.</t>
  </si>
  <si>
    <t>En caso de que haya seleccionado el código "2", "3" o "9" en la columna "¿Contaba con alguna unidad administrativa o área encargada del desarrollo de actividades para la generación y tratamiento de información estadística y geográfica?" de la pregunta 3.1, no puede registrar información en la columna "¿La unidad de inteligencia penitenciaria u homóloga es la misma que la unidad administrativa o área encargada del desarrollo de actividades para la generación y tratamiento de información estadística y geográfica?"</t>
  </si>
  <si>
    <t>En caso de que seleccione el código "1" en la columna "¿La unidad de inteligencia penitenciaria u homóloga es la misma que la unidad administrativa o área encargada del desarrollo de actividades para la generación y tratamiento de información estadística y geográfica?", deje las columnas "Año de creación" y "Nombre" en blanco, y pase a la pregunta 3.8.</t>
  </si>
  <si>
    <t>El nombre de la unidad de inteligencia penitenciaria u homóloga debe registrarse en mayúsculas, sin comillas ni signos de acentuación, puntuación, paréntesis y abreviaturas.</t>
  </si>
  <si>
    <t>En caso de que seleccione el código "3" o "9" en la columna "¿Contaba con alguna unidad de inteligencia penitenciaria u homóloga?", explique dicha situación en el recuadro que se encuentra en la parte inferior de la tabla de respuesta.</t>
  </si>
  <si>
    <r>
      <t xml:space="preserve">¿Contaba con alguna unidad de inteligencia penitenciaria u homóloga?
</t>
    </r>
    <r>
      <rPr>
        <i/>
        <sz val="8"/>
        <rFont val="Arial"/>
        <family val="2"/>
      </rPr>
      <t>(1. Sí / 2. En proceso de integración / 3. No / 9. No identificado)</t>
    </r>
  </si>
  <si>
    <r>
      <t xml:space="preserve">¿La unidad de inteligencia penitenciaria u homóloga es la misma que la unidad administrativa o área encargada del desarrollo de actividades para la generación y tratamiento de información estadística y geográfica?
</t>
    </r>
    <r>
      <rPr>
        <i/>
        <sz val="8"/>
        <rFont val="Arial"/>
        <family val="2"/>
      </rPr>
      <t>(1. Sí / 2. No / 9. No identificado)</t>
    </r>
  </si>
  <si>
    <t>BLOQUEOS 1</t>
  </si>
  <si>
    <t>BLOQUEOS 2</t>
  </si>
  <si>
    <t>BLOQUEOS 3</t>
  </si>
  <si>
    <t>3.6.-</t>
  </si>
  <si>
    <t>¿La unidad de inteligencia penitenciaria u homóloga es la misma que la de la institución responsable de los centros penitenciarios?</t>
  </si>
  <si>
    <t>En caso de que haya seleccionado el código "2", "3" o "9" en la columna "¿Contaba con alguna unidad de inteligencia penitenciaria u homóloga?" de la pregunta 3.4 del módulo 1 de este censo, no puede seleccionar el código "1".</t>
  </si>
  <si>
    <t>BLOQUEO 3.5</t>
  </si>
  <si>
    <r>
      <t xml:space="preserve">1. Sí </t>
    </r>
    <r>
      <rPr>
        <i/>
        <sz val="8"/>
        <rFont val="Arial"/>
        <family val="2"/>
      </rPr>
      <t>(pase a la pregunta 3.8)</t>
    </r>
  </si>
  <si>
    <t>3.7.-</t>
  </si>
  <si>
    <t xml:space="preserve">Anote la cantidad de personal adscrito al cierre del año 2023 a la unidad de inteligencia penitenciaria u homóloga, según rango de edad y sexo. </t>
  </si>
  <si>
    <t>Personal adscrito a la unidad de inteligencia penitenciaria u homóloga, según sexo</t>
  </si>
  <si>
    <t>III.3 Unidad de asuntos internos u homóloga</t>
  </si>
  <si>
    <t>1.- Debe considerar la existencia de alguna unidad de asuntos internos u homóloga para el personal adscrito a los centros especializados de la entidad federativa, independientemente de que sea la misma de la institución responsable de los centros penitenciarios y/ o de la institución encargada de la función de seguridad pública.</t>
  </si>
  <si>
    <t>2.- En caso de que seleccione el código "2", "3" o "9" en la columna "¿Contaba con alguna unidad de asuntos internos u homóloga?" de la pregunta 3.8, pase a la pregunta 3.15.</t>
  </si>
  <si>
    <r>
      <t xml:space="preserve">1.- </t>
    </r>
    <r>
      <rPr>
        <b/>
        <i/>
        <sz val="8"/>
        <rFont val="Arial"/>
        <family val="2"/>
      </rPr>
      <t xml:space="preserve">Unidad de asuntos internos u homóloga. </t>
    </r>
    <r>
      <rPr>
        <i/>
        <sz val="8"/>
        <rFont val="Arial"/>
        <family val="2"/>
      </rPr>
      <t>Se refiere a la unidad o área administrativa encargada de supervisar y vigilar que el personal cumpla con los deberes y normas establecidas en los ordenamientos legales que rigen su actuación. Para efectos del presente censo, se consideran las siguientes áreas al interior de esta:</t>
    </r>
  </si>
  <si>
    <r>
      <rPr>
        <b/>
        <i/>
        <sz val="8"/>
        <rFont val="Arial"/>
        <family val="2"/>
      </rPr>
      <t>Área de supervisión o inspección.</t>
    </r>
    <r>
      <rPr>
        <i/>
        <sz val="8"/>
        <rFont val="Arial"/>
        <family val="2"/>
      </rPr>
      <t xml:space="preserve"> Se refiere a las áreas destinadas a la realización de los procesos de supervisión e inspección que detecten irregularidades o actos ilícitos entre las personas integrantes de la institución.</t>
    </r>
  </si>
  <si>
    <r>
      <rPr>
        <b/>
        <i/>
        <sz val="8"/>
        <rFont val="Arial"/>
        <family val="2"/>
      </rPr>
      <t>Área de investigación.</t>
    </r>
    <r>
      <rPr>
        <i/>
        <sz val="8"/>
        <rFont val="Arial"/>
        <family val="2"/>
      </rPr>
      <t xml:space="preserve"> Se refiere a las áreas destinadas a la investigación de las quejas y denuncias que permita acreditar la existencia de conductas irregulares e ilícitas cometidas por las personas que integran a la institución.</t>
    </r>
  </si>
  <si>
    <r>
      <rPr>
        <b/>
        <i/>
        <sz val="8"/>
        <rFont val="Arial"/>
        <family val="2"/>
      </rPr>
      <t>Área de determinación de expedientes.</t>
    </r>
    <r>
      <rPr>
        <i/>
        <sz val="8"/>
        <rFont val="Arial"/>
        <family val="2"/>
      </rPr>
      <t xml:space="preserve"> Se refiere a las áreas destinadas a la determinación de los expedientes de investigación y su remisión a las instancias competentes, ya sea a la Comisión de Honor y Justicia u homóloga en el caso de que la falta amerite una sanción disciplinaria, o a las autoridades administrativas y penales competentes cuando la falta así lo amerite, de acuerdo con los ordenamientos legales aplicables.</t>
    </r>
  </si>
  <si>
    <t>3.8.-</t>
  </si>
  <si>
    <t>Indique si al cierre del año 2023 la institución responsable de los centros especializados de su entidad federativa contaba con alguna unidad de asuntos internos u homóloga para la supervisión y vigilancia del personal adscrito a los mismos. En caso afirmativo, anote el año de creación y el nombre de la misma.</t>
  </si>
  <si>
    <t>En caso de que no haya contado con alguna unidad de asuntos internos u homóloga, se haya encontrado en proceso de integración, o no cuente con información para determinarlo, indíquelo en la columna correspondiente conforme al catálogo respectivo y deje el resto de la fila en blanco.</t>
  </si>
  <si>
    <t>El nombre de la unidad de asuntos internos u homóloga debe registrarse en mayúsculas, sin comillas ni signos de acentuación, puntuación, paréntesis y abreviaturas.</t>
  </si>
  <si>
    <t>En caso de que seleccione el código "3" o "9" en la columna "¿Contaba con alguna unidad de asuntos internos u homóloga?", explique dicha situación en el recuadro que se encuentra en la parte inferior de la tabla de respuesta.</t>
  </si>
  <si>
    <r>
      <t xml:space="preserve">¿Contaba con alguna unidad de asuntos internos u homóloga?
</t>
    </r>
    <r>
      <rPr>
        <i/>
        <sz val="8"/>
        <rFont val="Arial"/>
        <family val="2"/>
      </rPr>
      <t>(1. Sí / 2. En proceso de integración / 3. No / 9. No identificado)</t>
    </r>
  </si>
  <si>
    <t>3.9.-</t>
  </si>
  <si>
    <t>¿La unidad de asuntos internos u homóloga es la misma que la de la institución encargada de la función de seguridad pública de su entidad federativa?</t>
  </si>
  <si>
    <t>BLOQUEO 3.8</t>
  </si>
  <si>
    <t>1. Sí</t>
  </si>
  <si>
    <t>3.10.-</t>
  </si>
  <si>
    <t>¿La unidad de asuntos internos u homóloga es la misma que la de la institución responsable de los centros penitenciarios?</t>
  </si>
  <si>
    <t>En caso de que haya seleccionado el código "2", "3" o "9" en la columna "¿Contaba con alguna unidad de asuntos internos u homóloga?" de la pregunta 3.6 del módulo 1 de este censo, no puede seleccionar el código "1".</t>
  </si>
  <si>
    <r>
      <t xml:space="preserve">1. Sí </t>
    </r>
    <r>
      <rPr>
        <i/>
        <sz val="8"/>
        <rFont val="Arial"/>
        <family val="2"/>
      </rPr>
      <t>(pase a la pregunta 3.13)</t>
    </r>
  </si>
  <si>
    <t>3.11.-</t>
  </si>
  <si>
    <t xml:space="preserve">Anote la cantidad de personal adscrito al cierre del año 2023 a la unidad de asuntos internos u homóloga, según rango de edad y sexo. </t>
  </si>
  <si>
    <t>Personal adscrito a la unidad de asuntos internos u homóloga, según sexo</t>
  </si>
  <si>
    <t>3.12.-</t>
  </si>
  <si>
    <t>De acuerdo con el total de personal adscrito a la unidad de asuntos internos u homóloga que reportó como respuesta en la pregunta anterior, anote la cantidad del mismo especificando la función ejercida y sexo.</t>
  </si>
  <si>
    <t>La suma de las cantidades registradas en la columna "Total" debe ser igual o mayor a la suma de las cantidades reportadas como respuesta en la columna "Total" de la pregunta anterior, así como corresponder a su desagregación por sexo; toda vez que una persona servidora pública pudo haber ejercido más de una función.</t>
  </si>
  <si>
    <t>La cantidad registrada en la columna "Total" de cada función debe ser igual o menor a la suma de las cantidades reportadas como respuesta en la columna "Total" de la pregunta anterior, así como corresponder a su desagregación por sexo. En caso de que esta instrucción no le aplique, justifíquelo en el recuadro que se encuentra al final de la tabla de respuesta.</t>
  </si>
  <si>
    <t>En caso de que registre algún valor numérico mayor a cero en el numeral 4, debe anotar el nombre de dicha(s) función(es) en el recuadro destinado para tal efecto que se encuentra al final de la tabla de respuesta.</t>
  </si>
  <si>
    <t>OTRO_FUNCIÓN</t>
  </si>
  <si>
    <t>Funciones</t>
  </si>
  <si>
    <t>COMP_3.8</t>
  </si>
  <si>
    <t>Supervisión o inspección</t>
  </si>
  <si>
    <t>Investigación</t>
  </si>
  <si>
    <t>Determinación de expedientes</t>
  </si>
  <si>
    <r>
      <t xml:space="preserve">Otra función </t>
    </r>
    <r>
      <rPr>
        <i/>
        <sz val="8"/>
        <rFont val="Arial"/>
        <family val="2"/>
      </rPr>
      <t>(especifique)</t>
    </r>
  </si>
  <si>
    <r>
      <t xml:space="preserve">Otra función:
</t>
    </r>
    <r>
      <rPr>
        <i/>
        <sz val="8"/>
        <rFont val="Arial"/>
        <family val="2"/>
      </rPr>
      <t>(especifique)</t>
    </r>
  </si>
  <si>
    <t>3.13.-</t>
  </si>
  <si>
    <t>Indique, por cada uno de los centros especializados de su entidad federativa, si durante el año 2023 la unidad de asuntos internos u homóloga recibió quejas y/ o denuncias ciudadanas en contra del personal adscrito. En caso afirmativo, anote el total de quejas y/ o denuncias ciudadanas recibidas durante el referido año.</t>
  </si>
  <si>
    <t>El listado de centros especializados que se despliega corresponde al que registró como respuesta en la pregunta 1.1.</t>
  </si>
  <si>
    <t>En caso de que la unidad de asuntos internos u homóloga no haya recibido quejas y/ o denuncias ciudadanas en contra del personal adscrito a determinado centro especializado, o no cuente con información para determinarlo, indíquelo en la columna correspondiente conforme al catálogo respectivo y deje el resto de la fila en blanco.</t>
  </si>
  <si>
    <r>
      <t xml:space="preserve">¿La unidad de asuntos internos u homóloga recibió quejas y/ o denuncias ciudadanas en contra del personal adscrito?
</t>
    </r>
    <r>
      <rPr>
        <i/>
        <sz val="8"/>
        <rFont val="Arial"/>
        <family val="2"/>
      </rPr>
      <t>(1. Sí / 2. No / 9. No identificado)</t>
    </r>
  </si>
  <si>
    <t>Quejas y/ o denuncias ciudadanas recibidas</t>
  </si>
  <si>
    <t>3.14.-</t>
  </si>
  <si>
    <t xml:space="preserve">Indique si al cierre del año 2023 la unidad de asuntos internos u homóloga contaba con algún catálogo de faltas o infracciones disciplinarias y sanciones o correctivos disciplinarios relacionados con el personal adscrito a los centros especializados de su entidad federativa. En caso afirmativo, especifique el lugar donde se encuentra disponible o, en su defecto, la no disponibilidad del mismo. </t>
  </si>
  <si>
    <t>En caso de que la unidad de asuntos internos u homóloga no haya contado con algún catálogo de faltas o infracciones disciplinarias y sanciones o correctivos disciplinarios, se haya encontrado en proceso de integración, o no cuente con información para determinarlo, indíquelo en la columna correspondiente conforme al catálogo respectivo y deje en blanco el resto de la fila y la tabla "Faltas o infracciones disciplinarias con mayor frecuencia".</t>
  </si>
  <si>
    <t>En caso de que la unidad de asuntos internos u homóloga haya contado con algún catálogo de faltas o infracciones disciplinarias y sanciones o correctivos disciplinarios, y este se haya encontrado disponible en línea, deje en blanco la tabla "Faltas o infracciones disciplinarias con mayor frecuencia".</t>
  </si>
  <si>
    <t>En caso de que la unidad de asuntos internos u homóloga haya contado con algún catálogo de faltas o infracciones disciplinarias y sanciones o correctivos disciplinarios, pero este no se encuentre disponible en línea, en la columna "Sitio donde se encuentra disponible (URL)" anote "NA" (No aplica) y registre en la tabla "Faltas o infracciones disciplinarias con mayor frecuencia" las diez más frecuentes.</t>
  </si>
  <si>
    <t>En la tabla "Faltas o infracciones disciplinarias con mayor frecuencia" debe anotar el nombre de las faltas o infracciones disciplinarias impuestas con mayor frecuencia al personal, comenzando por el primer renglón. En caso de no contar con diez faltas o infracciones disciplinarias, deje el resto de las filas en blanco.</t>
  </si>
  <si>
    <t>El nombre de las faltas o infracciones disciplinarias debe registrarse en mayúsculas, sin comillas ni signos de acentuación, puntuación, paréntesis y abreviaturas.</t>
  </si>
  <si>
    <r>
      <t xml:space="preserve">¿La unidad de asuntos internos u homóloga contaba con algún catálogo de faltas o infracciones disciplinarias y sanciones o correctivos disciplinarios?
</t>
    </r>
    <r>
      <rPr>
        <i/>
        <sz val="8"/>
        <rFont val="Arial"/>
        <family val="2"/>
      </rPr>
      <t>(1. Sí / 2. En proceso de integración / 3. No / 9. No identificado)</t>
    </r>
  </si>
  <si>
    <t>Sitio donde se encuentra disponible (URL)</t>
  </si>
  <si>
    <t>Faltas o infracciones disciplinarias con mayor frecuencia</t>
  </si>
  <si>
    <t>III.4 Comisión de Honor y Justicia u homóloga</t>
  </si>
  <si>
    <t>1.- Debe considerar la existencia de alguna Comisión de Honor y Justicia u homóloga para el personal adscrito a los centros especializados de la entidad federativa, independientemente de que sea la misma de la institución responsable de los centros penitenciarios y/ o de la institución encargada de la función de seguridad pública.</t>
  </si>
  <si>
    <t>2.- En caso de que seleccione el código "2", "3" o "9" en la columna "¿Contaba con alguna Comisión de Honor y Justicia u homóloga?" de la pregunta 3.15, pase a la pregunta 3.22.</t>
  </si>
  <si>
    <r>
      <t xml:space="preserve">1.- </t>
    </r>
    <r>
      <rPr>
        <b/>
        <i/>
        <sz val="8"/>
        <rFont val="Arial"/>
        <family val="2"/>
      </rPr>
      <t>Citaciones.</t>
    </r>
    <r>
      <rPr>
        <i/>
        <sz val="8"/>
        <rFont val="Arial"/>
        <family val="2"/>
      </rPr>
      <t xml:space="preserve"> Se refiere a los reconocimientos verbales y escritos otorgados al personal que no ameriten o estén considerados para el otorgamiento de los estímulos de condecoración, mención honorífica y/ o distinción.</t>
    </r>
  </si>
  <si>
    <r>
      <t xml:space="preserve">2.- </t>
    </r>
    <r>
      <rPr>
        <b/>
        <i/>
        <sz val="8"/>
        <rFont val="Arial"/>
        <family val="2"/>
      </rPr>
      <t>Comisión de Honor y Justicia u homóloga.</t>
    </r>
    <r>
      <rPr>
        <i/>
        <sz val="8"/>
        <rFont val="Arial"/>
        <family val="2"/>
      </rPr>
      <t xml:space="preserve"> Se refiere al órgano colegiado responsable de conocer y resolver, en el ámbito de su competencia, los procedimientos disciplinarios (estableciendo para tal efecto las sanciones o correctivos aplicables a determinadas faltas o infracciones disciplinarias en las que incurra el personal); así como para otorgar las condecoraciones, estímulos y recompensas que correspondan.</t>
    </r>
  </si>
  <si>
    <r>
      <t xml:space="preserve">3.- </t>
    </r>
    <r>
      <rPr>
        <b/>
        <i/>
        <sz val="8"/>
        <rFont val="Arial"/>
        <family val="2"/>
      </rPr>
      <t>Condecoraciones.</t>
    </r>
    <r>
      <rPr>
        <i/>
        <sz val="8"/>
        <rFont val="Arial"/>
        <family val="2"/>
      </rPr>
      <t xml:space="preserve"> Se refiere a las preseas o joyas que galardonan algún acto o hecho específico del personal.</t>
    </r>
  </si>
  <si>
    <r>
      <t xml:space="preserve">4.- </t>
    </r>
    <r>
      <rPr>
        <b/>
        <i/>
        <sz val="8"/>
        <rFont val="Arial"/>
        <family val="2"/>
      </rPr>
      <t>Distinciones.</t>
    </r>
    <r>
      <rPr>
        <i/>
        <sz val="8"/>
        <rFont val="Arial"/>
        <family val="2"/>
      </rPr>
      <t xml:space="preserve"> Se refiere a las divisas o insignias con las que se reconoce al personal que se destaque por su actuación sobresaliente en el cumplimiento del servicio, disciplina o desempeño académico.</t>
    </r>
  </si>
  <si>
    <r>
      <t xml:space="preserve">5.- </t>
    </r>
    <r>
      <rPr>
        <b/>
        <i/>
        <sz val="8"/>
        <rFont val="Arial"/>
        <family val="2"/>
      </rPr>
      <t xml:space="preserve">Menciones honoríficas. </t>
    </r>
    <r>
      <rPr>
        <i/>
        <sz val="8"/>
        <rFont val="Arial"/>
        <family val="2"/>
      </rPr>
      <t>Se refiere a los gafetes o insignias que se otorgan al personal por acciones sobresalientes o de relevancia que no se consideran para el otorgamiento de condecoraciones.</t>
    </r>
  </si>
  <si>
    <r>
      <t xml:space="preserve">6.- </t>
    </r>
    <r>
      <rPr>
        <b/>
        <i/>
        <sz val="8"/>
        <rFont val="Arial"/>
        <family val="2"/>
      </rPr>
      <t xml:space="preserve">Recompensas. </t>
    </r>
    <r>
      <rPr>
        <i/>
        <sz val="8"/>
        <rFont val="Arial"/>
        <family val="2"/>
      </rPr>
      <t>Se refiere a los reconocimientos de carácter económico que se otorgan, conforme a la normatividad aplicable y suficiencia presupuestaria, a efecto de alentar e incentivar la conducta del personal.</t>
    </r>
  </si>
  <si>
    <t>3.15.-</t>
  </si>
  <si>
    <t>Indique si al cierre del año 2023 la institución responsable de los centros especializados de su entidad federativa contaba con alguna Comisión de Honor y Justicia u homóloga encargada de velar por la honorabilidad y reputación del personal adscrito a los mismos. En caso afirmativo, anote el año de creación y el nombre de la misma.</t>
  </si>
  <si>
    <t>En caso de que no haya contado con alguna Comisión de Honor y Justicia u homóloga, se haya encontrado en proceso de integración, o no cuente con información para determinarlo, indíquelo en la columna correspondiente conforme al catálogo respectivo y deje el resto de la fila en blanco.</t>
  </si>
  <si>
    <t>El nombre de la Comisión de Honor y Justicia u homóloga debe registrarse en mayúsculas, sin comillas ni signos de acentuación, puntuación, paréntesis y abreviaturas.</t>
  </si>
  <si>
    <t>En caso de que seleccione el código "3" o "9" en la columna "¿Contaba con alguna Comisión de Honor y Justicia u homóloga?", explique dicha situación en el recuadro que se encuentra en la parte inferior de la tabla de respuesta.</t>
  </si>
  <si>
    <r>
      <t xml:space="preserve">¿Contaba con alguna Comisión de Honor y Justicia u homóloga?
</t>
    </r>
    <r>
      <rPr>
        <i/>
        <sz val="8"/>
        <rFont val="Arial"/>
        <family val="2"/>
      </rPr>
      <t>(1. Sí / 2. En proceso de integración / 3. No / 9. No identificado)</t>
    </r>
  </si>
  <si>
    <t>3.16.-</t>
  </si>
  <si>
    <t>¿La Comisión de Honor y Justicia u homóloga es la misma que la de la institución encargada de la función de seguridad pública de su entidad federativa?</t>
  </si>
  <si>
    <t>BLOQUEO 3.15</t>
  </si>
  <si>
    <t>3.17.-</t>
  </si>
  <si>
    <t>¿La Comisión de Honor y Justicia u homóloga es la misma que la de la institución responsable de los centros penitenciarios?</t>
  </si>
  <si>
    <t>En caso de que haya seleccionado el código "2", "3" o "9" en la columna "¿Contaba con alguna Comisión de Honor y Justicia u homóloga?" de la pregunta 3.12 del módulo 1 de este censo, no puede seleccionar el código "1".</t>
  </si>
  <si>
    <t>3.18.-</t>
  </si>
  <si>
    <t>Indique si al cierre del año 2023 la Comisión de Honor y Justicia u homóloga contaba con algún reglamento sobre su organización y funcionamiento. En caso afirmativo, especifique el lugar donde se encuentra disponible o, en su defecto, la no disponibilidad del mismo.</t>
  </si>
  <si>
    <t>En caso de que haya seleccionado el código "1" en la pregunta anterior, no puede registrar información en el presente reactivo.</t>
  </si>
  <si>
    <t>En caso de que la Comisión de Honor y Justicia u homóloga no haya contado con algún reglamento sobre su organización y funcionamiento, se haya encontrado en proceso de integración, o no cuente con información para determinarlo, indíquelo en la columna correspondiente conforme al catálogo respectivo y deje el resto de la fila en blanco.</t>
  </si>
  <si>
    <t>En caso de que la Comisión de Honor y Justicia u homóloga haya contado con algún reglamento sobre su organización y funcionamiento, pero este no se encuentre disponible en línea, en la columna "Sitio donde se encuentra disponible (URL)" anote "NA" (No aplica).</t>
  </si>
  <si>
    <r>
      <t xml:space="preserve">¿La Comisión de Honor y Justicia u homóloga contaba con algún reglamento sobre su organización y funcionamiento?
</t>
    </r>
    <r>
      <rPr>
        <i/>
        <sz val="8"/>
        <rFont val="Arial"/>
        <family val="2"/>
      </rPr>
      <t>(1. Sí / 2. En proceso de integración / 3. No / 9. No identificado)</t>
    </r>
  </si>
  <si>
    <t>BLOQUEO COD_1</t>
  </si>
  <si>
    <t xml:space="preserve">3.19.- </t>
  </si>
  <si>
    <t>Indique las personas servidoras públicas y/ o representantes que al cierre del año 2023 integraban la Comisión de Honor y Justicia u homóloga. Por cada una de estas, señale el derecho con el que contaba en las sesiones celebradas por dicho órgano colegiado.</t>
  </si>
  <si>
    <t>En caso de que haya seleccionado el código "2", "3" o "9" en la columna "¿Contaba con alguna unidad de asuntos internos u homóloga?" de la pregunta 3.8, no puede registrar información en el numeral 5.</t>
  </si>
  <si>
    <t>En caso de que determinada persona servidora pública y/ o representante no haya integrado a la Comisión de Honor y Justicia u homóloga, o no cuente con información para determinarlo, indíquelo en la columna correspondiente conforme al catálogo respectivo y deje el resto de la fila en blanco.</t>
  </si>
  <si>
    <t>En caso de que seleccione para el numeral 8 el código "1" en la columna "¿Integraba a la Comisión de Honor y Justicia u homóloga?", debe anotar el nombre del(os) cargo(s) de la(s) persona(s) servidora(s) pública(s) y/ o representante(s) en el recuadro destinado para tal efecto que se encuentra al final de la tabla de respuesta.</t>
  </si>
  <si>
    <t>Personas servidoras públicas y/ o representantes</t>
  </si>
  <si>
    <r>
      <t xml:space="preserve">¿Integraba a la Comisión de Honor y Justicia u homóloga?
</t>
    </r>
    <r>
      <rPr>
        <i/>
        <sz val="8"/>
        <rFont val="Arial"/>
        <family val="2"/>
      </rPr>
      <t>(1. Sí / 2. No / 9. No identificado)</t>
    </r>
  </si>
  <si>
    <r>
      <t xml:space="preserve">Derecho de la persona servidora pública y/ o representante en las sesiones
</t>
    </r>
    <r>
      <rPr>
        <i/>
        <sz val="8"/>
        <rFont val="Arial"/>
        <family val="2"/>
      </rPr>
      <t>(1. Voz / 2. Voto / 3. Voz y voto / 9. No identificado)</t>
    </r>
  </si>
  <si>
    <t>BLOQUEO NUM 5</t>
  </si>
  <si>
    <t>NUM 8</t>
  </si>
  <si>
    <t>Persona titular o representante de la institución responsable de los centros especializados de la entidad federativa</t>
  </si>
  <si>
    <t>Personas titulares o representantes de los centros especializados de la entidad federativa</t>
  </si>
  <si>
    <t>Persona titular o representante del órgano interno de control u homólogo de la institución responsable de los centros especializados de la entidad federativa</t>
  </si>
  <si>
    <t>Persona titular o representante de la unidad jurídica u homóloga de la institución responsable de los centros especializados de la entidad federativa</t>
  </si>
  <si>
    <t>Persona(s) representante(s) de la unidad de asuntos internos u homóloga de la institución responsable de los centros especializados de la entidad federativa</t>
  </si>
  <si>
    <t>Persona(s) representante(s) del personal adscrito a los centros especializados de la entidad federativa</t>
  </si>
  <si>
    <t>Persona(s) representante(s) ciudadana(s)</t>
  </si>
  <si>
    <r>
      <t xml:space="preserve">Otra persona servidora pública y/ o representante </t>
    </r>
    <r>
      <rPr>
        <i/>
        <sz val="8"/>
        <rFont val="Arial"/>
        <family val="2"/>
      </rPr>
      <t>(especifique)</t>
    </r>
  </si>
  <si>
    <r>
      <t xml:space="preserve">Otra persona servidora pública y/ o representante:
</t>
    </r>
    <r>
      <rPr>
        <i/>
        <sz val="8"/>
        <rFont val="Arial"/>
        <family val="2"/>
      </rPr>
      <t>(especifique)</t>
    </r>
  </si>
  <si>
    <t>3.20.-</t>
  </si>
  <si>
    <t>Anote el total de sesiones celebradas durante el año 2023 por la Comisión de Honor y Justicia u homóloga.</t>
  </si>
  <si>
    <t>En caso de que haya seleccionado el código "1" en la pregunta 3.17, no puede registrar información en el presente reactivo.</t>
  </si>
  <si>
    <t>BLOQUEO 3.17</t>
  </si>
  <si>
    <t>Total de sesiones de la Comisión de Honor y Justicia u homóloga</t>
  </si>
  <si>
    <t>3.21.-</t>
  </si>
  <si>
    <t>Indique si durante el año 2023 la Comisión de Honor y Justicia u homóloga realizó ceremonias de reconocimiento al mérito. En caso afirmativo, anote la cantidad de ceremonias realizadas y de personal adscrito a los centros especializados de su entidad federativa reconocido durante el referido año, según tipo de reconocimiento o estímulo recibido y sexo.</t>
  </si>
  <si>
    <t xml:space="preserve">En caso de que la Comisión de Honor y Justicia u homóloga no haya realizado ceremonias de reconocimiento al mérito, o no cuente con información para determinarlo, indíquelo en la columna correspondiente conforme al catálogo respectivo y deje el resto de la fila en blanco. </t>
  </si>
  <si>
    <t>La cantidad registrada en la columna "Total" debe ser igual o menor a la suma de las cantidades reportadas en las columnas "Subtotal" del apartado "Tipo de reconocimiento o estímulo", así como corresponder a su desagregación por sexo; toda vez que una persona servidora pública pudo haber sido reconocida con más de un tipo de reconocimiento o estímulo.</t>
  </si>
  <si>
    <t>La cantidad registrada en cada una de las columnas "Subtotal" del apartado "Tipo de reconocimiento o estímulo" debe ser igual o menor a la cantidad reportada en la columna "Total", así como corresponder a su desagregación por sexo. En caso de que esta instrucción no le aplique, justifíquelo en el recuadro que se encuentra al final de la tabla de respuesta.</t>
  </si>
  <si>
    <t>En caso de que registre algún valor numérico mayor a cero en el apartado "Otro tipo", debe anotar el nombre de dicho(s) tipo(s) de reconocimiento(s) o estimulo(s) en el recuadro destinado para tal efecto que se encuentra al final de la tabla de respuesta.</t>
  </si>
  <si>
    <r>
      <rPr>
        <b/>
        <sz val="9"/>
        <rFont val="Arial"/>
        <family val="2"/>
      </rPr>
      <t>¿La Comisión de Honor y Justicia u homóloga realizó ceremonias de reconocimiento al mérito?</t>
    </r>
    <r>
      <rPr>
        <sz val="9"/>
        <rFont val="Arial"/>
        <family val="2"/>
      </rPr>
      <t xml:space="preserve">
</t>
    </r>
    <r>
      <rPr>
        <i/>
        <sz val="8"/>
        <rFont val="Arial"/>
        <family val="2"/>
      </rPr>
      <t>(1. Sí / 2. No / 9. No identificado)</t>
    </r>
  </si>
  <si>
    <t>Ceremonias realizadas</t>
  </si>
  <si>
    <t>Personal adscrito a los centros especializados reconocido, según tipo de reconocimiento o estímulo recibido y sexo</t>
  </si>
  <si>
    <t>Tipo de reconocimiento o estímulo</t>
  </si>
  <si>
    <t>Condecoraciones</t>
  </si>
  <si>
    <t>Menciones honoríficas</t>
  </si>
  <si>
    <t>Distinciones</t>
  </si>
  <si>
    <t>Citaciones</t>
  </si>
  <si>
    <t>Recompensas</t>
  </si>
  <si>
    <t>CONDECORACIONES</t>
  </si>
  <si>
    <t>MENCIONES HONORIFICAS</t>
  </si>
  <si>
    <t>DISTINCIONES</t>
  </si>
  <si>
    <t>CITACIONES</t>
  </si>
  <si>
    <t>RECOMPENSAS</t>
  </si>
  <si>
    <t>III.5 Comisión de Carrera Penitenciaria u homóloga</t>
  </si>
  <si>
    <t>1.- Debe considerar la existencia de alguna Comisión de Carrera Penitenciaria u homóloga para el personal adscrito a los centros especializados de la entidad federativa, independientemente de que sea la misma de la institución responsable de los centros penitenciarios y/ o de la institución encargada de la función de seguridad pública.</t>
  </si>
  <si>
    <t>2.- En caso de que seleccione el código "2", "3" o "9" en la columna "¿Contaba con alguna Comisión de Carrera Penitenciaria u homóloga?" de la pregunta 3.22, concluya la sección.</t>
  </si>
  <si>
    <r>
      <t xml:space="preserve">1.- </t>
    </r>
    <r>
      <rPr>
        <b/>
        <i/>
        <sz val="8"/>
        <rFont val="Arial"/>
        <family val="2"/>
      </rPr>
      <t>Comisión de Carrera Penitenciaria u homóloga.</t>
    </r>
    <r>
      <rPr>
        <i/>
        <sz val="8"/>
        <rFont val="Arial"/>
        <family val="2"/>
      </rPr>
      <t xml:space="preserve"> Se refiere al órgano colegiado responsable, en el ámbito de su competencia, de planear, implantar, dirigir, supervisar y evaluar el Servicio Profesional de Carrera Penitenciaria u homólogo mediante el conocimiento, trámite, substanciación y resolución de los procedimientos asociados al reclutamiento, selección, ingreso, formación, certificación, permanencia, evaluación y promoción del personal adscrito a los centros especializados.</t>
    </r>
  </si>
  <si>
    <t>3.22.-</t>
  </si>
  <si>
    <t>Indique si al cierre del año 2023 la institución responsable de los centros especializados de su entidad federativa contaba con alguna Comisión de Carrera Penitenciaria u homóloga encargada de velar por el desarrollo policial del personal adscrito a los mismos. En caso afirmativo, anote el año de creación y el nombre de la misma.</t>
  </si>
  <si>
    <t>En caso de que no haya contado con alguna Comisión de Carrera Penitenciaria u homóloga, se haya encontrado en proceso de integración, o no cuente con información para determinarlo, indíquelo en la columna correspondiente conforme al catálogo respectivo y deje el resto de la fila en blanco.</t>
  </si>
  <si>
    <t>El nombre de la Comisión de Carrera Penitenciaria u homóloga debe registrarse en mayúsculas, sin comillas ni signos de acentuación, puntuación, paréntesis y abreviaturas.</t>
  </si>
  <si>
    <t>En caso de que seleccione el código "3" o "9" en la columna "¿Contaba con alguna Comisión de Carrera Penitenciaria u homóloga?", explique dicha situación en el recuadro que se encuentra en la parte inferior de la tabla de respuesta.</t>
  </si>
  <si>
    <r>
      <t xml:space="preserve">¿Contaba con alguna Comisión de Carrera Penitenciaria u homóloga?
</t>
    </r>
    <r>
      <rPr>
        <i/>
        <sz val="8"/>
        <rFont val="Arial"/>
        <family val="2"/>
      </rPr>
      <t>(1. Sí / 2. En proceso de integración / 3. No / 9. No identificado)</t>
    </r>
  </si>
  <si>
    <t>BLOQUEO 1,2,3,9</t>
  </si>
  <si>
    <t>3.23.-</t>
  </si>
  <si>
    <t>¿La Comisión de Carrera Penitenciaria u homóloga es la misma que la Comisión de Carrera Policial u homóloga de la institución encargada de la función de seguridad pública de su entidad federativa?</t>
  </si>
  <si>
    <t>BLOQUEO 3.22</t>
  </si>
  <si>
    <t>CODIGO</t>
  </si>
  <si>
    <t>3.24.-</t>
  </si>
  <si>
    <t>¿La Comisión de Carrera Penitenciaria u homóloga es la misma que la de la institución responsable de los centros penitenciarios?</t>
  </si>
  <si>
    <t>En caso de que haya seleccionado el código "2", "3" o "9" en la columna "¿Contaba con alguna Comisión de Carrera Penitenciaria u homóloga?" de la pregunta 3.18 del módulo 1 de este censo, no puede seleccionar el código "1".</t>
  </si>
  <si>
    <t>3.25.-</t>
  </si>
  <si>
    <t xml:space="preserve">Indique si durante el año 2023 la Comisión de Carrera Penitenciaria u homóloga aprobó la promoción de personal adscrito a los centros especializados. En caso afirmativo, anote la cantidad de personal promovido durante el referido año, según sexo. </t>
  </si>
  <si>
    <t>En caso de que la Comisión de Carrera Penitenciaria u homóloga no haya aprobado la promoción de personal, o no cuente con información para determinarlo, indíquelo en la columna correspondiente conforme al catálogo respectivo y deje el resto de la fila en blanco.</t>
  </si>
  <si>
    <r>
      <rPr>
        <b/>
        <sz val="9"/>
        <rFont val="Arial"/>
        <family val="2"/>
      </rPr>
      <t>¿La Comisión de Carrera Penitenciaria u homóloga aprobó la promoción de personal?</t>
    </r>
    <r>
      <rPr>
        <sz val="9"/>
        <rFont val="Arial"/>
        <family val="2"/>
      </rPr>
      <t xml:space="preserve">
</t>
    </r>
    <r>
      <rPr>
        <i/>
        <sz val="8"/>
        <rFont val="Arial"/>
        <family val="2"/>
      </rPr>
      <t>(1. Sí / 2. No / 9. No identificado)</t>
    </r>
  </si>
  <si>
    <t>Personal adscrito a los centros especializados promovido, según sexo</t>
  </si>
  <si>
    <t>BLOQUEO 1,2,9</t>
  </si>
  <si>
    <t>IV. Recursos presupuestales</t>
  </si>
  <si>
    <r>
      <t xml:space="preserve">1.- Periodo de referencia de los datos: 
</t>
    </r>
    <r>
      <rPr>
        <b/>
        <i/>
        <sz val="8"/>
        <rFont val="Arial"/>
        <family val="2"/>
      </rPr>
      <t>Durante el año:</t>
    </r>
    <r>
      <rPr>
        <i/>
        <sz val="8"/>
        <rFont val="Arial"/>
        <family val="2"/>
      </rPr>
      <t xml:space="preserve"> la información se refiere a lo existente del 01 de enero al 31 de diciembre de 2023.</t>
    </r>
  </si>
  <si>
    <t>5.- Debe considerar el presupuesto ejercido por los centros especializados de la entidad federativa, mas no el presupuesto ejercido por la institución que los coordina, regula o administra.</t>
  </si>
  <si>
    <t>6.- Las cifras deben anotarse en pesos mexicanos (no debe agregar la frase “miles o millones de pesos”).</t>
  </si>
  <si>
    <t>7.- No debe considerar decimales en las cifras registradas en las preguntas correspondientes, por lo que debe redondear las cifras a sus valores enteros más cercanos.</t>
  </si>
  <si>
    <t>8.- Con excepción de la existencia de instrucciones, variables y/ o catálogos específicos que prevean alguna situación particular asociada a la información requerida, en caso de que determinada categoría no se encuentre prevista en su normatividad aplicable, anote "NA" (No aplica) en las celdas correspondientes.</t>
  </si>
  <si>
    <t>9.- Con excepción de la existencia de instrucciones, variables y/ o catálogos específicos que prevean alguna situación particular asociada a la información requerida, en caso de que los registros con los que cuente no le permitan desglosar la información de acuerdo con los requerimientos solicitados, anote "NS" (No se sabe) en las celdas donde no disponga de información. En el recuadro para comentarios de cada pregunta debe proporcionar una justificación respecto del uso del "NS" en determinado reactivo.</t>
  </si>
  <si>
    <t xml:space="preserve">10.- No deje celdas en blanco, salvo en los casos en que la instrucción así lo solicite. </t>
  </si>
  <si>
    <r>
      <t xml:space="preserve">1.- </t>
    </r>
    <r>
      <rPr>
        <b/>
        <i/>
        <sz val="8"/>
        <rFont val="Arial"/>
        <family val="2"/>
      </rPr>
      <t xml:space="preserve">Proyecto de presupuesto. </t>
    </r>
    <r>
      <rPr>
        <i/>
        <sz val="8"/>
        <rFont val="Arial"/>
        <family val="2"/>
      </rPr>
      <t>Se refiere a la estimación de recursos que el Poder Ejecutivo Estatal pone a consideración del Congreso de la entidad federativa para cada dependencia o entidad de la Administración Pública Estatal, Poder Legislativo, Poder Judicial, así como aquellos consignados por los órganos autónomos, para el cumplimiento de sus responsabilidades conforme al marco institucional.</t>
    </r>
  </si>
  <si>
    <r>
      <t xml:space="preserve">2.- </t>
    </r>
    <r>
      <rPr>
        <b/>
        <i/>
        <sz val="8"/>
        <rFont val="Arial"/>
        <family val="2"/>
      </rPr>
      <t>Presupuesto aprobado.</t>
    </r>
    <r>
      <rPr>
        <i/>
        <sz val="8"/>
        <rFont val="Arial"/>
        <family val="2"/>
      </rPr>
      <t xml:space="preserve"> Se refiere al monto total de las erogaciones aprobadas durante un ejercicio fiscal.</t>
    </r>
  </si>
  <si>
    <r>
      <t xml:space="preserve">3.- </t>
    </r>
    <r>
      <rPr>
        <b/>
        <i/>
        <sz val="8"/>
        <rFont val="Arial"/>
        <family val="2"/>
      </rPr>
      <t xml:space="preserve">Presupuesto ejercido. </t>
    </r>
    <r>
      <rPr>
        <i/>
        <sz val="8"/>
        <rFont val="Arial"/>
        <family val="2"/>
      </rPr>
      <t>Se refiere al importe total erogado, el cual se encuentra respaldado por documentos comprobatorios presentados ante las dependencias o entidades autorizadas, con cargo al presupuesto aprobado.</t>
    </r>
  </si>
  <si>
    <t>4.1.-</t>
  </si>
  <si>
    <t>Anote el proyecto de presupuesto, así como el presupuesto aprobado y ejercido durante el año 2023 por los centros especializados de su entidad federativa.</t>
  </si>
  <si>
    <t xml:space="preserve">En el numeral 3 debe considerar la totalidad de presupuesto ejercido durante el año, por lo que debe considerar la cantidad ejercida como parte del presupuesto aprobado, así como las aportaciones federales y las donaciones monetarias realizadas por otras instituciones. </t>
  </si>
  <si>
    <t>En caso de que el presupuesto ejercido sea mayor al presupuesto aprobado, justifíquelo en el recuadro que se encuentra al final de las opciones de respuesta. En caso de que la justificación obedezca a la existencia de aportaciones federales y/ o donaciones monetarias, esta información debe ser consistente con la reportada como respuesta en las preguntas 4.5 y 6.3, respectivamente. En caso de que esta instrucción no le aplique, justifíquelo en el recuadro que se encuentra al final de las opciones de respuesta.</t>
  </si>
  <si>
    <t>comp_presupuesto</t>
  </si>
  <si>
    <t>TEXTO</t>
  </si>
  <si>
    <t>1. Proyecto de presupuesto</t>
  </si>
  <si>
    <t>2. Presupuesto aprobado</t>
  </si>
  <si>
    <t>3. Presupuesto ejercido</t>
  </si>
  <si>
    <t>4.2.-</t>
  </si>
  <si>
    <t>De acuerdo con el total de presupuesto ejercido que reportó como respuesta en la pregunta anterior, anote la cantidad ejercida por cada uno de los centros especializados de su entidad federativa.</t>
  </si>
  <si>
    <t>En caso de no poder desagregar la información solicitada por cada uno de los centros especializados, anote "NA" (No aplica) en las celdas correspondientes y explique dicha situación en el recuadro que se encuentra en la parte inferior de la tabla de respuesta.</t>
  </si>
  <si>
    <t>La suma de las cantidades registradas debe ser igual a la cantidad reportada como respuesta en el numeral 3 de la pregunta anterior.</t>
  </si>
  <si>
    <t>NUM3_PREG4.1</t>
  </si>
  <si>
    <t>Presupuesto ejercido</t>
  </si>
  <si>
    <t>NS/NA</t>
  </si>
  <si>
    <t>4.3.-</t>
  </si>
  <si>
    <t>De acuerdo con el total de presupuesto ejercido que reportó como respuesta en la pregunta 4.1, anote la cantidad del mismo especificando el capítulo del Clasificador por Objeto del Gasto.</t>
  </si>
  <si>
    <t>La suma de las cantidades registradas debe ser igual a la cantidad reportada como respuesta en el numeral 3 de la pregunta 4.1.</t>
  </si>
  <si>
    <t>COMP_NUM3_PREG4.1</t>
  </si>
  <si>
    <t>SUM</t>
  </si>
  <si>
    <t>Presupuesto ejercido por capítulo del Clasificador por Objeto del Gasto</t>
  </si>
  <si>
    <t>Servicios personales</t>
  </si>
  <si>
    <t>Materiales y suministros</t>
  </si>
  <si>
    <t>Servicios generales</t>
  </si>
  <si>
    <t>Transferencias, asignaciones, subsidios y otras ayudas</t>
  </si>
  <si>
    <t>Bienes muebles, inmuebles e intangibles</t>
  </si>
  <si>
    <t>Inversión pública</t>
  </si>
  <si>
    <t>Inversiones financieras y otras provisiones</t>
  </si>
  <si>
    <t>Participaciones y aportaciones</t>
  </si>
  <si>
    <t>Deuda pública</t>
  </si>
  <si>
    <t>Capítulo 1000</t>
  </si>
  <si>
    <t>Capítulo 2000</t>
  </si>
  <si>
    <t>Capítulo 3000</t>
  </si>
  <si>
    <t>Capítulo 
4000</t>
  </si>
  <si>
    <t>Capítulo 5000</t>
  </si>
  <si>
    <t>Capítulo 6000</t>
  </si>
  <si>
    <t>Capítulo 7000</t>
  </si>
  <si>
    <t>Capítulo 8000</t>
  </si>
  <si>
    <t>Capítulo 9000</t>
  </si>
  <si>
    <t>cap. 1000</t>
  </si>
  <si>
    <t>cap. 2000</t>
  </si>
  <si>
    <t>cap. 3000</t>
  </si>
  <si>
    <t>cap. 4000</t>
  </si>
  <si>
    <t>cap. 5000</t>
  </si>
  <si>
    <t>cap. 6000</t>
  </si>
  <si>
    <t>cap. 7000</t>
  </si>
  <si>
    <t>cap. 8000</t>
  </si>
  <si>
    <t>cap. 9000</t>
  </si>
  <si>
    <t>4.4.-</t>
  </si>
  <si>
    <t>De acuerdo con el total de presupuesto ejercido que reportó como respuesta en la pregunta 4.2, anote, por cada uno de los centros especializados de su entidad federativa, la cantidad del mismo destinada a la adquisición y mantenimiento de la infraestructura tecnológica para la seguridad y vigilancia.</t>
  </si>
  <si>
    <t>Para cada centro especializado, en caso de que haya anotado "NA" (No aplica) en la pregunta 4.2, no puede registrar información en el presente reactivo.</t>
  </si>
  <si>
    <t>Para cada centro especializado, la cantidad registrada debe ser igual o menor a la cantidad reportada como respuesta en la pregunta 4.2.</t>
  </si>
  <si>
    <t>Presupuesto ejercido destinado a la adquisición y mantenimiento de la infraestructura tecnológica para la seguridad y vigilancia</t>
  </si>
  <si>
    <t>COMP_PREG 4.2</t>
  </si>
  <si>
    <t>BLOQUEO_NA</t>
  </si>
  <si>
    <t>4.5.-</t>
  </si>
  <si>
    <t>Indique si durante el año 2023 los centros especializados de su entidad federativa recibieron por parte del Gobierno Federal alguna aportación. En caso afirmativo, anote el monto aportado durante el referido año, según tipo de fondo o subsidio.</t>
  </si>
  <si>
    <t>En caso de que no hayan recibido por parte del Gobierno Federal alguna aportación, o no cuente con información para determinarlo, indíquelo en la columna correspondiente conforme al catálogo respectivo y deje el resto de la fila en blanco.</t>
  </si>
  <si>
    <t>La cantidad registrada en la columna "Total" debe ser igual o menor a la cantidad reportada como respuesta en el numeral 3 de la pregunta 4.1. En caso de que esta instrucción no le aplique, justifíquelo en el recuadro que se encuentra al final de la tabla de respuesta.</t>
  </si>
  <si>
    <t>En caso de que registre algún valor numérico mayor a cero en la columna "Otro fondo o subsidio", debe anotar el nombre de dicho(s) fondo(s) o subsidio(s) en el recuadro destinado para tal efecto que se encuentra al final de la tabla de respuesta.</t>
  </si>
  <si>
    <r>
      <t xml:space="preserve">¿Recibieron por parte del Gobierno Federal alguna aportación?
</t>
    </r>
    <r>
      <rPr>
        <i/>
        <sz val="8"/>
        <rFont val="Arial"/>
        <family val="2"/>
      </rPr>
      <t>(1. Sí / 2. No / 9. No identificado)</t>
    </r>
  </si>
  <si>
    <t>Monto aportado, según tipo de fondo o subsidio</t>
  </si>
  <si>
    <t>Fondo de Aportaciones para la Seguridad Pública de los Estados y del Distrito Federal (FASP)</t>
  </si>
  <si>
    <t>Fondo para el Fortalecimiento de las Instituciones de Seguridad Pública (FOFISP)</t>
  </si>
  <si>
    <r>
      <t xml:space="preserve">Otro fondo o subsidio
</t>
    </r>
    <r>
      <rPr>
        <i/>
        <sz val="8"/>
        <rFont val="Arial"/>
        <family val="2"/>
      </rPr>
      <t>(especifique)</t>
    </r>
  </si>
  <si>
    <t>COMP_PREG 4.1</t>
  </si>
  <si>
    <t>OTRO_FONDO_           SUBSIDIO</t>
  </si>
  <si>
    <r>
      <t xml:space="preserve">Otro fondo o subsidio:
</t>
    </r>
    <r>
      <rPr>
        <i/>
        <sz val="8"/>
        <rFont val="Arial"/>
        <family val="2"/>
      </rPr>
      <t>(especifique)</t>
    </r>
  </si>
  <si>
    <r>
      <t xml:space="preserve">1.- Periodo de referencia de los datos: 
</t>
    </r>
    <r>
      <rPr>
        <b/>
        <i/>
        <sz val="8"/>
        <rFont val="Arial"/>
        <family val="2"/>
      </rPr>
      <t>Al cierre del año:</t>
    </r>
    <r>
      <rPr>
        <i/>
        <sz val="8"/>
        <rFont val="Arial"/>
        <family val="2"/>
      </rPr>
      <t xml:space="preserve"> la información se refiere a lo existente al 31 de diciembre de 2023.
</t>
    </r>
    <r>
      <rPr>
        <b/>
        <i/>
        <sz val="8"/>
        <rFont val="Arial"/>
        <family val="2"/>
      </rPr>
      <t>Actualmente:</t>
    </r>
    <r>
      <rPr>
        <i/>
        <sz val="8"/>
        <rFont val="Arial"/>
        <family val="2"/>
      </rPr>
      <t xml:space="preserve"> la información se refiere a lo existente al momento del llenado del cuestionario.</t>
    </r>
  </si>
  <si>
    <t>V.1 Registros administrativos</t>
  </si>
  <si>
    <t>1.- Debe considerar aquellos registros administrativos en materia de sistema penitenciario en los que los centros especializados de la entidad federativa, o la institución que los coordina, regula o administra, tengan el carácter de autoridad responsable de los mismos; es decir, sean responsables del almacenamiento y resguardo de la información; de la administración de permisos y usuarios para el registro y consulta de la información; así como del mantenimiento general de los registros administrativos.</t>
  </si>
  <si>
    <r>
      <t xml:space="preserve">1.- </t>
    </r>
    <r>
      <rPr>
        <b/>
        <i/>
        <sz val="8"/>
        <rFont val="Arial"/>
        <family val="2"/>
      </rPr>
      <t>Registro administrativo.</t>
    </r>
    <r>
      <rPr>
        <i/>
        <sz val="8"/>
        <rFont val="Arial"/>
        <family val="2"/>
      </rPr>
      <t xml:space="preserve"> Se refiere a la serie de datos que se recaban de manera sistemática sobre un hecho, evento, suceso o acción sujeto a regulación o control y que son actualizados permanentemente como parte de la función de oficinas públicas, privadas o de organizaciones de la sociedad civil, y que originalmente son recolectados con fines no estadísticos.</t>
    </r>
  </si>
  <si>
    <t>5.1.-</t>
  </si>
  <si>
    <t>Anote el nombre de cada uno de los registros administrativos en materia de sistema penitenciario con los que contaban al cierre del año 2023 los centros especializados de su entidad federativa. Por cada uno de estos, anote el total de centros especializados que contaban con él, y señale el año de creación, la periodicidad de actualización, la situación que mejor los describa al cierre del referido año, así como el tipo de información recopilada; utilizando para tal efecto los catálogos que se presentan en la parte inferior de la siguiente tabla.</t>
  </si>
  <si>
    <t>El nombre de los registros administrativos en materia de sistema penitenciario debe registrarse en mayúsculas, sin comillas ni signos de acentuación, puntuación, paréntesis y abreviaturas.</t>
  </si>
  <si>
    <t>Para cada registro administrativo en materia de sistema penitenciario, la cantidad registrada en la columna "Centros especializados que contaban con el registro administrativo" debe ser igual o menor a la cantidad reportada como respuesta en el recuadro "Total de centros especializados" de la pregunta 1.1.</t>
  </si>
  <si>
    <t>Para cada registro administrativo en materia de sistema penitenciario, seleccione con una "X" el o los tipos de información recopilada que correspondan.</t>
  </si>
  <si>
    <t>Para cada registro administrativo en materia de sistema penitenciario, en caso de que seleccione el código "99" en el apartado "Tipo de información recopilada", no puede seleccionar otro código en dicho apartado.</t>
  </si>
  <si>
    <t>En caso de que seleccione el código "14" en el apartado "Tipo de información recopilada", debe anotar el nombre de dicho(s) tipo(s) de información en el recuadro destinado para tal efecto que se encuentra al final de la tabla de respuesta.</t>
  </si>
  <si>
    <t>Nombre de los registros administrativos en materia de sistema penitenciario</t>
  </si>
  <si>
    <t>Centros especializados que contaban con el registro administrativo</t>
  </si>
  <si>
    <t>Identificación y caracterización del registro administrativo</t>
  </si>
  <si>
    <r>
      <t xml:space="preserve">Tipo de información recopilada
</t>
    </r>
    <r>
      <rPr>
        <i/>
        <sz val="8"/>
        <rFont val="Arial"/>
        <family val="2"/>
      </rPr>
      <t>(ver catálogo)</t>
    </r>
  </si>
  <si>
    <r>
      <t xml:space="preserve">Año de creación
</t>
    </r>
    <r>
      <rPr>
        <i/>
        <sz val="8"/>
        <rFont val="Arial"/>
        <family val="2"/>
      </rPr>
      <t>(aaaa)</t>
    </r>
  </si>
  <si>
    <r>
      <t xml:space="preserve">Periodicidad de actualización
</t>
    </r>
    <r>
      <rPr>
        <i/>
        <sz val="8"/>
        <rFont val="Arial"/>
        <family val="2"/>
      </rPr>
      <t>(ver catálogo)</t>
    </r>
  </si>
  <si>
    <r>
      <t xml:space="preserve">Situación del registro administrativo
</t>
    </r>
    <r>
      <rPr>
        <i/>
        <sz val="8"/>
        <rFont val="Arial"/>
        <family val="2"/>
      </rPr>
      <t>(ver catálogo)</t>
    </r>
  </si>
  <si>
    <t>COMP_PREG_1.1</t>
  </si>
  <si>
    <t>COD_14</t>
  </si>
  <si>
    <t>Catálogo de periodicidad de actualización</t>
  </si>
  <si>
    <t>Catálogo de tipo de información recopilada</t>
  </si>
  <si>
    <t>Permanente/ tiempo real</t>
  </si>
  <si>
    <t>Del personal y funciones realizadas</t>
  </si>
  <si>
    <t>Visitas realizadas por las visitadurías de los organismos públicos de derechos humanos</t>
  </si>
  <si>
    <t>Recomendaciones y/ o evaluaciones de los organismos públicos de derechos humanos, así como del Mecanismo Nacional para la Prevención de la Tortura</t>
  </si>
  <si>
    <t>Ejercicio presupuestal</t>
  </si>
  <si>
    <t>Observaciones derivadas de las auditorías practicadas, su grado de cumplimiento y las responsabilidades administrativas por ellas generadas</t>
  </si>
  <si>
    <t>Resoluciones dictadas por las personas jueces y tribunales de ejecución, que tengan efectos generales o que constituyan un precedente para la resolución de casos posteriores</t>
  </si>
  <si>
    <t>Informes mensuales presentados a las autoridades penitenciarias</t>
  </si>
  <si>
    <t>Personas visitantes autorizadas y visitas efectuadas</t>
  </si>
  <si>
    <t>Ingresos y egresos de personas adolescentes internadas</t>
  </si>
  <si>
    <t>Ingreso y egreso de personal penitenciario</t>
  </si>
  <si>
    <t>Ingreso y egreso de las personas prestadoras de servicios</t>
  </si>
  <si>
    <t>Otra periodicidad</t>
  </si>
  <si>
    <t>Declaratorias de emergencia, fugas, incidencias, lesiones y muertes en custodia</t>
  </si>
  <si>
    <t>Personas adolescentes detenidas o arrestadas y/ o la actualización de su situación jurídica</t>
  </si>
  <si>
    <t>Catálogo de situación del registro administrativo</t>
  </si>
  <si>
    <t>No se encuentra automatizado. Está impreso en papel y se ubica en oficinas diferentes. Requiere un esfuerzo considerable del personal para su recopilación e integración</t>
  </si>
  <si>
    <t>No se encuentra automatizado. Está en un archivo electrónico de procesador de texto y se ubica en oficinas diferentes. Requiere un esfuerzo considerable del personal para su recopilación e integración</t>
  </si>
  <si>
    <t>Se encuentra en una hoja de cálculo, pero no cuenta con códigos, controles de consistencia ni campos estandarizados, por tratarse de planillas para sistematizar información para controles administrativos. Requiere un esfuerzo considerable para ser transformado y ser aprovechado estadísticamente</t>
  </si>
  <si>
    <t>Se encuentra organizado en forma sistemática en archivos (formato de tabla, archivo plano o planilla Excel) a través de un formulario estandarizado de computadora, con elementos de identificación y seguridad. Los archivos pueden ser entregados en medios electrónicos o ser enviados por correo electrónico u otro método de transferencia electrónica de datos</t>
  </si>
  <si>
    <t>Se encuentra organizado en una base de datos, sistema de información o plataforma informática con fácil acceso para consultar, recuperar y analizar la información</t>
  </si>
  <si>
    <t>V.2 Informe de actividades o labores</t>
  </si>
  <si>
    <t>Instrucciones generales para la pregunta de la subsección:</t>
  </si>
  <si>
    <r>
      <t xml:space="preserve">1.- Únicamente debe considerar la información relacionada con algún informe de actividades o labores desempeñadas </t>
    </r>
    <r>
      <rPr>
        <i/>
        <u/>
        <sz val="8"/>
        <rFont val="Arial"/>
        <family val="2"/>
      </rPr>
      <t>exclusivamente</t>
    </r>
    <r>
      <rPr>
        <i/>
        <sz val="8"/>
        <rFont val="Arial"/>
        <family val="2"/>
      </rPr>
      <t xml:space="preserve"> por la institución responsable de los centros especializados de la entidad federativa, por lo que no debe considerar la información asociada al informe de actividades o labores del(a) Gobernador(a) o Jefe(a) de Gobierno.</t>
    </r>
  </si>
  <si>
    <t>2.- Debe considerar la existencia y publicidad de algún informe sobre las actividades desempeñadas por la institución responsable de los centros especializados de la entidad federativa, independientemente de la periodicidad (anual, semestral, trimestral, etc.) en la que se realice y/ o publique.</t>
  </si>
  <si>
    <t>5.2.-</t>
  </si>
  <si>
    <t>Indique si actualmente la institución responsable de los centros especializados de su entidad federativa cuenta con algún informe de actividades o labores. En caso afirmativo, especifique el lugar donde se encuentra disponible o, en su defecto, la no disponibilidad del mismo.</t>
  </si>
  <si>
    <t>En caso de que no cuente con algún informe de actividades o labores, se encuentre en proceso de integración, o no cuente con información para determinarlo, indíquelo en la columna correspondiente conforme al catálogo respectivo y deje el resto de la fila en blanco.</t>
  </si>
  <si>
    <t>En caso de que cuente con más de un informe de actividades o labores, en la columna "Sitio donde se encuentra disponible (URL)" anote el URL donde se encuentre disponible el más reciente.</t>
  </si>
  <si>
    <t>En caso de que cuente con algún informe de actividades o labores, pero este no se encuentre disponible en línea, en la columna "Sitio donde se encuentra disponible (URL)" anote "NA" (No aplica).</t>
  </si>
  <si>
    <r>
      <t xml:space="preserve">¿Cuenta con algún informe de actividades o labores?
</t>
    </r>
    <r>
      <rPr>
        <i/>
        <sz val="8"/>
        <rFont val="Arial"/>
        <family val="2"/>
      </rPr>
      <t>(1. Sí / 2. En proceso de integración / 3. No / 9. No identificado)</t>
    </r>
  </si>
  <si>
    <r>
      <t xml:space="preserve">1.- Periodo de referencia de los datos: 
</t>
    </r>
    <r>
      <rPr>
        <b/>
        <i/>
        <sz val="8"/>
        <rFont val="Arial"/>
        <family val="2"/>
      </rPr>
      <t xml:space="preserve">Durante el año: </t>
    </r>
    <r>
      <rPr>
        <i/>
        <sz val="8"/>
        <rFont val="Arial"/>
        <family val="2"/>
      </rPr>
      <t>la información se refiere a lo existente del 01 de enero al 31 de diciembre de 2023.</t>
    </r>
    <r>
      <rPr>
        <b/>
        <i/>
        <sz val="8"/>
        <rFont val="Arial"/>
        <family val="2"/>
      </rPr>
      <t xml:space="preserve">
Al cierre del año: </t>
    </r>
    <r>
      <rPr>
        <i/>
        <sz val="8"/>
        <rFont val="Arial"/>
        <family val="2"/>
      </rPr>
      <t>la información se refiere a lo existente al 31 de diciembre de 2023.</t>
    </r>
  </si>
  <si>
    <r>
      <t xml:space="preserve">1.- </t>
    </r>
    <r>
      <rPr>
        <b/>
        <i/>
        <sz val="8"/>
        <rFont val="Arial"/>
        <family val="2"/>
      </rPr>
      <t>Organismos internacionales.</t>
    </r>
    <r>
      <rPr>
        <i/>
        <sz val="8"/>
        <rFont val="Arial"/>
        <family val="2"/>
      </rPr>
      <t xml:space="preserve"> Se refiere a aquellas organizaciones cuyas actividades trascienden las fronteras de un Estado y adoptan una estructura orgánica permanente. Pueden ser intergubernamentales y no gubernamentales. Son organismos internacionales el Banco Interamericano de Desarrollo, el Fondo Monetario Internacional, Amnistía Internacional, entre otros.</t>
    </r>
  </si>
  <si>
    <r>
      <t xml:space="preserve">2.- </t>
    </r>
    <r>
      <rPr>
        <b/>
        <i/>
        <sz val="8"/>
        <rFont val="Arial"/>
        <family val="2"/>
      </rPr>
      <t>Organizaciones de la sociedad civil.</t>
    </r>
    <r>
      <rPr>
        <i/>
        <sz val="8"/>
        <rFont val="Arial"/>
        <family val="2"/>
      </rPr>
      <t xml:space="preserve"> Se refiere, en términos del presente censo, a aquellas organizaciones no gubernamentales a través de las cuales la ciudadanía se organiza en torno a objetivos y temas de interés particulares a efecto de incidir en los asuntos públicos relacionados con estos.</t>
    </r>
  </si>
  <si>
    <t>VI.1 Asociación interinstitucional</t>
  </si>
  <si>
    <t>1.- Debe considerar las asociaciones interinstitucionales de las que hayan formado parte durante el año los centros especializados de la entidad federativa, independientemente de que se hayan celebrado durante el año o en ejercicios anteriores.</t>
  </si>
  <si>
    <r>
      <t xml:space="preserve">1.- </t>
    </r>
    <r>
      <rPr>
        <b/>
        <i/>
        <sz val="8"/>
        <rFont val="Arial"/>
        <family val="2"/>
      </rPr>
      <t xml:space="preserve">Asociación interinstitucional. </t>
    </r>
    <r>
      <rPr>
        <i/>
        <sz val="8"/>
        <rFont val="Arial"/>
        <family val="2"/>
      </rPr>
      <t>Se refiere a aquellos contratos, convenios, acuerdos, o cualquier otro instrumento de naturaleza similar, por medio de los cuales determinado ente público se asocia con instituciones públicas federales, estatales, municipales y/ o de las demarcaciones territoriales de la Ciudad de México, así como con organismos internacionales, organizaciones de la sociedad civil, universidades, asociaciones religiosas, culturales o humanitarias y/ u organizaciones del sector privado, con el propósito de llevar a cabo la prestación conjunta y/ o coordinada de algún servicio público, función o responsabilidad del mismo.</t>
    </r>
  </si>
  <si>
    <t>6.1.-</t>
  </si>
  <si>
    <t>Indique si durante el año 2023 los centros especializados de su entidad federativa estuvieron asociados con alguna institución u organización a efecto de desarrollar de mejor manera alguna de sus funciones o atribuciones. En caso afirmativo, anote el total de asociaciones interinstitucionales de las que hayan formado parte durante el referido año.</t>
  </si>
  <si>
    <t>En caso de que no hayan estado asociados con alguna institución u organización a efecto de desarrollar de mejor manera alguna de sus funciones o atribuciones, o no cuente con información para determinarlo, indíquelo en la columna correspondiente conforme al catálogo respectivo y deje el resto de la fila en blanco.</t>
  </si>
  <si>
    <r>
      <t xml:space="preserve">¿Estuvieron asociados con alguna institución u organización a efecto de desarrollar de mejor manera alguna de sus funciones o atribuciones?
</t>
    </r>
    <r>
      <rPr>
        <i/>
        <sz val="8"/>
        <rFont val="Arial"/>
        <family val="2"/>
      </rPr>
      <t>(1. Sí / 2. No / 9. No identificado)</t>
    </r>
  </si>
  <si>
    <t>Asociaciones interinstitucionales</t>
  </si>
  <si>
    <t>6.2.-</t>
  </si>
  <si>
    <t>Anote el nombre de cada una de las asociaciones interinstitucionales en las que los centros especializados de su entidad federativa estuvieron asociados durante el año 2023 con alguna institución u organización a efecto de desarrollar de mejor manera alguna de sus funciones o atribuciones. Por cada una de estas, anote el total de centros especializados que formaban parte de ella, así como el nombre de la(s) institución(es) u organización(es) con la(s) que se celebró. De igual forma, señale el tipo de instrumento regulatorio establecido, el año de entrada en vigor, el año de vencimiento y las funciones, atribuciones o servicios objeto de la misma; utilizando para tal efecto los catálogos que se presentan en la parte inferior de la siguiente tabla.</t>
  </si>
  <si>
    <t>En caso de que haya seleccionado el código "2" o "9" en la columna "¿Estuvieron asociados con alguna institución u organización a efecto de desarrollar de mejor manera alguna de sus funciones o atribuciones?" de la pregunta anterior, no puede registrar información en el presente reactivo.</t>
  </si>
  <si>
    <t>El nombre de las asociaciones interinstitucionales, así como el de las instituciones u organizaciones con las que se celebraron, debe registrarse en mayúsculas, sin comillas ni signos de acentuación, puntuación, paréntesis y abreviaturas.</t>
  </si>
  <si>
    <t>Para cada asociación interinstitucional, la cantidad registrada en la columna "Centros especializados que formaban parte de la asociación interinstitucional" debe ser igual o menor a la cantidad reportada como respuesta en el recuadro "Total de centros especializados" de la pregunta 1.1.</t>
  </si>
  <si>
    <t>Para cada asociación interinstitucional, en caso de que se haya celebrado con más de una institución u organización, debe registrar el nombre de cada una de estas.</t>
  </si>
  <si>
    <t>Para cada asociación interinstitucional, señale el código del instrumento regulatorio que corresponda.</t>
  </si>
  <si>
    <t>Para cada asociación interinstitucional, anote el año de entrada en vigor estipulado en el instrumento regulatorio establecido.</t>
  </si>
  <si>
    <t>Para cada asociación interinstitucional, anote el año de vencimiento en la columna "Año", "Conclusión anticipada" o "Renovación" del apartado "Año de vencimiento", según corresponda de acuerdo con lo siguiente, y deje el resto de las columnas de dicho apartado en blanco.</t>
  </si>
  <si>
    <t>La columna "Año" se asocia a un contexto en donde el instrumento regulatorio establecido para la asociación interinstitucional estipula de manera explícita el año de vencimiento de esta.</t>
  </si>
  <si>
    <t>La columna "Conclusión anticipada" se asocia a un contexto en donde las partes ejercen alguna de las cláusulas previstas en el instrumento regulatorio establecido para la asociación interinstitucional a efecto de dar por terminada la vigencia de esta de manera previa a la fecha de vencimiento de la misma.</t>
  </si>
  <si>
    <t>La columna "Renovación" se asocia a un contexto en donde las partes ejercen alguna de las cláusulas previstas en el instrumento regulatorio establecido para la asociación interinstitucional a efecto de renovar la vigencia de esta sin la necesidad de realizar un nuevo proceso para su celebración.</t>
  </si>
  <si>
    <t>Para cada asociación interinstitucional, en caso de que en el instrumento regulatorio establecido no se estipule el año de vencimiento de esta derivado de cualquiera de los contextos descritos con anterioridad, anote una "X" en la columna "Indefinido" del apartado "Año de vencimiento" y deje el resto de las columnas de dicho apartado en blanco.</t>
  </si>
  <si>
    <t>Para cada asociación interinstitucional, y de ser el caso, el año registrado en la columna "Año", "Conclusión anticipada" o "Renovación", según corresponda, debe ser igual o mayor al reportado en la columna "Año de entrada en vigor". En caso de que esta instrucción no le aplique, justifíquelo en el recuadro que se encuentra al final de los catálogos de respuesta.</t>
  </si>
  <si>
    <t>Para cada asociación interinstitucional, seleccione con una "X" la o las funciones, atribuciones o servicios objeto que correspondan.</t>
  </si>
  <si>
    <t>Para cada asociación interinstitucional, en caso de que seleccione el código "99" en el apartado "Funciones, atribuciones o servicios objeto", no puede seleccionar otro código en dicho apartado.</t>
  </si>
  <si>
    <t xml:space="preserve">La cantidad de asociaciones interinstitucionales que registre debe ser igual a la cantidad reportada como respuesta en la columna "Asociaciones interinstitucionales" de la pregunta anterior. </t>
  </si>
  <si>
    <t xml:space="preserve">En caso de que seleccione el código "4" en la columna "Tipo de instrumento regulatorio", debe anotar el nombre de dicho(s) tipo(s) de instrumento(s) regulatorio(s) en el recuadro destinado para tal efecto que se encuentra al final de la tabla de respuesta. </t>
  </si>
  <si>
    <t xml:space="preserve">En caso de que seleccione el código "21" en el apartado "Funciones, atribuciones o servicios objeto", debe anotar el nombre de dicha(s) función(es), atribución(es) o servicio(s) en el recuadro destinado para tal efecto que se encuentra al final de la tabla de respuesta. </t>
  </si>
  <si>
    <t>Nombre de las asociaciones interinstitucionales</t>
  </si>
  <si>
    <t>Centros especializados que formaban parte de la asociación interinstitucional</t>
  </si>
  <si>
    <t>Nombre de la(s) institución(es) u organización(es) con la(s) que se celebró</t>
  </si>
  <si>
    <r>
      <t xml:space="preserve">Tipo de instrumento regulatorio
</t>
    </r>
    <r>
      <rPr>
        <i/>
        <sz val="8"/>
        <rFont val="Arial"/>
        <family val="2"/>
      </rPr>
      <t>(ver catálogo)</t>
    </r>
  </si>
  <si>
    <r>
      <t xml:space="preserve">Año de entrada en vigor
</t>
    </r>
    <r>
      <rPr>
        <i/>
        <sz val="8"/>
        <rFont val="Arial"/>
        <family val="2"/>
      </rPr>
      <t>(aaaa)</t>
    </r>
  </si>
  <si>
    <t>Año de vencimiento</t>
  </si>
  <si>
    <t>AÑO ENTRADA EN VIGOR</t>
  </si>
  <si>
    <t>CONCLUSIÓN ANTICIPADA</t>
  </si>
  <si>
    <t>RENOVACIÓN</t>
  </si>
  <si>
    <r>
      <t xml:space="preserve">Año 
</t>
    </r>
    <r>
      <rPr>
        <i/>
        <sz val="8"/>
        <rFont val="Arial"/>
        <family val="2"/>
      </rPr>
      <t xml:space="preserve">(aaaa) </t>
    </r>
  </si>
  <si>
    <r>
      <t xml:space="preserve">Conclusión anticipada
</t>
    </r>
    <r>
      <rPr>
        <i/>
        <sz val="8"/>
        <rFont val="Arial"/>
        <family val="2"/>
      </rPr>
      <t xml:space="preserve">(aaaa) </t>
    </r>
  </si>
  <si>
    <r>
      <t xml:space="preserve">Renovación
</t>
    </r>
    <r>
      <rPr>
        <i/>
        <sz val="8"/>
        <rFont val="Arial"/>
        <family val="2"/>
      </rPr>
      <t xml:space="preserve">(aaaa) </t>
    </r>
  </si>
  <si>
    <t>Indefinido</t>
  </si>
  <si>
    <t>COMP_AÑO</t>
  </si>
  <si>
    <t>COMP_  ASOCIACIONES</t>
  </si>
  <si>
    <t>COD_4</t>
  </si>
  <si>
    <t>COD_21</t>
  </si>
  <si>
    <t>36.</t>
  </si>
  <si>
    <t>37.</t>
  </si>
  <si>
    <t>38.</t>
  </si>
  <si>
    <t>39.</t>
  </si>
  <si>
    <t>40.</t>
  </si>
  <si>
    <t>41.</t>
  </si>
  <si>
    <t>42.</t>
  </si>
  <si>
    <t>43.</t>
  </si>
  <si>
    <t>44.</t>
  </si>
  <si>
    <t>45.</t>
  </si>
  <si>
    <t>46.</t>
  </si>
  <si>
    <t>47.</t>
  </si>
  <si>
    <t>48.</t>
  </si>
  <si>
    <t>49.</t>
  </si>
  <si>
    <t>50.</t>
  </si>
  <si>
    <r>
      <t xml:space="preserve">Funciones, atribuciones o servicios objeto
</t>
    </r>
    <r>
      <rPr>
        <i/>
        <sz val="8"/>
        <rFont val="Arial"/>
        <family val="2"/>
      </rPr>
      <t>(ver catálogo)</t>
    </r>
  </si>
  <si>
    <t>CONCLUSIÓN</t>
  </si>
  <si>
    <t>INDEFINIDO</t>
  </si>
  <si>
    <t>COD_99</t>
  </si>
  <si>
    <t>BLOQUEO_AÑO</t>
  </si>
  <si>
    <t>BLOQUEO_   CONCLUSIÓN</t>
  </si>
  <si>
    <t>BLOQUEO_  RENOVACIÓN</t>
  </si>
  <si>
    <t>BLOQUEO_  INDEFINIDO</t>
  </si>
  <si>
    <t>BLOQUEO_  COD_99</t>
  </si>
  <si>
    <t>BLOQUEO_  PREG_6.1</t>
  </si>
  <si>
    <r>
      <t xml:space="preserve">Otro tipo: 
</t>
    </r>
    <r>
      <rPr>
        <i/>
        <sz val="8"/>
        <rFont val="Arial"/>
        <family val="2"/>
      </rPr>
      <t>(especifique)</t>
    </r>
  </si>
  <si>
    <r>
      <t xml:space="preserve">Otra función, atribución o servicio:
</t>
    </r>
    <r>
      <rPr>
        <i/>
        <sz val="8"/>
        <rFont val="Arial"/>
        <family val="2"/>
      </rPr>
      <t>(especifique)</t>
    </r>
  </si>
  <si>
    <t>Catálogo de tipo de instrumento regulatorio</t>
  </si>
  <si>
    <t>Catálogo de funciones, atribuciones o servicios objeto</t>
  </si>
  <si>
    <t>Convenio</t>
  </si>
  <si>
    <t>Mejora de la infraestructura de los centros especializados</t>
  </si>
  <si>
    <t>Contrato</t>
  </si>
  <si>
    <t>Formación y/ o capacitación del personal adscrito a los centros especializados</t>
  </si>
  <si>
    <t>Acuerdo</t>
  </si>
  <si>
    <t>Internamiento de personas adolescentes que requieran medidas especiales de seguridad o de vigilancia</t>
  </si>
  <si>
    <t>Reubicación de las personas adolescentes internadas para evitar la sobrepoblación y hacinamiento</t>
  </si>
  <si>
    <r>
      <t xml:space="preserve">Actividades de reinserción social </t>
    </r>
    <r>
      <rPr>
        <i/>
        <sz val="8"/>
        <rFont val="Arial"/>
        <family val="2"/>
      </rPr>
      <t>(orientadas a la oferta de trabajo remunerado a las personas adolescentes internadas)</t>
    </r>
  </si>
  <si>
    <r>
      <t xml:space="preserve">Actividades de reinserción social </t>
    </r>
    <r>
      <rPr>
        <i/>
        <sz val="8"/>
        <rFont val="Arial"/>
        <family val="2"/>
      </rPr>
      <t>(orientadas a la reinserción laboral de las personas adolescentes internadas que obtengan su libertad)</t>
    </r>
  </si>
  <si>
    <r>
      <t xml:space="preserve">Actividades de reinserción social </t>
    </r>
    <r>
      <rPr>
        <i/>
        <sz val="8"/>
        <rFont val="Arial"/>
        <family val="2"/>
      </rPr>
      <t>(capacitación)</t>
    </r>
  </si>
  <si>
    <r>
      <t xml:space="preserve">Actividades de reinserción social </t>
    </r>
    <r>
      <rPr>
        <i/>
        <sz val="8"/>
        <rFont val="Arial"/>
        <family val="2"/>
      </rPr>
      <t>(educación)</t>
    </r>
  </si>
  <si>
    <r>
      <t xml:space="preserve">Actividades de reinserción social </t>
    </r>
    <r>
      <rPr>
        <i/>
        <sz val="8"/>
        <rFont val="Arial"/>
        <family val="2"/>
      </rPr>
      <t>(arte y cultura)</t>
    </r>
  </si>
  <si>
    <r>
      <t xml:space="preserve">Actividades de reinserción social </t>
    </r>
    <r>
      <rPr>
        <i/>
        <sz val="8"/>
        <rFont val="Arial"/>
        <family val="2"/>
      </rPr>
      <t>(salud/ atención de enfermedades crónicas-degenerativas)</t>
    </r>
  </si>
  <si>
    <r>
      <t xml:space="preserve">Actividades de reinserción social </t>
    </r>
    <r>
      <rPr>
        <i/>
        <sz val="8"/>
        <rFont val="Arial"/>
        <family val="2"/>
      </rPr>
      <t>(salud/ atención de enfermedades mentales y/ o trastornos cognitivos)</t>
    </r>
  </si>
  <si>
    <r>
      <t>Actividades de reinserción social</t>
    </r>
    <r>
      <rPr>
        <i/>
        <sz val="8"/>
        <rFont val="Arial"/>
        <family val="2"/>
      </rPr>
      <t xml:space="preserve"> (salud/ atención de enfermedades infecciosas y/ o parasitarias)</t>
    </r>
  </si>
  <si>
    <r>
      <t xml:space="preserve">Actividades de reinserción social </t>
    </r>
    <r>
      <rPr>
        <sz val="8"/>
        <rFont val="Arial"/>
        <family val="2"/>
      </rPr>
      <t>(salud/ tratamiento de adicciones a sustancias psicoactivas)</t>
    </r>
  </si>
  <si>
    <r>
      <t xml:space="preserve">Actividades de reinserción social </t>
    </r>
    <r>
      <rPr>
        <i/>
        <sz val="8"/>
        <rFont val="Arial"/>
        <family val="2"/>
      </rPr>
      <t>(deporte)</t>
    </r>
  </si>
  <si>
    <r>
      <t xml:space="preserve">Atención de las niñas y niños que viven con sus madres adolescentes internadas </t>
    </r>
    <r>
      <rPr>
        <i/>
        <sz val="8"/>
        <rFont val="Arial"/>
        <family val="2"/>
      </rPr>
      <t>(médica, psicológica, educativa, cultural, etc.)</t>
    </r>
  </si>
  <si>
    <t>Evaluaciones y/ o certificaciones de los centros especializados</t>
  </si>
  <si>
    <t>Actividades espirituales y religiosas para las personas adolescentes internadas</t>
  </si>
  <si>
    <t>Asesoría jurídica a las personas adolescentes internadas</t>
  </si>
  <si>
    <r>
      <t xml:space="preserve">Realización de trámites dirigidos a las personas adolescentes internadas </t>
    </r>
    <r>
      <rPr>
        <i/>
        <sz val="8"/>
        <rFont val="Arial"/>
        <family val="2"/>
      </rPr>
      <t xml:space="preserve">(credencial de elector en los casos que aplique, contraer matrimonio, registro de nacimiento de hijas y/ o hijos, etc.) </t>
    </r>
  </si>
  <si>
    <t>Suministro de alimentos a las personas adolescentes internadas</t>
  </si>
  <si>
    <r>
      <t xml:space="preserve">Otra función, atribución o servicio </t>
    </r>
    <r>
      <rPr>
        <i/>
        <sz val="8"/>
        <rFont val="Arial"/>
        <family val="2"/>
      </rPr>
      <t>(especifique)</t>
    </r>
  </si>
  <si>
    <t>VI.2 Donaciones</t>
  </si>
  <si>
    <r>
      <t xml:space="preserve">1.- </t>
    </r>
    <r>
      <rPr>
        <b/>
        <i/>
        <sz val="8"/>
        <rFont val="Arial"/>
        <family val="2"/>
      </rPr>
      <t>Donación.</t>
    </r>
    <r>
      <rPr>
        <i/>
        <sz val="8"/>
        <rFont val="Arial"/>
        <family val="2"/>
      </rPr>
      <t xml:space="preserve"> Se refiere, en términos del presente censo, al contrato por el que una persona física o moral transfiere gratuitamente a determinado ente público la propiedad de bienes materiales, bienes inmuebles, dinero o la prestación de servicios (médicos, logísticos, profesionales, culturales, educativos, etc.) relacionados con el ejercicio de sus funciones.</t>
    </r>
  </si>
  <si>
    <t>6.3.-</t>
  </si>
  <si>
    <t xml:space="preserve">Indique, por cada uno de los centros especializados de su entidad federativa, si durante el año 2023 recibió donaciones monetarias para el ejercicio de sus funciones. En caso afirmativo, anote el valor monetario de las donaciones recibidas durante el referido año, según tipo de institución donadora; utilizando para tal efecto el catálogo que se presenta en la parte inferior de la siguiente tabla. </t>
  </si>
  <si>
    <t>En caso de que determinado centro especializado no haya recibido donaciones monetarias para el ejercicio de sus funciones, o no cuente con información para determinarlo, indíquelo en la columna correspondiente conforme al catálogo respectivo y deje el resto de la fila en blanco.</t>
  </si>
  <si>
    <t>La suma de las cantidades registradas en la columna "Total" debe ser igual o menor a la cantidad reportada como respuesta en el numeral 3 de la pregunta 4.1. En caso de que esta instrucción no le aplique, justifíquelo en el recuadro que se encuentra al final del catálogo de respuesta.</t>
  </si>
  <si>
    <t>Para cada centro especializado, la cantidad registrada en la columna "Total" debe ser igual o menor a la cantidad reportada como respuesta en la pregunta 4.2. En caso de que esta instrucción no le aplique, justifíquelo en el recuadro que se encuentra al final del catálogo de respuesta.</t>
  </si>
  <si>
    <t>En caso de que registre algún valor numérico mayor a cero en la columna 17 del apartado "Valor monetario de las donaciones recibidas, según tipo de institución", debe anotar el nombre de dicho(s) tipo(s) de institución(es) en el recuadro destinado para tal efecto que se encuentra al final de la tabla de respuesta.</t>
  </si>
  <si>
    <r>
      <t xml:space="preserve">¿Recibió donaciones monetarias para el ejercicio de sus funciones?
</t>
    </r>
    <r>
      <rPr>
        <i/>
        <sz val="8"/>
        <rFont val="Arial"/>
        <family val="2"/>
      </rPr>
      <t>(1. Sí / 2. No / 9. No identificado)</t>
    </r>
  </si>
  <si>
    <r>
      <t xml:space="preserve">Valor monetario de las donaciones recibidas, según tipo de institución
</t>
    </r>
    <r>
      <rPr>
        <i/>
        <sz val="8"/>
        <rFont val="Arial"/>
        <family val="2"/>
      </rPr>
      <t>(ver catálogo)</t>
    </r>
  </si>
  <si>
    <t>COMP_4.1</t>
  </si>
  <si>
    <t>COMP_4.2</t>
  </si>
  <si>
    <t>COD_17</t>
  </si>
  <si>
    <t>BLOQUEO_  PREG_6.3</t>
  </si>
  <si>
    <r>
      <t xml:space="preserve">Otro tipo: 
</t>
    </r>
    <r>
      <rPr>
        <i/>
        <sz val="8"/>
        <rFont val="Arial"/>
        <family val="2"/>
      </rPr>
      <t>(especifique</t>
    </r>
    <r>
      <rPr>
        <sz val="8"/>
        <rFont val="Arial"/>
        <family val="2"/>
      </rPr>
      <t>)</t>
    </r>
  </si>
  <si>
    <t>Catálogo de tipo de instituciones</t>
  </si>
  <si>
    <t>Instituciones del Poder Ejecutivo Federal</t>
  </si>
  <si>
    <t>Fiscalía General o Procuraduría General de Justicia de la entidad federativa u otras entidades federativas</t>
  </si>
  <si>
    <t>Instituciones del Poder Legislativo Federal</t>
  </si>
  <si>
    <t xml:space="preserve">Instituciones del Poder Ejecutivo de los municipios o demarcaciones territoriales de la entidad federativa u otras entidades federativas </t>
  </si>
  <si>
    <t>Instituciones del Poder Judicial Federal</t>
  </si>
  <si>
    <t>Organismos internacionales</t>
  </si>
  <si>
    <r>
      <t xml:space="preserve">Órganos constitucionales autónomos federales </t>
    </r>
    <r>
      <rPr>
        <i/>
        <sz val="8"/>
        <rFont val="Arial"/>
        <family val="2"/>
      </rPr>
      <t>(sin incluir a la Fiscalía General de la República)</t>
    </r>
  </si>
  <si>
    <t>Organizaciones de la sociedad civil</t>
  </si>
  <si>
    <t>Universidades o instituciones académicas</t>
  </si>
  <si>
    <r>
      <t xml:space="preserve">Instituciones del Poder Ejecutivo de la entidad federativa u otras entidades federativas </t>
    </r>
    <r>
      <rPr>
        <i/>
        <sz val="8"/>
        <rFont val="Arial"/>
        <family val="2"/>
      </rPr>
      <t>(sin incluir a las procuradurías generales de justicia que dependan del Poder Ejecutivo)</t>
    </r>
  </si>
  <si>
    <t>Asociaciones religiosas, culturales o humanitarias</t>
  </si>
  <si>
    <t>Instituciones del Poder Legislativo de la entidad federativa u otras entidades federativas</t>
  </si>
  <si>
    <t>Organizaciones del sector privado</t>
  </si>
  <si>
    <t>Instituciones del Poder Judicial de la entidad federativa u otras entidades federativas</t>
  </si>
  <si>
    <r>
      <t>Órganos constitucionales autónomos de la entidad federativa u otras entidades federativas</t>
    </r>
    <r>
      <rPr>
        <i/>
        <sz val="8"/>
        <rFont val="Arial"/>
        <family val="2"/>
      </rPr>
      <t xml:space="preserve"> (sin incluir a las fiscalías generales con autonomía constitucional)</t>
    </r>
  </si>
  <si>
    <t>6.4.-</t>
  </si>
  <si>
    <t xml:space="preserve">Indique, por cada uno de los centros especializados de su entidad federativa, si durante el año 2023 recibió donaciones de bienes materiales para el ejercicio de sus funciones. En caso afirmativo, señale el tipo de bienes materiales que les fueron donados durante el referido año; utilizando para tal efecto el catálogo que se presenta en la parte inferior de la siguiente tabla. </t>
  </si>
  <si>
    <t>En caso de que determinado centro especializado no haya recibido donaciones de bienes materiales para el ejercicio de sus funciones, o no cuente con información para determinarlo, indíquelo en la columna correspondiente conforme al catálogo respectivo y deje el resto de la fila en blanco.</t>
  </si>
  <si>
    <t>Para cada centro especializado, seleccione con una "X" el o los tipos de bienes materiales donados que correspondan.</t>
  </si>
  <si>
    <t>En caso de que seleccione el código "24" en el apartado "Tipo de bienes materiales donados", debe anotar el nombre de dicho(s) tipo(s) de bienes materiales en el recuadro destinado para tal efecto que se encuentra al final de la tabla de respuesta.</t>
  </si>
  <si>
    <r>
      <t xml:space="preserve">¿Recibió donaciones de bienes materiales para el ejercicio de sus funciones?
</t>
    </r>
    <r>
      <rPr>
        <i/>
        <sz val="8"/>
        <rFont val="Arial"/>
        <family val="2"/>
      </rPr>
      <t>(1. Sí / 2. No / 9. No identificado)</t>
    </r>
  </si>
  <si>
    <r>
      <t xml:space="preserve">Tipo de bienes materiales donados
</t>
    </r>
    <r>
      <rPr>
        <i/>
        <sz val="8"/>
        <rFont val="Arial"/>
        <family val="2"/>
      </rPr>
      <t>(ver catálogo)</t>
    </r>
  </si>
  <si>
    <t>BLOQUEO_  PREG_6.4</t>
  </si>
  <si>
    <t>Catálogo de tipo de bienes materiales donados</t>
  </si>
  <si>
    <t>VI.3 Marco regulatorio</t>
  </si>
  <si>
    <t xml:space="preserve">1.- Debe considerar los protocolos aplicados por los centros especializados de la entidad federativa al cierre del año, independientemente de la instancia o autoridad que los haya emitido. </t>
  </si>
  <si>
    <t>6.5.-</t>
  </si>
  <si>
    <t>Indique si al cierre del año 2023 los centros especializados de su entidad federativa aplicaban algún protocolo para garantizar las condiciones de internamiento dignas y seguras de las personas adolescentes internadas y la seguridad y bienestar del personal y otras personas. En caso afirmativo, anote el total de protocolos que aplicaban al cierre del referido año.</t>
  </si>
  <si>
    <t>En caso de que no hayan aplicado algún protocolo para garantizar las condiciones de internamiento dignas y seguras de las personas adolescentes internadas y la seguridad y bienestar del personal y otras personas, o no cuente con información para determinarlo, indíquelo en la columna correspondiente conforme al catálogo respectivo y deje el resto de la fila en blanco.</t>
  </si>
  <si>
    <r>
      <t xml:space="preserve">¿Aplicaban algún protocolo para garantizar las condiciones de internamiento dignas y seguras de las personas adolescentes internadas y la seguridad y bienestar del personal y otras personas?
</t>
    </r>
    <r>
      <rPr>
        <i/>
        <sz val="8"/>
        <rFont val="Arial"/>
        <family val="2"/>
      </rPr>
      <t>(1. Sí / 2. No / 9. No identificado)</t>
    </r>
  </si>
  <si>
    <t>Protocolos</t>
  </si>
  <si>
    <t>BLOQUEO_  PREG_6.5</t>
  </si>
  <si>
    <t>6.6.-</t>
  </si>
  <si>
    <t xml:space="preserve">Anote el nombre de cada uno de los protocolos que aplicaban los centros especializados de su entidad federativa al cierre del año 2023 para garantizar las condiciones de internamiento dignas y seguras de las personas adolescentes internadas y la seguridad y bienestar del personal y otras personas. Por cada uno de estos, anote el total de centros especializados que lo aplicaban, y señale el tema o asunto principal que regula y, de ser el caso, el o los temas o asuntos secundarios regulados; utilizando para tal efecto el catálogo que se presenta en la parte inferior de la siguiente tabla. De igual forma, anote la fecha de su publicación, la fecha de su última actualización y el lugar donde se encuentra disponible o, en su defecto, la no disponibilidad del mismo. </t>
  </si>
  <si>
    <t>En caso de que haya seleccionado el código "2" o "9" en la columna "¿Aplicaban algún protocolo para garantizar las condiciones de internamiento dignas y seguras de las personas adolescentes internadas y la seguridad y bienestar del personal y otras personas?" de la pregunta anterior, no puede registrar información en el presente reactivo.</t>
  </si>
  <si>
    <t>El nombre de los protocolos debe registrarse en mayúsculas, sin comillas ni signos de acentuación, puntuación, paréntesis y abreviaturas.</t>
  </si>
  <si>
    <t>Para cada protocolo, la cantidad registrada en la columna "Centros especializados que aplicaban el protocolo" debe ser igual o menor a la cantidad reportada como respuesta en el recuadro "Total de centros especializados" de la pregunta 1.1.</t>
  </si>
  <si>
    <t>En caso de que determinado protocolo regule dos o más temas o asuntos establecidos en el catálogo correspondiente, en la columna "Principal" debe seleccionar el código del tema o asunto que regule de forma directa y/ o se encuentre de forma explícita en su objeto; mientras que el resto debe seleccionarlos en las columnas "Secundario(s)", iniciando de izquierda a derecha.</t>
  </si>
  <si>
    <t>En caso de que determinado protocolo no se haya publicado a través de algún medio oficial, en el apartado "Fecha de publicación" anote la fecha de expedición o elaboración del mismo. De ser este el caso, explique dicha situación en el recuadro que se encuentra en la parte inferior del catálogo de respuesta.</t>
  </si>
  <si>
    <t>En caso de que determinado protocolo no se haya actualizado desde su publicación, anote una "X" en la columna "No se ha actualizado" y deje el resto de las columnas del apartado "Fecha de última actualización" en blanco.</t>
  </si>
  <si>
    <t>Para cada protocolo, y de ser el caso, la fecha registrada en la columna "Fecha de última actualización" debe ser posterior a la reportada en la columna "Fecha de publicación". En caso de que esta instrucción no le aplique, justifíquelo en el recuadro que se encuentra al final del catálogo de respuesta.</t>
  </si>
  <si>
    <t>En caso de que determinado protocolo no se encuentre disponible en línea, en la columna "Sitio donde se encuentra disponible (URL)" anote "NA" (No aplica).</t>
  </si>
  <si>
    <t xml:space="preserve">La cantidad de protocolos que registre debe ser igual a la cantidad reportada como respuesta en la columna "Protocolos" de la pregunta anterior. </t>
  </si>
  <si>
    <t>En caso de que seleccione el código "26" en alguna de las columnas del apartado "Tema o asunto regulado", debe anotar el nombre de dicho(s) tema(s) o asunto(s) en el recuadro destinado para tal efecto que se encuentra al final de la tabla de respuesta.</t>
  </si>
  <si>
    <t>Nombre de los protocolos</t>
  </si>
  <si>
    <t>Centros especializados que aplicaban el protocolo</t>
  </si>
  <si>
    <r>
      <t xml:space="preserve">Tema o asunto regulado
</t>
    </r>
    <r>
      <rPr>
        <i/>
        <sz val="8"/>
        <rFont val="Arial"/>
        <family val="2"/>
      </rPr>
      <t>(ver catálogo)</t>
    </r>
  </si>
  <si>
    <t xml:space="preserve">Fecha de publicación </t>
  </si>
  <si>
    <t>Fecha de última actualización</t>
  </si>
  <si>
    <t>FECHA DE PUBLICACIÓN</t>
  </si>
  <si>
    <t>FECHA DE LA ULTIMA ACTUALIZACION</t>
  </si>
  <si>
    <t>Principal</t>
  </si>
  <si>
    <t>Secundario(s)</t>
  </si>
  <si>
    <r>
      <t xml:space="preserve">Día 
</t>
    </r>
    <r>
      <rPr>
        <i/>
        <sz val="8"/>
        <rFont val="Arial"/>
        <family val="2"/>
      </rPr>
      <t>(dd)</t>
    </r>
  </si>
  <si>
    <r>
      <t xml:space="preserve">Mes 
</t>
    </r>
    <r>
      <rPr>
        <i/>
        <sz val="8"/>
        <rFont val="Arial"/>
        <family val="2"/>
      </rPr>
      <t>(mm)</t>
    </r>
  </si>
  <si>
    <r>
      <t xml:space="preserve">Año
</t>
    </r>
    <r>
      <rPr>
        <i/>
        <sz val="8"/>
        <rFont val="Arial"/>
        <family val="2"/>
      </rPr>
      <t>(aaaa)</t>
    </r>
  </si>
  <si>
    <t>No se ha actualizado</t>
  </si>
  <si>
    <t>PROTOCOLOS</t>
  </si>
  <si>
    <t>COL.PRINCIPAL</t>
  </si>
  <si>
    <t>BLOQUEO_ ACTUALIZACION</t>
  </si>
  <si>
    <t>COMP_FECHAS</t>
  </si>
  <si>
    <t>DIA</t>
  </si>
  <si>
    <t>VAL_DIA</t>
  </si>
  <si>
    <t>MES</t>
  </si>
  <si>
    <t>VAL_MES</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</si>
  <si>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</si>
  <si>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</si>
  <si>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</si>
  <si>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</si>
  <si>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</si>
  <si>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</si>
  <si>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</si>
  <si>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</si>
  <si>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</si>
  <si>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</si>
  <si>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</si>
  <si>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</si>
  <si>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</si>
  <si>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</si>
  <si>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</si>
  <si>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</si>
  <si>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</si>
  <si>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</si>
  <si>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</si>
  <si>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</si>
  <si>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</si>
  <si>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</si>
  <si>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</si>
  <si>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</si>
  <si>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</si>
  <si>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</si>
  <si>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</si>
  <si>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</si>
  <si>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</si>
  <si>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</si>
  <si>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</si>
  <si>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</si>
  <si>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</si>
  <si>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</si>
  <si>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</si>
  <si>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</si>
  <si>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</si>
  <si>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</si>
  <si>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</si>
  <si>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</si>
  <si>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</si>
  <si>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</si>
  <si>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</si>
  <si>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</si>
  <si>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</si>
  <si>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</si>
  <si>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</si>
  <si>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</si>
  <si>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100.</t>
  </si>
  <si>
    <r>
      <rPr>
        <sz val="9"/>
        <rFont val="Arial"/>
        <family val="2"/>
      </rPr>
      <t>Otro tema o asunto:</t>
    </r>
    <r>
      <rPr>
        <i/>
        <sz val="8"/>
        <rFont val="Arial"/>
        <family val="2"/>
      </rPr>
      <t xml:space="preserve"> (especifique)</t>
    </r>
  </si>
  <si>
    <t>Catálogo de temas o asuntos regulados</t>
  </si>
  <si>
    <r>
      <t xml:space="preserve">Protección civil </t>
    </r>
    <r>
      <rPr>
        <i/>
        <sz val="8"/>
        <rFont val="Arial"/>
        <family val="2"/>
      </rPr>
      <t>(sismos, incendios, emergencias químicas radioactivas, etc.)</t>
    </r>
  </si>
  <si>
    <t>Visitas y entrevistas con las personas defensoras</t>
  </si>
  <si>
    <t>Ingreso o egreso de las personas adolescentes internadas</t>
  </si>
  <si>
    <t>Actuación en casos que involucren personas adolescentes internadas pertenecientes a pueblos y comunidades indígenas</t>
  </si>
  <si>
    <t>Capacitación en materia de derechos humanos para el personal</t>
  </si>
  <si>
    <t xml:space="preserve">Tratamiento de adicciones </t>
  </si>
  <si>
    <t xml:space="preserve">Uso de la fuerza </t>
  </si>
  <si>
    <r>
      <t xml:space="preserve">Comunicación con servicios consulares </t>
    </r>
    <r>
      <rPr>
        <i/>
        <sz val="8"/>
        <rFont val="Arial"/>
        <family val="2"/>
      </rPr>
      <t>(para personas adolescentes internadas extranjeras)</t>
    </r>
  </si>
  <si>
    <r>
      <t xml:space="preserve">Manejo de incidentes en los centros especializados </t>
    </r>
    <r>
      <rPr>
        <i/>
        <sz val="8"/>
        <rFont val="Arial"/>
        <family val="2"/>
      </rPr>
      <t>(intentos de fuga o evasión, motines, riñas, etc.)</t>
    </r>
  </si>
  <si>
    <t xml:space="preserve">Trabajo social </t>
  </si>
  <si>
    <t xml:space="preserve">Revisiones a personas visitantes y otras personas que ingresen a los centros especializados </t>
  </si>
  <si>
    <t xml:space="preserve">Prevención de agresiones sexuales y de suicidios </t>
  </si>
  <si>
    <t>Revisión de las personas adolescentes internadas</t>
  </si>
  <si>
    <r>
      <t xml:space="preserve">Traslados </t>
    </r>
    <r>
      <rPr>
        <i/>
        <sz val="8"/>
        <rFont val="Arial"/>
        <family val="2"/>
      </rPr>
      <t>(sin incluir urgencias médicas y traslado a hospitales, ni notificaciones, citatorios y práctica de diligencias judiciales)</t>
    </r>
  </si>
  <si>
    <t xml:space="preserve">Revisión del personal </t>
  </si>
  <si>
    <t>Solicitud de audiencias, presentación de quejas y formulación de demandas</t>
  </si>
  <si>
    <t>Resguardo de personas adolescentes internadas en situación de especial vulnerabilidad</t>
  </si>
  <si>
    <t>Notificaciones, citatorios y práctica de diligencias judiciales</t>
  </si>
  <si>
    <t>Ejecución de la sanción de aislamiento temporal</t>
  </si>
  <si>
    <t>Urgencias médicas y traslado a hospitales</t>
  </si>
  <si>
    <t>Cadena de custodia de objetos relacionados con una probable causa penal o procedimiento de responsabilidad administrativa</t>
  </si>
  <si>
    <t>Emergencias sanitarias</t>
  </si>
  <si>
    <t>Trato respecto del procedimiento para hijas e hijos que vivan en los centros con sus madres adolescentes internadas</t>
  </si>
  <si>
    <t>Prevención de la tortura y/ o tratos crueles, inhumanos o degradantes a las personas adolescentes internadas</t>
  </si>
  <si>
    <t>Clasificación de áreas</t>
  </si>
  <si>
    <r>
      <t xml:space="preserve">Otro tema o asunto </t>
    </r>
    <r>
      <rPr>
        <i/>
        <sz val="8"/>
        <rFont val="Arial"/>
        <family val="2"/>
      </rPr>
      <t>(especifique)</t>
    </r>
  </si>
  <si>
    <r>
      <t xml:space="preserve">1.- Periodo de referencia de los datos: 
</t>
    </r>
    <r>
      <rPr>
        <b/>
        <i/>
        <sz val="8"/>
        <rFont val="Arial"/>
        <family val="2"/>
      </rPr>
      <t xml:space="preserve">Durante el año: </t>
    </r>
    <r>
      <rPr>
        <i/>
        <sz val="8"/>
        <rFont val="Arial"/>
        <family val="2"/>
      </rPr>
      <t>la información se refiere a lo existente del 01 de enero al 31 de diciembre de 2023.</t>
    </r>
  </si>
  <si>
    <t xml:space="preserve">6.- Debe considerar la información relacionada con la totalidad de los ingresos a los centros especializados de la entidad federativa que tuvieron lugar durante el año, independientemente de que las personas adolescentes hayan sido las mismas. </t>
  </si>
  <si>
    <t>7.- No debe considerar a las personas adolescentes que se encontraban en tratamiento externo, toda vez que dicha información se requiere en la subsección XI.1.</t>
  </si>
  <si>
    <r>
      <t xml:space="preserve">1.- </t>
    </r>
    <r>
      <rPr>
        <b/>
        <i/>
        <sz val="8"/>
        <rFont val="Arial"/>
        <family val="2"/>
      </rPr>
      <t xml:space="preserve">Antecedentes penales. </t>
    </r>
    <r>
      <rPr>
        <i/>
        <sz val="8"/>
        <rFont val="Arial"/>
        <family val="2"/>
      </rPr>
      <t>Se refiere a los datos o registros asociados a una persona adolescente que haya sido sancionada con una medida privativa de la libertad a través de resoluciones dictadas por autoridades judiciales que hayan causado ejecutoria.</t>
    </r>
  </si>
  <si>
    <r>
      <t xml:space="preserve">2.- </t>
    </r>
    <r>
      <rPr>
        <b/>
        <i/>
        <sz val="8"/>
        <rFont val="Arial"/>
        <family val="2"/>
      </rPr>
      <t xml:space="preserve">Internamiento. </t>
    </r>
    <r>
      <rPr>
        <i/>
        <sz val="8"/>
        <rFont val="Arial"/>
        <family val="2"/>
      </rPr>
      <t>Se refiere a la medida de sanción consistente en la privación de la libertad de la persona adolescente.</t>
    </r>
  </si>
  <si>
    <r>
      <t xml:space="preserve">3.- </t>
    </r>
    <r>
      <rPr>
        <b/>
        <i/>
        <sz val="8"/>
        <rFont val="Arial"/>
        <family val="2"/>
      </rPr>
      <t>Medida cautelar de internamiento preventivo.</t>
    </r>
    <r>
      <rPr>
        <i/>
        <sz val="8"/>
        <rFont val="Arial"/>
        <family val="2"/>
      </rPr>
      <t xml:space="preserve"> Se refiere a la medida cautelar impuesta por la autoridad judicial correspondiente cuando se logra demostrar que la libertad de la persona adolescente señalada como probable responsable pone en riesgo al proceso, a las víctimas y/ o a las personas testigos, siendo la única forma de salvaguardar a los mismos. Solo puede imponerse a las personas adolescentes mayores de 14 años y se justifica a través del análisis de cada caso, aplica para cualquier delito, y se puede revisar o quitar si las circunstancias se modifican.</t>
    </r>
  </si>
  <si>
    <r>
      <t xml:space="preserve">4.- </t>
    </r>
    <r>
      <rPr>
        <b/>
        <i/>
        <sz val="8"/>
        <rFont val="Arial"/>
        <family val="2"/>
      </rPr>
      <t xml:space="preserve">Reingresos. </t>
    </r>
    <r>
      <rPr>
        <i/>
        <sz val="8"/>
        <rFont val="Arial"/>
        <family val="2"/>
      </rPr>
      <t>Se refiere a todas aquellas personas adolescentes que hayan ingresado más de una vez a los centros especializados por la comisión del mismo delito u otro distinto al cometido por primera vez.</t>
    </r>
  </si>
  <si>
    <t>VII.1 Actualización del Registro Nacional de Detenciones</t>
  </si>
  <si>
    <r>
      <t xml:space="preserve">1.- </t>
    </r>
    <r>
      <rPr>
        <b/>
        <i/>
        <sz val="8"/>
        <rFont val="Arial"/>
        <family val="2"/>
      </rPr>
      <t>Registro Nacional de Detenciones.</t>
    </r>
    <r>
      <rPr>
        <i/>
        <sz val="8"/>
        <rFont val="Arial"/>
        <family val="2"/>
      </rPr>
      <t xml:space="preserve"> Se refiere a la base de datos que concentra la información a nivel nacional sobre las personas detenidas, conforme a las facultades de las autoridades durante las etapas del procedimiento penal o administrativo sancionador.</t>
    </r>
  </si>
  <si>
    <t>7.1.-</t>
  </si>
  <si>
    <t>Indique, por cada uno de los centros especializados de su entidad federativa, si durante el año 2023 se realizó la actualización del Registro Nacional de Detenciones al momento del ingreso de las personas adolescentes internadas.</t>
  </si>
  <si>
    <t>BEST M2</t>
  </si>
  <si>
    <t>FEED-BACK ENTIDADES</t>
  </si>
  <si>
    <r>
      <t xml:space="preserve">¿Se realizó la actualización del Registro Nacional de Detenciones al momento del ingreso de las personas adolescentes internadas?
</t>
    </r>
    <r>
      <rPr>
        <i/>
        <sz val="8"/>
        <rFont val="Arial"/>
        <family val="2"/>
      </rPr>
      <t>(1. Sí / 2. No / 9. No identificado)</t>
    </r>
  </si>
  <si>
    <t>VII.2 Características de las personas adolescentes ingresadas</t>
  </si>
  <si>
    <t>1.- Para cada centro especializado, en caso de que la cantidad que reporte como respuesta en la columna "Total" de la pregunta 7.2 no sea un dato numérico mayor a cero, no puede registrar información en los reactivos 7.4, 7.5, 7.6, 7.12, 7.13, 7.14, 7.16 y 7.18.</t>
  </si>
  <si>
    <t>2.- En caso de que la suma de las cantidades que reporte como respuesta en la columna "Total" de la pregunta 7.2 no sea un dato numérico mayor a cero, no puede registrar información en los reactivos 7.7, 7.8, 7.9, 7.10 y 7.11.</t>
  </si>
  <si>
    <t>3.- Para cada centro especializado, la cantidad registrada en la columna "Total" de las preguntas 7.4, 7.5, 7.6, 7.12, 7.13, 7.14, 7.16 y 7.18 debe ser igual a la cantidad reportada como respuesta en la columna "Total" de la pregunta 7.2, así como corresponder a su desagregación por sexo.</t>
  </si>
  <si>
    <t>4.- Para las preguntas 7.7, 7.8, 7.9, 7.10 y 7.11, la suma de las cantidades registradas en la columna "Total" debe ser igual a la suma de las cantidades reportadas como respuesta en la columna "Total" de la pregunta 7.2, así como corresponder a su desagregación por sexo.</t>
  </si>
  <si>
    <t>7.2.-</t>
  </si>
  <si>
    <t>Anote, por cada uno de los centros especializados de su entidad federativa, la cantidad de personas adolescentes ingresadas durante el año 2023, según sexo.</t>
  </si>
  <si>
    <t>No debe considerar a las personas adolescentes ingresadas por traslado provenientes de algún otro centro especializado, tanto nacional como internacional; toda vez que dicha información se requiere en el reactivo siguiente.</t>
  </si>
  <si>
    <t>Personas adolescentes ingresadas a los centros especializados, según sexo</t>
  </si>
  <si>
    <t>COMPARA</t>
  </si>
  <si>
    <t>7.3.-</t>
  </si>
  <si>
    <t>Anote, por cada uno de los centros especializados de su entidad federativa, la cantidad de personas adolescentes ingresadas durante el año 2023 por traslado de algún otro centro especializado, según fuero del delito cometido y sexo.</t>
  </si>
  <si>
    <t>Únicamente debe registrar información en caso de que en su entidad federativa se considere como ingreso la variable de traslado de algún otro centro especializado, tanto nacional como internacional.</t>
  </si>
  <si>
    <t>En el apartado "Delitos del fuero común y delitos del fuero federal" debe considerar a aquellas personas adolescentes ingresadas por traslado a los centros especializados de su entidad federativa derivado de la comisión de delitos tanto del fuero común como del fuero federal, ello en el supuesto de que una persona adolescente pudo haber sido ingresada por la comisión de delitos de ambos fueros.</t>
  </si>
  <si>
    <t>Personas adolescentes ingresadas por traslado a los centros especializados, según fuero del delito cometido y sexo</t>
  </si>
  <si>
    <t xml:space="preserve">Delitos del fuero común </t>
  </si>
  <si>
    <t>Delitos del fuero federal</t>
  </si>
  <si>
    <t>Delitos del fuero común y delitos del fuero federal</t>
  </si>
  <si>
    <t>NS 1</t>
  </si>
  <si>
    <t>NS 2</t>
  </si>
  <si>
    <t>NS 3</t>
  </si>
  <si>
    <t>NS 4</t>
  </si>
  <si>
    <t>7.4.-</t>
  </si>
  <si>
    <t>De acuerdo con el total de personas adolescentes ingresadas que reportó como respuesta en la pregunta 7.2, anote, por cada uno de los centros especializados de su entidad federativa, la cantidad de las mismas especificando el fuero del delito cometido y sexo.</t>
  </si>
  <si>
    <t>En el apartado "Delitos del fuero común y delitos del fuero federal" debe considerar a aquellas personas adolescentes ingresadas a los centros especializados de su entidad federativa derivado de la comisión de delitos tanto del fuero común como del fuero federal, ello en el supuesto de que una persona adolescente pudo haber cometido delitos de ambos fueros.</t>
  </si>
  <si>
    <t>Personas adolescentes ingresadas a los centros especializados, según fuero del delito cometido y sexo</t>
  </si>
  <si>
    <t>BLA GRI FILA</t>
  </si>
  <si>
    <t>IGUAL H M</t>
  </si>
  <si>
    <t>7.5.-</t>
  </si>
  <si>
    <t>De acuerdo con el total de personas adolescentes ingresadas que reportó como respuesta en la pregunta 7.2, anote, por cada uno de los centros especializados de su entidad federativa, la cantidad de las mismas especificando su tipo de ingreso y sexo.</t>
  </si>
  <si>
    <t>Personas adolescentes ingresadas a los centros especializados, según tipo de ingreso y sexo</t>
  </si>
  <si>
    <t>Primera vez</t>
  </si>
  <si>
    <t>Reingresos</t>
  </si>
  <si>
    <t>7.6.-</t>
  </si>
  <si>
    <t>De acuerdo con el total de personas adolescentes ingresadas que reportó como respuesta en la pregunta 7.2, anote, por cada uno de los centros especializados de su entidad federativa, la cantidad de las mismas especificando su estatus jurídico y sexo.</t>
  </si>
  <si>
    <t>Personas adolescentes ingresadas a los centros especializados, según estatus jurídico y sexo</t>
  </si>
  <si>
    <t>Medida cautelar de internamiento preventivo</t>
  </si>
  <si>
    <t>Internamiento</t>
  </si>
  <si>
    <t>Semi-internamiento o internamiento en tiempo libre</t>
  </si>
  <si>
    <t>7.7.-</t>
  </si>
  <si>
    <t>De acuerdo con el total de personas adolescentes ingresadas que reportó como respuesta en la pregunta 7.2, anote la cantidad de las mismas especificando su edad y sexo.</t>
  </si>
  <si>
    <t>Debe considerar los años cumplidos de las personas adolescentes al momento de su ingreso a los centros especializados.</t>
  </si>
  <si>
    <t>En el numeral 7 debe considerar a las personas adultas jóvenes que al momento de su ingreso a los centros especializados hayan tenido 18 años o más.</t>
  </si>
  <si>
    <t>Edad</t>
  </si>
  <si>
    <t>BLAN GRIS</t>
  </si>
  <si>
    <t>12 años</t>
  </si>
  <si>
    <t>13 años</t>
  </si>
  <si>
    <t>14 años</t>
  </si>
  <si>
    <t>15 años</t>
  </si>
  <si>
    <t>16 años</t>
  </si>
  <si>
    <t>17 años</t>
  </si>
  <si>
    <t>18 años o más</t>
  </si>
  <si>
    <t>7.8.-</t>
  </si>
  <si>
    <t xml:space="preserve">De acuerdo con el total de personas adolescentes ingresadas que reportó como respuesta en la pregunta 7.2, anote la cantidad de las mismas especificando su nivel de escolaridad y sexo. </t>
  </si>
  <si>
    <t>Debe considerar el grado máximo de estudios del que hayan cursado todos los años las personas adolescentes al momento de su ingreso a los centros especializados, independientemente de que se cuente con el certificado o título del mismo.</t>
  </si>
  <si>
    <t>Nivel de escolaridad</t>
  </si>
  <si>
    <t>7.9.-</t>
  </si>
  <si>
    <t>De acuerdo con el total de personas adolescentes ingresadas que reportó como respuesta en la pregunta 7.2, anote la cantidad de las mismas especificando su nacionalidad y sexo.</t>
  </si>
  <si>
    <t>Nacionalidad</t>
  </si>
  <si>
    <t>Mexicana</t>
  </si>
  <si>
    <t>Estadounidense</t>
  </si>
  <si>
    <t>Canadiense</t>
  </si>
  <si>
    <t>Beliceña</t>
  </si>
  <si>
    <t>Costarricense</t>
  </si>
  <si>
    <t>Guatemalteca</t>
  </si>
  <si>
    <t>Hondureña</t>
  </si>
  <si>
    <t>Nicaragüense</t>
  </si>
  <si>
    <t>Panameña</t>
  </si>
  <si>
    <t>Salvadoreña</t>
  </si>
  <si>
    <t>Argentina</t>
  </si>
  <si>
    <t>Brasileña</t>
  </si>
  <si>
    <t>Colombiana</t>
  </si>
  <si>
    <r>
      <t xml:space="preserve">Otras nacionalidades sudamericanas </t>
    </r>
    <r>
      <rPr>
        <i/>
        <sz val="8"/>
        <rFont val="Arial"/>
        <family val="2"/>
      </rPr>
      <t>(distintas a las tres anteriores)</t>
    </r>
  </si>
  <si>
    <t>De algún país caribeño*</t>
  </si>
  <si>
    <t>De algún país europeo</t>
  </si>
  <si>
    <t>De algún país asiático</t>
  </si>
  <si>
    <t>De algún país africano</t>
  </si>
  <si>
    <t>De algún país oceánico</t>
  </si>
  <si>
    <t>* En este apartado se deben incluir los países de Cuba, Puerto Rico, República Dominicana, Haití, Martinica, San Vicente, Granada, Barbados y otros que formen parte de la región del Caribe.</t>
  </si>
  <si>
    <t>7.10.-</t>
  </si>
  <si>
    <t>De acuerdo con el total de personas adolescentes ingresadas que reportó como respuesta en la pregunta 7.2, anote la cantidad de las mismas especificando su lugar de residencia habitual y sexo.</t>
  </si>
  <si>
    <t>Lugar de residencia habitual</t>
  </si>
  <si>
    <t>Esta entidad federativa</t>
  </si>
  <si>
    <t>Otra entidad federativa</t>
  </si>
  <si>
    <t>Estados Unidos de América</t>
  </si>
  <si>
    <t>Canadá</t>
  </si>
  <si>
    <t>Algún país centroamericano</t>
  </si>
  <si>
    <t>Algún país sudamericano</t>
  </si>
  <si>
    <t>Algún país caribeño*</t>
  </si>
  <si>
    <t>Algún país europeo</t>
  </si>
  <si>
    <t>Algún país asiático</t>
  </si>
  <si>
    <t>Algún país africano</t>
  </si>
  <si>
    <t>Algún país oceánico</t>
  </si>
  <si>
    <t>* En este apartado se deben incluir los países de Cuba, Puerto Rico, República Dominicana, Haití, Martinica, San Vicente, Granada, Barbados y otros que formen parte de la región del Caribe</t>
  </si>
  <si>
    <t>7.11.-</t>
  </si>
  <si>
    <t>De acuerdo con el total de personas adolescentes ingresadas que reportó como respuesta en la pregunta 7.2, anote la cantidad de las mismas especificando su condición de ocupación y sexo.</t>
  </si>
  <si>
    <t>Condición de ocupación</t>
  </si>
  <si>
    <t>Se encontraba estudiando</t>
  </si>
  <si>
    <t>Se encontraba trabajando</t>
  </si>
  <si>
    <t>Se encontraba estudiando y trabajando</t>
  </si>
  <si>
    <t>No se encontraba estudiando ni trabajando</t>
  </si>
  <si>
    <t>7.12.-</t>
  </si>
  <si>
    <t>De acuerdo con el total de personas adolescentes ingresadas que reportó como respuesta en la pregunta 7.2, anote, por cada uno de los centros especializados de su entidad federativa, la cantidad de las mismas especificando su condición de alfabetismo y sexo.</t>
  </si>
  <si>
    <t>Personas adolescentes ingresadas a los centros especializados, según condición de alfabetismo y sexo</t>
  </si>
  <si>
    <t>Saben leer y escribir</t>
  </si>
  <si>
    <t>No saben leer ni escribir</t>
  </si>
  <si>
    <t>7.13.-</t>
  </si>
  <si>
    <t>De acuerdo con el total de personas adolescentes ingresadas que reportó como respuesta en la pregunta 7.2, anote, por cada uno de los centros especializados de su entidad federativa, la cantidad de las mismas especificando su condición de dominio del español y sexo.</t>
  </si>
  <si>
    <t>Personas adolescentes ingresadas a los centros especializados, según condición de dominio del español y sexo</t>
  </si>
  <si>
    <t>Hablan español</t>
  </si>
  <si>
    <t>No hablan español</t>
  </si>
  <si>
    <t>7.14.-</t>
  </si>
  <si>
    <t>De acuerdo con el total de personas adolescentes ingresadas que reportó como respuesta en la pregunta 7.2, anote, por cada uno de los centros especializados de su entidad federativa, la cantidad de las mismas especificando su condición de hablar alguna lengua indígena y sexo.</t>
  </si>
  <si>
    <t>Personas adolescentes ingresadas a los centros especializados, según condición de hablar alguna lengua indígena y sexo</t>
  </si>
  <si>
    <t>Hablan alguna lengua indígena</t>
  </si>
  <si>
    <t>No hablan alguna lengua indígena</t>
  </si>
  <si>
    <t>7.15.-</t>
  </si>
  <si>
    <t>De acuerdo con el total de personas adolescentes ingresadas que reportó como respuesta en el apartado "Hablan alguna lengua indígena" de la pregunta anterior, anote la cantidad de las mismas especificando la familia lingüística de la lengua indígena que hablan y sexo.</t>
  </si>
  <si>
    <t>En caso de que la suma de las cantidades reportadas como respuesta en la columna "Subtotal" del apartado "Hablan alguna lengua indígena" de la pregunta anterior no sea un dato numérico mayor a cero, no puede registrar información en el presente reactivo.</t>
  </si>
  <si>
    <t>El catálogo mostrado únicamente contempla el nivel familia lingüística, sin desagregar grupo y lengua. Una consulta más detallada puede encontrarse en: https://www.inegi.org.mx/contenidos/productos/prod_serv/contenidos/espanol/bvinegi/productos/nueva_estruc/702825197254.pdf</t>
  </si>
  <si>
    <t xml:space="preserve">La suma de las cantidades registradas en la columna "Total" debe ser igual o mayor a la suma de las cantidades reportadas como respuesta en la columna "Subtotal" del apartado "Hablan alguna lengua indígena" de la pregunta anterior, así como corresponder a su desagregación por sexo; toda vez que una persona adolescente ingresada puede hablar más de una lengua indígena de diferente familia lingüística. </t>
  </si>
  <si>
    <t>La cantidad registrada en la columna "Total" de cada familia lingüística debe ser igual o menor a la suma de las cantidades reportadas como respuesta en la columna "Subtotal" del apartado "Hablan alguna lengua indígena" de la pregunta anterior, así como corresponder a su desagregación por sexo. En caso de que esta instrucción no le aplique, justifíquelo en el recuadro que se encuentra al final de la tabla de respuesta.</t>
  </si>
  <si>
    <t>En caso de que registre algún valor numérico mayor a cero en el numeral 13, debe anotar el nombre de dicha(s) familia(s) lingüística(s) en el recuadro destinado para tal efecto que se encuentra al final de la tabla de respuesta.</t>
  </si>
  <si>
    <t>Familia lingüística</t>
  </si>
  <si>
    <t>Personas adolescentes ingresadas a los centros especializados que hablan alguna lengua indígena, según sexo</t>
  </si>
  <si>
    <t>GRIS ESP</t>
  </si>
  <si>
    <t>COMP. INS4</t>
  </si>
  <si>
    <t>COMP. INS3</t>
  </si>
  <si>
    <t>Hokana</t>
  </si>
  <si>
    <t>Chinanteca</t>
  </si>
  <si>
    <t>Otopame</t>
  </si>
  <si>
    <t>Oaxaqueña</t>
  </si>
  <si>
    <t>Huave</t>
  </si>
  <si>
    <t>Tlapaneca</t>
  </si>
  <si>
    <t>Totonaca</t>
  </si>
  <si>
    <t>Mixe-zoque</t>
  </si>
  <si>
    <t>Yutoazteca</t>
  </si>
  <si>
    <t>Tarasca</t>
  </si>
  <si>
    <t>Algonquina</t>
  </si>
  <si>
    <r>
      <t xml:space="preserve">Otra familia lingüística </t>
    </r>
    <r>
      <rPr>
        <i/>
        <sz val="8"/>
        <rFont val="Arial"/>
        <family val="2"/>
      </rPr>
      <t>(especifique)</t>
    </r>
  </si>
  <si>
    <r>
      <t xml:space="preserve">Otra familia lingüística:
</t>
    </r>
    <r>
      <rPr>
        <i/>
        <sz val="8"/>
        <rFont val="Arial"/>
        <family val="2"/>
      </rPr>
      <t>(especifique)</t>
    </r>
  </si>
  <si>
    <t>7.16.-</t>
  </si>
  <si>
    <t>De acuerdo con el total de personas adolescentes ingresadas que reportó como respuesta en la pregunta 7.2, anote, por cada uno de los centros especializados de su entidad federativa, la cantidad de las mismas especificando su condición de pertenencia a pueblo indígena y sexo.</t>
  </si>
  <si>
    <t>Personas adolescentes ingresadas a los centros especializados, según condición de pertenencia a pueblo indígena y sexo</t>
  </si>
  <si>
    <t xml:space="preserve">Pertenecen a pueblo indígena </t>
  </si>
  <si>
    <t>No pertenecen a pueblo indígena</t>
  </si>
  <si>
    <t>7.17.-</t>
  </si>
  <si>
    <t>De acuerdo con el total de personas adolescentes ingresadas que reportó como respuesta en el apartado “Pertenecen a pueblo indígena” de la pregunta anterior, anote la cantidad de las mismas especificando su pueblo indígena de pertenencia y sexo.</t>
  </si>
  <si>
    <t>En caso de que la suma de las cantidades reportadas como respuesta en la columna "Subtotal" del apartado "Pertenecen a pueblo indígena" de la pregunta anterior no sea un dato numérico mayor a cero, no puede registrar información en el presente reactivo.</t>
  </si>
  <si>
    <t>La suma de las cantidades registradas en la columna "Total" debe ser igual a la suma de las cantidades reportadas como respuesta en la columna "Subtotal" del apartado “Pertenecen a pueblo indígena” de la pregunta anterior, así como corresponder a su desagregación por sexo.</t>
  </si>
  <si>
    <t>Personas adolescentes ingresadas a los centros especializados que pertenecen a pueblo indígena, según sexo</t>
  </si>
  <si>
    <t>7.18.-</t>
  </si>
  <si>
    <t>Indique, por cada uno de los centros especializados de su entidad federativa, si durante el año 2023 tuvo registro de personas adolescentes con antecedentes penales ingresadas. En caso afirmativo, anote la cantidad de personas adolescentes ingresadas durante el referido año, según condición de contar con antecedentes penales y sexo.</t>
  </si>
  <si>
    <t>En caso de que determinado centro especializado no haya tenido registro de personas adolescentes con antecedentes penales ingresadas, o no cuente con información para determinarlo, indíquelo en la columna correspondiente conforme al catálogo respectivo y deje el resto de la fila en blanco.</t>
  </si>
  <si>
    <r>
      <t xml:space="preserve">¿Tuvo registro de personas adolescentes con antecedentes penales ingresadas?
</t>
    </r>
    <r>
      <rPr>
        <i/>
        <sz val="8"/>
        <rFont val="Arial"/>
        <family val="2"/>
      </rPr>
      <t>(1. Sí / 2. No / 9. No identificado)</t>
    </r>
  </si>
  <si>
    <t>Personas adolescentes ingresadas a los centros especializados, según condición de contar con antecedentes penales y sexo</t>
  </si>
  <si>
    <t>Con antecedentes penales</t>
  </si>
  <si>
    <t>Sin antecedentes penales</t>
  </si>
  <si>
    <t>PIVCOD1&gt;0</t>
  </si>
  <si>
    <t>GRIS 2.19</t>
  </si>
  <si>
    <t>VII.3 Delitos cometidos por las personas adolescentes ingresadas</t>
  </si>
  <si>
    <t>1.- El fuero del delito debe determinarse a partir del ámbito al que corresponde el ordenamiento jurídico donde se tipifica la conducta delictiva, independientemente de la autoridad que conozca del mismo y del momento procesal en el que se encuentre.</t>
  </si>
  <si>
    <t>2.- Para las preguntas 7.20 y 7.21, en caso de que presente dudas sobre la clasificación de los delitos, por favor consulte la Norma Técnica para la Clasificación Nacional de Delitos para Fines Estadísticos: https://www.dof.gob.mx/nota_detalle.php?codigo=5541706&amp;fecha=22/10/2018. De igual forma, puede consultar el Manual de Implementación de la Norma Técnica para la Clasificación Nacional de Delitos para Fines Estadísticos: https://www.snieg.mx/DocumentacionPortal/Normatividad/vigente/manual_implemen_nt_vf_250719.pdf</t>
  </si>
  <si>
    <t>3.- Para las preguntas 7.20 y 7.21, y de acuerdo con lo establecido en la octava instrucción general para las preguntas de la sección, en caso de que determinado delito no se encuentre previsto en su normatividad aplicable, anote "NA" (No aplica) en la columna "Total" y deje el resto de la fila en blanco.</t>
  </si>
  <si>
    <t xml:space="preserve">4.- Para las preguntas 7.20 y 7.21, en caso de que reporte "NA" (No aplica) para determinado delito registrado en los numerales 02.06, 03.04, 04.01, 04.02, 04.05, 06.01, 06.02, 07.01, 07.02, 07.06, 08.01, 08.02, 09.05, 09.07 y 09.16, sus respectivos tipos específicos también deben reportarse conforme a la instrucción anterior. </t>
  </si>
  <si>
    <t xml:space="preserve">5.- Para las preguntas 7.20 y 7.21, en caso de que desconozca el delito o tipo específico del que se trate, regístrelo en la categoría “No identificado” correspondiente. En consecuencia, no debe considerarlo dentro de la categoría “Otros delitos” de cada bien jurídico. </t>
  </si>
  <si>
    <t>6.- Para las preguntas 7.20 y 7.21, la suma de las cantidades registradas en las desagregaciones de los tipos específicos correspondientes debe dar como resultado el total del respectivo delito registrado en el numeral 02.06, 03.04, 04.01, 04.02, 04.05, 06.01, 06.02, 07.01, 07.02, 07.06, 08.01, 08.02, 09.05, 09.07 y 09.16.</t>
  </si>
  <si>
    <t>7.- Para las preguntas 7.20 y 7.21, en caso de que la incidencia de registro en la categoría "Otros delitos" de cada bien jurídico sea mayor al 25 % del total correspondiente al mismo, debe anotar el nombre del o de los delitos registrados en dicha categoría en el recuadro que se encuentra al final de la tabla de respuesta.</t>
  </si>
  <si>
    <t>7.19.-</t>
  </si>
  <si>
    <t>Anote la cantidad de delitos cometidos por las personas adolescentes ingresadas durante el año 2023 a los centros especializados de su entidad federativa, según el fuero del delito, así como el tipo de ingreso y sexo de las personas adolescentes.</t>
  </si>
  <si>
    <t>En caso de que la suma de las cantidades reportadas como respuesta en la columna "Total" de la pregunta 7.2 no sea un dato numérico mayor a cero, no puede registrar información en el presente reactivo.</t>
  </si>
  <si>
    <t>La suma de las cantidades registradas en la columna "Total" debe ser igual o mayor a la suma de las cantidades reportadas como respuesta en la columna "Total" de la pregunta 7.4, así como corresponder a su desagregación por fuero del delito cometido y sexo de las personas adolescentes; toda vez que una persona adolescente pudo haber ingresado por la comisión de uno o más delitos. En caso de que esta instrucción no le aplique, justifíquelo en el recuadro que se encuentra al final de la tabla de respuesta.</t>
  </si>
  <si>
    <t>La suma de las cantidades registradas en la columna "Total" debe ser igual o mayor a la suma de las cantidades reportadas como respuesta en la columna "Total" de la pregunta 7.5, así como corresponder a su desagregación por tipo de ingreso y sexo de las personas adolescentes; toda vez que una persona adolescente pudo haber ingresado por la comisión de uno o más delitos. En caso de que esta instrucción no le aplique, justifíquelo en el recuadro que se encuentra al final de la tabla de respuesta.</t>
  </si>
  <si>
    <t>Fuero del delito</t>
  </si>
  <si>
    <t>Delitos cometidos por las personas adolescentes ingresadas a los centros especializados, según tipo de ingreso y sexo de las personas adolescentes</t>
  </si>
  <si>
    <t>COMP. INS2</t>
  </si>
  <si>
    <t>Delitos del fuero común</t>
  </si>
  <si>
    <t>7.20.-</t>
  </si>
  <si>
    <t>De acuerdo con el total de delitos del fuero común que reportó como respuesta en la pregunta anterior, anote la cantidad de los mismos especificando el tipo de delito, así como el tipo de ingreso y sexo de las personas adolescentes.</t>
  </si>
  <si>
    <t>En caso de que la cantidad reportada como respuesta en la columna "Total" del numeral 1 de la pregunta anterior no sea un dato numérico mayor a cero, no puede registrar información en el presente reactivo.</t>
  </si>
  <si>
    <t>La suma de las cantidades registradas en la columna "Total" debe ser igual a la cantidad reportada como respuesta en la columna "Total" del numeral 1 de la pregunta anterior, así como corresponder a su desagregación por tipo de ingreso y sexo de las personas adolescentes.</t>
  </si>
  <si>
    <t xml:space="preserve">Bien jurídico </t>
  </si>
  <si>
    <t>Código</t>
  </si>
  <si>
    <t>Tipo de delito</t>
  </si>
  <si>
    <t>Delitos del fuero común cometidos por las personas adolescentes ingresadas a los centros especializados, según tipo de ingreso y sexo de las personas adolescentes</t>
  </si>
  <si>
    <t>NA TI ES</t>
  </si>
  <si>
    <t>BLAN GRIS T</t>
  </si>
  <si>
    <t>PORCE 25%</t>
  </si>
  <si>
    <t xml:space="preserve">01. </t>
  </si>
  <si>
    <t xml:space="preserve">La vida y la integridad corporal </t>
  </si>
  <si>
    <t>01.01</t>
  </si>
  <si>
    <t>01.02</t>
  </si>
  <si>
    <t>Feminicidio</t>
  </si>
  <si>
    <t>01.03</t>
  </si>
  <si>
    <t>Aborto</t>
  </si>
  <si>
    <t>01.04</t>
  </si>
  <si>
    <t>Lesiones</t>
  </si>
  <si>
    <t>01.99</t>
  </si>
  <si>
    <t>Otros delitos que atentan contra la vida y la integridad corporal</t>
  </si>
  <si>
    <t xml:space="preserve">02. </t>
  </si>
  <si>
    <t>La libertad personal</t>
  </si>
  <si>
    <t>02.01</t>
  </si>
  <si>
    <t>Privación de la libertad</t>
  </si>
  <si>
    <t>02.02</t>
  </si>
  <si>
    <t>Tráfico de menores</t>
  </si>
  <si>
    <t>02.03</t>
  </si>
  <si>
    <t>Retención o sustracción de menores e incapaces</t>
  </si>
  <si>
    <t>02.04</t>
  </si>
  <si>
    <t>Rapto</t>
  </si>
  <si>
    <t>02.05</t>
  </si>
  <si>
    <t>Desaparición forzada de personas</t>
  </si>
  <si>
    <t>NS_F1</t>
  </si>
  <si>
    <t>SUM_F1</t>
  </si>
  <si>
    <t>COM_F1</t>
  </si>
  <si>
    <t>NS_F2</t>
  </si>
  <si>
    <t>SUM_F2</t>
  </si>
  <si>
    <t>COM_F2</t>
  </si>
  <si>
    <t>NS_F3</t>
  </si>
  <si>
    <t>SUM_F3</t>
  </si>
  <si>
    <t>COM_F3</t>
  </si>
  <si>
    <t>NS_F4</t>
  </si>
  <si>
    <t>SUM_F4</t>
  </si>
  <si>
    <t>COM_F4</t>
  </si>
  <si>
    <t>NS_F5</t>
  </si>
  <si>
    <t>SUM_F5</t>
  </si>
  <si>
    <t>COM_F5</t>
  </si>
  <si>
    <t>NS_F6</t>
  </si>
  <si>
    <t>SUM_F6</t>
  </si>
  <si>
    <t>COM_F6</t>
  </si>
  <si>
    <t>NS_F7</t>
  </si>
  <si>
    <t>SUM_F7</t>
  </si>
  <si>
    <t>COM_F7</t>
  </si>
  <si>
    <t>NS_F8</t>
  </si>
  <si>
    <t>SUM_F8</t>
  </si>
  <si>
    <t>COM_F8</t>
  </si>
  <si>
    <t>NS_F9</t>
  </si>
  <si>
    <t>SUM_F9</t>
  </si>
  <si>
    <t>COM_F9</t>
  </si>
  <si>
    <t>NS_F10</t>
  </si>
  <si>
    <t>SUM_F10</t>
  </si>
  <si>
    <t>COM_F10</t>
  </si>
  <si>
    <t>NS_F11</t>
  </si>
  <si>
    <t>SUM_F11</t>
  </si>
  <si>
    <t>COM_F11</t>
  </si>
  <si>
    <t>NS_F12</t>
  </si>
  <si>
    <t>SUM_F12</t>
  </si>
  <si>
    <t>COM_F12</t>
  </si>
  <si>
    <t>NS_F13</t>
  </si>
  <si>
    <t>SUM_F13</t>
  </si>
  <si>
    <t>COM_F13</t>
  </si>
  <si>
    <t>NS_F14</t>
  </si>
  <si>
    <t>SUM_F14</t>
  </si>
  <si>
    <t>COM_F14</t>
  </si>
  <si>
    <t>NS_F15</t>
  </si>
  <si>
    <t>SUM_F15</t>
  </si>
  <si>
    <t>COM_F15</t>
  </si>
  <si>
    <t>02.06</t>
  </si>
  <si>
    <t>Secuestro</t>
  </si>
  <si>
    <t>02.06.01</t>
  </si>
  <si>
    <t>Secuestro extorsivo</t>
  </si>
  <si>
    <t>02.06.02</t>
  </si>
  <si>
    <t>Secuestro en calidad de rehén</t>
  </si>
  <si>
    <t>02.06.03</t>
  </si>
  <si>
    <t>Secuestro para causar daño</t>
  </si>
  <si>
    <t>02.06.04</t>
  </si>
  <si>
    <t>Secuestro exprés</t>
  </si>
  <si>
    <t>02.06.99</t>
  </si>
  <si>
    <t>Otro tipo de secuestro</t>
  </si>
  <si>
    <t>02.06.00</t>
  </si>
  <si>
    <t>02.99</t>
  </si>
  <si>
    <t>Otros delitos que atentan contra la libertad personal</t>
  </si>
  <si>
    <t xml:space="preserve">03. </t>
  </si>
  <si>
    <t>La libertad y la seguridad sexual</t>
  </si>
  <si>
    <t>03.01</t>
  </si>
  <si>
    <t>Abuso sexual</t>
  </si>
  <si>
    <t>03.02</t>
  </si>
  <si>
    <t>Acoso sexual</t>
  </si>
  <si>
    <t>03.03</t>
  </si>
  <si>
    <t>Hostigamiento sexual</t>
  </si>
  <si>
    <t>03.04</t>
  </si>
  <si>
    <t>Violación</t>
  </si>
  <si>
    <t>TO SUM CO</t>
  </si>
  <si>
    <t>03.04.01</t>
  </si>
  <si>
    <t>Violación simple</t>
  </si>
  <si>
    <t>03.04.02</t>
  </si>
  <si>
    <t>Violación equiparada por introducir cualquier elemento, instrumento o cualquier parte del cuerpo humano, distinto al pene</t>
  </si>
  <si>
    <t>03.04.03</t>
  </si>
  <si>
    <t>Violación equiparada en contra de menores e incapaces</t>
  </si>
  <si>
    <t>03.04.99</t>
  </si>
  <si>
    <t>Otro tipo de violación</t>
  </si>
  <si>
    <t>03.04.00</t>
  </si>
  <si>
    <t>03.05</t>
  </si>
  <si>
    <t>Estupro</t>
  </si>
  <si>
    <t>03.06</t>
  </si>
  <si>
    <t>Incesto</t>
  </si>
  <si>
    <t>03.99</t>
  </si>
  <si>
    <t>Otros delitos que atentan contra la libertad y la seguridad sexual</t>
  </si>
  <si>
    <t xml:space="preserve">04. </t>
  </si>
  <si>
    <t>El patrimonio</t>
  </si>
  <si>
    <t>04.01</t>
  </si>
  <si>
    <t>Robo</t>
  </si>
  <si>
    <t>04.01.01</t>
  </si>
  <si>
    <t>Robo simple</t>
  </si>
  <si>
    <t>04.01.02</t>
  </si>
  <si>
    <t>Robo a casa habitación</t>
  </si>
  <si>
    <t>04.01.03</t>
  </si>
  <si>
    <t>Robo de vehículo</t>
  </si>
  <si>
    <t>04.01.04</t>
  </si>
  <si>
    <t>Robo de autopartes</t>
  </si>
  <si>
    <t>04.01.05</t>
  </si>
  <si>
    <t>Robo a transeúnte en vía pública</t>
  </si>
  <si>
    <t>04.01.06</t>
  </si>
  <si>
    <t>Robo a transeúnte en espacio abierto al público</t>
  </si>
  <si>
    <t>04.01.07</t>
  </si>
  <si>
    <t>Robo a persona en un lugar privado</t>
  </si>
  <si>
    <t>04.01.08</t>
  </si>
  <si>
    <t>Robo a transportista</t>
  </si>
  <si>
    <t>04.01.09</t>
  </si>
  <si>
    <t>Robo en transporte público individual</t>
  </si>
  <si>
    <t>04.01.10</t>
  </si>
  <si>
    <t>Robo en transporte público colectivo</t>
  </si>
  <si>
    <t>04.01.11</t>
  </si>
  <si>
    <t>Robo en transporte individual</t>
  </si>
  <si>
    <t>04.01.12</t>
  </si>
  <si>
    <t>Robo a institución bancaria</t>
  </si>
  <si>
    <t>04.01.13</t>
  </si>
  <si>
    <t>Robo a negocio</t>
  </si>
  <si>
    <t>04.01.14</t>
  </si>
  <si>
    <t>Robo de ganado</t>
  </si>
  <si>
    <t>04.01.15</t>
  </si>
  <si>
    <t>Robo de maquinaria</t>
  </si>
  <si>
    <t>04.01.16</t>
  </si>
  <si>
    <t>Robo de energía eléctrica</t>
  </si>
  <si>
    <t>04.01.99</t>
  </si>
  <si>
    <t>Otros robos</t>
  </si>
  <si>
    <t>04.01.00</t>
  </si>
  <si>
    <t>04.02</t>
  </si>
  <si>
    <t>Delitos en materia de hidrocarburos y sus derivados</t>
  </si>
  <si>
    <t>04.02.01</t>
  </si>
  <si>
    <t>Sustracción de hidrocarburos y sus derivados</t>
  </si>
  <si>
    <t>04.02.02</t>
  </si>
  <si>
    <t>Aprovechamiento de hidrocarburos y sus derivados</t>
  </si>
  <si>
    <t>04.02.03</t>
  </si>
  <si>
    <t>Posesión ilícita de hidrocarburos y sus derivados</t>
  </si>
  <si>
    <t>04.02.99</t>
  </si>
  <si>
    <t>Otros delitos en materia de hidrocarburos y sus derivados</t>
  </si>
  <si>
    <t>04.02.00</t>
  </si>
  <si>
    <t>04.03</t>
  </si>
  <si>
    <t>Fraude</t>
  </si>
  <si>
    <t>04.04</t>
  </si>
  <si>
    <t>Abuso de confianza</t>
  </si>
  <si>
    <t>04.05</t>
  </si>
  <si>
    <t>Extorsión</t>
  </si>
  <si>
    <t>04.05.01</t>
  </si>
  <si>
    <t>Extorsión cometida por vía telefónica o cualquier otro medio electrónico o de comunicación</t>
  </si>
  <si>
    <t>04.05.99</t>
  </si>
  <si>
    <t>Otro tipo de extorsión</t>
  </si>
  <si>
    <t>04.05.00</t>
  </si>
  <si>
    <t>04.06</t>
  </si>
  <si>
    <t>Daño a la propiedad</t>
  </si>
  <si>
    <t>04.07</t>
  </si>
  <si>
    <t>Despojo</t>
  </si>
  <si>
    <t>04.99</t>
  </si>
  <si>
    <t>Otros delitos que atentan contra el patrimonio</t>
  </si>
  <si>
    <t xml:space="preserve">05. </t>
  </si>
  <si>
    <t>La familia</t>
  </si>
  <si>
    <t>05.01</t>
  </si>
  <si>
    <t>Violencia familiar</t>
  </si>
  <si>
    <t>05.02</t>
  </si>
  <si>
    <t>Incumplimiento de obligaciones familiares</t>
  </si>
  <si>
    <t>05.99</t>
  </si>
  <si>
    <t>Otros delitos contra la familia</t>
  </si>
  <si>
    <t xml:space="preserve">06. </t>
  </si>
  <si>
    <t>La sociedad</t>
  </si>
  <si>
    <t>06.01</t>
  </si>
  <si>
    <t>Delitos contra el libre desarrollo de la personalidad</t>
  </si>
  <si>
    <t>06.01.01</t>
  </si>
  <si>
    <t>Corrupción de menores e incapaces</t>
  </si>
  <si>
    <t>06.01.02</t>
  </si>
  <si>
    <t>Prostitución de menores e incapaces</t>
  </si>
  <si>
    <t>06.01.03</t>
  </si>
  <si>
    <t>Pornografía infantil</t>
  </si>
  <si>
    <t>06.01.04</t>
  </si>
  <si>
    <t>Turismo sexual</t>
  </si>
  <si>
    <t>06.01.05</t>
  </si>
  <si>
    <t>Pederastia</t>
  </si>
  <si>
    <t>06.01.99</t>
  </si>
  <si>
    <t>Otros delitos contra el libre desarrollo de la personalidad</t>
  </si>
  <si>
    <t>06.01.00</t>
  </si>
  <si>
    <t>06.02</t>
  </si>
  <si>
    <t>Trata de personas</t>
  </si>
  <si>
    <t>06.02.01</t>
  </si>
  <si>
    <t>Trata de personas con fines de explotación sexual</t>
  </si>
  <si>
    <t>06.02.02</t>
  </si>
  <si>
    <t>Trata de personas con fines de trabajo o servicios forzados</t>
  </si>
  <si>
    <t>06.02.03</t>
  </si>
  <si>
    <t>Trata de personas con fines de tráfico de órganos</t>
  </si>
  <si>
    <t>06.02.99</t>
  </si>
  <si>
    <t>Trata de personas con otros fines</t>
  </si>
  <si>
    <t>06.02.00</t>
  </si>
  <si>
    <t>06.03</t>
  </si>
  <si>
    <t>Violencia de género en todas sus modalidades distinta a la violencia familiar</t>
  </si>
  <si>
    <t>06.04</t>
  </si>
  <si>
    <t>Discriminación</t>
  </si>
  <si>
    <t>06.05</t>
  </si>
  <si>
    <t>Lenocinio</t>
  </si>
  <si>
    <t>06.99</t>
  </si>
  <si>
    <t>Otros delitos contra la sociedad</t>
  </si>
  <si>
    <t>07.</t>
  </si>
  <si>
    <t>La seguridad pública y la seguridad del Estado</t>
  </si>
  <si>
    <t>07.01</t>
  </si>
  <si>
    <t>Delitos contra la salud relacionados con narcóticos en su modalidad de narcomenudeo</t>
  </si>
  <si>
    <t>07.01.01</t>
  </si>
  <si>
    <t>Posesión simple de narcóticos</t>
  </si>
  <si>
    <t>07.01.02</t>
  </si>
  <si>
    <t>Posesión con fines de comercio o suministro de narcóticos</t>
  </si>
  <si>
    <t>07.01.03</t>
  </si>
  <si>
    <t xml:space="preserve">Comercio de narcóticos </t>
  </si>
  <si>
    <t>07.01.04</t>
  </si>
  <si>
    <t xml:space="preserve">Suministro de narcóticos </t>
  </si>
  <si>
    <t>07.01.99</t>
  </si>
  <si>
    <t>Otros delitos contra la salud relacionados con narcóticos en su modalidad de narcomenudeo</t>
  </si>
  <si>
    <t>07.01.00</t>
  </si>
  <si>
    <t>07.02</t>
  </si>
  <si>
    <t>Delitos federales contra la salud relacionados con narcóticos</t>
  </si>
  <si>
    <t>07.02.01</t>
  </si>
  <si>
    <t>Producción de narcóticos</t>
  </si>
  <si>
    <t>07.02.02</t>
  </si>
  <si>
    <t>Transporte de narcóticos</t>
  </si>
  <si>
    <t>07.02.03</t>
  </si>
  <si>
    <t>Tráfico de narcóticos</t>
  </si>
  <si>
    <t>07.02.04</t>
  </si>
  <si>
    <t>Comercio de narcóticos</t>
  </si>
  <si>
    <t>07.02.05</t>
  </si>
  <si>
    <t>Suministro de narcóticos</t>
  </si>
  <si>
    <t>07.02.06</t>
  </si>
  <si>
    <t>Posesión de narcóticos</t>
  </si>
  <si>
    <t>07.02.99</t>
  </si>
  <si>
    <t>Otros delitos federales contra la salud relacionados con narcóticos</t>
  </si>
  <si>
    <t>07.02.00</t>
  </si>
  <si>
    <t>07.03</t>
  </si>
  <si>
    <t>Evasión de presos</t>
  </si>
  <si>
    <t>07.04</t>
  </si>
  <si>
    <t>Delitos en materia de armas y objetos prohibidos</t>
  </si>
  <si>
    <t>07.05</t>
  </si>
  <si>
    <t>Delitos de delincuencia organizada</t>
  </si>
  <si>
    <t>07.06</t>
  </si>
  <si>
    <t>Delitos en materia de armas, explosivos y otros materiales destructivos</t>
  </si>
  <si>
    <t xml:space="preserve">07.06.01 </t>
  </si>
  <si>
    <t>Portación ilícita de armas</t>
  </si>
  <si>
    <t xml:space="preserve">07.06.02 </t>
  </si>
  <si>
    <t>Posesión ilícita de armas, cartuchos y cargadores</t>
  </si>
  <si>
    <t xml:space="preserve">07.06.03 </t>
  </si>
  <si>
    <t>Acopio ilícito de armas</t>
  </si>
  <si>
    <t xml:space="preserve">07.06.04 </t>
  </si>
  <si>
    <t>Tráfico ilícito de armas, explosivos y otros materiales destructivos</t>
  </si>
  <si>
    <t xml:space="preserve">07.06.99 </t>
  </si>
  <si>
    <t>Otros delitos en materia de armas, explosivos y otros materiales destructivos</t>
  </si>
  <si>
    <t xml:space="preserve">07.06.00 </t>
  </si>
  <si>
    <t>07.07</t>
  </si>
  <si>
    <t>Asociación delictuosa</t>
  </si>
  <si>
    <t>07.08</t>
  </si>
  <si>
    <t>Terrorismo</t>
  </si>
  <si>
    <t>07.99</t>
  </si>
  <si>
    <t>Otros delitos contra la seguridad pública y la seguridad del Estado</t>
  </si>
  <si>
    <t>08.</t>
  </si>
  <si>
    <t>La administración del Estado</t>
  </si>
  <si>
    <t>08.01</t>
  </si>
  <si>
    <t>Delitos por hechos de corrupción</t>
  </si>
  <si>
    <t>08.01.01</t>
  </si>
  <si>
    <t>Ejercicio indebido del servicio público</t>
  </si>
  <si>
    <t>08.01.02</t>
  </si>
  <si>
    <t>Abuso de autoridad</t>
  </si>
  <si>
    <t>08.01.03</t>
  </si>
  <si>
    <t>Cohecho</t>
  </si>
  <si>
    <t>08.01.04</t>
  </si>
  <si>
    <t>Peculado</t>
  </si>
  <si>
    <t>08.01.05</t>
  </si>
  <si>
    <t>Enriquecimiento ilícito</t>
  </si>
  <si>
    <t>08.01.06</t>
  </si>
  <si>
    <t>Ejercicio abusivo de funciones</t>
  </si>
  <si>
    <t>08.01.07</t>
  </si>
  <si>
    <t>Tráfico de influencias</t>
  </si>
  <si>
    <t>08.01.99</t>
  </si>
  <si>
    <t>Otros delitos por hechos de corrupción</t>
  </si>
  <si>
    <t>08.01.00</t>
  </si>
  <si>
    <t>08.02</t>
  </si>
  <si>
    <t>Delitos contra la administración de justicia</t>
  </si>
  <si>
    <t>08.02.01</t>
  </si>
  <si>
    <t>En materia de amparo</t>
  </si>
  <si>
    <t>08.02.99</t>
  </si>
  <si>
    <t>Otros delitos contra la administración de justicia</t>
  </si>
  <si>
    <t>08.02.00</t>
  </si>
  <si>
    <t>08.03</t>
  </si>
  <si>
    <t>Delitos en materia fiscal</t>
  </si>
  <si>
    <t>08.04</t>
  </si>
  <si>
    <t>Delitos electorales</t>
  </si>
  <si>
    <t>08.99</t>
  </si>
  <si>
    <t>Otros delitos contra la administración del Estado</t>
  </si>
  <si>
    <t xml:space="preserve">09. </t>
  </si>
  <si>
    <r>
      <t xml:space="preserve">Otros 
</t>
    </r>
    <r>
      <rPr>
        <i/>
        <sz val="8"/>
        <rFont val="Arial"/>
        <family val="2"/>
      </rPr>
      <t>(bienes jurídicos)</t>
    </r>
  </si>
  <si>
    <t>09.01</t>
  </si>
  <si>
    <t>Amenazas</t>
  </si>
  <si>
    <t>09.02</t>
  </si>
  <si>
    <t>Allanamiento de morada</t>
  </si>
  <si>
    <t>09.03</t>
  </si>
  <si>
    <t>Falsedad</t>
  </si>
  <si>
    <t>09.04</t>
  </si>
  <si>
    <t>Falsificación</t>
  </si>
  <si>
    <t>09.05</t>
  </si>
  <si>
    <t>Delitos contra el medio ambiente, el equilibrio ecológico y la gestión ambiental</t>
  </si>
  <si>
    <t>09.05.01</t>
  </si>
  <si>
    <t xml:space="preserve">Tráfico de flora o fauna silvestres en peligro de extinción, amenazadas o sujetas a protección </t>
  </si>
  <si>
    <t>09.05.02</t>
  </si>
  <si>
    <t xml:space="preserve">Comercialización de flora o fauna silvestres en peligro de extinción, amenazadas o sujetas a protección </t>
  </si>
  <si>
    <t>09.05.03</t>
  </si>
  <si>
    <t>Caza, pesca o tala ilegal de flora o fauna silvestres en peligro de extinción, amenazadas o sujetas a protección</t>
  </si>
  <si>
    <t>09.05.04</t>
  </si>
  <si>
    <t>Transporte o manejo de residuos peligrosos</t>
  </si>
  <si>
    <t>09.05.05</t>
  </si>
  <si>
    <t>Daños a los ecosistemas o sus elementos</t>
  </si>
  <si>
    <t>09.05.99</t>
  </si>
  <si>
    <t>Otros delitos contra el medio ambiente, el equilibrio ecológico y la gestión ambiental</t>
  </si>
  <si>
    <t>09.05.00</t>
  </si>
  <si>
    <t>09.06</t>
  </si>
  <si>
    <t>Delitos en materia de vías de comunicación y correspondencia</t>
  </si>
  <si>
    <t>09.07</t>
  </si>
  <si>
    <t>Delitos en materia de migración</t>
  </si>
  <si>
    <t>09.07.01</t>
  </si>
  <si>
    <t>Tráfico de indocumentados</t>
  </si>
  <si>
    <t>09.07.99</t>
  </si>
  <si>
    <t>Otros delitos en materia de migración</t>
  </si>
  <si>
    <t>09.07.00</t>
  </si>
  <si>
    <t>09.08</t>
  </si>
  <si>
    <t>Delitos en materia de derechos de autor</t>
  </si>
  <si>
    <t>09.09</t>
  </si>
  <si>
    <t>Delitos en materia de instituciones de crédito, inversión, fianzas y seguros</t>
  </si>
  <si>
    <t>09.10</t>
  </si>
  <si>
    <t>Delitos en materia de propiedad industrial</t>
  </si>
  <si>
    <t>09.11</t>
  </si>
  <si>
    <t>Delitos contra la salud no relacionados con narcóticos</t>
  </si>
  <si>
    <t>09.12</t>
  </si>
  <si>
    <t xml:space="preserve">Encubrimiento </t>
  </si>
  <si>
    <t>09.13</t>
  </si>
  <si>
    <t>Operaciones con recursos de procedencia ilícita</t>
  </si>
  <si>
    <t>09.14</t>
  </si>
  <si>
    <t xml:space="preserve">Tortura </t>
  </si>
  <si>
    <t>09.15</t>
  </si>
  <si>
    <t>Suplantación y usurpación de identidad</t>
  </si>
  <si>
    <t>09.16</t>
  </si>
  <si>
    <t>Delitos contra la seguridad de los datos y/o sistemas o equipos informáticos</t>
  </si>
  <si>
    <t>09.16.01</t>
  </si>
  <si>
    <t>Acceso ilícito a sistemas o equipos informáticos</t>
  </si>
  <si>
    <t>09.16.02</t>
  </si>
  <si>
    <t>Daños a datos informáticos</t>
  </si>
  <si>
    <t>09.16.03</t>
  </si>
  <si>
    <t>Interferir en el buen funcionamiento de sistemas o equipos informáticos</t>
  </si>
  <si>
    <t>09.16.99</t>
  </si>
  <si>
    <t>Otros delitos contra la seguridad de los datos y/o sistemas o equipos informáticos</t>
  </si>
  <si>
    <t>09.16.00</t>
  </si>
  <si>
    <t>09.17</t>
  </si>
  <si>
    <t>Tratos o penas crueles, inhumanos o degradantes</t>
  </si>
  <si>
    <t>09.99</t>
  </si>
  <si>
    <t xml:space="preserve">Otros delitos </t>
  </si>
  <si>
    <t>00.00</t>
  </si>
  <si>
    <t>7.21.-</t>
  </si>
  <si>
    <t>De acuerdo con el total de delitos del fuero federal que reportó como respuesta en la pregunta 7.19, anote la cantidad de los mismos especificando el tipo de delito, así como el tipo de ingreso y sexo de las personas adolescentes.</t>
  </si>
  <si>
    <t>En caso de que la cantidad reportada como respuesta en la columna "Total" del numeral 2 de la pregunta 7.19 no sea un dato numérico mayor a cero, no puede registrar información en el presente reactivo.</t>
  </si>
  <si>
    <t>La suma de las cantidades registradas en la columna "Total" debe ser igual a la cantidad reportada como respuesta en la columna "Total" del numeral 2 de la pregunta 7.19, así como corresponder a su desagregación por tipo de ingreso y sexo de las personas adolescentes.</t>
  </si>
  <si>
    <t>Delitos del fuero federal cometidos por las personas adolescentes ingresadas a los centros especializados, según tipo de ingreso y sexo de las personas adolescentes</t>
  </si>
  <si>
    <t>VII.4 Delitos seleccionados cometidos por las personas adolescentes ingresadas</t>
  </si>
  <si>
    <t>7.22.-</t>
  </si>
  <si>
    <t>Tabla resumen. Los datos que se presentan en la siguiente tabla derivan del total de delitos seleccionados cometidos por las personas adolescentes ingresadas durante el año 2023 a los centros especializados de su entidad federativa que reportó como respuesta en las preguntas 7.20 y 7.21. Dichos datos serán utilizados como base para la respuesta de la pregunta subsecuente.</t>
  </si>
  <si>
    <t>La suma de las cantidades registradas en los numerales 01.01.05.01, 01.01.05.02 y 01.01.05.03 debe ser igual a la cantidad reportada en el numeral 01.01.</t>
  </si>
  <si>
    <t>La suma de las cantidades registradas en los numerales 01.02.01.01, 01.02.01.02 y 01.02.01.03 debe ser igual a la cantidad reportada en el numeral 01.02.</t>
  </si>
  <si>
    <t>Delitos seleccionados</t>
  </si>
  <si>
    <t>Delitos seleccionados cometidos por las personas adolescentes ingresadas a los centros especializados, según tipo de ingreso y sexo de las personas adolescentes</t>
  </si>
  <si>
    <t>01.01.05.01</t>
  </si>
  <si>
    <t>01.01.05.02</t>
  </si>
  <si>
    <t>01.01.05.03</t>
  </si>
  <si>
    <t>01.02.01.01</t>
  </si>
  <si>
    <t>Consumado</t>
  </si>
  <si>
    <t>01.02.01.02</t>
  </si>
  <si>
    <t>Tentativa</t>
  </si>
  <si>
    <t>01.02.01.03</t>
  </si>
  <si>
    <t>T SUM COM:</t>
  </si>
  <si>
    <t>Tortura</t>
  </si>
  <si>
    <t>7.23.-</t>
  </si>
  <si>
    <t>Anote la cantidad de personas adolescentes ingresadas durante el año 2023 a los centros especializados de su entidad federativa, según delito seleccionado cometido y sexo.</t>
  </si>
  <si>
    <t>Para cada delito y tipo específico seleccionado, la cantidad registrada en la columna "Total" debe ser igual o menor a la suma de las cantidades reportadas como respuesta en la columna "Total" de la pregunta 7.2, así como corresponder a su desagregación por sexo.</t>
  </si>
  <si>
    <t xml:space="preserve">Para cada delito y tipo específico seleccionado, la cantidad registrada en la columna "Total" debe ser igual o menor a la cantidad reportada como respuesta en la columna "Total" de la pregunta anterior, así como corresponder a su desagregación por sexo. En caso de que esta instrucción no le aplique, justifíquelo en el recuadro que se encuentra al final de la tabla de respuesta. </t>
  </si>
  <si>
    <r>
      <t xml:space="preserve">1.- Periodo de referencia de los datos: 
</t>
    </r>
    <r>
      <rPr>
        <b/>
        <i/>
        <sz val="8"/>
        <rFont val="Arial"/>
        <family val="2"/>
      </rPr>
      <t>Al cierre del año:</t>
    </r>
    <r>
      <rPr>
        <i/>
        <sz val="8"/>
        <rFont val="Arial"/>
        <family val="2"/>
      </rPr>
      <t xml:space="preserve"> la información se refiere a lo existente al 31 de diciembre de 2023.</t>
    </r>
  </si>
  <si>
    <t>6.- No debe considerar a las personas adolescentes que se encontraban en tratamiento externo, toda vez que dicha información se requiere en la subsección XI.1.</t>
  </si>
  <si>
    <t>7.- Con excepción de la existencia de instrucciones, variables y/ o catálogos específicos que prevean alguna situación particular asociada a la información requerida, en caso de que determinada categoría no se encuentre prevista en su normatividad aplicable, anote "NA" (No aplica) en las celdas correspondientes.</t>
  </si>
  <si>
    <t>8.- Con excepción de la existencia de instrucciones, variables y/ o catálogos específicos que prevean alguna situación particular asociada a la información requerida, en caso de que los registros con los que cuente no le permitan desglosar la información de acuerdo con los requerimientos solicitados, anote "NS" (No se sabe) en las celdas donde no disponga de información. En el recuadro para comentarios de cada pregunta debe proporcionar una justificación respecto del uso del "NS" en determinado reactivo.</t>
  </si>
  <si>
    <t xml:space="preserve">9.- No deje celdas en blanco, salvo en los casos en que la instrucción así lo solicite. </t>
  </si>
  <si>
    <r>
      <t xml:space="preserve">1.- </t>
    </r>
    <r>
      <rPr>
        <b/>
        <i/>
        <sz val="8"/>
        <rFont val="Arial"/>
        <family val="2"/>
      </rPr>
      <t xml:space="preserve">Internamiento. </t>
    </r>
    <r>
      <rPr>
        <i/>
        <sz val="8"/>
        <rFont val="Arial"/>
        <family val="2"/>
      </rPr>
      <t>Se refiere a la medida de sanción consistente en la privación de la libertad de la persona adolescente.</t>
    </r>
  </si>
  <si>
    <r>
      <t xml:space="preserve">2.- </t>
    </r>
    <r>
      <rPr>
        <b/>
        <i/>
        <sz val="8"/>
        <rFont val="Arial"/>
        <family val="2"/>
      </rPr>
      <t xml:space="preserve">Internamiento (definitivo). </t>
    </r>
    <r>
      <rPr>
        <i/>
        <sz val="8"/>
        <rFont val="Arial"/>
        <family val="2"/>
      </rPr>
      <t>Se refiere a aquella medida de sanción de internamiento que ya no admite recurso judicial alguno. Se dice que la causa está "ejecutoriada" cuando ya han terminado todos los trámites legales, produciendo el efecto jurídico de cosa juzgada.</t>
    </r>
  </si>
  <si>
    <r>
      <t xml:space="preserve">3.- </t>
    </r>
    <r>
      <rPr>
        <b/>
        <i/>
        <sz val="8"/>
        <rFont val="Arial"/>
        <family val="2"/>
      </rPr>
      <t xml:space="preserve">Internamiento (no definitivo). </t>
    </r>
    <r>
      <rPr>
        <i/>
        <sz val="8"/>
        <rFont val="Arial"/>
        <family val="2"/>
      </rPr>
      <t>Se refiere a aquella medida de sanción de internamiento que aún admite algún recurso judicial, o se encuentra ya en proceso de segunda instancia.</t>
    </r>
  </si>
  <si>
    <r>
      <t xml:space="preserve">4.- </t>
    </r>
    <r>
      <rPr>
        <b/>
        <i/>
        <sz val="8"/>
        <rFont val="Arial"/>
        <family val="2"/>
      </rPr>
      <t xml:space="preserve">Medida cautelar de internamiento preventivo. </t>
    </r>
    <r>
      <rPr>
        <i/>
        <sz val="8"/>
        <rFont val="Arial"/>
        <family val="2"/>
      </rPr>
      <t>Se refiere a la medida cautelar impuesta por la autoridad judicial correspondiente cuando se logra demostrar que la libertad de la persona adolescente señalada como probable responsable pone en riesgo al proceso, a las víctimas y/ o a las personas testigos, siendo la única forma de salvaguardar a los mismos. Solo puede imponerse a las personas adolescentes mayores de 14 años y se justifica a través del análisis de cada caso, aplica para cualquier delito, y se puede revisar o quitar si las circunstancias se modifican.</t>
    </r>
  </si>
  <si>
    <r>
      <t xml:space="preserve">5.- </t>
    </r>
    <r>
      <rPr>
        <b/>
        <i/>
        <sz val="8"/>
        <rFont val="Arial"/>
        <family val="2"/>
      </rPr>
      <t xml:space="preserve">Semi-internamiento o internamiento en tiempo libre. </t>
    </r>
    <r>
      <rPr>
        <i/>
        <sz val="8"/>
        <rFont val="Arial"/>
        <family val="2"/>
      </rPr>
      <t>Se refiere a la medida de sanción consistente en la obligación de la persona adolescente de residir en el centro especializado durante los fines de semana o días festivos, según lo determine el órgano jurisdiccional, pudiendo realizar actividades formativas, educativas, socio-laborales, recreativas, entre otras, que serán parte de su plan de actividades.</t>
    </r>
  </si>
  <si>
    <r>
      <t xml:space="preserve">6.- </t>
    </r>
    <r>
      <rPr>
        <b/>
        <i/>
        <sz val="8"/>
        <rFont val="Arial"/>
        <family val="2"/>
      </rPr>
      <t>Semi-internamiento o internamiento en tiempo libre (definitivo).</t>
    </r>
    <r>
      <rPr>
        <i/>
        <sz val="8"/>
        <rFont val="Arial"/>
        <family val="2"/>
      </rPr>
      <t xml:space="preserve"> Se refiere a aquella medida de sanción de semi-internamiento o internamiento en tiempo libre que ya no admite recurso judicial alguno. Se dice que la causa está "ejecutoriada" cuando ya han terminado todos los trámites legales, produciendo el efecto jurídico de cosa juzgada.</t>
    </r>
  </si>
  <si>
    <r>
      <t xml:space="preserve">7.- </t>
    </r>
    <r>
      <rPr>
        <b/>
        <i/>
        <sz val="8"/>
        <rFont val="Arial"/>
        <family val="2"/>
      </rPr>
      <t>Semi-internamiento o internamiento en tiempo libre (no definitivo).</t>
    </r>
    <r>
      <rPr>
        <i/>
        <sz val="8"/>
        <rFont val="Arial"/>
        <family val="2"/>
      </rPr>
      <t xml:space="preserve"> Se refiere a aquella medida de sanción de semi-internamiento o internamiento en tiempo libre que aún admite algún recurso judicial, o se encuentra ya en proceso de segunda instancia.</t>
    </r>
  </si>
  <si>
    <t>VIII.1 Características de las personas adolescentes internadas</t>
  </si>
  <si>
    <t>1.- Para cada centro especializado, en caso de que la cantidad que reporte como respuesta en la columna "Total" de la pregunta 8.1 no sea un dato numérico mayor a cero, no puede registrar información en los reactivos 8.2, 8.3, 8.6, 8.10, 8.11, 8.13, 8.14, 8.15, 8.16, 8.18, 8.20, 8.22, 8.24, 8.26 y 8.28.</t>
  </si>
  <si>
    <t>2.- En caso de que la suma de las cantidades que reporte como respuesta en la columna "Total" de la pregunta 8.1 no sea un dato numérico mayor a cero, no puede registrar información en los reactivos 8.7, 8.8 y 8.9.</t>
  </si>
  <si>
    <t>3.- Para cada centro especializado, la cantidad registrada en la columna "Total" de las preguntas 8.2, 8.3, 8.6, 8.10, 8.11, 8.13, 8.14, 8.15, 8.16, 8.18, 8.20, 8.22, 8.24, 8.26 y 8.28 debe ser igual a la cantidad reportada como respuesta en la columna "Total" de la pregunta 8.1, así como corresponder a su desagregación por sexo.</t>
  </si>
  <si>
    <t>4.- Para las preguntas 8.7, 8.8 y 8.9, la suma de las cantidades registradas en la columna "Total" debe ser igual a la suma de las cantidades reportadas como respuesta en la columna "Total" de la pregunta 8.1, así como corresponder a su desagregación por sexo.</t>
  </si>
  <si>
    <t>8.1.-</t>
  </si>
  <si>
    <t>Anote, por cada uno de los centros especializados de su entidad federativa, la cantidad de personas adolescentes internadas al cierre del año 2023, según sexo.</t>
  </si>
  <si>
    <t>BLOQUEOSS</t>
  </si>
  <si>
    <t>Personas adolescentes internadas en los centros especializados, según sexo</t>
  </si>
  <si>
    <t>8.2.-</t>
  </si>
  <si>
    <t>De acuerdo con el total de personas adolescentes internadas que reportó como respuesta en la pregunta anterior, anote, por cada uno de los centros especializados de su entidad federativa, la cantidad de las mismas especificando el fuero del delito cometido y sexo.</t>
  </si>
  <si>
    <t>En el apartado "Delitos del fuero común y delitos del fuero federal" debe considerar a aquellas personas adolescentes internadas en los centros especializados de su entidad federativa derivado de la comisión de delitos tanto del fuero común como del fuero federal, ello en el supuesto de que una persona adolescente pudo haber cometido delitos de ambos fueros.</t>
  </si>
  <si>
    <t>Personas adolescentes internadas en los centros especializados, según fuero del delito cometido y sexo</t>
  </si>
  <si>
    <t>8.3.-</t>
  </si>
  <si>
    <t xml:space="preserve">De acuerdo con el total de personas adolescentes internadas que reportó como respuesta en la pregunta 8.1, anote, por cada uno de los centros especializados de su entidad federativa, la cantidad de las mismas especificando su estatus jurídico y sexo. </t>
  </si>
  <si>
    <t>Personas adolescentes internadas en los centros especializados, según estatus jurídico y sexo</t>
  </si>
  <si>
    <t>No definitivo</t>
  </si>
  <si>
    <t>Definitivo</t>
  </si>
  <si>
    <t>Internamiento - No identificado</t>
  </si>
  <si>
    <t>NS 5</t>
  </si>
  <si>
    <t>Semi-internamiento o internamiento en tiempo libre - No identificado</t>
  </si>
  <si>
    <t>T SUM COM</t>
  </si>
  <si>
    <t>T NS COMP</t>
  </si>
  <si>
    <t>T COM TOT</t>
  </si>
  <si>
    <t>T COM DES1</t>
  </si>
  <si>
    <t>T COM DES2</t>
  </si>
  <si>
    <t>8.4.-</t>
  </si>
  <si>
    <t>De acuerdo con el total de personas adolescentes internadas que reportó como respuesta en el apartado "Medida cautelar de internamiento preventivo" de la pregunta anterior, anote, por cada uno de los centros especializados de su entidad federativa, la cantidad de las mismas especificando su sexo y el rango de tiempo que llevan en espera de resolución.</t>
  </si>
  <si>
    <t>Para cada centro especializado, en caso de que la cantidad reportada como respuesta en la columna "Subtotal" del apartado "Medida cautelar de internamiento preventivo" de la pregunta anterior no sea un dato numérico mayor a cero, no puede registrar información en el presente reactivo.</t>
  </si>
  <si>
    <t>Para cada centro especializado, la cantidad registrada en la columna "Total" debe ser igual a la cantidad reportada como respuesta en la columna "Subtotal" del apartado "Medida cautelar de internamiento preventivo" de la pregunta anterior, así como corresponder a su desagregación por sexo.</t>
  </si>
  <si>
    <t>Personas adolescentes con medida cautelar de internamiento preventivo internadas en los centros especializados, según sexo y rango de tiempo que llevan en espera de resolución</t>
  </si>
  <si>
    <t>Menos de 2 meses</t>
  </si>
  <si>
    <t>De 2 hasta menos de 4 meses</t>
  </si>
  <si>
    <t>De 4 hasta menos de 6 meses</t>
  </si>
  <si>
    <t>De 6 hasta menos de 12 meses</t>
  </si>
  <si>
    <t>12 meses o más</t>
  </si>
  <si>
    <t>NS 6</t>
  </si>
  <si>
    <t>NS 7</t>
  </si>
  <si>
    <t>8.5.-</t>
  </si>
  <si>
    <t>De acuerdo con el total de personas adolescentes internadas que reportó como respuesta en los grupos "Internamiento" y "Semi-internamiento o internamiento en tiempo libre" de la pregunta 8.3, anote, por cada uno de los centros especializados de su entidad federativa, la cantidad de las mismas especificando el rango de tiempo de la sanción de internamiento o semi-internamiento en tiempo libre impuesta y sexo.</t>
  </si>
  <si>
    <t>Para cada centro especializado, en caso de que la suma de las cantidades reportadas como respuesta en las columnas "Subtotal" del grupo "Internamiento" de la pregunta 8.3 no sea un dato numérico mayor a cero, no puede registrar información en la tabla I.</t>
  </si>
  <si>
    <t>Para cada centro especializado, en caso de que la suma de las cantidades reportadas como respuesta en las columnas "Subtotal" del grupo "Semi-internamiento o internamiento en tiempo libre" de la pregunta 8.3 no sea un dato numérico mayor a cero, no puede registrar información en la tabla II.</t>
  </si>
  <si>
    <t>Para cada centro especializado, la cantidad registrada en la columna "Total" de la tabla I debe ser igual a la suma de las cantidades reportadas como respuesta en las columnas "Subtotal" del grupo "Internamiento" de la pregunta 8.3, así como corresponder a su desagregación por sexo.</t>
  </si>
  <si>
    <t>Para cada centro especializado, la cantidad registrada en la columna "Total" de la tabla II debe ser igual a la suma de las cantidades reportadas como respuesta en las columnas "Subtotal" del grupo "Semi-internamiento o internamiento en tiempo libre" de la pregunta 8.3, así como corresponder a su desagregación por sexo.</t>
  </si>
  <si>
    <t>I) Personas adolescentes en internamiento</t>
  </si>
  <si>
    <t>Personas adolescentes en internamiento en los centros especializados, según rango de tiempo de la sanción de internamiento impuesta y sexo</t>
  </si>
  <si>
    <t>Menos de 6 meses</t>
  </si>
  <si>
    <t xml:space="preserve">De 6 meses hasta menos de 1 año </t>
  </si>
  <si>
    <t>De 1 año hasta menos de 1 año 6 meses</t>
  </si>
  <si>
    <t>De 1 año 6 meses hasta menos de 2 años</t>
  </si>
  <si>
    <t>De 2 años hasta menos de 2 años 6 meses</t>
  </si>
  <si>
    <t>SUM SUBT</t>
  </si>
  <si>
    <t>SUM HOM</t>
  </si>
  <si>
    <t>SUM MUJ</t>
  </si>
  <si>
    <t>De 2 años 6 meses hasta menos de 3 años</t>
  </si>
  <si>
    <t>De 3 años hasta menos de 3 años 6 meses</t>
  </si>
  <si>
    <t>De 3 años 6 meses hasta menos de 4 años</t>
  </si>
  <si>
    <t>De 4 años hasta menos de 4 años 6 meses</t>
  </si>
  <si>
    <t>De 4 años 6 meses hasta menos de 5 años</t>
  </si>
  <si>
    <t>5 años o más</t>
  </si>
  <si>
    <t>TSUM COM:</t>
  </si>
  <si>
    <t>TNS COMP:</t>
  </si>
  <si>
    <t>TCOMP TO:</t>
  </si>
  <si>
    <t>TCOM DES1:</t>
  </si>
  <si>
    <t>TCOM DES2:</t>
  </si>
  <si>
    <t>II) Personas adolescentes en semi-internamiento o internamiento en tiempo libre</t>
  </si>
  <si>
    <t>Personas adolescentes en semi-internamiento o internamiento en tiempo libre en los centros especializados, según rango de tiempo de la sanción de semi-internamiento o internamiento en tiempo libre impuesta y sexo</t>
  </si>
  <si>
    <t>8.6.-</t>
  </si>
  <si>
    <t>De acuerdo con el total de personas adolescentes internadas que reportó como respuesta en la pregunta 8.1, anote, por cada uno de los centros especializados de su entidad federativa, la cantidad de las mismas especificando su edad y sexo.</t>
  </si>
  <si>
    <t>Debe considerar los años cumplidos al cierre del año 2023 de las personas adolescentes internadas en los centros especializados.</t>
  </si>
  <si>
    <t>En el apartado "18 años o más" debe considerar a las personas adultas jóvenes internadas que se encontraban en ejecución de su medida de sanción y hayan cumplido 18 años o más.</t>
  </si>
  <si>
    <t>Personas adolescentes internadas en los centros especializados, según edad y sexo</t>
  </si>
  <si>
    <t>8.7.-</t>
  </si>
  <si>
    <t xml:space="preserve">De acuerdo con el total de personas adolescentes internadas que reportó como respuesta en la pregunta 8.1, anote la cantidad de las mismas especificando su nivel de escolaridad y sexo. </t>
  </si>
  <si>
    <t>Debe considerar el grado máximo de estudios del que hayan cursado todos los años al cierre del año 2023 las personas adolescentes internadas en los centros especializados, independientemente de que se cuente con el certificado o título del mismo.</t>
  </si>
  <si>
    <t>8.8.-</t>
  </si>
  <si>
    <t xml:space="preserve">De acuerdo con el total de personas adolescentes internadas que reportó como respuesta en la pregunta 8.1, anote la cantidad de las mismas especificando su nacionalidad y sexo. </t>
  </si>
  <si>
    <t>8.9.-</t>
  </si>
  <si>
    <t xml:space="preserve">De acuerdo con el total de personas adolescentes internadas que reportó como respuesta en la pregunta 8.1, anote la cantidad de las mismas especificando su lugar de residencia habitual y sexo. </t>
  </si>
  <si>
    <t>8.10.-</t>
  </si>
  <si>
    <t>De acuerdo con el total de personas adolescentes internadas que reportó como respuesta en la pregunta 8.1, anote, por cada uno de los centros especializados de su entidad federativa, la cantidad de las mismas especificando su estado civil y sexo.</t>
  </si>
  <si>
    <t>Personas adolescentes internadas en los centros especializados, según estado civil y sexo</t>
  </si>
  <si>
    <t>Unión libre</t>
  </si>
  <si>
    <t>8.11.-</t>
  </si>
  <si>
    <t>De acuerdo con el total de personas adolescentes internadas que reportó como respuesta en la pregunta 8.1, anote, por cada uno de los centros especializados de su entidad federativa, la cantidad de las mismas especificando su sexo y condición de tener hijas y/ o hijos.</t>
  </si>
  <si>
    <t>Personas adolescentes internadas en los centros especializados, según sexo y condición de tener hijas y/ o hijos</t>
  </si>
  <si>
    <t>8.12.-</t>
  </si>
  <si>
    <t>Anote, por cada uno de los centros especializados de su entidad federativa, la cantidad de hijas y/ o hijos de las personas adolescentes internadas en el mismo al cierre del año 2023, según condición edad y sexo.</t>
  </si>
  <si>
    <t>Para cada centro especializado, en caso de que la cantidad reportada como respuesta en la columna "Subtotal" del apartado "Con hijas y/ o hijos" de la pregunta anterior no sea un dato numérico mayor a cero, no puede registrar información en el presente reactivo.</t>
  </si>
  <si>
    <t>Debe considerar las hijas y/ o hijos de las personas adolescentes internadas, mas no las personas adolescentes internadas.</t>
  </si>
  <si>
    <t>Debe considerar los años cumplidos al cierre del año 2023 de las hijas y/ o hijos de las personas adolescentes internadas en los centros especializados.</t>
  </si>
  <si>
    <t>Para cada centro especializado, la cantidad registrada en la columna "Total" debe ser igual o mayor a la cantidad reportada como respuesta en la columna "Subtotal" del apartado “Con hijas y/ o hijos” de la pregunta anterior.</t>
  </si>
  <si>
    <t>Hijas y/ o hijos de las personas adolescentes internadas en los centros especializados, según condición edad y sexo</t>
  </si>
  <si>
    <t>Mayores de edad</t>
  </si>
  <si>
    <t>Menores de edad</t>
  </si>
  <si>
    <t>COM. IN4</t>
  </si>
  <si>
    <t>8.13.-</t>
  </si>
  <si>
    <t>De acuerdo con el total de personas adolescentes internadas que reportó como respuesta en la pregunta 8.1, anote, por cada uno de los centros especializados de su entidad federativa, la cantidad de las mismas especificando su sexo y condición de tener personas dependientes económicas.</t>
  </si>
  <si>
    <t>Personas adolescentes internadas en los centros especializados, según sexo y condición de tener personas dependientes económicas</t>
  </si>
  <si>
    <t>Con personas dependientes económicas</t>
  </si>
  <si>
    <t>Sin personas dependientes económicas</t>
  </si>
  <si>
    <t>8.14.-</t>
  </si>
  <si>
    <t>De acuerdo con el total de personas adolescentes internadas que reportó como respuesta en la pregunta 8.1, anote, por cada uno de los centros especializados de su entidad federativa, la cantidad de las mismas especificando su condición de alfabetismo y sexo.</t>
  </si>
  <si>
    <t>Personas adolescentes internadas en los centros especializados, según condición de alfabetismo y sexo</t>
  </si>
  <si>
    <t>8.15.-</t>
  </si>
  <si>
    <t>De acuerdo con el total de personas adolescentes internadas que reportó como respuesta en la pregunta 8.1, anote, por cada uno de los centros especializados de su entidad federativa, la cantidad de las mismas especificando su condición de dominio del español y sexo.</t>
  </si>
  <si>
    <t>Personas adolescentes internadas en los centros especializados, según condición de dominio del español y sexo</t>
  </si>
  <si>
    <t>8.16.-</t>
  </si>
  <si>
    <t>De acuerdo con el total de personas adolescentes internadas que reportó como respuesta en la pregunta 8.1, anote, por cada uno de los centros especializados de su entidad federativa, la cantidad de las mismas especificando su condición de hablar alguna lengua indígena y sexo.</t>
  </si>
  <si>
    <t>Personas adolescentes internadas en los centros especializados, según condición de hablar alguna lengua indígena y sexo</t>
  </si>
  <si>
    <t>8.17.-</t>
  </si>
  <si>
    <t>De acuerdo con el total de personas adolescentes internadas que reportó como respuesta en el apartado "Hablan alguna lengua indígena" de la pregunta anterior, anote la cantidad de las mismas especificando la familia lingüística de la lengua indígena que hablan y sexo.</t>
  </si>
  <si>
    <t xml:space="preserve">La suma de las cantidades registradas en la columna "Total" debe ser igual o mayor a la suma de las cantidades reportadas como respuesta en la columna "Subtotal" del apartado "Hablan alguna lengua indígena" de la pregunta anterior, así como corresponder a su desagregación por sexo; toda vez que una persona adolescente internada puede hablar más de una lengua indígena de diferente familia lingüística. </t>
  </si>
  <si>
    <t>Personas adolescentes internadas en los centros especializados que hablan alguna lengua indígena, según sexo</t>
  </si>
  <si>
    <t>8.18.-</t>
  </si>
  <si>
    <t>De acuerdo con el total de personas adolescentes internadas que reportó como respuesta en la pregunta 8.1, anote, por cada uno de los centros especializados de su entidad federativa, la cantidad de las mismas especificando su condición de pertenencia a pueblo indígena y sexo.</t>
  </si>
  <si>
    <t>Personas adolescentes internadas en los centros especializados, según condición de pertenencia a pueblo indígena y sexo</t>
  </si>
  <si>
    <t>8.19.-</t>
  </si>
  <si>
    <t>De acuerdo con el total de personas adolescentes internadas que reportó como respuesta en el apartado “Pertenecen a pueblo indígena” de la pregunta anterior, anote la cantidad de las mismas especificando su pueblo indígena de pertenencia y sexo.</t>
  </si>
  <si>
    <t>Personas adolescentes internadas en los centros especializados que pertenecen a pueblo indígena, según sexo</t>
  </si>
  <si>
    <t>8.20.-</t>
  </si>
  <si>
    <t>De acuerdo con el total de personas adolescentes internadas que reportó como respuesta en la pregunta 8.1, anote, por cada uno de los centros especializados de su entidad federativa, la cantidad de las mismas especificando su condición de discapacidad y sexo.</t>
  </si>
  <si>
    <t>Personas adolescentes internadas en los centros especializados, según condición de discapacidad y sexo</t>
  </si>
  <si>
    <t>Con discapacidad</t>
  </si>
  <si>
    <t xml:space="preserve">Sin discapacidad </t>
  </si>
  <si>
    <t>8.21.-</t>
  </si>
  <si>
    <t>De acuerdo con el total de personas adolescentes internadas que reportó como respuesta en el apartado "Con discapacidad" de la pregunta anterior, anote la cantidad de las mismas especificando el tipo de discapacidad y sexo.</t>
  </si>
  <si>
    <t>En caso de que la suma de las cantidades reportadas como respuesta en la columna "Subtotal" del apartado "Con discapacidad" de la pregunta anterior no sea un dato numérico mayor a cero, no puede registrar información en el presente reactivo.</t>
  </si>
  <si>
    <t>La suma de las cantidades registradas en la columna "Total" debe ser igual o mayor a la suma de las cantidades reportadas como respuesta en la columna "Subtotal" del apartado "Con discapacidad" de la pregunta anterior, así como corresponder a su desagregación por sexo; toda vez que una persona adolescente internada puede presentar más de un tipo de discapacidad.</t>
  </si>
  <si>
    <t>La cantidad registrada en la columna "Total" de cada tipo de discapacidad debe ser igual o menor a la suma de las cantidades reportadas como respuesta en la columna "Subtotal" del apartado "Con discapacidad" de la pregunta anterior, así como corresponder a su desagregación por sexo. En caso de que esta instrucción no le aplique, justifíquelo en el recuadro que se encuentra al final de la tabla de respuesta.</t>
  </si>
  <si>
    <t>Tipo de discapacidad</t>
  </si>
  <si>
    <t>Personas adolescentes con discapacidad internadas en los centros especializados, según sexo</t>
  </si>
  <si>
    <t>COM. IN3</t>
  </si>
  <si>
    <t>COM. IN2</t>
  </si>
  <si>
    <t>Dificultad o impedimento para caminar, subir o bajar escalones usando sus piernas</t>
  </si>
  <si>
    <t>Dificultad o impedimento para ver, aun usando lentes</t>
  </si>
  <si>
    <t>Dificultad o impedimento para mover o usar sus brazos o manos</t>
  </si>
  <si>
    <t>Dificultad o impedimento para aprender, recordar o concentrarse por alguna condición intelectual, por ejemplo síndrome de Down</t>
  </si>
  <si>
    <t>Dificultad o impedimento para oír, aun usando aparato auditivo</t>
  </si>
  <si>
    <r>
      <t xml:space="preserve">Dificultad o impedimento para hablar o comunicarse </t>
    </r>
    <r>
      <rPr>
        <i/>
        <sz val="8"/>
        <rFont val="Arial"/>
        <family val="2"/>
      </rPr>
      <t>(entender o ser entendido o entendida por otras personas)</t>
    </r>
  </si>
  <si>
    <t>Dificultad o impedimento para bañarse, vestirse o comer</t>
  </si>
  <si>
    <t>Dificultad o impedimento para realizar sus actividades diarias por alguna condición emocional o mental, por ejemplo esquizofrenia o depresión</t>
  </si>
  <si>
    <t>8.22.-</t>
  </si>
  <si>
    <t>De acuerdo con el total de personas adolescentes internadas que reportó como respuesta en la pregunta 8.1, anote, por cada uno de los centros especializados de su entidad federativa, la cantidad de las mismas especificando su condición de uso de sustancias psicoactivas y sexo.</t>
  </si>
  <si>
    <t>El apartado "Farmacodependencia" se asocia a un contexto en donde las personas adolescentes internadas presentan algún signo o síntoma de dependencia a estupefacientes o psicotrópicos.</t>
  </si>
  <si>
    <t>El apartado "Consumo" se asocia a un contexto en donde las personas adolescentes internadas consumen o utilizan estupefacientes o psicotrópicos, pero no presentan signos ni síntomas de dependencia a los mismos.</t>
  </si>
  <si>
    <t>El apartado "Uso no identificado de sustancias psicoactivas" se asocia a un contexto en donde las personas adolescentes internadas usan estupefacientes o psicotrópicos, pero no se identifica el tipo de uso de los mismos.</t>
  </si>
  <si>
    <t>Personas adolescentes internadas en los centros especializados, según condición de uso de sustancias psicoactivas y sexo</t>
  </si>
  <si>
    <t>Con uso de sustancias psicoactivas</t>
  </si>
  <si>
    <t>Sin uso de sustancias psicoactivas</t>
  </si>
  <si>
    <t>Farmacodependencia</t>
  </si>
  <si>
    <t>Consumo</t>
  </si>
  <si>
    <t>Uso no identificado de sustancias psicoactivas</t>
  </si>
  <si>
    <t>8.23.-</t>
  </si>
  <si>
    <t>De acuerdo con el total de personas adolescentes internadas que reportó como respuesta en el grupo "Con uso de sustancias psicoactivas" de la pregunta anterior, anote la cantidad de las mismas especificando el tipo de sustancia psicoactiva, tipo de uso y sexo.</t>
  </si>
  <si>
    <t>Para cada tipo de uso de sustancias psicoactivas, en caso de que la suma de las cantidades reportadas como respuesta en la columna "Subtotal" del respectivo apartado de la pregunta anterior no sea un dato numérico mayor a cero, no puede registrar información en el presente reactivo.</t>
  </si>
  <si>
    <t>Para cada tipo de uso de sustancias psicoactivas, la suma de las cantidades registradas en la columna "Total" debe ser igual o mayor a la suma de las cantidades reportadas como respuesta en la columna "Subtotal" del respectivo apartado de la pregunta anterior, así como corresponder a su desagregación por sexo; toda vez que una persona adolescente internada puede usar más de un tipo de sustancia psicoactiva.</t>
  </si>
  <si>
    <t>Para cada tipo de uso de sustancias psicoactivas, la cantidad registrada en la columna "Total" de cada tipo de sustancia psicoactiva debe ser igual o menor a la suma de las cantidades reportadas como respuesta en la columna "Subtotal" del respectivo apartado de la pregunta anterior, así como corresponder a su desagregación por sexo. En caso de que esta instrucción no le aplique, justifíquelo en el recuadro que se encuentra al final de la tabla de respuesta.</t>
  </si>
  <si>
    <t>Tipo de sustancias psicoactivas</t>
  </si>
  <si>
    <t>Personas adolescentes con uso de sustancias psicoactivas internadas en los centros especializados, según tipo de uso y sexo</t>
  </si>
  <si>
    <t>GRIS</t>
  </si>
  <si>
    <t>BLANCOS/BANDERA</t>
  </si>
  <si>
    <t>GRIS/BANDERA</t>
  </si>
  <si>
    <t>Tabaco</t>
  </si>
  <si>
    <t>Alcohol</t>
  </si>
  <si>
    <t>Mariguana</t>
  </si>
  <si>
    <r>
      <t xml:space="preserve">Cocaína </t>
    </r>
    <r>
      <rPr>
        <i/>
        <sz val="8"/>
        <rFont val="Arial"/>
        <family val="2"/>
      </rPr>
      <t>(incluyendo sus diferentes formas, como polvo, pasta base y pasta de coca)</t>
    </r>
  </si>
  <si>
    <r>
      <rPr>
        <i/>
        <sz val="9"/>
        <rFont val="Arial"/>
        <family val="2"/>
      </rPr>
      <t>Crack</t>
    </r>
    <r>
      <rPr>
        <sz val="9"/>
        <rFont val="Arial"/>
        <family val="2"/>
      </rPr>
      <t xml:space="preserve"> o piedra</t>
    </r>
  </si>
  <si>
    <r>
      <t xml:space="preserve">Alucinógenos </t>
    </r>
    <r>
      <rPr>
        <i/>
        <sz val="8"/>
        <rFont val="Arial"/>
        <family val="2"/>
      </rPr>
      <t>(hongos, peyote, LSD, etc.)</t>
    </r>
  </si>
  <si>
    <r>
      <t xml:space="preserve">Inhalables </t>
    </r>
    <r>
      <rPr>
        <i/>
        <sz val="8"/>
        <rFont val="Arial"/>
        <family val="2"/>
      </rPr>
      <t>(tíner, pegamento, activo, etc.)</t>
    </r>
  </si>
  <si>
    <t>Opio o heroína</t>
  </si>
  <si>
    <r>
      <t xml:space="preserve">Estimulantes tipo anfetamínico </t>
    </r>
    <r>
      <rPr>
        <i/>
        <sz val="8"/>
        <rFont val="Arial"/>
        <family val="2"/>
      </rPr>
      <t>(drogas de diseño como tachas, MDMA, cristal, etc.)</t>
    </r>
  </si>
  <si>
    <t>8.24.-</t>
  </si>
  <si>
    <t>De acuerdo con el total de personas adolescentes internadas que reportó como respuesta en la pregunta 8.1, anote, por cada uno de los centros especializados de su entidad federativa, la cantidad de las mismas especificando su condición de presentar alguna enfermedad crónica-degenerativa y sexo.</t>
  </si>
  <si>
    <t>Personas adolescentes internadas en los centros especializados, según condición de presentar alguna enfermedad crónica-degenerativa y sexo</t>
  </si>
  <si>
    <t>Con alguna enfermedad crónica-degenerativa</t>
  </si>
  <si>
    <t>Sin alguna enfermedad crónica-degenerativa</t>
  </si>
  <si>
    <t>8.25.-</t>
  </si>
  <si>
    <t>De acuerdo con el total de personas adolescentes internadas que reportó como respuesta en el apartado "Con alguna enfermedad crónica-degenerativa" de la pregunta anterior, anote la cantidad de las mismas especificando el tipo de enfermedad crónica-degenerativa y sexo.</t>
  </si>
  <si>
    <t>En caso de que la suma de las cantidades reportadas como respuesta en la columna "Subtotal" del apartado "Con alguna enfermedad crónica-degenerativa" de la pregunta anterior no sea un dato numérico mayor a cero, no puede registrar información en el presente reactivo.</t>
  </si>
  <si>
    <t>La suma de las cantidades registradas en la columna "Total" debe ser igual o mayor a la suma de las cantidades reportadas como respuesta en la columna "Subtotal" del apartado "Con alguna enfermedad crónica-degenerativa" de la pregunta anterior, así como corresponder a su desagregación por sexo; toda vez que una persona adolescente internada puede presentar más de un tipo de enfermedad crónica-degenerativa.</t>
  </si>
  <si>
    <t>La cantidad registrada en la columna "Total" de cada tipo de enfermedad crónica-degenerativa debe ser igual o menor a la suma de las cantidades reportadas como respuesta en la columna "Subtotal" del apartado "Con alguna enfermedad crónica-degenerativa" de la pregunta anterior, así como corresponder a su desagregación por sexo. En caso de que esta instrucción no le aplique, justifíquelo en el recuadro que se encuentra al final de la tabla de respuesta.</t>
  </si>
  <si>
    <t>Tipo de enfermedad crónica-degenerativa</t>
  </si>
  <si>
    <t>Personas adolescentes con alguna enfermedad crónica-degenerativa internadas en los centros especializados, según sexo</t>
  </si>
  <si>
    <t>Diabetes</t>
  </si>
  <si>
    <t>Cáncer</t>
  </si>
  <si>
    <t>Cirrosis hepática</t>
  </si>
  <si>
    <t>Hipotiroidismo</t>
  </si>
  <si>
    <t>Enfermedades cardiovasculares</t>
  </si>
  <si>
    <t>Enfermedades respiratorias</t>
  </si>
  <si>
    <t>Enfermedades renales</t>
  </si>
  <si>
    <t>Enfermedades reumáticas</t>
  </si>
  <si>
    <t>8.26.-</t>
  </si>
  <si>
    <t>De acuerdo con el total de personas adolescentes internadas que reportó como respuesta en la pregunta 8.1, anote, por cada uno de los centros especializados de su entidad federativa, la cantidad de las mismas especificando su condición de presentar alguna enfermedad mental y/ o trastorno cognitivo y sexo.</t>
  </si>
  <si>
    <t>Personas adolescentes internadas en los centros especializados, según condición de presentar alguna enfermedad mental y/ o trastorno cognitivo y sexo</t>
  </si>
  <si>
    <t>Con alguna enfermedad mental y/ o trastorno cognitivo</t>
  </si>
  <si>
    <t>Sin alguna enfermedad mental y/ o trastorno cognitivo</t>
  </si>
  <si>
    <t>8.27.-</t>
  </si>
  <si>
    <t>De acuerdo con el total de personas adolescentes internadas que reportó como respuesta en el apartado "Con alguna enfermedad mental y/ o trastorno cognitivo" de la pregunta anterior, anote la cantidad de las mismas especificando el tipo de enfermedad mental y/ o trastorno cognitivo y sexo.</t>
  </si>
  <si>
    <t>En caso de que la suma de las cantidades reportadas como respuesta en la columna "Subtotal" del apartado "Con alguna enfermedad mental y/ o trastorno cognitivo" de la pregunta anterior no sea un dato numérico mayor a cero, no puede registrar información en el presente reactivo.</t>
  </si>
  <si>
    <t>La suma de las cantidades registradas en la columna "Total" debe ser igual o mayor a la suma de las cantidades reportadas como respuesta en la columna "Subtotal" del apartado "Con alguna enfermedad mental y/ o trastorno cognitivo" de la pregunta anterior, así como corresponder a su desagregación por sexo; toda vez que una persona adolescente internada puede presentar más de un tipo de enfermedad mental y/ o trastorno cognitivo.</t>
  </si>
  <si>
    <t>La cantidad registrada en la columna "Total" de cada tipo de enfermedad mental y/ o trastorno cognitivo debe ser igual o menor a la suma de las cantidades reportadas como respuesta en la columna "Subtotal" del apartado "Con alguna enfermedad mental y/ o trastorno cognitivo" de la pregunta anterior, así como corresponder a su desagregación por sexo. En caso de que esta instrucción no le aplique, justifíquelo en el recuadro que se encuentra al final de la tabla de respuesta.</t>
  </si>
  <si>
    <t>Tipo de enfermedad mental y/ o trastorno cognitivo</t>
  </si>
  <si>
    <t>Personas adolescentes con alguna enfermedad mental y/ o trastorno cognitivo internadas en los centros especializados, según sexo</t>
  </si>
  <si>
    <t>Esquizofrenia u otros trastornos psicóticos primarios</t>
  </si>
  <si>
    <t>Trastornos depresivos</t>
  </si>
  <si>
    <t>Trastornos bipolares</t>
  </si>
  <si>
    <t>Trastornos de demencia</t>
  </si>
  <si>
    <t>Trastornos de ansiedad y/ o relacionados con el miedo</t>
  </si>
  <si>
    <t>Trastornos mentales debidos al uso de sustancias psicoactivas</t>
  </si>
  <si>
    <t>Trastornos de la personalidad</t>
  </si>
  <si>
    <r>
      <t xml:space="preserve">Trastornos del desarrollo intelectual </t>
    </r>
    <r>
      <rPr>
        <i/>
        <sz val="8"/>
        <rFont val="Arial"/>
        <family val="2"/>
      </rPr>
      <t>(incluido el autismo)</t>
    </r>
  </si>
  <si>
    <t>8.28.-</t>
  </si>
  <si>
    <t>De acuerdo con el total de personas adolescentes internadas que reportó como respuesta en la pregunta 8.1, anote, por cada uno de los centros especializados de su entidad federativa, la cantidad de las mismas especificando su condición de presentar alguna enfermedad infecciosa y/ o parasitaria y sexo.</t>
  </si>
  <si>
    <t>Personas adolescentes internadas en los centros especializados, según condición de presentar alguna enfermedad infecciosa y/ o parasitaria y sexo</t>
  </si>
  <si>
    <t>Con alguna enfermedad infecciosa y/ o parasitaria</t>
  </si>
  <si>
    <t>Sin alguna enfermedad infecciosa y/ o parasitaria</t>
  </si>
  <si>
    <t>8.29.-</t>
  </si>
  <si>
    <t>De acuerdo con el total de personas adolescentes internadas que reportó como respuesta en el apartado "Con alguna enfermedad infecciosa y/ o parasitaria" de la pregunta anterior, anote la cantidad de las mismas especificando el tipo de enfermedad infecciosa y/ o parasitaria y sexo.</t>
  </si>
  <si>
    <t>En caso de que la suma de las cantidades reportadas como respuesta en la columna "Subtotal" del apartado "Con alguna enfermedad infecciosa y/ o parasitaria" de la pregunta anterior no sea un dato numérico mayor a cero, no puede registrar información en el presente reactivo.</t>
  </si>
  <si>
    <t>La suma de las cantidades registradas en la columna "Total" debe ser igual o mayor a la suma de las cantidades reportadas como respuesta en la columna "Subtotal" del apartado "Con alguna enfermedad infecciosa y/ o parasitaria" de la pregunta anterior, así como corresponder a su desagregación por sexo; toda vez que una persona adolescente internada puede presentar más de un tipo de enfermedad infecciosa y/ o parasitaria.</t>
  </si>
  <si>
    <t>La cantidad registrada en la columna "Total" de cada tipo de enfermedad infecciosa y/ o parasitaria debe ser igual o menor a la suma de las cantidades reportadas como respuesta en la columna "Subtotal" del apartado "Con alguna enfermedad infecciosa y/ o parasitaria" de la pregunta anterior, así como corresponder a su desagregación por sexo. En caso de que esta instrucción no le aplique, justifíquelo en el recuadro que se encuentra al final de la tabla de respuesta.</t>
  </si>
  <si>
    <t>Tipo de enfermedad infecciosa y/ o parasitaria</t>
  </si>
  <si>
    <t>Personas adolescentes con alguna enfermedad infecciosa y/ o parasitaria internadas en los centros especializados, según sexo</t>
  </si>
  <si>
    <t>Cólera</t>
  </si>
  <si>
    <t>Fiebre tifoidea</t>
  </si>
  <si>
    <t>Gastroenteritis</t>
  </si>
  <si>
    <t>Amebiasis</t>
  </si>
  <si>
    <t>Tuberculosis</t>
  </si>
  <si>
    <t>Peste</t>
  </si>
  <si>
    <t>Lepra</t>
  </si>
  <si>
    <t>Tétanos</t>
  </si>
  <si>
    <t xml:space="preserve">Escarlatina </t>
  </si>
  <si>
    <t>Tos ferina</t>
  </si>
  <si>
    <t>Sífilis</t>
  </si>
  <si>
    <t>Dengue</t>
  </si>
  <si>
    <r>
      <t>Hepatitis</t>
    </r>
    <r>
      <rPr>
        <i/>
        <sz val="8"/>
        <rFont val="Arial"/>
        <family val="2"/>
      </rPr>
      <t xml:space="preserve"> (viral tipo A, B, C, D y E)</t>
    </r>
  </si>
  <si>
    <t>Virus del papiloma humano</t>
  </si>
  <si>
    <t>VIH</t>
  </si>
  <si>
    <t>Cisticercosis</t>
  </si>
  <si>
    <t>COVID-19</t>
  </si>
  <si>
    <t>VIII.2 Delitos cometidos por las personas adolescentes internadas</t>
  </si>
  <si>
    <t>2.- Para las preguntas 8.31 y 8.32, en caso de que presente dudas sobre la clasificación de los delitos, por favor consulte la Norma Técnica para la Clasificación Nacional de Delitos para Fines Estadísticos: https://www.dof.gob.mx/nota_detalle.php?codigo=5541706&amp;fecha=22/10/2018. De igual forma, puede consultar el Manual de Implementación de la Norma Técnica para la Clasificación Nacional de Delitos para Fines Estadísticos: https://www.snieg.mx/DocumentacionPortal/Normatividad/vigente/manual_implemen_nt_vf_250719.pdf</t>
  </si>
  <si>
    <t>3.- Para las preguntas 8.31 y 8.32, y de acuerdo con lo establecido en la séptima instrucción general para las preguntas de la sección, en caso de que determinado delito no se encuentre previsto en su normatividad aplicable, anote "NA" (No aplica) en la columna "Total" y deje el resto de la fila en blanco.</t>
  </si>
  <si>
    <t xml:space="preserve">4.- Para las preguntas 8.31 y 8.32, en caso de que reporte "NA" (No aplica) para determinado delito registrado en los numerales 02.06, 03.04, 04.01, 04.02, 04.05, 06.01, 06.02, 07.01, 07.02, 07.06, 08.01, 08.02, 09.05, 09.07 y 09.16, sus respectivos tipos específicos también deben reportarse conforme a la instrucción anterior. </t>
  </si>
  <si>
    <t xml:space="preserve">5.- Para las preguntas 8.31 y 8.32, en caso de que desconozca el delito o tipo específico del que se trate, regístrelo en la categoría “No identificado” correspondiente. En consecuencia, no debe considerarlo dentro de la categoría “Otros delitos” de cada bien jurídico. </t>
  </si>
  <si>
    <t>6.- Para las preguntas 8.31 y 8.32, la suma de las cantidades registradas en las desagregaciones de los tipos específicos correspondientes debe dar como resultado el total del respectivo delito registrado en el numeral 02.06, 03.04, 04.01, 04.02, 04.05, 06.01, 06.02, 07.01, 07.02, 07.06, 08.01, 08.02, 09.05, 09.07 y 09.16.</t>
  </si>
  <si>
    <t>7.- Para las preguntas 8.31 y 8.32, en caso de que la incidencia de registro en la categoría "Otros delitos" de cada bien jurídico sea mayor al 25 % del total correspondiente al mismo, debe anotar el nombre del o de los delitos registrados en dicha categoría en el recuadro que se encuentra al final de la tabla de respuesta.</t>
  </si>
  <si>
    <t>8.30.-</t>
  </si>
  <si>
    <t>Anote la cantidad de delitos cometidos por las personas adolescentes internadas al cierre del año 2023 en los centros especializados de su entidad federativa, según el fuero del delito, así como el estatus jurídico y sexo de las personas adolescentes.</t>
  </si>
  <si>
    <t>En caso de que la suma de las cantidades reportadas como respuesta en la columna "Total" de la pregunta 8.1 no sea un dato numérico mayor a cero, no puede registrar información en el presente reactivo.</t>
  </si>
  <si>
    <t>La suma de las cantidades registradas en la columna "Total" debe ser igual o mayor a la suma de las cantidades reportadas como respuesta en la columna "Total" de la pregunta 8.2, así como corresponder a su desagregación por fuero del delito cometido y sexo de las personas adolescentes; toda vez que una persona adolescente puede estar internada por la comisión de uno o más delitos. En caso de que esta instrucción no le aplique, justifíquelo en el recuadro que se encuentra al final de la tabla de respuesta.</t>
  </si>
  <si>
    <t>La suma de las cantidades registradas en la columna "Total" debe ser igual o mayor a la suma de las cantidades reportadas como respuesta en la columna "Total" de la pregunta 8.3, así como corresponder a su desagregación por estatus jurídico y sexo de las personas adolescentes; toda vez que una persona adolescente puede estar internada por la comisión de uno o más delitos. En caso de que esta instrucción no le aplique, justifíquelo en el recuadro que se encuentra al final de la tabla de respuesta.</t>
  </si>
  <si>
    <t>Delitos cometidos por las personas adolescentes internadas en los centros especializados, según estatus jurídico y sexo de las personas adolescentes</t>
  </si>
  <si>
    <t>8.31.-</t>
  </si>
  <si>
    <t>De acuerdo con el total de delitos del fuero común que reportó como respuesta en la pregunta anterior, anote la cantidad de los mismos especificando el tipo de delito, así como el estatus jurídico y sexo de las personas adolescentes.</t>
  </si>
  <si>
    <t>La suma de las cantidades registradas en la columna "Total" debe ser igual a la cantidad reportada como respuesta en la columna "Total" del numeral 1 de la pregunta anterior, así como corresponder a su desagregación por estatus jurídico y sexo de las personas adolescentes.</t>
  </si>
  <si>
    <t>Delitos del fuero común cometidos por las personas adolescentes internadas en los centros especializados, según estatus jurídico y sexo de las personas adolescentes</t>
  </si>
  <si>
    <t>La vida y la integridad corporal</t>
  </si>
  <si>
    <t xml:space="preserve">La sociedad </t>
  </si>
  <si>
    <t>07.06.00</t>
  </si>
  <si>
    <t>8.32.-</t>
  </si>
  <si>
    <t>De acuerdo con el total de delitos del fuero federal que reportó como respuesta en la pregunta 8.30, anote la cantidad de los mismos especificando el tipo de delito, así como el estatus jurídico y sexo de las personas adolescentes.</t>
  </si>
  <si>
    <t>En caso de que la cantidad reportada como respuesta en la columna "Total" del numeral 2 de la pregunta 8.30 no sea un dato numérico mayor a cero, no puede registrar información en el presente reactivo.</t>
  </si>
  <si>
    <t>La suma de las cantidades registradas en la columna "Total" debe ser igual a la cantidad reportada como respuesta en la columna "Total" del numeral 2 de la pregunta 8.30, así como corresponder a su desagregación por estatus jurídico y sexo de las personas adolescentes.</t>
  </si>
  <si>
    <t>Delitos del fuero federal cometidos por las personas adolescentes internadas en los centros especializados, según estatus jurídico y sexo de las personas adolescentes</t>
  </si>
  <si>
    <t>VIII.3 Delitos seleccionados cometidos por las personas adolescentes internadas</t>
  </si>
  <si>
    <t>8.33.-</t>
  </si>
  <si>
    <t>Tabla resumen. Los datos que se presentan en la siguiente tabla derivan del total de delitos seleccionados cometidos por las personas adolescentes internadas al cierre del año 2023 en los centros especializados de su entidad federativa que reportó como respuesta en las preguntas 8.31 y 8.32. Dichos datos serán utilizados como base para la respuesta de las preguntas subsecuentes.</t>
  </si>
  <si>
    <t>Delitos seleccionados cometidos por las personas adolescentes internadas en los centros especializados, según estatus jurídico y sexo de las personas adolescentes</t>
  </si>
  <si>
    <t>8.34.-</t>
  </si>
  <si>
    <t>De acuerdo con el total de delitos que reportó como respuesta en el numeral 07.01 de la pregunta anterior, anote la cantidad de los mismos especificando el tipo específico, tipo de narcótico y sexo de las personas adolescentes.</t>
  </si>
  <si>
    <t>Para cada delito y tipo específico de narcomenudeo, la cantidad registrada en la columna "Total" debe ser igual o mayor a la cantidad reportada como respuesta en la columna "Total" del respectivo numeral de la pregunta anterior, así como corresponder a su desagregación por sexo; toda vez que un delito de narcomenudeo pudo haber estado asociado a más de un tipo de narcótico.</t>
  </si>
  <si>
    <t>Para cada delito y tipo específico de narcomenudeo, la cantidad registrada en la columna "Subtotal" de cada tipo de narcótico debe ser igual o menor a la cantidad reportada como respuesta en la columna "Total" del respectivo numeral de la pregunta anterior, así como corresponder a su desagregación por sexo. En caso de que esta instrucción no le aplique, justifíquelo en el recuadro que se encuentra al final de la tabla de respuesta.</t>
  </si>
  <si>
    <t>Delitos de narcomenudeo</t>
  </si>
  <si>
    <t>Delitos de narcomenudeo cometidos por las personas adolescentes internadas en los centros especializados, según tipo de narcótico y sexo de las personas adolescentes</t>
  </si>
  <si>
    <t>Opio</t>
  </si>
  <si>
    <t>Diacetilmorfina o heroína</t>
  </si>
  <si>
    <t>Cannabis sativa, índica o mariguana</t>
  </si>
  <si>
    <t>Cocaína</t>
  </si>
  <si>
    <t>COMP. INS1</t>
  </si>
  <si>
    <t>Lisergida (LSD)</t>
  </si>
  <si>
    <t>MDA, Metilendioxianfetamina</t>
  </si>
  <si>
    <t>MDMA, dl-34-metilendioxi-n-dimetilfeniletilamina</t>
  </si>
  <si>
    <t>Metanfetamina</t>
  </si>
  <si>
    <t>8.35.-</t>
  </si>
  <si>
    <t>Anote la cantidad de personas adolescentes internadas al cierre del año 2023 en los centros especializados de su entidad federativa, según delito seleccionado cometido y sexo.</t>
  </si>
  <si>
    <t>Para cada delito y tipo específico seleccionado, la cantidad registrada en la columna "Total" debe ser igual o menor a la suma de las cantidades reportadas como respuesta en la columna "Total" de la pregunta 8.1, así como corresponder a su desagregación por sexo.</t>
  </si>
  <si>
    <t xml:space="preserve">Para cada delito y tipo específico seleccionado, la cantidad registrada en la columna "Total" debe ser igual o menor a la cantidad reportada como respuesta en la columna "Total" de la pregunta 8.33, así como corresponder a su desagregación por sexo. En caso de que esta instrucción no le aplique, justifíquelo en el recuadro que se encuentra al final de la tabla de respuesta. </t>
  </si>
  <si>
    <t>8.36.-</t>
  </si>
  <si>
    <t>De acuerdo con el total de personas adolescentes internadas que reportó como respuesta en el numeral 07.01 de la pregunta anterior, anote la cantidad de las mismas especificando el tipo específico, tipo de narcótico y sexo.</t>
  </si>
  <si>
    <t>Para cada delito y tipo específico de narcomenudeo, la cantidad registrada en la columna "Total" debe ser igual o mayor a la cantidad reportada como respuesta en la columna "Total" del respectivo numeral de la pregunta anterior, así como corresponder a su desagregación por sexo; toda vez que una persona adolescente internada por el delito de narcomenudeo pudo haber estado asociada a más de un tipo de narcótico.</t>
  </si>
  <si>
    <t xml:space="preserve">Para cada delito de narcomenudeo, la cantidad registrada en la columna "Total" debe ser igual o menor a la cantidad reportada como respuesta en la columna "Total" de la pregunta 8.34, así como corresponder a su desagregación por tipo de narcótico y sexo. En caso de que esta instrucción no le aplique, justifíquelo en el recuadro que se encuentra al final de la tabla de respuesta. </t>
  </si>
  <si>
    <t>Personas adolescentes internadas en los centros especializados por delitos de narcomenudeo, según tipo de narcótico y sexo</t>
  </si>
  <si>
    <t>5.- El listado de centros especializados que se despliega corresponde al que registró como respuesta en la pregunta 1.1.</t>
  </si>
  <si>
    <t>IX.1 Mujeres adolescentes internadas embarazadas o en periodo de lactancia</t>
  </si>
  <si>
    <t>9.1.-</t>
  </si>
  <si>
    <t>Anote, por cada uno de los centros especializados de su entidad federativa, la cantidad de mujeres adolescentes internadas que se encontraban embarazadas y/ o en periodo de lactancia al cierre del año 2023.</t>
  </si>
  <si>
    <t>Para cada centro especializado, en caso de que la cantidad reportada como respuesta en la columna "Mujeres" de la pregunta 8.1 no sea un dato numérico mayor a cero, no puede registrar información en el presente reactivo.</t>
  </si>
  <si>
    <t>Para cada centro especializado, la cantidad registrada en la columna "Total" debe ser igual o menor a la cantidad reportada como respuesta en la columna "Mujeres" de la pregunta 8.1.</t>
  </si>
  <si>
    <t>Mujeres adolescentes embarazadas y/ o en periodo de lactancia internadas en los centros especializados</t>
  </si>
  <si>
    <t xml:space="preserve">Embarazadas </t>
  </si>
  <si>
    <t xml:space="preserve"> En periodo de lactancia</t>
  </si>
  <si>
    <t>Embarazadas y en periodo de lactancia</t>
  </si>
  <si>
    <t xml:space="preserve">IX.2 Mujeres adolescentes internadas con hijas y/ o hijos menores de seis años </t>
  </si>
  <si>
    <t>1.- Para cada centro especializado, en caso de que la cantidad que reporte como respuesta en la pregunta 9.2 no sea un dato numérico mayor a cero, no puede registrar información en el resto de los reactivos de la subsección.</t>
  </si>
  <si>
    <t>9.2.-</t>
  </si>
  <si>
    <t>Anote, por cada uno de los centros especializados de su entidad federativa, el total de mujeres adolescentes internadas que tuvieron consigo al cierre del año 2023 a sus hijas y/ o hijos menores de seis años.</t>
  </si>
  <si>
    <t>Para cada centro especializado, en caso de que la cantidad reportada como respuesta en la columna "Mujeres" del apartado "Con hijas y/ o hijos" de la pregunta 8.11 no sea un dato numérico mayor a cero, no puede registrar información en el presente reactivo.</t>
  </si>
  <si>
    <t>Para cada centro especializado, la cantidad registrada debe ser igual o menor a la cantidad reportada como respuesta en la columna "Mujeres" del apartado "Con hijas y/ o hijos" de la pregunta 8.11.</t>
  </si>
  <si>
    <t>Mujeres adolescentes internadas en los centros especializados que tuvieron consigo a sus hijas y/ o hijos menores de seis años</t>
  </si>
  <si>
    <t>9.3.-</t>
  </si>
  <si>
    <t>Anote, por cada uno de los centros especializados de su entidad federativa, la cantidad de hijas y/ o hijos menores de seis años que se encontraban al cierre del año 2023 con sus madres adolescentes internadas en el centro especializado, según edad y sexo.</t>
  </si>
  <si>
    <t>Debe considerar los años cumplidos al cierre del año 2023 de las hijas y/ o hijos menores de seis años que se encontraban con sus madres adolescentes internadas en los centros especializados.</t>
  </si>
  <si>
    <t>Para cada centro especializado, la cantidad registrada en la columna "Total" debe ser igual o mayor a la cantidad reportada como respuesta en la pregunta anterior.</t>
  </si>
  <si>
    <t>Para cada centro especializado, la cantidad registrada en la columna "Total" debe ser igual o menor a la cantidad reportada como respuesta en la columna "Subtotal" del apartado "Menores de edad" de la pregunta 8.12, así como corresponder a su desagregación por sexo.</t>
  </si>
  <si>
    <t>Hijas y/ o hijos menores de seis años que se encontraban con sus madres adolescentes internadas en los centros especializados, según edad y sexo</t>
  </si>
  <si>
    <t>Menos de un año</t>
  </si>
  <si>
    <t>Un año</t>
  </si>
  <si>
    <t>Dos años</t>
  </si>
  <si>
    <t>Tres años</t>
  </si>
  <si>
    <t>Cuatro años</t>
  </si>
  <si>
    <t>Cinco años</t>
  </si>
  <si>
    <t>9.4.-</t>
  </si>
  <si>
    <t>De acuerdo con el total de hijas y/ o hijos menores de seis años que reportó como respuesta en la pregunta anterior, anote, por cada uno de los centros especializados de su entidad federativa, la cantidad de los mismos especificando su condición de nacimiento y sexo.</t>
  </si>
  <si>
    <t>Hijas y/ o hijos menores de seis años que se encontraban con sus madres adolescentes internadas en los centros especializados, según condición de nacimiento y sexo</t>
  </si>
  <si>
    <t>Nacidas o nacidos durante el internamiento de su madre</t>
  </si>
  <si>
    <t>Nacidas o nacidos antes del internamiento de su madre</t>
  </si>
  <si>
    <t>COM. IN1</t>
  </si>
  <si>
    <t>9.5.-</t>
  </si>
  <si>
    <t>De acuerdo con el total de hijas y/ o hijos menores de seis años que reportó como respuesta en la pregunta 9.3, anote, por cada uno de los centros especializados de su entidad federativa, la cantidad de los mismos especificando su condición de discapacidad y sexo.</t>
  </si>
  <si>
    <t>Para cada centro especializado, la cantidad registrada en la columna "Total" debe ser igual a la cantidad reportada como respuesta en la columna "Total" de la pregunta 9.3, así como corresponder a su desagregación por sexo.</t>
  </si>
  <si>
    <t>Hijas y/ o hijos menores de seis años que se encontraban con sus madres adolescentes internadas en los centros especializados, según condición de discapacidad y sexo</t>
  </si>
  <si>
    <t>9.6.-</t>
  </si>
  <si>
    <t xml:space="preserve">De acuerdo con el total de hijas y/ o hijos menores de seis años que reportó como respuesta en la pregunta 9.3, anote, por cada uno de los centros especializados de su entidad federativa, la cantidad de los mismos que se encontraban recibiendo algún tipo de educación inicial, según sexo. </t>
  </si>
  <si>
    <t xml:space="preserve">Para cada centro especializado, la cantidad registrada en la columna "Total" debe ser igual o menor a la cantidad reportada como respuesta en la columna "Total" de la pregunta 9.3, así como corresponder a su desagregación por sexo. </t>
  </si>
  <si>
    <t>Hijas y/ o hijos menores de seis años que se encontraban con sus madres adolescentes internadas en los centros especializados recibiendo algún tipo de educación inicial, según sexo</t>
  </si>
  <si>
    <t>IX.3 Mujeres adolescentes internadas que tuvieron algún aborto</t>
  </si>
  <si>
    <r>
      <t xml:space="preserve">1.- </t>
    </r>
    <r>
      <rPr>
        <b/>
        <i/>
        <sz val="8"/>
        <rFont val="Arial"/>
        <family val="2"/>
      </rPr>
      <t>Aborto.</t>
    </r>
    <r>
      <rPr>
        <i/>
        <sz val="8"/>
        <rFont val="Arial"/>
        <family val="2"/>
      </rPr>
      <t xml:space="preserve"> Se refiere, para efectos del presente censo, a la interrupción del embarazo de las mujeres adolescentes internadas. Se consideran los siguientes tipos:</t>
    </r>
  </si>
  <si>
    <r>
      <rPr>
        <b/>
        <i/>
        <sz val="8"/>
        <rFont val="Arial"/>
        <family val="2"/>
      </rPr>
      <t>Espontáneo.</t>
    </r>
    <r>
      <rPr>
        <i/>
        <sz val="8"/>
        <rFont val="Arial"/>
        <family val="2"/>
      </rPr>
      <t xml:space="preserve"> Se refiere al aborto en el que no se realiza ninguna acción para que suceda.</t>
    </r>
  </si>
  <si>
    <r>
      <rPr>
        <b/>
        <i/>
        <sz val="8"/>
        <rFont val="Arial"/>
        <family val="2"/>
      </rPr>
      <t>Provocado.</t>
    </r>
    <r>
      <rPr>
        <i/>
        <sz val="8"/>
        <rFont val="Arial"/>
        <family val="2"/>
      </rPr>
      <t xml:space="preserve"> Se refiere al aborto en el que se realiza alguna acción o método para que suceda.</t>
    </r>
  </si>
  <si>
    <r>
      <rPr>
        <b/>
        <i/>
        <sz val="8"/>
        <rFont val="Arial"/>
        <family val="2"/>
      </rPr>
      <t>Terapéutico.</t>
    </r>
    <r>
      <rPr>
        <i/>
        <sz val="8"/>
        <rFont val="Arial"/>
        <family val="2"/>
      </rPr>
      <t xml:space="preserve"> Se refiere al aborto que se realiza por prescripción médica.</t>
    </r>
  </si>
  <si>
    <t>9.7.-</t>
  </si>
  <si>
    <t>Indique, por cada uno de los centros especializados de su entidad federativa, si durante el año 2023 tuvo registro del aborto de alguna mujer adolescente internada. En caso afirmativo, anote la cantidad de mujeres adolescentes internadas que experimentaron algún aborto durante el referido año, según tipo de aborto.</t>
  </si>
  <si>
    <t xml:space="preserve">En caso de que determinado centro especializado no haya tenido registro del aborto de alguna mujer adolescente internada, o no cuente con información para determinarlo, indíquelo en la columna correspondiente conforme al catálogo respectivo y deje el resto de la fila en blanco. </t>
  </si>
  <si>
    <t>Para cada centro especializado, la cantidad registrada en la columna "Total" debe ser igual o menor a la suma de las cantidades reportadas en las columnas del apartado "Tipo de aborto", toda vez que una mujer adolescente internada pudo haber experimentado más de un aborto del mismo o diferente tipo.</t>
  </si>
  <si>
    <r>
      <t xml:space="preserve">¿Tuvo registro del aborto de alguna mujer adolescente internada?
</t>
    </r>
    <r>
      <rPr>
        <i/>
        <sz val="8"/>
        <rFont val="Arial"/>
        <family val="2"/>
      </rPr>
      <t>(1. Sí / 2. No / 9. No identificado)</t>
    </r>
  </si>
  <si>
    <t>Mujeres adolescentes internadas que experimentaron algún aborto, según tipo de aborto</t>
  </si>
  <si>
    <t>Tipo de aborto</t>
  </si>
  <si>
    <t>Espontáneo</t>
  </si>
  <si>
    <t>Provocado</t>
  </si>
  <si>
    <t>Terapéutico</t>
  </si>
  <si>
    <t>SUM TI AB</t>
  </si>
  <si>
    <t xml:space="preserve">6.- Debe considerar la información relacionada con la totalidad de los egresos de los centros especializados de la entidad federativa que tuvieron lugar durante el año, independientemente de que las personas adolescentes egresadas hayan sido las mismas. </t>
  </si>
  <si>
    <r>
      <t xml:space="preserve">1.- </t>
    </r>
    <r>
      <rPr>
        <b/>
        <i/>
        <sz val="8"/>
        <rFont val="Arial"/>
        <family val="2"/>
      </rPr>
      <t>Personas adolescentes egresadas.</t>
    </r>
    <r>
      <rPr>
        <i/>
        <sz val="8"/>
        <rFont val="Arial"/>
        <family val="2"/>
      </rPr>
      <t xml:space="preserve"> Se refiere a las personas adolescentes que son puestas en libertad de los centros especializados derivado de alguno de los siguientes supuestos:</t>
    </r>
  </si>
  <si>
    <r>
      <rPr>
        <b/>
        <i/>
        <sz val="8"/>
        <rFont val="Arial"/>
        <family val="2"/>
      </rPr>
      <t xml:space="preserve">Sujetas a proceso. </t>
    </r>
    <r>
      <rPr>
        <i/>
        <sz val="8"/>
        <rFont val="Arial"/>
        <family val="2"/>
      </rPr>
      <t>Se refiere a las personas adolescentes que no se les había dictado resolución, permitiéndoles continuar su proceso bajo el beneficio de libertad provisional, ya sea porque hubo un cambio de la medida cautelar diversa al internamiento preventivo; haya existido la revocación del auto de vinculación a proceso; se haya dictado el auto de libertad; se haya decretado como ilegal la detención (salvo que se haya decretado el sobreseimiento a partir de esta); se haya determinado la no vinculación a proceso (exceptuando los casos en los que se haya decretado el sobreseimiento dentro de la misma), se haya otorgado el amparo que no resuelve de fondo el asunto; o cualquier otra causa que les haya permitido salir del centro especializado para continuar su proceso en libertad. Dentro de esta categoría deben excluirse las causales de sobreseimiento y de extinción de la acción penal.</t>
    </r>
  </si>
  <si>
    <r>
      <rPr>
        <b/>
        <i/>
        <sz val="8"/>
        <rFont val="Arial"/>
        <family val="2"/>
      </rPr>
      <t>Por resolución absolutoria.</t>
    </r>
    <r>
      <rPr>
        <i/>
        <sz val="8"/>
        <rFont val="Arial"/>
        <family val="2"/>
      </rPr>
      <t xml:space="preserve"> Se refiere a las personas adolescentes que son puestas en libertad de los centros especializados derivado de una resolución absolutoria de primera instancia que no haya sido impugnada por alguna de las partes.</t>
    </r>
  </si>
  <si>
    <r>
      <rPr>
        <b/>
        <i/>
        <sz val="8"/>
        <rFont val="Arial"/>
        <family val="2"/>
      </rPr>
      <t>Por resolución revocatoria.</t>
    </r>
    <r>
      <rPr>
        <i/>
        <sz val="8"/>
        <rFont val="Arial"/>
        <family val="2"/>
      </rPr>
      <t xml:space="preserve"> Se refiere a las personas adolescentes que son puestas en libertad de los centros especializados derivado de la emisión de una resolución que haya modificado o dejado sin efectos la resolución condenatoria de primera instancia, a través de la cual se absuelven los cargos y la sanción de internamiento o semi-internamiento. Lo anterior, a partir de la interposición de cualquier medio de impugnación promovido ante el órgano jurisdiccional de segunda instancia, o bien, del juicio de amparo.</t>
    </r>
  </si>
  <si>
    <r>
      <rPr>
        <b/>
        <i/>
        <sz val="8"/>
        <rFont val="Arial"/>
        <family val="2"/>
      </rPr>
      <t>Por cumplimiento de sanción (sentencia).</t>
    </r>
    <r>
      <rPr>
        <i/>
        <sz val="8"/>
        <rFont val="Arial"/>
        <family val="2"/>
      </rPr>
      <t xml:space="preserve"> Se refiere a las personas adolescentes que son puestas en libertad de los centros especializados tras el cumplimiento total de la sanción de internamiento o semi-internamiento impuesta en la sentencia.</t>
    </r>
  </si>
  <si>
    <r>
      <t xml:space="preserve">Por libertad anticipada. </t>
    </r>
    <r>
      <rPr>
        <i/>
        <sz val="8"/>
        <rFont val="Arial"/>
        <family val="2"/>
      </rPr>
      <t>Se refiere a las personas adolescentes que son puestas en libertad de los centros especializados tras el cumplimiento de una serie de requisitos previstos en la normatividad aplicable, y cuya consecuencia es la extinción de la sanción de internamiento o semi-internamiento. Dentro de esta categoría deben excluirse los egresos en los que la libertad anticipada se aplique como parte de la preliberación por criterios de política penitenciaria.</t>
    </r>
  </si>
  <si>
    <r>
      <t xml:space="preserve">Por sustitución de la medida de sanción de internamiento por estancia domiciliaria. </t>
    </r>
    <r>
      <rPr>
        <i/>
        <sz val="8"/>
        <rFont val="Arial"/>
        <family val="2"/>
      </rPr>
      <t>Se refiere a las personas adolescentes que son puestas en libertad de los centros especializados tras el cumplimiento de una serie de requisitos previstos en la normatividad aplicable, en virtud de que el Juez de Ejecución haya determinado la sustitución de la sanción de internamiento o semi-internamiento por la medida de estancia domiciliaria. Dentro de esta categoría deben excluirse los egresos en los que la sustitución de la medida de sanción de internamiento por estancia domiciliaria se aplique como parte de la preliberación por criterios de política penitenciaria.</t>
    </r>
  </si>
  <si>
    <r>
      <t xml:space="preserve">Por sustitución de la medida de sanción de internamiento por medidas no privativas de la libertad. </t>
    </r>
    <r>
      <rPr>
        <i/>
        <sz val="8"/>
        <rFont val="Arial"/>
        <family val="2"/>
      </rPr>
      <t>Se refiere a las personas adolescentes que son puestas en libertad de los centros especializados tras el cumplimiento de una serie de requisitos previstos en la normatividad aplicable, en virtud de que el Juez de Ejecución haya determinado la sustitución de la sanción de internamiento o semi-internamiento por alguna medida no privativa de la libertad establecida en la fracción I del artículo 155 de la Ley Nacional del Sistema Integral de Justicia Penal para Adolescentes. Dentro de esta categoría deben excluirse los egresos en los que la sustitución de la medida de sanción de internamiento por medidas no privativas de la libertad se aplique como parte de la preliberación por criterios de política penitenciaria.</t>
    </r>
  </si>
  <si>
    <r>
      <t xml:space="preserve">Por preliberación por criterios de política penitenciaria. </t>
    </r>
    <r>
      <rPr>
        <i/>
        <sz val="8"/>
        <rFont val="Arial"/>
        <family val="2"/>
      </rPr>
      <t>Se refiere a las personas adolescentes que son puestas en libertad de los centros especializados derivado de la solicitud realizada por la autoridad penitenciaria, con opinión de la instancia de procuración de justicia correspondiente, a la autoridad judicial que competa la liberación anticipada o sustitución de la medida de sanción de internamiento o semi-internamiento de un grupo determinado de personas adolescentes sentenciadas, de acuerdo con alguno de los criterios establecidos en el artículo 146 de la Ley Nacional de Ejecución Penal, esto en su carácter de norma supletoria de la Ley Nacional del Sistema Integral de Justicia Penal para Adolescentes.</t>
    </r>
  </si>
  <si>
    <r>
      <rPr>
        <b/>
        <i/>
        <sz val="8"/>
        <rFont val="Arial"/>
        <family val="2"/>
      </rPr>
      <t>Por sobreseimiento.</t>
    </r>
    <r>
      <rPr>
        <i/>
        <sz val="8"/>
        <rFont val="Arial"/>
        <family val="2"/>
      </rPr>
      <t xml:space="preserve"> Se refiere a las personas adolescentes que son puestas en libertad de los centros especializados cuando, durante el proceso penal, el órgano jurisdiccional haya determinado el sobreseimiento, o bien, se haya actualizado alguna causal de extinción de la acción penal que impida ejecutar las medidas de sanción de internamiento o semi-internamiento. Dentro de esta categoría se debe considerar la supresión del tipo penal, el perdón de la parte ofendida, entre otros. Por su parte, deben excluirse la amnistía, el indulto, las soluciones alternas, los criterios de oportunidad, el cumplimiento de la sanción, la muerte de la persona adolescente imputada o sentenciada, el reconocimiento de inocencia, así como la revocación de la sentencia.</t>
    </r>
  </si>
  <si>
    <r>
      <rPr>
        <b/>
        <i/>
        <sz val="8"/>
        <rFont val="Arial"/>
        <family val="2"/>
      </rPr>
      <t>Por soluciones alternas y/ o criterios de oportunidad.</t>
    </r>
    <r>
      <rPr>
        <i/>
        <sz val="8"/>
        <rFont val="Arial"/>
        <family val="2"/>
      </rPr>
      <t xml:space="preserve"> Se refiere a las personas adolescentes que son puestas en libertad de los centros especializados derivado de que, durante el proceso penal, se llevaron a cabo soluciones alternas (suspensión condicional del proceso y acuerdos reparatorios), o bien, la aplicación de algún criterio de oportunidad; siempre y cuando estos hayan sido cumplidos y, en consecuencia, se haya decretado la extinción de la acción penal.</t>
    </r>
  </si>
  <si>
    <r>
      <rPr>
        <b/>
        <i/>
        <sz val="8"/>
        <rFont val="Arial"/>
        <family val="2"/>
      </rPr>
      <t>Por amnistía o indulto.</t>
    </r>
    <r>
      <rPr>
        <i/>
        <sz val="8"/>
        <rFont val="Arial"/>
        <family val="2"/>
      </rPr>
      <t xml:space="preserve"> Se refiere a las personas adolescentes que son puestas en libertad de los centros especializados derivado de la aplicación de los mecanismos especiales por los cuales las autoridades competentes extinguen la acción penal y las sanciones impuestas respecto de los delitos que comprende; exceptuando, en su caso, la reparación del daño en los términos señalados por las leyes correspondientes.</t>
    </r>
  </si>
  <si>
    <r>
      <rPr>
        <b/>
        <i/>
        <sz val="8"/>
        <rFont val="Arial"/>
        <family val="2"/>
      </rPr>
      <t>Por otro tipo de egreso.</t>
    </r>
    <r>
      <rPr>
        <i/>
        <sz val="8"/>
        <rFont val="Arial"/>
        <family val="2"/>
      </rPr>
      <t xml:space="preserve"> Se refiere a las personas adolescentes que son puestas en libertad de los centros especializados por cualquier otro motivo que no se contemple en las anteriores definiciones. Dentro de esta categoría deben excluirse los traslados, las fugas, las extradiciones y los fallecimientos de las personas adolescentes imputadas o sentenciadas.</t>
    </r>
  </si>
  <si>
    <t>X.1 Características de las personas adolescentes egresadas</t>
  </si>
  <si>
    <t>10.1.-</t>
  </si>
  <si>
    <t>Anote, por cada uno de los centros especializados de su entidad federativa, la cantidad de personas adolescentes egresadas durante el año 2023, según sexo.</t>
  </si>
  <si>
    <t>No debe considerar a las personas adolescentes egresadas por traslado nacional e internacional, extradición, fuga o fallecimiento; toda vez que dicha información se requiere en el reactivo siguiente.</t>
  </si>
  <si>
    <t>Personas adolescentes egresadas de los centros especializados, según sexo</t>
  </si>
  <si>
    <t>10.2.-</t>
  </si>
  <si>
    <t>Anote, por cada uno de los centros especializados de su entidad federativa, la cantidad de personas adolescentes egresadas durante el año 2023 por traslado nacional e internacional, extradición, fuga o fallecimiento, según sexo.</t>
  </si>
  <si>
    <t xml:space="preserve">Únicamente debe registrar información en caso de que en su entidad federativa se considere como egreso alguna de las variables solicitadas. </t>
  </si>
  <si>
    <t>En el apartado "Nacional" del grupo "Traslado" debe considerar a aquellas personas adolescentes trasladadas a otro centro especializado, mientras que en el apartado "Internacional" de dicho grupo debe considerar la información relacionada con los traslados internacionales.</t>
  </si>
  <si>
    <t>Personas adolescentes egresadas de los centros especializados por traslado nacional e internacional, extradición, fuga o fallecimiento, según sexo</t>
  </si>
  <si>
    <t>Traslado</t>
  </si>
  <si>
    <t xml:space="preserve">Extradición </t>
  </si>
  <si>
    <t>Fuga</t>
  </si>
  <si>
    <t>Fallecimiento</t>
  </si>
  <si>
    <t>Nacional</t>
  </si>
  <si>
    <t>Internacional</t>
  </si>
  <si>
    <t>10.3.-</t>
  </si>
  <si>
    <t xml:space="preserve">De acuerdo con el total de personas adolescentes egresadas que reportó como repuesta en la pregunta 10.1, anote, por cada uno de los centros especializados de su entidad federativa, la cantidad de las mismas especificando el fuero del delito cometido y sexo. </t>
  </si>
  <si>
    <t>Para cada centro especializado, en caso de que la cantidad reportada como respuesta en la columna "Total" de la pregunta 10.1 no sea un dato numérico mayor a cero, no puede registrar información en el presente reactivo.</t>
  </si>
  <si>
    <t>En el apartado "Delitos del fuero común y delitos del fuero federal" debe considerar a aquellas personas adolescentes egresadas que, en su momento, se encontraban internadas en los centros especializados de su entidad federativa derivado de la comisión de delitos tanto del fuero común como del fuero federal; ello en el supuesto de que una persona adolescente pudo haber cometido delitos de ambos fueros.</t>
  </si>
  <si>
    <t>Para cada centro especializado, la cantidad registrada en la columna "Total" debe ser igual a la cantidad reportada como respuesta en la columna "Total" de la pregunta 10.1, así como corresponder a su desagregación por sexo.</t>
  </si>
  <si>
    <t>Personas adolescentes egresadas de los centros especializados, según fuero del delito cometido y sexo</t>
  </si>
  <si>
    <t>10.4.-</t>
  </si>
  <si>
    <t>De acuerdo con el total de personas adolescentes egresadas que reportó como respuesta en la pregunta 10.1, anote, por cada uno de los centros especializados de su entidad federativa, la cantidad de las mismas especificando su tipo de egreso y sexo.</t>
  </si>
  <si>
    <t xml:space="preserve">En caso de que registre algún valor numérico mayor a cero en el apartado "Por otro tipo de egreso", debe anotar el nombre de dicho(s) tipo(s) de egreso en el recuadro destinado para tal efecto que se encuentra al final de la tabla de respuesta. </t>
  </si>
  <si>
    <t>Personas adolescentes egresadas de los centros especializados, según tipo de egreso y sexo</t>
  </si>
  <si>
    <t>Sujetas a proceso</t>
  </si>
  <si>
    <t>Por resolución absolutoria</t>
  </si>
  <si>
    <t>Por resolución revocatoria</t>
  </si>
  <si>
    <r>
      <t xml:space="preserve">Por cumplimiento de sanción
</t>
    </r>
    <r>
      <rPr>
        <i/>
        <sz val="8"/>
        <rFont val="Arial"/>
        <family val="2"/>
      </rPr>
      <t>(sentencia)</t>
    </r>
  </si>
  <si>
    <t>Por libertad anticipada</t>
  </si>
  <si>
    <t>Por sustitución de la medida de sanción de internamiento por estancia domiciliaria</t>
  </si>
  <si>
    <t>Por sustitución de la medida de sanción de internamiento por medidas no privativas de la libertad</t>
  </si>
  <si>
    <t>Por preliberación por criterios de política penitenciaria</t>
  </si>
  <si>
    <t>Por sobreseimiento</t>
  </si>
  <si>
    <t>Por soluciones alternas y/ o criterios de oportunidad</t>
  </si>
  <si>
    <t>Por amnistía o indulto</t>
  </si>
  <si>
    <r>
      <t xml:space="preserve">Por otro tipo de egreso </t>
    </r>
    <r>
      <rPr>
        <i/>
        <sz val="8"/>
        <rFont val="Arial"/>
        <family val="2"/>
      </rPr>
      <t>(especifique)</t>
    </r>
  </si>
  <si>
    <t>NS 8</t>
  </si>
  <si>
    <r>
      <rPr>
        <sz val="9"/>
        <rFont val="Arial"/>
        <family val="2"/>
      </rPr>
      <t>Por otro tipo de egreso:</t>
    </r>
    <r>
      <rPr>
        <sz val="8"/>
        <rFont val="Arial"/>
        <family val="2"/>
      </rPr>
      <t xml:space="preserve"> </t>
    </r>
    <r>
      <rPr>
        <i/>
        <sz val="8"/>
        <rFont val="Arial"/>
        <family val="2"/>
      </rPr>
      <t>(especifique)</t>
    </r>
  </si>
  <si>
    <t>X.2 Delitos cometidos por las personas adolescentes egresadas</t>
  </si>
  <si>
    <t>2.- Para las preguntas 10.6 y 10.7, en caso de que presente dudas sobre la clasificación de los delitos, por favor consulte la Norma Técnica para la Clasificación Nacional de Delitos para Fines Estadísticos: https://www.dof.gob.mx/nota_detalle.php?codigo=5541706&amp;fecha=22/10/2018. De igual forma, puede consultar el Manual de Implementación de la Norma Técnica para la Clasificación Nacional de Delitos para Fines Estadísticos: https://www.snieg.mx/DocumentacionPortal/Normatividad/vigente/manual_implemen_nt_vf_250719.pdf</t>
  </si>
  <si>
    <t>3.- Para las preguntas 10.6 y 10.7, y de acuerdo con lo establecido en la octava instrucción general para las preguntas de la sección, en caso de que determinado delito no se encuentre previsto en su normatividad aplicable, anote "NA" (No aplica) en la columna "Total" y deje el resto de la fila en blanco.</t>
  </si>
  <si>
    <t xml:space="preserve">4.- Para las preguntas 10.6 y 10.7, en caso de que reporte "NA" (No aplica) para determinado delito registrado en los numerales 02.06, 03.04, 04.01, 04.02, 04.05, 06.01, 06.02, 07.01, 07.02, 07.06, 08.01, 08.02, 09.05, 09.07 y 09.16, sus respectivos tipos específicos también deben reportarse conforme a la instrucción anterior. </t>
  </si>
  <si>
    <t xml:space="preserve">5.- Para las preguntas 10.6 y 10.7, en caso de que desconozca el delito o tipo específico del que se trate, regístrelo en la categoría “No identificado” correspondiente. En consecuencia, no debe considerarlo dentro de la categoría “Otros delitos” de cada bien jurídico. </t>
  </si>
  <si>
    <t>6.- Para las preguntas 10.6 y 10.7, la suma de las cantidades registradas en las desagregaciones de los tipos específicos correspondientes debe dar como resultado el total del respectivo delito registrado en el numeral 02.06, 03.04, 04.01, 04.02, 04.05, 06.01, 06.02, 07.01, 07.02, 07.06, 08.01, 08.02, 09.05, 09.07 y 09.16.</t>
  </si>
  <si>
    <t>7.- Para las preguntas 10.6 y 10.7, en caso de que la incidencia de registro en la categoría "Otros delitos" de cada bien jurídico sea mayor al 25 % del total correspondiente al mismo, debe anotar el nombre del o de los delitos registrados en dicha categoría en el recuadro que se encuentra al final de la tabla de respuesta.</t>
  </si>
  <si>
    <t>10.5.-</t>
  </si>
  <si>
    <t>Anote la cantidad de delitos cometidos por las personas adolescentes egresadas durante el año 2023 de los centros especializados de su entidad federativa, según el fuero del delito, así como el tipo de egreso y sexo de las personas adolescentes.</t>
  </si>
  <si>
    <t>En caso de que la suma de las cantidades reportadas como respuesta en la columna "Total" de la pregunta 10.1 no sea un dato numérico mayor a cero, no puede registrar información en el presente reactivo.</t>
  </si>
  <si>
    <t>La suma de las cantidades registradas en la columna "Total" debe ser igual o mayor a la suma de las cantidades reportadas como respuesta en la columna "Total" de la pregunta 10.3, así como corresponder a su desagregación por fuero del delito cometido y sexo de las personas adolescentes; toda vez que una persona adolescente egresada pudo, en su momento, estar internada por la comisión de uno o más delitos. En caso de que esta instrucción no le aplique, justifíquelo en el recuadro que se encuentra al final de la tabla de respuesta.</t>
  </si>
  <si>
    <t>La suma de las cantidades registradas en la columna "Total" debe ser igual o mayor a la suma de las cantidades reportadas como respuesta en la columna "Total" de la pregunta 10.4, así como corresponder a su desagregación por tipo de egreso y sexo de las personas adolescentes; toda vez que una persona adolescente egresada pudo, en su momento, estar internada por la comisión de uno o más delitos. En caso de que esta instrucción no le aplique, justifíquelo en el recuadro que se encuentra al final de la tabla de respuesta.</t>
  </si>
  <si>
    <t>Delitos cometidos por las personas adolescentes egresadas de los centros especializados, según tipo de egreso y sexo de las personas adolescentes</t>
  </si>
  <si>
    <t>Por otro tipo de egreso</t>
  </si>
  <si>
    <t>10.6.-</t>
  </si>
  <si>
    <t>De acuerdo con el total de delitos del fuero común que reportó como respuesta en la pregunta anterior, anote la cantidad de los mismos especificando el tipo de delito, así como el tipo de egreso y sexo de las personas adolescentes.</t>
  </si>
  <si>
    <t>La suma de las cantidades registradas en la columna "Total" debe ser igual a la cantidad reportada como respuesta en la columna "Total" del numeral 1 de la pregunta anterior, así como corresponder a su desagregación por tipo de egreso y sexo de las personas adolescentes.</t>
  </si>
  <si>
    <t>Delitos del fuero común cometidos por las personas adolescentes egresadas de los centros especializados, según tipo de egreso y sexo de las personas adolescentes</t>
  </si>
  <si>
    <t>10.7.-</t>
  </si>
  <si>
    <t>De acuerdo con el total de delitos del fuero federal que reportó como respuesta en la pregunta 10.5, anote la cantidad de los mismos especificando el tipo de delito, así como el tipo de egreso y sexo de las personas adolescentes.</t>
  </si>
  <si>
    <t>En caso de que la cantidad reportada como respuesta en la columna "Total" del numeral 2 de la pregunta 10.5 no sea un dato numérico mayor a cero, no puede registrar información en el presente reactivo.</t>
  </si>
  <si>
    <t>La suma de las cantidades registradas en la columna "Total" debe ser igual a la cantidad reportada como respuesta en la columna "Total" del numeral 2 de la pregunta 10.5, así como corresponder a su desagregación por tipo de egreso y sexo de las personas adolescentes.</t>
  </si>
  <si>
    <t>Delitos del fuero federal cometidos por las personas adolescentes egresadas de los centros especializados, según tipo de egreso y sexo de las personas adolescentes</t>
  </si>
  <si>
    <t>09.</t>
  </si>
  <si>
    <t>4.- Con excepción de la existencia de instrucciones, variables y/ o catálogos específicos que prevean alguna situación particular asociada a la información requerida, en caso de que determinada categoría no se encuentre prevista en su normatividad aplicable, anote "NA" (No aplica) en las celdas correspondientes.</t>
  </si>
  <si>
    <t>5.- Con excepción de la existencia de instrucciones, variables y/ o catálogos específicos que prevean alguna situación particular asociada a la información requerida, en caso de que los registros con los que cuente no le permitan desglosar la información de acuerdo con los requerimientos solicitados, anote "NS" (No se sabe) en las celdas donde no disponga de información. En el recuadro para comentarios de cada pregunta debe proporcionar una justificación respecto del uso del "NS" en determinado reactivo.</t>
  </si>
  <si>
    <t xml:space="preserve">6.- No deje celdas en blanco, salvo en los casos en que la instrucción así lo solicite. </t>
  </si>
  <si>
    <t>XI.1 Personas adolescentes en tratamiento externo</t>
  </si>
  <si>
    <r>
      <t xml:space="preserve">2.- </t>
    </r>
    <r>
      <rPr>
        <b/>
        <i/>
        <sz val="8"/>
        <rFont val="Arial"/>
        <family val="2"/>
      </rPr>
      <t>Personas adolescentes en tratamiento externo.</t>
    </r>
    <r>
      <rPr>
        <i/>
        <sz val="8"/>
        <rFont val="Arial"/>
        <family val="2"/>
      </rPr>
      <t xml:space="preserve"> Se refiere a las personas adolescentes que son objeto de sistemas o métodos especializados para lograr su reinserción social dentro del propio medio sociofamiliar o en hogares sustitutos (con supervisión y seguimiento por parte de la autoridad correspondiente) sin que necesariamente hayan estado internadas en algún centro especializado.</t>
    </r>
  </si>
  <si>
    <t>XI.1.1 Características de las personas adolescentes en tratamiento externo</t>
  </si>
  <si>
    <t>1.- En caso de que seleccione el código "2" o "9" en la columna "¿En su entidad federativa existían personas adolescentes en tratamiento externo por la comisión de delitos del fuero común y/ o del fuero federal?" de la pregunta 11.1, pase a la pregunta 11.16.</t>
  </si>
  <si>
    <t>2.- Para las preguntas 11.2, 11.3, 11.4, 11.5, 11.6, 11.7, 11.8, 11.9 y 11.11, la suma de las cantidades registradas en la columna "Total" debe ser igual a la cantidad reportada como respuesta en la columna "Total" de la pregunta 11.1, así como corresponder a su desagregación por sexo.</t>
  </si>
  <si>
    <t>11.1.-</t>
  </si>
  <si>
    <t>Indique si al cierre del año 2023 en su entidad federativa existían personas adolescentes en tratamiento externo por la comisión de delitos del fuero común y/ o del fuero federal. En caso afirmativo, anote la cantidad de personas adolescentes que se encontraban en tratamiento externo al cierre del referido año, según sexo.</t>
  </si>
  <si>
    <t>En caso de que en su entidad federativa no hayan existido personas adolescentes en tratamiento externo por la comisión de delitos del fuero común y/ o del fuero federal, o no cuente con información para determinarlo, indíquelo en la columna correspondiente conforme al catálogo respectivo y deje el resto de la fila en blanco.</t>
  </si>
  <si>
    <r>
      <t xml:space="preserve">¿En su entidad federativa existían personas adolescentes en tratamiento externo por la comisión de delitos del fuero común y/ o del fuero federal?
</t>
    </r>
    <r>
      <rPr>
        <i/>
        <sz val="8"/>
        <rFont val="Arial"/>
        <family val="2"/>
      </rPr>
      <t>(1. Sí / 2. No / 9. No identificado)</t>
    </r>
  </si>
  <si>
    <t>Personas adolescentes en tratamiento externo, según sexo</t>
  </si>
  <si>
    <t>11.2.-</t>
  </si>
  <si>
    <t>De acuerdo con el total de personas adolescentes en tratamiento externo que reportó como respuesta en la pregunta anterior, anote la cantidad de las mismas especificando el fuero del delito cometido y sexo.</t>
  </si>
  <si>
    <t>En el numeral 3 debe considerar a aquellas personas adolescentes en tratamiento externo en su entidad federativa derivado de la comisión de delitos tanto del fuero común como del fuero federal, ello en el supuesto de que una persona adolescente pudo haber cometido delitos de ambos fueros.</t>
  </si>
  <si>
    <t>11.3.-</t>
  </si>
  <si>
    <t>De acuerdo con el total de personas adolescentes en tratamiento externo que reportó como respuesta en la pregunta 11.1, anote la cantidad de las mismas especificando su edad y sexo.</t>
  </si>
  <si>
    <t>Debe considerar los años cumplidos al cierre del año 2023 de las personas adolescentes en tratamiento externo.</t>
  </si>
  <si>
    <t>En el numeral 7 debe considerar a las personas adultas jóvenes en tratamiento externo que se encontraban en ejecución de su medida de sanción y hayan cumplido 18 años o más.</t>
  </si>
  <si>
    <t>11.4.-</t>
  </si>
  <si>
    <t xml:space="preserve">De acuerdo con el total de personas adolescentes en tratamiento externo que reportó como respuesta en la pregunta 11.1, anote la cantidad de las mismas especificando su nivel de escolaridad y sexo. </t>
  </si>
  <si>
    <t>Debe considerar el grado máximo de estudios del que hayan cursado todos los años al cierre del año 2023 las personas adolescentes en tratamiento externo, independientemente de que se cuente con el certificado o título del mismo.</t>
  </si>
  <si>
    <t>11.5.-</t>
  </si>
  <si>
    <t xml:space="preserve">De acuerdo con el total de personas adolescentes en tratamiento externo que reportó como respuesta en la pregunta 11.1, anote la cantidad de las mismas especificando su nacionalidad y sexo. </t>
  </si>
  <si>
    <t>11.6.-</t>
  </si>
  <si>
    <t>De acuerdo con el total de personas adolescentes en tratamiento externo que reportó como respuesta en la pregunta 11.1, anote la cantidad de las mismas especificando su lugar de residencia habitual y sexo.</t>
  </si>
  <si>
    <t>11.7.-</t>
  </si>
  <si>
    <t xml:space="preserve">De acuerdo con el total de personas adolescentes en tratamiento externo que reportó como respuesta en la pregunta 11.1, anote la cantidad de las mismas especificando su condición de ocupación y sexo. </t>
  </si>
  <si>
    <t>11.8.-</t>
  </si>
  <si>
    <t xml:space="preserve">De acuerdo con el total de personas adolescentes en tratamiento externo que reportó como respuesta en la pregunta 11.1, anote la cantidad de las mismas especificando su condición de alfabetismo y sexo. </t>
  </si>
  <si>
    <t>Condición de alfabetismo</t>
  </si>
  <si>
    <t>Sabe leer y escribir</t>
  </si>
  <si>
    <t>11.9.-</t>
  </si>
  <si>
    <t>De acuerdo con el total de personas adolescentes en tratamiento externo que reportó como respuesta en la pregunta 11.1, anote la cantidad de las mismas especificando su condición de dominio del español y sexo.</t>
  </si>
  <si>
    <t>Condición de dominio del español</t>
  </si>
  <si>
    <t>11.10.-</t>
  </si>
  <si>
    <t>De acuerdo con el total de personas adolescentes en tratamiento externo que reportó como respuesta en la pregunta 11.1, anote la cantidad de las mismas especificando la familia lingüística de la lengua indígena que hablan y sexo.</t>
  </si>
  <si>
    <t xml:space="preserve">La suma de las cantidades registradas en la columna "Total" debe ser igual o mayor a la cantidad reportada como respuesta en la columna "Total" de la pregunta 11.1, así como corresponder a su desagregación por sexo; toda vez que una persona adolescente en tratamiento externo puede hablar más de una lengua indígena de diferente familia lingüística. </t>
  </si>
  <si>
    <t>La cantidad registrada en la columna "Total" de cada familia lingüística debe ser igual o menor a la cantidad reportada como respuesta en la columna "Total" de la pregunta 11.1, así como corresponder a su desagregación por sexo. En caso de que esta instrucción no le aplique, justifíquelo en el recuadro que se encuentra al final de la tabla de respuesta.</t>
  </si>
  <si>
    <t>Familia lingüística no identificada</t>
  </si>
  <si>
    <t>Ninguna</t>
  </si>
  <si>
    <t>11.11.-</t>
  </si>
  <si>
    <t>De acuerdo con el total de personas adolescentes en tratamiento externo que reportó como respuesta en la pregunta 11.1, anote la cantidad de las mismas especificando su pueblo indígena de pertenencia y sexo.</t>
  </si>
  <si>
    <t>11.12.-</t>
  </si>
  <si>
    <t>Indique si al cierre del año 2023 en su entidad federativa se tuvo registro de personas adolescentes en tratamiento externo con antecedentes penales. En caso afirmativo, anote la cantidad de personas adolescentes en tratamiento externo al cierre del referido año que contaban con antecedentes penales, según sexo.</t>
  </si>
  <si>
    <t>En caso de que en su entidad federativa no se haya tenido registro de personas adolescentes en tratamiento externo con antecedentes penales, o no cuente con información para determinarlo, indíquelo en la columna correspondiente conforme al catálogo respectivo y deje el resto de la fila en blanco.</t>
  </si>
  <si>
    <t>La cantidad registrada en la columna "Total" debe ser igual o menor a la cantidad reportada como respuesta en la columna "Total" de la pregunta 11.1, así como corresponder a su desagregación por sexo.</t>
  </si>
  <si>
    <r>
      <t xml:space="preserve">¿En su entidad federativa se tuvo registro de personas adolescentes en tratamiento externo con antecedentes penales?
</t>
    </r>
    <r>
      <rPr>
        <i/>
        <sz val="8"/>
        <rFont val="Arial"/>
        <family val="2"/>
      </rPr>
      <t>(1. Sí / 2. No / 9. No identificado)</t>
    </r>
  </si>
  <si>
    <t>Personas adolescentes en tratamiento externo que contaban con antecedentes penales, según sexo</t>
  </si>
  <si>
    <t>XI.1.2 Delitos cometidos por las personas adolescentes en tratamiento externo</t>
  </si>
  <si>
    <t>2.- Para las preguntas 11.14 y 11.15, en caso de que presente dudas sobre la clasificación de los delitos, por favor consulte la Norma Técnica para la Clasificación Nacional de Delitos para Fines Estadísticos: https://www.dof.gob.mx/nota_detalle.php?codigo=5541706&amp;fecha=22/10/2018. De igual forma, puede consultar el Manual de Implementación de la Norma Técnica para la Clasificación Nacional de Delitos para Fines Estadísticos: https://www.snieg.mx/DocumentacionPortal/Normatividad/vigente/manual_implemen_nt_vf_250719.pdf</t>
  </si>
  <si>
    <t>3.- Para las preguntas 11.14 y 11.15, y de acuerdo con lo establecido en la cuarta instrucción general para las preguntas de la sección, en caso de que determinado delito no se encuentre previsto en su normatividad aplicable, anote "NA" (No aplica) en la columna "Total" y deje el resto de la fila en blanco.</t>
  </si>
  <si>
    <t xml:space="preserve">4.- Para las preguntas 11.14 y 11.15, en caso de que reporte "NA" (No aplica) para determinado delito registrado en los numerales 02.06, 03.04, 04.01, 04.02, 04.05, 06.01, 06.02, 07.01, 07.02, 07.06, 08.01, 08.02, 09.05, 09.07 y 09.16, sus respectivos tipos específicos también deben reportarse conforme a la instrucción anterior. </t>
  </si>
  <si>
    <t xml:space="preserve">5.- Para las preguntas 11.14 y 11.15, en caso de que desconozca el delito o tipo específico del que se trate, regístrelo en la categoría “No identificado” correspondiente. En consecuencia, no debe considerarlo dentro de la categoría “Otros delitos” de cada bien jurídico. </t>
  </si>
  <si>
    <t>6.- Para las preguntas 11.14 y 11.15, la suma de las cantidades registradas en las desagregaciones de los tipos específicos correspondientes debe dar como resultado el total del respectivo delito registrado en el numeral 02.06, 03.04, 04.01, 04.02, 04.05, 06.01, 06.02, 07.01, 07.02, 07.06, 08.01, 08.02, 09.05, 09.07 y 09.16.</t>
  </si>
  <si>
    <t>7.- Para las preguntas 11.14 y 11.15, en caso de que la incidencia de registro en la categoría "Otros delitos" de cada bien jurídico sea mayor al 25 % del total correspondiente al mismo, debe anotar el nombre del o de los delitos registrados en dicha categoría en el recuadro que se encuentra al final de la tabla de respuesta.</t>
  </si>
  <si>
    <t>11.13.-</t>
  </si>
  <si>
    <t>Anote la cantidad de delitos cometidos por las personas adolescentes en tratamiento externo al cierre del año 2023 en su entidad federativa, según el fuero del delito y sexo de las personas adolescentes.</t>
  </si>
  <si>
    <t>La suma de las cantidades registradas en la columna "Total" debe ser igual o mayor a la suma de las cantidades reportadas como respuesta en la columna "Total" de la pregunta 11.2, así como corresponder a su desagregación por fuero del delito cometido y sexo de las personas adolescentes; toda vez que una persona adolescente pudo haber estado en tratamiento externo por la comisión de uno o más delitos. En caso de que esta instrucción no le aplique, justifíquelo en el recuadro que se encuentra al final de la tabla de respuesta.</t>
  </si>
  <si>
    <t>Delitos cometidos por las personas adolescentes en tratamiento externo, según sexo de las personas adolescentes</t>
  </si>
  <si>
    <t>11.14.-</t>
  </si>
  <si>
    <t>De acuerdo con el total de delitos del fuero común que reportó como respuesta en la pregunta anterior, anote la cantidad de los mismos especificando el tipo de delito y sexo de las personas adolescentes.</t>
  </si>
  <si>
    <t>La suma de las cantidades registradas en la columna "Total" debe ser igual a la cantidad reportada como respuesta en la columna "Total" del numeral 1 de la pregunta anterior, así como corresponder a su desagregación por sexo de las personas adolescentes.</t>
  </si>
  <si>
    <t>Delitos del fuero común cometidos por las personas adolescentes en tratamiento externo, según sexo de las personas adolescentes</t>
  </si>
  <si>
    <t>11.15.-</t>
  </si>
  <si>
    <t>De acuerdo con el total de delitos del fuero federal que reportó como respuesta en la pregunta 11.13, anote la cantidad de los mismos especificando el tipo de delito y sexo de las personas adolescentes.</t>
  </si>
  <si>
    <t>En caso de que la cantidad reportada como respuesta en la columna "Total" del numeral 2 de la pregunta 11.13 no sea un dato numérico mayor a cero, no puede registrar información en el presente reactivo.</t>
  </si>
  <si>
    <t>La suma de las cantidades registradas en la columna "Total" debe ser igual a la cantidad reportada como respuesta en la columna "Total" del numeral 2 de la pregunta 11.13, así como corresponder a su desagregación por sexo de las personas adolescentes.</t>
  </si>
  <si>
    <t>Delitos del fuero federal cometidos por las personas adolescentes en tratamiento externo, según sexo de las personas adolescentes</t>
  </si>
  <si>
    <t>XI.2 Programa de justicia terapéutica</t>
  </si>
  <si>
    <t>1.- Únicamente debe considerar la información relacionada con la existencia de algún programa de justicia terapéutica de conformidad con lo dispuesto en el capítulo VIII del título quinto de la Ley Nacional de Ejecución Penal, esto en su carácter de norma supletoria de la Ley Nacional del Sistema Integral de Justicia Penal para Adolescentes, y/ o en el capitulado correspondiente de la disposición normativa local aplicable en la materia. Por lo tanto, no debe considerar la información relacionada con aquellas acciones implementadas en el marco de algún plan o programa orientado al seguimiento y atención de personas adolescentes egresadas o en tratamiento externo y/ o como parte de la prestación de servicios a las personas adolescentes egresadas de los centros especializados o en tratamiento externo en la entidad federativa, toda vez que dicha información se requiere en la sección XVI del presente cuestionario.</t>
  </si>
  <si>
    <r>
      <t xml:space="preserve">1.- </t>
    </r>
    <r>
      <rPr>
        <b/>
        <i/>
        <sz val="8"/>
        <rFont val="Arial"/>
        <family val="2"/>
      </rPr>
      <t xml:space="preserve">Programa de justicia terapéutica. </t>
    </r>
    <r>
      <rPr>
        <i/>
        <sz val="8"/>
        <rFont val="Arial"/>
        <family val="2"/>
      </rPr>
      <t>Se refiere al conjunto de acciones orientadas a brindar atención a las personas adolescentes imputadas por la comisión de algún delito no grave, mismas que presentan trastornos por el uso de sustancias psicoactivas. En la etapa de ejecución, comprende la aplicación de un beneficio de sustitución de la sanción que determina el Juez de Ejecución en casos de delitos patrimoniales sin violencia. Su finalidad es propiciar la rehabilitación y reinserción social de las personas adolescentes sentenciadas con problemas asociados al uso de sustancias psicoactivas, a través de la prestación de servicios de tratamiento integrales, individualizados e interdisciplinarios.</t>
    </r>
  </si>
  <si>
    <t>11.16.-</t>
  </si>
  <si>
    <t>Indique si durante el año 2023 la institución responsable de los centros especializados de su entidad federativa participó en la implementación de algún programa de justicia terapéutica. En caso afirmativo, señale el tipo de acciones en las que intervino durante el referido año.</t>
  </si>
  <si>
    <t>En caso de que no haya participado en la implementación de algún programa de justicia terapéutica, o no cuente con información para determinarlo, indíquelo en la columna correspondiente conforme al catálogo respectivo y deje el resto de la fila en blanco.</t>
  </si>
  <si>
    <t>Seleccione con una "X" el o los tipos de acciones que correspondan.</t>
  </si>
  <si>
    <t xml:space="preserve">En caso de que seleccione la columna "Otro tipo", debe anotar el nombre de dicho(s) tipo(s) de acciones en el recuadro destinado para tal efecto que se encuentra al final de la tabla de respuesta. </t>
  </si>
  <si>
    <r>
      <t xml:space="preserve">¿Participó en la implementación de algún programa de justicia terapéutica?
</t>
    </r>
    <r>
      <rPr>
        <i/>
        <sz val="8"/>
        <rFont val="Arial"/>
        <family val="2"/>
      </rPr>
      <t>(1. Sí / 2. No / 9. No identificado)</t>
    </r>
  </si>
  <si>
    <t>Acciones para la implementación del programa de justicia terapéutica</t>
  </si>
  <si>
    <r>
      <t xml:space="preserve">Evaluación del diagnóstico confirmatorio y los requisitos de elegibilidad
</t>
    </r>
    <r>
      <rPr>
        <i/>
        <sz val="8"/>
        <rFont val="Arial"/>
        <family val="2"/>
      </rPr>
      <t>(jurídicos y sanitarios)</t>
    </r>
  </si>
  <si>
    <r>
      <t>Diseño y revisión del programa de tratamiento</t>
    </r>
    <r>
      <rPr>
        <i/>
        <sz val="8"/>
        <rFont val="Arial"/>
        <family val="2"/>
      </rPr>
      <t xml:space="preserve"> (clínico, rehabilitación y reinserción social)</t>
    </r>
  </si>
  <si>
    <t>Prestación de servicios orientados a la reinserción social de la persona adolescente participante</t>
  </si>
  <si>
    <t>Supervisión del cumplimiento de las condiciones previstas en el programa de tratamiento</t>
  </si>
  <si>
    <t>Elaboración y solicitud de informes sobre el cumplimiento del programa de tratamiento</t>
  </si>
  <si>
    <t>Solicitud del cambio de las condiciones del programa de tratamiento</t>
  </si>
  <si>
    <t>Propuesta para la imposición de medidas disciplinarias a la persona adolescente participante</t>
  </si>
  <si>
    <t>Emisión del informe final de egreso de la persona adolescente participante</t>
  </si>
  <si>
    <t>5.- La información relacionada con los traslados y extradiciones realizadas debe contabilizarse de manera individual, es decir, por persona adolescente internada y no por evento. Por ejemplo: en caso de que se haya realizado un traslado de cinco personas adolescentes a algún otro centro especializado, debe registrar cinco traslados realizados.</t>
  </si>
  <si>
    <r>
      <t xml:space="preserve">1.- </t>
    </r>
    <r>
      <rPr>
        <b/>
        <i/>
        <sz val="8"/>
        <rFont val="Arial"/>
        <family val="2"/>
      </rPr>
      <t xml:space="preserve">Traslado. </t>
    </r>
    <r>
      <rPr>
        <i/>
        <sz val="8"/>
        <rFont val="Arial"/>
        <family val="2"/>
      </rPr>
      <t>Se refiere al desplazamiento o reubicación de las personas adolescentes internadas respecto de los centros especializados en los que se encontraban cumpliendo su sanción, motivado por los supuestos contemplados en la normatividad aplicable.</t>
    </r>
  </si>
  <si>
    <t>XII.1 Traslados nacionales</t>
  </si>
  <si>
    <t>1.- En caso de que la suma de las cantidades reportadas como respuesta en la columna "Total" del apartado "Nacional" del grupo "Traslado" de la pregunta 10.2 sea un dato numérico mayor a cero, únicamente puede seleccionar el código "1" en la columna "¿Se realizó algún traslado de personas adolescentes internadas en los centros especializados de su entidad federativa?" de la pregunta 12.1.</t>
  </si>
  <si>
    <t>2.- No debe considerar la información relacionada con los traslados internacionales, toda vez que dicha información se requiere en la subsección siguiente.</t>
  </si>
  <si>
    <t>3.- En caso de que seleccione el código "2" o "9" en la columna "¿Se realizó algún traslado de personas adolescentes internadas en los centros especializados de su entidad federativa?" de la pregunta 12.1, pase a la pregunta 12.4.</t>
  </si>
  <si>
    <r>
      <t xml:space="preserve">1.- </t>
    </r>
    <r>
      <rPr>
        <b/>
        <i/>
        <sz val="8"/>
        <rFont val="Arial"/>
        <family val="2"/>
      </rPr>
      <t xml:space="preserve">Traslado involuntario. </t>
    </r>
    <r>
      <rPr>
        <i/>
        <sz val="8"/>
        <rFont val="Arial"/>
        <family val="2"/>
      </rPr>
      <t>Se refiere al tipo de traslado mediante el cual una persona adolescente internada es trasladada a solicitud de la autoridad del centro o del Ministerio Público en casos de emergencia y otros supuestos establecidos en la normatividad aplicable, previa autorización del Juez de Control o de Ejecución en audiencia pública, según corresponda.</t>
    </r>
  </si>
  <si>
    <r>
      <t xml:space="preserve">2.- </t>
    </r>
    <r>
      <rPr>
        <b/>
        <i/>
        <sz val="8"/>
        <rFont val="Arial"/>
        <family val="2"/>
      </rPr>
      <t>Traslado voluntario.</t>
    </r>
    <r>
      <rPr>
        <i/>
        <sz val="8"/>
        <rFont val="Arial"/>
        <family val="2"/>
      </rPr>
      <t xml:space="preserve"> Se refiere al tipo de traslado motivado por el interés de una persona adolescente internada para ser trasladada a otro centro especializado, cuando exista un acuerdo entre la entidad de origen y la entidad de destino.</t>
    </r>
  </si>
  <si>
    <t>12.1.-</t>
  </si>
  <si>
    <t>Indique si durante el año 2023 se realizó algún traslado de personas adolescentes internadas en los centros especializados de su entidad federativa. En caso afirmativo, anote el total de traslados realizados durante el referido año, según tipo.</t>
  </si>
  <si>
    <t xml:space="preserve">En caso de que no se haya realizado algún traslado de personas adolescentes internadas en los centros especializados de su entidad federativa, o no cuente con información para determinarlo, indíquelo en la columna correspondiente conforme al catálogo respectivo y deje el resto de la fila en blanco. </t>
  </si>
  <si>
    <t>La cantidad registrada en la columna "Total" debe ser igual o mayor a la suma de las cantidades reportadas como respuesta en la columna "Total" del apartado "Nacional" del grupo "Traslado" de la pregunta 10.2.</t>
  </si>
  <si>
    <r>
      <t xml:space="preserve">¿Se realizó algún traslado de personas adolescentes internadas en los centros especializados de su entidad federativa?
</t>
    </r>
    <r>
      <rPr>
        <i/>
        <sz val="8"/>
        <rFont val="Arial"/>
        <family val="2"/>
      </rPr>
      <t>(1. Sí / 2. No / 9. No identificado)</t>
    </r>
  </si>
  <si>
    <t>Traslados realizados, según tipo</t>
  </si>
  <si>
    <t>Voluntarios</t>
  </si>
  <si>
    <t>Involuntarios</t>
  </si>
  <si>
    <t>12.2.-</t>
  </si>
  <si>
    <t>De acuerdo con el total de traslados realizados que reportó como respuesta en la pregunta anterior, anote la cantidad de los mismos especificando el motivo y tipo.</t>
  </si>
  <si>
    <t>La suma de las cantidades registradas en la columna "Total" debe ser igual o mayor a la cantidad reportada como respuesta en la columna "Total" de la pregunta anterior, así como corresponder a su desagregación por tipo de traslado; toda vez que un traslado realizado pudo haber estado asociado a más de un motivo.</t>
  </si>
  <si>
    <t>La cantidad registrada en la columna "Total" de cada motivo del traslado debe ser igual o menor a la cantidad reportada como respuesta en la columna "Total" de la pregunta anterior, así como corresponder a su desagregación por tipo de traslado. En caso de que esta instrucción no le aplique, justifíquelo en el recuadro que se encuentra al final de la tabla de respuesta.</t>
  </si>
  <si>
    <t>En caso de que registre algún valor numérico mayor a cero en el numeral 7, debe anotar el nombre de dicho(s) motivo(s) en el recuadro destinado para tal efecto que se encuentra al final de la tabla de respuesta.</t>
  </si>
  <si>
    <t>Motivo del traslado</t>
  </si>
  <si>
    <t>GRIS COM</t>
  </si>
  <si>
    <t>Seguridad</t>
  </si>
  <si>
    <t>Sobrepoblación</t>
  </si>
  <si>
    <t>Salud</t>
  </si>
  <si>
    <t>Desahogo de una diligencia ante un tribunal</t>
  </si>
  <si>
    <t>Fallecimiento o enfermedad grave de algún familiar</t>
  </si>
  <si>
    <t>Desarrollo de actividades recreativas previstas en el plan de actividades</t>
  </si>
  <si>
    <r>
      <t xml:space="preserve">Otro motivo:
</t>
    </r>
    <r>
      <rPr>
        <i/>
        <sz val="8"/>
        <rFont val="Arial"/>
        <family val="2"/>
      </rPr>
      <t>(especifique)</t>
    </r>
  </si>
  <si>
    <t>12.3.-</t>
  </si>
  <si>
    <t>Indique los tipos de traslado de los cuales durante el año 2023 tuvo registro de la ocurrencia de algún incidente durante su realización. Por cada uno de estos, anote la cantidad de traslados realizados durante el referido año que presentaron la ocurrencia de algún incidente, según tipo de incidente.</t>
  </si>
  <si>
    <t>Para cada tipo de traslado, en caso de que la cantidad reportada como respuesta en la respectiva columna de la pregunta 12.1 no sea un dato numérico mayor a cero, no puede registrar información en el presente reactivo.</t>
  </si>
  <si>
    <t>Para cada tipo de traslado, en caso de que no haya tenido registro de la ocurrencia de algún incidente durante su realización, o no cuente con información para determinarlo, indíquelo en la columna correspondiente conforme al catálogo respectivo y deje el resto de la fila en blanco.</t>
  </si>
  <si>
    <t>Para cada tipo de traslado, la cantidad registrada en la columna "Total" debe ser igual o menor a la cantidad reportada como respuesta en la respectiva columna de la pregunta 12.1.</t>
  </si>
  <si>
    <t>Para cada tipo de traslado, la cantidad registrada en la columna "Total" debe ser igual o menor a la suma de las cantidades reportadas en las columnas del apartado "Tipo de incidente", toda vez que durante la realización de un traslado pudo haber ocurrido más de un tipo de incidente.</t>
  </si>
  <si>
    <t>Para cada tipo de traslado, la cantidad registrada en cada una de las columnas del apartado "Tipo de incidente" debe ser igual o menor a la cantidad reportada en la columna "Total". En caso de que esta instrucción no le aplique, justifíquelo en el recuadro que se encuentra al final de la tabla de respuesta.</t>
  </si>
  <si>
    <t>En caso de que registre algún valor numérico mayor a cero en la columna "Otro tipo", debe anotar el nombre de dicho(s) tipo(s) de incidente(s) en el recuadro destinado para tal efecto que se encuentra al final de la tabla de respuesta.</t>
  </si>
  <si>
    <t>Tipo de traslados</t>
  </si>
  <si>
    <r>
      <t xml:space="preserve">¿Tuvo registro de la ocurrencia de algún incidente durante su realización?
</t>
    </r>
    <r>
      <rPr>
        <i/>
        <sz val="8"/>
        <rFont val="Arial"/>
        <family val="2"/>
      </rPr>
      <t>(1. Sí / 2. No / 9. No identificado)</t>
    </r>
  </si>
  <si>
    <t>Traslados realizados que presentaron la ocurrencia de algún incidente, según tipo de incidente</t>
  </si>
  <si>
    <t>Tipo de incidente</t>
  </si>
  <si>
    <t>Fugas a consecuencia del traslado</t>
  </si>
  <si>
    <t>Muertes en el transcurso del traslado</t>
  </si>
  <si>
    <t>Lesiones en el transcurso del traslado</t>
  </si>
  <si>
    <t>Choques en el transcurso del traslado</t>
  </si>
  <si>
    <t>Ataques al transporte utilizado para el traslado</t>
  </si>
  <si>
    <t>SUM IN4</t>
  </si>
  <si>
    <t>COM IN5</t>
  </si>
  <si>
    <t>XII.2 Traslados internacionales</t>
  </si>
  <si>
    <t>1.- En caso de que la suma de las cantidades reportadas como respuesta en la columna "Total" del apartado "Internacional" del grupo "Traslado" de la pregunta 10.2 no sea un dato numérico mayor a cero, no puede registrar información en la pregunta de la presente subsección; toda vez que la información solicitada únicamente se relaciona con aquellos traslados internacionales en los que México funja como país trasladante.</t>
  </si>
  <si>
    <r>
      <t xml:space="preserve">1.- </t>
    </r>
    <r>
      <rPr>
        <b/>
        <i/>
        <sz val="8"/>
        <rFont val="Arial"/>
        <family val="2"/>
      </rPr>
      <t>Traslado internacional.</t>
    </r>
    <r>
      <rPr>
        <i/>
        <sz val="8"/>
        <rFont val="Arial"/>
        <family val="2"/>
      </rPr>
      <t xml:space="preserve"> Se refiere al traslado de personas adolescentes de nacionalidad extranjera a sus países de origen o residencia, mismas que hayan sido sentenciadas por autoridades judiciales mexicanas del fuero federal o local. Lo anterior, en términos de los tratados o convenciones internacionales que se hayan celebrado para tal efecto.</t>
    </r>
  </si>
  <si>
    <t>12.4.-</t>
  </si>
  <si>
    <t>Anote la cantidad de traslados internacionales de personas adolescentes internadas en los centros especializados de su entidad federativa realizados durante el año 2023, según país receptor.</t>
  </si>
  <si>
    <t>La suma de las cantidades registradas debe ser igual a la suma de las cantidades reportadas como respuesta en la columna "Total" del apartado "Internacional" del grupo "Traslado" de la pregunta 10.2.</t>
  </si>
  <si>
    <t>En caso de que registre algún valor numérico mayor a cero en el numeral 33, debe anotar el nombre de dicho(s) país(es) en el recuadro destinado para tal efecto que se encuentra al final de la tabla de respuesta.</t>
  </si>
  <si>
    <t>País receptor</t>
  </si>
  <si>
    <t>Traslados internacionales realizados</t>
  </si>
  <si>
    <t>Alemania</t>
  </si>
  <si>
    <t>Australia</t>
  </si>
  <si>
    <t>Bahamas</t>
  </si>
  <si>
    <t>Belice</t>
  </si>
  <si>
    <t>Bolivia</t>
  </si>
  <si>
    <t>Brasil</t>
  </si>
  <si>
    <t>Chile</t>
  </si>
  <si>
    <t>Colombia</t>
  </si>
  <si>
    <t>República de Corea</t>
  </si>
  <si>
    <t>Costa Rica</t>
  </si>
  <si>
    <t>Cuba</t>
  </si>
  <si>
    <t>Ecuador</t>
  </si>
  <si>
    <t>Eslovaquia</t>
  </si>
  <si>
    <t>España</t>
  </si>
  <si>
    <t>Filipinas</t>
  </si>
  <si>
    <t>Gran Bretaña</t>
  </si>
  <si>
    <t>Grecia</t>
  </si>
  <si>
    <t>Guatemala</t>
  </si>
  <si>
    <t>Honduras</t>
  </si>
  <si>
    <t>Italia</t>
  </si>
  <si>
    <t>Mónaco</t>
  </si>
  <si>
    <t>Panamá</t>
  </si>
  <si>
    <t>Portugal</t>
  </si>
  <si>
    <t>Rumanía</t>
  </si>
  <si>
    <t>Rusia</t>
  </si>
  <si>
    <t>Senegal</t>
  </si>
  <si>
    <t>Uruguay</t>
  </si>
  <si>
    <t>Venezuela</t>
  </si>
  <si>
    <r>
      <t xml:space="preserve">Otro país </t>
    </r>
    <r>
      <rPr>
        <i/>
        <sz val="8"/>
        <rFont val="Arial"/>
        <family val="2"/>
      </rPr>
      <t>(especifique)</t>
    </r>
  </si>
  <si>
    <r>
      <t xml:space="preserve">Otro país:
</t>
    </r>
    <r>
      <rPr>
        <i/>
        <sz val="8"/>
        <rFont val="Arial"/>
        <family val="2"/>
      </rPr>
      <t>(especifique)</t>
    </r>
  </si>
  <si>
    <t>XII.3 Extradiciones</t>
  </si>
  <si>
    <t>1.- En caso de que la suma de las cantidades reportadas como respuesta en la columna "Total" del apartado "Extradición" de la pregunta 10.2 no sea un dato numérico mayor a cero, no puede registrar información en la pregunta de la presente subsección; toda vez que la información solicitada únicamente se relaciona con aquellas extradiciones en las que México funja como país extraditante.</t>
  </si>
  <si>
    <r>
      <t xml:space="preserve">1.- </t>
    </r>
    <r>
      <rPr>
        <b/>
        <i/>
        <sz val="8"/>
        <rFont val="Arial"/>
        <family val="2"/>
      </rPr>
      <t>Extradición.</t>
    </r>
    <r>
      <rPr>
        <i/>
        <sz val="8"/>
        <rFont val="Arial"/>
        <family val="2"/>
      </rPr>
      <t xml:space="preserve"> Se refiere al procedimiento mediante el cual es entregada una persona adolescente que, en otro país, se le haya iniciado un proceso penal en su contra como presunta responsable de un delito, o que sea reclamada para la ejecución de una sentencia o resolución dictada por las autoridades judiciales del país solicitante.</t>
    </r>
  </si>
  <si>
    <t>12.5.-</t>
  </si>
  <si>
    <t>Anote la cantidad de extradiciones de personas adolescentes internadas en los centros especializados de su entidad federativa realizadas durante el año 2023, según país solicitante.</t>
  </si>
  <si>
    <t>La suma de las cantidades registradas debe ser igual a la suma de las cantidades reportadas como respuesta en la columna "Total" del apartado "Extradición" de la pregunta 10.2.</t>
  </si>
  <si>
    <t>País solicitante</t>
  </si>
  <si>
    <t>Extradiciones realizadas</t>
  </si>
  <si>
    <r>
      <t xml:space="preserve">1.- Periodo de referencia de los datos: 
</t>
    </r>
    <r>
      <rPr>
        <b/>
        <i/>
        <sz val="8"/>
        <rFont val="Arial"/>
        <family val="2"/>
      </rPr>
      <t xml:space="preserve">Durante el año: </t>
    </r>
    <r>
      <rPr>
        <i/>
        <sz val="8"/>
        <rFont val="Arial"/>
        <family val="2"/>
      </rPr>
      <t xml:space="preserve">la información se refiere a lo existente del 01 de enero al 31 de diciembre de 2023.
</t>
    </r>
    <r>
      <rPr>
        <b/>
        <i/>
        <sz val="8"/>
        <rFont val="Arial"/>
        <family val="2"/>
      </rPr>
      <t xml:space="preserve">Al cierre del año: </t>
    </r>
    <r>
      <rPr>
        <i/>
        <sz val="8"/>
        <rFont val="Arial"/>
        <family val="2"/>
      </rPr>
      <t>la información se refiere a lo existente al 31 de diciembre de 2023.</t>
    </r>
  </si>
  <si>
    <r>
      <t xml:space="preserve">1.- </t>
    </r>
    <r>
      <rPr>
        <b/>
        <i/>
        <sz val="8"/>
        <rFont val="Arial"/>
        <family val="2"/>
      </rPr>
      <t>Reinserción social.</t>
    </r>
    <r>
      <rPr>
        <i/>
        <sz val="8"/>
        <rFont val="Arial"/>
        <family val="2"/>
      </rPr>
      <t xml:space="preserve"> Se refiere al proceso de integración social y psicológico al entorno de las personas adolescentes, mismo que puede darse a través de diversas formas de intervención y programas individuales con el objetivo de impedir que quienes han sido internadas se vean nuevamente involucradas en conductas delictivas.</t>
    </r>
  </si>
  <si>
    <t xml:space="preserve">XIII.1 Plan de actividades </t>
  </si>
  <si>
    <r>
      <t xml:space="preserve">1.- </t>
    </r>
    <r>
      <rPr>
        <b/>
        <i/>
        <sz val="8"/>
        <rFont val="Arial"/>
        <family val="2"/>
      </rPr>
      <t>Plan de actividades.</t>
    </r>
    <r>
      <rPr>
        <i/>
        <sz val="8"/>
        <rFont val="Arial"/>
        <family val="2"/>
      </rPr>
      <t xml:space="preserve"> Se refiere a la organización de los tiempos y espacios en que cada persona adolescente internada realiza sus actividades laborales, educativas, culturales, de protección a la salud, deportivas, personales y de justicia restaurativa; de conformidad con el régimen y organización de cada centro especializado.</t>
    </r>
  </si>
  <si>
    <t>13.1.-</t>
  </si>
  <si>
    <t>Indique, por cada uno de los centros especializados de su entidad federativa, si al cierre del año 2023 las personas adolescentes internadas contaban con algún plan de actividades. En caso afirmativo, indique si existía algún mecanismo de evaluación o seguimiento para dicho plan. Asimismo, anote la cantidad de personas adolescentes internadas que contaban con algún plan de actividades al cierre del referido año, así como la cantidad de estas que participaron en la elaboración del mismo, según sexo.</t>
  </si>
  <si>
    <t>Para cada centro especializado, en caso de que la cantidad reportada como respuesta en la columna "Total" de la pregunta 8.1 no sea un dato numérico mayor a cero, no puede registrar información en el presente reactivo.</t>
  </si>
  <si>
    <t xml:space="preserve">En caso de que en determinado centro especializado las personas adolescentes internadas no hayan contado con algún plan de actividades, o no cuente con información para determinarlo, indíquelo en la columna correspondiente conforme al catálogo respectivo y deje el resto de la fila en blanco. </t>
  </si>
  <si>
    <t>Para cada centro especializado, la cantidad registrada en la columna "Total" del apartado "Personas adolescentes internadas que contaban con algún plan de actividades, según sexo" debe ser igual o menor a la cantidad reportada como respuesta en la columna "Total" de la pregunta 8.1, así como corresponder a su desagregación por sexo.</t>
  </si>
  <si>
    <t>Para cada centro especializado, la cantidad registrada en la columna "Total" del apartado "Personas adolescentes internadas que participaron en la elaboración de su plan de actividades, según sexo" debe ser igual o menor a la cantidad reportada en la columna "Total" del apartado "Personas adolescentes internadas que contaban con algún plan de actividades, según sexo", así como corresponder a su desagregación por sexo.</t>
  </si>
  <si>
    <r>
      <t xml:space="preserve">¿Las personas adolescentes internadas contaban con algún plan de actividades?
</t>
    </r>
    <r>
      <rPr>
        <i/>
        <sz val="8"/>
        <rFont val="Arial"/>
        <family val="2"/>
      </rPr>
      <t>(1. Sí / 2. No / 9. No identificado)</t>
    </r>
  </si>
  <si>
    <r>
      <t xml:space="preserve">¿Existía algún mecanismo de evaluación o seguimiento para el plan de actividades?
</t>
    </r>
    <r>
      <rPr>
        <i/>
        <sz val="8"/>
        <rFont val="Arial"/>
        <family val="2"/>
      </rPr>
      <t>(1. Sí / 2. No / 9. No identificado)</t>
    </r>
  </si>
  <si>
    <t>Personas adolescentes internadas que contaban con algún plan de actividades, según sexo</t>
  </si>
  <si>
    <t>Personas adolescentes internadas que participaron en la elaboración de su plan de actividades, según sexo</t>
  </si>
  <si>
    <t>XIII.2 Educación</t>
  </si>
  <si>
    <t>13.2.-</t>
  </si>
  <si>
    <t>Anote, por cada uno de los centros especializados de su entidad federativa, la cantidad de personas adolescentes internadas que durante el año 2023 se encontraron estudiando, según nivel educativo cursado y sexo.</t>
  </si>
  <si>
    <t>No debe considerar a las personas adolescentes internadas que se hayan encontrado participando en actividades académicas, cursos extracurriculares y/ o cursos de idiomas que no constituyan algún nivel educativo, toda vez que dicha información se requiere en la pregunta 13.6.</t>
  </si>
  <si>
    <t>Personas adolescentes internadas que se encontraron estudiando, según nivel educativo cursado y sexo</t>
  </si>
  <si>
    <t>XIII.3 Trabajo</t>
  </si>
  <si>
    <t>13.3.-</t>
  </si>
  <si>
    <t>Anote, por cada uno de los centros especializados de su entidad federativa, la cantidad de personas adolescentes internadas que durante el año 2023 se encontraron ejerciendo alguna actividad productiva, según tipo de actividad productiva desarrollada y sexo.</t>
  </si>
  <si>
    <t>No debe considerar a las personas adolescentes internadas que se hayan encontrado participando en algún curso o taller para aprender algún oficio, artístico u otro con características similares; toda vez que dicha información se requiere en las preguntas 13.6, 13.7 y 13.8.</t>
  </si>
  <si>
    <t xml:space="preserve">Para cada centro especializado, la cantidad registrada en la columna "Total" debe ser igual o menor a la suma de las cantidades reportadas en las columnas "Subtotal" del apartado "Tipo de actividad productiva", así como corresponder a su desagregación por sexo; toda vez que una persona adolescente internada pudo haber ejercido más de un tipo de actividad productiva. </t>
  </si>
  <si>
    <t>Para cada centro especializado, la cantidad registrada en cada una de las columnas "Subtotal" del apartado "Tipo de actividad productiva" debe ser igual o menor a la cantidad reportada en la columna "Total", así como corresponder a su desagregación por sexo. En caso de que esta instrucción no le aplique, justifíquelo en el recuadro que se encuentra al final de la tabla de respuesta.</t>
  </si>
  <si>
    <t>En caso de que registre algún valor numérico mayor a cero en el apartado "Otro tipo", debe anotar el nombre de dicho(s) tipo(s) de actividad(es) productiva(s) en el recuadro destinado para tal efecto que se encuentra al final de la tabla de respuesta.</t>
  </si>
  <si>
    <t>Personas adolescentes internadas que se encontraron ejerciendo alguna actividad productiva, según tipo de actividad productiva desarrollada y sexo</t>
  </si>
  <si>
    <t>Tipo de actividad productiva</t>
  </si>
  <si>
    <t>Labores artesanales</t>
  </si>
  <si>
    <t>Maquila</t>
  </si>
  <si>
    <t>Carpintería</t>
  </si>
  <si>
    <t>Elaboración/ venta de alimentos</t>
  </si>
  <si>
    <t>Servicios de belleza, estilismo, peluquería y/ o barbería</t>
  </si>
  <si>
    <t>SUM. IN2</t>
  </si>
  <si>
    <t>Limpieza</t>
  </si>
  <si>
    <t>Labores de cocina</t>
  </si>
  <si>
    <t xml:space="preserve">Lavandería </t>
  </si>
  <si>
    <t>Enseñanza</t>
  </si>
  <si>
    <t>Mantenimiento</t>
  </si>
  <si>
    <t>Asistencia administrativa</t>
  </si>
  <si>
    <t xml:space="preserve">Venta y/ o atención en tienda </t>
  </si>
  <si>
    <t xml:space="preserve">Herrería </t>
  </si>
  <si>
    <t>Jardinería</t>
  </si>
  <si>
    <r>
      <t xml:space="preserve">Agricultura
</t>
    </r>
    <r>
      <rPr>
        <i/>
        <sz val="8"/>
        <rFont val="Arial"/>
        <family val="2"/>
      </rPr>
      <t>(labores de cultivo)</t>
    </r>
  </si>
  <si>
    <r>
      <t xml:space="preserve">Ganadería
</t>
    </r>
    <r>
      <rPr>
        <i/>
        <sz val="8"/>
        <rFont val="Arial"/>
        <family val="2"/>
      </rPr>
      <t>(crianza de animales)</t>
    </r>
  </si>
  <si>
    <t>13.4.-</t>
  </si>
  <si>
    <t>De acuerdo con el total de personas adolescentes internadas que se encontraron ejerciendo alguna actividad productiva que reportó como respuesta en la pregunta anterior, anote, por cada uno de los centros especializados de su entidad federativa, la cantidad de las mismas especificando su condición de remuneración y sexo.</t>
  </si>
  <si>
    <t>En el apartado "Con remuneración" debe considerar a aquellas personas adolescentes internadas que se encontraron ejerciendo alguna actividad productiva por la cual recibieron un sueldo o contraprestación formal, así como a aquellas que recibieron alguna retribución, ganancia o pago de carácter informal por la venta de los productos elaborados al interior de los centros especializados, ya sea que se entregue directamente a ellas o a sus familiares.</t>
  </si>
  <si>
    <t>Para cada centro especializado, la cantidad registrada en la columna "Total" debe ser igual o mayor a la cantidad reportada como respuesta en la columna "Total" de la pregunta anterior, así como corresponder a su desagregación por sexo; toda vez que una persona adolescente internada pudo haber presentado ambas condiciones de remuneración dependiendo del tipo de actividad productiva desarrollada.</t>
  </si>
  <si>
    <t>Para cada centro especializado, la cantidad registrada en la columna "Subtotal" de cada condición de remuneración debe ser igual o menor a la cantidad reportada como respuesta en la columna "Total" de la pregunta anterior, así como corresponder a su desagregación por sexo. En caso de que esta instrucción no le aplique, justifíquelo en el recuadro que se encuentra al final de la tabla de respuesta.</t>
  </si>
  <si>
    <t>Personas adolescentes internadas que se encontraron ejerciendo alguna actividad productiva, según condición de remuneración y sexo</t>
  </si>
  <si>
    <t>Con remuneración</t>
  </si>
  <si>
    <t>Sin remuneración</t>
  </si>
  <si>
    <t>13.5.-</t>
  </si>
  <si>
    <t>Indique, por cada uno de los centros especializados de su entidad federativa, si le fueron otorgados beneficios a las personas adolescentes internadas que se encontraron ejerciendo durante el año 2023 alguna actividad productiva remunerada. En caso afirmativo, anote la cantidad de personas adolescentes internadas que durante el referido año recibieron algún beneficio, según tipo de beneficio recibido y sexo.</t>
  </si>
  <si>
    <t>Para cada centro especializado, en caso de que la cantidad reportada como respuesta en la columna "Subtotal" del apartado "Con remuneración" de la pregunta anterior no sea un dato numérico mayor a cero, no puede registrar información en el presente reactivo.</t>
  </si>
  <si>
    <t>En caso de que en determinado centro especializado no le hayan sido otorgados beneficios a las personas adolescentes internadas que se encontraron ejerciendo alguna actividad productiva remunerada, o no cuente con información para determinarlo, indíquelo en la columna correspondiente conforme al catálogo respectivo y deje el resto de la fila en blanco.</t>
  </si>
  <si>
    <t>Para cada centro especializado, la cantidad registrada en la columna "Total" debe ser igual o menor a la cantidad reportada como respuesta en la columna "Subtotal" del apartado "Con remuneración" de la pregunta anterior, así como corresponder a su desagregación por sexo.</t>
  </si>
  <si>
    <t>Para cada centro especializado, la cantidad registrada en la columna "Total" debe ser igual o menor a la suma de las cantidades reportadas en las columnas "Subtotal" del apartado "Tipo de beneficio", así como corresponder a su desagregación por sexo; toda vez que una persona adolescente internada pudo haber recibido más de un tipo de beneficio.</t>
  </si>
  <si>
    <t>Para cada centro especializado, la cantidad registrada en cada una de las columnas "Subtotal" del apartado "Tipo de beneficio" debe ser igual o menor a la cantidad reportada en la columna "Total", así como corresponder a su desagregación por sexo. En caso de que esta instrucción no le aplique, justifíquelo en el recuadro que se encuentra al final de la tabla de respuesta.</t>
  </si>
  <si>
    <t>En caso de que registre algún valor numérico mayor a cero en el apartado "Otro tipo", debe anotar el nombre de dicho(s) tipo(s) de beneficio(s) en el recuadro destinado para tal efecto que se encuentra al final de la tabla de respuesta.</t>
  </si>
  <si>
    <r>
      <t xml:space="preserve">¿Le fueron otorgados beneficios a las personas adolescentes internadas que se encontraron ejerciendo alguna actividad productiva remunerada?
</t>
    </r>
    <r>
      <rPr>
        <i/>
        <sz val="8"/>
        <rFont val="Arial"/>
        <family val="2"/>
      </rPr>
      <t>(1. Sí / 2. No / 9. No identificado)</t>
    </r>
  </si>
  <si>
    <t>Personas adolescentes internadas que se encontraron ejerciendo alguna actividad productiva remunerada, según tipo de beneficio recibido y sexo</t>
  </si>
  <si>
    <t>Tipo de beneficio</t>
  </si>
  <si>
    <t>Seguridad social</t>
  </si>
  <si>
    <t>Reparto de utilidades</t>
  </si>
  <si>
    <t>Registro de nómina</t>
  </si>
  <si>
    <t>SUM. IN4</t>
  </si>
  <si>
    <t>COM. IN5</t>
  </si>
  <si>
    <t xml:space="preserve">Protecciones de acuerdo con la Ley Federal del Trabajo </t>
  </si>
  <si>
    <t>Integración de una cuenta</t>
  </si>
  <si>
    <t>Notificación sobre el estado que guarda su cuenta</t>
  </si>
  <si>
    <t>Lineamientos para la entrega de las ganancias a familiares de la persona adolescente internada</t>
  </si>
  <si>
    <t xml:space="preserve">Lineamientos para la restitución de las ganancias una vez que la persona adolescente obtiene su libertad </t>
  </si>
  <si>
    <t>Lineamientos para el uso propio de las ganancias de las personas adolescentes internadas</t>
  </si>
  <si>
    <r>
      <rPr>
        <sz val="9"/>
        <rFont val="Arial"/>
        <family val="2"/>
      </rPr>
      <t xml:space="preserve">Otro tipo:
</t>
    </r>
    <r>
      <rPr>
        <i/>
        <sz val="8"/>
        <rFont val="Arial"/>
        <family val="2"/>
      </rPr>
      <t>(especifique)</t>
    </r>
  </si>
  <si>
    <t>13.6.-</t>
  </si>
  <si>
    <t>Indique, por cada uno de los centros especializados de su entidad federativa, si durante el año 2023 se impartieron actividades, servicios, cursos o talleres a las personas adolescentes internadas. En caso afirmativo, anote la cantidad de personas adolescentes internadas que durante el referido año participaron en los mismos, según tipo de actividad, servicio, curso o taller impartido y sexo.</t>
  </si>
  <si>
    <t>En caso de que en determinado centro especializado no se hayan impartido actividades, servicios, cursos o talleres a las personas adolescentes internadas, o no cuente con información para determinarlo, indíquelo en la columna correspondiente conforme al catálogo respectivo y deje el resto de la fila en blanco.</t>
  </si>
  <si>
    <t>Para cada centro especializado, la cantidad registrada en la columna "Total" debe ser igual o menor a la suma de las cantidades reportadas en las columnas "Subtotal" del apartado "Tipo de actividad, servicio, curso o taller", así como corresponder a su desagregación por sexo; toda vez que una persona adolescente internada pudo haber participado en más de un tipo de actividad, servicio, curso o taller.</t>
  </si>
  <si>
    <t>Para cada centro especializado, la cantidad registrada en cada una de las columnas "Subtotal" del apartado "Tipo de actividad, servicio, curso o taller" debe ser igual o menor a la cantidad reportada en la columna "Total", así como corresponder a su desagregación por sexo. En caso de que esta instrucción no le aplique, justifíquelo en el recuadro que se encuentra al final de la tabla de respuesta.</t>
  </si>
  <si>
    <t>En caso de que registre algún valor numérico mayor a cero en el apartado "Otro tipo", debe anotar el nombre de dicho(s) tipo(s) de actividad(es), servicio(s), curso(s) o taller(es) en el recuadro destinado para tal efecto que se encuentra al final de la tabla de respuesta.</t>
  </si>
  <si>
    <r>
      <t xml:space="preserve">¿Se impartieron actividades, servicios, cursos o talleres a las personas adolescentes internadas?
</t>
    </r>
    <r>
      <rPr>
        <i/>
        <sz val="8"/>
        <rFont val="Arial"/>
        <family val="2"/>
      </rPr>
      <t>(1. Sí / 2. No / 9. No identificado)</t>
    </r>
  </si>
  <si>
    <t>Personas adolescentes internadas que participaron en las actividades, servicios, cursos o talleres, según tipo de actividad, servicio, curso o taller impartido y sexo</t>
  </si>
  <si>
    <t>Tipo de actividad, servicio, curso o taller</t>
  </si>
  <si>
    <t>Campañas de empleo</t>
  </si>
  <si>
    <t>Orientación jurídica</t>
  </si>
  <si>
    <t>Orientación para autoempleo</t>
  </si>
  <si>
    <t>Cursos o talleres para aprender algún oficio</t>
  </si>
  <si>
    <t>Cursos o talleres artísticos</t>
  </si>
  <si>
    <t>Actividades religiosas y/ o de culto</t>
  </si>
  <si>
    <r>
      <t xml:space="preserve">Actividades académicas y/ o cursos extracurriculares </t>
    </r>
    <r>
      <rPr>
        <i/>
        <sz val="8"/>
        <rFont val="Arial"/>
        <family val="2"/>
      </rPr>
      <t>(sin incluir idiomas)</t>
    </r>
  </si>
  <si>
    <t>Idiomas</t>
  </si>
  <si>
    <t>13.7.-</t>
  </si>
  <si>
    <t>De acuerdo con el total de personas adolescentes internadas que reportó como respuesta en el apartado "Cursos o talleres para aprender algún oficio" de la pregunta anterior, anote, por cada uno de los centros especializados de su entidad federativa, la cantidad de las mismas especificando el tipo de oficio aprendido y sexo.</t>
  </si>
  <si>
    <t>Para cada centro especializado, en caso de que la cantidad reportada como respuesta en la columna "Subtotal" del apartado "Cursos o talleres para aprender algún oficio" de la pregunta anterior no sea un dato numérico mayor a cero, no puede registrar información en el presente reactivo.</t>
  </si>
  <si>
    <t>Para cada centro especializado, la cantidad registrada en la columna "Total" debe ser igual o mayor a la cantidad reportada como respuesta en la columna "Subtotal" del apartado "Cursos o talleres para aprender algún oficio" de la pregunta anterior, así como corresponder a su desagregación por sexo; toda vez que una persona adolescente internada pudo haber aprendido más de un tipo de oficio.</t>
  </si>
  <si>
    <t>Para cada centro especializado, la cantidad registrada en la columna "Subtotal" de cada tipo de oficio debe ser igual o menor a la cantidad reportada como respuesta en la columna "Subtotal" del apartado "Cursos o talleres para aprender algún oficio" de la pregunta anterior, así como corresponder a su desagregación por sexo. En caso de que esta instrucción no le aplique, justifíquelo en el recuadro que se encuentra al final de la tabla de respuesta.</t>
  </si>
  <si>
    <t>En caso de que registre algún valor numérico mayor a cero en el apartado "Otro tipo", debe anotar el nombre de dicho(s) tipo(s) de oficio(s) en el recuadro destinado para tal efecto que se encuentra al final de la tabla de respuesta.</t>
  </si>
  <si>
    <t>Personas adolescentes internadas que participaron en los cursos o talleres para aprender algún oficio, según tipo de oficio aprendido y sexo</t>
  </si>
  <si>
    <t>Fabricación de muebles de madera</t>
  </si>
  <si>
    <t>Tallado de madera</t>
  </si>
  <si>
    <t>Computación</t>
  </si>
  <si>
    <t>Electricidad</t>
  </si>
  <si>
    <t>Mecánica automotriz</t>
  </si>
  <si>
    <t>Bordado o tejido</t>
  </si>
  <si>
    <t>Reparación de aparatos mecánicos y eléctricos</t>
  </si>
  <si>
    <t>Confección de calzado y prendas de vestir</t>
  </si>
  <si>
    <t>Costura</t>
  </si>
  <si>
    <r>
      <t xml:space="preserve">Elaboración de manualidades 
</t>
    </r>
    <r>
      <rPr>
        <i/>
        <sz val="8"/>
        <rFont val="Arial"/>
        <family val="2"/>
      </rPr>
      <t>(sin incluir bisutería y piñatas)</t>
    </r>
  </si>
  <si>
    <t>Bisutería</t>
  </si>
  <si>
    <t>Fabricación de piñatas</t>
  </si>
  <si>
    <t xml:space="preserve">Panadería, pastelería y/ o repostería </t>
  </si>
  <si>
    <t>Belleza, estilismo, peluquería y/ o barbería</t>
  </si>
  <si>
    <t>13.8.-</t>
  </si>
  <si>
    <t>De acuerdo con el total de personas adolescentes internadas que reportó como respuesta en el apartado "Cursos o talleres artísticos" de la pregunta 13.6, anote, por cada uno de los centros especializados de su entidad federativa, la cantidad de las mismas especificando el tipo de actividad artística aprendida y sexo.</t>
  </si>
  <si>
    <t>Para cada centro especializado, en caso de que la cantidad reportada como respuesta en la columna "Subtotal" del apartado "Cursos o talleres artísticos" de la pregunta 13.6 no sea un dato numérico mayor a cero, no puede registrar información en el presente reactivo.</t>
  </si>
  <si>
    <t>Para cada centro especializado, la cantidad registrada en la columna "Total" debe ser igual o mayor a la cantidad reportada como respuesta en la columna "Subtotal" del apartado "Cursos o talleres artísticos" de la pregunta 13.6, así como corresponder a su desagregación por sexo; toda vez que una persona adolescente internada pudo haber aprendido más de un tipo de actividad artística.</t>
  </si>
  <si>
    <t>Para cada centro especializado, la cantidad registrada en la columna "Subtotal" de cada tipo de actividad artística debe ser igual o menor a la cantidad reportada como respuesta en la columna "Subtotal" del apartado "Cursos o talleres artísticos" de la pregunta 13.6, así como corresponder a su desagregación por sexo. En caso de que esta instrucción no le aplique, justifíquelo en el recuadro que se encuentra al final de la tabla de respuesta.</t>
  </si>
  <si>
    <t>En caso de que registre algún valor numérico mayor a cero en el apartado "Otro tipo", debe anotar el nombre de dicho(s) tipo(s) de actividad(es) artística(s) en el recuadro destinado para tal efecto que se encuentra al final de la tabla de respuesta.</t>
  </si>
  <si>
    <t>Personas adolescentes internadas que participaron en los cursos o talleres artísticos, según tipo de actividad artística aprendida y sexo</t>
  </si>
  <si>
    <r>
      <t xml:space="preserve">Artes plásticas
</t>
    </r>
    <r>
      <rPr>
        <i/>
        <sz val="8"/>
        <rFont val="Arial"/>
        <family val="2"/>
      </rPr>
      <t>(pintura, escultura, arquitectura)</t>
    </r>
  </si>
  <si>
    <t>Expresión corporal, teatro y oratoria</t>
  </si>
  <si>
    <t>Música</t>
  </si>
  <si>
    <t>Literatura</t>
  </si>
  <si>
    <t>Danza</t>
  </si>
  <si>
    <t>Cinematografía</t>
  </si>
  <si>
    <t>13.9.-</t>
  </si>
  <si>
    <t>Indique, por cada uno de los centros especializados de su entidad federativa, si se otorgó algún tipo de certificación o acreditación a las personas adolescentes internadas que reportó como respuesta en los apartados "Cursos o talleres para aprender algún oficio" y "Cursos o talleres artísticos" de la pregunta 13.6.</t>
  </si>
  <si>
    <t>Para cada centro especializado, en caso de que la cantidad reportada como respuesta en la columna "Subtotal" del apartado "Cursos o talleres para aprender algún oficio" de la pregunta 13.6 no sea un dato numérico mayor a cero, no puede registrar información en la columna "¿Se otorgó algún tipo de certificación o acreditación a las personas adolescentes internadas que participaron en los cursos o talleres para aprender algún oficio?".</t>
  </si>
  <si>
    <t>Para cada centro especializado, en caso de que la cantidad reportada como respuesta en la columna "Subtotal" del apartado "Cursos o talleres artísticos" de la pregunta 13.6 no sea un dato numérico mayor a cero, no puede registrar información en la columna "¿Se otorgó algún tipo de certificación o acreditación a las personas adolescentes internadas que participaron en los cursos o talleres artísticos?".</t>
  </si>
  <si>
    <t>Debe considerar el otorgamiento de alguna certificación o acreditación a las personas adolescentes internadas que hayan participado en los cursos o talleres de referencia, independientemente de que dicho otorgamiento se haya realizado durante el año o con posterioridad al mismo.</t>
  </si>
  <si>
    <r>
      <t xml:space="preserve">¿Se otorgó algún tipo de certificación o acreditación a las personas adolescentes internadas que participaron en los cursos o talleres para aprender algún oficio?
</t>
    </r>
    <r>
      <rPr>
        <i/>
        <sz val="8"/>
        <rFont val="Arial"/>
        <family val="2"/>
      </rPr>
      <t>(1. Sí / 2. No / 9. No identificado)</t>
    </r>
  </si>
  <si>
    <r>
      <t xml:space="preserve">¿Se otorgó algún tipo de certificación o acreditación a las personas adolescentes internadas que participaron en los cursos o talleres artísticos?
</t>
    </r>
    <r>
      <rPr>
        <i/>
        <sz val="8"/>
        <rFont val="Arial"/>
        <family val="2"/>
      </rPr>
      <t>(1. Sí / 2. No / 9. No identificado)</t>
    </r>
  </si>
  <si>
    <t>GRIS TALL</t>
  </si>
  <si>
    <t>GRIS ARTI</t>
  </si>
  <si>
    <t>XIII.4 Salud</t>
  </si>
  <si>
    <t>XIII.4.1 Atención y/ o tratamiento médico</t>
  </si>
  <si>
    <t>1.- Debe considerar las personas adolescentes internadas que recibieron algún tipo de atención y/ o tratamiento médico, mas no las atenciones y/ o tratamientos médicos brindados.</t>
  </si>
  <si>
    <t>13.10.-</t>
  </si>
  <si>
    <t>Indique, por cada uno de los centros especializados de su entidad federativa, si durante el año 2023 se brindó atención y/ o tratamiento médico a las personas adolescentes internadas. En caso afirmativo, anote la cantidad de personas adolescentes internadas atendidas durante el referido año, según tipo de atención y/ o tratamiento médico recibido y sexo.</t>
  </si>
  <si>
    <t>En caso de que en determinado centro especializado no se haya brindado atención y/ o tratamiento médico a las personas adolescentes internadas, o no cuente con información para determinarlo, indíquelo en la columna correspondiente conforme al catálogo respectivo y deje el resto de la fila en blanco.</t>
  </si>
  <si>
    <t>El apartado "Tratamiento voluntario de desintoxicación" refiere a aquellos casos en los que únicamente se proporciona el servicio de desintoxicación a las personas adolescentes internadas, sin formar parte de un tratamiento integral. Dicho tratamiento consiste en la administración de sustancias de sustitución para estabilizar a la persona y, posteriormente, ir reduciendo de forma gradual la dosis hasta suspender su administración.</t>
  </si>
  <si>
    <t>El apartado "Tratamiento de adicciones a sustancias psicoactivas" refiere a aquellos casos en los que se proporciona un tratamiento integral a las personas adolescentes internadas para atender, mediante una serie de intervenciones estructuradas, los problemas de salud, sociales y de otra naturaleza causados por el abuso en el consumo de sustancias psicoactivas. Dicho proceso incluye las etapas de desintoxicación, rehabilitación y postratamiento. En caso de que únicamente se brinde el servicio de desintoxicación voluntaria, debe reportarse en el apartado "Tratamiento voluntario de desintoxicación" conforme a lo descrito en la instrucción anterior.</t>
  </si>
  <si>
    <t xml:space="preserve">Para cada centro especializado, la cantidad registrada en la columna "Total" debe ser igual o menor a la suma de las cantidades reportadas en las columnas "Subtotal" del apartado "Tipo de atención y/ o tratamiento médico", así como corresponder a su desagregación por sexo; toda vez que una persona adolescente internada pudo haber recibido más de un tipo de atención y/ o tratamiento médico. </t>
  </si>
  <si>
    <t>Para cada centro especializado, la cantidad registrada en cada una de las columnas "Subtotal" del apartado "Tipo de atención y/ o tratamiento médico" debe ser igual o menor a la cantidad reportada en la columna "Total", así como corresponder a su desagregación por sexo. En caso de que esta instrucción no le aplique, justifíquelo en el recuadro que se encuentra al final de la tabla de respuesta.</t>
  </si>
  <si>
    <t xml:space="preserve">En caso de que registre algún valor numérico mayor a cero en el apartado "Otro tipo", debe anotar el nombre de dicho(s) tipo(s) de atención y/ o tratamiento médico en el recuadro destinado para tal efecto que se encuentra al final de la tabla de respuesta. </t>
  </si>
  <si>
    <r>
      <t xml:space="preserve">¿Se brindó atención y/ o tratamiento médico a las personas adolescentes internadas?
</t>
    </r>
    <r>
      <rPr>
        <i/>
        <sz val="8"/>
        <rFont val="Arial"/>
        <family val="2"/>
      </rPr>
      <t>(1. Sí / 2. No / 9. No identificado)</t>
    </r>
  </si>
  <si>
    <t>Personas adolescentes internadas atendidas, según tipo de atención y/ o tratamiento médico recibido y sexo</t>
  </si>
  <si>
    <t>Tipo de atención y/ o tratamiento médico</t>
  </si>
  <si>
    <r>
      <t xml:space="preserve">Preventiva
</t>
    </r>
    <r>
      <rPr>
        <i/>
        <sz val="8"/>
        <rFont val="Arial"/>
        <family val="2"/>
      </rPr>
      <t>(chequeo médico)</t>
    </r>
  </si>
  <si>
    <r>
      <t xml:space="preserve">Tratamiento de lesiones
</t>
    </r>
    <r>
      <rPr>
        <i/>
        <sz val="8"/>
        <rFont val="Arial"/>
        <family val="2"/>
      </rPr>
      <t>(traumatológica)</t>
    </r>
  </si>
  <si>
    <t>Odontológica</t>
  </si>
  <si>
    <t>Ginecológica y obstétrica</t>
  </si>
  <si>
    <r>
      <t xml:space="preserve">Rehabilitación 
</t>
    </r>
    <r>
      <rPr>
        <i/>
        <sz val="8"/>
        <rFont val="Arial"/>
        <family val="2"/>
      </rPr>
      <t>(discapacidad motriz, visual o auditiva)</t>
    </r>
  </si>
  <si>
    <r>
      <t>Otro tipo</t>
    </r>
    <r>
      <rPr>
        <i/>
        <sz val="9"/>
        <rFont val="Arial"/>
        <family val="2"/>
      </rPr>
      <t xml:space="preserve">
</t>
    </r>
    <r>
      <rPr>
        <i/>
        <sz val="8"/>
        <rFont val="Arial"/>
        <family val="2"/>
      </rPr>
      <t>(especifique)</t>
    </r>
  </si>
  <si>
    <t>13.11.-</t>
  </si>
  <si>
    <t>De acuerdo con el total de personas adolescentes internadas que reportó como respuesta en el apartado "Tratamiento de lesiones" de la pregunta anterior, anote, por cada uno de los centros especializados de su entidad federativa, la cantidad de las mismas especificando la causa de la lesión atendida y sexo.</t>
  </si>
  <si>
    <t>Para cada centro especializado, en caso de que la cantidad reportada como respuesta en la columna "Subtotal" del apartado "Tratamiento de lesiones" de la pregunta anterior no sea un dato numérico mayor a cero, no puede registrar información en el presente reactivo.</t>
  </si>
  <si>
    <t>Para cada centro especializado, la cantidad registrada en la columna "Total" debe ser igual o mayor a la cantidad reportada como respuesta en la columna "Subtotal" del apartado "Tratamiento de lesiones" de la pregunta anterior, así como corresponder a su desagregación por sexo; toda vez que una persona adolescente internada pudo haber sido tratada por lesiones asociadas a más de una causa.</t>
  </si>
  <si>
    <t>Para cada centro especializado, la cantidad registrada en la columna "Subtotal" de cada causa de la lesión debe ser igual o menor a la cantidad reportada como respuesta en la columna "Subtotal" del apartado "Tratamiento de lesiones" de la pregunta anterior, así como corresponder a su desagregación por sexo. En caso de que esta instrucción no le aplique, justifíquelo en el recuadro que se encuentra al final de la tabla de respuesta.</t>
  </si>
  <si>
    <t>En caso de que registre algún valor numérico mayor a cero en el apartado "Otra causa", debe anotar el nombre de dicha(s) causa(s) en el recuadro destinado para tal efecto que se encuentra al final de la tabla de respuesta.</t>
  </si>
  <si>
    <t>Personas adolescentes internadas atendidas por lesiones, según causa de la lesión atendida y sexo</t>
  </si>
  <si>
    <t>Derivado de un accidente</t>
  </si>
  <si>
    <t>Derivado de la realización de una actividad física o deportiva</t>
  </si>
  <si>
    <r>
      <t xml:space="preserve">Autoinfligidas
</t>
    </r>
    <r>
      <rPr>
        <i/>
        <sz val="8"/>
        <rFont val="Arial"/>
        <family val="2"/>
      </rPr>
      <t>(sin incluir intento de suicidio)</t>
    </r>
  </si>
  <si>
    <t>Derivado de un intento de homicidio</t>
  </si>
  <si>
    <t>GRIS FILA</t>
  </si>
  <si>
    <t>Derivado de un intento de suicidio</t>
  </si>
  <si>
    <t>Producto de la agresión física por parte de otras personas adolescentes internadas</t>
  </si>
  <si>
    <t>Producto de la agresión física por parte del personal de custodia y/ o vigilancia</t>
  </si>
  <si>
    <t>Producto de la agresión sexual por parte de otras personas adolescentes internadas</t>
  </si>
  <si>
    <t>Producto de la agresión sexual por parte del personal de custodia y/ o vigilancia</t>
  </si>
  <si>
    <r>
      <t xml:space="preserve">Otra causa
</t>
    </r>
    <r>
      <rPr>
        <i/>
        <sz val="8"/>
        <rFont val="Arial"/>
        <family val="2"/>
      </rPr>
      <t>(especifique)</t>
    </r>
  </si>
  <si>
    <r>
      <t xml:space="preserve">Otra causa:
</t>
    </r>
    <r>
      <rPr>
        <i/>
        <sz val="8"/>
        <rFont val="Arial"/>
        <family val="2"/>
      </rPr>
      <t>(especifique)</t>
    </r>
  </si>
  <si>
    <t>13.12.-</t>
  </si>
  <si>
    <t>De acuerdo con el total de personas adolescentes internadas que reportó como respuesta en el apartado "Tratamiento de enfermedades crónicas-degenerativas" de la pregunta 13.10, anote, por cada uno de los centros especializados de su entidad federativa, la cantidad de las mismas especificando el tipo de enfermedad crónica-degenerativa atendida y sexo.</t>
  </si>
  <si>
    <t>Para cada centro especializado, en caso de que la cantidad reportada como respuesta en la columna "Subtotal" del apartado "Tratamiento de enfermedades crónicas-degenerativas" de la pregunta 13.10 no sea un dato numérico mayor a cero, no puede registrar información en el presente reactivo.</t>
  </si>
  <si>
    <t>Para cada centro especializado, la cantidad registrada en la columna "Total" debe ser igual o mayor a la cantidad reportada como respuesta en la columna "Subtotal" del apartado "Tratamiento de enfermedades crónicas-degenerativas" de la pregunta 13.10, así como corresponder a su desagregación por sexo; toda vez que una persona adolescente internada pudo haber sido atendida por más de un tipo de enfermedad crónica-degenerativa.</t>
  </si>
  <si>
    <t>Para cada centro especializado, la cantidad registrada en la columna "Subtotal" de cada tipo de enfermedad crónica-generativa debe ser igual o menor a la cantidad reportada como respuesta en la columna "Subtotal" del apartado "Tratamiento de enfermedades crónicas-degenerativas" de la pregunta 13.10, así como corresponder a su desagregación por sexo. En caso de que esta instrucción no le aplique, justifíquelo en el recuadro que se encuentra al final de la tabla de respuesta.</t>
  </si>
  <si>
    <t>En caso de que registre algún valor numérico mayor a cero en el apartado "Otro tipo", debe anotar el nombre de dicho(s) tipo(s) de enfermedad(es) en el recuadro destinado para tal efecto que se encuentra al final de la tabla de respuesta.</t>
  </si>
  <si>
    <t>Personas adolescentes internadas atendidas por enfermedades crónicas-degenerativas, según tipo de enfermedad crónica-degenerativa atendida y sexo</t>
  </si>
  <si>
    <t>13.13.-</t>
  </si>
  <si>
    <t>De acuerdo con el total de personas adolescentes internadas que reportó como respuesta en el apartado "Tratamiento de enfermedades mentales y/ o trastornos cognitivos" de la pregunta 13.10, anote, por cada uno de los centros especializados de su entidad federativa, la cantidad de las mismas especificando el tipo de enfermedad mental y/ o trastorno cognitivo atendido y sexo.</t>
  </si>
  <si>
    <t>Para cada centro especializado, en caso de que la cantidad reportada como respuesta en la columna "Subtotal" del apartado "Tratamiento de enfermedades mentales y/ o trastornos cognitivos" de la pregunta 13.10 no sea un dato numérico mayor a cero, no puede registrar información en el presente reactivo.</t>
  </si>
  <si>
    <t>Para cada centro especializado, la cantidad registrada en la columna "Total" debe ser igual o mayor a la cantidad reportada como respuesta en la columna "Subtotal" del apartado "Tratamiento de enfermedades mentales y/ o trastornos cognitivos" de la pregunta 13.10, así como corresponder a su desagregación por sexo; toda vez que una persona adolescente internada pudo haber sido atendida por más de un tipo de enfermedad mental y/ o trastorno cognitivo.</t>
  </si>
  <si>
    <t>Para cada centro especializado, la cantidad registrada en la columna "Subtotal" de cada tipo de enfermedad mental y/ o trastorno cognitivo debe ser igual o menor a la cantidad reportada como respuesta en la columna "Subtotal" del apartado "Tratamiento de enfermedades mentales y/ o trastornos cognitivos" de la pregunta 13.10, así como corresponder a su desagregación por sexo. En caso de que esta instrucción no le aplique, justifíquelo en el recuadro que se encuentra al final de la tabla de respuesta.</t>
  </si>
  <si>
    <t>En caso de que registre algún valor numérico mayor a cero en el apartado "Otro tipo", debe anotar el nombre de dicho(s) tipo(s) de enfermedad(es) y/ o trastorno(s) en el recuadro destinado para tal efecto que se encuentra al final de la tabla de respuesta.</t>
  </si>
  <si>
    <t>Personas adolescentes internadas atendidas por enfermedades mentales y/ o trastornos cognitivos, según tipo de enfermedad mental y/ o trastorno cognitivo atendido y sexo</t>
  </si>
  <si>
    <r>
      <t xml:space="preserve">Trastornos del desarrollo intelectual 
</t>
    </r>
    <r>
      <rPr>
        <i/>
        <sz val="8"/>
        <rFont val="Arial"/>
        <family val="2"/>
      </rPr>
      <t>(incluido el autismo)</t>
    </r>
  </si>
  <si>
    <t>13.14.-</t>
  </si>
  <si>
    <t>De acuerdo con el total de personas adolescentes internadas que reportó como respuesta en el apartado "Tratamiento de enfermedades infecciosas y/ o parasitarias" de la pregunta 13.10, anote, por cada uno de los centros especializados de su entidad federativa, la cantidad de las mismas especificando el tipo de enfermedad infecciosa y/ o parasitaria atendida y sexo.</t>
  </si>
  <si>
    <t>Para cada centro especializado, en caso de que la cantidad reportada como respuesta en la columna "Subtotal" del apartado "Tratamiento de enfermedades infecciosas y/ o parasitarias" de la pregunta 13.10 no sea un dato numérico mayor a cero, no puede registrar información en el presente reactivo.</t>
  </si>
  <si>
    <t>Para cada centro especializado, la cantidad registrada en la columna "Total" debe ser igual o mayor a la cantidad reportada como respuesta en la columna "Subtotal" del apartado "Tratamiento de enfermedades infecciosas y/ o parasitarias" de la pregunta 13.10, así como corresponder a su desagregación por sexo; toda vez que una persona adolescente internada pudo haber sido atendida por más de un tipo de enfermedad infecciosa y/ o parasitaria.</t>
  </si>
  <si>
    <t>Para cada centro especializado, la cantidad registrada en la columna "Subtotal" de cada tipo de enfermedad infecciosa y/ o parasitaria debe ser igual o menor a la cantidad reportada como respuesta en la columna "Subtotal" del apartado "Tratamiento de enfermedades infecciosas y/ o parasitarias" de la pregunta 13.10, así como corresponder a su desagregación por sexo. En caso de que esta instrucción no le aplique, justifíquelo en el recuadro que se encuentra al final de la tabla de respuesta.</t>
  </si>
  <si>
    <t>Personas adolescentes internadas atendidas por enfermedades infecciosas y/ o parasitarias, según tipo de enfermedad infecciosa y/ o parasitaria atendida y sexo</t>
  </si>
  <si>
    <r>
      <t xml:space="preserve">Hepatitis
</t>
    </r>
    <r>
      <rPr>
        <i/>
        <sz val="8"/>
        <rFont val="Arial"/>
        <family val="2"/>
      </rPr>
      <t>(viral tipo A, B, C, D y E)</t>
    </r>
  </si>
  <si>
    <t>XIII.4.2 Terapias conductuales y del comportamiento</t>
  </si>
  <si>
    <t>13.15.-</t>
  </si>
  <si>
    <t>Indique, por cada uno de los centros especializados de su entidad federativa, si durante el año 2023 se impartieron terapias conductuales y del comportamiento a las personas adolescentes internadas. En caso afirmativo, anote la cantidad de personas adolescentes internadas que durante el referido año participaron en las mismas, según tipo de problemática conductual y del comportamiento asociada y sexo.</t>
  </si>
  <si>
    <t>En caso de que en determinado centro especializado no se hayan impartido terapias conductuales y del comportamiento a las personas adolescentes internadas, o no cuente con información para determinarlo, indíquelo en la columna correspondiente conforme al catálogo respectivo y deje el resto de la fila en blanco.</t>
  </si>
  <si>
    <t>Para cada centro especializado, la cantidad registrada en la columna "Total" debe ser igual o menor a la suma de las cantidades reportadas en las columnas "Subtotal" del apartado "Tipo de problemática conductual y del comportamiento", así como corresponder a su desagregación por sexo; toda vez que una persona adolescente internada pudo haber participado en terapias asociadas a más de un tipo de problemática conductual y del comportamiento.</t>
  </si>
  <si>
    <t>Para cada centro especializado, la cantidad registrada en cada una de las columnas "Subtotal" del apartado "Tipo de problemática conductual y del comportamiento" debe ser igual o menor a la cantidad reportada en la columna "Total", así como corresponder a su desagregación por sexo. En caso de que esta instrucción no le aplique, justifíquelo en el recuadro que se encuentra al final de la tabla de respuesta.</t>
  </si>
  <si>
    <t>En caso de que registre algún valor numérico mayor a cero en el apartado "Otro tipo", debe anotar el nombre de dicho(s) tipo(s) de problemática(s) en el recuadro destinado para tal efecto que se encuentra al final de la tabla de respuesta.</t>
  </si>
  <si>
    <r>
      <t xml:space="preserve">¿Se impartieron terapias conductuales y del comportamiento a las personas adolescentes internadas?
</t>
    </r>
    <r>
      <rPr>
        <i/>
        <sz val="8"/>
        <rFont val="Arial"/>
        <family val="2"/>
      </rPr>
      <t>(1. Sí / 2. No / 9. No identificado)</t>
    </r>
  </si>
  <si>
    <t>Personas adolescentes internadas que participaron en las terapias impartidas, según tipo de problemática conductual y del comportamiento asociada y sexo</t>
  </si>
  <si>
    <t>Tipo de problemática conductual y del comportamiento</t>
  </si>
  <si>
    <t>Ansiedad</t>
  </si>
  <si>
    <t>Ataques de pánico y/ o angustia</t>
  </si>
  <si>
    <t>Depresión</t>
  </si>
  <si>
    <t>Comportamientos violentos</t>
  </si>
  <si>
    <t>Desorden de personalidad</t>
  </si>
  <si>
    <t>XIII.5 Deporte</t>
  </si>
  <si>
    <t>13.16.-</t>
  </si>
  <si>
    <t>Anote, por cada uno de los centros especializados de su entidad federativa, la cantidad de personas adolescentes internadas que durante el año 2023 se encontraron realizando alguna actividad física o deportiva, según tipo de actividad física o deportiva realizada y sexo.</t>
  </si>
  <si>
    <t>Para cada centro especializado, la cantidad registrada en la columna "Total" debe ser igual o menor a la suma de las cantidades reportadas en las columnas "Subtotal" del apartado "Tipo de actividad física o deportiva", así como corresponder a su desagregación por sexo; toda vez que una persona adolescente internada pudo haber realizado más de un tipo de actividad física o deportiva.</t>
  </si>
  <si>
    <t>Para cada centro especializado, la cantidad registrada en cada una de las columnas "Subtotal" del apartado "Tipo de actividad física o deportiva" debe ser igual o menor a la cantidad reportada en la columna "Total", así como corresponder a su desagregación por sexo. En caso de que esta instrucción no le aplique, justifíquelo en el recuadro que se encuentra al final de la tabla de respuesta.</t>
  </si>
  <si>
    <t>En caso de que registre algún valor numérico mayor a cero en el apartado "Otro tipo", debe anotar el nombre de dicho(s) tipo(s) de actividad(es) física(s) o deportiva(s) en el recuadro destinado para tal efecto que se encuentra al final de la tabla de respuesta.</t>
  </si>
  <si>
    <t>Personas adolescentes internadas que se encontraron realizando alguna actividad física o deportiva, según tipo de actividad física o deportiva realizada y sexo</t>
  </si>
  <si>
    <t>Tipo de actividad física o deportiva</t>
  </si>
  <si>
    <r>
      <t xml:space="preserve">Atlética
</t>
    </r>
    <r>
      <rPr>
        <i/>
        <sz val="8"/>
        <rFont val="Arial"/>
        <family val="2"/>
      </rPr>
      <t>(en gimnasio)</t>
    </r>
  </si>
  <si>
    <r>
      <t xml:space="preserve">Atletismo
</t>
    </r>
    <r>
      <rPr>
        <i/>
        <sz val="8"/>
        <rFont val="Arial"/>
        <family val="2"/>
      </rPr>
      <t>(en pista)</t>
    </r>
  </si>
  <si>
    <r>
      <t xml:space="preserve">De pelota
</t>
    </r>
    <r>
      <rPr>
        <i/>
        <sz val="8"/>
        <rFont val="Arial"/>
        <family val="2"/>
      </rPr>
      <t>(en canchas deportivas, por ejemplo: fútbol, baloncesto, voleibol, etc.)</t>
    </r>
  </si>
  <si>
    <t>De combate</t>
  </si>
  <si>
    <t>De mesa</t>
  </si>
  <si>
    <t>Baile</t>
  </si>
  <si>
    <t>SUM. IN1</t>
  </si>
  <si>
    <t>XIII.6 Recreación</t>
  </si>
  <si>
    <t>13.17.-</t>
  </si>
  <si>
    <t>Indique, por cada uno de los centros especializados de su entidad federativa, si durante el año 2023 se realizaron eventos artísticos y/ o culturales. En caso afirmativo, anote la cantidad de eventos artísticos y/ o culturales realizados durante el referido año, según tipo.</t>
  </si>
  <si>
    <t>En caso de que en determinado centro especializado no se hayan realizado eventos artísticos y/ o culturales, o no cuente con información para determinarlo, indíquelo en la columna correspondiente conforme al catálogo respectivo y deje el resto de la fila en blanco.</t>
  </si>
  <si>
    <t>En caso de que registre algún valor numérico mayor a cero en la columna "Otro tipo", debe anotar el nombre de dicho(s) tipo(s) de evento(s) en el recuadro destinado para tal efecto que se encuentra al final de la tabla de respuesta.</t>
  </si>
  <si>
    <r>
      <t xml:space="preserve">¿Se realizaron eventos artísticos y/ o culturales?
</t>
    </r>
    <r>
      <rPr>
        <i/>
        <sz val="8"/>
        <rFont val="Arial"/>
        <family val="2"/>
      </rPr>
      <t>(1. Sí / 2. No / 9. No identificado)</t>
    </r>
  </si>
  <si>
    <t>Eventos artísticos y/ o culturales realizados, según tipo</t>
  </si>
  <si>
    <t>Conciertos</t>
  </si>
  <si>
    <t xml:space="preserve">Concursos de canto y/ u oratoria </t>
  </si>
  <si>
    <t>Funciones de teatro</t>
  </si>
  <si>
    <t>Funciones de cine</t>
  </si>
  <si>
    <t xml:space="preserve">Presentaciones de baile, danza y/ o ballet </t>
  </si>
  <si>
    <t>Exposiciones de arte</t>
  </si>
  <si>
    <t>Charlas literarias</t>
  </si>
  <si>
    <t>XIII.7 Régimen de visitas</t>
  </si>
  <si>
    <t>1.- Debe considerar la información relacionada con las visitas presenciales y las visitas mediante videollamadas, o cualquier otro medio de naturaleza similar; siempre que, para estas últimas, exista alguna disposición normativa y/ o administrativa que permita a las personas adolescentes internadas ejercer este derecho a través de dichos medios.</t>
  </si>
  <si>
    <t>2.- Para cada centro especializado, la suma de las cantidades que registre en la columna "Total" de las preguntas 13.19 y 13.20 debe ser igual o menor a la cantidad que reporte como respuesta en la columna "Total" de la tabla I de la pregunta 13.18, así como corresponder a su desagregación por sexo.</t>
  </si>
  <si>
    <t>13.18.-</t>
  </si>
  <si>
    <t>Indique, por cada uno de los centros especializados de su entidad federativa, si al cierre del año 2023 contaba con información sobre las visitas efectuadas a las personas adolescentes internadas, así como de las personas visitantes autorizadas. En caso afirmativo, anote la cantidad de visitas efectuadas durante el referido año a las personas adolescentes internadas, según sexo de las personas adolescentes internadas visitadas. Asimismo, anote la cantidad de personas visitantes autorizadas, según lugar de residencia habitual y sexo.</t>
  </si>
  <si>
    <t>En caso de que no haya seleccionado para algún registro administrativo el código "8" en el apartado "Tipo de información recopilada" de la pregunta 5.1, no puede registrar información en el presente reactivo. En caso de que esta instrucción no le aplique, justifíquelo en el recuadro que se encuentra al final de cada tabla de respuesta.</t>
  </si>
  <si>
    <t>Para la tabla I, en caso de que determinado centro especializado no haya contado con información sobre las visitas efectuadas a las personas adolescentes internadas, o no cuente con información para determinarlo, indíquelo en la columna correspondiente conforme al catálogo respectivo y deje el resto de la fila en blanco.</t>
  </si>
  <si>
    <t>Para la tabla II, en caso de que determinado centro especializado no haya contado con información sobre las personas visitantes autorizadas, o no cuente con información para determinarlo, indíquelo en la columna correspondiente conforme al catálogo respectivo y deje el resto de la fila en blanco.</t>
  </si>
  <si>
    <t>En la tabla I debe considerar la totalidad de las visitas efectuadas a las personas adolescentes internadas, de todos los tipos previstos en la normatividad aplicable (personales, familiares, íntimas, religiosas, humanitarias, asistenciales, de sus personas defensoras, etc.). Lo anterior, con independencia de que dichas personas adolescentes internadas sean las mismas. Por ejemplo: en caso de que una persona adolescente internada haya sido visitada 50 veces durante el año, debe registrar las 50 visitas efectuadas a esta, según el sexo de la misma.</t>
  </si>
  <si>
    <t>I) Visitas efectuadas a las personas adolescentes internadas</t>
  </si>
  <si>
    <r>
      <t xml:space="preserve">¿Contaba con información sobre las visitas efectuadas a las personas adolescentes internadas?
</t>
    </r>
    <r>
      <rPr>
        <i/>
        <sz val="8"/>
        <rFont val="Arial"/>
        <family val="2"/>
      </rPr>
      <t>(1. Sí / 2. No / 9. No identificado)</t>
    </r>
  </si>
  <si>
    <t>Visitas efectuadas a las personas adolescentes internadas, según sexo de las personas adolescentes internadas visitadas</t>
  </si>
  <si>
    <t>II) Personas visitantes autorizadas</t>
  </si>
  <si>
    <r>
      <t xml:space="preserve">¿Contaba con información sobre las personas visitantes autorizadas?
</t>
    </r>
    <r>
      <rPr>
        <i/>
        <sz val="8"/>
        <rFont val="Arial"/>
        <family val="2"/>
      </rPr>
      <t>(1. Sí / 2. No / 9. No identificado)</t>
    </r>
  </si>
  <si>
    <t>Personas visitantes autorizadas, según lugar de residencia habitual y sexo</t>
  </si>
  <si>
    <t>13.19.-</t>
  </si>
  <si>
    <t xml:space="preserve">De acuerdo con el total de visitas efectuadas a las personas adolescentes internadas que reportó como respuesta en la pregunta anterior, anote, por cada uno de los centros especializados de su entidad federativa, la cantidad de las mismas que fueron realizadas por su persona defensora, según sexo de las personas adolescentes internadas visitadas. </t>
  </si>
  <si>
    <t>Para cada centro especializado, en caso de que la cantidad reportada como respuesta en la columna "Total" de la tabla I de la pregunta anterior no sea un dato numérico mayor a cero, no puede registrar información en el presente reactivo.</t>
  </si>
  <si>
    <t>Para cada centro especializado, la cantidad registrada en la columna "Total" debe ser igual o menor a la cantidad reportada como respuesta en la columna "Total" de la tabla I de la pregunta anterior, así como corresponder a su desagregación por sexo.</t>
  </si>
  <si>
    <t>Visitas efectuadas a las personas adolescentes internadas por parte de su persona defensora, según sexo de las personas adolescentes internadas visitadas</t>
  </si>
  <si>
    <t>13.20.-</t>
  </si>
  <si>
    <t>De acuerdo con el total de visitas efectuadas a las personas adolescentes internadas que reportó como respuesta en la pregunta 13.18, anote, por cada uno de los centros especializados de su entidad federativa, la cantidad de las mismas que tuvieron carácter de íntimas, según sexo de las personas adolescentes internadas visitadas.</t>
  </si>
  <si>
    <t>Para cada centro especializado, en caso de que la cantidad reportada como respuesta en la columna "Total" de la tabla I de la pregunta 13.18 no sea un dato numérico mayor a cero, no puede registrar información en el presente reactivo.</t>
  </si>
  <si>
    <t>Para cada centro especializado, la cantidad registrada en la columna "Total" debe ser igual o menor a la cantidad reportada como respuesta en la columna "Total" de la tabla I de la pregunta 13.18, así como corresponder a su desagregación por sexo.</t>
  </si>
  <si>
    <t>Visitas efectuadas a las personas adolescentes internadas que tuvieron el carácter de íntimas, según sexo de las personas adolescentes internadas visitadas</t>
  </si>
  <si>
    <t>SUM_IN_GE2</t>
  </si>
  <si>
    <t>COM_IN_GE2</t>
  </si>
  <si>
    <t>XIV.1 Medidas para prevenir y evitar el autogobierno</t>
  </si>
  <si>
    <t>14.1.-</t>
  </si>
  <si>
    <t>Indique, por cada uno de los centros especializados de su entidad federativa, si durante el año 2023 se implementaron medidas para prevenir y evitar el autogobierno. En caso afirmativo, señale el tipo de medidas implementadas; utilizando para tal efecto el catálogo que se presenta en la parte inferior de la siguiente tabla.</t>
  </si>
  <si>
    <t>En caso de que en determinado centro especializado no se hayan implementado medidas para prevenir y evitar el autogobierno, o no cuente con información para determinarlo, indíquelo en la columna correspondiente conforme al catálogo respectivo y deje el resto de la fila en blanco.</t>
  </si>
  <si>
    <t>Para cada centro especializado, seleccione con una "X" el o los tipos de medidas para prevenir y evitar el autogobierno que correspondan.</t>
  </si>
  <si>
    <t xml:space="preserve">En caso de que seleccione el código "12" en el apartado "Tipo de medidas implementadas para prevenir y evitar el autogobierno", debe anotar el nombre de dicho(s) tipo(s) de medida(s) en el recuadro destinado para tal efecto que se encuentra al final de la tabla de respuesta. </t>
  </si>
  <si>
    <r>
      <t xml:space="preserve">¿Se implementaron medidas para prevenir y evitar el autogobierno?
</t>
    </r>
    <r>
      <rPr>
        <i/>
        <sz val="8"/>
        <rFont val="Arial"/>
        <family val="2"/>
      </rPr>
      <t>(1. Sí / 2. No / 9. No identificado)</t>
    </r>
  </si>
  <si>
    <r>
      <t xml:space="preserve">Tipo de medidas implementadas para prevenir y evitar el autogobierno
</t>
    </r>
    <r>
      <rPr>
        <i/>
        <sz val="8"/>
        <rFont val="Arial"/>
        <family val="2"/>
      </rPr>
      <t>(ver catálogo)</t>
    </r>
  </si>
  <si>
    <t>Catálogo de tipo de medidas implementadas para prevenir y evitar el autogobierno</t>
  </si>
  <si>
    <t>Revisión y control de las personas que acuden al centro especializado, con la finalidad de detectar personal no autorizado</t>
  </si>
  <si>
    <r>
      <t xml:space="preserve">Fortalecimiento de la vigilancia externa en el centro especializado mediante el apoyo del personal de otras instituciones de seguridad </t>
    </r>
    <r>
      <rPr>
        <i/>
        <sz val="8"/>
        <rFont val="Arial"/>
        <family val="2"/>
      </rPr>
      <t>(por ejemplo: fuerzas armadas, Guardia Nacional o policía estatal)</t>
    </r>
  </si>
  <si>
    <t>Rotaciones del personal de seguridad, para evitar su colusión con las personas adolescentes internadas, familiares y/ o personas defensoras</t>
  </si>
  <si>
    <t>Establecimiento de aduanas en áreas críticas adicionales a las ya existentes para la revisión del personal</t>
  </si>
  <si>
    <t>Vigilancia permanente de las rutas de tránsito de las personas adolescentes internadas, personal, personas visitantes y puntos estratégicos en el centro especializado</t>
  </si>
  <si>
    <t>Sistemas de selección y/ o designación de personas servidoras públicas</t>
  </si>
  <si>
    <t>Operativos sorpresa, de usuarias o usuarios simulados, o similares, con la finalidad de verificar el cumplimiento de normas</t>
  </si>
  <si>
    <t>Mecanismos de transparencia en la imposición de las sanciones disciplinarias a las personas adolescentes internadas</t>
  </si>
  <si>
    <t>Reubicación de personas adolescentes internadas de acuerdo con su perfil criminológico para evitar colusiones</t>
  </si>
  <si>
    <t>Capacitación de las personas servidoras públicas con base en códigos de ética</t>
  </si>
  <si>
    <t>Reubicación de personas adolescentes internadas para evitar la sobrepoblación y el hacinamiento</t>
  </si>
  <si>
    <t>XIV.2 Revisiones en los centros especializados</t>
  </si>
  <si>
    <r>
      <rPr>
        <i/>
        <sz val="8"/>
        <rFont val="Arial"/>
        <family val="2"/>
      </rPr>
      <t xml:space="preserve">1.- </t>
    </r>
    <r>
      <rPr>
        <b/>
        <i/>
        <sz val="8"/>
        <rFont val="Arial"/>
        <family val="2"/>
      </rPr>
      <t xml:space="preserve">Narcóticos. </t>
    </r>
    <r>
      <rPr>
        <i/>
        <sz val="8"/>
        <rFont val="Arial"/>
        <family val="2"/>
      </rPr>
      <t>Se refiere a los estupefacientes, psicotrópicos y demás sustancias o vegetales determinados por la Ley General de Salud, así como los señalados por las demás disposiciones legales aplicables en la materia.</t>
    </r>
  </si>
  <si>
    <t>XIV.2.1 Revisiones personales</t>
  </si>
  <si>
    <r>
      <t xml:space="preserve">1.- </t>
    </r>
    <r>
      <rPr>
        <b/>
        <i/>
        <sz val="8"/>
        <rFont val="Arial"/>
        <family val="2"/>
      </rPr>
      <t xml:space="preserve">Revisiones personales. </t>
    </r>
    <r>
      <rPr>
        <i/>
        <sz val="8"/>
        <rFont val="Arial"/>
        <family val="2"/>
      </rPr>
      <t>Se refiere, en términos del presente censo, a las inspecciones en las aduanas, o al interior de los centros especializados, realizadas a las personas (sean personas adolescentes internadas, personal de los centros especializados o personas externas) y/ o sobre sus pertenencias. Dichas revisiones se desarrollan a través de la exploración visual, el empleo de sensores o detectores no intrusivos, la exploración manual exterior y, excepcionalmente, la revisión corporal. Tienen como finalidad detectar posibles sustancias u objetos prohibidos.</t>
    </r>
  </si>
  <si>
    <t>14.2.-</t>
  </si>
  <si>
    <t>Indique, por cada uno de los centros especializados de su entidad federativa, si durante el año 2023 se realizaron revisiones personales. En caso afirmativo, señale el tipo de revisiones personales realizadas.</t>
  </si>
  <si>
    <t>En caso de que en determinado centro especializado no se hayan realizado revisiones personales, o no cuente con información para determinarlo, indíquelo en la columna correspondiente conforme al catálogo respectivo y deje el resto de la fila en blanco.</t>
  </si>
  <si>
    <t>Para cada centro especializado, seleccione con una "X" el o los tipos de revisiones personales que correspondan.</t>
  </si>
  <si>
    <r>
      <t xml:space="preserve">¿Se realizaron revisiones personales?
</t>
    </r>
    <r>
      <rPr>
        <i/>
        <sz val="8"/>
        <rFont val="Arial"/>
        <family val="2"/>
      </rPr>
      <t>(1. Sí / 2. No / 9. No identificado)</t>
    </r>
  </si>
  <si>
    <t>Tipo de revisiones personales realizadas</t>
  </si>
  <si>
    <t>Personas adolescentes internadas</t>
  </si>
  <si>
    <t>Personal de los centros especializados</t>
  </si>
  <si>
    <t>Personas externas</t>
  </si>
  <si>
    <t>14.3.-</t>
  </si>
  <si>
    <t>Indique los tipos de sustancias u objetos prohibidos asegurados durante el año 2023 derivado de las revisiones personales realizadas en los centros especializados de su entidad federativa. Por cada uno de estos, señale la unidad de medida para su contabilización y anote el total de sustancias u objetos prohibidos asegurados durante el referido año; utilizando para tal efecto el catálogo que se presenta en la parte inferior de la siguiente tabla.</t>
  </si>
  <si>
    <t>En caso de que haya seleccionado para todos los centros especializados el código "2" o "9" en la columna "¿Se realizaron revisiones personales?" de la pregunta anterior, no puede registrar información en el presente reactivo.</t>
  </si>
  <si>
    <t>Para cada tipo de sustancia u objeto prohibido, en caso de que no se haya asegurado derivado de las revisiones personales realizadas en los centros especializados, o no cuente con información para determinarlo, indíquelo en la columna correspondiente conforme al catálogo respectivo y deje el resto de la fila en blanco.</t>
  </si>
  <si>
    <t>Para cada tipo de sustancia u objeto prohibido, señale el código de la unidad de medida de contabilización que corresponda.</t>
  </si>
  <si>
    <t>En caso de que seleccione para el numeral 3.7 el código "1" en la columna "¿Se aseguró derivado de las revisiones personales realizadas en los centros especializados?", debe anotar el nombre de dicho(s) tipo(s) de equipo(s) electrónico(s) o informático(s) en el recuadro destinado para tal efecto que se encuentra al final de la tabla de respuesta.</t>
  </si>
  <si>
    <t>En caso de que seleccione para el numeral 6.10 el código "1" en la columna "¿Se aseguró derivado de las revisiones personales realizadas en los centros especializados?", debe anotar el nombre de dicho(s) tipo(s) de narcótico(s) en el recuadro destinado para tal efecto que se encuentra al final de la tabla de respuesta.</t>
  </si>
  <si>
    <t>En caso de que seleccione para el numeral 10 el código "1" en la columna "¿Se aseguró derivado de las revisiones personales realizadas en los centros especializados?", debe anotar el nombre de dicho(s) tipo(s) de sustancia(s) u objeto(s) prohibido(s) en el recuadro destinado para tal efecto que se encuentra al final de la tabla de respuesta.</t>
  </si>
  <si>
    <t>En caso de que seleccione el código "8" en la columna "Unidad de medida para su contabilización", debe anotar el nombre de dicha(s) unidad(es) de medida en el recuadro destinado para tal efecto que se encuentra al final de la tabla de respuesta.</t>
  </si>
  <si>
    <t>GRIS 14.2</t>
  </si>
  <si>
    <t>Tipo de sustancias u objetos prohibidos asegurados</t>
  </si>
  <si>
    <r>
      <t xml:space="preserve">¿Se aseguró derivado de las revisiones personales realizadas en los centros especializados?
</t>
    </r>
    <r>
      <rPr>
        <i/>
        <sz val="8"/>
        <rFont val="Arial"/>
        <family val="2"/>
      </rPr>
      <t>(1. Sí / 2. No / 9. No identificado)</t>
    </r>
  </si>
  <si>
    <r>
      <t xml:space="preserve">Unidad de medida para su contabilización
</t>
    </r>
    <r>
      <rPr>
        <i/>
        <sz val="8"/>
        <rFont val="Arial"/>
        <family val="2"/>
      </rPr>
      <t>(ver catálogo)</t>
    </r>
  </si>
  <si>
    <t>Sustancias u objetos prohibidos asegurados</t>
  </si>
  <si>
    <t>1. Armas de fuego</t>
  </si>
  <si>
    <t>Largas</t>
  </si>
  <si>
    <t>Cortas</t>
  </si>
  <si>
    <t>De fabricación artesanal</t>
  </si>
  <si>
    <t>Armas de fuego no identificadas</t>
  </si>
  <si>
    <t>Armas blancas</t>
  </si>
  <si>
    <t>3. Equipos electrónicos o informáticos</t>
  </si>
  <si>
    <t>Equipos de cómputo</t>
  </si>
  <si>
    <t>Tabletas</t>
  </si>
  <si>
    <t>3.3</t>
  </si>
  <si>
    <t>Televisores</t>
  </si>
  <si>
    <t>3.4</t>
  </si>
  <si>
    <t>Teléfonos celulares</t>
  </si>
  <si>
    <t>3.5</t>
  </si>
  <si>
    <t>Equipos de radiocomunicación</t>
  </si>
  <si>
    <t>3.6</t>
  </si>
  <si>
    <r>
      <t xml:space="preserve">Equipos de sonido </t>
    </r>
    <r>
      <rPr>
        <i/>
        <sz val="8"/>
        <rFont val="Arial"/>
        <family val="2"/>
      </rPr>
      <t>(estéreos, minicomponentes, victrolas, bocinas, etc.)</t>
    </r>
  </si>
  <si>
    <t>3.7</t>
  </si>
  <si>
    <r>
      <t xml:space="preserve">Otro tipo de equipo electrónico o informático </t>
    </r>
    <r>
      <rPr>
        <i/>
        <sz val="8"/>
        <rFont val="Arial"/>
        <family val="2"/>
      </rPr>
      <t>(especifique)</t>
    </r>
  </si>
  <si>
    <t>3.8</t>
  </si>
  <si>
    <t>Equipos electrónicos o informáticos no identificados</t>
  </si>
  <si>
    <t>Dinero en efectivo</t>
  </si>
  <si>
    <t>Joyas</t>
  </si>
  <si>
    <t>6. Narcóticos</t>
  </si>
  <si>
    <t>Cannabis sativa, indica o mariguana</t>
  </si>
  <si>
    <r>
      <t xml:space="preserve">Amapola adormidera </t>
    </r>
    <r>
      <rPr>
        <i/>
        <sz val="8"/>
        <rFont val="Arial"/>
        <family val="2"/>
      </rPr>
      <t>(opiáceos)</t>
    </r>
  </si>
  <si>
    <t>6.5</t>
  </si>
  <si>
    <t>6.6</t>
  </si>
  <si>
    <t>6.7</t>
  </si>
  <si>
    <t>6.8</t>
  </si>
  <si>
    <t>Psicotrópicos</t>
  </si>
  <si>
    <t>6.9</t>
  </si>
  <si>
    <t>Fentanilo</t>
  </si>
  <si>
    <t>6.10</t>
  </si>
  <si>
    <r>
      <t xml:space="preserve">Otro tipo de narcótico </t>
    </r>
    <r>
      <rPr>
        <i/>
        <sz val="8"/>
        <rFont val="Arial"/>
        <family val="2"/>
      </rPr>
      <t>(especifique)</t>
    </r>
  </si>
  <si>
    <t>6.11</t>
  </si>
  <si>
    <t>Narcóticos no identificados</t>
  </si>
  <si>
    <t xml:space="preserve">Bebidas alcohólicas </t>
  </si>
  <si>
    <t>Cigarros</t>
  </si>
  <si>
    <t>Jeringas</t>
  </si>
  <si>
    <r>
      <t xml:space="preserve">Otro tipo de sustancia u objeto prohibido </t>
    </r>
    <r>
      <rPr>
        <i/>
        <sz val="8"/>
        <rFont val="Arial"/>
        <family val="2"/>
      </rPr>
      <t>(especifique)</t>
    </r>
  </si>
  <si>
    <r>
      <rPr>
        <sz val="9"/>
        <rFont val="Arial"/>
        <family val="2"/>
      </rPr>
      <t xml:space="preserve">Otro tipo de equipo electrónico o informático: 
</t>
    </r>
    <r>
      <rPr>
        <i/>
        <sz val="8"/>
        <rFont val="Arial"/>
        <family val="2"/>
      </rPr>
      <t>(especifique)</t>
    </r>
  </si>
  <si>
    <r>
      <rPr>
        <sz val="9"/>
        <rFont val="Arial"/>
        <family val="2"/>
      </rPr>
      <t xml:space="preserve">Otro tipo de narcótico: 
</t>
    </r>
    <r>
      <rPr>
        <i/>
        <sz val="8"/>
        <rFont val="Arial"/>
        <family val="2"/>
      </rPr>
      <t>(especifique)</t>
    </r>
  </si>
  <si>
    <r>
      <rPr>
        <sz val="9"/>
        <rFont val="Arial"/>
        <family val="2"/>
      </rPr>
      <t xml:space="preserve">Otro tipo de sustancia u objeto prohibido: 
</t>
    </r>
    <r>
      <rPr>
        <i/>
        <sz val="8"/>
        <rFont val="Arial"/>
        <family val="2"/>
      </rPr>
      <t>(especifique)</t>
    </r>
  </si>
  <si>
    <r>
      <rPr>
        <sz val="9"/>
        <rFont val="Arial"/>
        <family val="2"/>
      </rPr>
      <t xml:space="preserve">Otra unidad de medida:
</t>
    </r>
    <r>
      <rPr>
        <i/>
        <sz val="8"/>
        <rFont val="Arial"/>
        <family val="2"/>
      </rPr>
      <t>(especifique)</t>
    </r>
  </si>
  <si>
    <t>Catálogo de unidad de medida para la contabilización de sustancias u objetos prohibidos asegurados</t>
  </si>
  <si>
    <t>Piezas o unidades</t>
  </si>
  <si>
    <r>
      <t xml:space="preserve">Kilogramos </t>
    </r>
    <r>
      <rPr>
        <i/>
        <sz val="8"/>
        <rFont val="Arial"/>
        <family val="2"/>
      </rPr>
      <t>(únicamente desagregue dos decimales)</t>
    </r>
  </si>
  <si>
    <r>
      <t xml:space="preserve">Litros </t>
    </r>
    <r>
      <rPr>
        <i/>
        <sz val="8"/>
        <rFont val="Arial"/>
        <family val="2"/>
      </rPr>
      <t>(únicamente desagregue dos decimales)</t>
    </r>
  </si>
  <si>
    <r>
      <t xml:space="preserve">Metros </t>
    </r>
    <r>
      <rPr>
        <i/>
        <sz val="8"/>
        <rFont val="Arial"/>
        <family val="2"/>
      </rPr>
      <t>(únicamente desagregue dos decimales)</t>
    </r>
  </si>
  <si>
    <r>
      <t>Pesos mexicanos</t>
    </r>
    <r>
      <rPr>
        <i/>
        <sz val="8"/>
        <rFont val="Arial"/>
        <family val="2"/>
      </rPr>
      <t xml:space="preserve"> (números enteros)</t>
    </r>
  </si>
  <si>
    <t>Tableta, pastilla o cápsula</t>
  </si>
  <si>
    <t>Caja o cajetilla</t>
  </si>
  <si>
    <r>
      <t xml:space="preserve">Otra unidad de medida </t>
    </r>
    <r>
      <rPr>
        <i/>
        <sz val="8"/>
        <rFont val="Arial"/>
        <family val="2"/>
      </rPr>
      <t>(especifique)</t>
    </r>
  </si>
  <si>
    <t>XIV.2.2 Revisiones a lugares</t>
  </si>
  <si>
    <r>
      <t xml:space="preserve">1.- </t>
    </r>
    <r>
      <rPr>
        <b/>
        <i/>
        <sz val="8"/>
        <rFont val="Arial"/>
        <family val="2"/>
      </rPr>
      <t>Revisiones a lugares.</t>
    </r>
    <r>
      <rPr>
        <i/>
        <sz val="8"/>
        <rFont val="Arial"/>
        <family val="2"/>
      </rPr>
      <t xml:space="preserve"> Se refiere, en términos del presente censo, a las inspecciones realizadas en los sitios de los centros especializados donde las personas adolescentes internadas viven, trabajan y/ o se reúnen de manera habitual. Tienen como finalidad detectar posibles sustancias u objetos prohibidos, verificar la integridad de las instalaciones, vigilar la seguridad y gobernabilidad de los centros especializados, así como evitar que se ponga en riesgo a las personas adolescentes internadas, a las personas visitantes y al personal de los mismos.</t>
    </r>
  </si>
  <si>
    <t>14.4.-</t>
  </si>
  <si>
    <t>Indique, por cada uno de los centros especializados de su entidad federativa, si durante el año 2023 se realizaron revisiones a lugares. En caso afirmativo, señale el tipo de lugares inspeccionados; utilizando para tal efecto el catálogo que se presenta en la parte inferior de la siguiente tabla.</t>
  </si>
  <si>
    <t>En caso de que en determinado centro especializado no se hayan realizado revisiones a lugares, o no cuente con información para determinarlo, indíquelo en la columna correspondiente conforme al catálogo respectivo y deje el resto de la fila en blanco.</t>
  </si>
  <si>
    <t>Para cada centro especializado, seleccione con una "X" el o los tipos de lugares que correspondan.</t>
  </si>
  <si>
    <t>En caso de que seleccione el código "21" en el apartado "Tipo de lugares inspeccionados", debe anotar el nombre de dicho(s) tipo(s) de lugar(es) en el recuadro destinado para tal efecto que se encuentra al final de la tabla de respuesta.</t>
  </si>
  <si>
    <r>
      <t xml:space="preserve">¿Se realizaron revisiones a lugares?
</t>
    </r>
    <r>
      <rPr>
        <i/>
        <sz val="8"/>
        <rFont val="Arial"/>
        <family val="2"/>
      </rPr>
      <t>(1. Sí / 2. No / 9. No identificado)</t>
    </r>
  </si>
  <si>
    <r>
      <t xml:space="preserve">Tipo de lugares inspeccionados
</t>
    </r>
    <r>
      <rPr>
        <i/>
        <sz val="8"/>
        <rFont val="Arial"/>
        <family val="2"/>
      </rPr>
      <t>(ver catálogo)</t>
    </r>
  </si>
  <si>
    <t>Catálogo de tipo de lugares inspeccionados</t>
  </si>
  <si>
    <t>Dormitorios para las personas adolescentes internadas</t>
  </si>
  <si>
    <t xml:space="preserve">Patios y/ o pasillos </t>
  </si>
  <si>
    <t>14.5.-</t>
  </si>
  <si>
    <t>Indique los tipos de sustancias u objetos prohibidos asegurados durante el año 2023 derivado de las revisiones a lugares realizadas en los centros especializados de su entidad federativa. Por cada uno de estos, señale la unidad de medida para su contabilización y anote el total de sustancias u objetos prohibidos asegurados durante el referido año; utilizando para tal efecto el catálogo que se presenta en la parte inferior de la siguiente tabla.</t>
  </si>
  <si>
    <t>En caso de que haya seleccionado para todos los centros especializados el código "2" o "9" en la columna "¿Se realizaron revisiones a lugares?" de la pregunta anterior, no puede registrar información en el presente reactivo.</t>
  </si>
  <si>
    <t>Para cada tipo de sustancia u objeto prohibido, en caso de que no se haya asegurado derivado de las revisiones a lugares realizadas en los centros especializados, o no cuente con información para determinarlo, indíquelo en la columna correspondiente conforme al catálogo respectivo y deje el resto de la fila en blanco.</t>
  </si>
  <si>
    <t>En caso de que seleccione para el numeral 3.7 el código "1" en la columna "¿Se aseguró derivado de las revisiones a lugares realizadas en los centros especializados?", debe anotar el nombre de dicho(s) tipo(s) de equipo(s) electrónico(s) o informático(s) en el recuadro destinado para tal efecto que se encuentra al final de la tabla de respuesta.</t>
  </si>
  <si>
    <t>En caso de que seleccione para el numeral 6.10 el código "1" en la columna "¿Se aseguró derivado de las revisiones a lugares realizadas en los centros especializados?", debe anotar el nombre de dicho(s) tipo(s) de narcóticos(s) en el recuadro destinado para tal efecto que se encuentra al final de la tabla de respuesta.</t>
  </si>
  <si>
    <t>En caso de que seleccione para el numeral 10 el código "1" en la columna "¿Se aseguró derivado de las revisiones a lugares realizadas en los centros especializados?", debe anotar el nombre de dicho(s) tipo(s) de sustancia(s) u objeto(s) prohibido(s) en el recuadro destinado para tal efecto que se encuentra al final de la tabla de respuesta.</t>
  </si>
  <si>
    <t>GRIS 14.4</t>
  </si>
  <si>
    <r>
      <t xml:space="preserve">¿Se aseguró derivado de las revisiones a lugares realizadas en los centros especializados?
</t>
    </r>
    <r>
      <rPr>
        <i/>
        <sz val="8"/>
        <rFont val="Arial"/>
        <family val="2"/>
      </rPr>
      <t>(1. Sí / 2. No / 9. No identificado)</t>
    </r>
  </si>
  <si>
    <t>XIV.3 Incidentes en los centros especializados</t>
  </si>
  <si>
    <r>
      <t xml:space="preserve">1.- </t>
    </r>
    <r>
      <rPr>
        <b/>
        <i/>
        <sz val="8"/>
        <rFont val="Arial"/>
        <family val="2"/>
      </rPr>
      <t xml:space="preserve">Evasión de personas adolescentes internadas. </t>
    </r>
    <r>
      <rPr>
        <i/>
        <sz val="8"/>
        <rFont val="Arial"/>
        <family val="2"/>
      </rPr>
      <t>Se refiere al acto de ayudar o favorecer, de cualquier forma, la fuga de alguna de las personas adolescentes detenidas, procesadas o sentenciadas que se encuentren internadas, con la finalidad de que salgan del ámbito de vigilancia al que legalmente se encuentran sometidas por la comisión de algún delito.</t>
    </r>
  </si>
  <si>
    <r>
      <t xml:space="preserve">2.- </t>
    </r>
    <r>
      <rPr>
        <b/>
        <i/>
        <sz val="8"/>
        <rFont val="Arial"/>
        <family val="2"/>
      </rPr>
      <t>Incidentes.</t>
    </r>
    <r>
      <rPr>
        <i/>
        <sz val="8"/>
        <rFont val="Arial"/>
        <family val="2"/>
      </rPr>
      <t xml:space="preserve"> Se refiere a cualquier evento o situación que ponga en riesgo la seguridad del centro especializado y/ o de las personas adolescentes internadas y del personal adscrito al mismo. Para efectos del presente censo, no deben considerarse como incidentes los homicidios (e intentos de homicidio) ni los suicidios (e intentos de suicidios).</t>
    </r>
  </si>
  <si>
    <r>
      <t xml:space="preserve">3.- </t>
    </r>
    <r>
      <rPr>
        <b/>
        <i/>
        <sz val="8"/>
        <rFont val="Arial"/>
        <family val="2"/>
      </rPr>
      <t>Muertes por otras causas externas.</t>
    </r>
    <r>
      <rPr>
        <i/>
        <sz val="8"/>
        <rFont val="Arial"/>
        <family val="2"/>
      </rPr>
      <t xml:space="preserve"> Se refiere a aquellas muertes causadas por factores ajenos a causas naturales o por circunstancias que parecen indicar que el deceso fue causado por factores ajenos a causas naturales. Deben incluirse las muertes debidas a una intoxicación aguda por alcohol o drogas, aquellas derivadas de complicaciones de la atención médica y quirúrgica, las relacionadas a acciones asociadas a la exposición con fuerzas naturales, por ejemplo, exposición al calor natural o rayos solares excesivos, exposición al frío natural excesivo, asimismo deberá contabilizar las muertes relacionadas a la privación de agua o alimentos, entre otras. No debe considerar las muertes provocadas por una lesión infligida deliberadamente (como el homicidio o el suicidio) y la muerte provocada por una lesión no deliberada, de modo accidental.</t>
    </r>
  </si>
  <si>
    <t>XIV.3.1 Incidentes</t>
  </si>
  <si>
    <t>1.- En caso de que seleccione para todos los centros especializados el código "2" o "9" en la columna "¿Ocurrió algún incidente?" de la pregunta 14.6, pase a la pregunta 14.12.</t>
  </si>
  <si>
    <t>14.6.-</t>
  </si>
  <si>
    <t>Indique, por cada uno de los centros especializados de su entidad federativa, si durante el año 2023 ocurrió algún incidente. En caso afirmativo, anote la cantidad de incidentes ocurridos durante el referido año, según tipo; utilizando para tal efecto el catálogo que se presenta en la parte inferior de la siguiente tabla. Asimismo, anote la cantidad de personas adolescentes internadas involucradas en dichos incidentes, según sexo.</t>
  </si>
  <si>
    <t>En caso de que en determinado centro especializado no haya ocurrido algún incidente, o no cuente con información para determinarlo, indíquelo en la columna correspondiente conforme al catálogo respectivo y deje el resto de la fila en blanco.</t>
  </si>
  <si>
    <t>Para cada centro especializado, la cantidad registrada en la columna "Total" del apartado "Personas adolescentes internadas involucradas, según sexo" debe ser igual o mayor a la cantidad reportada en la columna "Total" del apartado "Incidentes ocurridos en los centros especializados, según tipo".</t>
  </si>
  <si>
    <t>En caso de que registre algún valor numérico mayor a cero en la columna 7 del apartado "Incidentes ocurridos en los centros especializados, según tipo", debe anotar el nombre de dicho(s) tipo(s) de incidente(s) en el recuadro destinado para tal efecto que se encuentra al final de la tabla de respuesta.</t>
  </si>
  <si>
    <r>
      <t>¿Ocurrió algún incidente?</t>
    </r>
    <r>
      <rPr>
        <i/>
        <sz val="8"/>
        <rFont val="Arial"/>
        <family val="2"/>
      </rPr>
      <t xml:space="preserve">
(1. Sí / 2. No / 9. No identificado)</t>
    </r>
  </si>
  <si>
    <r>
      <t xml:space="preserve">Incidentes ocurridos en los centros especializados, según tipo
</t>
    </r>
    <r>
      <rPr>
        <i/>
        <sz val="8"/>
        <rFont val="Arial"/>
        <family val="2"/>
      </rPr>
      <t>(ver catálogo)</t>
    </r>
  </si>
  <si>
    <t>Personas adolescentes internadas involucradas, según sexo</t>
  </si>
  <si>
    <t>Catálogo de tipo de incidentes ocurridos en los centros especializados</t>
  </si>
  <si>
    <t>Fuga o evasión de personas adolescentes internadas</t>
  </si>
  <si>
    <r>
      <t xml:space="preserve">Manifestación de inconformidades </t>
    </r>
    <r>
      <rPr>
        <i/>
        <sz val="8"/>
        <rFont val="Arial"/>
        <family val="2"/>
      </rPr>
      <t>(huelga de hambre, quema de ropa o colchones, etc.)</t>
    </r>
  </si>
  <si>
    <t>Intento de fuga o evasión de personas adolescentes internadas</t>
  </si>
  <si>
    <r>
      <t xml:space="preserve">Daños a la infraestructura penitenciaria </t>
    </r>
    <r>
      <rPr>
        <i/>
        <sz val="8"/>
        <rFont val="Arial"/>
        <family val="2"/>
      </rPr>
      <t>(que no caigan en alguno de los supuestos establecidos en otros numerales)</t>
    </r>
  </si>
  <si>
    <t>Motines</t>
  </si>
  <si>
    <t>Riñas</t>
  </si>
  <si>
    <t>14.7.-</t>
  </si>
  <si>
    <t>De acuerdo con el total de incidentes ocurridos en los centros especializados que reportó como respuesta en la pregunta anterior, anote la cantidad de los mismos especificando su tipo y el sitio de ocurrencia; utilizando para tal efecto el catálogo que se presenta en la parte inferior de la siguiente tabla.</t>
  </si>
  <si>
    <t>Para cada tipo de incidente ocurrido en los centros especializados, en caso de que la suma de las cantidades reportadas como respuesta en la respectiva columna de la pregunta anterior no sea un dato numérico mayor a cero, no puede registrar información en el presente reactivo.</t>
  </si>
  <si>
    <t>Para cada tipo de incidente ocurrido en los centros especializados, la cantidad registrada en la columna "Total" debe ser igual o mayor a la suma de las cantidades reportadas como respuesta en la respectiva columna de la pregunta anterior, toda vez que un incidente pudo haber ocurrido en más de un sitio.</t>
  </si>
  <si>
    <t>Para cada tipo de incidente ocurrido en los centros especializados, la cantidad registrada en cada sitio de ocurrencia debe ser igual o menor a la suma de las cantidades reportadas como respuesta en la respectiva columna de la pregunta anterior. En caso de que esta instrucción no le aplique, justifíquelo en el recuadro que se encuentra al final del catálogo de respuesta.</t>
  </si>
  <si>
    <t>Tipo de incidentes ocurridos en los centros especializados</t>
  </si>
  <si>
    <r>
      <t xml:space="preserve">Incidentes ocurridos en los centros especializados, según sitio de ocurrencia
</t>
    </r>
    <r>
      <rPr>
        <i/>
        <sz val="8"/>
        <rFont val="Arial"/>
        <family val="2"/>
      </rPr>
      <t>(ver catálogo)</t>
    </r>
  </si>
  <si>
    <t>Catálogo de sitio de ocurrencia de los incidentes en los centros especializados</t>
  </si>
  <si>
    <t>Otro sitio de ocurrencia</t>
  </si>
  <si>
    <t>14.8.-</t>
  </si>
  <si>
    <t>Indique, por cada uno de los centros especializados de su entidad federativa, si durante el año 2023 tuvo registro de personas fallecidas y de personas lesionadas con motivo de la ocurrencia de algún incidente. En caso afirmativo, anote la cantidad de personas fallecidas y de personas lesionadas durante el referido año con motivo de la ocurrencia de algún incidente, según tipo y sexo.</t>
  </si>
  <si>
    <t>Para cada centro especializado, en caso de que haya seleccionado el código "2" o "9" en la columna "¿Ocurrió algún incidente?" de la pregunta 14.6, no puede registrar información en ambas tablas del presente reactivo.</t>
  </si>
  <si>
    <t>Para la tabla I, no debe considerar la información relacionada con las personas adolescentes internadas fallecidas por causas distintas a la ocurrencia de algún incidente en los centros especializados, toda vez que dicha información se requiere en el apartado siguiente.</t>
  </si>
  <si>
    <t>Para la tabla I, en caso de que determinado centro especializado no haya tenido registro de personas fallecidas con motivo de la ocurrencia de algún incidente, o no cuente con información para determinarlo, indíquelo en la columna correspondiente conforme al catálogo respectivo y deje el resto de la fila en blanco.</t>
  </si>
  <si>
    <t>Para la tabla II, en caso de que determinado centro especializado no haya tenido registro de personas lesionadas con motivo de la ocurrencia de algún incidente, o no cuente con información para determinarlo, indíquelo en la columna correspondiente conforme al catálogo respectivo y deje el resto de la fila en blanco.</t>
  </si>
  <si>
    <t>I) Personas fallecidas con motivo de la ocurrencia de algún incidente</t>
  </si>
  <si>
    <r>
      <t xml:space="preserve">¿Tuvo registro de personas fallecidas con motivo de la ocurrencia de algún incidente?
</t>
    </r>
    <r>
      <rPr>
        <i/>
        <sz val="8"/>
        <rFont val="Arial"/>
        <family val="2"/>
      </rPr>
      <t>(1. Sí / 2. No / 9. No identificado)</t>
    </r>
  </si>
  <si>
    <t>Personas fallecidas con motivo de la ocurrencia de algún incidente, según tipo y sexo</t>
  </si>
  <si>
    <t>GRIS 3.5y3.6</t>
  </si>
  <si>
    <t>II) Personas lesionadas con motivo de la ocurrencia de algún incidente</t>
  </si>
  <si>
    <r>
      <t xml:space="preserve">¿Tuvo registro de personas lesionadas con motivo de la ocurrencia de algún incidente?
</t>
    </r>
    <r>
      <rPr>
        <i/>
        <sz val="8"/>
        <rFont val="Arial"/>
        <family val="2"/>
      </rPr>
      <t>(1. Sí / 2. No / 9. No identificado)</t>
    </r>
  </si>
  <si>
    <t>Personas lesionadas con motivo de la ocurrencia de algún incidente, según tipo y sexo</t>
  </si>
  <si>
    <t>14.9.-</t>
  </si>
  <si>
    <t xml:space="preserve">De acuerdo con el total de personas adolescentes internadas fallecidas que reportó como respuesta en la pregunta anterior, anote, por cada uno de los centros especializados de su entidad federativa, la cantidad de las mismas especificando la causa del fallecimiento y sexo. </t>
  </si>
  <si>
    <t>Para cada centro especializado, en caso de que la cantidad reportada como respuesta en la columna "Subtotal" del apartado "Personas adolescentes internadas" de la tabla I de la pregunta anterior no sea un dato numérico mayor a cero, no puede registrar información en el presente reactivo.</t>
  </si>
  <si>
    <t>Para cada centro especializado, la cantidad registrada en la columna "Total" debe ser igual a la cantidad reportada como respuesta en la columna "Subtotal" del apartado "Personas adolescentes internadas" de la tabla I de la pregunta anterior, así como corresponder a su desagregación por sexo.</t>
  </si>
  <si>
    <t>Personas adolescentes internadas fallecidas con motivo de la ocurrencia de algún incidente, según causa del fallecimiento y sexo</t>
  </si>
  <si>
    <t>14.10.-</t>
  </si>
  <si>
    <t>De acuerdo con el total de personas adolescentes internadas fallecidas que reportó como respuesta en el grupo "Homicidio" y en el apartado "Suicidio" de la pregunta anterior, anote la cantidad de las mismas especificando el instrumento utilizado para su comisión y sexo.</t>
  </si>
  <si>
    <t>Personas adolescentes internadas fallecidas por homicidio o suicidio con motivo de la ocurrencia de algún incidente, según sexo</t>
  </si>
  <si>
    <t>SUM HOMI</t>
  </si>
  <si>
    <t>GRIS 14.6</t>
  </si>
  <si>
    <t>GRIS TAB</t>
  </si>
  <si>
    <t>GRIS APA</t>
  </si>
  <si>
    <t>14.11.-</t>
  </si>
  <si>
    <t>De acuerdo con el total de personas adolescentes internadas fallecidas que reportó como respuesta en el numeral 4 de la pregunta anterior, anote la cantidad de las mismas especificando el objeto utilizado para su comisión y sexo.</t>
  </si>
  <si>
    <t>En caso de que la suma de las cantidades reportadas como respuesta en la columna "Total" del numeral 4 de los tipos de homicidio considerados en el grupo "Homicidio" de la pregunta anterior no sea un dato numérico mayor a cero, no puede registrar información en el grupo "Homicidio".</t>
  </si>
  <si>
    <t>En caso de que la cantidad reportada como respuesta en la columna "Total" del numeral 4 del apartado "Suicidio" de la pregunta anterior no sea un dato numérico mayor a cero, no puede registrar información en el apartado "Suicidio".</t>
  </si>
  <si>
    <t>La suma de las cantidades registradas en las columnas "Total" del grupo "Homicidio" debe ser igual a la suma de las cantidades reportadas como respuesta en la columna "Total" del numeral 4 de los tipos de homicidio considerados en el grupo "Homicidio" de la pregunta anterior, así como corresponder a su desagregación por tipo de homicidio y sexo. En caso de que esta instrucción no le aplique, justifíquelo en el recuadro que se encuentra al final de la tabla de respuesta.</t>
  </si>
  <si>
    <t>La suma de las cantidades registradas en la columna "Total" del apartado "Suicidio” debe ser igual a la cantidad reportada como respuesta en la columna "Total" del numeral 4 del apartado "Suicidio" de la pregunta anterior, así como corresponder a su desagregación por sexo. En caso de que esta instrucción no le aplique, justifíquelo en el recuadro que se encuentra al final de la tabla de respuesta.</t>
  </si>
  <si>
    <t xml:space="preserve">En caso de que registre algún valor numérico mayor a cero en el numeral 8, debe anotar el nombre de dicho(s) objeto(s) en el recuadro destinado para tal efecto que se encuentra al final de la tabla de respuesta. </t>
  </si>
  <si>
    <t>Objeto utilizado para la comisión</t>
  </si>
  <si>
    <r>
      <t xml:space="preserve">Ropa o pedazos de ropa </t>
    </r>
    <r>
      <rPr>
        <i/>
        <sz val="8"/>
        <rFont val="Arial"/>
        <family val="2"/>
      </rPr>
      <t>(pantalones, playeras, chamarras, calcetines, etc.)</t>
    </r>
  </si>
  <si>
    <t>Agujetas, hilos, cuerdas o lazos</t>
  </si>
  <si>
    <t>Cables</t>
  </si>
  <si>
    <t>Sábanas o almohadas</t>
  </si>
  <si>
    <t>Cinturones</t>
  </si>
  <si>
    <t>Sustancias tóxicas, fármacos u otros elementos nocivos para la salud</t>
  </si>
  <si>
    <r>
      <t>Objetos contundentes</t>
    </r>
    <r>
      <rPr>
        <i/>
        <sz val="8"/>
        <rFont val="Arial"/>
        <family val="2"/>
      </rPr>
      <t xml:space="preserve"> (palos, tubos, bastones, piedras u otros similares)</t>
    </r>
  </si>
  <si>
    <r>
      <t xml:space="preserve">Otro objeto </t>
    </r>
    <r>
      <rPr>
        <i/>
        <sz val="8"/>
        <rFont val="Arial"/>
        <family val="2"/>
      </rPr>
      <t>(especifique)</t>
    </r>
  </si>
  <si>
    <r>
      <t xml:space="preserve">Otro objeto:
</t>
    </r>
    <r>
      <rPr>
        <i/>
        <sz val="8"/>
        <rFont val="Arial"/>
        <family val="2"/>
      </rPr>
      <t>(especifique)</t>
    </r>
  </si>
  <si>
    <t>XIV.3.2 Personas adolescentes internadas fallecidas por causas distintas a la ocurrencia de incidentes</t>
  </si>
  <si>
    <t>1.- No debe considerar la información relacionada con las personas adolescentes internadas fallecidas con motivo de la ocurrencia de algún incidente en los centros especializados, toda vez que dicha información se requiere en la tabla I de la pregunta 14.8, así como en los reactivos 14.9, 14.10 y 14.11.</t>
  </si>
  <si>
    <t>2.- Debe considerar la información relacionada con las personas adolescentes internadas fallecidas, independientemente de que el deceso haya ocurrido al interior de los centros especializados, en algún hospital, durante la realización de algún traslado, o en alguna otra circunstancia de características similares.</t>
  </si>
  <si>
    <t>14.12.-</t>
  </si>
  <si>
    <t xml:space="preserve">Indique, por cada uno de los centros especializados de su entidad federativa, si durante el año 2023 tuvo registro de personas adolescentes internadas fallecidas. En caso afirmativo, anote la cantidad de personas adolescentes internadas fallecidas durante el referido año, según causa del fallecimiento y sexo. </t>
  </si>
  <si>
    <t>En caso de que determinado centro especializado no haya tenido registro de personas adolescentes internadas fallecidas, o no cuente con información para determinarlo, indíquelo en la columna correspondiente conforme al catálogo respectivo y deje el resto de la fila en blanco.</t>
  </si>
  <si>
    <r>
      <t xml:space="preserve">¿Tuvo registro de personas adolescentes internadas fallecidas?
</t>
    </r>
    <r>
      <rPr>
        <i/>
        <sz val="8"/>
        <rFont val="Arial"/>
        <family val="2"/>
      </rPr>
      <t>(1. Sí / 2. No / 9. No identificado)</t>
    </r>
  </si>
  <si>
    <t>Personas adolescentes internadas fallecidas, según causa del fallecimiento y sexo</t>
  </si>
  <si>
    <t>TNS COM:</t>
  </si>
  <si>
    <t>TCOMP TOT:</t>
  </si>
  <si>
    <t>14.13.-</t>
  </si>
  <si>
    <t>En caso de que haya seleccionado para todos los centros especializados el código "2" o "9" en la columna "¿Tuvo registro de personas adolescentes internadas fallecidas?" de la pregunta anterior, no puede registrar información en el presente reactivo.</t>
  </si>
  <si>
    <t>Personas adolescentes internadas fallecidas por homicidio o suicidio, según sexo</t>
  </si>
  <si>
    <t>GRIS 14.12</t>
  </si>
  <si>
    <t>14.14.-</t>
  </si>
  <si>
    <t>En caso de que haya seleccionado para todos los centros especializados el código "2" o "9" en la columna "¿Tuvo registro de personas adolescentes internadas fallecidas?" de la pregunta 14.12, no puede registrar información en el presente reactivo.</t>
  </si>
  <si>
    <t>XIV.4 Régimen disciplinario de las personas adolescentes internadas</t>
  </si>
  <si>
    <r>
      <t xml:space="preserve">1.- </t>
    </r>
    <r>
      <rPr>
        <b/>
        <i/>
        <sz val="8"/>
        <rFont val="Arial"/>
        <family val="2"/>
      </rPr>
      <t>Régimen disciplinario de las personas adolescentes internadas.</t>
    </r>
    <r>
      <rPr>
        <i/>
        <sz val="8"/>
        <rFont val="Arial"/>
        <family val="2"/>
      </rPr>
      <t xml:space="preserve"> Se refiere al conjunto de normas disciplinarias que rigen en el centro especializado, mismas que deberán ser atendidas por las personas adolescentes internadas en dichos centros.</t>
    </r>
  </si>
  <si>
    <t>XIV.4.1 Personas adolescentes internadas sancionadas</t>
  </si>
  <si>
    <t>14.15.-</t>
  </si>
  <si>
    <t>Indique, por cada uno de los centros especializados de su entidad federativa, si durante el año 2023 se sancionó a alguna persona adolescente internada con motivo de la aplicación de la normatividad en materia de régimen disciplinario. En caso afirmativo, anote la cantidad de personas adolescentes internadas sancionadas durante el referido año, según sexo.</t>
  </si>
  <si>
    <t>En caso de que en determinado centro especializado no se haya sancionado a alguna persona adolescente internada con motivo de la aplicación de la normatividad en materia de régimen disciplinario, o no cuente con información para determinarlo, indíquelo en la columna correspondiente conforme al catálogo respectivo y deje el resto de la fila en blanco.</t>
  </si>
  <si>
    <r>
      <t xml:space="preserve">¿Se sancionó a alguna persona adolescente internada con motivo de la aplicación de la normatividad en materia de régimen disciplinario?
</t>
    </r>
    <r>
      <rPr>
        <i/>
        <sz val="8"/>
        <rFont val="Arial"/>
        <family val="2"/>
      </rPr>
      <t>(1. Sí / 2. No / 9. No identificado)</t>
    </r>
  </si>
  <si>
    <t>Personas adolescentes internadas sancionadas, según sexo</t>
  </si>
  <si>
    <t>GRIS 3.40</t>
  </si>
  <si>
    <t>14.16.-</t>
  </si>
  <si>
    <t>De acuerdo con el total de personas adolescentes internadas sancionadas que reportó como respuesta en la pregunta anterior, anote, por cada uno de los centros especializados de su entidad federativa, la cantidad de las mismas especificando el tipo de sanción disciplinaria impuesta y sexo.</t>
  </si>
  <si>
    <t>Para cada centro especializado, en caso de que haya seleccionado el código "2" o "9" en la columna "¿Se sancionó a alguna persona adolescente internada con motivo de la aplicación de la normatividad en materia de régimen disciplinario?" de la pregunta anterior, no puede registrar información en el presente reactivo.</t>
  </si>
  <si>
    <t>Para cada centro especializado, la cantidad registrada en la columna "Total" debe ser igual o mayor a la cantidad reportada como respuesta en la columna "Total" de la pregunta anterior, así como corresponder a su desagregación por sexo; toda vez que a una persona adolescente internada se le pudo haber impuesto más de una sanción disciplinaria.</t>
  </si>
  <si>
    <t>Para cada centro especializado, la cantidad registrada en la columna "Subtotal" de cada tipo de sanción disciplinaria debe ser igual o menor a la cantidad reportada como respuesta en la columna "Total" de la pregunta anterior, así como corresponder a su desagregación por sexo. En caso de que esta instrucción no le aplique, justifíquelo en el recuadro que se encuentra al final de la tabla de respuesta.</t>
  </si>
  <si>
    <t>En caso de que registre algún valor numérico mayor a cero en el apartado "Otro tipo", debe anotar el nombre de dicho(s) tipo(s) de sanción(es) disciplinaria(s) en el recuadro destinado para tal efecto que se encuentra al final de la tabla de respuesta.</t>
  </si>
  <si>
    <t>Personas adolescentes internadas sancionadas, según tipo de sanción disciplinaria impuesta y sexo</t>
  </si>
  <si>
    <t>Amonestación en privado o en público</t>
  </si>
  <si>
    <t>Suspensión de estímulos concedidos</t>
  </si>
  <si>
    <t>Suspensión o modificación de las condiciones de recepción de visitas</t>
  </si>
  <si>
    <t>Aislamiento temporal</t>
  </si>
  <si>
    <t>Reubicación temporal dentro del mismo centro especializado</t>
  </si>
  <si>
    <t>Asignación de labores o servicios específicos</t>
  </si>
  <si>
    <t>Suspensión temporal de actividades recreativas</t>
  </si>
  <si>
    <t>14.17.-</t>
  </si>
  <si>
    <t>De acuerdo con el total de personas adolescentes internadas sancionadas que reportó como respuesta en la pregunta 14.15, anote, por cada uno de los centros especializados de su entidad federativa, la cantidad de las mismas especificando el tipo de falta disciplinaria cometida y sexo.</t>
  </si>
  <si>
    <t>Para cada centro especializado, en caso de que haya seleccionado el código "2" o "9" en la columna "¿Se sancionó a alguna persona adolescente internada con motivo de la aplicación de la normatividad en materia de régimen disciplinario?" de la pregunta 14.15, no puede registrar información en el presente reactivo.</t>
  </si>
  <si>
    <t>Para cada centro especializado, la cantidad registrada en la columna "Total" debe ser igual o mayor a la cantidad reportada como respuesta en la columna "Total" de la pregunta 14.15, así como corresponder a su desagregación por sexo; toda vez que una persona adolescente internada pudo haber cometido más de una falta disciplinaria.</t>
  </si>
  <si>
    <t>Para cada centro especializado, la cantidad registrada en la columna "Subtotal" de cada tipo de falta disciplinaria debe ser igual o menor a la cantidad reportada como respuesta en la columna "Total" de la pregunta 14.15, así como corresponder a su desagregación por sexo. En caso de que esta instrucción no le aplique, justifíquelo en el recuadro que se encuentra al final de la tabla de respuesta.</t>
  </si>
  <si>
    <t>En caso de que registre algún valor numérico mayor a cero en el apartado "Otro tipo", debe anotar el nombre de dicho(s) tipo(s) de falta(s) disciplinaria(s) en el recuadro destinado para tal efecto que se encuentra al final de la tabla de respuesta.</t>
  </si>
  <si>
    <t>Personas adolescentes internadas sancionadas, según tipo de falta disciplinaria cometida y sexo</t>
  </si>
  <si>
    <r>
      <t xml:space="preserve">Participar activamente en disturbios
</t>
    </r>
    <r>
      <rPr>
        <i/>
        <sz val="8"/>
        <rFont val="Arial"/>
        <family val="2"/>
      </rPr>
      <t>(riñas, motines, peleas, etc.)</t>
    </r>
  </si>
  <si>
    <t>Evadirse, intentar evadirse y/ o favorecer la evasión de las personas adolescentes internadas</t>
  </si>
  <si>
    <r>
      <t xml:space="preserve">Realizar actos que impliquen la comisión de algún delito en agravio del personal del centro especializado o de las personas adolescentes internadas 
</t>
    </r>
    <r>
      <rPr>
        <i/>
        <sz val="8"/>
        <rFont val="Arial"/>
        <family val="2"/>
      </rPr>
      <t>(sin incluir amenazas ni agresiones físicas y/ o verbales)</t>
    </r>
  </si>
  <si>
    <t>Amenazas y agresiones físicas y/ o verbales en agravio del personal del centro especializado o de las personas adolescentes internadas</t>
  </si>
  <si>
    <t>Poseer instrumentos cortantes o punzocortantes, armas o cualquier otro objeto de características similares</t>
  </si>
  <si>
    <t>Poseer o consumir sustancias psicotrópicas, estupefacientes o bebidas alcohólicas</t>
  </si>
  <si>
    <t>Realizar actos dolosos que causen daño o destrucción de las instalaciones del centro especializado</t>
  </si>
  <si>
    <t>Realizar conductas que afecten la integridad física y moral de las personas visitantes autorizadas</t>
  </si>
  <si>
    <t xml:space="preserve">Incumplir las órdenes de las autoridades y personal del centro especializado </t>
  </si>
  <si>
    <t>Ausentarse en el pase de lista</t>
  </si>
  <si>
    <t>Permanecer o circular en áreas de acceso restringido</t>
  </si>
  <si>
    <t>Sustraer u ocultar los objetos propiedad o de uso de las personas adolescentes internadas</t>
  </si>
  <si>
    <t>No observar las disposiciones de higiene y aseo correspondientes</t>
  </si>
  <si>
    <t>Acudir impuntualmente o ausentarse a las actividades educativas y labores a las que se tenga obligación de concurrir</t>
  </si>
  <si>
    <t>Realizar actos contrarios a la moral o las buenas costumbres</t>
  </si>
  <si>
    <t>Hacer mal uso del medicamento general prescrito</t>
  </si>
  <si>
    <t>Ofrecer o entregar cualquier dádiva al personal del centro especializado o a otras personas adolescentes internadas</t>
  </si>
  <si>
    <t xml:space="preserve">Organizar o participar en juegos de azar </t>
  </si>
  <si>
    <t>Divulgar noticias o datos falsos con el fin de menoscabar la seguridad del centro especializado</t>
  </si>
  <si>
    <t>14.18.-</t>
  </si>
  <si>
    <t>De acuerdo con el total de personas adolescentes internadas sancionadas que reportó como respuesta en las preguntas 14.16 y 14.17, anote la cantidad de las mismas especificando el tipo de falta disciplinaria cometida, así como el tipo de sanción disciplinaria impuesta.</t>
  </si>
  <si>
    <t>En caso de que haya seleccionado para todos los centros especializados el código "2" o "9" en la columna "¿Se sancionó a alguna persona adolescente internada con motivo de la aplicación de la normatividad en materia de régimen disciplinario?" de la pregunta 14.15, no puede registrar información en el presente reactivo.</t>
  </si>
  <si>
    <t>La suma de las cantidades registradas en la columna "Total" debe ser igual o mayor a la suma de las cantidades reportadas como respuesta en la columna "Total" de la pregunta 14.16, así como corresponder a su desagregación por tipo de sanción disciplinaria; toda vez que una sanción disciplinaria se pudo haber impuesto por la comisión de más de una falta disciplinaria.</t>
  </si>
  <si>
    <t>La cantidad registrada en la columna "Total" de cada tipo de falta disciplinaria debe ser igual o menor a la suma de las cantidades reportadas como respuesta en la columna "Total" de la pregunta 14.16, así como corresponder a su desagregación por tipo de sanción disciplinaria. En caso de que esta instrucción no le aplique, justifíquelo en el recuadro que se encuentra al final de la tabla de respuesta.</t>
  </si>
  <si>
    <t>La suma de las cantidades registradas en la columna "Total" debe ser igual a la suma de las cantidades reportadas como respuesta en la columna "Total" de la pregunta anterior, así como corresponder a su desagregación por tipo de falta disciplinaria. En caso de que esta instrucción no le aplique, justifíquelo en el recuadro que se encuentra al final de la tabla de respuesta.</t>
  </si>
  <si>
    <t>GRIS 14.15</t>
  </si>
  <si>
    <t>TOTAL 14.16</t>
  </si>
  <si>
    <t>Tipo de faltas disciplinarias</t>
  </si>
  <si>
    <t>Personas adolescentes internadas sancionadas, según tipo de sanción disciplinaria impuesta</t>
  </si>
  <si>
    <r>
      <t xml:space="preserve">Participar activamente en disturbios </t>
    </r>
    <r>
      <rPr>
        <i/>
        <sz val="8"/>
        <rFont val="Arial"/>
        <family val="2"/>
      </rPr>
      <t>(riñas, motines, peleas, etc.)</t>
    </r>
  </si>
  <si>
    <r>
      <t xml:space="preserve">Realizar actos que impliquen la comisión de algún delito en agravio del personal del centro especializado o de las personas adolescentes internadas </t>
    </r>
    <r>
      <rPr>
        <i/>
        <sz val="8"/>
        <rFont val="Arial"/>
        <family val="2"/>
      </rPr>
      <t>(sin incluir amenazas ni agresiones físicas y/ o verbales)</t>
    </r>
  </si>
  <si>
    <t>XIV.4.2 Personas adolescentes internadas denunciadas</t>
  </si>
  <si>
    <t>1.- Debe considerar la información relacionada con las personas adolescentes internadas que hayan sido denunciadas por la comisión de alguna falta disciplinaria que llegase a constituir delito conforme a lo establecido en la normatividad aplicable.</t>
  </si>
  <si>
    <t>14.19.-</t>
  </si>
  <si>
    <t>Indique, por cada uno de los centros especializados de su entidad federativa, si durante el año 2023 se presentaron denuncias y/ o querellas ante el Ministerio Público en contra de las personas adolescentes internadas derivado de algún presunto delito cometido por estas. En caso afirmativo, anote la cantidad de personas adolescentes internadas denunciadas durante el referido año, según sexo.</t>
  </si>
  <si>
    <t>En caso de que en determinado centro especializado no se hayan presentado denuncias y/ o querellas ante el Ministerio Público derivado de algún presunto delito cometido por las personas adolescentes internadas, o no cuente con información para determinarlo, indíquelo en la columna correspondiente conforme al catálogo respectivo y deje el resto de la fila en blanco.</t>
  </si>
  <si>
    <t>En la categoría "No identificado" del apartado "Personas adolescentes internadas denunciadas, según sexo" debe considerar la información de aquellas denuncias presentadas en contra de las personas adolescentes internadas que resulten responsables, por lo que al momento de su registro no fue posible determinar el sexo de las mismas.</t>
  </si>
  <si>
    <r>
      <t xml:space="preserve">¿Se presentaron denuncias y/ o querellas ante el Ministerio Público derivado de algún presunto delito cometido por las personas adolescentes internadas?
</t>
    </r>
    <r>
      <rPr>
        <i/>
        <sz val="8"/>
        <rFont val="Arial"/>
        <family val="2"/>
      </rPr>
      <t>(1. Sí / 2. No / 9. No identificado)</t>
    </r>
  </si>
  <si>
    <t>Personas adolescentes internadas denunciadas,
según sexo</t>
  </si>
  <si>
    <t>14.20.-</t>
  </si>
  <si>
    <t>Anote la cantidad de presuntos delitos cometidos por las personas adolescentes internadas denunciadas ante el Ministerio Público, según el tipo de delito y sexo de las personas adolescentes.</t>
  </si>
  <si>
    <t>En caso de que haya seleccionado para todos los centros especializados el código "2" o "9" en la columna "¿Se presentaron denuncias y/ o querellas ante el Ministerio Público derivado de algún presunto delito cometido por las personas adolescentes internadas?" de la pregunta anterior, no puede registrar información en el presente reactivo.</t>
  </si>
  <si>
    <t>En caso de que presente dudas sobre la clasificación de los delitos, por favor consulte la Norma Técnica para la Clasificación Nacional de Delitos para Fines Estadísticos: https://www.dof.gob.mx/nota_detalle.php?codigo=5541706&amp;fecha=22/10/2018. De igual forma, puede consultar el Manual de Implementación de la Norma Técnica para la Clasificación Nacional de Delitos para Fines Estadísticos: https://www.snieg.mx/DocumentacionPortal/Normatividad/vigente/manual_implemen_nt_vf_250719.pdf</t>
  </si>
  <si>
    <t>De acuerdo con lo establecido en la sexta instrucción general para las preguntas de la sección, en caso de que determinado delito no se encuentre previsto en su normatividad aplicable, anote "NA" (No aplica) en la columna "Total" y deje el resto de la fila en blanco.</t>
  </si>
  <si>
    <t xml:space="preserve">En caso de que reporte "NA" (No aplica) para determinado delito registrado en los numerales 02.06, 03.04, 04.01, 04.02, 04.05, 06.01, 06.02, 07.01, 07.02, 07.06, 08.01, 08.02, 09.05, 09.07 y 09.16, sus respectivos tipos específicos también deben reportarse conforme a la instrucción anterior. </t>
  </si>
  <si>
    <t xml:space="preserve">En caso de que desconozca el delito o tipo específico del que se trate, regístrelo en la categoría “No identificado” correspondiente. En consecuencia, no debe considerarlo dentro de la categoría “Otros delitos” de cada bien jurídico. </t>
  </si>
  <si>
    <t>La suma de las cantidades registradas en las desagregaciones de los tipos específicos correspondientes debe dar como resultado el total del respectivo delito registrado en el numeral 02.06, 03.04, 04.01, 04.02, 04.05, 06.01, 06.02, 07.01, 07.02, 07.06, 08.01, 08.02, 09.05, 09.07 y 09.16.</t>
  </si>
  <si>
    <t>En caso de que la incidencia de registro en la categoría "Otros delitos" de cada bien jurídico sea mayor al 25 % del total correspondiente al mismo, debe anotar el nombre del o de los delitos registrados en dicha categoría en el recuadro que se encuentra al final de la tabla de respuesta.</t>
  </si>
  <si>
    <t>La suma de las cantidades registradas en la columna "Total" debe ser igual o mayor a la suma de las cantidades reportadas como respuesta en la columna "Total" de la pregunta anterior, así como corresponder a su desagregación por sexo; toda vez que una persona adolescente internada pudo haber cometido uno o más delitos. En caso de que esta instrucción no le aplique, justifíquelo en el recuadro que se encuentra al final de la tabla de respuesta.</t>
  </si>
  <si>
    <t>GRIS 14.19</t>
  </si>
  <si>
    <t>Presuntos delitos cometidos por las personas adolescentes internadas denunciadas, según sexo de las personas adolescentes</t>
  </si>
  <si>
    <t>GRIS TOT</t>
  </si>
  <si>
    <t>COM. IN8</t>
  </si>
  <si>
    <t xml:space="preserve">2.- Los catálogos utilizados en el presente cuestionario corresponden a denominaciones estándar, de tal forma que si el nombre de alguna categoría no coincide exactamente con la utilizada en su institución, debe registrar los datos en aquella que sea homóloga. </t>
  </si>
  <si>
    <t>XV.1 Quejas o peticiones administrativas</t>
  </si>
  <si>
    <r>
      <t xml:space="preserve">1.- </t>
    </r>
    <r>
      <rPr>
        <b/>
        <i/>
        <sz val="8"/>
        <rFont val="Arial"/>
        <family val="2"/>
      </rPr>
      <t>Quejas o peticiones administrativas.</t>
    </r>
    <r>
      <rPr>
        <i/>
        <sz val="8"/>
        <rFont val="Arial"/>
        <family val="2"/>
      </rPr>
      <t xml:space="preserve"> Se refiere a aquellas presentadas ante la autoridad del centro, específicamente ante la dirección del centro especializado y, en casos urgentes, ante el Juez de Ejecución; en contra de los hechos, actos u omisiones que atenten contra los derechos y condiciones de internamiento de las personas adolescentes internadas, de conformidad con lo establecido en la disposición normativa correspondiente. Dentro de esta categoría deben excluirse las solicitudes de queja presentadas ante los organismos públicos de derechos humanos.</t>
    </r>
  </si>
  <si>
    <t>15.1.-</t>
  </si>
  <si>
    <t>Indique, por cada uno de los centros especializados de su entidad federativa, si durante el año 2023 se presentaron quejas o peticiones administrativas ante la autoridad del centro. En caso afirmativo, anote la cantidad de quejas o peticiones administrativas presentadas durante el referido año, según motivo; utilizando para tal efecto el catálogo que se presenta en la parte inferior de la siguiente tabla.</t>
  </si>
  <si>
    <t>En caso de que en determinado centro especializado no se hayan presentado quejas o peticiones administrativas ante la autoridad del centro, o no cuente con información para determinarlo, indíquelo en la columna correspondiente conforme al catálogo respectivo y deje el resto de la fila en blanco.</t>
  </si>
  <si>
    <t>Para cada centro especializado, la cantidad registrada en la columna "Total" debe ser igual o menor a la suma de las cantidades reportadas en las columnas del apartado "Motivo", toda vez que una queja o petición administrativa pudo haberse derivado de más de un motivo.</t>
  </si>
  <si>
    <t>Para cada centro especializado, la cantidad registrada en cada una de las columnas del apartado "Motivo" debe ser igual o menor a la cantidad reportada en la columna "Total". En caso de que esta instrucción no le aplique, justifíquelo en el recuadro que se encuentra al final del catálogo de respuesta.</t>
  </si>
  <si>
    <t>En caso de que registre algún valor numérico mayor a cero en la columna 22 del apartado "Motivo", debe anotar el nombre de dicho(s) motivo(s) en el recuadro destinado para tal efecto que se encuentra al final de la tabla de respuesta.</t>
  </si>
  <si>
    <r>
      <t xml:space="preserve">¿Se presentaron quejas o peticiones administrativas ante la autoridad del centro?
</t>
    </r>
    <r>
      <rPr>
        <i/>
        <sz val="8"/>
        <rFont val="Arial"/>
        <family val="2"/>
      </rPr>
      <t>(1. Sí / 2. No / 9. No identificado)</t>
    </r>
  </si>
  <si>
    <r>
      <t xml:space="preserve">Quejas o peticiones administrativas presentadas ante la autoridad del centro, según motivo
</t>
    </r>
    <r>
      <rPr>
        <i/>
        <sz val="8"/>
        <rFont val="Arial"/>
        <family val="2"/>
      </rPr>
      <t>(ver catálogo)</t>
    </r>
  </si>
  <si>
    <t>NS P1</t>
  </si>
  <si>
    <t>COMP INST2</t>
  </si>
  <si>
    <t>COMP INST3</t>
  </si>
  <si>
    <t>PIV 0 + NS</t>
  </si>
  <si>
    <t>NS P2</t>
  </si>
  <si>
    <t>ESP cod 22</t>
  </si>
  <si>
    <t>Catálogo de motivos de las quejas o peticiones administrativas</t>
  </si>
  <si>
    <t>Atención médica y/ o psicológica</t>
  </si>
  <si>
    <r>
      <t xml:space="preserve">Abuso u omisión de la autoridad </t>
    </r>
    <r>
      <rPr>
        <i/>
        <sz val="8"/>
        <rFont val="Arial"/>
        <family val="2"/>
      </rPr>
      <t>(incluye amenazas, agresiones y/ o lesiones)</t>
    </r>
  </si>
  <si>
    <t>Suministro de bienes o artículos personales</t>
  </si>
  <si>
    <t>Alimentación</t>
  </si>
  <si>
    <r>
      <t xml:space="preserve">Tortura y/ o tratos crueles e inhumanos </t>
    </r>
    <r>
      <rPr>
        <i/>
        <sz val="8"/>
        <rFont val="Arial"/>
        <family val="2"/>
      </rPr>
      <t>(sin incluir tortura sexual)</t>
    </r>
  </si>
  <si>
    <r>
      <t xml:space="preserve">Sanciones disciplinarias o castigos injustificados </t>
    </r>
    <r>
      <rPr>
        <i/>
        <sz val="8"/>
        <rFont val="Arial"/>
        <family val="2"/>
      </rPr>
      <t>(incluye aislamiento y/ o incomunicación, asignación de labores específicas, etc.)</t>
    </r>
  </si>
  <si>
    <r>
      <t xml:space="preserve">Tortura sexual </t>
    </r>
    <r>
      <rPr>
        <i/>
        <sz val="8"/>
        <rFont val="Arial"/>
        <family val="2"/>
      </rPr>
      <t>(sin incluir el acoso o abuso sexual)</t>
    </r>
  </si>
  <si>
    <t>Prohibición de visitas íntimas, familiares y/ o de sus personas defensoras</t>
  </si>
  <si>
    <t>Reubicación/ traslado</t>
  </si>
  <si>
    <t>Condiciones insalubres y/ o mantenimiento de las instalaciones</t>
  </si>
  <si>
    <r>
      <t xml:space="preserve">Reinserción social </t>
    </r>
    <r>
      <rPr>
        <i/>
        <sz val="8"/>
        <rFont val="Arial"/>
        <family val="2"/>
      </rPr>
      <t>(sin incluir plan de actividades)</t>
    </r>
  </si>
  <si>
    <t>Acoso o abuso sexual</t>
  </si>
  <si>
    <t>Plan de actividades</t>
  </si>
  <si>
    <t>Problemas laborales</t>
  </si>
  <si>
    <r>
      <t xml:space="preserve">Situación jurídica </t>
    </r>
    <r>
      <rPr>
        <i/>
        <sz val="8"/>
        <rFont val="Arial"/>
        <family val="2"/>
      </rPr>
      <t>(incluye acceso a una defensa adecuada, audiencia con la autoridad, sanciones y/ o medidas de seguridad, etc.)</t>
    </r>
  </si>
  <si>
    <t>Derechos de las personas visitantes</t>
  </si>
  <si>
    <t>Extorsión y/ o cobros indebidos</t>
  </si>
  <si>
    <r>
      <t xml:space="preserve">Realización de trámites </t>
    </r>
    <r>
      <rPr>
        <i/>
        <sz val="8"/>
        <rFont val="Arial"/>
        <family val="2"/>
      </rPr>
      <t xml:space="preserve">(credencial de elector en los casos que aplique, contraer matrimonio, registro de nacimiento de hijas y/ o hijos, etc.) </t>
    </r>
  </si>
  <si>
    <t>Temor a agresiones por parte de otras personas adolescentes internadas</t>
  </si>
  <si>
    <t>Amenazas, agresiones y/ o lesiones por parte de otras personas adolescentes internadas</t>
  </si>
  <si>
    <t>Temor a agresiones por parte del personal de vigilancia y/ o custodia</t>
  </si>
  <si>
    <t>15.2.-</t>
  </si>
  <si>
    <t>De acuerdo con el total de quejas o peticiones administrativas presentadas que reportó como respuesta en la pregunta anterior, anote, por cada uno de los centros especializados de su entidad federativa, la cantidad de las mismas especificando el tipo de promovente.</t>
  </si>
  <si>
    <t>Para cada centro especializado, en caso de que haya seleccionado el código "2" o "9" en la columna "¿Se presentaron quejas o peticiones administrativas ante la autoridad del centro?" de la pregunta anterior, no puede registrar información en el presente reactivo.</t>
  </si>
  <si>
    <t>Para cada centro especializado, la cantidad registrada en la columna "Total" debe ser igual o mayor a la cantidad reportada como respuesta en la columna "Total" de la pregunta anterior, toda vez que una queja o petición administrativa pudo haberse presentado por más de un tipo de promovente.</t>
  </si>
  <si>
    <t>Para cada centro especializado, la cantidad registrada en cada tipo de promovente debe ser igual o menor a la cantidad reportada como respuesta en la columna "Total" de la pregunta anterior. En caso de que esta instrucción no le aplique, justifíquelo en el recuadro que se encuentra al final de la tabla de respuesta.</t>
  </si>
  <si>
    <t>En caso de que registre algún valor numérico mayor a cero en la columna "Otro tipo", debe anotar el nombre de dicho(s) tipo(s) de promovente(s) en el recuadro destinado para tal efecto que se encuentra al final de la tabla de respuesta.</t>
  </si>
  <si>
    <t>Quejas o peticiones administrativas presentadas ante la autoridad del centro, según tipo de promovente</t>
  </si>
  <si>
    <r>
      <t xml:space="preserve">Personas adolescentes internadas
</t>
    </r>
    <r>
      <rPr>
        <i/>
        <sz val="8"/>
        <rFont val="Arial"/>
        <family val="2"/>
      </rPr>
      <t>(a nombre propio o de manera colectiva)</t>
    </r>
  </si>
  <si>
    <t>Familiares de las personas adolescentes internadas</t>
  </si>
  <si>
    <t>Personas visitantes</t>
  </si>
  <si>
    <t>Personas defensoras públicas o privadas</t>
  </si>
  <si>
    <t>Ministerio Público</t>
  </si>
  <si>
    <t>Autoridades judiciales</t>
  </si>
  <si>
    <t>&gt;0 OTRO TIPO</t>
  </si>
  <si>
    <t>15.3.-</t>
  </si>
  <si>
    <t>De acuerdo con el total de quejas o peticiones administrativas presentadas que reportó como respuesta en la pregunta 15.1, anote, por cada uno de los centros especializados de su entidad federativa, la cantidad de las mismas especificando la autoridad del centro señalada como responsable.</t>
  </si>
  <si>
    <t>Para cada centro especializado, en caso de que haya seleccionado el código "2" o "9" en la columna "¿Se presentaron quejas o peticiones administrativas ante la autoridad del centro?" de la pregunta 15.1, no puede registrar información en el presente reactivo.</t>
  </si>
  <si>
    <t>En la categoría “No identificado” debe considerar la información de aquellas quejas o peticiones administrativas presentadas en contra de las autoridades del centro que resulten responsables, por lo que al momento de su registro no fue posible determinar la naturaleza de las mismas.</t>
  </si>
  <si>
    <t>Para cada centro especializado, la cantidad registrada en la columna "Total" debe ser igual o mayor a la cantidad reportada como respuesta en la columna "Total" de la pregunta 15.1, toda vez que una queja o petición administrativa pudo haberse presentado por la responsabilidad de más de una autoridad del centro.</t>
  </si>
  <si>
    <t>Para cada centro especializado, la cantidad registrada en cada autoridad del centro señalada como responsable debe ser igual o menor a la cantidad reportada como respuesta en la columna "Total" de la pregunta 15.1. En caso de que esta instrucción no le aplique, justifíquelo en el recuadro que se encuentra al final de la tabla de respuesta.</t>
  </si>
  <si>
    <t>En caso de que registre algún valor numérico mayor a cero en la columna "Otra autoridad del centro", debe anotar el nombre de dicha(s) autoridad(es) en el recuadro destinado para tal efecto que se encuentra al final de la tabla de respuesta.</t>
  </si>
  <si>
    <t>Quejas o peticiones administrativas presentadas ante la autoridad del centro, según autoridad del centro señalada como responsable</t>
  </si>
  <si>
    <t>Personal médico</t>
  </si>
  <si>
    <r>
      <t xml:space="preserve">Personal técnico o de operación 
</t>
    </r>
    <r>
      <rPr>
        <i/>
        <sz val="8"/>
        <rFont val="Arial"/>
        <family val="2"/>
      </rPr>
      <t>(sin incluir al personal médico)</t>
    </r>
  </si>
  <si>
    <r>
      <t xml:space="preserve">Otra autoridad del centro </t>
    </r>
    <r>
      <rPr>
        <i/>
        <sz val="8"/>
        <rFont val="Arial"/>
        <family val="2"/>
      </rPr>
      <t>(especifique)</t>
    </r>
  </si>
  <si>
    <t>COMP INST4</t>
  </si>
  <si>
    <r>
      <t xml:space="preserve">Otra autoridad del centro:
</t>
    </r>
    <r>
      <rPr>
        <i/>
        <sz val="8"/>
        <rFont val="Arial"/>
        <family val="2"/>
      </rPr>
      <t>(especifique)</t>
    </r>
  </si>
  <si>
    <t>XV.2 Visitas, solicitudes de queja y recomendaciones en materia de derechos humanos</t>
  </si>
  <si>
    <t>1.- No debe considerar la información relacionada con el Mecanismo Nacional de Prevención de la Tortura, toda vez que dicha información se requiere en la subsección siguiente.</t>
  </si>
  <si>
    <r>
      <t xml:space="preserve">1.- </t>
    </r>
    <r>
      <rPr>
        <b/>
        <i/>
        <sz val="8"/>
        <rFont val="Arial"/>
        <family val="2"/>
      </rPr>
      <t>Organismos públicos de derechos humanos.</t>
    </r>
    <r>
      <rPr>
        <i/>
        <sz val="8"/>
        <rFont val="Arial"/>
        <family val="2"/>
      </rPr>
      <t xml:space="preserve"> Se refiere a los organismos públicos cuya finalidad es la defensa, vigilancia, observancia, promoción, estudio, educación y divulgación de los derechos humanos que ampara el orden jurídico mexicano. Conocen de quejas en contra de actos u omisiones de naturaleza administrativa provenientes de cualquier autoridad o persona servidora pública que viole estos derechos. En términos generales, estos organismos formulan recomendaciones públicas no vinculatorias, denuncias y quejas ante las autoridades respectivas. Para efectos del presente censo, dentro de esta categoría deben considerarse a los organismos públicos de derechos humanos de las entidades federativas, así como a la Comisión Nacional de los Derechos Humanos.</t>
    </r>
  </si>
  <si>
    <r>
      <t xml:space="preserve">2.- </t>
    </r>
    <r>
      <rPr>
        <b/>
        <i/>
        <sz val="8"/>
        <rFont val="Arial"/>
        <family val="2"/>
      </rPr>
      <t xml:space="preserve">Recomendaciones. </t>
    </r>
    <r>
      <rPr>
        <i/>
        <sz val="8"/>
        <rFont val="Arial"/>
        <family val="2"/>
      </rPr>
      <t>Se refiere al pronunciamiento público dirigido a las autoridades responsables, a través del cual se manifiesta el resultado final de una investigación realizada. Expresa la veracidad y la existencia de conductas documentadas consideradas como violatorias de derechos humanos, además de contener una serie de lineamientos orientados a la conminación de la autoridad responsable para proveer las acciones necesarias y llevar a cabo el resarcimiento y la reparación de los daños causados. Para efectos del presente censo, se consideran los siguientes rubros:</t>
    </r>
  </si>
  <si>
    <r>
      <rPr>
        <b/>
        <i/>
        <sz val="8"/>
        <rFont val="Arial"/>
        <family val="2"/>
      </rPr>
      <t>Recomendaciones sobre la integridad de las personas adolescentes internadas.</t>
    </r>
    <r>
      <rPr>
        <i/>
        <sz val="8"/>
        <rFont val="Arial"/>
        <family val="2"/>
      </rPr>
      <t xml:space="preserve"> Se refiere a aquellas realizadas con motivo de la capacidad de alojamiento y población existente en el centro especializado, así como de la distribución y separación de las personas adolescentes internadas en el caso de los centros mixtos. Asimismo, contempla los servicios para la atención y mantenimiento de la salud de las personas adolescentes internadas, la supervisión por parte de la persona responsable del centro especializado, así como la prevención y atención de incidentes violentos, de tortura y/ o de maltrato.</t>
    </r>
  </si>
  <si>
    <r>
      <rPr>
        <b/>
        <i/>
        <sz val="8"/>
        <rFont val="Arial"/>
        <family val="2"/>
      </rPr>
      <t>Recomendaciones sobre la estancia digna de las personas adolescentes internadas.</t>
    </r>
    <r>
      <rPr>
        <i/>
        <sz val="8"/>
        <rFont val="Arial"/>
        <family val="2"/>
      </rPr>
      <t xml:space="preserve"> Se refiere a aquellas realizadas derivado de la capacidad de las instalaciones y las condiciones materiales y de higiene del centro especializado, así como de la alimentación de las personas adolescentes internadas.</t>
    </r>
  </si>
  <si>
    <r>
      <rPr>
        <b/>
        <i/>
        <sz val="8"/>
        <rFont val="Arial"/>
        <family val="2"/>
      </rPr>
      <t xml:space="preserve">Recomendaciones sobre las condiciones de gobernabilidad del centro especializado. </t>
    </r>
    <r>
      <rPr>
        <i/>
        <sz val="8"/>
        <rFont val="Arial"/>
        <family val="2"/>
      </rPr>
      <t>Se refiere a aquellas motivadas por la insuficiencia del personal de custodia y/ o vigilancia y su formación policial, así como las sanciones disciplinarias impuestas a las personas adolescentes internadas, el autogobierno, las actividades ilícitas, la extorsión y los sobornos.</t>
    </r>
  </si>
  <si>
    <r>
      <rPr>
        <b/>
        <i/>
        <sz val="8"/>
        <rFont val="Arial"/>
        <family val="2"/>
      </rPr>
      <t>Recomendaciones sobre la reinserción social de las personas adolescentes internadas.</t>
    </r>
    <r>
      <rPr>
        <i/>
        <sz val="8"/>
        <rFont val="Arial"/>
        <family val="2"/>
      </rPr>
      <t xml:space="preserve"> Se refiere a aquellas realizadas derivado de la integración del expediente jurídico-técnico, del funcionamiento del Comité Técnico del centro especializado, así como de las actividades laborales, de capacitación para el trabajo, educativas y deportivas de las personas adolescentes internadas. De igual forma, se consideran los beneficios de libertad anticipada y la vinculación de las personas adolescentes internadas con la sociedad.</t>
    </r>
  </si>
  <si>
    <r>
      <rPr>
        <b/>
        <i/>
        <sz val="8"/>
        <rFont val="Arial"/>
        <family val="2"/>
      </rPr>
      <t xml:space="preserve">Recomendaciones sobre la atención a grupos de personas adolescentes internadas con necesidades específicas. </t>
    </r>
    <r>
      <rPr>
        <i/>
        <sz val="8"/>
        <rFont val="Arial"/>
        <family val="2"/>
      </rPr>
      <t>Se refiere a aquellas realizadas con motivo del trato que se les brinda a las mujeres y a las personas adolescentes internadas que presentan alguna situación de vulnerabilidad (personas adolescentes pertenecientes a pueblos y comunidades indígenas, personas adolescentes con discapacidad, personas adolescentes que viven con VIH, personas adolescentes que viven con adicciones, población adolescente de la diversidad sexual, entre otros).</t>
    </r>
  </si>
  <si>
    <r>
      <t xml:space="preserve">3.- </t>
    </r>
    <r>
      <rPr>
        <b/>
        <i/>
        <sz val="8"/>
        <rFont val="Arial"/>
        <family val="2"/>
      </rPr>
      <t xml:space="preserve">Solicitudes de queja. </t>
    </r>
    <r>
      <rPr>
        <i/>
        <sz val="8"/>
        <rFont val="Arial"/>
        <family val="2"/>
      </rPr>
      <t>Se refiere al requerimiento que realiza una persona o grupo de personas ante algún organismo público de derechos humanos para que conozca e intervenga en la defensa y protección de los mismos, probablemente transgredidos o violentados por una persona servidora pública o autoridad.</t>
    </r>
  </si>
  <si>
    <t>15.4.-</t>
  </si>
  <si>
    <t xml:space="preserve">Indique, por cada uno de los centros especializados de su entidad federativa, si durante el año 2023 recibió visitas por parte de algún organismo público de derechos humanos. En caso afirmativo, anote la cantidad de visitas recibidas durante el referido año. </t>
  </si>
  <si>
    <t>En caso de que determinado centro especializado no haya recibido visitas por parte de algún organismo público de derechos humanos, o no cuente con información para determinarlo, indíquelo en la columna correspondiente conforme al catálogo respectivo y deje el resto de la fila en blanco.</t>
  </si>
  <si>
    <r>
      <rPr>
        <b/>
        <sz val="9"/>
        <rFont val="Arial"/>
        <family val="2"/>
      </rPr>
      <t>¿Recibió visitas por parte de algún organismo público de derechos humanos?</t>
    </r>
    <r>
      <rPr>
        <sz val="9"/>
        <rFont val="Arial"/>
        <family val="2"/>
      </rPr>
      <t xml:space="preserve">
</t>
    </r>
    <r>
      <rPr>
        <i/>
        <sz val="8"/>
        <rFont val="Arial"/>
        <family val="2"/>
      </rPr>
      <t>(1. Sí / 2. No / 9. No identificado)</t>
    </r>
  </si>
  <si>
    <t xml:space="preserve">Visitas recibidas por parte de algún organismo público de derechos humanos </t>
  </si>
  <si>
    <t>15.5.-</t>
  </si>
  <si>
    <t>Indique, por cada uno de los centros especializados de su entidad federativa, si durante el año 2023 las personas adolescentes internadas presentaron solicitudes de queja ante algún organismo público de derechos humanos. En caso afirmativo, anote la cantidad de solicitudes de queja presentadas durante el referido año, según tipo de derecho presuntamente vulnerado; utilizando para tal efecto el catálogo que se presenta en la parte inferior de la siguiente tabla.</t>
  </si>
  <si>
    <t>En caso de que las personas adolescentes internadas en determinado centro especializado no hayan presentado solicitudes de queja ante algún organismo público de derechos humanos, o no cuente con información para determinarlo, indíquelo en la columna correspondiente conforme al catálogo respectivo y deje el resto de la fila en blanco.</t>
  </si>
  <si>
    <t>Para cada centro especializado, la cantidad registrada en la columna "Total" debe ser igual o menor a la suma de las cantidades reportadas en las columnas del apartado "Derecho presuntamente vulnerado", toda vez que una solicitud de queja pudo haberse derivado de más de un derecho presuntamente vulnerado.</t>
  </si>
  <si>
    <t>Para cada centro especializado, la cantidad registrada en cada una de las columnas del apartado "Derecho presuntamente vulnerado" debe ser igual o menor a la cantidad reportada en la columna "Total". En caso de que esta instrucción no le aplique, justifíquelo en el recuadro que se encuentra al final del catálogo de respuesta.</t>
  </si>
  <si>
    <t>En caso de que registre algún valor numérico mayor a cero en la columna 15 del apartado "Derecho presuntamente vulnerado", debe anotar el nombre de dicho(s) derecho(s) en el recuadro destinado para tal efecto que se encuentra al final de la tabla de respuesta.</t>
  </si>
  <si>
    <r>
      <t xml:space="preserve">¿Las personas adolescentes internadas presentaron solicitudes de queja ante algún organismo público de derechos humanos?
</t>
    </r>
    <r>
      <rPr>
        <i/>
        <sz val="8"/>
        <rFont val="Arial"/>
        <family val="2"/>
      </rPr>
      <t>(1. Sí / 2. No / 9. No identificado)</t>
    </r>
  </si>
  <si>
    <r>
      <t xml:space="preserve">Solicitudes de queja presentadas ante algún organismo público de derechos humanos, según derecho presuntamente vulnerado
</t>
    </r>
    <r>
      <rPr>
        <i/>
        <sz val="8"/>
        <rFont val="Arial"/>
        <family val="2"/>
      </rPr>
      <t>(ver catálogo)</t>
    </r>
  </si>
  <si>
    <t>Derecho presuntamente vulnerado</t>
  </si>
  <si>
    <r>
      <t xml:space="preserve">Otro derecho:
</t>
    </r>
    <r>
      <rPr>
        <i/>
        <sz val="8"/>
        <rFont val="Arial"/>
        <family val="2"/>
      </rPr>
      <t>(especifique)</t>
    </r>
  </si>
  <si>
    <t>Catálogo de derechos presuntamente vulnerados</t>
  </si>
  <si>
    <t>Derecho a la salud</t>
  </si>
  <si>
    <t>Derecho a la libertad</t>
  </si>
  <si>
    <t>Derecho a la alimentación</t>
  </si>
  <si>
    <t>Derecho al debido proceso y garantías judiciales</t>
  </si>
  <si>
    <t>Derecho al agua y saneamiento</t>
  </si>
  <si>
    <t>Derecho a la legalidad y seguridad jurídica</t>
  </si>
  <si>
    <t>Derechos de las personas adolescentes internadas en situación prioritaria</t>
  </si>
  <si>
    <t>Derecho a la integridad y seguridad personal</t>
  </si>
  <si>
    <t>Derecho de petición</t>
  </si>
  <si>
    <t>Derecho a la privacidad e intimidad</t>
  </si>
  <si>
    <t>Derecho al trabajo</t>
  </si>
  <si>
    <t>Derechos sexuales y reproductivos</t>
  </si>
  <si>
    <t>Derecho a la igualdad y trato digno</t>
  </si>
  <si>
    <r>
      <t xml:space="preserve">Otro derecho </t>
    </r>
    <r>
      <rPr>
        <i/>
        <sz val="8"/>
        <rFont val="Arial"/>
        <family val="2"/>
      </rPr>
      <t>(especifique)</t>
    </r>
  </si>
  <si>
    <t>Derecho de acceso a la educación</t>
  </si>
  <si>
    <t>15.6.-</t>
  </si>
  <si>
    <t>De acuerdo con el total de solicitudes de queja presentadas que reportó como respuesta en la pregunta anterior, anote, por cada uno de los centros especializados de su entidad federativa, la cantidad de las mismas especificando la autoridad señalada como probable responsable; utilizando para tal efecto el catálogo que se presenta en la parte inferior de la siguiente tabla.</t>
  </si>
  <si>
    <t>Para cada centro especializado, en caso de que haya seleccionado el código "2" o "9" en la columna "¿Las personas adolescentes internadas presentaron solicitudes de queja ante algún organismo público de derechos humanos?" de la pregunta anterior, no puede registrar información en el presente reactivo.</t>
  </si>
  <si>
    <t>En la columna 12 debe considerar la información de aquellas solicitudes de queja presentadas en contra de las autoridades que resulten responsables, por lo que al momento de su registro no fue posible determinar la naturaleza de las mismas.</t>
  </si>
  <si>
    <t>Para cada centro especializado, la cantidad registrada en la columna "Total" debe ser igual o mayor a la cantidad reportada como respuesta en la columna "Total" de la pregunta anterior, toda vez que una solicitud de queja pudo haberse presentado por la probable responsabilidad de más de una autoridad.</t>
  </si>
  <si>
    <t>Para cada centro especializado, la cantidad registrada en cada autoridad señalada como probable responsable debe ser igual o menor a la cantidad reportada como respuesta en la columna "Total" de la pregunta anterior. En caso de que esta instrucción no le aplique, justifíquelo en el recuadro que se encuentra al final del catálogo de respuesta.</t>
  </si>
  <si>
    <t>En caso de que registre algún valor numérico mayor a cero en la columna 11, debe anotar el nombre de dicha(s) autoridad(es) en el recuadro destinado para tal efecto que se encuentra al final de la tabla de respuesta.</t>
  </si>
  <si>
    <r>
      <t xml:space="preserve">Solicitudes de queja presentadas ante algún organismo público de derechos humanos, según autoridad señalada como probable responsable
</t>
    </r>
    <r>
      <rPr>
        <i/>
        <sz val="8"/>
        <rFont val="Arial"/>
        <family val="2"/>
      </rPr>
      <t>(ver catálogo)</t>
    </r>
  </si>
  <si>
    <r>
      <t xml:space="preserve">Otra autoridad:
</t>
    </r>
    <r>
      <rPr>
        <i/>
        <sz val="8"/>
        <rFont val="Arial"/>
        <family val="2"/>
      </rPr>
      <t>(especifique)</t>
    </r>
  </si>
  <si>
    <t>Catálogo de autoridades señaladas como probables responsables</t>
  </si>
  <si>
    <r>
      <t xml:space="preserve">Autoridades del centro </t>
    </r>
    <r>
      <rPr>
        <i/>
        <sz val="8"/>
        <rFont val="Arial"/>
        <family val="2"/>
      </rPr>
      <t>(incluye cualquier tipo de personal adscrito a los centros especializados)</t>
    </r>
  </si>
  <si>
    <t>Secretarías de Seguridad Pública u homólogas de los municipios o demarcaciones territoriales de la entidad federativa u otras entidades federativas</t>
  </si>
  <si>
    <t>Instituciones de salud</t>
  </si>
  <si>
    <t>Guardia Nacional</t>
  </si>
  <si>
    <t>Personas defensoras públicas</t>
  </si>
  <si>
    <r>
      <t xml:space="preserve">Otra autoridad </t>
    </r>
    <r>
      <rPr>
        <i/>
        <sz val="8"/>
        <rFont val="Arial"/>
        <family val="2"/>
      </rPr>
      <t>(especifique)</t>
    </r>
  </si>
  <si>
    <r>
      <t xml:space="preserve">Secretaría de Seguridad Pública u homóloga de la entidad federativa u otras entidades federativas </t>
    </r>
    <r>
      <rPr>
        <i/>
        <sz val="8"/>
        <rFont val="Arial"/>
        <family val="2"/>
      </rPr>
      <t>(sin incluir, de ser el caso, a las autoridades del centro)</t>
    </r>
  </si>
  <si>
    <t>15.7.-</t>
  </si>
  <si>
    <t xml:space="preserve">Indique, por cada uno de los centros especializados de su entidad federativa, si durante el año 2023 recibió alguna recomendación por parte de algún organismo público de derechos humanos. En caso afirmativo, anote la cantidad de recomendaciones recibidas durante el referido año, según rubro. </t>
  </si>
  <si>
    <t>En caso de que determinado centro especializado no haya recibido alguna recomendación por parte de algún organismo público derechos humanos, o no cuente con información para determinarlo, indíquelo en la columna correspondiente conforme al catálogo respectivo y deje el resto de la fila en blanco.</t>
  </si>
  <si>
    <t>Para cada centro especializado, la cantidad registrada en la columna "Total" debe ser igual o menor a la suma de las cantidades reportadas en las columnas del apartado "Rubro", toda vez que una recomendación pudo haberse dirigido a más de un rubro.</t>
  </si>
  <si>
    <t>Para cada centro especializado, la cantidad registrada en cada una de las columnas del apartado "Rubro" debe ser igual o menor a la cantidad reportada en la columna "Total". En caso de que esta instrucción no le aplique, justifíquelo en el recuadro que se encuentra al final de la tabla de respuesta.</t>
  </si>
  <si>
    <t>En caso de que registre algún valor numérico mayor a cero en la columna "Otro rubro", debe anotar el nombre de dicho(s) rubro(s) en el recuadro destinado para tal efecto que se encuentra al final de la tabla de respuesta.</t>
  </si>
  <si>
    <r>
      <rPr>
        <b/>
        <sz val="9"/>
        <rFont val="Arial"/>
        <family val="2"/>
      </rPr>
      <t xml:space="preserve">¿Recibió alguna recomendación por parte de algún organismo público de derechos humanos?
</t>
    </r>
    <r>
      <rPr>
        <i/>
        <sz val="8"/>
        <rFont val="Arial"/>
        <family val="2"/>
      </rPr>
      <t>(1. Sí / 2. No / 9. No identificado)</t>
    </r>
  </si>
  <si>
    <t>Recomendaciones recibidas por parte de algún organismo público de derechos humanos, según rubro</t>
  </si>
  <si>
    <t>Rubro</t>
  </si>
  <si>
    <t>Integridad de las personas adolescentes internadas</t>
  </si>
  <si>
    <t>Estancia digna de las personas adolescentes internadas</t>
  </si>
  <si>
    <t>Condiciones de gobernabilidad del centro especializado</t>
  </si>
  <si>
    <t>Reinserción social de las personas adolescentes internadas</t>
  </si>
  <si>
    <t>Atención a grupos de personas adolescentes internadas con necesidades específicas</t>
  </si>
  <si>
    <r>
      <t xml:space="preserve">Otro rubro 
</t>
    </r>
    <r>
      <rPr>
        <i/>
        <sz val="8"/>
        <rFont val="Arial"/>
        <family val="2"/>
      </rPr>
      <t>(especifique)</t>
    </r>
  </si>
  <si>
    <r>
      <t xml:space="preserve">Otro rubro:
</t>
    </r>
    <r>
      <rPr>
        <i/>
        <sz val="8"/>
        <rFont val="Arial"/>
        <family val="2"/>
      </rPr>
      <t>(especifique)</t>
    </r>
  </si>
  <si>
    <t>XV.3 Mecanismo Nacional de Prevención de la Tortura</t>
  </si>
  <si>
    <r>
      <t xml:space="preserve">1.- </t>
    </r>
    <r>
      <rPr>
        <b/>
        <i/>
        <sz val="8"/>
        <rFont val="Arial"/>
        <family val="2"/>
      </rPr>
      <t>Mecanismo Nacional de Prevención de la Tortura.</t>
    </r>
    <r>
      <rPr>
        <i/>
        <sz val="8"/>
        <rFont val="Arial"/>
        <family val="2"/>
      </rPr>
      <t xml:space="preserve"> Se refiere a la instancia independiente y especializada, con adscripción en la Comisión Nacional de los Derechos Humanos, encargada de la supervisión permanente y sistemática de los lugares destinados a la privación de libertad e internamiento en todo el territorio nacional.</t>
    </r>
  </si>
  <si>
    <t>15.8.-</t>
  </si>
  <si>
    <t>Indique, por cada uno de los centros especializados de su entidad federativa, si durante el año 2023 recibió visitas por parte del Mecanismo Nacional de Prevención de la Tortura. En caso afirmativo, anote la cantidad de visitas recibidas durante el referido año, según tipo.</t>
  </si>
  <si>
    <t>En caso de que determinado centro especializado no haya recibido visitas por parte del Mecanismo Nacional de Prevención de la Tortura, o no cuente con información para determinarlo, indíquelo en la columna correspondiente conforme al catálogo respectivo y deje el resto de la fila en blanco.</t>
  </si>
  <si>
    <t>Para cada centro especializado, la cantidad registrada en la columna "Total" debe ser igual o menor a la suma de las cantidades reportadas en las columnas del apartado "Tipo de visita", toda vez que una visita pudo haber sido de más de un tipo.</t>
  </si>
  <si>
    <t>Para cada centro especializado, la cantidad registrada en cada una de las columnas del apartado "Tipo de visita" debe ser igual o menor a la cantidad reportada en la columna "Total". En caso de que esta instrucción no le aplique, justifíquelo en el recuadro que se encuentra al final de la tabla de respuesta.</t>
  </si>
  <si>
    <r>
      <rPr>
        <b/>
        <sz val="9"/>
        <rFont val="Arial"/>
        <family val="2"/>
      </rPr>
      <t>¿Recibió visitas por parte del Mecanismo Nacional de Prevención de la Tortura?</t>
    </r>
    <r>
      <rPr>
        <sz val="9"/>
        <rFont val="Arial"/>
        <family val="2"/>
      </rPr>
      <t xml:space="preserve">
</t>
    </r>
    <r>
      <rPr>
        <i/>
        <sz val="8"/>
        <rFont val="Arial"/>
        <family val="2"/>
      </rPr>
      <t>(1. Sí / 2. No / 9. No identificado)</t>
    </r>
  </si>
  <si>
    <t>Visitas recibidas por parte del Mecanismo Nacional de Prevención de la Tortura, según tipo</t>
  </si>
  <si>
    <t>Tipo de visita</t>
  </si>
  <si>
    <t>Supervisión</t>
  </si>
  <si>
    <t>Seguimiento</t>
  </si>
  <si>
    <t>Especial</t>
  </si>
  <si>
    <t>15.9.-</t>
  </si>
  <si>
    <t>Indique, por cada uno de los centros especializados de su entidad federativa, si durante el año 2023 recibió alguna recomendación por parte del Mecanismo Nacional de Prevención de la Tortura. En caso afirmativo, anote la cantidad de recomendaciones recibidas durante el referido año, según rubro.</t>
  </si>
  <si>
    <t>En caso de que determinado centro especializado no haya recibido alguna recomendación por parte del Mecanismo Nacional de Prevención de la Tortura, o no cuente con información para determinarlo, indíquelo en la columna correspondiente conforme al catálogo respectivo y deje el resto de la fila en blanco.</t>
  </si>
  <si>
    <r>
      <rPr>
        <b/>
        <sz val="9"/>
        <rFont val="Arial"/>
        <family val="2"/>
      </rPr>
      <t xml:space="preserve">¿Recibió alguna recomendación por parte del Mecanismo Nacional de Prevención de la Tortura?
</t>
    </r>
    <r>
      <rPr>
        <i/>
        <sz val="8"/>
        <rFont val="Arial"/>
        <family val="2"/>
      </rPr>
      <t>(1. Sí / 2. No / 9. No identificado)</t>
    </r>
  </si>
  <si>
    <t>Recomendaciones recibidas por parte del Mecanismo Nacional de Prevención de la Tortura, según rubro</t>
  </si>
  <si>
    <r>
      <t xml:space="preserve">Prevención de la tortura 
</t>
    </r>
    <r>
      <rPr>
        <i/>
        <sz val="8"/>
        <rFont val="Arial"/>
        <family val="2"/>
      </rPr>
      <t>(sin incluir la tortura sexual)</t>
    </r>
  </si>
  <si>
    <t>Prevención de la tortura sexual</t>
  </si>
  <si>
    <t>Prevención de tratos o penas crueles, inhumanos o degradantes</t>
  </si>
  <si>
    <r>
      <t xml:space="preserve">Otro rubro
</t>
    </r>
    <r>
      <rPr>
        <i/>
        <sz val="8"/>
        <rFont val="Arial"/>
        <family val="2"/>
      </rPr>
      <t>(especifique)</t>
    </r>
  </si>
  <si>
    <t xml:space="preserve">4.- Con excepción de la existencia de instrucciones, variables y/ o catálogos específicos que prevean alguna situación particular asociada a la información requerida, en caso de que determinada categoría no se encuentre prevista en su normatividad aplicable, anote "NA" (No aplica) en las celdas correspondientes. </t>
  </si>
  <si>
    <r>
      <t xml:space="preserve">1.- </t>
    </r>
    <r>
      <rPr>
        <b/>
        <i/>
        <sz val="8"/>
        <rFont val="Arial"/>
        <family val="2"/>
      </rPr>
      <t>Servicios para personas adolescentes egresadas y/ o en tratamiento externo.</t>
    </r>
    <r>
      <rPr>
        <i/>
        <sz val="8"/>
        <rFont val="Arial"/>
        <family val="2"/>
      </rPr>
      <t xml:space="preserve"> Se refiere a los servicios prestados a las personas adolescentes que egresan de los centros especializados, o que se encuentran en tratamiento externo, así como a sus familias. Tienen como objetivo otorgar el apoyo necesario para facilitar su reinserción social, procurar su vida digna y prevenir su reincidencia, además de promover en la sociedad una cultura de aceptación de la persona adolescente egresada o en tratamiento externo. Estos servicios consisten en el fomento, creación y promoción de espacios de orientación, apoyo y desarrollo personal, laboral, cultural, educativo, social y de capacitación.</t>
    </r>
  </si>
  <si>
    <t>XVI.1 Ámbito de aplicación</t>
  </si>
  <si>
    <t>16.1.-</t>
  </si>
  <si>
    <t>Durante el año 2023, ¿la prestación de los servicios para personas adolescentes egresadas y/ o en tratamiento externo en su entidad federativa estuvo a cargo de la institución responsable de los centros especializados?</t>
  </si>
  <si>
    <r>
      <t xml:space="preserve">2. No </t>
    </r>
    <r>
      <rPr>
        <i/>
        <sz val="8"/>
        <rFont val="Arial"/>
        <family val="2"/>
      </rPr>
      <t>(concluya el módulo)</t>
    </r>
  </si>
  <si>
    <r>
      <t xml:space="preserve">9. No identificado </t>
    </r>
    <r>
      <rPr>
        <i/>
        <sz val="8"/>
        <rFont val="Arial"/>
        <family val="2"/>
      </rPr>
      <t>(concluya el módulo)</t>
    </r>
  </si>
  <si>
    <t>XVI.2 Plan o programa orientado al seguimiento y atención de personas adolescentes egresadas y/ o en tratamiento externo</t>
  </si>
  <si>
    <t>1.- En caso de que seleccione el código "2", "3" o "9" en la columna "¿Su entidad federativa contaba con algún plan o programa orientado al seguimiento y atención de las personas adolescentes egresadas y/ o en tratamiento externo?" de la pregunta 16.2, pase a la pregunta 16.6.</t>
  </si>
  <si>
    <r>
      <t xml:space="preserve">1.- </t>
    </r>
    <r>
      <rPr>
        <b/>
        <i/>
        <sz val="8"/>
        <rFont val="Arial"/>
        <family val="2"/>
      </rPr>
      <t xml:space="preserve">Comisión Intersecretarial para la Reinserción Social y Servicios Postpenales u homóloga. </t>
    </r>
    <r>
      <rPr>
        <i/>
        <sz val="8"/>
        <rFont val="Arial"/>
        <family val="2"/>
      </rPr>
      <t>Se refiere al órgano colegiado responsable de coordinar, diseñar e implementar en la entidad federativa los distintos programas de servicios para la reinserción social al interior de los centros penitenciarios, así como de servicios postpenales. En su caso, también se encarga de lo correspondiente en materia de personas adolescentes.</t>
    </r>
  </si>
  <si>
    <r>
      <t xml:space="preserve">2.- </t>
    </r>
    <r>
      <rPr>
        <b/>
        <i/>
        <sz val="8"/>
        <rFont val="Arial"/>
        <family val="2"/>
      </rPr>
      <t>Plan o programa orientado al seguimiento y atención de personas adolescentes egresadas y/ o en tratamiento externo.</t>
    </r>
    <r>
      <rPr>
        <i/>
        <sz val="8"/>
        <rFont val="Arial"/>
        <family val="2"/>
      </rPr>
      <t xml:space="preserve"> Se refiere al documento a través del cual las instituciones responsables establecen una serie de objetivos y estrategias prioritarias para apoyar en el proceso de reinserción social a las personas adolescentes egresadas de los centros especializados y/ o en tratamiento externo, mismo que conlleva una serie de actividades y programas de apoyo que presentan las instituciones públicas, privadas y sociales coordinadas por el Gobierno de la entidad federativa.</t>
    </r>
  </si>
  <si>
    <t>16.2.-</t>
  </si>
  <si>
    <t>Indique si al cierre del año 2023 su entidad federativa contaba con algún plan o programa orientado al seguimiento y atención de las personas adolescentes egresadas y/ o en tratamiento externo. En caso afirmativo, especifique el lugar donde se encuentra disponible o, en su defecto, la no disponibilidad del mismo.</t>
  </si>
  <si>
    <t>En caso de que su entidad federativa no haya contado con algún plan o programa orientado al seguimiento y atención de las personas adolescentes egresadas y/ o en tratamiento externo, se haya encontrado en proceso de integración, o no cuente con información para determinarlo, indíquelo en la columna correspondiente conforme al catálogo respectivo y deje el resto de la fila en blanco.</t>
  </si>
  <si>
    <t>En caso de que su entidad federativa haya contado con algún plan o programa orientado al seguimiento y atención de las personas adolescentes egresadas y/ o en tratamiento externo, pero este no se encuentre disponible en línea, en la columna "Sitio donde se encuentra disponible (URL)" anote "NA" (No aplica).</t>
  </si>
  <si>
    <t>En caso de que seleccione el código "3" o "9" en la columna "¿Su entidad federativa contaba con algún plan o programa orientado al seguimiento y atención de las personas adolescentes egresadas y/ o en tratamiento externo?", explique dicha situación en el recuadro que se encuentra en la parte inferior de la tabla de respuesta.</t>
  </si>
  <si>
    <t>BLOQUEO_  16.1</t>
  </si>
  <si>
    <t>BLOQUEO_  16.2</t>
  </si>
  <si>
    <r>
      <t xml:space="preserve">¿Su entidad federativa contaba con algún plan o programa orientado al seguimiento y atención de las personas adolescentes egresadas y/ o en tratamiento externo?
</t>
    </r>
    <r>
      <rPr>
        <i/>
        <sz val="8"/>
        <rFont val="Arial"/>
        <family val="2"/>
      </rPr>
      <t>(1. Sí / 2. En proceso de integración / 3. No / 9. No identificado)</t>
    </r>
  </si>
  <si>
    <t>16.3.-</t>
  </si>
  <si>
    <t>¿El plan o programa orientado al seguimiento y atención de las personas adolescentes egresadas y/ o en tratamiento externo es el mismo que el plan o programa postpenitenciario para las personas egresadas de los centros penitenciarios?</t>
  </si>
  <si>
    <t>En caso de que haya seleccionado el código "2", "3" o "9" en la columna "¿Su entidad federativa contaba con algún plan o programa postpenitenciario?" de la pregunta 16.3 del módulo 1 de este censo, no puede seleccionar el código "1".</t>
  </si>
  <si>
    <t>16.4.-</t>
  </si>
  <si>
    <t>Señale las instituciones que participaron en el diseño del plan o programa orientado al seguimiento y atención de las personas adolescentes egresadas y/ o en tratamiento externo.</t>
  </si>
  <si>
    <t>En caso de que haya seleccionado el código "2", "3" o "9" en la columna "¿Se encontraba constituida en su entidad federativa alguna Comisión Intersecretarial para la Reinserción Social y Servicios Postpenales u homóloga?" de la pregunta 16.2 del módulo 1 de este censo, no puede seleccionar el código "1".</t>
  </si>
  <si>
    <t>En caso de seleccionar el código "1" o "99" no puede seleccionar otro código. En caso de que esta instrucción no le aplique, justifíquelo en el recuadro que se encuentra al final de las opciones de respuesta.</t>
  </si>
  <si>
    <t>BLOQUEO_16.1</t>
  </si>
  <si>
    <t>BLOQUEO_16.2</t>
  </si>
  <si>
    <t>COD_1</t>
  </si>
  <si>
    <t>1. Comisión Intersecretarial para la Reinserción Social y Servicios Postpenales u homóloga de la entidad federativa</t>
  </si>
  <si>
    <t>2. Institución responsable de los centros especializados de la entidad federativa</t>
  </si>
  <si>
    <t>3. Secretaría de Gobierno u homóloga de la entidad federativa</t>
  </si>
  <si>
    <t>4. Secretaría de Desarrollo Social u homóloga de la entidad federativa</t>
  </si>
  <si>
    <t>5. Secretaría de Economía u homóloga de la entidad federativa</t>
  </si>
  <si>
    <t>6. Secretaría de Educación Pública u homóloga de la entidad federativa</t>
  </si>
  <si>
    <t>7. Secretaría de Cultura u homóloga de la entidad federativa</t>
  </si>
  <si>
    <t>8. Secretaría de Salud u homóloga de la entidad federativa</t>
  </si>
  <si>
    <t>9. Secretaría del Trabajo u homóloga de la entidad federativa</t>
  </si>
  <si>
    <t>10. Sistema Estatal para el Desarrollo Integral de la Familia u homólogo</t>
  </si>
  <si>
    <t>11. Instituto de Cultura Física y Deporte u homólogo de la entidad federativa</t>
  </si>
  <si>
    <t>12. Instituto para la Protección Integral de las Niñas, Niños y Personas adolescentes u homólogo de la entidad federativa</t>
  </si>
  <si>
    <r>
      <t xml:space="preserve">13. Otra institución </t>
    </r>
    <r>
      <rPr>
        <i/>
        <sz val="8"/>
        <rFont val="Arial"/>
        <family val="2"/>
      </rPr>
      <t>(especifique)</t>
    </r>
  </si>
  <si>
    <t>16.5.-</t>
  </si>
  <si>
    <t>Señale las acciones de vinculación consideradas en el plan o programa orientado al seguimiento y atención de las personas adolescentes egresadas y/ o en tratamiento externo.</t>
  </si>
  <si>
    <t>BLOQUEO_ 16.1</t>
  </si>
  <si>
    <t>BLOQUEO_ 16.2</t>
  </si>
  <si>
    <t>1. Vinculación con instituciones educativas, orientación y/ o apoyo para la nivelación o continuación de estudios</t>
  </si>
  <si>
    <t>2. Suscripción de convenios con instituciones públicas y/ o privadas para conformar una bolsa de trabajo</t>
  </si>
  <si>
    <t>3. Otorgamiento de apoyos para el trabajo, vinculación con empresas y/ o capacitación laboral</t>
  </si>
  <si>
    <t>4. Otorgamiento de créditos y/ o apoyos para el desarrollo de proyectos de autoempleo o de microempresas</t>
  </si>
  <si>
    <t>5. Asesoría y/ o asistencia jurídica</t>
  </si>
  <si>
    <t>6. Creación de fondos de ahorro con los ingresos derivados de las actividades productivas remuneradas realizadas durante el internamiento y/ o tratamiento externo</t>
  </si>
  <si>
    <t>7. Tratamiento contra la adicción a sustancias psicoactivas</t>
  </si>
  <si>
    <t>8. Atención médica, psicológica y/ o terapéutica</t>
  </si>
  <si>
    <t>9. Creación, organización y/ o administración de albergues o comedores</t>
  </si>
  <si>
    <t>10. Otorgamiento de apoyos para transporte y/ o donación de ropa y alimentos</t>
  </si>
  <si>
    <t>11. Actividades deportivas, culturales o recreativas</t>
  </si>
  <si>
    <t>12. Actividades orientadas a la reintegración familiar</t>
  </si>
  <si>
    <t>13. Mecanismos de canalización a instituciones para acceder a trámites y/ o servicios de manera gratuita</t>
  </si>
  <si>
    <r>
      <t xml:space="preserve">14. Otras acciones de vinculación </t>
    </r>
    <r>
      <rPr>
        <i/>
        <sz val="8"/>
        <rFont val="Arial"/>
        <family val="2"/>
      </rPr>
      <t>(especifique)</t>
    </r>
  </si>
  <si>
    <t>XVI.3 Unidad administrativa o área encargada</t>
  </si>
  <si>
    <t xml:space="preserve">1.- Únicamente debe considerar la existencia de alguna unidad administrativa o área, según sea el caso, que tenga como principal atribución la prestación de servicios para personas adolescentes egresadas y/ o en tratamiento externo, con independencia de los servicios de reinserción social proporcionados por los propios centros especializados. En consecuencia, no debe considerar como unidades administrativas o áreas encargadas de la prestación de servicios para personas adolescentes egresadas y/ o en tratamiento externo a los centros especializados listados como respuesta en la pregunta 1.1. </t>
  </si>
  <si>
    <t>2.- En caso de que seleccione el código "2", "3" o "9" en la columna "¿Contaba con alguna unidad administrativa o área encargada de la prestación de los servicios para personas adolescentes egresadas y/ o en tratamiento externo?" de la pregunta 16.6, pase a la pregunta 16.13.</t>
  </si>
  <si>
    <t>16.6.-</t>
  </si>
  <si>
    <t>Indique si al cierre del año 2023 la institución responsable de los centros especializados de su entidad federativa contaba con alguna unidad administrativa o área encargada de la prestación de los servicios para personas adolescentes egresadas y/ o en tratamiento externo. En caso afirmativo, anote el año de creación y el nombre de la misma.</t>
  </si>
  <si>
    <t>En caso de que no haya contado con alguna unidad administrativa o área encargada de la prestación de los servicios para personas adolescentes egresadas y/ o en tratamiento externo, se haya encontrado en proceso de integración, o no cuente con información para determinarlo, indíquelo en la columna correspondiente conforme al catálogo respectivo y deje el resto de la fila en blanco.</t>
  </si>
  <si>
    <t>El nombre de la unidad administrativa o área encargada de la prestación de los servicios para personas adolescentes egresadas y/ o en tratamiento externo debe registrarse en mayúsculas, sin comillas ni signos de acentuación, puntuación, paréntesis y abreviaturas.</t>
  </si>
  <si>
    <t>En el Complemento 3 debe anotar el tipo de posesión, ubicación geográfica, horario de atención y datos de contacto de la unidad administrativa o área encargada de la prestación de los servicios para personas adolescentes egresadas y/ o en tratamiento externo.</t>
  </si>
  <si>
    <t>Complemento 3</t>
  </si>
  <si>
    <t>BLOQUEO_16.6</t>
  </si>
  <si>
    <r>
      <t xml:space="preserve">¿Contaba con alguna unidad administrativa o área encargada de la prestación de los servicios para personas adolescentes egresadas y/ o en tratamiento externo?
</t>
    </r>
    <r>
      <rPr>
        <i/>
        <sz val="8"/>
        <rFont val="Arial"/>
        <family val="2"/>
      </rPr>
      <t>(1. Sí / 2. En proceso de integración / 3. No / 9. No identificado)</t>
    </r>
  </si>
  <si>
    <t>16.7.-</t>
  </si>
  <si>
    <t>¿La unidad administrativa o área encargada de la prestación de los servicios para personas adolescentes egresadas y/ o en tratamiento externo es la misma que la unidad administrativa o área encargada de la prestación de los servicios postpenales para las personas egresadas de los centros penitenciarios?</t>
  </si>
  <si>
    <t>En caso de que haya seleccionado el código "2", "3" o "9" en la columna "¿Contaba con alguna unidad administrativa o área encargada de la prestación de los servicios postpenales?" de la pregunta 16.6 del módulo 1 de este censo, no puede seleccionar el código "1".</t>
  </si>
  <si>
    <t>BLOQUEO_  16.6</t>
  </si>
  <si>
    <r>
      <t xml:space="preserve">1. Sí </t>
    </r>
    <r>
      <rPr>
        <i/>
        <sz val="8"/>
        <rFont val="Arial"/>
        <family val="2"/>
      </rPr>
      <t>(pase a la pregunta 16.11)</t>
    </r>
  </si>
  <si>
    <t>16.8.-</t>
  </si>
  <si>
    <t>Anote la cantidad de personal adscrito al cierre del año 2023 a la unidad administrativa o área encargada de la prestación de los servicios para personas adolescentes egresadas y/ o en tratamiento externo, según rango de edad y sexo.</t>
  </si>
  <si>
    <t>BLOQUEO_ 16.6</t>
  </si>
  <si>
    <t>BLOQUEO_ 16.7</t>
  </si>
  <si>
    <t>Personal adscrito a la unidad administrativa o área encargada de la prestación de los servicios para personas adolescentes egresadas y/ o en tratamiento externo, según sexo</t>
  </si>
  <si>
    <t>16.9.-</t>
  </si>
  <si>
    <t>Anote el total de presupuesto ejercido durante el año 2023 por la unidad administrativa o área encargada de la prestación de los servicios para personas adolescentes egresadas y/ o en tratamiento externo.</t>
  </si>
  <si>
    <t>En caso de no poder requisitar la información solicitada, anote "NA" (No aplica) en la celda correspondiente y explique dicha situación en el recuadro que se encuentra en la parte inferior de la opción de respuesta.</t>
  </si>
  <si>
    <t>La cifra debe anotarse en pesos mexicanos (no debe agregar la frase “miles o millones de pesos”).</t>
  </si>
  <si>
    <t>No debe considerar decimales en la cifra registrada, por lo que debe redondear la cifra a su valor entero más cercano.</t>
  </si>
  <si>
    <t>Total de presupuesto ejercido por la unidad administrativa o área encargada de la prestación de los servicios para personas adolescentes egresadas y/ o en tratamiento externo</t>
  </si>
  <si>
    <t>16.10.-</t>
  </si>
  <si>
    <t>Señale las áreas o espacios físicos de infraestructura con los que contaba al cierre del año 2023 la unidad administrativa o área encargada de la prestación de los servicios para personas adolescentes egresadas y/ o en tratamiento externo.</t>
  </si>
  <si>
    <t>Seleccione con una "X" el o los códigos que correspondan.</t>
  </si>
  <si>
    <t>En caso de seleccionar el código "16" o "99" no puede seleccionar otro código.</t>
  </si>
  <si>
    <t>BLOQUEO_ COD16</t>
  </si>
  <si>
    <t>BLOQUEO_ COD99</t>
  </si>
  <si>
    <t>1. Sala de espera</t>
  </si>
  <si>
    <t>2. Espacios administrativos</t>
  </si>
  <si>
    <t>3. Espacios para pláticas o capacitaciones</t>
  </si>
  <si>
    <t>4. Espacios o salas de desintoxicación</t>
  </si>
  <si>
    <t xml:space="preserve">5. Espacios de alojamiento o albergue </t>
  </si>
  <si>
    <t>6. Área de orientación y/ o seguimiento</t>
  </si>
  <si>
    <t>7. Área de atención médica</t>
  </si>
  <si>
    <t>8. Área de atención psicológica</t>
  </si>
  <si>
    <t xml:space="preserve">9. Área de trabajo social y/ o apoyos sociales </t>
  </si>
  <si>
    <t>10. Área de asesoría jurídica</t>
  </si>
  <si>
    <t>11. Biblioteca</t>
  </si>
  <si>
    <t>12. Comedor</t>
  </si>
  <si>
    <r>
      <t xml:space="preserve">13. Canchas deportivas </t>
    </r>
    <r>
      <rPr>
        <i/>
        <sz val="8"/>
        <rFont val="Arial"/>
        <family val="2"/>
      </rPr>
      <t>(fútbol, baloncesto, voleibol, etc.)</t>
    </r>
  </si>
  <si>
    <t>14. Baños</t>
  </si>
  <si>
    <r>
      <t>15. Otra área o espacio físico de infraestructura</t>
    </r>
    <r>
      <rPr>
        <i/>
        <sz val="8"/>
        <rFont val="Arial"/>
        <family val="2"/>
      </rPr>
      <t xml:space="preserve"> (especifique)</t>
    </r>
  </si>
  <si>
    <t>16. No contaba con áreas o espacios físicos de infraestructura</t>
  </si>
  <si>
    <t>16.11.-</t>
  </si>
  <si>
    <t>Señale las acciones realizadas durante el año 2023 por la unidad administrativa o área encargada de la prestación de los servicios para personas adolescentes egresadas y/ o en tratamiento externo a efecto de difundir y facilitar el acceso a los mismos.</t>
  </si>
  <si>
    <t>En caso de seleccionar el código "11" o "99" no puede seleccionar otro código.</t>
  </si>
  <si>
    <t xml:space="preserve">1. Visitas a centros especializados </t>
  </si>
  <si>
    <t>2. Entrevistas a las personas adolescentes egresadas</t>
  </si>
  <si>
    <t>3. Distribución de material visual y folletos informativos</t>
  </si>
  <si>
    <r>
      <t xml:space="preserve">4. Difusión en redes sociales </t>
    </r>
    <r>
      <rPr>
        <i/>
        <sz val="8"/>
        <rFont val="Arial"/>
        <family val="2"/>
      </rPr>
      <t>(WhatsApp, Facebook, Twitter, Telegram, etc.)</t>
    </r>
  </si>
  <si>
    <t>5. Campañas en medios de comunicación como radio y televisión</t>
  </si>
  <si>
    <t xml:space="preserve">6. Participación en foros y reuniones con organizaciones públicas, privadas y/ o de la sociedad civil </t>
  </si>
  <si>
    <r>
      <t xml:space="preserve">7. Operación de medios de contacto directo a disposición de las personas adolescentes egresadas </t>
    </r>
    <r>
      <rPr>
        <i/>
        <sz val="8"/>
        <rFont val="Arial"/>
        <family val="2"/>
      </rPr>
      <t>(página web, aplicaciones móviles, correo electrónico, teléfono, etc.)</t>
    </r>
  </si>
  <si>
    <t>8. Convocatorias a programas</t>
  </si>
  <si>
    <t>9. Uso de criterios de priorización para la selección de las personas adolescentes beneficiarias</t>
  </si>
  <si>
    <r>
      <t xml:space="preserve">10. Otras acciones </t>
    </r>
    <r>
      <rPr>
        <i/>
        <sz val="8"/>
        <rFont val="Arial"/>
        <family val="2"/>
      </rPr>
      <t>(especifique)</t>
    </r>
  </si>
  <si>
    <t>11. No se realizaron acciones a efecto de difundir y facilitar el acceso a los servicios para personas adolescentes egresadas y/ o en tratamiento externo</t>
  </si>
  <si>
    <t>16.12.-</t>
  </si>
  <si>
    <t>Indique los medios a través de los cuales durante el año 2023 la unidad administrativa o área encargada de la prestación de los servicios para personas adolescentes egresadas y/ o en tratamiento externo estuvo facultada para dar seguimiento a estas personas adolescentes. Por cada uno de estos, señale si dicho seguimiento fue de carácter obligatorio para la referida unidad administrativa o área.</t>
  </si>
  <si>
    <t>En caso de que la unidad administrativa o área encargada de la prestación de los servicios para personas adolescentes egresadas y/ o en tratamiento externo no haya estado facultada para dar seguimiento a estas personas adolescentes a través de determinado medio, o no cuente con información para determinarlo, indíquelo en la columna correspondiente conforme al catálogo respectivo y deje el resto de la fila en blanco.</t>
  </si>
  <si>
    <t xml:space="preserve">En caso de que seleccione para el numeral 5 el código "1" en la columna "¿La unidad administrativa o área encargada de la prestación de los servicios para personas adolescentes egresadas y/ o en tratamiento externo estuvo facultada para dar seguimiento a estas personas adolescentes?", debe anotar el nombre de dicho(s) medio(s) en el recuadro destinado para tal efecto que se encuentra al final de la tabla de respuesta. </t>
  </si>
  <si>
    <t>Medios de seguimiento a las personas adolescentes egresadas y/ o en tratamiento externo</t>
  </si>
  <si>
    <r>
      <t xml:space="preserve">¿La unidad administrativa o área encargada de la prestación de los servicios para personas adolescentes egresadas y/ o en tratamiento externo estuvo facultada para dar seguimiento a estas personas adolescentes?
</t>
    </r>
    <r>
      <rPr>
        <i/>
        <sz val="8"/>
        <rFont val="Arial"/>
        <family val="2"/>
      </rPr>
      <t>(1. Sí / 2. No / 9. No identificado)</t>
    </r>
  </si>
  <si>
    <r>
      <t xml:space="preserve">¿El seguimiento fue de carácter obligatorio para la unidad administrativa o área encargada de la prestación de los servicios para personas adolescentes egresadas y/ o en tratamiento externo?
</t>
    </r>
    <r>
      <rPr>
        <i/>
        <sz val="8"/>
        <rFont val="Arial"/>
        <family val="2"/>
      </rPr>
      <t>(1. Sí / 2. No / 9. No identificado)</t>
    </r>
  </si>
  <si>
    <t>BLOQUEO_ 16.12</t>
  </si>
  <si>
    <t>NUM_5</t>
  </si>
  <si>
    <t>Visitas domiciliarias</t>
  </si>
  <si>
    <t>Llamadas telefónicas o videollamadas</t>
  </si>
  <si>
    <t>Correos electrónicos</t>
  </si>
  <si>
    <r>
      <t xml:space="preserve">Mensajería instantánea </t>
    </r>
    <r>
      <rPr>
        <i/>
        <sz val="8"/>
        <rFont val="Arial"/>
        <family val="2"/>
      </rPr>
      <t>(WhatsApp, Messenger, Telegram, etc.)</t>
    </r>
  </si>
  <si>
    <r>
      <t xml:space="preserve">Otro medio </t>
    </r>
    <r>
      <rPr>
        <i/>
        <sz val="8"/>
        <rFont val="Arial"/>
        <family val="2"/>
      </rPr>
      <t>(especifique)</t>
    </r>
  </si>
  <si>
    <r>
      <t xml:space="preserve">Otro medio:
</t>
    </r>
    <r>
      <rPr>
        <i/>
        <sz val="8"/>
        <rFont val="Arial"/>
        <family val="2"/>
      </rPr>
      <t>(especifique)</t>
    </r>
  </si>
  <si>
    <t>XVI.4 Servicios para personas adolescentes egresadas y/ o en tratamiento externo otorgados</t>
  </si>
  <si>
    <t>1.- Debe considerar la información relacionada con los servicios para personas adolescentes egresadas y/ o en tratamiento externo otorgados de forma directa por la institución responsable de los centros especializados de la entidad federativa, independientemente de la existencia de alguna unidad administrativa o área encargada de su prestación.</t>
  </si>
  <si>
    <t>2.- En caso de que la cantidad que reporte como respuesta en el recuadro "Total de personas adolescentes egresadas y/ o en tratamiento externo beneficiadas con algún servicio" de la pregunta 16.14 no sea un dato numérico mayor a cero, pase a la pregunta 16.21.</t>
  </si>
  <si>
    <t>16.13.-</t>
  </si>
  <si>
    <t>Indique las materias de las cuales durante el año 2023 la institución responsable de los centros especializados de su entidad federativa estuvo facultada para otorgar algún tipo de servicio para personas adolescentes egresadas y/ o en tratamiento externo. Por cada una de estas, anote el periodo máximo en el que las personas adolescentes egresadas y/ o en tratamiento externo podían acceder a los servicios otorgados por dicha institución luego de su egreso o del inicio de su tratamiento externo.</t>
  </si>
  <si>
    <t>En caso de que no haya estado facultada para otorgar algún tipo de servicio para personas adolescentes egresadas y/ o en tratamiento externo en determinada materia, o no cuente con información para determinarlo, indíquelo en la columna correspondiente conforme al catálogo respectivo y deje el resto de la fila en blanco.</t>
  </si>
  <si>
    <t>Para cada materia, en la columna "Meses" del apartado "Periodo máximo en el que las personas adolescentes egresadas y/ o en tratamiento externo podían acceder a los servicios luego de su egreso o del inicio de su tratamiento externo" anote el periodo máximo establecido en la disposición normativa correspondiente, y deje la columna "Indefinido" de dicho apartado en blanco. Por ejemplo: en caso de que dicho periodo sea de 12 meses, anote "12" en la referida columna.</t>
  </si>
  <si>
    <t>Para cada materia, en caso de que la disposición normativa correspondiente no establezca algún periodo máximo en el que las personas adolescentes egresadas y/ o en tratamiento externo podían acceder a los servicios luego de su egreso o del inicio de su tratamiento externo, anote una "X" en la columna "Indefinido" del apartado "Periodo máximo en el que las personas adolescentes egresadas y/ o en tratamiento externo podían acceder a los servicios luego de su egreso o del inicio de su tratamiento externo", y deje la columna "Meses" de dicho apartado en blanco.</t>
  </si>
  <si>
    <t xml:space="preserve">En caso de que seleccione para el numeral 6 el código "1" en la columna "¿Estuvo facultada para otorgar algún tipo de servicio para personas adolescentes egresadas y/ o en tratamiento externo?", debe anotar el nombre de dicha(s) materia(s) en el recuadro destinado para tal efecto que se encuentra al final de la tabla de respuesta. </t>
  </si>
  <si>
    <t>Materias de los servicios para personas adolescentes egresadas y/ o en tratamiento externo</t>
  </si>
  <si>
    <r>
      <t xml:space="preserve">¿Estuvo facultada para otorgar algún tipo de servicio para personas adolescentes egresadas y/ o en tratamiento externo?
</t>
    </r>
    <r>
      <rPr>
        <i/>
        <sz val="8"/>
        <rFont val="Arial"/>
        <family val="2"/>
      </rPr>
      <t>(1. Sí / 2. No / 9. No identificado)</t>
    </r>
  </si>
  <si>
    <t>Periodo máximo en el que las personas adolescentes egresadas y/ o en tratamiento externo podían acceder a los servicios luego de su egreso o del inicio de su tratamiento externo</t>
  </si>
  <si>
    <t>BLOQUEO_ INDEFINIDO</t>
  </si>
  <si>
    <t>Meses</t>
  </si>
  <si>
    <t>NUM_6</t>
  </si>
  <si>
    <t>Laboral</t>
  </si>
  <si>
    <t>Educación</t>
  </si>
  <si>
    <t>Apoyos sociales</t>
  </si>
  <si>
    <t>Gestión y asesoría jurídica</t>
  </si>
  <si>
    <r>
      <t xml:space="preserve">Otra materia </t>
    </r>
    <r>
      <rPr>
        <i/>
        <sz val="8"/>
        <rFont val="Arial"/>
        <family val="2"/>
      </rPr>
      <t>(especifique)</t>
    </r>
  </si>
  <si>
    <r>
      <t xml:space="preserve">Otra materia:
</t>
    </r>
    <r>
      <rPr>
        <i/>
        <sz val="8"/>
        <rFont val="Arial"/>
        <family val="2"/>
      </rPr>
      <t>(especifique)</t>
    </r>
  </si>
  <si>
    <t>16.14.-</t>
  </si>
  <si>
    <t>Anote la cantidad de personas adolescentes egresadas y/ o en tratamiento externo beneficiadas durante el año 2023 con algún servicio otorgado por la institución responsable de los centros especializados de su entidad federativa, según sexo.</t>
  </si>
  <si>
    <r>
      <t xml:space="preserve">Total de personas adolescentes egresadas y/ o en tratamiento externo beneficiadas con algún servicio </t>
    </r>
    <r>
      <rPr>
        <b/>
        <i/>
        <sz val="8"/>
        <rFont val="Arial"/>
        <family val="2"/>
      </rPr>
      <t>(1. + 2.)</t>
    </r>
  </si>
  <si>
    <t>1. Hombres</t>
  </si>
  <si>
    <t>2. Mujeres</t>
  </si>
  <si>
    <t>16.15.-</t>
  </si>
  <si>
    <t>De acuerdo con el total de personas adolescentes egresadas y/ o en tratamiento externo beneficiadas con algún servicio que reportó como respuesta en la pregunta anterior, anote la cantidad de las mismas especificando la materia del servicio otorgado y sexo.</t>
  </si>
  <si>
    <t>¿El Municipio cuenta con un Programa de Transparencia y/o Anticorrupción?</t>
  </si>
  <si>
    <t>Para cada materia, en caso de que haya seleccionado el código "2" o "9" en la columna "¿Estuvo facultada para otorgar algún tipo de servicio para personas adolescentes egresadas y/ o en tratamiento externo?" de la pregunta 16.13, no puede registrar información en el presente reactivo.</t>
  </si>
  <si>
    <t>La suma de las cantidades registradas en la columna "Total" debe ser igual o mayor a la cantidad reportada como respuesta en el recuadro "Total de personas adolescentes egresadas y/ o en tratamiento externo beneficiadas con algún servicio" de la pregunta anterior, así como corresponder a su desagregación por sexo; toda vez que a una persona adolescente egresada y/ o en tratamiento externo beneficiada se le pudieron haber otorgado servicios en más de una materia.</t>
  </si>
  <si>
    <t>La cantidad registrada en la columna "Total" de cada materia debe ser igual o menor a la cantidad reportada como respuesta en el recuadro "Total de personas adolescentes egresadas y/ o en tratamiento externo beneficiadas con algún servicio" de la pregunta anterior, así como corresponder a su desagregación por sexo. En caso de que esta instrucción no le aplique, justifíquelo en el recuadro que se encuentra al final de la tabla de respuesta.</t>
  </si>
  <si>
    <t>BLOQUEO_ 16.13</t>
  </si>
  <si>
    <t>BLOQUEO_ SUM_16.14</t>
  </si>
  <si>
    <t>MATERIA</t>
  </si>
  <si>
    <t>COMP_MATERIA</t>
  </si>
  <si>
    <t>Personas adolescentes egresadas y/ o en tratamiento externo beneficiadas con algún servicio, según sexo</t>
  </si>
  <si>
    <t>COMP_SUM_PREG.16.14</t>
  </si>
  <si>
    <t>LABORAL</t>
  </si>
  <si>
    <t>SALUD</t>
  </si>
  <si>
    <t>EDUCACIÓN</t>
  </si>
  <si>
    <t>APOYOS</t>
  </si>
  <si>
    <t>GESTION</t>
  </si>
  <si>
    <t>Otra materia</t>
  </si>
  <si>
    <t>OTRA</t>
  </si>
  <si>
    <t>16.16.-</t>
  </si>
  <si>
    <t>De acuerdo con el total de personas adolescentes egresadas y/ o en tratamiento externo beneficiadas con algún servicio que reportó como respuesta en el numeral 1 de la pregunta anterior, anote la cantidad de las mismas especificando el tipo de servicio otorgado y sexo.</t>
  </si>
  <si>
    <t>La suma de las cantidades registradas en la columna "Total" debe ser igual o mayor a la cantidad reportada como respuesta en la columna "Total" del numeral 1 de la pregunta anterior, así como corresponder a su desagregación por sexo; toda vez que a una persona adolescente egresada y/ o en tratamiento externo beneficiada se le pudo haber otorgado más de un tipo de servicio en materia laboral.</t>
  </si>
  <si>
    <t>La cantidad registrada en la columna "Total" de cada tipo de servicio en materia laboral para personas adolescentes egresadas y/ o en tratamiento externo debe ser igual o menor a la cantidad reportada como respuesta en la columna "Total" del numeral 1 de la pregunta anterior, así como corresponder a su desagregación por sexo. En caso de que esta instrucción no le aplique, justifíquelo en el recuadro que se encuentra al final de la tabla de respuesta.</t>
  </si>
  <si>
    <t xml:space="preserve">En caso de que registre algún valor numérico mayor a cero en el numeral 7, debe anotar el nombre de dicho(s) tipo(s) de servicio(s) en materia laboral en el recuadro destinado para tal efecto que se encuentra al final de la tabla de respuesta. </t>
  </si>
  <si>
    <t>BLOQUEO_ SUM_16.15</t>
  </si>
  <si>
    <t>TIPO DE SERVICIO</t>
  </si>
  <si>
    <t>COMP_MATERIA_LABORAL</t>
  </si>
  <si>
    <t>Tipo de servicios en materia laboral para personas adolescentes egresadas y/ o en tratamiento externo</t>
  </si>
  <si>
    <t>Personas adolescentes egresadas y/ o en tratamiento externo beneficiadas con algún servicio en materia laboral, según sexo</t>
  </si>
  <si>
    <t>Capacitación para el autoempleo</t>
  </si>
  <si>
    <t>Capacitación</t>
  </si>
  <si>
    <t>Cursos</t>
  </si>
  <si>
    <t>Registro en bolsas de trabajo</t>
  </si>
  <si>
    <t>NUM_7</t>
  </si>
  <si>
    <t>Registro</t>
  </si>
  <si>
    <t>Vinculación con empresas</t>
  </si>
  <si>
    <t>Vinculación</t>
  </si>
  <si>
    <t>Otorgamiento de créditos para proyectos productivos</t>
  </si>
  <si>
    <t>Otorgamiento</t>
  </si>
  <si>
    <t>Ayuda para la difusión y comercialización de productos</t>
  </si>
  <si>
    <t>Ayuda difusión</t>
  </si>
  <si>
    <t>16.17.-</t>
  </si>
  <si>
    <t>De acuerdo con el total de personas adolescentes egresadas y/ o en tratamiento externo beneficiadas con algún servicio que reportó como respuesta en el numeral 2 de la pregunta 16.15, anote la cantidad de las mismas especificando el tipo de servicio otorgado y sexo.</t>
  </si>
  <si>
    <t>En caso de que la cantidad reportada como respuesta en la columna "Total" del numeral 2 de la pregunta 16.15 no sea un dato numérico mayor a cero, no puede registrar información en el presente reactivo.</t>
  </si>
  <si>
    <t>El numeral 6 refiere a aquellos casos en los que únicamente se proporciona el servicio de desintoxicación a las personas adolescentes egresadas y/ o en tratamiento externo, sin formar parte de un tratamiento integral. Dicho tratamiento consiste en la administración de sustancias de sustitución para estabilizar a la persona y, posteriormente, ir reduciendo de forma gradual la dosis hasta suspender su administración.</t>
  </si>
  <si>
    <t>El numeral 7 refiere a aquellos casos en los que se proporciona un tratamiento integral a las personas adolescentes egresadas y/ o en tratamiento externo para atender, mediante una serie de intervenciones estructuradas, los problemas de salud, sociales y de otra naturaleza causados por el abuso en el consumo de sustancias psicoactivas. Dicho proceso incluye las etapas de desintoxicación, rehabilitación y postratamiento. En caso de que únicamente se proporcione el servicio de desintoxicación voluntaria, debe reportarse en el numeral 6 conforme a lo descrito en la instrucción anterior.</t>
  </si>
  <si>
    <t>La suma de las cantidades registradas en la columna "Total" debe ser igual o mayor a la cantidad reportada como respuesta en la columna "Total" del numeral 2 de la pregunta 16.15, así como corresponder a su desagregación por sexo; toda vez que a una persona adolescente egresada y/ o en tratamiento externo beneficiada se le pudo haber otorgado más de un tipo de servicio en materia de salud.</t>
  </si>
  <si>
    <t>La cantidad registrada en la columna "Total" de cada tipo de servicio en materia de salud para personas adolescentes egresadas y/ o en tratamiento externo debe ser igual o menor a la cantidad reportada como respuesta en la columna "Total" del numeral 2 de la pregunta 16.15, así como corresponder a su desagregación por sexo. En caso de que esta instrucción no le aplique, justifíquelo en el recuadro que se encuentra al final de la tabla de respuesta.</t>
  </si>
  <si>
    <t>En caso de que registre algún valor numérico mayor a cero en el numeral 12, debe anotar el nombre de dicho(s) tipo(s) de servicio(s) en materia de salud en el recuadro destinado para tal efecto que se encuentra al final de la tabla de respuesta.</t>
  </si>
  <si>
    <t>TIPO DE SERVICIO POSTPENAL</t>
  </si>
  <si>
    <t>COMP_MATERIA_SALUD</t>
  </si>
  <si>
    <t>Tipo de servicios en materia de salud para personas adolescentes egresadas y/ o en tratamiento externo</t>
  </si>
  <si>
    <t>Personas adolescentes egresadas y/ o en tratamiento externo beneficiadas con algún servicio en materia de salud, según sexo</t>
  </si>
  <si>
    <t>COMP_SUM_PREG.16.15</t>
  </si>
  <si>
    <t>Atención médica de primer contacto</t>
  </si>
  <si>
    <t>Médica</t>
  </si>
  <si>
    <t>Atención psiquiátrica</t>
  </si>
  <si>
    <t>Psiquiatrica</t>
  </si>
  <si>
    <t>Atención odontológica</t>
  </si>
  <si>
    <t>NUM_12</t>
  </si>
  <si>
    <t>Odontologica</t>
  </si>
  <si>
    <t>Apoyo para medicamentos</t>
  </si>
  <si>
    <t>Medicamentos</t>
  </si>
  <si>
    <t>Apoyo para análisis y exámenes médicos</t>
  </si>
  <si>
    <t xml:space="preserve">Analisis </t>
  </si>
  <si>
    <t>Voluntario</t>
  </si>
  <si>
    <t>Adicciones</t>
  </si>
  <si>
    <t>Diagnóstico psicológico individual, familiar y/ o grupal</t>
  </si>
  <si>
    <t>Psicologico</t>
  </si>
  <si>
    <t>Terapia individual</t>
  </si>
  <si>
    <t>Individual</t>
  </si>
  <si>
    <t>Terapia grupal y/ o familiar</t>
  </si>
  <si>
    <t>Grupal</t>
  </si>
  <si>
    <t xml:space="preserve">Talleres o pláticas de contención emocional </t>
  </si>
  <si>
    <t>Platicas</t>
  </si>
  <si>
    <t>16.18.-</t>
  </si>
  <si>
    <t>De acuerdo con el total de personas adolescentes egresadas y/ o en tratamiento externo beneficiadas con algún servicio que reportó como respuesta en el numeral 3 de la pregunta 16.15, anote la cantidad de las mismas especificando el tipo de servicio otorgado y sexo.</t>
  </si>
  <si>
    <t>En caso de que la cantidad reportada como respuesta en la columna "Total" del numeral 3 de la pregunta 16.15 no sea un dato numérico mayor a cero, no puede registrar información en el presente reactivo.</t>
  </si>
  <si>
    <t>La suma de las cantidades registradas en la columna "Total" debe ser igual o mayor a la cantidad reportada como respuesta en la columna "Total" del numeral 3 de la pregunta 16.15, así como corresponder a su desagregación por sexo; toda vez que a una persona adolescente egresada y/ o en tratamiento externo beneficiada se le pudo haber otorgado más de un tipo de servicio en materia educativa.</t>
  </si>
  <si>
    <t>La cantidad registrada en la columna "Total" de cada tipo de servicio en materia educativa para personas adolescentes egresadas y/ o en tratamiento externo debe ser igual o menor a la cantidad reportada como respuesta en la columna "Total" del numeral 3 de la pregunta 16.15, así como corresponder a su desagregación por sexo. En caso de que esta instrucción no le aplique, justifíquelo en el recuadro que se encuentra al final de la tabla de respuesta.</t>
  </si>
  <si>
    <t>En caso de que registre algún valor numérico mayor a cero en el numeral 7, debe anotar el nombre de dicho(s) tipo(s) de servicio(s) en materia educativa en el recuadro destinado para tal efecto que se encuentra al final de la tabla de respuesta.</t>
  </si>
  <si>
    <t>COMP_MATERIA_EDUCATIVA</t>
  </si>
  <si>
    <t>Tipo de servicios en materia educativa para personas adolescentes egresadas y/ o en tratamiento externo</t>
  </si>
  <si>
    <t>Personas adolescentes egresadas y/ o en tratamiento externo beneficiadas con algún servicio en materia educativa, según sexo</t>
  </si>
  <si>
    <t>Orientación para la nivelación o continuación de estudios</t>
  </si>
  <si>
    <t>Orientación</t>
  </si>
  <si>
    <t>Vinculación con instituciones educativas</t>
  </si>
  <si>
    <t>Asesoría para la inscripción y/ o preparación de exámenes</t>
  </si>
  <si>
    <t>Asesoría</t>
  </si>
  <si>
    <t>Talleres o pláticas educativas</t>
  </si>
  <si>
    <t>Talleres</t>
  </si>
  <si>
    <t>Otorgamiento de becas escolares</t>
  </si>
  <si>
    <t>Apoyo para gestionar la expedición de certificados de estudios</t>
  </si>
  <si>
    <t>Apoyo</t>
  </si>
  <si>
    <t>Otro_tipo</t>
  </si>
  <si>
    <t>16.19.-</t>
  </si>
  <si>
    <t>De acuerdo con el total de personas adolescentes egresadas y/ o en tratamiento externo beneficiadas con algún servicio que reportó como respuesta en el numeral 4 de la pregunta 16.15, anote la cantidad de las mismas especificando el tipo de servicio otorgado y sexo.</t>
  </si>
  <si>
    <t>En caso de que la cantidad reportada como respuesta en la columna "Total" del numeral 4 de la pregunta 16.15 no sea un dato numérico mayor a cero, no puede registrar información en el presente reactivo.</t>
  </si>
  <si>
    <t>La suma de las cantidades registradas en la columna "Total" debe ser igual o mayor a la cantidad reportada como respuesta en la columna "Total" del numeral 4 de la pregunta 16.15, así como corresponder a su desagregación por sexo; toda vez que a una persona adolescente egresada y/ o en tratamiento externo beneficiada se le pudo haber otorgado más de un tipo de servicio en materia de apoyos sociales.</t>
  </si>
  <si>
    <t>La cantidad registrada en la columna "Total" de cada tipo de servicio en materia de apoyos sociales para personas adolescentes egresadas y/ o en tratamiento externo debe ser igual o menor a la cantidad reportada como respuesta en la columna "Total" del numeral 4 de la pregunta 16.15, así como corresponder a su desagregación por sexo. En caso de que esta instrucción no le aplique, justifíquelo en el recuadro que se encuentra al final de la tabla de respuesta.</t>
  </si>
  <si>
    <t xml:space="preserve">En caso de que registre algún valor numérico mayor a cero en el numeral 8, debe anotar el nombre de dicho(s) tipo(s) de servicio(s) en materia de apoyos sociales en el recuadro destinado para tal efecto que se encuentra al final de la tabla de respuesta. </t>
  </si>
  <si>
    <t>COMP_MATERIA_APOYOS</t>
  </si>
  <si>
    <t>Tipo de servicios en materia de apoyos sociales para personas adolescentes egresadas y/ o en tratamiento externo</t>
  </si>
  <si>
    <t>Personas adolescentes egresadas y/ o en tratamiento externo beneficiadas con algún servicio en materia de apoyos sociales, según sexo</t>
  </si>
  <si>
    <t>Apoyo para transporte público</t>
  </si>
  <si>
    <t>Transporte</t>
  </si>
  <si>
    <t>Apoyos alimentarios o despensas</t>
  </si>
  <si>
    <t>Alimentarios</t>
  </si>
  <si>
    <t>Donación de ropa</t>
  </si>
  <si>
    <t>NUM_8</t>
  </si>
  <si>
    <t>Donación</t>
  </si>
  <si>
    <t xml:space="preserve">Gestión de apoyos en especie </t>
  </si>
  <si>
    <t>Apoyos</t>
  </si>
  <si>
    <t>Gestión de créditos y apoyos para la adquisición o arrendamiento de vivienda</t>
  </si>
  <si>
    <t>Créditos</t>
  </si>
  <si>
    <t xml:space="preserve">Servicio de comedor </t>
  </si>
  <si>
    <t xml:space="preserve">Comedor </t>
  </si>
  <si>
    <t>Servicio de albergue</t>
  </si>
  <si>
    <t>Albergue</t>
  </si>
  <si>
    <t>16.20.-</t>
  </si>
  <si>
    <t>De acuerdo con el total de personas adolescentes egresadas y/ o en tratamiento externo beneficiadas con algún servicio que reportó como respuesta en el numeral 5 de la pregunta 16.15, anote la cantidad de las mismas especificando el tipo de servicio otorgado y sexo.</t>
  </si>
  <si>
    <t>En caso de que la cantidad reportada como respuesta en la columna "Total" del numeral 5 de la pregunta 16.15 no sea un dato numérico mayor a cero, no puede registrar información en el presente reactivo.</t>
  </si>
  <si>
    <t>La suma de las cantidades registradas en la columna "Total" debe ser igual o mayor a la cantidad reportada como respuesta en la columna "Total" del numeral 5 de la pregunta 16.15, así como corresponder a su desagregación por sexo; toda vez que a una persona adolescente egresada y/ o en tratamiento externo beneficiada se le pudo haber otorgado más de un tipo de servicio en materia de gestión y asesoría jurídica.</t>
  </si>
  <si>
    <t>La cantidad registrada en la columna "Total" de cada tipo de servicio en materia de gestión y asesoría jurídica para personas adolescentes egresadas y/ o en tratamiento externo debe ser igual o menor a la cantidad reportada como respuesta en la columna "Total" del numeral 5 de la pregunta 16.15, así como corresponder a su desagregación por sexo. En caso de que esta instrucción no le aplique, justifíquelo en el recuadro que se encuentra al final de la tabla de respuesta.</t>
  </si>
  <si>
    <t>En caso de que registre algún valor numérico mayor a cero en el numeral 7, debe anotar el nombre de dicho(s) tipo(s) de servicio(s) en materia de gestión y asesoría jurídica en el recuadro destinado para tal efecto que se encuentra al final de la tabla de respuesta.</t>
  </si>
  <si>
    <t>COMP_MATERIA_GESTIÓN</t>
  </si>
  <si>
    <t>Tipo de servicios en materia de gestión y asesoría jurídica para personas adolescentes egresadas y/ o en tratamiento externo</t>
  </si>
  <si>
    <t>Personas adolescentes egresadas y/ o en tratamiento externo beneficiadas con algún servicio en materia de gestión y asesoría jurídica, según sexo</t>
  </si>
  <si>
    <t>Asesoría jurídica para la conclusión de trámites legales</t>
  </si>
  <si>
    <t>Conclusión</t>
  </si>
  <si>
    <r>
      <t xml:space="preserve">Asesoría para obtención de documentos de identidad </t>
    </r>
    <r>
      <rPr>
        <i/>
        <sz val="8"/>
        <rFont val="Arial"/>
        <family val="2"/>
      </rPr>
      <t>(CURP, credencial de elector en los casos que aplique, acta de nacimiento, etc.)</t>
    </r>
  </si>
  <si>
    <t>Obtensión</t>
  </si>
  <si>
    <t xml:space="preserve">Apoyo para solicitar el oficio de cumplimiento de la medida de sanción </t>
  </si>
  <si>
    <t>Cumplimiento</t>
  </si>
  <si>
    <t>Apoyo para tramitar la cancelación de antecedentes penales</t>
  </si>
  <si>
    <t>Cancelación</t>
  </si>
  <si>
    <t>Gestión para recuperar el fondo de ahorro de actividades productivas remuneradas realizadas durante el internamiento y/ o tratamiento externo</t>
  </si>
  <si>
    <t>Fondo de ahorros</t>
  </si>
  <si>
    <t>Revisión de expedientes en juzgados penales y de ejecución</t>
  </si>
  <si>
    <t>Expedientes</t>
  </si>
  <si>
    <t>XVI.5 Canalización a otras instituciones</t>
  </si>
  <si>
    <t>16.21.-</t>
  </si>
  <si>
    <t>Indique si durante el año 2023 la institución responsable de los centros especializados de su entidad federativa canalizó personas adolescentes egresadas y/ o en tratamiento externo a otras instituciones a efecto de que recibieran algún servicio que contribuyera a su proceso de reinserción social. En caso afirmativo, anote la cantidad de personas adolescentes egresadas y/ o en tratamiento externo canalizadas durante el referido año, según sexo.</t>
  </si>
  <si>
    <t xml:space="preserve">En caso de que no haya canalizado personas adolescentes egresadas y/ o en tratamiento externo a otras instituciones a efecto de que recibieran algún servicio que contribuyera a su proceso de reinserción social, o no cuente con información para determinarlo, indíquelo en la columna correspondiente conforme al catálogo respectivo y deje el resto de la fila en blanco. </t>
  </si>
  <si>
    <t>BLOQUEO_ 16.21</t>
  </si>
  <si>
    <r>
      <t xml:space="preserve">¿Canalizó personas adolescentes egresadas y/ o en tratamiento externo a otras instituciones a efecto de que recibieran algún servicio que contribuyera a su proceso de reinserción social?
</t>
    </r>
    <r>
      <rPr>
        <i/>
        <sz val="8"/>
        <rFont val="Arial"/>
        <family val="2"/>
      </rPr>
      <t>(1. Sí / 2. No / 9. No identificado)</t>
    </r>
  </si>
  <si>
    <t>Personas adolescentes egresadas y/ o en tratamiento externo canalizadas, según sexo</t>
  </si>
  <si>
    <t>16.22.-</t>
  </si>
  <si>
    <t>De acuerdo con el total de personas adolescentes egresadas y/ o en tratamiento externo canalizadas que reportó como respuesta en la pregunta anterior, anote la cantidad de las mismas especificando el tipo de institución de canalización y sexo.</t>
  </si>
  <si>
    <t>En caso de que haya seleccionado el código "2" o "9" en la columna "¿Canalizó personas adolescentes egresadas y/ o en tratamiento externo a otras instituciones a efecto de que recibieran algún servicio que contribuyera a su proceso de reinserción social?" de la pregunta anterior, no puede registrar información en el presente reactivo.</t>
  </si>
  <si>
    <t>Para el numeral 14, no puede registrar información en la columna "Hombres".</t>
  </si>
  <si>
    <t>La suma de las cantidades registradas en la columna "Total" debe ser igual o mayor a la cantidad reportada como respuesta en la columna "Total" de la pregunta anterior, así como corresponder a su desagregación por sexo; toda vez que una persona adolescente egresada y/ o en tratamiento externo pudo haber sido canalizada a más de un tipo de institución.</t>
  </si>
  <si>
    <t>La cantidad registrada en la columna "Total" de cada tipo de institución de canalización debe ser igual o menor a la cantidad reportada como respuesta en la columna "Total" de la pregunta anterior, así como corresponder a su desagregación por sexo. En caso de que esta instrucción no le aplique, justifíquelo en el recuadro que se encuentra al final de la tabla de respuesta.</t>
  </si>
  <si>
    <t>En caso de que registre algún valor numérico mayor a cero en el numeral 25, debe anotar el nombre de dicho(s) tipo(s) de institución(es) en el recuadro destinado para tal efecto que se encuentra al final de la tabla de respuesta.</t>
  </si>
  <si>
    <t>BLOQUEO_   COD_  HOMBRE</t>
  </si>
  <si>
    <t>TIPO DE INSTITUCIÓN</t>
  </si>
  <si>
    <t>COMP_TIPO_INSTITUCIÓN</t>
  </si>
  <si>
    <t xml:space="preserve">Tipo de instituciones de canalización </t>
  </si>
  <si>
    <t xml:space="preserve"> Personas adolescentes egresadas y/ o en tratamiento externo canalizadas, según sexo</t>
  </si>
  <si>
    <t>COMP_SUM_PREG.16.20</t>
  </si>
  <si>
    <t>Asociaciones humanitarias o de asistencia social</t>
  </si>
  <si>
    <t>Humanitarias</t>
  </si>
  <si>
    <t>Empresas</t>
  </si>
  <si>
    <t xml:space="preserve">Centros de desintoxicación y/ o tratamiento de adicciones </t>
  </si>
  <si>
    <t>NUM_25</t>
  </si>
  <si>
    <t>Desintoxicación</t>
  </si>
  <si>
    <t>Centros de integración juvenil</t>
  </si>
  <si>
    <t>Juvenil</t>
  </si>
  <si>
    <t>Refugios o albergues</t>
  </si>
  <si>
    <t>Refugios</t>
  </si>
  <si>
    <t>Comedores públicos y/ o comunitarios</t>
  </si>
  <si>
    <t>Consejos para prevenir y eliminar la discriminación u homólogos</t>
  </si>
  <si>
    <t>Consejos</t>
  </si>
  <si>
    <t>Instituciones de apoyo psicológico</t>
  </si>
  <si>
    <t xml:space="preserve">Apoyo </t>
  </si>
  <si>
    <t>Instituciones educativas</t>
  </si>
  <si>
    <t>Educativas</t>
  </si>
  <si>
    <t>Instituciones que otorgan seguro de desempleo</t>
  </si>
  <si>
    <t>Desempleo</t>
  </si>
  <si>
    <t>Instituciones que operan programas sociales</t>
  </si>
  <si>
    <t>Sociales</t>
  </si>
  <si>
    <t>Institutos de la juventud u homólogos</t>
  </si>
  <si>
    <t>Juventud</t>
  </si>
  <si>
    <t>Institutos de la mujer u homólogos</t>
  </si>
  <si>
    <t xml:space="preserve">Mujer </t>
  </si>
  <si>
    <t>Institutos de capacitación para el trabajo u homólogos</t>
  </si>
  <si>
    <t>Trabajo</t>
  </si>
  <si>
    <t>Institutos para emprendedores u homólogos</t>
  </si>
  <si>
    <t>Emprendedor</t>
  </si>
  <si>
    <t>Institutos para las personas con discapacidad u homólogos</t>
  </si>
  <si>
    <t>Discapacidad</t>
  </si>
  <si>
    <t>Institutos de los pueblos indígenas u homólogos</t>
  </si>
  <si>
    <t>Pueblos indigenas</t>
  </si>
  <si>
    <t>Organismos públicos de derechos humanos</t>
  </si>
  <si>
    <t>Derechos humanos</t>
  </si>
  <si>
    <t>Organismos</t>
  </si>
  <si>
    <t>Sociedad civil</t>
  </si>
  <si>
    <t>Poderes judiciales</t>
  </si>
  <si>
    <t>Judiciales</t>
  </si>
  <si>
    <t>Registro civil</t>
  </si>
  <si>
    <t>Civil</t>
  </si>
  <si>
    <t>Sistemas para el Desarrollo Integral de la Familia</t>
  </si>
  <si>
    <t>Desarrollo integral</t>
  </si>
  <si>
    <t>XVI.6 Personas adolescentes egresadas y/ o en tratamiento externo que se encontraban trabajando</t>
  </si>
  <si>
    <t>16.23.-</t>
  </si>
  <si>
    <t>Indique si al cierre del año 2023 la institución responsable de los centros especializados de su entidad federativa contaba con algún registro sobre las personas adolescentes egresadas y/ o en tratamiento externo que se encontraban trabajando. En caso afirmativo, anote la cantidad de personas adolescentes egresadas y/ o en tratamiento externo que se encontraban trabajando al cierre del referido año, según sexo.</t>
  </si>
  <si>
    <t>En caso de que no haya contado con algún registro sobre las personas adolescentes egresadas y/ o en tratamiento externo que se encontraban trabajando, se haya encontrado en proceso de integración, o no cuente con información para determinarlo, indíquelo en la columna correspondiente conforme al catálogo respectivo y deje el resto de la fila en blanco.</t>
  </si>
  <si>
    <t>BLOQUEO_ 16.23</t>
  </si>
  <si>
    <r>
      <t xml:space="preserve">¿Contaba con algún registro sobre las personas adolescentes egresadas y/ o en tratamiento externo que se encontraban trabajando?
</t>
    </r>
    <r>
      <rPr>
        <i/>
        <sz val="8"/>
        <rFont val="Arial"/>
        <family val="2"/>
      </rPr>
      <t>(1. Sí / 2. En proceso de integración / 3. No / 9. No identificado)</t>
    </r>
  </si>
  <si>
    <t>Personas adolescentes egresadas y/ o en tratamiento externo que se encontraban trabajando, según sexo</t>
  </si>
  <si>
    <t>16.24.-</t>
  </si>
  <si>
    <t>De acuerdo con el total de personas adolescentes egresadas y/ o en tratamiento externo que se encontraban trabajando que reportó como respuesta en la pregunta anterior, anote la cantidad de las mismas especificando el tipo de oficio ejercido y sexo.</t>
  </si>
  <si>
    <t>En caso de que haya seleccionado el código "2", "3" o "9" en la columna "¿Contaba con algún registro sobre las personas adolescentes egresadas y/ o en tratamiento externo que se encontraban trabajando?" de la pregunta anterior, no puede registrar información en el presente reactivo.</t>
  </si>
  <si>
    <t>La suma de las cantidades registradas en la columna "Total" debe ser igual o mayor a la cantidad reportada como respuesta en la columna "Total" de la pregunta anterior, así como corresponder a su desagregación por sexo; toda vez que una persona adolescente egresada y/ o en tratamiento externo pudo haber ejercido más de un tipo de oficio.</t>
  </si>
  <si>
    <t>La cantidad registrada en la columna "Total" de cada tipo de oficio debe ser igual o menor a la cantidad reportada como respuesta en la columna "Total" de la pregunta anterior, así como corresponder a su desagregación por sexo. En caso de que esta instrucción no le aplique, justifíquelo en el recuadro que se encuentra al final de la tabla de respuesta.</t>
  </si>
  <si>
    <t>En caso de que registre algún valor numérico mayor a cero en el numeral 15, debe anotar el nombre de dicho(s) tipo(s) de oficio en el recuadro destinado para tal efecto que se encuentra al final de la tabla de respuesta.</t>
  </si>
  <si>
    <t>TIPO DE OFICIOS</t>
  </si>
  <si>
    <t>COMP_TIPO_OFICIOS</t>
  </si>
  <si>
    <t>Tipos de oficio</t>
  </si>
  <si>
    <t>Fabricación</t>
  </si>
  <si>
    <t>Tallado</t>
  </si>
  <si>
    <t>NUM_15</t>
  </si>
  <si>
    <t>Mecanica</t>
  </si>
  <si>
    <t>Bordado</t>
  </si>
  <si>
    <t>Reparación</t>
  </si>
  <si>
    <t>Confección</t>
  </si>
  <si>
    <r>
      <t xml:space="preserve">Elaboración de manualidades </t>
    </r>
    <r>
      <rPr>
        <i/>
        <sz val="8"/>
        <rFont val="Arial"/>
        <family val="2"/>
      </rPr>
      <t>(sin incluir bisutería y piñatas)</t>
    </r>
  </si>
  <si>
    <t>Elaboración</t>
  </si>
  <si>
    <t>Piñatas</t>
  </si>
  <si>
    <t>Panadería</t>
  </si>
  <si>
    <t>Belleza</t>
  </si>
  <si>
    <t>Pregunta 1.1</t>
  </si>
  <si>
    <t>Instrucciones generales:</t>
  </si>
  <si>
    <t>1.- El listado de centros especializados que se despliega corresponde al que registró como respuesta en la pregunta 1.1.</t>
  </si>
  <si>
    <t>2.- En el apartado "Municipio o demarcación territorial" seleccione el municipio o demarcación territorial donde se encuentra ubicado el centro especializado.</t>
  </si>
  <si>
    <t>3.- En la columna "Colonia" anote el nombre de la colonia o localidad donde se encuentra ubicado el centro especializado.</t>
  </si>
  <si>
    <t>4.- En las columnas "Latitud" y "Longitud" anote las coordenadas geográficas donde se encuentra ubicado el centro especializado. Las coordenadas de latitud constan de hasta ocho dígitos, mientras que las relacionadas con la longitud constan de hasta nueve dígitos.</t>
  </si>
  <si>
    <t>5.- En la columna "Horario de visitas" anote la información correspondiente en formato de 24 horas. Por ejemplo: en caso de que el centro especializado tenga un horario de visitas de las 9 de la mañana a las 3 de la tarde, anote "9:00 - 15:00" en la referida columna.</t>
  </si>
  <si>
    <t>6.- En las columnas "Correo electrónico de contacto" y "Número telefónico de contacto" debe considerar la información relacionada con los elementos institucionales a través de los cuales pueda establecer contacto la ciudadanía a efecto de solicitar cualquier tipo de información relacionada con los servicios prestados por el centro especializado. En consecuencia, no deben reportarse los datos de contacto particulares de las personas servidoras públicas.</t>
  </si>
  <si>
    <t>7.- Para cada centro especializado, en caso de que su ubicación geográfica no sea la misma que la de otro centro especializado, deje la columna "Centro especializado con la misma ubicación geográfica" en blanco.</t>
  </si>
  <si>
    <t>8.- En caso de que dos o más centros especializados tengan la misma ubicación geográfica, únicamente debe registrar la información correspondiente en uno de ellos. En el resto, en la columna "Centro especializado con la misma ubicación geográfica" anote el numeral del centro especializado en el que haya reportado la información, y deje el apartado "Municipio o demarcación territorial", así como las columnas "Colonia", "Latitud" y "Longitud" en blanco.</t>
  </si>
  <si>
    <r>
      <t xml:space="preserve">Tipo de posesión
</t>
    </r>
    <r>
      <rPr>
        <i/>
        <sz val="8"/>
        <rFont val="Arial"/>
        <family val="2"/>
      </rPr>
      <t>(1. Propio / 2. En arrendamiento / 3. Otro tipo de posesión / 9. No identificado)</t>
    </r>
  </si>
  <si>
    <t>Municipio o demarcación territorial</t>
  </si>
  <si>
    <t>Colonia</t>
  </si>
  <si>
    <t>Latitud</t>
  </si>
  <si>
    <t xml:space="preserve">, </t>
  </si>
  <si>
    <t>Longitud</t>
  </si>
  <si>
    <r>
      <t xml:space="preserve">Horario de visitas
</t>
    </r>
    <r>
      <rPr>
        <i/>
        <sz val="8"/>
        <rFont val="Arial"/>
        <family val="2"/>
      </rPr>
      <t>(formato de 24 horas)</t>
    </r>
  </si>
  <si>
    <t>Correo electrónico de contacto</t>
  </si>
  <si>
    <r>
      <t xml:space="preserve">Número telefónico de contacto
</t>
    </r>
    <r>
      <rPr>
        <i/>
        <sz val="8"/>
        <rFont val="Arial"/>
        <family val="2"/>
      </rPr>
      <t>(diez dígitos)</t>
    </r>
  </si>
  <si>
    <t>Centro especializado con la misma ubicación geográfica</t>
  </si>
  <si>
    <t>Clave</t>
  </si>
  <si>
    <t>LAT</t>
  </si>
  <si>
    <t>LONG</t>
  </si>
  <si>
    <t>VAL LAT</t>
  </si>
  <si>
    <t>VAL LONG</t>
  </si>
  <si>
    <t>Teléfono</t>
  </si>
  <si>
    <t>VAL Tel</t>
  </si>
  <si>
    <t>,</t>
  </si>
  <si>
    <t>Pregunta 1.2</t>
  </si>
  <si>
    <t>2.- Para cada centro especializado, en caso de que haya seleccionado el código "2", "3" o "9 en la columna "¿Contaba con alguna certificación o acreditación?" de la pregunta 1.2, no puede registrar información en el presente Complemento.</t>
  </si>
  <si>
    <t>3.- Para cada centro especializado, la cantidad de certificaciones o acreditaciones en las que registre información debe ser igual a la cantidad reportada como respuesta en la columna "Certificaciones o acreditaciones" de la pregunta 1.2.</t>
  </si>
  <si>
    <t>4.- El nombre de las certificaciones o acreditaciones, así como el de las autoridades o asociaciones que las otorgaron, debe registrarse en mayúsculas, sin comillas ni signos de acentuación, puntuación, paréntesis y abreviaturas.</t>
  </si>
  <si>
    <t>5.- Para cada certificación o acreditación, en caso de que haya sido otorgada por más de una autoridad o asociación, debe registrar el nombre de cada una de estas.</t>
  </si>
  <si>
    <t>6.- Para cada certificación o acreditación, anote el año de entrada en vigor estipulado en el documento correspondiente.</t>
  </si>
  <si>
    <t>7.- Para cada certificación o acreditación, anote el año de vencimiento en la columna "Año", "Conclusión anticipada" o "Renovación" del apartado "Año de vencimiento", según corresponda de acuerdo con lo siguiente, y deje el resto de las columnas de dicho apartado en blanco.</t>
  </si>
  <si>
    <t>La columna "Año" se asocia a un contexto en donde el documento correspondiente estipula de manera explícita el año de vencimiento de la certificación o acreditación.</t>
  </si>
  <si>
    <t>La columna "Conclusión anticipada" se asocia a un contexto en donde la autoridad o asociación otorgante ejerce alguna de las cláusulas previstas en el documento correspondiente a efecto de dar por terminada la vigencia de la certificación o acreditación de manera previa a la fecha de vencimiento de la misma.</t>
  </si>
  <si>
    <t>La columna "Renovación" se asocia a un contexto en donde la autoridad o asociación otorgante ejerce alguna de las cláusulas previstas en el documento correspondiente a efecto de renovar la vigencia de la certificación o acreditación sin la necesidad de realizar un nuevo proceso para su celebración.</t>
  </si>
  <si>
    <t>8.- Para cada certificación o acreditación, en caso de que en el documento correspondiente no se estipule el año de vencimiento de esta derivado de cualquiera de los contextos descritos con anterioridad, anote una "X" en la columna "Indefinido" del apartado "Año de vencimiento" y deje el resto de las columnas de dicho apartado en blanco.</t>
  </si>
  <si>
    <t>9.- Para cada certificación o acreditación, y de ser el caso, el año registrado en la columna "Año", "Conclusión anticipada" o "Renovación", según corresponda, debe ser igual o mayor al reportado en la columna "Año de entrada en vigor". En caso de que esta instrucción no le aplique, justifíquelo en el recuadro que se encuentra al final de la tabla de respuesta.</t>
  </si>
  <si>
    <t>COMP_MAYUSCULAS NOMBRE</t>
  </si>
  <si>
    <t>COMP_MAYUSCULAS NOMBRE AUTORIDADES</t>
  </si>
  <si>
    <t>Certificación o acreditación 1</t>
  </si>
  <si>
    <t>Certificación o acreditación 2</t>
  </si>
  <si>
    <t>Certificación o acreditación 3</t>
  </si>
  <si>
    <t>Certificación o acreditación 4</t>
  </si>
  <si>
    <t>Certificación o acreditación 5</t>
  </si>
  <si>
    <t>CERTIFICACION O ACREDITACION 1</t>
  </si>
  <si>
    <t>CERTIFICACION O ACREDITACION 2</t>
  </si>
  <si>
    <t>CERTIFICACION O ACREDITACION 3</t>
  </si>
  <si>
    <t>CERTIFICACION O ACREDITACION 4</t>
  </si>
  <si>
    <t>CERTIFICACION O ACREDITACION 5</t>
  </si>
  <si>
    <t>Nombre(s) de la(s) autoridad(es) o asociación(es) que la otorgó(aron)</t>
  </si>
  <si>
    <t>ACREDITACIÓN 1</t>
  </si>
  <si>
    <t>ACREDITACIÓN 2</t>
  </si>
  <si>
    <t>ACREDITACIÓN 3</t>
  </si>
  <si>
    <t>ACREDITACIÓN 4</t>
  </si>
  <si>
    <t>ACREDITACIÓN 5</t>
  </si>
  <si>
    <t>ACREDITACION 1</t>
  </si>
  <si>
    <t>ACREDITACION 2</t>
  </si>
  <si>
    <t>ACREDITACION 3</t>
  </si>
  <si>
    <t>ACREDITACION 4</t>
  </si>
  <si>
    <t>ACREDITACION 5</t>
  </si>
  <si>
    <t>CANT_  ACREDITACIONES</t>
  </si>
  <si>
    <t>BLOQUEO_ACR_  PREG1.3</t>
  </si>
  <si>
    <t>BLOQUEO_  COD_2,3,9_  PREG1.3</t>
  </si>
  <si>
    <t>CONT_  CERTIFICACION</t>
  </si>
  <si>
    <t>Pregunta 16.6</t>
  </si>
  <si>
    <t>1.- La unidad administrativa o área encargada de la prestación de los servicios para personas adolescentes egresadas y/ o en tratamiento externo que se despliega corresponde a la que registró como respuesta en la pregunta 16.6.</t>
  </si>
  <si>
    <t>2.- En la columna "ID unidad administrativa o área encargada de la prestación de los servicios para personas adolescentes egresadas y/ o en tratamiento externo" el personal INEGI debe anotar la clave y/ o número de identificación.</t>
  </si>
  <si>
    <t>3.- En el apartado "Municipio o demarcación territorial" seleccione el municipio o demarcación territorial donde se encuentra ubicada la unidad administrativa o área encargada de la prestación de los servicios para personas adolescentes egresadas y/ o en tratamiento externo.</t>
  </si>
  <si>
    <t>4.- En la columna "Colonia" anote el nombre de la colonia o localidad donde se encuentra ubicada la unidad administrativa o área encargada de la prestación de los servicios para personas adolescentes egresadas y/ o en tratamiento externo.</t>
  </si>
  <si>
    <t>5.- En las columnas "Latitud" y "Longitud" anote las coordenadas geográficas donde se encuentra ubicada la unidad administrativa o área encargada de la prestación de los servicios para personas adolescentes egresadas y/ o en tratamiento externo. Las coordenadas de latitud constan de hasta ocho dígitos, mientras que las relacionadas con la longitud constan de hasta nueve dígitos.</t>
  </si>
  <si>
    <t>6.- En la columna "Horario de atención" anote la información correspondiente en formato de 24 horas. Por ejemplo: en caso de que la unidad administrativa o área encargada de la prestación de los servicios para personas adolescentes egresadas y/ o en tratamiento externo tenga un horario de atención de las 9 de la mañana a las 3 de la tarde, anote "9:00 - 15:00" en la referida columna.</t>
  </si>
  <si>
    <t>7.- En las columnas "Correo electrónico de contacto" y "Número telefónico de contacto" debe considerar la información relacionada con los elementos institucionales a través de los cuales pueda establecer contacto la ciudadanía a efecto de solicitar cualquier tipo de información relacionada con los servicios prestados por la unidad administrativa o área encargada de la prestación de los servicios para personas adolescentes egresadas y/ o en tratamiento externo. En consecuencia, no deben reportarse los datos de contacto particulares de las personas servidoras públicas.</t>
  </si>
  <si>
    <t>Nombre de la unidad administrativa o área encargada de la prestación de los servicios para personas adolescentes egresadas y/ o en tratamiento externo</t>
  </si>
  <si>
    <r>
      <t xml:space="preserve">ID unidad administrativa o área encargada de la prestación de los servicios para personas adolescentes egresadas y/ o en tratamiento externo
</t>
    </r>
    <r>
      <rPr>
        <i/>
        <sz val="8"/>
        <rFont val="Arial"/>
        <family val="2"/>
      </rPr>
      <t>(para uso exclusivo del personal del INEGI)</t>
    </r>
  </si>
  <si>
    <r>
      <t xml:space="preserve">Horario de atención
</t>
    </r>
    <r>
      <rPr>
        <i/>
        <sz val="8"/>
        <rFont val="Arial"/>
        <family val="2"/>
      </rPr>
      <t>(formato de 24 horas)</t>
    </r>
  </si>
  <si>
    <t>Se refiere, para efectos del presente censo, a la interrupción del embarazo de las mujeres adolescentes internadas. Se consideran los siguientes tipos:</t>
  </si>
  <si>
    <r>
      <rPr>
        <b/>
        <sz val="9"/>
        <rFont val="Arial"/>
        <family val="2"/>
      </rPr>
      <t xml:space="preserve">Espontáneo. </t>
    </r>
    <r>
      <rPr>
        <sz val="9"/>
        <rFont val="Arial"/>
        <family val="2"/>
      </rPr>
      <t>Se refiere al aborto en el que no se realiza ninguna acción para que suceda.</t>
    </r>
  </si>
  <si>
    <r>
      <rPr>
        <b/>
        <sz val="9"/>
        <rFont val="Arial"/>
        <family val="2"/>
      </rPr>
      <t xml:space="preserve">Provocado. </t>
    </r>
    <r>
      <rPr>
        <sz val="9"/>
        <rFont val="Arial"/>
        <family val="2"/>
      </rPr>
      <t>Se refiere al aborto en el que se realiza alguna acción o método para que suceda.</t>
    </r>
  </si>
  <si>
    <r>
      <rPr>
        <b/>
        <sz val="9"/>
        <rFont val="Arial"/>
        <family val="2"/>
      </rPr>
      <t xml:space="preserve">Terapéutico. </t>
    </r>
    <r>
      <rPr>
        <sz val="9"/>
        <rFont val="Arial"/>
        <family val="2"/>
      </rPr>
      <t>Se refiere al aborto que se realiza por prescripción médica.</t>
    </r>
  </si>
  <si>
    <t>Acciones formativas</t>
  </si>
  <si>
    <t>Se refiere a las acciones orientadas a la adquisición de conocimientos y competencias personales e interpersonales para el ejercicio de la función pública, mismas que conllevan algún tipo de evaluación para su acreditación. Dichas acciones pueden ser cursos, talleres, diplomados, entre otros de naturaleza similar. Para efectos del presente censo, se consideran tres tipos de medios de presentación:</t>
  </si>
  <si>
    <r>
      <rPr>
        <b/>
        <sz val="9"/>
        <rFont val="Arial"/>
        <family val="2"/>
      </rPr>
      <t>Presencial.</t>
    </r>
    <r>
      <rPr>
        <sz val="9"/>
        <rFont val="Arial"/>
        <family val="2"/>
      </rPr>
      <t xml:space="preserve"> Se refiere a las acciones formativas impartidas presencialmente en un horario y lugar establecido.</t>
    </r>
  </si>
  <si>
    <r>
      <rPr>
        <b/>
        <sz val="9"/>
        <rFont val="Arial"/>
        <family val="2"/>
      </rPr>
      <t xml:space="preserve">En línea. </t>
    </r>
    <r>
      <rPr>
        <sz val="9"/>
        <rFont val="Arial"/>
        <family val="2"/>
      </rPr>
      <t>Se refiere a las acciones formativas impartidas en línea, en las cuales los contenidos de capacitación están disponibles en horarios y periodos determinados con la finalidad de que las personas participantes puedan consultarlos y/ o utilizarlos de acuerdo con sus necesidades y disponibilidad de tiempo.</t>
    </r>
  </si>
  <si>
    <r>
      <rPr>
        <b/>
        <sz val="9"/>
        <rFont val="Arial"/>
        <family val="2"/>
      </rPr>
      <t xml:space="preserve">Síncrono. </t>
    </r>
    <r>
      <rPr>
        <sz val="9"/>
        <rFont val="Arial"/>
        <family val="2"/>
      </rPr>
      <t>Se refiere a las acciones formativas impartidas en línea que hacen uso de herramientas de comunicación en tiempo real y bajo un horario establecido.</t>
    </r>
  </si>
  <si>
    <t>Antecedentes penales</t>
  </si>
  <si>
    <t>Se refiere a los datos o registros asociados a una persona adolescente que haya sido sancionada con una medida privativa de la libertad a través de resoluciones dictadas por autoridades judiciales que hayan causado ejecutoria.</t>
  </si>
  <si>
    <t>Asociación interinstitucional</t>
  </si>
  <si>
    <t>Se refiere a aquellos contratos, convenios, acuerdos, o cualquier otro instrumento de naturaleza similar, por medio de los cuales determinado ente público se asocia con instituciones públicas federales, estatales, municipales y/ o de las demarcaciones territoriales de la Ciudad de México, así como con organismos internacionales, organizaciones de la sociedad civil, universidades, asociaciones religiosas, culturales o humanitarias y/ u organizaciones del sector privado, con el propósito de llevar a cabo la prestación conjunta y/ o coordinada de algún servicio público, función o responsabilidad del mismo.</t>
  </si>
  <si>
    <t>Capacidad instalada para las personas adolescentes con resolución</t>
  </si>
  <si>
    <t>Se refiere a los espacios, medidos en número de camas útiles, con los que cuentan los centros especializados para las personas adolescentes con resolución de primera instancia y/ o resolución definitiva.</t>
  </si>
  <si>
    <t>Capacidad instalada para las personas adolescentes en proceso de recibir resolución</t>
  </si>
  <si>
    <t>Se refiere a los espacios, medidos en número de camas útiles, con los que cuentan los centros especializados para las personas adolescentes que se encuentran en proceso de recibir resolución de primera instancia; incluyendo aquellos espacios para la población adolescente que se encuentra pendiente de ser puesta a disposición del órgano jurisdiccional correspondiente.</t>
  </si>
  <si>
    <t>Centros especializados</t>
  </si>
  <si>
    <t>Se refiere a todos aquellos establecimientos del ámbito estatal destinados al internamiento o semi-internamiento de las personas adolescentes, tales como: centros de tratamiento o internamiento, escuelas de readaptación social, comunidades, albergues, o cualquier otro que tenga funciones de internamiento para personas adolescentes que se encuentren sujetas a un proceso penal o en ejecución de una resolución.</t>
  </si>
  <si>
    <t>Certificado Único Policial (CUP)</t>
  </si>
  <si>
    <t>Se refiere al documento que acredita los conocimientos, las habilidades y aptitudes de las y los policías de las Instituciones de Seguridad Pública. Para su obtención, es necesario contar con formación inicial y resultados aprobatorios vigentes en relación con las evaluaciones de control de confianza, de competencias básicas y de desempeño.</t>
  </si>
  <si>
    <t>Se refiere a los reconocimientos verbales y escritos otorgados al personal que no ameriten o estén considerados para el otorgamiento de los estímulos de condecoración, mención honorífica y/ o distinción.</t>
  </si>
  <si>
    <t>Clasificador por Objeto del Gasto</t>
  </si>
  <si>
    <t>Se refiere al instrumento que permite registrar de manera ordenada, sistemática y homogénea las compras, los pagos y las erogaciones autorizadas a las instituciones gubernamentales, en capítulos, conceptos y partidas con base en la clasificación económica del gasto. Los capítulos que lo integran son los siguientes:</t>
  </si>
  <si>
    <r>
      <rPr>
        <b/>
        <sz val="9"/>
        <rFont val="Arial"/>
        <family val="2"/>
      </rPr>
      <t>Capítulo 1000. Servicios personales.</t>
    </r>
    <r>
      <rPr>
        <sz val="9"/>
        <rFont val="Arial"/>
        <family val="2"/>
      </rPr>
      <t xml:space="preserve"> 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r>
  </si>
  <si>
    <r>
      <rPr>
        <b/>
        <sz val="9"/>
        <rFont val="Arial"/>
        <family val="2"/>
      </rPr>
      <t>Capítulo 2000. Materiales y suministros.</t>
    </r>
    <r>
      <rPr>
        <sz val="9"/>
        <rFont val="Arial"/>
        <family val="2"/>
      </rPr>
      <t xml:space="preserve"> Agrupa las asignaciones destinadas a la adquisición de toda clase de insumos y suministros requeridos para la prestación de bienes, servicios y para el desempeño de las actividades administrativas.</t>
    </r>
  </si>
  <si>
    <r>
      <rPr>
        <b/>
        <sz val="9"/>
        <rFont val="Arial"/>
        <family val="2"/>
      </rPr>
      <t>Capítulo 3000. Servicios generales.</t>
    </r>
    <r>
      <rPr>
        <sz val="9"/>
        <rFont val="Arial"/>
        <family val="2"/>
      </rPr>
      <t xml:space="preserve"> Se refiere a las asignaciones destinadas a cubrir el costo de todo tipo de servicios que se contraten con particulares o instituciones del propio sector público, así como los servicios oficiales requeridos para el desempeño de actividades vinculadas con la función pública.</t>
    </r>
  </si>
  <si>
    <r>
      <rPr>
        <b/>
        <sz val="9"/>
        <rFont val="Arial"/>
        <family val="2"/>
      </rPr>
      <t>Capítulo 4000. Transferencias, asignaciones, subsidios y otras ayudas.</t>
    </r>
    <r>
      <rPr>
        <sz val="9"/>
        <rFont val="Arial"/>
        <family val="2"/>
      </rPr>
      <t xml:space="preserve"> Se refiere a las asignaciones destinadas en forma directa o indirecta a los sectores público, privado, externo, organismos y empresas paraestatales y apoyos como parte de su política económica y social, de acuerdo con las estrategias y prioridades de desarrollo para el sostenimiento y desempeño de sus actividades.</t>
    </r>
  </si>
  <si>
    <r>
      <rPr>
        <b/>
        <sz val="9"/>
        <rFont val="Arial"/>
        <family val="2"/>
      </rPr>
      <t>Capítulo 5000. Bienes muebles, inmuebles e intangibles.</t>
    </r>
    <r>
      <rPr>
        <sz val="9"/>
        <rFont val="Arial"/>
        <family val="2"/>
      </rPr>
      <t xml:space="preserve"> 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</si>
  <si>
    <r>
      <rPr>
        <b/>
        <sz val="9"/>
        <rFont val="Arial"/>
        <family val="2"/>
      </rPr>
      <t>Capítulo 6000. Inversión pública.</t>
    </r>
    <r>
      <rPr>
        <sz val="9"/>
        <rFont val="Arial"/>
        <family val="2"/>
      </rPr>
      <t xml:space="preserve"> Se refiere a las asignaciones destinadas a obras por contrato y proyectos productivos y acciones de fomento. Incluye los gastos en estudios de pre-inversión y preparación del proyecto.</t>
    </r>
  </si>
  <si>
    <r>
      <rPr>
        <b/>
        <sz val="9"/>
        <rFont val="Arial"/>
        <family val="2"/>
      </rPr>
      <t>Capítulo 7000. Inversiones financieras y otras provisiones.</t>
    </r>
    <r>
      <rPr>
        <sz val="9"/>
        <rFont val="Arial"/>
        <family val="2"/>
      </rPr>
      <t xml:space="preserve"> Se refiere a las erogaciones que se realizan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</si>
  <si>
    <r>
      <rPr>
        <b/>
        <sz val="9"/>
        <rFont val="Arial"/>
        <family val="2"/>
      </rPr>
      <t>Capítulo 8000. Participaciones y aportaciones.</t>
    </r>
    <r>
      <rPr>
        <sz val="9"/>
        <rFont val="Arial"/>
        <family val="2"/>
      </rPr>
      <t xml:space="preserve"> Se refiere a las 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estas.</t>
    </r>
  </si>
  <si>
    <r>
      <rPr>
        <b/>
        <sz val="9"/>
        <rFont val="Arial"/>
        <family val="2"/>
      </rPr>
      <t>Capítulo 9000. Deuda pública.</t>
    </r>
    <r>
      <rPr>
        <sz val="9"/>
        <rFont val="Arial"/>
        <family val="2"/>
      </rPr>
      <t xml:space="preserve"> Se refiere a las 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</si>
  <si>
    <t>CNSIPEE 2024</t>
  </si>
  <si>
    <t>Se refiere a las siglas con las que se identifica al Censo Nacional de Sistemas Penitenciarios Estatales 2024.</t>
  </si>
  <si>
    <t>Comisión de Carrera Penitenciaria u homóloga</t>
  </si>
  <si>
    <t>Se refiere al órgano colegiado responsable, en el ámbito de su competencia, de planear, implantar, dirigir, supervisar y evaluar el Servicio Profesional de Carrera Penitenciaria u homólogo mediante el conocimiento, trámite, substanciación y resolución de los procedimientos asociados al reclutamiento, selección, ingreso, formación, certificación, permanencia, evaluación y promoción del personal adscrito a los centros especializados.</t>
  </si>
  <si>
    <t>Comisión de Honor y Justicia u homóloga</t>
  </si>
  <si>
    <t>Se refiere al órgano colegiado responsable de conocer y resolver, en el ámbito de su competencia, los procedimientos disciplinarios (estableciendo para tal efecto las sanciones o correctivos aplicables a determinadas faltas o infracciones disciplinarias en las que incurra el personal); así como para otorgar las condecoraciones, estímulos y recompensas que correspondan.</t>
  </si>
  <si>
    <t>Comisión Intersecretarial para la Reinserción Social y Servicios Postpenales u homóloga</t>
  </si>
  <si>
    <t>Se refiere al órgano colegiado responsable de coordinar, diseñar e implementar en la entidad federativa los distintos programas de servicios para la reinserción social al interior de los centros penitenciarios, así como de servicios postpenales. En su caso, también se encarga de lo correspondiente en materia de personas adolescentes.</t>
  </si>
  <si>
    <t>Se refiere a las preseas o joyas que galardonan algún acto o hecho específico del personal.</t>
  </si>
  <si>
    <t>Delito</t>
  </si>
  <si>
    <t>Se refiere a la conducta que consiste en la realización de un acto u omisión descrito y sancionado por las leyes penales.</t>
  </si>
  <si>
    <t>Se refiere a las divisas o insignias con las que se reconoce al personal que se destaque por su actuación sobresaliente en el cumplimiento del servicio, disciplina o desempeño académico.</t>
  </si>
  <si>
    <t>Se refiere, en términos del presente censo, al contrato por el que una persona física o moral transfiere gratuitamente a determinado ente público la propiedad de bienes materiales, bienes inmuebles, dinero o la prestación de servicios (médicos, logísticos, profesionales, culturales, educativos, etc.) relacionados con el ejercicio de sus funciones.</t>
  </si>
  <si>
    <t>Dormitorios</t>
  </si>
  <si>
    <t>Se refiere a los espacios físicos destinados al alojamiento de las personas adolescentes durante el internamiento, tanto de forma individual como colectiva.</t>
  </si>
  <si>
    <t>Se refiere, en términos del presente censo, al anuncio realizado por el personal a las instancias superiores con el propósito de llevar a cabo un paro de labores en caso de no ser atendidas sus demandas.</t>
  </si>
  <si>
    <t>Espacios físicos de infraestructura</t>
  </si>
  <si>
    <t>Se refiere a todas aquellas áreas o partes que conforman el centro especializado en su estructura arquitectónica, por lo que de acuerdo con los tipos de función que se presentan, corresponde al espacio físico claramente dividido que tiene por objeto el desarrollo de una función específica para efectos del proceso de reinserción social en las personas adolescentes internadas.</t>
  </si>
  <si>
    <t>Evaluación de competencias básicas</t>
  </si>
  <si>
    <t>Se refiere a la evaluación realizada al personal de las Instituciones de Seguridad Pública sobre las habilidades, destrezas, aptitudes, conocimientos generales y específicos para desempeñar sus funciones, conforme a los perfiles aprobados por el Consejo Nacional de Seguridad Pública. Su certificación es uno de los requisitos para la obtención del Certificado Único Policial.</t>
  </si>
  <si>
    <t>Evaluación de control de confianza</t>
  </si>
  <si>
    <t>Se refiere a la evaluación realizada al personal de las Instituciones de Seguridad Pública a efecto de identificar factores de riesgo que interfieran, repercutan o pongan en peligro el desempeño de sus funciones. Generalmente consta de cinco etapas o exámenes: entorno social y situación patrimonial, psicológico, poligráfico, médico y toxicológico. Su certificación es uno de los requisitos para la obtención del Certificado Único Policial.</t>
  </si>
  <si>
    <t>Evaluación de desempeño</t>
  </si>
  <si>
    <t>Se refiere a la evaluación realizada al personal de las Instituciones de Seguridad Pública sobre el cumplimiento de sus obligaciones, así como su grado de eficacia, eficiencia y calidad, con base en los principios constitucionales de legalidad, objetividad, eficiencia, profesionalismo, honradez y respeto a los derechos humanos. Su certificación es uno de los requisitos para la obtención del Certificado Único Policial.</t>
  </si>
  <si>
    <t>Evasión de personas adolescentes internadas</t>
  </si>
  <si>
    <t>Se refiere al acto de ayudar o favorecer, de cualquier forma, la fuga de alguna de las personas adolescentes detenidas, procesadas o sentenciadas que se encuentren internadas, con la finalidad de que salgan del ámbito de vigilancia al que legalmente se encuentran sometidas por la comisión de algún delito.</t>
  </si>
  <si>
    <t>Extradición</t>
  </si>
  <si>
    <t>Se refiere al procedimiento mediante el cual es entregada una persona adolescente que, en otro país, se le haya iniciado un proceso penal en su contra como presunta responsable de un delito, o que sea reclamada para la ejecución de una sentencia o resolución dictada por las autoridades judiciales del país solicitante.</t>
  </si>
  <si>
    <t>Incidentes</t>
  </si>
  <si>
    <t>Se refiere a cualquier evento o situación que ponga en riesgo la seguridad del centro especializado y/ o de las personas adolescentes internadas y del personal adscrito al mismo. Para efectos del presente censo, no deben considerarse como incidentes los homicidios (e intentos de homicidio) ni los suicidios (e intentos de suicidios).</t>
  </si>
  <si>
    <t>Informante básico</t>
  </si>
  <si>
    <t>Se refiere a la persona titular o servidora pública de la institución designada para atender la solicitud de información del presente módulo, y que tiene el carácter de figura responsable de entregar oficialmente la información. Cuando menos, se encuentra en el segundo o tercer nivel jerárquico.</t>
  </si>
  <si>
    <t>Informante complementario 1</t>
  </si>
  <si>
    <t>Se refiere a la persona servidora pública -titular o designada- adscrita al área que es la principal productora de la información correspondiente al presente módulo.</t>
  </si>
  <si>
    <t>Informante complementario 2</t>
  </si>
  <si>
    <t>Se refiere a la persona servidora pública -titular o designada- adscrita al área que es la segunda principal productora de la información correspondiente al presente módulo.</t>
  </si>
  <si>
    <t>Infraestructura tecnológica</t>
  </si>
  <si>
    <r>
      <t xml:space="preserve">Se refiere al conjunto de </t>
    </r>
    <r>
      <rPr>
        <i/>
        <sz val="9"/>
        <rFont val="Arial"/>
        <family val="2"/>
      </rPr>
      <t>hardware</t>
    </r>
    <r>
      <rPr>
        <sz val="9"/>
        <rFont val="Arial"/>
        <family val="2"/>
      </rPr>
      <t xml:space="preserve"> y </t>
    </r>
    <r>
      <rPr>
        <i/>
        <sz val="9"/>
        <rFont val="Arial"/>
        <family val="2"/>
      </rPr>
      <t>software</t>
    </r>
    <r>
      <rPr>
        <sz val="9"/>
        <rFont val="Arial"/>
        <family val="2"/>
      </rPr>
      <t xml:space="preserve"> sobre el que se asientan los diferentes servicios que las organizaciones necesitan tener en funcionamiento para poder llevar a cabo toda su actividad, tanto operativa como de gestión interna.</t>
    </r>
  </si>
  <si>
    <t>Se refiere a la medida de sanción consistente en la privación de la libertad de la persona adolescente.</t>
  </si>
  <si>
    <t>Internamiento (definitivo)</t>
  </si>
  <si>
    <t>Se refiere a aquella medida de sanción de internamiento que ya no admite recurso judicial alguno. Se dice que la causa está "ejecutoriada" cuando ya han terminado todos los trámites legales, produciendo el efecto jurídico de cosa juzgada.</t>
  </si>
  <si>
    <t>Internamiento (no definitivo)</t>
  </si>
  <si>
    <t>Se refiere a aquella medida de sanción de internamiento que aún admite algún recurso judicial, o se encuentra ya en proceso de segunda instancia.</t>
  </si>
  <si>
    <t>Manifestación</t>
  </si>
  <si>
    <t>Se refiere, en términos del presente censo, al ejercicio de la libertad de expresión y reunión por parte del personal a efecto de protestar por sus condiciones de trabajo sin suspender las labores correspondientes.</t>
  </si>
  <si>
    <t>Mecanismo Nacional de Prevención de la Tortura</t>
  </si>
  <si>
    <t>Se refiere a la instancia independiente y especializada, con adscripción en la Comisión Nacional de los Derechos Humanos, encargada de la supervisión permanente y sistemática de los lugares destinados a la privación de libertad e internamiento en todo el territorio nacional.</t>
  </si>
  <si>
    <t>Se refiere a la medida cautelar impuesta por la autoridad judicial correspondiente cuando se logra demostrar que la libertad de la persona adolescente señalada como probable responsable pone en riesgo al proceso, a las víctimas y/ o a las personas testigos, siendo la única forma de salvaguardar a los mismos. Solo puede imponerse a las personas adolescentes mayores de 14 años y se justifica a través del análisis de cada caso, aplica para cualquier delito, y se puede revisar o quitar si las circunstancias se modifican.</t>
  </si>
  <si>
    <t>Se refiere a los gafetes o insignias que se otorgan al personal por acciones sobresalientes o de relevancia que no se consideran para el otorgamiento de condecoraciones.</t>
  </si>
  <si>
    <t>Modelo arquitectónico</t>
  </si>
  <si>
    <t>Se refiere al componente del régimen penitenciario que aporta los elementos de seguridad física, restringiendo o facilitando el desplazamiento, así como los espacios requeridos por los programas de alojamiento. Para efectos del presente censo, se clasifican en los siguientes tipos:</t>
  </si>
  <si>
    <r>
      <rPr>
        <b/>
        <sz val="9"/>
        <rFont val="Arial"/>
        <family val="2"/>
      </rPr>
      <t>Panóptico.</t>
    </r>
    <r>
      <rPr>
        <sz val="9"/>
        <rFont val="Arial"/>
        <family val="2"/>
      </rPr>
      <t xml:space="preserve"> Se refiere al diseño arquitectónico donde existen dos edificios concéntricos enfrentados entre sí. Uno es la torre de vigilancia central, desde la cual se puede observar cada dormitorio sin que las personas adolescentes internadas se percaten de que son vigiladas. La externa son los dormitorios a lo largo de la circunferencia, en donde se ubican las personas adolescentes internadas. Este modelo se caracteriza porque todos los dormitorios se encuentran abiertos por la parte interior y protegidos por una reja de hierro. A su vez, cada dormitorio cuenta con una ventana que da al exterior.</t>
    </r>
  </si>
  <si>
    <r>
      <rPr>
        <b/>
        <sz val="9"/>
        <rFont val="Arial"/>
        <family val="2"/>
      </rPr>
      <t xml:space="preserve">Radial. </t>
    </r>
    <r>
      <rPr>
        <sz val="9"/>
        <rFont val="Arial"/>
        <family val="2"/>
      </rPr>
      <t>Se refiere al modelo arquitectónico, circular o no, que cuenta con seis corredores que parten del centro a intervalos regulares. En el centro, donde convergen los corredores, se encuentra un centro de vigilancia circular. Tanto en los corredores como en la estructura circular externa, en caso de que la haya, se pueden situar dormitorios o servicios generales. Entre ellos, se forman patios.</t>
    </r>
  </si>
  <si>
    <r>
      <rPr>
        <b/>
        <sz val="9"/>
        <rFont val="Arial"/>
        <family val="2"/>
      </rPr>
      <t xml:space="preserve">Partido paralelo. </t>
    </r>
    <r>
      <rPr>
        <sz val="9"/>
        <rFont val="Arial"/>
        <family val="2"/>
      </rPr>
      <t xml:space="preserve">Se refiere al diseño arquitectónico en el que los dormitorios, oficinas y servicios se encuentran ubicados en pasillos paralelos y son comunicados por un pasillo principal transversal. En el lugar donde convergen los pasillos se encuentran salas de control o puestos fijos de vigilancia en donde el personal de custodia y/ o vigilancia se ubica detrás de barreras físicas que les brindan seguridad. Los edificios pueden contar con uno o más pisos con el mismo diseño, los cuales permiten un sistema arquitectónico de fácil clasificación de las personas adolescentes internadas en espacios distintos. Este estilo arquitectónico se caracteriza por la sobriedad en el colorido, muros gruesos, muebles específicos rígidos y sujetos al piso para evitar ser utilizados como armas. </t>
    </r>
  </si>
  <si>
    <r>
      <rPr>
        <b/>
        <sz val="9"/>
        <rFont val="Arial"/>
        <family val="2"/>
      </rPr>
      <t xml:space="preserve">Podular. </t>
    </r>
    <r>
      <rPr>
        <sz val="9"/>
        <rFont val="Arial"/>
        <family val="2"/>
      </rPr>
      <t>Se refiere al diseño arquitectónico que permite mayor flexibilidad en el movimiento interno del centro especializado, ya que no hay barreras físicas que separen al personal de custodia y/ o vigilancia de las personas adolescentes internadas. Se caracteriza por el uso de colores más brillantes y un uso esporádico de materiales de seguridad y/ o antivandalismo propios de la arquitectura penitenciaria convencional.</t>
    </r>
  </si>
  <si>
    <t>Muertes por causas naturales</t>
  </si>
  <si>
    <t>Se refiere a aquellas muertes atribuibles principalmente a una enfermedad o a un fallo interno del organismo, por ejemplo, la provocada por infartos de miocardio o complicaciones derivadas de infecciones víricas, entre otras.</t>
  </si>
  <si>
    <t>Muertes por otras causas externas</t>
  </si>
  <si>
    <t>Se refiere a aquellas muertes causadas por factores ajenos a causas naturales o por circunstancias que parecen indicar que el deceso fue causado por factores ajenos a causas naturales. Deben incluirse las muertes debidas a una intoxicación aguda por alcohol o drogas, aquellas derivadas de complicaciones de la atención médica y quirúrgica, las relacionadas a acciones asociadas a la exposición con fuerzas naturales, por ejemplo, exposición al calor natural o rayos solares excesivos, exposición al frío natural excesivo, asimismo deberá contabilizar las muertes relacionadas a la privación de agua o alimentos, entre otras. No debe considerar las muertes provocadas por una lesión infligida deliberadamente (como el homicidio o el suicidio) y la muerte provocada por una lesión no deliberada, de modo accidental.</t>
  </si>
  <si>
    <t>Multifuncional</t>
  </si>
  <si>
    <t>Se refiere al dispositivo que tiene la particularidad de integrar, en una máquina, las funciones de varios dispositivos, permitiendo realizar varias tareas de modo simultáneo. Incorpora diferentes funciones de otros equipos o multitareas que permiten escanear, imprimir y fotocopiar a la vez, además de la capacidad de almacenar documentos en red.</t>
  </si>
  <si>
    <t>Narcóticos</t>
  </si>
  <si>
    <t>Se refiere a los estupefacientes, psicotrópicos y demás sustancias o vegetales determinados por la Ley General de Salud, así como los señalados por las demás disposiciones legales aplicables en la materia.</t>
  </si>
  <si>
    <t>Se refiere a aquellas organizaciones cuyas actividades trascienden las fronteras de un Estado y adoptan una estructura orgánica permanente. Pueden ser intergubernamentales y no gubernamentales. Son organismos internacionales el Banco Interamericano de Desarrollo, el Fondo Monetario Internacional, Amnistía Internacional, entre otros.</t>
  </si>
  <si>
    <t>Se refiere a los organismos públicos cuya finalidad es la defensa, vigilancia, observancia, promoción, estudio, educación y divulgación de los derechos humanos que ampara el orden jurídico mexicano. Conocen de quejas en contra de actos u omisiones de naturaleza administrativa provenientes de cualquier autoridad o persona servidora pública que viole estos derechos. En términos generales, estos organismos formulan recomendaciones públicas no vinculatorias, denuncias y quejas ante las autoridades respectivas. Para efectos del presente censo, dentro de esta categoría deben considerarse a los organismos públicos de derechos humanos de las entidades federativas, así como a la Comisión Nacional de los Derechos Humanos.</t>
  </si>
  <si>
    <t>Se refiere, en términos del presente censo, a aquellas organizaciones no gubernamentales a través de las cuales la ciudadanía se organiza en torno a objetivos y temas de interés particulares a efecto de incidir en los asuntos públicos relacionados con estos.</t>
  </si>
  <si>
    <t>Se refiere, en términos del presente censo, a la suspensión temporal del trabajo del personal como forma de protesta por sus condiciones de trabajo.</t>
  </si>
  <si>
    <t>Se refiere a todo el personal que desempeña funciones de asistencia al personal directivo, de logística, de soporte técnico, de gestión de recursos humanos, materiales, financieros y tecnológicos, u otras similares. Dentro de esta categoría debe considerar al personal secretarial, de mensajería, de conducción de vehículos, de limpieza, o cualquier otro que realice funciones similares.</t>
  </si>
  <si>
    <t>Se refiere a todo el personal que desempeña funciones destinadas a preservar el orden y la disciplina entre las personas adolescentes internadas, así como para salvaguardar el orden de los centros especializados. Para efectos de este censo, dicho personal se clasifica en tres niveles, de acuerdo con la organización jerárquica de la institución: primer nivel jerárquico, nivel intermedio y nivel operativo.</t>
  </si>
  <si>
    <t>Personal desaparecido</t>
  </si>
  <si>
    <t>Se refiere a aquella persona servidora pública cuyo paradero se desconoce y se presuma, a partir de cualquier indicio, que su ausencia se relaciona con la comisión de algún delito.</t>
  </si>
  <si>
    <t>Se refiere a todo el personal que ocupa algún puesto de mando, coordinación y/ o dirección. Dentro de esta categoría debe considerar a las personas titulares de las coordinaciones o direcciones de área, subdirecciones de área y/ o jefaturas de departamento.</t>
  </si>
  <si>
    <t>Personal no localizado</t>
  </si>
  <si>
    <t>Se refiere a aquella persona servidora pública cuya ubicación se desconoce y, de acuerdo con la información reportada a la autoridad, su ausencia no se relaciona con la probable comisión de algún delito.</t>
  </si>
  <si>
    <t>Se refiere a todo el personal que realiza labores especializadas en el ámbito de la reinserción social y/ o monitoreo de las condiciones de internamiento de las personas adolescentes internadas para acceder a los servicios de salud, educación, trabajo y/ o deporte. Dentro de esta categoría debe considerar al personal médico, psicológico, de instrucción, de interpretación, de trabajo social, o cualquier otro que realice funciones similares.</t>
  </si>
  <si>
    <t>Personas adolescentes egresadas</t>
  </si>
  <si>
    <t>Se refiere a las personas adolescentes que son puestas en libertad de los centros especializados derivado de alguno de los siguientes supuestos:</t>
  </si>
  <si>
    <r>
      <rPr>
        <b/>
        <sz val="9"/>
        <rFont val="Arial"/>
        <family val="2"/>
      </rPr>
      <t xml:space="preserve">Sujetas a proceso. </t>
    </r>
    <r>
      <rPr>
        <sz val="9"/>
        <rFont val="Arial"/>
        <family val="2"/>
      </rPr>
      <t>Se refiere a las personas adolescentes que no se les había dictado resolución, permitiéndoles continuar su proceso bajo el beneficio de libertad provisional, ya sea porque hubo un cambio de la medida cautelar diversa al internamiento preventivo; haya existido la revocación del auto de vinculación a proceso; se haya dictado el auto de libertad; se haya decretado como ilegal la detención (salvo que se haya decretado el sobreseimiento a partir de esta); se haya determinado la no vinculación a proceso (exceptuando los casos en los que se haya decretado el sobreseimiento dentro de la misma), se haya otorgado el amparo que no resuelve de fondo el asunto; o cualquier otra causa que les haya permitido salir del centro especializado para continuar su proceso en libertad. Dentro de esta categoría deben excluirse las causales de sobreseimiento y de extinción de la acción penal.</t>
    </r>
  </si>
  <si>
    <r>
      <rPr>
        <b/>
        <sz val="9"/>
        <rFont val="Arial"/>
        <family val="2"/>
      </rPr>
      <t xml:space="preserve">Por resolución absolutoria. </t>
    </r>
    <r>
      <rPr>
        <sz val="9"/>
        <rFont val="Arial"/>
        <family val="2"/>
      </rPr>
      <t>Se refiere a las personas adolescentes que son puestas en libertad de los centros especializados derivado de una resolución absolutoria de primera instancia que no haya sido impugnada por alguna de las partes.</t>
    </r>
  </si>
  <si>
    <r>
      <rPr>
        <b/>
        <sz val="9"/>
        <rFont val="Arial"/>
        <family val="2"/>
      </rPr>
      <t xml:space="preserve">Por resolución revocatoria. </t>
    </r>
    <r>
      <rPr>
        <sz val="9"/>
        <rFont val="Arial"/>
        <family val="2"/>
      </rPr>
      <t>Se refiere a las personas adolescentes que son puestas en libertad de los centros especializados derivado de la emisión de una resolución que haya modificado o dejado sin efectos la resolución condenatoria de primera instancia, a través de la cual se absuelven los cargos y la sanción de internamiento o semi-internamiento. Lo anterior, a partir de la interposición de cualquier medio de impugnación promovido ante el órgano jurisdiccional de segunda instancia, o bien, del juicio de amparo.</t>
    </r>
  </si>
  <si>
    <r>
      <rPr>
        <b/>
        <sz val="9"/>
        <rFont val="Arial"/>
        <family val="2"/>
      </rPr>
      <t xml:space="preserve">Por cumplimiento de sanción (sentencia). </t>
    </r>
    <r>
      <rPr>
        <sz val="9"/>
        <rFont val="Arial"/>
        <family val="2"/>
      </rPr>
      <t>Se refiere a las personas adolescentes que son puestas en libertad de los centros especializados tras el cumplimiento total de la sanción de internamiento o semi-internamiento impuesta en la sentencia.</t>
    </r>
  </si>
  <si>
    <r>
      <rPr>
        <b/>
        <sz val="9"/>
        <rFont val="Arial"/>
        <family val="2"/>
      </rPr>
      <t xml:space="preserve">Por libertad anticipada. </t>
    </r>
    <r>
      <rPr>
        <sz val="9"/>
        <rFont val="Arial"/>
        <family val="2"/>
      </rPr>
      <t>Se refiere a las personas adolescentes que son puestas en libertad de los centros especializados tras el cumplimiento de una serie de requisitos previstos en la normatividad aplicable, y cuya consecuencia es la extinción de la sanción de internamiento o semi-internamiento. Dentro de esta categoría deben excluirse los egresos en los que la libertad anticipada se aplique como parte de la preliberación por criterios de política penitenciaria.</t>
    </r>
  </si>
  <si>
    <r>
      <rPr>
        <b/>
        <sz val="9"/>
        <rFont val="Arial"/>
        <family val="2"/>
      </rPr>
      <t xml:space="preserve">Por sustitución de la medida de sanción de internamiento por estancia domiciliaria. </t>
    </r>
    <r>
      <rPr>
        <sz val="9"/>
        <rFont val="Arial"/>
        <family val="2"/>
      </rPr>
      <t>Se refiere a las personas adolescentes que son puestas en libertad de los centros especializados tras el cumplimiento de una serie de requisitos previstos en la normatividad aplicable, en virtud de que el Juez de Ejecución haya determinado la sustitución de la sanción de internamiento o semi-internamiento por la medida de estancia domiciliaria. Dentro de esta categoría deben excluirse los egresos en los que la sustitución de la medida de sanción de internamiento por estancia domiciliaria se aplique como parte de la preliberación por criterios de política penitenciaria.</t>
    </r>
  </si>
  <si>
    <r>
      <rPr>
        <b/>
        <sz val="9"/>
        <rFont val="Arial"/>
        <family val="2"/>
      </rPr>
      <t xml:space="preserve">Por sustitución de la medida de sanción de internamiento por medidas no privativas de la libertad. </t>
    </r>
    <r>
      <rPr>
        <sz val="9"/>
        <rFont val="Arial"/>
        <family val="2"/>
      </rPr>
      <t>Se refiere a las personas adolescentes que son puestas en libertad de los centros especializados tras el cumplimiento de una serie de requisitos previstos en la normatividad aplicable, en virtud de que el Juez de Ejecución haya determinado la sustitución de la sanción de internamiento o semi-internamiento por alguna medida no privativa de la libertad establecida en la fracción I del artículo 155 de la Ley Nacional del Sistema Integral de Justicia Penal para Adolescentes. Dentro de esta categoría deben excluirse los egresos en los que la sustitución de la medida de sanción de internamiento por medidas no privativas de la libertad se aplique como parte de la preliberación por criterios de política penitenciaria.</t>
    </r>
  </si>
  <si>
    <r>
      <rPr>
        <b/>
        <sz val="9"/>
        <rFont val="Arial"/>
        <family val="2"/>
      </rPr>
      <t xml:space="preserve">Por preliberación por criterios de política penitenciaria. </t>
    </r>
    <r>
      <rPr>
        <sz val="9"/>
        <rFont val="Arial"/>
        <family val="2"/>
      </rPr>
      <t>Se refiere a las personas adolescentes que son puestas en libertad de los centros especializados derivado de la solicitud realizada por la autoridad penitenciaria, con opinión de la instancia de procuración de justicia correspondiente, a la autoridad judicial que competa la liberación anticipada o sustitución de la medida de sanción de internamiento o semi-internamiento de un grupo determinado de personas adolescentes sentenciadas, de acuerdo con alguno de los criterios establecidos en el artículo 146 de la Ley Nacional de Ejecución Penal, esto en su carácter de norma supletoria de la Ley Nacional del Sistema Integral de Justicia Penal para Adolescentes.</t>
    </r>
  </si>
  <si>
    <r>
      <rPr>
        <b/>
        <sz val="9"/>
        <rFont val="Arial"/>
        <family val="2"/>
      </rPr>
      <t xml:space="preserve">Por sobreseimiento. </t>
    </r>
    <r>
      <rPr>
        <sz val="9"/>
        <rFont val="Arial"/>
        <family val="2"/>
      </rPr>
      <t>Se refiere a las personas adolescentes que son puestas en libertad de los centros especializados cuando, durante el proceso penal, el órgano jurisdiccional haya determinado el sobreseimiento, o bien, se haya actualizado alguna causal de extinción de la acción penal que impida ejecutar las medidas de sanción de internamiento o semi-internamiento. Dentro de esta categoría se debe considerar la supresión del tipo penal, el perdón de la parte ofendida, entre otros. Por su parte, deben excluirse la amnistía, el indulto, las soluciones alternas, los criterios de oportunidad, el cumplimiento de la sanción, la muerte de la persona adolescente imputada o sentenciada, el reconocimiento de inocencia, así como la revocación de la sentencia.</t>
    </r>
  </si>
  <si>
    <r>
      <rPr>
        <b/>
        <sz val="9"/>
        <rFont val="Arial"/>
        <family val="2"/>
      </rPr>
      <t xml:space="preserve">Por soluciones alternas y/ o criterios de oportunidad. </t>
    </r>
    <r>
      <rPr>
        <sz val="9"/>
        <rFont val="Arial"/>
        <family val="2"/>
      </rPr>
      <t>Se refiere a las personas adolescentes que son puestas en libertad de los centros especializados derivado de que, durante el proceso penal, se llevaron a cabo soluciones alternas (suspensión condicional del proceso y acuerdos reparatorios), o bien, la aplicación de algún criterio de oportunidad; siempre y cuando estos hayan sido cumplidos y, en consecuencia, se haya decretado la extinción de la acción penal.</t>
    </r>
  </si>
  <si>
    <r>
      <rPr>
        <b/>
        <sz val="9"/>
        <rFont val="Arial"/>
        <family val="2"/>
      </rPr>
      <t xml:space="preserve">Por amnistía o indulto. </t>
    </r>
    <r>
      <rPr>
        <sz val="9"/>
        <rFont val="Arial"/>
        <family val="2"/>
      </rPr>
      <t>Se refiere a las personas adolescentes que son puestas en libertad de los centros especializados derivado de la aplicación de los mecanismos especiales por los cuales las autoridades competentes extinguen la acción penal y las sanciones impuestas respecto de los delitos que comprende; exceptuando, en su caso, la reparación del daño en los términos señalados por las leyes correspondientes.</t>
    </r>
  </si>
  <si>
    <r>
      <rPr>
        <b/>
        <sz val="9"/>
        <rFont val="Arial"/>
        <family val="2"/>
      </rPr>
      <t xml:space="preserve">Por otro tipo de egreso. </t>
    </r>
    <r>
      <rPr>
        <sz val="9"/>
        <rFont val="Arial"/>
        <family val="2"/>
      </rPr>
      <t>Se refiere a las personas adolescentes que son puestas en libertad de los centros especializados por cualquier otro motivo que no se contemple en las anteriores definiciones. Dentro de esta categoría deben excluirse los traslados, las fugas, las extradiciones y los fallecimientos de las personas adolescentes imputadas o sentenciadas.</t>
    </r>
  </si>
  <si>
    <t>Personas adolescentes en tratamiento externo</t>
  </si>
  <si>
    <t>Se refiere a las personas adolescentes que son objeto de sistemas o métodos especializados para lograr su reinserción social dentro del propio medio sociofamiliar o en hogares sustitutos (con supervisión y seguimiento por parte de la autoridad correspondiente) sin que necesariamente hayan estado internadas en algún centro especializado.</t>
  </si>
  <si>
    <t>Se refiere a la organización de los tiempos y espacios en que cada persona adolescente internada realiza sus actividades laborales, educativas, culturales, de protección a la salud, deportivas, personales y de justicia restaurativa; de conformidad con el régimen y organización de cada centro especializado.</t>
  </si>
  <si>
    <t>Plan o programa orientado al seguimiento y atención de personas adolescentes egresadas y/ o en tratamiento externo</t>
  </si>
  <si>
    <t>Se refiere al documento a través del cual las instituciones responsables establecen una serie de objetivos y estrategias prioritarias para apoyar en el proceso de reinserción social a las personas adolescentes egresadas de los centros especializados y/ o en tratamiento externo, mismo que conlleva una serie de actividades y programas de apoyo que presentan las instituciones públicas, privadas y sociales coordinadas por el Gobierno de la entidad federativa.</t>
  </si>
  <si>
    <t>Presupuesto aprobado</t>
  </si>
  <si>
    <t>Se refiere al monto total de las erogaciones aprobadas durante un ejercicio fiscal.</t>
  </si>
  <si>
    <t>Se refiere al importe total erogado, el cual se encuentra respaldado por documentos comprobatorios presentados ante las dependencias o entidades autorizadas, con cargo al presupuesto aprobado.</t>
  </si>
  <si>
    <t>Profesionalización</t>
  </si>
  <si>
    <t>Se refiere al proceso permanente y progresivo de formación que se integra por etapas de formación inicial, actualización, promoción, especialización y alta dirección, para desarrollar al máximo las competencias, capacidades y habilidades del personal de las Instituciones de Seguridad Pública.</t>
  </si>
  <si>
    <t>Programa de justicia terapéutica</t>
  </si>
  <si>
    <t>Se refiere al conjunto de acciones orientadas a brindar atención a las personas adolescentes imputadas por la comisión de algún delito no grave, mismas que presentan trastornos por el uso de sustancias psicoactivas. En la etapa de ejecución, comprende la aplicación de un beneficio de sustitución de la sanción que determina el Juez de Ejecución en casos de delitos patrimoniales sin violencia. Su finalidad es propiciar la rehabilitación y reinserción social de las personas adolescentes sentenciadas con problemas asociados al uso de sustancias psicoactivas, a través de la prestación de servicios de tratamiento integrales, individualizados e interdisciplinarios.</t>
  </si>
  <si>
    <t>Programa Rector de Profesionalización</t>
  </si>
  <si>
    <t>Se refiere al instrumento en el que se establecen los lineamientos, programas, actividades y contenidos mínimos para la profesionalización del personal de las Instituciones de Seguridad Pública.</t>
  </si>
  <si>
    <t>Proyecto de presupuesto</t>
  </si>
  <si>
    <t>Se refiere a la estimación de recursos que el Poder Ejecutivo Estatal pone a consideración del Congreso de la entidad federativa para cada dependencia o entidad de la Administración Pública Estatal, Poder Legislativo, Poder Judicial, así como aquellos consignados por los órganos autónomos, para el cumplimiento de sus responsabilidades conforme al marco institucional.</t>
  </si>
  <si>
    <t>Quejas o peticiones administrativas</t>
  </si>
  <si>
    <t>Se refiere a aquellas presentadas ante la autoridad del centro, específicamente ante la dirección del centro especializado y, en casos urgentes, ante el Juez de Ejecución; en contra de los hechos, actos u omisiones que atenten contra los derechos y condiciones de internamiento de las personas adolescentes internadas, de conformidad con lo establecido en la disposición normativa correspondiente. Dentro de esta categoría deben excluirse las solicitudes de queja presentadas ante los organismos públicos de derechos humanos.</t>
  </si>
  <si>
    <t>Recomendaciones</t>
  </si>
  <si>
    <t>Se refiere al pronunciamiento público dirigido a las autoridades responsables, a través del cual se manifiesta el resultado final de una investigación realizada. Expresa la veracidad y la existencia de conductas documentadas consideradas como violatorias de derechos humanos, además de contener una serie de lineamientos orientados a la conminación de la autoridad responsable para proveer las acciones necesarias y llevar a cabo el resarcimiento y la reparación de los daños causados. Para efectos del presente censo, se consideran los siguientes rubros:</t>
  </si>
  <si>
    <r>
      <rPr>
        <b/>
        <sz val="9"/>
        <rFont val="Arial"/>
        <family val="2"/>
      </rPr>
      <t xml:space="preserve">Recomendaciones sobre la integridad de las personas adolescentes internadas. </t>
    </r>
    <r>
      <rPr>
        <sz val="9"/>
        <rFont val="Arial"/>
        <family val="2"/>
      </rPr>
      <t>Se refiere a aquellas realizadas con motivo de la capacidad de alojamiento y población existente en el centro especializado, así como de la distribución y separación de las personas adolescentes internadas en el caso de los centros mixtos. Asimismo, contempla los servicios para la atención y mantenimiento de la salud de las personas adolescentes internadas, la supervisión por parte de la persona responsable del centro especializado, así como la prevención y atención de incidentes violentos, de tortura y/ o de maltrato.</t>
    </r>
  </si>
  <si>
    <r>
      <rPr>
        <b/>
        <sz val="9"/>
        <rFont val="Arial"/>
        <family val="2"/>
      </rPr>
      <t xml:space="preserve">Recomendaciones sobre la estancia digna de las personas adolescentes internadas. </t>
    </r>
    <r>
      <rPr>
        <sz val="9"/>
        <rFont val="Arial"/>
        <family val="2"/>
      </rPr>
      <t>Se refiere a aquellas realizadas derivado de la capacidad de las instalaciones y las condiciones materiales y de higiene del centro especializado, así como de la alimentación de las personas adolescentes internadas.</t>
    </r>
  </si>
  <si>
    <r>
      <rPr>
        <b/>
        <sz val="9"/>
        <rFont val="Arial"/>
        <family val="2"/>
      </rPr>
      <t>Recomendaciones sobre las condiciones de gobernabilidad del centro especializado.</t>
    </r>
    <r>
      <rPr>
        <sz val="9"/>
        <rFont val="Arial"/>
        <family val="2"/>
      </rPr>
      <t xml:space="preserve"> Se refiere a aquellas motivadas por la insuficiencia del personal de custodia y/ o vigilancia y su formación policial, así como las sanciones disciplinarias impuestas a las personas adolescentes internadas, el autogobierno, las actividades ilícitas, la extorsión y los sobornos.</t>
    </r>
  </si>
  <si>
    <r>
      <rPr>
        <b/>
        <sz val="9"/>
        <rFont val="Arial"/>
        <family val="2"/>
      </rPr>
      <t xml:space="preserve">Recomendaciones sobre la reinserción social de las personas adolescentes internadas. </t>
    </r>
    <r>
      <rPr>
        <sz val="9"/>
        <rFont val="Arial"/>
        <family val="2"/>
      </rPr>
      <t>Se refiere a aquellas realizadas derivado de la integración del expediente jurídico-técnico, del funcionamiento del Comité Técnico del centro especializado, así como de las actividades laborales, de capacitación para el trabajo, educativas y deportivas de las personas adolescentes internadas. De igual forma, se consideran los beneficios de libertad anticipada y la vinculación de las personas adolescentes internadas con la sociedad.</t>
    </r>
  </si>
  <si>
    <r>
      <rPr>
        <b/>
        <sz val="9"/>
        <rFont val="Arial"/>
        <family val="2"/>
      </rPr>
      <t>Recomendaciones sobre la atención a grupos de personas adolescentes internadas con necesidades específicas.</t>
    </r>
    <r>
      <rPr>
        <sz val="9"/>
        <rFont val="Arial"/>
        <family val="2"/>
      </rPr>
      <t xml:space="preserve"> Se refiere a aquellas realizadas con motivo del trato que se les brinda a las mujeres y a las personas adolescentes internadas que presentan alguna situación de vulnerabilidad (personas adolescentes pertenecientes a pueblos y comunidades indígenas, personas adolescentes con discapacidad, personas adolescentes que viven con VIH, personas adolescentes que viven con adicciones, población adolescente de la diversidad sexual, entre otros).</t>
    </r>
  </si>
  <si>
    <t>Se refiere a los reconocimientos de carácter económico que se otorgan, conforme a la normatividad aplicable y suficiencia presupuestaria, a efecto de alentar e incentivar la conducta del personal.</t>
  </si>
  <si>
    <t>Régimen disciplinario</t>
  </si>
  <si>
    <t>Se refiere al conjunto de disposiciones y principios disciplinarios internos para regular el comportamiento y la conducta del personal de las fuerzas policiales de las Instituciones de Seguridad Pública, mismos que establecen los deberes, las correcciones disciplinarias, las sanciones y los procedimientos para su aplicación, a efecto de mantener la disciplina, la integridad y la ética al interior de la institución. Esta categoría debe diferenciarse de las responsabilidades administrativas, cuya investigación, sustanciación y sanción corresponde a las autoridades competentes establecidas en la Ley General de Responsabilidades Administrativas o en la disposición normativa local aplicable en la materia.</t>
  </si>
  <si>
    <t>Régimen disciplinario de las personas adolescentes internadas</t>
  </si>
  <si>
    <t>Se refiere al conjunto de normas disciplinarias que rigen en el centro especializado, mismas que deberán ser atendidas por las personas adolescentes internadas en dichos centros.</t>
  </si>
  <si>
    <t>Registro administrativo</t>
  </si>
  <si>
    <t>Se refiere a la serie de datos que se recaban de manera sistemática sobre un hecho, evento, suceso o acción sujeto a regulación o control y que son actualizados permanentemente como parte de la función de oficinas públicas, privadas o de organizaciones de la sociedad civil, y que originalmente son recolectados con fines no estadísticos.</t>
  </si>
  <si>
    <t>Registro Nacional de Detenciones</t>
  </si>
  <si>
    <t>Se refiere a la base de datos que concentra la información a nivel nacional sobre las personas detenidas, conforme a las facultades de las autoridades durante las etapas del procedimiento penal o administrativo sancionador.</t>
  </si>
  <si>
    <t>Se refiere a todas aquellas personas adolescentes que hayan ingresado más de una vez a los centros especializados por la comisión del mismo delito u otro distinto al cometido por primera vez.</t>
  </si>
  <si>
    <t>Reinserción social</t>
  </si>
  <si>
    <t>Se refiere al proceso de integración social y psicológico al entorno de las personas adolescentes, mismo que puede darse a través de diversas formas de intervención y programas individuales con el objetivo de impedir que quienes han sido internadas se vean nuevamente involucradas en conductas delictivas.</t>
  </si>
  <si>
    <t>Revisiones a lugares</t>
  </si>
  <si>
    <t>Se refiere, en términos del presente censo, a las inspecciones realizadas en los sitios de los centros especializados donde las personas adolescentes internadas viven, trabajan y/ o se reúnen de manera habitual. Tienen como finalidad detectar posibles sustancias u objetos prohibidos, verificar la integridad de las instalaciones, vigilar la seguridad y gobernabilidad de los centros especializados, así como evitar que se ponga en riesgo a las personas adolescentes internadas, a las personas visitantes y al personal de los mismos.</t>
  </si>
  <si>
    <t>Revisiones personales</t>
  </si>
  <si>
    <t>Se refiere, en términos del presente censo, a las inspecciones en las aduanas, o al interior de los centros especializados, realizadas a las personas (sean personas adolescentes internadas, personal de los centros especializados o personas externas) y/ o sobre sus pertenencias. Dichas revisiones se desarrollan a través de la exploración visual, el empleo de sensores o detectores no intrusivos, la exploración manual exterior y, excepcionalmente, la revisión corporal. Tienen como finalidad detectar posibles sustancias u objetos prohibidos.</t>
  </si>
  <si>
    <t>Se refiere a la medida de sanción consistente en la obligación de la persona adolescente de residir en el centro especializado durante los fines de semana o días festivos, según lo determine el órgano jurisdiccional, pudiendo realizar actividades formativas, educativas, socio-laborales, recreativas, entre otras, que serán parte de su plan de actividades.</t>
  </si>
  <si>
    <t>Semi-internamiento o internamiento en tiempo libre (definitivo)</t>
  </si>
  <si>
    <t>Se refiere a aquella medida de sanción de semi-internamiento o internamiento en tiempo libre que ya no admite recurso judicial alguno. Se dice que la causa está "ejecutoriada" cuando ya han terminado todos los trámites legales, produciendo el efecto jurídico de cosa juzgada.</t>
  </si>
  <si>
    <t>Semi-internamiento o internamiento en tiempo libre (no definitivo)</t>
  </si>
  <si>
    <t>Se refiere a aquella medida de sanción de semi-internamiento o internamiento en tiempo libre que aún admite algún recurso judicial, o se encuentra ya en proceso de segunda instancia.</t>
  </si>
  <si>
    <t>Sentencia o resolución</t>
  </si>
  <si>
    <t>Se refiere a la resolución que pronuncia una persona juez o tribunal, según corresponda, para resolver el fondo de un proceso.</t>
  </si>
  <si>
    <t>Sentencia o resolución absolutoria</t>
  </si>
  <si>
    <t>Se refiere a la resolución judicial en la que se resuelve el asunto y se libera completamente a la persona de los hechos formulados en su contra.</t>
  </si>
  <si>
    <t>Sentencia o resolución condenatoria</t>
  </si>
  <si>
    <t xml:space="preserve">Se refiere a la resolución judicial en la que, resuelto el fondo del asunto, se impone a la persona una sanción por la comisión de algún delito. </t>
  </si>
  <si>
    <t>Sentencia o resolución definitiva</t>
  </si>
  <si>
    <t>Se refiere a la resolución que ya no admite recurso judicial alguno. Se dice que la causa está "ejecutoriada" cuando ya han terminado todos los trámites legales, produciendo el efecto jurídico de cosa juzgada.</t>
  </si>
  <si>
    <t>Sentencia o resolución no definitiva</t>
  </si>
  <si>
    <t>Se refiere a la resolución que aún admite algún recurso judicial, o se encuentra ya en proceso de segunda instancia.</t>
  </si>
  <si>
    <t>Sentencia o resolución revocatoria</t>
  </si>
  <si>
    <t>Se refiere a la resolución judicial cuya finalidad radica en anular o dejar sin efectos, en todo o en partes, la sentencia impuesta, o bien, sustituirla por otra.</t>
  </si>
  <si>
    <t>Servicios de conexión remota</t>
  </si>
  <si>
    <r>
      <t xml:space="preserve">Se refiere a los servicios que posibilitan a los usuarios conectarse por red a otro ordenador como si se accediera desde el propio ordenador, permitiendo utilizar y/ o extraer información y datos. Un ejemplo de estos servicios es la </t>
    </r>
    <r>
      <rPr>
        <i/>
        <sz val="9"/>
        <rFont val="Arial"/>
        <family val="2"/>
      </rPr>
      <t>VPN</t>
    </r>
    <r>
      <rPr>
        <sz val="9"/>
        <rFont val="Arial"/>
        <family val="2"/>
      </rPr>
      <t>, que permite conectar una o más computadoras a una red privada utilizando internet.</t>
    </r>
  </si>
  <si>
    <t>Servicios para personas adolescentes egresadas y/ o en tratamiento externo</t>
  </si>
  <si>
    <t>Se refiere a los servicios prestados a las personas adolescentes que egresan de los centros especializados, o que se encuentran en tratamiento externo, así como a sus familias. Tienen como objetivo otorgar el apoyo necesario para facilitar su reinserción social, procurar su vida digna y prevenir su reincidencia, además de promover en la sociedad una cultura de aceptación de la persona adolescente egresada o en tratamiento externo. Estos servicios consisten en el fomento, creación y promoción de espacios de orientación, apoyo y desarrollo personal, laboral, cultural, educativo, social y de capacitación.</t>
  </si>
  <si>
    <t>Solicitudes de queja</t>
  </si>
  <si>
    <t>Se refiere al requerimiento que realiza una persona o grupo de personas ante algún organismo público de derechos humanos para que conozca e intervenga en la defensa y protección de los mismos, probablemente transgredidos o violentados por una persona servidora pública o autoridad.</t>
  </si>
  <si>
    <t>Suministros</t>
  </si>
  <si>
    <t>Se refiere a aquellos bienes que deben ofrecer gratuitamente los centros especializados a las personas adolescentes internadas.</t>
  </si>
  <si>
    <t>Se refiere al desplazamiento o reubicación de las personas adolescentes internadas respecto de los centros especializados en los que se encontraban cumpliendo su sanción, motivado por los supuestos contemplados en la normatividad aplicable.</t>
  </si>
  <si>
    <t>Traslado internacional</t>
  </si>
  <si>
    <t>Se refiere al traslado de personas adolescentes de nacionalidad extranjera a sus países de origen o residencia, mismas que hayan sido sentenciadas por autoridades judiciales mexicanas del fuero federal o local. Lo anterior, en términos de los tratados o convenciones internacionales que se hayan celebrado para tal efecto.</t>
  </si>
  <si>
    <t>Traslado involuntario</t>
  </si>
  <si>
    <t>Se refiere al tipo de traslado mediante el cual una persona adolescente internada es trasladada a solicitud de la autoridad del centro o del Ministerio Público en casos de emergencia y otros supuestos establecidos en la normatividad aplicable, previa autorización del Juez de Control o de Ejecución en audiencia pública, según corresponda.</t>
  </si>
  <si>
    <t>Traslado voluntario</t>
  </si>
  <si>
    <t>Se refiere al tipo de traslado motivado por el interés de una persona adolescente internada para ser trasladada a otro centro especializado, cuando exista un acuerdo entre la entidad de origen y la entidad de destino.</t>
  </si>
  <si>
    <t>Unidad de asuntos internos u homóloga</t>
  </si>
  <si>
    <t>Se refiere a la unidad o área administrativa encargada de supervisar y vigilar que el personal cumpla con los deberes y normas establecidas en los ordenamientos legales que rigen su actuación. Para efectos del presente censo, se consideran las siguientes áreas al interior de esta:</t>
  </si>
  <si>
    <r>
      <rPr>
        <b/>
        <sz val="9"/>
        <rFont val="Arial"/>
        <family val="2"/>
      </rPr>
      <t xml:space="preserve">Área de supervisión o inspección. </t>
    </r>
    <r>
      <rPr>
        <sz val="9"/>
        <rFont val="Arial"/>
        <family val="2"/>
      </rPr>
      <t>Se refiere a las áreas destinadas a la realización de los procesos de supervisión e inspección que detecten irregularidades o actos ilícitos entre las personas integrantes de la institución.</t>
    </r>
  </si>
  <si>
    <r>
      <rPr>
        <b/>
        <sz val="9"/>
        <rFont val="Arial"/>
        <family val="2"/>
      </rPr>
      <t xml:space="preserve">Área de investigación. </t>
    </r>
    <r>
      <rPr>
        <sz val="9"/>
        <rFont val="Arial"/>
        <family val="2"/>
      </rPr>
      <t>Se refiere a las áreas destinadas a la investigación de las quejas y denuncias que permita acreditar la existencia de conductas irregulares e ilícitas cometidas por las personas que integran a la institución.</t>
    </r>
  </si>
  <si>
    <r>
      <rPr>
        <b/>
        <sz val="9"/>
        <rFont val="Arial"/>
        <family val="2"/>
      </rPr>
      <t xml:space="preserve">Área de determinación de expedientes. </t>
    </r>
    <r>
      <rPr>
        <sz val="9"/>
        <rFont val="Arial"/>
        <family val="2"/>
      </rPr>
      <t>Se refiere a las áreas destinadas a la determinación de los expedientes de investigación y su remisión a las instancias competentes, ya sea a la Comisión de Honor y Justicia u homóloga en el caso de que la falta amerite una sanción disciplinaria, o a las autoridades administrativas y penales competentes cuando la falta así lo amerite, de acuerdo con los ordenamientos legales aplicables.</t>
    </r>
  </si>
  <si>
    <t>Unidad de inteligencia penitenciaria u homóloga</t>
  </si>
  <si>
    <t>Se refiere a la unidad o área administrativa de la institución responsable de los centros especializados de la entidad federativa encargada de recabar, clasificar, procesar, analizar y explotar información para generar inteligencia al interior de los mismos a efecto de identificar los factores de riesgo, prevenir la comisión de delitos, implementar estrategias y demás acciones que contribuyan a garantizar su seguridad.</t>
  </si>
  <si>
    <r>
      <t xml:space="preserve">Para cumplir con lo anterior, una vez completado el llenado de este instrumento, deberá enviarse en </t>
    </r>
    <r>
      <rPr>
        <b/>
        <sz val="9"/>
        <rFont val="Arial"/>
        <family val="2"/>
      </rPr>
      <t>versión preliminar</t>
    </r>
    <r>
      <rPr>
        <sz val="9"/>
        <rFont val="Arial"/>
        <family val="2"/>
      </rPr>
      <t xml:space="preserve"> a la dirección electrónica del Departamento de Estadísticas de Gobierno (JDEG) de la Coordinación Estatal del INEGI: </t>
    </r>
    <r>
      <rPr>
        <b/>
        <sz val="9"/>
        <rFont val="Arial"/>
        <family val="2"/>
      </rPr>
      <t>domingo.cortes@inegi.org.mx</t>
    </r>
    <r>
      <rPr>
        <sz val="9"/>
        <rFont val="Arial"/>
        <family val="2"/>
      </rPr>
      <t xml:space="preserve"> </t>
    </r>
  </si>
  <si>
    <t>19 de febrero al 15 de marzo</t>
  </si>
  <si>
    <t>26 de febrero al 22 de marzo</t>
  </si>
  <si>
    <t>25 de marzo al 19 de abril</t>
  </si>
  <si>
    <t>22 de abril al 24 de mayo</t>
  </si>
  <si>
    <r>
      <t xml:space="preserve">La versión definitiva del cuestionario, en su versión electrónica, deberá remitirse a la dirección electrónica siguiente: </t>
    </r>
    <r>
      <rPr>
        <b/>
        <sz val="9"/>
        <rFont val="Arial"/>
        <family val="2"/>
      </rPr>
      <t xml:space="preserve">domingo.cortes@inegi.org.mx </t>
    </r>
  </si>
  <si>
    <t>Mtro. Mario Daniel Ignacio Gómez Soberón</t>
  </si>
  <si>
    <t>Calle 35 Norte 3626 Ex Rancho Colorado C.P. 72400 Puebla, Puebla</t>
  </si>
  <si>
    <t>Domingo Cortés Escobar</t>
  </si>
  <si>
    <t>Subdirección Estatal de Estadística Económica</t>
  </si>
  <si>
    <t>Subdirector Estatal de Estadística Económica</t>
  </si>
  <si>
    <t>domingo.cortes@inegi.org.mx</t>
  </si>
  <si>
    <t>222 - 2235631</t>
  </si>
  <si>
    <t>32-4404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</si>
</sst>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43" formatCode="_-* #,##0.00_-;\-* #,##0.00_-;_-* &quot;-&quot;??_-;_-@_-"/>
  </numFmts>
  <fonts count="69">
    <font>
      <sz val="11"/>
      <color theme="1"/>
      <name val="Calibri"/>
      <family val="2"/>
      <scheme val="minor"/>
    </font>
    <font>
      <b/>
      <u/>
      <sz val="12"/>
      <color rgb="FF0077C8"/>
      <name val="Arial"/>
      <family val="2"/>
    </font>
    <font>
      <sz val="9"/>
      <color theme="1"/>
      <name val="Arial"/>
      <family val="2"/>
    </font>
    <font>
      <sz val="10"/>
      <color theme="1"/>
      <name val="Arial"/>
      <family val="2"/>
    </font>
    <font>
      <b/>
      <sz val="9"/>
      <color theme="0"/>
      <name val="Arial"/>
      <family val="2"/>
    </font>
    <font>
      <i/>
      <sz val="9"/>
      <color theme="1"/>
      <name val="Arial"/>
      <family val="2"/>
    </font>
    <font>
      <sz val="9"/>
      <name val="Arial"/>
      <family val="2"/>
    </font>
    <font>
      <b/>
      <sz val="9"/>
      <name val="Arial"/>
      <family val="2"/>
    </font>
    <font>
      <u/>
      <sz val="11"/>
      <color theme="10"/>
      <name val="Calibri"/>
      <family val="2"/>
      <scheme val="minor"/>
    </font>
    <font>
      <b/>
      <u/>
      <sz val="9"/>
      <color theme="10"/>
      <name val="Arial"/>
      <family val="2"/>
    </font>
    <font>
      <sz val="11"/>
      <name val="Arial"/>
      <family val="2"/>
    </font>
    <font>
      <sz val="11"/>
      <name val="Calibri"/>
      <family val="2"/>
      <scheme val="minor"/>
    </font>
    <font>
      <i/>
      <sz val="9"/>
      <name val="Arial"/>
      <family val="2"/>
    </font>
    <font>
      <sz val="11"/>
      <color indexed="8"/>
      <name val="Calibri"/>
      <family val="2"/>
    </font>
    <font>
      <sz val="10"/>
      <name val="Arial"/>
      <family val="2"/>
    </font>
    <font>
      <b/>
      <sz val="15"/>
      <name val="Arial"/>
      <family val="2"/>
    </font>
    <font>
      <u/>
      <sz val="12"/>
      <color rgb="FF002060"/>
      <name val="Arial"/>
      <family val="2"/>
    </font>
    <font>
      <u/>
      <sz val="12"/>
      <color rgb="FF003057"/>
      <name val="Arial"/>
      <family val="2"/>
    </font>
    <font>
      <sz val="10"/>
      <color rgb="FF003057"/>
      <name val="Arial"/>
      <family val="2"/>
    </font>
    <font>
      <sz val="9"/>
      <color theme="0"/>
      <name val="Arial"/>
      <family val="2"/>
    </font>
    <font>
      <b/>
      <sz val="11"/>
      <color theme="0"/>
      <name val="Arial"/>
      <family val="2"/>
    </font>
    <font>
      <b/>
      <u/>
      <sz val="12"/>
      <color theme="10"/>
      <name val="Arial"/>
      <family val="2"/>
    </font>
    <font>
      <u/>
      <sz val="9"/>
      <color theme="10"/>
      <name val="Arial"/>
      <family val="2"/>
    </font>
    <font>
      <sz val="9"/>
      <name val="Calibri"/>
      <family val="2"/>
      <scheme val="minor"/>
    </font>
    <font>
      <sz val="10"/>
      <color rgb="FF002060"/>
      <name val="Arial"/>
      <family val="2"/>
    </font>
    <font>
      <u/>
      <sz val="10"/>
      <name val="Arial"/>
      <family val="2"/>
    </font>
    <font>
      <b/>
      <u/>
      <sz val="9"/>
      <color rgb="FF0070C0"/>
      <name val="Arial"/>
      <family val="2"/>
    </font>
    <font>
      <b/>
      <u/>
      <sz val="12"/>
      <color rgb="FF0070C0"/>
      <name val="Arial"/>
      <family val="2"/>
    </font>
    <font>
      <i/>
      <sz val="8"/>
      <name val="Arial"/>
      <family val="2"/>
    </font>
    <font>
      <b/>
      <i/>
      <sz val="8"/>
      <name val="Arial"/>
      <family val="2"/>
    </font>
    <font>
      <sz val="11"/>
      <color theme="1"/>
      <name val="Calibri"/>
      <family val="2"/>
      <scheme val="minor"/>
    </font>
    <font>
      <b/>
      <sz val="11"/>
      <name val="Calibri"/>
      <family val="2"/>
      <scheme val="minor"/>
    </font>
    <font>
      <b/>
      <sz val="9"/>
      <name val="Calibri"/>
      <family val="2"/>
      <scheme val="minor"/>
    </font>
    <font>
      <b/>
      <sz val="11"/>
      <name val="Arial"/>
      <family val="2"/>
    </font>
    <font>
      <b/>
      <sz val="8"/>
      <name val="Arial"/>
      <family val="2"/>
    </font>
    <font>
      <b/>
      <u/>
      <sz val="9"/>
      <name val="Arial"/>
      <family val="2"/>
    </font>
    <font>
      <b/>
      <u/>
      <sz val="11"/>
      <name val="Arial"/>
      <family val="2"/>
    </font>
    <font>
      <u/>
      <sz val="11"/>
      <name val="Arial"/>
      <family val="2"/>
    </font>
    <font>
      <sz val="8"/>
      <name val="Arial"/>
      <family val="2"/>
    </font>
    <font>
      <b/>
      <sz val="11"/>
      <name val="Symbol"/>
      <family val="1"/>
      <charset val="2"/>
    </font>
    <font>
      <i/>
      <u/>
      <sz val="8"/>
      <name val="Arial"/>
      <family val="2"/>
    </font>
    <font>
      <b/>
      <i/>
      <sz val="9"/>
      <name val="Arial"/>
      <family val="2"/>
    </font>
    <font>
      <b/>
      <sz val="16"/>
      <name val="Arial"/>
      <family val="2"/>
    </font>
    <font>
      <u/>
      <sz val="12"/>
      <name val="Arial"/>
      <family val="2"/>
    </font>
    <font>
      <sz val="9"/>
      <name val="Arial "/>
    </font>
    <font>
      <sz val="11"/>
      <name val="Calibri"/>
      <family val="2"/>
    </font>
    <font>
      <b/>
      <u/>
      <sz val="12"/>
      <name val="Arial"/>
      <family val="2"/>
    </font>
    <font>
      <b/>
      <i/>
      <u/>
      <sz val="8"/>
      <name val="Arial"/>
      <family val="2"/>
    </font>
    <font>
      <sz val="8"/>
      <color theme="1"/>
      <name val="Arial"/>
      <family val="2"/>
    </font>
    <font>
      <sz val="7"/>
      <color theme="1"/>
      <name val="Arial"/>
      <family val="2"/>
    </font>
    <font>
      <b/>
      <sz val="9"/>
      <color rgb="FFFF0000"/>
      <name val="Arial"/>
      <family val="2"/>
    </font>
    <font>
      <b/>
      <sz val="9"/>
      <color theme="7" tint="-0.249977111117893"/>
      <name val="Arial"/>
      <family val="2"/>
    </font>
    <font>
      <sz val="9"/>
      <color theme="1"/>
      <name val="Calibri"/>
      <family val="2"/>
      <scheme val="minor"/>
    </font>
    <font>
      <u/>
      <sz val="9"/>
      <name val="Arial"/>
      <family val="2"/>
    </font>
    <font>
      <sz val="11"/>
      <color theme="1"/>
      <name val="Arial"/>
      <family val="2"/>
    </font>
    <font>
      <sz val="8"/>
      <color theme="1"/>
      <name val="Calibri"/>
      <family val="2"/>
      <scheme val="minor"/>
    </font>
    <font>
      <sz val="12"/>
      <color theme="1"/>
      <name val="Calibri"/>
      <family val="2"/>
      <scheme val="minor"/>
    </font>
    <font>
      <sz val="7"/>
      <name val="Calibri"/>
      <family val="2"/>
      <scheme val="minor"/>
    </font>
    <font>
      <sz val="10"/>
      <color theme="1"/>
      <name val="Calibri"/>
      <family val="2"/>
      <scheme val="minor"/>
    </font>
    <font>
      <sz val="6"/>
      <name val="Arial"/>
      <family val="2"/>
    </font>
    <font>
      <sz val="6"/>
      <color theme="1"/>
      <name val="Arial"/>
      <family val="2"/>
    </font>
    <font>
      <sz val="7"/>
      <color theme="1"/>
      <name val="Calibri"/>
      <family val="2"/>
      <scheme val="minor"/>
    </font>
    <font>
      <sz val="6"/>
      <color theme="1"/>
      <name val="Calibri"/>
      <family val="2"/>
      <scheme val="minor"/>
    </font>
    <font>
      <sz val="12"/>
      <color theme="1"/>
      <name val="Arial"/>
      <family val="2"/>
    </font>
    <font>
      <sz val="8"/>
      <name val="Calibri"/>
      <family val="2"/>
      <scheme val="minor"/>
    </font>
    <font>
      <sz val="10"/>
      <name val="Calibri"/>
      <family val="2"/>
      <scheme val="minor"/>
    </font>
    <font>
      <sz val="11"/>
      <color indexed="8"/>
      <name val="Calibri"/>
      <family val="2"/>
      <scheme val="minor"/>
    </font>
    <font>
      <u/>
      <sz val="11"/>
      <name val="Calibri"/>
      <family val="2"/>
      <scheme val="minor"/>
    </font>
    <font>
      <b/>
      <sz val="11"/>
      <color theme="1"/>
      <name val="Calibri"/>
      <family val="2"/>
      <scheme val="minor"/>
    </font>
  </fonts>
  <fills count="133">
    <fill>
      <patternFill patternType="none"/>
    </fill>
    <fill>
      <patternFill patternType="gray125"/>
    </fill>
    <fill>
      <patternFill patternType="solid">
        <fgColor rgb="FF003057"/>
        <bgColor indexed="64"/>
      </patternFill>
    </fill>
    <fill>
      <patternFill patternType="solid">
        <fgColor rgb="FF6F7070"/>
        <bgColor indexed="64"/>
      </patternFill>
    </fill>
    <fill>
      <patternFill patternType="solid">
        <fgColor theme="0" tint="-4.9989318521683403E-2"/>
        <bgColor indexed="64"/>
      </patternFill>
    </fill>
    <fill>
      <patternFill patternType="solid">
        <fgColor rgb="FF0077C8"/>
        <bgColor indexed="64"/>
      </patternFill>
    </fill>
    <fill>
      <patternFill patternType="solid">
        <fgColor rgb="FF706F6F"/>
        <bgColor indexed="64"/>
      </patternFill>
    </fill>
    <fill>
      <patternFill patternType="solid">
        <fgColor theme="7" tint="0.79998168889431442"/>
        <bgColor indexed="64"/>
      </patternFill>
    </fill>
    <fill>
      <patternFill patternType="solid">
        <fgColor rgb="FFFFCCFF"/>
        <bgColor indexed="64"/>
      </patternFill>
    </fill>
    <fill>
      <patternFill patternType="solid">
        <fgColor rgb="FFFFFF6D"/>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0070C0"/>
        <bgColor indexed="64"/>
      </patternFill>
    </fill>
    <fill>
      <patternFill patternType="solid">
        <fgColor rgb="FFFFC000"/>
        <bgColor indexed="64"/>
      </patternFill>
    </fill>
    <fill>
      <patternFill patternType="solid">
        <fgColor rgb="FFCC99FF"/>
        <bgColor indexed="64"/>
      </patternFill>
    </fill>
    <fill>
      <patternFill patternType="solid">
        <fgColor rgb="FFFF5050"/>
        <bgColor indexed="64"/>
      </patternFill>
    </fill>
    <fill>
      <patternFill patternType="solid">
        <fgColor rgb="FFFF9966"/>
        <bgColor indexed="64"/>
      </patternFill>
    </fill>
    <fill>
      <patternFill patternType="solid">
        <fgColor theme="2" tint="-0.499984740745262"/>
        <bgColor indexed="64"/>
      </patternFill>
    </fill>
    <fill>
      <patternFill patternType="solid">
        <fgColor rgb="FFCC66FF"/>
        <bgColor indexed="64"/>
      </patternFill>
    </fill>
    <fill>
      <patternFill patternType="solid">
        <fgColor rgb="FF339966"/>
        <bgColor indexed="64"/>
      </patternFill>
    </fill>
    <fill>
      <patternFill patternType="solid">
        <fgColor theme="8" tint="0.59999389629810485"/>
        <bgColor indexed="64"/>
      </patternFill>
    </fill>
    <fill>
      <patternFill patternType="solid">
        <fgColor rgb="FFF0AFFF"/>
        <bgColor indexed="64"/>
      </patternFill>
    </fill>
    <fill>
      <patternFill patternType="solid">
        <fgColor rgb="FF8BFF8B"/>
        <bgColor indexed="64"/>
      </patternFill>
    </fill>
    <fill>
      <patternFill patternType="solid">
        <fgColor rgb="FFFFFFAB"/>
        <bgColor indexed="64"/>
      </patternFill>
    </fill>
    <fill>
      <patternFill patternType="solid">
        <fgColor theme="7" tint="-0.249977111117893"/>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rgb="FFFFFAEB"/>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2F2F"/>
        <bgColor indexed="64"/>
      </patternFill>
    </fill>
    <fill>
      <patternFill patternType="solid">
        <fgColor rgb="FFFF6600"/>
        <bgColor indexed="64"/>
      </patternFill>
    </fill>
    <fill>
      <patternFill patternType="solid">
        <fgColor rgb="FFFF0066"/>
        <bgColor indexed="64"/>
      </patternFill>
    </fill>
    <fill>
      <patternFill patternType="solid">
        <fgColor rgb="FF00B050"/>
        <bgColor indexed="64"/>
      </patternFill>
    </fill>
    <fill>
      <patternFill patternType="solid">
        <fgColor rgb="FF669900"/>
        <bgColor indexed="64"/>
      </patternFill>
    </fill>
    <fill>
      <patternFill patternType="solid">
        <fgColor rgb="FFCC9900"/>
        <bgColor indexed="64"/>
      </patternFill>
    </fill>
    <fill>
      <patternFill patternType="solid">
        <fgColor rgb="FF00CC99"/>
        <bgColor indexed="64"/>
      </patternFill>
    </fill>
    <fill>
      <patternFill patternType="solid">
        <fgColor rgb="FF3FFFCD"/>
        <bgColor indexed="64"/>
      </patternFill>
    </fill>
    <fill>
      <patternFill patternType="solid">
        <fgColor theme="9" tint="0.59999389629810485"/>
        <bgColor indexed="64"/>
      </patternFill>
    </fill>
    <fill>
      <patternFill patternType="solid">
        <fgColor theme="2" tint="-0.249977111117893"/>
        <bgColor indexed="64"/>
      </patternFill>
    </fill>
    <fill>
      <patternFill patternType="solid">
        <fgColor rgb="FFFFA7C4"/>
        <bgColor indexed="64"/>
      </patternFill>
    </fill>
    <fill>
      <patternFill patternType="solid">
        <fgColor rgb="FFCCCCFF"/>
        <bgColor indexed="64"/>
      </patternFill>
    </fill>
    <fill>
      <patternFill patternType="solid">
        <fgColor rgb="FFFFCC99"/>
        <bgColor indexed="64"/>
      </patternFill>
    </fill>
    <fill>
      <patternFill patternType="solid">
        <fgColor rgb="FFFCF97B"/>
        <bgColor indexed="64"/>
      </patternFill>
    </fill>
    <fill>
      <patternFill patternType="solid">
        <fgColor rgb="FF89B0FF"/>
        <bgColor indexed="64"/>
      </patternFill>
    </fill>
    <fill>
      <patternFill patternType="solid">
        <fgColor rgb="FFFF99FF"/>
        <bgColor indexed="64"/>
      </patternFill>
    </fill>
    <fill>
      <patternFill patternType="solid">
        <fgColor rgb="FFCC84EC"/>
        <bgColor indexed="64"/>
      </patternFill>
    </fill>
    <fill>
      <patternFill patternType="solid">
        <fgColor rgb="FFFF99CC"/>
        <bgColor indexed="64"/>
      </patternFill>
    </fill>
    <fill>
      <patternFill patternType="solid">
        <fgColor rgb="FF99CCFF"/>
        <bgColor indexed="64"/>
      </patternFill>
    </fill>
    <fill>
      <patternFill patternType="solid">
        <fgColor rgb="FF66CCFF"/>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rgb="FF00B0F0"/>
        <bgColor indexed="64"/>
      </patternFill>
    </fill>
    <fill>
      <patternFill patternType="solid">
        <fgColor rgb="FFFF6699"/>
        <bgColor indexed="64"/>
      </patternFill>
    </fill>
    <fill>
      <patternFill patternType="solid">
        <fgColor rgb="FF9999FF"/>
        <bgColor indexed="64"/>
      </patternFill>
    </fill>
    <fill>
      <patternFill patternType="solid">
        <fgColor rgb="FFCCECFF"/>
        <bgColor indexed="64"/>
      </patternFill>
    </fill>
    <fill>
      <patternFill patternType="solid">
        <fgColor rgb="FF99FFCC"/>
        <bgColor indexed="64"/>
      </patternFill>
    </fill>
    <fill>
      <patternFill patternType="solid">
        <fgColor rgb="FFFFFFCC"/>
        <bgColor indexed="64"/>
      </patternFill>
    </fill>
    <fill>
      <patternFill patternType="solid">
        <fgColor rgb="FFCCFFCC"/>
        <bgColor indexed="64"/>
      </patternFill>
    </fill>
    <fill>
      <patternFill patternType="solid">
        <fgColor rgb="FFF79B9B"/>
        <bgColor indexed="64"/>
      </patternFill>
    </fill>
    <fill>
      <patternFill patternType="solid">
        <fgColor rgb="FFFFBD5B"/>
        <bgColor indexed="64"/>
      </patternFill>
    </fill>
    <fill>
      <patternFill patternType="solid">
        <fgColor rgb="FF00E6AA"/>
        <bgColor indexed="64"/>
      </patternFill>
    </fill>
    <fill>
      <patternFill patternType="solid">
        <fgColor rgb="FF97B9F1"/>
        <bgColor indexed="64"/>
      </patternFill>
    </fill>
    <fill>
      <patternFill patternType="solid">
        <fgColor rgb="FFFF66FF"/>
        <bgColor indexed="64"/>
      </patternFill>
    </fill>
    <fill>
      <patternFill patternType="solid">
        <fgColor rgb="FF00E271"/>
        <bgColor indexed="64"/>
      </patternFill>
    </fill>
    <fill>
      <patternFill patternType="solid">
        <fgColor rgb="FFD72FFF"/>
        <bgColor indexed="64"/>
      </patternFill>
    </fill>
    <fill>
      <patternFill patternType="solid">
        <fgColor theme="5" tint="0.39997558519241921"/>
        <bgColor indexed="64"/>
      </patternFill>
    </fill>
    <fill>
      <patternFill patternType="solid">
        <fgColor rgb="FFFF7979"/>
        <bgColor indexed="64"/>
      </patternFill>
    </fill>
    <fill>
      <patternFill patternType="solid">
        <fgColor rgb="FFFF6D4B"/>
        <bgColor indexed="64"/>
      </patternFill>
    </fill>
    <fill>
      <patternFill patternType="solid">
        <fgColor rgb="FFFFA54B"/>
        <bgColor indexed="64"/>
      </patternFill>
    </fill>
    <fill>
      <patternFill patternType="solid">
        <fgColor rgb="FF33CC33"/>
        <bgColor indexed="64"/>
      </patternFill>
    </fill>
    <fill>
      <patternFill patternType="solid">
        <fgColor rgb="FF9966FF"/>
        <bgColor indexed="64"/>
      </patternFill>
    </fill>
    <fill>
      <patternFill patternType="solid">
        <fgColor rgb="FF6699FF"/>
        <bgColor indexed="64"/>
      </patternFill>
    </fill>
    <fill>
      <patternFill patternType="solid">
        <fgColor rgb="FFFF75AD"/>
        <bgColor indexed="64"/>
      </patternFill>
    </fill>
    <fill>
      <patternFill patternType="solid">
        <fgColor rgb="FF00FF00"/>
        <bgColor indexed="64"/>
      </patternFill>
    </fill>
    <fill>
      <patternFill patternType="solid">
        <fgColor rgb="FFCC0066"/>
        <bgColor indexed="64"/>
      </patternFill>
    </fill>
    <fill>
      <patternFill patternType="solid">
        <fgColor rgb="FFFF4FA7"/>
        <bgColor indexed="64"/>
      </patternFill>
    </fill>
    <fill>
      <patternFill patternType="solid">
        <fgColor rgb="FF66FF66"/>
        <bgColor indexed="64"/>
      </patternFill>
    </fill>
    <fill>
      <patternFill patternType="solid">
        <fgColor rgb="FF99FF99"/>
        <bgColor indexed="64"/>
      </patternFill>
    </fill>
    <fill>
      <patternFill patternType="solid">
        <fgColor rgb="FF7030A0"/>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rgb="FF92D050"/>
        <bgColor indexed="64"/>
      </patternFill>
    </fill>
    <fill>
      <patternFill patternType="solid">
        <fgColor rgb="FFCC3300"/>
        <bgColor indexed="64"/>
      </patternFill>
    </fill>
    <fill>
      <patternFill patternType="solid">
        <fgColor rgb="FF993300"/>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theme="2" tint="-9.9978637043366805E-2"/>
        <bgColor indexed="64"/>
      </patternFill>
    </fill>
    <fill>
      <patternFill patternType="solid">
        <fgColor rgb="FFFF00FF"/>
        <bgColor indexed="64"/>
      </patternFill>
    </fill>
    <fill>
      <patternFill patternType="solid">
        <fgColor rgb="FFFF7C80"/>
        <bgColor indexed="64"/>
      </patternFill>
    </fill>
    <fill>
      <patternFill patternType="solid">
        <fgColor rgb="FFFF9999"/>
        <bgColor indexed="64"/>
      </patternFill>
    </fill>
    <fill>
      <patternFill patternType="solid">
        <fgColor rgb="FFFF66CC"/>
        <bgColor indexed="64"/>
      </patternFill>
    </fill>
    <fill>
      <patternFill patternType="solid">
        <fgColor rgb="FFFFCCCC"/>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rgb="FF339933"/>
        <bgColor indexed="64"/>
      </patternFill>
    </fill>
    <fill>
      <patternFill patternType="solid">
        <fgColor rgb="FF99CC00"/>
        <bgColor indexed="64"/>
      </patternFill>
    </fill>
    <fill>
      <patternFill patternType="solid">
        <fgColor rgb="FF00CC66"/>
        <bgColor indexed="64"/>
      </patternFill>
    </fill>
    <fill>
      <patternFill patternType="solid">
        <fgColor rgb="FFCC0099"/>
        <bgColor indexed="64"/>
      </patternFill>
    </fill>
    <fill>
      <patternFill patternType="solid">
        <fgColor rgb="FF008080"/>
        <bgColor indexed="64"/>
      </patternFill>
    </fill>
    <fill>
      <patternFill patternType="solid">
        <fgColor rgb="FFFF9933"/>
        <bgColor indexed="64"/>
      </patternFill>
    </fill>
    <fill>
      <patternFill patternType="solid">
        <fgColor rgb="FFFFFF00"/>
        <bgColor indexed="64"/>
      </patternFill>
    </fill>
    <fill>
      <patternFill patternType="lightDown">
        <fgColor rgb="FFFFFF00"/>
        <bgColor rgb="FFFFFF00"/>
      </patternFill>
    </fill>
    <fill>
      <patternFill patternType="solid">
        <fgColor rgb="FFFFFF99"/>
        <bgColor indexed="64"/>
      </patternFill>
    </fill>
    <fill>
      <patternFill patternType="solid">
        <fgColor rgb="FFFFCC66"/>
        <bgColor indexed="64"/>
      </patternFill>
    </fill>
    <fill>
      <patternFill patternType="solid">
        <fgColor rgb="FFFF5BAD"/>
        <bgColor indexed="64"/>
      </patternFill>
    </fill>
    <fill>
      <patternFill patternType="solid">
        <fgColor theme="4" tint="0.59999389629810485"/>
        <bgColor indexed="64"/>
      </patternFill>
    </fill>
    <fill>
      <patternFill patternType="solid">
        <fgColor rgb="FF00E200"/>
        <bgColor indexed="64"/>
      </patternFill>
    </fill>
    <fill>
      <patternFill patternType="solid">
        <fgColor rgb="FFCCFFFF"/>
        <bgColor indexed="64"/>
      </patternFill>
    </fill>
    <fill>
      <patternFill patternType="solid">
        <fgColor theme="0" tint="-0.499984740745262"/>
        <bgColor indexed="64"/>
      </patternFill>
    </fill>
    <fill>
      <patternFill patternType="solid">
        <fgColor theme="6" tint="-0.249977111117893"/>
        <bgColor indexed="64"/>
      </patternFill>
    </fill>
    <fill>
      <patternFill patternType="solid">
        <fgColor rgb="FF33CCCC"/>
        <bgColor indexed="64"/>
      </patternFill>
    </fill>
    <fill>
      <patternFill patternType="solid">
        <fgColor rgb="FFEA0075"/>
        <bgColor indexed="64"/>
      </patternFill>
    </fill>
    <fill>
      <patternFill patternType="solid">
        <fgColor rgb="FFFFCC00"/>
        <bgColor indexed="64"/>
      </patternFill>
    </fill>
    <fill>
      <patternFill patternType="solid">
        <fgColor theme="4" tint="0.39997558519241921"/>
        <bgColor indexed="64"/>
      </patternFill>
    </fill>
    <fill>
      <patternFill patternType="solid">
        <fgColor rgb="FF00FFCC"/>
        <bgColor indexed="64"/>
      </patternFill>
    </fill>
    <fill>
      <patternFill patternType="solid">
        <fgColor rgb="FFCC00CC"/>
        <bgColor indexed="64"/>
      </patternFill>
    </fill>
    <fill>
      <patternFill patternType="solid">
        <fgColor rgb="FFFF9900"/>
        <bgColor indexed="64"/>
      </patternFill>
    </fill>
    <fill>
      <patternFill patternType="solid">
        <fgColor rgb="FF0099CC"/>
        <bgColor indexed="64"/>
      </patternFill>
    </fill>
    <fill>
      <patternFill patternType="solid">
        <fgColor rgb="FF00FF99"/>
        <bgColor indexed="64"/>
      </patternFill>
    </fill>
    <fill>
      <patternFill patternType="solid">
        <fgColor rgb="FF009999"/>
        <bgColor indexed="64"/>
      </patternFill>
    </fill>
    <fill>
      <patternFill patternType="solid">
        <fgColor theme="5" tint="0.79998168889431442"/>
        <bgColor indexed="64"/>
      </patternFill>
    </fill>
    <fill>
      <patternFill patternType="solid">
        <fgColor rgb="FFD60093"/>
        <bgColor indexed="64"/>
      </patternFill>
    </fill>
    <fill>
      <patternFill patternType="solid">
        <fgColor rgb="FFFF0000"/>
        <bgColor indexed="64"/>
      </patternFill>
    </fill>
    <fill>
      <patternFill patternType="solid">
        <fgColor rgb="FF99FF33"/>
        <bgColor indexed="64"/>
      </patternFill>
    </fill>
    <fill>
      <patternFill patternType="solid">
        <fgColor rgb="FFCCFF66"/>
        <bgColor indexed="64"/>
      </patternFill>
    </fill>
    <fill>
      <patternFill patternType="solid">
        <fgColor theme="9"/>
        <bgColor indexed="64"/>
      </patternFill>
    </fill>
    <fill>
      <patternFill patternType="lightDown">
        <fgColor rgb="FFFFFF00"/>
        <bgColor rgb="FF00B0F0"/>
      </patternFill>
    </fill>
    <fill>
      <patternFill patternType="solid">
        <fgColor rgb="FF7FCFC7"/>
        <bgColor indexed="64"/>
      </patternFill>
    </fill>
    <fill>
      <patternFill patternType="lightDown">
        <fgColor rgb="FFFFFF00"/>
        <bgColor rgb="FFFFC000"/>
      </patternFill>
    </fill>
  </fills>
  <borders count="102">
    <border>
      <left/>
      <right/>
      <top/>
      <bottom/>
      <diagonal/>
    </border>
    <border>
      <left style="medium">
        <color rgb="FF6F7070"/>
      </left>
      <right/>
      <top style="medium">
        <color rgb="FF6F7070"/>
      </top>
      <bottom style="medium">
        <color rgb="FF6F7070"/>
      </bottom>
      <diagonal/>
    </border>
    <border>
      <left/>
      <right/>
      <top style="medium">
        <color rgb="FF6F7070"/>
      </top>
      <bottom style="medium">
        <color rgb="FF6F7070"/>
      </bottom>
      <diagonal/>
    </border>
    <border>
      <left/>
      <right style="medium">
        <color rgb="FF6F7070"/>
      </right>
      <top style="medium">
        <color rgb="FF6F7070"/>
      </top>
      <bottom style="medium">
        <color rgb="FF6F7070"/>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medium">
        <color theme="0" tint="-0.24994659260841701"/>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theme="0" tint="-0.24994659260841701"/>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24994659260841701"/>
      </left>
      <right/>
      <top/>
      <bottom style="medium">
        <color theme="0" tint="-0.24994659260841701"/>
      </bottom>
      <diagonal/>
    </border>
    <border>
      <left/>
      <right/>
      <top/>
      <bottom style="medium">
        <color theme="0" tint="-0.24994659260841701"/>
      </bottom>
      <diagonal/>
    </border>
    <border>
      <left/>
      <right style="medium">
        <color theme="0" tint="-0.24994659260841701"/>
      </right>
      <top/>
      <bottom style="medium">
        <color theme="0" tint="-0.24994659260841701"/>
      </bottom>
      <diagonal/>
    </border>
    <border>
      <left style="medium">
        <color theme="0" tint="-0.24994659260841701"/>
      </left>
      <right/>
      <top/>
      <bottom/>
      <diagonal/>
    </border>
    <border>
      <left/>
      <right style="medium">
        <color theme="0" tint="-0.24994659260841701"/>
      </right>
      <top/>
      <bottom/>
      <diagonal/>
    </border>
    <border>
      <left style="medium">
        <color theme="0" tint="-0.249977111117893"/>
      </left>
      <right/>
      <top style="medium">
        <color theme="0" tint="-0.249977111117893"/>
      </top>
      <bottom style="medium">
        <color theme="0" tint="-0.249977111117893"/>
      </bottom>
      <diagonal/>
    </border>
    <border>
      <left/>
      <right/>
      <top style="medium">
        <color theme="0" tint="-0.249977111117893"/>
      </top>
      <bottom style="medium">
        <color theme="0" tint="-0.249977111117893"/>
      </bottom>
      <diagonal/>
    </border>
    <border>
      <left/>
      <right style="medium">
        <color theme="0" tint="-0.249977111117893"/>
      </right>
      <top style="medium">
        <color theme="0" tint="-0.249977111117893"/>
      </top>
      <bottom style="medium">
        <color theme="0" tint="-0.249977111117893"/>
      </bottom>
      <diagonal/>
    </border>
    <border>
      <left style="medium">
        <color theme="0" tint="-0.249977111117893"/>
      </left>
      <right/>
      <top style="medium">
        <color theme="0" tint="-0.249977111117893"/>
      </top>
      <bottom/>
      <diagonal/>
    </border>
    <border>
      <left/>
      <right/>
      <top style="medium">
        <color theme="0" tint="-0.249977111117893"/>
      </top>
      <bottom/>
      <diagonal/>
    </border>
    <border>
      <left/>
      <right style="medium">
        <color theme="0" tint="-0.249977111117893"/>
      </right>
      <top style="medium">
        <color theme="0" tint="-0.249977111117893"/>
      </top>
      <bottom/>
      <diagonal/>
    </border>
    <border>
      <left style="medium">
        <color theme="0" tint="-0.249977111117893"/>
      </left>
      <right/>
      <top/>
      <bottom/>
      <diagonal/>
    </border>
    <border>
      <left/>
      <right style="medium">
        <color theme="0" tint="-0.249977111117893"/>
      </right>
      <top/>
      <bottom/>
      <diagonal/>
    </border>
    <border>
      <left style="medium">
        <color theme="0" tint="-0.249977111117893"/>
      </left>
      <right/>
      <top/>
      <bottom style="medium">
        <color theme="0" tint="-0.249977111117893"/>
      </bottom>
      <diagonal/>
    </border>
    <border>
      <left/>
      <right/>
      <top/>
      <bottom style="medium">
        <color theme="0" tint="-0.249977111117893"/>
      </bottom>
      <diagonal/>
    </border>
    <border>
      <left/>
      <right style="medium">
        <color theme="0" tint="-0.249977111117893"/>
      </right>
      <top/>
      <bottom style="medium">
        <color theme="0" tint="-0.249977111117893"/>
      </bottom>
      <diagonal/>
    </border>
    <border>
      <left style="thin">
        <color indexed="64"/>
      </left>
      <right/>
      <top style="medium">
        <color theme="0" tint="-0.249977111117893"/>
      </top>
      <bottom/>
      <diagonal/>
    </border>
    <border>
      <left/>
      <right style="thin">
        <color indexed="64"/>
      </right>
      <top style="medium">
        <color theme="0" tint="-0.249977111117893"/>
      </top>
      <bottom/>
      <diagonal/>
    </border>
    <border>
      <left style="medium">
        <color theme="0" tint="-0.24994659260841701"/>
      </left>
      <right style="thin">
        <color theme="0" tint="-0.24994659260841701"/>
      </right>
      <top style="medium">
        <color theme="0" tint="-0.24994659260841701"/>
      </top>
      <bottom style="thin">
        <color theme="0" tint="-0.24994659260841701"/>
      </bottom>
      <diagonal/>
    </border>
    <border>
      <left style="thin">
        <color theme="0" tint="-0.24994659260841701"/>
      </left>
      <right style="thin">
        <color theme="0" tint="-0.24994659260841701"/>
      </right>
      <top style="medium">
        <color theme="0" tint="-0.24994659260841701"/>
      </top>
      <bottom style="thin">
        <color theme="0" tint="-0.24994659260841701"/>
      </bottom>
      <diagonal/>
    </border>
    <border>
      <left style="thin">
        <color theme="0" tint="-0.24994659260841701"/>
      </left>
      <right style="medium">
        <color theme="0" tint="-0.24994659260841701"/>
      </right>
      <top style="medium">
        <color theme="0" tint="-0.24994659260841701"/>
      </top>
      <bottom style="thin">
        <color theme="0" tint="-0.24994659260841701"/>
      </bottom>
      <diagonal/>
    </border>
    <border>
      <left style="medium">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medium">
        <color theme="0" tint="-0.24994659260841701"/>
      </right>
      <top style="thin">
        <color theme="0" tint="-0.24994659260841701"/>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medium">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medium">
        <color theme="0" tint="-0.24994659260841701"/>
      </right>
      <top style="thin">
        <color theme="0" tint="-0.24994659260841701"/>
      </top>
      <bottom style="thin">
        <color theme="0" tint="-0.24994659260841701"/>
      </bottom>
      <diagonal/>
    </border>
    <border>
      <left style="medium">
        <color rgb="FFBFBFBF"/>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rgb="FFBFBFBF"/>
      </right>
      <top style="thin">
        <color theme="0" tint="-0.24994659260841701"/>
      </top>
      <bottom style="thin">
        <color theme="0" tint="-0.24994659260841701"/>
      </bottom>
      <diagonal/>
    </border>
    <border>
      <left/>
      <right style="medium">
        <color rgb="FFBFBFBF"/>
      </right>
      <top style="thin">
        <color theme="0" tint="-0.24994659260841701"/>
      </top>
      <bottom style="thin">
        <color theme="0" tint="-0.24994659260841701"/>
      </bottom>
      <diagonal/>
    </border>
    <border>
      <left style="medium">
        <color rgb="FFBFBFBF"/>
      </left>
      <right style="thin">
        <color theme="0" tint="-0.24994659260841701"/>
      </right>
      <top style="thin">
        <color theme="0" tint="-0.24994659260841701"/>
      </top>
      <bottom style="medium">
        <color rgb="FFBFBFBF"/>
      </bottom>
      <diagonal/>
    </border>
    <border>
      <left style="thin">
        <color theme="0" tint="-0.24994659260841701"/>
      </left>
      <right style="thin">
        <color theme="0" tint="-0.24994659260841701"/>
      </right>
      <top style="thin">
        <color theme="0" tint="-0.24994659260841701"/>
      </top>
      <bottom style="medium">
        <color rgb="FFBFBFBF"/>
      </bottom>
      <diagonal/>
    </border>
    <border>
      <left style="thin">
        <color theme="0" tint="-0.24994659260841701"/>
      </left>
      <right style="medium">
        <color rgb="FFBFBFBF"/>
      </right>
      <top style="thin">
        <color theme="0" tint="-0.24994659260841701"/>
      </top>
      <bottom style="medium">
        <color rgb="FFBFBFBF"/>
      </bottom>
      <diagonal/>
    </border>
    <border>
      <left style="thin">
        <color indexed="64"/>
      </left>
      <right/>
      <top style="thin">
        <color indexed="64"/>
      </top>
      <bottom/>
      <diagonal/>
    </border>
    <border>
      <left/>
      <right style="thin">
        <color indexed="64"/>
      </right>
      <top style="thin">
        <color indexed="64"/>
      </top>
      <bottom/>
      <diagonal/>
    </border>
    <border>
      <left style="thin">
        <color theme="1"/>
      </left>
      <right/>
      <top/>
      <bottom/>
      <diagonal/>
    </border>
    <border>
      <left/>
      <right style="thin">
        <color theme="1"/>
      </right>
      <top/>
      <bottom/>
      <diagonal/>
    </border>
    <border>
      <left style="thin">
        <color theme="1"/>
      </left>
      <right/>
      <top/>
      <bottom style="thin">
        <color theme="1"/>
      </bottom>
      <diagonal/>
    </border>
    <border>
      <left style="medium">
        <color rgb="FFBFBFBF"/>
      </left>
      <right/>
      <top style="medium">
        <color rgb="FFBFBFBF"/>
      </top>
      <bottom style="medium">
        <color rgb="FFBFBFBF"/>
      </bottom>
      <diagonal/>
    </border>
    <border>
      <left/>
      <right/>
      <top style="medium">
        <color rgb="FFBFBFBF"/>
      </top>
      <bottom style="medium">
        <color rgb="FFBFBFBF"/>
      </bottom>
      <diagonal/>
    </border>
    <border>
      <left/>
      <right style="medium">
        <color rgb="FFBFBFBF"/>
      </right>
      <top style="medium">
        <color rgb="FFBFBFBF"/>
      </top>
      <bottom style="medium">
        <color rgb="FFBFBFBF"/>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right/>
      <top/>
      <bottom style="thin">
        <color theme="1"/>
      </bottom>
      <diagonal/>
    </border>
    <border>
      <left/>
      <right style="thin">
        <color theme="1"/>
      </right>
      <top/>
      <bottom style="thin">
        <color theme="1"/>
      </bottom>
      <diagonal/>
    </border>
    <border>
      <left style="thin">
        <color theme="1"/>
      </left>
      <right/>
      <top style="medium">
        <color rgb="FFBFBFBF"/>
      </top>
      <bottom/>
      <diagonal/>
    </border>
    <border>
      <left/>
      <right/>
      <top style="medium">
        <color rgb="FFBFBFBF"/>
      </top>
      <bottom/>
      <diagonal/>
    </border>
    <border>
      <left/>
      <right style="thin">
        <color theme="1"/>
      </right>
      <top style="medium">
        <color rgb="FFBFBFBF"/>
      </top>
      <bottom/>
      <diagonal/>
    </border>
    <border>
      <left style="thin">
        <color indexed="64"/>
      </left>
      <right/>
      <top style="thin">
        <color theme="1"/>
      </top>
      <bottom style="thin">
        <color indexed="64"/>
      </bottom>
      <diagonal/>
    </border>
    <border>
      <left/>
      <right style="thin">
        <color theme="1"/>
      </right>
      <top style="thin">
        <color theme="1"/>
      </top>
      <bottom style="thin">
        <color indexed="64"/>
      </bottom>
      <diagonal/>
    </border>
    <border>
      <left style="thin">
        <color theme="1"/>
      </left>
      <right/>
      <top style="thin">
        <color theme="1"/>
      </top>
      <bottom style="thin">
        <color theme="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1"/>
      </left>
      <right style="thin">
        <color theme="1"/>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1"/>
      </left>
      <right style="thin">
        <color theme="1"/>
      </right>
      <top/>
      <bottom style="thin">
        <color theme="1"/>
      </bottom>
      <diagonal/>
    </border>
    <border>
      <left style="thin">
        <color indexed="64"/>
      </left>
      <right/>
      <top style="medium">
        <color rgb="FFBFBFBF"/>
      </top>
      <bottom/>
      <diagonal/>
    </border>
    <border>
      <left/>
      <right style="thin">
        <color indexed="64"/>
      </right>
      <top style="medium">
        <color rgb="FFBFBFBF"/>
      </top>
      <bottom/>
      <diagonal/>
    </border>
    <border>
      <left style="thin">
        <color theme="1"/>
      </left>
      <right/>
      <top style="thin">
        <color indexed="64"/>
      </top>
      <bottom/>
      <diagonal/>
    </border>
    <border>
      <left/>
      <right style="thin">
        <color theme="1"/>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theme="1"/>
      </left>
      <right/>
      <top/>
      <bottom style="thin">
        <color indexed="64"/>
      </bottom>
      <diagonal/>
    </border>
    <border>
      <left/>
      <right style="thin">
        <color theme="1"/>
      </right>
      <top/>
      <bottom style="thin">
        <color indexed="64"/>
      </bottom>
      <diagonal/>
    </border>
    <border>
      <left style="thin">
        <color theme="1"/>
      </left>
      <right style="thin">
        <color theme="1"/>
      </right>
      <top/>
      <bottom/>
      <diagonal/>
    </border>
    <border>
      <left style="thin">
        <color theme="1"/>
      </left>
      <right/>
      <top style="thin">
        <color indexed="64"/>
      </top>
      <bottom style="thin">
        <color indexed="64"/>
      </bottom>
      <diagonal/>
    </border>
    <border>
      <left style="medium">
        <color indexed="64"/>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thin">
        <color indexed="64"/>
      </right>
      <top/>
      <bottom style="thin">
        <color theme="1"/>
      </bottom>
      <diagonal/>
    </border>
    <border>
      <left/>
      <right style="thin">
        <color theme="1"/>
      </right>
      <top style="thin">
        <color indexed="64"/>
      </top>
      <bottom style="thin">
        <color indexed="64"/>
      </bottom>
      <diagonal/>
    </border>
    <border>
      <left style="medium">
        <color theme="0" tint="-0.24994659260841701"/>
      </left>
      <right/>
      <top style="medium">
        <color theme="0" tint="-0.24994659260841701"/>
      </top>
      <bottom style="medium">
        <color theme="0" tint="-0.24994659260841701"/>
      </bottom>
      <diagonal/>
    </border>
    <border>
      <left/>
      <right/>
      <top style="medium">
        <color theme="0" tint="-0.24994659260841701"/>
      </top>
      <bottom style="medium">
        <color theme="0" tint="-0.24994659260841701"/>
      </bottom>
      <diagonal/>
    </border>
    <border>
      <left/>
      <right style="medium">
        <color theme="0" tint="-0.24994659260841701"/>
      </right>
      <top style="medium">
        <color theme="0" tint="-0.24994659260841701"/>
      </top>
      <bottom style="medium">
        <color theme="0" tint="-0.24994659260841701"/>
      </bottom>
      <diagonal/>
    </border>
    <border>
      <left style="thin">
        <color indexed="64"/>
      </left>
      <right/>
      <top/>
      <bottom style="thin">
        <color theme="1"/>
      </bottom>
      <diagonal/>
    </border>
  </borders>
  <cellStyleXfs count="5">
    <xf numFmtId="0" fontId="0" fillId="0" borderId="0"/>
    <xf numFmtId="0" fontId="8" fillId="0" borderId="0" applyNumberFormat="0" applyFill="0" applyBorder="0" applyAlignment="0" applyProtection="0"/>
    <xf numFmtId="9" fontId="13" fillId="0" borderId="0" applyFont="0" applyFill="0" applyBorder="0" applyAlignment="0" applyProtection="0"/>
    <xf numFmtId="43" fontId="30" fillId="0" borderId="0" applyFont="0" applyFill="0" applyBorder="0" applyAlignment="0" applyProtection="0"/>
    <xf numFmtId="44" fontId="30" fillId="0" borderId="0" applyFont="0" applyFill="0" applyBorder="0" applyAlignment="0" applyProtection="0"/>
  </cellStyleXfs>
  <cellXfs count="1225">
    <xf numFmtId="0" fontId="0" fillId="0" borderId="0" xfId="0"/>
    <xf numFmtId="0" fontId="6" fillId="0" borderId="0" xfId="4" applyNumberFormat="1" applyFont="1" applyFill="1" applyBorder="1" applyAlignment="1">
      <alignment vertical="center" wrapText="1"/>
    </xf>
    <xf numFmtId="0" fontId="7" fillId="0" borderId="0" xfId="3" applyNumberFormat="1" applyFont="1" applyFill="1" applyBorder="1" applyAlignment="1">
      <alignment horizontal="center" vertical="center" wrapText="1" shrinkToFit="1"/>
    </xf>
    <xf numFmtId="0" fontId="11" fillId="0" borderId="0" xfId="0" applyFont="1"/>
    <xf numFmtId="0" fontId="19" fillId="3" borderId="15" xfId="0" applyFont="1" applyFill="1" applyBorder="1"/>
    <xf numFmtId="0" fontId="20" fillId="3" borderId="10" xfId="0" applyFont="1" applyFill="1" applyBorder="1"/>
    <xf numFmtId="0" fontId="19" fillId="3" borderId="10" xfId="0" applyFont="1" applyFill="1" applyBorder="1"/>
    <xf numFmtId="0" fontId="19" fillId="3" borderId="16" xfId="0" applyFont="1" applyFill="1" applyBorder="1"/>
    <xf numFmtId="0" fontId="2" fillId="3" borderId="15" xfId="0" applyFont="1" applyFill="1" applyBorder="1"/>
    <xf numFmtId="0" fontId="2" fillId="3" borderId="10" xfId="0" applyFont="1" applyFill="1" applyBorder="1"/>
    <xf numFmtId="0" fontId="2" fillId="3" borderId="16" xfId="0" applyFont="1" applyFill="1" applyBorder="1"/>
    <xf numFmtId="0" fontId="19" fillId="3" borderId="17" xfId="0" applyFont="1" applyFill="1" applyBorder="1"/>
    <xf numFmtId="0" fontId="19" fillId="3" borderId="19" xfId="0" applyFont="1" applyFill="1" applyBorder="1"/>
    <xf numFmtId="0" fontId="2" fillId="3" borderId="17" xfId="0" applyFont="1" applyFill="1" applyBorder="1"/>
    <xf numFmtId="0" fontId="2" fillId="3" borderId="19" xfId="0" applyFont="1" applyFill="1" applyBorder="1"/>
    <xf numFmtId="0" fontId="31" fillId="0" borderId="0" xfId="0" applyFont="1" applyAlignment="1">
      <alignment horizontal="center" vertical="center" wrapText="1"/>
    </xf>
    <xf numFmtId="0" fontId="11" fillId="0" borderId="0" xfId="0" applyFont="1" applyAlignment="1">
      <alignment vertical="center"/>
    </xf>
    <xf numFmtId="0" fontId="11" fillId="0" borderId="0" xfId="0" applyFont="1" applyAlignment="1">
      <alignment vertical="center" wrapText="1"/>
    </xf>
    <xf numFmtId="0" fontId="5" fillId="4" borderId="38" xfId="0" applyFont="1" applyFill="1" applyBorder="1" applyAlignment="1">
      <alignment horizontal="center" vertical="center" wrapText="1"/>
    </xf>
    <xf numFmtId="0" fontId="19" fillId="0" borderId="0" xfId="0" applyFont="1" applyAlignment="1">
      <alignment horizontal="center" vertical="center" wrapText="1"/>
    </xf>
    <xf numFmtId="0" fontId="46" fillId="0" borderId="0" xfId="1" applyNumberFormat="1" applyFont="1" applyFill="1" applyAlignment="1">
      <alignment vertical="center" wrapText="1"/>
    </xf>
    <xf numFmtId="0" fontId="15" fillId="0" borderId="0" xfId="0" applyFont="1" applyAlignment="1">
      <alignment horizontal="center" vertical="center" wrapText="1"/>
    </xf>
    <xf numFmtId="0" fontId="15" fillId="0" borderId="0" xfId="0" applyFont="1" applyAlignment="1">
      <alignment horizontal="center" vertical="center"/>
    </xf>
    <xf numFmtId="0" fontId="12" fillId="0" borderId="0" xfId="0" applyFont="1" applyAlignment="1">
      <alignment vertical="center"/>
    </xf>
    <xf numFmtId="0" fontId="11" fillId="0" borderId="0" xfId="0" applyFont="1" applyAlignment="1">
      <alignment horizontal="center"/>
    </xf>
    <xf numFmtId="0" fontId="15" fillId="0" borderId="0" xfId="0" applyFont="1" applyAlignment="1">
      <alignment vertical="center" wrapText="1"/>
    </xf>
    <xf numFmtId="0" fontId="3" fillId="0" borderId="0" xfId="0" applyFont="1" applyAlignment="1">
      <alignment horizontal="justify" vertical="center"/>
    </xf>
    <xf numFmtId="0" fontId="17" fillId="0" borderId="0" xfId="0" applyFont="1" applyAlignment="1">
      <alignment horizontal="justify" vertical="center"/>
    </xf>
    <xf numFmtId="0" fontId="18" fillId="0" borderId="0" xfId="0" applyFont="1" applyAlignment="1">
      <alignment horizontal="justify" vertical="center"/>
    </xf>
    <xf numFmtId="0" fontId="24" fillId="0" borderId="0" xfId="0" applyFont="1" applyAlignment="1">
      <alignment horizontal="justify" vertical="center"/>
    </xf>
    <xf numFmtId="0" fontId="43" fillId="0" borderId="0" xfId="0" applyFont="1" applyAlignment="1">
      <alignment horizontal="justify" vertical="center"/>
    </xf>
    <xf numFmtId="0" fontId="14" fillId="0" borderId="0" xfId="0" applyFont="1" applyAlignment="1">
      <alignment horizontal="justify" vertical="center"/>
    </xf>
    <xf numFmtId="0" fontId="6" fillId="0" borderId="15" xfId="0" applyFont="1" applyBorder="1"/>
    <xf numFmtId="0" fontId="6" fillId="0" borderId="10" xfId="0" applyFont="1" applyBorder="1"/>
    <xf numFmtId="0" fontId="6" fillId="0" borderId="16" xfId="0" applyFont="1" applyBorder="1"/>
    <xf numFmtId="0" fontId="6" fillId="0" borderId="20" xfId="0" applyFont="1" applyBorder="1"/>
    <xf numFmtId="0" fontId="6" fillId="0" borderId="0" xfId="0" applyFont="1" applyAlignment="1">
      <alignment horizontal="justify" vertical="center" wrapText="1"/>
    </xf>
    <xf numFmtId="0" fontId="6" fillId="0" borderId="21" xfId="0" applyFont="1" applyBorder="1"/>
    <xf numFmtId="0" fontId="6" fillId="0" borderId="0" xfId="0" applyFont="1"/>
    <xf numFmtId="0" fontId="6" fillId="0" borderId="17" xfId="0" applyFont="1" applyBorder="1"/>
    <xf numFmtId="0" fontId="6" fillId="0" borderId="18" xfId="0" applyFont="1" applyBorder="1"/>
    <xf numFmtId="0" fontId="6" fillId="0" borderId="19" xfId="0" applyFont="1" applyBorder="1"/>
    <xf numFmtId="0" fontId="6" fillId="0" borderId="0" xfId="0" applyFont="1" applyAlignment="1">
      <alignment horizontal="left" vertical="center" wrapText="1"/>
    </xf>
    <xf numFmtId="0" fontId="6" fillId="0" borderId="12" xfId="0" applyFont="1" applyBorder="1" applyAlignment="1">
      <alignment horizontal="center" vertical="center" wrapText="1"/>
    </xf>
    <xf numFmtId="0" fontId="6" fillId="0" borderId="14" xfId="0" applyFont="1" applyBorder="1" applyAlignment="1">
      <alignment horizontal="center" vertical="center" wrapText="1"/>
    </xf>
    <xf numFmtId="0" fontId="7" fillId="0" borderId="0" xfId="0" applyFont="1" applyAlignment="1">
      <alignment vertical="center"/>
    </xf>
    <xf numFmtId="0" fontId="6" fillId="0" borderId="0" xfId="0" applyFont="1" applyAlignment="1">
      <alignment horizontal="justify" vertical="top" wrapText="1"/>
    </xf>
    <xf numFmtId="0" fontId="7" fillId="0" borderId="0" xfId="0" applyFont="1" applyAlignment="1">
      <alignment vertical="top" wrapText="1"/>
    </xf>
    <xf numFmtId="0" fontId="6" fillId="0" borderId="0" xfId="0" applyFont="1" applyAlignment="1">
      <alignment vertical="top" wrapText="1"/>
    </xf>
    <xf numFmtId="0" fontId="7" fillId="0" borderId="0" xfId="0" applyFont="1" applyAlignment="1">
      <alignment horizontal="center" vertical="top" wrapText="1"/>
    </xf>
    <xf numFmtId="0" fontId="6" fillId="0" borderId="0" xfId="0" applyFont="1" applyAlignment="1">
      <alignment horizontal="center" vertical="top" wrapText="1"/>
    </xf>
    <xf numFmtId="0" fontId="6" fillId="0" borderId="0" xfId="0" applyFont="1" applyAlignment="1">
      <alignment vertical="center" wrapText="1"/>
    </xf>
    <xf numFmtId="0" fontId="7" fillId="0" borderId="18" xfId="0" applyFont="1" applyBorder="1" applyAlignment="1">
      <alignment vertical="center" wrapText="1"/>
    </xf>
    <xf numFmtId="0" fontId="6" fillId="0" borderId="18" xfId="0" applyFont="1" applyBorder="1" applyAlignment="1">
      <alignment vertical="top"/>
    </xf>
    <xf numFmtId="0" fontId="6" fillId="0" borderId="0" xfId="0" applyFont="1" applyAlignment="1">
      <alignment vertical="center"/>
    </xf>
    <xf numFmtId="0" fontId="28" fillId="0" borderId="22" xfId="0" applyFont="1" applyBorder="1" applyAlignment="1">
      <alignment wrapText="1"/>
    </xf>
    <xf numFmtId="0" fontId="28" fillId="0" borderId="24" xfId="0" applyFont="1" applyBorder="1" applyAlignment="1">
      <alignment wrapText="1"/>
    </xf>
    <xf numFmtId="0" fontId="10" fillId="0" borderId="0" xfId="0" applyFont="1"/>
    <xf numFmtId="0" fontId="10" fillId="0" borderId="25" xfId="0" applyFont="1" applyBorder="1"/>
    <xf numFmtId="0" fontId="10" fillId="0" borderId="26" xfId="0" applyFont="1" applyBorder="1"/>
    <xf numFmtId="0" fontId="10" fillId="0" borderId="27" xfId="0" applyFont="1" applyBorder="1"/>
    <xf numFmtId="0" fontId="10" fillId="0" borderId="28" xfId="0" applyFont="1" applyBorder="1"/>
    <xf numFmtId="0" fontId="10" fillId="0" borderId="29" xfId="0" applyFont="1" applyBorder="1"/>
    <xf numFmtId="0" fontId="6" fillId="0" borderId="4" xfId="0" applyFont="1" applyBorder="1"/>
    <xf numFmtId="0" fontId="10" fillId="0" borderId="30" xfId="0" applyFont="1" applyBorder="1"/>
    <xf numFmtId="0" fontId="10" fillId="0" borderId="31" xfId="0" applyFont="1" applyBorder="1"/>
    <xf numFmtId="0" fontId="10" fillId="0" borderId="32" xfId="0" applyFont="1" applyBorder="1"/>
    <xf numFmtId="0" fontId="7" fillId="0" borderId="25" xfId="0" applyFont="1" applyBorder="1" applyAlignment="1">
      <alignment vertical="center"/>
    </xf>
    <xf numFmtId="0" fontId="7" fillId="0" borderId="26" xfId="0" applyFont="1" applyBorder="1" applyAlignment="1">
      <alignment vertical="center"/>
    </xf>
    <xf numFmtId="0" fontId="7" fillId="0" borderId="27" xfId="0" applyFont="1" applyBorder="1" applyAlignment="1">
      <alignment vertical="center"/>
    </xf>
    <xf numFmtId="0" fontId="6" fillId="0" borderId="0" xfId="0" applyFont="1" applyAlignment="1">
      <alignment horizontal="center" vertical="center"/>
    </xf>
    <xf numFmtId="0" fontId="44" fillId="0" borderId="49" xfId="0" applyFont="1" applyBorder="1" applyAlignment="1">
      <alignment horizontal="center" vertical="center" wrapText="1"/>
    </xf>
    <xf numFmtId="0" fontId="44" fillId="0" borderId="52" xfId="0" applyFont="1" applyBorder="1" applyAlignment="1">
      <alignment horizontal="center" vertical="center" wrapText="1"/>
    </xf>
    <xf numFmtId="0" fontId="11" fillId="0" borderId="0" xfId="0" applyFont="1" applyAlignment="1">
      <alignment vertical="top"/>
    </xf>
    <xf numFmtId="0" fontId="29" fillId="0" borderId="5" xfId="0" applyFont="1" applyBorder="1" applyAlignment="1">
      <alignment horizontal="left" vertical="center"/>
    </xf>
    <xf numFmtId="0" fontId="28" fillId="0" borderId="0" xfId="0" applyFont="1" applyAlignment="1">
      <alignment horizontal="justify" vertical="center" wrapText="1"/>
    </xf>
    <xf numFmtId="0" fontId="6" fillId="0" borderId="5" xfId="0" applyFont="1" applyBorder="1"/>
    <xf numFmtId="0" fontId="28" fillId="0" borderId="0" xfId="0" applyFont="1" applyAlignment="1">
      <alignment vertical="center" wrapText="1"/>
    </xf>
    <xf numFmtId="0" fontId="11" fillId="0" borderId="0" xfId="0" applyFont="1" applyAlignment="1">
      <alignment horizontal="left" vertical="center" indent="4"/>
    </xf>
    <xf numFmtId="0" fontId="6" fillId="0" borderId="5" xfId="0" applyFont="1" applyBorder="1" applyAlignment="1">
      <alignment horizontal="left" vertical="center" indent="4"/>
    </xf>
    <xf numFmtId="0" fontId="6" fillId="0" borderId="7" xfId="0" applyFont="1" applyBorder="1"/>
    <xf numFmtId="0" fontId="28" fillId="0" borderId="8" xfId="0" applyFont="1" applyBorder="1" applyAlignment="1">
      <alignment vertical="center" wrapText="1"/>
    </xf>
    <xf numFmtId="0" fontId="28" fillId="0" borderId="8" xfId="0" applyFont="1" applyBorder="1" applyAlignment="1">
      <alignment horizontal="justify" vertical="center" wrapText="1"/>
    </xf>
    <xf numFmtId="0" fontId="45" fillId="0" borderId="0" xfId="0" applyFont="1"/>
    <xf numFmtId="0" fontId="6" fillId="0" borderId="0" xfId="0" applyFont="1" applyAlignment="1">
      <alignment horizontal="center" vertical="center" wrapText="1"/>
    </xf>
    <xf numFmtId="0" fontId="10" fillId="0" borderId="89" xfId="0" applyFont="1" applyBorder="1"/>
    <xf numFmtId="0" fontId="28" fillId="0" borderId="0" xfId="0" applyFont="1" applyAlignment="1">
      <alignment horizontal="justify" vertical="center"/>
    </xf>
    <xf numFmtId="0" fontId="6" fillId="0" borderId="13" xfId="0" applyFont="1" applyBorder="1" applyAlignment="1" applyProtection="1">
      <alignment horizontal="center" vertical="center" wrapText="1"/>
      <protection locked="0"/>
    </xf>
    <xf numFmtId="0" fontId="6" fillId="0" borderId="14" xfId="0" applyFont="1" applyBorder="1" applyAlignment="1" applyProtection="1">
      <alignment horizontal="center" vertical="center" wrapText="1"/>
      <protection locked="0"/>
    </xf>
    <xf numFmtId="0" fontId="36" fillId="0" borderId="0" xfId="0" applyFont="1" applyAlignment="1">
      <alignment wrapText="1"/>
    </xf>
    <xf numFmtId="0" fontId="37" fillId="0" borderId="0" xfId="0" applyFont="1"/>
    <xf numFmtId="0" fontId="23" fillId="0" borderId="0" xfId="0" applyFont="1"/>
    <xf numFmtId="0" fontId="6" fillId="0" borderId="81" xfId="0" applyFont="1" applyBorder="1" applyAlignment="1">
      <alignment horizontal="center" vertical="center" wrapText="1"/>
    </xf>
    <xf numFmtId="0" fontId="6" fillId="0" borderId="0" xfId="0" applyFont="1" applyAlignment="1">
      <alignment wrapText="1"/>
    </xf>
    <xf numFmtId="0" fontId="31" fillId="0" borderId="0" xfId="0" applyFont="1" applyAlignment="1">
      <alignment wrapText="1"/>
    </xf>
    <xf numFmtId="0" fontId="10" fillId="0" borderId="7" xfId="0" applyFont="1" applyBorder="1"/>
    <xf numFmtId="0" fontId="36" fillId="0" borderId="0" xfId="0" applyFont="1" applyAlignment="1">
      <alignment horizontal="center" vertical="top" wrapText="1"/>
    </xf>
    <xf numFmtId="0" fontId="6" fillId="0" borderId="59" xfId="0" applyFont="1" applyBorder="1" applyAlignment="1">
      <alignment horizontal="center" vertical="center" wrapText="1"/>
    </xf>
    <xf numFmtId="0" fontId="6" fillId="0" borderId="73" xfId="0" applyFont="1" applyBorder="1" applyAlignment="1">
      <alignment horizontal="center" vertical="center" wrapText="1"/>
    </xf>
    <xf numFmtId="0" fontId="39" fillId="0" borderId="0" xfId="0" applyFont="1" applyAlignment="1">
      <alignment horizontal="right" vertical="center" wrapText="1"/>
    </xf>
    <xf numFmtId="0" fontId="38" fillId="0" borderId="14" xfId="0" applyFont="1" applyBorder="1" applyAlignment="1" applyProtection="1">
      <alignment horizontal="center" vertical="center" wrapText="1"/>
      <protection locked="0"/>
    </xf>
    <xf numFmtId="0" fontId="10" fillId="0" borderId="5" xfId="0" applyFont="1" applyBorder="1"/>
    <xf numFmtId="0" fontId="7" fillId="0" borderId="0" xfId="0" applyFont="1" applyAlignment="1">
      <alignment horizontal="justify" vertical="center"/>
    </xf>
    <xf numFmtId="0" fontId="33" fillId="0" borderId="0" xfId="0" applyFont="1" applyAlignment="1">
      <alignment horizontal="center" vertical="top" wrapText="1"/>
    </xf>
    <xf numFmtId="0" fontId="38" fillId="0" borderId="0" xfId="0" applyFont="1" applyAlignment="1">
      <alignment horizontal="center" vertical="center" wrapText="1"/>
    </xf>
    <xf numFmtId="0" fontId="7" fillId="0" borderId="0" xfId="0" applyFont="1" applyAlignment="1">
      <alignment horizontal="justify" vertical="top" wrapText="1"/>
    </xf>
    <xf numFmtId="0" fontId="7" fillId="0" borderId="0" xfId="0" applyFont="1" applyAlignment="1">
      <alignment horizontal="left" vertical="center"/>
    </xf>
    <xf numFmtId="0" fontId="14" fillId="0" borderId="0" xfId="0" applyFont="1"/>
    <xf numFmtId="0" fontId="7" fillId="0" borderId="0" xfId="0" applyFont="1" applyAlignment="1">
      <alignment horizontal="center" vertical="top"/>
    </xf>
    <xf numFmtId="0" fontId="25" fillId="0" borderId="0" xfId="0" applyFont="1"/>
    <xf numFmtId="0" fontId="33" fillId="0" borderId="0" xfId="0" applyFont="1" applyAlignment="1">
      <alignment wrapText="1"/>
    </xf>
    <xf numFmtId="0" fontId="34" fillId="0" borderId="57" xfId="0" applyFont="1" applyBorder="1" applyAlignment="1">
      <alignment horizontal="center" vertical="top"/>
    </xf>
    <xf numFmtId="0" fontId="33" fillId="0" borderId="0" xfId="0" applyFont="1" applyAlignment="1">
      <alignment vertical="top" wrapText="1"/>
    </xf>
    <xf numFmtId="0" fontId="10" fillId="0" borderId="0" xfId="0" applyFont="1" applyAlignment="1">
      <alignment vertical="center"/>
    </xf>
    <xf numFmtId="0" fontId="29" fillId="0" borderId="7" xfId="0" applyFont="1" applyBorder="1" applyAlignment="1">
      <alignment horizontal="left" vertical="center"/>
    </xf>
    <xf numFmtId="0" fontId="11" fillId="0" borderId="0" xfId="0" applyFont="1" applyAlignment="1">
      <alignment wrapText="1"/>
    </xf>
    <xf numFmtId="0" fontId="38" fillId="0" borderId="13" xfId="0" applyFont="1" applyBorder="1" applyAlignment="1" applyProtection="1">
      <alignment horizontal="center" vertical="center" wrapText="1"/>
      <protection locked="0"/>
    </xf>
    <xf numFmtId="0" fontId="39" fillId="0" borderId="0" xfId="0" applyFont="1" applyAlignment="1">
      <alignment horizontal="right" vertical="center"/>
    </xf>
    <xf numFmtId="0" fontId="7" fillId="0" borderId="0" xfId="0" applyFont="1" applyAlignment="1">
      <alignment horizontal="justify" vertical="top"/>
    </xf>
    <xf numFmtId="0" fontId="11" fillId="0" borderId="0" xfId="0" applyFont="1" applyAlignment="1">
      <alignment vertical="top" wrapText="1"/>
    </xf>
    <xf numFmtId="0" fontId="7" fillId="0" borderId="0" xfId="0" applyFont="1" applyAlignment="1">
      <alignment horizontal="center" vertical="center" wrapText="1"/>
    </xf>
    <xf numFmtId="0" fontId="6" fillId="0" borderId="12" xfId="0" applyFont="1" applyBorder="1" applyAlignment="1">
      <alignment horizontal="center" vertical="center" textRotation="90" wrapText="1"/>
    </xf>
    <xf numFmtId="0" fontId="29" fillId="0" borderId="7" xfId="0" applyFont="1" applyBorder="1" applyAlignment="1">
      <alignment vertical="center" wrapText="1"/>
    </xf>
    <xf numFmtId="0" fontId="14" fillId="0" borderId="0" xfId="0" applyFont="1" applyAlignment="1">
      <alignment vertical="center"/>
    </xf>
    <xf numFmtId="0" fontId="38" fillId="0" borderId="14" xfId="0" applyFont="1" applyBorder="1" applyAlignment="1">
      <alignment horizontal="center" vertical="center" wrapText="1"/>
    </xf>
    <xf numFmtId="0" fontId="6" fillId="0" borderId="4" xfId="0" applyFont="1" applyBorder="1" applyAlignment="1">
      <alignment horizontal="center" vertical="center" wrapText="1"/>
    </xf>
    <xf numFmtId="0" fontId="6" fillId="0" borderId="7" xfId="0" applyFont="1" applyBorder="1" applyAlignment="1">
      <alignment horizontal="center" vertical="center" wrapText="1"/>
    </xf>
    <xf numFmtId="0" fontId="7" fillId="0" borderId="14" xfId="0" applyFont="1" applyBorder="1" applyAlignment="1">
      <alignment horizontal="center" vertical="center" textRotation="90" wrapText="1"/>
    </xf>
    <xf numFmtId="0" fontId="6" fillId="0" borderId="14" xfId="0" applyFont="1" applyBorder="1" applyAlignment="1">
      <alignment horizontal="center" vertical="center" textRotation="90" wrapText="1"/>
    </xf>
    <xf numFmtId="0" fontId="7" fillId="0" borderId="14" xfId="0" applyFont="1" applyBorder="1" applyAlignment="1">
      <alignment horizontal="center" vertical="center" textRotation="90"/>
    </xf>
    <xf numFmtId="0" fontId="29" fillId="0" borderId="5" xfId="0" applyFont="1" applyBorder="1" applyAlignment="1">
      <alignment vertical="center" wrapText="1"/>
    </xf>
    <xf numFmtId="0" fontId="7" fillId="0" borderId="0" xfId="0" applyFont="1" applyAlignment="1">
      <alignment vertical="center" wrapText="1"/>
    </xf>
    <xf numFmtId="0" fontId="28" fillId="0" borderId="0" xfId="0" applyFont="1" applyAlignment="1">
      <alignment vertical="top" wrapText="1"/>
    </xf>
    <xf numFmtId="0" fontId="10" fillId="0" borderId="7" xfId="0" applyFont="1" applyBorder="1" applyAlignment="1">
      <alignment vertical="center"/>
    </xf>
    <xf numFmtId="0" fontId="28" fillId="0" borderId="0" xfId="0" applyFont="1" applyAlignment="1">
      <alignment horizontal="left" vertical="center" wrapText="1"/>
    </xf>
    <xf numFmtId="0" fontId="7" fillId="0" borderId="94" xfId="0" applyFont="1" applyBorder="1" applyAlignment="1" applyProtection="1">
      <alignment horizontal="center" vertical="center" wrapText="1"/>
      <protection locked="0"/>
    </xf>
    <xf numFmtId="0" fontId="6" fillId="0" borderId="0" xfId="0" applyFont="1" applyAlignment="1">
      <alignment vertical="center" textRotation="90" wrapText="1"/>
    </xf>
    <xf numFmtId="0" fontId="7" fillId="0" borderId="87" xfId="0" applyFont="1" applyBorder="1" applyAlignment="1" applyProtection="1">
      <alignment horizontal="center" vertical="center" wrapText="1"/>
      <protection locked="0"/>
    </xf>
    <xf numFmtId="0" fontId="7" fillId="0" borderId="95" xfId="0" applyFont="1" applyBorder="1" applyAlignment="1" applyProtection="1">
      <alignment horizontal="center" vertical="center" wrapText="1"/>
      <protection locked="0"/>
    </xf>
    <xf numFmtId="0" fontId="6" fillId="0" borderId="0" xfId="0" applyFont="1" applyAlignment="1">
      <alignment horizontal="justify" vertical="center"/>
    </xf>
    <xf numFmtId="0" fontId="6" fillId="0" borderId="93" xfId="0" applyFont="1" applyBorder="1" applyAlignment="1">
      <alignment vertical="center"/>
    </xf>
    <xf numFmtId="0" fontId="7" fillId="0" borderId="0" xfId="0" applyFont="1" applyAlignment="1">
      <alignment horizontal="center" vertical="center"/>
    </xf>
    <xf numFmtId="0" fontId="10" fillId="0" borderId="0" xfId="0" applyFont="1" applyAlignment="1">
      <alignment horizontal="center" vertical="top" wrapText="1"/>
    </xf>
    <xf numFmtId="0" fontId="6" fillId="0" borderId="77" xfId="0" applyFont="1" applyBorder="1" applyAlignment="1">
      <alignment horizontal="center" vertical="center" wrapText="1"/>
    </xf>
    <xf numFmtId="0" fontId="6" fillId="0" borderId="14" xfId="0" applyFont="1" applyBorder="1" applyAlignment="1">
      <alignment horizontal="center" vertical="center"/>
    </xf>
    <xf numFmtId="0" fontId="29" fillId="0" borderId="5" xfId="0" applyFont="1" applyBorder="1" applyAlignment="1">
      <alignment horizontal="justify" vertical="center"/>
    </xf>
    <xf numFmtId="0" fontId="32" fillId="0" borderId="0" xfId="0" applyFont="1" applyAlignment="1">
      <alignment wrapText="1"/>
    </xf>
    <xf numFmtId="0" fontId="23" fillId="0" borderId="0" xfId="0" applyFont="1" applyAlignment="1">
      <alignment wrapText="1"/>
    </xf>
    <xf numFmtId="0" fontId="32" fillId="0" borderId="0" xfId="0" applyFont="1" applyAlignment="1">
      <alignment horizontal="center" vertical="top" wrapText="1"/>
    </xf>
    <xf numFmtId="0" fontId="29" fillId="0" borderId="57" xfId="0" applyFont="1" applyBorder="1" applyAlignment="1">
      <alignment horizontal="left" vertical="center"/>
    </xf>
    <xf numFmtId="0" fontId="29" fillId="0" borderId="57" xfId="0" applyFont="1" applyBorder="1" applyAlignment="1">
      <alignment vertical="center" wrapText="1"/>
    </xf>
    <xf numFmtId="0" fontId="29" fillId="0" borderId="89" xfId="0" applyFont="1" applyBorder="1" applyAlignment="1">
      <alignment horizontal="left" vertical="center"/>
    </xf>
    <xf numFmtId="0" fontId="38" fillId="0" borderId="0" xfId="0" applyFont="1" applyAlignment="1">
      <alignment vertical="center"/>
    </xf>
    <xf numFmtId="0" fontId="4" fillId="0" borderId="0" xfId="0" applyFont="1" applyAlignment="1">
      <alignment horizontal="center" vertical="center" wrapText="1"/>
    </xf>
    <xf numFmtId="0" fontId="29" fillId="0" borderId="5" xfId="0" applyFont="1" applyBorder="1" applyAlignment="1">
      <alignment horizontal="justify" vertical="top"/>
    </xf>
    <xf numFmtId="0" fontId="12" fillId="0" borderId="7" xfId="0" applyFont="1" applyBorder="1" applyAlignment="1">
      <alignment horizontal="justify" vertical="center" wrapText="1"/>
    </xf>
    <xf numFmtId="0" fontId="12" fillId="0" borderId="5" xfId="0" applyFont="1" applyBorder="1" applyAlignment="1">
      <alignment horizontal="justify" vertical="center" wrapText="1"/>
    </xf>
    <xf numFmtId="0" fontId="6" fillId="0" borderId="0" xfId="0" applyFont="1" applyAlignment="1">
      <alignment horizontal="justify"/>
    </xf>
    <xf numFmtId="0" fontId="33" fillId="0" borderId="0" xfId="0" applyFont="1" applyAlignment="1">
      <alignment horizontal="center" wrapText="1"/>
    </xf>
    <xf numFmtId="0" fontId="29" fillId="0" borderId="7" xfId="0" applyFont="1" applyBorder="1" applyAlignment="1">
      <alignment horizontal="justify" vertical="top"/>
    </xf>
    <xf numFmtId="0" fontId="6" fillId="0" borderId="0" xfId="0" applyFont="1" applyAlignment="1">
      <alignment horizontal="left" vertical="center"/>
    </xf>
    <xf numFmtId="0" fontId="6" fillId="0" borderId="0" xfId="0" applyFont="1" applyAlignment="1">
      <alignment horizontal="left" vertical="top" wrapText="1"/>
    </xf>
    <xf numFmtId="0" fontId="29" fillId="0" borderId="57" xfId="0" applyFont="1" applyBorder="1" applyAlignment="1">
      <alignment horizontal="justify" vertical="center" wrapText="1"/>
    </xf>
    <xf numFmtId="0" fontId="29" fillId="0" borderId="89" xfId="0" applyFont="1" applyBorder="1" applyAlignment="1">
      <alignment horizontal="justify" vertical="center" wrapText="1"/>
    </xf>
    <xf numFmtId="0" fontId="11" fillId="0" borderId="89" xfId="0" applyFont="1" applyBorder="1"/>
    <xf numFmtId="0" fontId="7" fillId="0" borderId="0" xfId="0" applyFont="1" applyAlignment="1">
      <alignment vertical="top"/>
    </xf>
    <xf numFmtId="0" fontId="10" fillId="0" borderId="0" xfId="0" applyFont="1" applyAlignment="1">
      <alignment wrapText="1"/>
    </xf>
    <xf numFmtId="49" fontId="6" fillId="0" borderId="14" xfId="0" applyNumberFormat="1" applyFont="1" applyBorder="1" applyAlignment="1">
      <alignment horizontal="center" vertical="center" wrapText="1"/>
    </xf>
    <xf numFmtId="0" fontId="11" fillId="0" borderId="0" xfId="0" applyFont="1" applyAlignment="1">
      <alignment horizontal="center" vertical="top" wrapText="1"/>
    </xf>
    <xf numFmtId="0" fontId="37" fillId="0" borderId="0" xfId="0" applyFont="1" applyAlignment="1">
      <alignment horizontal="center" vertical="top" wrapText="1"/>
    </xf>
    <xf numFmtId="0" fontId="31" fillId="0" borderId="0" xfId="0" applyFont="1"/>
    <xf numFmtId="0" fontId="7" fillId="0" borderId="12" xfId="0" applyFont="1" applyBorder="1" applyAlignment="1">
      <alignment horizontal="center" vertical="center" textRotation="90" wrapText="1"/>
    </xf>
    <xf numFmtId="0" fontId="38" fillId="0" borderId="13" xfId="0" applyFont="1" applyBorder="1" applyAlignment="1">
      <alignment horizontal="center" vertical="center" wrapText="1"/>
    </xf>
    <xf numFmtId="0" fontId="38" fillId="0" borderId="55" xfId="0" applyFont="1" applyBorder="1" applyAlignment="1">
      <alignment vertical="center" wrapText="1"/>
    </xf>
    <xf numFmtId="0" fontId="38" fillId="0" borderId="5" xfId="0" applyFont="1" applyBorder="1" applyAlignment="1">
      <alignment vertical="center" wrapText="1"/>
    </xf>
    <xf numFmtId="0" fontId="38" fillId="0" borderId="7" xfId="0" applyFont="1" applyBorder="1" applyAlignment="1">
      <alignment vertical="center" wrapText="1"/>
    </xf>
    <xf numFmtId="0" fontId="33" fillId="0" borderId="0" xfId="0" applyFont="1" applyAlignment="1">
      <alignment horizontal="center" vertical="top"/>
    </xf>
    <xf numFmtId="0" fontId="38" fillId="0" borderId="55" xfId="0" applyFont="1" applyBorder="1" applyAlignment="1">
      <alignment vertical="center"/>
    </xf>
    <xf numFmtId="0" fontId="38" fillId="0" borderId="5" xfId="0" applyFont="1" applyBorder="1" applyAlignment="1">
      <alignment vertical="center"/>
    </xf>
    <xf numFmtId="0" fontId="38" fillId="0" borderId="7" xfId="0" applyFont="1" applyBorder="1" applyAlignment="1">
      <alignment vertical="center"/>
    </xf>
    <xf numFmtId="0" fontId="33" fillId="0" borderId="0" xfId="0" applyFont="1" applyAlignment="1">
      <alignment horizontal="right"/>
    </xf>
    <xf numFmtId="0" fontId="34" fillId="0" borderId="5" xfId="0" applyFont="1" applyBorder="1" applyAlignment="1">
      <alignment horizontal="justify" vertical="top" wrapText="1"/>
    </xf>
    <xf numFmtId="0" fontId="41" fillId="0" borderId="5" xfId="0" applyFont="1" applyBorder="1" applyAlignment="1">
      <alignment horizontal="justify" vertical="center" wrapText="1"/>
    </xf>
    <xf numFmtId="0" fontId="41" fillId="0" borderId="7" xfId="0" applyFont="1" applyBorder="1" applyAlignment="1">
      <alignment horizontal="justify" vertical="center" wrapText="1"/>
    </xf>
    <xf numFmtId="0" fontId="39" fillId="0" borderId="0" xfId="0" applyFont="1" applyAlignment="1">
      <alignment horizontal="center" vertical="center"/>
    </xf>
    <xf numFmtId="0" fontId="36" fillId="0" borderId="0" xfId="0" applyFont="1" applyAlignment="1">
      <alignment horizontal="center" vertical="top"/>
    </xf>
    <xf numFmtId="0" fontId="33" fillId="0" borderId="0" xfId="0" applyFont="1"/>
    <xf numFmtId="0" fontId="7" fillId="0" borderId="0" xfId="0" applyFont="1" applyAlignment="1">
      <alignment horizontal="left" vertical="center" wrapText="1"/>
    </xf>
    <xf numFmtId="0" fontId="39" fillId="0" borderId="56" xfId="0" applyFont="1" applyBorder="1" applyAlignment="1">
      <alignment horizontal="right" vertical="center" wrapText="1"/>
    </xf>
    <xf numFmtId="0" fontId="33" fillId="0" borderId="0" xfId="0" applyFont="1" applyAlignment="1">
      <alignment horizontal="left" vertical="top"/>
    </xf>
    <xf numFmtId="0" fontId="29" fillId="0" borderId="0" xfId="0" applyFont="1" applyAlignment="1">
      <alignment horizontal="left" vertical="center"/>
    </xf>
    <xf numFmtId="0" fontId="33" fillId="0" borderId="0" xfId="0" applyFont="1" applyAlignment="1">
      <alignment horizontal="right" vertical="center"/>
    </xf>
    <xf numFmtId="0" fontId="6" fillId="0" borderId="0" xfId="0" applyFont="1" applyAlignment="1">
      <alignment horizontal="center"/>
    </xf>
    <xf numFmtId="0" fontId="38" fillId="0" borderId="12" xfId="0" applyFont="1" applyBorder="1" applyAlignment="1">
      <alignment vertical="center" wrapText="1"/>
    </xf>
    <xf numFmtId="0" fontId="38" fillId="0" borderId="13" xfId="0" applyFont="1" applyBorder="1" applyAlignment="1">
      <alignment vertical="center" wrapText="1"/>
    </xf>
    <xf numFmtId="0" fontId="7" fillId="0" borderId="0" xfId="0" applyFont="1"/>
    <xf numFmtId="0" fontId="29" fillId="0" borderId="59" xfId="0" applyFont="1" applyBorder="1" applyAlignment="1">
      <alignment horizontal="left" vertical="center"/>
    </xf>
    <xf numFmtId="0" fontId="37" fillId="0" borderId="0" xfId="0" applyFont="1" applyAlignment="1">
      <alignment wrapText="1"/>
    </xf>
    <xf numFmtId="0" fontId="7" fillId="0" borderId="13" xfId="0" applyFont="1" applyBorder="1" applyAlignment="1">
      <alignment horizontal="center" vertical="center" textRotation="90" wrapText="1"/>
    </xf>
    <xf numFmtId="0" fontId="6" fillId="0" borderId="82" xfId="0" applyFont="1" applyBorder="1" applyAlignment="1">
      <alignment horizontal="center" vertical="center" wrapText="1"/>
    </xf>
    <xf numFmtId="0" fontId="29" fillId="0" borderId="7" xfId="0" applyFont="1" applyBorder="1" applyAlignment="1">
      <alignment horizontal="justify" vertical="center"/>
    </xf>
    <xf numFmtId="0" fontId="38" fillId="0" borderId="0" xfId="0" applyFont="1" applyAlignment="1">
      <alignment vertical="center" wrapText="1"/>
    </xf>
    <xf numFmtId="0" fontId="10" fillId="0" borderId="0" xfId="0" applyFont="1" applyAlignment="1">
      <alignment horizontal="left" vertical="top" wrapText="1"/>
    </xf>
    <xf numFmtId="0" fontId="7" fillId="0" borderId="0" xfId="0" applyFont="1" applyAlignment="1">
      <alignment horizontal="justify" vertical="center" wrapText="1"/>
    </xf>
    <xf numFmtId="0" fontId="6" fillId="0" borderId="4" xfId="0" applyFont="1" applyBorder="1" applyAlignment="1">
      <alignment vertical="center" wrapText="1"/>
    </xf>
    <xf numFmtId="0" fontId="31" fillId="0" borderId="0" xfId="0" applyFont="1" applyAlignment="1">
      <alignment horizontal="center" vertical="top"/>
    </xf>
    <xf numFmtId="0" fontId="34" fillId="0" borderId="0" xfId="0" applyFont="1" applyAlignment="1">
      <alignment vertical="center" wrapText="1"/>
    </xf>
    <xf numFmtId="0" fontId="34" fillId="0" borderId="0" xfId="0" applyFont="1" applyAlignment="1">
      <alignment vertical="center"/>
    </xf>
    <xf numFmtId="0" fontId="38" fillId="0" borderId="0" xfId="0" applyFont="1" applyAlignment="1">
      <alignment horizontal="left" vertical="center"/>
    </xf>
    <xf numFmtId="0" fontId="10" fillId="0" borderId="59" xfId="0" applyFont="1" applyBorder="1"/>
    <xf numFmtId="0" fontId="6" fillId="0" borderId="0" xfId="0" applyFont="1" applyAlignment="1">
      <alignment horizontal="center" vertical="top"/>
    </xf>
    <xf numFmtId="0" fontId="10" fillId="0" borderId="0" xfId="0" applyFont="1" applyAlignment="1">
      <alignment horizontal="center" vertical="top"/>
    </xf>
    <xf numFmtId="0" fontId="10" fillId="0" borderId="0" xfId="0" applyFont="1" applyAlignment="1">
      <alignment horizontal="center" vertical="top" textRotation="90" wrapText="1"/>
    </xf>
    <xf numFmtId="0" fontId="10" fillId="0" borderId="0" xfId="0" applyFont="1" applyAlignment="1">
      <alignment textRotation="90"/>
    </xf>
    <xf numFmtId="0" fontId="12" fillId="0" borderId="0" xfId="0" applyFont="1" applyAlignment="1">
      <alignment horizontal="right" vertical="center" wrapText="1"/>
    </xf>
    <xf numFmtId="0" fontId="37" fillId="0" borderId="0" xfId="0" applyFont="1" applyAlignment="1">
      <alignment vertical="top" wrapText="1"/>
    </xf>
    <xf numFmtId="0" fontId="36" fillId="0" borderId="0" xfId="0" applyFont="1" applyAlignment="1">
      <alignment horizontal="left" vertical="top" wrapText="1"/>
    </xf>
    <xf numFmtId="0" fontId="10" fillId="0" borderId="0" xfId="0" applyFont="1" applyAlignment="1">
      <alignment vertical="top" wrapText="1"/>
    </xf>
    <xf numFmtId="0" fontId="33" fillId="0" borderId="0" xfId="0" applyFont="1" applyAlignment="1">
      <alignment horizontal="right" wrapText="1"/>
    </xf>
    <xf numFmtId="0" fontId="33" fillId="0" borderId="0" xfId="0" applyFont="1" applyAlignment="1">
      <alignment horizontal="center"/>
    </xf>
    <xf numFmtId="0" fontId="38" fillId="0" borderId="0" xfId="0" applyFont="1"/>
    <xf numFmtId="0" fontId="34" fillId="0" borderId="0" xfId="0" applyFont="1" applyAlignment="1">
      <alignment horizontal="justify" vertical="top" wrapText="1"/>
    </xf>
    <xf numFmtId="0" fontId="38" fillId="0" borderId="0" xfId="0" applyFont="1" applyAlignment="1">
      <alignment horizontal="center"/>
    </xf>
    <xf numFmtId="0" fontId="34" fillId="0" borderId="0" xfId="0" applyFont="1" applyAlignment="1">
      <alignment horizontal="center" vertical="top"/>
    </xf>
    <xf numFmtId="0" fontId="34" fillId="0" borderId="0" xfId="0" applyFont="1" applyAlignment="1">
      <alignment vertical="top"/>
    </xf>
    <xf numFmtId="49" fontId="6" fillId="0" borderId="81" xfId="0" applyNumberFormat="1" applyFont="1" applyBorder="1" applyAlignment="1">
      <alignment horizontal="center" vertical="center"/>
    </xf>
    <xf numFmtId="0" fontId="6" fillId="0" borderId="81" xfId="0" applyFont="1" applyBorder="1" applyAlignment="1">
      <alignment horizontal="center" vertical="center"/>
    </xf>
    <xf numFmtId="0" fontId="36" fillId="0" borderId="0" xfId="0" applyFont="1"/>
    <xf numFmtId="0" fontId="10" fillId="0" borderId="0" xfId="0" applyFont="1" applyAlignment="1">
      <alignment horizontal="center"/>
    </xf>
    <xf numFmtId="0" fontId="33" fillId="0" borderId="0" xfId="0" applyFont="1" applyAlignment="1">
      <alignment vertical="top"/>
    </xf>
    <xf numFmtId="0" fontId="37" fillId="0" borderId="0" xfId="0" applyFont="1" applyAlignment="1">
      <alignment horizontal="center" vertical="top"/>
    </xf>
    <xf numFmtId="0" fontId="6" fillId="0" borderId="0" xfId="0" applyFont="1" applyAlignment="1">
      <alignment horizontal="left" vertical="top"/>
    </xf>
    <xf numFmtId="0" fontId="39" fillId="0" borderId="4" xfId="0" applyFont="1" applyBorder="1" applyAlignment="1">
      <alignment horizontal="right" vertical="center" wrapText="1"/>
    </xf>
    <xf numFmtId="0" fontId="11" fillId="0" borderId="0" xfId="0" applyFont="1" applyAlignment="1">
      <alignment horizontal="center" vertical="top"/>
    </xf>
    <xf numFmtId="0" fontId="6" fillId="0" borderId="87" xfId="0" applyFont="1" applyBorder="1" applyAlignment="1" applyProtection="1">
      <alignment horizontal="center" vertical="center" wrapText="1"/>
      <protection locked="0"/>
    </xf>
    <xf numFmtId="0" fontId="10" fillId="0" borderId="0" xfId="0" applyFont="1" applyAlignment="1">
      <alignment horizontal="center" vertical="center"/>
    </xf>
    <xf numFmtId="0" fontId="14" fillId="0" borderId="5" xfId="0" applyFont="1" applyBorder="1"/>
    <xf numFmtId="0" fontId="29" fillId="0" borderId="5" xfId="0" applyFont="1" applyBorder="1" applyAlignment="1">
      <alignment horizontal="justify" vertical="top" wrapText="1"/>
    </xf>
    <xf numFmtId="0" fontId="10" fillId="0" borderId="5" xfId="0" applyFont="1" applyBorder="1" applyAlignment="1">
      <alignment vertical="center"/>
    </xf>
    <xf numFmtId="0" fontId="11" fillId="0" borderId="5" xfId="0" applyFont="1" applyBorder="1"/>
    <xf numFmtId="0" fontId="11" fillId="0" borderId="7" xfId="0" applyFont="1" applyBorder="1"/>
    <xf numFmtId="0" fontId="11" fillId="0" borderId="0" xfId="0" applyFont="1" applyAlignment="1">
      <alignment horizontal="right" vertical="center"/>
    </xf>
    <xf numFmtId="0" fontId="11" fillId="0" borderId="0" xfId="0" applyFont="1" applyAlignment="1">
      <alignment horizontal="justify"/>
    </xf>
    <xf numFmtId="0" fontId="29" fillId="0" borderId="0" xfId="0" applyFont="1" applyAlignment="1">
      <alignment vertical="center" wrapText="1"/>
    </xf>
    <xf numFmtId="0" fontId="11" fillId="8" borderId="0" xfId="0" applyFont="1" applyFill="1"/>
    <xf numFmtId="0" fontId="7" fillId="0" borderId="0" xfId="0" applyFont="1" applyAlignment="1">
      <alignment wrapText="1"/>
    </xf>
    <xf numFmtId="0" fontId="38" fillId="0" borderId="0" xfId="0" applyFont="1" applyAlignment="1">
      <alignment horizontal="justify" vertical="center" wrapText="1"/>
    </xf>
    <xf numFmtId="0" fontId="2" fillId="9" borderId="0" xfId="0" applyFont="1" applyFill="1" applyAlignment="1">
      <alignment horizontal="center" vertical="center" wrapText="1"/>
    </xf>
    <xf numFmtId="0" fontId="2" fillId="10" borderId="0" xfId="0" applyFont="1" applyFill="1" applyAlignment="1">
      <alignment horizontal="center" vertical="center" wrapText="1"/>
    </xf>
    <xf numFmtId="0" fontId="2" fillId="0" borderId="0" xfId="0" applyFont="1" applyAlignment="1">
      <alignment horizontal="center" vertical="center" wrapText="1"/>
    </xf>
    <xf numFmtId="0" fontId="2" fillId="11" borderId="0" xfId="0" applyFont="1" applyFill="1" applyAlignment="1">
      <alignment horizontal="center" vertical="center" wrapText="1"/>
    </xf>
    <xf numFmtId="0" fontId="2" fillId="12" borderId="0" xfId="0" applyFont="1" applyFill="1" applyAlignment="1">
      <alignment horizontal="center" vertical="center" wrapText="1"/>
    </xf>
    <xf numFmtId="0" fontId="2" fillId="13" borderId="0" xfId="0" applyFont="1" applyFill="1" applyAlignment="1">
      <alignment horizontal="center" vertical="center"/>
    </xf>
    <xf numFmtId="0" fontId="2" fillId="0" borderId="0" xfId="0" applyFont="1" applyAlignment="1">
      <alignment horizontal="center" vertical="center"/>
    </xf>
    <xf numFmtId="0" fontId="2" fillId="14" borderId="0" xfId="0" applyFont="1" applyFill="1" applyAlignment="1">
      <alignment horizontal="center" vertical="center"/>
    </xf>
    <xf numFmtId="0" fontId="48" fillId="13" borderId="0" xfId="0" applyFont="1" applyFill="1" applyAlignment="1">
      <alignment horizontal="center" vertical="center"/>
    </xf>
    <xf numFmtId="0" fontId="2" fillId="15" borderId="0" xfId="0" applyFont="1" applyFill="1" applyAlignment="1">
      <alignment horizontal="center" vertical="center"/>
    </xf>
    <xf numFmtId="0" fontId="2" fillId="16" borderId="0" xfId="0" applyFont="1" applyFill="1" applyAlignment="1">
      <alignment horizontal="center" vertical="center"/>
    </xf>
    <xf numFmtId="0" fontId="2" fillId="17" borderId="0" xfId="0" applyFont="1" applyFill="1" applyAlignment="1">
      <alignment horizontal="center" vertical="center"/>
    </xf>
    <xf numFmtId="0" fontId="48" fillId="18" borderId="0" xfId="0" applyFont="1" applyFill="1" applyAlignment="1">
      <alignment horizontal="center" vertical="center" textRotation="90"/>
    </xf>
    <xf numFmtId="0" fontId="2" fillId="19" borderId="0" xfId="0" applyFont="1" applyFill="1" applyAlignment="1">
      <alignment horizontal="center" vertical="center" textRotation="90"/>
    </xf>
    <xf numFmtId="0" fontId="2" fillId="18" borderId="0" xfId="0" applyFont="1" applyFill="1" applyAlignment="1">
      <alignment horizontal="center" vertical="center"/>
    </xf>
    <xf numFmtId="0" fontId="2" fillId="19" borderId="0" xfId="0" applyFont="1" applyFill="1" applyAlignment="1">
      <alignment horizontal="center" vertical="center"/>
    </xf>
    <xf numFmtId="0" fontId="2" fillId="20" borderId="0" xfId="0" applyFont="1" applyFill="1" applyAlignment="1">
      <alignment horizontal="center" vertical="center" wrapText="1"/>
    </xf>
    <xf numFmtId="0" fontId="6" fillId="21" borderId="0" xfId="0" applyFont="1" applyFill="1" applyAlignment="1">
      <alignment horizontal="center" vertical="center" wrapText="1"/>
    </xf>
    <xf numFmtId="0" fontId="2" fillId="22" borderId="0" xfId="0" applyFont="1" applyFill="1" applyAlignment="1">
      <alignment horizontal="center" vertical="center" wrapText="1"/>
    </xf>
    <xf numFmtId="0" fontId="2" fillId="23" borderId="0" xfId="0" applyFont="1" applyFill="1" applyAlignment="1">
      <alignment horizontal="center" vertical="center" wrapText="1"/>
    </xf>
    <xf numFmtId="0" fontId="2" fillId="24" borderId="0" xfId="0" applyFont="1" applyFill="1" applyAlignment="1">
      <alignment horizontal="center" vertical="center" textRotation="90" wrapText="1"/>
    </xf>
    <xf numFmtId="0" fontId="2" fillId="25" borderId="0" xfId="0" applyFont="1" applyFill="1" applyAlignment="1">
      <alignment horizontal="center" vertical="center" textRotation="90" wrapText="1"/>
    </xf>
    <xf numFmtId="0" fontId="2" fillId="26" borderId="0" xfId="0" applyFont="1" applyFill="1" applyAlignment="1">
      <alignment horizontal="center" vertical="center" textRotation="90" wrapText="1"/>
    </xf>
    <xf numFmtId="0" fontId="2" fillId="7" borderId="0" xfId="0" applyFont="1" applyFill="1" applyAlignment="1">
      <alignment horizontal="center" vertical="center" textRotation="90" wrapText="1"/>
    </xf>
    <xf numFmtId="0" fontId="2" fillId="27" borderId="0" xfId="0" applyFont="1" applyFill="1" applyAlignment="1">
      <alignment horizontal="center" vertical="center" textRotation="90" wrapText="1"/>
    </xf>
    <xf numFmtId="0" fontId="2" fillId="28" borderId="0" xfId="0" applyFont="1" applyFill="1" applyAlignment="1">
      <alignment horizontal="center" vertical="center"/>
    </xf>
    <xf numFmtId="0" fontId="2" fillId="29" borderId="0" xfId="0" applyFont="1" applyFill="1" applyAlignment="1">
      <alignment horizontal="center" vertical="center"/>
    </xf>
    <xf numFmtId="0" fontId="2" fillId="30" borderId="0" xfId="0" applyFont="1" applyFill="1" applyAlignment="1">
      <alignment horizontal="center" vertical="center"/>
    </xf>
    <xf numFmtId="0" fontId="2" fillId="4" borderId="0" xfId="0" applyFont="1" applyFill="1" applyAlignment="1">
      <alignment horizontal="center" vertical="center"/>
    </xf>
    <xf numFmtId="0" fontId="2" fillId="28" borderId="0" xfId="0" applyFont="1" applyFill="1" applyAlignment="1">
      <alignment horizontal="center" vertical="center" textRotation="90" wrapText="1"/>
    </xf>
    <xf numFmtId="0" fontId="2" fillId="29" borderId="0" xfId="0" applyFont="1" applyFill="1" applyAlignment="1">
      <alignment horizontal="center" vertical="center" textRotation="90" wrapText="1"/>
    </xf>
    <xf numFmtId="0" fontId="2" fillId="30" borderId="0" xfId="0" applyFont="1" applyFill="1" applyAlignment="1">
      <alignment horizontal="center" vertical="center" textRotation="90" wrapText="1"/>
    </xf>
    <xf numFmtId="0" fontId="2" fillId="4" borderId="0" xfId="0" applyFont="1" applyFill="1" applyAlignment="1">
      <alignment horizontal="center" vertical="center" textRotation="90" wrapText="1"/>
    </xf>
    <xf numFmtId="0" fontId="6" fillId="21" borderId="0" xfId="0" applyFont="1" applyFill="1" applyAlignment="1">
      <alignment vertical="center" wrapText="1"/>
    </xf>
    <xf numFmtId="0" fontId="2" fillId="22" borderId="0" xfId="0" applyFont="1" applyFill="1" applyAlignment="1">
      <alignment vertical="center" wrapText="1"/>
    </xf>
    <xf numFmtId="0" fontId="2" fillId="20" borderId="0" xfId="0" applyFont="1" applyFill="1" applyAlignment="1">
      <alignment vertical="center" wrapText="1"/>
    </xf>
    <xf numFmtId="0" fontId="2" fillId="0" borderId="0" xfId="0" applyFont="1" applyAlignment="1">
      <alignment vertical="center" wrapText="1"/>
    </xf>
    <xf numFmtId="0" fontId="2" fillId="31" borderId="0" xfId="0" applyFont="1" applyFill="1" applyAlignment="1">
      <alignment horizontal="center" vertical="center"/>
    </xf>
    <xf numFmtId="0" fontId="2" fillId="32" borderId="0" xfId="0" applyFont="1" applyFill="1" applyAlignment="1">
      <alignment horizontal="center" vertical="center" textRotation="90"/>
    </xf>
    <xf numFmtId="0" fontId="49" fillId="33" borderId="0" xfId="0" applyFont="1" applyFill="1" applyAlignment="1">
      <alignment horizontal="center" vertical="center" textRotation="90"/>
    </xf>
    <xf numFmtId="0" fontId="48" fillId="13" borderId="0" xfId="0" applyFont="1" applyFill="1" applyAlignment="1">
      <alignment horizontal="center" vertical="center" textRotation="90"/>
    </xf>
    <xf numFmtId="0" fontId="2" fillId="32" borderId="0" xfId="0" applyFont="1" applyFill="1" applyAlignment="1">
      <alignment horizontal="center" vertical="center"/>
    </xf>
    <xf numFmtId="0" fontId="2" fillId="33" borderId="0" xfId="0" applyFont="1" applyFill="1" applyAlignment="1">
      <alignment horizontal="center" vertical="center"/>
    </xf>
    <xf numFmtId="0" fontId="2" fillId="24" borderId="0" xfId="0" applyFont="1" applyFill="1" applyAlignment="1">
      <alignment horizontal="center" vertical="center" textRotation="90"/>
    </xf>
    <xf numFmtId="0" fontId="2" fillId="26" borderId="0" xfId="0" applyFont="1" applyFill="1" applyAlignment="1">
      <alignment horizontal="center" vertical="center" textRotation="90"/>
    </xf>
    <xf numFmtId="0" fontId="52" fillId="24" borderId="0" xfId="0" applyFont="1" applyFill="1" applyAlignment="1">
      <alignment textRotation="90"/>
    </xf>
    <xf numFmtId="0" fontId="52" fillId="26" borderId="0" xfId="0" applyFont="1" applyFill="1" applyAlignment="1">
      <alignment textRotation="90"/>
    </xf>
    <xf numFmtId="0" fontId="52" fillId="32" borderId="0" xfId="0" applyFont="1" applyFill="1" applyAlignment="1">
      <alignment textRotation="90"/>
    </xf>
    <xf numFmtId="0" fontId="2" fillId="24" borderId="0" xfId="0" applyFont="1" applyFill="1" applyAlignment="1">
      <alignment horizontal="center" vertical="center"/>
    </xf>
    <xf numFmtId="0" fontId="2" fillId="26" borderId="0" xfId="0" applyFont="1" applyFill="1" applyAlignment="1">
      <alignment horizontal="center" vertical="center"/>
    </xf>
    <xf numFmtId="0" fontId="0" fillId="35" borderId="0" xfId="0" applyFill="1"/>
    <xf numFmtId="0" fontId="49" fillId="0" borderId="0" xfId="0" applyFont="1" applyAlignment="1">
      <alignment horizontal="center" vertical="center" wrapText="1"/>
    </xf>
    <xf numFmtId="0" fontId="2" fillId="37" borderId="0" xfId="0" applyFont="1" applyFill="1" applyAlignment="1">
      <alignment horizontal="center" vertical="center" textRotation="90"/>
    </xf>
    <xf numFmtId="0" fontId="2" fillId="37" borderId="0" xfId="0" applyFont="1" applyFill="1" applyAlignment="1">
      <alignment horizontal="center" vertical="center"/>
    </xf>
    <xf numFmtId="0" fontId="2" fillId="38" borderId="0" xfId="0" applyFont="1" applyFill="1" applyAlignment="1">
      <alignment horizontal="center" vertical="center"/>
    </xf>
    <xf numFmtId="0" fontId="37" fillId="0" borderId="0" xfId="0" applyFont="1" applyAlignment="1">
      <alignment horizontal="left" vertical="center"/>
    </xf>
    <xf numFmtId="0" fontId="53" fillId="0" borderId="0" xfId="0" applyFont="1"/>
    <xf numFmtId="0" fontId="2" fillId="20" borderId="0" xfId="0" applyFont="1" applyFill="1" applyAlignment="1">
      <alignment horizontal="center" vertical="center" textRotation="90"/>
    </xf>
    <xf numFmtId="0" fontId="2" fillId="40" borderId="0" xfId="0" applyFont="1" applyFill="1" applyAlignment="1">
      <alignment horizontal="center" vertical="center"/>
    </xf>
    <xf numFmtId="0" fontId="2" fillId="17" borderId="0" xfId="0" applyFont="1" applyFill="1" applyAlignment="1">
      <alignment horizontal="center" vertical="center" textRotation="90"/>
    </xf>
    <xf numFmtId="0" fontId="2" fillId="40" borderId="0" xfId="0" applyFont="1" applyFill="1" applyAlignment="1">
      <alignment horizontal="center" vertical="center" textRotation="90"/>
    </xf>
    <xf numFmtId="0" fontId="2" fillId="39" borderId="0" xfId="0" applyFont="1" applyFill="1" applyAlignment="1">
      <alignment horizontal="center" vertical="center" textRotation="90" wrapText="1"/>
    </xf>
    <xf numFmtId="0" fontId="2" fillId="38" borderId="0" xfId="0" applyFont="1" applyFill="1" applyAlignment="1">
      <alignment horizontal="center" vertical="center" textRotation="90"/>
    </xf>
    <xf numFmtId="0" fontId="2" fillId="12" borderId="0" xfId="0" applyFont="1" applyFill="1" applyAlignment="1">
      <alignment horizontal="center" vertical="center"/>
    </xf>
    <xf numFmtId="0" fontId="2" fillId="9" borderId="0" xfId="0" applyFont="1" applyFill="1" applyAlignment="1">
      <alignment vertical="center" textRotation="90" wrapText="1"/>
    </xf>
    <xf numFmtId="0" fontId="54" fillId="20" borderId="0" xfId="0" applyFont="1" applyFill="1" applyAlignment="1">
      <alignment vertical="center" textRotation="90" wrapText="1"/>
    </xf>
    <xf numFmtId="0" fontId="54" fillId="39" borderId="0" xfId="0" applyFont="1" applyFill="1" applyAlignment="1">
      <alignment vertical="center" textRotation="90" wrapText="1"/>
    </xf>
    <xf numFmtId="0" fontId="54" fillId="41" borderId="0" xfId="0" applyFont="1" applyFill="1" applyAlignment="1">
      <alignment horizontal="center" vertical="center" textRotation="90"/>
    </xf>
    <xf numFmtId="0" fontId="0" fillId="18" borderId="0" xfId="0" applyFill="1" applyAlignment="1">
      <alignment horizontal="center" vertical="center" textRotation="90"/>
    </xf>
    <xf numFmtId="0" fontId="0" fillId="14" borderId="0" xfId="0" applyFill="1" applyAlignment="1">
      <alignment horizontal="center" vertical="center" textRotation="90"/>
    </xf>
    <xf numFmtId="0" fontId="0" fillId="42" borderId="0" xfId="0" applyFill="1" applyAlignment="1">
      <alignment horizontal="center" vertical="center" textRotation="90"/>
    </xf>
    <xf numFmtId="0" fontId="52" fillId="43" borderId="0" xfId="0" applyFont="1" applyFill="1" applyAlignment="1">
      <alignment horizontal="center" vertical="center" textRotation="90"/>
    </xf>
    <xf numFmtId="0" fontId="48" fillId="44" borderId="0" xfId="0" applyFont="1" applyFill="1" applyAlignment="1">
      <alignment vertical="center" textRotation="90" wrapText="1"/>
    </xf>
    <xf numFmtId="0" fontId="0" fillId="45" borderId="0" xfId="0" applyFill="1" applyAlignment="1">
      <alignment horizontal="center" vertical="center" textRotation="90"/>
    </xf>
    <xf numFmtId="0" fontId="52" fillId="42" borderId="0" xfId="0" applyFont="1" applyFill="1" applyAlignment="1">
      <alignment horizontal="center" vertical="center" textRotation="90"/>
    </xf>
    <xf numFmtId="0" fontId="55" fillId="46" borderId="0" xfId="0" applyFont="1" applyFill="1" applyAlignment="1">
      <alignment horizontal="center" vertical="center" textRotation="90" wrapText="1"/>
    </xf>
    <xf numFmtId="0" fontId="55" fillId="12" borderId="0" xfId="0" applyFont="1" applyFill="1" applyAlignment="1">
      <alignment horizontal="center" vertical="center" textRotation="90" wrapText="1"/>
    </xf>
    <xf numFmtId="0" fontId="54" fillId="0" borderId="0" xfId="0" applyFont="1" applyAlignment="1">
      <alignment vertical="center"/>
    </xf>
    <xf numFmtId="3" fontId="54" fillId="0" borderId="0" xfId="0" applyNumberFormat="1" applyFont="1" applyAlignment="1">
      <alignment vertical="center" wrapText="1"/>
    </xf>
    <xf numFmtId="0" fontId="54" fillId="0" borderId="0" xfId="0" applyFont="1" applyAlignment="1">
      <alignment vertical="center" wrapText="1"/>
    </xf>
    <xf numFmtId="0" fontId="0" fillId="0" borderId="0" xfId="0" applyAlignment="1">
      <alignment vertical="center"/>
    </xf>
    <xf numFmtId="0" fontId="54" fillId="9" borderId="0" xfId="0" applyFont="1" applyFill="1" applyAlignment="1">
      <alignment vertical="center"/>
    </xf>
    <xf numFmtId="0" fontId="54" fillId="39" borderId="0" xfId="0" applyFont="1" applyFill="1" applyAlignment="1">
      <alignment vertical="center"/>
    </xf>
    <xf numFmtId="0" fontId="54" fillId="41" borderId="0" xfId="0" applyFont="1" applyFill="1" applyAlignment="1">
      <alignment horizontal="center" vertical="center"/>
    </xf>
    <xf numFmtId="0" fontId="0" fillId="18" borderId="0" xfId="0" applyFill="1" applyAlignment="1">
      <alignment horizontal="center" vertical="center"/>
    </xf>
    <xf numFmtId="0" fontId="0" fillId="14" borderId="0" xfId="0" applyFill="1" applyAlignment="1">
      <alignment horizontal="center" vertical="center"/>
    </xf>
    <xf numFmtId="0" fontId="0" fillId="42" borderId="0" xfId="0" applyFill="1" applyAlignment="1">
      <alignment horizontal="center" vertical="center"/>
    </xf>
    <xf numFmtId="0" fontId="0" fillId="43" borderId="0" xfId="0" applyFill="1" applyAlignment="1">
      <alignment horizontal="center" vertical="center"/>
    </xf>
    <xf numFmtId="0" fontId="54" fillId="44" borderId="0" xfId="0" applyFont="1" applyFill="1" applyAlignment="1">
      <alignment vertical="center"/>
    </xf>
    <xf numFmtId="0" fontId="0" fillId="45" borderId="0" xfId="0" applyFill="1" applyAlignment="1">
      <alignment horizontal="center" vertical="center"/>
    </xf>
    <xf numFmtId="0" fontId="56" fillId="46" borderId="0" xfId="0" applyFont="1" applyFill="1" applyAlignment="1">
      <alignment horizontal="center" vertical="center"/>
    </xf>
    <xf numFmtId="0" fontId="0" fillId="0" borderId="0" xfId="0" applyAlignment="1">
      <alignment horizontal="center" vertical="center" wrapText="1"/>
    </xf>
    <xf numFmtId="0" fontId="0" fillId="25" borderId="0" xfId="0" applyFill="1"/>
    <xf numFmtId="3" fontId="54" fillId="20" borderId="0" xfId="0" applyNumberFormat="1" applyFont="1" applyFill="1" applyAlignment="1">
      <alignment vertical="center"/>
    </xf>
    <xf numFmtId="0" fontId="52" fillId="17" borderId="0" xfId="0" applyFont="1" applyFill="1" applyAlignment="1">
      <alignment horizontal="center" vertical="center" textRotation="90"/>
    </xf>
    <xf numFmtId="0" fontId="52" fillId="0" borderId="0" xfId="0" applyFont="1"/>
    <xf numFmtId="0" fontId="52" fillId="0" borderId="0" xfId="0" applyFont="1" applyAlignment="1">
      <alignment horizontal="center" vertical="center"/>
    </xf>
    <xf numFmtId="0" fontId="52" fillId="17" borderId="0" xfId="0" applyFont="1" applyFill="1" applyAlignment="1">
      <alignment horizontal="center"/>
    </xf>
    <xf numFmtId="0" fontId="52" fillId="40" borderId="0" xfId="0" applyFont="1" applyFill="1" applyAlignment="1">
      <alignment horizontal="center"/>
    </xf>
    <xf numFmtId="0" fontId="52" fillId="40" borderId="0" xfId="0" applyFont="1" applyFill="1" applyAlignment="1">
      <alignment horizontal="center" vertical="center" textRotation="90"/>
    </xf>
    <xf numFmtId="0" fontId="0" fillId="13" borderId="0" xfId="0" applyFill="1" applyAlignment="1">
      <alignment horizontal="center" vertical="center" textRotation="90"/>
    </xf>
    <xf numFmtId="0" fontId="0" fillId="25" borderId="0" xfId="0" applyFill="1" applyAlignment="1">
      <alignment horizontal="center" vertical="center" textRotation="90"/>
    </xf>
    <xf numFmtId="0" fontId="2" fillId="44" borderId="0" xfId="0" applyFont="1" applyFill="1" applyAlignment="1">
      <alignment vertical="center" wrapText="1"/>
    </xf>
    <xf numFmtId="0" fontId="54" fillId="20" borderId="0" xfId="0" applyFont="1" applyFill="1" applyAlignment="1">
      <alignment vertical="center" wrapText="1"/>
    </xf>
    <xf numFmtId="0" fontId="54" fillId="47" borderId="0" xfId="0" applyFont="1" applyFill="1" applyAlignment="1">
      <alignment vertical="center" wrapText="1"/>
    </xf>
    <xf numFmtId="0" fontId="54" fillId="22" borderId="0" xfId="0" applyFont="1" applyFill="1" applyAlignment="1">
      <alignment vertical="center" wrapText="1"/>
    </xf>
    <xf numFmtId="0" fontId="54" fillId="0" borderId="0" xfId="0" applyFont="1"/>
    <xf numFmtId="0" fontId="2" fillId="9" borderId="0" xfId="0" applyFont="1" applyFill="1" applyAlignment="1">
      <alignment vertical="center" wrapText="1"/>
    </xf>
    <xf numFmtId="0" fontId="2" fillId="23" borderId="0" xfId="0" applyFont="1" applyFill="1" applyAlignment="1">
      <alignment vertical="center" wrapText="1"/>
    </xf>
    <xf numFmtId="0" fontId="48" fillId="23" borderId="0" xfId="0" applyFont="1" applyFill="1" applyAlignment="1">
      <alignment vertical="center" wrapText="1"/>
    </xf>
    <xf numFmtId="0" fontId="49" fillId="23" borderId="0" xfId="0" applyFont="1" applyFill="1" applyAlignment="1">
      <alignment vertical="center" wrapText="1"/>
    </xf>
    <xf numFmtId="0" fontId="57" fillId="0" borderId="0" xfId="0" applyFont="1"/>
    <xf numFmtId="0" fontId="0" fillId="48" borderId="0" xfId="0" applyFill="1"/>
    <xf numFmtId="0" fontId="0" fillId="43" borderId="0" xfId="0" applyFill="1"/>
    <xf numFmtId="0" fontId="0" fillId="8" borderId="0" xfId="0" applyFill="1"/>
    <xf numFmtId="0" fontId="0" fillId="33" borderId="0" xfId="0" applyFill="1"/>
    <xf numFmtId="0" fontId="33" fillId="0" borderId="0" xfId="0" applyFont="1" applyAlignment="1">
      <alignment horizontal="right" vertical="center" wrapText="1"/>
    </xf>
    <xf numFmtId="0" fontId="0" fillId="37" borderId="0" xfId="0" applyFill="1" applyAlignment="1">
      <alignment horizontal="center" vertical="center"/>
    </xf>
    <xf numFmtId="0" fontId="52" fillId="17" borderId="0" xfId="0" applyFont="1" applyFill="1" applyAlignment="1">
      <alignment horizontal="center" vertical="center"/>
    </xf>
    <xf numFmtId="0" fontId="0" fillId="49" borderId="0" xfId="0" applyFill="1"/>
    <xf numFmtId="0" fontId="0" fillId="50" borderId="0" xfId="0" applyFill="1"/>
    <xf numFmtId="0" fontId="0" fillId="14" borderId="0" xfId="0" applyFill="1"/>
    <xf numFmtId="0" fontId="0" fillId="37" borderId="0" xfId="0" applyFill="1"/>
    <xf numFmtId="0" fontId="0" fillId="52" borderId="0" xfId="0" applyFill="1"/>
    <xf numFmtId="0" fontId="0" fillId="20" borderId="0" xfId="0" applyFill="1"/>
    <xf numFmtId="0" fontId="0" fillId="11" borderId="0" xfId="0" applyFill="1"/>
    <xf numFmtId="0" fontId="0" fillId="51" borderId="0" xfId="0" applyFill="1"/>
    <xf numFmtId="0" fontId="58" fillId="52" borderId="0" xfId="0" applyFont="1" applyFill="1" applyAlignment="1">
      <alignment textRotation="90"/>
    </xf>
    <xf numFmtId="0" fontId="58" fillId="20" borderId="0" xfId="0" applyFont="1" applyFill="1" applyAlignment="1">
      <alignment textRotation="90"/>
    </xf>
    <xf numFmtId="0" fontId="58" fillId="11" borderId="0" xfId="0" applyFont="1" applyFill="1" applyAlignment="1">
      <alignment textRotation="90"/>
    </xf>
    <xf numFmtId="0" fontId="58" fillId="54" borderId="0" xfId="0" applyFont="1" applyFill="1" applyAlignment="1">
      <alignment textRotation="90"/>
    </xf>
    <xf numFmtId="0" fontId="58" fillId="48" borderId="0" xfId="0" applyFont="1" applyFill="1" applyAlignment="1">
      <alignment textRotation="90"/>
    </xf>
    <xf numFmtId="0" fontId="58" fillId="8" borderId="0" xfId="0" applyFont="1" applyFill="1" applyAlignment="1">
      <alignment textRotation="90"/>
    </xf>
    <xf numFmtId="0" fontId="56" fillId="52" borderId="0" xfId="0" applyFont="1" applyFill="1"/>
    <xf numFmtId="0" fontId="56" fillId="20" borderId="0" xfId="0" applyFont="1" applyFill="1"/>
    <xf numFmtId="0" fontId="56" fillId="11" borderId="0" xfId="0" applyFont="1" applyFill="1"/>
    <xf numFmtId="0" fontId="56" fillId="54" borderId="0" xfId="0" applyFont="1" applyFill="1"/>
    <xf numFmtId="0" fontId="56" fillId="48" borderId="0" xfId="0" applyFont="1" applyFill="1"/>
    <xf numFmtId="0" fontId="56" fillId="8" borderId="0" xfId="0" applyFont="1" applyFill="1"/>
    <xf numFmtId="0" fontId="0" fillId="54" borderId="0" xfId="0" applyFill="1"/>
    <xf numFmtId="0" fontId="59" fillId="20" borderId="0" xfId="0" applyFont="1" applyFill="1" applyAlignment="1">
      <alignment vertical="center" wrapText="1"/>
    </xf>
    <xf numFmtId="0" fontId="60" fillId="22" borderId="0" xfId="0" applyFont="1" applyFill="1" applyAlignment="1">
      <alignment vertical="center" wrapText="1"/>
    </xf>
    <xf numFmtId="0" fontId="48" fillId="55" borderId="0" xfId="0" applyFont="1" applyFill="1" applyAlignment="1">
      <alignment vertical="center" textRotation="90" wrapText="1"/>
    </xf>
    <xf numFmtId="0" fontId="48" fillId="14" borderId="0" xfId="0" applyFont="1" applyFill="1" applyAlignment="1">
      <alignment vertical="center" textRotation="90" wrapText="1"/>
    </xf>
    <xf numFmtId="0" fontId="48" fillId="56" borderId="0" xfId="0" applyFont="1" applyFill="1" applyAlignment="1">
      <alignment vertical="center" textRotation="90" wrapText="1"/>
    </xf>
    <xf numFmtId="0" fontId="2" fillId="57" borderId="0" xfId="0" applyFont="1" applyFill="1" applyAlignment="1">
      <alignment vertical="center" wrapText="1"/>
    </xf>
    <xf numFmtId="0" fontId="48" fillId="58" borderId="0" xfId="0" applyFont="1" applyFill="1" applyAlignment="1">
      <alignment vertical="center" textRotation="90" wrapText="1"/>
    </xf>
    <xf numFmtId="0" fontId="49" fillId="19" borderId="0" xfId="0" applyFont="1" applyFill="1" applyAlignment="1">
      <alignment horizontal="center" vertical="center" textRotation="90"/>
    </xf>
    <xf numFmtId="0" fontId="2" fillId="0" borderId="0" xfId="0" applyFont="1"/>
    <xf numFmtId="0" fontId="48" fillId="63" borderId="0" xfId="0" applyFont="1" applyFill="1" applyAlignment="1">
      <alignment vertical="center" wrapText="1"/>
    </xf>
    <xf numFmtId="0" fontId="48" fillId="20" borderId="0" xfId="0" applyFont="1" applyFill="1"/>
    <xf numFmtId="0" fontId="48" fillId="11" borderId="0" xfId="0" applyFont="1" applyFill="1"/>
    <xf numFmtId="0" fontId="48" fillId="64" borderId="0" xfId="0" applyFont="1" applyFill="1"/>
    <xf numFmtId="0" fontId="48" fillId="46" borderId="0" xfId="0" applyFont="1" applyFill="1"/>
    <xf numFmtId="0" fontId="48" fillId="8" borderId="0" xfId="0" applyFont="1" applyFill="1"/>
    <xf numFmtId="0" fontId="54" fillId="65" borderId="0" xfId="0" applyFont="1" applyFill="1"/>
    <xf numFmtId="0" fontId="54" fillId="66" borderId="0" xfId="0" applyFont="1" applyFill="1"/>
    <xf numFmtId="0" fontId="61" fillId="28" borderId="0" xfId="0" applyFont="1" applyFill="1"/>
    <xf numFmtId="0" fontId="0" fillId="53" borderId="0" xfId="0" applyFill="1"/>
    <xf numFmtId="0" fontId="10" fillId="20" borderId="0" xfId="0" applyFont="1" applyFill="1" applyAlignment="1">
      <alignment vertical="center" wrapText="1"/>
    </xf>
    <xf numFmtId="0" fontId="54" fillId="59" borderId="0" xfId="0" applyFont="1" applyFill="1" applyAlignment="1">
      <alignment vertical="center" wrapText="1"/>
    </xf>
    <xf numFmtId="0" fontId="54" fillId="21" borderId="0" xfId="0" applyFont="1" applyFill="1" applyAlignment="1">
      <alignment vertical="center" wrapText="1"/>
    </xf>
    <xf numFmtId="0" fontId="54" fillId="61" borderId="0" xfId="0" applyFont="1" applyFill="1"/>
    <xf numFmtId="0" fontId="54" fillId="64" borderId="0" xfId="0" applyFont="1" applyFill="1"/>
    <xf numFmtId="0" fontId="54" fillId="46" borderId="0" xfId="0" applyFont="1" applyFill="1"/>
    <xf numFmtId="0" fontId="54" fillId="8" borderId="0" xfId="0" applyFont="1" applyFill="1"/>
    <xf numFmtId="0" fontId="54" fillId="66" borderId="0" xfId="0" applyFont="1" applyFill="1" applyAlignment="1">
      <alignment vertical="center" wrapText="1"/>
    </xf>
    <xf numFmtId="0" fontId="54" fillId="28" borderId="0" xfId="0" applyFont="1" applyFill="1" applyAlignment="1">
      <alignment vertical="center" wrapText="1"/>
    </xf>
    <xf numFmtId="0" fontId="48" fillId="0" borderId="0" xfId="0" applyFont="1" applyAlignment="1">
      <alignment textRotation="90"/>
    </xf>
    <xf numFmtId="0" fontId="2" fillId="60" borderId="0" xfId="0" applyFont="1" applyFill="1" applyAlignment="1">
      <alignment vertical="center" wrapText="1"/>
    </xf>
    <xf numFmtId="0" fontId="52" fillId="17" borderId="0" xfId="0" applyFont="1" applyFill="1" applyAlignment="1">
      <alignment horizontal="center" vertical="center" wrapText="1"/>
    </xf>
    <xf numFmtId="0" fontId="0" fillId="67" borderId="0" xfId="0" applyFill="1"/>
    <xf numFmtId="0" fontId="0" fillId="17" borderId="0" xfId="0" applyFill="1"/>
    <xf numFmtId="0" fontId="0" fillId="19" borderId="0" xfId="0" applyFill="1"/>
    <xf numFmtId="0" fontId="0" fillId="70" borderId="0" xfId="0" applyFill="1" applyAlignment="1">
      <alignment horizontal="center" vertical="center"/>
    </xf>
    <xf numFmtId="0" fontId="0" fillId="71" borderId="0" xfId="0" applyFill="1"/>
    <xf numFmtId="0" fontId="0" fillId="68" borderId="0" xfId="0" applyFill="1"/>
    <xf numFmtId="0" fontId="0" fillId="70" borderId="0" xfId="0" applyFill="1"/>
    <xf numFmtId="0" fontId="0" fillId="71" borderId="0" xfId="0" applyFill="1" applyAlignment="1">
      <alignment horizontal="center" vertical="center"/>
    </xf>
    <xf numFmtId="0" fontId="0" fillId="68" borderId="0" xfId="0" applyFill="1" applyAlignment="1">
      <alignment horizontal="center" vertical="center"/>
    </xf>
    <xf numFmtId="0" fontId="0" fillId="55" borderId="0" xfId="0" applyFill="1"/>
    <xf numFmtId="0" fontId="0" fillId="72" borderId="0" xfId="0" applyFill="1"/>
    <xf numFmtId="0" fontId="0" fillId="73" borderId="0" xfId="0" applyFill="1"/>
    <xf numFmtId="0" fontId="0" fillId="51" borderId="0" xfId="0" applyFill="1" applyAlignment="1">
      <alignment vertical="center"/>
    </xf>
    <xf numFmtId="0" fontId="56" fillId="55" borderId="0" xfId="0" applyFont="1" applyFill="1"/>
    <xf numFmtId="0" fontId="56" fillId="72" borderId="0" xfId="0" applyFont="1" applyFill="1"/>
    <xf numFmtId="0" fontId="56" fillId="73" borderId="0" xfId="0" applyFont="1" applyFill="1"/>
    <xf numFmtId="0" fontId="0" fillId="68" borderId="0" xfId="0" applyFill="1" applyAlignment="1">
      <alignment vertical="center"/>
    </xf>
    <xf numFmtId="0" fontId="0" fillId="75" borderId="0" xfId="0" applyFill="1" applyAlignment="1">
      <alignment horizontal="center" vertical="center"/>
    </xf>
    <xf numFmtId="0" fontId="56" fillId="74" borderId="0" xfId="0" applyFont="1" applyFill="1"/>
    <xf numFmtId="0" fontId="0" fillId="12" borderId="0" xfId="0" applyFill="1"/>
    <xf numFmtId="0" fontId="48" fillId="0" borderId="0" xfId="0" applyFont="1" applyAlignment="1">
      <alignment vertical="center" wrapText="1"/>
    </xf>
    <xf numFmtId="0" fontId="52" fillId="75" borderId="0" xfId="0" applyFont="1" applyFill="1" applyAlignment="1">
      <alignment horizontal="center" vertical="center"/>
    </xf>
    <xf numFmtId="0" fontId="52" fillId="34" borderId="0" xfId="0" applyFont="1" applyFill="1" applyAlignment="1">
      <alignment horizontal="center" vertical="center"/>
    </xf>
    <xf numFmtId="0" fontId="52" fillId="78" borderId="0" xfId="0" applyFont="1" applyFill="1" applyAlignment="1">
      <alignment horizontal="center" vertical="center"/>
    </xf>
    <xf numFmtId="0" fontId="52" fillId="72" borderId="0" xfId="0" applyFont="1" applyFill="1" applyAlignment="1">
      <alignment horizontal="center" vertical="center"/>
    </xf>
    <xf numFmtId="0" fontId="52" fillId="55" borderId="0" xfId="0" applyFont="1" applyFill="1" applyAlignment="1">
      <alignment horizontal="center" vertical="center"/>
    </xf>
    <xf numFmtId="0" fontId="52" fillId="73" borderId="0" xfId="0" applyFont="1" applyFill="1" applyAlignment="1">
      <alignment horizontal="center" vertical="center"/>
    </xf>
    <xf numFmtId="0" fontId="0" fillId="77" borderId="0" xfId="0" applyFill="1"/>
    <xf numFmtId="0" fontId="0" fillId="74" borderId="0" xfId="0" applyFill="1" applyAlignment="1">
      <alignment horizontal="center" vertical="center" textRotation="90"/>
    </xf>
    <xf numFmtId="0" fontId="2" fillId="55" borderId="0" xfId="0" applyFont="1" applyFill="1" applyAlignment="1">
      <alignment horizontal="center" vertical="center" textRotation="90"/>
    </xf>
    <xf numFmtId="0" fontId="2" fillId="71" borderId="0" xfId="0" applyFont="1" applyFill="1" applyAlignment="1">
      <alignment horizontal="center" vertical="center" textRotation="90"/>
    </xf>
    <xf numFmtId="0" fontId="2" fillId="55" borderId="0" xfId="0" applyFont="1" applyFill="1" applyAlignment="1">
      <alignment vertical="center" textRotation="90"/>
    </xf>
    <xf numFmtId="0" fontId="2" fillId="71" borderId="0" xfId="0" applyFont="1" applyFill="1" applyAlignment="1">
      <alignment vertical="center" textRotation="90"/>
    </xf>
    <xf numFmtId="0" fontId="52" fillId="15" borderId="0" xfId="0" applyFont="1" applyFill="1" applyAlignment="1">
      <alignment horizontal="center" vertical="center" textRotation="90"/>
    </xf>
    <xf numFmtId="0" fontId="62" fillId="68" borderId="0" xfId="0" applyFont="1" applyFill="1" applyAlignment="1">
      <alignment wrapText="1"/>
    </xf>
    <xf numFmtId="0" fontId="0" fillId="42" borderId="0" xfId="0" applyFill="1" applyAlignment="1">
      <alignment horizontal="right" vertical="center"/>
    </xf>
    <xf numFmtId="0" fontId="0" fillId="54" borderId="0" xfId="0" applyFill="1" applyAlignment="1">
      <alignment horizontal="right" vertical="center"/>
    </xf>
    <xf numFmtId="0" fontId="62" fillId="70" borderId="0" xfId="0" applyFont="1" applyFill="1" applyAlignment="1">
      <alignment wrapText="1"/>
    </xf>
    <xf numFmtId="0" fontId="0" fillId="79" borderId="0" xfId="0" applyFill="1" applyAlignment="1">
      <alignment horizontal="right" vertical="center"/>
    </xf>
    <xf numFmtId="0" fontId="0" fillId="15" borderId="0" xfId="0" applyFill="1" applyAlignment="1">
      <alignment horizontal="right" vertical="center"/>
    </xf>
    <xf numFmtId="0" fontId="54" fillId="55" borderId="0" xfId="0" applyFont="1" applyFill="1" applyAlignment="1">
      <alignment horizontal="center" vertical="center"/>
    </xf>
    <xf numFmtId="0" fontId="54" fillId="71" borderId="0" xfId="0" applyFont="1" applyFill="1" applyAlignment="1">
      <alignment horizontal="center" vertical="center"/>
    </xf>
    <xf numFmtId="0" fontId="54" fillId="55" borderId="0" xfId="0" applyFont="1" applyFill="1" applyAlignment="1">
      <alignment vertical="center"/>
    </xf>
    <xf numFmtId="0" fontId="54" fillId="71" borderId="0" xfId="0" applyFont="1" applyFill="1" applyAlignment="1">
      <alignment vertical="center"/>
    </xf>
    <xf numFmtId="0" fontId="54" fillId="12" borderId="0" xfId="0" applyFont="1" applyFill="1" applyAlignment="1">
      <alignment horizontal="center" vertical="center"/>
    </xf>
    <xf numFmtId="0" fontId="0" fillId="15" borderId="0" xfId="0" applyFill="1"/>
    <xf numFmtId="0" fontId="0" fillId="80" borderId="0" xfId="0" applyFill="1"/>
    <xf numFmtId="0" fontId="52" fillId="17" borderId="0" xfId="0" applyFont="1" applyFill="1"/>
    <xf numFmtId="0" fontId="52" fillId="19" borderId="0" xfId="0" applyFont="1" applyFill="1"/>
    <xf numFmtId="0" fontId="0" fillId="42" borderId="0" xfId="0" applyFill="1"/>
    <xf numFmtId="0" fontId="55" fillId="59" borderId="0" xfId="0" applyFont="1" applyFill="1"/>
    <xf numFmtId="0" fontId="54" fillId="19" borderId="0" xfId="0" applyFont="1" applyFill="1" applyAlignment="1">
      <alignment vertical="center" wrapText="1"/>
    </xf>
    <xf numFmtId="0" fontId="52" fillId="82" borderId="0" xfId="0" applyFont="1" applyFill="1" applyAlignment="1">
      <alignment horizontal="center" vertical="center"/>
    </xf>
    <xf numFmtId="0" fontId="52" fillId="39" borderId="0" xfId="0" applyFont="1" applyFill="1" applyAlignment="1">
      <alignment horizontal="center" vertical="center"/>
    </xf>
    <xf numFmtId="0" fontId="0" fillId="83" borderId="0" xfId="0" applyFill="1"/>
    <xf numFmtId="0" fontId="52" fillId="86" borderId="0" xfId="0" applyFont="1" applyFill="1" applyAlignment="1">
      <alignment horizontal="center" vertical="center"/>
    </xf>
    <xf numFmtId="0" fontId="52" fillId="67" borderId="0" xfId="0" applyFont="1" applyFill="1" applyAlignment="1">
      <alignment horizontal="center" vertical="center"/>
    </xf>
    <xf numFmtId="0" fontId="52" fillId="87" borderId="0" xfId="0" applyFont="1" applyFill="1" applyAlignment="1">
      <alignment horizontal="center" vertical="center"/>
    </xf>
    <xf numFmtId="0" fontId="0" fillId="84" borderId="0" xfId="0" applyFill="1"/>
    <xf numFmtId="0" fontId="52" fillId="52" borderId="0" xfId="0" applyFont="1" applyFill="1" applyAlignment="1">
      <alignment horizontal="center" vertical="center"/>
    </xf>
    <xf numFmtId="0" fontId="52" fillId="89" borderId="0" xfId="0" applyFont="1" applyFill="1" applyAlignment="1">
      <alignment horizontal="center" vertical="center"/>
    </xf>
    <xf numFmtId="0" fontId="52" fillId="90" borderId="0" xfId="0" applyFont="1" applyFill="1" applyAlignment="1">
      <alignment horizontal="center" vertical="center"/>
    </xf>
    <xf numFmtId="0" fontId="0" fillId="88" borderId="0" xfId="0" applyFill="1" applyAlignment="1">
      <alignment vertical="center"/>
    </xf>
    <xf numFmtId="0" fontId="52" fillId="93" borderId="0" xfId="0" applyFont="1" applyFill="1" applyAlignment="1">
      <alignment horizontal="center" vertical="center"/>
    </xf>
    <xf numFmtId="0" fontId="52" fillId="94" borderId="0" xfId="0" applyFont="1" applyFill="1" applyAlignment="1">
      <alignment horizontal="center" vertical="center"/>
    </xf>
    <xf numFmtId="0" fontId="52" fillId="95" borderId="0" xfId="0" applyFont="1" applyFill="1" applyAlignment="1">
      <alignment horizontal="center" vertical="center"/>
    </xf>
    <xf numFmtId="0" fontId="49" fillId="9" borderId="0" xfId="0" applyFont="1" applyFill="1" applyAlignment="1">
      <alignment vertical="center" wrapText="1"/>
    </xf>
    <xf numFmtId="0" fontId="52" fillId="96" borderId="0" xfId="0" applyFont="1" applyFill="1" applyAlignment="1">
      <alignment horizontal="center" vertical="center"/>
    </xf>
    <xf numFmtId="0" fontId="52" fillId="97" borderId="0" xfId="0" applyFont="1" applyFill="1" applyAlignment="1">
      <alignment horizontal="center" vertical="center"/>
    </xf>
    <xf numFmtId="0" fontId="58" fillId="17" borderId="0" xfId="0" applyFont="1" applyFill="1"/>
    <xf numFmtId="0" fontId="52" fillId="98" borderId="0" xfId="0" applyFont="1" applyFill="1" applyAlignment="1">
      <alignment horizontal="center" vertical="center"/>
    </xf>
    <xf numFmtId="0" fontId="52" fillId="99" borderId="0" xfId="0" applyFont="1" applyFill="1" applyAlignment="1">
      <alignment horizontal="center" vertical="center"/>
    </xf>
    <xf numFmtId="0" fontId="52" fillId="100" borderId="0" xfId="0" applyFont="1" applyFill="1" applyAlignment="1">
      <alignment horizontal="center" vertical="center"/>
    </xf>
    <xf numFmtId="0" fontId="0" fillId="71" borderId="0" xfId="0" applyFill="1" applyAlignment="1">
      <alignment vertical="center"/>
    </xf>
    <xf numFmtId="0" fontId="52" fillId="101" borderId="0" xfId="0" applyFont="1" applyFill="1" applyAlignment="1">
      <alignment horizontal="center" vertical="center"/>
    </xf>
    <xf numFmtId="0" fontId="52" fillId="33" borderId="0" xfId="0" applyFont="1" applyFill="1" applyAlignment="1">
      <alignment horizontal="center" vertical="center"/>
    </xf>
    <xf numFmtId="0" fontId="52" fillId="102" borderId="0" xfId="0" applyFont="1" applyFill="1" applyAlignment="1">
      <alignment horizontal="center" vertical="center"/>
    </xf>
    <xf numFmtId="0" fontId="0" fillId="37" borderId="0" xfId="0" applyFill="1" applyAlignment="1">
      <alignment vertical="center"/>
    </xf>
    <xf numFmtId="0" fontId="3" fillId="10" borderId="0" xfId="0" applyFont="1" applyFill="1" applyAlignment="1">
      <alignment vertical="center" wrapText="1"/>
    </xf>
    <xf numFmtId="0" fontId="3" fillId="0" borderId="0" xfId="0" applyFont="1" applyAlignment="1">
      <alignment vertical="center" wrapText="1"/>
    </xf>
    <xf numFmtId="0" fontId="2" fillId="11" borderId="0" xfId="0" applyFont="1" applyFill="1" applyAlignment="1">
      <alignment vertical="center" wrapText="1"/>
    </xf>
    <xf numFmtId="0" fontId="0" fillId="13" borderId="0" xfId="0" applyFill="1"/>
    <xf numFmtId="0" fontId="55" fillId="17" borderId="0" xfId="0" applyFont="1" applyFill="1" applyAlignment="1">
      <alignment horizontal="center" vertical="center"/>
    </xf>
    <xf numFmtId="0" fontId="58" fillId="17" borderId="0" xfId="0" applyFont="1" applyFill="1" applyAlignment="1">
      <alignment horizontal="center" vertical="center" textRotation="90"/>
    </xf>
    <xf numFmtId="0" fontId="0" fillId="100" borderId="0" xfId="0" applyFill="1"/>
    <xf numFmtId="0" fontId="0" fillId="33" borderId="0" xfId="0" applyFill="1" applyAlignment="1">
      <alignment vertical="center"/>
    </xf>
    <xf numFmtId="0" fontId="0" fillId="102" borderId="0" xfId="0" applyFill="1" applyAlignment="1">
      <alignment vertical="center"/>
    </xf>
    <xf numFmtId="0" fontId="55" fillId="17" borderId="0" xfId="0" applyFont="1" applyFill="1" applyAlignment="1">
      <alignment horizontal="center" vertical="center" wrapText="1"/>
    </xf>
    <xf numFmtId="0" fontId="0" fillId="104" borderId="0" xfId="0" applyFill="1"/>
    <xf numFmtId="0" fontId="0" fillId="105" borderId="0" xfId="0" applyFill="1"/>
    <xf numFmtId="0" fontId="0" fillId="57" borderId="0" xfId="0" applyFill="1"/>
    <xf numFmtId="0" fontId="52" fillId="71" borderId="0" xfId="0" applyFont="1" applyFill="1"/>
    <xf numFmtId="0" fontId="48" fillId="19" borderId="0" xfId="0" applyFont="1" applyFill="1" applyAlignment="1">
      <alignment horizontal="center" vertical="center" wrapText="1"/>
    </xf>
    <xf numFmtId="0" fontId="61" fillId="17" borderId="0" xfId="0" applyFont="1" applyFill="1" applyAlignment="1">
      <alignment horizontal="center" vertical="center" wrapText="1"/>
    </xf>
    <xf numFmtId="0" fontId="49" fillId="14" borderId="0" xfId="0" applyFont="1" applyFill="1" applyAlignment="1">
      <alignment vertical="center" wrapText="1"/>
    </xf>
    <xf numFmtId="0" fontId="2" fillId="37" borderId="0" xfId="0" applyFont="1" applyFill="1" applyAlignment="1">
      <alignment vertical="center" wrapText="1"/>
    </xf>
    <xf numFmtId="0" fontId="0" fillId="13" borderId="0" xfId="0" applyFill="1" applyAlignment="1">
      <alignment horizontal="center" vertical="center"/>
    </xf>
    <xf numFmtId="0" fontId="0" fillId="25" borderId="0" xfId="0" applyFill="1" applyAlignment="1">
      <alignment vertical="center"/>
    </xf>
    <xf numFmtId="3" fontId="2" fillId="0" borderId="0" xfId="0" applyNumberFormat="1" applyFont="1" applyAlignment="1">
      <alignment vertical="center" wrapText="1"/>
    </xf>
    <xf numFmtId="3" fontId="54" fillId="20" borderId="0" xfId="0" applyNumberFormat="1" applyFont="1" applyFill="1" applyAlignment="1">
      <alignment vertical="center" wrapText="1"/>
    </xf>
    <xf numFmtId="0" fontId="54" fillId="37" borderId="0" xfId="0" applyFont="1" applyFill="1"/>
    <xf numFmtId="0" fontId="2" fillId="21" borderId="0" xfId="0" applyFont="1" applyFill="1" applyAlignment="1">
      <alignment vertical="center" wrapText="1"/>
    </xf>
    <xf numFmtId="0" fontId="2" fillId="82" borderId="0" xfId="0" applyFont="1" applyFill="1" applyAlignment="1">
      <alignment vertical="center" wrapText="1"/>
    </xf>
    <xf numFmtId="0" fontId="2" fillId="107" borderId="0" xfId="0" applyFont="1" applyFill="1" applyAlignment="1">
      <alignment vertical="center" wrapText="1"/>
    </xf>
    <xf numFmtId="3" fontId="0" fillId="81" borderId="0" xfId="0" applyNumberFormat="1" applyFill="1"/>
    <xf numFmtId="0" fontId="50" fillId="0" borderId="0" xfId="0" applyFont="1" applyAlignment="1">
      <alignment horizontal="left" vertical="center"/>
    </xf>
    <xf numFmtId="0" fontId="38" fillId="0" borderId="12" xfId="0" applyFont="1" applyBorder="1" applyAlignment="1">
      <alignment horizontal="center" vertical="center" wrapText="1"/>
    </xf>
    <xf numFmtId="0" fontId="49" fillId="101" borderId="0" xfId="0" applyFont="1" applyFill="1" applyAlignment="1">
      <alignment vertical="center" textRotation="90" wrapText="1"/>
    </xf>
    <xf numFmtId="0" fontId="63" fillId="101" borderId="0" xfId="0" applyFont="1" applyFill="1" applyAlignment="1">
      <alignment vertical="center" wrapText="1"/>
    </xf>
    <xf numFmtId="0" fontId="56" fillId="17" borderId="0" xfId="0" applyFont="1" applyFill="1" applyAlignment="1">
      <alignment horizontal="center" vertical="center"/>
    </xf>
    <xf numFmtId="0" fontId="49" fillId="67" borderId="0" xfId="0" applyFont="1" applyFill="1" applyAlignment="1">
      <alignment vertical="center" textRotation="90" wrapText="1"/>
    </xf>
    <xf numFmtId="0" fontId="61" fillId="25" borderId="0" xfId="0" applyFont="1" applyFill="1" applyAlignment="1">
      <alignment textRotation="90" wrapText="1"/>
    </xf>
    <xf numFmtId="0" fontId="0" fillId="108" borderId="0" xfId="0" applyFill="1" applyAlignment="1">
      <alignment textRotation="90"/>
    </xf>
    <xf numFmtId="0" fontId="2" fillId="109" borderId="0" xfId="0" applyFont="1" applyFill="1" applyAlignment="1">
      <alignment horizontal="center" vertical="center" wrapText="1"/>
    </xf>
    <xf numFmtId="0" fontId="56" fillId="108" borderId="0" xfId="0" applyFont="1" applyFill="1"/>
    <xf numFmtId="0" fontId="56" fillId="37" borderId="0" xfId="0" applyFont="1" applyFill="1" applyAlignment="1">
      <alignment horizontal="center" vertical="center"/>
    </xf>
    <xf numFmtId="0" fontId="48" fillId="19" borderId="0" xfId="0" applyFont="1" applyFill="1" applyAlignment="1">
      <alignment horizontal="center" vertical="center" textRotation="90" wrapText="1"/>
    </xf>
    <xf numFmtId="0" fontId="52" fillId="108" borderId="0" xfId="0" applyFont="1" applyFill="1" applyAlignment="1">
      <alignment textRotation="90"/>
    </xf>
    <xf numFmtId="0" fontId="58" fillId="55" borderId="0" xfId="0" applyFont="1" applyFill="1" applyAlignment="1">
      <alignment textRotation="90" wrapText="1"/>
    </xf>
    <xf numFmtId="0" fontId="0" fillId="110" borderId="0" xfId="0" applyFill="1" applyAlignment="1">
      <alignment horizontal="center" vertical="center"/>
    </xf>
    <xf numFmtId="0" fontId="58" fillId="19" borderId="0" xfId="0" applyFont="1" applyFill="1" applyAlignment="1">
      <alignment textRotation="90"/>
    </xf>
    <xf numFmtId="0" fontId="58" fillId="37" borderId="0" xfId="0" applyFont="1" applyFill="1" applyAlignment="1">
      <alignment textRotation="90"/>
    </xf>
    <xf numFmtId="0" fontId="58" fillId="57" borderId="0" xfId="0" applyFont="1" applyFill="1" applyAlignment="1">
      <alignment textRotation="90"/>
    </xf>
    <xf numFmtId="0" fontId="58" fillId="111" borderId="0" xfId="0" applyFont="1" applyFill="1" applyAlignment="1">
      <alignment textRotation="90"/>
    </xf>
    <xf numFmtId="0" fontId="58" fillId="14" borderId="0" xfId="0" applyFont="1" applyFill="1" applyAlignment="1">
      <alignment textRotation="90"/>
    </xf>
    <xf numFmtId="0" fontId="58" fillId="112" borderId="0" xfId="0" applyFont="1" applyFill="1" applyAlignment="1">
      <alignment textRotation="90" wrapText="1"/>
    </xf>
    <xf numFmtId="0" fontId="58" fillId="28" borderId="0" xfId="0" applyFont="1" applyFill="1" applyAlignment="1">
      <alignment textRotation="90" wrapText="1"/>
    </xf>
    <xf numFmtId="0" fontId="58" fillId="29" borderId="0" xfId="0" applyFont="1" applyFill="1" applyAlignment="1">
      <alignment textRotation="90" wrapText="1"/>
    </xf>
    <xf numFmtId="0" fontId="58" fillId="30" borderId="0" xfId="0" applyFont="1" applyFill="1" applyAlignment="1">
      <alignment textRotation="90" wrapText="1"/>
    </xf>
    <xf numFmtId="0" fontId="58" fillId="113" borderId="0" xfId="0" applyFont="1" applyFill="1" applyAlignment="1">
      <alignment textRotation="90" wrapText="1"/>
    </xf>
    <xf numFmtId="0" fontId="58" fillId="96" borderId="0" xfId="0" applyFont="1" applyFill="1" applyAlignment="1">
      <alignment textRotation="90" wrapText="1"/>
    </xf>
    <xf numFmtId="0" fontId="2" fillId="106" borderId="0" xfId="0" applyFont="1" applyFill="1" applyAlignment="1">
      <alignment horizontal="center" vertical="center" wrapText="1"/>
    </xf>
    <xf numFmtId="0" fontId="2" fillId="33" borderId="0" xfId="0" applyFont="1" applyFill="1" applyAlignment="1">
      <alignment horizontal="center" vertical="center" wrapText="1"/>
    </xf>
    <xf numFmtId="0" fontId="2" fillId="8" borderId="0" xfId="0" applyFont="1" applyFill="1" applyAlignment="1">
      <alignment horizontal="center" vertical="center" wrapText="1"/>
    </xf>
    <xf numFmtId="0" fontId="56" fillId="112" borderId="0" xfId="0" applyFont="1" applyFill="1"/>
    <xf numFmtId="0" fontId="56" fillId="28" borderId="0" xfId="0" applyFont="1" applyFill="1"/>
    <xf numFmtId="0" fontId="56" fillId="29" borderId="0" xfId="0" applyFont="1" applyFill="1"/>
    <xf numFmtId="0" fontId="56" fillId="30" borderId="0" xfId="0" applyFont="1" applyFill="1"/>
    <xf numFmtId="0" fontId="56" fillId="113" borderId="0" xfId="0" applyFont="1" applyFill="1"/>
    <xf numFmtId="0" fontId="58" fillId="48" borderId="0" xfId="0" applyFont="1" applyFill="1" applyAlignment="1">
      <alignment vertical="center"/>
    </xf>
    <xf numFmtId="0" fontId="58" fillId="33" borderId="0" xfId="0" applyFont="1" applyFill="1" applyAlignment="1">
      <alignment vertical="center"/>
    </xf>
    <xf numFmtId="0" fontId="0" fillId="100" borderId="0" xfId="0" applyFill="1" applyAlignment="1">
      <alignment horizontal="center" vertical="center"/>
    </xf>
    <xf numFmtId="0" fontId="52" fillId="28" borderId="0" xfId="0" applyFont="1" applyFill="1" applyAlignment="1">
      <alignment textRotation="90" wrapText="1"/>
    </xf>
    <xf numFmtId="0" fontId="2" fillId="33" borderId="0" xfId="0" applyFont="1" applyFill="1" applyAlignment="1">
      <alignment vertical="center" wrapText="1"/>
    </xf>
    <xf numFmtId="0" fontId="2" fillId="100" borderId="0" xfId="0" applyFont="1" applyFill="1" applyAlignment="1">
      <alignment vertical="center" wrapText="1"/>
    </xf>
    <xf numFmtId="0" fontId="56" fillId="96" borderId="0" xfId="0" applyFont="1" applyFill="1"/>
    <xf numFmtId="0" fontId="54" fillId="19" borderId="0" xfId="0" applyFont="1" applyFill="1" applyAlignment="1">
      <alignment horizontal="center" vertical="center"/>
    </xf>
    <xf numFmtId="0" fontId="0" fillId="92" borderId="0" xfId="0" applyFill="1" applyAlignment="1">
      <alignment textRotation="90"/>
    </xf>
    <xf numFmtId="0" fontId="0" fillId="103" borderId="0" xfId="0" applyFill="1" applyAlignment="1">
      <alignment textRotation="90"/>
    </xf>
    <xf numFmtId="0" fontId="0" fillId="114" borderId="0" xfId="0" applyFill="1" applyAlignment="1">
      <alignment textRotation="90"/>
    </xf>
    <xf numFmtId="0" fontId="54" fillId="103" borderId="0" xfId="0" applyFont="1" applyFill="1" applyAlignment="1">
      <alignment vertical="center" wrapText="1"/>
    </xf>
    <xf numFmtId="0" fontId="54" fillId="94" borderId="0" xfId="0" applyFont="1" applyFill="1" applyAlignment="1">
      <alignment vertical="center" wrapText="1"/>
    </xf>
    <xf numFmtId="0" fontId="54" fillId="114" borderId="0" xfId="0" applyFont="1" applyFill="1" applyAlignment="1">
      <alignment vertical="center" wrapText="1"/>
    </xf>
    <xf numFmtId="0" fontId="55" fillId="30" borderId="0" xfId="0" applyFont="1" applyFill="1" applyAlignment="1">
      <alignment horizontal="center" vertical="center" textRotation="90" wrapText="1"/>
    </xf>
    <xf numFmtId="0" fontId="2" fillId="48" borderId="0" xfId="0" applyFont="1" applyFill="1" applyAlignment="1">
      <alignment vertical="center" wrapText="1"/>
    </xf>
    <xf numFmtId="0" fontId="58" fillId="13" borderId="0" xfId="0" applyFont="1" applyFill="1" applyAlignment="1">
      <alignment horizontal="center" vertical="center"/>
    </xf>
    <xf numFmtId="0" fontId="55" fillId="0" borderId="0" xfId="0" applyFont="1" applyAlignment="1">
      <alignment vertical="center" textRotation="90" wrapText="1"/>
    </xf>
    <xf numFmtId="0" fontId="2" fillId="28" borderId="0" xfId="0" applyFont="1" applyFill="1" applyAlignment="1">
      <alignment vertical="center" wrapText="1"/>
    </xf>
    <xf numFmtId="0" fontId="6" fillId="0" borderId="0" xfId="0" applyFont="1" applyAlignment="1">
      <alignment horizontal="center" vertical="center" textRotation="90" wrapText="1"/>
    </xf>
    <xf numFmtId="0" fontId="2" fillId="29" borderId="0" xfId="0" applyFont="1" applyFill="1" applyAlignment="1">
      <alignment vertical="center" wrapText="1"/>
    </xf>
    <xf numFmtId="0" fontId="2" fillId="112" borderId="0" xfId="0" applyFont="1" applyFill="1" applyAlignment="1">
      <alignment vertical="center" wrapText="1"/>
    </xf>
    <xf numFmtId="0" fontId="0" fillId="115" borderId="0" xfId="0" applyFill="1" applyAlignment="1">
      <alignment horizontal="center" vertical="center"/>
    </xf>
    <xf numFmtId="0" fontId="2" fillId="19" borderId="0" xfId="0" applyFont="1" applyFill="1" applyAlignment="1">
      <alignment vertical="center" wrapText="1"/>
    </xf>
    <xf numFmtId="0" fontId="2" fillId="79" borderId="0" xfId="0" applyFont="1" applyFill="1" applyAlignment="1">
      <alignment vertical="center" wrapText="1"/>
    </xf>
    <xf numFmtId="0" fontId="0" fillId="116" borderId="0" xfId="0" applyFill="1"/>
    <xf numFmtId="0" fontId="0" fillId="106" borderId="0" xfId="0" applyFill="1"/>
    <xf numFmtId="0" fontId="0" fillId="115" borderId="0" xfId="0" applyFill="1"/>
    <xf numFmtId="0" fontId="0" fillId="118" borderId="0" xfId="0" applyFill="1"/>
    <xf numFmtId="0" fontId="0" fillId="79" borderId="0" xfId="0" applyFill="1"/>
    <xf numFmtId="0" fontId="0" fillId="110" borderId="0" xfId="0" applyFill="1"/>
    <xf numFmtId="0" fontId="61" fillId="118" borderId="0" xfId="0" applyFont="1" applyFill="1"/>
    <xf numFmtId="0" fontId="61" fillId="117" borderId="0" xfId="0" applyFont="1" applyFill="1"/>
    <xf numFmtId="0" fontId="0" fillId="114" borderId="0" xfId="0" applyFill="1"/>
    <xf numFmtId="0" fontId="0" fillId="107" borderId="0" xfId="0" applyFill="1"/>
    <xf numFmtId="0" fontId="0" fillId="26" borderId="0" xfId="0" applyFill="1"/>
    <xf numFmtId="0" fontId="55" fillId="13" borderId="0" xfId="0" applyFont="1" applyFill="1"/>
    <xf numFmtId="0" fontId="0" fillId="121" borderId="0" xfId="0" applyFill="1"/>
    <xf numFmtId="0" fontId="61" fillId="119" borderId="0" xfId="0" applyFont="1" applyFill="1"/>
    <xf numFmtId="0" fontId="61" fillId="13" borderId="0" xfId="0" applyFont="1" applyFill="1"/>
    <xf numFmtId="0" fontId="61" fillId="0" borderId="0" xfId="0" applyFont="1"/>
    <xf numFmtId="0" fontId="0" fillId="119" borderId="0" xfId="0" applyFill="1"/>
    <xf numFmtId="0" fontId="0" fillId="94" borderId="0" xfId="0" applyFill="1"/>
    <xf numFmtId="0" fontId="55" fillId="94" borderId="0" xfId="0" applyFont="1" applyFill="1"/>
    <xf numFmtId="0" fontId="0" fillId="123" borderId="0" xfId="0" applyFill="1"/>
    <xf numFmtId="0" fontId="61" fillId="122" borderId="0" xfId="0" applyFont="1" applyFill="1"/>
    <xf numFmtId="0" fontId="61" fillId="94" borderId="0" xfId="0" applyFont="1" applyFill="1"/>
    <xf numFmtId="0" fontId="0" fillId="86" borderId="0" xfId="0" applyFill="1"/>
    <xf numFmtId="0" fontId="0" fillId="124" borderId="0" xfId="0" applyFill="1"/>
    <xf numFmtId="0" fontId="0" fillId="24" borderId="0" xfId="0" applyFill="1"/>
    <xf numFmtId="0" fontId="55" fillId="99" borderId="0" xfId="0" applyFont="1" applyFill="1"/>
    <xf numFmtId="0" fontId="0" fillId="36" borderId="0" xfId="0" applyFill="1"/>
    <xf numFmtId="0" fontId="61" fillId="104" borderId="0" xfId="0" applyFont="1" applyFill="1"/>
    <xf numFmtId="0" fontId="0" fillId="125" borderId="0" xfId="0" applyFill="1"/>
    <xf numFmtId="0" fontId="0" fillId="99" borderId="0" xfId="0" applyFill="1"/>
    <xf numFmtId="0" fontId="61" fillId="94" borderId="0" xfId="0" applyFont="1" applyFill="1" applyAlignment="1">
      <alignment wrapText="1"/>
    </xf>
    <xf numFmtId="0" fontId="0" fillId="18" borderId="0" xfId="0" applyFill="1"/>
    <xf numFmtId="0" fontId="61" fillId="119" borderId="0" xfId="0" applyFont="1" applyFill="1" applyAlignment="1">
      <alignment wrapText="1"/>
    </xf>
    <xf numFmtId="0" fontId="61" fillId="13" borderId="0" xfId="0" applyFont="1" applyFill="1" applyAlignment="1">
      <alignment wrapText="1"/>
    </xf>
    <xf numFmtId="0" fontId="6" fillId="0" borderId="14" xfId="0" applyFont="1" applyBorder="1" applyAlignment="1">
      <alignment horizontal="justify" vertical="center" wrapText="1"/>
    </xf>
    <xf numFmtId="0" fontId="6" fillId="0" borderId="4" xfId="0" applyFont="1" applyBorder="1" applyAlignment="1">
      <alignment horizontal="justify" vertical="center" wrapText="1"/>
    </xf>
    <xf numFmtId="0" fontId="49" fillId="94" borderId="0" xfId="0" applyFont="1" applyFill="1" applyAlignment="1">
      <alignment horizontal="center" vertical="center" textRotation="90" wrapText="1"/>
    </xf>
    <xf numFmtId="0" fontId="0" fillId="30" borderId="0" xfId="0" applyFill="1" applyAlignment="1">
      <alignment textRotation="90" wrapText="1"/>
    </xf>
    <xf numFmtId="0" fontId="58" fillId="107" borderId="0" xfId="0" applyFont="1" applyFill="1" applyAlignment="1">
      <alignment textRotation="90" wrapText="1"/>
    </xf>
    <xf numFmtId="0" fontId="58" fillId="29" borderId="0" xfId="0" applyFont="1" applyFill="1" applyAlignment="1">
      <alignment horizontal="center"/>
    </xf>
    <xf numFmtId="0" fontId="58" fillId="30" borderId="0" xfId="0" applyFont="1" applyFill="1" applyAlignment="1">
      <alignment horizontal="center"/>
    </xf>
    <xf numFmtId="0" fontId="0" fillId="28" borderId="0" xfId="0" applyFill="1"/>
    <xf numFmtId="0" fontId="0" fillId="128" borderId="0" xfId="0" applyFill="1"/>
    <xf numFmtId="0" fontId="0" fillId="0" borderId="0" xfId="0" applyAlignment="1">
      <alignment horizontal="left"/>
    </xf>
    <xf numFmtId="0" fontId="0" fillId="7" borderId="14" xfId="0" applyFill="1" applyBorder="1" applyAlignment="1">
      <alignment horizontal="center" textRotation="90"/>
    </xf>
    <xf numFmtId="0" fontId="0" fillId="25" borderId="14" xfId="0" applyFill="1" applyBorder="1" applyAlignment="1">
      <alignment horizontal="center" textRotation="90"/>
    </xf>
    <xf numFmtId="0" fontId="0" fillId="0" borderId="0" xfId="0" applyAlignment="1">
      <alignment horizontal="center"/>
    </xf>
    <xf numFmtId="49" fontId="31" fillId="0" borderId="0" xfId="0" applyNumberFormat="1" applyFont="1" applyAlignment="1">
      <alignment horizontal="center"/>
    </xf>
    <xf numFmtId="0" fontId="0" fillId="0" borderId="88" xfId="0" applyBorder="1"/>
    <xf numFmtId="0" fontId="0" fillId="0" borderId="88" xfId="0" applyBorder="1" applyAlignment="1">
      <alignment horizontal="center"/>
    </xf>
    <xf numFmtId="0" fontId="0" fillId="7" borderId="14" xfId="0" applyFill="1" applyBorder="1" applyAlignment="1">
      <alignment horizontal="center"/>
    </xf>
    <xf numFmtId="0" fontId="0" fillId="0" borderId="88" xfId="0" applyBorder="1" applyAlignment="1">
      <alignment horizontal="left"/>
    </xf>
    <xf numFmtId="0" fontId="0" fillId="0" borderId="14" xfId="0" applyBorder="1" applyAlignment="1">
      <alignment horizontal="center"/>
    </xf>
    <xf numFmtId="0" fontId="66" fillId="126" borderId="14" xfId="0" applyFont="1" applyFill="1" applyBorder="1" applyAlignment="1">
      <alignment horizontal="center" wrapText="1"/>
    </xf>
    <xf numFmtId="0" fontId="0" fillId="0" borderId="14" xfId="0" applyBorder="1" applyAlignment="1">
      <alignment horizontal="left" wrapText="1"/>
    </xf>
    <xf numFmtId="0" fontId="0" fillId="126" borderId="14" xfId="0" applyFill="1" applyBorder="1"/>
    <xf numFmtId="0" fontId="0" fillId="126" borderId="14" xfId="0" applyFill="1" applyBorder="1" applyAlignment="1">
      <alignment horizontal="left" wrapText="1"/>
    </xf>
    <xf numFmtId="0" fontId="0" fillId="0" borderId="14" xfId="0" quotePrefix="1" applyBorder="1" applyAlignment="1">
      <alignment horizontal="center"/>
    </xf>
    <xf numFmtId="0" fontId="0" fillId="126" borderId="0" xfId="0" applyFill="1"/>
    <xf numFmtId="0" fontId="0" fillId="126" borderId="14" xfId="0" applyFill="1" applyBorder="1" applyAlignment="1">
      <alignment horizontal="center"/>
    </xf>
    <xf numFmtId="0" fontId="11" fillId="0" borderId="14" xfId="0" applyFont="1" applyBorder="1" applyAlignment="1">
      <alignment horizontal="center"/>
    </xf>
    <xf numFmtId="0" fontId="11" fillId="0" borderId="14" xfId="0" applyFont="1" applyBorder="1" applyAlignment="1">
      <alignment horizontal="left" wrapText="1"/>
    </xf>
    <xf numFmtId="0" fontId="0" fillId="0" borderId="81" xfId="0" applyBorder="1" applyAlignment="1">
      <alignment horizontal="left"/>
    </xf>
    <xf numFmtId="0" fontId="0" fillId="0" borderId="81" xfId="0" applyBorder="1" applyAlignment="1">
      <alignment horizontal="center"/>
    </xf>
    <xf numFmtId="0" fontId="11" fillId="0" borderId="14" xfId="0" quotePrefix="1" applyFont="1" applyBorder="1" applyAlignment="1">
      <alignment horizontal="center"/>
    </xf>
    <xf numFmtId="0" fontId="11" fillId="126" borderId="14" xfId="0" applyFont="1" applyFill="1" applyBorder="1" applyAlignment="1">
      <alignment horizontal="left" wrapText="1"/>
    </xf>
    <xf numFmtId="0" fontId="0" fillId="126" borderId="14" xfId="0" applyFill="1" applyBorder="1" applyAlignment="1">
      <alignment wrapText="1"/>
    </xf>
    <xf numFmtId="0" fontId="0" fillId="129" borderId="14" xfId="0" applyFill="1" applyBorder="1" applyAlignment="1">
      <alignment horizontal="left" wrapText="1"/>
    </xf>
    <xf numFmtId="0" fontId="67" fillId="0" borderId="0" xfId="0" applyFont="1" applyAlignment="1">
      <alignment horizontal="center"/>
    </xf>
    <xf numFmtId="0" fontId="67" fillId="0" borderId="14" xfId="0" applyFont="1" applyBorder="1" applyAlignment="1">
      <alignment horizontal="center"/>
    </xf>
    <xf numFmtId="0" fontId="67" fillId="0" borderId="14" xfId="0" applyFont="1" applyBorder="1" applyAlignment="1">
      <alignment horizontal="left" wrapText="1"/>
    </xf>
    <xf numFmtId="0" fontId="0" fillId="0" borderId="81" xfId="0" applyBorder="1"/>
    <xf numFmtId="0" fontId="10" fillId="0" borderId="57" xfId="0" applyFont="1" applyBorder="1"/>
    <xf numFmtId="0" fontId="35" fillId="0" borderId="0" xfId="1" applyNumberFormat="1" applyFont="1" applyFill="1" applyAlignment="1" applyProtection="1">
      <alignment vertical="center"/>
    </xf>
    <xf numFmtId="0" fontId="10" fillId="0" borderId="0" xfId="0" applyFont="1" applyAlignment="1">
      <alignment vertical="center" wrapText="1"/>
    </xf>
    <xf numFmtId="0" fontId="6" fillId="0" borderId="0" xfId="0" applyFont="1" applyAlignment="1">
      <alignment horizontal="center" vertical="center" wrapText="1" shrinkToFit="1"/>
    </xf>
    <xf numFmtId="0" fontId="7" fillId="0" borderId="0" xfId="0" applyFont="1" applyAlignment="1">
      <alignment horizontal="center" vertical="center" shrinkToFit="1"/>
    </xf>
    <xf numFmtId="0" fontId="7" fillId="0" borderId="0" xfId="0" applyFont="1" applyAlignment="1">
      <alignment horizontal="center" vertical="center" wrapText="1" shrinkToFit="1"/>
    </xf>
    <xf numFmtId="0" fontId="20" fillId="0" borderId="0" xfId="0" applyFont="1" applyAlignment="1">
      <alignment horizontal="center" vertical="center" wrapText="1"/>
    </xf>
    <xf numFmtId="0" fontId="7" fillId="0" borderId="7" xfId="0" applyFont="1" applyBorder="1" applyAlignment="1">
      <alignment horizontal="center" vertical="center" textRotation="90" wrapText="1"/>
    </xf>
    <xf numFmtId="0" fontId="7" fillId="0" borderId="81" xfId="0" applyFont="1" applyBorder="1" applyAlignment="1">
      <alignment horizontal="center" vertical="center" textRotation="90" wrapText="1"/>
    </xf>
    <xf numFmtId="0" fontId="6" fillId="0" borderId="81" xfId="0" applyFont="1" applyBorder="1" applyAlignment="1">
      <alignment horizontal="center" vertical="center" textRotation="90" wrapText="1"/>
    </xf>
    <xf numFmtId="0" fontId="6" fillId="0" borderId="7" xfId="0" applyFont="1" applyBorder="1" applyAlignment="1">
      <alignment horizontal="center" vertical="center" textRotation="90" wrapText="1"/>
    </xf>
    <xf numFmtId="0" fontId="7" fillId="0" borderId="5" xfId="0" applyFont="1" applyBorder="1" applyAlignment="1">
      <alignment horizontal="center" vertical="center"/>
    </xf>
    <xf numFmtId="0" fontId="28" fillId="0" borderId="66" xfId="0" applyFont="1" applyBorder="1" applyAlignment="1">
      <alignment horizontal="justify" vertical="center"/>
    </xf>
    <xf numFmtId="0" fontId="6" fillId="0" borderId="57" xfId="0" applyFont="1" applyBorder="1"/>
    <xf numFmtId="0" fontId="6" fillId="0" borderId="59" xfId="0" applyFont="1" applyBorder="1"/>
    <xf numFmtId="0" fontId="14" fillId="0" borderId="7" xfId="0" applyFont="1" applyBorder="1"/>
    <xf numFmtId="0" fontId="37" fillId="0" borderId="0" xfId="0" applyFont="1" applyAlignment="1">
      <alignment vertical="center"/>
    </xf>
    <xf numFmtId="0" fontId="14" fillId="0" borderId="89" xfId="0" applyFont="1" applyBorder="1"/>
    <xf numFmtId="0" fontId="7" fillId="0" borderId="7" xfId="0" applyFont="1" applyBorder="1" applyAlignment="1">
      <alignment vertical="top" wrapText="1"/>
    </xf>
    <xf numFmtId="0" fontId="6" fillId="0" borderId="101" xfId="0" applyFont="1" applyBorder="1"/>
    <xf numFmtId="0" fontId="32" fillId="0" borderId="0" xfId="0" applyFont="1" applyAlignment="1">
      <alignment vertical="center" wrapText="1"/>
    </xf>
    <xf numFmtId="0" fontId="28" fillId="0" borderId="0" xfId="0" applyFont="1" applyAlignment="1">
      <alignment vertical="center"/>
    </xf>
    <xf numFmtId="0" fontId="29" fillId="0" borderId="7" xfId="0" applyFont="1" applyBorder="1" applyAlignment="1">
      <alignment horizontal="justify" vertical="center" wrapText="1"/>
    </xf>
    <xf numFmtId="0" fontId="7" fillId="0" borderId="93" xfId="0" applyFont="1" applyBorder="1" applyAlignment="1">
      <alignment vertical="center"/>
    </xf>
    <xf numFmtId="0" fontId="50" fillId="0" borderId="0" xfId="0" applyFont="1"/>
    <xf numFmtId="0" fontId="2" fillId="0" borderId="0" xfId="0" applyFont="1" applyAlignment="1">
      <alignment horizontal="center" wrapText="1"/>
    </xf>
    <xf numFmtId="0" fontId="11" fillId="104" borderId="0" xfId="0" applyFont="1" applyFill="1"/>
    <xf numFmtId="0" fontId="50" fillId="0" borderId="0" xfId="0" applyFont="1" applyAlignment="1">
      <alignment vertical="center"/>
    </xf>
    <xf numFmtId="0" fontId="34" fillId="0" borderId="14" xfId="0" applyFont="1" applyBorder="1" applyAlignment="1">
      <alignment horizontal="center" vertical="center" wrapText="1"/>
    </xf>
    <xf numFmtId="0" fontId="2" fillId="106" borderId="0" xfId="0" applyFont="1" applyFill="1" applyAlignment="1">
      <alignment horizontal="center" vertical="center"/>
    </xf>
    <xf numFmtId="0" fontId="2" fillId="57" borderId="0" xfId="0" applyFont="1" applyFill="1" applyAlignment="1">
      <alignment horizontal="center" vertical="center"/>
    </xf>
    <xf numFmtId="0" fontId="2" fillId="86" borderId="0" xfId="0" applyFont="1" applyFill="1" applyAlignment="1">
      <alignment horizontal="center" vertical="center" wrapText="1"/>
    </xf>
    <xf numFmtId="0" fontId="2" fillId="71" borderId="0" xfId="0" applyFont="1" applyFill="1" applyAlignment="1">
      <alignment horizontal="center" vertical="center"/>
    </xf>
    <xf numFmtId="0" fontId="2" fillId="80" borderId="0" xfId="0" applyFont="1" applyFill="1" applyAlignment="1">
      <alignment horizontal="center" vertical="center"/>
    </xf>
    <xf numFmtId="0" fontId="2" fillId="126" borderId="0" xfId="0" applyFont="1" applyFill="1" applyAlignment="1">
      <alignment horizontal="center" vertical="center"/>
    </xf>
    <xf numFmtId="0" fontId="2" fillId="80" borderId="0" xfId="0" applyFont="1" applyFill="1" applyAlignment="1">
      <alignment horizontal="center" vertical="center" wrapText="1"/>
    </xf>
    <xf numFmtId="0" fontId="2" fillId="103" borderId="0" xfId="0" applyFont="1" applyFill="1" applyAlignment="1">
      <alignment horizontal="center" vertical="center"/>
    </xf>
    <xf numFmtId="0" fontId="0" fillId="0" borderId="0" xfId="0" applyAlignment="1">
      <alignment wrapText="1"/>
    </xf>
    <xf numFmtId="0" fontId="7" fillId="0" borderId="14" xfId="0" applyFont="1" applyBorder="1" applyAlignment="1">
      <alignment horizontal="center" vertical="center" wrapText="1"/>
    </xf>
    <xf numFmtId="0" fontId="0" fillId="130" borderId="0" xfId="0" applyFill="1"/>
    <xf numFmtId="0" fontId="32" fillId="0" borderId="0" xfId="0" applyFont="1"/>
    <xf numFmtId="0" fontId="34" fillId="0" borderId="7" xfId="0" applyFont="1" applyBorder="1" applyAlignment="1">
      <alignment horizontal="justify" vertical="top" wrapText="1"/>
    </xf>
    <xf numFmtId="0" fontId="7" fillId="0" borderId="4" xfId="0" applyFont="1" applyBorder="1" applyAlignment="1">
      <alignment vertical="center" wrapText="1"/>
    </xf>
    <xf numFmtId="0" fontId="11" fillId="0" borderId="0" xfId="0" applyFont="1" applyAlignment="1">
      <alignment horizontal="left" vertical="center"/>
    </xf>
    <xf numFmtId="0" fontId="2" fillId="86" borderId="0" xfId="0" applyFont="1" applyFill="1" applyAlignment="1">
      <alignment horizontal="center" vertical="center"/>
    </xf>
    <xf numFmtId="0" fontId="2" fillId="131" borderId="0" xfId="0" applyFont="1" applyFill="1" applyAlignment="1">
      <alignment horizontal="center" vertical="center"/>
    </xf>
    <xf numFmtId="0" fontId="2" fillId="83" borderId="0" xfId="0" applyFont="1" applyFill="1" applyAlignment="1">
      <alignment horizontal="center" vertical="center"/>
    </xf>
    <xf numFmtId="0" fontId="0" fillId="132" borderId="0" xfId="0" applyFill="1"/>
    <xf numFmtId="0" fontId="0" fillId="101" borderId="0" xfId="0" applyFill="1"/>
    <xf numFmtId="0" fontId="50" fillId="0" borderId="0" xfId="0" applyFont="1" applyAlignment="1">
      <alignment horizontal="left"/>
    </xf>
    <xf numFmtId="0" fontId="6" fillId="104" borderId="0" xfId="0" applyFont="1" applyFill="1"/>
    <xf numFmtId="0" fontId="0" fillId="122" borderId="0" xfId="0" applyFill="1"/>
    <xf numFmtId="0" fontId="51" fillId="0" borderId="0" xfId="0" applyFont="1" applyAlignment="1">
      <alignment vertical="center"/>
    </xf>
    <xf numFmtId="0" fontId="0" fillId="105" borderId="0" xfId="0" applyFill="1" applyProtection="1">
      <protection locked="0"/>
    </xf>
    <xf numFmtId="0" fontId="38" fillId="0" borderId="12" xfId="0" applyFont="1" applyBorder="1" applyAlignment="1" applyProtection="1">
      <alignment vertical="center" wrapText="1"/>
      <protection locked="0"/>
    </xf>
    <xf numFmtId="0" fontId="38" fillId="0" borderId="13" xfId="0" applyFont="1" applyBorder="1" applyAlignment="1" applyProtection="1">
      <alignment vertical="center" wrapText="1"/>
      <protection locked="0"/>
    </xf>
    <xf numFmtId="0" fontId="38" fillId="0" borderId="12" xfId="0" applyFont="1" applyBorder="1" applyAlignment="1" applyProtection="1">
      <alignment horizontal="justify" vertical="center"/>
      <protection locked="0"/>
    </xf>
    <xf numFmtId="0" fontId="12" fillId="0" borderId="0" xfId="0" applyFont="1" applyAlignment="1">
      <alignment vertical="center" wrapText="1"/>
    </xf>
    <xf numFmtId="0" fontId="2" fillId="71" borderId="0" xfId="0" applyFont="1" applyFill="1" applyAlignment="1">
      <alignment horizontal="center" vertical="center" wrapText="1"/>
    </xf>
    <xf numFmtId="0" fontId="2" fillId="64" borderId="0" xfId="0" applyFont="1" applyFill="1" applyAlignment="1">
      <alignment horizontal="center" vertical="center"/>
    </xf>
    <xf numFmtId="0" fontId="2" fillId="64" borderId="0" xfId="0" applyFont="1" applyFill="1" applyAlignment="1">
      <alignment vertical="center"/>
    </xf>
    <xf numFmtId="0" fontId="6" fillId="0" borderId="0" xfId="0" applyFont="1" applyAlignment="1">
      <alignment horizontal="center" vertical="center" wrapText="1"/>
    </xf>
    <xf numFmtId="0" fontId="16" fillId="0" borderId="0" xfId="0" applyFont="1" applyAlignment="1">
      <alignment horizontal="justify" vertical="center" wrapText="1"/>
    </xf>
    <xf numFmtId="0" fontId="16" fillId="0" borderId="0" xfId="0" applyFont="1" applyAlignment="1">
      <alignment vertical="center" wrapText="1"/>
    </xf>
    <xf numFmtId="0" fontId="15" fillId="0" borderId="0" xfId="0" applyFont="1" applyAlignment="1">
      <alignment horizontal="center" wrapText="1"/>
    </xf>
    <xf numFmtId="0" fontId="15" fillId="0" borderId="0" xfId="0" applyFont="1" applyAlignment="1">
      <alignment horizontal="center"/>
    </xf>
    <xf numFmtId="0" fontId="15" fillId="0" borderId="0" xfId="0" applyFont="1" applyAlignment="1">
      <alignment horizontal="center" vertical="center" wrapText="1"/>
    </xf>
    <xf numFmtId="0" fontId="15" fillId="0" borderId="0" xfId="0" applyFont="1" applyAlignment="1">
      <alignment horizontal="center" vertical="center"/>
    </xf>
    <xf numFmtId="0" fontId="6" fillId="0" borderId="1" xfId="0" applyFont="1" applyBorder="1" applyAlignment="1">
      <alignment horizontal="center"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16" fillId="0" borderId="0" xfId="1" applyNumberFormat="1" applyFont="1" applyFill="1" applyAlignment="1">
      <alignment horizontal="justify" vertical="center" wrapText="1"/>
    </xf>
    <xf numFmtId="0" fontId="1" fillId="0" borderId="0" xfId="0" applyFont="1" applyAlignment="1">
      <alignment horizontal="right" vertical="center" wrapText="1"/>
    </xf>
    <xf numFmtId="0" fontId="6" fillId="0" borderId="1" xfId="0" applyFont="1" applyBorder="1" applyAlignment="1" applyProtection="1">
      <alignment horizontal="center" vertical="center" wrapText="1"/>
      <protection locked="0"/>
    </xf>
    <xf numFmtId="0" fontId="6" fillId="0" borderId="2" xfId="0" applyFont="1" applyBorder="1" applyAlignment="1" applyProtection="1">
      <alignment horizontal="center" vertical="center" wrapText="1"/>
      <protection locked="0"/>
    </xf>
    <xf numFmtId="0" fontId="6" fillId="0" borderId="3" xfId="0" applyFont="1" applyBorder="1" applyAlignment="1" applyProtection="1">
      <alignment horizontal="center" vertical="center" wrapText="1"/>
      <protection locked="0"/>
    </xf>
    <xf numFmtId="0" fontId="19" fillId="3" borderId="18" xfId="0" applyFont="1" applyFill="1" applyBorder="1" applyAlignment="1">
      <alignment horizontal="justify" vertical="top" wrapText="1"/>
    </xf>
    <xf numFmtId="0" fontId="6" fillId="0" borderId="0" xfId="0" applyFont="1" applyAlignment="1">
      <alignment horizontal="justify" vertical="center" wrapText="1"/>
    </xf>
    <xf numFmtId="0" fontId="7" fillId="0" borderId="14"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1" xfId="0" applyFont="1" applyBorder="1" applyAlignment="1" applyProtection="1">
      <alignment horizontal="center" vertical="center" wrapText="1"/>
      <protection locked="0"/>
    </xf>
    <xf numFmtId="0" fontId="7" fillId="0" borderId="12"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13" xfId="0" applyFont="1" applyBorder="1" applyAlignment="1">
      <alignment horizontal="center" vertical="center" wrapText="1"/>
    </xf>
    <xf numFmtId="0" fontId="21" fillId="0" borderId="0" xfId="1" applyNumberFormat="1" applyFont="1" applyFill="1" applyAlignment="1">
      <alignment horizontal="right" vertical="center" wrapText="1"/>
    </xf>
    <xf numFmtId="0" fontId="4" fillId="2" borderId="22" xfId="0" applyFont="1" applyFill="1" applyBorder="1" applyAlignment="1">
      <alignment horizontal="center" vertical="center" wrapText="1"/>
    </xf>
    <xf numFmtId="0" fontId="4" fillId="2" borderId="23" xfId="0" applyFont="1" applyFill="1" applyBorder="1" applyAlignment="1">
      <alignment horizontal="center" vertical="center" wrapText="1"/>
    </xf>
    <xf numFmtId="0" fontId="4" fillId="2" borderId="24" xfId="0" applyFont="1" applyFill="1" applyBorder="1" applyAlignment="1">
      <alignment horizontal="center" vertical="center" wrapText="1"/>
    </xf>
    <xf numFmtId="0" fontId="28" fillId="0" borderId="26" xfId="0" applyFont="1" applyBorder="1" applyAlignment="1">
      <alignment horizontal="center" vertical="center" wrapText="1"/>
    </xf>
    <xf numFmtId="0" fontId="28" fillId="0" borderId="25" xfId="0" applyFont="1" applyBorder="1" applyAlignment="1">
      <alignment horizontal="center" vertical="center" wrapText="1"/>
    </xf>
    <xf numFmtId="0" fontId="28" fillId="0" borderId="27" xfId="0" applyFont="1" applyBorder="1" applyAlignment="1">
      <alignment horizontal="center" vertical="center" wrapText="1"/>
    </xf>
    <xf numFmtId="0" fontId="6" fillId="0" borderId="14" xfId="0" applyFont="1" applyBorder="1" applyAlignment="1" applyProtection="1">
      <alignment horizontal="center" vertical="center" wrapText="1"/>
      <protection locked="0"/>
    </xf>
    <xf numFmtId="0" fontId="28" fillId="0" borderId="99" xfId="0" applyFont="1" applyBorder="1" applyAlignment="1">
      <alignment horizontal="center" vertical="center" wrapText="1"/>
    </xf>
    <xf numFmtId="0" fontId="7" fillId="0" borderId="30" xfId="0" applyFont="1" applyBorder="1" applyAlignment="1" applyProtection="1">
      <alignment horizontal="center" vertical="center"/>
      <protection locked="0"/>
    </xf>
    <xf numFmtId="0" fontId="7" fillId="0" borderId="31" xfId="0" applyFont="1" applyBorder="1" applyAlignment="1" applyProtection="1">
      <alignment horizontal="center" vertical="center"/>
      <protection locked="0"/>
    </xf>
    <xf numFmtId="0" fontId="7" fillId="0" borderId="32" xfId="0" applyFont="1" applyBorder="1" applyAlignment="1" applyProtection="1">
      <alignment horizontal="center" vertical="center"/>
      <protection locked="0"/>
    </xf>
    <xf numFmtId="0" fontId="28" fillId="0" borderId="0" xfId="0" applyFont="1" applyAlignment="1">
      <alignment horizontal="justify" vertical="center" wrapText="1"/>
    </xf>
    <xf numFmtId="0" fontId="28" fillId="0" borderId="6" xfId="0" applyFont="1" applyBorder="1" applyAlignment="1">
      <alignment horizontal="justify" vertical="center" wrapText="1"/>
    </xf>
    <xf numFmtId="0" fontId="29" fillId="0" borderId="0" xfId="0" applyFont="1" applyAlignment="1">
      <alignment horizontal="justify" vertical="center" wrapText="1"/>
    </xf>
    <xf numFmtId="0" fontId="29" fillId="0" borderId="6" xfId="0" applyFont="1" applyBorder="1" applyAlignment="1">
      <alignment horizontal="justify" vertical="center" wrapText="1"/>
    </xf>
    <xf numFmtId="0" fontId="27" fillId="0" borderId="0" xfId="1" applyNumberFormat="1" applyFont="1" applyFill="1" applyAlignment="1">
      <alignment horizontal="right" vertical="center" wrapText="1"/>
    </xf>
    <xf numFmtId="0" fontId="29" fillId="0" borderId="33" xfId="0" applyFont="1" applyBorder="1" applyAlignment="1">
      <alignment vertical="center" wrapText="1"/>
    </xf>
    <xf numFmtId="0" fontId="29" fillId="0" borderId="26" xfId="0" applyFont="1" applyBorder="1" applyAlignment="1">
      <alignment vertical="center" wrapText="1"/>
    </xf>
    <xf numFmtId="0" fontId="29" fillId="0" borderId="34" xfId="0" applyFont="1" applyBorder="1" applyAlignment="1">
      <alignment vertical="center" wrapText="1"/>
    </xf>
    <xf numFmtId="0" fontId="28" fillId="0" borderId="0" xfId="0" quotePrefix="1" applyFont="1" applyAlignment="1">
      <alignment horizontal="justify" vertical="center" wrapText="1"/>
    </xf>
    <xf numFmtId="0" fontId="28" fillId="0" borderId="6" xfId="0" quotePrefix="1" applyFont="1" applyBorder="1" applyAlignment="1">
      <alignment horizontal="justify" vertical="center" wrapText="1"/>
    </xf>
    <xf numFmtId="0" fontId="28" fillId="0" borderId="8" xfId="0" applyFont="1" applyBorder="1" applyAlignment="1">
      <alignment horizontal="justify" vertical="center" wrapText="1"/>
    </xf>
    <xf numFmtId="0" fontId="28" fillId="0" borderId="9" xfId="0" applyFont="1" applyBorder="1" applyAlignment="1">
      <alignment horizontal="justify" vertical="center" wrapText="1"/>
    </xf>
    <xf numFmtId="0" fontId="4" fillId="2" borderId="35" xfId="0" applyFont="1" applyFill="1" applyBorder="1" applyAlignment="1">
      <alignment horizontal="center" vertical="center" wrapText="1"/>
    </xf>
    <xf numFmtId="0" fontId="4" fillId="2" borderId="38" xfId="0" applyFont="1" applyFill="1" applyBorder="1" applyAlignment="1">
      <alignment horizontal="center" vertical="center" wrapText="1"/>
    </xf>
    <xf numFmtId="0" fontId="4" fillId="2" borderId="36" xfId="0" applyFont="1" applyFill="1" applyBorder="1" applyAlignment="1">
      <alignment horizontal="center" vertical="center" wrapText="1"/>
    </xf>
    <xf numFmtId="0" fontId="4" fillId="2" borderId="39" xfId="0" applyFont="1" applyFill="1" applyBorder="1" applyAlignment="1">
      <alignment horizontal="center" vertical="center" wrapText="1"/>
    </xf>
    <xf numFmtId="0" fontId="4" fillId="2" borderId="37" xfId="0" applyFont="1" applyFill="1" applyBorder="1" applyAlignment="1">
      <alignment horizontal="center" vertical="center" wrapText="1"/>
    </xf>
    <xf numFmtId="0" fontId="4" fillId="2" borderId="40" xfId="0" applyFont="1" applyFill="1" applyBorder="1" applyAlignment="1">
      <alignment horizontal="center" vertical="center" wrapText="1"/>
    </xf>
    <xf numFmtId="0" fontId="4" fillId="2" borderId="41" xfId="0" applyFont="1" applyFill="1" applyBorder="1" applyAlignment="1">
      <alignment horizontal="center" vertical="center" wrapText="1"/>
    </xf>
    <xf numFmtId="0" fontId="4" fillId="2" borderId="42" xfId="0" applyFont="1" applyFill="1" applyBorder="1" applyAlignment="1">
      <alignment horizontal="center" vertical="center" wrapText="1"/>
    </xf>
    <xf numFmtId="0" fontId="4" fillId="2" borderId="43" xfId="0" applyFont="1" applyFill="1" applyBorder="1" applyAlignment="1">
      <alignment horizontal="center" vertical="center" wrapText="1"/>
    </xf>
    <xf numFmtId="0" fontId="4" fillId="2" borderId="44" xfId="0" applyFont="1" applyFill="1" applyBorder="1" applyAlignment="1">
      <alignment horizontal="center" vertical="center" wrapText="1"/>
    </xf>
    <xf numFmtId="0" fontId="4" fillId="2" borderId="45" xfId="0" applyFont="1" applyFill="1" applyBorder="1" applyAlignment="1">
      <alignment horizontal="center" vertical="center" wrapText="1"/>
    </xf>
    <xf numFmtId="0" fontId="12" fillId="4" borderId="39" xfId="0" applyFont="1" applyFill="1" applyBorder="1" applyAlignment="1">
      <alignment horizontal="center" vertical="center" wrapText="1"/>
    </xf>
    <xf numFmtId="0" fontId="8" fillId="4" borderId="39" xfId="1" applyNumberFormat="1" applyFill="1" applyBorder="1" applyAlignment="1" applyProtection="1">
      <alignment horizontal="center" vertical="center" wrapText="1"/>
    </xf>
    <xf numFmtId="0" fontId="22" fillId="4" borderId="39" xfId="1" applyNumberFormat="1" applyFont="1" applyFill="1" applyBorder="1" applyAlignment="1" applyProtection="1">
      <alignment horizontal="center" vertical="center" wrapText="1"/>
    </xf>
    <xf numFmtId="0" fontId="6" fillId="4" borderId="39" xfId="0" applyFont="1" applyFill="1" applyBorder="1" applyAlignment="1">
      <alignment horizontal="center" vertical="center" wrapText="1"/>
    </xf>
    <xf numFmtId="0" fontId="2" fillId="4" borderId="39" xfId="0" applyFont="1" applyFill="1" applyBorder="1" applyAlignment="1">
      <alignment horizontal="center" vertical="center" wrapText="1"/>
    </xf>
    <xf numFmtId="0" fontId="6" fillId="0" borderId="39" xfId="0" applyFont="1" applyBorder="1" applyAlignment="1" applyProtection="1">
      <alignment horizontal="center" vertical="center" wrapText="1"/>
      <protection locked="0"/>
    </xf>
    <xf numFmtId="0" fontId="2" fillId="4" borderId="46" xfId="0" applyFont="1" applyFill="1" applyBorder="1" applyAlignment="1">
      <alignment horizontal="center" vertical="center" wrapText="1"/>
    </xf>
    <xf numFmtId="0" fontId="2" fillId="4" borderId="47" xfId="0" applyFont="1" applyFill="1" applyBorder="1" applyAlignment="1">
      <alignment horizontal="center" vertical="center" wrapText="1"/>
    </xf>
    <xf numFmtId="0" fontId="2" fillId="4" borderId="48" xfId="0" applyFont="1" applyFill="1" applyBorder="1" applyAlignment="1">
      <alignment horizontal="center" vertical="center" wrapText="1"/>
    </xf>
    <xf numFmtId="0" fontId="6" fillId="0" borderId="50" xfId="0" applyFont="1" applyBorder="1" applyAlignment="1" applyProtection="1">
      <alignment horizontal="center" vertical="center" wrapText="1"/>
      <protection locked="0"/>
    </xf>
    <xf numFmtId="0" fontId="6" fillId="0" borderId="46" xfId="0" applyFont="1" applyBorder="1" applyAlignment="1" applyProtection="1">
      <alignment horizontal="center" vertical="center" wrapText="1"/>
      <protection locked="0"/>
    </xf>
    <xf numFmtId="0" fontId="6" fillId="0" borderId="47" xfId="0" applyFont="1" applyBorder="1" applyAlignment="1" applyProtection="1">
      <alignment horizontal="center" vertical="center" wrapText="1"/>
      <protection locked="0"/>
    </xf>
    <xf numFmtId="0" fontId="6" fillId="0" borderId="51" xfId="0" applyFont="1" applyBorder="1" applyAlignment="1" applyProtection="1">
      <alignment horizontal="center" vertical="center" wrapText="1"/>
      <protection locked="0"/>
    </xf>
    <xf numFmtId="0" fontId="6" fillId="0" borderId="53" xfId="0" applyFont="1" applyBorder="1" applyAlignment="1" applyProtection="1">
      <alignment horizontal="center" vertical="center" wrapText="1"/>
      <protection locked="0"/>
    </xf>
    <xf numFmtId="0" fontId="6" fillId="0" borderId="54" xfId="0" applyFont="1" applyBorder="1" applyAlignment="1" applyProtection="1">
      <alignment horizontal="center" vertical="center" wrapText="1"/>
      <protection locked="0"/>
    </xf>
    <xf numFmtId="0" fontId="2" fillId="9" borderId="0" xfId="0" applyFont="1" applyFill="1" applyAlignment="1">
      <alignment horizontal="center" vertical="center" wrapText="1"/>
    </xf>
    <xf numFmtId="0" fontId="2" fillId="38" borderId="0" xfId="0" applyFont="1" applyFill="1" applyAlignment="1">
      <alignment horizontal="center" vertical="center" textRotation="90"/>
    </xf>
    <xf numFmtId="0" fontId="50" fillId="0" borderId="0" xfId="0" applyFont="1" applyAlignment="1">
      <alignment horizontal="left" vertical="center"/>
    </xf>
    <xf numFmtId="0" fontId="51" fillId="0" borderId="0" xfId="0" applyFont="1" applyAlignment="1">
      <alignment horizontal="left" vertical="center"/>
    </xf>
    <xf numFmtId="0" fontId="6" fillId="0" borderId="14" xfId="0" applyFont="1" applyBorder="1" applyAlignment="1">
      <alignment horizontal="justify" vertical="center" wrapText="1"/>
    </xf>
    <xf numFmtId="0" fontId="7" fillId="0" borderId="55" xfId="0" applyFont="1" applyBorder="1" applyAlignment="1">
      <alignment horizontal="center" vertical="center" wrapText="1"/>
    </xf>
    <xf numFmtId="0" fontId="7" fillId="0" borderId="4" xfId="0" applyFont="1" applyBorder="1" applyAlignment="1">
      <alignment horizontal="center" vertical="center" wrapText="1"/>
    </xf>
    <xf numFmtId="0" fontId="7" fillId="0" borderId="56" xfId="0" applyFont="1" applyBorder="1" applyAlignment="1">
      <alignment horizontal="center" vertical="center" wrapText="1"/>
    </xf>
    <xf numFmtId="0" fontId="7" fillId="0" borderId="5" xfId="0" applyFont="1" applyBorder="1" applyAlignment="1">
      <alignment horizontal="center" vertical="center" wrapText="1"/>
    </xf>
    <xf numFmtId="0" fontId="7" fillId="0" borderId="0" xfId="0" applyFont="1" applyAlignment="1">
      <alignment horizontal="center" vertical="center" wrapText="1"/>
    </xf>
    <xf numFmtId="0" fontId="7" fillId="0" borderId="6" xfId="0" applyFont="1" applyBorder="1" applyAlignment="1">
      <alignment horizontal="center" vertical="center" wrapText="1"/>
    </xf>
    <xf numFmtId="0" fontId="7" fillId="0" borderId="7" xfId="0" applyFont="1" applyBorder="1" applyAlignment="1">
      <alignment horizontal="center" vertical="center" wrapText="1"/>
    </xf>
    <xf numFmtId="0" fontId="7" fillId="0" borderId="8" xfId="0" applyFont="1" applyBorder="1" applyAlignment="1">
      <alignment horizontal="center" vertical="center" wrapText="1"/>
    </xf>
    <xf numFmtId="0" fontId="7" fillId="0" borderId="9" xfId="0" applyFont="1" applyBorder="1" applyAlignment="1">
      <alignment horizontal="center" vertical="center" wrapText="1"/>
    </xf>
    <xf numFmtId="0" fontId="2" fillId="31" borderId="0" xfId="0" applyFont="1" applyFill="1" applyAlignment="1">
      <alignment horizontal="center" vertical="center"/>
    </xf>
    <xf numFmtId="0" fontId="0" fillId="34" borderId="0" xfId="0" applyFill="1" applyAlignment="1">
      <alignment horizontal="center"/>
    </xf>
    <xf numFmtId="0" fontId="2" fillId="35" borderId="0" xfId="0" applyFont="1" applyFill="1" applyAlignment="1">
      <alignment horizontal="center" vertical="center"/>
    </xf>
    <xf numFmtId="0" fontId="2" fillId="36" borderId="0" xfId="0" applyFont="1" applyFill="1" applyAlignment="1">
      <alignment horizontal="center" vertical="center"/>
    </xf>
    <xf numFmtId="0" fontId="0" fillId="35" borderId="0" xfId="0" applyFill="1" applyAlignment="1">
      <alignment horizontal="center" vertical="center"/>
    </xf>
    <xf numFmtId="0" fontId="0" fillId="36" borderId="0" xfId="0" applyFill="1" applyAlignment="1">
      <alignment horizontal="center" vertical="center"/>
    </xf>
    <xf numFmtId="0" fontId="6" fillId="0" borderId="14" xfId="0" applyFont="1" applyBorder="1" applyAlignment="1" applyProtection="1">
      <alignment horizontal="justify" vertical="center"/>
      <protection locked="0"/>
    </xf>
    <xf numFmtId="0" fontId="6" fillId="0" borderId="12" xfId="0" applyFont="1" applyBorder="1" applyAlignment="1">
      <alignment horizontal="justify" vertical="center" wrapText="1"/>
    </xf>
    <xf numFmtId="0" fontId="6" fillId="0" borderId="11" xfId="0" applyFont="1" applyBorder="1" applyAlignment="1">
      <alignment horizontal="justify" vertical="center" wrapText="1"/>
    </xf>
    <xf numFmtId="0" fontId="6" fillId="0" borderId="13" xfId="0" applyFont="1" applyBorder="1" applyAlignment="1">
      <alignment horizontal="justify" vertical="center" wrapText="1"/>
    </xf>
    <xf numFmtId="0" fontId="6" fillId="0" borderId="12" xfId="0" applyFont="1" applyBorder="1" applyAlignment="1" applyProtection="1">
      <alignment horizontal="center" vertical="center" wrapText="1"/>
      <protection locked="0"/>
    </xf>
    <xf numFmtId="0" fontId="6" fillId="0" borderId="13" xfId="0" applyFont="1" applyBorder="1" applyAlignment="1" applyProtection="1">
      <alignment horizontal="center" vertical="center" wrapText="1"/>
      <protection locked="0"/>
    </xf>
    <xf numFmtId="0" fontId="6" fillId="0" borderId="55" xfId="0" applyFont="1" applyBorder="1" applyAlignment="1">
      <alignment horizontal="center" vertical="center" wrapText="1"/>
    </xf>
    <xf numFmtId="0" fontId="6" fillId="0" borderId="4" xfId="0" applyFont="1" applyBorder="1" applyAlignment="1">
      <alignment horizontal="center" vertical="center" wrapText="1"/>
    </xf>
    <xf numFmtId="0" fontId="6" fillId="0" borderId="5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6" fillId="0" borderId="8" xfId="0" applyFont="1" applyBorder="1" applyAlignment="1">
      <alignment horizontal="center" vertical="center" wrapText="1"/>
    </xf>
    <xf numFmtId="0" fontId="6" fillId="0" borderId="9" xfId="0" applyFont="1" applyBorder="1" applyAlignment="1">
      <alignment horizontal="center" vertical="center" wrapText="1"/>
    </xf>
    <xf numFmtId="0" fontId="6" fillId="0" borderId="80" xfId="0" applyFont="1" applyBorder="1" applyAlignment="1">
      <alignment horizontal="center" vertical="center" wrapText="1"/>
    </xf>
    <xf numFmtId="0" fontId="6" fillId="0" borderId="81" xfId="0" applyFont="1" applyBorder="1" applyAlignment="1">
      <alignment horizontal="center" vertical="center" wrapText="1"/>
    </xf>
    <xf numFmtId="0" fontId="7" fillId="0" borderId="0" xfId="0" applyFont="1" applyAlignment="1">
      <alignment horizontal="justify" vertical="top" wrapText="1"/>
    </xf>
    <xf numFmtId="0" fontId="28" fillId="0" borderId="0" xfId="0" applyFont="1" applyAlignment="1">
      <alignment horizontal="justify" vertical="center"/>
    </xf>
    <xf numFmtId="0" fontId="4" fillId="2" borderId="60" xfId="0" applyFont="1" applyFill="1" applyBorder="1" applyAlignment="1">
      <alignment horizontal="center" vertical="center" wrapText="1"/>
    </xf>
    <xf numFmtId="0" fontId="4" fillId="2" borderId="61" xfId="0" applyFont="1" applyFill="1" applyBorder="1" applyAlignment="1">
      <alignment horizontal="center" vertical="center" wrapText="1"/>
    </xf>
    <xf numFmtId="0" fontId="4" fillId="2" borderId="62" xfId="0" applyFont="1" applyFill="1" applyBorder="1" applyAlignment="1">
      <alignment horizontal="center" vertical="center" wrapText="1"/>
    </xf>
    <xf numFmtId="0" fontId="29" fillId="0" borderId="68" xfId="0" applyFont="1" applyBorder="1" applyAlignment="1">
      <alignment horizontal="justify" vertical="center" wrapText="1"/>
    </xf>
    <xf numFmtId="0" fontId="29" fillId="0" borderId="69" xfId="0" applyFont="1" applyBorder="1" applyAlignment="1">
      <alignment horizontal="justify" vertical="center" wrapText="1"/>
    </xf>
    <xf numFmtId="0" fontId="29" fillId="0" borderId="70" xfId="0" applyFont="1" applyBorder="1" applyAlignment="1">
      <alignment horizontal="justify" vertical="center" wrapText="1"/>
    </xf>
    <xf numFmtId="0" fontId="28" fillId="0" borderId="90" xfId="0" applyFont="1" applyBorder="1" applyAlignment="1">
      <alignment horizontal="justify" vertical="center" wrapText="1"/>
    </xf>
    <xf numFmtId="0" fontId="29" fillId="0" borderId="5" xfId="0" applyFont="1" applyBorder="1" applyAlignment="1">
      <alignment vertical="center" wrapText="1"/>
    </xf>
    <xf numFmtId="0" fontId="29" fillId="0" borderId="0" xfId="0" applyFont="1" applyAlignment="1">
      <alignment vertical="center" wrapText="1"/>
    </xf>
    <xf numFmtId="0" fontId="29" fillId="0" borderId="6" xfId="0" applyFont="1" applyBorder="1" applyAlignment="1">
      <alignment vertical="center" wrapText="1"/>
    </xf>
    <xf numFmtId="0" fontId="6" fillId="0" borderId="55" xfId="0" applyFont="1" applyBorder="1" applyAlignment="1">
      <alignment horizontal="center" vertical="center" textRotation="90" wrapText="1"/>
    </xf>
    <xf numFmtId="0" fontId="6" fillId="0" borderId="56" xfId="0" applyFont="1" applyBorder="1" applyAlignment="1">
      <alignment horizontal="center" vertical="center" textRotation="90" wrapText="1"/>
    </xf>
    <xf numFmtId="0" fontId="6" fillId="0" borderId="5" xfId="0" applyFont="1" applyBorder="1" applyAlignment="1">
      <alignment horizontal="center" vertical="center" textRotation="90" wrapText="1"/>
    </xf>
    <xf numFmtId="0" fontId="6" fillId="0" borderId="6" xfId="0" applyFont="1" applyBorder="1" applyAlignment="1">
      <alignment horizontal="center" vertical="center" textRotation="90" wrapText="1"/>
    </xf>
    <xf numFmtId="0" fontId="6" fillId="0" borderId="7" xfId="0" applyFont="1" applyBorder="1" applyAlignment="1">
      <alignment horizontal="center" vertical="center" textRotation="90" wrapText="1"/>
    </xf>
    <xf numFmtId="0" fontId="6" fillId="0" borderId="9" xfId="0" applyFont="1" applyBorder="1" applyAlignment="1">
      <alignment horizontal="center" vertical="center" textRotation="90" wrapText="1"/>
    </xf>
    <xf numFmtId="0" fontId="7" fillId="0" borderId="55" xfId="0" applyFont="1" applyBorder="1" applyAlignment="1">
      <alignment horizontal="center" vertical="center" textRotation="90" wrapText="1"/>
    </xf>
    <xf numFmtId="0" fontId="7" fillId="0" borderId="56" xfId="0" applyFont="1" applyBorder="1" applyAlignment="1">
      <alignment horizontal="center" vertical="center" textRotation="90" wrapText="1"/>
    </xf>
    <xf numFmtId="0" fontId="7" fillId="0" borderId="7" xfId="0" applyFont="1" applyBorder="1" applyAlignment="1">
      <alignment horizontal="center" vertical="center" textRotation="90" wrapText="1"/>
    </xf>
    <xf numFmtId="0" fontId="7" fillId="0" borderId="9" xfId="0" applyFont="1" applyBorder="1" applyAlignment="1">
      <alignment horizontal="center" vertical="center" textRotation="90" wrapText="1"/>
    </xf>
    <xf numFmtId="0" fontId="6" fillId="0" borderId="77" xfId="0" applyFont="1" applyBorder="1" applyAlignment="1" applyProtection="1">
      <alignment horizontal="justify" vertical="center" wrapText="1"/>
      <protection locked="0"/>
    </xf>
    <xf numFmtId="0" fontId="29" fillId="0" borderId="63" xfId="0" applyFont="1" applyBorder="1" applyAlignment="1">
      <alignment vertical="center" wrapText="1"/>
    </xf>
    <xf numFmtId="0" fontId="29" fillId="0" borderId="64" xfId="0" applyFont="1" applyBorder="1" applyAlignment="1">
      <alignment vertical="center" wrapText="1"/>
    </xf>
    <xf numFmtId="0" fontId="29" fillId="0" borderId="65" xfId="0" applyFont="1" applyBorder="1" applyAlignment="1">
      <alignment vertical="center" wrapText="1"/>
    </xf>
    <xf numFmtId="0" fontId="28" fillId="0" borderId="66" xfId="0" applyFont="1" applyBorder="1" applyAlignment="1">
      <alignment horizontal="justify" vertical="center" wrapText="1"/>
    </xf>
    <xf numFmtId="0" fontId="28" fillId="0" borderId="67" xfId="0" applyFont="1" applyBorder="1" applyAlignment="1">
      <alignment horizontal="justify" vertical="center" wrapText="1"/>
    </xf>
    <xf numFmtId="0" fontId="6" fillId="0" borderId="14" xfId="0" applyFont="1" applyBorder="1" applyAlignment="1">
      <alignment horizontal="center" vertical="center" textRotation="90" wrapText="1"/>
    </xf>
    <xf numFmtId="0" fontId="6" fillId="0" borderId="12" xfId="0" applyFont="1" applyBorder="1" applyAlignment="1">
      <alignment horizontal="center" vertical="center" textRotation="90" wrapText="1"/>
    </xf>
    <xf numFmtId="0" fontId="6" fillId="0" borderId="11" xfId="0" applyFont="1" applyBorder="1" applyAlignment="1">
      <alignment horizontal="center" vertical="center" textRotation="90" wrapText="1"/>
    </xf>
    <xf numFmtId="0" fontId="6" fillId="0" borderId="13" xfId="0" applyFont="1" applyBorder="1" applyAlignment="1">
      <alignment horizontal="center" vertical="center" textRotation="90" wrapText="1"/>
    </xf>
    <xf numFmtId="0" fontId="6" fillId="0" borderId="55" xfId="0" applyFont="1" applyBorder="1" applyAlignment="1">
      <alignment horizontal="justify" vertical="center" wrapText="1"/>
    </xf>
    <xf numFmtId="0" fontId="6" fillId="0" borderId="4" xfId="0" applyFont="1" applyBorder="1" applyAlignment="1">
      <alignment horizontal="justify" vertical="center" wrapText="1"/>
    </xf>
    <xf numFmtId="0" fontId="6" fillId="0" borderId="56" xfId="0" applyFont="1" applyBorder="1" applyAlignment="1">
      <alignment horizontal="justify" vertical="center" wrapText="1"/>
    </xf>
    <xf numFmtId="0" fontId="40" fillId="0" borderId="8" xfId="0" applyFont="1" applyBorder="1" applyAlignment="1">
      <alignment horizontal="justify" vertical="center" wrapText="1"/>
    </xf>
    <xf numFmtId="0" fontId="40" fillId="0" borderId="9" xfId="0" applyFont="1" applyBorder="1" applyAlignment="1">
      <alignment horizontal="justify" vertical="center" wrapText="1"/>
    </xf>
    <xf numFmtId="0" fontId="29" fillId="0" borderId="83" xfId="0" applyFont="1" applyBorder="1" applyAlignment="1">
      <alignment vertical="center" wrapText="1"/>
    </xf>
    <xf numFmtId="0" fontId="29" fillId="0" borderId="69" xfId="0" applyFont="1" applyBorder="1" applyAlignment="1">
      <alignment vertical="center" wrapText="1"/>
    </xf>
    <xf numFmtId="0" fontId="29" fillId="0" borderId="84" xfId="0" applyFont="1" applyBorder="1" applyAlignment="1">
      <alignment vertical="center" wrapText="1"/>
    </xf>
    <xf numFmtId="0" fontId="6" fillId="0" borderId="12" xfId="0" applyFont="1" applyBorder="1" applyAlignment="1">
      <alignment horizontal="justify" vertical="center"/>
    </xf>
    <xf numFmtId="0" fontId="6" fillId="0" borderId="11" xfId="0" applyFont="1" applyBorder="1" applyAlignment="1">
      <alignment horizontal="justify" vertical="center"/>
    </xf>
    <xf numFmtId="0" fontId="6" fillId="0" borderId="13" xfId="0" applyFont="1" applyBorder="1" applyAlignment="1">
      <alignment horizontal="justify" vertical="center"/>
    </xf>
    <xf numFmtId="0" fontId="6" fillId="0" borderId="14" xfId="0" applyFont="1" applyBorder="1" applyAlignment="1">
      <alignment horizontal="justify" vertical="center"/>
    </xf>
    <xf numFmtId="0" fontId="12" fillId="0" borderId="8" xfId="0" applyFont="1" applyBorder="1" applyAlignment="1">
      <alignment horizontal="right" vertical="center" wrapText="1"/>
    </xf>
    <xf numFmtId="0" fontId="7" fillId="0" borderId="14" xfId="0" applyFont="1" applyBorder="1" applyAlignment="1">
      <alignment horizontal="center" vertical="center" textRotation="90" wrapText="1"/>
    </xf>
    <xf numFmtId="0" fontId="12" fillId="0" borderId="0" xfId="0" applyFont="1" applyAlignment="1">
      <alignment horizontal="right" vertical="center" wrapText="1"/>
    </xf>
    <xf numFmtId="0" fontId="28" fillId="0" borderId="8" xfId="0" applyFont="1" applyBorder="1" applyAlignment="1">
      <alignment horizontal="justify" vertical="center"/>
    </xf>
    <xf numFmtId="0" fontId="28" fillId="0" borderId="9" xfId="0" applyFont="1" applyBorder="1" applyAlignment="1">
      <alignment horizontal="justify" vertical="center"/>
    </xf>
    <xf numFmtId="0" fontId="40" fillId="0" borderId="0" xfId="0" applyFont="1" applyAlignment="1">
      <alignment horizontal="justify" vertical="center" wrapText="1"/>
    </xf>
    <xf numFmtId="0" fontId="7" fillId="0" borderId="13" xfId="0" applyFont="1" applyBorder="1" applyAlignment="1">
      <alignment horizontal="center" vertical="center" textRotation="90" wrapText="1"/>
    </xf>
    <xf numFmtId="0" fontId="7" fillId="0" borderId="14" xfId="0" applyFont="1" applyBorder="1" applyAlignment="1">
      <alignment horizontal="center" vertical="center"/>
    </xf>
    <xf numFmtId="0" fontId="40" fillId="0" borderId="0" xfId="0" applyFont="1" applyAlignment="1">
      <alignment horizontal="justify" vertical="center"/>
    </xf>
    <xf numFmtId="0" fontId="6" fillId="0" borderId="12" xfId="0" applyFont="1" applyBorder="1" applyAlignment="1" applyProtection="1">
      <alignment horizontal="justify" vertical="center" wrapText="1"/>
      <protection locked="0"/>
    </xf>
    <xf numFmtId="0" fontId="6" fillId="0" borderId="11" xfId="0" applyFont="1" applyBorder="1" applyAlignment="1" applyProtection="1">
      <alignment horizontal="justify" vertical="center" wrapText="1"/>
      <protection locked="0"/>
    </xf>
    <xf numFmtId="0" fontId="6" fillId="0" borderId="13" xfId="0" applyFont="1" applyBorder="1" applyAlignment="1" applyProtection="1">
      <alignment horizontal="justify" vertical="center" wrapText="1"/>
      <protection locked="0"/>
    </xf>
    <xf numFmtId="49" fontId="6" fillId="0" borderId="14" xfId="0" applyNumberFormat="1" applyFont="1" applyBorder="1" applyAlignment="1" applyProtection="1">
      <alignment horizontal="center" vertical="center" wrapText="1"/>
      <protection locked="0"/>
    </xf>
    <xf numFmtId="0" fontId="28" fillId="0" borderId="6" xfId="0" applyFont="1" applyBorder="1" applyAlignment="1">
      <alignment horizontal="justify" vertical="center"/>
    </xf>
    <xf numFmtId="0" fontId="7" fillId="0" borderId="80" xfId="0" applyFont="1" applyBorder="1" applyAlignment="1">
      <alignment horizontal="center" vertical="center" textRotation="90" wrapText="1"/>
    </xf>
    <xf numFmtId="0" fontId="7" fillId="0" borderId="81" xfId="0" applyFont="1" applyBorder="1" applyAlignment="1">
      <alignment horizontal="center" vertical="center" textRotation="90" wrapText="1"/>
    </xf>
    <xf numFmtId="0" fontId="6" fillId="0" borderId="80" xfId="0" applyFont="1" applyBorder="1" applyAlignment="1">
      <alignment horizontal="center" vertical="center" textRotation="90" wrapText="1"/>
    </xf>
    <xf numFmtId="0" fontId="6" fillId="0" borderId="81" xfId="0" applyFont="1" applyBorder="1" applyAlignment="1">
      <alignment horizontal="center" vertical="center" textRotation="90" wrapText="1"/>
    </xf>
    <xf numFmtId="0" fontId="28" fillId="0" borderId="58" xfId="0" applyFont="1" applyBorder="1" applyAlignment="1">
      <alignment horizontal="justify" vertical="center" wrapText="1"/>
    </xf>
    <xf numFmtId="0" fontId="29" fillId="0" borderId="85" xfId="0" applyFont="1" applyBorder="1" applyAlignment="1">
      <alignment vertical="center" wrapText="1"/>
    </xf>
    <xf numFmtId="0" fontId="29" fillId="0" borderId="4" xfId="0" applyFont="1" applyBorder="1" applyAlignment="1">
      <alignment vertical="center" wrapText="1"/>
    </xf>
    <xf numFmtId="0" fontId="29" fillId="0" borderId="86" xfId="0" applyFont="1" applyBorder="1" applyAlignment="1">
      <alignment vertical="center" wrapText="1"/>
    </xf>
    <xf numFmtId="0" fontId="28" fillId="0" borderId="58" xfId="0" applyFont="1" applyBorder="1" applyAlignment="1">
      <alignment horizontal="justify" vertical="center"/>
    </xf>
    <xf numFmtId="0" fontId="28" fillId="0" borderId="96" xfId="0" applyFont="1" applyBorder="1" applyAlignment="1">
      <alignment horizontal="justify" vertical="center" wrapText="1"/>
    </xf>
    <xf numFmtId="0" fontId="9" fillId="0" borderId="0" xfId="1" applyNumberFormat="1" applyFont="1" applyFill="1" applyAlignment="1" applyProtection="1">
      <alignment horizontal="center" vertical="center" wrapText="1"/>
    </xf>
    <xf numFmtId="0" fontId="7" fillId="0" borderId="71" xfId="0" applyFont="1" applyBorder="1" applyAlignment="1">
      <alignment horizontal="center" vertical="center" textRotation="90" wrapText="1"/>
    </xf>
    <xf numFmtId="0" fontId="7" fillId="0" borderId="72" xfId="0" applyFont="1" applyBorder="1" applyAlignment="1">
      <alignment horizontal="center" vertical="center" textRotation="90" wrapText="1"/>
    </xf>
    <xf numFmtId="0" fontId="6" fillId="0" borderId="78" xfId="0" applyFont="1" applyBorder="1" applyAlignment="1" applyProtection="1">
      <alignment horizontal="center" vertical="center" wrapText="1"/>
      <protection locked="0"/>
    </xf>
    <xf numFmtId="0" fontId="6" fillId="0" borderId="79" xfId="0" applyFont="1" applyBorder="1" applyAlignment="1" applyProtection="1">
      <alignment horizontal="center" vertical="center" wrapText="1"/>
      <protection locked="0"/>
    </xf>
    <xf numFmtId="0" fontId="7" fillId="0" borderId="74" xfId="0" applyFont="1" applyBorder="1" applyAlignment="1">
      <alignment horizontal="center" vertical="center" wrapText="1"/>
    </xf>
    <xf numFmtId="0" fontId="7" fillId="0" borderId="75" xfId="0" applyFont="1" applyBorder="1" applyAlignment="1">
      <alignment horizontal="center" vertical="center" wrapText="1"/>
    </xf>
    <xf numFmtId="0" fontId="7" fillId="0" borderId="76" xfId="0" applyFont="1" applyBorder="1" applyAlignment="1">
      <alignment horizontal="center" vertical="center" wrapText="1"/>
    </xf>
    <xf numFmtId="0" fontId="38" fillId="0" borderId="0" xfId="0" applyFont="1" applyAlignment="1">
      <alignment horizontal="center" vertical="center" wrapText="1"/>
    </xf>
    <xf numFmtId="0" fontId="38" fillId="0" borderId="6" xfId="0" applyFont="1" applyBorder="1" applyAlignment="1">
      <alignment horizontal="center" vertical="center" wrapText="1"/>
    </xf>
    <xf numFmtId="0" fontId="26" fillId="0" borderId="0" xfId="1" applyNumberFormat="1" applyFont="1" applyFill="1" applyAlignment="1" applyProtection="1">
      <alignment horizontal="center" vertical="center" wrapText="1"/>
    </xf>
    <xf numFmtId="0" fontId="7" fillId="0" borderId="73" xfId="0" applyFont="1" applyBorder="1" applyAlignment="1">
      <alignment horizontal="center" vertical="center" wrapText="1"/>
    </xf>
    <xf numFmtId="0" fontId="7" fillId="0" borderId="64" xfId="0" applyFont="1" applyBorder="1" applyAlignment="1">
      <alignment horizontal="center" vertical="center" wrapText="1"/>
    </xf>
    <xf numFmtId="0" fontId="7" fillId="0" borderId="65" xfId="0" applyFont="1" applyBorder="1" applyAlignment="1">
      <alignment horizontal="center" vertical="center" wrapText="1"/>
    </xf>
    <xf numFmtId="0" fontId="7" fillId="0" borderId="78" xfId="0" applyFont="1" applyBorder="1" applyAlignment="1">
      <alignment horizontal="center" vertical="center" wrapText="1"/>
    </xf>
    <xf numFmtId="0" fontId="7" fillId="0" borderId="79" xfId="0" applyFont="1" applyBorder="1" applyAlignment="1">
      <alignment horizontal="center" vertical="center" wrapText="1"/>
    </xf>
    <xf numFmtId="0" fontId="2" fillId="17" borderId="0" xfId="0" applyFont="1" applyFill="1" applyAlignment="1">
      <alignment horizontal="center" vertical="center"/>
    </xf>
    <xf numFmtId="0" fontId="48" fillId="14" borderId="0" xfId="0" applyFont="1" applyFill="1" applyAlignment="1">
      <alignment horizontal="center" vertical="center" wrapText="1"/>
    </xf>
    <xf numFmtId="0" fontId="2" fillId="0" borderId="0" xfId="0" applyFont="1" applyAlignment="1">
      <alignment horizontal="center" vertical="center"/>
    </xf>
    <xf numFmtId="0" fontId="0" fillId="51" borderId="0" xfId="0" applyFill="1" applyAlignment="1">
      <alignment horizontal="center" vertical="center"/>
    </xf>
    <xf numFmtId="0" fontId="0" fillId="71" borderId="0" xfId="0" applyFill="1" applyAlignment="1">
      <alignment horizontal="center" vertical="center"/>
    </xf>
    <xf numFmtId="0" fontId="0" fillId="68" borderId="0" xfId="0" applyFill="1" applyAlignment="1">
      <alignment horizontal="center" vertical="center"/>
    </xf>
    <xf numFmtId="0" fontId="0" fillId="33" borderId="0" xfId="0" applyFill="1" applyAlignment="1">
      <alignment horizontal="center" vertical="center"/>
    </xf>
    <xf numFmtId="0" fontId="52" fillId="17" borderId="0" xfId="0" applyFont="1" applyFill="1" applyAlignment="1">
      <alignment horizontal="center" vertical="center" wrapText="1"/>
    </xf>
    <xf numFmtId="0" fontId="49" fillId="19" borderId="0" xfId="0" applyFont="1" applyFill="1" applyAlignment="1">
      <alignment horizontal="center" vertical="center" textRotation="90" wrapText="1"/>
    </xf>
    <xf numFmtId="0" fontId="52" fillId="68" borderId="0" xfId="0" applyFont="1" applyFill="1" applyAlignment="1">
      <alignment horizontal="center" textRotation="90"/>
    </xf>
    <xf numFmtId="0" fontId="0" fillId="69" borderId="0" xfId="0" applyFill="1" applyAlignment="1">
      <alignment horizontal="center"/>
    </xf>
    <xf numFmtId="0" fontId="50" fillId="0" borderId="0" xfId="0" applyFont="1" applyAlignment="1">
      <alignment horizontal="left" vertical="center" wrapText="1"/>
    </xf>
    <xf numFmtId="0" fontId="48" fillId="55" borderId="0" xfId="0" applyFont="1" applyFill="1" applyAlignment="1">
      <alignment horizontal="center" textRotation="90" wrapText="1"/>
    </xf>
    <xf numFmtId="0" fontId="48" fillId="59" borderId="0" xfId="0" applyFont="1" applyFill="1" applyAlignment="1">
      <alignment horizontal="center" textRotation="90" wrapText="1"/>
    </xf>
    <xf numFmtId="0" fontId="48" fillId="60" borderId="0" xfId="0" applyFont="1" applyFill="1" applyAlignment="1">
      <alignment horizontal="center" textRotation="90" wrapText="1"/>
    </xf>
    <xf numFmtId="0" fontId="48" fillId="21" borderId="0" xfId="0" applyFont="1" applyFill="1" applyAlignment="1">
      <alignment horizontal="center" textRotation="90" wrapText="1"/>
    </xf>
    <xf numFmtId="0" fontId="48" fillId="61" borderId="0" xfId="0" applyFont="1" applyFill="1" applyAlignment="1">
      <alignment horizontal="center" textRotation="90"/>
    </xf>
    <xf numFmtId="0" fontId="2" fillId="62" borderId="0" xfId="0" applyFont="1" applyFill="1" applyAlignment="1">
      <alignment horizontal="center" vertical="center" wrapText="1"/>
    </xf>
    <xf numFmtId="0" fontId="2" fillId="60" borderId="0" xfId="0" applyFont="1" applyFill="1" applyAlignment="1">
      <alignment horizontal="center" vertical="center" wrapText="1"/>
    </xf>
    <xf numFmtId="0" fontId="61" fillId="28" borderId="0" xfId="0" applyFont="1" applyFill="1" applyAlignment="1">
      <alignment horizontal="center" wrapText="1"/>
    </xf>
    <xf numFmtId="0" fontId="51" fillId="0" borderId="0" xfId="0" applyFont="1" applyAlignment="1">
      <alignment horizontal="left" vertical="center" wrapText="1"/>
    </xf>
    <xf numFmtId="0" fontId="28" fillId="0" borderId="0" xfId="0" applyFont="1" applyAlignment="1">
      <alignment horizontal="center" vertical="center" wrapText="1"/>
    </xf>
    <xf numFmtId="0" fontId="0" fillId="38" borderId="0" xfId="0" applyFill="1" applyAlignment="1">
      <alignment horizontal="center" vertical="center"/>
    </xf>
    <xf numFmtId="0" fontId="0" fillId="49" borderId="0" xfId="0" applyFill="1" applyAlignment="1">
      <alignment horizontal="center" vertical="center"/>
    </xf>
    <xf numFmtId="0" fontId="0" fillId="12" borderId="0" xfId="0" applyFill="1" applyAlignment="1">
      <alignment horizontal="center"/>
    </xf>
    <xf numFmtId="0" fontId="0" fillId="53" borderId="0" xfId="0" applyFill="1" applyAlignment="1">
      <alignment horizontal="center"/>
    </xf>
    <xf numFmtId="0" fontId="0" fillId="43" borderId="0" xfId="0" applyFill="1" applyAlignment="1">
      <alignment horizontal="center"/>
    </xf>
    <xf numFmtId="0" fontId="55" fillId="14" borderId="0" xfId="0" applyFont="1" applyFill="1" applyAlignment="1">
      <alignment horizontal="center" textRotation="90" wrapText="1"/>
    </xf>
    <xf numFmtId="0" fontId="29" fillId="0" borderId="57" xfId="0" applyFont="1" applyBorder="1" applyAlignment="1">
      <alignment vertical="center" wrapText="1"/>
    </xf>
    <xf numFmtId="0" fontId="29" fillId="0" borderId="58" xfId="0" applyFont="1" applyBorder="1" applyAlignment="1">
      <alignment vertical="center" wrapText="1"/>
    </xf>
    <xf numFmtId="0" fontId="4" fillId="5" borderId="60" xfId="0" applyFont="1" applyFill="1" applyBorder="1" applyAlignment="1">
      <alignment horizontal="center" vertical="center" wrapText="1"/>
    </xf>
    <xf numFmtId="0" fontId="4" fillId="5" borderId="61" xfId="0" applyFont="1" applyFill="1" applyBorder="1" applyAlignment="1">
      <alignment horizontal="center" vertical="center" wrapText="1"/>
    </xf>
    <xf numFmtId="0" fontId="4" fillId="5" borderId="62" xfId="0" applyFont="1" applyFill="1" applyBorder="1" applyAlignment="1">
      <alignment horizontal="center" vertical="center" wrapText="1"/>
    </xf>
    <xf numFmtId="0" fontId="29" fillId="0" borderId="68" xfId="0" applyFont="1" applyBorder="1" applyAlignment="1">
      <alignment vertical="center" wrapText="1"/>
    </xf>
    <xf numFmtId="0" fontId="29" fillId="0" borderId="70" xfId="0" applyFont="1" applyBorder="1" applyAlignment="1">
      <alignment vertical="center" wrapText="1"/>
    </xf>
    <xf numFmtId="0" fontId="0" fillId="37" borderId="0" xfId="0" applyFill="1" applyAlignment="1">
      <alignment horizontal="center" vertical="center"/>
    </xf>
    <xf numFmtId="0" fontId="6" fillId="0" borderId="14" xfId="0" applyFont="1" applyBorder="1" applyAlignment="1" applyProtection="1">
      <alignment horizontal="justify" vertical="center" wrapText="1"/>
      <protection locked="0"/>
    </xf>
    <xf numFmtId="0" fontId="6" fillId="0" borderId="4" xfId="0" applyFont="1" applyBorder="1" applyAlignment="1">
      <alignment horizontal="center" vertical="center" textRotation="90" wrapText="1"/>
    </xf>
    <xf numFmtId="0" fontId="6" fillId="0" borderId="0" xfId="0" applyFont="1" applyAlignment="1">
      <alignment horizontal="center" vertical="center" textRotation="90" wrapText="1"/>
    </xf>
    <xf numFmtId="0" fontId="6" fillId="0" borderId="8" xfId="0" applyFont="1" applyBorder="1" applyAlignment="1">
      <alignment horizontal="center" vertical="center" textRotation="90" wrapText="1"/>
    </xf>
    <xf numFmtId="0" fontId="7" fillId="0" borderId="4" xfId="0" applyFont="1" applyBorder="1" applyAlignment="1">
      <alignment horizontal="center" vertical="center" textRotation="90" wrapText="1"/>
    </xf>
    <xf numFmtId="0" fontId="7" fillId="0" borderId="5" xfId="0" applyFont="1" applyBorder="1" applyAlignment="1">
      <alignment horizontal="center" vertical="center" textRotation="90" wrapText="1"/>
    </xf>
    <xf numFmtId="0" fontId="7" fillId="0" borderId="0" xfId="0" applyFont="1" applyAlignment="1">
      <alignment horizontal="center" vertical="center" textRotation="90" wrapText="1"/>
    </xf>
    <xf numFmtId="0" fontId="7" fillId="0" borderId="6" xfId="0" applyFont="1" applyBorder="1" applyAlignment="1">
      <alignment horizontal="center" vertical="center" textRotation="90" wrapText="1"/>
    </xf>
    <xf numFmtId="0" fontId="7" fillId="0" borderId="8" xfId="0" applyFont="1" applyBorder="1" applyAlignment="1">
      <alignment horizontal="center" vertical="center" textRotation="90" wrapText="1"/>
    </xf>
    <xf numFmtId="0" fontId="7" fillId="0" borderId="88" xfId="0" applyFont="1" applyBorder="1" applyAlignment="1">
      <alignment horizontal="center" vertical="center" textRotation="90" wrapText="1"/>
    </xf>
    <xf numFmtId="0" fontId="6" fillId="0" borderId="88" xfId="0" applyFont="1" applyBorder="1" applyAlignment="1">
      <alignment horizontal="center" vertical="center" textRotation="90" wrapText="1"/>
    </xf>
    <xf numFmtId="0" fontId="7" fillId="0" borderId="0" xfId="0" applyFont="1" applyAlignment="1">
      <alignment horizontal="justify" vertical="top"/>
    </xf>
    <xf numFmtId="0" fontId="6" fillId="0" borderId="92" xfId="0" applyFont="1" applyBorder="1" applyAlignment="1">
      <alignment horizontal="justify" vertical="center" wrapText="1"/>
    </xf>
    <xf numFmtId="0" fontId="6" fillId="0" borderId="7" xfId="0" applyFont="1" applyBorder="1" applyAlignment="1">
      <alignment horizontal="justify" vertical="center" wrapText="1"/>
    </xf>
    <xf numFmtId="0" fontId="6" fillId="0" borderId="8" xfId="0" applyFont="1" applyBorder="1" applyAlignment="1">
      <alignment horizontal="justify" vertical="center" wrapText="1"/>
    </xf>
    <xf numFmtId="0" fontId="6" fillId="0" borderId="9" xfId="0" applyFont="1" applyBorder="1" applyAlignment="1">
      <alignment horizontal="justify" vertical="center" wrapText="1"/>
    </xf>
    <xf numFmtId="0" fontId="6" fillId="0" borderId="93" xfId="0" applyFont="1" applyBorder="1" applyAlignment="1">
      <alignment horizontal="justify" vertical="center" wrapText="1"/>
    </xf>
    <xf numFmtId="0" fontId="6" fillId="0" borderId="14" xfId="0" applyFont="1" applyBorder="1" applyAlignment="1">
      <alignment horizontal="center" vertical="center"/>
    </xf>
    <xf numFmtId="0" fontId="6" fillId="0" borderId="0" xfId="0" applyFont="1" applyAlignment="1">
      <alignment horizontal="center" vertical="center"/>
    </xf>
    <xf numFmtId="0" fontId="7" fillId="0" borderId="55" xfId="0" applyFont="1" applyBorder="1" applyAlignment="1">
      <alignment horizontal="center" vertical="center"/>
    </xf>
    <xf numFmtId="0" fontId="7" fillId="0" borderId="4" xfId="0" applyFont="1" applyBorder="1" applyAlignment="1">
      <alignment horizontal="center" vertical="center"/>
    </xf>
    <xf numFmtId="0" fontId="7" fillId="0" borderId="56" xfId="0" applyFont="1" applyBorder="1" applyAlignment="1">
      <alignment horizontal="center"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7" fillId="0" borderId="9" xfId="0" applyFont="1" applyBorder="1" applyAlignment="1">
      <alignment horizontal="center" vertical="center"/>
    </xf>
    <xf numFmtId="0" fontId="7" fillId="0" borderId="12" xfId="0" applyFont="1" applyBorder="1" applyAlignment="1">
      <alignment horizontal="center" vertical="center"/>
    </xf>
    <xf numFmtId="0" fontId="7" fillId="0" borderId="13" xfId="0" applyFont="1" applyBorder="1" applyAlignment="1">
      <alignment horizontal="center" vertical="center"/>
    </xf>
    <xf numFmtId="0" fontId="29" fillId="0" borderId="68" xfId="0" applyFont="1" applyBorder="1" applyAlignment="1">
      <alignment horizontal="justify" vertical="center"/>
    </xf>
    <xf numFmtId="0" fontId="29" fillId="0" borderId="69" xfId="0" applyFont="1" applyBorder="1" applyAlignment="1">
      <alignment horizontal="justify" vertical="center"/>
    </xf>
    <xf numFmtId="0" fontId="29" fillId="0" borderId="70" xfId="0" applyFont="1" applyBorder="1" applyAlignment="1">
      <alignment horizontal="justify" vertical="center"/>
    </xf>
    <xf numFmtId="0" fontId="40" fillId="0" borderId="8" xfId="0" applyFont="1" applyBorder="1" applyAlignment="1">
      <alignment horizontal="justify" vertical="center"/>
    </xf>
    <xf numFmtId="0" fontId="40" fillId="0" borderId="90" xfId="0" applyFont="1" applyBorder="1" applyAlignment="1">
      <alignment horizontal="justify" vertical="center"/>
    </xf>
    <xf numFmtId="0" fontId="29" fillId="0" borderId="5" xfId="0" applyFont="1" applyBorder="1" applyAlignment="1">
      <alignment horizontal="justify" vertical="center"/>
    </xf>
    <xf numFmtId="0" fontId="29" fillId="0" borderId="0" xfId="0" applyFont="1" applyAlignment="1">
      <alignment horizontal="justify" vertical="center"/>
    </xf>
    <xf numFmtId="0" fontId="29" fillId="0" borderId="6" xfId="0" applyFont="1" applyBorder="1" applyAlignment="1">
      <alignment horizontal="justify" vertical="center"/>
    </xf>
    <xf numFmtId="0" fontId="29" fillId="0" borderId="58" xfId="0" applyFont="1" applyBorder="1" applyAlignment="1">
      <alignment horizontal="justify" vertical="center" wrapText="1"/>
    </xf>
    <xf numFmtId="0" fontId="29" fillId="0" borderId="66" xfId="0" applyFont="1" applyBorder="1" applyAlignment="1">
      <alignment horizontal="justify" vertical="center" wrapText="1"/>
    </xf>
    <xf numFmtId="0" fontId="29" fillId="0" borderId="67" xfId="0" applyFont="1" applyBorder="1" applyAlignment="1">
      <alignment horizontal="justify" vertical="center" wrapText="1"/>
    </xf>
    <xf numFmtId="0" fontId="7" fillId="0" borderId="58" xfId="0" applyFont="1" applyBorder="1" applyAlignment="1">
      <alignment horizontal="center" vertical="center" wrapText="1"/>
    </xf>
    <xf numFmtId="0" fontId="7" fillId="0" borderId="91" xfId="0" applyFont="1" applyBorder="1" applyAlignment="1">
      <alignment horizontal="center" vertical="center"/>
    </xf>
    <xf numFmtId="0" fontId="6" fillId="0" borderId="91" xfId="0" applyFont="1" applyBorder="1" applyAlignment="1">
      <alignment horizontal="center" vertical="center" wrapText="1"/>
    </xf>
    <xf numFmtId="0" fontId="6" fillId="0" borderId="91" xfId="0" applyFont="1" applyBorder="1" applyAlignment="1">
      <alignment horizontal="center" vertical="center"/>
    </xf>
    <xf numFmtId="0" fontId="7" fillId="0" borderId="55" xfId="3" applyNumberFormat="1" applyFont="1" applyFill="1" applyBorder="1" applyAlignment="1" applyProtection="1">
      <alignment horizontal="center" vertical="center" wrapText="1"/>
    </xf>
    <xf numFmtId="0" fontId="7" fillId="0" borderId="4" xfId="3" applyNumberFormat="1" applyFont="1" applyFill="1" applyBorder="1" applyAlignment="1" applyProtection="1">
      <alignment horizontal="center" vertical="center" wrapText="1"/>
    </xf>
    <xf numFmtId="0" fontId="7" fillId="0" borderId="56" xfId="3" applyNumberFormat="1" applyFont="1" applyFill="1" applyBorder="1" applyAlignment="1" applyProtection="1">
      <alignment horizontal="center" vertical="center" wrapText="1"/>
    </xf>
    <xf numFmtId="0" fontId="7" fillId="0" borderId="5" xfId="3" applyNumberFormat="1" applyFont="1" applyFill="1" applyBorder="1" applyAlignment="1" applyProtection="1">
      <alignment horizontal="center" vertical="center" wrapText="1"/>
    </xf>
    <xf numFmtId="0" fontId="7" fillId="0" borderId="0" xfId="3" applyNumberFormat="1" applyFont="1" applyFill="1" applyBorder="1" applyAlignment="1" applyProtection="1">
      <alignment horizontal="center" vertical="center" wrapText="1"/>
    </xf>
    <xf numFmtId="0" fontId="7" fillId="0" borderId="6" xfId="3" applyNumberFormat="1" applyFont="1" applyFill="1" applyBorder="1" applyAlignment="1" applyProtection="1">
      <alignment horizontal="center" vertical="center" wrapText="1"/>
    </xf>
    <xf numFmtId="0" fontId="7" fillId="0" borderId="7" xfId="3" applyNumberFormat="1" applyFont="1" applyFill="1" applyBorder="1" applyAlignment="1" applyProtection="1">
      <alignment horizontal="center" vertical="center" wrapText="1"/>
    </xf>
    <xf numFmtId="0" fontId="7" fillId="0" borderId="8" xfId="3" applyNumberFormat="1" applyFont="1" applyFill="1" applyBorder="1" applyAlignment="1" applyProtection="1">
      <alignment horizontal="center" vertical="center" wrapText="1"/>
    </xf>
    <xf numFmtId="0" fontId="7" fillId="0" borderId="9" xfId="3" applyNumberFormat="1" applyFont="1" applyFill="1" applyBorder="1" applyAlignment="1" applyProtection="1">
      <alignment horizontal="center" vertical="center" wrapText="1"/>
    </xf>
    <xf numFmtId="0" fontId="12" fillId="0" borderId="0" xfId="0" applyFont="1" applyAlignment="1">
      <alignment horizontal="center" vertical="center" wrapText="1"/>
    </xf>
    <xf numFmtId="0" fontId="12" fillId="0" borderId="6" xfId="0" applyFont="1" applyBorder="1" applyAlignment="1">
      <alignment horizontal="center" vertical="center" wrapText="1"/>
    </xf>
    <xf numFmtId="0" fontId="28" fillId="0" borderId="90" xfId="0" applyFont="1" applyBorder="1" applyAlignment="1">
      <alignment horizontal="justify" vertical="center"/>
    </xf>
    <xf numFmtId="0" fontId="50" fillId="0" borderId="0" xfId="0" applyFont="1" applyAlignment="1">
      <alignment horizontal="left"/>
    </xf>
    <xf numFmtId="0" fontId="28" fillId="0" borderId="66" xfId="0" applyFont="1" applyBorder="1" applyAlignment="1">
      <alignment horizontal="justify" vertical="center"/>
    </xf>
    <xf numFmtId="0" fontId="28" fillId="0" borderId="67" xfId="0" applyFont="1" applyBorder="1" applyAlignment="1">
      <alignment horizontal="justify" vertical="center"/>
    </xf>
    <xf numFmtId="0" fontId="29" fillId="0" borderId="55" xfId="0" applyFont="1" applyBorder="1" applyAlignment="1">
      <alignment vertical="center" wrapText="1"/>
    </xf>
    <xf numFmtId="0" fontId="29" fillId="0" borderId="56" xfId="0" applyFont="1" applyBorder="1" applyAlignment="1">
      <alignment vertical="center" wrapText="1"/>
    </xf>
    <xf numFmtId="0" fontId="6" fillId="0" borderId="12" xfId="0" applyFont="1" applyBorder="1" applyAlignment="1">
      <alignment horizontal="center" vertical="center" textRotation="90"/>
    </xf>
    <xf numFmtId="0" fontId="6" fillId="0" borderId="13" xfId="0" applyFont="1" applyBorder="1" applyAlignment="1">
      <alignment horizontal="center" vertical="center" textRotation="90"/>
    </xf>
    <xf numFmtId="0" fontId="28" fillId="0" borderId="0" xfId="0" applyFont="1" applyAlignment="1">
      <alignment vertical="center" wrapText="1"/>
    </xf>
    <xf numFmtId="0" fontId="6" fillId="0" borderId="93" xfId="0" applyFont="1" applyBorder="1" applyAlignment="1">
      <alignment horizontal="justify" vertical="center"/>
    </xf>
    <xf numFmtId="0" fontId="6" fillId="0" borderId="0" xfId="0" applyFont="1" applyAlignment="1">
      <alignment horizontal="justify" vertical="center"/>
    </xf>
    <xf numFmtId="0" fontId="28" fillId="0" borderId="0" xfId="0" applyFont="1" applyAlignment="1">
      <alignment horizontal="left" vertical="center" wrapText="1"/>
    </xf>
    <xf numFmtId="0" fontId="29" fillId="0" borderId="83" xfId="0" applyFont="1" applyBorder="1" applyAlignment="1">
      <alignment horizontal="justify" vertical="center" wrapText="1"/>
    </xf>
    <xf numFmtId="0" fontId="29" fillId="0" borderId="84" xfId="0" applyFont="1" applyBorder="1" applyAlignment="1">
      <alignment horizontal="justify" vertical="center" wrapText="1"/>
    </xf>
    <xf numFmtId="0" fontId="52" fillId="74" borderId="0" xfId="0" applyFont="1" applyFill="1" applyAlignment="1">
      <alignment horizontal="center" textRotation="90"/>
    </xf>
    <xf numFmtId="0" fontId="0" fillId="76" borderId="0" xfId="0" applyFill="1" applyAlignment="1">
      <alignment horizontal="center" vertical="center"/>
    </xf>
    <xf numFmtId="0" fontId="0" fillId="77" borderId="0" xfId="0" applyFill="1" applyAlignment="1">
      <alignment horizontal="center" vertical="center"/>
    </xf>
    <xf numFmtId="0" fontId="0" fillId="77" borderId="0" xfId="0" applyFill="1" applyAlignment="1">
      <alignment horizontal="center" vertical="center" wrapText="1"/>
    </xf>
    <xf numFmtId="0" fontId="0" fillId="71" borderId="0" xfId="0" applyFill="1" applyAlignment="1">
      <alignment horizontal="center" vertical="center" textRotation="90"/>
    </xf>
    <xf numFmtId="0" fontId="0" fillId="76" borderId="0" xfId="0" applyFill="1" applyAlignment="1">
      <alignment horizontal="center" vertical="center" textRotation="90" wrapText="1"/>
    </xf>
    <xf numFmtId="0" fontId="0" fillId="77" borderId="0" xfId="0" applyFill="1" applyAlignment="1">
      <alignment horizontal="center" vertical="center" textRotation="90" wrapText="1"/>
    </xf>
    <xf numFmtId="0" fontId="0" fillId="85" borderId="0" xfId="0" applyFill="1" applyAlignment="1">
      <alignment horizontal="center" vertical="center" wrapText="1"/>
    </xf>
    <xf numFmtId="0" fontId="0" fillId="84" borderId="0" xfId="0" applyFill="1" applyAlignment="1">
      <alignment horizontal="center" vertical="center" wrapText="1"/>
    </xf>
    <xf numFmtId="0" fontId="0" fillId="81" borderId="0" xfId="0" applyFill="1" applyAlignment="1">
      <alignment horizontal="center" vertical="center"/>
    </xf>
    <xf numFmtId="0" fontId="0" fillId="88" borderId="0" xfId="0" applyFill="1" applyAlignment="1">
      <alignment horizontal="center" vertical="center"/>
    </xf>
    <xf numFmtId="0" fontId="0" fillId="54" borderId="0" xfId="0" applyFill="1" applyAlignment="1">
      <alignment horizontal="center" vertical="center"/>
    </xf>
    <xf numFmtId="0" fontId="0" fillId="91" borderId="0" xfId="0" applyFill="1" applyAlignment="1">
      <alignment horizontal="center"/>
    </xf>
    <xf numFmtId="0" fontId="0" fillId="15" borderId="0" xfId="0" applyFill="1" applyAlignment="1">
      <alignment horizontal="center"/>
    </xf>
    <xf numFmtId="0" fontId="0" fillId="92" borderId="0" xfId="0" applyFill="1" applyAlignment="1">
      <alignment horizontal="center"/>
    </xf>
    <xf numFmtId="0" fontId="0" fillId="50" borderId="0" xfId="0" applyFill="1" applyAlignment="1">
      <alignment horizontal="center" vertical="center"/>
    </xf>
    <xf numFmtId="0" fontId="56" fillId="37" borderId="0" xfId="0" applyFont="1" applyFill="1" applyAlignment="1">
      <alignment horizontal="center" vertical="center" wrapText="1"/>
    </xf>
    <xf numFmtId="0" fontId="61" fillId="78" borderId="0" xfId="0" applyFont="1" applyFill="1" applyAlignment="1">
      <alignment horizontal="center" vertical="center" wrapText="1"/>
    </xf>
    <xf numFmtId="0" fontId="6" fillId="0" borderId="92" xfId="0" applyFont="1" applyBorder="1" applyAlignment="1" applyProtection="1">
      <alignment horizontal="justify" vertical="center" wrapText="1"/>
      <protection locked="0"/>
    </xf>
    <xf numFmtId="0" fontId="7" fillId="0" borderId="74" xfId="0" applyFont="1" applyBorder="1" applyAlignment="1" applyProtection="1">
      <alignment horizontal="center" vertical="center" wrapText="1"/>
      <protection locked="0"/>
    </xf>
    <xf numFmtId="0" fontId="7" fillId="0" borderId="75" xfId="0" applyFont="1" applyBorder="1" applyAlignment="1" applyProtection="1">
      <alignment horizontal="center" vertical="center" wrapText="1"/>
      <protection locked="0"/>
    </xf>
    <xf numFmtId="0" fontId="7" fillId="0" borderId="76" xfId="0" applyFont="1" applyBorder="1" applyAlignment="1" applyProtection="1">
      <alignment horizontal="center" vertical="center" wrapText="1"/>
      <protection locked="0"/>
    </xf>
    <xf numFmtId="49" fontId="6" fillId="0" borderId="12" xfId="0" applyNumberFormat="1" applyFont="1" applyBorder="1" applyAlignment="1" applyProtection="1">
      <alignment horizontal="center" vertical="center" wrapText="1"/>
      <protection locked="0"/>
    </xf>
    <xf numFmtId="49" fontId="6" fillId="0" borderId="11" xfId="0" applyNumberFormat="1" applyFont="1" applyBorder="1" applyAlignment="1" applyProtection="1">
      <alignment horizontal="center" vertical="center" wrapText="1"/>
      <protection locked="0"/>
    </xf>
    <xf numFmtId="0" fontId="52" fillId="103" borderId="0" xfId="0" applyFont="1" applyFill="1" applyAlignment="1">
      <alignment horizontal="center" textRotation="90"/>
    </xf>
    <xf numFmtId="0" fontId="0" fillId="102" borderId="0" xfId="0" applyFill="1" applyAlignment="1">
      <alignment horizontal="center" vertical="center"/>
    </xf>
    <xf numFmtId="0" fontId="0" fillId="106" borderId="0" xfId="0" applyFill="1" applyAlignment="1">
      <alignment horizontal="center" vertical="center"/>
    </xf>
    <xf numFmtId="0" fontId="0" fillId="57" borderId="0" xfId="0" applyFill="1" applyAlignment="1">
      <alignment horizontal="center" vertical="center"/>
    </xf>
    <xf numFmtId="0" fontId="61" fillId="17" borderId="0" xfId="0" applyFont="1" applyFill="1" applyAlignment="1">
      <alignment horizontal="center" vertical="center" wrapText="1"/>
    </xf>
    <xf numFmtId="0" fontId="6" fillId="0" borderId="7" xfId="2" applyNumberFormat="1" applyFont="1" applyFill="1" applyBorder="1" applyAlignment="1" applyProtection="1">
      <alignment horizontal="center" vertical="center" wrapText="1" shrinkToFit="1"/>
      <protection locked="0"/>
    </xf>
    <xf numFmtId="0" fontId="6" fillId="0" borderId="8" xfId="2" applyNumberFormat="1" applyFont="1" applyFill="1" applyBorder="1" applyAlignment="1" applyProtection="1">
      <alignment horizontal="center" vertical="center" wrapText="1" shrinkToFit="1"/>
      <protection locked="0"/>
    </xf>
    <xf numFmtId="0" fontId="6" fillId="0" borderId="9" xfId="2" applyNumberFormat="1" applyFont="1" applyFill="1" applyBorder="1" applyAlignment="1" applyProtection="1">
      <alignment horizontal="center" vertical="center" wrapText="1" shrinkToFit="1"/>
      <protection locked="0"/>
    </xf>
    <xf numFmtId="0" fontId="4" fillId="6" borderId="60" xfId="0" applyFont="1" applyFill="1" applyBorder="1" applyAlignment="1">
      <alignment horizontal="center" vertical="center" wrapText="1"/>
    </xf>
    <xf numFmtId="0" fontId="4" fillId="6" borderId="61" xfId="0" applyFont="1" applyFill="1" applyBorder="1" applyAlignment="1">
      <alignment horizontal="center" vertical="center" wrapText="1"/>
    </xf>
    <xf numFmtId="0" fontId="4" fillId="6" borderId="62" xfId="0" applyFont="1" applyFill="1" applyBorder="1" applyAlignment="1">
      <alignment horizontal="center" vertical="center" wrapText="1"/>
    </xf>
    <xf numFmtId="0" fontId="54" fillId="39" borderId="0" xfId="0" applyFont="1" applyFill="1" applyAlignment="1">
      <alignment horizontal="center" vertical="center" wrapText="1"/>
    </xf>
    <xf numFmtId="0" fontId="0" fillId="13" borderId="0" xfId="0" applyFill="1" applyAlignment="1">
      <alignment horizontal="center" vertical="center"/>
    </xf>
    <xf numFmtId="0" fontId="49" fillId="60" borderId="0" xfId="0" applyFont="1" applyFill="1" applyAlignment="1">
      <alignment horizontal="center" vertical="center" wrapText="1"/>
    </xf>
    <xf numFmtId="0" fontId="0" fillId="14" borderId="0" xfId="0" applyFill="1" applyAlignment="1">
      <alignment horizontal="center"/>
    </xf>
    <xf numFmtId="49" fontId="6" fillId="0" borderId="13" xfId="0" applyNumberFormat="1" applyFont="1" applyBorder="1" applyAlignment="1" applyProtection="1">
      <alignment horizontal="center" vertical="center" wrapText="1"/>
      <protection locked="0"/>
    </xf>
    <xf numFmtId="0" fontId="0" fillId="25" borderId="0" xfId="0" applyFill="1" applyAlignment="1">
      <alignment horizontal="center" vertical="center"/>
    </xf>
    <xf numFmtId="0" fontId="11" fillId="67" borderId="0" xfId="0" applyFont="1" applyFill="1" applyAlignment="1">
      <alignment horizontal="center" vertical="center" wrapText="1"/>
    </xf>
    <xf numFmtId="0" fontId="11" fillId="86" borderId="0" xfId="0" applyFont="1" applyFill="1" applyAlignment="1">
      <alignment horizontal="center" vertical="center" wrapText="1"/>
    </xf>
    <xf numFmtId="0" fontId="0" fillId="8" borderId="0" xfId="0" applyFill="1" applyAlignment="1">
      <alignment horizontal="center" vertical="center"/>
    </xf>
    <xf numFmtId="0" fontId="6" fillId="0" borderId="14" xfId="0" applyFont="1" applyBorder="1" applyAlignment="1" applyProtection="1">
      <alignment horizontal="center" vertical="center"/>
      <protection locked="0"/>
    </xf>
    <xf numFmtId="0" fontId="6" fillId="0" borderId="81" xfId="0" applyFont="1" applyBorder="1" applyAlignment="1">
      <alignment horizontal="justify" vertical="center"/>
    </xf>
    <xf numFmtId="49" fontId="6" fillId="0" borderId="12" xfId="4" applyNumberFormat="1" applyFont="1" applyFill="1" applyBorder="1" applyAlignment="1" applyProtection="1">
      <alignment horizontal="center" vertical="center" wrapText="1"/>
      <protection locked="0"/>
    </xf>
    <xf numFmtId="49" fontId="6" fillId="0" borderId="13" xfId="4" applyNumberFormat="1" applyFont="1" applyFill="1" applyBorder="1" applyAlignment="1" applyProtection="1">
      <alignment horizontal="center" vertical="center" wrapText="1"/>
      <protection locked="0"/>
    </xf>
    <xf numFmtId="0" fontId="6" fillId="0" borderId="14" xfId="4" applyNumberFormat="1" applyFont="1" applyFill="1" applyBorder="1" applyAlignment="1">
      <alignment horizontal="justify" vertical="center" wrapText="1"/>
    </xf>
    <xf numFmtId="0" fontId="6" fillId="0" borderId="12" xfId="4" applyNumberFormat="1" applyFont="1" applyFill="1" applyBorder="1" applyAlignment="1">
      <alignment horizontal="justify" vertical="center" wrapText="1"/>
    </xf>
    <xf numFmtId="0" fontId="6" fillId="0" borderId="11" xfId="4" applyNumberFormat="1" applyFont="1" applyFill="1" applyBorder="1" applyAlignment="1">
      <alignment horizontal="justify" vertical="center" wrapText="1"/>
    </xf>
    <xf numFmtId="0" fontId="6" fillId="0" borderId="13" xfId="4" applyNumberFormat="1" applyFont="1" applyFill="1" applyBorder="1" applyAlignment="1">
      <alignment horizontal="justify" vertical="center" wrapText="1"/>
    </xf>
    <xf numFmtId="0" fontId="6" fillId="0" borderId="14" xfId="4" applyNumberFormat="1" applyFont="1" applyFill="1" applyBorder="1" applyAlignment="1" applyProtection="1">
      <alignment horizontal="justify" vertical="center" wrapText="1"/>
      <protection locked="0"/>
    </xf>
    <xf numFmtId="0" fontId="6" fillId="0" borderId="12" xfId="4" applyNumberFormat="1" applyFont="1" applyFill="1" applyBorder="1" applyAlignment="1" applyProtection="1">
      <alignment horizontal="center" vertical="center" wrapText="1"/>
      <protection locked="0"/>
    </xf>
    <xf numFmtId="0" fontId="6" fillId="0" borderId="13" xfId="4" applyNumberFormat="1" applyFont="1" applyFill="1" applyBorder="1" applyAlignment="1" applyProtection="1">
      <alignment horizontal="center" vertical="center" wrapText="1"/>
      <protection locked="0"/>
    </xf>
    <xf numFmtId="0" fontId="6" fillId="0" borderId="12" xfId="4" applyNumberFormat="1" applyFont="1" applyFill="1" applyBorder="1" applyAlignment="1" applyProtection="1">
      <alignment horizontal="justify" vertical="center" wrapText="1"/>
      <protection locked="0"/>
    </xf>
    <xf numFmtId="0" fontId="6" fillId="0" borderId="11" xfId="4" applyNumberFormat="1" applyFont="1" applyFill="1" applyBorder="1" applyAlignment="1" applyProtection="1">
      <alignment horizontal="justify" vertical="center" wrapText="1"/>
      <protection locked="0"/>
    </xf>
    <xf numFmtId="0" fontId="6" fillId="0" borderId="13" xfId="4" applyNumberFormat="1" applyFont="1" applyFill="1" applyBorder="1" applyAlignment="1" applyProtection="1">
      <alignment horizontal="justify" vertical="center" wrapText="1"/>
      <protection locked="0"/>
    </xf>
    <xf numFmtId="0" fontId="28" fillId="0" borderId="0" xfId="0" applyFont="1" applyAlignment="1">
      <alignment horizontal="justify" wrapText="1"/>
    </xf>
    <xf numFmtId="0" fontId="6" fillId="0" borderId="12" xfId="0" applyFont="1" applyBorder="1" applyAlignment="1">
      <alignment horizontal="center" vertical="center"/>
    </xf>
    <xf numFmtId="0" fontId="6" fillId="0" borderId="11" xfId="0" applyFont="1" applyBorder="1" applyAlignment="1">
      <alignment horizontal="center" vertical="center"/>
    </xf>
    <xf numFmtId="0" fontId="6" fillId="0" borderId="13" xfId="0" applyFont="1" applyBorder="1" applyAlignment="1">
      <alignment horizontal="center" vertical="center"/>
    </xf>
    <xf numFmtId="0" fontId="6" fillId="0" borderId="12" xfId="0" applyFont="1" applyBorder="1" applyAlignment="1" applyProtection="1">
      <alignment horizontal="justify" vertical="center"/>
      <protection locked="0"/>
    </xf>
    <xf numFmtId="0" fontId="6" fillId="0" borderId="11" xfId="0" applyFont="1" applyBorder="1" applyAlignment="1" applyProtection="1">
      <alignment horizontal="justify" vertical="center"/>
      <protection locked="0"/>
    </xf>
    <xf numFmtId="0" fontId="6" fillId="0" borderId="13" xfId="0" applyFont="1" applyBorder="1" applyAlignment="1" applyProtection="1">
      <alignment horizontal="justify" vertical="center"/>
      <protection locked="0"/>
    </xf>
    <xf numFmtId="0" fontId="4" fillId="2" borderId="60" xfId="0" applyFont="1" applyFill="1" applyBorder="1" applyAlignment="1" applyProtection="1">
      <alignment horizontal="center" vertical="center" wrapText="1"/>
      <protection locked="0"/>
    </xf>
    <xf numFmtId="0" fontId="4" fillId="2" borderId="61" xfId="0" applyFont="1" applyFill="1" applyBorder="1" applyAlignment="1" applyProtection="1">
      <alignment horizontal="center" vertical="center" wrapText="1"/>
      <protection locked="0"/>
    </xf>
    <xf numFmtId="0" fontId="4" fillId="2" borderId="62" xfId="0" applyFont="1" applyFill="1" applyBorder="1" applyAlignment="1" applyProtection="1">
      <alignment horizontal="center" vertical="center" wrapText="1"/>
      <protection locked="0"/>
    </xf>
    <xf numFmtId="0" fontId="6" fillId="0" borderId="81" xfId="0" applyFont="1" applyBorder="1" applyAlignment="1">
      <alignment horizontal="justify" vertical="center" wrapText="1"/>
    </xf>
    <xf numFmtId="0" fontId="0" fillId="0" borderId="11" xfId="0" applyBorder="1" applyProtection="1">
      <protection locked="0"/>
    </xf>
    <xf numFmtId="0" fontId="0" fillId="0" borderId="13" xfId="0" applyBorder="1" applyProtection="1">
      <protection locked="0"/>
    </xf>
    <xf numFmtId="0" fontId="51" fillId="0" borderId="0" xfId="0" applyFont="1" applyAlignment="1">
      <alignment horizontal="left"/>
    </xf>
    <xf numFmtId="0" fontId="6" fillId="0" borderId="12" xfId="0" applyFont="1" applyBorder="1" applyAlignment="1">
      <alignment vertical="center"/>
    </xf>
    <xf numFmtId="0" fontId="6" fillId="0" borderId="11" xfId="0" applyFont="1" applyBorder="1" applyAlignment="1">
      <alignment vertical="center"/>
    </xf>
    <xf numFmtId="0" fontId="6" fillId="0" borderId="13" xfId="0" applyFont="1" applyBorder="1" applyAlignment="1">
      <alignment vertical="center"/>
    </xf>
    <xf numFmtId="0" fontId="7" fillId="0" borderId="55" xfId="3" applyNumberFormat="1" applyFont="1" applyFill="1" applyBorder="1" applyAlignment="1">
      <alignment horizontal="center" vertical="center" wrapText="1"/>
    </xf>
    <xf numFmtId="0" fontId="7" fillId="0" borderId="4" xfId="3" applyNumberFormat="1" applyFont="1" applyFill="1" applyBorder="1" applyAlignment="1">
      <alignment horizontal="center" vertical="center" wrapText="1"/>
    </xf>
    <xf numFmtId="0" fontId="7" fillId="0" borderId="56" xfId="3" applyNumberFormat="1" applyFont="1" applyFill="1" applyBorder="1" applyAlignment="1">
      <alignment horizontal="center" vertical="center" wrapText="1"/>
    </xf>
    <xf numFmtId="0" fontId="7" fillId="0" borderId="5" xfId="3" applyNumberFormat="1" applyFont="1" applyFill="1" applyBorder="1" applyAlignment="1">
      <alignment horizontal="center" vertical="center" wrapText="1"/>
    </xf>
    <xf numFmtId="0" fontId="7" fillId="0" borderId="0" xfId="3" applyNumberFormat="1" applyFont="1" applyFill="1" applyBorder="1" applyAlignment="1">
      <alignment horizontal="center" vertical="center" wrapText="1"/>
    </xf>
    <xf numFmtId="0" fontId="7" fillId="0" borderId="6" xfId="3" applyNumberFormat="1" applyFont="1" applyFill="1" applyBorder="1" applyAlignment="1">
      <alignment horizontal="center" vertical="center" wrapText="1"/>
    </xf>
    <xf numFmtId="0" fontId="7" fillId="0" borderId="7" xfId="3" applyNumberFormat="1" applyFont="1" applyFill="1" applyBorder="1" applyAlignment="1">
      <alignment horizontal="center" vertical="center" wrapText="1"/>
    </xf>
    <xf numFmtId="0" fontId="7" fillId="0" borderId="8" xfId="3" applyNumberFormat="1" applyFont="1" applyFill="1" applyBorder="1" applyAlignment="1">
      <alignment horizontal="center" vertical="center" wrapText="1"/>
    </xf>
    <xf numFmtId="0" fontId="7" fillId="0" borderId="9" xfId="3" applyNumberFormat="1" applyFont="1" applyFill="1" applyBorder="1" applyAlignment="1">
      <alignment horizontal="center" vertical="center" wrapText="1"/>
    </xf>
    <xf numFmtId="0" fontId="7" fillId="0" borderId="5" xfId="0" applyFont="1" applyBorder="1" applyAlignment="1">
      <alignment horizontal="center" vertical="center"/>
    </xf>
    <xf numFmtId="0" fontId="7" fillId="0" borderId="0" xfId="0" applyFont="1" applyAlignment="1">
      <alignment horizontal="center" vertical="center"/>
    </xf>
    <xf numFmtId="0" fontId="7" fillId="0" borderId="6" xfId="0" applyFont="1" applyBorder="1" applyAlignment="1">
      <alignment horizontal="center" vertical="center"/>
    </xf>
    <xf numFmtId="0" fontId="34" fillId="0" borderId="14" xfId="0" applyFont="1" applyBorder="1" applyAlignment="1">
      <alignment horizontal="center" vertical="center" wrapText="1"/>
    </xf>
    <xf numFmtId="0" fontId="38" fillId="0" borderId="12" xfId="0" applyFont="1" applyBorder="1" applyAlignment="1">
      <alignment horizontal="justify" vertical="center"/>
    </xf>
    <xf numFmtId="0" fontId="38" fillId="0" borderId="11" xfId="0" applyFont="1" applyBorder="1" applyAlignment="1">
      <alignment horizontal="justify" vertical="center"/>
    </xf>
    <xf numFmtId="0" fontId="38" fillId="0" borderId="13" xfId="0" applyFont="1" applyBorder="1" applyAlignment="1">
      <alignment horizontal="justify" vertical="center"/>
    </xf>
    <xf numFmtId="0" fontId="34" fillId="0" borderId="80" xfId="0" applyFont="1" applyBorder="1" applyAlignment="1">
      <alignment horizontal="center" vertical="center" wrapText="1"/>
    </xf>
    <xf numFmtId="0" fontId="7" fillId="0" borderId="80" xfId="0" applyFont="1" applyBorder="1" applyAlignment="1">
      <alignment horizontal="center" vertical="center" wrapText="1"/>
    </xf>
    <xf numFmtId="0" fontId="7" fillId="0" borderId="88" xfId="0" applyFont="1" applyBorder="1" applyAlignment="1">
      <alignment horizontal="center" vertical="center" wrapText="1"/>
    </xf>
    <xf numFmtId="0" fontId="38" fillId="0" borderId="14" xfId="0" applyFont="1" applyBorder="1" applyAlignment="1">
      <alignment horizontal="center" vertical="center" wrapText="1"/>
    </xf>
    <xf numFmtId="0" fontId="38" fillId="0" borderId="0" xfId="0" applyFont="1" applyAlignment="1">
      <alignment horizontal="justify" vertical="center"/>
    </xf>
    <xf numFmtId="0" fontId="38" fillId="0" borderId="6" xfId="0" applyFont="1" applyBorder="1" applyAlignment="1">
      <alignment horizontal="justify" vertical="center"/>
    </xf>
    <xf numFmtId="0" fontId="38" fillId="0" borderId="8" xfId="0" applyFont="1" applyBorder="1" applyAlignment="1">
      <alignment horizontal="justify" vertical="center"/>
    </xf>
    <xf numFmtId="0" fontId="38" fillId="0" borderId="9" xfId="0" applyFont="1" applyBorder="1" applyAlignment="1">
      <alignment horizontal="justify" vertical="center"/>
    </xf>
    <xf numFmtId="0" fontId="38" fillId="0" borderId="4" xfId="0" applyFont="1" applyBorder="1" applyAlignment="1">
      <alignment horizontal="justify" vertical="center"/>
    </xf>
    <xf numFmtId="0" fontId="38" fillId="0" borderId="56" xfId="0" applyFont="1" applyBorder="1" applyAlignment="1">
      <alignment horizontal="justify" vertical="center"/>
    </xf>
    <xf numFmtId="0" fontId="34" fillId="0" borderId="12" xfId="0" applyFont="1" applyBorder="1" applyAlignment="1">
      <alignment horizontal="center" vertical="center" wrapText="1"/>
    </xf>
    <xf numFmtId="0" fontId="34" fillId="0" borderId="13" xfId="0" applyFont="1" applyBorder="1" applyAlignment="1">
      <alignment horizontal="center" vertical="center" wrapText="1"/>
    </xf>
    <xf numFmtId="0" fontId="38" fillId="0" borderId="12" xfId="0" applyFont="1" applyBorder="1" applyAlignment="1">
      <alignment horizontal="center" vertical="center" wrapText="1"/>
    </xf>
    <xf numFmtId="0" fontId="38" fillId="0" borderId="13" xfId="0" applyFont="1" applyBorder="1" applyAlignment="1">
      <alignment horizontal="center" vertical="center" wrapText="1"/>
    </xf>
    <xf numFmtId="0" fontId="38" fillId="0" borderId="11" xfId="0" applyFont="1" applyBorder="1" applyAlignment="1">
      <alignment horizontal="center" vertical="center" wrapText="1"/>
    </xf>
    <xf numFmtId="0" fontId="38" fillId="0" borderId="0" xfId="0" applyFont="1" applyAlignment="1">
      <alignment horizontal="justify" vertical="center" wrapText="1"/>
    </xf>
    <xf numFmtId="0" fontId="38" fillId="0" borderId="6" xfId="0" applyFont="1" applyBorder="1" applyAlignment="1">
      <alignment horizontal="justify" vertical="center" wrapText="1"/>
    </xf>
    <xf numFmtId="0" fontId="38" fillId="0" borderId="8" xfId="0" applyFont="1" applyBorder="1" applyAlignment="1">
      <alignment horizontal="justify" vertical="center" wrapText="1"/>
    </xf>
    <xf numFmtId="0" fontId="38" fillId="0" borderId="9" xfId="0" applyFont="1" applyBorder="1" applyAlignment="1">
      <alignment horizontal="justify" vertical="center" wrapText="1"/>
    </xf>
    <xf numFmtId="0" fontId="38" fillId="0" borderId="4" xfId="0" applyFont="1" applyBorder="1" applyAlignment="1">
      <alignment horizontal="justify" vertical="center" wrapText="1"/>
    </xf>
    <xf numFmtId="0" fontId="38" fillId="0" borderId="56" xfId="0" applyFont="1" applyBorder="1" applyAlignment="1">
      <alignment horizontal="justify" vertical="center" wrapText="1"/>
    </xf>
    <xf numFmtId="0" fontId="40" fillId="0" borderId="6" xfId="0" applyFont="1" applyBorder="1" applyAlignment="1">
      <alignment horizontal="justify" vertical="center"/>
    </xf>
    <xf numFmtId="0" fontId="28" fillId="0" borderId="0" xfId="0" applyFont="1" applyAlignment="1">
      <alignment horizontal="justify" vertical="top" wrapText="1"/>
    </xf>
    <xf numFmtId="0" fontId="28" fillId="0" borderId="0" xfId="0" applyFont="1" applyAlignment="1">
      <alignment horizontal="justify" vertical="top"/>
    </xf>
    <xf numFmtId="0" fontId="38" fillId="0" borderId="14" xfId="0" applyFont="1" applyBorder="1" applyAlignment="1">
      <alignment horizontal="justify" vertical="center"/>
    </xf>
    <xf numFmtId="0" fontId="7" fillId="0" borderId="5" xfId="0" applyFont="1" applyBorder="1" applyAlignment="1">
      <alignment horizontal="center" vertical="center" textRotation="90"/>
    </xf>
    <xf numFmtId="0" fontId="7" fillId="0" borderId="7" xfId="0" applyFont="1" applyBorder="1" applyAlignment="1">
      <alignment horizontal="center" vertical="center" textRotation="90"/>
    </xf>
    <xf numFmtId="0" fontId="6" fillId="0" borderId="14" xfId="0" applyFont="1" applyBorder="1" applyAlignment="1">
      <alignment horizontal="center" vertical="center" textRotation="90"/>
    </xf>
    <xf numFmtId="0" fontId="40" fillId="0" borderId="6" xfId="0" applyFont="1" applyBorder="1" applyAlignment="1">
      <alignment horizontal="justify" vertical="center" wrapText="1"/>
    </xf>
    <xf numFmtId="0" fontId="34" fillId="0" borderId="11" xfId="0" applyFont="1" applyBorder="1" applyAlignment="1">
      <alignment horizontal="center" vertical="center" wrapText="1"/>
    </xf>
    <xf numFmtId="0" fontId="4" fillId="5" borderId="60" xfId="0" applyFont="1" applyFill="1" applyBorder="1" applyAlignment="1" applyProtection="1">
      <alignment horizontal="center" vertical="center" wrapText="1"/>
      <protection locked="0"/>
    </xf>
    <xf numFmtId="0" fontId="4" fillId="5" borderId="61" xfId="0" applyFont="1" applyFill="1" applyBorder="1" applyAlignment="1" applyProtection="1">
      <alignment horizontal="center" vertical="center" wrapText="1"/>
      <protection locked="0"/>
    </xf>
    <xf numFmtId="0" fontId="4" fillId="5" borderId="62" xfId="0" applyFont="1" applyFill="1" applyBorder="1" applyAlignment="1" applyProtection="1">
      <alignment horizontal="center" vertical="center" wrapText="1"/>
      <protection locked="0"/>
    </xf>
    <xf numFmtId="0" fontId="7" fillId="0" borderId="0" xfId="0" applyFont="1" applyAlignment="1">
      <alignment horizontal="justify" wrapText="1"/>
    </xf>
    <xf numFmtId="0" fontId="6" fillId="0" borderId="81" xfId="0" applyFont="1" applyBorder="1" applyAlignment="1" applyProtection="1">
      <alignment horizontal="center" vertical="center" wrapText="1"/>
      <protection locked="0"/>
    </xf>
    <xf numFmtId="0" fontId="0" fillId="0" borderId="8" xfId="0" applyBorder="1" applyProtection="1">
      <protection locked="0"/>
    </xf>
    <xf numFmtId="0" fontId="0" fillId="0" borderId="9" xfId="0" applyBorder="1" applyProtection="1">
      <protection locked="0"/>
    </xf>
    <xf numFmtId="0" fontId="29" fillId="0" borderId="83" xfId="0" applyFont="1" applyBorder="1" applyAlignment="1">
      <alignment horizontal="justify" vertical="center"/>
    </xf>
    <xf numFmtId="0" fontId="29" fillId="0" borderId="84" xfId="0" applyFont="1" applyBorder="1" applyAlignment="1">
      <alignment horizontal="justify" vertical="center"/>
    </xf>
    <xf numFmtId="0" fontId="7" fillId="0" borderId="12" xfId="0" applyFont="1" applyBorder="1" applyAlignment="1">
      <alignment horizontal="center" vertical="center" textRotation="90" wrapText="1"/>
    </xf>
    <xf numFmtId="0" fontId="7" fillId="0" borderId="11" xfId="0" applyFont="1" applyBorder="1" applyAlignment="1">
      <alignment horizontal="center" vertical="center" textRotation="90" wrapText="1"/>
    </xf>
    <xf numFmtId="0" fontId="40" fillId="0" borderId="9" xfId="0" applyFont="1" applyBorder="1" applyAlignment="1">
      <alignment horizontal="justify" vertical="center"/>
    </xf>
    <xf numFmtId="0" fontId="6" fillId="0" borderId="73" xfId="0" applyFont="1" applyBorder="1" applyAlignment="1" applyProtection="1">
      <alignment horizontal="justify" vertical="center" wrapText="1"/>
      <protection locked="0"/>
    </xf>
    <xf numFmtId="0" fontId="6" fillId="0" borderId="78" xfId="0" applyFont="1" applyBorder="1" applyAlignment="1" applyProtection="1">
      <alignment horizontal="justify" vertical="center" wrapText="1"/>
      <protection locked="0"/>
    </xf>
    <xf numFmtId="0" fontId="6" fillId="0" borderId="79" xfId="0" applyFont="1" applyBorder="1" applyAlignment="1" applyProtection="1">
      <alignment horizontal="justify" vertical="center" wrapText="1"/>
      <protection locked="0"/>
    </xf>
    <xf numFmtId="0" fontId="37" fillId="0" borderId="14" xfId="0" applyFont="1" applyBorder="1" applyAlignment="1">
      <alignment horizontal="center" wrapText="1"/>
    </xf>
    <xf numFmtId="0" fontId="6" fillId="0" borderId="97" xfId="0" applyFont="1" applyBorder="1" applyAlignment="1">
      <alignment horizontal="justify" vertical="center" wrapText="1"/>
    </xf>
    <xf numFmtId="0" fontId="6" fillId="0" borderId="90" xfId="0" applyFont="1" applyBorder="1" applyAlignment="1">
      <alignment horizontal="justify" vertical="center" wrapText="1"/>
    </xf>
    <xf numFmtId="0" fontId="6" fillId="0" borderId="89" xfId="0" applyFont="1" applyBorder="1" applyAlignment="1">
      <alignment horizontal="justify" vertical="center" wrapText="1"/>
    </xf>
    <xf numFmtId="0" fontId="29" fillId="0" borderId="8" xfId="0" applyFont="1" applyBorder="1" applyAlignment="1">
      <alignment horizontal="justify" vertical="center"/>
    </xf>
    <xf numFmtId="0" fontId="29" fillId="0" borderId="9" xfId="0" applyFont="1" applyBorder="1" applyAlignment="1">
      <alignment horizontal="justify" vertical="center"/>
    </xf>
    <xf numFmtId="49" fontId="6" fillId="0" borderId="14" xfId="0" applyNumberFormat="1" applyFont="1" applyBorder="1" applyAlignment="1">
      <alignment horizontal="center" vertical="center" wrapText="1"/>
    </xf>
    <xf numFmtId="0" fontId="6" fillId="0" borderId="90" xfId="0" applyFont="1" applyBorder="1" applyAlignment="1">
      <alignment horizontal="center" vertical="center" wrapText="1"/>
    </xf>
    <xf numFmtId="0" fontId="6" fillId="0" borderId="89" xfId="0" applyFont="1" applyBorder="1" applyAlignment="1">
      <alignment horizontal="center" vertical="center" wrapText="1"/>
    </xf>
    <xf numFmtId="0" fontId="68" fillId="0" borderId="13" xfId="0" applyFont="1" applyBorder="1" applyProtection="1">
      <protection locked="0"/>
    </xf>
    <xf numFmtId="0" fontId="68" fillId="0" borderId="11" xfId="0" applyFont="1" applyBorder="1" applyProtection="1">
      <protection locked="0"/>
    </xf>
    <xf numFmtId="0" fontId="2" fillId="103" borderId="0" xfId="0" applyFont="1" applyFill="1" applyAlignment="1">
      <alignment horizontal="center" vertical="center" wrapText="1"/>
    </xf>
    <xf numFmtId="0" fontId="2" fillId="13" borderId="0" xfId="0" applyFont="1" applyFill="1" applyAlignment="1">
      <alignment horizontal="center" vertical="center"/>
    </xf>
    <xf numFmtId="0" fontId="2" fillId="106" borderId="0" xfId="0" applyFont="1" applyFill="1" applyAlignment="1">
      <alignment horizontal="center" vertical="center"/>
    </xf>
    <xf numFmtId="0" fontId="2" fillId="57" borderId="0" xfId="0" applyFont="1" applyFill="1" applyAlignment="1">
      <alignment horizontal="center" vertical="center"/>
    </xf>
    <xf numFmtId="0" fontId="2" fillId="80" borderId="0" xfId="0" applyFont="1" applyFill="1" applyAlignment="1">
      <alignment horizontal="center" vertical="center" wrapText="1"/>
    </xf>
    <xf numFmtId="0" fontId="2" fillId="71" borderId="0" xfId="0" applyFont="1" applyFill="1" applyAlignment="1">
      <alignment horizontal="center" vertical="center" wrapText="1"/>
    </xf>
    <xf numFmtId="0" fontId="2" fillId="86" borderId="0" xfId="0" applyFont="1" applyFill="1" applyAlignment="1">
      <alignment horizontal="center" vertical="center"/>
    </xf>
    <xf numFmtId="0" fontId="2" fillId="103" borderId="0" xfId="0" applyFont="1" applyFill="1" applyAlignment="1">
      <alignment horizontal="center" vertical="center"/>
    </xf>
    <xf numFmtId="0" fontId="2" fillId="64" borderId="0" xfId="0" applyFont="1" applyFill="1" applyAlignment="1">
      <alignment horizontal="center" vertical="center"/>
    </xf>
    <xf numFmtId="0" fontId="0" fillId="121" borderId="0" xfId="0" applyFill="1" applyAlignment="1">
      <alignment horizontal="center"/>
    </xf>
    <xf numFmtId="0" fontId="61" fillId="119" borderId="0" xfId="0" applyFont="1" applyFill="1" applyAlignment="1">
      <alignment horizontal="center" wrapText="1"/>
    </xf>
    <xf numFmtId="0" fontId="0" fillId="120" borderId="0" xfId="0" applyFill="1" applyAlignment="1">
      <alignment horizontal="center"/>
    </xf>
    <xf numFmtId="0" fontId="50" fillId="0" borderId="0" xfId="0" applyFont="1" applyAlignment="1">
      <alignment horizontal="center" vertical="center" wrapText="1"/>
    </xf>
    <xf numFmtId="0" fontId="55" fillId="30" borderId="0" xfId="0" applyFont="1" applyFill="1" applyAlignment="1">
      <alignment horizontal="center" vertical="center" textRotation="90" wrapText="1"/>
    </xf>
    <xf numFmtId="0" fontId="55" fillId="29" borderId="0" xfId="0" applyFont="1" applyFill="1" applyAlignment="1">
      <alignment horizontal="center" vertical="center" textRotation="90" wrapText="1"/>
    </xf>
    <xf numFmtId="0" fontId="2" fillId="19" borderId="0" xfId="0" applyFont="1" applyFill="1" applyAlignment="1">
      <alignment horizontal="center" vertical="center" textRotation="90" wrapText="1"/>
    </xf>
    <xf numFmtId="0" fontId="55" fillId="0" borderId="0" xfId="0" applyFont="1" applyAlignment="1">
      <alignment horizontal="center" vertical="center" textRotation="90" wrapText="1"/>
    </xf>
    <xf numFmtId="0" fontId="9" fillId="0" borderId="0" xfId="1" applyNumberFormat="1" applyFont="1" applyFill="1" applyBorder="1" applyAlignment="1" applyProtection="1">
      <alignment horizontal="center" vertical="center" wrapText="1"/>
    </xf>
    <xf numFmtId="0" fontId="55" fillId="28" borderId="0" xfId="0" applyFont="1" applyFill="1" applyAlignment="1">
      <alignment horizontal="center" vertical="center" textRotation="90" wrapText="1"/>
    </xf>
    <xf numFmtId="0" fontId="4" fillId="2" borderId="98" xfId="0" applyFont="1" applyFill="1" applyBorder="1" applyAlignment="1">
      <alignment horizontal="center" vertical="center" wrapText="1"/>
    </xf>
    <xf numFmtId="0" fontId="4" fillId="2" borderId="99" xfId="0" applyFont="1" applyFill="1" applyBorder="1" applyAlignment="1">
      <alignment horizontal="center" vertical="center" wrapText="1"/>
    </xf>
    <xf numFmtId="0" fontId="4" fillId="2" borderId="100" xfId="0" applyFont="1" applyFill="1" applyBorder="1" applyAlignment="1">
      <alignment horizontal="center" vertical="center" wrapText="1"/>
    </xf>
    <xf numFmtId="0" fontId="6" fillId="0" borderId="9" xfId="0" applyFont="1" applyBorder="1" applyAlignment="1" applyProtection="1">
      <alignment horizontal="center" vertical="center" wrapText="1"/>
      <protection locked="0"/>
    </xf>
    <xf numFmtId="0" fontId="6" fillId="0" borderId="7" xfId="0" applyFont="1" applyBorder="1" applyAlignment="1" applyProtection="1">
      <alignment horizontal="center" vertical="center" wrapText="1"/>
      <protection locked="0"/>
    </xf>
    <xf numFmtId="0" fontId="6" fillId="0" borderId="92" xfId="0" applyFont="1" applyBorder="1" applyAlignment="1">
      <alignment horizontal="justify" vertical="center"/>
    </xf>
    <xf numFmtId="0" fontId="7" fillId="0" borderId="14" xfId="0" applyFont="1" applyBorder="1" applyAlignment="1" applyProtection="1">
      <alignment horizontal="center" vertical="center" wrapText="1"/>
      <protection locked="0"/>
    </xf>
    <xf numFmtId="0" fontId="7" fillId="0" borderId="93" xfId="0" applyFont="1" applyBorder="1" applyAlignment="1">
      <alignment horizontal="justify" vertical="center" wrapText="1"/>
    </xf>
    <xf numFmtId="0" fontId="7" fillId="0" borderId="0" xfId="0" applyFont="1" applyAlignment="1">
      <alignment horizontal="justify" vertical="center" wrapText="1"/>
    </xf>
    <xf numFmtId="0" fontId="55" fillId="112" borderId="0" xfId="0" applyFont="1" applyFill="1" applyAlignment="1">
      <alignment horizontal="center" vertical="center" textRotation="90" wrapText="1"/>
    </xf>
    <xf numFmtId="0" fontId="2" fillId="19" borderId="0" xfId="0" applyFont="1" applyFill="1" applyAlignment="1">
      <alignment horizontal="center" vertical="center" textRotation="90"/>
    </xf>
    <xf numFmtId="0" fontId="0" fillId="115" borderId="0" xfId="0" applyFill="1" applyAlignment="1">
      <alignment horizontal="center"/>
    </xf>
    <xf numFmtId="0" fontId="58" fillId="117" borderId="0" xfId="0" applyFont="1" applyFill="1" applyAlignment="1">
      <alignment horizontal="center" textRotation="90"/>
    </xf>
    <xf numFmtId="0" fontId="0" fillId="100" borderId="0" xfId="0" applyFill="1" applyAlignment="1">
      <alignment horizontal="center"/>
    </xf>
    <xf numFmtId="0" fontId="58" fillId="119" borderId="0" xfId="0" applyFont="1" applyFill="1" applyAlignment="1">
      <alignment horizontal="center" textRotation="90" wrapText="1"/>
    </xf>
    <xf numFmtId="0" fontId="58" fillId="122" borderId="0" xfId="0" applyFont="1" applyFill="1" applyAlignment="1">
      <alignment horizontal="center" textRotation="90" wrapText="1"/>
    </xf>
    <xf numFmtId="0" fontId="0" fillId="114" borderId="0" xfId="0" applyFill="1" applyAlignment="1">
      <alignment horizontal="center"/>
    </xf>
    <xf numFmtId="0" fontId="0" fillId="123" borderId="0" xfId="0" applyFill="1" applyAlignment="1">
      <alignment horizontal="center"/>
    </xf>
    <xf numFmtId="0" fontId="58" fillId="104" borderId="0" xfId="0" applyFont="1" applyFill="1" applyAlignment="1">
      <alignment horizontal="center" textRotation="90" wrapText="1"/>
    </xf>
    <xf numFmtId="0" fontId="0" fillId="99" borderId="0" xfId="0" applyFill="1" applyAlignment="1">
      <alignment horizontal="center"/>
    </xf>
    <xf numFmtId="0" fontId="0" fillId="36" borderId="0" xfId="0" applyFill="1" applyAlignment="1">
      <alignment horizontal="center"/>
    </xf>
    <xf numFmtId="0" fontId="9" fillId="0" borderId="0" xfId="1" applyNumberFormat="1" applyFont="1" applyFill="1" applyAlignment="1" applyProtection="1">
      <alignment horizontal="right" vertical="center" wrapText="1"/>
    </xf>
    <xf numFmtId="0" fontId="29" fillId="0" borderId="55" xfId="0" applyFont="1" applyBorder="1" applyAlignment="1">
      <alignment horizontal="justify" vertical="center"/>
    </xf>
    <xf numFmtId="0" fontId="29" fillId="0" borderId="4" xfId="0" applyFont="1" applyBorder="1" applyAlignment="1">
      <alignment horizontal="justify" vertical="center"/>
    </xf>
    <xf numFmtId="0" fontId="29" fillId="0" borderId="56" xfId="0" applyFont="1" applyBorder="1" applyAlignment="1">
      <alignment horizontal="justify" vertical="center"/>
    </xf>
    <xf numFmtId="0" fontId="42" fillId="0" borderId="80" xfId="0" applyFont="1" applyBorder="1" applyAlignment="1">
      <alignment horizontal="center" vertical="center" wrapText="1"/>
    </xf>
    <xf numFmtId="0" fontId="42" fillId="0" borderId="81" xfId="0" applyFont="1" applyBorder="1" applyAlignment="1">
      <alignment horizontal="center" vertical="center" wrapText="1"/>
    </xf>
    <xf numFmtId="49" fontId="6" fillId="0" borderId="14" xfId="4" applyNumberFormat="1" applyFont="1" applyFill="1" applyBorder="1" applyAlignment="1" applyProtection="1">
      <alignment horizontal="center" vertical="center" wrapText="1"/>
      <protection locked="0"/>
    </xf>
    <xf numFmtId="0" fontId="6" fillId="0" borderId="14" xfId="4" applyNumberFormat="1" applyFont="1" applyFill="1" applyBorder="1" applyAlignment="1" applyProtection="1">
      <alignment horizontal="center" vertical="center" wrapText="1"/>
      <protection locked="0"/>
    </xf>
    <xf numFmtId="0" fontId="26" fillId="0" borderId="0" xfId="1" applyNumberFormat="1" applyFont="1" applyAlignment="1" applyProtection="1">
      <alignment horizontal="right" vertical="center" wrapText="1"/>
      <protection locked="0"/>
    </xf>
    <xf numFmtId="0" fontId="0" fillId="25" borderId="0" xfId="0" applyFill="1" applyAlignment="1">
      <alignment horizontal="center"/>
    </xf>
    <xf numFmtId="0" fontId="0" fillId="13" borderId="0" xfId="0" applyFill="1" applyAlignment="1">
      <alignment horizontal="center"/>
    </xf>
    <xf numFmtId="0" fontId="0" fillId="117" borderId="0" xfId="0" applyFill="1" applyAlignment="1">
      <alignment horizontal="center" vertical="center"/>
    </xf>
    <xf numFmtId="0" fontId="0" fillId="18" borderId="0" xfId="0" applyFill="1" applyAlignment="1">
      <alignment horizontal="center" vertical="center"/>
    </xf>
    <xf numFmtId="0" fontId="0" fillId="83" borderId="0" xfId="0" applyFill="1" applyAlignment="1">
      <alignment horizontal="center" vertical="center"/>
    </xf>
    <xf numFmtId="0" fontId="0" fillId="127" borderId="0" xfId="0" applyFill="1" applyAlignment="1">
      <alignment horizontal="center" vertical="center"/>
    </xf>
    <xf numFmtId="0" fontId="58" fillId="127" borderId="0" xfId="0" applyFont="1" applyFill="1" applyAlignment="1">
      <alignment horizontal="center" vertical="center"/>
    </xf>
    <xf numFmtId="0" fontId="58" fillId="128" borderId="0" xfId="0" applyFont="1" applyFill="1" applyAlignment="1">
      <alignment horizontal="center" vertical="center"/>
    </xf>
    <xf numFmtId="0" fontId="65" fillId="67" borderId="0" xfId="0" applyFont="1" applyFill="1" applyAlignment="1">
      <alignment horizontal="center" vertical="center" wrapText="1"/>
    </xf>
    <xf numFmtId="0" fontId="65" fillId="86" borderId="0" xfId="0" applyFont="1" applyFill="1" applyAlignment="1">
      <alignment horizontal="center" vertical="center" wrapText="1"/>
    </xf>
    <xf numFmtId="0" fontId="0" fillId="114" borderId="0" xfId="0" applyFill="1" applyAlignment="1">
      <alignment horizontal="center" vertical="center"/>
    </xf>
    <xf numFmtId="0" fontId="0" fillId="48" borderId="0" xfId="0" applyFill="1" applyAlignment="1">
      <alignment horizontal="center" vertical="center"/>
    </xf>
    <xf numFmtId="0" fontId="42" fillId="0" borderId="14" xfId="0" applyFont="1" applyBorder="1" applyAlignment="1">
      <alignment horizontal="center" vertical="center" wrapText="1"/>
    </xf>
  </cellXfs>
  <cellStyles count="5">
    <cellStyle name="Hipervínculo" xfId="1" builtinId="8"/>
    <cellStyle name="Millares" xfId="3" builtinId="3"/>
    <cellStyle name="Moneda" xfId="4" builtinId="4"/>
    <cellStyle name="Normal" xfId="0" builtinId="0"/>
    <cellStyle name="Porcentual 2" xfId="2" xr:uid="{77EDB0BF-AC0E-4608-B8A2-7D5C76DA6001}"/>
  </cellStyles>
  <dxfs count="1158">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bgColor auto="1"/>
        </patternFill>
      </fill>
    </dxf>
    <dxf>
      <fill>
        <patternFill>
          <bgColor rgb="FFFF0000"/>
        </patternFill>
      </fill>
    </dxf>
    <dxf>
      <fill>
        <patternFill patternType="mediumGray"/>
      </fill>
    </dxf>
    <dxf>
      <fill>
        <patternFill patternType="mediumGray"/>
      </fill>
    </dxf>
    <dxf>
      <fill>
        <patternFill>
          <bgColor rgb="FFFF0000"/>
        </patternFill>
      </fill>
    </dxf>
    <dxf>
      <fill>
        <patternFill>
          <bgColor rgb="FFFF0000"/>
        </patternFill>
      </fill>
    </dxf>
    <dxf>
      <fill>
        <patternFill patternType="mediumGray"/>
      </fill>
    </dxf>
    <dxf>
      <fill>
        <patternFill>
          <bgColor rgb="FFFF0000"/>
        </patternFill>
      </fill>
    </dxf>
    <dxf>
      <fill>
        <patternFill patternType="mediumGray"/>
      </fill>
    </dxf>
    <dxf>
      <fill>
        <patternFill patternType="mediumGray"/>
      </fill>
    </dxf>
    <dxf>
      <fill>
        <patternFill>
          <bgColor rgb="FFFF0000"/>
        </patternFill>
      </fill>
    </dxf>
    <dxf>
      <fill>
        <patternFill patternType="mediumGray"/>
      </fill>
    </dxf>
    <dxf>
      <fill>
        <patternFill>
          <bgColor rgb="FFFF0000"/>
        </patternFill>
      </fill>
    </dxf>
    <dxf>
      <fill>
        <patternFill>
          <bgColor rgb="FFFF0000"/>
        </patternFill>
      </fill>
    </dxf>
    <dxf>
      <fill>
        <patternFill patternType="mediumGray"/>
      </fill>
    </dxf>
    <dxf>
      <fill>
        <patternFill patternType="mediumGray"/>
      </fill>
    </dxf>
    <dxf>
      <fill>
        <patternFill>
          <bgColor rgb="FFFF0000"/>
        </patternFill>
      </fill>
    </dxf>
    <dxf>
      <fill>
        <patternFill>
          <bgColor rgb="FFFF0000"/>
        </patternFill>
      </fill>
    </dxf>
    <dxf>
      <fill>
        <patternFill patternType="mediumGray"/>
      </fill>
    </dxf>
    <dxf>
      <fill>
        <patternFill patternType="mediumGray"/>
      </fill>
    </dxf>
    <dxf>
      <fill>
        <patternFill patternType="mediumGray"/>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mediumGray"/>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mediumGray"/>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mediumGray"/>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mediumGray"/>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mediumGray">
          <bgColor auto="1"/>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bgColor rgb="FFFF0000"/>
        </patternFill>
      </fill>
    </dxf>
    <dxf>
      <fill>
        <patternFill patternType="mediumGray"/>
      </fill>
    </dxf>
    <dxf>
      <fill>
        <patternFill patternType="mediumGray"/>
      </fill>
    </dxf>
    <dxf>
      <fill>
        <patternFill>
          <bgColor rgb="FFFF00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bgColor auto="1"/>
        </patternFill>
      </fill>
    </dxf>
    <dxf>
      <fill>
        <patternFill patternType="mediumGray"/>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patternType="mediumGray"/>
      </fill>
    </dxf>
    <dxf>
      <fill>
        <patternFill>
          <bgColor rgb="FFFF0000"/>
        </patternFill>
      </fill>
    </dxf>
    <dxf>
      <fill>
        <patternFill patternType="mediumGray"/>
      </fill>
    </dxf>
    <dxf>
      <fill>
        <patternFill>
          <bgColor rgb="FFFF0000"/>
        </patternFill>
      </fill>
    </dxf>
    <dxf>
      <fill>
        <patternFill>
          <bgColor rgb="FFFF0000"/>
        </patternFill>
      </fill>
    </dxf>
    <dxf>
      <fill>
        <patternFill patternType="mediumGray"/>
      </fill>
    </dxf>
    <dxf>
      <fill>
        <patternFill patternType="mediumGray"/>
      </fill>
    </dxf>
    <dxf>
      <fill>
        <patternFill>
          <bgColor rgb="FFFF0000"/>
        </patternFill>
      </fill>
    </dxf>
    <dxf>
      <fill>
        <patternFill>
          <bgColor rgb="FFFF0000"/>
        </patternFill>
      </fill>
    </dxf>
    <dxf>
      <fill>
        <patternFill patternType="mediumGray"/>
      </fill>
    </dxf>
    <dxf>
      <fill>
        <patternFill>
          <bgColor rgb="FFFF0000"/>
        </patternFill>
      </fill>
    </dxf>
    <dxf>
      <fill>
        <patternFill patternType="mediumGray"/>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patternType="mediumGray"/>
      </fill>
    </dxf>
    <dxf>
      <fill>
        <patternFill>
          <bgColor rgb="FFFF0000"/>
        </patternFill>
      </fill>
    </dxf>
    <dxf>
      <fill>
        <patternFill>
          <bgColor rgb="FFFF0000"/>
        </patternFill>
      </fill>
    </dxf>
    <dxf>
      <fill>
        <patternFill patternType="mediumGray"/>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bgColor rgb="FFFF0000"/>
        </patternFill>
      </fill>
    </dxf>
    <dxf>
      <fill>
        <patternFill patternType="mediumGray"/>
      </fill>
    </dxf>
    <dxf>
      <fill>
        <patternFill patternType="mediumGray"/>
      </fill>
    </dxf>
    <dxf>
      <fill>
        <patternFill>
          <bgColor rgb="FFFF0000"/>
        </patternFill>
      </fill>
    </dxf>
    <dxf>
      <fill>
        <patternFill>
          <bgColor rgb="FFFF0000"/>
        </patternFill>
      </fill>
    </dxf>
    <dxf>
      <fill>
        <patternFill patternType="mediumGray"/>
      </fill>
    </dxf>
    <dxf>
      <fill>
        <patternFill>
          <bgColor rgb="FFFF0000"/>
        </patternFill>
      </fill>
    </dxf>
    <dxf>
      <fill>
        <patternFill patternType="mediumGray"/>
      </fill>
    </dxf>
    <dxf>
      <fill>
        <patternFill patternType="mediumGray"/>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solid">
          <bgColor rgb="FFFF0000"/>
        </patternFill>
      </fill>
    </dxf>
    <dxf>
      <fill>
        <patternFill patternType="mediumGray"/>
      </fill>
    </dxf>
    <dxf>
      <fill>
        <patternFill patternType="solid">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FF00"/>
        </patternFill>
      </fill>
    </dxf>
    <dxf>
      <fill>
        <patternFill>
          <bgColor rgb="FFFFFF00"/>
        </patternFill>
      </fill>
    </dxf>
    <dxf>
      <fill>
        <patternFill patternType="mediumGray"/>
      </fill>
    </dxf>
    <dxf>
      <fill>
        <patternFill patternType="mediumGray"/>
      </fill>
    </dxf>
    <dxf>
      <fill>
        <patternFill patternType="mediumGray"/>
      </fill>
    </dxf>
    <dxf>
      <fill>
        <patternFill patternType="light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patternType="solid">
          <bgColor rgb="FFFFFF00"/>
        </patternFill>
      </fill>
    </dxf>
    <dxf>
      <fill>
        <patternFill patternType="mediumGray"/>
      </fill>
    </dxf>
    <dxf>
      <fill>
        <patternFill>
          <bgColor rgb="FFFFFF00"/>
        </patternFill>
      </fill>
    </dxf>
    <dxf>
      <fill>
        <patternFill>
          <bgColor rgb="FFFFFF00"/>
        </patternFill>
      </fill>
    </dxf>
    <dxf>
      <fill>
        <patternFill>
          <bgColor rgb="FFFFFF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bgColor rgb="FFFFFF00"/>
        </patternFill>
      </fill>
    </dxf>
    <dxf>
      <fill>
        <patternFill>
          <bgColor rgb="FFFFFF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bgColor rgb="FFFF0000"/>
        </patternFill>
      </fill>
    </dxf>
    <dxf>
      <fill>
        <patternFill patternType="mediumGray"/>
      </fill>
    </dxf>
    <dxf>
      <fill>
        <patternFill patternType="mediumGray"/>
      </fill>
    </dxf>
    <dxf>
      <fill>
        <patternFill>
          <bgColor rgb="FFFF0000"/>
        </patternFill>
      </fill>
    </dxf>
    <dxf>
      <fill>
        <patternFill patternType="mediumGray"/>
      </fill>
    </dxf>
    <dxf>
      <fill>
        <patternFill patternType="mediumGray"/>
      </fill>
    </dxf>
    <dxf>
      <fill>
        <patternFill patternType="mediumGray"/>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mediumGray"/>
      </fill>
    </dxf>
    <dxf>
      <fill>
        <patternFill patternType="mediumGray"/>
      </fill>
    </dxf>
    <dxf>
      <fill>
        <patternFill>
          <bgColor rgb="FFFF0000"/>
        </patternFill>
      </fill>
    </dxf>
    <dxf>
      <fill>
        <patternFill patternType="mediumGray"/>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mediumGray"/>
      </fill>
    </dxf>
    <dxf>
      <fill>
        <patternFill patternType="mediumGray"/>
      </fill>
    </dxf>
    <dxf>
      <fill>
        <patternFill>
          <bgColor rgb="FFFF0000"/>
        </patternFill>
      </fill>
    </dxf>
    <dxf>
      <fill>
        <patternFill patternType="mediumGray"/>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patternType="mediumGray"/>
      </fill>
    </dxf>
    <dxf>
      <fill>
        <patternFill patternType="mediumGray"/>
      </fill>
    </dxf>
    <dxf>
      <fill>
        <patternFill patternType="mediumGray"/>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mediumGray"/>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mediumGray"/>
      </fill>
    </dxf>
    <dxf>
      <fill>
        <patternFill patternType="mediumGray"/>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mediumGray"/>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mediumGray">
          <bgColor auto="1"/>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bgColor auto="1"/>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patternType="mediumGray"/>
      </fill>
    </dxf>
    <dxf>
      <fill>
        <patternFill>
          <bgColor rgb="FFFF0000"/>
        </patternFill>
      </fill>
    </dxf>
    <dxf>
      <fill>
        <patternFill patternType="mediumGray"/>
      </fill>
    </dxf>
    <dxf>
      <fill>
        <patternFill>
          <bgColor rgb="FFFF0000"/>
        </patternFill>
      </fill>
    </dxf>
    <dxf>
      <fill>
        <patternFill>
          <bgColor rgb="FFFF0000"/>
        </patternFill>
      </fill>
    </dxf>
    <dxf>
      <fill>
        <patternFill patternType="mediumGray"/>
      </fill>
    </dxf>
    <dxf>
      <fill>
        <patternFill>
          <bgColor rgb="FFFF0000"/>
        </patternFill>
      </fill>
    </dxf>
    <dxf>
      <fill>
        <patternFill patternType="mediumGray"/>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bgColor rgb="FFFF0000"/>
        </patternFill>
      </fill>
    </dxf>
    <dxf>
      <fill>
        <patternFill patternType="mediumGray"/>
      </fill>
    </dxf>
    <dxf>
      <fill>
        <patternFill patternType="mediumGray"/>
      </fill>
    </dxf>
    <dxf>
      <fill>
        <patternFill>
          <bgColor rgb="FFFF0000"/>
        </patternFill>
      </fill>
    </dxf>
    <dxf>
      <fill>
        <patternFill>
          <bgColor rgb="FFFF0000"/>
        </patternFill>
      </fill>
    </dxf>
    <dxf>
      <fill>
        <patternFill patternType="mediumGray"/>
      </fill>
    </dxf>
    <dxf>
      <fill>
        <patternFill patternType="mediumGray"/>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bgColor rgb="FFFF0000"/>
        </patternFill>
      </fill>
    </dxf>
    <dxf>
      <fill>
        <patternFill patternType="mediumGray"/>
      </fill>
    </dxf>
    <dxf>
      <fill>
        <patternFill>
          <bgColor rgb="FFFF0000"/>
        </patternFill>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bgColor rgb="FFFF0000"/>
        </patternFill>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bgColor auto="1"/>
        </patternFill>
      </fill>
    </dxf>
    <dxf>
      <fill>
        <patternFill patternType="mediumGray"/>
      </fill>
    </dxf>
    <dxf>
      <fill>
        <patternFill>
          <bgColor rgb="FFFF0000"/>
        </patternFill>
      </fill>
    </dxf>
    <dxf>
      <fill>
        <patternFill patternType="mediumGray"/>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patternType="mediumGray"/>
      </fill>
    </dxf>
    <dxf>
      <fill>
        <patternFill patternType="mediumGray"/>
      </fill>
    </dxf>
    <dxf>
      <fill>
        <patternFill>
          <bgColor rgb="FFFF0000"/>
        </patternFill>
      </fill>
    </dxf>
    <dxf>
      <fill>
        <patternFill>
          <bgColor rgb="FFFF0000"/>
        </patternFill>
      </fill>
    </dxf>
    <dxf>
      <fill>
        <patternFill patternType="mediumGray"/>
      </fill>
    </dxf>
    <dxf>
      <fill>
        <patternFill patternType="mediumGray"/>
      </fill>
    </dxf>
    <dxf>
      <fill>
        <patternFill>
          <bgColor rgb="FFFF0000"/>
        </patternFill>
      </fill>
    </dxf>
    <dxf>
      <fill>
        <patternFill>
          <bgColor rgb="FFFF0000"/>
        </patternFill>
      </fill>
    </dxf>
    <dxf>
      <fill>
        <patternFill patternType="mediumGray"/>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bgColor auto="1"/>
        </patternFill>
      </fill>
    </dxf>
    <dxf>
      <fill>
        <patternFill>
          <bgColor rgb="FFFF0000"/>
        </patternFill>
      </fill>
    </dxf>
    <dxf>
      <fill>
        <patternFill patternType="mediumGray"/>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bgColor rgb="FFFF0000"/>
        </patternFill>
      </fill>
    </dxf>
    <dxf>
      <fill>
        <patternFill patternType="mediumGray"/>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bgColor rgb="FFFF0000"/>
        </patternFill>
      </fill>
    </dxf>
    <dxf>
      <fill>
        <patternFill patternType="mediumGray"/>
      </fill>
    </dxf>
    <dxf>
      <fill>
        <patternFill patternType="mediumGray"/>
      </fill>
    </dxf>
    <dxf>
      <fill>
        <patternFill>
          <bgColor rgb="FFFF0000"/>
        </patternFill>
      </fill>
    </dxf>
    <dxf>
      <fill>
        <patternFill patternType="mediumGray"/>
      </fill>
    </dxf>
    <dxf>
      <fill>
        <patternFill>
          <bgColor rgb="FFFF0000"/>
        </patternFill>
      </fill>
    </dxf>
    <dxf>
      <fill>
        <patternFill>
          <bgColor rgb="FFFF0000"/>
        </patternFill>
      </fill>
    </dxf>
    <dxf>
      <fill>
        <patternFill patternType="mediumGray"/>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66CCFF"/>
      <color rgb="FFCC99FF"/>
      <color rgb="FFFF6699"/>
      <color rgb="FFCC66FF"/>
      <color rgb="FF99CCFF"/>
      <color rgb="FF00B0F0"/>
      <color rgb="FFFF5050"/>
      <color rgb="FF9999FF"/>
      <color rgb="FFCC0099"/>
      <color rgb="FF00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9525</xdr:colOff>
      <xdr:row>0</xdr:row>
      <xdr:rowOff>0</xdr:rowOff>
    </xdr:from>
    <xdr:ext cx="1094400" cy="1011600"/>
    <xdr:pic>
      <xdr:nvPicPr>
        <xdr:cNvPr id="2" name="Imagen 1" descr="http://intranet.inegi.org.mx/Servicios/Difusion/Imagen_Institucional/img/2019/INEGI1_v.png">
          <a:extLst>
            <a:ext uri="{FF2B5EF4-FFF2-40B4-BE49-F238E27FC236}">
              <a16:creationId xmlns:a16="http://schemas.microsoft.com/office/drawing/2014/main" id="{9DA7F2B8-31D8-4ED4-AEC7-45B740D87622}"/>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20</xdr:col>
      <xdr:colOff>209561</xdr:colOff>
      <xdr:row>0</xdr:row>
      <xdr:rowOff>6004</xdr:rowOff>
    </xdr:from>
    <xdr:to>
      <xdr:col>30</xdr:col>
      <xdr:colOff>4661</xdr:colOff>
      <xdr:row>0</xdr:row>
      <xdr:rowOff>1143604</xdr:rowOff>
    </xdr:to>
    <xdr:pic>
      <xdr:nvPicPr>
        <xdr:cNvPr id="3" name="Imagen 2">
          <a:extLst>
            <a:ext uri="{FF2B5EF4-FFF2-40B4-BE49-F238E27FC236}">
              <a16:creationId xmlns:a16="http://schemas.microsoft.com/office/drawing/2014/main" id="{4C0A21E8-1CFB-4A5B-AD40-A0F09FDAD390}"/>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5295911" y="6004"/>
          <a:ext cx="2271600" cy="1137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9525</xdr:colOff>
      <xdr:row>0</xdr:row>
      <xdr:rowOff>0</xdr:rowOff>
    </xdr:from>
    <xdr:ext cx="1094400" cy="1011600"/>
    <xdr:pic>
      <xdr:nvPicPr>
        <xdr:cNvPr id="2" name="Imagen 1" descr="http://intranet.inegi.org.mx/Servicios/Difusion/Imagen_Institucional/img/2019/INEGI1_v.png">
          <a:extLst>
            <a:ext uri="{FF2B5EF4-FFF2-40B4-BE49-F238E27FC236}">
              <a16:creationId xmlns:a16="http://schemas.microsoft.com/office/drawing/2014/main" id="{57B420FA-D992-413A-A032-B0332FFE3F5E}"/>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20</xdr:col>
      <xdr:colOff>209561</xdr:colOff>
      <xdr:row>0</xdr:row>
      <xdr:rowOff>6004</xdr:rowOff>
    </xdr:from>
    <xdr:to>
      <xdr:col>30</xdr:col>
      <xdr:colOff>4661</xdr:colOff>
      <xdr:row>0</xdr:row>
      <xdr:rowOff>1143604</xdr:rowOff>
    </xdr:to>
    <xdr:pic>
      <xdr:nvPicPr>
        <xdr:cNvPr id="3" name="Imagen 2">
          <a:extLst>
            <a:ext uri="{FF2B5EF4-FFF2-40B4-BE49-F238E27FC236}">
              <a16:creationId xmlns:a16="http://schemas.microsoft.com/office/drawing/2014/main" id="{7BB0AB92-6952-4F01-83C9-6024CB7FA918}"/>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5295911" y="6004"/>
          <a:ext cx="2271600" cy="1137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oneCellAnchor>
    <xdr:from>
      <xdr:col>1</xdr:col>
      <xdr:colOff>9525</xdr:colOff>
      <xdr:row>0</xdr:row>
      <xdr:rowOff>0</xdr:rowOff>
    </xdr:from>
    <xdr:ext cx="1094400" cy="1011600"/>
    <xdr:pic>
      <xdr:nvPicPr>
        <xdr:cNvPr id="2" name="Imagen 1" descr="http://intranet.inegi.org.mx/Servicios/Difusion/Imagen_Institucional/img/2019/INEGI1_v.png">
          <a:extLst>
            <a:ext uri="{FF2B5EF4-FFF2-40B4-BE49-F238E27FC236}">
              <a16:creationId xmlns:a16="http://schemas.microsoft.com/office/drawing/2014/main" id="{9488F9CD-5C97-47D9-BF58-29A613416EE8}"/>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20</xdr:col>
      <xdr:colOff>209561</xdr:colOff>
      <xdr:row>0</xdr:row>
      <xdr:rowOff>6004</xdr:rowOff>
    </xdr:from>
    <xdr:to>
      <xdr:col>30</xdr:col>
      <xdr:colOff>4661</xdr:colOff>
      <xdr:row>0</xdr:row>
      <xdr:rowOff>1143604</xdr:rowOff>
    </xdr:to>
    <xdr:pic>
      <xdr:nvPicPr>
        <xdr:cNvPr id="3" name="Imagen 2">
          <a:extLst>
            <a:ext uri="{FF2B5EF4-FFF2-40B4-BE49-F238E27FC236}">
              <a16:creationId xmlns:a16="http://schemas.microsoft.com/office/drawing/2014/main" id="{1DF01DE2-8C0F-4527-9182-CFE2D83846E4}"/>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5295911" y="6004"/>
          <a:ext cx="2271600" cy="1137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oneCellAnchor>
    <xdr:from>
      <xdr:col>1</xdr:col>
      <xdr:colOff>9525</xdr:colOff>
      <xdr:row>0</xdr:row>
      <xdr:rowOff>0</xdr:rowOff>
    </xdr:from>
    <xdr:ext cx="1094400" cy="1011600"/>
    <xdr:pic>
      <xdr:nvPicPr>
        <xdr:cNvPr id="2" name="Imagen 1" descr="http://intranet.inegi.org.mx/Servicios/Difusion/Imagen_Institucional/img/2019/INEGI1_v.png">
          <a:extLst>
            <a:ext uri="{FF2B5EF4-FFF2-40B4-BE49-F238E27FC236}">
              <a16:creationId xmlns:a16="http://schemas.microsoft.com/office/drawing/2014/main" id="{3881EF22-CAFB-4DBF-A8C7-21D28217F8CB}"/>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20</xdr:col>
      <xdr:colOff>209561</xdr:colOff>
      <xdr:row>0</xdr:row>
      <xdr:rowOff>6004</xdr:rowOff>
    </xdr:from>
    <xdr:to>
      <xdr:col>30</xdr:col>
      <xdr:colOff>4661</xdr:colOff>
      <xdr:row>0</xdr:row>
      <xdr:rowOff>1143604</xdr:rowOff>
    </xdr:to>
    <xdr:pic>
      <xdr:nvPicPr>
        <xdr:cNvPr id="3" name="Imagen 2">
          <a:extLst>
            <a:ext uri="{FF2B5EF4-FFF2-40B4-BE49-F238E27FC236}">
              <a16:creationId xmlns:a16="http://schemas.microsoft.com/office/drawing/2014/main" id="{03D6FFDC-087B-4060-8484-879A7D873FAF}"/>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5295911" y="6004"/>
          <a:ext cx="2271600" cy="1137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oneCellAnchor>
    <xdr:from>
      <xdr:col>1</xdr:col>
      <xdr:colOff>9525</xdr:colOff>
      <xdr:row>0</xdr:row>
      <xdr:rowOff>0</xdr:rowOff>
    </xdr:from>
    <xdr:ext cx="1094400" cy="1011600"/>
    <xdr:pic>
      <xdr:nvPicPr>
        <xdr:cNvPr id="2" name="Imagen 1" descr="http://intranet.inegi.org.mx/Servicios/Difusion/Imagen_Institucional/img/2019/INEGI1_v.png">
          <a:extLst>
            <a:ext uri="{FF2B5EF4-FFF2-40B4-BE49-F238E27FC236}">
              <a16:creationId xmlns:a16="http://schemas.microsoft.com/office/drawing/2014/main" id="{E6246154-9543-4A25-9819-0AA9CDA0214F}"/>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20</xdr:col>
      <xdr:colOff>209561</xdr:colOff>
      <xdr:row>0</xdr:row>
      <xdr:rowOff>6004</xdr:rowOff>
    </xdr:from>
    <xdr:to>
      <xdr:col>30</xdr:col>
      <xdr:colOff>4661</xdr:colOff>
      <xdr:row>0</xdr:row>
      <xdr:rowOff>1143604</xdr:rowOff>
    </xdr:to>
    <xdr:pic>
      <xdr:nvPicPr>
        <xdr:cNvPr id="3" name="Imagen 2">
          <a:extLst>
            <a:ext uri="{FF2B5EF4-FFF2-40B4-BE49-F238E27FC236}">
              <a16:creationId xmlns:a16="http://schemas.microsoft.com/office/drawing/2014/main" id="{2BB8ED02-D931-4291-854D-6222611D7C8B}"/>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5295911" y="6004"/>
          <a:ext cx="2271600" cy="1137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1</xdr:col>
      <xdr:colOff>9525</xdr:colOff>
      <xdr:row>0</xdr:row>
      <xdr:rowOff>0</xdr:rowOff>
    </xdr:from>
    <xdr:ext cx="1094400" cy="1011600"/>
    <xdr:pic>
      <xdr:nvPicPr>
        <xdr:cNvPr id="2" name="Imagen 1" descr="http://intranet.inegi.org.mx/Servicios/Difusion/Imagen_Institucional/img/2019/INEGI1_v.png">
          <a:extLst>
            <a:ext uri="{FF2B5EF4-FFF2-40B4-BE49-F238E27FC236}">
              <a16:creationId xmlns:a16="http://schemas.microsoft.com/office/drawing/2014/main" id="{517E68F9-B361-43B9-A12F-45EFE282C182}"/>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20</xdr:col>
      <xdr:colOff>209561</xdr:colOff>
      <xdr:row>0</xdr:row>
      <xdr:rowOff>6004</xdr:rowOff>
    </xdr:from>
    <xdr:to>
      <xdr:col>30</xdr:col>
      <xdr:colOff>4661</xdr:colOff>
      <xdr:row>0</xdr:row>
      <xdr:rowOff>1143604</xdr:rowOff>
    </xdr:to>
    <xdr:pic>
      <xdr:nvPicPr>
        <xdr:cNvPr id="3" name="Imagen 2">
          <a:extLst>
            <a:ext uri="{FF2B5EF4-FFF2-40B4-BE49-F238E27FC236}">
              <a16:creationId xmlns:a16="http://schemas.microsoft.com/office/drawing/2014/main" id="{1786831F-3B56-4680-B789-C41088794808}"/>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5295911" y="6004"/>
          <a:ext cx="2271600" cy="1137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oneCellAnchor>
    <xdr:from>
      <xdr:col>1</xdr:col>
      <xdr:colOff>9525</xdr:colOff>
      <xdr:row>0</xdr:row>
      <xdr:rowOff>0</xdr:rowOff>
    </xdr:from>
    <xdr:ext cx="1094400" cy="1011600"/>
    <xdr:pic>
      <xdr:nvPicPr>
        <xdr:cNvPr id="2" name="Imagen 1" descr="http://intranet.inegi.org.mx/Servicios/Difusion/Imagen_Institucional/img/2019/INEGI1_v.png">
          <a:extLst>
            <a:ext uri="{FF2B5EF4-FFF2-40B4-BE49-F238E27FC236}">
              <a16:creationId xmlns:a16="http://schemas.microsoft.com/office/drawing/2014/main" id="{8AC3DD49-8B18-4BE3-A47B-543096C90C92}"/>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20</xdr:col>
      <xdr:colOff>209561</xdr:colOff>
      <xdr:row>0</xdr:row>
      <xdr:rowOff>6004</xdr:rowOff>
    </xdr:from>
    <xdr:to>
      <xdr:col>30</xdr:col>
      <xdr:colOff>4661</xdr:colOff>
      <xdr:row>0</xdr:row>
      <xdr:rowOff>1143604</xdr:rowOff>
    </xdr:to>
    <xdr:pic>
      <xdr:nvPicPr>
        <xdr:cNvPr id="3" name="Imagen 2">
          <a:extLst>
            <a:ext uri="{FF2B5EF4-FFF2-40B4-BE49-F238E27FC236}">
              <a16:creationId xmlns:a16="http://schemas.microsoft.com/office/drawing/2014/main" id="{707C6EE0-48BA-467F-B628-176B24AF4FC8}"/>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5295911" y="6004"/>
          <a:ext cx="2271600" cy="1137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oneCellAnchor>
    <xdr:from>
      <xdr:col>1</xdr:col>
      <xdr:colOff>9525</xdr:colOff>
      <xdr:row>0</xdr:row>
      <xdr:rowOff>0</xdr:rowOff>
    </xdr:from>
    <xdr:ext cx="1094400" cy="1011600"/>
    <xdr:pic>
      <xdr:nvPicPr>
        <xdr:cNvPr id="2" name="Imagen 1" descr="http://intranet.inegi.org.mx/Servicios/Difusion/Imagen_Institucional/img/2019/INEGI1_v.png">
          <a:extLst>
            <a:ext uri="{FF2B5EF4-FFF2-40B4-BE49-F238E27FC236}">
              <a16:creationId xmlns:a16="http://schemas.microsoft.com/office/drawing/2014/main" id="{6A6D8CA8-7DB2-497C-82AD-12C86CB1A142}"/>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20</xdr:col>
      <xdr:colOff>209561</xdr:colOff>
      <xdr:row>0</xdr:row>
      <xdr:rowOff>6004</xdr:rowOff>
    </xdr:from>
    <xdr:to>
      <xdr:col>30</xdr:col>
      <xdr:colOff>4661</xdr:colOff>
      <xdr:row>0</xdr:row>
      <xdr:rowOff>1143604</xdr:rowOff>
    </xdr:to>
    <xdr:pic>
      <xdr:nvPicPr>
        <xdr:cNvPr id="3" name="Imagen 2">
          <a:extLst>
            <a:ext uri="{FF2B5EF4-FFF2-40B4-BE49-F238E27FC236}">
              <a16:creationId xmlns:a16="http://schemas.microsoft.com/office/drawing/2014/main" id="{E8DFE8D7-78B4-43F5-8884-80798A62D8D4}"/>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5295911" y="6004"/>
          <a:ext cx="2271600" cy="1137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oneCellAnchor>
    <xdr:from>
      <xdr:col>1</xdr:col>
      <xdr:colOff>9525</xdr:colOff>
      <xdr:row>0</xdr:row>
      <xdr:rowOff>0</xdr:rowOff>
    </xdr:from>
    <xdr:ext cx="1094400" cy="1011600"/>
    <xdr:pic>
      <xdr:nvPicPr>
        <xdr:cNvPr id="2" name="Imagen 1" descr="http://intranet.inegi.org.mx/Servicios/Difusion/Imagen_Institucional/img/2019/INEGI1_v.png">
          <a:extLst>
            <a:ext uri="{FF2B5EF4-FFF2-40B4-BE49-F238E27FC236}">
              <a16:creationId xmlns:a16="http://schemas.microsoft.com/office/drawing/2014/main" id="{0722DEB3-10E7-431F-9E4C-1DCE02A564E4}"/>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20</xdr:col>
      <xdr:colOff>209561</xdr:colOff>
      <xdr:row>0</xdr:row>
      <xdr:rowOff>6004</xdr:rowOff>
    </xdr:from>
    <xdr:to>
      <xdr:col>30</xdr:col>
      <xdr:colOff>4661</xdr:colOff>
      <xdr:row>0</xdr:row>
      <xdr:rowOff>1143604</xdr:rowOff>
    </xdr:to>
    <xdr:pic>
      <xdr:nvPicPr>
        <xdr:cNvPr id="3" name="Imagen 2">
          <a:extLst>
            <a:ext uri="{FF2B5EF4-FFF2-40B4-BE49-F238E27FC236}">
              <a16:creationId xmlns:a16="http://schemas.microsoft.com/office/drawing/2014/main" id="{C68E5C4B-4EBE-4109-AA46-01C75793F196}"/>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5295911" y="6004"/>
          <a:ext cx="2271600" cy="1137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oneCellAnchor>
    <xdr:from>
      <xdr:col>1</xdr:col>
      <xdr:colOff>9525</xdr:colOff>
      <xdr:row>0</xdr:row>
      <xdr:rowOff>0</xdr:rowOff>
    </xdr:from>
    <xdr:ext cx="1094400" cy="1011600"/>
    <xdr:pic>
      <xdr:nvPicPr>
        <xdr:cNvPr id="2" name="Imagen 1" descr="http://intranet.inegi.org.mx/Servicios/Difusion/Imagen_Institucional/img/2019/INEGI1_v.png">
          <a:extLst>
            <a:ext uri="{FF2B5EF4-FFF2-40B4-BE49-F238E27FC236}">
              <a16:creationId xmlns:a16="http://schemas.microsoft.com/office/drawing/2014/main" id="{F1226EBB-85CD-45AB-9533-06D4231F4A37}"/>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20</xdr:col>
      <xdr:colOff>209561</xdr:colOff>
      <xdr:row>0</xdr:row>
      <xdr:rowOff>6004</xdr:rowOff>
    </xdr:from>
    <xdr:to>
      <xdr:col>30</xdr:col>
      <xdr:colOff>4661</xdr:colOff>
      <xdr:row>0</xdr:row>
      <xdr:rowOff>1143604</xdr:rowOff>
    </xdr:to>
    <xdr:pic>
      <xdr:nvPicPr>
        <xdr:cNvPr id="3" name="Imagen 2">
          <a:extLst>
            <a:ext uri="{FF2B5EF4-FFF2-40B4-BE49-F238E27FC236}">
              <a16:creationId xmlns:a16="http://schemas.microsoft.com/office/drawing/2014/main" id="{B5E31C81-49E8-43C8-A863-11C150719010}"/>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5295911" y="6004"/>
          <a:ext cx="2271600" cy="1137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oneCellAnchor>
    <xdr:from>
      <xdr:col>1</xdr:col>
      <xdr:colOff>9525</xdr:colOff>
      <xdr:row>0</xdr:row>
      <xdr:rowOff>0</xdr:rowOff>
    </xdr:from>
    <xdr:ext cx="1094400" cy="1011600"/>
    <xdr:pic>
      <xdr:nvPicPr>
        <xdr:cNvPr id="2" name="Imagen 1" descr="http://intranet.inegi.org.mx/Servicios/Difusion/Imagen_Institucional/img/2019/INEGI1_v.png">
          <a:extLst>
            <a:ext uri="{FF2B5EF4-FFF2-40B4-BE49-F238E27FC236}">
              <a16:creationId xmlns:a16="http://schemas.microsoft.com/office/drawing/2014/main" id="{4EF62D8C-8E0E-4E69-A756-08725BFEFC76}"/>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20</xdr:col>
      <xdr:colOff>209561</xdr:colOff>
      <xdr:row>0</xdr:row>
      <xdr:rowOff>6004</xdr:rowOff>
    </xdr:from>
    <xdr:to>
      <xdr:col>30</xdr:col>
      <xdr:colOff>4661</xdr:colOff>
      <xdr:row>0</xdr:row>
      <xdr:rowOff>1143604</xdr:rowOff>
    </xdr:to>
    <xdr:pic>
      <xdr:nvPicPr>
        <xdr:cNvPr id="3" name="Imagen 2">
          <a:extLst>
            <a:ext uri="{FF2B5EF4-FFF2-40B4-BE49-F238E27FC236}">
              <a16:creationId xmlns:a16="http://schemas.microsoft.com/office/drawing/2014/main" id="{CE117550-5BE8-46E0-81D0-450C1B5FFE52}"/>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5295911" y="6004"/>
          <a:ext cx="2271600" cy="1137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9525</xdr:colOff>
      <xdr:row>0</xdr:row>
      <xdr:rowOff>0</xdr:rowOff>
    </xdr:from>
    <xdr:ext cx="1094400" cy="1011600"/>
    <xdr:pic>
      <xdr:nvPicPr>
        <xdr:cNvPr id="2" name="Imagen 1" descr="http://intranet.inegi.org.mx/Servicios/Difusion/Imagen_Institucional/img/2019/INEGI1_v.png">
          <a:extLst>
            <a:ext uri="{FF2B5EF4-FFF2-40B4-BE49-F238E27FC236}">
              <a16:creationId xmlns:a16="http://schemas.microsoft.com/office/drawing/2014/main" id="{45070B47-E0BF-495D-956F-12F6E3DC963A}"/>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20</xdr:col>
      <xdr:colOff>209561</xdr:colOff>
      <xdr:row>0</xdr:row>
      <xdr:rowOff>6004</xdr:rowOff>
    </xdr:from>
    <xdr:to>
      <xdr:col>30</xdr:col>
      <xdr:colOff>4661</xdr:colOff>
      <xdr:row>0</xdr:row>
      <xdr:rowOff>1143604</xdr:rowOff>
    </xdr:to>
    <xdr:pic>
      <xdr:nvPicPr>
        <xdr:cNvPr id="3" name="Imagen 2">
          <a:extLst>
            <a:ext uri="{FF2B5EF4-FFF2-40B4-BE49-F238E27FC236}">
              <a16:creationId xmlns:a16="http://schemas.microsoft.com/office/drawing/2014/main" id="{5DBFDA80-5CA2-4D11-BA1E-672A8B8C4F4A}"/>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5295911" y="6004"/>
          <a:ext cx="2271600" cy="1137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oneCellAnchor>
    <xdr:from>
      <xdr:col>1</xdr:col>
      <xdr:colOff>9525</xdr:colOff>
      <xdr:row>0</xdr:row>
      <xdr:rowOff>0</xdr:rowOff>
    </xdr:from>
    <xdr:ext cx="1094400" cy="1011600"/>
    <xdr:pic>
      <xdr:nvPicPr>
        <xdr:cNvPr id="2" name="Imagen 1" descr="http://intranet.inegi.org.mx/Servicios/Difusion/Imagen_Institucional/img/2019/INEGI1_v.png">
          <a:extLst>
            <a:ext uri="{FF2B5EF4-FFF2-40B4-BE49-F238E27FC236}">
              <a16:creationId xmlns:a16="http://schemas.microsoft.com/office/drawing/2014/main" id="{C997AB3E-B68D-4B91-91E2-DDD98B96403C}"/>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209561</xdr:colOff>
      <xdr:row>0</xdr:row>
      <xdr:rowOff>6004</xdr:rowOff>
    </xdr:from>
    <xdr:ext cx="2271600" cy="1137600"/>
    <xdr:pic>
      <xdr:nvPicPr>
        <xdr:cNvPr id="3" name="Imagen 2">
          <a:extLst>
            <a:ext uri="{FF2B5EF4-FFF2-40B4-BE49-F238E27FC236}">
              <a16:creationId xmlns:a16="http://schemas.microsoft.com/office/drawing/2014/main" id="{FE7A35EC-40D6-4F42-A32A-D1E53143D5EB}"/>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5295911" y="6004"/>
          <a:ext cx="2271600" cy="1137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1.xml><?xml version="1.0" encoding="utf-8"?>
<xdr:wsDr xmlns:xdr="http://schemas.openxmlformats.org/drawingml/2006/spreadsheetDrawing" xmlns:a="http://schemas.openxmlformats.org/drawingml/2006/main">
  <xdr:oneCellAnchor>
    <xdr:from>
      <xdr:col>1</xdr:col>
      <xdr:colOff>9525</xdr:colOff>
      <xdr:row>0</xdr:row>
      <xdr:rowOff>0</xdr:rowOff>
    </xdr:from>
    <xdr:ext cx="1094400" cy="1011600"/>
    <xdr:pic>
      <xdr:nvPicPr>
        <xdr:cNvPr id="2" name="Imagen 1" descr="http://intranet.inegi.org.mx/Servicios/Difusion/Imagen_Institucional/img/2019/INEGI1_v.png">
          <a:extLst>
            <a:ext uri="{FF2B5EF4-FFF2-40B4-BE49-F238E27FC236}">
              <a16:creationId xmlns:a16="http://schemas.microsoft.com/office/drawing/2014/main" id="{9BA2824D-CC1E-448F-9370-1B3E37418302}"/>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28</xdr:col>
      <xdr:colOff>209561</xdr:colOff>
      <xdr:row>0</xdr:row>
      <xdr:rowOff>6004</xdr:rowOff>
    </xdr:from>
    <xdr:to>
      <xdr:col>38</xdr:col>
      <xdr:colOff>0</xdr:colOff>
      <xdr:row>0</xdr:row>
      <xdr:rowOff>1143604</xdr:rowOff>
    </xdr:to>
    <xdr:pic>
      <xdr:nvPicPr>
        <xdr:cNvPr id="3" name="Imagen 2">
          <a:extLst>
            <a:ext uri="{FF2B5EF4-FFF2-40B4-BE49-F238E27FC236}">
              <a16:creationId xmlns:a16="http://schemas.microsoft.com/office/drawing/2014/main" id="{CB232749-C1BB-4313-9EEC-9A48DEAC1314}"/>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7277111" y="6004"/>
          <a:ext cx="2271600" cy="1137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oneCellAnchor>
    <xdr:from>
      <xdr:col>1</xdr:col>
      <xdr:colOff>9525</xdr:colOff>
      <xdr:row>0</xdr:row>
      <xdr:rowOff>0</xdr:rowOff>
    </xdr:from>
    <xdr:ext cx="1094400" cy="1011600"/>
    <xdr:pic>
      <xdr:nvPicPr>
        <xdr:cNvPr id="2" name="Imagen 1" descr="http://intranet.inegi.org.mx/Servicios/Difusion/Imagen_Institucional/img/2019/INEGI1_v.png">
          <a:extLst>
            <a:ext uri="{FF2B5EF4-FFF2-40B4-BE49-F238E27FC236}">
              <a16:creationId xmlns:a16="http://schemas.microsoft.com/office/drawing/2014/main" id="{EB886331-6E37-4273-9D06-0F751317467F}"/>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87</xdr:col>
      <xdr:colOff>209550</xdr:colOff>
      <xdr:row>0</xdr:row>
      <xdr:rowOff>0</xdr:rowOff>
    </xdr:from>
    <xdr:to>
      <xdr:col>97</xdr:col>
      <xdr:colOff>4650</xdr:colOff>
      <xdr:row>0</xdr:row>
      <xdr:rowOff>1137600</xdr:rowOff>
    </xdr:to>
    <xdr:pic>
      <xdr:nvPicPr>
        <xdr:cNvPr id="4" name="Imagen 3">
          <a:extLst>
            <a:ext uri="{FF2B5EF4-FFF2-40B4-BE49-F238E27FC236}">
              <a16:creationId xmlns:a16="http://schemas.microsoft.com/office/drawing/2014/main" id="{B5DE5385-8947-421C-9D8A-63F1326879D4}"/>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21888450" y="0"/>
          <a:ext cx="2271600" cy="1137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oneCellAnchor>
    <xdr:from>
      <xdr:col>1</xdr:col>
      <xdr:colOff>9525</xdr:colOff>
      <xdr:row>0</xdr:row>
      <xdr:rowOff>0</xdr:rowOff>
    </xdr:from>
    <xdr:ext cx="1094400" cy="1011600"/>
    <xdr:pic>
      <xdr:nvPicPr>
        <xdr:cNvPr id="2" name="Imagen 1" descr="http://intranet.inegi.org.mx/Servicios/Difusion/Imagen_Institucional/img/2019/INEGI1_v.png">
          <a:extLst>
            <a:ext uri="{FF2B5EF4-FFF2-40B4-BE49-F238E27FC236}">
              <a16:creationId xmlns:a16="http://schemas.microsoft.com/office/drawing/2014/main" id="{927B8F9F-E3AF-4D6D-A53F-B1BD82B790E9}"/>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26</xdr:col>
      <xdr:colOff>209561</xdr:colOff>
      <xdr:row>0</xdr:row>
      <xdr:rowOff>6004</xdr:rowOff>
    </xdr:from>
    <xdr:to>
      <xdr:col>36</xdr:col>
      <xdr:colOff>4661</xdr:colOff>
      <xdr:row>0</xdr:row>
      <xdr:rowOff>1143604</xdr:rowOff>
    </xdr:to>
    <xdr:pic>
      <xdr:nvPicPr>
        <xdr:cNvPr id="3" name="Imagen 2">
          <a:extLst>
            <a:ext uri="{FF2B5EF4-FFF2-40B4-BE49-F238E27FC236}">
              <a16:creationId xmlns:a16="http://schemas.microsoft.com/office/drawing/2014/main" id="{8CEE8FC6-DB07-4761-B834-1BB66F3314C7}"/>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5295911" y="6004"/>
          <a:ext cx="2271600" cy="1137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oneCellAnchor>
    <xdr:from>
      <xdr:col>1</xdr:col>
      <xdr:colOff>9525</xdr:colOff>
      <xdr:row>0</xdr:row>
      <xdr:rowOff>0</xdr:rowOff>
    </xdr:from>
    <xdr:ext cx="1094400" cy="1011600"/>
    <xdr:pic>
      <xdr:nvPicPr>
        <xdr:cNvPr id="2" name="Imagen 1" descr="http://intranet.inegi.org.mx/Servicios/Difusion/Imagen_Institucional/img/2019/INEGI1_v.png">
          <a:extLst>
            <a:ext uri="{FF2B5EF4-FFF2-40B4-BE49-F238E27FC236}">
              <a16:creationId xmlns:a16="http://schemas.microsoft.com/office/drawing/2014/main" id="{2BEE7D41-A996-4964-827C-CDFB4304C952}"/>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209561</xdr:colOff>
      <xdr:row>0</xdr:row>
      <xdr:rowOff>6004</xdr:rowOff>
    </xdr:from>
    <xdr:ext cx="2271600" cy="1137600"/>
    <xdr:pic>
      <xdr:nvPicPr>
        <xdr:cNvPr id="3" name="Imagen 2">
          <a:extLst>
            <a:ext uri="{FF2B5EF4-FFF2-40B4-BE49-F238E27FC236}">
              <a16:creationId xmlns:a16="http://schemas.microsoft.com/office/drawing/2014/main" id="{E568E4A9-EC9F-4F93-A8AC-486F14E514B9}"/>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5295911" y="6004"/>
          <a:ext cx="2271600" cy="1137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9525</xdr:colOff>
      <xdr:row>0</xdr:row>
      <xdr:rowOff>0</xdr:rowOff>
    </xdr:from>
    <xdr:ext cx="1094400" cy="1011600"/>
    <xdr:pic>
      <xdr:nvPicPr>
        <xdr:cNvPr id="2" name="Imagen 1" descr="http://intranet.inegi.org.mx/Servicios/Difusion/Imagen_Institucional/img/2019/INEGI1_v.png">
          <a:extLst>
            <a:ext uri="{FF2B5EF4-FFF2-40B4-BE49-F238E27FC236}">
              <a16:creationId xmlns:a16="http://schemas.microsoft.com/office/drawing/2014/main" id="{75BF93BA-F910-4671-B9ED-EAA5B6B8A347}"/>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20</xdr:col>
      <xdr:colOff>209561</xdr:colOff>
      <xdr:row>0</xdr:row>
      <xdr:rowOff>6004</xdr:rowOff>
    </xdr:from>
    <xdr:to>
      <xdr:col>30</xdr:col>
      <xdr:colOff>4661</xdr:colOff>
      <xdr:row>0</xdr:row>
      <xdr:rowOff>1143604</xdr:rowOff>
    </xdr:to>
    <xdr:pic>
      <xdr:nvPicPr>
        <xdr:cNvPr id="3" name="Imagen 2">
          <a:extLst>
            <a:ext uri="{FF2B5EF4-FFF2-40B4-BE49-F238E27FC236}">
              <a16:creationId xmlns:a16="http://schemas.microsoft.com/office/drawing/2014/main" id="{0E00C4FD-3498-4AB5-9E51-D7A3ACCF4611}"/>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5295911" y="6004"/>
          <a:ext cx="2271600" cy="1137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9525</xdr:colOff>
      <xdr:row>0</xdr:row>
      <xdr:rowOff>0</xdr:rowOff>
    </xdr:from>
    <xdr:ext cx="1094400" cy="1011600"/>
    <xdr:pic>
      <xdr:nvPicPr>
        <xdr:cNvPr id="2" name="Imagen 1" descr="http://intranet.inegi.org.mx/Servicios/Difusion/Imagen_Institucional/img/2019/INEGI1_v.png">
          <a:extLst>
            <a:ext uri="{FF2B5EF4-FFF2-40B4-BE49-F238E27FC236}">
              <a16:creationId xmlns:a16="http://schemas.microsoft.com/office/drawing/2014/main" id="{9FF30AF8-2A00-4C02-AEC6-66D00270BCB3}"/>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51</xdr:col>
      <xdr:colOff>209550</xdr:colOff>
      <xdr:row>0</xdr:row>
      <xdr:rowOff>0</xdr:rowOff>
    </xdr:from>
    <xdr:to>
      <xdr:col>61</xdr:col>
      <xdr:colOff>4650</xdr:colOff>
      <xdr:row>0</xdr:row>
      <xdr:rowOff>1137600</xdr:rowOff>
    </xdr:to>
    <xdr:pic>
      <xdr:nvPicPr>
        <xdr:cNvPr id="4" name="Imagen 3">
          <a:extLst>
            <a:ext uri="{FF2B5EF4-FFF2-40B4-BE49-F238E27FC236}">
              <a16:creationId xmlns:a16="http://schemas.microsoft.com/office/drawing/2014/main" id="{0A91B256-011D-4BC7-A69C-6EE4F0FA6A71}"/>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1982450" y="0"/>
          <a:ext cx="2271600" cy="1137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9525</xdr:colOff>
      <xdr:row>0</xdr:row>
      <xdr:rowOff>0</xdr:rowOff>
    </xdr:from>
    <xdr:ext cx="1094400" cy="1011600"/>
    <xdr:pic>
      <xdr:nvPicPr>
        <xdr:cNvPr id="2" name="Imagen 1" descr="http://intranet.inegi.org.mx/Servicios/Difusion/Imagen_Institucional/img/2019/INEGI1_v.png">
          <a:extLst>
            <a:ext uri="{FF2B5EF4-FFF2-40B4-BE49-F238E27FC236}">
              <a16:creationId xmlns:a16="http://schemas.microsoft.com/office/drawing/2014/main" id="{ACBEB132-B8F9-4838-9A47-5031BBE54B3F}"/>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20</xdr:col>
      <xdr:colOff>209561</xdr:colOff>
      <xdr:row>0</xdr:row>
      <xdr:rowOff>6004</xdr:rowOff>
    </xdr:from>
    <xdr:to>
      <xdr:col>30</xdr:col>
      <xdr:colOff>4661</xdr:colOff>
      <xdr:row>0</xdr:row>
      <xdr:rowOff>1143604</xdr:rowOff>
    </xdr:to>
    <xdr:pic>
      <xdr:nvPicPr>
        <xdr:cNvPr id="3" name="Imagen 2">
          <a:extLst>
            <a:ext uri="{FF2B5EF4-FFF2-40B4-BE49-F238E27FC236}">
              <a16:creationId xmlns:a16="http://schemas.microsoft.com/office/drawing/2014/main" id="{403EA099-B385-44E3-B2CD-592A3AADD48F}"/>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5295911" y="6004"/>
          <a:ext cx="2271600" cy="1137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9525</xdr:colOff>
      <xdr:row>0</xdr:row>
      <xdr:rowOff>0</xdr:rowOff>
    </xdr:from>
    <xdr:ext cx="1094400" cy="1011600"/>
    <xdr:pic>
      <xdr:nvPicPr>
        <xdr:cNvPr id="2" name="Imagen 1" descr="http://intranet.inegi.org.mx/Servicios/Difusion/Imagen_Institucional/img/2019/INEGI1_v.png">
          <a:extLst>
            <a:ext uri="{FF2B5EF4-FFF2-40B4-BE49-F238E27FC236}">
              <a16:creationId xmlns:a16="http://schemas.microsoft.com/office/drawing/2014/main" id="{6F8ACA2C-2AF8-4E30-81B8-76533CD3EFED}"/>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20</xdr:col>
      <xdr:colOff>209561</xdr:colOff>
      <xdr:row>0</xdr:row>
      <xdr:rowOff>6004</xdr:rowOff>
    </xdr:from>
    <xdr:to>
      <xdr:col>30</xdr:col>
      <xdr:colOff>4661</xdr:colOff>
      <xdr:row>0</xdr:row>
      <xdr:rowOff>1143604</xdr:rowOff>
    </xdr:to>
    <xdr:pic>
      <xdr:nvPicPr>
        <xdr:cNvPr id="3" name="Imagen 2">
          <a:extLst>
            <a:ext uri="{FF2B5EF4-FFF2-40B4-BE49-F238E27FC236}">
              <a16:creationId xmlns:a16="http://schemas.microsoft.com/office/drawing/2014/main" id="{49687341-50A0-4426-8367-BB3566865E11}"/>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5295911" y="6004"/>
          <a:ext cx="2271600" cy="1137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9525</xdr:colOff>
      <xdr:row>0</xdr:row>
      <xdr:rowOff>0</xdr:rowOff>
    </xdr:from>
    <xdr:ext cx="1094400" cy="1011600"/>
    <xdr:pic>
      <xdr:nvPicPr>
        <xdr:cNvPr id="2" name="Imagen 1" descr="http://intranet.inegi.org.mx/Servicios/Difusion/Imagen_Institucional/img/2019/INEGI1_v.png">
          <a:extLst>
            <a:ext uri="{FF2B5EF4-FFF2-40B4-BE49-F238E27FC236}">
              <a16:creationId xmlns:a16="http://schemas.microsoft.com/office/drawing/2014/main" id="{F625D1DF-101F-4744-AA9A-4FD259255231}"/>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20</xdr:col>
      <xdr:colOff>209561</xdr:colOff>
      <xdr:row>0</xdr:row>
      <xdr:rowOff>6004</xdr:rowOff>
    </xdr:from>
    <xdr:to>
      <xdr:col>30</xdr:col>
      <xdr:colOff>4661</xdr:colOff>
      <xdr:row>0</xdr:row>
      <xdr:rowOff>1143604</xdr:rowOff>
    </xdr:to>
    <xdr:pic>
      <xdr:nvPicPr>
        <xdr:cNvPr id="3" name="Imagen 2">
          <a:extLst>
            <a:ext uri="{FF2B5EF4-FFF2-40B4-BE49-F238E27FC236}">
              <a16:creationId xmlns:a16="http://schemas.microsoft.com/office/drawing/2014/main" id="{924E5D5C-DFB3-48AE-8950-4DAB6829441B}"/>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5295911" y="6004"/>
          <a:ext cx="2271600" cy="1137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oneCellAnchor>
    <xdr:from>
      <xdr:col>1</xdr:col>
      <xdr:colOff>9525</xdr:colOff>
      <xdr:row>0</xdr:row>
      <xdr:rowOff>0</xdr:rowOff>
    </xdr:from>
    <xdr:ext cx="1094400" cy="1011600"/>
    <xdr:pic>
      <xdr:nvPicPr>
        <xdr:cNvPr id="2" name="Imagen 1" descr="http://intranet.inegi.org.mx/Servicios/Difusion/Imagen_Institucional/img/2019/INEGI1_v.png">
          <a:extLst>
            <a:ext uri="{FF2B5EF4-FFF2-40B4-BE49-F238E27FC236}">
              <a16:creationId xmlns:a16="http://schemas.microsoft.com/office/drawing/2014/main" id="{C6AE2479-2F35-47A3-87B2-7B1993AE96B6}"/>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20</xdr:col>
      <xdr:colOff>209561</xdr:colOff>
      <xdr:row>0</xdr:row>
      <xdr:rowOff>6004</xdr:rowOff>
    </xdr:from>
    <xdr:to>
      <xdr:col>30</xdr:col>
      <xdr:colOff>4661</xdr:colOff>
      <xdr:row>0</xdr:row>
      <xdr:rowOff>1143604</xdr:rowOff>
    </xdr:to>
    <xdr:pic>
      <xdr:nvPicPr>
        <xdr:cNvPr id="3" name="Imagen 2">
          <a:extLst>
            <a:ext uri="{FF2B5EF4-FFF2-40B4-BE49-F238E27FC236}">
              <a16:creationId xmlns:a16="http://schemas.microsoft.com/office/drawing/2014/main" id="{33222495-7909-4F86-A2C7-3092A352E6B5}"/>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5295911" y="6004"/>
          <a:ext cx="2271600" cy="1137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9525</xdr:colOff>
      <xdr:row>0</xdr:row>
      <xdr:rowOff>0</xdr:rowOff>
    </xdr:from>
    <xdr:ext cx="1094400" cy="1011600"/>
    <xdr:pic>
      <xdr:nvPicPr>
        <xdr:cNvPr id="2" name="Imagen 1" descr="http://intranet.inegi.org.mx/Servicios/Difusion/Imagen_Institucional/img/2019/INEGI1_v.png">
          <a:extLst>
            <a:ext uri="{FF2B5EF4-FFF2-40B4-BE49-F238E27FC236}">
              <a16:creationId xmlns:a16="http://schemas.microsoft.com/office/drawing/2014/main" id="{F38264D0-19EC-46DE-8688-4B5F36CF08AC}"/>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0"/>
          <a:ext cx="10944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20</xdr:col>
      <xdr:colOff>209561</xdr:colOff>
      <xdr:row>0</xdr:row>
      <xdr:rowOff>6004</xdr:rowOff>
    </xdr:from>
    <xdr:to>
      <xdr:col>30</xdr:col>
      <xdr:colOff>4661</xdr:colOff>
      <xdr:row>0</xdr:row>
      <xdr:rowOff>1143604</xdr:rowOff>
    </xdr:to>
    <xdr:pic>
      <xdr:nvPicPr>
        <xdr:cNvPr id="3" name="Imagen 2">
          <a:extLst>
            <a:ext uri="{FF2B5EF4-FFF2-40B4-BE49-F238E27FC236}">
              <a16:creationId xmlns:a16="http://schemas.microsoft.com/office/drawing/2014/main" id="{2F26A937-8DED-412C-B456-FF972672B392}"/>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5295911" y="6004"/>
          <a:ext cx="2271600" cy="1137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domingo.cortes@inegi.org.mx"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hernandezg@dgsp.gob.mx"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E6921-2938-4C58-98FD-794305DDE6D3}">
  <sheetPr codeName="Hoja1"/>
  <dimension ref="A1:AE59"/>
  <sheetViews>
    <sheetView showGridLines="0" zoomScaleNormal="100" workbookViewId="0">
      <selection activeCell="B53" sqref="B53:U53"/>
    </sheetView>
  </sheetViews>
  <sheetFormatPr baseColWidth="10" defaultColWidth="0" defaultRowHeight="15" zeroHeight="1"/>
  <cols>
    <col min="1" max="1" width="5.7109375" style="3" customWidth="1"/>
    <col min="2" max="30" width="3.7109375" style="3" customWidth="1"/>
    <col min="31" max="31" width="5.7109375" style="3" customWidth="1"/>
    <col min="32" max="16384" width="11.42578125" style="3" hidden="1"/>
  </cols>
  <sheetData>
    <row r="1" spans="2:30" ht="173.25" customHeight="1">
      <c r="B1" s="718" t="s">
        <v>0</v>
      </c>
      <c r="C1" s="719"/>
      <c r="D1" s="719"/>
      <c r="E1" s="719"/>
      <c r="F1" s="719"/>
      <c r="G1" s="719"/>
      <c r="H1" s="719"/>
      <c r="I1" s="719"/>
      <c r="J1" s="719"/>
      <c r="K1" s="719"/>
      <c r="L1" s="719"/>
      <c r="M1" s="719"/>
      <c r="N1" s="719"/>
      <c r="O1" s="719"/>
      <c r="P1" s="719"/>
      <c r="Q1" s="719"/>
      <c r="R1" s="719"/>
      <c r="S1" s="719"/>
      <c r="T1" s="719"/>
      <c r="U1" s="719"/>
      <c r="V1" s="719"/>
      <c r="W1" s="719"/>
      <c r="X1" s="719"/>
      <c r="Y1" s="719"/>
      <c r="Z1" s="719"/>
      <c r="AA1" s="719"/>
      <c r="AB1" s="719"/>
      <c r="AC1" s="719"/>
      <c r="AD1" s="719"/>
    </row>
    <row r="2" spans="2:30"/>
    <row r="3" spans="2:30" ht="45" customHeight="1">
      <c r="B3" s="720" t="s">
        <v>1</v>
      </c>
      <c r="C3" s="721"/>
      <c r="D3" s="721"/>
      <c r="E3" s="721"/>
      <c r="F3" s="721"/>
      <c r="G3" s="721"/>
      <c r="H3" s="721"/>
      <c r="I3" s="721"/>
      <c r="J3" s="721"/>
      <c r="K3" s="721"/>
      <c r="L3" s="721"/>
      <c r="M3" s="721"/>
      <c r="N3" s="721"/>
      <c r="O3" s="721"/>
      <c r="P3" s="721"/>
      <c r="Q3" s="721"/>
      <c r="R3" s="721"/>
      <c r="S3" s="721"/>
      <c r="T3" s="721"/>
      <c r="U3" s="721"/>
      <c r="V3" s="721"/>
      <c r="W3" s="721"/>
      <c r="X3" s="721"/>
      <c r="Y3" s="721"/>
      <c r="Z3" s="721"/>
      <c r="AA3" s="721"/>
      <c r="AB3" s="721"/>
      <c r="AC3" s="721"/>
      <c r="AD3" s="721"/>
    </row>
    <row r="4" spans="2:30"/>
    <row r="5" spans="2:30" ht="60" customHeight="1">
      <c r="B5" s="720" t="s">
        <v>2</v>
      </c>
      <c r="C5" s="720"/>
      <c r="D5" s="720"/>
      <c r="E5" s="720"/>
      <c r="F5" s="720"/>
      <c r="G5" s="720"/>
      <c r="H5" s="720"/>
      <c r="I5" s="720"/>
      <c r="J5" s="720"/>
      <c r="K5" s="720"/>
      <c r="L5" s="720"/>
      <c r="M5" s="720"/>
      <c r="N5" s="720"/>
      <c r="O5" s="720"/>
      <c r="P5" s="720"/>
      <c r="Q5" s="720"/>
      <c r="R5" s="720"/>
      <c r="S5" s="720"/>
      <c r="T5" s="720"/>
      <c r="U5" s="720"/>
      <c r="V5" s="720"/>
      <c r="W5" s="720"/>
      <c r="X5" s="720"/>
      <c r="Y5" s="720"/>
      <c r="Z5" s="720"/>
      <c r="AA5" s="720"/>
      <c r="AB5" s="720"/>
      <c r="AC5" s="720"/>
      <c r="AD5" s="720"/>
    </row>
    <row r="6" spans="2:30" ht="15" customHeight="1" thickBot="1">
      <c r="B6" s="23" t="s">
        <v>3</v>
      </c>
      <c r="N6" s="23" t="s">
        <v>4</v>
      </c>
      <c r="O6" s="24"/>
    </row>
    <row r="7" spans="2:30" ht="15" customHeight="1" thickBot="1">
      <c r="B7" s="722" t="str">
        <f>IF(Presentación!B8="","",Presentación!B8)</f>
        <v>Puebla</v>
      </c>
      <c r="C7" s="723"/>
      <c r="D7" s="723"/>
      <c r="E7" s="723"/>
      <c r="F7" s="723"/>
      <c r="G7" s="723"/>
      <c r="H7" s="723"/>
      <c r="I7" s="723"/>
      <c r="J7" s="723"/>
      <c r="K7" s="723"/>
      <c r="L7" s="724"/>
      <c r="M7" s="25"/>
      <c r="N7" s="722">
        <f>IF(Presentación!N8="","",Presentación!N8)</f>
        <v>221</v>
      </c>
      <c r="O7" s="724"/>
      <c r="P7" s="25"/>
      <c r="Q7" s="25"/>
      <c r="R7" s="25"/>
      <c r="S7" s="25"/>
      <c r="T7" s="25"/>
      <c r="U7" s="25"/>
      <c r="V7" s="25"/>
      <c r="W7" s="25"/>
      <c r="X7" s="25"/>
      <c r="Y7" s="25"/>
      <c r="Z7" s="25"/>
      <c r="AA7" s="25"/>
      <c r="AB7" s="25"/>
      <c r="AC7" s="25"/>
      <c r="AD7" s="25"/>
    </row>
    <row r="8" spans="2:30"/>
    <row r="9" spans="2:30" ht="15" customHeight="1">
      <c r="B9" s="717" t="s">
        <v>5</v>
      </c>
      <c r="C9" s="717"/>
      <c r="D9" s="717"/>
      <c r="E9" s="717"/>
      <c r="F9" s="717"/>
      <c r="G9" s="717"/>
      <c r="H9" s="717"/>
      <c r="I9" s="717"/>
      <c r="J9" s="717"/>
      <c r="K9" s="717"/>
      <c r="L9" s="717"/>
      <c r="M9" s="717"/>
      <c r="N9" s="717"/>
      <c r="O9" s="717"/>
      <c r="P9" s="717"/>
      <c r="Q9" s="717"/>
      <c r="R9" s="717"/>
      <c r="S9" s="717"/>
      <c r="T9" s="717"/>
      <c r="U9" s="717"/>
      <c r="V9" s="26"/>
      <c r="W9" s="26"/>
      <c r="X9" s="26"/>
      <c r="Y9" s="26"/>
      <c r="Z9" s="26"/>
      <c r="AA9" s="26"/>
      <c r="AB9" s="26"/>
      <c r="AC9" s="26"/>
      <c r="AD9" s="26"/>
    </row>
    <row r="10" spans="2:30">
      <c r="B10" s="27"/>
      <c r="C10" s="27"/>
      <c r="D10" s="27"/>
      <c r="E10" s="27"/>
      <c r="F10" s="27"/>
      <c r="G10" s="27"/>
      <c r="H10" s="27"/>
      <c r="I10" s="27"/>
      <c r="J10" s="27"/>
      <c r="K10" s="27"/>
      <c r="L10" s="27"/>
      <c r="M10" s="27"/>
      <c r="N10" s="27"/>
      <c r="O10" s="27"/>
      <c r="P10" s="27"/>
      <c r="Q10" s="27"/>
      <c r="R10" s="27"/>
      <c r="S10" s="27"/>
      <c r="T10" s="27"/>
      <c r="U10" s="27"/>
      <c r="V10" s="26"/>
      <c r="W10" s="26"/>
      <c r="X10" s="26"/>
      <c r="Y10" s="26"/>
      <c r="Z10" s="26"/>
      <c r="AA10" s="26"/>
      <c r="AB10" s="26"/>
      <c r="AC10" s="26"/>
      <c r="AD10" s="26"/>
    </row>
    <row r="11" spans="2:30" ht="15" customHeight="1">
      <c r="B11" s="717" t="s">
        <v>6</v>
      </c>
      <c r="C11" s="717"/>
      <c r="D11" s="717"/>
      <c r="E11" s="717"/>
      <c r="F11" s="717"/>
      <c r="G11" s="717"/>
      <c r="H11" s="717"/>
      <c r="I11" s="717"/>
      <c r="J11" s="717"/>
      <c r="K11" s="717"/>
      <c r="L11" s="717"/>
      <c r="M11" s="717"/>
      <c r="N11" s="717"/>
      <c r="O11" s="717"/>
      <c r="P11" s="717"/>
      <c r="Q11" s="717"/>
      <c r="R11" s="717"/>
      <c r="S11" s="717"/>
      <c r="T11" s="717"/>
      <c r="U11" s="717"/>
      <c r="V11" s="28"/>
      <c r="W11" s="28"/>
      <c r="X11" s="28"/>
      <c r="Y11" s="28"/>
      <c r="Z11" s="28"/>
      <c r="AA11" s="28"/>
      <c r="AB11" s="28"/>
      <c r="AC11" s="28"/>
      <c r="AD11" s="28"/>
    </row>
    <row r="12" spans="2:30">
      <c r="B12" s="27"/>
      <c r="C12" s="27"/>
      <c r="D12" s="27"/>
      <c r="E12" s="27"/>
      <c r="F12" s="27"/>
      <c r="G12" s="27"/>
      <c r="H12" s="27"/>
      <c r="I12" s="27"/>
      <c r="J12" s="27"/>
      <c r="K12" s="27"/>
      <c r="L12" s="27"/>
      <c r="M12" s="27"/>
      <c r="N12" s="27"/>
      <c r="O12" s="27"/>
      <c r="P12" s="27"/>
      <c r="Q12" s="27"/>
      <c r="R12" s="27"/>
      <c r="S12" s="27"/>
      <c r="T12" s="27"/>
      <c r="U12" s="27"/>
      <c r="V12" s="28"/>
      <c r="W12" s="28"/>
      <c r="X12" s="28"/>
      <c r="Y12" s="28"/>
      <c r="Z12" s="28"/>
      <c r="AA12" s="28"/>
      <c r="AB12" s="28"/>
      <c r="AC12" s="28"/>
      <c r="AD12" s="28"/>
    </row>
    <row r="13" spans="2:30" ht="15" customHeight="1">
      <c r="B13" s="717" t="s">
        <v>7</v>
      </c>
      <c r="C13" s="717"/>
      <c r="D13" s="717"/>
      <c r="E13" s="717"/>
      <c r="F13" s="717"/>
      <c r="G13" s="717"/>
      <c r="H13" s="717"/>
      <c r="I13" s="717"/>
      <c r="J13" s="717"/>
      <c r="K13" s="717"/>
      <c r="L13" s="717"/>
      <c r="M13" s="717"/>
      <c r="N13" s="717"/>
      <c r="O13" s="717"/>
      <c r="P13" s="717"/>
      <c r="Q13" s="717"/>
      <c r="R13" s="717"/>
      <c r="S13" s="717"/>
      <c r="T13" s="717"/>
      <c r="U13" s="717"/>
      <c r="V13" s="28"/>
      <c r="W13" s="29"/>
      <c r="X13" s="29"/>
      <c r="Y13" s="29"/>
      <c r="Z13" s="29"/>
      <c r="AA13" s="29"/>
      <c r="AB13" s="29"/>
      <c r="AC13" s="29"/>
      <c r="AD13" s="29"/>
    </row>
    <row r="14" spans="2:30">
      <c r="B14" s="27"/>
      <c r="C14" s="27"/>
      <c r="D14" s="27"/>
      <c r="E14" s="27"/>
      <c r="F14" s="27"/>
      <c r="G14" s="27"/>
      <c r="H14" s="27"/>
      <c r="I14" s="27"/>
      <c r="J14" s="27"/>
      <c r="K14" s="27"/>
      <c r="L14" s="27"/>
      <c r="M14" s="27"/>
      <c r="N14" s="27"/>
      <c r="O14" s="27"/>
      <c r="P14" s="27"/>
      <c r="Q14" s="27"/>
      <c r="R14" s="27"/>
      <c r="S14" s="27"/>
      <c r="T14" s="27"/>
      <c r="U14" s="27"/>
      <c r="V14" s="28"/>
      <c r="W14" s="29"/>
      <c r="X14" s="29"/>
      <c r="Y14" s="29"/>
      <c r="Z14" s="29"/>
      <c r="AA14" s="29"/>
      <c r="AB14" s="29"/>
      <c r="AC14" s="29"/>
      <c r="AD14" s="29"/>
    </row>
    <row r="15" spans="2:30" ht="15" customHeight="1">
      <c r="B15" s="716" t="s">
        <v>8</v>
      </c>
      <c r="C15" s="716"/>
      <c r="D15" s="716"/>
      <c r="E15" s="716"/>
      <c r="F15" s="716"/>
      <c r="G15" s="716"/>
      <c r="H15" s="716"/>
      <c r="I15" s="716"/>
      <c r="J15" s="716"/>
      <c r="K15" s="716"/>
      <c r="L15" s="716"/>
      <c r="M15" s="716"/>
      <c r="N15" s="716"/>
      <c r="O15" s="716"/>
      <c r="P15" s="716"/>
      <c r="Q15" s="716"/>
      <c r="R15" s="716"/>
      <c r="S15" s="716"/>
      <c r="T15" s="716"/>
      <c r="U15" s="716"/>
      <c r="V15" s="28"/>
      <c r="W15" s="29"/>
      <c r="X15" s="717" t="s">
        <v>9</v>
      </c>
      <c r="Y15" s="717"/>
      <c r="Z15" s="717"/>
      <c r="AA15" s="717"/>
      <c r="AB15" s="717"/>
      <c r="AC15" s="717"/>
      <c r="AD15" s="717"/>
    </row>
    <row r="16" spans="2:30">
      <c r="B16" s="27"/>
      <c r="C16" s="27"/>
      <c r="D16" s="27"/>
      <c r="E16" s="27"/>
      <c r="F16" s="27"/>
      <c r="G16" s="27"/>
      <c r="H16" s="27"/>
      <c r="I16" s="27"/>
      <c r="J16" s="27"/>
      <c r="K16" s="27"/>
      <c r="L16" s="27"/>
      <c r="M16" s="27"/>
      <c r="N16" s="27"/>
      <c r="O16" s="27"/>
      <c r="P16" s="27"/>
      <c r="Q16" s="27"/>
      <c r="R16" s="27"/>
      <c r="S16" s="27"/>
      <c r="T16" s="27"/>
      <c r="U16" s="27"/>
      <c r="V16" s="28"/>
      <c r="W16" s="29"/>
      <c r="X16" s="29"/>
      <c r="Y16" s="29"/>
      <c r="Z16" s="29"/>
      <c r="AA16" s="29"/>
      <c r="AB16" s="29"/>
      <c r="AC16" s="29"/>
      <c r="AD16" s="29"/>
    </row>
    <row r="17" spans="2:30" ht="15" customHeight="1">
      <c r="B17" s="716" t="s">
        <v>10</v>
      </c>
      <c r="C17" s="716"/>
      <c r="D17" s="716"/>
      <c r="E17" s="716"/>
      <c r="F17" s="716"/>
      <c r="G17" s="716"/>
      <c r="H17" s="716"/>
      <c r="I17" s="716"/>
      <c r="J17" s="716"/>
      <c r="K17" s="716"/>
      <c r="L17" s="716"/>
      <c r="M17" s="716"/>
      <c r="N17" s="716"/>
      <c r="O17" s="716"/>
      <c r="P17" s="716"/>
      <c r="Q17" s="716"/>
      <c r="R17" s="716"/>
      <c r="S17" s="716"/>
      <c r="T17" s="716"/>
      <c r="U17" s="716"/>
      <c r="V17" s="28"/>
      <c r="W17" s="29"/>
      <c r="X17" s="717" t="s">
        <v>11</v>
      </c>
      <c r="Y17" s="717"/>
      <c r="Z17" s="717"/>
      <c r="AA17" s="717"/>
      <c r="AB17" s="717"/>
      <c r="AC17" s="717"/>
      <c r="AD17" s="717"/>
    </row>
    <row r="18" spans="2:30">
      <c r="B18" s="27"/>
      <c r="C18" s="27"/>
      <c r="D18" s="27"/>
      <c r="E18" s="27"/>
      <c r="F18" s="27"/>
      <c r="G18" s="27"/>
      <c r="H18" s="27"/>
      <c r="I18" s="27"/>
      <c r="J18" s="27"/>
      <c r="K18" s="27"/>
      <c r="L18" s="27"/>
      <c r="M18" s="27"/>
      <c r="N18" s="27"/>
      <c r="O18" s="27"/>
      <c r="P18" s="27"/>
      <c r="Q18" s="27"/>
      <c r="R18" s="27"/>
      <c r="S18" s="27"/>
      <c r="T18" s="27"/>
      <c r="U18" s="27"/>
      <c r="V18" s="28"/>
      <c r="W18" s="29"/>
      <c r="X18" s="29"/>
      <c r="Y18" s="29"/>
      <c r="Z18" s="29"/>
      <c r="AA18" s="29"/>
      <c r="AB18" s="29"/>
      <c r="AC18" s="29"/>
      <c r="AD18" s="29"/>
    </row>
    <row r="19" spans="2:30" ht="15" customHeight="1">
      <c r="B19" s="716" t="s">
        <v>12</v>
      </c>
      <c r="C19" s="716"/>
      <c r="D19" s="716"/>
      <c r="E19" s="716"/>
      <c r="F19" s="716"/>
      <c r="G19" s="716"/>
      <c r="H19" s="716"/>
      <c r="I19" s="716"/>
      <c r="J19" s="716"/>
      <c r="K19" s="716"/>
      <c r="L19" s="716"/>
      <c r="M19" s="716"/>
      <c r="N19" s="716"/>
      <c r="O19" s="716"/>
      <c r="P19" s="716"/>
      <c r="Q19" s="716"/>
      <c r="R19" s="716"/>
      <c r="S19" s="716"/>
      <c r="T19" s="716"/>
      <c r="U19" s="716"/>
      <c r="V19" s="28"/>
      <c r="W19" s="29"/>
      <c r="X19" s="717" t="s">
        <v>13</v>
      </c>
      <c r="Y19" s="717"/>
      <c r="Z19" s="717"/>
      <c r="AA19" s="717"/>
      <c r="AB19" s="717"/>
      <c r="AC19" s="717"/>
      <c r="AD19" s="717"/>
    </row>
    <row r="20" spans="2:30">
      <c r="B20" s="27"/>
      <c r="C20" s="27"/>
      <c r="D20" s="27"/>
      <c r="E20" s="27"/>
      <c r="F20" s="27"/>
      <c r="G20" s="27"/>
      <c r="H20" s="27"/>
      <c r="I20" s="27"/>
      <c r="J20" s="27"/>
      <c r="K20" s="27"/>
      <c r="L20" s="27"/>
      <c r="M20" s="27"/>
      <c r="N20" s="27"/>
      <c r="O20" s="27"/>
      <c r="P20" s="27"/>
      <c r="Q20" s="27"/>
      <c r="R20" s="27"/>
      <c r="S20" s="27"/>
      <c r="T20" s="27"/>
      <c r="U20" s="27"/>
      <c r="V20" s="28"/>
      <c r="W20" s="29"/>
      <c r="X20" s="29"/>
      <c r="Y20" s="29"/>
      <c r="Z20" s="29"/>
      <c r="AA20" s="29"/>
      <c r="AB20" s="29"/>
      <c r="AC20" s="29"/>
      <c r="AD20" s="29"/>
    </row>
    <row r="21" spans="2:30" ht="15" customHeight="1">
      <c r="B21" s="716" t="s">
        <v>14</v>
      </c>
      <c r="C21" s="716"/>
      <c r="D21" s="716"/>
      <c r="E21" s="716"/>
      <c r="F21" s="716"/>
      <c r="G21" s="716"/>
      <c r="H21" s="716"/>
      <c r="I21" s="716"/>
      <c r="J21" s="716"/>
      <c r="K21" s="716"/>
      <c r="L21" s="716"/>
      <c r="M21" s="716"/>
      <c r="N21" s="716"/>
      <c r="O21" s="716"/>
      <c r="P21" s="716"/>
      <c r="Q21" s="716"/>
      <c r="R21" s="716"/>
      <c r="S21" s="716"/>
      <c r="T21" s="716"/>
      <c r="U21" s="716"/>
      <c r="V21" s="28"/>
      <c r="W21" s="29"/>
      <c r="X21" s="717" t="s">
        <v>15</v>
      </c>
      <c r="Y21" s="717"/>
      <c r="Z21" s="717"/>
      <c r="AA21" s="717"/>
      <c r="AB21" s="717"/>
      <c r="AC21" s="717"/>
      <c r="AD21" s="717"/>
    </row>
    <row r="22" spans="2:30">
      <c r="B22" s="27"/>
      <c r="C22" s="27"/>
      <c r="D22" s="27"/>
      <c r="E22" s="27"/>
      <c r="F22" s="27"/>
      <c r="G22" s="27"/>
      <c r="H22" s="27"/>
      <c r="I22" s="27"/>
      <c r="J22" s="27"/>
      <c r="K22" s="27"/>
      <c r="L22" s="27"/>
      <c r="M22" s="27"/>
      <c r="N22" s="27"/>
      <c r="O22" s="27"/>
      <c r="P22" s="27"/>
      <c r="Q22" s="27"/>
      <c r="R22" s="27"/>
      <c r="S22" s="27"/>
      <c r="T22" s="27"/>
      <c r="U22" s="27"/>
      <c r="V22" s="28"/>
      <c r="W22" s="29"/>
      <c r="X22" s="29"/>
      <c r="Y22" s="29"/>
      <c r="Z22" s="29"/>
      <c r="AA22" s="29"/>
      <c r="AB22" s="29"/>
      <c r="AC22" s="29"/>
      <c r="AD22" s="29"/>
    </row>
    <row r="23" spans="2:30" ht="15" customHeight="1">
      <c r="B23" s="716" t="s">
        <v>16</v>
      </c>
      <c r="C23" s="716"/>
      <c r="D23" s="716"/>
      <c r="E23" s="716"/>
      <c r="F23" s="716"/>
      <c r="G23" s="716"/>
      <c r="H23" s="716"/>
      <c r="I23" s="716"/>
      <c r="J23" s="716"/>
      <c r="K23" s="716"/>
      <c r="L23" s="716"/>
      <c r="M23" s="716"/>
      <c r="N23" s="716"/>
      <c r="O23" s="716"/>
      <c r="P23" s="716"/>
      <c r="Q23" s="716"/>
      <c r="R23" s="716"/>
      <c r="S23" s="716"/>
      <c r="T23" s="716"/>
      <c r="U23" s="716"/>
      <c r="V23" s="28"/>
      <c r="W23" s="29"/>
      <c r="X23" s="717" t="s">
        <v>17</v>
      </c>
      <c r="Y23" s="717"/>
      <c r="Z23" s="717"/>
      <c r="AA23" s="717"/>
      <c r="AB23" s="717"/>
      <c r="AC23" s="717"/>
      <c r="AD23" s="717"/>
    </row>
    <row r="24" spans="2:30">
      <c r="B24" s="30"/>
      <c r="C24" s="30"/>
      <c r="D24" s="30"/>
      <c r="E24" s="30"/>
      <c r="F24" s="30"/>
      <c r="G24" s="30"/>
      <c r="H24" s="30"/>
      <c r="I24" s="30"/>
      <c r="J24" s="30"/>
      <c r="K24" s="30"/>
      <c r="L24" s="30"/>
      <c r="M24" s="30"/>
      <c r="N24" s="30"/>
      <c r="O24" s="30"/>
      <c r="P24" s="30"/>
      <c r="Q24" s="30"/>
      <c r="R24" s="30"/>
      <c r="S24" s="30"/>
      <c r="T24" s="30"/>
      <c r="U24" s="30"/>
      <c r="V24" s="31"/>
      <c r="W24" s="31"/>
      <c r="X24" s="31"/>
      <c r="Y24" s="31"/>
      <c r="Z24" s="31"/>
      <c r="AA24" s="31"/>
      <c r="AB24" s="31"/>
      <c r="AC24" s="31"/>
      <c r="AD24" s="31"/>
    </row>
    <row r="25" spans="2:30" ht="15" customHeight="1">
      <c r="B25" s="716" t="s">
        <v>18</v>
      </c>
      <c r="C25" s="716"/>
      <c r="D25" s="716"/>
      <c r="E25" s="716"/>
      <c r="F25" s="716"/>
      <c r="G25" s="716"/>
      <c r="H25" s="716"/>
      <c r="I25" s="716"/>
      <c r="J25" s="716"/>
      <c r="K25" s="716"/>
      <c r="L25" s="716"/>
      <c r="M25" s="716"/>
      <c r="N25" s="716"/>
      <c r="O25" s="716"/>
      <c r="P25" s="716"/>
      <c r="Q25" s="716"/>
      <c r="R25" s="716"/>
      <c r="S25" s="716"/>
      <c r="T25" s="716"/>
      <c r="U25" s="716"/>
      <c r="V25" s="28"/>
      <c r="W25" s="29"/>
      <c r="X25" s="717" t="s">
        <v>19</v>
      </c>
      <c r="Y25" s="717"/>
      <c r="Z25" s="717"/>
      <c r="AA25" s="717"/>
      <c r="AB25" s="717"/>
      <c r="AC25" s="717"/>
      <c r="AD25" s="717"/>
    </row>
    <row r="26" spans="2:30">
      <c r="B26" s="27"/>
      <c r="C26" s="27"/>
      <c r="D26" s="27"/>
      <c r="E26" s="27"/>
      <c r="F26" s="27"/>
      <c r="G26" s="27"/>
      <c r="H26" s="27"/>
      <c r="I26" s="27"/>
      <c r="J26" s="27"/>
      <c r="K26" s="27"/>
      <c r="L26" s="27"/>
      <c r="M26" s="27"/>
      <c r="N26" s="27"/>
      <c r="O26" s="27"/>
      <c r="P26" s="27"/>
      <c r="Q26" s="27"/>
      <c r="R26" s="27"/>
      <c r="S26" s="27"/>
      <c r="T26" s="27"/>
      <c r="U26" s="27"/>
      <c r="V26" s="28"/>
      <c r="W26" s="29"/>
      <c r="X26" s="29"/>
      <c r="Y26" s="29"/>
      <c r="Z26" s="29"/>
      <c r="AA26" s="29"/>
      <c r="AB26" s="29"/>
      <c r="AC26" s="29"/>
      <c r="AD26" s="29"/>
    </row>
    <row r="27" spans="2:30" ht="15" customHeight="1">
      <c r="B27" s="716" t="s">
        <v>20</v>
      </c>
      <c r="C27" s="716"/>
      <c r="D27" s="716"/>
      <c r="E27" s="716"/>
      <c r="F27" s="716"/>
      <c r="G27" s="716"/>
      <c r="H27" s="716"/>
      <c r="I27" s="716"/>
      <c r="J27" s="716"/>
      <c r="K27" s="716"/>
      <c r="L27" s="716"/>
      <c r="M27" s="716"/>
      <c r="N27" s="716"/>
      <c r="O27" s="716"/>
      <c r="P27" s="716"/>
      <c r="Q27" s="716"/>
      <c r="R27" s="716"/>
      <c r="S27" s="716"/>
      <c r="T27" s="716"/>
      <c r="U27" s="716"/>
      <c r="V27" s="28"/>
      <c r="W27" s="29"/>
      <c r="X27" s="717" t="s">
        <v>21</v>
      </c>
      <c r="Y27" s="717"/>
      <c r="Z27" s="717"/>
      <c r="AA27" s="717"/>
      <c r="AB27" s="717"/>
      <c r="AC27" s="717"/>
      <c r="AD27" s="717"/>
    </row>
    <row r="28" spans="2:30">
      <c r="B28" s="27"/>
      <c r="C28" s="27"/>
      <c r="D28" s="27"/>
      <c r="E28" s="27"/>
      <c r="F28" s="27"/>
      <c r="G28" s="27"/>
      <c r="H28" s="27"/>
      <c r="I28" s="27"/>
      <c r="J28" s="27"/>
      <c r="K28" s="27"/>
      <c r="L28" s="27"/>
      <c r="M28" s="27"/>
      <c r="N28" s="27"/>
      <c r="O28" s="27"/>
      <c r="P28" s="27"/>
      <c r="Q28" s="27"/>
      <c r="R28" s="27"/>
      <c r="S28" s="27"/>
      <c r="T28" s="27"/>
      <c r="U28" s="27"/>
      <c r="V28" s="28"/>
      <c r="W28" s="29"/>
      <c r="X28" s="29"/>
      <c r="Y28" s="29"/>
      <c r="Z28" s="29"/>
      <c r="AA28" s="29"/>
      <c r="AB28" s="29"/>
      <c r="AC28" s="29"/>
      <c r="AD28" s="29"/>
    </row>
    <row r="29" spans="2:30" ht="15" customHeight="1">
      <c r="B29" s="716" t="s">
        <v>22</v>
      </c>
      <c r="C29" s="716"/>
      <c r="D29" s="716"/>
      <c r="E29" s="716"/>
      <c r="F29" s="716"/>
      <c r="G29" s="716"/>
      <c r="H29" s="716"/>
      <c r="I29" s="716"/>
      <c r="J29" s="716"/>
      <c r="K29" s="716"/>
      <c r="L29" s="716"/>
      <c r="M29" s="716"/>
      <c r="N29" s="716"/>
      <c r="O29" s="716"/>
      <c r="P29" s="716"/>
      <c r="Q29" s="716"/>
      <c r="R29" s="716"/>
      <c r="S29" s="716"/>
      <c r="T29" s="716"/>
      <c r="U29" s="716"/>
      <c r="V29" s="28"/>
      <c r="W29" s="29"/>
      <c r="X29" s="717" t="s">
        <v>23</v>
      </c>
      <c r="Y29" s="717"/>
      <c r="Z29" s="717"/>
      <c r="AA29" s="717"/>
      <c r="AB29" s="717"/>
      <c r="AC29" s="717"/>
      <c r="AD29" s="717"/>
    </row>
    <row r="30" spans="2:30">
      <c r="B30" s="27"/>
      <c r="C30" s="27"/>
      <c r="D30" s="27"/>
      <c r="E30" s="27"/>
      <c r="F30" s="27"/>
      <c r="G30" s="27"/>
      <c r="H30" s="27"/>
      <c r="I30" s="27"/>
      <c r="J30" s="27"/>
      <c r="K30" s="27"/>
      <c r="L30" s="27"/>
      <c r="M30" s="27"/>
      <c r="N30" s="27"/>
      <c r="O30" s="27"/>
      <c r="P30" s="27"/>
      <c r="Q30" s="27"/>
      <c r="R30" s="27"/>
      <c r="S30" s="27"/>
      <c r="T30" s="27"/>
      <c r="U30" s="27"/>
      <c r="V30" s="28"/>
      <c r="W30" s="29"/>
      <c r="X30" s="29"/>
      <c r="Y30" s="29"/>
      <c r="Z30" s="29"/>
      <c r="AA30" s="29"/>
      <c r="AB30" s="29"/>
      <c r="AC30" s="29"/>
      <c r="AD30" s="29"/>
    </row>
    <row r="31" spans="2:30" ht="30" customHeight="1">
      <c r="B31" s="716" t="s">
        <v>24</v>
      </c>
      <c r="C31" s="716"/>
      <c r="D31" s="716"/>
      <c r="E31" s="716"/>
      <c r="F31" s="716"/>
      <c r="G31" s="716"/>
      <c r="H31" s="716"/>
      <c r="I31" s="716"/>
      <c r="J31" s="716"/>
      <c r="K31" s="716"/>
      <c r="L31" s="716"/>
      <c r="M31" s="716"/>
      <c r="N31" s="716"/>
      <c r="O31" s="716"/>
      <c r="P31" s="716"/>
      <c r="Q31" s="716"/>
      <c r="R31" s="716"/>
      <c r="S31" s="716"/>
      <c r="T31" s="716"/>
      <c r="U31" s="716"/>
      <c r="V31" s="28"/>
      <c r="W31" s="29"/>
      <c r="X31" s="717" t="s">
        <v>25</v>
      </c>
      <c r="Y31" s="717"/>
      <c r="Z31" s="717"/>
      <c r="AA31" s="717"/>
      <c r="AB31" s="717"/>
      <c r="AC31" s="717"/>
      <c r="AD31" s="717"/>
    </row>
    <row r="32" spans="2:30">
      <c r="B32" s="27"/>
      <c r="C32" s="27"/>
      <c r="D32" s="27"/>
      <c r="E32" s="27"/>
      <c r="F32" s="27"/>
      <c r="G32" s="27"/>
      <c r="H32" s="27"/>
      <c r="I32" s="27"/>
      <c r="J32" s="27"/>
      <c r="K32" s="27"/>
      <c r="L32" s="27"/>
      <c r="M32" s="27"/>
      <c r="N32" s="27"/>
      <c r="O32" s="27"/>
      <c r="P32" s="27"/>
      <c r="Q32" s="27"/>
      <c r="R32" s="27"/>
      <c r="S32" s="27"/>
      <c r="T32" s="27"/>
      <c r="U32" s="27"/>
      <c r="V32" s="28"/>
      <c r="W32" s="29"/>
      <c r="X32" s="29"/>
      <c r="Y32" s="29"/>
      <c r="Z32" s="29"/>
      <c r="AA32" s="29"/>
      <c r="AB32" s="29"/>
      <c r="AC32" s="29"/>
      <c r="AD32" s="29"/>
    </row>
    <row r="33" spans="2:30" ht="15" customHeight="1">
      <c r="B33" s="716" t="s">
        <v>26</v>
      </c>
      <c r="C33" s="716"/>
      <c r="D33" s="716"/>
      <c r="E33" s="716"/>
      <c r="F33" s="716"/>
      <c r="G33" s="716"/>
      <c r="H33" s="716"/>
      <c r="I33" s="716"/>
      <c r="J33" s="716"/>
      <c r="K33" s="716"/>
      <c r="L33" s="716"/>
      <c r="M33" s="716"/>
      <c r="N33" s="716"/>
      <c r="O33" s="716"/>
      <c r="P33" s="716"/>
      <c r="Q33" s="716"/>
      <c r="R33" s="716"/>
      <c r="S33" s="716"/>
      <c r="T33" s="716"/>
      <c r="U33" s="716"/>
      <c r="V33" s="28"/>
      <c r="W33" s="29"/>
      <c r="X33" s="717" t="s">
        <v>27</v>
      </c>
      <c r="Y33" s="717"/>
      <c r="Z33" s="717"/>
      <c r="AA33" s="717"/>
      <c r="AB33" s="717"/>
      <c r="AC33" s="717"/>
      <c r="AD33" s="717"/>
    </row>
    <row r="34" spans="2:30">
      <c r="B34" s="27"/>
      <c r="C34" s="27"/>
      <c r="D34" s="27"/>
      <c r="E34" s="27"/>
      <c r="F34" s="27"/>
      <c r="G34" s="27"/>
      <c r="H34" s="27"/>
      <c r="I34" s="27"/>
      <c r="J34" s="27"/>
      <c r="K34" s="27"/>
      <c r="L34" s="27"/>
      <c r="M34" s="27"/>
      <c r="N34" s="27"/>
      <c r="O34" s="27"/>
      <c r="P34" s="27"/>
      <c r="Q34" s="27"/>
      <c r="R34" s="27"/>
      <c r="S34" s="27"/>
      <c r="T34" s="27"/>
      <c r="U34" s="27"/>
      <c r="V34" s="28"/>
      <c r="W34" s="29"/>
      <c r="X34" s="29"/>
      <c r="Y34" s="29"/>
      <c r="Z34" s="29"/>
      <c r="AA34" s="29"/>
      <c r="AB34" s="29"/>
      <c r="AC34" s="29"/>
      <c r="AD34" s="29"/>
    </row>
    <row r="35" spans="2:30" ht="30" customHeight="1">
      <c r="B35" s="716" t="s">
        <v>28</v>
      </c>
      <c r="C35" s="716"/>
      <c r="D35" s="716"/>
      <c r="E35" s="716"/>
      <c r="F35" s="716"/>
      <c r="G35" s="716"/>
      <c r="H35" s="716"/>
      <c r="I35" s="716"/>
      <c r="J35" s="716"/>
      <c r="K35" s="716"/>
      <c r="L35" s="716"/>
      <c r="M35" s="716"/>
      <c r="N35" s="716"/>
      <c r="O35" s="716"/>
      <c r="P35" s="716"/>
      <c r="Q35" s="716"/>
      <c r="R35" s="716"/>
      <c r="S35" s="716"/>
      <c r="T35" s="716"/>
      <c r="U35" s="716"/>
      <c r="V35" s="28"/>
      <c r="W35" s="29"/>
      <c r="X35" s="717" t="s">
        <v>29</v>
      </c>
      <c r="Y35" s="717"/>
      <c r="Z35" s="717"/>
      <c r="AA35" s="717"/>
      <c r="AB35" s="717"/>
      <c r="AC35" s="717"/>
      <c r="AD35" s="717"/>
    </row>
    <row r="36" spans="2:30">
      <c r="B36" s="27"/>
      <c r="C36" s="27"/>
      <c r="D36" s="27"/>
      <c r="E36" s="27"/>
      <c r="F36" s="27"/>
      <c r="G36" s="27"/>
      <c r="H36" s="27"/>
      <c r="I36" s="27"/>
      <c r="J36" s="27"/>
      <c r="K36" s="27"/>
      <c r="L36" s="27"/>
      <c r="M36" s="27"/>
      <c r="N36" s="27"/>
      <c r="O36" s="27"/>
      <c r="P36" s="27"/>
      <c r="Q36" s="27"/>
      <c r="R36" s="27"/>
      <c r="S36" s="27"/>
      <c r="T36" s="27"/>
      <c r="U36" s="27"/>
      <c r="V36" s="28"/>
      <c r="W36" s="29"/>
      <c r="X36" s="29"/>
      <c r="Y36" s="29"/>
      <c r="Z36" s="29"/>
      <c r="AA36" s="29"/>
      <c r="AB36" s="29"/>
      <c r="AC36" s="29"/>
      <c r="AD36" s="29"/>
    </row>
    <row r="37" spans="2:30" ht="15" customHeight="1">
      <c r="B37" s="716" t="s">
        <v>30</v>
      </c>
      <c r="C37" s="716"/>
      <c r="D37" s="716"/>
      <c r="E37" s="716"/>
      <c r="F37" s="716"/>
      <c r="G37" s="716"/>
      <c r="H37" s="716"/>
      <c r="I37" s="716"/>
      <c r="J37" s="716"/>
      <c r="K37" s="716"/>
      <c r="L37" s="716"/>
      <c r="M37" s="716"/>
      <c r="N37" s="716"/>
      <c r="O37" s="716"/>
      <c r="P37" s="716"/>
      <c r="Q37" s="716"/>
      <c r="R37" s="716"/>
      <c r="S37" s="716"/>
      <c r="T37" s="716"/>
      <c r="U37" s="716"/>
      <c r="V37" s="28"/>
      <c r="W37" s="29"/>
      <c r="X37" s="717" t="s">
        <v>31</v>
      </c>
      <c r="Y37" s="717"/>
      <c r="Z37" s="717"/>
      <c r="AA37" s="717"/>
      <c r="AB37" s="717"/>
      <c r="AC37" s="717"/>
      <c r="AD37" s="717"/>
    </row>
    <row r="38" spans="2:30">
      <c r="B38" s="27"/>
      <c r="C38" s="27"/>
      <c r="D38" s="27"/>
      <c r="E38" s="27"/>
      <c r="F38" s="27"/>
      <c r="G38" s="27"/>
      <c r="H38" s="27"/>
      <c r="I38" s="27"/>
      <c r="J38" s="27"/>
      <c r="K38" s="27"/>
      <c r="L38" s="27"/>
      <c r="M38" s="27"/>
      <c r="N38" s="27"/>
      <c r="O38" s="27"/>
      <c r="P38" s="27"/>
      <c r="Q38" s="27"/>
      <c r="R38" s="27"/>
      <c r="S38" s="27"/>
      <c r="T38" s="27"/>
      <c r="U38" s="27"/>
      <c r="V38" s="28"/>
      <c r="W38" s="29"/>
      <c r="X38" s="29"/>
      <c r="Y38" s="29"/>
      <c r="Z38" s="29"/>
      <c r="AA38" s="29"/>
      <c r="AB38" s="29"/>
      <c r="AC38" s="29"/>
      <c r="AD38" s="29"/>
    </row>
    <row r="39" spans="2:30" ht="15" customHeight="1">
      <c r="B39" s="716" t="s">
        <v>32</v>
      </c>
      <c r="C39" s="716"/>
      <c r="D39" s="716"/>
      <c r="E39" s="716"/>
      <c r="F39" s="716"/>
      <c r="G39" s="716"/>
      <c r="H39" s="716"/>
      <c r="I39" s="716"/>
      <c r="J39" s="716"/>
      <c r="K39" s="716"/>
      <c r="L39" s="716"/>
      <c r="M39" s="716"/>
      <c r="N39" s="716"/>
      <c r="O39" s="716"/>
      <c r="P39" s="716"/>
      <c r="Q39" s="716"/>
      <c r="R39" s="716"/>
      <c r="S39" s="716"/>
      <c r="T39" s="716"/>
      <c r="U39" s="716"/>
      <c r="V39" s="28"/>
      <c r="W39" s="29"/>
      <c r="X39" s="717" t="s">
        <v>33</v>
      </c>
      <c r="Y39" s="717"/>
      <c r="Z39" s="717"/>
      <c r="AA39" s="717"/>
      <c r="AB39" s="717"/>
      <c r="AC39" s="717"/>
      <c r="AD39" s="717"/>
    </row>
    <row r="40" spans="2:30">
      <c r="B40" s="27"/>
      <c r="C40" s="27"/>
      <c r="D40" s="27"/>
      <c r="E40" s="27"/>
      <c r="F40" s="27"/>
      <c r="G40" s="27"/>
      <c r="H40" s="27"/>
      <c r="I40" s="27"/>
      <c r="J40" s="27"/>
      <c r="K40" s="27"/>
      <c r="L40" s="27"/>
      <c r="M40" s="27"/>
      <c r="N40" s="27"/>
      <c r="O40" s="27"/>
      <c r="P40" s="27"/>
      <c r="Q40" s="27"/>
      <c r="R40" s="27"/>
      <c r="S40" s="27"/>
      <c r="T40" s="27"/>
      <c r="U40" s="27"/>
      <c r="V40" s="28"/>
      <c r="W40" s="29"/>
      <c r="X40" s="29"/>
      <c r="Y40" s="29"/>
      <c r="Z40" s="29"/>
      <c r="AA40" s="29"/>
      <c r="AB40" s="29"/>
      <c r="AC40" s="29"/>
      <c r="AD40" s="29"/>
    </row>
    <row r="41" spans="2:30" ht="15" customHeight="1">
      <c r="B41" s="716" t="s">
        <v>34</v>
      </c>
      <c r="C41" s="716"/>
      <c r="D41" s="716"/>
      <c r="E41" s="716"/>
      <c r="F41" s="716"/>
      <c r="G41" s="716"/>
      <c r="H41" s="716"/>
      <c r="I41" s="716"/>
      <c r="J41" s="716"/>
      <c r="K41" s="716"/>
      <c r="L41" s="716"/>
      <c r="M41" s="716"/>
      <c r="N41" s="716"/>
      <c r="O41" s="716"/>
      <c r="P41" s="716"/>
      <c r="Q41" s="716"/>
      <c r="R41" s="716"/>
      <c r="S41" s="716"/>
      <c r="T41" s="716"/>
      <c r="U41" s="716"/>
      <c r="V41" s="28"/>
      <c r="W41" s="29"/>
      <c r="X41" s="717" t="s">
        <v>35</v>
      </c>
      <c r="Y41" s="717"/>
      <c r="Z41" s="717"/>
      <c r="AA41" s="717"/>
      <c r="AB41" s="717"/>
      <c r="AC41" s="717"/>
      <c r="AD41" s="717"/>
    </row>
    <row r="42" spans="2:30">
      <c r="B42" s="27"/>
      <c r="C42" s="27"/>
      <c r="D42" s="27"/>
      <c r="E42" s="27"/>
      <c r="F42" s="27"/>
      <c r="G42" s="27"/>
      <c r="H42" s="27"/>
      <c r="I42" s="27"/>
      <c r="J42" s="27"/>
      <c r="K42" s="27"/>
      <c r="L42" s="27"/>
      <c r="M42" s="27"/>
      <c r="N42" s="27"/>
      <c r="O42" s="27"/>
      <c r="P42" s="27"/>
      <c r="Q42" s="27"/>
      <c r="R42" s="27"/>
      <c r="S42" s="27"/>
      <c r="T42" s="27"/>
      <c r="U42" s="27"/>
      <c r="V42" s="28"/>
      <c r="W42" s="29"/>
      <c r="X42" s="29"/>
      <c r="Y42" s="29"/>
      <c r="Z42" s="29"/>
      <c r="AA42" s="29"/>
      <c r="AB42" s="29"/>
      <c r="AC42" s="29"/>
      <c r="AD42" s="29"/>
    </row>
    <row r="43" spans="2:30" ht="15" customHeight="1">
      <c r="B43" s="716" t="s">
        <v>36</v>
      </c>
      <c r="C43" s="716"/>
      <c r="D43" s="716"/>
      <c r="E43" s="716"/>
      <c r="F43" s="716"/>
      <c r="G43" s="716"/>
      <c r="H43" s="716"/>
      <c r="I43" s="716"/>
      <c r="J43" s="716"/>
      <c r="K43" s="716"/>
      <c r="L43" s="716"/>
      <c r="M43" s="716"/>
      <c r="N43" s="716"/>
      <c r="O43" s="716"/>
      <c r="P43" s="716"/>
      <c r="Q43" s="716"/>
      <c r="R43" s="716"/>
      <c r="S43" s="716"/>
      <c r="T43" s="716"/>
      <c r="U43" s="716"/>
      <c r="V43" s="28"/>
      <c r="W43" s="29"/>
      <c r="X43" s="717" t="s">
        <v>37</v>
      </c>
      <c r="Y43" s="717"/>
      <c r="Z43" s="717"/>
      <c r="AA43" s="717"/>
      <c r="AB43" s="717"/>
      <c r="AC43" s="717"/>
      <c r="AD43" s="717"/>
    </row>
    <row r="44" spans="2:30">
      <c r="B44" s="30"/>
      <c r="C44" s="30"/>
      <c r="D44" s="30"/>
      <c r="E44" s="30"/>
      <c r="F44" s="30"/>
      <c r="G44" s="30"/>
      <c r="H44" s="30"/>
      <c r="I44" s="30"/>
      <c r="J44" s="30"/>
      <c r="K44" s="30"/>
      <c r="L44" s="30"/>
      <c r="M44" s="30"/>
      <c r="N44" s="30"/>
      <c r="O44" s="30"/>
      <c r="P44" s="30"/>
      <c r="Q44" s="30"/>
      <c r="R44" s="30"/>
      <c r="S44" s="30"/>
      <c r="T44" s="30"/>
      <c r="U44" s="30"/>
      <c r="V44" s="31"/>
      <c r="W44" s="31"/>
      <c r="X44" s="31"/>
      <c r="Y44" s="31"/>
      <c r="Z44" s="31"/>
      <c r="AA44" s="31"/>
      <c r="AB44" s="31"/>
      <c r="AC44" s="31"/>
      <c r="AD44" s="31"/>
    </row>
    <row r="45" spans="2:30" ht="30" customHeight="1">
      <c r="B45" s="716" t="s">
        <v>38</v>
      </c>
      <c r="C45" s="716"/>
      <c r="D45" s="716"/>
      <c r="E45" s="716"/>
      <c r="F45" s="716"/>
      <c r="G45" s="716"/>
      <c r="H45" s="716"/>
      <c r="I45" s="716"/>
      <c r="J45" s="716"/>
      <c r="K45" s="716"/>
      <c r="L45" s="716"/>
      <c r="M45" s="716"/>
      <c r="N45" s="716"/>
      <c r="O45" s="716"/>
      <c r="P45" s="716"/>
      <c r="Q45" s="716"/>
      <c r="R45" s="716"/>
      <c r="S45" s="716"/>
      <c r="T45" s="716"/>
      <c r="U45" s="716"/>
      <c r="V45" s="28"/>
      <c r="W45" s="29"/>
      <c r="X45" s="717" t="s">
        <v>39</v>
      </c>
      <c r="Y45" s="717"/>
      <c r="Z45" s="717"/>
      <c r="AA45" s="717"/>
      <c r="AB45" s="717"/>
      <c r="AC45" s="717"/>
      <c r="AD45" s="717"/>
    </row>
    <row r="46" spans="2:30">
      <c r="B46" s="27"/>
      <c r="C46" s="27"/>
      <c r="D46" s="27"/>
      <c r="E46" s="27"/>
      <c r="F46" s="27"/>
      <c r="G46" s="27"/>
      <c r="H46" s="27"/>
      <c r="I46" s="27"/>
      <c r="J46" s="27"/>
      <c r="K46" s="27"/>
      <c r="L46" s="27"/>
      <c r="M46" s="27"/>
      <c r="N46" s="27"/>
      <c r="O46" s="27"/>
      <c r="P46" s="27"/>
      <c r="Q46" s="27"/>
      <c r="R46" s="27"/>
      <c r="S46" s="27"/>
      <c r="T46" s="27"/>
      <c r="U46" s="27"/>
      <c r="V46" s="28"/>
      <c r="W46" s="29"/>
      <c r="X46" s="29"/>
      <c r="Y46" s="29"/>
      <c r="Z46" s="29"/>
      <c r="AA46" s="29"/>
      <c r="AB46" s="29"/>
      <c r="AC46" s="29"/>
      <c r="AD46" s="29"/>
    </row>
    <row r="47" spans="2:30" ht="30" customHeight="1">
      <c r="B47" s="716" t="s">
        <v>40</v>
      </c>
      <c r="C47" s="716"/>
      <c r="D47" s="716"/>
      <c r="E47" s="716"/>
      <c r="F47" s="716"/>
      <c r="G47" s="716"/>
      <c r="H47" s="716"/>
      <c r="I47" s="716"/>
      <c r="J47" s="716"/>
      <c r="K47" s="716"/>
      <c r="L47" s="716"/>
      <c r="M47" s="716"/>
      <c r="N47" s="716"/>
      <c r="O47" s="716"/>
      <c r="P47" s="716"/>
      <c r="Q47" s="716"/>
      <c r="R47" s="716"/>
      <c r="S47" s="716"/>
      <c r="T47" s="716"/>
      <c r="U47" s="716"/>
      <c r="V47" s="28"/>
      <c r="W47" s="28"/>
      <c r="X47" s="28"/>
      <c r="Y47" s="28"/>
      <c r="Z47" s="28"/>
      <c r="AA47" s="28"/>
      <c r="AB47" s="28"/>
      <c r="AC47" s="28"/>
      <c r="AD47" s="28"/>
    </row>
    <row r="48" spans="2:30">
      <c r="B48" s="27"/>
      <c r="C48" s="27"/>
      <c r="D48" s="27"/>
      <c r="E48" s="27"/>
      <c r="F48" s="27"/>
      <c r="G48" s="27"/>
      <c r="H48" s="27"/>
      <c r="I48" s="27"/>
      <c r="J48" s="27"/>
      <c r="K48" s="27"/>
      <c r="L48" s="27"/>
      <c r="M48" s="27"/>
      <c r="N48" s="27"/>
      <c r="O48" s="27"/>
      <c r="P48" s="27"/>
      <c r="Q48" s="27"/>
      <c r="R48" s="27"/>
      <c r="S48" s="27"/>
      <c r="T48" s="27"/>
      <c r="U48" s="27"/>
      <c r="V48" s="28"/>
      <c r="W48" s="28"/>
      <c r="X48" s="28"/>
      <c r="Y48" s="28"/>
      <c r="Z48" s="28"/>
      <c r="AA48" s="28"/>
      <c r="AB48" s="28"/>
      <c r="AC48" s="28"/>
      <c r="AD48" s="28"/>
    </row>
    <row r="49" spans="2:30" ht="30" customHeight="1">
      <c r="B49" s="725" t="s">
        <v>41</v>
      </c>
      <c r="C49" s="725"/>
      <c r="D49" s="725"/>
      <c r="E49" s="725"/>
      <c r="F49" s="725"/>
      <c r="G49" s="725"/>
      <c r="H49" s="725"/>
      <c r="I49" s="725"/>
      <c r="J49" s="725"/>
      <c r="K49" s="725"/>
      <c r="L49" s="725"/>
      <c r="M49" s="725"/>
      <c r="N49" s="725"/>
      <c r="O49" s="725"/>
      <c r="P49" s="725"/>
      <c r="Q49" s="725"/>
      <c r="R49" s="725"/>
      <c r="S49" s="725"/>
      <c r="T49" s="725"/>
      <c r="U49" s="725"/>
      <c r="V49" s="28"/>
      <c r="W49" s="28"/>
      <c r="X49" s="28"/>
      <c r="Y49" s="28"/>
      <c r="Z49" s="28"/>
      <c r="AA49" s="28"/>
      <c r="AB49" s="28"/>
      <c r="AC49" s="28"/>
      <c r="AD49" s="28"/>
    </row>
    <row r="50" spans="2:30">
      <c r="B50" s="27"/>
      <c r="C50" s="27"/>
      <c r="D50" s="27"/>
      <c r="E50" s="27"/>
      <c r="F50" s="27"/>
      <c r="G50" s="27"/>
      <c r="H50" s="27"/>
      <c r="I50" s="27"/>
      <c r="J50" s="27"/>
      <c r="K50" s="27"/>
      <c r="L50" s="27"/>
      <c r="M50" s="27"/>
      <c r="N50" s="27"/>
      <c r="O50" s="27"/>
      <c r="P50" s="27"/>
      <c r="Q50" s="27"/>
      <c r="R50" s="27"/>
      <c r="S50" s="27"/>
      <c r="T50" s="27"/>
      <c r="U50" s="27"/>
      <c r="V50" s="28"/>
      <c r="W50" s="28"/>
      <c r="X50" s="28"/>
      <c r="Y50" s="28"/>
      <c r="Z50" s="28"/>
      <c r="AA50" s="28"/>
      <c r="AB50" s="28"/>
      <c r="AC50" s="28"/>
      <c r="AD50" s="28"/>
    </row>
    <row r="51" spans="2:30" ht="60" customHeight="1">
      <c r="B51" s="725" t="s">
        <v>42</v>
      </c>
      <c r="C51" s="725"/>
      <c r="D51" s="725"/>
      <c r="E51" s="725"/>
      <c r="F51" s="725"/>
      <c r="G51" s="725"/>
      <c r="H51" s="725"/>
      <c r="I51" s="725"/>
      <c r="J51" s="725"/>
      <c r="K51" s="725"/>
      <c r="L51" s="725"/>
      <c r="M51" s="725"/>
      <c r="N51" s="725"/>
      <c r="O51" s="725"/>
      <c r="P51" s="725"/>
      <c r="Q51" s="725"/>
      <c r="R51" s="725"/>
      <c r="S51" s="725"/>
      <c r="T51" s="725"/>
      <c r="U51" s="725"/>
      <c r="V51" s="28"/>
      <c r="W51" s="28"/>
      <c r="X51" s="28"/>
      <c r="Y51" s="28"/>
      <c r="Z51" s="28"/>
      <c r="AA51" s="28"/>
      <c r="AB51" s="28"/>
      <c r="AC51" s="28"/>
      <c r="AD51" s="28"/>
    </row>
    <row r="52" spans="2:30">
      <c r="B52" s="27"/>
      <c r="C52" s="27"/>
      <c r="D52" s="27"/>
      <c r="E52" s="27"/>
      <c r="F52" s="27"/>
      <c r="G52" s="27"/>
      <c r="H52" s="27"/>
      <c r="I52" s="27"/>
      <c r="J52" s="27"/>
      <c r="K52" s="27"/>
      <c r="L52" s="27"/>
      <c r="M52" s="27"/>
      <c r="N52" s="27"/>
      <c r="O52" s="27"/>
      <c r="P52" s="27"/>
      <c r="Q52" s="27"/>
      <c r="R52" s="27"/>
      <c r="S52" s="27"/>
      <c r="T52" s="27"/>
      <c r="U52" s="27"/>
      <c r="V52" s="28"/>
      <c r="W52" s="28"/>
      <c r="X52" s="28"/>
      <c r="Y52" s="28"/>
      <c r="Z52" s="28"/>
      <c r="AA52" s="28"/>
      <c r="AB52" s="28"/>
      <c r="AC52" s="28"/>
      <c r="AD52" s="28"/>
    </row>
    <row r="53" spans="2:30" ht="15" customHeight="1">
      <c r="B53" s="717" t="s">
        <v>43</v>
      </c>
      <c r="C53" s="717"/>
      <c r="D53" s="717"/>
      <c r="E53" s="717"/>
      <c r="F53" s="717"/>
      <c r="G53" s="717"/>
      <c r="H53" s="717"/>
      <c r="I53" s="717"/>
      <c r="J53" s="717"/>
      <c r="K53" s="717"/>
      <c r="L53" s="717"/>
      <c r="M53" s="717"/>
      <c r="N53" s="717"/>
      <c r="O53" s="717"/>
      <c r="P53" s="717"/>
      <c r="Q53" s="717"/>
      <c r="R53" s="717"/>
      <c r="S53" s="717"/>
      <c r="T53" s="717"/>
      <c r="U53" s="717"/>
      <c r="V53" s="28"/>
      <c r="W53" s="28"/>
      <c r="X53" s="28"/>
      <c r="Y53" s="28"/>
      <c r="Z53" s="28"/>
      <c r="AA53" s="28"/>
      <c r="AB53" s="28"/>
      <c r="AC53" s="28"/>
      <c r="AD53" s="28"/>
    </row>
    <row r="54" spans="2:30"/>
    <row r="55" spans="2:30"/>
    <row r="56" spans="2:30"/>
    <row r="57" spans="2:30"/>
    <row r="58" spans="2:30"/>
    <row r="59" spans="2:30"/>
  </sheetData>
  <sheetProtection algorithmName="SHA-512" hashValue="Ilc9HVw5X2DIbacaHYCF+q/r0GV4sUtFA7wfxpQDTOG3V5Dxnxg+ojvpsrxCW/rk5TJmeOx5xzN6SI+8bx/U1A==" saltValue="jW5NgSpJOG4U0v9rZTJq4g==" spinCount="100000" sheet="1" objects="1" scenarios="1"/>
  <mergeCells count="44">
    <mergeCell ref="B53:U53"/>
    <mergeCell ref="B47:U47"/>
    <mergeCell ref="B51:U51"/>
    <mergeCell ref="B49:U49"/>
    <mergeCell ref="B45:U45"/>
    <mergeCell ref="X15:AD15"/>
    <mergeCell ref="B19:U19"/>
    <mergeCell ref="X19:AD19"/>
    <mergeCell ref="X45:AD45"/>
    <mergeCell ref="B43:U43"/>
    <mergeCell ref="B17:U17"/>
    <mergeCell ref="X17:AD17"/>
    <mergeCell ref="B27:U27"/>
    <mergeCell ref="X27:AD27"/>
    <mergeCell ref="B33:U33"/>
    <mergeCell ref="X33:AD33"/>
    <mergeCell ref="B21:U21"/>
    <mergeCell ref="X21:AD21"/>
    <mergeCell ref="B25:U25"/>
    <mergeCell ref="X25:AD25"/>
    <mergeCell ref="B23:U23"/>
    <mergeCell ref="X43:AD43"/>
    <mergeCell ref="B11:U11"/>
    <mergeCell ref="B1:AD1"/>
    <mergeCell ref="B3:AD3"/>
    <mergeCell ref="B5:AD5"/>
    <mergeCell ref="B7:L7"/>
    <mergeCell ref="B9:U9"/>
    <mergeCell ref="N7:O7"/>
    <mergeCell ref="X23:AD23"/>
    <mergeCell ref="B41:U41"/>
    <mergeCell ref="X41:AD41"/>
    <mergeCell ref="B29:U29"/>
    <mergeCell ref="X29:AD29"/>
    <mergeCell ref="B31:U31"/>
    <mergeCell ref="B13:U13"/>
    <mergeCell ref="B15:U15"/>
    <mergeCell ref="B39:U39"/>
    <mergeCell ref="X39:AD39"/>
    <mergeCell ref="X31:AD31"/>
    <mergeCell ref="B35:U35"/>
    <mergeCell ref="X35:AD35"/>
    <mergeCell ref="B37:U37"/>
    <mergeCell ref="X37:AD37"/>
  </mergeCells>
  <hyperlinks>
    <hyperlink ref="B9:U9" location="Presentación!AA7" display="Presentación" xr:uid="{7C5FBBCB-C2CF-4B74-88C1-17EEB51C9DB6}"/>
    <hyperlink ref="B11:U11" location="Informantes!AA7" display="Informantes" xr:uid="{58A8F6CB-B072-4E42-A8A7-A40C174A7338}"/>
    <hyperlink ref="B15:U15" location="CNSIPEE_2024_M2_Secc1!AA7" display="Sección I. Estructura organizacional y recursos" xr:uid="{2B17A9C1-422F-4537-80E9-579FABCB0267}"/>
    <hyperlink ref="X15:AD15" location="CNSIPEE_2024_M2_Secc1!AA7" display="Preguntas 1.1 a 1.82" xr:uid="{6DBD09AE-F809-407B-9BE3-0A1BC78178BA}"/>
    <hyperlink ref="B53:U53" location="Glosario!F7C27" display="Glosario" xr:uid="{524ED889-53BD-4B9A-9CAC-EECB78A352D3}"/>
    <hyperlink ref="B13:U13" location="Participantes!BF7" display="Participantes" xr:uid="{7E70506A-622C-4B36-88F9-59ECA4BA3CFE}"/>
    <hyperlink ref="B49:U49" location="'Complemento 2'!CP7" display="Complemento 2. Certificaciones o acreditaciones de los centros penitenciarios" xr:uid="{66DDE2E0-F61A-4CFC-B015-BE8669F61116}"/>
    <hyperlink ref="B51:U51" location="'Complemento 3'!AG7" display="Complemento 3. Tipo de posesión, ubicación geográfica, horario de atención y datos de contacto de la unidad administrativa o área encargada de la prestación de los servicios para personas adolescentes egresadas y/ o en tratamiento externo" xr:uid="{6534617C-F6E1-407E-93D6-B1130FF36B04}"/>
    <hyperlink ref="X19:AD19" location="CNSIPEE_2024_M2_Secc3!AA7" display="Preguntas 3.1 a 3.17" xr:uid="{933126C1-FD5E-4345-9065-C9F8C48A5500}"/>
    <hyperlink ref="B19:U19" location="CNSIPEE_2024_M2_Secc3!AA7" display="Sección III. Órganos y unidades especializadas" xr:uid="{977C3DE5-A747-48C4-ABBB-A6ACC7022107}"/>
    <hyperlink ref="X21:AD21" location="CNSIPEE_2024_M2_Secc4!AA7" display="Preguntas 4.1 a 4." xr:uid="{C090CEF1-9E45-4FBF-889B-22A6A4A7FEA0}"/>
    <hyperlink ref="B21:U21" location="CNSIPEE_2024_M2_Secc4!AA7" display="Sección IV. Recursos presupuestales" xr:uid="{1BF54442-11C4-495D-BCFE-16E6E937ABF3}"/>
    <hyperlink ref="X23:AD23" location="CNSIPEE_2024_M2_Secc5!AA7" display="Preguntas 5.1 a 5." xr:uid="{3910901F-3457-4C92-BA9F-2DE145583D42}"/>
    <hyperlink ref="X41:AD41" location="CNSIPEE_2024_M2_Secc14!AA7" display="Preguntas 14.1 a 14." xr:uid="{42448AE0-B304-4BA2-8A06-21682A833D54}"/>
    <hyperlink ref="B41:U41" location="CNSIPEE_2024_M2_Secc14!AA7" display="Sección XIV. Seguridad, protección y orden" xr:uid="{2A9FAFA0-6FD9-4B15-9CD4-6D60BB0CD78F}"/>
    <hyperlink ref="X43:AD43" location="CNSIPEE_2024_M2_Secc15!AA7" display="Preguntas 15.1 a 15.9" xr:uid="{9B622B12-B2B1-4265-8A9D-CB33478359B8}"/>
    <hyperlink ref="X45:AD45" location="CNSIPEE_2024_M2_Secc16!AA7" display="Preguntas 16.1 a 16.X" xr:uid="{1C7BFF61-5C82-4BD7-9BB9-B77699D6504E}"/>
    <hyperlink ref="B45:U45" location="CNSIPEE_2024_M2_Secc16!AA7" display="Sección XVI. Servicios para personas adolescentes egresadas y/o en tratamiento externo" xr:uid="{B7C272DA-2FF1-4C59-BE40-CDC551BE95C1}"/>
    <hyperlink ref="X17:AD17" location="CNSIPEE_2024_M2_Secc2!AA7" display="Preguntas 2.1 a 2.37" xr:uid="{A2D20617-D588-47AF-BAC6-7B5A0E0ED020}"/>
    <hyperlink ref="B17:U17" location="CNSIPEE_2024_M2_Secc2!AA7" display="Sección II. Recursos humanos" xr:uid="{014A4B90-6DAC-4CA6-9AE8-D532253F905F}"/>
    <hyperlink ref="X25:AD25" location="CNSIPEE_2024_M2_Secc6!AA7" display="Preguntas 6.1 a 6.5" xr:uid="{A9439D93-2387-4A4D-8957-6F292B3DF22F}"/>
    <hyperlink ref="B25:U25" location="CNSIPEE_2024_M2_Secc6!AA7" display="Sección VI. Asociación interinstitucional y marco regulatorio" xr:uid="{5310EF65-FEB3-4F1F-B2E8-9A274C6303C6}"/>
    <hyperlink ref="X27:AD27" location="CNSIPEE_2024_M2_Secc7!AA7" display="Preguntas 7.1 a 7.X" xr:uid="{48E600B3-5956-4F01-8E36-6A74040232BC}"/>
    <hyperlink ref="B27:U27" location="CNSIPEE_2024_M2_Secc7!AA7" display="Sección VII. Ingresos" xr:uid="{17C05BCC-F1A3-439B-955E-0FA9649D4152}"/>
    <hyperlink ref="X29:AD29" location="CNSIPEE_2024_M2_Secc8!AA7" display="Preguntas 8.1 a 8.37" xr:uid="{D4E72F36-7D60-47DE-A77B-845FA4CBB6B7}"/>
    <hyperlink ref="B29:U29" location="CNSIPEE_2024_M2_Secc8!AA7" display="Sección VIII. Personas adolescentes internadas" xr:uid="{23DFC747-1688-4A1D-925A-36DD6A6D0A59}"/>
    <hyperlink ref="X31:AD31" location="CNSIPEE_2024_M2_Secc9!AA7" display="Preguntas 9.1 a 9.8" xr:uid="{8CE76462-EF54-4CF6-9C13-66525D570932}"/>
    <hyperlink ref="B31:U31" location="CNSIPEE_2024_M2_Secc9!AA7" display="Sección IX. Mujeres adolescentes internadas con necesidades específicas" xr:uid="{B2B65451-5EA4-42B7-8868-B0E23773911E}"/>
    <hyperlink ref="X33:AD33" location="CNSIPEE_2024_M2_Secc10!AA7" display="Preguntas 10.1 a 10.X" xr:uid="{6D610781-24E3-4BB4-ACA1-90388D012AD3}"/>
    <hyperlink ref="B33:U33" location="CNSIPEE_2024_M2_Secc10!AA7" display="Sección X. Egresos" xr:uid="{DD8DCAB5-B7CC-427C-B740-DED437C1243D}"/>
    <hyperlink ref="X35:AD35" location="CNSIPEE_2024_M2_Secc11!AA7" display="Preguntas 11.1 a 11.X" xr:uid="{36BE7C3B-CDA0-4E49-9D1D-362954A69D20}"/>
    <hyperlink ref="B35:U35" location="CNSIPEE_2024_M2_Secc11!AA7" display="Sección XI. Servicios para personas adolescentes egresadas y/o en tratamiento externo y justicia terapéutica" xr:uid="{0B9A36BE-7178-44CC-A4EC-BFD73D2B0CC4}"/>
    <hyperlink ref="X37:AD37" location="CNSIPEE_2024_M2_Secc12!AA7" display="Preguntas 12.1 a 12.X" xr:uid="{9ACA103E-9631-4764-A616-0A67E8B6BAFC}"/>
    <hyperlink ref="B37:U37" location="CNSIPEE_2024_M2_Secc12!AA7" display="Sección XII. Traslados y extradiciones" xr:uid="{1E66893D-5C2D-4D48-8EFA-212008EF6464}"/>
    <hyperlink ref="X39:AD39" location="CNSIPEE_2024_M2_Secc13!AA7" display="Preguntas 13.1 a 13.X" xr:uid="{AD919EA3-863A-45CF-B3E6-E7203A2F5AE2}"/>
    <hyperlink ref="B39:U39" location="CNSIPEE_2024_M2_Secc13!AA7" display="Sección XIII. Actividades orientadas a la reinserción social" xr:uid="{8A2FB11B-19A8-40A4-AF31-3D385CE14BD0}"/>
    <hyperlink ref="B43:U43" location="CNSIPEE_2024_M2_Secc15!AA7" display="Sección XV. Protección de derechos humanos" xr:uid="{F6916D05-1377-41C2-8590-7275518E070E}"/>
    <hyperlink ref="B47:U47" location="'Complemento 1'!AI7" display="Complemento 1. Tipo de posesión, ubicación geográfica y datos de contacto de los centros especializados" xr:uid="{68A7E92A-6945-4AFB-88A4-9729A1C6CFEC}"/>
    <hyperlink ref="B23:U23" location="CNSIPEE_2024_M2_Secc5!AA7" display="Sección V. Informes, fuentes de información y registros" xr:uid="{CEA58185-8CBB-4431-BD56-D576AF88B6F6}"/>
  </hyperlinks>
  <printOptions horizontalCentered="1"/>
  <pageMargins left="0.70866141732283472" right="0.70866141732283472" top="0.74803149606299213" bottom="0.74803149606299213" header="0.31496062992125984" footer="0.31496062992125984"/>
  <pageSetup scale="75" orientation="portrait" r:id="rId1"/>
  <headerFooter>
    <oddHeader>&amp;CMódulo 2
Índice</oddHeader>
    <oddFooter>&amp;LCenso Nacional de Sistemas Penitenciarios Estatales 2024&amp;R&amp;P de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68533-0D4A-4019-AEEC-0948BBE4AF98}">
  <dimension ref="A1:DN449"/>
  <sheetViews>
    <sheetView showGridLines="0" zoomScale="110" zoomScaleNormal="110" workbookViewId="0"/>
  </sheetViews>
  <sheetFormatPr baseColWidth="10" defaultColWidth="0" defaultRowHeight="15" customHeight="1" zeroHeight="1"/>
  <cols>
    <col min="1" max="1" width="5.7109375" style="3" customWidth="1"/>
    <col min="2" max="30" width="3.7109375" style="3" customWidth="1"/>
    <col min="31" max="31" width="5.7109375" style="3" customWidth="1"/>
    <col min="32" max="118" width="9.28515625" style="3" hidden="1" customWidth="1"/>
    <col min="119" max="16384" width="11.42578125" style="3" hidden="1"/>
  </cols>
  <sheetData>
    <row r="1" spans="1:30" ht="173.25" customHeight="1">
      <c r="A1" s="91"/>
      <c r="B1" s="718" t="s">
        <v>0</v>
      </c>
      <c r="C1" s="719"/>
      <c r="D1" s="719"/>
      <c r="E1" s="719"/>
      <c r="F1" s="719"/>
      <c r="G1" s="719"/>
      <c r="H1" s="719"/>
      <c r="I1" s="719"/>
      <c r="J1" s="719"/>
      <c r="K1" s="719"/>
      <c r="L1" s="719"/>
      <c r="M1" s="719"/>
      <c r="N1" s="719"/>
      <c r="O1" s="719"/>
      <c r="P1" s="719"/>
      <c r="Q1" s="719"/>
      <c r="R1" s="719"/>
      <c r="S1" s="719"/>
      <c r="T1" s="719"/>
      <c r="U1" s="719"/>
      <c r="V1" s="719"/>
      <c r="W1" s="719"/>
      <c r="X1" s="719"/>
      <c r="Y1" s="719"/>
      <c r="Z1" s="719"/>
      <c r="AA1" s="719"/>
      <c r="AB1" s="719"/>
      <c r="AC1" s="719"/>
      <c r="AD1" s="719"/>
    </row>
    <row r="2" spans="1:30" ht="15" customHeight="1">
      <c r="A2" s="91"/>
    </row>
    <row r="3" spans="1:30" ht="45" customHeight="1">
      <c r="A3" s="91"/>
      <c r="B3" s="720" t="s">
        <v>1</v>
      </c>
      <c r="C3" s="721"/>
      <c r="D3" s="721"/>
      <c r="E3" s="721"/>
      <c r="F3" s="721"/>
      <c r="G3" s="721"/>
      <c r="H3" s="721"/>
      <c r="I3" s="721"/>
      <c r="J3" s="721"/>
      <c r="K3" s="721"/>
      <c r="L3" s="721"/>
      <c r="M3" s="721"/>
      <c r="N3" s="721"/>
      <c r="O3" s="721"/>
      <c r="P3" s="721"/>
      <c r="Q3" s="721"/>
      <c r="R3" s="721"/>
      <c r="S3" s="721"/>
      <c r="T3" s="721"/>
      <c r="U3" s="721"/>
      <c r="V3" s="721"/>
      <c r="W3" s="721"/>
      <c r="X3" s="721"/>
      <c r="Y3" s="721"/>
      <c r="Z3" s="721"/>
      <c r="AA3" s="721"/>
      <c r="AB3" s="721"/>
      <c r="AC3" s="721"/>
      <c r="AD3" s="721"/>
    </row>
    <row r="4" spans="1:30" ht="15" customHeight="1">
      <c r="A4" s="91"/>
    </row>
    <row r="5" spans="1:30" ht="45" customHeight="1">
      <c r="A5" s="91"/>
      <c r="B5" s="720" t="s">
        <v>18</v>
      </c>
      <c r="C5" s="721"/>
      <c r="D5" s="721"/>
      <c r="E5" s="721"/>
      <c r="F5" s="721"/>
      <c r="G5" s="721"/>
      <c r="H5" s="721"/>
      <c r="I5" s="721"/>
      <c r="J5" s="721"/>
      <c r="K5" s="721"/>
      <c r="L5" s="721"/>
      <c r="M5" s="721"/>
      <c r="N5" s="721"/>
      <c r="O5" s="721"/>
      <c r="P5" s="721"/>
      <c r="Q5" s="721"/>
      <c r="R5" s="721"/>
      <c r="S5" s="721"/>
      <c r="T5" s="721"/>
      <c r="U5" s="721"/>
      <c r="V5" s="721"/>
      <c r="W5" s="721"/>
      <c r="X5" s="721"/>
      <c r="Y5" s="721"/>
      <c r="Z5" s="721"/>
      <c r="AA5" s="721"/>
      <c r="AB5" s="721"/>
      <c r="AC5" s="721"/>
      <c r="AD5" s="721"/>
    </row>
    <row r="6" spans="1:30" ht="15" customHeight="1">
      <c r="A6" s="91"/>
    </row>
    <row r="7" spans="1:30" ht="15" customHeight="1" thickBot="1">
      <c r="A7" s="91"/>
      <c r="B7" s="23" t="s">
        <v>3</v>
      </c>
      <c r="N7" s="23" t="s">
        <v>4</v>
      </c>
      <c r="P7" s="24"/>
      <c r="Q7" s="24"/>
      <c r="R7" s="24"/>
      <c r="S7" s="24"/>
      <c r="T7" s="24"/>
      <c r="U7" s="24"/>
      <c r="V7" s="24"/>
      <c r="W7" s="24"/>
      <c r="X7" s="24"/>
      <c r="Y7" s="24"/>
      <c r="Z7" s="24"/>
      <c r="AA7" s="758" t="s">
        <v>2</v>
      </c>
      <c r="AB7" s="758"/>
      <c r="AC7" s="758"/>
      <c r="AD7" s="758"/>
    </row>
    <row r="8" spans="1:30" ht="15" customHeight="1" thickBot="1">
      <c r="A8" s="108"/>
      <c r="B8" s="722" t="str">
        <f>IF(Presentación!B8="","",Presentación!B8)</f>
        <v>Puebla</v>
      </c>
      <c r="C8" s="723"/>
      <c r="D8" s="723"/>
      <c r="E8" s="723"/>
      <c r="F8" s="723"/>
      <c r="G8" s="723"/>
      <c r="H8" s="723"/>
      <c r="I8" s="723"/>
      <c r="J8" s="723"/>
      <c r="K8" s="723"/>
      <c r="L8" s="724"/>
      <c r="M8" s="25"/>
      <c r="N8" s="722">
        <f>IF(Presentación!N8="","",Presentación!N8)</f>
        <v>221</v>
      </c>
      <c r="O8" s="724"/>
      <c r="P8" s="107"/>
      <c r="Q8" s="107"/>
      <c r="R8" s="107"/>
      <c r="S8" s="109"/>
      <c r="T8" s="107"/>
      <c r="U8" s="107"/>
      <c r="V8" s="107"/>
      <c r="W8" s="107"/>
      <c r="X8" s="107"/>
      <c r="Y8" s="107"/>
      <c r="Z8" s="107"/>
      <c r="AA8" s="107"/>
      <c r="AB8" s="107"/>
      <c r="AC8" s="107"/>
      <c r="AD8" s="107"/>
    </row>
    <row r="9" spans="1:30" ht="15" customHeight="1">
      <c r="A9" s="91"/>
      <c r="C9" s="24"/>
      <c r="D9" s="24"/>
      <c r="E9" s="24"/>
      <c r="F9" s="24"/>
      <c r="G9" s="24"/>
      <c r="H9" s="24"/>
      <c r="I9" s="24"/>
      <c r="J9" s="24"/>
      <c r="K9" s="24"/>
      <c r="L9" s="24"/>
      <c r="M9" s="24"/>
      <c r="N9" s="24"/>
      <c r="O9" s="24"/>
      <c r="P9" s="24"/>
      <c r="Q9" s="24"/>
      <c r="R9" s="24"/>
      <c r="S9" s="24"/>
      <c r="T9" s="24"/>
      <c r="U9" s="24"/>
      <c r="V9" s="24"/>
      <c r="W9" s="24"/>
      <c r="X9" s="24"/>
      <c r="Y9" s="24"/>
      <c r="Z9" s="24"/>
      <c r="AA9" s="24"/>
      <c r="AB9" s="24"/>
      <c r="AC9" s="24"/>
    </row>
    <row r="10" spans="1:30" ht="15" customHeight="1">
      <c r="A10" s="94"/>
      <c r="B10" s="892" t="s">
        <v>2552</v>
      </c>
      <c r="C10" s="893"/>
      <c r="D10" s="893"/>
      <c r="E10" s="893"/>
      <c r="F10" s="893"/>
      <c r="G10" s="893"/>
      <c r="H10" s="893"/>
      <c r="I10" s="893"/>
      <c r="J10" s="893"/>
      <c r="K10" s="893"/>
      <c r="L10" s="893"/>
      <c r="M10" s="893"/>
      <c r="N10" s="893"/>
      <c r="O10" s="893"/>
      <c r="P10" s="893"/>
      <c r="Q10" s="893"/>
      <c r="R10" s="893"/>
      <c r="S10" s="893"/>
      <c r="T10" s="893"/>
      <c r="U10" s="893"/>
      <c r="V10" s="893"/>
      <c r="W10" s="893"/>
      <c r="X10" s="893"/>
      <c r="Y10" s="893"/>
      <c r="Z10" s="893"/>
      <c r="AA10" s="893"/>
      <c r="AB10" s="893"/>
      <c r="AC10" s="893"/>
      <c r="AD10" s="894"/>
    </row>
    <row r="11" spans="1:30" ht="36" customHeight="1">
      <c r="A11" s="147"/>
      <c r="B11" s="654"/>
      <c r="C11" s="754" t="s">
        <v>4283</v>
      </c>
      <c r="D11" s="830"/>
      <c r="E11" s="830"/>
      <c r="F11" s="830"/>
      <c r="G11" s="830"/>
      <c r="H11" s="830"/>
      <c r="I11" s="830"/>
      <c r="J11" s="830"/>
      <c r="K11" s="830"/>
      <c r="L11" s="830"/>
      <c r="M11" s="830"/>
      <c r="N11" s="830"/>
      <c r="O11" s="830"/>
      <c r="P11" s="830"/>
      <c r="Q11" s="830"/>
      <c r="R11" s="830"/>
      <c r="S11" s="830"/>
      <c r="T11" s="830"/>
      <c r="U11" s="830"/>
      <c r="V11" s="830"/>
      <c r="W11" s="830"/>
      <c r="X11" s="830"/>
      <c r="Y11" s="830"/>
      <c r="Z11" s="830"/>
      <c r="AA11" s="830"/>
      <c r="AB11" s="830"/>
      <c r="AC11" s="830"/>
      <c r="AD11" s="895"/>
    </row>
    <row r="12" spans="1:30" ht="24" customHeight="1">
      <c r="A12" s="94"/>
      <c r="B12" s="654"/>
      <c r="C12" s="754" t="s">
        <v>2554</v>
      </c>
      <c r="D12" s="830"/>
      <c r="E12" s="830"/>
      <c r="F12" s="830"/>
      <c r="G12" s="830"/>
      <c r="H12" s="830"/>
      <c r="I12" s="830"/>
      <c r="J12" s="830"/>
      <c r="K12" s="830"/>
      <c r="L12" s="830"/>
      <c r="M12" s="830"/>
      <c r="N12" s="830"/>
      <c r="O12" s="830"/>
      <c r="P12" s="830"/>
      <c r="Q12" s="830"/>
      <c r="R12" s="830"/>
      <c r="S12" s="830"/>
      <c r="T12" s="830"/>
      <c r="U12" s="830"/>
      <c r="V12" s="830"/>
      <c r="W12" s="830"/>
      <c r="X12" s="830"/>
      <c r="Y12" s="830"/>
      <c r="Z12" s="830"/>
      <c r="AA12" s="830"/>
      <c r="AB12" s="830"/>
      <c r="AC12" s="830"/>
      <c r="AD12" s="895"/>
    </row>
    <row r="13" spans="1:30" ht="60" customHeight="1">
      <c r="A13" s="146"/>
      <c r="B13" s="654"/>
      <c r="C13" s="754" t="s">
        <v>2555</v>
      </c>
      <c r="D13" s="830"/>
      <c r="E13" s="830"/>
      <c r="F13" s="830"/>
      <c r="G13" s="830"/>
      <c r="H13" s="830"/>
      <c r="I13" s="830"/>
      <c r="J13" s="830"/>
      <c r="K13" s="830"/>
      <c r="L13" s="830"/>
      <c r="M13" s="830"/>
      <c r="N13" s="830"/>
      <c r="O13" s="830"/>
      <c r="P13" s="830"/>
      <c r="Q13" s="830"/>
      <c r="R13" s="830"/>
      <c r="S13" s="830"/>
      <c r="T13" s="830"/>
      <c r="U13" s="830"/>
      <c r="V13" s="830"/>
      <c r="W13" s="830"/>
      <c r="X13" s="830"/>
      <c r="Y13" s="830"/>
      <c r="Z13" s="830"/>
      <c r="AA13" s="830"/>
      <c r="AB13" s="830"/>
      <c r="AC13" s="830"/>
      <c r="AD13" s="895"/>
    </row>
    <row r="14" spans="1:30" ht="15" customHeight="1">
      <c r="A14" s="147"/>
      <c r="B14" s="654"/>
      <c r="C14" s="754" t="s">
        <v>3021</v>
      </c>
      <c r="D14" s="754"/>
      <c r="E14" s="754"/>
      <c r="F14" s="754"/>
      <c r="G14" s="754"/>
      <c r="H14" s="754"/>
      <c r="I14" s="754"/>
      <c r="J14" s="754"/>
      <c r="K14" s="754"/>
      <c r="L14" s="754"/>
      <c r="M14" s="754"/>
      <c r="N14" s="754"/>
      <c r="O14" s="754"/>
      <c r="P14" s="754"/>
      <c r="Q14" s="754"/>
      <c r="R14" s="754"/>
      <c r="S14" s="754"/>
      <c r="T14" s="754"/>
      <c r="U14" s="754"/>
      <c r="V14" s="754"/>
      <c r="W14" s="754"/>
      <c r="X14" s="754"/>
      <c r="Y14" s="754"/>
      <c r="Z14" s="754"/>
      <c r="AA14" s="754"/>
      <c r="AB14" s="754"/>
      <c r="AC14" s="754"/>
      <c r="AD14" s="755"/>
    </row>
    <row r="15" spans="1:30" ht="36" customHeight="1">
      <c r="A15" s="110"/>
      <c r="B15" s="111"/>
      <c r="C15" s="754" t="s">
        <v>3928</v>
      </c>
      <c r="D15" s="754"/>
      <c r="E15" s="754"/>
      <c r="F15" s="754"/>
      <c r="G15" s="754"/>
      <c r="H15" s="754"/>
      <c r="I15" s="754"/>
      <c r="J15" s="754"/>
      <c r="K15" s="754"/>
      <c r="L15" s="754"/>
      <c r="M15" s="754"/>
      <c r="N15" s="754"/>
      <c r="O15" s="754"/>
      <c r="P15" s="754"/>
      <c r="Q15" s="754"/>
      <c r="R15" s="754"/>
      <c r="S15" s="754"/>
      <c r="T15" s="754"/>
      <c r="U15" s="754"/>
      <c r="V15" s="754"/>
      <c r="W15" s="754"/>
      <c r="X15" s="754"/>
      <c r="Y15" s="754"/>
      <c r="Z15" s="754"/>
      <c r="AA15" s="754"/>
      <c r="AB15" s="754"/>
      <c r="AC15" s="754"/>
      <c r="AD15" s="755"/>
    </row>
    <row r="16" spans="1:30" ht="48" customHeight="1">
      <c r="A16" s="146"/>
      <c r="B16" s="654"/>
      <c r="C16" s="754" t="s">
        <v>3929</v>
      </c>
      <c r="D16" s="754"/>
      <c r="E16" s="754"/>
      <c r="F16" s="754"/>
      <c r="G16" s="754"/>
      <c r="H16" s="754"/>
      <c r="I16" s="754"/>
      <c r="J16" s="754"/>
      <c r="K16" s="754"/>
      <c r="L16" s="754"/>
      <c r="M16" s="754"/>
      <c r="N16" s="754"/>
      <c r="O16" s="754"/>
      <c r="P16" s="754"/>
      <c r="Q16" s="754"/>
      <c r="R16" s="754"/>
      <c r="S16" s="754"/>
      <c r="T16" s="754"/>
      <c r="U16" s="754"/>
      <c r="V16" s="754"/>
      <c r="W16" s="754"/>
      <c r="X16" s="754"/>
      <c r="Y16" s="754"/>
      <c r="Z16" s="754"/>
      <c r="AA16" s="754"/>
      <c r="AB16" s="754"/>
      <c r="AC16" s="754"/>
      <c r="AD16" s="755"/>
    </row>
    <row r="17" spans="1:36" ht="15" customHeight="1">
      <c r="A17" s="94"/>
      <c r="B17" s="85"/>
      <c r="C17" s="764" t="s">
        <v>3930</v>
      </c>
      <c r="D17" s="764"/>
      <c r="E17" s="764"/>
      <c r="F17" s="764"/>
      <c r="G17" s="764"/>
      <c r="H17" s="764"/>
      <c r="I17" s="764"/>
      <c r="J17" s="764"/>
      <c r="K17" s="764"/>
      <c r="L17" s="764"/>
      <c r="M17" s="764"/>
      <c r="N17" s="764"/>
      <c r="O17" s="764"/>
      <c r="P17" s="764"/>
      <c r="Q17" s="764"/>
      <c r="R17" s="764"/>
      <c r="S17" s="764"/>
      <c r="T17" s="764"/>
      <c r="U17" s="764"/>
      <c r="V17" s="764"/>
      <c r="W17" s="764"/>
      <c r="X17" s="764"/>
      <c r="Y17" s="764"/>
      <c r="Z17" s="764"/>
      <c r="AA17" s="764"/>
      <c r="AB17" s="764"/>
      <c r="AC17" s="764"/>
      <c r="AD17" s="765"/>
    </row>
    <row r="18" spans="1:36" ht="15" customHeight="1">
      <c r="A18" s="147"/>
      <c r="B18" s="852" t="s">
        <v>2561</v>
      </c>
      <c r="C18" s="853"/>
      <c r="D18" s="853"/>
      <c r="E18" s="853"/>
      <c r="F18" s="853"/>
      <c r="G18" s="853"/>
      <c r="H18" s="853"/>
      <c r="I18" s="853"/>
      <c r="J18" s="853"/>
      <c r="K18" s="853"/>
      <c r="L18" s="853"/>
      <c r="M18" s="853"/>
      <c r="N18" s="853"/>
      <c r="O18" s="853"/>
      <c r="P18" s="853"/>
      <c r="Q18" s="853"/>
      <c r="R18" s="853"/>
      <c r="S18" s="853"/>
      <c r="T18" s="853"/>
      <c r="U18" s="853"/>
      <c r="V18" s="853"/>
      <c r="W18" s="853"/>
      <c r="X18" s="853"/>
      <c r="Y18" s="853"/>
      <c r="Z18" s="853"/>
      <c r="AA18" s="853"/>
      <c r="AB18" s="853"/>
      <c r="AC18" s="853"/>
      <c r="AD18" s="854"/>
    </row>
    <row r="19" spans="1:36" ht="36" customHeight="1">
      <c r="A19" s="50"/>
      <c r="B19" s="654"/>
      <c r="C19" s="754" t="s">
        <v>4284</v>
      </c>
      <c r="D19" s="754"/>
      <c r="E19" s="754"/>
      <c r="F19" s="754"/>
      <c r="G19" s="754"/>
      <c r="H19" s="754"/>
      <c r="I19" s="754"/>
      <c r="J19" s="754"/>
      <c r="K19" s="754"/>
      <c r="L19" s="754"/>
      <c r="M19" s="754"/>
      <c r="N19" s="754"/>
      <c r="O19" s="754"/>
      <c r="P19" s="754"/>
      <c r="Q19" s="754"/>
      <c r="R19" s="754"/>
      <c r="S19" s="754"/>
      <c r="T19" s="754"/>
      <c r="U19" s="754"/>
      <c r="V19" s="754"/>
      <c r="W19" s="754"/>
      <c r="X19" s="754"/>
      <c r="Y19" s="754"/>
      <c r="Z19" s="754"/>
      <c r="AA19" s="754"/>
      <c r="AB19" s="754"/>
      <c r="AC19" s="754"/>
      <c r="AD19" s="755"/>
    </row>
    <row r="20" spans="1:36" ht="36" customHeight="1">
      <c r="A20" s="50"/>
      <c r="B20" s="85"/>
      <c r="C20" s="764" t="s">
        <v>4285</v>
      </c>
      <c r="D20" s="764"/>
      <c r="E20" s="764"/>
      <c r="F20" s="764"/>
      <c r="G20" s="764"/>
      <c r="H20" s="764"/>
      <c r="I20" s="764"/>
      <c r="J20" s="764"/>
      <c r="K20" s="764"/>
      <c r="L20" s="764"/>
      <c r="M20" s="764"/>
      <c r="N20" s="764"/>
      <c r="O20" s="764"/>
      <c r="P20" s="764"/>
      <c r="Q20" s="764"/>
      <c r="R20" s="764"/>
      <c r="S20" s="764"/>
      <c r="T20" s="764"/>
      <c r="U20" s="764"/>
      <c r="V20" s="764"/>
      <c r="W20" s="764"/>
      <c r="X20" s="764"/>
      <c r="Y20" s="764"/>
      <c r="Z20" s="764"/>
      <c r="AA20" s="764"/>
      <c r="AB20" s="764"/>
      <c r="AC20" s="764"/>
      <c r="AD20" s="765"/>
    </row>
    <row r="21" spans="1:36" ht="15.75" thickBot="1">
      <c r="A21" s="147"/>
    </row>
    <row r="22" spans="1:36" customFormat="1" ht="15" customHeight="1" thickBot="1">
      <c r="A22" s="153" t="s">
        <v>2563</v>
      </c>
      <c r="B22" s="831" t="s">
        <v>4286</v>
      </c>
      <c r="C22" s="832"/>
      <c r="D22" s="832"/>
      <c r="E22" s="832"/>
      <c r="F22" s="832"/>
      <c r="G22" s="832"/>
      <c r="H22" s="832"/>
      <c r="I22" s="832"/>
      <c r="J22" s="832"/>
      <c r="K22" s="832"/>
      <c r="L22" s="832"/>
      <c r="M22" s="832"/>
      <c r="N22" s="832"/>
      <c r="O22" s="832"/>
      <c r="P22" s="832"/>
      <c r="Q22" s="832"/>
      <c r="R22" s="832"/>
      <c r="S22" s="832"/>
      <c r="T22" s="832"/>
      <c r="U22" s="832"/>
      <c r="V22" s="832"/>
      <c r="W22" s="832"/>
      <c r="X22" s="832"/>
      <c r="Y22" s="832"/>
      <c r="Z22" s="832"/>
      <c r="AA22" s="832"/>
      <c r="AB22" s="832"/>
      <c r="AC22" s="832"/>
      <c r="AD22" s="833"/>
      <c r="AE22" s="3"/>
    </row>
    <row r="23" spans="1:36" ht="15" customHeight="1">
      <c r="A23" s="120"/>
      <c r="B23" s="941" t="s">
        <v>2948</v>
      </c>
      <c r="C23" s="839"/>
      <c r="D23" s="839"/>
      <c r="E23" s="839"/>
      <c r="F23" s="839"/>
      <c r="G23" s="839"/>
      <c r="H23" s="839"/>
      <c r="I23" s="839"/>
      <c r="J23" s="839"/>
      <c r="K23" s="839"/>
      <c r="L23" s="839"/>
      <c r="M23" s="839"/>
      <c r="N23" s="839"/>
      <c r="O23" s="839"/>
      <c r="P23" s="839"/>
      <c r="Q23" s="839"/>
      <c r="R23" s="839"/>
      <c r="S23" s="839"/>
      <c r="T23" s="839"/>
      <c r="U23" s="839"/>
      <c r="V23" s="839"/>
      <c r="W23" s="839"/>
      <c r="X23" s="839"/>
      <c r="Y23" s="839"/>
      <c r="Z23" s="839"/>
      <c r="AA23" s="839"/>
      <c r="AB23" s="839"/>
      <c r="AC23" s="839"/>
      <c r="AD23" s="942"/>
    </row>
    <row r="24" spans="1:36" ht="24" customHeight="1">
      <c r="A24" s="120"/>
      <c r="B24" s="209"/>
      <c r="C24" s="764" t="s">
        <v>4287</v>
      </c>
      <c r="D24" s="764"/>
      <c r="E24" s="764"/>
      <c r="F24" s="764"/>
      <c r="G24" s="764"/>
      <c r="H24" s="764"/>
      <c r="I24" s="764"/>
      <c r="J24" s="764"/>
      <c r="K24" s="764"/>
      <c r="L24" s="764"/>
      <c r="M24" s="764"/>
      <c r="N24" s="764"/>
      <c r="O24" s="764"/>
      <c r="P24" s="764"/>
      <c r="Q24" s="764"/>
      <c r="R24" s="764"/>
      <c r="S24" s="764"/>
      <c r="T24" s="764"/>
      <c r="U24" s="764"/>
      <c r="V24" s="764"/>
      <c r="W24" s="764"/>
      <c r="X24" s="764"/>
      <c r="Y24" s="764"/>
      <c r="Z24" s="764"/>
      <c r="AA24" s="764"/>
      <c r="AB24" s="764"/>
      <c r="AC24" s="764"/>
      <c r="AD24" s="837"/>
    </row>
    <row r="25" spans="1:36" ht="15" customHeight="1">
      <c r="A25" s="147"/>
      <c r="B25" s="1006" t="s">
        <v>2565</v>
      </c>
      <c r="C25" s="893"/>
      <c r="D25" s="893"/>
      <c r="E25" s="893"/>
      <c r="F25" s="893"/>
      <c r="G25" s="893"/>
      <c r="H25" s="893"/>
      <c r="I25" s="893"/>
      <c r="J25" s="893"/>
      <c r="K25" s="893"/>
      <c r="L25" s="893"/>
      <c r="M25" s="893"/>
      <c r="N25" s="893"/>
      <c r="O25" s="893"/>
      <c r="P25" s="893"/>
      <c r="Q25" s="893"/>
      <c r="R25" s="893"/>
      <c r="S25" s="893"/>
      <c r="T25" s="893"/>
      <c r="U25" s="893"/>
      <c r="V25" s="893"/>
      <c r="W25" s="893"/>
      <c r="X25" s="893"/>
      <c r="Y25" s="893"/>
      <c r="Z25" s="893"/>
      <c r="AA25" s="893"/>
      <c r="AB25" s="893"/>
      <c r="AC25" s="893"/>
      <c r="AD25" s="1007"/>
    </row>
    <row r="26" spans="1:36" ht="60" customHeight="1">
      <c r="A26" s="146"/>
      <c r="B26" s="114"/>
      <c r="C26" s="764" t="s">
        <v>4288</v>
      </c>
      <c r="D26" s="764"/>
      <c r="E26" s="764"/>
      <c r="F26" s="764"/>
      <c r="G26" s="764"/>
      <c r="H26" s="764"/>
      <c r="I26" s="764"/>
      <c r="J26" s="764"/>
      <c r="K26" s="764"/>
      <c r="L26" s="764"/>
      <c r="M26" s="764"/>
      <c r="N26" s="764"/>
      <c r="O26" s="764"/>
      <c r="P26" s="764"/>
      <c r="Q26" s="764"/>
      <c r="R26" s="764"/>
      <c r="S26" s="764"/>
      <c r="T26" s="764"/>
      <c r="U26" s="764"/>
      <c r="V26" s="764"/>
      <c r="W26" s="764"/>
      <c r="X26" s="764"/>
      <c r="Y26" s="764"/>
      <c r="Z26" s="764"/>
      <c r="AA26" s="764"/>
      <c r="AB26" s="764"/>
      <c r="AC26" s="764"/>
      <c r="AD26" s="765"/>
    </row>
    <row r="27" spans="1:36">
      <c r="A27" s="94"/>
    </row>
    <row r="28" spans="1:36" ht="36" customHeight="1">
      <c r="A28" s="49" t="s">
        <v>4289</v>
      </c>
      <c r="B28" s="829" t="s">
        <v>4290</v>
      </c>
      <c r="C28" s="829"/>
      <c r="D28" s="829"/>
      <c r="E28" s="829"/>
      <c r="F28" s="829"/>
      <c r="G28" s="829"/>
      <c r="H28" s="829"/>
      <c r="I28" s="829"/>
      <c r="J28" s="829"/>
      <c r="K28" s="829"/>
      <c r="L28" s="829"/>
      <c r="M28" s="829"/>
      <c r="N28" s="829"/>
      <c r="O28" s="829"/>
      <c r="P28" s="829"/>
      <c r="Q28" s="829"/>
      <c r="R28" s="829"/>
      <c r="S28" s="829"/>
      <c r="T28" s="829"/>
      <c r="U28" s="829"/>
      <c r="V28" s="829"/>
      <c r="W28" s="829"/>
      <c r="X28" s="829"/>
      <c r="Y28" s="829"/>
      <c r="Z28" s="829"/>
      <c r="AA28" s="829"/>
      <c r="AB28" s="829"/>
      <c r="AC28" s="829"/>
      <c r="AD28" s="829"/>
    </row>
    <row r="29" spans="1:36" ht="36" customHeight="1">
      <c r="A29" s="49"/>
      <c r="B29" s="54"/>
      <c r="C29" s="830" t="s">
        <v>4291</v>
      </c>
      <c r="D29" s="830"/>
      <c r="E29" s="830"/>
      <c r="F29" s="830"/>
      <c r="G29" s="830"/>
      <c r="H29" s="830"/>
      <c r="I29" s="830"/>
      <c r="J29" s="830"/>
      <c r="K29" s="830"/>
      <c r="L29" s="830"/>
      <c r="M29" s="830"/>
      <c r="N29" s="830"/>
      <c r="O29" s="830"/>
      <c r="P29" s="830"/>
      <c r="Q29" s="830"/>
      <c r="R29" s="830"/>
      <c r="S29" s="830"/>
      <c r="T29" s="830"/>
      <c r="U29" s="830"/>
      <c r="V29" s="830"/>
      <c r="W29" s="830"/>
      <c r="X29" s="830"/>
      <c r="Y29" s="830"/>
      <c r="Z29" s="830"/>
      <c r="AA29" s="830"/>
      <c r="AB29" s="830"/>
      <c r="AC29" s="830"/>
      <c r="AD29" s="830"/>
    </row>
    <row r="30" spans="1:36">
      <c r="A30" s="49"/>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row>
    <row r="31" spans="1:36" ht="48" customHeight="1">
      <c r="A31" s="49"/>
      <c r="B31" s="38"/>
      <c r="C31" s="739" t="s">
        <v>4292</v>
      </c>
      <c r="D31" s="740"/>
      <c r="E31" s="740"/>
      <c r="F31" s="740"/>
      <c r="G31" s="740"/>
      <c r="H31" s="740"/>
      <c r="I31" s="740"/>
      <c r="J31" s="740"/>
      <c r="K31" s="740"/>
      <c r="L31" s="740"/>
      <c r="M31" s="740"/>
      <c r="N31" s="740"/>
      <c r="O31" s="740"/>
      <c r="P31" s="741"/>
      <c r="Q31" s="739" t="s">
        <v>4293</v>
      </c>
      <c r="R31" s="740"/>
      <c r="S31" s="740"/>
      <c r="T31" s="740"/>
      <c r="U31" s="740"/>
      <c r="V31" s="740"/>
      <c r="W31" s="740"/>
      <c r="X31" s="740"/>
      <c r="Y31" s="740"/>
      <c r="Z31" s="740"/>
      <c r="AA31" s="740"/>
      <c r="AB31" s="740"/>
      <c r="AC31" s="740"/>
      <c r="AD31" s="741"/>
      <c r="AG31" s="354" t="s">
        <v>2586</v>
      </c>
      <c r="AH31" s="282" t="s">
        <v>2590</v>
      </c>
      <c r="AI31" s="365" t="s">
        <v>2620</v>
      </c>
      <c r="AJ31" s="534" t="s">
        <v>3478</v>
      </c>
    </row>
    <row r="32" spans="1:36">
      <c r="A32" s="49"/>
      <c r="B32" s="38"/>
      <c r="C32" s="749"/>
      <c r="D32" s="749"/>
      <c r="E32" s="749"/>
      <c r="F32" s="749"/>
      <c r="G32" s="749"/>
      <c r="H32" s="749"/>
      <c r="I32" s="749"/>
      <c r="J32" s="749"/>
      <c r="K32" s="749"/>
      <c r="L32" s="749"/>
      <c r="M32" s="749"/>
      <c r="N32" s="749"/>
      <c r="O32" s="749"/>
      <c r="P32" s="749"/>
      <c r="Q32" s="738"/>
      <c r="R32" s="738"/>
      <c r="S32" s="738"/>
      <c r="T32" s="738"/>
      <c r="U32" s="738"/>
      <c r="V32" s="738"/>
      <c r="W32" s="738"/>
      <c r="X32" s="738"/>
      <c r="Y32" s="738"/>
      <c r="Z32" s="738"/>
      <c r="AA32" s="738"/>
      <c r="AB32" s="738"/>
      <c r="AC32" s="738"/>
      <c r="AD32" s="817"/>
      <c r="AG32" s="326">
        <f>IF(AND($C$32&lt;&gt;"",$C$32&lt;&gt;1,COUNTA(Q32)=0),0,IF(AND(C32&lt;&gt;"",C32=1,COUNTA(Q32)=1),0,IF(AND(C32="",COUNTA(Q32)=0),0,1)))</f>
        <v>0</v>
      </c>
      <c r="AH32" s="283">
        <f>COUNTIF(Q32,"NS")</f>
        <v>0</v>
      </c>
      <c r="AI32" s="342">
        <f>IF(AND(C32&lt;&gt;"",C32&lt;&gt;1,COUNTA(Q32)&gt;0),1,0)</f>
        <v>0</v>
      </c>
      <c r="AJ32" s="253">
        <f>IF(AND($C$32&lt;&gt;"",$C$32=1,Q32&lt;&gt;"",Q32=0),1,0)</f>
        <v>0</v>
      </c>
    </row>
    <row r="33" spans="1:31">
      <c r="A33" s="49"/>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row>
    <row r="34" spans="1:31" ht="24" customHeight="1">
      <c r="A34" s="49"/>
      <c r="B34" s="38"/>
      <c r="C34" s="754" t="s">
        <v>2611</v>
      </c>
      <c r="D34" s="754"/>
      <c r="E34" s="754"/>
      <c r="F34" s="754"/>
      <c r="G34" s="754"/>
      <c r="H34" s="754"/>
      <c r="I34" s="754"/>
      <c r="J34" s="754"/>
      <c r="K34" s="754"/>
      <c r="L34" s="754"/>
      <c r="M34" s="754"/>
      <c r="N34" s="754"/>
      <c r="O34" s="754"/>
      <c r="P34" s="754"/>
      <c r="Q34" s="754"/>
      <c r="R34" s="754"/>
      <c r="S34" s="754"/>
      <c r="T34" s="754"/>
      <c r="U34" s="754"/>
      <c r="V34" s="754"/>
      <c r="W34" s="754"/>
      <c r="X34" s="754"/>
      <c r="Y34" s="754"/>
      <c r="Z34" s="754"/>
      <c r="AA34" s="754"/>
      <c r="AB34" s="754"/>
      <c r="AC34" s="754"/>
      <c r="AD34" s="754"/>
    </row>
    <row r="35" spans="1:31" ht="60" customHeight="1">
      <c r="A35" s="49"/>
      <c r="B35" s="38"/>
      <c r="C35" s="949"/>
      <c r="D35" s="949"/>
      <c r="E35" s="949"/>
      <c r="F35" s="949"/>
      <c r="G35" s="949"/>
      <c r="H35" s="949"/>
      <c r="I35" s="949"/>
      <c r="J35" s="949"/>
      <c r="K35" s="949"/>
      <c r="L35" s="949"/>
      <c r="M35" s="949"/>
      <c r="N35" s="949"/>
      <c r="O35" s="949"/>
      <c r="P35" s="949"/>
      <c r="Q35" s="949"/>
      <c r="R35" s="949"/>
      <c r="S35" s="949"/>
      <c r="T35" s="949"/>
      <c r="U35" s="949"/>
      <c r="V35" s="949"/>
      <c r="W35" s="949"/>
      <c r="X35" s="949"/>
      <c r="Y35" s="949"/>
      <c r="Z35" s="949"/>
      <c r="AA35" s="949"/>
      <c r="AB35" s="949"/>
      <c r="AC35" s="949"/>
      <c r="AD35" s="949"/>
    </row>
    <row r="36" spans="1:31">
      <c r="A36" s="94"/>
      <c r="B36" s="794" t="str">
        <f>IF(AG32&gt;0,"Favor de ingresar toda la información requerida en la pregunta y/o verifique que no tenga información en celdas sombreadas","")</f>
        <v/>
      </c>
      <c r="C36" s="794"/>
      <c r="D36" s="794"/>
      <c r="E36" s="794"/>
      <c r="F36" s="794"/>
      <c r="G36" s="794"/>
      <c r="H36" s="794"/>
      <c r="I36" s="794"/>
      <c r="J36" s="794"/>
      <c r="K36" s="794"/>
      <c r="L36" s="794"/>
      <c r="M36" s="794"/>
      <c r="N36" s="794"/>
      <c r="O36" s="794"/>
      <c r="P36" s="794"/>
      <c r="Q36" s="794"/>
      <c r="R36" s="794"/>
      <c r="S36" s="794"/>
      <c r="T36" s="794"/>
      <c r="U36" s="794"/>
      <c r="V36" s="794"/>
      <c r="W36" s="794"/>
      <c r="X36" s="794"/>
      <c r="Y36" s="794"/>
      <c r="Z36" s="794"/>
      <c r="AA36" s="794"/>
      <c r="AB36" s="794"/>
      <c r="AC36" s="794"/>
      <c r="AD36" s="794"/>
    </row>
    <row r="37" spans="1:31">
      <c r="A37" s="94"/>
      <c r="B37" s="795" t="str">
        <f>IF(AH32&gt;0,"Alerta: debido a que cuenta con registros NS, debe proporcionar una justificación en el area de comentarios al final de la pregunta","")</f>
        <v/>
      </c>
      <c r="C37" s="795"/>
      <c r="D37" s="795"/>
      <c r="E37" s="795"/>
      <c r="F37" s="795"/>
      <c r="G37" s="795"/>
      <c r="H37" s="795"/>
      <c r="I37" s="795"/>
      <c r="J37" s="795"/>
      <c r="K37" s="795"/>
      <c r="L37" s="795"/>
      <c r="M37" s="795"/>
      <c r="N37" s="795"/>
      <c r="O37" s="795"/>
      <c r="P37" s="795"/>
      <c r="Q37" s="795"/>
      <c r="R37" s="795"/>
      <c r="S37" s="795"/>
      <c r="T37" s="795"/>
      <c r="U37" s="795"/>
      <c r="V37" s="795"/>
      <c r="W37" s="795"/>
      <c r="X37" s="795"/>
      <c r="Y37" s="795"/>
      <c r="Z37" s="795"/>
      <c r="AA37" s="795"/>
      <c r="AB37" s="795"/>
      <c r="AC37" s="795"/>
      <c r="AD37" s="795"/>
    </row>
    <row r="38" spans="1:31">
      <c r="A38" s="94"/>
      <c r="B38" s="794" t="str">
        <f>IF(AJ32&gt;0,"No puede ingresar cero en la col. Asociaciones interinstitucionales debido a que registró el código 1 en la col. ¿Estuvieron asociados… ?","")</f>
        <v/>
      </c>
      <c r="C38" s="794"/>
      <c r="D38" s="794"/>
      <c r="E38" s="794"/>
      <c r="F38" s="794"/>
      <c r="G38" s="794"/>
      <c r="H38" s="794"/>
      <c r="I38" s="794"/>
      <c r="J38" s="794"/>
      <c r="K38" s="794"/>
      <c r="L38" s="794"/>
      <c r="M38" s="794"/>
      <c r="N38" s="794"/>
      <c r="O38" s="794"/>
      <c r="P38" s="794"/>
      <c r="Q38" s="794"/>
      <c r="R38" s="794"/>
      <c r="S38" s="794"/>
      <c r="T38" s="794"/>
      <c r="U38" s="794"/>
      <c r="V38" s="794"/>
      <c r="W38" s="794"/>
      <c r="X38" s="794"/>
      <c r="Y38" s="794"/>
      <c r="Z38" s="794"/>
      <c r="AA38" s="794"/>
      <c r="AB38" s="794"/>
      <c r="AC38" s="794"/>
      <c r="AD38" s="794"/>
      <c r="AE38" s="794"/>
    </row>
    <row r="39" spans="1:31">
      <c r="A39" s="94"/>
    </row>
    <row r="40" spans="1:31">
      <c r="A40" s="94"/>
    </row>
    <row r="41" spans="1:31">
      <c r="A41" s="94"/>
    </row>
    <row r="42" spans="1:31" ht="72" customHeight="1">
      <c r="A42" s="49" t="s">
        <v>4294</v>
      </c>
      <c r="B42" s="829" t="s">
        <v>4295</v>
      </c>
      <c r="C42" s="829"/>
      <c r="D42" s="829"/>
      <c r="E42" s="829"/>
      <c r="F42" s="829"/>
      <c r="G42" s="829"/>
      <c r="H42" s="829"/>
      <c r="I42" s="829"/>
      <c r="J42" s="829"/>
      <c r="K42" s="829"/>
      <c r="L42" s="829"/>
      <c r="M42" s="829"/>
      <c r="N42" s="829"/>
      <c r="O42" s="829"/>
      <c r="P42" s="829"/>
      <c r="Q42" s="829"/>
      <c r="R42" s="829"/>
      <c r="S42" s="829"/>
      <c r="T42" s="829"/>
      <c r="U42" s="829"/>
      <c r="V42" s="829"/>
      <c r="W42" s="829"/>
      <c r="X42" s="829"/>
      <c r="Y42" s="829"/>
      <c r="Z42" s="829"/>
      <c r="AA42" s="829"/>
      <c r="AB42" s="829"/>
      <c r="AC42" s="829"/>
      <c r="AD42" s="829"/>
    </row>
    <row r="43" spans="1:31" ht="36" customHeight="1">
      <c r="A43" s="49"/>
      <c r="B43" s="49"/>
      <c r="C43" s="754" t="s">
        <v>4296</v>
      </c>
      <c r="D43" s="830"/>
      <c r="E43" s="830"/>
      <c r="F43" s="830"/>
      <c r="G43" s="830"/>
      <c r="H43" s="830"/>
      <c r="I43" s="830"/>
      <c r="J43" s="830"/>
      <c r="K43" s="830"/>
      <c r="L43" s="830"/>
      <c r="M43" s="830"/>
      <c r="N43" s="830"/>
      <c r="O43" s="830"/>
      <c r="P43" s="830"/>
      <c r="Q43" s="830"/>
      <c r="R43" s="830"/>
      <c r="S43" s="830"/>
      <c r="T43" s="830"/>
      <c r="U43" s="830"/>
      <c r="V43" s="830"/>
      <c r="W43" s="830"/>
      <c r="X43" s="830"/>
      <c r="Y43" s="830"/>
      <c r="Z43" s="830"/>
      <c r="AA43" s="830"/>
      <c r="AB43" s="830"/>
      <c r="AC43" s="830"/>
      <c r="AD43" s="830"/>
    </row>
    <row r="44" spans="1:31" ht="24" customHeight="1">
      <c r="A44" s="49"/>
      <c r="B44" s="105"/>
      <c r="C44" s="754" t="s">
        <v>4297</v>
      </c>
      <c r="D44" s="754"/>
      <c r="E44" s="754"/>
      <c r="F44" s="754"/>
      <c r="G44" s="754"/>
      <c r="H44" s="754"/>
      <c r="I44" s="754"/>
      <c r="J44" s="754"/>
      <c r="K44" s="754"/>
      <c r="L44" s="754"/>
      <c r="M44" s="754"/>
      <c r="N44" s="754"/>
      <c r="O44" s="754"/>
      <c r="P44" s="754"/>
      <c r="Q44" s="754"/>
      <c r="R44" s="754"/>
      <c r="S44" s="754"/>
      <c r="T44" s="754"/>
      <c r="U44" s="754"/>
      <c r="V44" s="754"/>
      <c r="W44" s="754"/>
      <c r="X44" s="754"/>
      <c r="Y44" s="754"/>
      <c r="Z44" s="754"/>
      <c r="AA44" s="754"/>
      <c r="AB44" s="754"/>
      <c r="AC44" s="754"/>
      <c r="AD44" s="754"/>
    </row>
    <row r="45" spans="1:31" ht="36" customHeight="1">
      <c r="A45" s="50"/>
      <c r="B45" s="57"/>
      <c r="C45" s="754" t="s">
        <v>4298</v>
      </c>
      <c r="D45" s="754"/>
      <c r="E45" s="754"/>
      <c r="F45" s="754"/>
      <c r="G45" s="754"/>
      <c r="H45" s="754"/>
      <c r="I45" s="754"/>
      <c r="J45" s="754"/>
      <c r="K45" s="754"/>
      <c r="L45" s="754"/>
      <c r="M45" s="754"/>
      <c r="N45" s="754"/>
      <c r="O45" s="754"/>
      <c r="P45" s="754"/>
      <c r="Q45" s="754"/>
      <c r="R45" s="754"/>
      <c r="S45" s="754"/>
      <c r="T45" s="754"/>
      <c r="U45" s="754"/>
      <c r="V45" s="754"/>
      <c r="W45" s="754"/>
      <c r="X45" s="754"/>
      <c r="Y45" s="754"/>
      <c r="Z45" s="754"/>
      <c r="AA45" s="754"/>
      <c r="AB45" s="754"/>
      <c r="AC45" s="754"/>
      <c r="AD45" s="754"/>
    </row>
    <row r="46" spans="1:31" ht="24" customHeight="1">
      <c r="A46" s="49"/>
      <c r="B46" s="105"/>
      <c r="C46" s="830" t="s">
        <v>4299</v>
      </c>
      <c r="D46" s="830"/>
      <c r="E46" s="830"/>
      <c r="F46" s="830"/>
      <c r="G46" s="830"/>
      <c r="H46" s="830"/>
      <c r="I46" s="830"/>
      <c r="J46" s="830"/>
      <c r="K46" s="830"/>
      <c r="L46" s="830"/>
      <c r="M46" s="830"/>
      <c r="N46" s="830"/>
      <c r="O46" s="830"/>
      <c r="P46" s="830"/>
      <c r="Q46" s="830"/>
      <c r="R46" s="830"/>
      <c r="S46" s="830"/>
      <c r="T46" s="830"/>
      <c r="U46" s="830"/>
      <c r="V46" s="830"/>
      <c r="W46" s="830"/>
      <c r="X46" s="830"/>
      <c r="Y46" s="830"/>
      <c r="Z46" s="830"/>
      <c r="AA46" s="830"/>
      <c r="AB46" s="830"/>
      <c r="AC46" s="830"/>
      <c r="AD46" s="830"/>
    </row>
    <row r="47" spans="1:31" ht="15" customHeight="1">
      <c r="A47" s="142"/>
      <c r="B47" s="57"/>
      <c r="C47" s="830" t="s">
        <v>4300</v>
      </c>
      <c r="D47" s="830"/>
      <c r="E47" s="830"/>
      <c r="F47" s="830"/>
      <c r="G47" s="830"/>
      <c r="H47" s="830"/>
      <c r="I47" s="830"/>
      <c r="J47" s="830"/>
      <c r="K47" s="830"/>
      <c r="L47" s="830"/>
      <c r="M47" s="830"/>
      <c r="N47" s="830"/>
      <c r="O47" s="830"/>
      <c r="P47" s="830"/>
      <c r="Q47" s="830"/>
      <c r="R47" s="830"/>
      <c r="S47" s="830"/>
      <c r="T47" s="830"/>
      <c r="U47" s="830"/>
      <c r="V47" s="830"/>
      <c r="W47" s="830"/>
      <c r="X47" s="830"/>
      <c r="Y47" s="830"/>
      <c r="Z47" s="830"/>
      <c r="AA47" s="830"/>
      <c r="AB47" s="830"/>
      <c r="AC47" s="830"/>
      <c r="AD47" s="830"/>
    </row>
    <row r="48" spans="1:31" ht="15" customHeight="1">
      <c r="A48" s="142"/>
      <c r="B48" s="57"/>
      <c r="C48" s="830" t="s">
        <v>4301</v>
      </c>
      <c r="D48" s="830"/>
      <c r="E48" s="830"/>
      <c r="F48" s="830"/>
      <c r="G48" s="830"/>
      <c r="H48" s="830"/>
      <c r="I48" s="830"/>
      <c r="J48" s="830"/>
      <c r="K48" s="830"/>
      <c r="L48" s="830"/>
      <c r="M48" s="830"/>
      <c r="N48" s="830"/>
      <c r="O48" s="830"/>
      <c r="P48" s="830"/>
      <c r="Q48" s="830"/>
      <c r="R48" s="830"/>
      <c r="S48" s="830"/>
      <c r="T48" s="830"/>
      <c r="U48" s="830"/>
      <c r="V48" s="830"/>
      <c r="W48" s="830"/>
      <c r="X48" s="830"/>
      <c r="Y48" s="830"/>
      <c r="Z48" s="830"/>
      <c r="AA48" s="830"/>
      <c r="AB48" s="830"/>
      <c r="AC48" s="830"/>
      <c r="AD48" s="830"/>
    </row>
    <row r="49" spans="1:62" ht="24" customHeight="1">
      <c r="A49" s="142"/>
      <c r="B49" s="57"/>
      <c r="C49" s="754" t="s">
        <v>4302</v>
      </c>
      <c r="D49" s="754"/>
      <c r="E49" s="754"/>
      <c r="F49" s="754"/>
      <c r="G49" s="754"/>
      <c r="H49" s="754"/>
      <c r="I49" s="754"/>
      <c r="J49" s="754"/>
      <c r="K49" s="754"/>
      <c r="L49" s="754"/>
      <c r="M49" s="754"/>
      <c r="N49" s="754"/>
      <c r="O49" s="754"/>
      <c r="P49" s="754"/>
      <c r="Q49" s="754"/>
      <c r="R49" s="754"/>
      <c r="S49" s="754"/>
      <c r="T49" s="754"/>
      <c r="U49" s="754"/>
      <c r="V49" s="754"/>
      <c r="W49" s="754"/>
      <c r="X49" s="754"/>
      <c r="Y49" s="754"/>
      <c r="Z49" s="754"/>
      <c r="AA49" s="754"/>
      <c r="AB49" s="754"/>
      <c r="AC49" s="754"/>
      <c r="AD49" s="754"/>
    </row>
    <row r="50" spans="1:62" ht="24" customHeight="1">
      <c r="A50" s="142"/>
      <c r="B50" s="57"/>
      <c r="D50" s="830" t="s">
        <v>4303</v>
      </c>
      <c r="E50" s="830"/>
      <c r="F50" s="830"/>
      <c r="G50" s="830"/>
      <c r="H50" s="830"/>
      <c r="I50" s="830"/>
      <c r="J50" s="830"/>
      <c r="K50" s="830"/>
      <c r="L50" s="830"/>
      <c r="M50" s="830"/>
      <c r="N50" s="830"/>
      <c r="O50" s="830"/>
      <c r="P50" s="830"/>
      <c r="Q50" s="830"/>
      <c r="R50" s="830"/>
      <c r="S50" s="830"/>
      <c r="T50" s="830"/>
      <c r="U50" s="830"/>
      <c r="V50" s="830"/>
      <c r="W50" s="830"/>
      <c r="X50" s="830"/>
      <c r="Y50" s="830"/>
      <c r="Z50" s="830"/>
      <c r="AA50" s="830"/>
      <c r="AB50" s="830"/>
      <c r="AC50" s="830"/>
      <c r="AD50" s="830"/>
    </row>
    <row r="51" spans="1:62" ht="36" customHeight="1">
      <c r="A51" s="142"/>
      <c r="B51" s="57"/>
      <c r="D51" s="830" t="s">
        <v>4304</v>
      </c>
      <c r="E51" s="830"/>
      <c r="F51" s="830"/>
      <c r="G51" s="830"/>
      <c r="H51" s="830"/>
      <c r="I51" s="830"/>
      <c r="J51" s="830"/>
      <c r="K51" s="830"/>
      <c r="L51" s="830"/>
      <c r="M51" s="830"/>
      <c r="N51" s="830"/>
      <c r="O51" s="830"/>
      <c r="P51" s="830"/>
      <c r="Q51" s="830"/>
      <c r="R51" s="830"/>
      <c r="S51" s="830"/>
      <c r="T51" s="830"/>
      <c r="U51" s="830"/>
      <c r="V51" s="830"/>
      <c r="W51" s="830"/>
      <c r="X51" s="830"/>
      <c r="Y51" s="830"/>
      <c r="Z51" s="830"/>
      <c r="AA51" s="830"/>
      <c r="AB51" s="830"/>
      <c r="AC51" s="830"/>
      <c r="AD51" s="830"/>
    </row>
    <row r="52" spans="1:62" ht="36" customHeight="1">
      <c r="A52" s="142"/>
      <c r="B52" s="57"/>
      <c r="D52" s="830" t="s">
        <v>4305</v>
      </c>
      <c r="E52" s="830"/>
      <c r="F52" s="830"/>
      <c r="G52" s="830"/>
      <c r="H52" s="830"/>
      <c r="I52" s="830"/>
      <c r="J52" s="830"/>
      <c r="K52" s="830"/>
      <c r="L52" s="830"/>
      <c r="M52" s="830"/>
      <c r="N52" s="830"/>
      <c r="O52" s="830"/>
      <c r="P52" s="830"/>
      <c r="Q52" s="830"/>
      <c r="R52" s="830"/>
      <c r="S52" s="830"/>
      <c r="T52" s="830"/>
      <c r="U52" s="830"/>
      <c r="V52" s="830"/>
      <c r="W52" s="830"/>
      <c r="X52" s="830"/>
      <c r="Y52" s="830"/>
      <c r="Z52" s="830"/>
      <c r="AA52" s="830"/>
      <c r="AB52" s="830"/>
      <c r="AC52" s="830"/>
      <c r="AD52" s="830"/>
    </row>
    <row r="53" spans="1:62" ht="36" customHeight="1">
      <c r="A53" s="142"/>
      <c r="B53" s="57"/>
      <c r="C53" s="1074" t="s">
        <v>4306</v>
      </c>
      <c r="D53" s="1074"/>
      <c r="E53" s="1074"/>
      <c r="F53" s="1074"/>
      <c r="G53" s="1074"/>
      <c r="H53" s="1074"/>
      <c r="I53" s="1074"/>
      <c r="J53" s="1074"/>
      <c r="K53" s="1074"/>
      <c r="L53" s="1074"/>
      <c r="M53" s="1074"/>
      <c r="N53" s="1074"/>
      <c r="O53" s="1074"/>
      <c r="P53" s="1074"/>
      <c r="Q53" s="1074"/>
      <c r="R53" s="1074"/>
      <c r="S53" s="1074"/>
      <c r="T53" s="1074"/>
      <c r="U53" s="1074"/>
      <c r="V53" s="1074"/>
      <c r="W53" s="1074"/>
      <c r="X53" s="1074"/>
      <c r="Y53" s="1074"/>
      <c r="Z53" s="1074"/>
      <c r="AA53" s="1074"/>
      <c r="AB53" s="1074"/>
      <c r="AC53" s="1074"/>
      <c r="AD53" s="1074"/>
    </row>
    <row r="54" spans="1:62" ht="36" customHeight="1">
      <c r="A54" s="142"/>
      <c r="B54" s="57"/>
      <c r="C54" s="754" t="s">
        <v>4307</v>
      </c>
      <c r="D54" s="754"/>
      <c r="E54" s="754"/>
      <c r="F54" s="754"/>
      <c r="G54" s="754"/>
      <c r="H54" s="754"/>
      <c r="I54" s="754"/>
      <c r="J54" s="754"/>
      <c r="K54" s="754"/>
      <c r="L54" s="754"/>
      <c r="M54" s="754"/>
      <c r="N54" s="754"/>
      <c r="O54" s="754"/>
      <c r="P54" s="754"/>
      <c r="Q54" s="754"/>
      <c r="R54" s="754"/>
      <c r="S54" s="754"/>
      <c r="T54" s="754"/>
      <c r="U54" s="754"/>
      <c r="V54" s="754"/>
      <c r="W54" s="754"/>
      <c r="X54" s="754"/>
      <c r="Y54" s="754"/>
      <c r="Z54" s="754"/>
      <c r="AA54" s="754"/>
      <c r="AB54" s="754"/>
      <c r="AC54" s="754"/>
      <c r="AD54" s="754"/>
    </row>
    <row r="55" spans="1:62" ht="15" customHeight="1">
      <c r="A55" s="142"/>
      <c r="B55" s="57"/>
      <c r="C55" s="830" t="s">
        <v>4308</v>
      </c>
      <c r="D55" s="830"/>
      <c r="E55" s="830"/>
      <c r="F55" s="830"/>
      <c r="G55" s="830"/>
      <c r="H55" s="830"/>
      <c r="I55" s="830"/>
      <c r="J55" s="830"/>
      <c r="K55" s="830"/>
      <c r="L55" s="830"/>
      <c r="M55" s="830"/>
      <c r="N55" s="830"/>
      <c r="O55" s="830"/>
      <c r="P55" s="830"/>
      <c r="Q55" s="830"/>
      <c r="R55" s="830"/>
      <c r="S55" s="830"/>
      <c r="T55" s="830"/>
      <c r="U55" s="830"/>
      <c r="V55" s="830"/>
      <c r="W55" s="830"/>
      <c r="X55" s="830"/>
      <c r="Y55" s="830"/>
      <c r="Z55" s="830"/>
      <c r="AA55" s="830"/>
      <c r="AB55" s="830"/>
      <c r="AC55" s="830"/>
      <c r="AD55" s="830"/>
    </row>
    <row r="56" spans="1:62" ht="24" customHeight="1">
      <c r="A56" s="142"/>
      <c r="B56" s="57"/>
      <c r="C56" s="830" t="s">
        <v>4309</v>
      </c>
      <c r="D56" s="830"/>
      <c r="E56" s="830"/>
      <c r="F56" s="830"/>
      <c r="G56" s="830"/>
      <c r="H56" s="830"/>
      <c r="I56" s="830"/>
      <c r="J56" s="830"/>
      <c r="K56" s="830"/>
      <c r="L56" s="830"/>
      <c r="M56" s="830"/>
      <c r="N56" s="830"/>
      <c r="O56" s="830"/>
      <c r="P56" s="830"/>
      <c r="Q56" s="830"/>
      <c r="R56" s="830"/>
      <c r="S56" s="830"/>
      <c r="T56" s="830"/>
      <c r="U56" s="830"/>
      <c r="V56" s="830"/>
      <c r="W56" s="830"/>
      <c r="X56" s="830"/>
      <c r="Y56" s="830"/>
      <c r="Z56" s="830"/>
      <c r="AA56" s="830"/>
      <c r="AB56" s="830"/>
      <c r="AC56" s="830"/>
      <c r="AD56" s="830"/>
    </row>
    <row r="57" spans="1:62" ht="24" customHeight="1">
      <c r="A57" s="142"/>
      <c r="B57" s="57"/>
      <c r="C57" s="830" t="s">
        <v>4310</v>
      </c>
      <c r="D57" s="830"/>
      <c r="E57" s="830"/>
      <c r="F57" s="830"/>
      <c r="G57" s="830"/>
      <c r="H57" s="830"/>
      <c r="I57" s="830"/>
      <c r="J57" s="830"/>
      <c r="K57" s="830"/>
      <c r="L57" s="830"/>
      <c r="M57" s="830"/>
      <c r="N57" s="830"/>
      <c r="O57" s="830"/>
      <c r="P57" s="830"/>
      <c r="Q57" s="830"/>
      <c r="R57" s="830"/>
      <c r="S57" s="830"/>
      <c r="T57" s="830"/>
      <c r="U57" s="830"/>
      <c r="V57" s="830"/>
      <c r="W57" s="830"/>
      <c r="X57" s="830"/>
      <c r="Y57" s="830"/>
      <c r="Z57" s="830"/>
      <c r="AA57" s="830"/>
      <c r="AB57" s="830"/>
      <c r="AC57" s="830"/>
      <c r="AD57" s="830"/>
    </row>
    <row r="58" spans="1:62" ht="24" customHeight="1">
      <c r="A58" s="142"/>
      <c r="B58" s="57"/>
      <c r="C58" s="830" t="s">
        <v>4311</v>
      </c>
      <c r="D58" s="830"/>
      <c r="E58" s="830"/>
      <c r="F58" s="830"/>
      <c r="G58" s="830"/>
      <c r="H58" s="830"/>
      <c r="I58" s="830"/>
      <c r="J58" s="830"/>
      <c r="K58" s="830"/>
      <c r="L58" s="830"/>
      <c r="M58" s="830"/>
      <c r="N58" s="830"/>
      <c r="O58" s="830"/>
      <c r="P58" s="830"/>
      <c r="Q58" s="830"/>
      <c r="R58" s="830"/>
      <c r="S58" s="830"/>
      <c r="T58" s="830"/>
      <c r="U58" s="830"/>
      <c r="V58" s="830"/>
      <c r="W58" s="830"/>
      <c r="X58" s="830"/>
      <c r="Y58" s="830"/>
      <c r="Z58" s="830"/>
      <c r="AA58" s="830"/>
      <c r="AB58" s="830"/>
      <c r="AC58" s="830"/>
      <c r="AD58" s="830"/>
    </row>
    <row r="59" spans="1:62" ht="24" customHeight="1">
      <c r="A59" s="50"/>
      <c r="B59" s="38"/>
      <c r="C59" s="754" t="s">
        <v>4312</v>
      </c>
      <c r="D59" s="754"/>
      <c r="E59" s="754"/>
      <c r="F59" s="754"/>
      <c r="G59" s="754"/>
      <c r="H59" s="754"/>
      <c r="I59" s="754"/>
      <c r="J59" s="754"/>
      <c r="K59" s="754"/>
      <c r="L59" s="754"/>
      <c r="M59" s="754"/>
      <c r="N59" s="754"/>
      <c r="O59" s="754"/>
      <c r="P59" s="754"/>
      <c r="Q59" s="754"/>
      <c r="R59" s="754"/>
      <c r="S59" s="754"/>
      <c r="T59" s="754"/>
      <c r="U59" s="754"/>
      <c r="V59" s="754"/>
      <c r="W59" s="754"/>
      <c r="X59" s="754"/>
      <c r="Y59" s="754"/>
      <c r="Z59" s="754"/>
      <c r="AA59" s="754"/>
      <c r="AB59" s="754"/>
      <c r="AC59" s="754"/>
      <c r="AD59" s="754"/>
    </row>
    <row r="60" spans="1:62">
      <c r="A60" s="110"/>
      <c r="B60" s="38"/>
      <c r="C60" s="675"/>
      <c r="D60" s="675"/>
      <c r="E60" s="675"/>
      <c r="F60" s="675"/>
      <c r="G60" s="675"/>
      <c r="H60" s="675"/>
      <c r="I60" s="675"/>
      <c r="J60" s="675"/>
      <c r="K60" s="675"/>
      <c r="L60" s="675"/>
      <c r="M60" s="675"/>
      <c r="N60" s="675"/>
      <c r="O60" s="675"/>
      <c r="P60" s="675"/>
      <c r="Q60" s="675"/>
      <c r="R60" s="675"/>
      <c r="S60" s="675"/>
      <c r="T60" s="675"/>
      <c r="U60" s="675"/>
      <c r="V60" s="675"/>
      <c r="W60" s="675"/>
      <c r="X60" s="675"/>
      <c r="Y60" s="675"/>
      <c r="Z60" s="675"/>
      <c r="AA60" s="675"/>
      <c r="AB60" s="675"/>
      <c r="AC60" s="675"/>
      <c r="AD60" s="675"/>
    </row>
    <row r="61" spans="1:62">
      <c r="A61" s="142"/>
      <c r="B61" s="57"/>
      <c r="C61" s="57"/>
      <c r="D61" s="57"/>
      <c r="E61" s="57"/>
      <c r="F61" s="57"/>
      <c r="G61" s="57"/>
      <c r="H61" s="57"/>
      <c r="I61" s="57"/>
      <c r="J61" s="57"/>
      <c r="K61" s="57"/>
      <c r="L61" s="57"/>
      <c r="M61" s="57"/>
      <c r="N61" s="57"/>
      <c r="O61" s="57"/>
      <c r="P61" s="57"/>
      <c r="Q61" s="57"/>
      <c r="R61" s="57"/>
      <c r="S61" s="57"/>
      <c r="T61" s="57"/>
      <c r="U61" s="57"/>
      <c r="V61" s="57"/>
      <c r="W61" s="57"/>
      <c r="X61" s="57"/>
      <c r="Y61" s="57"/>
      <c r="Z61" s="57"/>
      <c r="AA61" s="875" t="s">
        <v>2664</v>
      </c>
      <c r="AB61" s="875"/>
      <c r="AC61" s="875"/>
      <c r="AD61" s="875"/>
    </row>
    <row r="62" spans="1:62" ht="72" customHeight="1">
      <c r="A62" s="49"/>
      <c r="B62" s="54"/>
      <c r="C62" s="797" t="s">
        <v>4313</v>
      </c>
      <c r="D62" s="798"/>
      <c r="E62" s="798"/>
      <c r="F62" s="798"/>
      <c r="G62" s="798"/>
      <c r="H62" s="798"/>
      <c r="I62" s="798"/>
      <c r="J62" s="799"/>
      <c r="K62" s="847" t="s">
        <v>4314</v>
      </c>
      <c r="L62" s="848"/>
      <c r="M62" s="798" t="s">
        <v>4315</v>
      </c>
      <c r="N62" s="798"/>
      <c r="O62" s="798"/>
      <c r="P62" s="798"/>
      <c r="Q62" s="798"/>
      <c r="R62" s="799"/>
      <c r="S62" s="874" t="s">
        <v>4316</v>
      </c>
      <c r="T62" s="874"/>
      <c r="U62" s="874" t="s">
        <v>4317</v>
      </c>
      <c r="V62" s="874"/>
      <c r="W62" s="739" t="s">
        <v>4318</v>
      </c>
      <c r="X62" s="740"/>
      <c r="Y62" s="740"/>
      <c r="Z62" s="740"/>
      <c r="AA62" s="740"/>
      <c r="AB62" s="740"/>
      <c r="AC62" s="740"/>
      <c r="AD62" s="741"/>
      <c r="AG62"/>
      <c r="AH62"/>
      <c r="AI62"/>
      <c r="AJ62"/>
      <c r="AK62"/>
      <c r="AL62"/>
      <c r="AM62"/>
      <c r="AN62"/>
      <c r="AO62"/>
      <c r="AP62"/>
      <c r="AQ62"/>
      <c r="AR62"/>
      <c r="AS62"/>
      <c r="AT62"/>
      <c r="AU62"/>
      <c r="AV62"/>
      <c r="AW62"/>
      <c r="AX62"/>
      <c r="AY62"/>
      <c r="AZ62"/>
      <c r="BA62"/>
      <c r="BB62"/>
      <c r="BC62" s="1057" t="s">
        <v>4319</v>
      </c>
      <c r="BD62" s="1057"/>
      <c r="BE62" s="1058" t="s">
        <v>2591</v>
      </c>
      <c r="BF62" s="1058"/>
      <c r="BG62" s="1057" t="s">
        <v>4320</v>
      </c>
      <c r="BH62" s="1057"/>
      <c r="BI62" s="1058" t="s">
        <v>4321</v>
      </c>
      <c r="BJ62" s="1058"/>
    </row>
    <row r="63" spans="1:62" ht="72" customHeight="1">
      <c r="A63" s="49"/>
      <c r="B63" s="54"/>
      <c r="C63" s="803"/>
      <c r="D63" s="804"/>
      <c r="E63" s="804"/>
      <c r="F63" s="804"/>
      <c r="G63" s="804"/>
      <c r="H63" s="804"/>
      <c r="I63" s="804"/>
      <c r="J63" s="805"/>
      <c r="K63" s="849"/>
      <c r="L63" s="850"/>
      <c r="M63" s="804"/>
      <c r="N63" s="804"/>
      <c r="O63" s="804"/>
      <c r="P63" s="804"/>
      <c r="Q63" s="804"/>
      <c r="R63" s="805"/>
      <c r="S63" s="874"/>
      <c r="T63" s="874"/>
      <c r="U63" s="874"/>
      <c r="V63" s="874"/>
      <c r="W63" s="857" t="s">
        <v>4322</v>
      </c>
      <c r="X63" s="857"/>
      <c r="Y63" s="857" t="s">
        <v>4323</v>
      </c>
      <c r="Z63" s="857"/>
      <c r="AA63" s="857" t="s">
        <v>4324</v>
      </c>
      <c r="AB63" s="857"/>
      <c r="AC63" s="857" t="s">
        <v>4325</v>
      </c>
      <c r="AD63" s="857"/>
      <c r="AG63" s="349" t="s">
        <v>2586</v>
      </c>
      <c r="AH63" s="350" t="s">
        <v>2590</v>
      </c>
      <c r="AI63" s="248" t="s">
        <v>2587</v>
      </c>
      <c r="AJ63" s="249"/>
      <c r="AK63" s="248" t="s">
        <v>2588</v>
      </c>
      <c r="AL63" s="249"/>
      <c r="AM63" s="248" t="s">
        <v>2589</v>
      </c>
      <c r="AN63"/>
      <c r="AO63" s="248" t="s">
        <v>2587</v>
      </c>
      <c r="AP63" s="249"/>
      <c r="AQ63" s="248" t="s">
        <v>2588</v>
      </c>
      <c r="AR63" s="249"/>
      <c r="AS63" s="248" t="s">
        <v>2589</v>
      </c>
      <c r="AT63"/>
      <c r="AU63" s="535" t="s">
        <v>4248</v>
      </c>
      <c r="AV63" s="1059" t="s">
        <v>4326</v>
      </c>
      <c r="AW63" s="1059"/>
      <c r="AX63" s="1059"/>
      <c r="AY63" s="327"/>
      <c r="AZ63"/>
      <c r="BA63" s="536" t="s">
        <v>4327</v>
      </c>
      <c r="BB63" s="537" t="s">
        <v>4328</v>
      </c>
      <c r="BC63" s="256" t="s">
        <v>2591</v>
      </c>
      <c r="BD63" s="257" t="s">
        <v>2592</v>
      </c>
      <c r="BE63" s="256" t="s">
        <v>2591</v>
      </c>
      <c r="BF63" s="257" t="s">
        <v>2592</v>
      </c>
      <c r="BG63" s="256" t="s">
        <v>2591</v>
      </c>
      <c r="BH63" s="257" t="s">
        <v>2592</v>
      </c>
      <c r="BI63" s="256" t="s">
        <v>2591</v>
      </c>
      <c r="BJ63" s="257" t="s">
        <v>2592</v>
      </c>
    </row>
    <row r="64" spans="1:62">
      <c r="A64" s="49"/>
      <c r="B64" s="54"/>
      <c r="C64" s="44" t="s">
        <v>2516</v>
      </c>
      <c r="D64" s="1068"/>
      <c r="E64" s="1068"/>
      <c r="F64" s="1068"/>
      <c r="G64" s="1068"/>
      <c r="H64" s="1068"/>
      <c r="I64" s="1068"/>
      <c r="J64" s="1068"/>
      <c r="K64" s="1069"/>
      <c r="L64" s="1070"/>
      <c r="M64" s="1071"/>
      <c r="N64" s="1072"/>
      <c r="O64" s="1072"/>
      <c r="P64" s="1072"/>
      <c r="Q64" s="1072"/>
      <c r="R64" s="1073"/>
      <c r="S64" s="1069"/>
      <c r="T64" s="1070"/>
      <c r="U64" s="1062"/>
      <c r="V64" s="1063"/>
      <c r="W64" s="1062"/>
      <c r="X64" s="1063"/>
      <c r="Y64" s="1062"/>
      <c r="Z64" s="1063"/>
      <c r="AA64" s="1038"/>
      <c r="AB64" s="1055"/>
      <c r="AC64" s="816"/>
      <c r="AD64" s="817"/>
      <c r="AG64" s="283">
        <f>IF(AND($C$32&lt;&gt;"",$C$32&lt;&gt;1,COUNTA(D64:AD64)=0),0,IF(AND($C$32&lt;&gt;"",$C$32=1,COUNTBLANK(D64)=0,COUNTA(K64:AD64)=5,COUNTA(I118:AD118)&gt;0,AG118=0,AH118=0,AI118=0,AJ118=0,AK118=0),0,IF(AND(COUNTBLANK(D64)=1,COUNTA(K64:AD64,I118:AD118)=0),0,1)))</f>
        <v>0</v>
      </c>
      <c r="AH64" s="353">
        <f>COUNTIF(K64:AD64,"NS")</f>
        <v>0</v>
      </c>
      <c r="AI64" s="249" t="b">
        <f>NOT(EXACT($D64,UPPER($D64)))</f>
        <v>0</v>
      </c>
      <c r="AJ64" s="249" t="str">
        <f>SUBSTITUTE( SUBSTITUTE( SUBSTITUTE( SUBSTITUTE( SUBSTITUTE( SUBSTITUTE( SUBSTITUTE( SUBSTITUTE( SUBSTITUTE( SUBSTITUTE($D64, "á", "a"), "é", "e"), "í", "i"), "ó", "o"), "ú", "u"), "Á", "A"), "É", "E"), "Í", "I"), "Ó", "O"), "Ú", "U")</f>
        <v/>
      </c>
      <c r="AK64" s="249" t="b">
        <f>NOT(EXACT($D64,AJ64))</f>
        <v>0</v>
      </c>
      <c r="AL64" s="249" t="str">
        <f>SUBSTITUTE((SUBSTITUTE(SUBSTITUTE(SUBSTITUTE($D64,".",""),",",""),"(","")),")","")</f>
        <v/>
      </c>
      <c r="AM64" s="249" t="b">
        <f>NOT(EXACT($D64,AL64))</f>
        <v>0</v>
      </c>
      <c r="AN64"/>
      <c r="AO64" s="249" t="b">
        <f>NOT(EXACT($M64,UPPER($M64)))</f>
        <v>0</v>
      </c>
      <c r="AP64" s="249" t="str">
        <f>SUBSTITUTE( SUBSTITUTE( SUBSTITUTE( SUBSTITUTE( SUBSTITUTE( SUBSTITUTE( SUBSTITUTE( SUBSTITUTE( SUBSTITUTE( SUBSTITUTE($M64, "á", "a"), "é", "e"), "í", "i"), "ó", "o"), "ú", "u"), "Á", "A"), "É", "E"), "Í", "I"), "Ó", "O"), "Ú", "U")</f>
        <v/>
      </c>
      <c r="AQ64" s="249" t="b">
        <f>NOT(EXACT($M64,AP64))</f>
        <v>0</v>
      </c>
      <c r="AR64" s="249" t="str">
        <f>SUBSTITUTE((SUBSTITUTE(SUBSTITUTE(SUBSTITUTE($M64,".",""),",",""),"(","")),")","")</f>
        <v/>
      </c>
      <c r="AS64" s="249" t="b">
        <f>NOT(EXACT($M64,AR64))</f>
        <v>0</v>
      </c>
      <c r="AT64"/>
      <c r="AU64">
        <f>IF(K64&lt;=CNSIPEE_2024_M2_Secc1!$C$51,0,IF(K64&lt;="NS",0,1))</f>
        <v>0</v>
      </c>
      <c r="AV64">
        <f>IF(AND(U64&lt;&gt;"",W64=""),0,IF(OR(W64="NS",$U64="NS"),0,IF(AND(W64="NA",$U64="NA"),0,IF(W64&gt;=$U64,0,IF(AND(U64&lt;&gt;"",OR(W64="",W64&lt;&gt;"")),0,1)))))</f>
        <v>0</v>
      </c>
      <c r="AW64">
        <f>IF(AND(U64&lt;&gt;"",Y64=""),0,IF(OR(Y64="NS",$U64="NS"),0,IF(AND(Y64="NA",$U64="NA"),0,IF(Y64&gt;=$U64,0,IF(AND(U64&lt;&gt;"",OR(Y64="",Y64&lt;&gt;"")),0,1)))))</f>
        <v>0</v>
      </c>
      <c r="AX64">
        <f>IF(AND(U64&lt;&gt;"",AA64=""),0,IF(OR(AA64="NS",$U64="NS"),0,IF(AND(AA64="NA",$U64="NA"),0,IF(AA64&gt;=$U64,0,IF(AND(U64&lt;&gt;"",OR(AA64="",AA64&lt;&gt;"")),0,1)))))</f>
        <v>0</v>
      </c>
      <c r="AY64"/>
      <c r="AZ64"/>
      <c r="BA64">
        <f>IF(COUNTA(D64:J113)=Q32,0,1)</f>
        <v>0</v>
      </c>
      <c r="BB64">
        <f>IF(COUNTIF(S64:T113,4)&gt;0,1,0)</f>
        <v>0</v>
      </c>
      <c r="BC64" s="253">
        <f>LEN(U64)</f>
        <v>0</v>
      </c>
      <c r="BD64" s="253">
        <f>IF(U64="NS",0,IF(AND(U64&lt;&gt;"",SUM(BC64)=4),0,IF(U64="",0,1)))</f>
        <v>0</v>
      </c>
      <c r="BE64" s="253">
        <f>LEN(W64)</f>
        <v>0</v>
      </c>
      <c r="BF64" s="253">
        <f>IF(W64="NS",0,IF(AND(W64&lt;&gt;"",SUM(BE64)=4),0,IF(W64="",0,1)))</f>
        <v>0</v>
      </c>
      <c r="BG64" s="253">
        <f>LEN(Y64)</f>
        <v>0</v>
      </c>
      <c r="BH64" s="253">
        <f>IF(Y64="NS",0,IF(AND(Y64&lt;&gt;"",SUM(BG64)=4),0,IF(Y64="",0,1)))</f>
        <v>0</v>
      </c>
      <c r="BI64" s="253">
        <f t="shared" ref="BI64" si="0">LEN(AA64)</f>
        <v>0</v>
      </c>
      <c r="BJ64" s="253">
        <f>IF(AA64="NS",0,IF(AND(AA64&lt;&gt;"",SUM(BI64)=4),0,IF(AA64="",0,1)))</f>
        <v>0</v>
      </c>
    </row>
    <row r="65" spans="1:62">
      <c r="A65" s="49"/>
      <c r="B65" s="54"/>
      <c r="C65" s="44" t="s">
        <v>2517</v>
      </c>
      <c r="D65" s="1068"/>
      <c r="E65" s="1068"/>
      <c r="F65" s="1068"/>
      <c r="G65" s="1068"/>
      <c r="H65" s="1068"/>
      <c r="I65" s="1068"/>
      <c r="J65" s="1068"/>
      <c r="K65" s="1069"/>
      <c r="L65" s="1070"/>
      <c r="M65" s="1071"/>
      <c r="N65" s="1072"/>
      <c r="O65" s="1072"/>
      <c r="P65" s="1072"/>
      <c r="Q65" s="1072"/>
      <c r="R65" s="1073"/>
      <c r="S65" s="1069"/>
      <c r="T65" s="1070"/>
      <c r="U65" s="1062"/>
      <c r="V65" s="1063"/>
      <c r="W65" s="1062"/>
      <c r="X65" s="1063"/>
      <c r="Y65" s="1062"/>
      <c r="Z65" s="1063"/>
      <c r="AA65" s="1038"/>
      <c r="AB65" s="1055"/>
      <c r="AC65" s="816"/>
      <c r="AD65" s="817"/>
      <c r="AG65" s="283">
        <f>IF(AND($C$32&lt;&gt;"",$C$32&lt;&gt;1,COUNTA(D65:AD65)=0),0,IF(AND($C$32&lt;&gt;"",$C$32=1,COUNTBLANK(D65)=0,COUNTA(K65:AD65)=5,COUNTA(I119:AD119)&gt;0,AG119=0,AH119=0,AI119=0,AJ119=0,AK119=0),0,IF(AND(COUNTBLANK(D65)=1,COUNTA(K65:AD65,I119:AD119)=0),0,1)))</f>
        <v>0</v>
      </c>
      <c r="AH65" s="353">
        <f t="shared" ref="AH65:AH113" si="1">COUNTIF(K65:AD65,"NS")</f>
        <v>0</v>
      </c>
      <c r="AI65" s="249" t="b">
        <f t="shared" ref="AI65:AI113" si="2">NOT(EXACT($D65,UPPER($D65)))</f>
        <v>0</v>
      </c>
      <c r="AJ65" s="249" t="str">
        <f t="shared" ref="AJ65:AJ113" si="3">SUBSTITUTE( SUBSTITUTE( SUBSTITUTE( SUBSTITUTE( SUBSTITUTE( SUBSTITUTE( SUBSTITUTE( SUBSTITUTE( SUBSTITUTE( SUBSTITUTE($D65, "á", "a"), "é", "e"), "í", "i"), "ó", "o"), "ú", "u"), "Á", "A"), "É", "E"), "Í", "I"), "Ó", "O"), "Ú", "U")</f>
        <v/>
      </c>
      <c r="AK65" s="249" t="b">
        <f t="shared" ref="AK65:AK113" si="4">NOT(EXACT($D65,AJ65))</f>
        <v>0</v>
      </c>
      <c r="AL65" s="249" t="str">
        <f t="shared" ref="AL65:AL113" si="5">SUBSTITUTE((SUBSTITUTE(SUBSTITUTE(SUBSTITUTE($D65,".",""),",",""),"(","")),")","")</f>
        <v/>
      </c>
      <c r="AM65" s="249" t="b">
        <f t="shared" ref="AM65:AM113" si="6">NOT(EXACT($D65,AL65))</f>
        <v>0</v>
      </c>
      <c r="AN65"/>
      <c r="AO65" s="249" t="b">
        <f t="shared" ref="AO65:AO113" si="7">NOT(EXACT($M65,UPPER($M65)))</f>
        <v>0</v>
      </c>
      <c r="AP65" s="249" t="str">
        <f t="shared" ref="AP65:AP113" si="8">SUBSTITUTE( SUBSTITUTE( SUBSTITUTE( SUBSTITUTE( SUBSTITUTE( SUBSTITUTE( SUBSTITUTE( SUBSTITUTE( SUBSTITUTE( SUBSTITUTE($M65, "á", "a"), "é", "e"), "í", "i"), "ó", "o"), "ú", "u"), "Á", "A"), "É", "E"), "Í", "I"), "Ó", "O"), "Ú", "U")</f>
        <v/>
      </c>
      <c r="AQ65" s="249" t="b">
        <f t="shared" ref="AQ65:AQ113" si="9">NOT(EXACT($M65,AP65))</f>
        <v>0</v>
      </c>
      <c r="AR65" s="249" t="str">
        <f t="shared" ref="AR65:AR113" si="10">SUBSTITUTE((SUBSTITUTE(SUBSTITUTE(SUBSTITUTE($M65,".",""),",",""),"(","")),")","")</f>
        <v/>
      </c>
      <c r="AS65" s="249" t="b">
        <f t="shared" ref="AS65:AS113" si="11">NOT(EXACT($M65,AR65))</f>
        <v>0</v>
      </c>
      <c r="AU65">
        <f>IF(K65&lt;=CNSIPEE_2024_M2_Secc1!$C$51,0,IF(K65&lt;="NS",0,1))</f>
        <v>0</v>
      </c>
      <c r="AV65">
        <f t="shared" ref="AV65:AV113" si="12">IF(AND(U65&lt;&gt;"",W65=""),0,IF(OR(W65="NS",$U65="NS"),0,IF(AND(W65="NA",$U65="NA"),0,IF(W65&gt;=$U65,0,IF(AND(U65&lt;&gt;"",OR(W65="",W65&lt;&gt;"")),0,1)))))</f>
        <v>0</v>
      </c>
      <c r="AW65">
        <f t="shared" ref="AW65:AW113" si="13">IF(AND(U65&lt;&gt;"",Y65=""),0,IF(OR(Y65="NS",$U65="NS"),0,IF(AND(Y65="NA",$U65="NA"),0,IF(Y65&gt;=$U65,0,IF(AND(U65&lt;&gt;"",OR(Y65="",Y65&lt;&gt;"")),0,1)))))</f>
        <v>0</v>
      </c>
      <c r="AX65">
        <f t="shared" ref="AX65:AX112" si="14">IF(AND(U65&lt;&gt;"",AA65=""),0,IF(OR(AA65="NS",$U65="NS"),0,IF(AND(AA65="NA",$U65="NA"),0,IF(AA65&gt;=$U65,0,IF(AND(U65&lt;&gt;"",OR(AA65="",AA65&lt;&gt;"")),0,1)))))</f>
        <v>0</v>
      </c>
      <c r="BB65" s="334" t="s">
        <v>4329</v>
      </c>
      <c r="BC65" s="253">
        <f t="shared" ref="BC65:BC113" si="15">LEN(U65)</f>
        <v>0</v>
      </c>
      <c r="BD65" s="253">
        <f t="shared" ref="BD65:BD113" si="16">IF(U65="NS",0,IF(AND(U65&lt;&gt;"",SUM(BC65)=4),0,IF(U65="",0,1)))</f>
        <v>0</v>
      </c>
      <c r="BE65" s="253">
        <f t="shared" ref="BE65:BE113" si="17">LEN(W65)</f>
        <v>0</v>
      </c>
      <c r="BF65" s="253">
        <f t="shared" ref="BF65:BF113" si="18">IF(W65="NS",0,IF(AND(W65&lt;&gt;"",SUM(BE65)=4),0,IF(W65="",0,1)))</f>
        <v>0</v>
      </c>
      <c r="BG65" s="253">
        <f t="shared" ref="BG65:BG113" si="19">LEN(Y65)</f>
        <v>0</v>
      </c>
      <c r="BH65" s="253">
        <f t="shared" ref="BH65:BH113" si="20">IF(Y65="NS",0,IF(AND(Y65&lt;&gt;"",SUM(BG65)=4),0,IF(Y65="",0,1)))</f>
        <v>0</v>
      </c>
      <c r="BI65" s="253">
        <f t="shared" ref="BI65:BI113" si="21">LEN(AA65)</f>
        <v>0</v>
      </c>
      <c r="BJ65" s="253">
        <f t="shared" ref="BJ65:BJ112" si="22">IF(AA65="NS",0,IF(AND(AA65&lt;&gt;"",SUM(BI65)=4),0,IF(AA65="",0,1)))</f>
        <v>0</v>
      </c>
    </row>
    <row r="66" spans="1:62">
      <c r="A66" s="49"/>
      <c r="B66" s="54"/>
      <c r="C66" s="44" t="s">
        <v>2518</v>
      </c>
      <c r="D66" s="1068"/>
      <c r="E66" s="1068"/>
      <c r="F66" s="1068"/>
      <c r="G66" s="1068"/>
      <c r="H66" s="1068"/>
      <c r="I66" s="1068"/>
      <c r="J66" s="1068"/>
      <c r="K66" s="1069"/>
      <c r="L66" s="1070"/>
      <c r="M66" s="1071"/>
      <c r="N66" s="1072"/>
      <c r="O66" s="1072"/>
      <c r="P66" s="1072"/>
      <c r="Q66" s="1072"/>
      <c r="R66" s="1073"/>
      <c r="S66" s="1069"/>
      <c r="T66" s="1070"/>
      <c r="U66" s="1062"/>
      <c r="V66" s="1063"/>
      <c r="W66" s="1062"/>
      <c r="X66" s="1063"/>
      <c r="Y66" s="1062"/>
      <c r="Z66" s="1063"/>
      <c r="AA66" s="1038"/>
      <c r="AB66" s="1055"/>
      <c r="AC66" s="816"/>
      <c r="AD66" s="817"/>
      <c r="AG66" s="283">
        <f t="shared" ref="AG66:AG113" si="23">IF(AND($C$32&lt;&gt;"",$C$32&lt;&gt;1,COUNTA(D66:AD66)=0),0,IF(AND($C$32&lt;&gt;"",$C$32=1,COUNTBLANK(D66)=0,COUNTA(K66:AD66)=5,COUNTA(I120:AD120)&gt;0,AG120=0,AH120=0,AI120=0,AJ120=0,AK120=0),0,IF(AND(COUNTBLANK(D66)=1,COUNTA(K66:AD66,I120:AD120)=0),0,1)))</f>
        <v>0</v>
      </c>
      <c r="AH66" s="353">
        <f t="shared" si="1"/>
        <v>0</v>
      </c>
      <c r="AI66" s="249" t="b">
        <f t="shared" si="2"/>
        <v>0</v>
      </c>
      <c r="AJ66" s="249" t="str">
        <f t="shared" si="3"/>
        <v/>
      </c>
      <c r="AK66" s="249" t="b">
        <f t="shared" si="4"/>
        <v>0</v>
      </c>
      <c r="AL66" s="249" t="str">
        <f t="shared" si="5"/>
        <v/>
      </c>
      <c r="AM66" s="249" t="b">
        <f t="shared" si="6"/>
        <v>0</v>
      </c>
      <c r="AN66"/>
      <c r="AO66" s="249" t="b">
        <f t="shared" si="7"/>
        <v>0</v>
      </c>
      <c r="AP66" s="249" t="str">
        <f t="shared" si="8"/>
        <v/>
      </c>
      <c r="AQ66" s="249" t="b">
        <f t="shared" si="9"/>
        <v>0</v>
      </c>
      <c r="AR66" s="249" t="str">
        <f t="shared" si="10"/>
        <v/>
      </c>
      <c r="AS66" s="249" t="b">
        <f t="shared" si="11"/>
        <v>0</v>
      </c>
      <c r="AU66">
        <f>IF(K66&lt;=CNSIPEE_2024_M2_Secc1!$C$51,0,IF(K66&lt;="NS",0,1))</f>
        <v>0</v>
      </c>
      <c r="AV66">
        <f t="shared" si="12"/>
        <v>0</v>
      </c>
      <c r="AW66">
        <f t="shared" si="13"/>
        <v>0</v>
      </c>
      <c r="AX66">
        <f t="shared" si="14"/>
        <v>0</v>
      </c>
      <c r="BB66">
        <f>IF(COUNTIF(AC118:AC167,"X")&gt;0,1,0)</f>
        <v>0</v>
      </c>
      <c r="BC66" s="253">
        <f t="shared" si="15"/>
        <v>0</v>
      </c>
      <c r="BD66" s="253">
        <f t="shared" si="16"/>
        <v>0</v>
      </c>
      <c r="BE66" s="253">
        <f t="shared" si="17"/>
        <v>0</v>
      </c>
      <c r="BF66" s="253">
        <f t="shared" si="18"/>
        <v>0</v>
      </c>
      <c r="BG66" s="253">
        <f t="shared" si="19"/>
        <v>0</v>
      </c>
      <c r="BH66" s="253">
        <f t="shared" si="20"/>
        <v>0</v>
      </c>
      <c r="BI66" s="253">
        <f t="shared" si="21"/>
        <v>0</v>
      </c>
      <c r="BJ66" s="253">
        <f t="shared" si="22"/>
        <v>0</v>
      </c>
    </row>
    <row r="67" spans="1:62">
      <c r="A67" s="49"/>
      <c r="B67" s="54"/>
      <c r="C67" s="44" t="s">
        <v>2519</v>
      </c>
      <c r="D67" s="1068"/>
      <c r="E67" s="1068"/>
      <c r="F67" s="1068"/>
      <c r="G67" s="1068"/>
      <c r="H67" s="1068"/>
      <c r="I67" s="1068"/>
      <c r="J67" s="1068"/>
      <c r="K67" s="1069"/>
      <c r="L67" s="1070"/>
      <c r="M67" s="1071"/>
      <c r="N67" s="1072"/>
      <c r="O67" s="1072"/>
      <c r="P67" s="1072"/>
      <c r="Q67" s="1072"/>
      <c r="R67" s="1073"/>
      <c r="S67" s="1069"/>
      <c r="T67" s="1070"/>
      <c r="U67" s="1062"/>
      <c r="V67" s="1063"/>
      <c r="W67" s="1062"/>
      <c r="X67" s="1063"/>
      <c r="Y67" s="1062"/>
      <c r="Z67" s="1063"/>
      <c r="AA67" s="1038"/>
      <c r="AB67" s="1055"/>
      <c r="AC67" s="816"/>
      <c r="AD67" s="817"/>
      <c r="AG67" s="283">
        <f t="shared" si="23"/>
        <v>0</v>
      </c>
      <c r="AH67" s="353">
        <f t="shared" si="1"/>
        <v>0</v>
      </c>
      <c r="AI67" s="249" t="b">
        <f t="shared" si="2"/>
        <v>0</v>
      </c>
      <c r="AJ67" s="249" t="str">
        <f t="shared" si="3"/>
        <v/>
      </c>
      <c r="AK67" s="249" t="b">
        <f t="shared" si="4"/>
        <v>0</v>
      </c>
      <c r="AL67" s="249" t="str">
        <f t="shared" si="5"/>
        <v/>
      </c>
      <c r="AM67" s="249" t="b">
        <f t="shared" si="6"/>
        <v>0</v>
      </c>
      <c r="AN67"/>
      <c r="AO67" s="249" t="b">
        <f t="shared" si="7"/>
        <v>0</v>
      </c>
      <c r="AP67" s="249" t="str">
        <f t="shared" si="8"/>
        <v/>
      </c>
      <c r="AQ67" s="249" t="b">
        <f t="shared" si="9"/>
        <v>0</v>
      </c>
      <c r="AR67" s="249" t="str">
        <f t="shared" si="10"/>
        <v/>
      </c>
      <c r="AS67" s="249" t="b">
        <f t="shared" si="11"/>
        <v>0</v>
      </c>
      <c r="AU67">
        <f>IF(K67&lt;=CNSIPEE_2024_M2_Secc1!$C$51,0,IF(K67&lt;="NS",0,1))</f>
        <v>0</v>
      </c>
      <c r="AV67">
        <f t="shared" si="12"/>
        <v>0</v>
      </c>
      <c r="AW67">
        <f t="shared" si="13"/>
        <v>0</v>
      </c>
      <c r="AX67">
        <f t="shared" si="14"/>
        <v>0</v>
      </c>
      <c r="BC67" s="253">
        <f t="shared" si="15"/>
        <v>0</v>
      </c>
      <c r="BD67" s="253">
        <f t="shared" si="16"/>
        <v>0</v>
      </c>
      <c r="BE67" s="253">
        <f t="shared" si="17"/>
        <v>0</v>
      </c>
      <c r="BF67" s="253">
        <f t="shared" si="18"/>
        <v>0</v>
      </c>
      <c r="BG67" s="253">
        <f t="shared" si="19"/>
        <v>0</v>
      </c>
      <c r="BH67" s="253">
        <f t="shared" si="20"/>
        <v>0</v>
      </c>
      <c r="BI67" s="253">
        <f t="shared" si="21"/>
        <v>0</v>
      </c>
      <c r="BJ67" s="253">
        <f t="shared" si="22"/>
        <v>0</v>
      </c>
    </row>
    <row r="68" spans="1:62">
      <c r="A68" s="49"/>
      <c r="B68" s="54"/>
      <c r="C68" s="44" t="s">
        <v>2520</v>
      </c>
      <c r="D68" s="1068"/>
      <c r="E68" s="1068"/>
      <c r="F68" s="1068"/>
      <c r="G68" s="1068"/>
      <c r="H68" s="1068"/>
      <c r="I68" s="1068"/>
      <c r="J68" s="1068"/>
      <c r="K68" s="1069"/>
      <c r="L68" s="1070"/>
      <c r="M68" s="1071"/>
      <c r="N68" s="1072"/>
      <c r="O68" s="1072"/>
      <c r="P68" s="1072"/>
      <c r="Q68" s="1072"/>
      <c r="R68" s="1073"/>
      <c r="S68" s="1069"/>
      <c r="T68" s="1070"/>
      <c r="U68" s="1062"/>
      <c r="V68" s="1063"/>
      <c r="W68" s="1062"/>
      <c r="X68" s="1063"/>
      <c r="Y68" s="1062"/>
      <c r="Z68" s="1063"/>
      <c r="AA68" s="1038"/>
      <c r="AB68" s="1055"/>
      <c r="AC68" s="816"/>
      <c r="AD68" s="817"/>
      <c r="AG68" s="283">
        <f t="shared" si="23"/>
        <v>0</v>
      </c>
      <c r="AH68" s="353">
        <f t="shared" si="1"/>
        <v>0</v>
      </c>
      <c r="AI68" s="249" t="b">
        <f t="shared" si="2"/>
        <v>0</v>
      </c>
      <c r="AJ68" s="249" t="str">
        <f t="shared" si="3"/>
        <v/>
      </c>
      <c r="AK68" s="249" t="b">
        <f t="shared" si="4"/>
        <v>0</v>
      </c>
      <c r="AL68" s="249" t="str">
        <f t="shared" si="5"/>
        <v/>
      </c>
      <c r="AM68" s="249" t="b">
        <f t="shared" si="6"/>
        <v>0</v>
      </c>
      <c r="AN68"/>
      <c r="AO68" s="249" t="b">
        <f t="shared" si="7"/>
        <v>0</v>
      </c>
      <c r="AP68" s="249" t="str">
        <f t="shared" si="8"/>
        <v/>
      </c>
      <c r="AQ68" s="249" t="b">
        <f t="shared" si="9"/>
        <v>0</v>
      </c>
      <c r="AR68" s="249" t="str">
        <f t="shared" si="10"/>
        <v/>
      </c>
      <c r="AS68" s="249" t="b">
        <f t="shared" si="11"/>
        <v>0</v>
      </c>
      <c r="AU68">
        <f>IF(K68&lt;=CNSIPEE_2024_M2_Secc1!$C$51,0,IF(K68&lt;="NS",0,1))</f>
        <v>0</v>
      </c>
      <c r="AV68">
        <f t="shared" si="12"/>
        <v>0</v>
      </c>
      <c r="AW68">
        <f t="shared" si="13"/>
        <v>0</v>
      </c>
      <c r="AX68">
        <f t="shared" si="14"/>
        <v>0</v>
      </c>
      <c r="BC68" s="253">
        <f t="shared" si="15"/>
        <v>0</v>
      </c>
      <c r="BD68" s="253">
        <f t="shared" si="16"/>
        <v>0</v>
      </c>
      <c r="BE68" s="253">
        <f t="shared" si="17"/>
        <v>0</v>
      </c>
      <c r="BF68" s="253">
        <f t="shared" si="18"/>
        <v>0</v>
      </c>
      <c r="BG68" s="253">
        <f t="shared" si="19"/>
        <v>0</v>
      </c>
      <c r="BH68" s="253">
        <f t="shared" si="20"/>
        <v>0</v>
      </c>
      <c r="BI68" s="253">
        <f t="shared" si="21"/>
        <v>0</v>
      </c>
      <c r="BJ68" s="253">
        <f t="shared" si="22"/>
        <v>0</v>
      </c>
    </row>
    <row r="69" spans="1:62">
      <c r="A69" s="49"/>
      <c r="B69" s="54"/>
      <c r="C69" s="44" t="s">
        <v>2521</v>
      </c>
      <c r="D69" s="1068"/>
      <c r="E69" s="1068"/>
      <c r="F69" s="1068"/>
      <c r="G69" s="1068"/>
      <c r="H69" s="1068"/>
      <c r="I69" s="1068"/>
      <c r="J69" s="1068"/>
      <c r="K69" s="1069"/>
      <c r="L69" s="1070"/>
      <c r="M69" s="1071"/>
      <c r="N69" s="1072"/>
      <c r="O69" s="1072"/>
      <c r="P69" s="1072"/>
      <c r="Q69" s="1072"/>
      <c r="R69" s="1073"/>
      <c r="S69" s="1069"/>
      <c r="T69" s="1070"/>
      <c r="U69" s="1062"/>
      <c r="V69" s="1063"/>
      <c r="W69" s="1062"/>
      <c r="X69" s="1063"/>
      <c r="Y69" s="1062"/>
      <c r="Z69" s="1063"/>
      <c r="AA69" s="1038"/>
      <c r="AB69" s="1055"/>
      <c r="AC69" s="816"/>
      <c r="AD69" s="817"/>
      <c r="AG69" s="283">
        <f t="shared" si="23"/>
        <v>0</v>
      </c>
      <c r="AH69" s="353">
        <f t="shared" si="1"/>
        <v>0</v>
      </c>
      <c r="AI69" s="249" t="b">
        <f t="shared" si="2"/>
        <v>0</v>
      </c>
      <c r="AJ69" s="249" t="str">
        <f t="shared" si="3"/>
        <v/>
      </c>
      <c r="AK69" s="249" t="b">
        <f t="shared" si="4"/>
        <v>0</v>
      </c>
      <c r="AL69" s="249" t="str">
        <f t="shared" si="5"/>
        <v/>
      </c>
      <c r="AM69" s="249" t="b">
        <f t="shared" si="6"/>
        <v>0</v>
      </c>
      <c r="AN69"/>
      <c r="AO69" s="249" t="b">
        <f t="shared" si="7"/>
        <v>0</v>
      </c>
      <c r="AP69" s="249" t="str">
        <f t="shared" si="8"/>
        <v/>
      </c>
      <c r="AQ69" s="249" t="b">
        <f t="shared" si="9"/>
        <v>0</v>
      </c>
      <c r="AR69" s="249" t="str">
        <f t="shared" si="10"/>
        <v/>
      </c>
      <c r="AS69" s="249" t="b">
        <f t="shared" si="11"/>
        <v>0</v>
      </c>
      <c r="AU69">
        <f>IF(K69&lt;=CNSIPEE_2024_M2_Secc1!$C$51,0,IF(K69&lt;="NS",0,1))</f>
        <v>0</v>
      </c>
      <c r="AV69">
        <f t="shared" si="12"/>
        <v>0</v>
      </c>
      <c r="AW69">
        <f t="shared" si="13"/>
        <v>0</v>
      </c>
      <c r="AX69">
        <f t="shared" si="14"/>
        <v>0</v>
      </c>
      <c r="BC69" s="253">
        <f t="shared" si="15"/>
        <v>0</v>
      </c>
      <c r="BD69" s="253">
        <f t="shared" si="16"/>
        <v>0</v>
      </c>
      <c r="BE69" s="253">
        <f t="shared" si="17"/>
        <v>0</v>
      </c>
      <c r="BF69" s="253">
        <f t="shared" si="18"/>
        <v>0</v>
      </c>
      <c r="BG69" s="253">
        <f t="shared" si="19"/>
        <v>0</v>
      </c>
      <c r="BH69" s="253">
        <f t="shared" si="20"/>
        <v>0</v>
      </c>
      <c r="BI69" s="253">
        <f t="shared" si="21"/>
        <v>0</v>
      </c>
      <c r="BJ69" s="253">
        <f t="shared" si="22"/>
        <v>0</v>
      </c>
    </row>
    <row r="70" spans="1:62">
      <c r="A70" s="49"/>
      <c r="B70" s="54"/>
      <c r="C70" s="44" t="s">
        <v>2522</v>
      </c>
      <c r="D70" s="1068"/>
      <c r="E70" s="1068"/>
      <c r="F70" s="1068"/>
      <c r="G70" s="1068"/>
      <c r="H70" s="1068"/>
      <c r="I70" s="1068"/>
      <c r="J70" s="1068"/>
      <c r="K70" s="1069"/>
      <c r="L70" s="1070"/>
      <c r="M70" s="1071"/>
      <c r="N70" s="1072"/>
      <c r="O70" s="1072"/>
      <c r="P70" s="1072"/>
      <c r="Q70" s="1072"/>
      <c r="R70" s="1073"/>
      <c r="S70" s="1069"/>
      <c r="T70" s="1070"/>
      <c r="U70" s="1062"/>
      <c r="V70" s="1063"/>
      <c r="W70" s="1062"/>
      <c r="X70" s="1063"/>
      <c r="Y70" s="1062"/>
      <c r="Z70" s="1063"/>
      <c r="AA70" s="1038"/>
      <c r="AB70" s="1055"/>
      <c r="AC70" s="816"/>
      <c r="AD70" s="817"/>
      <c r="AG70" s="283">
        <f t="shared" si="23"/>
        <v>0</v>
      </c>
      <c r="AH70" s="353">
        <f t="shared" si="1"/>
        <v>0</v>
      </c>
      <c r="AI70" s="249" t="b">
        <f t="shared" si="2"/>
        <v>0</v>
      </c>
      <c r="AJ70" s="249" t="str">
        <f t="shared" si="3"/>
        <v/>
      </c>
      <c r="AK70" s="249" t="b">
        <f t="shared" si="4"/>
        <v>0</v>
      </c>
      <c r="AL70" s="249" t="str">
        <f t="shared" si="5"/>
        <v/>
      </c>
      <c r="AM70" s="249" t="b">
        <f t="shared" si="6"/>
        <v>0</v>
      </c>
      <c r="AN70"/>
      <c r="AO70" s="249" t="b">
        <f t="shared" si="7"/>
        <v>0</v>
      </c>
      <c r="AP70" s="249" t="str">
        <f t="shared" si="8"/>
        <v/>
      </c>
      <c r="AQ70" s="249" t="b">
        <f t="shared" si="9"/>
        <v>0</v>
      </c>
      <c r="AR70" s="249" t="str">
        <f t="shared" si="10"/>
        <v/>
      </c>
      <c r="AS70" s="249" t="b">
        <f t="shared" si="11"/>
        <v>0</v>
      </c>
      <c r="AU70">
        <f>IF(K70&lt;=CNSIPEE_2024_M2_Secc1!$C$51,0,IF(K70&lt;="NS",0,1))</f>
        <v>0</v>
      </c>
      <c r="AV70">
        <f t="shared" si="12"/>
        <v>0</v>
      </c>
      <c r="AW70">
        <f t="shared" si="13"/>
        <v>0</v>
      </c>
      <c r="AX70">
        <f t="shared" si="14"/>
        <v>0</v>
      </c>
      <c r="BC70" s="253">
        <f t="shared" si="15"/>
        <v>0</v>
      </c>
      <c r="BD70" s="253">
        <f t="shared" si="16"/>
        <v>0</v>
      </c>
      <c r="BE70" s="253">
        <f t="shared" si="17"/>
        <v>0</v>
      </c>
      <c r="BF70" s="253">
        <f t="shared" si="18"/>
        <v>0</v>
      </c>
      <c r="BG70" s="253">
        <f t="shared" si="19"/>
        <v>0</v>
      </c>
      <c r="BH70" s="253">
        <f t="shared" si="20"/>
        <v>0</v>
      </c>
      <c r="BI70" s="253">
        <f t="shared" si="21"/>
        <v>0</v>
      </c>
      <c r="BJ70" s="253">
        <f t="shared" si="22"/>
        <v>0</v>
      </c>
    </row>
    <row r="71" spans="1:62">
      <c r="A71" s="49"/>
      <c r="B71" s="54"/>
      <c r="C71" s="44" t="s">
        <v>2523</v>
      </c>
      <c r="D71" s="1068"/>
      <c r="E71" s="1068"/>
      <c r="F71" s="1068"/>
      <c r="G71" s="1068"/>
      <c r="H71" s="1068"/>
      <c r="I71" s="1068"/>
      <c r="J71" s="1068"/>
      <c r="K71" s="1069"/>
      <c r="L71" s="1070"/>
      <c r="M71" s="1071"/>
      <c r="N71" s="1072"/>
      <c r="O71" s="1072"/>
      <c r="P71" s="1072"/>
      <c r="Q71" s="1072"/>
      <c r="R71" s="1073"/>
      <c r="S71" s="1069"/>
      <c r="T71" s="1070"/>
      <c r="U71" s="1062"/>
      <c r="V71" s="1063"/>
      <c r="W71" s="1062"/>
      <c r="X71" s="1063"/>
      <c r="Y71" s="1062"/>
      <c r="Z71" s="1063"/>
      <c r="AA71" s="1038"/>
      <c r="AB71" s="1055"/>
      <c r="AC71" s="816"/>
      <c r="AD71" s="817"/>
      <c r="AG71" s="283">
        <f t="shared" si="23"/>
        <v>0</v>
      </c>
      <c r="AH71" s="353">
        <f t="shared" si="1"/>
        <v>0</v>
      </c>
      <c r="AI71" s="249" t="b">
        <f t="shared" si="2"/>
        <v>0</v>
      </c>
      <c r="AJ71" s="249" t="str">
        <f t="shared" si="3"/>
        <v/>
      </c>
      <c r="AK71" s="249" t="b">
        <f t="shared" si="4"/>
        <v>0</v>
      </c>
      <c r="AL71" s="249" t="str">
        <f t="shared" si="5"/>
        <v/>
      </c>
      <c r="AM71" s="249" t="b">
        <f t="shared" si="6"/>
        <v>0</v>
      </c>
      <c r="AN71"/>
      <c r="AO71" s="249" t="b">
        <f t="shared" si="7"/>
        <v>0</v>
      </c>
      <c r="AP71" s="249" t="str">
        <f t="shared" si="8"/>
        <v/>
      </c>
      <c r="AQ71" s="249" t="b">
        <f t="shared" si="9"/>
        <v>0</v>
      </c>
      <c r="AR71" s="249" t="str">
        <f t="shared" si="10"/>
        <v/>
      </c>
      <c r="AS71" s="249" t="b">
        <f t="shared" si="11"/>
        <v>0</v>
      </c>
      <c r="AU71">
        <f>IF(K71&lt;=CNSIPEE_2024_M2_Secc1!$C$51,0,IF(K71&lt;="NS",0,1))</f>
        <v>0</v>
      </c>
      <c r="AV71">
        <f t="shared" si="12"/>
        <v>0</v>
      </c>
      <c r="AW71">
        <f t="shared" si="13"/>
        <v>0</v>
      </c>
      <c r="AX71">
        <f t="shared" si="14"/>
        <v>0</v>
      </c>
      <c r="BC71" s="253">
        <f t="shared" si="15"/>
        <v>0</v>
      </c>
      <c r="BD71" s="253">
        <f t="shared" si="16"/>
        <v>0</v>
      </c>
      <c r="BE71" s="253">
        <f t="shared" si="17"/>
        <v>0</v>
      </c>
      <c r="BF71" s="253">
        <f t="shared" si="18"/>
        <v>0</v>
      </c>
      <c r="BG71" s="253">
        <f t="shared" si="19"/>
        <v>0</v>
      </c>
      <c r="BH71" s="253">
        <f t="shared" si="20"/>
        <v>0</v>
      </c>
      <c r="BI71" s="253">
        <f t="shared" si="21"/>
        <v>0</v>
      </c>
      <c r="BJ71" s="253">
        <f t="shared" si="22"/>
        <v>0</v>
      </c>
    </row>
    <row r="72" spans="1:62">
      <c r="A72" s="49"/>
      <c r="B72" s="54"/>
      <c r="C72" s="44" t="s">
        <v>2524</v>
      </c>
      <c r="D72" s="1068"/>
      <c r="E72" s="1068"/>
      <c r="F72" s="1068"/>
      <c r="G72" s="1068"/>
      <c r="H72" s="1068"/>
      <c r="I72" s="1068"/>
      <c r="J72" s="1068"/>
      <c r="K72" s="1069"/>
      <c r="L72" s="1070"/>
      <c r="M72" s="1071"/>
      <c r="N72" s="1072"/>
      <c r="O72" s="1072"/>
      <c r="P72" s="1072"/>
      <c r="Q72" s="1072"/>
      <c r="R72" s="1073"/>
      <c r="S72" s="1069"/>
      <c r="T72" s="1070"/>
      <c r="U72" s="1062"/>
      <c r="V72" s="1063"/>
      <c r="W72" s="1062"/>
      <c r="X72" s="1063"/>
      <c r="Y72" s="1062"/>
      <c r="Z72" s="1063"/>
      <c r="AA72" s="1038"/>
      <c r="AB72" s="1055"/>
      <c r="AC72" s="816"/>
      <c r="AD72" s="817"/>
      <c r="AG72" s="283">
        <f t="shared" si="23"/>
        <v>0</v>
      </c>
      <c r="AH72" s="353">
        <f t="shared" si="1"/>
        <v>0</v>
      </c>
      <c r="AI72" s="249" t="b">
        <f t="shared" si="2"/>
        <v>0</v>
      </c>
      <c r="AJ72" s="249" t="str">
        <f t="shared" si="3"/>
        <v/>
      </c>
      <c r="AK72" s="249" t="b">
        <f t="shared" si="4"/>
        <v>0</v>
      </c>
      <c r="AL72" s="249" t="str">
        <f t="shared" si="5"/>
        <v/>
      </c>
      <c r="AM72" s="249" t="b">
        <f t="shared" si="6"/>
        <v>0</v>
      </c>
      <c r="AN72"/>
      <c r="AO72" s="249" t="b">
        <f t="shared" si="7"/>
        <v>0</v>
      </c>
      <c r="AP72" s="249" t="str">
        <f t="shared" si="8"/>
        <v/>
      </c>
      <c r="AQ72" s="249" t="b">
        <f t="shared" si="9"/>
        <v>0</v>
      </c>
      <c r="AR72" s="249" t="str">
        <f t="shared" si="10"/>
        <v/>
      </c>
      <c r="AS72" s="249" t="b">
        <f t="shared" si="11"/>
        <v>0</v>
      </c>
      <c r="AU72">
        <f>IF(K72&lt;=CNSIPEE_2024_M2_Secc1!$C$51,0,IF(K72&lt;="NS",0,1))</f>
        <v>0</v>
      </c>
      <c r="AV72">
        <f t="shared" si="12"/>
        <v>0</v>
      </c>
      <c r="AW72">
        <f t="shared" si="13"/>
        <v>0</v>
      </c>
      <c r="AX72">
        <f t="shared" si="14"/>
        <v>0</v>
      </c>
      <c r="BC72" s="253">
        <f t="shared" si="15"/>
        <v>0</v>
      </c>
      <c r="BD72" s="253">
        <f t="shared" si="16"/>
        <v>0</v>
      </c>
      <c r="BE72" s="253">
        <f t="shared" si="17"/>
        <v>0</v>
      </c>
      <c r="BF72" s="253">
        <f t="shared" si="18"/>
        <v>0</v>
      </c>
      <c r="BG72" s="253">
        <f t="shared" si="19"/>
        <v>0</v>
      </c>
      <c r="BH72" s="253">
        <f t="shared" si="20"/>
        <v>0</v>
      </c>
      <c r="BI72" s="253">
        <f t="shared" si="21"/>
        <v>0</v>
      </c>
      <c r="BJ72" s="253">
        <f t="shared" si="22"/>
        <v>0</v>
      </c>
    </row>
    <row r="73" spans="1:62">
      <c r="A73" s="49"/>
      <c r="B73" s="54"/>
      <c r="C73" s="44" t="s">
        <v>2525</v>
      </c>
      <c r="D73" s="1068"/>
      <c r="E73" s="1068"/>
      <c r="F73" s="1068"/>
      <c r="G73" s="1068"/>
      <c r="H73" s="1068"/>
      <c r="I73" s="1068"/>
      <c r="J73" s="1068"/>
      <c r="K73" s="1069"/>
      <c r="L73" s="1070"/>
      <c r="M73" s="1071"/>
      <c r="N73" s="1072"/>
      <c r="O73" s="1072"/>
      <c r="P73" s="1072"/>
      <c r="Q73" s="1072"/>
      <c r="R73" s="1073"/>
      <c r="S73" s="1069"/>
      <c r="T73" s="1070"/>
      <c r="U73" s="1062"/>
      <c r="V73" s="1063"/>
      <c r="W73" s="1062"/>
      <c r="X73" s="1063"/>
      <c r="Y73" s="1062"/>
      <c r="Z73" s="1063"/>
      <c r="AA73" s="1038"/>
      <c r="AB73" s="1055"/>
      <c r="AC73" s="816"/>
      <c r="AD73" s="817"/>
      <c r="AG73" s="283">
        <f t="shared" si="23"/>
        <v>0</v>
      </c>
      <c r="AH73" s="353">
        <f t="shared" si="1"/>
        <v>0</v>
      </c>
      <c r="AI73" s="249" t="b">
        <f t="shared" si="2"/>
        <v>0</v>
      </c>
      <c r="AJ73" s="249" t="str">
        <f t="shared" si="3"/>
        <v/>
      </c>
      <c r="AK73" s="249" t="b">
        <f t="shared" si="4"/>
        <v>0</v>
      </c>
      <c r="AL73" s="249" t="str">
        <f t="shared" si="5"/>
        <v/>
      </c>
      <c r="AM73" s="249" t="b">
        <f t="shared" si="6"/>
        <v>0</v>
      </c>
      <c r="AN73"/>
      <c r="AO73" s="249" t="b">
        <f t="shared" si="7"/>
        <v>0</v>
      </c>
      <c r="AP73" s="249" t="str">
        <f t="shared" si="8"/>
        <v/>
      </c>
      <c r="AQ73" s="249" t="b">
        <f t="shared" si="9"/>
        <v>0</v>
      </c>
      <c r="AR73" s="249" t="str">
        <f t="shared" si="10"/>
        <v/>
      </c>
      <c r="AS73" s="249" t="b">
        <f t="shared" si="11"/>
        <v>0</v>
      </c>
      <c r="AU73">
        <f>IF(K73&lt;=CNSIPEE_2024_M2_Secc1!$C$51,0,IF(K73&lt;="NS",0,1))</f>
        <v>0</v>
      </c>
      <c r="AV73">
        <f t="shared" si="12"/>
        <v>0</v>
      </c>
      <c r="AW73">
        <f t="shared" si="13"/>
        <v>0</v>
      </c>
      <c r="AX73">
        <f t="shared" si="14"/>
        <v>0</v>
      </c>
      <c r="BC73" s="253">
        <f t="shared" si="15"/>
        <v>0</v>
      </c>
      <c r="BD73" s="253">
        <f t="shared" si="16"/>
        <v>0</v>
      </c>
      <c r="BE73" s="253">
        <f t="shared" si="17"/>
        <v>0</v>
      </c>
      <c r="BF73" s="253">
        <f t="shared" si="18"/>
        <v>0</v>
      </c>
      <c r="BG73" s="253">
        <f t="shared" si="19"/>
        <v>0</v>
      </c>
      <c r="BH73" s="253">
        <f t="shared" si="20"/>
        <v>0</v>
      </c>
      <c r="BI73" s="253">
        <f t="shared" si="21"/>
        <v>0</v>
      </c>
      <c r="BJ73" s="253">
        <f t="shared" si="22"/>
        <v>0</v>
      </c>
    </row>
    <row r="74" spans="1:62">
      <c r="A74" s="49"/>
      <c r="B74" s="54"/>
      <c r="C74" s="44" t="s">
        <v>2526</v>
      </c>
      <c r="D74" s="1068"/>
      <c r="E74" s="1068"/>
      <c r="F74" s="1068"/>
      <c r="G74" s="1068"/>
      <c r="H74" s="1068"/>
      <c r="I74" s="1068"/>
      <c r="J74" s="1068"/>
      <c r="K74" s="1069"/>
      <c r="L74" s="1070"/>
      <c r="M74" s="1071"/>
      <c r="N74" s="1072"/>
      <c r="O74" s="1072"/>
      <c r="P74" s="1072"/>
      <c r="Q74" s="1072"/>
      <c r="R74" s="1073"/>
      <c r="S74" s="1069"/>
      <c r="T74" s="1070"/>
      <c r="U74" s="1062"/>
      <c r="V74" s="1063"/>
      <c r="W74" s="1062"/>
      <c r="X74" s="1063"/>
      <c r="Y74" s="1062"/>
      <c r="Z74" s="1063"/>
      <c r="AA74" s="1038"/>
      <c r="AB74" s="1055"/>
      <c r="AC74" s="816"/>
      <c r="AD74" s="817"/>
      <c r="AG74" s="283">
        <f t="shared" si="23"/>
        <v>0</v>
      </c>
      <c r="AH74" s="353">
        <f t="shared" si="1"/>
        <v>0</v>
      </c>
      <c r="AI74" s="249" t="b">
        <f t="shared" si="2"/>
        <v>0</v>
      </c>
      <c r="AJ74" s="249" t="str">
        <f t="shared" si="3"/>
        <v/>
      </c>
      <c r="AK74" s="249" t="b">
        <f t="shared" si="4"/>
        <v>0</v>
      </c>
      <c r="AL74" s="249" t="str">
        <f t="shared" si="5"/>
        <v/>
      </c>
      <c r="AM74" s="249" t="b">
        <f t="shared" si="6"/>
        <v>0</v>
      </c>
      <c r="AN74"/>
      <c r="AO74" s="249" t="b">
        <f t="shared" si="7"/>
        <v>0</v>
      </c>
      <c r="AP74" s="249" t="str">
        <f t="shared" si="8"/>
        <v/>
      </c>
      <c r="AQ74" s="249" t="b">
        <f t="shared" si="9"/>
        <v>0</v>
      </c>
      <c r="AR74" s="249" t="str">
        <f t="shared" si="10"/>
        <v/>
      </c>
      <c r="AS74" s="249" t="b">
        <f t="shared" si="11"/>
        <v>0</v>
      </c>
      <c r="AU74">
        <f>IF(K74&lt;=CNSIPEE_2024_M2_Secc1!$C$51,0,IF(K74&lt;="NS",0,1))</f>
        <v>0</v>
      </c>
      <c r="AV74">
        <f t="shared" si="12"/>
        <v>0</v>
      </c>
      <c r="AW74">
        <f t="shared" si="13"/>
        <v>0</v>
      </c>
      <c r="AX74">
        <f t="shared" si="14"/>
        <v>0</v>
      </c>
      <c r="BC74" s="253">
        <f t="shared" si="15"/>
        <v>0</v>
      </c>
      <c r="BD74" s="253">
        <f t="shared" si="16"/>
        <v>0</v>
      </c>
      <c r="BE74" s="253">
        <f t="shared" si="17"/>
        <v>0</v>
      </c>
      <c r="BF74" s="253">
        <f t="shared" si="18"/>
        <v>0</v>
      </c>
      <c r="BG74" s="253">
        <f t="shared" si="19"/>
        <v>0</v>
      </c>
      <c r="BH74" s="253">
        <f t="shared" si="20"/>
        <v>0</v>
      </c>
      <c r="BI74" s="253">
        <f t="shared" si="21"/>
        <v>0</v>
      </c>
      <c r="BJ74" s="253">
        <f t="shared" si="22"/>
        <v>0</v>
      </c>
    </row>
    <row r="75" spans="1:62">
      <c r="A75" s="49"/>
      <c r="B75" s="54"/>
      <c r="C75" s="44" t="s">
        <v>2527</v>
      </c>
      <c r="D75" s="1068"/>
      <c r="E75" s="1068"/>
      <c r="F75" s="1068"/>
      <c r="G75" s="1068"/>
      <c r="H75" s="1068"/>
      <c r="I75" s="1068"/>
      <c r="J75" s="1068"/>
      <c r="K75" s="1069"/>
      <c r="L75" s="1070"/>
      <c r="M75" s="1071"/>
      <c r="N75" s="1072"/>
      <c r="O75" s="1072"/>
      <c r="P75" s="1072"/>
      <c r="Q75" s="1072"/>
      <c r="R75" s="1073"/>
      <c r="S75" s="1069"/>
      <c r="T75" s="1070"/>
      <c r="U75" s="1062"/>
      <c r="V75" s="1063"/>
      <c r="W75" s="1062"/>
      <c r="X75" s="1063"/>
      <c r="Y75" s="1062"/>
      <c r="Z75" s="1063"/>
      <c r="AA75" s="1038"/>
      <c r="AB75" s="1055"/>
      <c r="AC75" s="816"/>
      <c r="AD75" s="817"/>
      <c r="AG75" s="283">
        <f t="shared" si="23"/>
        <v>0</v>
      </c>
      <c r="AH75" s="353">
        <f t="shared" si="1"/>
        <v>0</v>
      </c>
      <c r="AI75" s="249" t="b">
        <f t="shared" si="2"/>
        <v>0</v>
      </c>
      <c r="AJ75" s="249" t="str">
        <f t="shared" si="3"/>
        <v/>
      </c>
      <c r="AK75" s="249" t="b">
        <f t="shared" si="4"/>
        <v>0</v>
      </c>
      <c r="AL75" s="249" t="str">
        <f t="shared" si="5"/>
        <v/>
      </c>
      <c r="AM75" s="249" t="b">
        <f t="shared" si="6"/>
        <v>0</v>
      </c>
      <c r="AN75"/>
      <c r="AO75" s="249" t="b">
        <f t="shared" si="7"/>
        <v>0</v>
      </c>
      <c r="AP75" s="249" t="str">
        <f t="shared" si="8"/>
        <v/>
      </c>
      <c r="AQ75" s="249" t="b">
        <f t="shared" si="9"/>
        <v>0</v>
      </c>
      <c r="AR75" s="249" t="str">
        <f t="shared" si="10"/>
        <v/>
      </c>
      <c r="AS75" s="249" t="b">
        <f t="shared" si="11"/>
        <v>0</v>
      </c>
      <c r="AU75">
        <f>IF(K75&lt;=CNSIPEE_2024_M2_Secc1!$C$51,0,IF(K75&lt;="NS",0,1))</f>
        <v>0</v>
      </c>
      <c r="AV75">
        <f t="shared" si="12"/>
        <v>0</v>
      </c>
      <c r="AW75">
        <f t="shared" si="13"/>
        <v>0</v>
      </c>
      <c r="AX75">
        <f t="shared" si="14"/>
        <v>0</v>
      </c>
      <c r="BC75" s="253">
        <f t="shared" si="15"/>
        <v>0</v>
      </c>
      <c r="BD75" s="253">
        <f t="shared" si="16"/>
        <v>0</v>
      </c>
      <c r="BE75" s="253">
        <f t="shared" si="17"/>
        <v>0</v>
      </c>
      <c r="BF75" s="253">
        <f t="shared" si="18"/>
        <v>0</v>
      </c>
      <c r="BG75" s="253">
        <f t="shared" si="19"/>
        <v>0</v>
      </c>
      <c r="BH75" s="253">
        <f t="shared" si="20"/>
        <v>0</v>
      </c>
      <c r="BI75" s="253">
        <f t="shared" si="21"/>
        <v>0</v>
      </c>
      <c r="BJ75" s="253">
        <f t="shared" si="22"/>
        <v>0</v>
      </c>
    </row>
    <row r="76" spans="1:62">
      <c r="A76" s="49"/>
      <c r="B76" s="54"/>
      <c r="C76" s="44" t="s">
        <v>2528</v>
      </c>
      <c r="D76" s="1068"/>
      <c r="E76" s="1068"/>
      <c r="F76" s="1068"/>
      <c r="G76" s="1068"/>
      <c r="H76" s="1068"/>
      <c r="I76" s="1068"/>
      <c r="J76" s="1068"/>
      <c r="K76" s="1069"/>
      <c r="L76" s="1070"/>
      <c r="M76" s="1071"/>
      <c r="N76" s="1072"/>
      <c r="O76" s="1072"/>
      <c r="P76" s="1072"/>
      <c r="Q76" s="1072"/>
      <c r="R76" s="1073"/>
      <c r="S76" s="1069"/>
      <c r="T76" s="1070"/>
      <c r="U76" s="1062"/>
      <c r="V76" s="1063"/>
      <c r="W76" s="1062"/>
      <c r="X76" s="1063"/>
      <c r="Y76" s="1062"/>
      <c r="Z76" s="1063"/>
      <c r="AA76" s="1038"/>
      <c r="AB76" s="1055"/>
      <c r="AC76" s="816"/>
      <c r="AD76" s="817"/>
      <c r="AG76" s="283">
        <f t="shared" si="23"/>
        <v>0</v>
      </c>
      <c r="AH76" s="353">
        <f t="shared" si="1"/>
        <v>0</v>
      </c>
      <c r="AI76" s="249" t="b">
        <f t="shared" si="2"/>
        <v>0</v>
      </c>
      <c r="AJ76" s="249" t="str">
        <f t="shared" si="3"/>
        <v/>
      </c>
      <c r="AK76" s="249" t="b">
        <f t="shared" si="4"/>
        <v>0</v>
      </c>
      <c r="AL76" s="249" t="str">
        <f t="shared" si="5"/>
        <v/>
      </c>
      <c r="AM76" s="249" t="b">
        <f t="shared" si="6"/>
        <v>0</v>
      </c>
      <c r="AN76"/>
      <c r="AO76" s="249" t="b">
        <f t="shared" si="7"/>
        <v>0</v>
      </c>
      <c r="AP76" s="249" t="str">
        <f t="shared" si="8"/>
        <v/>
      </c>
      <c r="AQ76" s="249" t="b">
        <f t="shared" si="9"/>
        <v>0</v>
      </c>
      <c r="AR76" s="249" t="str">
        <f t="shared" si="10"/>
        <v/>
      </c>
      <c r="AS76" s="249" t="b">
        <f t="shared" si="11"/>
        <v>0</v>
      </c>
      <c r="AU76">
        <f>IF(K76&lt;=CNSIPEE_2024_M2_Secc1!$C$51,0,IF(K76&lt;="NS",0,1))</f>
        <v>0</v>
      </c>
      <c r="AV76">
        <f t="shared" si="12"/>
        <v>0</v>
      </c>
      <c r="AW76">
        <f t="shared" si="13"/>
        <v>0</v>
      </c>
      <c r="AX76">
        <f t="shared" si="14"/>
        <v>0</v>
      </c>
      <c r="BC76" s="253">
        <f t="shared" si="15"/>
        <v>0</v>
      </c>
      <c r="BD76" s="253">
        <f t="shared" si="16"/>
        <v>0</v>
      </c>
      <c r="BE76" s="253">
        <f t="shared" si="17"/>
        <v>0</v>
      </c>
      <c r="BF76" s="253">
        <f t="shared" si="18"/>
        <v>0</v>
      </c>
      <c r="BG76" s="253">
        <f t="shared" si="19"/>
        <v>0</v>
      </c>
      <c r="BH76" s="253">
        <f t="shared" si="20"/>
        <v>0</v>
      </c>
      <c r="BI76" s="253">
        <f t="shared" si="21"/>
        <v>0</v>
      </c>
      <c r="BJ76" s="253">
        <f t="shared" si="22"/>
        <v>0</v>
      </c>
    </row>
    <row r="77" spans="1:62">
      <c r="A77" s="49"/>
      <c r="B77" s="54"/>
      <c r="C77" s="44" t="s">
        <v>2529</v>
      </c>
      <c r="D77" s="1068"/>
      <c r="E77" s="1068"/>
      <c r="F77" s="1068"/>
      <c r="G77" s="1068"/>
      <c r="H77" s="1068"/>
      <c r="I77" s="1068"/>
      <c r="J77" s="1068"/>
      <c r="K77" s="1069"/>
      <c r="L77" s="1070"/>
      <c r="M77" s="1071"/>
      <c r="N77" s="1072"/>
      <c r="O77" s="1072"/>
      <c r="P77" s="1072"/>
      <c r="Q77" s="1072"/>
      <c r="R77" s="1073"/>
      <c r="S77" s="1069"/>
      <c r="T77" s="1070"/>
      <c r="U77" s="1062"/>
      <c r="V77" s="1063"/>
      <c r="W77" s="1062"/>
      <c r="X77" s="1063"/>
      <c r="Y77" s="1062"/>
      <c r="Z77" s="1063"/>
      <c r="AA77" s="1038"/>
      <c r="AB77" s="1055"/>
      <c r="AC77" s="816"/>
      <c r="AD77" s="817"/>
      <c r="AG77" s="283">
        <f t="shared" si="23"/>
        <v>0</v>
      </c>
      <c r="AH77" s="353">
        <f t="shared" si="1"/>
        <v>0</v>
      </c>
      <c r="AI77" s="249" t="b">
        <f t="shared" si="2"/>
        <v>0</v>
      </c>
      <c r="AJ77" s="249" t="str">
        <f t="shared" si="3"/>
        <v/>
      </c>
      <c r="AK77" s="249" t="b">
        <f t="shared" si="4"/>
        <v>0</v>
      </c>
      <c r="AL77" s="249" t="str">
        <f t="shared" si="5"/>
        <v/>
      </c>
      <c r="AM77" s="249" t="b">
        <f t="shared" si="6"/>
        <v>0</v>
      </c>
      <c r="AN77"/>
      <c r="AO77" s="249" t="b">
        <f t="shared" si="7"/>
        <v>0</v>
      </c>
      <c r="AP77" s="249" t="str">
        <f t="shared" si="8"/>
        <v/>
      </c>
      <c r="AQ77" s="249" t="b">
        <f t="shared" si="9"/>
        <v>0</v>
      </c>
      <c r="AR77" s="249" t="str">
        <f t="shared" si="10"/>
        <v/>
      </c>
      <c r="AS77" s="249" t="b">
        <f t="shared" si="11"/>
        <v>0</v>
      </c>
      <c r="AU77">
        <f>IF(K77&lt;=CNSIPEE_2024_M2_Secc1!$C$51,0,IF(K77&lt;="NS",0,1))</f>
        <v>0</v>
      </c>
      <c r="AV77">
        <f t="shared" si="12"/>
        <v>0</v>
      </c>
      <c r="AW77">
        <f t="shared" si="13"/>
        <v>0</v>
      </c>
      <c r="AX77">
        <f t="shared" si="14"/>
        <v>0</v>
      </c>
      <c r="BC77" s="253">
        <f t="shared" si="15"/>
        <v>0</v>
      </c>
      <c r="BD77" s="253">
        <f t="shared" si="16"/>
        <v>0</v>
      </c>
      <c r="BE77" s="253">
        <f t="shared" si="17"/>
        <v>0</v>
      </c>
      <c r="BF77" s="253">
        <f t="shared" si="18"/>
        <v>0</v>
      </c>
      <c r="BG77" s="253">
        <f t="shared" si="19"/>
        <v>0</v>
      </c>
      <c r="BH77" s="253">
        <f t="shared" si="20"/>
        <v>0</v>
      </c>
      <c r="BI77" s="253">
        <f t="shared" si="21"/>
        <v>0</v>
      </c>
      <c r="BJ77" s="253">
        <f t="shared" si="22"/>
        <v>0</v>
      </c>
    </row>
    <row r="78" spans="1:62">
      <c r="A78" s="49"/>
      <c r="B78" s="54"/>
      <c r="C78" s="44" t="s">
        <v>2530</v>
      </c>
      <c r="D78" s="1068"/>
      <c r="E78" s="1068"/>
      <c r="F78" s="1068"/>
      <c r="G78" s="1068"/>
      <c r="H78" s="1068"/>
      <c r="I78" s="1068"/>
      <c r="J78" s="1068"/>
      <c r="K78" s="1069"/>
      <c r="L78" s="1070"/>
      <c r="M78" s="1071"/>
      <c r="N78" s="1072"/>
      <c r="O78" s="1072"/>
      <c r="P78" s="1072"/>
      <c r="Q78" s="1072"/>
      <c r="R78" s="1073"/>
      <c r="S78" s="1069"/>
      <c r="T78" s="1070"/>
      <c r="U78" s="1062"/>
      <c r="V78" s="1063"/>
      <c r="W78" s="1062"/>
      <c r="X78" s="1063"/>
      <c r="Y78" s="1062"/>
      <c r="Z78" s="1063"/>
      <c r="AA78" s="1038"/>
      <c r="AB78" s="1055"/>
      <c r="AC78" s="816"/>
      <c r="AD78" s="817"/>
      <c r="AG78" s="283">
        <f t="shared" si="23"/>
        <v>0</v>
      </c>
      <c r="AH78" s="353">
        <f t="shared" si="1"/>
        <v>0</v>
      </c>
      <c r="AI78" s="249" t="b">
        <f t="shared" si="2"/>
        <v>0</v>
      </c>
      <c r="AJ78" s="249" t="str">
        <f t="shared" si="3"/>
        <v/>
      </c>
      <c r="AK78" s="249" t="b">
        <f t="shared" si="4"/>
        <v>0</v>
      </c>
      <c r="AL78" s="249" t="str">
        <f t="shared" si="5"/>
        <v/>
      </c>
      <c r="AM78" s="249" t="b">
        <f t="shared" si="6"/>
        <v>0</v>
      </c>
      <c r="AN78"/>
      <c r="AO78" s="249" t="b">
        <f t="shared" si="7"/>
        <v>0</v>
      </c>
      <c r="AP78" s="249" t="str">
        <f t="shared" si="8"/>
        <v/>
      </c>
      <c r="AQ78" s="249" t="b">
        <f t="shared" si="9"/>
        <v>0</v>
      </c>
      <c r="AR78" s="249" t="str">
        <f t="shared" si="10"/>
        <v/>
      </c>
      <c r="AS78" s="249" t="b">
        <f t="shared" si="11"/>
        <v>0</v>
      </c>
      <c r="AU78">
        <f>IF(K78&lt;=CNSIPEE_2024_M2_Secc1!$C$51,0,IF(K78&lt;="NS",0,1))</f>
        <v>0</v>
      </c>
      <c r="AV78">
        <f t="shared" si="12"/>
        <v>0</v>
      </c>
      <c r="AW78">
        <f t="shared" si="13"/>
        <v>0</v>
      </c>
      <c r="AX78">
        <f t="shared" si="14"/>
        <v>0</v>
      </c>
      <c r="BC78" s="253">
        <f t="shared" si="15"/>
        <v>0</v>
      </c>
      <c r="BD78" s="253">
        <f t="shared" si="16"/>
        <v>0</v>
      </c>
      <c r="BE78" s="253">
        <f t="shared" si="17"/>
        <v>0</v>
      </c>
      <c r="BF78" s="253">
        <f t="shared" si="18"/>
        <v>0</v>
      </c>
      <c r="BG78" s="253">
        <f t="shared" si="19"/>
        <v>0</v>
      </c>
      <c r="BH78" s="253">
        <f t="shared" si="20"/>
        <v>0</v>
      </c>
      <c r="BI78" s="253">
        <f t="shared" si="21"/>
        <v>0</v>
      </c>
      <c r="BJ78" s="253">
        <f t="shared" si="22"/>
        <v>0</v>
      </c>
    </row>
    <row r="79" spans="1:62">
      <c r="A79" s="49"/>
      <c r="B79" s="54"/>
      <c r="C79" s="44" t="s">
        <v>2531</v>
      </c>
      <c r="D79" s="1068"/>
      <c r="E79" s="1068"/>
      <c r="F79" s="1068"/>
      <c r="G79" s="1068"/>
      <c r="H79" s="1068"/>
      <c r="I79" s="1068"/>
      <c r="J79" s="1068"/>
      <c r="K79" s="1069"/>
      <c r="L79" s="1070"/>
      <c r="M79" s="1071"/>
      <c r="N79" s="1072"/>
      <c r="O79" s="1072"/>
      <c r="P79" s="1072"/>
      <c r="Q79" s="1072"/>
      <c r="R79" s="1073"/>
      <c r="S79" s="1069"/>
      <c r="T79" s="1070"/>
      <c r="U79" s="1062"/>
      <c r="V79" s="1063"/>
      <c r="W79" s="1062"/>
      <c r="X79" s="1063"/>
      <c r="Y79" s="1062"/>
      <c r="Z79" s="1063"/>
      <c r="AA79" s="1038"/>
      <c r="AB79" s="1055"/>
      <c r="AC79" s="816"/>
      <c r="AD79" s="817"/>
      <c r="AG79" s="283">
        <f t="shared" si="23"/>
        <v>0</v>
      </c>
      <c r="AH79" s="353">
        <f t="shared" si="1"/>
        <v>0</v>
      </c>
      <c r="AI79" s="249" t="b">
        <f t="shared" si="2"/>
        <v>0</v>
      </c>
      <c r="AJ79" s="249" t="str">
        <f t="shared" si="3"/>
        <v/>
      </c>
      <c r="AK79" s="249" t="b">
        <f t="shared" si="4"/>
        <v>0</v>
      </c>
      <c r="AL79" s="249" t="str">
        <f t="shared" si="5"/>
        <v/>
      </c>
      <c r="AM79" s="249" t="b">
        <f t="shared" si="6"/>
        <v>0</v>
      </c>
      <c r="AN79"/>
      <c r="AO79" s="249" t="b">
        <f t="shared" si="7"/>
        <v>0</v>
      </c>
      <c r="AP79" s="249" t="str">
        <f t="shared" si="8"/>
        <v/>
      </c>
      <c r="AQ79" s="249" t="b">
        <f t="shared" si="9"/>
        <v>0</v>
      </c>
      <c r="AR79" s="249" t="str">
        <f t="shared" si="10"/>
        <v/>
      </c>
      <c r="AS79" s="249" t="b">
        <f t="shared" si="11"/>
        <v>0</v>
      </c>
      <c r="AU79">
        <f>IF(K79&lt;=CNSIPEE_2024_M2_Secc1!$C$51,0,IF(K79&lt;="NS",0,1))</f>
        <v>0</v>
      </c>
      <c r="AV79">
        <f t="shared" si="12"/>
        <v>0</v>
      </c>
      <c r="AW79">
        <f t="shared" si="13"/>
        <v>0</v>
      </c>
      <c r="AX79">
        <f t="shared" si="14"/>
        <v>0</v>
      </c>
      <c r="BC79" s="253">
        <f t="shared" si="15"/>
        <v>0</v>
      </c>
      <c r="BD79" s="253">
        <f t="shared" si="16"/>
        <v>0</v>
      </c>
      <c r="BE79" s="253">
        <f t="shared" si="17"/>
        <v>0</v>
      </c>
      <c r="BF79" s="253">
        <f t="shared" si="18"/>
        <v>0</v>
      </c>
      <c r="BG79" s="253">
        <f t="shared" si="19"/>
        <v>0</v>
      </c>
      <c r="BH79" s="253">
        <f t="shared" si="20"/>
        <v>0</v>
      </c>
      <c r="BI79" s="253">
        <f t="shared" si="21"/>
        <v>0</v>
      </c>
      <c r="BJ79" s="253">
        <f t="shared" si="22"/>
        <v>0</v>
      </c>
    </row>
    <row r="80" spans="1:62">
      <c r="A80" s="49"/>
      <c r="B80" s="54"/>
      <c r="C80" s="44" t="s">
        <v>2532</v>
      </c>
      <c r="D80" s="1068"/>
      <c r="E80" s="1068"/>
      <c r="F80" s="1068"/>
      <c r="G80" s="1068"/>
      <c r="H80" s="1068"/>
      <c r="I80" s="1068"/>
      <c r="J80" s="1068"/>
      <c r="K80" s="1069"/>
      <c r="L80" s="1070"/>
      <c r="M80" s="1071"/>
      <c r="N80" s="1072"/>
      <c r="O80" s="1072"/>
      <c r="P80" s="1072"/>
      <c r="Q80" s="1072"/>
      <c r="R80" s="1073"/>
      <c r="S80" s="1069"/>
      <c r="T80" s="1070"/>
      <c r="U80" s="1062"/>
      <c r="V80" s="1063"/>
      <c r="W80" s="1062"/>
      <c r="X80" s="1063"/>
      <c r="Y80" s="1062"/>
      <c r="Z80" s="1063"/>
      <c r="AA80" s="1038"/>
      <c r="AB80" s="1055"/>
      <c r="AC80" s="816"/>
      <c r="AD80" s="817"/>
      <c r="AG80" s="283">
        <f t="shared" si="23"/>
        <v>0</v>
      </c>
      <c r="AH80" s="353">
        <f t="shared" si="1"/>
        <v>0</v>
      </c>
      <c r="AI80" s="249" t="b">
        <f t="shared" si="2"/>
        <v>0</v>
      </c>
      <c r="AJ80" s="249" t="str">
        <f t="shared" si="3"/>
        <v/>
      </c>
      <c r="AK80" s="249" t="b">
        <f t="shared" si="4"/>
        <v>0</v>
      </c>
      <c r="AL80" s="249" t="str">
        <f t="shared" si="5"/>
        <v/>
      </c>
      <c r="AM80" s="249" t="b">
        <f t="shared" si="6"/>
        <v>0</v>
      </c>
      <c r="AN80"/>
      <c r="AO80" s="249" t="b">
        <f t="shared" si="7"/>
        <v>0</v>
      </c>
      <c r="AP80" s="249" t="str">
        <f t="shared" si="8"/>
        <v/>
      </c>
      <c r="AQ80" s="249" t="b">
        <f t="shared" si="9"/>
        <v>0</v>
      </c>
      <c r="AR80" s="249" t="str">
        <f t="shared" si="10"/>
        <v/>
      </c>
      <c r="AS80" s="249" t="b">
        <f t="shared" si="11"/>
        <v>0</v>
      </c>
      <c r="AU80">
        <f>IF(K80&lt;=CNSIPEE_2024_M2_Secc1!$C$51,0,IF(K80&lt;="NS",0,1))</f>
        <v>0</v>
      </c>
      <c r="AV80">
        <f t="shared" si="12"/>
        <v>0</v>
      </c>
      <c r="AW80">
        <f t="shared" si="13"/>
        <v>0</v>
      </c>
      <c r="AX80">
        <f t="shared" si="14"/>
        <v>0</v>
      </c>
      <c r="BC80" s="253">
        <f t="shared" si="15"/>
        <v>0</v>
      </c>
      <c r="BD80" s="253">
        <f t="shared" si="16"/>
        <v>0</v>
      </c>
      <c r="BE80" s="253">
        <f t="shared" si="17"/>
        <v>0</v>
      </c>
      <c r="BF80" s="253">
        <f t="shared" si="18"/>
        <v>0</v>
      </c>
      <c r="BG80" s="253">
        <f t="shared" si="19"/>
        <v>0</v>
      </c>
      <c r="BH80" s="253">
        <f t="shared" si="20"/>
        <v>0</v>
      </c>
      <c r="BI80" s="253">
        <f t="shared" si="21"/>
        <v>0</v>
      </c>
      <c r="BJ80" s="253">
        <f t="shared" si="22"/>
        <v>0</v>
      </c>
    </row>
    <row r="81" spans="1:62">
      <c r="A81" s="49"/>
      <c r="B81" s="54"/>
      <c r="C81" s="44" t="s">
        <v>2533</v>
      </c>
      <c r="D81" s="1068"/>
      <c r="E81" s="1068"/>
      <c r="F81" s="1068"/>
      <c r="G81" s="1068"/>
      <c r="H81" s="1068"/>
      <c r="I81" s="1068"/>
      <c r="J81" s="1068"/>
      <c r="K81" s="1069"/>
      <c r="L81" s="1070"/>
      <c r="M81" s="1071"/>
      <c r="N81" s="1072"/>
      <c r="O81" s="1072"/>
      <c r="P81" s="1072"/>
      <c r="Q81" s="1072"/>
      <c r="R81" s="1073"/>
      <c r="S81" s="1069"/>
      <c r="T81" s="1070"/>
      <c r="U81" s="1062"/>
      <c r="V81" s="1063"/>
      <c r="W81" s="1062"/>
      <c r="X81" s="1063"/>
      <c r="Y81" s="1062"/>
      <c r="Z81" s="1063"/>
      <c r="AA81" s="1038"/>
      <c r="AB81" s="1055"/>
      <c r="AC81" s="816"/>
      <c r="AD81" s="817"/>
      <c r="AG81" s="283">
        <f t="shared" si="23"/>
        <v>0</v>
      </c>
      <c r="AH81" s="353">
        <f t="shared" si="1"/>
        <v>0</v>
      </c>
      <c r="AI81" s="249" t="b">
        <f t="shared" si="2"/>
        <v>0</v>
      </c>
      <c r="AJ81" s="249" t="str">
        <f t="shared" si="3"/>
        <v/>
      </c>
      <c r="AK81" s="249" t="b">
        <f t="shared" si="4"/>
        <v>0</v>
      </c>
      <c r="AL81" s="249" t="str">
        <f t="shared" si="5"/>
        <v/>
      </c>
      <c r="AM81" s="249" t="b">
        <f t="shared" si="6"/>
        <v>0</v>
      </c>
      <c r="AN81"/>
      <c r="AO81" s="249" t="b">
        <f t="shared" si="7"/>
        <v>0</v>
      </c>
      <c r="AP81" s="249" t="str">
        <f t="shared" si="8"/>
        <v/>
      </c>
      <c r="AQ81" s="249" t="b">
        <f t="shared" si="9"/>
        <v>0</v>
      </c>
      <c r="AR81" s="249" t="str">
        <f t="shared" si="10"/>
        <v/>
      </c>
      <c r="AS81" s="249" t="b">
        <f t="shared" si="11"/>
        <v>0</v>
      </c>
      <c r="AU81">
        <f>IF(K81&lt;=CNSIPEE_2024_M2_Secc1!$C$51,0,IF(K81&lt;="NS",0,1))</f>
        <v>0</v>
      </c>
      <c r="AV81">
        <f t="shared" si="12"/>
        <v>0</v>
      </c>
      <c r="AW81">
        <f t="shared" si="13"/>
        <v>0</v>
      </c>
      <c r="AX81">
        <f t="shared" si="14"/>
        <v>0</v>
      </c>
      <c r="BC81" s="253">
        <f t="shared" si="15"/>
        <v>0</v>
      </c>
      <c r="BD81" s="253">
        <f t="shared" si="16"/>
        <v>0</v>
      </c>
      <c r="BE81" s="253">
        <f t="shared" si="17"/>
        <v>0</v>
      </c>
      <c r="BF81" s="253">
        <f t="shared" si="18"/>
        <v>0</v>
      </c>
      <c r="BG81" s="253">
        <f t="shared" si="19"/>
        <v>0</v>
      </c>
      <c r="BH81" s="253">
        <f t="shared" si="20"/>
        <v>0</v>
      </c>
      <c r="BI81" s="253">
        <f t="shared" si="21"/>
        <v>0</v>
      </c>
      <c r="BJ81" s="253">
        <f t="shared" si="22"/>
        <v>0</v>
      </c>
    </row>
    <row r="82" spans="1:62">
      <c r="A82" s="49"/>
      <c r="B82" s="54"/>
      <c r="C82" s="44" t="s">
        <v>2534</v>
      </c>
      <c r="D82" s="1068"/>
      <c r="E82" s="1068"/>
      <c r="F82" s="1068"/>
      <c r="G82" s="1068"/>
      <c r="H82" s="1068"/>
      <c r="I82" s="1068"/>
      <c r="J82" s="1068"/>
      <c r="K82" s="1069"/>
      <c r="L82" s="1070"/>
      <c r="M82" s="1071"/>
      <c r="N82" s="1072"/>
      <c r="O82" s="1072"/>
      <c r="P82" s="1072"/>
      <c r="Q82" s="1072"/>
      <c r="R82" s="1073"/>
      <c r="S82" s="1069"/>
      <c r="T82" s="1070"/>
      <c r="U82" s="1062"/>
      <c r="V82" s="1063"/>
      <c r="W82" s="1062"/>
      <c r="X82" s="1063"/>
      <c r="Y82" s="1062"/>
      <c r="Z82" s="1063"/>
      <c r="AA82" s="1038"/>
      <c r="AB82" s="1055"/>
      <c r="AC82" s="816"/>
      <c r="AD82" s="817"/>
      <c r="AG82" s="283">
        <f t="shared" si="23"/>
        <v>0</v>
      </c>
      <c r="AH82" s="353">
        <f t="shared" si="1"/>
        <v>0</v>
      </c>
      <c r="AI82" s="249" t="b">
        <f t="shared" si="2"/>
        <v>0</v>
      </c>
      <c r="AJ82" s="249" t="str">
        <f t="shared" si="3"/>
        <v/>
      </c>
      <c r="AK82" s="249" t="b">
        <f t="shared" si="4"/>
        <v>0</v>
      </c>
      <c r="AL82" s="249" t="str">
        <f t="shared" si="5"/>
        <v/>
      </c>
      <c r="AM82" s="249" t="b">
        <f t="shared" si="6"/>
        <v>0</v>
      </c>
      <c r="AN82"/>
      <c r="AO82" s="249" t="b">
        <f t="shared" si="7"/>
        <v>0</v>
      </c>
      <c r="AP82" s="249" t="str">
        <f t="shared" si="8"/>
        <v/>
      </c>
      <c r="AQ82" s="249" t="b">
        <f t="shared" si="9"/>
        <v>0</v>
      </c>
      <c r="AR82" s="249" t="str">
        <f t="shared" si="10"/>
        <v/>
      </c>
      <c r="AS82" s="249" t="b">
        <f t="shared" si="11"/>
        <v>0</v>
      </c>
      <c r="AU82">
        <f>IF(K82&lt;=CNSIPEE_2024_M2_Secc1!$C$51,0,IF(K82&lt;="NS",0,1))</f>
        <v>0</v>
      </c>
      <c r="AV82">
        <f t="shared" si="12"/>
        <v>0</v>
      </c>
      <c r="AW82">
        <f t="shared" si="13"/>
        <v>0</v>
      </c>
      <c r="AX82">
        <f t="shared" si="14"/>
        <v>0</v>
      </c>
      <c r="BC82" s="253">
        <f t="shared" si="15"/>
        <v>0</v>
      </c>
      <c r="BD82" s="253">
        <f t="shared" si="16"/>
        <v>0</v>
      </c>
      <c r="BE82" s="253">
        <f t="shared" si="17"/>
        <v>0</v>
      </c>
      <c r="BF82" s="253">
        <f t="shared" si="18"/>
        <v>0</v>
      </c>
      <c r="BG82" s="253">
        <f t="shared" si="19"/>
        <v>0</v>
      </c>
      <c r="BH82" s="253">
        <f t="shared" si="20"/>
        <v>0</v>
      </c>
      <c r="BI82" s="253">
        <f t="shared" si="21"/>
        <v>0</v>
      </c>
      <c r="BJ82" s="253">
        <f t="shared" si="22"/>
        <v>0</v>
      </c>
    </row>
    <row r="83" spans="1:62">
      <c r="A83" s="49"/>
      <c r="B83" s="54"/>
      <c r="C83" s="44" t="s">
        <v>2535</v>
      </c>
      <c r="D83" s="1068"/>
      <c r="E83" s="1068"/>
      <c r="F83" s="1068"/>
      <c r="G83" s="1068"/>
      <c r="H83" s="1068"/>
      <c r="I83" s="1068"/>
      <c r="J83" s="1068"/>
      <c r="K83" s="1069"/>
      <c r="L83" s="1070"/>
      <c r="M83" s="1071"/>
      <c r="N83" s="1072"/>
      <c r="O83" s="1072"/>
      <c r="P83" s="1072"/>
      <c r="Q83" s="1072"/>
      <c r="R83" s="1073"/>
      <c r="S83" s="1069"/>
      <c r="T83" s="1070"/>
      <c r="U83" s="1062"/>
      <c r="V83" s="1063"/>
      <c r="W83" s="1062"/>
      <c r="X83" s="1063"/>
      <c r="Y83" s="1062"/>
      <c r="Z83" s="1063"/>
      <c r="AA83" s="1038"/>
      <c r="AB83" s="1055"/>
      <c r="AC83" s="816"/>
      <c r="AD83" s="817"/>
      <c r="AG83" s="283">
        <f t="shared" si="23"/>
        <v>0</v>
      </c>
      <c r="AH83" s="353">
        <f t="shared" si="1"/>
        <v>0</v>
      </c>
      <c r="AI83" s="249" t="b">
        <f t="shared" si="2"/>
        <v>0</v>
      </c>
      <c r="AJ83" s="249" t="str">
        <f t="shared" si="3"/>
        <v/>
      </c>
      <c r="AK83" s="249" t="b">
        <f t="shared" si="4"/>
        <v>0</v>
      </c>
      <c r="AL83" s="249" t="str">
        <f t="shared" si="5"/>
        <v/>
      </c>
      <c r="AM83" s="249" t="b">
        <f t="shared" si="6"/>
        <v>0</v>
      </c>
      <c r="AN83"/>
      <c r="AO83" s="249" t="b">
        <f t="shared" si="7"/>
        <v>0</v>
      </c>
      <c r="AP83" s="249" t="str">
        <f t="shared" si="8"/>
        <v/>
      </c>
      <c r="AQ83" s="249" t="b">
        <f t="shared" si="9"/>
        <v>0</v>
      </c>
      <c r="AR83" s="249" t="str">
        <f t="shared" si="10"/>
        <v/>
      </c>
      <c r="AS83" s="249" t="b">
        <f t="shared" si="11"/>
        <v>0</v>
      </c>
      <c r="AU83">
        <f>IF(K83&lt;=CNSIPEE_2024_M2_Secc1!$C$51,0,IF(K83&lt;="NS",0,1))</f>
        <v>0</v>
      </c>
      <c r="AV83">
        <f t="shared" si="12"/>
        <v>0</v>
      </c>
      <c r="AW83">
        <f t="shared" si="13"/>
        <v>0</v>
      </c>
      <c r="AX83">
        <f t="shared" si="14"/>
        <v>0</v>
      </c>
      <c r="BC83" s="253">
        <f t="shared" si="15"/>
        <v>0</v>
      </c>
      <c r="BD83" s="253">
        <f t="shared" si="16"/>
        <v>0</v>
      </c>
      <c r="BE83" s="253">
        <f t="shared" si="17"/>
        <v>0</v>
      </c>
      <c r="BF83" s="253">
        <f t="shared" si="18"/>
        <v>0</v>
      </c>
      <c r="BG83" s="253">
        <f t="shared" si="19"/>
        <v>0</v>
      </c>
      <c r="BH83" s="253">
        <f t="shared" si="20"/>
        <v>0</v>
      </c>
      <c r="BI83" s="253">
        <f t="shared" si="21"/>
        <v>0</v>
      </c>
      <c r="BJ83" s="253">
        <f t="shared" si="22"/>
        <v>0</v>
      </c>
    </row>
    <row r="84" spans="1:62">
      <c r="A84" s="49"/>
      <c r="B84" s="54"/>
      <c r="C84" s="44" t="s">
        <v>2536</v>
      </c>
      <c r="D84" s="1068"/>
      <c r="E84" s="1068"/>
      <c r="F84" s="1068"/>
      <c r="G84" s="1068"/>
      <c r="H84" s="1068"/>
      <c r="I84" s="1068"/>
      <c r="J84" s="1068"/>
      <c r="K84" s="1069"/>
      <c r="L84" s="1070"/>
      <c r="M84" s="1071"/>
      <c r="N84" s="1072"/>
      <c r="O84" s="1072"/>
      <c r="P84" s="1072"/>
      <c r="Q84" s="1072"/>
      <c r="R84" s="1073"/>
      <c r="S84" s="1069"/>
      <c r="T84" s="1070"/>
      <c r="U84" s="1062"/>
      <c r="V84" s="1063"/>
      <c r="W84" s="1062"/>
      <c r="X84" s="1063"/>
      <c r="Y84" s="1062"/>
      <c r="Z84" s="1063"/>
      <c r="AA84" s="1038"/>
      <c r="AB84" s="1055"/>
      <c r="AC84" s="816"/>
      <c r="AD84" s="817"/>
      <c r="AG84" s="283">
        <f t="shared" si="23"/>
        <v>0</v>
      </c>
      <c r="AH84" s="353">
        <f t="shared" si="1"/>
        <v>0</v>
      </c>
      <c r="AI84" s="249" t="b">
        <f t="shared" si="2"/>
        <v>0</v>
      </c>
      <c r="AJ84" s="249" t="str">
        <f t="shared" si="3"/>
        <v/>
      </c>
      <c r="AK84" s="249" t="b">
        <f t="shared" si="4"/>
        <v>0</v>
      </c>
      <c r="AL84" s="249" t="str">
        <f t="shared" si="5"/>
        <v/>
      </c>
      <c r="AM84" s="249" t="b">
        <f t="shared" si="6"/>
        <v>0</v>
      </c>
      <c r="AN84"/>
      <c r="AO84" s="249" t="b">
        <f t="shared" si="7"/>
        <v>0</v>
      </c>
      <c r="AP84" s="249" t="str">
        <f t="shared" si="8"/>
        <v/>
      </c>
      <c r="AQ84" s="249" t="b">
        <f t="shared" si="9"/>
        <v>0</v>
      </c>
      <c r="AR84" s="249" t="str">
        <f t="shared" si="10"/>
        <v/>
      </c>
      <c r="AS84" s="249" t="b">
        <f t="shared" si="11"/>
        <v>0</v>
      </c>
      <c r="AU84">
        <f>IF(K84&lt;=CNSIPEE_2024_M2_Secc1!$C$51,0,IF(K84&lt;="NS",0,1))</f>
        <v>0</v>
      </c>
      <c r="AV84">
        <f t="shared" si="12"/>
        <v>0</v>
      </c>
      <c r="AW84">
        <f t="shared" si="13"/>
        <v>0</v>
      </c>
      <c r="AX84">
        <f t="shared" si="14"/>
        <v>0</v>
      </c>
      <c r="BC84" s="253">
        <f t="shared" si="15"/>
        <v>0</v>
      </c>
      <c r="BD84" s="253">
        <f t="shared" si="16"/>
        <v>0</v>
      </c>
      <c r="BE84" s="253">
        <f t="shared" si="17"/>
        <v>0</v>
      </c>
      <c r="BF84" s="253">
        <f t="shared" si="18"/>
        <v>0</v>
      </c>
      <c r="BG84" s="253">
        <f t="shared" si="19"/>
        <v>0</v>
      </c>
      <c r="BH84" s="253">
        <f t="shared" si="20"/>
        <v>0</v>
      </c>
      <c r="BI84" s="253">
        <f t="shared" si="21"/>
        <v>0</v>
      </c>
      <c r="BJ84" s="253">
        <f t="shared" si="22"/>
        <v>0</v>
      </c>
    </row>
    <row r="85" spans="1:62">
      <c r="A85" s="49"/>
      <c r="B85" s="54"/>
      <c r="C85" s="44" t="s">
        <v>2537</v>
      </c>
      <c r="D85" s="1068"/>
      <c r="E85" s="1068"/>
      <c r="F85" s="1068"/>
      <c r="G85" s="1068"/>
      <c r="H85" s="1068"/>
      <c r="I85" s="1068"/>
      <c r="J85" s="1068"/>
      <c r="K85" s="1069"/>
      <c r="L85" s="1070"/>
      <c r="M85" s="1071"/>
      <c r="N85" s="1072"/>
      <c r="O85" s="1072"/>
      <c r="P85" s="1072"/>
      <c r="Q85" s="1072"/>
      <c r="R85" s="1073"/>
      <c r="S85" s="1069"/>
      <c r="T85" s="1070"/>
      <c r="U85" s="1062"/>
      <c r="V85" s="1063"/>
      <c r="W85" s="1062"/>
      <c r="X85" s="1063"/>
      <c r="Y85" s="1062"/>
      <c r="Z85" s="1063"/>
      <c r="AA85" s="1038"/>
      <c r="AB85" s="1055"/>
      <c r="AC85" s="816"/>
      <c r="AD85" s="817"/>
      <c r="AG85" s="283">
        <f t="shared" si="23"/>
        <v>0</v>
      </c>
      <c r="AH85" s="353">
        <f t="shared" si="1"/>
        <v>0</v>
      </c>
      <c r="AI85" s="249" t="b">
        <f t="shared" si="2"/>
        <v>0</v>
      </c>
      <c r="AJ85" s="249" t="str">
        <f t="shared" si="3"/>
        <v/>
      </c>
      <c r="AK85" s="249" t="b">
        <f t="shared" si="4"/>
        <v>0</v>
      </c>
      <c r="AL85" s="249" t="str">
        <f t="shared" si="5"/>
        <v/>
      </c>
      <c r="AM85" s="249" t="b">
        <f t="shared" si="6"/>
        <v>0</v>
      </c>
      <c r="AN85"/>
      <c r="AO85" s="249" t="b">
        <f t="shared" si="7"/>
        <v>0</v>
      </c>
      <c r="AP85" s="249" t="str">
        <f t="shared" si="8"/>
        <v/>
      </c>
      <c r="AQ85" s="249" t="b">
        <f t="shared" si="9"/>
        <v>0</v>
      </c>
      <c r="AR85" s="249" t="str">
        <f t="shared" si="10"/>
        <v/>
      </c>
      <c r="AS85" s="249" t="b">
        <f t="shared" si="11"/>
        <v>0</v>
      </c>
      <c r="AU85">
        <f>IF(K85&lt;=CNSIPEE_2024_M2_Secc1!$C$51,0,IF(K85&lt;="NS",0,1))</f>
        <v>0</v>
      </c>
      <c r="AV85">
        <f t="shared" si="12"/>
        <v>0</v>
      </c>
      <c r="AW85">
        <f t="shared" si="13"/>
        <v>0</v>
      </c>
      <c r="AX85">
        <f t="shared" si="14"/>
        <v>0</v>
      </c>
      <c r="BC85" s="253">
        <f t="shared" si="15"/>
        <v>0</v>
      </c>
      <c r="BD85" s="253">
        <f t="shared" si="16"/>
        <v>0</v>
      </c>
      <c r="BE85" s="253">
        <f t="shared" si="17"/>
        <v>0</v>
      </c>
      <c r="BF85" s="253">
        <f t="shared" si="18"/>
        <v>0</v>
      </c>
      <c r="BG85" s="253">
        <f t="shared" si="19"/>
        <v>0</v>
      </c>
      <c r="BH85" s="253">
        <f t="shared" si="20"/>
        <v>0</v>
      </c>
      <c r="BI85" s="253">
        <f t="shared" si="21"/>
        <v>0</v>
      </c>
      <c r="BJ85" s="253">
        <f t="shared" si="22"/>
        <v>0</v>
      </c>
    </row>
    <row r="86" spans="1:62">
      <c r="A86" s="49"/>
      <c r="B86" s="54"/>
      <c r="C86" s="44" t="s">
        <v>2538</v>
      </c>
      <c r="D86" s="1068"/>
      <c r="E86" s="1068"/>
      <c r="F86" s="1068"/>
      <c r="G86" s="1068"/>
      <c r="H86" s="1068"/>
      <c r="I86" s="1068"/>
      <c r="J86" s="1068"/>
      <c r="K86" s="1069"/>
      <c r="L86" s="1070"/>
      <c r="M86" s="1071"/>
      <c r="N86" s="1072"/>
      <c r="O86" s="1072"/>
      <c r="P86" s="1072"/>
      <c r="Q86" s="1072"/>
      <c r="R86" s="1073"/>
      <c r="S86" s="1069"/>
      <c r="T86" s="1070"/>
      <c r="U86" s="1062"/>
      <c r="V86" s="1063"/>
      <c r="W86" s="1062"/>
      <c r="X86" s="1063"/>
      <c r="Y86" s="1062"/>
      <c r="Z86" s="1063"/>
      <c r="AA86" s="1038"/>
      <c r="AB86" s="1055"/>
      <c r="AC86" s="816"/>
      <c r="AD86" s="817"/>
      <c r="AG86" s="283">
        <f t="shared" si="23"/>
        <v>0</v>
      </c>
      <c r="AH86" s="353">
        <f t="shared" si="1"/>
        <v>0</v>
      </c>
      <c r="AI86" s="249" t="b">
        <f t="shared" si="2"/>
        <v>0</v>
      </c>
      <c r="AJ86" s="249" t="str">
        <f t="shared" si="3"/>
        <v/>
      </c>
      <c r="AK86" s="249" t="b">
        <f t="shared" si="4"/>
        <v>0</v>
      </c>
      <c r="AL86" s="249" t="str">
        <f t="shared" si="5"/>
        <v/>
      </c>
      <c r="AM86" s="249" t="b">
        <f t="shared" si="6"/>
        <v>0</v>
      </c>
      <c r="AN86"/>
      <c r="AO86" s="249" t="b">
        <f t="shared" si="7"/>
        <v>0</v>
      </c>
      <c r="AP86" s="249" t="str">
        <f t="shared" si="8"/>
        <v/>
      </c>
      <c r="AQ86" s="249" t="b">
        <f t="shared" si="9"/>
        <v>0</v>
      </c>
      <c r="AR86" s="249" t="str">
        <f t="shared" si="10"/>
        <v/>
      </c>
      <c r="AS86" s="249" t="b">
        <f t="shared" si="11"/>
        <v>0</v>
      </c>
      <c r="AU86">
        <f>IF(K86&lt;=CNSIPEE_2024_M2_Secc1!$C$51,0,IF(K86&lt;="NS",0,1))</f>
        <v>0</v>
      </c>
      <c r="AV86">
        <f t="shared" si="12"/>
        <v>0</v>
      </c>
      <c r="AW86">
        <f t="shared" si="13"/>
        <v>0</v>
      </c>
      <c r="AX86">
        <f t="shared" si="14"/>
        <v>0</v>
      </c>
      <c r="BC86" s="253">
        <f t="shared" si="15"/>
        <v>0</v>
      </c>
      <c r="BD86" s="253">
        <f t="shared" si="16"/>
        <v>0</v>
      </c>
      <c r="BE86" s="253">
        <f t="shared" si="17"/>
        <v>0</v>
      </c>
      <c r="BF86" s="253">
        <f t="shared" si="18"/>
        <v>0</v>
      </c>
      <c r="BG86" s="253">
        <f t="shared" si="19"/>
        <v>0</v>
      </c>
      <c r="BH86" s="253">
        <f t="shared" si="20"/>
        <v>0</v>
      </c>
      <c r="BI86" s="253">
        <f t="shared" si="21"/>
        <v>0</v>
      </c>
      <c r="BJ86" s="253">
        <f t="shared" si="22"/>
        <v>0</v>
      </c>
    </row>
    <row r="87" spans="1:62">
      <c r="A87" s="49"/>
      <c r="B87" s="54"/>
      <c r="C87" s="44" t="s">
        <v>2539</v>
      </c>
      <c r="D87" s="1068"/>
      <c r="E87" s="1068"/>
      <c r="F87" s="1068"/>
      <c r="G87" s="1068"/>
      <c r="H87" s="1068"/>
      <c r="I87" s="1068"/>
      <c r="J87" s="1068"/>
      <c r="K87" s="1069"/>
      <c r="L87" s="1070"/>
      <c r="M87" s="1071"/>
      <c r="N87" s="1072"/>
      <c r="O87" s="1072"/>
      <c r="P87" s="1072"/>
      <c r="Q87" s="1072"/>
      <c r="R87" s="1073"/>
      <c r="S87" s="1069"/>
      <c r="T87" s="1070"/>
      <c r="U87" s="1062"/>
      <c r="V87" s="1063"/>
      <c r="W87" s="1062"/>
      <c r="X87" s="1063"/>
      <c r="Y87" s="1062"/>
      <c r="Z87" s="1063"/>
      <c r="AA87" s="1038"/>
      <c r="AB87" s="1055"/>
      <c r="AC87" s="816"/>
      <c r="AD87" s="817"/>
      <c r="AG87" s="283">
        <f t="shared" si="23"/>
        <v>0</v>
      </c>
      <c r="AH87" s="353">
        <f t="shared" si="1"/>
        <v>0</v>
      </c>
      <c r="AI87" s="249" t="b">
        <f t="shared" si="2"/>
        <v>0</v>
      </c>
      <c r="AJ87" s="249" t="str">
        <f t="shared" si="3"/>
        <v/>
      </c>
      <c r="AK87" s="249" t="b">
        <f t="shared" si="4"/>
        <v>0</v>
      </c>
      <c r="AL87" s="249" t="str">
        <f t="shared" si="5"/>
        <v/>
      </c>
      <c r="AM87" s="249" t="b">
        <f t="shared" si="6"/>
        <v>0</v>
      </c>
      <c r="AN87"/>
      <c r="AO87" s="249" t="b">
        <f t="shared" si="7"/>
        <v>0</v>
      </c>
      <c r="AP87" s="249" t="str">
        <f t="shared" si="8"/>
        <v/>
      </c>
      <c r="AQ87" s="249" t="b">
        <f t="shared" si="9"/>
        <v>0</v>
      </c>
      <c r="AR87" s="249" t="str">
        <f t="shared" si="10"/>
        <v/>
      </c>
      <c r="AS87" s="249" t="b">
        <f t="shared" si="11"/>
        <v>0</v>
      </c>
      <c r="AU87">
        <f>IF(K87&lt;=CNSIPEE_2024_M2_Secc1!$C$51,0,IF(K87&lt;="NS",0,1))</f>
        <v>0</v>
      </c>
      <c r="AV87">
        <f t="shared" si="12"/>
        <v>0</v>
      </c>
      <c r="AW87">
        <f t="shared" si="13"/>
        <v>0</v>
      </c>
      <c r="AX87">
        <f t="shared" si="14"/>
        <v>0</v>
      </c>
      <c r="BC87" s="253">
        <f t="shared" si="15"/>
        <v>0</v>
      </c>
      <c r="BD87" s="253">
        <f t="shared" si="16"/>
        <v>0</v>
      </c>
      <c r="BE87" s="253">
        <f t="shared" si="17"/>
        <v>0</v>
      </c>
      <c r="BF87" s="253">
        <f t="shared" si="18"/>
        <v>0</v>
      </c>
      <c r="BG87" s="253">
        <f t="shared" si="19"/>
        <v>0</v>
      </c>
      <c r="BH87" s="253">
        <f t="shared" si="20"/>
        <v>0</v>
      </c>
      <c r="BI87" s="253">
        <f t="shared" si="21"/>
        <v>0</v>
      </c>
      <c r="BJ87" s="253">
        <f t="shared" si="22"/>
        <v>0</v>
      </c>
    </row>
    <row r="88" spans="1:62">
      <c r="A88" s="49"/>
      <c r="B88" s="54"/>
      <c r="C88" s="44" t="s">
        <v>2540</v>
      </c>
      <c r="D88" s="1068"/>
      <c r="E88" s="1068"/>
      <c r="F88" s="1068"/>
      <c r="G88" s="1068"/>
      <c r="H88" s="1068"/>
      <c r="I88" s="1068"/>
      <c r="J88" s="1068"/>
      <c r="K88" s="1069"/>
      <c r="L88" s="1070"/>
      <c r="M88" s="1071"/>
      <c r="N88" s="1072"/>
      <c r="O88" s="1072"/>
      <c r="P88" s="1072"/>
      <c r="Q88" s="1072"/>
      <c r="R88" s="1073"/>
      <c r="S88" s="1069"/>
      <c r="T88" s="1070"/>
      <c r="U88" s="1062"/>
      <c r="V88" s="1063"/>
      <c r="W88" s="1062"/>
      <c r="X88" s="1063"/>
      <c r="Y88" s="1062"/>
      <c r="Z88" s="1063"/>
      <c r="AA88" s="1038"/>
      <c r="AB88" s="1055"/>
      <c r="AC88" s="816"/>
      <c r="AD88" s="817"/>
      <c r="AG88" s="283">
        <f t="shared" si="23"/>
        <v>0</v>
      </c>
      <c r="AH88" s="353">
        <f t="shared" si="1"/>
        <v>0</v>
      </c>
      <c r="AI88" s="249" t="b">
        <f t="shared" si="2"/>
        <v>0</v>
      </c>
      <c r="AJ88" s="249" t="str">
        <f t="shared" si="3"/>
        <v/>
      </c>
      <c r="AK88" s="249" t="b">
        <f t="shared" si="4"/>
        <v>0</v>
      </c>
      <c r="AL88" s="249" t="str">
        <f t="shared" si="5"/>
        <v/>
      </c>
      <c r="AM88" s="249" t="b">
        <f t="shared" si="6"/>
        <v>0</v>
      </c>
      <c r="AN88"/>
      <c r="AO88" s="249" t="b">
        <f t="shared" si="7"/>
        <v>0</v>
      </c>
      <c r="AP88" s="249" t="str">
        <f t="shared" si="8"/>
        <v/>
      </c>
      <c r="AQ88" s="249" t="b">
        <f t="shared" si="9"/>
        <v>0</v>
      </c>
      <c r="AR88" s="249" t="str">
        <f t="shared" si="10"/>
        <v/>
      </c>
      <c r="AS88" s="249" t="b">
        <f t="shared" si="11"/>
        <v>0</v>
      </c>
      <c r="AU88">
        <f>IF(K88&lt;=CNSIPEE_2024_M2_Secc1!$C$51,0,IF(K88&lt;="NS",0,1))</f>
        <v>0</v>
      </c>
      <c r="AV88">
        <f t="shared" si="12"/>
        <v>0</v>
      </c>
      <c r="AW88">
        <f t="shared" si="13"/>
        <v>0</v>
      </c>
      <c r="AX88">
        <f t="shared" si="14"/>
        <v>0</v>
      </c>
      <c r="BC88" s="253">
        <f t="shared" si="15"/>
        <v>0</v>
      </c>
      <c r="BD88" s="253">
        <f t="shared" si="16"/>
        <v>0</v>
      </c>
      <c r="BE88" s="253">
        <f t="shared" si="17"/>
        <v>0</v>
      </c>
      <c r="BF88" s="253">
        <f t="shared" si="18"/>
        <v>0</v>
      </c>
      <c r="BG88" s="253">
        <f t="shared" si="19"/>
        <v>0</v>
      </c>
      <c r="BH88" s="253">
        <f t="shared" si="20"/>
        <v>0</v>
      </c>
      <c r="BI88" s="253">
        <f t="shared" si="21"/>
        <v>0</v>
      </c>
      <c r="BJ88" s="253">
        <f t="shared" si="22"/>
        <v>0</v>
      </c>
    </row>
    <row r="89" spans="1:62">
      <c r="A89" s="49"/>
      <c r="B89" s="54"/>
      <c r="C89" s="44" t="s">
        <v>2541</v>
      </c>
      <c r="D89" s="1068"/>
      <c r="E89" s="1068"/>
      <c r="F89" s="1068"/>
      <c r="G89" s="1068"/>
      <c r="H89" s="1068"/>
      <c r="I89" s="1068"/>
      <c r="J89" s="1068"/>
      <c r="K89" s="1069"/>
      <c r="L89" s="1070"/>
      <c r="M89" s="1071"/>
      <c r="N89" s="1072"/>
      <c r="O89" s="1072"/>
      <c r="P89" s="1072"/>
      <c r="Q89" s="1072"/>
      <c r="R89" s="1073"/>
      <c r="S89" s="1069"/>
      <c r="T89" s="1070"/>
      <c r="U89" s="1062"/>
      <c r="V89" s="1063"/>
      <c r="W89" s="1062"/>
      <c r="X89" s="1063"/>
      <c r="Y89" s="1062"/>
      <c r="Z89" s="1063"/>
      <c r="AA89" s="1038"/>
      <c r="AB89" s="1055"/>
      <c r="AC89" s="816"/>
      <c r="AD89" s="817"/>
      <c r="AG89" s="283">
        <f t="shared" si="23"/>
        <v>0</v>
      </c>
      <c r="AH89" s="353">
        <f t="shared" si="1"/>
        <v>0</v>
      </c>
      <c r="AI89" s="249" t="b">
        <f t="shared" si="2"/>
        <v>0</v>
      </c>
      <c r="AJ89" s="249" t="str">
        <f t="shared" si="3"/>
        <v/>
      </c>
      <c r="AK89" s="249" t="b">
        <f t="shared" si="4"/>
        <v>0</v>
      </c>
      <c r="AL89" s="249" t="str">
        <f t="shared" si="5"/>
        <v/>
      </c>
      <c r="AM89" s="249" t="b">
        <f t="shared" si="6"/>
        <v>0</v>
      </c>
      <c r="AN89"/>
      <c r="AO89" s="249" t="b">
        <f t="shared" si="7"/>
        <v>0</v>
      </c>
      <c r="AP89" s="249" t="str">
        <f t="shared" si="8"/>
        <v/>
      </c>
      <c r="AQ89" s="249" t="b">
        <f t="shared" si="9"/>
        <v>0</v>
      </c>
      <c r="AR89" s="249" t="str">
        <f t="shared" si="10"/>
        <v/>
      </c>
      <c r="AS89" s="249" t="b">
        <f t="shared" si="11"/>
        <v>0</v>
      </c>
      <c r="AU89">
        <f>IF(K89&lt;=CNSIPEE_2024_M2_Secc1!$C$51,0,IF(K89&lt;="NS",0,1))</f>
        <v>0</v>
      </c>
      <c r="AV89">
        <f t="shared" si="12"/>
        <v>0</v>
      </c>
      <c r="AW89">
        <f t="shared" si="13"/>
        <v>0</v>
      </c>
      <c r="AX89">
        <f t="shared" si="14"/>
        <v>0</v>
      </c>
      <c r="BC89" s="253">
        <f t="shared" si="15"/>
        <v>0</v>
      </c>
      <c r="BD89" s="253">
        <f t="shared" si="16"/>
        <v>0</v>
      </c>
      <c r="BE89" s="253">
        <f t="shared" si="17"/>
        <v>0</v>
      </c>
      <c r="BF89" s="253">
        <f t="shared" si="18"/>
        <v>0</v>
      </c>
      <c r="BG89" s="253">
        <f t="shared" si="19"/>
        <v>0</v>
      </c>
      <c r="BH89" s="253">
        <f t="shared" si="20"/>
        <v>0</v>
      </c>
      <c r="BI89" s="253">
        <f t="shared" si="21"/>
        <v>0</v>
      </c>
      <c r="BJ89" s="253">
        <f t="shared" si="22"/>
        <v>0</v>
      </c>
    </row>
    <row r="90" spans="1:62">
      <c r="A90" s="49"/>
      <c r="B90" s="54"/>
      <c r="C90" s="44" t="s">
        <v>2542</v>
      </c>
      <c r="D90" s="1068"/>
      <c r="E90" s="1068"/>
      <c r="F90" s="1068"/>
      <c r="G90" s="1068"/>
      <c r="H90" s="1068"/>
      <c r="I90" s="1068"/>
      <c r="J90" s="1068"/>
      <c r="K90" s="1069"/>
      <c r="L90" s="1070"/>
      <c r="M90" s="1071"/>
      <c r="N90" s="1072"/>
      <c r="O90" s="1072"/>
      <c r="P90" s="1072"/>
      <c r="Q90" s="1072"/>
      <c r="R90" s="1073"/>
      <c r="S90" s="1069"/>
      <c r="T90" s="1070"/>
      <c r="U90" s="1062"/>
      <c r="V90" s="1063"/>
      <c r="W90" s="1062"/>
      <c r="X90" s="1063"/>
      <c r="Y90" s="1062"/>
      <c r="Z90" s="1063"/>
      <c r="AA90" s="1038"/>
      <c r="AB90" s="1055"/>
      <c r="AC90" s="816"/>
      <c r="AD90" s="817"/>
      <c r="AG90" s="283">
        <f t="shared" si="23"/>
        <v>0</v>
      </c>
      <c r="AH90" s="353">
        <f t="shared" si="1"/>
        <v>0</v>
      </c>
      <c r="AI90" s="249" t="b">
        <f t="shared" si="2"/>
        <v>0</v>
      </c>
      <c r="AJ90" s="249" t="str">
        <f t="shared" si="3"/>
        <v/>
      </c>
      <c r="AK90" s="249" t="b">
        <f t="shared" si="4"/>
        <v>0</v>
      </c>
      <c r="AL90" s="249" t="str">
        <f t="shared" si="5"/>
        <v/>
      </c>
      <c r="AM90" s="249" t="b">
        <f t="shared" si="6"/>
        <v>0</v>
      </c>
      <c r="AN90"/>
      <c r="AO90" s="249" t="b">
        <f t="shared" si="7"/>
        <v>0</v>
      </c>
      <c r="AP90" s="249" t="str">
        <f t="shared" si="8"/>
        <v/>
      </c>
      <c r="AQ90" s="249" t="b">
        <f t="shared" si="9"/>
        <v>0</v>
      </c>
      <c r="AR90" s="249" t="str">
        <f t="shared" si="10"/>
        <v/>
      </c>
      <c r="AS90" s="249" t="b">
        <f t="shared" si="11"/>
        <v>0</v>
      </c>
      <c r="AU90">
        <f>IF(K90&lt;=CNSIPEE_2024_M2_Secc1!$C$51,0,IF(K90&lt;="NS",0,1))</f>
        <v>0</v>
      </c>
      <c r="AV90">
        <f t="shared" si="12"/>
        <v>0</v>
      </c>
      <c r="AW90">
        <f t="shared" si="13"/>
        <v>0</v>
      </c>
      <c r="AX90">
        <f t="shared" si="14"/>
        <v>0</v>
      </c>
      <c r="BC90" s="253">
        <f t="shared" si="15"/>
        <v>0</v>
      </c>
      <c r="BD90" s="253">
        <f t="shared" si="16"/>
        <v>0</v>
      </c>
      <c r="BE90" s="253">
        <f t="shared" si="17"/>
        <v>0</v>
      </c>
      <c r="BF90" s="253">
        <f t="shared" si="18"/>
        <v>0</v>
      </c>
      <c r="BG90" s="253">
        <f t="shared" si="19"/>
        <v>0</v>
      </c>
      <c r="BH90" s="253">
        <f t="shared" si="20"/>
        <v>0</v>
      </c>
      <c r="BI90" s="253">
        <f t="shared" si="21"/>
        <v>0</v>
      </c>
      <c r="BJ90" s="253">
        <f t="shared" si="22"/>
        <v>0</v>
      </c>
    </row>
    <row r="91" spans="1:62">
      <c r="A91" s="49"/>
      <c r="B91" s="54"/>
      <c r="C91" s="44" t="s">
        <v>2543</v>
      </c>
      <c r="D91" s="1068"/>
      <c r="E91" s="1068"/>
      <c r="F91" s="1068"/>
      <c r="G91" s="1068"/>
      <c r="H91" s="1068"/>
      <c r="I91" s="1068"/>
      <c r="J91" s="1068"/>
      <c r="K91" s="1069"/>
      <c r="L91" s="1070"/>
      <c r="M91" s="1071"/>
      <c r="N91" s="1072"/>
      <c r="O91" s="1072"/>
      <c r="P91" s="1072"/>
      <c r="Q91" s="1072"/>
      <c r="R91" s="1073"/>
      <c r="S91" s="1069"/>
      <c r="T91" s="1070"/>
      <c r="U91" s="1062"/>
      <c r="V91" s="1063"/>
      <c r="W91" s="1062"/>
      <c r="X91" s="1063"/>
      <c r="Y91" s="1062"/>
      <c r="Z91" s="1063"/>
      <c r="AA91" s="1038"/>
      <c r="AB91" s="1055"/>
      <c r="AC91" s="816"/>
      <c r="AD91" s="817"/>
      <c r="AG91" s="283">
        <f t="shared" si="23"/>
        <v>0</v>
      </c>
      <c r="AH91" s="353">
        <f t="shared" si="1"/>
        <v>0</v>
      </c>
      <c r="AI91" s="249" t="b">
        <f t="shared" si="2"/>
        <v>0</v>
      </c>
      <c r="AJ91" s="249" t="str">
        <f t="shared" si="3"/>
        <v/>
      </c>
      <c r="AK91" s="249" t="b">
        <f t="shared" si="4"/>
        <v>0</v>
      </c>
      <c r="AL91" s="249" t="str">
        <f t="shared" si="5"/>
        <v/>
      </c>
      <c r="AM91" s="249" t="b">
        <f t="shared" si="6"/>
        <v>0</v>
      </c>
      <c r="AN91"/>
      <c r="AO91" s="249" t="b">
        <f t="shared" si="7"/>
        <v>0</v>
      </c>
      <c r="AP91" s="249" t="str">
        <f t="shared" si="8"/>
        <v/>
      </c>
      <c r="AQ91" s="249" t="b">
        <f t="shared" si="9"/>
        <v>0</v>
      </c>
      <c r="AR91" s="249" t="str">
        <f t="shared" si="10"/>
        <v/>
      </c>
      <c r="AS91" s="249" t="b">
        <f t="shared" si="11"/>
        <v>0</v>
      </c>
      <c r="AU91">
        <f>IF(K91&lt;=CNSIPEE_2024_M2_Secc1!$C$51,0,IF(K91&lt;="NS",0,1))</f>
        <v>0</v>
      </c>
      <c r="AV91">
        <f t="shared" si="12"/>
        <v>0</v>
      </c>
      <c r="AW91">
        <f t="shared" si="13"/>
        <v>0</v>
      </c>
      <c r="AX91">
        <f t="shared" si="14"/>
        <v>0</v>
      </c>
      <c r="BC91" s="253">
        <f t="shared" si="15"/>
        <v>0</v>
      </c>
      <c r="BD91" s="253">
        <f t="shared" si="16"/>
        <v>0</v>
      </c>
      <c r="BE91" s="253">
        <f t="shared" si="17"/>
        <v>0</v>
      </c>
      <c r="BF91" s="253">
        <f t="shared" si="18"/>
        <v>0</v>
      </c>
      <c r="BG91" s="253">
        <f t="shared" si="19"/>
        <v>0</v>
      </c>
      <c r="BH91" s="253">
        <f t="shared" si="20"/>
        <v>0</v>
      </c>
      <c r="BI91" s="253">
        <f t="shared" si="21"/>
        <v>0</v>
      </c>
      <c r="BJ91" s="253">
        <f t="shared" si="22"/>
        <v>0</v>
      </c>
    </row>
    <row r="92" spans="1:62">
      <c r="A92" s="49"/>
      <c r="B92" s="54"/>
      <c r="C92" s="44" t="s">
        <v>2544</v>
      </c>
      <c r="D92" s="1068"/>
      <c r="E92" s="1068"/>
      <c r="F92" s="1068"/>
      <c r="G92" s="1068"/>
      <c r="H92" s="1068"/>
      <c r="I92" s="1068"/>
      <c r="J92" s="1068"/>
      <c r="K92" s="1069"/>
      <c r="L92" s="1070"/>
      <c r="M92" s="1071"/>
      <c r="N92" s="1072"/>
      <c r="O92" s="1072"/>
      <c r="P92" s="1072"/>
      <c r="Q92" s="1072"/>
      <c r="R92" s="1073"/>
      <c r="S92" s="1069"/>
      <c r="T92" s="1070"/>
      <c r="U92" s="1062"/>
      <c r="V92" s="1063"/>
      <c r="W92" s="1062"/>
      <c r="X92" s="1063"/>
      <c r="Y92" s="1062"/>
      <c r="Z92" s="1063"/>
      <c r="AA92" s="1038"/>
      <c r="AB92" s="1055"/>
      <c r="AC92" s="816"/>
      <c r="AD92" s="817"/>
      <c r="AG92" s="283">
        <f t="shared" si="23"/>
        <v>0</v>
      </c>
      <c r="AH92" s="353">
        <f t="shared" si="1"/>
        <v>0</v>
      </c>
      <c r="AI92" s="249" t="b">
        <f t="shared" si="2"/>
        <v>0</v>
      </c>
      <c r="AJ92" s="249" t="str">
        <f t="shared" si="3"/>
        <v/>
      </c>
      <c r="AK92" s="249" t="b">
        <f t="shared" si="4"/>
        <v>0</v>
      </c>
      <c r="AL92" s="249" t="str">
        <f t="shared" si="5"/>
        <v/>
      </c>
      <c r="AM92" s="249" t="b">
        <f t="shared" si="6"/>
        <v>0</v>
      </c>
      <c r="AN92"/>
      <c r="AO92" s="249" t="b">
        <f t="shared" si="7"/>
        <v>0</v>
      </c>
      <c r="AP92" s="249" t="str">
        <f t="shared" si="8"/>
        <v/>
      </c>
      <c r="AQ92" s="249" t="b">
        <f t="shared" si="9"/>
        <v>0</v>
      </c>
      <c r="AR92" s="249" t="str">
        <f t="shared" si="10"/>
        <v/>
      </c>
      <c r="AS92" s="249" t="b">
        <f t="shared" si="11"/>
        <v>0</v>
      </c>
      <c r="AU92">
        <f>IF(K92&lt;=CNSIPEE_2024_M2_Secc1!$C$51,0,IF(K92&lt;="NS",0,1))</f>
        <v>0</v>
      </c>
      <c r="AV92">
        <f t="shared" si="12"/>
        <v>0</v>
      </c>
      <c r="AW92">
        <f t="shared" si="13"/>
        <v>0</v>
      </c>
      <c r="AX92">
        <f t="shared" si="14"/>
        <v>0</v>
      </c>
      <c r="BC92" s="253">
        <f t="shared" si="15"/>
        <v>0</v>
      </c>
      <c r="BD92" s="253">
        <f t="shared" si="16"/>
        <v>0</v>
      </c>
      <c r="BE92" s="253">
        <f t="shared" si="17"/>
        <v>0</v>
      </c>
      <c r="BF92" s="253">
        <f t="shared" si="18"/>
        <v>0</v>
      </c>
      <c r="BG92" s="253">
        <f t="shared" si="19"/>
        <v>0</v>
      </c>
      <c r="BH92" s="253">
        <f t="shared" si="20"/>
        <v>0</v>
      </c>
      <c r="BI92" s="253">
        <f t="shared" si="21"/>
        <v>0</v>
      </c>
      <c r="BJ92" s="253">
        <f t="shared" si="22"/>
        <v>0</v>
      </c>
    </row>
    <row r="93" spans="1:62">
      <c r="A93" s="49"/>
      <c r="B93" s="54"/>
      <c r="C93" s="44" t="s">
        <v>2545</v>
      </c>
      <c r="D93" s="1068"/>
      <c r="E93" s="1068"/>
      <c r="F93" s="1068"/>
      <c r="G93" s="1068"/>
      <c r="H93" s="1068"/>
      <c r="I93" s="1068"/>
      <c r="J93" s="1068"/>
      <c r="K93" s="1069"/>
      <c r="L93" s="1070"/>
      <c r="M93" s="1071"/>
      <c r="N93" s="1072"/>
      <c r="O93" s="1072"/>
      <c r="P93" s="1072"/>
      <c r="Q93" s="1072"/>
      <c r="R93" s="1073"/>
      <c r="S93" s="1069"/>
      <c r="T93" s="1070"/>
      <c r="U93" s="1062"/>
      <c r="V93" s="1063"/>
      <c r="W93" s="1062"/>
      <c r="X93" s="1063"/>
      <c r="Y93" s="1062"/>
      <c r="Z93" s="1063"/>
      <c r="AA93" s="1038"/>
      <c r="AB93" s="1055"/>
      <c r="AC93" s="816"/>
      <c r="AD93" s="817"/>
      <c r="AG93" s="283">
        <f t="shared" si="23"/>
        <v>0</v>
      </c>
      <c r="AH93" s="353">
        <f t="shared" si="1"/>
        <v>0</v>
      </c>
      <c r="AI93" s="249" t="b">
        <f t="shared" si="2"/>
        <v>0</v>
      </c>
      <c r="AJ93" s="249" t="str">
        <f t="shared" si="3"/>
        <v/>
      </c>
      <c r="AK93" s="249" t="b">
        <f t="shared" si="4"/>
        <v>0</v>
      </c>
      <c r="AL93" s="249" t="str">
        <f t="shared" si="5"/>
        <v/>
      </c>
      <c r="AM93" s="249" t="b">
        <f t="shared" si="6"/>
        <v>0</v>
      </c>
      <c r="AN93"/>
      <c r="AO93" s="249" t="b">
        <f t="shared" si="7"/>
        <v>0</v>
      </c>
      <c r="AP93" s="249" t="str">
        <f t="shared" si="8"/>
        <v/>
      </c>
      <c r="AQ93" s="249" t="b">
        <f t="shared" si="9"/>
        <v>0</v>
      </c>
      <c r="AR93" s="249" t="str">
        <f t="shared" si="10"/>
        <v/>
      </c>
      <c r="AS93" s="249" t="b">
        <f t="shared" si="11"/>
        <v>0</v>
      </c>
      <c r="AU93">
        <f>IF(K93&lt;=CNSIPEE_2024_M2_Secc1!$C$51,0,IF(K93&lt;="NS",0,1))</f>
        <v>0</v>
      </c>
      <c r="AV93">
        <f t="shared" si="12"/>
        <v>0</v>
      </c>
      <c r="AW93">
        <f t="shared" si="13"/>
        <v>0</v>
      </c>
      <c r="AX93">
        <f t="shared" si="14"/>
        <v>0</v>
      </c>
      <c r="BC93" s="253">
        <f t="shared" si="15"/>
        <v>0</v>
      </c>
      <c r="BD93" s="253">
        <f t="shared" si="16"/>
        <v>0</v>
      </c>
      <c r="BE93" s="253">
        <f t="shared" si="17"/>
        <v>0</v>
      </c>
      <c r="BF93" s="253">
        <f t="shared" si="18"/>
        <v>0</v>
      </c>
      <c r="BG93" s="253">
        <f t="shared" si="19"/>
        <v>0</v>
      </c>
      <c r="BH93" s="253">
        <f t="shared" si="20"/>
        <v>0</v>
      </c>
      <c r="BI93" s="253">
        <f t="shared" si="21"/>
        <v>0</v>
      </c>
      <c r="BJ93" s="253">
        <f t="shared" si="22"/>
        <v>0</v>
      </c>
    </row>
    <row r="94" spans="1:62">
      <c r="A94" s="49"/>
      <c r="B94" s="54"/>
      <c r="C94" s="44" t="s">
        <v>2546</v>
      </c>
      <c r="D94" s="1068"/>
      <c r="E94" s="1068"/>
      <c r="F94" s="1068"/>
      <c r="G94" s="1068"/>
      <c r="H94" s="1068"/>
      <c r="I94" s="1068"/>
      <c r="J94" s="1068"/>
      <c r="K94" s="1069"/>
      <c r="L94" s="1070"/>
      <c r="M94" s="1071"/>
      <c r="N94" s="1072"/>
      <c r="O94" s="1072"/>
      <c r="P94" s="1072"/>
      <c r="Q94" s="1072"/>
      <c r="R94" s="1073"/>
      <c r="S94" s="1069"/>
      <c r="T94" s="1070"/>
      <c r="U94" s="1062"/>
      <c r="V94" s="1063"/>
      <c r="W94" s="1062"/>
      <c r="X94" s="1063"/>
      <c r="Y94" s="1062"/>
      <c r="Z94" s="1063"/>
      <c r="AA94" s="1038"/>
      <c r="AB94" s="1055"/>
      <c r="AC94" s="816"/>
      <c r="AD94" s="817"/>
      <c r="AG94" s="283">
        <f t="shared" si="23"/>
        <v>0</v>
      </c>
      <c r="AH94" s="353">
        <f t="shared" si="1"/>
        <v>0</v>
      </c>
      <c r="AI94" s="249" t="b">
        <f t="shared" si="2"/>
        <v>0</v>
      </c>
      <c r="AJ94" s="249" t="str">
        <f t="shared" si="3"/>
        <v/>
      </c>
      <c r="AK94" s="249" t="b">
        <f t="shared" si="4"/>
        <v>0</v>
      </c>
      <c r="AL94" s="249" t="str">
        <f t="shared" si="5"/>
        <v/>
      </c>
      <c r="AM94" s="249" t="b">
        <f t="shared" si="6"/>
        <v>0</v>
      </c>
      <c r="AN94"/>
      <c r="AO94" s="249" t="b">
        <f t="shared" si="7"/>
        <v>0</v>
      </c>
      <c r="AP94" s="249" t="str">
        <f t="shared" si="8"/>
        <v/>
      </c>
      <c r="AQ94" s="249" t="b">
        <f t="shared" si="9"/>
        <v>0</v>
      </c>
      <c r="AR94" s="249" t="str">
        <f t="shared" si="10"/>
        <v/>
      </c>
      <c r="AS94" s="249" t="b">
        <f t="shared" si="11"/>
        <v>0</v>
      </c>
      <c r="AU94">
        <f>IF(K94&lt;=CNSIPEE_2024_M2_Secc1!$C$51,0,IF(K94&lt;="NS",0,1))</f>
        <v>0</v>
      </c>
      <c r="AV94">
        <f t="shared" si="12"/>
        <v>0</v>
      </c>
      <c r="AW94">
        <f t="shared" si="13"/>
        <v>0</v>
      </c>
      <c r="AX94">
        <f t="shared" si="14"/>
        <v>0</v>
      </c>
      <c r="BC94" s="253">
        <f t="shared" si="15"/>
        <v>0</v>
      </c>
      <c r="BD94" s="253">
        <f t="shared" si="16"/>
        <v>0</v>
      </c>
      <c r="BE94" s="253">
        <f t="shared" si="17"/>
        <v>0</v>
      </c>
      <c r="BF94" s="253">
        <f t="shared" si="18"/>
        <v>0</v>
      </c>
      <c r="BG94" s="253">
        <f t="shared" si="19"/>
        <v>0</v>
      </c>
      <c r="BH94" s="253">
        <f t="shared" si="20"/>
        <v>0</v>
      </c>
      <c r="BI94" s="253">
        <f t="shared" si="21"/>
        <v>0</v>
      </c>
      <c r="BJ94" s="253">
        <f t="shared" si="22"/>
        <v>0</v>
      </c>
    </row>
    <row r="95" spans="1:62">
      <c r="A95" s="49"/>
      <c r="B95" s="54"/>
      <c r="C95" s="44" t="s">
        <v>2547</v>
      </c>
      <c r="D95" s="1068"/>
      <c r="E95" s="1068"/>
      <c r="F95" s="1068"/>
      <c r="G95" s="1068"/>
      <c r="H95" s="1068"/>
      <c r="I95" s="1068"/>
      <c r="J95" s="1068"/>
      <c r="K95" s="1069"/>
      <c r="L95" s="1070"/>
      <c r="M95" s="1071"/>
      <c r="N95" s="1072"/>
      <c r="O95" s="1072"/>
      <c r="P95" s="1072"/>
      <c r="Q95" s="1072"/>
      <c r="R95" s="1073"/>
      <c r="S95" s="1069"/>
      <c r="T95" s="1070"/>
      <c r="U95" s="1062"/>
      <c r="V95" s="1063"/>
      <c r="W95" s="1062"/>
      <c r="X95" s="1063"/>
      <c r="Y95" s="1062"/>
      <c r="Z95" s="1063"/>
      <c r="AA95" s="1038"/>
      <c r="AB95" s="1055"/>
      <c r="AC95" s="816"/>
      <c r="AD95" s="817"/>
      <c r="AG95" s="283">
        <f t="shared" si="23"/>
        <v>0</v>
      </c>
      <c r="AH95" s="353">
        <f t="shared" si="1"/>
        <v>0</v>
      </c>
      <c r="AI95" s="249" t="b">
        <f t="shared" si="2"/>
        <v>0</v>
      </c>
      <c r="AJ95" s="249" t="str">
        <f t="shared" si="3"/>
        <v/>
      </c>
      <c r="AK95" s="249" t="b">
        <f t="shared" si="4"/>
        <v>0</v>
      </c>
      <c r="AL95" s="249" t="str">
        <f t="shared" si="5"/>
        <v/>
      </c>
      <c r="AM95" s="249" t="b">
        <f t="shared" si="6"/>
        <v>0</v>
      </c>
      <c r="AN95"/>
      <c r="AO95" s="249" t="b">
        <f t="shared" si="7"/>
        <v>0</v>
      </c>
      <c r="AP95" s="249" t="str">
        <f t="shared" si="8"/>
        <v/>
      </c>
      <c r="AQ95" s="249" t="b">
        <f t="shared" si="9"/>
        <v>0</v>
      </c>
      <c r="AR95" s="249" t="str">
        <f t="shared" si="10"/>
        <v/>
      </c>
      <c r="AS95" s="249" t="b">
        <f t="shared" si="11"/>
        <v>0</v>
      </c>
      <c r="AU95">
        <f>IF(K95&lt;=CNSIPEE_2024_M2_Secc1!$C$51,0,IF(K95&lt;="NS",0,1))</f>
        <v>0</v>
      </c>
      <c r="AV95">
        <f t="shared" si="12"/>
        <v>0</v>
      </c>
      <c r="AW95">
        <f t="shared" si="13"/>
        <v>0</v>
      </c>
      <c r="AX95">
        <f t="shared" si="14"/>
        <v>0</v>
      </c>
      <c r="BC95" s="253">
        <f t="shared" si="15"/>
        <v>0</v>
      </c>
      <c r="BD95" s="253">
        <f t="shared" si="16"/>
        <v>0</v>
      </c>
      <c r="BE95" s="253">
        <f t="shared" si="17"/>
        <v>0</v>
      </c>
      <c r="BF95" s="253">
        <f t="shared" si="18"/>
        <v>0</v>
      </c>
      <c r="BG95" s="253">
        <f t="shared" si="19"/>
        <v>0</v>
      </c>
      <c r="BH95" s="253">
        <f t="shared" si="20"/>
        <v>0</v>
      </c>
      <c r="BI95" s="253">
        <f t="shared" si="21"/>
        <v>0</v>
      </c>
      <c r="BJ95" s="253">
        <f t="shared" si="22"/>
        <v>0</v>
      </c>
    </row>
    <row r="96" spans="1:62">
      <c r="A96" s="49"/>
      <c r="B96" s="54"/>
      <c r="C96" s="44" t="s">
        <v>2548</v>
      </c>
      <c r="D96" s="1068"/>
      <c r="E96" s="1068"/>
      <c r="F96" s="1068"/>
      <c r="G96" s="1068"/>
      <c r="H96" s="1068"/>
      <c r="I96" s="1068"/>
      <c r="J96" s="1068"/>
      <c r="K96" s="1069"/>
      <c r="L96" s="1070"/>
      <c r="M96" s="1071"/>
      <c r="N96" s="1072"/>
      <c r="O96" s="1072"/>
      <c r="P96" s="1072"/>
      <c r="Q96" s="1072"/>
      <c r="R96" s="1073"/>
      <c r="S96" s="1069"/>
      <c r="T96" s="1070"/>
      <c r="U96" s="1062"/>
      <c r="V96" s="1063"/>
      <c r="W96" s="1062"/>
      <c r="X96" s="1063"/>
      <c r="Y96" s="1062"/>
      <c r="Z96" s="1063"/>
      <c r="AA96" s="1038"/>
      <c r="AB96" s="1055"/>
      <c r="AC96" s="816"/>
      <c r="AD96" s="817"/>
      <c r="AG96" s="283">
        <f t="shared" si="23"/>
        <v>0</v>
      </c>
      <c r="AH96" s="353">
        <f t="shared" si="1"/>
        <v>0</v>
      </c>
      <c r="AI96" s="249" t="b">
        <f t="shared" si="2"/>
        <v>0</v>
      </c>
      <c r="AJ96" s="249" t="str">
        <f t="shared" si="3"/>
        <v/>
      </c>
      <c r="AK96" s="249" t="b">
        <f t="shared" si="4"/>
        <v>0</v>
      </c>
      <c r="AL96" s="249" t="str">
        <f t="shared" si="5"/>
        <v/>
      </c>
      <c r="AM96" s="249" t="b">
        <f t="shared" si="6"/>
        <v>0</v>
      </c>
      <c r="AN96"/>
      <c r="AO96" s="249" t="b">
        <f t="shared" si="7"/>
        <v>0</v>
      </c>
      <c r="AP96" s="249" t="str">
        <f t="shared" si="8"/>
        <v/>
      </c>
      <c r="AQ96" s="249" t="b">
        <f t="shared" si="9"/>
        <v>0</v>
      </c>
      <c r="AR96" s="249" t="str">
        <f t="shared" si="10"/>
        <v/>
      </c>
      <c r="AS96" s="249" t="b">
        <f t="shared" si="11"/>
        <v>0</v>
      </c>
      <c r="AU96">
        <f>IF(K96&lt;=CNSIPEE_2024_M2_Secc1!$C$51,0,IF(K96&lt;="NS",0,1))</f>
        <v>0</v>
      </c>
      <c r="AV96">
        <f t="shared" si="12"/>
        <v>0</v>
      </c>
      <c r="AW96">
        <f t="shared" si="13"/>
        <v>0</v>
      </c>
      <c r="AX96">
        <f t="shared" si="14"/>
        <v>0</v>
      </c>
      <c r="BC96" s="253">
        <f t="shared" si="15"/>
        <v>0</v>
      </c>
      <c r="BD96" s="253">
        <f t="shared" si="16"/>
        <v>0</v>
      </c>
      <c r="BE96" s="253">
        <f t="shared" si="17"/>
        <v>0</v>
      </c>
      <c r="BF96" s="253">
        <f t="shared" si="18"/>
        <v>0</v>
      </c>
      <c r="BG96" s="253">
        <f t="shared" si="19"/>
        <v>0</v>
      </c>
      <c r="BH96" s="253">
        <f t="shared" si="20"/>
        <v>0</v>
      </c>
      <c r="BI96" s="253">
        <f t="shared" si="21"/>
        <v>0</v>
      </c>
      <c r="BJ96" s="253">
        <f t="shared" si="22"/>
        <v>0</v>
      </c>
    </row>
    <row r="97" spans="1:62">
      <c r="A97" s="49"/>
      <c r="B97" s="54"/>
      <c r="C97" s="44" t="s">
        <v>2549</v>
      </c>
      <c r="D97" s="1068"/>
      <c r="E97" s="1068"/>
      <c r="F97" s="1068"/>
      <c r="G97" s="1068"/>
      <c r="H97" s="1068"/>
      <c r="I97" s="1068"/>
      <c r="J97" s="1068"/>
      <c r="K97" s="1069"/>
      <c r="L97" s="1070"/>
      <c r="M97" s="1071"/>
      <c r="N97" s="1072"/>
      <c r="O97" s="1072"/>
      <c r="P97" s="1072"/>
      <c r="Q97" s="1072"/>
      <c r="R97" s="1073"/>
      <c r="S97" s="1069"/>
      <c r="T97" s="1070"/>
      <c r="U97" s="1062"/>
      <c r="V97" s="1063"/>
      <c r="W97" s="1062"/>
      <c r="X97" s="1063"/>
      <c r="Y97" s="1062"/>
      <c r="Z97" s="1063"/>
      <c r="AA97" s="1038"/>
      <c r="AB97" s="1055"/>
      <c r="AC97" s="816"/>
      <c r="AD97" s="817"/>
      <c r="AG97" s="283">
        <f t="shared" si="23"/>
        <v>0</v>
      </c>
      <c r="AH97" s="353">
        <f t="shared" si="1"/>
        <v>0</v>
      </c>
      <c r="AI97" s="249" t="b">
        <f t="shared" si="2"/>
        <v>0</v>
      </c>
      <c r="AJ97" s="249" t="str">
        <f t="shared" si="3"/>
        <v/>
      </c>
      <c r="AK97" s="249" t="b">
        <f t="shared" si="4"/>
        <v>0</v>
      </c>
      <c r="AL97" s="249" t="str">
        <f t="shared" si="5"/>
        <v/>
      </c>
      <c r="AM97" s="249" t="b">
        <f t="shared" si="6"/>
        <v>0</v>
      </c>
      <c r="AN97"/>
      <c r="AO97" s="249" t="b">
        <f t="shared" si="7"/>
        <v>0</v>
      </c>
      <c r="AP97" s="249" t="str">
        <f t="shared" si="8"/>
        <v/>
      </c>
      <c r="AQ97" s="249" t="b">
        <f t="shared" si="9"/>
        <v>0</v>
      </c>
      <c r="AR97" s="249" t="str">
        <f t="shared" si="10"/>
        <v/>
      </c>
      <c r="AS97" s="249" t="b">
        <f t="shared" si="11"/>
        <v>0</v>
      </c>
      <c r="AU97">
        <f>IF(K97&lt;=CNSIPEE_2024_M2_Secc1!$C$51,0,IF(K97&lt;="NS",0,1))</f>
        <v>0</v>
      </c>
      <c r="AV97">
        <f t="shared" si="12"/>
        <v>0</v>
      </c>
      <c r="AW97">
        <f t="shared" si="13"/>
        <v>0</v>
      </c>
      <c r="AX97">
        <f t="shared" si="14"/>
        <v>0</v>
      </c>
      <c r="BC97" s="253">
        <f t="shared" si="15"/>
        <v>0</v>
      </c>
      <c r="BD97" s="253">
        <f t="shared" si="16"/>
        <v>0</v>
      </c>
      <c r="BE97" s="253">
        <f t="shared" si="17"/>
        <v>0</v>
      </c>
      <c r="BF97" s="253">
        <f t="shared" si="18"/>
        <v>0</v>
      </c>
      <c r="BG97" s="253">
        <f t="shared" si="19"/>
        <v>0</v>
      </c>
      <c r="BH97" s="253">
        <f t="shared" si="20"/>
        <v>0</v>
      </c>
      <c r="BI97" s="253">
        <f t="shared" si="21"/>
        <v>0</v>
      </c>
      <c r="BJ97" s="253">
        <f t="shared" si="22"/>
        <v>0</v>
      </c>
    </row>
    <row r="98" spans="1:62">
      <c r="A98" s="49"/>
      <c r="B98" s="54"/>
      <c r="C98" s="44" t="s">
        <v>2550</v>
      </c>
      <c r="D98" s="1068"/>
      <c r="E98" s="1068"/>
      <c r="F98" s="1068"/>
      <c r="G98" s="1068"/>
      <c r="H98" s="1068"/>
      <c r="I98" s="1068"/>
      <c r="J98" s="1068"/>
      <c r="K98" s="1069"/>
      <c r="L98" s="1070"/>
      <c r="M98" s="1071"/>
      <c r="N98" s="1072"/>
      <c r="O98" s="1072"/>
      <c r="P98" s="1072"/>
      <c r="Q98" s="1072"/>
      <c r="R98" s="1073"/>
      <c r="S98" s="1069"/>
      <c r="T98" s="1070"/>
      <c r="U98" s="1062"/>
      <c r="V98" s="1063"/>
      <c r="W98" s="1062"/>
      <c r="X98" s="1063"/>
      <c r="Y98" s="1062"/>
      <c r="Z98" s="1063"/>
      <c r="AA98" s="1038"/>
      <c r="AB98" s="1055"/>
      <c r="AC98" s="816"/>
      <c r="AD98" s="817"/>
      <c r="AG98" s="283">
        <f t="shared" si="23"/>
        <v>0</v>
      </c>
      <c r="AH98" s="353">
        <f t="shared" si="1"/>
        <v>0</v>
      </c>
      <c r="AI98" s="249" t="b">
        <f t="shared" si="2"/>
        <v>0</v>
      </c>
      <c r="AJ98" s="249" t="str">
        <f t="shared" si="3"/>
        <v/>
      </c>
      <c r="AK98" s="249" t="b">
        <f t="shared" si="4"/>
        <v>0</v>
      </c>
      <c r="AL98" s="249" t="str">
        <f t="shared" si="5"/>
        <v/>
      </c>
      <c r="AM98" s="249" t="b">
        <f t="shared" si="6"/>
        <v>0</v>
      </c>
      <c r="AN98"/>
      <c r="AO98" s="249" t="b">
        <f t="shared" si="7"/>
        <v>0</v>
      </c>
      <c r="AP98" s="249" t="str">
        <f t="shared" si="8"/>
        <v/>
      </c>
      <c r="AQ98" s="249" t="b">
        <f t="shared" si="9"/>
        <v>0</v>
      </c>
      <c r="AR98" s="249" t="str">
        <f t="shared" si="10"/>
        <v/>
      </c>
      <c r="AS98" s="249" t="b">
        <f t="shared" si="11"/>
        <v>0</v>
      </c>
      <c r="AU98">
        <f>IF(K98&lt;=CNSIPEE_2024_M2_Secc1!$C$51,0,IF(K98&lt;="NS",0,1))</f>
        <v>0</v>
      </c>
      <c r="AV98">
        <f t="shared" si="12"/>
        <v>0</v>
      </c>
      <c r="AW98">
        <f t="shared" si="13"/>
        <v>0</v>
      </c>
      <c r="AX98">
        <f t="shared" si="14"/>
        <v>0</v>
      </c>
      <c r="BC98" s="253">
        <f t="shared" si="15"/>
        <v>0</v>
      </c>
      <c r="BD98" s="253">
        <f t="shared" si="16"/>
        <v>0</v>
      </c>
      <c r="BE98" s="253">
        <f t="shared" si="17"/>
        <v>0</v>
      </c>
      <c r="BF98" s="253">
        <f t="shared" si="18"/>
        <v>0</v>
      </c>
      <c r="BG98" s="253">
        <f t="shared" si="19"/>
        <v>0</v>
      </c>
      <c r="BH98" s="253">
        <f t="shared" si="20"/>
        <v>0</v>
      </c>
      <c r="BI98" s="253">
        <f t="shared" si="21"/>
        <v>0</v>
      </c>
      <c r="BJ98" s="253">
        <f t="shared" si="22"/>
        <v>0</v>
      </c>
    </row>
    <row r="99" spans="1:62">
      <c r="A99" s="49"/>
      <c r="B99" s="54"/>
      <c r="C99" s="44" t="s">
        <v>4330</v>
      </c>
      <c r="D99" s="1068"/>
      <c r="E99" s="1068"/>
      <c r="F99" s="1068"/>
      <c r="G99" s="1068"/>
      <c r="H99" s="1068"/>
      <c r="I99" s="1068"/>
      <c r="J99" s="1068"/>
      <c r="K99" s="1069"/>
      <c r="L99" s="1070"/>
      <c r="M99" s="1071"/>
      <c r="N99" s="1072"/>
      <c r="O99" s="1072"/>
      <c r="P99" s="1072"/>
      <c r="Q99" s="1072"/>
      <c r="R99" s="1073"/>
      <c r="S99" s="1069"/>
      <c r="T99" s="1070"/>
      <c r="U99" s="1062"/>
      <c r="V99" s="1063"/>
      <c r="W99" s="1062"/>
      <c r="X99" s="1063"/>
      <c r="Y99" s="1062"/>
      <c r="Z99" s="1063"/>
      <c r="AA99" s="1038"/>
      <c r="AB99" s="1055"/>
      <c r="AC99" s="816"/>
      <c r="AD99" s="817"/>
      <c r="AG99" s="283">
        <f t="shared" si="23"/>
        <v>0</v>
      </c>
      <c r="AH99" s="353">
        <f t="shared" si="1"/>
        <v>0</v>
      </c>
      <c r="AI99" s="249" t="b">
        <f t="shared" si="2"/>
        <v>0</v>
      </c>
      <c r="AJ99" s="249" t="str">
        <f t="shared" si="3"/>
        <v/>
      </c>
      <c r="AK99" s="249" t="b">
        <f t="shared" si="4"/>
        <v>0</v>
      </c>
      <c r="AL99" s="249" t="str">
        <f t="shared" si="5"/>
        <v/>
      </c>
      <c r="AM99" s="249" t="b">
        <f t="shared" si="6"/>
        <v>0</v>
      </c>
      <c r="AN99"/>
      <c r="AO99" s="249" t="b">
        <f t="shared" si="7"/>
        <v>0</v>
      </c>
      <c r="AP99" s="249" t="str">
        <f t="shared" si="8"/>
        <v/>
      </c>
      <c r="AQ99" s="249" t="b">
        <f t="shared" si="9"/>
        <v>0</v>
      </c>
      <c r="AR99" s="249" t="str">
        <f t="shared" si="10"/>
        <v/>
      </c>
      <c r="AS99" s="249" t="b">
        <f t="shared" si="11"/>
        <v>0</v>
      </c>
      <c r="AU99">
        <f>IF(K99&lt;=CNSIPEE_2024_M2_Secc1!$C$51,0,IF(K99&lt;="NS",0,1))</f>
        <v>0</v>
      </c>
      <c r="AV99">
        <f t="shared" si="12"/>
        <v>0</v>
      </c>
      <c r="AW99">
        <f t="shared" si="13"/>
        <v>0</v>
      </c>
      <c r="AX99">
        <f t="shared" si="14"/>
        <v>0</v>
      </c>
      <c r="BC99" s="253">
        <f t="shared" si="15"/>
        <v>0</v>
      </c>
      <c r="BD99" s="253">
        <f t="shared" si="16"/>
        <v>0</v>
      </c>
      <c r="BE99" s="253">
        <f t="shared" si="17"/>
        <v>0</v>
      </c>
      <c r="BF99" s="253">
        <f t="shared" si="18"/>
        <v>0</v>
      </c>
      <c r="BG99" s="253">
        <f t="shared" si="19"/>
        <v>0</v>
      </c>
      <c r="BH99" s="253">
        <f t="shared" si="20"/>
        <v>0</v>
      </c>
      <c r="BI99" s="253">
        <f t="shared" si="21"/>
        <v>0</v>
      </c>
      <c r="BJ99" s="253">
        <f t="shared" si="22"/>
        <v>0</v>
      </c>
    </row>
    <row r="100" spans="1:62">
      <c r="A100" s="49"/>
      <c r="B100" s="54"/>
      <c r="C100" s="44" t="s">
        <v>4331</v>
      </c>
      <c r="D100" s="1068"/>
      <c r="E100" s="1068"/>
      <c r="F100" s="1068"/>
      <c r="G100" s="1068"/>
      <c r="H100" s="1068"/>
      <c r="I100" s="1068"/>
      <c r="J100" s="1068"/>
      <c r="K100" s="1069"/>
      <c r="L100" s="1070"/>
      <c r="M100" s="1071"/>
      <c r="N100" s="1072"/>
      <c r="O100" s="1072"/>
      <c r="P100" s="1072"/>
      <c r="Q100" s="1072"/>
      <c r="R100" s="1073"/>
      <c r="S100" s="1069"/>
      <c r="T100" s="1070"/>
      <c r="U100" s="1062"/>
      <c r="V100" s="1063"/>
      <c r="W100" s="1062"/>
      <c r="X100" s="1063"/>
      <c r="Y100" s="1062"/>
      <c r="Z100" s="1063"/>
      <c r="AA100" s="1038"/>
      <c r="AB100" s="1055"/>
      <c r="AC100" s="816"/>
      <c r="AD100" s="817"/>
      <c r="AG100" s="283">
        <f t="shared" si="23"/>
        <v>0</v>
      </c>
      <c r="AH100" s="353">
        <f t="shared" si="1"/>
        <v>0</v>
      </c>
      <c r="AI100" s="249" t="b">
        <f t="shared" si="2"/>
        <v>0</v>
      </c>
      <c r="AJ100" s="249" t="str">
        <f t="shared" si="3"/>
        <v/>
      </c>
      <c r="AK100" s="249" t="b">
        <f t="shared" si="4"/>
        <v>0</v>
      </c>
      <c r="AL100" s="249" t="str">
        <f t="shared" si="5"/>
        <v/>
      </c>
      <c r="AM100" s="249" t="b">
        <f t="shared" si="6"/>
        <v>0</v>
      </c>
      <c r="AN100"/>
      <c r="AO100" s="249" t="b">
        <f t="shared" si="7"/>
        <v>0</v>
      </c>
      <c r="AP100" s="249" t="str">
        <f t="shared" si="8"/>
        <v/>
      </c>
      <c r="AQ100" s="249" t="b">
        <f t="shared" si="9"/>
        <v>0</v>
      </c>
      <c r="AR100" s="249" t="str">
        <f t="shared" si="10"/>
        <v/>
      </c>
      <c r="AS100" s="249" t="b">
        <f t="shared" si="11"/>
        <v>0</v>
      </c>
      <c r="AU100">
        <f>IF(K100&lt;=CNSIPEE_2024_M2_Secc1!$C$51,0,IF(K100&lt;="NS",0,1))</f>
        <v>0</v>
      </c>
      <c r="AV100">
        <f t="shared" si="12"/>
        <v>0</v>
      </c>
      <c r="AW100">
        <f t="shared" si="13"/>
        <v>0</v>
      </c>
      <c r="AX100">
        <f t="shared" si="14"/>
        <v>0</v>
      </c>
      <c r="BC100" s="253">
        <f t="shared" si="15"/>
        <v>0</v>
      </c>
      <c r="BD100" s="253">
        <f t="shared" si="16"/>
        <v>0</v>
      </c>
      <c r="BE100" s="253">
        <f t="shared" si="17"/>
        <v>0</v>
      </c>
      <c r="BF100" s="253">
        <f t="shared" si="18"/>
        <v>0</v>
      </c>
      <c r="BG100" s="253">
        <f t="shared" si="19"/>
        <v>0</v>
      </c>
      <c r="BH100" s="253">
        <f t="shared" si="20"/>
        <v>0</v>
      </c>
      <c r="BI100" s="253">
        <f t="shared" si="21"/>
        <v>0</v>
      </c>
      <c r="BJ100" s="253">
        <f t="shared" si="22"/>
        <v>0</v>
      </c>
    </row>
    <row r="101" spans="1:62">
      <c r="A101" s="49"/>
      <c r="B101" s="54"/>
      <c r="C101" s="44" t="s">
        <v>4332</v>
      </c>
      <c r="D101" s="1068"/>
      <c r="E101" s="1068"/>
      <c r="F101" s="1068"/>
      <c r="G101" s="1068"/>
      <c r="H101" s="1068"/>
      <c r="I101" s="1068"/>
      <c r="J101" s="1068"/>
      <c r="K101" s="1069"/>
      <c r="L101" s="1070"/>
      <c r="M101" s="1071"/>
      <c r="N101" s="1072"/>
      <c r="O101" s="1072"/>
      <c r="P101" s="1072"/>
      <c r="Q101" s="1072"/>
      <c r="R101" s="1073"/>
      <c r="S101" s="1069"/>
      <c r="T101" s="1070"/>
      <c r="U101" s="1062"/>
      <c r="V101" s="1063"/>
      <c r="W101" s="1062"/>
      <c r="X101" s="1063"/>
      <c r="Y101" s="1062"/>
      <c r="Z101" s="1063"/>
      <c r="AA101" s="1038"/>
      <c r="AB101" s="1055"/>
      <c r="AC101" s="816"/>
      <c r="AD101" s="817"/>
      <c r="AG101" s="283">
        <f t="shared" si="23"/>
        <v>0</v>
      </c>
      <c r="AH101" s="353">
        <f t="shared" si="1"/>
        <v>0</v>
      </c>
      <c r="AI101" s="249" t="b">
        <f t="shared" si="2"/>
        <v>0</v>
      </c>
      <c r="AJ101" s="249" t="str">
        <f t="shared" si="3"/>
        <v/>
      </c>
      <c r="AK101" s="249" t="b">
        <f t="shared" si="4"/>
        <v>0</v>
      </c>
      <c r="AL101" s="249" t="str">
        <f t="shared" si="5"/>
        <v/>
      </c>
      <c r="AM101" s="249" t="b">
        <f t="shared" si="6"/>
        <v>0</v>
      </c>
      <c r="AN101"/>
      <c r="AO101" s="249" t="b">
        <f t="shared" si="7"/>
        <v>0</v>
      </c>
      <c r="AP101" s="249" t="str">
        <f t="shared" si="8"/>
        <v/>
      </c>
      <c r="AQ101" s="249" t="b">
        <f t="shared" si="9"/>
        <v>0</v>
      </c>
      <c r="AR101" s="249" t="str">
        <f t="shared" si="10"/>
        <v/>
      </c>
      <c r="AS101" s="249" t="b">
        <f t="shared" si="11"/>
        <v>0</v>
      </c>
      <c r="AU101">
        <f>IF(K101&lt;=CNSIPEE_2024_M2_Secc1!$C$51,0,IF(K101&lt;="NS",0,1))</f>
        <v>0</v>
      </c>
      <c r="AV101">
        <f t="shared" si="12"/>
        <v>0</v>
      </c>
      <c r="AW101">
        <f t="shared" si="13"/>
        <v>0</v>
      </c>
      <c r="AX101">
        <f t="shared" si="14"/>
        <v>0</v>
      </c>
      <c r="BC101" s="253">
        <f t="shared" si="15"/>
        <v>0</v>
      </c>
      <c r="BD101" s="253">
        <f t="shared" si="16"/>
        <v>0</v>
      </c>
      <c r="BE101" s="253">
        <f t="shared" si="17"/>
        <v>0</v>
      </c>
      <c r="BF101" s="253">
        <f t="shared" si="18"/>
        <v>0</v>
      </c>
      <c r="BG101" s="253">
        <f t="shared" si="19"/>
        <v>0</v>
      </c>
      <c r="BH101" s="253">
        <f t="shared" si="20"/>
        <v>0</v>
      </c>
      <c r="BI101" s="253">
        <f t="shared" si="21"/>
        <v>0</v>
      </c>
      <c r="BJ101" s="253">
        <f t="shared" si="22"/>
        <v>0</v>
      </c>
    </row>
    <row r="102" spans="1:62">
      <c r="A102" s="49"/>
      <c r="B102" s="54"/>
      <c r="C102" s="44" t="s">
        <v>4333</v>
      </c>
      <c r="D102" s="1068"/>
      <c r="E102" s="1068"/>
      <c r="F102" s="1068"/>
      <c r="G102" s="1068"/>
      <c r="H102" s="1068"/>
      <c r="I102" s="1068"/>
      <c r="J102" s="1068"/>
      <c r="K102" s="1069"/>
      <c r="L102" s="1070"/>
      <c r="M102" s="1071"/>
      <c r="N102" s="1072"/>
      <c r="O102" s="1072"/>
      <c r="P102" s="1072"/>
      <c r="Q102" s="1072"/>
      <c r="R102" s="1073"/>
      <c r="S102" s="1069"/>
      <c r="T102" s="1070"/>
      <c r="U102" s="1062"/>
      <c r="V102" s="1063"/>
      <c r="W102" s="1062"/>
      <c r="X102" s="1063"/>
      <c r="Y102" s="1062"/>
      <c r="Z102" s="1063"/>
      <c r="AA102" s="1038"/>
      <c r="AB102" s="1055"/>
      <c r="AC102" s="816"/>
      <c r="AD102" s="817"/>
      <c r="AG102" s="283">
        <f t="shared" si="23"/>
        <v>0</v>
      </c>
      <c r="AH102" s="353">
        <f t="shared" si="1"/>
        <v>0</v>
      </c>
      <c r="AI102" s="249" t="b">
        <f t="shared" si="2"/>
        <v>0</v>
      </c>
      <c r="AJ102" s="249" t="str">
        <f t="shared" si="3"/>
        <v/>
      </c>
      <c r="AK102" s="249" t="b">
        <f t="shared" si="4"/>
        <v>0</v>
      </c>
      <c r="AL102" s="249" t="str">
        <f t="shared" si="5"/>
        <v/>
      </c>
      <c r="AM102" s="249" t="b">
        <f t="shared" si="6"/>
        <v>0</v>
      </c>
      <c r="AN102"/>
      <c r="AO102" s="249" t="b">
        <f t="shared" si="7"/>
        <v>0</v>
      </c>
      <c r="AP102" s="249" t="str">
        <f t="shared" si="8"/>
        <v/>
      </c>
      <c r="AQ102" s="249" t="b">
        <f t="shared" si="9"/>
        <v>0</v>
      </c>
      <c r="AR102" s="249" t="str">
        <f t="shared" si="10"/>
        <v/>
      </c>
      <c r="AS102" s="249" t="b">
        <f t="shared" si="11"/>
        <v>0</v>
      </c>
      <c r="AU102">
        <f>IF(K102&lt;=CNSIPEE_2024_M2_Secc1!$C$51,0,IF(K102&lt;="NS",0,1))</f>
        <v>0</v>
      </c>
      <c r="AV102">
        <f t="shared" si="12"/>
        <v>0</v>
      </c>
      <c r="AW102">
        <f t="shared" si="13"/>
        <v>0</v>
      </c>
      <c r="AX102">
        <f t="shared" si="14"/>
        <v>0</v>
      </c>
      <c r="BC102" s="253">
        <f t="shared" si="15"/>
        <v>0</v>
      </c>
      <c r="BD102" s="253">
        <f t="shared" si="16"/>
        <v>0</v>
      </c>
      <c r="BE102" s="253">
        <f t="shared" si="17"/>
        <v>0</v>
      </c>
      <c r="BF102" s="253">
        <f t="shared" si="18"/>
        <v>0</v>
      </c>
      <c r="BG102" s="253">
        <f t="shared" si="19"/>
        <v>0</v>
      </c>
      <c r="BH102" s="253">
        <f t="shared" si="20"/>
        <v>0</v>
      </c>
      <c r="BI102" s="253">
        <f t="shared" si="21"/>
        <v>0</v>
      </c>
      <c r="BJ102" s="253">
        <f t="shared" si="22"/>
        <v>0</v>
      </c>
    </row>
    <row r="103" spans="1:62">
      <c r="A103" s="49"/>
      <c r="B103" s="54"/>
      <c r="C103" s="44" t="s">
        <v>4334</v>
      </c>
      <c r="D103" s="1068"/>
      <c r="E103" s="1068"/>
      <c r="F103" s="1068"/>
      <c r="G103" s="1068"/>
      <c r="H103" s="1068"/>
      <c r="I103" s="1068"/>
      <c r="J103" s="1068"/>
      <c r="K103" s="1069"/>
      <c r="L103" s="1070"/>
      <c r="M103" s="1071"/>
      <c r="N103" s="1072"/>
      <c r="O103" s="1072"/>
      <c r="P103" s="1072"/>
      <c r="Q103" s="1072"/>
      <c r="R103" s="1073"/>
      <c r="S103" s="1069"/>
      <c r="T103" s="1070"/>
      <c r="U103" s="1062"/>
      <c r="V103" s="1063"/>
      <c r="W103" s="1062"/>
      <c r="X103" s="1063"/>
      <c r="Y103" s="1062"/>
      <c r="Z103" s="1063"/>
      <c r="AA103" s="1038"/>
      <c r="AB103" s="1055"/>
      <c r="AC103" s="816"/>
      <c r="AD103" s="817"/>
      <c r="AG103" s="283">
        <f t="shared" si="23"/>
        <v>0</v>
      </c>
      <c r="AH103" s="353">
        <f t="shared" si="1"/>
        <v>0</v>
      </c>
      <c r="AI103" s="249" t="b">
        <f t="shared" si="2"/>
        <v>0</v>
      </c>
      <c r="AJ103" s="249" t="str">
        <f t="shared" si="3"/>
        <v/>
      </c>
      <c r="AK103" s="249" t="b">
        <f t="shared" si="4"/>
        <v>0</v>
      </c>
      <c r="AL103" s="249" t="str">
        <f t="shared" si="5"/>
        <v/>
      </c>
      <c r="AM103" s="249" t="b">
        <f t="shared" si="6"/>
        <v>0</v>
      </c>
      <c r="AN103"/>
      <c r="AO103" s="249" t="b">
        <f t="shared" si="7"/>
        <v>0</v>
      </c>
      <c r="AP103" s="249" t="str">
        <f t="shared" si="8"/>
        <v/>
      </c>
      <c r="AQ103" s="249" t="b">
        <f t="shared" si="9"/>
        <v>0</v>
      </c>
      <c r="AR103" s="249" t="str">
        <f t="shared" si="10"/>
        <v/>
      </c>
      <c r="AS103" s="249" t="b">
        <f t="shared" si="11"/>
        <v>0</v>
      </c>
      <c r="AU103">
        <f>IF(K103&lt;=CNSIPEE_2024_M2_Secc1!$C$51,0,IF(K103&lt;="NS",0,1))</f>
        <v>0</v>
      </c>
      <c r="AV103">
        <f t="shared" si="12"/>
        <v>0</v>
      </c>
      <c r="AW103">
        <f t="shared" si="13"/>
        <v>0</v>
      </c>
      <c r="AX103">
        <f t="shared" si="14"/>
        <v>0</v>
      </c>
      <c r="BC103" s="253">
        <f t="shared" si="15"/>
        <v>0</v>
      </c>
      <c r="BD103" s="253">
        <f t="shared" si="16"/>
        <v>0</v>
      </c>
      <c r="BE103" s="253">
        <f t="shared" si="17"/>
        <v>0</v>
      </c>
      <c r="BF103" s="253">
        <f t="shared" si="18"/>
        <v>0</v>
      </c>
      <c r="BG103" s="253">
        <f t="shared" si="19"/>
        <v>0</v>
      </c>
      <c r="BH103" s="253">
        <f t="shared" si="20"/>
        <v>0</v>
      </c>
      <c r="BI103" s="253">
        <f t="shared" si="21"/>
        <v>0</v>
      </c>
      <c r="BJ103" s="253">
        <f t="shared" si="22"/>
        <v>0</v>
      </c>
    </row>
    <row r="104" spans="1:62">
      <c r="A104" s="49"/>
      <c r="B104" s="54"/>
      <c r="C104" s="44" t="s">
        <v>4335</v>
      </c>
      <c r="D104" s="1068"/>
      <c r="E104" s="1068"/>
      <c r="F104" s="1068"/>
      <c r="G104" s="1068"/>
      <c r="H104" s="1068"/>
      <c r="I104" s="1068"/>
      <c r="J104" s="1068"/>
      <c r="K104" s="1069"/>
      <c r="L104" s="1070"/>
      <c r="M104" s="1071"/>
      <c r="N104" s="1072"/>
      <c r="O104" s="1072"/>
      <c r="P104" s="1072"/>
      <c r="Q104" s="1072"/>
      <c r="R104" s="1073"/>
      <c r="S104" s="1069"/>
      <c r="T104" s="1070"/>
      <c r="U104" s="1062"/>
      <c r="V104" s="1063"/>
      <c r="W104" s="1062"/>
      <c r="X104" s="1063"/>
      <c r="Y104" s="1062"/>
      <c r="Z104" s="1063"/>
      <c r="AA104" s="1038"/>
      <c r="AB104" s="1055"/>
      <c r="AC104" s="816"/>
      <c r="AD104" s="817"/>
      <c r="AG104" s="283">
        <f t="shared" si="23"/>
        <v>0</v>
      </c>
      <c r="AH104" s="353">
        <f t="shared" si="1"/>
        <v>0</v>
      </c>
      <c r="AI104" s="249" t="b">
        <f t="shared" si="2"/>
        <v>0</v>
      </c>
      <c r="AJ104" s="249" t="str">
        <f t="shared" si="3"/>
        <v/>
      </c>
      <c r="AK104" s="249" t="b">
        <f t="shared" si="4"/>
        <v>0</v>
      </c>
      <c r="AL104" s="249" t="str">
        <f t="shared" si="5"/>
        <v/>
      </c>
      <c r="AM104" s="249" t="b">
        <f t="shared" si="6"/>
        <v>0</v>
      </c>
      <c r="AN104"/>
      <c r="AO104" s="249" t="b">
        <f t="shared" si="7"/>
        <v>0</v>
      </c>
      <c r="AP104" s="249" t="str">
        <f t="shared" si="8"/>
        <v/>
      </c>
      <c r="AQ104" s="249" t="b">
        <f t="shared" si="9"/>
        <v>0</v>
      </c>
      <c r="AR104" s="249" t="str">
        <f t="shared" si="10"/>
        <v/>
      </c>
      <c r="AS104" s="249" t="b">
        <f t="shared" si="11"/>
        <v>0</v>
      </c>
      <c r="AU104">
        <f>IF(K104&lt;=CNSIPEE_2024_M2_Secc1!$C$51,0,IF(K104&lt;="NS",0,1))</f>
        <v>0</v>
      </c>
      <c r="AV104">
        <f t="shared" si="12"/>
        <v>0</v>
      </c>
      <c r="AW104">
        <f t="shared" si="13"/>
        <v>0</v>
      </c>
      <c r="AX104">
        <f t="shared" si="14"/>
        <v>0</v>
      </c>
      <c r="BC104" s="253">
        <f t="shared" si="15"/>
        <v>0</v>
      </c>
      <c r="BD104" s="253">
        <f t="shared" si="16"/>
        <v>0</v>
      </c>
      <c r="BE104" s="253">
        <f t="shared" si="17"/>
        <v>0</v>
      </c>
      <c r="BF104" s="253">
        <f t="shared" si="18"/>
        <v>0</v>
      </c>
      <c r="BG104" s="253">
        <f t="shared" si="19"/>
        <v>0</v>
      </c>
      <c r="BH104" s="253">
        <f t="shared" si="20"/>
        <v>0</v>
      </c>
      <c r="BI104" s="253">
        <f t="shared" si="21"/>
        <v>0</v>
      </c>
      <c r="BJ104" s="253">
        <f t="shared" si="22"/>
        <v>0</v>
      </c>
    </row>
    <row r="105" spans="1:62">
      <c r="A105" s="49"/>
      <c r="B105" s="54"/>
      <c r="C105" s="44" t="s">
        <v>4336</v>
      </c>
      <c r="D105" s="1068"/>
      <c r="E105" s="1068"/>
      <c r="F105" s="1068"/>
      <c r="G105" s="1068"/>
      <c r="H105" s="1068"/>
      <c r="I105" s="1068"/>
      <c r="J105" s="1068"/>
      <c r="K105" s="1069"/>
      <c r="L105" s="1070"/>
      <c r="M105" s="1071"/>
      <c r="N105" s="1072"/>
      <c r="O105" s="1072"/>
      <c r="P105" s="1072"/>
      <c r="Q105" s="1072"/>
      <c r="R105" s="1073"/>
      <c r="S105" s="1069"/>
      <c r="T105" s="1070"/>
      <c r="U105" s="1062"/>
      <c r="V105" s="1063"/>
      <c r="W105" s="1062"/>
      <c r="X105" s="1063"/>
      <c r="Y105" s="1062"/>
      <c r="Z105" s="1063"/>
      <c r="AA105" s="1038"/>
      <c r="AB105" s="1055"/>
      <c r="AC105" s="816"/>
      <c r="AD105" s="817"/>
      <c r="AG105" s="283">
        <f t="shared" si="23"/>
        <v>0</v>
      </c>
      <c r="AH105" s="353">
        <f t="shared" si="1"/>
        <v>0</v>
      </c>
      <c r="AI105" s="249" t="b">
        <f t="shared" si="2"/>
        <v>0</v>
      </c>
      <c r="AJ105" s="249" t="str">
        <f t="shared" si="3"/>
        <v/>
      </c>
      <c r="AK105" s="249" t="b">
        <f t="shared" si="4"/>
        <v>0</v>
      </c>
      <c r="AL105" s="249" t="str">
        <f t="shared" si="5"/>
        <v/>
      </c>
      <c r="AM105" s="249" t="b">
        <f t="shared" si="6"/>
        <v>0</v>
      </c>
      <c r="AN105"/>
      <c r="AO105" s="249" t="b">
        <f t="shared" si="7"/>
        <v>0</v>
      </c>
      <c r="AP105" s="249" t="str">
        <f t="shared" si="8"/>
        <v/>
      </c>
      <c r="AQ105" s="249" t="b">
        <f t="shared" si="9"/>
        <v>0</v>
      </c>
      <c r="AR105" s="249" t="str">
        <f t="shared" si="10"/>
        <v/>
      </c>
      <c r="AS105" s="249" t="b">
        <f t="shared" si="11"/>
        <v>0</v>
      </c>
      <c r="AU105">
        <f>IF(K105&lt;=CNSIPEE_2024_M2_Secc1!$C$51,0,IF(K105&lt;="NS",0,1))</f>
        <v>0</v>
      </c>
      <c r="AV105">
        <f t="shared" si="12"/>
        <v>0</v>
      </c>
      <c r="AW105">
        <f t="shared" si="13"/>
        <v>0</v>
      </c>
      <c r="AX105">
        <f t="shared" si="14"/>
        <v>0</v>
      </c>
      <c r="BC105" s="253">
        <f t="shared" si="15"/>
        <v>0</v>
      </c>
      <c r="BD105" s="253">
        <f t="shared" si="16"/>
        <v>0</v>
      </c>
      <c r="BE105" s="253">
        <f t="shared" si="17"/>
        <v>0</v>
      </c>
      <c r="BF105" s="253">
        <f t="shared" si="18"/>
        <v>0</v>
      </c>
      <c r="BG105" s="253">
        <f t="shared" si="19"/>
        <v>0</v>
      </c>
      <c r="BH105" s="253">
        <f t="shared" si="20"/>
        <v>0</v>
      </c>
      <c r="BI105" s="253">
        <f t="shared" si="21"/>
        <v>0</v>
      </c>
      <c r="BJ105" s="253">
        <f t="shared" si="22"/>
        <v>0</v>
      </c>
    </row>
    <row r="106" spans="1:62">
      <c r="A106" s="49"/>
      <c r="B106" s="54"/>
      <c r="C106" s="44" t="s">
        <v>4337</v>
      </c>
      <c r="D106" s="1068"/>
      <c r="E106" s="1068"/>
      <c r="F106" s="1068"/>
      <c r="G106" s="1068"/>
      <c r="H106" s="1068"/>
      <c r="I106" s="1068"/>
      <c r="J106" s="1068"/>
      <c r="K106" s="1069"/>
      <c r="L106" s="1070"/>
      <c r="M106" s="1071"/>
      <c r="N106" s="1072"/>
      <c r="O106" s="1072"/>
      <c r="P106" s="1072"/>
      <c r="Q106" s="1072"/>
      <c r="R106" s="1073"/>
      <c r="S106" s="1069"/>
      <c r="T106" s="1070"/>
      <c r="U106" s="1062"/>
      <c r="V106" s="1063"/>
      <c r="W106" s="1062"/>
      <c r="X106" s="1063"/>
      <c r="Y106" s="1062"/>
      <c r="Z106" s="1063"/>
      <c r="AA106" s="1038"/>
      <c r="AB106" s="1055"/>
      <c r="AC106" s="816"/>
      <c r="AD106" s="817"/>
      <c r="AG106" s="283">
        <f t="shared" si="23"/>
        <v>0</v>
      </c>
      <c r="AH106" s="353">
        <f t="shared" si="1"/>
        <v>0</v>
      </c>
      <c r="AI106" s="249" t="b">
        <f t="shared" si="2"/>
        <v>0</v>
      </c>
      <c r="AJ106" s="249" t="str">
        <f t="shared" si="3"/>
        <v/>
      </c>
      <c r="AK106" s="249" t="b">
        <f t="shared" si="4"/>
        <v>0</v>
      </c>
      <c r="AL106" s="249" t="str">
        <f t="shared" si="5"/>
        <v/>
      </c>
      <c r="AM106" s="249" t="b">
        <f t="shared" si="6"/>
        <v>0</v>
      </c>
      <c r="AN106"/>
      <c r="AO106" s="249" t="b">
        <f t="shared" si="7"/>
        <v>0</v>
      </c>
      <c r="AP106" s="249" t="str">
        <f t="shared" si="8"/>
        <v/>
      </c>
      <c r="AQ106" s="249" t="b">
        <f t="shared" si="9"/>
        <v>0</v>
      </c>
      <c r="AR106" s="249" t="str">
        <f t="shared" si="10"/>
        <v/>
      </c>
      <c r="AS106" s="249" t="b">
        <f t="shared" si="11"/>
        <v>0</v>
      </c>
      <c r="AU106">
        <f>IF(K106&lt;=CNSIPEE_2024_M2_Secc1!$C$51,0,IF(K106&lt;="NS",0,1))</f>
        <v>0</v>
      </c>
      <c r="AV106">
        <f t="shared" si="12"/>
        <v>0</v>
      </c>
      <c r="AW106">
        <f t="shared" si="13"/>
        <v>0</v>
      </c>
      <c r="AX106">
        <f t="shared" si="14"/>
        <v>0</v>
      </c>
      <c r="BC106" s="253">
        <f t="shared" si="15"/>
        <v>0</v>
      </c>
      <c r="BD106" s="253">
        <f t="shared" si="16"/>
        <v>0</v>
      </c>
      <c r="BE106" s="253">
        <f t="shared" si="17"/>
        <v>0</v>
      </c>
      <c r="BF106" s="253">
        <f t="shared" si="18"/>
        <v>0</v>
      </c>
      <c r="BG106" s="253">
        <f t="shared" si="19"/>
        <v>0</v>
      </c>
      <c r="BH106" s="253">
        <f t="shared" si="20"/>
        <v>0</v>
      </c>
      <c r="BI106" s="253">
        <f t="shared" si="21"/>
        <v>0</v>
      </c>
      <c r="BJ106" s="253">
        <f t="shared" si="22"/>
        <v>0</v>
      </c>
    </row>
    <row r="107" spans="1:62">
      <c r="A107" s="49"/>
      <c r="B107" s="54"/>
      <c r="C107" s="44" t="s">
        <v>4338</v>
      </c>
      <c r="D107" s="1068"/>
      <c r="E107" s="1068"/>
      <c r="F107" s="1068"/>
      <c r="G107" s="1068"/>
      <c r="H107" s="1068"/>
      <c r="I107" s="1068"/>
      <c r="J107" s="1068"/>
      <c r="K107" s="1069"/>
      <c r="L107" s="1070"/>
      <c r="M107" s="1071"/>
      <c r="N107" s="1072"/>
      <c r="O107" s="1072"/>
      <c r="P107" s="1072"/>
      <c r="Q107" s="1072"/>
      <c r="R107" s="1073"/>
      <c r="S107" s="1069"/>
      <c r="T107" s="1070"/>
      <c r="U107" s="1062"/>
      <c r="V107" s="1063"/>
      <c r="W107" s="1062"/>
      <c r="X107" s="1063"/>
      <c r="Y107" s="1062"/>
      <c r="Z107" s="1063"/>
      <c r="AA107" s="1038"/>
      <c r="AB107" s="1055"/>
      <c r="AC107" s="816"/>
      <c r="AD107" s="817"/>
      <c r="AG107" s="283">
        <f t="shared" si="23"/>
        <v>0</v>
      </c>
      <c r="AH107" s="353">
        <f t="shared" si="1"/>
        <v>0</v>
      </c>
      <c r="AI107" s="249" t="b">
        <f t="shared" si="2"/>
        <v>0</v>
      </c>
      <c r="AJ107" s="249" t="str">
        <f t="shared" si="3"/>
        <v/>
      </c>
      <c r="AK107" s="249" t="b">
        <f t="shared" si="4"/>
        <v>0</v>
      </c>
      <c r="AL107" s="249" t="str">
        <f t="shared" si="5"/>
        <v/>
      </c>
      <c r="AM107" s="249" t="b">
        <f t="shared" si="6"/>
        <v>0</v>
      </c>
      <c r="AN107"/>
      <c r="AO107" s="249" t="b">
        <f t="shared" si="7"/>
        <v>0</v>
      </c>
      <c r="AP107" s="249" t="str">
        <f t="shared" si="8"/>
        <v/>
      </c>
      <c r="AQ107" s="249" t="b">
        <f t="shared" si="9"/>
        <v>0</v>
      </c>
      <c r="AR107" s="249" t="str">
        <f t="shared" si="10"/>
        <v/>
      </c>
      <c r="AS107" s="249" t="b">
        <f t="shared" si="11"/>
        <v>0</v>
      </c>
      <c r="AU107">
        <f>IF(K107&lt;=CNSIPEE_2024_M2_Secc1!$C$51,0,IF(K107&lt;="NS",0,1))</f>
        <v>0</v>
      </c>
      <c r="AV107">
        <f t="shared" si="12"/>
        <v>0</v>
      </c>
      <c r="AW107">
        <f t="shared" si="13"/>
        <v>0</v>
      </c>
      <c r="AX107">
        <f t="shared" si="14"/>
        <v>0</v>
      </c>
      <c r="BC107" s="253">
        <f t="shared" si="15"/>
        <v>0</v>
      </c>
      <c r="BD107" s="253">
        <f t="shared" si="16"/>
        <v>0</v>
      </c>
      <c r="BE107" s="253">
        <f t="shared" si="17"/>
        <v>0</v>
      </c>
      <c r="BF107" s="253">
        <f t="shared" si="18"/>
        <v>0</v>
      </c>
      <c r="BG107" s="253">
        <f t="shared" si="19"/>
        <v>0</v>
      </c>
      <c r="BH107" s="253">
        <f t="shared" si="20"/>
        <v>0</v>
      </c>
      <c r="BI107" s="253">
        <f t="shared" si="21"/>
        <v>0</v>
      </c>
      <c r="BJ107" s="253">
        <f t="shared" si="22"/>
        <v>0</v>
      </c>
    </row>
    <row r="108" spans="1:62">
      <c r="A108" s="49"/>
      <c r="B108" s="54"/>
      <c r="C108" s="44" t="s">
        <v>4339</v>
      </c>
      <c r="D108" s="1068"/>
      <c r="E108" s="1068"/>
      <c r="F108" s="1068"/>
      <c r="G108" s="1068"/>
      <c r="H108" s="1068"/>
      <c r="I108" s="1068"/>
      <c r="J108" s="1068"/>
      <c r="K108" s="1069"/>
      <c r="L108" s="1070"/>
      <c r="M108" s="1071"/>
      <c r="N108" s="1072"/>
      <c r="O108" s="1072"/>
      <c r="P108" s="1072"/>
      <c r="Q108" s="1072"/>
      <c r="R108" s="1073"/>
      <c r="S108" s="1069"/>
      <c r="T108" s="1070"/>
      <c r="U108" s="1062"/>
      <c r="V108" s="1063"/>
      <c r="W108" s="1062"/>
      <c r="X108" s="1063"/>
      <c r="Y108" s="1062"/>
      <c r="Z108" s="1063"/>
      <c r="AA108" s="1038"/>
      <c r="AB108" s="1055"/>
      <c r="AC108" s="816"/>
      <c r="AD108" s="817"/>
      <c r="AG108" s="283">
        <f t="shared" si="23"/>
        <v>0</v>
      </c>
      <c r="AH108" s="353">
        <f t="shared" si="1"/>
        <v>0</v>
      </c>
      <c r="AI108" s="249" t="b">
        <f t="shared" si="2"/>
        <v>0</v>
      </c>
      <c r="AJ108" s="249" t="str">
        <f t="shared" si="3"/>
        <v/>
      </c>
      <c r="AK108" s="249" t="b">
        <f t="shared" si="4"/>
        <v>0</v>
      </c>
      <c r="AL108" s="249" t="str">
        <f t="shared" si="5"/>
        <v/>
      </c>
      <c r="AM108" s="249" t="b">
        <f t="shared" si="6"/>
        <v>0</v>
      </c>
      <c r="AN108"/>
      <c r="AO108" s="249" t="b">
        <f t="shared" si="7"/>
        <v>0</v>
      </c>
      <c r="AP108" s="249" t="str">
        <f t="shared" si="8"/>
        <v/>
      </c>
      <c r="AQ108" s="249" t="b">
        <f t="shared" si="9"/>
        <v>0</v>
      </c>
      <c r="AR108" s="249" t="str">
        <f t="shared" si="10"/>
        <v/>
      </c>
      <c r="AS108" s="249" t="b">
        <f t="shared" si="11"/>
        <v>0</v>
      </c>
      <c r="AU108">
        <f>IF(K108&lt;=CNSIPEE_2024_M2_Secc1!$C$51,0,IF(K108&lt;="NS",0,1))</f>
        <v>0</v>
      </c>
      <c r="AV108">
        <f t="shared" si="12"/>
        <v>0</v>
      </c>
      <c r="AW108">
        <f t="shared" si="13"/>
        <v>0</v>
      </c>
      <c r="AX108">
        <f t="shared" si="14"/>
        <v>0</v>
      </c>
      <c r="BC108" s="253">
        <f t="shared" si="15"/>
        <v>0</v>
      </c>
      <c r="BD108" s="253">
        <f t="shared" si="16"/>
        <v>0</v>
      </c>
      <c r="BE108" s="253">
        <f t="shared" si="17"/>
        <v>0</v>
      </c>
      <c r="BF108" s="253">
        <f t="shared" si="18"/>
        <v>0</v>
      </c>
      <c r="BG108" s="253">
        <f t="shared" si="19"/>
        <v>0</v>
      </c>
      <c r="BH108" s="253">
        <f t="shared" si="20"/>
        <v>0</v>
      </c>
      <c r="BI108" s="253">
        <f t="shared" si="21"/>
        <v>0</v>
      </c>
      <c r="BJ108" s="253">
        <f t="shared" si="22"/>
        <v>0</v>
      </c>
    </row>
    <row r="109" spans="1:62">
      <c r="A109" s="49"/>
      <c r="B109" s="54"/>
      <c r="C109" s="44" t="s">
        <v>4340</v>
      </c>
      <c r="D109" s="1068"/>
      <c r="E109" s="1068"/>
      <c r="F109" s="1068"/>
      <c r="G109" s="1068"/>
      <c r="H109" s="1068"/>
      <c r="I109" s="1068"/>
      <c r="J109" s="1068"/>
      <c r="K109" s="1069"/>
      <c r="L109" s="1070"/>
      <c r="M109" s="1071"/>
      <c r="N109" s="1072"/>
      <c r="O109" s="1072"/>
      <c r="P109" s="1072"/>
      <c r="Q109" s="1072"/>
      <c r="R109" s="1073"/>
      <c r="S109" s="1069"/>
      <c r="T109" s="1070"/>
      <c r="U109" s="1062"/>
      <c r="V109" s="1063"/>
      <c r="W109" s="1062"/>
      <c r="X109" s="1063"/>
      <c r="Y109" s="1062"/>
      <c r="Z109" s="1063"/>
      <c r="AA109" s="1038"/>
      <c r="AB109" s="1055"/>
      <c r="AC109" s="816"/>
      <c r="AD109" s="817"/>
      <c r="AG109" s="283">
        <f t="shared" si="23"/>
        <v>0</v>
      </c>
      <c r="AH109" s="353">
        <f t="shared" si="1"/>
        <v>0</v>
      </c>
      <c r="AI109" s="249" t="b">
        <f t="shared" si="2"/>
        <v>0</v>
      </c>
      <c r="AJ109" s="249" t="str">
        <f t="shared" si="3"/>
        <v/>
      </c>
      <c r="AK109" s="249" t="b">
        <f t="shared" si="4"/>
        <v>0</v>
      </c>
      <c r="AL109" s="249" t="str">
        <f t="shared" si="5"/>
        <v/>
      </c>
      <c r="AM109" s="249" t="b">
        <f t="shared" si="6"/>
        <v>0</v>
      </c>
      <c r="AN109"/>
      <c r="AO109" s="249" t="b">
        <f t="shared" si="7"/>
        <v>0</v>
      </c>
      <c r="AP109" s="249" t="str">
        <f t="shared" si="8"/>
        <v/>
      </c>
      <c r="AQ109" s="249" t="b">
        <f t="shared" si="9"/>
        <v>0</v>
      </c>
      <c r="AR109" s="249" t="str">
        <f t="shared" si="10"/>
        <v/>
      </c>
      <c r="AS109" s="249" t="b">
        <f t="shared" si="11"/>
        <v>0</v>
      </c>
      <c r="AU109">
        <f>IF(K109&lt;=CNSIPEE_2024_M2_Secc1!$C$51,0,IF(K109&lt;="NS",0,1))</f>
        <v>0</v>
      </c>
      <c r="AV109">
        <f t="shared" si="12"/>
        <v>0</v>
      </c>
      <c r="AW109">
        <f t="shared" si="13"/>
        <v>0</v>
      </c>
      <c r="AX109">
        <f t="shared" si="14"/>
        <v>0</v>
      </c>
      <c r="BC109" s="253">
        <f t="shared" si="15"/>
        <v>0</v>
      </c>
      <c r="BD109" s="253">
        <f t="shared" si="16"/>
        <v>0</v>
      </c>
      <c r="BE109" s="253">
        <f t="shared" si="17"/>
        <v>0</v>
      </c>
      <c r="BF109" s="253">
        <f t="shared" si="18"/>
        <v>0</v>
      </c>
      <c r="BG109" s="253">
        <f t="shared" si="19"/>
        <v>0</v>
      </c>
      <c r="BH109" s="253">
        <f t="shared" si="20"/>
        <v>0</v>
      </c>
      <c r="BI109" s="253">
        <f t="shared" si="21"/>
        <v>0</v>
      </c>
      <c r="BJ109" s="253">
        <f t="shared" si="22"/>
        <v>0</v>
      </c>
    </row>
    <row r="110" spans="1:62">
      <c r="A110" s="49"/>
      <c r="B110" s="54"/>
      <c r="C110" s="44" t="s">
        <v>4341</v>
      </c>
      <c r="D110" s="1068"/>
      <c r="E110" s="1068"/>
      <c r="F110" s="1068"/>
      <c r="G110" s="1068"/>
      <c r="H110" s="1068"/>
      <c r="I110" s="1068"/>
      <c r="J110" s="1068"/>
      <c r="K110" s="1069"/>
      <c r="L110" s="1070"/>
      <c r="M110" s="1071"/>
      <c r="N110" s="1072"/>
      <c r="O110" s="1072"/>
      <c r="P110" s="1072"/>
      <c r="Q110" s="1072"/>
      <c r="R110" s="1073"/>
      <c r="S110" s="1069"/>
      <c r="T110" s="1070"/>
      <c r="U110" s="1062"/>
      <c r="V110" s="1063"/>
      <c r="W110" s="1062"/>
      <c r="X110" s="1063"/>
      <c r="Y110" s="1062"/>
      <c r="Z110" s="1063"/>
      <c r="AA110" s="1038"/>
      <c r="AB110" s="1055"/>
      <c r="AC110" s="816"/>
      <c r="AD110" s="817"/>
      <c r="AG110" s="283">
        <f t="shared" si="23"/>
        <v>0</v>
      </c>
      <c r="AH110" s="353">
        <f t="shared" si="1"/>
        <v>0</v>
      </c>
      <c r="AI110" s="249" t="b">
        <f t="shared" si="2"/>
        <v>0</v>
      </c>
      <c r="AJ110" s="249" t="str">
        <f t="shared" si="3"/>
        <v/>
      </c>
      <c r="AK110" s="249" t="b">
        <f t="shared" si="4"/>
        <v>0</v>
      </c>
      <c r="AL110" s="249" t="str">
        <f t="shared" si="5"/>
        <v/>
      </c>
      <c r="AM110" s="249" t="b">
        <f t="shared" si="6"/>
        <v>0</v>
      </c>
      <c r="AN110"/>
      <c r="AO110" s="249" t="b">
        <f t="shared" si="7"/>
        <v>0</v>
      </c>
      <c r="AP110" s="249" t="str">
        <f t="shared" si="8"/>
        <v/>
      </c>
      <c r="AQ110" s="249" t="b">
        <f t="shared" si="9"/>
        <v>0</v>
      </c>
      <c r="AR110" s="249" t="str">
        <f t="shared" si="10"/>
        <v/>
      </c>
      <c r="AS110" s="249" t="b">
        <f t="shared" si="11"/>
        <v>0</v>
      </c>
      <c r="AU110">
        <f>IF(K110&lt;=CNSIPEE_2024_M2_Secc1!$C$51,0,IF(K110&lt;="NS",0,1))</f>
        <v>0</v>
      </c>
      <c r="AV110">
        <f t="shared" si="12"/>
        <v>0</v>
      </c>
      <c r="AW110">
        <f t="shared" si="13"/>
        <v>0</v>
      </c>
      <c r="AX110">
        <f t="shared" si="14"/>
        <v>0</v>
      </c>
      <c r="BC110" s="253">
        <f t="shared" si="15"/>
        <v>0</v>
      </c>
      <c r="BD110" s="253">
        <f t="shared" si="16"/>
        <v>0</v>
      </c>
      <c r="BE110" s="253">
        <f t="shared" si="17"/>
        <v>0</v>
      </c>
      <c r="BF110" s="253">
        <f t="shared" si="18"/>
        <v>0</v>
      </c>
      <c r="BG110" s="253">
        <f t="shared" si="19"/>
        <v>0</v>
      </c>
      <c r="BH110" s="253">
        <f t="shared" si="20"/>
        <v>0</v>
      </c>
      <c r="BI110" s="253">
        <f t="shared" si="21"/>
        <v>0</v>
      </c>
      <c r="BJ110" s="253">
        <f t="shared" si="22"/>
        <v>0</v>
      </c>
    </row>
    <row r="111" spans="1:62">
      <c r="A111" s="49"/>
      <c r="B111" s="54"/>
      <c r="C111" s="44" t="s">
        <v>4342</v>
      </c>
      <c r="D111" s="1068"/>
      <c r="E111" s="1068"/>
      <c r="F111" s="1068"/>
      <c r="G111" s="1068"/>
      <c r="H111" s="1068"/>
      <c r="I111" s="1068"/>
      <c r="J111" s="1068"/>
      <c r="K111" s="1069"/>
      <c r="L111" s="1070"/>
      <c r="M111" s="1071"/>
      <c r="N111" s="1072"/>
      <c r="O111" s="1072"/>
      <c r="P111" s="1072"/>
      <c r="Q111" s="1072"/>
      <c r="R111" s="1073"/>
      <c r="S111" s="1069"/>
      <c r="T111" s="1070"/>
      <c r="U111" s="1062"/>
      <c r="V111" s="1063"/>
      <c r="W111" s="1062"/>
      <c r="X111" s="1063"/>
      <c r="Y111" s="1062"/>
      <c r="Z111" s="1063"/>
      <c r="AA111" s="1038"/>
      <c r="AB111" s="1055"/>
      <c r="AC111" s="816"/>
      <c r="AD111" s="817"/>
      <c r="AG111" s="283">
        <f t="shared" si="23"/>
        <v>0</v>
      </c>
      <c r="AH111" s="353">
        <f t="shared" si="1"/>
        <v>0</v>
      </c>
      <c r="AI111" s="249" t="b">
        <f t="shared" si="2"/>
        <v>0</v>
      </c>
      <c r="AJ111" s="249" t="str">
        <f t="shared" si="3"/>
        <v/>
      </c>
      <c r="AK111" s="249" t="b">
        <f t="shared" si="4"/>
        <v>0</v>
      </c>
      <c r="AL111" s="249" t="str">
        <f t="shared" si="5"/>
        <v/>
      </c>
      <c r="AM111" s="249" t="b">
        <f t="shared" si="6"/>
        <v>0</v>
      </c>
      <c r="AN111"/>
      <c r="AO111" s="249" t="b">
        <f t="shared" si="7"/>
        <v>0</v>
      </c>
      <c r="AP111" s="249" t="str">
        <f t="shared" si="8"/>
        <v/>
      </c>
      <c r="AQ111" s="249" t="b">
        <f t="shared" si="9"/>
        <v>0</v>
      </c>
      <c r="AR111" s="249" t="str">
        <f t="shared" si="10"/>
        <v/>
      </c>
      <c r="AS111" s="249" t="b">
        <f t="shared" si="11"/>
        <v>0</v>
      </c>
      <c r="AU111">
        <f>IF(K111&lt;=CNSIPEE_2024_M2_Secc1!$C$51,0,IF(K111&lt;="NS",0,1))</f>
        <v>0</v>
      </c>
      <c r="AV111">
        <f t="shared" si="12"/>
        <v>0</v>
      </c>
      <c r="AW111">
        <f t="shared" si="13"/>
        <v>0</v>
      </c>
      <c r="AX111">
        <f t="shared" si="14"/>
        <v>0</v>
      </c>
      <c r="BC111" s="253">
        <f t="shared" si="15"/>
        <v>0</v>
      </c>
      <c r="BD111" s="253">
        <f t="shared" si="16"/>
        <v>0</v>
      </c>
      <c r="BE111" s="253">
        <f t="shared" si="17"/>
        <v>0</v>
      </c>
      <c r="BF111" s="253">
        <f t="shared" si="18"/>
        <v>0</v>
      </c>
      <c r="BG111" s="253">
        <f t="shared" si="19"/>
        <v>0</v>
      </c>
      <c r="BH111" s="253">
        <f t="shared" si="20"/>
        <v>0</v>
      </c>
      <c r="BI111" s="253">
        <f t="shared" si="21"/>
        <v>0</v>
      </c>
      <c r="BJ111" s="253">
        <f t="shared" si="22"/>
        <v>0</v>
      </c>
    </row>
    <row r="112" spans="1:62">
      <c r="A112" s="49"/>
      <c r="B112" s="54"/>
      <c r="C112" s="44" t="s">
        <v>4343</v>
      </c>
      <c r="D112" s="1068"/>
      <c r="E112" s="1068"/>
      <c r="F112" s="1068"/>
      <c r="G112" s="1068"/>
      <c r="H112" s="1068"/>
      <c r="I112" s="1068"/>
      <c r="J112" s="1068"/>
      <c r="K112" s="1069"/>
      <c r="L112" s="1070"/>
      <c r="M112" s="1071"/>
      <c r="N112" s="1072"/>
      <c r="O112" s="1072"/>
      <c r="P112" s="1072"/>
      <c r="Q112" s="1072"/>
      <c r="R112" s="1073"/>
      <c r="S112" s="1069"/>
      <c r="T112" s="1070"/>
      <c r="U112" s="1062"/>
      <c r="V112" s="1063"/>
      <c r="W112" s="1062"/>
      <c r="X112" s="1063"/>
      <c r="Y112" s="1062"/>
      <c r="Z112" s="1063"/>
      <c r="AA112" s="1038"/>
      <c r="AB112" s="1055"/>
      <c r="AC112" s="816"/>
      <c r="AD112" s="817"/>
      <c r="AG112" s="283">
        <f t="shared" si="23"/>
        <v>0</v>
      </c>
      <c r="AH112" s="353">
        <f t="shared" si="1"/>
        <v>0</v>
      </c>
      <c r="AI112" s="249" t="b">
        <f t="shared" si="2"/>
        <v>0</v>
      </c>
      <c r="AJ112" s="249" t="str">
        <f t="shared" si="3"/>
        <v/>
      </c>
      <c r="AK112" s="249" t="b">
        <f t="shared" si="4"/>
        <v>0</v>
      </c>
      <c r="AL112" s="249" t="str">
        <f t="shared" si="5"/>
        <v/>
      </c>
      <c r="AM112" s="249" t="b">
        <f t="shared" si="6"/>
        <v>0</v>
      </c>
      <c r="AN112"/>
      <c r="AO112" s="249" t="b">
        <f t="shared" si="7"/>
        <v>0</v>
      </c>
      <c r="AP112" s="249" t="str">
        <f t="shared" si="8"/>
        <v/>
      </c>
      <c r="AQ112" s="249" t="b">
        <f t="shared" si="9"/>
        <v>0</v>
      </c>
      <c r="AR112" s="249" t="str">
        <f t="shared" si="10"/>
        <v/>
      </c>
      <c r="AS112" s="249" t="b">
        <f t="shared" si="11"/>
        <v>0</v>
      </c>
      <c r="AU112">
        <f>IF(K112&lt;=CNSIPEE_2024_M2_Secc1!$C$51,0,IF(K112&lt;="NS",0,1))</f>
        <v>0</v>
      </c>
      <c r="AV112">
        <f t="shared" si="12"/>
        <v>0</v>
      </c>
      <c r="AW112">
        <f t="shared" si="13"/>
        <v>0</v>
      </c>
      <c r="AX112">
        <f t="shared" si="14"/>
        <v>0</v>
      </c>
      <c r="BC112" s="253">
        <f t="shared" si="15"/>
        <v>0</v>
      </c>
      <c r="BD112" s="253">
        <f t="shared" si="16"/>
        <v>0</v>
      </c>
      <c r="BE112" s="253">
        <f t="shared" si="17"/>
        <v>0</v>
      </c>
      <c r="BF112" s="253">
        <f t="shared" si="18"/>
        <v>0</v>
      </c>
      <c r="BG112" s="253">
        <f t="shared" si="19"/>
        <v>0</v>
      </c>
      <c r="BH112" s="253">
        <f t="shared" si="20"/>
        <v>0</v>
      </c>
      <c r="BI112" s="253">
        <f t="shared" si="21"/>
        <v>0</v>
      </c>
      <c r="BJ112" s="253">
        <f t="shared" si="22"/>
        <v>0</v>
      </c>
    </row>
    <row r="113" spans="1:62">
      <c r="A113" s="49"/>
      <c r="B113" s="54"/>
      <c r="C113" s="44" t="s">
        <v>4344</v>
      </c>
      <c r="D113" s="1068"/>
      <c r="E113" s="1068"/>
      <c r="F113" s="1068"/>
      <c r="G113" s="1068"/>
      <c r="H113" s="1068"/>
      <c r="I113" s="1068"/>
      <c r="J113" s="1068"/>
      <c r="K113" s="1069"/>
      <c r="L113" s="1070"/>
      <c r="M113" s="1071"/>
      <c r="N113" s="1072"/>
      <c r="O113" s="1072"/>
      <c r="P113" s="1072"/>
      <c r="Q113" s="1072"/>
      <c r="R113" s="1073"/>
      <c r="S113" s="1069"/>
      <c r="T113" s="1070"/>
      <c r="U113" s="1062"/>
      <c r="V113" s="1063"/>
      <c r="W113" s="1062"/>
      <c r="X113" s="1063"/>
      <c r="Y113" s="1062"/>
      <c r="Z113" s="1063"/>
      <c r="AA113" s="1038"/>
      <c r="AB113" s="1055"/>
      <c r="AC113" s="816"/>
      <c r="AD113" s="817"/>
      <c r="AG113" s="283">
        <f t="shared" si="23"/>
        <v>0</v>
      </c>
      <c r="AH113" s="353">
        <f t="shared" si="1"/>
        <v>0</v>
      </c>
      <c r="AI113" s="249" t="b">
        <f t="shared" si="2"/>
        <v>0</v>
      </c>
      <c r="AJ113" s="249" t="str">
        <f t="shared" si="3"/>
        <v/>
      </c>
      <c r="AK113" s="249" t="b">
        <f t="shared" si="4"/>
        <v>0</v>
      </c>
      <c r="AL113" s="249" t="str">
        <f t="shared" si="5"/>
        <v/>
      </c>
      <c r="AM113" s="249" t="b">
        <f t="shared" si="6"/>
        <v>0</v>
      </c>
      <c r="AN113"/>
      <c r="AO113" s="249" t="b">
        <f t="shared" si="7"/>
        <v>0</v>
      </c>
      <c r="AP113" s="249" t="str">
        <f t="shared" si="8"/>
        <v/>
      </c>
      <c r="AQ113" s="249" t="b">
        <f t="shared" si="9"/>
        <v>0</v>
      </c>
      <c r="AR113" s="249" t="str">
        <f t="shared" si="10"/>
        <v/>
      </c>
      <c r="AS113" s="249" t="b">
        <f t="shared" si="11"/>
        <v>0</v>
      </c>
      <c r="AU113">
        <f>IF(K113&lt;=CNSIPEE_2024_M2_Secc1!$C$51,0,IF(K113&lt;="NS",0,1))</f>
        <v>0</v>
      </c>
      <c r="AV113">
        <f t="shared" si="12"/>
        <v>0</v>
      </c>
      <c r="AW113">
        <f t="shared" si="13"/>
        <v>0</v>
      </c>
      <c r="AX113">
        <f>IF(AND(U113&lt;&gt;"",AA113=""),0,IF(OR(AA113="NS",$U113="NS"),0,IF(AND(AA113="NA",$U113="NA"),0,IF(AA113&gt;=$U113,0,IF(AND(U113&lt;&gt;"",OR(AA113="",AA113&lt;&gt;"")),0,1)))))</f>
        <v>0</v>
      </c>
      <c r="BC113" s="253">
        <f t="shared" si="15"/>
        <v>0</v>
      </c>
      <c r="BD113" s="253">
        <f t="shared" si="16"/>
        <v>0</v>
      </c>
      <c r="BE113" s="253">
        <f t="shared" si="17"/>
        <v>0</v>
      </c>
      <c r="BF113" s="253">
        <f t="shared" si="18"/>
        <v>0</v>
      </c>
      <c r="BG113" s="253">
        <f t="shared" si="19"/>
        <v>0</v>
      </c>
      <c r="BH113" s="253">
        <f t="shared" si="20"/>
        <v>0</v>
      </c>
      <c r="BI113" s="253">
        <f t="shared" si="21"/>
        <v>0</v>
      </c>
      <c r="BJ113" s="253">
        <f>IF(AA113="NS",0,IF(AND(AA113&lt;&gt;"",SUM(BI113)=4),0,IF(AA113="",0,1)))</f>
        <v>0</v>
      </c>
    </row>
    <row r="114" spans="1:62">
      <c r="A114" s="49"/>
      <c r="B114" s="54"/>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c r="AA114" s="54"/>
      <c r="AB114" s="54"/>
      <c r="AC114" s="54"/>
      <c r="AD114" s="54"/>
      <c r="AG114" s="549">
        <f>SUM(AG64:AG113)</f>
        <v>0</v>
      </c>
      <c r="AH114" s="531">
        <f>SUM(AH64:AH113)</f>
        <v>0</v>
      </c>
      <c r="AI114" s="250">
        <f>COUNTIF(AI64:AI113,TRUE)</f>
        <v>0</v>
      </c>
      <c r="AJ114" s="249"/>
      <c r="AK114" s="250">
        <f>COUNTIF(AK64:AK113,TRUE)</f>
        <v>0</v>
      </c>
      <c r="AL114" s="249"/>
      <c r="AM114" s="250">
        <f>COUNTIF(AM64:AM113,TRUE)</f>
        <v>0</v>
      </c>
      <c r="AN114" s="250">
        <f>SUM(AI114,AK114,AM114)</f>
        <v>0</v>
      </c>
      <c r="AO114" s="250">
        <f>COUNTIF(AO64:AO113,TRUE)</f>
        <v>0</v>
      </c>
      <c r="AP114" s="249"/>
      <c r="AQ114" s="250">
        <f>COUNTIF(AQ64:AQ113,TRUE)</f>
        <v>0</v>
      </c>
      <c r="AR114" s="249"/>
      <c r="AS114" s="250">
        <f>COUNTIF(AS64:AS113,TRUE)</f>
        <v>0</v>
      </c>
      <c r="AT114" s="250">
        <f>SUM(AO114,AQ114,AS114)</f>
        <v>0</v>
      </c>
      <c r="AU114" s="550">
        <f>SUM(AU64:AU113)</f>
        <v>0</v>
      </c>
      <c r="AX114" s="551">
        <f>SUM(AV64:AX113)</f>
        <v>0</v>
      </c>
      <c r="BD114" s="257">
        <f>SUM(BD64:BD113)</f>
        <v>0</v>
      </c>
      <c r="BE114"/>
      <c r="BF114" s="257">
        <f>SUM(BF64:BF113)</f>
        <v>0</v>
      </c>
      <c r="BG114"/>
      <c r="BH114" s="257">
        <f>SUM(BH64:BH113)</f>
        <v>0</v>
      </c>
      <c r="BI114"/>
      <c r="BJ114" s="257">
        <f>SUM(BJ64:BJ113)</f>
        <v>0</v>
      </c>
    </row>
    <row r="115" spans="1:62">
      <c r="A115" s="142"/>
      <c r="B115" s="57"/>
      <c r="C115" s="57"/>
      <c r="D115" s="57"/>
      <c r="E115" s="57"/>
      <c r="F115" s="57"/>
      <c r="G115" s="57"/>
      <c r="H115" s="57"/>
      <c r="I115" s="57"/>
      <c r="J115" s="57"/>
      <c r="K115" s="57"/>
      <c r="L115" s="57"/>
      <c r="M115" s="57"/>
      <c r="N115" s="57"/>
      <c r="O115" s="57"/>
      <c r="P115" s="57"/>
      <c r="Q115" s="57"/>
      <c r="R115" s="57"/>
      <c r="S115" s="57"/>
      <c r="T115" s="57"/>
      <c r="U115" s="57"/>
      <c r="V115" s="57"/>
      <c r="W115" s="57"/>
      <c r="X115" s="57"/>
      <c r="Y115" s="57"/>
      <c r="Z115" s="57"/>
      <c r="AA115" s="875" t="s">
        <v>2668</v>
      </c>
      <c r="AB115" s="875"/>
      <c r="AC115" s="875"/>
      <c r="AD115" s="875"/>
    </row>
    <row r="116" spans="1:62" ht="72" customHeight="1">
      <c r="A116" s="49"/>
      <c r="B116" s="54"/>
      <c r="C116" s="797" t="s">
        <v>4313</v>
      </c>
      <c r="D116" s="798"/>
      <c r="E116" s="798"/>
      <c r="F116" s="798"/>
      <c r="G116" s="798"/>
      <c r="H116" s="799"/>
      <c r="I116" s="739" t="s">
        <v>4345</v>
      </c>
      <c r="J116" s="740"/>
      <c r="K116" s="740"/>
      <c r="L116" s="740"/>
      <c r="M116" s="740"/>
      <c r="N116" s="740"/>
      <c r="O116" s="740"/>
      <c r="P116" s="740"/>
      <c r="Q116" s="740"/>
      <c r="R116" s="740"/>
      <c r="S116" s="740"/>
      <c r="T116" s="740"/>
      <c r="U116" s="740"/>
      <c r="V116" s="740"/>
      <c r="W116" s="740"/>
      <c r="X116" s="740"/>
      <c r="Y116" s="740"/>
      <c r="Z116" s="740"/>
      <c r="AA116" s="740"/>
      <c r="AB116" s="740"/>
      <c r="AC116" s="740"/>
      <c r="AD116" s="741"/>
    </row>
    <row r="117" spans="1:62" ht="72" customHeight="1">
      <c r="A117" s="49"/>
      <c r="B117" s="54"/>
      <c r="C117" s="803"/>
      <c r="D117" s="804"/>
      <c r="E117" s="804"/>
      <c r="F117" s="804"/>
      <c r="G117" s="804"/>
      <c r="H117" s="805"/>
      <c r="I117" s="44" t="s">
        <v>2516</v>
      </c>
      <c r="J117" s="44" t="s">
        <v>2517</v>
      </c>
      <c r="K117" s="44" t="s">
        <v>2518</v>
      </c>
      <c r="L117" s="44" t="s">
        <v>2519</v>
      </c>
      <c r="M117" s="44" t="s">
        <v>2520</v>
      </c>
      <c r="N117" s="44" t="s">
        <v>2521</v>
      </c>
      <c r="O117" s="44" t="s">
        <v>2522</v>
      </c>
      <c r="P117" s="44" t="s">
        <v>2523</v>
      </c>
      <c r="Q117" s="44" t="s">
        <v>2524</v>
      </c>
      <c r="R117" s="44" t="s">
        <v>2525</v>
      </c>
      <c r="S117" s="44" t="s">
        <v>2526</v>
      </c>
      <c r="T117" s="44" t="s">
        <v>2527</v>
      </c>
      <c r="U117" s="44" t="s">
        <v>2528</v>
      </c>
      <c r="V117" s="44" t="s">
        <v>2529</v>
      </c>
      <c r="W117" s="44" t="s">
        <v>2530</v>
      </c>
      <c r="X117" s="44" t="s">
        <v>2531</v>
      </c>
      <c r="Y117" s="44" t="s">
        <v>2532</v>
      </c>
      <c r="Z117" s="44" t="s">
        <v>2533</v>
      </c>
      <c r="AA117" s="167" t="s">
        <v>2534</v>
      </c>
      <c r="AB117" s="44" t="s">
        <v>2535</v>
      </c>
      <c r="AC117" s="44" t="s">
        <v>2536</v>
      </c>
      <c r="AD117" s="44" t="s">
        <v>2912</v>
      </c>
      <c r="AG117" s="538" t="s">
        <v>2591</v>
      </c>
      <c r="AH117" s="539" t="s">
        <v>4346</v>
      </c>
      <c r="AI117" s="540" t="s">
        <v>4321</v>
      </c>
      <c r="AJ117" s="541" t="s">
        <v>4347</v>
      </c>
      <c r="AK117" s="542" t="s">
        <v>4348</v>
      </c>
      <c r="AL117" s="543" t="s">
        <v>4349</v>
      </c>
      <c r="AM117" s="544" t="s">
        <v>4350</v>
      </c>
      <c r="AN117" s="545" t="s">
        <v>4351</v>
      </c>
      <c r="AO117" s="546" t="s">
        <v>4352</v>
      </c>
      <c r="AP117" s="547" t="s">
        <v>4353</v>
      </c>
      <c r="AQ117" s="548" t="s">
        <v>4354</v>
      </c>
    </row>
    <row r="118" spans="1:62">
      <c r="A118" s="49"/>
      <c r="B118" s="54"/>
      <c r="C118" s="44" t="s">
        <v>2516</v>
      </c>
      <c r="D118" s="813" t="str">
        <f>IF(CNSIPEE_2024_M2_Secc6!D64="","",CNSIPEE_2024_M2_Secc6!D64)</f>
        <v/>
      </c>
      <c r="E118" s="814"/>
      <c r="F118" s="814"/>
      <c r="G118" s="814"/>
      <c r="H118" s="815"/>
      <c r="I118" s="88"/>
      <c r="J118" s="88"/>
      <c r="K118" s="88"/>
      <c r="L118" s="88"/>
      <c r="M118" s="88"/>
      <c r="N118" s="88"/>
      <c r="O118" s="88"/>
      <c r="P118" s="88"/>
      <c r="Q118" s="88"/>
      <c r="R118" s="88"/>
      <c r="S118" s="88"/>
      <c r="T118" s="88"/>
      <c r="U118" s="88"/>
      <c r="V118" s="88"/>
      <c r="W118" s="88"/>
      <c r="X118" s="88"/>
      <c r="Y118" s="88"/>
      <c r="Z118" s="88"/>
      <c r="AA118" s="88"/>
      <c r="AB118" s="88"/>
      <c r="AC118" s="88"/>
      <c r="AD118" s="88"/>
      <c r="AG118">
        <f>IF(AND(W64&lt;&gt;"",COUNTA(Y64:AD64)=0),0,IF(AND(W64="",COUNTA(Y64:AD64)=0),0,IF(AND(W64="",COUNTA(Y64:AD64)&gt;0),0,1)))</f>
        <v>0</v>
      </c>
      <c r="AH118">
        <f>IF(AND(Y64&lt;&gt;"",COUNTA(W64,AA64:AD64)=0),0,IF(AND(Y64="",COUNTA(W64,AA64:AD64)=0),0,IF(AND(Y64="",COUNTA(W64,AA64:AD64)&gt;0),0,1)))</f>
        <v>0</v>
      </c>
      <c r="AI118">
        <f>IF(AND(AA64&lt;&gt;"",COUNTA(W64:Z64,AC64)=0),0,IF(AND(AA64="",COUNTA(W64:Z64,AC64)=0),0,IF(AND(AA64="",COUNTA(W64:Z64,AC64)&gt;0),0,1)))</f>
        <v>0</v>
      </c>
      <c r="AJ118">
        <f>IF(AND(AC64&lt;&gt;"",COUNTA(W64:AB64)=0),0,IF(AND(AC64="",COUNTA(W64:AB64)=0),0,IF(AND(AC64="",COUNTA(W64:AB64)&gt;0),0,1)))</f>
        <v>0</v>
      </c>
      <c r="AK118">
        <f>IF(AND(AD118="X",COUNTA(I118:AC118)=0),0,IF(AND(AD118="",COUNTA(I118:AC118)=0),0,IF(AND(AD118="",COUNTA(I118:AC118)&gt;0),0,1)))</f>
        <v>0</v>
      </c>
      <c r="AL118">
        <f>IF(AND($W64&lt;&gt;"",COUNTA(Y64:AD64)&gt;0),1,0)</f>
        <v>0</v>
      </c>
      <c r="AM118">
        <f>IF(AND($Y64&lt;&gt;"",COUNTA(W64,AA64:AD64)&gt;0),1,0)</f>
        <v>0</v>
      </c>
      <c r="AN118">
        <f>IF(AND($AA64&lt;&gt;"",COUNTA(W64:Z64,AC64)&gt;0),1,0)</f>
        <v>0</v>
      </c>
      <c r="AO118">
        <f>IF(AND($AC64&lt;&gt;"",COUNTA(W64:AB64)&gt;0),1,0)</f>
        <v>0</v>
      </c>
      <c r="AP118">
        <f>IF(AND($AD118="X",COUNTA(I118:AC118)&gt;0),1,0)</f>
        <v>0</v>
      </c>
      <c r="AQ118">
        <f>IF(AND($C$32&lt;&gt;"",$C$32&lt;&gt;1,COUNTA(D64:AD113,I118:AD167)&gt;0),1,0)</f>
        <v>0</v>
      </c>
    </row>
    <row r="119" spans="1:62">
      <c r="A119" s="49"/>
      <c r="B119" s="54"/>
      <c r="C119" s="44" t="s">
        <v>2517</v>
      </c>
      <c r="D119" s="813" t="str">
        <f>IF(CNSIPEE_2024_M2_Secc6!D65="","",CNSIPEE_2024_M2_Secc6!D65)</f>
        <v/>
      </c>
      <c r="E119" s="814"/>
      <c r="F119" s="814"/>
      <c r="G119" s="814"/>
      <c r="H119" s="815"/>
      <c r="I119" s="88"/>
      <c r="J119" s="88"/>
      <c r="K119" s="88"/>
      <c r="L119" s="88"/>
      <c r="M119" s="88"/>
      <c r="N119" s="88"/>
      <c r="O119" s="88"/>
      <c r="P119" s="88"/>
      <c r="Q119" s="88"/>
      <c r="R119" s="88"/>
      <c r="S119" s="88"/>
      <c r="T119" s="88"/>
      <c r="U119" s="88"/>
      <c r="V119" s="88"/>
      <c r="W119" s="88"/>
      <c r="X119" s="88"/>
      <c r="Y119" s="88"/>
      <c r="Z119" s="88"/>
      <c r="AA119" s="88"/>
      <c r="AB119" s="88"/>
      <c r="AC119" s="88"/>
      <c r="AD119" s="88"/>
      <c r="AG119">
        <f t="shared" ref="AG119:AG167" si="24">IF(AND(W65&lt;&gt;"",COUNTA(Y65:AD65)=0),0,IF(AND(W65="",COUNTA(Y65:AD65)=0),0,IF(AND(W65="",COUNTA(Y65:AD65)&gt;0),0,1)))</f>
        <v>0</v>
      </c>
      <c r="AH119">
        <f t="shared" ref="AH119:AH167" si="25">IF(AND(Y65&lt;&gt;"",COUNTA(W65,AA65:AD65)=0),0,IF(AND(Y65="",COUNTA(W65,AA65:AD65)=0),0,IF(AND(Y65="",COUNTA(W65,AA65:AD65)&gt;0),0,1)))</f>
        <v>0</v>
      </c>
      <c r="AI119">
        <f t="shared" ref="AI119:AI167" si="26">IF(AND(AA65&lt;&gt;"",COUNTA(W65:Z65,AC65)=0),0,IF(AND(AA65="",COUNTA(W65:Z65,AC65)=0),0,IF(AND(AA65="",COUNTA(W65:Z65,AC65)&gt;0),0,1)))</f>
        <v>0</v>
      </c>
      <c r="AJ119">
        <f t="shared" ref="AJ119:AJ167" si="27">IF(AND(AC65&lt;&gt;"",COUNTA(W65:AB65)=0),0,IF(AND(AC65="",COUNTA(W65:AB65)=0),0,IF(AND(AC65="",COUNTA(W65:AB65)&gt;0),0,1)))</f>
        <v>0</v>
      </c>
      <c r="AK119">
        <f t="shared" ref="AK119:AK167" si="28">IF(AND(AD119="X",COUNTA(I119:AC119)=0),0,IF(AND(AD119="",COUNTA(I119:AC119)=0),0,IF(AND(AD119="",COUNTA(I119:AC119)&gt;0),0,1)))</f>
        <v>0</v>
      </c>
      <c r="AL119">
        <f t="shared" ref="AL119:AL167" si="29">IF(AND($W65&lt;&gt;"",COUNTA(Y65:AD65)&gt;0),1,0)</f>
        <v>0</v>
      </c>
      <c r="AM119">
        <f t="shared" ref="AM119:AM167" si="30">IF(AND($Y65&lt;&gt;"",COUNTA(W65,AA65:AD65)&gt;0),1,0)</f>
        <v>0</v>
      </c>
      <c r="AN119">
        <f t="shared" ref="AN119:AN167" si="31">IF(AND($AA65&lt;&gt;"",COUNTA(W65:Z65,AC65)&gt;0),1,0)</f>
        <v>0</v>
      </c>
      <c r="AO119">
        <f t="shared" ref="AO119:AO167" si="32">IF(AND($AC65&lt;&gt;"",COUNTA(W65:AB65)&gt;0),1,0)</f>
        <v>0</v>
      </c>
      <c r="AP119">
        <f t="shared" ref="AP119:AP167" si="33">IF(AND($AD119="X",COUNTA(I119:AC119)&gt;0),1,0)</f>
        <v>0</v>
      </c>
    </row>
    <row r="120" spans="1:62">
      <c r="A120" s="49"/>
      <c r="B120" s="54"/>
      <c r="C120" s="44" t="s">
        <v>2518</v>
      </c>
      <c r="D120" s="813" t="str">
        <f>IF(CNSIPEE_2024_M2_Secc6!D66="","",CNSIPEE_2024_M2_Secc6!D66)</f>
        <v/>
      </c>
      <c r="E120" s="814"/>
      <c r="F120" s="814"/>
      <c r="G120" s="814"/>
      <c r="H120" s="815"/>
      <c r="I120" s="88"/>
      <c r="J120" s="88"/>
      <c r="K120" s="88"/>
      <c r="L120" s="88"/>
      <c r="M120" s="88"/>
      <c r="N120" s="88"/>
      <c r="O120" s="88"/>
      <c r="P120" s="88"/>
      <c r="Q120" s="88"/>
      <c r="R120" s="88"/>
      <c r="S120" s="88"/>
      <c r="T120" s="88"/>
      <c r="U120" s="88"/>
      <c r="V120" s="88"/>
      <c r="W120" s="88"/>
      <c r="X120" s="88"/>
      <c r="Y120" s="88"/>
      <c r="Z120" s="88"/>
      <c r="AA120" s="88"/>
      <c r="AB120" s="88"/>
      <c r="AC120" s="88"/>
      <c r="AD120" s="88"/>
      <c r="AG120">
        <f t="shared" si="24"/>
        <v>0</v>
      </c>
      <c r="AH120">
        <f t="shared" si="25"/>
        <v>0</v>
      </c>
      <c r="AI120">
        <f t="shared" si="26"/>
        <v>0</v>
      </c>
      <c r="AJ120">
        <f t="shared" si="27"/>
        <v>0</v>
      </c>
      <c r="AK120">
        <f t="shared" si="28"/>
        <v>0</v>
      </c>
      <c r="AL120">
        <f t="shared" si="29"/>
        <v>0</v>
      </c>
      <c r="AM120">
        <f t="shared" si="30"/>
        <v>0</v>
      </c>
      <c r="AN120">
        <f t="shared" si="31"/>
        <v>0</v>
      </c>
      <c r="AO120">
        <f t="shared" si="32"/>
        <v>0</v>
      </c>
      <c r="AP120">
        <f t="shared" si="33"/>
        <v>0</v>
      </c>
    </row>
    <row r="121" spans="1:62">
      <c r="A121" s="49"/>
      <c r="B121" s="54"/>
      <c r="C121" s="44" t="s">
        <v>2519</v>
      </c>
      <c r="D121" s="813" t="str">
        <f>IF(CNSIPEE_2024_M2_Secc6!D67="","",CNSIPEE_2024_M2_Secc6!D67)</f>
        <v/>
      </c>
      <c r="E121" s="814"/>
      <c r="F121" s="814"/>
      <c r="G121" s="814"/>
      <c r="H121" s="815"/>
      <c r="I121" s="88"/>
      <c r="J121" s="88"/>
      <c r="K121" s="88"/>
      <c r="L121" s="88"/>
      <c r="M121" s="88"/>
      <c r="N121" s="88"/>
      <c r="O121" s="88"/>
      <c r="P121" s="88"/>
      <c r="Q121" s="88"/>
      <c r="R121" s="88"/>
      <c r="S121" s="88"/>
      <c r="T121" s="88"/>
      <c r="U121" s="88"/>
      <c r="V121" s="88"/>
      <c r="W121" s="88"/>
      <c r="X121" s="88"/>
      <c r="Y121" s="88"/>
      <c r="Z121" s="88"/>
      <c r="AA121" s="88"/>
      <c r="AB121" s="88"/>
      <c r="AC121" s="88"/>
      <c r="AD121" s="88"/>
      <c r="AG121">
        <f t="shared" si="24"/>
        <v>0</v>
      </c>
      <c r="AH121">
        <f t="shared" si="25"/>
        <v>0</v>
      </c>
      <c r="AI121">
        <f t="shared" si="26"/>
        <v>0</v>
      </c>
      <c r="AJ121">
        <f t="shared" si="27"/>
        <v>0</v>
      </c>
      <c r="AK121">
        <f t="shared" si="28"/>
        <v>0</v>
      </c>
      <c r="AL121">
        <f t="shared" si="29"/>
        <v>0</v>
      </c>
      <c r="AM121">
        <f t="shared" si="30"/>
        <v>0</v>
      </c>
      <c r="AN121">
        <f t="shared" si="31"/>
        <v>0</v>
      </c>
      <c r="AO121">
        <f t="shared" si="32"/>
        <v>0</v>
      </c>
      <c r="AP121">
        <f t="shared" si="33"/>
        <v>0</v>
      </c>
    </row>
    <row r="122" spans="1:62">
      <c r="A122" s="49"/>
      <c r="B122" s="54"/>
      <c r="C122" s="44" t="s">
        <v>2520</v>
      </c>
      <c r="D122" s="813" t="str">
        <f>IF(CNSIPEE_2024_M2_Secc6!D68="","",CNSIPEE_2024_M2_Secc6!D68)</f>
        <v/>
      </c>
      <c r="E122" s="814"/>
      <c r="F122" s="814"/>
      <c r="G122" s="814"/>
      <c r="H122" s="815"/>
      <c r="I122" s="88"/>
      <c r="J122" s="88"/>
      <c r="K122" s="88"/>
      <c r="L122" s="88"/>
      <c r="M122" s="88"/>
      <c r="N122" s="88"/>
      <c r="O122" s="88"/>
      <c r="P122" s="88"/>
      <c r="Q122" s="88"/>
      <c r="R122" s="88"/>
      <c r="S122" s="88"/>
      <c r="T122" s="88"/>
      <c r="U122" s="88"/>
      <c r="V122" s="88"/>
      <c r="W122" s="88"/>
      <c r="X122" s="88"/>
      <c r="Y122" s="88"/>
      <c r="Z122" s="88"/>
      <c r="AA122" s="88"/>
      <c r="AB122" s="88"/>
      <c r="AC122" s="88"/>
      <c r="AD122" s="88"/>
      <c r="AG122">
        <f t="shared" si="24"/>
        <v>0</v>
      </c>
      <c r="AH122">
        <f t="shared" si="25"/>
        <v>0</v>
      </c>
      <c r="AI122">
        <f t="shared" si="26"/>
        <v>0</v>
      </c>
      <c r="AJ122">
        <f t="shared" si="27"/>
        <v>0</v>
      </c>
      <c r="AK122">
        <f t="shared" si="28"/>
        <v>0</v>
      </c>
      <c r="AL122">
        <f t="shared" si="29"/>
        <v>0</v>
      </c>
      <c r="AM122">
        <f t="shared" si="30"/>
        <v>0</v>
      </c>
      <c r="AN122">
        <f t="shared" si="31"/>
        <v>0</v>
      </c>
      <c r="AO122">
        <f t="shared" si="32"/>
        <v>0</v>
      </c>
      <c r="AP122">
        <f t="shared" si="33"/>
        <v>0</v>
      </c>
    </row>
    <row r="123" spans="1:62">
      <c r="A123" s="49"/>
      <c r="B123" s="54"/>
      <c r="C123" s="44" t="s">
        <v>2521</v>
      </c>
      <c r="D123" s="813" t="str">
        <f>IF(CNSIPEE_2024_M2_Secc6!D69="","",CNSIPEE_2024_M2_Secc6!D69)</f>
        <v/>
      </c>
      <c r="E123" s="814"/>
      <c r="F123" s="814"/>
      <c r="G123" s="814"/>
      <c r="H123" s="815"/>
      <c r="I123" s="88"/>
      <c r="J123" s="88"/>
      <c r="K123" s="88"/>
      <c r="L123" s="88"/>
      <c r="M123" s="88"/>
      <c r="N123" s="88"/>
      <c r="O123" s="88"/>
      <c r="P123" s="88"/>
      <c r="Q123" s="88"/>
      <c r="R123" s="88"/>
      <c r="S123" s="88"/>
      <c r="T123" s="88"/>
      <c r="U123" s="88"/>
      <c r="V123" s="88"/>
      <c r="W123" s="88"/>
      <c r="X123" s="88"/>
      <c r="Y123" s="88"/>
      <c r="Z123" s="88"/>
      <c r="AA123" s="88"/>
      <c r="AB123" s="88"/>
      <c r="AC123" s="88"/>
      <c r="AD123" s="88"/>
      <c r="AG123">
        <f t="shared" si="24"/>
        <v>0</v>
      </c>
      <c r="AH123">
        <f t="shared" si="25"/>
        <v>0</v>
      </c>
      <c r="AI123">
        <f t="shared" si="26"/>
        <v>0</v>
      </c>
      <c r="AJ123">
        <f t="shared" si="27"/>
        <v>0</v>
      </c>
      <c r="AK123">
        <f t="shared" si="28"/>
        <v>0</v>
      </c>
      <c r="AL123">
        <f t="shared" si="29"/>
        <v>0</v>
      </c>
      <c r="AM123">
        <f t="shared" si="30"/>
        <v>0</v>
      </c>
      <c r="AN123">
        <f t="shared" si="31"/>
        <v>0</v>
      </c>
      <c r="AO123">
        <f t="shared" si="32"/>
        <v>0</v>
      </c>
      <c r="AP123">
        <f t="shared" si="33"/>
        <v>0</v>
      </c>
    </row>
    <row r="124" spans="1:62">
      <c r="A124" s="49"/>
      <c r="B124" s="54"/>
      <c r="C124" s="44" t="s">
        <v>2522</v>
      </c>
      <c r="D124" s="813" t="str">
        <f>IF(CNSIPEE_2024_M2_Secc6!D70="","",CNSIPEE_2024_M2_Secc6!D70)</f>
        <v/>
      </c>
      <c r="E124" s="814"/>
      <c r="F124" s="814"/>
      <c r="G124" s="814"/>
      <c r="H124" s="815"/>
      <c r="I124" s="88"/>
      <c r="J124" s="88"/>
      <c r="K124" s="88"/>
      <c r="L124" s="88"/>
      <c r="M124" s="88"/>
      <c r="N124" s="88"/>
      <c r="O124" s="88"/>
      <c r="P124" s="88"/>
      <c r="Q124" s="88"/>
      <c r="R124" s="88"/>
      <c r="S124" s="88"/>
      <c r="T124" s="88"/>
      <c r="U124" s="88"/>
      <c r="V124" s="88"/>
      <c r="W124" s="88"/>
      <c r="X124" s="88"/>
      <c r="Y124" s="88"/>
      <c r="Z124" s="88"/>
      <c r="AA124" s="88"/>
      <c r="AB124" s="88"/>
      <c r="AC124" s="88"/>
      <c r="AD124" s="88"/>
      <c r="AG124">
        <f t="shared" si="24"/>
        <v>0</v>
      </c>
      <c r="AH124">
        <f t="shared" si="25"/>
        <v>0</v>
      </c>
      <c r="AI124">
        <f t="shared" si="26"/>
        <v>0</v>
      </c>
      <c r="AJ124">
        <f t="shared" si="27"/>
        <v>0</v>
      </c>
      <c r="AK124">
        <f t="shared" si="28"/>
        <v>0</v>
      </c>
      <c r="AL124">
        <f t="shared" si="29"/>
        <v>0</v>
      </c>
      <c r="AM124">
        <f t="shared" si="30"/>
        <v>0</v>
      </c>
      <c r="AN124">
        <f t="shared" si="31"/>
        <v>0</v>
      </c>
      <c r="AO124">
        <f t="shared" si="32"/>
        <v>0</v>
      </c>
      <c r="AP124">
        <f t="shared" si="33"/>
        <v>0</v>
      </c>
    </row>
    <row r="125" spans="1:62">
      <c r="A125" s="49"/>
      <c r="B125" s="54"/>
      <c r="C125" s="44" t="s">
        <v>2523</v>
      </c>
      <c r="D125" s="813" t="str">
        <f>IF(CNSIPEE_2024_M2_Secc6!D71="","",CNSIPEE_2024_M2_Secc6!D71)</f>
        <v/>
      </c>
      <c r="E125" s="814"/>
      <c r="F125" s="814"/>
      <c r="G125" s="814"/>
      <c r="H125" s="815"/>
      <c r="I125" s="88"/>
      <c r="J125" s="88"/>
      <c r="K125" s="88"/>
      <c r="L125" s="88"/>
      <c r="M125" s="88"/>
      <c r="N125" s="88"/>
      <c r="O125" s="88"/>
      <c r="P125" s="88"/>
      <c r="Q125" s="88"/>
      <c r="R125" s="88"/>
      <c r="S125" s="88"/>
      <c r="T125" s="88"/>
      <c r="U125" s="88"/>
      <c r="V125" s="88"/>
      <c r="W125" s="88"/>
      <c r="X125" s="88"/>
      <c r="Y125" s="88"/>
      <c r="Z125" s="88"/>
      <c r="AA125" s="88"/>
      <c r="AB125" s="88"/>
      <c r="AC125" s="88"/>
      <c r="AD125" s="88"/>
      <c r="AG125">
        <f t="shared" si="24"/>
        <v>0</v>
      </c>
      <c r="AH125">
        <f t="shared" si="25"/>
        <v>0</v>
      </c>
      <c r="AI125">
        <f t="shared" si="26"/>
        <v>0</v>
      </c>
      <c r="AJ125">
        <f t="shared" si="27"/>
        <v>0</v>
      </c>
      <c r="AK125">
        <f t="shared" si="28"/>
        <v>0</v>
      </c>
      <c r="AL125">
        <f t="shared" si="29"/>
        <v>0</v>
      </c>
      <c r="AM125">
        <f t="shared" si="30"/>
        <v>0</v>
      </c>
      <c r="AN125">
        <f t="shared" si="31"/>
        <v>0</v>
      </c>
      <c r="AO125">
        <f t="shared" si="32"/>
        <v>0</v>
      </c>
      <c r="AP125">
        <f t="shared" si="33"/>
        <v>0</v>
      </c>
    </row>
    <row r="126" spans="1:62">
      <c r="A126" s="49"/>
      <c r="B126" s="54"/>
      <c r="C126" s="44" t="s">
        <v>2524</v>
      </c>
      <c r="D126" s="813" t="str">
        <f>IF(CNSIPEE_2024_M2_Secc6!D72="","",CNSIPEE_2024_M2_Secc6!D72)</f>
        <v/>
      </c>
      <c r="E126" s="814"/>
      <c r="F126" s="814"/>
      <c r="G126" s="814"/>
      <c r="H126" s="815"/>
      <c r="I126" s="88"/>
      <c r="J126" s="88"/>
      <c r="K126" s="88"/>
      <c r="L126" s="88"/>
      <c r="M126" s="88"/>
      <c r="N126" s="88"/>
      <c r="O126" s="88"/>
      <c r="P126" s="88"/>
      <c r="Q126" s="88"/>
      <c r="R126" s="88"/>
      <c r="S126" s="88"/>
      <c r="T126" s="88"/>
      <c r="U126" s="88"/>
      <c r="V126" s="88"/>
      <c r="W126" s="88"/>
      <c r="X126" s="88"/>
      <c r="Y126" s="88"/>
      <c r="Z126" s="88"/>
      <c r="AA126" s="88"/>
      <c r="AB126" s="88"/>
      <c r="AC126" s="88"/>
      <c r="AD126" s="88"/>
      <c r="AG126">
        <f t="shared" si="24"/>
        <v>0</v>
      </c>
      <c r="AH126">
        <f t="shared" si="25"/>
        <v>0</v>
      </c>
      <c r="AI126">
        <f t="shared" si="26"/>
        <v>0</v>
      </c>
      <c r="AJ126">
        <f t="shared" si="27"/>
        <v>0</v>
      </c>
      <c r="AK126">
        <f t="shared" si="28"/>
        <v>0</v>
      </c>
      <c r="AL126">
        <f t="shared" si="29"/>
        <v>0</v>
      </c>
      <c r="AM126">
        <f t="shared" si="30"/>
        <v>0</v>
      </c>
      <c r="AN126">
        <f t="shared" si="31"/>
        <v>0</v>
      </c>
      <c r="AO126">
        <f t="shared" si="32"/>
        <v>0</v>
      </c>
      <c r="AP126">
        <f t="shared" si="33"/>
        <v>0</v>
      </c>
    </row>
    <row r="127" spans="1:62">
      <c r="A127" s="49"/>
      <c r="B127" s="54"/>
      <c r="C127" s="44" t="s">
        <v>2525</v>
      </c>
      <c r="D127" s="813" t="str">
        <f>IF(CNSIPEE_2024_M2_Secc6!D73="","",CNSIPEE_2024_M2_Secc6!D73)</f>
        <v/>
      </c>
      <c r="E127" s="814"/>
      <c r="F127" s="814"/>
      <c r="G127" s="814"/>
      <c r="H127" s="815"/>
      <c r="I127" s="88"/>
      <c r="J127" s="88"/>
      <c r="K127" s="88"/>
      <c r="L127" s="88"/>
      <c r="M127" s="88"/>
      <c r="N127" s="88"/>
      <c r="O127" s="88"/>
      <c r="P127" s="88"/>
      <c r="Q127" s="88"/>
      <c r="R127" s="88"/>
      <c r="S127" s="88"/>
      <c r="T127" s="88"/>
      <c r="U127" s="88"/>
      <c r="V127" s="88"/>
      <c r="W127" s="88"/>
      <c r="X127" s="88"/>
      <c r="Y127" s="88"/>
      <c r="Z127" s="88"/>
      <c r="AA127" s="88"/>
      <c r="AB127" s="88"/>
      <c r="AC127" s="88"/>
      <c r="AD127" s="88"/>
      <c r="AG127">
        <f t="shared" si="24"/>
        <v>0</v>
      </c>
      <c r="AH127">
        <f t="shared" si="25"/>
        <v>0</v>
      </c>
      <c r="AI127">
        <f t="shared" si="26"/>
        <v>0</v>
      </c>
      <c r="AJ127">
        <f t="shared" si="27"/>
        <v>0</v>
      </c>
      <c r="AK127">
        <f t="shared" si="28"/>
        <v>0</v>
      </c>
      <c r="AL127">
        <f t="shared" si="29"/>
        <v>0</v>
      </c>
      <c r="AM127">
        <f t="shared" si="30"/>
        <v>0</v>
      </c>
      <c r="AN127">
        <f t="shared" si="31"/>
        <v>0</v>
      </c>
      <c r="AO127">
        <f t="shared" si="32"/>
        <v>0</v>
      </c>
      <c r="AP127">
        <f t="shared" si="33"/>
        <v>0</v>
      </c>
    </row>
    <row r="128" spans="1:62">
      <c r="A128" s="49"/>
      <c r="B128" s="54"/>
      <c r="C128" s="44" t="s">
        <v>2526</v>
      </c>
      <c r="D128" s="813" t="str">
        <f>IF(CNSIPEE_2024_M2_Secc6!D74="","",CNSIPEE_2024_M2_Secc6!D74)</f>
        <v/>
      </c>
      <c r="E128" s="814"/>
      <c r="F128" s="814"/>
      <c r="G128" s="814"/>
      <c r="H128" s="815"/>
      <c r="I128" s="88"/>
      <c r="J128" s="88"/>
      <c r="K128" s="88"/>
      <c r="L128" s="88"/>
      <c r="M128" s="88"/>
      <c r="N128" s="88"/>
      <c r="O128" s="88"/>
      <c r="P128" s="88"/>
      <c r="Q128" s="88"/>
      <c r="R128" s="88"/>
      <c r="S128" s="88"/>
      <c r="T128" s="88"/>
      <c r="U128" s="88"/>
      <c r="V128" s="88"/>
      <c r="W128" s="88"/>
      <c r="X128" s="88"/>
      <c r="Y128" s="88"/>
      <c r="Z128" s="88"/>
      <c r="AA128" s="88"/>
      <c r="AB128" s="88"/>
      <c r="AC128" s="88"/>
      <c r="AD128" s="88"/>
      <c r="AG128">
        <f t="shared" si="24"/>
        <v>0</v>
      </c>
      <c r="AH128">
        <f t="shared" si="25"/>
        <v>0</v>
      </c>
      <c r="AI128">
        <f t="shared" si="26"/>
        <v>0</v>
      </c>
      <c r="AJ128">
        <f t="shared" si="27"/>
        <v>0</v>
      </c>
      <c r="AK128">
        <f t="shared" si="28"/>
        <v>0</v>
      </c>
      <c r="AL128">
        <f t="shared" si="29"/>
        <v>0</v>
      </c>
      <c r="AM128">
        <f t="shared" si="30"/>
        <v>0</v>
      </c>
      <c r="AN128">
        <f t="shared" si="31"/>
        <v>0</v>
      </c>
      <c r="AO128">
        <f t="shared" si="32"/>
        <v>0</v>
      </c>
      <c r="AP128">
        <f t="shared" si="33"/>
        <v>0</v>
      </c>
    </row>
    <row r="129" spans="1:42">
      <c r="A129" s="49"/>
      <c r="B129" s="54"/>
      <c r="C129" s="44" t="s">
        <v>2527</v>
      </c>
      <c r="D129" s="813" t="str">
        <f>IF(CNSIPEE_2024_M2_Secc6!D75="","",CNSIPEE_2024_M2_Secc6!D75)</f>
        <v/>
      </c>
      <c r="E129" s="814"/>
      <c r="F129" s="814"/>
      <c r="G129" s="814"/>
      <c r="H129" s="815"/>
      <c r="I129" s="88"/>
      <c r="J129" s="88"/>
      <c r="K129" s="88"/>
      <c r="L129" s="88"/>
      <c r="M129" s="88"/>
      <c r="N129" s="88"/>
      <c r="O129" s="88"/>
      <c r="P129" s="88"/>
      <c r="Q129" s="88"/>
      <c r="R129" s="88"/>
      <c r="S129" s="88"/>
      <c r="T129" s="88"/>
      <c r="U129" s="88"/>
      <c r="V129" s="88"/>
      <c r="W129" s="88"/>
      <c r="X129" s="88"/>
      <c r="Y129" s="88"/>
      <c r="Z129" s="88"/>
      <c r="AA129" s="88"/>
      <c r="AB129" s="88"/>
      <c r="AC129" s="88"/>
      <c r="AD129" s="88"/>
      <c r="AG129">
        <f t="shared" si="24"/>
        <v>0</v>
      </c>
      <c r="AH129">
        <f t="shared" si="25"/>
        <v>0</v>
      </c>
      <c r="AI129">
        <f t="shared" si="26"/>
        <v>0</v>
      </c>
      <c r="AJ129">
        <f t="shared" si="27"/>
        <v>0</v>
      </c>
      <c r="AK129">
        <f t="shared" si="28"/>
        <v>0</v>
      </c>
      <c r="AL129">
        <f t="shared" si="29"/>
        <v>0</v>
      </c>
      <c r="AM129">
        <f t="shared" si="30"/>
        <v>0</v>
      </c>
      <c r="AN129">
        <f t="shared" si="31"/>
        <v>0</v>
      </c>
      <c r="AO129">
        <f t="shared" si="32"/>
        <v>0</v>
      </c>
      <c r="AP129">
        <f t="shared" si="33"/>
        <v>0</v>
      </c>
    </row>
    <row r="130" spans="1:42">
      <c r="A130" s="49"/>
      <c r="B130" s="54"/>
      <c r="C130" s="44" t="s">
        <v>2528</v>
      </c>
      <c r="D130" s="813" t="str">
        <f>IF(CNSIPEE_2024_M2_Secc6!D76="","",CNSIPEE_2024_M2_Secc6!D76)</f>
        <v/>
      </c>
      <c r="E130" s="814"/>
      <c r="F130" s="814"/>
      <c r="G130" s="814"/>
      <c r="H130" s="815"/>
      <c r="I130" s="88"/>
      <c r="J130" s="88"/>
      <c r="K130" s="88"/>
      <c r="L130" s="88"/>
      <c r="M130" s="88"/>
      <c r="N130" s="88"/>
      <c r="O130" s="88"/>
      <c r="P130" s="88"/>
      <c r="Q130" s="88"/>
      <c r="R130" s="88"/>
      <c r="S130" s="88"/>
      <c r="T130" s="88"/>
      <c r="U130" s="88"/>
      <c r="V130" s="88"/>
      <c r="W130" s="88"/>
      <c r="X130" s="88"/>
      <c r="Y130" s="88"/>
      <c r="Z130" s="88"/>
      <c r="AA130" s="88"/>
      <c r="AB130" s="88"/>
      <c r="AC130" s="88"/>
      <c r="AD130" s="88"/>
      <c r="AG130">
        <f t="shared" si="24"/>
        <v>0</v>
      </c>
      <c r="AH130">
        <f t="shared" si="25"/>
        <v>0</v>
      </c>
      <c r="AI130">
        <f t="shared" si="26"/>
        <v>0</v>
      </c>
      <c r="AJ130">
        <f t="shared" si="27"/>
        <v>0</v>
      </c>
      <c r="AK130">
        <f t="shared" si="28"/>
        <v>0</v>
      </c>
      <c r="AL130">
        <f t="shared" si="29"/>
        <v>0</v>
      </c>
      <c r="AM130">
        <f t="shared" si="30"/>
        <v>0</v>
      </c>
      <c r="AN130">
        <f t="shared" si="31"/>
        <v>0</v>
      </c>
      <c r="AO130">
        <f t="shared" si="32"/>
        <v>0</v>
      </c>
      <c r="AP130">
        <f t="shared" si="33"/>
        <v>0</v>
      </c>
    </row>
    <row r="131" spans="1:42">
      <c r="A131" s="49"/>
      <c r="B131" s="54"/>
      <c r="C131" s="44" t="s">
        <v>2529</v>
      </c>
      <c r="D131" s="813" t="str">
        <f>IF(CNSIPEE_2024_M2_Secc6!D77="","",CNSIPEE_2024_M2_Secc6!D77)</f>
        <v/>
      </c>
      <c r="E131" s="814"/>
      <c r="F131" s="814"/>
      <c r="G131" s="814"/>
      <c r="H131" s="815"/>
      <c r="I131" s="88"/>
      <c r="J131" s="88"/>
      <c r="K131" s="88"/>
      <c r="L131" s="88"/>
      <c r="M131" s="88"/>
      <c r="N131" s="88"/>
      <c r="O131" s="88"/>
      <c r="P131" s="88"/>
      <c r="Q131" s="88"/>
      <c r="R131" s="88"/>
      <c r="S131" s="88"/>
      <c r="T131" s="88"/>
      <c r="U131" s="88"/>
      <c r="V131" s="88"/>
      <c r="W131" s="88"/>
      <c r="X131" s="88"/>
      <c r="Y131" s="88"/>
      <c r="Z131" s="88"/>
      <c r="AA131" s="88"/>
      <c r="AB131" s="88"/>
      <c r="AC131" s="88"/>
      <c r="AD131" s="88"/>
      <c r="AG131">
        <f t="shared" si="24"/>
        <v>0</v>
      </c>
      <c r="AH131">
        <f t="shared" si="25"/>
        <v>0</v>
      </c>
      <c r="AI131">
        <f t="shared" si="26"/>
        <v>0</v>
      </c>
      <c r="AJ131">
        <f t="shared" si="27"/>
        <v>0</v>
      </c>
      <c r="AK131">
        <f t="shared" si="28"/>
        <v>0</v>
      </c>
      <c r="AL131">
        <f t="shared" si="29"/>
        <v>0</v>
      </c>
      <c r="AM131">
        <f t="shared" si="30"/>
        <v>0</v>
      </c>
      <c r="AN131">
        <f t="shared" si="31"/>
        <v>0</v>
      </c>
      <c r="AO131">
        <f t="shared" si="32"/>
        <v>0</v>
      </c>
      <c r="AP131">
        <f t="shared" si="33"/>
        <v>0</v>
      </c>
    </row>
    <row r="132" spans="1:42">
      <c r="A132" s="49"/>
      <c r="B132" s="54"/>
      <c r="C132" s="44" t="s">
        <v>2530</v>
      </c>
      <c r="D132" s="813" t="str">
        <f>IF(CNSIPEE_2024_M2_Secc6!D78="","",CNSIPEE_2024_M2_Secc6!D78)</f>
        <v/>
      </c>
      <c r="E132" s="814"/>
      <c r="F132" s="814"/>
      <c r="G132" s="814"/>
      <c r="H132" s="815"/>
      <c r="I132" s="88"/>
      <c r="J132" s="88"/>
      <c r="K132" s="88"/>
      <c r="L132" s="88"/>
      <c r="M132" s="88"/>
      <c r="N132" s="88"/>
      <c r="O132" s="88"/>
      <c r="P132" s="88"/>
      <c r="Q132" s="88"/>
      <c r="R132" s="88"/>
      <c r="S132" s="88"/>
      <c r="T132" s="88"/>
      <c r="U132" s="88"/>
      <c r="V132" s="88"/>
      <c r="W132" s="88"/>
      <c r="X132" s="88"/>
      <c r="Y132" s="88"/>
      <c r="Z132" s="88"/>
      <c r="AA132" s="88"/>
      <c r="AB132" s="88"/>
      <c r="AC132" s="88"/>
      <c r="AD132" s="88"/>
      <c r="AG132">
        <f t="shared" si="24"/>
        <v>0</v>
      </c>
      <c r="AH132">
        <f t="shared" si="25"/>
        <v>0</v>
      </c>
      <c r="AI132">
        <f t="shared" si="26"/>
        <v>0</v>
      </c>
      <c r="AJ132">
        <f t="shared" si="27"/>
        <v>0</v>
      </c>
      <c r="AK132">
        <f t="shared" si="28"/>
        <v>0</v>
      </c>
      <c r="AL132">
        <f t="shared" si="29"/>
        <v>0</v>
      </c>
      <c r="AM132">
        <f t="shared" si="30"/>
        <v>0</v>
      </c>
      <c r="AN132">
        <f t="shared" si="31"/>
        <v>0</v>
      </c>
      <c r="AO132">
        <f t="shared" si="32"/>
        <v>0</v>
      </c>
      <c r="AP132">
        <f t="shared" si="33"/>
        <v>0</v>
      </c>
    </row>
    <row r="133" spans="1:42">
      <c r="A133" s="49"/>
      <c r="B133" s="54"/>
      <c r="C133" s="44" t="s">
        <v>2531</v>
      </c>
      <c r="D133" s="813" t="str">
        <f>IF(CNSIPEE_2024_M2_Secc6!D79="","",CNSIPEE_2024_M2_Secc6!D79)</f>
        <v/>
      </c>
      <c r="E133" s="814"/>
      <c r="F133" s="814"/>
      <c r="G133" s="814"/>
      <c r="H133" s="815"/>
      <c r="I133" s="88"/>
      <c r="J133" s="88"/>
      <c r="K133" s="88"/>
      <c r="L133" s="88"/>
      <c r="M133" s="88"/>
      <c r="N133" s="88"/>
      <c r="O133" s="88"/>
      <c r="P133" s="88"/>
      <c r="Q133" s="88"/>
      <c r="R133" s="88"/>
      <c r="S133" s="88"/>
      <c r="T133" s="88"/>
      <c r="U133" s="88"/>
      <c r="V133" s="88"/>
      <c r="W133" s="88"/>
      <c r="X133" s="88"/>
      <c r="Y133" s="88"/>
      <c r="Z133" s="88"/>
      <c r="AA133" s="88"/>
      <c r="AB133" s="88"/>
      <c r="AC133" s="88"/>
      <c r="AD133" s="88"/>
      <c r="AG133">
        <f t="shared" si="24"/>
        <v>0</v>
      </c>
      <c r="AH133">
        <f t="shared" si="25"/>
        <v>0</v>
      </c>
      <c r="AI133">
        <f t="shared" si="26"/>
        <v>0</v>
      </c>
      <c r="AJ133">
        <f t="shared" si="27"/>
        <v>0</v>
      </c>
      <c r="AK133">
        <f t="shared" si="28"/>
        <v>0</v>
      </c>
      <c r="AL133">
        <f t="shared" si="29"/>
        <v>0</v>
      </c>
      <c r="AM133">
        <f t="shared" si="30"/>
        <v>0</v>
      </c>
      <c r="AN133">
        <f t="shared" si="31"/>
        <v>0</v>
      </c>
      <c r="AO133">
        <f t="shared" si="32"/>
        <v>0</v>
      </c>
      <c r="AP133">
        <f t="shared" si="33"/>
        <v>0</v>
      </c>
    </row>
    <row r="134" spans="1:42">
      <c r="A134" s="49"/>
      <c r="B134" s="54"/>
      <c r="C134" s="44" t="s">
        <v>2532</v>
      </c>
      <c r="D134" s="813" t="str">
        <f>IF(CNSIPEE_2024_M2_Secc6!D80="","",CNSIPEE_2024_M2_Secc6!D80)</f>
        <v/>
      </c>
      <c r="E134" s="814"/>
      <c r="F134" s="814"/>
      <c r="G134" s="814"/>
      <c r="H134" s="815"/>
      <c r="I134" s="88"/>
      <c r="J134" s="88"/>
      <c r="K134" s="88"/>
      <c r="L134" s="88"/>
      <c r="M134" s="88"/>
      <c r="N134" s="88"/>
      <c r="O134" s="88"/>
      <c r="P134" s="88"/>
      <c r="Q134" s="88"/>
      <c r="R134" s="88"/>
      <c r="S134" s="88"/>
      <c r="T134" s="88"/>
      <c r="U134" s="88"/>
      <c r="V134" s="88"/>
      <c r="W134" s="88"/>
      <c r="X134" s="88"/>
      <c r="Y134" s="88"/>
      <c r="Z134" s="88"/>
      <c r="AA134" s="88"/>
      <c r="AB134" s="88"/>
      <c r="AC134" s="88"/>
      <c r="AD134" s="88"/>
      <c r="AG134">
        <f t="shared" si="24"/>
        <v>0</v>
      </c>
      <c r="AH134">
        <f t="shared" si="25"/>
        <v>0</v>
      </c>
      <c r="AI134">
        <f t="shared" si="26"/>
        <v>0</v>
      </c>
      <c r="AJ134">
        <f t="shared" si="27"/>
        <v>0</v>
      </c>
      <c r="AK134">
        <f t="shared" si="28"/>
        <v>0</v>
      </c>
      <c r="AL134">
        <f t="shared" si="29"/>
        <v>0</v>
      </c>
      <c r="AM134">
        <f t="shared" si="30"/>
        <v>0</v>
      </c>
      <c r="AN134">
        <f t="shared" si="31"/>
        <v>0</v>
      </c>
      <c r="AO134">
        <f t="shared" si="32"/>
        <v>0</v>
      </c>
      <c r="AP134">
        <f t="shared" si="33"/>
        <v>0</v>
      </c>
    </row>
    <row r="135" spans="1:42">
      <c r="A135" s="49"/>
      <c r="B135" s="54"/>
      <c r="C135" s="44" t="s">
        <v>2533</v>
      </c>
      <c r="D135" s="813" t="str">
        <f>IF(CNSIPEE_2024_M2_Secc6!D81="","",CNSIPEE_2024_M2_Secc6!D81)</f>
        <v/>
      </c>
      <c r="E135" s="814"/>
      <c r="F135" s="814"/>
      <c r="G135" s="814"/>
      <c r="H135" s="815"/>
      <c r="I135" s="88"/>
      <c r="J135" s="88"/>
      <c r="K135" s="88"/>
      <c r="L135" s="88"/>
      <c r="M135" s="88"/>
      <c r="N135" s="88"/>
      <c r="O135" s="88"/>
      <c r="P135" s="88"/>
      <c r="Q135" s="88"/>
      <c r="R135" s="88"/>
      <c r="S135" s="88"/>
      <c r="T135" s="88"/>
      <c r="U135" s="88"/>
      <c r="V135" s="88"/>
      <c r="W135" s="88"/>
      <c r="X135" s="88"/>
      <c r="Y135" s="88"/>
      <c r="Z135" s="88"/>
      <c r="AA135" s="88"/>
      <c r="AB135" s="88"/>
      <c r="AC135" s="88"/>
      <c r="AD135" s="88"/>
      <c r="AG135">
        <f t="shared" si="24"/>
        <v>0</v>
      </c>
      <c r="AH135">
        <f t="shared" si="25"/>
        <v>0</v>
      </c>
      <c r="AI135">
        <f t="shared" si="26"/>
        <v>0</v>
      </c>
      <c r="AJ135">
        <f t="shared" si="27"/>
        <v>0</v>
      </c>
      <c r="AK135">
        <f t="shared" si="28"/>
        <v>0</v>
      </c>
      <c r="AL135">
        <f t="shared" si="29"/>
        <v>0</v>
      </c>
      <c r="AM135">
        <f t="shared" si="30"/>
        <v>0</v>
      </c>
      <c r="AN135">
        <f t="shared" si="31"/>
        <v>0</v>
      </c>
      <c r="AO135">
        <f t="shared" si="32"/>
        <v>0</v>
      </c>
      <c r="AP135">
        <f t="shared" si="33"/>
        <v>0</v>
      </c>
    </row>
    <row r="136" spans="1:42">
      <c r="A136" s="49"/>
      <c r="B136" s="54"/>
      <c r="C136" s="44" t="s">
        <v>2534</v>
      </c>
      <c r="D136" s="813" t="str">
        <f>IF(CNSIPEE_2024_M2_Secc6!D82="","",CNSIPEE_2024_M2_Secc6!D82)</f>
        <v/>
      </c>
      <c r="E136" s="814"/>
      <c r="F136" s="814"/>
      <c r="G136" s="814"/>
      <c r="H136" s="815"/>
      <c r="I136" s="88"/>
      <c r="J136" s="88"/>
      <c r="K136" s="88"/>
      <c r="L136" s="88"/>
      <c r="M136" s="88"/>
      <c r="N136" s="88"/>
      <c r="O136" s="88"/>
      <c r="P136" s="88"/>
      <c r="Q136" s="88"/>
      <c r="R136" s="88"/>
      <c r="S136" s="88"/>
      <c r="T136" s="88"/>
      <c r="U136" s="88"/>
      <c r="V136" s="88"/>
      <c r="W136" s="88"/>
      <c r="X136" s="88"/>
      <c r="Y136" s="88"/>
      <c r="Z136" s="88"/>
      <c r="AA136" s="88"/>
      <c r="AB136" s="88"/>
      <c r="AC136" s="88"/>
      <c r="AD136" s="88"/>
      <c r="AG136">
        <f t="shared" si="24"/>
        <v>0</v>
      </c>
      <c r="AH136">
        <f t="shared" si="25"/>
        <v>0</v>
      </c>
      <c r="AI136">
        <f t="shared" si="26"/>
        <v>0</v>
      </c>
      <c r="AJ136">
        <f t="shared" si="27"/>
        <v>0</v>
      </c>
      <c r="AK136">
        <f t="shared" si="28"/>
        <v>0</v>
      </c>
      <c r="AL136">
        <f t="shared" si="29"/>
        <v>0</v>
      </c>
      <c r="AM136">
        <f t="shared" si="30"/>
        <v>0</v>
      </c>
      <c r="AN136">
        <f t="shared" si="31"/>
        <v>0</v>
      </c>
      <c r="AO136">
        <f t="shared" si="32"/>
        <v>0</v>
      </c>
      <c r="AP136">
        <f t="shared" si="33"/>
        <v>0</v>
      </c>
    </row>
    <row r="137" spans="1:42">
      <c r="A137" s="49"/>
      <c r="B137" s="54"/>
      <c r="C137" s="44" t="s">
        <v>2535</v>
      </c>
      <c r="D137" s="813" t="str">
        <f>IF(CNSIPEE_2024_M2_Secc6!D83="","",CNSIPEE_2024_M2_Secc6!D83)</f>
        <v/>
      </c>
      <c r="E137" s="814"/>
      <c r="F137" s="814"/>
      <c r="G137" s="814"/>
      <c r="H137" s="815"/>
      <c r="I137" s="88"/>
      <c r="J137" s="88"/>
      <c r="K137" s="88"/>
      <c r="L137" s="88"/>
      <c r="M137" s="88"/>
      <c r="N137" s="88"/>
      <c r="O137" s="88"/>
      <c r="P137" s="88"/>
      <c r="Q137" s="88"/>
      <c r="R137" s="88"/>
      <c r="S137" s="88"/>
      <c r="T137" s="88"/>
      <c r="U137" s="88"/>
      <c r="V137" s="88"/>
      <c r="W137" s="88"/>
      <c r="X137" s="88"/>
      <c r="Y137" s="88"/>
      <c r="Z137" s="88"/>
      <c r="AA137" s="88"/>
      <c r="AB137" s="88"/>
      <c r="AC137" s="88"/>
      <c r="AD137" s="88"/>
      <c r="AG137">
        <f t="shared" si="24"/>
        <v>0</v>
      </c>
      <c r="AH137">
        <f t="shared" si="25"/>
        <v>0</v>
      </c>
      <c r="AI137">
        <f t="shared" si="26"/>
        <v>0</v>
      </c>
      <c r="AJ137">
        <f t="shared" si="27"/>
        <v>0</v>
      </c>
      <c r="AK137">
        <f t="shared" si="28"/>
        <v>0</v>
      </c>
      <c r="AL137">
        <f t="shared" si="29"/>
        <v>0</v>
      </c>
      <c r="AM137">
        <f t="shared" si="30"/>
        <v>0</v>
      </c>
      <c r="AN137">
        <f t="shared" si="31"/>
        <v>0</v>
      </c>
      <c r="AO137">
        <f t="shared" si="32"/>
        <v>0</v>
      </c>
      <c r="AP137">
        <f t="shared" si="33"/>
        <v>0</v>
      </c>
    </row>
    <row r="138" spans="1:42">
      <c r="A138" s="49"/>
      <c r="B138" s="54"/>
      <c r="C138" s="44" t="s">
        <v>2536</v>
      </c>
      <c r="D138" s="813" t="str">
        <f>IF(CNSIPEE_2024_M2_Secc6!D84="","",CNSIPEE_2024_M2_Secc6!D84)</f>
        <v/>
      </c>
      <c r="E138" s="814"/>
      <c r="F138" s="814"/>
      <c r="G138" s="814"/>
      <c r="H138" s="815"/>
      <c r="I138" s="88"/>
      <c r="J138" s="88"/>
      <c r="K138" s="88"/>
      <c r="L138" s="88"/>
      <c r="M138" s="88"/>
      <c r="N138" s="88"/>
      <c r="O138" s="88"/>
      <c r="P138" s="88"/>
      <c r="Q138" s="88"/>
      <c r="R138" s="88"/>
      <c r="S138" s="88"/>
      <c r="T138" s="88"/>
      <c r="U138" s="88"/>
      <c r="V138" s="88"/>
      <c r="W138" s="88"/>
      <c r="X138" s="88"/>
      <c r="Y138" s="88"/>
      <c r="Z138" s="88"/>
      <c r="AA138" s="88"/>
      <c r="AB138" s="88"/>
      <c r="AC138" s="88"/>
      <c r="AD138" s="88"/>
      <c r="AG138">
        <f t="shared" si="24"/>
        <v>0</v>
      </c>
      <c r="AH138">
        <f t="shared" si="25"/>
        <v>0</v>
      </c>
      <c r="AI138">
        <f t="shared" si="26"/>
        <v>0</v>
      </c>
      <c r="AJ138">
        <f t="shared" si="27"/>
        <v>0</v>
      </c>
      <c r="AK138">
        <f t="shared" si="28"/>
        <v>0</v>
      </c>
      <c r="AL138">
        <f t="shared" si="29"/>
        <v>0</v>
      </c>
      <c r="AM138">
        <f t="shared" si="30"/>
        <v>0</v>
      </c>
      <c r="AN138">
        <f t="shared" si="31"/>
        <v>0</v>
      </c>
      <c r="AO138">
        <f t="shared" si="32"/>
        <v>0</v>
      </c>
      <c r="AP138">
        <f t="shared" si="33"/>
        <v>0</v>
      </c>
    </row>
    <row r="139" spans="1:42">
      <c r="A139" s="49"/>
      <c r="B139" s="54"/>
      <c r="C139" s="44" t="s">
        <v>2537</v>
      </c>
      <c r="D139" s="813" t="str">
        <f>IF(CNSIPEE_2024_M2_Secc6!D85="","",CNSIPEE_2024_M2_Secc6!D85)</f>
        <v/>
      </c>
      <c r="E139" s="814"/>
      <c r="F139" s="814"/>
      <c r="G139" s="814"/>
      <c r="H139" s="815"/>
      <c r="I139" s="88"/>
      <c r="J139" s="88"/>
      <c r="K139" s="88"/>
      <c r="L139" s="88"/>
      <c r="M139" s="88"/>
      <c r="N139" s="88"/>
      <c r="O139" s="88"/>
      <c r="P139" s="88"/>
      <c r="Q139" s="88"/>
      <c r="R139" s="88"/>
      <c r="S139" s="88"/>
      <c r="T139" s="88"/>
      <c r="U139" s="88"/>
      <c r="V139" s="88"/>
      <c r="W139" s="88"/>
      <c r="X139" s="88"/>
      <c r="Y139" s="88"/>
      <c r="Z139" s="88"/>
      <c r="AA139" s="88"/>
      <c r="AB139" s="88"/>
      <c r="AC139" s="88"/>
      <c r="AD139" s="88"/>
      <c r="AG139">
        <f t="shared" si="24"/>
        <v>0</v>
      </c>
      <c r="AH139">
        <f t="shared" si="25"/>
        <v>0</v>
      </c>
      <c r="AI139">
        <f t="shared" si="26"/>
        <v>0</v>
      </c>
      <c r="AJ139">
        <f t="shared" si="27"/>
        <v>0</v>
      </c>
      <c r="AK139">
        <f t="shared" si="28"/>
        <v>0</v>
      </c>
      <c r="AL139">
        <f t="shared" si="29"/>
        <v>0</v>
      </c>
      <c r="AM139">
        <f t="shared" si="30"/>
        <v>0</v>
      </c>
      <c r="AN139">
        <f t="shared" si="31"/>
        <v>0</v>
      </c>
      <c r="AO139">
        <f t="shared" si="32"/>
        <v>0</v>
      </c>
      <c r="AP139">
        <f t="shared" si="33"/>
        <v>0</v>
      </c>
    </row>
    <row r="140" spans="1:42">
      <c r="A140" s="49"/>
      <c r="B140" s="54"/>
      <c r="C140" s="44" t="s">
        <v>2538</v>
      </c>
      <c r="D140" s="813" t="str">
        <f>IF(CNSIPEE_2024_M2_Secc6!D86="","",CNSIPEE_2024_M2_Secc6!D86)</f>
        <v/>
      </c>
      <c r="E140" s="814"/>
      <c r="F140" s="814"/>
      <c r="G140" s="814"/>
      <c r="H140" s="815"/>
      <c r="I140" s="88"/>
      <c r="J140" s="88"/>
      <c r="K140" s="88"/>
      <c r="L140" s="88"/>
      <c r="M140" s="88"/>
      <c r="N140" s="88"/>
      <c r="O140" s="88"/>
      <c r="P140" s="88"/>
      <c r="Q140" s="88"/>
      <c r="R140" s="88"/>
      <c r="S140" s="88"/>
      <c r="T140" s="88"/>
      <c r="U140" s="88"/>
      <c r="V140" s="88"/>
      <c r="W140" s="88"/>
      <c r="X140" s="88"/>
      <c r="Y140" s="88"/>
      <c r="Z140" s="88"/>
      <c r="AA140" s="88"/>
      <c r="AB140" s="88"/>
      <c r="AC140" s="88"/>
      <c r="AD140" s="88"/>
      <c r="AG140">
        <f t="shared" si="24"/>
        <v>0</v>
      </c>
      <c r="AH140">
        <f t="shared" si="25"/>
        <v>0</v>
      </c>
      <c r="AI140">
        <f t="shared" si="26"/>
        <v>0</v>
      </c>
      <c r="AJ140">
        <f t="shared" si="27"/>
        <v>0</v>
      </c>
      <c r="AK140">
        <f t="shared" si="28"/>
        <v>0</v>
      </c>
      <c r="AL140">
        <f t="shared" si="29"/>
        <v>0</v>
      </c>
      <c r="AM140">
        <f t="shared" si="30"/>
        <v>0</v>
      </c>
      <c r="AN140">
        <f t="shared" si="31"/>
        <v>0</v>
      </c>
      <c r="AO140">
        <f t="shared" si="32"/>
        <v>0</v>
      </c>
      <c r="AP140">
        <f t="shared" si="33"/>
        <v>0</v>
      </c>
    </row>
    <row r="141" spans="1:42">
      <c r="A141" s="49"/>
      <c r="B141" s="54"/>
      <c r="C141" s="44" t="s">
        <v>2539</v>
      </c>
      <c r="D141" s="813" t="str">
        <f>IF(CNSIPEE_2024_M2_Secc6!D87="","",CNSIPEE_2024_M2_Secc6!D87)</f>
        <v/>
      </c>
      <c r="E141" s="814"/>
      <c r="F141" s="814"/>
      <c r="G141" s="814"/>
      <c r="H141" s="815"/>
      <c r="I141" s="88"/>
      <c r="J141" s="88"/>
      <c r="K141" s="88"/>
      <c r="L141" s="88"/>
      <c r="M141" s="88"/>
      <c r="N141" s="88"/>
      <c r="O141" s="88"/>
      <c r="P141" s="88"/>
      <c r="Q141" s="88"/>
      <c r="R141" s="88"/>
      <c r="S141" s="88"/>
      <c r="T141" s="88"/>
      <c r="U141" s="88"/>
      <c r="V141" s="88"/>
      <c r="W141" s="88"/>
      <c r="X141" s="88"/>
      <c r="Y141" s="88"/>
      <c r="Z141" s="88"/>
      <c r="AA141" s="88"/>
      <c r="AB141" s="88"/>
      <c r="AC141" s="88"/>
      <c r="AD141" s="88"/>
      <c r="AG141">
        <f t="shared" si="24"/>
        <v>0</v>
      </c>
      <c r="AH141">
        <f t="shared" si="25"/>
        <v>0</v>
      </c>
      <c r="AI141">
        <f t="shared" si="26"/>
        <v>0</v>
      </c>
      <c r="AJ141">
        <f t="shared" si="27"/>
        <v>0</v>
      </c>
      <c r="AK141">
        <f t="shared" si="28"/>
        <v>0</v>
      </c>
      <c r="AL141">
        <f t="shared" si="29"/>
        <v>0</v>
      </c>
      <c r="AM141">
        <f t="shared" si="30"/>
        <v>0</v>
      </c>
      <c r="AN141">
        <f t="shared" si="31"/>
        <v>0</v>
      </c>
      <c r="AO141">
        <f t="shared" si="32"/>
        <v>0</v>
      </c>
      <c r="AP141">
        <f t="shared" si="33"/>
        <v>0</v>
      </c>
    </row>
    <row r="142" spans="1:42">
      <c r="A142" s="49"/>
      <c r="B142" s="54"/>
      <c r="C142" s="44" t="s">
        <v>2540</v>
      </c>
      <c r="D142" s="813" t="str">
        <f>IF(CNSIPEE_2024_M2_Secc6!D88="","",CNSIPEE_2024_M2_Secc6!D88)</f>
        <v/>
      </c>
      <c r="E142" s="814"/>
      <c r="F142" s="814"/>
      <c r="G142" s="814"/>
      <c r="H142" s="815"/>
      <c r="I142" s="88"/>
      <c r="J142" s="88"/>
      <c r="K142" s="88"/>
      <c r="L142" s="88"/>
      <c r="M142" s="88"/>
      <c r="N142" s="88"/>
      <c r="O142" s="88"/>
      <c r="P142" s="88"/>
      <c r="Q142" s="88"/>
      <c r="R142" s="88"/>
      <c r="S142" s="88"/>
      <c r="T142" s="88"/>
      <c r="U142" s="88"/>
      <c r="V142" s="88"/>
      <c r="W142" s="88"/>
      <c r="X142" s="88"/>
      <c r="Y142" s="88"/>
      <c r="Z142" s="88"/>
      <c r="AA142" s="88"/>
      <c r="AB142" s="88"/>
      <c r="AC142" s="88"/>
      <c r="AD142" s="88"/>
      <c r="AG142">
        <f t="shared" si="24"/>
        <v>0</v>
      </c>
      <c r="AH142">
        <f t="shared" si="25"/>
        <v>0</v>
      </c>
      <c r="AI142">
        <f t="shared" si="26"/>
        <v>0</v>
      </c>
      <c r="AJ142">
        <f t="shared" si="27"/>
        <v>0</v>
      </c>
      <c r="AK142">
        <f t="shared" si="28"/>
        <v>0</v>
      </c>
      <c r="AL142">
        <f t="shared" si="29"/>
        <v>0</v>
      </c>
      <c r="AM142">
        <f t="shared" si="30"/>
        <v>0</v>
      </c>
      <c r="AN142">
        <f t="shared" si="31"/>
        <v>0</v>
      </c>
      <c r="AO142">
        <f t="shared" si="32"/>
        <v>0</v>
      </c>
      <c r="AP142">
        <f t="shared" si="33"/>
        <v>0</v>
      </c>
    </row>
    <row r="143" spans="1:42">
      <c r="A143" s="49"/>
      <c r="B143" s="54"/>
      <c r="C143" s="44" t="s">
        <v>2541</v>
      </c>
      <c r="D143" s="813" t="str">
        <f>IF(CNSIPEE_2024_M2_Secc6!D89="","",CNSIPEE_2024_M2_Secc6!D89)</f>
        <v/>
      </c>
      <c r="E143" s="814"/>
      <c r="F143" s="814"/>
      <c r="G143" s="814"/>
      <c r="H143" s="815"/>
      <c r="I143" s="88"/>
      <c r="J143" s="88"/>
      <c r="K143" s="88"/>
      <c r="L143" s="88"/>
      <c r="M143" s="88"/>
      <c r="N143" s="88"/>
      <c r="O143" s="88"/>
      <c r="P143" s="88"/>
      <c r="Q143" s="88"/>
      <c r="R143" s="88"/>
      <c r="S143" s="88"/>
      <c r="T143" s="88"/>
      <c r="U143" s="88"/>
      <c r="V143" s="88"/>
      <c r="W143" s="88"/>
      <c r="X143" s="88"/>
      <c r="Y143" s="88"/>
      <c r="Z143" s="88"/>
      <c r="AA143" s="88"/>
      <c r="AB143" s="88"/>
      <c r="AC143" s="88"/>
      <c r="AD143" s="88"/>
      <c r="AG143">
        <f t="shared" si="24"/>
        <v>0</v>
      </c>
      <c r="AH143">
        <f t="shared" si="25"/>
        <v>0</v>
      </c>
      <c r="AI143">
        <f t="shared" si="26"/>
        <v>0</v>
      </c>
      <c r="AJ143">
        <f t="shared" si="27"/>
        <v>0</v>
      </c>
      <c r="AK143">
        <f t="shared" si="28"/>
        <v>0</v>
      </c>
      <c r="AL143">
        <f t="shared" si="29"/>
        <v>0</v>
      </c>
      <c r="AM143">
        <f t="shared" si="30"/>
        <v>0</v>
      </c>
      <c r="AN143">
        <f t="shared" si="31"/>
        <v>0</v>
      </c>
      <c r="AO143">
        <f t="shared" si="32"/>
        <v>0</v>
      </c>
      <c r="AP143">
        <f t="shared" si="33"/>
        <v>0</v>
      </c>
    </row>
    <row r="144" spans="1:42">
      <c r="A144" s="49"/>
      <c r="B144" s="54"/>
      <c r="C144" s="44" t="s">
        <v>2542</v>
      </c>
      <c r="D144" s="813" t="str">
        <f>IF(CNSIPEE_2024_M2_Secc6!D90="","",CNSIPEE_2024_M2_Secc6!D90)</f>
        <v/>
      </c>
      <c r="E144" s="814"/>
      <c r="F144" s="814"/>
      <c r="G144" s="814"/>
      <c r="H144" s="815"/>
      <c r="I144" s="88"/>
      <c r="J144" s="88"/>
      <c r="K144" s="88"/>
      <c r="L144" s="88"/>
      <c r="M144" s="88"/>
      <c r="N144" s="88"/>
      <c r="O144" s="88"/>
      <c r="P144" s="88"/>
      <c r="Q144" s="88"/>
      <c r="R144" s="88"/>
      <c r="S144" s="88"/>
      <c r="T144" s="88"/>
      <c r="U144" s="88"/>
      <c r="V144" s="88"/>
      <c r="W144" s="88"/>
      <c r="X144" s="88"/>
      <c r="Y144" s="88"/>
      <c r="Z144" s="88"/>
      <c r="AA144" s="88"/>
      <c r="AB144" s="88"/>
      <c r="AC144" s="88"/>
      <c r="AD144" s="88"/>
      <c r="AG144">
        <f t="shared" si="24"/>
        <v>0</v>
      </c>
      <c r="AH144">
        <f t="shared" si="25"/>
        <v>0</v>
      </c>
      <c r="AI144">
        <f t="shared" si="26"/>
        <v>0</v>
      </c>
      <c r="AJ144">
        <f t="shared" si="27"/>
        <v>0</v>
      </c>
      <c r="AK144">
        <f t="shared" si="28"/>
        <v>0</v>
      </c>
      <c r="AL144">
        <f t="shared" si="29"/>
        <v>0</v>
      </c>
      <c r="AM144">
        <f t="shared" si="30"/>
        <v>0</v>
      </c>
      <c r="AN144">
        <f t="shared" si="31"/>
        <v>0</v>
      </c>
      <c r="AO144">
        <f t="shared" si="32"/>
        <v>0</v>
      </c>
      <c r="AP144">
        <f t="shared" si="33"/>
        <v>0</v>
      </c>
    </row>
    <row r="145" spans="1:42">
      <c r="A145" s="49"/>
      <c r="B145" s="54"/>
      <c r="C145" s="44" t="s">
        <v>2543</v>
      </c>
      <c r="D145" s="813" t="str">
        <f>IF(CNSIPEE_2024_M2_Secc6!D91="","",CNSIPEE_2024_M2_Secc6!D91)</f>
        <v/>
      </c>
      <c r="E145" s="814"/>
      <c r="F145" s="814"/>
      <c r="G145" s="814"/>
      <c r="H145" s="815"/>
      <c r="I145" s="88"/>
      <c r="J145" s="88"/>
      <c r="K145" s="88"/>
      <c r="L145" s="88"/>
      <c r="M145" s="88"/>
      <c r="N145" s="88"/>
      <c r="O145" s="88"/>
      <c r="P145" s="88"/>
      <c r="Q145" s="88"/>
      <c r="R145" s="88"/>
      <c r="S145" s="88"/>
      <c r="T145" s="88"/>
      <c r="U145" s="88"/>
      <c r="V145" s="88"/>
      <c r="W145" s="88"/>
      <c r="X145" s="88"/>
      <c r="Y145" s="88"/>
      <c r="Z145" s="88"/>
      <c r="AA145" s="88"/>
      <c r="AB145" s="88"/>
      <c r="AC145" s="88"/>
      <c r="AD145" s="88"/>
      <c r="AG145">
        <f t="shared" si="24"/>
        <v>0</v>
      </c>
      <c r="AH145">
        <f t="shared" si="25"/>
        <v>0</v>
      </c>
      <c r="AI145">
        <f t="shared" si="26"/>
        <v>0</v>
      </c>
      <c r="AJ145">
        <f t="shared" si="27"/>
        <v>0</v>
      </c>
      <c r="AK145">
        <f t="shared" si="28"/>
        <v>0</v>
      </c>
      <c r="AL145">
        <f t="shared" si="29"/>
        <v>0</v>
      </c>
      <c r="AM145">
        <f t="shared" si="30"/>
        <v>0</v>
      </c>
      <c r="AN145">
        <f t="shared" si="31"/>
        <v>0</v>
      </c>
      <c r="AO145">
        <f t="shared" si="32"/>
        <v>0</v>
      </c>
      <c r="AP145">
        <f t="shared" si="33"/>
        <v>0</v>
      </c>
    </row>
    <row r="146" spans="1:42">
      <c r="A146" s="49"/>
      <c r="B146" s="54"/>
      <c r="C146" s="44" t="s">
        <v>2544</v>
      </c>
      <c r="D146" s="813" t="str">
        <f>IF(CNSIPEE_2024_M2_Secc6!D92="","",CNSIPEE_2024_M2_Secc6!D92)</f>
        <v/>
      </c>
      <c r="E146" s="814"/>
      <c r="F146" s="814"/>
      <c r="G146" s="814"/>
      <c r="H146" s="815"/>
      <c r="I146" s="88"/>
      <c r="J146" s="88"/>
      <c r="K146" s="88"/>
      <c r="L146" s="88"/>
      <c r="M146" s="88"/>
      <c r="N146" s="88"/>
      <c r="O146" s="88"/>
      <c r="P146" s="88"/>
      <c r="Q146" s="88"/>
      <c r="R146" s="88"/>
      <c r="S146" s="88"/>
      <c r="T146" s="88"/>
      <c r="U146" s="88"/>
      <c r="V146" s="88"/>
      <c r="W146" s="88"/>
      <c r="X146" s="88"/>
      <c r="Y146" s="88"/>
      <c r="Z146" s="88"/>
      <c r="AA146" s="88"/>
      <c r="AB146" s="88"/>
      <c r="AC146" s="88"/>
      <c r="AD146" s="88"/>
      <c r="AG146">
        <f t="shared" si="24"/>
        <v>0</v>
      </c>
      <c r="AH146">
        <f t="shared" si="25"/>
        <v>0</v>
      </c>
      <c r="AI146">
        <f t="shared" si="26"/>
        <v>0</v>
      </c>
      <c r="AJ146">
        <f t="shared" si="27"/>
        <v>0</v>
      </c>
      <c r="AK146">
        <f t="shared" si="28"/>
        <v>0</v>
      </c>
      <c r="AL146">
        <f t="shared" si="29"/>
        <v>0</v>
      </c>
      <c r="AM146">
        <f t="shared" si="30"/>
        <v>0</v>
      </c>
      <c r="AN146">
        <f t="shared" si="31"/>
        <v>0</v>
      </c>
      <c r="AO146">
        <f t="shared" si="32"/>
        <v>0</v>
      </c>
      <c r="AP146">
        <f t="shared" si="33"/>
        <v>0</v>
      </c>
    </row>
    <row r="147" spans="1:42">
      <c r="A147" s="49"/>
      <c r="B147" s="54"/>
      <c r="C147" s="44" t="s">
        <v>2545</v>
      </c>
      <c r="D147" s="813" t="str">
        <f>IF(CNSIPEE_2024_M2_Secc6!D93="","",CNSIPEE_2024_M2_Secc6!D93)</f>
        <v/>
      </c>
      <c r="E147" s="814"/>
      <c r="F147" s="814"/>
      <c r="G147" s="814"/>
      <c r="H147" s="815"/>
      <c r="I147" s="88"/>
      <c r="J147" s="88"/>
      <c r="K147" s="88"/>
      <c r="L147" s="88"/>
      <c r="M147" s="88"/>
      <c r="N147" s="88"/>
      <c r="O147" s="88"/>
      <c r="P147" s="88"/>
      <c r="Q147" s="88"/>
      <c r="R147" s="88"/>
      <c r="S147" s="88"/>
      <c r="T147" s="88"/>
      <c r="U147" s="88"/>
      <c r="V147" s="88"/>
      <c r="W147" s="88"/>
      <c r="X147" s="88"/>
      <c r="Y147" s="88"/>
      <c r="Z147" s="88"/>
      <c r="AA147" s="88"/>
      <c r="AB147" s="88"/>
      <c r="AC147" s="88"/>
      <c r="AD147" s="88"/>
      <c r="AG147">
        <f t="shared" si="24"/>
        <v>0</v>
      </c>
      <c r="AH147">
        <f t="shared" si="25"/>
        <v>0</v>
      </c>
      <c r="AI147">
        <f t="shared" si="26"/>
        <v>0</v>
      </c>
      <c r="AJ147">
        <f t="shared" si="27"/>
        <v>0</v>
      </c>
      <c r="AK147">
        <f t="shared" si="28"/>
        <v>0</v>
      </c>
      <c r="AL147">
        <f t="shared" si="29"/>
        <v>0</v>
      </c>
      <c r="AM147">
        <f t="shared" si="30"/>
        <v>0</v>
      </c>
      <c r="AN147">
        <f t="shared" si="31"/>
        <v>0</v>
      </c>
      <c r="AO147">
        <f t="shared" si="32"/>
        <v>0</v>
      </c>
      <c r="AP147">
        <f t="shared" si="33"/>
        <v>0</v>
      </c>
    </row>
    <row r="148" spans="1:42">
      <c r="A148" s="49"/>
      <c r="B148" s="54"/>
      <c r="C148" s="44" t="s">
        <v>2546</v>
      </c>
      <c r="D148" s="813" t="str">
        <f>IF(CNSIPEE_2024_M2_Secc6!D94="","",CNSIPEE_2024_M2_Secc6!D94)</f>
        <v/>
      </c>
      <c r="E148" s="814"/>
      <c r="F148" s="814"/>
      <c r="G148" s="814"/>
      <c r="H148" s="815"/>
      <c r="I148" s="88"/>
      <c r="J148" s="88"/>
      <c r="K148" s="88"/>
      <c r="L148" s="88"/>
      <c r="M148" s="88"/>
      <c r="N148" s="88"/>
      <c r="O148" s="88"/>
      <c r="P148" s="88"/>
      <c r="Q148" s="88"/>
      <c r="R148" s="88"/>
      <c r="S148" s="88"/>
      <c r="T148" s="88"/>
      <c r="U148" s="88"/>
      <c r="V148" s="88"/>
      <c r="W148" s="88"/>
      <c r="X148" s="88"/>
      <c r="Y148" s="88"/>
      <c r="Z148" s="88"/>
      <c r="AA148" s="88"/>
      <c r="AB148" s="88"/>
      <c r="AC148" s="88"/>
      <c r="AD148" s="88"/>
      <c r="AG148">
        <f t="shared" si="24"/>
        <v>0</v>
      </c>
      <c r="AH148">
        <f t="shared" si="25"/>
        <v>0</v>
      </c>
      <c r="AI148">
        <f t="shared" si="26"/>
        <v>0</v>
      </c>
      <c r="AJ148">
        <f t="shared" si="27"/>
        <v>0</v>
      </c>
      <c r="AK148">
        <f t="shared" si="28"/>
        <v>0</v>
      </c>
      <c r="AL148">
        <f t="shared" si="29"/>
        <v>0</v>
      </c>
      <c r="AM148">
        <f t="shared" si="30"/>
        <v>0</v>
      </c>
      <c r="AN148">
        <f t="shared" si="31"/>
        <v>0</v>
      </c>
      <c r="AO148">
        <f t="shared" si="32"/>
        <v>0</v>
      </c>
      <c r="AP148">
        <f t="shared" si="33"/>
        <v>0</v>
      </c>
    </row>
    <row r="149" spans="1:42">
      <c r="A149" s="49"/>
      <c r="B149" s="54"/>
      <c r="C149" s="44" t="s">
        <v>2547</v>
      </c>
      <c r="D149" s="813" t="str">
        <f>IF(CNSIPEE_2024_M2_Secc6!D95="","",CNSIPEE_2024_M2_Secc6!D95)</f>
        <v/>
      </c>
      <c r="E149" s="814"/>
      <c r="F149" s="814"/>
      <c r="G149" s="814"/>
      <c r="H149" s="815"/>
      <c r="I149" s="88"/>
      <c r="J149" s="88"/>
      <c r="K149" s="88"/>
      <c r="L149" s="88"/>
      <c r="M149" s="88"/>
      <c r="N149" s="88"/>
      <c r="O149" s="88"/>
      <c r="P149" s="88"/>
      <c r="Q149" s="88"/>
      <c r="R149" s="88"/>
      <c r="S149" s="88"/>
      <c r="T149" s="88"/>
      <c r="U149" s="88"/>
      <c r="V149" s="88"/>
      <c r="W149" s="88"/>
      <c r="X149" s="88"/>
      <c r="Y149" s="88"/>
      <c r="Z149" s="88"/>
      <c r="AA149" s="88"/>
      <c r="AB149" s="88"/>
      <c r="AC149" s="88"/>
      <c r="AD149" s="88"/>
      <c r="AG149">
        <f t="shared" si="24"/>
        <v>0</v>
      </c>
      <c r="AH149">
        <f t="shared" si="25"/>
        <v>0</v>
      </c>
      <c r="AI149">
        <f t="shared" si="26"/>
        <v>0</v>
      </c>
      <c r="AJ149">
        <f t="shared" si="27"/>
        <v>0</v>
      </c>
      <c r="AK149">
        <f t="shared" si="28"/>
        <v>0</v>
      </c>
      <c r="AL149">
        <f t="shared" si="29"/>
        <v>0</v>
      </c>
      <c r="AM149">
        <f t="shared" si="30"/>
        <v>0</v>
      </c>
      <c r="AN149">
        <f t="shared" si="31"/>
        <v>0</v>
      </c>
      <c r="AO149">
        <f t="shared" si="32"/>
        <v>0</v>
      </c>
      <c r="AP149">
        <f t="shared" si="33"/>
        <v>0</v>
      </c>
    </row>
    <row r="150" spans="1:42">
      <c r="A150" s="49"/>
      <c r="B150" s="54"/>
      <c r="C150" s="44" t="s">
        <v>2548</v>
      </c>
      <c r="D150" s="813" t="str">
        <f>IF(CNSIPEE_2024_M2_Secc6!D96="","",CNSIPEE_2024_M2_Secc6!D96)</f>
        <v/>
      </c>
      <c r="E150" s="814"/>
      <c r="F150" s="814"/>
      <c r="G150" s="814"/>
      <c r="H150" s="815"/>
      <c r="I150" s="88"/>
      <c r="J150" s="88"/>
      <c r="K150" s="88"/>
      <c r="L150" s="88"/>
      <c r="M150" s="88"/>
      <c r="N150" s="88"/>
      <c r="O150" s="88"/>
      <c r="P150" s="88"/>
      <c r="Q150" s="88"/>
      <c r="R150" s="88"/>
      <c r="S150" s="88"/>
      <c r="T150" s="88"/>
      <c r="U150" s="88"/>
      <c r="V150" s="88"/>
      <c r="W150" s="88"/>
      <c r="X150" s="88"/>
      <c r="Y150" s="88"/>
      <c r="Z150" s="88"/>
      <c r="AA150" s="88"/>
      <c r="AB150" s="88"/>
      <c r="AC150" s="88"/>
      <c r="AD150" s="88"/>
      <c r="AG150">
        <f t="shared" si="24"/>
        <v>0</v>
      </c>
      <c r="AH150">
        <f t="shared" si="25"/>
        <v>0</v>
      </c>
      <c r="AI150">
        <f t="shared" si="26"/>
        <v>0</v>
      </c>
      <c r="AJ150">
        <f t="shared" si="27"/>
        <v>0</v>
      </c>
      <c r="AK150">
        <f t="shared" si="28"/>
        <v>0</v>
      </c>
      <c r="AL150">
        <f t="shared" si="29"/>
        <v>0</v>
      </c>
      <c r="AM150">
        <f t="shared" si="30"/>
        <v>0</v>
      </c>
      <c r="AN150">
        <f t="shared" si="31"/>
        <v>0</v>
      </c>
      <c r="AO150">
        <f t="shared" si="32"/>
        <v>0</v>
      </c>
      <c r="AP150">
        <f t="shared" si="33"/>
        <v>0</v>
      </c>
    </row>
    <row r="151" spans="1:42">
      <c r="A151" s="49"/>
      <c r="B151" s="54"/>
      <c r="C151" s="44" t="s">
        <v>2549</v>
      </c>
      <c r="D151" s="813" t="str">
        <f>IF(CNSIPEE_2024_M2_Secc6!D97="","",CNSIPEE_2024_M2_Secc6!D97)</f>
        <v/>
      </c>
      <c r="E151" s="814"/>
      <c r="F151" s="814"/>
      <c r="G151" s="814"/>
      <c r="H151" s="815"/>
      <c r="I151" s="88"/>
      <c r="J151" s="88"/>
      <c r="K151" s="88"/>
      <c r="L151" s="88"/>
      <c r="M151" s="88"/>
      <c r="N151" s="88"/>
      <c r="O151" s="88"/>
      <c r="P151" s="88"/>
      <c r="Q151" s="88"/>
      <c r="R151" s="88"/>
      <c r="S151" s="88"/>
      <c r="T151" s="88"/>
      <c r="U151" s="88"/>
      <c r="V151" s="88"/>
      <c r="W151" s="88"/>
      <c r="X151" s="88"/>
      <c r="Y151" s="88"/>
      <c r="Z151" s="88"/>
      <c r="AA151" s="88"/>
      <c r="AB151" s="88"/>
      <c r="AC151" s="88"/>
      <c r="AD151" s="88"/>
      <c r="AG151">
        <f t="shared" si="24"/>
        <v>0</v>
      </c>
      <c r="AH151">
        <f t="shared" si="25"/>
        <v>0</v>
      </c>
      <c r="AI151">
        <f t="shared" si="26"/>
        <v>0</v>
      </c>
      <c r="AJ151">
        <f t="shared" si="27"/>
        <v>0</v>
      </c>
      <c r="AK151">
        <f t="shared" si="28"/>
        <v>0</v>
      </c>
      <c r="AL151">
        <f t="shared" si="29"/>
        <v>0</v>
      </c>
      <c r="AM151">
        <f t="shared" si="30"/>
        <v>0</v>
      </c>
      <c r="AN151">
        <f t="shared" si="31"/>
        <v>0</v>
      </c>
      <c r="AO151">
        <f t="shared" si="32"/>
        <v>0</v>
      </c>
      <c r="AP151">
        <f t="shared" si="33"/>
        <v>0</v>
      </c>
    </row>
    <row r="152" spans="1:42">
      <c r="A152" s="49"/>
      <c r="B152" s="54"/>
      <c r="C152" s="44" t="s">
        <v>2550</v>
      </c>
      <c r="D152" s="813" t="str">
        <f>IF(CNSIPEE_2024_M2_Secc6!D98="","",CNSIPEE_2024_M2_Secc6!D98)</f>
        <v/>
      </c>
      <c r="E152" s="814"/>
      <c r="F152" s="814"/>
      <c r="G152" s="814"/>
      <c r="H152" s="815"/>
      <c r="I152" s="88"/>
      <c r="J152" s="88"/>
      <c r="K152" s="88"/>
      <c r="L152" s="88"/>
      <c r="M152" s="88"/>
      <c r="N152" s="88"/>
      <c r="O152" s="88"/>
      <c r="P152" s="88"/>
      <c r="Q152" s="88"/>
      <c r="R152" s="88"/>
      <c r="S152" s="88"/>
      <c r="T152" s="88"/>
      <c r="U152" s="88"/>
      <c r="V152" s="88"/>
      <c r="W152" s="88"/>
      <c r="X152" s="88"/>
      <c r="Y152" s="88"/>
      <c r="Z152" s="88"/>
      <c r="AA152" s="88"/>
      <c r="AB152" s="88"/>
      <c r="AC152" s="88"/>
      <c r="AD152" s="88"/>
      <c r="AG152">
        <f t="shared" si="24"/>
        <v>0</v>
      </c>
      <c r="AH152">
        <f t="shared" si="25"/>
        <v>0</v>
      </c>
      <c r="AI152">
        <f t="shared" si="26"/>
        <v>0</v>
      </c>
      <c r="AJ152">
        <f t="shared" si="27"/>
        <v>0</v>
      </c>
      <c r="AK152">
        <f t="shared" si="28"/>
        <v>0</v>
      </c>
      <c r="AL152">
        <f t="shared" si="29"/>
        <v>0</v>
      </c>
      <c r="AM152">
        <f t="shared" si="30"/>
        <v>0</v>
      </c>
      <c r="AN152">
        <f t="shared" si="31"/>
        <v>0</v>
      </c>
      <c r="AO152">
        <f t="shared" si="32"/>
        <v>0</v>
      </c>
      <c r="AP152">
        <f t="shared" si="33"/>
        <v>0</v>
      </c>
    </row>
    <row r="153" spans="1:42">
      <c r="A153" s="49"/>
      <c r="B153" s="54"/>
      <c r="C153" s="44" t="s">
        <v>4330</v>
      </c>
      <c r="D153" s="813" t="str">
        <f>IF(CNSIPEE_2024_M2_Secc6!D99="","",CNSIPEE_2024_M2_Secc6!D99)</f>
        <v/>
      </c>
      <c r="E153" s="814"/>
      <c r="F153" s="814"/>
      <c r="G153" s="814"/>
      <c r="H153" s="815"/>
      <c r="I153" s="88"/>
      <c r="J153" s="88"/>
      <c r="K153" s="88"/>
      <c r="L153" s="88"/>
      <c r="M153" s="88"/>
      <c r="N153" s="88"/>
      <c r="O153" s="88"/>
      <c r="P153" s="88"/>
      <c r="Q153" s="88"/>
      <c r="R153" s="88"/>
      <c r="S153" s="88"/>
      <c r="T153" s="88"/>
      <c r="U153" s="88"/>
      <c r="V153" s="88"/>
      <c r="W153" s="88"/>
      <c r="X153" s="88"/>
      <c r="Y153" s="88"/>
      <c r="Z153" s="88"/>
      <c r="AA153" s="88"/>
      <c r="AB153" s="88"/>
      <c r="AC153" s="88"/>
      <c r="AD153" s="88"/>
      <c r="AG153">
        <f t="shared" si="24"/>
        <v>0</v>
      </c>
      <c r="AH153">
        <f t="shared" si="25"/>
        <v>0</v>
      </c>
      <c r="AI153">
        <f t="shared" si="26"/>
        <v>0</v>
      </c>
      <c r="AJ153">
        <f t="shared" si="27"/>
        <v>0</v>
      </c>
      <c r="AK153">
        <f t="shared" si="28"/>
        <v>0</v>
      </c>
      <c r="AL153">
        <f t="shared" si="29"/>
        <v>0</v>
      </c>
      <c r="AM153">
        <f t="shared" si="30"/>
        <v>0</v>
      </c>
      <c r="AN153">
        <f t="shared" si="31"/>
        <v>0</v>
      </c>
      <c r="AO153">
        <f t="shared" si="32"/>
        <v>0</v>
      </c>
      <c r="AP153">
        <f t="shared" si="33"/>
        <v>0</v>
      </c>
    </row>
    <row r="154" spans="1:42">
      <c r="A154" s="49"/>
      <c r="B154" s="54"/>
      <c r="C154" s="44" t="s">
        <v>4331</v>
      </c>
      <c r="D154" s="813" t="str">
        <f>IF(CNSIPEE_2024_M2_Secc6!D100="","",CNSIPEE_2024_M2_Secc6!D100)</f>
        <v/>
      </c>
      <c r="E154" s="814"/>
      <c r="F154" s="814"/>
      <c r="G154" s="814"/>
      <c r="H154" s="815"/>
      <c r="I154" s="88"/>
      <c r="J154" s="88"/>
      <c r="K154" s="88"/>
      <c r="L154" s="88"/>
      <c r="M154" s="88"/>
      <c r="N154" s="88"/>
      <c r="O154" s="88"/>
      <c r="P154" s="88"/>
      <c r="Q154" s="88"/>
      <c r="R154" s="88"/>
      <c r="S154" s="88"/>
      <c r="T154" s="88"/>
      <c r="U154" s="88"/>
      <c r="V154" s="88"/>
      <c r="W154" s="88"/>
      <c r="X154" s="88"/>
      <c r="Y154" s="88"/>
      <c r="Z154" s="88"/>
      <c r="AA154" s="88"/>
      <c r="AB154" s="88"/>
      <c r="AC154" s="88"/>
      <c r="AD154" s="88"/>
      <c r="AG154">
        <f t="shared" si="24"/>
        <v>0</v>
      </c>
      <c r="AH154">
        <f t="shared" si="25"/>
        <v>0</v>
      </c>
      <c r="AI154">
        <f t="shared" si="26"/>
        <v>0</v>
      </c>
      <c r="AJ154">
        <f t="shared" si="27"/>
        <v>0</v>
      </c>
      <c r="AK154">
        <f t="shared" si="28"/>
        <v>0</v>
      </c>
      <c r="AL154">
        <f t="shared" si="29"/>
        <v>0</v>
      </c>
      <c r="AM154">
        <f t="shared" si="30"/>
        <v>0</v>
      </c>
      <c r="AN154">
        <f t="shared" si="31"/>
        <v>0</v>
      </c>
      <c r="AO154">
        <f t="shared" si="32"/>
        <v>0</v>
      </c>
      <c r="AP154">
        <f t="shared" si="33"/>
        <v>0</v>
      </c>
    </row>
    <row r="155" spans="1:42">
      <c r="A155" s="49"/>
      <c r="B155" s="54"/>
      <c r="C155" s="44" t="s">
        <v>4332</v>
      </c>
      <c r="D155" s="813" t="str">
        <f>IF(CNSIPEE_2024_M2_Secc6!D101="","",CNSIPEE_2024_M2_Secc6!D101)</f>
        <v/>
      </c>
      <c r="E155" s="814"/>
      <c r="F155" s="814"/>
      <c r="G155" s="814"/>
      <c r="H155" s="815"/>
      <c r="I155" s="88"/>
      <c r="J155" s="88"/>
      <c r="K155" s="88"/>
      <c r="L155" s="88"/>
      <c r="M155" s="88"/>
      <c r="N155" s="88"/>
      <c r="O155" s="88"/>
      <c r="P155" s="88"/>
      <c r="Q155" s="88"/>
      <c r="R155" s="88"/>
      <c r="S155" s="88"/>
      <c r="T155" s="88"/>
      <c r="U155" s="88"/>
      <c r="V155" s="88"/>
      <c r="W155" s="88"/>
      <c r="X155" s="88"/>
      <c r="Y155" s="88"/>
      <c r="Z155" s="88"/>
      <c r="AA155" s="88"/>
      <c r="AB155" s="88"/>
      <c r="AC155" s="88"/>
      <c r="AD155" s="88"/>
      <c r="AG155">
        <f t="shared" si="24"/>
        <v>0</v>
      </c>
      <c r="AH155">
        <f t="shared" si="25"/>
        <v>0</v>
      </c>
      <c r="AI155">
        <f t="shared" si="26"/>
        <v>0</v>
      </c>
      <c r="AJ155">
        <f t="shared" si="27"/>
        <v>0</v>
      </c>
      <c r="AK155">
        <f t="shared" si="28"/>
        <v>0</v>
      </c>
      <c r="AL155">
        <f t="shared" si="29"/>
        <v>0</v>
      </c>
      <c r="AM155">
        <f t="shared" si="30"/>
        <v>0</v>
      </c>
      <c r="AN155">
        <f t="shared" si="31"/>
        <v>0</v>
      </c>
      <c r="AO155">
        <f t="shared" si="32"/>
        <v>0</v>
      </c>
      <c r="AP155">
        <f t="shared" si="33"/>
        <v>0</v>
      </c>
    </row>
    <row r="156" spans="1:42">
      <c r="A156" s="49"/>
      <c r="B156" s="54"/>
      <c r="C156" s="44" t="s">
        <v>4333</v>
      </c>
      <c r="D156" s="813" t="str">
        <f>IF(CNSIPEE_2024_M2_Secc6!D102="","",CNSIPEE_2024_M2_Secc6!D102)</f>
        <v/>
      </c>
      <c r="E156" s="814"/>
      <c r="F156" s="814"/>
      <c r="G156" s="814"/>
      <c r="H156" s="815"/>
      <c r="I156" s="88"/>
      <c r="J156" s="88"/>
      <c r="K156" s="88"/>
      <c r="L156" s="88"/>
      <c r="M156" s="88"/>
      <c r="N156" s="88"/>
      <c r="O156" s="88"/>
      <c r="P156" s="88"/>
      <c r="Q156" s="88"/>
      <c r="R156" s="88"/>
      <c r="S156" s="88"/>
      <c r="T156" s="88"/>
      <c r="U156" s="88"/>
      <c r="V156" s="88"/>
      <c r="W156" s="88"/>
      <c r="X156" s="88"/>
      <c r="Y156" s="88"/>
      <c r="Z156" s="88"/>
      <c r="AA156" s="88"/>
      <c r="AB156" s="88"/>
      <c r="AC156" s="88"/>
      <c r="AD156" s="88"/>
      <c r="AG156">
        <f t="shared" si="24"/>
        <v>0</v>
      </c>
      <c r="AH156">
        <f t="shared" si="25"/>
        <v>0</v>
      </c>
      <c r="AI156">
        <f t="shared" si="26"/>
        <v>0</v>
      </c>
      <c r="AJ156">
        <f t="shared" si="27"/>
        <v>0</v>
      </c>
      <c r="AK156">
        <f t="shared" si="28"/>
        <v>0</v>
      </c>
      <c r="AL156">
        <f t="shared" si="29"/>
        <v>0</v>
      </c>
      <c r="AM156">
        <f t="shared" si="30"/>
        <v>0</v>
      </c>
      <c r="AN156">
        <f t="shared" si="31"/>
        <v>0</v>
      </c>
      <c r="AO156">
        <f t="shared" si="32"/>
        <v>0</v>
      </c>
      <c r="AP156">
        <f t="shared" si="33"/>
        <v>0</v>
      </c>
    </row>
    <row r="157" spans="1:42">
      <c r="A157" s="49"/>
      <c r="B157" s="54"/>
      <c r="C157" s="44" t="s">
        <v>4334</v>
      </c>
      <c r="D157" s="813" t="str">
        <f>IF(CNSIPEE_2024_M2_Secc6!D103="","",CNSIPEE_2024_M2_Secc6!D103)</f>
        <v/>
      </c>
      <c r="E157" s="814"/>
      <c r="F157" s="814"/>
      <c r="G157" s="814"/>
      <c r="H157" s="815"/>
      <c r="I157" s="88"/>
      <c r="J157" s="88"/>
      <c r="K157" s="88"/>
      <c r="L157" s="88"/>
      <c r="M157" s="88"/>
      <c r="N157" s="88"/>
      <c r="O157" s="88"/>
      <c r="P157" s="88"/>
      <c r="Q157" s="88"/>
      <c r="R157" s="88"/>
      <c r="S157" s="88"/>
      <c r="T157" s="88"/>
      <c r="U157" s="88"/>
      <c r="V157" s="88"/>
      <c r="W157" s="88"/>
      <c r="X157" s="88"/>
      <c r="Y157" s="88"/>
      <c r="Z157" s="88"/>
      <c r="AA157" s="88"/>
      <c r="AB157" s="88"/>
      <c r="AC157" s="88"/>
      <c r="AD157" s="88"/>
      <c r="AG157">
        <f t="shared" si="24"/>
        <v>0</v>
      </c>
      <c r="AH157">
        <f t="shared" si="25"/>
        <v>0</v>
      </c>
      <c r="AI157">
        <f t="shared" si="26"/>
        <v>0</v>
      </c>
      <c r="AJ157">
        <f t="shared" si="27"/>
        <v>0</v>
      </c>
      <c r="AK157">
        <f t="shared" si="28"/>
        <v>0</v>
      </c>
      <c r="AL157">
        <f t="shared" si="29"/>
        <v>0</v>
      </c>
      <c r="AM157">
        <f t="shared" si="30"/>
        <v>0</v>
      </c>
      <c r="AN157">
        <f t="shared" si="31"/>
        <v>0</v>
      </c>
      <c r="AO157">
        <f t="shared" si="32"/>
        <v>0</v>
      </c>
      <c r="AP157">
        <f t="shared" si="33"/>
        <v>0</v>
      </c>
    </row>
    <row r="158" spans="1:42">
      <c r="A158" s="49"/>
      <c r="B158" s="54"/>
      <c r="C158" s="44" t="s">
        <v>4335</v>
      </c>
      <c r="D158" s="813" t="str">
        <f>IF(CNSIPEE_2024_M2_Secc6!D104="","",CNSIPEE_2024_M2_Secc6!D104)</f>
        <v/>
      </c>
      <c r="E158" s="814"/>
      <c r="F158" s="814"/>
      <c r="G158" s="814"/>
      <c r="H158" s="815"/>
      <c r="I158" s="88"/>
      <c r="J158" s="88"/>
      <c r="K158" s="88"/>
      <c r="L158" s="88"/>
      <c r="M158" s="88"/>
      <c r="N158" s="88"/>
      <c r="O158" s="88"/>
      <c r="P158" s="88"/>
      <c r="Q158" s="88"/>
      <c r="R158" s="88"/>
      <c r="S158" s="88"/>
      <c r="T158" s="88"/>
      <c r="U158" s="88"/>
      <c r="V158" s="88"/>
      <c r="W158" s="88"/>
      <c r="X158" s="88"/>
      <c r="Y158" s="88"/>
      <c r="Z158" s="88"/>
      <c r="AA158" s="88"/>
      <c r="AB158" s="88"/>
      <c r="AC158" s="88"/>
      <c r="AD158" s="88"/>
      <c r="AG158">
        <f t="shared" si="24"/>
        <v>0</v>
      </c>
      <c r="AH158">
        <f t="shared" si="25"/>
        <v>0</v>
      </c>
      <c r="AI158">
        <f t="shared" si="26"/>
        <v>0</v>
      </c>
      <c r="AJ158">
        <f t="shared" si="27"/>
        <v>0</v>
      </c>
      <c r="AK158">
        <f t="shared" si="28"/>
        <v>0</v>
      </c>
      <c r="AL158">
        <f t="shared" si="29"/>
        <v>0</v>
      </c>
      <c r="AM158">
        <f t="shared" si="30"/>
        <v>0</v>
      </c>
      <c r="AN158">
        <f t="shared" si="31"/>
        <v>0</v>
      </c>
      <c r="AO158">
        <f t="shared" si="32"/>
        <v>0</v>
      </c>
      <c r="AP158">
        <f t="shared" si="33"/>
        <v>0</v>
      </c>
    </row>
    <row r="159" spans="1:42">
      <c r="A159" s="49"/>
      <c r="B159" s="54"/>
      <c r="C159" s="44" t="s">
        <v>4336</v>
      </c>
      <c r="D159" s="813" t="str">
        <f>IF(CNSIPEE_2024_M2_Secc6!D105="","",CNSIPEE_2024_M2_Secc6!D105)</f>
        <v/>
      </c>
      <c r="E159" s="814"/>
      <c r="F159" s="814"/>
      <c r="G159" s="814"/>
      <c r="H159" s="815"/>
      <c r="I159" s="88"/>
      <c r="J159" s="88"/>
      <c r="K159" s="88"/>
      <c r="L159" s="88"/>
      <c r="M159" s="88"/>
      <c r="N159" s="88"/>
      <c r="O159" s="88"/>
      <c r="P159" s="88"/>
      <c r="Q159" s="88"/>
      <c r="R159" s="88"/>
      <c r="S159" s="88"/>
      <c r="T159" s="88"/>
      <c r="U159" s="88"/>
      <c r="V159" s="88"/>
      <c r="W159" s="88"/>
      <c r="X159" s="88"/>
      <c r="Y159" s="88"/>
      <c r="Z159" s="88"/>
      <c r="AA159" s="88"/>
      <c r="AB159" s="88"/>
      <c r="AC159" s="88"/>
      <c r="AD159" s="88"/>
      <c r="AG159">
        <f t="shared" si="24"/>
        <v>0</v>
      </c>
      <c r="AH159">
        <f t="shared" si="25"/>
        <v>0</v>
      </c>
      <c r="AI159">
        <f t="shared" si="26"/>
        <v>0</v>
      </c>
      <c r="AJ159">
        <f t="shared" si="27"/>
        <v>0</v>
      </c>
      <c r="AK159">
        <f t="shared" si="28"/>
        <v>0</v>
      </c>
      <c r="AL159">
        <f t="shared" si="29"/>
        <v>0</v>
      </c>
      <c r="AM159">
        <f t="shared" si="30"/>
        <v>0</v>
      </c>
      <c r="AN159">
        <f t="shared" si="31"/>
        <v>0</v>
      </c>
      <c r="AO159">
        <f t="shared" si="32"/>
        <v>0</v>
      </c>
      <c r="AP159">
        <f t="shared" si="33"/>
        <v>0</v>
      </c>
    </row>
    <row r="160" spans="1:42">
      <c r="A160" s="49"/>
      <c r="B160" s="54"/>
      <c r="C160" s="44" t="s">
        <v>4337</v>
      </c>
      <c r="D160" s="813" t="str">
        <f>IF(CNSIPEE_2024_M2_Secc6!D106="","",CNSIPEE_2024_M2_Secc6!D106)</f>
        <v/>
      </c>
      <c r="E160" s="814"/>
      <c r="F160" s="814"/>
      <c r="G160" s="814"/>
      <c r="H160" s="815"/>
      <c r="I160" s="88"/>
      <c r="J160" s="88"/>
      <c r="K160" s="88"/>
      <c r="L160" s="88"/>
      <c r="M160" s="88"/>
      <c r="N160" s="88"/>
      <c r="O160" s="88"/>
      <c r="P160" s="88"/>
      <c r="Q160" s="88"/>
      <c r="R160" s="88"/>
      <c r="S160" s="88"/>
      <c r="T160" s="88"/>
      <c r="U160" s="88"/>
      <c r="V160" s="88"/>
      <c r="W160" s="88"/>
      <c r="X160" s="88"/>
      <c r="Y160" s="88"/>
      <c r="Z160" s="88"/>
      <c r="AA160" s="88"/>
      <c r="AB160" s="88"/>
      <c r="AC160" s="88"/>
      <c r="AD160" s="88"/>
      <c r="AG160">
        <f t="shared" si="24"/>
        <v>0</v>
      </c>
      <c r="AH160">
        <f t="shared" si="25"/>
        <v>0</v>
      </c>
      <c r="AI160">
        <f t="shared" si="26"/>
        <v>0</v>
      </c>
      <c r="AJ160">
        <f t="shared" si="27"/>
        <v>0</v>
      </c>
      <c r="AK160">
        <f t="shared" si="28"/>
        <v>0</v>
      </c>
      <c r="AL160">
        <f t="shared" si="29"/>
        <v>0</v>
      </c>
      <c r="AM160">
        <f t="shared" si="30"/>
        <v>0</v>
      </c>
      <c r="AN160">
        <f t="shared" si="31"/>
        <v>0</v>
      </c>
      <c r="AO160">
        <f t="shared" si="32"/>
        <v>0</v>
      </c>
      <c r="AP160">
        <f t="shared" si="33"/>
        <v>0</v>
      </c>
    </row>
    <row r="161" spans="1:42">
      <c r="A161" s="49"/>
      <c r="B161" s="54"/>
      <c r="C161" s="44" t="s">
        <v>4338</v>
      </c>
      <c r="D161" s="813" t="str">
        <f>IF(CNSIPEE_2024_M2_Secc6!D107="","",CNSIPEE_2024_M2_Secc6!D107)</f>
        <v/>
      </c>
      <c r="E161" s="814"/>
      <c r="F161" s="814"/>
      <c r="G161" s="814"/>
      <c r="H161" s="815"/>
      <c r="I161" s="88"/>
      <c r="J161" s="88"/>
      <c r="K161" s="88"/>
      <c r="L161" s="88"/>
      <c r="M161" s="88"/>
      <c r="N161" s="88"/>
      <c r="O161" s="88"/>
      <c r="P161" s="88"/>
      <c r="Q161" s="88"/>
      <c r="R161" s="88"/>
      <c r="S161" s="88"/>
      <c r="T161" s="88"/>
      <c r="U161" s="88"/>
      <c r="V161" s="88"/>
      <c r="W161" s="88"/>
      <c r="X161" s="88"/>
      <c r="Y161" s="88"/>
      <c r="Z161" s="88"/>
      <c r="AA161" s="88"/>
      <c r="AB161" s="88"/>
      <c r="AC161" s="88"/>
      <c r="AD161" s="88"/>
      <c r="AG161">
        <f t="shared" si="24"/>
        <v>0</v>
      </c>
      <c r="AH161">
        <f t="shared" si="25"/>
        <v>0</v>
      </c>
      <c r="AI161">
        <f t="shared" si="26"/>
        <v>0</v>
      </c>
      <c r="AJ161">
        <f t="shared" si="27"/>
        <v>0</v>
      </c>
      <c r="AK161">
        <f t="shared" si="28"/>
        <v>0</v>
      </c>
      <c r="AL161">
        <f t="shared" si="29"/>
        <v>0</v>
      </c>
      <c r="AM161">
        <f t="shared" si="30"/>
        <v>0</v>
      </c>
      <c r="AN161">
        <f t="shared" si="31"/>
        <v>0</v>
      </c>
      <c r="AO161">
        <f t="shared" si="32"/>
        <v>0</v>
      </c>
      <c r="AP161">
        <f t="shared" si="33"/>
        <v>0</v>
      </c>
    </row>
    <row r="162" spans="1:42">
      <c r="A162" s="49"/>
      <c r="B162" s="54"/>
      <c r="C162" s="44" t="s">
        <v>4339</v>
      </c>
      <c r="D162" s="813" t="str">
        <f>IF(CNSIPEE_2024_M2_Secc6!D108="","",CNSIPEE_2024_M2_Secc6!D108)</f>
        <v/>
      </c>
      <c r="E162" s="814"/>
      <c r="F162" s="814"/>
      <c r="G162" s="814"/>
      <c r="H162" s="815"/>
      <c r="I162" s="88"/>
      <c r="J162" s="88"/>
      <c r="K162" s="88"/>
      <c r="L162" s="88"/>
      <c r="M162" s="88"/>
      <c r="N162" s="88"/>
      <c r="O162" s="88"/>
      <c r="P162" s="88"/>
      <c r="Q162" s="88"/>
      <c r="R162" s="88"/>
      <c r="S162" s="88"/>
      <c r="T162" s="88"/>
      <c r="U162" s="88"/>
      <c r="V162" s="88"/>
      <c r="W162" s="88"/>
      <c r="X162" s="88"/>
      <c r="Y162" s="88"/>
      <c r="Z162" s="88"/>
      <c r="AA162" s="88"/>
      <c r="AB162" s="88"/>
      <c r="AC162" s="88"/>
      <c r="AD162" s="88"/>
      <c r="AG162">
        <f t="shared" si="24"/>
        <v>0</v>
      </c>
      <c r="AH162">
        <f t="shared" si="25"/>
        <v>0</v>
      </c>
      <c r="AI162">
        <f t="shared" si="26"/>
        <v>0</v>
      </c>
      <c r="AJ162">
        <f t="shared" si="27"/>
        <v>0</v>
      </c>
      <c r="AK162">
        <f t="shared" si="28"/>
        <v>0</v>
      </c>
      <c r="AL162">
        <f t="shared" si="29"/>
        <v>0</v>
      </c>
      <c r="AM162">
        <f t="shared" si="30"/>
        <v>0</v>
      </c>
      <c r="AN162">
        <f t="shared" si="31"/>
        <v>0</v>
      </c>
      <c r="AO162">
        <f t="shared" si="32"/>
        <v>0</v>
      </c>
      <c r="AP162">
        <f t="shared" si="33"/>
        <v>0</v>
      </c>
    </row>
    <row r="163" spans="1:42">
      <c r="A163" s="49"/>
      <c r="B163" s="54"/>
      <c r="C163" s="44" t="s">
        <v>4340</v>
      </c>
      <c r="D163" s="813" t="str">
        <f>IF(CNSIPEE_2024_M2_Secc6!D109="","",CNSIPEE_2024_M2_Secc6!D109)</f>
        <v/>
      </c>
      <c r="E163" s="814"/>
      <c r="F163" s="814"/>
      <c r="G163" s="814"/>
      <c r="H163" s="815"/>
      <c r="I163" s="88"/>
      <c r="J163" s="88"/>
      <c r="K163" s="88"/>
      <c r="L163" s="88"/>
      <c r="M163" s="88"/>
      <c r="N163" s="88"/>
      <c r="O163" s="88"/>
      <c r="P163" s="88"/>
      <c r="Q163" s="88"/>
      <c r="R163" s="88"/>
      <c r="S163" s="88"/>
      <c r="T163" s="88"/>
      <c r="U163" s="88"/>
      <c r="V163" s="88"/>
      <c r="W163" s="88"/>
      <c r="X163" s="88"/>
      <c r="Y163" s="88"/>
      <c r="Z163" s="88"/>
      <c r="AA163" s="88"/>
      <c r="AB163" s="88"/>
      <c r="AC163" s="88"/>
      <c r="AD163" s="88"/>
      <c r="AG163">
        <f t="shared" si="24"/>
        <v>0</v>
      </c>
      <c r="AH163">
        <f t="shared" si="25"/>
        <v>0</v>
      </c>
      <c r="AI163">
        <f t="shared" si="26"/>
        <v>0</v>
      </c>
      <c r="AJ163">
        <f t="shared" si="27"/>
        <v>0</v>
      </c>
      <c r="AK163">
        <f t="shared" si="28"/>
        <v>0</v>
      </c>
      <c r="AL163">
        <f t="shared" si="29"/>
        <v>0</v>
      </c>
      <c r="AM163">
        <f t="shared" si="30"/>
        <v>0</v>
      </c>
      <c r="AN163">
        <f t="shared" si="31"/>
        <v>0</v>
      </c>
      <c r="AO163">
        <f t="shared" si="32"/>
        <v>0</v>
      </c>
      <c r="AP163">
        <f t="shared" si="33"/>
        <v>0</v>
      </c>
    </row>
    <row r="164" spans="1:42">
      <c r="A164" s="49"/>
      <c r="B164" s="54"/>
      <c r="C164" s="44" t="s">
        <v>4341</v>
      </c>
      <c r="D164" s="813" t="str">
        <f>IF(CNSIPEE_2024_M2_Secc6!D110="","",CNSIPEE_2024_M2_Secc6!D110)</f>
        <v/>
      </c>
      <c r="E164" s="814"/>
      <c r="F164" s="814"/>
      <c r="G164" s="814"/>
      <c r="H164" s="815"/>
      <c r="I164" s="88"/>
      <c r="J164" s="88"/>
      <c r="K164" s="88"/>
      <c r="L164" s="88"/>
      <c r="M164" s="88"/>
      <c r="N164" s="88"/>
      <c r="O164" s="88"/>
      <c r="P164" s="88"/>
      <c r="Q164" s="88"/>
      <c r="R164" s="88"/>
      <c r="S164" s="88"/>
      <c r="T164" s="88"/>
      <c r="U164" s="88"/>
      <c r="V164" s="88"/>
      <c r="W164" s="88"/>
      <c r="X164" s="88"/>
      <c r="Y164" s="88"/>
      <c r="Z164" s="88"/>
      <c r="AA164" s="88"/>
      <c r="AB164" s="88"/>
      <c r="AC164" s="88"/>
      <c r="AD164" s="88"/>
      <c r="AG164">
        <f t="shared" si="24"/>
        <v>0</v>
      </c>
      <c r="AH164">
        <f t="shared" si="25"/>
        <v>0</v>
      </c>
      <c r="AI164">
        <f t="shared" si="26"/>
        <v>0</v>
      </c>
      <c r="AJ164">
        <f t="shared" si="27"/>
        <v>0</v>
      </c>
      <c r="AK164">
        <f t="shared" si="28"/>
        <v>0</v>
      </c>
      <c r="AL164">
        <f t="shared" si="29"/>
        <v>0</v>
      </c>
      <c r="AM164">
        <f t="shared" si="30"/>
        <v>0</v>
      </c>
      <c r="AN164">
        <f t="shared" si="31"/>
        <v>0</v>
      </c>
      <c r="AO164">
        <f t="shared" si="32"/>
        <v>0</v>
      </c>
      <c r="AP164">
        <f t="shared" si="33"/>
        <v>0</v>
      </c>
    </row>
    <row r="165" spans="1:42">
      <c r="A165" s="49"/>
      <c r="B165" s="54"/>
      <c r="C165" s="44" t="s">
        <v>4342</v>
      </c>
      <c r="D165" s="813" t="str">
        <f>IF(CNSIPEE_2024_M2_Secc6!D111="","",CNSIPEE_2024_M2_Secc6!D111)</f>
        <v/>
      </c>
      <c r="E165" s="814"/>
      <c r="F165" s="814"/>
      <c r="G165" s="814"/>
      <c r="H165" s="815"/>
      <c r="I165" s="88"/>
      <c r="J165" s="88"/>
      <c r="K165" s="88"/>
      <c r="L165" s="88"/>
      <c r="M165" s="88"/>
      <c r="N165" s="88"/>
      <c r="O165" s="88"/>
      <c r="P165" s="88"/>
      <c r="Q165" s="88"/>
      <c r="R165" s="88"/>
      <c r="S165" s="88"/>
      <c r="T165" s="88"/>
      <c r="U165" s="88"/>
      <c r="V165" s="88"/>
      <c r="W165" s="88"/>
      <c r="X165" s="88"/>
      <c r="Y165" s="88"/>
      <c r="Z165" s="88"/>
      <c r="AA165" s="88"/>
      <c r="AB165" s="88"/>
      <c r="AC165" s="88"/>
      <c r="AD165" s="88"/>
      <c r="AG165">
        <f t="shared" si="24"/>
        <v>0</v>
      </c>
      <c r="AH165">
        <f t="shared" si="25"/>
        <v>0</v>
      </c>
      <c r="AI165">
        <f t="shared" si="26"/>
        <v>0</v>
      </c>
      <c r="AJ165">
        <f t="shared" si="27"/>
        <v>0</v>
      </c>
      <c r="AK165">
        <f t="shared" si="28"/>
        <v>0</v>
      </c>
      <c r="AL165">
        <f t="shared" si="29"/>
        <v>0</v>
      </c>
      <c r="AM165">
        <f t="shared" si="30"/>
        <v>0</v>
      </c>
      <c r="AN165">
        <f t="shared" si="31"/>
        <v>0</v>
      </c>
      <c r="AO165">
        <f t="shared" si="32"/>
        <v>0</v>
      </c>
      <c r="AP165">
        <f t="shared" si="33"/>
        <v>0</v>
      </c>
    </row>
    <row r="166" spans="1:42">
      <c r="A166" s="49"/>
      <c r="B166" s="54"/>
      <c r="C166" s="44" t="s">
        <v>4343</v>
      </c>
      <c r="D166" s="813" t="str">
        <f>IF(CNSIPEE_2024_M2_Secc6!D112="","",CNSIPEE_2024_M2_Secc6!D112)</f>
        <v/>
      </c>
      <c r="E166" s="814"/>
      <c r="F166" s="814"/>
      <c r="G166" s="814"/>
      <c r="H166" s="815"/>
      <c r="I166" s="88"/>
      <c r="J166" s="88"/>
      <c r="K166" s="88"/>
      <c r="L166" s="88"/>
      <c r="M166" s="88"/>
      <c r="N166" s="88"/>
      <c r="O166" s="88"/>
      <c r="P166" s="88"/>
      <c r="Q166" s="88"/>
      <c r="R166" s="88"/>
      <c r="S166" s="88"/>
      <c r="T166" s="88"/>
      <c r="U166" s="88"/>
      <c r="V166" s="88"/>
      <c r="W166" s="88"/>
      <c r="X166" s="88"/>
      <c r="Y166" s="88"/>
      <c r="Z166" s="88"/>
      <c r="AA166" s="88"/>
      <c r="AB166" s="88"/>
      <c r="AC166" s="88"/>
      <c r="AD166" s="88"/>
      <c r="AG166">
        <f t="shared" si="24"/>
        <v>0</v>
      </c>
      <c r="AH166">
        <f t="shared" si="25"/>
        <v>0</v>
      </c>
      <c r="AI166">
        <f t="shared" si="26"/>
        <v>0</v>
      </c>
      <c r="AJ166">
        <f t="shared" si="27"/>
        <v>0</v>
      </c>
      <c r="AK166">
        <f t="shared" si="28"/>
        <v>0</v>
      </c>
      <c r="AL166">
        <f t="shared" si="29"/>
        <v>0</v>
      </c>
      <c r="AM166">
        <f t="shared" si="30"/>
        <v>0</v>
      </c>
      <c r="AN166">
        <f t="shared" si="31"/>
        <v>0</v>
      </c>
      <c r="AO166">
        <f t="shared" si="32"/>
        <v>0</v>
      </c>
      <c r="AP166">
        <f t="shared" si="33"/>
        <v>0</v>
      </c>
    </row>
    <row r="167" spans="1:42">
      <c r="A167" s="49"/>
      <c r="B167" s="54"/>
      <c r="C167" s="44" t="s">
        <v>4344</v>
      </c>
      <c r="D167" s="813" t="str">
        <f>IF(CNSIPEE_2024_M2_Secc6!D113="","",CNSIPEE_2024_M2_Secc6!D113)</f>
        <v/>
      </c>
      <c r="E167" s="814"/>
      <c r="F167" s="814"/>
      <c r="G167" s="814"/>
      <c r="H167" s="815"/>
      <c r="I167" s="88"/>
      <c r="J167" s="88"/>
      <c r="K167" s="88"/>
      <c r="L167" s="88"/>
      <c r="M167" s="88"/>
      <c r="N167" s="88"/>
      <c r="O167" s="88"/>
      <c r="P167" s="88"/>
      <c r="Q167" s="88"/>
      <c r="R167" s="88"/>
      <c r="S167" s="88"/>
      <c r="T167" s="88"/>
      <c r="U167" s="88"/>
      <c r="V167" s="88"/>
      <c r="W167" s="88"/>
      <c r="X167" s="88"/>
      <c r="Y167" s="88"/>
      <c r="Z167" s="88"/>
      <c r="AA167" s="88"/>
      <c r="AB167" s="88"/>
      <c r="AC167" s="88"/>
      <c r="AD167" s="88"/>
      <c r="AG167">
        <f t="shared" si="24"/>
        <v>0</v>
      </c>
      <c r="AH167">
        <f t="shared" si="25"/>
        <v>0</v>
      </c>
      <c r="AI167">
        <f t="shared" si="26"/>
        <v>0</v>
      </c>
      <c r="AJ167">
        <f t="shared" si="27"/>
        <v>0</v>
      </c>
      <c r="AK167">
        <f t="shared" si="28"/>
        <v>0</v>
      </c>
      <c r="AL167">
        <f t="shared" si="29"/>
        <v>0</v>
      </c>
      <c r="AM167">
        <f t="shared" si="30"/>
        <v>0</v>
      </c>
      <c r="AN167">
        <f t="shared" si="31"/>
        <v>0</v>
      </c>
      <c r="AO167">
        <f t="shared" si="32"/>
        <v>0</v>
      </c>
      <c r="AP167">
        <f t="shared" si="33"/>
        <v>0</v>
      </c>
    </row>
    <row r="168" spans="1:42" ht="15.75">
      <c r="A168" s="49"/>
      <c r="B168" s="54"/>
      <c r="C168" s="794" t="str">
        <f>IF(OR(BD114&gt;0,BF114&gt;0,BH114&gt;0,BJ114&gt;0),"Favor de ingresar una fecha válida y/o verifique que el formato solicitado esté correcto","")</f>
        <v/>
      </c>
      <c r="D168" s="794"/>
      <c r="E168" s="794"/>
      <c r="F168" s="794"/>
      <c r="G168" s="794"/>
      <c r="H168" s="794"/>
      <c r="I168" s="794"/>
      <c r="J168" s="794"/>
      <c r="K168" s="794"/>
      <c r="L168" s="794"/>
      <c r="M168" s="794"/>
      <c r="N168" s="794"/>
      <c r="O168" s="794"/>
      <c r="P168" s="794"/>
      <c r="Q168" s="794"/>
      <c r="R168" s="794"/>
      <c r="S168" s="794"/>
      <c r="T168" s="794"/>
      <c r="U168" s="794"/>
      <c r="V168" s="794"/>
      <c r="W168" s="794"/>
      <c r="X168" s="794"/>
      <c r="Y168" s="794"/>
      <c r="Z168" s="794"/>
      <c r="AA168" s="794"/>
      <c r="AB168" s="794"/>
      <c r="AC168" s="794"/>
      <c r="AD168" s="794"/>
      <c r="AE168" s="794"/>
      <c r="AL168" s="552">
        <f>SUM(AL118:AL167)</f>
        <v>0</v>
      </c>
      <c r="AM168" s="553">
        <f>SUM(AM118:AM167)</f>
        <v>0</v>
      </c>
      <c r="AN168" s="554">
        <f>SUM(AN118:AN167)</f>
        <v>0</v>
      </c>
      <c r="AO168" s="555">
        <f t="shared" ref="AO168" si="34">SUM(AO118:AO167)</f>
        <v>0</v>
      </c>
      <c r="AP168" s="556">
        <f>SUM(AP118:AP167)</f>
        <v>0</v>
      </c>
    </row>
    <row r="169" spans="1:42" ht="45" customHeight="1">
      <c r="A169" s="49"/>
      <c r="B169" s="54"/>
      <c r="C169" s="822" t="s">
        <v>4355</v>
      </c>
      <c r="D169" s="967"/>
      <c r="E169" s="967"/>
      <c r="F169" s="1060"/>
      <c r="G169" s="1060"/>
      <c r="H169" s="1060"/>
      <c r="I169" s="1060"/>
      <c r="J169" s="1060"/>
      <c r="K169" s="1060"/>
      <c r="L169" s="1060"/>
      <c r="M169" s="1060"/>
      <c r="N169" s="1060"/>
      <c r="O169" s="1060"/>
      <c r="P169" s="1060"/>
      <c r="Q169" s="1060"/>
      <c r="R169" s="1060"/>
      <c r="S169" s="1060"/>
      <c r="T169" s="1060"/>
      <c r="U169" s="1060"/>
      <c r="V169" s="1060"/>
      <c r="W169" s="1060"/>
      <c r="X169" s="1060"/>
      <c r="Y169" s="1060"/>
      <c r="Z169" s="1060"/>
      <c r="AA169" s="1060"/>
      <c r="AB169" s="1060"/>
      <c r="AC169" s="1060"/>
      <c r="AD169" s="1060"/>
    </row>
    <row r="170" spans="1:42">
      <c r="A170" s="49"/>
      <c r="B170" s="794" t="str">
        <f>IF(AND(BB64&gt;0,F169=""),"Debido a que seleccionó el código 4 en la col. Tipo de instrumento regulatorio debe anotar el nombre de dicho(s) tipo(s) de instrumento(s)","")</f>
        <v/>
      </c>
      <c r="C170" s="794"/>
      <c r="D170" s="794"/>
      <c r="E170" s="794"/>
      <c r="F170" s="794"/>
      <c r="G170" s="794"/>
      <c r="H170" s="794"/>
      <c r="I170" s="794"/>
      <c r="J170" s="794"/>
      <c r="K170" s="794"/>
      <c r="L170" s="794"/>
      <c r="M170" s="794"/>
      <c r="N170" s="794"/>
      <c r="O170" s="794"/>
      <c r="P170" s="794"/>
      <c r="Q170" s="794"/>
      <c r="R170" s="794"/>
      <c r="S170" s="794"/>
      <c r="T170" s="794"/>
      <c r="U170" s="794"/>
      <c r="V170" s="794"/>
      <c r="W170" s="794"/>
      <c r="X170" s="794"/>
      <c r="Y170" s="794"/>
      <c r="Z170" s="794"/>
      <c r="AA170" s="794"/>
      <c r="AB170" s="794"/>
      <c r="AC170" s="794"/>
      <c r="AD170" s="794"/>
      <c r="AE170" s="794"/>
    </row>
    <row r="171" spans="1:42" ht="45" customHeight="1">
      <c r="A171" s="49"/>
      <c r="B171" s="54"/>
      <c r="C171" s="822" t="s">
        <v>4356</v>
      </c>
      <c r="D171" s="822"/>
      <c r="E171" s="822"/>
      <c r="F171" s="1060"/>
      <c r="G171" s="1060"/>
      <c r="H171" s="1060"/>
      <c r="I171" s="1060"/>
      <c r="J171" s="1060"/>
      <c r="K171" s="1060"/>
      <c r="L171" s="1060"/>
      <c r="M171" s="1060"/>
      <c r="N171" s="1060"/>
      <c r="O171" s="1060"/>
      <c r="P171" s="1060"/>
      <c r="Q171" s="1060"/>
      <c r="R171" s="1060"/>
      <c r="S171" s="1060"/>
      <c r="T171" s="1060"/>
      <c r="U171" s="1060"/>
      <c r="V171" s="1060"/>
      <c r="W171" s="1060"/>
      <c r="X171" s="1060"/>
      <c r="Y171" s="1060"/>
      <c r="Z171" s="1060"/>
      <c r="AA171" s="1060"/>
      <c r="AB171" s="1060"/>
      <c r="AC171" s="1060"/>
      <c r="AD171" s="1060"/>
    </row>
    <row r="172" spans="1:42">
      <c r="A172" s="49"/>
      <c r="B172" s="794" t="str">
        <f>IF(AND(BB66&gt;0,F171=""),"Debido a que seleccionó el código 21 en la col. Funciones, atribuciones debe anotar el nombre de dicha(s) función(es), atribución(es)","")</f>
        <v/>
      </c>
      <c r="C172" s="794"/>
      <c r="D172" s="794"/>
      <c r="E172" s="794"/>
      <c r="F172" s="794"/>
      <c r="G172" s="794"/>
      <c r="H172" s="794"/>
      <c r="I172" s="794"/>
      <c r="J172" s="794"/>
      <c r="K172" s="794"/>
      <c r="L172" s="794"/>
      <c r="M172" s="794"/>
      <c r="N172" s="794"/>
      <c r="O172" s="794"/>
      <c r="P172" s="794"/>
      <c r="Q172" s="794"/>
      <c r="R172" s="794"/>
      <c r="S172" s="794"/>
      <c r="T172" s="794"/>
      <c r="U172" s="794"/>
      <c r="V172" s="794"/>
      <c r="W172" s="794"/>
      <c r="X172" s="794"/>
      <c r="Y172" s="794"/>
      <c r="Z172" s="794"/>
      <c r="AA172" s="794"/>
      <c r="AB172" s="794"/>
      <c r="AC172" s="794"/>
      <c r="AD172" s="794"/>
      <c r="AE172" s="794"/>
    </row>
    <row r="173" spans="1:42">
      <c r="A173" s="49"/>
      <c r="B173" s="54"/>
      <c r="C173" s="54"/>
      <c r="D173" s="54"/>
      <c r="E173" s="54"/>
      <c r="F173" s="54"/>
      <c r="G173" s="54"/>
      <c r="H173" s="54"/>
      <c r="I173" s="54"/>
      <c r="J173" s="54"/>
      <c r="K173" s="54"/>
      <c r="L173" s="54"/>
      <c r="M173" s="54"/>
      <c r="N173" s="54"/>
      <c r="O173" s="54"/>
      <c r="P173" s="54"/>
      <c r="Q173" s="54"/>
      <c r="R173" s="54"/>
      <c r="S173" s="54"/>
      <c r="T173" s="54"/>
      <c r="U173" s="54"/>
      <c r="V173" s="54"/>
      <c r="W173" s="54"/>
      <c r="X173" s="54"/>
      <c r="Y173" s="54"/>
      <c r="Z173" s="54"/>
      <c r="AA173" s="54"/>
      <c r="AB173" s="54"/>
      <c r="AC173" s="54"/>
      <c r="AD173" s="54"/>
    </row>
    <row r="174" spans="1:42" ht="15" customHeight="1">
      <c r="A174" s="168"/>
      <c r="C174" s="739" t="s">
        <v>4357</v>
      </c>
      <c r="D174" s="740"/>
      <c r="E174" s="740"/>
      <c r="F174" s="740"/>
      <c r="G174" s="740"/>
      <c r="H174" s="740"/>
      <c r="I174" s="740"/>
      <c r="J174" s="740"/>
      <c r="K174" s="740"/>
      <c r="L174" s="741"/>
      <c r="N174" s="732" t="s">
        <v>4358</v>
      </c>
      <c r="O174" s="732"/>
      <c r="P174" s="732"/>
      <c r="Q174" s="732"/>
      <c r="R174" s="732"/>
      <c r="S174" s="732"/>
      <c r="T174" s="732"/>
      <c r="U174" s="732"/>
      <c r="V174" s="732"/>
      <c r="W174" s="732"/>
      <c r="X174" s="732"/>
      <c r="Y174" s="732"/>
      <c r="Z174" s="732"/>
      <c r="AA174" s="732"/>
      <c r="AB174" s="732"/>
      <c r="AC174" s="732"/>
      <c r="AD174" s="732"/>
    </row>
    <row r="175" spans="1:42" ht="15" customHeight="1">
      <c r="A175" s="168"/>
      <c r="C175" s="44" t="s">
        <v>2516</v>
      </c>
      <c r="D175" s="1064" t="s">
        <v>4359</v>
      </c>
      <c r="E175" s="1064"/>
      <c r="F175" s="1064"/>
      <c r="G175" s="1064"/>
      <c r="H175" s="1064"/>
      <c r="I175" s="1064"/>
      <c r="J175" s="1064"/>
      <c r="K175" s="1064"/>
      <c r="L175" s="1064"/>
      <c r="N175" s="44" t="s">
        <v>2516</v>
      </c>
      <c r="O175" s="1064" t="s">
        <v>4360</v>
      </c>
      <c r="P175" s="1064"/>
      <c r="Q175" s="1064"/>
      <c r="R175" s="1064"/>
      <c r="S175" s="1064"/>
      <c r="T175" s="1064"/>
      <c r="U175" s="1064"/>
      <c r="V175" s="1064"/>
      <c r="W175" s="1064"/>
      <c r="X175" s="1064"/>
      <c r="Y175" s="1064"/>
      <c r="Z175" s="1064"/>
      <c r="AA175" s="1064"/>
      <c r="AB175" s="1064"/>
      <c r="AC175" s="1064"/>
      <c r="AD175" s="1064"/>
    </row>
    <row r="176" spans="1:42" ht="24" customHeight="1">
      <c r="A176" s="168"/>
      <c r="C176" s="44" t="s">
        <v>2517</v>
      </c>
      <c r="D176" s="1064" t="s">
        <v>4361</v>
      </c>
      <c r="E176" s="1064"/>
      <c r="F176" s="1064"/>
      <c r="G176" s="1064"/>
      <c r="H176" s="1064"/>
      <c r="I176" s="1064"/>
      <c r="J176" s="1064"/>
      <c r="K176" s="1064"/>
      <c r="L176" s="1064"/>
      <c r="N176" s="44" t="s">
        <v>2517</v>
      </c>
      <c r="O176" s="1064" t="s">
        <v>4362</v>
      </c>
      <c r="P176" s="1064"/>
      <c r="Q176" s="1064"/>
      <c r="R176" s="1064"/>
      <c r="S176" s="1064"/>
      <c r="T176" s="1064"/>
      <c r="U176" s="1064"/>
      <c r="V176" s="1064"/>
      <c r="W176" s="1064"/>
      <c r="X176" s="1064"/>
      <c r="Y176" s="1064"/>
      <c r="Z176" s="1064"/>
      <c r="AA176" s="1064"/>
      <c r="AB176" s="1064"/>
      <c r="AC176" s="1064"/>
      <c r="AD176" s="1064"/>
    </row>
    <row r="177" spans="1:30" ht="24" customHeight="1">
      <c r="A177" s="168"/>
      <c r="C177" s="44" t="s">
        <v>2518</v>
      </c>
      <c r="D177" s="1064" t="s">
        <v>4363</v>
      </c>
      <c r="E177" s="1064"/>
      <c r="F177" s="1064"/>
      <c r="G177" s="1064"/>
      <c r="H177" s="1064"/>
      <c r="I177" s="1064"/>
      <c r="J177" s="1064"/>
      <c r="K177" s="1064"/>
      <c r="L177" s="1064"/>
      <c r="N177" s="44" t="s">
        <v>2518</v>
      </c>
      <c r="O177" s="1064" t="s">
        <v>4364</v>
      </c>
      <c r="P177" s="1064"/>
      <c r="Q177" s="1064"/>
      <c r="R177" s="1064"/>
      <c r="S177" s="1064"/>
      <c r="T177" s="1064"/>
      <c r="U177" s="1064"/>
      <c r="V177" s="1064"/>
      <c r="W177" s="1064"/>
      <c r="X177" s="1064"/>
      <c r="Y177" s="1064"/>
      <c r="Z177" s="1064"/>
      <c r="AA177" s="1064"/>
      <c r="AB177" s="1064"/>
      <c r="AC177" s="1064"/>
      <c r="AD177" s="1064"/>
    </row>
    <row r="178" spans="1:30" ht="24" customHeight="1">
      <c r="A178" s="168"/>
      <c r="C178" s="44" t="s">
        <v>2519</v>
      </c>
      <c r="D178" s="1064" t="s">
        <v>2609</v>
      </c>
      <c r="E178" s="1064"/>
      <c r="F178" s="1064"/>
      <c r="G178" s="1064"/>
      <c r="H178" s="1064"/>
      <c r="I178" s="1064"/>
      <c r="J178" s="1064"/>
      <c r="K178" s="1064"/>
      <c r="L178" s="1064"/>
      <c r="N178" s="44" t="s">
        <v>2519</v>
      </c>
      <c r="O178" s="1064" t="s">
        <v>4365</v>
      </c>
      <c r="P178" s="1064"/>
      <c r="Q178" s="1064"/>
      <c r="R178" s="1064"/>
      <c r="S178" s="1064"/>
      <c r="T178" s="1064"/>
      <c r="U178" s="1064"/>
      <c r="V178" s="1064"/>
      <c r="W178" s="1064"/>
      <c r="X178" s="1064"/>
      <c r="Y178" s="1064"/>
      <c r="Z178" s="1064"/>
      <c r="AA178" s="1064"/>
      <c r="AB178" s="1064"/>
      <c r="AC178" s="1064"/>
      <c r="AD178" s="1064"/>
    </row>
    <row r="179" spans="1:30" ht="24" customHeight="1">
      <c r="A179" s="168"/>
      <c r="C179" s="44" t="s">
        <v>2524</v>
      </c>
      <c r="D179" s="1064" t="s">
        <v>201</v>
      </c>
      <c r="E179" s="1064"/>
      <c r="F179" s="1064"/>
      <c r="G179" s="1064"/>
      <c r="H179" s="1064"/>
      <c r="I179" s="1064"/>
      <c r="J179" s="1064"/>
      <c r="K179" s="1064"/>
      <c r="L179" s="1064"/>
      <c r="N179" s="44" t="s">
        <v>2520</v>
      </c>
      <c r="O179" s="1064" t="s">
        <v>4366</v>
      </c>
      <c r="P179" s="1064"/>
      <c r="Q179" s="1064"/>
      <c r="R179" s="1064"/>
      <c r="S179" s="1064"/>
      <c r="T179" s="1064"/>
      <c r="U179" s="1064"/>
      <c r="V179" s="1064"/>
      <c r="W179" s="1064"/>
      <c r="X179" s="1064"/>
      <c r="Y179" s="1064"/>
      <c r="Z179" s="1064"/>
      <c r="AA179" s="1064"/>
      <c r="AB179" s="1064"/>
      <c r="AC179" s="1064"/>
      <c r="AD179" s="1064"/>
    </row>
    <row r="180" spans="1:30" ht="24" customHeight="1">
      <c r="A180" s="168"/>
      <c r="C180" s="70"/>
      <c r="D180" s="1"/>
      <c r="E180" s="1"/>
      <c r="F180" s="1"/>
      <c r="G180" s="1"/>
      <c r="H180" s="1"/>
      <c r="N180" s="44" t="s">
        <v>2521</v>
      </c>
      <c r="O180" s="1064" t="s">
        <v>4367</v>
      </c>
      <c r="P180" s="1064"/>
      <c r="Q180" s="1064"/>
      <c r="R180" s="1064"/>
      <c r="S180" s="1064"/>
      <c r="T180" s="1064"/>
      <c r="U180" s="1064"/>
      <c r="V180" s="1064"/>
      <c r="W180" s="1064"/>
      <c r="X180" s="1064"/>
      <c r="Y180" s="1064"/>
      <c r="Z180" s="1064"/>
      <c r="AA180" s="1064"/>
      <c r="AB180" s="1064"/>
      <c r="AC180" s="1064"/>
      <c r="AD180" s="1064"/>
    </row>
    <row r="181" spans="1:30" ht="15" customHeight="1">
      <c r="A181" s="168"/>
      <c r="N181" s="44" t="s">
        <v>2522</v>
      </c>
      <c r="O181" s="1064" t="s">
        <v>4368</v>
      </c>
      <c r="P181" s="1064"/>
      <c r="Q181" s="1064"/>
      <c r="R181" s="1064"/>
      <c r="S181" s="1064"/>
      <c r="T181" s="1064"/>
      <c r="U181" s="1064"/>
      <c r="V181" s="1064"/>
      <c r="W181" s="1064"/>
      <c r="X181" s="1064"/>
      <c r="Y181" s="1064"/>
      <c r="Z181" s="1064"/>
      <c r="AA181" s="1064"/>
      <c r="AB181" s="1064"/>
      <c r="AC181" s="1064"/>
      <c r="AD181" s="1064"/>
    </row>
    <row r="182" spans="1:30" ht="15" customHeight="1">
      <c r="A182" s="168"/>
      <c r="N182" s="44" t="s">
        <v>2523</v>
      </c>
      <c r="O182" s="1064" t="s">
        <v>4369</v>
      </c>
      <c r="P182" s="1064"/>
      <c r="Q182" s="1064"/>
      <c r="R182" s="1064"/>
      <c r="S182" s="1064"/>
      <c r="T182" s="1064"/>
      <c r="U182" s="1064"/>
      <c r="V182" s="1064"/>
      <c r="W182" s="1064"/>
      <c r="X182" s="1064"/>
      <c r="Y182" s="1064"/>
      <c r="Z182" s="1064"/>
      <c r="AA182" s="1064"/>
      <c r="AB182" s="1064"/>
      <c r="AC182" s="1064"/>
      <c r="AD182" s="1064"/>
    </row>
    <row r="183" spans="1:30" ht="15" customHeight="1">
      <c r="A183" s="168"/>
      <c r="N183" s="44" t="s">
        <v>2524</v>
      </c>
      <c r="O183" s="1064" t="s">
        <v>4370</v>
      </c>
      <c r="P183" s="1064"/>
      <c r="Q183" s="1064"/>
      <c r="R183" s="1064"/>
      <c r="S183" s="1064"/>
      <c r="T183" s="1064"/>
      <c r="U183" s="1064"/>
      <c r="V183" s="1064"/>
      <c r="W183" s="1064"/>
      <c r="X183" s="1064"/>
      <c r="Y183" s="1064"/>
      <c r="Z183" s="1064"/>
      <c r="AA183" s="1064"/>
      <c r="AB183" s="1064"/>
      <c r="AC183" s="1064"/>
      <c r="AD183" s="1064"/>
    </row>
    <row r="184" spans="1:30" ht="24" customHeight="1">
      <c r="A184" s="168"/>
      <c r="N184" s="44" t="s">
        <v>2525</v>
      </c>
      <c r="O184" s="1065" t="s">
        <v>4371</v>
      </c>
      <c r="P184" s="1066"/>
      <c r="Q184" s="1066"/>
      <c r="R184" s="1066"/>
      <c r="S184" s="1066"/>
      <c r="T184" s="1066"/>
      <c r="U184" s="1066"/>
      <c r="V184" s="1066"/>
      <c r="W184" s="1066"/>
      <c r="X184" s="1066"/>
      <c r="Y184" s="1066"/>
      <c r="Z184" s="1066"/>
      <c r="AA184" s="1066"/>
      <c r="AB184" s="1066"/>
      <c r="AC184" s="1066"/>
      <c r="AD184" s="1067"/>
    </row>
    <row r="185" spans="1:30" ht="24" customHeight="1">
      <c r="A185" s="168"/>
      <c r="N185" s="44" t="s">
        <v>2526</v>
      </c>
      <c r="O185" s="1065" t="s">
        <v>4372</v>
      </c>
      <c r="P185" s="1066"/>
      <c r="Q185" s="1066"/>
      <c r="R185" s="1066"/>
      <c r="S185" s="1066"/>
      <c r="T185" s="1066"/>
      <c r="U185" s="1066"/>
      <c r="V185" s="1066"/>
      <c r="W185" s="1066"/>
      <c r="X185" s="1066"/>
      <c r="Y185" s="1066"/>
      <c r="Z185" s="1066"/>
      <c r="AA185" s="1066"/>
      <c r="AB185" s="1066"/>
      <c r="AC185" s="1066"/>
      <c r="AD185" s="1067"/>
    </row>
    <row r="186" spans="1:30" ht="24" customHeight="1">
      <c r="A186" s="168"/>
      <c r="N186" s="44" t="s">
        <v>2527</v>
      </c>
      <c r="O186" s="1065" t="s">
        <v>4373</v>
      </c>
      <c r="P186" s="1066"/>
      <c r="Q186" s="1066"/>
      <c r="R186" s="1066"/>
      <c r="S186" s="1066"/>
      <c r="T186" s="1066"/>
      <c r="U186" s="1066"/>
      <c r="V186" s="1066"/>
      <c r="W186" s="1066"/>
      <c r="X186" s="1066"/>
      <c r="Y186" s="1066"/>
      <c r="Z186" s="1066"/>
      <c r="AA186" s="1066"/>
      <c r="AB186" s="1066"/>
      <c r="AC186" s="1066"/>
      <c r="AD186" s="1067"/>
    </row>
    <row r="187" spans="1:30" ht="24" customHeight="1">
      <c r="A187" s="168"/>
      <c r="N187" s="44" t="s">
        <v>2528</v>
      </c>
      <c r="O187" s="1065" t="s">
        <v>4374</v>
      </c>
      <c r="P187" s="1066"/>
      <c r="Q187" s="1066"/>
      <c r="R187" s="1066"/>
      <c r="S187" s="1066"/>
      <c r="T187" s="1066"/>
      <c r="U187" s="1066"/>
      <c r="V187" s="1066"/>
      <c r="W187" s="1066"/>
      <c r="X187" s="1066"/>
      <c r="Y187" s="1066"/>
      <c r="Z187" s="1066"/>
      <c r="AA187" s="1066"/>
      <c r="AB187" s="1066"/>
      <c r="AC187" s="1066"/>
      <c r="AD187" s="1067"/>
    </row>
    <row r="188" spans="1:30" ht="15" customHeight="1">
      <c r="A188" s="168"/>
      <c r="N188" s="44" t="s">
        <v>2529</v>
      </c>
      <c r="O188" s="1064" t="s">
        <v>4375</v>
      </c>
      <c r="P188" s="1064"/>
      <c r="Q188" s="1064"/>
      <c r="R188" s="1064"/>
      <c r="S188" s="1064"/>
      <c r="T188" s="1064"/>
      <c r="U188" s="1064"/>
      <c r="V188" s="1064"/>
      <c r="W188" s="1064"/>
      <c r="X188" s="1064"/>
      <c r="Y188" s="1064"/>
      <c r="Z188" s="1064"/>
      <c r="AA188" s="1064"/>
      <c r="AB188" s="1064"/>
      <c r="AC188" s="1064"/>
      <c r="AD188" s="1064"/>
    </row>
    <row r="189" spans="1:30" ht="24" customHeight="1">
      <c r="A189" s="168"/>
      <c r="N189" s="44" t="s">
        <v>2530</v>
      </c>
      <c r="O189" s="1064" t="s">
        <v>4376</v>
      </c>
      <c r="P189" s="1064"/>
      <c r="Q189" s="1064"/>
      <c r="R189" s="1064"/>
      <c r="S189" s="1064"/>
      <c r="T189" s="1064"/>
      <c r="U189" s="1064"/>
      <c r="V189" s="1064"/>
      <c r="W189" s="1064"/>
      <c r="X189" s="1064"/>
      <c r="Y189" s="1064"/>
      <c r="Z189" s="1064"/>
      <c r="AA189" s="1064"/>
      <c r="AB189" s="1064"/>
      <c r="AC189" s="1064"/>
      <c r="AD189" s="1064"/>
    </row>
    <row r="190" spans="1:30" ht="15" customHeight="1">
      <c r="A190" s="169"/>
      <c r="B190" s="90"/>
      <c r="M190" s="90"/>
      <c r="N190" s="44" t="s">
        <v>2531</v>
      </c>
      <c r="O190" s="1064" t="s">
        <v>4377</v>
      </c>
      <c r="P190" s="1064"/>
      <c r="Q190" s="1064"/>
      <c r="R190" s="1064"/>
      <c r="S190" s="1064"/>
      <c r="T190" s="1064"/>
      <c r="U190" s="1064"/>
      <c r="V190" s="1064"/>
      <c r="W190" s="1064"/>
      <c r="X190" s="1064"/>
      <c r="Y190" s="1064"/>
      <c r="Z190" s="1064"/>
      <c r="AA190" s="1064"/>
      <c r="AB190" s="1064"/>
      <c r="AC190" s="1064"/>
      <c r="AD190" s="1064"/>
    </row>
    <row r="191" spans="1:30" ht="24" customHeight="1">
      <c r="A191" s="168"/>
      <c r="N191" s="44" t="s">
        <v>2532</v>
      </c>
      <c r="O191" s="1065" t="s">
        <v>4378</v>
      </c>
      <c r="P191" s="1066"/>
      <c r="Q191" s="1066"/>
      <c r="R191" s="1066"/>
      <c r="S191" s="1066"/>
      <c r="T191" s="1066"/>
      <c r="U191" s="1066"/>
      <c r="V191" s="1066"/>
      <c r="W191" s="1066"/>
      <c r="X191" s="1066"/>
      <c r="Y191" s="1066"/>
      <c r="Z191" s="1066"/>
      <c r="AA191" s="1066"/>
      <c r="AB191" s="1066"/>
      <c r="AC191" s="1066"/>
      <c r="AD191" s="1067"/>
    </row>
    <row r="192" spans="1:30" ht="15" customHeight="1">
      <c r="A192" s="168"/>
      <c r="N192" s="44" t="s">
        <v>2533</v>
      </c>
      <c r="O192" s="1065" t="s">
        <v>4379</v>
      </c>
      <c r="P192" s="1066"/>
      <c r="Q192" s="1066"/>
      <c r="R192" s="1066"/>
      <c r="S192" s="1066"/>
      <c r="T192" s="1066"/>
      <c r="U192" s="1066"/>
      <c r="V192" s="1066"/>
      <c r="W192" s="1066"/>
      <c r="X192" s="1066"/>
      <c r="Y192" s="1066"/>
      <c r="Z192" s="1066"/>
      <c r="AA192" s="1066"/>
      <c r="AB192" s="1066"/>
      <c r="AC192" s="1066"/>
      <c r="AD192" s="1067"/>
    </row>
    <row r="193" spans="1:31" ht="36" customHeight="1">
      <c r="A193" s="168"/>
      <c r="N193" s="167" t="s">
        <v>2534</v>
      </c>
      <c r="O193" s="1065" t="s">
        <v>4380</v>
      </c>
      <c r="P193" s="1066"/>
      <c r="Q193" s="1066"/>
      <c r="R193" s="1066"/>
      <c r="S193" s="1066"/>
      <c r="T193" s="1066"/>
      <c r="U193" s="1066"/>
      <c r="V193" s="1066"/>
      <c r="W193" s="1066"/>
      <c r="X193" s="1066"/>
      <c r="Y193" s="1066"/>
      <c r="Z193" s="1066"/>
      <c r="AA193" s="1066"/>
      <c r="AB193" s="1066"/>
      <c r="AC193" s="1066"/>
      <c r="AD193" s="1067"/>
    </row>
    <row r="194" spans="1:31" ht="15" customHeight="1">
      <c r="A194" s="115"/>
      <c r="N194" s="44" t="s">
        <v>2535</v>
      </c>
      <c r="O194" s="1065" t="s">
        <v>4381</v>
      </c>
      <c r="P194" s="1066"/>
      <c r="Q194" s="1066"/>
      <c r="R194" s="1066"/>
      <c r="S194" s="1066"/>
      <c r="T194" s="1066"/>
      <c r="U194" s="1066"/>
      <c r="V194" s="1066"/>
      <c r="W194" s="1066"/>
      <c r="X194" s="1066"/>
      <c r="Y194" s="1066"/>
      <c r="Z194" s="1066"/>
      <c r="AA194" s="1066"/>
      <c r="AB194" s="1066"/>
      <c r="AC194" s="1066"/>
      <c r="AD194" s="1067"/>
    </row>
    <row r="195" spans="1:31" ht="15" customHeight="1">
      <c r="A195" s="115"/>
      <c r="N195" s="44" t="s">
        <v>2536</v>
      </c>
      <c r="O195" s="1065" t="s">
        <v>4382</v>
      </c>
      <c r="P195" s="1066"/>
      <c r="Q195" s="1066"/>
      <c r="R195" s="1066"/>
      <c r="S195" s="1066"/>
      <c r="T195" s="1066"/>
      <c r="U195" s="1066"/>
      <c r="V195" s="1066"/>
      <c r="W195" s="1066"/>
      <c r="X195" s="1066"/>
      <c r="Y195" s="1066"/>
      <c r="Z195" s="1066"/>
      <c r="AA195" s="1066"/>
      <c r="AB195" s="1066"/>
      <c r="AC195" s="1066"/>
      <c r="AD195" s="1067"/>
    </row>
    <row r="196" spans="1:31" ht="15" customHeight="1">
      <c r="A196" s="115"/>
      <c r="N196" s="167" t="s">
        <v>2912</v>
      </c>
      <c r="O196" s="1065" t="s">
        <v>201</v>
      </c>
      <c r="P196" s="1066"/>
      <c r="Q196" s="1066"/>
      <c r="R196" s="1066"/>
      <c r="S196" s="1066"/>
      <c r="T196" s="1066"/>
      <c r="U196" s="1066"/>
      <c r="V196" s="1066"/>
      <c r="W196" s="1066"/>
      <c r="X196" s="1066"/>
      <c r="Y196" s="1066"/>
      <c r="Z196" s="1066"/>
      <c r="AA196" s="1066"/>
      <c r="AB196" s="1066"/>
      <c r="AC196" s="1066"/>
      <c r="AD196" s="1067"/>
    </row>
    <row r="197" spans="1:31" ht="15" customHeight="1">
      <c r="A197" s="115"/>
    </row>
    <row r="198" spans="1:31" ht="24" customHeight="1">
      <c r="A198" s="50"/>
      <c r="B198" s="38"/>
      <c r="C198" s="754" t="s">
        <v>2611</v>
      </c>
      <c r="D198" s="754"/>
      <c r="E198" s="754"/>
      <c r="F198" s="754"/>
      <c r="G198" s="754"/>
      <c r="H198" s="754"/>
      <c r="I198" s="754"/>
      <c r="J198" s="754"/>
      <c r="K198" s="754"/>
      <c r="L198" s="754"/>
      <c r="M198" s="754"/>
      <c r="N198" s="754"/>
      <c r="O198" s="754"/>
      <c r="P198" s="754"/>
      <c r="Q198" s="754"/>
      <c r="R198" s="754"/>
      <c r="S198" s="754"/>
      <c r="T198" s="754"/>
      <c r="U198" s="754"/>
      <c r="V198" s="754"/>
      <c r="W198" s="754"/>
      <c r="X198" s="754"/>
      <c r="Y198" s="754"/>
      <c r="Z198" s="754"/>
      <c r="AA198" s="754"/>
      <c r="AB198" s="754"/>
      <c r="AC198" s="754"/>
      <c r="AD198" s="754"/>
    </row>
    <row r="199" spans="1:31" ht="60" customHeight="1">
      <c r="A199" s="50"/>
      <c r="B199" s="38"/>
      <c r="C199" s="949"/>
      <c r="D199" s="949"/>
      <c r="E199" s="949"/>
      <c r="F199" s="949"/>
      <c r="G199" s="949"/>
      <c r="H199" s="949"/>
      <c r="I199" s="949"/>
      <c r="J199" s="949"/>
      <c r="K199" s="949"/>
      <c r="L199" s="949"/>
      <c r="M199" s="949"/>
      <c r="N199" s="949"/>
      <c r="O199" s="949"/>
      <c r="P199" s="949"/>
      <c r="Q199" s="949"/>
      <c r="R199" s="949"/>
      <c r="S199" s="949"/>
      <c r="T199" s="949"/>
      <c r="U199" s="949"/>
      <c r="V199" s="949"/>
      <c r="W199" s="949"/>
      <c r="X199" s="949"/>
      <c r="Y199" s="949"/>
      <c r="Z199" s="949"/>
      <c r="AA199" s="949"/>
      <c r="AB199" s="949"/>
      <c r="AC199" s="949"/>
      <c r="AD199" s="949"/>
    </row>
    <row r="200" spans="1:31" ht="15" customHeight="1">
      <c r="A200" s="91"/>
      <c r="B200" s="794" t="str">
        <f>IF(AG114&gt;0,"Favor de ingresar toda la información requerida en la pregunta y/o verifique que no tenga información en celdas sombreadas","")</f>
        <v/>
      </c>
      <c r="C200" s="794"/>
      <c r="D200" s="794"/>
      <c r="E200" s="794"/>
      <c r="F200" s="794"/>
      <c r="G200" s="794"/>
      <c r="H200" s="794"/>
      <c r="I200" s="794"/>
      <c r="J200" s="794"/>
      <c r="K200" s="794"/>
      <c r="L200" s="794"/>
      <c r="M200" s="794"/>
      <c r="N200" s="794"/>
      <c r="O200" s="794"/>
      <c r="P200" s="794"/>
      <c r="Q200" s="794"/>
      <c r="R200" s="794"/>
      <c r="S200" s="794"/>
      <c r="T200" s="794"/>
      <c r="U200" s="794"/>
      <c r="V200" s="794"/>
      <c r="W200" s="794"/>
      <c r="X200" s="794"/>
      <c r="Y200" s="794"/>
      <c r="Z200" s="794"/>
      <c r="AA200" s="794"/>
      <c r="AB200" s="794"/>
      <c r="AC200" s="794"/>
      <c r="AD200" s="794"/>
      <c r="AE200"/>
    </row>
    <row r="201" spans="1:31" ht="15" customHeight="1">
      <c r="A201" s="91"/>
      <c r="B201" s="795" t="str">
        <f>IF(AH114&gt;0,"Alerta: debido a que cuenta con registros NS, debe proporcionar una justificación en el area de comentarios al final de la pregunta","")</f>
        <v/>
      </c>
      <c r="C201" s="795"/>
      <c r="D201" s="795"/>
      <c r="E201" s="795"/>
      <c r="F201" s="795"/>
      <c r="G201" s="795"/>
      <c r="H201" s="795"/>
      <c r="I201" s="795"/>
      <c r="J201" s="795"/>
      <c r="K201" s="795"/>
      <c r="L201" s="795"/>
      <c r="M201" s="795"/>
      <c r="N201" s="795"/>
      <c r="O201" s="795"/>
      <c r="P201" s="795"/>
      <c r="Q201" s="795"/>
      <c r="R201" s="795"/>
      <c r="S201" s="795"/>
      <c r="T201" s="795"/>
      <c r="U201" s="795"/>
      <c r="V201" s="795"/>
      <c r="W201" s="795"/>
      <c r="X201" s="795"/>
      <c r="Y201" s="795"/>
      <c r="Z201" s="795"/>
      <c r="AA201" s="795"/>
      <c r="AB201" s="795"/>
      <c r="AC201" s="795"/>
      <c r="AD201" s="795"/>
      <c r="AE201"/>
    </row>
    <row r="202" spans="1:31" ht="15" customHeight="1">
      <c r="A202" s="91"/>
      <c r="B202" s="794" t="str">
        <f>IF(OR(AN114=0,AT114=0),"","El nombre debe registrarse en mayúsculas, sin comillas ni signos de acentuación, puntuación, paréntesis y abreviaturas")</f>
        <v/>
      </c>
      <c r="C202" s="794"/>
      <c r="D202" s="794"/>
      <c r="E202" s="794"/>
      <c r="F202" s="794"/>
      <c r="G202" s="794"/>
      <c r="H202" s="794"/>
      <c r="I202" s="794"/>
      <c r="J202" s="794"/>
      <c r="K202" s="794"/>
      <c r="L202" s="794"/>
      <c r="M202" s="794"/>
      <c r="N202" s="794"/>
      <c r="O202" s="794"/>
      <c r="P202" s="794"/>
      <c r="Q202" s="794"/>
      <c r="R202" s="794"/>
      <c r="S202" s="794"/>
      <c r="T202" s="794"/>
      <c r="U202" s="794"/>
      <c r="V202" s="794"/>
      <c r="W202" s="794"/>
      <c r="X202" s="794"/>
      <c r="Y202" s="794"/>
      <c r="Z202" s="794"/>
      <c r="AA202" s="794"/>
      <c r="AB202" s="794"/>
      <c r="AC202" s="794"/>
      <c r="AD202" s="794"/>
      <c r="AE202"/>
    </row>
    <row r="203" spans="1:31" ht="15" customHeight="1">
      <c r="A203" s="91"/>
      <c r="B203" s="794" t="str">
        <f>IF(AU114&gt;0,"Favor de revisar la instrucción 3 y verifique que se cumplan con los criterios establecidos","")</f>
        <v/>
      </c>
      <c r="C203" s="794"/>
      <c r="D203" s="794"/>
      <c r="E203" s="794"/>
      <c r="F203" s="794"/>
      <c r="G203" s="794"/>
      <c r="H203" s="794"/>
      <c r="I203" s="794"/>
      <c r="J203" s="794"/>
      <c r="K203" s="794"/>
      <c r="L203" s="794"/>
      <c r="M203" s="794"/>
      <c r="N203" s="794"/>
      <c r="O203" s="794"/>
      <c r="P203" s="794"/>
      <c r="Q203" s="794"/>
      <c r="R203" s="794"/>
      <c r="S203" s="794"/>
      <c r="T203" s="794"/>
      <c r="U203" s="794"/>
      <c r="V203" s="794"/>
      <c r="W203" s="794"/>
      <c r="X203" s="794"/>
      <c r="Y203" s="794"/>
      <c r="Z203" s="794"/>
      <c r="AA203" s="794"/>
      <c r="AB203" s="794"/>
      <c r="AC203" s="794"/>
      <c r="AD203" s="794"/>
      <c r="AE203" s="794"/>
    </row>
    <row r="204" spans="1:31" ht="15" customHeight="1">
      <c r="A204" s="91"/>
      <c r="B204" s="795" t="str">
        <f>IF(AX114&gt;0,"Alerta: debe de proporcionar una justificación de acuerdo a lo establecido en la instrucción 9","")</f>
        <v/>
      </c>
      <c r="C204" s="795"/>
      <c r="D204" s="795"/>
      <c r="E204" s="795"/>
      <c r="F204" s="795"/>
      <c r="G204" s="795"/>
      <c r="H204" s="795"/>
      <c r="I204" s="795"/>
      <c r="J204" s="795"/>
      <c r="K204" s="795"/>
      <c r="L204" s="795"/>
      <c r="M204" s="795"/>
      <c r="N204" s="795"/>
      <c r="O204" s="795"/>
      <c r="P204" s="795"/>
      <c r="Q204" s="795"/>
      <c r="R204" s="795"/>
      <c r="S204" s="795"/>
      <c r="T204" s="795"/>
      <c r="U204" s="795"/>
      <c r="V204" s="795"/>
      <c r="W204" s="795"/>
      <c r="X204" s="795"/>
      <c r="Y204" s="795"/>
      <c r="Z204" s="795"/>
      <c r="AA204" s="795"/>
      <c r="AB204" s="795"/>
      <c r="AC204" s="795"/>
      <c r="AD204" s="795"/>
      <c r="AE204" s="795"/>
    </row>
    <row r="205" spans="1:31" ht="15" customHeight="1" thickBot="1">
      <c r="A205" s="96"/>
      <c r="B205" s="794" t="str">
        <f>IF(BA64&gt;0,"Favor de revisar la instrucción 12 y verifique que se cumplan con los criterios establecidos","")</f>
        <v/>
      </c>
      <c r="C205" s="794"/>
      <c r="D205" s="794"/>
      <c r="E205" s="794"/>
      <c r="F205" s="794"/>
      <c r="G205" s="794"/>
      <c r="H205" s="794"/>
      <c r="I205" s="794"/>
      <c r="J205" s="794"/>
      <c r="K205" s="794"/>
      <c r="L205" s="794"/>
      <c r="M205" s="794"/>
      <c r="N205" s="794"/>
      <c r="O205" s="794"/>
      <c r="P205" s="794"/>
      <c r="Q205" s="794"/>
      <c r="R205" s="794"/>
      <c r="S205" s="794"/>
      <c r="T205" s="794"/>
      <c r="U205" s="794"/>
      <c r="V205" s="794"/>
      <c r="W205" s="794"/>
      <c r="X205" s="794"/>
      <c r="Y205" s="794"/>
      <c r="Z205" s="794"/>
      <c r="AA205" s="794"/>
      <c r="AB205" s="794"/>
      <c r="AC205" s="794"/>
      <c r="AD205" s="794"/>
      <c r="AE205" s="794"/>
    </row>
    <row r="206" spans="1:31" customFormat="1" ht="15" customHeight="1" thickBot="1">
      <c r="A206" s="153" t="s">
        <v>2563</v>
      </c>
      <c r="B206" s="831" t="s">
        <v>4383</v>
      </c>
      <c r="C206" s="832"/>
      <c r="D206" s="832"/>
      <c r="E206" s="832"/>
      <c r="F206" s="832"/>
      <c r="G206" s="832"/>
      <c r="H206" s="832"/>
      <c r="I206" s="832"/>
      <c r="J206" s="832"/>
      <c r="K206" s="832"/>
      <c r="L206" s="832"/>
      <c r="M206" s="832"/>
      <c r="N206" s="832"/>
      <c r="O206" s="832"/>
      <c r="P206" s="832"/>
      <c r="Q206" s="832"/>
      <c r="R206" s="832"/>
      <c r="S206" s="832"/>
      <c r="T206" s="832"/>
      <c r="U206" s="832"/>
      <c r="V206" s="832"/>
      <c r="W206" s="832"/>
      <c r="X206" s="832"/>
      <c r="Y206" s="832"/>
      <c r="Z206" s="832"/>
      <c r="AA206" s="832"/>
      <c r="AB206" s="832"/>
      <c r="AC206" s="832"/>
      <c r="AD206" s="833"/>
      <c r="AE206" s="3"/>
    </row>
    <row r="207" spans="1:31" ht="15" customHeight="1">
      <c r="A207" s="50"/>
      <c r="B207" s="852" t="s">
        <v>2565</v>
      </c>
      <c r="C207" s="853"/>
      <c r="D207" s="853"/>
      <c r="E207" s="853"/>
      <c r="F207" s="853"/>
      <c r="G207" s="853"/>
      <c r="H207" s="853"/>
      <c r="I207" s="853"/>
      <c r="J207" s="853"/>
      <c r="K207" s="853"/>
      <c r="L207" s="853"/>
      <c r="M207" s="853"/>
      <c r="N207" s="853"/>
      <c r="O207" s="853"/>
      <c r="P207" s="853"/>
      <c r="Q207" s="853"/>
      <c r="R207" s="853"/>
      <c r="S207" s="853"/>
      <c r="T207" s="853"/>
      <c r="U207" s="853"/>
      <c r="V207" s="853"/>
      <c r="W207" s="853"/>
      <c r="X207" s="853"/>
      <c r="Y207" s="853"/>
      <c r="Z207" s="853"/>
      <c r="AA207" s="853"/>
      <c r="AB207" s="853"/>
      <c r="AC207" s="853"/>
      <c r="AD207" s="854"/>
    </row>
    <row r="208" spans="1:31" ht="36" customHeight="1">
      <c r="A208" s="49"/>
      <c r="B208" s="676"/>
      <c r="C208" s="764" t="s">
        <v>4384</v>
      </c>
      <c r="D208" s="876"/>
      <c r="E208" s="876"/>
      <c r="F208" s="876"/>
      <c r="G208" s="876"/>
      <c r="H208" s="876"/>
      <c r="I208" s="876"/>
      <c r="J208" s="876"/>
      <c r="K208" s="876"/>
      <c r="L208" s="876"/>
      <c r="M208" s="876"/>
      <c r="N208" s="876"/>
      <c r="O208" s="876"/>
      <c r="P208" s="876"/>
      <c r="Q208" s="876"/>
      <c r="R208" s="876"/>
      <c r="S208" s="876"/>
      <c r="T208" s="876"/>
      <c r="U208" s="876"/>
      <c r="V208" s="876"/>
      <c r="W208" s="876"/>
      <c r="X208" s="876"/>
      <c r="Y208" s="876"/>
      <c r="Z208" s="876"/>
      <c r="AA208" s="876"/>
      <c r="AB208" s="876"/>
      <c r="AC208" s="876"/>
      <c r="AD208" s="1002"/>
    </row>
    <row r="209" spans="1:42" ht="15" customHeight="1">
      <c r="A209" s="96"/>
      <c r="B209" s="90"/>
      <c r="C209" s="90"/>
      <c r="D209" s="90"/>
      <c r="E209" s="90"/>
      <c r="F209" s="90"/>
      <c r="G209" s="90"/>
      <c r="H209" s="90"/>
      <c r="I209" s="90"/>
      <c r="J209" s="90"/>
      <c r="K209" s="90"/>
      <c r="L209" s="90"/>
      <c r="M209" s="90"/>
      <c r="N209" s="90"/>
      <c r="O209" s="90"/>
      <c r="P209" s="90"/>
      <c r="Q209" s="90"/>
      <c r="R209" s="90"/>
      <c r="S209" s="90"/>
      <c r="T209" s="90"/>
      <c r="U209" s="90"/>
      <c r="V209" s="90"/>
      <c r="W209" s="90"/>
      <c r="X209" s="90"/>
      <c r="Y209" s="90"/>
      <c r="Z209" s="90"/>
      <c r="AA209" s="90"/>
      <c r="AB209" s="90"/>
      <c r="AC209" s="90"/>
      <c r="AD209" s="90"/>
    </row>
    <row r="210" spans="1:42" ht="36" customHeight="1">
      <c r="A210" s="49" t="s">
        <v>4385</v>
      </c>
      <c r="B210" s="829" t="s">
        <v>4386</v>
      </c>
      <c r="C210" s="829"/>
      <c r="D210" s="829"/>
      <c r="E210" s="829"/>
      <c r="F210" s="829"/>
      <c r="G210" s="829"/>
      <c r="H210" s="829"/>
      <c r="I210" s="829"/>
      <c r="J210" s="829"/>
      <c r="K210" s="829"/>
      <c r="L210" s="829"/>
      <c r="M210" s="829"/>
      <c r="N210" s="829"/>
      <c r="O210" s="829"/>
      <c r="P210" s="829"/>
      <c r="Q210" s="829"/>
      <c r="R210" s="829"/>
      <c r="S210" s="829"/>
      <c r="T210" s="829"/>
      <c r="U210" s="829"/>
      <c r="V210" s="829"/>
      <c r="W210" s="829"/>
      <c r="X210" s="829"/>
      <c r="Y210" s="829"/>
      <c r="Z210" s="829"/>
      <c r="AA210" s="829"/>
      <c r="AB210" s="829"/>
      <c r="AC210" s="829"/>
      <c r="AD210" s="829"/>
    </row>
    <row r="211" spans="1:42" ht="15" customHeight="1">
      <c r="A211" s="49"/>
      <c r="B211" s="118"/>
      <c r="C211" s="754" t="s">
        <v>4040</v>
      </c>
      <c r="D211" s="754"/>
      <c r="E211" s="754"/>
      <c r="F211" s="754"/>
      <c r="G211" s="754"/>
      <c r="H211" s="754"/>
      <c r="I211" s="754"/>
      <c r="J211" s="754"/>
      <c r="K211" s="754"/>
      <c r="L211" s="754"/>
      <c r="M211" s="754"/>
      <c r="N211" s="754"/>
      <c r="O211" s="754"/>
      <c r="P211" s="754"/>
      <c r="Q211" s="754"/>
      <c r="R211" s="754"/>
      <c r="S211" s="754"/>
      <c r="T211" s="754"/>
      <c r="U211" s="754"/>
      <c r="V211" s="754"/>
      <c r="W211" s="754"/>
      <c r="X211" s="754"/>
      <c r="Y211" s="754"/>
      <c r="Z211" s="754"/>
      <c r="AA211" s="754"/>
      <c r="AB211" s="754"/>
      <c r="AC211" s="754"/>
      <c r="AD211" s="754"/>
    </row>
    <row r="212" spans="1:42" ht="24" customHeight="1">
      <c r="A212" s="49"/>
      <c r="B212" s="105"/>
      <c r="C212" s="754" t="s">
        <v>4212</v>
      </c>
      <c r="D212" s="754"/>
      <c r="E212" s="754"/>
      <c r="F212" s="754"/>
      <c r="G212" s="754"/>
      <c r="H212" s="754"/>
      <c r="I212" s="754"/>
      <c r="J212" s="754"/>
      <c r="K212" s="754"/>
      <c r="L212" s="754"/>
      <c r="M212" s="754"/>
      <c r="N212" s="754"/>
      <c r="O212" s="754"/>
      <c r="P212" s="754"/>
      <c r="Q212" s="754"/>
      <c r="R212" s="754"/>
      <c r="S212" s="754"/>
      <c r="T212" s="754"/>
      <c r="U212" s="754"/>
      <c r="V212" s="754"/>
      <c r="W212" s="754"/>
      <c r="X212" s="754"/>
      <c r="Y212" s="754"/>
      <c r="Z212" s="754"/>
      <c r="AA212" s="754"/>
      <c r="AB212" s="754"/>
      <c r="AC212" s="754"/>
      <c r="AD212" s="754"/>
    </row>
    <row r="213" spans="1:42" ht="24" customHeight="1">
      <c r="A213" s="49"/>
      <c r="B213" s="105"/>
      <c r="C213" s="830" t="s">
        <v>4387</v>
      </c>
      <c r="D213" s="830"/>
      <c r="E213" s="830"/>
      <c r="F213" s="830"/>
      <c r="G213" s="830"/>
      <c r="H213" s="830"/>
      <c r="I213" s="830"/>
      <c r="J213" s="830"/>
      <c r="K213" s="830"/>
      <c r="L213" s="830"/>
      <c r="M213" s="830"/>
      <c r="N213" s="830"/>
      <c r="O213" s="830"/>
      <c r="P213" s="830"/>
      <c r="Q213" s="830"/>
      <c r="R213" s="830"/>
      <c r="S213" s="830"/>
      <c r="T213" s="830"/>
      <c r="U213" s="830"/>
      <c r="V213" s="830"/>
      <c r="W213" s="830"/>
      <c r="X213" s="830"/>
      <c r="Y213" s="830"/>
      <c r="Z213" s="830"/>
      <c r="AA213" s="830"/>
      <c r="AB213" s="830"/>
      <c r="AC213" s="830"/>
      <c r="AD213" s="830"/>
    </row>
    <row r="214" spans="1:42" ht="24" customHeight="1">
      <c r="A214" s="49"/>
      <c r="B214" s="105"/>
      <c r="C214" s="830" t="s">
        <v>4388</v>
      </c>
      <c r="D214" s="830"/>
      <c r="E214" s="830"/>
      <c r="F214" s="830"/>
      <c r="G214" s="830"/>
      <c r="H214" s="830"/>
      <c r="I214" s="830"/>
      <c r="J214" s="830"/>
      <c r="K214" s="830"/>
      <c r="L214" s="830"/>
      <c r="M214" s="830"/>
      <c r="N214" s="830"/>
      <c r="O214" s="830"/>
      <c r="P214" s="830"/>
      <c r="Q214" s="830"/>
      <c r="R214" s="830"/>
      <c r="S214" s="830"/>
      <c r="T214" s="830"/>
      <c r="U214" s="830"/>
      <c r="V214" s="830"/>
      <c r="W214" s="830"/>
      <c r="X214" s="830"/>
      <c r="Y214" s="830"/>
      <c r="Z214" s="830"/>
      <c r="AA214" s="830"/>
      <c r="AB214" s="830"/>
      <c r="AC214" s="830"/>
      <c r="AD214" s="830"/>
    </row>
    <row r="215" spans="1:42" ht="24" customHeight="1">
      <c r="A215" s="49"/>
      <c r="B215" s="105"/>
      <c r="C215" s="830" t="s">
        <v>4389</v>
      </c>
      <c r="D215" s="830"/>
      <c r="E215" s="830"/>
      <c r="F215" s="830"/>
      <c r="G215" s="830"/>
      <c r="H215" s="830"/>
      <c r="I215" s="830"/>
      <c r="J215" s="830"/>
      <c r="K215" s="830"/>
      <c r="L215" s="830"/>
      <c r="M215" s="830"/>
      <c r="N215" s="830"/>
      <c r="O215" s="830"/>
      <c r="P215" s="830"/>
      <c r="Q215" s="830"/>
      <c r="R215" s="830"/>
      <c r="S215" s="830"/>
      <c r="T215" s="830"/>
      <c r="U215" s="830"/>
      <c r="V215" s="830"/>
      <c r="W215" s="830"/>
      <c r="X215" s="830"/>
      <c r="Y215" s="830"/>
      <c r="Z215" s="830"/>
      <c r="AA215" s="830"/>
      <c r="AB215" s="830"/>
      <c r="AC215" s="830"/>
      <c r="AD215" s="830"/>
    </row>
    <row r="216" spans="1:42" ht="36" customHeight="1">
      <c r="A216" s="49"/>
      <c r="B216" s="105"/>
      <c r="C216" s="754" t="s">
        <v>4390</v>
      </c>
      <c r="D216" s="754"/>
      <c r="E216" s="754"/>
      <c r="F216" s="754"/>
      <c r="G216" s="754"/>
      <c r="H216" s="754"/>
      <c r="I216" s="754"/>
      <c r="J216" s="754"/>
      <c r="K216" s="754"/>
      <c r="L216" s="754"/>
      <c r="M216" s="754"/>
      <c r="N216" s="754"/>
      <c r="O216" s="754"/>
      <c r="P216" s="754"/>
      <c r="Q216" s="754"/>
      <c r="R216" s="754"/>
      <c r="S216" s="754"/>
      <c r="T216" s="754"/>
      <c r="U216" s="754"/>
      <c r="V216" s="754"/>
      <c r="W216" s="754"/>
      <c r="X216" s="754"/>
      <c r="Y216" s="754"/>
      <c r="Z216" s="754"/>
      <c r="AA216" s="754"/>
      <c r="AB216" s="754"/>
      <c r="AC216" s="754"/>
      <c r="AD216" s="754"/>
    </row>
    <row r="217" spans="1:42" ht="15" customHeight="1">
      <c r="A217" s="103"/>
      <c r="B217" s="57"/>
      <c r="C217" s="57"/>
      <c r="D217" s="57"/>
      <c r="E217" s="57"/>
      <c r="F217" s="57"/>
      <c r="G217" s="57"/>
      <c r="H217" s="57"/>
      <c r="I217" s="57"/>
      <c r="J217" s="57"/>
      <c r="K217" s="57"/>
      <c r="L217" s="57"/>
      <c r="M217" s="57"/>
      <c r="N217" s="57"/>
      <c r="O217" s="57"/>
      <c r="P217" s="57"/>
      <c r="Q217" s="57"/>
      <c r="R217" s="57"/>
      <c r="S217" s="57"/>
      <c r="T217" s="57"/>
      <c r="U217" s="57"/>
      <c r="V217" s="57"/>
      <c r="W217" s="57"/>
      <c r="X217" s="57"/>
      <c r="Y217" s="57"/>
      <c r="Z217" s="57"/>
      <c r="AA217" s="57"/>
      <c r="AB217" s="57"/>
      <c r="AC217" s="57"/>
      <c r="AD217" s="57"/>
    </row>
    <row r="218" spans="1:42" ht="36" customHeight="1">
      <c r="A218" s="50"/>
      <c r="B218" s="57"/>
      <c r="C218" s="797" t="s">
        <v>2581</v>
      </c>
      <c r="D218" s="798"/>
      <c r="E218" s="798"/>
      <c r="F218" s="798"/>
      <c r="G218" s="798"/>
      <c r="H218" s="799"/>
      <c r="I218" s="797" t="s">
        <v>4391</v>
      </c>
      <c r="J218" s="798"/>
      <c r="K218" s="798"/>
      <c r="L218" s="799"/>
      <c r="M218" s="739" t="s">
        <v>4392</v>
      </c>
      <c r="N218" s="740"/>
      <c r="O218" s="740"/>
      <c r="P218" s="740"/>
      <c r="Q218" s="740"/>
      <c r="R218" s="740"/>
      <c r="S218" s="740"/>
      <c r="T218" s="740"/>
      <c r="U218" s="740"/>
      <c r="V218" s="740"/>
      <c r="W218" s="740"/>
      <c r="X218" s="740"/>
      <c r="Y218" s="740"/>
      <c r="Z218" s="740"/>
      <c r="AA218" s="740"/>
      <c r="AB218" s="740"/>
      <c r="AC218" s="740"/>
      <c r="AD218" s="741"/>
      <c r="AG218"/>
      <c r="AH218"/>
      <c r="AI218"/>
      <c r="AJ218"/>
      <c r="AK218"/>
      <c r="AL218"/>
      <c r="AM218"/>
      <c r="AN218"/>
      <c r="AO218"/>
      <c r="AP218" s="921" t="s">
        <v>3478</v>
      </c>
    </row>
    <row r="219" spans="1:42" ht="48" customHeight="1">
      <c r="A219" s="50"/>
      <c r="B219" s="38"/>
      <c r="C219" s="803"/>
      <c r="D219" s="804"/>
      <c r="E219" s="804"/>
      <c r="F219" s="804"/>
      <c r="G219" s="804"/>
      <c r="H219" s="805"/>
      <c r="I219" s="803"/>
      <c r="J219" s="804"/>
      <c r="K219" s="804"/>
      <c r="L219" s="805"/>
      <c r="M219" s="662" t="s">
        <v>2628</v>
      </c>
      <c r="N219" s="92" t="s">
        <v>2516</v>
      </c>
      <c r="O219" s="44" t="s">
        <v>2517</v>
      </c>
      <c r="P219" s="44" t="s">
        <v>2518</v>
      </c>
      <c r="Q219" s="44" t="s">
        <v>2519</v>
      </c>
      <c r="R219" s="44" t="s">
        <v>2520</v>
      </c>
      <c r="S219" s="44" t="s">
        <v>2521</v>
      </c>
      <c r="T219" s="44" t="s">
        <v>2522</v>
      </c>
      <c r="U219" s="44" t="s">
        <v>2523</v>
      </c>
      <c r="V219" s="44" t="s">
        <v>2524</v>
      </c>
      <c r="W219" s="44" t="s">
        <v>2525</v>
      </c>
      <c r="X219" s="44" t="s">
        <v>2526</v>
      </c>
      <c r="Y219" s="44" t="s">
        <v>2527</v>
      </c>
      <c r="Z219" s="44" t="s">
        <v>2528</v>
      </c>
      <c r="AA219" s="44" t="s">
        <v>2529</v>
      </c>
      <c r="AB219" s="44" t="s">
        <v>2530</v>
      </c>
      <c r="AC219" s="44" t="s">
        <v>2531</v>
      </c>
      <c r="AD219" s="44" t="s">
        <v>2532</v>
      </c>
      <c r="AG219" s="354" t="s">
        <v>2586</v>
      </c>
      <c r="AH219" s="282" t="s">
        <v>2590</v>
      </c>
      <c r="AI219" s="280" t="s">
        <v>3262</v>
      </c>
      <c r="AJ219" s="281" t="s">
        <v>3263</v>
      </c>
      <c r="AK219" s="557" t="s">
        <v>4393</v>
      </c>
      <c r="AL219" s="558" t="s">
        <v>4394</v>
      </c>
      <c r="AM219" s="559" t="s">
        <v>4395</v>
      </c>
      <c r="AN219" s="548" t="s">
        <v>4396</v>
      </c>
      <c r="AO219" s="560" t="s">
        <v>4216</v>
      </c>
      <c r="AP219" s="921"/>
    </row>
    <row r="220" spans="1:42" ht="15" customHeight="1">
      <c r="A220" s="50"/>
      <c r="B220" s="38"/>
      <c r="C220" s="92" t="s">
        <v>2516</v>
      </c>
      <c r="D220" s="796" t="str">
        <f>IF(CNSIPEE_2024_M2_Secc1!D42="","",CNSIPEE_2024_M2_Secc1!D42)</f>
        <v/>
      </c>
      <c r="E220" s="796"/>
      <c r="F220" s="796"/>
      <c r="G220" s="796"/>
      <c r="H220" s="796"/>
      <c r="I220" s="816"/>
      <c r="J220" s="738"/>
      <c r="K220" s="738"/>
      <c r="L220" s="817"/>
      <c r="M220" s="100"/>
      <c r="N220" s="100"/>
      <c r="O220" s="100"/>
      <c r="P220" s="100"/>
      <c r="Q220" s="100"/>
      <c r="R220" s="100"/>
      <c r="S220" s="100"/>
      <c r="T220" s="100"/>
      <c r="U220" s="100"/>
      <c r="V220" s="100"/>
      <c r="W220" s="100"/>
      <c r="X220" s="100"/>
      <c r="Y220" s="100"/>
      <c r="Z220" s="100"/>
      <c r="AA220" s="100"/>
      <c r="AB220" s="100"/>
      <c r="AC220" s="100"/>
      <c r="AD220" s="100"/>
      <c r="AG220" s="326">
        <f>IF(AND($I220&lt;&gt;"",$I220&lt;&gt;1,COUNTA(M220:AD220)=0),0,IF(AND($I220&lt;&gt;"",$I220=1,COUNTA(M220:AD220)=18),0,IF(AND($I220="",COUNTA(M220:AD220)=0),0,1)))</f>
        <v>0</v>
      </c>
      <c r="AH220" s="283">
        <f>COUNTIF(N220:AD220,"NS")</f>
        <v>0</v>
      </c>
      <c r="AI220" s="283">
        <f>SUM(N220:AD220)</f>
        <v>0</v>
      </c>
      <c r="AJ220" s="283">
        <f>IF(COUNTIF(M220:AD220,"NA")=18,0,IF(COUNTA(M220:AD220)=0,0,IF(OR(AND(M220=0,AH220&gt;0),AND(M220="ns",AI220&gt;0),AND(M220="ns",AH220=0,AI220=0)),1,IF(OR(AND(M220&gt;0,AH220=2),AND(M220="ns",AH220=2),AND(M220="ns",AI220=0,AH220&gt;0),M220=AI220),0,1))))</f>
        <v>0</v>
      </c>
      <c r="AK220">
        <f>IF(OR(M228="NS",CNSIPEE_2024_M2_Secc4!C35="NS"),0,IF(AND(M228="NA",CNSIPEE_2024_M2_Secc4!C35="NA"),0,IF(M228&lt;=CNSIPEE_2024_M2_Secc4!C35,0,1)))</f>
        <v>0</v>
      </c>
      <c r="AL220">
        <f>IF(OR($M220="NS",CNSIPEE_2024_M2_Secc4!Y51="NS"),0,IF(AND($M220="NA",CNSIPEE_2024_M2_Secc4!Y51="NA"),0,IF($M220&lt;=CNSIPEE_2024_M2_Secc4!Y51,0,1)))</f>
        <v>0</v>
      </c>
      <c r="AM220">
        <f>IF(SUM($AD220)&gt;0,1,0)</f>
        <v>0</v>
      </c>
      <c r="AN220">
        <f>IF(AND($I220&lt;&gt;"",$I220&lt;&gt;1,COUNTA(M220:AD220)&gt;0),1,0)</f>
        <v>0</v>
      </c>
      <c r="AO220">
        <f>IF(AND(COUNTIF(CNSIPEE_2024_M2_Secc4!Y51,"NA")&gt;0,COUNTA(I220:AD220)&gt;0),1,0)</f>
        <v>0</v>
      </c>
      <c r="AP220" s="253">
        <f>IF(AND($I220&lt;&gt;"",$I220=1,M220&lt;&gt;"",SUM(M220)=0),1,0)</f>
        <v>0</v>
      </c>
    </row>
    <row r="221" spans="1:42" ht="15" customHeight="1">
      <c r="A221" s="50"/>
      <c r="B221" s="90"/>
      <c r="C221" s="44" t="s">
        <v>2517</v>
      </c>
      <c r="D221" s="796" t="str">
        <f>IF(CNSIPEE_2024_M2_Secc1!D43="","",CNSIPEE_2024_M2_Secc1!D43)</f>
        <v/>
      </c>
      <c r="E221" s="796"/>
      <c r="F221" s="796"/>
      <c r="G221" s="796"/>
      <c r="H221" s="796"/>
      <c r="I221" s="816"/>
      <c r="J221" s="738"/>
      <c r="K221" s="738"/>
      <c r="L221" s="817"/>
      <c r="M221" s="100"/>
      <c r="N221" s="100"/>
      <c r="O221" s="100"/>
      <c r="P221" s="100"/>
      <c r="Q221" s="100"/>
      <c r="R221" s="100"/>
      <c r="S221" s="100"/>
      <c r="T221" s="100"/>
      <c r="U221" s="100"/>
      <c r="V221" s="100"/>
      <c r="W221" s="100"/>
      <c r="X221" s="100"/>
      <c r="Y221" s="100"/>
      <c r="Z221" s="100"/>
      <c r="AA221" s="100"/>
      <c r="AB221" s="100"/>
      <c r="AC221" s="100"/>
      <c r="AD221" s="100"/>
      <c r="AG221" s="326">
        <f t="shared" ref="AG221:AG227" si="35">IF(AND($I221&lt;&gt;"",$I221&lt;&gt;1,COUNTA(M221:AD221)=0),0,IF(AND($I221&lt;&gt;"",$I221=1,COUNTA(M221:AD221)=18),0,IF(AND($I221="",COUNTA(M221:AD221)=0),0,1)))</f>
        <v>0</v>
      </c>
      <c r="AH221" s="283">
        <f t="shared" ref="AH221:AH227" si="36">COUNTIF(N221:AD221,"NS")</f>
        <v>0</v>
      </c>
      <c r="AI221" s="283">
        <f t="shared" ref="AI221:AI227" si="37">SUM(N221:AD221)</f>
        <v>0</v>
      </c>
      <c r="AJ221" s="283">
        <f t="shared" ref="AJ221:AJ227" si="38">IF(COUNTIF(M221:AD221,"NA")=18,0,IF(COUNTA(M221:AD221)=0,0,IF(OR(AND(M221=0,AH221&gt;0),AND(M221="ns",AI221&gt;0),AND(M221="ns",AH221=0,AI221=0)),1,IF(OR(AND(M221&gt;0,AH221=2),AND(M221="ns",AH221=2),AND(M221="ns",AI221=0,AH221&gt;0),M221=AI221),0,1))))</f>
        <v>0</v>
      </c>
      <c r="AL221">
        <f>IF(OR($M221="NS",CNSIPEE_2024_M2_Secc4!Y52="NS"),0,IF(AND($M221="NA",CNSIPEE_2024_M2_Secc4!Y52="NA"),0,IF($M221&lt;=CNSIPEE_2024_M2_Secc4!Y52,0,1)))</f>
        <v>0</v>
      </c>
      <c r="AM221">
        <f t="shared" ref="AM221:AM226" si="39">IF(SUM($AD221)&gt;0,1,0)</f>
        <v>0</v>
      </c>
      <c r="AN221">
        <f t="shared" ref="AN221:AN227" si="40">IF(AND($I221&lt;&gt;"",$I221&lt;&gt;1,COUNTA(M221:AD221)&gt;0),1,0)</f>
        <v>0</v>
      </c>
      <c r="AO221">
        <f>IF(AND(COUNTIF(CNSIPEE_2024_M2_Secc4!Y52,"NA")&gt;0,COUNTA(I221:AD221)&gt;0),1,0)</f>
        <v>0</v>
      </c>
      <c r="AP221" s="253">
        <f t="shared" ref="AP221:AP227" si="41">IF(AND($I221&lt;&gt;"",$I221=1,M221&lt;&gt;"",SUM(M221)=0),1,0)</f>
        <v>0</v>
      </c>
    </row>
    <row r="222" spans="1:42" ht="15" customHeight="1">
      <c r="A222" s="50"/>
      <c r="B222" s="57"/>
      <c r="C222" s="44" t="s">
        <v>2518</v>
      </c>
      <c r="D222" s="796" t="str">
        <f>IF(CNSIPEE_2024_M2_Secc1!D44="","",CNSIPEE_2024_M2_Secc1!D44)</f>
        <v/>
      </c>
      <c r="E222" s="796"/>
      <c r="F222" s="796"/>
      <c r="G222" s="796"/>
      <c r="H222" s="796"/>
      <c r="I222" s="816"/>
      <c r="J222" s="738"/>
      <c r="K222" s="738"/>
      <c r="L222" s="817"/>
      <c r="M222" s="100"/>
      <c r="N222" s="100"/>
      <c r="O222" s="100"/>
      <c r="P222" s="100"/>
      <c r="Q222" s="100"/>
      <c r="R222" s="100"/>
      <c r="S222" s="100"/>
      <c r="T222" s="100"/>
      <c r="U222" s="100"/>
      <c r="V222" s="100"/>
      <c r="W222" s="100"/>
      <c r="X222" s="100"/>
      <c r="Y222" s="100"/>
      <c r="Z222" s="100"/>
      <c r="AA222" s="100"/>
      <c r="AB222" s="100"/>
      <c r="AC222" s="100"/>
      <c r="AD222" s="100"/>
      <c r="AG222" s="326">
        <f t="shared" si="35"/>
        <v>0</v>
      </c>
      <c r="AH222" s="283">
        <f t="shared" si="36"/>
        <v>0</v>
      </c>
      <c r="AI222" s="283">
        <f t="shared" si="37"/>
        <v>0</v>
      </c>
      <c r="AJ222" s="283">
        <f t="shared" si="38"/>
        <v>0</v>
      </c>
      <c r="AL222">
        <f>IF(OR($M222="NS",CNSIPEE_2024_M2_Secc4!Y53="NS"),0,IF(AND($M222="NA",CNSIPEE_2024_M2_Secc4!Y53="NA"),0,IF($M222&lt;=CNSIPEE_2024_M2_Secc4!Y53,0,1)))</f>
        <v>0</v>
      </c>
      <c r="AM222">
        <f t="shared" si="39"/>
        <v>0</v>
      </c>
      <c r="AN222">
        <f t="shared" si="40"/>
        <v>0</v>
      </c>
      <c r="AO222">
        <f>IF(AND(COUNTIF(CNSIPEE_2024_M2_Secc4!Y53,"NA")&gt;0,COUNTA(I222:AD222)&gt;0),1,0)</f>
        <v>0</v>
      </c>
      <c r="AP222" s="253">
        <f t="shared" si="41"/>
        <v>0</v>
      </c>
    </row>
    <row r="223" spans="1:42" ht="15" customHeight="1">
      <c r="A223" s="50"/>
      <c r="B223" s="57"/>
      <c r="C223" s="44" t="s">
        <v>2519</v>
      </c>
      <c r="D223" s="796" t="str">
        <f>IF(CNSIPEE_2024_M2_Secc1!D45="","",CNSIPEE_2024_M2_Secc1!D45)</f>
        <v/>
      </c>
      <c r="E223" s="796"/>
      <c r="F223" s="796"/>
      <c r="G223" s="796"/>
      <c r="H223" s="796"/>
      <c r="I223" s="816"/>
      <c r="J223" s="738"/>
      <c r="K223" s="738"/>
      <c r="L223" s="817"/>
      <c r="M223" s="100"/>
      <c r="N223" s="100"/>
      <c r="O223" s="100"/>
      <c r="P223" s="100"/>
      <c r="Q223" s="100"/>
      <c r="R223" s="100"/>
      <c r="S223" s="100"/>
      <c r="T223" s="100"/>
      <c r="U223" s="100"/>
      <c r="V223" s="100"/>
      <c r="W223" s="100"/>
      <c r="X223" s="100"/>
      <c r="Y223" s="100"/>
      <c r="Z223" s="100"/>
      <c r="AA223" s="100"/>
      <c r="AB223" s="100"/>
      <c r="AC223" s="100"/>
      <c r="AD223" s="100"/>
      <c r="AG223" s="326">
        <f t="shared" si="35"/>
        <v>0</v>
      </c>
      <c r="AH223" s="283">
        <f t="shared" si="36"/>
        <v>0</v>
      </c>
      <c r="AI223" s="283">
        <f t="shared" si="37"/>
        <v>0</v>
      </c>
      <c r="AJ223" s="283">
        <f t="shared" si="38"/>
        <v>0</v>
      </c>
      <c r="AL223">
        <f>IF(OR($M223="NS",CNSIPEE_2024_M2_Secc4!Y54="NS"),0,IF(AND($M223="NA",CNSIPEE_2024_M2_Secc4!Y54="NA"),0,IF($M223&lt;=CNSIPEE_2024_M2_Secc4!Y54,0,1)))</f>
        <v>0</v>
      </c>
      <c r="AM223">
        <f t="shared" si="39"/>
        <v>0</v>
      </c>
      <c r="AN223">
        <f t="shared" si="40"/>
        <v>0</v>
      </c>
      <c r="AO223">
        <f>IF(AND(COUNTIF(CNSIPEE_2024_M2_Secc4!Y54,"NA")&gt;0,COUNTA(I223:AD223)&gt;0),1,0)</f>
        <v>0</v>
      </c>
      <c r="AP223" s="253">
        <f t="shared" si="41"/>
        <v>0</v>
      </c>
    </row>
    <row r="224" spans="1:42" ht="15" customHeight="1">
      <c r="A224" s="50"/>
      <c r="B224" s="57"/>
      <c r="C224" s="44" t="s">
        <v>2520</v>
      </c>
      <c r="D224" s="796" t="str">
        <f>IF(CNSIPEE_2024_M2_Secc1!D46="","",CNSIPEE_2024_M2_Secc1!D46)</f>
        <v/>
      </c>
      <c r="E224" s="796"/>
      <c r="F224" s="796"/>
      <c r="G224" s="796"/>
      <c r="H224" s="796"/>
      <c r="I224" s="816"/>
      <c r="J224" s="738"/>
      <c r="K224" s="738"/>
      <c r="L224" s="817"/>
      <c r="M224" s="100"/>
      <c r="N224" s="100"/>
      <c r="O224" s="100"/>
      <c r="P224" s="100"/>
      <c r="Q224" s="100"/>
      <c r="R224" s="100"/>
      <c r="S224" s="100"/>
      <c r="T224" s="100"/>
      <c r="U224" s="100"/>
      <c r="V224" s="100"/>
      <c r="W224" s="100"/>
      <c r="X224" s="100"/>
      <c r="Y224" s="100"/>
      <c r="Z224" s="100"/>
      <c r="AA224" s="100"/>
      <c r="AB224" s="100"/>
      <c r="AC224" s="100"/>
      <c r="AD224" s="100"/>
      <c r="AG224" s="326">
        <f t="shared" si="35"/>
        <v>0</v>
      </c>
      <c r="AH224" s="283">
        <f t="shared" si="36"/>
        <v>0</v>
      </c>
      <c r="AI224" s="283">
        <f t="shared" si="37"/>
        <v>0</v>
      </c>
      <c r="AJ224" s="283">
        <f t="shared" si="38"/>
        <v>0</v>
      </c>
      <c r="AL224">
        <f>IF(OR($M224="NS",CNSIPEE_2024_M2_Secc4!Y55="NS"),0,IF(AND($M224="NA",CNSIPEE_2024_M2_Secc4!Y55="NA"),0,IF($M224&lt;=CNSIPEE_2024_M2_Secc4!Y55,0,1)))</f>
        <v>0</v>
      </c>
      <c r="AM224">
        <f t="shared" si="39"/>
        <v>0</v>
      </c>
      <c r="AN224">
        <f t="shared" si="40"/>
        <v>0</v>
      </c>
      <c r="AO224">
        <f>IF(AND(COUNTIF(CNSIPEE_2024_M2_Secc4!Y55,"NA")&gt;0,COUNTA(I224:AD224)&gt;0),1,0)</f>
        <v>0</v>
      </c>
      <c r="AP224" s="253">
        <f t="shared" si="41"/>
        <v>0</v>
      </c>
    </row>
    <row r="225" spans="1:42" ht="15" customHeight="1">
      <c r="A225" s="50"/>
      <c r="B225" s="57"/>
      <c r="C225" s="44" t="s">
        <v>2521</v>
      </c>
      <c r="D225" s="796" t="str">
        <f>IF(CNSIPEE_2024_M2_Secc1!D47="","",CNSIPEE_2024_M2_Secc1!D47)</f>
        <v/>
      </c>
      <c r="E225" s="796"/>
      <c r="F225" s="796"/>
      <c r="G225" s="796"/>
      <c r="H225" s="796"/>
      <c r="I225" s="816"/>
      <c r="J225" s="738"/>
      <c r="K225" s="738"/>
      <c r="L225" s="817"/>
      <c r="M225" s="100"/>
      <c r="N225" s="100"/>
      <c r="O225" s="100"/>
      <c r="P225" s="100"/>
      <c r="Q225" s="100"/>
      <c r="R225" s="100"/>
      <c r="S225" s="100"/>
      <c r="T225" s="100"/>
      <c r="U225" s="100"/>
      <c r="V225" s="100"/>
      <c r="W225" s="100"/>
      <c r="X225" s="100"/>
      <c r="Y225" s="100"/>
      <c r="Z225" s="100"/>
      <c r="AA225" s="100"/>
      <c r="AB225" s="100"/>
      <c r="AC225" s="100"/>
      <c r="AD225" s="100"/>
      <c r="AG225" s="326">
        <f t="shared" si="35"/>
        <v>0</v>
      </c>
      <c r="AH225" s="283">
        <f t="shared" si="36"/>
        <v>0</v>
      </c>
      <c r="AI225" s="283">
        <f t="shared" si="37"/>
        <v>0</v>
      </c>
      <c r="AJ225" s="283">
        <f t="shared" si="38"/>
        <v>0</v>
      </c>
      <c r="AL225">
        <f>IF(OR($M225="NS",CNSIPEE_2024_M2_Secc4!Y56="NS"),0,IF(AND($M225="NA",CNSIPEE_2024_M2_Secc4!Y56="NA"),0,IF($M225&lt;=CNSIPEE_2024_M2_Secc4!Y56,0,1)))</f>
        <v>0</v>
      </c>
      <c r="AM225">
        <f t="shared" si="39"/>
        <v>0</v>
      </c>
      <c r="AN225">
        <f t="shared" si="40"/>
        <v>0</v>
      </c>
      <c r="AO225">
        <f>IF(AND(COUNTIF(CNSIPEE_2024_M2_Secc4!Y56,"NA")&gt;0,COUNTA(I225:AD225)&gt;0),1,0)</f>
        <v>0</v>
      </c>
      <c r="AP225" s="253">
        <f t="shared" si="41"/>
        <v>0</v>
      </c>
    </row>
    <row r="226" spans="1:42" ht="15" customHeight="1">
      <c r="A226" s="50"/>
      <c r="B226" s="57"/>
      <c r="C226" s="44" t="s">
        <v>2522</v>
      </c>
      <c r="D226" s="796" t="str">
        <f>IF(CNSIPEE_2024_M2_Secc1!D48="","",CNSIPEE_2024_M2_Secc1!D48)</f>
        <v/>
      </c>
      <c r="E226" s="796"/>
      <c r="F226" s="796"/>
      <c r="G226" s="796"/>
      <c r="H226" s="796"/>
      <c r="I226" s="816"/>
      <c r="J226" s="738"/>
      <c r="K226" s="738"/>
      <c r="L226" s="817"/>
      <c r="M226" s="100"/>
      <c r="N226" s="100"/>
      <c r="O226" s="100"/>
      <c r="P226" s="100"/>
      <c r="Q226" s="100"/>
      <c r="R226" s="100"/>
      <c r="S226" s="100"/>
      <c r="T226" s="100"/>
      <c r="U226" s="100"/>
      <c r="V226" s="100"/>
      <c r="W226" s="100"/>
      <c r="X226" s="100"/>
      <c r="Y226" s="100"/>
      <c r="Z226" s="100"/>
      <c r="AA226" s="100"/>
      <c r="AB226" s="100"/>
      <c r="AC226" s="100"/>
      <c r="AD226" s="100"/>
      <c r="AG226" s="326">
        <f t="shared" si="35"/>
        <v>0</v>
      </c>
      <c r="AH226" s="283">
        <f t="shared" si="36"/>
        <v>0</v>
      </c>
      <c r="AI226" s="283">
        <f t="shared" si="37"/>
        <v>0</v>
      </c>
      <c r="AJ226" s="283">
        <f t="shared" si="38"/>
        <v>0</v>
      </c>
      <c r="AL226">
        <f>IF(OR($M226="NS",CNSIPEE_2024_M2_Secc4!Y57="NS"),0,IF(AND($M226="NA",CNSIPEE_2024_M2_Secc4!Y57="NA"),0,IF($M226&lt;=CNSIPEE_2024_M2_Secc4!Y57,0,1)))</f>
        <v>0</v>
      </c>
      <c r="AM226">
        <f t="shared" si="39"/>
        <v>0</v>
      </c>
      <c r="AN226">
        <f t="shared" si="40"/>
        <v>0</v>
      </c>
      <c r="AO226">
        <f>IF(AND(COUNTIF(CNSIPEE_2024_M2_Secc4!Y57,"NA")&gt;0,COUNTA(I226:AD226)&gt;0),1,0)</f>
        <v>0</v>
      </c>
      <c r="AP226" s="253">
        <f t="shared" si="41"/>
        <v>0</v>
      </c>
    </row>
    <row r="227" spans="1:42" ht="15" customHeight="1">
      <c r="A227" s="50"/>
      <c r="B227" s="90"/>
      <c r="C227" s="44" t="s">
        <v>2523</v>
      </c>
      <c r="D227" s="796" t="str">
        <f>IF(CNSIPEE_2024_M2_Secc1!D49="","",CNSIPEE_2024_M2_Secc1!D49)</f>
        <v/>
      </c>
      <c r="E227" s="796"/>
      <c r="F227" s="796"/>
      <c r="G227" s="796"/>
      <c r="H227" s="796"/>
      <c r="I227" s="816"/>
      <c r="J227" s="738"/>
      <c r="K227" s="738"/>
      <c r="L227" s="817"/>
      <c r="M227" s="100"/>
      <c r="N227" s="100"/>
      <c r="O227" s="100"/>
      <c r="P227" s="100"/>
      <c r="Q227" s="100"/>
      <c r="R227" s="100"/>
      <c r="S227" s="100"/>
      <c r="T227" s="100"/>
      <c r="U227" s="100"/>
      <c r="V227" s="100"/>
      <c r="W227" s="100"/>
      <c r="X227" s="100"/>
      <c r="Y227" s="100"/>
      <c r="Z227" s="100"/>
      <c r="AA227" s="100"/>
      <c r="AB227" s="100"/>
      <c r="AC227" s="100"/>
      <c r="AD227" s="100"/>
      <c r="AG227" s="326">
        <f t="shared" si="35"/>
        <v>0</v>
      </c>
      <c r="AH227" s="283">
        <f t="shared" si="36"/>
        <v>0</v>
      </c>
      <c r="AI227" s="283">
        <f t="shared" si="37"/>
        <v>0</v>
      </c>
      <c r="AJ227" s="283">
        <f t="shared" si="38"/>
        <v>0</v>
      </c>
      <c r="AL227">
        <f>IF(OR($M227="NS",CNSIPEE_2024_M2_Secc4!Y58="NS"),0,IF(AND($M227="NA",CNSIPEE_2024_M2_Secc4!Y58="NA"),0,IF($M227&lt;=CNSIPEE_2024_M2_Secc4!Y58,0,1)))</f>
        <v>0</v>
      </c>
      <c r="AM227">
        <f>IF(SUM($AD227)&gt;0,1,0)</f>
        <v>0</v>
      </c>
      <c r="AN227">
        <f t="shared" si="40"/>
        <v>0</v>
      </c>
      <c r="AO227">
        <f>IF(AND(COUNTIF(CNSIPEE_2024_M2_Secc4!Y58,"NA")&gt;0,COUNTA(I227:AD227)&gt;0),1,0)</f>
        <v>0</v>
      </c>
      <c r="AP227" s="253">
        <f t="shared" si="41"/>
        <v>0</v>
      </c>
    </row>
    <row r="228" spans="1:42" ht="15" customHeight="1">
      <c r="A228" s="50"/>
      <c r="B228" s="90"/>
      <c r="C228" s="90"/>
      <c r="D228" s="90"/>
      <c r="E228" s="90"/>
      <c r="F228" s="90"/>
      <c r="G228" s="90"/>
      <c r="H228" s="90"/>
      <c r="I228" s="90"/>
      <c r="J228" s="90"/>
      <c r="K228" s="99"/>
      <c r="L228" s="99" t="s">
        <v>2649</v>
      </c>
      <c r="M228" s="124">
        <f>IF(AND(SUM(M220:M227)=0,COUNTIF(M220:M227,"NS")&gt;0),"NS",
IF(AND(SUM(M220:M227)=0,COUNTIF(M220:M227,0)&gt;0),0,
IF(AND(SUM(M220:M227)=0,COUNTIF(M220:M227,"NA")&gt;0),"NA",
SUM(M220:M227))))</f>
        <v>0</v>
      </c>
      <c r="N228" s="124">
        <f t="shared" ref="N228:AD228" si="42">IF(AND(SUM(N220:N227)=0,COUNTIF(N220:N227,"NS")&gt;0),"NS",
IF(AND(SUM(N220:N227)=0,COUNTIF(N220:N227,0)&gt;0),0,
IF(AND(SUM(N220:N227)=0,COUNTIF(N220:N227,"NA")&gt;0),"NA",
SUM(N220:N227))))</f>
        <v>0</v>
      </c>
      <c r="O228" s="124">
        <f t="shared" si="42"/>
        <v>0</v>
      </c>
      <c r="P228" s="124">
        <f t="shared" si="42"/>
        <v>0</v>
      </c>
      <c r="Q228" s="124">
        <f t="shared" si="42"/>
        <v>0</v>
      </c>
      <c r="R228" s="124">
        <f t="shared" si="42"/>
        <v>0</v>
      </c>
      <c r="S228" s="124">
        <f t="shared" si="42"/>
        <v>0</v>
      </c>
      <c r="T228" s="124">
        <f t="shared" si="42"/>
        <v>0</v>
      </c>
      <c r="U228" s="124">
        <f t="shared" si="42"/>
        <v>0</v>
      </c>
      <c r="V228" s="124">
        <f t="shared" si="42"/>
        <v>0</v>
      </c>
      <c r="W228" s="124">
        <f t="shared" si="42"/>
        <v>0</v>
      </c>
      <c r="X228" s="124">
        <f t="shared" si="42"/>
        <v>0</v>
      </c>
      <c r="Y228" s="124">
        <f t="shared" si="42"/>
        <v>0</v>
      </c>
      <c r="Z228" s="124">
        <f t="shared" si="42"/>
        <v>0</v>
      </c>
      <c r="AA228" s="124">
        <f t="shared" si="42"/>
        <v>0</v>
      </c>
      <c r="AB228" s="124">
        <f t="shared" si="42"/>
        <v>0</v>
      </c>
      <c r="AC228" s="124">
        <f t="shared" si="42"/>
        <v>0</v>
      </c>
      <c r="AD228" s="124">
        <f t="shared" si="42"/>
        <v>0</v>
      </c>
      <c r="AG228" s="354">
        <f>SUM(AG220:AG227)</f>
        <v>0</v>
      </c>
      <c r="AH228" s="350">
        <f>SUM(AH220:AH227)</f>
        <v>0</v>
      </c>
      <c r="AI228"/>
      <c r="AJ228" s="281">
        <f>SUM(AJ220:AJ227)</f>
        <v>0</v>
      </c>
      <c r="AK228"/>
      <c r="AL228" s="561">
        <f>SUM(AL220:AL227)</f>
        <v>0</v>
      </c>
      <c r="AM228" s="562">
        <f>SUM(AM220:AM227)</f>
        <v>0</v>
      </c>
      <c r="AN228" s="563">
        <f>SUM(AN220:AN227)</f>
        <v>0</v>
      </c>
      <c r="AO228" s="553">
        <f>SUM(AO220:AO227)</f>
        <v>0</v>
      </c>
      <c r="AP228" s="564">
        <f>SUM(AP220:AP227)</f>
        <v>0</v>
      </c>
    </row>
    <row r="229" spans="1:42" ht="15" customHeight="1">
      <c r="A229" s="49"/>
      <c r="B229" s="57"/>
      <c r="C229" s="57"/>
      <c r="D229" s="57"/>
      <c r="E229" s="57"/>
      <c r="F229" s="57"/>
      <c r="G229" s="57"/>
      <c r="H229" s="57"/>
      <c r="I229" s="57"/>
      <c r="J229" s="57"/>
      <c r="K229" s="57"/>
      <c r="L229" s="57"/>
      <c r="M229" s="57"/>
      <c r="N229" s="57"/>
      <c r="O229" s="57"/>
      <c r="P229" s="57"/>
      <c r="Q229" s="57"/>
      <c r="R229" s="57"/>
      <c r="S229" s="57"/>
      <c r="T229" s="57"/>
      <c r="U229" s="57"/>
      <c r="V229" s="57"/>
      <c r="W229" s="57"/>
      <c r="X229" s="57"/>
      <c r="Y229" s="57"/>
      <c r="Z229" s="57"/>
      <c r="AA229" s="57"/>
      <c r="AB229" s="57"/>
      <c r="AC229" s="57"/>
      <c r="AD229" s="57"/>
    </row>
    <row r="230" spans="1:42" ht="45" customHeight="1">
      <c r="A230" s="49"/>
      <c r="B230" s="57"/>
      <c r="C230" s="822" t="s">
        <v>4397</v>
      </c>
      <c r="D230" s="822"/>
      <c r="E230" s="822"/>
      <c r="F230" s="749"/>
      <c r="G230" s="749"/>
      <c r="H230" s="749"/>
      <c r="I230" s="749"/>
      <c r="J230" s="749"/>
      <c r="K230" s="749"/>
      <c r="L230" s="749"/>
      <c r="M230" s="749"/>
      <c r="N230" s="749"/>
      <c r="O230" s="749"/>
      <c r="P230" s="749"/>
      <c r="Q230" s="749"/>
      <c r="R230" s="749"/>
      <c r="S230" s="749"/>
      <c r="T230" s="749"/>
      <c r="U230" s="749"/>
      <c r="V230" s="749"/>
      <c r="W230" s="749"/>
      <c r="X230" s="749"/>
      <c r="Y230" s="749"/>
      <c r="Z230" s="749"/>
      <c r="AA230" s="749"/>
      <c r="AB230" s="749"/>
      <c r="AC230" s="749"/>
      <c r="AD230" s="749"/>
    </row>
    <row r="231" spans="1:42" ht="15" customHeight="1">
      <c r="A231" s="103"/>
      <c r="B231" s="794" t="str">
        <f>IF(AND(AM228&gt;0,F230=""),"Ha registrado un valor númerico mayor a cero en la col. 17 debe anotar el nombre de dicho(s) tipo(s) de institución(es)","")</f>
        <v/>
      </c>
      <c r="C231" s="794"/>
      <c r="D231" s="794"/>
      <c r="E231" s="794"/>
      <c r="F231" s="794"/>
      <c r="G231" s="794"/>
      <c r="H231" s="794"/>
      <c r="I231" s="794"/>
      <c r="J231" s="794"/>
      <c r="K231" s="794"/>
      <c r="L231" s="794"/>
      <c r="M231" s="794"/>
      <c r="N231" s="794"/>
      <c r="O231" s="794"/>
      <c r="P231" s="794"/>
      <c r="Q231" s="794"/>
      <c r="R231" s="794"/>
      <c r="S231" s="794"/>
      <c r="T231" s="794"/>
      <c r="U231" s="794"/>
      <c r="V231" s="794"/>
      <c r="W231" s="794"/>
      <c r="X231" s="794"/>
      <c r="Y231" s="794"/>
      <c r="Z231" s="794"/>
      <c r="AA231" s="794"/>
      <c r="AB231" s="794"/>
      <c r="AC231" s="794"/>
      <c r="AD231" s="794"/>
      <c r="AE231" s="794"/>
    </row>
    <row r="232" spans="1:42" ht="15" customHeight="1">
      <c r="A232" s="49"/>
      <c r="B232" s="57"/>
      <c r="C232" s="732" t="s">
        <v>4398</v>
      </c>
      <c r="D232" s="732"/>
      <c r="E232" s="732"/>
      <c r="F232" s="732"/>
      <c r="G232" s="732"/>
      <c r="H232" s="732"/>
      <c r="I232" s="732"/>
      <c r="J232" s="732"/>
      <c r="K232" s="732"/>
      <c r="L232" s="732"/>
      <c r="M232" s="732"/>
      <c r="N232" s="732"/>
      <c r="O232" s="732"/>
      <c r="P232" s="732"/>
      <c r="Q232" s="732"/>
      <c r="R232" s="732"/>
      <c r="S232" s="732"/>
      <c r="T232" s="732"/>
      <c r="U232" s="732"/>
      <c r="V232" s="732"/>
      <c r="W232" s="732"/>
      <c r="X232" s="732"/>
      <c r="Y232" s="732"/>
      <c r="Z232" s="732"/>
      <c r="AA232" s="732"/>
      <c r="AB232" s="732"/>
      <c r="AC232" s="732"/>
      <c r="AD232" s="732"/>
    </row>
    <row r="233" spans="1:42" ht="24" customHeight="1">
      <c r="A233" s="49"/>
      <c r="B233" s="57"/>
      <c r="C233" s="92" t="s">
        <v>2516</v>
      </c>
      <c r="D233" s="1061" t="s">
        <v>4399</v>
      </c>
      <c r="E233" s="1061"/>
      <c r="F233" s="1061"/>
      <c r="G233" s="1061"/>
      <c r="H233" s="1061"/>
      <c r="I233" s="1061"/>
      <c r="J233" s="1061"/>
      <c r="K233" s="1061"/>
      <c r="L233" s="1061"/>
      <c r="M233" s="1061"/>
      <c r="N233" s="1061"/>
      <c r="O233" s="1061"/>
      <c r="P233" s="1061"/>
      <c r="Q233" s="44" t="s">
        <v>2525</v>
      </c>
      <c r="R233" s="872" t="s">
        <v>4400</v>
      </c>
      <c r="S233" s="872"/>
      <c r="T233" s="872"/>
      <c r="U233" s="872"/>
      <c r="V233" s="872"/>
      <c r="W233" s="872"/>
      <c r="X233" s="872"/>
      <c r="Y233" s="872"/>
      <c r="Z233" s="872"/>
      <c r="AA233" s="872"/>
      <c r="AB233" s="872"/>
      <c r="AC233" s="872"/>
      <c r="AD233" s="872"/>
    </row>
    <row r="234" spans="1:42" ht="36" customHeight="1">
      <c r="A234" s="49"/>
      <c r="B234" s="57"/>
      <c r="C234" s="44" t="s">
        <v>2517</v>
      </c>
      <c r="D234" s="872" t="s">
        <v>4401</v>
      </c>
      <c r="E234" s="872"/>
      <c r="F234" s="872"/>
      <c r="G234" s="872"/>
      <c r="H234" s="872"/>
      <c r="I234" s="872"/>
      <c r="J234" s="872"/>
      <c r="K234" s="872"/>
      <c r="L234" s="872"/>
      <c r="M234" s="872"/>
      <c r="N234" s="872"/>
      <c r="O234" s="872"/>
      <c r="P234" s="872"/>
      <c r="Q234" s="44" t="s">
        <v>2526</v>
      </c>
      <c r="R234" s="872" t="s">
        <v>4402</v>
      </c>
      <c r="S234" s="872"/>
      <c r="T234" s="872"/>
      <c r="U234" s="872"/>
      <c r="V234" s="872"/>
      <c r="W234" s="872"/>
      <c r="X234" s="872"/>
      <c r="Y234" s="872"/>
      <c r="Z234" s="872"/>
      <c r="AA234" s="872"/>
      <c r="AB234" s="872"/>
      <c r="AC234" s="872"/>
      <c r="AD234" s="872"/>
    </row>
    <row r="235" spans="1:42" ht="15" customHeight="1">
      <c r="A235" s="49"/>
      <c r="B235" s="57"/>
      <c r="C235" s="44" t="s">
        <v>2518</v>
      </c>
      <c r="D235" s="872" t="s">
        <v>4403</v>
      </c>
      <c r="E235" s="872"/>
      <c r="F235" s="872"/>
      <c r="G235" s="872"/>
      <c r="H235" s="872"/>
      <c r="I235" s="872"/>
      <c r="J235" s="872"/>
      <c r="K235" s="872"/>
      <c r="L235" s="872"/>
      <c r="M235" s="872"/>
      <c r="N235" s="872"/>
      <c r="O235" s="872"/>
      <c r="P235" s="872"/>
      <c r="Q235" s="44" t="s">
        <v>2527</v>
      </c>
      <c r="R235" s="872" t="s">
        <v>4404</v>
      </c>
      <c r="S235" s="872"/>
      <c r="T235" s="872"/>
      <c r="U235" s="872"/>
      <c r="V235" s="872"/>
      <c r="W235" s="872"/>
      <c r="X235" s="872"/>
      <c r="Y235" s="872"/>
      <c r="Z235" s="872"/>
      <c r="AA235" s="872"/>
      <c r="AB235" s="872"/>
      <c r="AC235" s="872"/>
      <c r="AD235" s="872"/>
    </row>
    <row r="236" spans="1:42" ht="24" customHeight="1">
      <c r="A236" s="49"/>
      <c r="B236" s="57"/>
      <c r="C236" s="44" t="s">
        <v>2519</v>
      </c>
      <c r="D236" s="872" t="s">
        <v>4405</v>
      </c>
      <c r="E236" s="872"/>
      <c r="F236" s="872"/>
      <c r="G236" s="872"/>
      <c r="H236" s="872"/>
      <c r="I236" s="872"/>
      <c r="J236" s="872"/>
      <c r="K236" s="872"/>
      <c r="L236" s="872"/>
      <c r="M236" s="872"/>
      <c r="N236" s="872"/>
      <c r="O236" s="872"/>
      <c r="P236" s="872"/>
      <c r="Q236" s="44" t="s">
        <v>2528</v>
      </c>
      <c r="R236" s="872" t="s">
        <v>4406</v>
      </c>
      <c r="S236" s="872"/>
      <c r="T236" s="872"/>
      <c r="U236" s="872"/>
      <c r="V236" s="872"/>
      <c r="W236" s="872"/>
      <c r="X236" s="872"/>
      <c r="Y236" s="872"/>
      <c r="Z236" s="872"/>
      <c r="AA236" s="872"/>
      <c r="AB236" s="872"/>
      <c r="AC236" s="872"/>
      <c r="AD236" s="872"/>
    </row>
    <row r="237" spans="1:42" ht="15" customHeight="1">
      <c r="A237" s="49"/>
      <c r="B237" s="57"/>
      <c r="C237" s="44" t="s">
        <v>2520</v>
      </c>
      <c r="D237" s="872" t="s">
        <v>3100</v>
      </c>
      <c r="E237" s="872"/>
      <c r="F237" s="872"/>
      <c r="G237" s="872"/>
      <c r="H237" s="872"/>
      <c r="I237" s="872"/>
      <c r="J237" s="872"/>
      <c r="K237" s="872"/>
      <c r="L237" s="872"/>
      <c r="M237" s="872"/>
      <c r="N237" s="872"/>
      <c r="O237" s="872"/>
      <c r="P237" s="872"/>
      <c r="Q237" s="44" t="s">
        <v>2529</v>
      </c>
      <c r="R237" s="872" t="s">
        <v>4407</v>
      </c>
      <c r="S237" s="872"/>
      <c r="T237" s="872"/>
      <c r="U237" s="872"/>
      <c r="V237" s="872"/>
      <c r="W237" s="872"/>
      <c r="X237" s="872"/>
      <c r="Y237" s="872"/>
      <c r="Z237" s="872"/>
      <c r="AA237" s="872"/>
      <c r="AB237" s="872"/>
      <c r="AC237" s="872"/>
      <c r="AD237" s="872"/>
    </row>
    <row r="238" spans="1:42" ht="36" customHeight="1">
      <c r="A238" s="49"/>
      <c r="B238" s="57"/>
      <c r="C238" s="44" t="s">
        <v>2521</v>
      </c>
      <c r="D238" s="872" t="s">
        <v>4408</v>
      </c>
      <c r="E238" s="872"/>
      <c r="F238" s="872"/>
      <c r="G238" s="872"/>
      <c r="H238" s="872"/>
      <c r="I238" s="872"/>
      <c r="J238" s="872"/>
      <c r="K238" s="872"/>
      <c r="L238" s="872"/>
      <c r="M238" s="872"/>
      <c r="N238" s="872"/>
      <c r="O238" s="872"/>
      <c r="P238" s="872"/>
      <c r="Q238" s="44" t="s">
        <v>2530</v>
      </c>
      <c r="R238" s="872" t="s">
        <v>4409</v>
      </c>
      <c r="S238" s="872"/>
      <c r="T238" s="872"/>
      <c r="U238" s="872"/>
      <c r="V238" s="872"/>
      <c r="W238" s="872"/>
      <c r="X238" s="872"/>
      <c r="Y238" s="872"/>
      <c r="Z238" s="872"/>
      <c r="AA238" s="872"/>
      <c r="AB238" s="872"/>
      <c r="AC238" s="872"/>
      <c r="AD238" s="872"/>
    </row>
    <row r="239" spans="1:42" ht="24" customHeight="1">
      <c r="A239" s="49"/>
      <c r="B239" s="57"/>
      <c r="C239" s="44" t="s">
        <v>2522</v>
      </c>
      <c r="D239" s="872" t="s">
        <v>4410</v>
      </c>
      <c r="E239" s="872"/>
      <c r="F239" s="872"/>
      <c r="G239" s="872"/>
      <c r="H239" s="872"/>
      <c r="I239" s="872"/>
      <c r="J239" s="872"/>
      <c r="K239" s="872"/>
      <c r="L239" s="872"/>
      <c r="M239" s="872"/>
      <c r="N239" s="872"/>
      <c r="O239" s="872"/>
      <c r="P239" s="872"/>
      <c r="Q239" s="44" t="s">
        <v>2531</v>
      </c>
      <c r="R239" s="872" t="s">
        <v>4411</v>
      </c>
      <c r="S239" s="872"/>
      <c r="T239" s="872"/>
      <c r="U239" s="872"/>
      <c r="V239" s="872"/>
      <c r="W239" s="872"/>
      <c r="X239" s="872"/>
      <c r="Y239" s="872"/>
      <c r="Z239" s="872"/>
      <c r="AA239" s="872"/>
      <c r="AB239" s="872"/>
      <c r="AC239" s="872"/>
      <c r="AD239" s="872"/>
    </row>
    <row r="240" spans="1:42" ht="24" customHeight="1">
      <c r="A240" s="49"/>
      <c r="B240" s="57"/>
      <c r="C240" s="44" t="s">
        <v>2523</v>
      </c>
      <c r="D240" s="872" t="s">
        <v>4412</v>
      </c>
      <c r="E240" s="872"/>
      <c r="F240" s="872"/>
      <c r="G240" s="872"/>
      <c r="H240" s="872"/>
      <c r="I240" s="872"/>
      <c r="J240" s="872"/>
      <c r="K240" s="872"/>
      <c r="L240" s="872"/>
      <c r="M240" s="872"/>
      <c r="N240" s="872"/>
      <c r="O240" s="872"/>
      <c r="P240" s="872"/>
      <c r="Q240" s="44" t="s">
        <v>2532</v>
      </c>
      <c r="R240" s="872" t="s">
        <v>2609</v>
      </c>
      <c r="S240" s="872"/>
      <c r="T240" s="872"/>
      <c r="U240" s="872"/>
      <c r="V240" s="872"/>
      <c r="W240" s="872"/>
      <c r="X240" s="872"/>
      <c r="Y240" s="872"/>
      <c r="Z240" s="872"/>
      <c r="AA240" s="872"/>
      <c r="AB240" s="872"/>
      <c r="AC240" s="872"/>
      <c r="AD240" s="872"/>
    </row>
    <row r="241" spans="1:31" ht="36" customHeight="1">
      <c r="A241" s="49"/>
      <c r="B241" s="57"/>
      <c r="C241" s="44" t="s">
        <v>2524</v>
      </c>
      <c r="D241" s="872" t="s">
        <v>4413</v>
      </c>
      <c r="E241" s="872"/>
      <c r="F241" s="872"/>
      <c r="G241" s="872"/>
      <c r="H241" s="872"/>
      <c r="I241" s="872"/>
      <c r="J241" s="872"/>
      <c r="K241" s="872"/>
      <c r="L241" s="872"/>
      <c r="M241" s="872"/>
      <c r="N241" s="872"/>
      <c r="O241" s="872"/>
      <c r="P241" s="872"/>
      <c r="Q241" s="1075"/>
      <c r="R241" s="1076"/>
      <c r="S241" s="1076"/>
      <c r="T241" s="1076"/>
      <c r="U241" s="1076"/>
      <c r="V241" s="1076"/>
      <c r="W241" s="1076"/>
      <c r="X241" s="1076"/>
      <c r="Y241" s="1076"/>
      <c r="Z241" s="1076"/>
      <c r="AA241" s="1076"/>
      <c r="AB241" s="1076"/>
      <c r="AC241" s="1076"/>
      <c r="AD241" s="1077"/>
    </row>
    <row r="242" spans="1:31" ht="15" customHeight="1">
      <c r="A242" s="49"/>
      <c r="B242" s="57"/>
      <c r="C242" s="57"/>
      <c r="D242" s="57"/>
      <c r="E242" s="57"/>
      <c r="F242" s="57"/>
      <c r="G242" s="57"/>
      <c r="H242" s="57"/>
      <c r="I242" s="57"/>
      <c r="J242" s="57"/>
      <c r="K242" s="57"/>
      <c r="L242" s="57"/>
      <c r="M242" s="57"/>
      <c r="N242" s="57"/>
      <c r="O242" s="57"/>
      <c r="P242" s="57"/>
      <c r="Q242" s="57"/>
      <c r="R242" s="57"/>
      <c r="S242" s="57"/>
      <c r="T242" s="57"/>
      <c r="U242" s="57"/>
      <c r="V242" s="57"/>
      <c r="W242" s="57"/>
      <c r="X242" s="57"/>
      <c r="Y242" s="57"/>
      <c r="Z242" s="57"/>
      <c r="AA242" s="57"/>
      <c r="AB242" s="57"/>
      <c r="AC242" s="57"/>
      <c r="AD242" s="57"/>
    </row>
    <row r="243" spans="1:31" ht="24" customHeight="1">
      <c r="A243" s="96"/>
      <c r="B243" s="90"/>
      <c r="C243" s="754" t="s">
        <v>2611</v>
      </c>
      <c r="D243" s="754"/>
      <c r="E243" s="754"/>
      <c r="F243" s="754"/>
      <c r="G243" s="754"/>
      <c r="H243" s="754"/>
      <c r="I243" s="754"/>
      <c r="J243" s="754"/>
      <c r="K243" s="754"/>
      <c r="L243" s="754"/>
      <c r="M243" s="754"/>
      <c r="N243" s="754"/>
      <c r="O243" s="754"/>
      <c r="P243" s="754"/>
      <c r="Q243" s="754"/>
      <c r="R243" s="754"/>
      <c r="S243" s="754"/>
      <c r="T243" s="754"/>
      <c r="U243" s="754"/>
      <c r="V243" s="754"/>
      <c r="W243" s="754"/>
      <c r="X243" s="754"/>
      <c r="Y243" s="754"/>
      <c r="Z243" s="754"/>
      <c r="AA243" s="754"/>
      <c r="AB243" s="754"/>
      <c r="AC243" s="754"/>
      <c r="AD243" s="754"/>
    </row>
    <row r="244" spans="1:31" ht="60" customHeight="1">
      <c r="A244" s="96"/>
      <c r="B244" s="90"/>
      <c r="C244" s="851"/>
      <c r="D244" s="851"/>
      <c r="E244" s="851"/>
      <c r="F244" s="851"/>
      <c r="G244" s="851"/>
      <c r="H244" s="851"/>
      <c r="I244" s="851"/>
      <c r="J244" s="851"/>
      <c r="K244" s="851"/>
      <c r="L244" s="851"/>
      <c r="M244" s="851"/>
      <c r="N244" s="851"/>
      <c r="O244" s="851"/>
      <c r="P244" s="851"/>
      <c r="Q244" s="851"/>
      <c r="R244" s="851"/>
      <c r="S244" s="851"/>
      <c r="T244" s="851"/>
      <c r="U244" s="851"/>
      <c r="V244" s="851"/>
      <c r="W244" s="851"/>
      <c r="X244" s="851"/>
      <c r="Y244" s="851"/>
      <c r="Z244" s="851"/>
      <c r="AA244" s="851"/>
      <c r="AB244" s="851"/>
      <c r="AC244" s="851"/>
      <c r="AD244" s="851"/>
    </row>
    <row r="245" spans="1:31" ht="15" customHeight="1">
      <c r="A245" s="103"/>
      <c r="B245" s="794" t="str">
        <f>IF(AG228&gt;0,"Favor de ingresar toda la información requerida en la pregunta y/o verifique que no tenga información en celdas sombreadas","")</f>
        <v/>
      </c>
      <c r="C245" s="794"/>
      <c r="D245" s="794"/>
      <c r="E245" s="794"/>
      <c r="F245" s="794"/>
      <c r="G245" s="794"/>
      <c r="H245" s="794"/>
      <c r="I245" s="794"/>
      <c r="J245" s="794"/>
      <c r="K245" s="794"/>
      <c r="L245" s="794"/>
      <c r="M245" s="794"/>
      <c r="N245" s="794"/>
      <c r="O245" s="794"/>
      <c r="P245" s="794"/>
      <c r="Q245" s="794"/>
      <c r="R245" s="794"/>
      <c r="S245" s="794"/>
      <c r="T245" s="794"/>
      <c r="U245" s="794"/>
      <c r="V245" s="794"/>
      <c r="W245" s="794"/>
      <c r="X245" s="794"/>
      <c r="Y245" s="794"/>
      <c r="Z245" s="794"/>
      <c r="AA245" s="794"/>
      <c r="AB245" s="794"/>
      <c r="AC245" s="794"/>
      <c r="AD245" s="794"/>
      <c r="AE245"/>
    </row>
    <row r="246" spans="1:31" ht="15" customHeight="1">
      <c r="A246" s="103"/>
      <c r="B246" s="795" t="str">
        <f>IF(AH228&gt;0,"Alerta: debido a que cuenta con registros NS, debe proporcionar una justificación en el area de comentarios al final de la pregunta","")</f>
        <v/>
      </c>
      <c r="C246" s="795"/>
      <c r="D246" s="795"/>
      <c r="E246" s="795"/>
      <c r="F246" s="795"/>
      <c r="G246" s="795"/>
      <c r="H246" s="795"/>
      <c r="I246" s="795"/>
      <c r="J246" s="795"/>
      <c r="K246" s="795"/>
      <c r="L246" s="795"/>
      <c r="M246" s="795"/>
      <c r="N246" s="795"/>
      <c r="O246" s="795"/>
      <c r="P246" s="795"/>
      <c r="Q246" s="795"/>
      <c r="R246" s="795"/>
      <c r="S246" s="795"/>
      <c r="T246" s="795"/>
      <c r="U246" s="795"/>
      <c r="V246" s="795"/>
      <c r="W246" s="795"/>
      <c r="X246" s="795"/>
      <c r="Y246" s="795"/>
      <c r="Z246" s="795"/>
      <c r="AA246" s="795"/>
      <c r="AB246" s="795"/>
      <c r="AC246" s="795"/>
      <c r="AD246" s="795"/>
      <c r="AE246"/>
    </row>
    <row r="247" spans="1:31" ht="15" customHeight="1">
      <c r="A247" s="103"/>
      <c r="B247" s="794" t="str">
        <f>IF(AJ228&gt;0,"Favor de revisar la suma y consistencia de totales y/o subtotales por filas (numéricos y NS)","")</f>
        <v/>
      </c>
      <c r="C247" s="794"/>
      <c r="D247" s="794"/>
      <c r="E247" s="794"/>
      <c r="F247" s="794"/>
      <c r="G247" s="794"/>
      <c r="H247" s="794"/>
      <c r="I247" s="794"/>
      <c r="J247" s="794"/>
      <c r="K247" s="794"/>
      <c r="L247" s="794"/>
      <c r="M247" s="794"/>
      <c r="N247" s="794"/>
      <c r="O247" s="794"/>
      <c r="P247" s="794"/>
      <c r="Q247" s="794"/>
      <c r="R247" s="794"/>
      <c r="S247" s="794"/>
      <c r="T247" s="794"/>
      <c r="U247" s="794"/>
      <c r="V247" s="794"/>
      <c r="W247" s="794"/>
      <c r="X247" s="794"/>
      <c r="Y247" s="794"/>
      <c r="Z247" s="794"/>
      <c r="AA247" s="794"/>
      <c r="AB247" s="794"/>
      <c r="AC247" s="794"/>
      <c r="AD247" s="794"/>
      <c r="AE247"/>
    </row>
    <row r="248" spans="1:31" ht="15" customHeight="1">
      <c r="A248" s="103"/>
      <c r="B248" s="795" t="str">
        <f>IF(AK220&gt;0,"Alerta: debe de proporcionar una justificación de acuerdo a lo establecido en la instrucción 4","")</f>
        <v/>
      </c>
      <c r="C248" s="795"/>
      <c r="D248" s="795"/>
      <c r="E248" s="795"/>
      <c r="F248" s="795"/>
      <c r="G248" s="795"/>
      <c r="H248" s="795"/>
      <c r="I248" s="795"/>
      <c r="J248" s="795"/>
      <c r="K248" s="795"/>
      <c r="L248" s="795"/>
      <c r="M248" s="795"/>
      <c r="N248" s="795"/>
      <c r="O248" s="795"/>
      <c r="P248" s="795"/>
      <c r="Q248" s="795"/>
      <c r="R248" s="795"/>
      <c r="S248" s="795"/>
      <c r="T248" s="795"/>
      <c r="U248" s="795"/>
      <c r="V248" s="795"/>
      <c r="W248" s="795"/>
      <c r="X248" s="795"/>
      <c r="Y248" s="795"/>
      <c r="Z248" s="795"/>
      <c r="AA248" s="795"/>
      <c r="AB248" s="795"/>
      <c r="AC248" s="795"/>
      <c r="AD248" s="795"/>
      <c r="AE248" s="795"/>
    </row>
    <row r="249" spans="1:31" ht="15" customHeight="1">
      <c r="A249" s="103"/>
      <c r="B249" s="795" t="str">
        <f>IF(AL228&gt;0,"Alerta: debe de proporcionar una justificación de acuerdo a lo establecido en la instrucción 5","")</f>
        <v/>
      </c>
      <c r="C249" s="795"/>
      <c r="D249" s="795"/>
      <c r="E249" s="795"/>
      <c r="F249" s="795"/>
      <c r="G249" s="795"/>
      <c r="H249" s="795"/>
      <c r="I249" s="795"/>
      <c r="J249" s="795"/>
      <c r="K249" s="795"/>
      <c r="L249" s="795"/>
      <c r="M249" s="795"/>
      <c r="N249" s="795"/>
      <c r="O249" s="795"/>
      <c r="P249" s="795"/>
      <c r="Q249" s="795"/>
      <c r="R249" s="795"/>
      <c r="S249" s="795"/>
      <c r="T249" s="795"/>
      <c r="U249" s="795"/>
      <c r="V249" s="795"/>
      <c r="W249" s="795"/>
      <c r="X249" s="795"/>
      <c r="Y249" s="795"/>
      <c r="Z249" s="795"/>
      <c r="AA249" s="795"/>
      <c r="AB249" s="795"/>
      <c r="AC249" s="795"/>
      <c r="AD249" s="795"/>
      <c r="AE249" s="795"/>
    </row>
    <row r="250" spans="1:31" ht="15" customHeight="1">
      <c r="A250" s="94"/>
      <c r="B250" s="794" t="str">
        <f>IF(AP228&gt;0,"No puede ingresar cero en la col. Total debido a que registró el código 1 en la col. ¿Recibió donaciones monetarias para el ejercicio… ?","")</f>
        <v/>
      </c>
      <c r="C250" s="794"/>
      <c r="D250" s="794"/>
      <c r="E250" s="794"/>
      <c r="F250" s="794"/>
      <c r="G250" s="794"/>
      <c r="H250" s="794"/>
      <c r="I250" s="794"/>
      <c r="J250" s="794"/>
      <c r="K250" s="794"/>
      <c r="L250" s="794"/>
      <c r="M250" s="794"/>
      <c r="N250" s="794"/>
      <c r="O250" s="794"/>
      <c r="P250" s="794"/>
      <c r="Q250" s="794"/>
      <c r="R250" s="794"/>
      <c r="S250" s="794"/>
      <c r="T250" s="794"/>
      <c r="U250" s="794"/>
      <c r="V250" s="794"/>
      <c r="W250" s="794"/>
      <c r="X250" s="794"/>
      <c r="Y250" s="794"/>
      <c r="Z250" s="794"/>
      <c r="AA250" s="794"/>
      <c r="AB250" s="794"/>
      <c r="AC250" s="794"/>
      <c r="AD250" s="794"/>
      <c r="AE250" s="794"/>
    </row>
    <row r="251" spans="1:31" ht="36" customHeight="1">
      <c r="A251" s="49" t="s">
        <v>4414</v>
      </c>
      <c r="B251" s="829" t="s">
        <v>4415</v>
      </c>
      <c r="C251" s="829"/>
      <c r="D251" s="829"/>
      <c r="E251" s="829"/>
      <c r="F251" s="829"/>
      <c r="G251" s="829"/>
      <c r="H251" s="829"/>
      <c r="I251" s="829"/>
      <c r="J251" s="829"/>
      <c r="K251" s="829"/>
      <c r="L251" s="829"/>
      <c r="M251" s="829"/>
      <c r="N251" s="829"/>
      <c r="O251" s="829"/>
      <c r="P251" s="829"/>
      <c r="Q251" s="829"/>
      <c r="R251" s="829"/>
      <c r="S251" s="829"/>
      <c r="T251" s="829"/>
      <c r="U251" s="829"/>
      <c r="V251" s="829"/>
      <c r="W251" s="829"/>
      <c r="X251" s="829"/>
      <c r="Y251" s="829"/>
      <c r="Z251" s="829"/>
      <c r="AA251" s="829"/>
      <c r="AB251" s="829"/>
      <c r="AC251" s="829"/>
      <c r="AD251" s="829"/>
    </row>
    <row r="252" spans="1:31" ht="15" customHeight="1">
      <c r="A252" s="49"/>
      <c r="B252" s="118"/>
      <c r="C252" s="754" t="s">
        <v>4040</v>
      </c>
      <c r="D252" s="754"/>
      <c r="E252" s="754"/>
      <c r="F252" s="754"/>
      <c r="G252" s="754"/>
      <c r="H252" s="754"/>
      <c r="I252" s="754"/>
      <c r="J252" s="754"/>
      <c r="K252" s="754"/>
      <c r="L252" s="754"/>
      <c r="M252" s="754"/>
      <c r="N252" s="754"/>
      <c r="O252" s="754"/>
      <c r="P252" s="754"/>
      <c r="Q252" s="754"/>
      <c r="R252" s="754"/>
      <c r="S252" s="754"/>
      <c r="T252" s="754"/>
      <c r="U252" s="754"/>
      <c r="V252" s="754"/>
      <c r="W252" s="754"/>
      <c r="X252" s="754"/>
      <c r="Y252" s="754"/>
      <c r="Z252" s="754"/>
      <c r="AA252" s="754"/>
      <c r="AB252" s="754"/>
      <c r="AC252" s="754"/>
      <c r="AD252" s="754"/>
    </row>
    <row r="253" spans="1:31" ht="36" customHeight="1">
      <c r="A253" s="50"/>
      <c r="B253" s="90"/>
      <c r="C253" s="830" t="s">
        <v>4416</v>
      </c>
      <c r="D253" s="830"/>
      <c r="E253" s="830"/>
      <c r="F253" s="830"/>
      <c r="G253" s="830"/>
      <c r="H253" s="830"/>
      <c r="I253" s="830"/>
      <c r="J253" s="830"/>
      <c r="K253" s="830"/>
      <c r="L253" s="830"/>
      <c r="M253" s="830"/>
      <c r="N253" s="830"/>
      <c r="O253" s="830"/>
      <c r="P253" s="830"/>
      <c r="Q253" s="830"/>
      <c r="R253" s="830"/>
      <c r="S253" s="830"/>
      <c r="T253" s="830"/>
      <c r="U253" s="830"/>
      <c r="V253" s="830"/>
      <c r="W253" s="830"/>
      <c r="X253" s="830"/>
      <c r="Y253" s="830"/>
      <c r="Z253" s="830"/>
      <c r="AA253" s="830"/>
      <c r="AB253" s="830"/>
      <c r="AC253" s="830"/>
      <c r="AD253" s="830"/>
    </row>
    <row r="254" spans="1:31" ht="15" customHeight="1">
      <c r="A254" s="50"/>
      <c r="B254" s="90"/>
      <c r="C254" s="830" t="s">
        <v>4417</v>
      </c>
      <c r="D254" s="830"/>
      <c r="E254" s="830"/>
      <c r="F254" s="830"/>
      <c r="G254" s="830"/>
      <c r="H254" s="830"/>
      <c r="I254" s="830"/>
      <c r="J254" s="830"/>
      <c r="K254" s="830"/>
      <c r="L254" s="830"/>
      <c r="M254" s="830"/>
      <c r="N254" s="830"/>
      <c r="O254" s="830"/>
      <c r="P254" s="830"/>
      <c r="Q254" s="830"/>
      <c r="R254" s="830"/>
      <c r="S254" s="830"/>
      <c r="T254" s="830"/>
      <c r="U254" s="830"/>
      <c r="V254" s="830"/>
      <c r="W254" s="830"/>
      <c r="X254" s="830"/>
      <c r="Y254" s="830"/>
      <c r="Z254" s="830"/>
      <c r="AA254" s="830"/>
      <c r="AB254" s="830"/>
      <c r="AC254" s="830"/>
      <c r="AD254" s="830"/>
    </row>
    <row r="255" spans="1:31" ht="24" customHeight="1">
      <c r="A255" s="50"/>
      <c r="B255" s="90"/>
      <c r="C255" s="830" t="s">
        <v>4418</v>
      </c>
      <c r="D255" s="830"/>
      <c r="E255" s="830"/>
      <c r="F255" s="830"/>
      <c r="G255" s="830"/>
      <c r="H255" s="830"/>
      <c r="I255" s="830"/>
      <c r="J255" s="830"/>
      <c r="K255" s="830"/>
      <c r="L255" s="830"/>
      <c r="M255" s="830"/>
      <c r="N255" s="830"/>
      <c r="O255" s="830"/>
      <c r="P255" s="830"/>
      <c r="Q255" s="830"/>
      <c r="R255" s="830"/>
      <c r="S255" s="830"/>
      <c r="T255" s="830"/>
      <c r="U255" s="830"/>
      <c r="V255" s="830"/>
      <c r="W255" s="830"/>
      <c r="X255" s="830"/>
      <c r="Y255" s="830"/>
      <c r="Z255" s="830"/>
      <c r="AA255" s="830"/>
      <c r="AB255" s="830"/>
      <c r="AC255" s="830"/>
      <c r="AD255" s="830"/>
    </row>
    <row r="256" spans="1:31" ht="15" customHeight="1">
      <c r="A256" s="50"/>
      <c r="B256" s="90"/>
      <c r="C256" s="90"/>
      <c r="D256" s="90"/>
      <c r="E256" s="90"/>
      <c r="F256" s="90"/>
      <c r="G256" s="90"/>
      <c r="H256" s="90"/>
      <c r="I256" s="90"/>
      <c r="J256" s="90"/>
      <c r="K256" s="90"/>
      <c r="L256" s="90"/>
      <c r="M256" s="90"/>
      <c r="N256" s="90"/>
      <c r="O256" s="90"/>
      <c r="P256" s="90"/>
      <c r="Q256" s="90"/>
      <c r="R256" s="90"/>
      <c r="S256" s="90"/>
      <c r="T256" s="90"/>
      <c r="U256" s="90"/>
      <c r="V256" s="90"/>
      <c r="W256" s="90"/>
      <c r="X256" s="90"/>
      <c r="Y256" s="90"/>
      <c r="Z256" s="90"/>
      <c r="AA256" s="90"/>
      <c r="AB256" s="90"/>
      <c r="AC256" s="90"/>
      <c r="AD256" s="90"/>
    </row>
    <row r="257" spans="1:35" ht="132" customHeight="1">
      <c r="A257" s="50"/>
      <c r="B257" s="90"/>
      <c r="C257" s="847" t="s">
        <v>2581</v>
      </c>
      <c r="D257" s="848"/>
      <c r="E257" s="874" t="s">
        <v>4419</v>
      </c>
      <c r="F257" s="874"/>
      <c r="G257" s="739" t="s">
        <v>4420</v>
      </c>
      <c r="H257" s="740"/>
      <c r="I257" s="740"/>
      <c r="J257" s="740"/>
      <c r="K257" s="740"/>
      <c r="L257" s="740"/>
      <c r="M257" s="740"/>
      <c r="N257" s="740"/>
      <c r="O257" s="740"/>
      <c r="P257" s="740"/>
      <c r="Q257" s="740"/>
      <c r="R257" s="740"/>
      <c r="S257" s="740"/>
      <c r="T257" s="740"/>
      <c r="U257" s="740"/>
      <c r="V257" s="740"/>
      <c r="W257" s="740"/>
      <c r="X257" s="740"/>
      <c r="Y257" s="740"/>
      <c r="Z257" s="740"/>
      <c r="AA257" s="740"/>
      <c r="AB257" s="740"/>
      <c r="AC257" s="740"/>
      <c r="AD257" s="741"/>
    </row>
    <row r="258" spans="1:35" ht="60" customHeight="1">
      <c r="A258" s="50"/>
      <c r="B258" s="90"/>
      <c r="C258" s="849"/>
      <c r="D258" s="850"/>
      <c r="E258" s="874"/>
      <c r="F258" s="874"/>
      <c r="G258" s="44" t="s">
        <v>2516</v>
      </c>
      <c r="H258" s="44" t="s">
        <v>2517</v>
      </c>
      <c r="I258" s="44" t="s">
        <v>2518</v>
      </c>
      <c r="J258" s="44" t="s">
        <v>2519</v>
      </c>
      <c r="K258" s="44" t="s">
        <v>2520</v>
      </c>
      <c r="L258" s="44" t="s">
        <v>2521</v>
      </c>
      <c r="M258" s="44" t="s">
        <v>2522</v>
      </c>
      <c r="N258" s="44" t="s">
        <v>2523</v>
      </c>
      <c r="O258" s="44" t="s">
        <v>2524</v>
      </c>
      <c r="P258" s="44" t="s">
        <v>2525</v>
      </c>
      <c r="Q258" s="44" t="s">
        <v>2526</v>
      </c>
      <c r="R258" s="44" t="s">
        <v>2527</v>
      </c>
      <c r="S258" s="44" t="s">
        <v>2528</v>
      </c>
      <c r="T258" s="44" t="s">
        <v>2529</v>
      </c>
      <c r="U258" s="44" t="s">
        <v>2530</v>
      </c>
      <c r="V258" s="44" t="s">
        <v>2531</v>
      </c>
      <c r="W258" s="44" t="s">
        <v>2532</v>
      </c>
      <c r="X258" s="44" t="s">
        <v>2533</v>
      </c>
      <c r="Y258" s="44" t="s">
        <v>2534</v>
      </c>
      <c r="Z258" s="44" t="s">
        <v>2535</v>
      </c>
      <c r="AA258" s="44" t="s">
        <v>2536</v>
      </c>
      <c r="AB258" s="44" t="s">
        <v>2537</v>
      </c>
      <c r="AC258" s="44" t="s">
        <v>2538</v>
      </c>
      <c r="AD258" s="44" t="s">
        <v>2539</v>
      </c>
      <c r="AG258" s="354" t="s">
        <v>2586</v>
      </c>
      <c r="AH258" s="544" t="s">
        <v>4421</v>
      </c>
      <c r="AI258" s="334" t="s">
        <v>2885</v>
      </c>
    </row>
    <row r="259" spans="1:35" ht="15" customHeight="1">
      <c r="A259" s="50"/>
      <c r="B259" s="90"/>
      <c r="C259" s="92" t="s">
        <v>2516</v>
      </c>
      <c r="D259" s="616" t="str">
        <f>IF(CNSIPEE_2024_M2_Secc1!D42="","",CNSIPEE_2024_M2_Secc1!D42)</f>
        <v/>
      </c>
      <c r="E259" s="816"/>
      <c r="F259" s="817"/>
      <c r="G259" s="88"/>
      <c r="H259" s="88"/>
      <c r="I259" s="88"/>
      <c r="J259" s="88"/>
      <c r="K259" s="88"/>
      <c r="L259" s="88"/>
      <c r="M259" s="88"/>
      <c r="N259" s="88"/>
      <c r="O259" s="88"/>
      <c r="P259" s="88"/>
      <c r="Q259" s="88"/>
      <c r="R259" s="88"/>
      <c r="S259" s="88"/>
      <c r="T259" s="88"/>
      <c r="U259" s="88"/>
      <c r="V259" s="88"/>
      <c r="W259" s="88"/>
      <c r="X259" s="88"/>
      <c r="Y259" s="88"/>
      <c r="Z259" s="88"/>
      <c r="AA259" s="88"/>
      <c r="AB259" s="88"/>
      <c r="AC259" s="88"/>
      <c r="AD259" s="88"/>
      <c r="AG259" s="326">
        <f>IF(AND($E259&lt;&gt;"",$E259&lt;&gt;1,COUNTA(G259:AD259)=0),0,IF(AND($E259&lt;&gt;"",$E259=1,COUNTA(G259:AD259)&gt;0),0,IF(AND($E259="",COUNTA(G259:AD259)=0),0,1)))</f>
        <v>0</v>
      </c>
      <c r="AH259">
        <f>IF(AND($E259&lt;&gt;"",$E259&lt;&gt;1,COUNTA(G259:AD259)&gt;0),1,0)</f>
        <v>0</v>
      </c>
      <c r="AI259">
        <f>IF(COUNTIF(AD259:AD266,"X")&gt;0,1,0)</f>
        <v>0</v>
      </c>
    </row>
    <row r="260" spans="1:35" ht="15" customHeight="1">
      <c r="A260" s="50"/>
      <c r="B260" s="90"/>
      <c r="C260" s="44" t="s">
        <v>2517</v>
      </c>
      <c r="D260" s="616" t="str">
        <f>IF(CNSIPEE_2024_M2_Secc1!D43="","",CNSIPEE_2024_M2_Secc1!D43)</f>
        <v/>
      </c>
      <c r="E260" s="816"/>
      <c r="F260" s="817"/>
      <c r="G260" s="88"/>
      <c r="H260" s="88"/>
      <c r="I260" s="88"/>
      <c r="J260" s="88"/>
      <c r="K260" s="88"/>
      <c r="L260" s="88"/>
      <c r="M260" s="88"/>
      <c r="N260" s="88"/>
      <c r="O260" s="88"/>
      <c r="P260" s="88"/>
      <c r="Q260" s="88"/>
      <c r="R260" s="88"/>
      <c r="S260" s="88"/>
      <c r="T260" s="88"/>
      <c r="U260" s="88"/>
      <c r="V260" s="88"/>
      <c r="W260" s="88"/>
      <c r="X260" s="88"/>
      <c r="Y260" s="88"/>
      <c r="Z260" s="88"/>
      <c r="AA260" s="88"/>
      <c r="AB260" s="88"/>
      <c r="AC260" s="88"/>
      <c r="AD260" s="88"/>
      <c r="AG260" s="326">
        <f t="shared" ref="AG260:AG266" si="43">IF(AND($E260&lt;&gt;"",$E260&lt;&gt;1,COUNTA(G260:AD260)=0),0,IF(AND($E260&lt;&gt;"",$E260=1,COUNTA(G260:AD260)&gt;0),0,IF(AND($E260="",COUNTA(G260:AD260)=0),0,1)))</f>
        <v>0</v>
      </c>
      <c r="AH260">
        <f>IF(AND($E260&lt;&gt;"",$E260&lt;&gt;1,COUNTA(G260:AD260)&gt;0),1,0)</f>
        <v>0</v>
      </c>
      <c r="AI260"/>
    </row>
    <row r="261" spans="1:35" ht="15" customHeight="1">
      <c r="A261" s="50"/>
      <c r="B261" s="90"/>
      <c r="C261" s="44" t="s">
        <v>2518</v>
      </c>
      <c r="D261" s="616" t="str">
        <f>IF(CNSIPEE_2024_M2_Secc1!D44="","",CNSIPEE_2024_M2_Secc1!D44)</f>
        <v/>
      </c>
      <c r="E261" s="816"/>
      <c r="F261" s="817"/>
      <c r="G261" s="88"/>
      <c r="H261" s="88"/>
      <c r="I261" s="88"/>
      <c r="J261" s="88"/>
      <c r="K261" s="88"/>
      <c r="L261" s="88"/>
      <c r="M261" s="88"/>
      <c r="N261" s="88"/>
      <c r="O261" s="88"/>
      <c r="P261" s="88"/>
      <c r="Q261" s="88"/>
      <c r="R261" s="88"/>
      <c r="S261" s="88"/>
      <c r="T261" s="88"/>
      <c r="U261" s="88"/>
      <c r="V261" s="88"/>
      <c r="W261" s="88"/>
      <c r="X261" s="88"/>
      <c r="Y261" s="88"/>
      <c r="Z261" s="88"/>
      <c r="AA261" s="88"/>
      <c r="AB261" s="88"/>
      <c r="AC261" s="88"/>
      <c r="AD261" s="88"/>
      <c r="AG261" s="326">
        <f t="shared" si="43"/>
        <v>0</v>
      </c>
      <c r="AH261">
        <f t="shared" ref="AH261:AH266" si="44">IF(AND($E261&lt;&gt;"",$E261&lt;&gt;1,COUNTA(G261:AD261)&gt;0),1,0)</f>
        <v>0</v>
      </c>
      <c r="AI261"/>
    </row>
    <row r="262" spans="1:35" ht="15" customHeight="1">
      <c r="A262" s="50"/>
      <c r="B262" s="90"/>
      <c r="C262" s="44" t="s">
        <v>2519</v>
      </c>
      <c r="D262" s="616" t="str">
        <f>IF(CNSIPEE_2024_M2_Secc1!D45="","",CNSIPEE_2024_M2_Secc1!D45)</f>
        <v/>
      </c>
      <c r="E262" s="816"/>
      <c r="F262" s="817"/>
      <c r="G262" s="88"/>
      <c r="H262" s="88"/>
      <c r="I262" s="88"/>
      <c r="J262" s="88"/>
      <c r="K262" s="88"/>
      <c r="L262" s="88"/>
      <c r="M262" s="88"/>
      <c r="N262" s="88"/>
      <c r="O262" s="88"/>
      <c r="P262" s="88"/>
      <c r="Q262" s="88"/>
      <c r="R262" s="88"/>
      <c r="S262" s="88"/>
      <c r="T262" s="88"/>
      <c r="U262" s="88"/>
      <c r="V262" s="88"/>
      <c r="W262" s="88"/>
      <c r="X262" s="88"/>
      <c r="Y262" s="88"/>
      <c r="Z262" s="88"/>
      <c r="AA262" s="88"/>
      <c r="AB262" s="88"/>
      <c r="AC262" s="88"/>
      <c r="AD262" s="88"/>
      <c r="AG262" s="326">
        <f t="shared" si="43"/>
        <v>0</v>
      </c>
      <c r="AH262">
        <f t="shared" si="44"/>
        <v>0</v>
      </c>
      <c r="AI262"/>
    </row>
    <row r="263" spans="1:35" ht="15" customHeight="1">
      <c r="A263" s="50"/>
      <c r="B263" s="90"/>
      <c r="C263" s="44" t="s">
        <v>2520</v>
      </c>
      <c r="D263" s="616" t="str">
        <f>IF(CNSIPEE_2024_M2_Secc1!D46="","",CNSIPEE_2024_M2_Secc1!D46)</f>
        <v/>
      </c>
      <c r="E263" s="816"/>
      <c r="F263" s="817"/>
      <c r="G263" s="88"/>
      <c r="H263" s="88"/>
      <c r="I263" s="88"/>
      <c r="J263" s="88"/>
      <c r="K263" s="88"/>
      <c r="L263" s="88"/>
      <c r="M263" s="88"/>
      <c r="N263" s="88"/>
      <c r="O263" s="88"/>
      <c r="P263" s="88"/>
      <c r="Q263" s="88"/>
      <c r="R263" s="88"/>
      <c r="S263" s="88"/>
      <c r="T263" s="88"/>
      <c r="U263" s="88"/>
      <c r="V263" s="88"/>
      <c r="W263" s="88"/>
      <c r="X263" s="88"/>
      <c r="Y263" s="88"/>
      <c r="Z263" s="88"/>
      <c r="AA263" s="88"/>
      <c r="AB263" s="88"/>
      <c r="AC263" s="88"/>
      <c r="AD263" s="88"/>
      <c r="AG263" s="326">
        <f t="shared" si="43"/>
        <v>0</v>
      </c>
      <c r="AH263">
        <f t="shared" si="44"/>
        <v>0</v>
      </c>
      <c r="AI263"/>
    </row>
    <row r="264" spans="1:35" ht="15" customHeight="1">
      <c r="A264" s="50"/>
      <c r="B264" s="90"/>
      <c r="C264" s="44" t="s">
        <v>2521</v>
      </c>
      <c r="D264" s="616" t="str">
        <f>IF(CNSIPEE_2024_M2_Secc1!D47="","",CNSIPEE_2024_M2_Secc1!D47)</f>
        <v/>
      </c>
      <c r="E264" s="816"/>
      <c r="F264" s="817"/>
      <c r="G264" s="88"/>
      <c r="H264" s="88"/>
      <c r="I264" s="88"/>
      <c r="J264" s="88"/>
      <c r="K264" s="88"/>
      <c r="L264" s="88"/>
      <c r="M264" s="88"/>
      <c r="N264" s="88"/>
      <c r="O264" s="88"/>
      <c r="P264" s="88"/>
      <c r="Q264" s="88"/>
      <c r="R264" s="88"/>
      <c r="S264" s="88"/>
      <c r="T264" s="88"/>
      <c r="U264" s="88"/>
      <c r="V264" s="88"/>
      <c r="W264" s="88"/>
      <c r="X264" s="88"/>
      <c r="Y264" s="88"/>
      <c r="Z264" s="88"/>
      <c r="AA264" s="88"/>
      <c r="AB264" s="88"/>
      <c r="AC264" s="88"/>
      <c r="AD264" s="88"/>
      <c r="AG264" s="326">
        <f t="shared" si="43"/>
        <v>0</v>
      </c>
      <c r="AH264">
        <f t="shared" si="44"/>
        <v>0</v>
      </c>
      <c r="AI264"/>
    </row>
    <row r="265" spans="1:35" ht="15" customHeight="1">
      <c r="A265" s="50"/>
      <c r="B265" s="90"/>
      <c r="C265" s="44" t="s">
        <v>2522</v>
      </c>
      <c r="D265" s="616" t="str">
        <f>IF(CNSIPEE_2024_M2_Secc1!D48="","",CNSIPEE_2024_M2_Secc1!D48)</f>
        <v/>
      </c>
      <c r="E265" s="816"/>
      <c r="F265" s="817"/>
      <c r="G265" s="88"/>
      <c r="H265" s="88"/>
      <c r="I265" s="88"/>
      <c r="J265" s="88"/>
      <c r="K265" s="88"/>
      <c r="L265" s="88"/>
      <c r="M265" s="88"/>
      <c r="N265" s="88"/>
      <c r="O265" s="88"/>
      <c r="P265" s="88"/>
      <c r="Q265" s="88"/>
      <c r="R265" s="88"/>
      <c r="S265" s="88"/>
      <c r="T265" s="88"/>
      <c r="U265" s="88"/>
      <c r="V265" s="88"/>
      <c r="W265" s="88"/>
      <c r="X265" s="88"/>
      <c r="Y265" s="88"/>
      <c r="Z265" s="88"/>
      <c r="AA265" s="88"/>
      <c r="AB265" s="88"/>
      <c r="AC265" s="88"/>
      <c r="AD265" s="88"/>
      <c r="AG265" s="326">
        <f t="shared" si="43"/>
        <v>0</v>
      </c>
      <c r="AH265">
        <f t="shared" si="44"/>
        <v>0</v>
      </c>
      <c r="AI265"/>
    </row>
    <row r="266" spans="1:35" ht="15" customHeight="1">
      <c r="A266" s="50"/>
      <c r="B266" s="90"/>
      <c r="C266" s="44" t="s">
        <v>2523</v>
      </c>
      <c r="D266" s="616" t="str">
        <f>IF(CNSIPEE_2024_M2_Secc1!D49="","",CNSIPEE_2024_M2_Secc1!D49)</f>
        <v/>
      </c>
      <c r="E266" s="816"/>
      <c r="F266" s="817"/>
      <c r="G266" s="88"/>
      <c r="H266" s="88"/>
      <c r="I266" s="88"/>
      <c r="J266" s="88"/>
      <c r="K266" s="88"/>
      <c r="L266" s="88"/>
      <c r="M266" s="88"/>
      <c r="N266" s="88"/>
      <c r="O266" s="88"/>
      <c r="P266" s="88"/>
      <c r="Q266" s="88"/>
      <c r="R266" s="88"/>
      <c r="S266" s="88"/>
      <c r="T266" s="88"/>
      <c r="U266" s="88"/>
      <c r="V266" s="88"/>
      <c r="W266" s="88"/>
      <c r="X266" s="88"/>
      <c r="Y266" s="88"/>
      <c r="Z266" s="88"/>
      <c r="AA266" s="88"/>
      <c r="AB266" s="88"/>
      <c r="AC266" s="88"/>
      <c r="AD266" s="88"/>
      <c r="AG266" s="326">
        <f t="shared" si="43"/>
        <v>0</v>
      </c>
      <c r="AH266">
        <f t="shared" si="44"/>
        <v>0</v>
      </c>
      <c r="AI266"/>
    </row>
    <row r="267" spans="1:35" ht="15" customHeight="1">
      <c r="A267" s="50"/>
      <c r="B267" s="57"/>
      <c r="C267" s="57"/>
      <c r="D267" s="57"/>
      <c r="E267" s="57"/>
      <c r="F267" s="57"/>
      <c r="G267" s="57"/>
      <c r="H267" s="57"/>
      <c r="I267" s="57"/>
      <c r="J267" s="57"/>
      <c r="K267" s="57"/>
      <c r="L267" s="57"/>
      <c r="M267" s="57"/>
      <c r="N267" s="57"/>
      <c r="O267" s="57"/>
      <c r="P267" s="57"/>
      <c r="Q267" s="57"/>
      <c r="R267" s="57"/>
      <c r="S267" s="57"/>
      <c r="T267" s="57"/>
      <c r="U267" s="57"/>
      <c r="V267" s="57"/>
      <c r="W267" s="57"/>
      <c r="X267" s="57"/>
      <c r="Y267" s="57"/>
      <c r="Z267" s="57"/>
      <c r="AA267" s="57"/>
      <c r="AB267" s="57"/>
      <c r="AC267" s="57"/>
      <c r="AD267" s="57"/>
      <c r="AG267" s="354">
        <f>SUM(AG259:AG266)</f>
        <v>0</v>
      </c>
      <c r="AH267" s="563">
        <f>SUM(AH259:AH266)</f>
        <v>0</v>
      </c>
    </row>
    <row r="268" spans="1:35" ht="45" customHeight="1">
      <c r="A268" s="50"/>
      <c r="B268" s="57"/>
      <c r="C268" s="822" t="s">
        <v>2798</v>
      </c>
      <c r="D268" s="822"/>
      <c r="E268" s="822"/>
      <c r="F268" s="749"/>
      <c r="G268" s="749"/>
      <c r="H268" s="749"/>
      <c r="I268" s="749"/>
      <c r="J268" s="749"/>
      <c r="K268" s="749"/>
      <c r="L268" s="749"/>
      <c r="M268" s="749"/>
      <c r="N268" s="749"/>
      <c r="O268" s="749"/>
      <c r="P268" s="749"/>
      <c r="Q268" s="749"/>
      <c r="R268" s="749"/>
      <c r="S268" s="749"/>
      <c r="T268" s="749"/>
      <c r="U268" s="749"/>
      <c r="V268" s="749"/>
      <c r="W268" s="749"/>
      <c r="X268" s="749"/>
      <c r="Y268" s="749"/>
      <c r="Z268" s="749"/>
      <c r="AA268" s="749"/>
      <c r="AB268" s="749"/>
      <c r="AC268" s="749"/>
      <c r="AD268" s="749"/>
    </row>
    <row r="269" spans="1:35" ht="15" customHeight="1">
      <c r="A269" s="50"/>
      <c r="B269" s="794" t="str">
        <f>IF(AND(AI259&gt;0,F268=""),"Debido a que seleccionó el código 24 en la col. Tipo de bienes materiales donados debe anotar el nombre de dicho(s) tipo(s) de bienes","")</f>
        <v/>
      </c>
      <c r="C269" s="794"/>
      <c r="D269" s="794"/>
      <c r="E269" s="794"/>
      <c r="F269" s="794"/>
      <c r="G269" s="794"/>
      <c r="H269" s="794"/>
      <c r="I269" s="794"/>
      <c r="J269" s="794"/>
      <c r="K269" s="794"/>
      <c r="L269" s="794"/>
      <c r="M269" s="794"/>
      <c r="N269" s="794"/>
      <c r="O269" s="794"/>
      <c r="P269" s="794"/>
      <c r="Q269" s="794"/>
      <c r="R269" s="794"/>
      <c r="S269" s="794"/>
      <c r="T269" s="794"/>
      <c r="U269" s="794"/>
      <c r="V269" s="794"/>
      <c r="W269" s="794"/>
      <c r="X269" s="794"/>
      <c r="Y269" s="794"/>
      <c r="Z269" s="794"/>
      <c r="AA269" s="794"/>
      <c r="AB269" s="794"/>
      <c r="AC269" s="794"/>
      <c r="AD269" s="794"/>
      <c r="AE269" s="794"/>
    </row>
    <row r="270" spans="1:35" ht="15" customHeight="1">
      <c r="A270" s="50"/>
      <c r="B270" s="57"/>
      <c r="C270" s="732" t="s">
        <v>4422</v>
      </c>
      <c r="D270" s="732"/>
      <c r="E270" s="732"/>
      <c r="F270" s="732"/>
      <c r="G270" s="732"/>
      <c r="H270" s="732"/>
      <c r="I270" s="732"/>
      <c r="J270" s="732"/>
      <c r="K270" s="732"/>
      <c r="L270" s="732"/>
      <c r="M270" s="732"/>
      <c r="N270" s="732"/>
      <c r="O270" s="732"/>
      <c r="P270" s="732"/>
      <c r="Q270" s="732"/>
      <c r="R270" s="732"/>
      <c r="S270" s="732"/>
      <c r="T270" s="732"/>
      <c r="U270" s="732"/>
      <c r="V270" s="732"/>
      <c r="W270" s="732"/>
      <c r="X270" s="732"/>
      <c r="Y270" s="732"/>
      <c r="Z270" s="732"/>
      <c r="AA270" s="732"/>
      <c r="AB270" s="732"/>
      <c r="AC270" s="732"/>
      <c r="AD270" s="732"/>
    </row>
    <row r="271" spans="1:35" ht="15" customHeight="1">
      <c r="A271" s="50"/>
      <c r="B271" s="57"/>
      <c r="C271" s="44" t="s">
        <v>2516</v>
      </c>
      <c r="D271" s="796" t="s">
        <v>2889</v>
      </c>
      <c r="E271" s="796"/>
      <c r="F271" s="796"/>
      <c r="G271" s="796"/>
      <c r="H271" s="796"/>
      <c r="I271" s="796"/>
      <c r="J271" s="796"/>
      <c r="K271" s="796"/>
      <c r="L271" s="796"/>
      <c r="M271" s="796"/>
      <c r="N271" s="796"/>
      <c r="O271" s="796"/>
      <c r="P271" s="796"/>
      <c r="Q271" s="44" t="s">
        <v>2528</v>
      </c>
      <c r="R271" s="796" t="s">
        <v>2913</v>
      </c>
      <c r="S271" s="796"/>
      <c r="T271" s="796"/>
      <c r="U271" s="796"/>
      <c r="V271" s="796"/>
      <c r="W271" s="796"/>
      <c r="X271" s="796"/>
      <c r="Y271" s="796"/>
      <c r="Z271" s="796"/>
      <c r="AA271" s="796"/>
      <c r="AB271" s="796"/>
      <c r="AC271" s="796"/>
      <c r="AD271" s="796"/>
    </row>
    <row r="272" spans="1:35" ht="15" customHeight="1">
      <c r="A272" s="50"/>
      <c r="B272" s="57"/>
      <c r="C272" s="44" t="s">
        <v>2517</v>
      </c>
      <c r="D272" s="796" t="s">
        <v>2891</v>
      </c>
      <c r="E272" s="796"/>
      <c r="F272" s="796"/>
      <c r="G272" s="796"/>
      <c r="H272" s="796"/>
      <c r="I272" s="796"/>
      <c r="J272" s="796"/>
      <c r="K272" s="796"/>
      <c r="L272" s="796"/>
      <c r="M272" s="796"/>
      <c r="N272" s="796"/>
      <c r="O272" s="796"/>
      <c r="P272" s="796"/>
      <c r="Q272" s="44" t="s">
        <v>2529</v>
      </c>
      <c r="R272" s="796" t="s">
        <v>2914</v>
      </c>
      <c r="S272" s="796"/>
      <c r="T272" s="796"/>
      <c r="U272" s="796"/>
      <c r="V272" s="796"/>
      <c r="W272" s="796"/>
      <c r="X272" s="796"/>
      <c r="Y272" s="796"/>
      <c r="Z272" s="796"/>
      <c r="AA272" s="796"/>
      <c r="AB272" s="796"/>
      <c r="AC272" s="796"/>
      <c r="AD272" s="796"/>
    </row>
    <row r="273" spans="1:31" ht="15" customHeight="1">
      <c r="A273" s="50"/>
      <c r="B273" s="57"/>
      <c r="C273" s="44" t="s">
        <v>2518</v>
      </c>
      <c r="D273" s="796" t="s">
        <v>2893</v>
      </c>
      <c r="E273" s="796"/>
      <c r="F273" s="796"/>
      <c r="G273" s="796"/>
      <c r="H273" s="796"/>
      <c r="I273" s="796"/>
      <c r="J273" s="796"/>
      <c r="K273" s="796"/>
      <c r="L273" s="796"/>
      <c r="M273" s="796"/>
      <c r="N273" s="796"/>
      <c r="O273" s="796"/>
      <c r="P273" s="796"/>
      <c r="Q273" s="44" t="s">
        <v>2530</v>
      </c>
      <c r="R273" s="796" t="s">
        <v>2915</v>
      </c>
      <c r="S273" s="796"/>
      <c r="T273" s="796"/>
      <c r="U273" s="796"/>
      <c r="V273" s="796"/>
      <c r="W273" s="796"/>
      <c r="X273" s="796"/>
      <c r="Y273" s="796"/>
      <c r="Z273" s="796"/>
      <c r="AA273" s="796"/>
      <c r="AB273" s="796"/>
      <c r="AC273" s="796"/>
      <c r="AD273" s="796"/>
    </row>
    <row r="274" spans="1:31" ht="15" customHeight="1">
      <c r="A274" s="50"/>
      <c r="B274" s="57"/>
      <c r="C274" s="44" t="s">
        <v>2519</v>
      </c>
      <c r="D274" s="796" t="s">
        <v>2895</v>
      </c>
      <c r="E274" s="796"/>
      <c r="F274" s="796"/>
      <c r="G274" s="796"/>
      <c r="H274" s="796"/>
      <c r="I274" s="796"/>
      <c r="J274" s="796"/>
      <c r="K274" s="796"/>
      <c r="L274" s="796"/>
      <c r="M274" s="796"/>
      <c r="N274" s="796"/>
      <c r="O274" s="796"/>
      <c r="P274" s="796"/>
      <c r="Q274" s="44" t="s">
        <v>2531</v>
      </c>
      <c r="R274" s="796" t="s">
        <v>2916</v>
      </c>
      <c r="S274" s="796"/>
      <c r="T274" s="796"/>
      <c r="U274" s="796"/>
      <c r="V274" s="796"/>
      <c r="W274" s="796"/>
      <c r="X274" s="796"/>
      <c r="Y274" s="796"/>
      <c r="Z274" s="796"/>
      <c r="AA274" s="796"/>
      <c r="AB274" s="796"/>
      <c r="AC274" s="796"/>
      <c r="AD274" s="796"/>
    </row>
    <row r="275" spans="1:31" ht="15" customHeight="1">
      <c r="A275" s="50"/>
      <c r="B275" s="57"/>
      <c r="C275" s="44" t="s">
        <v>2520</v>
      </c>
      <c r="D275" s="796" t="s">
        <v>2897</v>
      </c>
      <c r="E275" s="796"/>
      <c r="F275" s="796"/>
      <c r="G275" s="796"/>
      <c r="H275" s="796"/>
      <c r="I275" s="796"/>
      <c r="J275" s="796"/>
      <c r="K275" s="796"/>
      <c r="L275" s="796"/>
      <c r="M275" s="796"/>
      <c r="N275" s="796"/>
      <c r="O275" s="796"/>
      <c r="P275" s="796"/>
      <c r="Q275" s="44" t="s">
        <v>2532</v>
      </c>
      <c r="R275" s="796" t="s">
        <v>2917</v>
      </c>
      <c r="S275" s="796"/>
      <c r="T275" s="796"/>
      <c r="U275" s="796"/>
      <c r="V275" s="796"/>
      <c r="W275" s="796"/>
      <c r="X275" s="796"/>
      <c r="Y275" s="796"/>
      <c r="Z275" s="796"/>
      <c r="AA275" s="796"/>
      <c r="AB275" s="796"/>
      <c r="AC275" s="796"/>
      <c r="AD275" s="796"/>
    </row>
    <row r="276" spans="1:31" ht="15" customHeight="1">
      <c r="A276" s="50"/>
      <c r="B276" s="57"/>
      <c r="C276" s="44" t="s">
        <v>2521</v>
      </c>
      <c r="D276" s="796" t="s">
        <v>2899</v>
      </c>
      <c r="E276" s="796"/>
      <c r="F276" s="796"/>
      <c r="G276" s="796"/>
      <c r="H276" s="796"/>
      <c r="I276" s="796"/>
      <c r="J276" s="796"/>
      <c r="K276" s="796"/>
      <c r="L276" s="796"/>
      <c r="M276" s="796"/>
      <c r="N276" s="796"/>
      <c r="O276" s="796"/>
      <c r="P276" s="796"/>
      <c r="Q276" s="44" t="s">
        <v>2533</v>
      </c>
      <c r="R276" s="796" t="s">
        <v>2918</v>
      </c>
      <c r="S276" s="796"/>
      <c r="T276" s="796"/>
      <c r="U276" s="796"/>
      <c r="V276" s="796"/>
      <c r="W276" s="796"/>
      <c r="X276" s="796"/>
      <c r="Y276" s="796"/>
      <c r="Z276" s="796"/>
      <c r="AA276" s="796"/>
      <c r="AB276" s="796"/>
      <c r="AC276" s="796"/>
      <c r="AD276" s="796"/>
    </row>
    <row r="277" spans="1:31" ht="15" customHeight="1">
      <c r="A277" s="50"/>
      <c r="B277" s="57"/>
      <c r="C277" s="44" t="s">
        <v>2522</v>
      </c>
      <c r="D277" s="796" t="s">
        <v>2901</v>
      </c>
      <c r="E277" s="796"/>
      <c r="F277" s="796"/>
      <c r="G277" s="796"/>
      <c r="H277" s="796"/>
      <c r="I277" s="796"/>
      <c r="J277" s="796"/>
      <c r="K277" s="796"/>
      <c r="L277" s="796"/>
      <c r="M277" s="796"/>
      <c r="N277" s="796"/>
      <c r="O277" s="796"/>
      <c r="P277" s="796"/>
      <c r="Q277" s="44" t="s">
        <v>2534</v>
      </c>
      <c r="R277" s="796" t="s">
        <v>2919</v>
      </c>
      <c r="S277" s="796"/>
      <c r="T277" s="796"/>
      <c r="U277" s="796"/>
      <c r="V277" s="796"/>
      <c r="W277" s="796"/>
      <c r="X277" s="796"/>
      <c r="Y277" s="796"/>
      <c r="Z277" s="796"/>
      <c r="AA277" s="796"/>
      <c r="AB277" s="796"/>
      <c r="AC277" s="796"/>
      <c r="AD277" s="796"/>
    </row>
    <row r="278" spans="1:31" ht="15" customHeight="1">
      <c r="A278" s="50"/>
      <c r="B278" s="57"/>
      <c r="C278" s="44" t="s">
        <v>2523</v>
      </c>
      <c r="D278" s="796" t="s">
        <v>2903</v>
      </c>
      <c r="E278" s="796"/>
      <c r="F278" s="796"/>
      <c r="G278" s="796"/>
      <c r="H278" s="796"/>
      <c r="I278" s="796"/>
      <c r="J278" s="796"/>
      <c r="K278" s="796"/>
      <c r="L278" s="796"/>
      <c r="M278" s="796"/>
      <c r="N278" s="796"/>
      <c r="O278" s="796"/>
      <c r="P278" s="796"/>
      <c r="Q278" s="44" t="s">
        <v>2535</v>
      </c>
      <c r="R278" s="796" t="s">
        <v>2920</v>
      </c>
      <c r="S278" s="796"/>
      <c r="T278" s="796"/>
      <c r="U278" s="796"/>
      <c r="V278" s="796"/>
      <c r="W278" s="796"/>
      <c r="X278" s="796"/>
      <c r="Y278" s="796"/>
      <c r="Z278" s="796"/>
      <c r="AA278" s="796"/>
      <c r="AB278" s="796"/>
      <c r="AC278" s="796"/>
      <c r="AD278" s="796"/>
    </row>
    <row r="279" spans="1:31" ht="15" customHeight="1">
      <c r="A279" s="50"/>
      <c r="B279" s="57"/>
      <c r="C279" s="44" t="s">
        <v>2524</v>
      </c>
      <c r="D279" s="796" t="s">
        <v>2905</v>
      </c>
      <c r="E279" s="796"/>
      <c r="F279" s="796"/>
      <c r="G279" s="796"/>
      <c r="H279" s="796"/>
      <c r="I279" s="796"/>
      <c r="J279" s="796"/>
      <c r="K279" s="796"/>
      <c r="L279" s="796"/>
      <c r="M279" s="796"/>
      <c r="N279" s="796"/>
      <c r="O279" s="796"/>
      <c r="P279" s="796"/>
      <c r="Q279" s="44" t="s">
        <v>2536</v>
      </c>
      <c r="R279" s="796" t="s">
        <v>2921</v>
      </c>
      <c r="S279" s="796"/>
      <c r="T279" s="796"/>
      <c r="U279" s="796"/>
      <c r="V279" s="796"/>
      <c r="W279" s="796"/>
      <c r="X279" s="796"/>
      <c r="Y279" s="796"/>
      <c r="Z279" s="796"/>
      <c r="AA279" s="796"/>
      <c r="AB279" s="796"/>
      <c r="AC279" s="796"/>
      <c r="AD279" s="796"/>
    </row>
    <row r="280" spans="1:31" ht="15" customHeight="1">
      <c r="A280" s="50"/>
      <c r="B280" s="57"/>
      <c r="C280" s="44" t="s">
        <v>2525</v>
      </c>
      <c r="D280" s="796" t="s">
        <v>2907</v>
      </c>
      <c r="E280" s="796"/>
      <c r="F280" s="796"/>
      <c r="G280" s="796"/>
      <c r="H280" s="796"/>
      <c r="I280" s="796"/>
      <c r="J280" s="796"/>
      <c r="K280" s="796"/>
      <c r="L280" s="796"/>
      <c r="M280" s="796"/>
      <c r="N280" s="796"/>
      <c r="O280" s="796"/>
      <c r="P280" s="796"/>
      <c r="Q280" s="44" t="s">
        <v>2537</v>
      </c>
      <c r="R280" s="796" t="s">
        <v>2922</v>
      </c>
      <c r="S280" s="796"/>
      <c r="T280" s="796"/>
      <c r="U280" s="796"/>
      <c r="V280" s="796"/>
      <c r="W280" s="796"/>
      <c r="X280" s="796"/>
      <c r="Y280" s="796"/>
      <c r="Z280" s="796"/>
      <c r="AA280" s="796"/>
      <c r="AB280" s="796"/>
      <c r="AC280" s="796"/>
      <c r="AD280" s="796"/>
    </row>
    <row r="281" spans="1:31" ht="24" customHeight="1">
      <c r="A281" s="50"/>
      <c r="B281" s="57"/>
      <c r="C281" s="44" t="s">
        <v>2526</v>
      </c>
      <c r="D281" s="796" t="s">
        <v>2909</v>
      </c>
      <c r="E281" s="796"/>
      <c r="F281" s="796"/>
      <c r="G281" s="796"/>
      <c r="H281" s="796"/>
      <c r="I281" s="796"/>
      <c r="J281" s="796"/>
      <c r="K281" s="796"/>
      <c r="L281" s="796"/>
      <c r="M281" s="796"/>
      <c r="N281" s="796"/>
      <c r="O281" s="796"/>
      <c r="P281" s="796"/>
      <c r="Q281" s="44" t="s">
        <v>2538</v>
      </c>
      <c r="R281" s="796" t="s">
        <v>2923</v>
      </c>
      <c r="S281" s="796"/>
      <c r="T281" s="796"/>
      <c r="U281" s="796"/>
      <c r="V281" s="796"/>
      <c r="W281" s="796"/>
      <c r="X281" s="796"/>
      <c r="Y281" s="796"/>
      <c r="Z281" s="796"/>
      <c r="AA281" s="796"/>
      <c r="AB281" s="796"/>
      <c r="AC281" s="796"/>
      <c r="AD281" s="796"/>
    </row>
    <row r="282" spans="1:31" ht="15" customHeight="1">
      <c r="A282" s="50"/>
      <c r="B282" s="57"/>
      <c r="C282" s="44" t="s">
        <v>2527</v>
      </c>
      <c r="D282" s="796" t="s">
        <v>2911</v>
      </c>
      <c r="E282" s="796"/>
      <c r="F282" s="796"/>
      <c r="G282" s="796"/>
      <c r="H282" s="796"/>
      <c r="I282" s="796"/>
      <c r="J282" s="796"/>
      <c r="K282" s="796"/>
      <c r="L282" s="796"/>
      <c r="M282" s="796"/>
      <c r="N282" s="796"/>
      <c r="O282" s="796"/>
      <c r="P282" s="796"/>
      <c r="Q282" s="44" t="s">
        <v>2539</v>
      </c>
      <c r="R282" s="796" t="s">
        <v>2609</v>
      </c>
      <c r="S282" s="796"/>
      <c r="T282" s="796"/>
      <c r="U282" s="796"/>
      <c r="V282" s="796"/>
      <c r="W282" s="796"/>
      <c r="X282" s="796"/>
      <c r="Y282" s="796"/>
      <c r="Z282" s="796"/>
      <c r="AA282" s="796"/>
      <c r="AB282" s="796"/>
      <c r="AC282" s="796"/>
      <c r="AD282" s="796"/>
    </row>
    <row r="283" spans="1:31" ht="15" customHeight="1">
      <c r="A283" s="50"/>
      <c r="B283" s="57"/>
      <c r="C283" s="84"/>
      <c r="D283" s="84"/>
      <c r="E283" s="84"/>
      <c r="F283" s="84"/>
      <c r="G283" s="84"/>
      <c r="H283" s="84"/>
      <c r="I283" s="84"/>
      <c r="J283" s="84"/>
      <c r="K283" s="84"/>
      <c r="L283" s="84"/>
      <c r="M283" s="84"/>
      <c r="N283" s="84"/>
      <c r="O283" s="84"/>
      <c r="P283" s="84"/>
      <c r="Q283" s="84"/>
      <c r="R283" s="84"/>
      <c r="S283" s="84"/>
      <c r="T283" s="84"/>
      <c r="U283" s="84"/>
      <c r="V283" s="84"/>
      <c r="W283" s="84"/>
      <c r="X283" s="84"/>
      <c r="Y283" s="84"/>
      <c r="Z283" s="84"/>
      <c r="AA283" s="84"/>
      <c r="AB283" s="84"/>
      <c r="AC283" s="84"/>
      <c r="AD283" s="84"/>
    </row>
    <row r="284" spans="1:31" ht="24" customHeight="1">
      <c r="A284" s="50"/>
      <c r="B284" s="57"/>
      <c r="C284" s="764" t="s">
        <v>2611</v>
      </c>
      <c r="D284" s="764"/>
      <c r="E284" s="764"/>
      <c r="F284" s="764"/>
      <c r="G284" s="764"/>
      <c r="H284" s="764"/>
      <c r="I284" s="764"/>
      <c r="J284" s="764"/>
      <c r="K284" s="764"/>
      <c r="L284" s="764"/>
      <c r="M284" s="764"/>
      <c r="N284" s="764"/>
      <c r="O284" s="764"/>
      <c r="P284" s="764"/>
      <c r="Q284" s="764"/>
      <c r="R284" s="764"/>
      <c r="S284" s="764"/>
      <c r="T284" s="764"/>
      <c r="U284" s="764"/>
      <c r="V284" s="764"/>
      <c r="W284" s="764"/>
      <c r="X284" s="764"/>
      <c r="Y284" s="764"/>
      <c r="Z284" s="764"/>
      <c r="AA284" s="764"/>
      <c r="AB284" s="764"/>
      <c r="AC284" s="764"/>
      <c r="AD284" s="764"/>
    </row>
    <row r="285" spans="1:31" ht="60" customHeight="1">
      <c r="A285" s="50"/>
      <c r="B285" s="57"/>
      <c r="C285" s="1078"/>
      <c r="D285" s="1079"/>
      <c r="E285" s="1079"/>
      <c r="F285" s="1079"/>
      <c r="G285" s="1079"/>
      <c r="H285" s="1079"/>
      <c r="I285" s="1079"/>
      <c r="J285" s="1079"/>
      <c r="K285" s="1079"/>
      <c r="L285" s="1079"/>
      <c r="M285" s="1079"/>
      <c r="N285" s="1079"/>
      <c r="O285" s="1079"/>
      <c r="P285" s="1079"/>
      <c r="Q285" s="1079"/>
      <c r="R285" s="1079"/>
      <c r="S285" s="1079"/>
      <c r="T285" s="1079"/>
      <c r="U285" s="1079"/>
      <c r="V285" s="1079"/>
      <c r="W285" s="1079"/>
      <c r="X285" s="1079"/>
      <c r="Y285" s="1079"/>
      <c r="Z285" s="1079"/>
      <c r="AA285" s="1079"/>
      <c r="AB285" s="1079"/>
      <c r="AC285" s="1079"/>
      <c r="AD285" s="1080"/>
    </row>
    <row r="286" spans="1:31" ht="15" customHeight="1">
      <c r="A286" s="91"/>
      <c r="B286" s="794" t="str">
        <f>IF(AG267&gt;0,"Favor de ingresar toda la información requerida en la pregunta y/o verifique que no tenga información en celdas sombreadas","")</f>
        <v/>
      </c>
      <c r="C286" s="794"/>
      <c r="D286" s="794"/>
      <c r="E286" s="794"/>
      <c r="F286" s="794"/>
      <c r="G286" s="794"/>
      <c r="H286" s="794"/>
      <c r="I286" s="794"/>
      <c r="J286" s="794"/>
      <c r="K286" s="794"/>
      <c r="L286" s="794"/>
      <c r="M286" s="794"/>
      <c r="N286" s="794"/>
      <c r="O286" s="794"/>
      <c r="P286" s="794"/>
      <c r="Q286" s="794"/>
      <c r="R286" s="794"/>
      <c r="S286" s="794"/>
      <c r="T286" s="794"/>
      <c r="U286" s="794"/>
      <c r="V286" s="794"/>
      <c r="W286" s="794"/>
      <c r="X286" s="794"/>
      <c r="Y286" s="794"/>
      <c r="Z286" s="794"/>
      <c r="AA286" s="794"/>
      <c r="AB286" s="794"/>
      <c r="AC286" s="794"/>
      <c r="AD286" s="794"/>
      <c r="AE286"/>
    </row>
    <row r="287" spans="1:31" ht="15" customHeight="1">
      <c r="A287" s="91"/>
      <c r="B287" s="795"/>
      <c r="C287" s="795"/>
      <c r="D287" s="795"/>
      <c r="E287" s="795"/>
      <c r="F287" s="795"/>
      <c r="G287" s="795"/>
      <c r="H287" s="795"/>
      <c r="I287" s="795"/>
      <c r="J287" s="795"/>
      <c r="K287" s="795"/>
      <c r="L287" s="795"/>
      <c r="M287" s="795"/>
      <c r="N287" s="795"/>
      <c r="O287" s="795"/>
      <c r="P287" s="795"/>
      <c r="Q287" s="795"/>
      <c r="R287" s="795"/>
      <c r="S287" s="795"/>
      <c r="T287" s="795"/>
      <c r="U287" s="795"/>
      <c r="V287" s="795"/>
      <c r="W287" s="795"/>
      <c r="X287" s="795"/>
      <c r="Y287" s="795"/>
      <c r="Z287" s="795"/>
      <c r="AA287" s="795"/>
      <c r="AB287" s="795"/>
      <c r="AC287" s="795"/>
      <c r="AD287" s="795"/>
      <c r="AE287" s="795"/>
    </row>
    <row r="288" spans="1:31" ht="15" customHeight="1">
      <c r="A288" s="91"/>
      <c r="AE288"/>
    </row>
    <row r="289" spans="1:36" ht="15" customHeight="1">
      <c r="A289" s="91"/>
      <c r="AE289"/>
    </row>
    <row r="290" spans="1:36" ht="15" customHeight="1">
      <c r="A290" s="91"/>
      <c r="AE290"/>
    </row>
    <row r="291" spans="1:36" ht="15" customHeight="1" thickBot="1">
      <c r="A291" s="91"/>
      <c r="AE291"/>
    </row>
    <row r="292" spans="1:36" customFormat="1" ht="15" customHeight="1" thickBot="1">
      <c r="A292" s="153" t="s">
        <v>2563</v>
      </c>
      <c r="B292" s="831" t="s">
        <v>4423</v>
      </c>
      <c r="C292" s="832"/>
      <c r="D292" s="832"/>
      <c r="E292" s="832"/>
      <c r="F292" s="832"/>
      <c r="G292" s="832"/>
      <c r="H292" s="832"/>
      <c r="I292" s="832"/>
      <c r="J292" s="832"/>
      <c r="K292" s="832"/>
      <c r="L292" s="832"/>
      <c r="M292" s="832"/>
      <c r="N292" s="832"/>
      <c r="O292" s="832"/>
      <c r="P292" s="832"/>
      <c r="Q292" s="832"/>
      <c r="R292" s="832"/>
      <c r="S292" s="832"/>
      <c r="T292" s="832"/>
      <c r="U292" s="832"/>
      <c r="V292" s="832"/>
      <c r="W292" s="832"/>
      <c r="X292" s="832"/>
      <c r="Y292" s="832"/>
      <c r="Z292" s="832"/>
      <c r="AA292" s="832"/>
      <c r="AB292" s="832"/>
      <c r="AC292" s="832"/>
      <c r="AD292" s="833"/>
      <c r="AE292" s="3"/>
    </row>
    <row r="293" spans="1:36" ht="15" customHeight="1">
      <c r="A293" s="147"/>
      <c r="B293" s="1006" t="s">
        <v>2948</v>
      </c>
      <c r="C293" s="893"/>
      <c r="D293" s="893"/>
      <c r="E293" s="893"/>
      <c r="F293" s="893"/>
      <c r="G293" s="893"/>
      <c r="H293" s="893"/>
      <c r="I293" s="893"/>
      <c r="J293" s="893"/>
      <c r="K293" s="893"/>
      <c r="L293" s="893"/>
      <c r="M293" s="893"/>
      <c r="N293" s="893"/>
      <c r="O293" s="893"/>
      <c r="P293" s="893"/>
      <c r="Q293" s="893"/>
      <c r="R293" s="893"/>
      <c r="S293" s="893"/>
      <c r="T293" s="893"/>
      <c r="U293" s="893"/>
      <c r="V293" s="893"/>
      <c r="W293" s="893"/>
      <c r="X293" s="893"/>
      <c r="Y293" s="893"/>
      <c r="Z293" s="893"/>
      <c r="AA293" s="893"/>
      <c r="AB293" s="893"/>
      <c r="AC293" s="893"/>
      <c r="AD293" s="1007"/>
    </row>
    <row r="294" spans="1:36" ht="24" customHeight="1">
      <c r="A294" s="147"/>
      <c r="B294" s="159"/>
      <c r="C294" s="764" t="s">
        <v>4424</v>
      </c>
      <c r="D294" s="764"/>
      <c r="E294" s="764"/>
      <c r="F294" s="764"/>
      <c r="G294" s="764"/>
      <c r="H294" s="764"/>
      <c r="I294" s="764"/>
      <c r="J294" s="764"/>
      <c r="K294" s="764"/>
      <c r="L294" s="764"/>
      <c r="M294" s="764"/>
      <c r="N294" s="764"/>
      <c r="O294" s="764"/>
      <c r="P294" s="764"/>
      <c r="Q294" s="764"/>
      <c r="R294" s="764"/>
      <c r="S294" s="764"/>
      <c r="T294" s="764"/>
      <c r="U294" s="764"/>
      <c r="V294" s="764"/>
      <c r="W294" s="764"/>
      <c r="X294" s="764"/>
      <c r="Y294" s="764"/>
      <c r="Z294" s="764"/>
      <c r="AA294" s="764"/>
      <c r="AB294" s="764"/>
      <c r="AC294" s="764"/>
      <c r="AD294" s="765"/>
    </row>
    <row r="295" spans="1:36">
      <c r="A295" s="94"/>
    </row>
    <row r="296" spans="1:36" ht="36" customHeight="1">
      <c r="A296" s="49" t="s">
        <v>4425</v>
      </c>
      <c r="B296" s="829" t="s">
        <v>4426</v>
      </c>
      <c r="C296" s="960"/>
      <c r="D296" s="960"/>
      <c r="E296" s="960"/>
      <c r="F296" s="960"/>
      <c r="G296" s="960"/>
      <c r="H296" s="960"/>
      <c r="I296" s="960"/>
      <c r="J296" s="960"/>
      <c r="K296" s="960"/>
      <c r="L296" s="960"/>
      <c r="M296" s="960"/>
      <c r="N296" s="960"/>
      <c r="O296" s="960"/>
      <c r="P296" s="960"/>
      <c r="Q296" s="960"/>
      <c r="R296" s="960"/>
      <c r="S296" s="960"/>
      <c r="T296" s="960"/>
      <c r="U296" s="960"/>
      <c r="V296" s="960"/>
      <c r="W296" s="960"/>
      <c r="X296" s="960"/>
      <c r="Y296" s="960"/>
      <c r="Z296" s="960"/>
      <c r="AA296" s="960"/>
      <c r="AB296" s="960"/>
      <c r="AC296" s="960"/>
      <c r="AD296" s="960"/>
    </row>
    <row r="297" spans="1:36" ht="36" customHeight="1">
      <c r="A297" s="49"/>
      <c r="B297" s="54"/>
      <c r="C297" s="830" t="s">
        <v>4427</v>
      </c>
      <c r="D297" s="830"/>
      <c r="E297" s="830"/>
      <c r="F297" s="830"/>
      <c r="G297" s="830"/>
      <c r="H297" s="830"/>
      <c r="I297" s="830"/>
      <c r="J297" s="830"/>
      <c r="K297" s="830"/>
      <c r="L297" s="830"/>
      <c r="M297" s="830"/>
      <c r="N297" s="830"/>
      <c r="O297" s="830"/>
      <c r="P297" s="830"/>
      <c r="Q297" s="830"/>
      <c r="R297" s="830"/>
      <c r="S297" s="830"/>
      <c r="T297" s="830"/>
      <c r="U297" s="830"/>
      <c r="V297" s="830"/>
      <c r="W297" s="830"/>
      <c r="X297" s="830"/>
      <c r="Y297" s="830"/>
      <c r="Z297" s="830"/>
      <c r="AA297" s="830"/>
      <c r="AB297" s="830"/>
      <c r="AC297" s="830"/>
      <c r="AD297" s="830"/>
    </row>
    <row r="298" spans="1:36">
      <c r="A298" s="49"/>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c r="AA298" s="38"/>
      <c r="AB298" s="38"/>
      <c r="AC298" s="38"/>
      <c r="AD298" s="38"/>
      <c r="AG298"/>
      <c r="AH298"/>
      <c r="AI298"/>
      <c r="AJ298" s="921" t="s">
        <v>3478</v>
      </c>
    </row>
    <row r="299" spans="1:36" ht="60" customHeight="1">
      <c r="A299" s="49"/>
      <c r="B299" s="38"/>
      <c r="C299" s="739" t="s">
        <v>4428</v>
      </c>
      <c r="D299" s="740"/>
      <c r="E299" s="740"/>
      <c r="F299" s="740"/>
      <c r="G299" s="740"/>
      <c r="H299" s="740"/>
      <c r="I299" s="740"/>
      <c r="J299" s="740"/>
      <c r="K299" s="740"/>
      <c r="L299" s="740"/>
      <c r="M299" s="740"/>
      <c r="N299" s="740"/>
      <c r="O299" s="740"/>
      <c r="P299" s="741"/>
      <c r="Q299" s="739" t="s">
        <v>4429</v>
      </c>
      <c r="R299" s="740"/>
      <c r="S299" s="740"/>
      <c r="T299" s="740"/>
      <c r="U299" s="740"/>
      <c r="V299" s="740"/>
      <c r="W299" s="740"/>
      <c r="X299" s="740"/>
      <c r="Y299" s="740"/>
      <c r="Z299" s="740"/>
      <c r="AA299" s="740"/>
      <c r="AB299" s="740"/>
      <c r="AC299" s="740"/>
      <c r="AD299" s="741"/>
      <c r="AG299" s="354" t="s">
        <v>2586</v>
      </c>
      <c r="AH299" s="282" t="s">
        <v>2590</v>
      </c>
      <c r="AI299" s="544" t="s">
        <v>4430</v>
      </c>
      <c r="AJ299" s="921"/>
    </row>
    <row r="300" spans="1:36">
      <c r="A300" s="49"/>
      <c r="B300" s="38"/>
      <c r="C300" s="749"/>
      <c r="D300" s="749"/>
      <c r="E300" s="749"/>
      <c r="F300" s="749"/>
      <c r="G300" s="749"/>
      <c r="H300" s="749"/>
      <c r="I300" s="749"/>
      <c r="J300" s="749"/>
      <c r="K300" s="749"/>
      <c r="L300" s="749"/>
      <c r="M300" s="749"/>
      <c r="N300" s="749"/>
      <c r="O300" s="749"/>
      <c r="P300" s="749"/>
      <c r="Q300" s="738"/>
      <c r="R300" s="738"/>
      <c r="S300" s="738"/>
      <c r="T300" s="738"/>
      <c r="U300" s="738"/>
      <c r="V300" s="738"/>
      <c r="W300" s="738"/>
      <c r="X300" s="738"/>
      <c r="Y300" s="738"/>
      <c r="Z300" s="738"/>
      <c r="AA300" s="738"/>
      <c r="AB300" s="738"/>
      <c r="AC300" s="738"/>
      <c r="AD300" s="817"/>
      <c r="AG300" s="326">
        <f>IF(AND($C$300&lt;&gt;"",$C$300&lt;&gt;1,COUNTA(Q300)=0),0,IF(AND($C$300&lt;&gt;"",$C$300=1,COUNTA(Q300)=1),0,IF(AND($C$300="",COUNTA(Q300)=0),0,1)))</f>
        <v>0</v>
      </c>
      <c r="AH300" s="283">
        <f>COUNTIF(Q300,"NS")</f>
        <v>0</v>
      </c>
      <c r="AI300">
        <f>IF(AND($C$300&lt;&gt;"",$C$300&lt;&gt;1,COUNTA(Q300)&gt;0),1,0)</f>
        <v>0</v>
      </c>
      <c r="AJ300" s="253">
        <f>IF(AND($C$300&lt;&gt;"",$C$300=1,Q300&lt;&gt;"",SUM(Q300)=0),1,0)</f>
        <v>0</v>
      </c>
    </row>
    <row r="301" spans="1:36">
      <c r="A301" s="49"/>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c r="AA301" s="38"/>
      <c r="AB301" s="38"/>
      <c r="AC301" s="38"/>
      <c r="AD301" s="38"/>
    </row>
    <row r="302" spans="1:36" ht="24" customHeight="1">
      <c r="A302" s="50"/>
      <c r="B302" s="38"/>
      <c r="C302" s="754" t="s">
        <v>2611</v>
      </c>
      <c r="D302" s="754"/>
      <c r="E302" s="754"/>
      <c r="F302" s="754"/>
      <c r="G302" s="754"/>
      <c r="H302" s="754"/>
      <c r="I302" s="754"/>
      <c r="J302" s="754"/>
      <c r="K302" s="754"/>
      <c r="L302" s="754"/>
      <c r="M302" s="754"/>
      <c r="N302" s="754"/>
      <c r="O302" s="754"/>
      <c r="P302" s="754"/>
      <c r="Q302" s="754"/>
      <c r="R302" s="754"/>
      <c r="S302" s="754"/>
      <c r="T302" s="754"/>
      <c r="U302" s="754"/>
      <c r="V302" s="754"/>
      <c r="W302" s="754"/>
      <c r="X302" s="754"/>
      <c r="Y302" s="754"/>
      <c r="Z302" s="754"/>
      <c r="AA302" s="754"/>
      <c r="AB302" s="754"/>
      <c r="AC302" s="754"/>
      <c r="AD302" s="754"/>
    </row>
    <row r="303" spans="1:36" ht="60" customHeight="1">
      <c r="A303" s="50"/>
      <c r="B303" s="38"/>
      <c r="C303" s="949"/>
      <c r="D303" s="949"/>
      <c r="E303" s="949"/>
      <c r="F303" s="949"/>
      <c r="G303" s="949"/>
      <c r="H303" s="949"/>
      <c r="I303" s="949"/>
      <c r="J303" s="949"/>
      <c r="K303" s="949"/>
      <c r="L303" s="949"/>
      <c r="M303" s="949"/>
      <c r="N303" s="949"/>
      <c r="O303" s="949"/>
      <c r="P303" s="949"/>
      <c r="Q303" s="949"/>
      <c r="R303" s="949"/>
      <c r="S303" s="949"/>
      <c r="T303" s="949"/>
      <c r="U303" s="949"/>
      <c r="V303" s="949"/>
      <c r="W303" s="949"/>
      <c r="X303" s="949"/>
      <c r="Y303" s="949"/>
      <c r="Z303" s="949"/>
      <c r="AA303" s="949"/>
      <c r="AB303" s="949"/>
      <c r="AC303" s="949"/>
      <c r="AD303" s="949"/>
    </row>
    <row r="304" spans="1:36">
      <c r="A304" s="115"/>
      <c r="B304" s="794" t="str">
        <f>IF(AG300&gt;0,"Favor de ingresar toda la información requerida en la pregunta y/o verifique que no tenga información en celdas sombreadas","")</f>
        <v/>
      </c>
      <c r="C304" s="794"/>
      <c r="D304" s="794"/>
      <c r="E304" s="794"/>
      <c r="F304" s="794"/>
      <c r="G304" s="794"/>
      <c r="H304" s="794"/>
      <c r="I304" s="794"/>
      <c r="J304" s="794"/>
      <c r="K304" s="794"/>
      <c r="L304" s="794"/>
      <c r="M304" s="794"/>
      <c r="N304" s="794"/>
      <c r="O304" s="794"/>
      <c r="P304" s="794"/>
      <c r="Q304" s="794"/>
      <c r="R304" s="794"/>
      <c r="S304" s="794"/>
      <c r="T304" s="794"/>
      <c r="U304" s="794"/>
      <c r="V304" s="794"/>
      <c r="W304" s="794"/>
      <c r="X304" s="794"/>
      <c r="Y304" s="794"/>
      <c r="Z304" s="794"/>
      <c r="AA304" s="794"/>
      <c r="AB304" s="794"/>
      <c r="AC304" s="794"/>
      <c r="AD304" s="794"/>
      <c r="AE304"/>
    </row>
    <row r="305" spans="1:31">
      <c r="A305" s="115"/>
      <c r="B305" s="795" t="str">
        <f>IF(AH300&gt;0,"Alerta: debido a que cuenta con registros NS, debe proporcionar una justificación en el area de comentarios al final de la pregunta","")</f>
        <v/>
      </c>
      <c r="C305" s="795"/>
      <c r="D305" s="795"/>
      <c r="E305" s="795"/>
      <c r="F305" s="795"/>
      <c r="G305" s="795"/>
      <c r="H305" s="795"/>
      <c r="I305" s="795"/>
      <c r="J305" s="795"/>
      <c r="K305" s="795"/>
      <c r="L305" s="795"/>
      <c r="M305" s="795"/>
      <c r="N305" s="795"/>
      <c r="O305" s="795"/>
      <c r="P305" s="795"/>
      <c r="Q305" s="795"/>
      <c r="R305" s="795"/>
      <c r="S305" s="795"/>
      <c r="T305" s="795"/>
      <c r="U305" s="795"/>
      <c r="V305" s="795"/>
      <c r="W305" s="795"/>
      <c r="X305" s="795"/>
      <c r="Y305" s="795"/>
      <c r="Z305" s="795"/>
      <c r="AA305" s="795"/>
      <c r="AB305" s="795"/>
      <c r="AC305" s="795"/>
      <c r="AD305" s="795"/>
      <c r="AE305"/>
    </row>
    <row r="306" spans="1:31">
      <c r="A306" s="115"/>
      <c r="B306" s="794" t="str">
        <f>IF(AJ300&gt;0,"No puede ingresar cero en la col. Protocolos debido a que registró el código 1 en la col. ¿Aplicaban algún protocolo para garantizar… ?","")</f>
        <v/>
      </c>
      <c r="C306" s="794"/>
      <c r="D306" s="794"/>
      <c r="E306" s="794"/>
      <c r="F306" s="794"/>
      <c r="G306" s="794"/>
      <c r="H306" s="794"/>
      <c r="I306" s="794"/>
      <c r="J306" s="794"/>
      <c r="K306" s="794"/>
      <c r="L306" s="794"/>
      <c r="M306" s="794"/>
      <c r="N306" s="794"/>
      <c r="O306" s="794"/>
      <c r="P306" s="794"/>
      <c r="Q306" s="794"/>
      <c r="R306" s="794"/>
      <c r="S306" s="794"/>
      <c r="T306" s="794"/>
      <c r="U306" s="794"/>
      <c r="V306" s="794"/>
      <c r="W306" s="794"/>
      <c r="X306" s="794"/>
      <c r="Y306" s="794"/>
      <c r="Z306" s="794"/>
      <c r="AA306" s="794"/>
      <c r="AB306" s="794"/>
      <c r="AC306" s="794"/>
      <c r="AD306" s="794"/>
      <c r="AE306" s="794"/>
    </row>
    <row r="307" spans="1:31">
      <c r="A307" s="115"/>
      <c r="AE307"/>
    </row>
    <row r="308" spans="1:31">
      <c r="A308" s="115"/>
      <c r="AE308"/>
    </row>
    <row r="309" spans="1:31">
      <c r="A309" s="115"/>
      <c r="AE309"/>
    </row>
    <row r="310" spans="1:31" ht="72" customHeight="1">
      <c r="A310" s="49" t="s">
        <v>4431</v>
      </c>
      <c r="B310" s="960" t="s">
        <v>4432</v>
      </c>
      <c r="C310" s="960"/>
      <c r="D310" s="960"/>
      <c r="E310" s="960"/>
      <c r="F310" s="960"/>
      <c r="G310" s="960"/>
      <c r="H310" s="960"/>
      <c r="I310" s="960"/>
      <c r="J310" s="960"/>
      <c r="K310" s="960"/>
      <c r="L310" s="960"/>
      <c r="M310" s="960"/>
      <c r="N310" s="960"/>
      <c r="O310" s="960"/>
      <c r="P310" s="960"/>
      <c r="Q310" s="960"/>
      <c r="R310" s="960"/>
      <c r="S310" s="960"/>
      <c r="T310" s="960"/>
      <c r="U310" s="960"/>
      <c r="V310" s="960"/>
      <c r="W310" s="960"/>
      <c r="X310" s="960"/>
      <c r="Y310" s="960"/>
      <c r="Z310" s="960"/>
      <c r="AA310" s="960"/>
      <c r="AB310" s="960"/>
      <c r="AC310" s="960"/>
      <c r="AD310" s="960"/>
    </row>
    <row r="311" spans="1:31" ht="36" customHeight="1">
      <c r="A311" s="49"/>
      <c r="B311" s="105"/>
      <c r="C311" s="754" t="s">
        <v>4433</v>
      </c>
      <c r="D311" s="830"/>
      <c r="E311" s="830"/>
      <c r="F311" s="830"/>
      <c r="G311" s="830"/>
      <c r="H311" s="830"/>
      <c r="I311" s="830"/>
      <c r="J311" s="830"/>
      <c r="K311" s="830"/>
      <c r="L311" s="830"/>
      <c r="M311" s="830"/>
      <c r="N311" s="830"/>
      <c r="O311" s="830"/>
      <c r="P311" s="830"/>
      <c r="Q311" s="830"/>
      <c r="R311" s="830"/>
      <c r="S311" s="830"/>
      <c r="T311" s="830"/>
      <c r="U311" s="830"/>
      <c r="V311" s="830"/>
      <c r="W311" s="830"/>
      <c r="X311" s="830"/>
      <c r="Y311" s="830"/>
      <c r="Z311" s="830"/>
      <c r="AA311" s="830"/>
      <c r="AB311" s="830"/>
      <c r="AC311" s="830"/>
      <c r="AD311" s="830"/>
    </row>
    <row r="312" spans="1:31" ht="15" customHeight="1">
      <c r="A312" s="115"/>
      <c r="C312" s="754" t="s">
        <v>4434</v>
      </c>
      <c r="D312" s="754"/>
      <c r="E312" s="754"/>
      <c r="F312" s="754"/>
      <c r="G312" s="754"/>
      <c r="H312" s="754"/>
      <c r="I312" s="754"/>
      <c r="J312" s="754"/>
      <c r="K312" s="754"/>
      <c r="L312" s="754"/>
      <c r="M312" s="754"/>
      <c r="N312" s="754"/>
      <c r="O312" s="754"/>
      <c r="P312" s="754"/>
      <c r="Q312" s="754"/>
      <c r="R312" s="754"/>
      <c r="S312" s="754"/>
      <c r="T312" s="754"/>
      <c r="U312" s="754"/>
      <c r="V312" s="754"/>
      <c r="W312" s="754"/>
      <c r="X312" s="754"/>
      <c r="Y312" s="754"/>
      <c r="Z312" s="754"/>
      <c r="AA312" s="754"/>
      <c r="AB312" s="754"/>
      <c r="AC312" s="754"/>
      <c r="AD312" s="754"/>
    </row>
    <row r="313" spans="1:31" ht="24" customHeight="1">
      <c r="A313" s="50"/>
      <c r="B313" s="57"/>
      <c r="C313" s="754" t="s">
        <v>4435</v>
      </c>
      <c r="D313" s="754"/>
      <c r="E313" s="754"/>
      <c r="F313" s="754"/>
      <c r="G313" s="754"/>
      <c r="H313" s="754"/>
      <c r="I313" s="754"/>
      <c r="J313" s="754"/>
      <c r="K313" s="754"/>
      <c r="L313" s="754"/>
      <c r="M313" s="754"/>
      <c r="N313" s="754"/>
      <c r="O313" s="754"/>
      <c r="P313" s="754"/>
      <c r="Q313" s="754"/>
      <c r="R313" s="754"/>
      <c r="S313" s="754"/>
      <c r="T313" s="754"/>
      <c r="U313" s="754"/>
      <c r="V313" s="754"/>
      <c r="W313" s="754"/>
      <c r="X313" s="754"/>
      <c r="Y313" s="754"/>
      <c r="Z313" s="754"/>
      <c r="AA313" s="754"/>
      <c r="AB313" s="754"/>
      <c r="AC313" s="754"/>
      <c r="AD313" s="754"/>
    </row>
    <row r="314" spans="1:31" ht="36" customHeight="1">
      <c r="A314" s="166"/>
      <c r="B314" s="57"/>
      <c r="C314" s="830" t="s">
        <v>4436</v>
      </c>
      <c r="D314" s="830"/>
      <c r="E314" s="830"/>
      <c r="F314" s="830"/>
      <c r="G314" s="830"/>
      <c r="H314" s="830"/>
      <c r="I314" s="830"/>
      <c r="J314" s="830"/>
      <c r="K314" s="830"/>
      <c r="L314" s="830"/>
      <c r="M314" s="830"/>
      <c r="N314" s="830"/>
      <c r="O314" s="830"/>
      <c r="P314" s="830"/>
      <c r="Q314" s="830"/>
      <c r="R314" s="830"/>
      <c r="S314" s="830"/>
      <c r="T314" s="830"/>
      <c r="U314" s="830"/>
      <c r="V314" s="830"/>
      <c r="W314" s="830"/>
      <c r="X314" s="830"/>
      <c r="Y314" s="830"/>
      <c r="Z314" s="830"/>
      <c r="AA314" s="830"/>
      <c r="AB314" s="830"/>
      <c r="AC314" s="830"/>
      <c r="AD314" s="830"/>
    </row>
    <row r="315" spans="1:31" ht="36" customHeight="1">
      <c r="A315" s="166"/>
      <c r="B315" s="57"/>
      <c r="C315" s="830" t="s">
        <v>4437</v>
      </c>
      <c r="D315" s="830"/>
      <c r="E315" s="830"/>
      <c r="F315" s="830"/>
      <c r="G315" s="830"/>
      <c r="H315" s="830"/>
      <c r="I315" s="830"/>
      <c r="J315" s="830"/>
      <c r="K315" s="830"/>
      <c r="L315" s="830"/>
      <c r="M315" s="830"/>
      <c r="N315" s="830"/>
      <c r="O315" s="830"/>
      <c r="P315" s="830"/>
      <c r="Q315" s="830"/>
      <c r="R315" s="830"/>
      <c r="S315" s="830"/>
      <c r="T315" s="830"/>
      <c r="U315" s="830"/>
      <c r="V315" s="830"/>
      <c r="W315" s="830"/>
      <c r="X315" s="830"/>
      <c r="Y315" s="830"/>
      <c r="Z315" s="830"/>
      <c r="AA315" s="830"/>
      <c r="AB315" s="830"/>
      <c r="AC315" s="830"/>
      <c r="AD315" s="830"/>
    </row>
    <row r="316" spans="1:31" ht="24" customHeight="1">
      <c r="A316" s="166"/>
      <c r="B316" s="57"/>
      <c r="C316" s="754" t="s">
        <v>4438</v>
      </c>
      <c r="D316" s="754"/>
      <c r="E316" s="754"/>
      <c r="F316" s="754"/>
      <c r="G316" s="754"/>
      <c r="H316" s="754"/>
      <c r="I316" s="754"/>
      <c r="J316" s="754"/>
      <c r="K316" s="754"/>
      <c r="L316" s="754"/>
      <c r="M316" s="754"/>
      <c r="N316" s="754"/>
      <c r="O316" s="754"/>
      <c r="P316" s="754"/>
      <c r="Q316" s="754"/>
      <c r="R316" s="754"/>
      <c r="S316" s="754"/>
      <c r="T316" s="754"/>
      <c r="U316" s="754"/>
      <c r="V316" s="754"/>
      <c r="W316" s="754"/>
      <c r="X316" s="754"/>
      <c r="Y316" s="754"/>
      <c r="Z316" s="754"/>
      <c r="AA316" s="754"/>
      <c r="AB316" s="754"/>
      <c r="AC316" s="754"/>
      <c r="AD316" s="754"/>
    </row>
    <row r="317" spans="1:31" ht="36" customHeight="1">
      <c r="A317" s="142"/>
      <c r="B317" s="57"/>
      <c r="C317" s="754" t="s">
        <v>4439</v>
      </c>
      <c r="D317" s="754"/>
      <c r="E317" s="754"/>
      <c r="F317" s="754"/>
      <c r="G317" s="754"/>
      <c r="H317" s="754"/>
      <c r="I317" s="754"/>
      <c r="J317" s="754"/>
      <c r="K317" s="754"/>
      <c r="L317" s="754"/>
      <c r="M317" s="754"/>
      <c r="N317" s="754"/>
      <c r="O317" s="754"/>
      <c r="P317" s="754"/>
      <c r="Q317" s="754"/>
      <c r="R317" s="754"/>
      <c r="S317" s="754"/>
      <c r="T317" s="754"/>
      <c r="U317" s="754"/>
      <c r="V317" s="754"/>
      <c r="W317" s="754"/>
      <c r="X317" s="754"/>
      <c r="Y317" s="754"/>
      <c r="Z317" s="754"/>
      <c r="AA317" s="754"/>
      <c r="AB317" s="754"/>
      <c r="AC317" s="754"/>
      <c r="AD317" s="754"/>
    </row>
    <row r="318" spans="1:31" ht="24" customHeight="1">
      <c r="A318" s="115"/>
      <c r="C318" s="754" t="s">
        <v>4440</v>
      </c>
      <c r="D318" s="754"/>
      <c r="E318" s="754"/>
      <c r="F318" s="754"/>
      <c r="G318" s="754"/>
      <c r="H318" s="754"/>
      <c r="I318" s="754"/>
      <c r="J318" s="754"/>
      <c r="K318" s="754"/>
      <c r="L318" s="754"/>
      <c r="M318" s="754"/>
      <c r="N318" s="754"/>
      <c r="O318" s="754"/>
      <c r="P318" s="754"/>
      <c r="Q318" s="754"/>
      <c r="R318" s="754"/>
      <c r="S318" s="754"/>
      <c r="T318" s="754"/>
      <c r="U318" s="754"/>
      <c r="V318" s="754"/>
      <c r="W318" s="754"/>
      <c r="X318" s="754"/>
      <c r="Y318" s="754"/>
      <c r="Z318" s="754"/>
      <c r="AA318" s="754"/>
      <c r="AB318" s="754"/>
      <c r="AC318" s="754"/>
      <c r="AD318" s="754"/>
    </row>
    <row r="319" spans="1:31" ht="15" customHeight="1">
      <c r="A319" s="115"/>
      <c r="B319" s="105"/>
      <c r="C319" s="830" t="s">
        <v>4441</v>
      </c>
      <c r="D319" s="830"/>
      <c r="E319" s="830"/>
      <c r="F319" s="830"/>
      <c r="G319" s="830"/>
      <c r="H319" s="830"/>
      <c r="I319" s="830"/>
      <c r="J319" s="830"/>
      <c r="K319" s="830"/>
      <c r="L319" s="830"/>
      <c r="M319" s="830"/>
      <c r="N319" s="830"/>
      <c r="O319" s="830"/>
      <c r="P319" s="830"/>
      <c r="Q319" s="830"/>
      <c r="R319" s="830"/>
      <c r="S319" s="830"/>
      <c r="T319" s="830"/>
      <c r="U319" s="830"/>
      <c r="V319" s="830"/>
      <c r="W319" s="830"/>
      <c r="X319" s="830"/>
      <c r="Y319" s="830"/>
      <c r="Z319" s="830"/>
      <c r="AA319" s="830"/>
      <c r="AB319" s="830"/>
      <c r="AC319" s="830"/>
      <c r="AD319" s="830"/>
    </row>
    <row r="320" spans="1:31" ht="24" customHeight="1">
      <c r="A320" s="115"/>
      <c r="C320" s="754" t="s">
        <v>4442</v>
      </c>
      <c r="D320" s="754"/>
      <c r="E320" s="754"/>
      <c r="F320" s="754"/>
      <c r="G320" s="754"/>
      <c r="H320" s="754"/>
      <c r="I320" s="754"/>
      <c r="J320" s="754"/>
      <c r="K320" s="754"/>
      <c r="L320" s="754"/>
      <c r="M320" s="754"/>
      <c r="N320" s="754"/>
      <c r="O320" s="754"/>
      <c r="P320" s="754"/>
      <c r="Q320" s="754"/>
      <c r="R320" s="754"/>
      <c r="S320" s="754"/>
      <c r="T320" s="754"/>
      <c r="U320" s="754"/>
      <c r="V320" s="754"/>
      <c r="W320" s="754"/>
      <c r="X320" s="754"/>
      <c r="Y320" s="754"/>
      <c r="Z320" s="754"/>
      <c r="AA320" s="754"/>
      <c r="AB320" s="754"/>
      <c r="AC320" s="754"/>
      <c r="AD320" s="754"/>
    </row>
    <row r="321" spans="1:58" ht="15" customHeight="1">
      <c r="A321" s="94"/>
    </row>
    <row r="322" spans="1:58" ht="36" customHeight="1">
      <c r="A322" s="94"/>
      <c r="C322" s="732" t="s">
        <v>4443</v>
      </c>
      <c r="D322" s="732"/>
      <c r="E322" s="732"/>
      <c r="F322" s="732"/>
      <c r="G322" s="732"/>
      <c r="H322" s="732"/>
      <c r="I322" s="874" t="s">
        <v>4444</v>
      </c>
      <c r="J322" s="874"/>
      <c r="K322" s="732" t="s">
        <v>4445</v>
      </c>
      <c r="L322" s="732"/>
      <c r="M322" s="732"/>
      <c r="N322" s="732"/>
      <c r="O322" s="732" t="s">
        <v>4446</v>
      </c>
      <c r="P322" s="732"/>
      <c r="Q322" s="732"/>
      <c r="R322" s="732"/>
      <c r="S322" s="732"/>
      <c r="T322" s="732"/>
      <c r="U322" s="732" t="s">
        <v>4447</v>
      </c>
      <c r="V322" s="732"/>
      <c r="W322" s="732"/>
      <c r="X322" s="732"/>
      <c r="Y322" s="732"/>
      <c r="Z322" s="732"/>
      <c r="AA322" s="732"/>
      <c r="AB322" s="732"/>
      <c r="AC322" s="874" t="s">
        <v>4052</v>
      </c>
      <c r="AD322" s="874"/>
      <c r="AG322"/>
      <c r="AH322"/>
      <c r="AI322"/>
      <c r="AJ322"/>
      <c r="AK322"/>
      <c r="AL322"/>
      <c r="AM322"/>
      <c r="AN322"/>
      <c r="AO322"/>
      <c r="AP322"/>
      <c r="AQ322"/>
      <c r="AR322"/>
      <c r="AS322"/>
      <c r="AT322"/>
      <c r="AU322" s="1056" t="s">
        <v>4448</v>
      </c>
      <c r="AV322" s="1056"/>
      <c r="AW322" s="1056"/>
      <c r="AX322" s="1056"/>
      <c r="AY322" s="1056"/>
      <c r="AZ322" s="1056"/>
      <c r="BA322" s="1056" t="s">
        <v>4449</v>
      </c>
      <c r="BB322" s="1056"/>
      <c r="BC322" s="1056"/>
      <c r="BD322" s="1056"/>
      <c r="BE322" s="1056"/>
      <c r="BF322" s="1056"/>
    </row>
    <row r="323" spans="1:58" ht="84" customHeight="1">
      <c r="A323" s="94"/>
      <c r="C323" s="732"/>
      <c r="D323" s="732"/>
      <c r="E323" s="732"/>
      <c r="F323" s="732"/>
      <c r="G323" s="732"/>
      <c r="H323" s="732"/>
      <c r="I323" s="874"/>
      <c r="J323" s="874"/>
      <c r="K323" s="128" t="s">
        <v>4450</v>
      </c>
      <c r="L323" s="857" t="s">
        <v>4451</v>
      </c>
      <c r="M323" s="857"/>
      <c r="N323" s="857"/>
      <c r="O323" s="736" t="s">
        <v>4452</v>
      </c>
      <c r="P323" s="736"/>
      <c r="Q323" s="736" t="s">
        <v>4453</v>
      </c>
      <c r="R323" s="736"/>
      <c r="S323" s="736" t="s">
        <v>4454</v>
      </c>
      <c r="T323" s="736"/>
      <c r="U323" s="736" t="s">
        <v>4452</v>
      </c>
      <c r="V323" s="736"/>
      <c r="W323" s="736" t="s">
        <v>4453</v>
      </c>
      <c r="X323" s="736"/>
      <c r="Y323" s="736" t="s">
        <v>4454</v>
      </c>
      <c r="Z323" s="736"/>
      <c r="AA323" s="857" t="s">
        <v>4455</v>
      </c>
      <c r="AB323" s="857"/>
      <c r="AC323" s="874"/>
      <c r="AD323" s="874"/>
      <c r="AG323" s="354" t="s">
        <v>2586</v>
      </c>
      <c r="AH323" s="282" t="s">
        <v>2590</v>
      </c>
      <c r="AI323" s="565" t="s">
        <v>4456</v>
      </c>
      <c r="AJ323" s="566" t="s">
        <v>4457</v>
      </c>
      <c r="AK323" s="248" t="s">
        <v>2587</v>
      </c>
      <c r="AL323" s="249"/>
      <c r="AM323" s="248" t="s">
        <v>2588</v>
      </c>
      <c r="AN323" s="249"/>
      <c r="AO323" s="248" t="s">
        <v>2589</v>
      </c>
      <c r="AP323"/>
      <c r="AQ323" s="535" t="s">
        <v>4248</v>
      </c>
      <c r="AR323" s="546" t="s">
        <v>4430</v>
      </c>
      <c r="AS323" s="544" t="s">
        <v>4458</v>
      </c>
      <c r="AT323" s="567" t="s">
        <v>4459</v>
      </c>
      <c r="AU323" s="256" t="s">
        <v>4460</v>
      </c>
      <c r="AV323" s="257" t="s">
        <v>4461</v>
      </c>
      <c r="AW323" s="256" t="s">
        <v>4462</v>
      </c>
      <c r="AX323" s="257" t="s">
        <v>4463</v>
      </c>
      <c r="AY323" s="256" t="s">
        <v>2591</v>
      </c>
      <c r="AZ323" s="257" t="s">
        <v>2592</v>
      </c>
      <c r="BA323" s="256" t="s">
        <v>4460</v>
      </c>
      <c r="BB323" s="257" t="s">
        <v>4461</v>
      </c>
      <c r="BC323" s="256" t="s">
        <v>4462</v>
      </c>
      <c r="BD323" s="257" t="s">
        <v>4463</v>
      </c>
      <c r="BE323" s="256" t="s">
        <v>2591</v>
      </c>
      <c r="BF323" s="257" t="s">
        <v>2592</v>
      </c>
    </row>
    <row r="324" spans="1:58" ht="15" customHeight="1">
      <c r="A324" s="94"/>
      <c r="C324" s="44" t="s">
        <v>2516</v>
      </c>
      <c r="D324" s="882"/>
      <c r="E324" s="883"/>
      <c r="F324" s="883"/>
      <c r="G324" s="883"/>
      <c r="H324" s="884"/>
      <c r="I324" s="816"/>
      <c r="J324" s="817"/>
      <c r="K324" s="88"/>
      <c r="L324" s="88"/>
      <c r="M324" s="88"/>
      <c r="N324" s="88"/>
      <c r="O324" s="1038"/>
      <c r="P324" s="1055"/>
      <c r="Q324" s="1038"/>
      <c r="R324" s="1055"/>
      <c r="S324" s="1038"/>
      <c r="T324" s="1055"/>
      <c r="U324" s="1038"/>
      <c r="V324" s="1055"/>
      <c r="W324" s="1038"/>
      <c r="X324" s="1055"/>
      <c r="Y324" s="1038"/>
      <c r="Z324" s="1055"/>
      <c r="AA324" s="816"/>
      <c r="AB324" s="817"/>
      <c r="AC324" s="816"/>
      <c r="AD324" s="817"/>
      <c r="AG324" s="326">
        <f>IF(AND($C$300&lt;&gt;"",$C$300&lt;&gt;1,COUNTA(D324:AD324)=0),0,IF(AND($C$300&lt;&gt;"",$C$300=1,COUNTBLANK(D324)=0,COUNTA(I324)=1,COUNTA(K324)&gt;0,COUNTA(O324:T324)=3,COUNTA(U324:Z324)=0,AA324="X",COUNTA(AC324)=1),0,IF(AND($C$300&lt;&gt;"",$C$300=1,COUNTBLANK(D324)=0,COUNTA(I324)=1,COUNTA(K324)&gt;0,COUNTA(O324:T324)=3,COUNTA(U324:Z324)=3,AA324="",COUNTA(AC324)=1),0,IF(AND(COUNTBLANK(D324)=1,COUNTA(I324:AD324)=0),0,1))))</f>
        <v>0</v>
      </c>
      <c r="AH324" s="283">
        <f>COUNTIF(O324:AD324,"NS")</f>
        <v>0</v>
      </c>
      <c r="AI324">
        <f>IF(COUNTA(D324:H423)=SUM(Q300),0,1)</f>
        <v>0</v>
      </c>
      <c r="AJ324">
        <f>IF(AND(K324="",COUNTA(L324:N324)&gt;0),1,IF(AND(K324&lt;&gt;"",L324="",COUNTA(M324:N324)&gt;0),1,IF(AND(K324&lt;&gt;"",L324&lt;&gt;"",M324="",COUNTA(N324)&gt;0),1,0)))</f>
        <v>0</v>
      </c>
      <c r="AK324" s="249" t="b">
        <f>NOT(EXACT($D324,UPPER($D324)))</f>
        <v>0</v>
      </c>
      <c r="AL324" s="249" t="str">
        <f>SUBSTITUTE( SUBSTITUTE( SUBSTITUTE( SUBSTITUTE( SUBSTITUTE( SUBSTITUTE( SUBSTITUTE( SUBSTITUTE( SUBSTITUTE( SUBSTITUTE($D324, "á", "a"), "é", "e"), "í", "i"), "ó", "o"), "ú", "u"), "Á", "A"), "É", "E"), "Í", "I"), "Ó", "O"), "Ú", "U")</f>
        <v/>
      </c>
      <c r="AM324" s="249" t="b">
        <f>NOT(EXACT($D324,AL324))</f>
        <v>0</v>
      </c>
      <c r="AN324" s="249" t="str">
        <f>SUBSTITUTE((SUBSTITUTE(SUBSTITUTE(SUBSTITUTE($D324,".",""),",",""),"(","")),")","")</f>
        <v/>
      </c>
      <c r="AO324" s="249" t="b">
        <f>NOT(EXACT($D324,AN324))</f>
        <v>0</v>
      </c>
      <c r="AP324"/>
      <c r="AQ324">
        <f>IF(I324&lt;=CNSIPEE_2024_M2_Secc1!$C$51,0,IF(I324="NS",0,1))</f>
        <v>0</v>
      </c>
      <c r="AR324">
        <f>IF(AND($C$300&lt;&gt;"",$C$300&lt;&gt;1,COUNTA(D324:AD423)&gt;0),1,0)</f>
        <v>0</v>
      </c>
      <c r="AS324">
        <f>IF(AND($AA324="X",COUNTA(U324:Z324)&gt;0),1,0)</f>
        <v>0</v>
      </c>
      <c r="AT324">
        <f>IF(AND(AA324="X",Y324="",S324&lt;&gt;""),0,IF(Y324&lt;S324,1,0))</f>
        <v>0</v>
      </c>
      <c r="AU324" s="253">
        <f>LEN(O324)</f>
        <v>0</v>
      </c>
      <c r="AV324" s="253">
        <f>IF(O324="NS",0,IF(AND(O324&lt;&gt;"",SUM(AU324)=2),0,IF(O324="",0,1)))</f>
        <v>0</v>
      </c>
      <c r="AW324" s="253">
        <f>LEN(Q324)</f>
        <v>0</v>
      </c>
      <c r="AX324" s="253">
        <f>IF(Q324="NS",0,IF(AND(Q324&lt;&gt;"",SUM(AW324)=2),0,IF(Q324="",0,1)))</f>
        <v>0</v>
      </c>
      <c r="AY324" s="253">
        <f>LEN(S324)</f>
        <v>0</v>
      </c>
      <c r="AZ324" s="253">
        <f>IF(S324="NS",0,IF(AND(S324&lt;&gt;"",SUM(AY324)=4),0,IF(S324="",0,1)))</f>
        <v>0</v>
      </c>
      <c r="BA324" s="253">
        <f>LEN(U324)</f>
        <v>0</v>
      </c>
      <c r="BB324" s="253">
        <f>IF(U324="NS",0,IF(AND(U324&lt;&gt;"",SUM(BA324)=2),0,IF(U324="",0,1)))</f>
        <v>0</v>
      </c>
      <c r="BC324" s="253">
        <f>LEN(W324)</f>
        <v>0</v>
      </c>
      <c r="BD324" s="253">
        <f>IF(W324="NS",0,IF(AND(W324&lt;&gt;"",SUM(BC324)=2),0,IF(W324="",0,1)))</f>
        <v>0</v>
      </c>
      <c r="BE324" s="253">
        <f t="shared" ref="BE324" si="45">LEN(Y324)</f>
        <v>0</v>
      </c>
      <c r="BF324" s="253">
        <f>IF(Y324="NS",0,IF(AND(Y324&lt;&gt;"",SUM(BE324)=4),0,IF(Y324="",0,1)))</f>
        <v>0</v>
      </c>
    </row>
    <row r="325" spans="1:58" ht="15" customHeight="1">
      <c r="A325" s="94"/>
      <c r="C325" s="44" t="s">
        <v>2517</v>
      </c>
      <c r="D325" s="882"/>
      <c r="E325" s="883"/>
      <c r="F325" s="883"/>
      <c r="G325" s="883"/>
      <c r="H325" s="884"/>
      <c r="I325" s="816"/>
      <c r="J325" s="817"/>
      <c r="K325" s="88"/>
      <c r="L325" s="88"/>
      <c r="M325" s="88"/>
      <c r="N325" s="88"/>
      <c r="O325" s="1038"/>
      <c r="P325" s="1055"/>
      <c r="Q325" s="1038"/>
      <c r="R325" s="1055"/>
      <c r="S325" s="1038"/>
      <c r="T325" s="1055"/>
      <c r="U325" s="1038"/>
      <c r="V325" s="1055"/>
      <c r="W325" s="1038"/>
      <c r="X325" s="1055"/>
      <c r="Y325" s="1038"/>
      <c r="Z325" s="1055"/>
      <c r="AA325" s="816"/>
      <c r="AB325" s="817"/>
      <c r="AC325" s="816"/>
      <c r="AD325" s="817"/>
      <c r="AG325" s="326">
        <f t="shared" ref="AG325:AG388" si="46">IF(AND($C$300&lt;&gt;"",$C$300&lt;&gt;1,COUNTA(D325:AD325)=0),0,IF(AND($C$300&lt;&gt;"",$C$300=1,COUNTBLANK(D325)=0,COUNTA(I325)=1,COUNTA(K325)&gt;0,COUNTA(O325:T325)=3,COUNTA(U325:Z325)=0,AA325="X",COUNTA(AC325)=1),0,IF(AND($C$300&lt;&gt;"",$C$300=1,COUNTBLANK(D325)=0,COUNTA(I325)=1,COUNTA(K325)&gt;0,COUNTA(O325:T325)=3,COUNTA(U325:Z325)=3,AA325="",COUNTA(AC325)=1),0,IF(AND(COUNTBLANK(D325)=1,COUNTA(I325:AD325)=0),0,1))))</f>
        <v>0</v>
      </c>
      <c r="AH325" s="283">
        <f t="shared" ref="AH325:AH388" si="47">COUNTIF(O325:AD325,"NS")</f>
        <v>0</v>
      </c>
      <c r="AJ325">
        <f t="shared" ref="AJ325:AJ388" si="48">IF(AND(K325="",COUNTA(L325:N325)&gt;0),1,IF(AND(K325&lt;&gt;"",L325="",COUNTA(M325:N325)&gt;0),1,IF(AND(K325&lt;&gt;"",L325&lt;&gt;"",M325="",COUNTA(N325)&gt;0),1,0)))</f>
        <v>0</v>
      </c>
      <c r="AK325" s="249" t="b">
        <f t="shared" ref="AK325:AK388" si="49">NOT(EXACT($D325,UPPER($D325)))</f>
        <v>0</v>
      </c>
      <c r="AL325" s="249" t="str">
        <f t="shared" ref="AL325:AL388" si="50">SUBSTITUTE( SUBSTITUTE( SUBSTITUTE( SUBSTITUTE( SUBSTITUTE( SUBSTITUTE( SUBSTITUTE( SUBSTITUTE( SUBSTITUTE( SUBSTITUTE($D325, "á", "a"), "é", "e"), "í", "i"), "ó", "o"), "ú", "u"), "Á", "A"), "É", "E"), "Í", "I"), "Ó", "O"), "Ú", "U")</f>
        <v/>
      </c>
      <c r="AM325" s="249" t="b">
        <f t="shared" ref="AM325:AM388" si="51">NOT(EXACT($D325,AL325))</f>
        <v>0</v>
      </c>
      <c r="AN325" s="249" t="str">
        <f t="shared" ref="AN325:AN388" si="52">SUBSTITUTE((SUBSTITUTE(SUBSTITUTE(SUBSTITUTE($D325,".",""),",",""),"(","")),")","")</f>
        <v/>
      </c>
      <c r="AO325" s="249" t="b">
        <f t="shared" ref="AO325:AO388" si="53">NOT(EXACT($D325,AN325))</f>
        <v>0</v>
      </c>
      <c r="AQ325">
        <f>IF(I325&lt;=CNSIPEE_2024_M2_Secc1!$C$51,0,IF(I325="NS",0,1))</f>
        <v>0</v>
      </c>
      <c r="AS325">
        <f t="shared" ref="AS325:AS388" si="54">IF(AND($AA325="X",COUNTA(U325:Z325)&gt;0),1,0)</f>
        <v>0</v>
      </c>
      <c r="AT325">
        <f t="shared" ref="AT325:AT388" si="55">IF(AND(AA325="X",Y325="",S325&lt;&gt;""),0,IF(Y325&lt;S325,1,0))</f>
        <v>0</v>
      </c>
      <c r="AU325" s="253">
        <f t="shared" ref="AU325:AU388" si="56">LEN(O325)</f>
        <v>0</v>
      </c>
      <c r="AV325" s="253">
        <f t="shared" ref="AV325:AV388" si="57">IF(O325="NS",0,IF(AND(O325&lt;&gt;"",SUM(AU325)=2),0,IF(O325="",0,1)))</f>
        <v>0</v>
      </c>
      <c r="AW325" s="253">
        <f t="shared" ref="AW325:AW388" si="58">LEN(Q325)</f>
        <v>0</v>
      </c>
      <c r="AX325" s="253">
        <f t="shared" ref="AX325:AX388" si="59">IF(Q325="NS",0,IF(AND(Q325&lt;&gt;"",SUM(AW325)=2),0,IF(Q325="",0,1)))</f>
        <v>0</v>
      </c>
      <c r="AY325" s="253">
        <f t="shared" ref="AY325:AY388" si="60">LEN(S325)</f>
        <v>0</v>
      </c>
      <c r="AZ325" s="253">
        <f t="shared" ref="AZ325:AZ388" si="61">IF(S325="NS",0,IF(AND(S325&lt;&gt;"",SUM(AY325)=4),0,IF(S325="",0,1)))</f>
        <v>0</v>
      </c>
      <c r="BA325" s="253">
        <f t="shared" ref="BA325:BA388" si="62">LEN(U325)</f>
        <v>0</v>
      </c>
      <c r="BB325" s="253">
        <f t="shared" ref="BB325:BB388" si="63">IF(U325="NS",0,IF(AND(U325&lt;&gt;"",SUM(BA325)=2),0,IF(U325="",0,1)))</f>
        <v>0</v>
      </c>
      <c r="BC325" s="253">
        <f t="shared" ref="BC325:BC388" si="64">LEN(W325)</f>
        <v>0</v>
      </c>
      <c r="BD325" s="253">
        <f t="shared" ref="BD325:BD388" si="65">IF(W325="NS",0,IF(AND(W325&lt;&gt;"",SUM(BC325)=2),0,IF(W325="",0,1)))</f>
        <v>0</v>
      </c>
      <c r="BE325" s="253">
        <f t="shared" ref="BE325:BE388" si="66">LEN(Y325)</f>
        <v>0</v>
      </c>
      <c r="BF325" s="253">
        <f t="shared" ref="BF325:BF388" si="67">IF(Y325="NS",0,IF(AND(Y325&lt;&gt;"",SUM(BE325)=4),0,IF(Y325="",0,1)))</f>
        <v>0</v>
      </c>
    </row>
    <row r="326" spans="1:58" ht="15" customHeight="1">
      <c r="A326" s="94"/>
      <c r="C326" s="44" t="s">
        <v>2518</v>
      </c>
      <c r="D326" s="882"/>
      <c r="E326" s="883"/>
      <c r="F326" s="883"/>
      <c r="G326" s="883"/>
      <c r="H326" s="884"/>
      <c r="I326" s="816"/>
      <c r="J326" s="817"/>
      <c r="K326" s="88"/>
      <c r="L326" s="88"/>
      <c r="M326" s="88"/>
      <c r="N326" s="88"/>
      <c r="O326" s="1038"/>
      <c r="P326" s="1055"/>
      <c r="Q326" s="1038"/>
      <c r="R326" s="1055"/>
      <c r="S326" s="1038"/>
      <c r="T326" s="1055"/>
      <c r="U326" s="1038"/>
      <c r="V326" s="1055"/>
      <c r="W326" s="1038"/>
      <c r="X326" s="1055"/>
      <c r="Y326" s="1038"/>
      <c r="Z326" s="1055"/>
      <c r="AA326" s="816"/>
      <c r="AB326" s="817"/>
      <c r="AC326" s="816"/>
      <c r="AD326" s="817"/>
      <c r="AG326" s="326">
        <f t="shared" si="46"/>
        <v>0</v>
      </c>
      <c r="AH326" s="283">
        <f t="shared" si="47"/>
        <v>0</v>
      </c>
      <c r="AJ326">
        <f t="shared" si="48"/>
        <v>0</v>
      </c>
      <c r="AK326" s="249" t="b">
        <f t="shared" si="49"/>
        <v>0</v>
      </c>
      <c r="AL326" s="249" t="str">
        <f t="shared" si="50"/>
        <v/>
      </c>
      <c r="AM326" s="249" t="b">
        <f t="shared" si="51"/>
        <v>0</v>
      </c>
      <c r="AN326" s="249" t="str">
        <f t="shared" si="52"/>
        <v/>
      </c>
      <c r="AO326" s="249" t="b">
        <f t="shared" si="53"/>
        <v>0</v>
      </c>
      <c r="AQ326">
        <f>IF(I326&lt;=CNSIPEE_2024_M2_Secc1!$C$51,0,IF(I326="NS",0,1))</f>
        <v>0</v>
      </c>
      <c r="AS326">
        <f t="shared" si="54"/>
        <v>0</v>
      </c>
      <c r="AT326">
        <f t="shared" si="55"/>
        <v>0</v>
      </c>
      <c r="AU326" s="253">
        <f t="shared" si="56"/>
        <v>0</v>
      </c>
      <c r="AV326" s="253">
        <f t="shared" si="57"/>
        <v>0</v>
      </c>
      <c r="AW326" s="253">
        <f t="shared" si="58"/>
        <v>0</v>
      </c>
      <c r="AX326" s="253">
        <f t="shared" si="59"/>
        <v>0</v>
      </c>
      <c r="AY326" s="253">
        <f t="shared" si="60"/>
        <v>0</v>
      </c>
      <c r="AZ326" s="253">
        <f t="shared" si="61"/>
        <v>0</v>
      </c>
      <c r="BA326" s="253">
        <f t="shared" si="62"/>
        <v>0</v>
      </c>
      <c r="BB326" s="253">
        <f t="shared" si="63"/>
        <v>0</v>
      </c>
      <c r="BC326" s="253">
        <f t="shared" si="64"/>
        <v>0</v>
      </c>
      <c r="BD326" s="253">
        <f t="shared" si="65"/>
        <v>0</v>
      </c>
      <c r="BE326" s="253">
        <f t="shared" si="66"/>
        <v>0</v>
      </c>
      <c r="BF326" s="253">
        <f t="shared" si="67"/>
        <v>0</v>
      </c>
    </row>
    <row r="327" spans="1:58" ht="15" customHeight="1">
      <c r="A327" s="94"/>
      <c r="C327" s="44" t="s">
        <v>2519</v>
      </c>
      <c r="D327" s="882"/>
      <c r="E327" s="883"/>
      <c r="F327" s="883"/>
      <c r="G327" s="883"/>
      <c r="H327" s="884"/>
      <c r="I327" s="816"/>
      <c r="J327" s="817"/>
      <c r="K327" s="88"/>
      <c r="L327" s="88"/>
      <c r="M327" s="88"/>
      <c r="N327" s="88"/>
      <c r="O327" s="1038"/>
      <c r="P327" s="1055"/>
      <c r="Q327" s="1038"/>
      <c r="R327" s="1055"/>
      <c r="S327" s="1038"/>
      <c r="T327" s="1055"/>
      <c r="U327" s="1038"/>
      <c r="V327" s="1055"/>
      <c r="W327" s="1038"/>
      <c r="X327" s="1055"/>
      <c r="Y327" s="1038"/>
      <c r="Z327" s="1055"/>
      <c r="AA327" s="816"/>
      <c r="AB327" s="817"/>
      <c r="AC327" s="816"/>
      <c r="AD327" s="817"/>
      <c r="AG327" s="326">
        <f t="shared" si="46"/>
        <v>0</v>
      </c>
      <c r="AH327" s="283">
        <f t="shared" si="47"/>
        <v>0</v>
      </c>
      <c r="AI327" s="472" t="s">
        <v>2667</v>
      </c>
      <c r="AJ327">
        <f t="shared" si="48"/>
        <v>0</v>
      </c>
      <c r="AK327" s="249" t="b">
        <f t="shared" si="49"/>
        <v>0</v>
      </c>
      <c r="AL327" s="249" t="str">
        <f t="shared" si="50"/>
        <v/>
      </c>
      <c r="AM327" s="249" t="b">
        <f t="shared" si="51"/>
        <v>0</v>
      </c>
      <c r="AN327" s="249" t="str">
        <f t="shared" si="52"/>
        <v/>
      </c>
      <c r="AO327" s="249" t="b">
        <f t="shared" si="53"/>
        <v>0</v>
      </c>
      <c r="AQ327">
        <f>IF(I327&lt;=CNSIPEE_2024_M2_Secc1!$C$51,0,IF(I327="NS",0,1))</f>
        <v>0</v>
      </c>
      <c r="AS327">
        <f t="shared" si="54"/>
        <v>0</v>
      </c>
      <c r="AT327">
        <f t="shared" si="55"/>
        <v>0</v>
      </c>
      <c r="AU327" s="253">
        <f t="shared" si="56"/>
        <v>0</v>
      </c>
      <c r="AV327" s="253">
        <f t="shared" si="57"/>
        <v>0</v>
      </c>
      <c r="AW327" s="253">
        <f t="shared" si="58"/>
        <v>0</v>
      </c>
      <c r="AX327" s="253">
        <f t="shared" si="59"/>
        <v>0</v>
      </c>
      <c r="AY327" s="253">
        <f t="shared" si="60"/>
        <v>0</v>
      </c>
      <c r="AZ327" s="253">
        <f t="shared" si="61"/>
        <v>0</v>
      </c>
      <c r="BA327" s="253">
        <f t="shared" si="62"/>
        <v>0</v>
      </c>
      <c r="BB327" s="253">
        <f t="shared" si="63"/>
        <v>0</v>
      </c>
      <c r="BC327" s="253">
        <f t="shared" si="64"/>
        <v>0</v>
      </c>
      <c r="BD327" s="253">
        <f t="shared" si="65"/>
        <v>0</v>
      </c>
      <c r="BE327" s="253">
        <f t="shared" si="66"/>
        <v>0</v>
      </c>
      <c r="BF327" s="253">
        <f t="shared" si="67"/>
        <v>0</v>
      </c>
    </row>
    <row r="328" spans="1:58" ht="15" customHeight="1">
      <c r="A328" s="94"/>
      <c r="C328" s="44" t="s">
        <v>2520</v>
      </c>
      <c r="D328" s="882"/>
      <c r="E328" s="883"/>
      <c r="F328" s="883"/>
      <c r="G328" s="883"/>
      <c r="H328" s="884"/>
      <c r="I328" s="816"/>
      <c r="J328" s="817"/>
      <c r="K328" s="88"/>
      <c r="L328" s="88"/>
      <c r="M328" s="88"/>
      <c r="N328" s="88"/>
      <c r="O328" s="1038"/>
      <c r="P328" s="1055"/>
      <c r="Q328" s="1038"/>
      <c r="R328" s="1055"/>
      <c r="S328" s="1038"/>
      <c r="T328" s="1055"/>
      <c r="U328" s="1038"/>
      <c r="V328" s="1055"/>
      <c r="W328" s="1038"/>
      <c r="X328" s="1055"/>
      <c r="Y328" s="1038"/>
      <c r="Z328" s="1055"/>
      <c r="AA328" s="816"/>
      <c r="AB328" s="817"/>
      <c r="AC328" s="816"/>
      <c r="AD328" s="817"/>
      <c r="AG328" s="326">
        <f t="shared" si="46"/>
        <v>0</v>
      </c>
      <c r="AH328" s="283">
        <f t="shared" si="47"/>
        <v>0</v>
      </c>
      <c r="AI328">
        <f>IF(COUNTIF(K324:N423,26)&gt;0,1,0)</f>
        <v>0</v>
      </c>
      <c r="AJ328">
        <f t="shared" si="48"/>
        <v>0</v>
      </c>
      <c r="AK328" s="249" t="b">
        <f t="shared" si="49"/>
        <v>0</v>
      </c>
      <c r="AL328" s="249" t="str">
        <f t="shared" si="50"/>
        <v/>
      </c>
      <c r="AM328" s="249" t="b">
        <f t="shared" si="51"/>
        <v>0</v>
      </c>
      <c r="AN328" s="249" t="str">
        <f t="shared" si="52"/>
        <v/>
      </c>
      <c r="AO328" s="249" t="b">
        <f t="shared" si="53"/>
        <v>0</v>
      </c>
      <c r="AQ328">
        <f>IF(I328&lt;=CNSIPEE_2024_M2_Secc1!$C$51,0,IF(I328="NS",0,1))</f>
        <v>0</v>
      </c>
      <c r="AS328">
        <f t="shared" si="54"/>
        <v>0</v>
      </c>
      <c r="AT328">
        <f t="shared" si="55"/>
        <v>0</v>
      </c>
      <c r="AU328" s="253">
        <f t="shared" si="56"/>
        <v>0</v>
      </c>
      <c r="AV328" s="253">
        <f t="shared" si="57"/>
        <v>0</v>
      </c>
      <c r="AW328" s="253">
        <f t="shared" si="58"/>
        <v>0</v>
      </c>
      <c r="AX328" s="253">
        <f t="shared" si="59"/>
        <v>0</v>
      </c>
      <c r="AY328" s="253">
        <f t="shared" si="60"/>
        <v>0</v>
      </c>
      <c r="AZ328" s="253">
        <f t="shared" si="61"/>
        <v>0</v>
      </c>
      <c r="BA328" s="253">
        <f t="shared" si="62"/>
        <v>0</v>
      </c>
      <c r="BB328" s="253">
        <f t="shared" si="63"/>
        <v>0</v>
      </c>
      <c r="BC328" s="253">
        <f t="shared" si="64"/>
        <v>0</v>
      </c>
      <c r="BD328" s="253">
        <f t="shared" si="65"/>
        <v>0</v>
      </c>
      <c r="BE328" s="253">
        <f t="shared" si="66"/>
        <v>0</v>
      </c>
      <c r="BF328" s="253">
        <f t="shared" si="67"/>
        <v>0</v>
      </c>
    </row>
    <row r="329" spans="1:58" ht="15" customHeight="1">
      <c r="A329" s="94"/>
      <c r="C329" s="44" t="s">
        <v>2521</v>
      </c>
      <c r="D329" s="882"/>
      <c r="E329" s="883"/>
      <c r="F329" s="883"/>
      <c r="G329" s="883"/>
      <c r="H329" s="884"/>
      <c r="I329" s="816"/>
      <c r="J329" s="817"/>
      <c r="K329" s="88"/>
      <c r="L329" s="88"/>
      <c r="M329" s="88"/>
      <c r="N329" s="88"/>
      <c r="O329" s="1038"/>
      <c r="P329" s="1055"/>
      <c r="Q329" s="1038"/>
      <c r="R329" s="1055"/>
      <c r="S329" s="1038"/>
      <c r="T329" s="1055"/>
      <c r="U329" s="1038"/>
      <c r="V329" s="1055"/>
      <c r="W329" s="1038"/>
      <c r="X329" s="1055"/>
      <c r="Y329" s="1038"/>
      <c r="Z329" s="1055"/>
      <c r="AA329" s="816"/>
      <c r="AB329" s="817"/>
      <c r="AC329" s="816"/>
      <c r="AD329" s="817"/>
      <c r="AG329" s="326">
        <f t="shared" si="46"/>
        <v>0</v>
      </c>
      <c r="AH329" s="283">
        <f t="shared" si="47"/>
        <v>0</v>
      </c>
      <c r="AJ329">
        <f>IF(AND(K329="",COUNTA(L329:N329)&gt;0),1,IF(AND(K329&lt;&gt;"",L329="",COUNTA(M329:N329)&gt;0),1,IF(AND(K329&lt;&gt;"",L329&lt;&gt;"",M329="",COUNTA(N329)&gt;0),1,0)))</f>
        <v>0</v>
      </c>
      <c r="AK329" s="249" t="b">
        <f t="shared" si="49"/>
        <v>0</v>
      </c>
      <c r="AL329" s="249" t="str">
        <f t="shared" si="50"/>
        <v/>
      </c>
      <c r="AM329" s="249" t="b">
        <f t="shared" si="51"/>
        <v>0</v>
      </c>
      <c r="AN329" s="249" t="str">
        <f t="shared" si="52"/>
        <v/>
      </c>
      <c r="AO329" s="249" t="b">
        <f t="shared" si="53"/>
        <v>0</v>
      </c>
      <c r="AQ329">
        <f>IF(I329&lt;=CNSIPEE_2024_M2_Secc1!$C$51,0,IF(I329="NS",0,1))</f>
        <v>0</v>
      </c>
      <c r="AS329">
        <f t="shared" si="54"/>
        <v>0</v>
      </c>
      <c r="AT329">
        <f t="shared" si="55"/>
        <v>0</v>
      </c>
      <c r="AU329" s="253">
        <f t="shared" si="56"/>
        <v>0</v>
      </c>
      <c r="AV329" s="253">
        <f t="shared" si="57"/>
        <v>0</v>
      </c>
      <c r="AW329" s="253">
        <f t="shared" si="58"/>
        <v>0</v>
      </c>
      <c r="AX329" s="253">
        <f t="shared" si="59"/>
        <v>0</v>
      </c>
      <c r="AY329" s="253">
        <f t="shared" si="60"/>
        <v>0</v>
      </c>
      <c r="AZ329" s="253">
        <f t="shared" si="61"/>
        <v>0</v>
      </c>
      <c r="BA329" s="253">
        <f t="shared" si="62"/>
        <v>0</v>
      </c>
      <c r="BB329" s="253">
        <f t="shared" si="63"/>
        <v>0</v>
      </c>
      <c r="BC329" s="253">
        <f t="shared" si="64"/>
        <v>0</v>
      </c>
      <c r="BD329" s="253">
        <f t="shared" si="65"/>
        <v>0</v>
      </c>
      <c r="BE329" s="253">
        <f t="shared" si="66"/>
        <v>0</v>
      </c>
      <c r="BF329" s="253">
        <f t="shared" si="67"/>
        <v>0</v>
      </c>
    </row>
    <row r="330" spans="1:58" ht="15" customHeight="1">
      <c r="A330" s="94"/>
      <c r="C330" s="44" t="s">
        <v>2522</v>
      </c>
      <c r="D330" s="882"/>
      <c r="E330" s="883"/>
      <c r="F330" s="883"/>
      <c r="G330" s="883"/>
      <c r="H330" s="884"/>
      <c r="I330" s="816"/>
      <c r="J330" s="817"/>
      <c r="K330" s="88"/>
      <c r="L330" s="88"/>
      <c r="M330" s="88"/>
      <c r="N330" s="88"/>
      <c r="O330" s="1038"/>
      <c r="P330" s="1055"/>
      <c r="Q330" s="1038"/>
      <c r="R330" s="1055"/>
      <c r="S330" s="1038"/>
      <c r="T330" s="1055"/>
      <c r="U330" s="1038"/>
      <c r="V330" s="1055"/>
      <c r="W330" s="1038"/>
      <c r="X330" s="1055"/>
      <c r="Y330" s="1038"/>
      <c r="Z330" s="1055"/>
      <c r="AA330" s="816"/>
      <c r="AB330" s="817"/>
      <c r="AC330" s="816"/>
      <c r="AD330" s="817"/>
      <c r="AG330" s="326">
        <f t="shared" si="46"/>
        <v>0</v>
      </c>
      <c r="AH330" s="283">
        <f t="shared" si="47"/>
        <v>0</v>
      </c>
      <c r="AJ330">
        <f t="shared" si="48"/>
        <v>0</v>
      </c>
      <c r="AK330" s="249" t="b">
        <f t="shared" si="49"/>
        <v>0</v>
      </c>
      <c r="AL330" s="249" t="str">
        <f t="shared" si="50"/>
        <v/>
      </c>
      <c r="AM330" s="249" t="b">
        <f t="shared" si="51"/>
        <v>0</v>
      </c>
      <c r="AN330" s="249" t="str">
        <f t="shared" si="52"/>
        <v/>
      </c>
      <c r="AO330" s="249" t="b">
        <f t="shared" si="53"/>
        <v>0</v>
      </c>
      <c r="AQ330">
        <f>IF(I330&lt;=CNSIPEE_2024_M2_Secc1!$C$51,0,IF(I330="NS",0,1))</f>
        <v>0</v>
      </c>
      <c r="AS330">
        <f t="shared" si="54"/>
        <v>0</v>
      </c>
      <c r="AT330">
        <f t="shared" si="55"/>
        <v>0</v>
      </c>
      <c r="AU330" s="253">
        <f t="shared" si="56"/>
        <v>0</v>
      </c>
      <c r="AV330" s="253">
        <f t="shared" si="57"/>
        <v>0</v>
      </c>
      <c r="AW330" s="253">
        <f t="shared" si="58"/>
        <v>0</v>
      </c>
      <c r="AX330" s="253">
        <f t="shared" si="59"/>
        <v>0</v>
      </c>
      <c r="AY330" s="253">
        <f t="shared" si="60"/>
        <v>0</v>
      </c>
      <c r="AZ330" s="253">
        <f t="shared" si="61"/>
        <v>0</v>
      </c>
      <c r="BA330" s="253">
        <f t="shared" si="62"/>
        <v>0</v>
      </c>
      <c r="BB330" s="253">
        <f t="shared" si="63"/>
        <v>0</v>
      </c>
      <c r="BC330" s="253">
        <f t="shared" si="64"/>
        <v>0</v>
      </c>
      <c r="BD330" s="253">
        <f t="shared" si="65"/>
        <v>0</v>
      </c>
      <c r="BE330" s="253">
        <f t="shared" si="66"/>
        <v>0</v>
      </c>
      <c r="BF330" s="253">
        <f t="shared" si="67"/>
        <v>0</v>
      </c>
    </row>
    <row r="331" spans="1:58" ht="15" customHeight="1">
      <c r="A331" s="94"/>
      <c r="C331" s="44" t="s">
        <v>2523</v>
      </c>
      <c r="D331" s="882"/>
      <c r="E331" s="883"/>
      <c r="F331" s="883"/>
      <c r="G331" s="883"/>
      <c r="H331" s="884"/>
      <c r="I331" s="816"/>
      <c r="J331" s="817"/>
      <c r="K331" s="88"/>
      <c r="L331" s="88"/>
      <c r="M331" s="88"/>
      <c r="N331" s="88"/>
      <c r="O331" s="1038"/>
      <c r="P331" s="1055"/>
      <c r="Q331" s="1038"/>
      <c r="R331" s="1055"/>
      <c r="S331" s="1038"/>
      <c r="T331" s="1055"/>
      <c r="U331" s="1038"/>
      <c r="V331" s="1055"/>
      <c r="W331" s="1038"/>
      <c r="X331" s="1055"/>
      <c r="Y331" s="1038"/>
      <c r="Z331" s="1055"/>
      <c r="AA331" s="816"/>
      <c r="AB331" s="817"/>
      <c r="AC331" s="816"/>
      <c r="AD331" s="817"/>
      <c r="AG331" s="326">
        <f t="shared" si="46"/>
        <v>0</v>
      </c>
      <c r="AH331" s="283">
        <f t="shared" si="47"/>
        <v>0</v>
      </c>
      <c r="AJ331">
        <f t="shared" si="48"/>
        <v>0</v>
      </c>
      <c r="AK331" s="249" t="b">
        <f t="shared" si="49"/>
        <v>0</v>
      </c>
      <c r="AL331" s="249" t="str">
        <f t="shared" si="50"/>
        <v/>
      </c>
      <c r="AM331" s="249" t="b">
        <f t="shared" si="51"/>
        <v>0</v>
      </c>
      <c r="AN331" s="249" t="str">
        <f t="shared" si="52"/>
        <v/>
      </c>
      <c r="AO331" s="249" t="b">
        <f t="shared" si="53"/>
        <v>0</v>
      </c>
      <c r="AQ331">
        <f>IF(I331&lt;=CNSIPEE_2024_M2_Secc1!$C$51,0,IF(I331="NS",0,1))</f>
        <v>0</v>
      </c>
      <c r="AS331">
        <f t="shared" si="54"/>
        <v>0</v>
      </c>
      <c r="AT331">
        <f t="shared" si="55"/>
        <v>0</v>
      </c>
      <c r="AU331" s="253">
        <f t="shared" si="56"/>
        <v>0</v>
      </c>
      <c r="AV331" s="253">
        <f t="shared" si="57"/>
        <v>0</v>
      </c>
      <c r="AW331" s="253">
        <f t="shared" si="58"/>
        <v>0</v>
      </c>
      <c r="AX331" s="253">
        <f t="shared" si="59"/>
        <v>0</v>
      </c>
      <c r="AY331" s="253">
        <f t="shared" si="60"/>
        <v>0</v>
      </c>
      <c r="AZ331" s="253">
        <f t="shared" si="61"/>
        <v>0</v>
      </c>
      <c r="BA331" s="253">
        <f t="shared" si="62"/>
        <v>0</v>
      </c>
      <c r="BB331" s="253">
        <f t="shared" si="63"/>
        <v>0</v>
      </c>
      <c r="BC331" s="253">
        <f t="shared" si="64"/>
        <v>0</v>
      </c>
      <c r="BD331" s="253">
        <f t="shared" si="65"/>
        <v>0</v>
      </c>
      <c r="BE331" s="253">
        <f t="shared" si="66"/>
        <v>0</v>
      </c>
      <c r="BF331" s="253">
        <f t="shared" si="67"/>
        <v>0</v>
      </c>
    </row>
    <row r="332" spans="1:58" ht="15" customHeight="1">
      <c r="A332" s="94"/>
      <c r="C332" s="44" t="s">
        <v>2524</v>
      </c>
      <c r="D332" s="882"/>
      <c r="E332" s="883"/>
      <c r="F332" s="883"/>
      <c r="G332" s="883"/>
      <c r="H332" s="884"/>
      <c r="I332" s="816"/>
      <c r="J332" s="817"/>
      <c r="K332" s="88"/>
      <c r="L332" s="88"/>
      <c r="M332" s="88"/>
      <c r="N332" s="88"/>
      <c r="O332" s="1038"/>
      <c r="P332" s="1055"/>
      <c r="Q332" s="1038"/>
      <c r="R332" s="1055"/>
      <c r="S332" s="1038"/>
      <c r="T332" s="1055"/>
      <c r="U332" s="1038"/>
      <c r="V332" s="1055"/>
      <c r="W332" s="1038"/>
      <c r="X332" s="1055"/>
      <c r="Y332" s="1038"/>
      <c r="Z332" s="1055"/>
      <c r="AA332" s="816"/>
      <c r="AB332" s="817"/>
      <c r="AC332" s="816"/>
      <c r="AD332" s="817"/>
      <c r="AG332" s="326">
        <f t="shared" si="46"/>
        <v>0</v>
      </c>
      <c r="AH332" s="283">
        <f t="shared" si="47"/>
        <v>0</v>
      </c>
      <c r="AJ332">
        <f t="shared" si="48"/>
        <v>0</v>
      </c>
      <c r="AK332" s="249" t="b">
        <f t="shared" si="49"/>
        <v>0</v>
      </c>
      <c r="AL332" s="249" t="str">
        <f t="shared" si="50"/>
        <v/>
      </c>
      <c r="AM332" s="249" t="b">
        <f t="shared" si="51"/>
        <v>0</v>
      </c>
      <c r="AN332" s="249" t="str">
        <f t="shared" si="52"/>
        <v/>
      </c>
      <c r="AO332" s="249" t="b">
        <f t="shared" si="53"/>
        <v>0</v>
      </c>
      <c r="AQ332">
        <f>IF(I332&lt;=CNSIPEE_2024_M2_Secc1!$C$51,0,IF(I332="NS",0,1))</f>
        <v>0</v>
      </c>
      <c r="AS332">
        <f t="shared" si="54"/>
        <v>0</v>
      </c>
      <c r="AT332">
        <f t="shared" si="55"/>
        <v>0</v>
      </c>
      <c r="AU332" s="253">
        <f t="shared" si="56"/>
        <v>0</v>
      </c>
      <c r="AV332" s="253">
        <f t="shared" si="57"/>
        <v>0</v>
      </c>
      <c r="AW332" s="253">
        <f t="shared" si="58"/>
        <v>0</v>
      </c>
      <c r="AX332" s="253">
        <f t="shared" si="59"/>
        <v>0</v>
      </c>
      <c r="AY332" s="253">
        <f t="shared" si="60"/>
        <v>0</v>
      </c>
      <c r="AZ332" s="253">
        <f t="shared" si="61"/>
        <v>0</v>
      </c>
      <c r="BA332" s="253">
        <f t="shared" si="62"/>
        <v>0</v>
      </c>
      <c r="BB332" s="253">
        <f t="shared" si="63"/>
        <v>0</v>
      </c>
      <c r="BC332" s="253">
        <f t="shared" si="64"/>
        <v>0</v>
      </c>
      <c r="BD332" s="253">
        <f t="shared" si="65"/>
        <v>0</v>
      </c>
      <c r="BE332" s="253">
        <f t="shared" si="66"/>
        <v>0</v>
      </c>
      <c r="BF332" s="253">
        <f t="shared" si="67"/>
        <v>0</v>
      </c>
    </row>
    <row r="333" spans="1:58" ht="15" customHeight="1">
      <c r="A333" s="94"/>
      <c r="C333" s="44" t="s">
        <v>2525</v>
      </c>
      <c r="D333" s="882"/>
      <c r="E333" s="883"/>
      <c r="F333" s="883"/>
      <c r="G333" s="883"/>
      <c r="H333" s="884"/>
      <c r="I333" s="816"/>
      <c r="J333" s="817"/>
      <c r="K333" s="88"/>
      <c r="L333" s="88"/>
      <c r="M333" s="88"/>
      <c r="N333" s="88"/>
      <c r="O333" s="1038"/>
      <c r="P333" s="1055"/>
      <c r="Q333" s="1038"/>
      <c r="R333" s="1055"/>
      <c r="S333" s="1038"/>
      <c r="T333" s="1055"/>
      <c r="U333" s="1038"/>
      <c r="V333" s="1055"/>
      <c r="W333" s="1038"/>
      <c r="X333" s="1055"/>
      <c r="Y333" s="1038"/>
      <c r="Z333" s="1055"/>
      <c r="AA333" s="816"/>
      <c r="AB333" s="817"/>
      <c r="AC333" s="816"/>
      <c r="AD333" s="817"/>
      <c r="AG333" s="326">
        <f t="shared" si="46"/>
        <v>0</v>
      </c>
      <c r="AH333" s="283">
        <f t="shared" si="47"/>
        <v>0</v>
      </c>
      <c r="AJ333">
        <f t="shared" si="48"/>
        <v>0</v>
      </c>
      <c r="AK333" s="249" t="b">
        <f t="shared" si="49"/>
        <v>0</v>
      </c>
      <c r="AL333" s="249" t="str">
        <f t="shared" si="50"/>
        <v/>
      </c>
      <c r="AM333" s="249" t="b">
        <f t="shared" si="51"/>
        <v>0</v>
      </c>
      <c r="AN333" s="249" t="str">
        <f t="shared" si="52"/>
        <v/>
      </c>
      <c r="AO333" s="249" t="b">
        <f t="shared" si="53"/>
        <v>0</v>
      </c>
      <c r="AQ333">
        <f>IF(I333&lt;=CNSIPEE_2024_M2_Secc1!$C$51,0,IF(I333="NS",0,1))</f>
        <v>0</v>
      </c>
      <c r="AS333">
        <f t="shared" si="54"/>
        <v>0</v>
      </c>
      <c r="AT333">
        <f t="shared" si="55"/>
        <v>0</v>
      </c>
      <c r="AU333" s="253">
        <f t="shared" si="56"/>
        <v>0</v>
      </c>
      <c r="AV333" s="253">
        <f t="shared" si="57"/>
        <v>0</v>
      </c>
      <c r="AW333" s="253">
        <f t="shared" si="58"/>
        <v>0</v>
      </c>
      <c r="AX333" s="253">
        <f t="shared" si="59"/>
        <v>0</v>
      </c>
      <c r="AY333" s="253">
        <f t="shared" si="60"/>
        <v>0</v>
      </c>
      <c r="AZ333" s="253">
        <f t="shared" si="61"/>
        <v>0</v>
      </c>
      <c r="BA333" s="253">
        <f t="shared" si="62"/>
        <v>0</v>
      </c>
      <c r="BB333" s="253">
        <f t="shared" si="63"/>
        <v>0</v>
      </c>
      <c r="BC333" s="253">
        <f t="shared" si="64"/>
        <v>0</v>
      </c>
      <c r="BD333" s="253">
        <f t="shared" si="65"/>
        <v>0</v>
      </c>
      <c r="BE333" s="253">
        <f t="shared" si="66"/>
        <v>0</v>
      </c>
      <c r="BF333" s="253">
        <f t="shared" si="67"/>
        <v>0</v>
      </c>
    </row>
    <row r="334" spans="1:58" ht="15" customHeight="1">
      <c r="A334" s="94"/>
      <c r="C334" s="44" t="s">
        <v>2526</v>
      </c>
      <c r="D334" s="882"/>
      <c r="E334" s="883"/>
      <c r="F334" s="883"/>
      <c r="G334" s="883"/>
      <c r="H334" s="884"/>
      <c r="I334" s="816"/>
      <c r="J334" s="817"/>
      <c r="K334" s="88"/>
      <c r="L334" s="88"/>
      <c r="M334" s="88"/>
      <c r="N334" s="88"/>
      <c r="O334" s="1038"/>
      <c r="P334" s="1055"/>
      <c r="Q334" s="1038"/>
      <c r="R334" s="1055"/>
      <c r="S334" s="1038"/>
      <c r="T334" s="1055"/>
      <c r="U334" s="1038"/>
      <c r="V334" s="1055"/>
      <c r="W334" s="1038"/>
      <c r="X334" s="1055"/>
      <c r="Y334" s="1038"/>
      <c r="Z334" s="1055"/>
      <c r="AA334" s="816"/>
      <c r="AB334" s="817"/>
      <c r="AC334" s="816"/>
      <c r="AD334" s="817"/>
      <c r="AG334" s="326">
        <f t="shared" si="46"/>
        <v>0</v>
      </c>
      <c r="AH334" s="283">
        <f t="shared" si="47"/>
        <v>0</v>
      </c>
      <c r="AJ334">
        <f t="shared" si="48"/>
        <v>0</v>
      </c>
      <c r="AK334" s="249" t="b">
        <f t="shared" si="49"/>
        <v>0</v>
      </c>
      <c r="AL334" s="249" t="str">
        <f t="shared" si="50"/>
        <v/>
      </c>
      <c r="AM334" s="249" t="b">
        <f t="shared" si="51"/>
        <v>0</v>
      </c>
      <c r="AN334" s="249" t="str">
        <f t="shared" si="52"/>
        <v/>
      </c>
      <c r="AO334" s="249" t="b">
        <f t="shared" si="53"/>
        <v>0</v>
      </c>
      <c r="AQ334">
        <f>IF(I334&lt;=CNSIPEE_2024_M2_Secc1!$C$51,0,IF(I334="NS",0,1))</f>
        <v>0</v>
      </c>
      <c r="AS334">
        <f t="shared" si="54"/>
        <v>0</v>
      </c>
      <c r="AT334">
        <f t="shared" si="55"/>
        <v>0</v>
      </c>
      <c r="AU334" s="253">
        <f t="shared" si="56"/>
        <v>0</v>
      </c>
      <c r="AV334" s="253">
        <f t="shared" si="57"/>
        <v>0</v>
      </c>
      <c r="AW334" s="253">
        <f t="shared" si="58"/>
        <v>0</v>
      </c>
      <c r="AX334" s="253">
        <f t="shared" si="59"/>
        <v>0</v>
      </c>
      <c r="AY334" s="253">
        <f t="shared" si="60"/>
        <v>0</v>
      </c>
      <c r="AZ334" s="253">
        <f t="shared" si="61"/>
        <v>0</v>
      </c>
      <c r="BA334" s="253">
        <f t="shared" si="62"/>
        <v>0</v>
      </c>
      <c r="BB334" s="253">
        <f t="shared" si="63"/>
        <v>0</v>
      </c>
      <c r="BC334" s="253">
        <f t="shared" si="64"/>
        <v>0</v>
      </c>
      <c r="BD334" s="253">
        <f t="shared" si="65"/>
        <v>0</v>
      </c>
      <c r="BE334" s="253">
        <f t="shared" si="66"/>
        <v>0</v>
      </c>
      <c r="BF334" s="253">
        <f t="shared" si="67"/>
        <v>0</v>
      </c>
    </row>
    <row r="335" spans="1:58" ht="15" customHeight="1">
      <c r="A335" s="94"/>
      <c r="C335" s="44" t="s">
        <v>2527</v>
      </c>
      <c r="D335" s="882"/>
      <c r="E335" s="883"/>
      <c r="F335" s="883"/>
      <c r="G335" s="883"/>
      <c r="H335" s="884"/>
      <c r="I335" s="816"/>
      <c r="J335" s="817"/>
      <c r="K335" s="88"/>
      <c r="L335" s="88"/>
      <c r="M335" s="88"/>
      <c r="N335" s="88"/>
      <c r="O335" s="1038"/>
      <c r="P335" s="1055"/>
      <c r="Q335" s="1038"/>
      <c r="R335" s="1055"/>
      <c r="S335" s="1038"/>
      <c r="T335" s="1055"/>
      <c r="U335" s="1038"/>
      <c r="V335" s="1055"/>
      <c r="W335" s="1038"/>
      <c r="X335" s="1055"/>
      <c r="Y335" s="1038"/>
      <c r="Z335" s="1055"/>
      <c r="AA335" s="816"/>
      <c r="AB335" s="817"/>
      <c r="AC335" s="816"/>
      <c r="AD335" s="817"/>
      <c r="AG335" s="326">
        <f t="shared" si="46"/>
        <v>0</v>
      </c>
      <c r="AH335" s="283">
        <f t="shared" si="47"/>
        <v>0</v>
      </c>
      <c r="AJ335">
        <f t="shared" si="48"/>
        <v>0</v>
      </c>
      <c r="AK335" s="249" t="b">
        <f t="shared" si="49"/>
        <v>0</v>
      </c>
      <c r="AL335" s="249" t="str">
        <f t="shared" si="50"/>
        <v/>
      </c>
      <c r="AM335" s="249" t="b">
        <f t="shared" si="51"/>
        <v>0</v>
      </c>
      <c r="AN335" s="249" t="str">
        <f t="shared" si="52"/>
        <v/>
      </c>
      <c r="AO335" s="249" t="b">
        <f t="shared" si="53"/>
        <v>0</v>
      </c>
      <c r="AQ335">
        <f>IF(I335&lt;=CNSIPEE_2024_M2_Secc1!$C$51,0,IF(I335="NS",0,1))</f>
        <v>0</v>
      </c>
      <c r="AS335">
        <f t="shared" si="54"/>
        <v>0</v>
      </c>
      <c r="AT335">
        <f t="shared" si="55"/>
        <v>0</v>
      </c>
      <c r="AU335" s="253">
        <f t="shared" si="56"/>
        <v>0</v>
      </c>
      <c r="AV335" s="253">
        <f t="shared" si="57"/>
        <v>0</v>
      </c>
      <c r="AW335" s="253">
        <f t="shared" si="58"/>
        <v>0</v>
      </c>
      <c r="AX335" s="253">
        <f t="shared" si="59"/>
        <v>0</v>
      </c>
      <c r="AY335" s="253">
        <f t="shared" si="60"/>
        <v>0</v>
      </c>
      <c r="AZ335" s="253">
        <f t="shared" si="61"/>
        <v>0</v>
      </c>
      <c r="BA335" s="253">
        <f t="shared" si="62"/>
        <v>0</v>
      </c>
      <c r="BB335" s="253">
        <f t="shared" si="63"/>
        <v>0</v>
      </c>
      <c r="BC335" s="253">
        <f t="shared" si="64"/>
        <v>0</v>
      </c>
      <c r="BD335" s="253">
        <f t="shared" si="65"/>
        <v>0</v>
      </c>
      <c r="BE335" s="253">
        <f t="shared" si="66"/>
        <v>0</v>
      </c>
      <c r="BF335" s="253">
        <f t="shared" si="67"/>
        <v>0</v>
      </c>
    </row>
    <row r="336" spans="1:58" ht="15" customHeight="1">
      <c r="A336" s="94"/>
      <c r="C336" s="44" t="s">
        <v>2528</v>
      </c>
      <c r="D336" s="882"/>
      <c r="E336" s="883"/>
      <c r="F336" s="883"/>
      <c r="G336" s="883"/>
      <c r="H336" s="884"/>
      <c r="I336" s="816"/>
      <c r="J336" s="817"/>
      <c r="K336" s="88"/>
      <c r="L336" s="88"/>
      <c r="M336" s="88"/>
      <c r="N336" s="88"/>
      <c r="O336" s="1038"/>
      <c r="P336" s="1055"/>
      <c r="Q336" s="1038"/>
      <c r="R336" s="1055"/>
      <c r="S336" s="1038"/>
      <c r="T336" s="1055"/>
      <c r="U336" s="1038"/>
      <c r="V336" s="1055"/>
      <c r="W336" s="1038"/>
      <c r="X336" s="1055"/>
      <c r="Y336" s="1038"/>
      <c r="Z336" s="1055"/>
      <c r="AA336" s="816"/>
      <c r="AB336" s="817"/>
      <c r="AC336" s="816"/>
      <c r="AD336" s="817"/>
      <c r="AG336" s="326">
        <f t="shared" si="46"/>
        <v>0</v>
      </c>
      <c r="AH336" s="283">
        <f t="shared" si="47"/>
        <v>0</v>
      </c>
      <c r="AJ336">
        <f t="shared" si="48"/>
        <v>0</v>
      </c>
      <c r="AK336" s="249" t="b">
        <f t="shared" si="49"/>
        <v>0</v>
      </c>
      <c r="AL336" s="249" t="str">
        <f t="shared" si="50"/>
        <v/>
      </c>
      <c r="AM336" s="249" t="b">
        <f t="shared" si="51"/>
        <v>0</v>
      </c>
      <c r="AN336" s="249" t="str">
        <f t="shared" si="52"/>
        <v/>
      </c>
      <c r="AO336" s="249" t="b">
        <f t="shared" si="53"/>
        <v>0</v>
      </c>
      <c r="AQ336">
        <f>IF(I336&lt;=CNSIPEE_2024_M2_Secc1!$C$51,0,IF(I336="NS",0,1))</f>
        <v>0</v>
      </c>
      <c r="AS336">
        <f t="shared" si="54"/>
        <v>0</v>
      </c>
      <c r="AT336">
        <f t="shared" si="55"/>
        <v>0</v>
      </c>
      <c r="AU336" s="253">
        <f t="shared" si="56"/>
        <v>0</v>
      </c>
      <c r="AV336" s="253">
        <f t="shared" si="57"/>
        <v>0</v>
      </c>
      <c r="AW336" s="253">
        <f t="shared" si="58"/>
        <v>0</v>
      </c>
      <c r="AX336" s="253">
        <f t="shared" si="59"/>
        <v>0</v>
      </c>
      <c r="AY336" s="253">
        <f t="shared" si="60"/>
        <v>0</v>
      </c>
      <c r="AZ336" s="253">
        <f t="shared" si="61"/>
        <v>0</v>
      </c>
      <c r="BA336" s="253">
        <f t="shared" si="62"/>
        <v>0</v>
      </c>
      <c r="BB336" s="253">
        <f t="shared" si="63"/>
        <v>0</v>
      </c>
      <c r="BC336" s="253">
        <f t="shared" si="64"/>
        <v>0</v>
      </c>
      <c r="BD336" s="253">
        <f t="shared" si="65"/>
        <v>0</v>
      </c>
      <c r="BE336" s="253">
        <f t="shared" si="66"/>
        <v>0</v>
      </c>
      <c r="BF336" s="253">
        <f t="shared" si="67"/>
        <v>0</v>
      </c>
    </row>
    <row r="337" spans="1:58" ht="15" customHeight="1">
      <c r="A337" s="94"/>
      <c r="C337" s="44" t="s">
        <v>2529</v>
      </c>
      <c r="D337" s="882"/>
      <c r="E337" s="883"/>
      <c r="F337" s="883"/>
      <c r="G337" s="883"/>
      <c r="H337" s="884"/>
      <c r="I337" s="816"/>
      <c r="J337" s="817"/>
      <c r="K337" s="88"/>
      <c r="L337" s="88"/>
      <c r="M337" s="88"/>
      <c r="N337" s="88"/>
      <c r="O337" s="1038"/>
      <c r="P337" s="1055"/>
      <c r="Q337" s="1038"/>
      <c r="R337" s="1055"/>
      <c r="S337" s="1038"/>
      <c r="T337" s="1055"/>
      <c r="U337" s="1038"/>
      <c r="V337" s="1055"/>
      <c r="W337" s="1038"/>
      <c r="X337" s="1055"/>
      <c r="Y337" s="1038"/>
      <c r="Z337" s="1055"/>
      <c r="AA337" s="816"/>
      <c r="AB337" s="817"/>
      <c r="AC337" s="816"/>
      <c r="AD337" s="817"/>
      <c r="AG337" s="326">
        <f t="shared" si="46"/>
        <v>0</v>
      </c>
      <c r="AH337" s="283">
        <f t="shared" si="47"/>
        <v>0</v>
      </c>
      <c r="AJ337">
        <f t="shared" si="48"/>
        <v>0</v>
      </c>
      <c r="AK337" s="249" t="b">
        <f t="shared" si="49"/>
        <v>0</v>
      </c>
      <c r="AL337" s="249" t="str">
        <f t="shared" si="50"/>
        <v/>
      </c>
      <c r="AM337" s="249" t="b">
        <f t="shared" si="51"/>
        <v>0</v>
      </c>
      <c r="AN337" s="249" t="str">
        <f t="shared" si="52"/>
        <v/>
      </c>
      <c r="AO337" s="249" t="b">
        <f t="shared" si="53"/>
        <v>0</v>
      </c>
      <c r="AQ337">
        <f>IF(I337&lt;=CNSIPEE_2024_M2_Secc1!$C$51,0,IF(I337="NS",0,1))</f>
        <v>0</v>
      </c>
      <c r="AS337">
        <f t="shared" si="54"/>
        <v>0</v>
      </c>
      <c r="AT337">
        <f t="shared" si="55"/>
        <v>0</v>
      </c>
      <c r="AU337" s="253">
        <f t="shared" si="56"/>
        <v>0</v>
      </c>
      <c r="AV337" s="253">
        <f t="shared" si="57"/>
        <v>0</v>
      </c>
      <c r="AW337" s="253">
        <f t="shared" si="58"/>
        <v>0</v>
      </c>
      <c r="AX337" s="253">
        <f t="shared" si="59"/>
        <v>0</v>
      </c>
      <c r="AY337" s="253">
        <f t="shared" si="60"/>
        <v>0</v>
      </c>
      <c r="AZ337" s="253">
        <f t="shared" si="61"/>
        <v>0</v>
      </c>
      <c r="BA337" s="253">
        <f t="shared" si="62"/>
        <v>0</v>
      </c>
      <c r="BB337" s="253">
        <f t="shared" si="63"/>
        <v>0</v>
      </c>
      <c r="BC337" s="253">
        <f t="shared" si="64"/>
        <v>0</v>
      </c>
      <c r="BD337" s="253">
        <f t="shared" si="65"/>
        <v>0</v>
      </c>
      <c r="BE337" s="253">
        <f t="shared" si="66"/>
        <v>0</v>
      </c>
      <c r="BF337" s="253">
        <f t="shared" si="67"/>
        <v>0</v>
      </c>
    </row>
    <row r="338" spans="1:58" ht="15" customHeight="1">
      <c r="A338" s="94"/>
      <c r="C338" s="44" t="s">
        <v>2530</v>
      </c>
      <c r="D338" s="882"/>
      <c r="E338" s="883"/>
      <c r="F338" s="883"/>
      <c r="G338" s="883"/>
      <c r="H338" s="884"/>
      <c r="I338" s="816"/>
      <c r="J338" s="817"/>
      <c r="K338" s="88"/>
      <c r="L338" s="88"/>
      <c r="M338" s="88"/>
      <c r="N338" s="88"/>
      <c r="O338" s="1038"/>
      <c r="P338" s="1055"/>
      <c r="Q338" s="1038"/>
      <c r="R338" s="1055"/>
      <c r="S338" s="1038"/>
      <c r="T338" s="1055"/>
      <c r="U338" s="1038"/>
      <c r="V338" s="1055"/>
      <c r="W338" s="1038"/>
      <c r="X338" s="1055"/>
      <c r="Y338" s="1038"/>
      <c r="Z338" s="1055"/>
      <c r="AA338" s="816"/>
      <c r="AB338" s="817"/>
      <c r="AC338" s="816"/>
      <c r="AD338" s="817"/>
      <c r="AG338" s="326">
        <f t="shared" si="46"/>
        <v>0</v>
      </c>
      <c r="AH338" s="283">
        <f t="shared" si="47"/>
        <v>0</v>
      </c>
      <c r="AJ338">
        <f t="shared" si="48"/>
        <v>0</v>
      </c>
      <c r="AK338" s="249" t="b">
        <f t="shared" si="49"/>
        <v>0</v>
      </c>
      <c r="AL338" s="249" t="str">
        <f t="shared" si="50"/>
        <v/>
      </c>
      <c r="AM338" s="249" t="b">
        <f t="shared" si="51"/>
        <v>0</v>
      </c>
      <c r="AN338" s="249" t="str">
        <f t="shared" si="52"/>
        <v/>
      </c>
      <c r="AO338" s="249" t="b">
        <f t="shared" si="53"/>
        <v>0</v>
      </c>
      <c r="AQ338">
        <f>IF(I338&lt;=CNSIPEE_2024_M2_Secc1!$C$51,0,IF(I338="NS",0,1))</f>
        <v>0</v>
      </c>
      <c r="AS338">
        <f t="shared" si="54"/>
        <v>0</v>
      </c>
      <c r="AT338">
        <f t="shared" si="55"/>
        <v>0</v>
      </c>
      <c r="AU338" s="253">
        <f t="shared" si="56"/>
        <v>0</v>
      </c>
      <c r="AV338" s="253">
        <f t="shared" si="57"/>
        <v>0</v>
      </c>
      <c r="AW338" s="253">
        <f t="shared" si="58"/>
        <v>0</v>
      </c>
      <c r="AX338" s="253">
        <f t="shared" si="59"/>
        <v>0</v>
      </c>
      <c r="AY338" s="253">
        <f t="shared" si="60"/>
        <v>0</v>
      </c>
      <c r="AZ338" s="253">
        <f t="shared" si="61"/>
        <v>0</v>
      </c>
      <c r="BA338" s="253">
        <f t="shared" si="62"/>
        <v>0</v>
      </c>
      <c r="BB338" s="253">
        <f t="shared" si="63"/>
        <v>0</v>
      </c>
      <c r="BC338" s="253">
        <f t="shared" si="64"/>
        <v>0</v>
      </c>
      <c r="BD338" s="253">
        <f t="shared" si="65"/>
        <v>0</v>
      </c>
      <c r="BE338" s="253">
        <f t="shared" si="66"/>
        <v>0</v>
      </c>
      <c r="BF338" s="253">
        <f t="shared" si="67"/>
        <v>0</v>
      </c>
    </row>
    <row r="339" spans="1:58" ht="15" customHeight="1">
      <c r="A339" s="94"/>
      <c r="C339" s="44" t="s">
        <v>2531</v>
      </c>
      <c r="D339" s="882"/>
      <c r="E339" s="883"/>
      <c r="F339" s="883"/>
      <c r="G339" s="883"/>
      <c r="H339" s="884"/>
      <c r="I339" s="816"/>
      <c r="J339" s="817"/>
      <c r="K339" s="88"/>
      <c r="L339" s="88"/>
      <c r="M339" s="88"/>
      <c r="N339" s="88"/>
      <c r="O339" s="1038"/>
      <c r="P339" s="1055"/>
      <c r="Q339" s="1038"/>
      <c r="R339" s="1055"/>
      <c r="S339" s="1038"/>
      <c r="T339" s="1055"/>
      <c r="U339" s="1038"/>
      <c r="V339" s="1055"/>
      <c r="W339" s="1038"/>
      <c r="X339" s="1055"/>
      <c r="Y339" s="1038"/>
      <c r="Z339" s="1055"/>
      <c r="AA339" s="816"/>
      <c r="AB339" s="817"/>
      <c r="AC339" s="816"/>
      <c r="AD339" s="817"/>
      <c r="AG339" s="326">
        <f t="shared" si="46"/>
        <v>0</v>
      </c>
      <c r="AH339" s="283">
        <f t="shared" si="47"/>
        <v>0</v>
      </c>
      <c r="AJ339">
        <f t="shared" si="48"/>
        <v>0</v>
      </c>
      <c r="AK339" s="249" t="b">
        <f t="shared" si="49"/>
        <v>0</v>
      </c>
      <c r="AL339" s="249" t="str">
        <f t="shared" si="50"/>
        <v/>
      </c>
      <c r="AM339" s="249" t="b">
        <f t="shared" si="51"/>
        <v>0</v>
      </c>
      <c r="AN339" s="249" t="str">
        <f t="shared" si="52"/>
        <v/>
      </c>
      <c r="AO339" s="249" t="b">
        <f t="shared" si="53"/>
        <v>0</v>
      </c>
      <c r="AQ339">
        <f>IF(I339&lt;=CNSIPEE_2024_M2_Secc1!$C$51,0,IF(I339="NS",0,1))</f>
        <v>0</v>
      </c>
      <c r="AS339">
        <f t="shared" si="54"/>
        <v>0</v>
      </c>
      <c r="AT339">
        <f t="shared" si="55"/>
        <v>0</v>
      </c>
      <c r="AU339" s="253">
        <f t="shared" si="56"/>
        <v>0</v>
      </c>
      <c r="AV339" s="253">
        <f t="shared" si="57"/>
        <v>0</v>
      </c>
      <c r="AW339" s="253">
        <f t="shared" si="58"/>
        <v>0</v>
      </c>
      <c r="AX339" s="253">
        <f t="shared" si="59"/>
        <v>0</v>
      </c>
      <c r="AY339" s="253">
        <f t="shared" si="60"/>
        <v>0</v>
      </c>
      <c r="AZ339" s="253">
        <f t="shared" si="61"/>
        <v>0</v>
      </c>
      <c r="BA339" s="253">
        <f t="shared" si="62"/>
        <v>0</v>
      </c>
      <c r="BB339" s="253">
        <f t="shared" si="63"/>
        <v>0</v>
      </c>
      <c r="BC339" s="253">
        <f t="shared" si="64"/>
        <v>0</v>
      </c>
      <c r="BD339" s="253">
        <f t="shared" si="65"/>
        <v>0</v>
      </c>
      <c r="BE339" s="253">
        <f t="shared" si="66"/>
        <v>0</v>
      </c>
      <c r="BF339" s="253">
        <f t="shared" si="67"/>
        <v>0</v>
      </c>
    </row>
    <row r="340" spans="1:58" ht="15" customHeight="1">
      <c r="A340" s="94"/>
      <c r="C340" s="44" t="s">
        <v>2532</v>
      </c>
      <c r="D340" s="882"/>
      <c r="E340" s="883"/>
      <c r="F340" s="883"/>
      <c r="G340" s="883"/>
      <c r="H340" s="884"/>
      <c r="I340" s="816"/>
      <c r="J340" s="817"/>
      <c r="K340" s="88"/>
      <c r="L340" s="88"/>
      <c r="M340" s="88"/>
      <c r="N340" s="88"/>
      <c r="O340" s="1038"/>
      <c r="P340" s="1055"/>
      <c r="Q340" s="1038"/>
      <c r="R340" s="1055"/>
      <c r="S340" s="1038"/>
      <c r="T340" s="1055"/>
      <c r="U340" s="1038"/>
      <c r="V340" s="1055"/>
      <c r="W340" s="1038"/>
      <c r="X340" s="1055"/>
      <c r="Y340" s="1038"/>
      <c r="Z340" s="1055"/>
      <c r="AA340" s="816"/>
      <c r="AB340" s="817"/>
      <c r="AC340" s="816"/>
      <c r="AD340" s="817"/>
      <c r="AG340" s="326">
        <f t="shared" si="46"/>
        <v>0</v>
      </c>
      <c r="AH340" s="283">
        <f t="shared" si="47"/>
        <v>0</v>
      </c>
      <c r="AJ340">
        <f t="shared" si="48"/>
        <v>0</v>
      </c>
      <c r="AK340" s="249" t="b">
        <f t="shared" si="49"/>
        <v>0</v>
      </c>
      <c r="AL340" s="249" t="str">
        <f t="shared" si="50"/>
        <v/>
      </c>
      <c r="AM340" s="249" t="b">
        <f t="shared" si="51"/>
        <v>0</v>
      </c>
      <c r="AN340" s="249" t="str">
        <f t="shared" si="52"/>
        <v/>
      </c>
      <c r="AO340" s="249" t="b">
        <f t="shared" si="53"/>
        <v>0</v>
      </c>
      <c r="AQ340">
        <f>IF(I340&lt;=CNSIPEE_2024_M2_Secc1!$C$51,0,IF(I340="NS",0,1))</f>
        <v>0</v>
      </c>
      <c r="AS340">
        <f t="shared" si="54"/>
        <v>0</v>
      </c>
      <c r="AT340">
        <f t="shared" si="55"/>
        <v>0</v>
      </c>
      <c r="AU340" s="253">
        <f t="shared" si="56"/>
        <v>0</v>
      </c>
      <c r="AV340" s="253">
        <f t="shared" si="57"/>
        <v>0</v>
      </c>
      <c r="AW340" s="253">
        <f t="shared" si="58"/>
        <v>0</v>
      </c>
      <c r="AX340" s="253">
        <f t="shared" si="59"/>
        <v>0</v>
      </c>
      <c r="AY340" s="253">
        <f t="shared" si="60"/>
        <v>0</v>
      </c>
      <c r="AZ340" s="253">
        <f t="shared" si="61"/>
        <v>0</v>
      </c>
      <c r="BA340" s="253">
        <f t="shared" si="62"/>
        <v>0</v>
      </c>
      <c r="BB340" s="253">
        <f t="shared" si="63"/>
        <v>0</v>
      </c>
      <c r="BC340" s="253">
        <f t="shared" si="64"/>
        <v>0</v>
      </c>
      <c r="BD340" s="253">
        <f t="shared" si="65"/>
        <v>0</v>
      </c>
      <c r="BE340" s="253">
        <f t="shared" si="66"/>
        <v>0</v>
      </c>
      <c r="BF340" s="253">
        <f t="shared" si="67"/>
        <v>0</v>
      </c>
    </row>
    <row r="341" spans="1:58" ht="15" customHeight="1">
      <c r="A341" s="94"/>
      <c r="C341" s="44" t="s">
        <v>2533</v>
      </c>
      <c r="D341" s="882"/>
      <c r="E341" s="883"/>
      <c r="F341" s="883"/>
      <c r="G341" s="883"/>
      <c r="H341" s="884"/>
      <c r="I341" s="816"/>
      <c r="J341" s="817"/>
      <c r="K341" s="88"/>
      <c r="L341" s="88"/>
      <c r="M341" s="88"/>
      <c r="N341" s="88"/>
      <c r="O341" s="1038"/>
      <c r="P341" s="1055"/>
      <c r="Q341" s="1038"/>
      <c r="R341" s="1055"/>
      <c r="S341" s="1038"/>
      <c r="T341" s="1055"/>
      <c r="U341" s="1038"/>
      <c r="V341" s="1055"/>
      <c r="W341" s="1038"/>
      <c r="X341" s="1055"/>
      <c r="Y341" s="1038"/>
      <c r="Z341" s="1055"/>
      <c r="AA341" s="816"/>
      <c r="AB341" s="817"/>
      <c r="AC341" s="816"/>
      <c r="AD341" s="817"/>
      <c r="AG341" s="326">
        <f t="shared" si="46"/>
        <v>0</v>
      </c>
      <c r="AH341" s="283">
        <f t="shared" si="47"/>
        <v>0</v>
      </c>
      <c r="AJ341">
        <f t="shared" si="48"/>
        <v>0</v>
      </c>
      <c r="AK341" s="249" t="b">
        <f t="shared" si="49"/>
        <v>0</v>
      </c>
      <c r="AL341" s="249" t="str">
        <f t="shared" si="50"/>
        <v/>
      </c>
      <c r="AM341" s="249" t="b">
        <f t="shared" si="51"/>
        <v>0</v>
      </c>
      <c r="AN341" s="249" t="str">
        <f t="shared" si="52"/>
        <v/>
      </c>
      <c r="AO341" s="249" t="b">
        <f t="shared" si="53"/>
        <v>0</v>
      </c>
      <c r="AQ341">
        <f>IF(I341&lt;=CNSIPEE_2024_M2_Secc1!$C$51,0,IF(I341="NS",0,1))</f>
        <v>0</v>
      </c>
      <c r="AS341">
        <f t="shared" si="54"/>
        <v>0</v>
      </c>
      <c r="AT341">
        <f t="shared" si="55"/>
        <v>0</v>
      </c>
      <c r="AU341" s="253">
        <f t="shared" si="56"/>
        <v>0</v>
      </c>
      <c r="AV341" s="253">
        <f t="shared" si="57"/>
        <v>0</v>
      </c>
      <c r="AW341" s="253">
        <f t="shared" si="58"/>
        <v>0</v>
      </c>
      <c r="AX341" s="253">
        <f t="shared" si="59"/>
        <v>0</v>
      </c>
      <c r="AY341" s="253">
        <f t="shared" si="60"/>
        <v>0</v>
      </c>
      <c r="AZ341" s="253">
        <f t="shared" si="61"/>
        <v>0</v>
      </c>
      <c r="BA341" s="253">
        <f t="shared" si="62"/>
        <v>0</v>
      </c>
      <c r="BB341" s="253">
        <f t="shared" si="63"/>
        <v>0</v>
      </c>
      <c r="BC341" s="253">
        <f t="shared" si="64"/>
        <v>0</v>
      </c>
      <c r="BD341" s="253">
        <f t="shared" si="65"/>
        <v>0</v>
      </c>
      <c r="BE341" s="253">
        <f t="shared" si="66"/>
        <v>0</v>
      </c>
      <c r="BF341" s="253">
        <f t="shared" si="67"/>
        <v>0</v>
      </c>
    </row>
    <row r="342" spans="1:58" ht="15" customHeight="1">
      <c r="A342" s="94"/>
      <c r="C342" s="44" t="s">
        <v>2534</v>
      </c>
      <c r="D342" s="882"/>
      <c r="E342" s="883"/>
      <c r="F342" s="883"/>
      <c r="G342" s="883"/>
      <c r="H342" s="884"/>
      <c r="I342" s="816"/>
      <c r="J342" s="817"/>
      <c r="K342" s="88"/>
      <c r="L342" s="88"/>
      <c r="M342" s="88"/>
      <c r="N342" s="88"/>
      <c r="O342" s="1038"/>
      <c r="P342" s="1055"/>
      <c r="Q342" s="1038"/>
      <c r="R342" s="1055"/>
      <c r="S342" s="1038"/>
      <c r="T342" s="1055"/>
      <c r="U342" s="1038"/>
      <c r="V342" s="1055"/>
      <c r="W342" s="1038"/>
      <c r="X342" s="1055"/>
      <c r="Y342" s="1038"/>
      <c r="Z342" s="1055"/>
      <c r="AA342" s="816"/>
      <c r="AB342" s="817"/>
      <c r="AC342" s="816"/>
      <c r="AD342" s="817"/>
      <c r="AG342" s="326">
        <f t="shared" si="46"/>
        <v>0</v>
      </c>
      <c r="AH342" s="283">
        <f t="shared" si="47"/>
        <v>0</v>
      </c>
      <c r="AJ342">
        <f t="shared" si="48"/>
        <v>0</v>
      </c>
      <c r="AK342" s="249" t="b">
        <f t="shared" si="49"/>
        <v>0</v>
      </c>
      <c r="AL342" s="249" t="str">
        <f t="shared" si="50"/>
        <v/>
      </c>
      <c r="AM342" s="249" t="b">
        <f t="shared" si="51"/>
        <v>0</v>
      </c>
      <c r="AN342" s="249" t="str">
        <f t="shared" si="52"/>
        <v/>
      </c>
      <c r="AO342" s="249" t="b">
        <f t="shared" si="53"/>
        <v>0</v>
      </c>
      <c r="AQ342">
        <f>IF(I342&lt;=CNSIPEE_2024_M2_Secc1!$C$51,0,IF(I342="NS",0,1))</f>
        <v>0</v>
      </c>
      <c r="AS342">
        <f t="shared" si="54"/>
        <v>0</v>
      </c>
      <c r="AT342">
        <f t="shared" si="55"/>
        <v>0</v>
      </c>
      <c r="AU342" s="253">
        <f t="shared" si="56"/>
        <v>0</v>
      </c>
      <c r="AV342" s="253">
        <f t="shared" si="57"/>
        <v>0</v>
      </c>
      <c r="AW342" s="253">
        <f t="shared" si="58"/>
        <v>0</v>
      </c>
      <c r="AX342" s="253">
        <f t="shared" si="59"/>
        <v>0</v>
      </c>
      <c r="AY342" s="253">
        <f t="shared" si="60"/>
        <v>0</v>
      </c>
      <c r="AZ342" s="253">
        <f t="shared" si="61"/>
        <v>0</v>
      </c>
      <c r="BA342" s="253">
        <f t="shared" si="62"/>
        <v>0</v>
      </c>
      <c r="BB342" s="253">
        <f t="shared" si="63"/>
        <v>0</v>
      </c>
      <c r="BC342" s="253">
        <f t="shared" si="64"/>
        <v>0</v>
      </c>
      <c r="BD342" s="253">
        <f t="shared" si="65"/>
        <v>0</v>
      </c>
      <c r="BE342" s="253">
        <f t="shared" si="66"/>
        <v>0</v>
      </c>
      <c r="BF342" s="253">
        <f t="shared" si="67"/>
        <v>0</v>
      </c>
    </row>
    <row r="343" spans="1:58" ht="15" customHeight="1">
      <c r="A343" s="94"/>
      <c r="C343" s="44" t="s">
        <v>2535</v>
      </c>
      <c r="D343" s="882"/>
      <c r="E343" s="883"/>
      <c r="F343" s="883"/>
      <c r="G343" s="883"/>
      <c r="H343" s="884"/>
      <c r="I343" s="816"/>
      <c r="J343" s="817"/>
      <c r="K343" s="88"/>
      <c r="L343" s="88"/>
      <c r="M343" s="88"/>
      <c r="N343" s="88"/>
      <c r="O343" s="1038"/>
      <c r="P343" s="1055"/>
      <c r="Q343" s="1038"/>
      <c r="R343" s="1055"/>
      <c r="S343" s="1038"/>
      <c r="T343" s="1055"/>
      <c r="U343" s="1038"/>
      <c r="V343" s="1055"/>
      <c r="W343" s="1038"/>
      <c r="X343" s="1055"/>
      <c r="Y343" s="1038"/>
      <c r="Z343" s="1055"/>
      <c r="AA343" s="816"/>
      <c r="AB343" s="817"/>
      <c r="AC343" s="816"/>
      <c r="AD343" s="817"/>
      <c r="AG343" s="326">
        <f t="shared" si="46"/>
        <v>0</v>
      </c>
      <c r="AH343" s="283">
        <f t="shared" si="47"/>
        <v>0</v>
      </c>
      <c r="AJ343">
        <f t="shared" si="48"/>
        <v>0</v>
      </c>
      <c r="AK343" s="249" t="b">
        <f t="shared" si="49"/>
        <v>0</v>
      </c>
      <c r="AL343" s="249" t="str">
        <f t="shared" si="50"/>
        <v/>
      </c>
      <c r="AM343" s="249" t="b">
        <f t="shared" si="51"/>
        <v>0</v>
      </c>
      <c r="AN343" s="249" t="str">
        <f t="shared" si="52"/>
        <v/>
      </c>
      <c r="AO343" s="249" t="b">
        <f t="shared" si="53"/>
        <v>0</v>
      </c>
      <c r="AQ343">
        <f>IF(I343&lt;=CNSIPEE_2024_M2_Secc1!$C$51,0,IF(I343="NS",0,1))</f>
        <v>0</v>
      </c>
      <c r="AS343">
        <f t="shared" si="54"/>
        <v>0</v>
      </c>
      <c r="AT343">
        <f t="shared" si="55"/>
        <v>0</v>
      </c>
      <c r="AU343" s="253">
        <f t="shared" si="56"/>
        <v>0</v>
      </c>
      <c r="AV343" s="253">
        <f t="shared" si="57"/>
        <v>0</v>
      </c>
      <c r="AW343" s="253">
        <f t="shared" si="58"/>
        <v>0</v>
      </c>
      <c r="AX343" s="253">
        <f t="shared" si="59"/>
        <v>0</v>
      </c>
      <c r="AY343" s="253">
        <f t="shared" si="60"/>
        <v>0</v>
      </c>
      <c r="AZ343" s="253">
        <f t="shared" si="61"/>
        <v>0</v>
      </c>
      <c r="BA343" s="253">
        <f t="shared" si="62"/>
        <v>0</v>
      </c>
      <c r="BB343" s="253">
        <f t="shared" si="63"/>
        <v>0</v>
      </c>
      <c r="BC343" s="253">
        <f t="shared" si="64"/>
        <v>0</v>
      </c>
      <c r="BD343" s="253">
        <f t="shared" si="65"/>
        <v>0</v>
      </c>
      <c r="BE343" s="253">
        <f t="shared" si="66"/>
        <v>0</v>
      </c>
      <c r="BF343" s="253">
        <f t="shared" si="67"/>
        <v>0</v>
      </c>
    </row>
    <row r="344" spans="1:58" ht="15" customHeight="1">
      <c r="A344" s="94"/>
      <c r="C344" s="44" t="s">
        <v>2536</v>
      </c>
      <c r="D344" s="882"/>
      <c r="E344" s="883"/>
      <c r="F344" s="883"/>
      <c r="G344" s="883"/>
      <c r="H344" s="884"/>
      <c r="I344" s="816"/>
      <c r="J344" s="817"/>
      <c r="K344" s="88"/>
      <c r="L344" s="88"/>
      <c r="M344" s="88"/>
      <c r="N344" s="88"/>
      <c r="O344" s="1038"/>
      <c r="P344" s="1055"/>
      <c r="Q344" s="1038"/>
      <c r="R344" s="1055"/>
      <c r="S344" s="1038"/>
      <c r="T344" s="1055"/>
      <c r="U344" s="1038"/>
      <c r="V344" s="1055"/>
      <c r="W344" s="1038"/>
      <c r="X344" s="1055"/>
      <c r="Y344" s="1038"/>
      <c r="Z344" s="1055"/>
      <c r="AA344" s="816"/>
      <c r="AB344" s="817"/>
      <c r="AC344" s="816"/>
      <c r="AD344" s="817"/>
      <c r="AG344" s="326">
        <f t="shared" si="46"/>
        <v>0</v>
      </c>
      <c r="AH344" s="283">
        <f t="shared" si="47"/>
        <v>0</v>
      </c>
      <c r="AJ344">
        <f t="shared" si="48"/>
        <v>0</v>
      </c>
      <c r="AK344" s="249" t="b">
        <f t="shared" si="49"/>
        <v>0</v>
      </c>
      <c r="AL344" s="249" t="str">
        <f t="shared" si="50"/>
        <v/>
      </c>
      <c r="AM344" s="249" t="b">
        <f t="shared" si="51"/>
        <v>0</v>
      </c>
      <c r="AN344" s="249" t="str">
        <f t="shared" si="52"/>
        <v/>
      </c>
      <c r="AO344" s="249" t="b">
        <f t="shared" si="53"/>
        <v>0</v>
      </c>
      <c r="AQ344">
        <f>IF(I344&lt;=CNSIPEE_2024_M2_Secc1!$C$51,0,IF(I344="NS",0,1))</f>
        <v>0</v>
      </c>
      <c r="AS344">
        <f t="shared" si="54"/>
        <v>0</v>
      </c>
      <c r="AT344">
        <f t="shared" si="55"/>
        <v>0</v>
      </c>
      <c r="AU344" s="253">
        <f t="shared" si="56"/>
        <v>0</v>
      </c>
      <c r="AV344" s="253">
        <f t="shared" si="57"/>
        <v>0</v>
      </c>
      <c r="AW344" s="253">
        <f t="shared" si="58"/>
        <v>0</v>
      </c>
      <c r="AX344" s="253">
        <f t="shared" si="59"/>
        <v>0</v>
      </c>
      <c r="AY344" s="253">
        <f t="shared" si="60"/>
        <v>0</v>
      </c>
      <c r="AZ344" s="253">
        <f t="shared" si="61"/>
        <v>0</v>
      </c>
      <c r="BA344" s="253">
        <f t="shared" si="62"/>
        <v>0</v>
      </c>
      <c r="BB344" s="253">
        <f t="shared" si="63"/>
        <v>0</v>
      </c>
      <c r="BC344" s="253">
        <f t="shared" si="64"/>
        <v>0</v>
      </c>
      <c r="BD344" s="253">
        <f t="shared" si="65"/>
        <v>0</v>
      </c>
      <c r="BE344" s="253">
        <f t="shared" si="66"/>
        <v>0</v>
      </c>
      <c r="BF344" s="253">
        <f t="shared" si="67"/>
        <v>0</v>
      </c>
    </row>
    <row r="345" spans="1:58" ht="15" customHeight="1">
      <c r="A345" s="94"/>
      <c r="C345" s="44" t="s">
        <v>2537</v>
      </c>
      <c r="D345" s="882"/>
      <c r="E345" s="883"/>
      <c r="F345" s="883"/>
      <c r="G345" s="883"/>
      <c r="H345" s="884"/>
      <c r="I345" s="816"/>
      <c r="J345" s="817"/>
      <c r="K345" s="88"/>
      <c r="L345" s="88"/>
      <c r="M345" s="88"/>
      <c r="N345" s="88"/>
      <c r="O345" s="1038"/>
      <c r="P345" s="1055"/>
      <c r="Q345" s="1038"/>
      <c r="R345" s="1055"/>
      <c r="S345" s="1038"/>
      <c r="T345" s="1055"/>
      <c r="U345" s="1038"/>
      <c r="V345" s="1055"/>
      <c r="W345" s="1038"/>
      <c r="X345" s="1055"/>
      <c r="Y345" s="1038"/>
      <c r="Z345" s="1055"/>
      <c r="AA345" s="816"/>
      <c r="AB345" s="817"/>
      <c r="AC345" s="816"/>
      <c r="AD345" s="817"/>
      <c r="AG345" s="326">
        <f t="shared" si="46"/>
        <v>0</v>
      </c>
      <c r="AH345" s="283">
        <f t="shared" si="47"/>
        <v>0</v>
      </c>
      <c r="AJ345">
        <f t="shared" si="48"/>
        <v>0</v>
      </c>
      <c r="AK345" s="249" t="b">
        <f t="shared" si="49"/>
        <v>0</v>
      </c>
      <c r="AL345" s="249" t="str">
        <f t="shared" si="50"/>
        <v/>
      </c>
      <c r="AM345" s="249" t="b">
        <f t="shared" si="51"/>
        <v>0</v>
      </c>
      <c r="AN345" s="249" t="str">
        <f t="shared" si="52"/>
        <v/>
      </c>
      <c r="AO345" s="249" t="b">
        <f t="shared" si="53"/>
        <v>0</v>
      </c>
      <c r="AQ345">
        <f>IF(I345&lt;=CNSIPEE_2024_M2_Secc1!$C$51,0,IF(I345="NS",0,1))</f>
        <v>0</v>
      </c>
      <c r="AS345">
        <f t="shared" si="54"/>
        <v>0</v>
      </c>
      <c r="AT345">
        <f t="shared" si="55"/>
        <v>0</v>
      </c>
      <c r="AU345" s="253">
        <f t="shared" si="56"/>
        <v>0</v>
      </c>
      <c r="AV345" s="253">
        <f t="shared" si="57"/>
        <v>0</v>
      </c>
      <c r="AW345" s="253">
        <f t="shared" si="58"/>
        <v>0</v>
      </c>
      <c r="AX345" s="253">
        <f t="shared" si="59"/>
        <v>0</v>
      </c>
      <c r="AY345" s="253">
        <f t="shared" si="60"/>
        <v>0</v>
      </c>
      <c r="AZ345" s="253">
        <f t="shared" si="61"/>
        <v>0</v>
      </c>
      <c r="BA345" s="253">
        <f t="shared" si="62"/>
        <v>0</v>
      </c>
      <c r="BB345" s="253">
        <f t="shared" si="63"/>
        <v>0</v>
      </c>
      <c r="BC345" s="253">
        <f t="shared" si="64"/>
        <v>0</v>
      </c>
      <c r="BD345" s="253">
        <f t="shared" si="65"/>
        <v>0</v>
      </c>
      <c r="BE345" s="253">
        <f t="shared" si="66"/>
        <v>0</v>
      </c>
      <c r="BF345" s="253">
        <f t="shared" si="67"/>
        <v>0</v>
      </c>
    </row>
    <row r="346" spans="1:58" ht="15" customHeight="1">
      <c r="A346" s="94"/>
      <c r="C346" s="44" t="s">
        <v>2538</v>
      </c>
      <c r="D346" s="882"/>
      <c r="E346" s="883"/>
      <c r="F346" s="883"/>
      <c r="G346" s="883"/>
      <c r="H346" s="884"/>
      <c r="I346" s="816"/>
      <c r="J346" s="817"/>
      <c r="K346" s="88"/>
      <c r="L346" s="88"/>
      <c r="M346" s="88"/>
      <c r="N346" s="88"/>
      <c r="O346" s="1038"/>
      <c r="P346" s="1055"/>
      <c r="Q346" s="1038"/>
      <c r="R346" s="1055"/>
      <c r="S346" s="1038"/>
      <c r="T346" s="1055"/>
      <c r="U346" s="1038"/>
      <c r="V346" s="1055"/>
      <c r="W346" s="1038"/>
      <c r="X346" s="1055"/>
      <c r="Y346" s="1038"/>
      <c r="Z346" s="1055"/>
      <c r="AA346" s="816"/>
      <c r="AB346" s="817"/>
      <c r="AC346" s="816"/>
      <c r="AD346" s="817"/>
      <c r="AG346" s="326">
        <f t="shared" si="46"/>
        <v>0</v>
      </c>
      <c r="AH346" s="283">
        <f t="shared" si="47"/>
        <v>0</v>
      </c>
      <c r="AJ346">
        <f t="shared" si="48"/>
        <v>0</v>
      </c>
      <c r="AK346" s="249" t="b">
        <f t="shared" si="49"/>
        <v>0</v>
      </c>
      <c r="AL346" s="249" t="str">
        <f t="shared" si="50"/>
        <v/>
      </c>
      <c r="AM346" s="249" t="b">
        <f t="shared" si="51"/>
        <v>0</v>
      </c>
      <c r="AN346" s="249" t="str">
        <f t="shared" si="52"/>
        <v/>
      </c>
      <c r="AO346" s="249" t="b">
        <f t="shared" si="53"/>
        <v>0</v>
      </c>
      <c r="AQ346">
        <f>IF(I346&lt;=CNSIPEE_2024_M2_Secc1!$C$51,0,IF(I346="NS",0,1))</f>
        <v>0</v>
      </c>
      <c r="AS346">
        <f t="shared" si="54"/>
        <v>0</v>
      </c>
      <c r="AT346">
        <f t="shared" si="55"/>
        <v>0</v>
      </c>
      <c r="AU346" s="253">
        <f t="shared" si="56"/>
        <v>0</v>
      </c>
      <c r="AV346" s="253">
        <f t="shared" si="57"/>
        <v>0</v>
      </c>
      <c r="AW346" s="253">
        <f t="shared" si="58"/>
        <v>0</v>
      </c>
      <c r="AX346" s="253">
        <f t="shared" si="59"/>
        <v>0</v>
      </c>
      <c r="AY346" s="253">
        <f t="shared" si="60"/>
        <v>0</v>
      </c>
      <c r="AZ346" s="253">
        <f t="shared" si="61"/>
        <v>0</v>
      </c>
      <c r="BA346" s="253">
        <f t="shared" si="62"/>
        <v>0</v>
      </c>
      <c r="BB346" s="253">
        <f t="shared" si="63"/>
        <v>0</v>
      </c>
      <c r="BC346" s="253">
        <f t="shared" si="64"/>
        <v>0</v>
      </c>
      <c r="BD346" s="253">
        <f t="shared" si="65"/>
        <v>0</v>
      </c>
      <c r="BE346" s="253">
        <f t="shared" si="66"/>
        <v>0</v>
      </c>
      <c r="BF346" s="253">
        <f t="shared" si="67"/>
        <v>0</v>
      </c>
    </row>
    <row r="347" spans="1:58" ht="15" customHeight="1">
      <c r="A347" s="94"/>
      <c r="C347" s="44" t="s">
        <v>2539</v>
      </c>
      <c r="D347" s="882"/>
      <c r="E347" s="883"/>
      <c r="F347" s="883"/>
      <c r="G347" s="883"/>
      <c r="H347" s="884"/>
      <c r="I347" s="816"/>
      <c r="J347" s="817"/>
      <c r="K347" s="88"/>
      <c r="L347" s="88"/>
      <c r="M347" s="88"/>
      <c r="N347" s="88"/>
      <c r="O347" s="1038"/>
      <c r="P347" s="1055"/>
      <c r="Q347" s="1038"/>
      <c r="R347" s="1055"/>
      <c r="S347" s="1038"/>
      <c r="T347" s="1055"/>
      <c r="U347" s="1038"/>
      <c r="V347" s="1055"/>
      <c r="W347" s="1038"/>
      <c r="X347" s="1055"/>
      <c r="Y347" s="1038"/>
      <c r="Z347" s="1055"/>
      <c r="AA347" s="816"/>
      <c r="AB347" s="817"/>
      <c r="AC347" s="816"/>
      <c r="AD347" s="817"/>
      <c r="AG347" s="326">
        <f t="shared" si="46"/>
        <v>0</v>
      </c>
      <c r="AH347" s="283">
        <f t="shared" si="47"/>
        <v>0</v>
      </c>
      <c r="AJ347">
        <f t="shared" si="48"/>
        <v>0</v>
      </c>
      <c r="AK347" s="249" t="b">
        <f t="shared" si="49"/>
        <v>0</v>
      </c>
      <c r="AL347" s="249" t="str">
        <f t="shared" si="50"/>
        <v/>
      </c>
      <c r="AM347" s="249" t="b">
        <f t="shared" si="51"/>
        <v>0</v>
      </c>
      <c r="AN347" s="249" t="str">
        <f t="shared" si="52"/>
        <v/>
      </c>
      <c r="AO347" s="249" t="b">
        <f t="shared" si="53"/>
        <v>0</v>
      </c>
      <c r="AQ347">
        <f>IF(I347&lt;=CNSIPEE_2024_M2_Secc1!$C$51,0,IF(I347="NS",0,1))</f>
        <v>0</v>
      </c>
      <c r="AS347">
        <f t="shared" si="54"/>
        <v>0</v>
      </c>
      <c r="AT347">
        <f t="shared" si="55"/>
        <v>0</v>
      </c>
      <c r="AU347" s="253">
        <f t="shared" si="56"/>
        <v>0</v>
      </c>
      <c r="AV347" s="253">
        <f t="shared" si="57"/>
        <v>0</v>
      </c>
      <c r="AW347" s="253">
        <f t="shared" si="58"/>
        <v>0</v>
      </c>
      <c r="AX347" s="253">
        <f t="shared" si="59"/>
        <v>0</v>
      </c>
      <c r="AY347" s="253">
        <f t="shared" si="60"/>
        <v>0</v>
      </c>
      <c r="AZ347" s="253">
        <f t="shared" si="61"/>
        <v>0</v>
      </c>
      <c r="BA347" s="253">
        <f t="shared" si="62"/>
        <v>0</v>
      </c>
      <c r="BB347" s="253">
        <f t="shared" si="63"/>
        <v>0</v>
      </c>
      <c r="BC347" s="253">
        <f t="shared" si="64"/>
        <v>0</v>
      </c>
      <c r="BD347" s="253">
        <f t="shared" si="65"/>
        <v>0</v>
      </c>
      <c r="BE347" s="253">
        <f t="shared" si="66"/>
        <v>0</v>
      </c>
      <c r="BF347" s="253">
        <f t="shared" si="67"/>
        <v>0</v>
      </c>
    </row>
    <row r="348" spans="1:58" ht="15" customHeight="1">
      <c r="A348" s="94"/>
      <c r="C348" s="44" t="s">
        <v>2540</v>
      </c>
      <c r="D348" s="882"/>
      <c r="E348" s="883"/>
      <c r="F348" s="883"/>
      <c r="G348" s="883"/>
      <c r="H348" s="884"/>
      <c r="I348" s="816"/>
      <c r="J348" s="817"/>
      <c r="K348" s="88"/>
      <c r="L348" s="88"/>
      <c r="M348" s="88"/>
      <c r="N348" s="88"/>
      <c r="O348" s="1038"/>
      <c r="P348" s="1055"/>
      <c r="Q348" s="1038"/>
      <c r="R348" s="1055"/>
      <c r="S348" s="1038"/>
      <c r="T348" s="1055"/>
      <c r="U348" s="1038"/>
      <c r="V348" s="1055"/>
      <c r="W348" s="1038"/>
      <c r="X348" s="1055"/>
      <c r="Y348" s="1038"/>
      <c r="Z348" s="1055"/>
      <c r="AA348" s="816"/>
      <c r="AB348" s="817"/>
      <c r="AC348" s="816"/>
      <c r="AD348" s="817"/>
      <c r="AG348" s="326">
        <f t="shared" si="46"/>
        <v>0</v>
      </c>
      <c r="AH348" s="283">
        <f t="shared" si="47"/>
        <v>0</v>
      </c>
      <c r="AJ348">
        <f t="shared" si="48"/>
        <v>0</v>
      </c>
      <c r="AK348" s="249" t="b">
        <f t="shared" si="49"/>
        <v>0</v>
      </c>
      <c r="AL348" s="249" t="str">
        <f t="shared" si="50"/>
        <v/>
      </c>
      <c r="AM348" s="249" t="b">
        <f t="shared" si="51"/>
        <v>0</v>
      </c>
      <c r="AN348" s="249" t="str">
        <f t="shared" si="52"/>
        <v/>
      </c>
      <c r="AO348" s="249" t="b">
        <f t="shared" si="53"/>
        <v>0</v>
      </c>
      <c r="AQ348">
        <f>IF(I348&lt;=CNSIPEE_2024_M2_Secc1!$C$51,0,IF(I348="NS",0,1))</f>
        <v>0</v>
      </c>
      <c r="AS348">
        <f t="shared" si="54"/>
        <v>0</v>
      </c>
      <c r="AT348">
        <f t="shared" si="55"/>
        <v>0</v>
      </c>
      <c r="AU348" s="253">
        <f t="shared" si="56"/>
        <v>0</v>
      </c>
      <c r="AV348" s="253">
        <f t="shared" si="57"/>
        <v>0</v>
      </c>
      <c r="AW348" s="253">
        <f t="shared" si="58"/>
        <v>0</v>
      </c>
      <c r="AX348" s="253">
        <f t="shared" si="59"/>
        <v>0</v>
      </c>
      <c r="AY348" s="253">
        <f t="shared" si="60"/>
        <v>0</v>
      </c>
      <c r="AZ348" s="253">
        <f t="shared" si="61"/>
        <v>0</v>
      </c>
      <c r="BA348" s="253">
        <f t="shared" si="62"/>
        <v>0</v>
      </c>
      <c r="BB348" s="253">
        <f t="shared" si="63"/>
        <v>0</v>
      </c>
      <c r="BC348" s="253">
        <f t="shared" si="64"/>
        <v>0</v>
      </c>
      <c r="BD348" s="253">
        <f t="shared" si="65"/>
        <v>0</v>
      </c>
      <c r="BE348" s="253">
        <f t="shared" si="66"/>
        <v>0</v>
      </c>
      <c r="BF348" s="253">
        <f t="shared" si="67"/>
        <v>0</v>
      </c>
    </row>
    <row r="349" spans="1:58" ht="15" customHeight="1">
      <c r="A349" s="94"/>
      <c r="C349" s="44" t="s">
        <v>2541</v>
      </c>
      <c r="D349" s="882"/>
      <c r="E349" s="883"/>
      <c r="F349" s="883"/>
      <c r="G349" s="883"/>
      <c r="H349" s="884"/>
      <c r="I349" s="816"/>
      <c r="J349" s="817"/>
      <c r="K349" s="88"/>
      <c r="L349" s="88"/>
      <c r="M349" s="88"/>
      <c r="N349" s="88"/>
      <c r="O349" s="1038"/>
      <c r="P349" s="1055"/>
      <c r="Q349" s="1038"/>
      <c r="R349" s="1055"/>
      <c r="S349" s="1038"/>
      <c r="T349" s="1055"/>
      <c r="U349" s="1038"/>
      <c r="V349" s="1055"/>
      <c r="W349" s="1038"/>
      <c r="X349" s="1055"/>
      <c r="Y349" s="1038"/>
      <c r="Z349" s="1055"/>
      <c r="AA349" s="816"/>
      <c r="AB349" s="817"/>
      <c r="AC349" s="816"/>
      <c r="AD349" s="817"/>
      <c r="AG349" s="326">
        <f t="shared" si="46"/>
        <v>0</v>
      </c>
      <c r="AH349" s="283">
        <f t="shared" si="47"/>
        <v>0</v>
      </c>
      <c r="AJ349">
        <f t="shared" si="48"/>
        <v>0</v>
      </c>
      <c r="AK349" s="249" t="b">
        <f t="shared" si="49"/>
        <v>0</v>
      </c>
      <c r="AL349" s="249" t="str">
        <f t="shared" si="50"/>
        <v/>
      </c>
      <c r="AM349" s="249" t="b">
        <f t="shared" si="51"/>
        <v>0</v>
      </c>
      <c r="AN349" s="249" t="str">
        <f t="shared" si="52"/>
        <v/>
      </c>
      <c r="AO349" s="249" t="b">
        <f t="shared" si="53"/>
        <v>0</v>
      </c>
      <c r="AQ349">
        <f>IF(I349&lt;=CNSIPEE_2024_M2_Secc1!$C$51,0,IF(I349="NS",0,1))</f>
        <v>0</v>
      </c>
      <c r="AS349">
        <f t="shared" si="54"/>
        <v>0</v>
      </c>
      <c r="AT349">
        <f t="shared" si="55"/>
        <v>0</v>
      </c>
      <c r="AU349" s="253">
        <f t="shared" si="56"/>
        <v>0</v>
      </c>
      <c r="AV349" s="253">
        <f t="shared" si="57"/>
        <v>0</v>
      </c>
      <c r="AW349" s="253">
        <f t="shared" si="58"/>
        <v>0</v>
      </c>
      <c r="AX349" s="253">
        <f t="shared" si="59"/>
        <v>0</v>
      </c>
      <c r="AY349" s="253">
        <f t="shared" si="60"/>
        <v>0</v>
      </c>
      <c r="AZ349" s="253">
        <f t="shared" si="61"/>
        <v>0</v>
      </c>
      <c r="BA349" s="253">
        <f t="shared" si="62"/>
        <v>0</v>
      </c>
      <c r="BB349" s="253">
        <f t="shared" si="63"/>
        <v>0</v>
      </c>
      <c r="BC349" s="253">
        <f t="shared" si="64"/>
        <v>0</v>
      </c>
      <c r="BD349" s="253">
        <f t="shared" si="65"/>
        <v>0</v>
      </c>
      <c r="BE349" s="253">
        <f t="shared" si="66"/>
        <v>0</v>
      </c>
      <c r="BF349" s="253">
        <f t="shared" si="67"/>
        <v>0</v>
      </c>
    </row>
    <row r="350" spans="1:58" ht="15" customHeight="1">
      <c r="A350" s="94"/>
      <c r="C350" s="44" t="s">
        <v>2542</v>
      </c>
      <c r="D350" s="882"/>
      <c r="E350" s="883"/>
      <c r="F350" s="883"/>
      <c r="G350" s="883"/>
      <c r="H350" s="884"/>
      <c r="I350" s="816"/>
      <c r="J350" s="817"/>
      <c r="K350" s="88"/>
      <c r="L350" s="88"/>
      <c r="M350" s="88"/>
      <c r="N350" s="88"/>
      <c r="O350" s="1038"/>
      <c r="P350" s="1055"/>
      <c r="Q350" s="1038"/>
      <c r="R350" s="1055"/>
      <c r="S350" s="1038"/>
      <c r="T350" s="1055"/>
      <c r="U350" s="1038"/>
      <c r="V350" s="1055"/>
      <c r="W350" s="1038"/>
      <c r="X350" s="1055"/>
      <c r="Y350" s="1038"/>
      <c r="Z350" s="1055"/>
      <c r="AA350" s="816"/>
      <c r="AB350" s="817"/>
      <c r="AC350" s="816"/>
      <c r="AD350" s="817"/>
      <c r="AG350" s="326">
        <f t="shared" si="46"/>
        <v>0</v>
      </c>
      <c r="AH350" s="283">
        <f t="shared" si="47"/>
        <v>0</v>
      </c>
      <c r="AJ350">
        <f t="shared" si="48"/>
        <v>0</v>
      </c>
      <c r="AK350" s="249" t="b">
        <f t="shared" si="49"/>
        <v>0</v>
      </c>
      <c r="AL350" s="249" t="str">
        <f t="shared" si="50"/>
        <v/>
      </c>
      <c r="AM350" s="249" t="b">
        <f t="shared" si="51"/>
        <v>0</v>
      </c>
      <c r="AN350" s="249" t="str">
        <f t="shared" si="52"/>
        <v/>
      </c>
      <c r="AO350" s="249" t="b">
        <f t="shared" si="53"/>
        <v>0</v>
      </c>
      <c r="AQ350">
        <f>IF(I350&lt;=CNSIPEE_2024_M2_Secc1!$C$51,0,IF(I350="NS",0,1))</f>
        <v>0</v>
      </c>
      <c r="AS350">
        <f t="shared" si="54"/>
        <v>0</v>
      </c>
      <c r="AT350">
        <f t="shared" si="55"/>
        <v>0</v>
      </c>
      <c r="AU350" s="253">
        <f t="shared" si="56"/>
        <v>0</v>
      </c>
      <c r="AV350" s="253">
        <f t="shared" si="57"/>
        <v>0</v>
      </c>
      <c r="AW350" s="253">
        <f t="shared" si="58"/>
        <v>0</v>
      </c>
      <c r="AX350" s="253">
        <f t="shared" si="59"/>
        <v>0</v>
      </c>
      <c r="AY350" s="253">
        <f t="shared" si="60"/>
        <v>0</v>
      </c>
      <c r="AZ350" s="253">
        <f t="shared" si="61"/>
        <v>0</v>
      </c>
      <c r="BA350" s="253">
        <f t="shared" si="62"/>
        <v>0</v>
      </c>
      <c r="BB350" s="253">
        <f t="shared" si="63"/>
        <v>0</v>
      </c>
      <c r="BC350" s="253">
        <f t="shared" si="64"/>
        <v>0</v>
      </c>
      <c r="BD350" s="253">
        <f t="shared" si="65"/>
        <v>0</v>
      </c>
      <c r="BE350" s="253">
        <f t="shared" si="66"/>
        <v>0</v>
      </c>
      <c r="BF350" s="253">
        <f t="shared" si="67"/>
        <v>0</v>
      </c>
    </row>
    <row r="351" spans="1:58" ht="15" customHeight="1">
      <c r="A351" s="94"/>
      <c r="C351" s="44" t="s">
        <v>2543</v>
      </c>
      <c r="D351" s="882"/>
      <c r="E351" s="883"/>
      <c r="F351" s="883"/>
      <c r="G351" s="883"/>
      <c r="H351" s="884"/>
      <c r="I351" s="816"/>
      <c r="J351" s="817"/>
      <c r="K351" s="88"/>
      <c r="L351" s="88"/>
      <c r="M351" s="88"/>
      <c r="N351" s="88"/>
      <c r="O351" s="1038"/>
      <c r="P351" s="1055"/>
      <c r="Q351" s="1038"/>
      <c r="R351" s="1055"/>
      <c r="S351" s="1038"/>
      <c r="T351" s="1055"/>
      <c r="U351" s="1038"/>
      <c r="V351" s="1055"/>
      <c r="W351" s="1038"/>
      <c r="X351" s="1055"/>
      <c r="Y351" s="1038"/>
      <c r="Z351" s="1055"/>
      <c r="AA351" s="816"/>
      <c r="AB351" s="817"/>
      <c r="AC351" s="816"/>
      <c r="AD351" s="817"/>
      <c r="AG351" s="326">
        <f t="shared" si="46"/>
        <v>0</v>
      </c>
      <c r="AH351" s="283">
        <f t="shared" si="47"/>
        <v>0</v>
      </c>
      <c r="AJ351">
        <f t="shared" si="48"/>
        <v>0</v>
      </c>
      <c r="AK351" s="249" t="b">
        <f t="shared" si="49"/>
        <v>0</v>
      </c>
      <c r="AL351" s="249" t="str">
        <f t="shared" si="50"/>
        <v/>
      </c>
      <c r="AM351" s="249" t="b">
        <f t="shared" si="51"/>
        <v>0</v>
      </c>
      <c r="AN351" s="249" t="str">
        <f t="shared" si="52"/>
        <v/>
      </c>
      <c r="AO351" s="249" t="b">
        <f t="shared" si="53"/>
        <v>0</v>
      </c>
      <c r="AQ351">
        <f>IF(I351&lt;=CNSIPEE_2024_M2_Secc1!$C$51,0,IF(I351="NS",0,1))</f>
        <v>0</v>
      </c>
      <c r="AS351">
        <f t="shared" si="54"/>
        <v>0</v>
      </c>
      <c r="AT351">
        <f t="shared" si="55"/>
        <v>0</v>
      </c>
      <c r="AU351" s="253">
        <f t="shared" si="56"/>
        <v>0</v>
      </c>
      <c r="AV351" s="253">
        <f t="shared" si="57"/>
        <v>0</v>
      </c>
      <c r="AW351" s="253">
        <f t="shared" si="58"/>
        <v>0</v>
      </c>
      <c r="AX351" s="253">
        <f t="shared" si="59"/>
        <v>0</v>
      </c>
      <c r="AY351" s="253">
        <f t="shared" si="60"/>
        <v>0</v>
      </c>
      <c r="AZ351" s="253">
        <f t="shared" si="61"/>
        <v>0</v>
      </c>
      <c r="BA351" s="253">
        <f t="shared" si="62"/>
        <v>0</v>
      </c>
      <c r="BB351" s="253">
        <f t="shared" si="63"/>
        <v>0</v>
      </c>
      <c r="BC351" s="253">
        <f t="shared" si="64"/>
        <v>0</v>
      </c>
      <c r="BD351" s="253">
        <f t="shared" si="65"/>
        <v>0</v>
      </c>
      <c r="BE351" s="253">
        <f t="shared" si="66"/>
        <v>0</v>
      </c>
      <c r="BF351" s="253">
        <f t="shared" si="67"/>
        <v>0</v>
      </c>
    </row>
    <row r="352" spans="1:58" ht="15" customHeight="1">
      <c r="A352" s="94"/>
      <c r="C352" s="44" t="s">
        <v>2544</v>
      </c>
      <c r="D352" s="882"/>
      <c r="E352" s="883"/>
      <c r="F352" s="883"/>
      <c r="G352" s="883"/>
      <c r="H352" s="884"/>
      <c r="I352" s="816"/>
      <c r="J352" s="817"/>
      <c r="K352" s="88"/>
      <c r="L352" s="88"/>
      <c r="M352" s="88"/>
      <c r="N352" s="88"/>
      <c r="O352" s="1038"/>
      <c r="P352" s="1055"/>
      <c r="Q352" s="1038"/>
      <c r="R352" s="1055"/>
      <c r="S352" s="1038"/>
      <c r="T352" s="1055"/>
      <c r="U352" s="1038"/>
      <c r="V352" s="1055"/>
      <c r="W352" s="1038"/>
      <c r="X352" s="1055"/>
      <c r="Y352" s="1038"/>
      <c r="Z352" s="1055"/>
      <c r="AA352" s="816"/>
      <c r="AB352" s="817"/>
      <c r="AC352" s="816"/>
      <c r="AD352" s="817"/>
      <c r="AG352" s="326">
        <f t="shared" si="46"/>
        <v>0</v>
      </c>
      <c r="AH352" s="283">
        <f t="shared" si="47"/>
        <v>0</v>
      </c>
      <c r="AJ352">
        <f t="shared" si="48"/>
        <v>0</v>
      </c>
      <c r="AK352" s="249" t="b">
        <f t="shared" si="49"/>
        <v>0</v>
      </c>
      <c r="AL352" s="249" t="str">
        <f t="shared" si="50"/>
        <v/>
      </c>
      <c r="AM352" s="249" t="b">
        <f t="shared" si="51"/>
        <v>0</v>
      </c>
      <c r="AN352" s="249" t="str">
        <f t="shared" si="52"/>
        <v/>
      </c>
      <c r="AO352" s="249" t="b">
        <f t="shared" si="53"/>
        <v>0</v>
      </c>
      <c r="AQ352">
        <f>IF(I352&lt;=CNSIPEE_2024_M2_Secc1!$C$51,0,IF(I352="NS",0,1))</f>
        <v>0</v>
      </c>
      <c r="AS352">
        <f t="shared" si="54"/>
        <v>0</v>
      </c>
      <c r="AT352">
        <f t="shared" si="55"/>
        <v>0</v>
      </c>
      <c r="AU352" s="253">
        <f t="shared" si="56"/>
        <v>0</v>
      </c>
      <c r="AV352" s="253">
        <f t="shared" si="57"/>
        <v>0</v>
      </c>
      <c r="AW352" s="253">
        <f t="shared" si="58"/>
        <v>0</v>
      </c>
      <c r="AX352" s="253">
        <f t="shared" si="59"/>
        <v>0</v>
      </c>
      <c r="AY352" s="253">
        <f t="shared" si="60"/>
        <v>0</v>
      </c>
      <c r="AZ352" s="253">
        <f t="shared" si="61"/>
        <v>0</v>
      </c>
      <c r="BA352" s="253">
        <f t="shared" si="62"/>
        <v>0</v>
      </c>
      <c r="BB352" s="253">
        <f t="shared" si="63"/>
        <v>0</v>
      </c>
      <c r="BC352" s="253">
        <f t="shared" si="64"/>
        <v>0</v>
      </c>
      <c r="BD352" s="253">
        <f t="shared" si="65"/>
        <v>0</v>
      </c>
      <c r="BE352" s="253">
        <f t="shared" si="66"/>
        <v>0</v>
      </c>
      <c r="BF352" s="253">
        <f t="shared" si="67"/>
        <v>0</v>
      </c>
    </row>
    <row r="353" spans="1:58" ht="15" customHeight="1">
      <c r="A353" s="94"/>
      <c r="C353" s="44" t="s">
        <v>2545</v>
      </c>
      <c r="D353" s="882"/>
      <c r="E353" s="883"/>
      <c r="F353" s="883"/>
      <c r="G353" s="883"/>
      <c r="H353" s="884"/>
      <c r="I353" s="816"/>
      <c r="J353" s="817"/>
      <c r="K353" s="88"/>
      <c r="L353" s="88"/>
      <c r="M353" s="88"/>
      <c r="N353" s="88"/>
      <c r="O353" s="1038"/>
      <c r="P353" s="1055"/>
      <c r="Q353" s="1038"/>
      <c r="R353" s="1055"/>
      <c r="S353" s="1038"/>
      <c r="T353" s="1055"/>
      <c r="U353" s="1038"/>
      <c r="V353" s="1055"/>
      <c r="W353" s="1038"/>
      <c r="X353" s="1055"/>
      <c r="Y353" s="1038"/>
      <c r="Z353" s="1055"/>
      <c r="AA353" s="816"/>
      <c r="AB353" s="817"/>
      <c r="AC353" s="816"/>
      <c r="AD353" s="817"/>
      <c r="AG353" s="326">
        <f t="shared" si="46"/>
        <v>0</v>
      </c>
      <c r="AH353" s="283">
        <f t="shared" si="47"/>
        <v>0</v>
      </c>
      <c r="AJ353">
        <f t="shared" si="48"/>
        <v>0</v>
      </c>
      <c r="AK353" s="249" t="b">
        <f t="shared" si="49"/>
        <v>0</v>
      </c>
      <c r="AL353" s="249" t="str">
        <f t="shared" si="50"/>
        <v/>
      </c>
      <c r="AM353" s="249" t="b">
        <f t="shared" si="51"/>
        <v>0</v>
      </c>
      <c r="AN353" s="249" t="str">
        <f t="shared" si="52"/>
        <v/>
      </c>
      <c r="AO353" s="249" t="b">
        <f t="shared" si="53"/>
        <v>0</v>
      </c>
      <c r="AQ353">
        <f>IF(I353&lt;=CNSIPEE_2024_M2_Secc1!$C$51,0,IF(I353="NS",0,1))</f>
        <v>0</v>
      </c>
      <c r="AS353">
        <f t="shared" si="54"/>
        <v>0</v>
      </c>
      <c r="AT353">
        <f t="shared" si="55"/>
        <v>0</v>
      </c>
      <c r="AU353" s="253">
        <f t="shared" si="56"/>
        <v>0</v>
      </c>
      <c r="AV353" s="253">
        <f t="shared" si="57"/>
        <v>0</v>
      </c>
      <c r="AW353" s="253">
        <f t="shared" si="58"/>
        <v>0</v>
      </c>
      <c r="AX353" s="253">
        <f t="shared" si="59"/>
        <v>0</v>
      </c>
      <c r="AY353" s="253">
        <f t="shared" si="60"/>
        <v>0</v>
      </c>
      <c r="AZ353" s="253">
        <f t="shared" si="61"/>
        <v>0</v>
      </c>
      <c r="BA353" s="253">
        <f t="shared" si="62"/>
        <v>0</v>
      </c>
      <c r="BB353" s="253">
        <f t="shared" si="63"/>
        <v>0</v>
      </c>
      <c r="BC353" s="253">
        <f t="shared" si="64"/>
        <v>0</v>
      </c>
      <c r="BD353" s="253">
        <f t="shared" si="65"/>
        <v>0</v>
      </c>
      <c r="BE353" s="253">
        <f t="shared" si="66"/>
        <v>0</v>
      </c>
      <c r="BF353" s="253">
        <f t="shared" si="67"/>
        <v>0</v>
      </c>
    </row>
    <row r="354" spans="1:58" ht="15" customHeight="1">
      <c r="A354" s="94"/>
      <c r="C354" s="44" t="s">
        <v>2546</v>
      </c>
      <c r="D354" s="882"/>
      <c r="E354" s="883"/>
      <c r="F354" s="883"/>
      <c r="G354" s="883"/>
      <c r="H354" s="884"/>
      <c r="I354" s="816"/>
      <c r="J354" s="817"/>
      <c r="K354" s="88"/>
      <c r="L354" s="88"/>
      <c r="M354" s="88"/>
      <c r="N354" s="88"/>
      <c r="O354" s="1038"/>
      <c r="P354" s="1055"/>
      <c r="Q354" s="1038"/>
      <c r="R354" s="1055"/>
      <c r="S354" s="1038"/>
      <c r="T354" s="1055"/>
      <c r="U354" s="1038"/>
      <c r="V354" s="1055"/>
      <c r="W354" s="1038"/>
      <c r="X354" s="1055"/>
      <c r="Y354" s="1038"/>
      <c r="Z354" s="1055"/>
      <c r="AA354" s="816"/>
      <c r="AB354" s="817"/>
      <c r="AC354" s="816"/>
      <c r="AD354" s="817"/>
      <c r="AG354" s="326">
        <f t="shared" si="46"/>
        <v>0</v>
      </c>
      <c r="AH354" s="283">
        <f t="shared" si="47"/>
        <v>0</v>
      </c>
      <c r="AJ354">
        <f t="shared" si="48"/>
        <v>0</v>
      </c>
      <c r="AK354" s="249" t="b">
        <f t="shared" si="49"/>
        <v>0</v>
      </c>
      <c r="AL354" s="249" t="str">
        <f t="shared" si="50"/>
        <v/>
      </c>
      <c r="AM354" s="249" t="b">
        <f t="shared" si="51"/>
        <v>0</v>
      </c>
      <c r="AN354" s="249" t="str">
        <f t="shared" si="52"/>
        <v/>
      </c>
      <c r="AO354" s="249" t="b">
        <f t="shared" si="53"/>
        <v>0</v>
      </c>
      <c r="AQ354">
        <f>IF(I354&lt;=CNSIPEE_2024_M2_Secc1!$C$51,0,IF(I354="NS",0,1))</f>
        <v>0</v>
      </c>
      <c r="AS354">
        <f t="shared" si="54"/>
        <v>0</v>
      </c>
      <c r="AT354">
        <f t="shared" si="55"/>
        <v>0</v>
      </c>
      <c r="AU354" s="253">
        <f t="shared" si="56"/>
        <v>0</v>
      </c>
      <c r="AV354" s="253">
        <f t="shared" si="57"/>
        <v>0</v>
      </c>
      <c r="AW354" s="253">
        <f t="shared" si="58"/>
        <v>0</v>
      </c>
      <c r="AX354" s="253">
        <f t="shared" si="59"/>
        <v>0</v>
      </c>
      <c r="AY354" s="253">
        <f t="shared" si="60"/>
        <v>0</v>
      </c>
      <c r="AZ354" s="253">
        <f t="shared" si="61"/>
        <v>0</v>
      </c>
      <c r="BA354" s="253">
        <f t="shared" si="62"/>
        <v>0</v>
      </c>
      <c r="BB354" s="253">
        <f t="shared" si="63"/>
        <v>0</v>
      </c>
      <c r="BC354" s="253">
        <f t="shared" si="64"/>
        <v>0</v>
      </c>
      <c r="BD354" s="253">
        <f t="shared" si="65"/>
        <v>0</v>
      </c>
      <c r="BE354" s="253">
        <f t="shared" si="66"/>
        <v>0</v>
      </c>
      <c r="BF354" s="253">
        <f t="shared" si="67"/>
        <v>0</v>
      </c>
    </row>
    <row r="355" spans="1:58" ht="15" customHeight="1">
      <c r="A355" s="94"/>
      <c r="C355" s="44" t="s">
        <v>2547</v>
      </c>
      <c r="D355" s="882"/>
      <c r="E355" s="883"/>
      <c r="F355" s="883"/>
      <c r="G355" s="883"/>
      <c r="H355" s="884"/>
      <c r="I355" s="816"/>
      <c r="J355" s="817"/>
      <c r="K355" s="88"/>
      <c r="L355" s="88"/>
      <c r="M355" s="88"/>
      <c r="N355" s="88"/>
      <c r="O355" s="1038"/>
      <c r="P355" s="1055"/>
      <c r="Q355" s="1038"/>
      <c r="R355" s="1055"/>
      <c r="S355" s="1038"/>
      <c r="T355" s="1055"/>
      <c r="U355" s="1038"/>
      <c r="V355" s="1055"/>
      <c r="W355" s="1038"/>
      <c r="X355" s="1055"/>
      <c r="Y355" s="1038"/>
      <c r="Z355" s="1055"/>
      <c r="AA355" s="816"/>
      <c r="AB355" s="817"/>
      <c r="AC355" s="816"/>
      <c r="AD355" s="817"/>
      <c r="AG355" s="326">
        <f t="shared" si="46"/>
        <v>0</v>
      </c>
      <c r="AH355" s="283">
        <f t="shared" si="47"/>
        <v>0</v>
      </c>
      <c r="AJ355">
        <f t="shared" si="48"/>
        <v>0</v>
      </c>
      <c r="AK355" s="249" t="b">
        <f t="shared" si="49"/>
        <v>0</v>
      </c>
      <c r="AL355" s="249" t="str">
        <f t="shared" si="50"/>
        <v/>
      </c>
      <c r="AM355" s="249" t="b">
        <f t="shared" si="51"/>
        <v>0</v>
      </c>
      <c r="AN355" s="249" t="str">
        <f t="shared" si="52"/>
        <v/>
      </c>
      <c r="AO355" s="249" t="b">
        <f t="shared" si="53"/>
        <v>0</v>
      </c>
      <c r="AQ355">
        <f>IF(I355&lt;=CNSIPEE_2024_M2_Secc1!$C$51,0,IF(I355="NS",0,1))</f>
        <v>0</v>
      </c>
      <c r="AS355">
        <f t="shared" si="54"/>
        <v>0</v>
      </c>
      <c r="AT355">
        <f t="shared" si="55"/>
        <v>0</v>
      </c>
      <c r="AU355" s="253">
        <f t="shared" si="56"/>
        <v>0</v>
      </c>
      <c r="AV355" s="253">
        <f t="shared" si="57"/>
        <v>0</v>
      </c>
      <c r="AW355" s="253">
        <f t="shared" si="58"/>
        <v>0</v>
      </c>
      <c r="AX355" s="253">
        <f t="shared" si="59"/>
        <v>0</v>
      </c>
      <c r="AY355" s="253">
        <f t="shared" si="60"/>
        <v>0</v>
      </c>
      <c r="AZ355" s="253">
        <f t="shared" si="61"/>
        <v>0</v>
      </c>
      <c r="BA355" s="253">
        <f t="shared" si="62"/>
        <v>0</v>
      </c>
      <c r="BB355" s="253">
        <f t="shared" si="63"/>
        <v>0</v>
      </c>
      <c r="BC355" s="253">
        <f t="shared" si="64"/>
        <v>0</v>
      </c>
      <c r="BD355" s="253">
        <f t="shared" si="65"/>
        <v>0</v>
      </c>
      <c r="BE355" s="253">
        <f t="shared" si="66"/>
        <v>0</v>
      </c>
      <c r="BF355" s="253">
        <f t="shared" si="67"/>
        <v>0</v>
      </c>
    </row>
    <row r="356" spans="1:58" ht="15" customHeight="1">
      <c r="A356" s="94"/>
      <c r="C356" s="44" t="s">
        <v>2548</v>
      </c>
      <c r="D356" s="882"/>
      <c r="E356" s="883"/>
      <c r="F356" s="883"/>
      <c r="G356" s="883"/>
      <c r="H356" s="884"/>
      <c r="I356" s="816"/>
      <c r="J356" s="817"/>
      <c r="K356" s="88"/>
      <c r="L356" s="88"/>
      <c r="M356" s="88"/>
      <c r="N356" s="88"/>
      <c r="O356" s="1038"/>
      <c r="P356" s="1055"/>
      <c r="Q356" s="1038"/>
      <c r="R356" s="1055"/>
      <c r="S356" s="1038"/>
      <c r="T356" s="1055"/>
      <c r="U356" s="1038"/>
      <c r="V356" s="1055"/>
      <c r="W356" s="1038"/>
      <c r="X356" s="1055"/>
      <c r="Y356" s="1038"/>
      <c r="Z356" s="1055"/>
      <c r="AA356" s="816"/>
      <c r="AB356" s="817"/>
      <c r="AC356" s="816"/>
      <c r="AD356" s="817"/>
      <c r="AG356" s="326">
        <f t="shared" si="46"/>
        <v>0</v>
      </c>
      <c r="AH356" s="283">
        <f t="shared" si="47"/>
        <v>0</v>
      </c>
      <c r="AJ356">
        <f t="shared" si="48"/>
        <v>0</v>
      </c>
      <c r="AK356" s="249" t="b">
        <f t="shared" si="49"/>
        <v>0</v>
      </c>
      <c r="AL356" s="249" t="str">
        <f t="shared" si="50"/>
        <v/>
      </c>
      <c r="AM356" s="249" t="b">
        <f t="shared" si="51"/>
        <v>0</v>
      </c>
      <c r="AN356" s="249" t="str">
        <f t="shared" si="52"/>
        <v/>
      </c>
      <c r="AO356" s="249" t="b">
        <f t="shared" si="53"/>
        <v>0</v>
      </c>
      <c r="AQ356">
        <f>IF(I356&lt;=CNSIPEE_2024_M2_Secc1!$C$51,0,IF(I356="NS",0,1))</f>
        <v>0</v>
      </c>
      <c r="AS356">
        <f t="shared" si="54"/>
        <v>0</v>
      </c>
      <c r="AT356">
        <f t="shared" si="55"/>
        <v>0</v>
      </c>
      <c r="AU356" s="253">
        <f t="shared" si="56"/>
        <v>0</v>
      </c>
      <c r="AV356" s="253">
        <f t="shared" si="57"/>
        <v>0</v>
      </c>
      <c r="AW356" s="253">
        <f t="shared" si="58"/>
        <v>0</v>
      </c>
      <c r="AX356" s="253">
        <f t="shared" si="59"/>
        <v>0</v>
      </c>
      <c r="AY356" s="253">
        <f t="shared" si="60"/>
        <v>0</v>
      </c>
      <c r="AZ356" s="253">
        <f t="shared" si="61"/>
        <v>0</v>
      </c>
      <c r="BA356" s="253">
        <f t="shared" si="62"/>
        <v>0</v>
      </c>
      <c r="BB356" s="253">
        <f t="shared" si="63"/>
        <v>0</v>
      </c>
      <c r="BC356" s="253">
        <f t="shared" si="64"/>
        <v>0</v>
      </c>
      <c r="BD356" s="253">
        <f t="shared" si="65"/>
        <v>0</v>
      </c>
      <c r="BE356" s="253">
        <f t="shared" si="66"/>
        <v>0</v>
      </c>
      <c r="BF356" s="253">
        <f t="shared" si="67"/>
        <v>0</v>
      </c>
    </row>
    <row r="357" spans="1:58" ht="15" customHeight="1">
      <c r="A357" s="94"/>
      <c r="C357" s="44" t="s">
        <v>2549</v>
      </c>
      <c r="D357" s="882"/>
      <c r="E357" s="883"/>
      <c r="F357" s="883"/>
      <c r="G357" s="883"/>
      <c r="H357" s="884"/>
      <c r="I357" s="816"/>
      <c r="J357" s="817"/>
      <c r="K357" s="88"/>
      <c r="L357" s="88"/>
      <c r="M357" s="88"/>
      <c r="N357" s="88"/>
      <c r="O357" s="1038"/>
      <c r="P357" s="1055"/>
      <c r="Q357" s="1038"/>
      <c r="R357" s="1055"/>
      <c r="S357" s="1038"/>
      <c r="T357" s="1055"/>
      <c r="U357" s="1038"/>
      <c r="V357" s="1055"/>
      <c r="W357" s="1038"/>
      <c r="X357" s="1055"/>
      <c r="Y357" s="1038"/>
      <c r="Z357" s="1055"/>
      <c r="AA357" s="816"/>
      <c r="AB357" s="817"/>
      <c r="AC357" s="816"/>
      <c r="AD357" s="817"/>
      <c r="AG357" s="326">
        <f t="shared" si="46"/>
        <v>0</v>
      </c>
      <c r="AH357" s="283">
        <f t="shared" si="47"/>
        <v>0</v>
      </c>
      <c r="AJ357">
        <f t="shared" si="48"/>
        <v>0</v>
      </c>
      <c r="AK357" s="249" t="b">
        <f t="shared" si="49"/>
        <v>0</v>
      </c>
      <c r="AL357" s="249" t="str">
        <f t="shared" si="50"/>
        <v/>
      </c>
      <c r="AM357" s="249" t="b">
        <f t="shared" si="51"/>
        <v>0</v>
      </c>
      <c r="AN357" s="249" t="str">
        <f t="shared" si="52"/>
        <v/>
      </c>
      <c r="AO357" s="249" t="b">
        <f t="shared" si="53"/>
        <v>0</v>
      </c>
      <c r="AQ357">
        <f>IF(I357&lt;=CNSIPEE_2024_M2_Secc1!$C$51,0,IF(I357="NS",0,1))</f>
        <v>0</v>
      </c>
      <c r="AS357">
        <f t="shared" si="54"/>
        <v>0</v>
      </c>
      <c r="AT357">
        <f t="shared" si="55"/>
        <v>0</v>
      </c>
      <c r="AU357" s="253">
        <f t="shared" si="56"/>
        <v>0</v>
      </c>
      <c r="AV357" s="253">
        <f t="shared" si="57"/>
        <v>0</v>
      </c>
      <c r="AW357" s="253">
        <f t="shared" si="58"/>
        <v>0</v>
      </c>
      <c r="AX357" s="253">
        <f t="shared" si="59"/>
        <v>0</v>
      </c>
      <c r="AY357" s="253">
        <f t="shared" si="60"/>
        <v>0</v>
      </c>
      <c r="AZ357" s="253">
        <f t="shared" si="61"/>
        <v>0</v>
      </c>
      <c r="BA357" s="253">
        <f t="shared" si="62"/>
        <v>0</v>
      </c>
      <c r="BB357" s="253">
        <f t="shared" si="63"/>
        <v>0</v>
      </c>
      <c r="BC357" s="253">
        <f t="shared" si="64"/>
        <v>0</v>
      </c>
      <c r="BD357" s="253">
        <f t="shared" si="65"/>
        <v>0</v>
      </c>
      <c r="BE357" s="253">
        <f t="shared" si="66"/>
        <v>0</v>
      </c>
      <c r="BF357" s="253">
        <f t="shared" si="67"/>
        <v>0</v>
      </c>
    </row>
    <row r="358" spans="1:58" ht="15" customHeight="1">
      <c r="A358" s="94"/>
      <c r="C358" s="44" t="s">
        <v>2550</v>
      </c>
      <c r="D358" s="882"/>
      <c r="E358" s="883"/>
      <c r="F358" s="883"/>
      <c r="G358" s="883"/>
      <c r="H358" s="884"/>
      <c r="I358" s="816"/>
      <c r="J358" s="817"/>
      <c r="K358" s="88"/>
      <c r="L358" s="88"/>
      <c r="M358" s="88"/>
      <c r="N358" s="88"/>
      <c r="O358" s="1038"/>
      <c r="P358" s="1055"/>
      <c r="Q358" s="1038"/>
      <c r="R358" s="1055"/>
      <c r="S358" s="1038"/>
      <c r="T358" s="1055"/>
      <c r="U358" s="1038"/>
      <c r="V358" s="1055"/>
      <c r="W358" s="1038"/>
      <c r="X358" s="1055"/>
      <c r="Y358" s="1038"/>
      <c r="Z358" s="1055"/>
      <c r="AA358" s="816"/>
      <c r="AB358" s="817"/>
      <c r="AC358" s="816"/>
      <c r="AD358" s="817"/>
      <c r="AG358" s="326">
        <f t="shared" si="46"/>
        <v>0</v>
      </c>
      <c r="AH358" s="283">
        <f t="shared" si="47"/>
        <v>0</v>
      </c>
      <c r="AJ358">
        <f t="shared" si="48"/>
        <v>0</v>
      </c>
      <c r="AK358" s="249" t="b">
        <f t="shared" si="49"/>
        <v>0</v>
      </c>
      <c r="AL358" s="249" t="str">
        <f t="shared" si="50"/>
        <v/>
      </c>
      <c r="AM358" s="249" t="b">
        <f t="shared" si="51"/>
        <v>0</v>
      </c>
      <c r="AN358" s="249" t="str">
        <f t="shared" si="52"/>
        <v/>
      </c>
      <c r="AO358" s="249" t="b">
        <f t="shared" si="53"/>
        <v>0</v>
      </c>
      <c r="AQ358">
        <f>IF(I358&lt;=CNSIPEE_2024_M2_Secc1!$C$51,0,IF(I358="NS",0,1))</f>
        <v>0</v>
      </c>
      <c r="AS358">
        <f t="shared" si="54"/>
        <v>0</v>
      </c>
      <c r="AT358">
        <f t="shared" si="55"/>
        <v>0</v>
      </c>
      <c r="AU358" s="253">
        <f t="shared" si="56"/>
        <v>0</v>
      </c>
      <c r="AV358" s="253">
        <f t="shared" si="57"/>
        <v>0</v>
      </c>
      <c r="AW358" s="253">
        <f t="shared" si="58"/>
        <v>0</v>
      </c>
      <c r="AX358" s="253">
        <f t="shared" si="59"/>
        <v>0</v>
      </c>
      <c r="AY358" s="253">
        <f t="shared" si="60"/>
        <v>0</v>
      </c>
      <c r="AZ358" s="253">
        <f t="shared" si="61"/>
        <v>0</v>
      </c>
      <c r="BA358" s="253">
        <f t="shared" si="62"/>
        <v>0</v>
      </c>
      <c r="BB358" s="253">
        <f t="shared" si="63"/>
        <v>0</v>
      </c>
      <c r="BC358" s="253">
        <f t="shared" si="64"/>
        <v>0</v>
      </c>
      <c r="BD358" s="253">
        <f t="shared" si="65"/>
        <v>0</v>
      </c>
      <c r="BE358" s="253">
        <f t="shared" si="66"/>
        <v>0</v>
      </c>
      <c r="BF358" s="253">
        <f t="shared" si="67"/>
        <v>0</v>
      </c>
    </row>
    <row r="359" spans="1:58" ht="15" customHeight="1">
      <c r="A359" s="94"/>
      <c r="C359" s="44" t="s">
        <v>4330</v>
      </c>
      <c r="D359" s="882"/>
      <c r="E359" s="883"/>
      <c r="F359" s="883"/>
      <c r="G359" s="883"/>
      <c r="H359" s="884"/>
      <c r="I359" s="816"/>
      <c r="J359" s="817"/>
      <c r="K359" s="88"/>
      <c r="L359" s="88"/>
      <c r="M359" s="88"/>
      <c r="N359" s="88"/>
      <c r="O359" s="1038"/>
      <c r="P359" s="1055"/>
      <c r="Q359" s="1038"/>
      <c r="R359" s="1055"/>
      <c r="S359" s="1038"/>
      <c r="T359" s="1055"/>
      <c r="U359" s="1038"/>
      <c r="V359" s="1055"/>
      <c r="W359" s="1038"/>
      <c r="X359" s="1055"/>
      <c r="Y359" s="1038"/>
      <c r="Z359" s="1055"/>
      <c r="AA359" s="816"/>
      <c r="AB359" s="817"/>
      <c r="AC359" s="816"/>
      <c r="AD359" s="817"/>
      <c r="AG359" s="326">
        <f t="shared" si="46"/>
        <v>0</v>
      </c>
      <c r="AH359" s="283">
        <f t="shared" si="47"/>
        <v>0</v>
      </c>
      <c r="AJ359">
        <f t="shared" si="48"/>
        <v>0</v>
      </c>
      <c r="AK359" s="249" t="b">
        <f t="shared" si="49"/>
        <v>0</v>
      </c>
      <c r="AL359" s="249" t="str">
        <f t="shared" si="50"/>
        <v/>
      </c>
      <c r="AM359" s="249" t="b">
        <f t="shared" si="51"/>
        <v>0</v>
      </c>
      <c r="AN359" s="249" t="str">
        <f t="shared" si="52"/>
        <v/>
      </c>
      <c r="AO359" s="249" t="b">
        <f t="shared" si="53"/>
        <v>0</v>
      </c>
      <c r="AQ359">
        <f>IF(I359&lt;=CNSIPEE_2024_M2_Secc1!$C$51,0,IF(I359="NS",0,1))</f>
        <v>0</v>
      </c>
      <c r="AS359">
        <f t="shared" si="54"/>
        <v>0</v>
      </c>
      <c r="AT359">
        <f t="shared" si="55"/>
        <v>0</v>
      </c>
      <c r="AU359" s="253">
        <f t="shared" si="56"/>
        <v>0</v>
      </c>
      <c r="AV359" s="253">
        <f t="shared" si="57"/>
        <v>0</v>
      </c>
      <c r="AW359" s="253">
        <f t="shared" si="58"/>
        <v>0</v>
      </c>
      <c r="AX359" s="253">
        <f t="shared" si="59"/>
        <v>0</v>
      </c>
      <c r="AY359" s="253">
        <f t="shared" si="60"/>
        <v>0</v>
      </c>
      <c r="AZ359" s="253">
        <f t="shared" si="61"/>
        <v>0</v>
      </c>
      <c r="BA359" s="253">
        <f t="shared" si="62"/>
        <v>0</v>
      </c>
      <c r="BB359" s="253">
        <f t="shared" si="63"/>
        <v>0</v>
      </c>
      <c r="BC359" s="253">
        <f t="shared" si="64"/>
        <v>0</v>
      </c>
      <c r="BD359" s="253">
        <f t="shared" si="65"/>
        <v>0</v>
      </c>
      <c r="BE359" s="253">
        <f t="shared" si="66"/>
        <v>0</v>
      </c>
      <c r="BF359" s="253">
        <f t="shared" si="67"/>
        <v>0</v>
      </c>
    </row>
    <row r="360" spans="1:58" ht="15" customHeight="1">
      <c r="A360" s="94"/>
      <c r="C360" s="44" t="s">
        <v>4331</v>
      </c>
      <c r="D360" s="882"/>
      <c r="E360" s="883"/>
      <c r="F360" s="883"/>
      <c r="G360" s="883"/>
      <c r="H360" s="884"/>
      <c r="I360" s="816"/>
      <c r="J360" s="817"/>
      <c r="K360" s="88"/>
      <c r="L360" s="88"/>
      <c r="M360" s="88"/>
      <c r="N360" s="88"/>
      <c r="O360" s="1038"/>
      <c r="P360" s="1055"/>
      <c r="Q360" s="1038"/>
      <c r="R360" s="1055"/>
      <c r="S360" s="1038"/>
      <c r="T360" s="1055"/>
      <c r="U360" s="1038"/>
      <c r="V360" s="1055"/>
      <c r="W360" s="1038"/>
      <c r="X360" s="1055"/>
      <c r="Y360" s="1038"/>
      <c r="Z360" s="1055"/>
      <c r="AA360" s="816"/>
      <c r="AB360" s="817"/>
      <c r="AC360" s="816"/>
      <c r="AD360" s="817"/>
      <c r="AG360" s="326">
        <f t="shared" si="46"/>
        <v>0</v>
      </c>
      <c r="AH360" s="283">
        <f t="shared" si="47"/>
        <v>0</v>
      </c>
      <c r="AJ360">
        <f t="shared" si="48"/>
        <v>0</v>
      </c>
      <c r="AK360" s="249" t="b">
        <f t="shared" si="49"/>
        <v>0</v>
      </c>
      <c r="AL360" s="249" t="str">
        <f t="shared" si="50"/>
        <v/>
      </c>
      <c r="AM360" s="249" t="b">
        <f t="shared" si="51"/>
        <v>0</v>
      </c>
      <c r="AN360" s="249" t="str">
        <f t="shared" si="52"/>
        <v/>
      </c>
      <c r="AO360" s="249" t="b">
        <f t="shared" si="53"/>
        <v>0</v>
      </c>
      <c r="AQ360">
        <f>IF(I360&lt;=CNSIPEE_2024_M2_Secc1!$C$51,0,IF(I360="NS",0,1))</f>
        <v>0</v>
      </c>
      <c r="AS360">
        <f t="shared" si="54"/>
        <v>0</v>
      </c>
      <c r="AT360">
        <f t="shared" si="55"/>
        <v>0</v>
      </c>
      <c r="AU360" s="253">
        <f t="shared" si="56"/>
        <v>0</v>
      </c>
      <c r="AV360" s="253">
        <f t="shared" si="57"/>
        <v>0</v>
      </c>
      <c r="AW360" s="253">
        <f t="shared" si="58"/>
        <v>0</v>
      </c>
      <c r="AX360" s="253">
        <f t="shared" si="59"/>
        <v>0</v>
      </c>
      <c r="AY360" s="253">
        <f t="shared" si="60"/>
        <v>0</v>
      </c>
      <c r="AZ360" s="253">
        <f t="shared" si="61"/>
        <v>0</v>
      </c>
      <c r="BA360" s="253">
        <f t="shared" si="62"/>
        <v>0</v>
      </c>
      <c r="BB360" s="253">
        <f t="shared" si="63"/>
        <v>0</v>
      </c>
      <c r="BC360" s="253">
        <f t="shared" si="64"/>
        <v>0</v>
      </c>
      <c r="BD360" s="253">
        <f t="shared" si="65"/>
        <v>0</v>
      </c>
      <c r="BE360" s="253">
        <f t="shared" si="66"/>
        <v>0</v>
      </c>
      <c r="BF360" s="253">
        <f t="shared" si="67"/>
        <v>0</v>
      </c>
    </row>
    <row r="361" spans="1:58" ht="15" customHeight="1">
      <c r="A361" s="94"/>
      <c r="C361" s="44" t="s">
        <v>4332</v>
      </c>
      <c r="D361" s="882"/>
      <c r="E361" s="883"/>
      <c r="F361" s="883"/>
      <c r="G361" s="883"/>
      <c r="H361" s="884"/>
      <c r="I361" s="816"/>
      <c r="J361" s="817"/>
      <c r="K361" s="88"/>
      <c r="L361" s="88"/>
      <c r="M361" s="88"/>
      <c r="N361" s="88"/>
      <c r="O361" s="1038"/>
      <c r="P361" s="1055"/>
      <c r="Q361" s="1038"/>
      <c r="R361" s="1055"/>
      <c r="S361" s="1038"/>
      <c r="T361" s="1055"/>
      <c r="U361" s="1038"/>
      <c r="V361" s="1055"/>
      <c r="W361" s="1038"/>
      <c r="X361" s="1055"/>
      <c r="Y361" s="1038"/>
      <c r="Z361" s="1055"/>
      <c r="AA361" s="816"/>
      <c r="AB361" s="817"/>
      <c r="AC361" s="816"/>
      <c r="AD361" s="817"/>
      <c r="AG361" s="326">
        <f t="shared" si="46"/>
        <v>0</v>
      </c>
      <c r="AH361" s="283">
        <f t="shared" si="47"/>
        <v>0</v>
      </c>
      <c r="AJ361">
        <f t="shared" si="48"/>
        <v>0</v>
      </c>
      <c r="AK361" s="249" t="b">
        <f t="shared" si="49"/>
        <v>0</v>
      </c>
      <c r="AL361" s="249" t="str">
        <f t="shared" si="50"/>
        <v/>
      </c>
      <c r="AM361" s="249" t="b">
        <f t="shared" si="51"/>
        <v>0</v>
      </c>
      <c r="AN361" s="249" t="str">
        <f t="shared" si="52"/>
        <v/>
      </c>
      <c r="AO361" s="249" t="b">
        <f t="shared" si="53"/>
        <v>0</v>
      </c>
      <c r="AQ361">
        <f>IF(I361&lt;=CNSIPEE_2024_M2_Secc1!$C$51,0,IF(I361="NS",0,1))</f>
        <v>0</v>
      </c>
      <c r="AS361">
        <f t="shared" si="54"/>
        <v>0</v>
      </c>
      <c r="AT361">
        <f t="shared" si="55"/>
        <v>0</v>
      </c>
      <c r="AU361" s="253">
        <f t="shared" si="56"/>
        <v>0</v>
      </c>
      <c r="AV361" s="253">
        <f t="shared" si="57"/>
        <v>0</v>
      </c>
      <c r="AW361" s="253">
        <f t="shared" si="58"/>
        <v>0</v>
      </c>
      <c r="AX361" s="253">
        <f t="shared" si="59"/>
        <v>0</v>
      </c>
      <c r="AY361" s="253">
        <f t="shared" si="60"/>
        <v>0</v>
      </c>
      <c r="AZ361" s="253">
        <f t="shared" si="61"/>
        <v>0</v>
      </c>
      <c r="BA361" s="253">
        <f t="shared" si="62"/>
        <v>0</v>
      </c>
      <c r="BB361" s="253">
        <f t="shared" si="63"/>
        <v>0</v>
      </c>
      <c r="BC361" s="253">
        <f t="shared" si="64"/>
        <v>0</v>
      </c>
      <c r="BD361" s="253">
        <f t="shared" si="65"/>
        <v>0</v>
      </c>
      <c r="BE361" s="253">
        <f t="shared" si="66"/>
        <v>0</v>
      </c>
      <c r="BF361" s="253">
        <f t="shared" si="67"/>
        <v>0</v>
      </c>
    </row>
    <row r="362" spans="1:58" ht="15" customHeight="1">
      <c r="A362" s="94"/>
      <c r="C362" s="44" t="s">
        <v>4333</v>
      </c>
      <c r="D362" s="882"/>
      <c r="E362" s="883"/>
      <c r="F362" s="883"/>
      <c r="G362" s="883"/>
      <c r="H362" s="884"/>
      <c r="I362" s="816"/>
      <c r="J362" s="817"/>
      <c r="K362" s="88"/>
      <c r="L362" s="88"/>
      <c r="M362" s="88"/>
      <c r="N362" s="88"/>
      <c r="O362" s="1038"/>
      <c r="P362" s="1055"/>
      <c r="Q362" s="1038"/>
      <c r="R362" s="1055"/>
      <c r="S362" s="1038"/>
      <c r="T362" s="1055"/>
      <c r="U362" s="1038"/>
      <c r="V362" s="1055"/>
      <c r="W362" s="1038"/>
      <c r="X362" s="1055"/>
      <c r="Y362" s="1038"/>
      <c r="Z362" s="1055"/>
      <c r="AA362" s="816"/>
      <c r="AB362" s="817"/>
      <c r="AC362" s="816"/>
      <c r="AD362" s="817"/>
      <c r="AG362" s="326">
        <f t="shared" si="46"/>
        <v>0</v>
      </c>
      <c r="AH362" s="283">
        <f t="shared" si="47"/>
        <v>0</v>
      </c>
      <c r="AJ362">
        <f t="shared" si="48"/>
        <v>0</v>
      </c>
      <c r="AK362" s="249" t="b">
        <f t="shared" si="49"/>
        <v>0</v>
      </c>
      <c r="AL362" s="249" t="str">
        <f t="shared" si="50"/>
        <v/>
      </c>
      <c r="AM362" s="249" t="b">
        <f t="shared" si="51"/>
        <v>0</v>
      </c>
      <c r="AN362" s="249" t="str">
        <f t="shared" si="52"/>
        <v/>
      </c>
      <c r="AO362" s="249" t="b">
        <f t="shared" si="53"/>
        <v>0</v>
      </c>
      <c r="AQ362">
        <f>IF(I362&lt;=CNSIPEE_2024_M2_Secc1!$C$51,0,IF(I362="NS",0,1))</f>
        <v>0</v>
      </c>
      <c r="AS362">
        <f t="shared" si="54"/>
        <v>0</v>
      </c>
      <c r="AT362">
        <f t="shared" si="55"/>
        <v>0</v>
      </c>
      <c r="AU362" s="253">
        <f t="shared" si="56"/>
        <v>0</v>
      </c>
      <c r="AV362" s="253">
        <f t="shared" si="57"/>
        <v>0</v>
      </c>
      <c r="AW362" s="253">
        <f t="shared" si="58"/>
        <v>0</v>
      </c>
      <c r="AX362" s="253">
        <f t="shared" si="59"/>
        <v>0</v>
      </c>
      <c r="AY362" s="253">
        <f t="shared" si="60"/>
        <v>0</v>
      </c>
      <c r="AZ362" s="253">
        <f t="shared" si="61"/>
        <v>0</v>
      </c>
      <c r="BA362" s="253">
        <f t="shared" si="62"/>
        <v>0</v>
      </c>
      <c r="BB362" s="253">
        <f t="shared" si="63"/>
        <v>0</v>
      </c>
      <c r="BC362" s="253">
        <f t="shared" si="64"/>
        <v>0</v>
      </c>
      <c r="BD362" s="253">
        <f t="shared" si="65"/>
        <v>0</v>
      </c>
      <c r="BE362" s="253">
        <f t="shared" si="66"/>
        <v>0</v>
      </c>
      <c r="BF362" s="253">
        <f t="shared" si="67"/>
        <v>0</v>
      </c>
    </row>
    <row r="363" spans="1:58" ht="15" customHeight="1">
      <c r="A363" s="94"/>
      <c r="C363" s="44" t="s">
        <v>4334</v>
      </c>
      <c r="D363" s="882"/>
      <c r="E363" s="883"/>
      <c r="F363" s="883"/>
      <c r="G363" s="883"/>
      <c r="H363" s="884"/>
      <c r="I363" s="816"/>
      <c r="J363" s="817"/>
      <c r="K363" s="88"/>
      <c r="L363" s="88"/>
      <c r="M363" s="88"/>
      <c r="N363" s="88"/>
      <c r="O363" s="1038"/>
      <c r="P363" s="1055"/>
      <c r="Q363" s="1038"/>
      <c r="R363" s="1055"/>
      <c r="S363" s="1038"/>
      <c r="T363" s="1055"/>
      <c r="U363" s="1038"/>
      <c r="V363" s="1055"/>
      <c r="W363" s="1038"/>
      <c r="X363" s="1055"/>
      <c r="Y363" s="1038"/>
      <c r="Z363" s="1055"/>
      <c r="AA363" s="816"/>
      <c r="AB363" s="817"/>
      <c r="AC363" s="816"/>
      <c r="AD363" s="817"/>
      <c r="AG363" s="326">
        <f t="shared" si="46"/>
        <v>0</v>
      </c>
      <c r="AH363" s="283">
        <f t="shared" si="47"/>
        <v>0</v>
      </c>
      <c r="AJ363">
        <f t="shared" si="48"/>
        <v>0</v>
      </c>
      <c r="AK363" s="249" t="b">
        <f t="shared" si="49"/>
        <v>0</v>
      </c>
      <c r="AL363" s="249" t="str">
        <f t="shared" si="50"/>
        <v/>
      </c>
      <c r="AM363" s="249" t="b">
        <f t="shared" si="51"/>
        <v>0</v>
      </c>
      <c r="AN363" s="249" t="str">
        <f t="shared" si="52"/>
        <v/>
      </c>
      <c r="AO363" s="249" t="b">
        <f t="shared" si="53"/>
        <v>0</v>
      </c>
      <c r="AQ363">
        <f>IF(I363&lt;=CNSIPEE_2024_M2_Secc1!$C$51,0,IF(I363="NS",0,1))</f>
        <v>0</v>
      </c>
      <c r="AS363">
        <f t="shared" si="54"/>
        <v>0</v>
      </c>
      <c r="AT363">
        <f t="shared" si="55"/>
        <v>0</v>
      </c>
      <c r="AU363" s="253">
        <f t="shared" si="56"/>
        <v>0</v>
      </c>
      <c r="AV363" s="253">
        <f t="shared" si="57"/>
        <v>0</v>
      </c>
      <c r="AW363" s="253">
        <f t="shared" si="58"/>
        <v>0</v>
      </c>
      <c r="AX363" s="253">
        <f t="shared" si="59"/>
        <v>0</v>
      </c>
      <c r="AY363" s="253">
        <f t="shared" si="60"/>
        <v>0</v>
      </c>
      <c r="AZ363" s="253">
        <f t="shared" si="61"/>
        <v>0</v>
      </c>
      <c r="BA363" s="253">
        <f t="shared" si="62"/>
        <v>0</v>
      </c>
      <c r="BB363" s="253">
        <f t="shared" si="63"/>
        <v>0</v>
      </c>
      <c r="BC363" s="253">
        <f t="shared" si="64"/>
        <v>0</v>
      </c>
      <c r="BD363" s="253">
        <f t="shared" si="65"/>
        <v>0</v>
      </c>
      <c r="BE363" s="253">
        <f t="shared" si="66"/>
        <v>0</v>
      </c>
      <c r="BF363" s="253">
        <f t="shared" si="67"/>
        <v>0</v>
      </c>
    </row>
    <row r="364" spans="1:58" ht="15" customHeight="1">
      <c r="A364" s="94"/>
      <c r="C364" s="44" t="s">
        <v>4335</v>
      </c>
      <c r="D364" s="882"/>
      <c r="E364" s="883"/>
      <c r="F364" s="883"/>
      <c r="G364" s="883"/>
      <c r="H364" s="884"/>
      <c r="I364" s="816"/>
      <c r="J364" s="817"/>
      <c r="K364" s="88"/>
      <c r="L364" s="88"/>
      <c r="M364" s="88"/>
      <c r="N364" s="88"/>
      <c r="O364" s="1038"/>
      <c r="P364" s="1055"/>
      <c r="Q364" s="1038"/>
      <c r="R364" s="1055"/>
      <c r="S364" s="1038"/>
      <c r="T364" s="1055"/>
      <c r="U364" s="1038"/>
      <c r="V364" s="1055"/>
      <c r="W364" s="1038"/>
      <c r="X364" s="1055"/>
      <c r="Y364" s="1038"/>
      <c r="Z364" s="1055"/>
      <c r="AA364" s="816"/>
      <c r="AB364" s="817"/>
      <c r="AC364" s="816"/>
      <c r="AD364" s="817"/>
      <c r="AG364" s="326">
        <f t="shared" si="46"/>
        <v>0</v>
      </c>
      <c r="AH364" s="283">
        <f t="shared" si="47"/>
        <v>0</v>
      </c>
      <c r="AJ364">
        <f t="shared" si="48"/>
        <v>0</v>
      </c>
      <c r="AK364" s="249" t="b">
        <f t="shared" si="49"/>
        <v>0</v>
      </c>
      <c r="AL364" s="249" t="str">
        <f t="shared" si="50"/>
        <v/>
      </c>
      <c r="AM364" s="249" t="b">
        <f t="shared" si="51"/>
        <v>0</v>
      </c>
      <c r="AN364" s="249" t="str">
        <f t="shared" si="52"/>
        <v/>
      </c>
      <c r="AO364" s="249" t="b">
        <f t="shared" si="53"/>
        <v>0</v>
      </c>
      <c r="AQ364">
        <f>IF(I364&lt;=CNSIPEE_2024_M2_Secc1!$C$51,0,IF(I364="NS",0,1))</f>
        <v>0</v>
      </c>
      <c r="AS364">
        <f t="shared" si="54"/>
        <v>0</v>
      </c>
      <c r="AT364">
        <f t="shared" si="55"/>
        <v>0</v>
      </c>
      <c r="AU364" s="253">
        <f t="shared" si="56"/>
        <v>0</v>
      </c>
      <c r="AV364" s="253">
        <f t="shared" si="57"/>
        <v>0</v>
      </c>
      <c r="AW364" s="253">
        <f t="shared" si="58"/>
        <v>0</v>
      </c>
      <c r="AX364" s="253">
        <f t="shared" si="59"/>
        <v>0</v>
      </c>
      <c r="AY364" s="253">
        <f t="shared" si="60"/>
        <v>0</v>
      </c>
      <c r="AZ364" s="253">
        <f t="shared" si="61"/>
        <v>0</v>
      </c>
      <c r="BA364" s="253">
        <f t="shared" si="62"/>
        <v>0</v>
      </c>
      <c r="BB364" s="253">
        <f t="shared" si="63"/>
        <v>0</v>
      </c>
      <c r="BC364" s="253">
        <f t="shared" si="64"/>
        <v>0</v>
      </c>
      <c r="BD364" s="253">
        <f t="shared" si="65"/>
        <v>0</v>
      </c>
      <c r="BE364" s="253">
        <f t="shared" si="66"/>
        <v>0</v>
      </c>
      <c r="BF364" s="253">
        <f t="shared" si="67"/>
        <v>0</v>
      </c>
    </row>
    <row r="365" spans="1:58" ht="15" customHeight="1">
      <c r="A365" s="94"/>
      <c r="C365" s="44" t="s">
        <v>4336</v>
      </c>
      <c r="D365" s="882"/>
      <c r="E365" s="883"/>
      <c r="F365" s="883"/>
      <c r="G365" s="883"/>
      <c r="H365" s="884"/>
      <c r="I365" s="816"/>
      <c r="J365" s="817"/>
      <c r="K365" s="88"/>
      <c r="L365" s="88"/>
      <c r="M365" s="88"/>
      <c r="N365" s="88"/>
      <c r="O365" s="1038"/>
      <c r="P365" s="1055"/>
      <c r="Q365" s="1038"/>
      <c r="R365" s="1055"/>
      <c r="S365" s="1038"/>
      <c r="T365" s="1055"/>
      <c r="U365" s="1038"/>
      <c r="V365" s="1055"/>
      <c r="W365" s="1038"/>
      <c r="X365" s="1055"/>
      <c r="Y365" s="1038"/>
      <c r="Z365" s="1055"/>
      <c r="AA365" s="816"/>
      <c r="AB365" s="817"/>
      <c r="AC365" s="816"/>
      <c r="AD365" s="817"/>
      <c r="AG365" s="326">
        <f t="shared" si="46"/>
        <v>0</v>
      </c>
      <c r="AH365" s="283">
        <f t="shared" si="47"/>
        <v>0</v>
      </c>
      <c r="AJ365">
        <f t="shared" si="48"/>
        <v>0</v>
      </c>
      <c r="AK365" s="249" t="b">
        <f t="shared" si="49"/>
        <v>0</v>
      </c>
      <c r="AL365" s="249" t="str">
        <f t="shared" si="50"/>
        <v/>
      </c>
      <c r="AM365" s="249" t="b">
        <f t="shared" si="51"/>
        <v>0</v>
      </c>
      <c r="AN365" s="249" t="str">
        <f t="shared" si="52"/>
        <v/>
      </c>
      <c r="AO365" s="249" t="b">
        <f t="shared" si="53"/>
        <v>0</v>
      </c>
      <c r="AQ365">
        <f>IF(I365&lt;=CNSIPEE_2024_M2_Secc1!$C$51,0,IF(I365="NS",0,1))</f>
        <v>0</v>
      </c>
      <c r="AS365">
        <f t="shared" si="54"/>
        <v>0</v>
      </c>
      <c r="AT365">
        <f t="shared" si="55"/>
        <v>0</v>
      </c>
      <c r="AU365" s="253">
        <f t="shared" si="56"/>
        <v>0</v>
      </c>
      <c r="AV365" s="253">
        <f t="shared" si="57"/>
        <v>0</v>
      </c>
      <c r="AW365" s="253">
        <f t="shared" si="58"/>
        <v>0</v>
      </c>
      <c r="AX365" s="253">
        <f t="shared" si="59"/>
        <v>0</v>
      </c>
      <c r="AY365" s="253">
        <f t="shared" si="60"/>
        <v>0</v>
      </c>
      <c r="AZ365" s="253">
        <f t="shared" si="61"/>
        <v>0</v>
      </c>
      <c r="BA365" s="253">
        <f t="shared" si="62"/>
        <v>0</v>
      </c>
      <c r="BB365" s="253">
        <f t="shared" si="63"/>
        <v>0</v>
      </c>
      <c r="BC365" s="253">
        <f t="shared" si="64"/>
        <v>0</v>
      </c>
      <c r="BD365" s="253">
        <f t="shared" si="65"/>
        <v>0</v>
      </c>
      <c r="BE365" s="253">
        <f t="shared" si="66"/>
        <v>0</v>
      </c>
      <c r="BF365" s="253">
        <f t="shared" si="67"/>
        <v>0</v>
      </c>
    </row>
    <row r="366" spans="1:58" ht="15" customHeight="1">
      <c r="A366" s="94"/>
      <c r="C366" s="44" t="s">
        <v>4337</v>
      </c>
      <c r="D366" s="882"/>
      <c r="E366" s="883"/>
      <c r="F366" s="883"/>
      <c r="G366" s="883"/>
      <c r="H366" s="884"/>
      <c r="I366" s="816"/>
      <c r="J366" s="817"/>
      <c r="K366" s="88"/>
      <c r="L366" s="88"/>
      <c r="M366" s="88"/>
      <c r="N366" s="88"/>
      <c r="O366" s="1038"/>
      <c r="P366" s="1055"/>
      <c r="Q366" s="1038"/>
      <c r="R366" s="1055"/>
      <c r="S366" s="1038"/>
      <c r="T366" s="1055"/>
      <c r="U366" s="1038"/>
      <c r="V366" s="1055"/>
      <c r="W366" s="1038"/>
      <c r="X366" s="1055"/>
      <c r="Y366" s="1038"/>
      <c r="Z366" s="1055"/>
      <c r="AA366" s="816"/>
      <c r="AB366" s="817"/>
      <c r="AC366" s="816"/>
      <c r="AD366" s="817"/>
      <c r="AG366" s="326">
        <f t="shared" si="46"/>
        <v>0</v>
      </c>
      <c r="AH366" s="283">
        <f t="shared" si="47"/>
        <v>0</v>
      </c>
      <c r="AJ366">
        <f t="shared" si="48"/>
        <v>0</v>
      </c>
      <c r="AK366" s="249" t="b">
        <f t="shared" si="49"/>
        <v>0</v>
      </c>
      <c r="AL366" s="249" t="str">
        <f t="shared" si="50"/>
        <v/>
      </c>
      <c r="AM366" s="249" t="b">
        <f t="shared" si="51"/>
        <v>0</v>
      </c>
      <c r="AN366" s="249" t="str">
        <f t="shared" si="52"/>
        <v/>
      </c>
      <c r="AO366" s="249" t="b">
        <f t="shared" si="53"/>
        <v>0</v>
      </c>
      <c r="AQ366">
        <f>IF(I366&lt;=CNSIPEE_2024_M2_Secc1!$C$51,0,IF(I366="NS",0,1))</f>
        <v>0</v>
      </c>
      <c r="AS366">
        <f t="shared" si="54"/>
        <v>0</v>
      </c>
      <c r="AT366">
        <f t="shared" si="55"/>
        <v>0</v>
      </c>
      <c r="AU366" s="253">
        <f t="shared" si="56"/>
        <v>0</v>
      </c>
      <c r="AV366" s="253">
        <f t="shared" si="57"/>
        <v>0</v>
      </c>
      <c r="AW366" s="253">
        <f t="shared" si="58"/>
        <v>0</v>
      </c>
      <c r="AX366" s="253">
        <f t="shared" si="59"/>
        <v>0</v>
      </c>
      <c r="AY366" s="253">
        <f t="shared" si="60"/>
        <v>0</v>
      </c>
      <c r="AZ366" s="253">
        <f t="shared" si="61"/>
        <v>0</v>
      </c>
      <c r="BA366" s="253">
        <f t="shared" si="62"/>
        <v>0</v>
      </c>
      <c r="BB366" s="253">
        <f t="shared" si="63"/>
        <v>0</v>
      </c>
      <c r="BC366" s="253">
        <f t="shared" si="64"/>
        <v>0</v>
      </c>
      <c r="BD366" s="253">
        <f t="shared" si="65"/>
        <v>0</v>
      </c>
      <c r="BE366" s="253">
        <f t="shared" si="66"/>
        <v>0</v>
      </c>
      <c r="BF366" s="253">
        <f t="shared" si="67"/>
        <v>0</v>
      </c>
    </row>
    <row r="367" spans="1:58" ht="15" customHeight="1">
      <c r="A367" s="94"/>
      <c r="C367" s="44" t="s">
        <v>4338</v>
      </c>
      <c r="D367" s="882"/>
      <c r="E367" s="883"/>
      <c r="F367" s="883"/>
      <c r="G367" s="883"/>
      <c r="H367" s="884"/>
      <c r="I367" s="816"/>
      <c r="J367" s="817"/>
      <c r="K367" s="88"/>
      <c r="L367" s="88"/>
      <c r="M367" s="88"/>
      <c r="N367" s="88"/>
      <c r="O367" s="1038"/>
      <c r="P367" s="1055"/>
      <c r="Q367" s="1038"/>
      <c r="R367" s="1055"/>
      <c r="S367" s="1038"/>
      <c r="T367" s="1055"/>
      <c r="U367" s="1038"/>
      <c r="V367" s="1055"/>
      <c r="W367" s="1038"/>
      <c r="X367" s="1055"/>
      <c r="Y367" s="1038"/>
      <c r="Z367" s="1055"/>
      <c r="AA367" s="816"/>
      <c r="AB367" s="817"/>
      <c r="AC367" s="816"/>
      <c r="AD367" s="817"/>
      <c r="AG367" s="326">
        <f t="shared" si="46"/>
        <v>0</v>
      </c>
      <c r="AH367" s="283">
        <f t="shared" si="47"/>
        <v>0</v>
      </c>
      <c r="AJ367">
        <f t="shared" si="48"/>
        <v>0</v>
      </c>
      <c r="AK367" s="249" t="b">
        <f t="shared" si="49"/>
        <v>0</v>
      </c>
      <c r="AL367" s="249" t="str">
        <f t="shared" si="50"/>
        <v/>
      </c>
      <c r="AM367" s="249" t="b">
        <f t="shared" si="51"/>
        <v>0</v>
      </c>
      <c r="AN367" s="249" t="str">
        <f t="shared" si="52"/>
        <v/>
      </c>
      <c r="AO367" s="249" t="b">
        <f t="shared" si="53"/>
        <v>0</v>
      </c>
      <c r="AQ367">
        <f>IF(I367&lt;=CNSIPEE_2024_M2_Secc1!$C$51,0,IF(I367="NS",0,1))</f>
        <v>0</v>
      </c>
      <c r="AS367">
        <f t="shared" si="54"/>
        <v>0</v>
      </c>
      <c r="AT367">
        <f t="shared" si="55"/>
        <v>0</v>
      </c>
      <c r="AU367" s="253">
        <f t="shared" si="56"/>
        <v>0</v>
      </c>
      <c r="AV367" s="253">
        <f t="shared" si="57"/>
        <v>0</v>
      </c>
      <c r="AW367" s="253">
        <f t="shared" si="58"/>
        <v>0</v>
      </c>
      <c r="AX367" s="253">
        <f t="shared" si="59"/>
        <v>0</v>
      </c>
      <c r="AY367" s="253">
        <f t="shared" si="60"/>
        <v>0</v>
      </c>
      <c r="AZ367" s="253">
        <f t="shared" si="61"/>
        <v>0</v>
      </c>
      <c r="BA367" s="253">
        <f t="shared" si="62"/>
        <v>0</v>
      </c>
      <c r="BB367" s="253">
        <f t="shared" si="63"/>
        <v>0</v>
      </c>
      <c r="BC367" s="253">
        <f t="shared" si="64"/>
        <v>0</v>
      </c>
      <c r="BD367" s="253">
        <f t="shared" si="65"/>
        <v>0</v>
      </c>
      <c r="BE367" s="253">
        <f t="shared" si="66"/>
        <v>0</v>
      </c>
      <c r="BF367" s="253">
        <f t="shared" si="67"/>
        <v>0</v>
      </c>
    </row>
    <row r="368" spans="1:58" ht="15" customHeight="1">
      <c r="A368" s="94"/>
      <c r="C368" s="44" t="s">
        <v>4339</v>
      </c>
      <c r="D368" s="882"/>
      <c r="E368" s="883"/>
      <c r="F368" s="883"/>
      <c r="G368" s="883"/>
      <c r="H368" s="884"/>
      <c r="I368" s="816"/>
      <c r="J368" s="817"/>
      <c r="K368" s="88"/>
      <c r="L368" s="88"/>
      <c r="M368" s="88"/>
      <c r="N368" s="88"/>
      <c r="O368" s="1038"/>
      <c r="P368" s="1055"/>
      <c r="Q368" s="1038"/>
      <c r="R368" s="1055"/>
      <c r="S368" s="1038"/>
      <c r="T368" s="1055"/>
      <c r="U368" s="1038"/>
      <c r="V368" s="1055"/>
      <c r="W368" s="1038"/>
      <c r="X368" s="1055"/>
      <c r="Y368" s="1038"/>
      <c r="Z368" s="1055"/>
      <c r="AA368" s="816"/>
      <c r="AB368" s="817"/>
      <c r="AC368" s="816"/>
      <c r="AD368" s="817"/>
      <c r="AG368" s="326">
        <f t="shared" si="46"/>
        <v>0</v>
      </c>
      <c r="AH368" s="283">
        <f t="shared" si="47"/>
        <v>0</v>
      </c>
      <c r="AJ368">
        <f t="shared" si="48"/>
        <v>0</v>
      </c>
      <c r="AK368" s="249" t="b">
        <f t="shared" si="49"/>
        <v>0</v>
      </c>
      <c r="AL368" s="249" t="str">
        <f t="shared" si="50"/>
        <v/>
      </c>
      <c r="AM368" s="249" t="b">
        <f t="shared" si="51"/>
        <v>0</v>
      </c>
      <c r="AN368" s="249" t="str">
        <f t="shared" si="52"/>
        <v/>
      </c>
      <c r="AO368" s="249" t="b">
        <f t="shared" si="53"/>
        <v>0</v>
      </c>
      <c r="AQ368">
        <f>IF(I368&lt;=CNSIPEE_2024_M2_Secc1!$C$51,0,IF(I368="NS",0,1))</f>
        <v>0</v>
      </c>
      <c r="AS368">
        <f t="shared" si="54"/>
        <v>0</v>
      </c>
      <c r="AT368">
        <f t="shared" si="55"/>
        <v>0</v>
      </c>
      <c r="AU368" s="253">
        <f t="shared" si="56"/>
        <v>0</v>
      </c>
      <c r="AV368" s="253">
        <f t="shared" si="57"/>
        <v>0</v>
      </c>
      <c r="AW368" s="253">
        <f t="shared" si="58"/>
        <v>0</v>
      </c>
      <c r="AX368" s="253">
        <f t="shared" si="59"/>
        <v>0</v>
      </c>
      <c r="AY368" s="253">
        <f t="shared" si="60"/>
        <v>0</v>
      </c>
      <c r="AZ368" s="253">
        <f t="shared" si="61"/>
        <v>0</v>
      </c>
      <c r="BA368" s="253">
        <f t="shared" si="62"/>
        <v>0</v>
      </c>
      <c r="BB368" s="253">
        <f t="shared" si="63"/>
        <v>0</v>
      </c>
      <c r="BC368" s="253">
        <f t="shared" si="64"/>
        <v>0</v>
      </c>
      <c r="BD368" s="253">
        <f t="shared" si="65"/>
        <v>0</v>
      </c>
      <c r="BE368" s="253">
        <f t="shared" si="66"/>
        <v>0</v>
      </c>
      <c r="BF368" s="253">
        <f t="shared" si="67"/>
        <v>0</v>
      </c>
    </row>
    <row r="369" spans="1:58" ht="15" customHeight="1">
      <c r="A369" s="94"/>
      <c r="C369" s="44" t="s">
        <v>4340</v>
      </c>
      <c r="D369" s="882"/>
      <c r="E369" s="883"/>
      <c r="F369" s="883"/>
      <c r="G369" s="883"/>
      <c r="H369" s="884"/>
      <c r="I369" s="816"/>
      <c r="J369" s="817"/>
      <c r="K369" s="88"/>
      <c r="L369" s="88"/>
      <c r="M369" s="88"/>
      <c r="N369" s="88"/>
      <c r="O369" s="1038"/>
      <c r="P369" s="1055"/>
      <c r="Q369" s="1038"/>
      <c r="R369" s="1055"/>
      <c r="S369" s="1038"/>
      <c r="T369" s="1055"/>
      <c r="U369" s="1038"/>
      <c r="V369" s="1055"/>
      <c r="W369" s="1038"/>
      <c r="X369" s="1055"/>
      <c r="Y369" s="1038"/>
      <c r="Z369" s="1055"/>
      <c r="AA369" s="816"/>
      <c r="AB369" s="817"/>
      <c r="AC369" s="816"/>
      <c r="AD369" s="817"/>
      <c r="AG369" s="326">
        <f t="shared" si="46"/>
        <v>0</v>
      </c>
      <c r="AH369" s="283">
        <f t="shared" si="47"/>
        <v>0</v>
      </c>
      <c r="AJ369">
        <f t="shared" si="48"/>
        <v>0</v>
      </c>
      <c r="AK369" s="249" t="b">
        <f t="shared" si="49"/>
        <v>0</v>
      </c>
      <c r="AL369" s="249" t="str">
        <f t="shared" si="50"/>
        <v/>
      </c>
      <c r="AM369" s="249" t="b">
        <f t="shared" si="51"/>
        <v>0</v>
      </c>
      <c r="AN369" s="249" t="str">
        <f t="shared" si="52"/>
        <v/>
      </c>
      <c r="AO369" s="249" t="b">
        <f t="shared" si="53"/>
        <v>0</v>
      </c>
      <c r="AQ369">
        <f>IF(I369&lt;=CNSIPEE_2024_M2_Secc1!$C$51,0,IF(I369="NS",0,1))</f>
        <v>0</v>
      </c>
      <c r="AS369">
        <f t="shared" si="54"/>
        <v>0</v>
      </c>
      <c r="AT369">
        <f t="shared" si="55"/>
        <v>0</v>
      </c>
      <c r="AU369" s="253">
        <f t="shared" si="56"/>
        <v>0</v>
      </c>
      <c r="AV369" s="253">
        <f t="shared" si="57"/>
        <v>0</v>
      </c>
      <c r="AW369" s="253">
        <f t="shared" si="58"/>
        <v>0</v>
      </c>
      <c r="AX369" s="253">
        <f t="shared" si="59"/>
        <v>0</v>
      </c>
      <c r="AY369" s="253">
        <f t="shared" si="60"/>
        <v>0</v>
      </c>
      <c r="AZ369" s="253">
        <f t="shared" si="61"/>
        <v>0</v>
      </c>
      <c r="BA369" s="253">
        <f t="shared" si="62"/>
        <v>0</v>
      </c>
      <c r="BB369" s="253">
        <f t="shared" si="63"/>
        <v>0</v>
      </c>
      <c r="BC369" s="253">
        <f t="shared" si="64"/>
        <v>0</v>
      </c>
      <c r="BD369" s="253">
        <f t="shared" si="65"/>
        <v>0</v>
      </c>
      <c r="BE369" s="253">
        <f t="shared" si="66"/>
        <v>0</v>
      </c>
      <c r="BF369" s="253">
        <f t="shared" si="67"/>
        <v>0</v>
      </c>
    </row>
    <row r="370" spans="1:58" ht="15" customHeight="1">
      <c r="A370" s="94"/>
      <c r="C370" s="44" t="s">
        <v>4341</v>
      </c>
      <c r="D370" s="882"/>
      <c r="E370" s="883"/>
      <c r="F370" s="883"/>
      <c r="G370" s="883"/>
      <c r="H370" s="884"/>
      <c r="I370" s="816"/>
      <c r="J370" s="817"/>
      <c r="K370" s="88"/>
      <c r="L370" s="88"/>
      <c r="M370" s="88"/>
      <c r="N370" s="88"/>
      <c r="O370" s="1038"/>
      <c r="P370" s="1055"/>
      <c r="Q370" s="1038"/>
      <c r="R370" s="1055"/>
      <c r="S370" s="1038"/>
      <c r="T370" s="1055"/>
      <c r="U370" s="1038"/>
      <c r="V370" s="1055"/>
      <c r="W370" s="1038"/>
      <c r="X370" s="1055"/>
      <c r="Y370" s="1038"/>
      <c r="Z370" s="1055"/>
      <c r="AA370" s="816"/>
      <c r="AB370" s="817"/>
      <c r="AC370" s="816"/>
      <c r="AD370" s="817"/>
      <c r="AG370" s="326">
        <f t="shared" si="46"/>
        <v>0</v>
      </c>
      <c r="AH370" s="283">
        <f t="shared" si="47"/>
        <v>0</v>
      </c>
      <c r="AJ370">
        <f t="shared" si="48"/>
        <v>0</v>
      </c>
      <c r="AK370" s="249" t="b">
        <f t="shared" si="49"/>
        <v>0</v>
      </c>
      <c r="AL370" s="249" t="str">
        <f t="shared" si="50"/>
        <v/>
      </c>
      <c r="AM370" s="249" t="b">
        <f t="shared" si="51"/>
        <v>0</v>
      </c>
      <c r="AN370" s="249" t="str">
        <f t="shared" si="52"/>
        <v/>
      </c>
      <c r="AO370" s="249" t="b">
        <f t="shared" si="53"/>
        <v>0</v>
      </c>
      <c r="AQ370">
        <f>IF(I370&lt;=CNSIPEE_2024_M2_Secc1!$C$51,0,IF(I370="NS",0,1))</f>
        <v>0</v>
      </c>
      <c r="AS370">
        <f t="shared" si="54"/>
        <v>0</v>
      </c>
      <c r="AT370">
        <f t="shared" si="55"/>
        <v>0</v>
      </c>
      <c r="AU370" s="253">
        <f t="shared" si="56"/>
        <v>0</v>
      </c>
      <c r="AV370" s="253">
        <f t="shared" si="57"/>
        <v>0</v>
      </c>
      <c r="AW370" s="253">
        <f t="shared" si="58"/>
        <v>0</v>
      </c>
      <c r="AX370" s="253">
        <f t="shared" si="59"/>
        <v>0</v>
      </c>
      <c r="AY370" s="253">
        <f t="shared" si="60"/>
        <v>0</v>
      </c>
      <c r="AZ370" s="253">
        <f t="shared" si="61"/>
        <v>0</v>
      </c>
      <c r="BA370" s="253">
        <f t="shared" si="62"/>
        <v>0</v>
      </c>
      <c r="BB370" s="253">
        <f t="shared" si="63"/>
        <v>0</v>
      </c>
      <c r="BC370" s="253">
        <f t="shared" si="64"/>
        <v>0</v>
      </c>
      <c r="BD370" s="253">
        <f t="shared" si="65"/>
        <v>0</v>
      </c>
      <c r="BE370" s="253">
        <f t="shared" si="66"/>
        <v>0</v>
      </c>
      <c r="BF370" s="253">
        <f t="shared" si="67"/>
        <v>0</v>
      </c>
    </row>
    <row r="371" spans="1:58" ht="15" customHeight="1">
      <c r="A371" s="94"/>
      <c r="C371" s="44" t="s">
        <v>4342</v>
      </c>
      <c r="D371" s="882"/>
      <c r="E371" s="883"/>
      <c r="F371" s="883"/>
      <c r="G371" s="883"/>
      <c r="H371" s="884"/>
      <c r="I371" s="816"/>
      <c r="J371" s="817"/>
      <c r="K371" s="88"/>
      <c r="L371" s="88"/>
      <c r="M371" s="88"/>
      <c r="N371" s="88"/>
      <c r="O371" s="1038"/>
      <c r="P371" s="1055"/>
      <c r="Q371" s="1038"/>
      <c r="R371" s="1055"/>
      <c r="S371" s="1038"/>
      <c r="T371" s="1055"/>
      <c r="U371" s="1038"/>
      <c r="V371" s="1055"/>
      <c r="W371" s="1038"/>
      <c r="X371" s="1055"/>
      <c r="Y371" s="1038"/>
      <c r="Z371" s="1055"/>
      <c r="AA371" s="816"/>
      <c r="AB371" s="817"/>
      <c r="AC371" s="816"/>
      <c r="AD371" s="817"/>
      <c r="AG371" s="326">
        <f t="shared" si="46"/>
        <v>0</v>
      </c>
      <c r="AH371" s="283">
        <f t="shared" si="47"/>
        <v>0</v>
      </c>
      <c r="AJ371">
        <f t="shared" si="48"/>
        <v>0</v>
      </c>
      <c r="AK371" s="249" t="b">
        <f t="shared" si="49"/>
        <v>0</v>
      </c>
      <c r="AL371" s="249" t="str">
        <f t="shared" si="50"/>
        <v/>
      </c>
      <c r="AM371" s="249" t="b">
        <f t="shared" si="51"/>
        <v>0</v>
      </c>
      <c r="AN371" s="249" t="str">
        <f t="shared" si="52"/>
        <v/>
      </c>
      <c r="AO371" s="249" t="b">
        <f t="shared" si="53"/>
        <v>0</v>
      </c>
      <c r="AQ371">
        <f>IF(I371&lt;=CNSIPEE_2024_M2_Secc1!$C$51,0,IF(I371="NS",0,1))</f>
        <v>0</v>
      </c>
      <c r="AS371">
        <f t="shared" si="54"/>
        <v>0</v>
      </c>
      <c r="AT371">
        <f t="shared" si="55"/>
        <v>0</v>
      </c>
      <c r="AU371" s="253">
        <f t="shared" si="56"/>
        <v>0</v>
      </c>
      <c r="AV371" s="253">
        <f t="shared" si="57"/>
        <v>0</v>
      </c>
      <c r="AW371" s="253">
        <f t="shared" si="58"/>
        <v>0</v>
      </c>
      <c r="AX371" s="253">
        <f t="shared" si="59"/>
        <v>0</v>
      </c>
      <c r="AY371" s="253">
        <f t="shared" si="60"/>
        <v>0</v>
      </c>
      <c r="AZ371" s="253">
        <f t="shared" si="61"/>
        <v>0</v>
      </c>
      <c r="BA371" s="253">
        <f t="shared" si="62"/>
        <v>0</v>
      </c>
      <c r="BB371" s="253">
        <f t="shared" si="63"/>
        <v>0</v>
      </c>
      <c r="BC371" s="253">
        <f t="shared" si="64"/>
        <v>0</v>
      </c>
      <c r="BD371" s="253">
        <f t="shared" si="65"/>
        <v>0</v>
      </c>
      <c r="BE371" s="253">
        <f t="shared" si="66"/>
        <v>0</v>
      </c>
      <c r="BF371" s="253">
        <f t="shared" si="67"/>
        <v>0</v>
      </c>
    </row>
    <row r="372" spans="1:58" ht="15" customHeight="1">
      <c r="A372" s="94"/>
      <c r="C372" s="44" t="s">
        <v>4343</v>
      </c>
      <c r="D372" s="882"/>
      <c r="E372" s="883"/>
      <c r="F372" s="883"/>
      <c r="G372" s="883"/>
      <c r="H372" s="884"/>
      <c r="I372" s="816"/>
      <c r="J372" s="817"/>
      <c r="K372" s="88"/>
      <c r="L372" s="88"/>
      <c r="M372" s="88"/>
      <c r="N372" s="88"/>
      <c r="O372" s="1038"/>
      <c r="P372" s="1055"/>
      <c r="Q372" s="1038"/>
      <c r="R372" s="1055"/>
      <c r="S372" s="1038"/>
      <c r="T372" s="1055"/>
      <c r="U372" s="1038"/>
      <c r="V372" s="1055"/>
      <c r="W372" s="1038"/>
      <c r="X372" s="1055"/>
      <c r="Y372" s="1038"/>
      <c r="Z372" s="1055"/>
      <c r="AA372" s="816"/>
      <c r="AB372" s="817"/>
      <c r="AC372" s="816"/>
      <c r="AD372" s="817"/>
      <c r="AG372" s="326">
        <f t="shared" si="46"/>
        <v>0</v>
      </c>
      <c r="AH372" s="283">
        <f t="shared" si="47"/>
        <v>0</v>
      </c>
      <c r="AJ372">
        <f t="shared" si="48"/>
        <v>0</v>
      </c>
      <c r="AK372" s="249" t="b">
        <f t="shared" si="49"/>
        <v>0</v>
      </c>
      <c r="AL372" s="249" t="str">
        <f t="shared" si="50"/>
        <v/>
      </c>
      <c r="AM372" s="249" t="b">
        <f t="shared" si="51"/>
        <v>0</v>
      </c>
      <c r="AN372" s="249" t="str">
        <f t="shared" si="52"/>
        <v/>
      </c>
      <c r="AO372" s="249" t="b">
        <f t="shared" si="53"/>
        <v>0</v>
      </c>
      <c r="AQ372">
        <f>IF(I372&lt;=CNSIPEE_2024_M2_Secc1!$C$51,0,IF(I372="NS",0,1))</f>
        <v>0</v>
      </c>
      <c r="AS372">
        <f t="shared" si="54"/>
        <v>0</v>
      </c>
      <c r="AT372">
        <f t="shared" si="55"/>
        <v>0</v>
      </c>
      <c r="AU372" s="253">
        <f t="shared" si="56"/>
        <v>0</v>
      </c>
      <c r="AV372" s="253">
        <f t="shared" si="57"/>
        <v>0</v>
      </c>
      <c r="AW372" s="253">
        <f t="shared" si="58"/>
        <v>0</v>
      </c>
      <c r="AX372" s="253">
        <f t="shared" si="59"/>
        <v>0</v>
      </c>
      <c r="AY372" s="253">
        <f t="shared" si="60"/>
        <v>0</v>
      </c>
      <c r="AZ372" s="253">
        <f t="shared" si="61"/>
        <v>0</v>
      </c>
      <c r="BA372" s="253">
        <f t="shared" si="62"/>
        <v>0</v>
      </c>
      <c r="BB372" s="253">
        <f t="shared" si="63"/>
        <v>0</v>
      </c>
      <c r="BC372" s="253">
        <f t="shared" si="64"/>
        <v>0</v>
      </c>
      <c r="BD372" s="253">
        <f t="shared" si="65"/>
        <v>0</v>
      </c>
      <c r="BE372" s="253">
        <f t="shared" si="66"/>
        <v>0</v>
      </c>
      <c r="BF372" s="253">
        <f t="shared" si="67"/>
        <v>0</v>
      </c>
    </row>
    <row r="373" spans="1:58" ht="15" customHeight="1">
      <c r="A373" s="94"/>
      <c r="C373" s="44" t="s">
        <v>4344</v>
      </c>
      <c r="D373" s="882"/>
      <c r="E373" s="883"/>
      <c r="F373" s="883"/>
      <c r="G373" s="883"/>
      <c r="H373" s="884"/>
      <c r="I373" s="816"/>
      <c r="J373" s="817"/>
      <c r="K373" s="88"/>
      <c r="L373" s="88"/>
      <c r="M373" s="88"/>
      <c r="N373" s="88"/>
      <c r="O373" s="1038"/>
      <c r="P373" s="1055"/>
      <c r="Q373" s="1038"/>
      <c r="R373" s="1055"/>
      <c r="S373" s="1038"/>
      <c r="T373" s="1055"/>
      <c r="U373" s="1038"/>
      <c r="V373" s="1055"/>
      <c r="W373" s="1038"/>
      <c r="X373" s="1055"/>
      <c r="Y373" s="1038"/>
      <c r="Z373" s="1055"/>
      <c r="AA373" s="816"/>
      <c r="AB373" s="817"/>
      <c r="AC373" s="816"/>
      <c r="AD373" s="817"/>
      <c r="AG373" s="326">
        <f t="shared" si="46"/>
        <v>0</v>
      </c>
      <c r="AH373" s="283">
        <f t="shared" si="47"/>
        <v>0</v>
      </c>
      <c r="AJ373">
        <f t="shared" si="48"/>
        <v>0</v>
      </c>
      <c r="AK373" s="249" t="b">
        <f t="shared" si="49"/>
        <v>0</v>
      </c>
      <c r="AL373" s="249" t="str">
        <f t="shared" si="50"/>
        <v/>
      </c>
      <c r="AM373" s="249" t="b">
        <f t="shared" si="51"/>
        <v>0</v>
      </c>
      <c r="AN373" s="249" t="str">
        <f t="shared" si="52"/>
        <v/>
      </c>
      <c r="AO373" s="249" t="b">
        <f t="shared" si="53"/>
        <v>0</v>
      </c>
      <c r="AQ373">
        <f>IF(I373&lt;=CNSIPEE_2024_M2_Secc1!$C$51,0,IF(I373="NS",0,1))</f>
        <v>0</v>
      </c>
      <c r="AS373">
        <f t="shared" si="54"/>
        <v>0</v>
      </c>
      <c r="AT373">
        <f t="shared" si="55"/>
        <v>0</v>
      </c>
      <c r="AU373" s="253">
        <f t="shared" si="56"/>
        <v>0</v>
      </c>
      <c r="AV373" s="253">
        <f t="shared" si="57"/>
        <v>0</v>
      </c>
      <c r="AW373" s="253">
        <f t="shared" si="58"/>
        <v>0</v>
      </c>
      <c r="AX373" s="253">
        <f t="shared" si="59"/>
        <v>0</v>
      </c>
      <c r="AY373" s="253">
        <f t="shared" si="60"/>
        <v>0</v>
      </c>
      <c r="AZ373" s="253">
        <f t="shared" si="61"/>
        <v>0</v>
      </c>
      <c r="BA373" s="253">
        <f t="shared" si="62"/>
        <v>0</v>
      </c>
      <c r="BB373" s="253">
        <f t="shared" si="63"/>
        <v>0</v>
      </c>
      <c r="BC373" s="253">
        <f t="shared" si="64"/>
        <v>0</v>
      </c>
      <c r="BD373" s="253">
        <f t="shared" si="65"/>
        <v>0</v>
      </c>
      <c r="BE373" s="253">
        <f t="shared" si="66"/>
        <v>0</v>
      </c>
      <c r="BF373" s="253">
        <f t="shared" si="67"/>
        <v>0</v>
      </c>
    </row>
    <row r="374" spans="1:58" ht="15" customHeight="1">
      <c r="A374" s="94"/>
      <c r="C374" s="44" t="s">
        <v>4464</v>
      </c>
      <c r="D374" s="882"/>
      <c r="E374" s="883"/>
      <c r="F374" s="883"/>
      <c r="G374" s="883"/>
      <c r="H374" s="884"/>
      <c r="I374" s="816"/>
      <c r="J374" s="817"/>
      <c r="K374" s="88"/>
      <c r="L374" s="88"/>
      <c r="M374" s="88"/>
      <c r="N374" s="88"/>
      <c r="O374" s="1038"/>
      <c r="P374" s="1055"/>
      <c r="Q374" s="1038"/>
      <c r="R374" s="1055"/>
      <c r="S374" s="1038"/>
      <c r="T374" s="1055"/>
      <c r="U374" s="1038"/>
      <c r="V374" s="1055"/>
      <c r="W374" s="1038"/>
      <c r="X374" s="1055"/>
      <c r="Y374" s="1038"/>
      <c r="Z374" s="1055"/>
      <c r="AA374" s="816"/>
      <c r="AB374" s="817"/>
      <c r="AC374" s="816"/>
      <c r="AD374" s="817"/>
      <c r="AG374" s="326">
        <f t="shared" si="46"/>
        <v>0</v>
      </c>
      <c r="AH374" s="283">
        <f t="shared" si="47"/>
        <v>0</v>
      </c>
      <c r="AJ374">
        <f t="shared" si="48"/>
        <v>0</v>
      </c>
      <c r="AK374" s="249" t="b">
        <f t="shared" si="49"/>
        <v>0</v>
      </c>
      <c r="AL374" s="249" t="str">
        <f t="shared" si="50"/>
        <v/>
      </c>
      <c r="AM374" s="249" t="b">
        <f t="shared" si="51"/>
        <v>0</v>
      </c>
      <c r="AN374" s="249" t="str">
        <f t="shared" si="52"/>
        <v/>
      </c>
      <c r="AO374" s="249" t="b">
        <f t="shared" si="53"/>
        <v>0</v>
      </c>
      <c r="AQ374">
        <f>IF(I374&lt;=CNSIPEE_2024_M2_Secc1!$C$51,0,IF(I374="NS",0,1))</f>
        <v>0</v>
      </c>
      <c r="AS374">
        <f t="shared" si="54"/>
        <v>0</v>
      </c>
      <c r="AT374">
        <f t="shared" si="55"/>
        <v>0</v>
      </c>
      <c r="AU374" s="253">
        <f t="shared" si="56"/>
        <v>0</v>
      </c>
      <c r="AV374" s="253">
        <f t="shared" si="57"/>
        <v>0</v>
      </c>
      <c r="AW374" s="253">
        <f t="shared" si="58"/>
        <v>0</v>
      </c>
      <c r="AX374" s="253">
        <f t="shared" si="59"/>
        <v>0</v>
      </c>
      <c r="AY374" s="253">
        <f t="shared" si="60"/>
        <v>0</v>
      </c>
      <c r="AZ374" s="253">
        <f t="shared" si="61"/>
        <v>0</v>
      </c>
      <c r="BA374" s="253">
        <f t="shared" si="62"/>
        <v>0</v>
      </c>
      <c r="BB374" s="253">
        <f t="shared" si="63"/>
        <v>0</v>
      </c>
      <c r="BC374" s="253">
        <f t="shared" si="64"/>
        <v>0</v>
      </c>
      <c r="BD374" s="253">
        <f t="shared" si="65"/>
        <v>0</v>
      </c>
      <c r="BE374" s="253">
        <f t="shared" si="66"/>
        <v>0</v>
      </c>
      <c r="BF374" s="253">
        <f t="shared" si="67"/>
        <v>0</v>
      </c>
    </row>
    <row r="375" spans="1:58" ht="15" customHeight="1">
      <c r="A375" s="94"/>
      <c r="C375" s="44" t="s">
        <v>4465</v>
      </c>
      <c r="D375" s="882"/>
      <c r="E375" s="883"/>
      <c r="F375" s="883"/>
      <c r="G375" s="883"/>
      <c r="H375" s="884"/>
      <c r="I375" s="816"/>
      <c r="J375" s="817"/>
      <c r="K375" s="88"/>
      <c r="L375" s="88"/>
      <c r="M375" s="88"/>
      <c r="N375" s="88"/>
      <c r="O375" s="1038"/>
      <c r="P375" s="1055"/>
      <c r="Q375" s="1038"/>
      <c r="R375" s="1055"/>
      <c r="S375" s="1038"/>
      <c r="T375" s="1055"/>
      <c r="U375" s="1038"/>
      <c r="V375" s="1055"/>
      <c r="W375" s="1038"/>
      <c r="X375" s="1055"/>
      <c r="Y375" s="1038"/>
      <c r="Z375" s="1055"/>
      <c r="AA375" s="816"/>
      <c r="AB375" s="817"/>
      <c r="AC375" s="816"/>
      <c r="AD375" s="817"/>
      <c r="AG375" s="326">
        <f t="shared" si="46"/>
        <v>0</v>
      </c>
      <c r="AH375" s="283">
        <f t="shared" si="47"/>
        <v>0</v>
      </c>
      <c r="AJ375">
        <f t="shared" si="48"/>
        <v>0</v>
      </c>
      <c r="AK375" s="249" t="b">
        <f t="shared" si="49"/>
        <v>0</v>
      </c>
      <c r="AL375" s="249" t="str">
        <f t="shared" si="50"/>
        <v/>
      </c>
      <c r="AM375" s="249" t="b">
        <f t="shared" si="51"/>
        <v>0</v>
      </c>
      <c r="AN375" s="249" t="str">
        <f t="shared" si="52"/>
        <v/>
      </c>
      <c r="AO375" s="249" t="b">
        <f t="shared" si="53"/>
        <v>0</v>
      </c>
      <c r="AQ375">
        <f>IF(I375&lt;=CNSIPEE_2024_M2_Secc1!$C$51,0,IF(I375="NS",0,1))</f>
        <v>0</v>
      </c>
      <c r="AS375">
        <f t="shared" si="54"/>
        <v>0</v>
      </c>
      <c r="AT375">
        <f t="shared" si="55"/>
        <v>0</v>
      </c>
      <c r="AU375" s="253">
        <f t="shared" si="56"/>
        <v>0</v>
      </c>
      <c r="AV375" s="253">
        <f t="shared" si="57"/>
        <v>0</v>
      </c>
      <c r="AW375" s="253">
        <f t="shared" si="58"/>
        <v>0</v>
      </c>
      <c r="AX375" s="253">
        <f t="shared" si="59"/>
        <v>0</v>
      </c>
      <c r="AY375" s="253">
        <f t="shared" si="60"/>
        <v>0</v>
      </c>
      <c r="AZ375" s="253">
        <f t="shared" si="61"/>
        <v>0</v>
      </c>
      <c r="BA375" s="253">
        <f t="shared" si="62"/>
        <v>0</v>
      </c>
      <c r="BB375" s="253">
        <f t="shared" si="63"/>
        <v>0</v>
      </c>
      <c r="BC375" s="253">
        <f t="shared" si="64"/>
        <v>0</v>
      </c>
      <c r="BD375" s="253">
        <f t="shared" si="65"/>
        <v>0</v>
      </c>
      <c r="BE375" s="253">
        <f t="shared" si="66"/>
        <v>0</v>
      </c>
      <c r="BF375" s="253">
        <f t="shared" si="67"/>
        <v>0</v>
      </c>
    </row>
    <row r="376" spans="1:58" ht="15" customHeight="1">
      <c r="A376" s="94"/>
      <c r="C376" s="44" t="s">
        <v>4466</v>
      </c>
      <c r="D376" s="882"/>
      <c r="E376" s="883"/>
      <c r="F376" s="883"/>
      <c r="G376" s="883"/>
      <c r="H376" s="884"/>
      <c r="I376" s="816"/>
      <c r="J376" s="817"/>
      <c r="K376" s="88"/>
      <c r="L376" s="88"/>
      <c r="M376" s="88"/>
      <c r="N376" s="88"/>
      <c r="O376" s="1038"/>
      <c r="P376" s="1055"/>
      <c r="Q376" s="1038"/>
      <c r="R376" s="1055"/>
      <c r="S376" s="1038"/>
      <c r="T376" s="1055"/>
      <c r="U376" s="1038"/>
      <c r="V376" s="1055"/>
      <c r="W376" s="1038"/>
      <c r="X376" s="1055"/>
      <c r="Y376" s="1038"/>
      <c r="Z376" s="1055"/>
      <c r="AA376" s="816"/>
      <c r="AB376" s="817"/>
      <c r="AC376" s="816"/>
      <c r="AD376" s="817"/>
      <c r="AG376" s="326">
        <f t="shared" si="46"/>
        <v>0</v>
      </c>
      <c r="AH376" s="283">
        <f t="shared" si="47"/>
        <v>0</v>
      </c>
      <c r="AJ376">
        <f t="shared" si="48"/>
        <v>0</v>
      </c>
      <c r="AK376" s="249" t="b">
        <f t="shared" si="49"/>
        <v>0</v>
      </c>
      <c r="AL376" s="249" t="str">
        <f t="shared" si="50"/>
        <v/>
      </c>
      <c r="AM376" s="249" t="b">
        <f t="shared" si="51"/>
        <v>0</v>
      </c>
      <c r="AN376" s="249" t="str">
        <f t="shared" si="52"/>
        <v/>
      </c>
      <c r="AO376" s="249" t="b">
        <f t="shared" si="53"/>
        <v>0</v>
      </c>
      <c r="AQ376">
        <f>IF(I376&lt;=CNSIPEE_2024_M2_Secc1!$C$51,0,IF(I376="NS",0,1))</f>
        <v>0</v>
      </c>
      <c r="AS376">
        <f t="shared" si="54"/>
        <v>0</v>
      </c>
      <c r="AT376">
        <f t="shared" si="55"/>
        <v>0</v>
      </c>
      <c r="AU376" s="253">
        <f t="shared" si="56"/>
        <v>0</v>
      </c>
      <c r="AV376" s="253">
        <f t="shared" si="57"/>
        <v>0</v>
      </c>
      <c r="AW376" s="253">
        <f t="shared" si="58"/>
        <v>0</v>
      </c>
      <c r="AX376" s="253">
        <f t="shared" si="59"/>
        <v>0</v>
      </c>
      <c r="AY376" s="253">
        <f t="shared" si="60"/>
        <v>0</v>
      </c>
      <c r="AZ376" s="253">
        <f t="shared" si="61"/>
        <v>0</v>
      </c>
      <c r="BA376" s="253">
        <f t="shared" si="62"/>
        <v>0</v>
      </c>
      <c r="BB376" s="253">
        <f t="shared" si="63"/>
        <v>0</v>
      </c>
      <c r="BC376" s="253">
        <f t="shared" si="64"/>
        <v>0</v>
      </c>
      <c r="BD376" s="253">
        <f t="shared" si="65"/>
        <v>0</v>
      </c>
      <c r="BE376" s="253">
        <f t="shared" si="66"/>
        <v>0</v>
      </c>
      <c r="BF376" s="253">
        <f t="shared" si="67"/>
        <v>0</v>
      </c>
    </row>
    <row r="377" spans="1:58" ht="15" customHeight="1">
      <c r="A377" s="94"/>
      <c r="C377" s="44" t="s">
        <v>4467</v>
      </c>
      <c r="D377" s="882"/>
      <c r="E377" s="883"/>
      <c r="F377" s="883"/>
      <c r="G377" s="883"/>
      <c r="H377" s="884"/>
      <c r="I377" s="816"/>
      <c r="J377" s="817"/>
      <c r="K377" s="88"/>
      <c r="L377" s="88"/>
      <c r="M377" s="88"/>
      <c r="N377" s="88"/>
      <c r="O377" s="1038"/>
      <c r="P377" s="1055"/>
      <c r="Q377" s="1038"/>
      <c r="R377" s="1055"/>
      <c r="S377" s="1038"/>
      <c r="T377" s="1055"/>
      <c r="U377" s="1038"/>
      <c r="V377" s="1055"/>
      <c r="W377" s="1038"/>
      <c r="X377" s="1055"/>
      <c r="Y377" s="1038"/>
      <c r="Z377" s="1055"/>
      <c r="AA377" s="816"/>
      <c r="AB377" s="817"/>
      <c r="AC377" s="816"/>
      <c r="AD377" s="817"/>
      <c r="AG377" s="326">
        <f t="shared" si="46"/>
        <v>0</v>
      </c>
      <c r="AH377" s="283">
        <f t="shared" si="47"/>
        <v>0</v>
      </c>
      <c r="AJ377">
        <f t="shared" si="48"/>
        <v>0</v>
      </c>
      <c r="AK377" s="249" t="b">
        <f t="shared" si="49"/>
        <v>0</v>
      </c>
      <c r="AL377" s="249" t="str">
        <f t="shared" si="50"/>
        <v/>
      </c>
      <c r="AM377" s="249" t="b">
        <f t="shared" si="51"/>
        <v>0</v>
      </c>
      <c r="AN377" s="249" t="str">
        <f t="shared" si="52"/>
        <v/>
      </c>
      <c r="AO377" s="249" t="b">
        <f t="shared" si="53"/>
        <v>0</v>
      </c>
      <c r="AQ377">
        <f>IF(I377&lt;=CNSIPEE_2024_M2_Secc1!$C$51,0,IF(I377="NS",0,1))</f>
        <v>0</v>
      </c>
      <c r="AS377">
        <f t="shared" si="54"/>
        <v>0</v>
      </c>
      <c r="AT377">
        <f t="shared" si="55"/>
        <v>0</v>
      </c>
      <c r="AU377" s="253">
        <f t="shared" si="56"/>
        <v>0</v>
      </c>
      <c r="AV377" s="253">
        <f t="shared" si="57"/>
        <v>0</v>
      </c>
      <c r="AW377" s="253">
        <f t="shared" si="58"/>
        <v>0</v>
      </c>
      <c r="AX377" s="253">
        <f t="shared" si="59"/>
        <v>0</v>
      </c>
      <c r="AY377" s="253">
        <f t="shared" si="60"/>
        <v>0</v>
      </c>
      <c r="AZ377" s="253">
        <f t="shared" si="61"/>
        <v>0</v>
      </c>
      <c r="BA377" s="253">
        <f t="shared" si="62"/>
        <v>0</v>
      </c>
      <c r="BB377" s="253">
        <f t="shared" si="63"/>
        <v>0</v>
      </c>
      <c r="BC377" s="253">
        <f t="shared" si="64"/>
        <v>0</v>
      </c>
      <c r="BD377" s="253">
        <f t="shared" si="65"/>
        <v>0</v>
      </c>
      <c r="BE377" s="253">
        <f t="shared" si="66"/>
        <v>0</v>
      </c>
      <c r="BF377" s="253">
        <f t="shared" si="67"/>
        <v>0</v>
      </c>
    </row>
    <row r="378" spans="1:58" ht="15" customHeight="1">
      <c r="A378" s="94"/>
      <c r="C378" s="44" t="s">
        <v>4468</v>
      </c>
      <c r="D378" s="882"/>
      <c r="E378" s="883"/>
      <c r="F378" s="883"/>
      <c r="G378" s="883"/>
      <c r="H378" s="884"/>
      <c r="I378" s="816"/>
      <c r="J378" s="817"/>
      <c r="K378" s="88"/>
      <c r="L378" s="88"/>
      <c r="M378" s="88"/>
      <c r="N378" s="88"/>
      <c r="O378" s="1038"/>
      <c r="P378" s="1055"/>
      <c r="Q378" s="1038"/>
      <c r="R378" s="1055"/>
      <c r="S378" s="1038"/>
      <c r="T378" s="1055"/>
      <c r="U378" s="1038"/>
      <c r="V378" s="1055"/>
      <c r="W378" s="1038"/>
      <c r="X378" s="1055"/>
      <c r="Y378" s="1038"/>
      <c r="Z378" s="1055"/>
      <c r="AA378" s="816"/>
      <c r="AB378" s="817"/>
      <c r="AC378" s="816"/>
      <c r="AD378" s="817"/>
      <c r="AG378" s="326">
        <f t="shared" si="46"/>
        <v>0</v>
      </c>
      <c r="AH378" s="283">
        <f t="shared" si="47"/>
        <v>0</v>
      </c>
      <c r="AJ378">
        <f t="shared" si="48"/>
        <v>0</v>
      </c>
      <c r="AK378" s="249" t="b">
        <f t="shared" si="49"/>
        <v>0</v>
      </c>
      <c r="AL378" s="249" t="str">
        <f t="shared" si="50"/>
        <v/>
      </c>
      <c r="AM378" s="249" t="b">
        <f t="shared" si="51"/>
        <v>0</v>
      </c>
      <c r="AN378" s="249" t="str">
        <f t="shared" si="52"/>
        <v/>
      </c>
      <c r="AO378" s="249" t="b">
        <f t="shared" si="53"/>
        <v>0</v>
      </c>
      <c r="AQ378">
        <f>IF(I378&lt;=CNSIPEE_2024_M2_Secc1!$C$51,0,IF(I378="NS",0,1))</f>
        <v>0</v>
      </c>
      <c r="AS378">
        <f t="shared" si="54"/>
        <v>0</v>
      </c>
      <c r="AT378">
        <f t="shared" si="55"/>
        <v>0</v>
      </c>
      <c r="AU378" s="253">
        <f t="shared" si="56"/>
        <v>0</v>
      </c>
      <c r="AV378" s="253">
        <f t="shared" si="57"/>
        <v>0</v>
      </c>
      <c r="AW378" s="253">
        <f t="shared" si="58"/>
        <v>0</v>
      </c>
      <c r="AX378" s="253">
        <f t="shared" si="59"/>
        <v>0</v>
      </c>
      <c r="AY378" s="253">
        <f t="shared" si="60"/>
        <v>0</v>
      </c>
      <c r="AZ378" s="253">
        <f t="shared" si="61"/>
        <v>0</v>
      </c>
      <c r="BA378" s="253">
        <f t="shared" si="62"/>
        <v>0</v>
      </c>
      <c r="BB378" s="253">
        <f t="shared" si="63"/>
        <v>0</v>
      </c>
      <c r="BC378" s="253">
        <f t="shared" si="64"/>
        <v>0</v>
      </c>
      <c r="BD378" s="253">
        <f t="shared" si="65"/>
        <v>0</v>
      </c>
      <c r="BE378" s="253">
        <f t="shared" si="66"/>
        <v>0</v>
      </c>
      <c r="BF378" s="253">
        <f t="shared" si="67"/>
        <v>0</v>
      </c>
    </row>
    <row r="379" spans="1:58" ht="15" customHeight="1">
      <c r="A379" s="94"/>
      <c r="C379" s="44" t="s">
        <v>4469</v>
      </c>
      <c r="D379" s="882"/>
      <c r="E379" s="883"/>
      <c r="F379" s="883"/>
      <c r="G379" s="883"/>
      <c r="H379" s="884"/>
      <c r="I379" s="816"/>
      <c r="J379" s="817"/>
      <c r="K379" s="88"/>
      <c r="L379" s="88"/>
      <c r="M379" s="88"/>
      <c r="N379" s="88"/>
      <c r="O379" s="1038"/>
      <c r="P379" s="1055"/>
      <c r="Q379" s="1038"/>
      <c r="R379" s="1055"/>
      <c r="S379" s="1038"/>
      <c r="T379" s="1055"/>
      <c r="U379" s="1038"/>
      <c r="V379" s="1055"/>
      <c r="W379" s="1038"/>
      <c r="X379" s="1055"/>
      <c r="Y379" s="1038"/>
      <c r="Z379" s="1055"/>
      <c r="AA379" s="816"/>
      <c r="AB379" s="817"/>
      <c r="AC379" s="816"/>
      <c r="AD379" s="817"/>
      <c r="AG379" s="326">
        <f t="shared" si="46"/>
        <v>0</v>
      </c>
      <c r="AH379" s="283">
        <f t="shared" si="47"/>
        <v>0</v>
      </c>
      <c r="AJ379">
        <f t="shared" si="48"/>
        <v>0</v>
      </c>
      <c r="AK379" s="249" t="b">
        <f t="shared" si="49"/>
        <v>0</v>
      </c>
      <c r="AL379" s="249" t="str">
        <f t="shared" si="50"/>
        <v/>
      </c>
      <c r="AM379" s="249" t="b">
        <f t="shared" si="51"/>
        <v>0</v>
      </c>
      <c r="AN379" s="249" t="str">
        <f t="shared" si="52"/>
        <v/>
      </c>
      <c r="AO379" s="249" t="b">
        <f t="shared" si="53"/>
        <v>0</v>
      </c>
      <c r="AQ379">
        <f>IF(I379&lt;=CNSIPEE_2024_M2_Secc1!$C$51,0,IF(I379="NS",0,1))</f>
        <v>0</v>
      </c>
      <c r="AS379">
        <f t="shared" si="54"/>
        <v>0</v>
      </c>
      <c r="AT379">
        <f t="shared" si="55"/>
        <v>0</v>
      </c>
      <c r="AU379" s="253">
        <f t="shared" si="56"/>
        <v>0</v>
      </c>
      <c r="AV379" s="253">
        <f t="shared" si="57"/>
        <v>0</v>
      </c>
      <c r="AW379" s="253">
        <f t="shared" si="58"/>
        <v>0</v>
      </c>
      <c r="AX379" s="253">
        <f t="shared" si="59"/>
        <v>0</v>
      </c>
      <c r="AY379" s="253">
        <f t="shared" si="60"/>
        <v>0</v>
      </c>
      <c r="AZ379" s="253">
        <f t="shared" si="61"/>
        <v>0</v>
      </c>
      <c r="BA379" s="253">
        <f t="shared" si="62"/>
        <v>0</v>
      </c>
      <c r="BB379" s="253">
        <f t="shared" si="63"/>
        <v>0</v>
      </c>
      <c r="BC379" s="253">
        <f t="shared" si="64"/>
        <v>0</v>
      </c>
      <c r="BD379" s="253">
        <f t="shared" si="65"/>
        <v>0</v>
      </c>
      <c r="BE379" s="253">
        <f t="shared" si="66"/>
        <v>0</v>
      </c>
      <c r="BF379" s="253">
        <f t="shared" si="67"/>
        <v>0</v>
      </c>
    </row>
    <row r="380" spans="1:58" ht="15" customHeight="1">
      <c r="A380" s="94"/>
      <c r="C380" s="44" t="s">
        <v>4470</v>
      </c>
      <c r="D380" s="882"/>
      <c r="E380" s="883"/>
      <c r="F380" s="883"/>
      <c r="G380" s="883"/>
      <c r="H380" s="884"/>
      <c r="I380" s="816"/>
      <c r="J380" s="817"/>
      <c r="K380" s="88"/>
      <c r="L380" s="88"/>
      <c r="M380" s="88"/>
      <c r="N380" s="88"/>
      <c r="O380" s="1038"/>
      <c r="P380" s="1055"/>
      <c r="Q380" s="1038"/>
      <c r="R380" s="1055"/>
      <c r="S380" s="1038"/>
      <c r="T380" s="1055"/>
      <c r="U380" s="1038"/>
      <c r="V380" s="1055"/>
      <c r="W380" s="1038"/>
      <c r="X380" s="1055"/>
      <c r="Y380" s="1038"/>
      <c r="Z380" s="1055"/>
      <c r="AA380" s="816"/>
      <c r="AB380" s="817"/>
      <c r="AC380" s="816"/>
      <c r="AD380" s="817"/>
      <c r="AG380" s="326">
        <f t="shared" si="46"/>
        <v>0</v>
      </c>
      <c r="AH380" s="283">
        <f t="shared" si="47"/>
        <v>0</v>
      </c>
      <c r="AJ380">
        <f t="shared" si="48"/>
        <v>0</v>
      </c>
      <c r="AK380" s="249" t="b">
        <f t="shared" si="49"/>
        <v>0</v>
      </c>
      <c r="AL380" s="249" t="str">
        <f t="shared" si="50"/>
        <v/>
      </c>
      <c r="AM380" s="249" t="b">
        <f t="shared" si="51"/>
        <v>0</v>
      </c>
      <c r="AN380" s="249" t="str">
        <f t="shared" si="52"/>
        <v/>
      </c>
      <c r="AO380" s="249" t="b">
        <f t="shared" si="53"/>
        <v>0</v>
      </c>
      <c r="AQ380">
        <f>IF(I380&lt;=CNSIPEE_2024_M2_Secc1!$C$51,0,IF(I380="NS",0,1))</f>
        <v>0</v>
      </c>
      <c r="AS380">
        <f t="shared" si="54"/>
        <v>0</v>
      </c>
      <c r="AT380">
        <f t="shared" si="55"/>
        <v>0</v>
      </c>
      <c r="AU380" s="253">
        <f t="shared" si="56"/>
        <v>0</v>
      </c>
      <c r="AV380" s="253">
        <f t="shared" si="57"/>
        <v>0</v>
      </c>
      <c r="AW380" s="253">
        <f t="shared" si="58"/>
        <v>0</v>
      </c>
      <c r="AX380" s="253">
        <f t="shared" si="59"/>
        <v>0</v>
      </c>
      <c r="AY380" s="253">
        <f t="shared" si="60"/>
        <v>0</v>
      </c>
      <c r="AZ380" s="253">
        <f t="shared" si="61"/>
        <v>0</v>
      </c>
      <c r="BA380" s="253">
        <f t="shared" si="62"/>
        <v>0</v>
      </c>
      <c r="BB380" s="253">
        <f t="shared" si="63"/>
        <v>0</v>
      </c>
      <c r="BC380" s="253">
        <f t="shared" si="64"/>
        <v>0</v>
      </c>
      <c r="BD380" s="253">
        <f t="shared" si="65"/>
        <v>0</v>
      </c>
      <c r="BE380" s="253">
        <f t="shared" si="66"/>
        <v>0</v>
      </c>
      <c r="BF380" s="253">
        <f t="shared" si="67"/>
        <v>0</v>
      </c>
    </row>
    <row r="381" spans="1:58" ht="15" customHeight="1">
      <c r="A381" s="94"/>
      <c r="C381" s="44" t="s">
        <v>4471</v>
      </c>
      <c r="D381" s="882"/>
      <c r="E381" s="883"/>
      <c r="F381" s="883"/>
      <c r="G381" s="883"/>
      <c r="H381" s="884"/>
      <c r="I381" s="816"/>
      <c r="J381" s="817"/>
      <c r="K381" s="88"/>
      <c r="L381" s="88"/>
      <c r="M381" s="88"/>
      <c r="N381" s="88"/>
      <c r="O381" s="1038"/>
      <c r="P381" s="1055"/>
      <c r="Q381" s="1038"/>
      <c r="R381" s="1055"/>
      <c r="S381" s="1038"/>
      <c r="T381" s="1055"/>
      <c r="U381" s="1038"/>
      <c r="V381" s="1055"/>
      <c r="W381" s="1038"/>
      <c r="X381" s="1055"/>
      <c r="Y381" s="1038"/>
      <c r="Z381" s="1055"/>
      <c r="AA381" s="816"/>
      <c r="AB381" s="817"/>
      <c r="AC381" s="816"/>
      <c r="AD381" s="817"/>
      <c r="AG381" s="326">
        <f t="shared" si="46"/>
        <v>0</v>
      </c>
      <c r="AH381" s="283">
        <f t="shared" si="47"/>
        <v>0</v>
      </c>
      <c r="AJ381">
        <f t="shared" si="48"/>
        <v>0</v>
      </c>
      <c r="AK381" s="249" t="b">
        <f t="shared" si="49"/>
        <v>0</v>
      </c>
      <c r="AL381" s="249" t="str">
        <f t="shared" si="50"/>
        <v/>
      </c>
      <c r="AM381" s="249" t="b">
        <f t="shared" si="51"/>
        <v>0</v>
      </c>
      <c r="AN381" s="249" t="str">
        <f t="shared" si="52"/>
        <v/>
      </c>
      <c r="AO381" s="249" t="b">
        <f t="shared" si="53"/>
        <v>0</v>
      </c>
      <c r="AQ381">
        <f>IF(I381&lt;=CNSIPEE_2024_M2_Secc1!$C$51,0,IF(I381="NS",0,1))</f>
        <v>0</v>
      </c>
      <c r="AS381">
        <f t="shared" si="54"/>
        <v>0</v>
      </c>
      <c r="AT381">
        <f t="shared" si="55"/>
        <v>0</v>
      </c>
      <c r="AU381" s="253">
        <f t="shared" si="56"/>
        <v>0</v>
      </c>
      <c r="AV381" s="253">
        <f t="shared" si="57"/>
        <v>0</v>
      </c>
      <c r="AW381" s="253">
        <f t="shared" si="58"/>
        <v>0</v>
      </c>
      <c r="AX381" s="253">
        <f t="shared" si="59"/>
        <v>0</v>
      </c>
      <c r="AY381" s="253">
        <f t="shared" si="60"/>
        <v>0</v>
      </c>
      <c r="AZ381" s="253">
        <f t="shared" si="61"/>
        <v>0</v>
      </c>
      <c r="BA381" s="253">
        <f t="shared" si="62"/>
        <v>0</v>
      </c>
      <c r="BB381" s="253">
        <f t="shared" si="63"/>
        <v>0</v>
      </c>
      <c r="BC381" s="253">
        <f t="shared" si="64"/>
        <v>0</v>
      </c>
      <c r="BD381" s="253">
        <f t="shared" si="65"/>
        <v>0</v>
      </c>
      <c r="BE381" s="253">
        <f t="shared" si="66"/>
        <v>0</v>
      </c>
      <c r="BF381" s="253">
        <f t="shared" si="67"/>
        <v>0</v>
      </c>
    </row>
    <row r="382" spans="1:58" ht="15" customHeight="1">
      <c r="A382" s="94"/>
      <c r="C382" s="44" t="s">
        <v>4472</v>
      </c>
      <c r="D382" s="882"/>
      <c r="E382" s="883"/>
      <c r="F382" s="883"/>
      <c r="G382" s="883"/>
      <c r="H382" s="884"/>
      <c r="I382" s="816"/>
      <c r="J382" s="817"/>
      <c r="K382" s="88"/>
      <c r="L382" s="88"/>
      <c r="M382" s="88"/>
      <c r="N382" s="88"/>
      <c r="O382" s="1038"/>
      <c r="P382" s="1055"/>
      <c r="Q382" s="1038"/>
      <c r="R382" s="1055"/>
      <c r="S382" s="1038"/>
      <c r="T382" s="1055"/>
      <c r="U382" s="1038"/>
      <c r="V382" s="1055"/>
      <c r="W382" s="1038"/>
      <c r="X382" s="1055"/>
      <c r="Y382" s="1038"/>
      <c r="Z382" s="1055"/>
      <c r="AA382" s="816"/>
      <c r="AB382" s="817"/>
      <c r="AC382" s="816"/>
      <c r="AD382" s="817"/>
      <c r="AG382" s="326">
        <f t="shared" si="46"/>
        <v>0</v>
      </c>
      <c r="AH382" s="283">
        <f t="shared" si="47"/>
        <v>0</v>
      </c>
      <c r="AJ382">
        <f t="shared" si="48"/>
        <v>0</v>
      </c>
      <c r="AK382" s="249" t="b">
        <f t="shared" si="49"/>
        <v>0</v>
      </c>
      <c r="AL382" s="249" t="str">
        <f t="shared" si="50"/>
        <v/>
      </c>
      <c r="AM382" s="249" t="b">
        <f t="shared" si="51"/>
        <v>0</v>
      </c>
      <c r="AN382" s="249" t="str">
        <f t="shared" si="52"/>
        <v/>
      </c>
      <c r="AO382" s="249" t="b">
        <f t="shared" si="53"/>
        <v>0</v>
      </c>
      <c r="AQ382">
        <f>IF(I382&lt;=CNSIPEE_2024_M2_Secc1!$C$51,0,IF(I382="NS",0,1))</f>
        <v>0</v>
      </c>
      <c r="AS382">
        <f t="shared" si="54"/>
        <v>0</v>
      </c>
      <c r="AT382">
        <f t="shared" si="55"/>
        <v>0</v>
      </c>
      <c r="AU382" s="253">
        <f t="shared" si="56"/>
        <v>0</v>
      </c>
      <c r="AV382" s="253">
        <f t="shared" si="57"/>
        <v>0</v>
      </c>
      <c r="AW382" s="253">
        <f t="shared" si="58"/>
        <v>0</v>
      </c>
      <c r="AX382" s="253">
        <f t="shared" si="59"/>
        <v>0</v>
      </c>
      <c r="AY382" s="253">
        <f t="shared" si="60"/>
        <v>0</v>
      </c>
      <c r="AZ382" s="253">
        <f t="shared" si="61"/>
        <v>0</v>
      </c>
      <c r="BA382" s="253">
        <f t="shared" si="62"/>
        <v>0</v>
      </c>
      <c r="BB382" s="253">
        <f t="shared" si="63"/>
        <v>0</v>
      </c>
      <c r="BC382" s="253">
        <f t="shared" si="64"/>
        <v>0</v>
      </c>
      <c r="BD382" s="253">
        <f t="shared" si="65"/>
        <v>0</v>
      </c>
      <c r="BE382" s="253">
        <f t="shared" si="66"/>
        <v>0</v>
      </c>
      <c r="BF382" s="253">
        <f t="shared" si="67"/>
        <v>0</v>
      </c>
    </row>
    <row r="383" spans="1:58" ht="15" customHeight="1">
      <c r="A383" s="94"/>
      <c r="C383" s="44" t="s">
        <v>4473</v>
      </c>
      <c r="D383" s="882"/>
      <c r="E383" s="883"/>
      <c r="F383" s="883"/>
      <c r="G383" s="883"/>
      <c r="H383" s="884"/>
      <c r="I383" s="816"/>
      <c r="J383" s="817"/>
      <c r="K383" s="88"/>
      <c r="L383" s="88"/>
      <c r="M383" s="88"/>
      <c r="N383" s="88"/>
      <c r="O383" s="1038"/>
      <c r="P383" s="1055"/>
      <c r="Q383" s="1038"/>
      <c r="R383" s="1055"/>
      <c r="S383" s="1038"/>
      <c r="T383" s="1055"/>
      <c r="U383" s="1038"/>
      <c r="V383" s="1055"/>
      <c r="W383" s="1038"/>
      <c r="X383" s="1055"/>
      <c r="Y383" s="1038"/>
      <c r="Z383" s="1055"/>
      <c r="AA383" s="816"/>
      <c r="AB383" s="817"/>
      <c r="AC383" s="816"/>
      <c r="AD383" s="817"/>
      <c r="AG383" s="326">
        <f t="shared" si="46"/>
        <v>0</v>
      </c>
      <c r="AH383" s="283">
        <f t="shared" si="47"/>
        <v>0</v>
      </c>
      <c r="AJ383">
        <f t="shared" si="48"/>
        <v>0</v>
      </c>
      <c r="AK383" s="249" t="b">
        <f t="shared" si="49"/>
        <v>0</v>
      </c>
      <c r="AL383" s="249" t="str">
        <f t="shared" si="50"/>
        <v/>
      </c>
      <c r="AM383" s="249" t="b">
        <f t="shared" si="51"/>
        <v>0</v>
      </c>
      <c r="AN383" s="249" t="str">
        <f t="shared" si="52"/>
        <v/>
      </c>
      <c r="AO383" s="249" t="b">
        <f t="shared" si="53"/>
        <v>0</v>
      </c>
      <c r="AQ383">
        <f>IF(I383&lt;=CNSIPEE_2024_M2_Secc1!$C$51,0,IF(I383="NS",0,1))</f>
        <v>0</v>
      </c>
      <c r="AS383">
        <f t="shared" si="54"/>
        <v>0</v>
      </c>
      <c r="AT383">
        <f t="shared" si="55"/>
        <v>0</v>
      </c>
      <c r="AU383" s="253">
        <f t="shared" si="56"/>
        <v>0</v>
      </c>
      <c r="AV383" s="253">
        <f t="shared" si="57"/>
        <v>0</v>
      </c>
      <c r="AW383" s="253">
        <f t="shared" si="58"/>
        <v>0</v>
      </c>
      <c r="AX383" s="253">
        <f t="shared" si="59"/>
        <v>0</v>
      </c>
      <c r="AY383" s="253">
        <f t="shared" si="60"/>
        <v>0</v>
      </c>
      <c r="AZ383" s="253">
        <f t="shared" si="61"/>
        <v>0</v>
      </c>
      <c r="BA383" s="253">
        <f t="shared" si="62"/>
        <v>0</v>
      </c>
      <c r="BB383" s="253">
        <f t="shared" si="63"/>
        <v>0</v>
      </c>
      <c r="BC383" s="253">
        <f t="shared" si="64"/>
        <v>0</v>
      </c>
      <c r="BD383" s="253">
        <f t="shared" si="65"/>
        <v>0</v>
      </c>
      <c r="BE383" s="253">
        <f t="shared" si="66"/>
        <v>0</v>
      </c>
      <c r="BF383" s="253">
        <f t="shared" si="67"/>
        <v>0</v>
      </c>
    </row>
    <row r="384" spans="1:58" ht="15" customHeight="1">
      <c r="A384" s="94"/>
      <c r="C384" s="44" t="s">
        <v>4474</v>
      </c>
      <c r="D384" s="882"/>
      <c r="E384" s="883"/>
      <c r="F384" s="883"/>
      <c r="G384" s="883"/>
      <c r="H384" s="884"/>
      <c r="I384" s="816"/>
      <c r="J384" s="817"/>
      <c r="K384" s="88"/>
      <c r="L384" s="88"/>
      <c r="M384" s="88"/>
      <c r="N384" s="88"/>
      <c r="O384" s="1038"/>
      <c r="P384" s="1055"/>
      <c r="Q384" s="1038"/>
      <c r="R384" s="1055"/>
      <c r="S384" s="1038"/>
      <c r="T384" s="1055"/>
      <c r="U384" s="1038"/>
      <c r="V384" s="1055"/>
      <c r="W384" s="1038"/>
      <c r="X384" s="1055"/>
      <c r="Y384" s="1038"/>
      <c r="Z384" s="1055"/>
      <c r="AA384" s="816"/>
      <c r="AB384" s="817"/>
      <c r="AC384" s="816"/>
      <c r="AD384" s="817"/>
      <c r="AG384" s="326">
        <f t="shared" si="46"/>
        <v>0</v>
      </c>
      <c r="AH384" s="283">
        <f t="shared" si="47"/>
        <v>0</v>
      </c>
      <c r="AJ384">
        <f t="shared" si="48"/>
        <v>0</v>
      </c>
      <c r="AK384" s="249" t="b">
        <f t="shared" si="49"/>
        <v>0</v>
      </c>
      <c r="AL384" s="249" t="str">
        <f t="shared" si="50"/>
        <v/>
      </c>
      <c r="AM384" s="249" t="b">
        <f t="shared" si="51"/>
        <v>0</v>
      </c>
      <c r="AN384" s="249" t="str">
        <f t="shared" si="52"/>
        <v/>
      </c>
      <c r="AO384" s="249" t="b">
        <f t="shared" si="53"/>
        <v>0</v>
      </c>
      <c r="AQ384">
        <f>IF(I384&lt;=CNSIPEE_2024_M2_Secc1!$C$51,0,IF(I384="NS",0,1))</f>
        <v>0</v>
      </c>
      <c r="AS384">
        <f t="shared" si="54"/>
        <v>0</v>
      </c>
      <c r="AT384">
        <f t="shared" si="55"/>
        <v>0</v>
      </c>
      <c r="AU384" s="253">
        <f t="shared" si="56"/>
        <v>0</v>
      </c>
      <c r="AV384" s="253">
        <f t="shared" si="57"/>
        <v>0</v>
      </c>
      <c r="AW384" s="253">
        <f t="shared" si="58"/>
        <v>0</v>
      </c>
      <c r="AX384" s="253">
        <f t="shared" si="59"/>
        <v>0</v>
      </c>
      <c r="AY384" s="253">
        <f t="shared" si="60"/>
        <v>0</v>
      </c>
      <c r="AZ384" s="253">
        <f t="shared" si="61"/>
        <v>0</v>
      </c>
      <c r="BA384" s="253">
        <f t="shared" si="62"/>
        <v>0</v>
      </c>
      <c r="BB384" s="253">
        <f t="shared" si="63"/>
        <v>0</v>
      </c>
      <c r="BC384" s="253">
        <f t="shared" si="64"/>
        <v>0</v>
      </c>
      <c r="BD384" s="253">
        <f t="shared" si="65"/>
        <v>0</v>
      </c>
      <c r="BE384" s="253">
        <f t="shared" si="66"/>
        <v>0</v>
      </c>
      <c r="BF384" s="253">
        <f t="shared" si="67"/>
        <v>0</v>
      </c>
    </row>
    <row r="385" spans="1:58" ht="15" customHeight="1">
      <c r="A385" s="94"/>
      <c r="C385" s="44" t="s">
        <v>4475</v>
      </c>
      <c r="D385" s="882"/>
      <c r="E385" s="883"/>
      <c r="F385" s="883"/>
      <c r="G385" s="883"/>
      <c r="H385" s="884"/>
      <c r="I385" s="816"/>
      <c r="J385" s="817"/>
      <c r="K385" s="88"/>
      <c r="L385" s="88"/>
      <c r="M385" s="88"/>
      <c r="N385" s="88"/>
      <c r="O385" s="1038"/>
      <c r="P385" s="1055"/>
      <c r="Q385" s="1038"/>
      <c r="R385" s="1055"/>
      <c r="S385" s="1038"/>
      <c r="T385" s="1055"/>
      <c r="U385" s="1038"/>
      <c r="V385" s="1055"/>
      <c r="W385" s="1038"/>
      <c r="X385" s="1055"/>
      <c r="Y385" s="1038"/>
      <c r="Z385" s="1055"/>
      <c r="AA385" s="816"/>
      <c r="AB385" s="817"/>
      <c r="AC385" s="816"/>
      <c r="AD385" s="817"/>
      <c r="AG385" s="326">
        <f t="shared" si="46"/>
        <v>0</v>
      </c>
      <c r="AH385" s="283">
        <f t="shared" si="47"/>
        <v>0</v>
      </c>
      <c r="AJ385">
        <f t="shared" si="48"/>
        <v>0</v>
      </c>
      <c r="AK385" s="249" t="b">
        <f t="shared" si="49"/>
        <v>0</v>
      </c>
      <c r="AL385" s="249" t="str">
        <f t="shared" si="50"/>
        <v/>
      </c>
      <c r="AM385" s="249" t="b">
        <f t="shared" si="51"/>
        <v>0</v>
      </c>
      <c r="AN385" s="249" t="str">
        <f t="shared" si="52"/>
        <v/>
      </c>
      <c r="AO385" s="249" t="b">
        <f t="shared" si="53"/>
        <v>0</v>
      </c>
      <c r="AQ385">
        <f>IF(I385&lt;=CNSIPEE_2024_M2_Secc1!$C$51,0,IF(I385="NS",0,1))</f>
        <v>0</v>
      </c>
      <c r="AS385">
        <f t="shared" si="54"/>
        <v>0</v>
      </c>
      <c r="AT385">
        <f t="shared" si="55"/>
        <v>0</v>
      </c>
      <c r="AU385" s="253">
        <f t="shared" si="56"/>
        <v>0</v>
      </c>
      <c r="AV385" s="253">
        <f t="shared" si="57"/>
        <v>0</v>
      </c>
      <c r="AW385" s="253">
        <f t="shared" si="58"/>
        <v>0</v>
      </c>
      <c r="AX385" s="253">
        <f t="shared" si="59"/>
        <v>0</v>
      </c>
      <c r="AY385" s="253">
        <f t="shared" si="60"/>
        <v>0</v>
      </c>
      <c r="AZ385" s="253">
        <f t="shared" si="61"/>
        <v>0</v>
      </c>
      <c r="BA385" s="253">
        <f t="shared" si="62"/>
        <v>0</v>
      </c>
      <c r="BB385" s="253">
        <f t="shared" si="63"/>
        <v>0</v>
      </c>
      <c r="BC385" s="253">
        <f t="shared" si="64"/>
        <v>0</v>
      </c>
      <c r="BD385" s="253">
        <f t="shared" si="65"/>
        <v>0</v>
      </c>
      <c r="BE385" s="253">
        <f t="shared" si="66"/>
        <v>0</v>
      </c>
      <c r="BF385" s="253">
        <f t="shared" si="67"/>
        <v>0</v>
      </c>
    </row>
    <row r="386" spans="1:58" ht="15" customHeight="1">
      <c r="A386" s="94"/>
      <c r="C386" s="44" t="s">
        <v>4476</v>
      </c>
      <c r="D386" s="882"/>
      <c r="E386" s="883"/>
      <c r="F386" s="883"/>
      <c r="G386" s="883"/>
      <c r="H386" s="884"/>
      <c r="I386" s="816"/>
      <c r="J386" s="817"/>
      <c r="K386" s="88"/>
      <c r="L386" s="88"/>
      <c r="M386" s="88"/>
      <c r="N386" s="88"/>
      <c r="O386" s="1038"/>
      <c r="P386" s="1055"/>
      <c r="Q386" s="1038"/>
      <c r="R386" s="1055"/>
      <c r="S386" s="1038"/>
      <c r="T386" s="1055"/>
      <c r="U386" s="1038"/>
      <c r="V386" s="1055"/>
      <c r="W386" s="1038"/>
      <c r="X386" s="1055"/>
      <c r="Y386" s="1038"/>
      <c r="Z386" s="1055"/>
      <c r="AA386" s="816"/>
      <c r="AB386" s="817"/>
      <c r="AC386" s="816"/>
      <c r="AD386" s="817"/>
      <c r="AG386" s="326">
        <f t="shared" si="46"/>
        <v>0</v>
      </c>
      <c r="AH386" s="283">
        <f t="shared" si="47"/>
        <v>0</v>
      </c>
      <c r="AJ386">
        <f t="shared" si="48"/>
        <v>0</v>
      </c>
      <c r="AK386" s="249" t="b">
        <f t="shared" si="49"/>
        <v>0</v>
      </c>
      <c r="AL386" s="249" t="str">
        <f t="shared" si="50"/>
        <v/>
      </c>
      <c r="AM386" s="249" t="b">
        <f t="shared" si="51"/>
        <v>0</v>
      </c>
      <c r="AN386" s="249" t="str">
        <f t="shared" si="52"/>
        <v/>
      </c>
      <c r="AO386" s="249" t="b">
        <f t="shared" si="53"/>
        <v>0</v>
      </c>
      <c r="AQ386">
        <f>IF(I386&lt;=CNSIPEE_2024_M2_Secc1!$C$51,0,IF(I386="NS",0,1))</f>
        <v>0</v>
      </c>
      <c r="AS386">
        <f t="shared" si="54"/>
        <v>0</v>
      </c>
      <c r="AT386">
        <f t="shared" si="55"/>
        <v>0</v>
      </c>
      <c r="AU386" s="253">
        <f t="shared" si="56"/>
        <v>0</v>
      </c>
      <c r="AV386" s="253">
        <f t="shared" si="57"/>
        <v>0</v>
      </c>
      <c r="AW386" s="253">
        <f t="shared" si="58"/>
        <v>0</v>
      </c>
      <c r="AX386" s="253">
        <f t="shared" si="59"/>
        <v>0</v>
      </c>
      <c r="AY386" s="253">
        <f t="shared" si="60"/>
        <v>0</v>
      </c>
      <c r="AZ386" s="253">
        <f t="shared" si="61"/>
        <v>0</v>
      </c>
      <c r="BA386" s="253">
        <f t="shared" si="62"/>
        <v>0</v>
      </c>
      <c r="BB386" s="253">
        <f t="shared" si="63"/>
        <v>0</v>
      </c>
      <c r="BC386" s="253">
        <f t="shared" si="64"/>
        <v>0</v>
      </c>
      <c r="BD386" s="253">
        <f t="shared" si="65"/>
        <v>0</v>
      </c>
      <c r="BE386" s="253">
        <f t="shared" si="66"/>
        <v>0</v>
      </c>
      <c r="BF386" s="253">
        <f t="shared" si="67"/>
        <v>0</v>
      </c>
    </row>
    <row r="387" spans="1:58" ht="15" customHeight="1">
      <c r="A387" s="94"/>
      <c r="C387" s="44" t="s">
        <v>4477</v>
      </c>
      <c r="D387" s="882"/>
      <c r="E387" s="883"/>
      <c r="F387" s="883"/>
      <c r="G387" s="883"/>
      <c r="H387" s="884"/>
      <c r="I387" s="816"/>
      <c r="J387" s="817"/>
      <c r="K387" s="88"/>
      <c r="L387" s="88"/>
      <c r="M387" s="88"/>
      <c r="N387" s="88"/>
      <c r="O387" s="1038"/>
      <c r="P387" s="1055"/>
      <c r="Q387" s="1038"/>
      <c r="R387" s="1055"/>
      <c r="S387" s="1038"/>
      <c r="T387" s="1055"/>
      <c r="U387" s="1038"/>
      <c r="V387" s="1055"/>
      <c r="W387" s="1038"/>
      <c r="X387" s="1055"/>
      <c r="Y387" s="1038"/>
      <c r="Z387" s="1055"/>
      <c r="AA387" s="816"/>
      <c r="AB387" s="817"/>
      <c r="AC387" s="816"/>
      <c r="AD387" s="817"/>
      <c r="AG387" s="326">
        <f t="shared" si="46"/>
        <v>0</v>
      </c>
      <c r="AH387" s="283">
        <f t="shared" si="47"/>
        <v>0</v>
      </c>
      <c r="AJ387">
        <f t="shared" si="48"/>
        <v>0</v>
      </c>
      <c r="AK387" s="249" t="b">
        <f t="shared" si="49"/>
        <v>0</v>
      </c>
      <c r="AL387" s="249" t="str">
        <f t="shared" si="50"/>
        <v/>
      </c>
      <c r="AM387" s="249" t="b">
        <f t="shared" si="51"/>
        <v>0</v>
      </c>
      <c r="AN387" s="249" t="str">
        <f t="shared" si="52"/>
        <v/>
      </c>
      <c r="AO387" s="249" t="b">
        <f t="shared" si="53"/>
        <v>0</v>
      </c>
      <c r="AQ387">
        <f>IF(I387&lt;=CNSIPEE_2024_M2_Secc1!$C$51,0,IF(I387="NS",0,1))</f>
        <v>0</v>
      </c>
      <c r="AS387">
        <f t="shared" si="54"/>
        <v>0</v>
      </c>
      <c r="AT387">
        <f t="shared" si="55"/>
        <v>0</v>
      </c>
      <c r="AU387" s="253">
        <f t="shared" si="56"/>
        <v>0</v>
      </c>
      <c r="AV387" s="253">
        <f t="shared" si="57"/>
        <v>0</v>
      </c>
      <c r="AW387" s="253">
        <f t="shared" si="58"/>
        <v>0</v>
      </c>
      <c r="AX387" s="253">
        <f t="shared" si="59"/>
        <v>0</v>
      </c>
      <c r="AY387" s="253">
        <f t="shared" si="60"/>
        <v>0</v>
      </c>
      <c r="AZ387" s="253">
        <f t="shared" si="61"/>
        <v>0</v>
      </c>
      <c r="BA387" s="253">
        <f t="shared" si="62"/>
        <v>0</v>
      </c>
      <c r="BB387" s="253">
        <f t="shared" si="63"/>
        <v>0</v>
      </c>
      <c r="BC387" s="253">
        <f t="shared" si="64"/>
        <v>0</v>
      </c>
      <c r="BD387" s="253">
        <f t="shared" si="65"/>
        <v>0</v>
      </c>
      <c r="BE387" s="253">
        <f t="shared" si="66"/>
        <v>0</v>
      </c>
      <c r="BF387" s="253">
        <f t="shared" si="67"/>
        <v>0</v>
      </c>
    </row>
    <row r="388" spans="1:58" ht="15" customHeight="1">
      <c r="A388" s="94"/>
      <c r="C388" s="44" t="s">
        <v>4478</v>
      </c>
      <c r="D388" s="882"/>
      <c r="E388" s="883"/>
      <c r="F388" s="883"/>
      <c r="G388" s="883"/>
      <c r="H388" s="884"/>
      <c r="I388" s="816"/>
      <c r="J388" s="817"/>
      <c r="K388" s="88"/>
      <c r="L388" s="88"/>
      <c r="M388" s="88"/>
      <c r="N388" s="88"/>
      <c r="O388" s="1038"/>
      <c r="P388" s="1055"/>
      <c r="Q388" s="1038"/>
      <c r="R388" s="1055"/>
      <c r="S388" s="1038"/>
      <c r="T388" s="1055"/>
      <c r="U388" s="1038"/>
      <c r="V388" s="1055"/>
      <c r="W388" s="1038"/>
      <c r="X388" s="1055"/>
      <c r="Y388" s="1038"/>
      <c r="Z388" s="1055"/>
      <c r="AA388" s="816"/>
      <c r="AB388" s="817"/>
      <c r="AC388" s="816"/>
      <c r="AD388" s="817"/>
      <c r="AG388" s="326">
        <f t="shared" si="46"/>
        <v>0</v>
      </c>
      <c r="AH388" s="283">
        <f t="shared" si="47"/>
        <v>0</v>
      </c>
      <c r="AJ388">
        <f t="shared" si="48"/>
        <v>0</v>
      </c>
      <c r="AK388" s="249" t="b">
        <f t="shared" si="49"/>
        <v>0</v>
      </c>
      <c r="AL388" s="249" t="str">
        <f t="shared" si="50"/>
        <v/>
      </c>
      <c r="AM388" s="249" t="b">
        <f t="shared" si="51"/>
        <v>0</v>
      </c>
      <c r="AN388" s="249" t="str">
        <f t="shared" si="52"/>
        <v/>
      </c>
      <c r="AO388" s="249" t="b">
        <f t="shared" si="53"/>
        <v>0</v>
      </c>
      <c r="AQ388">
        <f>IF(I388&lt;=CNSIPEE_2024_M2_Secc1!$C$51,0,IF(I388="NS",0,1))</f>
        <v>0</v>
      </c>
      <c r="AS388">
        <f t="shared" si="54"/>
        <v>0</v>
      </c>
      <c r="AT388">
        <f t="shared" si="55"/>
        <v>0</v>
      </c>
      <c r="AU388" s="253">
        <f t="shared" si="56"/>
        <v>0</v>
      </c>
      <c r="AV388" s="253">
        <f t="shared" si="57"/>
        <v>0</v>
      </c>
      <c r="AW388" s="253">
        <f t="shared" si="58"/>
        <v>0</v>
      </c>
      <c r="AX388" s="253">
        <f t="shared" si="59"/>
        <v>0</v>
      </c>
      <c r="AY388" s="253">
        <f t="shared" si="60"/>
        <v>0</v>
      </c>
      <c r="AZ388" s="253">
        <f t="shared" si="61"/>
        <v>0</v>
      </c>
      <c r="BA388" s="253">
        <f t="shared" si="62"/>
        <v>0</v>
      </c>
      <c r="BB388" s="253">
        <f t="shared" si="63"/>
        <v>0</v>
      </c>
      <c r="BC388" s="253">
        <f t="shared" si="64"/>
        <v>0</v>
      </c>
      <c r="BD388" s="253">
        <f t="shared" si="65"/>
        <v>0</v>
      </c>
      <c r="BE388" s="253">
        <f t="shared" si="66"/>
        <v>0</v>
      </c>
      <c r="BF388" s="253">
        <f t="shared" si="67"/>
        <v>0</v>
      </c>
    </row>
    <row r="389" spans="1:58" ht="15" customHeight="1">
      <c r="A389" s="94"/>
      <c r="C389" s="44" t="s">
        <v>4479</v>
      </c>
      <c r="D389" s="882"/>
      <c r="E389" s="883"/>
      <c r="F389" s="883"/>
      <c r="G389" s="883"/>
      <c r="H389" s="884"/>
      <c r="I389" s="816"/>
      <c r="J389" s="817"/>
      <c r="K389" s="88"/>
      <c r="L389" s="88"/>
      <c r="M389" s="88"/>
      <c r="N389" s="88"/>
      <c r="O389" s="1038"/>
      <c r="P389" s="1055"/>
      <c r="Q389" s="1038"/>
      <c r="R389" s="1055"/>
      <c r="S389" s="1038"/>
      <c r="T389" s="1055"/>
      <c r="U389" s="1038"/>
      <c r="V389" s="1055"/>
      <c r="W389" s="1038"/>
      <c r="X389" s="1055"/>
      <c r="Y389" s="1038"/>
      <c r="Z389" s="1055"/>
      <c r="AA389" s="816"/>
      <c r="AB389" s="817"/>
      <c r="AC389" s="816"/>
      <c r="AD389" s="817"/>
      <c r="AG389" s="326">
        <f t="shared" ref="AG389:AG423" si="68">IF(AND($C$300&lt;&gt;"",$C$300&lt;&gt;1,COUNTA(D389:AD389)=0),0,IF(AND($C$300&lt;&gt;"",$C$300=1,COUNTBLANK(D389)=0,COUNTA(I389)=1,COUNTA(K389)&gt;0,COUNTA(O389:T389)=3,COUNTA(U389:Z389)=0,AA389="X",COUNTA(AC389)=1),0,IF(AND($C$300&lt;&gt;"",$C$300=1,COUNTBLANK(D389)=0,COUNTA(I389)=1,COUNTA(K389)&gt;0,COUNTA(O389:T389)=3,COUNTA(U389:Z389)=3,AA389="",COUNTA(AC389)=1),0,IF(AND(COUNTBLANK(D389)=1,COUNTA(I389:AD389)=0),0,1))))</f>
        <v>0</v>
      </c>
      <c r="AH389" s="283">
        <f t="shared" ref="AH389:AH423" si="69">COUNTIF(O389:AD389,"NS")</f>
        <v>0</v>
      </c>
      <c r="AJ389">
        <f t="shared" ref="AJ389:AJ423" si="70">IF(AND(K389="",COUNTA(L389:N389)&gt;0),1,IF(AND(K389&lt;&gt;"",L389="",COUNTA(M389:N389)&gt;0),1,IF(AND(K389&lt;&gt;"",L389&lt;&gt;"",M389="",COUNTA(N389)&gt;0),1,0)))</f>
        <v>0</v>
      </c>
      <c r="AK389" s="249" t="b">
        <f t="shared" ref="AK389:AK423" si="71">NOT(EXACT($D389,UPPER($D389)))</f>
        <v>0</v>
      </c>
      <c r="AL389" s="249" t="str">
        <f t="shared" ref="AL389:AL423" si="72">SUBSTITUTE( SUBSTITUTE( SUBSTITUTE( SUBSTITUTE( SUBSTITUTE( SUBSTITUTE( SUBSTITUTE( SUBSTITUTE( SUBSTITUTE( SUBSTITUTE($D389, "á", "a"), "é", "e"), "í", "i"), "ó", "o"), "ú", "u"), "Á", "A"), "É", "E"), "Í", "I"), "Ó", "O"), "Ú", "U")</f>
        <v/>
      </c>
      <c r="AM389" s="249" t="b">
        <f t="shared" ref="AM389:AM423" si="73">NOT(EXACT($D389,AL389))</f>
        <v>0</v>
      </c>
      <c r="AN389" s="249" t="str">
        <f t="shared" ref="AN389:AN423" si="74">SUBSTITUTE((SUBSTITUTE(SUBSTITUTE(SUBSTITUTE($D389,".",""),",",""),"(","")),")","")</f>
        <v/>
      </c>
      <c r="AO389" s="249" t="b">
        <f t="shared" ref="AO389:AO423" si="75">NOT(EXACT($D389,AN389))</f>
        <v>0</v>
      </c>
      <c r="AQ389">
        <f>IF(I389&lt;=CNSIPEE_2024_M2_Secc1!$C$51,0,IF(I389="NS",0,1))</f>
        <v>0</v>
      </c>
      <c r="AS389">
        <f t="shared" ref="AS389:AS423" si="76">IF(AND($AA389="X",COUNTA(U389:Z389)&gt;0),1,0)</f>
        <v>0</v>
      </c>
      <c r="AT389">
        <f t="shared" ref="AT389:AT422" si="77">IF(AND(AA389="X",Y389="",S389&lt;&gt;""),0,IF(Y389&lt;S389,1,0))</f>
        <v>0</v>
      </c>
      <c r="AU389" s="253">
        <f t="shared" ref="AU389:AU423" si="78">LEN(O389)</f>
        <v>0</v>
      </c>
      <c r="AV389" s="253">
        <f t="shared" ref="AV389:AV422" si="79">IF(O389="NS",0,IF(AND(O389&lt;&gt;"",SUM(AU389)=2),0,IF(O389="",0,1)))</f>
        <v>0</v>
      </c>
      <c r="AW389" s="253">
        <f t="shared" ref="AW389:AW423" si="80">LEN(Q389)</f>
        <v>0</v>
      </c>
      <c r="AX389" s="253">
        <f t="shared" ref="AX389:AX423" si="81">IF(Q389="NS",0,IF(AND(Q389&lt;&gt;"",SUM(AW389)=2),0,IF(Q389="",0,1)))</f>
        <v>0</v>
      </c>
      <c r="AY389" s="253">
        <f t="shared" ref="AY389:AY423" si="82">LEN(S389)</f>
        <v>0</v>
      </c>
      <c r="AZ389" s="253">
        <f t="shared" ref="AZ389:AZ423" si="83">IF(S389="NS",0,IF(AND(S389&lt;&gt;"",SUM(AY389)=4),0,IF(S389="",0,1)))</f>
        <v>0</v>
      </c>
      <c r="BA389" s="253">
        <f t="shared" ref="BA389:BA423" si="84">LEN(U389)</f>
        <v>0</v>
      </c>
      <c r="BB389" s="253">
        <f t="shared" ref="BB389:BB423" si="85">IF(U389="NS",0,IF(AND(U389&lt;&gt;"",SUM(BA389)=2),0,IF(U389="",0,1)))</f>
        <v>0</v>
      </c>
      <c r="BC389" s="253">
        <f t="shared" ref="BC389:BC423" si="86">LEN(W389)</f>
        <v>0</v>
      </c>
      <c r="BD389" s="253">
        <f t="shared" ref="BD389:BD423" si="87">IF(W389="NS",0,IF(AND(W389&lt;&gt;"",SUM(BC389)=2),0,IF(W389="",0,1)))</f>
        <v>0</v>
      </c>
      <c r="BE389" s="253">
        <f t="shared" ref="BE389:BE423" si="88">LEN(Y389)</f>
        <v>0</v>
      </c>
      <c r="BF389" s="253">
        <f t="shared" ref="BF389:BF423" si="89">IF(Y389="NS",0,IF(AND(Y389&lt;&gt;"",SUM(BE389)=4),0,IF(Y389="",0,1)))</f>
        <v>0</v>
      </c>
    </row>
    <row r="390" spans="1:58" ht="15" customHeight="1">
      <c r="A390" s="94"/>
      <c r="C390" s="44" t="s">
        <v>4480</v>
      </c>
      <c r="D390" s="882"/>
      <c r="E390" s="883"/>
      <c r="F390" s="883"/>
      <c r="G390" s="883"/>
      <c r="H390" s="884"/>
      <c r="I390" s="816"/>
      <c r="J390" s="817"/>
      <c r="K390" s="88"/>
      <c r="L390" s="88"/>
      <c r="M390" s="88"/>
      <c r="N390" s="88"/>
      <c r="O390" s="1038"/>
      <c r="P390" s="1055"/>
      <c r="Q390" s="1038"/>
      <c r="R390" s="1055"/>
      <c r="S390" s="1038"/>
      <c r="T390" s="1055"/>
      <c r="U390" s="1038"/>
      <c r="V390" s="1055"/>
      <c r="W390" s="1038"/>
      <c r="X390" s="1055"/>
      <c r="Y390" s="1038"/>
      <c r="Z390" s="1055"/>
      <c r="AA390" s="816"/>
      <c r="AB390" s="817"/>
      <c r="AC390" s="816"/>
      <c r="AD390" s="817"/>
      <c r="AG390" s="326">
        <f t="shared" si="68"/>
        <v>0</v>
      </c>
      <c r="AH390" s="283">
        <f t="shared" si="69"/>
        <v>0</v>
      </c>
      <c r="AJ390">
        <f t="shared" si="70"/>
        <v>0</v>
      </c>
      <c r="AK390" s="249" t="b">
        <f t="shared" si="71"/>
        <v>0</v>
      </c>
      <c r="AL390" s="249" t="str">
        <f t="shared" si="72"/>
        <v/>
      </c>
      <c r="AM390" s="249" t="b">
        <f t="shared" si="73"/>
        <v>0</v>
      </c>
      <c r="AN390" s="249" t="str">
        <f t="shared" si="74"/>
        <v/>
      </c>
      <c r="AO390" s="249" t="b">
        <f t="shared" si="75"/>
        <v>0</v>
      </c>
      <c r="AQ390">
        <f>IF(I390&lt;=CNSIPEE_2024_M2_Secc1!$C$51,0,IF(I390="NS",0,1))</f>
        <v>0</v>
      </c>
      <c r="AS390">
        <f t="shared" si="76"/>
        <v>0</v>
      </c>
      <c r="AT390">
        <f t="shared" si="77"/>
        <v>0</v>
      </c>
      <c r="AU390" s="253">
        <f t="shared" si="78"/>
        <v>0</v>
      </c>
      <c r="AV390" s="253">
        <f t="shared" si="79"/>
        <v>0</v>
      </c>
      <c r="AW390" s="253">
        <f t="shared" si="80"/>
        <v>0</v>
      </c>
      <c r="AX390" s="253">
        <f t="shared" si="81"/>
        <v>0</v>
      </c>
      <c r="AY390" s="253">
        <f t="shared" si="82"/>
        <v>0</v>
      </c>
      <c r="AZ390" s="253">
        <f t="shared" si="83"/>
        <v>0</v>
      </c>
      <c r="BA390" s="253">
        <f t="shared" si="84"/>
        <v>0</v>
      </c>
      <c r="BB390" s="253">
        <f t="shared" si="85"/>
        <v>0</v>
      </c>
      <c r="BC390" s="253">
        <f t="shared" si="86"/>
        <v>0</v>
      </c>
      <c r="BD390" s="253">
        <f t="shared" si="87"/>
        <v>0</v>
      </c>
      <c r="BE390" s="253">
        <f t="shared" si="88"/>
        <v>0</v>
      </c>
      <c r="BF390" s="253">
        <f t="shared" si="89"/>
        <v>0</v>
      </c>
    </row>
    <row r="391" spans="1:58" ht="15" customHeight="1">
      <c r="A391" s="94"/>
      <c r="C391" s="44" t="s">
        <v>4481</v>
      </c>
      <c r="D391" s="882"/>
      <c r="E391" s="883"/>
      <c r="F391" s="883"/>
      <c r="G391" s="883"/>
      <c r="H391" s="884"/>
      <c r="I391" s="816"/>
      <c r="J391" s="817"/>
      <c r="K391" s="88"/>
      <c r="L391" s="88"/>
      <c r="M391" s="88"/>
      <c r="N391" s="88"/>
      <c r="O391" s="1038"/>
      <c r="P391" s="1055"/>
      <c r="Q391" s="1038"/>
      <c r="R391" s="1055"/>
      <c r="S391" s="1038"/>
      <c r="T391" s="1055"/>
      <c r="U391" s="1038"/>
      <c r="V391" s="1055"/>
      <c r="W391" s="1038"/>
      <c r="X391" s="1055"/>
      <c r="Y391" s="1038"/>
      <c r="Z391" s="1055"/>
      <c r="AA391" s="816"/>
      <c r="AB391" s="817"/>
      <c r="AC391" s="816"/>
      <c r="AD391" s="817"/>
      <c r="AG391" s="326">
        <f t="shared" si="68"/>
        <v>0</v>
      </c>
      <c r="AH391" s="283">
        <f t="shared" si="69"/>
        <v>0</v>
      </c>
      <c r="AJ391">
        <f t="shared" si="70"/>
        <v>0</v>
      </c>
      <c r="AK391" s="249" t="b">
        <f t="shared" si="71"/>
        <v>0</v>
      </c>
      <c r="AL391" s="249" t="str">
        <f t="shared" si="72"/>
        <v/>
      </c>
      <c r="AM391" s="249" t="b">
        <f t="shared" si="73"/>
        <v>0</v>
      </c>
      <c r="AN391" s="249" t="str">
        <f t="shared" si="74"/>
        <v/>
      </c>
      <c r="AO391" s="249" t="b">
        <f t="shared" si="75"/>
        <v>0</v>
      </c>
      <c r="AQ391">
        <f>IF(I391&lt;=CNSIPEE_2024_M2_Secc1!$C$51,0,IF(I391="NS",0,1))</f>
        <v>0</v>
      </c>
      <c r="AS391">
        <f t="shared" si="76"/>
        <v>0</v>
      </c>
      <c r="AT391">
        <f t="shared" si="77"/>
        <v>0</v>
      </c>
      <c r="AU391" s="253">
        <f t="shared" si="78"/>
        <v>0</v>
      </c>
      <c r="AV391" s="253">
        <f t="shared" si="79"/>
        <v>0</v>
      </c>
      <c r="AW391" s="253">
        <f t="shared" si="80"/>
        <v>0</v>
      </c>
      <c r="AX391" s="253">
        <f t="shared" si="81"/>
        <v>0</v>
      </c>
      <c r="AY391" s="253">
        <f t="shared" si="82"/>
        <v>0</v>
      </c>
      <c r="AZ391" s="253">
        <f t="shared" si="83"/>
        <v>0</v>
      </c>
      <c r="BA391" s="253">
        <f t="shared" si="84"/>
        <v>0</v>
      </c>
      <c r="BB391" s="253">
        <f t="shared" si="85"/>
        <v>0</v>
      </c>
      <c r="BC391" s="253">
        <f t="shared" si="86"/>
        <v>0</v>
      </c>
      <c r="BD391" s="253">
        <f t="shared" si="87"/>
        <v>0</v>
      </c>
      <c r="BE391" s="253">
        <f t="shared" si="88"/>
        <v>0</v>
      </c>
      <c r="BF391" s="253">
        <f t="shared" si="89"/>
        <v>0</v>
      </c>
    </row>
    <row r="392" spans="1:58" ht="15" customHeight="1">
      <c r="A392" s="94"/>
      <c r="C392" s="44" t="s">
        <v>4482</v>
      </c>
      <c r="D392" s="882"/>
      <c r="E392" s="883"/>
      <c r="F392" s="883"/>
      <c r="G392" s="883"/>
      <c r="H392" s="884"/>
      <c r="I392" s="816"/>
      <c r="J392" s="817"/>
      <c r="K392" s="88"/>
      <c r="L392" s="88"/>
      <c r="M392" s="88"/>
      <c r="N392" s="88"/>
      <c r="O392" s="1038"/>
      <c r="P392" s="1055"/>
      <c r="Q392" s="1038"/>
      <c r="R392" s="1055"/>
      <c r="S392" s="1038"/>
      <c r="T392" s="1055"/>
      <c r="U392" s="1038"/>
      <c r="V392" s="1055"/>
      <c r="W392" s="1038"/>
      <c r="X392" s="1055"/>
      <c r="Y392" s="1038"/>
      <c r="Z392" s="1055"/>
      <c r="AA392" s="816"/>
      <c r="AB392" s="817"/>
      <c r="AC392" s="816"/>
      <c r="AD392" s="817"/>
      <c r="AG392" s="326">
        <f t="shared" si="68"/>
        <v>0</v>
      </c>
      <c r="AH392" s="283">
        <f t="shared" si="69"/>
        <v>0</v>
      </c>
      <c r="AJ392">
        <f t="shared" si="70"/>
        <v>0</v>
      </c>
      <c r="AK392" s="249" t="b">
        <f t="shared" si="71"/>
        <v>0</v>
      </c>
      <c r="AL392" s="249" t="str">
        <f t="shared" si="72"/>
        <v/>
      </c>
      <c r="AM392" s="249" t="b">
        <f t="shared" si="73"/>
        <v>0</v>
      </c>
      <c r="AN392" s="249" t="str">
        <f t="shared" si="74"/>
        <v/>
      </c>
      <c r="AO392" s="249" t="b">
        <f t="shared" si="75"/>
        <v>0</v>
      </c>
      <c r="AQ392">
        <f>IF(I392&lt;=CNSIPEE_2024_M2_Secc1!$C$51,0,IF(I392="NS",0,1))</f>
        <v>0</v>
      </c>
      <c r="AS392">
        <f t="shared" si="76"/>
        <v>0</v>
      </c>
      <c r="AT392">
        <f t="shared" si="77"/>
        <v>0</v>
      </c>
      <c r="AU392" s="253">
        <f t="shared" si="78"/>
        <v>0</v>
      </c>
      <c r="AV392" s="253">
        <f t="shared" si="79"/>
        <v>0</v>
      </c>
      <c r="AW392" s="253">
        <f t="shared" si="80"/>
        <v>0</v>
      </c>
      <c r="AX392" s="253">
        <f t="shared" si="81"/>
        <v>0</v>
      </c>
      <c r="AY392" s="253">
        <f t="shared" si="82"/>
        <v>0</v>
      </c>
      <c r="AZ392" s="253">
        <f t="shared" si="83"/>
        <v>0</v>
      </c>
      <c r="BA392" s="253">
        <f t="shared" si="84"/>
        <v>0</v>
      </c>
      <c r="BB392" s="253">
        <f t="shared" si="85"/>
        <v>0</v>
      </c>
      <c r="BC392" s="253">
        <f t="shared" si="86"/>
        <v>0</v>
      </c>
      <c r="BD392" s="253">
        <f t="shared" si="87"/>
        <v>0</v>
      </c>
      <c r="BE392" s="253">
        <f t="shared" si="88"/>
        <v>0</v>
      </c>
      <c r="BF392" s="253">
        <f t="shared" si="89"/>
        <v>0</v>
      </c>
    </row>
    <row r="393" spans="1:58" ht="15" customHeight="1">
      <c r="A393" s="94"/>
      <c r="C393" s="44" t="s">
        <v>4483</v>
      </c>
      <c r="D393" s="882"/>
      <c r="E393" s="883"/>
      <c r="F393" s="883"/>
      <c r="G393" s="883"/>
      <c r="H393" s="884"/>
      <c r="I393" s="816"/>
      <c r="J393" s="817"/>
      <c r="K393" s="88"/>
      <c r="L393" s="88"/>
      <c r="M393" s="88"/>
      <c r="N393" s="88"/>
      <c r="O393" s="1038"/>
      <c r="P393" s="1055"/>
      <c r="Q393" s="1038"/>
      <c r="R393" s="1055"/>
      <c r="S393" s="1038"/>
      <c r="T393" s="1055"/>
      <c r="U393" s="1038"/>
      <c r="V393" s="1055"/>
      <c r="W393" s="1038"/>
      <c r="X393" s="1055"/>
      <c r="Y393" s="1038"/>
      <c r="Z393" s="1055"/>
      <c r="AA393" s="816"/>
      <c r="AB393" s="817"/>
      <c r="AC393" s="816"/>
      <c r="AD393" s="817"/>
      <c r="AG393" s="326">
        <f t="shared" si="68"/>
        <v>0</v>
      </c>
      <c r="AH393" s="283">
        <f t="shared" si="69"/>
        <v>0</v>
      </c>
      <c r="AJ393">
        <f t="shared" si="70"/>
        <v>0</v>
      </c>
      <c r="AK393" s="249" t="b">
        <f t="shared" si="71"/>
        <v>0</v>
      </c>
      <c r="AL393" s="249" t="str">
        <f t="shared" si="72"/>
        <v/>
      </c>
      <c r="AM393" s="249" t="b">
        <f t="shared" si="73"/>
        <v>0</v>
      </c>
      <c r="AN393" s="249" t="str">
        <f t="shared" si="74"/>
        <v/>
      </c>
      <c r="AO393" s="249" t="b">
        <f t="shared" si="75"/>
        <v>0</v>
      </c>
      <c r="AQ393">
        <f>IF(I393&lt;=CNSIPEE_2024_M2_Secc1!$C$51,0,IF(I393="NS",0,1))</f>
        <v>0</v>
      </c>
      <c r="AS393">
        <f t="shared" si="76"/>
        <v>0</v>
      </c>
      <c r="AT393">
        <f t="shared" si="77"/>
        <v>0</v>
      </c>
      <c r="AU393" s="253">
        <f t="shared" si="78"/>
        <v>0</v>
      </c>
      <c r="AV393" s="253">
        <f t="shared" si="79"/>
        <v>0</v>
      </c>
      <c r="AW393" s="253">
        <f t="shared" si="80"/>
        <v>0</v>
      </c>
      <c r="AX393" s="253">
        <f t="shared" si="81"/>
        <v>0</v>
      </c>
      <c r="AY393" s="253">
        <f t="shared" si="82"/>
        <v>0</v>
      </c>
      <c r="AZ393" s="253">
        <f t="shared" si="83"/>
        <v>0</v>
      </c>
      <c r="BA393" s="253">
        <f t="shared" si="84"/>
        <v>0</v>
      </c>
      <c r="BB393" s="253">
        <f t="shared" si="85"/>
        <v>0</v>
      </c>
      <c r="BC393" s="253">
        <f t="shared" si="86"/>
        <v>0</v>
      </c>
      <c r="BD393" s="253">
        <f t="shared" si="87"/>
        <v>0</v>
      </c>
      <c r="BE393" s="253">
        <f t="shared" si="88"/>
        <v>0</v>
      </c>
      <c r="BF393" s="253">
        <f t="shared" si="89"/>
        <v>0</v>
      </c>
    </row>
    <row r="394" spans="1:58" ht="15" customHeight="1">
      <c r="A394" s="94"/>
      <c r="C394" s="44" t="s">
        <v>4484</v>
      </c>
      <c r="D394" s="882"/>
      <c r="E394" s="883"/>
      <c r="F394" s="883"/>
      <c r="G394" s="883"/>
      <c r="H394" s="884"/>
      <c r="I394" s="816"/>
      <c r="J394" s="817"/>
      <c r="K394" s="88"/>
      <c r="L394" s="88"/>
      <c r="M394" s="88"/>
      <c r="N394" s="88"/>
      <c r="O394" s="1038"/>
      <c r="P394" s="1055"/>
      <c r="Q394" s="1038"/>
      <c r="R394" s="1055"/>
      <c r="S394" s="1038"/>
      <c r="T394" s="1055"/>
      <c r="U394" s="1038"/>
      <c r="V394" s="1055"/>
      <c r="W394" s="1038"/>
      <c r="X394" s="1055"/>
      <c r="Y394" s="1038"/>
      <c r="Z394" s="1055"/>
      <c r="AA394" s="816"/>
      <c r="AB394" s="817"/>
      <c r="AC394" s="816"/>
      <c r="AD394" s="817"/>
      <c r="AG394" s="326">
        <f t="shared" si="68"/>
        <v>0</v>
      </c>
      <c r="AH394" s="283">
        <f t="shared" si="69"/>
        <v>0</v>
      </c>
      <c r="AJ394">
        <f t="shared" si="70"/>
        <v>0</v>
      </c>
      <c r="AK394" s="249" t="b">
        <f t="shared" si="71"/>
        <v>0</v>
      </c>
      <c r="AL394" s="249" t="str">
        <f t="shared" si="72"/>
        <v/>
      </c>
      <c r="AM394" s="249" t="b">
        <f t="shared" si="73"/>
        <v>0</v>
      </c>
      <c r="AN394" s="249" t="str">
        <f t="shared" si="74"/>
        <v/>
      </c>
      <c r="AO394" s="249" t="b">
        <f t="shared" si="75"/>
        <v>0</v>
      </c>
      <c r="AQ394">
        <f>IF(I394&lt;=CNSIPEE_2024_M2_Secc1!$C$51,0,IF(I394="NS",0,1))</f>
        <v>0</v>
      </c>
      <c r="AS394">
        <f t="shared" si="76"/>
        <v>0</v>
      </c>
      <c r="AT394">
        <f t="shared" si="77"/>
        <v>0</v>
      </c>
      <c r="AU394" s="253">
        <f t="shared" si="78"/>
        <v>0</v>
      </c>
      <c r="AV394" s="253">
        <f t="shared" si="79"/>
        <v>0</v>
      </c>
      <c r="AW394" s="253">
        <f t="shared" si="80"/>
        <v>0</v>
      </c>
      <c r="AX394" s="253">
        <f t="shared" si="81"/>
        <v>0</v>
      </c>
      <c r="AY394" s="253">
        <f t="shared" si="82"/>
        <v>0</v>
      </c>
      <c r="AZ394" s="253">
        <f t="shared" si="83"/>
        <v>0</v>
      </c>
      <c r="BA394" s="253">
        <f t="shared" si="84"/>
        <v>0</v>
      </c>
      <c r="BB394" s="253">
        <f t="shared" si="85"/>
        <v>0</v>
      </c>
      <c r="BC394" s="253">
        <f t="shared" si="86"/>
        <v>0</v>
      </c>
      <c r="BD394" s="253">
        <f t="shared" si="87"/>
        <v>0</v>
      </c>
      <c r="BE394" s="253">
        <f t="shared" si="88"/>
        <v>0</v>
      </c>
      <c r="BF394" s="253">
        <f t="shared" si="89"/>
        <v>0</v>
      </c>
    </row>
    <row r="395" spans="1:58" ht="15" customHeight="1">
      <c r="A395" s="94"/>
      <c r="C395" s="44" t="s">
        <v>4485</v>
      </c>
      <c r="D395" s="882"/>
      <c r="E395" s="883"/>
      <c r="F395" s="883"/>
      <c r="G395" s="883"/>
      <c r="H395" s="884"/>
      <c r="I395" s="816"/>
      <c r="J395" s="817"/>
      <c r="K395" s="88"/>
      <c r="L395" s="88"/>
      <c r="M395" s="88"/>
      <c r="N395" s="88"/>
      <c r="O395" s="1038"/>
      <c r="P395" s="1055"/>
      <c r="Q395" s="1038"/>
      <c r="R395" s="1055"/>
      <c r="S395" s="1038"/>
      <c r="T395" s="1055"/>
      <c r="U395" s="1038"/>
      <c r="V395" s="1055"/>
      <c r="W395" s="1038"/>
      <c r="X395" s="1055"/>
      <c r="Y395" s="1038"/>
      <c r="Z395" s="1055"/>
      <c r="AA395" s="816"/>
      <c r="AB395" s="817"/>
      <c r="AC395" s="816"/>
      <c r="AD395" s="817"/>
      <c r="AG395" s="326">
        <f t="shared" si="68"/>
        <v>0</v>
      </c>
      <c r="AH395" s="283">
        <f t="shared" si="69"/>
        <v>0</v>
      </c>
      <c r="AJ395">
        <f t="shared" si="70"/>
        <v>0</v>
      </c>
      <c r="AK395" s="249" t="b">
        <f t="shared" si="71"/>
        <v>0</v>
      </c>
      <c r="AL395" s="249" t="str">
        <f t="shared" si="72"/>
        <v/>
      </c>
      <c r="AM395" s="249" t="b">
        <f t="shared" si="73"/>
        <v>0</v>
      </c>
      <c r="AN395" s="249" t="str">
        <f t="shared" si="74"/>
        <v/>
      </c>
      <c r="AO395" s="249" t="b">
        <f t="shared" si="75"/>
        <v>0</v>
      </c>
      <c r="AQ395">
        <f>IF(I395&lt;=CNSIPEE_2024_M2_Secc1!$C$51,0,IF(I395="NS",0,1))</f>
        <v>0</v>
      </c>
      <c r="AS395">
        <f t="shared" si="76"/>
        <v>0</v>
      </c>
      <c r="AT395">
        <f t="shared" si="77"/>
        <v>0</v>
      </c>
      <c r="AU395" s="253">
        <f t="shared" si="78"/>
        <v>0</v>
      </c>
      <c r="AV395" s="253">
        <f t="shared" si="79"/>
        <v>0</v>
      </c>
      <c r="AW395" s="253">
        <f t="shared" si="80"/>
        <v>0</v>
      </c>
      <c r="AX395" s="253">
        <f t="shared" si="81"/>
        <v>0</v>
      </c>
      <c r="AY395" s="253">
        <f t="shared" si="82"/>
        <v>0</v>
      </c>
      <c r="AZ395" s="253">
        <f t="shared" si="83"/>
        <v>0</v>
      </c>
      <c r="BA395" s="253">
        <f t="shared" si="84"/>
        <v>0</v>
      </c>
      <c r="BB395" s="253">
        <f t="shared" si="85"/>
        <v>0</v>
      </c>
      <c r="BC395" s="253">
        <f t="shared" si="86"/>
        <v>0</v>
      </c>
      <c r="BD395" s="253">
        <f t="shared" si="87"/>
        <v>0</v>
      </c>
      <c r="BE395" s="253">
        <f t="shared" si="88"/>
        <v>0</v>
      </c>
      <c r="BF395" s="253">
        <f t="shared" si="89"/>
        <v>0</v>
      </c>
    </row>
    <row r="396" spans="1:58" ht="15" customHeight="1">
      <c r="A396" s="94"/>
      <c r="C396" s="44" t="s">
        <v>4486</v>
      </c>
      <c r="D396" s="882"/>
      <c r="E396" s="883"/>
      <c r="F396" s="883"/>
      <c r="G396" s="883"/>
      <c r="H396" s="884"/>
      <c r="I396" s="816"/>
      <c r="J396" s="817"/>
      <c r="K396" s="88"/>
      <c r="L396" s="88"/>
      <c r="M396" s="88"/>
      <c r="N396" s="88"/>
      <c r="O396" s="1038"/>
      <c r="P396" s="1055"/>
      <c r="Q396" s="1038"/>
      <c r="R396" s="1055"/>
      <c r="S396" s="1038"/>
      <c r="T396" s="1055"/>
      <c r="U396" s="1038"/>
      <c r="V396" s="1055"/>
      <c r="W396" s="1038"/>
      <c r="X396" s="1055"/>
      <c r="Y396" s="1038"/>
      <c r="Z396" s="1055"/>
      <c r="AA396" s="816"/>
      <c r="AB396" s="817"/>
      <c r="AC396" s="816"/>
      <c r="AD396" s="817"/>
      <c r="AG396" s="326">
        <f t="shared" si="68"/>
        <v>0</v>
      </c>
      <c r="AH396" s="283">
        <f t="shared" si="69"/>
        <v>0</v>
      </c>
      <c r="AJ396">
        <f t="shared" si="70"/>
        <v>0</v>
      </c>
      <c r="AK396" s="249" t="b">
        <f t="shared" si="71"/>
        <v>0</v>
      </c>
      <c r="AL396" s="249" t="str">
        <f t="shared" si="72"/>
        <v/>
      </c>
      <c r="AM396" s="249" t="b">
        <f t="shared" si="73"/>
        <v>0</v>
      </c>
      <c r="AN396" s="249" t="str">
        <f t="shared" si="74"/>
        <v/>
      </c>
      <c r="AO396" s="249" t="b">
        <f t="shared" si="75"/>
        <v>0</v>
      </c>
      <c r="AQ396">
        <f>IF(I396&lt;=CNSIPEE_2024_M2_Secc1!$C$51,0,IF(I396="NS",0,1))</f>
        <v>0</v>
      </c>
      <c r="AS396">
        <f t="shared" si="76"/>
        <v>0</v>
      </c>
      <c r="AT396">
        <f t="shared" si="77"/>
        <v>0</v>
      </c>
      <c r="AU396" s="253">
        <f t="shared" si="78"/>
        <v>0</v>
      </c>
      <c r="AV396" s="253">
        <f t="shared" si="79"/>
        <v>0</v>
      </c>
      <c r="AW396" s="253">
        <f t="shared" si="80"/>
        <v>0</v>
      </c>
      <c r="AX396" s="253">
        <f t="shared" si="81"/>
        <v>0</v>
      </c>
      <c r="AY396" s="253">
        <f t="shared" si="82"/>
        <v>0</v>
      </c>
      <c r="AZ396" s="253">
        <f t="shared" si="83"/>
        <v>0</v>
      </c>
      <c r="BA396" s="253">
        <f t="shared" si="84"/>
        <v>0</v>
      </c>
      <c r="BB396" s="253">
        <f t="shared" si="85"/>
        <v>0</v>
      </c>
      <c r="BC396" s="253">
        <f t="shared" si="86"/>
        <v>0</v>
      </c>
      <c r="BD396" s="253">
        <f t="shared" si="87"/>
        <v>0</v>
      </c>
      <c r="BE396" s="253">
        <f t="shared" si="88"/>
        <v>0</v>
      </c>
      <c r="BF396" s="253">
        <f t="shared" si="89"/>
        <v>0</v>
      </c>
    </row>
    <row r="397" spans="1:58" ht="15" customHeight="1">
      <c r="A397" s="94"/>
      <c r="C397" s="44" t="s">
        <v>4487</v>
      </c>
      <c r="D397" s="882"/>
      <c r="E397" s="883"/>
      <c r="F397" s="883"/>
      <c r="G397" s="883"/>
      <c r="H397" s="884"/>
      <c r="I397" s="816"/>
      <c r="J397" s="817"/>
      <c r="K397" s="88"/>
      <c r="L397" s="88"/>
      <c r="M397" s="88"/>
      <c r="N397" s="88"/>
      <c r="O397" s="1038"/>
      <c r="P397" s="1055"/>
      <c r="Q397" s="1038"/>
      <c r="R397" s="1055"/>
      <c r="S397" s="1038"/>
      <c r="T397" s="1055"/>
      <c r="U397" s="1038"/>
      <c r="V397" s="1055"/>
      <c r="W397" s="1038"/>
      <c r="X397" s="1055"/>
      <c r="Y397" s="1038"/>
      <c r="Z397" s="1055"/>
      <c r="AA397" s="816"/>
      <c r="AB397" s="817"/>
      <c r="AC397" s="816"/>
      <c r="AD397" s="817"/>
      <c r="AG397" s="326">
        <f t="shared" si="68"/>
        <v>0</v>
      </c>
      <c r="AH397" s="283">
        <f t="shared" si="69"/>
        <v>0</v>
      </c>
      <c r="AJ397">
        <f t="shared" si="70"/>
        <v>0</v>
      </c>
      <c r="AK397" s="249" t="b">
        <f t="shared" si="71"/>
        <v>0</v>
      </c>
      <c r="AL397" s="249" t="str">
        <f t="shared" si="72"/>
        <v/>
      </c>
      <c r="AM397" s="249" t="b">
        <f t="shared" si="73"/>
        <v>0</v>
      </c>
      <c r="AN397" s="249" t="str">
        <f t="shared" si="74"/>
        <v/>
      </c>
      <c r="AO397" s="249" t="b">
        <f t="shared" si="75"/>
        <v>0</v>
      </c>
      <c r="AQ397">
        <f>IF(I397&lt;=CNSIPEE_2024_M2_Secc1!$C$51,0,IF(I397="NS",0,1))</f>
        <v>0</v>
      </c>
      <c r="AS397">
        <f t="shared" si="76"/>
        <v>0</v>
      </c>
      <c r="AT397">
        <f t="shared" si="77"/>
        <v>0</v>
      </c>
      <c r="AU397" s="253">
        <f t="shared" si="78"/>
        <v>0</v>
      </c>
      <c r="AV397" s="253">
        <f t="shared" si="79"/>
        <v>0</v>
      </c>
      <c r="AW397" s="253">
        <f t="shared" si="80"/>
        <v>0</v>
      </c>
      <c r="AX397" s="253">
        <f t="shared" si="81"/>
        <v>0</v>
      </c>
      <c r="AY397" s="253">
        <f t="shared" si="82"/>
        <v>0</v>
      </c>
      <c r="AZ397" s="253">
        <f t="shared" si="83"/>
        <v>0</v>
      </c>
      <c r="BA397" s="253">
        <f t="shared" si="84"/>
        <v>0</v>
      </c>
      <c r="BB397" s="253">
        <f t="shared" si="85"/>
        <v>0</v>
      </c>
      <c r="BC397" s="253">
        <f t="shared" si="86"/>
        <v>0</v>
      </c>
      <c r="BD397" s="253">
        <f t="shared" si="87"/>
        <v>0</v>
      </c>
      <c r="BE397" s="253">
        <f t="shared" si="88"/>
        <v>0</v>
      </c>
      <c r="BF397" s="253">
        <f t="shared" si="89"/>
        <v>0</v>
      </c>
    </row>
    <row r="398" spans="1:58" ht="15" customHeight="1">
      <c r="A398" s="94"/>
      <c r="C398" s="44" t="s">
        <v>4488</v>
      </c>
      <c r="D398" s="882"/>
      <c r="E398" s="883"/>
      <c r="F398" s="883"/>
      <c r="G398" s="883"/>
      <c r="H398" s="884"/>
      <c r="I398" s="816"/>
      <c r="J398" s="817"/>
      <c r="K398" s="88"/>
      <c r="L398" s="88"/>
      <c r="M398" s="88"/>
      <c r="N398" s="88"/>
      <c r="O398" s="1038"/>
      <c r="P398" s="1055"/>
      <c r="Q398" s="1038"/>
      <c r="R398" s="1055"/>
      <c r="S398" s="1038"/>
      <c r="T398" s="1055"/>
      <c r="U398" s="1038"/>
      <c r="V398" s="1055"/>
      <c r="W398" s="1038"/>
      <c r="X398" s="1055"/>
      <c r="Y398" s="1038"/>
      <c r="Z398" s="1055"/>
      <c r="AA398" s="816"/>
      <c r="AB398" s="817"/>
      <c r="AC398" s="816"/>
      <c r="AD398" s="817"/>
      <c r="AG398" s="326">
        <f t="shared" si="68"/>
        <v>0</v>
      </c>
      <c r="AH398" s="283">
        <f t="shared" si="69"/>
        <v>0</v>
      </c>
      <c r="AJ398">
        <f t="shared" si="70"/>
        <v>0</v>
      </c>
      <c r="AK398" s="249" t="b">
        <f t="shared" si="71"/>
        <v>0</v>
      </c>
      <c r="AL398" s="249" t="str">
        <f t="shared" si="72"/>
        <v/>
      </c>
      <c r="AM398" s="249" t="b">
        <f t="shared" si="73"/>
        <v>0</v>
      </c>
      <c r="AN398" s="249" t="str">
        <f t="shared" si="74"/>
        <v/>
      </c>
      <c r="AO398" s="249" t="b">
        <f t="shared" si="75"/>
        <v>0</v>
      </c>
      <c r="AQ398">
        <f>IF(I398&lt;=CNSIPEE_2024_M2_Secc1!$C$51,0,IF(I398="NS",0,1))</f>
        <v>0</v>
      </c>
      <c r="AS398">
        <f t="shared" si="76"/>
        <v>0</v>
      </c>
      <c r="AT398">
        <f t="shared" si="77"/>
        <v>0</v>
      </c>
      <c r="AU398" s="253">
        <f t="shared" si="78"/>
        <v>0</v>
      </c>
      <c r="AV398" s="253">
        <f t="shared" si="79"/>
        <v>0</v>
      </c>
      <c r="AW398" s="253">
        <f t="shared" si="80"/>
        <v>0</v>
      </c>
      <c r="AX398" s="253">
        <f t="shared" si="81"/>
        <v>0</v>
      </c>
      <c r="AY398" s="253">
        <f t="shared" si="82"/>
        <v>0</v>
      </c>
      <c r="AZ398" s="253">
        <f t="shared" si="83"/>
        <v>0</v>
      </c>
      <c r="BA398" s="253">
        <f t="shared" si="84"/>
        <v>0</v>
      </c>
      <c r="BB398" s="253">
        <f t="shared" si="85"/>
        <v>0</v>
      </c>
      <c r="BC398" s="253">
        <f t="shared" si="86"/>
        <v>0</v>
      </c>
      <c r="BD398" s="253">
        <f t="shared" si="87"/>
        <v>0</v>
      </c>
      <c r="BE398" s="253">
        <f t="shared" si="88"/>
        <v>0</v>
      </c>
      <c r="BF398" s="253">
        <f t="shared" si="89"/>
        <v>0</v>
      </c>
    </row>
    <row r="399" spans="1:58" ht="15" customHeight="1">
      <c r="A399" s="94"/>
      <c r="C399" s="44" t="s">
        <v>4489</v>
      </c>
      <c r="D399" s="882"/>
      <c r="E399" s="883"/>
      <c r="F399" s="883"/>
      <c r="G399" s="883"/>
      <c r="H399" s="884"/>
      <c r="I399" s="816"/>
      <c r="J399" s="817"/>
      <c r="K399" s="88"/>
      <c r="L399" s="88"/>
      <c r="M399" s="88"/>
      <c r="N399" s="88"/>
      <c r="O399" s="1038"/>
      <c r="P399" s="1055"/>
      <c r="Q399" s="1038"/>
      <c r="R399" s="1055"/>
      <c r="S399" s="1038"/>
      <c r="T399" s="1055"/>
      <c r="U399" s="1038"/>
      <c r="V399" s="1055"/>
      <c r="W399" s="1038"/>
      <c r="X399" s="1055"/>
      <c r="Y399" s="1038"/>
      <c r="Z399" s="1055"/>
      <c r="AA399" s="816"/>
      <c r="AB399" s="817"/>
      <c r="AC399" s="816"/>
      <c r="AD399" s="817"/>
      <c r="AG399" s="326">
        <f t="shared" si="68"/>
        <v>0</v>
      </c>
      <c r="AH399" s="283">
        <f t="shared" si="69"/>
        <v>0</v>
      </c>
      <c r="AJ399">
        <f t="shared" si="70"/>
        <v>0</v>
      </c>
      <c r="AK399" s="249" t="b">
        <f t="shared" si="71"/>
        <v>0</v>
      </c>
      <c r="AL399" s="249" t="str">
        <f t="shared" si="72"/>
        <v/>
      </c>
      <c r="AM399" s="249" t="b">
        <f t="shared" si="73"/>
        <v>0</v>
      </c>
      <c r="AN399" s="249" t="str">
        <f t="shared" si="74"/>
        <v/>
      </c>
      <c r="AO399" s="249" t="b">
        <f t="shared" si="75"/>
        <v>0</v>
      </c>
      <c r="AQ399">
        <f>IF(I399&lt;=CNSIPEE_2024_M2_Secc1!$C$51,0,IF(I399="NS",0,1))</f>
        <v>0</v>
      </c>
      <c r="AS399">
        <f t="shared" si="76"/>
        <v>0</v>
      </c>
      <c r="AT399">
        <f t="shared" si="77"/>
        <v>0</v>
      </c>
      <c r="AU399" s="253">
        <f t="shared" si="78"/>
        <v>0</v>
      </c>
      <c r="AV399" s="253">
        <f t="shared" si="79"/>
        <v>0</v>
      </c>
      <c r="AW399" s="253">
        <f t="shared" si="80"/>
        <v>0</v>
      </c>
      <c r="AX399" s="253">
        <f t="shared" si="81"/>
        <v>0</v>
      </c>
      <c r="AY399" s="253">
        <f t="shared" si="82"/>
        <v>0</v>
      </c>
      <c r="AZ399" s="253">
        <f t="shared" si="83"/>
        <v>0</v>
      </c>
      <c r="BA399" s="253">
        <f t="shared" si="84"/>
        <v>0</v>
      </c>
      <c r="BB399" s="253">
        <f t="shared" si="85"/>
        <v>0</v>
      </c>
      <c r="BC399" s="253">
        <f t="shared" si="86"/>
        <v>0</v>
      </c>
      <c r="BD399" s="253">
        <f t="shared" si="87"/>
        <v>0</v>
      </c>
      <c r="BE399" s="253">
        <f t="shared" si="88"/>
        <v>0</v>
      </c>
      <c r="BF399" s="253">
        <f t="shared" si="89"/>
        <v>0</v>
      </c>
    </row>
    <row r="400" spans="1:58" ht="15" customHeight="1">
      <c r="A400" s="94"/>
      <c r="C400" s="44" t="s">
        <v>4490</v>
      </c>
      <c r="D400" s="882"/>
      <c r="E400" s="883"/>
      <c r="F400" s="883"/>
      <c r="G400" s="883"/>
      <c r="H400" s="884"/>
      <c r="I400" s="816"/>
      <c r="J400" s="817"/>
      <c r="K400" s="88"/>
      <c r="L400" s="88"/>
      <c r="M400" s="88"/>
      <c r="N400" s="88"/>
      <c r="O400" s="1038"/>
      <c r="P400" s="1055"/>
      <c r="Q400" s="1038"/>
      <c r="R400" s="1055"/>
      <c r="S400" s="1038"/>
      <c r="T400" s="1055"/>
      <c r="U400" s="1038"/>
      <c r="V400" s="1055"/>
      <c r="W400" s="1038"/>
      <c r="X400" s="1055"/>
      <c r="Y400" s="1038"/>
      <c r="Z400" s="1055"/>
      <c r="AA400" s="816"/>
      <c r="AB400" s="817"/>
      <c r="AC400" s="816"/>
      <c r="AD400" s="817"/>
      <c r="AG400" s="326">
        <f t="shared" si="68"/>
        <v>0</v>
      </c>
      <c r="AH400" s="283">
        <f t="shared" si="69"/>
        <v>0</v>
      </c>
      <c r="AJ400">
        <f t="shared" si="70"/>
        <v>0</v>
      </c>
      <c r="AK400" s="249" t="b">
        <f t="shared" si="71"/>
        <v>0</v>
      </c>
      <c r="AL400" s="249" t="str">
        <f t="shared" si="72"/>
        <v/>
      </c>
      <c r="AM400" s="249" t="b">
        <f t="shared" si="73"/>
        <v>0</v>
      </c>
      <c r="AN400" s="249" t="str">
        <f t="shared" si="74"/>
        <v/>
      </c>
      <c r="AO400" s="249" t="b">
        <f t="shared" si="75"/>
        <v>0</v>
      </c>
      <c r="AQ400">
        <f>IF(I400&lt;=CNSIPEE_2024_M2_Secc1!$C$51,0,IF(I400="NS",0,1))</f>
        <v>0</v>
      </c>
      <c r="AS400">
        <f t="shared" si="76"/>
        <v>0</v>
      </c>
      <c r="AT400">
        <f t="shared" si="77"/>
        <v>0</v>
      </c>
      <c r="AU400" s="253">
        <f t="shared" si="78"/>
        <v>0</v>
      </c>
      <c r="AV400" s="253">
        <f t="shared" si="79"/>
        <v>0</v>
      </c>
      <c r="AW400" s="253">
        <f t="shared" si="80"/>
        <v>0</v>
      </c>
      <c r="AX400" s="253">
        <f t="shared" si="81"/>
        <v>0</v>
      </c>
      <c r="AY400" s="253">
        <f t="shared" si="82"/>
        <v>0</v>
      </c>
      <c r="AZ400" s="253">
        <f t="shared" si="83"/>
        <v>0</v>
      </c>
      <c r="BA400" s="253">
        <f t="shared" si="84"/>
        <v>0</v>
      </c>
      <c r="BB400" s="253">
        <f t="shared" si="85"/>
        <v>0</v>
      </c>
      <c r="BC400" s="253">
        <f t="shared" si="86"/>
        <v>0</v>
      </c>
      <c r="BD400" s="253">
        <f t="shared" si="87"/>
        <v>0</v>
      </c>
      <c r="BE400" s="253">
        <f t="shared" si="88"/>
        <v>0</v>
      </c>
      <c r="BF400" s="253">
        <f t="shared" si="89"/>
        <v>0</v>
      </c>
    </row>
    <row r="401" spans="1:58" ht="15" customHeight="1">
      <c r="A401" s="94"/>
      <c r="C401" s="44" t="s">
        <v>4491</v>
      </c>
      <c r="D401" s="882"/>
      <c r="E401" s="883"/>
      <c r="F401" s="883"/>
      <c r="G401" s="883"/>
      <c r="H401" s="884"/>
      <c r="I401" s="816"/>
      <c r="J401" s="817"/>
      <c r="K401" s="88"/>
      <c r="L401" s="88"/>
      <c r="M401" s="88"/>
      <c r="N401" s="88"/>
      <c r="O401" s="1038"/>
      <c r="P401" s="1055"/>
      <c r="Q401" s="1038"/>
      <c r="R401" s="1055"/>
      <c r="S401" s="1038"/>
      <c r="T401" s="1055"/>
      <c r="U401" s="1038"/>
      <c r="V401" s="1055"/>
      <c r="W401" s="1038"/>
      <c r="X401" s="1055"/>
      <c r="Y401" s="1038"/>
      <c r="Z401" s="1055"/>
      <c r="AA401" s="816"/>
      <c r="AB401" s="817"/>
      <c r="AC401" s="816"/>
      <c r="AD401" s="817"/>
      <c r="AG401" s="326">
        <f t="shared" si="68"/>
        <v>0</v>
      </c>
      <c r="AH401" s="283">
        <f t="shared" si="69"/>
        <v>0</v>
      </c>
      <c r="AJ401">
        <f t="shared" si="70"/>
        <v>0</v>
      </c>
      <c r="AK401" s="249" t="b">
        <f t="shared" si="71"/>
        <v>0</v>
      </c>
      <c r="AL401" s="249" t="str">
        <f t="shared" si="72"/>
        <v/>
      </c>
      <c r="AM401" s="249" t="b">
        <f t="shared" si="73"/>
        <v>0</v>
      </c>
      <c r="AN401" s="249" t="str">
        <f t="shared" si="74"/>
        <v/>
      </c>
      <c r="AO401" s="249" t="b">
        <f t="shared" si="75"/>
        <v>0</v>
      </c>
      <c r="AQ401">
        <f>IF(I401&lt;=CNSIPEE_2024_M2_Secc1!$C$51,0,IF(I401="NS",0,1))</f>
        <v>0</v>
      </c>
      <c r="AS401">
        <f t="shared" si="76"/>
        <v>0</v>
      </c>
      <c r="AT401">
        <f t="shared" si="77"/>
        <v>0</v>
      </c>
      <c r="AU401" s="253">
        <f t="shared" si="78"/>
        <v>0</v>
      </c>
      <c r="AV401" s="253">
        <f t="shared" si="79"/>
        <v>0</v>
      </c>
      <c r="AW401" s="253">
        <f t="shared" si="80"/>
        <v>0</v>
      </c>
      <c r="AX401" s="253">
        <f t="shared" si="81"/>
        <v>0</v>
      </c>
      <c r="AY401" s="253">
        <f t="shared" si="82"/>
        <v>0</v>
      </c>
      <c r="AZ401" s="253">
        <f t="shared" si="83"/>
        <v>0</v>
      </c>
      <c r="BA401" s="253">
        <f t="shared" si="84"/>
        <v>0</v>
      </c>
      <c r="BB401" s="253">
        <f t="shared" si="85"/>
        <v>0</v>
      </c>
      <c r="BC401" s="253">
        <f t="shared" si="86"/>
        <v>0</v>
      </c>
      <c r="BD401" s="253">
        <f t="shared" si="87"/>
        <v>0</v>
      </c>
      <c r="BE401" s="253">
        <f t="shared" si="88"/>
        <v>0</v>
      </c>
      <c r="BF401" s="253">
        <f t="shared" si="89"/>
        <v>0</v>
      </c>
    </row>
    <row r="402" spans="1:58" ht="15" customHeight="1">
      <c r="A402" s="94"/>
      <c r="C402" s="44" t="s">
        <v>4492</v>
      </c>
      <c r="D402" s="882"/>
      <c r="E402" s="883"/>
      <c r="F402" s="883"/>
      <c r="G402" s="883"/>
      <c r="H402" s="884"/>
      <c r="I402" s="816"/>
      <c r="J402" s="817"/>
      <c r="K402" s="88"/>
      <c r="L402" s="88"/>
      <c r="M402" s="88"/>
      <c r="N402" s="88"/>
      <c r="O402" s="1038"/>
      <c r="P402" s="1055"/>
      <c r="Q402" s="1038"/>
      <c r="R402" s="1055"/>
      <c r="S402" s="1038"/>
      <c r="T402" s="1055"/>
      <c r="U402" s="1038"/>
      <c r="V402" s="1055"/>
      <c r="W402" s="1038"/>
      <c r="X402" s="1055"/>
      <c r="Y402" s="1038"/>
      <c r="Z402" s="1055"/>
      <c r="AA402" s="816"/>
      <c r="AB402" s="817"/>
      <c r="AC402" s="816"/>
      <c r="AD402" s="817"/>
      <c r="AG402" s="326">
        <f t="shared" si="68"/>
        <v>0</v>
      </c>
      <c r="AH402" s="283">
        <f t="shared" si="69"/>
        <v>0</v>
      </c>
      <c r="AJ402">
        <f t="shared" si="70"/>
        <v>0</v>
      </c>
      <c r="AK402" s="249" t="b">
        <f t="shared" si="71"/>
        <v>0</v>
      </c>
      <c r="AL402" s="249" t="str">
        <f t="shared" si="72"/>
        <v/>
      </c>
      <c r="AM402" s="249" t="b">
        <f t="shared" si="73"/>
        <v>0</v>
      </c>
      <c r="AN402" s="249" t="str">
        <f t="shared" si="74"/>
        <v/>
      </c>
      <c r="AO402" s="249" t="b">
        <f t="shared" si="75"/>
        <v>0</v>
      </c>
      <c r="AQ402">
        <f>IF(I402&lt;=CNSIPEE_2024_M2_Secc1!$C$51,0,IF(I402="NS",0,1))</f>
        <v>0</v>
      </c>
      <c r="AS402">
        <f t="shared" si="76"/>
        <v>0</v>
      </c>
      <c r="AT402">
        <f t="shared" si="77"/>
        <v>0</v>
      </c>
      <c r="AU402" s="253">
        <f t="shared" si="78"/>
        <v>0</v>
      </c>
      <c r="AV402" s="253">
        <f t="shared" si="79"/>
        <v>0</v>
      </c>
      <c r="AW402" s="253">
        <f t="shared" si="80"/>
        <v>0</v>
      </c>
      <c r="AX402" s="253">
        <f t="shared" si="81"/>
        <v>0</v>
      </c>
      <c r="AY402" s="253">
        <f t="shared" si="82"/>
        <v>0</v>
      </c>
      <c r="AZ402" s="253">
        <f t="shared" si="83"/>
        <v>0</v>
      </c>
      <c r="BA402" s="253">
        <f t="shared" si="84"/>
        <v>0</v>
      </c>
      <c r="BB402" s="253">
        <f t="shared" si="85"/>
        <v>0</v>
      </c>
      <c r="BC402" s="253">
        <f t="shared" si="86"/>
        <v>0</v>
      </c>
      <c r="BD402" s="253">
        <f t="shared" si="87"/>
        <v>0</v>
      </c>
      <c r="BE402" s="253">
        <f t="shared" si="88"/>
        <v>0</v>
      </c>
      <c r="BF402" s="253">
        <f t="shared" si="89"/>
        <v>0</v>
      </c>
    </row>
    <row r="403" spans="1:58" ht="15" customHeight="1">
      <c r="A403" s="94"/>
      <c r="C403" s="44" t="s">
        <v>4493</v>
      </c>
      <c r="D403" s="882"/>
      <c r="E403" s="883"/>
      <c r="F403" s="883"/>
      <c r="G403" s="883"/>
      <c r="H403" s="884"/>
      <c r="I403" s="816"/>
      <c r="J403" s="817"/>
      <c r="K403" s="88"/>
      <c r="L403" s="88"/>
      <c r="M403" s="88"/>
      <c r="N403" s="88"/>
      <c r="O403" s="1038"/>
      <c r="P403" s="1055"/>
      <c r="Q403" s="1038"/>
      <c r="R403" s="1055"/>
      <c r="S403" s="1038"/>
      <c r="T403" s="1055"/>
      <c r="U403" s="1038"/>
      <c r="V403" s="1055"/>
      <c r="W403" s="1038"/>
      <c r="X403" s="1055"/>
      <c r="Y403" s="1038"/>
      <c r="Z403" s="1055"/>
      <c r="AA403" s="816"/>
      <c r="AB403" s="817"/>
      <c r="AC403" s="816"/>
      <c r="AD403" s="817"/>
      <c r="AG403" s="326">
        <f t="shared" si="68"/>
        <v>0</v>
      </c>
      <c r="AH403" s="283">
        <f t="shared" si="69"/>
        <v>0</v>
      </c>
      <c r="AJ403">
        <f t="shared" si="70"/>
        <v>0</v>
      </c>
      <c r="AK403" s="249" t="b">
        <f t="shared" si="71"/>
        <v>0</v>
      </c>
      <c r="AL403" s="249" t="str">
        <f t="shared" si="72"/>
        <v/>
      </c>
      <c r="AM403" s="249" t="b">
        <f t="shared" si="73"/>
        <v>0</v>
      </c>
      <c r="AN403" s="249" t="str">
        <f t="shared" si="74"/>
        <v/>
      </c>
      <c r="AO403" s="249" t="b">
        <f t="shared" si="75"/>
        <v>0</v>
      </c>
      <c r="AQ403">
        <f>IF(I403&lt;=CNSIPEE_2024_M2_Secc1!$C$51,0,IF(I403="NS",0,1))</f>
        <v>0</v>
      </c>
      <c r="AS403">
        <f t="shared" si="76"/>
        <v>0</v>
      </c>
      <c r="AT403">
        <f t="shared" si="77"/>
        <v>0</v>
      </c>
      <c r="AU403" s="253">
        <f t="shared" si="78"/>
        <v>0</v>
      </c>
      <c r="AV403" s="253">
        <f t="shared" si="79"/>
        <v>0</v>
      </c>
      <c r="AW403" s="253">
        <f t="shared" si="80"/>
        <v>0</v>
      </c>
      <c r="AX403" s="253">
        <f t="shared" si="81"/>
        <v>0</v>
      </c>
      <c r="AY403" s="253">
        <f t="shared" si="82"/>
        <v>0</v>
      </c>
      <c r="AZ403" s="253">
        <f t="shared" si="83"/>
        <v>0</v>
      </c>
      <c r="BA403" s="253">
        <f t="shared" si="84"/>
        <v>0</v>
      </c>
      <c r="BB403" s="253">
        <f t="shared" si="85"/>
        <v>0</v>
      </c>
      <c r="BC403" s="253">
        <f t="shared" si="86"/>
        <v>0</v>
      </c>
      <c r="BD403" s="253">
        <f t="shared" si="87"/>
        <v>0</v>
      </c>
      <c r="BE403" s="253">
        <f t="shared" si="88"/>
        <v>0</v>
      </c>
      <c r="BF403" s="253">
        <f t="shared" si="89"/>
        <v>0</v>
      </c>
    </row>
    <row r="404" spans="1:58" ht="15" customHeight="1">
      <c r="A404" s="94"/>
      <c r="C404" s="44" t="s">
        <v>4494</v>
      </c>
      <c r="D404" s="882"/>
      <c r="E404" s="883"/>
      <c r="F404" s="883"/>
      <c r="G404" s="883"/>
      <c r="H404" s="884"/>
      <c r="I404" s="816"/>
      <c r="J404" s="817"/>
      <c r="K404" s="88"/>
      <c r="L404" s="88"/>
      <c r="M404" s="88"/>
      <c r="N404" s="88"/>
      <c r="O404" s="1038"/>
      <c r="P404" s="1055"/>
      <c r="Q404" s="1038"/>
      <c r="R404" s="1055"/>
      <c r="S404" s="1038"/>
      <c r="T404" s="1055"/>
      <c r="U404" s="1038"/>
      <c r="V404" s="1055"/>
      <c r="W404" s="1038"/>
      <c r="X404" s="1055"/>
      <c r="Y404" s="1038"/>
      <c r="Z404" s="1055"/>
      <c r="AA404" s="816"/>
      <c r="AB404" s="817"/>
      <c r="AC404" s="816"/>
      <c r="AD404" s="817"/>
      <c r="AG404" s="326">
        <f t="shared" si="68"/>
        <v>0</v>
      </c>
      <c r="AH404" s="283">
        <f t="shared" si="69"/>
        <v>0</v>
      </c>
      <c r="AJ404">
        <f t="shared" si="70"/>
        <v>0</v>
      </c>
      <c r="AK404" s="249" t="b">
        <f t="shared" si="71"/>
        <v>0</v>
      </c>
      <c r="AL404" s="249" t="str">
        <f t="shared" si="72"/>
        <v/>
      </c>
      <c r="AM404" s="249" t="b">
        <f t="shared" si="73"/>
        <v>0</v>
      </c>
      <c r="AN404" s="249" t="str">
        <f t="shared" si="74"/>
        <v/>
      </c>
      <c r="AO404" s="249" t="b">
        <f t="shared" si="75"/>
        <v>0</v>
      </c>
      <c r="AQ404">
        <f>IF(I404&lt;=CNSIPEE_2024_M2_Secc1!$C$51,0,IF(I404="NS",0,1))</f>
        <v>0</v>
      </c>
      <c r="AS404">
        <f t="shared" si="76"/>
        <v>0</v>
      </c>
      <c r="AT404">
        <f t="shared" si="77"/>
        <v>0</v>
      </c>
      <c r="AU404" s="253">
        <f t="shared" si="78"/>
        <v>0</v>
      </c>
      <c r="AV404" s="253">
        <f t="shared" si="79"/>
        <v>0</v>
      </c>
      <c r="AW404" s="253">
        <f t="shared" si="80"/>
        <v>0</v>
      </c>
      <c r="AX404" s="253">
        <f t="shared" si="81"/>
        <v>0</v>
      </c>
      <c r="AY404" s="253">
        <f t="shared" si="82"/>
        <v>0</v>
      </c>
      <c r="AZ404" s="253">
        <f t="shared" si="83"/>
        <v>0</v>
      </c>
      <c r="BA404" s="253">
        <f t="shared" si="84"/>
        <v>0</v>
      </c>
      <c r="BB404" s="253">
        <f t="shared" si="85"/>
        <v>0</v>
      </c>
      <c r="BC404" s="253">
        <f t="shared" si="86"/>
        <v>0</v>
      </c>
      <c r="BD404" s="253">
        <f t="shared" si="87"/>
        <v>0</v>
      </c>
      <c r="BE404" s="253">
        <f t="shared" si="88"/>
        <v>0</v>
      </c>
      <c r="BF404" s="253">
        <f t="shared" si="89"/>
        <v>0</v>
      </c>
    </row>
    <row r="405" spans="1:58" ht="15" customHeight="1">
      <c r="A405" s="94"/>
      <c r="C405" s="44" t="s">
        <v>4495</v>
      </c>
      <c r="D405" s="882"/>
      <c r="E405" s="883"/>
      <c r="F405" s="883"/>
      <c r="G405" s="883"/>
      <c r="H405" s="884"/>
      <c r="I405" s="816"/>
      <c r="J405" s="817"/>
      <c r="K405" s="88"/>
      <c r="L405" s="88"/>
      <c r="M405" s="88"/>
      <c r="N405" s="88"/>
      <c r="O405" s="1038"/>
      <c r="P405" s="1055"/>
      <c r="Q405" s="1038"/>
      <c r="R405" s="1055"/>
      <c r="S405" s="1038"/>
      <c r="T405" s="1055"/>
      <c r="U405" s="1038"/>
      <c r="V405" s="1055"/>
      <c r="W405" s="1038"/>
      <c r="X405" s="1055"/>
      <c r="Y405" s="1038"/>
      <c r="Z405" s="1055"/>
      <c r="AA405" s="816"/>
      <c r="AB405" s="817"/>
      <c r="AC405" s="816"/>
      <c r="AD405" s="817"/>
      <c r="AG405" s="326">
        <f t="shared" si="68"/>
        <v>0</v>
      </c>
      <c r="AH405" s="283">
        <f t="shared" si="69"/>
        <v>0</v>
      </c>
      <c r="AJ405">
        <f t="shared" si="70"/>
        <v>0</v>
      </c>
      <c r="AK405" s="249" t="b">
        <f t="shared" si="71"/>
        <v>0</v>
      </c>
      <c r="AL405" s="249" t="str">
        <f t="shared" si="72"/>
        <v/>
      </c>
      <c r="AM405" s="249" t="b">
        <f t="shared" si="73"/>
        <v>0</v>
      </c>
      <c r="AN405" s="249" t="str">
        <f t="shared" si="74"/>
        <v/>
      </c>
      <c r="AO405" s="249" t="b">
        <f t="shared" si="75"/>
        <v>0</v>
      </c>
      <c r="AQ405">
        <f>IF(I405&lt;=CNSIPEE_2024_M2_Secc1!$C$51,0,IF(I405="NS",0,1))</f>
        <v>0</v>
      </c>
      <c r="AS405">
        <f t="shared" si="76"/>
        <v>0</v>
      </c>
      <c r="AT405">
        <f t="shared" si="77"/>
        <v>0</v>
      </c>
      <c r="AU405" s="253">
        <f t="shared" si="78"/>
        <v>0</v>
      </c>
      <c r="AV405" s="253">
        <f t="shared" si="79"/>
        <v>0</v>
      </c>
      <c r="AW405" s="253">
        <f t="shared" si="80"/>
        <v>0</v>
      </c>
      <c r="AX405" s="253">
        <f t="shared" si="81"/>
        <v>0</v>
      </c>
      <c r="AY405" s="253">
        <f t="shared" si="82"/>
        <v>0</v>
      </c>
      <c r="AZ405" s="253">
        <f t="shared" si="83"/>
        <v>0</v>
      </c>
      <c r="BA405" s="253">
        <f t="shared" si="84"/>
        <v>0</v>
      </c>
      <c r="BB405" s="253">
        <f t="shared" si="85"/>
        <v>0</v>
      </c>
      <c r="BC405" s="253">
        <f t="shared" si="86"/>
        <v>0</v>
      </c>
      <c r="BD405" s="253">
        <f t="shared" si="87"/>
        <v>0</v>
      </c>
      <c r="BE405" s="253">
        <f t="shared" si="88"/>
        <v>0</v>
      </c>
      <c r="BF405" s="253">
        <f t="shared" si="89"/>
        <v>0</v>
      </c>
    </row>
    <row r="406" spans="1:58" ht="15" customHeight="1">
      <c r="A406" s="94"/>
      <c r="C406" s="44" t="s">
        <v>4496</v>
      </c>
      <c r="D406" s="882"/>
      <c r="E406" s="883"/>
      <c r="F406" s="883"/>
      <c r="G406" s="883"/>
      <c r="H406" s="884"/>
      <c r="I406" s="816"/>
      <c r="J406" s="817"/>
      <c r="K406" s="88"/>
      <c r="L406" s="88"/>
      <c r="M406" s="88"/>
      <c r="N406" s="88"/>
      <c r="O406" s="1038"/>
      <c r="P406" s="1055"/>
      <c r="Q406" s="1038"/>
      <c r="R406" s="1055"/>
      <c r="S406" s="1038"/>
      <c r="T406" s="1055"/>
      <c r="U406" s="1038"/>
      <c r="V406" s="1055"/>
      <c r="W406" s="1038"/>
      <c r="X406" s="1055"/>
      <c r="Y406" s="1038"/>
      <c r="Z406" s="1055"/>
      <c r="AA406" s="816"/>
      <c r="AB406" s="817"/>
      <c r="AC406" s="816"/>
      <c r="AD406" s="817"/>
      <c r="AG406" s="326">
        <f t="shared" si="68"/>
        <v>0</v>
      </c>
      <c r="AH406" s="283">
        <f t="shared" si="69"/>
        <v>0</v>
      </c>
      <c r="AJ406">
        <f t="shared" si="70"/>
        <v>0</v>
      </c>
      <c r="AK406" s="249" t="b">
        <f t="shared" si="71"/>
        <v>0</v>
      </c>
      <c r="AL406" s="249" t="str">
        <f t="shared" si="72"/>
        <v/>
      </c>
      <c r="AM406" s="249" t="b">
        <f t="shared" si="73"/>
        <v>0</v>
      </c>
      <c r="AN406" s="249" t="str">
        <f t="shared" si="74"/>
        <v/>
      </c>
      <c r="AO406" s="249" t="b">
        <f t="shared" si="75"/>
        <v>0</v>
      </c>
      <c r="AQ406">
        <f>IF(I406&lt;=CNSIPEE_2024_M2_Secc1!$C$51,0,IF(I406="NS",0,1))</f>
        <v>0</v>
      </c>
      <c r="AS406">
        <f t="shared" si="76"/>
        <v>0</v>
      </c>
      <c r="AT406">
        <f t="shared" si="77"/>
        <v>0</v>
      </c>
      <c r="AU406" s="253">
        <f t="shared" si="78"/>
        <v>0</v>
      </c>
      <c r="AV406" s="253">
        <f t="shared" si="79"/>
        <v>0</v>
      </c>
      <c r="AW406" s="253">
        <f t="shared" si="80"/>
        <v>0</v>
      </c>
      <c r="AX406" s="253">
        <f t="shared" si="81"/>
        <v>0</v>
      </c>
      <c r="AY406" s="253">
        <f t="shared" si="82"/>
        <v>0</v>
      </c>
      <c r="AZ406" s="253">
        <f t="shared" si="83"/>
        <v>0</v>
      </c>
      <c r="BA406" s="253">
        <f t="shared" si="84"/>
        <v>0</v>
      </c>
      <c r="BB406" s="253">
        <f t="shared" si="85"/>
        <v>0</v>
      </c>
      <c r="BC406" s="253">
        <f t="shared" si="86"/>
        <v>0</v>
      </c>
      <c r="BD406" s="253">
        <f t="shared" si="87"/>
        <v>0</v>
      </c>
      <c r="BE406" s="253">
        <f t="shared" si="88"/>
        <v>0</v>
      </c>
      <c r="BF406" s="253">
        <f t="shared" si="89"/>
        <v>0</v>
      </c>
    </row>
    <row r="407" spans="1:58" ht="15" customHeight="1">
      <c r="A407" s="94"/>
      <c r="C407" s="44" t="s">
        <v>4497</v>
      </c>
      <c r="D407" s="882"/>
      <c r="E407" s="883"/>
      <c r="F407" s="883"/>
      <c r="G407" s="883"/>
      <c r="H407" s="884"/>
      <c r="I407" s="816"/>
      <c r="J407" s="817"/>
      <c r="K407" s="88"/>
      <c r="L407" s="88"/>
      <c r="M407" s="88"/>
      <c r="N407" s="88"/>
      <c r="O407" s="1038"/>
      <c r="P407" s="1055"/>
      <c r="Q407" s="1038"/>
      <c r="R407" s="1055"/>
      <c r="S407" s="1038"/>
      <c r="T407" s="1055"/>
      <c r="U407" s="1038"/>
      <c r="V407" s="1055"/>
      <c r="W407" s="1038"/>
      <c r="X407" s="1055"/>
      <c r="Y407" s="1038"/>
      <c r="Z407" s="1055"/>
      <c r="AA407" s="816"/>
      <c r="AB407" s="817"/>
      <c r="AC407" s="816"/>
      <c r="AD407" s="817"/>
      <c r="AG407" s="326">
        <f t="shared" si="68"/>
        <v>0</v>
      </c>
      <c r="AH407" s="283">
        <f t="shared" si="69"/>
        <v>0</v>
      </c>
      <c r="AJ407">
        <f t="shared" si="70"/>
        <v>0</v>
      </c>
      <c r="AK407" s="249" t="b">
        <f t="shared" si="71"/>
        <v>0</v>
      </c>
      <c r="AL407" s="249" t="str">
        <f t="shared" si="72"/>
        <v/>
      </c>
      <c r="AM407" s="249" t="b">
        <f t="shared" si="73"/>
        <v>0</v>
      </c>
      <c r="AN407" s="249" t="str">
        <f t="shared" si="74"/>
        <v/>
      </c>
      <c r="AO407" s="249" t="b">
        <f t="shared" si="75"/>
        <v>0</v>
      </c>
      <c r="AQ407">
        <f>IF(I407&lt;=CNSIPEE_2024_M2_Secc1!$C$51,0,IF(I407="NS",0,1))</f>
        <v>0</v>
      </c>
      <c r="AS407">
        <f t="shared" si="76"/>
        <v>0</v>
      </c>
      <c r="AT407">
        <f t="shared" si="77"/>
        <v>0</v>
      </c>
      <c r="AU407" s="253">
        <f t="shared" si="78"/>
        <v>0</v>
      </c>
      <c r="AV407" s="253">
        <f t="shared" si="79"/>
        <v>0</v>
      </c>
      <c r="AW407" s="253">
        <f t="shared" si="80"/>
        <v>0</v>
      </c>
      <c r="AX407" s="253">
        <f t="shared" si="81"/>
        <v>0</v>
      </c>
      <c r="AY407" s="253">
        <f t="shared" si="82"/>
        <v>0</v>
      </c>
      <c r="AZ407" s="253">
        <f t="shared" si="83"/>
        <v>0</v>
      </c>
      <c r="BA407" s="253">
        <f t="shared" si="84"/>
        <v>0</v>
      </c>
      <c r="BB407" s="253">
        <f t="shared" si="85"/>
        <v>0</v>
      </c>
      <c r="BC407" s="253">
        <f t="shared" si="86"/>
        <v>0</v>
      </c>
      <c r="BD407" s="253">
        <f t="shared" si="87"/>
        <v>0</v>
      </c>
      <c r="BE407" s="253">
        <f t="shared" si="88"/>
        <v>0</v>
      </c>
      <c r="BF407" s="253">
        <f t="shared" si="89"/>
        <v>0</v>
      </c>
    </row>
    <row r="408" spans="1:58" ht="15" customHeight="1">
      <c r="A408" s="94"/>
      <c r="C408" s="44" t="s">
        <v>4498</v>
      </c>
      <c r="D408" s="882"/>
      <c r="E408" s="883"/>
      <c r="F408" s="883"/>
      <c r="G408" s="883"/>
      <c r="H408" s="884"/>
      <c r="I408" s="816"/>
      <c r="J408" s="817"/>
      <c r="K408" s="88"/>
      <c r="L408" s="88"/>
      <c r="M408" s="88"/>
      <c r="N408" s="88"/>
      <c r="O408" s="1038"/>
      <c r="P408" s="1055"/>
      <c r="Q408" s="1038"/>
      <c r="R408" s="1055"/>
      <c r="S408" s="1038"/>
      <c r="T408" s="1055"/>
      <c r="U408" s="1038"/>
      <c r="V408" s="1055"/>
      <c r="W408" s="1038"/>
      <c r="X408" s="1055"/>
      <c r="Y408" s="1038"/>
      <c r="Z408" s="1055"/>
      <c r="AA408" s="816"/>
      <c r="AB408" s="817"/>
      <c r="AC408" s="816"/>
      <c r="AD408" s="817"/>
      <c r="AG408" s="326">
        <f t="shared" si="68"/>
        <v>0</v>
      </c>
      <c r="AH408" s="283">
        <f t="shared" si="69"/>
        <v>0</v>
      </c>
      <c r="AJ408">
        <f t="shared" si="70"/>
        <v>0</v>
      </c>
      <c r="AK408" s="249" t="b">
        <f t="shared" si="71"/>
        <v>0</v>
      </c>
      <c r="AL408" s="249" t="str">
        <f t="shared" si="72"/>
        <v/>
      </c>
      <c r="AM408" s="249" t="b">
        <f t="shared" si="73"/>
        <v>0</v>
      </c>
      <c r="AN408" s="249" t="str">
        <f t="shared" si="74"/>
        <v/>
      </c>
      <c r="AO408" s="249" t="b">
        <f t="shared" si="75"/>
        <v>0</v>
      </c>
      <c r="AQ408">
        <f>IF(I408&lt;=CNSIPEE_2024_M2_Secc1!$C$51,0,IF(I408="NS",0,1))</f>
        <v>0</v>
      </c>
      <c r="AS408">
        <f t="shared" si="76"/>
        <v>0</v>
      </c>
      <c r="AT408">
        <f t="shared" si="77"/>
        <v>0</v>
      </c>
      <c r="AU408" s="253">
        <f t="shared" si="78"/>
        <v>0</v>
      </c>
      <c r="AV408" s="253">
        <f t="shared" si="79"/>
        <v>0</v>
      </c>
      <c r="AW408" s="253">
        <f t="shared" si="80"/>
        <v>0</v>
      </c>
      <c r="AX408" s="253">
        <f t="shared" si="81"/>
        <v>0</v>
      </c>
      <c r="AY408" s="253">
        <f t="shared" si="82"/>
        <v>0</v>
      </c>
      <c r="AZ408" s="253">
        <f t="shared" si="83"/>
        <v>0</v>
      </c>
      <c r="BA408" s="253">
        <f t="shared" si="84"/>
        <v>0</v>
      </c>
      <c r="BB408" s="253">
        <f t="shared" si="85"/>
        <v>0</v>
      </c>
      <c r="BC408" s="253">
        <f t="shared" si="86"/>
        <v>0</v>
      </c>
      <c r="BD408" s="253">
        <f t="shared" si="87"/>
        <v>0</v>
      </c>
      <c r="BE408" s="253">
        <f t="shared" si="88"/>
        <v>0</v>
      </c>
      <c r="BF408" s="253">
        <f t="shared" si="89"/>
        <v>0</v>
      </c>
    </row>
    <row r="409" spans="1:58" ht="15" customHeight="1">
      <c r="A409" s="94"/>
      <c r="C409" s="44" t="s">
        <v>4499</v>
      </c>
      <c r="D409" s="882"/>
      <c r="E409" s="883"/>
      <c r="F409" s="883"/>
      <c r="G409" s="883"/>
      <c r="H409" s="884"/>
      <c r="I409" s="816"/>
      <c r="J409" s="817"/>
      <c r="K409" s="88"/>
      <c r="L409" s="88"/>
      <c r="M409" s="88"/>
      <c r="N409" s="88"/>
      <c r="O409" s="1038"/>
      <c r="P409" s="1055"/>
      <c r="Q409" s="1038"/>
      <c r="R409" s="1055"/>
      <c r="S409" s="1038"/>
      <c r="T409" s="1055"/>
      <c r="U409" s="1038"/>
      <c r="V409" s="1055"/>
      <c r="W409" s="1038"/>
      <c r="X409" s="1055"/>
      <c r="Y409" s="1038"/>
      <c r="Z409" s="1055"/>
      <c r="AA409" s="816"/>
      <c r="AB409" s="817"/>
      <c r="AC409" s="816"/>
      <c r="AD409" s="817"/>
      <c r="AG409" s="326">
        <f t="shared" si="68"/>
        <v>0</v>
      </c>
      <c r="AH409" s="283">
        <f t="shared" si="69"/>
        <v>0</v>
      </c>
      <c r="AJ409">
        <f t="shared" si="70"/>
        <v>0</v>
      </c>
      <c r="AK409" s="249" t="b">
        <f t="shared" si="71"/>
        <v>0</v>
      </c>
      <c r="AL409" s="249" t="str">
        <f t="shared" si="72"/>
        <v/>
      </c>
      <c r="AM409" s="249" t="b">
        <f t="shared" si="73"/>
        <v>0</v>
      </c>
      <c r="AN409" s="249" t="str">
        <f t="shared" si="74"/>
        <v/>
      </c>
      <c r="AO409" s="249" t="b">
        <f t="shared" si="75"/>
        <v>0</v>
      </c>
      <c r="AQ409">
        <f>IF(I409&lt;=CNSIPEE_2024_M2_Secc1!$C$51,0,IF(I409="NS",0,1))</f>
        <v>0</v>
      </c>
      <c r="AS409">
        <f t="shared" si="76"/>
        <v>0</v>
      </c>
      <c r="AT409">
        <f t="shared" si="77"/>
        <v>0</v>
      </c>
      <c r="AU409" s="253">
        <f t="shared" si="78"/>
        <v>0</v>
      </c>
      <c r="AV409" s="253">
        <f t="shared" si="79"/>
        <v>0</v>
      </c>
      <c r="AW409" s="253">
        <f t="shared" si="80"/>
        <v>0</v>
      </c>
      <c r="AX409" s="253">
        <f t="shared" si="81"/>
        <v>0</v>
      </c>
      <c r="AY409" s="253">
        <f t="shared" si="82"/>
        <v>0</v>
      </c>
      <c r="AZ409" s="253">
        <f t="shared" si="83"/>
        <v>0</v>
      </c>
      <c r="BA409" s="253">
        <f t="shared" si="84"/>
        <v>0</v>
      </c>
      <c r="BB409" s="253">
        <f t="shared" si="85"/>
        <v>0</v>
      </c>
      <c r="BC409" s="253">
        <f t="shared" si="86"/>
        <v>0</v>
      </c>
      <c r="BD409" s="253">
        <f t="shared" si="87"/>
        <v>0</v>
      </c>
      <c r="BE409" s="253">
        <f t="shared" si="88"/>
        <v>0</v>
      </c>
      <c r="BF409" s="253">
        <f t="shared" si="89"/>
        <v>0</v>
      </c>
    </row>
    <row r="410" spans="1:58" ht="15" customHeight="1">
      <c r="A410" s="94"/>
      <c r="C410" s="44" t="s">
        <v>4500</v>
      </c>
      <c r="D410" s="882"/>
      <c r="E410" s="883"/>
      <c r="F410" s="883"/>
      <c r="G410" s="883"/>
      <c r="H410" s="884"/>
      <c r="I410" s="816"/>
      <c r="J410" s="817"/>
      <c r="K410" s="88"/>
      <c r="L410" s="88"/>
      <c r="M410" s="88"/>
      <c r="N410" s="88"/>
      <c r="O410" s="1038"/>
      <c r="P410" s="1055"/>
      <c r="Q410" s="1038"/>
      <c r="R410" s="1055"/>
      <c r="S410" s="1038"/>
      <c r="T410" s="1055"/>
      <c r="U410" s="1038"/>
      <c r="V410" s="1055"/>
      <c r="W410" s="1038"/>
      <c r="X410" s="1055"/>
      <c r="Y410" s="1038"/>
      <c r="Z410" s="1055"/>
      <c r="AA410" s="816"/>
      <c r="AB410" s="817"/>
      <c r="AC410" s="816"/>
      <c r="AD410" s="817"/>
      <c r="AG410" s="326">
        <f t="shared" si="68"/>
        <v>0</v>
      </c>
      <c r="AH410" s="283">
        <f t="shared" si="69"/>
        <v>0</v>
      </c>
      <c r="AJ410">
        <f t="shared" si="70"/>
        <v>0</v>
      </c>
      <c r="AK410" s="249" t="b">
        <f t="shared" si="71"/>
        <v>0</v>
      </c>
      <c r="AL410" s="249" t="str">
        <f t="shared" si="72"/>
        <v/>
      </c>
      <c r="AM410" s="249" t="b">
        <f t="shared" si="73"/>
        <v>0</v>
      </c>
      <c r="AN410" s="249" t="str">
        <f t="shared" si="74"/>
        <v/>
      </c>
      <c r="AO410" s="249" t="b">
        <f t="shared" si="75"/>
        <v>0</v>
      </c>
      <c r="AQ410">
        <f>IF(I410&lt;=CNSIPEE_2024_M2_Secc1!$C$51,0,IF(I410="NS",0,1))</f>
        <v>0</v>
      </c>
      <c r="AS410">
        <f t="shared" si="76"/>
        <v>0</v>
      </c>
      <c r="AT410">
        <f t="shared" si="77"/>
        <v>0</v>
      </c>
      <c r="AU410" s="253">
        <f t="shared" si="78"/>
        <v>0</v>
      </c>
      <c r="AV410" s="253">
        <f t="shared" si="79"/>
        <v>0</v>
      </c>
      <c r="AW410" s="253">
        <f t="shared" si="80"/>
        <v>0</v>
      </c>
      <c r="AX410" s="253">
        <f t="shared" si="81"/>
        <v>0</v>
      </c>
      <c r="AY410" s="253">
        <f t="shared" si="82"/>
        <v>0</v>
      </c>
      <c r="AZ410" s="253">
        <f t="shared" si="83"/>
        <v>0</v>
      </c>
      <c r="BA410" s="253">
        <f t="shared" si="84"/>
        <v>0</v>
      </c>
      <c r="BB410" s="253">
        <f t="shared" si="85"/>
        <v>0</v>
      </c>
      <c r="BC410" s="253">
        <f t="shared" si="86"/>
        <v>0</v>
      </c>
      <c r="BD410" s="253">
        <f t="shared" si="87"/>
        <v>0</v>
      </c>
      <c r="BE410" s="253">
        <f t="shared" si="88"/>
        <v>0</v>
      </c>
      <c r="BF410" s="253">
        <f t="shared" si="89"/>
        <v>0</v>
      </c>
    </row>
    <row r="411" spans="1:58" ht="15" customHeight="1">
      <c r="A411" s="94"/>
      <c r="C411" s="44" t="s">
        <v>4501</v>
      </c>
      <c r="D411" s="882"/>
      <c r="E411" s="883"/>
      <c r="F411" s="883"/>
      <c r="G411" s="883"/>
      <c r="H411" s="884"/>
      <c r="I411" s="816"/>
      <c r="J411" s="817"/>
      <c r="K411" s="88"/>
      <c r="L411" s="88"/>
      <c r="M411" s="88"/>
      <c r="N411" s="88"/>
      <c r="O411" s="1038"/>
      <c r="P411" s="1055"/>
      <c r="Q411" s="1038"/>
      <c r="R411" s="1055"/>
      <c r="S411" s="1038"/>
      <c r="T411" s="1055"/>
      <c r="U411" s="1038"/>
      <c r="V411" s="1055"/>
      <c r="W411" s="1038"/>
      <c r="X411" s="1055"/>
      <c r="Y411" s="1038"/>
      <c r="Z411" s="1055"/>
      <c r="AA411" s="816"/>
      <c r="AB411" s="817"/>
      <c r="AC411" s="816"/>
      <c r="AD411" s="817"/>
      <c r="AG411" s="326">
        <f t="shared" si="68"/>
        <v>0</v>
      </c>
      <c r="AH411" s="283">
        <f t="shared" si="69"/>
        <v>0</v>
      </c>
      <c r="AJ411">
        <f t="shared" si="70"/>
        <v>0</v>
      </c>
      <c r="AK411" s="249" t="b">
        <f t="shared" si="71"/>
        <v>0</v>
      </c>
      <c r="AL411" s="249" t="str">
        <f t="shared" si="72"/>
        <v/>
      </c>
      <c r="AM411" s="249" t="b">
        <f t="shared" si="73"/>
        <v>0</v>
      </c>
      <c r="AN411" s="249" t="str">
        <f t="shared" si="74"/>
        <v/>
      </c>
      <c r="AO411" s="249" t="b">
        <f t="shared" si="75"/>
        <v>0</v>
      </c>
      <c r="AQ411">
        <f>IF(I411&lt;=CNSIPEE_2024_M2_Secc1!$C$51,0,IF(I411="NS",0,1))</f>
        <v>0</v>
      </c>
      <c r="AS411">
        <f t="shared" si="76"/>
        <v>0</v>
      </c>
      <c r="AT411">
        <f t="shared" si="77"/>
        <v>0</v>
      </c>
      <c r="AU411" s="253">
        <f t="shared" si="78"/>
        <v>0</v>
      </c>
      <c r="AV411" s="253">
        <f t="shared" si="79"/>
        <v>0</v>
      </c>
      <c r="AW411" s="253">
        <f t="shared" si="80"/>
        <v>0</v>
      </c>
      <c r="AX411" s="253">
        <f t="shared" si="81"/>
        <v>0</v>
      </c>
      <c r="AY411" s="253">
        <f t="shared" si="82"/>
        <v>0</v>
      </c>
      <c r="AZ411" s="253">
        <f t="shared" si="83"/>
        <v>0</v>
      </c>
      <c r="BA411" s="253">
        <f t="shared" si="84"/>
        <v>0</v>
      </c>
      <c r="BB411" s="253">
        <f t="shared" si="85"/>
        <v>0</v>
      </c>
      <c r="BC411" s="253">
        <f t="shared" si="86"/>
        <v>0</v>
      </c>
      <c r="BD411" s="253">
        <f t="shared" si="87"/>
        <v>0</v>
      </c>
      <c r="BE411" s="253">
        <f t="shared" si="88"/>
        <v>0</v>
      </c>
      <c r="BF411" s="253">
        <f t="shared" si="89"/>
        <v>0</v>
      </c>
    </row>
    <row r="412" spans="1:58" ht="15" customHeight="1">
      <c r="A412" s="94"/>
      <c r="C412" s="44" t="s">
        <v>4502</v>
      </c>
      <c r="D412" s="882"/>
      <c r="E412" s="883"/>
      <c r="F412" s="883"/>
      <c r="G412" s="883"/>
      <c r="H412" s="884"/>
      <c r="I412" s="816"/>
      <c r="J412" s="817"/>
      <c r="K412" s="88"/>
      <c r="L412" s="88"/>
      <c r="M412" s="88"/>
      <c r="N412" s="88"/>
      <c r="O412" s="1038"/>
      <c r="P412" s="1055"/>
      <c r="Q412" s="1038"/>
      <c r="R412" s="1055"/>
      <c r="S412" s="1038"/>
      <c r="T412" s="1055"/>
      <c r="U412" s="1038"/>
      <c r="V412" s="1055"/>
      <c r="W412" s="1038"/>
      <c r="X412" s="1055"/>
      <c r="Y412" s="1038"/>
      <c r="Z412" s="1055"/>
      <c r="AA412" s="816"/>
      <c r="AB412" s="817"/>
      <c r="AC412" s="816"/>
      <c r="AD412" s="817"/>
      <c r="AG412" s="326">
        <f t="shared" si="68"/>
        <v>0</v>
      </c>
      <c r="AH412" s="283">
        <f t="shared" si="69"/>
        <v>0</v>
      </c>
      <c r="AJ412">
        <f t="shared" si="70"/>
        <v>0</v>
      </c>
      <c r="AK412" s="249" t="b">
        <f t="shared" si="71"/>
        <v>0</v>
      </c>
      <c r="AL412" s="249" t="str">
        <f t="shared" si="72"/>
        <v/>
      </c>
      <c r="AM412" s="249" t="b">
        <f t="shared" si="73"/>
        <v>0</v>
      </c>
      <c r="AN412" s="249" t="str">
        <f t="shared" si="74"/>
        <v/>
      </c>
      <c r="AO412" s="249" t="b">
        <f t="shared" si="75"/>
        <v>0</v>
      </c>
      <c r="AQ412">
        <f>IF(I412&lt;=CNSIPEE_2024_M2_Secc1!$C$51,0,IF(I412="NS",0,1))</f>
        <v>0</v>
      </c>
      <c r="AS412">
        <f t="shared" si="76"/>
        <v>0</v>
      </c>
      <c r="AT412">
        <f t="shared" si="77"/>
        <v>0</v>
      </c>
      <c r="AU412" s="253">
        <f t="shared" si="78"/>
        <v>0</v>
      </c>
      <c r="AV412" s="253">
        <f t="shared" si="79"/>
        <v>0</v>
      </c>
      <c r="AW412" s="253">
        <f t="shared" si="80"/>
        <v>0</v>
      </c>
      <c r="AX412" s="253">
        <f t="shared" si="81"/>
        <v>0</v>
      </c>
      <c r="AY412" s="253">
        <f t="shared" si="82"/>
        <v>0</v>
      </c>
      <c r="AZ412" s="253">
        <f t="shared" si="83"/>
        <v>0</v>
      </c>
      <c r="BA412" s="253">
        <f t="shared" si="84"/>
        <v>0</v>
      </c>
      <c r="BB412" s="253">
        <f t="shared" si="85"/>
        <v>0</v>
      </c>
      <c r="BC412" s="253">
        <f t="shared" si="86"/>
        <v>0</v>
      </c>
      <c r="BD412" s="253">
        <f t="shared" si="87"/>
        <v>0</v>
      </c>
      <c r="BE412" s="253">
        <f t="shared" si="88"/>
        <v>0</v>
      </c>
      <c r="BF412" s="253">
        <f t="shared" si="89"/>
        <v>0</v>
      </c>
    </row>
    <row r="413" spans="1:58" ht="15" customHeight="1">
      <c r="A413" s="94"/>
      <c r="C413" s="44" t="s">
        <v>4503</v>
      </c>
      <c r="D413" s="882"/>
      <c r="E413" s="883"/>
      <c r="F413" s="883"/>
      <c r="G413" s="883"/>
      <c r="H413" s="884"/>
      <c r="I413" s="816"/>
      <c r="J413" s="817"/>
      <c r="K413" s="88"/>
      <c r="L413" s="88"/>
      <c r="M413" s="88"/>
      <c r="N413" s="88"/>
      <c r="O413" s="1038"/>
      <c r="P413" s="1055"/>
      <c r="Q413" s="1038"/>
      <c r="R413" s="1055"/>
      <c r="S413" s="1038"/>
      <c r="T413" s="1055"/>
      <c r="U413" s="1038"/>
      <c r="V413" s="1055"/>
      <c r="W413" s="1038"/>
      <c r="X413" s="1055"/>
      <c r="Y413" s="1038"/>
      <c r="Z413" s="1055"/>
      <c r="AA413" s="816"/>
      <c r="AB413" s="817"/>
      <c r="AC413" s="816"/>
      <c r="AD413" s="817"/>
      <c r="AG413" s="326">
        <f t="shared" si="68"/>
        <v>0</v>
      </c>
      <c r="AH413" s="283">
        <f t="shared" si="69"/>
        <v>0</v>
      </c>
      <c r="AJ413">
        <f t="shared" si="70"/>
        <v>0</v>
      </c>
      <c r="AK413" s="249" t="b">
        <f t="shared" si="71"/>
        <v>0</v>
      </c>
      <c r="AL413" s="249" t="str">
        <f t="shared" si="72"/>
        <v/>
      </c>
      <c r="AM413" s="249" t="b">
        <f t="shared" si="73"/>
        <v>0</v>
      </c>
      <c r="AN413" s="249" t="str">
        <f t="shared" si="74"/>
        <v/>
      </c>
      <c r="AO413" s="249" t="b">
        <f t="shared" si="75"/>
        <v>0</v>
      </c>
      <c r="AQ413">
        <f>IF(I413&lt;=CNSIPEE_2024_M2_Secc1!$C$51,0,IF(I413="NS",0,1))</f>
        <v>0</v>
      </c>
      <c r="AS413">
        <f t="shared" si="76"/>
        <v>0</v>
      </c>
      <c r="AT413">
        <f t="shared" si="77"/>
        <v>0</v>
      </c>
      <c r="AU413" s="253">
        <f t="shared" si="78"/>
        <v>0</v>
      </c>
      <c r="AV413" s="253">
        <f t="shared" si="79"/>
        <v>0</v>
      </c>
      <c r="AW413" s="253">
        <f t="shared" si="80"/>
        <v>0</v>
      </c>
      <c r="AX413" s="253">
        <f t="shared" si="81"/>
        <v>0</v>
      </c>
      <c r="AY413" s="253">
        <f t="shared" si="82"/>
        <v>0</v>
      </c>
      <c r="AZ413" s="253">
        <f t="shared" si="83"/>
        <v>0</v>
      </c>
      <c r="BA413" s="253">
        <f t="shared" si="84"/>
        <v>0</v>
      </c>
      <c r="BB413" s="253">
        <f t="shared" si="85"/>
        <v>0</v>
      </c>
      <c r="BC413" s="253">
        <f t="shared" si="86"/>
        <v>0</v>
      </c>
      <c r="BD413" s="253">
        <f t="shared" si="87"/>
        <v>0</v>
      </c>
      <c r="BE413" s="253">
        <f t="shared" si="88"/>
        <v>0</v>
      </c>
      <c r="BF413" s="253">
        <f t="shared" si="89"/>
        <v>0</v>
      </c>
    </row>
    <row r="414" spans="1:58" ht="15" customHeight="1">
      <c r="A414" s="94"/>
      <c r="C414" s="44" t="s">
        <v>4504</v>
      </c>
      <c r="D414" s="882"/>
      <c r="E414" s="883"/>
      <c r="F414" s="883"/>
      <c r="G414" s="883"/>
      <c r="H414" s="884"/>
      <c r="I414" s="816"/>
      <c r="J414" s="817"/>
      <c r="K414" s="88"/>
      <c r="L414" s="88"/>
      <c r="M414" s="88"/>
      <c r="N414" s="88"/>
      <c r="O414" s="1038"/>
      <c r="P414" s="1055"/>
      <c r="Q414" s="1038"/>
      <c r="R414" s="1055"/>
      <c r="S414" s="1038"/>
      <c r="T414" s="1055"/>
      <c r="U414" s="1038"/>
      <c r="V414" s="1055"/>
      <c r="W414" s="1038"/>
      <c r="X414" s="1055"/>
      <c r="Y414" s="1038"/>
      <c r="Z414" s="1055"/>
      <c r="AA414" s="816"/>
      <c r="AB414" s="817"/>
      <c r="AC414" s="816"/>
      <c r="AD414" s="817"/>
      <c r="AG414" s="326">
        <f t="shared" si="68"/>
        <v>0</v>
      </c>
      <c r="AH414" s="283">
        <f t="shared" si="69"/>
        <v>0</v>
      </c>
      <c r="AJ414">
        <f t="shared" si="70"/>
        <v>0</v>
      </c>
      <c r="AK414" s="249" t="b">
        <f t="shared" si="71"/>
        <v>0</v>
      </c>
      <c r="AL414" s="249" t="str">
        <f t="shared" si="72"/>
        <v/>
      </c>
      <c r="AM414" s="249" t="b">
        <f t="shared" si="73"/>
        <v>0</v>
      </c>
      <c r="AN414" s="249" t="str">
        <f t="shared" si="74"/>
        <v/>
      </c>
      <c r="AO414" s="249" t="b">
        <f t="shared" si="75"/>
        <v>0</v>
      </c>
      <c r="AQ414">
        <f>IF(I414&lt;=CNSIPEE_2024_M2_Secc1!$C$51,0,IF(I414="NS",0,1))</f>
        <v>0</v>
      </c>
      <c r="AS414">
        <f t="shared" si="76"/>
        <v>0</v>
      </c>
      <c r="AT414">
        <f t="shared" si="77"/>
        <v>0</v>
      </c>
      <c r="AU414" s="253">
        <f t="shared" si="78"/>
        <v>0</v>
      </c>
      <c r="AV414" s="253">
        <f t="shared" si="79"/>
        <v>0</v>
      </c>
      <c r="AW414" s="253">
        <f t="shared" si="80"/>
        <v>0</v>
      </c>
      <c r="AX414" s="253">
        <f t="shared" si="81"/>
        <v>0</v>
      </c>
      <c r="AY414" s="253">
        <f t="shared" si="82"/>
        <v>0</v>
      </c>
      <c r="AZ414" s="253">
        <f t="shared" si="83"/>
        <v>0</v>
      </c>
      <c r="BA414" s="253">
        <f t="shared" si="84"/>
        <v>0</v>
      </c>
      <c r="BB414" s="253">
        <f t="shared" si="85"/>
        <v>0</v>
      </c>
      <c r="BC414" s="253">
        <f t="shared" si="86"/>
        <v>0</v>
      </c>
      <c r="BD414" s="253">
        <f t="shared" si="87"/>
        <v>0</v>
      </c>
      <c r="BE414" s="253">
        <f t="shared" si="88"/>
        <v>0</v>
      </c>
      <c r="BF414" s="253">
        <f t="shared" si="89"/>
        <v>0</v>
      </c>
    </row>
    <row r="415" spans="1:58" ht="15" customHeight="1">
      <c r="A415" s="94"/>
      <c r="C415" s="44" t="s">
        <v>4505</v>
      </c>
      <c r="D415" s="882"/>
      <c r="E415" s="883"/>
      <c r="F415" s="883"/>
      <c r="G415" s="883"/>
      <c r="H415" s="884"/>
      <c r="I415" s="816"/>
      <c r="J415" s="817"/>
      <c r="K415" s="88"/>
      <c r="L415" s="88"/>
      <c r="M415" s="88"/>
      <c r="N415" s="88"/>
      <c r="O415" s="1038"/>
      <c r="P415" s="1055"/>
      <c r="Q415" s="1038"/>
      <c r="R415" s="1055"/>
      <c r="S415" s="1038"/>
      <c r="T415" s="1055"/>
      <c r="U415" s="1038"/>
      <c r="V415" s="1055"/>
      <c r="W415" s="1038"/>
      <c r="X415" s="1055"/>
      <c r="Y415" s="1038"/>
      <c r="Z415" s="1055"/>
      <c r="AA415" s="816"/>
      <c r="AB415" s="817"/>
      <c r="AC415" s="816"/>
      <c r="AD415" s="817"/>
      <c r="AG415" s="326">
        <f t="shared" si="68"/>
        <v>0</v>
      </c>
      <c r="AH415" s="283">
        <f t="shared" si="69"/>
        <v>0</v>
      </c>
      <c r="AJ415">
        <f t="shared" si="70"/>
        <v>0</v>
      </c>
      <c r="AK415" s="249" t="b">
        <f t="shared" si="71"/>
        <v>0</v>
      </c>
      <c r="AL415" s="249" t="str">
        <f t="shared" si="72"/>
        <v/>
      </c>
      <c r="AM415" s="249" t="b">
        <f t="shared" si="73"/>
        <v>0</v>
      </c>
      <c r="AN415" s="249" t="str">
        <f t="shared" si="74"/>
        <v/>
      </c>
      <c r="AO415" s="249" t="b">
        <f t="shared" si="75"/>
        <v>0</v>
      </c>
      <c r="AQ415">
        <f>IF(I415&lt;=CNSIPEE_2024_M2_Secc1!$C$51,0,IF(I415="NS",0,1))</f>
        <v>0</v>
      </c>
      <c r="AS415">
        <f t="shared" si="76"/>
        <v>0</v>
      </c>
      <c r="AT415">
        <f t="shared" si="77"/>
        <v>0</v>
      </c>
      <c r="AU415" s="253">
        <f t="shared" si="78"/>
        <v>0</v>
      </c>
      <c r="AV415" s="253">
        <f t="shared" si="79"/>
        <v>0</v>
      </c>
      <c r="AW415" s="253">
        <f t="shared" si="80"/>
        <v>0</v>
      </c>
      <c r="AX415" s="253">
        <f t="shared" si="81"/>
        <v>0</v>
      </c>
      <c r="AY415" s="253">
        <f t="shared" si="82"/>
        <v>0</v>
      </c>
      <c r="AZ415" s="253">
        <f t="shared" si="83"/>
        <v>0</v>
      </c>
      <c r="BA415" s="253">
        <f t="shared" si="84"/>
        <v>0</v>
      </c>
      <c r="BB415" s="253">
        <f t="shared" si="85"/>
        <v>0</v>
      </c>
      <c r="BC415" s="253">
        <f t="shared" si="86"/>
        <v>0</v>
      </c>
      <c r="BD415" s="253">
        <f t="shared" si="87"/>
        <v>0</v>
      </c>
      <c r="BE415" s="253">
        <f t="shared" si="88"/>
        <v>0</v>
      </c>
      <c r="BF415" s="253">
        <f t="shared" si="89"/>
        <v>0</v>
      </c>
    </row>
    <row r="416" spans="1:58" ht="15" customHeight="1">
      <c r="A416" s="94"/>
      <c r="C416" s="44" t="s">
        <v>4506</v>
      </c>
      <c r="D416" s="882"/>
      <c r="E416" s="883"/>
      <c r="F416" s="883"/>
      <c r="G416" s="883"/>
      <c r="H416" s="884"/>
      <c r="I416" s="816"/>
      <c r="J416" s="817"/>
      <c r="K416" s="88"/>
      <c r="L416" s="88"/>
      <c r="M416" s="88"/>
      <c r="N416" s="88"/>
      <c r="O416" s="1038"/>
      <c r="P416" s="1055"/>
      <c r="Q416" s="1038"/>
      <c r="R416" s="1055"/>
      <c r="S416" s="1038"/>
      <c r="T416" s="1055"/>
      <c r="U416" s="1038"/>
      <c r="V416" s="1055"/>
      <c r="W416" s="1038"/>
      <c r="X416" s="1055"/>
      <c r="Y416" s="1038"/>
      <c r="Z416" s="1055"/>
      <c r="AA416" s="816"/>
      <c r="AB416" s="817"/>
      <c r="AC416" s="816"/>
      <c r="AD416" s="817"/>
      <c r="AG416" s="326">
        <f t="shared" si="68"/>
        <v>0</v>
      </c>
      <c r="AH416" s="283">
        <f t="shared" si="69"/>
        <v>0</v>
      </c>
      <c r="AJ416">
        <f t="shared" si="70"/>
        <v>0</v>
      </c>
      <c r="AK416" s="249" t="b">
        <f t="shared" si="71"/>
        <v>0</v>
      </c>
      <c r="AL416" s="249" t="str">
        <f t="shared" si="72"/>
        <v/>
      </c>
      <c r="AM416" s="249" t="b">
        <f t="shared" si="73"/>
        <v>0</v>
      </c>
      <c r="AN416" s="249" t="str">
        <f t="shared" si="74"/>
        <v/>
      </c>
      <c r="AO416" s="249" t="b">
        <f t="shared" si="75"/>
        <v>0</v>
      </c>
      <c r="AQ416">
        <f>IF(I416&lt;=CNSIPEE_2024_M2_Secc1!$C$51,0,IF(I416="NS",0,1))</f>
        <v>0</v>
      </c>
      <c r="AS416">
        <f t="shared" si="76"/>
        <v>0</v>
      </c>
      <c r="AT416">
        <f t="shared" si="77"/>
        <v>0</v>
      </c>
      <c r="AU416" s="253">
        <f t="shared" si="78"/>
        <v>0</v>
      </c>
      <c r="AV416" s="253">
        <f t="shared" si="79"/>
        <v>0</v>
      </c>
      <c r="AW416" s="253">
        <f t="shared" si="80"/>
        <v>0</v>
      </c>
      <c r="AX416" s="253">
        <f t="shared" si="81"/>
        <v>0</v>
      </c>
      <c r="AY416" s="253">
        <f t="shared" si="82"/>
        <v>0</v>
      </c>
      <c r="AZ416" s="253">
        <f t="shared" si="83"/>
        <v>0</v>
      </c>
      <c r="BA416" s="253">
        <f t="shared" si="84"/>
        <v>0</v>
      </c>
      <c r="BB416" s="253">
        <f t="shared" si="85"/>
        <v>0</v>
      </c>
      <c r="BC416" s="253">
        <f t="shared" si="86"/>
        <v>0</v>
      </c>
      <c r="BD416" s="253">
        <f t="shared" si="87"/>
        <v>0</v>
      </c>
      <c r="BE416" s="253">
        <f t="shared" si="88"/>
        <v>0</v>
      </c>
      <c r="BF416" s="253">
        <f t="shared" si="89"/>
        <v>0</v>
      </c>
    </row>
    <row r="417" spans="1:58" ht="15" customHeight="1">
      <c r="A417" s="94"/>
      <c r="C417" s="44" t="s">
        <v>4507</v>
      </c>
      <c r="D417" s="882"/>
      <c r="E417" s="883"/>
      <c r="F417" s="883"/>
      <c r="G417" s="883"/>
      <c r="H417" s="884"/>
      <c r="I417" s="816"/>
      <c r="J417" s="817"/>
      <c r="K417" s="88"/>
      <c r="L417" s="88"/>
      <c r="M417" s="88"/>
      <c r="N417" s="88"/>
      <c r="O417" s="1038"/>
      <c r="P417" s="1055"/>
      <c r="Q417" s="1038"/>
      <c r="R417" s="1055"/>
      <c r="S417" s="1038"/>
      <c r="T417" s="1055"/>
      <c r="U417" s="1038"/>
      <c r="V417" s="1055"/>
      <c r="W417" s="1038"/>
      <c r="X417" s="1055"/>
      <c r="Y417" s="1038"/>
      <c r="Z417" s="1055"/>
      <c r="AA417" s="816"/>
      <c r="AB417" s="817"/>
      <c r="AC417" s="816"/>
      <c r="AD417" s="817"/>
      <c r="AG417" s="326">
        <f t="shared" si="68"/>
        <v>0</v>
      </c>
      <c r="AH417" s="283">
        <f t="shared" si="69"/>
        <v>0</v>
      </c>
      <c r="AJ417">
        <f t="shared" si="70"/>
        <v>0</v>
      </c>
      <c r="AK417" s="249" t="b">
        <f t="shared" si="71"/>
        <v>0</v>
      </c>
      <c r="AL417" s="249" t="str">
        <f t="shared" si="72"/>
        <v/>
      </c>
      <c r="AM417" s="249" t="b">
        <f t="shared" si="73"/>
        <v>0</v>
      </c>
      <c r="AN417" s="249" t="str">
        <f t="shared" si="74"/>
        <v/>
      </c>
      <c r="AO417" s="249" t="b">
        <f t="shared" si="75"/>
        <v>0</v>
      </c>
      <c r="AQ417">
        <f>IF(I417&lt;=CNSIPEE_2024_M2_Secc1!$C$51,0,IF(I417="NS",0,1))</f>
        <v>0</v>
      </c>
      <c r="AS417">
        <f t="shared" si="76"/>
        <v>0</v>
      </c>
      <c r="AT417">
        <f t="shared" si="77"/>
        <v>0</v>
      </c>
      <c r="AU417" s="253">
        <f t="shared" si="78"/>
        <v>0</v>
      </c>
      <c r="AV417" s="253">
        <f t="shared" si="79"/>
        <v>0</v>
      </c>
      <c r="AW417" s="253">
        <f t="shared" si="80"/>
        <v>0</v>
      </c>
      <c r="AX417" s="253">
        <f t="shared" si="81"/>
        <v>0</v>
      </c>
      <c r="AY417" s="253">
        <f t="shared" si="82"/>
        <v>0</v>
      </c>
      <c r="AZ417" s="253">
        <f t="shared" si="83"/>
        <v>0</v>
      </c>
      <c r="BA417" s="253">
        <f t="shared" si="84"/>
        <v>0</v>
      </c>
      <c r="BB417" s="253">
        <f t="shared" si="85"/>
        <v>0</v>
      </c>
      <c r="BC417" s="253">
        <f t="shared" si="86"/>
        <v>0</v>
      </c>
      <c r="BD417" s="253">
        <f t="shared" si="87"/>
        <v>0</v>
      </c>
      <c r="BE417" s="253">
        <f t="shared" si="88"/>
        <v>0</v>
      </c>
      <c r="BF417" s="253">
        <f t="shared" si="89"/>
        <v>0</v>
      </c>
    </row>
    <row r="418" spans="1:58" ht="15" customHeight="1">
      <c r="A418" s="94"/>
      <c r="C418" s="44" t="s">
        <v>4508</v>
      </c>
      <c r="D418" s="882"/>
      <c r="E418" s="883"/>
      <c r="F418" s="883"/>
      <c r="G418" s="883"/>
      <c r="H418" s="884"/>
      <c r="I418" s="816"/>
      <c r="J418" s="817"/>
      <c r="K418" s="88"/>
      <c r="L418" s="88"/>
      <c r="M418" s="88"/>
      <c r="N418" s="88"/>
      <c r="O418" s="1038"/>
      <c r="P418" s="1055"/>
      <c r="Q418" s="1038"/>
      <c r="R418" s="1055"/>
      <c r="S418" s="1038"/>
      <c r="T418" s="1055"/>
      <c r="U418" s="1038"/>
      <c r="V418" s="1055"/>
      <c r="W418" s="1038"/>
      <c r="X418" s="1055"/>
      <c r="Y418" s="1038"/>
      <c r="Z418" s="1055"/>
      <c r="AA418" s="816"/>
      <c r="AB418" s="817"/>
      <c r="AC418" s="816"/>
      <c r="AD418" s="817"/>
      <c r="AG418" s="326">
        <f t="shared" si="68"/>
        <v>0</v>
      </c>
      <c r="AH418" s="283">
        <f t="shared" si="69"/>
        <v>0</v>
      </c>
      <c r="AJ418">
        <f t="shared" si="70"/>
        <v>0</v>
      </c>
      <c r="AK418" s="249" t="b">
        <f t="shared" si="71"/>
        <v>0</v>
      </c>
      <c r="AL418" s="249" t="str">
        <f t="shared" si="72"/>
        <v/>
      </c>
      <c r="AM418" s="249" t="b">
        <f t="shared" si="73"/>
        <v>0</v>
      </c>
      <c r="AN418" s="249" t="str">
        <f t="shared" si="74"/>
        <v/>
      </c>
      <c r="AO418" s="249" t="b">
        <f t="shared" si="75"/>
        <v>0</v>
      </c>
      <c r="AQ418">
        <f>IF(I418&lt;=CNSIPEE_2024_M2_Secc1!$C$51,0,IF(I418="NS",0,1))</f>
        <v>0</v>
      </c>
      <c r="AS418">
        <f t="shared" si="76"/>
        <v>0</v>
      </c>
      <c r="AT418">
        <f t="shared" si="77"/>
        <v>0</v>
      </c>
      <c r="AU418" s="253">
        <f t="shared" si="78"/>
        <v>0</v>
      </c>
      <c r="AV418" s="253">
        <f t="shared" si="79"/>
        <v>0</v>
      </c>
      <c r="AW418" s="253">
        <f t="shared" si="80"/>
        <v>0</v>
      </c>
      <c r="AX418" s="253">
        <f t="shared" si="81"/>
        <v>0</v>
      </c>
      <c r="AY418" s="253">
        <f t="shared" si="82"/>
        <v>0</v>
      </c>
      <c r="AZ418" s="253">
        <f t="shared" si="83"/>
        <v>0</v>
      </c>
      <c r="BA418" s="253">
        <f t="shared" si="84"/>
        <v>0</v>
      </c>
      <c r="BB418" s="253">
        <f t="shared" si="85"/>
        <v>0</v>
      </c>
      <c r="BC418" s="253">
        <f t="shared" si="86"/>
        <v>0</v>
      </c>
      <c r="BD418" s="253">
        <f t="shared" si="87"/>
        <v>0</v>
      </c>
      <c r="BE418" s="253">
        <f t="shared" si="88"/>
        <v>0</v>
      </c>
      <c r="BF418" s="253">
        <f t="shared" si="89"/>
        <v>0</v>
      </c>
    </row>
    <row r="419" spans="1:58" ht="15" customHeight="1">
      <c r="A419" s="94"/>
      <c r="C419" s="44" t="s">
        <v>4509</v>
      </c>
      <c r="D419" s="882"/>
      <c r="E419" s="883"/>
      <c r="F419" s="883"/>
      <c r="G419" s="883"/>
      <c r="H419" s="884"/>
      <c r="I419" s="816"/>
      <c r="J419" s="817"/>
      <c r="K419" s="88"/>
      <c r="L419" s="88"/>
      <c r="M419" s="88"/>
      <c r="N419" s="88"/>
      <c r="O419" s="1038"/>
      <c r="P419" s="1055"/>
      <c r="Q419" s="1038"/>
      <c r="R419" s="1055"/>
      <c r="S419" s="1038"/>
      <c r="T419" s="1055"/>
      <c r="U419" s="1038"/>
      <c r="V419" s="1055"/>
      <c r="W419" s="1038"/>
      <c r="X419" s="1055"/>
      <c r="Y419" s="1038"/>
      <c r="Z419" s="1055"/>
      <c r="AA419" s="816"/>
      <c r="AB419" s="817"/>
      <c r="AC419" s="816"/>
      <c r="AD419" s="817"/>
      <c r="AG419" s="326">
        <f t="shared" si="68"/>
        <v>0</v>
      </c>
      <c r="AH419" s="283">
        <f t="shared" si="69"/>
        <v>0</v>
      </c>
      <c r="AJ419">
        <f t="shared" si="70"/>
        <v>0</v>
      </c>
      <c r="AK419" s="249" t="b">
        <f t="shared" si="71"/>
        <v>0</v>
      </c>
      <c r="AL419" s="249" t="str">
        <f t="shared" si="72"/>
        <v/>
      </c>
      <c r="AM419" s="249" t="b">
        <f t="shared" si="73"/>
        <v>0</v>
      </c>
      <c r="AN419" s="249" t="str">
        <f t="shared" si="74"/>
        <v/>
      </c>
      <c r="AO419" s="249" t="b">
        <f t="shared" si="75"/>
        <v>0</v>
      </c>
      <c r="AQ419">
        <f>IF(I419&lt;=CNSIPEE_2024_M2_Secc1!$C$51,0,IF(I419="NS",0,1))</f>
        <v>0</v>
      </c>
      <c r="AS419">
        <f t="shared" si="76"/>
        <v>0</v>
      </c>
      <c r="AT419">
        <f t="shared" si="77"/>
        <v>0</v>
      </c>
      <c r="AU419" s="253">
        <f t="shared" si="78"/>
        <v>0</v>
      </c>
      <c r="AV419" s="253">
        <f t="shared" si="79"/>
        <v>0</v>
      </c>
      <c r="AW419" s="253">
        <f t="shared" si="80"/>
        <v>0</v>
      </c>
      <c r="AX419" s="253">
        <f t="shared" si="81"/>
        <v>0</v>
      </c>
      <c r="AY419" s="253">
        <f t="shared" si="82"/>
        <v>0</v>
      </c>
      <c r="AZ419" s="253">
        <f t="shared" si="83"/>
        <v>0</v>
      </c>
      <c r="BA419" s="253">
        <f t="shared" si="84"/>
        <v>0</v>
      </c>
      <c r="BB419" s="253">
        <f t="shared" si="85"/>
        <v>0</v>
      </c>
      <c r="BC419" s="253">
        <f t="shared" si="86"/>
        <v>0</v>
      </c>
      <c r="BD419" s="253">
        <f t="shared" si="87"/>
        <v>0</v>
      </c>
      <c r="BE419" s="253">
        <f t="shared" si="88"/>
        <v>0</v>
      </c>
      <c r="BF419" s="253">
        <f t="shared" si="89"/>
        <v>0</v>
      </c>
    </row>
    <row r="420" spans="1:58" ht="15" customHeight="1">
      <c r="A420" s="94"/>
      <c r="C420" s="44" t="s">
        <v>4510</v>
      </c>
      <c r="D420" s="882"/>
      <c r="E420" s="883"/>
      <c r="F420" s="883"/>
      <c r="G420" s="883"/>
      <c r="H420" s="884"/>
      <c r="I420" s="816"/>
      <c r="J420" s="817"/>
      <c r="K420" s="88"/>
      <c r="L420" s="88"/>
      <c r="M420" s="88"/>
      <c r="N420" s="88"/>
      <c r="O420" s="1038"/>
      <c r="P420" s="1055"/>
      <c r="Q420" s="1038"/>
      <c r="R420" s="1055"/>
      <c r="S420" s="1038"/>
      <c r="T420" s="1055"/>
      <c r="U420" s="1038"/>
      <c r="V420" s="1055"/>
      <c r="W420" s="1038"/>
      <c r="X420" s="1055"/>
      <c r="Y420" s="1038"/>
      <c r="Z420" s="1055"/>
      <c r="AA420" s="816"/>
      <c r="AB420" s="817"/>
      <c r="AC420" s="816"/>
      <c r="AD420" s="817"/>
      <c r="AG420" s="326">
        <f t="shared" si="68"/>
        <v>0</v>
      </c>
      <c r="AH420" s="283">
        <f t="shared" si="69"/>
        <v>0</v>
      </c>
      <c r="AJ420">
        <f t="shared" si="70"/>
        <v>0</v>
      </c>
      <c r="AK420" s="249" t="b">
        <f t="shared" si="71"/>
        <v>0</v>
      </c>
      <c r="AL420" s="249" t="str">
        <f t="shared" si="72"/>
        <v/>
      </c>
      <c r="AM420" s="249" t="b">
        <f t="shared" si="73"/>
        <v>0</v>
      </c>
      <c r="AN420" s="249" t="str">
        <f t="shared" si="74"/>
        <v/>
      </c>
      <c r="AO420" s="249" t="b">
        <f t="shared" si="75"/>
        <v>0</v>
      </c>
      <c r="AQ420">
        <f>IF(I420&lt;=CNSIPEE_2024_M2_Secc1!$C$51,0,IF(I420="NS",0,1))</f>
        <v>0</v>
      </c>
      <c r="AS420">
        <f t="shared" si="76"/>
        <v>0</v>
      </c>
      <c r="AT420">
        <f t="shared" si="77"/>
        <v>0</v>
      </c>
      <c r="AU420" s="253">
        <f t="shared" si="78"/>
        <v>0</v>
      </c>
      <c r="AV420" s="253">
        <f t="shared" si="79"/>
        <v>0</v>
      </c>
      <c r="AW420" s="253">
        <f t="shared" si="80"/>
        <v>0</v>
      </c>
      <c r="AX420" s="253">
        <f t="shared" si="81"/>
        <v>0</v>
      </c>
      <c r="AY420" s="253">
        <f t="shared" si="82"/>
        <v>0</v>
      </c>
      <c r="AZ420" s="253">
        <f t="shared" si="83"/>
        <v>0</v>
      </c>
      <c r="BA420" s="253">
        <f t="shared" si="84"/>
        <v>0</v>
      </c>
      <c r="BB420" s="253">
        <f t="shared" si="85"/>
        <v>0</v>
      </c>
      <c r="BC420" s="253">
        <f t="shared" si="86"/>
        <v>0</v>
      </c>
      <c r="BD420" s="253">
        <f t="shared" si="87"/>
        <v>0</v>
      </c>
      <c r="BE420" s="253">
        <f t="shared" si="88"/>
        <v>0</v>
      </c>
      <c r="BF420" s="253">
        <f t="shared" si="89"/>
        <v>0</v>
      </c>
    </row>
    <row r="421" spans="1:58" ht="15" customHeight="1">
      <c r="A421" s="94"/>
      <c r="C421" s="44" t="s">
        <v>4511</v>
      </c>
      <c r="D421" s="882"/>
      <c r="E421" s="883"/>
      <c r="F421" s="883"/>
      <c r="G421" s="883"/>
      <c r="H421" s="884"/>
      <c r="I421" s="816"/>
      <c r="J421" s="817"/>
      <c r="K421" s="88"/>
      <c r="L421" s="88"/>
      <c r="M421" s="88"/>
      <c r="N421" s="88"/>
      <c r="O421" s="1038"/>
      <c r="P421" s="1055"/>
      <c r="Q421" s="1038"/>
      <c r="R421" s="1055"/>
      <c r="S421" s="1038"/>
      <c r="T421" s="1055"/>
      <c r="U421" s="1038"/>
      <c r="V421" s="1055"/>
      <c r="W421" s="1038"/>
      <c r="X421" s="1055"/>
      <c r="Y421" s="1038"/>
      <c r="Z421" s="1055"/>
      <c r="AA421" s="816"/>
      <c r="AB421" s="817"/>
      <c r="AC421" s="816"/>
      <c r="AD421" s="817"/>
      <c r="AG421" s="326">
        <f t="shared" si="68"/>
        <v>0</v>
      </c>
      <c r="AH421" s="283">
        <f t="shared" si="69"/>
        <v>0</v>
      </c>
      <c r="AJ421">
        <f t="shared" si="70"/>
        <v>0</v>
      </c>
      <c r="AK421" s="249" t="b">
        <f t="shared" si="71"/>
        <v>0</v>
      </c>
      <c r="AL421" s="249" t="str">
        <f t="shared" si="72"/>
        <v/>
      </c>
      <c r="AM421" s="249" t="b">
        <f t="shared" si="73"/>
        <v>0</v>
      </c>
      <c r="AN421" s="249" t="str">
        <f t="shared" si="74"/>
        <v/>
      </c>
      <c r="AO421" s="249" t="b">
        <f t="shared" si="75"/>
        <v>0</v>
      </c>
      <c r="AQ421">
        <f>IF(I421&lt;=CNSIPEE_2024_M2_Secc1!$C$51,0,IF(I421="NS",0,1))</f>
        <v>0</v>
      </c>
      <c r="AS421">
        <f t="shared" si="76"/>
        <v>0</v>
      </c>
      <c r="AT421">
        <f t="shared" si="77"/>
        <v>0</v>
      </c>
      <c r="AU421" s="253">
        <f t="shared" si="78"/>
        <v>0</v>
      </c>
      <c r="AV421" s="253">
        <f t="shared" si="79"/>
        <v>0</v>
      </c>
      <c r="AW421" s="253">
        <f t="shared" si="80"/>
        <v>0</v>
      </c>
      <c r="AX421" s="253">
        <f t="shared" si="81"/>
        <v>0</v>
      </c>
      <c r="AY421" s="253">
        <f t="shared" si="82"/>
        <v>0</v>
      </c>
      <c r="AZ421" s="253">
        <f t="shared" si="83"/>
        <v>0</v>
      </c>
      <c r="BA421" s="253">
        <f t="shared" si="84"/>
        <v>0</v>
      </c>
      <c r="BB421" s="253">
        <f t="shared" si="85"/>
        <v>0</v>
      </c>
      <c r="BC421" s="253">
        <f t="shared" si="86"/>
        <v>0</v>
      </c>
      <c r="BD421" s="253">
        <f t="shared" si="87"/>
        <v>0</v>
      </c>
      <c r="BE421" s="253">
        <f t="shared" si="88"/>
        <v>0</v>
      </c>
      <c r="BF421" s="253">
        <f t="shared" si="89"/>
        <v>0</v>
      </c>
    </row>
    <row r="422" spans="1:58" ht="15" customHeight="1">
      <c r="A422" s="94"/>
      <c r="C422" s="44" t="s">
        <v>2912</v>
      </c>
      <c r="D422" s="882"/>
      <c r="E422" s="883"/>
      <c r="F422" s="883"/>
      <c r="G422" s="883"/>
      <c r="H422" s="884"/>
      <c r="I422" s="816"/>
      <c r="J422" s="817"/>
      <c r="K422" s="88"/>
      <c r="L422" s="88"/>
      <c r="M422" s="88"/>
      <c r="N422" s="88"/>
      <c r="O422" s="1038"/>
      <c r="P422" s="1055"/>
      <c r="Q422" s="1038"/>
      <c r="R422" s="1055"/>
      <c r="S422" s="1038"/>
      <c r="T422" s="1055"/>
      <c r="U422" s="1038"/>
      <c r="V422" s="1055"/>
      <c r="W422" s="1038"/>
      <c r="X422" s="1055"/>
      <c r="Y422" s="1038"/>
      <c r="Z422" s="1055"/>
      <c r="AA422" s="816"/>
      <c r="AB422" s="817"/>
      <c r="AC422" s="816"/>
      <c r="AD422" s="817"/>
      <c r="AG422" s="326">
        <f t="shared" si="68"/>
        <v>0</v>
      </c>
      <c r="AH422" s="283">
        <f t="shared" si="69"/>
        <v>0</v>
      </c>
      <c r="AJ422">
        <f t="shared" si="70"/>
        <v>0</v>
      </c>
      <c r="AK422" s="249" t="b">
        <f t="shared" si="71"/>
        <v>0</v>
      </c>
      <c r="AL422" s="249" t="str">
        <f t="shared" si="72"/>
        <v/>
      </c>
      <c r="AM422" s="249" t="b">
        <f t="shared" si="73"/>
        <v>0</v>
      </c>
      <c r="AN422" s="249" t="str">
        <f t="shared" si="74"/>
        <v/>
      </c>
      <c r="AO422" s="249" t="b">
        <f t="shared" si="75"/>
        <v>0</v>
      </c>
      <c r="AQ422">
        <f>IF(I422&lt;=CNSIPEE_2024_M2_Secc1!$C$51,0,IF(I422="NS",0,1))</f>
        <v>0</v>
      </c>
      <c r="AS422">
        <f t="shared" si="76"/>
        <v>0</v>
      </c>
      <c r="AT422">
        <f t="shared" si="77"/>
        <v>0</v>
      </c>
      <c r="AU422" s="253">
        <f t="shared" si="78"/>
        <v>0</v>
      </c>
      <c r="AV422" s="253">
        <f t="shared" si="79"/>
        <v>0</v>
      </c>
      <c r="AW422" s="253">
        <f t="shared" si="80"/>
        <v>0</v>
      </c>
      <c r="AX422" s="253">
        <f t="shared" si="81"/>
        <v>0</v>
      </c>
      <c r="AY422" s="253">
        <f t="shared" si="82"/>
        <v>0</v>
      </c>
      <c r="AZ422" s="253">
        <f t="shared" si="83"/>
        <v>0</v>
      </c>
      <c r="BA422" s="253">
        <f t="shared" si="84"/>
        <v>0</v>
      </c>
      <c r="BB422" s="253">
        <f t="shared" si="85"/>
        <v>0</v>
      </c>
      <c r="BC422" s="253">
        <f t="shared" si="86"/>
        <v>0</v>
      </c>
      <c r="BD422" s="253">
        <f t="shared" si="87"/>
        <v>0</v>
      </c>
      <c r="BE422" s="253">
        <f t="shared" si="88"/>
        <v>0</v>
      </c>
      <c r="BF422" s="253">
        <f t="shared" si="89"/>
        <v>0</v>
      </c>
    </row>
    <row r="423" spans="1:58" ht="15" customHeight="1">
      <c r="A423" s="94"/>
      <c r="C423" s="144" t="s">
        <v>4512</v>
      </c>
      <c r="D423" s="882"/>
      <c r="E423" s="883"/>
      <c r="F423" s="883"/>
      <c r="G423" s="883"/>
      <c r="H423" s="884"/>
      <c r="I423" s="816"/>
      <c r="J423" s="817"/>
      <c r="K423" s="88"/>
      <c r="L423" s="88"/>
      <c r="M423" s="88"/>
      <c r="N423" s="88"/>
      <c r="O423" s="1038"/>
      <c r="P423" s="1055"/>
      <c r="Q423" s="1038"/>
      <c r="R423" s="1055"/>
      <c r="S423" s="1038"/>
      <c r="T423" s="1055"/>
      <c r="U423" s="1038"/>
      <c r="V423" s="1055"/>
      <c r="W423" s="1038"/>
      <c r="X423" s="1055"/>
      <c r="Y423" s="1038"/>
      <c r="Z423" s="1055"/>
      <c r="AA423" s="816"/>
      <c r="AB423" s="817"/>
      <c r="AC423" s="816"/>
      <c r="AD423" s="817"/>
      <c r="AG423" s="326">
        <f t="shared" si="68"/>
        <v>0</v>
      </c>
      <c r="AH423" s="283">
        <f t="shared" si="69"/>
        <v>0</v>
      </c>
      <c r="AJ423">
        <f t="shared" si="70"/>
        <v>0</v>
      </c>
      <c r="AK423" s="249" t="b">
        <f t="shared" si="71"/>
        <v>0</v>
      </c>
      <c r="AL423" s="249" t="str">
        <f t="shared" si="72"/>
        <v/>
      </c>
      <c r="AM423" s="249" t="b">
        <f t="shared" si="73"/>
        <v>0</v>
      </c>
      <c r="AN423" s="249" t="str">
        <f t="shared" si="74"/>
        <v/>
      </c>
      <c r="AO423" s="249" t="b">
        <f t="shared" si="75"/>
        <v>0</v>
      </c>
      <c r="AQ423">
        <f>IF(I423&lt;=CNSIPEE_2024_M2_Secc1!$C$51,0,IF(I423="NS",0,1))</f>
        <v>0</v>
      </c>
      <c r="AS423">
        <f t="shared" si="76"/>
        <v>0</v>
      </c>
      <c r="AT423">
        <f>IF(AND(AA423="X",Y423="",S423&lt;&gt;""),0,IF(Y423&lt;S423,1,0))</f>
        <v>0</v>
      </c>
      <c r="AU423" s="253">
        <f t="shared" si="78"/>
        <v>0</v>
      </c>
      <c r="AV423" s="253">
        <f>IF(O423="NS",0,IF(AND(O423&lt;&gt;"",SUM(AU423)=2),0,IF(O423="",0,1)))</f>
        <v>0</v>
      </c>
      <c r="AW423" s="253">
        <f t="shared" si="80"/>
        <v>0</v>
      </c>
      <c r="AX423" s="253">
        <f t="shared" si="81"/>
        <v>0</v>
      </c>
      <c r="AY423" s="253">
        <f t="shared" si="82"/>
        <v>0</v>
      </c>
      <c r="AZ423" s="253">
        <f t="shared" si="83"/>
        <v>0</v>
      </c>
      <c r="BA423" s="253">
        <f t="shared" si="84"/>
        <v>0</v>
      </c>
      <c r="BB423" s="253">
        <f t="shared" si="85"/>
        <v>0</v>
      </c>
      <c r="BC423" s="253">
        <f t="shared" si="86"/>
        <v>0</v>
      </c>
      <c r="BD423" s="253">
        <f t="shared" si="87"/>
        <v>0</v>
      </c>
      <c r="BE423" s="253">
        <f t="shared" si="88"/>
        <v>0</v>
      </c>
      <c r="BF423" s="253">
        <f t="shared" si="89"/>
        <v>0</v>
      </c>
    </row>
    <row r="424" spans="1:58">
      <c r="A424" s="94"/>
      <c r="B424" s="794" t="str">
        <f>IF(BF425&gt;0,"Favor de ingresar una fecha válida y/o verifique que el formato solicitado esté correcto","")</f>
        <v/>
      </c>
      <c r="C424" s="794"/>
      <c r="D424" s="794"/>
      <c r="E424" s="794"/>
      <c r="F424" s="794"/>
      <c r="G424" s="794"/>
      <c r="H424" s="794"/>
      <c r="I424" s="794"/>
      <c r="J424" s="794"/>
      <c r="K424" s="794"/>
      <c r="L424" s="794"/>
      <c r="M424" s="794"/>
      <c r="N424" s="794"/>
      <c r="O424" s="794"/>
      <c r="P424" s="794"/>
      <c r="Q424" s="794"/>
      <c r="R424" s="794"/>
      <c r="S424" s="794"/>
      <c r="T424" s="794"/>
      <c r="U424" s="794"/>
      <c r="V424" s="794"/>
      <c r="W424" s="794"/>
      <c r="X424" s="794"/>
      <c r="Y424" s="794"/>
      <c r="Z424" s="794"/>
      <c r="AA424" s="794"/>
      <c r="AB424" s="794"/>
      <c r="AC424" s="794"/>
      <c r="AD424" s="794"/>
      <c r="AG424" s="354">
        <f>SUM(AG324:AG423)</f>
        <v>0</v>
      </c>
      <c r="AH424" s="350">
        <f>SUM(AH324:AH423)</f>
        <v>0</v>
      </c>
      <c r="AI424"/>
      <c r="AJ424" s="568">
        <f>SUM(AJ324:AJ423)</f>
        <v>0</v>
      </c>
      <c r="AK424" s="250">
        <f>COUNTIF(AK324:AK423,TRUE)</f>
        <v>0</v>
      </c>
      <c r="AL424" s="249"/>
      <c r="AM424" s="250">
        <f>COUNTIF(AM324:AM423,TRUE)</f>
        <v>0</v>
      </c>
      <c r="AN424" s="249"/>
      <c r="AO424" s="250">
        <f>COUNTIF(AO324:AO423,TRUE)</f>
        <v>0</v>
      </c>
      <c r="AP424" s="250">
        <f>SUM(AK424,AM424,AO424)</f>
        <v>0</v>
      </c>
      <c r="AQ424" s="569">
        <f>SUM(AQ324:AQ423)</f>
        <v>0</v>
      </c>
      <c r="AR424" s="326"/>
      <c r="AS424" s="414">
        <f>SUM(AS324:AS423)</f>
        <v>0</v>
      </c>
      <c r="AT424" s="570">
        <f>SUM(AT324:AT423)</f>
        <v>0</v>
      </c>
      <c r="AU424" s="253"/>
      <c r="AV424" s="257">
        <f>SUM(AV324:AV423)</f>
        <v>0</v>
      </c>
      <c r="AW424" s="253"/>
      <c r="AX424" s="257">
        <f>SUM(AX324:AX423)</f>
        <v>0</v>
      </c>
      <c r="AY424" s="253"/>
      <c r="AZ424" s="257">
        <f>SUM(AZ324:AZ423)</f>
        <v>0</v>
      </c>
      <c r="BA424" s="253"/>
      <c r="BB424" s="257">
        <f>SUM(BB324:BB423)</f>
        <v>0</v>
      </c>
      <c r="BC424" s="253"/>
      <c r="BD424" s="257">
        <f>SUM(BD324:BD423)</f>
        <v>0</v>
      </c>
      <c r="BE424" s="253"/>
      <c r="BF424" s="257">
        <f>SUM(BF324:BF423)</f>
        <v>0</v>
      </c>
    </row>
    <row r="425" spans="1:58" ht="45" customHeight="1">
      <c r="A425" s="94"/>
      <c r="C425" s="1000" t="s">
        <v>4513</v>
      </c>
      <c r="D425" s="1000"/>
      <c r="E425" s="1001"/>
      <c r="F425" s="749"/>
      <c r="G425" s="749"/>
      <c r="H425" s="749"/>
      <c r="I425" s="749"/>
      <c r="J425" s="749"/>
      <c r="K425" s="749"/>
      <c r="L425" s="749"/>
      <c r="M425" s="749"/>
      <c r="N425" s="749"/>
      <c r="O425" s="749"/>
      <c r="P425" s="749"/>
      <c r="Q425" s="749"/>
      <c r="R425" s="749"/>
      <c r="S425" s="749"/>
      <c r="T425" s="749"/>
      <c r="U425" s="749"/>
      <c r="V425" s="749"/>
      <c r="W425" s="749"/>
      <c r="X425" s="749"/>
      <c r="Y425" s="749"/>
      <c r="Z425" s="749"/>
      <c r="AA425" s="749"/>
      <c r="AB425" s="749"/>
      <c r="AC425" s="749"/>
      <c r="AD425" s="749"/>
      <c r="AG425"/>
      <c r="AH425"/>
      <c r="AI425"/>
      <c r="AJ425"/>
      <c r="AK425"/>
      <c r="AL425"/>
      <c r="AM425"/>
      <c r="AN425"/>
      <c r="AO425"/>
      <c r="AP425"/>
      <c r="AQ425"/>
      <c r="AR425"/>
      <c r="AS425"/>
      <c r="AT425"/>
      <c r="AU425"/>
      <c r="AV425"/>
      <c r="AW425"/>
      <c r="AX425"/>
      <c r="AY425"/>
      <c r="AZ425"/>
      <c r="BA425"/>
      <c r="BB425"/>
      <c r="BC425"/>
      <c r="BD425"/>
      <c r="BE425"/>
      <c r="BF425" s="252">
        <f>SUM(AV424,AX424,AZ424,BB424,BD424,BF424)</f>
        <v>0</v>
      </c>
    </row>
    <row r="426" spans="1:58" ht="15" customHeight="1">
      <c r="A426" s="94"/>
      <c r="B426" s="794" t="str">
        <f>IF(AND(AI328&gt;0,F425=""),"Debido a que seleccionó el código 26 en la col. Tema o asunto regulado debe anotar el nombre de dicho(s) tema(s) o asunto(s)","")</f>
        <v/>
      </c>
      <c r="C426" s="794"/>
      <c r="D426" s="794"/>
      <c r="E426" s="794"/>
      <c r="F426" s="794"/>
      <c r="G426" s="794"/>
      <c r="H426" s="794"/>
      <c r="I426" s="794"/>
      <c r="J426" s="794"/>
      <c r="K426" s="794"/>
      <c r="L426" s="794"/>
      <c r="M426" s="794"/>
      <c r="N426" s="794"/>
      <c r="O426" s="794"/>
      <c r="P426" s="794"/>
      <c r="Q426" s="794"/>
      <c r="R426" s="794"/>
      <c r="S426" s="794"/>
      <c r="T426" s="794"/>
      <c r="U426" s="794"/>
      <c r="V426" s="794"/>
      <c r="W426" s="794"/>
      <c r="X426" s="794"/>
      <c r="Y426" s="794"/>
      <c r="Z426" s="794"/>
      <c r="AA426" s="794"/>
      <c r="AB426" s="794"/>
      <c r="AC426" s="794"/>
      <c r="AD426" s="794"/>
      <c r="AE426" s="794"/>
    </row>
    <row r="427" spans="1:58" ht="15" customHeight="1">
      <c r="A427" s="89"/>
      <c r="B427" s="90"/>
      <c r="C427" s="732" t="s">
        <v>4514</v>
      </c>
      <c r="D427" s="732"/>
      <c r="E427" s="732"/>
      <c r="F427" s="732"/>
      <c r="G427" s="732"/>
      <c r="H427" s="732"/>
      <c r="I427" s="732"/>
      <c r="J427" s="732"/>
      <c r="K427" s="732"/>
      <c r="L427" s="732"/>
      <c r="M427" s="732"/>
      <c r="N427" s="732"/>
      <c r="O427" s="732"/>
      <c r="P427" s="732"/>
      <c r="Q427" s="732"/>
      <c r="R427" s="732"/>
      <c r="S427" s="732"/>
      <c r="T427" s="732"/>
      <c r="U427" s="732"/>
      <c r="V427" s="732"/>
      <c r="W427" s="732"/>
      <c r="X427" s="732"/>
      <c r="Y427" s="732"/>
      <c r="Z427" s="732"/>
      <c r="AA427" s="732"/>
      <c r="AB427" s="732"/>
      <c r="AC427" s="732"/>
      <c r="AD427" s="732"/>
    </row>
    <row r="428" spans="1:58" ht="24" customHeight="1">
      <c r="A428" s="89"/>
      <c r="B428" s="90"/>
      <c r="C428" s="92" t="s">
        <v>2516</v>
      </c>
      <c r="D428" s="796" t="s">
        <v>4515</v>
      </c>
      <c r="E428" s="796"/>
      <c r="F428" s="796"/>
      <c r="G428" s="796"/>
      <c r="H428" s="796"/>
      <c r="I428" s="796"/>
      <c r="J428" s="796"/>
      <c r="K428" s="796"/>
      <c r="L428" s="796"/>
      <c r="M428" s="796"/>
      <c r="N428" s="796"/>
      <c r="O428" s="796"/>
      <c r="P428" s="796"/>
      <c r="Q428" s="44" t="s">
        <v>2529</v>
      </c>
      <c r="R428" s="813" t="s">
        <v>4516</v>
      </c>
      <c r="S428" s="814"/>
      <c r="T428" s="814"/>
      <c r="U428" s="814"/>
      <c r="V428" s="814"/>
      <c r="W428" s="814"/>
      <c r="X428" s="814"/>
      <c r="Y428" s="814"/>
      <c r="Z428" s="814"/>
      <c r="AA428" s="814"/>
      <c r="AB428" s="814"/>
      <c r="AC428" s="814"/>
      <c r="AD428" s="815"/>
    </row>
    <row r="429" spans="1:58" ht="36" customHeight="1">
      <c r="A429" s="89"/>
      <c r="B429" s="90"/>
      <c r="C429" s="44" t="s">
        <v>2517</v>
      </c>
      <c r="D429" s="796" t="s">
        <v>4517</v>
      </c>
      <c r="E429" s="796"/>
      <c r="F429" s="796"/>
      <c r="G429" s="796"/>
      <c r="H429" s="796"/>
      <c r="I429" s="796"/>
      <c r="J429" s="796"/>
      <c r="K429" s="796"/>
      <c r="L429" s="796"/>
      <c r="M429" s="796"/>
      <c r="N429" s="796"/>
      <c r="O429" s="796"/>
      <c r="P429" s="796"/>
      <c r="Q429" s="44" t="s">
        <v>2530</v>
      </c>
      <c r="R429" s="813" t="s">
        <v>4518</v>
      </c>
      <c r="S429" s="814"/>
      <c r="T429" s="814"/>
      <c r="U429" s="814"/>
      <c r="V429" s="814"/>
      <c r="W429" s="814"/>
      <c r="X429" s="814"/>
      <c r="Y429" s="814"/>
      <c r="Z429" s="814"/>
      <c r="AA429" s="814"/>
      <c r="AB429" s="814"/>
      <c r="AC429" s="814"/>
      <c r="AD429" s="815"/>
    </row>
    <row r="430" spans="1:58" ht="24" customHeight="1">
      <c r="A430" s="89"/>
      <c r="B430" s="90"/>
      <c r="C430" s="44" t="s">
        <v>2518</v>
      </c>
      <c r="D430" s="796" t="s">
        <v>4519</v>
      </c>
      <c r="E430" s="796"/>
      <c r="F430" s="796"/>
      <c r="G430" s="796"/>
      <c r="H430" s="796"/>
      <c r="I430" s="796"/>
      <c r="J430" s="796"/>
      <c r="K430" s="796"/>
      <c r="L430" s="796"/>
      <c r="M430" s="796"/>
      <c r="N430" s="796"/>
      <c r="O430" s="796"/>
      <c r="P430" s="796"/>
      <c r="Q430" s="44" t="s">
        <v>2531</v>
      </c>
      <c r="R430" s="813" t="s">
        <v>4520</v>
      </c>
      <c r="S430" s="814"/>
      <c r="T430" s="814"/>
      <c r="U430" s="814"/>
      <c r="V430" s="814"/>
      <c r="W430" s="814"/>
      <c r="X430" s="814"/>
      <c r="Y430" s="814"/>
      <c r="Z430" s="814"/>
      <c r="AA430" s="814"/>
      <c r="AB430" s="814"/>
      <c r="AC430" s="814"/>
      <c r="AD430" s="815"/>
    </row>
    <row r="431" spans="1:58" ht="24" customHeight="1">
      <c r="A431" s="89"/>
      <c r="B431" s="90"/>
      <c r="C431" s="44" t="s">
        <v>2519</v>
      </c>
      <c r="D431" s="796" t="s">
        <v>4521</v>
      </c>
      <c r="E431" s="796"/>
      <c r="F431" s="796"/>
      <c r="G431" s="796"/>
      <c r="H431" s="796"/>
      <c r="I431" s="796"/>
      <c r="J431" s="796"/>
      <c r="K431" s="796"/>
      <c r="L431" s="796"/>
      <c r="M431" s="796"/>
      <c r="N431" s="796"/>
      <c r="O431" s="796"/>
      <c r="P431" s="796"/>
      <c r="Q431" s="44" t="s">
        <v>2532</v>
      </c>
      <c r="R431" s="813" t="s">
        <v>4522</v>
      </c>
      <c r="S431" s="814"/>
      <c r="T431" s="814"/>
      <c r="U431" s="814"/>
      <c r="V431" s="814"/>
      <c r="W431" s="814"/>
      <c r="X431" s="814"/>
      <c r="Y431" s="814"/>
      <c r="Z431" s="814"/>
      <c r="AA431" s="814"/>
      <c r="AB431" s="814"/>
      <c r="AC431" s="814"/>
      <c r="AD431" s="815"/>
    </row>
    <row r="432" spans="1:58" ht="24" customHeight="1">
      <c r="A432" s="89"/>
      <c r="B432" s="90"/>
      <c r="C432" s="44" t="s">
        <v>2520</v>
      </c>
      <c r="D432" s="796" t="s">
        <v>4523</v>
      </c>
      <c r="E432" s="796"/>
      <c r="F432" s="796"/>
      <c r="G432" s="796"/>
      <c r="H432" s="796"/>
      <c r="I432" s="796"/>
      <c r="J432" s="796"/>
      <c r="K432" s="796"/>
      <c r="L432" s="796"/>
      <c r="M432" s="796"/>
      <c r="N432" s="796"/>
      <c r="O432" s="796"/>
      <c r="P432" s="796"/>
      <c r="Q432" s="44" t="s">
        <v>2533</v>
      </c>
      <c r="R432" s="813" t="s">
        <v>4524</v>
      </c>
      <c r="S432" s="814"/>
      <c r="T432" s="814"/>
      <c r="U432" s="814"/>
      <c r="V432" s="814"/>
      <c r="W432" s="814"/>
      <c r="X432" s="814"/>
      <c r="Y432" s="814"/>
      <c r="Z432" s="814"/>
      <c r="AA432" s="814"/>
      <c r="AB432" s="814"/>
      <c r="AC432" s="814"/>
      <c r="AD432" s="815"/>
    </row>
    <row r="433" spans="1:31" ht="24" customHeight="1">
      <c r="A433" s="89"/>
      <c r="B433" s="90"/>
      <c r="C433" s="44" t="s">
        <v>2521</v>
      </c>
      <c r="D433" s="796" t="s">
        <v>4525</v>
      </c>
      <c r="E433" s="796"/>
      <c r="F433" s="796"/>
      <c r="G433" s="796"/>
      <c r="H433" s="796"/>
      <c r="I433" s="796"/>
      <c r="J433" s="796"/>
      <c r="K433" s="796"/>
      <c r="L433" s="796"/>
      <c r="M433" s="796"/>
      <c r="N433" s="796"/>
      <c r="O433" s="796"/>
      <c r="P433" s="796"/>
      <c r="Q433" s="44" t="s">
        <v>2534</v>
      </c>
      <c r="R433" s="813" t="s">
        <v>4526</v>
      </c>
      <c r="S433" s="814"/>
      <c r="T433" s="814"/>
      <c r="U433" s="814"/>
      <c r="V433" s="814"/>
      <c r="W433" s="814"/>
      <c r="X433" s="814"/>
      <c r="Y433" s="814"/>
      <c r="Z433" s="814"/>
      <c r="AA433" s="814"/>
      <c r="AB433" s="814"/>
      <c r="AC433" s="814"/>
      <c r="AD433" s="815"/>
    </row>
    <row r="434" spans="1:31" ht="24" customHeight="1">
      <c r="A434" s="89"/>
      <c r="B434" s="90"/>
      <c r="C434" s="44" t="s">
        <v>2522</v>
      </c>
      <c r="D434" s="796" t="s">
        <v>4527</v>
      </c>
      <c r="E434" s="796"/>
      <c r="F434" s="796"/>
      <c r="G434" s="796"/>
      <c r="H434" s="796"/>
      <c r="I434" s="796"/>
      <c r="J434" s="796"/>
      <c r="K434" s="796"/>
      <c r="L434" s="796"/>
      <c r="M434" s="796"/>
      <c r="N434" s="796"/>
      <c r="O434" s="796"/>
      <c r="P434" s="796"/>
      <c r="Q434" s="44" t="s">
        <v>2535</v>
      </c>
      <c r="R434" s="813" t="s">
        <v>4528</v>
      </c>
      <c r="S434" s="814"/>
      <c r="T434" s="814"/>
      <c r="U434" s="814"/>
      <c r="V434" s="814"/>
      <c r="W434" s="814"/>
      <c r="X434" s="814"/>
      <c r="Y434" s="814"/>
      <c r="Z434" s="814"/>
      <c r="AA434" s="814"/>
      <c r="AB434" s="814"/>
      <c r="AC434" s="814"/>
      <c r="AD434" s="815"/>
    </row>
    <row r="435" spans="1:31" ht="24" customHeight="1">
      <c r="A435" s="89"/>
      <c r="B435" s="90"/>
      <c r="C435" s="44" t="s">
        <v>2523</v>
      </c>
      <c r="D435" s="796" t="s">
        <v>4529</v>
      </c>
      <c r="E435" s="796"/>
      <c r="F435" s="796"/>
      <c r="G435" s="796"/>
      <c r="H435" s="796"/>
      <c r="I435" s="796"/>
      <c r="J435" s="796"/>
      <c r="K435" s="796"/>
      <c r="L435" s="796"/>
      <c r="M435" s="796"/>
      <c r="N435" s="796"/>
      <c r="O435" s="796"/>
      <c r="P435" s="796"/>
      <c r="Q435" s="44" t="s">
        <v>2536</v>
      </c>
      <c r="R435" s="813" t="s">
        <v>4530</v>
      </c>
      <c r="S435" s="814"/>
      <c r="T435" s="814"/>
      <c r="U435" s="814"/>
      <c r="V435" s="814"/>
      <c r="W435" s="814"/>
      <c r="X435" s="814"/>
      <c r="Y435" s="814"/>
      <c r="Z435" s="814"/>
      <c r="AA435" s="814"/>
      <c r="AB435" s="814"/>
      <c r="AC435" s="814"/>
      <c r="AD435" s="815"/>
    </row>
    <row r="436" spans="1:31" ht="24" customHeight="1">
      <c r="A436" s="89"/>
      <c r="B436" s="90"/>
      <c r="C436" s="44" t="s">
        <v>2524</v>
      </c>
      <c r="D436" s="796" t="s">
        <v>4531</v>
      </c>
      <c r="E436" s="796"/>
      <c r="F436" s="796"/>
      <c r="G436" s="796"/>
      <c r="H436" s="796"/>
      <c r="I436" s="796"/>
      <c r="J436" s="796"/>
      <c r="K436" s="796"/>
      <c r="L436" s="796"/>
      <c r="M436" s="796"/>
      <c r="N436" s="796"/>
      <c r="O436" s="796"/>
      <c r="P436" s="796"/>
      <c r="Q436" s="44" t="s">
        <v>2537</v>
      </c>
      <c r="R436" s="813" t="s">
        <v>4532</v>
      </c>
      <c r="S436" s="814"/>
      <c r="T436" s="814"/>
      <c r="U436" s="814"/>
      <c r="V436" s="814"/>
      <c r="W436" s="814"/>
      <c r="X436" s="814"/>
      <c r="Y436" s="814"/>
      <c r="Z436" s="814"/>
      <c r="AA436" s="814"/>
      <c r="AB436" s="814"/>
      <c r="AC436" s="814"/>
      <c r="AD436" s="815"/>
    </row>
    <row r="437" spans="1:31" ht="15" customHeight="1">
      <c r="A437" s="89"/>
      <c r="B437" s="90"/>
      <c r="C437" s="44" t="s">
        <v>2525</v>
      </c>
      <c r="D437" s="796" t="s">
        <v>4533</v>
      </c>
      <c r="E437" s="796"/>
      <c r="F437" s="796"/>
      <c r="G437" s="796"/>
      <c r="H437" s="796"/>
      <c r="I437" s="796"/>
      <c r="J437" s="796"/>
      <c r="K437" s="796"/>
      <c r="L437" s="796"/>
      <c r="M437" s="796"/>
      <c r="N437" s="796"/>
      <c r="O437" s="796"/>
      <c r="P437" s="796"/>
      <c r="Q437" s="44" t="s">
        <v>2538</v>
      </c>
      <c r="R437" s="813" t="s">
        <v>4534</v>
      </c>
      <c r="S437" s="814"/>
      <c r="T437" s="814"/>
      <c r="U437" s="814"/>
      <c r="V437" s="814"/>
      <c r="W437" s="814"/>
      <c r="X437" s="814"/>
      <c r="Y437" s="814"/>
      <c r="Z437" s="814"/>
      <c r="AA437" s="814"/>
      <c r="AB437" s="814"/>
      <c r="AC437" s="814"/>
      <c r="AD437" s="815"/>
    </row>
    <row r="438" spans="1:31" ht="36" customHeight="1">
      <c r="A438" s="89"/>
      <c r="B438" s="90"/>
      <c r="C438" s="44" t="s">
        <v>2526</v>
      </c>
      <c r="D438" s="796" t="s">
        <v>4535</v>
      </c>
      <c r="E438" s="796"/>
      <c r="F438" s="796"/>
      <c r="G438" s="796"/>
      <c r="H438" s="796"/>
      <c r="I438" s="796"/>
      <c r="J438" s="796"/>
      <c r="K438" s="796"/>
      <c r="L438" s="796"/>
      <c r="M438" s="796"/>
      <c r="N438" s="796"/>
      <c r="O438" s="796"/>
      <c r="P438" s="796"/>
      <c r="Q438" s="44" t="s">
        <v>2539</v>
      </c>
      <c r="R438" s="813" t="s">
        <v>4536</v>
      </c>
      <c r="S438" s="814"/>
      <c r="T438" s="814"/>
      <c r="U438" s="814"/>
      <c r="V438" s="814"/>
      <c r="W438" s="814"/>
      <c r="X438" s="814"/>
      <c r="Y438" s="814"/>
      <c r="Z438" s="814"/>
      <c r="AA438" s="814"/>
      <c r="AB438" s="814"/>
      <c r="AC438" s="814"/>
      <c r="AD438" s="815"/>
    </row>
    <row r="439" spans="1:31" ht="24" customHeight="1">
      <c r="A439" s="89"/>
      <c r="B439" s="90"/>
      <c r="C439" s="44" t="s">
        <v>2527</v>
      </c>
      <c r="D439" s="796" t="s">
        <v>4537</v>
      </c>
      <c r="E439" s="796"/>
      <c r="F439" s="796"/>
      <c r="G439" s="796"/>
      <c r="H439" s="796"/>
      <c r="I439" s="796"/>
      <c r="J439" s="796"/>
      <c r="K439" s="796"/>
      <c r="L439" s="796"/>
      <c r="M439" s="796"/>
      <c r="N439" s="796"/>
      <c r="O439" s="796"/>
      <c r="P439" s="796"/>
      <c r="Q439" s="44" t="s">
        <v>2540</v>
      </c>
      <c r="R439" s="813" t="s">
        <v>4538</v>
      </c>
      <c r="S439" s="814"/>
      <c r="T439" s="814"/>
      <c r="U439" s="814"/>
      <c r="V439" s="814"/>
      <c r="W439" s="814"/>
      <c r="X439" s="814"/>
      <c r="Y439" s="814"/>
      <c r="Z439" s="814"/>
      <c r="AA439" s="814"/>
      <c r="AB439" s="814"/>
      <c r="AC439" s="814"/>
      <c r="AD439" s="815"/>
    </row>
    <row r="440" spans="1:31" ht="15" customHeight="1">
      <c r="A440" s="89"/>
      <c r="B440" s="90"/>
      <c r="C440" s="44" t="s">
        <v>2528</v>
      </c>
      <c r="D440" s="796" t="s">
        <v>4539</v>
      </c>
      <c r="E440" s="796"/>
      <c r="F440" s="796"/>
      <c r="G440" s="796"/>
      <c r="H440" s="796"/>
      <c r="I440" s="796"/>
      <c r="J440" s="796"/>
      <c r="K440" s="796"/>
      <c r="L440" s="796"/>
      <c r="M440" s="796"/>
      <c r="N440" s="796"/>
      <c r="O440" s="796"/>
      <c r="P440" s="796"/>
      <c r="Q440" s="44" t="s">
        <v>2541</v>
      </c>
      <c r="R440" s="813" t="s">
        <v>4540</v>
      </c>
      <c r="S440" s="814"/>
      <c r="T440" s="814"/>
      <c r="U440" s="814"/>
      <c r="V440" s="814"/>
      <c r="W440" s="814"/>
      <c r="X440" s="814"/>
      <c r="Y440" s="814"/>
      <c r="Z440" s="814"/>
      <c r="AA440" s="814"/>
      <c r="AB440" s="814"/>
      <c r="AC440" s="814"/>
      <c r="AD440" s="815"/>
    </row>
    <row r="441" spans="1:31" ht="15" customHeight="1">
      <c r="A441" s="49"/>
      <c r="B441" s="38"/>
      <c r="C441" s="70"/>
      <c r="D441" s="51"/>
      <c r="E441" s="51"/>
      <c r="F441" s="51"/>
      <c r="G441" s="51"/>
      <c r="H441" s="51"/>
      <c r="I441" s="51"/>
      <c r="J441" s="51"/>
      <c r="K441" s="51"/>
      <c r="L441" s="51"/>
      <c r="M441" s="51"/>
      <c r="N441" s="51"/>
      <c r="O441" s="51"/>
      <c r="P441" s="51"/>
      <c r="Q441" s="51"/>
      <c r="R441" s="51"/>
      <c r="S441" s="51"/>
      <c r="T441" s="51"/>
      <c r="U441" s="51"/>
      <c r="V441" s="51"/>
      <c r="W441" s="51"/>
      <c r="X441" s="51"/>
      <c r="Y441" s="51"/>
      <c r="Z441" s="51"/>
      <c r="AA441" s="51"/>
      <c r="AB441" s="51"/>
      <c r="AC441" s="51"/>
      <c r="AD441" s="51"/>
    </row>
    <row r="442" spans="1:31" ht="24" customHeight="1">
      <c r="A442" s="94"/>
      <c r="C442" s="764" t="s">
        <v>2611</v>
      </c>
      <c r="D442" s="764"/>
      <c r="E442" s="764"/>
      <c r="F442" s="764"/>
      <c r="G442" s="764"/>
      <c r="H442" s="764"/>
      <c r="I442" s="764"/>
      <c r="J442" s="764"/>
      <c r="K442" s="764"/>
      <c r="L442" s="764"/>
      <c r="M442" s="764"/>
      <c r="N442" s="764"/>
      <c r="O442" s="764"/>
      <c r="P442" s="764"/>
      <c r="Q442" s="764"/>
      <c r="R442" s="764"/>
      <c r="S442" s="764"/>
      <c r="T442" s="764"/>
      <c r="U442" s="764"/>
      <c r="V442" s="764"/>
      <c r="W442" s="764"/>
      <c r="X442" s="764"/>
      <c r="Y442" s="764"/>
      <c r="Z442" s="764"/>
      <c r="AA442" s="764"/>
      <c r="AB442" s="764"/>
      <c r="AC442" s="764"/>
      <c r="AD442" s="764"/>
    </row>
    <row r="443" spans="1:31" ht="60" customHeight="1">
      <c r="A443" s="94"/>
      <c r="C443" s="949"/>
      <c r="D443" s="949"/>
      <c r="E443" s="949"/>
      <c r="F443" s="949"/>
      <c r="G443" s="949"/>
      <c r="H443" s="949"/>
      <c r="I443" s="949"/>
      <c r="J443" s="949"/>
      <c r="K443" s="949"/>
      <c r="L443" s="949"/>
      <c r="M443" s="949"/>
      <c r="N443" s="949"/>
      <c r="O443" s="949"/>
      <c r="P443" s="949"/>
      <c r="Q443" s="949"/>
      <c r="R443" s="949"/>
      <c r="S443" s="949"/>
      <c r="T443" s="949"/>
      <c r="U443" s="949"/>
      <c r="V443" s="949"/>
      <c r="W443" s="949"/>
      <c r="X443" s="949"/>
      <c r="Y443" s="949"/>
      <c r="Z443" s="949"/>
      <c r="AA443" s="949"/>
      <c r="AB443" s="949"/>
      <c r="AC443" s="949"/>
      <c r="AD443" s="949"/>
    </row>
    <row r="444" spans="1:31" ht="15" customHeight="1">
      <c r="B444" s="794" t="str">
        <f>IF(AG424&gt;0,"Favor de ingresar toda la información requerida en la pregunta y/o verifique que no tenga información en celdas sombreadas","")</f>
        <v/>
      </c>
      <c r="C444" s="794"/>
      <c r="D444" s="794"/>
      <c r="E444" s="794"/>
      <c r="F444" s="794"/>
      <c r="G444" s="794"/>
      <c r="H444" s="794"/>
      <c r="I444" s="794"/>
      <c r="J444" s="794"/>
      <c r="K444" s="794"/>
      <c r="L444" s="794"/>
      <c r="M444" s="794"/>
      <c r="N444" s="794"/>
      <c r="O444" s="794"/>
      <c r="P444" s="794"/>
      <c r="Q444" s="794"/>
      <c r="R444" s="794"/>
      <c r="S444" s="794"/>
      <c r="T444" s="794"/>
      <c r="U444" s="794"/>
      <c r="V444" s="794"/>
      <c r="W444" s="794"/>
      <c r="X444" s="794"/>
      <c r="Y444" s="794"/>
      <c r="Z444" s="794"/>
      <c r="AA444" s="794"/>
      <c r="AB444" s="794"/>
      <c r="AC444" s="794"/>
      <c r="AD444" s="794"/>
      <c r="AE444"/>
    </row>
    <row r="445" spans="1:31" ht="15" customHeight="1">
      <c r="B445" s="795" t="str">
        <f>IF(AH424&gt;0,"Alerta: debido a que cuenta con registros NS, debe proporcionar una justificación en el area de comentarios al final de la pregunta","")</f>
        <v/>
      </c>
      <c r="C445" s="795"/>
      <c r="D445" s="795"/>
      <c r="E445" s="795"/>
      <c r="F445" s="795"/>
      <c r="G445" s="795"/>
      <c r="H445" s="795"/>
      <c r="I445" s="795"/>
      <c r="J445" s="795"/>
      <c r="K445" s="795"/>
      <c r="L445" s="795"/>
      <c r="M445" s="795"/>
      <c r="N445" s="795"/>
      <c r="O445" s="795"/>
      <c r="P445" s="795"/>
      <c r="Q445" s="795"/>
      <c r="R445" s="795"/>
      <c r="S445" s="795"/>
      <c r="T445" s="795"/>
      <c r="U445" s="795"/>
      <c r="V445" s="795"/>
      <c r="W445" s="795"/>
      <c r="X445" s="795"/>
      <c r="Y445" s="795"/>
      <c r="Z445" s="795"/>
      <c r="AA445" s="795"/>
      <c r="AB445" s="795"/>
      <c r="AC445" s="795"/>
      <c r="AD445" s="795"/>
      <c r="AE445"/>
    </row>
    <row r="446" spans="1:31" ht="15" customHeight="1">
      <c r="B446" s="794" t="str">
        <f>IF(AP424=0,"","El nombre debe registrarse en mayúsculas, sin comillas ni signos de acentuación, puntuación, paréntesis y abreviaturas")</f>
        <v/>
      </c>
      <c r="C446" s="794"/>
      <c r="D446" s="794"/>
      <c r="E446" s="794"/>
      <c r="F446" s="794"/>
      <c r="G446" s="794"/>
      <c r="H446" s="794"/>
      <c r="I446" s="794"/>
      <c r="J446" s="794"/>
      <c r="K446" s="794"/>
      <c r="L446" s="794"/>
      <c r="M446" s="794"/>
      <c r="N446" s="794"/>
      <c r="O446" s="794"/>
      <c r="P446" s="794"/>
      <c r="Q446" s="794"/>
      <c r="R446" s="794"/>
      <c r="S446" s="794"/>
      <c r="T446" s="794"/>
      <c r="U446" s="794"/>
      <c r="V446" s="794"/>
      <c r="W446" s="794"/>
      <c r="X446" s="794"/>
      <c r="Y446" s="794"/>
      <c r="Z446" s="794"/>
      <c r="AA446" s="794"/>
      <c r="AB446" s="794"/>
      <c r="AC446" s="794"/>
      <c r="AD446" s="794"/>
      <c r="AE446"/>
    </row>
    <row r="447" spans="1:31" ht="15" customHeight="1">
      <c r="B447" s="794" t="str">
        <f>IF(AQ424&gt;0,"Favor de revisar la instrucción 3 y verifique que se cumplan con los criterios establecidos",IF(AJ424&gt;0,"Debe seleccionar primero la col. Principal y después de izquierda a derecha las col. Secundarios",""))</f>
        <v/>
      </c>
      <c r="C447" s="794"/>
      <c r="D447" s="794"/>
      <c r="E447" s="794"/>
      <c r="F447" s="794"/>
      <c r="G447" s="794"/>
      <c r="H447" s="794"/>
      <c r="I447" s="794"/>
      <c r="J447" s="794"/>
      <c r="K447" s="794"/>
      <c r="L447" s="794"/>
      <c r="M447" s="794"/>
      <c r="N447" s="794"/>
      <c r="O447" s="794"/>
      <c r="P447" s="794"/>
      <c r="Q447" s="794"/>
      <c r="R447" s="794"/>
      <c r="S447" s="794"/>
      <c r="T447" s="794"/>
      <c r="U447" s="794"/>
      <c r="V447" s="794"/>
      <c r="W447" s="794"/>
      <c r="X447" s="794"/>
      <c r="Y447" s="794"/>
      <c r="Z447" s="794"/>
      <c r="AA447" s="794"/>
      <c r="AB447" s="794"/>
      <c r="AC447" s="794"/>
      <c r="AD447" s="794"/>
      <c r="AE447" s="794"/>
    </row>
    <row r="448" spans="1:31" ht="15" customHeight="1">
      <c r="B448" s="795" t="str">
        <f>IF(AT424&gt;0,"Alerta: debe de proporcionar una justificación de acuerdo a lo establecido en la instrucción 7","")</f>
        <v/>
      </c>
      <c r="C448" s="795"/>
      <c r="D448" s="795"/>
      <c r="E448" s="795"/>
      <c r="F448" s="795"/>
      <c r="G448" s="795"/>
      <c r="H448" s="795"/>
      <c r="I448" s="795"/>
      <c r="J448" s="795"/>
      <c r="K448" s="795"/>
      <c r="L448" s="795"/>
      <c r="M448" s="795"/>
      <c r="N448" s="795"/>
      <c r="O448" s="795"/>
      <c r="P448" s="795"/>
      <c r="Q448" s="795"/>
      <c r="R448" s="795"/>
      <c r="S448" s="795"/>
      <c r="T448" s="795"/>
      <c r="U448" s="795"/>
      <c r="V448" s="795"/>
      <c r="W448" s="795"/>
      <c r="X448" s="795"/>
      <c r="Y448" s="795"/>
      <c r="Z448" s="795"/>
      <c r="AA448" s="795"/>
      <c r="AB448" s="795"/>
      <c r="AC448" s="795"/>
      <c r="AD448" s="795"/>
      <c r="AE448" s="795"/>
    </row>
    <row r="449" spans="2:31" ht="15" customHeight="1">
      <c r="B449" s="794" t="str">
        <f>IF(AI324&gt;0,"La cantidad de protocolos registrados debe ser igual a lo reportado en la col.Protocolos de la preg. 6.5","")</f>
        <v/>
      </c>
      <c r="C449" s="794"/>
      <c r="D449" s="794"/>
      <c r="E449" s="794"/>
      <c r="F449" s="794"/>
      <c r="G449" s="794"/>
      <c r="H449" s="794"/>
      <c r="I449" s="794"/>
      <c r="J449" s="794"/>
      <c r="K449" s="794"/>
      <c r="L449" s="794"/>
      <c r="M449" s="794"/>
      <c r="N449" s="794"/>
      <c r="O449" s="794"/>
      <c r="P449" s="794"/>
      <c r="Q449" s="794"/>
      <c r="R449" s="794"/>
      <c r="S449" s="794"/>
      <c r="T449" s="794"/>
      <c r="U449" s="794"/>
      <c r="V449" s="794"/>
      <c r="W449" s="794"/>
      <c r="X449" s="794"/>
      <c r="Y449" s="794"/>
      <c r="Z449" s="794"/>
      <c r="AA449" s="794"/>
      <c r="AB449" s="794"/>
      <c r="AC449" s="794"/>
      <c r="AD449" s="794"/>
      <c r="AE449" s="794"/>
    </row>
  </sheetData>
  <sheetProtection algorithmName="SHA-512" hashValue="IgIMJuYnHe0FedJ6gbidBQNmgw8nfDEWriVZY4MTwjFyy552WBsYgKp/8Gn90mPre6ul6GKMduNx+vc4a8xG4w==" saltValue="7sAjyexlkRq19KLQ+rtnVA==" spinCount="100000" sheet="1" objects="1" scenarios="1"/>
  <mergeCells count="1803">
    <mergeCell ref="D227:H227"/>
    <mergeCell ref="D278:P278"/>
    <mergeCell ref="R278:AD278"/>
    <mergeCell ref="D279:P279"/>
    <mergeCell ref="R279:AD279"/>
    <mergeCell ref="D280:P280"/>
    <mergeCell ref="R280:AD280"/>
    <mergeCell ref="D281:P281"/>
    <mergeCell ref="R281:AD281"/>
    <mergeCell ref="D282:P282"/>
    <mergeCell ref="R282:AD282"/>
    <mergeCell ref="C284:AD284"/>
    <mergeCell ref="C285:AD285"/>
    <mergeCell ref="C268:E268"/>
    <mergeCell ref="F268:AD268"/>
    <mergeCell ref="C270:AD270"/>
    <mergeCell ref="D271:P271"/>
    <mergeCell ref="R271:AD271"/>
    <mergeCell ref="D272:P272"/>
    <mergeCell ref="R272:AD272"/>
    <mergeCell ref="D273:P273"/>
    <mergeCell ref="R273:AD273"/>
    <mergeCell ref="D274:P274"/>
    <mergeCell ref="R274:AD274"/>
    <mergeCell ref="D275:P275"/>
    <mergeCell ref="R275:AD275"/>
    <mergeCell ref="D276:P276"/>
    <mergeCell ref="R276:AD276"/>
    <mergeCell ref="D277:P277"/>
    <mergeCell ref="R277:AD277"/>
    <mergeCell ref="E264:F264"/>
    <mergeCell ref="E265:F265"/>
    <mergeCell ref="D165:H165"/>
    <mergeCell ref="B251:AD251"/>
    <mergeCell ref="C252:AD252"/>
    <mergeCell ref="C253:AD253"/>
    <mergeCell ref="D166:H166"/>
    <mergeCell ref="D167:H167"/>
    <mergeCell ref="O191:AD191"/>
    <mergeCell ref="O192:AD192"/>
    <mergeCell ref="O193:AD193"/>
    <mergeCell ref="O194:AD194"/>
    <mergeCell ref="O195:AD195"/>
    <mergeCell ref="O196:AD196"/>
    <mergeCell ref="C214:AD214"/>
    <mergeCell ref="C215:AD215"/>
    <mergeCell ref="Q241:AD241"/>
    <mergeCell ref="C218:H219"/>
    <mergeCell ref="I218:L219"/>
    <mergeCell ref="M218:AD218"/>
    <mergeCell ref="D220:H220"/>
    <mergeCell ref="I220:L220"/>
    <mergeCell ref="D221:H221"/>
    <mergeCell ref="I221:L221"/>
    <mergeCell ref="D222:H222"/>
    <mergeCell ref="I222:L222"/>
    <mergeCell ref="D223:H223"/>
    <mergeCell ref="I223:L223"/>
    <mergeCell ref="D224:H224"/>
    <mergeCell ref="I224:L224"/>
    <mergeCell ref="D225:H225"/>
    <mergeCell ref="I225:L225"/>
    <mergeCell ref="D226:H226"/>
    <mergeCell ref="I226:L226"/>
    <mergeCell ref="D134:H134"/>
    <mergeCell ref="D135:H135"/>
    <mergeCell ref="D136:H136"/>
    <mergeCell ref="D137:H137"/>
    <mergeCell ref="D138:H138"/>
    <mergeCell ref="D139:H139"/>
    <mergeCell ref="D140:H140"/>
    <mergeCell ref="D141:H141"/>
    <mergeCell ref="D142:H142"/>
    <mergeCell ref="D143:H143"/>
    <mergeCell ref="D144:H144"/>
    <mergeCell ref="D145:H145"/>
    <mergeCell ref="D146:H146"/>
    <mergeCell ref="D147:H147"/>
    <mergeCell ref="D148:H148"/>
    <mergeCell ref="I227:L227"/>
    <mergeCell ref="D149:H149"/>
    <mergeCell ref="D150:H150"/>
    <mergeCell ref="D151:H151"/>
    <mergeCell ref="D152:H152"/>
    <mergeCell ref="D153:H153"/>
    <mergeCell ref="D154:H154"/>
    <mergeCell ref="D155:H155"/>
    <mergeCell ref="D156:H156"/>
    <mergeCell ref="D157:H157"/>
    <mergeCell ref="D158:H158"/>
    <mergeCell ref="D159:H159"/>
    <mergeCell ref="D160:H160"/>
    <mergeCell ref="D161:H161"/>
    <mergeCell ref="D162:H162"/>
    <mergeCell ref="D163:H163"/>
    <mergeCell ref="D164:H164"/>
    <mergeCell ref="C442:AD442"/>
    <mergeCell ref="C443:AD443"/>
    <mergeCell ref="D428:P428"/>
    <mergeCell ref="R428:AD428"/>
    <mergeCell ref="D429:P429"/>
    <mergeCell ref="R429:AD429"/>
    <mergeCell ref="D430:P430"/>
    <mergeCell ref="R430:AD430"/>
    <mergeCell ref="AC422:AD422"/>
    <mergeCell ref="D423:H423"/>
    <mergeCell ref="I423:J423"/>
    <mergeCell ref="O423:P423"/>
    <mergeCell ref="Q423:R423"/>
    <mergeCell ref="S423:T423"/>
    <mergeCell ref="U423:V423"/>
    <mergeCell ref="W423:X423"/>
    <mergeCell ref="Y423:Z423"/>
    <mergeCell ref="AA423:AB423"/>
    <mergeCell ref="AC423:AD423"/>
    <mergeCell ref="D422:H422"/>
    <mergeCell ref="I422:J422"/>
    <mergeCell ref="O422:P422"/>
    <mergeCell ref="Q422:R422"/>
    <mergeCell ref="S422:T422"/>
    <mergeCell ref="U422:V422"/>
    <mergeCell ref="W422:X422"/>
    <mergeCell ref="Y422:Z422"/>
    <mergeCell ref="AA422:AB422"/>
    <mergeCell ref="B426:AE426"/>
    <mergeCell ref="C11:AD11"/>
    <mergeCell ref="B22:AD22"/>
    <mergeCell ref="B23:AD23"/>
    <mergeCell ref="C24:AD24"/>
    <mergeCell ref="B25:AD25"/>
    <mergeCell ref="D436:P436"/>
    <mergeCell ref="R436:AD436"/>
    <mergeCell ref="D437:P437"/>
    <mergeCell ref="R437:AD437"/>
    <mergeCell ref="D438:P438"/>
    <mergeCell ref="R438:AD438"/>
    <mergeCell ref="D439:P439"/>
    <mergeCell ref="R439:AD439"/>
    <mergeCell ref="D440:P440"/>
    <mergeCell ref="R440:AD440"/>
    <mergeCell ref="D431:P431"/>
    <mergeCell ref="R431:AD431"/>
    <mergeCell ref="D432:P432"/>
    <mergeCell ref="R432:AD432"/>
    <mergeCell ref="D433:P433"/>
    <mergeCell ref="R433:AD433"/>
    <mergeCell ref="D434:P434"/>
    <mergeCell ref="R434:AD434"/>
    <mergeCell ref="D435:P435"/>
    <mergeCell ref="R435:AD435"/>
    <mergeCell ref="C425:E425"/>
    <mergeCell ref="C15:AD15"/>
    <mergeCell ref="B42:AD42"/>
    <mergeCell ref="C43:AD43"/>
    <mergeCell ref="C44:AD44"/>
    <mergeCell ref="F425:AD425"/>
    <mergeCell ref="C427:AD427"/>
    <mergeCell ref="AC420:AD420"/>
    <mergeCell ref="D421:H421"/>
    <mergeCell ref="I421:J421"/>
    <mergeCell ref="O421:P421"/>
    <mergeCell ref="Q421:R421"/>
    <mergeCell ref="S421:T421"/>
    <mergeCell ref="U421:V421"/>
    <mergeCell ref="W421:X421"/>
    <mergeCell ref="Y421:Z421"/>
    <mergeCell ref="AA421:AB421"/>
    <mergeCell ref="AC421:AD421"/>
    <mergeCell ref="D420:H420"/>
    <mergeCell ref="I420:J420"/>
    <mergeCell ref="O420:P420"/>
    <mergeCell ref="Q420:R420"/>
    <mergeCell ref="S420:T420"/>
    <mergeCell ref="U420:V420"/>
    <mergeCell ref="W420:X420"/>
    <mergeCell ref="Y420:Z420"/>
    <mergeCell ref="AA420:AB420"/>
    <mergeCell ref="AC418:AD418"/>
    <mergeCell ref="D419:H419"/>
    <mergeCell ref="I419:J419"/>
    <mergeCell ref="O419:P419"/>
    <mergeCell ref="Q419:R419"/>
    <mergeCell ref="S419:T419"/>
    <mergeCell ref="U419:V419"/>
    <mergeCell ref="W419:X419"/>
    <mergeCell ref="Y419:Z419"/>
    <mergeCell ref="AA419:AB419"/>
    <mergeCell ref="AC419:AD419"/>
    <mergeCell ref="D418:H418"/>
    <mergeCell ref="I418:J418"/>
    <mergeCell ref="O418:P418"/>
    <mergeCell ref="Q418:R418"/>
    <mergeCell ref="S418:T418"/>
    <mergeCell ref="U418:V418"/>
    <mergeCell ref="W418:X418"/>
    <mergeCell ref="Y418:Z418"/>
    <mergeCell ref="AA418:AB418"/>
    <mergeCell ref="AC416:AD416"/>
    <mergeCell ref="D417:H417"/>
    <mergeCell ref="I417:J417"/>
    <mergeCell ref="O417:P417"/>
    <mergeCell ref="Q417:R417"/>
    <mergeCell ref="S417:T417"/>
    <mergeCell ref="U417:V417"/>
    <mergeCell ref="W417:X417"/>
    <mergeCell ref="Y417:Z417"/>
    <mergeCell ref="AA417:AB417"/>
    <mergeCell ref="AC417:AD417"/>
    <mergeCell ref="D416:H416"/>
    <mergeCell ref="I416:J416"/>
    <mergeCell ref="O416:P416"/>
    <mergeCell ref="Q416:R416"/>
    <mergeCell ref="S416:T416"/>
    <mergeCell ref="U416:V416"/>
    <mergeCell ref="W416:X416"/>
    <mergeCell ref="Y416:Z416"/>
    <mergeCell ref="AA416:AB416"/>
    <mergeCell ref="AC414:AD414"/>
    <mergeCell ref="D415:H415"/>
    <mergeCell ref="I415:J415"/>
    <mergeCell ref="O415:P415"/>
    <mergeCell ref="Q415:R415"/>
    <mergeCell ref="S415:T415"/>
    <mergeCell ref="U415:V415"/>
    <mergeCell ref="W415:X415"/>
    <mergeCell ref="Y415:Z415"/>
    <mergeCell ref="AA415:AB415"/>
    <mergeCell ref="AC415:AD415"/>
    <mergeCell ref="D414:H414"/>
    <mergeCell ref="I414:J414"/>
    <mergeCell ref="O414:P414"/>
    <mergeCell ref="Q414:R414"/>
    <mergeCell ref="S414:T414"/>
    <mergeCell ref="U414:V414"/>
    <mergeCell ref="W414:X414"/>
    <mergeCell ref="Y414:Z414"/>
    <mergeCell ref="AA414:AB414"/>
    <mergeCell ref="AC412:AD412"/>
    <mergeCell ref="D413:H413"/>
    <mergeCell ref="I413:J413"/>
    <mergeCell ref="O413:P413"/>
    <mergeCell ref="Q413:R413"/>
    <mergeCell ref="S413:T413"/>
    <mergeCell ref="U413:V413"/>
    <mergeCell ref="W413:X413"/>
    <mergeCell ref="Y413:Z413"/>
    <mergeCell ref="AA413:AB413"/>
    <mergeCell ref="AC413:AD413"/>
    <mergeCell ref="D412:H412"/>
    <mergeCell ref="I412:J412"/>
    <mergeCell ref="O412:P412"/>
    <mergeCell ref="Q412:R412"/>
    <mergeCell ref="S412:T412"/>
    <mergeCell ref="U412:V412"/>
    <mergeCell ref="W412:X412"/>
    <mergeCell ref="Y412:Z412"/>
    <mergeCell ref="AA412:AB412"/>
    <mergeCell ref="AC410:AD410"/>
    <mergeCell ref="D411:H411"/>
    <mergeCell ref="I411:J411"/>
    <mergeCell ref="O411:P411"/>
    <mergeCell ref="Q411:R411"/>
    <mergeCell ref="S411:T411"/>
    <mergeCell ref="U411:V411"/>
    <mergeCell ref="W411:X411"/>
    <mergeCell ref="Y411:Z411"/>
    <mergeCell ref="AA411:AB411"/>
    <mergeCell ref="AC411:AD411"/>
    <mergeCell ref="D410:H410"/>
    <mergeCell ref="I410:J410"/>
    <mergeCell ref="O410:P410"/>
    <mergeCell ref="Q410:R410"/>
    <mergeCell ref="S410:T410"/>
    <mergeCell ref="U410:V410"/>
    <mergeCell ref="W410:X410"/>
    <mergeCell ref="Y410:Z410"/>
    <mergeCell ref="AA410:AB410"/>
    <mergeCell ref="AC408:AD408"/>
    <mergeCell ref="D409:H409"/>
    <mergeCell ref="I409:J409"/>
    <mergeCell ref="O409:P409"/>
    <mergeCell ref="Q409:R409"/>
    <mergeCell ref="S409:T409"/>
    <mergeCell ref="U409:V409"/>
    <mergeCell ref="W409:X409"/>
    <mergeCell ref="Y409:Z409"/>
    <mergeCell ref="AA409:AB409"/>
    <mergeCell ref="AC409:AD409"/>
    <mergeCell ref="D408:H408"/>
    <mergeCell ref="I408:J408"/>
    <mergeCell ref="O408:P408"/>
    <mergeCell ref="Q408:R408"/>
    <mergeCell ref="S408:T408"/>
    <mergeCell ref="U408:V408"/>
    <mergeCell ref="W408:X408"/>
    <mergeCell ref="Y408:Z408"/>
    <mergeCell ref="AA408:AB408"/>
    <mergeCell ref="AC406:AD406"/>
    <mergeCell ref="D407:H407"/>
    <mergeCell ref="I407:J407"/>
    <mergeCell ref="O407:P407"/>
    <mergeCell ref="Q407:R407"/>
    <mergeCell ref="S407:T407"/>
    <mergeCell ref="U407:V407"/>
    <mergeCell ref="W407:X407"/>
    <mergeCell ref="Y407:Z407"/>
    <mergeCell ref="AA407:AB407"/>
    <mergeCell ref="AC407:AD407"/>
    <mergeCell ref="D406:H406"/>
    <mergeCell ref="I406:J406"/>
    <mergeCell ref="O406:P406"/>
    <mergeCell ref="Q406:R406"/>
    <mergeCell ref="S406:T406"/>
    <mergeCell ref="U406:V406"/>
    <mergeCell ref="W406:X406"/>
    <mergeCell ref="Y406:Z406"/>
    <mergeCell ref="AA406:AB406"/>
    <mergeCell ref="AC404:AD404"/>
    <mergeCell ref="D405:H405"/>
    <mergeCell ref="I405:J405"/>
    <mergeCell ref="O405:P405"/>
    <mergeCell ref="Q405:R405"/>
    <mergeCell ref="S405:T405"/>
    <mergeCell ref="U405:V405"/>
    <mergeCell ref="W405:X405"/>
    <mergeCell ref="Y405:Z405"/>
    <mergeCell ref="AA405:AB405"/>
    <mergeCell ref="AC405:AD405"/>
    <mergeCell ref="D404:H404"/>
    <mergeCell ref="I404:J404"/>
    <mergeCell ref="O404:P404"/>
    <mergeCell ref="Q404:R404"/>
    <mergeCell ref="S404:T404"/>
    <mergeCell ref="U404:V404"/>
    <mergeCell ref="W404:X404"/>
    <mergeCell ref="Y404:Z404"/>
    <mergeCell ref="AA404:AB404"/>
    <mergeCell ref="AC402:AD402"/>
    <mergeCell ref="D403:H403"/>
    <mergeCell ref="I403:J403"/>
    <mergeCell ref="O403:P403"/>
    <mergeCell ref="Q403:R403"/>
    <mergeCell ref="S403:T403"/>
    <mergeCell ref="U403:V403"/>
    <mergeCell ref="W403:X403"/>
    <mergeCell ref="Y403:Z403"/>
    <mergeCell ref="AA403:AB403"/>
    <mergeCell ref="AC403:AD403"/>
    <mergeCell ref="D402:H402"/>
    <mergeCell ref="I402:J402"/>
    <mergeCell ref="O402:P402"/>
    <mergeCell ref="Q402:R402"/>
    <mergeCell ref="S402:T402"/>
    <mergeCell ref="U402:V402"/>
    <mergeCell ref="W402:X402"/>
    <mergeCell ref="Y402:Z402"/>
    <mergeCell ref="AA402:AB402"/>
    <mergeCell ref="AC400:AD400"/>
    <mergeCell ref="D401:H401"/>
    <mergeCell ref="I401:J401"/>
    <mergeCell ref="O401:P401"/>
    <mergeCell ref="Q401:R401"/>
    <mergeCell ref="S401:T401"/>
    <mergeCell ref="U401:V401"/>
    <mergeCell ref="W401:X401"/>
    <mergeCell ref="Y401:Z401"/>
    <mergeCell ref="AA401:AB401"/>
    <mergeCell ref="AC401:AD401"/>
    <mergeCell ref="D400:H400"/>
    <mergeCell ref="I400:J400"/>
    <mergeCell ref="O400:P400"/>
    <mergeCell ref="Q400:R400"/>
    <mergeCell ref="S400:T400"/>
    <mergeCell ref="U400:V400"/>
    <mergeCell ref="W400:X400"/>
    <mergeCell ref="Y400:Z400"/>
    <mergeCell ref="AA400:AB400"/>
    <mergeCell ref="AC398:AD398"/>
    <mergeCell ref="D399:H399"/>
    <mergeCell ref="I399:J399"/>
    <mergeCell ref="O399:P399"/>
    <mergeCell ref="Q399:R399"/>
    <mergeCell ref="S399:T399"/>
    <mergeCell ref="U399:V399"/>
    <mergeCell ref="W399:X399"/>
    <mergeCell ref="Y399:Z399"/>
    <mergeCell ref="AA399:AB399"/>
    <mergeCell ref="AC399:AD399"/>
    <mergeCell ref="D398:H398"/>
    <mergeCell ref="I398:J398"/>
    <mergeCell ref="O398:P398"/>
    <mergeCell ref="Q398:R398"/>
    <mergeCell ref="S398:T398"/>
    <mergeCell ref="U398:V398"/>
    <mergeCell ref="W398:X398"/>
    <mergeCell ref="Y398:Z398"/>
    <mergeCell ref="AA398:AB398"/>
    <mergeCell ref="AC396:AD396"/>
    <mergeCell ref="D397:H397"/>
    <mergeCell ref="I397:J397"/>
    <mergeCell ref="O397:P397"/>
    <mergeCell ref="Q397:R397"/>
    <mergeCell ref="S397:T397"/>
    <mergeCell ref="U397:V397"/>
    <mergeCell ref="W397:X397"/>
    <mergeCell ref="Y397:Z397"/>
    <mergeCell ref="AA397:AB397"/>
    <mergeCell ref="AC397:AD397"/>
    <mergeCell ref="D396:H396"/>
    <mergeCell ref="I396:J396"/>
    <mergeCell ref="O396:P396"/>
    <mergeCell ref="Q396:R396"/>
    <mergeCell ref="S396:T396"/>
    <mergeCell ref="U396:V396"/>
    <mergeCell ref="W396:X396"/>
    <mergeCell ref="Y396:Z396"/>
    <mergeCell ref="AA396:AB396"/>
    <mergeCell ref="AC394:AD394"/>
    <mergeCell ref="D395:H395"/>
    <mergeCell ref="I395:J395"/>
    <mergeCell ref="O395:P395"/>
    <mergeCell ref="Q395:R395"/>
    <mergeCell ref="S395:T395"/>
    <mergeCell ref="U395:V395"/>
    <mergeCell ref="W395:X395"/>
    <mergeCell ref="Y395:Z395"/>
    <mergeCell ref="AA395:AB395"/>
    <mergeCell ref="AC395:AD395"/>
    <mergeCell ref="D394:H394"/>
    <mergeCell ref="I394:J394"/>
    <mergeCell ref="O394:P394"/>
    <mergeCell ref="Q394:R394"/>
    <mergeCell ref="S394:T394"/>
    <mergeCell ref="U394:V394"/>
    <mergeCell ref="W394:X394"/>
    <mergeCell ref="Y394:Z394"/>
    <mergeCell ref="AA394:AB394"/>
    <mergeCell ref="AC392:AD392"/>
    <mergeCell ref="D393:H393"/>
    <mergeCell ref="I393:J393"/>
    <mergeCell ref="O393:P393"/>
    <mergeCell ref="Q393:R393"/>
    <mergeCell ref="S393:T393"/>
    <mergeCell ref="U393:V393"/>
    <mergeCell ref="W393:X393"/>
    <mergeCell ref="Y393:Z393"/>
    <mergeCell ref="AA393:AB393"/>
    <mergeCell ref="AC393:AD393"/>
    <mergeCell ref="D392:H392"/>
    <mergeCell ref="I392:J392"/>
    <mergeCell ref="O392:P392"/>
    <mergeCell ref="Q392:R392"/>
    <mergeCell ref="S392:T392"/>
    <mergeCell ref="U392:V392"/>
    <mergeCell ref="W392:X392"/>
    <mergeCell ref="Y392:Z392"/>
    <mergeCell ref="AA392:AB392"/>
    <mergeCell ref="AC390:AD390"/>
    <mergeCell ref="D391:H391"/>
    <mergeCell ref="I391:J391"/>
    <mergeCell ref="O391:P391"/>
    <mergeCell ref="Q391:R391"/>
    <mergeCell ref="S391:T391"/>
    <mergeCell ref="U391:V391"/>
    <mergeCell ref="W391:X391"/>
    <mergeCell ref="Y391:Z391"/>
    <mergeCell ref="AA391:AB391"/>
    <mergeCell ref="AC391:AD391"/>
    <mergeCell ref="D390:H390"/>
    <mergeCell ref="I390:J390"/>
    <mergeCell ref="O390:P390"/>
    <mergeCell ref="Q390:R390"/>
    <mergeCell ref="S390:T390"/>
    <mergeCell ref="U390:V390"/>
    <mergeCell ref="W390:X390"/>
    <mergeCell ref="Y390:Z390"/>
    <mergeCell ref="AA390:AB390"/>
    <mergeCell ref="AC388:AD388"/>
    <mergeCell ref="D389:H389"/>
    <mergeCell ref="I389:J389"/>
    <mergeCell ref="O389:P389"/>
    <mergeCell ref="Q389:R389"/>
    <mergeCell ref="S389:T389"/>
    <mergeCell ref="U389:V389"/>
    <mergeCell ref="W389:X389"/>
    <mergeCell ref="Y389:Z389"/>
    <mergeCell ref="AA389:AB389"/>
    <mergeCell ref="AC389:AD389"/>
    <mergeCell ref="D388:H388"/>
    <mergeCell ref="I388:J388"/>
    <mergeCell ref="O388:P388"/>
    <mergeCell ref="Q388:R388"/>
    <mergeCell ref="S388:T388"/>
    <mergeCell ref="U388:V388"/>
    <mergeCell ref="W388:X388"/>
    <mergeCell ref="Y388:Z388"/>
    <mergeCell ref="AA388:AB388"/>
    <mergeCell ref="AC386:AD386"/>
    <mergeCell ref="D387:H387"/>
    <mergeCell ref="I387:J387"/>
    <mergeCell ref="O387:P387"/>
    <mergeCell ref="Q387:R387"/>
    <mergeCell ref="S387:T387"/>
    <mergeCell ref="U387:V387"/>
    <mergeCell ref="W387:X387"/>
    <mergeCell ref="Y387:Z387"/>
    <mergeCell ref="AA387:AB387"/>
    <mergeCell ref="AC387:AD387"/>
    <mergeCell ref="D386:H386"/>
    <mergeCell ref="I386:J386"/>
    <mergeCell ref="O386:P386"/>
    <mergeCell ref="Q386:R386"/>
    <mergeCell ref="S386:T386"/>
    <mergeCell ref="U386:V386"/>
    <mergeCell ref="W386:X386"/>
    <mergeCell ref="Y386:Z386"/>
    <mergeCell ref="AA386:AB386"/>
    <mergeCell ref="AC384:AD384"/>
    <mergeCell ref="D385:H385"/>
    <mergeCell ref="I385:J385"/>
    <mergeCell ref="O385:P385"/>
    <mergeCell ref="Q385:R385"/>
    <mergeCell ref="S385:T385"/>
    <mergeCell ref="U385:V385"/>
    <mergeCell ref="W385:X385"/>
    <mergeCell ref="Y385:Z385"/>
    <mergeCell ref="AA385:AB385"/>
    <mergeCell ref="AC385:AD385"/>
    <mergeCell ref="D384:H384"/>
    <mergeCell ref="I384:J384"/>
    <mergeCell ref="O384:P384"/>
    <mergeCell ref="Q384:R384"/>
    <mergeCell ref="S384:T384"/>
    <mergeCell ref="U384:V384"/>
    <mergeCell ref="W384:X384"/>
    <mergeCell ref="Y384:Z384"/>
    <mergeCell ref="AA384:AB384"/>
    <mergeCell ref="AC382:AD382"/>
    <mergeCell ref="D383:H383"/>
    <mergeCell ref="I383:J383"/>
    <mergeCell ref="O383:P383"/>
    <mergeCell ref="Q383:R383"/>
    <mergeCell ref="S383:T383"/>
    <mergeCell ref="U383:V383"/>
    <mergeCell ref="W383:X383"/>
    <mergeCell ref="Y383:Z383"/>
    <mergeCell ref="AA383:AB383"/>
    <mergeCell ref="AC383:AD383"/>
    <mergeCell ref="D382:H382"/>
    <mergeCell ref="I382:J382"/>
    <mergeCell ref="O382:P382"/>
    <mergeCell ref="Q382:R382"/>
    <mergeCell ref="S382:T382"/>
    <mergeCell ref="U382:V382"/>
    <mergeCell ref="W382:X382"/>
    <mergeCell ref="Y382:Z382"/>
    <mergeCell ref="AA382:AB382"/>
    <mergeCell ref="AC380:AD380"/>
    <mergeCell ref="D381:H381"/>
    <mergeCell ref="I381:J381"/>
    <mergeCell ref="O381:P381"/>
    <mergeCell ref="Q381:R381"/>
    <mergeCell ref="S381:T381"/>
    <mergeCell ref="U381:V381"/>
    <mergeCell ref="W381:X381"/>
    <mergeCell ref="Y381:Z381"/>
    <mergeCell ref="AA381:AB381"/>
    <mergeCell ref="AC381:AD381"/>
    <mergeCell ref="D380:H380"/>
    <mergeCell ref="I380:J380"/>
    <mergeCell ref="O380:P380"/>
    <mergeCell ref="Q380:R380"/>
    <mergeCell ref="S380:T380"/>
    <mergeCell ref="U380:V380"/>
    <mergeCell ref="W380:X380"/>
    <mergeCell ref="Y380:Z380"/>
    <mergeCell ref="AA380:AB380"/>
    <mergeCell ref="AC378:AD378"/>
    <mergeCell ref="D379:H379"/>
    <mergeCell ref="I379:J379"/>
    <mergeCell ref="O379:P379"/>
    <mergeCell ref="Q379:R379"/>
    <mergeCell ref="S379:T379"/>
    <mergeCell ref="U379:V379"/>
    <mergeCell ref="W379:X379"/>
    <mergeCell ref="Y379:Z379"/>
    <mergeCell ref="AA379:AB379"/>
    <mergeCell ref="AC379:AD379"/>
    <mergeCell ref="D378:H378"/>
    <mergeCell ref="I378:J378"/>
    <mergeCell ref="O378:P378"/>
    <mergeCell ref="Q378:R378"/>
    <mergeCell ref="S378:T378"/>
    <mergeCell ref="U378:V378"/>
    <mergeCell ref="W378:X378"/>
    <mergeCell ref="Y378:Z378"/>
    <mergeCell ref="AA378:AB378"/>
    <mergeCell ref="AC376:AD376"/>
    <mergeCell ref="D377:H377"/>
    <mergeCell ref="I377:J377"/>
    <mergeCell ref="O377:P377"/>
    <mergeCell ref="Q377:R377"/>
    <mergeCell ref="S377:T377"/>
    <mergeCell ref="U377:V377"/>
    <mergeCell ref="W377:X377"/>
    <mergeCell ref="Y377:Z377"/>
    <mergeCell ref="AA377:AB377"/>
    <mergeCell ref="AC377:AD377"/>
    <mergeCell ref="D376:H376"/>
    <mergeCell ref="I376:J376"/>
    <mergeCell ref="O376:P376"/>
    <mergeCell ref="Q376:R376"/>
    <mergeCell ref="S376:T376"/>
    <mergeCell ref="U376:V376"/>
    <mergeCell ref="W376:X376"/>
    <mergeCell ref="Y376:Z376"/>
    <mergeCell ref="AA376:AB376"/>
    <mergeCell ref="AC374:AD374"/>
    <mergeCell ref="D375:H375"/>
    <mergeCell ref="I375:J375"/>
    <mergeCell ref="O375:P375"/>
    <mergeCell ref="Q375:R375"/>
    <mergeCell ref="S375:T375"/>
    <mergeCell ref="U375:V375"/>
    <mergeCell ref="W375:X375"/>
    <mergeCell ref="Y375:Z375"/>
    <mergeCell ref="AA375:AB375"/>
    <mergeCell ref="AC375:AD375"/>
    <mergeCell ref="D374:H374"/>
    <mergeCell ref="I374:J374"/>
    <mergeCell ref="O374:P374"/>
    <mergeCell ref="Q374:R374"/>
    <mergeCell ref="S374:T374"/>
    <mergeCell ref="U374:V374"/>
    <mergeCell ref="W374:X374"/>
    <mergeCell ref="Y374:Z374"/>
    <mergeCell ref="AA374:AB374"/>
    <mergeCell ref="AC372:AD372"/>
    <mergeCell ref="D373:H373"/>
    <mergeCell ref="I373:J373"/>
    <mergeCell ref="O373:P373"/>
    <mergeCell ref="Q373:R373"/>
    <mergeCell ref="S373:T373"/>
    <mergeCell ref="U373:V373"/>
    <mergeCell ref="W373:X373"/>
    <mergeCell ref="Y373:Z373"/>
    <mergeCell ref="AA373:AB373"/>
    <mergeCell ref="AC373:AD373"/>
    <mergeCell ref="D372:H372"/>
    <mergeCell ref="I372:J372"/>
    <mergeCell ref="O372:P372"/>
    <mergeCell ref="Q372:R372"/>
    <mergeCell ref="S372:T372"/>
    <mergeCell ref="U372:V372"/>
    <mergeCell ref="W372:X372"/>
    <mergeCell ref="Y372:Z372"/>
    <mergeCell ref="AA372:AB372"/>
    <mergeCell ref="AC370:AD370"/>
    <mergeCell ref="D371:H371"/>
    <mergeCell ref="I371:J371"/>
    <mergeCell ref="O371:P371"/>
    <mergeCell ref="Q371:R371"/>
    <mergeCell ref="S371:T371"/>
    <mergeCell ref="U371:V371"/>
    <mergeCell ref="W371:X371"/>
    <mergeCell ref="Y371:Z371"/>
    <mergeCell ref="AA371:AB371"/>
    <mergeCell ref="AC371:AD371"/>
    <mergeCell ref="D370:H370"/>
    <mergeCell ref="I370:J370"/>
    <mergeCell ref="O370:P370"/>
    <mergeCell ref="Q370:R370"/>
    <mergeCell ref="S370:T370"/>
    <mergeCell ref="U370:V370"/>
    <mergeCell ref="W370:X370"/>
    <mergeCell ref="Y370:Z370"/>
    <mergeCell ref="AA370:AB370"/>
    <mergeCell ref="AC368:AD368"/>
    <mergeCell ref="D369:H369"/>
    <mergeCell ref="I369:J369"/>
    <mergeCell ref="O369:P369"/>
    <mergeCell ref="Q369:R369"/>
    <mergeCell ref="S369:T369"/>
    <mergeCell ref="U369:V369"/>
    <mergeCell ref="W369:X369"/>
    <mergeCell ref="Y369:Z369"/>
    <mergeCell ref="AA369:AB369"/>
    <mergeCell ref="AC369:AD369"/>
    <mergeCell ref="D368:H368"/>
    <mergeCell ref="I368:J368"/>
    <mergeCell ref="O368:P368"/>
    <mergeCell ref="Q368:R368"/>
    <mergeCell ref="S368:T368"/>
    <mergeCell ref="U368:V368"/>
    <mergeCell ref="W368:X368"/>
    <mergeCell ref="Y368:Z368"/>
    <mergeCell ref="AA368:AB368"/>
    <mergeCell ref="AC366:AD366"/>
    <mergeCell ref="D367:H367"/>
    <mergeCell ref="I367:J367"/>
    <mergeCell ref="O367:P367"/>
    <mergeCell ref="Q367:R367"/>
    <mergeCell ref="S367:T367"/>
    <mergeCell ref="U367:V367"/>
    <mergeCell ref="W367:X367"/>
    <mergeCell ref="Y367:Z367"/>
    <mergeCell ref="AA367:AB367"/>
    <mergeCell ref="AC367:AD367"/>
    <mergeCell ref="D366:H366"/>
    <mergeCell ref="I366:J366"/>
    <mergeCell ref="O366:P366"/>
    <mergeCell ref="Q366:R366"/>
    <mergeCell ref="S366:T366"/>
    <mergeCell ref="U366:V366"/>
    <mergeCell ref="W366:X366"/>
    <mergeCell ref="Y366:Z366"/>
    <mergeCell ref="AA366:AB366"/>
    <mergeCell ref="AC364:AD364"/>
    <mergeCell ref="D365:H365"/>
    <mergeCell ref="I365:J365"/>
    <mergeCell ref="O365:P365"/>
    <mergeCell ref="Q365:R365"/>
    <mergeCell ref="S365:T365"/>
    <mergeCell ref="U365:V365"/>
    <mergeCell ref="W365:X365"/>
    <mergeCell ref="Y365:Z365"/>
    <mergeCell ref="AA365:AB365"/>
    <mergeCell ref="AC365:AD365"/>
    <mergeCell ref="D364:H364"/>
    <mergeCell ref="I364:J364"/>
    <mergeCell ref="O364:P364"/>
    <mergeCell ref="Q364:R364"/>
    <mergeCell ref="S364:T364"/>
    <mergeCell ref="U364:V364"/>
    <mergeCell ref="W364:X364"/>
    <mergeCell ref="Y364:Z364"/>
    <mergeCell ref="AA364:AB364"/>
    <mergeCell ref="AC362:AD362"/>
    <mergeCell ref="D363:H363"/>
    <mergeCell ref="I363:J363"/>
    <mergeCell ref="O363:P363"/>
    <mergeCell ref="Q363:R363"/>
    <mergeCell ref="S363:T363"/>
    <mergeCell ref="U363:V363"/>
    <mergeCell ref="W363:X363"/>
    <mergeCell ref="Y363:Z363"/>
    <mergeCell ref="AA363:AB363"/>
    <mergeCell ref="AC363:AD363"/>
    <mergeCell ref="D362:H362"/>
    <mergeCell ref="I362:J362"/>
    <mergeCell ref="O362:P362"/>
    <mergeCell ref="Q362:R362"/>
    <mergeCell ref="S362:T362"/>
    <mergeCell ref="U362:V362"/>
    <mergeCell ref="W362:X362"/>
    <mergeCell ref="Y362:Z362"/>
    <mergeCell ref="AA362:AB362"/>
    <mergeCell ref="AC360:AD360"/>
    <mergeCell ref="D361:H361"/>
    <mergeCell ref="I361:J361"/>
    <mergeCell ref="O361:P361"/>
    <mergeCell ref="Q361:R361"/>
    <mergeCell ref="S361:T361"/>
    <mergeCell ref="U361:V361"/>
    <mergeCell ref="W361:X361"/>
    <mergeCell ref="Y361:Z361"/>
    <mergeCell ref="AA361:AB361"/>
    <mergeCell ref="AC361:AD361"/>
    <mergeCell ref="D360:H360"/>
    <mergeCell ref="I360:J360"/>
    <mergeCell ref="O360:P360"/>
    <mergeCell ref="Q360:R360"/>
    <mergeCell ref="S360:T360"/>
    <mergeCell ref="U360:V360"/>
    <mergeCell ref="W360:X360"/>
    <mergeCell ref="Y360:Z360"/>
    <mergeCell ref="AA360:AB360"/>
    <mergeCell ref="AC358:AD358"/>
    <mergeCell ref="D359:H359"/>
    <mergeCell ref="I359:J359"/>
    <mergeCell ref="O359:P359"/>
    <mergeCell ref="Q359:R359"/>
    <mergeCell ref="S359:T359"/>
    <mergeCell ref="U359:V359"/>
    <mergeCell ref="W359:X359"/>
    <mergeCell ref="Y359:Z359"/>
    <mergeCell ref="AA359:AB359"/>
    <mergeCell ref="AC359:AD359"/>
    <mergeCell ref="D358:H358"/>
    <mergeCell ref="I358:J358"/>
    <mergeCell ref="O358:P358"/>
    <mergeCell ref="Q358:R358"/>
    <mergeCell ref="S358:T358"/>
    <mergeCell ref="U358:V358"/>
    <mergeCell ref="W358:X358"/>
    <mergeCell ref="Y358:Z358"/>
    <mergeCell ref="AA358:AB358"/>
    <mergeCell ref="AC356:AD356"/>
    <mergeCell ref="D357:H357"/>
    <mergeCell ref="I357:J357"/>
    <mergeCell ref="O357:P357"/>
    <mergeCell ref="Q357:R357"/>
    <mergeCell ref="S357:T357"/>
    <mergeCell ref="U357:V357"/>
    <mergeCell ref="W357:X357"/>
    <mergeCell ref="Y357:Z357"/>
    <mergeCell ref="AA357:AB357"/>
    <mergeCell ref="AC357:AD357"/>
    <mergeCell ref="D356:H356"/>
    <mergeCell ref="I356:J356"/>
    <mergeCell ref="O356:P356"/>
    <mergeCell ref="Q356:R356"/>
    <mergeCell ref="S356:T356"/>
    <mergeCell ref="U356:V356"/>
    <mergeCell ref="W356:X356"/>
    <mergeCell ref="Y356:Z356"/>
    <mergeCell ref="AA356:AB356"/>
    <mergeCell ref="AC354:AD354"/>
    <mergeCell ref="D355:H355"/>
    <mergeCell ref="I355:J355"/>
    <mergeCell ref="O355:P355"/>
    <mergeCell ref="Q355:R355"/>
    <mergeCell ref="S355:T355"/>
    <mergeCell ref="U355:V355"/>
    <mergeCell ref="W355:X355"/>
    <mergeCell ref="Y355:Z355"/>
    <mergeCell ref="AA355:AB355"/>
    <mergeCell ref="AC355:AD355"/>
    <mergeCell ref="D354:H354"/>
    <mergeCell ref="I354:J354"/>
    <mergeCell ref="O354:P354"/>
    <mergeCell ref="Q354:R354"/>
    <mergeCell ref="S354:T354"/>
    <mergeCell ref="U354:V354"/>
    <mergeCell ref="W354:X354"/>
    <mergeCell ref="Y354:Z354"/>
    <mergeCell ref="AA354:AB354"/>
    <mergeCell ref="AC352:AD352"/>
    <mergeCell ref="D353:H353"/>
    <mergeCell ref="I353:J353"/>
    <mergeCell ref="O353:P353"/>
    <mergeCell ref="Q353:R353"/>
    <mergeCell ref="S353:T353"/>
    <mergeCell ref="U353:V353"/>
    <mergeCell ref="W353:X353"/>
    <mergeCell ref="Y353:Z353"/>
    <mergeCell ref="AA353:AB353"/>
    <mergeCell ref="AC353:AD353"/>
    <mergeCell ref="D352:H352"/>
    <mergeCell ref="I352:J352"/>
    <mergeCell ref="O352:P352"/>
    <mergeCell ref="Q352:R352"/>
    <mergeCell ref="S352:T352"/>
    <mergeCell ref="U352:V352"/>
    <mergeCell ref="W352:X352"/>
    <mergeCell ref="Y352:Z352"/>
    <mergeCell ref="AA352:AB352"/>
    <mergeCell ref="AC350:AD350"/>
    <mergeCell ref="D351:H351"/>
    <mergeCell ref="I351:J351"/>
    <mergeCell ref="O351:P351"/>
    <mergeCell ref="Q351:R351"/>
    <mergeCell ref="S351:T351"/>
    <mergeCell ref="U351:V351"/>
    <mergeCell ref="W351:X351"/>
    <mergeCell ref="Y351:Z351"/>
    <mergeCell ref="AA351:AB351"/>
    <mergeCell ref="AC351:AD351"/>
    <mergeCell ref="D350:H350"/>
    <mergeCell ref="I350:J350"/>
    <mergeCell ref="O350:P350"/>
    <mergeCell ref="Q350:R350"/>
    <mergeCell ref="S350:T350"/>
    <mergeCell ref="U350:V350"/>
    <mergeCell ref="W350:X350"/>
    <mergeCell ref="Y350:Z350"/>
    <mergeCell ref="AA350:AB350"/>
    <mergeCell ref="AC348:AD348"/>
    <mergeCell ref="D349:H349"/>
    <mergeCell ref="I349:J349"/>
    <mergeCell ref="O349:P349"/>
    <mergeCell ref="Q349:R349"/>
    <mergeCell ref="S349:T349"/>
    <mergeCell ref="U349:V349"/>
    <mergeCell ref="W349:X349"/>
    <mergeCell ref="Y349:Z349"/>
    <mergeCell ref="AA349:AB349"/>
    <mergeCell ref="AC349:AD349"/>
    <mergeCell ref="D348:H348"/>
    <mergeCell ref="I348:J348"/>
    <mergeCell ref="O348:P348"/>
    <mergeCell ref="Q348:R348"/>
    <mergeCell ref="S348:T348"/>
    <mergeCell ref="U348:V348"/>
    <mergeCell ref="W348:X348"/>
    <mergeCell ref="Y348:Z348"/>
    <mergeCell ref="AA348:AB348"/>
    <mergeCell ref="AC346:AD346"/>
    <mergeCell ref="D347:H347"/>
    <mergeCell ref="I347:J347"/>
    <mergeCell ref="O347:P347"/>
    <mergeCell ref="Q347:R347"/>
    <mergeCell ref="S347:T347"/>
    <mergeCell ref="U347:V347"/>
    <mergeCell ref="W347:X347"/>
    <mergeCell ref="Y347:Z347"/>
    <mergeCell ref="AA347:AB347"/>
    <mergeCell ref="AC347:AD347"/>
    <mergeCell ref="D346:H346"/>
    <mergeCell ref="I346:J346"/>
    <mergeCell ref="O346:P346"/>
    <mergeCell ref="Q346:R346"/>
    <mergeCell ref="S346:T346"/>
    <mergeCell ref="U346:V346"/>
    <mergeCell ref="W346:X346"/>
    <mergeCell ref="Y346:Z346"/>
    <mergeCell ref="AA346:AB346"/>
    <mergeCell ref="AC344:AD344"/>
    <mergeCell ref="D345:H345"/>
    <mergeCell ref="I345:J345"/>
    <mergeCell ref="O345:P345"/>
    <mergeCell ref="Q345:R345"/>
    <mergeCell ref="S345:T345"/>
    <mergeCell ref="U345:V345"/>
    <mergeCell ref="W345:X345"/>
    <mergeCell ref="Y345:Z345"/>
    <mergeCell ref="AA345:AB345"/>
    <mergeCell ref="AC345:AD345"/>
    <mergeCell ref="D344:H344"/>
    <mergeCell ref="I344:J344"/>
    <mergeCell ref="O344:P344"/>
    <mergeCell ref="Q344:R344"/>
    <mergeCell ref="S344:T344"/>
    <mergeCell ref="U344:V344"/>
    <mergeCell ref="W344:X344"/>
    <mergeCell ref="Y344:Z344"/>
    <mergeCell ref="AA344:AB344"/>
    <mergeCell ref="AC342:AD342"/>
    <mergeCell ref="D343:H343"/>
    <mergeCell ref="I343:J343"/>
    <mergeCell ref="O343:P343"/>
    <mergeCell ref="Q343:R343"/>
    <mergeCell ref="S343:T343"/>
    <mergeCell ref="U343:V343"/>
    <mergeCell ref="W343:X343"/>
    <mergeCell ref="Y343:Z343"/>
    <mergeCell ref="AA343:AB343"/>
    <mergeCell ref="AC343:AD343"/>
    <mergeCell ref="D342:H342"/>
    <mergeCell ref="I342:J342"/>
    <mergeCell ref="O342:P342"/>
    <mergeCell ref="Q342:R342"/>
    <mergeCell ref="S342:T342"/>
    <mergeCell ref="U342:V342"/>
    <mergeCell ref="W342:X342"/>
    <mergeCell ref="Y342:Z342"/>
    <mergeCell ref="AA342:AB342"/>
    <mergeCell ref="AC340:AD340"/>
    <mergeCell ref="D341:H341"/>
    <mergeCell ref="I341:J341"/>
    <mergeCell ref="O341:P341"/>
    <mergeCell ref="Q341:R341"/>
    <mergeCell ref="S341:T341"/>
    <mergeCell ref="U341:V341"/>
    <mergeCell ref="W341:X341"/>
    <mergeCell ref="Y341:Z341"/>
    <mergeCell ref="AA341:AB341"/>
    <mergeCell ref="AC341:AD341"/>
    <mergeCell ref="D340:H340"/>
    <mergeCell ref="I340:J340"/>
    <mergeCell ref="O340:P340"/>
    <mergeCell ref="Q340:R340"/>
    <mergeCell ref="S340:T340"/>
    <mergeCell ref="U340:V340"/>
    <mergeCell ref="W340:X340"/>
    <mergeCell ref="Y340:Z340"/>
    <mergeCell ref="AA340:AB340"/>
    <mergeCell ref="AC338:AD338"/>
    <mergeCell ref="D339:H339"/>
    <mergeCell ref="I339:J339"/>
    <mergeCell ref="O339:P339"/>
    <mergeCell ref="Q339:R339"/>
    <mergeCell ref="S339:T339"/>
    <mergeCell ref="U339:V339"/>
    <mergeCell ref="W339:X339"/>
    <mergeCell ref="Y339:Z339"/>
    <mergeCell ref="AA339:AB339"/>
    <mergeCell ref="AC339:AD339"/>
    <mergeCell ref="D338:H338"/>
    <mergeCell ref="I338:J338"/>
    <mergeCell ref="O338:P338"/>
    <mergeCell ref="Q338:R338"/>
    <mergeCell ref="S338:T338"/>
    <mergeCell ref="U338:V338"/>
    <mergeCell ref="W338:X338"/>
    <mergeCell ref="Y338:Z338"/>
    <mergeCell ref="AA338:AB338"/>
    <mergeCell ref="AC336:AD336"/>
    <mergeCell ref="D337:H337"/>
    <mergeCell ref="I337:J337"/>
    <mergeCell ref="O337:P337"/>
    <mergeCell ref="Q337:R337"/>
    <mergeCell ref="S337:T337"/>
    <mergeCell ref="U337:V337"/>
    <mergeCell ref="W337:X337"/>
    <mergeCell ref="Y337:Z337"/>
    <mergeCell ref="AA337:AB337"/>
    <mergeCell ref="AC337:AD337"/>
    <mergeCell ref="D336:H336"/>
    <mergeCell ref="I336:J336"/>
    <mergeCell ref="O336:P336"/>
    <mergeCell ref="Q336:R336"/>
    <mergeCell ref="S336:T336"/>
    <mergeCell ref="U336:V336"/>
    <mergeCell ref="W336:X336"/>
    <mergeCell ref="Y336:Z336"/>
    <mergeCell ref="AA336:AB336"/>
    <mergeCell ref="AC334:AD334"/>
    <mergeCell ref="D335:H335"/>
    <mergeCell ref="I335:J335"/>
    <mergeCell ref="O335:P335"/>
    <mergeCell ref="Q335:R335"/>
    <mergeCell ref="S335:T335"/>
    <mergeCell ref="U335:V335"/>
    <mergeCell ref="W335:X335"/>
    <mergeCell ref="Y335:Z335"/>
    <mergeCell ref="AA335:AB335"/>
    <mergeCell ref="AC335:AD335"/>
    <mergeCell ref="D334:H334"/>
    <mergeCell ref="I334:J334"/>
    <mergeCell ref="O334:P334"/>
    <mergeCell ref="Q334:R334"/>
    <mergeCell ref="S334:T334"/>
    <mergeCell ref="U334:V334"/>
    <mergeCell ref="W334:X334"/>
    <mergeCell ref="Y334:Z334"/>
    <mergeCell ref="AA334:AB334"/>
    <mergeCell ref="AC332:AD332"/>
    <mergeCell ref="D333:H333"/>
    <mergeCell ref="I333:J333"/>
    <mergeCell ref="O333:P333"/>
    <mergeCell ref="Q333:R333"/>
    <mergeCell ref="S333:T333"/>
    <mergeCell ref="U333:V333"/>
    <mergeCell ref="W333:X333"/>
    <mergeCell ref="Y333:Z333"/>
    <mergeCell ref="AA333:AB333"/>
    <mergeCell ref="AC333:AD333"/>
    <mergeCell ref="D332:H332"/>
    <mergeCell ref="I332:J332"/>
    <mergeCell ref="O332:P332"/>
    <mergeCell ref="Q332:R332"/>
    <mergeCell ref="S332:T332"/>
    <mergeCell ref="U332:V332"/>
    <mergeCell ref="W332:X332"/>
    <mergeCell ref="Y332:Z332"/>
    <mergeCell ref="AA332:AB332"/>
    <mergeCell ref="AC330:AD330"/>
    <mergeCell ref="D331:H331"/>
    <mergeCell ref="I331:J331"/>
    <mergeCell ref="O331:P331"/>
    <mergeCell ref="Q331:R331"/>
    <mergeCell ref="S331:T331"/>
    <mergeCell ref="U331:V331"/>
    <mergeCell ref="W331:X331"/>
    <mergeCell ref="Y331:Z331"/>
    <mergeCell ref="AA331:AB331"/>
    <mergeCell ref="AC331:AD331"/>
    <mergeCell ref="D330:H330"/>
    <mergeCell ref="I330:J330"/>
    <mergeCell ref="O330:P330"/>
    <mergeCell ref="Q330:R330"/>
    <mergeCell ref="S330:T330"/>
    <mergeCell ref="U330:V330"/>
    <mergeCell ref="W330:X330"/>
    <mergeCell ref="Y330:Z330"/>
    <mergeCell ref="AA330:AB330"/>
    <mergeCell ref="AC328:AD328"/>
    <mergeCell ref="D329:H329"/>
    <mergeCell ref="I329:J329"/>
    <mergeCell ref="O329:P329"/>
    <mergeCell ref="Q329:R329"/>
    <mergeCell ref="S329:T329"/>
    <mergeCell ref="U329:V329"/>
    <mergeCell ref="W329:X329"/>
    <mergeCell ref="Y329:Z329"/>
    <mergeCell ref="AA329:AB329"/>
    <mergeCell ref="AC329:AD329"/>
    <mergeCell ref="D328:H328"/>
    <mergeCell ref="I328:J328"/>
    <mergeCell ref="O328:P328"/>
    <mergeCell ref="Q328:R328"/>
    <mergeCell ref="S328:T328"/>
    <mergeCell ref="U328:V328"/>
    <mergeCell ref="W328:X328"/>
    <mergeCell ref="Y328:Z328"/>
    <mergeCell ref="AA328:AB328"/>
    <mergeCell ref="AC326:AD326"/>
    <mergeCell ref="D327:H327"/>
    <mergeCell ref="I327:J327"/>
    <mergeCell ref="O327:P327"/>
    <mergeCell ref="Q327:R327"/>
    <mergeCell ref="S327:T327"/>
    <mergeCell ref="U327:V327"/>
    <mergeCell ref="W327:X327"/>
    <mergeCell ref="Y327:Z327"/>
    <mergeCell ref="AA327:AB327"/>
    <mergeCell ref="AC327:AD327"/>
    <mergeCell ref="D326:H326"/>
    <mergeCell ref="I326:J326"/>
    <mergeCell ref="O326:P326"/>
    <mergeCell ref="Q326:R326"/>
    <mergeCell ref="S326:T326"/>
    <mergeCell ref="U326:V326"/>
    <mergeCell ref="W326:X326"/>
    <mergeCell ref="Y326:Z326"/>
    <mergeCell ref="AA326:AB326"/>
    <mergeCell ref="AC324:AD324"/>
    <mergeCell ref="D325:H325"/>
    <mergeCell ref="I325:J325"/>
    <mergeCell ref="O325:P325"/>
    <mergeCell ref="Q325:R325"/>
    <mergeCell ref="S325:T325"/>
    <mergeCell ref="U325:V325"/>
    <mergeCell ref="W325:X325"/>
    <mergeCell ref="Y325:Z325"/>
    <mergeCell ref="AA325:AB325"/>
    <mergeCell ref="AC325:AD325"/>
    <mergeCell ref="D324:H324"/>
    <mergeCell ref="I324:J324"/>
    <mergeCell ref="O324:P324"/>
    <mergeCell ref="Q324:R324"/>
    <mergeCell ref="S324:T324"/>
    <mergeCell ref="U324:V324"/>
    <mergeCell ref="W324:X324"/>
    <mergeCell ref="Y324:Z324"/>
    <mergeCell ref="AA324:AB324"/>
    <mergeCell ref="E266:F266"/>
    <mergeCell ref="C322:H323"/>
    <mergeCell ref="I322:J323"/>
    <mergeCell ref="K322:N322"/>
    <mergeCell ref="O322:T322"/>
    <mergeCell ref="U322:AB322"/>
    <mergeCell ref="AC322:AD323"/>
    <mergeCell ref="L323:N323"/>
    <mergeCell ref="O323:P323"/>
    <mergeCell ref="Q323:R323"/>
    <mergeCell ref="S323:T323"/>
    <mergeCell ref="U323:V323"/>
    <mergeCell ref="W323:X323"/>
    <mergeCell ref="Y323:Z323"/>
    <mergeCell ref="AA323:AB323"/>
    <mergeCell ref="C297:AD297"/>
    <mergeCell ref="C299:P299"/>
    <mergeCell ref="Q299:AD299"/>
    <mergeCell ref="B310:AD310"/>
    <mergeCell ref="C311:AD311"/>
    <mergeCell ref="Q300:AD300"/>
    <mergeCell ref="C302:AD302"/>
    <mergeCell ref="C303:AD303"/>
    <mergeCell ref="C312:AD312"/>
    <mergeCell ref="C313:AD313"/>
    <mergeCell ref="C314:AD314"/>
    <mergeCell ref="C315:AD315"/>
    <mergeCell ref="C316:AD316"/>
    <mergeCell ref="C317:AD317"/>
    <mergeCell ref="C318:AD318"/>
    <mergeCell ref="C319:AD319"/>
    <mergeCell ref="C320:AD320"/>
    <mergeCell ref="R236:AD236"/>
    <mergeCell ref="D237:P237"/>
    <mergeCell ref="R237:AD237"/>
    <mergeCell ref="D238:P238"/>
    <mergeCell ref="R238:AD238"/>
    <mergeCell ref="D239:P239"/>
    <mergeCell ref="R239:AD239"/>
    <mergeCell ref="C254:AD254"/>
    <mergeCell ref="C255:AD255"/>
    <mergeCell ref="C257:D258"/>
    <mergeCell ref="E257:F258"/>
    <mergeCell ref="G257:AD257"/>
    <mergeCell ref="E259:F259"/>
    <mergeCell ref="E260:F260"/>
    <mergeCell ref="E261:F261"/>
    <mergeCell ref="E262:F262"/>
    <mergeCell ref="E263:F263"/>
    <mergeCell ref="C34:AD34"/>
    <mergeCell ref="C35:AD35"/>
    <mergeCell ref="C54:AD54"/>
    <mergeCell ref="D240:P240"/>
    <mergeCell ref="R240:AD240"/>
    <mergeCell ref="C59:AD59"/>
    <mergeCell ref="C216:AD216"/>
    <mergeCell ref="AA61:AD61"/>
    <mergeCell ref="S62:T63"/>
    <mergeCell ref="U62:V63"/>
    <mergeCell ref="B206:AD206"/>
    <mergeCell ref="B207:AD207"/>
    <mergeCell ref="C208:AD208"/>
    <mergeCell ref="B210:AD210"/>
    <mergeCell ref="C212:AD212"/>
    <mergeCell ref="C213:AD213"/>
    <mergeCell ref="Y69:Z69"/>
    <mergeCell ref="D69:J69"/>
    <mergeCell ref="K69:L69"/>
    <mergeCell ref="M69:R69"/>
    <mergeCell ref="C199:AD199"/>
    <mergeCell ref="D175:L175"/>
    <mergeCell ref="O175:AD175"/>
    <mergeCell ref="D176:L176"/>
    <mergeCell ref="O176:AD176"/>
    <mergeCell ref="D177:L177"/>
    <mergeCell ref="O177:AD177"/>
    <mergeCell ref="D178:L178"/>
    <mergeCell ref="O178:AD178"/>
    <mergeCell ref="D179:L179"/>
    <mergeCell ref="O179:AD179"/>
    <mergeCell ref="D132:H132"/>
    <mergeCell ref="D133:H133"/>
    <mergeCell ref="B1:AD1"/>
    <mergeCell ref="B3:AD3"/>
    <mergeCell ref="B5:AD5"/>
    <mergeCell ref="AA7:AD7"/>
    <mergeCell ref="B8:L8"/>
    <mergeCell ref="N8:O8"/>
    <mergeCell ref="B28:AD28"/>
    <mergeCell ref="C29:AD29"/>
    <mergeCell ref="C31:P31"/>
    <mergeCell ref="Q31:AD31"/>
    <mergeCell ref="C32:P32"/>
    <mergeCell ref="Q32:AD32"/>
    <mergeCell ref="C26:AD26"/>
    <mergeCell ref="B18:AD18"/>
    <mergeCell ref="B10:AD10"/>
    <mergeCell ref="C12:AD12"/>
    <mergeCell ref="C62:J63"/>
    <mergeCell ref="K62:L63"/>
    <mergeCell ref="M62:R63"/>
    <mergeCell ref="W62:AD62"/>
    <mergeCell ref="AA63:AB63"/>
    <mergeCell ref="AC63:AD63"/>
    <mergeCell ref="C13:AD13"/>
    <mergeCell ref="C16:AD16"/>
    <mergeCell ref="C17:AD17"/>
    <mergeCell ref="C19:AD19"/>
    <mergeCell ref="C20:AD20"/>
    <mergeCell ref="C14:AD14"/>
    <mergeCell ref="W63:X63"/>
    <mergeCell ref="C45:AD45"/>
    <mergeCell ref="C46:AD46"/>
    <mergeCell ref="C47:AD47"/>
    <mergeCell ref="Y99:Z99"/>
    <mergeCell ref="U81:V81"/>
    <mergeCell ref="W81:X81"/>
    <mergeCell ref="Y81:Z81"/>
    <mergeCell ref="M81:R81"/>
    <mergeCell ref="S76:T76"/>
    <mergeCell ref="U76:V76"/>
    <mergeCell ref="W76:X76"/>
    <mergeCell ref="Y76:Z76"/>
    <mergeCell ref="S77:T77"/>
    <mergeCell ref="U77:V77"/>
    <mergeCell ref="W77:X77"/>
    <mergeCell ref="Y77:Z77"/>
    <mergeCell ref="S78:T78"/>
    <mergeCell ref="U78:V78"/>
    <mergeCell ref="W78:X78"/>
    <mergeCell ref="Y78:Z78"/>
    <mergeCell ref="M77:R77"/>
    <mergeCell ref="C48:AD48"/>
    <mergeCell ref="M93:R93"/>
    <mergeCell ref="S88:T88"/>
    <mergeCell ref="U88:V88"/>
    <mergeCell ref="W88:X88"/>
    <mergeCell ref="Y88:Z88"/>
    <mergeCell ref="S89:T89"/>
    <mergeCell ref="U89:V89"/>
    <mergeCell ref="W89:X89"/>
    <mergeCell ref="Y89:Z89"/>
    <mergeCell ref="Y93:Z93"/>
    <mergeCell ref="Y64:Z64"/>
    <mergeCell ref="S65:T65"/>
    <mergeCell ref="S113:T113"/>
    <mergeCell ref="U113:V113"/>
    <mergeCell ref="W113:X113"/>
    <mergeCell ref="M113:R113"/>
    <mergeCell ref="S90:T90"/>
    <mergeCell ref="U90:V90"/>
    <mergeCell ref="W90:X90"/>
    <mergeCell ref="M105:R105"/>
    <mergeCell ref="S100:T100"/>
    <mergeCell ref="U100:V100"/>
    <mergeCell ref="W100:X100"/>
    <mergeCell ref="S101:T101"/>
    <mergeCell ref="U101:V101"/>
    <mergeCell ref="W101:X101"/>
    <mergeCell ref="W111:X111"/>
    <mergeCell ref="S102:T102"/>
    <mergeCell ref="U102:V102"/>
    <mergeCell ref="W102:X102"/>
    <mergeCell ref="M101:R101"/>
    <mergeCell ref="W105:X105"/>
    <mergeCell ref="W93:X93"/>
    <mergeCell ref="Y105:Z105"/>
    <mergeCell ref="U105:V105"/>
    <mergeCell ref="K105:L105"/>
    <mergeCell ref="D109:J109"/>
    <mergeCell ref="K109:L109"/>
    <mergeCell ref="D113:J113"/>
    <mergeCell ref="K113:L113"/>
    <mergeCell ref="C116:H117"/>
    <mergeCell ref="I116:AD116"/>
    <mergeCell ref="D64:J64"/>
    <mergeCell ref="K64:L64"/>
    <mergeCell ref="M64:R64"/>
    <mergeCell ref="AA64:AB64"/>
    <mergeCell ref="AC64:AD64"/>
    <mergeCell ref="C49:AD49"/>
    <mergeCell ref="D50:AD50"/>
    <mergeCell ref="D51:AD51"/>
    <mergeCell ref="D52:AD52"/>
    <mergeCell ref="C53:AD53"/>
    <mergeCell ref="C55:AD55"/>
    <mergeCell ref="C56:AD56"/>
    <mergeCell ref="C57:AD57"/>
    <mergeCell ref="C58:AD58"/>
    <mergeCell ref="D65:J65"/>
    <mergeCell ref="K65:L65"/>
    <mergeCell ref="M65:R65"/>
    <mergeCell ref="AA65:AB65"/>
    <mergeCell ref="AC65:AD65"/>
    <mergeCell ref="S64:T64"/>
    <mergeCell ref="U64:V64"/>
    <mergeCell ref="W64:X64"/>
    <mergeCell ref="U93:V93"/>
    <mergeCell ref="U65:V65"/>
    <mergeCell ref="W65:X65"/>
    <mergeCell ref="Y65:Z65"/>
    <mergeCell ref="Y63:Z63"/>
    <mergeCell ref="D66:J66"/>
    <mergeCell ref="K66:L66"/>
    <mergeCell ref="M66:R66"/>
    <mergeCell ref="AA66:AB66"/>
    <mergeCell ref="AC66:AD66"/>
    <mergeCell ref="D67:J67"/>
    <mergeCell ref="K67:L67"/>
    <mergeCell ref="M67:R67"/>
    <mergeCell ref="AA67:AB67"/>
    <mergeCell ref="AC67:AD67"/>
    <mergeCell ref="D68:J68"/>
    <mergeCell ref="K68:L68"/>
    <mergeCell ref="M68:R68"/>
    <mergeCell ref="AA68:AB68"/>
    <mergeCell ref="AC68:AD68"/>
    <mergeCell ref="W66:X66"/>
    <mergeCell ref="Y66:Z66"/>
    <mergeCell ref="S67:T67"/>
    <mergeCell ref="U67:V67"/>
    <mergeCell ref="W67:X67"/>
    <mergeCell ref="Y67:Z67"/>
    <mergeCell ref="S68:T68"/>
    <mergeCell ref="U68:V68"/>
    <mergeCell ref="W68:X68"/>
    <mergeCell ref="Y68:Z68"/>
    <mergeCell ref="S66:T66"/>
    <mergeCell ref="U66:V66"/>
    <mergeCell ref="AA69:AB69"/>
    <mergeCell ref="AC69:AD69"/>
    <mergeCell ref="D70:J70"/>
    <mergeCell ref="K70:L70"/>
    <mergeCell ref="M70:R70"/>
    <mergeCell ref="AA70:AB70"/>
    <mergeCell ref="AC70:AD70"/>
    <mergeCell ref="D71:J71"/>
    <mergeCell ref="K71:L71"/>
    <mergeCell ref="M71:R71"/>
    <mergeCell ref="AA71:AB71"/>
    <mergeCell ref="AC71:AD71"/>
    <mergeCell ref="D72:J72"/>
    <mergeCell ref="K72:L72"/>
    <mergeCell ref="M72:R72"/>
    <mergeCell ref="AA72:AB72"/>
    <mergeCell ref="AC72:AD72"/>
    <mergeCell ref="S70:T70"/>
    <mergeCell ref="U70:V70"/>
    <mergeCell ref="W70:X70"/>
    <mergeCell ref="Y70:Z70"/>
    <mergeCell ref="S71:T71"/>
    <mergeCell ref="U71:V71"/>
    <mergeCell ref="W71:X71"/>
    <mergeCell ref="Y71:Z71"/>
    <mergeCell ref="S72:T72"/>
    <mergeCell ref="U72:V72"/>
    <mergeCell ref="W72:X72"/>
    <mergeCell ref="Y72:Z72"/>
    <mergeCell ref="S69:T69"/>
    <mergeCell ref="U69:V69"/>
    <mergeCell ref="W69:X69"/>
    <mergeCell ref="AA73:AB73"/>
    <mergeCell ref="AC73:AD73"/>
    <mergeCell ref="D74:J74"/>
    <mergeCell ref="K74:L74"/>
    <mergeCell ref="M74:R74"/>
    <mergeCell ref="AA74:AB74"/>
    <mergeCell ref="AC74:AD74"/>
    <mergeCell ref="D75:J75"/>
    <mergeCell ref="K75:L75"/>
    <mergeCell ref="M75:R75"/>
    <mergeCell ref="AA75:AB75"/>
    <mergeCell ref="AC75:AD75"/>
    <mergeCell ref="D76:J76"/>
    <mergeCell ref="K76:L76"/>
    <mergeCell ref="M76:R76"/>
    <mergeCell ref="AA76:AB76"/>
    <mergeCell ref="AC76:AD76"/>
    <mergeCell ref="D73:J73"/>
    <mergeCell ref="K73:L73"/>
    <mergeCell ref="S73:T73"/>
    <mergeCell ref="U73:V73"/>
    <mergeCell ref="W73:X73"/>
    <mergeCell ref="Y73:Z73"/>
    <mergeCell ref="S74:T74"/>
    <mergeCell ref="U74:V74"/>
    <mergeCell ref="W74:X74"/>
    <mergeCell ref="Y74:Z74"/>
    <mergeCell ref="S75:T75"/>
    <mergeCell ref="U75:V75"/>
    <mergeCell ref="W75:X75"/>
    <mergeCell ref="Y75:Z75"/>
    <mergeCell ref="M73:R73"/>
    <mergeCell ref="AA77:AB77"/>
    <mergeCell ref="AC77:AD77"/>
    <mergeCell ref="D78:J78"/>
    <mergeCell ref="K78:L78"/>
    <mergeCell ref="M78:R78"/>
    <mergeCell ref="AA78:AB78"/>
    <mergeCell ref="AC78:AD78"/>
    <mergeCell ref="D79:J79"/>
    <mergeCell ref="K79:L79"/>
    <mergeCell ref="M79:R79"/>
    <mergeCell ref="AA79:AB79"/>
    <mergeCell ref="AC79:AD79"/>
    <mergeCell ref="D80:J80"/>
    <mergeCell ref="K80:L80"/>
    <mergeCell ref="M80:R80"/>
    <mergeCell ref="AA80:AB80"/>
    <mergeCell ref="AC80:AD80"/>
    <mergeCell ref="D77:J77"/>
    <mergeCell ref="K77:L77"/>
    <mergeCell ref="S79:T79"/>
    <mergeCell ref="U79:V79"/>
    <mergeCell ref="W79:X79"/>
    <mergeCell ref="Y79:Z79"/>
    <mergeCell ref="S80:T80"/>
    <mergeCell ref="U80:V80"/>
    <mergeCell ref="W80:X80"/>
    <mergeCell ref="Y80:Z80"/>
    <mergeCell ref="AA81:AB81"/>
    <mergeCell ref="AC81:AD81"/>
    <mergeCell ref="D82:J82"/>
    <mergeCell ref="K82:L82"/>
    <mergeCell ref="M82:R82"/>
    <mergeCell ref="AA82:AB82"/>
    <mergeCell ref="AC82:AD82"/>
    <mergeCell ref="D83:J83"/>
    <mergeCell ref="K83:L83"/>
    <mergeCell ref="M83:R83"/>
    <mergeCell ref="AA83:AB83"/>
    <mergeCell ref="AC83:AD83"/>
    <mergeCell ref="D84:J84"/>
    <mergeCell ref="K84:L84"/>
    <mergeCell ref="M84:R84"/>
    <mergeCell ref="AA84:AB84"/>
    <mergeCell ref="AC84:AD84"/>
    <mergeCell ref="D81:J81"/>
    <mergeCell ref="K81:L81"/>
    <mergeCell ref="S82:T82"/>
    <mergeCell ref="U82:V82"/>
    <mergeCell ref="W82:X82"/>
    <mergeCell ref="Y82:Z82"/>
    <mergeCell ref="S83:T83"/>
    <mergeCell ref="U83:V83"/>
    <mergeCell ref="W83:X83"/>
    <mergeCell ref="Y83:Z83"/>
    <mergeCell ref="S84:T84"/>
    <mergeCell ref="U84:V84"/>
    <mergeCell ref="W84:X84"/>
    <mergeCell ref="Y84:Z84"/>
    <mergeCell ref="S81:T81"/>
    <mergeCell ref="AA85:AB85"/>
    <mergeCell ref="AC85:AD85"/>
    <mergeCell ref="D86:J86"/>
    <mergeCell ref="K86:L86"/>
    <mergeCell ref="M86:R86"/>
    <mergeCell ref="AA86:AB86"/>
    <mergeCell ref="AC86:AD86"/>
    <mergeCell ref="D87:J87"/>
    <mergeCell ref="K87:L87"/>
    <mergeCell ref="M87:R87"/>
    <mergeCell ref="AA87:AB87"/>
    <mergeCell ref="AC87:AD87"/>
    <mergeCell ref="D88:J88"/>
    <mergeCell ref="K88:L88"/>
    <mergeCell ref="M88:R88"/>
    <mergeCell ref="AA88:AB88"/>
    <mergeCell ref="AC88:AD88"/>
    <mergeCell ref="D85:J85"/>
    <mergeCell ref="K85:L85"/>
    <mergeCell ref="S85:T85"/>
    <mergeCell ref="U85:V85"/>
    <mergeCell ref="W85:X85"/>
    <mergeCell ref="Y85:Z85"/>
    <mergeCell ref="S86:T86"/>
    <mergeCell ref="U86:V86"/>
    <mergeCell ref="W86:X86"/>
    <mergeCell ref="Y86:Z86"/>
    <mergeCell ref="S87:T87"/>
    <mergeCell ref="U87:V87"/>
    <mergeCell ref="W87:X87"/>
    <mergeCell ref="Y87:Z87"/>
    <mergeCell ref="M85:R85"/>
    <mergeCell ref="AA89:AB89"/>
    <mergeCell ref="AC89:AD89"/>
    <mergeCell ref="D90:J90"/>
    <mergeCell ref="K90:L90"/>
    <mergeCell ref="M90:R90"/>
    <mergeCell ref="AA90:AB90"/>
    <mergeCell ref="AC90:AD90"/>
    <mergeCell ref="D91:J91"/>
    <mergeCell ref="K91:L91"/>
    <mergeCell ref="M91:R91"/>
    <mergeCell ref="AA91:AB91"/>
    <mergeCell ref="AC91:AD91"/>
    <mergeCell ref="D92:J92"/>
    <mergeCell ref="K92:L92"/>
    <mergeCell ref="M92:R92"/>
    <mergeCell ref="AA92:AB92"/>
    <mergeCell ref="AC92:AD92"/>
    <mergeCell ref="D89:J89"/>
    <mergeCell ref="K89:L89"/>
    <mergeCell ref="S91:T91"/>
    <mergeCell ref="U91:V91"/>
    <mergeCell ref="W91:X91"/>
    <mergeCell ref="Y91:Z91"/>
    <mergeCell ref="S92:T92"/>
    <mergeCell ref="U92:V92"/>
    <mergeCell ref="W92:X92"/>
    <mergeCell ref="Y92:Z92"/>
    <mergeCell ref="Y90:Z90"/>
    <mergeCell ref="M89:R89"/>
    <mergeCell ref="AA93:AB93"/>
    <mergeCell ref="AC93:AD93"/>
    <mergeCell ref="D94:J94"/>
    <mergeCell ref="K94:L94"/>
    <mergeCell ref="M94:R94"/>
    <mergeCell ref="AA94:AB94"/>
    <mergeCell ref="AC94:AD94"/>
    <mergeCell ref="D95:J95"/>
    <mergeCell ref="K95:L95"/>
    <mergeCell ref="M95:R95"/>
    <mergeCell ref="AA95:AB95"/>
    <mergeCell ref="AC95:AD95"/>
    <mergeCell ref="D96:J96"/>
    <mergeCell ref="K96:L96"/>
    <mergeCell ref="M96:R96"/>
    <mergeCell ref="AA96:AB96"/>
    <mergeCell ref="AC96:AD96"/>
    <mergeCell ref="D93:J93"/>
    <mergeCell ref="K93:L93"/>
    <mergeCell ref="S94:T94"/>
    <mergeCell ref="U94:V94"/>
    <mergeCell ref="W94:X94"/>
    <mergeCell ref="Y94:Z94"/>
    <mergeCell ref="S95:T95"/>
    <mergeCell ref="U95:V95"/>
    <mergeCell ref="W95:X95"/>
    <mergeCell ref="Y95:Z95"/>
    <mergeCell ref="S96:T96"/>
    <mergeCell ref="U96:V96"/>
    <mergeCell ref="W96:X96"/>
    <mergeCell ref="Y96:Z96"/>
    <mergeCell ref="S93:T93"/>
    <mergeCell ref="AA97:AB97"/>
    <mergeCell ref="AC97:AD97"/>
    <mergeCell ref="D98:J98"/>
    <mergeCell ref="K98:L98"/>
    <mergeCell ref="M98:R98"/>
    <mergeCell ref="AA98:AB98"/>
    <mergeCell ref="AC98:AD98"/>
    <mergeCell ref="D99:J99"/>
    <mergeCell ref="K99:L99"/>
    <mergeCell ref="M99:R99"/>
    <mergeCell ref="AA99:AB99"/>
    <mergeCell ref="AC99:AD99"/>
    <mergeCell ref="D100:J100"/>
    <mergeCell ref="K100:L100"/>
    <mergeCell ref="M100:R100"/>
    <mergeCell ref="AA100:AB100"/>
    <mergeCell ref="AC100:AD100"/>
    <mergeCell ref="D97:J97"/>
    <mergeCell ref="K97:L97"/>
    <mergeCell ref="M97:R97"/>
    <mergeCell ref="Y100:Z100"/>
    <mergeCell ref="W97:X97"/>
    <mergeCell ref="Y97:Z97"/>
    <mergeCell ref="S98:T98"/>
    <mergeCell ref="U98:V98"/>
    <mergeCell ref="W98:X98"/>
    <mergeCell ref="Y98:Z98"/>
    <mergeCell ref="S99:T99"/>
    <mergeCell ref="U99:V99"/>
    <mergeCell ref="W99:X99"/>
    <mergeCell ref="S97:T97"/>
    <mergeCell ref="U97:V97"/>
    <mergeCell ref="AA101:AB101"/>
    <mergeCell ref="AC101:AD101"/>
    <mergeCell ref="D102:J102"/>
    <mergeCell ref="K102:L102"/>
    <mergeCell ref="M102:R102"/>
    <mergeCell ref="AA102:AB102"/>
    <mergeCell ref="AC102:AD102"/>
    <mergeCell ref="D103:J103"/>
    <mergeCell ref="K103:L103"/>
    <mergeCell ref="M103:R103"/>
    <mergeCell ref="AA103:AB103"/>
    <mergeCell ref="AC103:AD103"/>
    <mergeCell ref="D104:J104"/>
    <mergeCell ref="K104:L104"/>
    <mergeCell ref="M104:R104"/>
    <mergeCell ref="AA104:AB104"/>
    <mergeCell ref="AC104:AD104"/>
    <mergeCell ref="S103:T103"/>
    <mergeCell ref="U103:V103"/>
    <mergeCell ref="W103:X103"/>
    <mergeCell ref="Y103:Z103"/>
    <mergeCell ref="S104:T104"/>
    <mergeCell ref="U104:V104"/>
    <mergeCell ref="W104:X104"/>
    <mergeCell ref="Y104:Z104"/>
    <mergeCell ref="D101:J101"/>
    <mergeCell ref="K101:L101"/>
    <mergeCell ref="Y101:Z101"/>
    <mergeCell ref="Y102:Z102"/>
    <mergeCell ref="D105:J105"/>
    <mergeCell ref="U112:V112"/>
    <mergeCell ref="AA105:AB105"/>
    <mergeCell ref="AC105:AD105"/>
    <mergeCell ref="D106:J106"/>
    <mergeCell ref="K106:L106"/>
    <mergeCell ref="M106:R106"/>
    <mergeCell ref="AA106:AB106"/>
    <mergeCell ref="AC106:AD106"/>
    <mergeCell ref="D107:J107"/>
    <mergeCell ref="K107:L107"/>
    <mergeCell ref="M107:R107"/>
    <mergeCell ref="AA107:AB107"/>
    <mergeCell ref="AC107:AD107"/>
    <mergeCell ref="D108:J108"/>
    <mergeCell ref="K108:L108"/>
    <mergeCell ref="M108:R108"/>
    <mergeCell ref="AA108:AB108"/>
    <mergeCell ref="AC108:AD108"/>
    <mergeCell ref="S106:T106"/>
    <mergeCell ref="U106:V106"/>
    <mergeCell ref="W106:X106"/>
    <mergeCell ref="Y106:Z106"/>
    <mergeCell ref="S107:T107"/>
    <mergeCell ref="U107:V107"/>
    <mergeCell ref="W107:X107"/>
    <mergeCell ref="Y107:Z107"/>
    <mergeCell ref="S108:T108"/>
    <mergeCell ref="U108:V108"/>
    <mergeCell ref="W108:X108"/>
    <mergeCell ref="Y108:Z108"/>
    <mergeCell ref="S105:T105"/>
    <mergeCell ref="AC109:AD109"/>
    <mergeCell ref="D110:J110"/>
    <mergeCell ref="K110:L110"/>
    <mergeCell ref="M110:R110"/>
    <mergeCell ref="AA110:AB110"/>
    <mergeCell ref="AC110:AD110"/>
    <mergeCell ref="D111:J111"/>
    <mergeCell ref="K111:L111"/>
    <mergeCell ref="M111:R111"/>
    <mergeCell ref="AA111:AB111"/>
    <mergeCell ref="AC111:AD111"/>
    <mergeCell ref="D112:J112"/>
    <mergeCell ref="K112:L112"/>
    <mergeCell ref="M112:R112"/>
    <mergeCell ref="AA112:AB112"/>
    <mergeCell ref="AC112:AD112"/>
    <mergeCell ref="Y112:Z112"/>
    <mergeCell ref="S109:T109"/>
    <mergeCell ref="U109:V109"/>
    <mergeCell ref="W109:X109"/>
    <mergeCell ref="Y109:Z109"/>
    <mergeCell ref="S110:T110"/>
    <mergeCell ref="U110:V110"/>
    <mergeCell ref="W110:X110"/>
    <mergeCell ref="Y110:Z110"/>
    <mergeCell ref="S111:T111"/>
    <mergeCell ref="U111:V111"/>
    <mergeCell ref="Y111:Z111"/>
    <mergeCell ref="M109:R109"/>
    <mergeCell ref="S112:T112"/>
    <mergeCell ref="AA109:AB109"/>
    <mergeCell ref="W112:X112"/>
    <mergeCell ref="D234:P234"/>
    <mergeCell ref="R234:AD234"/>
    <mergeCell ref="AA113:AB113"/>
    <mergeCell ref="AC113:AD113"/>
    <mergeCell ref="AA115:AD115"/>
    <mergeCell ref="Y113:Z113"/>
    <mergeCell ref="D118:H118"/>
    <mergeCell ref="D119:H119"/>
    <mergeCell ref="D120:H120"/>
    <mergeCell ref="D121:H121"/>
    <mergeCell ref="D122:H122"/>
    <mergeCell ref="D123:H123"/>
    <mergeCell ref="D124:H124"/>
    <mergeCell ref="D125:H125"/>
    <mergeCell ref="D126:H126"/>
    <mergeCell ref="D127:H127"/>
    <mergeCell ref="D128:H128"/>
    <mergeCell ref="D129:H129"/>
    <mergeCell ref="D130:H130"/>
    <mergeCell ref="O180:AD180"/>
    <mergeCell ref="O181:AD181"/>
    <mergeCell ref="O182:AD182"/>
    <mergeCell ref="O183:AD183"/>
    <mergeCell ref="O184:AD184"/>
    <mergeCell ref="O185:AD185"/>
    <mergeCell ref="O186:AD186"/>
    <mergeCell ref="C174:L174"/>
    <mergeCell ref="N174:AD174"/>
    <mergeCell ref="O187:AD187"/>
    <mergeCell ref="O188:AD188"/>
    <mergeCell ref="O189:AD189"/>
    <mergeCell ref="O190:AD190"/>
    <mergeCell ref="R235:AD235"/>
    <mergeCell ref="D236:P236"/>
    <mergeCell ref="AU322:AZ322"/>
    <mergeCell ref="BA322:BF322"/>
    <mergeCell ref="B36:AD36"/>
    <mergeCell ref="B37:AD37"/>
    <mergeCell ref="B38:AE38"/>
    <mergeCell ref="BC62:BD62"/>
    <mergeCell ref="BE62:BF62"/>
    <mergeCell ref="BG62:BH62"/>
    <mergeCell ref="BI62:BJ62"/>
    <mergeCell ref="AV63:AX63"/>
    <mergeCell ref="B170:AE170"/>
    <mergeCell ref="B172:AE172"/>
    <mergeCell ref="B200:AD200"/>
    <mergeCell ref="B201:AD201"/>
    <mergeCell ref="B202:AD202"/>
    <mergeCell ref="B203:AE203"/>
    <mergeCell ref="B204:AE204"/>
    <mergeCell ref="B205:AE205"/>
    <mergeCell ref="D131:H131"/>
    <mergeCell ref="C169:E169"/>
    <mergeCell ref="F169:AD169"/>
    <mergeCell ref="C171:E171"/>
    <mergeCell ref="F171:AD171"/>
    <mergeCell ref="C211:AD211"/>
    <mergeCell ref="C198:AD198"/>
    <mergeCell ref="C230:E230"/>
    <mergeCell ref="F230:AD230"/>
    <mergeCell ref="C232:AD232"/>
    <mergeCell ref="D233:P233"/>
    <mergeCell ref="R233:AD233"/>
    <mergeCell ref="C168:AE168"/>
    <mergeCell ref="B424:AD424"/>
    <mergeCell ref="B444:AD444"/>
    <mergeCell ref="B445:AD445"/>
    <mergeCell ref="B446:AD446"/>
    <mergeCell ref="B447:AE447"/>
    <mergeCell ref="B448:AE448"/>
    <mergeCell ref="B449:AE449"/>
    <mergeCell ref="AP218:AP219"/>
    <mergeCell ref="B231:AE231"/>
    <mergeCell ref="B245:AD245"/>
    <mergeCell ref="B246:AD246"/>
    <mergeCell ref="B247:AD247"/>
    <mergeCell ref="B248:AE248"/>
    <mergeCell ref="B249:AE249"/>
    <mergeCell ref="B250:AE250"/>
    <mergeCell ref="B269:AE269"/>
    <mergeCell ref="B286:AD286"/>
    <mergeCell ref="B287:AE287"/>
    <mergeCell ref="AJ298:AJ299"/>
    <mergeCell ref="B304:AD304"/>
    <mergeCell ref="B305:AD305"/>
    <mergeCell ref="B306:AE306"/>
    <mergeCell ref="B296:AD296"/>
    <mergeCell ref="B292:AD292"/>
    <mergeCell ref="B293:AD293"/>
    <mergeCell ref="C294:AD294"/>
    <mergeCell ref="C300:P300"/>
    <mergeCell ref="D241:P241"/>
    <mergeCell ref="C243:AD243"/>
    <mergeCell ref="C244:AD244"/>
    <mergeCell ref="D235:P235"/>
  </mergeCells>
  <conditionalFormatting sqref="C29:AD29">
    <cfRule type="expression" dxfId="650" priority="57">
      <formula>$AI$32&gt;0</formula>
    </cfRule>
  </conditionalFormatting>
  <conditionalFormatting sqref="C43:AD43">
    <cfRule type="expression" dxfId="649" priority="40">
      <formula>$AQ$118&gt;0</formula>
    </cfRule>
  </conditionalFormatting>
  <conditionalFormatting sqref="C44:AD44">
    <cfRule type="expression" dxfId="648" priority="39">
      <formula>OR($AN$114&gt;0,$AT$114&gt;0)</formula>
    </cfRule>
  </conditionalFormatting>
  <conditionalFormatting sqref="C45:AD45">
    <cfRule type="expression" dxfId="647" priority="38">
      <formula>$AU$114&gt;0</formula>
    </cfRule>
  </conditionalFormatting>
  <conditionalFormatting sqref="C49:AD49">
    <cfRule type="expression" dxfId="646" priority="37">
      <formula>OR($AL$168&gt;0,$AM$168&gt;0,$AN$168&gt;0)</formula>
    </cfRule>
  </conditionalFormatting>
  <conditionalFormatting sqref="C53:AD53">
    <cfRule type="expression" dxfId="645" priority="36">
      <formula>$AO$168&gt;0</formula>
    </cfRule>
  </conditionalFormatting>
  <conditionalFormatting sqref="C54:AD54">
    <cfRule type="expression" dxfId="644" priority="35">
      <formula>AND($AX$114&gt;0,$C$199="")</formula>
    </cfRule>
  </conditionalFormatting>
  <conditionalFormatting sqref="C56:AD56">
    <cfRule type="expression" dxfId="643" priority="34">
      <formula>$AP$168&gt;0</formula>
    </cfRule>
  </conditionalFormatting>
  <conditionalFormatting sqref="C57:AD57">
    <cfRule type="expression" dxfId="642" priority="33">
      <formula>$BA$64&gt;0</formula>
    </cfRule>
  </conditionalFormatting>
  <conditionalFormatting sqref="C58:AD58">
    <cfRule type="expression" dxfId="641" priority="32">
      <formula>AND(BB64&gt;0,F169="")</formula>
    </cfRule>
  </conditionalFormatting>
  <conditionalFormatting sqref="C59:AD59">
    <cfRule type="expression" dxfId="640" priority="31">
      <formula>AND(BB66&gt;0,F171="")</formula>
    </cfRule>
  </conditionalFormatting>
  <conditionalFormatting sqref="C212:AD212">
    <cfRule type="expression" dxfId="639" priority="26">
      <formula>$AO$228&gt;0</formula>
    </cfRule>
  </conditionalFormatting>
  <conditionalFormatting sqref="C213:AD213">
    <cfRule type="expression" dxfId="638" priority="25">
      <formula>$AN$228&gt;0</formula>
    </cfRule>
  </conditionalFormatting>
  <conditionalFormatting sqref="C214:AD214">
    <cfRule type="expression" dxfId="637" priority="24">
      <formula>AND($AK$220&gt;0,$C$244="")</formula>
    </cfRule>
  </conditionalFormatting>
  <conditionalFormatting sqref="C215:AD215">
    <cfRule type="expression" dxfId="636" priority="23">
      <formula>AND($AL$228&gt;0,$C$244="")</formula>
    </cfRule>
  </conditionalFormatting>
  <conditionalFormatting sqref="C216:AD216">
    <cfRule type="expression" dxfId="635" priority="22">
      <formula>AND(AM228&gt;0,F230="")</formula>
    </cfRule>
  </conditionalFormatting>
  <conditionalFormatting sqref="C253:AD253">
    <cfRule type="expression" dxfId="634" priority="17">
      <formula>$AH$267&gt;0</formula>
    </cfRule>
  </conditionalFormatting>
  <conditionalFormatting sqref="C255:AD255">
    <cfRule type="expression" dxfId="633" priority="19">
      <formula>AND(AI259&gt;0,F268="")</formula>
    </cfRule>
  </conditionalFormatting>
  <conditionalFormatting sqref="C297:AD297">
    <cfRule type="expression" dxfId="632" priority="16">
      <formula>$AI$300&gt;0</formula>
    </cfRule>
  </conditionalFormatting>
  <conditionalFormatting sqref="C311:AD311">
    <cfRule type="expression" dxfId="631" priority="11">
      <formula>$AR$324&gt;0</formula>
    </cfRule>
  </conditionalFormatting>
  <conditionalFormatting sqref="C312:AD312">
    <cfRule type="expression" dxfId="630" priority="10">
      <formula>$AP$424&gt;0</formula>
    </cfRule>
  </conditionalFormatting>
  <conditionalFormatting sqref="C313:AD313">
    <cfRule type="expression" dxfId="629" priority="9">
      <formula>$AQ$424&gt;0</formula>
    </cfRule>
  </conditionalFormatting>
  <conditionalFormatting sqref="C314:AD314">
    <cfRule type="expression" dxfId="628" priority="8">
      <formula>$AJ$424&gt;0</formula>
    </cfRule>
  </conditionalFormatting>
  <conditionalFormatting sqref="C316:AD316">
    <cfRule type="expression" dxfId="627" priority="7">
      <formula>$AS$424&gt;0</formula>
    </cfRule>
  </conditionalFormatting>
  <conditionalFormatting sqref="C317:AD317">
    <cfRule type="expression" dxfId="626" priority="6">
      <formula>$AT$424&gt;0</formula>
    </cfRule>
  </conditionalFormatting>
  <conditionalFormatting sqref="C319:AD319">
    <cfRule type="expression" dxfId="625" priority="5">
      <formula>$AI$324&gt;0</formula>
    </cfRule>
  </conditionalFormatting>
  <conditionalFormatting sqref="C320:AD320">
    <cfRule type="expression" dxfId="624" priority="4">
      <formula>AND(AI328&gt;0,F425="")</formula>
    </cfRule>
  </conditionalFormatting>
  <conditionalFormatting sqref="D64:AD113">
    <cfRule type="expression" dxfId="623" priority="46">
      <formula>AND($C$32&lt;&gt;"",$C$32&lt;&gt;1)</formula>
    </cfRule>
  </conditionalFormatting>
  <conditionalFormatting sqref="D118:AD167">
    <cfRule type="expression" dxfId="622" priority="45">
      <formula>AND($C$32&lt;&gt;"",$C$32&lt;&gt;1)</formula>
    </cfRule>
  </conditionalFormatting>
  <conditionalFormatting sqref="D324:AD423">
    <cfRule type="expression" dxfId="621" priority="15">
      <formula>AND($C$300&lt;&gt;"",$C$300&lt;&gt;1)</formula>
    </cfRule>
  </conditionalFormatting>
  <conditionalFormatting sqref="F169:AD169">
    <cfRule type="expression" dxfId="620" priority="44">
      <formula>AND(BB64&gt;0,F169="")</formula>
    </cfRule>
    <cfRule type="expression" dxfId="619" priority="43">
      <formula>AND(BB64=0,F169="")</formula>
    </cfRule>
  </conditionalFormatting>
  <conditionalFormatting sqref="F171:AD171">
    <cfRule type="expression" dxfId="618" priority="41">
      <formula>AND(BB66=0,F171="")</formula>
    </cfRule>
    <cfRule type="expression" dxfId="617" priority="42">
      <formula>AND(BB66&gt;0,F171="")</formula>
    </cfRule>
  </conditionalFormatting>
  <conditionalFormatting sqref="F230:AD230">
    <cfRule type="expression" dxfId="616" priority="28">
      <formula>AND(AM228&gt;0,F230="")</formula>
    </cfRule>
    <cfRule type="expression" dxfId="615" priority="27">
      <formula>AND(AM228=0,F230="")</formula>
    </cfRule>
  </conditionalFormatting>
  <conditionalFormatting sqref="F268:AD268">
    <cfRule type="expression" dxfId="614" priority="20">
      <formula>AND(AI259&gt;0,F268="")</formula>
    </cfRule>
    <cfRule type="expression" dxfId="613" priority="18">
      <formula>AND(AI259=0,F268="")</formula>
    </cfRule>
  </conditionalFormatting>
  <conditionalFormatting sqref="F425:AD425">
    <cfRule type="expression" dxfId="612" priority="13">
      <formula>AND(AI328&gt;0,F425="")</formula>
    </cfRule>
    <cfRule type="expression" dxfId="611" priority="12">
      <formula>AND(AI328=0,F425="")</formula>
    </cfRule>
  </conditionalFormatting>
  <conditionalFormatting sqref="G259:AD266">
    <cfRule type="expression" dxfId="610" priority="21">
      <formula>AND($E259&lt;&gt;"",$E259&lt;&gt;1)</formula>
    </cfRule>
  </conditionalFormatting>
  <conditionalFormatting sqref="I118:AC167">
    <cfRule type="expression" dxfId="609" priority="47">
      <formula>$AD118="X"</formula>
    </cfRule>
  </conditionalFormatting>
  <conditionalFormatting sqref="M220:AD227">
    <cfRule type="expression" dxfId="608" priority="30">
      <formula>AND($I220&lt;&gt;"",$I220&lt;&gt;1)</formula>
    </cfRule>
  </conditionalFormatting>
  <conditionalFormatting sqref="Q32:AD32">
    <cfRule type="expression" dxfId="607" priority="56">
      <formula>AND(C32&lt;&gt;"",C32&lt;&gt;1)</formula>
    </cfRule>
  </conditionalFormatting>
  <conditionalFormatting sqref="Q300:AD300">
    <cfRule type="expression" dxfId="606" priority="2">
      <formula>AND($C$300&lt;&gt;"",$C$300&lt;&gt;1)</formula>
    </cfRule>
  </conditionalFormatting>
  <conditionalFormatting sqref="U324:Z423">
    <cfRule type="expression" dxfId="605" priority="14">
      <formula>$AA324="X"</formula>
    </cfRule>
  </conditionalFormatting>
  <conditionalFormatting sqref="W64:X113">
    <cfRule type="expression" dxfId="604" priority="52">
      <formula>$Y64&lt;&gt;""</formula>
    </cfRule>
  </conditionalFormatting>
  <conditionalFormatting sqref="W64:Z113">
    <cfRule type="expression" dxfId="603" priority="50">
      <formula>$AA64&lt;&gt;""</formula>
    </cfRule>
  </conditionalFormatting>
  <conditionalFormatting sqref="W64:AB113">
    <cfRule type="expression" dxfId="602" priority="48">
      <formula>$AC64&lt;&gt;""</formula>
    </cfRule>
  </conditionalFormatting>
  <conditionalFormatting sqref="Y64:AD113">
    <cfRule type="expression" dxfId="601" priority="53">
      <formula>$W64&lt;&gt;""</formula>
    </cfRule>
  </conditionalFormatting>
  <conditionalFormatting sqref="AA64:AD113">
    <cfRule type="expression" dxfId="600" priority="51">
      <formula>$Y64&lt;&gt;""</formula>
    </cfRule>
  </conditionalFormatting>
  <conditionalFormatting sqref="AC64:AD113">
    <cfRule type="expression" dxfId="599" priority="49">
      <formula>$AA64&lt;&gt;""</formula>
    </cfRule>
  </conditionalFormatting>
  <dataValidations count="4">
    <dataValidation type="list" allowBlank="1" showInputMessage="1" showErrorMessage="1" sqref="C32:P32 I220:L227 E259:F266 C300:P300" xr:uid="{1D6A8CEC-7C6E-4FC8-9731-59C58233127B}">
      <formula1>"1,2,9"</formula1>
    </dataValidation>
    <dataValidation type="list" allowBlank="1" showInputMessage="1" showErrorMessage="1" sqref="S64:T113" xr:uid="{9F4BF964-EF96-4255-B352-DBB9A7603675}">
      <formula1>"1,2,3,4,9"</formula1>
    </dataValidation>
    <dataValidation type="list" allowBlank="1" showInputMessage="1" showErrorMessage="1" sqref="AC64:AD113 I118:AD167 G259:AD266 AA324:AB423" xr:uid="{4670D97C-588D-4839-8BCB-86B0309783E8}">
      <formula1>"X"</formula1>
    </dataValidation>
    <dataValidation type="list" allowBlank="1" showInputMessage="1" showErrorMessage="1" sqref="K324:N423" xr:uid="{A36F6A65-C2F9-4A01-85EB-965ECE5D9E26}">
      <formula1>"1,2,3,4,5,6,7,8,9,10,11,12,13,14,15,16,17,18,19,20,21,22,23,24,25,26"</formula1>
    </dataValidation>
  </dataValidations>
  <hyperlinks>
    <hyperlink ref="AA7:AD7" location="Índice!B25" display="Índice" xr:uid="{16C4969B-01EC-42E3-8C13-E622A52C4A8F}"/>
  </hyperlinks>
  <printOptions horizontalCentered="1"/>
  <pageMargins left="0.70866141732283472" right="0.70866141732283472" top="0.74803149606299213" bottom="0.74803149606299213" header="0.31496062992125984" footer="0.31496062992125984"/>
  <pageSetup scale="75" orientation="portrait" r:id="rId1"/>
  <headerFooter>
    <oddHeader>&amp;CMódulo 2 Sección VI
Cuestionario</oddHeader>
    <oddFooter>&amp;LCenso Nacional de Sistemas Penitenciarios Estatales 2024&amp;R&amp;P de &amp;N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29" id="{3DCCFC21-A258-46B3-9FDA-63075B1A15C2}">
            <xm:f>COUNTIF(CNSIPEE_2024_M2_Secc4!$Y51,"NA")&gt;0</xm:f>
            <x14:dxf>
              <fill>
                <patternFill patternType="mediumGray"/>
              </fill>
            </x14:dxf>
          </x14:cfRule>
          <xm:sqref>I220:AD227</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5B36C-B303-4ACD-8B43-10FFFD4D6E1C}">
  <dimension ref="A1:CM1007"/>
  <sheetViews>
    <sheetView showGridLines="0" zoomScaleNormal="100" workbookViewId="0"/>
  </sheetViews>
  <sheetFormatPr baseColWidth="10" defaultColWidth="0" defaultRowHeight="15" customHeight="1" zeroHeight="1"/>
  <cols>
    <col min="1" max="1" width="5.7109375" style="3" customWidth="1"/>
    <col min="2" max="30" width="3.7109375" style="3" customWidth="1"/>
    <col min="31" max="31" width="5.7109375" style="3" customWidth="1"/>
    <col min="32" max="16384" width="9.28515625" style="3" hidden="1"/>
  </cols>
  <sheetData>
    <row r="1" spans="1:30" ht="173.25" customHeight="1">
      <c r="A1" s="91"/>
      <c r="B1" s="718" t="s">
        <v>0</v>
      </c>
      <c r="C1" s="719"/>
      <c r="D1" s="719"/>
      <c r="E1" s="719"/>
      <c r="F1" s="719"/>
      <c r="G1" s="719"/>
      <c r="H1" s="719"/>
      <c r="I1" s="719"/>
      <c r="J1" s="719"/>
      <c r="K1" s="719"/>
      <c r="L1" s="719"/>
      <c r="M1" s="719"/>
      <c r="N1" s="719"/>
      <c r="O1" s="719"/>
      <c r="P1" s="719"/>
      <c r="Q1" s="719"/>
      <c r="R1" s="719"/>
      <c r="S1" s="719"/>
      <c r="T1" s="719"/>
      <c r="U1" s="719"/>
      <c r="V1" s="719"/>
      <c r="W1" s="719"/>
      <c r="X1" s="719"/>
      <c r="Y1" s="719"/>
      <c r="Z1" s="719"/>
      <c r="AA1" s="719"/>
      <c r="AB1" s="719"/>
      <c r="AC1" s="719"/>
      <c r="AD1" s="719"/>
    </row>
    <row r="2" spans="1:30" ht="15" customHeight="1">
      <c r="A2" s="91"/>
    </row>
    <row r="3" spans="1:30" ht="45" customHeight="1">
      <c r="A3" s="91"/>
      <c r="B3" s="720" t="s">
        <v>1</v>
      </c>
      <c r="C3" s="721"/>
      <c r="D3" s="721"/>
      <c r="E3" s="721"/>
      <c r="F3" s="721"/>
      <c r="G3" s="721"/>
      <c r="H3" s="721"/>
      <c r="I3" s="721"/>
      <c r="J3" s="721"/>
      <c r="K3" s="721"/>
      <c r="L3" s="721"/>
      <c r="M3" s="721"/>
      <c r="N3" s="721"/>
      <c r="O3" s="721"/>
      <c r="P3" s="721"/>
      <c r="Q3" s="721"/>
      <c r="R3" s="721"/>
      <c r="S3" s="721"/>
      <c r="T3" s="721"/>
      <c r="U3" s="721"/>
      <c r="V3" s="721"/>
      <c r="W3" s="721"/>
      <c r="X3" s="721"/>
      <c r="Y3" s="721"/>
      <c r="Z3" s="721"/>
      <c r="AA3" s="721"/>
      <c r="AB3" s="721"/>
      <c r="AC3" s="721"/>
      <c r="AD3" s="721"/>
    </row>
    <row r="4" spans="1:30" ht="15" customHeight="1">
      <c r="A4" s="91"/>
    </row>
    <row r="5" spans="1:30" ht="45" customHeight="1">
      <c r="A5" s="91"/>
      <c r="B5" s="720" t="s">
        <v>20</v>
      </c>
      <c r="C5" s="721"/>
      <c r="D5" s="721"/>
      <c r="E5" s="721"/>
      <c r="F5" s="721"/>
      <c r="G5" s="721"/>
      <c r="H5" s="721"/>
      <c r="I5" s="721"/>
      <c r="J5" s="721"/>
      <c r="K5" s="721"/>
      <c r="L5" s="721"/>
      <c r="M5" s="721"/>
      <c r="N5" s="721"/>
      <c r="O5" s="721"/>
      <c r="P5" s="721"/>
      <c r="Q5" s="721"/>
      <c r="R5" s="721"/>
      <c r="S5" s="721"/>
      <c r="T5" s="721"/>
      <c r="U5" s="721"/>
      <c r="V5" s="721"/>
      <c r="W5" s="721"/>
      <c r="X5" s="721"/>
      <c r="Y5" s="721"/>
      <c r="Z5" s="721"/>
      <c r="AA5" s="721"/>
      <c r="AB5" s="721"/>
      <c r="AC5" s="721"/>
      <c r="AD5" s="721"/>
    </row>
    <row r="6" spans="1:30" ht="15" customHeight="1">
      <c r="A6" s="91"/>
    </row>
    <row r="7" spans="1:30" ht="15" customHeight="1" thickBot="1">
      <c r="A7" s="91"/>
      <c r="B7" s="23" t="s">
        <v>3</v>
      </c>
      <c r="N7" s="23" t="s">
        <v>4</v>
      </c>
      <c r="P7" s="24"/>
      <c r="Q7" s="24"/>
      <c r="R7" s="24"/>
      <c r="S7" s="24"/>
      <c r="T7" s="24"/>
      <c r="U7" s="24"/>
      <c r="V7" s="24"/>
      <c r="W7" s="24"/>
      <c r="X7" s="24"/>
      <c r="Y7" s="24"/>
      <c r="Z7" s="24"/>
      <c r="AA7" s="758" t="s">
        <v>2</v>
      </c>
      <c r="AB7" s="758"/>
      <c r="AC7" s="758"/>
      <c r="AD7" s="758"/>
    </row>
    <row r="8" spans="1:30" ht="15" customHeight="1" thickBot="1">
      <c r="A8" s="108"/>
      <c r="B8" s="722" t="str">
        <f>IF(Presentación!B8="","",Presentación!B8)</f>
        <v>Puebla</v>
      </c>
      <c r="C8" s="723"/>
      <c r="D8" s="723"/>
      <c r="E8" s="723"/>
      <c r="F8" s="723"/>
      <c r="G8" s="723"/>
      <c r="H8" s="723"/>
      <c r="I8" s="723"/>
      <c r="J8" s="723"/>
      <c r="K8" s="723"/>
      <c r="L8" s="724"/>
      <c r="M8" s="25"/>
      <c r="N8" s="722">
        <f>IF(Presentación!N8="","",Presentación!N8)</f>
        <v>221</v>
      </c>
      <c r="O8" s="724"/>
      <c r="P8" s="107"/>
      <c r="Q8" s="107"/>
      <c r="R8" s="107"/>
      <c r="S8" s="109"/>
      <c r="T8" s="107"/>
      <c r="U8" s="107"/>
      <c r="V8" s="107"/>
      <c r="W8" s="107"/>
      <c r="X8" s="107"/>
      <c r="Y8" s="107"/>
      <c r="Z8" s="107"/>
      <c r="AA8" s="107"/>
      <c r="AB8" s="107"/>
      <c r="AC8" s="107"/>
      <c r="AD8" s="107"/>
    </row>
    <row r="9" spans="1:30" ht="15" customHeight="1">
      <c r="A9" s="91"/>
      <c r="C9" s="24"/>
      <c r="D9" s="24"/>
      <c r="E9" s="24"/>
      <c r="F9" s="24"/>
      <c r="G9" s="24"/>
      <c r="H9" s="24"/>
      <c r="I9" s="24"/>
      <c r="J9" s="24"/>
      <c r="K9" s="24"/>
      <c r="L9" s="24"/>
      <c r="M9" s="24"/>
      <c r="N9" s="24"/>
      <c r="O9" s="24"/>
      <c r="P9" s="24"/>
      <c r="Q9" s="24"/>
      <c r="R9" s="24"/>
      <c r="S9" s="24"/>
      <c r="T9" s="24"/>
      <c r="U9" s="24"/>
      <c r="V9" s="24"/>
      <c r="W9" s="24"/>
      <c r="X9" s="24"/>
      <c r="Y9" s="24"/>
      <c r="Z9" s="24"/>
      <c r="AA9" s="24"/>
      <c r="AB9" s="24"/>
      <c r="AC9" s="24"/>
    </row>
    <row r="10" spans="1:30" ht="15" customHeight="1">
      <c r="A10" s="94"/>
      <c r="B10" s="892" t="s">
        <v>2552</v>
      </c>
      <c r="C10" s="893"/>
      <c r="D10" s="893"/>
      <c r="E10" s="893"/>
      <c r="F10" s="893"/>
      <c r="G10" s="893"/>
      <c r="H10" s="893"/>
      <c r="I10" s="893"/>
      <c r="J10" s="893"/>
      <c r="K10" s="893"/>
      <c r="L10" s="893"/>
      <c r="M10" s="893"/>
      <c r="N10" s="893"/>
      <c r="O10" s="893"/>
      <c r="P10" s="893"/>
      <c r="Q10" s="893"/>
      <c r="R10" s="893"/>
      <c r="S10" s="893"/>
      <c r="T10" s="893"/>
      <c r="U10" s="893"/>
      <c r="V10" s="893"/>
      <c r="W10" s="893"/>
      <c r="X10" s="893"/>
      <c r="Y10" s="893"/>
      <c r="Z10" s="893"/>
      <c r="AA10" s="893"/>
      <c r="AB10" s="893"/>
      <c r="AC10" s="893"/>
      <c r="AD10" s="894"/>
    </row>
    <row r="11" spans="1:30" ht="24" customHeight="1">
      <c r="A11" s="94"/>
      <c r="B11" s="654"/>
      <c r="C11" s="754" t="s">
        <v>4541</v>
      </c>
      <c r="D11" s="754"/>
      <c r="E11" s="754"/>
      <c r="F11" s="754"/>
      <c r="G11" s="754"/>
      <c r="H11" s="754"/>
      <c r="I11" s="754"/>
      <c r="J11" s="754"/>
      <c r="K11" s="754"/>
      <c r="L11" s="754"/>
      <c r="M11" s="754"/>
      <c r="N11" s="754"/>
      <c r="O11" s="754"/>
      <c r="P11" s="754"/>
      <c r="Q11" s="754"/>
      <c r="R11" s="754"/>
      <c r="S11" s="754"/>
      <c r="T11" s="754"/>
      <c r="U11" s="754"/>
      <c r="V11" s="754"/>
      <c r="W11" s="754"/>
      <c r="X11" s="754"/>
      <c r="Y11" s="754"/>
      <c r="Z11" s="754"/>
      <c r="AA11" s="754"/>
      <c r="AB11" s="754"/>
      <c r="AC11" s="754"/>
      <c r="AD11" s="891"/>
    </row>
    <row r="12" spans="1:30" ht="24" customHeight="1">
      <c r="A12" s="94"/>
      <c r="B12" s="654"/>
      <c r="C12" s="754" t="s">
        <v>2554</v>
      </c>
      <c r="D12" s="830"/>
      <c r="E12" s="830"/>
      <c r="F12" s="830"/>
      <c r="G12" s="830"/>
      <c r="H12" s="830"/>
      <c r="I12" s="830"/>
      <c r="J12" s="830"/>
      <c r="K12" s="830"/>
      <c r="L12" s="830"/>
      <c r="M12" s="830"/>
      <c r="N12" s="830"/>
      <c r="O12" s="830"/>
      <c r="P12" s="830"/>
      <c r="Q12" s="830"/>
      <c r="R12" s="830"/>
      <c r="S12" s="830"/>
      <c r="T12" s="830"/>
      <c r="U12" s="830"/>
      <c r="V12" s="830"/>
      <c r="W12" s="830"/>
      <c r="X12" s="830"/>
      <c r="Y12" s="830"/>
      <c r="Z12" s="830"/>
      <c r="AA12" s="830"/>
      <c r="AB12" s="830"/>
      <c r="AC12" s="830"/>
      <c r="AD12" s="895"/>
    </row>
    <row r="13" spans="1:30" ht="60" customHeight="1">
      <c r="A13" s="146"/>
      <c r="B13" s="654"/>
      <c r="C13" s="754" t="s">
        <v>2555</v>
      </c>
      <c r="D13" s="830"/>
      <c r="E13" s="830"/>
      <c r="F13" s="830"/>
      <c r="G13" s="830"/>
      <c r="H13" s="830"/>
      <c r="I13" s="830"/>
      <c r="J13" s="830"/>
      <c r="K13" s="830"/>
      <c r="L13" s="830"/>
      <c r="M13" s="830"/>
      <c r="N13" s="830"/>
      <c r="O13" s="830"/>
      <c r="P13" s="830"/>
      <c r="Q13" s="830"/>
      <c r="R13" s="830"/>
      <c r="S13" s="830"/>
      <c r="T13" s="830"/>
      <c r="U13" s="830"/>
      <c r="V13" s="830"/>
      <c r="W13" s="830"/>
      <c r="X13" s="830"/>
      <c r="Y13" s="830"/>
      <c r="Z13" s="830"/>
      <c r="AA13" s="830"/>
      <c r="AB13" s="830"/>
      <c r="AC13" s="830"/>
      <c r="AD13" s="895"/>
    </row>
    <row r="14" spans="1:30" ht="15" customHeight="1">
      <c r="A14" s="94"/>
      <c r="B14" s="654"/>
      <c r="C14" s="754" t="s">
        <v>3021</v>
      </c>
      <c r="D14" s="830"/>
      <c r="E14" s="830"/>
      <c r="F14" s="830"/>
      <c r="G14" s="830"/>
      <c r="H14" s="830"/>
      <c r="I14" s="830"/>
      <c r="J14" s="830"/>
      <c r="K14" s="830"/>
      <c r="L14" s="830"/>
      <c r="M14" s="830"/>
      <c r="N14" s="830"/>
      <c r="O14" s="830"/>
      <c r="P14" s="830"/>
      <c r="Q14" s="830"/>
      <c r="R14" s="830"/>
      <c r="S14" s="830"/>
      <c r="T14" s="830"/>
      <c r="U14" s="830"/>
      <c r="V14" s="830"/>
      <c r="W14" s="830"/>
      <c r="X14" s="830"/>
      <c r="Y14" s="830"/>
      <c r="Z14" s="830"/>
      <c r="AA14" s="830"/>
      <c r="AB14" s="830"/>
      <c r="AC14" s="830"/>
      <c r="AD14" s="886"/>
    </row>
    <row r="15" spans="1:30" ht="24" customHeight="1">
      <c r="A15" s="115"/>
      <c r="B15" s="181"/>
      <c r="C15" s="754" t="s">
        <v>3022</v>
      </c>
      <c r="D15" s="754"/>
      <c r="E15" s="754"/>
      <c r="F15" s="754"/>
      <c r="G15" s="754"/>
      <c r="H15" s="754"/>
      <c r="I15" s="754"/>
      <c r="J15" s="754"/>
      <c r="K15" s="754"/>
      <c r="L15" s="754"/>
      <c r="M15" s="754"/>
      <c r="N15" s="754"/>
      <c r="O15" s="754"/>
      <c r="P15" s="754"/>
      <c r="Q15" s="754"/>
      <c r="R15" s="754"/>
      <c r="S15" s="754"/>
      <c r="T15" s="754"/>
      <c r="U15" s="754"/>
      <c r="V15" s="754"/>
      <c r="W15" s="754"/>
      <c r="X15" s="754"/>
      <c r="Y15" s="754"/>
      <c r="Z15" s="754"/>
      <c r="AA15" s="754"/>
      <c r="AB15" s="754"/>
      <c r="AC15" s="754"/>
      <c r="AD15" s="891"/>
    </row>
    <row r="16" spans="1:30" ht="24" customHeight="1">
      <c r="A16" s="142"/>
      <c r="B16" s="182"/>
      <c r="C16" s="878" t="s">
        <v>4542</v>
      </c>
      <c r="D16" s="881"/>
      <c r="E16" s="881"/>
      <c r="F16" s="881"/>
      <c r="G16" s="881"/>
      <c r="H16" s="881"/>
      <c r="I16" s="881"/>
      <c r="J16" s="881"/>
      <c r="K16" s="881"/>
      <c r="L16" s="881"/>
      <c r="M16" s="881"/>
      <c r="N16" s="881"/>
      <c r="O16" s="881"/>
      <c r="P16" s="881"/>
      <c r="Q16" s="881"/>
      <c r="R16" s="881"/>
      <c r="S16" s="881"/>
      <c r="T16" s="881"/>
      <c r="U16" s="881"/>
      <c r="V16" s="881"/>
      <c r="W16" s="881"/>
      <c r="X16" s="881"/>
      <c r="Y16" s="881"/>
      <c r="Z16" s="881"/>
      <c r="AA16" s="881"/>
      <c r="AB16" s="881"/>
      <c r="AC16" s="881"/>
      <c r="AD16" s="1128"/>
    </row>
    <row r="17" spans="1:34" ht="24" customHeight="1">
      <c r="A17" s="146"/>
      <c r="B17" s="654"/>
      <c r="C17" s="754" t="s">
        <v>4543</v>
      </c>
      <c r="D17" s="830"/>
      <c r="E17" s="830"/>
      <c r="F17" s="830"/>
      <c r="G17" s="830"/>
      <c r="H17" s="830"/>
      <c r="I17" s="830"/>
      <c r="J17" s="830"/>
      <c r="K17" s="830"/>
      <c r="L17" s="830"/>
      <c r="M17" s="830"/>
      <c r="N17" s="830"/>
      <c r="O17" s="830"/>
      <c r="P17" s="830"/>
      <c r="Q17" s="830"/>
      <c r="R17" s="830"/>
      <c r="S17" s="830"/>
      <c r="T17" s="830"/>
      <c r="U17" s="830"/>
      <c r="V17" s="830"/>
      <c r="W17" s="830"/>
      <c r="X17" s="830"/>
      <c r="Y17" s="830"/>
      <c r="Z17" s="830"/>
      <c r="AA17" s="830"/>
      <c r="AB17" s="830"/>
      <c r="AC17" s="830"/>
      <c r="AD17" s="886"/>
    </row>
    <row r="18" spans="1:34" ht="36" customHeight="1">
      <c r="A18" s="110"/>
      <c r="B18" s="111"/>
      <c r="C18" s="754" t="s">
        <v>4155</v>
      </c>
      <c r="D18" s="754"/>
      <c r="E18" s="754"/>
      <c r="F18" s="754"/>
      <c r="G18" s="754"/>
      <c r="H18" s="754"/>
      <c r="I18" s="754"/>
      <c r="J18" s="754"/>
      <c r="K18" s="754"/>
      <c r="L18" s="754"/>
      <c r="M18" s="754"/>
      <c r="N18" s="754"/>
      <c r="O18" s="754"/>
      <c r="P18" s="754"/>
      <c r="Q18" s="754"/>
      <c r="R18" s="754"/>
      <c r="S18" s="754"/>
      <c r="T18" s="754"/>
      <c r="U18" s="754"/>
      <c r="V18" s="754"/>
      <c r="W18" s="754"/>
      <c r="X18" s="754"/>
      <c r="Y18" s="754"/>
      <c r="Z18" s="754"/>
      <c r="AA18" s="754"/>
      <c r="AB18" s="754"/>
      <c r="AC18" s="754"/>
      <c r="AD18" s="755"/>
    </row>
    <row r="19" spans="1:34" ht="48" customHeight="1">
      <c r="A19" s="146"/>
      <c r="B19" s="654"/>
      <c r="C19" s="754" t="s">
        <v>4156</v>
      </c>
      <c r="D19" s="754"/>
      <c r="E19" s="754"/>
      <c r="F19" s="754"/>
      <c r="G19" s="754"/>
      <c r="H19" s="754"/>
      <c r="I19" s="754"/>
      <c r="J19" s="754"/>
      <c r="K19" s="754"/>
      <c r="L19" s="754"/>
      <c r="M19" s="754"/>
      <c r="N19" s="754"/>
      <c r="O19" s="754"/>
      <c r="P19" s="754"/>
      <c r="Q19" s="754"/>
      <c r="R19" s="754"/>
      <c r="S19" s="754"/>
      <c r="T19" s="754"/>
      <c r="U19" s="754"/>
      <c r="V19" s="754"/>
      <c r="W19" s="754"/>
      <c r="X19" s="754"/>
      <c r="Y19" s="754"/>
      <c r="Z19" s="754"/>
      <c r="AA19" s="754"/>
      <c r="AB19" s="754"/>
      <c r="AC19" s="754"/>
      <c r="AD19" s="755"/>
    </row>
    <row r="20" spans="1:34" ht="15" customHeight="1">
      <c r="A20" s="94"/>
      <c r="B20" s="209"/>
      <c r="C20" s="764" t="s">
        <v>4157</v>
      </c>
      <c r="D20" s="764"/>
      <c r="E20" s="764"/>
      <c r="F20" s="764"/>
      <c r="G20" s="764"/>
      <c r="H20" s="764"/>
      <c r="I20" s="764"/>
      <c r="J20" s="764"/>
      <c r="K20" s="764"/>
      <c r="L20" s="764"/>
      <c r="M20" s="764"/>
      <c r="N20" s="764"/>
      <c r="O20" s="764"/>
      <c r="P20" s="764"/>
      <c r="Q20" s="764"/>
      <c r="R20" s="764"/>
      <c r="S20" s="764"/>
      <c r="T20" s="764"/>
      <c r="U20" s="764"/>
      <c r="V20" s="764"/>
      <c r="W20" s="764"/>
      <c r="X20" s="764"/>
      <c r="Y20" s="764"/>
      <c r="Z20" s="764"/>
      <c r="AA20" s="764"/>
      <c r="AB20" s="764"/>
      <c r="AC20" s="764"/>
      <c r="AD20" s="765"/>
    </row>
    <row r="21" spans="1:34" ht="15" customHeight="1">
      <c r="A21" s="108"/>
      <c r="B21" s="838" t="s">
        <v>2561</v>
      </c>
      <c r="C21" s="839"/>
      <c r="D21" s="839"/>
      <c r="E21" s="839"/>
      <c r="F21" s="839"/>
      <c r="G21" s="839"/>
      <c r="H21" s="839"/>
      <c r="I21" s="839"/>
      <c r="J21" s="839"/>
      <c r="K21" s="839"/>
      <c r="L21" s="839"/>
      <c r="M21" s="839"/>
      <c r="N21" s="839"/>
      <c r="O21" s="839"/>
      <c r="P21" s="839"/>
      <c r="Q21" s="839"/>
      <c r="R21" s="839"/>
      <c r="S21" s="839"/>
      <c r="T21" s="839"/>
      <c r="U21" s="839"/>
      <c r="V21" s="839"/>
      <c r="W21" s="839"/>
      <c r="X21" s="839"/>
      <c r="Y21" s="839"/>
      <c r="Z21" s="839"/>
      <c r="AA21" s="839"/>
      <c r="AB21" s="839"/>
      <c r="AC21" s="839"/>
      <c r="AD21" s="840"/>
    </row>
    <row r="22" spans="1:34" ht="24" customHeight="1">
      <c r="A22" s="108"/>
      <c r="B22" s="149"/>
      <c r="C22" s="754" t="s">
        <v>4544</v>
      </c>
      <c r="D22" s="754"/>
      <c r="E22" s="754"/>
      <c r="F22" s="754"/>
      <c r="G22" s="754"/>
      <c r="H22" s="754"/>
      <c r="I22" s="754"/>
      <c r="J22" s="754"/>
      <c r="K22" s="754"/>
      <c r="L22" s="754"/>
      <c r="M22" s="754"/>
      <c r="N22" s="754"/>
      <c r="O22" s="754"/>
      <c r="P22" s="754"/>
      <c r="Q22" s="754"/>
      <c r="R22" s="754"/>
      <c r="S22" s="754"/>
      <c r="T22" s="754"/>
      <c r="U22" s="754"/>
      <c r="V22" s="754"/>
      <c r="W22" s="754"/>
      <c r="X22" s="754"/>
      <c r="Y22" s="754"/>
      <c r="Z22" s="754"/>
      <c r="AA22" s="754"/>
      <c r="AB22" s="754"/>
      <c r="AC22" s="754"/>
      <c r="AD22" s="755"/>
    </row>
    <row r="23" spans="1:34" ht="15" customHeight="1">
      <c r="A23" s="108"/>
      <c r="B23" s="149"/>
      <c r="C23" s="754" t="s">
        <v>4545</v>
      </c>
      <c r="D23" s="754"/>
      <c r="E23" s="754"/>
      <c r="F23" s="754"/>
      <c r="G23" s="754"/>
      <c r="H23" s="754"/>
      <c r="I23" s="754"/>
      <c r="J23" s="754"/>
      <c r="K23" s="754"/>
      <c r="L23" s="754"/>
      <c r="M23" s="754"/>
      <c r="N23" s="754"/>
      <c r="O23" s="754"/>
      <c r="P23" s="754"/>
      <c r="Q23" s="754"/>
      <c r="R23" s="754"/>
      <c r="S23" s="754"/>
      <c r="T23" s="754"/>
      <c r="U23" s="754"/>
      <c r="V23" s="754"/>
      <c r="W23" s="754"/>
      <c r="X23" s="754"/>
      <c r="Y23" s="754"/>
      <c r="Z23" s="754"/>
      <c r="AA23" s="754"/>
      <c r="AB23" s="754"/>
      <c r="AC23" s="754"/>
      <c r="AD23" s="755"/>
    </row>
    <row r="24" spans="1:34" ht="48" customHeight="1">
      <c r="A24" s="94"/>
      <c r="B24" s="76"/>
      <c r="C24" s="754" t="s">
        <v>4546</v>
      </c>
      <c r="D24" s="754"/>
      <c r="E24" s="754"/>
      <c r="F24" s="754"/>
      <c r="G24" s="754"/>
      <c r="H24" s="754"/>
      <c r="I24" s="754"/>
      <c r="J24" s="754"/>
      <c r="K24" s="754"/>
      <c r="L24" s="754"/>
      <c r="M24" s="754"/>
      <c r="N24" s="754"/>
      <c r="O24" s="754"/>
      <c r="P24" s="754"/>
      <c r="Q24" s="754"/>
      <c r="R24" s="754"/>
      <c r="S24" s="754"/>
      <c r="T24" s="754"/>
      <c r="U24" s="754"/>
      <c r="V24" s="754"/>
      <c r="W24" s="754"/>
      <c r="X24" s="754"/>
      <c r="Y24" s="754"/>
      <c r="Z24" s="754"/>
      <c r="AA24" s="754"/>
      <c r="AB24" s="754"/>
      <c r="AC24" s="754"/>
      <c r="AD24" s="755"/>
    </row>
    <row r="25" spans="1:34" ht="24" customHeight="1">
      <c r="A25" s="108"/>
      <c r="B25" s="95"/>
      <c r="C25" s="764" t="s">
        <v>4547</v>
      </c>
      <c r="D25" s="764"/>
      <c r="E25" s="764"/>
      <c r="F25" s="764"/>
      <c r="G25" s="764"/>
      <c r="H25" s="764"/>
      <c r="I25" s="764"/>
      <c r="J25" s="764"/>
      <c r="K25" s="764"/>
      <c r="L25" s="764"/>
      <c r="M25" s="764"/>
      <c r="N25" s="764"/>
      <c r="O25" s="764"/>
      <c r="P25" s="764"/>
      <c r="Q25" s="764"/>
      <c r="R25" s="764"/>
      <c r="S25" s="764"/>
      <c r="T25" s="764"/>
      <c r="U25" s="764"/>
      <c r="V25" s="764"/>
      <c r="W25" s="764"/>
      <c r="X25" s="764"/>
      <c r="Y25" s="764"/>
      <c r="Z25" s="764"/>
      <c r="AA25" s="764"/>
      <c r="AB25" s="764"/>
      <c r="AC25" s="764"/>
      <c r="AD25" s="765"/>
    </row>
    <row r="26" spans="1:34" ht="15" customHeight="1" thickBot="1">
      <c r="A26" s="170"/>
    </row>
    <row r="27" spans="1:34" customFormat="1" ht="15" customHeight="1" thickBot="1">
      <c r="A27" s="153" t="s">
        <v>2563</v>
      </c>
      <c r="B27" s="1081" t="s">
        <v>4548</v>
      </c>
      <c r="C27" s="1082"/>
      <c r="D27" s="1082"/>
      <c r="E27" s="1082"/>
      <c r="F27" s="1082"/>
      <c r="G27" s="1082"/>
      <c r="H27" s="1082"/>
      <c r="I27" s="1082"/>
      <c r="J27" s="1082"/>
      <c r="K27" s="1082"/>
      <c r="L27" s="1082"/>
      <c r="M27" s="1082"/>
      <c r="N27" s="1082"/>
      <c r="O27" s="1082"/>
      <c r="P27" s="1082"/>
      <c r="Q27" s="1082"/>
      <c r="R27" s="1082"/>
      <c r="S27" s="1082"/>
      <c r="T27" s="1082"/>
      <c r="U27" s="1082"/>
      <c r="V27" s="1082"/>
      <c r="W27" s="1082"/>
      <c r="X27" s="1082"/>
      <c r="Y27" s="1082"/>
      <c r="Z27" s="1082"/>
      <c r="AA27" s="1082"/>
      <c r="AB27" s="1082"/>
      <c r="AC27" s="1082"/>
      <c r="AD27" s="1083"/>
      <c r="AE27" s="3"/>
    </row>
    <row r="28" spans="1:34" ht="15" customHeight="1">
      <c r="A28" s="170"/>
      <c r="B28" s="946" t="s">
        <v>2565</v>
      </c>
      <c r="C28" s="867"/>
      <c r="D28" s="867"/>
      <c r="E28" s="867"/>
      <c r="F28" s="867"/>
      <c r="G28" s="867"/>
      <c r="H28" s="867"/>
      <c r="I28" s="867"/>
      <c r="J28" s="867"/>
      <c r="K28" s="867"/>
      <c r="L28" s="867"/>
      <c r="M28" s="867"/>
      <c r="N28" s="867"/>
      <c r="O28" s="867"/>
      <c r="P28" s="867"/>
      <c r="Q28" s="867"/>
      <c r="R28" s="867"/>
      <c r="S28" s="867"/>
      <c r="T28" s="867"/>
      <c r="U28" s="867"/>
      <c r="V28" s="867"/>
      <c r="W28" s="867"/>
      <c r="X28" s="867"/>
      <c r="Y28" s="867"/>
      <c r="Z28" s="867"/>
      <c r="AA28" s="867"/>
      <c r="AB28" s="867"/>
      <c r="AC28" s="867"/>
      <c r="AD28" s="947"/>
    </row>
    <row r="29" spans="1:34" ht="24" customHeight="1">
      <c r="A29" s="170"/>
      <c r="B29" s="196"/>
      <c r="C29" s="855" t="s">
        <v>4549</v>
      </c>
      <c r="D29" s="855"/>
      <c r="E29" s="855"/>
      <c r="F29" s="855"/>
      <c r="G29" s="855"/>
      <c r="H29" s="855"/>
      <c r="I29" s="855"/>
      <c r="J29" s="855"/>
      <c r="K29" s="855"/>
      <c r="L29" s="855"/>
      <c r="M29" s="855"/>
      <c r="N29" s="855"/>
      <c r="O29" s="855"/>
      <c r="P29" s="855"/>
      <c r="Q29" s="855"/>
      <c r="R29" s="855"/>
      <c r="S29" s="855"/>
      <c r="T29" s="855"/>
      <c r="U29" s="855"/>
      <c r="V29" s="855"/>
      <c r="W29" s="855"/>
      <c r="X29" s="855"/>
      <c r="Y29" s="855"/>
      <c r="Z29" s="855"/>
      <c r="AA29" s="855"/>
      <c r="AB29" s="855"/>
      <c r="AC29" s="855"/>
      <c r="AD29" s="896"/>
    </row>
    <row r="30" spans="1:34" ht="15" customHeight="1">
      <c r="A30" s="170"/>
    </row>
    <row r="31" spans="1:34" ht="24" customHeight="1">
      <c r="A31" s="49" t="s">
        <v>4550</v>
      </c>
      <c r="B31" s="829" t="s">
        <v>4551</v>
      </c>
      <c r="C31" s="829"/>
      <c r="D31" s="829"/>
      <c r="E31" s="829"/>
      <c r="F31" s="829"/>
      <c r="G31" s="829"/>
      <c r="H31" s="829"/>
      <c r="I31" s="829"/>
      <c r="J31" s="829"/>
      <c r="K31" s="829"/>
      <c r="L31" s="829"/>
      <c r="M31" s="829"/>
      <c r="N31" s="829"/>
      <c r="O31" s="829"/>
      <c r="P31" s="829"/>
      <c r="Q31" s="829"/>
      <c r="R31" s="829"/>
      <c r="S31" s="829"/>
      <c r="T31" s="829"/>
      <c r="U31" s="829"/>
      <c r="V31" s="829"/>
      <c r="W31" s="829"/>
      <c r="X31" s="829"/>
      <c r="Y31" s="829"/>
      <c r="Z31" s="829"/>
      <c r="AA31" s="829"/>
      <c r="AB31" s="829"/>
      <c r="AC31" s="829"/>
      <c r="AD31" s="829"/>
      <c r="AG31" s="3" t="s">
        <v>4552</v>
      </c>
      <c r="AH31" s="3" t="s">
        <v>4553</v>
      </c>
    </row>
    <row r="32" spans="1:34" ht="15" customHeight="1">
      <c r="A32" s="176"/>
      <c r="B32" s="57"/>
      <c r="C32" s="57"/>
      <c r="D32" s="57"/>
      <c r="E32" s="57"/>
      <c r="F32" s="57"/>
      <c r="G32" s="57"/>
      <c r="H32" s="57"/>
      <c r="I32" s="57"/>
      <c r="J32" s="57"/>
      <c r="K32" s="57"/>
      <c r="L32" s="57"/>
      <c r="M32" s="57"/>
      <c r="N32" s="57"/>
      <c r="O32" s="57"/>
      <c r="P32" s="57"/>
      <c r="Q32" s="57"/>
      <c r="R32" s="57"/>
      <c r="S32" s="57"/>
      <c r="T32" s="57"/>
      <c r="U32" s="57"/>
      <c r="V32" s="57"/>
      <c r="W32" s="57"/>
      <c r="X32" s="57"/>
      <c r="Y32" s="57"/>
      <c r="Z32" s="57"/>
      <c r="AA32" s="57"/>
      <c r="AB32" s="57"/>
      <c r="AC32" s="57"/>
      <c r="AD32" s="57"/>
    </row>
    <row r="33" spans="1:33" ht="96" customHeight="1">
      <c r="A33" s="176"/>
      <c r="B33" s="57"/>
      <c r="C33" s="732" t="s">
        <v>2581</v>
      </c>
      <c r="D33" s="732"/>
      <c r="E33" s="732"/>
      <c r="F33" s="732"/>
      <c r="G33" s="732"/>
      <c r="H33" s="732"/>
      <c r="I33" s="732"/>
      <c r="J33" s="732"/>
      <c r="K33" s="732"/>
      <c r="L33" s="732"/>
      <c r="M33" s="732"/>
      <c r="N33" s="732"/>
      <c r="O33" s="732"/>
      <c r="P33" s="732"/>
      <c r="Q33" s="732"/>
      <c r="R33" s="732"/>
      <c r="S33" s="732"/>
      <c r="T33" s="732"/>
      <c r="U33" s="732"/>
      <c r="V33" s="732"/>
      <c r="W33" s="732"/>
      <c r="X33" s="732"/>
      <c r="Y33" s="732" t="s">
        <v>4554</v>
      </c>
      <c r="Z33" s="732"/>
      <c r="AA33" s="732"/>
      <c r="AB33" s="732"/>
      <c r="AC33" s="732"/>
      <c r="AD33" s="732"/>
      <c r="AG33" t="s">
        <v>2586</v>
      </c>
    </row>
    <row r="34" spans="1:33" ht="15" customHeight="1">
      <c r="A34" s="176"/>
      <c r="B34" s="57"/>
      <c r="C34" s="98" t="s">
        <v>2516</v>
      </c>
      <c r="D34" s="813" t="str">
        <f>IF(CNSIPEE_2024_M2_Secc1!D42="","",CNSIPEE_2024_M2_Secc1!D42)</f>
        <v/>
      </c>
      <c r="E34" s="814"/>
      <c r="F34" s="814"/>
      <c r="G34" s="814"/>
      <c r="H34" s="814"/>
      <c r="I34" s="814"/>
      <c r="J34" s="814"/>
      <c r="K34" s="814"/>
      <c r="L34" s="814"/>
      <c r="M34" s="814"/>
      <c r="N34" s="814"/>
      <c r="O34" s="814"/>
      <c r="P34" s="814"/>
      <c r="Q34" s="814"/>
      <c r="R34" s="814"/>
      <c r="S34" s="814"/>
      <c r="T34" s="814"/>
      <c r="U34" s="814"/>
      <c r="V34" s="814"/>
      <c r="W34" s="814"/>
      <c r="X34" s="815"/>
      <c r="Y34" s="816"/>
      <c r="Z34" s="738"/>
      <c r="AA34" s="738"/>
      <c r="AB34" s="738"/>
      <c r="AC34" s="738"/>
      <c r="AD34" s="817"/>
      <c r="AG34">
        <f t="shared" ref="AG34" si="0">IF(OR(COUNTBLANK(D34:Y34)=22,COUNTBLANK(D34:Y34)=20),0,1)</f>
        <v>0</v>
      </c>
    </row>
    <row r="35" spans="1:33" ht="15" customHeight="1">
      <c r="A35" s="170"/>
      <c r="C35" s="143" t="s">
        <v>2517</v>
      </c>
      <c r="D35" s="813" t="str">
        <f>IF(CNSIPEE_2024_M2_Secc1!D43="","",CNSIPEE_2024_M2_Secc1!D43)</f>
        <v/>
      </c>
      <c r="E35" s="814"/>
      <c r="F35" s="814"/>
      <c r="G35" s="814"/>
      <c r="H35" s="814"/>
      <c r="I35" s="814"/>
      <c r="J35" s="814"/>
      <c r="K35" s="814"/>
      <c r="L35" s="814"/>
      <c r="M35" s="814"/>
      <c r="N35" s="814"/>
      <c r="O35" s="814"/>
      <c r="P35" s="814"/>
      <c r="Q35" s="814"/>
      <c r="R35" s="814"/>
      <c r="S35" s="814"/>
      <c r="T35" s="814"/>
      <c r="U35" s="814"/>
      <c r="V35" s="814"/>
      <c r="W35" s="814"/>
      <c r="X35" s="815"/>
      <c r="Y35" s="816"/>
      <c r="Z35" s="738"/>
      <c r="AA35" s="738"/>
      <c r="AB35" s="738"/>
      <c r="AC35" s="738"/>
      <c r="AD35" s="817"/>
      <c r="AG35">
        <f t="shared" ref="AG35:AG41" si="1">IF(OR(COUNTBLANK(D35:Y35)=22,COUNTBLANK(D35:Y35)=20),0,1)</f>
        <v>0</v>
      </c>
    </row>
    <row r="36" spans="1:33" ht="15" customHeight="1">
      <c r="A36" s="170"/>
      <c r="C36" s="143" t="s">
        <v>2518</v>
      </c>
      <c r="D36" s="813" t="str">
        <f>IF(CNSIPEE_2024_M2_Secc1!D44="","",CNSIPEE_2024_M2_Secc1!D44)</f>
        <v/>
      </c>
      <c r="E36" s="814"/>
      <c r="F36" s="814"/>
      <c r="G36" s="814"/>
      <c r="H36" s="814"/>
      <c r="I36" s="814"/>
      <c r="J36" s="814"/>
      <c r="K36" s="814"/>
      <c r="L36" s="814"/>
      <c r="M36" s="814"/>
      <c r="N36" s="814"/>
      <c r="O36" s="814"/>
      <c r="P36" s="814"/>
      <c r="Q36" s="814"/>
      <c r="R36" s="814"/>
      <c r="S36" s="814"/>
      <c r="T36" s="814"/>
      <c r="U36" s="814"/>
      <c r="V36" s="814"/>
      <c r="W36" s="814"/>
      <c r="X36" s="815"/>
      <c r="Y36" s="816"/>
      <c r="Z36" s="738"/>
      <c r="AA36" s="738"/>
      <c r="AB36" s="738"/>
      <c r="AC36" s="738"/>
      <c r="AD36" s="817"/>
      <c r="AG36">
        <f t="shared" si="1"/>
        <v>0</v>
      </c>
    </row>
    <row r="37" spans="1:33" ht="15" customHeight="1">
      <c r="A37" s="170"/>
      <c r="C37" s="143" t="s">
        <v>2519</v>
      </c>
      <c r="D37" s="813" t="str">
        <f>IF(CNSIPEE_2024_M2_Secc1!D45="","",CNSIPEE_2024_M2_Secc1!D45)</f>
        <v/>
      </c>
      <c r="E37" s="814"/>
      <c r="F37" s="814"/>
      <c r="G37" s="814"/>
      <c r="H37" s="814"/>
      <c r="I37" s="814"/>
      <c r="J37" s="814"/>
      <c r="K37" s="814"/>
      <c r="L37" s="814"/>
      <c r="M37" s="814"/>
      <c r="N37" s="814"/>
      <c r="O37" s="814"/>
      <c r="P37" s="814"/>
      <c r="Q37" s="814"/>
      <c r="R37" s="814"/>
      <c r="S37" s="814"/>
      <c r="T37" s="814"/>
      <c r="U37" s="814"/>
      <c r="V37" s="814"/>
      <c r="W37" s="814"/>
      <c r="X37" s="815"/>
      <c r="Y37" s="816"/>
      <c r="Z37" s="738"/>
      <c r="AA37" s="738"/>
      <c r="AB37" s="738"/>
      <c r="AC37" s="738"/>
      <c r="AD37" s="817"/>
      <c r="AG37">
        <f t="shared" si="1"/>
        <v>0</v>
      </c>
    </row>
    <row r="38" spans="1:33" ht="15" customHeight="1">
      <c r="A38" s="170"/>
      <c r="C38" s="143" t="s">
        <v>2520</v>
      </c>
      <c r="D38" s="813" t="str">
        <f>IF(CNSIPEE_2024_M2_Secc1!D46="","",CNSIPEE_2024_M2_Secc1!D46)</f>
        <v/>
      </c>
      <c r="E38" s="814"/>
      <c r="F38" s="814"/>
      <c r="G38" s="814"/>
      <c r="H38" s="814"/>
      <c r="I38" s="814"/>
      <c r="J38" s="814"/>
      <c r="K38" s="814"/>
      <c r="L38" s="814"/>
      <c r="M38" s="814"/>
      <c r="N38" s="814"/>
      <c r="O38" s="814"/>
      <c r="P38" s="814"/>
      <c r="Q38" s="814"/>
      <c r="R38" s="814"/>
      <c r="S38" s="814"/>
      <c r="T38" s="814"/>
      <c r="U38" s="814"/>
      <c r="V38" s="814"/>
      <c r="W38" s="814"/>
      <c r="X38" s="815"/>
      <c r="Y38" s="816"/>
      <c r="Z38" s="738"/>
      <c r="AA38" s="738"/>
      <c r="AB38" s="738"/>
      <c r="AC38" s="738"/>
      <c r="AD38" s="817"/>
      <c r="AG38">
        <f t="shared" si="1"/>
        <v>0</v>
      </c>
    </row>
    <row r="39" spans="1:33" ht="15" customHeight="1">
      <c r="A39" s="170"/>
      <c r="C39" s="143" t="s">
        <v>2521</v>
      </c>
      <c r="D39" s="813" t="str">
        <f>IF(CNSIPEE_2024_M2_Secc1!D47="","",CNSIPEE_2024_M2_Secc1!D47)</f>
        <v/>
      </c>
      <c r="E39" s="814"/>
      <c r="F39" s="814"/>
      <c r="G39" s="814"/>
      <c r="H39" s="814"/>
      <c r="I39" s="814"/>
      <c r="J39" s="814"/>
      <c r="K39" s="814"/>
      <c r="L39" s="814"/>
      <c r="M39" s="814"/>
      <c r="N39" s="814"/>
      <c r="O39" s="814"/>
      <c r="P39" s="814"/>
      <c r="Q39" s="814"/>
      <c r="R39" s="814"/>
      <c r="S39" s="814"/>
      <c r="T39" s="814"/>
      <c r="U39" s="814"/>
      <c r="V39" s="814"/>
      <c r="W39" s="814"/>
      <c r="X39" s="815"/>
      <c r="Y39" s="816"/>
      <c r="Z39" s="738"/>
      <c r="AA39" s="738"/>
      <c r="AB39" s="738"/>
      <c r="AC39" s="738"/>
      <c r="AD39" s="817"/>
      <c r="AG39">
        <f t="shared" si="1"/>
        <v>0</v>
      </c>
    </row>
    <row r="40" spans="1:33" ht="15" customHeight="1">
      <c r="A40" s="170"/>
      <c r="C40" s="143" t="s">
        <v>2522</v>
      </c>
      <c r="D40" s="813" t="str">
        <f>IF(CNSIPEE_2024_M2_Secc1!D48="","",CNSIPEE_2024_M2_Secc1!D48)</f>
        <v/>
      </c>
      <c r="E40" s="814"/>
      <c r="F40" s="814"/>
      <c r="G40" s="814"/>
      <c r="H40" s="814"/>
      <c r="I40" s="814"/>
      <c r="J40" s="814"/>
      <c r="K40" s="814"/>
      <c r="L40" s="814"/>
      <c r="M40" s="814"/>
      <c r="N40" s="814"/>
      <c r="O40" s="814"/>
      <c r="P40" s="814"/>
      <c r="Q40" s="814"/>
      <c r="R40" s="814"/>
      <c r="S40" s="814"/>
      <c r="T40" s="814"/>
      <c r="U40" s="814"/>
      <c r="V40" s="814"/>
      <c r="W40" s="814"/>
      <c r="X40" s="815"/>
      <c r="Y40" s="816"/>
      <c r="Z40" s="738"/>
      <c r="AA40" s="738"/>
      <c r="AB40" s="738"/>
      <c r="AC40" s="738"/>
      <c r="AD40" s="817"/>
      <c r="AG40">
        <f t="shared" si="1"/>
        <v>0</v>
      </c>
    </row>
    <row r="41" spans="1:33" ht="15" customHeight="1">
      <c r="A41" s="170"/>
      <c r="C41" s="143" t="s">
        <v>2523</v>
      </c>
      <c r="D41" s="813" t="str">
        <f>IF(CNSIPEE_2024_M2_Secc1!D49="","",CNSIPEE_2024_M2_Secc1!D49)</f>
        <v/>
      </c>
      <c r="E41" s="814"/>
      <c r="F41" s="814"/>
      <c r="G41" s="814"/>
      <c r="H41" s="814"/>
      <c r="I41" s="814"/>
      <c r="J41" s="814"/>
      <c r="K41" s="814"/>
      <c r="L41" s="814"/>
      <c r="M41" s="814"/>
      <c r="N41" s="814"/>
      <c r="O41" s="814"/>
      <c r="P41" s="814"/>
      <c r="Q41" s="814"/>
      <c r="R41" s="814"/>
      <c r="S41" s="814"/>
      <c r="T41" s="814"/>
      <c r="U41" s="814"/>
      <c r="V41" s="814"/>
      <c r="W41" s="814"/>
      <c r="X41" s="815"/>
      <c r="Y41" s="816"/>
      <c r="Z41" s="738"/>
      <c r="AA41" s="738"/>
      <c r="AB41" s="738"/>
      <c r="AC41" s="738"/>
      <c r="AD41" s="817"/>
      <c r="AG41">
        <f t="shared" si="1"/>
        <v>0</v>
      </c>
    </row>
    <row r="42" spans="1:33" ht="15" customHeight="1">
      <c r="A42" s="170"/>
      <c r="AG42" s="506">
        <f>SUM(AG34:AG41)</f>
        <v>0</v>
      </c>
    </row>
    <row r="43" spans="1:33" ht="24" customHeight="1">
      <c r="A43" s="170"/>
      <c r="C43" s="754" t="s">
        <v>2611</v>
      </c>
      <c r="D43" s="754"/>
      <c r="E43" s="754"/>
      <c r="F43" s="754"/>
      <c r="G43" s="754"/>
      <c r="H43" s="754"/>
      <c r="I43" s="754"/>
      <c r="J43" s="754"/>
      <c r="K43" s="754"/>
      <c r="L43" s="754"/>
      <c r="M43" s="754"/>
      <c r="N43" s="754"/>
      <c r="O43" s="754"/>
      <c r="P43" s="754"/>
      <c r="Q43" s="754"/>
      <c r="R43" s="754"/>
      <c r="S43" s="754"/>
      <c r="T43" s="754"/>
      <c r="U43" s="754"/>
      <c r="V43" s="754"/>
      <c r="W43" s="754"/>
      <c r="X43" s="754"/>
      <c r="Y43" s="754"/>
      <c r="Z43" s="754"/>
      <c r="AA43" s="754"/>
      <c r="AB43" s="754"/>
      <c r="AC43" s="754"/>
      <c r="AD43" s="754"/>
    </row>
    <row r="44" spans="1:33" ht="60" customHeight="1">
      <c r="A44" s="170"/>
      <c r="C44" s="851"/>
      <c r="D44" s="851"/>
      <c r="E44" s="851"/>
      <c r="F44" s="851"/>
      <c r="G44" s="851"/>
      <c r="H44" s="851"/>
      <c r="I44" s="851"/>
      <c r="J44" s="851"/>
      <c r="K44" s="851"/>
      <c r="L44" s="851"/>
      <c r="M44" s="851"/>
      <c r="N44" s="851"/>
      <c r="O44" s="851"/>
      <c r="P44" s="851"/>
      <c r="Q44" s="851"/>
      <c r="R44" s="851"/>
      <c r="S44" s="851"/>
      <c r="T44" s="851"/>
      <c r="U44" s="851"/>
      <c r="V44" s="851"/>
      <c r="W44" s="851"/>
      <c r="X44" s="851"/>
      <c r="Y44" s="851"/>
      <c r="Z44" s="851"/>
      <c r="AA44" s="851"/>
      <c r="AB44" s="851"/>
      <c r="AC44" s="851"/>
      <c r="AD44" s="851"/>
    </row>
    <row r="45" spans="1:33" ht="15" customHeight="1">
      <c r="A45" s="170"/>
      <c r="B45" s="794" t="str">
        <f>IF(AG42=0,"","Favor de ingresar toda la información requerida en la pregunta")</f>
        <v/>
      </c>
      <c r="C45" s="794"/>
      <c r="D45" s="794"/>
      <c r="E45" s="794"/>
      <c r="F45" s="794"/>
      <c r="G45" s="794"/>
      <c r="H45" s="794"/>
      <c r="I45" s="794"/>
      <c r="J45" s="794"/>
      <c r="K45" s="794"/>
      <c r="L45" s="794"/>
      <c r="M45" s="794"/>
      <c r="N45" s="794"/>
      <c r="O45" s="794"/>
      <c r="P45" s="794"/>
      <c r="Q45" s="794"/>
      <c r="R45" s="794"/>
      <c r="S45" s="794"/>
      <c r="T45" s="794"/>
      <c r="U45" s="794"/>
      <c r="V45" s="794"/>
      <c r="W45" s="794"/>
      <c r="X45" s="794"/>
      <c r="Y45" s="794"/>
      <c r="Z45" s="794"/>
      <c r="AA45" s="794"/>
      <c r="AB45" s="794"/>
      <c r="AC45" s="794"/>
      <c r="AD45" s="794"/>
      <c r="AE45" s="794"/>
    </row>
    <row r="46" spans="1:33" ht="15" customHeight="1">
      <c r="A46" s="170"/>
    </row>
    <row r="47" spans="1:33" ht="15" customHeight="1">
      <c r="A47" s="170"/>
    </row>
    <row r="48" spans="1:33" ht="15" customHeight="1">
      <c r="A48" s="170"/>
    </row>
    <row r="49" spans="1:37" ht="15" customHeight="1">
      <c r="A49" s="170"/>
    </row>
    <row r="50" spans="1:37" ht="15" customHeight="1" thickBot="1">
      <c r="A50" s="170"/>
    </row>
    <row r="51" spans="1:37" customFormat="1" ht="15" customHeight="1" thickBot="1">
      <c r="A51" s="153" t="s">
        <v>2563</v>
      </c>
      <c r="B51" s="1081" t="s">
        <v>4555</v>
      </c>
      <c r="C51" s="1082"/>
      <c r="D51" s="1082"/>
      <c r="E51" s="1082"/>
      <c r="F51" s="1082"/>
      <c r="G51" s="1082"/>
      <c r="H51" s="1082"/>
      <c r="I51" s="1082"/>
      <c r="J51" s="1082"/>
      <c r="K51" s="1082"/>
      <c r="L51" s="1082"/>
      <c r="M51" s="1082"/>
      <c r="N51" s="1082"/>
      <c r="O51" s="1082"/>
      <c r="P51" s="1082"/>
      <c r="Q51" s="1082"/>
      <c r="R51" s="1082"/>
      <c r="S51" s="1082"/>
      <c r="T51" s="1082"/>
      <c r="U51" s="1082"/>
      <c r="V51" s="1082"/>
      <c r="W51" s="1082"/>
      <c r="X51" s="1082"/>
      <c r="Y51" s="1082"/>
      <c r="Z51" s="1082"/>
      <c r="AA51" s="1082"/>
      <c r="AB51" s="1082"/>
      <c r="AC51" s="1082"/>
      <c r="AD51" s="1083"/>
      <c r="AE51" s="3"/>
    </row>
    <row r="52" spans="1:37" ht="15" customHeight="1">
      <c r="A52" s="170"/>
      <c r="B52" s="946" t="s">
        <v>3157</v>
      </c>
      <c r="C52" s="867"/>
      <c r="D52" s="867"/>
      <c r="E52" s="867"/>
      <c r="F52" s="867"/>
      <c r="G52" s="867"/>
      <c r="H52" s="867"/>
      <c r="I52" s="867"/>
      <c r="J52" s="867"/>
      <c r="K52" s="867"/>
      <c r="L52" s="867"/>
      <c r="M52" s="867"/>
      <c r="N52" s="867"/>
      <c r="O52" s="867"/>
      <c r="P52" s="867"/>
      <c r="Q52" s="867"/>
      <c r="R52" s="867"/>
      <c r="S52" s="867"/>
      <c r="T52" s="867"/>
      <c r="U52" s="867"/>
      <c r="V52" s="867"/>
      <c r="W52" s="867"/>
      <c r="X52" s="867"/>
      <c r="Y52" s="867"/>
      <c r="Z52" s="867"/>
      <c r="AA52" s="867"/>
      <c r="AB52" s="867"/>
      <c r="AC52" s="867"/>
      <c r="AD52" s="947"/>
    </row>
    <row r="53" spans="1:37" ht="24" customHeight="1">
      <c r="A53" s="94"/>
      <c r="B53" s="150"/>
      <c r="C53" s="754" t="s">
        <v>4556</v>
      </c>
      <c r="D53" s="754"/>
      <c r="E53" s="754"/>
      <c r="F53" s="754"/>
      <c r="G53" s="754"/>
      <c r="H53" s="754"/>
      <c r="I53" s="754"/>
      <c r="J53" s="754"/>
      <c r="K53" s="754"/>
      <c r="L53" s="754"/>
      <c r="M53" s="754"/>
      <c r="N53" s="754"/>
      <c r="O53" s="754"/>
      <c r="P53" s="754"/>
      <c r="Q53" s="754"/>
      <c r="R53" s="754"/>
      <c r="S53" s="754"/>
      <c r="T53" s="754"/>
      <c r="U53" s="754"/>
      <c r="V53" s="754"/>
      <c r="W53" s="754"/>
      <c r="X53" s="754"/>
      <c r="Y53" s="754"/>
      <c r="Z53" s="754"/>
      <c r="AA53" s="754"/>
      <c r="AB53" s="754"/>
      <c r="AC53" s="754"/>
      <c r="AD53" s="891"/>
    </row>
    <row r="54" spans="1:37" ht="24" customHeight="1">
      <c r="A54" s="94"/>
      <c r="B54" s="150"/>
      <c r="C54" s="754" t="s">
        <v>4557</v>
      </c>
      <c r="D54" s="754"/>
      <c r="E54" s="754"/>
      <c r="F54" s="754"/>
      <c r="G54" s="754"/>
      <c r="H54" s="754"/>
      <c r="I54" s="754"/>
      <c r="J54" s="754"/>
      <c r="K54" s="754"/>
      <c r="L54" s="754"/>
      <c r="M54" s="754"/>
      <c r="N54" s="754"/>
      <c r="O54" s="754"/>
      <c r="P54" s="754"/>
      <c r="Q54" s="754"/>
      <c r="R54" s="754"/>
      <c r="S54" s="754"/>
      <c r="T54" s="754"/>
      <c r="U54" s="754"/>
      <c r="V54" s="754"/>
      <c r="W54" s="754"/>
      <c r="X54" s="754"/>
      <c r="Y54" s="754"/>
      <c r="Z54" s="754"/>
      <c r="AA54" s="754"/>
      <c r="AB54" s="754"/>
      <c r="AC54" s="754"/>
      <c r="AD54" s="891"/>
    </row>
    <row r="55" spans="1:37" ht="24" customHeight="1">
      <c r="A55" s="94"/>
      <c r="B55" s="149"/>
      <c r="C55" s="754" t="s">
        <v>4558</v>
      </c>
      <c r="D55" s="754"/>
      <c r="E55" s="754"/>
      <c r="F55" s="754"/>
      <c r="G55" s="754"/>
      <c r="H55" s="754"/>
      <c r="I55" s="754"/>
      <c r="J55" s="754"/>
      <c r="K55" s="754"/>
      <c r="L55" s="754"/>
      <c r="M55" s="754"/>
      <c r="N55" s="754"/>
      <c r="O55" s="754"/>
      <c r="P55" s="754"/>
      <c r="Q55" s="754"/>
      <c r="R55" s="754"/>
      <c r="S55" s="754"/>
      <c r="T55" s="754"/>
      <c r="U55" s="754"/>
      <c r="V55" s="754"/>
      <c r="W55" s="754"/>
      <c r="X55" s="754"/>
      <c r="Y55" s="754"/>
      <c r="Z55" s="754"/>
      <c r="AA55" s="754"/>
      <c r="AB55" s="754"/>
      <c r="AC55" s="754"/>
      <c r="AD55" s="891"/>
    </row>
    <row r="56" spans="1:37" ht="24" customHeight="1">
      <c r="A56" s="94"/>
      <c r="B56" s="151"/>
      <c r="C56" s="764" t="s">
        <v>4559</v>
      </c>
      <c r="D56" s="764"/>
      <c r="E56" s="764"/>
      <c r="F56" s="764"/>
      <c r="G56" s="764"/>
      <c r="H56" s="764"/>
      <c r="I56" s="764"/>
      <c r="J56" s="764"/>
      <c r="K56" s="764"/>
      <c r="L56" s="764"/>
      <c r="M56" s="764"/>
      <c r="N56" s="764"/>
      <c r="O56" s="764"/>
      <c r="P56" s="764"/>
      <c r="Q56" s="764"/>
      <c r="R56" s="764"/>
      <c r="S56" s="764"/>
      <c r="T56" s="764"/>
      <c r="U56" s="764"/>
      <c r="V56" s="764"/>
      <c r="W56" s="764"/>
      <c r="X56" s="764"/>
      <c r="Y56" s="764"/>
      <c r="Z56" s="764"/>
      <c r="AA56" s="764"/>
      <c r="AB56" s="764"/>
      <c r="AC56" s="764"/>
      <c r="AD56" s="837"/>
    </row>
    <row r="57" spans="1:37" ht="15" customHeight="1">
      <c r="A57" s="94"/>
      <c r="B57" s="190"/>
      <c r="C57" s="75"/>
      <c r="D57" s="86"/>
      <c r="E57" s="86"/>
      <c r="F57" s="86"/>
      <c r="G57" s="86"/>
      <c r="H57" s="86"/>
      <c r="I57" s="86"/>
      <c r="J57" s="86"/>
      <c r="K57" s="86"/>
      <c r="L57" s="86"/>
      <c r="M57" s="86"/>
      <c r="N57" s="86"/>
      <c r="O57" s="86"/>
      <c r="P57" s="86"/>
      <c r="Q57" s="86"/>
      <c r="R57" s="86"/>
      <c r="S57" s="86"/>
      <c r="T57" s="86"/>
      <c r="U57" s="86"/>
      <c r="V57" s="86"/>
      <c r="W57" s="86"/>
      <c r="X57" s="86"/>
      <c r="Y57" s="86"/>
      <c r="Z57" s="86"/>
      <c r="AA57" s="86"/>
      <c r="AB57" s="86"/>
      <c r="AC57" s="86"/>
      <c r="AD57" s="86"/>
    </row>
    <row r="58" spans="1:37" ht="24" customHeight="1">
      <c r="A58" s="49" t="s">
        <v>4560</v>
      </c>
      <c r="B58" s="829" t="s">
        <v>4561</v>
      </c>
      <c r="C58" s="829"/>
      <c r="D58" s="829"/>
      <c r="E58" s="829"/>
      <c r="F58" s="829"/>
      <c r="G58" s="829"/>
      <c r="H58" s="829"/>
      <c r="I58" s="829"/>
      <c r="J58" s="829"/>
      <c r="K58" s="829"/>
      <c r="L58" s="829"/>
      <c r="M58" s="829"/>
      <c r="N58" s="829"/>
      <c r="O58" s="829"/>
      <c r="P58" s="829"/>
      <c r="Q58" s="829"/>
      <c r="R58" s="829"/>
      <c r="S58" s="829"/>
      <c r="T58" s="829"/>
      <c r="U58" s="829"/>
      <c r="V58" s="829"/>
      <c r="W58" s="829"/>
      <c r="X58" s="829"/>
      <c r="Y58" s="829"/>
      <c r="Z58" s="829"/>
      <c r="AA58" s="829"/>
      <c r="AB58" s="829"/>
      <c r="AC58" s="829"/>
      <c r="AD58" s="829"/>
    </row>
    <row r="59" spans="1:37" ht="24" customHeight="1">
      <c r="A59" s="50"/>
      <c r="B59" s="38"/>
      <c r="C59" s="754" t="s">
        <v>4562</v>
      </c>
      <c r="D59" s="754"/>
      <c r="E59" s="754"/>
      <c r="F59" s="754"/>
      <c r="G59" s="754"/>
      <c r="H59" s="754"/>
      <c r="I59" s="754"/>
      <c r="J59" s="754"/>
      <c r="K59" s="754"/>
      <c r="L59" s="754"/>
      <c r="M59" s="754"/>
      <c r="N59" s="754"/>
      <c r="O59" s="754"/>
      <c r="P59" s="754"/>
      <c r="Q59" s="754"/>
      <c r="R59" s="754"/>
      <c r="S59" s="754"/>
      <c r="T59" s="754"/>
      <c r="U59" s="754"/>
      <c r="V59" s="754"/>
      <c r="W59" s="754"/>
      <c r="X59" s="754"/>
      <c r="Y59" s="754"/>
      <c r="Z59" s="754"/>
      <c r="AA59" s="754"/>
      <c r="AB59" s="754"/>
      <c r="AC59" s="754"/>
      <c r="AD59" s="754"/>
    </row>
    <row r="60" spans="1:37" ht="15" customHeight="1">
      <c r="A60" s="108"/>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row>
    <row r="61" spans="1:37" ht="15" customHeight="1">
      <c r="A61" s="108"/>
      <c r="B61" s="38"/>
      <c r="C61" s="732" t="s">
        <v>2581</v>
      </c>
      <c r="D61" s="732"/>
      <c r="E61" s="732"/>
      <c r="F61" s="732"/>
      <c r="G61" s="732"/>
      <c r="H61" s="732"/>
      <c r="I61" s="732"/>
      <c r="J61" s="732"/>
      <c r="K61" s="732"/>
      <c r="L61" s="732"/>
      <c r="M61" s="732" t="s">
        <v>4563</v>
      </c>
      <c r="N61" s="732"/>
      <c r="O61" s="732"/>
      <c r="P61" s="732"/>
      <c r="Q61" s="732"/>
      <c r="R61" s="732"/>
      <c r="S61" s="732"/>
      <c r="T61" s="732"/>
      <c r="U61" s="732"/>
      <c r="V61" s="732"/>
      <c r="W61" s="732"/>
      <c r="X61" s="732"/>
      <c r="Y61" s="732"/>
      <c r="Z61" s="732"/>
      <c r="AA61" s="732"/>
      <c r="AB61" s="732"/>
      <c r="AC61" s="732"/>
      <c r="AD61" s="732"/>
    </row>
    <row r="62" spans="1:37" ht="15" customHeight="1">
      <c r="A62" s="108"/>
      <c r="B62" s="38"/>
      <c r="C62" s="732"/>
      <c r="D62" s="732"/>
      <c r="E62" s="732"/>
      <c r="F62" s="732"/>
      <c r="G62" s="732"/>
      <c r="H62" s="732"/>
      <c r="I62" s="732"/>
      <c r="J62" s="732"/>
      <c r="K62" s="732"/>
      <c r="L62" s="732"/>
      <c r="M62" s="987" t="s">
        <v>2628</v>
      </c>
      <c r="N62" s="988"/>
      <c r="O62" s="988"/>
      <c r="P62" s="988"/>
      <c r="Q62" s="988"/>
      <c r="R62" s="988"/>
      <c r="S62" s="989" t="s">
        <v>2629</v>
      </c>
      <c r="T62" s="990"/>
      <c r="U62" s="990"/>
      <c r="V62" s="990"/>
      <c r="W62" s="990"/>
      <c r="X62" s="990"/>
      <c r="Y62" s="989" t="s">
        <v>2630</v>
      </c>
      <c r="Z62" s="990"/>
      <c r="AA62" s="990"/>
      <c r="AB62" s="990"/>
      <c r="AC62" s="990"/>
      <c r="AD62" s="990"/>
      <c r="AG62" t="s">
        <v>2586</v>
      </c>
      <c r="AI62" t="s">
        <v>2590</v>
      </c>
      <c r="AJ62" t="s">
        <v>3163</v>
      </c>
      <c r="AK62" t="s">
        <v>4564</v>
      </c>
    </row>
    <row r="63" spans="1:37" ht="15" customHeight="1">
      <c r="A63" s="108"/>
      <c r="B63" s="38"/>
      <c r="C63" s="97" t="s">
        <v>2516</v>
      </c>
      <c r="D63" s="1084" t="str">
        <f>IF(CNSIPEE_2024_M2_Secc1!D42="","",CNSIPEE_2024_M2_Secc1!D42)</f>
        <v/>
      </c>
      <c r="E63" s="1084"/>
      <c r="F63" s="1084"/>
      <c r="G63" s="1084"/>
      <c r="H63" s="1084"/>
      <c r="I63" s="1084"/>
      <c r="J63" s="1084"/>
      <c r="K63" s="1084"/>
      <c r="L63" s="1084"/>
      <c r="M63" s="749"/>
      <c r="N63" s="749"/>
      <c r="O63" s="749"/>
      <c r="P63" s="749"/>
      <c r="Q63" s="749"/>
      <c r="R63" s="749"/>
      <c r="S63" s="749"/>
      <c r="T63" s="749"/>
      <c r="U63" s="749"/>
      <c r="V63" s="749"/>
      <c r="W63" s="749"/>
      <c r="X63" s="749"/>
      <c r="Y63" s="749"/>
      <c r="Z63" s="749"/>
      <c r="AA63" s="749"/>
      <c r="AB63" s="749"/>
      <c r="AC63" s="749"/>
      <c r="AD63" s="749"/>
      <c r="AG63">
        <f t="shared" ref="AG63" si="2">IF(OR(COUNTBLANK(D63:Y63)=22,COUNTBLANK(D63:Y63)=18),0,1)</f>
        <v>0</v>
      </c>
      <c r="AI63">
        <f t="shared" ref="AI63" si="3">COUNTIF(S63:AD63,"NS")</f>
        <v>0</v>
      </c>
      <c r="AJ63">
        <f t="shared" ref="AJ63" si="4">SUM(S63:AD63)</f>
        <v>0</v>
      </c>
      <c r="AK63">
        <f t="shared" ref="AK63:AK70" si="5">IF(COUNTIF(M63:AD63,"NA")=3,0,IF(COUNTA(M63:AD63)=0,0,IF(OR(AND(M63=0,AI63&gt;0),AND(M63="ns",AJ63&gt;0),AND(M63="ns",AI63=0,AJ63=0)),1,IF(OR(AND(M63&gt;0,AI63=2),AND(M63="ns",AI63=2),AND(M63="ns",AJ63=0,AI63&gt;0),M63=AJ63),0,1))))</f>
        <v>0</v>
      </c>
    </row>
    <row r="64" spans="1:37" ht="15" customHeight="1">
      <c r="A64" s="108"/>
      <c r="B64" s="38"/>
      <c r="C64" s="98" t="s">
        <v>2517</v>
      </c>
      <c r="D64" s="1084" t="str">
        <f>IF(CNSIPEE_2024_M2_Secc1!D43="","",CNSIPEE_2024_M2_Secc1!D43)</f>
        <v/>
      </c>
      <c r="E64" s="1084"/>
      <c r="F64" s="1084"/>
      <c r="G64" s="1084"/>
      <c r="H64" s="1084"/>
      <c r="I64" s="1084"/>
      <c r="J64" s="1084"/>
      <c r="K64" s="1084"/>
      <c r="L64" s="1084"/>
      <c r="M64" s="749"/>
      <c r="N64" s="749"/>
      <c r="O64" s="749"/>
      <c r="P64" s="749"/>
      <c r="Q64" s="749"/>
      <c r="R64" s="749"/>
      <c r="S64" s="749"/>
      <c r="T64" s="749"/>
      <c r="U64" s="749"/>
      <c r="V64" s="749"/>
      <c r="W64" s="749"/>
      <c r="X64" s="749"/>
      <c r="Y64" s="749"/>
      <c r="Z64" s="749"/>
      <c r="AA64" s="749"/>
      <c r="AB64" s="749"/>
      <c r="AC64" s="749"/>
      <c r="AD64" s="749"/>
      <c r="AG64">
        <f t="shared" ref="AG64:AG70" si="6">IF(OR(COUNTBLANK(D64:Y64)=22,COUNTBLANK(D64:Y64)=18),0,1)</f>
        <v>0</v>
      </c>
      <c r="AI64">
        <f t="shared" ref="AI64:AI70" si="7">COUNTIF(S64:AD64,"NS")</f>
        <v>0</v>
      </c>
      <c r="AJ64">
        <f t="shared" ref="AJ64:AJ70" si="8">SUM(S64:AD64)</f>
        <v>0</v>
      </c>
      <c r="AK64">
        <f t="shared" si="5"/>
        <v>0</v>
      </c>
    </row>
    <row r="65" spans="1:37" ht="15" customHeight="1">
      <c r="A65" s="108"/>
      <c r="B65" s="38"/>
      <c r="C65" s="98" t="s">
        <v>2518</v>
      </c>
      <c r="D65" s="1084" t="str">
        <f>IF(CNSIPEE_2024_M2_Secc1!D44="","",CNSIPEE_2024_M2_Secc1!D44)</f>
        <v/>
      </c>
      <c r="E65" s="1084"/>
      <c r="F65" s="1084"/>
      <c r="G65" s="1084"/>
      <c r="H65" s="1084"/>
      <c r="I65" s="1084"/>
      <c r="J65" s="1084"/>
      <c r="K65" s="1084"/>
      <c r="L65" s="1084"/>
      <c r="M65" s="749"/>
      <c r="N65" s="749"/>
      <c r="O65" s="749"/>
      <c r="P65" s="749"/>
      <c r="Q65" s="749"/>
      <c r="R65" s="749"/>
      <c r="S65" s="749"/>
      <c r="T65" s="749"/>
      <c r="U65" s="749"/>
      <c r="V65" s="749"/>
      <c r="W65" s="749"/>
      <c r="X65" s="749"/>
      <c r="Y65" s="749"/>
      <c r="Z65" s="749"/>
      <c r="AA65" s="749"/>
      <c r="AB65" s="749"/>
      <c r="AC65" s="749"/>
      <c r="AD65" s="749"/>
      <c r="AG65">
        <f t="shared" si="6"/>
        <v>0</v>
      </c>
      <c r="AI65">
        <f t="shared" si="7"/>
        <v>0</v>
      </c>
      <c r="AJ65">
        <f t="shared" si="8"/>
        <v>0</v>
      </c>
      <c r="AK65">
        <f t="shared" si="5"/>
        <v>0</v>
      </c>
    </row>
    <row r="66" spans="1:37" ht="15" customHeight="1">
      <c r="A66" s="108"/>
      <c r="B66" s="38"/>
      <c r="C66" s="98" t="s">
        <v>2519</v>
      </c>
      <c r="D66" s="1084" t="str">
        <f>IF(CNSIPEE_2024_M2_Secc1!D45="","",CNSIPEE_2024_M2_Secc1!D45)</f>
        <v/>
      </c>
      <c r="E66" s="1084"/>
      <c r="F66" s="1084"/>
      <c r="G66" s="1084"/>
      <c r="H66" s="1084"/>
      <c r="I66" s="1084"/>
      <c r="J66" s="1084"/>
      <c r="K66" s="1084"/>
      <c r="L66" s="1084"/>
      <c r="M66" s="749"/>
      <c r="N66" s="749"/>
      <c r="O66" s="749"/>
      <c r="P66" s="749"/>
      <c r="Q66" s="749"/>
      <c r="R66" s="749"/>
      <c r="S66" s="749"/>
      <c r="T66" s="749"/>
      <c r="U66" s="749"/>
      <c r="V66" s="749"/>
      <c r="W66" s="749"/>
      <c r="X66" s="749"/>
      <c r="Y66" s="749"/>
      <c r="Z66" s="749"/>
      <c r="AA66" s="749"/>
      <c r="AB66" s="749"/>
      <c r="AC66" s="749"/>
      <c r="AD66" s="749"/>
      <c r="AG66">
        <f t="shared" si="6"/>
        <v>0</v>
      </c>
      <c r="AI66">
        <f t="shared" si="7"/>
        <v>0</v>
      </c>
      <c r="AJ66">
        <f t="shared" si="8"/>
        <v>0</v>
      </c>
      <c r="AK66">
        <f t="shared" si="5"/>
        <v>0</v>
      </c>
    </row>
    <row r="67" spans="1:37" ht="15" customHeight="1">
      <c r="A67" s="108"/>
      <c r="B67" s="38"/>
      <c r="C67" s="98" t="s">
        <v>2520</v>
      </c>
      <c r="D67" s="1084" t="str">
        <f>IF(CNSIPEE_2024_M2_Secc1!D46="","",CNSIPEE_2024_M2_Secc1!D46)</f>
        <v/>
      </c>
      <c r="E67" s="1084"/>
      <c r="F67" s="1084"/>
      <c r="G67" s="1084"/>
      <c r="H67" s="1084"/>
      <c r="I67" s="1084"/>
      <c r="J67" s="1084"/>
      <c r="K67" s="1084"/>
      <c r="L67" s="1084"/>
      <c r="M67" s="749"/>
      <c r="N67" s="749"/>
      <c r="O67" s="749"/>
      <c r="P67" s="749"/>
      <c r="Q67" s="749"/>
      <c r="R67" s="749"/>
      <c r="S67" s="749"/>
      <c r="T67" s="749"/>
      <c r="U67" s="749"/>
      <c r="V67" s="749"/>
      <c r="W67" s="749"/>
      <c r="X67" s="749"/>
      <c r="Y67" s="749"/>
      <c r="Z67" s="749"/>
      <c r="AA67" s="749"/>
      <c r="AB67" s="749"/>
      <c r="AC67" s="749"/>
      <c r="AD67" s="749"/>
      <c r="AG67">
        <f t="shared" si="6"/>
        <v>0</v>
      </c>
      <c r="AI67">
        <f t="shared" si="7"/>
        <v>0</v>
      </c>
      <c r="AJ67">
        <f t="shared" si="8"/>
        <v>0</v>
      </c>
      <c r="AK67">
        <f t="shared" si="5"/>
        <v>0</v>
      </c>
    </row>
    <row r="68" spans="1:37" ht="15" customHeight="1">
      <c r="A68" s="108"/>
      <c r="B68" s="38"/>
      <c r="C68" s="98" t="s">
        <v>2521</v>
      </c>
      <c r="D68" s="1084" t="str">
        <f>IF(CNSIPEE_2024_M2_Secc1!D47="","",CNSIPEE_2024_M2_Secc1!D47)</f>
        <v/>
      </c>
      <c r="E68" s="1084"/>
      <c r="F68" s="1084"/>
      <c r="G68" s="1084"/>
      <c r="H68" s="1084"/>
      <c r="I68" s="1084"/>
      <c r="J68" s="1084"/>
      <c r="K68" s="1084"/>
      <c r="L68" s="1084"/>
      <c r="M68" s="749"/>
      <c r="N68" s="749"/>
      <c r="O68" s="749"/>
      <c r="P68" s="749"/>
      <c r="Q68" s="749"/>
      <c r="R68" s="749"/>
      <c r="S68" s="749"/>
      <c r="T68" s="749"/>
      <c r="U68" s="749"/>
      <c r="V68" s="749"/>
      <c r="W68" s="749"/>
      <c r="X68" s="749"/>
      <c r="Y68" s="749"/>
      <c r="Z68" s="749"/>
      <c r="AA68" s="749"/>
      <c r="AB68" s="749"/>
      <c r="AC68" s="749"/>
      <c r="AD68" s="749"/>
      <c r="AG68">
        <f t="shared" si="6"/>
        <v>0</v>
      </c>
      <c r="AI68">
        <f t="shared" si="7"/>
        <v>0</v>
      </c>
      <c r="AJ68">
        <f t="shared" si="8"/>
        <v>0</v>
      </c>
      <c r="AK68">
        <f t="shared" si="5"/>
        <v>0</v>
      </c>
    </row>
    <row r="69" spans="1:37" ht="15" customHeight="1">
      <c r="A69" s="108"/>
      <c r="B69" s="38"/>
      <c r="C69" s="98" t="s">
        <v>2522</v>
      </c>
      <c r="D69" s="1084" t="str">
        <f>IF(CNSIPEE_2024_M2_Secc1!D48="","",CNSIPEE_2024_M2_Secc1!D48)</f>
        <v/>
      </c>
      <c r="E69" s="1084"/>
      <c r="F69" s="1084"/>
      <c r="G69" s="1084"/>
      <c r="H69" s="1084"/>
      <c r="I69" s="1084"/>
      <c r="J69" s="1084"/>
      <c r="K69" s="1084"/>
      <c r="L69" s="1084"/>
      <c r="M69" s="749"/>
      <c r="N69" s="749"/>
      <c r="O69" s="749"/>
      <c r="P69" s="749"/>
      <c r="Q69" s="749"/>
      <c r="R69" s="749"/>
      <c r="S69" s="749"/>
      <c r="T69" s="749"/>
      <c r="U69" s="749"/>
      <c r="V69" s="749"/>
      <c r="W69" s="749"/>
      <c r="X69" s="749"/>
      <c r="Y69" s="749"/>
      <c r="Z69" s="749"/>
      <c r="AA69" s="749"/>
      <c r="AB69" s="749"/>
      <c r="AC69" s="749"/>
      <c r="AD69" s="749"/>
      <c r="AG69">
        <f t="shared" si="6"/>
        <v>0</v>
      </c>
      <c r="AI69">
        <f t="shared" si="7"/>
        <v>0</v>
      </c>
      <c r="AJ69">
        <f t="shared" si="8"/>
        <v>0</v>
      </c>
      <c r="AK69">
        <f t="shared" si="5"/>
        <v>0</v>
      </c>
    </row>
    <row r="70" spans="1:37" ht="15" customHeight="1">
      <c r="A70" s="186"/>
      <c r="B70" s="57"/>
      <c r="C70" s="98" t="s">
        <v>2523</v>
      </c>
      <c r="D70" s="1084" t="str">
        <f>IF(CNSIPEE_2024_M2_Secc1!D49="","",CNSIPEE_2024_M2_Secc1!D49)</f>
        <v/>
      </c>
      <c r="E70" s="1084"/>
      <c r="F70" s="1084"/>
      <c r="G70" s="1084"/>
      <c r="H70" s="1084"/>
      <c r="I70" s="1084"/>
      <c r="J70" s="1084"/>
      <c r="K70" s="1084"/>
      <c r="L70" s="1084"/>
      <c r="M70" s="749"/>
      <c r="N70" s="749"/>
      <c r="O70" s="749"/>
      <c r="P70" s="749"/>
      <c r="Q70" s="749"/>
      <c r="R70" s="749"/>
      <c r="S70" s="749"/>
      <c r="T70" s="749"/>
      <c r="U70" s="749"/>
      <c r="V70" s="749"/>
      <c r="W70" s="749"/>
      <c r="X70" s="749"/>
      <c r="Y70" s="749"/>
      <c r="Z70" s="749"/>
      <c r="AA70" s="749"/>
      <c r="AB70" s="749"/>
      <c r="AC70" s="749"/>
      <c r="AD70" s="749"/>
      <c r="AG70">
        <f t="shared" si="6"/>
        <v>0</v>
      </c>
      <c r="AI70">
        <f t="shared" si="7"/>
        <v>0</v>
      </c>
      <c r="AJ70">
        <f t="shared" si="8"/>
        <v>0</v>
      </c>
      <c r="AK70">
        <f t="shared" si="5"/>
        <v>0</v>
      </c>
    </row>
    <row r="71" spans="1:37" ht="15" customHeight="1">
      <c r="A71" s="108"/>
      <c r="B71" s="38"/>
      <c r="C71" s="38"/>
      <c r="D71" s="38"/>
      <c r="E71" s="38"/>
      <c r="F71" s="38"/>
      <c r="G71" s="38"/>
      <c r="H71" s="38"/>
      <c r="I71" s="38"/>
      <c r="J71" s="38"/>
      <c r="K71" s="38"/>
      <c r="L71" s="117" t="s">
        <v>2649</v>
      </c>
      <c r="M71" s="736">
        <f>IF(AND(SUM(M63:M70)=0,COUNTIF(M63:M70,"NS")&gt;0),"NS",IF(AND(SUM(M63:M70)=0,COUNTIF(M63:M70,0)&gt;0),0,IF(AND(SUM(M63:M70)=0,COUNTIF(M63:M70,"NA")&gt;0),"NA",SUM(M63:M70))))</f>
        <v>0</v>
      </c>
      <c r="N71" s="1085"/>
      <c r="O71" s="1085"/>
      <c r="P71" s="1085"/>
      <c r="Q71" s="1085"/>
      <c r="R71" s="1086"/>
      <c r="S71" s="736">
        <f>IF(AND(SUM(S63:S70)=0,COUNTIF(S63:S70,"NS")&gt;0),"NS",IF(AND(SUM(S63:S70)=0,COUNTIF(S63:S70,0)&gt;0),0,IF(AND(SUM(S63:S70)=0,COUNTIF(S63:S70,"NA")&gt;0),"NA",SUM(S63:S70))))</f>
        <v>0</v>
      </c>
      <c r="T71" s="1085"/>
      <c r="U71" s="1085"/>
      <c r="V71" s="1085"/>
      <c r="W71" s="1085"/>
      <c r="X71" s="1086"/>
      <c r="Y71" s="736">
        <f>IF(AND(SUM(Y63:Y70)=0,COUNTIF(Y63:Y70,"NS")&gt;0),"NS",IF(AND(SUM(Y63:Y70)=0,COUNTIF(Y63:Y70,0)&gt;0),0,IF(AND(SUM(Y63:Y70)=0,COUNTIF(Y63:Y70,"NA")&gt;0),"NA",SUM(Y63:Y70))))</f>
        <v>0</v>
      </c>
      <c r="Z71" s="1085"/>
      <c r="AA71" s="1085"/>
      <c r="AB71" s="1085"/>
      <c r="AC71" s="1085"/>
      <c r="AD71" s="1086"/>
      <c r="AG71" s="507">
        <f>SUM(AG63:AG70)</f>
        <v>0</v>
      </c>
      <c r="AI71">
        <f>SUM(AI63:AI70)</f>
        <v>0</v>
      </c>
      <c r="AK71" s="506">
        <f>SUM(AK63:AK70)</f>
        <v>0</v>
      </c>
    </row>
    <row r="72" spans="1:37" ht="15" customHeight="1">
      <c r="A72" s="108"/>
      <c r="B72" s="38"/>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row>
    <row r="73" spans="1:37" ht="24" customHeight="1">
      <c r="A73" s="108"/>
      <c r="B73" s="38"/>
      <c r="C73" s="754" t="s">
        <v>2611</v>
      </c>
      <c r="D73" s="754"/>
      <c r="E73" s="754"/>
      <c r="F73" s="754"/>
      <c r="G73" s="754"/>
      <c r="H73" s="754"/>
      <c r="I73" s="754"/>
      <c r="J73" s="754"/>
      <c r="K73" s="754"/>
      <c r="L73" s="754"/>
      <c r="M73" s="754"/>
      <c r="N73" s="754"/>
      <c r="O73" s="754"/>
      <c r="P73" s="754"/>
      <c r="Q73" s="754"/>
      <c r="R73" s="754"/>
      <c r="S73" s="754"/>
      <c r="T73" s="754"/>
      <c r="U73" s="754"/>
      <c r="V73" s="754"/>
      <c r="W73" s="754"/>
      <c r="X73" s="754"/>
      <c r="Y73" s="754"/>
      <c r="Z73" s="754"/>
      <c r="AA73" s="754"/>
      <c r="AB73" s="754"/>
      <c r="AC73" s="754"/>
      <c r="AD73" s="754"/>
    </row>
    <row r="74" spans="1:37" ht="60" customHeight="1">
      <c r="A74" s="108"/>
      <c r="B74" s="38"/>
      <c r="C74" s="851"/>
      <c r="D74" s="851"/>
      <c r="E74" s="851"/>
      <c r="F74" s="851"/>
      <c r="G74" s="851"/>
      <c r="H74" s="851"/>
      <c r="I74" s="851"/>
      <c r="J74" s="851"/>
      <c r="K74" s="851"/>
      <c r="L74" s="851"/>
      <c r="M74" s="851"/>
      <c r="N74" s="851"/>
      <c r="O74" s="851"/>
      <c r="P74" s="851"/>
      <c r="Q74" s="851"/>
      <c r="R74" s="851"/>
      <c r="S74" s="851"/>
      <c r="T74" s="851"/>
      <c r="U74" s="851"/>
      <c r="V74" s="851"/>
      <c r="W74" s="851"/>
      <c r="X74" s="851"/>
      <c r="Y74" s="851"/>
      <c r="Z74" s="851"/>
      <c r="AA74" s="851"/>
      <c r="AB74" s="851"/>
      <c r="AC74" s="851"/>
      <c r="AD74" s="851"/>
    </row>
    <row r="75" spans="1:37" ht="15" customHeight="1">
      <c r="A75" s="108"/>
      <c r="B75" s="794" t="str">
        <f>IF(AG71=0,"","Favor de ingresar toda la información requerida en la pregunta")</f>
        <v/>
      </c>
      <c r="C75" s="794"/>
      <c r="D75" s="794"/>
      <c r="E75" s="794"/>
      <c r="F75" s="794"/>
      <c r="G75" s="794"/>
      <c r="H75" s="794"/>
      <c r="I75" s="794"/>
      <c r="J75" s="794"/>
      <c r="K75" s="794"/>
      <c r="L75" s="794"/>
      <c r="M75" s="794"/>
      <c r="N75" s="794"/>
      <c r="O75" s="794"/>
      <c r="P75" s="794"/>
      <c r="Q75" s="794"/>
      <c r="R75" s="794"/>
      <c r="S75" s="794"/>
      <c r="T75" s="794"/>
      <c r="U75" s="794"/>
      <c r="V75" s="794"/>
      <c r="W75" s="794"/>
      <c r="X75" s="794"/>
      <c r="Y75" s="794"/>
      <c r="Z75" s="794"/>
      <c r="AA75" s="794"/>
      <c r="AB75" s="794"/>
      <c r="AC75" s="794"/>
      <c r="AD75" s="794"/>
      <c r="AE75" s="794"/>
    </row>
    <row r="76" spans="1:37" ht="15" customHeight="1">
      <c r="A76" s="176"/>
      <c r="B76" s="1087" t="str">
        <f>IF(COUNTIF(M63:AD70,"NS")&lt;&gt;0,"Alerta: debido a que cuenta con registros NS, debe proporcionar una justificación en el area de comentarios al final de la pregunta","")</f>
        <v/>
      </c>
      <c r="C76" s="1087"/>
      <c r="D76" s="1087"/>
      <c r="E76" s="1087"/>
      <c r="F76" s="1087"/>
      <c r="G76" s="1087"/>
      <c r="H76" s="1087"/>
      <c r="I76" s="1087"/>
      <c r="J76" s="1087"/>
      <c r="K76" s="1087"/>
      <c r="L76" s="1087"/>
      <c r="M76" s="1087"/>
      <c r="N76" s="1087"/>
      <c r="O76" s="1087"/>
      <c r="P76" s="1087"/>
      <c r="Q76" s="1087"/>
      <c r="R76" s="1087"/>
      <c r="S76" s="1087"/>
      <c r="T76" s="1087"/>
      <c r="U76" s="1087"/>
      <c r="V76" s="1087"/>
      <c r="W76" s="1087"/>
      <c r="X76" s="1087"/>
      <c r="Y76" s="1087"/>
      <c r="Z76" s="1087"/>
      <c r="AA76" s="1087"/>
      <c r="AB76" s="1087"/>
      <c r="AC76" s="1087"/>
      <c r="AD76" s="1087"/>
      <c r="AE76" s="1087"/>
    </row>
    <row r="77" spans="1:37" ht="15" customHeight="1">
      <c r="A77" s="176"/>
      <c r="B77" s="1003" t="str">
        <f>IF(AK71&gt;0,"Favor de revisar la suma y consistencia de totales y/o subtotales por filas (numéricos y NS)","")</f>
        <v/>
      </c>
      <c r="C77" s="1003"/>
      <c r="D77" s="1003"/>
      <c r="E77" s="1003"/>
      <c r="F77" s="1003"/>
      <c r="G77" s="1003"/>
      <c r="H77" s="1003"/>
      <c r="I77" s="1003"/>
      <c r="J77" s="1003"/>
      <c r="K77" s="1003"/>
      <c r="L77" s="1003"/>
      <c r="M77" s="1003"/>
      <c r="N77" s="1003"/>
      <c r="O77" s="1003"/>
      <c r="P77" s="1003"/>
      <c r="Q77" s="1003"/>
      <c r="R77" s="1003"/>
      <c r="S77" s="1003"/>
      <c r="T77" s="1003"/>
      <c r="U77" s="1003"/>
      <c r="V77" s="1003"/>
      <c r="W77" s="1003"/>
      <c r="X77" s="1003"/>
      <c r="Y77" s="1003"/>
      <c r="Z77" s="1003"/>
      <c r="AA77" s="1003"/>
      <c r="AB77" s="1003"/>
      <c r="AC77" s="1003"/>
      <c r="AD77" s="1003"/>
      <c r="AE77" s="1003"/>
    </row>
    <row r="78" spans="1:37" ht="15" customHeight="1">
      <c r="A78" s="176"/>
      <c r="B78" s="678"/>
      <c r="C78" s="678"/>
      <c r="D78" s="678"/>
      <c r="E78" s="678"/>
      <c r="F78" s="678"/>
      <c r="G78" s="678"/>
      <c r="H78" s="678"/>
      <c r="I78" s="678"/>
      <c r="J78" s="678"/>
      <c r="K78" s="678"/>
      <c r="L78" s="678"/>
      <c r="M78" s="678"/>
      <c r="N78" s="678"/>
      <c r="O78" s="678"/>
      <c r="P78" s="678"/>
      <c r="Q78" s="678"/>
      <c r="R78" s="678"/>
      <c r="S78" s="678"/>
      <c r="T78" s="678"/>
      <c r="U78" s="678"/>
      <c r="V78" s="678"/>
      <c r="W78" s="678"/>
      <c r="X78" s="678"/>
      <c r="Y78" s="678"/>
      <c r="Z78" s="678"/>
      <c r="AA78" s="678"/>
      <c r="AB78" s="678"/>
      <c r="AC78" s="678"/>
      <c r="AD78" s="678"/>
      <c r="AE78" s="678"/>
    </row>
    <row r="79" spans="1:37" ht="15" customHeight="1">
      <c r="A79" s="108"/>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row>
    <row r="80" spans="1:37" ht="15" customHeight="1">
      <c r="A80" s="108"/>
      <c r="B80" s="38"/>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row>
    <row r="81" spans="1:48" ht="24" customHeight="1">
      <c r="A81" s="108" t="s">
        <v>4565</v>
      </c>
      <c r="B81" s="829" t="s">
        <v>4566</v>
      </c>
      <c r="C81" s="829"/>
      <c r="D81" s="829"/>
      <c r="E81" s="829"/>
      <c r="F81" s="829"/>
      <c r="G81" s="829"/>
      <c r="H81" s="829"/>
      <c r="I81" s="829"/>
      <c r="J81" s="829"/>
      <c r="K81" s="829"/>
      <c r="L81" s="829"/>
      <c r="M81" s="829"/>
      <c r="N81" s="829"/>
      <c r="O81" s="829"/>
      <c r="P81" s="829"/>
      <c r="Q81" s="829"/>
      <c r="R81" s="829"/>
      <c r="S81" s="829"/>
      <c r="T81" s="829"/>
      <c r="U81" s="829"/>
      <c r="V81" s="829"/>
      <c r="W81" s="829"/>
      <c r="X81" s="829"/>
      <c r="Y81" s="829"/>
      <c r="Z81" s="829"/>
      <c r="AA81" s="829"/>
      <c r="AB81" s="829"/>
      <c r="AC81" s="829"/>
      <c r="AD81" s="829"/>
    </row>
    <row r="82" spans="1:48" ht="24" customHeight="1">
      <c r="A82" s="49"/>
      <c r="B82" s="38"/>
      <c r="C82" s="830" t="s">
        <v>4567</v>
      </c>
      <c r="D82" s="830"/>
      <c r="E82" s="830"/>
      <c r="F82" s="830"/>
      <c r="G82" s="830"/>
      <c r="H82" s="830"/>
      <c r="I82" s="830"/>
      <c r="J82" s="830"/>
      <c r="K82" s="830"/>
      <c r="L82" s="830"/>
      <c r="M82" s="830"/>
      <c r="N82" s="830"/>
      <c r="O82" s="830"/>
      <c r="P82" s="830"/>
      <c r="Q82" s="830"/>
      <c r="R82" s="830"/>
      <c r="S82" s="830"/>
      <c r="T82" s="830"/>
      <c r="U82" s="830"/>
      <c r="V82" s="830"/>
      <c r="W82" s="830"/>
      <c r="X82" s="830"/>
      <c r="Y82" s="830"/>
      <c r="Z82" s="830"/>
      <c r="AA82" s="830"/>
      <c r="AB82" s="830"/>
      <c r="AC82" s="830"/>
      <c r="AD82" s="830"/>
    </row>
    <row r="83" spans="1:48" ht="36" customHeight="1">
      <c r="A83" s="49"/>
      <c r="B83" s="38"/>
      <c r="C83" s="830" t="s">
        <v>4568</v>
      </c>
      <c r="D83" s="830"/>
      <c r="E83" s="830"/>
      <c r="F83" s="830"/>
      <c r="G83" s="830"/>
      <c r="H83" s="830"/>
      <c r="I83" s="830"/>
      <c r="J83" s="830"/>
      <c r="K83" s="830"/>
      <c r="L83" s="830"/>
      <c r="M83" s="830"/>
      <c r="N83" s="830"/>
      <c r="O83" s="830"/>
      <c r="P83" s="830"/>
      <c r="Q83" s="830"/>
      <c r="R83" s="830"/>
      <c r="S83" s="830"/>
      <c r="T83" s="830"/>
      <c r="U83" s="830"/>
      <c r="V83" s="830"/>
      <c r="W83" s="830"/>
      <c r="X83" s="830"/>
      <c r="Y83" s="830"/>
      <c r="Z83" s="830"/>
      <c r="AA83" s="830"/>
      <c r="AB83" s="830"/>
      <c r="AC83" s="830"/>
      <c r="AD83" s="830"/>
    </row>
    <row r="84" spans="1:48" ht="15" customHeight="1">
      <c r="A84" s="108"/>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row>
    <row r="85" spans="1:48" ht="36" customHeight="1">
      <c r="A85" s="108"/>
      <c r="B85" s="38"/>
      <c r="C85" s="797" t="s">
        <v>2581</v>
      </c>
      <c r="D85" s="798"/>
      <c r="E85" s="798"/>
      <c r="F85" s="798"/>
      <c r="G85" s="798"/>
      <c r="H85" s="798"/>
      <c r="I85" s="798"/>
      <c r="J85" s="798"/>
      <c r="K85" s="798"/>
      <c r="L85" s="798"/>
      <c r="M85" s="798"/>
      <c r="N85" s="798"/>
      <c r="O85" s="798"/>
      <c r="P85" s="798"/>
      <c r="Q85" s="798"/>
      <c r="R85" s="799"/>
      <c r="S85" s="739" t="s">
        <v>4569</v>
      </c>
      <c r="T85" s="740"/>
      <c r="U85" s="740"/>
      <c r="V85" s="740"/>
      <c r="W85" s="740"/>
      <c r="X85" s="740"/>
      <c r="Y85" s="740"/>
      <c r="Z85" s="740"/>
      <c r="AA85" s="740"/>
      <c r="AB85" s="740"/>
      <c r="AC85" s="740"/>
      <c r="AD85" s="741"/>
    </row>
    <row r="86" spans="1:48" ht="48" customHeight="1">
      <c r="A86" s="108"/>
      <c r="B86" s="38"/>
      <c r="C86" s="800"/>
      <c r="D86" s="801"/>
      <c r="E86" s="801"/>
      <c r="F86" s="801"/>
      <c r="G86" s="801"/>
      <c r="H86" s="801"/>
      <c r="I86" s="801"/>
      <c r="J86" s="801"/>
      <c r="K86" s="801"/>
      <c r="L86" s="801"/>
      <c r="M86" s="801"/>
      <c r="N86" s="801"/>
      <c r="O86" s="801"/>
      <c r="P86" s="801"/>
      <c r="Q86" s="801"/>
      <c r="R86" s="802"/>
      <c r="S86" s="887" t="s">
        <v>2628</v>
      </c>
      <c r="T86" s="889" t="s">
        <v>2629</v>
      </c>
      <c r="U86" s="889" t="s">
        <v>2630</v>
      </c>
      <c r="V86" s="733" t="s">
        <v>4570</v>
      </c>
      <c r="W86" s="734"/>
      <c r="X86" s="735"/>
      <c r="Y86" s="733" t="s">
        <v>4571</v>
      </c>
      <c r="Z86" s="734"/>
      <c r="AA86" s="735"/>
      <c r="AB86" s="733" t="s">
        <v>4572</v>
      </c>
      <c r="AC86" s="734"/>
      <c r="AD86" s="735"/>
    </row>
    <row r="87" spans="1:48" ht="48" customHeight="1">
      <c r="A87" s="108"/>
      <c r="B87" s="38"/>
      <c r="C87" s="803"/>
      <c r="D87" s="804"/>
      <c r="E87" s="804"/>
      <c r="F87" s="804"/>
      <c r="G87" s="804"/>
      <c r="H87" s="804"/>
      <c r="I87" s="804"/>
      <c r="J87" s="804"/>
      <c r="K87" s="804"/>
      <c r="L87" s="804"/>
      <c r="M87" s="804"/>
      <c r="N87" s="804"/>
      <c r="O87" s="804"/>
      <c r="P87" s="804"/>
      <c r="Q87" s="804"/>
      <c r="R87" s="805"/>
      <c r="S87" s="888"/>
      <c r="T87" s="890"/>
      <c r="U87" s="890"/>
      <c r="V87" s="171" t="s">
        <v>2635</v>
      </c>
      <c r="W87" s="128" t="s">
        <v>2629</v>
      </c>
      <c r="X87" s="128" t="s">
        <v>2630</v>
      </c>
      <c r="Y87" s="171" t="s">
        <v>2635</v>
      </c>
      <c r="Z87" s="128" t="s">
        <v>2629</v>
      </c>
      <c r="AA87" s="128" t="s">
        <v>2630</v>
      </c>
      <c r="AB87" s="171" t="s">
        <v>2635</v>
      </c>
      <c r="AC87" s="128" t="s">
        <v>2629</v>
      </c>
      <c r="AD87" s="128" t="s">
        <v>2630</v>
      </c>
      <c r="AG87" t="s">
        <v>2586</v>
      </c>
      <c r="AK87" t="s">
        <v>4573</v>
      </c>
      <c r="AL87" t="s">
        <v>2638</v>
      </c>
      <c r="AM87" t="s">
        <v>2639</v>
      </c>
      <c r="AN87" t="s">
        <v>4574</v>
      </c>
      <c r="AO87" t="s">
        <v>2641</v>
      </c>
      <c r="AP87" t="s">
        <v>2642</v>
      </c>
      <c r="AQ87" t="s">
        <v>4575</v>
      </c>
      <c r="AR87" t="s">
        <v>2644</v>
      </c>
      <c r="AS87" t="s">
        <v>2645</v>
      </c>
      <c r="AT87" t="s">
        <v>4576</v>
      </c>
      <c r="AU87" t="s">
        <v>2647</v>
      </c>
      <c r="AV87" t="s">
        <v>2648</v>
      </c>
    </row>
    <row r="88" spans="1:48" ht="15" customHeight="1">
      <c r="A88" s="108"/>
      <c r="B88" s="38"/>
      <c r="C88" s="97" t="s">
        <v>2516</v>
      </c>
      <c r="D88" s="813" t="str">
        <f>IF(CNSIPEE_2024_M2_Secc1!D42="","",CNSIPEE_2024_M2_Secc1!D42)</f>
        <v/>
      </c>
      <c r="E88" s="814"/>
      <c r="F88" s="814"/>
      <c r="G88" s="814"/>
      <c r="H88" s="814"/>
      <c r="I88" s="814"/>
      <c r="J88" s="814"/>
      <c r="K88" s="814"/>
      <c r="L88" s="814"/>
      <c r="M88" s="814"/>
      <c r="N88" s="814"/>
      <c r="O88" s="814"/>
      <c r="P88" s="814"/>
      <c r="Q88" s="814"/>
      <c r="R88" s="815"/>
      <c r="S88" s="100"/>
      <c r="T88" s="100"/>
      <c r="U88" s="100"/>
      <c r="V88" s="100"/>
      <c r="W88" s="100"/>
      <c r="X88" s="100"/>
      <c r="Y88" s="100"/>
      <c r="Z88" s="100"/>
      <c r="AA88" s="100"/>
      <c r="AB88" s="100"/>
      <c r="AC88" s="100"/>
      <c r="AD88" s="100"/>
      <c r="AG88">
        <f t="shared" ref="AG88" si="9">IF(OR(COUNTBLANK(D88:AD88)=27,COUNTBLANK(D88:AD88)=14),0,1)</f>
        <v>0</v>
      </c>
      <c r="AK88">
        <f t="shared" ref="AK88" si="10">COUNTIF(T88:U88,"NS")</f>
        <v>0</v>
      </c>
      <c r="AL88">
        <f t="shared" ref="AL88" si="11">SUM(T88:U88)</f>
        <v>0</v>
      </c>
      <c r="AM88">
        <f t="shared" ref="AM88:AM95" si="12">IF(COUNTIF(S88:U88,"NA")=3,0,IF(COUNTA(S88:U88)=0,0,IF(OR(AND(S88=0,AK88&gt;0),AND(S88="ns",AL88&gt;0),AND(S88="ns",AK88=0,AL88=0)),1,IF(OR(AND(S88&gt;0,AK88=2),AND(S88="ns",AK88=2),AND(S88="ns",AL88=0,AK88&gt;0),S88=AL88),0,1))))</f>
        <v>0</v>
      </c>
      <c r="AN88">
        <f t="shared" ref="AN88:AN95" si="13">COUNTIF(W88:X88,"NS")</f>
        <v>0</v>
      </c>
      <c r="AO88">
        <f t="shared" ref="AO88:AO95" si="14">SUM(W88:X88)</f>
        <v>0</v>
      </c>
      <c r="AP88">
        <f t="shared" ref="AP88:AP95" si="15">IF(COUNTIF(V88:X88,"NA")=3,0,IF(COUNTA(V88:X88)=0,0,IF(OR(AND(V88=0,AN88&gt;0),AND(V88="ns",AO88&gt;0),AND(V88="ns",AN88=0,AO88=0)),1,IF(OR(AND(V88&gt;0,AN88=2),AND(V88="ns",AN88=2),AND(V88="ns",AO88=0,AN88&gt;0),V88=AO88),0,1))))</f>
        <v>0</v>
      </c>
      <c r="AQ88">
        <f t="shared" ref="AQ88:AQ95" si="16">COUNTIF(Z88:AA88,"NS")</f>
        <v>0</v>
      </c>
      <c r="AR88">
        <f t="shared" ref="AR88:AR95" si="17">SUM(Z88:AA88)</f>
        <v>0</v>
      </c>
      <c r="AS88">
        <f t="shared" ref="AS88:AS95" si="18">IF(COUNTIF(Y88:AA88,"NA")=3,0,IF(COUNTA(Y88:AA88)=0,0,IF(OR(AND(Y88=0,AQ88&gt;0),AND(Y88="ns",AR88&gt;0),AND(Y88="ns",AQ88=0,AR88=0)),1,IF(OR(AND(Y88&gt;0,AQ88=2),AND(Y88="ns",AQ88=2),AND(Y88="ns",AR88=0,AQ88&gt;0),Y88=AR88),0,1))))</f>
        <v>0</v>
      </c>
      <c r="AT88">
        <f t="shared" ref="AT88:AT95" si="19">COUNTIF(AC88:AD88,"NS")</f>
        <v>0</v>
      </c>
      <c r="AU88">
        <f t="shared" ref="AU88:AU95" si="20">SUM(AC88:AD88)</f>
        <v>0</v>
      </c>
      <c r="AV88">
        <f t="shared" ref="AV88:AV95" si="21">IF(COUNTIF(AB88:AD88,"NA")=3,0,IF(COUNTA(AB88:AD88)=0,0,IF(OR(AND(AB88=0,AT88&gt;0),AND(AB88="ns",AU88&gt;0),AND(AB88="ns",AT88=0,AU88=0)),1,IF(OR(AND(AB88&gt;0,AT88=2),AND(AB88="ns",AT88=2),AND(AB88="ns",AU88=0,AT88&gt;0),AB88=AU88),0,1))))</f>
        <v>0</v>
      </c>
    </row>
    <row r="89" spans="1:48" ht="15" customHeight="1">
      <c r="A89" s="108"/>
      <c r="B89" s="38"/>
      <c r="C89" s="98" t="s">
        <v>2517</v>
      </c>
      <c r="D89" s="813" t="str">
        <f>IF(CNSIPEE_2024_M2_Secc1!D43="","",CNSIPEE_2024_M2_Secc1!D43)</f>
        <v/>
      </c>
      <c r="E89" s="814"/>
      <c r="F89" s="814"/>
      <c r="G89" s="814"/>
      <c r="H89" s="814"/>
      <c r="I89" s="814"/>
      <c r="J89" s="814"/>
      <c r="K89" s="814"/>
      <c r="L89" s="814"/>
      <c r="M89" s="814"/>
      <c r="N89" s="814"/>
      <c r="O89" s="814"/>
      <c r="P89" s="814"/>
      <c r="Q89" s="814"/>
      <c r="R89" s="815"/>
      <c r="S89" s="100"/>
      <c r="T89" s="100"/>
      <c r="U89" s="100"/>
      <c r="V89" s="100"/>
      <c r="W89" s="100"/>
      <c r="X89" s="100"/>
      <c r="Y89" s="100"/>
      <c r="Z89" s="100"/>
      <c r="AA89" s="100"/>
      <c r="AB89" s="100"/>
      <c r="AC89" s="100"/>
      <c r="AD89" s="100"/>
      <c r="AG89">
        <f t="shared" ref="AG89:AG95" si="22">IF(OR(COUNTBLANK(D89:AD89)=27,COUNTBLANK(D89:AD89)=14),0,1)</f>
        <v>0</v>
      </c>
      <c r="AK89">
        <f t="shared" ref="AK89:AK95" si="23">COUNTIF(T89:U89,"NS")</f>
        <v>0</v>
      </c>
      <c r="AL89">
        <f t="shared" ref="AL89:AL95" si="24">SUM(T89:U89)</f>
        <v>0</v>
      </c>
      <c r="AM89">
        <f t="shared" si="12"/>
        <v>0</v>
      </c>
      <c r="AN89">
        <f t="shared" si="13"/>
        <v>0</v>
      </c>
      <c r="AO89">
        <f t="shared" si="14"/>
        <v>0</v>
      </c>
      <c r="AP89">
        <f t="shared" si="15"/>
        <v>0</v>
      </c>
      <c r="AQ89">
        <f t="shared" si="16"/>
        <v>0</v>
      </c>
      <c r="AR89">
        <f t="shared" si="17"/>
        <v>0</v>
      </c>
      <c r="AS89">
        <f t="shared" si="18"/>
        <v>0</v>
      </c>
      <c r="AT89">
        <f t="shared" si="19"/>
        <v>0</v>
      </c>
      <c r="AU89">
        <f t="shared" si="20"/>
        <v>0</v>
      </c>
      <c r="AV89">
        <f t="shared" si="21"/>
        <v>0</v>
      </c>
    </row>
    <row r="90" spans="1:48" ht="15" customHeight="1">
      <c r="A90" s="186"/>
      <c r="B90" s="57"/>
      <c r="C90" s="98" t="s">
        <v>2518</v>
      </c>
      <c r="D90" s="813" t="str">
        <f>IF(CNSIPEE_2024_M2_Secc1!D44="","",CNSIPEE_2024_M2_Secc1!D44)</f>
        <v/>
      </c>
      <c r="E90" s="814"/>
      <c r="F90" s="814"/>
      <c r="G90" s="814"/>
      <c r="H90" s="814"/>
      <c r="I90" s="814"/>
      <c r="J90" s="814"/>
      <c r="K90" s="814"/>
      <c r="L90" s="814"/>
      <c r="M90" s="814"/>
      <c r="N90" s="814"/>
      <c r="O90" s="814"/>
      <c r="P90" s="814"/>
      <c r="Q90" s="814"/>
      <c r="R90" s="815"/>
      <c r="S90" s="100"/>
      <c r="T90" s="100"/>
      <c r="U90" s="100"/>
      <c r="V90" s="100"/>
      <c r="W90" s="100"/>
      <c r="X90" s="100"/>
      <c r="Y90" s="100"/>
      <c r="Z90" s="100"/>
      <c r="AA90" s="100"/>
      <c r="AB90" s="100"/>
      <c r="AC90" s="100"/>
      <c r="AD90" s="100"/>
      <c r="AG90">
        <f t="shared" si="22"/>
        <v>0</v>
      </c>
      <c r="AK90">
        <f t="shared" si="23"/>
        <v>0</v>
      </c>
      <c r="AL90">
        <f t="shared" si="24"/>
        <v>0</v>
      </c>
      <c r="AM90">
        <f t="shared" si="12"/>
        <v>0</v>
      </c>
      <c r="AN90">
        <f t="shared" si="13"/>
        <v>0</v>
      </c>
      <c r="AO90">
        <f t="shared" si="14"/>
        <v>0</v>
      </c>
      <c r="AP90">
        <f t="shared" si="15"/>
        <v>0</v>
      </c>
      <c r="AQ90">
        <f t="shared" si="16"/>
        <v>0</v>
      </c>
      <c r="AR90">
        <f t="shared" si="17"/>
        <v>0</v>
      </c>
      <c r="AS90">
        <f t="shared" si="18"/>
        <v>0</v>
      </c>
      <c r="AT90">
        <f t="shared" si="19"/>
        <v>0</v>
      </c>
      <c r="AU90">
        <f t="shared" si="20"/>
        <v>0</v>
      </c>
      <c r="AV90">
        <f t="shared" si="21"/>
        <v>0</v>
      </c>
    </row>
    <row r="91" spans="1:48" ht="15" customHeight="1">
      <c r="A91" s="186"/>
      <c r="B91" s="57"/>
      <c r="C91" s="98" t="s">
        <v>2519</v>
      </c>
      <c r="D91" s="813" t="str">
        <f>IF(CNSIPEE_2024_M2_Secc1!D45="","",CNSIPEE_2024_M2_Secc1!D45)</f>
        <v/>
      </c>
      <c r="E91" s="814"/>
      <c r="F91" s="814"/>
      <c r="G91" s="814"/>
      <c r="H91" s="814"/>
      <c r="I91" s="814"/>
      <c r="J91" s="814"/>
      <c r="K91" s="814"/>
      <c r="L91" s="814"/>
      <c r="M91" s="814"/>
      <c r="N91" s="814"/>
      <c r="O91" s="814"/>
      <c r="P91" s="814"/>
      <c r="Q91" s="814"/>
      <c r="R91" s="815"/>
      <c r="S91" s="100"/>
      <c r="T91" s="100"/>
      <c r="U91" s="100"/>
      <c r="V91" s="100"/>
      <c r="W91" s="100"/>
      <c r="X91" s="100"/>
      <c r="Y91" s="100"/>
      <c r="Z91" s="100"/>
      <c r="AA91" s="100"/>
      <c r="AB91" s="100"/>
      <c r="AC91" s="100"/>
      <c r="AD91" s="100"/>
      <c r="AG91">
        <f t="shared" si="22"/>
        <v>0</v>
      </c>
      <c r="AK91">
        <f t="shared" si="23"/>
        <v>0</v>
      </c>
      <c r="AL91">
        <f t="shared" si="24"/>
        <v>0</v>
      </c>
      <c r="AM91">
        <f t="shared" si="12"/>
        <v>0</v>
      </c>
      <c r="AN91">
        <f t="shared" si="13"/>
        <v>0</v>
      </c>
      <c r="AO91">
        <f t="shared" si="14"/>
        <v>0</v>
      </c>
      <c r="AP91">
        <f t="shared" si="15"/>
        <v>0</v>
      </c>
      <c r="AQ91">
        <f t="shared" si="16"/>
        <v>0</v>
      </c>
      <c r="AR91">
        <f t="shared" si="17"/>
        <v>0</v>
      </c>
      <c r="AS91">
        <f t="shared" si="18"/>
        <v>0</v>
      </c>
      <c r="AT91">
        <f t="shared" si="19"/>
        <v>0</v>
      </c>
      <c r="AU91">
        <f t="shared" si="20"/>
        <v>0</v>
      </c>
      <c r="AV91">
        <f t="shared" si="21"/>
        <v>0</v>
      </c>
    </row>
    <row r="92" spans="1:48" ht="15" customHeight="1">
      <c r="A92" s="186"/>
      <c r="B92" s="57"/>
      <c r="C92" s="98" t="s">
        <v>2520</v>
      </c>
      <c r="D92" s="813" t="str">
        <f>IF(CNSIPEE_2024_M2_Secc1!D46="","",CNSIPEE_2024_M2_Secc1!D46)</f>
        <v/>
      </c>
      <c r="E92" s="814"/>
      <c r="F92" s="814"/>
      <c r="G92" s="814"/>
      <c r="H92" s="814"/>
      <c r="I92" s="814"/>
      <c r="J92" s="814"/>
      <c r="K92" s="814"/>
      <c r="L92" s="814"/>
      <c r="M92" s="814"/>
      <c r="N92" s="814"/>
      <c r="O92" s="814"/>
      <c r="P92" s="814"/>
      <c r="Q92" s="814"/>
      <c r="R92" s="815"/>
      <c r="S92" s="100"/>
      <c r="T92" s="100"/>
      <c r="U92" s="100"/>
      <c r="V92" s="100"/>
      <c r="W92" s="100"/>
      <c r="X92" s="100"/>
      <c r="Y92" s="100"/>
      <c r="Z92" s="100"/>
      <c r="AA92" s="100"/>
      <c r="AB92" s="100"/>
      <c r="AC92" s="100"/>
      <c r="AD92" s="100"/>
      <c r="AG92">
        <f t="shared" si="22"/>
        <v>0</v>
      </c>
      <c r="AK92">
        <f t="shared" si="23"/>
        <v>0</v>
      </c>
      <c r="AL92">
        <f t="shared" si="24"/>
        <v>0</v>
      </c>
      <c r="AM92">
        <f t="shared" si="12"/>
        <v>0</v>
      </c>
      <c r="AN92">
        <f t="shared" si="13"/>
        <v>0</v>
      </c>
      <c r="AO92">
        <f t="shared" si="14"/>
        <v>0</v>
      </c>
      <c r="AP92">
        <f t="shared" si="15"/>
        <v>0</v>
      </c>
      <c r="AQ92">
        <f t="shared" si="16"/>
        <v>0</v>
      </c>
      <c r="AR92">
        <f t="shared" si="17"/>
        <v>0</v>
      </c>
      <c r="AS92">
        <f t="shared" si="18"/>
        <v>0</v>
      </c>
      <c r="AT92">
        <f t="shared" si="19"/>
        <v>0</v>
      </c>
      <c r="AU92">
        <f t="shared" si="20"/>
        <v>0</v>
      </c>
      <c r="AV92">
        <f t="shared" si="21"/>
        <v>0</v>
      </c>
    </row>
    <row r="93" spans="1:48" ht="15" customHeight="1">
      <c r="A93" s="186"/>
      <c r="B93" s="57"/>
      <c r="C93" s="98" t="s">
        <v>2521</v>
      </c>
      <c r="D93" s="813" t="str">
        <f>IF(CNSIPEE_2024_M2_Secc1!D47="","",CNSIPEE_2024_M2_Secc1!D47)</f>
        <v/>
      </c>
      <c r="E93" s="814"/>
      <c r="F93" s="814"/>
      <c r="G93" s="814"/>
      <c r="H93" s="814"/>
      <c r="I93" s="814"/>
      <c r="J93" s="814"/>
      <c r="K93" s="814"/>
      <c r="L93" s="814"/>
      <c r="M93" s="814"/>
      <c r="N93" s="814"/>
      <c r="O93" s="814"/>
      <c r="P93" s="814"/>
      <c r="Q93" s="814"/>
      <c r="R93" s="815"/>
      <c r="S93" s="100"/>
      <c r="T93" s="100"/>
      <c r="U93" s="100"/>
      <c r="V93" s="100"/>
      <c r="W93" s="100"/>
      <c r="X93" s="100"/>
      <c r="Y93" s="100"/>
      <c r="Z93" s="100"/>
      <c r="AA93" s="100"/>
      <c r="AB93" s="100"/>
      <c r="AC93" s="100"/>
      <c r="AD93" s="100"/>
      <c r="AG93">
        <f t="shared" si="22"/>
        <v>0</v>
      </c>
      <c r="AK93">
        <f t="shared" si="23"/>
        <v>0</v>
      </c>
      <c r="AL93">
        <f t="shared" si="24"/>
        <v>0</v>
      </c>
      <c r="AM93">
        <f t="shared" si="12"/>
        <v>0</v>
      </c>
      <c r="AN93">
        <f t="shared" si="13"/>
        <v>0</v>
      </c>
      <c r="AO93">
        <f t="shared" si="14"/>
        <v>0</v>
      </c>
      <c r="AP93">
        <f t="shared" si="15"/>
        <v>0</v>
      </c>
      <c r="AQ93">
        <f t="shared" si="16"/>
        <v>0</v>
      </c>
      <c r="AR93">
        <f t="shared" si="17"/>
        <v>0</v>
      </c>
      <c r="AS93">
        <f t="shared" si="18"/>
        <v>0</v>
      </c>
      <c r="AT93">
        <f t="shared" si="19"/>
        <v>0</v>
      </c>
      <c r="AU93">
        <f t="shared" si="20"/>
        <v>0</v>
      </c>
      <c r="AV93">
        <f t="shared" si="21"/>
        <v>0</v>
      </c>
    </row>
    <row r="94" spans="1:48" ht="15" customHeight="1">
      <c r="A94" s="186"/>
      <c r="B94" s="57"/>
      <c r="C94" s="98" t="s">
        <v>2522</v>
      </c>
      <c r="D94" s="813" t="str">
        <f>IF(CNSIPEE_2024_M2_Secc1!D48="","",CNSIPEE_2024_M2_Secc1!D48)</f>
        <v/>
      </c>
      <c r="E94" s="814"/>
      <c r="F94" s="814"/>
      <c r="G94" s="814"/>
      <c r="H94" s="814"/>
      <c r="I94" s="814"/>
      <c r="J94" s="814"/>
      <c r="K94" s="814"/>
      <c r="L94" s="814"/>
      <c r="M94" s="814"/>
      <c r="N94" s="814"/>
      <c r="O94" s="814"/>
      <c r="P94" s="814"/>
      <c r="Q94" s="814"/>
      <c r="R94" s="815"/>
      <c r="S94" s="100"/>
      <c r="T94" s="100"/>
      <c r="U94" s="100"/>
      <c r="V94" s="100"/>
      <c r="W94" s="100"/>
      <c r="X94" s="100"/>
      <c r="Y94" s="100"/>
      <c r="Z94" s="100"/>
      <c r="AA94" s="100"/>
      <c r="AB94" s="100"/>
      <c r="AC94" s="100"/>
      <c r="AD94" s="100"/>
      <c r="AG94">
        <f t="shared" si="22"/>
        <v>0</v>
      </c>
      <c r="AK94">
        <f t="shared" si="23"/>
        <v>0</v>
      </c>
      <c r="AL94">
        <f t="shared" si="24"/>
        <v>0</v>
      </c>
      <c r="AM94">
        <f t="shared" si="12"/>
        <v>0</v>
      </c>
      <c r="AN94">
        <f t="shared" si="13"/>
        <v>0</v>
      </c>
      <c r="AO94">
        <f t="shared" si="14"/>
        <v>0</v>
      </c>
      <c r="AP94">
        <f t="shared" si="15"/>
        <v>0</v>
      </c>
      <c r="AQ94">
        <f t="shared" si="16"/>
        <v>0</v>
      </c>
      <c r="AR94">
        <f t="shared" si="17"/>
        <v>0</v>
      </c>
      <c r="AS94">
        <f t="shared" si="18"/>
        <v>0</v>
      </c>
      <c r="AT94">
        <f t="shared" si="19"/>
        <v>0</v>
      </c>
      <c r="AU94">
        <f t="shared" si="20"/>
        <v>0</v>
      </c>
      <c r="AV94">
        <f t="shared" si="21"/>
        <v>0</v>
      </c>
    </row>
    <row r="95" spans="1:48" ht="15" customHeight="1">
      <c r="A95" s="186"/>
      <c r="B95" s="57"/>
      <c r="C95" s="98" t="s">
        <v>2523</v>
      </c>
      <c r="D95" s="813" t="str">
        <f>IF(CNSIPEE_2024_M2_Secc1!D49="","",CNSIPEE_2024_M2_Secc1!D49)</f>
        <v/>
      </c>
      <c r="E95" s="814"/>
      <c r="F95" s="814"/>
      <c r="G95" s="814"/>
      <c r="H95" s="814"/>
      <c r="I95" s="814"/>
      <c r="J95" s="814"/>
      <c r="K95" s="814"/>
      <c r="L95" s="814"/>
      <c r="M95" s="814"/>
      <c r="N95" s="814"/>
      <c r="O95" s="814"/>
      <c r="P95" s="814"/>
      <c r="Q95" s="814"/>
      <c r="R95" s="815"/>
      <c r="S95" s="100"/>
      <c r="T95" s="100"/>
      <c r="U95" s="100"/>
      <c r="V95" s="100"/>
      <c r="W95" s="100"/>
      <c r="X95" s="100"/>
      <c r="Y95" s="100"/>
      <c r="Z95" s="100"/>
      <c r="AA95" s="100"/>
      <c r="AB95" s="100"/>
      <c r="AC95" s="100"/>
      <c r="AD95" s="100"/>
      <c r="AG95">
        <f t="shared" si="22"/>
        <v>0</v>
      </c>
      <c r="AK95">
        <f t="shared" si="23"/>
        <v>0</v>
      </c>
      <c r="AL95">
        <f t="shared" si="24"/>
        <v>0</v>
      </c>
      <c r="AM95">
        <f t="shared" si="12"/>
        <v>0</v>
      </c>
      <c r="AN95">
        <f t="shared" si="13"/>
        <v>0</v>
      </c>
      <c r="AO95">
        <f t="shared" si="14"/>
        <v>0</v>
      </c>
      <c r="AP95">
        <f t="shared" si="15"/>
        <v>0</v>
      </c>
      <c r="AQ95">
        <f t="shared" si="16"/>
        <v>0</v>
      </c>
      <c r="AR95">
        <f t="shared" si="17"/>
        <v>0</v>
      </c>
      <c r="AS95">
        <f t="shared" si="18"/>
        <v>0</v>
      </c>
      <c r="AT95">
        <f t="shared" si="19"/>
        <v>0</v>
      </c>
      <c r="AU95">
        <f t="shared" si="20"/>
        <v>0</v>
      </c>
      <c r="AV95">
        <f t="shared" si="21"/>
        <v>0</v>
      </c>
    </row>
    <row r="96" spans="1:48" ht="15" customHeight="1">
      <c r="A96" s="108"/>
      <c r="B96" s="38"/>
      <c r="C96" s="38"/>
      <c r="D96" s="38"/>
      <c r="E96" s="38"/>
      <c r="F96" s="38"/>
      <c r="G96" s="38"/>
      <c r="H96" s="38"/>
      <c r="I96" s="38"/>
      <c r="J96" s="38"/>
      <c r="K96" s="38"/>
      <c r="L96" s="38"/>
      <c r="M96" s="38"/>
      <c r="N96" s="38"/>
      <c r="O96" s="38"/>
      <c r="P96" s="38"/>
      <c r="Q96" s="38"/>
      <c r="R96" s="117" t="s">
        <v>2649</v>
      </c>
      <c r="S96" s="124">
        <f t="shared" ref="S96:AD96" si="25">IF(AND(SUM(S88:S95)=0,COUNTIF(S88:S95,"NS")&gt;0),"NS",IF(AND(SUM(S88:S95)=0,COUNTIF(S88:S95,0)&gt;0),0,IF(AND(SUM(S88:S95)=0,COUNTIF(S88:S95,"NA")&gt;0),"NA",SUM(S88:S95))))</f>
        <v>0</v>
      </c>
      <c r="T96" s="124">
        <f t="shared" si="25"/>
        <v>0</v>
      </c>
      <c r="U96" s="124">
        <f t="shared" si="25"/>
        <v>0</v>
      </c>
      <c r="V96" s="124">
        <f t="shared" si="25"/>
        <v>0</v>
      </c>
      <c r="W96" s="124">
        <f t="shared" si="25"/>
        <v>0</v>
      </c>
      <c r="X96" s="124">
        <f t="shared" si="25"/>
        <v>0</v>
      </c>
      <c r="Y96" s="124">
        <f t="shared" si="25"/>
        <v>0</v>
      </c>
      <c r="Z96" s="124">
        <f t="shared" si="25"/>
        <v>0</v>
      </c>
      <c r="AA96" s="124">
        <f t="shared" si="25"/>
        <v>0</v>
      </c>
      <c r="AB96" s="124">
        <f t="shared" si="25"/>
        <v>0</v>
      </c>
      <c r="AC96" s="124">
        <f t="shared" si="25"/>
        <v>0</v>
      </c>
      <c r="AD96" s="124">
        <f t="shared" si="25"/>
        <v>0</v>
      </c>
      <c r="AG96" s="507">
        <f>SUM(AG88:AG95)</f>
        <v>0</v>
      </c>
      <c r="AK96">
        <f>SUM(AK88:AK95)</f>
        <v>0</v>
      </c>
      <c r="AM96">
        <f>SUM(AM88:AM95)</f>
        <v>0</v>
      </c>
      <c r="AN96">
        <f>SUM(AN88:AN95)</f>
        <v>0</v>
      </c>
      <c r="AP96">
        <f>SUM(AP88:AP95)</f>
        <v>0</v>
      </c>
      <c r="AQ96">
        <f>SUM(AQ88:AQ95)</f>
        <v>0</v>
      </c>
      <c r="AS96">
        <f>SUM(AS88:AS95)</f>
        <v>0</v>
      </c>
      <c r="AT96">
        <f>SUM(AT88:AT95)</f>
        <v>0</v>
      </c>
      <c r="AV96">
        <f>SUM(AV88:AV95)</f>
        <v>0</v>
      </c>
    </row>
    <row r="97" spans="1:49" ht="15" customHeight="1">
      <c r="A97" s="108"/>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K97" t="s">
        <v>2650</v>
      </c>
      <c r="AL97" s="506">
        <f>SUM(AM96,AP96,AS96,AV96)</f>
        <v>0</v>
      </c>
      <c r="AM97" t="s">
        <v>2651</v>
      </c>
      <c r="AN97">
        <f>SUM(AK96,AN96,AQ96,AT96)</f>
        <v>0</v>
      </c>
    </row>
    <row r="98" spans="1:49" ht="24" customHeight="1">
      <c r="A98" s="108"/>
      <c r="B98" s="38"/>
      <c r="C98" s="754" t="s">
        <v>2611</v>
      </c>
      <c r="D98" s="754"/>
      <c r="E98" s="754"/>
      <c r="F98" s="754"/>
      <c r="G98" s="754"/>
      <c r="H98" s="754"/>
      <c r="I98" s="754"/>
      <c r="J98" s="754"/>
      <c r="K98" s="754"/>
      <c r="L98" s="754"/>
      <c r="M98" s="754"/>
      <c r="N98" s="754"/>
      <c r="O98" s="754"/>
      <c r="P98" s="754"/>
      <c r="Q98" s="754"/>
      <c r="R98" s="754"/>
      <c r="S98" s="754"/>
      <c r="T98" s="754"/>
      <c r="U98" s="754"/>
      <c r="V98" s="754"/>
      <c r="W98" s="754"/>
      <c r="X98" s="754"/>
      <c r="Y98" s="754"/>
      <c r="Z98" s="754"/>
      <c r="AA98" s="754"/>
      <c r="AB98" s="754"/>
      <c r="AC98" s="754"/>
      <c r="AD98" s="754"/>
      <c r="AG98" s="38"/>
      <c r="AH98" s="38"/>
      <c r="AI98" s="57"/>
      <c r="AJ98" s="57"/>
      <c r="AK98" t="s">
        <v>2652</v>
      </c>
      <c r="AL98" s="507">
        <f>IF(AN97&gt;0,IF(SUM(S96)&gt;=SUM(V96,Y96,AB96),0,1),IF(SUM(S96)&lt;&gt;SUM(V96,Y96,AB96),1,0))</f>
        <v>0</v>
      </c>
      <c r="AM98" t="s">
        <v>2653</v>
      </c>
      <c r="AN98" s="507">
        <f>IF(AN97&gt;0,IF(SUM(T96)&gt;=SUM(W96,Z96,AC96),0,1),IF(SUM(T96)&lt;&gt;SUM(W96,Z96,AC96),1,0))</f>
        <v>0</v>
      </c>
      <c r="AO98" t="s">
        <v>2654</v>
      </c>
      <c r="AP98" s="507">
        <f>IF(AN97&gt;0,IF(SUM(U96)&gt;=SUM(X96,AA96,AD96),0,1),IF(SUM(U96)&lt;&gt;SUM(X96,AA96,AD96),1,0))</f>
        <v>0</v>
      </c>
      <c r="AQ98" s="57"/>
      <c r="AR98" s="57"/>
      <c r="AS98" s="57"/>
      <c r="AT98" s="57"/>
      <c r="AU98" s="57"/>
      <c r="AV98" s="57"/>
    </row>
    <row r="99" spans="1:49" ht="60" customHeight="1">
      <c r="A99" s="108"/>
      <c r="B99" s="38"/>
      <c r="C99" s="851"/>
      <c r="D99" s="851"/>
      <c r="E99" s="851"/>
      <c r="F99" s="851"/>
      <c r="G99" s="851"/>
      <c r="H99" s="851"/>
      <c r="I99" s="851"/>
      <c r="J99" s="851"/>
      <c r="K99" s="851"/>
      <c r="L99" s="851"/>
      <c r="M99" s="851"/>
      <c r="N99" s="851"/>
      <c r="O99" s="851"/>
      <c r="P99" s="851"/>
      <c r="Q99" s="851"/>
      <c r="R99" s="851"/>
      <c r="S99" s="851"/>
      <c r="T99" s="851"/>
      <c r="U99" s="851"/>
      <c r="V99" s="851"/>
      <c r="W99" s="851"/>
      <c r="X99" s="851"/>
      <c r="Y99" s="851"/>
      <c r="Z99" s="851"/>
      <c r="AA99" s="851"/>
      <c r="AB99" s="851"/>
      <c r="AC99" s="851"/>
      <c r="AD99" s="851"/>
    </row>
    <row r="100" spans="1:49" ht="15" customHeight="1">
      <c r="A100" s="176"/>
      <c r="B100" s="794" t="str">
        <f>IF(AG96=0,"","Favor de ingresar toda la información requerida en la pregunta")</f>
        <v/>
      </c>
      <c r="C100" s="794"/>
      <c r="D100" s="794"/>
      <c r="E100" s="794"/>
      <c r="F100" s="794"/>
      <c r="G100" s="794"/>
      <c r="H100" s="794"/>
      <c r="I100" s="794"/>
      <c r="J100" s="794"/>
      <c r="K100" s="794"/>
      <c r="L100" s="794"/>
      <c r="M100" s="794"/>
      <c r="N100" s="794"/>
      <c r="O100" s="794"/>
      <c r="P100" s="794"/>
      <c r="Q100" s="794"/>
      <c r="R100" s="794"/>
      <c r="S100" s="794"/>
      <c r="T100" s="794"/>
      <c r="U100" s="794"/>
      <c r="V100" s="794"/>
      <c r="W100" s="794"/>
      <c r="X100" s="794"/>
      <c r="Y100" s="794"/>
      <c r="Z100" s="794"/>
      <c r="AA100" s="794"/>
      <c r="AB100" s="794"/>
      <c r="AC100" s="794"/>
      <c r="AD100" s="794"/>
      <c r="AE100" s="794"/>
    </row>
    <row r="101" spans="1:49" ht="15" customHeight="1">
      <c r="A101" s="108"/>
      <c r="B101" s="1087" t="str">
        <f>IF(COUNTIF(S88:AD95,"NS")&lt;&gt;0,"Alerta: debido a que cuenta con registros NS, debe proporcionar una justificación en el area de comentarios al final de la pregunta","")</f>
        <v/>
      </c>
      <c r="C101" s="1087"/>
      <c r="D101" s="1087"/>
      <c r="E101" s="1087"/>
      <c r="F101" s="1087"/>
      <c r="G101" s="1087"/>
      <c r="H101" s="1087"/>
      <c r="I101" s="1087"/>
      <c r="J101" s="1087"/>
      <c r="K101" s="1087"/>
      <c r="L101" s="1087"/>
      <c r="M101" s="1087"/>
      <c r="N101" s="1087"/>
      <c r="O101" s="1087"/>
      <c r="P101" s="1087"/>
      <c r="Q101" s="1087"/>
      <c r="R101" s="1087"/>
      <c r="S101" s="1087"/>
      <c r="T101" s="1087"/>
      <c r="U101" s="1087"/>
      <c r="V101" s="1087"/>
      <c r="W101" s="1087"/>
      <c r="X101" s="1087"/>
      <c r="Y101" s="1087"/>
      <c r="Z101" s="1087"/>
      <c r="AA101" s="1087"/>
      <c r="AB101" s="1087"/>
      <c r="AC101" s="1087"/>
      <c r="AD101" s="1087"/>
      <c r="AE101" s="1087"/>
    </row>
    <row r="102" spans="1:49" ht="15" customHeight="1">
      <c r="A102" s="108"/>
      <c r="B102" s="1003" t="str">
        <f>IF(OR(AL97&gt;0,AL98&gt;0,AN98&gt;0,AP98&gt;0),"Favor de revisar la suma y consistencia de totales y/o subtotales por filas (numéricos y NS)","")</f>
        <v/>
      </c>
      <c r="C102" s="1003"/>
      <c r="D102" s="1003"/>
      <c r="E102" s="1003"/>
      <c r="F102" s="1003"/>
      <c r="G102" s="1003"/>
      <c r="H102" s="1003"/>
      <c r="I102" s="1003"/>
      <c r="J102" s="1003"/>
      <c r="K102" s="1003"/>
      <c r="L102" s="1003"/>
      <c r="M102" s="1003"/>
      <c r="N102" s="1003"/>
      <c r="O102" s="1003"/>
      <c r="P102" s="1003"/>
      <c r="Q102" s="1003"/>
      <c r="R102" s="1003"/>
      <c r="S102" s="1003"/>
      <c r="T102" s="1003"/>
      <c r="U102" s="1003"/>
      <c r="V102" s="1003"/>
      <c r="W102" s="1003"/>
      <c r="X102" s="1003"/>
      <c r="Y102" s="1003"/>
      <c r="Z102" s="1003"/>
      <c r="AA102" s="1003"/>
      <c r="AB102" s="1003"/>
      <c r="AC102" s="1003"/>
      <c r="AD102" s="1003"/>
      <c r="AE102" s="1003"/>
    </row>
    <row r="103" spans="1:49" ht="15" customHeight="1">
      <c r="A103" s="108"/>
      <c r="B103" s="678"/>
      <c r="C103" s="678"/>
      <c r="D103" s="678"/>
      <c r="E103" s="678"/>
      <c r="F103" s="678"/>
      <c r="G103" s="678"/>
      <c r="H103" s="678"/>
      <c r="I103" s="678"/>
      <c r="J103" s="678"/>
      <c r="K103" s="678"/>
      <c r="L103" s="678"/>
      <c r="M103" s="678"/>
      <c r="N103" s="678"/>
      <c r="O103" s="678"/>
      <c r="P103" s="678"/>
      <c r="Q103" s="678"/>
      <c r="R103" s="678"/>
      <c r="S103" s="678"/>
      <c r="T103" s="678"/>
      <c r="U103" s="678"/>
      <c r="V103" s="678"/>
      <c r="W103" s="678"/>
      <c r="X103" s="678"/>
      <c r="Y103" s="678"/>
      <c r="Z103" s="678"/>
      <c r="AA103" s="678"/>
      <c r="AB103" s="678"/>
      <c r="AC103" s="678"/>
      <c r="AD103" s="678"/>
      <c r="AE103" s="678"/>
    </row>
    <row r="104" spans="1:49" ht="15" customHeight="1">
      <c r="A104" s="10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row>
    <row r="105" spans="1:49" ht="15" customHeight="1">
      <c r="A105" s="10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row>
    <row r="106" spans="1:49" ht="24" customHeight="1">
      <c r="A106" s="108" t="s">
        <v>4577</v>
      </c>
      <c r="B106" s="829" t="s">
        <v>4578</v>
      </c>
      <c r="C106" s="829"/>
      <c r="D106" s="829"/>
      <c r="E106" s="829"/>
      <c r="F106" s="829"/>
      <c r="G106" s="829"/>
      <c r="H106" s="829"/>
      <c r="I106" s="829"/>
      <c r="J106" s="829"/>
      <c r="K106" s="829"/>
      <c r="L106" s="829"/>
      <c r="M106" s="829"/>
      <c r="N106" s="829"/>
      <c r="O106" s="829"/>
      <c r="P106" s="829"/>
      <c r="Q106" s="829"/>
      <c r="R106" s="829"/>
      <c r="S106" s="829"/>
      <c r="T106" s="829"/>
      <c r="U106" s="829"/>
      <c r="V106" s="829"/>
      <c r="W106" s="829"/>
      <c r="X106" s="829"/>
      <c r="Y106" s="829"/>
      <c r="Z106" s="829"/>
      <c r="AA106" s="829"/>
      <c r="AB106" s="829"/>
      <c r="AC106" s="829"/>
      <c r="AD106" s="829"/>
    </row>
    <row r="107" spans="1:49" ht="36" customHeight="1">
      <c r="A107" s="50"/>
      <c r="B107" s="38"/>
      <c r="C107" s="830" t="s">
        <v>4579</v>
      </c>
      <c r="D107" s="830"/>
      <c r="E107" s="830"/>
      <c r="F107" s="830"/>
      <c r="G107" s="830"/>
      <c r="H107" s="830"/>
      <c r="I107" s="830"/>
      <c r="J107" s="830"/>
      <c r="K107" s="830"/>
      <c r="L107" s="830"/>
      <c r="M107" s="830"/>
      <c r="N107" s="830"/>
      <c r="O107" s="830"/>
      <c r="P107" s="830"/>
      <c r="Q107" s="830"/>
      <c r="R107" s="830"/>
      <c r="S107" s="830"/>
      <c r="T107" s="830"/>
      <c r="U107" s="830"/>
      <c r="V107" s="830"/>
      <c r="W107" s="830"/>
      <c r="X107" s="830"/>
      <c r="Y107" s="830"/>
      <c r="Z107" s="830"/>
      <c r="AA107" s="830"/>
      <c r="AB107" s="830"/>
      <c r="AC107" s="830"/>
      <c r="AD107" s="830"/>
    </row>
    <row r="108" spans="1:49" ht="15" customHeight="1">
      <c r="A108" s="108"/>
      <c r="B108" s="38"/>
      <c r="C108" s="86"/>
      <c r="D108" s="86"/>
      <c r="E108" s="86"/>
      <c r="F108" s="86"/>
      <c r="G108" s="86"/>
      <c r="H108" s="86"/>
      <c r="I108" s="86"/>
      <c r="J108" s="86"/>
      <c r="K108" s="86"/>
      <c r="L108" s="86"/>
      <c r="M108" s="86"/>
      <c r="N108" s="86"/>
      <c r="O108" s="86"/>
      <c r="P108" s="86"/>
      <c r="Q108" s="86"/>
      <c r="R108" s="86"/>
      <c r="S108" s="86"/>
      <c r="T108" s="86"/>
      <c r="U108" s="86"/>
      <c r="V108" s="86"/>
      <c r="W108" s="86"/>
      <c r="X108" s="86"/>
      <c r="Y108" s="86"/>
      <c r="Z108" s="86"/>
      <c r="AA108" s="86"/>
      <c r="AB108" s="86"/>
      <c r="AC108" s="86"/>
      <c r="AD108" s="86"/>
    </row>
    <row r="109" spans="1:49" ht="36" customHeight="1">
      <c r="A109" s="186"/>
      <c r="B109" s="57"/>
      <c r="C109" s="732" t="s">
        <v>2581</v>
      </c>
      <c r="D109" s="732"/>
      <c r="E109" s="732"/>
      <c r="F109" s="732"/>
      <c r="G109" s="732"/>
      <c r="H109" s="732"/>
      <c r="I109" s="732"/>
      <c r="J109" s="732"/>
      <c r="K109" s="732"/>
      <c r="L109" s="732"/>
      <c r="M109" s="732"/>
      <c r="N109" s="732"/>
      <c r="O109" s="732"/>
      <c r="P109" s="732"/>
      <c r="Q109" s="732"/>
      <c r="R109" s="732"/>
      <c r="S109" s="739" t="s">
        <v>4580</v>
      </c>
      <c r="T109" s="740"/>
      <c r="U109" s="740"/>
      <c r="V109" s="740"/>
      <c r="W109" s="740"/>
      <c r="X109" s="740"/>
      <c r="Y109" s="740"/>
      <c r="Z109" s="740"/>
      <c r="AA109" s="740"/>
      <c r="AB109" s="740"/>
      <c r="AC109" s="740"/>
      <c r="AD109" s="741"/>
    </row>
    <row r="110" spans="1:49" ht="48" customHeight="1">
      <c r="A110" s="186"/>
      <c r="B110" s="57"/>
      <c r="C110" s="732"/>
      <c r="D110" s="732"/>
      <c r="E110" s="732"/>
      <c r="F110" s="732"/>
      <c r="G110" s="732"/>
      <c r="H110" s="732"/>
      <c r="I110" s="732"/>
      <c r="J110" s="732"/>
      <c r="K110" s="732"/>
      <c r="L110" s="732"/>
      <c r="M110" s="732"/>
      <c r="N110" s="732"/>
      <c r="O110" s="732"/>
      <c r="P110" s="732"/>
      <c r="Q110" s="732"/>
      <c r="R110" s="732"/>
      <c r="S110" s="874" t="s">
        <v>2628</v>
      </c>
      <c r="T110" s="857" t="s">
        <v>2629</v>
      </c>
      <c r="U110" s="857" t="s">
        <v>2630</v>
      </c>
      <c r="V110" s="733" t="s">
        <v>4570</v>
      </c>
      <c r="W110" s="734"/>
      <c r="X110" s="735"/>
      <c r="Y110" s="733" t="s">
        <v>4571</v>
      </c>
      <c r="Z110" s="734"/>
      <c r="AA110" s="735"/>
      <c r="AB110" s="733" t="s">
        <v>4572</v>
      </c>
      <c r="AC110" s="734"/>
      <c r="AD110" s="735"/>
    </row>
    <row r="111" spans="1:49" ht="48" customHeight="1">
      <c r="A111" s="186"/>
      <c r="B111" s="57"/>
      <c r="C111" s="732"/>
      <c r="D111" s="732"/>
      <c r="E111" s="732"/>
      <c r="F111" s="732"/>
      <c r="G111" s="732"/>
      <c r="H111" s="732"/>
      <c r="I111" s="732"/>
      <c r="J111" s="732"/>
      <c r="K111" s="732"/>
      <c r="L111" s="732"/>
      <c r="M111" s="732"/>
      <c r="N111" s="732"/>
      <c r="O111" s="732"/>
      <c r="P111" s="732"/>
      <c r="Q111" s="732"/>
      <c r="R111" s="732"/>
      <c r="S111" s="874"/>
      <c r="T111" s="857"/>
      <c r="U111" s="857"/>
      <c r="V111" s="127" t="s">
        <v>2635</v>
      </c>
      <c r="W111" s="128" t="s">
        <v>2629</v>
      </c>
      <c r="X111" s="128" t="s">
        <v>2630</v>
      </c>
      <c r="Y111" s="127" t="s">
        <v>2635</v>
      </c>
      <c r="Z111" s="128" t="s">
        <v>2629</v>
      </c>
      <c r="AA111" s="128" t="s">
        <v>2630</v>
      </c>
      <c r="AB111" s="127" t="s">
        <v>2635</v>
      </c>
      <c r="AC111" s="128" t="s">
        <v>2629</v>
      </c>
      <c r="AD111" s="128" t="s">
        <v>2630</v>
      </c>
      <c r="AG111" t="s">
        <v>2586</v>
      </c>
      <c r="AH111" t="s">
        <v>4581</v>
      </c>
      <c r="AK111" t="s">
        <v>4573</v>
      </c>
      <c r="AL111" t="s">
        <v>2638</v>
      </c>
      <c r="AM111" t="s">
        <v>2639</v>
      </c>
      <c r="AN111" t="s">
        <v>4574</v>
      </c>
      <c r="AO111" t="s">
        <v>2641</v>
      </c>
      <c r="AP111" t="s">
        <v>2642</v>
      </c>
      <c r="AQ111" t="s">
        <v>4575</v>
      </c>
      <c r="AR111" t="s">
        <v>2644</v>
      </c>
      <c r="AS111" t="s">
        <v>2645</v>
      </c>
      <c r="AT111" t="s">
        <v>4576</v>
      </c>
      <c r="AU111" t="s">
        <v>2647</v>
      </c>
      <c r="AV111" t="s">
        <v>2648</v>
      </c>
      <c r="AW111" t="s">
        <v>4582</v>
      </c>
    </row>
    <row r="112" spans="1:49" ht="15" customHeight="1">
      <c r="A112" s="186"/>
      <c r="B112" s="57"/>
      <c r="C112" s="97" t="s">
        <v>2516</v>
      </c>
      <c r="D112" s="813" t="str">
        <f>IF(CNSIPEE_2024_M2_Secc1!D42="","",CNSIPEE_2024_M2_Secc1!D42)</f>
        <v/>
      </c>
      <c r="E112" s="814"/>
      <c r="F112" s="814"/>
      <c r="G112" s="814"/>
      <c r="H112" s="814"/>
      <c r="I112" s="814"/>
      <c r="J112" s="814"/>
      <c r="K112" s="814"/>
      <c r="L112" s="814"/>
      <c r="M112" s="814"/>
      <c r="N112" s="814"/>
      <c r="O112" s="814"/>
      <c r="P112" s="814"/>
      <c r="Q112" s="814"/>
      <c r="R112" s="815"/>
      <c r="S112" s="100"/>
      <c r="T112" s="100"/>
      <c r="U112" s="100"/>
      <c r="V112" s="100"/>
      <c r="W112" s="100"/>
      <c r="X112" s="100"/>
      <c r="Y112" s="100"/>
      <c r="Z112" s="100"/>
      <c r="AA112" s="100"/>
      <c r="AB112" s="100"/>
      <c r="AC112" s="100"/>
      <c r="AD112" s="100"/>
      <c r="AG112">
        <f t="shared" ref="AG112:AG119" si="26">IF(OR($M63=0,$M63="NS",$M63="NA"),0,IF(OR(COUNTBLANK(D112:AD112)=14,COUNTBLANK(D112:AD112)=27),0,1))</f>
        <v>0</v>
      </c>
      <c r="AH112">
        <f t="shared" ref="AH112:AH119" si="27">IF(OR($M63=0,$M63="NS",$M63="NA"),IF(COUNTBLANK(S112:AD112)=12,0,1),0)</f>
        <v>0</v>
      </c>
      <c r="AK112">
        <f t="shared" ref="AK112" si="28">COUNTIF(T112:U112,"NS")</f>
        <v>0</v>
      </c>
      <c r="AL112">
        <f t="shared" ref="AL112" si="29">SUM(T112:U112)</f>
        <v>0</v>
      </c>
      <c r="AM112">
        <f t="shared" ref="AM112:AM119" si="30">IF(COUNTIF(S112:U112,"NA")=3,0,IF(COUNTA(S112:U112)=0,0,IF(OR(AND(S112=0,AK112&gt;0),AND(S112="ns",AL112&gt;0),AND(S112="ns",AK112=0,AL112=0)),1,IF(OR(AND(S112&gt;0,AK112=2),AND(S112="ns",AK112=2),AND(S112="ns",AL112=0,AK112&gt;0),S112=AL112),0,1))))</f>
        <v>0</v>
      </c>
      <c r="AN112">
        <f t="shared" ref="AN112:AN119" si="31">COUNTIF(W112:X112,"NS")</f>
        <v>0</v>
      </c>
      <c r="AO112">
        <f t="shared" ref="AO112:AO119" si="32">SUM(W112:X112)</f>
        <v>0</v>
      </c>
      <c r="AP112">
        <f t="shared" ref="AP112:AP119" si="33">IF(COUNTIF(V112:X112,"NA")=3,0,IF(COUNTA(V112:X112)=0,0,IF(OR(AND(V112=0,AN112&gt;0),AND(V112="ns",AO112&gt;0),AND(V112="ns",AN112=0,AO112=0)),1,IF(OR(AND(V112&gt;0,AN112=2),AND(V112="ns",AN112=2),AND(V112="ns",AO112=0,AN112&gt;0),V112=AO112),0,1))))</f>
        <v>0</v>
      </c>
      <c r="AQ112">
        <f t="shared" ref="AQ112:AQ119" si="34">COUNTIF(Z112:AA112,"NS")</f>
        <v>0</v>
      </c>
      <c r="AR112">
        <f t="shared" ref="AR112:AR119" si="35">SUM(Z112:AA112)</f>
        <v>0</v>
      </c>
      <c r="AS112">
        <f t="shared" ref="AS112:AS119" si="36">IF(COUNTIF(Y112:AA112,"NA")=3,0,IF(COUNTA(Y112:AA112)=0,0,IF(OR(AND(Y112=0,AQ112&gt;0),AND(Y112="ns",AR112&gt;0),AND(Y112="ns",AQ112=0,AR112=0)),1,IF(OR(AND(Y112&gt;0,AQ112=2),AND(Y112="ns",AQ112=2),AND(Y112="ns",AR112=0,AQ112&gt;0),Y112=AR112),0,1))))</f>
        <v>0</v>
      </c>
      <c r="AT112">
        <f t="shared" ref="AT112:AT119" si="37">COUNTIF(AC112:AD112,"NS")</f>
        <v>0</v>
      </c>
      <c r="AU112">
        <f t="shared" ref="AU112:AU119" si="38">SUM(AC112:AD112)</f>
        <v>0</v>
      </c>
      <c r="AV112">
        <f t="shared" ref="AV112:AV119" si="39">IF(COUNTIF(AB112:AD112,"NA")=3,0,IF(COUNTA(AB112:AD112)=0,0,IF(OR(AND(AB112=0,AT112&gt;0),AND(AB112="ns",AU112&gt;0),AND(AB112="ns",AT112=0,AU112=0)),1,IF(OR(AND(AB112&gt;0,AT112=2),AND(AB112="ns",AT112=2),AND(AB112="ns",AU112=0,AT112&gt;0),AB112=AU112),0,1))))</f>
        <v>0</v>
      </c>
      <c r="AW112">
        <f t="shared" ref="AW112:AW119" si="40">IF(OR($M63=0,$M63="NS",$M63="NA"),0,IF(AND(M63=S112,S63=T112,Y63=U112),0,1))</f>
        <v>0</v>
      </c>
    </row>
    <row r="113" spans="1:49" ht="15" customHeight="1">
      <c r="A113" s="186"/>
      <c r="B113" s="57"/>
      <c r="C113" s="98" t="s">
        <v>2517</v>
      </c>
      <c r="D113" s="813" t="str">
        <f>IF(CNSIPEE_2024_M2_Secc1!D43="","",CNSIPEE_2024_M2_Secc1!D43)</f>
        <v/>
      </c>
      <c r="E113" s="814"/>
      <c r="F113" s="814"/>
      <c r="G113" s="814"/>
      <c r="H113" s="814"/>
      <c r="I113" s="814"/>
      <c r="J113" s="814"/>
      <c r="K113" s="814"/>
      <c r="L113" s="814"/>
      <c r="M113" s="814"/>
      <c r="N113" s="814"/>
      <c r="O113" s="814"/>
      <c r="P113" s="814"/>
      <c r="Q113" s="814"/>
      <c r="R113" s="815"/>
      <c r="S113" s="100"/>
      <c r="T113" s="100"/>
      <c r="U113" s="100"/>
      <c r="V113" s="100"/>
      <c r="W113" s="100"/>
      <c r="X113" s="100"/>
      <c r="Y113" s="100"/>
      <c r="Z113" s="100"/>
      <c r="AA113" s="100"/>
      <c r="AB113" s="100"/>
      <c r="AC113" s="100"/>
      <c r="AD113" s="100"/>
      <c r="AG113">
        <f t="shared" si="26"/>
        <v>0</v>
      </c>
      <c r="AH113">
        <f t="shared" si="27"/>
        <v>0</v>
      </c>
      <c r="AK113">
        <f t="shared" ref="AK113:AK119" si="41">COUNTIF(T113:U113,"NS")</f>
        <v>0</v>
      </c>
      <c r="AL113">
        <f t="shared" ref="AL113:AL119" si="42">SUM(T113:U113)</f>
        <v>0</v>
      </c>
      <c r="AM113">
        <f t="shared" si="30"/>
        <v>0</v>
      </c>
      <c r="AN113">
        <f t="shared" si="31"/>
        <v>0</v>
      </c>
      <c r="AO113">
        <f t="shared" si="32"/>
        <v>0</v>
      </c>
      <c r="AP113">
        <f t="shared" si="33"/>
        <v>0</v>
      </c>
      <c r="AQ113">
        <f t="shared" si="34"/>
        <v>0</v>
      </c>
      <c r="AR113">
        <f t="shared" si="35"/>
        <v>0</v>
      </c>
      <c r="AS113">
        <f t="shared" si="36"/>
        <v>0</v>
      </c>
      <c r="AT113">
        <f t="shared" si="37"/>
        <v>0</v>
      </c>
      <c r="AU113">
        <f t="shared" si="38"/>
        <v>0</v>
      </c>
      <c r="AV113">
        <f t="shared" si="39"/>
        <v>0</v>
      </c>
      <c r="AW113">
        <f t="shared" si="40"/>
        <v>0</v>
      </c>
    </row>
    <row r="114" spans="1:49" ht="15" customHeight="1">
      <c r="A114" s="186"/>
      <c r="B114" s="57"/>
      <c r="C114" s="98" t="s">
        <v>2518</v>
      </c>
      <c r="D114" s="813" t="str">
        <f>IF(CNSIPEE_2024_M2_Secc1!D44="","",CNSIPEE_2024_M2_Secc1!D44)</f>
        <v/>
      </c>
      <c r="E114" s="814"/>
      <c r="F114" s="814"/>
      <c r="G114" s="814"/>
      <c r="H114" s="814"/>
      <c r="I114" s="814"/>
      <c r="J114" s="814"/>
      <c r="K114" s="814"/>
      <c r="L114" s="814"/>
      <c r="M114" s="814"/>
      <c r="N114" s="814"/>
      <c r="O114" s="814"/>
      <c r="P114" s="814"/>
      <c r="Q114" s="814"/>
      <c r="R114" s="815"/>
      <c r="S114" s="100"/>
      <c r="T114" s="100"/>
      <c r="U114" s="100"/>
      <c r="V114" s="100"/>
      <c r="W114" s="100"/>
      <c r="X114" s="100"/>
      <c r="Y114" s="100"/>
      <c r="Z114" s="100"/>
      <c r="AA114" s="100"/>
      <c r="AB114" s="100"/>
      <c r="AC114" s="100"/>
      <c r="AD114" s="100"/>
      <c r="AG114">
        <f t="shared" si="26"/>
        <v>0</v>
      </c>
      <c r="AH114">
        <f t="shared" si="27"/>
        <v>0</v>
      </c>
      <c r="AK114">
        <f t="shared" si="41"/>
        <v>0</v>
      </c>
      <c r="AL114">
        <f t="shared" si="42"/>
        <v>0</v>
      </c>
      <c r="AM114">
        <f t="shared" si="30"/>
        <v>0</v>
      </c>
      <c r="AN114">
        <f t="shared" si="31"/>
        <v>0</v>
      </c>
      <c r="AO114">
        <f t="shared" si="32"/>
        <v>0</v>
      </c>
      <c r="AP114">
        <f t="shared" si="33"/>
        <v>0</v>
      </c>
      <c r="AQ114">
        <f t="shared" si="34"/>
        <v>0</v>
      </c>
      <c r="AR114">
        <f t="shared" si="35"/>
        <v>0</v>
      </c>
      <c r="AS114">
        <f t="shared" si="36"/>
        <v>0</v>
      </c>
      <c r="AT114">
        <f t="shared" si="37"/>
        <v>0</v>
      </c>
      <c r="AU114">
        <f t="shared" si="38"/>
        <v>0</v>
      </c>
      <c r="AV114">
        <f t="shared" si="39"/>
        <v>0</v>
      </c>
      <c r="AW114">
        <f t="shared" si="40"/>
        <v>0</v>
      </c>
    </row>
    <row r="115" spans="1:49" ht="15" customHeight="1">
      <c r="A115" s="186"/>
      <c r="B115" s="57"/>
      <c r="C115" s="98" t="s">
        <v>2519</v>
      </c>
      <c r="D115" s="813" t="str">
        <f>IF(CNSIPEE_2024_M2_Secc1!D45="","",CNSIPEE_2024_M2_Secc1!D45)</f>
        <v/>
      </c>
      <c r="E115" s="814"/>
      <c r="F115" s="814"/>
      <c r="G115" s="814"/>
      <c r="H115" s="814"/>
      <c r="I115" s="814"/>
      <c r="J115" s="814"/>
      <c r="K115" s="814"/>
      <c r="L115" s="814"/>
      <c r="M115" s="814"/>
      <c r="N115" s="814"/>
      <c r="O115" s="814"/>
      <c r="P115" s="814"/>
      <c r="Q115" s="814"/>
      <c r="R115" s="815"/>
      <c r="S115" s="100"/>
      <c r="T115" s="100"/>
      <c r="U115" s="100"/>
      <c r="V115" s="100"/>
      <c r="W115" s="100"/>
      <c r="X115" s="100"/>
      <c r="Y115" s="100"/>
      <c r="Z115" s="100"/>
      <c r="AA115" s="100"/>
      <c r="AB115" s="100"/>
      <c r="AC115" s="100"/>
      <c r="AD115" s="100"/>
      <c r="AG115">
        <f t="shared" si="26"/>
        <v>0</v>
      </c>
      <c r="AH115">
        <f t="shared" si="27"/>
        <v>0</v>
      </c>
      <c r="AK115">
        <f t="shared" si="41"/>
        <v>0</v>
      </c>
      <c r="AL115">
        <f t="shared" si="42"/>
        <v>0</v>
      </c>
      <c r="AM115">
        <f t="shared" si="30"/>
        <v>0</v>
      </c>
      <c r="AN115">
        <f t="shared" si="31"/>
        <v>0</v>
      </c>
      <c r="AO115">
        <f t="shared" si="32"/>
        <v>0</v>
      </c>
      <c r="AP115">
        <f t="shared" si="33"/>
        <v>0</v>
      </c>
      <c r="AQ115">
        <f t="shared" si="34"/>
        <v>0</v>
      </c>
      <c r="AR115">
        <f t="shared" si="35"/>
        <v>0</v>
      </c>
      <c r="AS115">
        <f t="shared" si="36"/>
        <v>0</v>
      </c>
      <c r="AT115">
        <f t="shared" si="37"/>
        <v>0</v>
      </c>
      <c r="AU115">
        <f t="shared" si="38"/>
        <v>0</v>
      </c>
      <c r="AV115">
        <f t="shared" si="39"/>
        <v>0</v>
      </c>
      <c r="AW115">
        <f t="shared" si="40"/>
        <v>0</v>
      </c>
    </row>
    <row r="116" spans="1:49" ht="15" customHeight="1">
      <c r="A116" s="186"/>
      <c r="B116" s="57"/>
      <c r="C116" s="98" t="s">
        <v>2520</v>
      </c>
      <c r="D116" s="813" t="str">
        <f>IF(CNSIPEE_2024_M2_Secc1!D46="","",CNSIPEE_2024_M2_Secc1!D46)</f>
        <v/>
      </c>
      <c r="E116" s="814"/>
      <c r="F116" s="814"/>
      <c r="G116" s="814"/>
      <c r="H116" s="814"/>
      <c r="I116" s="814"/>
      <c r="J116" s="814"/>
      <c r="K116" s="814"/>
      <c r="L116" s="814"/>
      <c r="M116" s="814"/>
      <c r="N116" s="814"/>
      <c r="O116" s="814"/>
      <c r="P116" s="814"/>
      <c r="Q116" s="814"/>
      <c r="R116" s="815"/>
      <c r="S116" s="100"/>
      <c r="T116" s="100"/>
      <c r="U116" s="100"/>
      <c r="V116" s="100"/>
      <c r="W116" s="100"/>
      <c r="X116" s="100"/>
      <c r="Y116" s="100"/>
      <c r="Z116" s="100"/>
      <c r="AA116" s="100"/>
      <c r="AB116" s="100"/>
      <c r="AC116" s="100"/>
      <c r="AD116" s="100"/>
      <c r="AG116">
        <f t="shared" si="26"/>
        <v>0</v>
      </c>
      <c r="AH116">
        <f t="shared" si="27"/>
        <v>0</v>
      </c>
      <c r="AK116">
        <f t="shared" si="41"/>
        <v>0</v>
      </c>
      <c r="AL116">
        <f t="shared" si="42"/>
        <v>0</v>
      </c>
      <c r="AM116">
        <f t="shared" si="30"/>
        <v>0</v>
      </c>
      <c r="AN116">
        <f t="shared" si="31"/>
        <v>0</v>
      </c>
      <c r="AO116">
        <f t="shared" si="32"/>
        <v>0</v>
      </c>
      <c r="AP116">
        <f t="shared" si="33"/>
        <v>0</v>
      </c>
      <c r="AQ116">
        <f t="shared" si="34"/>
        <v>0</v>
      </c>
      <c r="AR116">
        <f t="shared" si="35"/>
        <v>0</v>
      </c>
      <c r="AS116">
        <f t="shared" si="36"/>
        <v>0</v>
      </c>
      <c r="AT116">
        <f t="shared" si="37"/>
        <v>0</v>
      </c>
      <c r="AU116">
        <f t="shared" si="38"/>
        <v>0</v>
      </c>
      <c r="AV116">
        <f t="shared" si="39"/>
        <v>0</v>
      </c>
      <c r="AW116">
        <f t="shared" si="40"/>
        <v>0</v>
      </c>
    </row>
    <row r="117" spans="1:49" ht="15" customHeight="1">
      <c r="A117" s="186"/>
      <c r="B117" s="57"/>
      <c r="C117" s="98" t="s">
        <v>2521</v>
      </c>
      <c r="D117" s="813" t="str">
        <f>IF(CNSIPEE_2024_M2_Secc1!D47="","",CNSIPEE_2024_M2_Secc1!D47)</f>
        <v/>
      </c>
      <c r="E117" s="814"/>
      <c r="F117" s="814"/>
      <c r="G117" s="814"/>
      <c r="H117" s="814"/>
      <c r="I117" s="814"/>
      <c r="J117" s="814"/>
      <c r="K117" s="814"/>
      <c r="L117" s="814"/>
      <c r="M117" s="814"/>
      <c r="N117" s="814"/>
      <c r="O117" s="814"/>
      <c r="P117" s="814"/>
      <c r="Q117" s="814"/>
      <c r="R117" s="815"/>
      <c r="S117" s="100"/>
      <c r="T117" s="100"/>
      <c r="U117" s="100"/>
      <c r="V117" s="100"/>
      <c r="W117" s="100"/>
      <c r="X117" s="100"/>
      <c r="Y117" s="100"/>
      <c r="Z117" s="100"/>
      <c r="AA117" s="100"/>
      <c r="AB117" s="100"/>
      <c r="AC117" s="100"/>
      <c r="AD117" s="100"/>
      <c r="AG117">
        <f t="shared" si="26"/>
        <v>0</v>
      </c>
      <c r="AH117">
        <f t="shared" si="27"/>
        <v>0</v>
      </c>
      <c r="AK117">
        <f t="shared" si="41"/>
        <v>0</v>
      </c>
      <c r="AL117">
        <f t="shared" si="42"/>
        <v>0</v>
      </c>
      <c r="AM117">
        <f t="shared" si="30"/>
        <v>0</v>
      </c>
      <c r="AN117">
        <f t="shared" si="31"/>
        <v>0</v>
      </c>
      <c r="AO117">
        <f t="shared" si="32"/>
        <v>0</v>
      </c>
      <c r="AP117">
        <f t="shared" si="33"/>
        <v>0</v>
      </c>
      <c r="AQ117">
        <f t="shared" si="34"/>
        <v>0</v>
      </c>
      <c r="AR117">
        <f t="shared" si="35"/>
        <v>0</v>
      </c>
      <c r="AS117">
        <f t="shared" si="36"/>
        <v>0</v>
      </c>
      <c r="AT117">
        <f t="shared" si="37"/>
        <v>0</v>
      </c>
      <c r="AU117">
        <f t="shared" si="38"/>
        <v>0</v>
      </c>
      <c r="AV117">
        <f t="shared" si="39"/>
        <v>0</v>
      </c>
      <c r="AW117">
        <f t="shared" si="40"/>
        <v>0</v>
      </c>
    </row>
    <row r="118" spans="1:49" ht="15" customHeight="1">
      <c r="A118" s="186"/>
      <c r="B118" s="57"/>
      <c r="C118" s="98" t="s">
        <v>2522</v>
      </c>
      <c r="D118" s="813" t="str">
        <f>IF(CNSIPEE_2024_M2_Secc1!D48="","",CNSIPEE_2024_M2_Secc1!D48)</f>
        <v/>
      </c>
      <c r="E118" s="814"/>
      <c r="F118" s="814"/>
      <c r="G118" s="814"/>
      <c r="H118" s="814"/>
      <c r="I118" s="814"/>
      <c r="J118" s="814"/>
      <c r="K118" s="814"/>
      <c r="L118" s="814"/>
      <c r="M118" s="814"/>
      <c r="N118" s="814"/>
      <c r="O118" s="814"/>
      <c r="P118" s="814"/>
      <c r="Q118" s="814"/>
      <c r="R118" s="815"/>
      <c r="S118" s="100"/>
      <c r="T118" s="100"/>
      <c r="U118" s="100"/>
      <c r="V118" s="100"/>
      <c r="W118" s="100"/>
      <c r="X118" s="100"/>
      <c r="Y118" s="100"/>
      <c r="Z118" s="100"/>
      <c r="AA118" s="100"/>
      <c r="AB118" s="100"/>
      <c r="AC118" s="100"/>
      <c r="AD118" s="100"/>
      <c r="AG118">
        <f t="shared" si="26"/>
        <v>0</v>
      </c>
      <c r="AH118">
        <f t="shared" si="27"/>
        <v>0</v>
      </c>
      <c r="AK118">
        <f t="shared" si="41"/>
        <v>0</v>
      </c>
      <c r="AL118">
        <f t="shared" si="42"/>
        <v>0</v>
      </c>
      <c r="AM118">
        <f t="shared" si="30"/>
        <v>0</v>
      </c>
      <c r="AN118">
        <f t="shared" si="31"/>
        <v>0</v>
      </c>
      <c r="AO118">
        <f t="shared" si="32"/>
        <v>0</v>
      </c>
      <c r="AP118">
        <f t="shared" si="33"/>
        <v>0</v>
      </c>
      <c r="AQ118">
        <f t="shared" si="34"/>
        <v>0</v>
      </c>
      <c r="AR118">
        <f t="shared" si="35"/>
        <v>0</v>
      </c>
      <c r="AS118">
        <f t="shared" si="36"/>
        <v>0</v>
      </c>
      <c r="AT118">
        <f t="shared" si="37"/>
        <v>0</v>
      </c>
      <c r="AU118">
        <f t="shared" si="38"/>
        <v>0</v>
      </c>
      <c r="AV118">
        <f t="shared" si="39"/>
        <v>0</v>
      </c>
      <c r="AW118">
        <f t="shared" si="40"/>
        <v>0</v>
      </c>
    </row>
    <row r="119" spans="1:49" ht="15" customHeight="1">
      <c r="A119" s="186"/>
      <c r="B119" s="57"/>
      <c r="C119" s="98" t="s">
        <v>2523</v>
      </c>
      <c r="D119" s="813" t="str">
        <f>IF(CNSIPEE_2024_M2_Secc1!D49="","",CNSIPEE_2024_M2_Secc1!D49)</f>
        <v/>
      </c>
      <c r="E119" s="814"/>
      <c r="F119" s="814"/>
      <c r="G119" s="814"/>
      <c r="H119" s="814"/>
      <c r="I119" s="814"/>
      <c r="J119" s="814"/>
      <c r="K119" s="814"/>
      <c r="L119" s="814"/>
      <c r="M119" s="814"/>
      <c r="N119" s="814"/>
      <c r="O119" s="814"/>
      <c r="P119" s="814"/>
      <c r="Q119" s="814"/>
      <c r="R119" s="815"/>
      <c r="S119" s="100"/>
      <c r="T119" s="100"/>
      <c r="U119" s="100"/>
      <c r="V119" s="100"/>
      <c r="W119" s="100"/>
      <c r="X119" s="100"/>
      <c r="Y119" s="100"/>
      <c r="Z119" s="100"/>
      <c r="AA119" s="100"/>
      <c r="AB119" s="100"/>
      <c r="AC119" s="100"/>
      <c r="AD119" s="100"/>
      <c r="AG119">
        <f t="shared" si="26"/>
        <v>0</v>
      </c>
      <c r="AH119">
        <f t="shared" si="27"/>
        <v>0</v>
      </c>
      <c r="AK119">
        <f t="shared" si="41"/>
        <v>0</v>
      </c>
      <c r="AL119">
        <f t="shared" si="42"/>
        <v>0</v>
      </c>
      <c r="AM119">
        <f t="shared" si="30"/>
        <v>0</v>
      </c>
      <c r="AN119">
        <f t="shared" si="31"/>
        <v>0</v>
      </c>
      <c r="AO119">
        <f t="shared" si="32"/>
        <v>0</v>
      </c>
      <c r="AP119">
        <f t="shared" si="33"/>
        <v>0</v>
      </c>
      <c r="AQ119">
        <f t="shared" si="34"/>
        <v>0</v>
      </c>
      <c r="AR119">
        <f t="shared" si="35"/>
        <v>0</v>
      </c>
      <c r="AS119">
        <f t="shared" si="36"/>
        <v>0</v>
      </c>
      <c r="AT119">
        <f t="shared" si="37"/>
        <v>0</v>
      </c>
      <c r="AU119">
        <f t="shared" si="38"/>
        <v>0</v>
      </c>
      <c r="AV119">
        <f t="shared" si="39"/>
        <v>0</v>
      </c>
      <c r="AW119">
        <f t="shared" si="40"/>
        <v>0</v>
      </c>
    </row>
    <row r="120" spans="1:49" ht="15" customHeight="1">
      <c r="A120" s="186"/>
      <c r="B120" s="57"/>
      <c r="C120" s="38"/>
      <c r="D120" s="38"/>
      <c r="E120" s="38"/>
      <c r="F120" s="38"/>
      <c r="G120" s="38"/>
      <c r="H120" s="38"/>
      <c r="I120" s="38"/>
      <c r="J120" s="38"/>
      <c r="K120" s="38"/>
      <c r="L120" s="38"/>
      <c r="M120" s="38"/>
      <c r="N120" s="38"/>
      <c r="O120" s="38"/>
      <c r="P120" s="38"/>
      <c r="Q120" s="38"/>
      <c r="R120" s="117" t="s">
        <v>2649</v>
      </c>
      <c r="S120" s="124">
        <f t="shared" ref="S120:AD120" si="43">IF(AND(SUM(S112:S119)=0,COUNTIF(S112:S119,"NS")&gt;0),"NS",IF(AND(SUM(S112:S119)=0,COUNTIF(S112:S119,0)&gt;0),0,IF(AND(SUM(S112:S119)=0,COUNTIF(S112:S119,"NA")&gt;0),"NA",SUM(S112:S119))))</f>
        <v>0</v>
      </c>
      <c r="T120" s="124">
        <f t="shared" si="43"/>
        <v>0</v>
      </c>
      <c r="U120" s="124">
        <f t="shared" si="43"/>
        <v>0</v>
      </c>
      <c r="V120" s="124">
        <f t="shared" si="43"/>
        <v>0</v>
      </c>
      <c r="W120" s="124">
        <f t="shared" si="43"/>
        <v>0</v>
      </c>
      <c r="X120" s="124">
        <f t="shared" si="43"/>
        <v>0</v>
      </c>
      <c r="Y120" s="124">
        <f t="shared" si="43"/>
        <v>0</v>
      </c>
      <c r="Z120" s="124">
        <f t="shared" si="43"/>
        <v>0</v>
      </c>
      <c r="AA120" s="124">
        <f t="shared" si="43"/>
        <v>0</v>
      </c>
      <c r="AB120" s="124">
        <f t="shared" si="43"/>
        <v>0</v>
      </c>
      <c r="AC120" s="124">
        <f t="shared" si="43"/>
        <v>0</v>
      </c>
      <c r="AD120" s="124">
        <f t="shared" si="43"/>
        <v>0</v>
      </c>
      <c r="AG120" s="507">
        <f>SUM(AG112:AG119)</f>
        <v>0</v>
      </c>
      <c r="AH120" s="507">
        <f>SUM(AH112:AH119)</f>
        <v>0</v>
      </c>
      <c r="AK120">
        <f>SUM(AK112:AK119)</f>
        <v>0</v>
      </c>
      <c r="AM120">
        <f>SUM(AM112:AM119)</f>
        <v>0</v>
      </c>
      <c r="AN120">
        <f>SUM(AN112:AN119)</f>
        <v>0</v>
      </c>
      <c r="AP120">
        <f>SUM(AP112:AP119)</f>
        <v>0</v>
      </c>
      <c r="AQ120">
        <f>SUM(AQ112:AQ119)</f>
        <v>0</v>
      </c>
      <c r="AS120">
        <f>SUM(AS112:AS119)</f>
        <v>0</v>
      </c>
      <c r="AT120">
        <f>SUM(AT112:AT119)</f>
        <v>0</v>
      </c>
      <c r="AV120">
        <f>SUM(AV112:AV119)</f>
        <v>0</v>
      </c>
      <c r="AW120" s="506">
        <f>SUM(AW112:AW119)</f>
        <v>0</v>
      </c>
    </row>
    <row r="121" spans="1:49" ht="15" customHeight="1">
      <c r="A121" s="186"/>
      <c r="B121" s="57"/>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K121" t="s">
        <v>2650</v>
      </c>
      <c r="AL121" s="506">
        <f>SUM(AM120,AP120,AS120,AV120)</f>
        <v>0</v>
      </c>
      <c r="AM121" t="s">
        <v>2651</v>
      </c>
      <c r="AN121">
        <f>SUM(AK120,AN120,AQ120,AT120)</f>
        <v>0</v>
      </c>
    </row>
    <row r="122" spans="1:49" ht="24" customHeight="1">
      <c r="A122" s="108"/>
      <c r="B122" s="38"/>
      <c r="C122" s="754" t="s">
        <v>2611</v>
      </c>
      <c r="D122" s="754"/>
      <c r="E122" s="754"/>
      <c r="F122" s="754"/>
      <c r="G122" s="754"/>
      <c r="H122" s="754"/>
      <c r="I122" s="754"/>
      <c r="J122" s="754"/>
      <c r="K122" s="754"/>
      <c r="L122" s="754"/>
      <c r="M122" s="754"/>
      <c r="N122" s="754"/>
      <c r="O122" s="754"/>
      <c r="P122" s="754"/>
      <c r="Q122" s="754"/>
      <c r="R122" s="754"/>
      <c r="S122" s="754"/>
      <c r="T122" s="754"/>
      <c r="U122" s="754"/>
      <c r="V122" s="754"/>
      <c r="W122" s="754"/>
      <c r="X122" s="754"/>
      <c r="Y122" s="754"/>
      <c r="Z122" s="754"/>
      <c r="AA122" s="754"/>
      <c r="AB122" s="754"/>
      <c r="AC122" s="754"/>
      <c r="AD122" s="754"/>
      <c r="AK122" t="s">
        <v>2652</v>
      </c>
      <c r="AL122" s="507">
        <f>IF(AN121&gt;0,IF(SUM(S120)&gt;=SUM(V120,Y120,AB120),0,1),IF(SUM(S120)&lt;&gt;SUM(V120,Y120,AB120),1,0))</f>
        <v>0</v>
      </c>
      <c r="AM122" t="s">
        <v>2653</v>
      </c>
      <c r="AN122" s="507">
        <f>IF(AN121&gt;0,IF(SUM(T120)&gt;=SUM(W120,Z120,AC120),0,1),IF(SUM(T120)&lt;&gt;SUM(W120,Z120,AC120),1,0))</f>
        <v>0</v>
      </c>
      <c r="AO122" t="s">
        <v>2654</v>
      </c>
      <c r="AP122" s="507">
        <f>IF(AN121&gt;0,IF(SUM(U120)&gt;=SUM(X120,AA120,AD120),0,1),IF(SUM(U120)&lt;&gt;SUM(X120,AA120,AD120),1,0))</f>
        <v>0</v>
      </c>
    </row>
    <row r="123" spans="1:49" ht="60" customHeight="1">
      <c r="A123" s="108"/>
      <c r="B123" s="38"/>
      <c r="C123" s="851"/>
      <c r="D123" s="851"/>
      <c r="E123" s="851"/>
      <c r="F123" s="851"/>
      <c r="G123" s="851"/>
      <c r="H123" s="851"/>
      <c r="I123" s="851"/>
      <c r="J123" s="851"/>
      <c r="K123" s="851"/>
      <c r="L123" s="851"/>
      <c r="M123" s="851"/>
      <c r="N123" s="851"/>
      <c r="O123" s="851"/>
      <c r="P123" s="851"/>
      <c r="Q123" s="851"/>
      <c r="R123" s="851"/>
      <c r="S123" s="851"/>
      <c r="T123" s="851"/>
      <c r="U123" s="851"/>
      <c r="V123" s="851"/>
      <c r="W123" s="851"/>
      <c r="X123" s="851"/>
      <c r="Y123" s="851"/>
      <c r="Z123" s="851"/>
      <c r="AA123" s="851"/>
      <c r="AB123" s="851"/>
      <c r="AC123" s="851"/>
      <c r="AD123" s="851"/>
    </row>
    <row r="124" spans="1:49" ht="15" customHeight="1">
      <c r="A124" s="108"/>
      <c r="B124" s="794" t="str">
        <f>IF(AG120=0,"","Favor de ingresar toda la información requerida en la pregunta")</f>
        <v/>
      </c>
      <c r="C124" s="794"/>
      <c r="D124" s="794"/>
      <c r="E124" s="794"/>
      <c r="F124" s="794"/>
      <c r="G124" s="794"/>
      <c r="H124" s="794"/>
      <c r="I124" s="794"/>
      <c r="J124" s="794"/>
      <c r="K124" s="794"/>
      <c r="L124" s="794"/>
      <c r="M124" s="794"/>
      <c r="N124" s="794"/>
      <c r="O124" s="794"/>
      <c r="P124" s="794"/>
      <c r="Q124" s="794"/>
      <c r="R124" s="794"/>
      <c r="S124" s="794"/>
      <c r="T124" s="794"/>
      <c r="U124" s="794"/>
      <c r="V124" s="794"/>
      <c r="W124" s="794"/>
      <c r="X124" s="794"/>
      <c r="Y124" s="794"/>
      <c r="Z124" s="794"/>
      <c r="AA124" s="794"/>
      <c r="AB124" s="794"/>
      <c r="AC124" s="794"/>
      <c r="AD124" s="794"/>
      <c r="AE124" s="794"/>
    </row>
    <row r="125" spans="1:49" ht="15" customHeight="1">
      <c r="A125" s="176"/>
      <c r="B125" s="1087" t="str">
        <f>IF(COUNTIF(S112:AD119,"NS")&lt;&gt;0,"Alerta: debido a que cuenta con registros NS, debe proporcionar una justificación en el area de comentarios al final de la pregunta","")</f>
        <v/>
      </c>
      <c r="C125" s="1087"/>
      <c r="D125" s="1087"/>
      <c r="E125" s="1087"/>
      <c r="F125" s="1087"/>
      <c r="G125" s="1087"/>
      <c r="H125" s="1087"/>
      <c r="I125" s="1087"/>
      <c r="J125" s="1087"/>
      <c r="K125" s="1087"/>
      <c r="L125" s="1087"/>
      <c r="M125" s="1087"/>
      <c r="N125" s="1087"/>
      <c r="O125" s="1087"/>
      <c r="P125" s="1087"/>
      <c r="Q125" s="1087"/>
      <c r="R125" s="1087"/>
      <c r="S125" s="1087"/>
      <c r="T125" s="1087"/>
      <c r="U125" s="1087"/>
      <c r="V125" s="1087"/>
      <c r="W125" s="1087"/>
      <c r="X125" s="1087"/>
      <c r="Y125" s="1087"/>
      <c r="Z125" s="1087"/>
      <c r="AA125" s="1087"/>
      <c r="AB125" s="1087"/>
      <c r="AC125" s="1087"/>
      <c r="AD125" s="1087"/>
      <c r="AE125" s="1087"/>
    </row>
    <row r="126" spans="1:49" ht="15" customHeight="1">
      <c r="A126" s="176"/>
      <c r="B126" s="1003" t="str">
        <f>IF(AH120&gt;0,"Revise la información capturada, ya que tiene datos ingresados en celdas que están sombreadas","")</f>
        <v/>
      </c>
      <c r="C126" s="1003"/>
      <c r="D126" s="1003"/>
      <c r="E126" s="1003"/>
      <c r="F126" s="1003"/>
      <c r="G126" s="1003"/>
      <c r="H126" s="1003"/>
      <c r="I126" s="1003"/>
      <c r="J126" s="1003"/>
      <c r="K126" s="1003"/>
      <c r="L126" s="1003"/>
      <c r="M126" s="1003"/>
      <c r="N126" s="1003"/>
      <c r="O126" s="1003"/>
      <c r="P126" s="1003"/>
      <c r="Q126" s="1003"/>
      <c r="R126" s="1003"/>
      <c r="S126" s="1003"/>
      <c r="T126" s="1003"/>
      <c r="U126" s="1003"/>
      <c r="V126" s="1003"/>
      <c r="W126" s="1003"/>
      <c r="X126" s="1003"/>
      <c r="Y126" s="1003"/>
      <c r="Z126" s="1003"/>
      <c r="AA126" s="1003"/>
      <c r="AB126" s="1003"/>
      <c r="AC126" s="1003"/>
      <c r="AD126" s="1003"/>
      <c r="AE126" s="1003"/>
    </row>
    <row r="127" spans="1:49" ht="15" customHeight="1">
      <c r="A127" s="108"/>
      <c r="B127" s="1003" t="str">
        <f>IF(OR(AL121&gt;0,AL122&gt;0,AN122&gt;0,AP122&gt;0),"Favor de revisar la suma y consistencia de totales y/o subtotales por filas (numéricos y NS)","")</f>
        <v/>
      </c>
      <c r="C127" s="1003"/>
      <c r="D127" s="1003"/>
      <c r="E127" s="1003"/>
      <c r="F127" s="1003"/>
      <c r="G127" s="1003"/>
      <c r="H127" s="1003"/>
      <c r="I127" s="1003"/>
      <c r="J127" s="1003"/>
      <c r="K127" s="1003"/>
      <c r="L127" s="1003"/>
      <c r="M127" s="1003"/>
      <c r="N127" s="1003"/>
      <c r="O127" s="1003"/>
      <c r="P127" s="1003"/>
      <c r="Q127" s="1003"/>
      <c r="R127" s="1003"/>
      <c r="S127" s="1003"/>
      <c r="T127" s="1003"/>
      <c r="U127" s="1003"/>
      <c r="V127" s="1003"/>
      <c r="W127" s="1003"/>
      <c r="X127" s="1003"/>
      <c r="Y127" s="1003"/>
      <c r="Z127" s="1003"/>
      <c r="AA127" s="1003"/>
      <c r="AB127" s="1003"/>
      <c r="AC127" s="1003"/>
      <c r="AD127" s="1003"/>
      <c r="AE127" s="1003"/>
    </row>
    <row r="128" spans="1:49" ht="15" customHeight="1">
      <c r="A128" s="186"/>
      <c r="B128" s="1003" t="str">
        <f>IF(AW120=0,"","Las cantidades de Hombres y Mujeres por centro especializado debe corresponder con los datos reportados en la preg. 7.2")</f>
        <v/>
      </c>
      <c r="C128" s="1003"/>
      <c r="D128" s="1003"/>
      <c r="E128" s="1003"/>
      <c r="F128" s="1003"/>
      <c r="G128" s="1003"/>
      <c r="H128" s="1003"/>
      <c r="I128" s="1003"/>
      <c r="J128" s="1003"/>
      <c r="K128" s="1003"/>
      <c r="L128" s="1003"/>
      <c r="M128" s="1003"/>
      <c r="N128" s="1003"/>
      <c r="O128" s="1003"/>
      <c r="P128" s="1003"/>
      <c r="Q128" s="1003"/>
      <c r="R128" s="1003"/>
      <c r="S128" s="1003"/>
      <c r="T128" s="1003"/>
      <c r="U128" s="1003"/>
      <c r="V128" s="1003"/>
      <c r="W128" s="1003"/>
      <c r="X128" s="1003"/>
      <c r="Y128" s="1003"/>
      <c r="Z128" s="1003"/>
      <c r="AA128" s="1003"/>
      <c r="AB128" s="1003"/>
      <c r="AC128" s="1003"/>
      <c r="AD128" s="1003"/>
      <c r="AE128" s="1003"/>
    </row>
    <row r="129" spans="1:49" ht="15" customHeight="1">
      <c r="A129" s="186"/>
      <c r="B129" s="57"/>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row>
    <row r="130" spans="1:49" ht="24" customHeight="1">
      <c r="A130" s="108" t="s">
        <v>4583</v>
      </c>
      <c r="B130" s="829" t="s">
        <v>4584</v>
      </c>
      <c r="C130" s="829"/>
      <c r="D130" s="829"/>
      <c r="E130" s="829"/>
      <c r="F130" s="829"/>
      <c r="G130" s="829"/>
      <c r="H130" s="829"/>
      <c r="I130" s="829"/>
      <c r="J130" s="829"/>
      <c r="K130" s="829"/>
      <c r="L130" s="829"/>
      <c r="M130" s="829"/>
      <c r="N130" s="829"/>
      <c r="O130" s="829"/>
      <c r="P130" s="829"/>
      <c r="Q130" s="829"/>
      <c r="R130" s="829"/>
      <c r="S130" s="829"/>
      <c r="T130" s="829"/>
      <c r="U130" s="829"/>
      <c r="V130" s="829"/>
      <c r="W130" s="829"/>
      <c r="X130" s="829"/>
      <c r="Y130" s="829"/>
      <c r="Z130" s="829"/>
      <c r="AA130" s="829"/>
      <c r="AB130" s="829"/>
      <c r="AC130" s="829"/>
      <c r="AD130" s="829"/>
    </row>
    <row r="131" spans="1:49" ht="15" customHeight="1">
      <c r="A131" s="108"/>
      <c r="B131" s="105"/>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row>
    <row r="132" spans="1:49" ht="36" customHeight="1">
      <c r="A132" s="108"/>
      <c r="B132" s="105"/>
      <c r="C132" s="880" t="s">
        <v>2581</v>
      </c>
      <c r="D132" s="880"/>
      <c r="E132" s="880"/>
      <c r="F132" s="880"/>
      <c r="G132" s="880"/>
      <c r="H132" s="880"/>
      <c r="I132" s="880"/>
      <c r="J132" s="880"/>
      <c r="K132" s="880"/>
      <c r="L132" s="880"/>
      <c r="M132" s="880"/>
      <c r="N132" s="880"/>
      <c r="O132" s="880"/>
      <c r="P132" s="880"/>
      <c r="Q132" s="880"/>
      <c r="R132" s="880"/>
      <c r="S132" s="880"/>
      <c r="T132" s="880"/>
      <c r="U132" s="880"/>
      <c r="V132" s="739" t="s">
        <v>4585</v>
      </c>
      <c r="W132" s="740"/>
      <c r="X132" s="740"/>
      <c r="Y132" s="740"/>
      <c r="Z132" s="740"/>
      <c r="AA132" s="740"/>
      <c r="AB132" s="740"/>
      <c r="AC132" s="740"/>
      <c r="AD132" s="741"/>
    </row>
    <row r="133" spans="1:49" ht="15" customHeight="1">
      <c r="A133" s="108"/>
      <c r="B133" s="105"/>
      <c r="C133" s="880"/>
      <c r="D133" s="880"/>
      <c r="E133" s="880"/>
      <c r="F133" s="880"/>
      <c r="G133" s="880"/>
      <c r="H133" s="880"/>
      <c r="I133" s="880"/>
      <c r="J133" s="880"/>
      <c r="K133" s="880"/>
      <c r="L133" s="880"/>
      <c r="M133" s="880"/>
      <c r="N133" s="880"/>
      <c r="O133" s="880"/>
      <c r="P133" s="880"/>
      <c r="Q133" s="880"/>
      <c r="R133" s="880"/>
      <c r="S133" s="880"/>
      <c r="T133" s="880"/>
      <c r="U133" s="880"/>
      <c r="V133" s="887" t="s">
        <v>2628</v>
      </c>
      <c r="W133" s="889" t="s">
        <v>2629</v>
      </c>
      <c r="X133" s="889" t="s">
        <v>2630</v>
      </c>
      <c r="Y133" s="733" t="s">
        <v>4586</v>
      </c>
      <c r="Z133" s="734"/>
      <c r="AA133" s="735"/>
      <c r="AB133" s="733" t="s">
        <v>4587</v>
      </c>
      <c r="AC133" s="734"/>
      <c r="AD133" s="735"/>
    </row>
    <row r="134" spans="1:49" ht="48" customHeight="1">
      <c r="A134" s="108"/>
      <c r="B134" s="105"/>
      <c r="C134" s="880"/>
      <c r="D134" s="880"/>
      <c r="E134" s="880"/>
      <c r="F134" s="880"/>
      <c r="G134" s="880"/>
      <c r="H134" s="880"/>
      <c r="I134" s="880"/>
      <c r="J134" s="880"/>
      <c r="K134" s="880"/>
      <c r="L134" s="880"/>
      <c r="M134" s="880"/>
      <c r="N134" s="880"/>
      <c r="O134" s="880"/>
      <c r="P134" s="880"/>
      <c r="Q134" s="880"/>
      <c r="R134" s="880"/>
      <c r="S134" s="880"/>
      <c r="T134" s="880"/>
      <c r="U134" s="880"/>
      <c r="V134" s="888"/>
      <c r="W134" s="890"/>
      <c r="X134" s="890"/>
      <c r="Y134" s="171" t="s">
        <v>2635</v>
      </c>
      <c r="Z134" s="128" t="s">
        <v>2629</v>
      </c>
      <c r="AA134" s="128" t="s">
        <v>2630</v>
      </c>
      <c r="AB134" s="171" t="s">
        <v>2635</v>
      </c>
      <c r="AC134" s="128" t="s">
        <v>2629</v>
      </c>
      <c r="AD134" s="128" t="s">
        <v>2630</v>
      </c>
      <c r="AG134" t="s">
        <v>2586</v>
      </c>
      <c r="AH134" t="s">
        <v>4581</v>
      </c>
      <c r="AK134" t="s">
        <v>4573</v>
      </c>
      <c r="AL134" t="s">
        <v>2638</v>
      </c>
      <c r="AM134" t="s">
        <v>2639</v>
      </c>
      <c r="AN134" t="s">
        <v>4574</v>
      </c>
      <c r="AO134" t="s">
        <v>2641</v>
      </c>
      <c r="AP134" t="s">
        <v>2642</v>
      </c>
      <c r="AQ134" t="s">
        <v>4575</v>
      </c>
      <c r="AR134" t="s">
        <v>2644</v>
      </c>
      <c r="AS134" t="s">
        <v>2645</v>
      </c>
      <c r="AW134" t="s">
        <v>4582</v>
      </c>
    </row>
    <row r="135" spans="1:49" ht="15" customHeight="1">
      <c r="A135" s="108"/>
      <c r="B135" s="105"/>
      <c r="C135" s="97" t="s">
        <v>2516</v>
      </c>
      <c r="D135" s="796" t="str">
        <f>IF(CNSIPEE_2024_M2_Secc1!D42="","",CNSIPEE_2024_M2_Secc1!D42)</f>
        <v/>
      </c>
      <c r="E135" s="796"/>
      <c r="F135" s="796"/>
      <c r="G135" s="796"/>
      <c r="H135" s="796"/>
      <c r="I135" s="796"/>
      <c r="J135" s="796"/>
      <c r="K135" s="796"/>
      <c r="L135" s="796"/>
      <c r="M135" s="796"/>
      <c r="N135" s="796"/>
      <c r="O135" s="796"/>
      <c r="P135" s="796"/>
      <c r="Q135" s="796"/>
      <c r="R135" s="796"/>
      <c r="S135" s="796"/>
      <c r="T135" s="796"/>
      <c r="U135" s="796"/>
      <c r="V135" s="100"/>
      <c r="W135" s="100"/>
      <c r="X135" s="100"/>
      <c r="Y135" s="100"/>
      <c r="Z135" s="100"/>
      <c r="AA135" s="100"/>
      <c r="AB135" s="100"/>
      <c r="AC135" s="100"/>
      <c r="AD135" s="100"/>
      <c r="AG135">
        <f t="shared" ref="AG135:AG142" si="44">IF(OR($M63=0,$M63="NS",$M63="NA"),0,IF(OR(COUNTBLANK(D135:AD135)=17,COUNTBLANK(D135:AD135)=27),0,1))</f>
        <v>0</v>
      </c>
      <c r="AH135">
        <f t="shared" ref="AH135:AH142" si="45">IF(OR($M63=0,$M63="NS",$M63="NA"),IF(COUNTBLANK(V135:AD135)=9,0,1),0)</f>
        <v>0</v>
      </c>
      <c r="AK135">
        <f t="shared" ref="AK135" si="46">COUNTIF(W135:X135,"NS")</f>
        <v>0</v>
      </c>
      <c r="AL135">
        <f t="shared" ref="AL135" si="47">SUM(W135:X135)</f>
        <v>0</v>
      </c>
      <c r="AM135">
        <f t="shared" ref="AM135:AM142" si="48">IF(COUNTIF(V135:X135,"NA")=3,0,IF(COUNTA(V135:X135)=0,0,IF(OR(AND(V135=0,AK135&gt;0),AND(V135="ns",AL135&gt;0),AND(V135="ns",AK135=0,AL135=0)),1,IF(OR(AND(V135&gt;0,AK135=2),AND(V135="ns",AK135=2),AND(V135="ns",AL135=0,AK135&gt;0),V135=AL135),0,1))))</f>
        <v>0</v>
      </c>
      <c r="AN135">
        <f t="shared" ref="AN135:AN142" si="49">COUNTIF(Z135:AA135,"NS")</f>
        <v>0</v>
      </c>
      <c r="AO135">
        <f t="shared" ref="AO135:AO142" si="50">SUM(Z135:AA135)</f>
        <v>0</v>
      </c>
      <c r="AP135">
        <f t="shared" ref="AP135:AP142" si="51">IF(COUNTIF(Y135:AA135,"NA")=3,0,IF(COUNTA(Y135:AA135)=0,0,IF(OR(AND(Y135=0,AN135&gt;0),AND(Y135="ns",AO135&gt;0),AND(Y135="ns",AN135=0,AO135=0)),1,IF(OR(AND(Y135&gt;0,AN135=2),AND(Y135="ns",AN135=2),AND(Y135="ns",AO135=0,AN135&gt;0),Y135=AO135),0,1))))</f>
        <v>0</v>
      </c>
      <c r="AQ135">
        <f t="shared" ref="AQ135:AQ142" si="52">COUNTIF(AC135:AD135,"NS")</f>
        <v>0</v>
      </c>
      <c r="AR135">
        <f t="shared" ref="AR135:AR142" si="53">SUM(AC135:AD135)</f>
        <v>0</v>
      </c>
      <c r="AS135">
        <f t="shared" ref="AS135:AS142" si="54">IF(COUNTIF(AB135:AD135,"NA")=3,0,IF(COUNTA(AB135:AD135)=0,0,IF(OR(AND(AB135=0,AQ135&gt;0),AND(AB135="ns",AR135&gt;0),AND(AB135="ns",AQ135=0,AR135=0)),1,IF(OR(AND(AB135&gt;0,AQ135=2),AND(AB135="ns",AQ135=2),AND(AB135="ns",AR135=0,AQ135&gt;0),AB135=AR135),0,1))))</f>
        <v>0</v>
      </c>
      <c r="AW135">
        <f t="shared" ref="AW135:AW142" si="55">IF(OR($M63=0,$M63="NS",$M63="NA"),0,IF(AND(M63=V135,S63=W135,Y63=X135),0,1))</f>
        <v>0</v>
      </c>
    </row>
    <row r="136" spans="1:49" ht="15" customHeight="1">
      <c r="A136" s="108"/>
      <c r="B136" s="105"/>
      <c r="C136" s="98" t="s">
        <v>2517</v>
      </c>
      <c r="D136" s="796" t="str">
        <f>IF(CNSIPEE_2024_M2_Secc1!D43="","",CNSIPEE_2024_M2_Secc1!D43)</f>
        <v/>
      </c>
      <c r="E136" s="796"/>
      <c r="F136" s="796"/>
      <c r="G136" s="796"/>
      <c r="H136" s="796"/>
      <c r="I136" s="796"/>
      <c r="J136" s="796"/>
      <c r="K136" s="796"/>
      <c r="L136" s="796"/>
      <c r="M136" s="796"/>
      <c r="N136" s="796"/>
      <c r="O136" s="796"/>
      <c r="P136" s="796"/>
      <c r="Q136" s="796"/>
      <c r="R136" s="796"/>
      <c r="S136" s="796"/>
      <c r="T136" s="796"/>
      <c r="U136" s="796"/>
      <c r="V136" s="100"/>
      <c r="W136" s="100"/>
      <c r="X136" s="100"/>
      <c r="Y136" s="100"/>
      <c r="Z136" s="100"/>
      <c r="AA136" s="100"/>
      <c r="AB136" s="100"/>
      <c r="AC136" s="100"/>
      <c r="AD136" s="100"/>
      <c r="AG136">
        <f t="shared" si="44"/>
        <v>0</v>
      </c>
      <c r="AH136">
        <f t="shared" si="45"/>
        <v>0</v>
      </c>
      <c r="AK136">
        <f t="shared" ref="AK136:AK142" si="56">COUNTIF(W136:X136,"NS")</f>
        <v>0</v>
      </c>
      <c r="AL136">
        <f t="shared" ref="AL136:AL142" si="57">SUM(W136:X136)</f>
        <v>0</v>
      </c>
      <c r="AM136">
        <f t="shared" si="48"/>
        <v>0</v>
      </c>
      <c r="AN136">
        <f t="shared" si="49"/>
        <v>0</v>
      </c>
      <c r="AO136">
        <f t="shared" si="50"/>
        <v>0</v>
      </c>
      <c r="AP136">
        <f t="shared" si="51"/>
        <v>0</v>
      </c>
      <c r="AQ136">
        <f t="shared" si="52"/>
        <v>0</v>
      </c>
      <c r="AR136">
        <f t="shared" si="53"/>
        <v>0</v>
      </c>
      <c r="AS136">
        <f t="shared" si="54"/>
        <v>0</v>
      </c>
      <c r="AW136">
        <f t="shared" si="55"/>
        <v>0</v>
      </c>
    </row>
    <row r="137" spans="1:49" ht="15" customHeight="1">
      <c r="A137" s="108"/>
      <c r="B137" s="105"/>
      <c r="C137" s="98" t="s">
        <v>2518</v>
      </c>
      <c r="D137" s="796" t="str">
        <f>IF(CNSIPEE_2024_M2_Secc1!D44="","",CNSIPEE_2024_M2_Secc1!D44)</f>
        <v/>
      </c>
      <c r="E137" s="796"/>
      <c r="F137" s="796"/>
      <c r="G137" s="796"/>
      <c r="H137" s="796"/>
      <c r="I137" s="796"/>
      <c r="J137" s="796"/>
      <c r="K137" s="796"/>
      <c r="L137" s="796"/>
      <c r="M137" s="796"/>
      <c r="N137" s="796"/>
      <c r="O137" s="796"/>
      <c r="P137" s="796"/>
      <c r="Q137" s="796"/>
      <c r="R137" s="796"/>
      <c r="S137" s="796"/>
      <c r="T137" s="796"/>
      <c r="U137" s="796"/>
      <c r="V137" s="100"/>
      <c r="W137" s="100"/>
      <c r="X137" s="100"/>
      <c r="Y137" s="100"/>
      <c r="Z137" s="100"/>
      <c r="AA137" s="100"/>
      <c r="AB137" s="100"/>
      <c r="AC137" s="100"/>
      <c r="AD137" s="100"/>
      <c r="AG137">
        <f t="shared" si="44"/>
        <v>0</v>
      </c>
      <c r="AH137">
        <f t="shared" si="45"/>
        <v>0</v>
      </c>
      <c r="AK137">
        <f t="shared" si="56"/>
        <v>0</v>
      </c>
      <c r="AL137">
        <f t="shared" si="57"/>
        <v>0</v>
      </c>
      <c r="AM137">
        <f t="shared" si="48"/>
        <v>0</v>
      </c>
      <c r="AN137">
        <f t="shared" si="49"/>
        <v>0</v>
      </c>
      <c r="AO137">
        <f t="shared" si="50"/>
        <v>0</v>
      </c>
      <c r="AP137">
        <f t="shared" si="51"/>
        <v>0</v>
      </c>
      <c r="AQ137">
        <f t="shared" si="52"/>
        <v>0</v>
      </c>
      <c r="AR137">
        <f t="shared" si="53"/>
        <v>0</v>
      </c>
      <c r="AS137">
        <f t="shared" si="54"/>
        <v>0</v>
      </c>
      <c r="AW137">
        <f t="shared" si="55"/>
        <v>0</v>
      </c>
    </row>
    <row r="138" spans="1:49" ht="15" customHeight="1">
      <c r="A138" s="108"/>
      <c r="B138" s="105"/>
      <c r="C138" s="98" t="s">
        <v>2519</v>
      </c>
      <c r="D138" s="796" t="str">
        <f>IF(CNSIPEE_2024_M2_Secc1!D45="","",CNSIPEE_2024_M2_Secc1!D45)</f>
        <v/>
      </c>
      <c r="E138" s="796"/>
      <c r="F138" s="796"/>
      <c r="G138" s="796"/>
      <c r="H138" s="796"/>
      <c r="I138" s="796"/>
      <c r="J138" s="796"/>
      <c r="K138" s="796"/>
      <c r="L138" s="796"/>
      <c r="M138" s="796"/>
      <c r="N138" s="796"/>
      <c r="O138" s="796"/>
      <c r="P138" s="796"/>
      <c r="Q138" s="796"/>
      <c r="R138" s="796"/>
      <c r="S138" s="796"/>
      <c r="T138" s="796"/>
      <c r="U138" s="796"/>
      <c r="V138" s="100"/>
      <c r="W138" s="100"/>
      <c r="X138" s="100"/>
      <c r="Y138" s="100"/>
      <c r="Z138" s="100"/>
      <c r="AA138" s="100"/>
      <c r="AB138" s="100"/>
      <c r="AC138" s="100"/>
      <c r="AD138" s="100"/>
      <c r="AG138">
        <f t="shared" si="44"/>
        <v>0</v>
      </c>
      <c r="AH138">
        <f t="shared" si="45"/>
        <v>0</v>
      </c>
      <c r="AK138">
        <f t="shared" si="56"/>
        <v>0</v>
      </c>
      <c r="AL138">
        <f t="shared" si="57"/>
        <v>0</v>
      </c>
      <c r="AM138">
        <f t="shared" si="48"/>
        <v>0</v>
      </c>
      <c r="AN138">
        <f t="shared" si="49"/>
        <v>0</v>
      </c>
      <c r="AO138">
        <f t="shared" si="50"/>
        <v>0</v>
      </c>
      <c r="AP138">
        <f t="shared" si="51"/>
        <v>0</v>
      </c>
      <c r="AQ138">
        <f t="shared" si="52"/>
        <v>0</v>
      </c>
      <c r="AR138">
        <f t="shared" si="53"/>
        <v>0</v>
      </c>
      <c r="AS138">
        <f t="shared" si="54"/>
        <v>0</v>
      </c>
      <c r="AW138">
        <f t="shared" si="55"/>
        <v>0</v>
      </c>
    </row>
    <row r="139" spans="1:49" ht="15" customHeight="1">
      <c r="A139" s="108"/>
      <c r="B139" s="105"/>
      <c r="C139" s="98" t="s">
        <v>2520</v>
      </c>
      <c r="D139" s="796" t="str">
        <f>IF(CNSIPEE_2024_M2_Secc1!D46="","",CNSIPEE_2024_M2_Secc1!D46)</f>
        <v/>
      </c>
      <c r="E139" s="796"/>
      <c r="F139" s="796"/>
      <c r="G139" s="796"/>
      <c r="H139" s="796"/>
      <c r="I139" s="796"/>
      <c r="J139" s="796"/>
      <c r="K139" s="796"/>
      <c r="L139" s="796"/>
      <c r="M139" s="796"/>
      <c r="N139" s="796"/>
      <c r="O139" s="796"/>
      <c r="P139" s="796"/>
      <c r="Q139" s="796"/>
      <c r="R139" s="796"/>
      <c r="S139" s="796"/>
      <c r="T139" s="796"/>
      <c r="U139" s="796"/>
      <c r="V139" s="100"/>
      <c r="W139" s="100"/>
      <c r="X139" s="100"/>
      <c r="Y139" s="100"/>
      <c r="Z139" s="100"/>
      <c r="AA139" s="100"/>
      <c r="AB139" s="100"/>
      <c r="AC139" s="100"/>
      <c r="AD139" s="100"/>
      <c r="AG139">
        <f t="shared" si="44"/>
        <v>0</v>
      </c>
      <c r="AH139">
        <f t="shared" si="45"/>
        <v>0</v>
      </c>
      <c r="AK139">
        <f t="shared" si="56"/>
        <v>0</v>
      </c>
      <c r="AL139">
        <f t="shared" si="57"/>
        <v>0</v>
      </c>
      <c r="AM139">
        <f t="shared" si="48"/>
        <v>0</v>
      </c>
      <c r="AN139">
        <f t="shared" si="49"/>
        <v>0</v>
      </c>
      <c r="AO139">
        <f t="shared" si="50"/>
        <v>0</v>
      </c>
      <c r="AP139">
        <f t="shared" si="51"/>
        <v>0</v>
      </c>
      <c r="AQ139">
        <f t="shared" si="52"/>
        <v>0</v>
      </c>
      <c r="AR139">
        <f t="shared" si="53"/>
        <v>0</v>
      </c>
      <c r="AS139">
        <f t="shared" si="54"/>
        <v>0</v>
      </c>
      <c r="AW139">
        <f t="shared" si="55"/>
        <v>0</v>
      </c>
    </row>
    <row r="140" spans="1:49" ht="15" customHeight="1">
      <c r="A140" s="108"/>
      <c r="B140" s="105"/>
      <c r="C140" s="98" t="s">
        <v>2521</v>
      </c>
      <c r="D140" s="796" t="str">
        <f>IF(CNSIPEE_2024_M2_Secc1!D47="","",CNSIPEE_2024_M2_Secc1!D47)</f>
        <v/>
      </c>
      <c r="E140" s="796"/>
      <c r="F140" s="796"/>
      <c r="G140" s="796"/>
      <c r="H140" s="796"/>
      <c r="I140" s="796"/>
      <c r="J140" s="796"/>
      <c r="K140" s="796"/>
      <c r="L140" s="796"/>
      <c r="M140" s="796"/>
      <c r="N140" s="796"/>
      <c r="O140" s="796"/>
      <c r="P140" s="796"/>
      <c r="Q140" s="796"/>
      <c r="R140" s="796"/>
      <c r="S140" s="796"/>
      <c r="T140" s="796"/>
      <c r="U140" s="796"/>
      <c r="V140" s="100"/>
      <c r="W140" s="100"/>
      <c r="X140" s="100"/>
      <c r="Y140" s="100"/>
      <c r="Z140" s="100"/>
      <c r="AA140" s="100"/>
      <c r="AB140" s="100"/>
      <c r="AC140" s="100"/>
      <c r="AD140" s="100"/>
      <c r="AG140">
        <f t="shared" si="44"/>
        <v>0</v>
      </c>
      <c r="AH140">
        <f t="shared" si="45"/>
        <v>0</v>
      </c>
      <c r="AK140">
        <f t="shared" si="56"/>
        <v>0</v>
      </c>
      <c r="AL140">
        <f t="shared" si="57"/>
        <v>0</v>
      </c>
      <c r="AM140">
        <f t="shared" si="48"/>
        <v>0</v>
      </c>
      <c r="AN140">
        <f t="shared" si="49"/>
        <v>0</v>
      </c>
      <c r="AO140">
        <f t="shared" si="50"/>
        <v>0</v>
      </c>
      <c r="AP140">
        <f t="shared" si="51"/>
        <v>0</v>
      </c>
      <c r="AQ140">
        <f t="shared" si="52"/>
        <v>0</v>
      </c>
      <c r="AR140">
        <f t="shared" si="53"/>
        <v>0</v>
      </c>
      <c r="AS140">
        <f t="shared" si="54"/>
        <v>0</v>
      </c>
      <c r="AW140">
        <f t="shared" si="55"/>
        <v>0</v>
      </c>
    </row>
    <row r="141" spans="1:49" ht="15" customHeight="1">
      <c r="A141" s="108"/>
      <c r="B141" s="105"/>
      <c r="C141" s="98" t="s">
        <v>2522</v>
      </c>
      <c r="D141" s="796" t="str">
        <f>IF(CNSIPEE_2024_M2_Secc1!D48="","",CNSIPEE_2024_M2_Secc1!D48)</f>
        <v/>
      </c>
      <c r="E141" s="796"/>
      <c r="F141" s="796"/>
      <c r="G141" s="796"/>
      <c r="H141" s="796"/>
      <c r="I141" s="796"/>
      <c r="J141" s="796"/>
      <c r="K141" s="796"/>
      <c r="L141" s="796"/>
      <c r="M141" s="796"/>
      <c r="N141" s="796"/>
      <c r="O141" s="796"/>
      <c r="P141" s="796"/>
      <c r="Q141" s="796"/>
      <c r="R141" s="796"/>
      <c r="S141" s="796"/>
      <c r="T141" s="796"/>
      <c r="U141" s="796"/>
      <c r="V141" s="100"/>
      <c r="W141" s="100"/>
      <c r="X141" s="100"/>
      <c r="Y141" s="100"/>
      <c r="Z141" s="100"/>
      <c r="AA141" s="100"/>
      <c r="AB141" s="100"/>
      <c r="AC141" s="100"/>
      <c r="AD141" s="100"/>
      <c r="AG141">
        <f t="shared" si="44"/>
        <v>0</v>
      </c>
      <c r="AH141">
        <f t="shared" si="45"/>
        <v>0</v>
      </c>
      <c r="AK141">
        <f t="shared" si="56"/>
        <v>0</v>
      </c>
      <c r="AL141">
        <f t="shared" si="57"/>
        <v>0</v>
      </c>
      <c r="AM141">
        <f t="shared" si="48"/>
        <v>0</v>
      </c>
      <c r="AN141">
        <f t="shared" si="49"/>
        <v>0</v>
      </c>
      <c r="AO141">
        <f t="shared" si="50"/>
        <v>0</v>
      </c>
      <c r="AP141">
        <f t="shared" si="51"/>
        <v>0</v>
      </c>
      <c r="AQ141">
        <f t="shared" si="52"/>
        <v>0</v>
      </c>
      <c r="AR141">
        <f t="shared" si="53"/>
        <v>0</v>
      </c>
      <c r="AS141">
        <f t="shared" si="54"/>
        <v>0</v>
      </c>
      <c r="AW141">
        <f t="shared" si="55"/>
        <v>0</v>
      </c>
    </row>
    <row r="142" spans="1:49" ht="15" customHeight="1">
      <c r="A142" s="108"/>
      <c r="B142" s="105"/>
      <c r="C142" s="98" t="s">
        <v>2523</v>
      </c>
      <c r="D142" s="796" t="str">
        <f>IF(CNSIPEE_2024_M2_Secc1!D49="","",CNSIPEE_2024_M2_Secc1!D49)</f>
        <v/>
      </c>
      <c r="E142" s="796"/>
      <c r="F142" s="796"/>
      <c r="G142" s="796"/>
      <c r="H142" s="796"/>
      <c r="I142" s="796"/>
      <c r="J142" s="796"/>
      <c r="K142" s="796"/>
      <c r="L142" s="796"/>
      <c r="M142" s="796"/>
      <c r="N142" s="796"/>
      <c r="O142" s="796"/>
      <c r="P142" s="796"/>
      <c r="Q142" s="796"/>
      <c r="R142" s="796"/>
      <c r="S142" s="796"/>
      <c r="T142" s="796"/>
      <c r="U142" s="796"/>
      <c r="V142" s="100"/>
      <c r="W142" s="100"/>
      <c r="X142" s="100"/>
      <c r="Y142" s="100"/>
      <c r="Z142" s="100"/>
      <c r="AA142" s="100"/>
      <c r="AB142" s="100"/>
      <c r="AC142" s="100"/>
      <c r="AD142" s="100"/>
      <c r="AG142">
        <f t="shared" si="44"/>
        <v>0</v>
      </c>
      <c r="AH142">
        <f t="shared" si="45"/>
        <v>0</v>
      </c>
      <c r="AK142">
        <f t="shared" si="56"/>
        <v>0</v>
      </c>
      <c r="AL142">
        <f t="shared" si="57"/>
        <v>0</v>
      </c>
      <c r="AM142">
        <f t="shared" si="48"/>
        <v>0</v>
      </c>
      <c r="AN142">
        <f t="shared" si="49"/>
        <v>0</v>
      </c>
      <c r="AO142">
        <f t="shared" si="50"/>
        <v>0</v>
      </c>
      <c r="AP142">
        <f t="shared" si="51"/>
        <v>0</v>
      </c>
      <c r="AQ142">
        <f t="shared" si="52"/>
        <v>0</v>
      </c>
      <c r="AR142">
        <f t="shared" si="53"/>
        <v>0</v>
      </c>
      <c r="AS142">
        <f t="shared" si="54"/>
        <v>0</v>
      </c>
      <c r="AW142">
        <f t="shared" si="55"/>
        <v>0</v>
      </c>
    </row>
    <row r="143" spans="1:49" ht="15" customHeight="1">
      <c r="A143" s="108"/>
      <c r="B143" s="105"/>
      <c r="C143" s="38"/>
      <c r="D143" s="38"/>
      <c r="E143" s="38"/>
      <c r="F143" s="38"/>
      <c r="G143" s="38"/>
      <c r="H143" s="38"/>
      <c r="I143" s="38"/>
      <c r="J143" s="38"/>
      <c r="K143" s="38"/>
      <c r="U143" s="99" t="s">
        <v>2649</v>
      </c>
      <c r="V143" s="124">
        <f t="shared" ref="V143:AD143" si="58">IF(AND(SUM(V135:V142)=0,COUNTIF(V135:V142,"NS")&gt;0),"NS",IF(AND(SUM(V135:V142)=0,COUNTIF(V135:V142,0)&gt;0),0,IF(AND(SUM(V135:V142)=0,COUNTIF(V135:V142,"NA")&gt;0),"NA",SUM(V135:V142))))</f>
        <v>0</v>
      </c>
      <c r="W143" s="124">
        <f t="shared" si="58"/>
        <v>0</v>
      </c>
      <c r="X143" s="124">
        <f t="shared" si="58"/>
        <v>0</v>
      </c>
      <c r="Y143" s="124">
        <f t="shared" si="58"/>
        <v>0</v>
      </c>
      <c r="Z143" s="124">
        <f t="shared" si="58"/>
        <v>0</v>
      </c>
      <c r="AA143" s="124">
        <f t="shared" si="58"/>
        <v>0</v>
      </c>
      <c r="AB143" s="124">
        <f t="shared" si="58"/>
        <v>0</v>
      </c>
      <c r="AC143" s="124">
        <f t="shared" si="58"/>
        <v>0</v>
      </c>
      <c r="AD143" s="124">
        <f t="shared" si="58"/>
        <v>0</v>
      </c>
      <c r="AG143" s="507">
        <f>SUM(AG135:AG142)</f>
        <v>0</v>
      </c>
      <c r="AH143" s="507">
        <f>SUM(AH135:AH142)</f>
        <v>0</v>
      </c>
      <c r="AK143">
        <f>SUM(AK135:AK142)</f>
        <v>0</v>
      </c>
      <c r="AM143">
        <f>SUM(AM135:AM142)</f>
        <v>0</v>
      </c>
      <c r="AN143">
        <f>SUM(AN135:AN142)</f>
        <v>0</v>
      </c>
      <c r="AP143">
        <f>SUM(AP135:AP142)</f>
        <v>0</v>
      </c>
      <c r="AQ143">
        <f>SUM(AQ135:AQ142)</f>
        <v>0</v>
      </c>
      <c r="AS143">
        <f>SUM(AS135:AS142)</f>
        <v>0</v>
      </c>
      <c r="AW143" s="506">
        <f>SUM(AW135:AW142)</f>
        <v>0</v>
      </c>
    </row>
    <row r="144" spans="1:49" ht="15" customHeight="1">
      <c r="A144" s="108"/>
      <c r="B144" s="105"/>
      <c r="C144" s="105"/>
      <c r="D144" s="105"/>
      <c r="E144" s="105"/>
      <c r="F144" s="105"/>
      <c r="G144" s="105"/>
      <c r="H144" s="105"/>
      <c r="I144" s="105"/>
      <c r="J144" s="105"/>
      <c r="K144" s="105"/>
      <c r="L144" s="105"/>
      <c r="M144" s="105"/>
      <c r="N144" s="105"/>
      <c r="O144" s="105"/>
      <c r="P144" s="105"/>
      <c r="Q144" s="105"/>
      <c r="R144" s="105"/>
      <c r="S144" s="105"/>
      <c r="T144" s="105"/>
      <c r="U144" s="105"/>
      <c r="V144" s="105"/>
      <c r="W144" s="105"/>
      <c r="X144" s="105"/>
      <c r="Y144" s="105"/>
      <c r="Z144" s="105"/>
      <c r="AA144" s="105"/>
      <c r="AB144" s="105"/>
      <c r="AC144" s="105"/>
      <c r="AD144" s="105"/>
      <c r="AK144" t="s">
        <v>2650</v>
      </c>
      <c r="AL144" s="506">
        <f>SUM(AM143,AP143,AS143)</f>
        <v>0</v>
      </c>
      <c r="AM144" t="s">
        <v>2651</v>
      </c>
      <c r="AN144">
        <f>SUM(AK143,AN143,AQ143)</f>
        <v>0</v>
      </c>
    </row>
    <row r="145" spans="1:49" ht="24" customHeight="1">
      <c r="A145" s="108"/>
      <c r="B145" s="105"/>
      <c r="C145" s="754" t="s">
        <v>2611</v>
      </c>
      <c r="D145" s="754"/>
      <c r="E145" s="754"/>
      <c r="F145" s="754"/>
      <c r="G145" s="754"/>
      <c r="H145" s="754"/>
      <c r="I145" s="754"/>
      <c r="J145" s="754"/>
      <c r="K145" s="754"/>
      <c r="L145" s="754"/>
      <c r="M145" s="754"/>
      <c r="N145" s="754"/>
      <c r="O145" s="754"/>
      <c r="P145" s="754"/>
      <c r="Q145" s="754"/>
      <c r="R145" s="754"/>
      <c r="S145" s="754"/>
      <c r="T145" s="754"/>
      <c r="U145" s="754"/>
      <c r="V145" s="754"/>
      <c r="W145" s="754"/>
      <c r="X145" s="754"/>
      <c r="Y145" s="754"/>
      <c r="Z145" s="754"/>
      <c r="AA145" s="754"/>
      <c r="AB145" s="754"/>
      <c r="AC145" s="754"/>
      <c r="AD145" s="754"/>
      <c r="AK145" t="s">
        <v>2652</v>
      </c>
      <c r="AL145" s="507">
        <f>IF(AN144&gt;0,IF(SUM(V143)&gt;=SUM(Y143,AB143),0,1),IF(SUM(V143)&lt;&gt;SUM(Y143,AB143),1,0))</f>
        <v>0</v>
      </c>
      <c r="AM145" t="s">
        <v>2653</v>
      </c>
      <c r="AN145" s="507">
        <f>IF(AN144&gt;0,IF(SUM(W143)&gt;=SUM(Z143,AC143),0,1),IF(SUM(W143)&lt;&gt;SUM(Z143,AC143),1,0))</f>
        <v>0</v>
      </c>
      <c r="AO145" t="s">
        <v>2654</v>
      </c>
      <c r="AP145" s="507">
        <f>IF(AN144&gt;0,IF(SUM(X143)&gt;=SUM(AA143,AD143),0,1),IF(SUM(X143)&lt;&gt;SUM(AA143,AD143),1,0))</f>
        <v>0</v>
      </c>
    </row>
    <row r="146" spans="1:49" ht="60" customHeight="1">
      <c r="A146" s="108"/>
      <c r="B146" s="105"/>
      <c r="C146" s="851"/>
      <c r="D146" s="851"/>
      <c r="E146" s="851"/>
      <c r="F146" s="851"/>
      <c r="G146" s="851"/>
      <c r="H146" s="851"/>
      <c r="I146" s="851"/>
      <c r="J146" s="851"/>
      <c r="K146" s="851"/>
      <c r="L146" s="851"/>
      <c r="M146" s="851"/>
      <c r="N146" s="851"/>
      <c r="O146" s="851"/>
      <c r="P146" s="851"/>
      <c r="Q146" s="851"/>
      <c r="R146" s="851"/>
      <c r="S146" s="851"/>
      <c r="T146" s="851"/>
      <c r="U146" s="851"/>
      <c r="V146" s="851"/>
      <c r="W146" s="851"/>
      <c r="X146" s="851"/>
      <c r="Y146" s="851"/>
      <c r="Z146" s="851"/>
      <c r="AA146" s="851"/>
      <c r="AB146" s="851"/>
      <c r="AC146" s="851"/>
      <c r="AD146" s="851"/>
    </row>
    <row r="147" spans="1:49" ht="15" customHeight="1">
      <c r="A147" s="108"/>
      <c r="B147" s="794" t="str">
        <f>IF(AG143=0,"","Favor de ingresar toda la información requerida en la pregunta")</f>
        <v/>
      </c>
      <c r="C147" s="794"/>
      <c r="D147" s="794"/>
      <c r="E147" s="794"/>
      <c r="F147" s="794"/>
      <c r="G147" s="794"/>
      <c r="H147" s="794"/>
      <c r="I147" s="794"/>
      <c r="J147" s="794"/>
      <c r="K147" s="794"/>
      <c r="L147" s="794"/>
      <c r="M147" s="794"/>
      <c r="N147" s="794"/>
      <c r="O147" s="794"/>
      <c r="P147" s="794"/>
      <c r="Q147" s="794"/>
      <c r="R147" s="794"/>
      <c r="S147" s="794"/>
      <c r="T147" s="794"/>
      <c r="U147" s="794"/>
      <c r="V147" s="794"/>
      <c r="W147" s="794"/>
      <c r="X147" s="794"/>
      <c r="Y147" s="794"/>
      <c r="Z147" s="794"/>
      <c r="AA147" s="794"/>
      <c r="AB147" s="794"/>
      <c r="AC147" s="794"/>
      <c r="AD147" s="794"/>
      <c r="AE147" s="794"/>
    </row>
    <row r="148" spans="1:49" ht="15" customHeight="1">
      <c r="A148" s="108"/>
      <c r="B148" s="1087" t="str">
        <f>IF(COUNTIF(V135:AD142,"NS")&lt;&gt;0,"Alerta: debido a que cuenta con registros NS, debe proporcionar una justificación en el area de comentarios al final de la pregunta","")</f>
        <v/>
      </c>
      <c r="C148" s="1087"/>
      <c r="D148" s="1087"/>
      <c r="E148" s="1087"/>
      <c r="F148" s="1087"/>
      <c r="G148" s="1087"/>
      <c r="H148" s="1087"/>
      <c r="I148" s="1087"/>
      <c r="J148" s="1087"/>
      <c r="K148" s="1087"/>
      <c r="L148" s="1087"/>
      <c r="M148" s="1087"/>
      <c r="N148" s="1087"/>
      <c r="O148" s="1087"/>
      <c r="P148" s="1087"/>
      <c r="Q148" s="1087"/>
      <c r="R148" s="1087"/>
      <c r="S148" s="1087"/>
      <c r="T148" s="1087"/>
      <c r="U148" s="1087"/>
      <c r="V148" s="1087"/>
      <c r="W148" s="1087"/>
      <c r="X148" s="1087"/>
      <c r="Y148" s="1087"/>
      <c r="Z148" s="1087"/>
      <c r="AA148" s="1087"/>
      <c r="AB148" s="1087"/>
      <c r="AC148" s="1087"/>
      <c r="AD148" s="1087"/>
      <c r="AE148" s="1087"/>
    </row>
    <row r="149" spans="1:49" ht="15" customHeight="1">
      <c r="A149" s="108"/>
      <c r="B149" s="1003" t="str">
        <f>IF(AH143&gt;0,"Revise la información capturada, ya que tiene datos ingresados en celdas que están sombreadas","")</f>
        <v/>
      </c>
      <c r="C149" s="1003"/>
      <c r="D149" s="1003"/>
      <c r="E149" s="1003"/>
      <c r="F149" s="1003"/>
      <c r="G149" s="1003"/>
      <c r="H149" s="1003"/>
      <c r="I149" s="1003"/>
      <c r="J149" s="1003"/>
      <c r="K149" s="1003"/>
      <c r="L149" s="1003"/>
      <c r="M149" s="1003"/>
      <c r="N149" s="1003"/>
      <c r="O149" s="1003"/>
      <c r="P149" s="1003"/>
      <c r="Q149" s="1003"/>
      <c r="R149" s="1003"/>
      <c r="S149" s="1003"/>
      <c r="T149" s="1003"/>
      <c r="U149" s="1003"/>
      <c r="V149" s="1003"/>
      <c r="W149" s="1003"/>
      <c r="X149" s="1003"/>
      <c r="Y149" s="1003"/>
      <c r="Z149" s="1003"/>
      <c r="AA149" s="1003"/>
      <c r="AB149" s="1003"/>
      <c r="AC149" s="1003"/>
      <c r="AD149" s="1003"/>
      <c r="AE149" s="1003"/>
    </row>
    <row r="150" spans="1:49" ht="15" customHeight="1">
      <c r="A150" s="108"/>
      <c r="B150" s="1003" t="str">
        <f>IF(OR(AL144&gt;0,AL145&gt;0,AN145&gt;0,AP145&gt;0),"Favor de revisar la suma y consistencia de totales y/o subtotales por filas (numéricos y NS)","")</f>
        <v/>
      </c>
      <c r="C150" s="1003"/>
      <c r="D150" s="1003"/>
      <c r="E150" s="1003"/>
      <c r="F150" s="1003"/>
      <c r="G150" s="1003"/>
      <c r="H150" s="1003"/>
      <c r="I150" s="1003"/>
      <c r="J150" s="1003"/>
      <c r="K150" s="1003"/>
      <c r="L150" s="1003"/>
      <c r="M150" s="1003"/>
      <c r="N150" s="1003"/>
      <c r="O150" s="1003"/>
      <c r="P150" s="1003"/>
      <c r="Q150" s="1003"/>
      <c r="R150" s="1003"/>
      <c r="S150" s="1003"/>
      <c r="T150" s="1003"/>
      <c r="U150" s="1003"/>
      <c r="V150" s="1003"/>
      <c r="W150" s="1003"/>
      <c r="X150" s="1003"/>
      <c r="Y150" s="1003"/>
      <c r="Z150" s="1003"/>
      <c r="AA150" s="1003"/>
      <c r="AB150" s="1003"/>
      <c r="AC150" s="1003"/>
      <c r="AD150" s="1003"/>
      <c r="AE150" s="1003"/>
    </row>
    <row r="151" spans="1:49" ht="15" customHeight="1">
      <c r="A151" s="108"/>
      <c r="B151" s="1003" t="str">
        <f>IF(AW143=0,"","Las cantidades de Hombres y Mujeres por centro especializado debe corresponder con los datos reportados en la preg. 7.2")</f>
        <v/>
      </c>
      <c r="C151" s="1003"/>
      <c r="D151" s="1003"/>
      <c r="E151" s="1003"/>
      <c r="F151" s="1003"/>
      <c r="G151" s="1003"/>
      <c r="H151" s="1003"/>
      <c r="I151" s="1003"/>
      <c r="J151" s="1003"/>
      <c r="K151" s="1003"/>
      <c r="L151" s="1003"/>
      <c r="M151" s="1003"/>
      <c r="N151" s="1003"/>
      <c r="O151" s="1003"/>
      <c r="P151" s="1003"/>
      <c r="Q151" s="1003"/>
      <c r="R151" s="1003"/>
      <c r="S151" s="1003"/>
      <c r="T151" s="1003"/>
      <c r="U151" s="1003"/>
      <c r="V151" s="1003"/>
      <c r="W151" s="1003"/>
      <c r="X151" s="1003"/>
      <c r="Y151" s="1003"/>
      <c r="Z151" s="1003"/>
      <c r="AA151" s="1003"/>
      <c r="AB151" s="1003"/>
      <c r="AC151" s="1003"/>
      <c r="AD151" s="1003"/>
      <c r="AE151" s="1003"/>
    </row>
    <row r="152" spans="1:49" ht="15" customHeight="1">
      <c r="A152" s="108"/>
      <c r="B152" s="105"/>
      <c r="C152" s="105"/>
      <c r="D152" s="105"/>
      <c r="E152" s="105"/>
      <c r="F152" s="105"/>
      <c r="G152" s="105"/>
      <c r="H152" s="105"/>
      <c r="I152" s="105"/>
      <c r="J152" s="105"/>
      <c r="K152" s="105"/>
      <c r="L152" s="105"/>
      <c r="M152" s="105"/>
      <c r="N152" s="105"/>
      <c r="O152" s="105"/>
      <c r="P152" s="105"/>
      <c r="Q152" s="105"/>
      <c r="R152" s="105"/>
      <c r="S152" s="105"/>
      <c r="T152" s="105"/>
      <c r="U152" s="105"/>
      <c r="V152" s="105"/>
      <c r="W152" s="105"/>
      <c r="X152" s="105"/>
      <c r="Y152" s="105"/>
      <c r="Z152" s="105"/>
      <c r="AA152" s="105"/>
      <c r="AB152" s="105"/>
      <c r="AC152" s="105"/>
      <c r="AD152" s="105"/>
    </row>
    <row r="153" spans="1:49" ht="24" customHeight="1">
      <c r="A153" s="108" t="s">
        <v>4588</v>
      </c>
      <c r="B153" s="829" t="s">
        <v>4589</v>
      </c>
      <c r="C153" s="829"/>
      <c r="D153" s="829"/>
      <c r="E153" s="829"/>
      <c r="F153" s="829"/>
      <c r="G153" s="829"/>
      <c r="H153" s="829"/>
      <c r="I153" s="829"/>
      <c r="J153" s="829"/>
      <c r="K153" s="829"/>
      <c r="L153" s="829"/>
      <c r="M153" s="829"/>
      <c r="N153" s="829"/>
      <c r="O153" s="829"/>
      <c r="P153" s="829"/>
      <c r="Q153" s="829"/>
      <c r="R153" s="829"/>
      <c r="S153" s="829"/>
      <c r="T153" s="829"/>
      <c r="U153" s="829"/>
      <c r="V153" s="829"/>
      <c r="W153" s="829"/>
      <c r="X153" s="829"/>
      <c r="Y153" s="829"/>
      <c r="Z153" s="829"/>
      <c r="AA153" s="829"/>
      <c r="AB153" s="829"/>
      <c r="AC153" s="829"/>
      <c r="AD153" s="829"/>
    </row>
    <row r="154" spans="1:49" ht="15" customHeight="1">
      <c r="A154" s="108"/>
      <c r="B154" s="105"/>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row>
    <row r="155" spans="1:49" ht="24" customHeight="1">
      <c r="A155" s="108"/>
      <c r="B155" s="105"/>
      <c r="C155" s="797" t="s">
        <v>2581</v>
      </c>
      <c r="D155" s="798"/>
      <c r="E155" s="798"/>
      <c r="F155" s="798"/>
      <c r="G155" s="798"/>
      <c r="H155" s="798"/>
      <c r="I155" s="798"/>
      <c r="J155" s="798"/>
      <c r="K155" s="798"/>
      <c r="L155" s="798"/>
      <c r="M155" s="798"/>
      <c r="N155" s="798"/>
      <c r="O155" s="798"/>
      <c r="P155" s="798"/>
      <c r="Q155" s="798"/>
      <c r="R155" s="799"/>
      <c r="S155" s="739" t="s">
        <v>4590</v>
      </c>
      <c r="T155" s="740"/>
      <c r="U155" s="740"/>
      <c r="V155" s="740"/>
      <c r="W155" s="740"/>
      <c r="X155" s="740"/>
      <c r="Y155" s="740"/>
      <c r="Z155" s="740"/>
      <c r="AA155" s="740"/>
      <c r="AB155" s="740"/>
      <c r="AC155" s="740"/>
      <c r="AD155" s="741"/>
    </row>
    <row r="156" spans="1:49" ht="72" customHeight="1">
      <c r="A156" s="108"/>
      <c r="B156" s="105"/>
      <c r="C156" s="800"/>
      <c r="D156" s="801"/>
      <c r="E156" s="801"/>
      <c r="F156" s="801"/>
      <c r="G156" s="801"/>
      <c r="H156" s="801"/>
      <c r="I156" s="801"/>
      <c r="J156" s="801"/>
      <c r="K156" s="801"/>
      <c r="L156" s="801"/>
      <c r="M156" s="801"/>
      <c r="N156" s="801"/>
      <c r="O156" s="801"/>
      <c r="P156" s="801"/>
      <c r="Q156" s="801"/>
      <c r="R156" s="802"/>
      <c r="S156" s="887" t="s">
        <v>2628</v>
      </c>
      <c r="T156" s="889" t="s">
        <v>2629</v>
      </c>
      <c r="U156" s="889" t="s">
        <v>2630</v>
      </c>
      <c r="V156" s="858" t="s">
        <v>4591</v>
      </c>
      <c r="W156" s="859"/>
      <c r="X156" s="860"/>
      <c r="Y156" s="858" t="s">
        <v>4592</v>
      </c>
      <c r="Z156" s="859"/>
      <c r="AA156" s="860"/>
      <c r="AB156" s="858" t="s">
        <v>4593</v>
      </c>
      <c r="AC156" s="859"/>
      <c r="AD156" s="860"/>
    </row>
    <row r="157" spans="1:49" ht="48" customHeight="1">
      <c r="A157" s="108"/>
      <c r="B157" s="105"/>
      <c r="C157" s="803"/>
      <c r="D157" s="804"/>
      <c r="E157" s="804"/>
      <c r="F157" s="804"/>
      <c r="G157" s="804"/>
      <c r="H157" s="804"/>
      <c r="I157" s="804"/>
      <c r="J157" s="804"/>
      <c r="K157" s="804"/>
      <c r="L157" s="804"/>
      <c r="M157" s="804"/>
      <c r="N157" s="804"/>
      <c r="O157" s="804"/>
      <c r="P157" s="804"/>
      <c r="Q157" s="804"/>
      <c r="R157" s="805"/>
      <c r="S157" s="888"/>
      <c r="T157" s="890"/>
      <c r="U157" s="890"/>
      <c r="V157" s="171" t="s">
        <v>2635</v>
      </c>
      <c r="W157" s="128" t="s">
        <v>2629</v>
      </c>
      <c r="X157" s="128" t="s">
        <v>2630</v>
      </c>
      <c r="Y157" s="171" t="s">
        <v>2635</v>
      </c>
      <c r="Z157" s="128" t="s">
        <v>2629</v>
      </c>
      <c r="AA157" s="128" t="s">
        <v>2630</v>
      </c>
      <c r="AB157" s="171" t="s">
        <v>2635</v>
      </c>
      <c r="AC157" s="128" t="s">
        <v>2629</v>
      </c>
      <c r="AD157" s="128" t="s">
        <v>2630</v>
      </c>
      <c r="AG157" t="s">
        <v>2586</v>
      </c>
      <c r="AH157" t="s">
        <v>4581</v>
      </c>
      <c r="AK157" t="s">
        <v>4573</v>
      </c>
      <c r="AL157" t="s">
        <v>2638</v>
      </c>
      <c r="AM157" t="s">
        <v>2639</v>
      </c>
      <c r="AN157" t="s">
        <v>4574</v>
      </c>
      <c r="AO157" t="s">
        <v>2641</v>
      </c>
      <c r="AP157" t="s">
        <v>2642</v>
      </c>
      <c r="AQ157" t="s">
        <v>4575</v>
      </c>
      <c r="AR157" t="s">
        <v>2644</v>
      </c>
      <c r="AS157" t="s">
        <v>2645</v>
      </c>
      <c r="AT157" t="s">
        <v>4576</v>
      </c>
      <c r="AU157" t="s">
        <v>2647</v>
      </c>
      <c r="AV157" t="s">
        <v>2648</v>
      </c>
      <c r="AW157" t="s">
        <v>4582</v>
      </c>
    </row>
    <row r="158" spans="1:49" ht="15" customHeight="1">
      <c r="A158" s="108"/>
      <c r="B158" s="105"/>
      <c r="C158" s="97" t="s">
        <v>2516</v>
      </c>
      <c r="D158" s="813" t="str">
        <f>IF(CNSIPEE_2024_M2_Secc1!D42="","",CNSIPEE_2024_M2_Secc1!D42)</f>
        <v/>
      </c>
      <c r="E158" s="814"/>
      <c r="F158" s="814"/>
      <c r="G158" s="814"/>
      <c r="H158" s="814"/>
      <c r="I158" s="814"/>
      <c r="J158" s="814"/>
      <c r="K158" s="814"/>
      <c r="L158" s="814"/>
      <c r="M158" s="814"/>
      <c r="N158" s="814"/>
      <c r="O158" s="814"/>
      <c r="P158" s="814"/>
      <c r="Q158" s="814"/>
      <c r="R158" s="815"/>
      <c r="S158" s="708"/>
      <c r="T158" s="100"/>
      <c r="U158" s="100"/>
      <c r="V158" s="100"/>
      <c r="W158" s="100"/>
      <c r="X158" s="709"/>
      <c r="Y158" s="100"/>
      <c r="Z158" s="100"/>
      <c r="AA158" s="100"/>
      <c r="AB158" s="100"/>
      <c r="AC158" s="100"/>
      <c r="AD158" s="100"/>
      <c r="AG158">
        <f>IF(OR($M63=0,$M63="NS",$M63="NA"),0,IF(OR(COUNTBLANK(D158:AD158)=14,COUNTBLANK(D158:AD158)=27),0,1))</f>
        <v>0</v>
      </c>
      <c r="AH158">
        <f>IF(OR($M63=0,$M63="NS",$M63="NA"),IF(COUNTBLANK(S158:AD158)=12,0,1),0)</f>
        <v>0</v>
      </c>
      <c r="AK158">
        <f t="shared" ref="AK158" si="59">COUNTIF(T158:U158,"NS")</f>
        <v>0</v>
      </c>
      <c r="AL158">
        <f t="shared" ref="AL158" si="60">SUM(T158:U158)</f>
        <v>0</v>
      </c>
      <c r="AM158">
        <f t="shared" ref="AM158" si="61">IF(COUNTIF(S158:U158,"NA")=3,0,IF(COUNTA(S158:U158)=0,0,IF(OR(AND(S158=0,AK158&gt;0),AND(S158="ns",AL158&gt;0),AND(S158="ns",AK158=0,AL158=0)),1,IF(OR(AND(S158&gt;0,AK158=2),AND(S158="ns",AK158=2),AND(S158="ns",AL158=0,AK158&gt;0),S158=AL158),0,1))))</f>
        <v>0</v>
      </c>
      <c r="AN158">
        <f t="shared" ref="AN158" si="62">COUNTIF(W158:X158,"NS")</f>
        <v>0</v>
      </c>
      <c r="AO158">
        <f t="shared" ref="AO158" si="63">SUM(W158:X158)</f>
        <v>0</v>
      </c>
      <c r="AP158">
        <f t="shared" ref="AP158" si="64">IF(COUNTIF(V158:X158,"NA")=3,0,IF(COUNTA(V158:X158)=0,0,IF(OR(AND(V158=0,AN158&gt;0),AND(V158="ns",AO158&gt;0),AND(V158="ns",AN158=0,AO158=0)),1,IF(OR(AND(V158&gt;0,AN158=2),AND(V158="ns",AN158=2),AND(V158="ns",AO158=0,AN158&gt;0),V158=AO158),0,1))))</f>
        <v>0</v>
      </c>
      <c r="AQ158">
        <f t="shared" ref="AQ158" si="65">COUNTIF(Z158:AA158,"NS")</f>
        <v>0</v>
      </c>
      <c r="AR158">
        <f t="shared" ref="AR158" si="66">SUM(Z158:AA158)</f>
        <v>0</v>
      </c>
      <c r="AS158">
        <f t="shared" ref="AS158" si="67">IF(COUNTIF(Y158:AA158,"NA")=3,0,IF(COUNTA(Y158:AA158)=0,0,IF(OR(AND(Y158=0,AQ158&gt;0),AND(Y158="ns",AR158&gt;0),AND(Y158="ns",AQ158=0,AR158=0)),1,IF(OR(AND(Y158&gt;0,AQ158=2),AND(Y158="ns",AQ158=2),AND(Y158="ns",AR158=0,AQ158&gt;0),Y158=AR158),0,1))))</f>
        <v>0</v>
      </c>
      <c r="AT158">
        <f t="shared" ref="AT158" si="68">COUNTIF(AC158:AD158,"NS")</f>
        <v>0</v>
      </c>
      <c r="AU158">
        <f t="shared" ref="AU158" si="69">SUM(AC158:AD158)</f>
        <v>0</v>
      </c>
      <c r="AV158">
        <f t="shared" ref="AV158" si="70">IF(COUNTIF(AB158:AD158,"NA")=3,0,IF(COUNTA(AB158:AD158)=0,0,IF(OR(AND(AB158=0,AT158&gt;0),AND(AB158="ns",AU158&gt;0),AND(AB158="ns",AT158=0,AU158=0)),1,IF(OR(AND(AB158&gt;0,AT158=2),AND(AB158="ns",AT158=2),AND(AB158="ns",AU158=0,AT158&gt;0),AB158=AU158),0,1))))</f>
        <v>0</v>
      </c>
      <c r="AW158">
        <f>IF(OR($M63=0,$M63="NS",$M63="NA"),0,IF(AND(M63=S158,S63=T158,Y63=U158),0,1))</f>
        <v>0</v>
      </c>
    </row>
    <row r="159" spans="1:49" ht="15" customHeight="1">
      <c r="A159" s="108"/>
      <c r="B159" s="105"/>
      <c r="C159" s="98" t="s">
        <v>2517</v>
      </c>
      <c r="D159" s="813" t="str">
        <f>IF(CNSIPEE_2024_M2_Secc1!D43="","",CNSIPEE_2024_M2_Secc1!D43)</f>
        <v/>
      </c>
      <c r="E159" s="814"/>
      <c r="F159" s="814"/>
      <c r="G159" s="814"/>
      <c r="H159" s="814"/>
      <c r="I159" s="814"/>
      <c r="J159" s="814"/>
      <c r="K159" s="814"/>
      <c r="L159" s="814"/>
      <c r="M159" s="814"/>
      <c r="N159" s="814"/>
      <c r="O159" s="814"/>
      <c r="P159" s="814"/>
      <c r="Q159" s="814"/>
      <c r="R159" s="815"/>
      <c r="S159" s="708"/>
      <c r="T159" s="100"/>
      <c r="U159" s="100"/>
      <c r="V159" s="100"/>
      <c r="W159" s="100"/>
      <c r="X159" s="709"/>
      <c r="Y159" s="100"/>
      <c r="Z159" s="100"/>
      <c r="AA159" s="100"/>
      <c r="AB159" s="100"/>
      <c r="AC159" s="100"/>
      <c r="AD159" s="100"/>
      <c r="AG159">
        <f t="shared" ref="AG159:AG165" si="71">IF(OR($M64=0,$M64="NS",$M64="NA"),0,IF(OR(COUNTBLANK(D159:AD159)=14,COUNTBLANK(D159:AD159)=27),0,1))</f>
        <v>0</v>
      </c>
      <c r="AH159">
        <f t="shared" ref="AH159:AH165" si="72">IF(OR($M64=0,$M64="NS",$M64="NA"),IF(COUNTBLANK(S159:AD159)=12,0,1),0)</f>
        <v>0</v>
      </c>
      <c r="AK159">
        <f t="shared" ref="AK159:AK165" si="73">COUNTIF(T159:U159,"NS")</f>
        <v>0</v>
      </c>
      <c r="AL159">
        <f t="shared" ref="AL159:AL165" si="74">SUM(T159:U159)</f>
        <v>0</v>
      </c>
      <c r="AM159">
        <f t="shared" ref="AM159:AM165" si="75">IF(COUNTIF(S159:U159,"NA")=3,0,IF(COUNTA(S159:U159)=0,0,IF(OR(AND(S159=0,AK159&gt;0),AND(S159="ns",AL159&gt;0),AND(S159="ns",AK159=0,AL159=0)),1,IF(OR(AND(S159&gt;0,AK159=2),AND(S159="ns",AK159=2),AND(S159="ns",AL159=0,AK159&gt;0),S159=AL159),0,1))))</f>
        <v>0</v>
      </c>
      <c r="AN159">
        <f t="shared" ref="AN159:AN165" si="76">COUNTIF(W159:X159,"NS")</f>
        <v>0</v>
      </c>
      <c r="AO159">
        <f t="shared" ref="AO159:AO165" si="77">SUM(W159:X159)</f>
        <v>0</v>
      </c>
      <c r="AP159">
        <f t="shared" ref="AP159:AP165" si="78">IF(COUNTIF(V159:X159,"NA")=3,0,IF(COUNTA(V159:X159)=0,0,IF(OR(AND(V159=0,AN159&gt;0),AND(V159="ns",AO159&gt;0),AND(V159="ns",AN159=0,AO159=0)),1,IF(OR(AND(V159&gt;0,AN159=2),AND(V159="ns",AN159=2),AND(V159="ns",AO159=0,AN159&gt;0),V159=AO159),0,1))))</f>
        <v>0</v>
      </c>
      <c r="AQ159">
        <f t="shared" ref="AQ159:AQ165" si="79">COUNTIF(Z159:AA159,"NS")</f>
        <v>0</v>
      </c>
      <c r="AR159">
        <f t="shared" ref="AR159:AR165" si="80">SUM(Z159:AA159)</f>
        <v>0</v>
      </c>
      <c r="AS159">
        <f t="shared" ref="AS159:AS165" si="81">IF(COUNTIF(Y159:AA159,"NA")=3,0,IF(COUNTA(Y159:AA159)=0,0,IF(OR(AND(Y159=0,AQ159&gt;0),AND(Y159="ns",AR159&gt;0),AND(Y159="ns",AQ159=0,AR159=0)),1,IF(OR(AND(Y159&gt;0,AQ159=2),AND(Y159="ns",AQ159=2),AND(Y159="ns",AR159=0,AQ159&gt;0),Y159=AR159),0,1))))</f>
        <v>0</v>
      </c>
      <c r="AT159">
        <f t="shared" ref="AT159:AT165" si="82">COUNTIF(AC159:AD159,"NS")</f>
        <v>0</v>
      </c>
      <c r="AU159">
        <f t="shared" ref="AU159:AU165" si="83">SUM(AC159:AD159)</f>
        <v>0</v>
      </c>
      <c r="AV159">
        <f t="shared" ref="AV159:AV165" si="84">IF(COUNTIF(AB159:AD159,"NA")=3,0,IF(COUNTA(AB159:AD159)=0,0,IF(OR(AND(AB159=0,AT159&gt;0),AND(AB159="ns",AU159&gt;0),AND(AB159="ns",AT159=0,AU159=0)),1,IF(OR(AND(AB159&gt;0,AT159=2),AND(AB159="ns",AT159=2),AND(AB159="ns",AU159=0,AT159&gt;0),AB159=AU159),0,1))))</f>
        <v>0</v>
      </c>
      <c r="AW159">
        <f t="shared" ref="AW159:AW165" si="85">IF(OR($M64=0,$M64="NS",$M64="NA"),0,IF(AND(M64=S159,S64=T159,Y64=U159),0,1))</f>
        <v>0</v>
      </c>
    </row>
    <row r="160" spans="1:49" ht="15" customHeight="1">
      <c r="A160" s="108"/>
      <c r="B160" s="105"/>
      <c r="C160" s="98" t="s">
        <v>2518</v>
      </c>
      <c r="D160" s="813" t="str">
        <f>IF(CNSIPEE_2024_M2_Secc1!D44="","",CNSIPEE_2024_M2_Secc1!D44)</f>
        <v/>
      </c>
      <c r="E160" s="814"/>
      <c r="F160" s="814"/>
      <c r="G160" s="814"/>
      <c r="H160" s="814"/>
      <c r="I160" s="814"/>
      <c r="J160" s="814"/>
      <c r="K160" s="814"/>
      <c r="L160" s="814"/>
      <c r="M160" s="814"/>
      <c r="N160" s="814"/>
      <c r="O160" s="814"/>
      <c r="P160" s="814"/>
      <c r="Q160" s="814"/>
      <c r="R160" s="815"/>
      <c r="S160" s="708"/>
      <c r="T160" s="100"/>
      <c r="U160" s="100"/>
      <c r="V160" s="100"/>
      <c r="W160" s="100"/>
      <c r="X160" s="709"/>
      <c r="Y160" s="100"/>
      <c r="Z160" s="100"/>
      <c r="AA160" s="100"/>
      <c r="AB160" s="100"/>
      <c r="AC160" s="100"/>
      <c r="AD160" s="100"/>
      <c r="AG160">
        <f t="shared" si="71"/>
        <v>0</v>
      </c>
      <c r="AH160">
        <f t="shared" si="72"/>
        <v>0</v>
      </c>
      <c r="AK160">
        <f t="shared" si="73"/>
        <v>0</v>
      </c>
      <c r="AL160">
        <f t="shared" si="74"/>
        <v>0</v>
      </c>
      <c r="AM160">
        <f t="shared" si="75"/>
        <v>0</v>
      </c>
      <c r="AN160">
        <f t="shared" si="76"/>
        <v>0</v>
      </c>
      <c r="AO160">
        <f t="shared" si="77"/>
        <v>0</v>
      </c>
      <c r="AP160">
        <f t="shared" si="78"/>
        <v>0</v>
      </c>
      <c r="AQ160">
        <f t="shared" si="79"/>
        <v>0</v>
      </c>
      <c r="AR160">
        <f t="shared" si="80"/>
        <v>0</v>
      </c>
      <c r="AS160">
        <f t="shared" si="81"/>
        <v>0</v>
      </c>
      <c r="AT160">
        <f t="shared" si="82"/>
        <v>0</v>
      </c>
      <c r="AU160">
        <f t="shared" si="83"/>
        <v>0</v>
      </c>
      <c r="AV160">
        <f t="shared" si="84"/>
        <v>0</v>
      </c>
      <c r="AW160">
        <f t="shared" si="85"/>
        <v>0</v>
      </c>
    </row>
    <row r="161" spans="1:49" ht="15" customHeight="1">
      <c r="A161" s="108"/>
      <c r="B161" s="105"/>
      <c r="C161" s="98" t="s">
        <v>2519</v>
      </c>
      <c r="D161" s="813" t="str">
        <f>IF(CNSIPEE_2024_M2_Secc1!D45="","",CNSIPEE_2024_M2_Secc1!D45)</f>
        <v/>
      </c>
      <c r="E161" s="814"/>
      <c r="F161" s="814"/>
      <c r="G161" s="814"/>
      <c r="H161" s="814"/>
      <c r="I161" s="814"/>
      <c r="J161" s="814"/>
      <c r="K161" s="814"/>
      <c r="L161" s="814"/>
      <c r="M161" s="814"/>
      <c r="N161" s="814"/>
      <c r="O161" s="814"/>
      <c r="P161" s="814"/>
      <c r="Q161" s="814"/>
      <c r="R161" s="815"/>
      <c r="S161" s="708"/>
      <c r="T161" s="100"/>
      <c r="U161" s="100"/>
      <c r="V161" s="100"/>
      <c r="W161" s="100"/>
      <c r="X161" s="709"/>
      <c r="Y161" s="100"/>
      <c r="Z161" s="100"/>
      <c r="AA161" s="100"/>
      <c r="AB161" s="100"/>
      <c r="AC161" s="100"/>
      <c r="AD161" s="100"/>
      <c r="AG161">
        <f t="shared" si="71"/>
        <v>0</v>
      </c>
      <c r="AH161">
        <f t="shared" si="72"/>
        <v>0</v>
      </c>
      <c r="AK161">
        <f t="shared" si="73"/>
        <v>0</v>
      </c>
      <c r="AL161">
        <f t="shared" si="74"/>
        <v>0</v>
      </c>
      <c r="AM161">
        <f t="shared" si="75"/>
        <v>0</v>
      </c>
      <c r="AN161">
        <f t="shared" si="76"/>
        <v>0</v>
      </c>
      <c r="AO161">
        <f t="shared" si="77"/>
        <v>0</v>
      </c>
      <c r="AP161">
        <f t="shared" si="78"/>
        <v>0</v>
      </c>
      <c r="AQ161">
        <f t="shared" si="79"/>
        <v>0</v>
      </c>
      <c r="AR161">
        <f t="shared" si="80"/>
        <v>0</v>
      </c>
      <c r="AS161">
        <f t="shared" si="81"/>
        <v>0</v>
      </c>
      <c r="AT161">
        <f t="shared" si="82"/>
        <v>0</v>
      </c>
      <c r="AU161">
        <f t="shared" si="83"/>
        <v>0</v>
      </c>
      <c r="AV161">
        <f t="shared" si="84"/>
        <v>0</v>
      </c>
      <c r="AW161">
        <f t="shared" si="85"/>
        <v>0</v>
      </c>
    </row>
    <row r="162" spans="1:49" ht="15" customHeight="1">
      <c r="A162" s="108"/>
      <c r="B162" s="105"/>
      <c r="C162" s="98" t="s">
        <v>2520</v>
      </c>
      <c r="D162" s="813" t="str">
        <f>IF(CNSIPEE_2024_M2_Secc1!D46="","",CNSIPEE_2024_M2_Secc1!D46)</f>
        <v/>
      </c>
      <c r="E162" s="814"/>
      <c r="F162" s="814"/>
      <c r="G162" s="814"/>
      <c r="H162" s="814"/>
      <c r="I162" s="814"/>
      <c r="J162" s="814"/>
      <c r="K162" s="814"/>
      <c r="L162" s="814"/>
      <c r="M162" s="814"/>
      <c r="N162" s="814"/>
      <c r="O162" s="814"/>
      <c r="P162" s="814"/>
      <c r="Q162" s="814"/>
      <c r="R162" s="815"/>
      <c r="S162" s="708"/>
      <c r="T162" s="100"/>
      <c r="U162" s="100"/>
      <c r="V162" s="100"/>
      <c r="W162" s="100"/>
      <c r="X162" s="709"/>
      <c r="Y162" s="100"/>
      <c r="Z162" s="100"/>
      <c r="AA162" s="100"/>
      <c r="AB162" s="100"/>
      <c r="AC162" s="100"/>
      <c r="AD162" s="100"/>
      <c r="AG162">
        <f t="shared" si="71"/>
        <v>0</v>
      </c>
      <c r="AH162">
        <f t="shared" si="72"/>
        <v>0</v>
      </c>
      <c r="AK162">
        <f t="shared" si="73"/>
        <v>0</v>
      </c>
      <c r="AL162">
        <f t="shared" si="74"/>
        <v>0</v>
      </c>
      <c r="AM162">
        <f t="shared" si="75"/>
        <v>0</v>
      </c>
      <c r="AN162">
        <f t="shared" si="76"/>
        <v>0</v>
      </c>
      <c r="AO162">
        <f t="shared" si="77"/>
        <v>0</v>
      </c>
      <c r="AP162">
        <f t="shared" si="78"/>
        <v>0</v>
      </c>
      <c r="AQ162">
        <f t="shared" si="79"/>
        <v>0</v>
      </c>
      <c r="AR162">
        <f t="shared" si="80"/>
        <v>0</v>
      </c>
      <c r="AS162">
        <f t="shared" si="81"/>
        <v>0</v>
      </c>
      <c r="AT162">
        <f t="shared" si="82"/>
        <v>0</v>
      </c>
      <c r="AU162">
        <f t="shared" si="83"/>
        <v>0</v>
      </c>
      <c r="AV162">
        <f t="shared" si="84"/>
        <v>0</v>
      </c>
      <c r="AW162">
        <f t="shared" si="85"/>
        <v>0</v>
      </c>
    </row>
    <row r="163" spans="1:49" ht="15" customHeight="1">
      <c r="A163" s="108"/>
      <c r="B163" s="105"/>
      <c r="C163" s="98" t="s">
        <v>2521</v>
      </c>
      <c r="D163" s="813" t="str">
        <f>IF(CNSIPEE_2024_M2_Secc1!D47="","",CNSIPEE_2024_M2_Secc1!D47)</f>
        <v/>
      </c>
      <c r="E163" s="814"/>
      <c r="F163" s="814"/>
      <c r="G163" s="814"/>
      <c r="H163" s="814"/>
      <c r="I163" s="814"/>
      <c r="J163" s="814"/>
      <c r="K163" s="814"/>
      <c r="L163" s="814"/>
      <c r="M163" s="814"/>
      <c r="N163" s="814"/>
      <c r="O163" s="814"/>
      <c r="P163" s="814"/>
      <c r="Q163" s="814"/>
      <c r="R163" s="815"/>
      <c r="S163" s="708"/>
      <c r="T163" s="100"/>
      <c r="U163" s="100"/>
      <c r="V163" s="100"/>
      <c r="W163" s="100"/>
      <c r="X163" s="709"/>
      <c r="Y163" s="100"/>
      <c r="Z163" s="100"/>
      <c r="AA163" s="100"/>
      <c r="AB163" s="100"/>
      <c r="AC163" s="100"/>
      <c r="AD163" s="100"/>
      <c r="AG163">
        <f t="shared" si="71"/>
        <v>0</v>
      </c>
      <c r="AH163">
        <f t="shared" si="72"/>
        <v>0</v>
      </c>
      <c r="AK163">
        <f t="shared" si="73"/>
        <v>0</v>
      </c>
      <c r="AL163">
        <f t="shared" si="74"/>
        <v>0</v>
      </c>
      <c r="AM163">
        <f t="shared" si="75"/>
        <v>0</v>
      </c>
      <c r="AN163">
        <f t="shared" si="76"/>
        <v>0</v>
      </c>
      <c r="AO163">
        <f t="shared" si="77"/>
        <v>0</v>
      </c>
      <c r="AP163">
        <f t="shared" si="78"/>
        <v>0</v>
      </c>
      <c r="AQ163">
        <f t="shared" si="79"/>
        <v>0</v>
      </c>
      <c r="AR163">
        <f t="shared" si="80"/>
        <v>0</v>
      </c>
      <c r="AS163">
        <f t="shared" si="81"/>
        <v>0</v>
      </c>
      <c r="AT163">
        <f t="shared" si="82"/>
        <v>0</v>
      </c>
      <c r="AU163">
        <f t="shared" si="83"/>
        <v>0</v>
      </c>
      <c r="AV163">
        <f t="shared" si="84"/>
        <v>0</v>
      </c>
      <c r="AW163">
        <f t="shared" si="85"/>
        <v>0</v>
      </c>
    </row>
    <row r="164" spans="1:49" ht="15" customHeight="1">
      <c r="A164" s="108"/>
      <c r="B164" s="105"/>
      <c r="C164" s="98" t="s">
        <v>2522</v>
      </c>
      <c r="D164" s="813" t="str">
        <f>IF(CNSIPEE_2024_M2_Secc1!D48="","",CNSIPEE_2024_M2_Secc1!D48)</f>
        <v/>
      </c>
      <c r="E164" s="814"/>
      <c r="F164" s="814"/>
      <c r="G164" s="814"/>
      <c r="H164" s="814"/>
      <c r="I164" s="814"/>
      <c r="J164" s="814"/>
      <c r="K164" s="814"/>
      <c r="L164" s="814"/>
      <c r="M164" s="814"/>
      <c r="N164" s="814"/>
      <c r="O164" s="814"/>
      <c r="P164" s="814"/>
      <c r="Q164" s="814"/>
      <c r="R164" s="815"/>
      <c r="S164" s="708"/>
      <c r="T164" s="100"/>
      <c r="U164" s="100"/>
      <c r="V164" s="100"/>
      <c r="W164" s="100"/>
      <c r="X164" s="709"/>
      <c r="Y164" s="100"/>
      <c r="Z164" s="100"/>
      <c r="AA164" s="100"/>
      <c r="AB164" s="100"/>
      <c r="AC164" s="100"/>
      <c r="AD164" s="100"/>
      <c r="AG164">
        <f t="shared" si="71"/>
        <v>0</v>
      </c>
      <c r="AH164">
        <f t="shared" si="72"/>
        <v>0</v>
      </c>
      <c r="AK164">
        <f t="shared" si="73"/>
        <v>0</v>
      </c>
      <c r="AL164">
        <f t="shared" si="74"/>
        <v>0</v>
      </c>
      <c r="AM164">
        <f t="shared" si="75"/>
        <v>0</v>
      </c>
      <c r="AN164">
        <f t="shared" si="76"/>
        <v>0</v>
      </c>
      <c r="AO164">
        <f t="shared" si="77"/>
        <v>0</v>
      </c>
      <c r="AP164">
        <f t="shared" si="78"/>
        <v>0</v>
      </c>
      <c r="AQ164">
        <f t="shared" si="79"/>
        <v>0</v>
      </c>
      <c r="AR164">
        <f t="shared" si="80"/>
        <v>0</v>
      </c>
      <c r="AS164">
        <f t="shared" si="81"/>
        <v>0</v>
      </c>
      <c r="AT164">
        <f t="shared" si="82"/>
        <v>0</v>
      </c>
      <c r="AU164">
        <f t="shared" si="83"/>
        <v>0</v>
      </c>
      <c r="AV164">
        <f t="shared" si="84"/>
        <v>0</v>
      </c>
      <c r="AW164">
        <f t="shared" si="85"/>
        <v>0</v>
      </c>
    </row>
    <row r="165" spans="1:49" ht="15" customHeight="1">
      <c r="A165" s="108"/>
      <c r="B165" s="105"/>
      <c r="C165" s="98" t="s">
        <v>2523</v>
      </c>
      <c r="D165" s="813" t="str">
        <f>IF(CNSIPEE_2024_M2_Secc1!D49="","",CNSIPEE_2024_M2_Secc1!D49)</f>
        <v/>
      </c>
      <c r="E165" s="814"/>
      <c r="F165" s="814"/>
      <c r="G165" s="814"/>
      <c r="H165" s="814"/>
      <c r="I165" s="814"/>
      <c r="J165" s="814"/>
      <c r="K165" s="814"/>
      <c r="L165" s="814"/>
      <c r="M165" s="814"/>
      <c r="N165" s="814"/>
      <c r="O165" s="814"/>
      <c r="P165" s="814"/>
      <c r="Q165" s="814"/>
      <c r="R165" s="815"/>
      <c r="S165" s="708"/>
      <c r="T165" s="100"/>
      <c r="U165" s="100"/>
      <c r="V165" s="100"/>
      <c r="W165" s="100"/>
      <c r="X165" s="709"/>
      <c r="Y165" s="100"/>
      <c r="Z165" s="100"/>
      <c r="AA165" s="100"/>
      <c r="AB165" s="100"/>
      <c r="AC165" s="100"/>
      <c r="AD165" s="100"/>
      <c r="AG165">
        <f t="shared" si="71"/>
        <v>0</v>
      </c>
      <c r="AH165">
        <f t="shared" si="72"/>
        <v>0</v>
      </c>
      <c r="AK165">
        <f t="shared" si="73"/>
        <v>0</v>
      </c>
      <c r="AL165">
        <f t="shared" si="74"/>
        <v>0</v>
      </c>
      <c r="AM165">
        <f t="shared" si="75"/>
        <v>0</v>
      </c>
      <c r="AN165">
        <f t="shared" si="76"/>
        <v>0</v>
      </c>
      <c r="AO165">
        <f t="shared" si="77"/>
        <v>0</v>
      </c>
      <c r="AP165">
        <f t="shared" si="78"/>
        <v>0</v>
      </c>
      <c r="AQ165">
        <f t="shared" si="79"/>
        <v>0</v>
      </c>
      <c r="AR165">
        <f t="shared" si="80"/>
        <v>0</v>
      </c>
      <c r="AS165">
        <f t="shared" si="81"/>
        <v>0</v>
      </c>
      <c r="AT165">
        <f t="shared" si="82"/>
        <v>0</v>
      </c>
      <c r="AU165">
        <f t="shared" si="83"/>
        <v>0</v>
      </c>
      <c r="AV165">
        <f t="shared" si="84"/>
        <v>0</v>
      </c>
      <c r="AW165">
        <f t="shared" si="85"/>
        <v>0</v>
      </c>
    </row>
    <row r="166" spans="1:49" ht="15" customHeight="1">
      <c r="A166" s="108"/>
      <c r="B166" s="105"/>
      <c r="C166" s="38"/>
      <c r="D166" s="38"/>
      <c r="E166" s="38"/>
      <c r="F166" s="38"/>
      <c r="G166" s="38"/>
      <c r="H166" s="38"/>
      <c r="I166" s="38"/>
      <c r="J166" s="38"/>
      <c r="K166" s="38"/>
      <c r="M166" s="38"/>
      <c r="N166" s="38"/>
      <c r="O166" s="38"/>
      <c r="P166" s="38"/>
      <c r="Q166" s="38"/>
      <c r="R166" s="99" t="s">
        <v>2649</v>
      </c>
      <c r="S166" s="193">
        <f t="shared" ref="S166:AD166" si="86">IF(AND(SUM(S158:S165)=0,COUNTIF(S158:S165,"NS")&gt;0),"NS",IF(AND(SUM(S158:S165)=0,COUNTIF(S158:S165,0)&gt;0),0,IF(AND(SUM(S158:S165)=0,COUNTIF(S158:S165,"NA")&gt;0),"NA",SUM(S158:S165))))</f>
        <v>0</v>
      </c>
      <c r="T166" s="124">
        <f t="shared" si="86"/>
        <v>0</v>
      </c>
      <c r="U166" s="124">
        <f t="shared" si="86"/>
        <v>0</v>
      </c>
      <c r="V166" s="124">
        <f t="shared" si="86"/>
        <v>0</v>
      </c>
      <c r="W166" s="124">
        <f t="shared" si="86"/>
        <v>0</v>
      </c>
      <c r="X166" s="194">
        <f t="shared" si="86"/>
        <v>0</v>
      </c>
      <c r="Y166" s="124">
        <f t="shared" si="86"/>
        <v>0</v>
      </c>
      <c r="Z166" s="124">
        <f t="shared" si="86"/>
        <v>0</v>
      </c>
      <c r="AA166" s="124">
        <f t="shared" si="86"/>
        <v>0</v>
      </c>
      <c r="AB166" s="124">
        <f t="shared" si="86"/>
        <v>0</v>
      </c>
      <c r="AC166" s="124">
        <f t="shared" si="86"/>
        <v>0</v>
      </c>
      <c r="AD166" s="124">
        <f t="shared" si="86"/>
        <v>0</v>
      </c>
      <c r="AG166" s="507">
        <f>SUM(AG158:AG165)</f>
        <v>0</v>
      </c>
      <c r="AH166" s="507">
        <f>SUM(AH158:AH165)</f>
        <v>0</v>
      </c>
      <c r="AK166">
        <f>SUM(AK158:AK165)</f>
        <v>0</v>
      </c>
      <c r="AM166">
        <f>SUM(AM158:AM165)</f>
        <v>0</v>
      </c>
      <c r="AN166">
        <f>SUM(AN158:AN165)</f>
        <v>0</v>
      </c>
      <c r="AP166">
        <f>SUM(AP158:AP165)</f>
        <v>0</v>
      </c>
      <c r="AQ166">
        <f>SUM(AQ158:AQ165)</f>
        <v>0</v>
      </c>
      <c r="AS166">
        <f>SUM(AS158:AS165)</f>
        <v>0</v>
      </c>
      <c r="AT166">
        <f>SUM(AT158:AT165)</f>
        <v>0</v>
      </c>
      <c r="AV166">
        <f>SUM(AV158:AV165)</f>
        <v>0</v>
      </c>
      <c r="AW166" s="506">
        <f>SUM(AW158:AW165)</f>
        <v>0</v>
      </c>
    </row>
    <row r="167" spans="1:49" ht="15" customHeight="1">
      <c r="A167" s="108"/>
      <c r="B167" s="105"/>
      <c r="C167" s="105"/>
      <c r="D167" s="105"/>
      <c r="E167" s="105"/>
      <c r="F167" s="105"/>
      <c r="G167" s="105"/>
      <c r="H167" s="105"/>
      <c r="I167" s="105"/>
      <c r="J167" s="105"/>
      <c r="K167" s="105"/>
      <c r="L167" s="105"/>
      <c r="M167" s="105"/>
      <c r="N167" s="105"/>
      <c r="O167" s="105"/>
      <c r="P167" s="105"/>
      <c r="Q167" s="105"/>
      <c r="R167" s="105"/>
      <c r="S167" s="105"/>
      <c r="T167" s="105"/>
      <c r="U167" s="105"/>
      <c r="V167" s="105"/>
      <c r="W167" s="105"/>
      <c r="X167" s="105"/>
      <c r="Y167" s="105"/>
      <c r="Z167" s="105"/>
      <c r="AA167" s="105"/>
      <c r="AB167" s="105"/>
      <c r="AC167" s="105"/>
      <c r="AD167" s="105"/>
      <c r="AK167" t="s">
        <v>2650</v>
      </c>
      <c r="AL167" s="506">
        <f>SUM(AM166,AP166,AS166,AV166)</f>
        <v>0</v>
      </c>
      <c r="AM167" t="s">
        <v>2651</v>
      </c>
      <c r="AN167">
        <f>SUM(AK166,AN166,AQ166,AT166)</f>
        <v>0</v>
      </c>
    </row>
    <row r="168" spans="1:49" ht="24" customHeight="1">
      <c r="A168" s="108"/>
      <c r="B168" s="105"/>
      <c r="C168" s="754" t="s">
        <v>2611</v>
      </c>
      <c r="D168" s="754"/>
      <c r="E168" s="754"/>
      <c r="F168" s="754"/>
      <c r="G168" s="754"/>
      <c r="H168" s="754"/>
      <c r="I168" s="754"/>
      <c r="J168" s="754"/>
      <c r="K168" s="754"/>
      <c r="L168" s="754"/>
      <c r="M168" s="754"/>
      <c r="N168" s="754"/>
      <c r="O168" s="754"/>
      <c r="P168" s="754"/>
      <c r="Q168" s="754"/>
      <c r="R168" s="754"/>
      <c r="S168" s="754"/>
      <c r="T168" s="754"/>
      <c r="U168" s="754"/>
      <c r="V168" s="754"/>
      <c r="W168" s="754"/>
      <c r="X168" s="754"/>
      <c r="Y168" s="754"/>
      <c r="Z168" s="754"/>
      <c r="AA168" s="754"/>
      <c r="AB168" s="754"/>
      <c r="AC168" s="754"/>
      <c r="AD168" s="754"/>
      <c r="AK168" t="s">
        <v>2652</v>
      </c>
      <c r="AL168" s="507">
        <f>IF(AN167&gt;0,IF(SUM(S166)&gt;=SUM(V166,Y166,AB166),0,1),IF(SUM(S166)&lt;&gt;SUM(V166,Y166,AB166),1,0))</f>
        <v>0</v>
      </c>
      <c r="AM168" t="s">
        <v>2653</v>
      </c>
      <c r="AN168" s="507">
        <f>IF(AN167&gt;0,IF(SUM(T166)&gt;=SUM(W166,Z166,AC166),0,1),IF(SUM(T166)&lt;&gt;SUM(W166,Z166,AC166),1,0))</f>
        <v>0</v>
      </c>
      <c r="AO168" t="s">
        <v>2654</v>
      </c>
      <c r="AP168" s="507">
        <f>IF(AN167&gt;0,IF(SUM(U166)&gt;=SUM(X166,AA166,AD166),0,1),IF(SUM(U166)&lt;&gt;SUM(X166,AA166,AD166),1,0))</f>
        <v>0</v>
      </c>
    </row>
    <row r="169" spans="1:49" ht="60" customHeight="1">
      <c r="A169" s="108"/>
      <c r="B169" s="105"/>
      <c r="C169" s="851"/>
      <c r="D169" s="851"/>
      <c r="E169" s="851"/>
      <c r="F169" s="851"/>
      <c r="G169" s="851"/>
      <c r="H169" s="851"/>
      <c r="I169" s="851"/>
      <c r="J169" s="851"/>
      <c r="K169" s="851"/>
      <c r="L169" s="851"/>
      <c r="M169" s="851"/>
      <c r="N169" s="851"/>
      <c r="O169" s="851"/>
      <c r="P169" s="851"/>
      <c r="Q169" s="851"/>
      <c r="R169" s="851"/>
      <c r="S169" s="851"/>
      <c r="T169" s="851"/>
      <c r="U169" s="851"/>
      <c r="V169" s="851"/>
      <c r="W169" s="851"/>
      <c r="X169" s="851"/>
      <c r="Y169" s="851"/>
      <c r="Z169" s="851"/>
      <c r="AA169" s="851"/>
      <c r="AB169" s="851"/>
      <c r="AC169" s="851"/>
      <c r="AD169" s="851"/>
    </row>
    <row r="170" spans="1:49" ht="15" customHeight="1">
      <c r="A170" s="108"/>
      <c r="B170" s="794" t="str">
        <f>IF(AG166=0,"","Favor de ingresar toda la información requerida en la pregunta")</f>
        <v/>
      </c>
      <c r="C170" s="794"/>
      <c r="D170" s="794"/>
      <c r="E170" s="794"/>
      <c r="F170" s="794"/>
      <c r="G170" s="794"/>
      <c r="H170" s="794"/>
      <c r="I170" s="794"/>
      <c r="J170" s="794"/>
      <c r="K170" s="794"/>
      <c r="L170" s="794"/>
      <c r="M170" s="794"/>
      <c r="N170" s="794"/>
      <c r="O170" s="794"/>
      <c r="P170" s="794"/>
      <c r="Q170" s="794"/>
      <c r="R170" s="794"/>
      <c r="S170" s="794"/>
      <c r="T170" s="794"/>
      <c r="U170" s="794"/>
      <c r="V170" s="794"/>
      <c r="W170" s="794"/>
      <c r="X170" s="794"/>
      <c r="Y170" s="794"/>
      <c r="Z170" s="794"/>
      <c r="AA170" s="794"/>
      <c r="AB170" s="794"/>
      <c r="AC170" s="794"/>
      <c r="AD170" s="794"/>
      <c r="AE170" s="794"/>
    </row>
    <row r="171" spans="1:49" ht="15" customHeight="1">
      <c r="A171" s="108"/>
      <c r="B171" s="1087" t="str">
        <f>IF(COUNTIF(S158:AD165,"NS")&lt;&gt;0,"Alerta: debido a que cuenta con registros NS, debe proporcionar una justificación en el area de comentarios al final de la pregunta","")</f>
        <v/>
      </c>
      <c r="C171" s="1087"/>
      <c r="D171" s="1087"/>
      <c r="E171" s="1087"/>
      <c r="F171" s="1087"/>
      <c r="G171" s="1087"/>
      <c r="H171" s="1087"/>
      <c r="I171" s="1087"/>
      <c r="J171" s="1087"/>
      <c r="K171" s="1087"/>
      <c r="L171" s="1087"/>
      <c r="M171" s="1087"/>
      <c r="N171" s="1087"/>
      <c r="O171" s="1087"/>
      <c r="P171" s="1087"/>
      <c r="Q171" s="1087"/>
      <c r="R171" s="1087"/>
      <c r="S171" s="1087"/>
      <c r="T171" s="1087"/>
      <c r="U171" s="1087"/>
      <c r="V171" s="1087"/>
      <c r="W171" s="1087"/>
      <c r="X171" s="1087"/>
      <c r="Y171" s="1087"/>
      <c r="Z171" s="1087"/>
      <c r="AA171" s="1087"/>
      <c r="AB171" s="1087"/>
      <c r="AC171" s="1087"/>
      <c r="AD171" s="1087"/>
      <c r="AE171" s="1087"/>
    </row>
    <row r="172" spans="1:49" ht="15" customHeight="1">
      <c r="A172" s="108"/>
      <c r="B172" s="1003" t="str">
        <f>IF(AH166&gt;0,"Revise la información capturada, ya que tiene datos ingresados en celdas que están sombreadas","")</f>
        <v/>
      </c>
      <c r="C172" s="1003"/>
      <c r="D172" s="1003"/>
      <c r="E172" s="1003"/>
      <c r="F172" s="1003"/>
      <c r="G172" s="1003"/>
      <c r="H172" s="1003"/>
      <c r="I172" s="1003"/>
      <c r="J172" s="1003"/>
      <c r="K172" s="1003"/>
      <c r="L172" s="1003"/>
      <c r="M172" s="1003"/>
      <c r="N172" s="1003"/>
      <c r="O172" s="1003"/>
      <c r="P172" s="1003"/>
      <c r="Q172" s="1003"/>
      <c r="R172" s="1003"/>
      <c r="S172" s="1003"/>
      <c r="T172" s="1003"/>
      <c r="U172" s="1003"/>
      <c r="V172" s="1003"/>
      <c r="W172" s="1003"/>
      <c r="X172" s="1003"/>
      <c r="Y172" s="1003"/>
      <c r="Z172" s="1003"/>
      <c r="AA172" s="1003"/>
      <c r="AB172" s="1003"/>
      <c r="AC172" s="1003"/>
      <c r="AD172" s="1003"/>
      <c r="AE172" s="1003"/>
    </row>
    <row r="173" spans="1:49" ht="15" customHeight="1">
      <c r="A173" s="108"/>
      <c r="B173" s="1003" t="str">
        <f>IF(OR(AL167&gt;0,AL168&gt;0,AN168&gt;0,AP168&gt;0),"Favor de revisar la suma y consistencia de totales y/o subtotales por filas (numéricos y NS)","")</f>
        <v/>
      </c>
      <c r="C173" s="1003"/>
      <c r="D173" s="1003"/>
      <c r="E173" s="1003"/>
      <c r="F173" s="1003"/>
      <c r="G173" s="1003"/>
      <c r="H173" s="1003"/>
      <c r="I173" s="1003"/>
      <c r="J173" s="1003"/>
      <c r="K173" s="1003"/>
      <c r="L173" s="1003"/>
      <c r="M173" s="1003"/>
      <c r="N173" s="1003"/>
      <c r="O173" s="1003"/>
      <c r="P173" s="1003"/>
      <c r="Q173" s="1003"/>
      <c r="R173" s="1003"/>
      <c r="S173" s="1003"/>
      <c r="T173" s="1003"/>
      <c r="U173" s="1003"/>
      <c r="V173" s="1003"/>
      <c r="W173" s="1003"/>
      <c r="X173" s="1003"/>
      <c r="Y173" s="1003"/>
      <c r="Z173" s="1003"/>
      <c r="AA173" s="1003"/>
      <c r="AB173" s="1003"/>
      <c r="AC173" s="1003"/>
      <c r="AD173" s="1003"/>
      <c r="AE173" s="1003"/>
    </row>
    <row r="174" spans="1:49" ht="15" customHeight="1">
      <c r="A174" s="108"/>
      <c r="B174" s="1003" t="str">
        <f>IF(AW166=0,"","Las cantidades de Hombres y Mujeres por centro especializado debe corresponder con los datos reportados en la preg. 7.2")</f>
        <v/>
      </c>
      <c r="C174" s="1003"/>
      <c r="D174" s="1003"/>
      <c r="E174" s="1003"/>
      <c r="F174" s="1003"/>
      <c r="G174" s="1003"/>
      <c r="H174" s="1003"/>
      <c r="I174" s="1003"/>
      <c r="J174" s="1003"/>
      <c r="K174" s="1003"/>
      <c r="L174" s="1003"/>
      <c r="M174" s="1003"/>
      <c r="N174" s="1003"/>
      <c r="O174" s="1003"/>
      <c r="P174" s="1003"/>
      <c r="Q174" s="1003"/>
      <c r="R174" s="1003"/>
      <c r="S174" s="1003"/>
      <c r="T174" s="1003"/>
      <c r="U174" s="1003"/>
      <c r="V174" s="1003"/>
      <c r="W174" s="1003"/>
      <c r="X174" s="1003"/>
      <c r="Y174" s="1003"/>
      <c r="Z174" s="1003"/>
      <c r="AA174" s="1003"/>
      <c r="AB174" s="1003"/>
      <c r="AC174" s="1003"/>
      <c r="AD174" s="1003"/>
      <c r="AE174" s="1003"/>
    </row>
    <row r="175" spans="1:49" ht="15" customHeight="1">
      <c r="A175" s="108"/>
      <c r="B175" s="105"/>
      <c r="C175" s="105"/>
      <c r="D175" s="105"/>
      <c r="E175" s="105"/>
      <c r="F175" s="105"/>
      <c r="G175" s="105"/>
      <c r="H175" s="105"/>
      <c r="I175" s="105"/>
      <c r="J175" s="105"/>
      <c r="K175" s="105"/>
      <c r="L175" s="105"/>
      <c r="M175" s="105"/>
      <c r="N175" s="105"/>
      <c r="O175" s="105"/>
      <c r="P175" s="105"/>
      <c r="Q175" s="105"/>
      <c r="R175" s="105"/>
      <c r="S175" s="105"/>
      <c r="T175" s="105"/>
      <c r="U175" s="105"/>
      <c r="V175" s="105"/>
      <c r="W175" s="105"/>
      <c r="X175" s="105"/>
      <c r="Y175" s="105"/>
      <c r="Z175" s="105"/>
      <c r="AA175" s="105"/>
      <c r="AB175" s="105"/>
      <c r="AC175" s="105"/>
      <c r="AD175" s="105"/>
    </row>
    <row r="176" spans="1:49" ht="24" customHeight="1">
      <c r="A176" s="108" t="s">
        <v>4594</v>
      </c>
      <c r="B176" s="829" t="s">
        <v>4595</v>
      </c>
      <c r="C176" s="829"/>
      <c r="D176" s="829"/>
      <c r="E176" s="829"/>
      <c r="F176" s="829"/>
      <c r="G176" s="829"/>
      <c r="H176" s="829"/>
      <c r="I176" s="829"/>
      <c r="J176" s="829"/>
      <c r="K176" s="829"/>
      <c r="L176" s="829"/>
      <c r="M176" s="829"/>
      <c r="N176" s="829"/>
      <c r="O176" s="829"/>
      <c r="P176" s="829"/>
      <c r="Q176" s="829"/>
      <c r="R176" s="829"/>
      <c r="S176" s="829"/>
      <c r="T176" s="829"/>
      <c r="U176" s="829"/>
      <c r="V176" s="829"/>
      <c r="W176" s="829"/>
      <c r="X176" s="829"/>
      <c r="Y176" s="829"/>
      <c r="Z176" s="829"/>
      <c r="AA176" s="829"/>
      <c r="AB176" s="829"/>
      <c r="AC176" s="829"/>
      <c r="AD176" s="829"/>
    </row>
    <row r="177" spans="1:37" ht="15" customHeight="1">
      <c r="A177" s="108"/>
      <c r="B177" s="38"/>
      <c r="C177" s="830" t="s">
        <v>4596</v>
      </c>
      <c r="D177" s="830"/>
      <c r="E177" s="830"/>
      <c r="F177" s="830"/>
      <c r="G177" s="830"/>
      <c r="H177" s="830"/>
      <c r="I177" s="830"/>
      <c r="J177" s="830"/>
      <c r="K177" s="830"/>
      <c r="L177" s="830"/>
      <c r="M177" s="830"/>
      <c r="N177" s="830"/>
      <c r="O177" s="830"/>
      <c r="P177" s="830"/>
      <c r="Q177" s="830"/>
      <c r="R177" s="830"/>
      <c r="S177" s="830"/>
      <c r="T177" s="830"/>
      <c r="U177" s="830"/>
      <c r="V177" s="830"/>
      <c r="W177" s="830"/>
      <c r="X177" s="830"/>
      <c r="Y177" s="830"/>
      <c r="Z177" s="830"/>
      <c r="AA177" s="830"/>
      <c r="AB177" s="830"/>
      <c r="AC177" s="830"/>
      <c r="AD177" s="830"/>
    </row>
    <row r="178" spans="1:37" ht="24" customHeight="1">
      <c r="A178" s="195"/>
      <c r="B178" s="38"/>
      <c r="C178" s="830" t="s">
        <v>4597</v>
      </c>
      <c r="D178" s="830"/>
      <c r="E178" s="830"/>
      <c r="F178" s="830"/>
      <c r="G178" s="830"/>
      <c r="H178" s="830"/>
      <c r="I178" s="830"/>
      <c r="J178" s="830"/>
      <c r="K178" s="830"/>
      <c r="L178" s="830"/>
      <c r="M178" s="830"/>
      <c r="N178" s="830"/>
      <c r="O178" s="830"/>
      <c r="P178" s="830"/>
      <c r="Q178" s="830"/>
      <c r="R178" s="830"/>
      <c r="S178" s="830"/>
      <c r="T178" s="830"/>
      <c r="U178" s="830"/>
      <c r="V178" s="830"/>
      <c r="W178" s="830"/>
      <c r="X178" s="830"/>
      <c r="Y178" s="830"/>
      <c r="Z178" s="830"/>
      <c r="AA178" s="830"/>
      <c r="AB178" s="830"/>
      <c r="AC178" s="830"/>
      <c r="AD178" s="830"/>
    </row>
    <row r="179" spans="1:37" ht="15" customHeight="1">
      <c r="A179" s="108"/>
      <c r="B179" s="38"/>
      <c r="C179" s="38"/>
      <c r="D179" s="57"/>
      <c r="E179" s="57"/>
      <c r="F179" s="57"/>
      <c r="G179" s="57"/>
      <c r="H179" s="57"/>
      <c r="I179" s="57"/>
      <c r="J179" s="57"/>
      <c r="K179" s="57"/>
      <c r="L179" s="57"/>
      <c r="M179" s="57"/>
      <c r="N179" s="57"/>
      <c r="O179" s="57"/>
      <c r="P179" s="57"/>
      <c r="Q179" s="57"/>
      <c r="R179" s="57"/>
      <c r="S179" s="57"/>
      <c r="T179" s="57"/>
      <c r="U179" s="57"/>
      <c r="V179" s="57"/>
      <c r="W179" s="57"/>
      <c r="X179" s="57"/>
      <c r="Y179" s="57"/>
      <c r="Z179" s="57"/>
      <c r="AA179" s="57"/>
      <c r="AB179" s="57"/>
      <c r="AC179" s="57"/>
      <c r="AD179" s="57"/>
    </row>
    <row r="180" spans="1:37" ht="15" customHeight="1">
      <c r="A180" s="108"/>
      <c r="B180" s="38"/>
      <c r="C180" s="968" t="s">
        <v>4598</v>
      </c>
      <c r="D180" s="969"/>
      <c r="E180" s="969"/>
      <c r="F180" s="969"/>
      <c r="G180" s="969"/>
      <c r="H180" s="969"/>
      <c r="I180" s="969"/>
      <c r="J180" s="969"/>
      <c r="K180" s="969"/>
      <c r="L180" s="970"/>
      <c r="M180" s="732" t="s">
        <v>4563</v>
      </c>
      <c r="N180" s="732"/>
      <c r="O180" s="732"/>
      <c r="P180" s="732"/>
      <c r="Q180" s="732"/>
      <c r="R180" s="732"/>
      <c r="S180" s="732"/>
      <c r="T180" s="732"/>
      <c r="U180" s="732"/>
      <c r="V180" s="732"/>
      <c r="W180" s="732"/>
      <c r="X180" s="732"/>
      <c r="Y180" s="732"/>
      <c r="Z180" s="732"/>
      <c r="AA180" s="732"/>
      <c r="AB180" s="732"/>
      <c r="AC180" s="732"/>
      <c r="AD180" s="732"/>
    </row>
    <row r="181" spans="1:37" ht="15" customHeight="1">
      <c r="A181" s="108"/>
      <c r="B181" s="38"/>
      <c r="C181" s="971"/>
      <c r="D181" s="972"/>
      <c r="E181" s="972"/>
      <c r="F181" s="972"/>
      <c r="G181" s="972"/>
      <c r="H181" s="972"/>
      <c r="I181" s="972"/>
      <c r="J181" s="972"/>
      <c r="K181" s="972"/>
      <c r="L181" s="973"/>
      <c r="M181" s="987" t="s">
        <v>2628</v>
      </c>
      <c r="N181" s="988"/>
      <c r="O181" s="988"/>
      <c r="P181" s="988"/>
      <c r="Q181" s="988"/>
      <c r="R181" s="988"/>
      <c r="S181" s="989" t="s">
        <v>2629</v>
      </c>
      <c r="T181" s="990"/>
      <c r="U181" s="990"/>
      <c r="V181" s="990"/>
      <c r="W181" s="990"/>
      <c r="X181" s="990"/>
      <c r="Y181" s="989" t="s">
        <v>2630</v>
      </c>
      <c r="Z181" s="990"/>
      <c r="AA181" s="990"/>
      <c r="AB181" s="990"/>
      <c r="AC181" s="990"/>
      <c r="AD181" s="990"/>
      <c r="AG181" t="s">
        <v>2586</v>
      </c>
      <c r="AH181" t="s">
        <v>4599</v>
      </c>
      <c r="AI181" t="s">
        <v>2590</v>
      </c>
      <c r="AJ181" t="s">
        <v>3163</v>
      </c>
      <c r="AK181" t="s">
        <v>4564</v>
      </c>
    </row>
    <row r="182" spans="1:37" ht="15" customHeight="1">
      <c r="A182" s="108"/>
      <c r="B182" s="38"/>
      <c r="C182" s="44" t="s">
        <v>2516</v>
      </c>
      <c r="D182" s="796" t="s">
        <v>4600</v>
      </c>
      <c r="E182" s="796"/>
      <c r="F182" s="796"/>
      <c r="G182" s="796"/>
      <c r="H182" s="796"/>
      <c r="I182" s="796"/>
      <c r="J182" s="796"/>
      <c r="K182" s="796"/>
      <c r="L182" s="796"/>
      <c r="M182" s="749"/>
      <c r="N182" s="749"/>
      <c r="O182" s="749"/>
      <c r="P182" s="749"/>
      <c r="Q182" s="749"/>
      <c r="R182" s="749"/>
      <c r="S182" s="749"/>
      <c r="T182" s="749"/>
      <c r="U182" s="749"/>
      <c r="V182" s="749"/>
      <c r="W182" s="749"/>
      <c r="X182" s="749"/>
      <c r="Y182" s="749"/>
      <c r="Z182" s="749"/>
      <c r="AA182" s="749"/>
      <c r="AB182" s="749"/>
      <c r="AC182" s="749"/>
      <c r="AD182" s="749"/>
      <c r="AG182" s="506">
        <f>IF(OR($M$71=0,$M$71="NS",$M$71="NA"),0,IF(COUNTBLANK(M182:AD189)=120,0,1))</f>
        <v>0</v>
      </c>
      <c r="AH182" s="506">
        <f>IF(OR($M$71=0,$M$71="NS",$M$71="NA"),IF(COUNTBLANK(M182:AD189)=144,0,1),0)</f>
        <v>0</v>
      </c>
      <c r="AI182">
        <f t="shared" ref="AI182" si="87">COUNTIF(S182:AD182,"NS")</f>
        <v>0</v>
      </c>
      <c r="AJ182">
        <f t="shared" ref="AJ182" si="88">SUM(S182:AD182)</f>
        <v>0</v>
      </c>
      <c r="AK182">
        <f t="shared" ref="AK182" si="89">IF(COUNTIF(M182:AD182,"NA")=3,0,IF(COUNTA(M182:AD182)=0,0,IF(OR(AND(M182=0,AI182&gt;0),AND(M182="ns",AJ182&gt;0),AND(M182="ns",AI182=0,AJ182=0)),1,IF(OR(AND(M182&gt;0,AI182=2),AND(M182="ns",AI182=2),AND(M182="ns",AJ182=0,AI182&gt;0),M182=AJ182),0,1))))</f>
        <v>0</v>
      </c>
    </row>
    <row r="183" spans="1:37" ht="15" customHeight="1">
      <c r="A183" s="108"/>
      <c r="B183" s="38"/>
      <c r="C183" s="44" t="s">
        <v>2517</v>
      </c>
      <c r="D183" s="796" t="s">
        <v>4601</v>
      </c>
      <c r="E183" s="796"/>
      <c r="F183" s="796"/>
      <c r="G183" s="796"/>
      <c r="H183" s="796"/>
      <c r="I183" s="796"/>
      <c r="J183" s="796"/>
      <c r="K183" s="796"/>
      <c r="L183" s="796"/>
      <c r="M183" s="749"/>
      <c r="N183" s="749"/>
      <c r="O183" s="749"/>
      <c r="P183" s="749"/>
      <c r="Q183" s="749"/>
      <c r="R183" s="749"/>
      <c r="S183" s="749"/>
      <c r="T183" s="749"/>
      <c r="U183" s="749"/>
      <c r="V183" s="749"/>
      <c r="W183" s="749"/>
      <c r="X183" s="749"/>
      <c r="Y183" s="749"/>
      <c r="Z183" s="749"/>
      <c r="AA183" s="749"/>
      <c r="AB183" s="749"/>
      <c r="AC183" s="749"/>
      <c r="AD183" s="749"/>
      <c r="AI183">
        <f t="shared" ref="AI183:AI189" si="90">COUNTIF(S183:AD183,"NS")</f>
        <v>0</v>
      </c>
      <c r="AJ183">
        <f t="shared" ref="AJ183:AJ189" si="91">SUM(S183:AD183)</f>
        <v>0</v>
      </c>
      <c r="AK183">
        <f t="shared" ref="AK183:AK189" si="92">IF(COUNTIF(M183:AD183,"NA")=3,0,IF(COUNTA(M183:AD183)=0,0,IF(OR(AND(M183=0,AI183&gt;0),AND(M183="ns",AJ183&gt;0),AND(M183="ns",AI183=0,AJ183=0)),1,IF(OR(AND(M183&gt;0,AI183=2),AND(M183="ns",AI183=2),AND(M183="ns",AJ183=0,AI183&gt;0),M183=AJ183),0,1))))</f>
        <v>0</v>
      </c>
    </row>
    <row r="184" spans="1:37" ht="15" customHeight="1">
      <c r="A184" s="108"/>
      <c r="B184" s="38"/>
      <c r="C184" s="44" t="s">
        <v>2518</v>
      </c>
      <c r="D184" s="796" t="s">
        <v>4602</v>
      </c>
      <c r="E184" s="796"/>
      <c r="F184" s="796"/>
      <c r="G184" s="796"/>
      <c r="H184" s="796"/>
      <c r="I184" s="796"/>
      <c r="J184" s="796"/>
      <c r="K184" s="796"/>
      <c r="L184" s="796"/>
      <c r="M184" s="749"/>
      <c r="N184" s="749"/>
      <c r="O184" s="749"/>
      <c r="P184" s="749"/>
      <c r="Q184" s="749"/>
      <c r="R184" s="749"/>
      <c r="S184" s="749"/>
      <c r="T184" s="749"/>
      <c r="U184" s="749"/>
      <c r="V184" s="749"/>
      <c r="W184" s="749"/>
      <c r="X184" s="749"/>
      <c r="Y184" s="749"/>
      <c r="Z184" s="749"/>
      <c r="AA184" s="749"/>
      <c r="AB184" s="749"/>
      <c r="AC184" s="749"/>
      <c r="AD184" s="749"/>
      <c r="AI184">
        <f t="shared" si="90"/>
        <v>0</v>
      </c>
      <c r="AJ184">
        <f t="shared" si="91"/>
        <v>0</v>
      </c>
      <c r="AK184">
        <f t="shared" si="92"/>
        <v>0</v>
      </c>
    </row>
    <row r="185" spans="1:37" ht="15" customHeight="1">
      <c r="A185" s="108"/>
      <c r="B185" s="38"/>
      <c r="C185" s="44" t="s">
        <v>2519</v>
      </c>
      <c r="D185" s="796" t="s">
        <v>4603</v>
      </c>
      <c r="E185" s="796"/>
      <c r="F185" s="796"/>
      <c r="G185" s="796"/>
      <c r="H185" s="796"/>
      <c r="I185" s="796"/>
      <c r="J185" s="796"/>
      <c r="K185" s="796"/>
      <c r="L185" s="796"/>
      <c r="M185" s="749"/>
      <c r="N185" s="749"/>
      <c r="O185" s="749"/>
      <c r="P185" s="749"/>
      <c r="Q185" s="749"/>
      <c r="R185" s="749"/>
      <c r="S185" s="749"/>
      <c r="T185" s="749"/>
      <c r="U185" s="749"/>
      <c r="V185" s="749"/>
      <c r="W185" s="749"/>
      <c r="X185" s="749"/>
      <c r="Y185" s="749"/>
      <c r="Z185" s="749"/>
      <c r="AA185" s="749"/>
      <c r="AB185" s="749"/>
      <c r="AC185" s="749"/>
      <c r="AD185" s="749"/>
      <c r="AI185">
        <f t="shared" si="90"/>
        <v>0</v>
      </c>
      <c r="AJ185">
        <f t="shared" si="91"/>
        <v>0</v>
      </c>
      <c r="AK185">
        <f t="shared" si="92"/>
        <v>0</v>
      </c>
    </row>
    <row r="186" spans="1:37" ht="15" customHeight="1">
      <c r="A186" s="108"/>
      <c r="B186" s="38"/>
      <c r="C186" s="44" t="s">
        <v>2520</v>
      </c>
      <c r="D186" s="796" t="s">
        <v>4604</v>
      </c>
      <c r="E186" s="796"/>
      <c r="F186" s="796"/>
      <c r="G186" s="796"/>
      <c r="H186" s="796"/>
      <c r="I186" s="796"/>
      <c r="J186" s="796"/>
      <c r="K186" s="796"/>
      <c r="L186" s="796"/>
      <c r="M186" s="749"/>
      <c r="N186" s="749"/>
      <c r="O186" s="749"/>
      <c r="P186" s="749"/>
      <c r="Q186" s="749"/>
      <c r="R186" s="749"/>
      <c r="S186" s="749"/>
      <c r="T186" s="749"/>
      <c r="U186" s="749"/>
      <c r="V186" s="749"/>
      <c r="W186" s="749"/>
      <c r="X186" s="749"/>
      <c r="Y186" s="749"/>
      <c r="Z186" s="749"/>
      <c r="AA186" s="749"/>
      <c r="AB186" s="749"/>
      <c r="AC186" s="749"/>
      <c r="AD186" s="749"/>
      <c r="AI186">
        <f t="shared" si="90"/>
        <v>0</v>
      </c>
      <c r="AJ186">
        <f t="shared" si="91"/>
        <v>0</v>
      </c>
      <c r="AK186">
        <f t="shared" si="92"/>
        <v>0</v>
      </c>
    </row>
    <row r="187" spans="1:37" ht="15" customHeight="1">
      <c r="A187" s="108"/>
      <c r="B187" s="38"/>
      <c r="C187" s="44" t="s">
        <v>2521</v>
      </c>
      <c r="D187" s="796" t="s">
        <v>4605</v>
      </c>
      <c r="E187" s="796"/>
      <c r="F187" s="796"/>
      <c r="G187" s="796"/>
      <c r="H187" s="796"/>
      <c r="I187" s="796"/>
      <c r="J187" s="796"/>
      <c r="K187" s="796"/>
      <c r="L187" s="796"/>
      <c r="M187" s="749"/>
      <c r="N187" s="749"/>
      <c r="O187" s="749"/>
      <c r="P187" s="749"/>
      <c r="Q187" s="749"/>
      <c r="R187" s="749"/>
      <c r="S187" s="749"/>
      <c r="T187" s="749"/>
      <c r="U187" s="749"/>
      <c r="V187" s="749"/>
      <c r="W187" s="749"/>
      <c r="X187" s="749"/>
      <c r="Y187" s="749"/>
      <c r="Z187" s="749"/>
      <c r="AA187" s="749"/>
      <c r="AB187" s="749"/>
      <c r="AC187" s="749"/>
      <c r="AD187" s="749"/>
      <c r="AI187">
        <f t="shared" si="90"/>
        <v>0</v>
      </c>
      <c r="AJ187">
        <f t="shared" si="91"/>
        <v>0</v>
      </c>
      <c r="AK187">
        <f t="shared" si="92"/>
        <v>0</v>
      </c>
    </row>
    <row r="188" spans="1:37" ht="15" customHeight="1">
      <c r="A188" s="108"/>
      <c r="B188" s="38"/>
      <c r="C188" s="44" t="s">
        <v>2522</v>
      </c>
      <c r="D188" s="796" t="s">
        <v>4606</v>
      </c>
      <c r="E188" s="796"/>
      <c r="F188" s="796"/>
      <c r="G188" s="796"/>
      <c r="H188" s="796"/>
      <c r="I188" s="796"/>
      <c r="J188" s="796"/>
      <c r="K188" s="796"/>
      <c r="L188" s="796"/>
      <c r="M188" s="749"/>
      <c r="N188" s="749"/>
      <c r="O188" s="749"/>
      <c r="P188" s="749"/>
      <c r="Q188" s="749"/>
      <c r="R188" s="749"/>
      <c r="S188" s="749"/>
      <c r="T188" s="749"/>
      <c r="U188" s="749"/>
      <c r="V188" s="749"/>
      <c r="W188" s="749"/>
      <c r="X188" s="749"/>
      <c r="Y188" s="749"/>
      <c r="Z188" s="749"/>
      <c r="AA188" s="749"/>
      <c r="AB188" s="749"/>
      <c r="AC188" s="749"/>
      <c r="AD188" s="749"/>
      <c r="AI188">
        <f t="shared" si="90"/>
        <v>0</v>
      </c>
      <c r="AJ188">
        <f t="shared" si="91"/>
        <v>0</v>
      </c>
      <c r="AK188">
        <f t="shared" si="92"/>
        <v>0</v>
      </c>
    </row>
    <row r="189" spans="1:37" ht="15" customHeight="1">
      <c r="A189" s="186"/>
      <c r="B189" s="57"/>
      <c r="C189" s="44" t="s">
        <v>2523</v>
      </c>
      <c r="D189" s="796" t="s">
        <v>201</v>
      </c>
      <c r="E189" s="796"/>
      <c r="F189" s="796"/>
      <c r="G189" s="796"/>
      <c r="H189" s="796"/>
      <c r="I189" s="796"/>
      <c r="J189" s="796"/>
      <c r="K189" s="796"/>
      <c r="L189" s="796"/>
      <c r="M189" s="749"/>
      <c r="N189" s="749"/>
      <c r="O189" s="749"/>
      <c r="P189" s="749"/>
      <c r="Q189" s="749"/>
      <c r="R189" s="749"/>
      <c r="S189" s="749"/>
      <c r="T189" s="749"/>
      <c r="U189" s="749"/>
      <c r="V189" s="749"/>
      <c r="W189" s="749"/>
      <c r="X189" s="749"/>
      <c r="Y189" s="749"/>
      <c r="Z189" s="749"/>
      <c r="AA189" s="749"/>
      <c r="AB189" s="749"/>
      <c r="AC189" s="749"/>
      <c r="AD189" s="749"/>
      <c r="AI189">
        <f t="shared" si="90"/>
        <v>0</v>
      </c>
      <c r="AJ189">
        <f t="shared" si="91"/>
        <v>0</v>
      </c>
      <c r="AK189">
        <f t="shared" si="92"/>
        <v>0</v>
      </c>
    </row>
    <row r="190" spans="1:37" ht="15" customHeight="1">
      <c r="A190" s="108"/>
      <c r="B190" s="38"/>
      <c r="C190" s="38"/>
      <c r="D190" s="38"/>
      <c r="E190" s="38"/>
      <c r="F190" s="38"/>
      <c r="G190" s="38"/>
      <c r="H190" s="38"/>
      <c r="I190" s="38"/>
      <c r="J190" s="38"/>
      <c r="K190" s="38"/>
      <c r="L190" s="99" t="s">
        <v>2649</v>
      </c>
      <c r="M190" s="736">
        <f>IF(AND(SUM(M182:M189)=0,COUNTIF(M182:M189,"NS")&gt;0),"NS",IF(AND(SUM(M182:M189)=0,COUNTIF(M182:M189,0)&gt;0),0,IF(AND(SUM(M182:M189)=0,COUNTIF(M182:M189,"NA")&gt;0),"NA",SUM(M182:M189))))</f>
        <v>0</v>
      </c>
      <c r="N190" s="1085"/>
      <c r="O190" s="1085"/>
      <c r="P190" s="1085"/>
      <c r="Q190" s="1085"/>
      <c r="R190" s="1086"/>
      <c r="S190" s="736">
        <f>IF(AND(SUM(S182:S189)=0,COUNTIF(S182:S189,"NS")&gt;0),"NS",IF(AND(SUM(S182:S189)=0,COUNTIF(S182:S189,0)&gt;0),0,IF(AND(SUM(S182:S189)=0,COUNTIF(S182:S189,"NA")&gt;0),"NA",SUM(S182:S189))))</f>
        <v>0</v>
      </c>
      <c r="T190" s="1085"/>
      <c r="U190" s="1085"/>
      <c r="V190" s="1085"/>
      <c r="W190" s="1085"/>
      <c r="X190" s="1086"/>
      <c r="Y190" s="736">
        <f>IF(AND(SUM(Y182:Y189)=0,COUNTIF(Y182:Y189,"NS")&gt;0),"NS",IF(AND(SUM(Y182:Y189)=0,COUNTIF(Y182:Y189,0)&gt;0),0,IF(AND(SUM(Y182:Y189)=0,COUNTIF(Y182:Y189,"NA")&gt;0),"NA",SUM(Y182:Y189))))</f>
        <v>0</v>
      </c>
      <c r="Z190" s="1085"/>
      <c r="AA190" s="1085"/>
      <c r="AB190" s="1085"/>
      <c r="AC190" s="1085"/>
      <c r="AD190" s="1086"/>
      <c r="AI190">
        <f>SUM(AI182:AI189)</f>
        <v>0</v>
      </c>
      <c r="AK190" s="506">
        <f>SUM(AK182:AK189)</f>
        <v>0</v>
      </c>
    </row>
    <row r="191" spans="1:37" ht="15" customHeight="1">
      <c r="A191" s="10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row>
    <row r="192" spans="1:37" ht="24" customHeight="1">
      <c r="A192" s="108"/>
      <c r="B192" s="38"/>
      <c r="C192" s="754" t="s">
        <v>2611</v>
      </c>
      <c r="D192" s="754"/>
      <c r="E192" s="754"/>
      <c r="F192" s="754"/>
      <c r="G192" s="754"/>
      <c r="H192" s="754"/>
      <c r="I192" s="754"/>
      <c r="J192" s="754"/>
      <c r="K192" s="754"/>
      <c r="L192" s="754"/>
      <c r="M192" s="754"/>
      <c r="N192" s="754"/>
      <c r="O192" s="754"/>
      <c r="P192" s="754"/>
      <c r="Q192" s="754"/>
      <c r="R192" s="754"/>
      <c r="S192" s="754"/>
      <c r="T192" s="754"/>
      <c r="U192" s="754"/>
      <c r="V192" s="754"/>
      <c r="W192" s="754"/>
      <c r="X192" s="754"/>
      <c r="Y192" s="754"/>
      <c r="Z192" s="754"/>
      <c r="AA192" s="754"/>
      <c r="AB192" s="754"/>
      <c r="AC192" s="754"/>
      <c r="AD192" s="754"/>
    </row>
    <row r="193" spans="1:37" ht="60" customHeight="1">
      <c r="A193" s="108"/>
      <c r="B193" s="38"/>
      <c r="C193" s="851"/>
      <c r="D193" s="851"/>
      <c r="E193" s="851"/>
      <c r="F193" s="851"/>
      <c r="G193" s="851"/>
      <c r="H193" s="851"/>
      <c r="I193" s="851"/>
      <c r="J193" s="851"/>
      <c r="K193" s="851"/>
      <c r="L193" s="851"/>
      <c r="M193" s="851"/>
      <c r="N193" s="851"/>
      <c r="O193" s="851"/>
      <c r="P193" s="851"/>
      <c r="Q193" s="851"/>
      <c r="R193" s="851"/>
      <c r="S193" s="851"/>
      <c r="T193" s="851"/>
      <c r="U193" s="851"/>
      <c r="V193" s="851"/>
      <c r="W193" s="851"/>
      <c r="X193" s="851"/>
      <c r="Y193" s="851"/>
      <c r="Z193" s="851"/>
      <c r="AA193" s="851"/>
      <c r="AB193" s="851"/>
      <c r="AC193" s="851"/>
      <c r="AD193" s="851"/>
    </row>
    <row r="194" spans="1:37" ht="15" customHeight="1">
      <c r="A194" s="108"/>
      <c r="B194" s="794" t="str">
        <f>IF(AG182=0,"","Favor de ingresar toda la información requerida en la pregunta")</f>
        <v/>
      </c>
      <c r="C194" s="794"/>
      <c r="D194" s="794"/>
      <c r="E194" s="794"/>
      <c r="F194" s="794"/>
      <c r="G194" s="794"/>
      <c r="H194" s="794"/>
      <c r="I194" s="794"/>
      <c r="J194" s="794"/>
      <c r="K194" s="794"/>
      <c r="L194" s="794"/>
      <c r="M194" s="794"/>
      <c r="N194" s="794"/>
      <c r="O194" s="794"/>
      <c r="P194" s="794"/>
      <c r="Q194" s="794"/>
      <c r="R194" s="794"/>
      <c r="S194" s="794"/>
      <c r="T194" s="794"/>
      <c r="U194" s="794"/>
      <c r="V194" s="794"/>
      <c r="W194" s="794"/>
      <c r="X194" s="794"/>
      <c r="Y194" s="794"/>
      <c r="Z194" s="794"/>
      <c r="AA194" s="794"/>
      <c r="AB194" s="794"/>
      <c r="AC194" s="794"/>
      <c r="AD194" s="794"/>
      <c r="AE194" s="794"/>
    </row>
    <row r="195" spans="1:37" ht="15" customHeight="1">
      <c r="A195" s="108"/>
      <c r="B195" s="1087" t="str">
        <f>IF(OR($M71=0,$M71="NS",$M71="NA"),"",IF(COUNTIF(M182:AD189,"NS")&lt;&gt;0,"Alerta: debido a que cuenta con registros NS, debe proporcionar una justificación en el area de comentarios al final de la pregunta",""))</f>
        <v/>
      </c>
      <c r="C195" s="1087"/>
      <c r="D195" s="1087"/>
      <c r="E195" s="1087"/>
      <c r="F195" s="1087"/>
      <c r="G195" s="1087"/>
      <c r="H195" s="1087"/>
      <c r="I195" s="1087"/>
      <c r="J195" s="1087"/>
      <c r="K195" s="1087"/>
      <c r="L195" s="1087"/>
      <c r="M195" s="1087"/>
      <c r="N195" s="1087"/>
      <c r="O195" s="1087"/>
      <c r="P195" s="1087"/>
      <c r="Q195" s="1087"/>
      <c r="R195" s="1087"/>
      <c r="S195" s="1087"/>
      <c r="T195" s="1087"/>
      <c r="U195" s="1087"/>
      <c r="V195" s="1087"/>
      <c r="W195" s="1087"/>
      <c r="X195" s="1087"/>
      <c r="Y195" s="1087"/>
      <c r="Z195" s="1087"/>
      <c r="AA195" s="1087"/>
      <c r="AB195" s="1087"/>
      <c r="AC195" s="1087"/>
      <c r="AD195" s="1087"/>
      <c r="AE195" s="1087"/>
    </row>
    <row r="196" spans="1:37" ht="15" customHeight="1">
      <c r="A196" s="108"/>
      <c r="B196" s="1003" t="str">
        <f>IF(AH182&gt;0,"Revise la información capturada, ya que tiene datos ingresados en celdas que están sombreadas","")</f>
        <v/>
      </c>
      <c r="C196" s="1003"/>
      <c r="D196" s="1003"/>
      <c r="E196" s="1003"/>
      <c r="F196" s="1003"/>
      <c r="G196" s="1003"/>
      <c r="H196" s="1003"/>
      <c r="I196" s="1003"/>
      <c r="J196" s="1003"/>
      <c r="K196" s="1003"/>
      <c r="L196" s="1003"/>
      <c r="M196" s="1003"/>
      <c r="N196" s="1003"/>
      <c r="O196" s="1003"/>
      <c r="P196" s="1003"/>
      <c r="Q196" s="1003"/>
      <c r="R196" s="1003"/>
      <c r="S196" s="1003"/>
      <c r="T196" s="1003"/>
      <c r="U196" s="1003"/>
      <c r="V196" s="1003"/>
      <c r="W196" s="1003"/>
      <c r="X196" s="1003"/>
      <c r="Y196" s="1003"/>
      <c r="Z196" s="1003"/>
      <c r="AA196" s="1003"/>
      <c r="AB196" s="1003"/>
      <c r="AC196" s="1003"/>
      <c r="AD196" s="1003"/>
      <c r="AE196" s="1003"/>
    </row>
    <row r="197" spans="1:37" ht="15" customHeight="1">
      <c r="A197" s="108"/>
      <c r="B197" s="1003" t="str">
        <f>IF(OR($M71=0,$M71="NS",$M71="NA"),"",IF(AK190&gt;0,"Favor de revisar la suma y consistencia de totales y/o subtotales por filas (numéricos y NS)",""))</f>
        <v/>
      </c>
      <c r="C197" s="1003"/>
      <c r="D197" s="1003"/>
      <c r="E197" s="1003"/>
      <c r="F197" s="1003"/>
      <c r="G197" s="1003"/>
      <c r="H197" s="1003"/>
      <c r="I197" s="1003"/>
      <c r="J197" s="1003"/>
      <c r="K197" s="1003"/>
      <c r="L197" s="1003"/>
      <c r="M197" s="1003"/>
      <c r="N197" s="1003"/>
      <c r="O197" s="1003"/>
      <c r="P197" s="1003"/>
      <c r="Q197" s="1003"/>
      <c r="R197" s="1003"/>
      <c r="S197" s="1003"/>
      <c r="T197" s="1003"/>
      <c r="U197" s="1003"/>
      <c r="V197" s="1003"/>
      <c r="W197" s="1003"/>
      <c r="X197" s="1003"/>
      <c r="Y197" s="1003"/>
      <c r="Z197" s="1003"/>
      <c r="AA197" s="1003"/>
      <c r="AB197" s="1003"/>
      <c r="AC197" s="1003"/>
      <c r="AD197" s="1003"/>
      <c r="AE197" s="1003"/>
    </row>
    <row r="198" spans="1:37" ht="15" customHeight="1">
      <c r="A198" s="108"/>
      <c r="B198" s="1003" t="str">
        <f>IF(OR($M$71=0,$M$71="NS",$M$71="NA"),"",IF(AND($M$71=M190,$S$71=S190,$Y$71=Y190),"","Las cantidades de Hombres y Mujeres debe corresponder con los datos reportados en la preg. 7.2"))</f>
        <v/>
      </c>
      <c r="C198" s="1003"/>
      <c r="D198" s="1003"/>
      <c r="E198" s="1003"/>
      <c r="F198" s="1003"/>
      <c r="G198" s="1003"/>
      <c r="H198" s="1003"/>
      <c r="I198" s="1003"/>
      <c r="J198" s="1003"/>
      <c r="K198" s="1003"/>
      <c r="L198" s="1003"/>
      <c r="M198" s="1003"/>
      <c r="N198" s="1003"/>
      <c r="O198" s="1003"/>
      <c r="P198" s="1003"/>
      <c r="Q198" s="1003"/>
      <c r="R198" s="1003"/>
      <c r="S198" s="1003"/>
      <c r="T198" s="1003"/>
      <c r="U198" s="1003"/>
      <c r="V198" s="1003"/>
      <c r="W198" s="1003"/>
      <c r="X198" s="1003"/>
      <c r="Y198" s="1003"/>
      <c r="Z198" s="1003"/>
      <c r="AA198" s="1003"/>
      <c r="AB198" s="1003"/>
      <c r="AC198" s="1003"/>
      <c r="AD198" s="1003"/>
      <c r="AE198" s="1003"/>
    </row>
    <row r="199" spans="1:37" ht="15" customHeight="1">
      <c r="A199" s="10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row>
    <row r="200" spans="1:37" ht="24" customHeight="1">
      <c r="A200" s="108" t="s">
        <v>4607</v>
      </c>
      <c r="B200" s="829" t="s">
        <v>4608</v>
      </c>
      <c r="C200" s="829"/>
      <c r="D200" s="829"/>
      <c r="E200" s="829"/>
      <c r="F200" s="829"/>
      <c r="G200" s="829"/>
      <c r="H200" s="829"/>
      <c r="I200" s="829"/>
      <c r="J200" s="829"/>
      <c r="K200" s="829"/>
      <c r="L200" s="829"/>
      <c r="M200" s="829"/>
      <c r="N200" s="829"/>
      <c r="O200" s="829"/>
      <c r="P200" s="829"/>
      <c r="Q200" s="829"/>
      <c r="R200" s="829"/>
      <c r="S200" s="829"/>
      <c r="T200" s="829"/>
      <c r="U200" s="829"/>
      <c r="V200" s="829"/>
      <c r="W200" s="829"/>
      <c r="X200" s="829"/>
      <c r="Y200" s="829"/>
      <c r="Z200" s="829"/>
      <c r="AA200" s="829"/>
      <c r="AB200" s="829"/>
      <c r="AC200" s="829"/>
      <c r="AD200" s="829"/>
    </row>
    <row r="201" spans="1:37" ht="24" customHeight="1">
      <c r="A201" s="108"/>
      <c r="B201" s="38"/>
      <c r="C201" s="830" t="s">
        <v>4609</v>
      </c>
      <c r="D201" s="830"/>
      <c r="E201" s="830"/>
      <c r="F201" s="830"/>
      <c r="G201" s="830"/>
      <c r="H201" s="830"/>
      <c r="I201" s="830"/>
      <c r="J201" s="830"/>
      <c r="K201" s="830"/>
      <c r="L201" s="830"/>
      <c r="M201" s="830"/>
      <c r="N201" s="830"/>
      <c r="O201" s="830"/>
      <c r="P201" s="830"/>
      <c r="Q201" s="830"/>
      <c r="R201" s="830"/>
      <c r="S201" s="830"/>
      <c r="T201" s="830"/>
      <c r="U201" s="830"/>
      <c r="V201" s="830"/>
      <c r="W201" s="830"/>
      <c r="X201" s="830"/>
      <c r="Y201" s="830"/>
      <c r="Z201" s="830"/>
      <c r="AA201" s="830"/>
      <c r="AB201" s="830"/>
      <c r="AC201" s="830"/>
      <c r="AD201" s="830"/>
    </row>
    <row r="202" spans="1:37" ht="15" customHeight="1">
      <c r="A202" s="186"/>
      <c r="B202" s="57"/>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row>
    <row r="203" spans="1:37" ht="15" customHeight="1">
      <c r="A203" s="186"/>
      <c r="B203" s="57"/>
      <c r="C203" s="880" t="s">
        <v>4610</v>
      </c>
      <c r="D203" s="880"/>
      <c r="E203" s="880"/>
      <c r="F203" s="880"/>
      <c r="G203" s="880"/>
      <c r="H203" s="880"/>
      <c r="I203" s="880"/>
      <c r="J203" s="880"/>
      <c r="K203" s="880"/>
      <c r="L203" s="880"/>
      <c r="M203" s="732" t="s">
        <v>4563</v>
      </c>
      <c r="N203" s="732"/>
      <c r="O203" s="732"/>
      <c r="P203" s="732"/>
      <c r="Q203" s="732"/>
      <c r="R203" s="732"/>
      <c r="S203" s="732"/>
      <c r="T203" s="732"/>
      <c r="U203" s="732"/>
      <c r="V203" s="732"/>
      <c r="W203" s="732"/>
      <c r="X203" s="732"/>
      <c r="Y203" s="732"/>
      <c r="Z203" s="732"/>
      <c r="AA203" s="732"/>
      <c r="AB203" s="732"/>
      <c r="AC203" s="732"/>
      <c r="AD203" s="732"/>
    </row>
    <row r="204" spans="1:37" ht="15" customHeight="1">
      <c r="A204" s="186"/>
      <c r="B204" s="57"/>
      <c r="C204" s="880"/>
      <c r="D204" s="880"/>
      <c r="E204" s="880"/>
      <c r="F204" s="880"/>
      <c r="G204" s="880"/>
      <c r="H204" s="880"/>
      <c r="I204" s="880"/>
      <c r="J204" s="880"/>
      <c r="K204" s="880"/>
      <c r="L204" s="880"/>
      <c r="M204" s="987" t="s">
        <v>2628</v>
      </c>
      <c r="N204" s="988"/>
      <c r="O204" s="988"/>
      <c r="P204" s="988"/>
      <c r="Q204" s="988"/>
      <c r="R204" s="988"/>
      <c r="S204" s="989" t="s">
        <v>2629</v>
      </c>
      <c r="T204" s="990"/>
      <c r="U204" s="990"/>
      <c r="V204" s="990"/>
      <c r="W204" s="990"/>
      <c r="X204" s="990"/>
      <c r="Y204" s="989" t="s">
        <v>2630</v>
      </c>
      <c r="Z204" s="990"/>
      <c r="AA204" s="990"/>
      <c r="AB204" s="990"/>
      <c r="AC204" s="990"/>
      <c r="AD204" s="990"/>
      <c r="AG204" t="s">
        <v>2586</v>
      </c>
      <c r="AH204" t="s">
        <v>4599</v>
      </c>
      <c r="AI204" t="s">
        <v>2590</v>
      </c>
      <c r="AJ204" t="s">
        <v>3163</v>
      </c>
      <c r="AK204" t="s">
        <v>4564</v>
      </c>
    </row>
    <row r="205" spans="1:37" ht="15" customHeight="1">
      <c r="A205" s="166"/>
      <c r="B205" s="57"/>
      <c r="C205" s="97" t="s">
        <v>2516</v>
      </c>
      <c r="D205" s="813" t="s">
        <v>3099</v>
      </c>
      <c r="E205" s="814"/>
      <c r="F205" s="814"/>
      <c r="G205" s="814"/>
      <c r="H205" s="814"/>
      <c r="I205" s="814"/>
      <c r="J205" s="814"/>
      <c r="K205" s="814"/>
      <c r="L205" s="815"/>
      <c r="M205" s="749"/>
      <c r="N205" s="749"/>
      <c r="O205" s="749"/>
      <c r="P205" s="749"/>
      <c r="Q205" s="749"/>
      <c r="R205" s="749"/>
      <c r="S205" s="749"/>
      <c r="T205" s="749"/>
      <c r="U205" s="749"/>
      <c r="V205" s="749"/>
      <c r="W205" s="749"/>
      <c r="X205" s="749"/>
      <c r="Y205" s="749"/>
      <c r="Z205" s="749"/>
      <c r="AA205" s="749"/>
      <c r="AB205" s="749"/>
      <c r="AC205" s="749"/>
      <c r="AD205" s="749"/>
      <c r="AG205" s="506">
        <f>IF(OR($M$71=0,$M$71="NS",$M$71="NA"),0,IF(COUNTA(M205:AD213)=27,0,1))</f>
        <v>0</v>
      </c>
      <c r="AH205" s="506">
        <f>IF(OR($M$71=0,$M$71="NS",$M$71="NA"),IF(COUNTA(M205:AD213)=0,0,1),0)</f>
        <v>0</v>
      </c>
      <c r="AI205">
        <f t="shared" ref="AI205" si="93">COUNTIF(S205:AD205,"NS")</f>
        <v>0</v>
      </c>
      <c r="AJ205">
        <f t="shared" ref="AJ205" si="94">SUM(S205:AD205)</f>
        <v>0</v>
      </c>
      <c r="AK205">
        <f t="shared" ref="AK205" si="95">IF(COUNTIF(M205:AD205,"NA")=3,0,IF(COUNTA(M205:AD205)=0,0,IF(OR(AND(M205=0,AI205&gt;0),AND(M205="ns",AJ205&gt;0),AND(M205="ns",AI205=0,AJ205=0)),1,IF(OR(AND(M205&gt;0,AI205=2),AND(M205="ns",AI205=2),AND(M205="ns",AJ205=0,AI205&gt;0),M205=AJ205),0,1))))</f>
        <v>0</v>
      </c>
    </row>
    <row r="206" spans="1:37" ht="15" customHeight="1">
      <c r="A206" s="166"/>
      <c r="B206" s="57"/>
      <c r="C206" s="98" t="s">
        <v>2517</v>
      </c>
      <c r="D206" s="813" t="s">
        <v>3102</v>
      </c>
      <c r="E206" s="814"/>
      <c r="F206" s="814"/>
      <c r="G206" s="814"/>
      <c r="H206" s="814"/>
      <c r="I206" s="814"/>
      <c r="J206" s="814"/>
      <c r="K206" s="814"/>
      <c r="L206" s="815"/>
      <c r="M206" s="749"/>
      <c r="N206" s="749"/>
      <c r="O206" s="749"/>
      <c r="P206" s="749"/>
      <c r="Q206" s="749"/>
      <c r="R206" s="749"/>
      <c r="S206" s="749"/>
      <c r="T206" s="749"/>
      <c r="U206" s="749"/>
      <c r="V206" s="749"/>
      <c r="W206" s="749"/>
      <c r="X206" s="749"/>
      <c r="Y206" s="749"/>
      <c r="Z206" s="749"/>
      <c r="AA206" s="749"/>
      <c r="AB206" s="749"/>
      <c r="AC206" s="749"/>
      <c r="AD206" s="749"/>
      <c r="AI206">
        <f t="shared" ref="AI206:AI213" si="96">COUNTIF(S206:AD206,"NS")</f>
        <v>0</v>
      </c>
      <c r="AJ206">
        <f t="shared" ref="AJ206:AJ213" si="97">SUM(S206:AD206)</f>
        <v>0</v>
      </c>
      <c r="AK206">
        <f t="shared" ref="AK206:AK213" si="98">IF(COUNTIF(M206:AD206,"NA")=3,0,IF(COUNTA(M206:AD206)=0,0,IF(OR(AND(M206=0,AI206&gt;0),AND(M206="ns",AJ206&gt;0),AND(M206="ns",AI206=0,AJ206=0)),1,IF(OR(AND(M206&gt;0,AI206=2),AND(M206="ns",AI206=2),AND(M206="ns",AJ206=0,AI206&gt;0),M206=AJ206),0,1))))</f>
        <v>0</v>
      </c>
    </row>
    <row r="207" spans="1:37" ht="15" customHeight="1">
      <c r="A207" s="166"/>
      <c r="B207" s="57"/>
      <c r="C207" s="98" t="s">
        <v>2518</v>
      </c>
      <c r="D207" s="813" t="s">
        <v>3105</v>
      </c>
      <c r="E207" s="814"/>
      <c r="F207" s="814"/>
      <c r="G207" s="814"/>
      <c r="H207" s="814"/>
      <c r="I207" s="814"/>
      <c r="J207" s="814"/>
      <c r="K207" s="814"/>
      <c r="L207" s="815"/>
      <c r="M207" s="749"/>
      <c r="N207" s="749"/>
      <c r="O207" s="749"/>
      <c r="P207" s="749"/>
      <c r="Q207" s="749"/>
      <c r="R207" s="749"/>
      <c r="S207" s="749"/>
      <c r="T207" s="749"/>
      <c r="U207" s="749"/>
      <c r="V207" s="749"/>
      <c r="W207" s="749"/>
      <c r="X207" s="749"/>
      <c r="Y207" s="749"/>
      <c r="Z207" s="749"/>
      <c r="AA207" s="749"/>
      <c r="AB207" s="749"/>
      <c r="AC207" s="749"/>
      <c r="AD207" s="749"/>
      <c r="AI207">
        <f t="shared" si="96"/>
        <v>0</v>
      </c>
      <c r="AJ207">
        <f t="shared" si="97"/>
        <v>0</v>
      </c>
      <c r="AK207">
        <f t="shared" si="98"/>
        <v>0</v>
      </c>
    </row>
    <row r="208" spans="1:37" ht="15" customHeight="1">
      <c r="A208" s="166"/>
      <c r="B208" s="57"/>
      <c r="C208" s="98" t="s">
        <v>2519</v>
      </c>
      <c r="D208" s="813" t="s">
        <v>3108</v>
      </c>
      <c r="E208" s="814"/>
      <c r="F208" s="814"/>
      <c r="G208" s="814"/>
      <c r="H208" s="814"/>
      <c r="I208" s="814"/>
      <c r="J208" s="814"/>
      <c r="K208" s="814"/>
      <c r="L208" s="815"/>
      <c r="M208" s="749"/>
      <c r="N208" s="749"/>
      <c r="O208" s="749"/>
      <c r="P208" s="749"/>
      <c r="Q208" s="749"/>
      <c r="R208" s="749"/>
      <c r="S208" s="749"/>
      <c r="T208" s="749"/>
      <c r="U208" s="749"/>
      <c r="V208" s="749"/>
      <c r="W208" s="749"/>
      <c r="X208" s="749"/>
      <c r="Y208" s="749"/>
      <c r="Z208" s="749"/>
      <c r="AA208" s="749"/>
      <c r="AB208" s="749"/>
      <c r="AC208" s="749"/>
      <c r="AD208" s="749"/>
      <c r="AI208">
        <f t="shared" si="96"/>
        <v>0</v>
      </c>
      <c r="AJ208">
        <f t="shared" si="97"/>
        <v>0</v>
      </c>
      <c r="AK208">
        <f t="shared" si="98"/>
        <v>0</v>
      </c>
    </row>
    <row r="209" spans="1:37" ht="15" customHeight="1">
      <c r="A209" s="166"/>
      <c r="B209" s="57"/>
      <c r="C209" s="98" t="s">
        <v>2520</v>
      </c>
      <c r="D209" s="813" t="s">
        <v>3111</v>
      </c>
      <c r="E209" s="814"/>
      <c r="F209" s="814"/>
      <c r="G209" s="814"/>
      <c r="H209" s="814"/>
      <c r="I209" s="814"/>
      <c r="J209" s="814"/>
      <c r="K209" s="814"/>
      <c r="L209" s="815"/>
      <c r="M209" s="749"/>
      <c r="N209" s="749"/>
      <c r="O209" s="749"/>
      <c r="P209" s="749"/>
      <c r="Q209" s="749"/>
      <c r="R209" s="749"/>
      <c r="S209" s="749"/>
      <c r="T209" s="749"/>
      <c r="U209" s="749"/>
      <c r="V209" s="749"/>
      <c r="W209" s="749"/>
      <c r="X209" s="749"/>
      <c r="Y209" s="749"/>
      <c r="Z209" s="749"/>
      <c r="AA209" s="749"/>
      <c r="AB209" s="749"/>
      <c r="AC209" s="749"/>
      <c r="AD209" s="749"/>
      <c r="AI209">
        <f t="shared" si="96"/>
        <v>0</v>
      </c>
      <c r="AJ209">
        <f t="shared" si="97"/>
        <v>0</v>
      </c>
      <c r="AK209">
        <f t="shared" si="98"/>
        <v>0</v>
      </c>
    </row>
    <row r="210" spans="1:37" ht="15" customHeight="1">
      <c r="A210" s="166"/>
      <c r="B210" s="57"/>
      <c r="C210" s="98" t="s">
        <v>2521</v>
      </c>
      <c r="D210" s="813" t="s">
        <v>3114</v>
      </c>
      <c r="E210" s="814"/>
      <c r="F210" s="814"/>
      <c r="G210" s="814"/>
      <c r="H210" s="814"/>
      <c r="I210" s="814"/>
      <c r="J210" s="814"/>
      <c r="K210" s="814"/>
      <c r="L210" s="815"/>
      <c r="M210" s="749"/>
      <c r="N210" s="749"/>
      <c r="O210" s="749"/>
      <c r="P210" s="749"/>
      <c r="Q210" s="749"/>
      <c r="R210" s="749"/>
      <c r="S210" s="749"/>
      <c r="T210" s="749"/>
      <c r="U210" s="749"/>
      <c r="V210" s="749"/>
      <c r="W210" s="749"/>
      <c r="X210" s="749"/>
      <c r="Y210" s="749"/>
      <c r="Z210" s="749"/>
      <c r="AA210" s="749"/>
      <c r="AB210" s="749"/>
      <c r="AC210" s="749"/>
      <c r="AD210" s="749"/>
      <c r="AI210">
        <f t="shared" si="96"/>
        <v>0</v>
      </c>
      <c r="AJ210">
        <f t="shared" si="97"/>
        <v>0</v>
      </c>
      <c r="AK210">
        <f t="shared" si="98"/>
        <v>0</v>
      </c>
    </row>
    <row r="211" spans="1:37" ht="15" customHeight="1">
      <c r="A211" s="166"/>
      <c r="B211" s="57"/>
      <c r="C211" s="98" t="s">
        <v>2522</v>
      </c>
      <c r="D211" s="813" t="s">
        <v>3117</v>
      </c>
      <c r="E211" s="814"/>
      <c r="F211" s="814"/>
      <c r="G211" s="814"/>
      <c r="H211" s="814"/>
      <c r="I211" s="814"/>
      <c r="J211" s="814"/>
      <c r="K211" s="814"/>
      <c r="L211" s="815"/>
      <c r="M211" s="749"/>
      <c r="N211" s="749"/>
      <c r="O211" s="749"/>
      <c r="P211" s="749"/>
      <c r="Q211" s="749"/>
      <c r="R211" s="749"/>
      <c r="S211" s="749"/>
      <c r="T211" s="749"/>
      <c r="U211" s="749"/>
      <c r="V211" s="749"/>
      <c r="W211" s="749"/>
      <c r="X211" s="749"/>
      <c r="Y211" s="749"/>
      <c r="Z211" s="749"/>
      <c r="AA211" s="749"/>
      <c r="AB211" s="749"/>
      <c r="AC211" s="749"/>
      <c r="AD211" s="749"/>
      <c r="AI211">
        <f t="shared" si="96"/>
        <v>0</v>
      </c>
      <c r="AJ211">
        <f t="shared" si="97"/>
        <v>0</v>
      </c>
      <c r="AK211">
        <f t="shared" si="98"/>
        <v>0</v>
      </c>
    </row>
    <row r="212" spans="1:37" ht="15" customHeight="1">
      <c r="A212" s="166"/>
      <c r="B212" s="57"/>
      <c r="C212" s="98" t="s">
        <v>2523</v>
      </c>
      <c r="D212" s="813" t="s">
        <v>3120</v>
      </c>
      <c r="E212" s="814"/>
      <c r="F212" s="814"/>
      <c r="G212" s="814"/>
      <c r="H212" s="814"/>
      <c r="I212" s="814"/>
      <c r="J212" s="814"/>
      <c r="K212" s="814"/>
      <c r="L212" s="815"/>
      <c r="M212" s="749"/>
      <c r="N212" s="749"/>
      <c r="O212" s="749"/>
      <c r="P212" s="749"/>
      <c r="Q212" s="749"/>
      <c r="R212" s="749"/>
      <c r="S212" s="749"/>
      <c r="T212" s="749"/>
      <c r="U212" s="749"/>
      <c r="V212" s="749"/>
      <c r="W212" s="749"/>
      <c r="X212" s="749"/>
      <c r="Y212" s="749"/>
      <c r="Z212" s="749"/>
      <c r="AA212" s="749"/>
      <c r="AB212" s="749"/>
      <c r="AC212" s="749"/>
      <c r="AD212" s="749"/>
      <c r="AI212">
        <f t="shared" si="96"/>
        <v>0</v>
      </c>
      <c r="AJ212">
        <f t="shared" si="97"/>
        <v>0</v>
      </c>
      <c r="AK212">
        <f t="shared" si="98"/>
        <v>0</v>
      </c>
    </row>
    <row r="213" spans="1:37" ht="15" customHeight="1">
      <c r="A213" s="166"/>
      <c r="B213" s="57"/>
      <c r="C213" s="98" t="s">
        <v>2524</v>
      </c>
      <c r="D213" s="813" t="s">
        <v>201</v>
      </c>
      <c r="E213" s="814"/>
      <c r="F213" s="814"/>
      <c r="G213" s="814"/>
      <c r="H213" s="814"/>
      <c r="I213" s="814"/>
      <c r="J213" s="814"/>
      <c r="K213" s="814"/>
      <c r="L213" s="815"/>
      <c r="M213" s="749"/>
      <c r="N213" s="749"/>
      <c r="O213" s="749"/>
      <c r="P213" s="749"/>
      <c r="Q213" s="749"/>
      <c r="R213" s="749"/>
      <c r="S213" s="749"/>
      <c r="T213" s="749"/>
      <c r="U213" s="749"/>
      <c r="V213" s="749"/>
      <c r="W213" s="749"/>
      <c r="X213" s="749"/>
      <c r="Y213" s="749"/>
      <c r="Z213" s="749"/>
      <c r="AA213" s="749"/>
      <c r="AB213" s="749"/>
      <c r="AC213" s="749"/>
      <c r="AD213" s="749"/>
      <c r="AI213">
        <f t="shared" si="96"/>
        <v>0</v>
      </c>
      <c r="AJ213">
        <f t="shared" si="97"/>
        <v>0</v>
      </c>
      <c r="AK213">
        <f t="shared" si="98"/>
        <v>0</v>
      </c>
    </row>
    <row r="214" spans="1:37" ht="15" customHeight="1">
      <c r="A214" s="186"/>
      <c r="B214" s="57"/>
      <c r="C214" s="38"/>
      <c r="D214" s="38"/>
      <c r="E214" s="38"/>
      <c r="F214" s="38"/>
      <c r="G214" s="38"/>
      <c r="H214" s="38"/>
      <c r="I214" s="38"/>
      <c r="J214" s="38"/>
      <c r="K214" s="38"/>
      <c r="L214" s="117" t="s">
        <v>2649</v>
      </c>
      <c r="M214" s="736">
        <f>IF(AND(SUM(M205:M213)=0,COUNTIF(M205:M213,"NS")&gt;0),"NS",IF(AND(SUM(M205:M213)=0,COUNTIF(M205:M213,0)&gt;0),0,IF(AND(SUM(M205:M213)=0,COUNTIF(M205:M213,"NA")&gt;0),"NA",SUM(M205:M213))))</f>
        <v>0</v>
      </c>
      <c r="N214" s="736"/>
      <c r="O214" s="736"/>
      <c r="P214" s="736"/>
      <c r="Q214" s="736"/>
      <c r="R214" s="736"/>
      <c r="S214" s="736">
        <f>IF(AND(SUM(S205:S213)=0,COUNTIF(S205:S213,"NS")&gt;0),"NS",IF(AND(SUM(S205:S213)=0,COUNTIF(S205:S213,0)&gt;0),0,IF(AND(SUM(S205:S213)=0,COUNTIF(S205:S213,"NA")&gt;0),"NA",SUM(S205:S213))))</f>
        <v>0</v>
      </c>
      <c r="T214" s="736"/>
      <c r="U214" s="736"/>
      <c r="V214" s="736"/>
      <c r="W214" s="736"/>
      <c r="X214" s="736"/>
      <c r="Y214" s="736">
        <f>IF(AND(SUM(Y205:Y213)=0,COUNTIF(Y205:Y213,"NS")&gt;0),"NS",IF(AND(SUM(Y205:Y213)=0,COUNTIF(Y205:Y213,0)&gt;0),0,IF(AND(SUM(Y205:Y213)=0,COUNTIF(Y205:Y213,"NA")&gt;0),"NA",SUM(Y205:Y213))))</f>
        <v>0</v>
      </c>
      <c r="Z214" s="736"/>
      <c r="AA214" s="736"/>
      <c r="AB214" s="736"/>
      <c r="AC214" s="736"/>
      <c r="AD214" s="736"/>
      <c r="AI214">
        <f>SUM(AI205:AI213)</f>
        <v>0</v>
      </c>
      <c r="AK214" s="506">
        <f>SUM(AK205:AK213)</f>
        <v>0</v>
      </c>
    </row>
    <row r="215" spans="1:37" ht="15" customHeight="1">
      <c r="A215" s="186"/>
      <c r="B215" s="57"/>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c r="AC215" s="38"/>
      <c r="AD215" s="38"/>
    </row>
    <row r="216" spans="1:37" ht="24" customHeight="1">
      <c r="A216" s="108"/>
      <c r="B216" s="38"/>
      <c r="C216" s="754" t="s">
        <v>2611</v>
      </c>
      <c r="D216" s="754"/>
      <c r="E216" s="754"/>
      <c r="F216" s="754"/>
      <c r="G216" s="754"/>
      <c r="H216" s="754"/>
      <c r="I216" s="754"/>
      <c r="J216" s="754"/>
      <c r="K216" s="754"/>
      <c r="L216" s="754"/>
      <c r="M216" s="754"/>
      <c r="N216" s="754"/>
      <c r="O216" s="754"/>
      <c r="P216" s="754"/>
      <c r="Q216" s="754"/>
      <c r="R216" s="754"/>
      <c r="S216" s="754"/>
      <c r="T216" s="754"/>
      <c r="U216" s="754"/>
      <c r="V216" s="754"/>
      <c r="W216" s="754"/>
      <c r="X216" s="754"/>
      <c r="Y216" s="754"/>
      <c r="Z216" s="754"/>
      <c r="AA216" s="754"/>
      <c r="AB216" s="754"/>
      <c r="AC216" s="754"/>
      <c r="AD216" s="754"/>
    </row>
    <row r="217" spans="1:37" ht="60" customHeight="1">
      <c r="A217" s="108"/>
      <c r="B217" s="38"/>
      <c r="C217" s="851"/>
      <c r="D217" s="851"/>
      <c r="E217" s="851"/>
      <c r="F217" s="851"/>
      <c r="G217" s="851"/>
      <c r="H217" s="851"/>
      <c r="I217" s="851"/>
      <c r="J217" s="851"/>
      <c r="K217" s="851"/>
      <c r="L217" s="851"/>
      <c r="M217" s="851"/>
      <c r="N217" s="851"/>
      <c r="O217" s="851"/>
      <c r="P217" s="851"/>
      <c r="Q217" s="851"/>
      <c r="R217" s="851"/>
      <c r="S217" s="851"/>
      <c r="T217" s="851"/>
      <c r="U217" s="851"/>
      <c r="V217" s="851"/>
      <c r="W217" s="851"/>
      <c r="X217" s="851"/>
      <c r="Y217" s="851"/>
      <c r="Z217" s="851"/>
      <c r="AA217" s="851"/>
      <c r="AB217" s="851"/>
      <c r="AC217" s="851"/>
      <c r="AD217" s="851"/>
    </row>
    <row r="218" spans="1:37" ht="15" customHeight="1">
      <c r="A218" s="108"/>
      <c r="B218" s="794" t="str">
        <f>IF(AG205=0,"","Favor de ingresar toda la información requerida en la pregunta")</f>
        <v/>
      </c>
      <c r="C218" s="794"/>
      <c r="D218" s="794"/>
      <c r="E218" s="794"/>
      <c r="F218" s="794"/>
      <c r="G218" s="794"/>
      <c r="H218" s="794"/>
      <c r="I218" s="794"/>
      <c r="J218" s="794"/>
      <c r="K218" s="794"/>
      <c r="L218" s="794"/>
      <c r="M218" s="794"/>
      <c r="N218" s="794"/>
      <c r="O218" s="794"/>
      <c r="P218" s="794"/>
      <c r="Q218" s="794"/>
      <c r="R218" s="794"/>
      <c r="S218" s="794"/>
      <c r="T218" s="794"/>
      <c r="U218" s="794"/>
      <c r="V218" s="794"/>
      <c r="W218" s="794"/>
      <c r="X218" s="794"/>
      <c r="Y218" s="794"/>
      <c r="Z218" s="794"/>
      <c r="AA218" s="794"/>
      <c r="AB218" s="794"/>
      <c r="AC218" s="794"/>
      <c r="AD218" s="794"/>
      <c r="AE218" s="794"/>
    </row>
    <row r="219" spans="1:37" ht="15" customHeight="1">
      <c r="A219" s="108"/>
      <c r="B219" s="1087" t="str">
        <f>IF(OR($M71=0,$M71="NS",$M71="NA"),"",IF(COUNTIF(M205:AD213,"NS")&lt;&gt;0,"Alerta: debido a que cuenta con registros NS, debe proporcionar una justificación en el area de comentarios al final de la pregunta",""))</f>
        <v/>
      </c>
      <c r="C219" s="1087"/>
      <c r="D219" s="1087"/>
      <c r="E219" s="1087"/>
      <c r="F219" s="1087"/>
      <c r="G219" s="1087"/>
      <c r="H219" s="1087"/>
      <c r="I219" s="1087"/>
      <c r="J219" s="1087"/>
      <c r="K219" s="1087"/>
      <c r="L219" s="1087"/>
      <c r="M219" s="1087"/>
      <c r="N219" s="1087"/>
      <c r="O219" s="1087"/>
      <c r="P219" s="1087"/>
      <c r="Q219" s="1087"/>
      <c r="R219" s="1087"/>
      <c r="S219" s="1087"/>
      <c r="T219" s="1087"/>
      <c r="U219" s="1087"/>
      <c r="V219" s="1087"/>
      <c r="W219" s="1087"/>
      <c r="X219" s="1087"/>
      <c r="Y219" s="1087"/>
      <c r="Z219" s="1087"/>
      <c r="AA219" s="1087"/>
      <c r="AB219" s="1087"/>
      <c r="AC219" s="1087"/>
      <c r="AD219" s="1087"/>
      <c r="AE219" s="1087"/>
    </row>
    <row r="220" spans="1:37" ht="15" customHeight="1">
      <c r="A220" s="108"/>
      <c r="B220" s="1003" t="str">
        <f>IF(AH205&gt;0,"Revise la información capturada, ya que tiene datos ingresados en celdas que están sombreadas","")</f>
        <v/>
      </c>
      <c r="C220" s="1003"/>
      <c r="D220" s="1003"/>
      <c r="E220" s="1003"/>
      <c r="F220" s="1003"/>
      <c r="G220" s="1003"/>
      <c r="H220" s="1003"/>
      <c r="I220" s="1003"/>
      <c r="J220" s="1003"/>
      <c r="K220" s="1003"/>
      <c r="L220" s="1003"/>
      <c r="M220" s="1003"/>
      <c r="N220" s="1003"/>
      <c r="O220" s="1003"/>
      <c r="P220" s="1003"/>
      <c r="Q220" s="1003"/>
      <c r="R220" s="1003"/>
      <c r="S220" s="1003"/>
      <c r="T220" s="1003"/>
      <c r="U220" s="1003"/>
      <c r="V220" s="1003"/>
      <c r="W220" s="1003"/>
      <c r="X220" s="1003"/>
      <c r="Y220" s="1003"/>
      <c r="Z220" s="1003"/>
      <c r="AA220" s="1003"/>
      <c r="AB220" s="1003"/>
      <c r="AC220" s="1003"/>
      <c r="AD220" s="1003"/>
      <c r="AE220" s="1003"/>
    </row>
    <row r="221" spans="1:37" ht="15" customHeight="1">
      <c r="A221" s="108"/>
      <c r="B221" s="1003" t="str">
        <f>IF(OR($M71=0,$M71="NS",$M71="NA"),"",IF(AK214&gt;0,"Favor de revisar la suma y consistencia de totales y/o subtotales por filas (numéricos y NS)",""))</f>
        <v/>
      </c>
      <c r="C221" s="1003"/>
      <c r="D221" s="1003"/>
      <c r="E221" s="1003"/>
      <c r="F221" s="1003"/>
      <c r="G221" s="1003"/>
      <c r="H221" s="1003"/>
      <c r="I221" s="1003"/>
      <c r="J221" s="1003"/>
      <c r="K221" s="1003"/>
      <c r="L221" s="1003"/>
      <c r="M221" s="1003"/>
      <c r="N221" s="1003"/>
      <c r="O221" s="1003"/>
      <c r="P221" s="1003"/>
      <c r="Q221" s="1003"/>
      <c r="R221" s="1003"/>
      <c r="S221" s="1003"/>
      <c r="T221" s="1003"/>
      <c r="U221" s="1003"/>
      <c r="V221" s="1003"/>
      <c r="W221" s="1003"/>
      <c r="X221" s="1003"/>
      <c r="Y221" s="1003"/>
      <c r="Z221" s="1003"/>
      <c r="AA221" s="1003"/>
      <c r="AB221" s="1003"/>
      <c r="AC221" s="1003"/>
      <c r="AD221" s="1003"/>
      <c r="AE221" s="1003"/>
    </row>
    <row r="222" spans="1:37" ht="15" customHeight="1">
      <c r="A222" s="186"/>
      <c r="B222" s="1003" t="str">
        <f>IF(OR($M$71=0,$M$71="NS",$M$71="NA"),"",IF(AND($M$71=M214,$S$71=S214,$Y$71=Y214),"","Las cantidades de Hombres y Mujeres debe corresponder con los datos reportados en la preg. 7.2"))</f>
        <v/>
      </c>
      <c r="C222" s="1003"/>
      <c r="D222" s="1003"/>
      <c r="E222" s="1003"/>
      <c r="F222" s="1003"/>
      <c r="G222" s="1003"/>
      <c r="H222" s="1003"/>
      <c r="I222" s="1003"/>
      <c r="J222" s="1003"/>
      <c r="K222" s="1003"/>
      <c r="L222" s="1003"/>
      <c r="M222" s="1003"/>
      <c r="N222" s="1003"/>
      <c r="O222" s="1003"/>
      <c r="P222" s="1003"/>
      <c r="Q222" s="1003"/>
      <c r="R222" s="1003"/>
      <c r="S222" s="1003"/>
      <c r="T222" s="1003"/>
      <c r="U222" s="1003"/>
      <c r="V222" s="1003"/>
      <c r="W222" s="1003"/>
      <c r="X222" s="1003"/>
      <c r="Y222" s="1003"/>
      <c r="Z222" s="1003"/>
      <c r="AA222" s="1003"/>
      <c r="AB222" s="1003"/>
      <c r="AC222" s="1003"/>
      <c r="AD222" s="1003"/>
      <c r="AE222" s="1003"/>
    </row>
    <row r="223" spans="1:37" ht="15" customHeight="1">
      <c r="A223" s="186"/>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c r="AA223" s="38"/>
      <c r="AB223" s="38"/>
      <c r="AC223" s="38"/>
      <c r="AD223" s="38"/>
      <c r="AE223"/>
    </row>
    <row r="224" spans="1:37" ht="24" customHeight="1">
      <c r="A224" s="108" t="s">
        <v>4611</v>
      </c>
      <c r="B224" s="829" t="s">
        <v>4612</v>
      </c>
      <c r="C224" s="829"/>
      <c r="D224" s="829"/>
      <c r="E224" s="829"/>
      <c r="F224" s="829"/>
      <c r="G224" s="829"/>
      <c r="H224" s="829"/>
      <c r="I224" s="829"/>
      <c r="J224" s="829"/>
      <c r="K224" s="829"/>
      <c r="L224" s="829"/>
      <c r="M224" s="829"/>
      <c r="N224" s="829"/>
      <c r="O224" s="829"/>
      <c r="P224" s="829"/>
      <c r="Q224" s="829"/>
      <c r="R224" s="829"/>
      <c r="S224" s="829"/>
      <c r="T224" s="829"/>
      <c r="U224" s="829"/>
      <c r="V224" s="829"/>
      <c r="W224" s="829"/>
      <c r="X224" s="829"/>
      <c r="Y224" s="829"/>
      <c r="Z224" s="829"/>
      <c r="AA224" s="829"/>
      <c r="AB224" s="829"/>
      <c r="AC224" s="829"/>
      <c r="AD224" s="829"/>
    </row>
    <row r="225" spans="1:37" ht="15" customHeight="1">
      <c r="A225" s="10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row>
    <row r="226" spans="1:37" ht="15" customHeight="1">
      <c r="A226" s="108"/>
      <c r="B226" s="38"/>
      <c r="C226" s="880" t="s">
        <v>4613</v>
      </c>
      <c r="D226" s="880"/>
      <c r="E226" s="880"/>
      <c r="F226" s="880"/>
      <c r="G226" s="880"/>
      <c r="H226" s="880"/>
      <c r="I226" s="880"/>
      <c r="J226" s="880"/>
      <c r="K226" s="880"/>
      <c r="L226" s="880"/>
      <c r="M226" s="732" t="s">
        <v>4563</v>
      </c>
      <c r="N226" s="732"/>
      <c r="O226" s="732"/>
      <c r="P226" s="732"/>
      <c r="Q226" s="732"/>
      <c r="R226" s="732"/>
      <c r="S226" s="732"/>
      <c r="T226" s="732"/>
      <c r="U226" s="732"/>
      <c r="V226" s="732"/>
      <c r="W226" s="732"/>
      <c r="X226" s="732"/>
      <c r="Y226" s="732"/>
      <c r="Z226" s="732"/>
      <c r="AA226" s="732"/>
      <c r="AB226" s="732"/>
      <c r="AC226" s="732"/>
      <c r="AD226" s="732"/>
    </row>
    <row r="227" spans="1:37" ht="15" customHeight="1">
      <c r="A227" s="108"/>
      <c r="B227" s="38"/>
      <c r="C227" s="880"/>
      <c r="D227" s="880"/>
      <c r="E227" s="880"/>
      <c r="F227" s="880"/>
      <c r="G227" s="880"/>
      <c r="H227" s="880"/>
      <c r="I227" s="880"/>
      <c r="J227" s="880"/>
      <c r="K227" s="880"/>
      <c r="L227" s="880"/>
      <c r="M227" s="987" t="s">
        <v>2628</v>
      </c>
      <c r="N227" s="988"/>
      <c r="O227" s="988"/>
      <c r="P227" s="988"/>
      <c r="Q227" s="988"/>
      <c r="R227" s="988"/>
      <c r="S227" s="989" t="s">
        <v>2629</v>
      </c>
      <c r="T227" s="990"/>
      <c r="U227" s="990"/>
      <c r="V227" s="990"/>
      <c r="W227" s="990"/>
      <c r="X227" s="990"/>
      <c r="Y227" s="989" t="s">
        <v>2630</v>
      </c>
      <c r="Z227" s="990"/>
      <c r="AA227" s="990"/>
      <c r="AB227" s="990"/>
      <c r="AC227" s="990"/>
      <c r="AD227" s="990"/>
      <c r="AG227" t="s">
        <v>2586</v>
      </c>
      <c r="AH227" t="s">
        <v>4599</v>
      </c>
      <c r="AI227" t="s">
        <v>2590</v>
      </c>
      <c r="AJ227" t="s">
        <v>3163</v>
      </c>
      <c r="AK227" t="s">
        <v>4564</v>
      </c>
    </row>
    <row r="228" spans="1:37" ht="15" customHeight="1">
      <c r="A228" s="108"/>
      <c r="B228" s="38"/>
      <c r="C228" s="97" t="s">
        <v>2516</v>
      </c>
      <c r="D228" s="813" t="s">
        <v>4614</v>
      </c>
      <c r="E228" s="814"/>
      <c r="F228" s="814"/>
      <c r="G228" s="814"/>
      <c r="H228" s="814"/>
      <c r="I228" s="814"/>
      <c r="J228" s="814"/>
      <c r="K228" s="814"/>
      <c r="L228" s="815"/>
      <c r="M228" s="749"/>
      <c r="N228" s="749"/>
      <c r="O228" s="749"/>
      <c r="P228" s="749"/>
      <c r="Q228" s="749"/>
      <c r="R228" s="749"/>
      <c r="S228" s="749"/>
      <c r="T228" s="749"/>
      <c r="U228" s="749"/>
      <c r="V228" s="749"/>
      <c r="W228" s="749"/>
      <c r="X228" s="749"/>
      <c r="Y228" s="749"/>
      <c r="Z228" s="749"/>
      <c r="AA228" s="749"/>
      <c r="AB228" s="749"/>
      <c r="AC228" s="749"/>
      <c r="AD228" s="749"/>
      <c r="AG228" s="506">
        <f>IF(OR($M$71=0,$M$71="NS",$M$71="NA"),0,IF(COUNTBLANK(M228:AD247)=300,0,1))</f>
        <v>0</v>
      </c>
      <c r="AH228" s="506">
        <f>IF(OR($M$71=0,$M$71="NS",$M$71="NA"),IF(COUNTBLANK(M228:AD247)=360,0,1),0)</f>
        <v>0</v>
      </c>
      <c r="AI228">
        <f t="shared" ref="AI228" si="99">COUNTIF(S228:AD228,"NS")</f>
        <v>0</v>
      </c>
      <c r="AJ228">
        <f t="shared" ref="AJ228" si="100">SUM(S228:AD228)</f>
        <v>0</v>
      </c>
      <c r="AK228">
        <f t="shared" ref="AK228" si="101">IF(COUNTIF(M228:AD228,"NA")=3,0,IF(COUNTA(M228:AD228)=0,0,IF(OR(AND(M228=0,AI228&gt;0),AND(M228="ns",AJ228&gt;0),AND(M228="ns",AI228=0,AJ228=0)),1,IF(OR(AND(M228&gt;0,AI228=2),AND(M228="ns",AI228=2),AND(M228="ns",AJ228=0,AI228&gt;0),M228=AJ228),0,1))))</f>
        <v>0</v>
      </c>
    </row>
    <row r="229" spans="1:37" ht="15" customHeight="1">
      <c r="A229" s="108"/>
      <c r="B229" s="38"/>
      <c r="C229" s="98" t="s">
        <v>2517</v>
      </c>
      <c r="D229" s="813" t="s">
        <v>4615</v>
      </c>
      <c r="E229" s="814"/>
      <c r="F229" s="814"/>
      <c r="G229" s="814"/>
      <c r="H229" s="814"/>
      <c r="I229" s="814"/>
      <c r="J229" s="814"/>
      <c r="K229" s="814"/>
      <c r="L229" s="815"/>
      <c r="M229" s="749"/>
      <c r="N229" s="749"/>
      <c r="O229" s="749"/>
      <c r="P229" s="749"/>
      <c r="Q229" s="749"/>
      <c r="R229" s="749"/>
      <c r="S229" s="749"/>
      <c r="T229" s="749"/>
      <c r="U229" s="749"/>
      <c r="V229" s="749"/>
      <c r="W229" s="749"/>
      <c r="X229" s="749"/>
      <c r="Y229" s="749"/>
      <c r="Z229" s="749"/>
      <c r="AA229" s="749"/>
      <c r="AB229" s="749"/>
      <c r="AC229" s="749"/>
      <c r="AD229" s="749"/>
      <c r="AI229">
        <f t="shared" ref="AI229:AI247" si="102">COUNTIF(S229:AD229,"NS")</f>
        <v>0</v>
      </c>
      <c r="AJ229">
        <f t="shared" ref="AJ229:AJ247" si="103">SUM(S229:AD229)</f>
        <v>0</v>
      </c>
      <c r="AK229">
        <f t="shared" ref="AK229:AK246" si="104">IF(COUNTIF(M229:AD229,"NA")=3,0,IF(COUNTA(M229:AD229)=0,0,IF(OR(AND(M229=0,AI229&gt;0),AND(M229="ns",AJ229&gt;0),AND(M229="ns",AI229=0,AJ229=0)),1,IF(OR(AND(M229&gt;0,AI229=2),AND(M229="ns",AI229=2),AND(M229="ns",AJ229=0,AI229&gt;0),M229=AJ229),0,1))))</f>
        <v>0</v>
      </c>
    </row>
    <row r="230" spans="1:37" ht="15" customHeight="1">
      <c r="A230" s="108"/>
      <c r="B230" s="38"/>
      <c r="C230" s="98" t="s">
        <v>2518</v>
      </c>
      <c r="D230" s="813" t="s">
        <v>4616</v>
      </c>
      <c r="E230" s="814"/>
      <c r="F230" s="814"/>
      <c r="G230" s="814"/>
      <c r="H230" s="814"/>
      <c r="I230" s="814"/>
      <c r="J230" s="814"/>
      <c r="K230" s="814"/>
      <c r="L230" s="815"/>
      <c r="M230" s="749"/>
      <c r="N230" s="749"/>
      <c r="O230" s="749"/>
      <c r="P230" s="749"/>
      <c r="Q230" s="749"/>
      <c r="R230" s="749"/>
      <c r="S230" s="749"/>
      <c r="T230" s="749"/>
      <c r="U230" s="749"/>
      <c r="V230" s="749"/>
      <c r="W230" s="749"/>
      <c r="X230" s="749"/>
      <c r="Y230" s="749"/>
      <c r="Z230" s="749"/>
      <c r="AA230" s="749"/>
      <c r="AB230" s="749"/>
      <c r="AC230" s="749"/>
      <c r="AD230" s="749"/>
      <c r="AI230">
        <f t="shared" si="102"/>
        <v>0</v>
      </c>
      <c r="AJ230">
        <f t="shared" si="103"/>
        <v>0</v>
      </c>
      <c r="AK230">
        <f t="shared" si="104"/>
        <v>0</v>
      </c>
    </row>
    <row r="231" spans="1:37" ht="15" customHeight="1">
      <c r="A231" s="108"/>
      <c r="B231" s="38"/>
      <c r="C231" s="98" t="s">
        <v>2519</v>
      </c>
      <c r="D231" s="813" t="s">
        <v>4617</v>
      </c>
      <c r="E231" s="814"/>
      <c r="F231" s="814"/>
      <c r="G231" s="814"/>
      <c r="H231" s="814"/>
      <c r="I231" s="814"/>
      <c r="J231" s="814"/>
      <c r="K231" s="814"/>
      <c r="L231" s="815"/>
      <c r="M231" s="749"/>
      <c r="N231" s="749"/>
      <c r="O231" s="749"/>
      <c r="P231" s="749"/>
      <c r="Q231" s="749"/>
      <c r="R231" s="749"/>
      <c r="S231" s="749"/>
      <c r="T231" s="749"/>
      <c r="U231" s="749"/>
      <c r="V231" s="749"/>
      <c r="W231" s="749"/>
      <c r="X231" s="749"/>
      <c r="Y231" s="749"/>
      <c r="Z231" s="749"/>
      <c r="AA231" s="749"/>
      <c r="AB231" s="749"/>
      <c r="AC231" s="749"/>
      <c r="AD231" s="749"/>
      <c r="AI231">
        <f t="shared" si="102"/>
        <v>0</v>
      </c>
      <c r="AJ231">
        <f t="shared" si="103"/>
        <v>0</v>
      </c>
      <c r="AK231">
        <f t="shared" si="104"/>
        <v>0</v>
      </c>
    </row>
    <row r="232" spans="1:37" ht="15" customHeight="1">
      <c r="A232" s="108"/>
      <c r="B232" s="38"/>
      <c r="C232" s="98" t="s">
        <v>2520</v>
      </c>
      <c r="D232" s="813" t="s">
        <v>4618</v>
      </c>
      <c r="E232" s="814"/>
      <c r="F232" s="814"/>
      <c r="G232" s="814"/>
      <c r="H232" s="814"/>
      <c r="I232" s="814"/>
      <c r="J232" s="814"/>
      <c r="K232" s="814"/>
      <c r="L232" s="815"/>
      <c r="M232" s="749"/>
      <c r="N232" s="749"/>
      <c r="O232" s="749"/>
      <c r="P232" s="749"/>
      <c r="Q232" s="749"/>
      <c r="R232" s="749"/>
      <c r="S232" s="749"/>
      <c r="T232" s="749"/>
      <c r="U232" s="749"/>
      <c r="V232" s="749"/>
      <c r="W232" s="749"/>
      <c r="X232" s="749"/>
      <c r="Y232" s="749"/>
      <c r="Z232" s="749"/>
      <c r="AA232" s="749"/>
      <c r="AB232" s="749"/>
      <c r="AC232" s="749"/>
      <c r="AD232" s="749"/>
      <c r="AI232">
        <f t="shared" si="102"/>
        <v>0</v>
      </c>
      <c r="AJ232">
        <f t="shared" si="103"/>
        <v>0</v>
      </c>
      <c r="AK232">
        <f t="shared" si="104"/>
        <v>0</v>
      </c>
    </row>
    <row r="233" spans="1:37" ht="15" customHeight="1">
      <c r="A233" s="108"/>
      <c r="B233" s="38"/>
      <c r="C233" s="98" t="s">
        <v>2521</v>
      </c>
      <c r="D233" s="813" t="s">
        <v>4619</v>
      </c>
      <c r="E233" s="814"/>
      <c r="F233" s="814"/>
      <c r="G233" s="814"/>
      <c r="H233" s="814"/>
      <c r="I233" s="814"/>
      <c r="J233" s="814"/>
      <c r="K233" s="814"/>
      <c r="L233" s="815"/>
      <c r="M233" s="749"/>
      <c r="N233" s="749"/>
      <c r="O233" s="749"/>
      <c r="P233" s="749"/>
      <c r="Q233" s="749"/>
      <c r="R233" s="749"/>
      <c r="S233" s="749"/>
      <c r="T233" s="749"/>
      <c r="U233" s="749"/>
      <c r="V233" s="749"/>
      <c r="W233" s="749"/>
      <c r="X233" s="749"/>
      <c r="Y233" s="749"/>
      <c r="Z233" s="749"/>
      <c r="AA233" s="749"/>
      <c r="AB233" s="749"/>
      <c r="AC233" s="749"/>
      <c r="AD233" s="749"/>
      <c r="AI233">
        <f t="shared" si="102"/>
        <v>0</v>
      </c>
      <c r="AJ233">
        <f t="shared" si="103"/>
        <v>0</v>
      </c>
      <c r="AK233">
        <f t="shared" si="104"/>
        <v>0</v>
      </c>
    </row>
    <row r="234" spans="1:37" ht="15" customHeight="1">
      <c r="A234" s="108"/>
      <c r="B234" s="38"/>
      <c r="C234" s="98" t="s">
        <v>2522</v>
      </c>
      <c r="D234" s="813" t="s">
        <v>4620</v>
      </c>
      <c r="E234" s="814"/>
      <c r="F234" s="814"/>
      <c r="G234" s="814"/>
      <c r="H234" s="814"/>
      <c r="I234" s="814"/>
      <c r="J234" s="814"/>
      <c r="K234" s="814"/>
      <c r="L234" s="815"/>
      <c r="M234" s="749"/>
      <c r="N234" s="749"/>
      <c r="O234" s="749"/>
      <c r="P234" s="749"/>
      <c r="Q234" s="749"/>
      <c r="R234" s="749"/>
      <c r="S234" s="749"/>
      <c r="T234" s="749"/>
      <c r="U234" s="749"/>
      <c r="V234" s="749"/>
      <c r="W234" s="749"/>
      <c r="X234" s="749"/>
      <c r="Y234" s="749"/>
      <c r="Z234" s="749"/>
      <c r="AA234" s="749"/>
      <c r="AB234" s="749"/>
      <c r="AC234" s="749"/>
      <c r="AD234" s="749"/>
      <c r="AI234">
        <f t="shared" si="102"/>
        <v>0</v>
      </c>
      <c r="AJ234">
        <f t="shared" si="103"/>
        <v>0</v>
      </c>
      <c r="AK234">
        <f t="shared" si="104"/>
        <v>0</v>
      </c>
    </row>
    <row r="235" spans="1:37" ht="15" customHeight="1">
      <c r="A235" s="108"/>
      <c r="B235" s="38"/>
      <c r="C235" s="98" t="s">
        <v>2523</v>
      </c>
      <c r="D235" s="813" t="s">
        <v>4621</v>
      </c>
      <c r="E235" s="814"/>
      <c r="F235" s="814"/>
      <c r="G235" s="814"/>
      <c r="H235" s="814"/>
      <c r="I235" s="814"/>
      <c r="J235" s="814"/>
      <c r="K235" s="814"/>
      <c r="L235" s="815"/>
      <c r="M235" s="749"/>
      <c r="N235" s="749"/>
      <c r="O235" s="749"/>
      <c r="P235" s="749"/>
      <c r="Q235" s="749"/>
      <c r="R235" s="749"/>
      <c r="S235" s="749"/>
      <c r="T235" s="749"/>
      <c r="U235" s="749"/>
      <c r="V235" s="749"/>
      <c r="W235" s="749"/>
      <c r="X235" s="749"/>
      <c r="Y235" s="749"/>
      <c r="Z235" s="749"/>
      <c r="AA235" s="749"/>
      <c r="AB235" s="749"/>
      <c r="AC235" s="749"/>
      <c r="AD235" s="749"/>
      <c r="AI235">
        <f t="shared" si="102"/>
        <v>0</v>
      </c>
      <c r="AJ235">
        <f t="shared" si="103"/>
        <v>0</v>
      </c>
      <c r="AK235">
        <f t="shared" si="104"/>
        <v>0</v>
      </c>
    </row>
    <row r="236" spans="1:37" ht="15" customHeight="1">
      <c r="A236" s="108"/>
      <c r="B236" s="38"/>
      <c r="C236" s="98" t="s">
        <v>2524</v>
      </c>
      <c r="D236" s="813" t="s">
        <v>4622</v>
      </c>
      <c r="E236" s="814"/>
      <c r="F236" s="814"/>
      <c r="G236" s="814"/>
      <c r="H236" s="814"/>
      <c r="I236" s="814"/>
      <c r="J236" s="814"/>
      <c r="K236" s="814"/>
      <c r="L236" s="815"/>
      <c r="M236" s="749"/>
      <c r="N236" s="749"/>
      <c r="O236" s="749"/>
      <c r="P236" s="749"/>
      <c r="Q236" s="749"/>
      <c r="R236" s="749"/>
      <c r="S236" s="749"/>
      <c r="T236" s="749"/>
      <c r="U236" s="749"/>
      <c r="V236" s="749"/>
      <c r="W236" s="749"/>
      <c r="X236" s="749"/>
      <c r="Y236" s="749"/>
      <c r="Z236" s="749"/>
      <c r="AA236" s="749"/>
      <c r="AB236" s="749"/>
      <c r="AC236" s="749"/>
      <c r="AD236" s="749"/>
      <c r="AI236">
        <f t="shared" si="102"/>
        <v>0</v>
      </c>
      <c r="AJ236">
        <f t="shared" si="103"/>
        <v>0</v>
      </c>
      <c r="AK236">
        <f t="shared" si="104"/>
        <v>0</v>
      </c>
    </row>
    <row r="237" spans="1:37" ht="15" customHeight="1">
      <c r="A237" s="108"/>
      <c r="B237" s="38"/>
      <c r="C237" s="98" t="s">
        <v>2525</v>
      </c>
      <c r="D237" s="813" t="s">
        <v>4623</v>
      </c>
      <c r="E237" s="814"/>
      <c r="F237" s="814"/>
      <c r="G237" s="814"/>
      <c r="H237" s="814"/>
      <c r="I237" s="814"/>
      <c r="J237" s="814"/>
      <c r="K237" s="814"/>
      <c r="L237" s="815"/>
      <c r="M237" s="749"/>
      <c r="N237" s="749"/>
      <c r="O237" s="749"/>
      <c r="P237" s="749"/>
      <c r="Q237" s="749"/>
      <c r="R237" s="749"/>
      <c r="S237" s="749"/>
      <c r="T237" s="749"/>
      <c r="U237" s="749"/>
      <c r="V237" s="749"/>
      <c r="W237" s="749"/>
      <c r="X237" s="749"/>
      <c r="Y237" s="749"/>
      <c r="Z237" s="749"/>
      <c r="AA237" s="749"/>
      <c r="AB237" s="749"/>
      <c r="AC237" s="749"/>
      <c r="AD237" s="749"/>
      <c r="AI237">
        <f t="shared" si="102"/>
        <v>0</v>
      </c>
      <c r="AJ237">
        <f t="shared" si="103"/>
        <v>0</v>
      </c>
      <c r="AK237">
        <f t="shared" si="104"/>
        <v>0</v>
      </c>
    </row>
    <row r="238" spans="1:37" ht="15" customHeight="1">
      <c r="A238" s="108"/>
      <c r="B238" s="38"/>
      <c r="C238" s="98" t="s">
        <v>2526</v>
      </c>
      <c r="D238" s="813" t="s">
        <v>4624</v>
      </c>
      <c r="E238" s="814"/>
      <c r="F238" s="814"/>
      <c r="G238" s="814"/>
      <c r="H238" s="814"/>
      <c r="I238" s="814"/>
      <c r="J238" s="814"/>
      <c r="K238" s="814"/>
      <c r="L238" s="815"/>
      <c r="M238" s="749"/>
      <c r="N238" s="749"/>
      <c r="O238" s="749"/>
      <c r="P238" s="749"/>
      <c r="Q238" s="749"/>
      <c r="R238" s="749"/>
      <c r="S238" s="749"/>
      <c r="T238" s="749"/>
      <c r="U238" s="749"/>
      <c r="V238" s="749"/>
      <c r="W238" s="749"/>
      <c r="X238" s="749"/>
      <c r="Y238" s="749"/>
      <c r="Z238" s="749"/>
      <c r="AA238" s="749"/>
      <c r="AB238" s="749"/>
      <c r="AC238" s="749"/>
      <c r="AD238" s="749"/>
      <c r="AI238">
        <f t="shared" si="102"/>
        <v>0</v>
      </c>
      <c r="AJ238">
        <f t="shared" si="103"/>
        <v>0</v>
      </c>
      <c r="AK238">
        <f t="shared" si="104"/>
        <v>0</v>
      </c>
    </row>
    <row r="239" spans="1:37" ht="15" customHeight="1">
      <c r="A239" s="108"/>
      <c r="B239" s="38"/>
      <c r="C239" s="98" t="s">
        <v>2527</v>
      </c>
      <c r="D239" s="813" t="s">
        <v>4625</v>
      </c>
      <c r="E239" s="814"/>
      <c r="F239" s="814"/>
      <c r="G239" s="814"/>
      <c r="H239" s="814"/>
      <c r="I239" s="814"/>
      <c r="J239" s="814"/>
      <c r="K239" s="814"/>
      <c r="L239" s="815"/>
      <c r="M239" s="749"/>
      <c r="N239" s="749"/>
      <c r="O239" s="749"/>
      <c r="P239" s="749"/>
      <c r="Q239" s="749"/>
      <c r="R239" s="749"/>
      <c r="S239" s="749"/>
      <c r="T239" s="749"/>
      <c r="U239" s="749"/>
      <c r="V239" s="749"/>
      <c r="W239" s="749"/>
      <c r="X239" s="749"/>
      <c r="Y239" s="749"/>
      <c r="Z239" s="749"/>
      <c r="AA239" s="749"/>
      <c r="AB239" s="749"/>
      <c r="AC239" s="749"/>
      <c r="AD239" s="749"/>
      <c r="AI239">
        <f t="shared" si="102"/>
        <v>0</v>
      </c>
      <c r="AJ239">
        <f t="shared" si="103"/>
        <v>0</v>
      </c>
      <c r="AK239">
        <f t="shared" si="104"/>
        <v>0</v>
      </c>
    </row>
    <row r="240" spans="1:37" ht="15" customHeight="1">
      <c r="A240" s="108"/>
      <c r="B240" s="38"/>
      <c r="C240" s="98" t="s">
        <v>2528</v>
      </c>
      <c r="D240" s="813" t="s">
        <v>4626</v>
      </c>
      <c r="E240" s="814"/>
      <c r="F240" s="814"/>
      <c r="G240" s="814"/>
      <c r="H240" s="814"/>
      <c r="I240" s="814"/>
      <c r="J240" s="814"/>
      <c r="K240" s="814"/>
      <c r="L240" s="815"/>
      <c r="M240" s="749"/>
      <c r="N240" s="749"/>
      <c r="O240" s="749"/>
      <c r="P240" s="749"/>
      <c r="Q240" s="749"/>
      <c r="R240" s="749"/>
      <c r="S240" s="749"/>
      <c r="T240" s="749"/>
      <c r="U240" s="749"/>
      <c r="V240" s="749"/>
      <c r="W240" s="749"/>
      <c r="X240" s="749"/>
      <c r="Y240" s="749"/>
      <c r="Z240" s="749"/>
      <c r="AA240" s="749"/>
      <c r="AB240" s="749"/>
      <c r="AC240" s="749"/>
      <c r="AD240" s="749"/>
      <c r="AI240">
        <f t="shared" si="102"/>
        <v>0</v>
      </c>
      <c r="AJ240">
        <f t="shared" si="103"/>
        <v>0</v>
      </c>
      <c r="AK240">
        <f t="shared" si="104"/>
        <v>0</v>
      </c>
    </row>
    <row r="241" spans="1:37" ht="24" customHeight="1">
      <c r="A241" s="108"/>
      <c r="B241" s="38"/>
      <c r="C241" s="98" t="s">
        <v>2529</v>
      </c>
      <c r="D241" s="813" t="s">
        <v>4627</v>
      </c>
      <c r="E241" s="814"/>
      <c r="F241" s="814"/>
      <c r="G241" s="814"/>
      <c r="H241" s="814"/>
      <c r="I241" s="814"/>
      <c r="J241" s="814"/>
      <c r="K241" s="814"/>
      <c r="L241" s="815"/>
      <c r="M241" s="749"/>
      <c r="N241" s="749"/>
      <c r="O241" s="749"/>
      <c r="P241" s="749"/>
      <c r="Q241" s="749"/>
      <c r="R241" s="749"/>
      <c r="S241" s="749"/>
      <c r="T241" s="749"/>
      <c r="U241" s="749"/>
      <c r="V241" s="749"/>
      <c r="W241" s="749"/>
      <c r="X241" s="749"/>
      <c r="Y241" s="749"/>
      <c r="Z241" s="749"/>
      <c r="AA241" s="749"/>
      <c r="AB241" s="749"/>
      <c r="AC241" s="749"/>
      <c r="AD241" s="749"/>
      <c r="AI241">
        <f t="shared" si="102"/>
        <v>0</v>
      </c>
      <c r="AJ241">
        <f t="shared" si="103"/>
        <v>0</v>
      </c>
      <c r="AK241">
        <f t="shared" si="104"/>
        <v>0</v>
      </c>
    </row>
    <row r="242" spans="1:37" ht="15" customHeight="1">
      <c r="A242" s="108"/>
      <c r="B242" s="38"/>
      <c r="C242" s="98" t="s">
        <v>2530</v>
      </c>
      <c r="D242" s="813" t="s">
        <v>4628</v>
      </c>
      <c r="E242" s="814"/>
      <c r="F242" s="814"/>
      <c r="G242" s="814"/>
      <c r="H242" s="814"/>
      <c r="I242" s="814"/>
      <c r="J242" s="814"/>
      <c r="K242" s="814"/>
      <c r="L242" s="815"/>
      <c r="M242" s="749"/>
      <c r="N242" s="749"/>
      <c r="O242" s="749"/>
      <c r="P242" s="749"/>
      <c r="Q242" s="749"/>
      <c r="R242" s="749"/>
      <c r="S242" s="749"/>
      <c r="T242" s="749"/>
      <c r="U242" s="749"/>
      <c r="V242" s="749"/>
      <c r="W242" s="749"/>
      <c r="X242" s="749"/>
      <c r="Y242" s="749"/>
      <c r="Z242" s="749"/>
      <c r="AA242" s="749"/>
      <c r="AB242" s="749"/>
      <c r="AC242" s="749"/>
      <c r="AD242" s="749"/>
      <c r="AI242">
        <f t="shared" si="102"/>
        <v>0</v>
      </c>
      <c r="AJ242">
        <f t="shared" si="103"/>
        <v>0</v>
      </c>
      <c r="AK242">
        <f t="shared" si="104"/>
        <v>0</v>
      </c>
    </row>
    <row r="243" spans="1:37" ht="15" customHeight="1">
      <c r="A243" s="108"/>
      <c r="B243" s="38"/>
      <c r="C243" s="98" t="s">
        <v>2531</v>
      </c>
      <c r="D243" s="813" t="s">
        <v>4629</v>
      </c>
      <c r="E243" s="814"/>
      <c r="F243" s="814"/>
      <c r="G243" s="814"/>
      <c r="H243" s="814"/>
      <c r="I243" s="814"/>
      <c r="J243" s="814"/>
      <c r="K243" s="814"/>
      <c r="L243" s="815"/>
      <c r="M243" s="749"/>
      <c r="N243" s="749"/>
      <c r="O243" s="749"/>
      <c r="P243" s="749"/>
      <c r="Q243" s="749"/>
      <c r="R243" s="749"/>
      <c r="S243" s="749"/>
      <c r="T243" s="749"/>
      <c r="U243" s="749"/>
      <c r="V243" s="749"/>
      <c r="W243" s="749"/>
      <c r="X243" s="749"/>
      <c r="Y243" s="749"/>
      <c r="Z243" s="749"/>
      <c r="AA243" s="749"/>
      <c r="AB243" s="749"/>
      <c r="AC243" s="749"/>
      <c r="AD243" s="749"/>
      <c r="AI243">
        <f t="shared" si="102"/>
        <v>0</v>
      </c>
      <c r="AJ243">
        <f t="shared" si="103"/>
        <v>0</v>
      </c>
      <c r="AK243">
        <f t="shared" si="104"/>
        <v>0</v>
      </c>
    </row>
    <row r="244" spans="1:37" ht="15" customHeight="1">
      <c r="A244" s="108"/>
      <c r="B244" s="38"/>
      <c r="C244" s="98" t="s">
        <v>2532</v>
      </c>
      <c r="D244" s="813" t="s">
        <v>4630</v>
      </c>
      <c r="E244" s="814"/>
      <c r="F244" s="814"/>
      <c r="G244" s="814"/>
      <c r="H244" s="814"/>
      <c r="I244" s="814"/>
      <c r="J244" s="814"/>
      <c r="K244" s="814"/>
      <c r="L244" s="815"/>
      <c r="M244" s="749"/>
      <c r="N244" s="749"/>
      <c r="O244" s="749"/>
      <c r="P244" s="749"/>
      <c r="Q244" s="749"/>
      <c r="R244" s="749"/>
      <c r="S244" s="749"/>
      <c r="T244" s="749"/>
      <c r="U244" s="749"/>
      <c r="V244" s="749"/>
      <c r="W244" s="749"/>
      <c r="X244" s="749"/>
      <c r="Y244" s="749"/>
      <c r="Z244" s="749"/>
      <c r="AA244" s="749"/>
      <c r="AB244" s="749"/>
      <c r="AC244" s="749"/>
      <c r="AD244" s="749"/>
      <c r="AI244">
        <f t="shared" si="102"/>
        <v>0</v>
      </c>
      <c r="AJ244">
        <f t="shared" si="103"/>
        <v>0</v>
      </c>
      <c r="AK244">
        <f t="shared" si="104"/>
        <v>0</v>
      </c>
    </row>
    <row r="245" spans="1:37" ht="15" customHeight="1">
      <c r="A245" s="108"/>
      <c r="B245" s="38"/>
      <c r="C245" s="98" t="s">
        <v>2533</v>
      </c>
      <c r="D245" s="813" t="s">
        <v>4631</v>
      </c>
      <c r="E245" s="814"/>
      <c r="F245" s="814"/>
      <c r="G245" s="814"/>
      <c r="H245" s="814"/>
      <c r="I245" s="814"/>
      <c r="J245" s="814"/>
      <c r="K245" s="814"/>
      <c r="L245" s="815"/>
      <c r="M245" s="749"/>
      <c r="N245" s="749"/>
      <c r="O245" s="749"/>
      <c r="P245" s="749"/>
      <c r="Q245" s="749"/>
      <c r="R245" s="749"/>
      <c r="S245" s="749"/>
      <c r="T245" s="749"/>
      <c r="U245" s="749"/>
      <c r="V245" s="749"/>
      <c r="W245" s="749"/>
      <c r="X245" s="749"/>
      <c r="Y245" s="749"/>
      <c r="Z245" s="749"/>
      <c r="AA245" s="749"/>
      <c r="AB245" s="749"/>
      <c r="AC245" s="749"/>
      <c r="AD245" s="749"/>
      <c r="AI245">
        <f t="shared" si="102"/>
        <v>0</v>
      </c>
      <c r="AJ245">
        <f t="shared" si="103"/>
        <v>0</v>
      </c>
      <c r="AK245">
        <f t="shared" si="104"/>
        <v>0</v>
      </c>
    </row>
    <row r="246" spans="1:37" ht="15" customHeight="1">
      <c r="A246" s="108"/>
      <c r="B246" s="38"/>
      <c r="C246" s="98" t="s">
        <v>2534</v>
      </c>
      <c r="D246" s="813" t="s">
        <v>4632</v>
      </c>
      <c r="E246" s="814"/>
      <c r="F246" s="814"/>
      <c r="G246" s="814"/>
      <c r="H246" s="814"/>
      <c r="I246" s="814"/>
      <c r="J246" s="814"/>
      <c r="K246" s="814"/>
      <c r="L246" s="815"/>
      <c r="M246" s="749"/>
      <c r="N246" s="749"/>
      <c r="O246" s="749"/>
      <c r="P246" s="749"/>
      <c r="Q246" s="749"/>
      <c r="R246" s="749"/>
      <c r="S246" s="749"/>
      <c r="T246" s="749"/>
      <c r="U246" s="749"/>
      <c r="V246" s="749"/>
      <c r="W246" s="749"/>
      <c r="X246" s="749"/>
      <c r="Y246" s="749"/>
      <c r="Z246" s="749"/>
      <c r="AA246" s="749"/>
      <c r="AB246" s="749"/>
      <c r="AC246" s="749"/>
      <c r="AD246" s="749"/>
      <c r="AI246">
        <f t="shared" si="102"/>
        <v>0</v>
      </c>
      <c r="AJ246">
        <f t="shared" si="103"/>
        <v>0</v>
      </c>
      <c r="AK246">
        <f t="shared" si="104"/>
        <v>0</v>
      </c>
    </row>
    <row r="247" spans="1:37" ht="15" customHeight="1">
      <c r="A247" s="108"/>
      <c r="B247" s="38"/>
      <c r="C247" s="98" t="s">
        <v>2535</v>
      </c>
      <c r="D247" s="813" t="s">
        <v>201</v>
      </c>
      <c r="E247" s="814"/>
      <c r="F247" s="814"/>
      <c r="G247" s="814"/>
      <c r="H247" s="814"/>
      <c r="I247" s="814"/>
      <c r="J247" s="814"/>
      <c r="K247" s="814"/>
      <c r="L247" s="815"/>
      <c r="M247" s="749"/>
      <c r="N247" s="749"/>
      <c r="O247" s="749"/>
      <c r="P247" s="749"/>
      <c r="Q247" s="749"/>
      <c r="R247" s="749"/>
      <c r="S247" s="749"/>
      <c r="T247" s="749"/>
      <c r="U247" s="749"/>
      <c r="V247" s="749"/>
      <c r="W247" s="749"/>
      <c r="X247" s="749"/>
      <c r="Y247" s="749"/>
      <c r="Z247" s="749"/>
      <c r="AA247" s="749"/>
      <c r="AB247" s="749"/>
      <c r="AC247" s="749"/>
      <c r="AD247" s="749"/>
      <c r="AI247">
        <f t="shared" si="102"/>
        <v>0</v>
      </c>
      <c r="AJ247">
        <f t="shared" si="103"/>
        <v>0</v>
      </c>
      <c r="AK247">
        <f>IF(COUNTIF(M247:AD247,"NA")=3,0,IF(COUNTA(M247:AD247)=0,0,IF(OR(AND(M247=0,AI247&gt;0),AND(M247="ns",AJ247&gt;0),AND(M247="ns",AI247=0,AJ247=0)),1,IF(OR(AND(M247&gt;0,AI247=2),AND(M247="ns",AI247=2),AND(M247="ns",AJ247=0,AI247&gt;0),M247=AJ247),0,1))))</f>
        <v>0</v>
      </c>
    </row>
    <row r="248" spans="1:37" ht="15" customHeight="1">
      <c r="A248" s="108"/>
      <c r="B248" s="38"/>
      <c r="C248" s="38"/>
      <c r="D248" s="38"/>
      <c r="E248" s="38"/>
      <c r="F248" s="38"/>
      <c r="G248" s="38"/>
      <c r="H248" s="38"/>
      <c r="I248" s="38"/>
      <c r="J248" s="38"/>
      <c r="K248" s="38"/>
      <c r="L248" s="117" t="s">
        <v>2649</v>
      </c>
      <c r="M248" s="736">
        <f>IF(AND(SUM(M228:M247)=0,COUNTIF(M228:M247,"NS")&gt;0),"NS",IF(AND(SUM(M228:M247)=0,COUNTIF(M228:M247,0)&gt;0),0,IF(AND(SUM(M228:M247)=0,COUNTIF(M228:M247,"NA")&gt;0),"NA",SUM(M228:M247))))</f>
        <v>0</v>
      </c>
      <c r="N248" s="1085"/>
      <c r="O248" s="1085"/>
      <c r="P248" s="1085"/>
      <c r="Q248" s="1085"/>
      <c r="R248" s="1086"/>
      <c r="S248" s="736">
        <f>IF(AND(SUM(S228:S247)=0,COUNTIF(S228:S247,"NS")&gt;0),"NS",IF(AND(SUM(S228:S247)=0,COUNTIF(S228:S247,0)&gt;0),0,IF(AND(SUM(S228:S247)=0,COUNTIF(S228:S247,"NA")&gt;0),"NA",SUM(S228:S247))))</f>
        <v>0</v>
      </c>
      <c r="T248" s="1085"/>
      <c r="U248" s="1085"/>
      <c r="V248" s="1085"/>
      <c r="W248" s="1085"/>
      <c r="X248" s="1086"/>
      <c r="Y248" s="736">
        <f>IF(AND(SUM(Y228:Y247)=0,COUNTIF(Y228:Y247,"NS")&gt;0),"NS",IF(AND(SUM(Y228:Y247)=0,COUNTIF(Y228:Y247,0)&gt;0),0,IF(AND(SUM(Y228:Y247)=0,COUNTIF(Y228:Y247,"NA")&gt;0),"NA",SUM(Y228:Y247))))</f>
        <v>0</v>
      </c>
      <c r="Z248" s="1085"/>
      <c r="AA248" s="1085"/>
      <c r="AB248" s="1085"/>
      <c r="AC248" s="1085"/>
      <c r="AD248" s="1086"/>
      <c r="AI248">
        <f>SUM(AI228:AI247)</f>
        <v>0</v>
      </c>
      <c r="AK248" s="506">
        <f>SUM(AK228:AK247)</f>
        <v>0</v>
      </c>
    </row>
    <row r="249" spans="1:37" ht="15" customHeight="1">
      <c r="A249" s="10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c r="AC249" s="38"/>
      <c r="AD249" s="38"/>
    </row>
    <row r="250" spans="1:37" ht="24" customHeight="1">
      <c r="A250" s="108"/>
      <c r="B250" s="38"/>
      <c r="C250" s="830" t="s">
        <v>4633</v>
      </c>
      <c r="D250" s="1012"/>
      <c r="E250" s="1012"/>
      <c r="F250" s="1012"/>
      <c r="G250" s="1012"/>
      <c r="H250" s="1012"/>
      <c r="I250" s="1012"/>
      <c r="J250" s="1012"/>
      <c r="K250" s="1012"/>
      <c r="L250" s="1012"/>
      <c r="M250" s="1012"/>
      <c r="N250" s="1012"/>
      <c r="O250" s="1012"/>
      <c r="P250" s="1012"/>
      <c r="Q250" s="1012"/>
      <c r="R250" s="1012"/>
      <c r="S250" s="1012"/>
      <c r="T250" s="1012"/>
      <c r="U250" s="1012"/>
      <c r="V250" s="1012"/>
      <c r="W250" s="1012"/>
      <c r="X250" s="1012"/>
      <c r="Y250" s="1012"/>
      <c r="Z250" s="1012"/>
      <c r="AA250" s="1012"/>
      <c r="AB250" s="1012"/>
      <c r="AC250" s="1012"/>
      <c r="AD250" s="1012"/>
    </row>
    <row r="251" spans="1:37" ht="15" customHeight="1">
      <c r="A251" s="10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c r="AA251" s="38"/>
      <c r="AB251" s="38"/>
      <c r="AC251" s="38"/>
      <c r="AD251" s="38"/>
    </row>
    <row r="252" spans="1:37" ht="24" customHeight="1">
      <c r="A252" s="108"/>
      <c r="B252" s="38"/>
      <c r="C252" s="754" t="s">
        <v>2611</v>
      </c>
      <c r="D252" s="754"/>
      <c r="E252" s="754"/>
      <c r="F252" s="754"/>
      <c r="G252" s="754"/>
      <c r="H252" s="754"/>
      <c r="I252" s="754"/>
      <c r="J252" s="754"/>
      <c r="K252" s="754"/>
      <c r="L252" s="754"/>
      <c r="M252" s="754"/>
      <c r="N252" s="754"/>
      <c r="O252" s="754"/>
      <c r="P252" s="754"/>
      <c r="Q252" s="754"/>
      <c r="R252" s="754"/>
      <c r="S252" s="754"/>
      <c r="T252" s="754"/>
      <c r="U252" s="754"/>
      <c r="V252" s="754"/>
      <c r="W252" s="754"/>
      <c r="X252" s="754"/>
      <c r="Y252" s="754"/>
      <c r="Z252" s="754"/>
      <c r="AA252" s="754"/>
      <c r="AB252" s="754"/>
      <c r="AC252" s="754"/>
      <c r="AD252" s="754"/>
    </row>
    <row r="253" spans="1:37" ht="60" customHeight="1">
      <c r="A253" s="108"/>
      <c r="B253" s="38"/>
      <c r="C253" s="851"/>
      <c r="D253" s="851"/>
      <c r="E253" s="851"/>
      <c r="F253" s="851"/>
      <c r="G253" s="851"/>
      <c r="H253" s="851"/>
      <c r="I253" s="851"/>
      <c r="J253" s="851"/>
      <c r="K253" s="851"/>
      <c r="L253" s="851"/>
      <c r="M253" s="851"/>
      <c r="N253" s="851"/>
      <c r="O253" s="851"/>
      <c r="P253" s="851"/>
      <c r="Q253" s="851"/>
      <c r="R253" s="851"/>
      <c r="S253" s="851"/>
      <c r="T253" s="851"/>
      <c r="U253" s="851"/>
      <c r="V253" s="851"/>
      <c r="W253" s="851"/>
      <c r="X253" s="851"/>
      <c r="Y253" s="851"/>
      <c r="Z253" s="851"/>
      <c r="AA253" s="851"/>
      <c r="AB253" s="851"/>
      <c r="AC253" s="851"/>
      <c r="AD253" s="851"/>
    </row>
    <row r="254" spans="1:37" ht="15" customHeight="1">
      <c r="A254" s="108"/>
      <c r="B254" s="794" t="str">
        <f>IF(AG228=0,"","Favor de ingresar toda la información requerida en la pregunta")</f>
        <v/>
      </c>
      <c r="C254" s="794"/>
      <c r="D254" s="794"/>
      <c r="E254" s="794"/>
      <c r="F254" s="794"/>
      <c r="G254" s="794"/>
      <c r="H254" s="794"/>
      <c r="I254" s="794"/>
      <c r="J254" s="794"/>
      <c r="K254" s="794"/>
      <c r="L254" s="794"/>
      <c r="M254" s="794"/>
      <c r="N254" s="794"/>
      <c r="O254" s="794"/>
      <c r="P254" s="794"/>
      <c r="Q254" s="794"/>
      <c r="R254" s="794"/>
      <c r="S254" s="794"/>
      <c r="T254" s="794"/>
      <c r="U254" s="794"/>
      <c r="V254" s="794"/>
      <c r="W254" s="794"/>
      <c r="X254" s="794"/>
      <c r="Y254" s="794"/>
      <c r="Z254" s="794"/>
      <c r="AA254" s="794"/>
      <c r="AB254" s="794"/>
      <c r="AC254" s="794"/>
      <c r="AD254" s="794"/>
      <c r="AE254" s="794"/>
    </row>
    <row r="255" spans="1:37" ht="15" customHeight="1">
      <c r="A255" s="108"/>
      <c r="B255" s="1087" t="str">
        <f>IF(OR($M71=0,$M71="NS",$M71="NA"),"",IF(COUNTIF(M228:AD247,"NS")&lt;&gt;0,"Alerta: debido a que cuenta con registros NS, debe proporcionar una justificación en el area de comentarios al final de la pregunta",""))</f>
        <v/>
      </c>
      <c r="C255" s="1087"/>
      <c r="D255" s="1087"/>
      <c r="E255" s="1087"/>
      <c r="F255" s="1087"/>
      <c r="G255" s="1087"/>
      <c r="H255" s="1087"/>
      <c r="I255" s="1087"/>
      <c r="J255" s="1087"/>
      <c r="K255" s="1087"/>
      <c r="L255" s="1087"/>
      <c r="M255" s="1087"/>
      <c r="N255" s="1087"/>
      <c r="O255" s="1087"/>
      <c r="P255" s="1087"/>
      <c r="Q255" s="1087"/>
      <c r="R255" s="1087"/>
      <c r="S255" s="1087"/>
      <c r="T255" s="1087"/>
      <c r="U255" s="1087"/>
      <c r="V255" s="1087"/>
      <c r="W255" s="1087"/>
      <c r="X255" s="1087"/>
      <c r="Y255" s="1087"/>
      <c r="Z255" s="1087"/>
      <c r="AA255" s="1087"/>
      <c r="AB255" s="1087"/>
      <c r="AC255" s="1087"/>
      <c r="AD255" s="1087"/>
      <c r="AE255" s="1087"/>
    </row>
    <row r="256" spans="1:37" ht="15" customHeight="1">
      <c r="A256" s="108"/>
      <c r="B256" s="1003" t="str">
        <f>IF(AH228&gt;0,"Revise la información capturada, ya que tiene datos ingresados en celdas que están sombreadas","")</f>
        <v/>
      </c>
      <c r="C256" s="1003"/>
      <c r="D256" s="1003"/>
      <c r="E256" s="1003"/>
      <c r="F256" s="1003"/>
      <c r="G256" s="1003"/>
      <c r="H256" s="1003"/>
      <c r="I256" s="1003"/>
      <c r="J256" s="1003"/>
      <c r="K256" s="1003"/>
      <c r="L256" s="1003"/>
      <c r="M256" s="1003"/>
      <c r="N256" s="1003"/>
      <c r="O256" s="1003"/>
      <c r="P256" s="1003"/>
      <c r="Q256" s="1003"/>
      <c r="R256" s="1003"/>
      <c r="S256" s="1003"/>
      <c r="T256" s="1003"/>
      <c r="U256" s="1003"/>
      <c r="V256" s="1003"/>
      <c r="W256" s="1003"/>
      <c r="X256" s="1003"/>
      <c r="Y256" s="1003"/>
      <c r="Z256" s="1003"/>
      <c r="AA256" s="1003"/>
      <c r="AB256" s="1003"/>
      <c r="AC256" s="1003"/>
      <c r="AD256" s="1003"/>
      <c r="AE256" s="1003"/>
    </row>
    <row r="257" spans="1:37" ht="15" customHeight="1">
      <c r="A257" s="108"/>
      <c r="B257" s="1003" t="str">
        <f>IF(OR($M71=0,$M71="NS",$M71="NA"),"",IF(AK248&gt;0,"Favor de revisar la suma y consistencia de totales y/o subtotales por filas (numéricos y NS)",""))</f>
        <v/>
      </c>
      <c r="C257" s="1003"/>
      <c r="D257" s="1003"/>
      <c r="E257" s="1003"/>
      <c r="F257" s="1003"/>
      <c r="G257" s="1003"/>
      <c r="H257" s="1003"/>
      <c r="I257" s="1003"/>
      <c r="J257" s="1003"/>
      <c r="K257" s="1003"/>
      <c r="L257" s="1003"/>
      <c r="M257" s="1003"/>
      <c r="N257" s="1003"/>
      <c r="O257" s="1003"/>
      <c r="P257" s="1003"/>
      <c r="Q257" s="1003"/>
      <c r="R257" s="1003"/>
      <c r="S257" s="1003"/>
      <c r="T257" s="1003"/>
      <c r="U257" s="1003"/>
      <c r="V257" s="1003"/>
      <c r="W257" s="1003"/>
      <c r="X257" s="1003"/>
      <c r="Y257" s="1003"/>
      <c r="Z257" s="1003"/>
      <c r="AA257" s="1003"/>
      <c r="AB257" s="1003"/>
      <c r="AC257" s="1003"/>
      <c r="AD257" s="1003"/>
      <c r="AE257" s="1003"/>
    </row>
    <row r="258" spans="1:37" ht="15" customHeight="1">
      <c r="A258" s="108"/>
      <c r="B258" s="1003" t="str">
        <f>IF(OR($M$71=0,$M$71="NS",$M$71="NA"),"",IF(AND($M$71=M248,$S$71=S248,$Y$71=Y248),"","Las cantidades de Hombres y Mujeres debe corresponder con los datos reportados en la preg. 7.2"))</f>
        <v/>
      </c>
      <c r="C258" s="1003"/>
      <c r="D258" s="1003"/>
      <c r="E258" s="1003"/>
      <c r="F258" s="1003"/>
      <c r="G258" s="1003"/>
      <c r="H258" s="1003"/>
      <c r="I258" s="1003"/>
      <c r="J258" s="1003"/>
      <c r="K258" s="1003"/>
      <c r="L258" s="1003"/>
      <c r="M258" s="1003"/>
      <c r="N258" s="1003"/>
      <c r="O258" s="1003"/>
      <c r="P258" s="1003"/>
      <c r="Q258" s="1003"/>
      <c r="R258" s="1003"/>
      <c r="S258" s="1003"/>
      <c r="T258" s="1003"/>
      <c r="U258" s="1003"/>
      <c r="V258" s="1003"/>
      <c r="W258" s="1003"/>
      <c r="X258" s="1003"/>
      <c r="Y258" s="1003"/>
      <c r="Z258" s="1003"/>
      <c r="AA258" s="1003"/>
      <c r="AB258" s="1003"/>
      <c r="AC258" s="1003"/>
      <c r="AD258" s="1003"/>
      <c r="AE258" s="1003"/>
    </row>
    <row r="259" spans="1:37" ht="15" customHeight="1">
      <c r="A259" s="10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c r="AA259" s="38"/>
      <c r="AB259" s="38"/>
      <c r="AC259" s="38"/>
      <c r="AD259" s="38"/>
      <c r="AE259"/>
    </row>
    <row r="260" spans="1:37" ht="24" customHeight="1">
      <c r="A260" s="108" t="s">
        <v>4634</v>
      </c>
      <c r="B260" s="829" t="s">
        <v>4635</v>
      </c>
      <c r="C260" s="829"/>
      <c r="D260" s="829"/>
      <c r="E260" s="829"/>
      <c r="F260" s="829"/>
      <c r="G260" s="829"/>
      <c r="H260" s="829"/>
      <c r="I260" s="829"/>
      <c r="J260" s="829"/>
      <c r="K260" s="829"/>
      <c r="L260" s="829"/>
      <c r="M260" s="829"/>
      <c r="N260" s="829"/>
      <c r="O260" s="829"/>
      <c r="P260" s="829"/>
      <c r="Q260" s="829"/>
      <c r="R260" s="829"/>
      <c r="S260" s="829"/>
      <c r="T260" s="829"/>
      <c r="U260" s="829"/>
      <c r="V260" s="829"/>
      <c r="W260" s="829"/>
      <c r="X260" s="829"/>
      <c r="Y260" s="829"/>
      <c r="Z260" s="829"/>
      <c r="AA260" s="829"/>
      <c r="AB260" s="829"/>
      <c r="AC260" s="829"/>
      <c r="AD260" s="829"/>
    </row>
    <row r="261" spans="1:37" ht="15" customHeight="1">
      <c r="A261" s="10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c r="AA261" s="38"/>
      <c r="AB261" s="38"/>
      <c r="AC261" s="38"/>
      <c r="AD261" s="38"/>
    </row>
    <row r="262" spans="1:37" ht="15" customHeight="1">
      <c r="A262" s="108"/>
      <c r="B262" s="38"/>
      <c r="C262" s="880" t="s">
        <v>4636</v>
      </c>
      <c r="D262" s="880"/>
      <c r="E262" s="880"/>
      <c r="F262" s="880"/>
      <c r="G262" s="880"/>
      <c r="H262" s="880"/>
      <c r="I262" s="880"/>
      <c r="J262" s="880"/>
      <c r="K262" s="880"/>
      <c r="L262" s="880"/>
      <c r="M262" s="732" t="s">
        <v>4563</v>
      </c>
      <c r="N262" s="732"/>
      <c r="O262" s="732"/>
      <c r="P262" s="732"/>
      <c r="Q262" s="732"/>
      <c r="R262" s="732"/>
      <c r="S262" s="732"/>
      <c r="T262" s="732"/>
      <c r="U262" s="732"/>
      <c r="V262" s="732"/>
      <c r="W262" s="732"/>
      <c r="X262" s="732"/>
      <c r="Y262" s="732"/>
      <c r="Z262" s="732"/>
      <c r="AA262" s="732"/>
      <c r="AB262" s="732"/>
      <c r="AC262" s="732"/>
      <c r="AD262" s="732"/>
    </row>
    <row r="263" spans="1:37" ht="15" customHeight="1">
      <c r="A263" s="108"/>
      <c r="B263" s="38"/>
      <c r="C263" s="880"/>
      <c r="D263" s="880"/>
      <c r="E263" s="880"/>
      <c r="F263" s="880"/>
      <c r="G263" s="880"/>
      <c r="H263" s="880"/>
      <c r="I263" s="880"/>
      <c r="J263" s="880"/>
      <c r="K263" s="880"/>
      <c r="L263" s="880"/>
      <c r="M263" s="987" t="s">
        <v>2628</v>
      </c>
      <c r="N263" s="988"/>
      <c r="O263" s="988"/>
      <c r="P263" s="988"/>
      <c r="Q263" s="988"/>
      <c r="R263" s="988"/>
      <c r="S263" s="989" t="s">
        <v>2629</v>
      </c>
      <c r="T263" s="990"/>
      <c r="U263" s="990"/>
      <c r="V263" s="990"/>
      <c r="W263" s="990"/>
      <c r="X263" s="990"/>
      <c r="Y263" s="989" t="s">
        <v>2630</v>
      </c>
      <c r="Z263" s="990"/>
      <c r="AA263" s="990"/>
      <c r="AB263" s="990"/>
      <c r="AC263" s="990"/>
      <c r="AD263" s="990"/>
      <c r="AG263" t="s">
        <v>2586</v>
      </c>
      <c r="AH263" t="s">
        <v>4599</v>
      </c>
      <c r="AI263" t="s">
        <v>2590</v>
      </c>
      <c r="AJ263" t="s">
        <v>3163</v>
      </c>
      <c r="AK263" t="s">
        <v>4564</v>
      </c>
    </row>
    <row r="264" spans="1:37" ht="15" customHeight="1">
      <c r="A264" s="108"/>
      <c r="B264" s="38"/>
      <c r="C264" s="97" t="s">
        <v>2516</v>
      </c>
      <c r="D264" s="796" t="s">
        <v>4637</v>
      </c>
      <c r="E264" s="796"/>
      <c r="F264" s="796"/>
      <c r="G264" s="796"/>
      <c r="H264" s="796"/>
      <c r="I264" s="796"/>
      <c r="J264" s="796"/>
      <c r="K264" s="796"/>
      <c r="L264" s="796"/>
      <c r="M264" s="749"/>
      <c r="N264" s="749"/>
      <c r="O264" s="749"/>
      <c r="P264" s="749"/>
      <c r="Q264" s="749"/>
      <c r="R264" s="749"/>
      <c r="S264" s="749"/>
      <c r="T264" s="749"/>
      <c r="U264" s="749"/>
      <c r="V264" s="749"/>
      <c r="W264" s="749"/>
      <c r="X264" s="749"/>
      <c r="Y264" s="749"/>
      <c r="Z264" s="749"/>
      <c r="AA264" s="749"/>
      <c r="AB264" s="749"/>
      <c r="AC264" s="749"/>
      <c r="AD264" s="749"/>
      <c r="AG264" s="506">
        <f>IF(OR($M$71=0,$M$71="NS",$M$71="NA"),0,IF(COUNTBLANK(M264:AD275)=180,0,1))</f>
        <v>0</v>
      </c>
      <c r="AH264" s="506">
        <f>IF(OR($M$71=0,$M$71="NS",$M$71="NA"),IF(COUNTBLANK(M264:AD275)=216,0,1),0)</f>
        <v>0</v>
      </c>
      <c r="AI264">
        <f t="shared" ref="AI264" si="105">COUNTIF(S264:AD264,"NS")</f>
        <v>0</v>
      </c>
      <c r="AJ264">
        <f t="shared" ref="AJ264" si="106">SUM(S264:AD264)</f>
        <v>0</v>
      </c>
      <c r="AK264">
        <f t="shared" ref="AK264" si="107">IF(COUNTIF(M264:AD264,"NA")=3,0,IF(COUNTA(M264:AD264)=0,0,IF(OR(AND(M264=0,AI264&gt;0),AND(M264="ns",AJ264&gt;0),AND(M264="ns",AI264=0,AJ264=0)),1,IF(OR(AND(M264&gt;0,AI264=2),AND(M264="ns",AI264=2),AND(M264="ns",AJ264=0,AI264&gt;0),M264=AJ264),0,1))))</f>
        <v>0</v>
      </c>
    </row>
    <row r="265" spans="1:37" ht="15" customHeight="1">
      <c r="A265" s="186"/>
      <c r="B265" s="57"/>
      <c r="C265" s="98" t="s">
        <v>2517</v>
      </c>
      <c r="D265" s="796" t="s">
        <v>4638</v>
      </c>
      <c r="E265" s="796"/>
      <c r="F265" s="796"/>
      <c r="G265" s="796"/>
      <c r="H265" s="796"/>
      <c r="I265" s="796"/>
      <c r="J265" s="796"/>
      <c r="K265" s="796"/>
      <c r="L265" s="796"/>
      <c r="M265" s="749"/>
      <c r="N265" s="749"/>
      <c r="O265" s="749"/>
      <c r="P265" s="749"/>
      <c r="Q265" s="749"/>
      <c r="R265" s="749"/>
      <c r="S265" s="749"/>
      <c r="T265" s="749"/>
      <c r="U265" s="749"/>
      <c r="V265" s="749"/>
      <c r="W265" s="749"/>
      <c r="X265" s="749"/>
      <c r="Y265" s="749"/>
      <c r="Z265" s="749"/>
      <c r="AA265" s="749"/>
      <c r="AB265" s="749"/>
      <c r="AC265" s="749"/>
      <c r="AD265" s="749"/>
      <c r="AI265">
        <f t="shared" ref="AI265:AI275" si="108">COUNTIF(S265:AD265,"NS")</f>
        <v>0</v>
      </c>
      <c r="AJ265">
        <f t="shared" ref="AJ265:AJ275" si="109">SUM(S265:AD265)</f>
        <v>0</v>
      </c>
      <c r="AK265">
        <f t="shared" ref="AK265:AK274" si="110">IF(COUNTIF(M265:AD265,"NA")=3,0,IF(COUNTA(M265:AD265)=0,0,IF(OR(AND(M265=0,AI265&gt;0),AND(M265="ns",AJ265&gt;0),AND(M265="ns",AI265=0,AJ265=0)),1,IF(OR(AND(M265&gt;0,AI265=2),AND(M265="ns",AI265=2),AND(M265="ns",AJ265=0,AI265&gt;0),M265=AJ265),0,1))))</f>
        <v>0</v>
      </c>
    </row>
    <row r="266" spans="1:37" ht="15" customHeight="1">
      <c r="A266" s="186"/>
      <c r="B266" s="57"/>
      <c r="C266" s="98" t="s">
        <v>2518</v>
      </c>
      <c r="D266" s="1088" t="s">
        <v>4639</v>
      </c>
      <c r="E266" s="1089"/>
      <c r="F266" s="1089"/>
      <c r="G266" s="1089"/>
      <c r="H266" s="1089"/>
      <c r="I266" s="1089"/>
      <c r="J266" s="1089"/>
      <c r="K266" s="1089"/>
      <c r="L266" s="1090"/>
      <c r="M266" s="749"/>
      <c r="N266" s="749"/>
      <c r="O266" s="749"/>
      <c r="P266" s="749"/>
      <c r="Q266" s="749"/>
      <c r="R266" s="749"/>
      <c r="S266" s="749"/>
      <c r="T266" s="749"/>
      <c r="U266" s="749"/>
      <c r="V266" s="749"/>
      <c r="W266" s="749"/>
      <c r="X266" s="749"/>
      <c r="Y266" s="749"/>
      <c r="Z266" s="749"/>
      <c r="AA266" s="749"/>
      <c r="AB266" s="749"/>
      <c r="AC266" s="749"/>
      <c r="AD266" s="749"/>
      <c r="AI266">
        <f t="shared" si="108"/>
        <v>0</v>
      </c>
      <c r="AJ266">
        <f t="shared" si="109"/>
        <v>0</v>
      </c>
      <c r="AK266">
        <f t="shared" si="110"/>
        <v>0</v>
      </c>
    </row>
    <row r="267" spans="1:37" ht="15" customHeight="1">
      <c r="A267" s="186"/>
      <c r="B267" s="57"/>
      <c r="C267" s="98" t="s">
        <v>2519</v>
      </c>
      <c r="D267" s="1088" t="s">
        <v>4640</v>
      </c>
      <c r="E267" s="1089"/>
      <c r="F267" s="1089"/>
      <c r="G267" s="1089"/>
      <c r="H267" s="1089"/>
      <c r="I267" s="1089"/>
      <c r="J267" s="1089"/>
      <c r="K267" s="1089"/>
      <c r="L267" s="1090"/>
      <c r="M267" s="749"/>
      <c r="N267" s="749"/>
      <c r="O267" s="749"/>
      <c r="P267" s="749"/>
      <c r="Q267" s="749"/>
      <c r="R267" s="749"/>
      <c r="S267" s="749"/>
      <c r="T267" s="749"/>
      <c r="U267" s="749"/>
      <c r="V267" s="749"/>
      <c r="W267" s="749"/>
      <c r="X267" s="749"/>
      <c r="Y267" s="749"/>
      <c r="Z267" s="749"/>
      <c r="AA267" s="749"/>
      <c r="AB267" s="749"/>
      <c r="AC267" s="749"/>
      <c r="AD267" s="749"/>
      <c r="AI267">
        <f t="shared" si="108"/>
        <v>0</v>
      </c>
      <c r="AJ267">
        <f t="shared" si="109"/>
        <v>0</v>
      </c>
      <c r="AK267">
        <f t="shared" si="110"/>
        <v>0</v>
      </c>
    </row>
    <row r="268" spans="1:37">
      <c r="A268" s="186"/>
      <c r="B268" s="57"/>
      <c r="C268" s="98" t="s">
        <v>2520</v>
      </c>
      <c r="D268" s="1088" t="s">
        <v>4641</v>
      </c>
      <c r="E268" s="1089"/>
      <c r="F268" s="1089"/>
      <c r="G268" s="1089"/>
      <c r="H268" s="1089"/>
      <c r="I268" s="1089"/>
      <c r="J268" s="1089"/>
      <c r="K268" s="1089"/>
      <c r="L268" s="1090"/>
      <c r="M268" s="749"/>
      <c r="N268" s="749"/>
      <c r="O268" s="749"/>
      <c r="P268" s="749"/>
      <c r="Q268" s="749"/>
      <c r="R268" s="749"/>
      <c r="S268" s="749"/>
      <c r="T268" s="749"/>
      <c r="U268" s="749"/>
      <c r="V268" s="749"/>
      <c r="W268" s="749"/>
      <c r="X268" s="749"/>
      <c r="Y268" s="749"/>
      <c r="Z268" s="749"/>
      <c r="AA268" s="749"/>
      <c r="AB268" s="749"/>
      <c r="AC268" s="749"/>
      <c r="AD268" s="749"/>
      <c r="AI268">
        <f t="shared" si="108"/>
        <v>0</v>
      </c>
      <c r="AJ268">
        <f t="shared" si="109"/>
        <v>0</v>
      </c>
      <c r="AK268">
        <f t="shared" si="110"/>
        <v>0</v>
      </c>
    </row>
    <row r="269" spans="1:37">
      <c r="A269" s="186"/>
      <c r="B269" s="57"/>
      <c r="C269" s="98" t="s">
        <v>2521</v>
      </c>
      <c r="D269" s="1088" t="s">
        <v>4642</v>
      </c>
      <c r="E269" s="1089"/>
      <c r="F269" s="1089"/>
      <c r="G269" s="1089"/>
      <c r="H269" s="1089"/>
      <c r="I269" s="1089"/>
      <c r="J269" s="1089"/>
      <c r="K269" s="1089"/>
      <c r="L269" s="1090"/>
      <c r="M269" s="749"/>
      <c r="N269" s="749"/>
      <c r="O269" s="749"/>
      <c r="P269" s="749"/>
      <c r="Q269" s="749"/>
      <c r="R269" s="749"/>
      <c r="S269" s="749"/>
      <c r="T269" s="749"/>
      <c r="U269" s="749"/>
      <c r="V269" s="749"/>
      <c r="W269" s="749"/>
      <c r="X269" s="749"/>
      <c r="Y269" s="749"/>
      <c r="Z269" s="749"/>
      <c r="AA269" s="749"/>
      <c r="AB269" s="749"/>
      <c r="AC269" s="749"/>
      <c r="AD269" s="749"/>
      <c r="AI269">
        <f t="shared" si="108"/>
        <v>0</v>
      </c>
      <c r="AJ269">
        <f t="shared" si="109"/>
        <v>0</v>
      </c>
      <c r="AK269">
        <f t="shared" si="110"/>
        <v>0</v>
      </c>
    </row>
    <row r="270" spans="1:37">
      <c r="A270" s="186"/>
      <c r="B270" s="57"/>
      <c r="C270" s="98" t="s">
        <v>2522</v>
      </c>
      <c r="D270" s="1088" t="s">
        <v>4643</v>
      </c>
      <c r="E270" s="1089"/>
      <c r="F270" s="1089"/>
      <c r="G270" s="1089"/>
      <c r="H270" s="1089"/>
      <c r="I270" s="1089"/>
      <c r="J270" s="1089"/>
      <c r="K270" s="1089"/>
      <c r="L270" s="1090"/>
      <c r="M270" s="749"/>
      <c r="N270" s="749"/>
      <c r="O270" s="749"/>
      <c r="P270" s="749"/>
      <c r="Q270" s="749"/>
      <c r="R270" s="749"/>
      <c r="S270" s="749"/>
      <c r="T270" s="749"/>
      <c r="U270" s="749"/>
      <c r="V270" s="749"/>
      <c r="W270" s="749"/>
      <c r="X270" s="749"/>
      <c r="Y270" s="749"/>
      <c r="Z270" s="749"/>
      <c r="AA270" s="749"/>
      <c r="AB270" s="749"/>
      <c r="AC270" s="749"/>
      <c r="AD270" s="749"/>
      <c r="AI270">
        <f t="shared" si="108"/>
        <v>0</v>
      </c>
      <c r="AJ270">
        <f t="shared" si="109"/>
        <v>0</v>
      </c>
      <c r="AK270">
        <f t="shared" si="110"/>
        <v>0</v>
      </c>
    </row>
    <row r="271" spans="1:37">
      <c r="A271" s="186"/>
      <c r="B271" s="57"/>
      <c r="C271" s="98" t="s">
        <v>2523</v>
      </c>
      <c r="D271" s="1088" t="s">
        <v>4644</v>
      </c>
      <c r="E271" s="1089"/>
      <c r="F271" s="1089"/>
      <c r="G271" s="1089"/>
      <c r="H271" s="1089"/>
      <c r="I271" s="1089"/>
      <c r="J271" s="1089"/>
      <c r="K271" s="1089"/>
      <c r="L271" s="1090"/>
      <c r="M271" s="749"/>
      <c r="N271" s="749"/>
      <c r="O271" s="749"/>
      <c r="P271" s="749"/>
      <c r="Q271" s="749"/>
      <c r="R271" s="749"/>
      <c r="S271" s="749"/>
      <c r="T271" s="749"/>
      <c r="U271" s="749"/>
      <c r="V271" s="749"/>
      <c r="W271" s="749"/>
      <c r="X271" s="749"/>
      <c r="Y271" s="749"/>
      <c r="Z271" s="749"/>
      <c r="AA271" s="749"/>
      <c r="AB271" s="749"/>
      <c r="AC271" s="749"/>
      <c r="AD271" s="749"/>
      <c r="AI271">
        <f t="shared" si="108"/>
        <v>0</v>
      </c>
      <c r="AJ271">
        <f t="shared" si="109"/>
        <v>0</v>
      </c>
      <c r="AK271">
        <f t="shared" si="110"/>
        <v>0</v>
      </c>
    </row>
    <row r="272" spans="1:37">
      <c r="A272" s="186"/>
      <c r="B272" s="57"/>
      <c r="C272" s="98" t="s">
        <v>2524</v>
      </c>
      <c r="D272" s="1088" t="s">
        <v>4645</v>
      </c>
      <c r="E272" s="1089"/>
      <c r="F272" s="1089"/>
      <c r="G272" s="1089"/>
      <c r="H272" s="1089"/>
      <c r="I272" s="1089"/>
      <c r="J272" s="1089"/>
      <c r="K272" s="1089"/>
      <c r="L272" s="1090"/>
      <c r="M272" s="749"/>
      <c r="N272" s="749"/>
      <c r="O272" s="749"/>
      <c r="P272" s="749"/>
      <c r="Q272" s="749"/>
      <c r="R272" s="749"/>
      <c r="S272" s="749"/>
      <c r="T272" s="749"/>
      <c r="U272" s="749"/>
      <c r="V272" s="749"/>
      <c r="W272" s="749"/>
      <c r="X272" s="749"/>
      <c r="Y272" s="749"/>
      <c r="Z272" s="749"/>
      <c r="AA272" s="749"/>
      <c r="AB272" s="749"/>
      <c r="AC272" s="749"/>
      <c r="AD272" s="749"/>
      <c r="AI272">
        <f t="shared" si="108"/>
        <v>0</v>
      </c>
      <c r="AJ272">
        <f t="shared" si="109"/>
        <v>0</v>
      </c>
      <c r="AK272">
        <f t="shared" si="110"/>
        <v>0</v>
      </c>
    </row>
    <row r="273" spans="1:37">
      <c r="A273" s="186"/>
      <c r="B273" s="57"/>
      <c r="C273" s="98" t="s">
        <v>2525</v>
      </c>
      <c r="D273" s="1088" t="s">
        <v>4646</v>
      </c>
      <c r="E273" s="1089"/>
      <c r="F273" s="1089"/>
      <c r="G273" s="1089"/>
      <c r="H273" s="1089"/>
      <c r="I273" s="1089"/>
      <c r="J273" s="1089"/>
      <c r="K273" s="1089"/>
      <c r="L273" s="1090"/>
      <c r="M273" s="749"/>
      <c r="N273" s="749"/>
      <c r="O273" s="749"/>
      <c r="P273" s="749"/>
      <c r="Q273" s="749"/>
      <c r="R273" s="749"/>
      <c r="S273" s="749"/>
      <c r="T273" s="749"/>
      <c r="U273" s="749"/>
      <c r="V273" s="749"/>
      <c r="W273" s="749"/>
      <c r="X273" s="749"/>
      <c r="Y273" s="749"/>
      <c r="Z273" s="749"/>
      <c r="AA273" s="749"/>
      <c r="AB273" s="749"/>
      <c r="AC273" s="749"/>
      <c r="AD273" s="749"/>
      <c r="AI273">
        <f t="shared" si="108"/>
        <v>0</v>
      </c>
      <c r="AJ273">
        <f t="shared" si="109"/>
        <v>0</v>
      </c>
      <c r="AK273">
        <f t="shared" si="110"/>
        <v>0</v>
      </c>
    </row>
    <row r="274" spans="1:37">
      <c r="A274" s="186"/>
      <c r="B274" s="57"/>
      <c r="C274" s="98" t="s">
        <v>2526</v>
      </c>
      <c r="D274" s="1088" t="s">
        <v>4647</v>
      </c>
      <c r="E274" s="1089"/>
      <c r="F274" s="1089"/>
      <c r="G274" s="1089"/>
      <c r="H274" s="1089"/>
      <c r="I274" s="1089"/>
      <c r="J274" s="1089"/>
      <c r="K274" s="1089"/>
      <c r="L274" s="1090"/>
      <c r="M274" s="749"/>
      <c r="N274" s="749"/>
      <c r="O274" s="749"/>
      <c r="P274" s="749"/>
      <c r="Q274" s="749"/>
      <c r="R274" s="749"/>
      <c r="S274" s="749"/>
      <c r="T274" s="749"/>
      <c r="U274" s="749"/>
      <c r="V274" s="749"/>
      <c r="W274" s="749"/>
      <c r="X274" s="749"/>
      <c r="Y274" s="749"/>
      <c r="Z274" s="749"/>
      <c r="AA274" s="749"/>
      <c r="AB274" s="749"/>
      <c r="AC274" s="749"/>
      <c r="AD274" s="749"/>
      <c r="AI274">
        <f t="shared" si="108"/>
        <v>0</v>
      </c>
      <c r="AJ274">
        <f t="shared" si="109"/>
        <v>0</v>
      </c>
      <c r="AK274">
        <f t="shared" si="110"/>
        <v>0</v>
      </c>
    </row>
    <row r="275" spans="1:37" ht="15" customHeight="1">
      <c r="A275" s="186"/>
      <c r="B275" s="57"/>
      <c r="C275" s="98" t="s">
        <v>2527</v>
      </c>
      <c r="D275" s="1088" t="s">
        <v>201</v>
      </c>
      <c r="E275" s="1089"/>
      <c r="F275" s="1089"/>
      <c r="G275" s="1089"/>
      <c r="H275" s="1089"/>
      <c r="I275" s="1089"/>
      <c r="J275" s="1089"/>
      <c r="K275" s="1089"/>
      <c r="L275" s="1090"/>
      <c r="M275" s="749"/>
      <c r="N275" s="749"/>
      <c r="O275" s="749"/>
      <c r="P275" s="749"/>
      <c r="Q275" s="749"/>
      <c r="R275" s="749"/>
      <c r="S275" s="749"/>
      <c r="T275" s="749"/>
      <c r="U275" s="749"/>
      <c r="V275" s="749"/>
      <c r="W275" s="749"/>
      <c r="X275" s="749"/>
      <c r="Y275" s="749"/>
      <c r="Z275" s="749"/>
      <c r="AA275" s="749"/>
      <c r="AB275" s="749"/>
      <c r="AC275" s="749"/>
      <c r="AD275" s="749"/>
      <c r="AI275">
        <f t="shared" si="108"/>
        <v>0</v>
      </c>
      <c r="AJ275">
        <f t="shared" si="109"/>
        <v>0</v>
      </c>
      <c r="AK275">
        <f>IF(COUNTIF(M275:AD275,"NA")=3,0,IF(COUNTA(M275:AD275)=0,0,IF(OR(AND(M275=0,AI275&gt;0),AND(M275="ns",AJ275&gt;0),AND(M275="ns",AI275=0,AJ275=0)),1,IF(OR(AND(M275&gt;0,AI275=2),AND(M275="ns",AI275=2),AND(M275="ns",AJ275=0,AI275&gt;0),M275=AJ275),0,1))))</f>
        <v>0</v>
      </c>
    </row>
    <row r="276" spans="1:37" ht="15" customHeight="1">
      <c r="A276" s="186"/>
      <c r="B276" s="57"/>
      <c r="C276" s="38"/>
      <c r="D276" s="38"/>
      <c r="E276" s="38"/>
      <c r="F276" s="38"/>
      <c r="G276" s="38"/>
      <c r="H276" s="38"/>
      <c r="I276" s="38"/>
      <c r="J276" s="38"/>
      <c r="K276" s="38"/>
      <c r="L276" s="117" t="s">
        <v>2649</v>
      </c>
      <c r="M276" s="736">
        <f>IF(AND(SUM(M264:M275)=0,COUNTIF(M264:M275,"NS")&gt;0),"NS",IF(AND(SUM(M264:M275)=0,COUNTIF(M264:M275,0)&gt;0),0,IF(AND(SUM(M264:M275)=0,COUNTIF(M264:M275,"NA")&gt;0),"NA",SUM(M264:M275))))</f>
        <v>0</v>
      </c>
      <c r="N276" s="1085"/>
      <c r="O276" s="1085"/>
      <c r="P276" s="1085"/>
      <c r="Q276" s="1085"/>
      <c r="R276" s="1086"/>
      <c r="S276" s="736">
        <f>IF(AND(SUM(S264:S275)=0,COUNTIF(S264:S275,"NS")&gt;0),"NS",IF(AND(SUM(S264:S275)=0,COUNTIF(S264:S275,0)&gt;0),0,IF(AND(SUM(S264:S275)=0,COUNTIF(S264:S275,"NA")&gt;0),"NA",SUM(S264:S275))))</f>
        <v>0</v>
      </c>
      <c r="T276" s="1085"/>
      <c r="U276" s="1085"/>
      <c r="V276" s="1085"/>
      <c r="W276" s="1085"/>
      <c r="X276" s="1086"/>
      <c r="Y276" s="736">
        <f>IF(AND(SUM(Y264:Y275)=0,COUNTIF(Y264:Y275,"NS")&gt;0),"NS",IF(AND(SUM(Y264:Y275)=0,COUNTIF(Y264:Y275,0)&gt;0),0,IF(AND(SUM(Y264:Y275)=0,COUNTIF(Y264:Y275,"NA")&gt;0),"NA",SUM(Y264:Y275))))</f>
        <v>0</v>
      </c>
      <c r="Z276" s="1085"/>
      <c r="AA276" s="1085"/>
      <c r="AB276" s="1085"/>
      <c r="AC276" s="1085"/>
      <c r="AD276" s="1086"/>
      <c r="AI276">
        <f>SUM(AI264:AI275)</f>
        <v>0</v>
      </c>
      <c r="AK276" s="506">
        <f>SUM(AK264:AK275)</f>
        <v>0</v>
      </c>
    </row>
    <row r="277" spans="1:37" ht="15" customHeight="1">
      <c r="A277" s="186"/>
      <c r="B277" s="57"/>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c r="AA277" s="38"/>
      <c r="AB277" s="38"/>
      <c r="AC277" s="38"/>
      <c r="AD277" s="38"/>
    </row>
    <row r="278" spans="1:37" ht="24" customHeight="1">
      <c r="A278" s="186"/>
      <c r="B278" s="57"/>
      <c r="C278" s="830" t="s">
        <v>4648</v>
      </c>
      <c r="D278" s="1012"/>
      <c r="E278" s="1012"/>
      <c r="F278" s="1012"/>
      <c r="G278" s="1012"/>
      <c r="H278" s="1012"/>
      <c r="I278" s="1012"/>
      <c r="J278" s="1012"/>
      <c r="K278" s="1012"/>
      <c r="L278" s="1012"/>
      <c r="M278" s="1012"/>
      <c r="N278" s="1012"/>
      <c r="O278" s="1012"/>
      <c r="P278" s="1012"/>
      <c r="Q278" s="1012"/>
      <c r="R278" s="1012"/>
      <c r="S278" s="1012"/>
      <c r="T278" s="1012"/>
      <c r="U278" s="1012"/>
      <c r="V278" s="1012"/>
      <c r="W278" s="1012"/>
      <c r="X278" s="1012"/>
      <c r="Y278" s="1012"/>
      <c r="Z278" s="1012"/>
      <c r="AA278" s="1012"/>
      <c r="AB278" s="1012"/>
      <c r="AC278" s="1012"/>
      <c r="AD278" s="1012"/>
    </row>
    <row r="279" spans="1:37" ht="15" customHeight="1">
      <c r="A279" s="186"/>
      <c r="B279" s="57"/>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c r="AA279" s="38"/>
      <c r="AB279" s="38"/>
      <c r="AC279" s="38"/>
      <c r="AD279" s="38"/>
    </row>
    <row r="280" spans="1:37" ht="24" customHeight="1">
      <c r="A280" s="108"/>
      <c r="B280" s="38"/>
      <c r="C280" s="754" t="s">
        <v>2611</v>
      </c>
      <c r="D280" s="754"/>
      <c r="E280" s="754"/>
      <c r="F280" s="754"/>
      <c r="G280" s="754"/>
      <c r="H280" s="754"/>
      <c r="I280" s="754"/>
      <c r="J280" s="754"/>
      <c r="K280" s="754"/>
      <c r="L280" s="754"/>
      <c r="M280" s="754"/>
      <c r="N280" s="754"/>
      <c r="O280" s="754"/>
      <c r="P280" s="754"/>
      <c r="Q280" s="754"/>
      <c r="R280" s="754"/>
      <c r="S280" s="754"/>
      <c r="T280" s="754"/>
      <c r="U280" s="754"/>
      <c r="V280" s="754"/>
      <c r="W280" s="754"/>
      <c r="X280" s="754"/>
      <c r="Y280" s="754"/>
      <c r="Z280" s="754"/>
      <c r="AA280" s="754"/>
      <c r="AB280" s="754"/>
      <c r="AC280" s="754"/>
      <c r="AD280" s="754"/>
    </row>
    <row r="281" spans="1:37" ht="60" customHeight="1">
      <c r="A281" s="108"/>
      <c r="B281" s="38"/>
      <c r="C281" s="851"/>
      <c r="D281" s="851"/>
      <c r="E281" s="851"/>
      <c r="F281" s="851"/>
      <c r="G281" s="851"/>
      <c r="H281" s="851"/>
      <c r="I281" s="851"/>
      <c r="J281" s="851"/>
      <c r="K281" s="851"/>
      <c r="L281" s="851"/>
      <c r="M281" s="851"/>
      <c r="N281" s="851"/>
      <c r="O281" s="851"/>
      <c r="P281" s="851"/>
      <c r="Q281" s="851"/>
      <c r="R281" s="851"/>
      <c r="S281" s="851"/>
      <c r="T281" s="851"/>
      <c r="U281" s="851"/>
      <c r="V281" s="851"/>
      <c r="W281" s="851"/>
      <c r="X281" s="851"/>
      <c r="Y281" s="851"/>
      <c r="Z281" s="851"/>
      <c r="AA281" s="851"/>
      <c r="AB281" s="851"/>
      <c r="AC281" s="851"/>
      <c r="AD281" s="851"/>
    </row>
    <row r="282" spans="1:37" ht="15" customHeight="1">
      <c r="A282" s="108"/>
      <c r="B282" s="794" t="str">
        <f>IF(AG264=0,"","Favor de ingresar toda la información requerida en la pregunta")</f>
        <v/>
      </c>
      <c r="C282" s="794"/>
      <c r="D282" s="794"/>
      <c r="E282" s="794"/>
      <c r="F282" s="794"/>
      <c r="G282" s="794"/>
      <c r="H282" s="794"/>
      <c r="I282" s="794"/>
      <c r="J282" s="794"/>
      <c r="K282" s="794"/>
      <c r="L282" s="794"/>
      <c r="M282" s="794"/>
      <c r="N282" s="794"/>
      <c r="O282" s="794"/>
      <c r="P282" s="794"/>
      <c r="Q282" s="794"/>
      <c r="R282" s="794"/>
      <c r="S282" s="794"/>
      <c r="T282" s="794"/>
      <c r="U282" s="794"/>
      <c r="V282" s="794"/>
      <c r="W282" s="794"/>
      <c r="X282" s="794"/>
      <c r="Y282" s="794"/>
      <c r="Z282" s="794"/>
      <c r="AA282" s="794"/>
      <c r="AB282" s="794"/>
      <c r="AC282" s="794"/>
      <c r="AD282" s="794"/>
      <c r="AE282" s="794"/>
    </row>
    <row r="283" spans="1:37" ht="15" customHeight="1">
      <c r="A283" s="108"/>
      <c r="B283" s="1087" t="str">
        <f>IF(OR($M71=0,$M71="NS",$M71="NA"),"",IF(COUNTIF(M264:AD275,"NS")&lt;&gt;0,"Alerta: debido a que cuenta con registros NS, debe proporcionar una justificación en el area de comentarios al final de la pregunta",""))</f>
        <v/>
      </c>
      <c r="C283" s="1087"/>
      <c r="D283" s="1087"/>
      <c r="E283" s="1087"/>
      <c r="F283" s="1087"/>
      <c r="G283" s="1087"/>
      <c r="H283" s="1087"/>
      <c r="I283" s="1087"/>
      <c r="J283" s="1087"/>
      <c r="K283" s="1087"/>
      <c r="L283" s="1087"/>
      <c r="M283" s="1087"/>
      <c r="N283" s="1087"/>
      <c r="O283" s="1087"/>
      <c r="P283" s="1087"/>
      <c r="Q283" s="1087"/>
      <c r="R283" s="1087"/>
      <c r="S283" s="1087"/>
      <c r="T283" s="1087"/>
      <c r="U283" s="1087"/>
      <c r="V283" s="1087"/>
      <c r="W283" s="1087"/>
      <c r="X283" s="1087"/>
      <c r="Y283" s="1087"/>
      <c r="Z283" s="1087"/>
      <c r="AA283" s="1087"/>
      <c r="AB283" s="1087"/>
      <c r="AC283" s="1087"/>
      <c r="AD283" s="1087"/>
      <c r="AE283" s="1087"/>
    </row>
    <row r="284" spans="1:37" ht="15" customHeight="1">
      <c r="A284" s="108"/>
      <c r="B284" s="1003" t="str">
        <f>IF(AH264&gt;0,"Revise la información capturada, ya que tiene datos ingresados en celdas que están sombreadas","")</f>
        <v/>
      </c>
      <c r="C284" s="1003"/>
      <c r="D284" s="1003"/>
      <c r="E284" s="1003"/>
      <c r="F284" s="1003"/>
      <c r="G284" s="1003"/>
      <c r="H284" s="1003"/>
      <c r="I284" s="1003"/>
      <c r="J284" s="1003"/>
      <c r="K284" s="1003"/>
      <c r="L284" s="1003"/>
      <c r="M284" s="1003"/>
      <c r="N284" s="1003"/>
      <c r="O284" s="1003"/>
      <c r="P284" s="1003"/>
      <c r="Q284" s="1003"/>
      <c r="R284" s="1003"/>
      <c r="S284" s="1003"/>
      <c r="T284" s="1003"/>
      <c r="U284" s="1003"/>
      <c r="V284" s="1003"/>
      <c r="W284" s="1003"/>
      <c r="X284" s="1003"/>
      <c r="Y284" s="1003"/>
      <c r="Z284" s="1003"/>
      <c r="AA284" s="1003"/>
      <c r="AB284" s="1003"/>
      <c r="AC284" s="1003"/>
      <c r="AD284" s="1003"/>
      <c r="AE284" s="1003"/>
    </row>
    <row r="285" spans="1:37" ht="15" customHeight="1">
      <c r="A285" s="186"/>
      <c r="B285" s="1003" t="str">
        <f>IF(OR($M71=0,$M71="NS",$M71="NA"),"",IF(AK276&gt;0,"Favor de revisar la suma y consistencia de totales y/o subtotales por filas (numéricos y NS)",""))</f>
        <v/>
      </c>
      <c r="C285" s="1003"/>
      <c r="D285" s="1003"/>
      <c r="E285" s="1003"/>
      <c r="F285" s="1003"/>
      <c r="G285" s="1003"/>
      <c r="H285" s="1003"/>
      <c r="I285" s="1003"/>
      <c r="J285" s="1003"/>
      <c r="K285" s="1003"/>
      <c r="L285" s="1003"/>
      <c r="M285" s="1003"/>
      <c r="N285" s="1003"/>
      <c r="O285" s="1003"/>
      <c r="P285" s="1003"/>
      <c r="Q285" s="1003"/>
      <c r="R285" s="1003"/>
      <c r="S285" s="1003"/>
      <c r="T285" s="1003"/>
      <c r="U285" s="1003"/>
      <c r="V285" s="1003"/>
      <c r="W285" s="1003"/>
      <c r="X285" s="1003"/>
      <c r="Y285" s="1003"/>
      <c r="Z285" s="1003"/>
      <c r="AA285" s="1003"/>
      <c r="AB285" s="1003"/>
      <c r="AC285" s="1003"/>
      <c r="AD285" s="1003"/>
      <c r="AE285" s="1003"/>
    </row>
    <row r="286" spans="1:37" ht="15" customHeight="1">
      <c r="A286" s="186"/>
      <c r="B286" s="1003" t="str">
        <f>IF(OR($M$71=0,$M$71="NS",$M$71="NA"),"",IF(AND($M$71=M276,$S$71=S276,$Y$71=Y276),"","Las cantidades de Hombres y Mujeres debe corresponder con los datos reportados en la preg. 7.2"))</f>
        <v/>
      </c>
      <c r="C286" s="1003"/>
      <c r="D286" s="1003"/>
      <c r="E286" s="1003"/>
      <c r="F286" s="1003"/>
      <c r="G286" s="1003"/>
      <c r="H286" s="1003"/>
      <c r="I286" s="1003"/>
      <c r="J286" s="1003"/>
      <c r="K286" s="1003"/>
      <c r="L286" s="1003"/>
      <c r="M286" s="1003"/>
      <c r="N286" s="1003"/>
      <c r="O286" s="1003"/>
      <c r="P286" s="1003"/>
      <c r="Q286" s="1003"/>
      <c r="R286" s="1003"/>
      <c r="S286" s="1003"/>
      <c r="T286" s="1003"/>
      <c r="U286" s="1003"/>
      <c r="V286" s="1003"/>
      <c r="W286" s="1003"/>
      <c r="X286" s="1003"/>
      <c r="Y286" s="1003"/>
      <c r="Z286" s="1003"/>
      <c r="AA286" s="1003"/>
      <c r="AB286" s="1003"/>
      <c r="AC286" s="1003"/>
      <c r="AD286" s="1003"/>
      <c r="AE286" s="1003"/>
    </row>
    <row r="287" spans="1:37" ht="15" customHeight="1">
      <c r="A287" s="186"/>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c r="AA287" s="38"/>
      <c r="AB287" s="38"/>
      <c r="AC287" s="38"/>
      <c r="AD287" s="38"/>
      <c r="AE287"/>
    </row>
    <row r="288" spans="1:37" ht="24" customHeight="1">
      <c r="A288" s="108" t="s">
        <v>4649</v>
      </c>
      <c r="B288" s="829" t="s">
        <v>4650</v>
      </c>
      <c r="C288" s="829"/>
      <c r="D288" s="829"/>
      <c r="E288" s="829"/>
      <c r="F288" s="829"/>
      <c r="G288" s="829"/>
      <c r="H288" s="829"/>
      <c r="I288" s="829"/>
      <c r="J288" s="829"/>
      <c r="K288" s="829"/>
      <c r="L288" s="829"/>
      <c r="M288" s="829"/>
      <c r="N288" s="829"/>
      <c r="O288" s="829"/>
      <c r="P288" s="829"/>
      <c r="Q288" s="829"/>
      <c r="R288" s="829"/>
      <c r="S288" s="829"/>
      <c r="T288" s="829"/>
      <c r="U288" s="829"/>
      <c r="V288" s="829"/>
      <c r="W288" s="829"/>
      <c r="X288" s="829"/>
      <c r="Y288" s="829"/>
      <c r="Z288" s="829"/>
      <c r="AA288" s="829"/>
      <c r="AB288" s="829"/>
      <c r="AC288" s="829"/>
      <c r="AD288" s="829"/>
    </row>
    <row r="289" spans="1:37" ht="15" customHeight="1">
      <c r="A289" s="186"/>
      <c r="B289" s="57"/>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c r="AA289" s="38"/>
      <c r="AB289" s="38"/>
      <c r="AC289" s="38"/>
      <c r="AD289" s="38"/>
    </row>
    <row r="290" spans="1:37" ht="15" customHeight="1">
      <c r="A290" s="186"/>
      <c r="B290" s="57"/>
      <c r="C290" s="732" t="s">
        <v>4651</v>
      </c>
      <c r="D290" s="732"/>
      <c r="E290" s="732"/>
      <c r="F290" s="732"/>
      <c r="G290" s="732"/>
      <c r="H290" s="732"/>
      <c r="I290" s="732"/>
      <c r="J290" s="732"/>
      <c r="K290" s="732"/>
      <c r="L290" s="732"/>
      <c r="M290" s="732" t="s">
        <v>4563</v>
      </c>
      <c r="N290" s="732"/>
      <c r="O290" s="732"/>
      <c r="P290" s="732"/>
      <c r="Q290" s="732"/>
      <c r="R290" s="732"/>
      <c r="S290" s="732"/>
      <c r="T290" s="732"/>
      <c r="U290" s="732"/>
      <c r="V290" s="732"/>
      <c r="W290" s="732"/>
      <c r="X290" s="732"/>
      <c r="Y290" s="732"/>
      <c r="Z290" s="732"/>
      <c r="AA290" s="732"/>
      <c r="AB290" s="732"/>
      <c r="AC290" s="732"/>
      <c r="AD290" s="732"/>
    </row>
    <row r="291" spans="1:37" ht="15" customHeight="1">
      <c r="A291" s="186"/>
      <c r="B291" s="57"/>
      <c r="C291" s="732"/>
      <c r="D291" s="732"/>
      <c r="E291" s="732"/>
      <c r="F291" s="732"/>
      <c r="G291" s="732"/>
      <c r="H291" s="732"/>
      <c r="I291" s="732"/>
      <c r="J291" s="732"/>
      <c r="K291" s="732"/>
      <c r="L291" s="732"/>
      <c r="M291" s="732" t="s">
        <v>2628</v>
      </c>
      <c r="N291" s="880"/>
      <c r="O291" s="880"/>
      <c r="P291" s="880"/>
      <c r="Q291" s="880"/>
      <c r="R291" s="880"/>
      <c r="S291" s="736" t="s">
        <v>2629</v>
      </c>
      <c r="T291" s="966"/>
      <c r="U291" s="966"/>
      <c r="V291" s="966"/>
      <c r="W291" s="966"/>
      <c r="X291" s="966"/>
      <c r="Y291" s="736" t="s">
        <v>2630</v>
      </c>
      <c r="Z291" s="966"/>
      <c r="AA291" s="966"/>
      <c r="AB291" s="966"/>
      <c r="AC291" s="966"/>
      <c r="AD291" s="966"/>
      <c r="AG291" t="s">
        <v>2586</v>
      </c>
      <c r="AH291" t="s">
        <v>4599</v>
      </c>
      <c r="AI291" t="s">
        <v>2590</v>
      </c>
      <c r="AJ291" t="s">
        <v>3163</v>
      </c>
      <c r="AK291" t="s">
        <v>4564</v>
      </c>
    </row>
    <row r="292" spans="1:37" ht="15" customHeight="1">
      <c r="A292" s="186"/>
      <c r="B292" s="57"/>
      <c r="C292" s="44" t="s">
        <v>2516</v>
      </c>
      <c r="D292" s="813" t="s">
        <v>4652</v>
      </c>
      <c r="E292" s="814"/>
      <c r="F292" s="814"/>
      <c r="G292" s="814"/>
      <c r="H292" s="814"/>
      <c r="I292" s="814"/>
      <c r="J292" s="814"/>
      <c r="K292" s="814"/>
      <c r="L292" s="815"/>
      <c r="M292" s="749"/>
      <c r="N292" s="749"/>
      <c r="O292" s="749"/>
      <c r="P292" s="749"/>
      <c r="Q292" s="749"/>
      <c r="R292" s="749"/>
      <c r="S292" s="749"/>
      <c r="T292" s="749"/>
      <c r="U292" s="749"/>
      <c r="V292" s="749"/>
      <c r="W292" s="749"/>
      <c r="X292" s="749"/>
      <c r="Y292" s="749"/>
      <c r="Z292" s="749"/>
      <c r="AA292" s="749"/>
      <c r="AB292" s="749"/>
      <c r="AC292" s="749"/>
      <c r="AD292" s="749"/>
      <c r="AG292" s="506">
        <f>IF(OR($M$71=0,$M$71="NS",$M$71="NA"),0,IF(COUNTBLANK(M292:AD296)=75,0,1))</f>
        <v>0</v>
      </c>
      <c r="AH292" s="506">
        <f>IF(OR($M$71=0,$M$71="NS",$M$71="NA"),IF(COUNTBLANK(M292:AD296)=90,0,1),0)</f>
        <v>0</v>
      </c>
      <c r="AI292">
        <f>COUNTIF(S292:AD292,"NS")</f>
        <v>0</v>
      </c>
      <c r="AJ292">
        <f>SUM(S292:AD292)</f>
        <v>0</v>
      </c>
      <c r="AK292">
        <f t="shared" ref="AK292" si="111">IF(COUNTIF(M292:AD292,"NA")=3,0,IF(COUNTA(M292:AD292)=0,0,IF(OR(AND(M292=0,AI292&gt;0),AND(M292="ns",AJ292&gt;0),AND(M292="ns",AI292=0,AJ292=0)),1,IF(OR(AND(M292&gt;0,AI292=2),AND(M292="ns",AI292=2),AND(M292="ns",AJ292=0,AI292&gt;0),M292=AJ292),0,1))))</f>
        <v>0</v>
      </c>
    </row>
    <row r="293" spans="1:37" ht="15" customHeight="1">
      <c r="A293" s="186"/>
      <c r="B293" s="57"/>
      <c r="C293" s="44" t="s">
        <v>2517</v>
      </c>
      <c r="D293" s="813" t="s">
        <v>4653</v>
      </c>
      <c r="E293" s="814"/>
      <c r="F293" s="814"/>
      <c r="G293" s="814"/>
      <c r="H293" s="814"/>
      <c r="I293" s="814"/>
      <c r="J293" s="814"/>
      <c r="K293" s="814"/>
      <c r="L293" s="815"/>
      <c r="M293" s="749"/>
      <c r="N293" s="749"/>
      <c r="O293" s="749"/>
      <c r="P293" s="749"/>
      <c r="Q293" s="749"/>
      <c r="R293" s="749"/>
      <c r="S293" s="749"/>
      <c r="T293" s="749"/>
      <c r="U293" s="749"/>
      <c r="V293" s="749"/>
      <c r="W293" s="749"/>
      <c r="X293" s="749"/>
      <c r="Y293" s="749"/>
      <c r="Z293" s="749"/>
      <c r="AA293" s="749"/>
      <c r="AB293" s="749"/>
      <c r="AC293" s="749"/>
      <c r="AD293" s="749"/>
      <c r="AI293">
        <f t="shared" ref="AI293:AI296" si="112">COUNTIF(S293:AD293,"NS")</f>
        <v>0</v>
      </c>
      <c r="AJ293">
        <f t="shared" ref="AJ293:AJ296" si="113">SUM(S293:AD293)</f>
        <v>0</v>
      </c>
      <c r="AK293">
        <f t="shared" ref="AK293:AK296" si="114">IF(COUNTIF(M293:AD293,"NA")=3,0,IF(COUNTA(M293:AD293)=0,0,IF(OR(AND(M293=0,AI293&gt;0),AND(M293="ns",AJ293&gt;0),AND(M293="ns",AI293=0,AJ293=0)),1,IF(OR(AND(M293&gt;0,AI293=2),AND(M293="ns",AI293=2),AND(M293="ns",AJ293=0,AI293&gt;0),M293=AJ293),0,1))))</f>
        <v>0</v>
      </c>
    </row>
    <row r="294" spans="1:37" ht="15" customHeight="1">
      <c r="A294" s="186"/>
      <c r="B294" s="57"/>
      <c r="C294" s="44" t="s">
        <v>2518</v>
      </c>
      <c r="D294" s="813" t="s">
        <v>4654</v>
      </c>
      <c r="E294" s="814"/>
      <c r="F294" s="814"/>
      <c r="G294" s="814"/>
      <c r="H294" s="814"/>
      <c r="I294" s="814"/>
      <c r="J294" s="814"/>
      <c r="K294" s="814"/>
      <c r="L294" s="815"/>
      <c r="M294" s="749"/>
      <c r="N294" s="749"/>
      <c r="O294" s="749"/>
      <c r="P294" s="749"/>
      <c r="Q294" s="749"/>
      <c r="R294" s="749"/>
      <c r="S294" s="749"/>
      <c r="T294" s="749"/>
      <c r="U294" s="749"/>
      <c r="V294" s="749"/>
      <c r="W294" s="749"/>
      <c r="X294" s="749"/>
      <c r="Y294" s="749"/>
      <c r="Z294" s="749"/>
      <c r="AA294" s="749"/>
      <c r="AB294" s="749"/>
      <c r="AC294" s="749"/>
      <c r="AD294" s="749"/>
      <c r="AI294">
        <f t="shared" si="112"/>
        <v>0</v>
      </c>
      <c r="AJ294">
        <f t="shared" si="113"/>
        <v>0</v>
      </c>
      <c r="AK294">
        <f t="shared" si="114"/>
        <v>0</v>
      </c>
    </row>
    <row r="295" spans="1:37" ht="24" customHeight="1">
      <c r="A295" s="186"/>
      <c r="B295" s="57"/>
      <c r="C295" s="44" t="s">
        <v>2519</v>
      </c>
      <c r="D295" s="813" t="s">
        <v>4655</v>
      </c>
      <c r="E295" s="814"/>
      <c r="F295" s="814"/>
      <c r="G295" s="814"/>
      <c r="H295" s="814"/>
      <c r="I295" s="814"/>
      <c r="J295" s="814"/>
      <c r="K295" s="814"/>
      <c r="L295" s="815"/>
      <c r="M295" s="749"/>
      <c r="N295" s="749"/>
      <c r="O295" s="749"/>
      <c r="P295" s="749"/>
      <c r="Q295" s="749"/>
      <c r="R295" s="749"/>
      <c r="S295" s="749"/>
      <c r="T295" s="749"/>
      <c r="U295" s="749"/>
      <c r="V295" s="749"/>
      <c r="W295" s="749"/>
      <c r="X295" s="749"/>
      <c r="Y295" s="749"/>
      <c r="Z295" s="749"/>
      <c r="AA295" s="749"/>
      <c r="AB295" s="749"/>
      <c r="AC295" s="749"/>
      <c r="AD295" s="749"/>
      <c r="AI295">
        <f t="shared" si="112"/>
        <v>0</v>
      </c>
      <c r="AJ295">
        <f t="shared" si="113"/>
        <v>0</v>
      </c>
      <c r="AK295">
        <f t="shared" si="114"/>
        <v>0</v>
      </c>
    </row>
    <row r="296" spans="1:37" ht="15" customHeight="1">
      <c r="A296" s="186"/>
      <c r="B296" s="57"/>
      <c r="C296" s="44" t="s">
        <v>2520</v>
      </c>
      <c r="D296" s="813" t="s">
        <v>201</v>
      </c>
      <c r="E296" s="814"/>
      <c r="F296" s="814"/>
      <c r="G296" s="814"/>
      <c r="H296" s="814"/>
      <c r="I296" s="814"/>
      <c r="J296" s="814"/>
      <c r="K296" s="814"/>
      <c r="L296" s="815"/>
      <c r="M296" s="749"/>
      <c r="N296" s="749"/>
      <c r="O296" s="749"/>
      <c r="P296" s="749"/>
      <c r="Q296" s="749"/>
      <c r="R296" s="749"/>
      <c r="S296" s="749"/>
      <c r="T296" s="749"/>
      <c r="U296" s="749"/>
      <c r="V296" s="749"/>
      <c r="W296" s="749"/>
      <c r="X296" s="749"/>
      <c r="Y296" s="749"/>
      <c r="Z296" s="749"/>
      <c r="AA296" s="749"/>
      <c r="AB296" s="749"/>
      <c r="AC296" s="749"/>
      <c r="AD296" s="749"/>
      <c r="AI296">
        <f t="shared" si="112"/>
        <v>0</v>
      </c>
      <c r="AJ296">
        <f t="shared" si="113"/>
        <v>0</v>
      </c>
      <c r="AK296">
        <f t="shared" si="114"/>
        <v>0</v>
      </c>
    </row>
    <row r="297" spans="1:37" ht="15" customHeight="1">
      <c r="A297" s="186"/>
      <c r="B297" s="57"/>
      <c r="C297" s="187"/>
      <c r="D297" s="187"/>
      <c r="E297" s="187"/>
      <c r="F297" s="187"/>
      <c r="G297" s="187"/>
      <c r="H297" s="187"/>
      <c r="I297" s="187"/>
      <c r="J297" s="187"/>
      <c r="K297" s="187"/>
      <c r="L297" s="188" t="s">
        <v>2649</v>
      </c>
      <c r="M297" s="736">
        <f>IF(AND(SUM(M292:M296)=0,COUNTIF(M292:M296,"NS")&gt;0),"NS",IF(AND(SUM(M292:M296)=0,COUNTIF(M292:M296,0)&gt;0),0,IF(AND(SUM(M292:M296)=0,COUNTIF(M292:M296,"NA")&gt;0),"NA",SUM(M292:M296))))</f>
        <v>0</v>
      </c>
      <c r="N297" s="1085"/>
      <c r="O297" s="1085"/>
      <c r="P297" s="1085"/>
      <c r="Q297" s="1085"/>
      <c r="R297" s="1086"/>
      <c r="S297" s="736">
        <f>IF(AND(SUM(S292:S296)=0,COUNTIF(S292:S296,"NS")&gt;0),"NS",IF(AND(SUM(S292:S296)=0,COUNTIF(S292:S296,0)&gt;0),0,IF(AND(SUM(S292:S296)=0,COUNTIF(S292:S296,"NA")&gt;0),"NA",SUM(S292:S296))))</f>
        <v>0</v>
      </c>
      <c r="T297" s="1085"/>
      <c r="U297" s="1085"/>
      <c r="V297" s="1085"/>
      <c r="W297" s="1085"/>
      <c r="X297" s="1086"/>
      <c r="Y297" s="736">
        <f>IF(AND(SUM(Y292:Y296)=0,COUNTIF(Y292:Y296,"NS")&gt;0),"NS",IF(AND(SUM(Y292:Y296)=0,COUNTIF(Y292:Y296,0)&gt;0),0,IF(AND(SUM(Y292:Y296)=0,COUNTIF(Y292:Y296,"NA")&gt;0),"NA",SUM(Y292:Y296))))</f>
        <v>0</v>
      </c>
      <c r="Z297" s="1085"/>
      <c r="AA297" s="1085"/>
      <c r="AB297" s="1085"/>
      <c r="AC297" s="1085"/>
      <c r="AD297" s="1086"/>
      <c r="AI297">
        <f>SUM(AI292:AI296)</f>
        <v>0</v>
      </c>
      <c r="AK297" s="506">
        <f>SUM(AK292:AK296)</f>
        <v>0</v>
      </c>
    </row>
    <row r="298" spans="1:37" ht="15" customHeight="1">
      <c r="A298" s="186"/>
      <c r="B298" s="57"/>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c r="AA298" s="38"/>
      <c r="AB298" s="38"/>
      <c r="AC298" s="38"/>
      <c r="AD298" s="38"/>
    </row>
    <row r="299" spans="1:37" ht="24" customHeight="1">
      <c r="A299" s="186"/>
      <c r="B299" s="57"/>
      <c r="C299" s="754" t="s">
        <v>2611</v>
      </c>
      <c r="D299" s="754"/>
      <c r="E299" s="754"/>
      <c r="F299" s="754"/>
      <c r="G299" s="754"/>
      <c r="H299" s="754"/>
      <c r="I299" s="754"/>
      <c r="J299" s="754"/>
      <c r="K299" s="754"/>
      <c r="L299" s="754"/>
      <c r="M299" s="754"/>
      <c r="N299" s="754"/>
      <c r="O299" s="754"/>
      <c r="P299" s="754"/>
      <c r="Q299" s="754"/>
      <c r="R299" s="754"/>
      <c r="S299" s="754"/>
      <c r="T299" s="754"/>
      <c r="U299" s="754"/>
      <c r="V299" s="754"/>
      <c r="W299" s="754"/>
      <c r="X299" s="754"/>
      <c r="Y299" s="754"/>
      <c r="Z299" s="754"/>
      <c r="AA299" s="754"/>
      <c r="AB299" s="754"/>
      <c r="AC299" s="754"/>
      <c r="AD299" s="754"/>
    </row>
    <row r="300" spans="1:37" ht="60" customHeight="1">
      <c r="A300" s="186"/>
      <c r="B300" s="57"/>
      <c r="C300" s="851"/>
      <c r="D300" s="851"/>
      <c r="E300" s="851"/>
      <c r="F300" s="851"/>
      <c r="G300" s="851"/>
      <c r="H300" s="851"/>
      <c r="I300" s="851"/>
      <c r="J300" s="851"/>
      <c r="K300" s="851"/>
      <c r="L300" s="851"/>
      <c r="M300" s="851"/>
      <c r="N300" s="851"/>
      <c r="O300" s="851"/>
      <c r="P300" s="851"/>
      <c r="Q300" s="851"/>
      <c r="R300" s="851"/>
      <c r="S300" s="851"/>
      <c r="T300" s="851"/>
      <c r="U300" s="851"/>
      <c r="V300" s="851"/>
      <c r="W300" s="851"/>
      <c r="X300" s="851"/>
      <c r="Y300" s="851"/>
      <c r="Z300" s="851"/>
      <c r="AA300" s="851"/>
      <c r="AB300" s="851"/>
      <c r="AC300" s="851"/>
      <c r="AD300" s="851"/>
    </row>
    <row r="301" spans="1:37" ht="15" customHeight="1">
      <c r="A301" s="186"/>
      <c r="B301" s="794" t="str">
        <f>IF(AG292=0,"","Favor de ingresar toda la información requerida en la pregunta")</f>
        <v/>
      </c>
      <c r="C301" s="794"/>
      <c r="D301" s="794"/>
      <c r="E301" s="794"/>
      <c r="F301" s="794"/>
      <c r="G301" s="794"/>
      <c r="H301" s="794"/>
      <c r="I301" s="794"/>
      <c r="J301" s="794"/>
      <c r="K301" s="794"/>
      <c r="L301" s="794"/>
      <c r="M301" s="794"/>
      <c r="N301" s="794"/>
      <c r="O301" s="794"/>
      <c r="P301" s="794"/>
      <c r="Q301" s="794"/>
      <c r="R301" s="794"/>
      <c r="S301" s="794"/>
      <c r="T301" s="794"/>
      <c r="U301" s="794"/>
      <c r="V301" s="794"/>
      <c r="W301" s="794"/>
      <c r="X301" s="794"/>
      <c r="Y301" s="794"/>
      <c r="Z301" s="794"/>
      <c r="AA301" s="794"/>
      <c r="AB301" s="794"/>
      <c r="AC301" s="794"/>
      <c r="AD301" s="794"/>
      <c r="AE301" s="794"/>
    </row>
    <row r="302" spans="1:37" ht="15" customHeight="1">
      <c r="A302" s="186"/>
      <c r="B302" s="1087" t="str">
        <f>IF(OR($M71=0,$M71="NS",$M71="NA"),"",IF(COUNTIF(M292:AD296,"NS")&lt;&gt;0,"Alerta: debido a que cuenta con registros NS, debe proporcionar una justificación en el area de comentarios al final de la pregunta",""))</f>
        <v/>
      </c>
      <c r="C302" s="1087"/>
      <c r="D302" s="1087"/>
      <c r="E302" s="1087"/>
      <c r="F302" s="1087"/>
      <c r="G302" s="1087"/>
      <c r="H302" s="1087"/>
      <c r="I302" s="1087"/>
      <c r="J302" s="1087"/>
      <c r="K302" s="1087"/>
      <c r="L302" s="1087"/>
      <c r="M302" s="1087"/>
      <c r="N302" s="1087"/>
      <c r="O302" s="1087"/>
      <c r="P302" s="1087"/>
      <c r="Q302" s="1087"/>
      <c r="R302" s="1087"/>
      <c r="S302" s="1087"/>
      <c r="T302" s="1087"/>
      <c r="U302" s="1087"/>
      <c r="V302" s="1087"/>
      <c r="W302" s="1087"/>
      <c r="X302" s="1087"/>
      <c r="Y302" s="1087"/>
      <c r="Z302" s="1087"/>
      <c r="AA302" s="1087"/>
      <c r="AB302" s="1087"/>
      <c r="AC302" s="1087"/>
      <c r="AD302" s="1087"/>
      <c r="AE302" s="1087"/>
    </row>
    <row r="303" spans="1:37" ht="15" customHeight="1">
      <c r="A303" s="186"/>
      <c r="B303" s="1003" t="str">
        <f>IF(AH292&gt;0,"Revise la información capturada, ya que tiene datos ingresados en celdas que están sombreadas","")</f>
        <v/>
      </c>
      <c r="C303" s="1003"/>
      <c r="D303" s="1003"/>
      <c r="E303" s="1003"/>
      <c r="F303" s="1003"/>
      <c r="G303" s="1003"/>
      <c r="H303" s="1003"/>
      <c r="I303" s="1003"/>
      <c r="J303" s="1003"/>
      <c r="K303" s="1003"/>
      <c r="L303" s="1003"/>
      <c r="M303" s="1003"/>
      <c r="N303" s="1003"/>
      <c r="O303" s="1003"/>
      <c r="P303" s="1003"/>
      <c r="Q303" s="1003"/>
      <c r="R303" s="1003"/>
      <c r="S303" s="1003"/>
      <c r="T303" s="1003"/>
      <c r="U303" s="1003"/>
      <c r="V303" s="1003"/>
      <c r="W303" s="1003"/>
      <c r="X303" s="1003"/>
      <c r="Y303" s="1003"/>
      <c r="Z303" s="1003"/>
      <c r="AA303" s="1003"/>
      <c r="AB303" s="1003"/>
      <c r="AC303" s="1003"/>
      <c r="AD303" s="1003"/>
      <c r="AE303" s="1003"/>
    </row>
    <row r="304" spans="1:37" ht="15" customHeight="1">
      <c r="A304" s="186"/>
      <c r="B304" s="1003" t="str">
        <f>IF(OR($M71=0,$M71="NS",$M71="NA"),"",IF(AK297&gt;0,"Favor de revisar la suma y consistencia de totales y/o subtotales por filas (numéricos y NS)",""))</f>
        <v/>
      </c>
      <c r="C304" s="1003"/>
      <c r="D304" s="1003"/>
      <c r="E304" s="1003"/>
      <c r="F304" s="1003"/>
      <c r="G304" s="1003"/>
      <c r="H304" s="1003"/>
      <c r="I304" s="1003"/>
      <c r="J304" s="1003"/>
      <c r="K304" s="1003"/>
      <c r="L304" s="1003"/>
      <c r="M304" s="1003"/>
      <c r="N304" s="1003"/>
      <c r="O304" s="1003"/>
      <c r="P304" s="1003"/>
      <c r="Q304" s="1003"/>
      <c r="R304" s="1003"/>
      <c r="S304" s="1003"/>
      <c r="T304" s="1003"/>
      <c r="U304" s="1003"/>
      <c r="V304" s="1003"/>
      <c r="W304" s="1003"/>
      <c r="X304" s="1003"/>
      <c r="Y304" s="1003"/>
      <c r="Z304" s="1003"/>
      <c r="AA304" s="1003"/>
      <c r="AB304" s="1003"/>
      <c r="AC304" s="1003"/>
      <c r="AD304" s="1003"/>
      <c r="AE304" s="1003"/>
    </row>
    <row r="305" spans="1:49" ht="15" customHeight="1">
      <c r="A305" s="186"/>
      <c r="B305" s="1003" t="str">
        <f>IF(OR($M$71=0,$M$71="NS",$M$71="NA"),"",IF(AND($M$71=M297,$S$71=S297,$Y$71=Y297),"","Las cantidades de Hombres y Mujeres debe corresponder con los datos reportados en la preg. 7.2"))</f>
        <v/>
      </c>
      <c r="C305" s="1003"/>
      <c r="D305" s="1003"/>
      <c r="E305" s="1003"/>
      <c r="F305" s="1003"/>
      <c r="G305" s="1003"/>
      <c r="H305" s="1003"/>
      <c r="I305" s="1003"/>
      <c r="J305" s="1003"/>
      <c r="K305" s="1003"/>
      <c r="L305" s="1003"/>
      <c r="M305" s="1003"/>
      <c r="N305" s="1003"/>
      <c r="O305" s="1003"/>
      <c r="P305" s="1003"/>
      <c r="Q305" s="1003"/>
      <c r="R305" s="1003"/>
      <c r="S305" s="1003"/>
      <c r="T305" s="1003"/>
      <c r="U305" s="1003"/>
      <c r="V305" s="1003"/>
      <c r="W305" s="1003"/>
      <c r="X305" s="1003"/>
      <c r="Y305" s="1003"/>
      <c r="Z305" s="1003"/>
      <c r="AA305" s="1003"/>
      <c r="AB305" s="1003"/>
      <c r="AC305" s="1003"/>
      <c r="AD305" s="1003"/>
      <c r="AE305" s="1003"/>
    </row>
    <row r="306" spans="1:49" ht="15" customHeight="1">
      <c r="A306" s="10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c r="AA306" s="38"/>
      <c r="AB306" s="38"/>
      <c r="AC306" s="38"/>
      <c r="AD306" s="38"/>
      <c r="AE306"/>
    </row>
    <row r="307" spans="1:49" ht="36" customHeight="1">
      <c r="A307" s="108" t="s">
        <v>4656</v>
      </c>
      <c r="B307" s="829" t="s">
        <v>4657</v>
      </c>
      <c r="C307" s="829"/>
      <c r="D307" s="829"/>
      <c r="E307" s="829"/>
      <c r="F307" s="829"/>
      <c r="G307" s="829"/>
      <c r="H307" s="829"/>
      <c r="I307" s="829"/>
      <c r="J307" s="829"/>
      <c r="K307" s="829"/>
      <c r="L307" s="829"/>
      <c r="M307" s="829"/>
      <c r="N307" s="829"/>
      <c r="O307" s="829"/>
      <c r="P307" s="829"/>
      <c r="Q307" s="829"/>
      <c r="R307" s="829"/>
      <c r="S307" s="829"/>
      <c r="T307" s="829"/>
      <c r="U307" s="829"/>
      <c r="V307" s="829"/>
      <c r="W307" s="829"/>
      <c r="X307" s="829"/>
      <c r="Y307" s="829"/>
      <c r="Z307" s="829"/>
      <c r="AA307" s="829"/>
      <c r="AB307" s="829"/>
      <c r="AC307" s="829"/>
      <c r="AD307" s="829"/>
    </row>
    <row r="308" spans="1:49" ht="15" customHeight="1">
      <c r="A308" s="10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c r="AA308" s="38"/>
      <c r="AB308" s="38"/>
      <c r="AC308" s="38"/>
      <c r="AD308" s="38"/>
    </row>
    <row r="309" spans="1:49" ht="36" customHeight="1">
      <c r="A309" s="108"/>
      <c r="B309" s="38"/>
      <c r="C309" s="797" t="s">
        <v>2581</v>
      </c>
      <c r="D309" s="798"/>
      <c r="E309" s="798"/>
      <c r="F309" s="798"/>
      <c r="G309" s="798"/>
      <c r="H309" s="798"/>
      <c r="I309" s="798"/>
      <c r="J309" s="798"/>
      <c r="K309" s="798"/>
      <c r="L309" s="798"/>
      <c r="M309" s="798"/>
      <c r="N309" s="798"/>
      <c r="O309" s="798"/>
      <c r="P309" s="798"/>
      <c r="Q309" s="798"/>
      <c r="R309" s="799"/>
      <c r="S309" s="739" t="s">
        <v>4658</v>
      </c>
      <c r="T309" s="740"/>
      <c r="U309" s="740"/>
      <c r="V309" s="740"/>
      <c r="W309" s="740"/>
      <c r="X309" s="740"/>
      <c r="Y309" s="740"/>
      <c r="Z309" s="740"/>
      <c r="AA309" s="740"/>
      <c r="AB309" s="740"/>
      <c r="AC309" s="740"/>
      <c r="AD309" s="741"/>
    </row>
    <row r="310" spans="1:49" ht="36" customHeight="1">
      <c r="A310" s="108"/>
      <c r="B310" s="38"/>
      <c r="C310" s="800"/>
      <c r="D310" s="801"/>
      <c r="E310" s="801"/>
      <c r="F310" s="801"/>
      <c r="G310" s="801"/>
      <c r="H310" s="801"/>
      <c r="I310" s="801"/>
      <c r="J310" s="801"/>
      <c r="K310" s="801"/>
      <c r="L310" s="801"/>
      <c r="M310" s="801"/>
      <c r="N310" s="801"/>
      <c r="O310" s="801"/>
      <c r="P310" s="801"/>
      <c r="Q310" s="801"/>
      <c r="R310" s="802"/>
      <c r="S310" s="887" t="s">
        <v>2628</v>
      </c>
      <c r="T310" s="889" t="s">
        <v>2629</v>
      </c>
      <c r="U310" s="889" t="s">
        <v>2630</v>
      </c>
      <c r="V310" s="733" t="s">
        <v>4659</v>
      </c>
      <c r="W310" s="734"/>
      <c r="X310" s="735"/>
      <c r="Y310" s="733" t="s">
        <v>4660</v>
      </c>
      <c r="Z310" s="734"/>
      <c r="AA310" s="735"/>
      <c r="AB310" s="733" t="s">
        <v>201</v>
      </c>
      <c r="AC310" s="734"/>
      <c r="AD310" s="735"/>
    </row>
    <row r="311" spans="1:49" ht="48" customHeight="1">
      <c r="A311" s="108"/>
      <c r="B311" s="38"/>
      <c r="C311" s="803"/>
      <c r="D311" s="804"/>
      <c r="E311" s="804"/>
      <c r="F311" s="804"/>
      <c r="G311" s="804"/>
      <c r="H311" s="804"/>
      <c r="I311" s="804"/>
      <c r="J311" s="804"/>
      <c r="K311" s="804"/>
      <c r="L311" s="804"/>
      <c r="M311" s="804"/>
      <c r="N311" s="804"/>
      <c r="O311" s="804"/>
      <c r="P311" s="804"/>
      <c r="Q311" s="804"/>
      <c r="R311" s="805"/>
      <c r="S311" s="888"/>
      <c r="T311" s="890"/>
      <c r="U311" s="890"/>
      <c r="V311" s="171" t="s">
        <v>2635</v>
      </c>
      <c r="W311" s="128" t="s">
        <v>2629</v>
      </c>
      <c r="X311" s="128" t="s">
        <v>2630</v>
      </c>
      <c r="Y311" s="171" t="s">
        <v>2635</v>
      </c>
      <c r="Z311" s="128" t="s">
        <v>2629</v>
      </c>
      <c r="AA311" s="128" t="s">
        <v>2630</v>
      </c>
      <c r="AB311" s="171" t="s">
        <v>2635</v>
      </c>
      <c r="AC311" s="128" t="s">
        <v>2629</v>
      </c>
      <c r="AD311" s="128" t="s">
        <v>2630</v>
      </c>
      <c r="AG311" t="s">
        <v>2586</v>
      </c>
      <c r="AH311" t="s">
        <v>4581</v>
      </c>
      <c r="AK311" t="s">
        <v>4573</v>
      </c>
      <c r="AL311" t="s">
        <v>2638</v>
      </c>
      <c r="AM311" t="s">
        <v>2639</v>
      </c>
      <c r="AN311" t="s">
        <v>4574</v>
      </c>
      <c r="AO311" t="s">
        <v>2641</v>
      </c>
      <c r="AP311" t="s">
        <v>2642</v>
      </c>
      <c r="AQ311" t="s">
        <v>4575</v>
      </c>
      <c r="AR311" t="s">
        <v>2644</v>
      </c>
      <c r="AS311" t="s">
        <v>2645</v>
      </c>
      <c r="AT311" t="s">
        <v>4576</v>
      </c>
      <c r="AU311" t="s">
        <v>2647</v>
      </c>
      <c r="AV311" t="s">
        <v>2648</v>
      </c>
      <c r="AW311" t="s">
        <v>4582</v>
      </c>
    </row>
    <row r="312" spans="1:49" ht="15" customHeight="1">
      <c r="A312" s="108"/>
      <c r="B312" s="38"/>
      <c r="C312" s="97" t="s">
        <v>2516</v>
      </c>
      <c r="D312" s="813" t="str">
        <f>IF(CNSIPEE_2024_M2_Secc1!D42="","",CNSIPEE_2024_M2_Secc1!D42)</f>
        <v/>
      </c>
      <c r="E312" s="814"/>
      <c r="F312" s="814"/>
      <c r="G312" s="814"/>
      <c r="H312" s="814"/>
      <c r="I312" s="814"/>
      <c r="J312" s="814"/>
      <c r="K312" s="814"/>
      <c r="L312" s="814"/>
      <c r="M312" s="814"/>
      <c r="N312" s="814"/>
      <c r="O312" s="814"/>
      <c r="P312" s="814"/>
      <c r="Q312" s="814"/>
      <c r="R312" s="815"/>
      <c r="S312" s="100"/>
      <c r="T312" s="100"/>
      <c r="U312" s="100"/>
      <c r="V312" s="100"/>
      <c r="W312" s="100"/>
      <c r="X312" s="100"/>
      <c r="Y312" s="100"/>
      <c r="Z312" s="100"/>
      <c r="AA312" s="100"/>
      <c r="AB312" s="100"/>
      <c r="AC312" s="100"/>
      <c r="AD312" s="100"/>
      <c r="AG312">
        <f>IF(OR($M63=0,$M63="NS",$M63="NA"),0,IF(OR(COUNTBLANK(D312:AD312)=14,COUNTBLANK(D312:AD312)=27),0,1))</f>
        <v>0</v>
      </c>
      <c r="AH312">
        <f>IF(OR($M63=0,$M63="NS",$M63="NA"),IF(COUNTBLANK(S312:AD312)=12,0,1),0)</f>
        <v>0</v>
      </c>
      <c r="AK312">
        <f t="shared" ref="AK312" si="115">COUNTIF(T312:U312,"NS")</f>
        <v>0</v>
      </c>
      <c r="AL312">
        <f t="shared" ref="AL312" si="116">SUM(T312:U312)</f>
        <v>0</v>
      </c>
      <c r="AM312">
        <f t="shared" ref="AM312" si="117">IF(COUNTIF(S312:U312,"NA")=3,0,IF(COUNTA(S312:U312)=0,0,IF(OR(AND(S312=0,AK312&gt;0),AND(S312="ns",AL312&gt;0),AND(S312="ns",AK312=0,AL312=0)),1,IF(OR(AND(S312&gt;0,AK312=2),AND(S312="ns",AK312=2),AND(S312="ns",AL312=0,AK312&gt;0),S312=AL312),0,1))))</f>
        <v>0</v>
      </c>
      <c r="AN312">
        <f t="shared" ref="AN312" si="118">COUNTIF(W312:X312,"NS")</f>
        <v>0</v>
      </c>
      <c r="AO312">
        <f t="shared" ref="AO312" si="119">SUM(W312:X312)</f>
        <v>0</v>
      </c>
      <c r="AP312">
        <f t="shared" ref="AP312" si="120">IF(COUNTIF(V312:X312,"NA")=3,0,IF(COUNTA(V312:X312)=0,0,IF(OR(AND(V312=0,AN312&gt;0),AND(V312="ns",AO312&gt;0),AND(V312="ns",AN312=0,AO312=0)),1,IF(OR(AND(V312&gt;0,AN312=2),AND(V312="ns",AN312=2),AND(V312="ns",AO312=0,AN312&gt;0),V312=AO312),0,1))))</f>
        <v>0</v>
      </c>
      <c r="AQ312">
        <f t="shared" ref="AQ312" si="121">COUNTIF(Z312:AA312,"NS")</f>
        <v>0</v>
      </c>
      <c r="AR312">
        <f t="shared" ref="AR312" si="122">SUM(Z312:AA312)</f>
        <v>0</v>
      </c>
      <c r="AS312">
        <f t="shared" ref="AS312" si="123">IF(COUNTIF(Y312:AA312,"NA")=3,0,IF(COUNTA(Y312:AA312)=0,0,IF(OR(AND(Y312=0,AQ312&gt;0),AND(Y312="ns",AR312&gt;0),AND(Y312="ns",AQ312=0,AR312=0)),1,IF(OR(AND(Y312&gt;0,AQ312=2),AND(Y312="ns",AQ312=2),AND(Y312="ns",AR312=0,AQ312&gt;0),Y312=AR312),0,1))))</f>
        <v>0</v>
      </c>
      <c r="AT312">
        <f t="shared" ref="AT312" si="124">COUNTIF(AC312:AD312,"NS")</f>
        <v>0</v>
      </c>
      <c r="AU312">
        <f t="shared" ref="AU312" si="125">SUM(AC312:AD312)</f>
        <v>0</v>
      </c>
      <c r="AV312">
        <f t="shared" ref="AV312" si="126">IF(COUNTIF(AB312:AD312,"NA")=3,0,IF(COUNTA(AB312:AD312)=0,0,IF(OR(AND(AB312=0,AT312&gt;0),AND(AB312="ns",AU312&gt;0),AND(AB312="ns",AT312=0,AU312=0)),1,IF(OR(AND(AB312&gt;0,AT312=2),AND(AB312="ns",AT312=2),AND(AB312="ns",AU312=0,AT312&gt;0),AB312=AU312),0,1))))</f>
        <v>0</v>
      </c>
      <c r="AW312">
        <f>IF(OR($M63=0,$M63="NS",$M63="NA"),0,IF(AND(M63=S312,S63=T312,Y63=U312),0,1))</f>
        <v>0</v>
      </c>
    </row>
    <row r="313" spans="1:49" ht="15" customHeight="1">
      <c r="A313" s="108"/>
      <c r="B313" s="38"/>
      <c r="C313" s="98" t="s">
        <v>2517</v>
      </c>
      <c r="D313" s="813" t="str">
        <f>IF(CNSIPEE_2024_M2_Secc1!D43="","",CNSIPEE_2024_M2_Secc1!D43)</f>
        <v/>
      </c>
      <c r="E313" s="814"/>
      <c r="F313" s="814"/>
      <c r="G313" s="814"/>
      <c r="H313" s="814"/>
      <c r="I313" s="814"/>
      <c r="J313" s="814"/>
      <c r="K313" s="814"/>
      <c r="L313" s="814"/>
      <c r="M313" s="814"/>
      <c r="N313" s="814"/>
      <c r="O313" s="814"/>
      <c r="P313" s="814"/>
      <c r="Q313" s="814"/>
      <c r="R313" s="815"/>
      <c r="S313" s="100"/>
      <c r="T313" s="100"/>
      <c r="U313" s="100"/>
      <c r="V313" s="100"/>
      <c r="W313" s="100"/>
      <c r="X313" s="100"/>
      <c r="Y313" s="100"/>
      <c r="Z313" s="100"/>
      <c r="AA313" s="100"/>
      <c r="AB313" s="100"/>
      <c r="AC313" s="100"/>
      <c r="AD313" s="100"/>
      <c r="AG313">
        <f t="shared" ref="AG313:AG319" si="127">IF(OR($M64=0,$M64="NS",$M64="NA"),0,IF(OR(COUNTBLANK(D313:AD313)=14,COUNTBLANK(D313:AD313)=27),0,1))</f>
        <v>0</v>
      </c>
      <c r="AH313">
        <f t="shared" ref="AH313:AH319" si="128">IF(OR($M64=0,$M64="NS",$M64="NA"),IF(COUNTBLANK(S313:AD313)=12,0,1),0)</f>
        <v>0</v>
      </c>
      <c r="AK313">
        <f t="shared" ref="AK313:AK319" si="129">COUNTIF(T313:U313,"NS")</f>
        <v>0</v>
      </c>
      <c r="AL313">
        <f t="shared" ref="AL313:AL319" si="130">SUM(T313:U313)</f>
        <v>0</v>
      </c>
      <c r="AM313">
        <f t="shared" ref="AM313:AM319" si="131">IF(COUNTIF(S313:U313,"NA")=3,0,IF(COUNTA(S313:U313)=0,0,IF(OR(AND(S313=0,AK313&gt;0),AND(S313="ns",AL313&gt;0),AND(S313="ns",AK313=0,AL313=0)),1,IF(OR(AND(S313&gt;0,AK313=2),AND(S313="ns",AK313=2),AND(S313="ns",AL313=0,AK313&gt;0),S313=AL313),0,1))))</f>
        <v>0</v>
      </c>
      <c r="AN313">
        <f t="shared" ref="AN313:AN319" si="132">COUNTIF(W313:X313,"NS")</f>
        <v>0</v>
      </c>
      <c r="AO313">
        <f t="shared" ref="AO313:AO319" si="133">SUM(W313:X313)</f>
        <v>0</v>
      </c>
      <c r="AP313">
        <f t="shared" ref="AP313:AP319" si="134">IF(COUNTIF(V313:X313,"NA")=3,0,IF(COUNTA(V313:X313)=0,0,IF(OR(AND(V313=0,AN313&gt;0),AND(V313="ns",AO313&gt;0),AND(V313="ns",AN313=0,AO313=0)),1,IF(OR(AND(V313&gt;0,AN313=2),AND(V313="ns",AN313=2),AND(V313="ns",AO313=0,AN313&gt;0),V313=AO313),0,1))))</f>
        <v>0</v>
      </c>
      <c r="AQ313">
        <f t="shared" ref="AQ313:AQ319" si="135">COUNTIF(Z313:AA313,"NS")</f>
        <v>0</v>
      </c>
      <c r="AR313">
        <f t="shared" ref="AR313:AR319" si="136">SUM(Z313:AA313)</f>
        <v>0</v>
      </c>
      <c r="AS313">
        <f t="shared" ref="AS313:AS319" si="137">IF(COUNTIF(Y313:AA313,"NA")=3,0,IF(COUNTA(Y313:AA313)=0,0,IF(OR(AND(Y313=0,AQ313&gt;0),AND(Y313="ns",AR313&gt;0),AND(Y313="ns",AQ313=0,AR313=0)),1,IF(OR(AND(Y313&gt;0,AQ313=2),AND(Y313="ns",AQ313=2),AND(Y313="ns",AR313=0,AQ313&gt;0),Y313=AR313),0,1))))</f>
        <v>0</v>
      </c>
      <c r="AT313">
        <f t="shared" ref="AT313:AT319" si="138">COUNTIF(AC313:AD313,"NS")</f>
        <v>0</v>
      </c>
      <c r="AU313">
        <f t="shared" ref="AU313:AU319" si="139">SUM(AC313:AD313)</f>
        <v>0</v>
      </c>
      <c r="AV313">
        <f t="shared" ref="AV313:AV319" si="140">IF(COUNTIF(AB313:AD313,"NA")=3,0,IF(COUNTA(AB313:AD313)=0,0,IF(OR(AND(AB313=0,AT313&gt;0),AND(AB313="ns",AU313&gt;0),AND(AB313="ns",AT313=0,AU313=0)),1,IF(OR(AND(AB313&gt;0,AT313=2),AND(AB313="ns",AT313=2),AND(AB313="ns",AU313=0,AT313&gt;0),AB313=AU313),0,1))))</f>
        <v>0</v>
      </c>
      <c r="AW313">
        <f t="shared" ref="AW313:AW319" si="141">IF(OR($M64=0,$M64="NS",$M64="NA"),0,IF(AND(M64=S313,S64=T313,Y64=U313),0,1))</f>
        <v>0</v>
      </c>
    </row>
    <row r="314" spans="1:49" ht="15" customHeight="1">
      <c r="A314" s="186"/>
      <c r="B314" s="57"/>
      <c r="C314" s="98" t="s">
        <v>2518</v>
      </c>
      <c r="D314" s="813" t="str">
        <f>IF(CNSIPEE_2024_M2_Secc1!D44="","",CNSIPEE_2024_M2_Secc1!D44)</f>
        <v/>
      </c>
      <c r="E314" s="814"/>
      <c r="F314" s="814"/>
      <c r="G314" s="814"/>
      <c r="H314" s="814"/>
      <c r="I314" s="814"/>
      <c r="J314" s="814"/>
      <c r="K314" s="814"/>
      <c r="L314" s="814"/>
      <c r="M314" s="814"/>
      <c r="N314" s="814"/>
      <c r="O314" s="814"/>
      <c r="P314" s="814"/>
      <c r="Q314" s="814"/>
      <c r="R314" s="815"/>
      <c r="S314" s="100"/>
      <c r="T314" s="100"/>
      <c r="U314" s="100"/>
      <c r="V314" s="100"/>
      <c r="W314" s="100"/>
      <c r="X314" s="100"/>
      <c r="Y314" s="100"/>
      <c r="Z314" s="100"/>
      <c r="AA314" s="100"/>
      <c r="AB314" s="100"/>
      <c r="AC314" s="100"/>
      <c r="AD314" s="100"/>
      <c r="AG314">
        <f t="shared" si="127"/>
        <v>0</v>
      </c>
      <c r="AH314">
        <f t="shared" si="128"/>
        <v>0</v>
      </c>
      <c r="AK314">
        <f t="shared" si="129"/>
        <v>0</v>
      </c>
      <c r="AL314">
        <f t="shared" si="130"/>
        <v>0</v>
      </c>
      <c r="AM314">
        <f t="shared" si="131"/>
        <v>0</v>
      </c>
      <c r="AN314">
        <f t="shared" si="132"/>
        <v>0</v>
      </c>
      <c r="AO314">
        <f t="shared" si="133"/>
        <v>0</v>
      </c>
      <c r="AP314">
        <f t="shared" si="134"/>
        <v>0</v>
      </c>
      <c r="AQ314">
        <f t="shared" si="135"/>
        <v>0</v>
      </c>
      <c r="AR314">
        <f t="shared" si="136"/>
        <v>0</v>
      </c>
      <c r="AS314">
        <f t="shared" si="137"/>
        <v>0</v>
      </c>
      <c r="AT314">
        <f t="shared" si="138"/>
        <v>0</v>
      </c>
      <c r="AU314">
        <f t="shared" si="139"/>
        <v>0</v>
      </c>
      <c r="AV314">
        <f t="shared" si="140"/>
        <v>0</v>
      </c>
      <c r="AW314">
        <f t="shared" si="141"/>
        <v>0</v>
      </c>
    </row>
    <row r="315" spans="1:49" ht="15" customHeight="1">
      <c r="A315" s="186"/>
      <c r="B315" s="57"/>
      <c r="C315" s="98" t="s">
        <v>2519</v>
      </c>
      <c r="D315" s="813" t="str">
        <f>IF(CNSIPEE_2024_M2_Secc1!D45="","",CNSIPEE_2024_M2_Secc1!D45)</f>
        <v/>
      </c>
      <c r="E315" s="814"/>
      <c r="F315" s="814"/>
      <c r="G315" s="814"/>
      <c r="H315" s="814"/>
      <c r="I315" s="814"/>
      <c r="J315" s="814"/>
      <c r="K315" s="814"/>
      <c r="L315" s="814"/>
      <c r="M315" s="814"/>
      <c r="N315" s="814"/>
      <c r="O315" s="814"/>
      <c r="P315" s="814"/>
      <c r="Q315" s="814"/>
      <c r="R315" s="815"/>
      <c r="S315" s="100"/>
      <c r="T315" s="100"/>
      <c r="U315" s="100"/>
      <c r="V315" s="100"/>
      <c r="W315" s="100"/>
      <c r="X315" s="100"/>
      <c r="Y315" s="100"/>
      <c r="Z315" s="100"/>
      <c r="AA315" s="100"/>
      <c r="AB315" s="100"/>
      <c r="AC315" s="100"/>
      <c r="AD315" s="100"/>
      <c r="AG315">
        <f t="shared" si="127"/>
        <v>0</v>
      </c>
      <c r="AH315">
        <f t="shared" si="128"/>
        <v>0</v>
      </c>
      <c r="AK315">
        <f t="shared" si="129"/>
        <v>0</v>
      </c>
      <c r="AL315">
        <f t="shared" si="130"/>
        <v>0</v>
      </c>
      <c r="AM315">
        <f t="shared" si="131"/>
        <v>0</v>
      </c>
      <c r="AN315">
        <f t="shared" si="132"/>
        <v>0</v>
      </c>
      <c r="AO315">
        <f t="shared" si="133"/>
        <v>0</v>
      </c>
      <c r="AP315">
        <f t="shared" si="134"/>
        <v>0</v>
      </c>
      <c r="AQ315">
        <f t="shared" si="135"/>
        <v>0</v>
      </c>
      <c r="AR315">
        <f t="shared" si="136"/>
        <v>0</v>
      </c>
      <c r="AS315">
        <f t="shared" si="137"/>
        <v>0</v>
      </c>
      <c r="AT315">
        <f t="shared" si="138"/>
        <v>0</v>
      </c>
      <c r="AU315">
        <f t="shared" si="139"/>
        <v>0</v>
      </c>
      <c r="AV315">
        <f t="shared" si="140"/>
        <v>0</v>
      </c>
      <c r="AW315">
        <f t="shared" si="141"/>
        <v>0</v>
      </c>
    </row>
    <row r="316" spans="1:49" ht="15" customHeight="1">
      <c r="A316" s="186"/>
      <c r="B316" s="57"/>
      <c r="C316" s="98" t="s">
        <v>2520</v>
      </c>
      <c r="D316" s="813" t="str">
        <f>IF(CNSIPEE_2024_M2_Secc1!D46="","",CNSIPEE_2024_M2_Secc1!D46)</f>
        <v/>
      </c>
      <c r="E316" s="814"/>
      <c r="F316" s="814"/>
      <c r="G316" s="814"/>
      <c r="H316" s="814"/>
      <c r="I316" s="814"/>
      <c r="J316" s="814"/>
      <c r="K316" s="814"/>
      <c r="L316" s="814"/>
      <c r="M316" s="814"/>
      <c r="N316" s="814"/>
      <c r="O316" s="814"/>
      <c r="P316" s="814"/>
      <c r="Q316" s="814"/>
      <c r="R316" s="815"/>
      <c r="S316" s="100"/>
      <c r="T316" s="100"/>
      <c r="U316" s="100"/>
      <c r="V316" s="100"/>
      <c r="W316" s="100"/>
      <c r="X316" s="100"/>
      <c r="Y316" s="100"/>
      <c r="Z316" s="100"/>
      <c r="AA316" s="100"/>
      <c r="AB316" s="100"/>
      <c r="AC316" s="100"/>
      <c r="AD316" s="100"/>
      <c r="AG316">
        <f t="shared" si="127"/>
        <v>0</v>
      </c>
      <c r="AH316">
        <f t="shared" si="128"/>
        <v>0</v>
      </c>
      <c r="AK316">
        <f t="shared" si="129"/>
        <v>0</v>
      </c>
      <c r="AL316">
        <f t="shared" si="130"/>
        <v>0</v>
      </c>
      <c r="AM316">
        <f t="shared" si="131"/>
        <v>0</v>
      </c>
      <c r="AN316">
        <f t="shared" si="132"/>
        <v>0</v>
      </c>
      <c r="AO316">
        <f t="shared" si="133"/>
        <v>0</v>
      </c>
      <c r="AP316">
        <f t="shared" si="134"/>
        <v>0</v>
      </c>
      <c r="AQ316">
        <f t="shared" si="135"/>
        <v>0</v>
      </c>
      <c r="AR316">
        <f t="shared" si="136"/>
        <v>0</v>
      </c>
      <c r="AS316">
        <f t="shared" si="137"/>
        <v>0</v>
      </c>
      <c r="AT316">
        <f t="shared" si="138"/>
        <v>0</v>
      </c>
      <c r="AU316">
        <f t="shared" si="139"/>
        <v>0</v>
      </c>
      <c r="AV316">
        <f t="shared" si="140"/>
        <v>0</v>
      </c>
      <c r="AW316">
        <f t="shared" si="141"/>
        <v>0</v>
      </c>
    </row>
    <row r="317" spans="1:49" ht="15" customHeight="1">
      <c r="A317" s="186"/>
      <c r="B317" s="57"/>
      <c r="C317" s="98" t="s">
        <v>2521</v>
      </c>
      <c r="D317" s="813" t="str">
        <f>IF(CNSIPEE_2024_M2_Secc1!D47="","",CNSIPEE_2024_M2_Secc1!D47)</f>
        <v/>
      </c>
      <c r="E317" s="814"/>
      <c r="F317" s="814"/>
      <c r="G317" s="814"/>
      <c r="H317" s="814"/>
      <c r="I317" s="814"/>
      <c r="J317" s="814"/>
      <c r="K317" s="814"/>
      <c r="L317" s="814"/>
      <c r="M317" s="814"/>
      <c r="N317" s="814"/>
      <c r="O317" s="814"/>
      <c r="P317" s="814"/>
      <c r="Q317" s="814"/>
      <c r="R317" s="815"/>
      <c r="S317" s="100"/>
      <c r="T317" s="100"/>
      <c r="U317" s="100"/>
      <c r="V317" s="100"/>
      <c r="W317" s="100"/>
      <c r="X317" s="100"/>
      <c r="Y317" s="100"/>
      <c r="Z317" s="100"/>
      <c r="AA317" s="100"/>
      <c r="AB317" s="100"/>
      <c r="AC317" s="100"/>
      <c r="AD317" s="100"/>
      <c r="AG317">
        <f t="shared" si="127"/>
        <v>0</v>
      </c>
      <c r="AH317">
        <f t="shared" si="128"/>
        <v>0</v>
      </c>
      <c r="AK317">
        <f t="shared" si="129"/>
        <v>0</v>
      </c>
      <c r="AL317">
        <f t="shared" si="130"/>
        <v>0</v>
      </c>
      <c r="AM317">
        <f t="shared" si="131"/>
        <v>0</v>
      </c>
      <c r="AN317">
        <f t="shared" si="132"/>
        <v>0</v>
      </c>
      <c r="AO317">
        <f t="shared" si="133"/>
        <v>0</v>
      </c>
      <c r="AP317">
        <f t="shared" si="134"/>
        <v>0</v>
      </c>
      <c r="AQ317">
        <f t="shared" si="135"/>
        <v>0</v>
      </c>
      <c r="AR317">
        <f t="shared" si="136"/>
        <v>0</v>
      </c>
      <c r="AS317">
        <f t="shared" si="137"/>
        <v>0</v>
      </c>
      <c r="AT317">
        <f t="shared" si="138"/>
        <v>0</v>
      </c>
      <c r="AU317">
        <f t="shared" si="139"/>
        <v>0</v>
      </c>
      <c r="AV317">
        <f t="shared" si="140"/>
        <v>0</v>
      </c>
      <c r="AW317">
        <f t="shared" si="141"/>
        <v>0</v>
      </c>
    </row>
    <row r="318" spans="1:49" ht="15" customHeight="1">
      <c r="A318" s="186"/>
      <c r="B318" s="57"/>
      <c r="C318" s="98" t="s">
        <v>2522</v>
      </c>
      <c r="D318" s="813" t="str">
        <f>IF(CNSIPEE_2024_M2_Secc1!D48="","",CNSIPEE_2024_M2_Secc1!D48)</f>
        <v/>
      </c>
      <c r="E318" s="814"/>
      <c r="F318" s="814"/>
      <c r="G318" s="814"/>
      <c r="H318" s="814"/>
      <c r="I318" s="814"/>
      <c r="J318" s="814"/>
      <c r="K318" s="814"/>
      <c r="L318" s="814"/>
      <c r="M318" s="814"/>
      <c r="N318" s="814"/>
      <c r="O318" s="814"/>
      <c r="P318" s="814"/>
      <c r="Q318" s="814"/>
      <c r="R318" s="815"/>
      <c r="S318" s="100"/>
      <c r="T318" s="100"/>
      <c r="U318" s="100"/>
      <c r="V318" s="100"/>
      <c r="W318" s="100"/>
      <c r="X318" s="100"/>
      <c r="Y318" s="100"/>
      <c r="Z318" s="100"/>
      <c r="AA318" s="100"/>
      <c r="AB318" s="100"/>
      <c r="AC318" s="100"/>
      <c r="AD318" s="100"/>
      <c r="AG318">
        <f t="shared" si="127"/>
        <v>0</v>
      </c>
      <c r="AH318">
        <f t="shared" si="128"/>
        <v>0</v>
      </c>
      <c r="AK318">
        <f t="shared" si="129"/>
        <v>0</v>
      </c>
      <c r="AL318">
        <f t="shared" si="130"/>
        <v>0</v>
      </c>
      <c r="AM318">
        <f t="shared" si="131"/>
        <v>0</v>
      </c>
      <c r="AN318">
        <f t="shared" si="132"/>
        <v>0</v>
      </c>
      <c r="AO318">
        <f t="shared" si="133"/>
        <v>0</v>
      </c>
      <c r="AP318">
        <f t="shared" si="134"/>
        <v>0</v>
      </c>
      <c r="AQ318">
        <f t="shared" si="135"/>
        <v>0</v>
      </c>
      <c r="AR318">
        <f t="shared" si="136"/>
        <v>0</v>
      </c>
      <c r="AS318">
        <f t="shared" si="137"/>
        <v>0</v>
      </c>
      <c r="AT318">
        <f t="shared" si="138"/>
        <v>0</v>
      </c>
      <c r="AU318">
        <f t="shared" si="139"/>
        <v>0</v>
      </c>
      <c r="AV318">
        <f t="shared" si="140"/>
        <v>0</v>
      </c>
      <c r="AW318">
        <f t="shared" si="141"/>
        <v>0</v>
      </c>
    </row>
    <row r="319" spans="1:49" ht="15" customHeight="1">
      <c r="A319" s="186"/>
      <c r="B319" s="57"/>
      <c r="C319" s="98" t="s">
        <v>2523</v>
      </c>
      <c r="D319" s="813" t="str">
        <f>IF(CNSIPEE_2024_M2_Secc1!D49="","",CNSIPEE_2024_M2_Secc1!D49)</f>
        <v/>
      </c>
      <c r="E319" s="814"/>
      <c r="F319" s="814"/>
      <c r="G319" s="814"/>
      <c r="H319" s="814"/>
      <c r="I319" s="814"/>
      <c r="J319" s="814"/>
      <c r="K319" s="814"/>
      <c r="L319" s="814"/>
      <c r="M319" s="814"/>
      <c r="N319" s="814"/>
      <c r="O319" s="814"/>
      <c r="P319" s="814"/>
      <c r="Q319" s="814"/>
      <c r="R319" s="815"/>
      <c r="S319" s="100"/>
      <c r="T319" s="100"/>
      <c r="U319" s="100"/>
      <c r="V319" s="100"/>
      <c r="W319" s="100"/>
      <c r="X319" s="100"/>
      <c r="Y319" s="100"/>
      <c r="Z319" s="100"/>
      <c r="AA319" s="100"/>
      <c r="AB319" s="100"/>
      <c r="AC319" s="100"/>
      <c r="AD319" s="100"/>
      <c r="AG319">
        <f t="shared" si="127"/>
        <v>0</v>
      </c>
      <c r="AH319">
        <f t="shared" si="128"/>
        <v>0</v>
      </c>
      <c r="AK319">
        <f t="shared" si="129"/>
        <v>0</v>
      </c>
      <c r="AL319">
        <f t="shared" si="130"/>
        <v>0</v>
      </c>
      <c r="AM319">
        <f t="shared" si="131"/>
        <v>0</v>
      </c>
      <c r="AN319">
        <f t="shared" si="132"/>
        <v>0</v>
      </c>
      <c r="AO319">
        <f t="shared" si="133"/>
        <v>0</v>
      </c>
      <c r="AP319">
        <f t="shared" si="134"/>
        <v>0</v>
      </c>
      <c r="AQ319">
        <f t="shared" si="135"/>
        <v>0</v>
      </c>
      <c r="AR319">
        <f t="shared" si="136"/>
        <v>0</v>
      </c>
      <c r="AS319">
        <f t="shared" si="137"/>
        <v>0</v>
      </c>
      <c r="AT319">
        <f t="shared" si="138"/>
        <v>0</v>
      </c>
      <c r="AU319">
        <f t="shared" si="139"/>
        <v>0</v>
      </c>
      <c r="AV319">
        <f t="shared" si="140"/>
        <v>0</v>
      </c>
      <c r="AW319">
        <f t="shared" si="141"/>
        <v>0</v>
      </c>
    </row>
    <row r="320" spans="1:49" ht="15" customHeight="1">
      <c r="A320" s="108"/>
      <c r="B320" s="38"/>
      <c r="C320" s="38"/>
      <c r="D320" s="38"/>
      <c r="E320" s="38"/>
      <c r="F320" s="38"/>
      <c r="G320" s="38"/>
      <c r="H320" s="38"/>
      <c r="I320" s="38"/>
      <c r="J320" s="38"/>
      <c r="K320" s="38"/>
      <c r="L320" s="117"/>
      <c r="M320" s="141"/>
      <c r="N320" s="141"/>
      <c r="O320" s="70"/>
      <c r="P320" s="70"/>
      <c r="Q320" s="70"/>
      <c r="R320" s="188" t="s">
        <v>2649</v>
      </c>
      <c r="S320" s="124">
        <f t="shared" ref="S320:AD320" si="142">IF(AND(SUM(S312:S319)=0,COUNTIF(S312:S319,"NS")&gt;0),"NS",IF(AND(SUM(S312:S319)=0,COUNTIF(S312:S319,0)&gt;0),0,IF(AND(SUM(S312:S319)=0,COUNTIF(S312:S319,"NA")&gt;0),"NA",SUM(S312:S319))))</f>
        <v>0</v>
      </c>
      <c r="T320" s="124">
        <f t="shared" si="142"/>
        <v>0</v>
      </c>
      <c r="U320" s="124">
        <f t="shared" si="142"/>
        <v>0</v>
      </c>
      <c r="V320" s="124">
        <f t="shared" si="142"/>
        <v>0</v>
      </c>
      <c r="W320" s="124">
        <f t="shared" si="142"/>
        <v>0</v>
      </c>
      <c r="X320" s="124">
        <f t="shared" si="142"/>
        <v>0</v>
      </c>
      <c r="Y320" s="124">
        <f t="shared" si="142"/>
        <v>0</v>
      </c>
      <c r="Z320" s="124">
        <f t="shared" si="142"/>
        <v>0</v>
      </c>
      <c r="AA320" s="124">
        <f t="shared" si="142"/>
        <v>0</v>
      </c>
      <c r="AB320" s="124">
        <f t="shared" si="142"/>
        <v>0</v>
      </c>
      <c r="AC320" s="124">
        <f t="shared" si="142"/>
        <v>0</v>
      </c>
      <c r="AD320" s="124">
        <f t="shared" si="142"/>
        <v>0</v>
      </c>
      <c r="AG320" s="507">
        <f>SUM(AG312:AG319)</f>
        <v>0</v>
      </c>
      <c r="AH320" s="507">
        <f>SUM(AH312:AH319)</f>
        <v>0</v>
      </c>
      <c r="AI320" s="57"/>
      <c r="AJ320" s="57"/>
      <c r="AK320">
        <f>SUM(AK312:AK319)</f>
        <v>0</v>
      </c>
      <c r="AL320" s="57"/>
      <c r="AM320">
        <f>SUM(AM312:AM319)</f>
        <v>0</v>
      </c>
      <c r="AN320">
        <f>SUM(AN312:AN319)</f>
        <v>0</v>
      </c>
      <c r="AO320" s="57"/>
      <c r="AP320">
        <f>SUM(AP312:AP319)</f>
        <v>0</v>
      </c>
      <c r="AQ320">
        <f>SUM(AQ312:AQ319)</f>
        <v>0</v>
      </c>
      <c r="AR320" s="57"/>
      <c r="AS320">
        <f>SUM(AS312:AS319)</f>
        <v>0</v>
      </c>
      <c r="AT320">
        <f>SUM(AT312:AT319)</f>
        <v>0</v>
      </c>
      <c r="AU320" s="57"/>
      <c r="AV320">
        <f>SUM(AV312:AV319)</f>
        <v>0</v>
      </c>
      <c r="AW320" s="506">
        <f>SUM(AW312:AW319)</f>
        <v>0</v>
      </c>
    </row>
    <row r="321" spans="1:49" ht="15" customHeight="1">
      <c r="A321" s="108"/>
      <c r="B321" s="38"/>
      <c r="C321" s="38"/>
      <c r="D321" s="38"/>
      <c r="E321" s="38"/>
      <c r="F321" s="38"/>
      <c r="G321" s="38"/>
      <c r="H321" s="38"/>
      <c r="I321" s="38"/>
      <c r="J321" s="38"/>
      <c r="K321" s="38"/>
      <c r="L321" s="117"/>
      <c r="M321" s="141"/>
      <c r="N321" s="141"/>
      <c r="O321" s="70"/>
      <c r="P321" s="70"/>
      <c r="Q321" s="70"/>
      <c r="R321" s="70"/>
      <c r="S321" s="141"/>
      <c r="T321" s="141"/>
      <c r="U321" s="70"/>
      <c r="V321" s="70"/>
      <c r="W321" s="141"/>
      <c r="X321" s="141"/>
      <c r="Y321" s="70"/>
      <c r="Z321" s="70"/>
      <c r="AA321" s="141"/>
      <c r="AB321" s="141"/>
      <c r="AC321" s="70"/>
      <c r="AD321" s="70"/>
      <c r="AG321" s="57"/>
      <c r="AH321" s="57"/>
      <c r="AI321" s="57"/>
      <c r="AJ321" s="57"/>
      <c r="AK321" t="s">
        <v>2650</v>
      </c>
      <c r="AL321" s="506">
        <f>SUM(AM320,AP320,AS320,AV320)</f>
        <v>0</v>
      </c>
      <c r="AM321" t="s">
        <v>2651</v>
      </c>
      <c r="AN321">
        <f>SUM(AK320,AN320,AQ320,AT320)</f>
        <v>0</v>
      </c>
      <c r="AO321" s="57"/>
      <c r="AP321" s="57"/>
      <c r="AQ321" s="57"/>
      <c r="AR321" s="57"/>
      <c r="AS321" s="57"/>
      <c r="AT321" s="57"/>
      <c r="AU321" s="57"/>
      <c r="AV321" s="57"/>
      <c r="AW321" s="57"/>
    </row>
    <row r="322" spans="1:49" ht="24" customHeight="1">
      <c r="A322" s="108"/>
      <c r="B322" s="38"/>
      <c r="C322" s="754" t="s">
        <v>2611</v>
      </c>
      <c r="D322" s="754"/>
      <c r="E322" s="754"/>
      <c r="F322" s="754"/>
      <c r="G322" s="754"/>
      <c r="H322" s="754"/>
      <c r="I322" s="754"/>
      <c r="J322" s="754"/>
      <c r="K322" s="754"/>
      <c r="L322" s="754"/>
      <c r="M322" s="754"/>
      <c r="N322" s="754"/>
      <c r="O322" s="754"/>
      <c r="P322" s="754"/>
      <c r="Q322" s="754"/>
      <c r="R322" s="754"/>
      <c r="S322" s="754"/>
      <c r="T322" s="754"/>
      <c r="U322" s="754"/>
      <c r="V322" s="754"/>
      <c r="W322" s="754"/>
      <c r="X322" s="754"/>
      <c r="Y322" s="754"/>
      <c r="Z322" s="754"/>
      <c r="AA322" s="754"/>
      <c r="AB322" s="754"/>
      <c r="AC322" s="754"/>
      <c r="AD322" s="754"/>
      <c r="AG322" s="38"/>
      <c r="AH322" s="38"/>
      <c r="AI322" s="57"/>
      <c r="AJ322" s="57"/>
      <c r="AK322" t="s">
        <v>2652</v>
      </c>
      <c r="AL322" s="507">
        <f>IF(AN321&gt;0,IF(SUM(S320)&gt;=SUM(V320,Y320,AB320),0,1),IF(SUM(S320)&lt;&gt;SUM(V320,Y320,AB320),1,0))</f>
        <v>0</v>
      </c>
      <c r="AM322" t="s">
        <v>2653</v>
      </c>
      <c r="AN322" s="507">
        <f>IF(AN321&gt;0,IF(SUM(T320)&gt;=SUM(W320,Z320,AC320),0,1),IF(SUM(T320)&lt;&gt;SUM(W320,Z320,AC320),1,0))</f>
        <v>0</v>
      </c>
      <c r="AO322" t="s">
        <v>2654</v>
      </c>
      <c r="AP322" s="507">
        <f>IF(AN321&gt;0,IF(SUM(U320)&gt;=SUM(X320,AA320,AD320),0,1),IF(SUM(U320)&lt;&gt;SUM(X320,AA320,AD320),1,0))</f>
        <v>0</v>
      </c>
      <c r="AQ322" s="57"/>
      <c r="AR322" s="57"/>
      <c r="AS322" s="57"/>
      <c r="AT322" s="57"/>
      <c r="AU322" s="57"/>
      <c r="AV322" s="57"/>
      <c r="AW322" s="57"/>
    </row>
    <row r="323" spans="1:49" ht="60" customHeight="1">
      <c r="A323" s="108"/>
      <c r="B323" s="38"/>
      <c r="C323" s="851"/>
      <c r="D323" s="851"/>
      <c r="E323" s="851"/>
      <c r="F323" s="851"/>
      <c r="G323" s="851"/>
      <c r="H323" s="851"/>
      <c r="I323" s="851"/>
      <c r="J323" s="851"/>
      <c r="K323" s="851"/>
      <c r="L323" s="851"/>
      <c r="M323" s="851"/>
      <c r="N323" s="851"/>
      <c r="O323" s="851"/>
      <c r="P323" s="851"/>
      <c r="Q323" s="851"/>
      <c r="R323" s="851"/>
      <c r="S323" s="851"/>
      <c r="T323" s="851"/>
      <c r="U323" s="851"/>
      <c r="V323" s="851"/>
      <c r="W323" s="851"/>
      <c r="X323" s="851"/>
      <c r="Y323" s="851"/>
      <c r="Z323" s="851"/>
      <c r="AA323" s="851"/>
      <c r="AB323" s="851"/>
      <c r="AC323" s="851"/>
      <c r="AD323" s="851"/>
    </row>
    <row r="324" spans="1:49" ht="15" customHeight="1">
      <c r="A324" s="176"/>
      <c r="B324" s="794" t="str">
        <f>IF(AG320=0,"","Favor de ingresar toda la información requerida en la pregunta")</f>
        <v/>
      </c>
      <c r="C324" s="794"/>
      <c r="D324" s="794"/>
      <c r="E324" s="794"/>
      <c r="F324" s="794"/>
      <c r="G324" s="794"/>
      <c r="H324" s="794"/>
      <c r="I324" s="794"/>
      <c r="J324" s="794"/>
      <c r="K324" s="794"/>
      <c r="L324" s="794"/>
      <c r="M324" s="794"/>
      <c r="N324" s="794"/>
      <c r="O324" s="794"/>
      <c r="P324" s="794"/>
      <c r="Q324" s="794"/>
      <c r="R324" s="794"/>
      <c r="S324" s="794"/>
      <c r="T324" s="794"/>
      <c r="U324" s="794"/>
      <c r="V324" s="794"/>
      <c r="W324" s="794"/>
      <c r="X324" s="794"/>
      <c r="Y324" s="794"/>
      <c r="Z324" s="794"/>
      <c r="AA324" s="794"/>
      <c r="AB324" s="794"/>
      <c r="AC324" s="794"/>
      <c r="AD324" s="794"/>
      <c r="AE324" s="794"/>
    </row>
    <row r="325" spans="1:49" ht="15" customHeight="1">
      <c r="A325" s="176"/>
      <c r="B325" s="1087" t="str">
        <f>IF(COUNTIF(S312:AD319,"NS")&lt;&gt;0,"Alerta: debido a que cuenta con registros NS, debe proporcionar una justificación en el area de comentarios al final de la pregunta","")</f>
        <v/>
      </c>
      <c r="C325" s="1087"/>
      <c r="D325" s="1087"/>
      <c r="E325" s="1087"/>
      <c r="F325" s="1087"/>
      <c r="G325" s="1087"/>
      <c r="H325" s="1087"/>
      <c r="I325" s="1087"/>
      <c r="J325" s="1087"/>
      <c r="K325" s="1087"/>
      <c r="L325" s="1087"/>
      <c r="M325" s="1087"/>
      <c r="N325" s="1087"/>
      <c r="O325" s="1087"/>
      <c r="P325" s="1087"/>
      <c r="Q325" s="1087"/>
      <c r="R325" s="1087"/>
      <c r="S325" s="1087"/>
      <c r="T325" s="1087"/>
      <c r="U325" s="1087"/>
      <c r="V325" s="1087"/>
      <c r="W325" s="1087"/>
      <c r="X325" s="1087"/>
      <c r="Y325" s="1087"/>
      <c r="Z325" s="1087"/>
      <c r="AA325" s="1087"/>
      <c r="AB325" s="1087"/>
      <c r="AC325" s="1087"/>
      <c r="AD325" s="1087"/>
      <c r="AE325" s="1087"/>
    </row>
    <row r="326" spans="1:49" ht="15" customHeight="1">
      <c r="A326" s="176"/>
      <c r="B326" s="1003" t="str">
        <f>IF(AH320&gt;0,"Revise la información capturada, ya que tiene datos ingresados en celdas que están sombreadas","")</f>
        <v/>
      </c>
      <c r="C326" s="1003"/>
      <c r="D326" s="1003"/>
      <c r="E326" s="1003"/>
      <c r="F326" s="1003"/>
      <c r="G326" s="1003"/>
      <c r="H326" s="1003"/>
      <c r="I326" s="1003"/>
      <c r="J326" s="1003"/>
      <c r="K326" s="1003"/>
      <c r="L326" s="1003"/>
      <c r="M326" s="1003"/>
      <c r="N326" s="1003"/>
      <c r="O326" s="1003"/>
      <c r="P326" s="1003"/>
      <c r="Q326" s="1003"/>
      <c r="R326" s="1003"/>
      <c r="S326" s="1003"/>
      <c r="T326" s="1003"/>
      <c r="U326" s="1003"/>
      <c r="V326" s="1003"/>
      <c r="W326" s="1003"/>
      <c r="X326" s="1003"/>
      <c r="Y326" s="1003"/>
      <c r="Z326" s="1003"/>
      <c r="AA326" s="1003"/>
      <c r="AB326" s="1003"/>
      <c r="AC326" s="1003"/>
      <c r="AD326" s="1003"/>
      <c r="AE326" s="1003"/>
    </row>
    <row r="327" spans="1:49" ht="15" customHeight="1">
      <c r="A327" s="176"/>
      <c r="B327" s="1003" t="str">
        <f>IF(OR(AL321&gt;0,AL322&gt;0,AN322&gt;0,AP322&gt;0),"Favor de revisar la suma y consistencia de totales y/o subtotales por filas (numéricos y NS)","")</f>
        <v/>
      </c>
      <c r="C327" s="1003"/>
      <c r="D327" s="1003"/>
      <c r="E327" s="1003"/>
      <c r="F327" s="1003"/>
      <c r="G327" s="1003"/>
      <c r="H327" s="1003"/>
      <c r="I327" s="1003"/>
      <c r="J327" s="1003"/>
      <c r="K327" s="1003"/>
      <c r="L327" s="1003"/>
      <c r="M327" s="1003"/>
      <c r="N327" s="1003"/>
      <c r="O327" s="1003"/>
      <c r="P327" s="1003"/>
      <c r="Q327" s="1003"/>
      <c r="R327" s="1003"/>
      <c r="S327" s="1003"/>
      <c r="T327" s="1003"/>
      <c r="U327" s="1003"/>
      <c r="V327" s="1003"/>
      <c r="W327" s="1003"/>
      <c r="X327" s="1003"/>
      <c r="Y327" s="1003"/>
      <c r="Z327" s="1003"/>
      <c r="AA327" s="1003"/>
      <c r="AB327" s="1003"/>
      <c r="AC327" s="1003"/>
      <c r="AD327" s="1003"/>
      <c r="AE327" s="1003"/>
    </row>
    <row r="328" spans="1:49" ht="15" customHeight="1">
      <c r="A328" s="176"/>
      <c r="B328" s="1003" t="str">
        <f>IF(AW320=0,"","Las cantidades de Hombres y Mujeres por centro especializado debe corresponder con los datos reportados en la preg. 7.2")</f>
        <v/>
      </c>
      <c r="C328" s="1003"/>
      <c r="D328" s="1003"/>
      <c r="E328" s="1003"/>
      <c r="F328" s="1003"/>
      <c r="G328" s="1003"/>
      <c r="H328" s="1003"/>
      <c r="I328" s="1003"/>
      <c r="J328" s="1003"/>
      <c r="K328" s="1003"/>
      <c r="L328" s="1003"/>
      <c r="M328" s="1003"/>
      <c r="N328" s="1003"/>
      <c r="O328" s="1003"/>
      <c r="P328" s="1003"/>
      <c r="Q328" s="1003"/>
      <c r="R328" s="1003"/>
      <c r="S328" s="1003"/>
      <c r="T328" s="1003"/>
      <c r="U328" s="1003"/>
      <c r="V328" s="1003"/>
      <c r="W328" s="1003"/>
      <c r="X328" s="1003"/>
      <c r="Y328" s="1003"/>
      <c r="Z328" s="1003"/>
      <c r="AA328" s="1003"/>
      <c r="AB328" s="1003"/>
      <c r="AC328" s="1003"/>
      <c r="AD328" s="1003"/>
      <c r="AE328" s="1003"/>
    </row>
    <row r="329" spans="1:49" ht="15" customHeight="1">
      <c r="A329" s="176"/>
      <c r="B329" s="105"/>
      <c r="C329" s="105"/>
      <c r="D329" s="105"/>
      <c r="E329" s="105"/>
      <c r="F329" s="105"/>
      <c r="G329" s="105"/>
      <c r="H329" s="105"/>
      <c r="I329" s="105"/>
      <c r="J329" s="105"/>
      <c r="K329" s="105"/>
      <c r="L329" s="105"/>
      <c r="M329" s="105"/>
      <c r="N329" s="105"/>
      <c r="O329" s="105"/>
      <c r="P329" s="105"/>
      <c r="Q329" s="105"/>
      <c r="R329" s="105"/>
      <c r="S329" s="105"/>
      <c r="T329" s="105"/>
      <c r="U329" s="105"/>
      <c r="V329" s="105"/>
      <c r="W329" s="105"/>
      <c r="X329" s="105"/>
      <c r="Y329" s="105"/>
      <c r="Z329" s="105"/>
      <c r="AA329" s="105"/>
      <c r="AB329" s="105"/>
      <c r="AC329" s="105"/>
      <c r="AD329" s="105"/>
      <c r="AE329"/>
    </row>
    <row r="330" spans="1:49" ht="36" customHeight="1">
      <c r="A330" s="108" t="s">
        <v>4661</v>
      </c>
      <c r="B330" s="829" t="s">
        <v>4662</v>
      </c>
      <c r="C330" s="829"/>
      <c r="D330" s="829"/>
      <c r="E330" s="829"/>
      <c r="F330" s="829"/>
      <c r="G330" s="829"/>
      <c r="H330" s="829"/>
      <c r="I330" s="829"/>
      <c r="J330" s="829"/>
      <c r="K330" s="829"/>
      <c r="L330" s="829"/>
      <c r="M330" s="829"/>
      <c r="N330" s="829"/>
      <c r="O330" s="829"/>
      <c r="P330" s="829"/>
      <c r="Q330" s="829"/>
      <c r="R330" s="829"/>
      <c r="S330" s="829"/>
      <c r="T330" s="829"/>
      <c r="U330" s="829"/>
      <c r="V330" s="829"/>
      <c r="W330" s="829"/>
      <c r="X330" s="829"/>
      <c r="Y330" s="829"/>
      <c r="Z330" s="829"/>
      <c r="AA330" s="829"/>
      <c r="AB330" s="829"/>
      <c r="AC330" s="829"/>
      <c r="AD330" s="829"/>
    </row>
    <row r="331" spans="1:49" ht="15" customHeight="1">
      <c r="A331" s="10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c r="AA331" s="38"/>
      <c r="AB331" s="38"/>
      <c r="AC331" s="38"/>
      <c r="AD331" s="38"/>
    </row>
    <row r="332" spans="1:49" ht="36" customHeight="1">
      <c r="A332" s="108"/>
      <c r="B332" s="38"/>
      <c r="C332" s="797" t="s">
        <v>2581</v>
      </c>
      <c r="D332" s="798"/>
      <c r="E332" s="798"/>
      <c r="F332" s="798"/>
      <c r="G332" s="798"/>
      <c r="H332" s="798"/>
      <c r="I332" s="798"/>
      <c r="J332" s="798"/>
      <c r="K332" s="798"/>
      <c r="L332" s="798"/>
      <c r="M332" s="798"/>
      <c r="N332" s="798"/>
      <c r="O332" s="798"/>
      <c r="P332" s="798"/>
      <c r="Q332" s="798"/>
      <c r="R332" s="799"/>
      <c r="S332" s="739" t="s">
        <v>4663</v>
      </c>
      <c r="T332" s="740"/>
      <c r="U332" s="740"/>
      <c r="V332" s="740"/>
      <c r="W332" s="740"/>
      <c r="X332" s="740"/>
      <c r="Y332" s="740"/>
      <c r="Z332" s="740"/>
      <c r="AA332" s="740"/>
      <c r="AB332" s="740"/>
      <c r="AC332" s="740"/>
      <c r="AD332" s="741"/>
    </row>
    <row r="333" spans="1:49" ht="24" customHeight="1">
      <c r="A333" s="108"/>
      <c r="B333" s="38"/>
      <c r="C333" s="800"/>
      <c r="D333" s="801"/>
      <c r="E333" s="801"/>
      <c r="F333" s="801"/>
      <c r="G333" s="801"/>
      <c r="H333" s="801"/>
      <c r="I333" s="801"/>
      <c r="J333" s="801"/>
      <c r="K333" s="801"/>
      <c r="L333" s="801"/>
      <c r="M333" s="801"/>
      <c r="N333" s="801"/>
      <c r="O333" s="801"/>
      <c r="P333" s="801"/>
      <c r="Q333" s="801"/>
      <c r="R333" s="802"/>
      <c r="S333" s="887" t="s">
        <v>2628</v>
      </c>
      <c r="T333" s="889" t="s">
        <v>2629</v>
      </c>
      <c r="U333" s="889" t="s">
        <v>2630</v>
      </c>
      <c r="V333" s="733" t="s">
        <v>4664</v>
      </c>
      <c r="W333" s="734"/>
      <c r="X333" s="735"/>
      <c r="Y333" s="733" t="s">
        <v>4665</v>
      </c>
      <c r="Z333" s="734"/>
      <c r="AA333" s="735"/>
      <c r="AB333" s="733" t="s">
        <v>201</v>
      </c>
      <c r="AC333" s="734"/>
      <c r="AD333" s="735"/>
    </row>
    <row r="334" spans="1:49" ht="48" customHeight="1">
      <c r="A334" s="108"/>
      <c r="B334" s="38"/>
      <c r="C334" s="803"/>
      <c r="D334" s="804"/>
      <c r="E334" s="804"/>
      <c r="F334" s="804"/>
      <c r="G334" s="804"/>
      <c r="H334" s="804"/>
      <c r="I334" s="804"/>
      <c r="J334" s="804"/>
      <c r="K334" s="804"/>
      <c r="L334" s="804"/>
      <c r="M334" s="804"/>
      <c r="N334" s="804"/>
      <c r="O334" s="804"/>
      <c r="P334" s="804"/>
      <c r="Q334" s="804"/>
      <c r="R334" s="805"/>
      <c r="S334" s="888"/>
      <c r="T334" s="890"/>
      <c r="U334" s="890"/>
      <c r="V334" s="171" t="s">
        <v>2635</v>
      </c>
      <c r="W334" s="128" t="s">
        <v>2629</v>
      </c>
      <c r="X334" s="128" t="s">
        <v>2630</v>
      </c>
      <c r="Y334" s="171" t="s">
        <v>2635</v>
      </c>
      <c r="Z334" s="128" t="s">
        <v>2629</v>
      </c>
      <c r="AA334" s="128" t="s">
        <v>2630</v>
      </c>
      <c r="AB334" s="171" t="s">
        <v>2635</v>
      </c>
      <c r="AC334" s="128" t="s">
        <v>2629</v>
      </c>
      <c r="AD334" s="128" t="s">
        <v>2630</v>
      </c>
      <c r="AG334" t="s">
        <v>2586</v>
      </c>
      <c r="AH334" t="s">
        <v>4581</v>
      </c>
      <c r="AK334" t="s">
        <v>4573</v>
      </c>
      <c r="AL334" t="s">
        <v>2638</v>
      </c>
      <c r="AM334" t="s">
        <v>2639</v>
      </c>
      <c r="AN334" t="s">
        <v>4574</v>
      </c>
      <c r="AO334" t="s">
        <v>2641</v>
      </c>
      <c r="AP334" t="s">
        <v>2642</v>
      </c>
      <c r="AQ334" t="s">
        <v>4575</v>
      </c>
      <c r="AR334" t="s">
        <v>2644</v>
      </c>
      <c r="AS334" t="s">
        <v>2645</v>
      </c>
      <c r="AT334" t="s">
        <v>4576</v>
      </c>
      <c r="AU334" t="s">
        <v>2647</v>
      </c>
      <c r="AV334" t="s">
        <v>2648</v>
      </c>
      <c r="AW334" t="s">
        <v>4582</v>
      </c>
    </row>
    <row r="335" spans="1:49" ht="15" customHeight="1">
      <c r="A335" s="108"/>
      <c r="B335" s="38"/>
      <c r="C335" s="97" t="s">
        <v>2516</v>
      </c>
      <c r="D335" s="813" t="str">
        <f>IF(CNSIPEE_2024_M2_Secc1!D42="","",CNSIPEE_2024_M2_Secc1!D42)</f>
        <v/>
      </c>
      <c r="E335" s="814"/>
      <c r="F335" s="814"/>
      <c r="G335" s="814"/>
      <c r="H335" s="814"/>
      <c r="I335" s="814"/>
      <c r="J335" s="814"/>
      <c r="K335" s="814"/>
      <c r="L335" s="814"/>
      <c r="M335" s="814"/>
      <c r="N335" s="814"/>
      <c r="O335" s="814"/>
      <c r="P335" s="814"/>
      <c r="Q335" s="814"/>
      <c r="R335" s="815"/>
      <c r="S335" s="100"/>
      <c r="T335" s="100"/>
      <c r="U335" s="100"/>
      <c r="V335" s="100"/>
      <c r="W335" s="100"/>
      <c r="X335" s="100"/>
      <c r="Y335" s="100"/>
      <c r="Z335" s="100"/>
      <c r="AA335" s="100"/>
      <c r="AB335" s="100"/>
      <c r="AC335" s="100"/>
      <c r="AD335" s="100"/>
      <c r="AG335">
        <f>IF(OR($M63=0,$M63="NS",$M63="NA"),0,IF(OR(COUNTBLANK(D335:AD335)=14,COUNTBLANK(D335:AD335)=27),0,1))</f>
        <v>0</v>
      </c>
      <c r="AH335">
        <f>IF(OR($M63=0,$M63="NS",$M63="NA"),IF(COUNTBLANK(S335:AD335)=12,0,1),0)</f>
        <v>0</v>
      </c>
      <c r="AK335">
        <f t="shared" ref="AK335" si="143">COUNTIF(T335:U335,"NS")</f>
        <v>0</v>
      </c>
      <c r="AL335">
        <f t="shared" ref="AL335" si="144">SUM(T335:U335)</f>
        <v>0</v>
      </c>
      <c r="AM335">
        <f t="shared" ref="AM335" si="145">IF(COUNTIF(S335:U335,"NA")=3,0,IF(COUNTA(S335:U335)=0,0,IF(OR(AND(S335=0,AK335&gt;0),AND(S335="ns",AL335&gt;0),AND(S335="ns",AK335=0,AL335=0)),1,IF(OR(AND(S335&gt;0,AK335=2),AND(S335="ns",AK335=2),AND(S335="ns",AL335=0,AK335&gt;0),S335=AL335),0,1))))</f>
        <v>0</v>
      </c>
      <c r="AN335">
        <f t="shared" ref="AN335" si="146">COUNTIF(W335:X335,"NS")</f>
        <v>0</v>
      </c>
      <c r="AO335">
        <f t="shared" ref="AO335" si="147">SUM(W335:X335)</f>
        <v>0</v>
      </c>
      <c r="AP335">
        <f t="shared" ref="AP335" si="148">IF(COUNTIF(V335:X335,"NA")=3,0,IF(COUNTA(V335:X335)=0,0,IF(OR(AND(V335=0,AN335&gt;0),AND(V335="ns",AO335&gt;0),AND(V335="ns",AN335=0,AO335=0)),1,IF(OR(AND(V335&gt;0,AN335=2),AND(V335="ns",AN335=2),AND(V335="ns",AO335=0,AN335&gt;0),V335=AO335),0,1))))</f>
        <v>0</v>
      </c>
      <c r="AQ335">
        <f t="shared" ref="AQ335" si="149">COUNTIF(Z335:AA335,"NS")</f>
        <v>0</v>
      </c>
      <c r="AR335">
        <f t="shared" ref="AR335" si="150">SUM(Z335:AA335)</f>
        <v>0</v>
      </c>
      <c r="AS335">
        <f t="shared" ref="AS335" si="151">IF(COUNTIF(Y335:AA335,"NA")=3,0,IF(COUNTA(Y335:AA335)=0,0,IF(OR(AND(Y335=0,AQ335&gt;0),AND(Y335="ns",AR335&gt;0),AND(Y335="ns",AQ335=0,AR335=0)),1,IF(OR(AND(Y335&gt;0,AQ335=2),AND(Y335="ns",AQ335=2),AND(Y335="ns",AR335=0,AQ335&gt;0),Y335=AR335),0,1))))</f>
        <v>0</v>
      </c>
      <c r="AT335">
        <f t="shared" ref="AT335" si="152">COUNTIF(AC335:AD335,"NS")</f>
        <v>0</v>
      </c>
      <c r="AU335">
        <f t="shared" ref="AU335" si="153">SUM(AC335:AD335)</f>
        <v>0</v>
      </c>
      <c r="AV335">
        <f t="shared" ref="AV335" si="154">IF(COUNTIF(AB335:AD335,"NA")=3,0,IF(COUNTA(AB335:AD335)=0,0,IF(OR(AND(AB335=0,AT335&gt;0),AND(AB335="ns",AU335&gt;0),AND(AB335="ns",AT335=0,AU335=0)),1,IF(OR(AND(AB335&gt;0,AT335=2),AND(AB335="ns",AT335=2),AND(AB335="ns",AU335=0,AT335&gt;0),AB335=AU335),0,1))))</f>
        <v>0</v>
      </c>
      <c r="AW335">
        <f>IF(OR($M63=0,$M63="NS",$M63="NA"),0,IF(AND(M63=S335,S63=T335,Y63=U335),0,1))</f>
        <v>0</v>
      </c>
    </row>
    <row r="336" spans="1:49" ht="15" customHeight="1">
      <c r="A336" s="108"/>
      <c r="B336" s="38"/>
      <c r="C336" s="98" t="s">
        <v>2517</v>
      </c>
      <c r="D336" s="813" t="str">
        <f>IF(CNSIPEE_2024_M2_Secc1!D43="","",CNSIPEE_2024_M2_Secc1!D43)</f>
        <v/>
      </c>
      <c r="E336" s="814"/>
      <c r="F336" s="814"/>
      <c r="G336" s="814"/>
      <c r="H336" s="814"/>
      <c r="I336" s="814"/>
      <c r="J336" s="814"/>
      <c r="K336" s="814"/>
      <c r="L336" s="814"/>
      <c r="M336" s="814"/>
      <c r="N336" s="814"/>
      <c r="O336" s="814"/>
      <c r="P336" s="814"/>
      <c r="Q336" s="814"/>
      <c r="R336" s="815"/>
      <c r="S336" s="100"/>
      <c r="T336" s="100"/>
      <c r="U336" s="100"/>
      <c r="V336" s="100"/>
      <c r="W336" s="100"/>
      <c r="X336" s="100"/>
      <c r="Y336" s="100"/>
      <c r="Z336" s="100"/>
      <c r="AA336" s="100"/>
      <c r="AB336" s="100"/>
      <c r="AC336" s="100"/>
      <c r="AD336" s="100"/>
      <c r="AG336">
        <f t="shared" ref="AG336:AG341" si="155">IF(OR($M64=0,$M64="NS",$M64="NA"),0,IF(OR(COUNTBLANK(D336:AD336)=14,COUNTBLANK(D336:AD336)=27),0,1))</f>
        <v>0</v>
      </c>
      <c r="AH336">
        <f t="shared" ref="AH336:AH342" si="156">IF(OR($M64=0,$M64="NS",$M64="NA"),IF(COUNTBLANK(S336:AD336)=12,0,1),0)</f>
        <v>0</v>
      </c>
      <c r="AK336">
        <f t="shared" ref="AK336:AK342" si="157">COUNTIF(T336:U336,"NS")</f>
        <v>0</v>
      </c>
      <c r="AL336">
        <f t="shared" ref="AL336:AL342" si="158">SUM(T336:U336)</f>
        <v>0</v>
      </c>
      <c r="AM336">
        <f t="shared" ref="AM336:AM342" si="159">IF(COUNTIF(S336:U336,"NA")=3,0,IF(COUNTA(S336:U336)=0,0,IF(OR(AND(S336=0,AK336&gt;0),AND(S336="ns",AL336&gt;0),AND(S336="ns",AK336=0,AL336=0)),1,IF(OR(AND(S336&gt;0,AK336=2),AND(S336="ns",AK336=2),AND(S336="ns",AL336=0,AK336&gt;0),S336=AL336),0,1))))</f>
        <v>0</v>
      </c>
      <c r="AN336">
        <f t="shared" ref="AN336:AN342" si="160">COUNTIF(W336:X336,"NS")</f>
        <v>0</v>
      </c>
      <c r="AO336">
        <f t="shared" ref="AO336:AO342" si="161">SUM(W336:X336)</f>
        <v>0</v>
      </c>
      <c r="AP336">
        <f t="shared" ref="AP336:AP342" si="162">IF(COUNTIF(V336:X336,"NA")=3,0,IF(COUNTA(V336:X336)=0,0,IF(OR(AND(V336=0,AN336&gt;0),AND(V336="ns",AO336&gt;0),AND(V336="ns",AN336=0,AO336=0)),1,IF(OR(AND(V336&gt;0,AN336=2),AND(V336="ns",AN336=2),AND(V336="ns",AO336=0,AN336&gt;0),V336=AO336),0,1))))</f>
        <v>0</v>
      </c>
      <c r="AQ336">
        <f t="shared" ref="AQ336:AQ342" si="163">COUNTIF(Z336:AA336,"NS")</f>
        <v>0</v>
      </c>
      <c r="AR336">
        <f t="shared" ref="AR336:AR342" si="164">SUM(Z336:AA336)</f>
        <v>0</v>
      </c>
      <c r="AS336">
        <f t="shared" ref="AS336:AS342" si="165">IF(COUNTIF(Y336:AA336,"NA")=3,0,IF(COUNTA(Y336:AA336)=0,0,IF(OR(AND(Y336=0,AQ336&gt;0),AND(Y336="ns",AR336&gt;0),AND(Y336="ns",AQ336=0,AR336=0)),1,IF(OR(AND(Y336&gt;0,AQ336=2),AND(Y336="ns",AQ336=2),AND(Y336="ns",AR336=0,AQ336&gt;0),Y336=AR336),0,1))))</f>
        <v>0</v>
      </c>
      <c r="AT336">
        <f t="shared" ref="AT336:AT342" si="166">COUNTIF(AC336:AD336,"NS")</f>
        <v>0</v>
      </c>
      <c r="AU336">
        <f t="shared" ref="AU336:AU342" si="167">SUM(AC336:AD336)</f>
        <v>0</v>
      </c>
      <c r="AV336">
        <f t="shared" ref="AV336:AV342" si="168">IF(COUNTIF(AB336:AD336,"NA")=3,0,IF(COUNTA(AB336:AD336)=0,0,IF(OR(AND(AB336=0,AT336&gt;0),AND(AB336="ns",AU336&gt;0),AND(AB336="ns",AT336=0,AU336=0)),1,IF(OR(AND(AB336&gt;0,AT336=2),AND(AB336="ns",AT336=2),AND(AB336="ns",AU336=0,AT336&gt;0),AB336=AU336),0,1))))</f>
        <v>0</v>
      </c>
      <c r="AW336">
        <f t="shared" ref="AW336:AW342" si="169">IF(OR($M64=0,$M64="NS",$M64="NA"),0,IF(AND(M64=S336,S64=T336,Y64=U336),0,1))</f>
        <v>0</v>
      </c>
    </row>
    <row r="337" spans="1:49" ht="15" customHeight="1">
      <c r="A337" s="186"/>
      <c r="B337" s="57"/>
      <c r="C337" s="98" t="s">
        <v>2518</v>
      </c>
      <c r="D337" s="813" t="str">
        <f>IF(CNSIPEE_2024_M2_Secc1!D44="","",CNSIPEE_2024_M2_Secc1!D44)</f>
        <v/>
      </c>
      <c r="E337" s="814"/>
      <c r="F337" s="814"/>
      <c r="G337" s="814"/>
      <c r="H337" s="814"/>
      <c r="I337" s="814"/>
      <c r="J337" s="814"/>
      <c r="K337" s="814"/>
      <c r="L337" s="814"/>
      <c r="M337" s="814"/>
      <c r="N337" s="814"/>
      <c r="O337" s="814"/>
      <c r="P337" s="814"/>
      <c r="Q337" s="814"/>
      <c r="R337" s="815"/>
      <c r="S337" s="100"/>
      <c r="T337" s="100"/>
      <c r="U337" s="100"/>
      <c r="V337" s="100"/>
      <c r="W337" s="100"/>
      <c r="X337" s="100"/>
      <c r="Y337" s="100"/>
      <c r="Z337" s="100"/>
      <c r="AA337" s="100"/>
      <c r="AB337" s="100"/>
      <c r="AC337" s="100"/>
      <c r="AD337" s="100"/>
      <c r="AG337">
        <f t="shared" si="155"/>
        <v>0</v>
      </c>
      <c r="AH337">
        <f t="shared" si="156"/>
        <v>0</v>
      </c>
      <c r="AK337">
        <f t="shared" si="157"/>
        <v>0</v>
      </c>
      <c r="AL337">
        <f t="shared" si="158"/>
        <v>0</v>
      </c>
      <c r="AM337">
        <f t="shared" si="159"/>
        <v>0</v>
      </c>
      <c r="AN337">
        <f t="shared" si="160"/>
        <v>0</v>
      </c>
      <c r="AO337">
        <f t="shared" si="161"/>
        <v>0</v>
      </c>
      <c r="AP337">
        <f t="shared" si="162"/>
        <v>0</v>
      </c>
      <c r="AQ337">
        <f t="shared" si="163"/>
        <v>0</v>
      </c>
      <c r="AR337">
        <f t="shared" si="164"/>
        <v>0</v>
      </c>
      <c r="AS337">
        <f t="shared" si="165"/>
        <v>0</v>
      </c>
      <c r="AT337">
        <f t="shared" si="166"/>
        <v>0</v>
      </c>
      <c r="AU337">
        <f t="shared" si="167"/>
        <v>0</v>
      </c>
      <c r="AV337">
        <f t="shared" si="168"/>
        <v>0</v>
      </c>
      <c r="AW337">
        <f t="shared" si="169"/>
        <v>0</v>
      </c>
    </row>
    <row r="338" spans="1:49" ht="15" customHeight="1">
      <c r="A338" s="186"/>
      <c r="B338" s="57"/>
      <c r="C338" s="98" t="s">
        <v>2519</v>
      </c>
      <c r="D338" s="813" t="str">
        <f>IF(CNSIPEE_2024_M2_Secc1!D45="","",CNSIPEE_2024_M2_Secc1!D45)</f>
        <v/>
      </c>
      <c r="E338" s="814"/>
      <c r="F338" s="814"/>
      <c r="G338" s="814"/>
      <c r="H338" s="814"/>
      <c r="I338" s="814"/>
      <c r="J338" s="814"/>
      <c r="K338" s="814"/>
      <c r="L338" s="814"/>
      <c r="M338" s="814"/>
      <c r="N338" s="814"/>
      <c r="O338" s="814"/>
      <c r="P338" s="814"/>
      <c r="Q338" s="814"/>
      <c r="R338" s="815"/>
      <c r="S338" s="100"/>
      <c r="T338" s="100"/>
      <c r="U338" s="100"/>
      <c r="V338" s="100"/>
      <c r="W338" s="100"/>
      <c r="X338" s="100"/>
      <c r="Y338" s="100"/>
      <c r="Z338" s="100"/>
      <c r="AA338" s="100"/>
      <c r="AB338" s="100"/>
      <c r="AC338" s="100"/>
      <c r="AD338" s="100"/>
      <c r="AG338">
        <f t="shared" si="155"/>
        <v>0</v>
      </c>
      <c r="AH338">
        <f t="shared" si="156"/>
        <v>0</v>
      </c>
      <c r="AK338">
        <f t="shared" si="157"/>
        <v>0</v>
      </c>
      <c r="AL338">
        <f t="shared" si="158"/>
        <v>0</v>
      </c>
      <c r="AM338">
        <f t="shared" si="159"/>
        <v>0</v>
      </c>
      <c r="AN338">
        <f t="shared" si="160"/>
        <v>0</v>
      </c>
      <c r="AO338">
        <f t="shared" si="161"/>
        <v>0</v>
      </c>
      <c r="AP338">
        <f t="shared" si="162"/>
        <v>0</v>
      </c>
      <c r="AQ338">
        <f t="shared" si="163"/>
        <v>0</v>
      </c>
      <c r="AR338">
        <f t="shared" si="164"/>
        <v>0</v>
      </c>
      <c r="AS338">
        <f t="shared" si="165"/>
        <v>0</v>
      </c>
      <c r="AT338">
        <f t="shared" si="166"/>
        <v>0</v>
      </c>
      <c r="AU338">
        <f t="shared" si="167"/>
        <v>0</v>
      </c>
      <c r="AV338">
        <f t="shared" si="168"/>
        <v>0</v>
      </c>
      <c r="AW338">
        <f t="shared" si="169"/>
        <v>0</v>
      </c>
    </row>
    <row r="339" spans="1:49" ht="15" customHeight="1">
      <c r="A339" s="186"/>
      <c r="B339" s="57"/>
      <c r="C339" s="98" t="s">
        <v>2520</v>
      </c>
      <c r="D339" s="813" t="str">
        <f>IF(CNSIPEE_2024_M2_Secc1!D46="","",CNSIPEE_2024_M2_Secc1!D46)</f>
        <v/>
      </c>
      <c r="E339" s="814"/>
      <c r="F339" s="814"/>
      <c r="G339" s="814"/>
      <c r="H339" s="814"/>
      <c r="I339" s="814"/>
      <c r="J339" s="814"/>
      <c r="K339" s="814"/>
      <c r="L339" s="814"/>
      <c r="M339" s="814"/>
      <c r="N339" s="814"/>
      <c r="O339" s="814"/>
      <c r="P339" s="814"/>
      <c r="Q339" s="814"/>
      <c r="R339" s="815"/>
      <c r="S339" s="100"/>
      <c r="T339" s="100"/>
      <c r="U339" s="100"/>
      <c r="V339" s="100"/>
      <c r="W339" s="100"/>
      <c r="X339" s="100"/>
      <c r="Y339" s="100"/>
      <c r="Z339" s="100"/>
      <c r="AA339" s="100"/>
      <c r="AB339" s="100"/>
      <c r="AC339" s="100"/>
      <c r="AD339" s="100"/>
      <c r="AG339">
        <f t="shared" si="155"/>
        <v>0</v>
      </c>
      <c r="AH339">
        <f t="shared" si="156"/>
        <v>0</v>
      </c>
      <c r="AK339">
        <f t="shared" si="157"/>
        <v>0</v>
      </c>
      <c r="AL339">
        <f t="shared" si="158"/>
        <v>0</v>
      </c>
      <c r="AM339">
        <f t="shared" si="159"/>
        <v>0</v>
      </c>
      <c r="AN339">
        <f t="shared" si="160"/>
        <v>0</v>
      </c>
      <c r="AO339">
        <f t="shared" si="161"/>
        <v>0</v>
      </c>
      <c r="AP339">
        <f t="shared" si="162"/>
        <v>0</v>
      </c>
      <c r="AQ339">
        <f t="shared" si="163"/>
        <v>0</v>
      </c>
      <c r="AR339">
        <f t="shared" si="164"/>
        <v>0</v>
      </c>
      <c r="AS339">
        <f t="shared" si="165"/>
        <v>0</v>
      </c>
      <c r="AT339">
        <f t="shared" si="166"/>
        <v>0</v>
      </c>
      <c r="AU339">
        <f t="shared" si="167"/>
        <v>0</v>
      </c>
      <c r="AV339">
        <f t="shared" si="168"/>
        <v>0</v>
      </c>
      <c r="AW339">
        <f t="shared" si="169"/>
        <v>0</v>
      </c>
    </row>
    <row r="340" spans="1:49" ht="15" customHeight="1">
      <c r="A340" s="186"/>
      <c r="B340" s="57"/>
      <c r="C340" s="98" t="s">
        <v>2521</v>
      </c>
      <c r="D340" s="813" t="str">
        <f>IF(CNSIPEE_2024_M2_Secc1!D47="","",CNSIPEE_2024_M2_Secc1!D47)</f>
        <v/>
      </c>
      <c r="E340" s="814"/>
      <c r="F340" s="814"/>
      <c r="G340" s="814"/>
      <c r="H340" s="814"/>
      <c r="I340" s="814"/>
      <c r="J340" s="814"/>
      <c r="K340" s="814"/>
      <c r="L340" s="814"/>
      <c r="M340" s="814"/>
      <c r="N340" s="814"/>
      <c r="O340" s="814"/>
      <c r="P340" s="814"/>
      <c r="Q340" s="814"/>
      <c r="R340" s="815"/>
      <c r="S340" s="100"/>
      <c r="T340" s="100"/>
      <c r="U340" s="100"/>
      <c r="V340" s="100"/>
      <c r="W340" s="100"/>
      <c r="X340" s="100"/>
      <c r="Y340" s="100"/>
      <c r="Z340" s="100"/>
      <c r="AA340" s="100"/>
      <c r="AB340" s="100"/>
      <c r="AC340" s="100"/>
      <c r="AD340" s="100"/>
      <c r="AG340">
        <f t="shared" si="155"/>
        <v>0</v>
      </c>
      <c r="AH340">
        <f t="shared" si="156"/>
        <v>0</v>
      </c>
      <c r="AK340">
        <f t="shared" si="157"/>
        <v>0</v>
      </c>
      <c r="AL340">
        <f t="shared" si="158"/>
        <v>0</v>
      </c>
      <c r="AM340">
        <f t="shared" si="159"/>
        <v>0</v>
      </c>
      <c r="AN340">
        <f t="shared" si="160"/>
        <v>0</v>
      </c>
      <c r="AO340">
        <f t="shared" si="161"/>
        <v>0</v>
      </c>
      <c r="AP340">
        <f t="shared" si="162"/>
        <v>0</v>
      </c>
      <c r="AQ340">
        <f t="shared" si="163"/>
        <v>0</v>
      </c>
      <c r="AR340">
        <f t="shared" si="164"/>
        <v>0</v>
      </c>
      <c r="AS340">
        <f t="shared" si="165"/>
        <v>0</v>
      </c>
      <c r="AT340">
        <f t="shared" si="166"/>
        <v>0</v>
      </c>
      <c r="AU340">
        <f t="shared" si="167"/>
        <v>0</v>
      </c>
      <c r="AV340">
        <f t="shared" si="168"/>
        <v>0</v>
      </c>
      <c r="AW340">
        <f t="shared" si="169"/>
        <v>0</v>
      </c>
    </row>
    <row r="341" spans="1:49" ht="15" customHeight="1">
      <c r="A341" s="186"/>
      <c r="B341" s="57"/>
      <c r="C341" s="98" t="s">
        <v>2522</v>
      </c>
      <c r="D341" s="813" t="str">
        <f>IF(CNSIPEE_2024_M2_Secc1!D48="","",CNSIPEE_2024_M2_Secc1!D48)</f>
        <v/>
      </c>
      <c r="E341" s="814"/>
      <c r="F341" s="814"/>
      <c r="G341" s="814"/>
      <c r="H341" s="814"/>
      <c r="I341" s="814"/>
      <c r="J341" s="814"/>
      <c r="K341" s="814"/>
      <c r="L341" s="814"/>
      <c r="M341" s="814"/>
      <c r="N341" s="814"/>
      <c r="O341" s="814"/>
      <c r="P341" s="814"/>
      <c r="Q341" s="814"/>
      <c r="R341" s="815"/>
      <c r="S341" s="100"/>
      <c r="T341" s="100"/>
      <c r="U341" s="100"/>
      <c r="V341" s="100"/>
      <c r="W341" s="100"/>
      <c r="X341" s="100"/>
      <c r="Y341" s="100"/>
      <c r="Z341" s="100"/>
      <c r="AA341" s="100"/>
      <c r="AB341" s="100"/>
      <c r="AC341" s="100"/>
      <c r="AD341" s="100"/>
      <c r="AG341">
        <f t="shared" si="155"/>
        <v>0</v>
      </c>
      <c r="AH341">
        <f t="shared" si="156"/>
        <v>0</v>
      </c>
      <c r="AK341">
        <f t="shared" si="157"/>
        <v>0</v>
      </c>
      <c r="AL341">
        <f t="shared" si="158"/>
        <v>0</v>
      </c>
      <c r="AM341">
        <f t="shared" si="159"/>
        <v>0</v>
      </c>
      <c r="AN341">
        <f t="shared" si="160"/>
        <v>0</v>
      </c>
      <c r="AO341">
        <f t="shared" si="161"/>
        <v>0</v>
      </c>
      <c r="AP341">
        <f t="shared" si="162"/>
        <v>0</v>
      </c>
      <c r="AQ341">
        <f t="shared" si="163"/>
        <v>0</v>
      </c>
      <c r="AR341">
        <f t="shared" si="164"/>
        <v>0</v>
      </c>
      <c r="AS341">
        <f t="shared" si="165"/>
        <v>0</v>
      </c>
      <c r="AT341">
        <f t="shared" si="166"/>
        <v>0</v>
      </c>
      <c r="AU341">
        <f t="shared" si="167"/>
        <v>0</v>
      </c>
      <c r="AV341">
        <f t="shared" si="168"/>
        <v>0</v>
      </c>
      <c r="AW341">
        <f t="shared" si="169"/>
        <v>0</v>
      </c>
    </row>
    <row r="342" spans="1:49" ht="15" customHeight="1">
      <c r="A342" s="186"/>
      <c r="B342" s="57"/>
      <c r="C342" s="98" t="s">
        <v>2523</v>
      </c>
      <c r="D342" s="813" t="str">
        <f>IF(CNSIPEE_2024_M2_Secc1!D49="","",CNSIPEE_2024_M2_Secc1!D49)</f>
        <v/>
      </c>
      <c r="E342" s="814"/>
      <c r="F342" s="814"/>
      <c r="G342" s="814"/>
      <c r="H342" s="814"/>
      <c r="I342" s="814"/>
      <c r="J342" s="814"/>
      <c r="K342" s="814"/>
      <c r="L342" s="814"/>
      <c r="M342" s="814"/>
      <c r="N342" s="814"/>
      <c r="O342" s="814"/>
      <c r="P342" s="814"/>
      <c r="Q342" s="814"/>
      <c r="R342" s="815"/>
      <c r="S342" s="100"/>
      <c r="T342" s="100"/>
      <c r="U342" s="100"/>
      <c r="V342" s="100"/>
      <c r="W342" s="100"/>
      <c r="X342" s="100"/>
      <c r="Y342" s="100"/>
      <c r="Z342" s="100"/>
      <c r="AA342" s="100"/>
      <c r="AB342" s="100"/>
      <c r="AC342" s="100"/>
      <c r="AD342" s="100"/>
      <c r="AG342">
        <f>IF(OR($M70=0,$M70="NS",$M70="NA"),0,IF(OR(COUNTBLANK(D342:AD342)=14,COUNTBLANK(D342:AD342)=27),0,1))</f>
        <v>0</v>
      </c>
      <c r="AH342">
        <f t="shared" si="156"/>
        <v>0</v>
      </c>
      <c r="AK342">
        <f t="shared" si="157"/>
        <v>0</v>
      </c>
      <c r="AL342">
        <f t="shared" si="158"/>
        <v>0</v>
      </c>
      <c r="AM342">
        <f t="shared" si="159"/>
        <v>0</v>
      </c>
      <c r="AN342">
        <f t="shared" si="160"/>
        <v>0</v>
      </c>
      <c r="AO342">
        <f t="shared" si="161"/>
        <v>0</v>
      </c>
      <c r="AP342">
        <f t="shared" si="162"/>
        <v>0</v>
      </c>
      <c r="AQ342">
        <f t="shared" si="163"/>
        <v>0</v>
      </c>
      <c r="AR342">
        <f t="shared" si="164"/>
        <v>0</v>
      </c>
      <c r="AS342">
        <f t="shared" si="165"/>
        <v>0</v>
      </c>
      <c r="AT342">
        <f t="shared" si="166"/>
        <v>0</v>
      </c>
      <c r="AU342">
        <f t="shared" si="167"/>
        <v>0</v>
      </c>
      <c r="AV342">
        <f t="shared" si="168"/>
        <v>0</v>
      </c>
      <c r="AW342">
        <f t="shared" si="169"/>
        <v>0</v>
      </c>
    </row>
    <row r="343" spans="1:49" ht="15" customHeight="1">
      <c r="A343" s="108"/>
      <c r="B343" s="38"/>
      <c r="C343" s="38"/>
      <c r="D343" s="38"/>
      <c r="E343" s="38"/>
      <c r="F343" s="38"/>
      <c r="G343" s="38"/>
      <c r="H343" s="38"/>
      <c r="I343" s="38"/>
      <c r="J343" s="38"/>
      <c r="K343" s="38"/>
      <c r="L343" s="117"/>
      <c r="M343" s="141"/>
      <c r="N343" s="141"/>
      <c r="O343" s="70"/>
      <c r="P343" s="70"/>
      <c r="Q343" s="70"/>
      <c r="R343" s="117" t="s">
        <v>2649</v>
      </c>
      <c r="S343" s="124">
        <f t="shared" ref="S343:AD343" si="170">IF(AND(SUM(S335:S342)=0,COUNTIF(S335:S342,"NS")&gt;0),"NS",IF(AND(SUM(S335:S342)=0,COUNTIF(S335:S342,0)&gt;0),0,IF(AND(SUM(S335:S342)=0,COUNTIF(S335:S342,"NA")&gt;0),"NA",SUM(S335:S342))))</f>
        <v>0</v>
      </c>
      <c r="T343" s="124">
        <f t="shared" si="170"/>
        <v>0</v>
      </c>
      <c r="U343" s="124">
        <f t="shared" si="170"/>
        <v>0</v>
      </c>
      <c r="V343" s="124">
        <f t="shared" si="170"/>
        <v>0</v>
      </c>
      <c r="W343" s="124">
        <f t="shared" si="170"/>
        <v>0</v>
      </c>
      <c r="X343" s="124">
        <f t="shared" si="170"/>
        <v>0</v>
      </c>
      <c r="Y343" s="124">
        <f t="shared" si="170"/>
        <v>0</v>
      </c>
      <c r="Z343" s="124">
        <f t="shared" si="170"/>
        <v>0</v>
      </c>
      <c r="AA343" s="124">
        <f t="shared" si="170"/>
        <v>0</v>
      </c>
      <c r="AB343" s="124">
        <f t="shared" si="170"/>
        <v>0</v>
      </c>
      <c r="AC343" s="124">
        <f t="shared" si="170"/>
        <v>0</v>
      </c>
      <c r="AD343" s="124">
        <f t="shared" si="170"/>
        <v>0</v>
      </c>
      <c r="AG343" s="507">
        <f>SUM(AG335:AG342)</f>
        <v>0</v>
      </c>
      <c r="AH343" s="507">
        <f>SUM(AH335:AH342)</f>
        <v>0</v>
      </c>
      <c r="AI343" s="57"/>
      <c r="AJ343" s="57"/>
      <c r="AK343">
        <f>SUM(AK335:AK342)</f>
        <v>0</v>
      </c>
      <c r="AL343" s="57"/>
      <c r="AM343">
        <f>SUM(AM335:AM342)</f>
        <v>0</v>
      </c>
      <c r="AN343">
        <f>SUM(AN335:AN342)</f>
        <v>0</v>
      </c>
      <c r="AO343" s="57"/>
      <c r="AP343">
        <f>SUM(AP335:AP342)</f>
        <v>0</v>
      </c>
      <c r="AQ343">
        <f>SUM(AQ335:AQ342)</f>
        <v>0</v>
      </c>
      <c r="AR343" s="57"/>
      <c r="AS343">
        <f>SUM(AS335:AS342)</f>
        <v>0</v>
      </c>
      <c r="AT343">
        <f>SUM(AT335:AT342)</f>
        <v>0</v>
      </c>
      <c r="AU343" s="57"/>
      <c r="AV343">
        <f>SUM(AV335:AV342)</f>
        <v>0</v>
      </c>
      <c r="AW343" s="506">
        <f>SUM(AW335:AW342)</f>
        <v>0</v>
      </c>
    </row>
    <row r="344" spans="1:49" ht="15" customHeight="1">
      <c r="A344" s="108"/>
      <c r="B344" s="38"/>
      <c r="C344" s="38"/>
      <c r="D344" s="38"/>
      <c r="E344" s="38"/>
      <c r="F344" s="38"/>
      <c r="G344" s="38"/>
      <c r="H344" s="38"/>
      <c r="I344" s="38"/>
      <c r="J344" s="38"/>
      <c r="K344" s="38"/>
      <c r="L344" s="117"/>
      <c r="M344" s="141"/>
      <c r="N344" s="141"/>
      <c r="O344" s="70"/>
      <c r="P344" s="70"/>
      <c r="Q344" s="70"/>
      <c r="R344" s="70"/>
      <c r="S344" s="141"/>
      <c r="T344" s="141"/>
      <c r="U344" s="70"/>
      <c r="V344" s="70"/>
      <c r="W344" s="141"/>
      <c r="X344" s="141"/>
      <c r="Y344" s="70"/>
      <c r="Z344" s="70"/>
      <c r="AA344" s="141"/>
      <c r="AB344" s="141"/>
      <c r="AC344" s="70"/>
      <c r="AD344" s="70"/>
      <c r="AG344" s="57"/>
      <c r="AH344" s="57"/>
      <c r="AI344" s="57"/>
      <c r="AJ344" s="57"/>
      <c r="AK344" t="s">
        <v>2650</v>
      </c>
      <c r="AL344" s="506">
        <f>SUM(AM343,AP343,AS343,AV343)</f>
        <v>0</v>
      </c>
      <c r="AM344" t="s">
        <v>2651</v>
      </c>
      <c r="AN344">
        <f>SUM(AK343,AN343,AQ343,AT343)</f>
        <v>0</v>
      </c>
      <c r="AO344" s="57"/>
      <c r="AP344" s="57"/>
      <c r="AQ344" s="57"/>
      <c r="AR344" s="57"/>
      <c r="AS344" s="57"/>
      <c r="AT344" s="57"/>
      <c r="AU344" s="57"/>
      <c r="AV344" s="57"/>
      <c r="AW344" s="57"/>
    </row>
    <row r="345" spans="1:49" ht="24" customHeight="1">
      <c r="A345" s="108"/>
      <c r="B345" s="38"/>
      <c r="C345" s="754" t="s">
        <v>2611</v>
      </c>
      <c r="D345" s="754"/>
      <c r="E345" s="754"/>
      <c r="F345" s="754"/>
      <c r="G345" s="754"/>
      <c r="H345" s="754"/>
      <c r="I345" s="754"/>
      <c r="J345" s="754"/>
      <c r="K345" s="754"/>
      <c r="L345" s="754"/>
      <c r="M345" s="754"/>
      <c r="N345" s="754"/>
      <c r="O345" s="754"/>
      <c r="P345" s="754"/>
      <c r="Q345" s="754"/>
      <c r="R345" s="754"/>
      <c r="S345" s="754"/>
      <c r="T345" s="754"/>
      <c r="U345" s="754"/>
      <c r="V345" s="754"/>
      <c r="W345" s="754"/>
      <c r="X345" s="754"/>
      <c r="Y345" s="754"/>
      <c r="Z345" s="754"/>
      <c r="AA345" s="754"/>
      <c r="AB345" s="754"/>
      <c r="AC345" s="754"/>
      <c r="AD345" s="754"/>
      <c r="AG345" s="38"/>
      <c r="AH345" s="38"/>
      <c r="AI345" s="57"/>
      <c r="AJ345" s="57"/>
      <c r="AK345" t="s">
        <v>2652</v>
      </c>
      <c r="AL345" s="507">
        <f>IF(AN344&gt;0,IF(SUM(S343)&gt;=SUM(V343,Y343,AB343),0,1),IF(SUM(S343)&lt;&gt;SUM(V343,Y343,AB343),1,0))</f>
        <v>0</v>
      </c>
      <c r="AM345" t="s">
        <v>2653</v>
      </c>
      <c r="AN345" s="507">
        <f>IF(AN344&gt;0,IF(SUM(T343)&gt;=SUM(W343,Z343,AC343),0,1),IF(SUM(T343)&lt;&gt;SUM(W343,Z343,AC343),1,0))</f>
        <v>0</v>
      </c>
      <c r="AO345" t="s">
        <v>2654</v>
      </c>
      <c r="AP345" s="507">
        <f>IF(AN344&gt;0,IF(SUM(U343)&gt;=SUM(X343,AA343,AD343),0,1),IF(SUM(U343)&lt;&gt;SUM(X343,AA343,AD343),1,0))</f>
        <v>0</v>
      </c>
      <c r="AQ345" s="57"/>
      <c r="AR345" s="57"/>
      <c r="AS345" s="57"/>
      <c r="AT345" s="57"/>
      <c r="AU345" s="57"/>
      <c r="AV345" s="57"/>
      <c r="AW345" s="57"/>
    </row>
    <row r="346" spans="1:49" ht="60" customHeight="1">
      <c r="A346" s="108"/>
      <c r="B346" s="38"/>
      <c r="C346" s="851"/>
      <c r="D346" s="851"/>
      <c r="E346" s="851"/>
      <c r="F346" s="851"/>
      <c r="G346" s="851"/>
      <c r="H346" s="851"/>
      <c r="I346" s="851"/>
      <c r="J346" s="851"/>
      <c r="K346" s="851"/>
      <c r="L346" s="851"/>
      <c r="M346" s="851"/>
      <c r="N346" s="851"/>
      <c r="O346" s="851"/>
      <c r="P346" s="851"/>
      <c r="Q346" s="851"/>
      <c r="R346" s="851"/>
      <c r="S346" s="851"/>
      <c r="T346" s="851"/>
      <c r="U346" s="851"/>
      <c r="V346" s="851"/>
      <c r="W346" s="851"/>
      <c r="X346" s="851"/>
      <c r="Y346" s="851"/>
      <c r="Z346" s="851"/>
      <c r="AA346" s="851"/>
      <c r="AB346" s="851"/>
      <c r="AC346" s="851"/>
      <c r="AD346" s="851"/>
    </row>
    <row r="347" spans="1:49" ht="15" customHeight="1">
      <c r="A347" s="176"/>
      <c r="B347" s="794" t="str">
        <f>IF(AG343=0,"","Favor de ingresar toda la información requerida en la pregunta")</f>
        <v/>
      </c>
      <c r="C347" s="794"/>
      <c r="D347" s="794"/>
      <c r="E347" s="794"/>
      <c r="F347" s="794"/>
      <c r="G347" s="794"/>
      <c r="H347" s="794"/>
      <c r="I347" s="794"/>
      <c r="J347" s="794"/>
      <c r="K347" s="794"/>
      <c r="L347" s="794"/>
      <c r="M347" s="794"/>
      <c r="N347" s="794"/>
      <c r="O347" s="794"/>
      <c r="P347" s="794"/>
      <c r="Q347" s="794"/>
      <c r="R347" s="794"/>
      <c r="S347" s="794"/>
      <c r="T347" s="794"/>
      <c r="U347" s="794"/>
      <c r="V347" s="794"/>
      <c r="W347" s="794"/>
      <c r="X347" s="794"/>
      <c r="Y347" s="794"/>
      <c r="Z347" s="794"/>
      <c r="AA347" s="794"/>
      <c r="AB347" s="794"/>
      <c r="AC347" s="794"/>
      <c r="AD347" s="794"/>
      <c r="AE347" s="794"/>
    </row>
    <row r="348" spans="1:49" ht="15" customHeight="1">
      <c r="A348" s="176"/>
      <c r="B348" s="1087" t="str">
        <f>IF(COUNTIF(S335:AD342,"NS")&lt;&gt;0,"Alerta: debido a que cuenta con registros NS, debe proporcionar una justificación en el area de comentarios al final de la pregunta","")</f>
        <v/>
      </c>
      <c r="C348" s="1087"/>
      <c r="D348" s="1087"/>
      <c r="E348" s="1087"/>
      <c r="F348" s="1087"/>
      <c r="G348" s="1087"/>
      <c r="H348" s="1087"/>
      <c r="I348" s="1087"/>
      <c r="J348" s="1087"/>
      <c r="K348" s="1087"/>
      <c r="L348" s="1087"/>
      <c r="M348" s="1087"/>
      <c r="N348" s="1087"/>
      <c r="O348" s="1087"/>
      <c r="P348" s="1087"/>
      <c r="Q348" s="1087"/>
      <c r="R348" s="1087"/>
      <c r="S348" s="1087"/>
      <c r="T348" s="1087"/>
      <c r="U348" s="1087"/>
      <c r="V348" s="1087"/>
      <c r="W348" s="1087"/>
      <c r="X348" s="1087"/>
      <c r="Y348" s="1087"/>
      <c r="Z348" s="1087"/>
      <c r="AA348" s="1087"/>
      <c r="AB348" s="1087"/>
      <c r="AC348" s="1087"/>
      <c r="AD348" s="1087"/>
      <c r="AE348" s="1087"/>
    </row>
    <row r="349" spans="1:49" ht="15" customHeight="1">
      <c r="A349" s="176"/>
      <c r="B349" s="1003" t="str">
        <f>IF(AH343&gt;0,"Revise la información capturada, ya que tiene datos ingresados en celdas que están sombreadas","")</f>
        <v/>
      </c>
      <c r="C349" s="1003"/>
      <c r="D349" s="1003"/>
      <c r="E349" s="1003"/>
      <c r="F349" s="1003"/>
      <c r="G349" s="1003"/>
      <c r="H349" s="1003"/>
      <c r="I349" s="1003"/>
      <c r="J349" s="1003"/>
      <c r="K349" s="1003"/>
      <c r="L349" s="1003"/>
      <c r="M349" s="1003"/>
      <c r="N349" s="1003"/>
      <c r="O349" s="1003"/>
      <c r="P349" s="1003"/>
      <c r="Q349" s="1003"/>
      <c r="R349" s="1003"/>
      <c r="S349" s="1003"/>
      <c r="T349" s="1003"/>
      <c r="U349" s="1003"/>
      <c r="V349" s="1003"/>
      <c r="W349" s="1003"/>
      <c r="X349" s="1003"/>
      <c r="Y349" s="1003"/>
      <c r="Z349" s="1003"/>
      <c r="AA349" s="1003"/>
      <c r="AB349" s="1003"/>
      <c r="AC349" s="1003"/>
      <c r="AD349" s="1003"/>
      <c r="AE349" s="1003"/>
    </row>
    <row r="350" spans="1:49" ht="15" customHeight="1">
      <c r="A350" s="176"/>
      <c r="B350" s="1003" t="str">
        <f>IF(OR(AL344&gt;0,AL345&gt;0,AN345&gt;0,AP345&gt;0),"Favor de revisar la suma y consistencia de totales y/o subtotales por filas (numéricos y NS)","")</f>
        <v/>
      </c>
      <c r="C350" s="1003"/>
      <c r="D350" s="1003"/>
      <c r="E350" s="1003"/>
      <c r="F350" s="1003"/>
      <c r="G350" s="1003"/>
      <c r="H350" s="1003"/>
      <c r="I350" s="1003"/>
      <c r="J350" s="1003"/>
      <c r="K350" s="1003"/>
      <c r="L350" s="1003"/>
      <c r="M350" s="1003"/>
      <c r="N350" s="1003"/>
      <c r="O350" s="1003"/>
      <c r="P350" s="1003"/>
      <c r="Q350" s="1003"/>
      <c r="R350" s="1003"/>
      <c r="S350" s="1003"/>
      <c r="T350" s="1003"/>
      <c r="U350" s="1003"/>
      <c r="V350" s="1003"/>
      <c r="W350" s="1003"/>
      <c r="X350" s="1003"/>
      <c r="Y350" s="1003"/>
      <c r="Z350" s="1003"/>
      <c r="AA350" s="1003"/>
      <c r="AB350" s="1003"/>
      <c r="AC350" s="1003"/>
      <c r="AD350" s="1003"/>
      <c r="AE350" s="1003"/>
    </row>
    <row r="351" spans="1:49" ht="15" customHeight="1">
      <c r="A351" s="176"/>
      <c r="B351" s="1003" t="str">
        <f>IF(AW343=0,"","Las cantidades de Hombres y Mujeres por centro especializado debe corresponder con los datos reportados en la preg. 7.2")</f>
        <v/>
      </c>
      <c r="C351" s="1003"/>
      <c r="D351" s="1003"/>
      <c r="E351" s="1003"/>
      <c r="F351" s="1003"/>
      <c r="G351" s="1003"/>
      <c r="H351" s="1003"/>
      <c r="I351" s="1003"/>
      <c r="J351" s="1003"/>
      <c r="K351" s="1003"/>
      <c r="L351" s="1003"/>
      <c r="M351" s="1003"/>
      <c r="N351" s="1003"/>
      <c r="O351" s="1003"/>
      <c r="P351" s="1003"/>
      <c r="Q351" s="1003"/>
      <c r="R351" s="1003"/>
      <c r="S351" s="1003"/>
      <c r="T351" s="1003"/>
      <c r="U351" s="1003"/>
      <c r="V351" s="1003"/>
      <c r="W351" s="1003"/>
      <c r="X351" s="1003"/>
      <c r="Y351" s="1003"/>
      <c r="Z351" s="1003"/>
      <c r="AA351" s="1003"/>
      <c r="AB351" s="1003"/>
      <c r="AC351" s="1003"/>
      <c r="AD351" s="1003"/>
      <c r="AE351" s="1003"/>
    </row>
    <row r="352" spans="1:49" ht="15" customHeight="1">
      <c r="A352" s="176"/>
      <c r="B352" s="105"/>
      <c r="C352" s="105"/>
      <c r="D352" s="105"/>
      <c r="E352" s="105"/>
      <c r="F352" s="105"/>
      <c r="G352" s="105"/>
      <c r="H352" s="105"/>
      <c r="I352" s="105"/>
      <c r="J352" s="105"/>
      <c r="K352" s="105"/>
      <c r="L352" s="105"/>
      <c r="M352" s="105"/>
      <c r="N352" s="105"/>
      <c r="O352" s="105"/>
      <c r="P352" s="105"/>
      <c r="Q352" s="105"/>
      <c r="R352" s="105"/>
      <c r="S352" s="105"/>
      <c r="T352" s="105"/>
      <c r="U352" s="105"/>
      <c r="V352" s="105"/>
      <c r="W352" s="105"/>
      <c r="X352" s="105"/>
      <c r="Y352" s="105"/>
      <c r="Z352" s="105"/>
      <c r="AA352" s="105"/>
      <c r="AB352" s="105"/>
      <c r="AC352" s="105"/>
      <c r="AD352" s="105"/>
      <c r="AE352"/>
    </row>
    <row r="353" spans="1:49" ht="36" customHeight="1">
      <c r="A353" s="108" t="s">
        <v>4666</v>
      </c>
      <c r="B353" s="829" t="s">
        <v>4667</v>
      </c>
      <c r="C353" s="829"/>
      <c r="D353" s="829"/>
      <c r="E353" s="829"/>
      <c r="F353" s="829"/>
      <c r="G353" s="829"/>
      <c r="H353" s="829"/>
      <c r="I353" s="829"/>
      <c r="J353" s="829"/>
      <c r="K353" s="829"/>
      <c r="L353" s="829"/>
      <c r="M353" s="829"/>
      <c r="N353" s="829"/>
      <c r="O353" s="829"/>
      <c r="P353" s="829"/>
      <c r="Q353" s="829"/>
      <c r="R353" s="829"/>
      <c r="S353" s="829"/>
      <c r="T353" s="829"/>
      <c r="U353" s="829"/>
      <c r="V353" s="829"/>
      <c r="W353" s="829"/>
      <c r="X353" s="829"/>
      <c r="Y353" s="829"/>
      <c r="Z353" s="829"/>
      <c r="AA353" s="829"/>
      <c r="AB353" s="829"/>
      <c r="AC353" s="829"/>
      <c r="AD353" s="829"/>
    </row>
    <row r="354" spans="1:49" ht="15" customHeight="1">
      <c r="A354" s="176"/>
      <c r="B354" s="57"/>
      <c r="C354" s="57"/>
      <c r="D354" s="57"/>
      <c r="E354" s="57"/>
      <c r="F354" s="57"/>
      <c r="G354" s="57"/>
      <c r="H354" s="57"/>
      <c r="I354" s="57"/>
      <c r="J354" s="57"/>
      <c r="K354" s="57"/>
      <c r="L354" s="57"/>
      <c r="M354" s="57"/>
      <c r="N354" s="57"/>
      <c r="O354" s="57"/>
      <c r="P354" s="57"/>
      <c r="Q354" s="57"/>
      <c r="R354" s="57"/>
      <c r="S354" s="57"/>
      <c r="T354" s="57"/>
      <c r="U354" s="57"/>
      <c r="V354" s="57"/>
      <c r="W354" s="57"/>
      <c r="X354" s="57"/>
      <c r="Y354" s="57"/>
      <c r="Z354" s="57"/>
      <c r="AA354" s="57"/>
      <c r="AB354" s="57"/>
      <c r="AC354" s="57"/>
      <c r="AD354" s="57"/>
    </row>
    <row r="355" spans="1:49" ht="36" customHeight="1">
      <c r="A355" s="108"/>
      <c r="B355" s="38"/>
      <c r="C355" s="797" t="s">
        <v>2581</v>
      </c>
      <c r="D355" s="798"/>
      <c r="E355" s="798"/>
      <c r="F355" s="798"/>
      <c r="G355" s="798"/>
      <c r="H355" s="798"/>
      <c r="I355" s="798"/>
      <c r="J355" s="798"/>
      <c r="K355" s="798"/>
      <c r="L355" s="798"/>
      <c r="M355" s="798"/>
      <c r="N355" s="798"/>
      <c r="O355" s="798"/>
      <c r="P355" s="798"/>
      <c r="Q355" s="798"/>
      <c r="R355" s="799"/>
      <c r="S355" s="739" t="s">
        <v>4668</v>
      </c>
      <c r="T355" s="740"/>
      <c r="U355" s="740"/>
      <c r="V355" s="740"/>
      <c r="W355" s="740"/>
      <c r="X355" s="740"/>
      <c r="Y355" s="740"/>
      <c r="Z355" s="740"/>
      <c r="AA355" s="740"/>
      <c r="AB355" s="740"/>
      <c r="AC355" s="740"/>
      <c r="AD355" s="741"/>
    </row>
    <row r="356" spans="1:49" ht="48" customHeight="1">
      <c r="A356" s="108"/>
      <c r="B356" s="38"/>
      <c r="C356" s="800"/>
      <c r="D356" s="801"/>
      <c r="E356" s="801"/>
      <c r="F356" s="801"/>
      <c r="G356" s="801"/>
      <c r="H356" s="801"/>
      <c r="I356" s="801"/>
      <c r="J356" s="801"/>
      <c r="K356" s="801"/>
      <c r="L356" s="801"/>
      <c r="M356" s="801"/>
      <c r="N356" s="801"/>
      <c r="O356" s="801"/>
      <c r="P356" s="801"/>
      <c r="Q356" s="801"/>
      <c r="R356" s="802"/>
      <c r="S356" s="887" t="s">
        <v>2628</v>
      </c>
      <c r="T356" s="889" t="s">
        <v>2629</v>
      </c>
      <c r="U356" s="889" t="s">
        <v>2630</v>
      </c>
      <c r="V356" s="733" t="s">
        <v>4669</v>
      </c>
      <c r="W356" s="734"/>
      <c r="X356" s="735"/>
      <c r="Y356" s="733" t="s">
        <v>4670</v>
      </c>
      <c r="Z356" s="734"/>
      <c r="AA356" s="735"/>
      <c r="AB356" s="733" t="s">
        <v>201</v>
      </c>
      <c r="AC356" s="734"/>
      <c r="AD356" s="735"/>
    </row>
    <row r="357" spans="1:49" ht="48" customHeight="1">
      <c r="A357" s="108"/>
      <c r="B357" s="38"/>
      <c r="C357" s="803"/>
      <c r="D357" s="804"/>
      <c r="E357" s="804"/>
      <c r="F357" s="804"/>
      <c r="G357" s="804"/>
      <c r="H357" s="804"/>
      <c r="I357" s="804"/>
      <c r="J357" s="804"/>
      <c r="K357" s="804"/>
      <c r="L357" s="804"/>
      <c r="M357" s="804"/>
      <c r="N357" s="804"/>
      <c r="O357" s="804"/>
      <c r="P357" s="804"/>
      <c r="Q357" s="804"/>
      <c r="R357" s="805"/>
      <c r="S357" s="888"/>
      <c r="T357" s="890"/>
      <c r="U357" s="890"/>
      <c r="V357" s="171" t="s">
        <v>2635</v>
      </c>
      <c r="W357" s="128" t="s">
        <v>2629</v>
      </c>
      <c r="X357" s="128" t="s">
        <v>2630</v>
      </c>
      <c r="Y357" s="171" t="s">
        <v>2635</v>
      </c>
      <c r="Z357" s="128" t="s">
        <v>2629</v>
      </c>
      <c r="AA357" s="128" t="s">
        <v>2630</v>
      </c>
      <c r="AB357" s="171" t="s">
        <v>2635</v>
      </c>
      <c r="AC357" s="128" t="s">
        <v>2629</v>
      </c>
      <c r="AD357" s="128" t="s">
        <v>2630</v>
      </c>
      <c r="AG357" t="s">
        <v>2586</v>
      </c>
      <c r="AH357" t="s">
        <v>4581</v>
      </c>
      <c r="AK357" t="s">
        <v>4573</v>
      </c>
      <c r="AL357" t="s">
        <v>2638</v>
      </c>
      <c r="AM357" t="s">
        <v>2639</v>
      </c>
      <c r="AN357" t="s">
        <v>4574</v>
      </c>
      <c r="AO357" t="s">
        <v>2641</v>
      </c>
      <c r="AP357" t="s">
        <v>2642</v>
      </c>
      <c r="AQ357" t="s">
        <v>4575</v>
      </c>
      <c r="AR357" t="s">
        <v>2644</v>
      </c>
      <c r="AS357" t="s">
        <v>2645</v>
      </c>
      <c r="AT357" t="s">
        <v>4576</v>
      </c>
      <c r="AU357" t="s">
        <v>2647</v>
      </c>
      <c r="AV357" t="s">
        <v>2648</v>
      </c>
      <c r="AW357" t="s">
        <v>4582</v>
      </c>
    </row>
    <row r="358" spans="1:49" ht="15" customHeight="1">
      <c r="A358" s="108"/>
      <c r="B358" s="38"/>
      <c r="C358" s="97" t="s">
        <v>2516</v>
      </c>
      <c r="D358" s="813" t="str">
        <f>IF(CNSIPEE_2024_M2_Secc1!D42="","",CNSIPEE_2024_M2_Secc1!D42)</f>
        <v/>
      </c>
      <c r="E358" s="814"/>
      <c r="F358" s="814"/>
      <c r="G358" s="814"/>
      <c r="H358" s="814"/>
      <c r="I358" s="814"/>
      <c r="J358" s="814"/>
      <c r="K358" s="814"/>
      <c r="L358" s="814"/>
      <c r="M358" s="814"/>
      <c r="N358" s="814"/>
      <c r="O358" s="814"/>
      <c r="P358" s="814"/>
      <c r="Q358" s="814"/>
      <c r="R358" s="815"/>
      <c r="S358" s="100"/>
      <c r="T358" s="100"/>
      <c r="U358" s="100"/>
      <c r="V358" s="100"/>
      <c r="W358" s="100"/>
      <c r="X358" s="100"/>
      <c r="Y358" s="100"/>
      <c r="Z358" s="100"/>
      <c r="AA358" s="100"/>
      <c r="AB358" s="100"/>
      <c r="AC358" s="100"/>
      <c r="AD358" s="100"/>
      <c r="AG358">
        <f>IF(OR($M63=0,$M63="NS",$M63="NA"),0,IF(OR(COUNTBLANK(D358:AD358)=14,COUNTBLANK(D358:AD358)=27),0,1))</f>
        <v>0</v>
      </c>
      <c r="AH358">
        <f>IF(OR($M63=0,$M63="NS",$M63="NA"),IF(COUNTBLANK(S358:AD358)=12,0,1),0)</f>
        <v>0</v>
      </c>
      <c r="AK358">
        <f t="shared" ref="AK358" si="171">COUNTIF(T358:U358,"NS")</f>
        <v>0</v>
      </c>
      <c r="AL358">
        <f t="shared" ref="AL358" si="172">SUM(T358:U358)</f>
        <v>0</v>
      </c>
      <c r="AM358">
        <f t="shared" ref="AM358" si="173">IF(COUNTIF(S358:U358,"NA")=3,0,IF(COUNTA(S358:U358)=0,0,IF(OR(AND(S358=0,AK358&gt;0),AND(S358="ns",AL358&gt;0),AND(S358="ns",AK358=0,AL358=0)),1,IF(OR(AND(S358&gt;0,AK358=2),AND(S358="ns",AK358=2),AND(S358="ns",AL358=0,AK358&gt;0),S358=AL358),0,1))))</f>
        <v>0</v>
      </c>
      <c r="AN358">
        <f t="shared" ref="AN358" si="174">COUNTIF(W358:X358,"NS")</f>
        <v>0</v>
      </c>
      <c r="AO358">
        <f t="shared" ref="AO358" si="175">SUM(W358:X358)</f>
        <v>0</v>
      </c>
      <c r="AP358">
        <f t="shared" ref="AP358" si="176">IF(COUNTIF(V358:X358,"NA")=3,0,IF(COUNTA(V358:X358)=0,0,IF(OR(AND(V358=0,AN358&gt;0),AND(V358="ns",AO358&gt;0),AND(V358="ns",AN358=0,AO358=0)),1,IF(OR(AND(V358&gt;0,AN358=2),AND(V358="ns",AN358=2),AND(V358="ns",AO358=0,AN358&gt;0),V358=AO358),0,1))))</f>
        <v>0</v>
      </c>
      <c r="AQ358">
        <f t="shared" ref="AQ358" si="177">COUNTIF(Z358:AA358,"NS")</f>
        <v>0</v>
      </c>
      <c r="AR358">
        <f t="shared" ref="AR358" si="178">SUM(Z358:AA358)</f>
        <v>0</v>
      </c>
      <c r="AS358">
        <f t="shared" ref="AS358" si="179">IF(COUNTIF(Y358:AA358,"NA")=3,0,IF(COUNTA(Y358:AA358)=0,0,IF(OR(AND(Y358=0,AQ358&gt;0),AND(Y358="ns",AR358&gt;0),AND(Y358="ns",AQ358=0,AR358=0)),1,IF(OR(AND(Y358&gt;0,AQ358=2),AND(Y358="ns",AQ358=2),AND(Y358="ns",AR358=0,AQ358&gt;0),Y358=AR358),0,1))))</f>
        <v>0</v>
      </c>
      <c r="AT358">
        <f t="shared" ref="AT358" si="180">COUNTIF(AC358:AD358,"NS")</f>
        <v>0</v>
      </c>
      <c r="AU358">
        <f t="shared" ref="AU358" si="181">SUM(AC358:AD358)</f>
        <v>0</v>
      </c>
      <c r="AV358">
        <f t="shared" ref="AV358" si="182">IF(COUNTIF(AB358:AD358,"NA")=3,0,IF(COUNTA(AB358:AD358)=0,0,IF(OR(AND(AB358=0,AT358&gt;0),AND(AB358="ns",AU358&gt;0),AND(AB358="ns",AT358=0,AU358=0)),1,IF(OR(AND(AB358&gt;0,AT358=2),AND(AB358="ns",AT358=2),AND(AB358="ns",AU358=0,AT358&gt;0),AB358=AU358),0,1))))</f>
        <v>0</v>
      </c>
      <c r="AW358">
        <f>IF(OR($M63=0,$M63="NS",$M63="NA"),0,IF(AND(M63=S358,S63=T358,Y63=U358),0,1))</f>
        <v>0</v>
      </c>
    </row>
    <row r="359" spans="1:49" ht="15" customHeight="1">
      <c r="A359" s="108"/>
      <c r="B359" s="38"/>
      <c r="C359" s="98" t="s">
        <v>2517</v>
      </c>
      <c r="D359" s="813" t="str">
        <f>IF(CNSIPEE_2024_M2_Secc1!D43="","",CNSIPEE_2024_M2_Secc1!D43)</f>
        <v/>
      </c>
      <c r="E359" s="814"/>
      <c r="F359" s="814"/>
      <c r="G359" s="814"/>
      <c r="H359" s="814"/>
      <c r="I359" s="814"/>
      <c r="J359" s="814"/>
      <c r="K359" s="814"/>
      <c r="L359" s="814"/>
      <c r="M359" s="814"/>
      <c r="N359" s="814"/>
      <c r="O359" s="814"/>
      <c r="P359" s="814"/>
      <c r="Q359" s="814"/>
      <c r="R359" s="815"/>
      <c r="S359" s="100"/>
      <c r="T359" s="100"/>
      <c r="U359" s="100"/>
      <c r="V359" s="100"/>
      <c r="W359" s="100"/>
      <c r="X359" s="100"/>
      <c r="Y359" s="100"/>
      <c r="Z359" s="100"/>
      <c r="AA359" s="100"/>
      <c r="AB359" s="100"/>
      <c r="AC359" s="100"/>
      <c r="AD359" s="100"/>
      <c r="AG359">
        <f t="shared" ref="AG359:AG365" si="183">IF(OR($M64=0,$M64="NS",$M64="NA"),0,IF(OR(COUNTBLANK(D359:AD359)=14,COUNTBLANK(D359:AD359)=27),0,1))</f>
        <v>0</v>
      </c>
      <c r="AH359">
        <f t="shared" ref="AH359:AH365" si="184">IF(OR($M64=0,$M64="NS",$M64="NA"),IF(COUNTBLANK(S359:AD359)=12,0,1),0)</f>
        <v>0</v>
      </c>
      <c r="AK359">
        <f t="shared" ref="AK359:AK365" si="185">COUNTIF(T359:U359,"NS")</f>
        <v>0</v>
      </c>
      <c r="AL359">
        <f t="shared" ref="AL359:AL365" si="186">SUM(T359:U359)</f>
        <v>0</v>
      </c>
      <c r="AM359">
        <f t="shared" ref="AM359:AM365" si="187">IF(COUNTIF(S359:U359,"NA")=3,0,IF(COUNTA(S359:U359)=0,0,IF(OR(AND(S359=0,AK359&gt;0),AND(S359="ns",AL359&gt;0),AND(S359="ns",AK359=0,AL359=0)),1,IF(OR(AND(S359&gt;0,AK359=2),AND(S359="ns",AK359=2),AND(S359="ns",AL359=0,AK359&gt;0),S359=AL359),0,1))))</f>
        <v>0</v>
      </c>
      <c r="AN359">
        <f t="shared" ref="AN359:AN365" si="188">COUNTIF(W359:X359,"NS")</f>
        <v>0</v>
      </c>
      <c r="AO359">
        <f t="shared" ref="AO359:AO365" si="189">SUM(W359:X359)</f>
        <v>0</v>
      </c>
      <c r="AP359">
        <f t="shared" ref="AP359:AP365" si="190">IF(COUNTIF(V359:X359,"NA")=3,0,IF(COUNTA(V359:X359)=0,0,IF(OR(AND(V359=0,AN359&gt;0),AND(V359="ns",AO359&gt;0),AND(V359="ns",AN359=0,AO359=0)),1,IF(OR(AND(V359&gt;0,AN359=2),AND(V359="ns",AN359=2),AND(V359="ns",AO359=0,AN359&gt;0),V359=AO359),0,1))))</f>
        <v>0</v>
      </c>
      <c r="AQ359">
        <f t="shared" ref="AQ359:AQ365" si="191">COUNTIF(Z359:AA359,"NS")</f>
        <v>0</v>
      </c>
      <c r="AR359">
        <f t="shared" ref="AR359:AR365" si="192">SUM(Z359:AA359)</f>
        <v>0</v>
      </c>
      <c r="AS359">
        <f t="shared" ref="AS359:AS365" si="193">IF(COUNTIF(Y359:AA359,"NA")=3,0,IF(COUNTA(Y359:AA359)=0,0,IF(OR(AND(Y359=0,AQ359&gt;0),AND(Y359="ns",AR359&gt;0),AND(Y359="ns",AQ359=0,AR359=0)),1,IF(OR(AND(Y359&gt;0,AQ359=2),AND(Y359="ns",AQ359=2),AND(Y359="ns",AR359=0,AQ359&gt;0),Y359=AR359),0,1))))</f>
        <v>0</v>
      </c>
      <c r="AT359">
        <f t="shared" ref="AT359:AT365" si="194">COUNTIF(AC359:AD359,"NS")</f>
        <v>0</v>
      </c>
      <c r="AU359">
        <f t="shared" ref="AU359:AU365" si="195">SUM(AC359:AD359)</f>
        <v>0</v>
      </c>
      <c r="AV359">
        <f t="shared" ref="AV359:AV365" si="196">IF(COUNTIF(AB359:AD359,"NA")=3,0,IF(COUNTA(AB359:AD359)=0,0,IF(OR(AND(AB359=0,AT359&gt;0),AND(AB359="ns",AU359&gt;0),AND(AB359="ns",AT359=0,AU359=0)),1,IF(OR(AND(AB359&gt;0,AT359=2),AND(AB359="ns",AT359=2),AND(AB359="ns",AU359=0,AT359&gt;0),AB359=AU359),0,1))))</f>
        <v>0</v>
      </c>
      <c r="AW359">
        <f t="shared" ref="AW359:AW365" si="197">IF(OR($M64=0,$M64="NS",$M64="NA"),0,IF(AND(M64=S359,S64=T359,Y64=U359),0,1))</f>
        <v>0</v>
      </c>
    </row>
    <row r="360" spans="1:49" ht="15" customHeight="1">
      <c r="A360" s="186"/>
      <c r="B360" s="57"/>
      <c r="C360" s="98" t="s">
        <v>2518</v>
      </c>
      <c r="D360" s="813" t="str">
        <f>IF(CNSIPEE_2024_M2_Secc1!D44="","",CNSIPEE_2024_M2_Secc1!D44)</f>
        <v/>
      </c>
      <c r="E360" s="814"/>
      <c r="F360" s="814"/>
      <c r="G360" s="814"/>
      <c r="H360" s="814"/>
      <c r="I360" s="814"/>
      <c r="J360" s="814"/>
      <c r="K360" s="814"/>
      <c r="L360" s="814"/>
      <c r="M360" s="814"/>
      <c r="N360" s="814"/>
      <c r="O360" s="814"/>
      <c r="P360" s="814"/>
      <c r="Q360" s="814"/>
      <c r="R360" s="815"/>
      <c r="S360" s="100"/>
      <c r="T360" s="100"/>
      <c r="U360" s="100"/>
      <c r="V360" s="100"/>
      <c r="W360" s="100"/>
      <c r="X360" s="100"/>
      <c r="Y360" s="100"/>
      <c r="Z360" s="100"/>
      <c r="AA360" s="100"/>
      <c r="AB360" s="100"/>
      <c r="AC360" s="100"/>
      <c r="AD360" s="100"/>
      <c r="AG360">
        <f t="shared" si="183"/>
        <v>0</v>
      </c>
      <c r="AH360">
        <f t="shared" si="184"/>
        <v>0</v>
      </c>
      <c r="AK360">
        <f t="shared" si="185"/>
        <v>0</v>
      </c>
      <c r="AL360">
        <f t="shared" si="186"/>
        <v>0</v>
      </c>
      <c r="AM360">
        <f t="shared" si="187"/>
        <v>0</v>
      </c>
      <c r="AN360">
        <f t="shared" si="188"/>
        <v>0</v>
      </c>
      <c r="AO360">
        <f t="shared" si="189"/>
        <v>0</v>
      </c>
      <c r="AP360">
        <f t="shared" si="190"/>
        <v>0</v>
      </c>
      <c r="AQ360">
        <f t="shared" si="191"/>
        <v>0</v>
      </c>
      <c r="AR360">
        <f t="shared" si="192"/>
        <v>0</v>
      </c>
      <c r="AS360">
        <f t="shared" si="193"/>
        <v>0</v>
      </c>
      <c r="AT360">
        <f t="shared" si="194"/>
        <v>0</v>
      </c>
      <c r="AU360">
        <f t="shared" si="195"/>
        <v>0</v>
      </c>
      <c r="AV360">
        <f t="shared" si="196"/>
        <v>0</v>
      </c>
      <c r="AW360">
        <f t="shared" si="197"/>
        <v>0</v>
      </c>
    </row>
    <row r="361" spans="1:49" ht="15" customHeight="1">
      <c r="A361" s="186"/>
      <c r="B361" s="57"/>
      <c r="C361" s="98" t="s">
        <v>2519</v>
      </c>
      <c r="D361" s="813" t="str">
        <f>IF(CNSIPEE_2024_M2_Secc1!D45="","",CNSIPEE_2024_M2_Secc1!D45)</f>
        <v/>
      </c>
      <c r="E361" s="814"/>
      <c r="F361" s="814"/>
      <c r="G361" s="814"/>
      <c r="H361" s="814"/>
      <c r="I361" s="814"/>
      <c r="J361" s="814"/>
      <c r="K361" s="814"/>
      <c r="L361" s="814"/>
      <c r="M361" s="814"/>
      <c r="N361" s="814"/>
      <c r="O361" s="814"/>
      <c r="P361" s="814"/>
      <c r="Q361" s="814"/>
      <c r="R361" s="815"/>
      <c r="S361" s="100"/>
      <c r="T361" s="100"/>
      <c r="U361" s="100"/>
      <c r="V361" s="100"/>
      <c r="W361" s="100"/>
      <c r="X361" s="100"/>
      <c r="Y361" s="100"/>
      <c r="Z361" s="100"/>
      <c r="AA361" s="100"/>
      <c r="AB361" s="100"/>
      <c r="AC361" s="100"/>
      <c r="AD361" s="100"/>
      <c r="AG361">
        <f t="shared" si="183"/>
        <v>0</v>
      </c>
      <c r="AH361">
        <f t="shared" si="184"/>
        <v>0</v>
      </c>
      <c r="AK361">
        <f t="shared" si="185"/>
        <v>0</v>
      </c>
      <c r="AL361">
        <f t="shared" si="186"/>
        <v>0</v>
      </c>
      <c r="AM361">
        <f t="shared" si="187"/>
        <v>0</v>
      </c>
      <c r="AN361">
        <f t="shared" si="188"/>
        <v>0</v>
      </c>
      <c r="AO361">
        <f t="shared" si="189"/>
        <v>0</v>
      </c>
      <c r="AP361">
        <f t="shared" si="190"/>
        <v>0</v>
      </c>
      <c r="AQ361">
        <f t="shared" si="191"/>
        <v>0</v>
      </c>
      <c r="AR361">
        <f t="shared" si="192"/>
        <v>0</v>
      </c>
      <c r="AS361">
        <f t="shared" si="193"/>
        <v>0</v>
      </c>
      <c r="AT361">
        <f t="shared" si="194"/>
        <v>0</v>
      </c>
      <c r="AU361">
        <f t="shared" si="195"/>
        <v>0</v>
      </c>
      <c r="AV361">
        <f t="shared" si="196"/>
        <v>0</v>
      </c>
      <c r="AW361">
        <f t="shared" si="197"/>
        <v>0</v>
      </c>
    </row>
    <row r="362" spans="1:49" ht="15" customHeight="1">
      <c r="A362" s="186"/>
      <c r="B362" s="57"/>
      <c r="C362" s="98" t="s">
        <v>2520</v>
      </c>
      <c r="D362" s="813" t="str">
        <f>IF(CNSIPEE_2024_M2_Secc1!D46="","",CNSIPEE_2024_M2_Secc1!D46)</f>
        <v/>
      </c>
      <c r="E362" s="814"/>
      <c r="F362" s="814"/>
      <c r="G362" s="814"/>
      <c r="H362" s="814"/>
      <c r="I362" s="814"/>
      <c r="J362" s="814"/>
      <c r="K362" s="814"/>
      <c r="L362" s="814"/>
      <c r="M362" s="814"/>
      <c r="N362" s="814"/>
      <c r="O362" s="814"/>
      <c r="P362" s="814"/>
      <c r="Q362" s="814"/>
      <c r="R362" s="815"/>
      <c r="S362" s="100"/>
      <c r="T362" s="100"/>
      <c r="U362" s="100"/>
      <c r="V362" s="100"/>
      <c r="W362" s="100"/>
      <c r="X362" s="100"/>
      <c r="Y362" s="100"/>
      <c r="Z362" s="100"/>
      <c r="AA362" s="100"/>
      <c r="AB362" s="100"/>
      <c r="AC362" s="100"/>
      <c r="AD362" s="100"/>
      <c r="AG362">
        <f t="shared" si="183"/>
        <v>0</v>
      </c>
      <c r="AH362">
        <f t="shared" si="184"/>
        <v>0</v>
      </c>
      <c r="AK362">
        <f t="shared" si="185"/>
        <v>0</v>
      </c>
      <c r="AL362">
        <f t="shared" si="186"/>
        <v>0</v>
      </c>
      <c r="AM362">
        <f t="shared" si="187"/>
        <v>0</v>
      </c>
      <c r="AN362">
        <f t="shared" si="188"/>
        <v>0</v>
      </c>
      <c r="AO362">
        <f t="shared" si="189"/>
        <v>0</v>
      </c>
      <c r="AP362">
        <f t="shared" si="190"/>
        <v>0</v>
      </c>
      <c r="AQ362">
        <f t="shared" si="191"/>
        <v>0</v>
      </c>
      <c r="AR362">
        <f t="shared" si="192"/>
        <v>0</v>
      </c>
      <c r="AS362">
        <f t="shared" si="193"/>
        <v>0</v>
      </c>
      <c r="AT362">
        <f t="shared" si="194"/>
        <v>0</v>
      </c>
      <c r="AU362">
        <f t="shared" si="195"/>
        <v>0</v>
      </c>
      <c r="AV362">
        <f t="shared" si="196"/>
        <v>0</v>
      </c>
      <c r="AW362">
        <f t="shared" si="197"/>
        <v>0</v>
      </c>
    </row>
    <row r="363" spans="1:49" ht="15" customHeight="1">
      <c r="A363" s="186"/>
      <c r="B363" s="57"/>
      <c r="C363" s="98" t="s">
        <v>2521</v>
      </c>
      <c r="D363" s="813" t="str">
        <f>IF(CNSIPEE_2024_M2_Secc1!D47="","",CNSIPEE_2024_M2_Secc1!D47)</f>
        <v/>
      </c>
      <c r="E363" s="814"/>
      <c r="F363" s="814"/>
      <c r="G363" s="814"/>
      <c r="H363" s="814"/>
      <c r="I363" s="814"/>
      <c r="J363" s="814"/>
      <c r="K363" s="814"/>
      <c r="L363" s="814"/>
      <c r="M363" s="814"/>
      <c r="N363" s="814"/>
      <c r="O363" s="814"/>
      <c r="P363" s="814"/>
      <c r="Q363" s="814"/>
      <c r="R363" s="815"/>
      <c r="S363" s="100"/>
      <c r="T363" s="100"/>
      <c r="U363" s="100"/>
      <c r="V363" s="100"/>
      <c r="W363" s="100"/>
      <c r="X363" s="100"/>
      <c r="Y363" s="100"/>
      <c r="Z363" s="100"/>
      <c r="AA363" s="100"/>
      <c r="AB363" s="100"/>
      <c r="AC363" s="100"/>
      <c r="AD363" s="100"/>
      <c r="AG363">
        <f t="shared" si="183"/>
        <v>0</v>
      </c>
      <c r="AH363">
        <f t="shared" si="184"/>
        <v>0</v>
      </c>
      <c r="AK363">
        <f t="shared" si="185"/>
        <v>0</v>
      </c>
      <c r="AL363">
        <f t="shared" si="186"/>
        <v>0</v>
      </c>
      <c r="AM363">
        <f t="shared" si="187"/>
        <v>0</v>
      </c>
      <c r="AN363">
        <f t="shared" si="188"/>
        <v>0</v>
      </c>
      <c r="AO363">
        <f t="shared" si="189"/>
        <v>0</v>
      </c>
      <c r="AP363">
        <f t="shared" si="190"/>
        <v>0</v>
      </c>
      <c r="AQ363">
        <f t="shared" si="191"/>
        <v>0</v>
      </c>
      <c r="AR363">
        <f t="shared" si="192"/>
        <v>0</v>
      </c>
      <c r="AS363">
        <f t="shared" si="193"/>
        <v>0</v>
      </c>
      <c r="AT363">
        <f t="shared" si="194"/>
        <v>0</v>
      </c>
      <c r="AU363">
        <f t="shared" si="195"/>
        <v>0</v>
      </c>
      <c r="AV363">
        <f t="shared" si="196"/>
        <v>0</v>
      </c>
      <c r="AW363">
        <f t="shared" si="197"/>
        <v>0</v>
      </c>
    </row>
    <row r="364" spans="1:49" ht="15" customHeight="1">
      <c r="A364" s="186"/>
      <c r="B364" s="57"/>
      <c r="C364" s="98" t="s">
        <v>2522</v>
      </c>
      <c r="D364" s="813" t="str">
        <f>IF(CNSIPEE_2024_M2_Secc1!D48="","",CNSIPEE_2024_M2_Secc1!D48)</f>
        <v/>
      </c>
      <c r="E364" s="814"/>
      <c r="F364" s="814"/>
      <c r="G364" s="814"/>
      <c r="H364" s="814"/>
      <c r="I364" s="814"/>
      <c r="J364" s="814"/>
      <c r="K364" s="814"/>
      <c r="L364" s="814"/>
      <c r="M364" s="814"/>
      <c r="N364" s="814"/>
      <c r="O364" s="814"/>
      <c r="P364" s="814"/>
      <c r="Q364" s="814"/>
      <c r="R364" s="815"/>
      <c r="S364" s="100"/>
      <c r="T364" s="100"/>
      <c r="U364" s="100"/>
      <c r="V364" s="100"/>
      <c r="W364" s="100"/>
      <c r="X364" s="100"/>
      <c r="Y364" s="100"/>
      <c r="Z364" s="100"/>
      <c r="AA364" s="100"/>
      <c r="AB364" s="100"/>
      <c r="AC364" s="100"/>
      <c r="AD364" s="100"/>
      <c r="AG364">
        <f t="shared" si="183"/>
        <v>0</v>
      </c>
      <c r="AH364">
        <f t="shared" si="184"/>
        <v>0</v>
      </c>
      <c r="AK364">
        <f t="shared" si="185"/>
        <v>0</v>
      </c>
      <c r="AL364">
        <f t="shared" si="186"/>
        <v>0</v>
      </c>
      <c r="AM364">
        <f t="shared" si="187"/>
        <v>0</v>
      </c>
      <c r="AN364">
        <f t="shared" si="188"/>
        <v>0</v>
      </c>
      <c r="AO364">
        <f t="shared" si="189"/>
        <v>0</v>
      </c>
      <c r="AP364">
        <f t="shared" si="190"/>
        <v>0</v>
      </c>
      <c r="AQ364">
        <f t="shared" si="191"/>
        <v>0</v>
      </c>
      <c r="AR364">
        <f t="shared" si="192"/>
        <v>0</v>
      </c>
      <c r="AS364">
        <f t="shared" si="193"/>
        <v>0</v>
      </c>
      <c r="AT364">
        <f t="shared" si="194"/>
        <v>0</v>
      </c>
      <c r="AU364">
        <f t="shared" si="195"/>
        <v>0</v>
      </c>
      <c r="AV364">
        <f t="shared" si="196"/>
        <v>0</v>
      </c>
      <c r="AW364">
        <f t="shared" si="197"/>
        <v>0</v>
      </c>
    </row>
    <row r="365" spans="1:49" ht="15" customHeight="1">
      <c r="A365" s="186"/>
      <c r="B365" s="57"/>
      <c r="C365" s="98" t="s">
        <v>2523</v>
      </c>
      <c r="D365" s="813" t="str">
        <f>IF(CNSIPEE_2024_M2_Secc1!D49="","",CNSIPEE_2024_M2_Secc1!D49)</f>
        <v/>
      </c>
      <c r="E365" s="814"/>
      <c r="F365" s="814"/>
      <c r="G365" s="814"/>
      <c r="H365" s="814"/>
      <c r="I365" s="814"/>
      <c r="J365" s="814"/>
      <c r="K365" s="814"/>
      <c r="L365" s="814"/>
      <c r="M365" s="814"/>
      <c r="N365" s="814"/>
      <c r="O365" s="814"/>
      <c r="P365" s="814"/>
      <c r="Q365" s="814"/>
      <c r="R365" s="815"/>
      <c r="S365" s="100"/>
      <c r="T365" s="100"/>
      <c r="U365" s="100"/>
      <c r="V365" s="100"/>
      <c r="W365" s="100"/>
      <c r="X365" s="100"/>
      <c r="Y365" s="100"/>
      <c r="Z365" s="100"/>
      <c r="AA365" s="100"/>
      <c r="AB365" s="100"/>
      <c r="AC365" s="100"/>
      <c r="AD365" s="100"/>
      <c r="AG365">
        <f t="shared" si="183"/>
        <v>0</v>
      </c>
      <c r="AH365">
        <f t="shared" si="184"/>
        <v>0</v>
      </c>
      <c r="AK365">
        <f t="shared" si="185"/>
        <v>0</v>
      </c>
      <c r="AL365">
        <f t="shared" si="186"/>
        <v>0</v>
      </c>
      <c r="AM365">
        <f t="shared" si="187"/>
        <v>0</v>
      </c>
      <c r="AN365">
        <f t="shared" si="188"/>
        <v>0</v>
      </c>
      <c r="AO365">
        <f t="shared" si="189"/>
        <v>0</v>
      </c>
      <c r="AP365">
        <f t="shared" si="190"/>
        <v>0</v>
      </c>
      <c r="AQ365">
        <f t="shared" si="191"/>
        <v>0</v>
      </c>
      <c r="AR365">
        <f t="shared" si="192"/>
        <v>0</v>
      </c>
      <c r="AS365">
        <f t="shared" si="193"/>
        <v>0</v>
      </c>
      <c r="AT365">
        <f t="shared" si="194"/>
        <v>0</v>
      </c>
      <c r="AU365">
        <f t="shared" si="195"/>
        <v>0</v>
      </c>
      <c r="AV365">
        <f t="shared" si="196"/>
        <v>0</v>
      </c>
      <c r="AW365">
        <f t="shared" si="197"/>
        <v>0</v>
      </c>
    </row>
    <row r="366" spans="1:49" ht="15" customHeight="1">
      <c r="A366" s="186"/>
      <c r="B366" s="57"/>
      <c r="C366" s="70"/>
      <c r="D366" s="84"/>
      <c r="E366" s="84"/>
      <c r="F366" s="84"/>
      <c r="G366" s="84"/>
      <c r="H366" s="84"/>
      <c r="I366" s="84"/>
      <c r="J366" s="84"/>
      <c r="K366" s="84"/>
      <c r="L366" s="84"/>
      <c r="M366" s="84"/>
      <c r="N366" s="84"/>
      <c r="O366" s="84"/>
      <c r="P366" s="84"/>
      <c r="Q366" s="84"/>
      <c r="R366" s="117" t="s">
        <v>2649</v>
      </c>
      <c r="S366" s="124">
        <f t="shared" ref="S366:AD366" si="198">IF(AND(SUM(S358:S365)=0,COUNTIF(S358:S365,"NS")&gt;0),"NS",IF(AND(SUM(S358:S365)=0,COUNTIF(S358:S365,0)&gt;0),0,IF(AND(SUM(S358:S365)=0,COUNTIF(S358:S365,"NA")&gt;0),"NA",SUM(S358:S365))))</f>
        <v>0</v>
      </c>
      <c r="T366" s="124">
        <f t="shared" si="198"/>
        <v>0</v>
      </c>
      <c r="U366" s="124">
        <f t="shared" si="198"/>
        <v>0</v>
      </c>
      <c r="V366" s="124">
        <f t="shared" si="198"/>
        <v>0</v>
      </c>
      <c r="W366" s="124">
        <f t="shared" si="198"/>
        <v>0</v>
      </c>
      <c r="X366" s="124">
        <f t="shared" si="198"/>
        <v>0</v>
      </c>
      <c r="Y366" s="124">
        <f t="shared" si="198"/>
        <v>0</v>
      </c>
      <c r="Z366" s="124">
        <f t="shared" si="198"/>
        <v>0</v>
      </c>
      <c r="AA366" s="124">
        <f t="shared" si="198"/>
        <v>0</v>
      </c>
      <c r="AB366" s="124">
        <f t="shared" si="198"/>
        <v>0</v>
      </c>
      <c r="AC366" s="124">
        <f t="shared" si="198"/>
        <v>0</v>
      </c>
      <c r="AD366" s="124">
        <f t="shared" si="198"/>
        <v>0</v>
      </c>
      <c r="AG366" s="507">
        <f>SUM(AG358:AG365)</f>
        <v>0</v>
      </c>
      <c r="AH366" s="507">
        <f>SUM(AH358:AH365)</f>
        <v>0</v>
      </c>
      <c r="AK366">
        <f>SUM(AK358:AK365)</f>
        <v>0</v>
      </c>
      <c r="AM366">
        <f>SUM(AM358:AM365)</f>
        <v>0</v>
      </c>
      <c r="AN366">
        <f>SUM(AN358:AN365)</f>
        <v>0</v>
      </c>
      <c r="AP366">
        <f>SUM(AP358:AP365)</f>
        <v>0</v>
      </c>
      <c r="AQ366">
        <f>SUM(AQ358:AQ365)</f>
        <v>0</v>
      </c>
      <c r="AS366">
        <f>SUM(AS358:AS365)</f>
        <v>0</v>
      </c>
      <c r="AT366">
        <f>SUM(AT358:AT365)</f>
        <v>0</v>
      </c>
      <c r="AV366">
        <f>SUM(AV358:AV365)</f>
        <v>0</v>
      </c>
      <c r="AW366" s="506">
        <f>SUM(AW358:AW365)</f>
        <v>0</v>
      </c>
    </row>
    <row r="367" spans="1:49" ht="15" customHeight="1">
      <c r="A367" s="108"/>
      <c r="B367" s="38"/>
      <c r="C367" s="38"/>
      <c r="D367" s="38"/>
      <c r="E367" s="38"/>
      <c r="F367" s="38"/>
      <c r="G367" s="38"/>
      <c r="H367" s="38"/>
      <c r="I367" s="38"/>
      <c r="J367" s="38"/>
      <c r="K367" s="38"/>
      <c r="L367" s="117"/>
      <c r="M367" s="141"/>
      <c r="N367" s="141"/>
      <c r="O367" s="70"/>
      <c r="P367" s="70"/>
      <c r="Q367" s="70"/>
      <c r="R367" s="70"/>
      <c r="S367" s="141"/>
      <c r="T367" s="141"/>
      <c r="U367" s="70"/>
      <c r="V367" s="70"/>
      <c r="W367" s="141"/>
      <c r="X367" s="141"/>
      <c r="Y367" s="70"/>
      <c r="Z367" s="70"/>
      <c r="AA367" s="141"/>
      <c r="AB367" s="141"/>
      <c r="AC367" s="70"/>
      <c r="AD367" s="70"/>
      <c r="AG367" s="57"/>
      <c r="AH367" s="57"/>
      <c r="AI367" s="57"/>
      <c r="AJ367" s="57"/>
      <c r="AK367" t="s">
        <v>2650</v>
      </c>
      <c r="AL367" s="506">
        <f>SUM(AM366,AP366,AS366,AV366)</f>
        <v>0</v>
      </c>
      <c r="AM367" t="s">
        <v>2651</v>
      </c>
      <c r="AN367">
        <f>SUM(AK366,AN366,AQ366,AT366)</f>
        <v>0</v>
      </c>
      <c r="AO367" s="57"/>
      <c r="AP367" s="57"/>
      <c r="AQ367" s="57"/>
      <c r="AR367" s="57"/>
      <c r="AS367" s="57"/>
      <c r="AT367" s="57"/>
      <c r="AU367" s="57"/>
      <c r="AV367" s="57"/>
      <c r="AW367" s="57"/>
    </row>
    <row r="368" spans="1:49" ht="24" customHeight="1">
      <c r="A368" s="108"/>
      <c r="B368" s="38"/>
      <c r="C368" s="754" t="s">
        <v>2611</v>
      </c>
      <c r="D368" s="754"/>
      <c r="E368" s="754"/>
      <c r="F368" s="754"/>
      <c r="G368" s="754"/>
      <c r="H368" s="754"/>
      <c r="I368" s="754"/>
      <c r="J368" s="754"/>
      <c r="K368" s="754"/>
      <c r="L368" s="754"/>
      <c r="M368" s="754"/>
      <c r="N368" s="754"/>
      <c r="O368" s="754"/>
      <c r="P368" s="754"/>
      <c r="Q368" s="754"/>
      <c r="R368" s="754"/>
      <c r="S368" s="754"/>
      <c r="T368" s="754"/>
      <c r="U368" s="754"/>
      <c r="V368" s="754"/>
      <c r="W368" s="754"/>
      <c r="X368" s="754"/>
      <c r="Y368" s="754"/>
      <c r="Z368" s="754"/>
      <c r="AA368" s="754"/>
      <c r="AB368" s="754"/>
      <c r="AC368" s="754"/>
      <c r="AD368" s="754"/>
      <c r="AG368" s="38"/>
      <c r="AH368" s="38"/>
      <c r="AI368" s="57"/>
      <c r="AJ368" s="57"/>
      <c r="AK368" t="s">
        <v>2652</v>
      </c>
      <c r="AL368" s="507">
        <f>IF(AN367&gt;0,IF(SUM(S366)&gt;=SUM(V366,Y366,AB366),0,1),IF(SUM(S366)&lt;&gt;SUM(V366,Y366,AB366),1,0))</f>
        <v>0</v>
      </c>
      <c r="AM368" t="s">
        <v>2653</v>
      </c>
      <c r="AN368" s="507">
        <f>IF(AN367&gt;0,IF(SUM(T366)&gt;=SUM(W366,Z366,AC366),0,1),IF(SUM(T366)&lt;&gt;SUM(W366,Z366,AC366),1,0))</f>
        <v>0</v>
      </c>
      <c r="AO368" t="s">
        <v>2654</v>
      </c>
      <c r="AP368" s="507">
        <f>IF(AN367&gt;0,IF(SUM(U366)&gt;=SUM(X366,AA366,AD366),0,1),IF(SUM(U366)&lt;&gt;SUM(X366,AA366,AD366),1,0))</f>
        <v>0</v>
      </c>
      <c r="AQ368" s="57"/>
      <c r="AR368" s="57"/>
      <c r="AS368" s="57"/>
      <c r="AT368" s="57"/>
      <c r="AU368" s="57"/>
      <c r="AV368" s="57"/>
      <c r="AW368" s="57"/>
    </row>
    <row r="369" spans="1:43" ht="60" customHeight="1">
      <c r="A369" s="108"/>
      <c r="B369" s="38"/>
      <c r="C369" s="851"/>
      <c r="D369" s="851"/>
      <c r="E369" s="851"/>
      <c r="F369" s="851"/>
      <c r="G369" s="851"/>
      <c r="H369" s="851"/>
      <c r="I369" s="851"/>
      <c r="J369" s="851"/>
      <c r="K369" s="851"/>
      <c r="L369" s="851"/>
      <c r="M369" s="851"/>
      <c r="N369" s="851"/>
      <c r="O369" s="851"/>
      <c r="P369" s="851"/>
      <c r="Q369" s="851"/>
      <c r="R369" s="851"/>
      <c r="S369" s="851"/>
      <c r="T369" s="851"/>
      <c r="U369" s="851"/>
      <c r="V369" s="851"/>
      <c r="W369" s="851"/>
      <c r="X369" s="851"/>
      <c r="Y369" s="851"/>
      <c r="Z369" s="851"/>
      <c r="AA369" s="851"/>
      <c r="AB369" s="851"/>
      <c r="AC369" s="851"/>
      <c r="AD369" s="851"/>
    </row>
    <row r="370" spans="1:43" ht="15" customHeight="1">
      <c r="A370" s="176"/>
      <c r="B370" s="794" t="str">
        <f>IF(AG366=0,"","Favor de ingresar toda la información requerida en la pregunta")</f>
        <v/>
      </c>
      <c r="C370" s="794"/>
      <c r="D370" s="794"/>
      <c r="E370" s="794"/>
      <c r="F370" s="794"/>
      <c r="G370" s="794"/>
      <c r="H370" s="794"/>
      <c r="I370" s="794"/>
      <c r="J370" s="794"/>
      <c r="K370" s="794"/>
      <c r="L370" s="794"/>
      <c r="M370" s="794"/>
      <c r="N370" s="794"/>
      <c r="O370" s="794"/>
      <c r="P370" s="794"/>
      <c r="Q370" s="794"/>
      <c r="R370" s="794"/>
      <c r="S370" s="794"/>
      <c r="T370" s="794"/>
      <c r="U370" s="794"/>
      <c r="V370" s="794"/>
      <c r="W370" s="794"/>
      <c r="X370" s="794"/>
      <c r="Y370" s="794"/>
      <c r="Z370" s="794"/>
      <c r="AA370" s="794"/>
      <c r="AB370" s="794"/>
      <c r="AC370" s="794"/>
      <c r="AD370" s="794"/>
      <c r="AE370" s="794"/>
    </row>
    <row r="371" spans="1:43" ht="15" customHeight="1">
      <c r="A371" s="176"/>
      <c r="B371" s="1087" t="str">
        <f>IF(COUNTIF(S358:AD365,"NS")&lt;&gt;0,"Alerta: debido a que cuenta con registros NS, debe proporcionar una justificación en el area de comentarios al final de la pregunta","")</f>
        <v/>
      </c>
      <c r="C371" s="1087"/>
      <c r="D371" s="1087"/>
      <c r="E371" s="1087"/>
      <c r="F371" s="1087"/>
      <c r="G371" s="1087"/>
      <c r="H371" s="1087"/>
      <c r="I371" s="1087"/>
      <c r="J371" s="1087"/>
      <c r="K371" s="1087"/>
      <c r="L371" s="1087"/>
      <c r="M371" s="1087"/>
      <c r="N371" s="1087"/>
      <c r="O371" s="1087"/>
      <c r="P371" s="1087"/>
      <c r="Q371" s="1087"/>
      <c r="R371" s="1087"/>
      <c r="S371" s="1087"/>
      <c r="T371" s="1087"/>
      <c r="U371" s="1087"/>
      <c r="V371" s="1087"/>
      <c r="W371" s="1087"/>
      <c r="X371" s="1087"/>
      <c r="Y371" s="1087"/>
      <c r="Z371" s="1087"/>
      <c r="AA371" s="1087"/>
      <c r="AB371" s="1087"/>
      <c r="AC371" s="1087"/>
      <c r="AD371" s="1087"/>
      <c r="AE371" s="1087"/>
    </row>
    <row r="372" spans="1:43" ht="15" customHeight="1">
      <c r="A372" s="176"/>
      <c r="B372" s="1003" t="str">
        <f>IF(AH366&gt;0,"Revise la información capturada, ya que tiene datos ingresados en celdas que están sombreadas","")</f>
        <v/>
      </c>
      <c r="C372" s="1003"/>
      <c r="D372" s="1003"/>
      <c r="E372" s="1003"/>
      <c r="F372" s="1003"/>
      <c r="G372" s="1003"/>
      <c r="H372" s="1003"/>
      <c r="I372" s="1003"/>
      <c r="J372" s="1003"/>
      <c r="K372" s="1003"/>
      <c r="L372" s="1003"/>
      <c r="M372" s="1003"/>
      <c r="N372" s="1003"/>
      <c r="O372" s="1003"/>
      <c r="P372" s="1003"/>
      <c r="Q372" s="1003"/>
      <c r="R372" s="1003"/>
      <c r="S372" s="1003"/>
      <c r="T372" s="1003"/>
      <c r="U372" s="1003"/>
      <c r="V372" s="1003"/>
      <c r="W372" s="1003"/>
      <c r="X372" s="1003"/>
      <c r="Y372" s="1003"/>
      <c r="Z372" s="1003"/>
      <c r="AA372" s="1003"/>
      <c r="AB372" s="1003"/>
      <c r="AC372" s="1003"/>
      <c r="AD372" s="1003"/>
      <c r="AE372" s="1003"/>
    </row>
    <row r="373" spans="1:43" ht="15" customHeight="1">
      <c r="A373" s="176"/>
      <c r="B373" s="1003" t="str">
        <f>IF(OR(AL367&gt;0,AL368&gt;0,AN368&gt;0,AP368&gt;0),"Favor de revisar la suma y consistencia de totales y/o subtotales por filas (numéricos y NS)","")</f>
        <v/>
      </c>
      <c r="C373" s="1003"/>
      <c r="D373" s="1003"/>
      <c r="E373" s="1003"/>
      <c r="F373" s="1003"/>
      <c r="G373" s="1003"/>
      <c r="H373" s="1003"/>
      <c r="I373" s="1003"/>
      <c r="J373" s="1003"/>
      <c r="K373" s="1003"/>
      <c r="L373" s="1003"/>
      <c r="M373" s="1003"/>
      <c r="N373" s="1003"/>
      <c r="O373" s="1003"/>
      <c r="P373" s="1003"/>
      <c r="Q373" s="1003"/>
      <c r="R373" s="1003"/>
      <c r="S373" s="1003"/>
      <c r="T373" s="1003"/>
      <c r="U373" s="1003"/>
      <c r="V373" s="1003"/>
      <c r="W373" s="1003"/>
      <c r="X373" s="1003"/>
      <c r="Y373" s="1003"/>
      <c r="Z373" s="1003"/>
      <c r="AA373" s="1003"/>
      <c r="AB373" s="1003"/>
      <c r="AC373" s="1003"/>
      <c r="AD373" s="1003"/>
      <c r="AE373" s="1003"/>
    </row>
    <row r="374" spans="1:43" ht="15" customHeight="1">
      <c r="A374" s="176"/>
      <c r="B374" s="1003" t="str">
        <f>IF(AW366=0,"","Las cantidades de Hombres y Mujeres por centro especializado debe corresponder con los datos reportados en la preg. 7.2")</f>
        <v/>
      </c>
      <c r="C374" s="1003"/>
      <c r="D374" s="1003"/>
      <c r="E374" s="1003"/>
      <c r="F374" s="1003"/>
      <c r="G374" s="1003"/>
      <c r="H374" s="1003"/>
      <c r="I374" s="1003"/>
      <c r="J374" s="1003"/>
      <c r="K374" s="1003"/>
      <c r="L374" s="1003"/>
      <c r="M374" s="1003"/>
      <c r="N374" s="1003"/>
      <c r="O374" s="1003"/>
      <c r="P374" s="1003"/>
      <c r="Q374" s="1003"/>
      <c r="R374" s="1003"/>
      <c r="S374" s="1003"/>
      <c r="T374" s="1003"/>
      <c r="U374" s="1003"/>
      <c r="V374" s="1003"/>
      <c r="W374" s="1003"/>
      <c r="X374" s="1003"/>
      <c r="Y374" s="1003"/>
      <c r="Z374" s="1003"/>
      <c r="AA374" s="1003"/>
      <c r="AB374" s="1003"/>
      <c r="AC374" s="1003"/>
      <c r="AD374" s="1003"/>
      <c r="AE374" s="1003"/>
    </row>
    <row r="375" spans="1:43" ht="15" customHeight="1">
      <c r="A375" s="176"/>
      <c r="B375" s="105"/>
      <c r="C375" s="105"/>
      <c r="D375" s="105"/>
      <c r="E375" s="105"/>
      <c r="F375" s="105"/>
      <c r="G375" s="105"/>
      <c r="H375" s="105"/>
      <c r="I375" s="105"/>
      <c r="J375" s="105"/>
      <c r="K375" s="105"/>
      <c r="L375" s="105"/>
      <c r="M375" s="105"/>
      <c r="N375" s="105"/>
      <c r="O375" s="105"/>
      <c r="P375" s="105"/>
      <c r="Q375" s="105"/>
      <c r="R375" s="105"/>
      <c r="S375" s="105"/>
      <c r="T375" s="105"/>
      <c r="U375" s="105"/>
      <c r="V375" s="105"/>
      <c r="W375" s="105"/>
      <c r="X375" s="105"/>
      <c r="Y375" s="105"/>
      <c r="Z375" s="105"/>
      <c r="AA375" s="105"/>
      <c r="AB375" s="105"/>
      <c r="AC375" s="105"/>
      <c r="AD375" s="105"/>
      <c r="AE375"/>
    </row>
    <row r="376" spans="1:43" ht="36" customHeight="1">
      <c r="A376" s="49" t="s">
        <v>4671</v>
      </c>
      <c r="B376" s="829" t="s">
        <v>4672</v>
      </c>
      <c r="C376" s="829"/>
      <c r="D376" s="829"/>
      <c r="E376" s="829"/>
      <c r="F376" s="829"/>
      <c r="G376" s="829"/>
      <c r="H376" s="829"/>
      <c r="I376" s="829"/>
      <c r="J376" s="829"/>
      <c r="K376" s="829"/>
      <c r="L376" s="829"/>
      <c r="M376" s="829"/>
      <c r="N376" s="829"/>
      <c r="O376" s="829"/>
      <c r="P376" s="829"/>
      <c r="Q376" s="829"/>
      <c r="R376" s="829"/>
      <c r="S376" s="829"/>
      <c r="T376" s="829"/>
      <c r="U376" s="829"/>
      <c r="V376" s="829"/>
      <c r="W376" s="829"/>
      <c r="X376" s="829"/>
      <c r="Y376" s="829"/>
      <c r="Z376" s="829"/>
      <c r="AA376" s="829"/>
      <c r="AB376" s="829"/>
      <c r="AC376" s="829"/>
      <c r="AD376" s="829"/>
    </row>
    <row r="377" spans="1:43" ht="24" customHeight="1">
      <c r="A377" s="49"/>
      <c r="B377" s="105"/>
      <c r="C377" s="754" t="s">
        <v>4673</v>
      </c>
      <c r="D377" s="754"/>
      <c r="E377" s="754"/>
      <c r="F377" s="754"/>
      <c r="G377" s="754"/>
      <c r="H377" s="754"/>
      <c r="I377" s="754"/>
      <c r="J377" s="754"/>
      <c r="K377" s="754"/>
      <c r="L377" s="754"/>
      <c r="M377" s="754"/>
      <c r="N377" s="754"/>
      <c r="O377" s="754"/>
      <c r="P377" s="754"/>
      <c r="Q377" s="754"/>
      <c r="R377" s="754"/>
      <c r="S377" s="754"/>
      <c r="T377" s="754"/>
      <c r="U377" s="754"/>
      <c r="V377" s="754"/>
      <c r="W377" s="754"/>
      <c r="X377" s="754"/>
      <c r="Y377" s="754"/>
      <c r="Z377" s="754"/>
      <c r="AA377" s="754"/>
      <c r="AB377" s="754"/>
      <c r="AC377" s="754"/>
      <c r="AD377" s="754"/>
    </row>
    <row r="378" spans="1:43" ht="24" customHeight="1">
      <c r="A378" s="50"/>
      <c r="B378" s="38"/>
      <c r="C378" s="754" t="s">
        <v>4674</v>
      </c>
      <c r="D378" s="754"/>
      <c r="E378" s="754"/>
      <c r="F378" s="754"/>
      <c r="G378" s="754"/>
      <c r="H378" s="754"/>
      <c r="I378" s="754"/>
      <c r="J378" s="754"/>
      <c r="K378" s="754"/>
      <c r="L378" s="754"/>
      <c r="M378" s="754"/>
      <c r="N378" s="754"/>
      <c r="O378" s="754"/>
      <c r="P378" s="754"/>
      <c r="Q378" s="754"/>
      <c r="R378" s="754"/>
      <c r="S378" s="754"/>
      <c r="T378" s="754"/>
      <c r="U378" s="754"/>
      <c r="V378" s="754"/>
      <c r="W378" s="754"/>
      <c r="X378" s="754"/>
      <c r="Y378" s="754"/>
      <c r="Z378" s="754"/>
      <c r="AA378" s="754"/>
      <c r="AB378" s="754"/>
      <c r="AC378" s="754"/>
      <c r="AD378" s="754"/>
    </row>
    <row r="379" spans="1:43" ht="36" customHeight="1">
      <c r="A379" s="49"/>
      <c r="B379" s="38"/>
      <c r="C379" s="754" t="s">
        <v>4675</v>
      </c>
      <c r="D379" s="754"/>
      <c r="E379" s="754"/>
      <c r="F379" s="754"/>
      <c r="G379" s="754"/>
      <c r="H379" s="754"/>
      <c r="I379" s="754"/>
      <c r="J379" s="754"/>
      <c r="K379" s="754"/>
      <c r="L379" s="754"/>
      <c r="M379" s="754"/>
      <c r="N379" s="754"/>
      <c r="O379" s="754"/>
      <c r="P379" s="754"/>
      <c r="Q379" s="754"/>
      <c r="R379" s="754"/>
      <c r="S379" s="754"/>
      <c r="T379" s="754"/>
      <c r="U379" s="754"/>
      <c r="V379" s="754"/>
      <c r="W379" s="754"/>
      <c r="X379" s="754"/>
      <c r="Y379" s="754"/>
      <c r="Z379" s="754"/>
      <c r="AA379" s="754"/>
      <c r="AB379" s="754"/>
      <c r="AC379" s="754"/>
      <c r="AD379" s="754"/>
    </row>
    <row r="380" spans="1:43" ht="48" customHeight="1">
      <c r="A380" s="49"/>
      <c r="B380" s="38"/>
      <c r="C380" s="754" t="s">
        <v>4676</v>
      </c>
      <c r="D380" s="754"/>
      <c r="E380" s="754"/>
      <c r="F380" s="754"/>
      <c r="G380" s="754"/>
      <c r="H380" s="754"/>
      <c r="I380" s="754"/>
      <c r="J380" s="754"/>
      <c r="K380" s="754"/>
      <c r="L380" s="754"/>
      <c r="M380" s="754"/>
      <c r="N380" s="754"/>
      <c r="O380" s="754"/>
      <c r="P380" s="754"/>
      <c r="Q380" s="754"/>
      <c r="R380" s="754"/>
      <c r="S380" s="754"/>
      <c r="T380" s="754"/>
      <c r="U380" s="754"/>
      <c r="V380" s="754"/>
      <c r="W380" s="754"/>
      <c r="X380" s="754"/>
      <c r="Y380" s="754"/>
      <c r="Z380" s="754"/>
      <c r="AA380" s="754"/>
      <c r="AB380" s="754"/>
      <c r="AC380" s="754"/>
      <c r="AD380" s="754"/>
    </row>
    <row r="381" spans="1:43" ht="24" customHeight="1">
      <c r="A381" s="49"/>
      <c r="B381" s="38"/>
      <c r="C381" s="754" t="s">
        <v>4677</v>
      </c>
      <c r="D381" s="754"/>
      <c r="E381" s="754"/>
      <c r="F381" s="754"/>
      <c r="G381" s="754"/>
      <c r="H381" s="754"/>
      <c r="I381" s="754"/>
      <c r="J381" s="754"/>
      <c r="K381" s="754"/>
      <c r="L381" s="754"/>
      <c r="M381" s="754"/>
      <c r="N381" s="754"/>
      <c r="O381" s="754"/>
      <c r="P381" s="754"/>
      <c r="Q381" s="754"/>
      <c r="R381" s="754"/>
      <c r="S381" s="754"/>
      <c r="T381" s="754"/>
      <c r="U381" s="754"/>
      <c r="V381" s="754"/>
      <c r="W381" s="754"/>
      <c r="X381" s="754"/>
      <c r="Y381" s="754"/>
      <c r="Z381" s="754"/>
      <c r="AA381" s="754"/>
      <c r="AB381" s="754"/>
      <c r="AC381" s="754"/>
      <c r="AD381" s="754"/>
    </row>
    <row r="382" spans="1:43" ht="15" customHeight="1">
      <c r="A382" s="49"/>
      <c r="B382" s="38"/>
      <c r="C382" s="75"/>
      <c r="D382" s="75"/>
      <c r="E382" s="75"/>
      <c r="F382" s="75"/>
      <c r="G382" s="75"/>
      <c r="H382" s="75"/>
      <c r="I382" s="75"/>
      <c r="J382" s="75"/>
      <c r="K382" s="75"/>
      <c r="L382" s="75"/>
      <c r="M382" s="75"/>
      <c r="N382" s="75"/>
      <c r="O382" s="75"/>
      <c r="P382" s="75"/>
      <c r="Q382" s="75"/>
      <c r="R382" s="75"/>
      <c r="S382" s="75"/>
      <c r="T382" s="75"/>
      <c r="U382" s="75"/>
      <c r="V382" s="75"/>
      <c r="W382" s="75"/>
      <c r="X382" s="75"/>
      <c r="Y382" s="75"/>
      <c r="Z382" s="75"/>
      <c r="AA382" s="75"/>
      <c r="AB382" s="75"/>
      <c r="AC382" s="75"/>
      <c r="AD382" s="75"/>
    </row>
    <row r="383" spans="1:43" ht="24" customHeight="1">
      <c r="A383" s="108"/>
      <c r="B383" s="38"/>
      <c r="C383" s="880" t="s">
        <v>4678</v>
      </c>
      <c r="D383" s="880"/>
      <c r="E383" s="880"/>
      <c r="F383" s="880"/>
      <c r="G383" s="880"/>
      <c r="H383" s="880"/>
      <c r="I383" s="880"/>
      <c r="J383" s="880"/>
      <c r="K383" s="880"/>
      <c r="L383" s="880"/>
      <c r="M383" s="739" t="s">
        <v>4679</v>
      </c>
      <c r="N383" s="740"/>
      <c r="O383" s="740"/>
      <c r="P383" s="740"/>
      <c r="Q383" s="740"/>
      <c r="R383" s="740"/>
      <c r="S383" s="740"/>
      <c r="T383" s="740"/>
      <c r="U383" s="740"/>
      <c r="V383" s="740"/>
      <c r="W383" s="740"/>
      <c r="X383" s="740"/>
      <c r="Y383" s="740"/>
      <c r="Z383" s="740"/>
      <c r="AA383" s="740"/>
      <c r="AB383" s="740"/>
      <c r="AC383" s="740"/>
      <c r="AD383" s="741"/>
    </row>
    <row r="384" spans="1:43" ht="15" customHeight="1">
      <c r="A384" s="176"/>
      <c r="B384" s="57"/>
      <c r="C384" s="880"/>
      <c r="D384" s="880"/>
      <c r="E384" s="880"/>
      <c r="F384" s="880"/>
      <c r="G384" s="880"/>
      <c r="H384" s="880"/>
      <c r="I384" s="880"/>
      <c r="J384" s="880"/>
      <c r="K384" s="880"/>
      <c r="L384" s="880"/>
      <c r="M384" s="987" t="s">
        <v>2628</v>
      </c>
      <c r="N384" s="988"/>
      <c r="O384" s="988"/>
      <c r="P384" s="988"/>
      <c r="Q384" s="988"/>
      <c r="R384" s="988"/>
      <c r="S384" s="989" t="s">
        <v>2629</v>
      </c>
      <c r="T384" s="990"/>
      <c r="U384" s="990"/>
      <c r="V384" s="990"/>
      <c r="W384" s="990"/>
      <c r="X384" s="990"/>
      <c r="Y384" s="989" t="s">
        <v>2630</v>
      </c>
      <c r="Z384" s="990"/>
      <c r="AA384" s="990"/>
      <c r="AB384" s="990"/>
      <c r="AC384" s="990"/>
      <c r="AD384" s="990"/>
      <c r="AF384" s="679" t="s">
        <v>4680</v>
      </c>
      <c r="AG384" t="s">
        <v>2586</v>
      </c>
      <c r="AH384" t="s">
        <v>4599</v>
      </c>
      <c r="AI384" t="s">
        <v>2590</v>
      </c>
      <c r="AJ384" t="s">
        <v>3163</v>
      </c>
      <c r="AK384" t="s">
        <v>4564</v>
      </c>
      <c r="AL384" t="s">
        <v>4681</v>
      </c>
      <c r="AM384"/>
      <c r="AN384"/>
      <c r="AO384" t="s">
        <v>4682</v>
      </c>
      <c r="AP384"/>
      <c r="AQ384"/>
    </row>
    <row r="385" spans="1:43" ht="15" customHeight="1">
      <c r="A385" s="176"/>
      <c r="B385" s="57"/>
      <c r="C385" s="98" t="s">
        <v>2516</v>
      </c>
      <c r="D385" s="813" t="s">
        <v>4683</v>
      </c>
      <c r="E385" s="814"/>
      <c r="F385" s="814"/>
      <c r="G385" s="814"/>
      <c r="H385" s="814"/>
      <c r="I385" s="814"/>
      <c r="J385" s="814"/>
      <c r="K385" s="814"/>
      <c r="L385" s="815"/>
      <c r="M385" s="749"/>
      <c r="N385" s="749"/>
      <c r="O385" s="749"/>
      <c r="P385" s="749"/>
      <c r="Q385" s="749"/>
      <c r="R385" s="749"/>
      <c r="S385" s="749"/>
      <c r="T385" s="749"/>
      <c r="U385" s="749"/>
      <c r="V385" s="749"/>
      <c r="W385" s="749"/>
      <c r="X385" s="749"/>
      <c r="Y385" s="749"/>
      <c r="Z385" s="749"/>
      <c r="AA385" s="749"/>
      <c r="AB385" s="749"/>
      <c r="AC385" s="749"/>
      <c r="AD385" s="749"/>
      <c r="AF385" s="249">
        <f>IF(AND(OR(M397=0,M397="NA",M397="NS"),F401&lt;&gt;""),1,0)</f>
        <v>0</v>
      </c>
      <c r="AG385" s="506">
        <f>IF(OR($V$366=0,$V$366="NS",$V$366="NA"),0,IF(COUNTBLANK(M385:AD398)=210,0,1))</f>
        <v>0</v>
      </c>
      <c r="AH385">
        <f>IF(OR($V$366=0,$V$366="NS",$V$366="NA"),IF(COUNTBLANK(M385:AD398)=252,0,1),0)</f>
        <v>0</v>
      </c>
      <c r="AI385">
        <f t="shared" ref="AI385" si="199">COUNTIF(S385:AD385,"NS")</f>
        <v>0</v>
      </c>
      <c r="AJ385">
        <f t="shared" ref="AJ385" si="200">SUM(S385:AD385)</f>
        <v>0</v>
      </c>
      <c r="AK385">
        <f t="shared" ref="AK385" si="201">IF(COUNTIF(M385:AD385,"NA")=3,0,IF(COUNTA(M385:AD385)=0,0,IF(OR(AND(M385=0,AI385&gt;0),AND(M385="ns",AJ385&gt;0),AND(M385="ns",AI385=0,AJ385=0)),1,IF(OR(AND(M385&gt;0,AI385=2),AND(M385="ns",AI385=2),AND(M385="ns",AJ385=0,AI385&gt;0),M385=AJ385),0,1))))</f>
        <v>0</v>
      </c>
      <c r="AL385" cm="1">
        <f t="array" ref="AL385">IF(OR(M385={"NS","NA"},$V$366={"NS","NA"}),0,IF(M385&lt;=$V$366,0,1))</f>
        <v>0</v>
      </c>
      <c r="AM385" cm="1">
        <f t="array" ref="AM385">IF(OR(S385={"NS","NA"},$W$366={"NS","NA"}),0,IF(S385&lt;=$W$366,0,1))</f>
        <v>0</v>
      </c>
      <c r="AN385" cm="1">
        <f t="array" ref="AN385">IF(OR(Y385={"NS","NA"},$X$366={"NS","NA"}),0,IF(Y385&lt;=$X$366,0,1))</f>
        <v>0</v>
      </c>
      <c r="AO385" cm="1">
        <f t="array" ref="AO385">IF(OR(M399={"NS","NA"},$V$366={"NS","NA"}),0,IF(M399&gt;=$V$366,0,1))</f>
        <v>0</v>
      </c>
      <c r="AP385" cm="1">
        <f t="array" ref="AP385">IF(OR(S399={"NS","NA"},$W$366={"NS","NA"}),0,IF(S399&gt;=$W$366,0,1))</f>
        <v>0</v>
      </c>
      <c r="AQ385" cm="1">
        <f t="array" ref="AQ385">IF(OR(Y399={"NS","NA"},$X$366={"NS","NA"}),0,IF(Y399&gt;=$X$366,0,1))</f>
        <v>0</v>
      </c>
    </row>
    <row r="386" spans="1:43" ht="15" customHeight="1">
      <c r="A386" s="176"/>
      <c r="B386" s="57"/>
      <c r="C386" s="98" t="s">
        <v>2517</v>
      </c>
      <c r="D386" s="813" t="s">
        <v>4684</v>
      </c>
      <c r="E386" s="814"/>
      <c r="F386" s="814"/>
      <c r="G386" s="814"/>
      <c r="H386" s="814"/>
      <c r="I386" s="814"/>
      <c r="J386" s="814"/>
      <c r="K386" s="814"/>
      <c r="L386" s="815"/>
      <c r="M386" s="749"/>
      <c r="N386" s="749"/>
      <c r="O386" s="749"/>
      <c r="P386" s="749"/>
      <c r="Q386" s="749"/>
      <c r="R386" s="749"/>
      <c r="S386" s="749"/>
      <c r="T386" s="749"/>
      <c r="U386" s="749"/>
      <c r="V386" s="749"/>
      <c r="W386" s="749"/>
      <c r="X386" s="749"/>
      <c r="Y386" s="749"/>
      <c r="Z386" s="749"/>
      <c r="AA386" s="749"/>
      <c r="AB386" s="749"/>
      <c r="AC386" s="749"/>
      <c r="AD386" s="749"/>
      <c r="AF386"/>
      <c r="AH386" s="680">
        <f>SUM(AF385,AH385)</f>
        <v>0</v>
      </c>
      <c r="AI386">
        <f t="shared" ref="AI386:AI398" si="202">COUNTIF(S386:AD386,"NS")</f>
        <v>0</v>
      </c>
      <c r="AJ386">
        <f t="shared" ref="AJ386:AJ398" si="203">SUM(S386:AD386)</f>
        <v>0</v>
      </c>
      <c r="AK386">
        <f t="shared" ref="AK386:AK398" si="204">IF(COUNTIF(M386:AD386,"NA")=3,0,IF(COUNTA(M386:AD386)=0,0,IF(OR(AND(M386=0,AI386&gt;0),AND(M386="ns",AJ386&gt;0),AND(M386="ns",AI386=0,AJ386=0)),1,IF(OR(AND(M386&gt;0,AI386=2),AND(M386="ns",AI386=2),AND(M386="ns",AJ386=0,AI386&gt;0),M386=AJ386),0,1))))</f>
        <v>0</v>
      </c>
      <c r="AL386" cm="1">
        <f t="array" ref="AL386">IF(OR(M386={"NS","NA"},$V$366={"NS","NA"}),0,IF(M386&lt;=$V$366,0,1))</f>
        <v>0</v>
      </c>
      <c r="AM386" cm="1">
        <f t="array" ref="AM386">IF(OR(S386={"NS","NA"},$W$366={"NS","NA"}),0,IF(S386&lt;=$W$366,0,1))</f>
        <v>0</v>
      </c>
      <c r="AN386" cm="1">
        <f t="array" ref="AN386">IF(OR(Y386={"NS","NA"},$X$366={"NS","NA"}),0,IF(Y386&lt;=$X$366,0,1))</f>
        <v>0</v>
      </c>
      <c r="AQ386" s="506">
        <f>IF(OR($V$366=0,$V$366="NS",$V$366="NA"),0,SUM(AO385:AQ385))</f>
        <v>0</v>
      </c>
    </row>
    <row r="387" spans="1:43" ht="15" customHeight="1">
      <c r="A387" s="176"/>
      <c r="B387" s="57"/>
      <c r="C387" s="98" t="s">
        <v>2518</v>
      </c>
      <c r="D387" s="813" t="s">
        <v>4685</v>
      </c>
      <c r="E387" s="814"/>
      <c r="F387" s="814"/>
      <c r="G387" s="814"/>
      <c r="H387" s="814"/>
      <c r="I387" s="814"/>
      <c r="J387" s="814"/>
      <c r="K387" s="814"/>
      <c r="L387" s="815"/>
      <c r="M387" s="749"/>
      <c r="N387" s="749"/>
      <c r="O387" s="749"/>
      <c r="P387" s="749"/>
      <c r="Q387" s="749"/>
      <c r="R387" s="749"/>
      <c r="S387" s="749"/>
      <c r="T387" s="749"/>
      <c r="U387" s="749"/>
      <c r="V387" s="749"/>
      <c r="W387" s="749"/>
      <c r="X387" s="749"/>
      <c r="Y387" s="749"/>
      <c r="Z387" s="749"/>
      <c r="AA387" s="749"/>
      <c r="AB387" s="749"/>
      <c r="AC387" s="749"/>
      <c r="AD387" s="749"/>
      <c r="AF387"/>
      <c r="AI387">
        <f t="shared" si="202"/>
        <v>0</v>
      </c>
      <c r="AJ387">
        <f t="shared" si="203"/>
        <v>0</v>
      </c>
      <c r="AK387">
        <f t="shared" si="204"/>
        <v>0</v>
      </c>
      <c r="AL387" cm="1">
        <f t="array" ref="AL387">IF(OR(M387={"NS","NA"},$V$366={"NS","NA"}),0,IF(M387&lt;=$V$366,0,1))</f>
        <v>0</v>
      </c>
      <c r="AM387" cm="1">
        <f t="array" ref="AM387">IF(OR(S387={"NS","NA"},$W$366={"NS","NA"}),0,IF(S387&lt;=$W$366,0,1))</f>
        <v>0</v>
      </c>
      <c r="AN387" cm="1">
        <f t="array" ref="AN387">IF(OR(Y387={"NS","NA"},$X$366={"NS","NA"}),0,IF(Y387&lt;=$X$366,0,1))</f>
        <v>0</v>
      </c>
    </row>
    <row r="388" spans="1:43" ht="15" customHeight="1">
      <c r="A388" s="176"/>
      <c r="B388" s="57"/>
      <c r="C388" s="98" t="s">
        <v>2519</v>
      </c>
      <c r="D388" s="813" t="s">
        <v>4686</v>
      </c>
      <c r="E388" s="814"/>
      <c r="F388" s="814"/>
      <c r="G388" s="814"/>
      <c r="H388" s="814"/>
      <c r="I388" s="814"/>
      <c r="J388" s="814"/>
      <c r="K388" s="814"/>
      <c r="L388" s="815"/>
      <c r="M388" s="749"/>
      <c r="N388" s="749"/>
      <c r="O388" s="749"/>
      <c r="P388" s="749"/>
      <c r="Q388" s="749"/>
      <c r="R388" s="749"/>
      <c r="S388" s="749"/>
      <c r="T388" s="749"/>
      <c r="U388" s="749"/>
      <c r="V388" s="749"/>
      <c r="W388" s="749"/>
      <c r="X388" s="749"/>
      <c r="Y388" s="749"/>
      <c r="Z388" s="749"/>
      <c r="AA388" s="749"/>
      <c r="AB388" s="749"/>
      <c r="AC388" s="749"/>
      <c r="AD388" s="749"/>
      <c r="AF388"/>
      <c r="AI388">
        <f t="shared" si="202"/>
        <v>0</v>
      </c>
      <c r="AJ388">
        <f t="shared" si="203"/>
        <v>0</v>
      </c>
      <c r="AK388">
        <f t="shared" si="204"/>
        <v>0</v>
      </c>
      <c r="AL388" cm="1">
        <f t="array" ref="AL388">IF(OR(M388={"NS","NA"},$V$366={"NS","NA"}),0,IF(M388&lt;=$V$366,0,1))</f>
        <v>0</v>
      </c>
      <c r="AM388" cm="1">
        <f t="array" ref="AM388">IF(OR(S388={"NS","NA"},$W$366={"NS","NA"}),0,IF(S388&lt;=$W$366,0,1))</f>
        <v>0</v>
      </c>
      <c r="AN388" cm="1">
        <f t="array" ref="AN388">IF(OR(Y388={"NS","NA"},$X$366={"NS","NA"}),0,IF(Y388&lt;=$X$366,0,1))</f>
        <v>0</v>
      </c>
    </row>
    <row r="389" spans="1:43" ht="15" customHeight="1">
      <c r="A389" s="176"/>
      <c r="B389" s="57"/>
      <c r="C389" s="98" t="s">
        <v>2520</v>
      </c>
      <c r="D389" s="813" t="s">
        <v>4687</v>
      </c>
      <c r="E389" s="814"/>
      <c r="F389" s="814"/>
      <c r="G389" s="814"/>
      <c r="H389" s="814"/>
      <c r="I389" s="814"/>
      <c r="J389" s="814"/>
      <c r="K389" s="814"/>
      <c r="L389" s="815"/>
      <c r="M389" s="749"/>
      <c r="N389" s="749"/>
      <c r="O389" s="749"/>
      <c r="P389" s="749"/>
      <c r="Q389" s="749"/>
      <c r="R389" s="749"/>
      <c r="S389" s="749"/>
      <c r="T389" s="749"/>
      <c r="U389" s="749"/>
      <c r="V389" s="749"/>
      <c r="W389" s="749"/>
      <c r="X389" s="749"/>
      <c r="Y389" s="749"/>
      <c r="Z389" s="749"/>
      <c r="AA389" s="749"/>
      <c r="AB389" s="749"/>
      <c r="AC389" s="749"/>
      <c r="AD389" s="749"/>
      <c r="AF389"/>
      <c r="AI389">
        <f t="shared" si="202"/>
        <v>0</v>
      </c>
      <c r="AJ389">
        <f t="shared" si="203"/>
        <v>0</v>
      </c>
      <c r="AK389">
        <f t="shared" si="204"/>
        <v>0</v>
      </c>
      <c r="AL389" cm="1">
        <f t="array" ref="AL389">IF(OR(M389={"NS","NA"},$V$366={"NS","NA"}),0,IF(M389&lt;=$V$366,0,1))</f>
        <v>0</v>
      </c>
      <c r="AM389" cm="1">
        <f t="array" ref="AM389">IF(OR(S389={"NS","NA"},$W$366={"NS","NA"}),0,IF(S389&lt;=$W$366,0,1))</f>
        <v>0</v>
      </c>
      <c r="AN389" cm="1">
        <f t="array" ref="AN389">IF(OR(Y389={"NS","NA"},$X$366={"NS","NA"}),0,IF(Y389&lt;=$X$366,0,1))</f>
        <v>0</v>
      </c>
    </row>
    <row r="390" spans="1:43" ht="15" customHeight="1">
      <c r="A390" s="176"/>
      <c r="B390" s="57"/>
      <c r="C390" s="98" t="s">
        <v>2521</v>
      </c>
      <c r="D390" s="813" t="s">
        <v>4688</v>
      </c>
      <c r="E390" s="814"/>
      <c r="F390" s="814"/>
      <c r="G390" s="814"/>
      <c r="H390" s="814"/>
      <c r="I390" s="814"/>
      <c r="J390" s="814"/>
      <c r="K390" s="814"/>
      <c r="L390" s="815"/>
      <c r="M390" s="749"/>
      <c r="N390" s="749"/>
      <c r="O390" s="749"/>
      <c r="P390" s="749"/>
      <c r="Q390" s="749"/>
      <c r="R390" s="749"/>
      <c r="S390" s="749"/>
      <c r="T390" s="749"/>
      <c r="U390" s="749"/>
      <c r="V390" s="749"/>
      <c r="W390" s="749"/>
      <c r="X390" s="749"/>
      <c r="Y390" s="749"/>
      <c r="Z390" s="749"/>
      <c r="AA390" s="749"/>
      <c r="AB390" s="749"/>
      <c r="AC390" s="749"/>
      <c r="AD390" s="749"/>
      <c r="AF390"/>
      <c r="AI390">
        <f t="shared" si="202"/>
        <v>0</v>
      </c>
      <c r="AJ390">
        <f t="shared" si="203"/>
        <v>0</v>
      </c>
      <c r="AK390">
        <f t="shared" si="204"/>
        <v>0</v>
      </c>
      <c r="AL390" cm="1">
        <f t="array" ref="AL390">IF(OR(M390={"NS","NA"},$V$366={"NS","NA"}),0,IF(M390&lt;=$V$366,0,1))</f>
        <v>0</v>
      </c>
      <c r="AM390" cm="1">
        <f t="array" ref="AM390">IF(OR(S390={"NS","NA"},$W$366={"NS","NA"}),0,IF(S390&lt;=$W$366,0,1))</f>
        <v>0</v>
      </c>
      <c r="AN390" cm="1">
        <f t="array" ref="AN390">IF(OR(Y390={"NS","NA"},$X$366={"NS","NA"}),0,IF(Y390&lt;=$X$366,0,1))</f>
        <v>0</v>
      </c>
    </row>
    <row r="391" spans="1:43" ht="15" customHeight="1">
      <c r="A391" s="176"/>
      <c r="B391" s="57"/>
      <c r="C391" s="98" t="s">
        <v>2522</v>
      </c>
      <c r="D391" s="813" t="s">
        <v>4689</v>
      </c>
      <c r="E391" s="814"/>
      <c r="F391" s="814"/>
      <c r="G391" s="814"/>
      <c r="H391" s="814"/>
      <c r="I391" s="814"/>
      <c r="J391" s="814"/>
      <c r="K391" s="814"/>
      <c r="L391" s="815"/>
      <c r="M391" s="749"/>
      <c r="N391" s="749"/>
      <c r="O391" s="749"/>
      <c r="P391" s="749"/>
      <c r="Q391" s="749"/>
      <c r="R391" s="749"/>
      <c r="S391" s="749"/>
      <c r="T391" s="749"/>
      <c r="U391" s="749"/>
      <c r="V391" s="749"/>
      <c r="W391" s="749"/>
      <c r="X391" s="749"/>
      <c r="Y391" s="749"/>
      <c r="Z391" s="749"/>
      <c r="AA391" s="749"/>
      <c r="AB391" s="749"/>
      <c r="AC391" s="749"/>
      <c r="AD391" s="749"/>
      <c r="AF391"/>
      <c r="AI391">
        <f t="shared" si="202"/>
        <v>0</v>
      </c>
      <c r="AJ391">
        <f t="shared" si="203"/>
        <v>0</v>
      </c>
      <c r="AK391">
        <f t="shared" si="204"/>
        <v>0</v>
      </c>
      <c r="AL391" cm="1">
        <f t="array" ref="AL391">IF(OR(M391={"NS","NA"},$V$366={"NS","NA"}),0,IF(M391&lt;=$V$366,0,1))</f>
        <v>0</v>
      </c>
      <c r="AM391" cm="1">
        <f t="array" ref="AM391">IF(OR(S391={"NS","NA"},$W$366={"NS","NA"}),0,IF(S391&lt;=$W$366,0,1))</f>
        <v>0</v>
      </c>
      <c r="AN391" cm="1">
        <f t="array" ref="AN391">IF(OR(Y391={"NS","NA"},$X$366={"NS","NA"}),0,IF(Y391&lt;=$X$366,0,1))</f>
        <v>0</v>
      </c>
    </row>
    <row r="392" spans="1:43" ht="15" customHeight="1">
      <c r="A392" s="176"/>
      <c r="B392" s="57"/>
      <c r="C392" s="98" t="s">
        <v>2523</v>
      </c>
      <c r="D392" s="813" t="s">
        <v>4690</v>
      </c>
      <c r="E392" s="814"/>
      <c r="F392" s="814"/>
      <c r="G392" s="814"/>
      <c r="H392" s="814"/>
      <c r="I392" s="814"/>
      <c r="J392" s="814"/>
      <c r="K392" s="814"/>
      <c r="L392" s="815"/>
      <c r="M392" s="749"/>
      <c r="N392" s="749"/>
      <c r="O392" s="749"/>
      <c r="P392" s="749"/>
      <c r="Q392" s="749"/>
      <c r="R392" s="749"/>
      <c r="S392" s="749"/>
      <c r="T392" s="749"/>
      <c r="U392" s="749"/>
      <c r="V392" s="749"/>
      <c r="W392" s="749"/>
      <c r="X392" s="749"/>
      <c r="Y392" s="749"/>
      <c r="Z392" s="749"/>
      <c r="AA392" s="749"/>
      <c r="AB392" s="749"/>
      <c r="AC392" s="749"/>
      <c r="AD392" s="749"/>
      <c r="AF392"/>
      <c r="AI392">
        <f t="shared" si="202"/>
        <v>0</v>
      </c>
      <c r="AJ392">
        <f t="shared" si="203"/>
        <v>0</v>
      </c>
      <c r="AK392">
        <f t="shared" si="204"/>
        <v>0</v>
      </c>
      <c r="AL392" cm="1">
        <f t="array" ref="AL392">IF(OR(M392={"NS","NA"},$V$366={"NS","NA"}),0,IF(M392&lt;=$V$366,0,1))</f>
        <v>0</v>
      </c>
      <c r="AM392" cm="1">
        <f t="array" ref="AM392">IF(OR(S392={"NS","NA"},$W$366={"NS","NA"}),0,IF(S392&lt;=$W$366,0,1))</f>
        <v>0</v>
      </c>
      <c r="AN392" cm="1">
        <f t="array" ref="AN392">IF(OR(Y392={"NS","NA"},$X$366={"NS","NA"}),0,IF(Y392&lt;=$X$366,0,1))</f>
        <v>0</v>
      </c>
    </row>
    <row r="393" spans="1:43" ht="15" customHeight="1">
      <c r="A393" s="176"/>
      <c r="B393" s="57"/>
      <c r="C393" s="98" t="s">
        <v>2524</v>
      </c>
      <c r="D393" s="813" t="s">
        <v>3098</v>
      </c>
      <c r="E393" s="814"/>
      <c r="F393" s="814"/>
      <c r="G393" s="814"/>
      <c r="H393" s="814"/>
      <c r="I393" s="814"/>
      <c r="J393" s="814"/>
      <c r="K393" s="814"/>
      <c r="L393" s="815"/>
      <c r="M393" s="749"/>
      <c r="N393" s="749"/>
      <c r="O393" s="749"/>
      <c r="P393" s="749"/>
      <c r="Q393" s="749"/>
      <c r="R393" s="749"/>
      <c r="S393" s="749"/>
      <c r="T393" s="749"/>
      <c r="U393" s="749"/>
      <c r="V393" s="749"/>
      <c r="W393" s="749"/>
      <c r="X393" s="749"/>
      <c r="Y393" s="749"/>
      <c r="Z393" s="749"/>
      <c r="AA393" s="749"/>
      <c r="AB393" s="749"/>
      <c r="AC393" s="749"/>
      <c r="AD393" s="749"/>
      <c r="AF393"/>
      <c r="AI393">
        <f t="shared" si="202"/>
        <v>0</v>
      </c>
      <c r="AJ393">
        <f t="shared" si="203"/>
        <v>0</v>
      </c>
      <c r="AK393">
        <f t="shared" si="204"/>
        <v>0</v>
      </c>
      <c r="AL393" cm="1">
        <f t="array" ref="AL393">IF(OR(M393={"NS","NA"},$V$366={"NS","NA"}),0,IF(M393&lt;=$V$366,0,1))</f>
        <v>0</v>
      </c>
      <c r="AM393" cm="1">
        <f t="array" ref="AM393">IF(OR(S393={"NS","NA"},$W$366={"NS","NA"}),0,IF(S393&lt;=$W$366,0,1))</f>
        <v>0</v>
      </c>
      <c r="AN393" cm="1">
        <f t="array" ref="AN393">IF(OR(Y393={"NS","NA"},$X$366={"NS","NA"}),0,IF(Y393&lt;=$X$366,0,1))</f>
        <v>0</v>
      </c>
    </row>
    <row r="394" spans="1:43" ht="15" customHeight="1">
      <c r="A394" s="176"/>
      <c r="B394" s="57"/>
      <c r="C394" s="98" t="s">
        <v>2525</v>
      </c>
      <c r="D394" s="813" t="s">
        <v>4691</v>
      </c>
      <c r="E394" s="814"/>
      <c r="F394" s="814"/>
      <c r="G394" s="814"/>
      <c r="H394" s="814"/>
      <c r="I394" s="814"/>
      <c r="J394" s="814"/>
      <c r="K394" s="814"/>
      <c r="L394" s="815"/>
      <c r="M394" s="749"/>
      <c r="N394" s="749"/>
      <c r="O394" s="749"/>
      <c r="P394" s="749"/>
      <c r="Q394" s="749"/>
      <c r="R394" s="749"/>
      <c r="S394" s="749"/>
      <c r="T394" s="749"/>
      <c r="U394" s="749"/>
      <c r="V394" s="749"/>
      <c r="W394" s="749"/>
      <c r="X394" s="749"/>
      <c r="Y394" s="749"/>
      <c r="Z394" s="749"/>
      <c r="AA394" s="749"/>
      <c r="AB394" s="749"/>
      <c r="AC394" s="749"/>
      <c r="AD394" s="749"/>
      <c r="AF394"/>
      <c r="AI394">
        <f t="shared" si="202"/>
        <v>0</v>
      </c>
      <c r="AJ394">
        <f t="shared" si="203"/>
        <v>0</v>
      </c>
      <c r="AK394">
        <f t="shared" si="204"/>
        <v>0</v>
      </c>
      <c r="AL394" cm="1">
        <f t="array" ref="AL394">IF(OR(M394={"NS","NA"},$V$366={"NS","NA"}),0,IF(M394&lt;=$V$366,0,1))</f>
        <v>0</v>
      </c>
      <c r="AM394" cm="1">
        <f t="array" ref="AM394">IF(OR(S394={"NS","NA"},$W$366={"NS","NA"}),0,IF(S394&lt;=$W$366,0,1))</f>
        <v>0</v>
      </c>
      <c r="AN394" cm="1">
        <f t="array" ref="AN394">IF(OR(Y394={"NS","NA"},$X$366={"NS","NA"}),0,IF(Y394&lt;=$X$366,0,1))</f>
        <v>0</v>
      </c>
    </row>
    <row r="395" spans="1:43" ht="15" customHeight="1">
      <c r="A395" s="176"/>
      <c r="B395" s="57"/>
      <c r="C395" s="98" t="s">
        <v>2526</v>
      </c>
      <c r="D395" s="813" t="s">
        <v>4692</v>
      </c>
      <c r="E395" s="814"/>
      <c r="F395" s="814"/>
      <c r="G395" s="814"/>
      <c r="H395" s="814"/>
      <c r="I395" s="814"/>
      <c r="J395" s="814"/>
      <c r="K395" s="814"/>
      <c r="L395" s="815"/>
      <c r="M395" s="749"/>
      <c r="N395" s="749"/>
      <c r="O395" s="749"/>
      <c r="P395" s="749"/>
      <c r="Q395" s="749"/>
      <c r="R395" s="749"/>
      <c r="S395" s="749"/>
      <c r="T395" s="749"/>
      <c r="U395" s="749"/>
      <c r="V395" s="749"/>
      <c r="W395" s="749"/>
      <c r="X395" s="749"/>
      <c r="Y395" s="749"/>
      <c r="Z395" s="749"/>
      <c r="AA395" s="749"/>
      <c r="AB395" s="749"/>
      <c r="AC395" s="749"/>
      <c r="AD395" s="749"/>
      <c r="AF395"/>
      <c r="AI395">
        <f t="shared" si="202"/>
        <v>0</v>
      </c>
      <c r="AJ395">
        <f t="shared" si="203"/>
        <v>0</v>
      </c>
      <c r="AK395">
        <f t="shared" si="204"/>
        <v>0</v>
      </c>
      <c r="AL395" cm="1">
        <f t="array" ref="AL395">IF(OR(M395={"NS","NA"},$V$366={"NS","NA"}),0,IF(M395&lt;=$V$366,0,1))</f>
        <v>0</v>
      </c>
      <c r="AM395" cm="1">
        <f t="array" ref="AM395">IF(OR(S395={"NS","NA"},$W$366={"NS","NA"}),0,IF(S395&lt;=$W$366,0,1))</f>
        <v>0</v>
      </c>
      <c r="AN395" cm="1">
        <f t="array" ref="AN395">IF(OR(Y395={"NS","NA"},$X$366={"NS","NA"}),0,IF(Y395&lt;=$X$366,0,1))</f>
        <v>0</v>
      </c>
    </row>
    <row r="396" spans="1:43" ht="15" customHeight="1">
      <c r="A396" s="176"/>
      <c r="B396" s="57"/>
      <c r="C396" s="98" t="s">
        <v>2527</v>
      </c>
      <c r="D396" s="813" t="s">
        <v>4693</v>
      </c>
      <c r="E396" s="814"/>
      <c r="F396" s="814"/>
      <c r="G396" s="814"/>
      <c r="H396" s="814"/>
      <c r="I396" s="814"/>
      <c r="J396" s="814"/>
      <c r="K396" s="814"/>
      <c r="L396" s="815"/>
      <c r="M396" s="749"/>
      <c r="N396" s="749"/>
      <c r="O396" s="749"/>
      <c r="P396" s="749"/>
      <c r="Q396" s="749"/>
      <c r="R396" s="749"/>
      <c r="S396" s="749"/>
      <c r="T396" s="749"/>
      <c r="U396" s="749"/>
      <c r="V396" s="749"/>
      <c r="W396" s="749"/>
      <c r="X396" s="749"/>
      <c r="Y396" s="749"/>
      <c r="Z396" s="749"/>
      <c r="AA396" s="749"/>
      <c r="AB396" s="749"/>
      <c r="AC396" s="749"/>
      <c r="AD396" s="749"/>
      <c r="AF396"/>
      <c r="AI396">
        <f t="shared" si="202"/>
        <v>0</v>
      </c>
      <c r="AJ396">
        <f t="shared" si="203"/>
        <v>0</v>
      </c>
      <c r="AK396">
        <f t="shared" si="204"/>
        <v>0</v>
      </c>
      <c r="AL396" cm="1">
        <f t="array" ref="AL396">IF(OR(M396={"NS","NA"},$V$366={"NS","NA"}),0,IF(M396&lt;=$V$366,0,1))</f>
        <v>0</v>
      </c>
      <c r="AM396" cm="1">
        <f t="array" ref="AM396">IF(OR(S396={"NS","NA"},$W$366={"NS","NA"}),0,IF(S396&lt;=$W$366,0,1))</f>
        <v>0</v>
      </c>
      <c r="AN396" cm="1">
        <f t="array" ref="AN396">IF(OR(Y396={"NS","NA"},$X$366={"NS","NA"}),0,IF(Y396&lt;=$X$366,0,1))</f>
        <v>0</v>
      </c>
    </row>
    <row r="397" spans="1:43" ht="15" customHeight="1">
      <c r="A397" s="176"/>
      <c r="B397" s="57"/>
      <c r="C397" s="98" t="s">
        <v>2528</v>
      </c>
      <c r="D397" s="813" t="s">
        <v>4694</v>
      </c>
      <c r="E397" s="814"/>
      <c r="F397" s="814"/>
      <c r="G397" s="814"/>
      <c r="H397" s="814"/>
      <c r="I397" s="814"/>
      <c r="J397" s="814"/>
      <c r="K397" s="814"/>
      <c r="L397" s="815"/>
      <c r="M397" s="749"/>
      <c r="N397" s="749"/>
      <c r="O397" s="749"/>
      <c r="P397" s="749"/>
      <c r="Q397" s="749"/>
      <c r="R397" s="749"/>
      <c r="S397" s="749"/>
      <c r="T397" s="749"/>
      <c r="U397" s="749"/>
      <c r="V397" s="749"/>
      <c r="W397" s="749"/>
      <c r="X397" s="749"/>
      <c r="Y397" s="749"/>
      <c r="Z397" s="749"/>
      <c r="AA397" s="749"/>
      <c r="AB397" s="749"/>
      <c r="AC397" s="749"/>
      <c r="AD397" s="749"/>
      <c r="AF397"/>
      <c r="AI397">
        <f t="shared" si="202"/>
        <v>0</v>
      </c>
      <c r="AJ397">
        <f t="shared" si="203"/>
        <v>0</v>
      </c>
      <c r="AK397">
        <f t="shared" si="204"/>
        <v>0</v>
      </c>
      <c r="AL397" cm="1">
        <f t="array" ref="AL397">IF(OR(M397={"NS","NA"},$V$366={"NS","NA"}),0,IF(M397&lt;=$V$366,0,1))</f>
        <v>0</v>
      </c>
      <c r="AM397" cm="1">
        <f t="array" ref="AM397">IF(OR(S397={"NS","NA"},$W$366={"NS","NA"}),0,IF(S397&lt;=$W$366,0,1))</f>
        <v>0</v>
      </c>
      <c r="AN397" cm="1">
        <f t="array" ref="AN397">IF(OR(Y397={"NS","NA"},$X$366={"NS","NA"}),0,IF(Y397&lt;=$X$366,0,1))</f>
        <v>0</v>
      </c>
    </row>
    <row r="398" spans="1:43" ht="15" customHeight="1">
      <c r="A398" s="176"/>
      <c r="B398" s="57"/>
      <c r="C398" s="98" t="s">
        <v>2529</v>
      </c>
      <c r="D398" s="813" t="s">
        <v>201</v>
      </c>
      <c r="E398" s="814"/>
      <c r="F398" s="814"/>
      <c r="G398" s="814"/>
      <c r="H398" s="814"/>
      <c r="I398" s="814"/>
      <c r="J398" s="814"/>
      <c r="K398" s="814"/>
      <c r="L398" s="815"/>
      <c r="M398" s="749"/>
      <c r="N398" s="749"/>
      <c r="O398" s="749"/>
      <c r="P398" s="749"/>
      <c r="Q398" s="749"/>
      <c r="R398" s="749"/>
      <c r="S398" s="749"/>
      <c r="T398" s="749"/>
      <c r="U398" s="749"/>
      <c r="V398" s="749"/>
      <c r="W398" s="749"/>
      <c r="X398" s="749"/>
      <c r="Y398" s="749"/>
      <c r="Z398" s="749"/>
      <c r="AA398" s="749"/>
      <c r="AB398" s="749"/>
      <c r="AC398" s="749"/>
      <c r="AD398" s="749"/>
      <c r="AF398"/>
      <c r="AI398">
        <f t="shared" si="202"/>
        <v>0</v>
      </c>
      <c r="AJ398">
        <f t="shared" si="203"/>
        <v>0</v>
      </c>
      <c r="AK398">
        <f t="shared" si="204"/>
        <v>0</v>
      </c>
      <c r="AL398" cm="1">
        <f t="array" ref="AL398">IF(OR(M398={"NS","NA"},$V$366={"NS","NA"}),0,IF(M398&lt;=$V$366,0,1))</f>
        <v>0</v>
      </c>
      <c r="AM398" cm="1">
        <f t="array" ref="AM398">IF(OR(S398={"NS","NA"},$W$366={"NS","NA"}),0,IF(S398&lt;=$W$366,0,1))</f>
        <v>0</v>
      </c>
      <c r="AN398" cm="1">
        <f t="array" ref="AN398">IF(OR(Y398={"NS","NA"},$X$366={"NS","NA"}),0,IF(Y398&lt;=$X$366,0,1))</f>
        <v>0</v>
      </c>
    </row>
    <row r="399" spans="1:43" ht="15" customHeight="1">
      <c r="A399" s="108"/>
      <c r="B399" s="38"/>
      <c r="C399" s="38"/>
      <c r="D399" s="38"/>
      <c r="E399" s="38"/>
      <c r="F399" s="38"/>
      <c r="G399" s="38"/>
      <c r="H399" s="38"/>
      <c r="I399" s="38"/>
      <c r="J399" s="38"/>
      <c r="K399" s="38"/>
      <c r="L399" s="117" t="s">
        <v>2649</v>
      </c>
      <c r="M399" s="736">
        <f>IF(AND(SUM(M385:M398)=0,COUNTIF(M385:M398,"NS")&gt;0),"NS",IF(AND(SUM(M385:M398)=0,COUNTIF(M385:M398,0)&gt;0),0,IF(AND(SUM(M385:M398)=0,COUNTIF(M385:M398,"NA")&gt;0),"NA",SUM(M385:M398))))</f>
        <v>0</v>
      </c>
      <c r="N399" s="1085"/>
      <c r="O399" s="1085"/>
      <c r="P399" s="1085"/>
      <c r="Q399" s="1085"/>
      <c r="R399" s="1086"/>
      <c r="S399" s="736">
        <f>IF(AND(SUM(S385:S398)=0,COUNTIF(S385:S398,"NS")&gt;0),"NS",IF(AND(SUM(S385:S398)=0,COUNTIF(S385:S398,0)&gt;0),0,IF(AND(SUM(S385:S398)=0,COUNTIF(S385:S398,"NA")&gt;0),"NA",SUM(S385:S398))))</f>
        <v>0</v>
      </c>
      <c r="T399" s="1085"/>
      <c r="U399" s="1085"/>
      <c r="V399" s="1085"/>
      <c r="W399" s="1085"/>
      <c r="X399" s="1086"/>
      <c r="Y399" s="736">
        <f>IF(AND(SUM(Y385:Y398)=0,COUNTIF(Y385:Y398,"NS")&gt;0),"NS",IF(AND(SUM(Y385:Y398)=0,COUNTIF(Y385:Y398,0)&gt;0),0,IF(AND(SUM(Y385:Y398)=0,COUNTIF(Y385:Y398,"NA")&gt;0),"NA",SUM(Y385:Y398))))</f>
        <v>0</v>
      </c>
      <c r="Z399" s="1085"/>
      <c r="AA399" s="1085"/>
      <c r="AB399" s="1085"/>
      <c r="AC399" s="1085"/>
      <c r="AD399" s="1086"/>
      <c r="AF399"/>
      <c r="AI399">
        <f>SUM(AI385:AI398)</f>
        <v>0</v>
      </c>
      <c r="AK399" s="506">
        <f>SUM(AK385:AK398)</f>
        <v>0</v>
      </c>
      <c r="AN399" s="506">
        <f>IF(OR($V$366=0,$V$366="NS",$V$366="NA"),0,SUM(AL385:AN398))</f>
        <v>0</v>
      </c>
    </row>
    <row r="400" spans="1:43" ht="15" customHeight="1">
      <c r="A400" s="108"/>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c r="AA400" s="38"/>
      <c r="AB400" s="38"/>
      <c r="AC400" s="38"/>
      <c r="AD400" s="38"/>
    </row>
    <row r="401" spans="1:49" ht="45" customHeight="1">
      <c r="A401" s="108"/>
      <c r="B401" s="38"/>
      <c r="C401" s="822" t="s">
        <v>4695</v>
      </c>
      <c r="D401" s="967"/>
      <c r="E401" s="967"/>
      <c r="F401" s="749"/>
      <c r="G401" s="749"/>
      <c r="H401" s="749"/>
      <c r="I401" s="749"/>
      <c r="J401" s="749"/>
      <c r="K401" s="749"/>
      <c r="L401" s="749"/>
      <c r="M401" s="749"/>
      <c r="N401" s="749"/>
      <c r="O401" s="749"/>
      <c r="P401" s="749"/>
      <c r="Q401" s="749"/>
      <c r="R401" s="749"/>
      <c r="S401" s="749"/>
      <c r="T401" s="749"/>
      <c r="U401" s="749"/>
      <c r="V401" s="749"/>
      <c r="W401" s="749"/>
      <c r="X401" s="749"/>
      <c r="Y401" s="749"/>
      <c r="Z401" s="749"/>
      <c r="AA401" s="749"/>
      <c r="AB401" s="749"/>
      <c r="AC401" s="749"/>
      <c r="AD401" s="749"/>
    </row>
    <row r="402" spans="1:49" ht="15" customHeight="1">
      <c r="A402" s="176"/>
      <c r="B402" s="1003" t="str">
        <f>IF(AND(M397&gt;0,M397&lt;&gt;"NA",M397&lt;&gt;"NS",F401=""),"Debido a que cuenta con un valor mayor a cero en el numeral 13, debe anotar el nombre de dicha(s) familia lingüística","")</f>
        <v/>
      </c>
      <c r="C402" s="1003"/>
      <c r="D402" s="1003"/>
      <c r="E402" s="1003"/>
      <c r="F402" s="1003"/>
      <c r="G402" s="1003"/>
      <c r="H402" s="1003"/>
      <c r="I402" s="1003"/>
      <c r="J402" s="1003"/>
      <c r="K402" s="1003"/>
      <c r="L402" s="1003"/>
      <c r="M402" s="1003"/>
      <c r="N402" s="1003"/>
      <c r="O402" s="1003"/>
      <c r="P402" s="1003"/>
      <c r="Q402" s="1003"/>
      <c r="R402" s="1003"/>
      <c r="S402" s="1003"/>
      <c r="T402" s="1003"/>
      <c r="U402" s="1003"/>
      <c r="V402" s="1003"/>
      <c r="W402" s="1003"/>
      <c r="X402" s="1003"/>
      <c r="Y402" s="1003"/>
      <c r="Z402" s="1003"/>
      <c r="AA402" s="1003"/>
      <c r="AB402" s="1003"/>
      <c r="AC402" s="1003"/>
      <c r="AD402" s="1003"/>
      <c r="AE402" s="1003"/>
    </row>
    <row r="403" spans="1:49" ht="24" customHeight="1">
      <c r="A403" s="108"/>
      <c r="B403" s="38"/>
      <c r="C403" s="754" t="s">
        <v>2611</v>
      </c>
      <c r="D403" s="754"/>
      <c r="E403" s="754"/>
      <c r="F403" s="754"/>
      <c r="G403" s="754"/>
      <c r="H403" s="754"/>
      <c r="I403" s="754"/>
      <c r="J403" s="754"/>
      <c r="K403" s="754"/>
      <c r="L403" s="754"/>
      <c r="M403" s="754"/>
      <c r="N403" s="754"/>
      <c r="O403" s="754"/>
      <c r="P403" s="754"/>
      <c r="Q403" s="754"/>
      <c r="R403" s="754"/>
      <c r="S403" s="754"/>
      <c r="T403" s="754"/>
      <c r="U403" s="754"/>
      <c r="V403" s="754"/>
      <c r="W403" s="754"/>
      <c r="X403" s="754"/>
      <c r="Y403" s="754"/>
      <c r="Z403" s="754"/>
      <c r="AA403" s="754"/>
      <c r="AB403" s="754"/>
      <c r="AC403" s="754"/>
      <c r="AD403" s="754"/>
    </row>
    <row r="404" spans="1:49" ht="60" customHeight="1">
      <c r="A404" s="108"/>
      <c r="B404" s="38"/>
      <c r="C404" s="851"/>
      <c r="D404" s="851"/>
      <c r="E404" s="851"/>
      <c r="F404" s="851"/>
      <c r="G404" s="851"/>
      <c r="H404" s="851"/>
      <c r="I404" s="851"/>
      <c r="J404" s="851"/>
      <c r="K404" s="851"/>
      <c r="L404" s="851"/>
      <c r="M404" s="851"/>
      <c r="N404" s="851"/>
      <c r="O404" s="851"/>
      <c r="P404" s="851"/>
      <c r="Q404" s="851"/>
      <c r="R404" s="851"/>
      <c r="S404" s="851"/>
      <c r="T404" s="851"/>
      <c r="U404" s="851"/>
      <c r="V404" s="851"/>
      <c r="W404" s="851"/>
      <c r="X404" s="851"/>
      <c r="Y404" s="851"/>
      <c r="Z404" s="851"/>
      <c r="AA404" s="851"/>
      <c r="AB404" s="851"/>
      <c r="AC404" s="851"/>
      <c r="AD404" s="851"/>
    </row>
    <row r="405" spans="1:49" ht="15" customHeight="1">
      <c r="A405" s="176"/>
      <c r="B405" s="794" t="str">
        <f>IF(AG385=0,"","Favor de ingresar toda la información requerida en la pregunta")</f>
        <v/>
      </c>
      <c r="C405" s="794"/>
      <c r="D405" s="794"/>
      <c r="E405" s="794"/>
      <c r="F405" s="794"/>
      <c r="G405" s="794"/>
      <c r="H405" s="794"/>
      <c r="I405" s="794"/>
      <c r="J405" s="794"/>
      <c r="K405" s="794"/>
      <c r="L405" s="794"/>
      <c r="M405" s="794"/>
      <c r="N405" s="794"/>
      <c r="O405" s="794"/>
      <c r="P405" s="794"/>
      <c r="Q405" s="794"/>
      <c r="R405" s="794"/>
      <c r="S405" s="794"/>
      <c r="T405" s="794"/>
      <c r="U405" s="794"/>
      <c r="V405" s="794"/>
      <c r="W405" s="794"/>
      <c r="X405" s="794"/>
      <c r="Y405" s="794"/>
      <c r="Z405" s="794"/>
      <c r="AA405" s="794"/>
      <c r="AB405" s="794"/>
      <c r="AC405" s="794"/>
      <c r="AD405" s="794"/>
      <c r="AE405" s="794"/>
    </row>
    <row r="406" spans="1:49" ht="15" customHeight="1">
      <c r="A406" s="176"/>
      <c r="B406" s="1087" t="str">
        <f>IF(COUNTIF(M385:AD398,"NS")&lt;&gt;0,"Alerta: debido a que cuenta con registros NS, debe proporcionar una justificación en el area de comentarios al final de la pregunta","")</f>
        <v/>
      </c>
      <c r="C406" s="1087"/>
      <c r="D406" s="1087"/>
      <c r="E406" s="1087"/>
      <c r="F406" s="1087"/>
      <c r="G406" s="1087"/>
      <c r="H406" s="1087"/>
      <c r="I406" s="1087"/>
      <c r="J406" s="1087"/>
      <c r="K406" s="1087"/>
      <c r="L406" s="1087"/>
      <c r="M406" s="1087"/>
      <c r="N406" s="1087"/>
      <c r="O406" s="1087"/>
      <c r="P406" s="1087"/>
      <c r="Q406" s="1087"/>
      <c r="R406" s="1087"/>
      <c r="S406" s="1087"/>
      <c r="T406" s="1087"/>
      <c r="U406" s="1087"/>
      <c r="V406" s="1087"/>
      <c r="W406" s="1087"/>
      <c r="X406" s="1087"/>
      <c r="Y406" s="1087"/>
      <c r="Z406" s="1087"/>
      <c r="AA406" s="1087"/>
      <c r="AB406" s="1087"/>
      <c r="AC406" s="1087"/>
      <c r="AD406" s="1087"/>
      <c r="AE406" s="1087"/>
    </row>
    <row r="407" spans="1:49" ht="15" customHeight="1">
      <c r="A407" s="185"/>
      <c r="B407" s="1003" t="str">
        <f>IF(AH386&gt;0,"Revise la información capturada, ya que tiene datos ingresados en celdas que están sombreadas","")</f>
        <v/>
      </c>
      <c r="C407" s="1003"/>
      <c r="D407" s="1003"/>
      <c r="E407" s="1003"/>
      <c r="F407" s="1003"/>
      <c r="G407" s="1003"/>
      <c r="H407" s="1003"/>
      <c r="I407" s="1003"/>
      <c r="J407" s="1003"/>
      <c r="K407" s="1003"/>
      <c r="L407" s="1003"/>
      <c r="M407" s="1003"/>
      <c r="N407" s="1003"/>
      <c r="O407" s="1003"/>
      <c r="P407" s="1003"/>
      <c r="Q407" s="1003"/>
      <c r="R407" s="1003"/>
      <c r="S407" s="1003"/>
      <c r="T407" s="1003"/>
      <c r="U407" s="1003"/>
      <c r="V407" s="1003"/>
      <c r="W407" s="1003"/>
      <c r="X407" s="1003"/>
      <c r="Y407" s="1003"/>
      <c r="Z407" s="1003"/>
      <c r="AA407" s="1003"/>
      <c r="AB407" s="1003"/>
      <c r="AC407" s="1003"/>
      <c r="AD407" s="1003"/>
      <c r="AE407" s="1003"/>
    </row>
    <row r="408" spans="1:49" ht="15" customHeight="1">
      <c r="A408" s="176"/>
      <c r="B408" s="1003" t="str">
        <f>IF(AK399&gt;0,"Favor de revisar la suma y consistencia de totales y/o subtotales por filas (numéricos y NS)","")</f>
        <v/>
      </c>
      <c r="C408" s="1003"/>
      <c r="D408" s="1003"/>
      <c r="E408" s="1003"/>
      <c r="F408" s="1003"/>
      <c r="G408" s="1003"/>
      <c r="H408" s="1003"/>
      <c r="I408" s="1003"/>
      <c r="J408" s="1003"/>
      <c r="K408" s="1003"/>
      <c r="L408" s="1003"/>
      <c r="M408" s="1003"/>
      <c r="N408" s="1003"/>
      <c r="O408" s="1003"/>
      <c r="P408" s="1003"/>
      <c r="Q408" s="1003"/>
      <c r="R408" s="1003"/>
      <c r="S408" s="1003"/>
      <c r="T408" s="1003"/>
      <c r="U408" s="1003"/>
      <c r="V408" s="1003"/>
      <c r="W408" s="1003"/>
      <c r="X408" s="1003"/>
      <c r="Y408" s="1003"/>
      <c r="Z408" s="1003"/>
      <c r="AA408" s="1003"/>
      <c r="AB408" s="1003"/>
      <c r="AC408" s="1003"/>
      <c r="AD408" s="1003"/>
      <c r="AE408" s="1003"/>
    </row>
    <row r="409" spans="1:49" ht="15" customHeight="1">
      <c r="A409" s="176"/>
      <c r="B409" s="794" t="str">
        <f>IF(AQ386&gt;0,"Favor de revisar la instrucción 3, debido a que no se cumplen con los criterios mencionados","")</f>
        <v/>
      </c>
      <c r="C409" s="794"/>
      <c r="D409" s="794"/>
      <c r="E409" s="794"/>
      <c r="F409" s="794"/>
      <c r="G409" s="794"/>
      <c r="H409" s="794"/>
      <c r="I409" s="794"/>
      <c r="J409" s="794"/>
      <c r="K409" s="794"/>
      <c r="L409" s="794"/>
      <c r="M409" s="794"/>
      <c r="N409" s="794"/>
      <c r="O409" s="794"/>
      <c r="P409" s="794"/>
      <c r="Q409" s="794"/>
      <c r="R409" s="794"/>
      <c r="S409" s="794"/>
      <c r="T409" s="794"/>
      <c r="U409" s="794"/>
      <c r="V409" s="794"/>
      <c r="W409" s="794"/>
      <c r="X409" s="794"/>
      <c r="Y409" s="794"/>
      <c r="Z409" s="794"/>
      <c r="AA409" s="794"/>
      <c r="AB409" s="794"/>
      <c r="AC409" s="794"/>
      <c r="AD409" s="794"/>
      <c r="AE409" s="794"/>
    </row>
    <row r="410" spans="1:49" ht="15" customHeight="1">
      <c r="A410" s="176"/>
      <c r="B410" s="795" t="str">
        <f>IF(AN399&gt;0,"Alerta: debe de proporcionar una justificación de acuerdo a lo establecido en la instrucción 4","")</f>
        <v/>
      </c>
      <c r="C410" s="795"/>
      <c r="D410" s="795"/>
      <c r="E410" s="795"/>
      <c r="F410" s="795"/>
      <c r="G410" s="795"/>
      <c r="H410" s="795"/>
      <c r="I410" s="795"/>
      <c r="J410" s="795"/>
      <c r="K410" s="795"/>
      <c r="L410" s="795"/>
      <c r="M410" s="795"/>
      <c r="N410" s="795"/>
      <c r="O410" s="795"/>
      <c r="P410" s="795"/>
      <c r="Q410" s="795"/>
      <c r="R410" s="795"/>
      <c r="S410" s="795"/>
      <c r="T410" s="795"/>
      <c r="U410" s="795"/>
      <c r="V410" s="795"/>
      <c r="W410" s="795"/>
      <c r="X410" s="795"/>
      <c r="Y410" s="795"/>
      <c r="Z410" s="795"/>
      <c r="AA410" s="795"/>
      <c r="AB410" s="795"/>
      <c r="AC410" s="795"/>
      <c r="AD410" s="795"/>
      <c r="AE410" s="795"/>
    </row>
    <row r="411" spans="1:49" ht="36" customHeight="1">
      <c r="A411" s="49" t="s">
        <v>4696</v>
      </c>
      <c r="B411" s="829" t="s">
        <v>4697</v>
      </c>
      <c r="C411" s="829"/>
      <c r="D411" s="829"/>
      <c r="E411" s="829"/>
      <c r="F411" s="829"/>
      <c r="G411" s="829"/>
      <c r="H411" s="829"/>
      <c r="I411" s="829"/>
      <c r="J411" s="829"/>
      <c r="K411" s="829"/>
      <c r="L411" s="829"/>
      <c r="M411" s="829"/>
      <c r="N411" s="829"/>
      <c r="O411" s="829"/>
      <c r="P411" s="829"/>
      <c r="Q411" s="829"/>
      <c r="R411" s="829"/>
      <c r="S411" s="829"/>
      <c r="T411" s="829"/>
      <c r="U411" s="829"/>
      <c r="V411" s="829"/>
      <c r="W411" s="829"/>
      <c r="X411" s="829"/>
      <c r="Y411" s="829"/>
      <c r="Z411" s="829"/>
      <c r="AA411" s="829"/>
      <c r="AB411" s="829"/>
      <c r="AC411" s="829"/>
      <c r="AD411" s="829"/>
    </row>
    <row r="412" spans="1:49" ht="15" customHeight="1">
      <c r="A412" s="176"/>
      <c r="B412" s="57"/>
      <c r="C412" s="57"/>
      <c r="D412" s="57"/>
      <c r="E412" s="57"/>
      <c r="F412" s="57"/>
      <c r="G412" s="57"/>
      <c r="H412" s="57"/>
      <c r="I412" s="57"/>
      <c r="J412" s="57"/>
      <c r="K412" s="57"/>
      <c r="L412" s="57"/>
      <c r="M412" s="57"/>
      <c r="N412" s="57"/>
      <c r="O412" s="57"/>
      <c r="P412" s="57"/>
      <c r="Q412" s="57"/>
      <c r="R412" s="57"/>
      <c r="S412" s="57"/>
      <c r="T412" s="57"/>
      <c r="U412" s="57"/>
      <c r="V412" s="57"/>
      <c r="W412" s="57"/>
      <c r="X412" s="57"/>
      <c r="Y412" s="57"/>
      <c r="Z412" s="57"/>
      <c r="AA412" s="57"/>
      <c r="AB412" s="57"/>
      <c r="AC412" s="57"/>
      <c r="AD412" s="57"/>
    </row>
    <row r="413" spans="1:49" ht="36" customHeight="1">
      <c r="A413" s="108"/>
      <c r="B413" s="38"/>
      <c r="C413" s="797" t="s">
        <v>2581</v>
      </c>
      <c r="D413" s="798"/>
      <c r="E413" s="798"/>
      <c r="F413" s="798"/>
      <c r="G413" s="798"/>
      <c r="H413" s="798"/>
      <c r="I413" s="798"/>
      <c r="J413" s="798"/>
      <c r="K413" s="798"/>
      <c r="L413" s="798"/>
      <c r="M413" s="798"/>
      <c r="N413" s="798"/>
      <c r="O413" s="798"/>
      <c r="P413" s="798"/>
      <c r="Q413" s="798"/>
      <c r="R413" s="799"/>
      <c r="S413" s="739" t="s">
        <v>4698</v>
      </c>
      <c r="T413" s="740"/>
      <c r="U413" s="740"/>
      <c r="V413" s="740"/>
      <c r="W413" s="740"/>
      <c r="X413" s="740"/>
      <c r="Y413" s="740"/>
      <c r="Z413" s="740"/>
      <c r="AA413" s="740"/>
      <c r="AB413" s="740"/>
      <c r="AC413" s="740"/>
      <c r="AD413" s="741"/>
    </row>
    <row r="414" spans="1:49" ht="48" customHeight="1">
      <c r="A414" s="108"/>
      <c r="B414" s="38"/>
      <c r="C414" s="800"/>
      <c r="D414" s="801"/>
      <c r="E414" s="801"/>
      <c r="F414" s="801"/>
      <c r="G414" s="801"/>
      <c r="H414" s="801"/>
      <c r="I414" s="801"/>
      <c r="J414" s="801"/>
      <c r="K414" s="801"/>
      <c r="L414" s="801"/>
      <c r="M414" s="801"/>
      <c r="N414" s="801"/>
      <c r="O414" s="801"/>
      <c r="P414" s="801"/>
      <c r="Q414" s="801"/>
      <c r="R414" s="802"/>
      <c r="S414" s="887" t="s">
        <v>2628</v>
      </c>
      <c r="T414" s="889" t="s">
        <v>2629</v>
      </c>
      <c r="U414" s="889" t="s">
        <v>2630</v>
      </c>
      <c r="V414" s="733" t="s">
        <v>4699</v>
      </c>
      <c r="W414" s="734"/>
      <c r="X414" s="735"/>
      <c r="Y414" s="733" t="s">
        <v>4700</v>
      </c>
      <c r="Z414" s="734"/>
      <c r="AA414" s="735"/>
      <c r="AB414" s="733" t="s">
        <v>201</v>
      </c>
      <c r="AC414" s="734"/>
      <c r="AD414" s="735"/>
    </row>
    <row r="415" spans="1:49" ht="48" customHeight="1">
      <c r="A415" s="108"/>
      <c r="B415" s="38"/>
      <c r="C415" s="803"/>
      <c r="D415" s="804"/>
      <c r="E415" s="804"/>
      <c r="F415" s="804"/>
      <c r="G415" s="804"/>
      <c r="H415" s="804"/>
      <c r="I415" s="804"/>
      <c r="J415" s="804"/>
      <c r="K415" s="804"/>
      <c r="L415" s="804"/>
      <c r="M415" s="804"/>
      <c r="N415" s="804"/>
      <c r="O415" s="804"/>
      <c r="P415" s="804"/>
      <c r="Q415" s="804"/>
      <c r="R415" s="805"/>
      <c r="S415" s="888"/>
      <c r="T415" s="890"/>
      <c r="U415" s="890"/>
      <c r="V415" s="171" t="s">
        <v>2635</v>
      </c>
      <c r="W415" s="128" t="s">
        <v>2629</v>
      </c>
      <c r="X415" s="128" t="s">
        <v>2630</v>
      </c>
      <c r="Y415" s="171" t="s">
        <v>2635</v>
      </c>
      <c r="Z415" s="128" t="s">
        <v>2629</v>
      </c>
      <c r="AA415" s="128" t="s">
        <v>2630</v>
      </c>
      <c r="AB415" s="171" t="s">
        <v>2635</v>
      </c>
      <c r="AC415" s="128" t="s">
        <v>2629</v>
      </c>
      <c r="AD415" s="128" t="s">
        <v>2630</v>
      </c>
      <c r="AG415" t="s">
        <v>2586</v>
      </c>
      <c r="AH415" t="s">
        <v>4581</v>
      </c>
      <c r="AK415" t="s">
        <v>4573</v>
      </c>
      <c r="AL415" t="s">
        <v>2638</v>
      </c>
      <c r="AM415" t="s">
        <v>2639</v>
      </c>
      <c r="AN415" t="s">
        <v>4574</v>
      </c>
      <c r="AO415" t="s">
        <v>2641</v>
      </c>
      <c r="AP415" t="s">
        <v>2642</v>
      </c>
      <c r="AQ415" t="s">
        <v>4575</v>
      </c>
      <c r="AR415" t="s">
        <v>2644</v>
      </c>
      <c r="AS415" t="s">
        <v>2645</v>
      </c>
      <c r="AT415" t="s">
        <v>4576</v>
      </c>
      <c r="AU415" t="s">
        <v>2647</v>
      </c>
      <c r="AV415" t="s">
        <v>2648</v>
      </c>
      <c r="AW415" t="s">
        <v>4582</v>
      </c>
    </row>
    <row r="416" spans="1:49" ht="15" customHeight="1">
      <c r="A416" s="108"/>
      <c r="B416" s="38"/>
      <c r="C416" s="97" t="s">
        <v>2516</v>
      </c>
      <c r="D416" s="813" t="str">
        <f>IF(CNSIPEE_2024_M2_Secc1!D42="","",CNSIPEE_2024_M2_Secc1!D42)</f>
        <v/>
      </c>
      <c r="E416" s="814"/>
      <c r="F416" s="814"/>
      <c r="G416" s="814"/>
      <c r="H416" s="814"/>
      <c r="I416" s="814"/>
      <c r="J416" s="814"/>
      <c r="K416" s="814"/>
      <c r="L416" s="814"/>
      <c r="M416" s="814"/>
      <c r="N416" s="814"/>
      <c r="O416" s="814"/>
      <c r="P416" s="814"/>
      <c r="Q416" s="814"/>
      <c r="R416" s="815"/>
      <c r="S416" s="100"/>
      <c r="T416" s="100"/>
      <c r="U416" s="100"/>
      <c r="V416" s="100"/>
      <c r="W416" s="100"/>
      <c r="X416" s="100"/>
      <c r="Y416" s="100"/>
      <c r="Z416" s="100"/>
      <c r="AA416" s="100"/>
      <c r="AB416" s="100"/>
      <c r="AC416" s="100"/>
      <c r="AD416" s="100"/>
      <c r="AG416">
        <f>IF(OR($M63=0,$M63="NS",$M63="NA"),0,IF(OR(COUNTBLANK(D416:AD416)=14,COUNTBLANK(D416:AD416)=27),0,1))</f>
        <v>0</v>
      </c>
      <c r="AH416">
        <f>IF(OR($M63=0,$M63="NS",$M63="NA"),IF(COUNTBLANK(S416:AD416)=12,0,1),0)</f>
        <v>0</v>
      </c>
      <c r="AK416">
        <f t="shared" ref="AK416" si="205">COUNTIF(T416:U416,"NS")</f>
        <v>0</v>
      </c>
      <c r="AL416">
        <f t="shared" ref="AL416" si="206">SUM(T416:U416)</f>
        <v>0</v>
      </c>
      <c r="AM416">
        <f t="shared" ref="AM416" si="207">IF(COUNTIF(S416:U416,"NA")=3,0,IF(COUNTA(S416:U416)=0,0,IF(OR(AND(S416=0,AK416&gt;0),AND(S416="ns",AL416&gt;0),AND(S416="ns",AK416=0,AL416=0)),1,IF(OR(AND(S416&gt;0,AK416=2),AND(S416="ns",AK416=2),AND(S416="ns",AL416=0,AK416&gt;0),S416=AL416),0,1))))</f>
        <v>0</v>
      </c>
      <c r="AN416">
        <f t="shared" ref="AN416" si="208">COUNTIF(W416:X416,"NS")</f>
        <v>0</v>
      </c>
      <c r="AO416">
        <f t="shared" ref="AO416" si="209">SUM(W416:X416)</f>
        <v>0</v>
      </c>
      <c r="AP416">
        <f t="shared" ref="AP416" si="210">IF(COUNTIF(V416:X416,"NA")=3,0,IF(COUNTA(V416:X416)=0,0,IF(OR(AND(V416=0,AN416&gt;0),AND(V416="ns",AO416&gt;0),AND(V416="ns",AN416=0,AO416=0)),1,IF(OR(AND(V416&gt;0,AN416=2),AND(V416="ns",AN416=2),AND(V416="ns",AO416=0,AN416&gt;0),V416=AO416),0,1))))</f>
        <v>0</v>
      </c>
      <c r="AQ416">
        <f t="shared" ref="AQ416" si="211">COUNTIF(Z416:AA416,"NS")</f>
        <v>0</v>
      </c>
      <c r="AR416">
        <f t="shared" ref="AR416" si="212">SUM(Z416:AA416)</f>
        <v>0</v>
      </c>
      <c r="AS416">
        <f t="shared" ref="AS416" si="213">IF(COUNTIF(Y416:AA416,"NA")=3,0,IF(COUNTA(Y416:AA416)=0,0,IF(OR(AND(Y416=0,AQ416&gt;0),AND(Y416="ns",AR416&gt;0),AND(Y416="ns",AQ416=0,AR416=0)),1,IF(OR(AND(Y416&gt;0,AQ416=2),AND(Y416="ns",AQ416=2),AND(Y416="ns",AR416=0,AQ416&gt;0),Y416=AR416),0,1))))</f>
        <v>0</v>
      </c>
      <c r="AT416">
        <f t="shared" ref="AT416" si="214">COUNTIF(AC416:AD416,"NS")</f>
        <v>0</v>
      </c>
      <c r="AU416">
        <f t="shared" ref="AU416" si="215">SUM(AC416:AD416)</f>
        <v>0</v>
      </c>
      <c r="AV416">
        <f t="shared" ref="AV416" si="216">IF(COUNTIF(AB416:AD416,"NA")=3,0,IF(COUNTA(AB416:AD416)=0,0,IF(OR(AND(AB416=0,AT416&gt;0),AND(AB416="ns",AU416&gt;0),AND(AB416="ns",AT416=0,AU416=0)),1,IF(OR(AND(AB416&gt;0,AT416=2),AND(AB416="ns",AT416=2),AND(AB416="ns",AU416=0,AT416&gt;0),AB416=AU416),0,1))))</f>
        <v>0</v>
      </c>
      <c r="AW416">
        <f>IF(OR($M63=0,$M63="NS",$M63="NA"),0,IF(AND(M63=S416,S63=T416,Y63=U416),0,1))</f>
        <v>0</v>
      </c>
    </row>
    <row r="417" spans="1:49" ht="15" customHeight="1">
      <c r="A417" s="108"/>
      <c r="B417" s="38"/>
      <c r="C417" s="98" t="s">
        <v>2517</v>
      </c>
      <c r="D417" s="813" t="str">
        <f>IF(CNSIPEE_2024_M2_Secc1!D43="","",CNSIPEE_2024_M2_Secc1!D43)</f>
        <v/>
      </c>
      <c r="E417" s="814"/>
      <c r="F417" s="814"/>
      <c r="G417" s="814"/>
      <c r="H417" s="814"/>
      <c r="I417" s="814"/>
      <c r="J417" s="814"/>
      <c r="K417" s="814"/>
      <c r="L417" s="814"/>
      <c r="M417" s="814"/>
      <c r="N417" s="814"/>
      <c r="O417" s="814"/>
      <c r="P417" s="814"/>
      <c r="Q417" s="814"/>
      <c r="R417" s="815"/>
      <c r="S417" s="100"/>
      <c r="T417" s="100"/>
      <c r="U417" s="100"/>
      <c r="V417" s="100"/>
      <c r="W417" s="100"/>
      <c r="X417" s="100"/>
      <c r="Y417" s="100"/>
      <c r="Z417" s="100"/>
      <c r="AA417" s="100"/>
      <c r="AB417" s="100"/>
      <c r="AC417" s="100"/>
      <c r="AD417" s="100"/>
      <c r="AG417">
        <f t="shared" ref="AG417:AG423" si="217">IF(OR($M64=0,$M64="NS",$M64="NA"),0,IF(OR(COUNTBLANK(D417:AD417)=14,COUNTBLANK(D417:AD417)=27),0,1))</f>
        <v>0</v>
      </c>
      <c r="AH417">
        <f t="shared" ref="AH417:AH423" si="218">IF(OR($M64=0,$M64="NS",$M64="NA"),IF(COUNTBLANK(S417:AD417)=12,0,1),0)</f>
        <v>0</v>
      </c>
      <c r="AK417">
        <f t="shared" ref="AK417:AK423" si="219">COUNTIF(T417:U417,"NS")</f>
        <v>0</v>
      </c>
      <c r="AL417">
        <f t="shared" ref="AL417:AL423" si="220">SUM(T417:U417)</f>
        <v>0</v>
      </c>
      <c r="AM417">
        <f t="shared" ref="AM417:AM423" si="221">IF(COUNTIF(S417:U417,"NA")=3,0,IF(COUNTA(S417:U417)=0,0,IF(OR(AND(S417=0,AK417&gt;0),AND(S417="ns",AL417&gt;0),AND(S417="ns",AK417=0,AL417=0)),1,IF(OR(AND(S417&gt;0,AK417=2),AND(S417="ns",AK417=2),AND(S417="ns",AL417=0,AK417&gt;0),S417=AL417),0,1))))</f>
        <v>0</v>
      </c>
      <c r="AN417">
        <f t="shared" ref="AN417:AN423" si="222">COUNTIF(W417:X417,"NS")</f>
        <v>0</v>
      </c>
      <c r="AO417">
        <f t="shared" ref="AO417:AO423" si="223">SUM(W417:X417)</f>
        <v>0</v>
      </c>
      <c r="AP417">
        <f t="shared" ref="AP417:AP423" si="224">IF(COUNTIF(V417:X417,"NA")=3,0,IF(COUNTA(V417:X417)=0,0,IF(OR(AND(V417=0,AN417&gt;0),AND(V417="ns",AO417&gt;0),AND(V417="ns",AN417=0,AO417=0)),1,IF(OR(AND(V417&gt;0,AN417=2),AND(V417="ns",AN417=2),AND(V417="ns",AO417=0,AN417&gt;0),V417=AO417),0,1))))</f>
        <v>0</v>
      </c>
      <c r="AQ417">
        <f t="shared" ref="AQ417:AQ423" si="225">COUNTIF(Z417:AA417,"NS")</f>
        <v>0</v>
      </c>
      <c r="AR417">
        <f t="shared" ref="AR417:AR423" si="226">SUM(Z417:AA417)</f>
        <v>0</v>
      </c>
      <c r="AS417">
        <f t="shared" ref="AS417:AS423" si="227">IF(COUNTIF(Y417:AA417,"NA")=3,0,IF(COUNTA(Y417:AA417)=0,0,IF(OR(AND(Y417=0,AQ417&gt;0),AND(Y417="ns",AR417&gt;0),AND(Y417="ns",AQ417=0,AR417=0)),1,IF(OR(AND(Y417&gt;0,AQ417=2),AND(Y417="ns",AQ417=2),AND(Y417="ns",AR417=0,AQ417&gt;0),Y417=AR417),0,1))))</f>
        <v>0</v>
      </c>
      <c r="AT417">
        <f t="shared" ref="AT417:AT423" si="228">COUNTIF(AC417:AD417,"NS")</f>
        <v>0</v>
      </c>
      <c r="AU417">
        <f t="shared" ref="AU417:AU423" si="229">SUM(AC417:AD417)</f>
        <v>0</v>
      </c>
      <c r="AV417">
        <f t="shared" ref="AV417:AV423" si="230">IF(COUNTIF(AB417:AD417,"NA")=3,0,IF(COUNTA(AB417:AD417)=0,0,IF(OR(AND(AB417=0,AT417&gt;0),AND(AB417="ns",AU417&gt;0),AND(AB417="ns",AT417=0,AU417=0)),1,IF(OR(AND(AB417&gt;0,AT417=2),AND(AB417="ns",AT417=2),AND(AB417="ns",AU417=0,AT417&gt;0),AB417=AU417),0,1))))</f>
        <v>0</v>
      </c>
      <c r="AW417">
        <f t="shared" ref="AW417:AW423" si="231">IF(OR($M64=0,$M64="NS",$M64="NA"),0,IF(AND(M64=S417,S64=T417,Y64=U417),0,1))</f>
        <v>0</v>
      </c>
    </row>
    <row r="418" spans="1:49" ht="15" customHeight="1">
      <c r="A418" s="186"/>
      <c r="B418" s="57"/>
      <c r="C418" s="98" t="s">
        <v>2518</v>
      </c>
      <c r="D418" s="813" t="str">
        <f>IF(CNSIPEE_2024_M2_Secc1!D44="","",CNSIPEE_2024_M2_Secc1!D44)</f>
        <v/>
      </c>
      <c r="E418" s="814"/>
      <c r="F418" s="814"/>
      <c r="G418" s="814"/>
      <c r="H418" s="814"/>
      <c r="I418" s="814"/>
      <c r="J418" s="814"/>
      <c r="K418" s="814"/>
      <c r="L418" s="814"/>
      <c r="M418" s="814"/>
      <c r="N418" s="814"/>
      <c r="O418" s="814"/>
      <c r="P418" s="814"/>
      <c r="Q418" s="814"/>
      <c r="R418" s="815"/>
      <c r="S418" s="100"/>
      <c r="T418" s="100"/>
      <c r="U418" s="100"/>
      <c r="V418" s="100"/>
      <c r="W418" s="100"/>
      <c r="X418" s="100"/>
      <c r="Y418" s="100"/>
      <c r="Z418" s="100"/>
      <c r="AA418" s="100"/>
      <c r="AB418" s="100"/>
      <c r="AC418" s="100"/>
      <c r="AD418" s="100"/>
      <c r="AG418">
        <f t="shared" si="217"/>
        <v>0</v>
      </c>
      <c r="AH418">
        <f t="shared" si="218"/>
        <v>0</v>
      </c>
      <c r="AK418">
        <f t="shared" si="219"/>
        <v>0</v>
      </c>
      <c r="AL418">
        <f t="shared" si="220"/>
        <v>0</v>
      </c>
      <c r="AM418">
        <f t="shared" si="221"/>
        <v>0</v>
      </c>
      <c r="AN418">
        <f t="shared" si="222"/>
        <v>0</v>
      </c>
      <c r="AO418">
        <f t="shared" si="223"/>
        <v>0</v>
      </c>
      <c r="AP418">
        <f t="shared" si="224"/>
        <v>0</v>
      </c>
      <c r="AQ418">
        <f t="shared" si="225"/>
        <v>0</v>
      </c>
      <c r="AR418">
        <f t="shared" si="226"/>
        <v>0</v>
      </c>
      <c r="AS418">
        <f t="shared" si="227"/>
        <v>0</v>
      </c>
      <c r="AT418">
        <f t="shared" si="228"/>
        <v>0</v>
      </c>
      <c r="AU418">
        <f t="shared" si="229"/>
        <v>0</v>
      </c>
      <c r="AV418">
        <f t="shared" si="230"/>
        <v>0</v>
      </c>
      <c r="AW418">
        <f t="shared" si="231"/>
        <v>0</v>
      </c>
    </row>
    <row r="419" spans="1:49" ht="15" customHeight="1">
      <c r="A419" s="186"/>
      <c r="B419" s="57"/>
      <c r="C419" s="98" t="s">
        <v>2519</v>
      </c>
      <c r="D419" s="813" t="str">
        <f>IF(CNSIPEE_2024_M2_Secc1!D45="","",CNSIPEE_2024_M2_Secc1!D45)</f>
        <v/>
      </c>
      <c r="E419" s="814"/>
      <c r="F419" s="814"/>
      <c r="G419" s="814"/>
      <c r="H419" s="814"/>
      <c r="I419" s="814"/>
      <c r="J419" s="814"/>
      <c r="K419" s="814"/>
      <c r="L419" s="814"/>
      <c r="M419" s="814"/>
      <c r="N419" s="814"/>
      <c r="O419" s="814"/>
      <c r="P419" s="814"/>
      <c r="Q419" s="814"/>
      <c r="R419" s="815"/>
      <c r="S419" s="100"/>
      <c r="T419" s="100"/>
      <c r="U419" s="100"/>
      <c r="V419" s="100"/>
      <c r="W419" s="100"/>
      <c r="X419" s="100"/>
      <c r="Y419" s="100"/>
      <c r="Z419" s="100"/>
      <c r="AA419" s="100"/>
      <c r="AB419" s="100"/>
      <c r="AC419" s="100"/>
      <c r="AD419" s="100"/>
      <c r="AG419">
        <f t="shared" si="217"/>
        <v>0</v>
      </c>
      <c r="AH419">
        <f t="shared" si="218"/>
        <v>0</v>
      </c>
      <c r="AK419">
        <f t="shared" si="219"/>
        <v>0</v>
      </c>
      <c r="AL419">
        <f t="shared" si="220"/>
        <v>0</v>
      </c>
      <c r="AM419">
        <f t="shared" si="221"/>
        <v>0</v>
      </c>
      <c r="AN419">
        <f t="shared" si="222"/>
        <v>0</v>
      </c>
      <c r="AO419">
        <f t="shared" si="223"/>
        <v>0</v>
      </c>
      <c r="AP419">
        <f t="shared" si="224"/>
        <v>0</v>
      </c>
      <c r="AQ419">
        <f t="shared" si="225"/>
        <v>0</v>
      </c>
      <c r="AR419">
        <f t="shared" si="226"/>
        <v>0</v>
      </c>
      <c r="AS419">
        <f t="shared" si="227"/>
        <v>0</v>
      </c>
      <c r="AT419">
        <f t="shared" si="228"/>
        <v>0</v>
      </c>
      <c r="AU419">
        <f t="shared" si="229"/>
        <v>0</v>
      </c>
      <c r="AV419">
        <f t="shared" si="230"/>
        <v>0</v>
      </c>
      <c r="AW419">
        <f t="shared" si="231"/>
        <v>0</v>
      </c>
    </row>
    <row r="420" spans="1:49" ht="15" customHeight="1">
      <c r="A420" s="186"/>
      <c r="B420" s="57"/>
      <c r="C420" s="98" t="s">
        <v>2520</v>
      </c>
      <c r="D420" s="813" t="str">
        <f>IF(CNSIPEE_2024_M2_Secc1!D46="","",CNSIPEE_2024_M2_Secc1!D46)</f>
        <v/>
      </c>
      <c r="E420" s="814"/>
      <c r="F420" s="814"/>
      <c r="G420" s="814"/>
      <c r="H420" s="814"/>
      <c r="I420" s="814"/>
      <c r="J420" s="814"/>
      <c r="K420" s="814"/>
      <c r="L420" s="814"/>
      <c r="M420" s="814"/>
      <c r="N420" s="814"/>
      <c r="O420" s="814"/>
      <c r="P420" s="814"/>
      <c r="Q420" s="814"/>
      <c r="R420" s="815"/>
      <c r="S420" s="100"/>
      <c r="T420" s="100"/>
      <c r="U420" s="100"/>
      <c r="V420" s="100"/>
      <c r="W420" s="100"/>
      <c r="X420" s="100"/>
      <c r="Y420" s="100"/>
      <c r="Z420" s="100"/>
      <c r="AA420" s="100"/>
      <c r="AB420" s="100"/>
      <c r="AC420" s="100"/>
      <c r="AD420" s="100"/>
      <c r="AG420">
        <f t="shared" si="217"/>
        <v>0</v>
      </c>
      <c r="AH420">
        <f t="shared" si="218"/>
        <v>0</v>
      </c>
      <c r="AK420">
        <f t="shared" si="219"/>
        <v>0</v>
      </c>
      <c r="AL420">
        <f t="shared" si="220"/>
        <v>0</v>
      </c>
      <c r="AM420">
        <f t="shared" si="221"/>
        <v>0</v>
      </c>
      <c r="AN420">
        <f t="shared" si="222"/>
        <v>0</v>
      </c>
      <c r="AO420">
        <f t="shared" si="223"/>
        <v>0</v>
      </c>
      <c r="AP420">
        <f t="shared" si="224"/>
        <v>0</v>
      </c>
      <c r="AQ420">
        <f t="shared" si="225"/>
        <v>0</v>
      </c>
      <c r="AR420">
        <f t="shared" si="226"/>
        <v>0</v>
      </c>
      <c r="AS420">
        <f t="shared" si="227"/>
        <v>0</v>
      </c>
      <c r="AT420">
        <f t="shared" si="228"/>
        <v>0</v>
      </c>
      <c r="AU420">
        <f t="shared" si="229"/>
        <v>0</v>
      </c>
      <c r="AV420">
        <f t="shared" si="230"/>
        <v>0</v>
      </c>
      <c r="AW420">
        <f t="shared" si="231"/>
        <v>0</v>
      </c>
    </row>
    <row r="421" spans="1:49" ht="15" customHeight="1">
      <c r="A421" s="186"/>
      <c r="B421" s="57"/>
      <c r="C421" s="98" t="s">
        <v>2521</v>
      </c>
      <c r="D421" s="813" t="str">
        <f>IF(CNSIPEE_2024_M2_Secc1!D47="","",CNSIPEE_2024_M2_Secc1!D47)</f>
        <v/>
      </c>
      <c r="E421" s="814"/>
      <c r="F421" s="814"/>
      <c r="G421" s="814"/>
      <c r="H421" s="814"/>
      <c r="I421" s="814"/>
      <c r="J421" s="814"/>
      <c r="K421" s="814"/>
      <c r="L421" s="814"/>
      <c r="M421" s="814"/>
      <c r="N421" s="814"/>
      <c r="O421" s="814"/>
      <c r="P421" s="814"/>
      <c r="Q421" s="814"/>
      <c r="R421" s="815"/>
      <c r="S421" s="100"/>
      <c r="T421" s="100"/>
      <c r="U421" s="100"/>
      <c r="V421" s="100"/>
      <c r="W421" s="100"/>
      <c r="X421" s="100"/>
      <c r="Y421" s="100"/>
      <c r="Z421" s="100"/>
      <c r="AA421" s="100"/>
      <c r="AB421" s="100"/>
      <c r="AC421" s="100"/>
      <c r="AD421" s="100"/>
      <c r="AG421">
        <f t="shared" si="217"/>
        <v>0</v>
      </c>
      <c r="AH421">
        <f t="shared" si="218"/>
        <v>0</v>
      </c>
      <c r="AK421">
        <f t="shared" si="219"/>
        <v>0</v>
      </c>
      <c r="AL421">
        <f t="shared" si="220"/>
        <v>0</v>
      </c>
      <c r="AM421">
        <f t="shared" si="221"/>
        <v>0</v>
      </c>
      <c r="AN421">
        <f t="shared" si="222"/>
        <v>0</v>
      </c>
      <c r="AO421">
        <f t="shared" si="223"/>
        <v>0</v>
      </c>
      <c r="AP421">
        <f t="shared" si="224"/>
        <v>0</v>
      </c>
      <c r="AQ421">
        <f t="shared" si="225"/>
        <v>0</v>
      </c>
      <c r="AR421">
        <f t="shared" si="226"/>
        <v>0</v>
      </c>
      <c r="AS421">
        <f t="shared" si="227"/>
        <v>0</v>
      </c>
      <c r="AT421">
        <f t="shared" si="228"/>
        <v>0</v>
      </c>
      <c r="AU421">
        <f t="shared" si="229"/>
        <v>0</v>
      </c>
      <c r="AV421">
        <f t="shared" si="230"/>
        <v>0</v>
      </c>
      <c r="AW421">
        <f t="shared" si="231"/>
        <v>0</v>
      </c>
    </row>
    <row r="422" spans="1:49" ht="15" customHeight="1">
      <c r="A422" s="186"/>
      <c r="B422" s="57"/>
      <c r="C422" s="98" t="s">
        <v>2522</v>
      </c>
      <c r="D422" s="813" t="str">
        <f>IF(CNSIPEE_2024_M2_Secc1!D48="","",CNSIPEE_2024_M2_Secc1!D48)</f>
        <v/>
      </c>
      <c r="E422" s="814"/>
      <c r="F422" s="814"/>
      <c r="G422" s="814"/>
      <c r="H422" s="814"/>
      <c r="I422" s="814"/>
      <c r="J422" s="814"/>
      <c r="K422" s="814"/>
      <c r="L422" s="814"/>
      <c r="M422" s="814"/>
      <c r="N422" s="814"/>
      <c r="O422" s="814"/>
      <c r="P422" s="814"/>
      <c r="Q422" s="814"/>
      <c r="R422" s="815"/>
      <c r="S422" s="100"/>
      <c r="T422" s="100"/>
      <c r="U422" s="100"/>
      <c r="V422" s="100"/>
      <c r="W422" s="100"/>
      <c r="X422" s="100"/>
      <c r="Y422" s="100"/>
      <c r="Z422" s="100"/>
      <c r="AA422" s="100"/>
      <c r="AB422" s="100"/>
      <c r="AC422" s="100"/>
      <c r="AD422" s="100"/>
      <c r="AG422">
        <f t="shared" si="217"/>
        <v>0</v>
      </c>
      <c r="AH422">
        <f t="shared" si="218"/>
        <v>0</v>
      </c>
      <c r="AK422">
        <f t="shared" si="219"/>
        <v>0</v>
      </c>
      <c r="AL422">
        <f t="shared" si="220"/>
        <v>0</v>
      </c>
      <c r="AM422">
        <f t="shared" si="221"/>
        <v>0</v>
      </c>
      <c r="AN422">
        <f t="shared" si="222"/>
        <v>0</v>
      </c>
      <c r="AO422">
        <f t="shared" si="223"/>
        <v>0</v>
      </c>
      <c r="AP422">
        <f t="shared" si="224"/>
        <v>0</v>
      </c>
      <c r="AQ422">
        <f t="shared" si="225"/>
        <v>0</v>
      </c>
      <c r="AR422">
        <f t="shared" si="226"/>
        <v>0</v>
      </c>
      <c r="AS422">
        <f t="shared" si="227"/>
        <v>0</v>
      </c>
      <c r="AT422">
        <f t="shared" si="228"/>
        <v>0</v>
      </c>
      <c r="AU422">
        <f t="shared" si="229"/>
        <v>0</v>
      </c>
      <c r="AV422">
        <f t="shared" si="230"/>
        <v>0</v>
      </c>
      <c r="AW422">
        <f t="shared" si="231"/>
        <v>0</v>
      </c>
    </row>
    <row r="423" spans="1:49" ht="15" customHeight="1">
      <c r="A423" s="186"/>
      <c r="B423" s="57"/>
      <c r="C423" s="98" t="s">
        <v>2523</v>
      </c>
      <c r="D423" s="813" t="str">
        <f>IF(CNSIPEE_2024_M2_Secc1!D49="","",CNSIPEE_2024_M2_Secc1!D49)</f>
        <v/>
      </c>
      <c r="E423" s="814"/>
      <c r="F423" s="814"/>
      <c r="G423" s="814"/>
      <c r="H423" s="814"/>
      <c r="I423" s="814"/>
      <c r="J423" s="814"/>
      <c r="K423" s="814"/>
      <c r="L423" s="814"/>
      <c r="M423" s="814"/>
      <c r="N423" s="814"/>
      <c r="O423" s="814"/>
      <c r="P423" s="814"/>
      <c r="Q423" s="814"/>
      <c r="R423" s="815"/>
      <c r="S423" s="100"/>
      <c r="T423" s="100"/>
      <c r="U423" s="100"/>
      <c r="V423" s="100"/>
      <c r="W423" s="100"/>
      <c r="X423" s="100"/>
      <c r="Y423" s="100"/>
      <c r="Z423" s="100"/>
      <c r="AA423" s="100"/>
      <c r="AB423" s="100"/>
      <c r="AC423" s="100"/>
      <c r="AD423" s="100"/>
      <c r="AG423">
        <f t="shared" si="217"/>
        <v>0</v>
      </c>
      <c r="AH423">
        <f t="shared" si="218"/>
        <v>0</v>
      </c>
      <c r="AK423">
        <f t="shared" si="219"/>
        <v>0</v>
      </c>
      <c r="AL423">
        <f t="shared" si="220"/>
        <v>0</v>
      </c>
      <c r="AM423">
        <f t="shared" si="221"/>
        <v>0</v>
      </c>
      <c r="AN423">
        <f t="shared" si="222"/>
        <v>0</v>
      </c>
      <c r="AO423">
        <f t="shared" si="223"/>
        <v>0</v>
      </c>
      <c r="AP423">
        <f t="shared" si="224"/>
        <v>0</v>
      </c>
      <c r="AQ423">
        <f t="shared" si="225"/>
        <v>0</v>
      </c>
      <c r="AR423">
        <f t="shared" si="226"/>
        <v>0</v>
      </c>
      <c r="AS423">
        <f t="shared" si="227"/>
        <v>0</v>
      </c>
      <c r="AT423">
        <f t="shared" si="228"/>
        <v>0</v>
      </c>
      <c r="AU423">
        <f t="shared" si="229"/>
        <v>0</v>
      </c>
      <c r="AV423">
        <f t="shared" si="230"/>
        <v>0</v>
      </c>
      <c r="AW423">
        <f t="shared" si="231"/>
        <v>0</v>
      </c>
    </row>
    <row r="424" spans="1:49" ht="15" customHeight="1">
      <c r="A424" s="186"/>
      <c r="B424" s="57"/>
      <c r="C424" s="70"/>
      <c r="D424" s="84"/>
      <c r="E424" s="84"/>
      <c r="F424" s="84"/>
      <c r="G424" s="84"/>
      <c r="H424" s="84"/>
      <c r="I424" s="84"/>
      <c r="J424" s="84"/>
      <c r="K424" s="84"/>
      <c r="L424" s="84"/>
      <c r="M424" s="84"/>
      <c r="N424" s="84"/>
      <c r="O424" s="84"/>
      <c r="P424" s="84"/>
      <c r="Q424" s="84"/>
      <c r="R424" s="117" t="s">
        <v>2649</v>
      </c>
      <c r="S424" s="124">
        <f t="shared" ref="S424:AD424" si="232">IF(AND(SUM(S416:S423)=0,COUNTIF(S416:S423,"NS")&gt;0),"NS",IF(AND(SUM(S416:S423)=0,COUNTIF(S416:S423,0)&gt;0),0,IF(AND(SUM(S416:S423)=0,COUNTIF(S416:S423,"NA")&gt;0),"NA",SUM(S416:S423))))</f>
        <v>0</v>
      </c>
      <c r="T424" s="124">
        <f t="shared" si="232"/>
        <v>0</v>
      </c>
      <c r="U424" s="124">
        <f t="shared" si="232"/>
        <v>0</v>
      </c>
      <c r="V424" s="124">
        <f t="shared" si="232"/>
        <v>0</v>
      </c>
      <c r="W424" s="124">
        <f t="shared" si="232"/>
        <v>0</v>
      </c>
      <c r="X424" s="124">
        <f t="shared" si="232"/>
        <v>0</v>
      </c>
      <c r="Y424" s="124">
        <f t="shared" si="232"/>
        <v>0</v>
      </c>
      <c r="Z424" s="124">
        <f t="shared" si="232"/>
        <v>0</v>
      </c>
      <c r="AA424" s="124">
        <f t="shared" si="232"/>
        <v>0</v>
      </c>
      <c r="AB424" s="124">
        <f t="shared" si="232"/>
        <v>0</v>
      </c>
      <c r="AC424" s="124">
        <f t="shared" si="232"/>
        <v>0</v>
      </c>
      <c r="AD424" s="124">
        <f t="shared" si="232"/>
        <v>0</v>
      </c>
      <c r="AG424" s="507">
        <f>SUM(AG416:AG423)</f>
        <v>0</v>
      </c>
      <c r="AH424" s="507">
        <f>SUM(AH416:AH423)</f>
        <v>0</v>
      </c>
      <c r="AK424">
        <f>SUM(AK416:AK423)</f>
        <v>0</v>
      </c>
      <c r="AM424">
        <f>SUM(AM416:AM423)</f>
        <v>0</v>
      </c>
      <c r="AN424">
        <f>SUM(AN416:AN423)</f>
        <v>0</v>
      </c>
      <c r="AP424">
        <f>SUM(AP416:AP423)</f>
        <v>0</v>
      </c>
      <c r="AQ424">
        <f>SUM(AQ416:AQ423)</f>
        <v>0</v>
      </c>
      <c r="AS424">
        <f>SUM(AS416:AS423)</f>
        <v>0</v>
      </c>
      <c r="AT424">
        <f>SUM(AT416:AT423)</f>
        <v>0</v>
      </c>
      <c r="AV424">
        <f>SUM(AV416:AV423)</f>
        <v>0</v>
      </c>
      <c r="AW424" s="506">
        <f>SUM(AW416:AW423)</f>
        <v>0</v>
      </c>
    </row>
    <row r="425" spans="1:49" ht="15" customHeight="1">
      <c r="A425" s="108"/>
      <c r="B425" s="38"/>
      <c r="C425" s="38"/>
      <c r="D425" s="38"/>
      <c r="E425" s="38"/>
      <c r="F425" s="38"/>
      <c r="G425" s="38"/>
      <c r="H425" s="38"/>
      <c r="I425" s="38"/>
      <c r="J425" s="38"/>
      <c r="K425" s="38"/>
      <c r="L425" s="117"/>
      <c r="M425" s="141"/>
      <c r="N425" s="141"/>
      <c r="O425" s="70"/>
      <c r="P425" s="70"/>
      <c r="Q425" s="70"/>
      <c r="R425" s="70"/>
      <c r="S425" s="141"/>
      <c r="T425" s="141"/>
      <c r="U425" s="70"/>
      <c r="V425" s="70"/>
      <c r="W425" s="141"/>
      <c r="X425" s="141"/>
      <c r="Y425" s="70"/>
      <c r="Z425" s="70"/>
      <c r="AA425" s="141"/>
      <c r="AB425" s="141"/>
      <c r="AC425" s="70"/>
      <c r="AD425" s="70"/>
      <c r="AG425" s="57"/>
      <c r="AH425" s="57"/>
      <c r="AI425" s="57"/>
      <c r="AJ425" s="57"/>
      <c r="AK425" t="s">
        <v>2650</v>
      </c>
      <c r="AL425" s="506">
        <f>SUM(AM424,AP424,AS424,AV424)</f>
        <v>0</v>
      </c>
      <c r="AM425" t="s">
        <v>2651</v>
      </c>
      <c r="AN425">
        <f>SUM(AK424,AN424,AQ424,AT424)</f>
        <v>0</v>
      </c>
      <c r="AO425" s="57"/>
      <c r="AP425" s="57"/>
      <c r="AQ425" s="57"/>
      <c r="AR425" s="57"/>
      <c r="AS425" s="57"/>
      <c r="AT425" s="57"/>
      <c r="AU425" s="57"/>
      <c r="AV425" s="57"/>
      <c r="AW425" s="57"/>
    </row>
    <row r="426" spans="1:49" ht="24" customHeight="1">
      <c r="A426" s="108"/>
      <c r="B426" s="38"/>
      <c r="C426" s="754" t="s">
        <v>2611</v>
      </c>
      <c r="D426" s="754"/>
      <c r="E426" s="754"/>
      <c r="F426" s="754"/>
      <c r="G426" s="754"/>
      <c r="H426" s="754"/>
      <c r="I426" s="754"/>
      <c r="J426" s="754"/>
      <c r="K426" s="754"/>
      <c r="L426" s="754"/>
      <c r="M426" s="754"/>
      <c r="N426" s="754"/>
      <c r="O426" s="754"/>
      <c r="P426" s="754"/>
      <c r="Q426" s="754"/>
      <c r="R426" s="754"/>
      <c r="S426" s="754"/>
      <c r="T426" s="754"/>
      <c r="U426" s="754"/>
      <c r="V426" s="754"/>
      <c r="W426" s="754"/>
      <c r="X426" s="754"/>
      <c r="Y426" s="754"/>
      <c r="Z426" s="754"/>
      <c r="AA426" s="754"/>
      <c r="AB426" s="754"/>
      <c r="AC426" s="754"/>
      <c r="AD426" s="754"/>
      <c r="AG426" s="38"/>
      <c r="AH426" s="38"/>
      <c r="AI426" s="57"/>
      <c r="AJ426" s="57"/>
      <c r="AK426" t="s">
        <v>2652</v>
      </c>
      <c r="AL426" s="507">
        <f>IF(AN425&gt;0,IF(SUM(S424)&gt;=SUM(V424,Y424,AB424),0,1),IF(SUM(S424)&lt;&gt;SUM(V424,Y424,AB424),1,0))</f>
        <v>0</v>
      </c>
      <c r="AM426" t="s">
        <v>2653</v>
      </c>
      <c r="AN426" s="507">
        <f>IF(AN425&gt;0,IF(SUM(T424)&gt;=SUM(W424,Z424,AC424),0,1),IF(SUM(T424)&lt;&gt;SUM(W424,Z424,AC424),1,0))</f>
        <v>0</v>
      </c>
      <c r="AO426" t="s">
        <v>2654</v>
      </c>
      <c r="AP426" s="507">
        <f>IF(AN425&gt;0,IF(SUM(U424)&gt;=SUM(X424,AA424,AD424),0,1),IF(SUM(U424)&lt;&gt;SUM(X424,AA424,AD424),1,0))</f>
        <v>0</v>
      </c>
      <c r="AQ426" s="57"/>
      <c r="AR426" s="57"/>
      <c r="AS426" s="57"/>
      <c r="AT426" s="57"/>
      <c r="AU426" s="57"/>
      <c r="AV426" s="57"/>
      <c r="AW426" s="57"/>
    </row>
    <row r="427" spans="1:49" ht="60" customHeight="1">
      <c r="A427" s="108"/>
      <c r="B427" s="38"/>
      <c r="C427" s="851"/>
      <c r="D427" s="851"/>
      <c r="E427" s="851"/>
      <c r="F427" s="851"/>
      <c r="G427" s="851"/>
      <c r="H427" s="851"/>
      <c r="I427" s="851"/>
      <c r="J427" s="851"/>
      <c r="K427" s="851"/>
      <c r="L427" s="851"/>
      <c r="M427" s="851"/>
      <c r="N427" s="851"/>
      <c r="O427" s="851"/>
      <c r="P427" s="851"/>
      <c r="Q427" s="851"/>
      <c r="R427" s="851"/>
      <c r="S427" s="851"/>
      <c r="T427" s="851"/>
      <c r="U427" s="851"/>
      <c r="V427" s="851"/>
      <c r="W427" s="851"/>
      <c r="X427" s="851"/>
      <c r="Y427" s="851"/>
      <c r="Z427" s="851"/>
      <c r="AA427" s="851"/>
      <c r="AB427" s="851"/>
      <c r="AC427" s="851"/>
      <c r="AD427" s="851"/>
    </row>
    <row r="428" spans="1:49" ht="15" customHeight="1">
      <c r="A428" s="176"/>
      <c r="B428" s="794" t="str">
        <f>IF(AG424=0,"","Favor de ingresar toda la información requerida en la pregunta")</f>
        <v/>
      </c>
      <c r="C428" s="794"/>
      <c r="D428" s="794"/>
      <c r="E428" s="794"/>
      <c r="F428" s="794"/>
      <c r="G428" s="794"/>
      <c r="H428" s="794"/>
      <c r="I428" s="794"/>
      <c r="J428" s="794"/>
      <c r="K428" s="794"/>
      <c r="L428" s="794"/>
      <c r="M428" s="794"/>
      <c r="N428" s="794"/>
      <c r="O428" s="794"/>
      <c r="P428" s="794"/>
      <c r="Q428" s="794"/>
      <c r="R428" s="794"/>
      <c r="S428" s="794"/>
      <c r="T428" s="794"/>
      <c r="U428" s="794"/>
      <c r="V428" s="794"/>
      <c r="W428" s="794"/>
      <c r="X428" s="794"/>
      <c r="Y428" s="794"/>
      <c r="Z428" s="794"/>
      <c r="AA428" s="794"/>
      <c r="AB428" s="794"/>
      <c r="AC428" s="794"/>
      <c r="AD428" s="794"/>
      <c r="AE428" s="794"/>
    </row>
    <row r="429" spans="1:49" ht="15" customHeight="1">
      <c r="A429" s="176"/>
      <c r="B429" s="1087" t="str">
        <f>IF(COUNTIF(S416:AD423,"NS")&lt;&gt;0,"Alerta: debido a que cuenta con registros NS, debe proporcionar una justificación en el area de comentarios al final de la pregunta","")</f>
        <v/>
      </c>
      <c r="C429" s="1087"/>
      <c r="D429" s="1087"/>
      <c r="E429" s="1087"/>
      <c r="F429" s="1087"/>
      <c r="G429" s="1087"/>
      <c r="H429" s="1087"/>
      <c r="I429" s="1087"/>
      <c r="J429" s="1087"/>
      <c r="K429" s="1087"/>
      <c r="L429" s="1087"/>
      <c r="M429" s="1087"/>
      <c r="N429" s="1087"/>
      <c r="O429" s="1087"/>
      <c r="P429" s="1087"/>
      <c r="Q429" s="1087"/>
      <c r="R429" s="1087"/>
      <c r="S429" s="1087"/>
      <c r="T429" s="1087"/>
      <c r="U429" s="1087"/>
      <c r="V429" s="1087"/>
      <c r="W429" s="1087"/>
      <c r="X429" s="1087"/>
      <c r="Y429" s="1087"/>
      <c r="Z429" s="1087"/>
      <c r="AA429" s="1087"/>
      <c r="AB429" s="1087"/>
      <c r="AC429" s="1087"/>
      <c r="AD429" s="1087"/>
      <c r="AE429" s="1087"/>
    </row>
    <row r="430" spans="1:49" ht="15" customHeight="1">
      <c r="A430" s="176"/>
      <c r="B430" s="1003" t="str">
        <f>IF(AH424&gt;0,"Revise la información capturada, ya que tiene datos ingresados en celdas que están sombreadas","")</f>
        <v/>
      </c>
      <c r="C430" s="1003"/>
      <c r="D430" s="1003"/>
      <c r="E430" s="1003"/>
      <c r="F430" s="1003"/>
      <c r="G430" s="1003"/>
      <c r="H430" s="1003"/>
      <c r="I430" s="1003"/>
      <c r="J430" s="1003"/>
      <c r="K430" s="1003"/>
      <c r="L430" s="1003"/>
      <c r="M430" s="1003"/>
      <c r="N430" s="1003"/>
      <c r="O430" s="1003"/>
      <c r="P430" s="1003"/>
      <c r="Q430" s="1003"/>
      <c r="R430" s="1003"/>
      <c r="S430" s="1003"/>
      <c r="T430" s="1003"/>
      <c r="U430" s="1003"/>
      <c r="V430" s="1003"/>
      <c r="W430" s="1003"/>
      <c r="X430" s="1003"/>
      <c r="Y430" s="1003"/>
      <c r="Z430" s="1003"/>
      <c r="AA430" s="1003"/>
      <c r="AB430" s="1003"/>
      <c r="AC430" s="1003"/>
      <c r="AD430" s="1003"/>
      <c r="AE430" s="1003"/>
    </row>
    <row r="431" spans="1:49" ht="15" customHeight="1">
      <c r="A431" s="176"/>
      <c r="B431" s="1003" t="str">
        <f>IF(OR(AL425&gt;0,AL426&gt;0,AN426&gt;0,AP426&gt;0),"Favor de revisar la suma y consistencia de totales y/o subtotales por filas (numéricos y NS)","")</f>
        <v/>
      </c>
      <c r="C431" s="1003"/>
      <c r="D431" s="1003"/>
      <c r="E431" s="1003"/>
      <c r="F431" s="1003"/>
      <c r="G431" s="1003"/>
      <c r="H431" s="1003"/>
      <c r="I431" s="1003"/>
      <c r="J431" s="1003"/>
      <c r="K431" s="1003"/>
      <c r="L431" s="1003"/>
      <c r="M431" s="1003"/>
      <c r="N431" s="1003"/>
      <c r="O431" s="1003"/>
      <c r="P431" s="1003"/>
      <c r="Q431" s="1003"/>
      <c r="R431" s="1003"/>
      <c r="S431" s="1003"/>
      <c r="T431" s="1003"/>
      <c r="U431" s="1003"/>
      <c r="V431" s="1003"/>
      <c r="W431" s="1003"/>
      <c r="X431" s="1003"/>
      <c r="Y431" s="1003"/>
      <c r="Z431" s="1003"/>
      <c r="AA431" s="1003"/>
      <c r="AB431" s="1003"/>
      <c r="AC431" s="1003"/>
      <c r="AD431" s="1003"/>
      <c r="AE431" s="1003"/>
    </row>
    <row r="432" spans="1:49" ht="15" customHeight="1">
      <c r="A432" s="176"/>
      <c r="B432" s="1003" t="str">
        <f>IF(AW424=0,"","Las cantidades de Hombres y Mujeres por centro especializado debe corresponder con los datos reportados en la preg. 7.2")</f>
        <v/>
      </c>
      <c r="C432" s="1003"/>
      <c r="D432" s="1003"/>
      <c r="E432" s="1003"/>
      <c r="F432" s="1003"/>
      <c r="G432" s="1003"/>
      <c r="H432" s="1003"/>
      <c r="I432" s="1003"/>
      <c r="J432" s="1003"/>
      <c r="K432" s="1003"/>
      <c r="L432" s="1003"/>
      <c r="M432" s="1003"/>
      <c r="N432" s="1003"/>
      <c r="O432" s="1003"/>
      <c r="P432" s="1003"/>
      <c r="Q432" s="1003"/>
      <c r="R432" s="1003"/>
      <c r="S432" s="1003"/>
      <c r="T432" s="1003"/>
      <c r="U432" s="1003"/>
      <c r="V432" s="1003"/>
      <c r="W432" s="1003"/>
      <c r="X432" s="1003"/>
      <c r="Y432" s="1003"/>
      <c r="Z432" s="1003"/>
      <c r="AA432" s="1003"/>
      <c r="AB432" s="1003"/>
      <c r="AC432" s="1003"/>
      <c r="AD432" s="1003"/>
      <c r="AE432" s="1003"/>
    </row>
    <row r="433" spans="1:37" ht="15" customHeight="1">
      <c r="A433" s="176"/>
      <c r="B433" s="105"/>
      <c r="C433" s="105"/>
      <c r="D433" s="105"/>
      <c r="E433" s="105"/>
      <c r="F433" s="105"/>
      <c r="G433" s="105"/>
      <c r="H433" s="105"/>
      <c r="I433" s="105"/>
      <c r="J433" s="105"/>
      <c r="K433" s="105"/>
      <c r="L433" s="105"/>
      <c r="M433" s="105"/>
      <c r="N433" s="105"/>
      <c r="O433" s="105"/>
      <c r="P433" s="105"/>
      <c r="Q433" s="105"/>
      <c r="R433" s="105"/>
      <c r="S433" s="105"/>
      <c r="T433" s="105"/>
      <c r="U433" s="105"/>
      <c r="V433" s="105"/>
      <c r="W433" s="105"/>
      <c r="X433" s="105"/>
      <c r="Y433" s="105"/>
      <c r="Z433" s="105"/>
      <c r="AA433" s="105"/>
      <c r="AB433" s="105"/>
      <c r="AC433" s="105"/>
      <c r="AD433" s="105"/>
      <c r="AE433"/>
    </row>
    <row r="434" spans="1:37" ht="24" customHeight="1">
      <c r="A434" s="49" t="s">
        <v>4701</v>
      </c>
      <c r="B434" s="829" t="s">
        <v>4702</v>
      </c>
      <c r="C434" s="829"/>
      <c r="D434" s="829"/>
      <c r="E434" s="829"/>
      <c r="F434" s="829"/>
      <c r="G434" s="829"/>
      <c r="H434" s="829"/>
      <c r="I434" s="829"/>
      <c r="J434" s="829"/>
      <c r="K434" s="829"/>
      <c r="L434" s="829"/>
      <c r="M434" s="829"/>
      <c r="N434" s="829"/>
      <c r="O434" s="829"/>
      <c r="P434" s="829"/>
      <c r="Q434" s="829"/>
      <c r="R434" s="829"/>
      <c r="S434" s="829"/>
      <c r="T434" s="829"/>
      <c r="U434" s="829"/>
      <c r="V434" s="829"/>
      <c r="W434" s="829"/>
      <c r="X434" s="829"/>
      <c r="Y434" s="829"/>
      <c r="Z434" s="829"/>
      <c r="AA434" s="829"/>
      <c r="AB434" s="829"/>
      <c r="AC434" s="829"/>
      <c r="AD434" s="829"/>
    </row>
    <row r="435" spans="1:37" ht="24" customHeight="1">
      <c r="A435" s="49"/>
      <c r="B435" s="105"/>
      <c r="C435" s="754" t="s">
        <v>4703</v>
      </c>
      <c r="D435" s="754"/>
      <c r="E435" s="754"/>
      <c r="F435" s="754"/>
      <c r="G435" s="754"/>
      <c r="H435" s="754"/>
      <c r="I435" s="754"/>
      <c r="J435" s="754"/>
      <c r="K435" s="754"/>
      <c r="L435" s="754"/>
      <c r="M435" s="754"/>
      <c r="N435" s="754"/>
      <c r="O435" s="754"/>
      <c r="P435" s="754"/>
      <c r="Q435" s="754"/>
      <c r="R435" s="754"/>
      <c r="S435" s="754"/>
      <c r="T435" s="754"/>
      <c r="U435" s="754"/>
      <c r="V435" s="754"/>
      <c r="W435" s="754"/>
      <c r="X435" s="754"/>
      <c r="Y435" s="754"/>
      <c r="Z435" s="754"/>
      <c r="AA435" s="754"/>
      <c r="AB435" s="754"/>
      <c r="AC435" s="754"/>
      <c r="AD435" s="754"/>
    </row>
    <row r="436" spans="1:37" ht="24" customHeight="1">
      <c r="A436" s="49"/>
      <c r="B436" s="38"/>
      <c r="C436" s="754" t="s">
        <v>4704</v>
      </c>
      <c r="D436" s="754"/>
      <c r="E436" s="754"/>
      <c r="F436" s="754"/>
      <c r="G436" s="754"/>
      <c r="H436" s="754"/>
      <c r="I436" s="754"/>
      <c r="J436" s="754"/>
      <c r="K436" s="754"/>
      <c r="L436" s="754"/>
      <c r="M436" s="754"/>
      <c r="N436" s="754"/>
      <c r="O436" s="754"/>
      <c r="P436" s="754"/>
      <c r="Q436" s="754"/>
      <c r="R436" s="754"/>
      <c r="S436" s="754"/>
      <c r="T436" s="754"/>
      <c r="U436" s="754"/>
      <c r="V436" s="754"/>
      <c r="W436" s="754"/>
      <c r="X436" s="754"/>
      <c r="Y436" s="754"/>
      <c r="Z436" s="754"/>
      <c r="AA436" s="754"/>
      <c r="AB436" s="754"/>
      <c r="AC436" s="754"/>
      <c r="AD436" s="754"/>
    </row>
    <row r="437" spans="1:37" ht="15" customHeight="1">
      <c r="A437" s="108"/>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c r="AA437" s="38"/>
      <c r="AB437" s="38"/>
      <c r="AC437" s="38"/>
      <c r="AD437" s="38"/>
    </row>
    <row r="438" spans="1:37" ht="24" customHeight="1">
      <c r="A438" s="108"/>
      <c r="B438" s="38"/>
      <c r="C438" s="732" t="s">
        <v>3259</v>
      </c>
      <c r="D438" s="880"/>
      <c r="E438" s="880"/>
      <c r="F438" s="880"/>
      <c r="G438" s="880"/>
      <c r="H438" s="880"/>
      <c r="I438" s="880"/>
      <c r="J438" s="880"/>
      <c r="K438" s="880"/>
      <c r="L438" s="880"/>
      <c r="M438" s="739" t="s">
        <v>4705</v>
      </c>
      <c r="N438" s="740"/>
      <c r="O438" s="740"/>
      <c r="P438" s="740"/>
      <c r="Q438" s="740"/>
      <c r="R438" s="740"/>
      <c r="S438" s="740"/>
      <c r="T438" s="740"/>
      <c r="U438" s="740"/>
      <c r="V438" s="740"/>
      <c r="W438" s="740"/>
      <c r="X438" s="740"/>
      <c r="Y438" s="740"/>
      <c r="Z438" s="740"/>
      <c r="AA438" s="740"/>
      <c r="AB438" s="740"/>
      <c r="AC438" s="740"/>
      <c r="AD438" s="741"/>
    </row>
    <row r="439" spans="1:37" ht="15" customHeight="1">
      <c r="A439" s="108"/>
      <c r="B439" s="38"/>
      <c r="C439" s="880"/>
      <c r="D439" s="880"/>
      <c r="E439" s="880"/>
      <c r="F439" s="880"/>
      <c r="G439" s="880"/>
      <c r="H439" s="880"/>
      <c r="I439" s="880"/>
      <c r="J439" s="880"/>
      <c r="K439" s="880"/>
      <c r="L439" s="880"/>
      <c r="M439" s="987" t="s">
        <v>2628</v>
      </c>
      <c r="N439" s="988"/>
      <c r="O439" s="988"/>
      <c r="P439" s="988"/>
      <c r="Q439" s="988"/>
      <c r="R439" s="988"/>
      <c r="S439" s="989" t="s">
        <v>2629</v>
      </c>
      <c r="T439" s="990"/>
      <c r="U439" s="990"/>
      <c r="V439" s="990"/>
      <c r="W439" s="990"/>
      <c r="X439" s="990"/>
      <c r="Y439" s="989" t="s">
        <v>2630</v>
      </c>
      <c r="Z439" s="990"/>
      <c r="AA439" s="990"/>
      <c r="AB439" s="990"/>
      <c r="AC439" s="990"/>
      <c r="AD439" s="990"/>
      <c r="AG439" t="s">
        <v>2586</v>
      </c>
      <c r="AH439" t="s">
        <v>4599</v>
      </c>
      <c r="AI439" t="s">
        <v>2590</v>
      </c>
      <c r="AJ439" t="s">
        <v>3163</v>
      </c>
      <c r="AK439" t="s">
        <v>4564</v>
      </c>
    </row>
    <row r="440" spans="1:37" ht="15" customHeight="1">
      <c r="A440" s="108"/>
      <c r="B440" s="38"/>
      <c r="C440" s="97" t="s">
        <v>2516</v>
      </c>
      <c r="D440" s="796" t="s">
        <v>3085</v>
      </c>
      <c r="E440" s="796"/>
      <c r="F440" s="796"/>
      <c r="G440" s="796"/>
      <c r="H440" s="796"/>
      <c r="I440" s="796"/>
      <c r="J440" s="796"/>
      <c r="K440" s="796"/>
      <c r="L440" s="796"/>
      <c r="M440" s="749"/>
      <c r="N440" s="749"/>
      <c r="O440" s="749"/>
      <c r="P440" s="749"/>
      <c r="Q440" s="749"/>
      <c r="R440" s="749"/>
      <c r="S440" s="749"/>
      <c r="T440" s="749"/>
      <c r="U440" s="749"/>
      <c r="V440" s="749"/>
      <c r="W440" s="749"/>
      <c r="X440" s="749"/>
      <c r="Y440" s="749"/>
      <c r="Z440" s="749"/>
      <c r="AA440" s="749"/>
      <c r="AB440" s="749"/>
      <c r="AC440" s="749"/>
      <c r="AD440" s="749"/>
      <c r="AG440" s="506">
        <f>IF(OR($V$424=0,$V$424="NS",$V$424="NA"),0,IF(COUNTBLANK(M440:AD464)=375,0,1))</f>
        <v>0</v>
      </c>
      <c r="AH440" s="506">
        <f>IF(OR($V$424=0,$V$424="NS",$V$424="NA"),IF(COUNTBLANK(M440:AD464)=450,0,1),0)</f>
        <v>0</v>
      </c>
      <c r="AI440">
        <f t="shared" ref="AI440" si="233">COUNTIF(S440:AD440,"NS")</f>
        <v>0</v>
      </c>
      <c r="AJ440">
        <f t="shared" ref="AJ440" si="234">SUM(S440:AD440)</f>
        <v>0</v>
      </c>
      <c r="AK440">
        <f t="shared" ref="AK440" si="235">IF(COUNTIF(M440:AD440,"NA")=3,0,IF(COUNTA(M440:AD440)=0,0,IF(OR(AND(M440=0,AI440&gt;0),AND(M440="ns",AJ440&gt;0),AND(M440="ns",AI440=0,AJ440=0)),1,IF(OR(AND(M440&gt;0,AI440=2),AND(M440="ns",AI440=2),AND(M440="ns",AJ440=0,AI440&gt;0),M440=AJ440),0,1))))</f>
        <v>0</v>
      </c>
    </row>
    <row r="441" spans="1:37" ht="15" customHeight="1">
      <c r="A441" s="108"/>
      <c r="B441" s="38"/>
      <c r="C441" s="98" t="s">
        <v>2517</v>
      </c>
      <c r="D441" s="796" t="s">
        <v>3088</v>
      </c>
      <c r="E441" s="796"/>
      <c r="F441" s="796"/>
      <c r="G441" s="796"/>
      <c r="H441" s="796"/>
      <c r="I441" s="796"/>
      <c r="J441" s="796"/>
      <c r="K441" s="796"/>
      <c r="L441" s="796"/>
      <c r="M441" s="749"/>
      <c r="N441" s="749"/>
      <c r="O441" s="749"/>
      <c r="P441" s="749"/>
      <c r="Q441" s="749"/>
      <c r="R441" s="749"/>
      <c r="S441" s="749"/>
      <c r="T441" s="749"/>
      <c r="U441" s="749"/>
      <c r="V441" s="749"/>
      <c r="W441" s="749"/>
      <c r="X441" s="749"/>
      <c r="Y441" s="749"/>
      <c r="Z441" s="749"/>
      <c r="AA441" s="749"/>
      <c r="AB441" s="749"/>
      <c r="AC441" s="749"/>
      <c r="AD441" s="749"/>
      <c r="AI441">
        <f t="shared" ref="AI441:AI464" si="236">COUNTIF(S441:AD441,"NS")</f>
        <v>0</v>
      </c>
      <c r="AJ441">
        <f t="shared" ref="AJ441:AJ464" si="237">SUM(S441:AD441)</f>
        <v>0</v>
      </c>
      <c r="AK441">
        <f t="shared" ref="AK441:AK464" si="238">IF(COUNTIF(M441:AD441,"NA")=3,0,IF(COUNTA(M441:AD441)=0,0,IF(OR(AND(M441=0,AI441&gt;0),AND(M441="ns",AJ441&gt;0),AND(M441="ns",AI441=0,AJ441=0)),1,IF(OR(AND(M441&gt;0,AI441=2),AND(M441="ns",AI441=2),AND(M441="ns",AJ441=0,AI441&gt;0),M441=AJ441),0,1))))</f>
        <v>0</v>
      </c>
    </row>
    <row r="442" spans="1:37" ht="15" customHeight="1">
      <c r="A442" s="108"/>
      <c r="B442" s="38"/>
      <c r="C442" s="98" t="s">
        <v>2518</v>
      </c>
      <c r="D442" s="796" t="s">
        <v>3091</v>
      </c>
      <c r="E442" s="796"/>
      <c r="F442" s="796"/>
      <c r="G442" s="796"/>
      <c r="H442" s="796"/>
      <c r="I442" s="796"/>
      <c r="J442" s="796"/>
      <c r="K442" s="796"/>
      <c r="L442" s="796"/>
      <c r="M442" s="749"/>
      <c r="N442" s="749"/>
      <c r="O442" s="749"/>
      <c r="P442" s="749"/>
      <c r="Q442" s="749"/>
      <c r="R442" s="749"/>
      <c r="S442" s="749"/>
      <c r="T442" s="749"/>
      <c r="U442" s="749"/>
      <c r="V442" s="749"/>
      <c r="W442" s="749"/>
      <c r="X442" s="749"/>
      <c r="Y442" s="749"/>
      <c r="Z442" s="749"/>
      <c r="AA442" s="749"/>
      <c r="AB442" s="749"/>
      <c r="AC442" s="749"/>
      <c r="AD442" s="749"/>
      <c r="AI442">
        <f t="shared" si="236"/>
        <v>0</v>
      </c>
      <c r="AJ442">
        <f t="shared" si="237"/>
        <v>0</v>
      </c>
      <c r="AK442">
        <f t="shared" si="238"/>
        <v>0</v>
      </c>
    </row>
    <row r="443" spans="1:37" ht="15" customHeight="1">
      <c r="A443" s="108"/>
      <c r="B443" s="38"/>
      <c r="C443" s="98" t="s">
        <v>2519</v>
      </c>
      <c r="D443" s="796" t="s">
        <v>3093</v>
      </c>
      <c r="E443" s="796"/>
      <c r="F443" s="796"/>
      <c r="G443" s="796"/>
      <c r="H443" s="796"/>
      <c r="I443" s="796"/>
      <c r="J443" s="796"/>
      <c r="K443" s="796"/>
      <c r="L443" s="796"/>
      <c r="M443" s="749"/>
      <c r="N443" s="749"/>
      <c r="O443" s="749"/>
      <c r="P443" s="749"/>
      <c r="Q443" s="749"/>
      <c r="R443" s="749"/>
      <c r="S443" s="749"/>
      <c r="T443" s="749"/>
      <c r="U443" s="749"/>
      <c r="V443" s="749"/>
      <c r="W443" s="749"/>
      <c r="X443" s="749"/>
      <c r="Y443" s="749"/>
      <c r="Z443" s="749"/>
      <c r="AA443" s="749"/>
      <c r="AB443" s="749"/>
      <c r="AC443" s="749"/>
      <c r="AD443" s="749"/>
      <c r="AI443">
        <f t="shared" si="236"/>
        <v>0</v>
      </c>
      <c r="AJ443">
        <f t="shared" si="237"/>
        <v>0</v>
      </c>
      <c r="AK443">
        <f t="shared" si="238"/>
        <v>0</v>
      </c>
    </row>
    <row r="444" spans="1:37" ht="15" customHeight="1">
      <c r="A444" s="108"/>
      <c r="B444" s="38"/>
      <c r="C444" s="98" t="s">
        <v>2520</v>
      </c>
      <c r="D444" s="796" t="s">
        <v>3095</v>
      </c>
      <c r="E444" s="796"/>
      <c r="F444" s="796"/>
      <c r="G444" s="796"/>
      <c r="H444" s="796"/>
      <c r="I444" s="796"/>
      <c r="J444" s="796"/>
      <c r="K444" s="796"/>
      <c r="L444" s="796"/>
      <c r="M444" s="749"/>
      <c r="N444" s="749"/>
      <c r="O444" s="749"/>
      <c r="P444" s="749"/>
      <c r="Q444" s="749"/>
      <c r="R444" s="749"/>
      <c r="S444" s="749"/>
      <c r="T444" s="749"/>
      <c r="U444" s="749"/>
      <c r="V444" s="749"/>
      <c r="W444" s="749"/>
      <c r="X444" s="749"/>
      <c r="Y444" s="749"/>
      <c r="Z444" s="749"/>
      <c r="AA444" s="749"/>
      <c r="AB444" s="749"/>
      <c r="AC444" s="749"/>
      <c r="AD444" s="749"/>
      <c r="AI444">
        <f t="shared" si="236"/>
        <v>0</v>
      </c>
      <c r="AJ444">
        <f t="shared" si="237"/>
        <v>0</v>
      </c>
      <c r="AK444">
        <f t="shared" si="238"/>
        <v>0</v>
      </c>
    </row>
    <row r="445" spans="1:37" ht="15" customHeight="1">
      <c r="A445" s="176"/>
      <c r="B445" s="57"/>
      <c r="C445" s="98" t="s">
        <v>2521</v>
      </c>
      <c r="D445" s="796" t="s">
        <v>3098</v>
      </c>
      <c r="E445" s="796"/>
      <c r="F445" s="796"/>
      <c r="G445" s="796"/>
      <c r="H445" s="796"/>
      <c r="I445" s="796"/>
      <c r="J445" s="796"/>
      <c r="K445" s="796"/>
      <c r="L445" s="796"/>
      <c r="M445" s="749"/>
      <c r="N445" s="749"/>
      <c r="O445" s="749"/>
      <c r="P445" s="749"/>
      <c r="Q445" s="749"/>
      <c r="R445" s="749"/>
      <c r="S445" s="749"/>
      <c r="T445" s="749"/>
      <c r="U445" s="749"/>
      <c r="V445" s="749"/>
      <c r="W445" s="749"/>
      <c r="X445" s="749"/>
      <c r="Y445" s="749"/>
      <c r="Z445" s="749"/>
      <c r="AA445" s="749"/>
      <c r="AB445" s="749"/>
      <c r="AC445" s="749"/>
      <c r="AD445" s="749"/>
      <c r="AI445">
        <f t="shared" si="236"/>
        <v>0</v>
      </c>
      <c r="AJ445">
        <f t="shared" si="237"/>
        <v>0</v>
      </c>
      <c r="AK445">
        <f t="shared" si="238"/>
        <v>0</v>
      </c>
    </row>
    <row r="446" spans="1:37" ht="15" customHeight="1">
      <c r="A446" s="176"/>
      <c r="B446" s="57"/>
      <c r="C446" s="98" t="s">
        <v>2522</v>
      </c>
      <c r="D446" s="796" t="s">
        <v>3101</v>
      </c>
      <c r="E446" s="796"/>
      <c r="F446" s="796"/>
      <c r="G446" s="796"/>
      <c r="H446" s="796"/>
      <c r="I446" s="796"/>
      <c r="J446" s="796"/>
      <c r="K446" s="796"/>
      <c r="L446" s="796"/>
      <c r="M446" s="749"/>
      <c r="N446" s="749"/>
      <c r="O446" s="749"/>
      <c r="P446" s="749"/>
      <c r="Q446" s="749"/>
      <c r="R446" s="749"/>
      <c r="S446" s="749"/>
      <c r="T446" s="749"/>
      <c r="U446" s="749"/>
      <c r="V446" s="749"/>
      <c r="W446" s="749"/>
      <c r="X446" s="749"/>
      <c r="Y446" s="749"/>
      <c r="Z446" s="749"/>
      <c r="AA446" s="749"/>
      <c r="AB446" s="749"/>
      <c r="AC446" s="749"/>
      <c r="AD446" s="749"/>
      <c r="AI446">
        <f t="shared" si="236"/>
        <v>0</v>
      </c>
      <c r="AJ446">
        <f t="shared" si="237"/>
        <v>0</v>
      </c>
      <c r="AK446">
        <f t="shared" si="238"/>
        <v>0</v>
      </c>
    </row>
    <row r="447" spans="1:37" ht="15" customHeight="1">
      <c r="A447" s="176"/>
      <c r="B447" s="57"/>
      <c r="C447" s="98" t="s">
        <v>2523</v>
      </c>
      <c r="D447" s="796" t="s">
        <v>3104</v>
      </c>
      <c r="E447" s="796"/>
      <c r="F447" s="796"/>
      <c r="G447" s="796"/>
      <c r="H447" s="796"/>
      <c r="I447" s="796"/>
      <c r="J447" s="796"/>
      <c r="K447" s="796"/>
      <c r="L447" s="796"/>
      <c r="M447" s="749"/>
      <c r="N447" s="749"/>
      <c r="O447" s="749"/>
      <c r="P447" s="749"/>
      <c r="Q447" s="749"/>
      <c r="R447" s="749"/>
      <c r="S447" s="749"/>
      <c r="T447" s="749"/>
      <c r="U447" s="749"/>
      <c r="V447" s="749"/>
      <c r="W447" s="749"/>
      <c r="X447" s="749"/>
      <c r="Y447" s="749"/>
      <c r="Z447" s="749"/>
      <c r="AA447" s="749"/>
      <c r="AB447" s="749"/>
      <c r="AC447" s="749"/>
      <c r="AD447" s="749"/>
      <c r="AI447">
        <f t="shared" si="236"/>
        <v>0</v>
      </c>
      <c r="AJ447">
        <f t="shared" si="237"/>
        <v>0</v>
      </c>
      <c r="AK447">
        <f t="shared" si="238"/>
        <v>0</v>
      </c>
    </row>
    <row r="448" spans="1:37" ht="15" customHeight="1">
      <c r="A448" s="176"/>
      <c r="B448" s="57"/>
      <c r="C448" s="98" t="s">
        <v>2524</v>
      </c>
      <c r="D448" s="796" t="s">
        <v>3107</v>
      </c>
      <c r="E448" s="796"/>
      <c r="F448" s="796"/>
      <c r="G448" s="796"/>
      <c r="H448" s="796"/>
      <c r="I448" s="796"/>
      <c r="J448" s="796"/>
      <c r="K448" s="796"/>
      <c r="L448" s="796"/>
      <c r="M448" s="749"/>
      <c r="N448" s="749"/>
      <c r="O448" s="749"/>
      <c r="P448" s="749"/>
      <c r="Q448" s="749"/>
      <c r="R448" s="749"/>
      <c r="S448" s="749"/>
      <c r="T448" s="749"/>
      <c r="U448" s="749"/>
      <c r="V448" s="749"/>
      <c r="W448" s="749"/>
      <c r="X448" s="749"/>
      <c r="Y448" s="749"/>
      <c r="Z448" s="749"/>
      <c r="AA448" s="749"/>
      <c r="AB448" s="749"/>
      <c r="AC448" s="749"/>
      <c r="AD448" s="749"/>
      <c r="AI448">
        <f t="shared" si="236"/>
        <v>0</v>
      </c>
      <c r="AJ448">
        <f t="shared" si="237"/>
        <v>0</v>
      </c>
      <c r="AK448">
        <f t="shared" si="238"/>
        <v>0</v>
      </c>
    </row>
    <row r="449" spans="1:37" ht="15" customHeight="1">
      <c r="A449" s="176"/>
      <c r="B449" s="57"/>
      <c r="C449" s="98" t="s">
        <v>2525</v>
      </c>
      <c r="D449" s="796" t="s">
        <v>3110</v>
      </c>
      <c r="E449" s="796"/>
      <c r="F449" s="796"/>
      <c r="G449" s="796"/>
      <c r="H449" s="796"/>
      <c r="I449" s="796"/>
      <c r="J449" s="796"/>
      <c r="K449" s="796"/>
      <c r="L449" s="796"/>
      <c r="M449" s="749"/>
      <c r="N449" s="749"/>
      <c r="O449" s="749"/>
      <c r="P449" s="749"/>
      <c r="Q449" s="749"/>
      <c r="R449" s="749"/>
      <c r="S449" s="749"/>
      <c r="T449" s="749"/>
      <c r="U449" s="749"/>
      <c r="V449" s="749"/>
      <c r="W449" s="749"/>
      <c r="X449" s="749"/>
      <c r="Y449" s="749"/>
      <c r="Z449" s="749"/>
      <c r="AA449" s="749"/>
      <c r="AB449" s="749"/>
      <c r="AC449" s="749"/>
      <c r="AD449" s="749"/>
      <c r="AI449">
        <f t="shared" si="236"/>
        <v>0</v>
      </c>
      <c r="AJ449">
        <f t="shared" si="237"/>
        <v>0</v>
      </c>
      <c r="AK449">
        <f t="shared" si="238"/>
        <v>0</v>
      </c>
    </row>
    <row r="450" spans="1:37" ht="15" customHeight="1">
      <c r="A450" s="176"/>
      <c r="B450" s="57"/>
      <c r="C450" s="98" t="s">
        <v>2526</v>
      </c>
      <c r="D450" s="796" t="s">
        <v>3113</v>
      </c>
      <c r="E450" s="796"/>
      <c r="F450" s="796"/>
      <c r="G450" s="796"/>
      <c r="H450" s="796"/>
      <c r="I450" s="796"/>
      <c r="J450" s="796"/>
      <c r="K450" s="796"/>
      <c r="L450" s="796"/>
      <c r="M450" s="749"/>
      <c r="N450" s="749"/>
      <c r="O450" s="749"/>
      <c r="P450" s="749"/>
      <c r="Q450" s="749"/>
      <c r="R450" s="749"/>
      <c r="S450" s="749"/>
      <c r="T450" s="749"/>
      <c r="U450" s="749"/>
      <c r="V450" s="749"/>
      <c r="W450" s="749"/>
      <c r="X450" s="749"/>
      <c r="Y450" s="749"/>
      <c r="Z450" s="749"/>
      <c r="AA450" s="749"/>
      <c r="AB450" s="749"/>
      <c r="AC450" s="749"/>
      <c r="AD450" s="749"/>
      <c r="AI450">
        <f t="shared" si="236"/>
        <v>0</v>
      </c>
      <c r="AJ450">
        <f t="shared" si="237"/>
        <v>0</v>
      </c>
      <c r="AK450">
        <f t="shared" si="238"/>
        <v>0</v>
      </c>
    </row>
    <row r="451" spans="1:37" ht="15" customHeight="1">
      <c r="A451" s="176"/>
      <c r="B451" s="57"/>
      <c r="C451" s="98" t="s">
        <v>2527</v>
      </c>
      <c r="D451" s="796" t="s">
        <v>3116</v>
      </c>
      <c r="E451" s="796"/>
      <c r="F451" s="796"/>
      <c r="G451" s="796"/>
      <c r="H451" s="796"/>
      <c r="I451" s="796"/>
      <c r="J451" s="796"/>
      <c r="K451" s="796"/>
      <c r="L451" s="796"/>
      <c r="M451" s="749"/>
      <c r="N451" s="749"/>
      <c r="O451" s="749"/>
      <c r="P451" s="749"/>
      <c r="Q451" s="749"/>
      <c r="R451" s="749"/>
      <c r="S451" s="749"/>
      <c r="T451" s="749"/>
      <c r="U451" s="749"/>
      <c r="V451" s="749"/>
      <c r="W451" s="749"/>
      <c r="X451" s="749"/>
      <c r="Y451" s="749"/>
      <c r="Z451" s="749"/>
      <c r="AA451" s="749"/>
      <c r="AB451" s="749"/>
      <c r="AC451" s="749"/>
      <c r="AD451" s="749"/>
      <c r="AI451">
        <f t="shared" si="236"/>
        <v>0</v>
      </c>
      <c r="AJ451">
        <f t="shared" si="237"/>
        <v>0</v>
      </c>
      <c r="AK451">
        <f t="shared" si="238"/>
        <v>0</v>
      </c>
    </row>
    <row r="452" spans="1:37" ht="15" customHeight="1">
      <c r="A452" s="176"/>
      <c r="B452" s="57"/>
      <c r="C452" s="98" t="s">
        <v>2528</v>
      </c>
      <c r="D452" s="796" t="s">
        <v>3119</v>
      </c>
      <c r="E452" s="796"/>
      <c r="F452" s="796"/>
      <c r="G452" s="796"/>
      <c r="H452" s="796"/>
      <c r="I452" s="796"/>
      <c r="J452" s="796"/>
      <c r="K452" s="796"/>
      <c r="L452" s="796"/>
      <c r="M452" s="749"/>
      <c r="N452" s="749"/>
      <c r="O452" s="749"/>
      <c r="P452" s="749"/>
      <c r="Q452" s="749"/>
      <c r="R452" s="749"/>
      <c r="S452" s="749"/>
      <c r="T452" s="749"/>
      <c r="U452" s="749"/>
      <c r="V452" s="749"/>
      <c r="W452" s="749"/>
      <c r="X452" s="749"/>
      <c r="Y452" s="749"/>
      <c r="Z452" s="749"/>
      <c r="AA452" s="749"/>
      <c r="AB452" s="749"/>
      <c r="AC452" s="749"/>
      <c r="AD452" s="749"/>
      <c r="AI452">
        <f t="shared" si="236"/>
        <v>0</v>
      </c>
      <c r="AJ452">
        <f t="shared" si="237"/>
        <v>0</v>
      </c>
      <c r="AK452">
        <f t="shared" si="238"/>
        <v>0</v>
      </c>
    </row>
    <row r="453" spans="1:37" ht="15" customHeight="1">
      <c r="A453" s="176"/>
      <c r="B453" s="57"/>
      <c r="C453" s="98" t="s">
        <v>2529</v>
      </c>
      <c r="D453" s="796" t="s">
        <v>3122</v>
      </c>
      <c r="E453" s="796"/>
      <c r="F453" s="796"/>
      <c r="G453" s="796"/>
      <c r="H453" s="796"/>
      <c r="I453" s="796"/>
      <c r="J453" s="796"/>
      <c r="K453" s="796"/>
      <c r="L453" s="796"/>
      <c r="M453" s="749"/>
      <c r="N453" s="749"/>
      <c r="O453" s="749"/>
      <c r="P453" s="749"/>
      <c r="Q453" s="749"/>
      <c r="R453" s="749"/>
      <c r="S453" s="749"/>
      <c r="T453" s="749"/>
      <c r="U453" s="749"/>
      <c r="V453" s="749"/>
      <c r="W453" s="749"/>
      <c r="X453" s="749"/>
      <c r="Y453" s="749"/>
      <c r="Z453" s="749"/>
      <c r="AA453" s="749"/>
      <c r="AB453" s="749"/>
      <c r="AC453" s="749"/>
      <c r="AD453" s="749"/>
      <c r="AI453">
        <f t="shared" si="236"/>
        <v>0</v>
      </c>
      <c r="AJ453">
        <f t="shared" si="237"/>
        <v>0</v>
      </c>
      <c r="AK453">
        <f t="shared" si="238"/>
        <v>0</v>
      </c>
    </row>
    <row r="454" spans="1:37" ht="15" customHeight="1">
      <c r="A454" s="176"/>
      <c r="B454" s="57"/>
      <c r="C454" s="98" t="s">
        <v>2530</v>
      </c>
      <c r="D454" s="796" t="s">
        <v>3124</v>
      </c>
      <c r="E454" s="796"/>
      <c r="F454" s="796"/>
      <c r="G454" s="796"/>
      <c r="H454" s="796"/>
      <c r="I454" s="796"/>
      <c r="J454" s="796"/>
      <c r="K454" s="796"/>
      <c r="L454" s="796"/>
      <c r="M454" s="749"/>
      <c r="N454" s="749"/>
      <c r="O454" s="749"/>
      <c r="P454" s="749"/>
      <c r="Q454" s="749"/>
      <c r="R454" s="749"/>
      <c r="S454" s="749"/>
      <c r="T454" s="749"/>
      <c r="U454" s="749"/>
      <c r="V454" s="749"/>
      <c r="W454" s="749"/>
      <c r="X454" s="749"/>
      <c r="Y454" s="749"/>
      <c r="Z454" s="749"/>
      <c r="AA454" s="749"/>
      <c r="AB454" s="749"/>
      <c r="AC454" s="749"/>
      <c r="AD454" s="749"/>
      <c r="AI454">
        <f t="shared" si="236"/>
        <v>0</v>
      </c>
      <c r="AJ454">
        <f t="shared" si="237"/>
        <v>0</v>
      </c>
      <c r="AK454">
        <f t="shared" si="238"/>
        <v>0</v>
      </c>
    </row>
    <row r="455" spans="1:37" ht="15" customHeight="1">
      <c r="A455" s="176"/>
      <c r="B455" s="57"/>
      <c r="C455" s="98" t="s">
        <v>2531</v>
      </c>
      <c r="D455" s="796" t="s">
        <v>3126</v>
      </c>
      <c r="E455" s="796"/>
      <c r="F455" s="796"/>
      <c r="G455" s="796"/>
      <c r="H455" s="796"/>
      <c r="I455" s="796"/>
      <c r="J455" s="796"/>
      <c r="K455" s="796"/>
      <c r="L455" s="796"/>
      <c r="M455" s="749"/>
      <c r="N455" s="749"/>
      <c r="O455" s="749"/>
      <c r="P455" s="749"/>
      <c r="Q455" s="749"/>
      <c r="R455" s="749"/>
      <c r="S455" s="749"/>
      <c r="T455" s="749"/>
      <c r="U455" s="749"/>
      <c r="V455" s="749"/>
      <c r="W455" s="749"/>
      <c r="X455" s="749"/>
      <c r="Y455" s="749"/>
      <c r="Z455" s="749"/>
      <c r="AA455" s="749"/>
      <c r="AB455" s="749"/>
      <c r="AC455" s="749"/>
      <c r="AD455" s="749"/>
      <c r="AI455">
        <f t="shared" si="236"/>
        <v>0</v>
      </c>
      <c r="AJ455">
        <f t="shared" si="237"/>
        <v>0</v>
      </c>
      <c r="AK455">
        <f t="shared" si="238"/>
        <v>0</v>
      </c>
    </row>
    <row r="456" spans="1:37" ht="15" customHeight="1">
      <c r="A456" s="176"/>
      <c r="B456" s="57"/>
      <c r="C456" s="98" t="s">
        <v>2532</v>
      </c>
      <c r="D456" s="796" t="s">
        <v>3129</v>
      </c>
      <c r="E456" s="796"/>
      <c r="F456" s="796"/>
      <c r="G456" s="796"/>
      <c r="H456" s="796"/>
      <c r="I456" s="796"/>
      <c r="J456" s="796"/>
      <c r="K456" s="796"/>
      <c r="L456" s="796"/>
      <c r="M456" s="749"/>
      <c r="N456" s="749"/>
      <c r="O456" s="749"/>
      <c r="P456" s="749"/>
      <c r="Q456" s="749"/>
      <c r="R456" s="749"/>
      <c r="S456" s="749"/>
      <c r="T456" s="749"/>
      <c r="U456" s="749"/>
      <c r="V456" s="749"/>
      <c r="W456" s="749"/>
      <c r="X456" s="749"/>
      <c r="Y456" s="749"/>
      <c r="Z456" s="749"/>
      <c r="AA456" s="749"/>
      <c r="AB456" s="749"/>
      <c r="AC456" s="749"/>
      <c r="AD456" s="749"/>
      <c r="AI456">
        <f t="shared" si="236"/>
        <v>0</v>
      </c>
      <c r="AJ456">
        <f t="shared" si="237"/>
        <v>0</v>
      </c>
      <c r="AK456">
        <f t="shared" si="238"/>
        <v>0</v>
      </c>
    </row>
    <row r="457" spans="1:37" ht="15" customHeight="1">
      <c r="A457" s="176"/>
      <c r="B457" s="57"/>
      <c r="C457" s="98" t="s">
        <v>2533</v>
      </c>
      <c r="D457" s="796" t="s">
        <v>3132</v>
      </c>
      <c r="E457" s="796"/>
      <c r="F457" s="796"/>
      <c r="G457" s="796"/>
      <c r="H457" s="796"/>
      <c r="I457" s="796"/>
      <c r="J457" s="796"/>
      <c r="K457" s="796"/>
      <c r="L457" s="796"/>
      <c r="M457" s="749"/>
      <c r="N457" s="749"/>
      <c r="O457" s="749"/>
      <c r="P457" s="749"/>
      <c r="Q457" s="749"/>
      <c r="R457" s="749"/>
      <c r="S457" s="749"/>
      <c r="T457" s="749"/>
      <c r="U457" s="749"/>
      <c r="V457" s="749"/>
      <c r="W457" s="749"/>
      <c r="X457" s="749"/>
      <c r="Y457" s="749"/>
      <c r="Z457" s="749"/>
      <c r="AA457" s="749"/>
      <c r="AB457" s="749"/>
      <c r="AC457" s="749"/>
      <c r="AD457" s="749"/>
      <c r="AI457">
        <f t="shared" si="236"/>
        <v>0</v>
      </c>
      <c r="AJ457">
        <f t="shared" si="237"/>
        <v>0</v>
      </c>
      <c r="AK457">
        <f t="shared" si="238"/>
        <v>0</v>
      </c>
    </row>
    <row r="458" spans="1:37" ht="15" customHeight="1">
      <c r="A458" s="176"/>
      <c r="B458" s="57"/>
      <c r="C458" s="98" t="s">
        <v>2534</v>
      </c>
      <c r="D458" s="796" t="s">
        <v>3135</v>
      </c>
      <c r="E458" s="796"/>
      <c r="F458" s="796"/>
      <c r="G458" s="796"/>
      <c r="H458" s="796"/>
      <c r="I458" s="796"/>
      <c r="J458" s="796"/>
      <c r="K458" s="796"/>
      <c r="L458" s="796"/>
      <c r="M458" s="749"/>
      <c r="N458" s="749"/>
      <c r="O458" s="749"/>
      <c r="P458" s="749"/>
      <c r="Q458" s="749"/>
      <c r="R458" s="749"/>
      <c r="S458" s="749"/>
      <c r="T458" s="749"/>
      <c r="U458" s="749"/>
      <c r="V458" s="749"/>
      <c r="W458" s="749"/>
      <c r="X458" s="749"/>
      <c r="Y458" s="749"/>
      <c r="Z458" s="749"/>
      <c r="AA458" s="749"/>
      <c r="AB458" s="749"/>
      <c r="AC458" s="749"/>
      <c r="AD458" s="749"/>
      <c r="AI458">
        <f t="shared" si="236"/>
        <v>0</v>
      </c>
      <c r="AJ458">
        <f t="shared" si="237"/>
        <v>0</v>
      </c>
      <c r="AK458">
        <f t="shared" si="238"/>
        <v>0</v>
      </c>
    </row>
    <row r="459" spans="1:37" ht="15" customHeight="1">
      <c r="A459" s="176"/>
      <c r="B459" s="57"/>
      <c r="C459" s="98" t="s">
        <v>2535</v>
      </c>
      <c r="D459" s="796" t="s">
        <v>3138</v>
      </c>
      <c r="E459" s="796"/>
      <c r="F459" s="796"/>
      <c r="G459" s="796"/>
      <c r="H459" s="796"/>
      <c r="I459" s="796"/>
      <c r="J459" s="796"/>
      <c r="K459" s="796"/>
      <c r="L459" s="796"/>
      <c r="M459" s="749"/>
      <c r="N459" s="749"/>
      <c r="O459" s="749"/>
      <c r="P459" s="749"/>
      <c r="Q459" s="749"/>
      <c r="R459" s="749"/>
      <c r="S459" s="749"/>
      <c r="T459" s="749"/>
      <c r="U459" s="749"/>
      <c r="V459" s="749"/>
      <c r="W459" s="749"/>
      <c r="X459" s="749"/>
      <c r="Y459" s="749"/>
      <c r="Z459" s="749"/>
      <c r="AA459" s="749"/>
      <c r="AB459" s="749"/>
      <c r="AC459" s="749"/>
      <c r="AD459" s="749"/>
      <c r="AI459">
        <f t="shared" si="236"/>
        <v>0</v>
      </c>
      <c r="AJ459">
        <f t="shared" si="237"/>
        <v>0</v>
      </c>
      <c r="AK459">
        <f t="shared" si="238"/>
        <v>0</v>
      </c>
    </row>
    <row r="460" spans="1:37" ht="15" customHeight="1">
      <c r="A460" s="176"/>
      <c r="B460" s="57"/>
      <c r="C460" s="98" t="s">
        <v>2536</v>
      </c>
      <c r="D460" s="796" t="s">
        <v>3141</v>
      </c>
      <c r="E460" s="796"/>
      <c r="F460" s="796"/>
      <c r="G460" s="796"/>
      <c r="H460" s="796"/>
      <c r="I460" s="796"/>
      <c r="J460" s="796"/>
      <c r="K460" s="796"/>
      <c r="L460" s="796"/>
      <c r="M460" s="749"/>
      <c r="N460" s="749"/>
      <c r="O460" s="749"/>
      <c r="P460" s="749"/>
      <c r="Q460" s="749"/>
      <c r="R460" s="749"/>
      <c r="S460" s="749"/>
      <c r="T460" s="749"/>
      <c r="U460" s="749"/>
      <c r="V460" s="749"/>
      <c r="W460" s="749"/>
      <c r="X460" s="749"/>
      <c r="Y460" s="749"/>
      <c r="Z460" s="749"/>
      <c r="AA460" s="749"/>
      <c r="AB460" s="749"/>
      <c r="AC460" s="749"/>
      <c r="AD460" s="749"/>
      <c r="AI460">
        <f t="shared" si="236"/>
        <v>0</v>
      </c>
      <c r="AJ460">
        <f t="shared" si="237"/>
        <v>0</v>
      </c>
      <c r="AK460">
        <f t="shared" si="238"/>
        <v>0</v>
      </c>
    </row>
    <row r="461" spans="1:37" ht="15" customHeight="1">
      <c r="A461" s="108"/>
      <c r="B461" s="38"/>
      <c r="C461" s="98" t="s">
        <v>2537</v>
      </c>
      <c r="D461" s="796" t="s">
        <v>3144</v>
      </c>
      <c r="E461" s="796"/>
      <c r="F461" s="796"/>
      <c r="G461" s="796"/>
      <c r="H461" s="796"/>
      <c r="I461" s="796"/>
      <c r="J461" s="796"/>
      <c r="K461" s="796"/>
      <c r="L461" s="796"/>
      <c r="M461" s="749"/>
      <c r="N461" s="749"/>
      <c r="O461" s="749"/>
      <c r="P461" s="749"/>
      <c r="Q461" s="749"/>
      <c r="R461" s="749"/>
      <c r="S461" s="749"/>
      <c r="T461" s="749"/>
      <c r="U461" s="749"/>
      <c r="V461" s="749"/>
      <c r="W461" s="749"/>
      <c r="X461" s="749"/>
      <c r="Y461" s="749"/>
      <c r="Z461" s="749"/>
      <c r="AA461" s="749"/>
      <c r="AB461" s="749"/>
      <c r="AC461" s="749"/>
      <c r="AD461" s="749"/>
      <c r="AI461">
        <f t="shared" si="236"/>
        <v>0</v>
      </c>
      <c r="AJ461">
        <f t="shared" si="237"/>
        <v>0</v>
      </c>
      <c r="AK461">
        <f t="shared" si="238"/>
        <v>0</v>
      </c>
    </row>
    <row r="462" spans="1:37" ht="15" customHeight="1">
      <c r="A462" s="108"/>
      <c r="B462" s="38"/>
      <c r="C462" s="98" t="s">
        <v>2538</v>
      </c>
      <c r="D462" s="796" t="s">
        <v>3146</v>
      </c>
      <c r="E462" s="796"/>
      <c r="F462" s="796"/>
      <c r="G462" s="796"/>
      <c r="H462" s="796"/>
      <c r="I462" s="796"/>
      <c r="J462" s="796"/>
      <c r="K462" s="796"/>
      <c r="L462" s="796"/>
      <c r="M462" s="749"/>
      <c r="N462" s="749"/>
      <c r="O462" s="749"/>
      <c r="P462" s="749"/>
      <c r="Q462" s="749"/>
      <c r="R462" s="749"/>
      <c r="S462" s="749"/>
      <c r="T462" s="749"/>
      <c r="U462" s="749"/>
      <c r="V462" s="749"/>
      <c r="W462" s="749"/>
      <c r="X462" s="749"/>
      <c r="Y462" s="749"/>
      <c r="Z462" s="749"/>
      <c r="AA462" s="749"/>
      <c r="AB462" s="749"/>
      <c r="AC462" s="749"/>
      <c r="AD462" s="749"/>
      <c r="AI462">
        <f t="shared" si="236"/>
        <v>0</v>
      </c>
      <c r="AJ462">
        <f t="shared" si="237"/>
        <v>0</v>
      </c>
      <c r="AK462">
        <f t="shared" si="238"/>
        <v>0</v>
      </c>
    </row>
    <row r="463" spans="1:37" ht="15" customHeight="1">
      <c r="A463" s="108"/>
      <c r="B463" s="38"/>
      <c r="C463" s="98" t="s">
        <v>2539</v>
      </c>
      <c r="D463" s="796" t="s">
        <v>3148</v>
      </c>
      <c r="E463" s="796"/>
      <c r="F463" s="796"/>
      <c r="G463" s="796"/>
      <c r="H463" s="796"/>
      <c r="I463" s="796"/>
      <c r="J463" s="796"/>
      <c r="K463" s="796"/>
      <c r="L463" s="796"/>
      <c r="M463" s="749"/>
      <c r="N463" s="749"/>
      <c r="O463" s="749"/>
      <c r="P463" s="749"/>
      <c r="Q463" s="749"/>
      <c r="R463" s="749"/>
      <c r="S463" s="749"/>
      <c r="T463" s="749"/>
      <c r="U463" s="749"/>
      <c r="V463" s="749"/>
      <c r="W463" s="749"/>
      <c r="X463" s="749"/>
      <c r="Y463" s="749"/>
      <c r="Z463" s="749"/>
      <c r="AA463" s="749"/>
      <c r="AB463" s="749"/>
      <c r="AC463" s="749"/>
      <c r="AD463" s="749"/>
      <c r="AI463">
        <f t="shared" si="236"/>
        <v>0</v>
      </c>
      <c r="AJ463">
        <f t="shared" si="237"/>
        <v>0</v>
      </c>
      <c r="AK463">
        <f t="shared" si="238"/>
        <v>0</v>
      </c>
    </row>
    <row r="464" spans="1:37" ht="15" customHeight="1">
      <c r="A464" s="108"/>
      <c r="B464" s="38"/>
      <c r="C464" s="98" t="s">
        <v>2540</v>
      </c>
      <c r="D464" s="796" t="s">
        <v>201</v>
      </c>
      <c r="E464" s="796"/>
      <c r="F464" s="796"/>
      <c r="G464" s="796"/>
      <c r="H464" s="796"/>
      <c r="I464" s="796"/>
      <c r="J464" s="796"/>
      <c r="K464" s="796"/>
      <c r="L464" s="796"/>
      <c r="M464" s="749"/>
      <c r="N464" s="749"/>
      <c r="O464" s="749"/>
      <c r="P464" s="749"/>
      <c r="Q464" s="749"/>
      <c r="R464" s="749"/>
      <c r="S464" s="749"/>
      <c r="T464" s="749"/>
      <c r="U464" s="749"/>
      <c r="V464" s="749"/>
      <c r="W464" s="749"/>
      <c r="X464" s="749"/>
      <c r="Y464" s="749"/>
      <c r="Z464" s="749"/>
      <c r="AA464" s="749"/>
      <c r="AB464" s="749"/>
      <c r="AC464" s="749"/>
      <c r="AD464" s="749"/>
      <c r="AI464">
        <f t="shared" si="236"/>
        <v>0</v>
      </c>
      <c r="AJ464">
        <f t="shared" si="237"/>
        <v>0</v>
      </c>
      <c r="AK464">
        <f t="shared" si="238"/>
        <v>0</v>
      </c>
    </row>
    <row r="465" spans="1:49" ht="15" customHeight="1">
      <c r="A465" s="108"/>
      <c r="B465" s="38"/>
      <c r="C465" s="38"/>
      <c r="D465" s="38"/>
      <c r="E465" s="38"/>
      <c r="F465" s="38"/>
      <c r="G465" s="38"/>
      <c r="H465" s="38"/>
      <c r="I465" s="38"/>
      <c r="J465" s="38"/>
      <c r="K465" s="38"/>
      <c r="L465" s="117" t="s">
        <v>2649</v>
      </c>
      <c r="M465" s="736">
        <f>IF(AND(SUM(M440:M464)=0,COUNTIF(M440:M464,"NS")&gt;0),"NS",IF(AND(SUM(M440:M464)=0,COUNTIF(M440:M464,0)&gt;0),0,IF(AND(SUM(M440:M464)=0,COUNTIF(M440:M464,"NA")&gt;0),"NA",SUM(M440:M464))))</f>
        <v>0</v>
      </c>
      <c r="N465" s="1085"/>
      <c r="O465" s="1085"/>
      <c r="P465" s="1085"/>
      <c r="Q465" s="1085"/>
      <c r="R465" s="1086"/>
      <c r="S465" s="736">
        <f>IF(AND(SUM(S440:S464)=0,COUNTIF(S440:S464,"NS")&gt;0),"NS",IF(AND(SUM(S440:S464)=0,COUNTIF(S440:S464,0)&gt;0),0,IF(AND(SUM(S440:S464)=0,COUNTIF(S440:S464,"NA")&gt;0),"NA",SUM(S440:S464))))</f>
        <v>0</v>
      </c>
      <c r="T465" s="1085"/>
      <c r="U465" s="1085"/>
      <c r="V465" s="1085"/>
      <c r="W465" s="1085"/>
      <c r="X465" s="1086"/>
      <c r="Y465" s="736">
        <f>IF(AND(SUM(Y440:Y464)=0,COUNTIF(Y440:Y464,"NS")&gt;0),"NS",IF(AND(SUM(Y440:Y464)=0,COUNTIF(Y440:Y464,0)&gt;0),0,IF(AND(SUM(Y440:Y464)=0,COUNTIF(Y440:Y464,"NA")&gt;0),"NA",SUM(Y440:Y464))))</f>
        <v>0</v>
      </c>
      <c r="Z465" s="1085"/>
      <c r="AA465" s="1085"/>
      <c r="AB465" s="1085"/>
      <c r="AC465" s="1085"/>
      <c r="AD465" s="1086"/>
      <c r="AI465">
        <f>SUM(AI440:AI464)</f>
        <v>0</v>
      </c>
      <c r="AK465" s="506">
        <f>SUM(AK440:AK464)</f>
        <v>0</v>
      </c>
    </row>
    <row r="466" spans="1:49" ht="15" customHeight="1">
      <c r="A466" s="176"/>
      <c r="B466" s="57"/>
      <c r="C466" s="57"/>
      <c r="D466" s="57"/>
      <c r="E466" s="57"/>
      <c r="F466" s="57"/>
      <c r="G466" s="57"/>
      <c r="H466" s="57"/>
      <c r="I466" s="57"/>
      <c r="J466" s="57"/>
      <c r="K466" s="57"/>
      <c r="L466" s="57"/>
      <c r="M466" s="57"/>
      <c r="N466" s="57"/>
      <c r="O466" s="57"/>
      <c r="P466" s="57"/>
      <c r="Q466" s="57"/>
      <c r="R466" s="57"/>
      <c r="S466" s="57"/>
      <c r="T466" s="57"/>
      <c r="U466" s="57"/>
      <c r="V466" s="57"/>
      <c r="W466" s="57"/>
      <c r="X466" s="57"/>
      <c r="Y466" s="57"/>
      <c r="Z466" s="57"/>
      <c r="AA466" s="57"/>
      <c r="AB466" s="57"/>
      <c r="AC466" s="57"/>
      <c r="AD466" s="57"/>
    </row>
    <row r="467" spans="1:49" ht="24" customHeight="1">
      <c r="A467" s="108"/>
      <c r="B467" s="38"/>
      <c r="C467" s="754" t="s">
        <v>2611</v>
      </c>
      <c r="D467" s="754"/>
      <c r="E467" s="754"/>
      <c r="F467" s="754"/>
      <c r="G467" s="754"/>
      <c r="H467" s="754"/>
      <c r="I467" s="754"/>
      <c r="J467" s="754"/>
      <c r="K467" s="754"/>
      <c r="L467" s="754"/>
      <c r="M467" s="754"/>
      <c r="N467" s="754"/>
      <c r="O467" s="754"/>
      <c r="P467" s="754"/>
      <c r="Q467" s="754"/>
      <c r="R467" s="754"/>
      <c r="S467" s="754"/>
      <c r="T467" s="754"/>
      <c r="U467" s="754"/>
      <c r="V467" s="754"/>
      <c r="W467" s="754"/>
      <c r="X467" s="754"/>
      <c r="Y467" s="754"/>
      <c r="Z467" s="754"/>
      <c r="AA467" s="754"/>
      <c r="AB467" s="754"/>
      <c r="AC467" s="754"/>
      <c r="AD467" s="754"/>
    </row>
    <row r="468" spans="1:49" ht="60" customHeight="1">
      <c r="A468" s="108"/>
      <c r="B468" s="38"/>
      <c r="C468" s="851"/>
      <c r="D468" s="851"/>
      <c r="E468" s="851"/>
      <c r="F468" s="851"/>
      <c r="G468" s="851"/>
      <c r="H468" s="851"/>
      <c r="I468" s="851"/>
      <c r="J468" s="851"/>
      <c r="K468" s="851"/>
      <c r="L468" s="851"/>
      <c r="M468" s="851"/>
      <c r="N468" s="851"/>
      <c r="O468" s="851"/>
      <c r="P468" s="851"/>
      <c r="Q468" s="851"/>
      <c r="R468" s="851"/>
      <c r="S468" s="851"/>
      <c r="T468" s="851"/>
      <c r="U468" s="851"/>
      <c r="V468" s="851"/>
      <c r="W468" s="851"/>
      <c r="X468" s="851"/>
      <c r="Y468" s="851"/>
      <c r="Z468" s="851"/>
      <c r="AA468" s="851"/>
      <c r="AB468" s="851"/>
      <c r="AC468" s="851"/>
      <c r="AD468" s="851"/>
    </row>
    <row r="469" spans="1:49" ht="15" customHeight="1">
      <c r="A469" s="176"/>
      <c r="B469" s="794" t="str">
        <f>IF(AG440=0,"","Favor de ingresar toda la información requerida en la pregunta")</f>
        <v/>
      </c>
      <c r="C469" s="794"/>
      <c r="D469" s="794"/>
      <c r="E469" s="794"/>
      <c r="F469" s="794"/>
      <c r="G469" s="794"/>
      <c r="H469" s="794"/>
      <c r="I469" s="794"/>
      <c r="J469" s="794"/>
      <c r="K469" s="794"/>
      <c r="L469" s="794"/>
      <c r="M469" s="794"/>
      <c r="N469" s="794"/>
      <c r="O469" s="794"/>
      <c r="P469" s="794"/>
      <c r="Q469" s="794"/>
      <c r="R469" s="794"/>
      <c r="S469" s="794"/>
      <c r="T469" s="794"/>
      <c r="U469" s="794"/>
      <c r="V469" s="794"/>
      <c r="W469" s="794"/>
      <c r="X469" s="794"/>
      <c r="Y469" s="794"/>
      <c r="Z469" s="794"/>
      <c r="AA469" s="794"/>
      <c r="AB469" s="794"/>
      <c r="AC469" s="794"/>
      <c r="AD469" s="794"/>
      <c r="AE469" s="794"/>
    </row>
    <row r="470" spans="1:49" ht="15" customHeight="1">
      <c r="A470" s="176"/>
      <c r="B470" s="1087" t="str">
        <f>IF(OR($V$424=0,$V$424="NS",$V$424="NA"),"",IF(COUNTIF(M440:AD464,"NS")&lt;&gt;0,"Alerta: debido a que cuenta con registros NS, debe proporcionar una justificación en el area de comentarios al final de la pregunta",""))</f>
        <v/>
      </c>
      <c r="C470" s="1087"/>
      <c r="D470" s="1087"/>
      <c r="E470" s="1087"/>
      <c r="F470" s="1087"/>
      <c r="G470" s="1087"/>
      <c r="H470" s="1087"/>
      <c r="I470" s="1087"/>
      <c r="J470" s="1087"/>
      <c r="K470" s="1087"/>
      <c r="L470" s="1087"/>
      <c r="M470" s="1087"/>
      <c r="N470" s="1087"/>
      <c r="O470" s="1087"/>
      <c r="P470" s="1087"/>
      <c r="Q470" s="1087"/>
      <c r="R470" s="1087"/>
      <c r="S470" s="1087"/>
      <c r="T470" s="1087"/>
      <c r="U470" s="1087"/>
      <c r="V470" s="1087"/>
      <c r="W470" s="1087"/>
      <c r="X470" s="1087"/>
      <c r="Y470" s="1087"/>
      <c r="Z470" s="1087"/>
      <c r="AA470" s="1087"/>
      <c r="AB470" s="1087"/>
      <c r="AC470" s="1087"/>
      <c r="AD470" s="1087"/>
      <c r="AE470" s="1087"/>
    </row>
    <row r="471" spans="1:49" ht="15" customHeight="1">
      <c r="A471" s="189"/>
      <c r="B471" s="1003" t="str">
        <f>IF(AH440&gt;0,"Revise la información capturada, ya que tiene datos ingresados en celdas que están sombreadas","")</f>
        <v/>
      </c>
      <c r="C471" s="1003"/>
      <c r="D471" s="1003"/>
      <c r="E471" s="1003"/>
      <c r="F471" s="1003"/>
      <c r="G471" s="1003"/>
      <c r="H471" s="1003"/>
      <c r="I471" s="1003"/>
      <c r="J471" s="1003"/>
      <c r="K471" s="1003"/>
      <c r="L471" s="1003"/>
      <c r="M471" s="1003"/>
      <c r="N471" s="1003"/>
      <c r="O471" s="1003"/>
      <c r="P471" s="1003"/>
      <c r="Q471" s="1003"/>
      <c r="R471" s="1003"/>
      <c r="S471" s="1003"/>
      <c r="T471" s="1003"/>
      <c r="U471" s="1003"/>
      <c r="V471" s="1003"/>
      <c r="W471" s="1003"/>
      <c r="X471" s="1003"/>
      <c r="Y471" s="1003"/>
      <c r="Z471" s="1003"/>
      <c r="AA471" s="1003"/>
      <c r="AB471" s="1003"/>
      <c r="AC471" s="1003"/>
      <c r="AD471" s="1003"/>
      <c r="AE471" s="1003"/>
    </row>
    <row r="472" spans="1:49" ht="15" customHeight="1">
      <c r="A472" s="189"/>
      <c r="B472" s="1003" t="str">
        <f>IF(OR($V$424=0,$V$424="NS",$V$424="NA"),"",IF(AK465&gt;0,"Favor de revisar la suma y consistencia de totales y/o subtotales por filas (numéricos y NS)",""))</f>
        <v/>
      </c>
      <c r="C472" s="1003"/>
      <c r="D472" s="1003"/>
      <c r="E472" s="1003"/>
      <c r="F472" s="1003"/>
      <c r="G472" s="1003"/>
      <c r="H472" s="1003"/>
      <c r="I472" s="1003"/>
      <c r="J472" s="1003"/>
      <c r="K472" s="1003"/>
      <c r="L472" s="1003"/>
      <c r="M472" s="1003"/>
      <c r="N472" s="1003"/>
      <c r="O472" s="1003"/>
      <c r="P472" s="1003"/>
      <c r="Q472" s="1003"/>
      <c r="R472" s="1003"/>
      <c r="S472" s="1003"/>
      <c r="T472" s="1003"/>
      <c r="U472" s="1003"/>
      <c r="V472" s="1003"/>
      <c r="W472" s="1003"/>
      <c r="X472" s="1003"/>
      <c r="Y472" s="1003"/>
      <c r="Z472" s="1003"/>
      <c r="AA472" s="1003"/>
      <c r="AB472" s="1003"/>
      <c r="AC472" s="1003"/>
      <c r="AD472" s="1003"/>
      <c r="AE472" s="1003"/>
    </row>
    <row r="473" spans="1:49" ht="15" customHeight="1">
      <c r="A473" s="176"/>
      <c r="B473" s="794" t="str">
        <f>IF(OR($V$424=0,$V$424="NS",$V$424="NA"),"",IF(AND(V424=M465,W424=S465,X424=Y465),"","Las cantidades de Hombres y Mujeres debe corresponder con los datos reportados en la preg. anterior"))</f>
        <v/>
      </c>
      <c r="C473" s="794"/>
      <c r="D473" s="794"/>
      <c r="E473" s="794"/>
      <c r="F473" s="794"/>
      <c r="G473" s="794"/>
      <c r="H473" s="794"/>
      <c r="I473" s="794"/>
      <c r="J473" s="794"/>
      <c r="K473" s="794"/>
      <c r="L473" s="794"/>
      <c r="M473" s="794"/>
      <c r="N473" s="794"/>
      <c r="O473" s="794"/>
      <c r="P473" s="794"/>
      <c r="Q473" s="794"/>
      <c r="R473" s="794"/>
      <c r="S473" s="794"/>
      <c r="T473" s="794"/>
      <c r="U473" s="794"/>
      <c r="V473" s="794"/>
      <c r="W473" s="794"/>
      <c r="X473" s="794"/>
      <c r="Y473" s="794"/>
      <c r="Z473" s="794"/>
      <c r="AA473" s="794"/>
      <c r="AB473" s="794"/>
      <c r="AC473" s="794"/>
      <c r="AD473" s="794"/>
      <c r="AE473" s="794"/>
    </row>
    <row r="474" spans="1:49" ht="15" customHeight="1">
      <c r="A474" s="176"/>
      <c r="B474" s="523"/>
      <c r="C474" s="523"/>
      <c r="D474" s="523"/>
      <c r="E474" s="523"/>
      <c r="F474" s="523"/>
      <c r="G474" s="523"/>
      <c r="H474" s="523"/>
      <c r="I474" s="523"/>
      <c r="J474" s="523"/>
      <c r="K474" s="523"/>
      <c r="L474" s="523"/>
      <c r="M474" s="523"/>
      <c r="N474" s="523"/>
      <c r="O474" s="523"/>
      <c r="P474" s="523"/>
      <c r="Q474" s="523"/>
      <c r="R474" s="523"/>
      <c r="S474" s="523"/>
      <c r="T474" s="523"/>
      <c r="U474" s="523"/>
      <c r="V474" s="523"/>
      <c r="W474" s="523"/>
      <c r="X474" s="523"/>
      <c r="Y474" s="523"/>
      <c r="Z474" s="523"/>
      <c r="AA474" s="523"/>
      <c r="AB474" s="523"/>
      <c r="AC474" s="523"/>
      <c r="AD474" s="523"/>
      <c r="AE474" s="523"/>
    </row>
    <row r="475" spans="1:49" ht="36" customHeight="1">
      <c r="A475" s="108" t="s">
        <v>4706</v>
      </c>
      <c r="B475" s="829" t="s">
        <v>4707</v>
      </c>
      <c r="C475" s="829"/>
      <c r="D475" s="829"/>
      <c r="E475" s="829"/>
      <c r="F475" s="829"/>
      <c r="G475" s="829"/>
      <c r="H475" s="829"/>
      <c r="I475" s="829"/>
      <c r="J475" s="829"/>
      <c r="K475" s="829"/>
      <c r="L475" s="829"/>
      <c r="M475" s="829"/>
      <c r="N475" s="829"/>
      <c r="O475" s="829"/>
      <c r="P475" s="829"/>
      <c r="Q475" s="829"/>
      <c r="R475" s="829"/>
      <c r="S475" s="829"/>
      <c r="T475" s="829"/>
      <c r="U475" s="829"/>
      <c r="V475" s="829"/>
      <c r="W475" s="829"/>
      <c r="X475" s="829"/>
      <c r="Y475" s="829"/>
      <c r="Z475" s="829"/>
      <c r="AA475" s="829"/>
      <c r="AB475" s="829"/>
      <c r="AC475" s="829"/>
      <c r="AD475" s="829"/>
    </row>
    <row r="476" spans="1:49" ht="36" customHeight="1">
      <c r="A476" s="176"/>
      <c r="B476" s="57"/>
      <c r="C476" s="754" t="s">
        <v>4708</v>
      </c>
      <c r="D476" s="754"/>
      <c r="E476" s="754"/>
      <c r="F476" s="754"/>
      <c r="G476" s="754"/>
      <c r="H476" s="754"/>
      <c r="I476" s="754"/>
      <c r="J476" s="754"/>
      <c r="K476" s="754"/>
      <c r="L476" s="754"/>
      <c r="M476" s="754"/>
      <c r="N476" s="754"/>
      <c r="O476" s="754"/>
      <c r="P476" s="754"/>
      <c r="Q476" s="754"/>
      <c r="R476" s="754"/>
      <c r="S476" s="754"/>
      <c r="T476" s="754"/>
      <c r="U476" s="754"/>
      <c r="V476" s="754"/>
      <c r="W476" s="754"/>
      <c r="X476" s="754"/>
      <c r="Y476" s="754"/>
      <c r="Z476" s="754"/>
      <c r="AA476" s="754"/>
      <c r="AB476" s="754"/>
      <c r="AC476" s="754"/>
      <c r="AD476" s="754"/>
    </row>
    <row r="477" spans="1:49" ht="15" customHeight="1">
      <c r="A477" s="176"/>
      <c r="B477" s="57"/>
      <c r="C477" s="57"/>
      <c r="D477" s="57"/>
      <c r="E477" s="57"/>
      <c r="F477" s="57"/>
      <c r="G477" s="57"/>
      <c r="H477" s="57"/>
      <c r="I477" s="57"/>
      <c r="J477" s="57"/>
      <c r="K477" s="57"/>
      <c r="L477" s="57"/>
      <c r="M477" s="57"/>
      <c r="N477" s="57"/>
      <c r="O477" s="57"/>
      <c r="P477" s="57"/>
      <c r="Q477" s="57"/>
      <c r="R477" s="57"/>
      <c r="S477" s="57"/>
      <c r="T477" s="57"/>
      <c r="U477" s="57"/>
      <c r="V477" s="57"/>
      <c r="W477" s="57"/>
      <c r="X477" s="57"/>
      <c r="Y477" s="57"/>
      <c r="Z477" s="57"/>
      <c r="AA477" s="57"/>
      <c r="AB477" s="57"/>
      <c r="AC477" s="57"/>
      <c r="AD477" s="57"/>
    </row>
    <row r="478" spans="1:49" ht="36" customHeight="1">
      <c r="A478" s="108"/>
      <c r="B478" s="38"/>
      <c r="C478" s="1091" t="s">
        <v>2581</v>
      </c>
      <c r="D478" s="1092"/>
      <c r="E478" s="1092"/>
      <c r="F478" s="1092"/>
      <c r="G478" s="1092"/>
      <c r="H478" s="1092"/>
      <c r="I478" s="1092"/>
      <c r="J478" s="1092"/>
      <c r="K478" s="1092"/>
      <c r="L478" s="1092"/>
      <c r="M478" s="1092"/>
      <c r="N478" s="1093"/>
      <c r="O478" s="797" t="s">
        <v>4709</v>
      </c>
      <c r="P478" s="798"/>
      <c r="Q478" s="798"/>
      <c r="R478" s="799"/>
      <c r="S478" s="739" t="s">
        <v>4710</v>
      </c>
      <c r="T478" s="740"/>
      <c r="U478" s="740"/>
      <c r="V478" s="740"/>
      <c r="W478" s="740"/>
      <c r="X478" s="740"/>
      <c r="Y478" s="740"/>
      <c r="Z478" s="740"/>
      <c r="AA478" s="740"/>
      <c r="AB478" s="740"/>
      <c r="AC478" s="740"/>
      <c r="AD478" s="741"/>
    </row>
    <row r="479" spans="1:49" ht="72" customHeight="1">
      <c r="A479" s="108"/>
      <c r="B479" s="38"/>
      <c r="C479" s="1094"/>
      <c r="D479" s="1095"/>
      <c r="E479" s="1095"/>
      <c r="F479" s="1095"/>
      <c r="G479" s="1095"/>
      <c r="H479" s="1095"/>
      <c r="I479" s="1095"/>
      <c r="J479" s="1095"/>
      <c r="K479" s="1095"/>
      <c r="L479" s="1095"/>
      <c r="M479" s="1095"/>
      <c r="N479" s="1096"/>
      <c r="O479" s="800"/>
      <c r="P479" s="801"/>
      <c r="Q479" s="801"/>
      <c r="R479" s="802"/>
      <c r="S479" s="887" t="s">
        <v>2628</v>
      </c>
      <c r="T479" s="889" t="s">
        <v>2629</v>
      </c>
      <c r="U479" s="889" t="s">
        <v>2630</v>
      </c>
      <c r="V479" s="858" t="s">
        <v>4711</v>
      </c>
      <c r="W479" s="859"/>
      <c r="X479" s="860"/>
      <c r="Y479" s="858" t="s">
        <v>4712</v>
      </c>
      <c r="Z479" s="859"/>
      <c r="AA479" s="860"/>
      <c r="AB479" s="858" t="s">
        <v>201</v>
      </c>
      <c r="AC479" s="859"/>
      <c r="AD479" s="860"/>
    </row>
    <row r="480" spans="1:49" ht="48" customHeight="1">
      <c r="A480" s="108"/>
      <c r="B480" s="38"/>
      <c r="C480" s="1097"/>
      <c r="D480" s="1098"/>
      <c r="E480" s="1098"/>
      <c r="F480" s="1098"/>
      <c r="G480" s="1098"/>
      <c r="H480" s="1098"/>
      <c r="I480" s="1098"/>
      <c r="J480" s="1098"/>
      <c r="K480" s="1098"/>
      <c r="L480" s="1098"/>
      <c r="M480" s="1098"/>
      <c r="N480" s="1099"/>
      <c r="O480" s="803"/>
      <c r="P480" s="804"/>
      <c r="Q480" s="804"/>
      <c r="R480" s="805"/>
      <c r="S480" s="888"/>
      <c r="T480" s="890"/>
      <c r="U480" s="890"/>
      <c r="V480" s="171" t="s">
        <v>2635</v>
      </c>
      <c r="W480" s="128" t="s">
        <v>2629</v>
      </c>
      <c r="X480" s="128" t="s">
        <v>2630</v>
      </c>
      <c r="Y480" s="171" t="s">
        <v>2635</v>
      </c>
      <c r="Z480" s="128" t="s">
        <v>2629</v>
      </c>
      <c r="AA480" s="128" t="s">
        <v>2630</v>
      </c>
      <c r="AB480" s="171" t="s">
        <v>2635</v>
      </c>
      <c r="AC480" s="128" t="s">
        <v>2629</v>
      </c>
      <c r="AD480" s="128" t="s">
        <v>2630</v>
      </c>
      <c r="AF480" t="s">
        <v>4713</v>
      </c>
      <c r="AG480" t="s">
        <v>2586</v>
      </c>
      <c r="AH480" t="s">
        <v>4581</v>
      </c>
      <c r="AI480" s="640" t="s">
        <v>4714</v>
      </c>
      <c r="AK480" t="s">
        <v>4573</v>
      </c>
      <c r="AL480" t="s">
        <v>2638</v>
      </c>
      <c r="AM480" t="s">
        <v>2639</v>
      </c>
      <c r="AN480" t="s">
        <v>4574</v>
      </c>
      <c r="AO480" t="s">
        <v>2641</v>
      </c>
      <c r="AP480" t="s">
        <v>2642</v>
      </c>
      <c r="AQ480" t="s">
        <v>4575</v>
      </c>
      <c r="AR480" t="s">
        <v>2644</v>
      </c>
      <c r="AS480" t="s">
        <v>2645</v>
      </c>
      <c r="AT480" t="s">
        <v>4576</v>
      </c>
      <c r="AU480" t="s">
        <v>2647</v>
      </c>
      <c r="AV480" t="s">
        <v>2648</v>
      </c>
      <c r="AW480" t="s">
        <v>4582</v>
      </c>
    </row>
    <row r="481" spans="1:49" ht="15" customHeight="1">
      <c r="A481" s="108"/>
      <c r="B481" s="38"/>
      <c r="C481" s="97" t="s">
        <v>2516</v>
      </c>
      <c r="D481" s="813" t="str">
        <f>IF(CNSIPEE_2024_M2_Secc1!D42="","",CNSIPEE_2024_M2_Secc1!D42)</f>
        <v/>
      </c>
      <c r="E481" s="814"/>
      <c r="F481" s="814"/>
      <c r="G481" s="814"/>
      <c r="H481" s="814"/>
      <c r="I481" s="814"/>
      <c r="J481" s="814"/>
      <c r="K481" s="814"/>
      <c r="L481" s="814"/>
      <c r="M481" s="814"/>
      <c r="N481" s="815"/>
      <c r="O481" s="816"/>
      <c r="P481" s="738"/>
      <c r="Q481" s="738"/>
      <c r="R481" s="817"/>
      <c r="S481" s="100"/>
      <c r="T481" s="100"/>
      <c r="U481" s="100"/>
      <c r="V481" s="100"/>
      <c r="W481" s="100"/>
      <c r="X481" s="100"/>
      <c r="Y481" s="100"/>
      <c r="Z481" s="100"/>
      <c r="AA481" s="100"/>
      <c r="AB481" s="100"/>
      <c r="AC481" s="100"/>
      <c r="AD481" s="100"/>
      <c r="AF481">
        <f t="shared" ref="AF481:AF488" si="239">IF(AND(O481=1,S481=0),1,0)</f>
        <v>0</v>
      </c>
      <c r="AG481">
        <f>IF(OR(AND(O481&gt;1,D481&lt;&gt;""),OR($M63=0,$M63="NS",$M63="NA"),O481&gt;1),0,IF(OR(COUNTBLANK(D481:AD481)=13,COUNTBLANK(D481:AD481)=27),0,1))</f>
        <v>0</v>
      </c>
      <c r="AH481">
        <f>IF(OR($M63=0,$M63="NS",$M63="NA"),IF(COUNTBLANK(O481:AD481)=16,0,1),IF(O481&gt;1,IF(COUNTBLANK(S481:AD481)=12,0,1),0))</f>
        <v>0</v>
      </c>
      <c r="AI481" s="640">
        <f t="shared" ref="AI481:AI488" si="240">IF(AND(COUNTIF(O481,"&gt;1")=0,O481&lt;&gt;""),0,IF(OR(COUNTIF(O481,"&gt;1")=(1-COUNTBLANK(D481)),AND(COUNTBLANK(D481)=0,COUNTBLANK(O481)=1),AND(COUNTBLANK(D481)=1,COUNTBLANK(O481)=1)),1,0))</f>
        <v>1</v>
      </c>
      <c r="AK481">
        <f t="shared" ref="AK481" si="241">COUNTIF(T481:U481,"NS")</f>
        <v>0</v>
      </c>
      <c r="AL481">
        <f t="shared" ref="AL481" si="242">SUM(T481:U481)</f>
        <v>0</v>
      </c>
      <c r="AM481">
        <f t="shared" ref="AM481" si="243">IF(COUNTIF(S481:U481,"NA")=3,0,IF(COUNTA(S481:U481)=0,0,IF(OR(AND(S481=0,AK481&gt;0),AND(S481="ns",AL481&gt;0),AND(S481="ns",AK481=0,AL481=0)),1,IF(OR(AND(S481&gt;0,AK481=2),AND(S481="ns",AK481=2),AND(S481="ns",AL481=0,AK481&gt;0),S481=AL481),0,1))))</f>
        <v>0</v>
      </c>
      <c r="AN481">
        <f t="shared" ref="AN481" si="244">COUNTIF(W481:X481,"NS")</f>
        <v>0</v>
      </c>
      <c r="AO481">
        <f t="shared" ref="AO481" si="245">SUM(W481:X481)</f>
        <v>0</v>
      </c>
      <c r="AP481">
        <f t="shared" ref="AP481" si="246">IF(COUNTIF(V481:X481,"NA")=3,0,IF(COUNTA(V481:X481)=0,0,IF(OR(AND(V481=0,AN481&gt;0),AND(V481="ns",AO481&gt;0),AND(V481="ns",AN481=0,AO481=0)),1,IF(OR(AND(V481&gt;0,AN481=2),AND(V481="ns",AN481=2),AND(V481="ns",AO481=0,AN481&gt;0),V481=AO481),0,1))))</f>
        <v>0</v>
      </c>
      <c r="AQ481">
        <f t="shared" ref="AQ481" si="247">COUNTIF(Z481:AA481,"NS")</f>
        <v>0</v>
      </c>
      <c r="AR481">
        <f t="shared" ref="AR481" si="248">SUM(Z481:AA481)</f>
        <v>0</v>
      </c>
      <c r="AS481">
        <f t="shared" ref="AS481" si="249">IF(COUNTIF(Y481:AA481,"NA")=3,0,IF(COUNTA(Y481:AA481)=0,0,IF(OR(AND(Y481=0,AQ481&gt;0),AND(Y481="ns",AR481&gt;0),AND(Y481="ns",AQ481=0,AR481=0)),1,IF(OR(AND(Y481&gt;0,AQ481=2),AND(Y481="ns",AQ481=2),AND(Y481="ns",AR481=0,AQ481&gt;0),Y481=AR481),0,1))))</f>
        <v>0</v>
      </c>
      <c r="AT481">
        <f t="shared" ref="AT481" si="250">COUNTIF(AC481:AD481,"NS")</f>
        <v>0</v>
      </c>
      <c r="AU481">
        <f t="shared" ref="AU481" si="251">SUM(AC481:AD481)</f>
        <v>0</v>
      </c>
      <c r="AV481">
        <f t="shared" ref="AV481" si="252">IF(COUNTIF(AB481:AD481,"NA")=3,0,IF(COUNTA(AB481:AD481)=0,0,IF(OR(AND(AB481=0,AT481&gt;0),AND(AB481="ns",AU481&gt;0),AND(AB481="ns",AT481=0,AU481=0)),1,IF(OR(AND(AB481&gt;0,AT481=2),AND(AB481="ns",AT481=2),AND(AB481="ns",AU481=0,AT481&gt;0),AB481=AU481),0,1))))</f>
        <v>0</v>
      </c>
      <c r="AW481">
        <f>IF(OR(OR($M63=0,$M63="NS",$M63="NA"),O481&gt;1),0,IF(AND(M63=S481,S63=T481,Y63=U481),0,1))</f>
        <v>0</v>
      </c>
    </row>
    <row r="482" spans="1:49" ht="15" customHeight="1">
      <c r="A482" s="108"/>
      <c r="B482" s="38"/>
      <c r="C482" s="98" t="s">
        <v>2517</v>
      </c>
      <c r="D482" s="813" t="str">
        <f>IF(CNSIPEE_2024_M2_Secc1!D43="","",CNSIPEE_2024_M2_Secc1!D43)</f>
        <v/>
      </c>
      <c r="E482" s="814"/>
      <c r="F482" s="814"/>
      <c r="G482" s="814"/>
      <c r="H482" s="814"/>
      <c r="I482" s="814"/>
      <c r="J482" s="814"/>
      <c r="K482" s="814"/>
      <c r="L482" s="814"/>
      <c r="M482" s="814"/>
      <c r="N482" s="815"/>
      <c r="O482" s="816"/>
      <c r="P482" s="738"/>
      <c r="Q482" s="738"/>
      <c r="R482" s="817"/>
      <c r="S482" s="100"/>
      <c r="T482" s="100"/>
      <c r="U482" s="100"/>
      <c r="V482" s="100"/>
      <c r="W482" s="100"/>
      <c r="X482" s="100"/>
      <c r="Y482" s="100"/>
      <c r="Z482" s="100"/>
      <c r="AA482" s="100"/>
      <c r="AB482" s="100"/>
      <c r="AC482" s="100"/>
      <c r="AD482" s="100"/>
      <c r="AF482">
        <f t="shared" si="239"/>
        <v>0</v>
      </c>
      <c r="AG482">
        <f t="shared" ref="AG482:AG488" si="253">IF(OR(AND(O482&gt;1,D482&lt;&gt;""),OR($M64=0,$M64="NS",$M64="NA"),O482&gt;1),0,IF(OR(COUNTBLANK(D482:AD482)=13,COUNTBLANK(D482:AD482)=27),0,1))</f>
        <v>0</v>
      </c>
      <c r="AH482">
        <f t="shared" ref="AH482:AH488" si="254">IF(OR($M64=0,$M64="NS",$M64="NA"),IF(COUNTBLANK(O482:AD482)=16,0,1),IF(O482&gt;1,IF(COUNTBLANK(S482:AD482)=12,0,1),0))</f>
        <v>0</v>
      </c>
      <c r="AI482" s="640">
        <f t="shared" si="240"/>
        <v>1</v>
      </c>
      <c r="AK482">
        <f t="shared" ref="AK482:AK488" si="255">COUNTIF(T482:U482,"NS")</f>
        <v>0</v>
      </c>
      <c r="AL482">
        <f t="shared" ref="AL482:AL488" si="256">SUM(T482:U482)</f>
        <v>0</v>
      </c>
      <c r="AM482">
        <f t="shared" ref="AM482:AM488" si="257">IF(COUNTIF(S482:U482,"NA")=3,0,IF(COUNTA(S482:U482)=0,0,IF(OR(AND(S482=0,AK482&gt;0),AND(S482="ns",AL482&gt;0),AND(S482="ns",AK482=0,AL482=0)),1,IF(OR(AND(S482&gt;0,AK482=2),AND(S482="ns",AK482=2),AND(S482="ns",AL482=0,AK482&gt;0),S482=AL482),0,1))))</f>
        <v>0</v>
      </c>
      <c r="AN482">
        <f t="shared" ref="AN482:AN488" si="258">COUNTIF(W482:X482,"NS")</f>
        <v>0</v>
      </c>
      <c r="AO482">
        <f t="shared" ref="AO482:AO488" si="259">SUM(W482:X482)</f>
        <v>0</v>
      </c>
      <c r="AP482">
        <f t="shared" ref="AP482:AP488" si="260">IF(COUNTIF(V482:X482,"NA")=3,0,IF(COUNTA(V482:X482)=0,0,IF(OR(AND(V482=0,AN482&gt;0),AND(V482="ns",AO482&gt;0),AND(V482="ns",AN482=0,AO482=0)),1,IF(OR(AND(V482&gt;0,AN482=2),AND(V482="ns",AN482=2),AND(V482="ns",AO482=0,AN482&gt;0),V482=AO482),0,1))))</f>
        <v>0</v>
      </c>
      <c r="AQ482">
        <f t="shared" ref="AQ482:AQ488" si="261">COUNTIF(Z482:AA482,"NS")</f>
        <v>0</v>
      </c>
      <c r="AR482">
        <f t="shared" ref="AR482:AR488" si="262">SUM(Z482:AA482)</f>
        <v>0</v>
      </c>
      <c r="AS482">
        <f t="shared" ref="AS482:AS488" si="263">IF(COUNTIF(Y482:AA482,"NA")=3,0,IF(COUNTA(Y482:AA482)=0,0,IF(OR(AND(Y482=0,AQ482&gt;0),AND(Y482="ns",AR482&gt;0),AND(Y482="ns",AQ482=0,AR482=0)),1,IF(OR(AND(Y482&gt;0,AQ482=2),AND(Y482="ns",AQ482=2),AND(Y482="ns",AR482=0,AQ482&gt;0),Y482=AR482),0,1))))</f>
        <v>0</v>
      </c>
      <c r="AT482">
        <f t="shared" ref="AT482:AT488" si="264">COUNTIF(AC482:AD482,"NS")</f>
        <v>0</v>
      </c>
      <c r="AU482">
        <f t="shared" ref="AU482:AU488" si="265">SUM(AC482:AD482)</f>
        <v>0</v>
      </c>
      <c r="AV482">
        <f t="shared" ref="AV482:AV488" si="266">IF(COUNTIF(AB482:AD482,"NA")=3,0,IF(COUNTA(AB482:AD482)=0,0,IF(OR(AND(AB482=0,AT482&gt;0),AND(AB482="ns",AU482&gt;0),AND(AB482="ns",AT482=0,AU482=0)),1,IF(OR(AND(AB482&gt;0,AT482=2),AND(AB482="ns",AT482=2),AND(AB482="ns",AU482=0,AT482&gt;0),AB482=AU482),0,1))))</f>
        <v>0</v>
      </c>
      <c r="AW482">
        <f t="shared" ref="AW482:AW488" si="267">IF(OR(OR($M64=0,$M64="NS",$M64="NA"),O482&gt;1),0,IF(AND(M64=S482,S64=T482,Y64=U482),0,1))</f>
        <v>0</v>
      </c>
    </row>
    <row r="483" spans="1:49" ht="15" customHeight="1">
      <c r="A483" s="186"/>
      <c r="B483" s="57"/>
      <c r="C483" s="98" t="s">
        <v>2518</v>
      </c>
      <c r="D483" s="813" t="str">
        <f>IF(CNSIPEE_2024_M2_Secc1!D44="","",CNSIPEE_2024_M2_Secc1!D44)</f>
        <v/>
      </c>
      <c r="E483" s="814"/>
      <c r="F483" s="814"/>
      <c r="G483" s="814"/>
      <c r="H483" s="814"/>
      <c r="I483" s="814"/>
      <c r="J483" s="814"/>
      <c r="K483" s="814"/>
      <c r="L483" s="814"/>
      <c r="M483" s="814"/>
      <c r="N483" s="815"/>
      <c r="O483" s="816"/>
      <c r="P483" s="738"/>
      <c r="Q483" s="738"/>
      <c r="R483" s="817"/>
      <c r="S483" s="100"/>
      <c r="T483" s="100"/>
      <c r="U483" s="100"/>
      <c r="V483" s="100"/>
      <c r="W483" s="100"/>
      <c r="X483" s="100"/>
      <c r="Y483" s="100"/>
      <c r="Z483" s="100"/>
      <c r="AA483" s="100"/>
      <c r="AB483" s="100"/>
      <c r="AC483" s="100"/>
      <c r="AD483" s="100"/>
      <c r="AF483">
        <f t="shared" si="239"/>
        <v>0</v>
      </c>
      <c r="AG483">
        <f t="shared" si="253"/>
        <v>0</v>
      </c>
      <c r="AH483">
        <f t="shared" si="254"/>
        <v>0</v>
      </c>
      <c r="AI483" s="640">
        <f t="shared" si="240"/>
        <v>1</v>
      </c>
      <c r="AK483">
        <f t="shared" si="255"/>
        <v>0</v>
      </c>
      <c r="AL483">
        <f t="shared" si="256"/>
        <v>0</v>
      </c>
      <c r="AM483">
        <f t="shared" si="257"/>
        <v>0</v>
      </c>
      <c r="AN483">
        <f t="shared" si="258"/>
        <v>0</v>
      </c>
      <c r="AO483">
        <f t="shared" si="259"/>
        <v>0</v>
      </c>
      <c r="AP483">
        <f t="shared" si="260"/>
        <v>0</v>
      </c>
      <c r="AQ483">
        <f t="shared" si="261"/>
        <v>0</v>
      </c>
      <c r="AR483">
        <f t="shared" si="262"/>
        <v>0</v>
      </c>
      <c r="AS483">
        <f t="shared" si="263"/>
        <v>0</v>
      </c>
      <c r="AT483">
        <f t="shared" si="264"/>
        <v>0</v>
      </c>
      <c r="AU483">
        <f t="shared" si="265"/>
        <v>0</v>
      </c>
      <c r="AV483">
        <f t="shared" si="266"/>
        <v>0</v>
      </c>
      <c r="AW483">
        <f t="shared" si="267"/>
        <v>0</v>
      </c>
    </row>
    <row r="484" spans="1:49" ht="15" customHeight="1">
      <c r="A484" s="186"/>
      <c r="B484" s="57"/>
      <c r="C484" s="98" t="s">
        <v>2519</v>
      </c>
      <c r="D484" s="813" t="str">
        <f>IF(CNSIPEE_2024_M2_Secc1!D45="","",CNSIPEE_2024_M2_Secc1!D45)</f>
        <v/>
      </c>
      <c r="E484" s="814"/>
      <c r="F484" s="814"/>
      <c r="G484" s="814"/>
      <c r="H484" s="814"/>
      <c r="I484" s="814"/>
      <c r="J484" s="814"/>
      <c r="K484" s="814"/>
      <c r="L484" s="814"/>
      <c r="M484" s="814"/>
      <c r="N484" s="815"/>
      <c r="O484" s="816"/>
      <c r="P484" s="738"/>
      <c r="Q484" s="738"/>
      <c r="R484" s="817"/>
      <c r="S484" s="100"/>
      <c r="T484" s="100"/>
      <c r="U484" s="100"/>
      <c r="V484" s="100"/>
      <c r="W484" s="100"/>
      <c r="X484" s="100"/>
      <c r="Y484" s="100"/>
      <c r="Z484" s="100"/>
      <c r="AA484" s="100"/>
      <c r="AB484" s="100"/>
      <c r="AC484" s="100"/>
      <c r="AD484" s="100"/>
      <c r="AF484">
        <f t="shared" si="239"/>
        <v>0</v>
      </c>
      <c r="AG484">
        <f t="shared" si="253"/>
        <v>0</v>
      </c>
      <c r="AH484">
        <f t="shared" si="254"/>
        <v>0</v>
      </c>
      <c r="AI484" s="640">
        <f t="shared" si="240"/>
        <v>1</v>
      </c>
      <c r="AK484">
        <f t="shared" si="255"/>
        <v>0</v>
      </c>
      <c r="AL484">
        <f t="shared" si="256"/>
        <v>0</v>
      </c>
      <c r="AM484">
        <f t="shared" si="257"/>
        <v>0</v>
      </c>
      <c r="AN484">
        <f t="shared" si="258"/>
        <v>0</v>
      </c>
      <c r="AO484">
        <f t="shared" si="259"/>
        <v>0</v>
      </c>
      <c r="AP484">
        <f t="shared" si="260"/>
        <v>0</v>
      </c>
      <c r="AQ484">
        <f t="shared" si="261"/>
        <v>0</v>
      </c>
      <c r="AR484">
        <f t="shared" si="262"/>
        <v>0</v>
      </c>
      <c r="AS484">
        <f t="shared" si="263"/>
        <v>0</v>
      </c>
      <c r="AT484">
        <f t="shared" si="264"/>
        <v>0</v>
      </c>
      <c r="AU484">
        <f t="shared" si="265"/>
        <v>0</v>
      </c>
      <c r="AV484">
        <f t="shared" si="266"/>
        <v>0</v>
      </c>
      <c r="AW484">
        <f t="shared" si="267"/>
        <v>0</v>
      </c>
    </row>
    <row r="485" spans="1:49" ht="15" customHeight="1">
      <c r="A485" s="186"/>
      <c r="B485" s="57"/>
      <c r="C485" s="98" t="s">
        <v>2520</v>
      </c>
      <c r="D485" s="813" t="str">
        <f>IF(CNSIPEE_2024_M2_Secc1!D46="","",CNSIPEE_2024_M2_Secc1!D46)</f>
        <v/>
      </c>
      <c r="E485" s="814"/>
      <c r="F485" s="814"/>
      <c r="G485" s="814"/>
      <c r="H485" s="814"/>
      <c r="I485" s="814"/>
      <c r="J485" s="814"/>
      <c r="K485" s="814"/>
      <c r="L485" s="814"/>
      <c r="M485" s="814"/>
      <c r="N485" s="815"/>
      <c r="O485" s="816"/>
      <c r="P485" s="738"/>
      <c r="Q485" s="738"/>
      <c r="R485" s="817"/>
      <c r="S485" s="100"/>
      <c r="T485" s="100"/>
      <c r="U485" s="100"/>
      <c r="V485" s="100"/>
      <c r="W485" s="100"/>
      <c r="X485" s="100"/>
      <c r="Y485" s="100"/>
      <c r="Z485" s="100"/>
      <c r="AA485" s="100"/>
      <c r="AB485" s="100"/>
      <c r="AC485" s="100"/>
      <c r="AD485" s="100"/>
      <c r="AF485">
        <f t="shared" si="239"/>
        <v>0</v>
      </c>
      <c r="AG485">
        <f t="shared" si="253"/>
        <v>0</v>
      </c>
      <c r="AH485">
        <f t="shared" si="254"/>
        <v>0</v>
      </c>
      <c r="AI485" s="640">
        <f t="shared" si="240"/>
        <v>1</v>
      </c>
      <c r="AK485">
        <f t="shared" si="255"/>
        <v>0</v>
      </c>
      <c r="AL485">
        <f t="shared" si="256"/>
        <v>0</v>
      </c>
      <c r="AM485">
        <f t="shared" si="257"/>
        <v>0</v>
      </c>
      <c r="AN485">
        <f t="shared" si="258"/>
        <v>0</v>
      </c>
      <c r="AO485">
        <f t="shared" si="259"/>
        <v>0</v>
      </c>
      <c r="AP485">
        <f t="shared" si="260"/>
        <v>0</v>
      </c>
      <c r="AQ485">
        <f t="shared" si="261"/>
        <v>0</v>
      </c>
      <c r="AR485">
        <f t="shared" si="262"/>
        <v>0</v>
      </c>
      <c r="AS485">
        <f t="shared" si="263"/>
        <v>0</v>
      </c>
      <c r="AT485">
        <f t="shared" si="264"/>
        <v>0</v>
      </c>
      <c r="AU485">
        <f t="shared" si="265"/>
        <v>0</v>
      </c>
      <c r="AV485">
        <f t="shared" si="266"/>
        <v>0</v>
      </c>
      <c r="AW485">
        <f t="shared" si="267"/>
        <v>0</v>
      </c>
    </row>
    <row r="486" spans="1:49" ht="15" customHeight="1">
      <c r="A486" s="186"/>
      <c r="B486" s="57"/>
      <c r="C486" s="98" t="s">
        <v>2521</v>
      </c>
      <c r="D486" s="813" t="str">
        <f>IF(CNSIPEE_2024_M2_Secc1!D47="","",CNSIPEE_2024_M2_Secc1!D47)</f>
        <v/>
      </c>
      <c r="E486" s="814"/>
      <c r="F486" s="814"/>
      <c r="G486" s="814"/>
      <c r="H486" s="814"/>
      <c r="I486" s="814"/>
      <c r="J486" s="814"/>
      <c r="K486" s="814"/>
      <c r="L486" s="814"/>
      <c r="M486" s="814"/>
      <c r="N486" s="815"/>
      <c r="O486" s="816"/>
      <c r="P486" s="738"/>
      <c r="Q486" s="738"/>
      <c r="R486" s="817"/>
      <c r="S486" s="100"/>
      <c r="T486" s="100"/>
      <c r="U486" s="100"/>
      <c r="V486" s="100"/>
      <c r="W486" s="100"/>
      <c r="X486" s="100"/>
      <c r="Y486" s="100"/>
      <c r="Z486" s="100"/>
      <c r="AA486" s="100"/>
      <c r="AB486" s="100"/>
      <c r="AC486" s="100"/>
      <c r="AD486" s="100"/>
      <c r="AF486">
        <f t="shared" si="239"/>
        <v>0</v>
      </c>
      <c r="AG486">
        <f t="shared" si="253"/>
        <v>0</v>
      </c>
      <c r="AH486">
        <f t="shared" si="254"/>
        <v>0</v>
      </c>
      <c r="AI486" s="640">
        <f t="shared" si="240"/>
        <v>1</v>
      </c>
      <c r="AK486">
        <f t="shared" si="255"/>
        <v>0</v>
      </c>
      <c r="AL486">
        <f t="shared" si="256"/>
        <v>0</v>
      </c>
      <c r="AM486">
        <f t="shared" si="257"/>
        <v>0</v>
      </c>
      <c r="AN486">
        <f t="shared" si="258"/>
        <v>0</v>
      </c>
      <c r="AO486">
        <f t="shared" si="259"/>
        <v>0</v>
      </c>
      <c r="AP486">
        <f t="shared" si="260"/>
        <v>0</v>
      </c>
      <c r="AQ486">
        <f t="shared" si="261"/>
        <v>0</v>
      </c>
      <c r="AR486">
        <f t="shared" si="262"/>
        <v>0</v>
      </c>
      <c r="AS486">
        <f t="shared" si="263"/>
        <v>0</v>
      </c>
      <c r="AT486">
        <f t="shared" si="264"/>
        <v>0</v>
      </c>
      <c r="AU486">
        <f t="shared" si="265"/>
        <v>0</v>
      </c>
      <c r="AV486">
        <f t="shared" si="266"/>
        <v>0</v>
      </c>
      <c r="AW486">
        <f t="shared" si="267"/>
        <v>0</v>
      </c>
    </row>
    <row r="487" spans="1:49" ht="15" customHeight="1">
      <c r="A487" s="186"/>
      <c r="B487" s="57"/>
      <c r="C487" s="98" t="s">
        <v>2522</v>
      </c>
      <c r="D487" s="813" t="str">
        <f>IF(CNSIPEE_2024_M2_Secc1!D48="","",CNSIPEE_2024_M2_Secc1!D48)</f>
        <v/>
      </c>
      <c r="E487" s="814"/>
      <c r="F487" s="814"/>
      <c r="G487" s="814"/>
      <c r="H487" s="814"/>
      <c r="I487" s="814"/>
      <c r="J487" s="814"/>
      <c r="K487" s="814"/>
      <c r="L487" s="814"/>
      <c r="M487" s="814"/>
      <c r="N487" s="815"/>
      <c r="O487" s="816"/>
      <c r="P487" s="738"/>
      <c r="Q487" s="738"/>
      <c r="R487" s="817"/>
      <c r="S487" s="100"/>
      <c r="T487" s="100"/>
      <c r="U487" s="100"/>
      <c r="V487" s="100"/>
      <c r="W487" s="100"/>
      <c r="X487" s="100"/>
      <c r="Y487" s="100"/>
      <c r="Z487" s="100"/>
      <c r="AA487" s="100"/>
      <c r="AB487" s="100"/>
      <c r="AC487" s="100"/>
      <c r="AD487" s="100"/>
      <c r="AF487">
        <f t="shared" si="239"/>
        <v>0</v>
      </c>
      <c r="AG487">
        <f t="shared" si="253"/>
        <v>0</v>
      </c>
      <c r="AH487">
        <f t="shared" si="254"/>
        <v>0</v>
      </c>
      <c r="AI487" s="640">
        <f t="shared" si="240"/>
        <v>1</v>
      </c>
      <c r="AK487">
        <f t="shared" si="255"/>
        <v>0</v>
      </c>
      <c r="AL487">
        <f t="shared" si="256"/>
        <v>0</v>
      </c>
      <c r="AM487">
        <f t="shared" si="257"/>
        <v>0</v>
      </c>
      <c r="AN487">
        <f t="shared" si="258"/>
        <v>0</v>
      </c>
      <c r="AO487">
        <f t="shared" si="259"/>
        <v>0</v>
      </c>
      <c r="AP487">
        <f t="shared" si="260"/>
        <v>0</v>
      </c>
      <c r="AQ487">
        <f t="shared" si="261"/>
        <v>0</v>
      </c>
      <c r="AR487">
        <f t="shared" si="262"/>
        <v>0</v>
      </c>
      <c r="AS487">
        <f t="shared" si="263"/>
        <v>0</v>
      </c>
      <c r="AT487">
        <f t="shared" si="264"/>
        <v>0</v>
      </c>
      <c r="AU487">
        <f t="shared" si="265"/>
        <v>0</v>
      </c>
      <c r="AV487">
        <f t="shared" si="266"/>
        <v>0</v>
      </c>
      <c r="AW487">
        <f t="shared" si="267"/>
        <v>0</v>
      </c>
    </row>
    <row r="488" spans="1:49" ht="15" customHeight="1">
      <c r="A488" s="186"/>
      <c r="B488" s="57"/>
      <c r="C488" s="98" t="s">
        <v>2523</v>
      </c>
      <c r="D488" s="813" t="str">
        <f>IF(CNSIPEE_2024_M2_Secc1!D49="","",CNSIPEE_2024_M2_Secc1!D49)</f>
        <v/>
      </c>
      <c r="E488" s="814"/>
      <c r="F488" s="814"/>
      <c r="G488" s="814"/>
      <c r="H488" s="814"/>
      <c r="I488" s="814"/>
      <c r="J488" s="814"/>
      <c r="K488" s="814"/>
      <c r="L488" s="814"/>
      <c r="M488" s="814"/>
      <c r="N488" s="815"/>
      <c r="O488" s="816"/>
      <c r="P488" s="738"/>
      <c r="Q488" s="738"/>
      <c r="R488" s="817"/>
      <c r="S488" s="100"/>
      <c r="T488" s="100"/>
      <c r="U488" s="100"/>
      <c r="V488" s="100"/>
      <c r="W488" s="100"/>
      <c r="X488" s="100"/>
      <c r="Y488" s="100"/>
      <c r="Z488" s="100"/>
      <c r="AA488" s="100"/>
      <c r="AB488" s="100"/>
      <c r="AC488" s="100"/>
      <c r="AD488" s="100"/>
      <c r="AF488">
        <f t="shared" si="239"/>
        <v>0</v>
      </c>
      <c r="AG488">
        <f t="shared" si="253"/>
        <v>0</v>
      </c>
      <c r="AH488">
        <f t="shared" si="254"/>
        <v>0</v>
      </c>
      <c r="AI488" s="640">
        <f t="shared" si="240"/>
        <v>1</v>
      </c>
      <c r="AK488">
        <f t="shared" si="255"/>
        <v>0</v>
      </c>
      <c r="AL488">
        <f t="shared" si="256"/>
        <v>0</v>
      </c>
      <c r="AM488">
        <f t="shared" si="257"/>
        <v>0</v>
      </c>
      <c r="AN488">
        <f t="shared" si="258"/>
        <v>0</v>
      </c>
      <c r="AO488">
        <f t="shared" si="259"/>
        <v>0</v>
      </c>
      <c r="AP488">
        <f t="shared" si="260"/>
        <v>0</v>
      </c>
      <c r="AQ488">
        <f t="shared" si="261"/>
        <v>0</v>
      </c>
      <c r="AR488">
        <f t="shared" si="262"/>
        <v>0</v>
      </c>
      <c r="AS488">
        <f t="shared" si="263"/>
        <v>0</v>
      </c>
      <c r="AT488">
        <f t="shared" si="264"/>
        <v>0</v>
      </c>
      <c r="AU488">
        <f t="shared" si="265"/>
        <v>0</v>
      </c>
      <c r="AV488">
        <f t="shared" si="266"/>
        <v>0</v>
      </c>
      <c r="AW488">
        <f t="shared" si="267"/>
        <v>0</v>
      </c>
    </row>
    <row r="489" spans="1:49" ht="15" customHeight="1">
      <c r="A489" s="186"/>
      <c r="B489" s="57"/>
      <c r="C489" s="70"/>
      <c r="D489" s="84"/>
      <c r="E489" s="84"/>
      <c r="F489" s="84"/>
      <c r="G489" s="84"/>
      <c r="H489" s="84"/>
      <c r="I489" s="84"/>
      <c r="J489" s="84"/>
      <c r="K489" s="84"/>
      <c r="L489" s="84"/>
      <c r="M489" s="84"/>
      <c r="N489" s="84"/>
      <c r="O489" s="84"/>
      <c r="P489" s="84"/>
      <c r="Q489" s="84"/>
      <c r="R489" s="117" t="s">
        <v>2649</v>
      </c>
      <c r="S489" s="124">
        <f t="shared" ref="S489:AD489" si="268">IF(AND(SUM(S481:S488)=0,COUNTIF(S481:S488,"NS")&gt;0),"NS",IF(AND(SUM(S481:S488)=0,COUNTIF(S481:S488,0)&gt;0),0,IF(AND(SUM(S481:S488)=0,COUNTIF(S481:S488,"NA")&gt;0),"NA",SUM(S481:S488))))</f>
        <v>0</v>
      </c>
      <c r="T489" s="124">
        <f t="shared" si="268"/>
        <v>0</v>
      </c>
      <c r="U489" s="124">
        <f t="shared" si="268"/>
        <v>0</v>
      </c>
      <c r="V489" s="124">
        <f t="shared" si="268"/>
        <v>0</v>
      </c>
      <c r="W489" s="124">
        <f t="shared" si="268"/>
        <v>0</v>
      </c>
      <c r="X489" s="124">
        <f t="shared" si="268"/>
        <v>0</v>
      </c>
      <c r="Y489" s="124">
        <f t="shared" si="268"/>
        <v>0</v>
      </c>
      <c r="Z489" s="124">
        <f t="shared" si="268"/>
        <v>0</v>
      </c>
      <c r="AA489" s="124">
        <f t="shared" si="268"/>
        <v>0</v>
      </c>
      <c r="AB489" s="124">
        <f t="shared" si="268"/>
        <v>0</v>
      </c>
      <c r="AC489" s="124">
        <f t="shared" si="268"/>
        <v>0</v>
      </c>
      <c r="AD489" s="124">
        <f t="shared" si="268"/>
        <v>0</v>
      </c>
      <c r="AF489" s="507">
        <f>SUM(AF481:AF488)</f>
        <v>0</v>
      </c>
      <c r="AG489" s="507">
        <f>SUM(AG481:AG488)</f>
        <v>0</v>
      </c>
      <c r="AH489" s="507">
        <f>SUM(AH481:AH488)</f>
        <v>0</v>
      </c>
      <c r="AI489" s="640">
        <f>SUM(AI481:AI488)</f>
        <v>8</v>
      </c>
      <c r="AK489">
        <f>SUM(AK481:AK488)</f>
        <v>0</v>
      </c>
      <c r="AM489">
        <f>SUM(AM481:AM488)</f>
        <v>0</v>
      </c>
      <c r="AN489">
        <f>SUM(AN481:AN488)</f>
        <v>0</v>
      </c>
      <c r="AP489">
        <f>SUM(AP481:AP488)</f>
        <v>0</v>
      </c>
      <c r="AQ489">
        <f>SUM(AQ481:AQ488)</f>
        <v>0</v>
      </c>
      <c r="AS489">
        <f>SUM(AS481:AS488)</f>
        <v>0</v>
      </c>
      <c r="AT489">
        <f>SUM(AT481:AT488)</f>
        <v>0</v>
      </c>
      <c r="AV489">
        <f>SUM(AV481:AV488)</f>
        <v>0</v>
      </c>
      <c r="AW489" s="506">
        <f>SUM(AW481:AW488)</f>
        <v>0</v>
      </c>
    </row>
    <row r="490" spans="1:49" ht="15" customHeight="1">
      <c r="A490" s="176"/>
      <c r="B490" s="57"/>
      <c r="C490" s="57"/>
      <c r="D490" s="57"/>
      <c r="E490" s="57"/>
      <c r="F490" s="57"/>
      <c r="G490" s="57"/>
      <c r="H490" s="57"/>
      <c r="I490" s="57"/>
      <c r="J490" s="57"/>
      <c r="K490" s="57"/>
      <c r="L490" s="57"/>
      <c r="M490" s="57"/>
      <c r="N490" s="57"/>
      <c r="O490" s="57"/>
      <c r="P490" s="57"/>
      <c r="Q490" s="57"/>
      <c r="R490" s="57"/>
      <c r="S490" s="57"/>
      <c r="T490" s="57"/>
      <c r="U490" s="57"/>
      <c r="V490" s="57"/>
      <c r="W490" s="57"/>
      <c r="X490" s="57"/>
      <c r="Y490" s="57"/>
      <c r="Z490" s="57"/>
      <c r="AA490" s="57"/>
      <c r="AB490" s="57"/>
      <c r="AC490" s="57"/>
      <c r="AD490" s="57"/>
      <c r="AF490" s="57"/>
      <c r="AG490" s="57"/>
      <c r="AH490" s="57"/>
      <c r="AI490" s="57"/>
      <c r="AJ490" s="57"/>
      <c r="AK490" t="s">
        <v>2650</v>
      </c>
      <c r="AL490">
        <f>SUM(AM489,AP489,AS489,AV489)</f>
        <v>0</v>
      </c>
      <c r="AM490" t="s">
        <v>2651</v>
      </c>
      <c r="AN490">
        <f>SUM(AK489,AN489,AQ489,AT489)</f>
        <v>0</v>
      </c>
      <c r="AO490" s="57"/>
      <c r="AP490" s="57"/>
      <c r="AQ490" s="57"/>
      <c r="AR490" s="57"/>
      <c r="AS490" s="57"/>
      <c r="AT490" s="57"/>
      <c r="AU490" s="57"/>
      <c r="AV490" s="57"/>
      <c r="AW490" s="57"/>
    </row>
    <row r="491" spans="1:49" ht="24" customHeight="1">
      <c r="A491" s="176"/>
      <c r="B491" s="57"/>
      <c r="C491" s="754" t="s">
        <v>2611</v>
      </c>
      <c r="D491" s="754"/>
      <c r="E491" s="754"/>
      <c r="F491" s="754"/>
      <c r="G491" s="754"/>
      <c r="H491" s="754"/>
      <c r="I491" s="754"/>
      <c r="J491" s="754"/>
      <c r="K491" s="754"/>
      <c r="L491" s="754"/>
      <c r="M491" s="754"/>
      <c r="N491" s="754"/>
      <c r="O491" s="754"/>
      <c r="P491" s="754"/>
      <c r="Q491" s="754"/>
      <c r="R491" s="754"/>
      <c r="S491" s="754"/>
      <c r="T491" s="754"/>
      <c r="U491" s="754"/>
      <c r="V491" s="754"/>
      <c r="W491" s="754"/>
      <c r="X491" s="754"/>
      <c r="Y491" s="754"/>
      <c r="Z491" s="754"/>
      <c r="AA491" s="754"/>
      <c r="AB491" s="754"/>
      <c r="AC491" s="754"/>
      <c r="AD491" s="754"/>
      <c r="AF491" s="57"/>
      <c r="AG491" s="57"/>
      <c r="AH491" s="57"/>
      <c r="AI491" s="57"/>
      <c r="AJ491" s="57"/>
      <c r="AK491" t="s">
        <v>2652</v>
      </c>
      <c r="AL491" s="507">
        <f>IF(AN490&gt;0,IF(SUM(S489)&gt;=SUM(V489,Y489,AB489),0,1),IF(SUM(S489)&lt;&gt;SUM(V489,Y489,AB489),1,0))</f>
        <v>0</v>
      </c>
      <c r="AM491" t="s">
        <v>2653</v>
      </c>
      <c r="AN491" s="507">
        <f>IF(AN490&gt;0,IF(SUM(T489)&gt;=SUM(W489,Z489,AC489),0,1),IF(SUM(T489)&lt;&gt;SUM(W489,Z489,AC489),1,0))</f>
        <v>0</v>
      </c>
      <c r="AO491" t="s">
        <v>2654</v>
      </c>
      <c r="AP491" s="507">
        <f>IF(AN490&gt;0,IF(SUM(U489)&gt;=SUM(X489,AA489,AD489),0,1),IF(SUM(U489)&lt;&gt;SUM(X489,AA489,AD489),1,0))</f>
        <v>0</v>
      </c>
      <c r="AQ491" s="57"/>
      <c r="AR491" s="57"/>
      <c r="AS491" s="57"/>
      <c r="AT491" s="57"/>
      <c r="AU491" s="57"/>
      <c r="AV491" s="57"/>
      <c r="AW491" s="57"/>
    </row>
    <row r="492" spans="1:49" ht="60" customHeight="1">
      <c r="A492" s="176"/>
      <c r="B492" s="57"/>
      <c r="C492" s="851"/>
      <c r="D492" s="851"/>
      <c r="E492" s="851"/>
      <c r="F492" s="851"/>
      <c r="G492" s="851"/>
      <c r="H492" s="851"/>
      <c r="I492" s="851"/>
      <c r="J492" s="851"/>
      <c r="K492" s="851"/>
      <c r="L492" s="851"/>
      <c r="M492" s="851"/>
      <c r="N492" s="851"/>
      <c r="O492" s="851"/>
      <c r="P492" s="851"/>
      <c r="Q492" s="851"/>
      <c r="R492" s="851"/>
      <c r="S492" s="851"/>
      <c r="T492" s="851"/>
      <c r="U492" s="851"/>
      <c r="V492" s="851"/>
      <c r="W492" s="851"/>
      <c r="X492" s="851"/>
      <c r="Y492" s="851"/>
      <c r="Z492" s="851"/>
      <c r="AA492" s="851"/>
      <c r="AB492" s="851"/>
      <c r="AC492" s="851"/>
      <c r="AD492" s="851"/>
    </row>
    <row r="493" spans="1:49" ht="15" customHeight="1">
      <c r="A493" s="176"/>
      <c r="B493" s="794" t="str">
        <f>IF(AG489=0,"","Favor de ingresar toda la información requerida en la pregunta")</f>
        <v/>
      </c>
      <c r="C493" s="794"/>
      <c r="D493" s="794"/>
      <c r="E493" s="794"/>
      <c r="F493" s="794"/>
      <c r="G493" s="794"/>
      <c r="H493" s="794"/>
      <c r="I493" s="794"/>
      <c r="J493" s="794"/>
      <c r="K493" s="794"/>
      <c r="L493" s="794"/>
      <c r="M493" s="794"/>
      <c r="N493" s="794"/>
      <c r="O493" s="794"/>
      <c r="P493" s="794"/>
      <c r="Q493" s="794"/>
      <c r="R493" s="794"/>
      <c r="S493" s="794"/>
      <c r="T493" s="794"/>
      <c r="U493" s="794"/>
      <c r="V493" s="794"/>
      <c r="W493" s="794"/>
      <c r="X493" s="794"/>
      <c r="Y493" s="794"/>
      <c r="Z493" s="794"/>
      <c r="AA493" s="794"/>
      <c r="AB493" s="794"/>
      <c r="AC493" s="794"/>
      <c r="AD493" s="794"/>
      <c r="AE493" s="794"/>
    </row>
    <row r="494" spans="1:49" ht="15" customHeight="1">
      <c r="A494" s="176"/>
      <c r="B494" s="1087" t="str">
        <f>IF(COUNTIF(S481:AD488,"NS")&lt;&gt;0,"Alerta: debido a que cuenta con registros NS, debe proporcionar una justificación en el area de comentarios al final de la pregunta","")</f>
        <v/>
      </c>
      <c r="C494" s="1087"/>
      <c r="D494" s="1087"/>
      <c r="E494" s="1087"/>
      <c r="F494" s="1087"/>
      <c r="G494" s="1087"/>
      <c r="H494" s="1087"/>
      <c r="I494" s="1087"/>
      <c r="J494" s="1087"/>
      <c r="K494" s="1087"/>
      <c r="L494" s="1087"/>
      <c r="M494" s="1087"/>
      <c r="N494" s="1087"/>
      <c r="O494" s="1087"/>
      <c r="P494" s="1087"/>
      <c r="Q494" s="1087"/>
      <c r="R494" s="1087"/>
      <c r="S494" s="1087"/>
      <c r="T494" s="1087"/>
      <c r="U494" s="1087"/>
      <c r="V494" s="1087"/>
      <c r="W494" s="1087"/>
      <c r="X494" s="1087"/>
      <c r="Y494" s="1087"/>
      <c r="Z494" s="1087"/>
      <c r="AA494" s="1087"/>
      <c r="AB494" s="1087"/>
      <c r="AC494" s="1087"/>
      <c r="AD494" s="1087"/>
      <c r="AE494" s="1087"/>
    </row>
    <row r="495" spans="1:49" ht="15" customHeight="1">
      <c r="A495" s="176"/>
      <c r="B495" s="1003" t="str">
        <f>IF(AH489&gt;0,"Revise la información capturada, ya que tiene datos ingresados en celdas que están sombreadas","")</f>
        <v/>
      </c>
      <c r="C495" s="1003"/>
      <c r="D495" s="1003"/>
      <c r="E495" s="1003"/>
      <c r="F495" s="1003"/>
      <c r="G495" s="1003"/>
      <c r="H495" s="1003"/>
      <c r="I495" s="1003"/>
      <c r="J495" s="1003"/>
      <c r="K495" s="1003"/>
      <c r="L495" s="1003"/>
      <c r="M495" s="1003"/>
      <c r="N495" s="1003"/>
      <c r="O495" s="1003"/>
      <c r="P495" s="1003"/>
      <c r="Q495" s="1003"/>
      <c r="R495" s="1003"/>
      <c r="S495" s="1003"/>
      <c r="T495" s="1003"/>
      <c r="U495" s="1003"/>
      <c r="V495" s="1003"/>
      <c r="W495" s="1003"/>
      <c r="X495" s="1003"/>
      <c r="Y495" s="1003"/>
      <c r="Z495" s="1003"/>
      <c r="AA495" s="1003"/>
      <c r="AB495" s="1003"/>
      <c r="AC495" s="1003"/>
      <c r="AD495" s="1003"/>
      <c r="AE495" s="1003"/>
    </row>
    <row r="496" spans="1:49" ht="15" customHeight="1">
      <c r="A496" s="176"/>
      <c r="B496" s="1003" t="str">
        <f>IF(OR(AL490&gt;0,AL491&gt;0,AN491&gt;0,AP491&gt;0),"Favor de revisar la suma y consistencia de totales y/o subtotales por filas (numéricos y NS)","")</f>
        <v/>
      </c>
      <c r="C496" s="1003"/>
      <c r="D496" s="1003"/>
      <c r="E496" s="1003"/>
      <c r="F496" s="1003"/>
      <c r="G496" s="1003"/>
      <c r="H496" s="1003"/>
      <c r="I496" s="1003"/>
      <c r="J496" s="1003"/>
      <c r="K496" s="1003"/>
      <c r="L496" s="1003"/>
      <c r="M496" s="1003"/>
      <c r="N496" s="1003"/>
      <c r="O496" s="1003"/>
      <c r="P496" s="1003"/>
      <c r="Q496" s="1003"/>
      <c r="R496" s="1003"/>
      <c r="S496" s="1003"/>
      <c r="T496" s="1003"/>
      <c r="U496" s="1003"/>
      <c r="V496" s="1003"/>
      <c r="W496" s="1003"/>
      <c r="X496" s="1003"/>
      <c r="Y496" s="1003"/>
      <c r="Z496" s="1003"/>
      <c r="AA496" s="1003"/>
      <c r="AB496" s="1003"/>
      <c r="AC496" s="1003"/>
      <c r="AD496" s="1003"/>
      <c r="AE496" s="1003"/>
    </row>
    <row r="497" spans="1:31" ht="15" customHeight="1">
      <c r="A497" s="176"/>
      <c r="B497" s="1003" t="str">
        <f>IF(AW489=0,"","Las cantidades de Hombres y Mujeres por centro especializado debe corresponder con los datos reportados en la preg. 7.2")</f>
        <v/>
      </c>
      <c r="C497" s="1003"/>
      <c r="D497" s="1003"/>
      <c r="E497" s="1003"/>
      <c r="F497" s="1003"/>
      <c r="G497" s="1003"/>
      <c r="H497" s="1003"/>
      <c r="I497" s="1003"/>
      <c r="J497" s="1003"/>
      <c r="K497" s="1003"/>
      <c r="L497" s="1003"/>
      <c r="M497" s="1003"/>
      <c r="N497" s="1003"/>
      <c r="O497" s="1003"/>
      <c r="P497" s="1003"/>
      <c r="Q497" s="1003"/>
      <c r="R497" s="1003"/>
      <c r="S497" s="1003"/>
      <c r="T497" s="1003"/>
      <c r="U497" s="1003"/>
      <c r="V497" s="1003"/>
      <c r="W497" s="1003"/>
      <c r="X497" s="1003"/>
      <c r="Y497" s="1003"/>
      <c r="Z497" s="1003"/>
      <c r="AA497" s="1003"/>
      <c r="AB497" s="1003"/>
      <c r="AC497" s="1003"/>
      <c r="AD497" s="1003"/>
      <c r="AE497" s="1003"/>
    </row>
    <row r="498" spans="1:31" ht="15" customHeight="1" thickBot="1">
      <c r="A498" s="176"/>
      <c r="B498" s="794" t="str">
        <f>IF(AF489=0,"","Debido a que cuenta con registro(s) con el código 1, el total de la fila respectiva debe ser mayor a cero")</f>
        <v/>
      </c>
      <c r="C498" s="794"/>
      <c r="D498" s="794"/>
      <c r="E498" s="794"/>
      <c r="F498" s="794"/>
      <c r="G498" s="794"/>
      <c r="H498" s="794"/>
      <c r="I498" s="794"/>
      <c r="J498" s="794"/>
      <c r="K498" s="794"/>
      <c r="L498" s="794"/>
      <c r="M498" s="794"/>
      <c r="N498" s="794"/>
      <c r="O498" s="794"/>
      <c r="P498" s="794"/>
      <c r="Q498" s="794"/>
      <c r="R498" s="794"/>
      <c r="S498" s="794"/>
      <c r="T498" s="794"/>
      <c r="U498" s="794"/>
      <c r="V498" s="794"/>
      <c r="W498" s="794"/>
      <c r="X498" s="794"/>
      <c r="Y498" s="794"/>
      <c r="Z498" s="794"/>
      <c r="AA498" s="794"/>
      <c r="AB498" s="794"/>
      <c r="AC498" s="794"/>
      <c r="AD498" s="794"/>
      <c r="AE498" s="794"/>
    </row>
    <row r="499" spans="1:31" customFormat="1" ht="15" customHeight="1" thickBot="1">
      <c r="A499" s="19" t="s">
        <v>2563</v>
      </c>
      <c r="B499" s="1081" t="s">
        <v>4715</v>
      </c>
      <c r="C499" s="1082"/>
      <c r="D499" s="1082"/>
      <c r="E499" s="1082"/>
      <c r="F499" s="1082"/>
      <c r="G499" s="1082"/>
      <c r="H499" s="1082"/>
      <c r="I499" s="1082"/>
      <c r="J499" s="1082"/>
      <c r="K499" s="1082"/>
      <c r="L499" s="1082"/>
      <c r="M499" s="1082"/>
      <c r="N499" s="1082"/>
      <c r="O499" s="1082"/>
      <c r="P499" s="1082"/>
      <c r="Q499" s="1082"/>
      <c r="R499" s="1082"/>
      <c r="S499" s="1082"/>
      <c r="T499" s="1082"/>
      <c r="U499" s="1082"/>
      <c r="V499" s="1082"/>
      <c r="W499" s="1082"/>
      <c r="X499" s="1082"/>
      <c r="Y499" s="1082"/>
      <c r="Z499" s="1082"/>
      <c r="AA499" s="1082"/>
      <c r="AB499" s="1082"/>
      <c r="AC499" s="1082"/>
      <c r="AD499" s="1083"/>
      <c r="AE499" s="3"/>
    </row>
    <row r="500" spans="1:31" ht="15" customHeight="1">
      <c r="A500" s="170"/>
      <c r="B500" s="838" t="s">
        <v>3157</v>
      </c>
      <c r="C500" s="839"/>
      <c r="D500" s="839"/>
      <c r="E500" s="839"/>
      <c r="F500" s="839"/>
      <c r="G500" s="839"/>
      <c r="H500" s="839"/>
      <c r="I500" s="839"/>
      <c r="J500" s="839"/>
      <c r="K500" s="839"/>
      <c r="L500" s="839"/>
      <c r="M500" s="839"/>
      <c r="N500" s="839"/>
      <c r="O500" s="839"/>
      <c r="P500" s="839"/>
      <c r="Q500" s="839"/>
      <c r="R500" s="839"/>
      <c r="S500" s="839"/>
      <c r="T500" s="839"/>
      <c r="U500" s="839"/>
      <c r="V500" s="839"/>
      <c r="W500" s="839"/>
      <c r="X500" s="839"/>
      <c r="Y500" s="839"/>
      <c r="Z500" s="839"/>
      <c r="AA500" s="839"/>
      <c r="AB500" s="839"/>
      <c r="AC500" s="839"/>
      <c r="AD500" s="840"/>
    </row>
    <row r="501" spans="1:31" ht="24" customHeight="1">
      <c r="A501" s="170"/>
      <c r="B501" s="182"/>
      <c r="C501" s="754" t="s">
        <v>4716</v>
      </c>
      <c r="D501" s="754"/>
      <c r="E501" s="754"/>
      <c r="F501" s="754"/>
      <c r="G501" s="754"/>
      <c r="H501" s="754"/>
      <c r="I501" s="754"/>
      <c r="J501" s="754"/>
      <c r="K501" s="754"/>
      <c r="L501" s="754"/>
      <c r="M501" s="754"/>
      <c r="N501" s="754"/>
      <c r="O501" s="754"/>
      <c r="P501" s="754"/>
      <c r="Q501" s="754"/>
      <c r="R501" s="754"/>
      <c r="S501" s="754"/>
      <c r="T501" s="754"/>
      <c r="U501" s="754"/>
      <c r="V501" s="754"/>
      <c r="W501" s="754"/>
      <c r="X501" s="754"/>
      <c r="Y501" s="754"/>
      <c r="Z501" s="754"/>
      <c r="AA501" s="754"/>
      <c r="AB501" s="754"/>
      <c r="AC501" s="754"/>
      <c r="AD501" s="755"/>
    </row>
    <row r="502" spans="1:31" ht="48" customHeight="1">
      <c r="A502" s="115"/>
      <c r="B502" s="181"/>
      <c r="C502" s="754" t="s">
        <v>4717</v>
      </c>
      <c r="D502" s="754"/>
      <c r="E502" s="754"/>
      <c r="F502" s="754"/>
      <c r="G502" s="754"/>
      <c r="H502" s="754"/>
      <c r="I502" s="754"/>
      <c r="J502" s="754"/>
      <c r="K502" s="754"/>
      <c r="L502" s="754"/>
      <c r="M502" s="754"/>
      <c r="N502" s="754"/>
      <c r="O502" s="754"/>
      <c r="P502" s="754"/>
      <c r="Q502" s="754"/>
      <c r="R502" s="754"/>
      <c r="S502" s="754"/>
      <c r="T502" s="754"/>
      <c r="U502" s="754"/>
      <c r="V502" s="754"/>
      <c r="W502" s="754"/>
      <c r="X502" s="754"/>
      <c r="Y502" s="754"/>
      <c r="Z502" s="754"/>
      <c r="AA502" s="754"/>
      <c r="AB502" s="754"/>
      <c r="AC502" s="754"/>
      <c r="AD502" s="755"/>
    </row>
    <row r="503" spans="1:31" ht="36" customHeight="1">
      <c r="A503" s="115"/>
      <c r="B503" s="181"/>
      <c r="C503" s="754" t="s">
        <v>4718</v>
      </c>
      <c r="D503" s="754"/>
      <c r="E503" s="754"/>
      <c r="F503" s="754"/>
      <c r="G503" s="754"/>
      <c r="H503" s="754"/>
      <c r="I503" s="754"/>
      <c r="J503" s="754"/>
      <c r="K503" s="754"/>
      <c r="L503" s="754"/>
      <c r="M503" s="754"/>
      <c r="N503" s="754"/>
      <c r="O503" s="754"/>
      <c r="P503" s="754"/>
      <c r="Q503" s="754"/>
      <c r="R503" s="754"/>
      <c r="S503" s="754"/>
      <c r="T503" s="754"/>
      <c r="U503" s="754"/>
      <c r="V503" s="754"/>
      <c r="W503" s="754"/>
      <c r="X503" s="754"/>
      <c r="Y503" s="754"/>
      <c r="Z503" s="754"/>
      <c r="AA503" s="754"/>
      <c r="AB503" s="754"/>
      <c r="AC503" s="754"/>
      <c r="AD503" s="755"/>
    </row>
    <row r="504" spans="1:31" ht="36" customHeight="1">
      <c r="A504" s="115"/>
      <c r="B504" s="181"/>
      <c r="C504" s="754" t="s">
        <v>4719</v>
      </c>
      <c r="D504" s="754"/>
      <c r="E504" s="754"/>
      <c r="F504" s="754"/>
      <c r="G504" s="754"/>
      <c r="H504" s="754"/>
      <c r="I504" s="754"/>
      <c r="J504" s="754"/>
      <c r="K504" s="754"/>
      <c r="L504" s="754"/>
      <c r="M504" s="754"/>
      <c r="N504" s="754"/>
      <c r="O504" s="754"/>
      <c r="P504" s="754"/>
      <c r="Q504" s="754"/>
      <c r="R504" s="754"/>
      <c r="S504" s="754"/>
      <c r="T504" s="754"/>
      <c r="U504" s="754"/>
      <c r="V504" s="754"/>
      <c r="W504" s="754"/>
      <c r="X504" s="754"/>
      <c r="Y504" s="754"/>
      <c r="Z504" s="754"/>
      <c r="AA504" s="754"/>
      <c r="AB504" s="754"/>
      <c r="AC504" s="754"/>
      <c r="AD504" s="755"/>
    </row>
    <row r="505" spans="1:31" ht="24" customHeight="1">
      <c r="A505" s="115"/>
      <c r="B505" s="181"/>
      <c r="C505" s="754" t="s">
        <v>4720</v>
      </c>
      <c r="D505" s="754"/>
      <c r="E505" s="754"/>
      <c r="F505" s="754"/>
      <c r="G505" s="754"/>
      <c r="H505" s="754"/>
      <c r="I505" s="754"/>
      <c r="J505" s="754"/>
      <c r="K505" s="754"/>
      <c r="L505" s="754"/>
      <c r="M505" s="754"/>
      <c r="N505" s="754"/>
      <c r="O505" s="754"/>
      <c r="P505" s="754"/>
      <c r="Q505" s="754"/>
      <c r="R505" s="754"/>
      <c r="S505" s="754"/>
      <c r="T505" s="754"/>
      <c r="U505" s="754"/>
      <c r="V505" s="754"/>
      <c r="W505" s="754"/>
      <c r="X505" s="754"/>
      <c r="Y505" s="754"/>
      <c r="Z505" s="754"/>
      <c r="AA505" s="754"/>
      <c r="AB505" s="754"/>
      <c r="AC505" s="754"/>
      <c r="AD505" s="755"/>
    </row>
    <row r="506" spans="1:31" ht="36" customHeight="1">
      <c r="A506" s="115"/>
      <c r="B506" s="182"/>
      <c r="C506" s="754" t="s">
        <v>4721</v>
      </c>
      <c r="D506" s="754"/>
      <c r="E506" s="754"/>
      <c r="F506" s="754"/>
      <c r="G506" s="754"/>
      <c r="H506" s="754"/>
      <c r="I506" s="754"/>
      <c r="J506" s="754"/>
      <c r="K506" s="754"/>
      <c r="L506" s="754"/>
      <c r="M506" s="754"/>
      <c r="N506" s="754"/>
      <c r="O506" s="754"/>
      <c r="P506" s="754"/>
      <c r="Q506" s="754"/>
      <c r="R506" s="754"/>
      <c r="S506" s="754"/>
      <c r="T506" s="754"/>
      <c r="U506" s="754"/>
      <c r="V506" s="754"/>
      <c r="W506" s="754"/>
      <c r="X506" s="754"/>
      <c r="Y506" s="754"/>
      <c r="Z506" s="754"/>
      <c r="AA506" s="754"/>
      <c r="AB506" s="754"/>
      <c r="AC506" s="754"/>
      <c r="AD506" s="755"/>
    </row>
    <row r="507" spans="1:31" ht="36" customHeight="1">
      <c r="A507" s="115"/>
      <c r="B507" s="183"/>
      <c r="C507" s="764" t="s">
        <v>4722</v>
      </c>
      <c r="D507" s="764"/>
      <c r="E507" s="764"/>
      <c r="F507" s="764"/>
      <c r="G507" s="764"/>
      <c r="H507" s="764"/>
      <c r="I507" s="764"/>
      <c r="J507" s="764"/>
      <c r="K507" s="764"/>
      <c r="L507" s="764"/>
      <c r="M507" s="764"/>
      <c r="N507" s="764"/>
      <c r="O507" s="764"/>
      <c r="P507" s="764"/>
      <c r="Q507" s="764"/>
      <c r="R507" s="764"/>
      <c r="S507" s="764"/>
      <c r="T507" s="764"/>
      <c r="U507" s="764"/>
      <c r="V507" s="764"/>
      <c r="W507" s="764"/>
      <c r="X507" s="764"/>
      <c r="Y507" s="764"/>
      <c r="Z507" s="764"/>
      <c r="AA507" s="764"/>
      <c r="AB507" s="764"/>
      <c r="AC507" s="764"/>
      <c r="AD507" s="765"/>
    </row>
    <row r="508" spans="1:31" ht="15" customHeight="1">
      <c r="A508" s="170"/>
    </row>
    <row r="509" spans="1:31" ht="24" customHeight="1">
      <c r="A509" s="49" t="s">
        <v>4723</v>
      </c>
      <c r="B509" s="829" t="s">
        <v>4724</v>
      </c>
      <c r="C509" s="829"/>
      <c r="D509" s="829"/>
      <c r="E509" s="829"/>
      <c r="F509" s="829"/>
      <c r="G509" s="829"/>
      <c r="H509" s="829"/>
      <c r="I509" s="829"/>
      <c r="J509" s="829"/>
      <c r="K509" s="829"/>
      <c r="L509" s="829"/>
      <c r="M509" s="829"/>
      <c r="N509" s="829"/>
      <c r="O509" s="829"/>
      <c r="P509" s="829"/>
      <c r="Q509" s="829"/>
      <c r="R509" s="829"/>
      <c r="S509" s="829"/>
      <c r="T509" s="829"/>
      <c r="U509" s="829"/>
      <c r="V509" s="829"/>
      <c r="W509" s="829"/>
      <c r="X509" s="829"/>
      <c r="Y509" s="829"/>
      <c r="Z509" s="829"/>
      <c r="AA509" s="829"/>
      <c r="AB509" s="829"/>
      <c r="AC509" s="829"/>
      <c r="AD509" s="829"/>
    </row>
    <row r="510" spans="1:31" ht="24" customHeight="1">
      <c r="A510" s="49"/>
      <c r="B510" s="49"/>
      <c r="C510" s="754" t="s">
        <v>4725</v>
      </c>
      <c r="D510" s="754"/>
      <c r="E510" s="754"/>
      <c r="F510" s="754"/>
      <c r="G510" s="754"/>
      <c r="H510" s="754"/>
      <c r="I510" s="754"/>
      <c r="J510" s="754"/>
      <c r="K510" s="754"/>
      <c r="L510" s="754"/>
      <c r="M510" s="754"/>
      <c r="N510" s="754"/>
      <c r="O510" s="754"/>
      <c r="P510" s="754"/>
      <c r="Q510" s="754"/>
      <c r="R510" s="754"/>
      <c r="S510" s="754"/>
      <c r="T510" s="754"/>
      <c r="U510" s="754"/>
      <c r="V510" s="754"/>
      <c r="W510" s="754"/>
      <c r="X510" s="754"/>
      <c r="Y510" s="754"/>
      <c r="Z510" s="754"/>
      <c r="AA510" s="754"/>
      <c r="AB510" s="754"/>
      <c r="AC510" s="754"/>
      <c r="AD510" s="754"/>
    </row>
    <row r="511" spans="1:31" ht="48" customHeight="1">
      <c r="A511" s="49"/>
      <c r="B511" s="105"/>
      <c r="C511" s="830" t="s">
        <v>4726</v>
      </c>
      <c r="D511" s="830"/>
      <c r="E511" s="830"/>
      <c r="F511" s="830"/>
      <c r="G511" s="830"/>
      <c r="H511" s="830"/>
      <c r="I511" s="830"/>
      <c r="J511" s="830"/>
      <c r="K511" s="830"/>
      <c r="L511" s="830"/>
      <c r="M511" s="830"/>
      <c r="N511" s="830"/>
      <c r="O511" s="830"/>
      <c r="P511" s="830"/>
      <c r="Q511" s="830"/>
      <c r="R511" s="830"/>
      <c r="S511" s="830"/>
      <c r="T511" s="830"/>
      <c r="U511" s="830"/>
      <c r="V511" s="830"/>
      <c r="W511" s="830"/>
      <c r="X511" s="830"/>
      <c r="Y511" s="830"/>
      <c r="Z511" s="830"/>
      <c r="AA511" s="830"/>
      <c r="AB511" s="830"/>
      <c r="AC511" s="830"/>
      <c r="AD511" s="830"/>
    </row>
    <row r="512" spans="1:31" ht="48" customHeight="1">
      <c r="A512" s="49"/>
      <c r="B512" s="38"/>
      <c r="C512" s="830" t="s">
        <v>4727</v>
      </c>
      <c r="D512" s="830"/>
      <c r="E512" s="830"/>
      <c r="F512" s="830"/>
      <c r="G512" s="830"/>
      <c r="H512" s="830"/>
      <c r="I512" s="830"/>
      <c r="J512" s="830"/>
      <c r="K512" s="830"/>
      <c r="L512" s="830"/>
      <c r="M512" s="830"/>
      <c r="N512" s="830"/>
      <c r="O512" s="830"/>
      <c r="P512" s="830"/>
      <c r="Q512" s="830"/>
      <c r="R512" s="830"/>
      <c r="S512" s="830"/>
      <c r="T512" s="830"/>
      <c r="U512" s="830"/>
      <c r="V512" s="830"/>
      <c r="W512" s="830"/>
      <c r="X512" s="830"/>
      <c r="Y512" s="830"/>
      <c r="Z512" s="830"/>
      <c r="AA512" s="830"/>
      <c r="AB512" s="830"/>
      <c r="AC512" s="830"/>
      <c r="AD512" s="830"/>
    </row>
    <row r="513" spans="1:51" ht="15" customHeight="1">
      <c r="A513" s="108"/>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c r="AA513" s="38"/>
      <c r="AB513" s="38"/>
      <c r="AC513" s="38"/>
      <c r="AD513" s="38"/>
    </row>
    <row r="514" spans="1:51" ht="48" customHeight="1">
      <c r="A514" s="108"/>
      <c r="B514" s="38"/>
      <c r="C514" s="880" t="s">
        <v>4728</v>
      </c>
      <c r="D514" s="880"/>
      <c r="E514" s="880"/>
      <c r="F514" s="880"/>
      <c r="G514" s="880"/>
      <c r="H514" s="880"/>
      <c r="I514" s="880"/>
      <c r="J514" s="880"/>
      <c r="K514" s="880"/>
      <c r="L514" s="880"/>
      <c r="M514" s="880"/>
      <c r="N514" s="880"/>
      <c r="O514" s="880"/>
      <c r="P514" s="880"/>
      <c r="Q514" s="880"/>
      <c r="R514" s="880"/>
      <c r="S514" s="880"/>
      <c r="T514" s="880"/>
      <c r="U514" s="880"/>
      <c r="V514" s="739" t="s">
        <v>4729</v>
      </c>
      <c r="W514" s="740"/>
      <c r="X514" s="740"/>
      <c r="Y514" s="740"/>
      <c r="Z514" s="740"/>
      <c r="AA514" s="740"/>
      <c r="AB514" s="740"/>
      <c r="AC514" s="740"/>
      <c r="AD514" s="741"/>
    </row>
    <row r="515" spans="1:51" ht="15" customHeight="1">
      <c r="A515" s="108"/>
      <c r="B515" s="38"/>
      <c r="C515" s="880"/>
      <c r="D515" s="880"/>
      <c r="E515" s="880"/>
      <c r="F515" s="880"/>
      <c r="G515" s="880"/>
      <c r="H515" s="880"/>
      <c r="I515" s="880"/>
      <c r="J515" s="880"/>
      <c r="K515" s="880"/>
      <c r="L515" s="880"/>
      <c r="M515" s="880"/>
      <c r="N515" s="880"/>
      <c r="O515" s="880"/>
      <c r="P515" s="880"/>
      <c r="Q515" s="880"/>
      <c r="R515" s="880"/>
      <c r="S515" s="880"/>
      <c r="T515" s="880"/>
      <c r="U515" s="880"/>
      <c r="V515" s="887" t="s">
        <v>2628</v>
      </c>
      <c r="W515" s="889" t="s">
        <v>2629</v>
      </c>
      <c r="X515" s="889" t="s">
        <v>2630</v>
      </c>
      <c r="Y515" s="733" t="s">
        <v>4586</v>
      </c>
      <c r="Z515" s="734"/>
      <c r="AA515" s="735"/>
      <c r="AB515" s="733" t="s">
        <v>4587</v>
      </c>
      <c r="AC515" s="734"/>
      <c r="AD515" s="735"/>
    </row>
    <row r="516" spans="1:51" ht="48" customHeight="1">
      <c r="A516" s="108"/>
      <c r="B516" s="38"/>
      <c r="C516" s="880"/>
      <c r="D516" s="880"/>
      <c r="E516" s="880"/>
      <c r="F516" s="880"/>
      <c r="G516" s="880"/>
      <c r="H516" s="880"/>
      <c r="I516" s="880"/>
      <c r="J516" s="880"/>
      <c r="K516" s="880"/>
      <c r="L516" s="880"/>
      <c r="M516" s="880"/>
      <c r="N516" s="880"/>
      <c r="O516" s="880"/>
      <c r="P516" s="880"/>
      <c r="Q516" s="880"/>
      <c r="R516" s="880"/>
      <c r="S516" s="880"/>
      <c r="T516" s="880"/>
      <c r="U516" s="880"/>
      <c r="V516" s="888"/>
      <c r="W516" s="890"/>
      <c r="X516" s="890"/>
      <c r="Y516" s="171" t="s">
        <v>2635</v>
      </c>
      <c r="Z516" s="128" t="s">
        <v>2629</v>
      </c>
      <c r="AA516" s="128" t="s">
        <v>2630</v>
      </c>
      <c r="AB516" s="171" t="s">
        <v>2635</v>
      </c>
      <c r="AC516" s="128" t="s">
        <v>2629</v>
      </c>
      <c r="AD516" s="128" t="s">
        <v>2630</v>
      </c>
      <c r="AG516" t="s">
        <v>2586</v>
      </c>
      <c r="AH516" t="s">
        <v>4599</v>
      </c>
      <c r="AK516" t="s">
        <v>4573</v>
      </c>
      <c r="AL516" t="s">
        <v>2638</v>
      </c>
      <c r="AM516" t="s">
        <v>2639</v>
      </c>
      <c r="AN516" t="s">
        <v>4574</v>
      </c>
      <c r="AO516" t="s">
        <v>2641</v>
      </c>
      <c r="AP516" t="s">
        <v>2642</v>
      </c>
      <c r="AQ516" t="s">
        <v>4575</v>
      </c>
      <c r="AR516" t="s">
        <v>2644</v>
      </c>
      <c r="AS516" t="s">
        <v>2645</v>
      </c>
      <c r="AT516" t="s">
        <v>4730</v>
      </c>
      <c r="AU516"/>
      <c r="AV516"/>
      <c r="AX516"/>
      <c r="AY516"/>
    </row>
    <row r="517" spans="1:51" ht="15" customHeight="1">
      <c r="A517" s="108"/>
      <c r="B517" s="38"/>
      <c r="C517" s="97" t="s">
        <v>2516</v>
      </c>
      <c r="D517" s="796" t="s">
        <v>4731</v>
      </c>
      <c r="E517" s="796"/>
      <c r="F517" s="796"/>
      <c r="G517" s="796"/>
      <c r="H517" s="796"/>
      <c r="I517" s="796"/>
      <c r="J517" s="796"/>
      <c r="K517" s="796"/>
      <c r="L517" s="796"/>
      <c r="M517" s="796"/>
      <c r="N517" s="796"/>
      <c r="O517" s="796"/>
      <c r="P517" s="796"/>
      <c r="Q517" s="796"/>
      <c r="R517" s="796"/>
      <c r="S517" s="796"/>
      <c r="T517" s="796"/>
      <c r="U517" s="796"/>
      <c r="V517" s="100"/>
      <c r="W517" s="100"/>
      <c r="X517" s="100"/>
      <c r="Y517" s="100"/>
      <c r="Z517" s="100"/>
      <c r="AA517" s="100"/>
      <c r="AB517" s="100"/>
      <c r="AC517" s="100"/>
      <c r="AD517" s="100"/>
      <c r="AG517" s="506">
        <f>IF(OR($M$71=0,$M$71="NS",$M$71="NA"),0,IF(COUNTA(V517:AD518)=18,0,1))</f>
        <v>0</v>
      </c>
      <c r="AH517" s="506">
        <f>IF(OR($M$71=0,$M$71="NS",$M$71="NA"),IF(COUNTBLANK(V517:AD518)=18,0,1),0)</f>
        <v>0</v>
      </c>
      <c r="AK517">
        <f>COUNTIF(W517:X517,"NS")</f>
        <v>0</v>
      </c>
      <c r="AL517">
        <f>SUM(W517:X517)</f>
        <v>0</v>
      </c>
      <c r="AM517">
        <f>IF(COUNTIF(V517:X517,"NA")=3,0,IF(COUNTA(V517:X517)=0,0,IF(OR(AND(V517=0,AK517&gt;0),AND(V517="ns",AL517&gt;0),AND(V517="ns",AK517=0,AL517=0)),1,IF(OR(AND(V517&gt;0,AK517=2),AND(V517="ns",AK517=2),AND(V517="ns",AL517=0,AK517&gt;0),V517=AL517),0,1))))</f>
        <v>0</v>
      </c>
      <c r="AN517">
        <f>COUNTIF(Z517:AA517,"NS")</f>
        <v>0</v>
      </c>
      <c r="AO517">
        <f>SUM(Z517:AA517)</f>
        <v>0</v>
      </c>
      <c r="AP517">
        <f>IF(COUNTIF(Y517:AA517,"NA")=3,0,IF(COUNTA(Y517:AA517)=0,0,IF(OR(AND(Y517=0,AN517&gt;0),AND(Y517="ns",AO517&gt;0),AND(Y517="ns",AN517=0,AO517=0)),1,IF(OR(AND(Y517&gt;0,AN517=2),AND(Y517="ns",AN517=2),AND(Y517="ns",AO517=0,AN517&gt;0),Y517=AO517),0,1))))</f>
        <v>0</v>
      </c>
      <c r="AQ517">
        <f>COUNTIF(AC517:AD517,"NS")</f>
        <v>0</v>
      </c>
      <c r="AR517">
        <f>SUM(AC517:AD517)</f>
        <v>0</v>
      </c>
      <c r="AS517">
        <f>IF(COUNTIF(AB517:AD517,"NA")=3,0,IF(COUNTA(AB517:AD517)=0,0,IF(OR(AND(AB517=0,AQ517&gt;0),AND(AB517="ns",AR517&gt;0),AND(AB517="ns",AQ517=0,AR517=0)),1,IF(OR(AND(AB517&gt;0,AQ517=2),AND(AB517="ns",AQ517=2),AND(AB517="ns",AR517=0,AQ517&gt;0),AB517=AR517),0,1))))</f>
        <v>0</v>
      </c>
      <c r="AT517" cm="1">
        <f t="array" ref="AT517">IF(OR(W517={"NS","NA"},$W$120={"NS","NA"}),0,IF(W517&gt;=$W$120,0,1))</f>
        <v>0</v>
      </c>
      <c r="AU517" cm="1">
        <f t="array" ref="AU517">IF(OR(X517={"NS","NA"},$X$120={"NS","NA"}),0,IF(X517&gt;=$X$120,0,1))</f>
        <v>0</v>
      </c>
      <c r="AV517" cm="1">
        <f t="array" ref="AV517">IF(OR(V517={"NS","NA"},$V$120={"NS","NA"}),0,IF(V517&gt;=$V$120,0,1))</f>
        <v>0</v>
      </c>
      <c r="AX517"/>
      <c r="AY517"/>
    </row>
    <row r="518" spans="1:51" ht="15" customHeight="1">
      <c r="A518" s="108"/>
      <c r="B518" s="38"/>
      <c r="C518" s="98" t="s">
        <v>2517</v>
      </c>
      <c r="D518" s="796" t="s">
        <v>4571</v>
      </c>
      <c r="E518" s="796"/>
      <c r="F518" s="796"/>
      <c r="G518" s="796"/>
      <c r="H518" s="796"/>
      <c r="I518" s="796"/>
      <c r="J518" s="796"/>
      <c r="K518" s="796"/>
      <c r="L518" s="796"/>
      <c r="M518" s="796"/>
      <c r="N518" s="796"/>
      <c r="O518" s="796"/>
      <c r="P518" s="796"/>
      <c r="Q518" s="796"/>
      <c r="R518" s="796"/>
      <c r="S518" s="796"/>
      <c r="T518" s="796"/>
      <c r="U518" s="796"/>
      <c r="V518" s="100"/>
      <c r="W518" s="100"/>
      <c r="X518" s="100"/>
      <c r="Y518" s="100"/>
      <c r="Z518" s="100"/>
      <c r="AA518" s="100"/>
      <c r="AB518" s="100"/>
      <c r="AC518" s="100"/>
      <c r="AD518" s="100"/>
      <c r="AK518">
        <f>COUNTIF(W518:X518,"NS")</f>
        <v>0</v>
      </c>
      <c r="AL518">
        <f>SUM(W518:X518)</f>
        <v>0</v>
      </c>
      <c r="AM518">
        <f>IF(COUNTIF(V518:X518,"NA")=3,0,IF(COUNTA(V518:X518)=0,0,IF(OR(AND(V518=0,AK518&gt;0),AND(V518="ns",AL518&gt;0),AND(V518="ns",AK518=0,AL518=0)),1,IF(OR(AND(V518&gt;0,AK518=2),AND(V518="ns",AK518=2),AND(V518="ns",AL518=0,AK518&gt;0),V518=AL518),0,1))))</f>
        <v>0</v>
      </c>
      <c r="AN518">
        <f>COUNTIF(Z518:AA518,"NS")</f>
        <v>0</v>
      </c>
      <c r="AO518">
        <f>SUM(Z518:AA518)</f>
        <v>0</v>
      </c>
      <c r="AP518">
        <f>IF(COUNTIF(Y518:AA518,"NA")=3,0,IF(COUNTA(Y518:AA518)=0,0,IF(OR(AND(Y518=0,AN518&gt;0),AND(Y518="ns",AO518&gt;0),AND(Y518="ns",AN518=0,AO518=0)),1,IF(OR(AND(Y518&gt;0,AN518=2),AND(Y518="ns",AN518=2),AND(Y518="ns",AO518=0,AN518&gt;0),Y518=AO518),0,1))))</f>
        <v>0</v>
      </c>
      <c r="AQ518">
        <f>COUNTIF(AC518:AD518,"NS")</f>
        <v>0</v>
      </c>
      <c r="AR518">
        <f>SUM(AC518:AD518)</f>
        <v>0</v>
      </c>
      <c r="AS518">
        <f>IF(COUNTIF(AB518:AD518,"NA")=3,0,IF(COUNTA(AB518:AD518)=0,0,IF(OR(AND(AB518=0,AQ518&gt;0),AND(AB518="ns",AR518&gt;0),AND(AB518="ns",AQ518=0,AR518=0)),1,IF(OR(AND(AB518&gt;0,AQ518=2),AND(AB518="ns",AQ518=2),AND(AB518="ns",AR518=0,AQ518&gt;0),AB518=AR518),0,1))))</f>
        <v>0</v>
      </c>
      <c r="AT518" cm="1">
        <f t="array" ref="AT518">IF(OR(W518={"NS","NA"},$Z$120={"NS","NA"}),0,IF(W518&gt;=$Z$120,0,1))</f>
        <v>0</v>
      </c>
      <c r="AU518" cm="1">
        <f t="array" ref="AU518">IF(OR(X518={"NS","NA"},$AA$120={"NS","NA"}),0,IF(X518&gt;=$AA$120,0,1))</f>
        <v>0</v>
      </c>
      <c r="AV518" cm="1">
        <f t="array" ref="AV518">IF(OR(V518={"NS","NA"},$Y$120={"NS","NA"}),0,IF(V518&gt;=$Y$120,0,1))</f>
        <v>0</v>
      </c>
      <c r="AW518" s="3" cm="1">
        <f t="array" ref="AW518">IF(OR(W519={"NS","NA"},$T$120={"NS","NA"}),0,IF(W519&gt;=$T$120,0,1))</f>
        <v>0</v>
      </c>
      <c r="AX518" cm="1">
        <f t="array" ref="AX518">IF(OR(X519={"NS","NA"},$U$120={"NS","NA"}),0,IF(X519&gt;=$U$120,0,1))</f>
        <v>0</v>
      </c>
      <c r="AY518" cm="1">
        <f t="array" ref="AY518">IF(OR(V519={"NS","NA"},$S$120={"NS","NA"}),0,IF(V519&gt;=$S$120,0,1))</f>
        <v>0</v>
      </c>
    </row>
    <row r="519" spans="1:51" ht="15" customHeight="1">
      <c r="A519" s="108"/>
      <c r="B519" s="38"/>
      <c r="C519" s="38"/>
      <c r="D519" s="38"/>
      <c r="E519" s="38"/>
      <c r="F519" s="38"/>
      <c r="G519" s="38"/>
      <c r="H519" s="38"/>
      <c r="I519" s="184"/>
      <c r="J519" s="117"/>
      <c r="K519" s="54"/>
      <c r="U519" s="117" t="s">
        <v>2649</v>
      </c>
      <c r="V519" s="124">
        <f t="shared" ref="V519:AD519" si="269">IF(AND(SUM(V517:V518)=0,COUNTIF(V517:V518,"NS")&gt;0),"NS",IF(AND(SUM(V517:V518)=0,COUNTIF(V517:V518,0)&gt;0),0,IF(AND(SUM(V517:V518)=0,COUNTIF(V517:V518,"NA")&gt;0),"NA",SUM(V517:V518))))</f>
        <v>0</v>
      </c>
      <c r="W519" s="124">
        <f t="shared" si="269"/>
        <v>0</v>
      </c>
      <c r="X519" s="124">
        <f t="shared" si="269"/>
        <v>0</v>
      </c>
      <c r="Y519" s="124">
        <f t="shared" si="269"/>
        <v>0</v>
      </c>
      <c r="Z519" s="124">
        <f t="shared" si="269"/>
        <v>0</v>
      </c>
      <c r="AA519" s="124">
        <f t="shared" si="269"/>
        <v>0</v>
      </c>
      <c r="AB519" s="124">
        <f t="shared" si="269"/>
        <v>0</v>
      </c>
      <c r="AC519" s="124">
        <f t="shared" si="269"/>
        <v>0</v>
      </c>
      <c r="AD519" s="124">
        <f t="shared" si="269"/>
        <v>0</v>
      </c>
      <c r="AK519">
        <f>SUM(AK517:AK518)</f>
        <v>0</v>
      </c>
      <c r="AM519">
        <f>SUM(AM517:AM518)</f>
        <v>0</v>
      </c>
      <c r="AN519">
        <f>SUM(AN517:AN518)</f>
        <v>0</v>
      </c>
      <c r="AP519">
        <f>SUM(AP517:AP518)</f>
        <v>0</v>
      </c>
      <c r="AQ519">
        <f>SUM(AQ517:AQ518)</f>
        <v>0</v>
      </c>
      <c r="AS519">
        <f>SUM(AS517:AS518)</f>
        <v>0</v>
      </c>
      <c r="AV519" s="506">
        <f>IF(OR($M$71=0,$M$71="NS",$M$71="NA"),0,SUM(AT517:AV518,AW518:AY518))</f>
        <v>0</v>
      </c>
      <c r="AX519"/>
      <c r="AY519"/>
    </row>
    <row r="520" spans="1:51" ht="15" customHeight="1">
      <c r="A520" s="108"/>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c r="AA520" s="38"/>
      <c r="AB520" s="38"/>
      <c r="AC520" s="38"/>
      <c r="AD520" s="38"/>
      <c r="AK520" t="s">
        <v>2650</v>
      </c>
      <c r="AL520" s="506">
        <f>SUM(AM519,AP519,AS519)</f>
        <v>0</v>
      </c>
      <c r="AM520" t="s">
        <v>2651</v>
      </c>
      <c r="AN520">
        <f>SUM(AK519,AN519,AQ519)</f>
        <v>0</v>
      </c>
      <c r="AT520" t="s">
        <v>4682</v>
      </c>
      <c r="AU520"/>
      <c r="AV520"/>
      <c r="AX520"/>
      <c r="AY520"/>
    </row>
    <row r="521" spans="1:51" ht="24" customHeight="1">
      <c r="A521" s="108"/>
      <c r="B521" s="38"/>
      <c r="C521" s="754" t="s">
        <v>2611</v>
      </c>
      <c r="D521" s="754"/>
      <c r="E521" s="754"/>
      <c r="F521" s="754"/>
      <c r="G521" s="754"/>
      <c r="H521" s="754"/>
      <c r="I521" s="754"/>
      <c r="J521" s="754"/>
      <c r="K521" s="754"/>
      <c r="L521" s="754"/>
      <c r="M521" s="754"/>
      <c r="N521" s="754"/>
      <c r="O521" s="754"/>
      <c r="P521" s="754"/>
      <c r="Q521" s="754"/>
      <c r="R521" s="754"/>
      <c r="S521" s="754"/>
      <c r="T521" s="754"/>
      <c r="U521" s="754"/>
      <c r="V521" s="754"/>
      <c r="W521" s="754"/>
      <c r="X521" s="754"/>
      <c r="Y521" s="754"/>
      <c r="Z521" s="754"/>
      <c r="AA521" s="754"/>
      <c r="AB521" s="754"/>
      <c r="AC521" s="754"/>
      <c r="AD521" s="754"/>
      <c r="AK521" t="s">
        <v>2652</v>
      </c>
      <c r="AL521" s="507">
        <f>IF(AN520&gt;0,IF(SUM(V519)&gt;=SUM(Y519,AB519),0,1),IF(SUM(V519)&lt;&gt;SUM(Y519,AB519),1,0))</f>
        <v>0</v>
      </c>
      <c r="AM521" t="s">
        <v>2653</v>
      </c>
      <c r="AN521" s="507">
        <f>IF(AN520&gt;0,IF(SUM(W519)&gt;=SUM(Z519,AC519),0,1),IF(SUM(W519)&lt;&gt;SUM(Z519,AC519),1,0))</f>
        <v>0</v>
      </c>
      <c r="AO521" t="s">
        <v>2654</v>
      </c>
      <c r="AP521" s="507">
        <f>IF(AN520&gt;0,IF(SUM(X519)&gt;=SUM(AA519,AD519),0,1),IF(SUM(X519)&lt;&gt;SUM(AA519,AD519),1,0))</f>
        <v>0</v>
      </c>
      <c r="AT521" cm="1">
        <f t="array" ref="AT521">IF(OR(Z519={"NS","NA"},$Z$143={"NS","NA"}),0,IF(Z519&gt;=$Z$143,0,1))</f>
        <v>0</v>
      </c>
      <c r="AU521" cm="1">
        <f t="array" ref="AU521">IF(OR(AA519={"NS","NA"},$AA$143={"NS","NA"}),0,IF(AA519&gt;=$AA$143,0,1))</f>
        <v>0</v>
      </c>
      <c r="AV521" cm="1">
        <f t="array" ref="AV521">IF(OR(Y519={"NS","NA"},$Y$143={"NS","NA"}),0,IF(Y519&gt;=$Y$143,0,1))</f>
        <v>0</v>
      </c>
      <c r="AX521"/>
      <c r="AY521"/>
    </row>
    <row r="522" spans="1:51" ht="60" customHeight="1">
      <c r="A522" s="108"/>
      <c r="B522" s="38"/>
      <c r="C522" s="851"/>
      <c r="D522" s="851"/>
      <c r="E522" s="851"/>
      <c r="F522" s="851"/>
      <c r="G522" s="851"/>
      <c r="H522" s="851"/>
      <c r="I522" s="851"/>
      <c r="J522" s="851"/>
      <c r="K522" s="851"/>
      <c r="L522" s="851"/>
      <c r="M522" s="851"/>
      <c r="N522" s="851"/>
      <c r="O522" s="851"/>
      <c r="P522" s="851"/>
      <c r="Q522" s="851"/>
      <c r="R522" s="851"/>
      <c r="S522" s="851"/>
      <c r="T522" s="851"/>
      <c r="U522" s="851"/>
      <c r="V522" s="851"/>
      <c r="W522" s="851"/>
      <c r="X522" s="851"/>
      <c r="Y522" s="851"/>
      <c r="Z522" s="851"/>
      <c r="AA522" s="851"/>
      <c r="AB522" s="851"/>
      <c r="AC522" s="851"/>
      <c r="AD522" s="851"/>
      <c r="AT522" cm="1">
        <f t="array" ref="AT522">IF(OR(AC519={"NS","NA"},$AC$143={"NS","NA"}),0,IF(AC519&gt;=$AC$143,0,1))</f>
        <v>0</v>
      </c>
      <c r="AU522" cm="1">
        <f t="array" ref="AU522">IF(OR(AD519={"NS","NA"},$AD$143={"NS","NA"}),0,IF(AD519&gt;=$AD$143,0,1))</f>
        <v>0</v>
      </c>
      <c r="AV522" cm="1">
        <f t="array" ref="AV522">IF(OR(AB519={"NS","NA"},$AB$143={"NS","NA"}),0,IF(AB519&gt;=$AB$143,0,1))</f>
        <v>0</v>
      </c>
      <c r="AX522"/>
      <c r="AY522"/>
    </row>
    <row r="523" spans="1:51" ht="15" customHeight="1">
      <c r="A523" s="108"/>
      <c r="B523" s="794" t="str">
        <f>IF(AG517=0,"","Favor de ingresar toda la información requerida en la pregunta")</f>
        <v/>
      </c>
      <c r="C523" s="794"/>
      <c r="D523" s="794"/>
      <c r="E523" s="794"/>
      <c r="F523" s="794"/>
      <c r="G523" s="794"/>
      <c r="H523" s="794"/>
      <c r="I523" s="794"/>
      <c r="J523" s="794"/>
      <c r="K523" s="794"/>
      <c r="L523" s="794"/>
      <c r="M523" s="794"/>
      <c r="N523" s="794"/>
      <c r="O523" s="794"/>
      <c r="P523" s="794"/>
      <c r="Q523" s="794"/>
      <c r="R523" s="794"/>
      <c r="S523" s="794"/>
      <c r="T523" s="794"/>
      <c r="U523" s="794"/>
      <c r="V523" s="794"/>
      <c r="W523" s="794"/>
      <c r="X523" s="794"/>
      <c r="Y523" s="794"/>
      <c r="Z523" s="794"/>
      <c r="AA523" s="794"/>
      <c r="AB523" s="794"/>
      <c r="AC523" s="794"/>
      <c r="AD523" s="794"/>
      <c r="AE523" s="794"/>
      <c r="AT523" cm="1">
        <f t="array" ref="AT523">IF(OR(W519={"NS","NA"},$W$143={"NS","NA"}),0,IF(W519&gt;=$W$143,0,1))</f>
        <v>0</v>
      </c>
      <c r="AU523" cm="1">
        <f t="array" ref="AU523">IF(OR(X519={"NS","NA"},$X$143={"NS","NA"}),0,IF(X519&gt;=$X$143,0,1))</f>
        <v>0</v>
      </c>
      <c r="AV523" cm="1">
        <f t="array" ref="AV523">IF(OR(V519={"NS","NA"},$V$143={"NS","NA"}),0,IF(V519&gt;=$V$143,0,1))</f>
        <v>0</v>
      </c>
      <c r="AX523"/>
      <c r="AY523"/>
    </row>
    <row r="524" spans="1:51" ht="15" customHeight="1">
      <c r="A524" s="108"/>
      <c r="B524" s="1087" t="str">
        <f>IF(OR($M$71=0,$M$71="NS",$M$71="NA"),"",IF(COUNTIF(V517:AD518,"NS")&lt;&gt;0,"Alerta: debido a que cuenta con registros NS, debe proporcionar una justificación en el area de comentarios al final de la pregunta",""))</f>
        <v/>
      </c>
      <c r="C524" s="1087"/>
      <c r="D524" s="1087"/>
      <c r="E524" s="1087"/>
      <c r="F524" s="1087"/>
      <c r="G524" s="1087"/>
      <c r="H524" s="1087"/>
      <c r="I524" s="1087"/>
      <c r="J524" s="1087"/>
      <c r="K524" s="1087"/>
      <c r="L524" s="1087"/>
      <c r="M524" s="1087"/>
      <c r="N524" s="1087"/>
      <c r="O524" s="1087"/>
      <c r="P524" s="1087"/>
      <c r="Q524" s="1087"/>
      <c r="R524" s="1087"/>
      <c r="S524" s="1087"/>
      <c r="T524" s="1087"/>
      <c r="U524" s="1087"/>
      <c r="V524" s="1087"/>
      <c r="W524" s="1087"/>
      <c r="X524" s="1087"/>
      <c r="Y524" s="1087"/>
      <c r="Z524" s="1087"/>
      <c r="AA524" s="1087"/>
      <c r="AB524" s="1087"/>
      <c r="AC524" s="1087"/>
      <c r="AD524" s="1087"/>
      <c r="AE524" s="1087"/>
      <c r="AV524" s="506">
        <f>IF(OR($M$71=0,$M$71="NS",$M$71="NA"),0,SUM(AT521:AV523))</f>
        <v>0</v>
      </c>
      <c r="AX524"/>
      <c r="AY524"/>
    </row>
    <row r="525" spans="1:51" ht="15" customHeight="1">
      <c r="A525" s="108"/>
      <c r="B525" s="1003" t="str">
        <f>IF(AH517&gt;0,"Revise la información capturada, ya que tiene datos ingresados en celdas que están sombreadas","")</f>
        <v/>
      </c>
      <c r="C525" s="1003"/>
      <c r="D525" s="1003"/>
      <c r="E525" s="1003"/>
      <c r="F525" s="1003"/>
      <c r="G525" s="1003"/>
      <c r="H525" s="1003"/>
      <c r="I525" s="1003"/>
      <c r="J525" s="1003"/>
      <c r="K525" s="1003"/>
      <c r="L525" s="1003"/>
      <c r="M525" s="1003"/>
      <c r="N525" s="1003"/>
      <c r="O525" s="1003"/>
      <c r="P525" s="1003"/>
      <c r="Q525" s="1003"/>
      <c r="R525" s="1003"/>
      <c r="S525" s="1003"/>
      <c r="T525" s="1003"/>
      <c r="U525" s="1003"/>
      <c r="V525" s="1003"/>
      <c r="W525" s="1003"/>
      <c r="X525" s="1003"/>
      <c r="Y525" s="1003"/>
      <c r="Z525" s="1003"/>
      <c r="AA525" s="1003"/>
      <c r="AB525" s="1003"/>
      <c r="AC525" s="1003"/>
      <c r="AD525" s="1003"/>
      <c r="AE525" s="1003"/>
    </row>
    <row r="526" spans="1:51" ht="15" customHeight="1">
      <c r="A526" s="108"/>
      <c r="B526" s="1003" t="str">
        <f>IF(OR($M$71=0,$M$71="NS",$M$71="NA"),"",IF(OR(AL520&gt;0,AL521&gt;0,AN521&gt;0,AP521&gt;0),"Favor de revisar la suma y consistencia de totales y/o subtotales por filas (numéricos y NS)",""))</f>
        <v/>
      </c>
      <c r="C526" s="1003"/>
      <c r="D526" s="1003"/>
      <c r="E526" s="1003"/>
      <c r="F526" s="1003"/>
      <c r="G526" s="1003"/>
      <c r="H526" s="1003"/>
      <c r="I526" s="1003"/>
      <c r="J526" s="1003"/>
      <c r="K526" s="1003"/>
      <c r="L526" s="1003"/>
      <c r="M526" s="1003"/>
      <c r="N526" s="1003"/>
      <c r="O526" s="1003"/>
      <c r="P526" s="1003"/>
      <c r="Q526" s="1003"/>
      <c r="R526" s="1003"/>
      <c r="S526" s="1003"/>
      <c r="T526" s="1003"/>
      <c r="U526" s="1003"/>
      <c r="V526" s="1003"/>
      <c r="W526" s="1003"/>
      <c r="X526" s="1003"/>
      <c r="Y526" s="1003"/>
      <c r="Z526" s="1003"/>
      <c r="AA526" s="1003"/>
      <c r="AB526" s="1003"/>
      <c r="AC526" s="1003"/>
      <c r="AD526" s="1003"/>
      <c r="AE526" s="1003"/>
    </row>
    <row r="527" spans="1:51" ht="15" customHeight="1">
      <c r="A527" s="108"/>
      <c r="B527" s="795" t="str">
        <f>IF(AV519&gt;0,"Alerta: debe de proporcionar una justificación de acuerdo a lo establecido en la instrucción 2","")</f>
        <v/>
      </c>
      <c r="C527" s="795"/>
      <c r="D527" s="795"/>
      <c r="E527" s="795"/>
      <c r="F527" s="795"/>
      <c r="G527" s="795"/>
      <c r="H527" s="795"/>
      <c r="I527" s="795"/>
      <c r="J527" s="795"/>
      <c r="K527" s="795"/>
      <c r="L527" s="795"/>
      <c r="M527" s="795"/>
      <c r="N527" s="795"/>
      <c r="O527" s="795"/>
      <c r="P527" s="795"/>
      <c r="Q527" s="795"/>
      <c r="R527" s="795"/>
      <c r="S527" s="795"/>
      <c r="T527" s="795"/>
      <c r="U527" s="795"/>
      <c r="V527" s="795"/>
      <c r="W527" s="795"/>
      <c r="X527" s="795"/>
      <c r="Y527" s="795"/>
      <c r="Z527" s="795"/>
      <c r="AA527" s="795"/>
      <c r="AB527" s="795"/>
      <c r="AC527" s="795"/>
      <c r="AD527" s="795"/>
      <c r="AE527" s="795"/>
    </row>
    <row r="528" spans="1:51" ht="15" customHeight="1">
      <c r="A528" s="108"/>
      <c r="B528" s="795" t="str">
        <f>IF(AV524&gt;0,"Alerta: debe de proporcionar una justificación de acuerdo a lo establecido en la instrucción 3","")</f>
        <v/>
      </c>
      <c r="C528" s="795"/>
      <c r="D528" s="795"/>
      <c r="E528" s="795"/>
      <c r="F528" s="795"/>
      <c r="G528" s="795"/>
      <c r="H528" s="795"/>
      <c r="I528" s="795"/>
      <c r="J528" s="795"/>
      <c r="K528" s="795"/>
      <c r="L528" s="795"/>
      <c r="M528" s="795"/>
      <c r="N528" s="795"/>
      <c r="O528" s="795"/>
      <c r="P528" s="795"/>
      <c r="Q528" s="795"/>
      <c r="R528" s="795"/>
      <c r="S528" s="795"/>
      <c r="T528" s="795"/>
      <c r="U528" s="795"/>
      <c r="V528" s="795"/>
      <c r="W528" s="795"/>
      <c r="X528" s="795"/>
      <c r="Y528" s="795"/>
      <c r="Z528" s="795"/>
      <c r="AA528" s="795"/>
      <c r="AB528" s="795"/>
      <c r="AC528" s="795"/>
      <c r="AD528" s="795"/>
      <c r="AE528" s="795"/>
    </row>
    <row r="529" spans="1:45" ht="24" customHeight="1">
      <c r="A529" s="49" t="s">
        <v>4732</v>
      </c>
      <c r="B529" s="829" t="s">
        <v>4733</v>
      </c>
      <c r="C529" s="829"/>
      <c r="D529" s="829"/>
      <c r="E529" s="829"/>
      <c r="F529" s="829"/>
      <c r="G529" s="829"/>
      <c r="H529" s="829"/>
      <c r="I529" s="829"/>
      <c r="J529" s="829"/>
      <c r="K529" s="829"/>
      <c r="L529" s="829"/>
      <c r="M529" s="829"/>
      <c r="N529" s="829"/>
      <c r="O529" s="829"/>
      <c r="P529" s="829"/>
      <c r="Q529" s="829"/>
      <c r="R529" s="829"/>
      <c r="S529" s="829"/>
      <c r="T529" s="829"/>
      <c r="U529" s="829"/>
      <c r="V529" s="829"/>
      <c r="W529" s="829"/>
      <c r="X529" s="829"/>
      <c r="Y529" s="829"/>
      <c r="Z529" s="829"/>
      <c r="AA529" s="829"/>
      <c r="AB529" s="829"/>
      <c r="AC529" s="829"/>
      <c r="AD529" s="829"/>
    </row>
    <row r="530" spans="1:45" ht="24" customHeight="1">
      <c r="A530" s="49"/>
      <c r="B530" s="105"/>
      <c r="C530" s="754" t="s">
        <v>4734</v>
      </c>
      <c r="D530" s="754"/>
      <c r="E530" s="754"/>
      <c r="F530" s="754"/>
      <c r="G530" s="754"/>
      <c r="H530" s="754"/>
      <c r="I530" s="754"/>
      <c r="J530" s="754"/>
      <c r="K530" s="754"/>
      <c r="L530" s="754"/>
      <c r="M530" s="754"/>
      <c r="N530" s="754"/>
      <c r="O530" s="754"/>
      <c r="P530" s="754"/>
      <c r="Q530" s="754"/>
      <c r="R530" s="754"/>
      <c r="S530" s="754"/>
      <c r="T530" s="754"/>
      <c r="U530" s="754"/>
      <c r="V530" s="754"/>
      <c r="W530" s="754"/>
      <c r="X530" s="754"/>
      <c r="Y530" s="754"/>
      <c r="Z530" s="754"/>
      <c r="AA530" s="754"/>
      <c r="AB530" s="754"/>
      <c r="AC530" s="754"/>
      <c r="AD530" s="754"/>
    </row>
    <row r="531" spans="1:45" ht="24" customHeight="1">
      <c r="A531" s="49"/>
      <c r="B531" s="38"/>
      <c r="C531" s="754" t="s">
        <v>4735</v>
      </c>
      <c r="D531" s="754"/>
      <c r="E531" s="754"/>
      <c r="F531" s="754"/>
      <c r="G531" s="754"/>
      <c r="H531" s="754"/>
      <c r="I531" s="754"/>
      <c r="J531" s="754"/>
      <c r="K531" s="754"/>
      <c r="L531" s="754"/>
      <c r="M531" s="754"/>
      <c r="N531" s="754"/>
      <c r="O531" s="754"/>
      <c r="P531" s="754"/>
      <c r="Q531" s="754"/>
      <c r="R531" s="754"/>
      <c r="S531" s="754"/>
      <c r="T531" s="754"/>
      <c r="U531" s="754"/>
      <c r="V531" s="754"/>
      <c r="W531" s="754"/>
      <c r="X531" s="754"/>
      <c r="Y531" s="754"/>
      <c r="Z531" s="754"/>
      <c r="AA531" s="754"/>
      <c r="AB531" s="754"/>
      <c r="AC531" s="754"/>
      <c r="AD531" s="754"/>
    </row>
    <row r="532" spans="1:45" ht="15" customHeight="1">
      <c r="A532" s="185"/>
      <c r="B532" s="90"/>
      <c r="C532" s="90"/>
      <c r="D532" s="90"/>
      <c r="E532" s="90"/>
      <c r="F532" s="90"/>
      <c r="G532" s="90"/>
      <c r="H532" s="90"/>
      <c r="I532" s="90"/>
      <c r="J532" s="90"/>
      <c r="K532" s="90"/>
      <c r="L532" s="90"/>
      <c r="M532" s="90"/>
      <c r="N532" s="90"/>
      <c r="O532" s="90"/>
      <c r="P532" s="90"/>
      <c r="Q532" s="90"/>
      <c r="R532" s="90"/>
      <c r="S532" s="90"/>
      <c r="T532" s="90"/>
      <c r="U532" s="90"/>
      <c r="V532" s="90"/>
      <c r="W532" s="90"/>
      <c r="X532" s="90"/>
      <c r="Y532" s="90"/>
      <c r="Z532" s="90"/>
      <c r="AA532" s="90"/>
      <c r="AB532" s="90"/>
      <c r="AC532" s="90"/>
      <c r="AD532" s="90"/>
    </row>
    <row r="533" spans="1:45" ht="60" customHeight="1">
      <c r="A533" s="108"/>
      <c r="B533" s="38"/>
      <c r="C533" s="732" t="s">
        <v>4736</v>
      </c>
      <c r="D533" s="732"/>
      <c r="E533" s="732"/>
      <c r="F533" s="732"/>
      <c r="G533" s="732" t="s">
        <v>4737</v>
      </c>
      <c r="H533" s="732"/>
      <c r="I533" s="968" t="s">
        <v>4738</v>
      </c>
      <c r="J533" s="969"/>
      <c r="K533" s="969"/>
      <c r="L533" s="969"/>
      <c r="M533" s="969"/>
      <c r="N533" s="969"/>
      <c r="O533" s="969"/>
      <c r="P533" s="969"/>
      <c r="Q533" s="969"/>
      <c r="R533" s="969"/>
      <c r="S533" s="969"/>
      <c r="T533" s="969"/>
      <c r="U533" s="970"/>
      <c r="V533" s="739" t="s">
        <v>4739</v>
      </c>
      <c r="W533" s="740"/>
      <c r="X533" s="740"/>
      <c r="Y533" s="740"/>
      <c r="Z533" s="740"/>
      <c r="AA533" s="740"/>
      <c r="AB533" s="740"/>
      <c r="AC533" s="740"/>
      <c r="AD533" s="741"/>
    </row>
    <row r="534" spans="1:45" ht="15" customHeight="1">
      <c r="A534" s="108"/>
      <c r="B534" s="38"/>
      <c r="C534" s="732"/>
      <c r="D534" s="732"/>
      <c r="E534" s="732"/>
      <c r="F534" s="732"/>
      <c r="G534" s="732"/>
      <c r="H534" s="732"/>
      <c r="I534" s="1100"/>
      <c r="J534" s="1101"/>
      <c r="K534" s="1101"/>
      <c r="L534" s="1101"/>
      <c r="M534" s="1101"/>
      <c r="N534" s="1101"/>
      <c r="O534" s="1101"/>
      <c r="P534" s="1101"/>
      <c r="Q534" s="1101"/>
      <c r="R534" s="1101"/>
      <c r="S534" s="1101"/>
      <c r="T534" s="1101"/>
      <c r="U534" s="1102"/>
      <c r="V534" s="887" t="s">
        <v>2628</v>
      </c>
      <c r="W534" s="889" t="s">
        <v>2629</v>
      </c>
      <c r="X534" s="889" t="s">
        <v>2630</v>
      </c>
      <c r="Y534" s="733" t="s">
        <v>4586</v>
      </c>
      <c r="Z534" s="734"/>
      <c r="AA534" s="735"/>
      <c r="AB534" s="733" t="s">
        <v>4587</v>
      </c>
      <c r="AC534" s="734"/>
      <c r="AD534" s="735"/>
    </row>
    <row r="535" spans="1:45" ht="48" customHeight="1">
      <c r="A535" s="108"/>
      <c r="B535" s="38"/>
      <c r="C535" s="732"/>
      <c r="D535" s="732"/>
      <c r="E535" s="732"/>
      <c r="F535" s="732"/>
      <c r="G535" s="732"/>
      <c r="H535" s="732"/>
      <c r="I535" s="971"/>
      <c r="J535" s="972"/>
      <c r="K535" s="972"/>
      <c r="L535" s="972"/>
      <c r="M535" s="972"/>
      <c r="N535" s="972"/>
      <c r="O535" s="972"/>
      <c r="P535" s="972"/>
      <c r="Q535" s="972"/>
      <c r="R535" s="972"/>
      <c r="S535" s="972"/>
      <c r="T535" s="972"/>
      <c r="U535" s="973"/>
      <c r="V535" s="888"/>
      <c r="W535" s="890"/>
      <c r="X535" s="890"/>
      <c r="Y535" s="171" t="s">
        <v>2635</v>
      </c>
      <c r="Z535" s="128" t="s">
        <v>2629</v>
      </c>
      <c r="AA535" s="128" t="s">
        <v>2630</v>
      </c>
      <c r="AB535" s="171" t="s">
        <v>2635</v>
      </c>
      <c r="AC535" s="128" t="s">
        <v>2629</v>
      </c>
      <c r="AD535" s="128" t="s">
        <v>2630</v>
      </c>
      <c r="AF535" s="576" t="s">
        <v>4740</v>
      </c>
      <c r="AG535" t="s">
        <v>2586</v>
      </c>
      <c r="AH535" t="s">
        <v>4599</v>
      </c>
      <c r="AI535" t="s">
        <v>4741</v>
      </c>
      <c r="AJ535" t="s">
        <v>4742</v>
      </c>
      <c r="AK535" t="s">
        <v>4573</v>
      </c>
      <c r="AL535" t="s">
        <v>2638</v>
      </c>
      <c r="AM535" t="s">
        <v>2639</v>
      </c>
      <c r="AN535" t="s">
        <v>4574</v>
      </c>
      <c r="AO535" t="s">
        <v>2641</v>
      </c>
      <c r="AP535" t="s">
        <v>2642</v>
      </c>
      <c r="AQ535" t="s">
        <v>4575</v>
      </c>
      <c r="AR535" t="s">
        <v>2644</v>
      </c>
      <c r="AS535" t="s">
        <v>2645</v>
      </c>
    </row>
    <row r="536" spans="1:45" ht="15" customHeight="1">
      <c r="A536" s="108"/>
      <c r="B536" s="38"/>
      <c r="C536" s="1108" t="s">
        <v>4743</v>
      </c>
      <c r="D536" s="847" t="s">
        <v>4744</v>
      </c>
      <c r="E536" s="953"/>
      <c r="F536" s="848"/>
      <c r="G536" s="1103" t="s">
        <v>4745</v>
      </c>
      <c r="H536" s="1103"/>
      <c r="I536" s="1104" t="s">
        <v>3875</v>
      </c>
      <c r="J536" s="1105"/>
      <c r="K536" s="1105"/>
      <c r="L536" s="1105"/>
      <c r="M536" s="1105"/>
      <c r="N536" s="1105"/>
      <c r="O536" s="1105"/>
      <c r="P536" s="1105"/>
      <c r="Q536" s="1105"/>
      <c r="R536" s="1105"/>
      <c r="S536" s="1105"/>
      <c r="T536" s="1105"/>
      <c r="U536" s="1106"/>
      <c r="V536" s="100"/>
      <c r="W536" s="100"/>
      <c r="X536" s="100"/>
      <c r="Y536" s="100"/>
      <c r="Z536" s="100"/>
      <c r="AA536" s="100"/>
      <c r="AB536" s="100"/>
      <c r="AC536" s="100"/>
      <c r="AD536" s="100"/>
      <c r="AF536"/>
      <c r="AG536">
        <f>IF(OR($V$517=0,$V$517="NS",$V$517="NA",V536="NA"),0,IF(COUNTBLANK(V536:AD536)=0,0,1))</f>
        <v>0</v>
      </c>
      <c r="AH536">
        <f t="shared" ref="AH536:AH599" si="270">IF(V536="NA",IF(COUNTBLANK(W536:AD536)=8,0,1),0)</f>
        <v>0</v>
      </c>
      <c r="AI536">
        <f>IF(OR($V$517=0,$V$517="NS",$V$517="NA"),IF(COUNTBLANK(V536:AD700)=1485,0,1),0)</f>
        <v>0</v>
      </c>
      <c r="AK536">
        <f t="shared" ref="AK536:AK567" si="271">COUNTIF(W536:X536,"NS")</f>
        <v>0</v>
      </c>
      <c r="AL536">
        <f t="shared" ref="AL536:AL567" si="272">SUM(W536:X536)</f>
        <v>0</v>
      </c>
      <c r="AM536">
        <f t="shared" ref="AM536:AM567" si="273">IF(COUNTIF(V536:X536,"NA")=3,0,IF(COUNTA(V536:X536)=0,0,IF(OR(AND(V536=0,AK536&gt;0),AND(V536="ns",AL536&gt;0),AND(V536="ns",AK536=0,AL536=0)),1,IF(OR(AND(V536&gt;0,AK536=2),AND(V536="ns",AK536=2),AND(V536="ns",AL536=0,AK536&gt;0),V536=AL536),0,1))))</f>
        <v>0</v>
      </c>
      <c r="AN536">
        <f t="shared" ref="AN536:AN567" si="274">COUNTIF(Z536:AA536,"NS")</f>
        <v>0</v>
      </c>
      <c r="AO536">
        <f t="shared" ref="AO536:AO567" si="275">SUM(Z536:AA536)</f>
        <v>0</v>
      </c>
      <c r="AP536">
        <f t="shared" ref="AP536:AP567" si="276">IF(COUNTIF(Y536:AA536,"NA")=3,0,IF(COUNTA(Y536:AA536)=0,0,IF(OR(AND(Y536=0,AN536&gt;0),AND(Y536="ns",AO536&gt;0),AND(Y536="ns",AN536=0,AO536=0)),1,IF(OR(AND(Y536&gt;0,AN536=2),AND(Y536="ns",AN536=2),AND(Y536="ns",AO536=0,AN536&gt;0),Y536=AO536),0,1))))</f>
        <v>0</v>
      </c>
      <c r="AQ536">
        <f t="shared" ref="AQ536:AQ567" si="277">COUNTIF(AC536:AD536,"NS")</f>
        <v>0</v>
      </c>
      <c r="AR536">
        <f t="shared" ref="AR536:AR567" si="278">SUM(AC536:AD536)</f>
        <v>0</v>
      </c>
      <c r="AS536">
        <f t="shared" ref="AS536:AS567" si="279">IF(COUNTIF(AB536:AD536,"NA")=3,0,IF(COUNTA(AB536:AD536)=0,0,IF(OR(AND(AB536=0,AQ536&gt;0),AND(AB536="ns",AR536&gt;0),AND(AB536="ns",AQ536=0,AR536=0)),1,IF(OR(AND(AB536&gt;0,AQ536=2),AND(AB536="ns",AQ536=2),AND(AB536="ns",AR536=0,AQ536&gt;0),AB536=AR536),0,1))))</f>
        <v>0</v>
      </c>
    </row>
    <row r="537" spans="1:45" ht="15" customHeight="1">
      <c r="A537" s="108"/>
      <c r="B537" s="38"/>
      <c r="C537" s="1109"/>
      <c r="D537" s="954"/>
      <c r="E537" s="955"/>
      <c r="F537" s="956"/>
      <c r="G537" s="1103" t="s">
        <v>4746</v>
      </c>
      <c r="H537" s="1103"/>
      <c r="I537" s="1104" t="s">
        <v>4747</v>
      </c>
      <c r="J537" s="1105"/>
      <c r="K537" s="1105"/>
      <c r="L537" s="1105"/>
      <c r="M537" s="1105"/>
      <c r="N537" s="1105"/>
      <c r="O537" s="1105"/>
      <c r="P537" s="1105"/>
      <c r="Q537" s="1105"/>
      <c r="R537" s="1105"/>
      <c r="S537" s="1105"/>
      <c r="T537" s="1105"/>
      <c r="U537" s="1106"/>
      <c r="V537" s="100"/>
      <c r="W537" s="100"/>
      <c r="X537" s="100"/>
      <c r="Y537" s="100"/>
      <c r="Z537" s="100"/>
      <c r="AA537" s="100"/>
      <c r="AB537" s="100"/>
      <c r="AC537" s="100"/>
      <c r="AD537" s="100"/>
      <c r="AF537"/>
      <c r="AG537">
        <f t="shared" ref="AG537:AG600" si="280">IF(OR($V$517=0,$V$517="NS",$V$517="NA",V537="NA"),0,IF(COUNTBLANK(V537:AD537)=0,0,1))</f>
        <v>0</v>
      </c>
      <c r="AH537">
        <f t="shared" si="270"/>
        <v>0</v>
      </c>
      <c r="AK537">
        <f t="shared" si="271"/>
        <v>0</v>
      </c>
      <c r="AL537">
        <f t="shared" si="272"/>
        <v>0</v>
      </c>
      <c r="AM537">
        <f t="shared" si="273"/>
        <v>0</v>
      </c>
      <c r="AN537">
        <f t="shared" si="274"/>
        <v>0</v>
      </c>
      <c r="AO537">
        <f t="shared" si="275"/>
        <v>0</v>
      </c>
      <c r="AP537">
        <f t="shared" si="276"/>
        <v>0</v>
      </c>
      <c r="AQ537">
        <f t="shared" si="277"/>
        <v>0</v>
      </c>
      <c r="AR537">
        <f t="shared" si="278"/>
        <v>0</v>
      </c>
      <c r="AS537">
        <f t="shared" si="279"/>
        <v>0</v>
      </c>
    </row>
    <row r="538" spans="1:45" ht="15" customHeight="1">
      <c r="A538" s="108"/>
      <c r="B538" s="38"/>
      <c r="C538" s="1109"/>
      <c r="D538" s="954"/>
      <c r="E538" s="955"/>
      <c r="F538" s="956"/>
      <c r="G538" s="1103" t="s">
        <v>4748</v>
      </c>
      <c r="H538" s="1103"/>
      <c r="I538" s="1104" t="s">
        <v>4749</v>
      </c>
      <c r="J538" s="1105"/>
      <c r="K538" s="1105"/>
      <c r="L538" s="1105"/>
      <c r="M538" s="1105"/>
      <c r="N538" s="1105"/>
      <c r="O538" s="1105"/>
      <c r="P538" s="1105"/>
      <c r="Q538" s="1105"/>
      <c r="R538" s="1105"/>
      <c r="S538" s="1105"/>
      <c r="T538" s="1105"/>
      <c r="U538" s="1106"/>
      <c r="V538" s="100"/>
      <c r="W538" s="100"/>
      <c r="X538" s="100"/>
      <c r="Y538" s="100"/>
      <c r="Z538" s="100"/>
      <c r="AA538" s="100"/>
      <c r="AB538" s="100"/>
      <c r="AC538" s="100"/>
      <c r="AD538" s="100"/>
      <c r="AF538"/>
      <c r="AG538">
        <f t="shared" si="280"/>
        <v>0</v>
      </c>
      <c r="AH538">
        <f t="shared" si="270"/>
        <v>0</v>
      </c>
      <c r="AK538">
        <f t="shared" si="271"/>
        <v>0</v>
      </c>
      <c r="AL538">
        <f t="shared" si="272"/>
        <v>0</v>
      </c>
      <c r="AM538">
        <f t="shared" si="273"/>
        <v>0</v>
      </c>
      <c r="AN538">
        <f t="shared" si="274"/>
        <v>0</v>
      </c>
      <c r="AO538">
        <f t="shared" si="275"/>
        <v>0</v>
      </c>
      <c r="AP538">
        <f t="shared" si="276"/>
        <v>0</v>
      </c>
      <c r="AQ538">
        <f t="shared" si="277"/>
        <v>0</v>
      </c>
      <c r="AR538">
        <f t="shared" si="278"/>
        <v>0</v>
      </c>
      <c r="AS538">
        <f t="shared" si="279"/>
        <v>0</v>
      </c>
    </row>
    <row r="539" spans="1:45" ht="15" customHeight="1">
      <c r="A539" s="108"/>
      <c r="B539" s="38"/>
      <c r="C539" s="1109"/>
      <c r="D539" s="954"/>
      <c r="E539" s="955"/>
      <c r="F539" s="956"/>
      <c r="G539" s="1103" t="s">
        <v>4750</v>
      </c>
      <c r="H539" s="1103"/>
      <c r="I539" s="1104" t="s">
        <v>4751</v>
      </c>
      <c r="J539" s="1105"/>
      <c r="K539" s="1105"/>
      <c r="L539" s="1105"/>
      <c r="M539" s="1105"/>
      <c r="N539" s="1105"/>
      <c r="O539" s="1105"/>
      <c r="P539" s="1105"/>
      <c r="Q539" s="1105"/>
      <c r="R539" s="1105"/>
      <c r="S539" s="1105"/>
      <c r="T539" s="1105"/>
      <c r="U539" s="1106"/>
      <c r="V539" s="100"/>
      <c r="W539" s="100"/>
      <c r="X539" s="100"/>
      <c r="Y539" s="100"/>
      <c r="Z539" s="100"/>
      <c r="AA539" s="100"/>
      <c r="AB539" s="100"/>
      <c r="AC539" s="100"/>
      <c r="AD539" s="100"/>
      <c r="AF539"/>
      <c r="AG539">
        <f t="shared" si="280"/>
        <v>0</v>
      </c>
      <c r="AH539">
        <f t="shared" si="270"/>
        <v>0</v>
      </c>
      <c r="AK539">
        <f t="shared" si="271"/>
        <v>0</v>
      </c>
      <c r="AL539">
        <f t="shared" si="272"/>
        <v>0</v>
      </c>
      <c r="AM539">
        <f t="shared" si="273"/>
        <v>0</v>
      </c>
      <c r="AN539">
        <f t="shared" si="274"/>
        <v>0</v>
      </c>
      <c r="AO539">
        <f t="shared" si="275"/>
        <v>0</v>
      </c>
      <c r="AP539">
        <f t="shared" si="276"/>
        <v>0</v>
      </c>
      <c r="AQ539">
        <f t="shared" si="277"/>
        <v>0</v>
      </c>
      <c r="AR539">
        <f t="shared" si="278"/>
        <v>0</v>
      </c>
      <c r="AS539">
        <f t="shared" si="279"/>
        <v>0</v>
      </c>
    </row>
    <row r="540" spans="1:45" ht="15" customHeight="1">
      <c r="A540" s="108"/>
      <c r="B540" s="38"/>
      <c r="C540" s="1109"/>
      <c r="D540" s="954"/>
      <c r="E540" s="955"/>
      <c r="F540" s="956"/>
      <c r="G540" s="1107" t="s">
        <v>4752</v>
      </c>
      <c r="H540" s="1107"/>
      <c r="I540" s="1104" t="s">
        <v>4753</v>
      </c>
      <c r="J540" s="1105"/>
      <c r="K540" s="1105"/>
      <c r="L540" s="1105"/>
      <c r="M540" s="1105"/>
      <c r="N540" s="1105"/>
      <c r="O540" s="1105"/>
      <c r="P540" s="1105"/>
      <c r="Q540" s="1105"/>
      <c r="R540" s="1105"/>
      <c r="S540" s="1105"/>
      <c r="T540" s="1105"/>
      <c r="U540" s="1106"/>
      <c r="V540" s="100"/>
      <c r="W540" s="100"/>
      <c r="X540" s="100"/>
      <c r="Y540" s="100"/>
      <c r="Z540" s="100"/>
      <c r="AA540" s="100"/>
      <c r="AB540" s="100"/>
      <c r="AC540" s="100"/>
      <c r="AD540" s="100"/>
      <c r="AF540"/>
      <c r="AG540">
        <f t="shared" si="280"/>
        <v>0</v>
      </c>
      <c r="AH540">
        <f t="shared" si="270"/>
        <v>0</v>
      </c>
      <c r="AJ540">
        <f>IF(OR(V540="NS",V540="NA",$V$715=0,$V$715="NS",$V$715="NA"),0,IF((V540*(IFERROR(100/SUM(V536:V540),0)))&gt;25,1,0))</f>
        <v>0</v>
      </c>
      <c r="AK540">
        <f t="shared" si="271"/>
        <v>0</v>
      </c>
      <c r="AL540">
        <f t="shared" si="272"/>
        <v>0</v>
      </c>
      <c r="AM540">
        <f t="shared" si="273"/>
        <v>0</v>
      </c>
      <c r="AN540">
        <f t="shared" si="274"/>
        <v>0</v>
      </c>
      <c r="AO540">
        <f t="shared" si="275"/>
        <v>0</v>
      </c>
      <c r="AP540">
        <f t="shared" si="276"/>
        <v>0</v>
      </c>
      <c r="AQ540">
        <f t="shared" si="277"/>
        <v>0</v>
      </c>
      <c r="AR540">
        <f t="shared" si="278"/>
        <v>0</v>
      </c>
      <c r="AS540">
        <f t="shared" si="279"/>
        <v>0</v>
      </c>
    </row>
    <row r="541" spans="1:45" ht="15" customHeight="1">
      <c r="A541" s="108"/>
      <c r="B541" s="38"/>
      <c r="C541" s="1108" t="s">
        <v>4754</v>
      </c>
      <c r="D541" s="847" t="s">
        <v>4755</v>
      </c>
      <c r="E541" s="953"/>
      <c r="F541" s="953"/>
      <c r="G541" s="1103" t="s">
        <v>4756</v>
      </c>
      <c r="H541" s="1103"/>
      <c r="I541" s="1104" t="s">
        <v>4757</v>
      </c>
      <c r="J541" s="1105"/>
      <c r="K541" s="1105"/>
      <c r="L541" s="1105"/>
      <c r="M541" s="1105"/>
      <c r="N541" s="1105"/>
      <c r="O541" s="1105"/>
      <c r="P541" s="1105"/>
      <c r="Q541" s="1105"/>
      <c r="R541" s="1105"/>
      <c r="S541" s="1105"/>
      <c r="T541" s="1105"/>
      <c r="U541" s="1106"/>
      <c r="V541" s="100"/>
      <c r="W541" s="100"/>
      <c r="X541" s="100"/>
      <c r="Y541" s="100"/>
      <c r="Z541" s="100"/>
      <c r="AA541" s="100"/>
      <c r="AB541" s="100"/>
      <c r="AC541" s="100"/>
      <c r="AD541" s="100"/>
      <c r="AF541"/>
      <c r="AG541">
        <f t="shared" si="280"/>
        <v>0</v>
      </c>
      <c r="AH541">
        <f t="shared" si="270"/>
        <v>0</v>
      </c>
      <c r="AK541">
        <f t="shared" si="271"/>
        <v>0</v>
      </c>
      <c r="AL541">
        <f t="shared" si="272"/>
        <v>0</v>
      </c>
      <c r="AM541">
        <f t="shared" si="273"/>
        <v>0</v>
      </c>
      <c r="AN541">
        <f t="shared" si="274"/>
        <v>0</v>
      </c>
      <c r="AO541">
        <f t="shared" si="275"/>
        <v>0</v>
      </c>
      <c r="AP541">
        <f t="shared" si="276"/>
        <v>0</v>
      </c>
      <c r="AQ541">
        <f t="shared" si="277"/>
        <v>0</v>
      </c>
      <c r="AR541">
        <f t="shared" si="278"/>
        <v>0</v>
      </c>
      <c r="AS541">
        <f t="shared" si="279"/>
        <v>0</v>
      </c>
    </row>
    <row r="542" spans="1:45" ht="15" customHeight="1">
      <c r="A542" s="176"/>
      <c r="B542" s="57"/>
      <c r="C542" s="1109"/>
      <c r="D542" s="954"/>
      <c r="E542" s="955"/>
      <c r="F542" s="955"/>
      <c r="G542" s="1103" t="s">
        <v>4758</v>
      </c>
      <c r="H542" s="1103"/>
      <c r="I542" s="1104" t="s">
        <v>4759</v>
      </c>
      <c r="J542" s="1105"/>
      <c r="K542" s="1105"/>
      <c r="L542" s="1105"/>
      <c r="M542" s="1105"/>
      <c r="N542" s="1105"/>
      <c r="O542" s="1105"/>
      <c r="P542" s="1105"/>
      <c r="Q542" s="1105"/>
      <c r="R542" s="1105"/>
      <c r="S542" s="1105"/>
      <c r="T542" s="1105"/>
      <c r="U542" s="1106"/>
      <c r="V542" s="100"/>
      <c r="W542" s="100"/>
      <c r="X542" s="100"/>
      <c r="Y542" s="100"/>
      <c r="Z542" s="100"/>
      <c r="AA542" s="100"/>
      <c r="AB542" s="100"/>
      <c r="AC542" s="100"/>
      <c r="AD542" s="100"/>
      <c r="AF542"/>
      <c r="AG542">
        <f t="shared" si="280"/>
        <v>0</v>
      </c>
      <c r="AH542">
        <f t="shared" si="270"/>
        <v>0</v>
      </c>
      <c r="AK542">
        <f t="shared" si="271"/>
        <v>0</v>
      </c>
      <c r="AL542">
        <f t="shared" si="272"/>
        <v>0</v>
      </c>
      <c r="AM542">
        <f t="shared" si="273"/>
        <v>0</v>
      </c>
      <c r="AN542">
        <f t="shared" si="274"/>
        <v>0</v>
      </c>
      <c r="AO542">
        <f t="shared" si="275"/>
        <v>0</v>
      </c>
      <c r="AP542">
        <f t="shared" si="276"/>
        <v>0</v>
      </c>
      <c r="AQ542">
        <f t="shared" si="277"/>
        <v>0</v>
      </c>
      <c r="AR542">
        <f t="shared" si="278"/>
        <v>0</v>
      </c>
      <c r="AS542">
        <f t="shared" si="279"/>
        <v>0</v>
      </c>
    </row>
    <row r="543" spans="1:45" ht="15" customHeight="1">
      <c r="A543" s="176"/>
      <c r="B543" s="57"/>
      <c r="C543" s="1109"/>
      <c r="D543" s="954"/>
      <c r="E543" s="955"/>
      <c r="F543" s="955"/>
      <c r="G543" s="1103" t="s">
        <v>4760</v>
      </c>
      <c r="H543" s="1103"/>
      <c r="I543" s="1104" t="s">
        <v>4761</v>
      </c>
      <c r="J543" s="1105"/>
      <c r="K543" s="1105"/>
      <c r="L543" s="1105"/>
      <c r="M543" s="1105"/>
      <c r="N543" s="1105"/>
      <c r="O543" s="1105"/>
      <c r="P543" s="1105"/>
      <c r="Q543" s="1105"/>
      <c r="R543" s="1105"/>
      <c r="S543" s="1105"/>
      <c r="T543" s="1105"/>
      <c r="U543" s="1106"/>
      <c r="V543" s="100"/>
      <c r="W543" s="100"/>
      <c r="X543" s="100"/>
      <c r="Y543" s="100"/>
      <c r="Z543" s="100"/>
      <c r="AA543" s="100"/>
      <c r="AB543" s="100"/>
      <c r="AC543" s="100"/>
      <c r="AD543" s="100"/>
      <c r="AF543"/>
      <c r="AG543">
        <f t="shared" si="280"/>
        <v>0</v>
      </c>
      <c r="AH543">
        <f t="shared" si="270"/>
        <v>0</v>
      </c>
      <c r="AK543">
        <f t="shared" si="271"/>
        <v>0</v>
      </c>
      <c r="AL543">
        <f t="shared" si="272"/>
        <v>0</v>
      </c>
      <c r="AM543">
        <f t="shared" si="273"/>
        <v>0</v>
      </c>
      <c r="AN543">
        <f t="shared" si="274"/>
        <v>0</v>
      </c>
      <c r="AO543">
        <f t="shared" si="275"/>
        <v>0</v>
      </c>
      <c r="AP543">
        <f t="shared" si="276"/>
        <v>0</v>
      </c>
      <c r="AQ543">
        <f t="shared" si="277"/>
        <v>0</v>
      </c>
      <c r="AR543">
        <f t="shared" si="278"/>
        <v>0</v>
      </c>
      <c r="AS543">
        <f t="shared" si="279"/>
        <v>0</v>
      </c>
    </row>
    <row r="544" spans="1:45" ht="15" customHeight="1">
      <c r="A544" s="176"/>
      <c r="B544" s="57"/>
      <c r="C544" s="1109"/>
      <c r="D544" s="954"/>
      <c r="E544" s="955"/>
      <c r="F544" s="955"/>
      <c r="G544" s="1103" t="s">
        <v>4762</v>
      </c>
      <c r="H544" s="1103"/>
      <c r="I544" s="1104" t="s">
        <v>4763</v>
      </c>
      <c r="J544" s="1105"/>
      <c r="K544" s="1105"/>
      <c r="L544" s="1105"/>
      <c r="M544" s="1105"/>
      <c r="N544" s="1105"/>
      <c r="O544" s="1105"/>
      <c r="P544" s="1105"/>
      <c r="Q544" s="1105"/>
      <c r="R544" s="1105"/>
      <c r="S544" s="1105"/>
      <c r="T544" s="1105"/>
      <c r="U544" s="1106"/>
      <c r="V544" s="100"/>
      <c r="W544" s="100"/>
      <c r="X544" s="100"/>
      <c r="Y544" s="100"/>
      <c r="Z544" s="100"/>
      <c r="AA544" s="100"/>
      <c r="AB544" s="100"/>
      <c r="AC544" s="100"/>
      <c r="AD544" s="100"/>
      <c r="AF544"/>
      <c r="AG544">
        <f t="shared" si="280"/>
        <v>0</v>
      </c>
      <c r="AH544">
        <f t="shared" si="270"/>
        <v>0</v>
      </c>
      <c r="AK544">
        <f t="shared" si="271"/>
        <v>0</v>
      </c>
      <c r="AL544">
        <f t="shared" si="272"/>
        <v>0</v>
      </c>
      <c r="AM544">
        <f t="shared" si="273"/>
        <v>0</v>
      </c>
      <c r="AN544">
        <f t="shared" si="274"/>
        <v>0</v>
      </c>
      <c r="AO544">
        <f t="shared" si="275"/>
        <v>0</v>
      </c>
      <c r="AP544">
        <f t="shared" si="276"/>
        <v>0</v>
      </c>
      <c r="AQ544">
        <f t="shared" si="277"/>
        <v>0</v>
      </c>
      <c r="AR544">
        <f t="shared" si="278"/>
        <v>0</v>
      </c>
      <c r="AS544">
        <f t="shared" si="279"/>
        <v>0</v>
      </c>
    </row>
    <row r="545" spans="1:91" ht="15" customHeight="1">
      <c r="A545" s="176"/>
      <c r="B545" s="57"/>
      <c r="C545" s="1109"/>
      <c r="D545" s="954"/>
      <c r="E545" s="955"/>
      <c r="F545" s="955"/>
      <c r="G545" s="1103" t="s">
        <v>4764</v>
      </c>
      <c r="H545" s="1103"/>
      <c r="I545" s="1104" t="s">
        <v>4765</v>
      </c>
      <c r="J545" s="1105"/>
      <c r="K545" s="1105"/>
      <c r="L545" s="1105"/>
      <c r="M545" s="1105"/>
      <c r="N545" s="1105"/>
      <c r="O545" s="1105"/>
      <c r="P545" s="1105"/>
      <c r="Q545" s="1105"/>
      <c r="R545" s="1105"/>
      <c r="S545" s="1105"/>
      <c r="T545" s="1105"/>
      <c r="U545" s="1106"/>
      <c r="V545" s="100"/>
      <c r="W545" s="100"/>
      <c r="X545" s="100"/>
      <c r="Y545" s="100"/>
      <c r="Z545" s="100"/>
      <c r="AA545" s="100"/>
      <c r="AB545" s="100"/>
      <c r="AC545" s="100"/>
      <c r="AD545" s="100"/>
      <c r="AF545"/>
      <c r="AG545">
        <f t="shared" si="280"/>
        <v>0</v>
      </c>
      <c r="AH545">
        <f t="shared" si="270"/>
        <v>0</v>
      </c>
      <c r="AK545">
        <f t="shared" si="271"/>
        <v>0</v>
      </c>
      <c r="AL545">
        <f t="shared" si="272"/>
        <v>0</v>
      </c>
      <c r="AM545">
        <f t="shared" si="273"/>
        <v>0</v>
      </c>
      <c r="AN545">
        <f t="shared" si="274"/>
        <v>0</v>
      </c>
      <c r="AO545">
        <f t="shared" si="275"/>
        <v>0</v>
      </c>
      <c r="AP545">
        <f t="shared" si="276"/>
        <v>0</v>
      </c>
      <c r="AQ545">
        <f t="shared" si="277"/>
        <v>0</v>
      </c>
      <c r="AR545">
        <f t="shared" si="278"/>
        <v>0</v>
      </c>
      <c r="AS545">
        <f t="shared" si="279"/>
        <v>0</v>
      </c>
      <c r="AT545" t="s">
        <v>4766</v>
      </c>
      <c r="AU545" t="s">
        <v>4767</v>
      </c>
      <c r="AV545" t="s">
        <v>4768</v>
      </c>
      <c r="AW545" t="s">
        <v>4769</v>
      </c>
      <c r="AX545" t="s">
        <v>4770</v>
      </c>
      <c r="AY545" t="s">
        <v>4771</v>
      </c>
      <c r="AZ545" t="s">
        <v>4772</v>
      </c>
      <c r="BA545" t="s">
        <v>4773</v>
      </c>
      <c r="BB545" t="s">
        <v>4774</v>
      </c>
      <c r="BC545" t="s">
        <v>4775</v>
      </c>
      <c r="BD545" t="s">
        <v>4776</v>
      </c>
      <c r="BE545" t="s">
        <v>4777</v>
      </c>
      <c r="BF545" t="s">
        <v>4778</v>
      </c>
      <c r="BG545" t="s">
        <v>4779</v>
      </c>
      <c r="BH545" t="s">
        <v>4780</v>
      </c>
      <c r="BI545" t="s">
        <v>4781</v>
      </c>
      <c r="BJ545" t="s">
        <v>4782</v>
      </c>
      <c r="BK545" t="s">
        <v>4783</v>
      </c>
      <c r="BL545" t="s">
        <v>4784</v>
      </c>
      <c r="BM545" t="s">
        <v>4785</v>
      </c>
      <c r="BN545" t="s">
        <v>4786</v>
      </c>
      <c r="BO545" t="s">
        <v>4787</v>
      </c>
      <c r="BP545" t="s">
        <v>4788</v>
      </c>
      <c r="BQ545" t="s">
        <v>4789</v>
      </c>
      <c r="BR545" t="s">
        <v>4790</v>
      </c>
      <c r="BS545" t="s">
        <v>4791</v>
      </c>
      <c r="BT545" t="s">
        <v>4792</v>
      </c>
      <c r="BU545" t="s">
        <v>4793</v>
      </c>
      <c r="BV545" t="s">
        <v>4794</v>
      </c>
      <c r="BW545" t="s">
        <v>4795</v>
      </c>
      <c r="BX545" t="s">
        <v>4796</v>
      </c>
      <c r="BY545" t="s">
        <v>4797</v>
      </c>
      <c r="BZ545" t="s">
        <v>4798</v>
      </c>
      <c r="CA545" t="s">
        <v>4799</v>
      </c>
      <c r="CB545" t="s">
        <v>4800</v>
      </c>
      <c r="CC545" t="s">
        <v>4801</v>
      </c>
      <c r="CD545" t="s">
        <v>4802</v>
      </c>
      <c r="CE545" t="s">
        <v>4803</v>
      </c>
      <c r="CF545" t="s">
        <v>4804</v>
      </c>
      <c r="CG545" t="s">
        <v>4805</v>
      </c>
      <c r="CH545" t="s">
        <v>4806</v>
      </c>
      <c r="CI545" t="s">
        <v>4807</v>
      </c>
      <c r="CJ545" t="s">
        <v>4808</v>
      </c>
      <c r="CK545" t="s">
        <v>4809</v>
      </c>
      <c r="CL545" t="s">
        <v>4810</v>
      </c>
    </row>
    <row r="546" spans="1:91" ht="15" customHeight="1">
      <c r="A546" s="176"/>
      <c r="B546" s="57"/>
      <c r="C546" s="1109"/>
      <c r="D546" s="954"/>
      <c r="E546" s="955"/>
      <c r="F546" s="955"/>
      <c r="G546" s="1103" t="s">
        <v>4811</v>
      </c>
      <c r="H546" s="1103"/>
      <c r="I546" s="1104" t="s">
        <v>4812</v>
      </c>
      <c r="J546" s="1105"/>
      <c r="K546" s="1105"/>
      <c r="L546" s="1105"/>
      <c r="M546" s="1105"/>
      <c r="N546" s="1105"/>
      <c r="O546" s="1105"/>
      <c r="P546" s="1105"/>
      <c r="Q546" s="1105"/>
      <c r="R546" s="1105"/>
      <c r="S546" s="1105"/>
      <c r="T546" s="1105"/>
      <c r="U546" s="1106"/>
      <c r="V546" s="100"/>
      <c r="W546" s="100"/>
      <c r="X546" s="100"/>
      <c r="Y546" s="100"/>
      <c r="Z546" s="100"/>
      <c r="AA546" s="100"/>
      <c r="AB546" s="100"/>
      <c r="AC546" s="100"/>
      <c r="AD546" s="100"/>
      <c r="AF546">
        <f>IF(V546="NA",IF(AND(COUNTIF(V547:V552,"="&amp;$AF$545)=0,COUNTIF(V547:V552,"&lt;&gt;NA")&gt;0),1,0),IF(AND(COUNTIF(V547:V552,"="&amp;$AF$545)=0,COUNTIF(V547:V552,"NA")=COUNTIF(V547:V552,"&lt;&gt;"&amp;$AF$545)),1,0))</f>
        <v>0</v>
      </c>
      <c r="AG546">
        <f t="shared" si="280"/>
        <v>0</v>
      </c>
      <c r="AH546">
        <f t="shared" si="270"/>
        <v>0</v>
      </c>
      <c r="AK546">
        <f t="shared" si="271"/>
        <v>0</v>
      </c>
      <c r="AL546">
        <f t="shared" si="272"/>
        <v>0</v>
      </c>
      <c r="AM546">
        <f t="shared" si="273"/>
        <v>0</v>
      </c>
      <c r="AN546">
        <f t="shared" si="274"/>
        <v>0</v>
      </c>
      <c r="AO546">
        <f t="shared" si="275"/>
        <v>0</v>
      </c>
      <c r="AP546">
        <f t="shared" si="276"/>
        <v>0</v>
      </c>
      <c r="AQ546">
        <f t="shared" si="277"/>
        <v>0</v>
      </c>
      <c r="AR546">
        <f t="shared" si="278"/>
        <v>0</v>
      </c>
      <c r="AS546">
        <f t="shared" si="279"/>
        <v>0</v>
      </c>
      <c r="AT546">
        <f>COUNTIF(V547:V552,"NS")</f>
        <v>0</v>
      </c>
      <c r="AU546">
        <f>SUM(V547:V552)</f>
        <v>0</v>
      </c>
      <c r="AV546">
        <f>IF(COUNTA(V546:V552)=0,0,IF(OR(AND(V546=0,AT546&gt;0),AND(V546="ns",AU546&gt;0),AND(V546="ns",AT546=0,AU546=0)),1,IF(OR(AND(AT546&gt;=2,V546&gt;AU546),AND(V546="ns",AU546=0,AT546&gt;0),V546=AU546),0,1)))</f>
        <v>0</v>
      </c>
      <c r="AW546">
        <f>COUNTIF(V558:V562,"NS")</f>
        <v>0</v>
      </c>
      <c r="AX546">
        <f>SUM(V558:V562)</f>
        <v>0</v>
      </c>
      <c r="AY546">
        <f>IF(COUNTA(V557:V562)=0,0,IF(OR(AND(V557=0,AW546&gt;0),AND(V557="ns",AX546&gt;0),AND(V557="ns",AW546=0,AX546=0)),1,IF(OR(AND(AW546&gt;=2,V557&gt;AX546),AND(V557="ns",AX546=0,AW546&gt;0),V557=AX546),0,1)))</f>
        <v>0</v>
      </c>
      <c r="AZ546">
        <f>COUNTIF(V567:V584,"NS")</f>
        <v>0</v>
      </c>
      <c r="BA546">
        <f>SUM(V567:V584)</f>
        <v>0</v>
      </c>
      <c r="BB546">
        <f>IF(COUNTA(V566:V584)=0,0,IF(OR(AND(V566=0,AZ546&gt;0),AND(V566="ns",BA546&gt;0),AND(V566="ns",AZ546=0,BA546=0)),1,IF(OR(AND(AZ546&gt;=2,V566&gt;BA546),AND(V566="ns",BA546=0,AZ546&gt;0),V566=BA546),0,1)))</f>
        <v>0</v>
      </c>
      <c r="BC546">
        <f>COUNTIF(V586:V590,"NS")</f>
        <v>0</v>
      </c>
      <c r="BD546">
        <f>SUM(V586:V590)</f>
        <v>0</v>
      </c>
      <c r="BE546">
        <f>IF(COUNTA(V585:V590)=0,0,IF(OR(AND(V585=0,BC546&gt;0),AND(V585="ns",BD546&gt;0),AND(V585="ns",BC546=0,BD546=0)),1,IF(OR(AND(BC546&gt;=2,V585&gt;BD546),AND(V585="ns",BD546=0,BC546&gt;0),V585=BD546),0,1)))</f>
        <v>0</v>
      </c>
      <c r="BF546">
        <f>COUNTIF(V594:V596,"NS")</f>
        <v>0</v>
      </c>
      <c r="BG546">
        <f>SUM(V594:V596)</f>
        <v>0</v>
      </c>
      <c r="BH546">
        <f>IF(COUNTA(V593:V596)=0,0,IF(OR(AND(V593=0,BF546&gt;0),AND(V593="ns",BG546&gt;0),AND(V593="ns",BF546=0,BG546=0)),1,IF(OR(AND(BF546&gt;=2,V593&gt;BG546),AND(V593="ns",BG546=0,BF546&gt;0),V593=BG546),0,1)))</f>
        <v>0</v>
      </c>
      <c r="BI546">
        <f>COUNTIF(V604:V610,"NS")</f>
        <v>0</v>
      </c>
      <c r="BJ546">
        <f>SUM(V604:V610)</f>
        <v>0</v>
      </c>
      <c r="BK546">
        <f>IF(COUNTA(V603:V610)=0,0,IF(OR(AND(V603=0,BI546&gt;0),AND(V603="ns",BJ546&gt;0),AND(V603="ns",BI546=0,BJ546=0)),1,IF(OR(AND(BI546&gt;=2,V603&gt;BJ546),AND(V603="ns",BJ546=0,BI546&gt;0),V603=BJ546),0,1)))</f>
        <v>0</v>
      </c>
      <c r="BL546">
        <f>COUNTIF(V612:V616,"NS")</f>
        <v>0</v>
      </c>
      <c r="BM546">
        <f>SUM(V612:V616)</f>
        <v>0</v>
      </c>
      <c r="BN546">
        <f>IF(COUNTA(V611:V616)=0,0,IF(OR(AND(V611=0,BL546&gt;0),AND(V611="ns",BM546&gt;0),AND(V611="ns",BL546=0,BM546=0)),1,IF(OR(AND(BL546&gt;=2,V611&gt;BM546),AND(V611="ns",BM546=0,BL546&gt;0),V611=BM546),0,1)))</f>
        <v>0</v>
      </c>
      <c r="BO546">
        <f>COUNTIF(V622:V627,"NS")</f>
        <v>0</v>
      </c>
      <c r="BP546">
        <f>SUM(V622:V627)</f>
        <v>0</v>
      </c>
      <c r="BQ546">
        <f>IF(COUNTA(V621:V627)=0,0,IF(OR(AND(V621=0,BO546&gt;0),AND(V621="ns",BP546&gt;0),AND(V621="ns",BO546=0,BP546=0)),1,IF(OR(AND(BO546&gt;=2,V621&gt;BP546),AND(V621="ns",BP546=0,BO546&gt;0),V621=BP546),0,1)))</f>
        <v>0</v>
      </c>
      <c r="BR546">
        <f>COUNTIF(V629:V636,"NS")</f>
        <v>0</v>
      </c>
      <c r="BS546">
        <f>SUM(V629:V636)</f>
        <v>0</v>
      </c>
      <c r="BT546">
        <f>IF(COUNTA(V628:V636)=0,0,IF(OR(AND(V628=0,BR546&gt;0),AND(V628="ns",BS546&gt;0),AND(V628="ns",BR546=0,BS546=0)),1,IF(OR(AND(BR546&gt;=2,V628&gt;BS546),AND(V628="ns",BS546=0,BR546&gt;0),V628=BS546),0,1)))</f>
        <v>0</v>
      </c>
      <c r="BU546">
        <f>COUNTIF(V641:V646,"NS")</f>
        <v>0</v>
      </c>
      <c r="BV546">
        <f>SUM(V641:V646)</f>
        <v>0</v>
      </c>
      <c r="BW546">
        <f>IF(COUNTA(V640:V646)=0,0,IF(OR(AND(V640=0,BU546&gt;0),AND(V640="ns",BV546&gt;0),AND(V640="ns",BU546=0,BV546=0)),1,IF(OR(AND(BU546&gt;=2,V640&gt;BV546),AND(V640="ns",BV546=0,BU546&gt;0),V640=BV546),0,1)))</f>
        <v>0</v>
      </c>
      <c r="BX546">
        <f>COUNTIF(V651:V659,"NS")</f>
        <v>0</v>
      </c>
      <c r="BY546">
        <f>SUM(V651:V659)</f>
        <v>0</v>
      </c>
      <c r="BZ546">
        <f>IF(COUNTA(V650:V659)=0,0,IF(OR(AND(V650=0,BX546&gt;0),AND(V650="ns",BY546&gt;0),AND(V650="ns",BX546=0,BY546=0)),1,IF(OR(AND(BX546&gt;=2,V650&gt;BY546),AND(V650="ns",BY546=0,BX546&gt;0),V650=BY546),0,1)))</f>
        <v>0</v>
      </c>
      <c r="CA546">
        <f>COUNTIF(V661:V663,"NS")</f>
        <v>0</v>
      </c>
      <c r="CB546">
        <f>SUM(V661:V663)</f>
        <v>0</v>
      </c>
      <c r="CC546">
        <f>IF(COUNTA(V660:V663)=0,0,IF(OR(AND(V660=0,CA546&gt;0),AND(V660="ns",CB546&gt;0),AND(V660="ns",CA546=0,CB546=0)),1,IF(OR(AND(CA546&gt;=2,V660&gt;CB546),AND(V660="ns",CB546=0,CA546&gt;0),V660=CB546),0,1)))</f>
        <v>0</v>
      </c>
      <c r="CD546">
        <f>COUNTIF(V672:V678,"NS")</f>
        <v>0</v>
      </c>
      <c r="CE546">
        <f>SUM(V672:V678)</f>
        <v>0</v>
      </c>
      <c r="CF546">
        <f>IF(COUNTA(V671:V678)=0,0,IF(OR(AND(V671=0,CD546&gt;0),AND(V671="ns",CE546&gt;0),AND(V671="ns",CD546=0,CE546=0)),1,IF(OR(AND(CD546&gt;=2,V671&gt;CE546),AND(V671="ns",CE546=0,CD546&gt;0),V671=CE546),0,1)))</f>
        <v>0</v>
      </c>
      <c r="CG546">
        <f>COUNTIF(V681:V683,"NS")</f>
        <v>0</v>
      </c>
      <c r="CH546">
        <f>SUM(V681:V683)</f>
        <v>0</v>
      </c>
      <c r="CI546">
        <f>IF(COUNTA(V680:V683)=0,0,IF(OR(AND(V680=0,CG546&gt;0),AND(V680="ns",CH546&gt;0),AND(V680="ns",CG546=0,CH546=0)),1,IF(OR(AND(CG546&gt;=2,V680&gt;CH546),AND(V680="ns",CH546=0,CG546&gt;0),V680=CH546),0,1)))</f>
        <v>0</v>
      </c>
      <c r="CJ546">
        <f>COUNTIF(V693:V697,"NS")</f>
        <v>0</v>
      </c>
      <c r="CK546">
        <f>SUM(V693:V697)</f>
        <v>0</v>
      </c>
      <c r="CL546">
        <f>IF(COUNTA(V692:V697)=0,0,IF(OR(AND(V692=0,CJ546&gt;0),AND(V692="ns",CK546&gt;0),AND(V692="ns",CJ546=0,CK546=0)),1,IF(OR(AND(CJ546&gt;=2,V692&gt;CK546),AND(V692="ns",CK546=0,CJ546&gt;0),V692=CK546),0,1)))</f>
        <v>0</v>
      </c>
    </row>
    <row r="547" spans="1:91" ht="15" customHeight="1">
      <c r="A547" s="176"/>
      <c r="B547" s="57"/>
      <c r="C547" s="1109"/>
      <c r="D547" s="954"/>
      <c r="E547" s="955"/>
      <c r="F547" s="955"/>
      <c r="G547" s="1110" t="s">
        <v>4813</v>
      </c>
      <c r="H547" s="1110"/>
      <c r="I547" s="177"/>
      <c r="J547" s="1115" t="s">
        <v>4814</v>
      </c>
      <c r="K547" s="1115"/>
      <c r="L547" s="1115"/>
      <c r="M547" s="1115"/>
      <c r="N547" s="1115"/>
      <c r="O547" s="1115"/>
      <c r="P547" s="1115"/>
      <c r="Q547" s="1115"/>
      <c r="R547" s="1115"/>
      <c r="S547" s="1115"/>
      <c r="T547" s="1115"/>
      <c r="U547" s="1116"/>
      <c r="V547" s="100"/>
      <c r="W547" s="100"/>
      <c r="X547" s="100"/>
      <c r="Y547" s="100"/>
      <c r="Z547" s="100"/>
      <c r="AA547" s="100"/>
      <c r="AB547" s="100"/>
      <c r="AC547" s="100"/>
      <c r="AD547" s="100"/>
      <c r="AF547"/>
      <c r="AG547">
        <f t="shared" si="280"/>
        <v>0</v>
      </c>
      <c r="AH547">
        <f t="shared" si="270"/>
        <v>0</v>
      </c>
      <c r="AK547">
        <f t="shared" si="271"/>
        <v>0</v>
      </c>
      <c r="AL547">
        <f t="shared" si="272"/>
        <v>0</v>
      </c>
      <c r="AM547">
        <f t="shared" si="273"/>
        <v>0</v>
      </c>
      <c r="AN547">
        <f t="shared" si="274"/>
        <v>0</v>
      </c>
      <c r="AO547">
        <f t="shared" si="275"/>
        <v>0</v>
      </c>
      <c r="AP547">
        <f t="shared" si="276"/>
        <v>0</v>
      </c>
      <c r="AQ547">
        <f t="shared" si="277"/>
        <v>0</v>
      </c>
      <c r="AR547">
        <f t="shared" si="278"/>
        <v>0</v>
      </c>
      <c r="AS547">
        <f t="shared" si="279"/>
        <v>0</v>
      </c>
      <c r="AT547">
        <f>COUNTIF(W547:W552,"NS")</f>
        <v>0</v>
      </c>
      <c r="AU547">
        <f>SUM(W547:W552)</f>
        <v>0</v>
      </c>
      <c r="AV547">
        <f>IF(COUNTA(W546:W552)=0,0,IF(OR(AND(W546=0,AT547&gt;0),AND(W546="ns",AU547&gt;0),AND(W546="ns",AT547=0,AU547=0)),1,IF(OR(AND(AT547&gt;=2,W546&gt;AU547),AND(W546="ns",AU547=0,AT547&gt;0),W546=AU547),0,1)))</f>
        <v>0</v>
      </c>
      <c r="AW547">
        <f>COUNTIF(W558:W562,"NS")</f>
        <v>0</v>
      </c>
      <c r="AX547">
        <f>SUM(W558:W562)</f>
        <v>0</v>
      </c>
      <c r="AY547">
        <f>IF(COUNTA(W557:W562)=0,0,IF(OR(AND(W557=0,AW547&gt;0),AND(W557="ns",AX547&gt;0),AND(W557="ns",AW547=0,AX547=0)),1,IF(OR(AND(AW547&gt;=2,W557&gt;AX547),AND(W557="ns",AX547=0,AW547&gt;0),W557=AX547),0,1)))</f>
        <v>0</v>
      </c>
      <c r="AZ547">
        <f>COUNTIF(W567:W584,"NS")</f>
        <v>0</v>
      </c>
      <c r="BA547">
        <f>SUM(W567:W584)</f>
        <v>0</v>
      </c>
      <c r="BB547">
        <f>IF(COUNTA(W566:W584)=0,0,IF(OR(AND(W566=0,AZ547&gt;0),AND(W566="ns",BA547&gt;0),AND(W566="ns",AZ547=0,BA547=0)),1,IF(OR(AND(AZ547&gt;=2,W566&gt;BA547),AND(W566="ns",BA547=0,AZ547&gt;0),W566=BA547),0,1)))</f>
        <v>0</v>
      </c>
      <c r="BC547">
        <f>COUNTIF(W586:W590,"NS")</f>
        <v>0</v>
      </c>
      <c r="BD547">
        <f>SUM(W586:W590)</f>
        <v>0</v>
      </c>
      <c r="BE547">
        <f>IF(COUNTA(W585:W590)=0,0,IF(OR(AND(W585=0,BC547&gt;0),AND(W585="ns",BD547&gt;0),AND(W585="ns",BC547=0,BD547=0)),1,IF(OR(AND(BC547&gt;=2,W585&gt;BD547),AND(W585="ns",BD547=0,BC547&gt;0),W585=BD547),0,1)))</f>
        <v>0</v>
      </c>
      <c r="BF547">
        <f>COUNTIF(W594:W596,"NS")</f>
        <v>0</v>
      </c>
      <c r="BG547">
        <f>SUM(W594:W596)</f>
        <v>0</v>
      </c>
      <c r="BH547">
        <f>IF(COUNTA(W593:W596)=0,0,IF(OR(AND(W593=0,BF547&gt;0),AND(W593="ns",BG547&gt;0),AND(W593="ns",BF547=0,BG547=0)),1,IF(OR(AND(BF547&gt;=2,W593&gt;BG547),AND(W593="ns",BG547=0,BF547&gt;0),W593=BG547),0,1)))</f>
        <v>0</v>
      </c>
      <c r="BI547">
        <f>COUNTIF(W604:W610,"NS")</f>
        <v>0</v>
      </c>
      <c r="BJ547">
        <f>SUM(W604:W610)</f>
        <v>0</v>
      </c>
      <c r="BK547">
        <f>IF(COUNTA(W603:W610)=0,0,IF(OR(AND(W603=0,BI547&gt;0),AND(W603="ns",BJ547&gt;0),AND(W603="ns",BI547=0,BJ547=0)),1,IF(OR(AND(BI547&gt;=2,W603&gt;BJ547),AND(W603="ns",BJ547=0,BI547&gt;0),W603=BJ547),0,1)))</f>
        <v>0</v>
      </c>
      <c r="BL547">
        <f>COUNTIF(W612:W616,"NS")</f>
        <v>0</v>
      </c>
      <c r="BM547">
        <f>SUM(W612:W616)</f>
        <v>0</v>
      </c>
      <c r="BN547">
        <f>IF(COUNTA(W611:W616)=0,0,IF(OR(AND(W611=0,BL547&gt;0),AND(W611="ns",BM547&gt;0),AND(W611="ns",BL547=0,BM547=0)),1,IF(OR(AND(BL547&gt;=2,W611&gt;BM547),AND(W611="ns",BM547=0,BL547&gt;0),W611=BM547),0,1)))</f>
        <v>0</v>
      </c>
      <c r="BO547">
        <f>COUNTIF(W622:W627,"NS")</f>
        <v>0</v>
      </c>
      <c r="BP547">
        <f>SUM(W622:W627)</f>
        <v>0</v>
      </c>
      <c r="BQ547">
        <f>IF(COUNTA(W621:W627)=0,0,IF(OR(AND(W621=0,BO547&gt;0),AND(W621="ns",BP547&gt;0),AND(W621="ns",BO547=0,BP547=0)),1,IF(OR(AND(BO547&gt;=2,W621&gt;BP547),AND(W621="ns",BP547=0,BO547&gt;0),W621=BP547),0,1)))</f>
        <v>0</v>
      </c>
      <c r="BR547">
        <f>COUNTIF(W629:W636,"NS")</f>
        <v>0</v>
      </c>
      <c r="BS547">
        <f>SUM(W629:W636)</f>
        <v>0</v>
      </c>
      <c r="BT547">
        <f>IF(COUNTA(W628:W636)=0,0,IF(OR(AND(W628=0,BR547&gt;0),AND(W628="ns",BS547&gt;0),AND(W628="ns",BR547=0,BS547=0)),1,IF(OR(AND(BR547&gt;=2,W628&gt;BS547),AND(W628="ns",BS547=0,BR547&gt;0),W628=BS547),0,1)))</f>
        <v>0</v>
      </c>
      <c r="BU547">
        <f>COUNTIF(W641:W646,"NS")</f>
        <v>0</v>
      </c>
      <c r="BV547">
        <f>SUM(W641:W646)</f>
        <v>0</v>
      </c>
      <c r="BW547">
        <f>IF(COUNTA(W640:W646)=0,0,IF(OR(AND(W640=0,BU547&gt;0),AND(W640="ns",BV547&gt;0),AND(W640="ns",BU547=0,BV547=0)),1,IF(OR(AND(BU547&gt;=2,W640&gt;BV547),AND(W640="ns",BV547=0,BU547&gt;0),W640=BV547),0,1)))</f>
        <v>0</v>
      </c>
      <c r="BX547">
        <f>COUNTIF(W651:W659,"NS")</f>
        <v>0</v>
      </c>
      <c r="BY547">
        <f>SUM(W651:W659)</f>
        <v>0</v>
      </c>
      <c r="BZ547">
        <f>IF(COUNTA(W650:W659)=0,0,IF(OR(AND(W650=0,BX547&gt;0),AND(W650="ns",BY547&gt;0),AND(W650="ns",BX547=0,BY547=0)),1,IF(OR(AND(BX547&gt;=2,W650&gt;BY547),AND(W650="ns",BY547=0,BX547&gt;0),W650=BY547),0,1)))</f>
        <v>0</v>
      </c>
      <c r="CA547">
        <f>COUNTIF(W661:W663,"NS")</f>
        <v>0</v>
      </c>
      <c r="CB547">
        <f>SUM(W661:W663)</f>
        <v>0</v>
      </c>
      <c r="CC547">
        <f>IF(COUNTA(W660:W663)=0,0,IF(OR(AND(W660=0,CA547&gt;0),AND(W660="ns",CB547&gt;0),AND(W660="ns",CA547=0,CB547=0)),1,IF(OR(AND(CA547&gt;=2,W660&gt;CB547),AND(W660="ns",CB547=0,CA547&gt;0),W660=CB547),0,1)))</f>
        <v>0</v>
      </c>
      <c r="CD547">
        <f>COUNTIF(W672:W678,"NS")</f>
        <v>0</v>
      </c>
      <c r="CE547">
        <f>SUM(W672:W678)</f>
        <v>0</v>
      </c>
      <c r="CF547">
        <f>IF(COUNTA(W671:W678)=0,0,IF(OR(AND(W671=0,CD547&gt;0),AND(W671="ns",CE547&gt;0),AND(W671="ns",CD547=0,CE547=0)),1,IF(OR(AND(CD547&gt;=2,W671&gt;CE547),AND(W671="ns",CE547=0,CD547&gt;0),W671=CE547),0,1)))</f>
        <v>0</v>
      </c>
      <c r="CG547">
        <f>COUNTIF(W681:W683,"NS")</f>
        <v>0</v>
      </c>
      <c r="CH547">
        <f>SUM(W681:W683)</f>
        <v>0</v>
      </c>
      <c r="CI547">
        <f>IF(COUNTA(W680:W683)=0,0,IF(OR(AND(W680=0,CG547&gt;0),AND(W680="ns",CH547&gt;0),AND(W680="ns",CG547=0,CH547=0)),1,IF(OR(AND(CG547&gt;=2,W680&gt;CH547),AND(W680="ns",CH547=0,CG547&gt;0),W680=CH547),0,1)))</f>
        <v>0</v>
      </c>
      <c r="CJ547">
        <f>COUNTIF(W693:W697,"NS")</f>
        <v>0</v>
      </c>
      <c r="CK547">
        <f>SUM(W693:W697)</f>
        <v>0</v>
      </c>
      <c r="CL547">
        <f>IF(COUNTA(W692:W697)=0,0,IF(OR(AND(W692=0,CJ547&gt;0),AND(W692="ns",CK547&gt;0),AND(W692="ns",CJ547=0,CK547=0)),1,IF(OR(AND(CJ547&gt;=2,W692&gt;CK547),AND(W692="ns",CK547=0,CJ547&gt;0),W692=CK547),0,1)))</f>
        <v>0</v>
      </c>
    </row>
    <row r="548" spans="1:91" ht="15" customHeight="1">
      <c r="A548" s="176"/>
      <c r="B548" s="57"/>
      <c r="C548" s="1109"/>
      <c r="D548" s="954"/>
      <c r="E548" s="955"/>
      <c r="F548" s="955"/>
      <c r="G548" s="1110" t="s">
        <v>4815</v>
      </c>
      <c r="H548" s="1110"/>
      <c r="I548" s="178"/>
      <c r="J548" s="1111" t="s">
        <v>4816</v>
      </c>
      <c r="K548" s="1111"/>
      <c r="L548" s="1111"/>
      <c r="M548" s="1111"/>
      <c r="N548" s="1111"/>
      <c r="O548" s="1111"/>
      <c r="P548" s="1111"/>
      <c r="Q548" s="1111"/>
      <c r="R548" s="1111"/>
      <c r="S548" s="1111"/>
      <c r="T548" s="1111"/>
      <c r="U548" s="1112"/>
      <c r="V548" s="100"/>
      <c r="W548" s="100"/>
      <c r="X548" s="100"/>
      <c r="Y548" s="100"/>
      <c r="Z548" s="100"/>
      <c r="AA548" s="100"/>
      <c r="AB548" s="100"/>
      <c r="AC548" s="100"/>
      <c r="AD548" s="100"/>
      <c r="AF548"/>
      <c r="AG548">
        <f t="shared" si="280"/>
        <v>0</v>
      </c>
      <c r="AH548">
        <f t="shared" si="270"/>
        <v>0</v>
      </c>
      <c r="AK548">
        <f t="shared" si="271"/>
        <v>0</v>
      </c>
      <c r="AL548">
        <f t="shared" si="272"/>
        <v>0</v>
      </c>
      <c r="AM548">
        <f t="shared" si="273"/>
        <v>0</v>
      </c>
      <c r="AN548">
        <f t="shared" si="274"/>
        <v>0</v>
      </c>
      <c r="AO548">
        <f t="shared" si="275"/>
        <v>0</v>
      </c>
      <c r="AP548">
        <f t="shared" si="276"/>
        <v>0</v>
      </c>
      <c r="AQ548">
        <f t="shared" si="277"/>
        <v>0</v>
      </c>
      <c r="AR548">
        <f t="shared" si="278"/>
        <v>0</v>
      </c>
      <c r="AS548">
        <f t="shared" si="279"/>
        <v>0</v>
      </c>
      <c r="AT548">
        <f>COUNTIF(X547:X552,"NS")</f>
        <v>0</v>
      </c>
      <c r="AU548">
        <f>SUM(X547:X552)</f>
        <v>0</v>
      </c>
      <c r="AV548">
        <f>IF(COUNTA(X546:X552)=0,0,IF(OR(AND(X546=0,AT548&gt;0),AND(X546="ns",AU548&gt;0),AND(X546="ns",AT548=0,AU548=0)),1,IF(OR(AND(AT548&gt;=2,X546&gt;AU548),AND(X546="ns",AU548=0,AT548&gt;0),X546=AU548),0,1)))</f>
        <v>0</v>
      </c>
      <c r="AW548">
        <f>COUNTIF(X558:X562,"NS")</f>
        <v>0</v>
      </c>
      <c r="AX548">
        <f>SUM(X558:X562)</f>
        <v>0</v>
      </c>
      <c r="AY548">
        <f>IF(COUNTA(X557:X562)=0,0,IF(OR(AND(X557=0,AW548&gt;0),AND(X557="ns",AX548&gt;0),AND(X557="ns",AW548=0,AX548=0)),1,IF(OR(AND(AW548&gt;=2,X557&gt;AX548),AND(X557="ns",AX548=0,AW548&gt;0),X557=AX548),0,1)))</f>
        <v>0</v>
      </c>
      <c r="AZ548">
        <f>COUNTIF(X567:X584,"NS")</f>
        <v>0</v>
      </c>
      <c r="BA548">
        <f>SUM(X567:X584)</f>
        <v>0</v>
      </c>
      <c r="BB548">
        <f>IF(COUNTA(X566:X584)=0,0,IF(OR(AND(X566=0,AZ548&gt;0),AND(X566="ns",BA548&gt;0),AND(X566="ns",AZ548=0,BA548=0)),1,IF(OR(AND(AZ548&gt;=2,X566&gt;BA548),AND(X566="ns",BA548=0,AZ548&gt;0),X566=BA548),0,1)))</f>
        <v>0</v>
      </c>
      <c r="BC548">
        <f>COUNTIF(X586:X590,"NS")</f>
        <v>0</v>
      </c>
      <c r="BD548">
        <f>SUM(X586:X590)</f>
        <v>0</v>
      </c>
      <c r="BE548">
        <f>IF(COUNTA(X585:X590)=0,0,IF(OR(AND(X585=0,BC548&gt;0),AND(X585="ns",BD548&gt;0),AND(X585="ns",BC548=0,BD548=0)),1,IF(OR(AND(BC548&gt;=2,X585&gt;BD548),AND(X585="ns",BD548=0,BC548&gt;0),X585=BD548),0,1)))</f>
        <v>0</v>
      </c>
      <c r="BF548">
        <f>COUNTIF(X594:X596,"NS")</f>
        <v>0</v>
      </c>
      <c r="BG548">
        <f>SUM(X594:X596)</f>
        <v>0</v>
      </c>
      <c r="BH548">
        <f>IF(COUNTA(X593:X596)=0,0,IF(OR(AND(X593=0,BF548&gt;0),AND(X593="ns",BG548&gt;0),AND(X593="ns",BF548=0,BG548=0)),1,IF(OR(AND(BF548&gt;=2,X593&gt;BG548),AND(X593="ns",BG548=0,BF548&gt;0),X593=BG548),0,1)))</f>
        <v>0</v>
      </c>
      <c r="BI548">
        <f>COUNTIF(X604:X610,"NS")</f>
        <v>0</v>
      </c>
      <c r="BJ548">
        <f>SUM(X604:X610)</f>
        <v>0</v>
      </c>
      <c r="BK548">
        <f>IF(COUNTA(X603:X610)=0,0,IF(OR(AND(X603=0,BI548&gt;0),AND(X603="ns",BJ548&gt;0),AND(X603="ns",BI548=0,BJ548=0)),1,IF(OR(AND(BI548&gt;=2,X603&gt;BJ548),AND(X603="ns",BJ548=0,BI548&gt;0),X603=BJ548),0,1)))</f>
        <v>0</v>
      </c>
      <c r="BL548">
        <f>COUNTIF(X612:X616,"NS")</f>
        <v>0</v>
      </c>
      <c r="BM548">
        <f>SUM(X612:X616)</f>
        <v>0</v>
      </c>
      <c r="BN548">
        <f>IF(COUNTA(X611:X616)=0,0,IF(OR(AND(X611=0,BL548&gt;0),AND(X611="ns",BM548&gt;0),AND(X611="ns",BL548=0,BM548=0)),1,IF(OR(AND(BL548&gt;=2,X611&gt;BM548),AND(X611="ns",BM548=0,BL548&gt;0),X611=BM548),0,1)))</f>
        <v>0</v>
      </c>
      <c r="BO548">
        <f>COUNTIF(X622:X627,"NS")</f>
        <v>0</v>
      </c>
      <c r="BP548">
        <f>SUM(X622:X627)</f>
        <v>0</v>
      </c>
      <c r="BQ548">
        <f>IF(COUNTA(X621:X627)=0,0,IF(OR(AND(X621=0,BO548&gt;0),AND(X621="ns",BP548&gt;0),AND(X621="ns",BO548=0,BP548=0)),1,IF(OR(AND(BO548&gt;=2,X621&gt;BP548),AND(X621="ns",BP548=0,BO548&gt;0),X621=BP548),0,1)))</f>
        <v>0</v>
      </c>
      <c r="BR548">
        <f>COUNTIF(X629:X636,"NS")</f>
        <v>0</v>
      </c>
      <c r="BS548">
        <f>SUM(X629:X636)</f>
        <v>0</v>
      </c>
      <c r="BT548">
        <f>IF(COUNTA(X628:X636)=0,0,IF(OR(AND(X628=0,BR548&gt;0),AND(X628="ns",BS548&gt;0),AND(X628="ns",BR548=0,BS548=0)),1,IF(OR(AND(BR548&gt;=2,X628&gt;BS548),AND(X628="ns",BS548=0,BR548&gt;0),X628=BS548),0,1)))</f>
        <v>0</v>
      </c>
      <c r="BU548">
        <f>COUNTIF(X641:X646,"NS")</f>
        <v>0</v>
      </c>
      <c r="BV548">
        <f>SUM(X641:X646)</f>
        <v>0</v>
      </c>
      <c r="BW548">
        <f>IF(COUNTA(X640:X646)=0,0,IF(OR(AND(X640=0,BU548&gt;0),AND(X640="ns",BV548&gt;0),AND(X640="ns",BU548=0,BV548=0)),1,IF(OR(AND(BU548&gt;=2,X640&gt;BV548),AND(X640="ns",BV548=0,BU548&gt;0),X640=BV548),0,1)))</f>
        <v>0</v>
      </c>
      <c r="BX548">
        <f>COUNTIF(X651:X659,"NS")</f>
        <v>0</v>
      </c>
      <c r="BY548">
        <f>SUM(X651:X659)</f>
        <v>0</v>
      </c>
      <c r="BZ548">
        <f>IF(COUNTA(X650:X659)=0,0,IF(OR(AND(X650=0,BX548&gt;0),AND(X650="ns",BY548&gt;0),AND(X650="ns",BX548=0,BY548=0)),1,IF(OR(AND(BX548&gt;=2,X650&gt;BY548),AND(X650="ns",BY548=0,BX548&gt;0),X650=BY548),0,1)))</f>
        <v>0</v>
      </c>
      <c r="CA548">
        <f>COUNTIF(X661:X663,"NS")</f>
        <v>0</v>
      </c>
      <c r="CB548">
        <f>SUM(X661:X663)</f>
        <v>0</v>
      </c>
      <c r="CC548">
        <f>IF(COUNTA(X660:X663)=0,0,IF(OR(AND(X660=0,CA548&gt;0),AND(X660="ns",CB548&gt;0),AND(X660="ns",CA548=0,CB548=0)),1,IF(OR(AND(CA548&gt;=2,X660&gt;CB548),AND(X660="ns",CB548=0,CA548&gt;0),X660=CB548),0,1)))</f>
        <v>0</v>
      </c>
      <c r="CD548">
        <f>COUNTIF(X672:X678,"NS")</f>
        <v>0</v>
      </c>
      <c r="CE548">
        <f>SUM(X672:X678)</f>
        <v>0</v>
      </c>
      <c r="CF548">
        <f>IF(COUNTA(X671:X678)=0,0,IF(OR(AND(X671=0,CD548&gt;0),AND(X671="ns",CE548&gt;0),AND(X671="ns",CD548=0,CE548=0)),1,IF(OR(AND(CD548&gt;=2,X671&gt;CE548),AND(X671="ns",CE548=0,CD548&gt;0),X671=CE548),0,1)))</f>
        <v>0</v>
      </c>
      <c r="CG548">
        <f>COUNTIF(X681:X683,"NS")</f>
        <v>0</v>
      </c>
      <c r="CH548">
        <f>SUM(X681:X683)</f>
        <v>0</v>
      </c>
      <c r="CI548">
        <f>IF(COUNTA(X680:X683)=0,0,IF(OR(AND(X680=0,CG548&gt;0),AND(X680="ns",CH548&gt;0),AND(X680="ns",CG548=0,CH548=0)),1,IF(OR(AND(CG548&gt;=2,X680&gt;CH548),AND(X680="ns",CH548=0,CG548&gt;0),X680=CH548),0,1)))</f>
        <v>0</v>
      </c>
      <c r="CJ548">
        <f>COUNTIF(X693:X697,"NS")</f>
        <v>0</v>
      </c>
      <c r="CK548">
        <f>SUM(X693:X697)</f>
        <v>0</v>
      </c>
      <c r="CL548">
        <f>IF(COUNTA(X692:X697)=0,0,IF(OR(AND(X692=0,CJ548&gt;0),AND(X692="ns",CK548&gt;0),AND(X692="ns",CJ548=0,CK548=0)),1,IF(OR(AND(CJ548&gt;=2,X692&gt;CK548),AND(X692="ns",CK548=0,CJ548&gt;0),X692=CK548),0,1)))</f>
        <v>0</v>
      </c>
    </row>
    <row r="549" spans="1:91" ht="15" customHeight="1">
      <c r="A549" s="176"/>
      <c r="B549" s="57"/>
      <c r="C549" s="1109"/>
      <c r="D549" s="954"/>
      <c r="E549" s="955"/>
      <c r="F549" s="955"/>
      <c r="G549" s="1110" t="s">
        <v>4817</v>
      </c>
      <c r="H549" s="1110"/>
      <c r="I549" s="178"/>
      <c r="J549" s="1111" t="s">
        <v>4818</v>
      </c>
      <c r="K549" s="1111"/>
      <c r="L549" s="1111"/>
      <c r="M549" s="1111"/>
      <c r="N549" s="1111"/>
      <c r="O549" s="1111"/>
      <c r="P549" s="1111"/>
      <c r="Q549" s="1111"/>
      <c r="R549" s="1111"/>
      <c r="S549" s="1111"/>
      <c r="T549" s="1111"/>
      <c r="U549" s="1112"/>
      <c r="V549" s="100"/>
      <c r="W549" s="100"/>
      <c r="X549" s="100"/>
      <c r="Y549" s="100"/>
      <c r="Z549" s="100"/>
      <c r="AA549" s="100"/>
      <c r="AB549" s="100"/>
      <c r="AC549" s="100"/>
      <c r="AD549" s="100"/>
      <c r="AF549"/>
      <c r="AG549">
        <f t="shared" si="280"/>
        <v>0</v>
      </c>
      <c r="AH549">
        <f t="shared" si="270"/>
        <v>0</v>
      </c>
      <c r="AK549">
        <f t="shared" si="271"/>
        <v>0</v>
      </c>
      <c r="AL549">
        <f t="shared" si="272"/>
        <v>0</v>
      </c>
      <c r="AM549">
        <f t="shared" si="273"/>
        <v>0</v>
      </c>
      <c r="AN549">
        <f t="shared" si="274"/>
        <v>0</v>
      </c>
      <c r="AO549">
        <f t="shared" si="275"/>
        <v>0</v>
      </c>
      <c r="AP549">
        <f t="shared" si="276"/>
        <v>0</v>
      </c>
      <c r="AQ549">
        <f t="shared" si="277"/>
        <v>0</v>
      </c>
      <c r="AR549">
        <f t="shared" si="278"/>
        <v>0</v>
      </c>
      <c r="AS549">
        <f t="shared" si="279"/>
        <v>0</v>
      </c>
      <c r="AT549">
        <f>COUNTIF(Y547:Y552,"NS")</f>
        <v>0</v>
      </c>
      <c r="AU549">
        <f>SUM(Y547:Y552)</f>
        <v>0</v>
      </c>
      <c r="AV549">
        <f>IF(COUNTA(Y546:Y552)=0,0,IF(OR(AND(Y546=0,AT549&gt;0),AND(Y546="ns",AU549&gt;0),AND(Y546="ns",AT549=0,AU549=0)),1,IF(OR(AND(AT549&gt;=2,Y546&gt;AU549),AND(Y546="ns",AU549=0,AT549&gt;0),Y546=AU549),0,1)))</f>
        <v>0</v>
      </c>
      <c r="AW549">
        <f>COUNTIF(Y558:Y562,"NS")</f>
        <v>0</v>
      </c>
      <c r="AX549">
        <f>SUM(Y558:Y562)</f>
        <v>0</v>
      </c>
      <c r="AY549">
        <f>IF(COUNTA(Y557:Y562)=0,0,IF(OR(AND(Y557=0,AW549&gt;0),AND(Y557="ns",AX549&gt;0),AND(Y557="ns",AW549=0,AX549=0)),1,IF(OR(AND(AW549&gt;=2,Y557&gt;AX549),AND(Y557="ns",AX549=0,AW549&gt;0),Y557=AX549),0,1)))</f>
        <v>0</v>
      </c>
      <c r="AZ549">
        <f>COUNTIF(Y567:Y584,"NS")</f>
        <v>0</v>
      </c>
      <c r="BA549">
        <f>SUM(Y567:Y584)</f>
        <v>0</v>
      </c>
      <c r="BB549">
        <f>IF(COUNTA(Y566:Y584)=0,0,IF(OR(AND(Y566=0,AZ549&gt;0),AND(Y566="ns",BA549&gt;0),AND(Y566="ns",AZ549=0,BA549=0)),1,IF(OR(AND(AZ549&gt;=2,Y566&gt;BA549),AND(Y566="ns",BA549=0,AZ549&gt;0),Y566=BA549),0,1)))</f>
        <v>0</v>
      </c>
      <c r="BC549">
        <f>COUNTIF(Y586:Y590,"NS")</f>
        <v>0</v>
      </c>
      <c r="BD549">
        <f>SUM(Y586:Y590)</f>
        <v>0</v>
      </c>
      <c r="BE549">
        <f>IF(COUNTA(Y585:Y590)=0,0,IF(OR(AND(Y585=0,BC549&gt;0),AND(Y585="ns",BD549&gt;0),AND(Y585="ns",BC549=0,BD549=0)),1,IF(OR(AND(BC549&gt;=2,Y585&gt;BD549),AND(Y585="ns",BD549=0,BC549&gt;0),Y585=BD549),0,1)))</f>
        <v>0</v>
      </c>
      <c r="BF549">
        <f>COUNTIF(Y594:Y596,"NS")</f>
        <v>0</v>
      </c>
      <c r="BG549">
        <f>SUM(Y594:Y596)</f>
        <v>0</v>
      </c>
      <c r="BH549">
        <f>IF(COUNTA(Y593:Y596)=0,0,IF(OR(AND(Y593=0,BF549&gt;0),AND(Y593="ns",BG549&gt;0),AND(Y593="ns",BF549=0,BG549=0)),1,IF(OR(AND(BF549&gt;=2,Y593&gt;BG549),AND(Y593="ns",BG549=0,BF549&gt;0),Y593=BG549),0,1)))</f>
        <v>0</v>
      </c>
      <c r="BI549">
        <f>COUNTIF(Y604:Y610,"NS")</f>
        <v>0</v>
      </c>
      <c r="BJ549">
        <f>SUM(Y604:Y610)</f>
        <v>0</v>
      </c>
      <c r="BK549">
        <f>IF(COUNTA(Y603:Y610)=0,0,IF(OR(AND(Y603=0,BI549&gt;0),AND(Y603="ns",BJ549&gt;0),AND(Y603="ns",BI549=0,BJ549=0)),1,IF(OR(AND(BI549&gt;=2,Y603&gt;BJ549),AND(Y603="ns",BJ549=0,BI549&gt;0),Y603=BJ549),0,1)))</f>
        <v>0</v>
      </c>
      <c r="BL549">
        <f>COUNTIF(Y612:Y616,"NS")</f>
        <v>0</v>
      </c>
      <c r="BM549">
        <f>SUM(Y612:Y616)</f>
        <v>0</v>
      </c>
      <c r="BN549">
        <f>IF(COUNTA(Y611:Y616)=0,0,IF(OR(AND(Y611=0,BL549&gt;0),AND(Y611="ns",BM549&gt;0),AND(Y611="ns",BL549=0,BM549=0)),1,IF(OR(AND(BL549&gt;=2,Y611&gt;BM549),AND(Y611="ns",BM549=0,BL549&gt;0),Y611=BM549),0,1)))</f>
        <v>0</v>
      </c>
      <c r="BO549">
        <f>COUNTIF(Y622:Y627,"NS")</f>
        <v>0</v>
      </c>
      <c r="BP549">
        <f>SUM(Y622:Y627)</f>
        <v>0</v>
      </c>
      <c r="BQ549">
        <f>IF(COUNTA(Y621:Y627)=0,0,IF(OR(AND(Y621=0,BO549&gt;0),AND(Y621="ns",BP549&gt;0),AND(Y621="ns",BO549=0,BP549=0)),1,IF(OR(AND(BO549&gt;=2,Y621&gt;BP549),AND(Y621="ns",BP549=0,BO549&gt;0),Y621=BP549),0,1)))</f>
        <v>0</v>
      </c>
      <c r="BR549">
        <f>COUNTIF(Y629:Y636,"NS")</f>
        <v>0</v>
      </c>
      <c r="BS549">
        <f>SUM(Y629:Y636)</f>
        <v>0</v>
      </c>
      <c r="BT549">
        <f>IF(COUNTA(Y628:Y636)=0,0,IF(OR(AND(Y628=0,BR549&gt;0),AND(Y628="ns",BS549&gt;0),AND(Y628="ns",BR549=0,BS549=0)),1,IF(OR(AND(BR549&gt;=2,Y628&gt;BS549),AND(Y628="ns",BS549=0,BR549&gt;0),Y628=BS549),0,1)))</f>
        <v>0</v>
      </c>
      <c r="BU549">
        <f>COUNTIF(Y641:Y646,"NS")</f>
        <v>0</v>
      </c>
      <c r="BV549">
        <f>SUM(Y641:Y646)</f>
        <v>0</v>
      </c>
      <c r="BW549">
        <f>IF(COUNTA(Y640:Y646)=0,0,IF(OR(AND(Y640=0,BU549&gt;0),AND(Y640="ns",BV549&gt;0),AND(Y640="ns",BU549=0,BV549=0)),1,IF(OR(AND(BU549&gt;=2,Y640&gt;BV549),AND(Y640="ns",BV549=0,BU549&gt;0),Y640=BV549),0,1)))</f>
        <v>0</v>
      </c>
      <c r="BX549">
        <f>COUNTIF(Y651:Y659,"NS")</f>
        <v>0</v>
      </c>
      <c r="BY549">
        <f>SUM(Y651:Y659)</f>
        <v>0</v>
      </c>
      <c r="BZ549">
        <f>IF(COUNTA(Y650:Y659)=0,0,IF(OR(AND(Y650=0,BX549&gt;0),AND(Y650="ns",BY549&gt;0),AND(Y650="ns",BX549=0,BY549=0)),1,IF(OR(AND(BX549&gt;=2,Y650&gt;BY549),AND(Y650="ns",BY549=0,BX549&gt;0),Y650=BY549),0,1)))</f>
        <v>0</v>
      </c>
      <c r="CA549">
        <f>COUNTIF(Y661:Y663,"NS")</f>
        <v>0</v>
      </c>
      <c r="CB549">
        <f>SUM(Y661:Y663)</f>
        <v>0</v>
      </c>
      <c r="CC549">
        <f>IF(COUNTA(Y660:Y663)=0,0,IF(OR(AND(Y660=0,CA549&gt;0),AND(Y660="ns",CB549&gt;0),AND(Y660="ns",CA549=0,CB549=0)),1,IF(OR(AND(CA549&gt;=2,Y660&gt;CB549),AND(Y660="ns",CB549=0,CA549&gt;0),Y660=CB549),0,1)))</f>
        <v>0</v>
      </c>
      <c r="CD549">
        <f>COUNTIF(Y672:Y678,"NS")</f>
        <v>0</v>
      </c>
      <c r="CE549">
        <f>SUM(Y672:Y678)</f>
        <v>0</v>
      </c>
      <c r="CF549">
        <f>IF(COUNTA(Y671:Y678)=0,0,IF(OR(AND(Y671=0,CD549&gt;0),AND(Y671="ns",CE549&gt;0),AND(Y671="ns",CD549=0,CE549=0)),1,IF(OR(AND(CD549&gt;=2,Y671&gt;CE549),AND(Y671="ns",CE549=0,CD549&gt;0),Y671=CE549),0,1)))</f>
        <v>0</v>
      </c>
      <c r="CG549">
        <f>COUNTIF(Y681:Y683,"NS")</f>
        <v>0</v>
      </c>
      <c r="CH549">
        <f>SUM(Y681:Y683)</f>
        <v>0</v>
      </c>
      <c r="CI549">
        <f>IF(COUNTA(Y680:Y683)=0,0,IF(OR(AND(Y680=0,CG549&gt;0),AND(Y680="ns",CH549&gt;0),AND(Y680="ns",CG549=0,CH549=0)),1,IF(OR(AND(CG549&gt;=2,Y680&gt;CH549),AND(Y680="ns",CH549=0,CG549&gt;0),Y680=CH549),0,1)))</f>
        <v>0</v>
      </c>
      <c r="CJ549">
        <f>COUNTIF(Y693:Y697,"NS")</f>
        <v>0</v>
      </c>
      <c r="CK549">
        <f>SUM(Y693:Y697)</f>
        <v>0</v>
      </c>
      <c r="CL549">
        <f>IF(COUNTA(Y692:Y697)=0,0,IF(OR(AND(Y692=0,CJ549&gt;0),AND(Y692="ns",CK549&gt;0),AND(Y692="ns",CJ549=0,CK549=0)),1,IF(OR(AND(CJ549&gt;=2,Y692&gt;CK549),AND(Y692="ns",CK549=0,CJ549&gt;0),Y692=CK549),0,1)))</f>
        <v>0</v>
      </c>
    </row>
    <row r="550" spans="1:91" ht="15" customHeight="1">
      <c r="A550" s="176"/>
      <c r="B550" s="57"/>
      <c r="C550" s="1109"/>
      <c r="D550" s="954"/>
      <c r="E550" s="955"/>
      <c r="F550" s="955"/>
      <c r="G550" s="1110" t="s">
        <v>4819</v>
      </c>
      <c r="H550" s="1110"/>
      <c r="I550" s="178"/>
      <c r="J550" s="1111" t="s">
        <v>4820</v>
      </c>
      <c r="K550" s="1111"/>
      <c r="L550" s="1111"/>
      <c r="M550" s="1111"/>
      <c r="N550" s="1111"/>
      <c r="O550" s="1111"/>
      <c r="P550" s="1111"/>
      <c r="Q550" s="1111"/>
      <c r="R550" s="1111"/>
      <c r="S550" s="1111"/>
      <c r="T550" s="1111"/>
      <c r="U550" s="1112"/>
      <c r="V550" s="100"/>
      <c r="W550" s="100"/>
      <c r="X550" s="100"/>
      <c r="Y550" s="100"/>
      <c r="Z550" s="100"/>
      <c r="AA550" s="100"/>
      <c r="AB550" s="100"/>
      <c r="AC550" s="100"/>
      <c r="AD550" s="100"/>
      <c r="AF550"/>
      <c r="AG550">
        <f t="shared" si="280"/>
        <v>0</v>
      </c>
      <c r="AH550">
        <f t="shared" si="270"/>
        <v>0</v>
      </c>
      <c r="AK550">
        <f t="shared" si="271"/>
        <v>0</v>
      </c>
      <c r="AL550">
        <f t="shared" si="272"/>
        <v>0</v>
      </c>
      <c r="AM550">
        <f t="shared" si="273"/>
        <v>0</v>
      </c>
      <c r="AN550">
        <f t="shared" si="274"/>
        <v>0</v>
      </c>
      <c r="AO550">
        <f t="shared" si="275"/>
        <v>0</v>
      </c>
      <c r="AP550">
        <f t="shared" si="276"/>
        <v>0</v>
      </c>
      <c r="AQ550">
        <f t="shared" si="277"/>
        <v>0</v>
      </c>
      <c r="AR550">
        <f t="shared" si="278"/>
        <v>0</v>
      </c>
      <c r="AS550">
        <f t="shared" si="279"/>
        <v>0</v>
      </c>
      <c r="AT550">
        <f>COUNTIF(Z547:Z552,"NS")</f>
        <v>0</v>
      </c>
      <c r="AU550">
        <f>SUM(Z547:Z552)</f>
        <v>0</v>
      </c>
      <c r="AV550">
        <f>IF(COUNTA(Z546:Z552)=0,0,IF(OR(AND(Z546=0,AT550&gt;0),AND(Z546="ns",AU550&gt;0),AND(Z546="ns",AT550=0,AU550=0)),1,IF(OR(AND(AT550&gt;=2,Z546&gt;AU550),AND(Z546="ns",AU550=0,AT550&gt;0),Z546=AU550),0,1)))</f>
        <v>0</v>
      </c>
      <c r="AW550">
        <f>COUNTIF(Z558:Z562,"NS")</f>
        <v>0</v>
      </c>
      <c r="AX550">
        <f>SUM(Z558:Z562)</f>
        <v>0</v>
      </c>
      <c r="AY550">
        <f>IF(COUNTA(Z557:Z562)=0,0,IF(OR(AND(Z557=0,AW550&gt;0),AND(Z557="ns",AX550&gt;0),AND(Z557="ns",AW550=0,AX550=0)),1,IF(OR(AND(AW550&gt;=2,Z557&gt;AX550),AND(Z557="ns",AX550=0,AW550&gt;0),Z557=AX550),0,1)))</f>
        <v>0</v>
      </c>
      <c r="AZ550">
        <f>COUNTIF(Z567:Z584,"NS")</f>
        <v>0</v>
      </c>
      <c r="BA550">
        <f>SUM(Z567:Z584)</f>
        <v>0</v>
      </c>
      <c r="BB550">
        <f>IF(COUNTA(Z566:Z584)=0,0,IF(OR(AND(Z566=0,AZ550&gt;0),AND(Z566="ns",BA550&gt;0),AND(Z566="ns",AZ550=0,BA550=0)),1,IF(OR(AND(AZ550&gt;=2,Z566&gt;BA550),AND(Z566="ns",BA550=0,AZ550&gt;0),Z566=BA550),0,1)))</f>
        <v>0</v>
      </c>
      <c r="BC550">
        <f>COUNTIF(Z586:Z590,"NS")</f>
        <v>0</v>
      </c>
      <c r="BD550">
        <f>SUM(Z586:Z590)</f>
        <v>0</v>
      </c>
      <c r="BE550">
        <f>IF(COUNTA(Z585:Z590)=0,0,IF(OR(AND(Z585=0,BC550&gt;0),AND(Z585="ns",BD550&gt;0),AND(Z585="ns",BC550=0,BD550=0)),1,IF(OR(AND(BC550&gt;=2,Z585&gt;BD550),AND(Z585="ns",BD550=0,BC550&gt;0),Z585=BD550),0,1)))</f>
        <v>0</v>
      </c>
      <c r="BF550">
        <f>COUNTIF(Z594:Z596,"NS")</f>
        <v>0</v>
      </c>
      <c r="BG550">
        <f>SUM(Z594:Z596)</f>
        <v>0</v>
      </c>
      <c r="BH550">
        <f>IF(COUNTA(Z593:Z596)=0,0,IF(OR(AND(Z593=0,BF550&gt;0),AND(Z593="ns",BG550&gt;0),AND(Z593="ns",BF550=0,BG550=0)),1,IF(OR(AND(BF550&gt;=2,Z593&gt;BG550),AND(Z593="ns",BG550=0,BF550&gt;0),Z593=BG550),0,1)))</f>
        <v>0</v>
      </c>
      <c r="BI550">
        <f>COUNTIF(Z604:Z610,"NS")</f>
        <v>0</v>
      </c>
      <c r="BJ550">
        <f>SUM(Z604:Z610)</f>
        <v>0</v>
      </c>
      <c r="BK550">
        <f>IF(COUNTA(Z603:Z610)=0,0,IF(OR(AND(Z603=0,BI550&gt;0),AND(Z603="ns",BJ550&gt;0),AND(Z603="ns",BI550=0,BJ550=0)),1,IF(OR(AND(BI550&gt;=2,Z603&gt;BJ550),AND(Z603="ns",BJ550=0,BI550&gt;0),Z603=BJ550),0,1)))</f>
        <v>0</v>
      </c>
      <c r="BL550">
        <f>COUNTIF(Z612:Z616,"NS")</f>
        <v>0</v>
      </c>
      <c r="BM550">
        <f>SUM(Z612:Z616)</f>
        <v>0</v>
      </c>
      <c r="BN550">
        <f>IF(COUNTA(Z611:Z616)=0,0,IF(OR(AND(Z611=0,BL550&gt;0),AND(Z611="ns",BM550&gt;0),AND(Z611="ns",BL550=0,BM550=0)),1,IF(OR(AND(BL550&gt;=2,Z611&gt;BM550),AND(Z611="ns",BM550=0,BL550&gt;0),Z611=BM550),0,1)))</f>
        <v>0</v>
      </c>
      <c r="BO550">
        <f>COUNTIF(Z622:Z627,"NS")</f>
        <v>0</v>
      </c>
      <c r="BP550">
        <f>SUM(Z622:Z627)</f>
        <v>0</v>
      </c>
      <c r="BQ550">
        <f>IF(COUNTA(Z621:Z627)=0,0,IF(OR(AND(Z621=0,BO550&gt;0),AND(Z621="ns",BP550&gt;0),AND(Z621="ns",BO550=0,BP550=0)),1,IF(OR(AND(BO550&gt;=2,Z621&gt;BP550),AND(Z621="ns",BP550=0,BO550&gt;0),Z621=BP550),0,1)))</f>
        <v>0</v>
      </c>
      <c r="BR550">
        <f>COUNTIF(Z629:Z636,"NS")</f>
        <v>0</v>
      </c>
      <c r="BS550">
        <f>SUM(Z629:Z636)</f>
        <v>0</v>
      </c>
      <c r="BT550">
        <f>IF(COUNTA(Z628:Z636)=0,0,IF(OR(AND(Z628=0,BR550&gt;0),AND(Z628="ns",BS550&gt;0),AND(Z628="ns",BR550=0,BS550=0)),1,IF(OR(AND(BR550&gt;=2,Z628&gt;BS550),AND(Z628="ns",BS550=0,BR550&gt;0),Z628=BS550),0,1)))</f>
        <v>0</v>
      </c>
      <c r="BU550">
        <f>COUNTIF(Z641:Z646,"NS")</f>
        <v>0</v>
      </c>
      <c r="BV550">
        <f>SUM(Z641:Z646)</f>
        <v>0</v>
      </c>
      <c r="BW550">
        <f>IF(COUNTA(Z640:Z646)=0,0,IF(OR(AND(Z640=0,BU550&gt;0),AND(Z640="ns",BV550&gt;0),AND(Z640="ns",BU550=0,BV550=0)),1,IF(OR(AND(BU550&gt;=2,Z640&gt;BV550),AND(Z640="ns",BV550=0,BU550&gt;0),Z640=BV550),0,1)))</f>
        <v>0</v>
      </c>
      <c r="BX550">
        <f>COUNTIF(Z651:Z659,"NS")</f>
        <v>0</v>
      </c>
      <c r="BY550">
        <f>SUM(Z651:Z659)</f>
        <v>0</v>
      </c>
      <c r="BZ550">
        <f>IF(COUNTA(Z650:Z659)=0,0,IF(OR(AND(Z650=0,BX550&gt;0),AND(Z650="ns",BY550&gt;0),AND(Z650="ns",BX550=0,BY550=0)),1,IF(OR(AND(BX550&gt;=2,Z650&gt;BY550),AND(Z650="ns",BY550=0,BX550&gt;0),Z650=BY550),0,1)))</f>
        <v>0</v>
      </c>
      <c r="CA550">
        <f>COUNTIF(Z661:Z663,"NS")</f>
        <v>0</v>
      </c>
      <c r="CB550">
        <f>SUM(Z661:Z663)</f>
        <v>0</v>
      </c>
      <c r="CC550">
        <f>IF(COUNTA(Z660:Z663)=0,0,IF(OR(AND(Z660=0,CA550&gt;0),AND(Z660="ns",CB550&gt;0),AND(Z660="ns",CA550=0,CB550=0)),1,IF(OR(AND(CA550&gt;=2,Z660&gt;CB550),AND(Z660="ns",CB550=0,CA550&gt;0),Z660=CB550),0,1)))</f>
        <v>0</v>
      </c>
      <c r="CD550">
        <f>COUNTIF(Z672:Z678,"NS")</f>
        <v>0</v>
      </c>
      <c r="CE550">
        <f>SUM(Z672:Z678)</f>
        <v>0</v>
      </c>
      <c r="CF550">
        <f>IF(COUNTA(Z671:Z678)=0,0,IF(OR(AND(Z671=0,CD550&gt;0),AND(Z671="ns",CE550&gt;0),AND(Z671="ns",CD550=0,CE550=0)),1,IF(OR(AND(CD550&gt;=2,Z671&gt;CE550),AND(Z671="ns",CE550=0,CD550&gt;0),Z671=CE550),0,1)))</f>
        <v>0</v>
      </c>
      <c r="CG550">
        <f>COUNTIF(Z681:Z683,"NS")</f>
        <v>0</v>
      </c>
      <c r="CH550">
        <f>SUM(Z681:Z683)</f>
        <v>0</v>
      </c>
      <c r="CI550">
        <f>IF(COUNTA(Z680:Z683)=0,0,IF(OR(AND(Z680=0,CG550&gt;0),AND(Z680="ns",CH550&gt;0),AND(Z680="ns",CG550=0,CH550=0)),1,IF(OR(AND(CG550&gt;=2,Z680&gt;CH550),AND(Z680="ns",CH550=0,CG550&gt;0),Z680=CH550),0,1)))</f>
        <v>0</v>
      </c>
      <c r="CJ550">
        <f>COUNTIF(Z693:Z697,"NS")</f>
        <v>0</v>
      </c>
      <c r="CK550">
        <f>SUM(Z693:Z697)</f>
        <v>0</v>
      </c>
      <c r="CL550">
        <f>IF(COUNTA(Z692:Z697)=0,0,IF(OR(AND(Z692=0,CJ550&gt;0),AND(Z692="ns",CK550&gt;0),AND(Z692="ns",CJ550=0,CK550=0)),1,IF(OR(AND(CJ550&gt;=2,Z692&gt;CK550),AND(Z692="ns",CK550=0,CJ550&gt;0),Z692=CK550),0,1)))</f>
        <v>0</v>
      </c>
    </row>
    <row r="551" spans="1:91" ht="15" customHeight="1">
      <c r="A551" s="176"/>
      <c r="B551" s="57"/>
      <c r="C551" s="1109"/>
      <c r="D551" s="954"/>
      <c r="E551" s="955"/>
      <c r="F551" s="955"/>
      <c r="G551" s="1110" t="s">
        <v>4821</v>
      </c>
      <c r="H551" s="1110"/>
      <c r="I551" s="178"/>
      <c r="J551" s="1111" t="s">
        <v>4822</v>
      </c>
      <c r="K551" s="1111"/>
      <c r="L551" s="1111"/>
      <c r="M551" s="1111"/>
      <c r="N551" s="1111"/>
      <c r="O551" s="1111"/>
      <c r="P551" s="1111"/>
      <c r="Q551" s="1111"/>
      <c r="R551" s="1111"/>
      <c r="S551" s="1111"/>
      <c r="T551" s="1111"/>
      <c r="U551" s="1112"/>
      <c r="V551" s="100"/>
      <c r="W551" s="100"/>
      <c r="X551" s="100"/>
      <c r="Y551" s="100"/>
      <c r="Z551" s="100"/>
      <c r="AA551" s="100"/>
      <c r="AB551" s="100"/>
      <c r="AC551" s="100"/>
      <c r="AD551" s="100"/>
      <c r="AF551"/>
      <c r="AG551">
        <f t="shared" si="280"/>
        <v>0</v>
      </c>
      <c r="AH551">
        <f t="shared" si="270"/>
        <v>0</v>
      </c>
      <c r="AK551">
        <f t="shared" si="271"/>
        <v>0</v>
      </c>
      <c r="AL551">
        <f t="shared" si="272"/>
        <v>0</v>
      </c>
      <c r="AM551">
        <f t="shared" si="273"/>
        <v>0</v>
      </c>
      <c r="AN551">
        <f t="shared" si="274"/>
        <v>0</v>
      </c>
      <c r="AO551">
        <f t="shared" si="275"/>
        <v>0</v>
      </c>
      <c r="AP551">
        <f t="shared" si="276"/>
        <v>0</v>
      </c>
      <c r="AQ551">
        <f t="shared" si="277"/>
        <v>0</v>
      </c>
      <c r="AR551">
        <f t="shared" si="278"/>
        <v>0</v>
      </c>
      <c r="AS551">
        <f t="shared" si="279"/>
        <v>0</v>
      </c>
      <c r="AT551">
        <f>COUNTIF(AA547:AA552,"NS")</f>
        <v>0</v>
      </c>
      <c r="AU551">
        <f>SUM(AA547:AA552)</f>
        <v>0</v>
      </c>
      <c r="AV551">
        <f>IF(COUNTA(AA546:AA552)=0,0,IF(OR(AND(AA546=0,AT551&gt;0),AND(AA546="ns",AU551&gt;0),AND(AA546="ns",AT551=0,AU551=0)),1,IF(OR(AND(AT551&gt;=2,AA546&gt;AU551),AND(AA546="ns",AU551=0,AT551&gt;0),AA546=AU551),0,1)))</f>
        <v>0</v>
      </c>
      <c r="AW551">
        <f>COUNTIF(AA558:AA562,"NS")</f>
        <v>0</v>
      </c>
      <c r="AX551">
        <f>SUM(AA558:AA562)</f>
        <v>0</v>
      </c>
      <c r="AY551">
        <f>IF(COUNTA(AA557:AA562)=0,0,IF(OR(AND(AA557=0,AW551&gt;0),AND(AA557="ns",AX551&gt;0),AND(AA557="ns",AW551=0,AX551=0)),1,IF(OR(AND(AW551&gt;=2,AA557&gt;AX551),AND(AA557="ns",AX551=0,AW551&gt;0),AA557=AX551),0,1)))</f>
        <v>0</v>
      </c>
      <c r="AZ551">
        <f>COUNTIF(AA567:AA584,"NS")</f>
        <v>0</v>
      </c>
      <c r="BA551">
        <f>SUM(AA567:AA584)</f>
        <v>0</v>
      </c>
      <c r="BB551">
        <f>IF(COUNTA(AA566:AA584)=0,0,IF(OR(AND(AA566=0,AZ551&gt;0),AND(AA566="ns",BA551&gt;0),AND(AA566="ns",AZ551=0,BA551=0)),1,IF(OR(AND(AZ551&gt;=2,AA566&gt;BA551),AND(AA566="ns",BA551=0,AZ551&gt;0),AA566=BA551),0,1)))</f>
        <v>0</v>
      </c>
      <c r="BC551">
        <f>COUNTIF(AA586:AA590,"NS")</f>
        <v>0</v>
      </c>
      <c r="BD551">
        <f>SUM(AA586:AA590)</f>
        <v>0</v>
      </c>
      <c r="BE551">
        <f>IF(COUNTA(AA585:AA590)=0,0,IF(OR(AND(AA585=0,BC551&gt;0),AND(AA585="ns",BD551&gt;0),AND(AA585="ns",BC551=0,BD551=0)),1,IF(OR(AND(BC551&gt;=2,AA585&gt;BD551),AND(AA585="ns",BD551=0,BC551&gt;0),AA585=BD551),0,1)))</f>
        <v>0</v>
      </c>
      <c r="BF551">
        <f>COUNTIF(AA594:AA596,"NS")</f>
        <v>0</v>
      </c>
      <c r="BG551">
        <f>SUM(AA594:AA596)</f>
        <v>0</v>
      </c>
      <c r="BH551">
        <f>IF(COUNTA(AA593:AA596)=0,0,IF(OR(AND(AA593=0,BF551&gt;0),AND(AA593="ns",BG551&gt;0),AND(AA593="ns",BF551=0,BG551=0)),1,IF(OR(AND(BF551&gt;=2,AA593&gt;BG551),AND(AA593="ns",BG551=0,BF551&gt;0),AA593=BG551),0,1)))</f>
        <v>0</v>
      </c>
      <c r="BI551">
        <f>COUNTIF(AA604:AA610,"NS")</f>
        <v>0</v>
      </c>
      <c r="BJ551">
        <f>SUM(AA604:AA610)</f>
        <v>0</v>
      </c>
      <c r="BK551">
        <f>IF(COUNTA(AA603:AA610)=0,0,IF(OR(AND(AA603=0,BI551&gt;0),AND(AA603="ns",BJ551&gt;0),AND(AA603="ns",BI551=0,BJ551=0)),1,IF(OR(AND(BI551&gt;=2,AA603&gt;BJ551),AND(AA603="ns",BJ551=0,BI551&gt;0),AA603=BJ551),0,1)))</f>
        <v>0</v>
      </c>
      <c r="BL551">
        <f>COUNTIF(AA612:AA616,"NS")</f>
        <v>0</v>
      </c>
      <c r="BM551">
        <f>SUM(AA612:AA616)</f>
        <v>0</v>
      </c>
      <c r="BN551">
        <f>IF(COUNTA(AA611:AA616)=0,0,IF(OR(AND(AA611=0,BL551&gt;0),AND(AA611="ns",BM551&gt;0),AND(AA611="ns",BL551=0,BM551=0)),1,IF(OR(AND(BL551&gt;=2,AA611&gt;BM551),AND(AA611="ns",BM551=0,BL551&gt;0),AA611=BM551),0,1)))</f>
        <v>0</v>
      </c>
      <c r="BO551">
        <f>COUNTIF(AA622:AA627,"NS")</f>
        <v>0</v>
      </c>
      <c r="BP551">
        <f>SUM(AA622:AA627)</f>
        <v>0</v>
      </c>
      <c r="BQ551">
        <f>IF(COUNTA(AA621:AA627)=0,0,IF(OR(AND(AA621=0,BO551&gt;0),AND(AA621="ns",BP551&gt;0),AND(AA621="ns",BO551=0,BP551=0)),1,IF(OR(AND(BO551&gt;=2,AA621&gt;BP551),AND(AA621="ns",BP551=0,BO551&gt;0),AA621=BP551),0,1)))</f>
        <v>0</v>
      </c>
      <c r="BR551">
        <f>COUNTIF(AA629:AA636,"NS")</f>
        <v>0</v>
      </c>
      <c r="BS551">
        <f>SUM(AA629:AA636)</f>
        <v>0</v>
      </c>
      <c r="BT551">
        <f>IF(COUNTA(AA628:AA636)=0,0,IF(OR(AND(AA628=0,BR551&gt;0),AND(AA628="ns",BS551&gt;0),AND(AA628="ns",BR551=0,BS551=0)),1,IF(OR(AND(BR551&gt;=2,AA628&gt;BS551),AND(AA628="ns",BS551=0,BR551&gt;0),AA628=BS551),0,1)))</f>
        <v>0</v>
      </c>
      <c r="BU551">
        <f>COUNTIF(AA641:AA646,"NS")</f>
        <v>0</v>
      </c>
      <c r="BV551">
        <f>SUM(AA641:AA646)</f>
        <v>0</v>
      </c>
      <c r="BW551">
        <f>IF(COUNTA(AA640:AA646)=0,0,IF(OR(AND(AA640=0,BU551&gt;0),AND(AA640="ns",BV551&gt;0),AND(AA640="ns",BU551=0,BV551=0)),1,IF(OR(AND(BU551&gt;=2,AA640&gt;BV551),AND(AA640="ns",BV551=0,BU551&gt;0),AA640=BV551),0,1)))</f>
        <v>0</v>
      </c>
      <c r="BX551">
        <f>COUNTIF(AA651:AA659,"NS")</f>
        <v>0</v>
      </c>
      <c r="BY551">
        <f>SUM(AA651:AA659)</f>
        <v>0</v>
      </c>
      <c r="BZ551">
        <f>IF(COUNTA(AA650:AA659)=0,0,IF(OR(AND(AA650=0,BX551&gt;0),AND(AA650="ns",BY551&gt;0),AND(AA650="ns",BX551=0,BY551=0)),1,IF(OR(AND(BX551&gt;=2,AA650&gt;BY551),AND(AA650="ns",BY551=0,BX551&gt;0),AA650=BY551),0,1)))</f>
        <v>0</v>
      </c>
      <c r="CA551">
        <f>COUNTIF(AA661:AA663,"NS")</f>
        <v>0</v>
      </c>
      <c r="CB551">
        <f>SUM(AA661:AA663)</f>
        <v>0</v>
      </c>
      <c r="CC551">
        <f>IF(COUNTA(AA660:AA663)=0,0,IF(OR(AND(AA660=0,CA551&gt;0),AND(AA660="ns",CB551&gt;0),AND(AA660="ns",CA551=0,CB551=0)),1,IF(OR(AND(CA551&gt;=2,AA660&gt;CB551),AND(AA660="ns",CB551=0,CA551&gt;0),AA660=CB551),0,1)))</f>
        <v>0</v>
      </c>
      <c r="CD551">
        <f>COUNTIF(AA672:AA678,"NS")</f>
        <v>0</v>
      </c>
      <c r="CE551">
        <f>SUM(AA672:AA678)</f>
        <v>0</v>
      </c>
      <c r="CF551">
        <f>IF(COUNTA(AA671:AA678)=0,0,IF(OR(AND(AA671=0,CD551&gt;0),AND(AA671="ns",CE551&gt;0),AND(AA671="ns",CD551=0,CE551=0)),1,IF(OR(AND(CD551&gt;=2,AA671&gt;CE551),AND(AA671="ns",CE551=0,CD551&gt;0),AA671=CE551),0,1)))</f>
        <v>0</v>
      </c>
      <c r="CG551">
        <f>COUNTIF(AA681:AA683,"NS")</f>
        <v>0</v>
      </c>
      <c r="CH551">
        <f>SUM(AA681:AA683)</f>
        <v>0</v>
      </c>
      <c r="CI551">
        <f>IF(COUNTA(AA680:AA683)=0,0,IF(OR(AND(AA680=0,CG551&gt;0),AND(AA680="ns",CH551&gt;0),AND(AA680="ns",CG551=0,CH551=0)),1,IF(OR(AND(CG551&gt;=2,AA680&gt;CH551),AND(AA680="ns",CH551=0,CG551&gt;0),AA680=CH551),0,1)))</f>
        <v>0</v>
      </c>
      <c r="CJ551">
        <f>COUNTIF(AA693:AA697,"NS")</f>
        <v>0</v>
      </c>
      <c r="CK551">
        <f>SUM(AA693:AA697)</f>
        <v>0</v>
      </c>
      <c r="CL551">
        <f>IF(COUNTA(AA692:AA697)=0,0,IF(OR(AND(AA692=0,CJ551&gt;0),AND(AA692="ns",CK551&gt;0),AND(AA692="ns",CJ551=0,CK551=0)),1,IF(OR(AND(CJ551&gt;=2,AA692&gt;CK551),AND(AA692="ns",CK551=0,CJ551&gt;0),AA692=CK551),0,1)))</f>
        <v>0</v>
      </c>
    </row>
    <row r="552" spans="1:91" ht="15" customHeight="1">
      <c r="A552" s="176"/>
      <c r="B552" s="57"/>
      <c r="C552" s="1109"/>
      <c r="D552" s="954"/>
      <c r="E552" s="955"/>
      <c r="F552" s="955"/>
      <c r="G552" s="1110" t="s">
        <v>4823</v>
      </c>
      <c r="H552" s="1110"/>
      <c r="I552" s="179"/>
      <c r="J552" s="1113" t="s">
        <v>201</v>
      </c>
      <c r="K552" s="1113"/>
      <c r="L552" s="1113"/>
      <c r="M552" s="1113"/>
      <c r="N552" s="1113"/>
      <c r="O552" s="1113"/>
      <c r="P552" s="1113"/>
      <c r="Q552" s="1113"/>
      <c r="R552" s="1113"/>
      <c r="S552" s="1113"/>
      <c r="T552" s="1113"/>
      <c r="U552" s="1114"/>
      <c r="V552" s="100"/>
      <c r="W552" s="100"/>
      <c r="X552" s="100"/>
      <c r="Y552" s="100"/>
      <c r="Z552" s="100"/>
      <c r="AA552" s="100"/>
      <c r="AB552" s="100"/>
      <c r="AC552" s="100"/>
      <c r="AD552" s="100"/>
      <c r="AF552"/>
      <c r="AG552">
        <f t="shared" si="280"/>
        <v>0</v>
      </c>
      <c r="AH552">
        <f t="shared" si="270"/>
        <v>0</v>
      </c>
      <c r="AK552">
        <f t="shared" si="271"/>
        <v>0</v>
      </c>
      <c r="AL552">
        <f t="shared" si="272"/>
        <v>0</v>
      </c>
      <c r="AM552">
        <f t="shared" si="273"/>
        <v>0</v>
      </c>
      <c r="AN552">
        <f t="shared" si="274"/>
        <v>0</v>
      </c>
      <c r="AO552">
        <f t="shared" si="275"/>
        <v>0</v>
      </c>
      <c r="AP552">
        <f t="shared" si="276"/>
        <v>0</v>
      </c>
      <c r="AQ552">
        <f t="shared" si="277"/>
        <v>0</v>
      </c>
      <c r="AR552">
        <f t="shared" si="278"/>
        <v>0</v>
      </c>
      <c r="AS552">
        <f t="shared" si="279"/>
        <v>0</v>
      </c>
      <c r="AT552">
        <f>COUNTIF(AB547:AB552,"NS")</f>
        <v>0</v>
      </c>
      <c r="AU552">
        <f>SUM(AB547:AB552)</f>
        <v>0</v>
      </c>
      <c r="AV552">
        <f>IF(COUNTA(AB546:AB552)=0,0,IF(OR(AND(AB546=0,AT552&gt;0),AND(AB546="ns",AU552&gt;0),AND(AB546="ns",AT552=0,AU552=0)),1,IF(OR(AND(AT552&gt;=2,AB546&gt;AU552),AND(AB546="ns",AU552=0,AT552&gt;0),AB546=AU552),0,1)))</f>
        <v>0</v>
      </c>
      <c r="AW552">
        <f>COUNTIF(AB558:AB562,"NS")</f>
        <v>0</v>
      </c>
      <c r="AX552">
        <f>SUM(AB558:AB562)</f>
        <v>0</v>
      </c>
      <c r="AY552">
        <f>IF(COUNTA(AB557:AB562)=0,0,IF(OR(AND(AB557=0,AW552&gt;0),AND(AB557="ns",AX552&gt;0),AND(AB557="ns",AW552=0,AX552=0)),1,IF(OR(AND(AW552&gt;=2,AB557&gt;AX552),AND(AB557="ns",AX552=0,AW552&gt;0),AB557=AX552),0,1)))</f>
        <v>0</v>
      </c>
      <c r="AZ552">
        <f>COUNTIF(AB567:AB584,"NS")</f>
        <v>0</v>
      </c>
      <c r="BA552">
        <f>SUM(AB567:AB584)</f>
        <v>0</v>
      </c>
      <c r="BB552">
        <f>IF(COUNTA(AB566:AB584)=0,0,IF(OR(AND(AB566=0,AZ552&gt;0),AND(AB566="ns",BA552&gt;0),AND(AB566="ns",AZ552=0,BA552=0)),1,IF(OR(AND(AZ552&gt;=2,AB566&gt;BA552),AND(AB566="ns",BA552=0,AZ552&gt;0),AB566=BA552),0,1)))</f>
        <v>0</v>
      </c>
      <c r="BC552">
        <f>COUNTIF(AB586:AB590,"NS")</f>
        <v>0</v>
      </c>
      <c r="BD552">
        <f>SUM(AB586:AB590)</f>
        <v>0</v>
      </c>
      <c r="BE552">
        <f>IF(COUNTA(AB585:AB590)=0,0,IF(OR(AND(AB585=0,BC552&gt;0),AND(AB585="ns",BD552&gt;0),AND(AB585="ns",BC552=0,BD552=0)),1,IF(OR(AND(BC552&gt;=2,AB585&gt;BD552),AND(AB585="ns",BD552=0,BC552&gt;0),AB585=BD552),0,1)))</f>
        <v>0</v>
      </c>
      <c r="BF552">
        <f>COUNTIF(AB594:AB596,"NS")</f>
        <v>0</v>
      </c>
      <c r="BG552">
        <f>SUM(AB594:AB596)</f>
        <v>0</v>
      </c>
      <c r="BH552">
        <f>IF(COUNTA(AB593:AB596)=0,0,IF(OR(AND(AB593=0,BF552&gt;0),AND(AB593="ns",BG552&gt;0),AND(AB593="ns",BF552=0,BG552=0)),1,IF(OR(AND(BF552&gt;=2,AB593&gt;BG552),AND(AB593="ns",BG552=0,BF552&gt;0),AB593=BG552),0,1)))</f>
        <v>0</v>
      </c>
      <c r="BI552">
        <f>COUNTIF(AB604:AB610,"NS")</f>
        <v>0</v>
      </c>
      <c r="BJ552">
        <f>SUM(AB604:AB610)</f>
        <v>0</v>
      </c>
      <c r="BK552">
        <f>IF(COUNTA(AB603:AB610)=0,0,IF(OR(AND(AB603=0,BI552&gt;0),AND(AB603="ns",BJ552&gt;0),AND(AB603="ns",BI552=0,BJ552=0)),1,IF(OR(AND(BI552&gt;=2,AB603&gt;BJ552),AND(AB603="ns",BJ552=0,BI552&gt;0),AB603=BJ552),0,1)))</f>
        <v>0</v>
      </c>
      <c r="BL552">
        <f>COUNTIF(AB612:AB616,"NS")</f>
        <v>0</v>
      </c>
      <c r="BM552">
        <f>SUM(AB612:AB616)</f>
        <v>0</v>
      </c>
      <c r="BN552">
        <f>IF(COUNTA(AB611:AB616)=0,0,IF(OR(AND(AB611=0,BL552&gt;0),AND(AB611="ns",BM552&gt;0),AND(AB611="ns",BL552=0,BM552=0)),1,IF(OR(AND(BL552&gt;=2,AB611&gt;BM552),AND(AB611="ns",BM552=0,BL552&gt;0),AB611=BM552),0,1)))</f>
        <v>0</v>
      </c>
      <c r="BO552">
        <f>COUNTIF(AB622:AB627,"NS")</f>
        <v>0</v>
      </c>
      <c r="BP552">
        <f>SUM(AB622:AB627)</f>
        <v>0</v>
      </c>
      <c r="BQ552">
        <f>IF(COUNTA(AB621:AB627)=0,0,IF(OR(AND(AB621=0,BO552&gt;0),AND(AB621="ns",BP552&gt;0),AND(AB621="ns",BO552=0,BP552=0)),1,IF(OR(AND(BO552&gt;=2,AB621&gt;BP552),AND(AB621="ns",BP552=0,BO552&gt;0),AB621=BP552),0,1)))</f>
        <v>0</v>
      </c>
      <c r="BR552">
        <f>COUNTIF(AB629:AB636,"NS")</f>
        <v>0</v>
      </c>
      <c r="BS552">
        <f>SUM(AB629:AB636)</f>
        <v>0</v>
      </c>
      <c r="BT552">
        <f>IF(COUNTA(AB628:AB636)=0,0,IF(OR(AND(AB628=0,BR552&gt;0),AND(AB628="ns",BS552&gt;0),AND(AB628="ns",BR552=0,BS552=0)),1,IF(OR(AND(BR552&gt;=2,AB628&gt;BS552),AND(AB628="ns",BS552=0,BR552&gt;0),AB628=BS552),0,1)))</f>
        <v>0</v>
      </c>
      <c r="BU552">
        <f>COUNTIF(AB641:AB646,"NS")</f>
        <v>0</v>
      </c>
      <c r="BV552">
        <f>SUM(AB641:AB646)</f>
        <v>0</v>
      </c>
      <c r="BW552">
        <f>IF(COUNTA(AB640:AB646)=0,0,IF(OR(AND(AB640=0,BU552&gt;0),AND(AB640="ns",BV552&gt;0),AND(AB640="ns",BU552=0,BV552=0)),1,IF(OR(AND(BU552&gt;=2,AB640&gt;BV552),AND(AB640="ns",BV552=0,BU552&gt;0),AB640=BV552),0,1)))</f>
        <v>0</v>
      </c>
      <c r="BX552">
        <f>COUNTIF(AB651:AB659,"NS")</f>
        <v>0</v>
      </c>
      <c r="BY552">
        <f>SUM(AB651:AB659)</f>
        <v>0</v>
      </c>
      <c r="BZ552">
        <f>IF(COUNTA(AB650:AB659)=0,0,IF(OR(AND(AB650=0,BX552&gt;0),AND(AB650="ns",BY552&gt;0),AND(AB650="ns",BX552=0,BY552=0)),1,IF(OR(AND(BX552&gt;=2,AB650&gt;BY552),AND(AB650="ns",BY552=0,BX552&gt;0),AB650=BY552),0,1)))</f>
        <v>0</v>
      </c>
      <c r="CA552">
        <f>COUNTIF(AB661:AB663,"NS")</f>
        <v>0</v>
      </c>
      <c r="CB552">
        <f>SUM(AB661:AB663)</f>
        <v>0</v>
      </c>
      <c r="CC552">
        <f>IF(COUNTA(AB660:AB663)=0,0,IF(OR(AND(AB660=0,CA552&gt;0),AND(AB660="ns",CB552&gt;0),AND(AB660="ns",CA552=0,CB552=0)),1,IF(OR(AND(CA552&gt;=2,AB660&gt;CB552),AND(AB660="ns",CB552=0,CA552&gt;0),AB660=CB552),0,1)))</f>
        <v>0</v>
      </c>
      <c r="CD552">
        <f>COUNTIF(AB672:AB678,"NS")</f>
        <v>0</v>
      </c>
      <c r="CE552">
        <f>SUM(AB672:AB678)</f>
        <v>0</v>
      </c>
      <c r="CF552">
        <f>IF(COUNTA(AB671:AB678)=0,0,IF(OR(AND(AB671=0,CD552&gt;0),AND(AB671="ns",CE552&gt;0),AND(AB671="ns",CD552=0,CE552=0)),1,IF(OR(AND(CD552&gt;=2,AB671&gt;CE552),AND(AB671="ns",CE552=0,CD552&gt;0),AB671=CE552),0,1)))</f>
        <v>0</v>
      </c>
      <c r="CG552">
        <f>COUNTIF(AB681:AB683,"NS")</f>
        <v>0</v>
      </c>
      <c r="CH552">
        <f>SUM(AB681:AB683)</f>
        <v>0</v>
      </c>
      <c r="CI552">
        <f>IF(COUNTA(AB680:AB683)=0,0,IF(OR(AND(AB680=0,CG552&gt;0),AND(AB680="ns",CH552&gt;0),AND(AB680="ns",CG552=0,CH552=0)),1,IF(OR(AND(CG552&gt;=2,AB680&gt;CH552),AND(AB680="ns",CH552=0,CG552&gt;0),AB680=CH552),0,1)))</f>
        <v>0</v>
      </c>
      <c r="CJ552">
        <f>COUNTIF(AB693:AB697,"NS")</f>
        <v>0</v>
      </c>
      <c r="CK552">
        <f>SUM(AB693:AB697)</f>
        <v>0</v>
      </c>
      <c r="CL552">
        <f>IF(COUNTA(AB692:AB697)=0,0,IF(OR(AND(AB692=0,CJ552&gt;0),AND(AB692="ns",CK552&gt;0),AND(AB692="ns",CJ552=0,CK552=0)),1,IF(OR(AND(CJ552&gt;=2,AB692&gt;CK552),AND(AB692="ns",CK552=0,CJ552&gt;0),AB692=CK552),0,1)))</f>
        <v>0</v>
      </c>
    </row>
    <row r="553" spans="1:91" ht="15" customHeight="1">
      <c r="A553" s="176"/>
      <c r="B553" s="57"/>
      <c r="C553" s="1109"/>
      <c r="D553" s="954"/>
      <c r="E553" s="955"/>
      <c r="F553" s="955"/>
      <c r="G553" s="1103" t="s">
        <v>4824</v>
      </c>
      <c r="H553" s="1103"/>
      <c r="I553" s="1104" t="s">
        <v>4825</v>
      </c>
      <c r="J553" s="1105"/>
      <c r="K553" s="1105"/>
      <c r="L553" s="1105"/>
      <c r="M553" s="1105"/>
      <c r="N553" s="1105"/>
      <c r="O553" s="1105"/>
      <c r="P553" s="1105"/>
      <c r="Q553" s="1105"/>
      <c r="R553" s="1105"/>
      <c r="S553" s="1105"/>
      <c r="T553" s="1105"/>
      <c r="U553" s="1106"/>
      <c r="V553" s="100"/>
      <c r="W553" s="100"/>
      <c r="X553" s="100"/>
      <c r="Y553" s="100"/>
      <c r="Z553" s="100"/>
      <c r="AA553" s="100"/>
      <c r="AB553" s="100"/>
      <c r="AC553" s="100"/>
      <c r="AD553" s="100"/>
      <c r="AF553"/>
      <c r="AG553">
        <f t="shared" si="280"/>
        <v>0</v>
      </c>
      <c r="AH553">
        <f t="shared" si="270"/>
        <v>0</v>
      </c>
      <c r="AJ553">
        <f>IF(OR(V553="NS",V553="NA",$V$715=0,$V$715="NS",$V$715="NA"),0,IF((V553*(IFERROR(100/SUM(V541:V553),0)))&gt;25,1,0))</f>
        <v>0</v>
      </c>
      <c r="AK553">
        <f t="shared" si="271"/>
        <v>0</v>
      </c>
      <c r="AL553">
        <f t="shared" si="272"/>
        <v>0</v>
      </c>
      <c r="AM553">
        <f t="shared" si="273"/>
        <v>0</v>
      </c>
      <c r="AN553">
        <f t="shared" si="274"/>
        <v>0</v>
      </c>
      <c r="AO553">
        <f t="shared" si="275"/>
        <v>0</v>
      </c>
      <c r="AP553">
        <f t="shared" si="276"/>
        <v>0</v>
      </c>
      <c r="AQ553">
        <f t="shared" si="277"/>
        <v>0</v>
      </c>
      <c r="AR553">
        <f t="shared" si="278"/>
        <v>0</v>
      </c>
      <c r="AS553">
        <f t="shared" si="279"/>
        <v>0</v>
      </c>
      <c r="AT553">
        <f>COUNTIF(AC547:AC552,"NS")</f>
        <v>0</v>
      </c>
      <c r="AU553">
        <f>SUM(AC547:AC552)</f>
        <v>0</v>
      </c>
      <c r="AV553">
        <f>IF(COUNTA(AC546:AC552)=0,0,IF(OR(AND(AC546=0,AT553&gt;0),AND(AC546="ns",AU553&gt;0),AND(AC546="ns",AT553=0,AU553=0)),1,IF(OR(AND(AT553&gt;=2,AC546&gt;AU553),AND(AC546="ns",AU553=0,AT553&gt;0),AC546=AU553),0,1)))</f>
        <v>0</v>
      </c>
      <c r="AW553">
        <f>COUNTIF(AC558:AC562,"NS")</f>
        <v>0</v>
      </c>
      <c r="AX553">
        <f>SUM(AC558:AC562)</f>
        <v>0</v>
      </c>
      <c r="AY553">
        <f>IF(COUNTA(AC557:AC562)=0,0,IF(OR(AND(AC557=0,AW553&gt;0),AND(AC557="ns",AX553&gt;0),AND(AC557="ns",AW553=0,AX553=0)),1,IF(OR(AND(AW553&gt;=2,AC557&gt;AX553),AND(AC557="ns",AX553=0,AW553&gt;0),AC557=AX553),0,1)))</f>
        <v>0</v>
      </c>
      <c r="AZ553">
        <f>COUNTIF(AC567:AC584,"NS")</f>
        <v>0</v>
      </c>
      <c r="BA553">
        <f>SUM(AC567:AC584)</f>
        <v>0</v>
      </c>
      <c r="BB553">
        <f>IF(COUNTA(AC566:AC584)=0,0,IF(OR(AND(AC566=0,AZ553&gt;0),AND(AC566="ns",BA553&gt;0),AND(AC566="ns",AZ553=0,BA553=0)),1,IF(OR(AND(AZ553&gt;=2,AC566&gt;BA553),AND(AC566="ns",BA553=0,AZ553&gt;0),AC566=BA553),0,1)))</f>
        <v>0</v>
      </c>
      <c r="BC553">
        <f>COUNTIF(AC586:AC590,"NS")</f>
        <v>0</v>
      </c>
      <c r="BD553">
        <f>SUM(AC586:AC590)</f>
        <v>0</v>
      </c>
      <c r="BE553">
        <f>IF(COUNTA(AC585:AC590)=0,0,IF(OR(AND(AC585=0,BC553&gt;0),AND(AC585="ns",BD553&gt;0),AND(AC585="ns",BC553=0,BD553=0)),1,IF(OR(AND(BC553&gt;=2,AC585&gt;BD553),AND(AC585="ns",BD553=0,BC553&gt;0),AC585=BD553),0,1)))</f>
        <v>0</v>
      </c>
      <c r="BF553">
        <f>COUNTIF(AC594:AC596,"NS")</f>
        <v>0</v>
      </c>
      <c r="BG553">
        <f>SUM(AC594:AC596)</f>
        <v>0</v>
      </c>
      <c r="BH553">
        <f>IF(COUNTA(AC593:AC596)=0,0,IF(OR(AND(AC593=0,BF553&gt;0),AND(AC593="ns",BG553&gt;0),AND(AC593="ns",BF553=0,BG553=0)),1,IF(OR(AND(BF553&gt;=2,AC593&gt;BG553),AND(AC593="ns",BG553=0,BF553&gt;0),AC593=BG553),0,1)))</f>
        <v>0</v>
      </c>
      <c r="BI553">
        <f>COUNTIF(AC604:AC610,"NS")</f>
        <v>0</v>
      </c>
      <c r="BJ553">
        <f>SUM(AC604:AC610)</f>
        <v>0</v>
      </c>
      <c r="BK553">
        <f>IF(COUNTA(AC603:AC610)=0,0,IF(OR(AND(AC603=0,BI553&gt;0),AND(AC603="ns",BJ553&gt;0),AND(AC603="ns",BI553=0,BJ553=0)),1,IF(OR(AND(BI553&gt;=2,AC603&gt;BJ553),AND(AC603="ns",BJ553=0,BI553&gt;0),AC603=BJ553),0,1)))</f>
        <v>0</v>
      </c>
      <c r="BL553">
        <f>COUNTIF(AC612:AC616,"NS")</f>
        <v>0</v>
      </c>
      <c r="BM553">
        <f>SUM(AC612:AC616)</f>
        <v>0</v>
      </c>
      <c r="BN553">
        <f>IF(COUNTA(AC611:AC616)=0,0,IF(OR(AND(AC611=0,BL553&gt;0),AND(AC611="ns",BM553&gt;0),AND(AC611="ns",BL553=0,BM553=0)),1,IF(OR(AND(BL553&gt;=2,AC611&gt;BM553),AND(AC611="ns",BM553=0,BL553&gt;0),AC611=BM553),0,1)))</f>
        <v>0</v>
      </c>
      <c r="BO553">
        <f>COUNTIF(AC622:AC627,"NS")</f>
        <v>0</v>
      </c>
      <c r="BP553">
        <f>SUM(AC622:AC627)</f>
        <v>0</v>
      </c>
      <c r="BQ553">
        <f>IF(COUNTA(AC621:AC627)=0,0,IF(OR(AND(AC621=0,BO553&gt;0),AND(AC621="ns",BP553&gt;0),AND(AC621="ns",BO553=0,BP553=0)),1,IF(OR(AND(BO553&gt;=2,AC621&gt;BP553),AND(AC621="ns",BP553=0,BO553&gt;0),AC621=BP553),0,1)))</f>
        <v>0</v>
      </c>
      <c r="BR553">
        <f>COUNTIF(AC629:AC636,"NS")</f>
        <v>0</v>
      </c>
      <c r="BS553">
        <f>SUM(AC629:AC636)</f>
        <v>0</v>
      </c>
      <c r="BT553">
        <f>IF(COUNTA(AC628:AC636)=0,0,IF(OR(AND(AC628=0,BR553&gt;0),AND(AC628="ns",BS553&gt;0),AND(AC628="ns",BR553=0,BS553=0)),1,IF(OR(AND(BR553&gt;=2,AC628&gt;BS553),AND(AC628="ns",BS553=0,BR553&gt;0),AC628=BS553),0,1)))</f>
        <v>0</v>
      </c>
      <c r="BU553">
        <f>COUNTIF(AC641:AC646,"NS")</f>
        <v>0</v>
      </c>
      <c r="BV553">
        <f>SUM(AC641:AC646)</f>
        <v>0</v>
      </c>
      <c r="BW553">
        <f>IF(COUNTA(AC640:AC646)=0,0,IF(OR(AND(AC640=0,BU553&gt;0),AND(AC640="ns",BV553&gt;0),AND(AC640="ns",BU553=0,BV553=0)),1,IF(OR(AND(BU553&gt;=2,AC640&gt;BV553),AND(AC640="ns",BV553=0,BU553&gt;0),AC640=BV553),0,1)))</f>
        <v>0</v>
      </c>
      <c r="BX553">
        <f>COUNTIF(AC651:AC659,"NS")</f>
        <v>0</v>
      </c>
      <c r="BY553">
        <f>SUM(AC651:AC659)</f>
        <v>0</v>
      </c>
      <c r="BZ553">
        <f>IF(COUNTA(AC650:AC659)=0,0,IF(OR(AND(AC650=0,BX553&gt;0),AND(AC650="ns",BY553&gt;0),AND(AC650="ns",BX553=0,BY553=0)),1,IF(OR(AND(BX553&gt;=2,AC650&gt;BY553),AND(AC650="ns",BY553=0,BX553&gt;0),AC650=BY553),0,1)))</f>
        <v>0</v>
      </c>
      <c r="CA553">
        <f>COUNTIF(AC661:AC663,"NS")</f>
        <v>0</v>
      </c>
      <c r="CB553">
        <f>SUM(AC661:AC663)</f>
        <v>0</v>
      </c>
      <c r="CC553">
        <f>IF(COUNTA(AC660:AC663)=0,0,IF(OR(AND(AC660=0,CA553&gt;0),AND(AC660="ns",CB553&gt;0),AND(AC660="ns",CA553=0,CB553=0)),1,IF(OR(AND(CA553&gt;=2,AC660&gt;CB553),AND(AC660="ns",CB553=0,CA553&gt;0),AC660=CB553),0,1)))</f>
        <v>0</v>
      </c>
      <c r="CD553">
        <f>COUNTIF(AC672:AC678,"NS")</f>
        <v>0</v>
      </c>
      <c r="CE553">
        <f>SUM(AC672:AC678)</f>
        <v>0</v>
      </c>
      <c r="CF553">
        <f>IF(COUNTA(AC671:AC678)=0,0,IF(OR(AND(AC671=0,CD553&gt;0),AND(AC671="ns",CE553&gt;0),AND(AC671="ns",CD553=0,CE553=0)),1,IF(OR(AND(CD553&gt;=2,AC671&gt;CE553),AND(AC671="ns",CE553=0,CD553&gt;0),AC671=CE553),0,1)))</f>
        <v>0</v>
      </c>
      <c r="CG553">
        <f>COUNTIF(AC681:AC683,"NS")</f>
        <v>0</v>
      </c>
      <c r="CH553">
        <f>SUM(AC681:AC683)</f>
        <v>0</v>
      </c>
      <c r="CI553">
        <f>IF(COUNTA(AC680:AC683)=0,0,IF(OR(AND(AC680=0,CG553&gt;0),AND(AC680="ns",CH553&gt;0),AND(AC680="ns",CG553=0,CH553=0)),1,IF(OR(AND(CG553&gt;=2,AC680&gt;CH553),AND(AC680="ns",CH553=0,CG553&gt;0),AC680=CH553),0,1)))</f>
        <v>0</v>
      </c>
      <c r="CJ553">
        <f>COUNTIF(AC693:AC697,"NS")</f>
        <v>0</v>
      </c>
      <c r="CK553">
        <f>SUM(AC693:AC697)</f>
        <v>0</v>
      </c>
      <c r="CL553">
        <f>IF(COUNTA(AC692:AC697)=0,0,IF(OR(AND(AC692=0,CJ553&gt;0),AND(AC692="ns",CK553&gt;0),AND(AC692="ns",CJ553=0,CK553=0)),1,IF(OR(AND(CJ553&gt;=2,AC692&gt;CK553),AND(AC692="ns",CK553=0,CJ553&gt;0),AC692=CK553),0,1)))</f>
        <v>0</v>
      </c>
    </row>
    <row r="554" spans="1:91" ht="15" customHeight="1">
      <c r="A554" s="176"/>
      <c r="B554" s="57"/>
      <c r="C554" s="1108" t="s">
        <v>4826</v>
      </c>
      <c r="D554" s="847" t="s">
        <v>4827</v>
      </c>
      <c r="E554" s="953"/>
      <c r="F554" s="848"/>
      <c r="G554" s="1103" t="s">
        <v>4828</v>
      </c>
      <c r="H554" s="1103"/>
      <c r="I554" s="1104" t="s">
        <v>4829</v>
      </c>
      <c r="J554" s="1105"/>
      <c r="K554" s="1105"/>
      <c r="L554" s="1105"/>
      <c r="M554" s="1105"/>
      <c r="N554" s="1105"/>
      <c r="O554" s="1105"/>
      <c r="P554" s="1105"/>
      <c r="Q554" s="1105"/>
      <c r="R554" s="1105"/>
      <c r="S554" s="1105"/>
      <c r="T554" s="1105"/>
      <c r="U554" s="1106"/>
      <c r="V554" s="100"/>
      <c r="W554" s="100"/>
      <c r="X554" s="100"/>
      <c r="Y554" s="100"/>
      <c r="Z554" s="100"/>
      <c r="AA554" s="100"/>
      <c r="AB554" s="100"/>
      <c r="AC554" s="100"/>
      <c r="AD554" s="100"/>
      <c r="AF554"/>
      <c r="AG554">
        <f t="shared" si="280"/>
        <v>0</v>
      </c>
      <c r="AH554">
        <f t="shared" si="270"/>
        <v>0</v>
      </c>
      <c r="AK554">
        <f t="shared" si="271"/>
        <v>0</v>
      </c>
      <c r="AL554">
        <f t="shared" si="272"/>
        <v>0</v>
      </c>
      <c r="AM554">
        <f t="shared" si="273"/>
        <v>0</v>
      </c>
      <c r="AN554">
        <f t="shared" si="274"/>
        <v>0</v>
      </c>
      <c r="AO554">
        <f t="shared" si="275"/>
        <v>0</v>
      </c>
      <c r="AP554">
        <f t="shared" si="276"/>
        <v>0</v>
      </c>
      <c r="AQ554">
        <f t="shared" si="277"/>
        <v>0</v>
      </c>
      <c r="AR554">
        <f t="shared" si="278"/>
        <v>0</v>
      </c>
      <c r="AS554">
        <f t="shared" si="279"/>
        <v>0</v>
      </c>
      <c r="AT554">
        <f>COUNTIF(AD547:AD552,"NS")</f>
        <v>0</v>
      </c>
      <c r="AU554">
        <f>SUM(AD547:AD552)</f>
        <v>0</v>
      </c>
      <c r="AV554">
        <f>IF(COUNTA(AD546:AD552)=0,0,IF(OR(AND(AD546=0,AT554&gt;0),AND(AD546="ns",AU554&gt;0),AND(AD546="ns",AT554=0,AU554=0)),1,IF(OR(AND(AT554&gt;=2,AD546&gt;AU554),AND(AD546="ns",AU554=0,AT554&gt;0),AD546=AU554),0,1)))</f>
        <v>0</v>
      </c>
      <c r="AW554">
        <f>COUNTIF(AD558:AD562,"NS")</f>
        <v>0</v>
      </c>
      <c r="AX554">
        <f>SUM(AD558:AD562)</f>
        <v>0</v>
      </c>
      <c r="AY554">
        <f>IF(COUNTA(AD557:AD562)=0,0,IF(OR(AND(AD557=0,AW554&gt;0),AND(AD557="ns",AX554&gt;0),AND(AD557="ns",AW554=0,AX554=0)),1,IF(OR(AND(AW554&gt;=2,AD557&gt;AX554),AND(AD557="ns",AX554=0,AW554&gt;0),AD557=AX554),0,1)))</f>
        <v>0</v>
      </c>
      <c r="AZ554">
        <f>COUNTIF(AD567:AD584,"NS")</f>
        <v>0</v>
      </c>
      <c r="BA554">
        <f>SUM(AD567:AD584)</f>
        <v>0</v>
      </c>
      <c r="BB554">
        <f>IF(COUNTA(AD566:AD584)=0,0,IF(OR(AND(AD566=0,AZ554&gt;0),AND(AD566="ns",BA554&gt;0),AND(AD566="ns",AZ554=0,BA554=0)),1,IF(OR(AND(AZ554&gt;=2,AD566&gt;BA554),AND(AD566="ns",BA554=0,AZ554&gt;0),AD566=BA554),0,1)))</f>
        <v>0</v>
      </c>
      <c r="BC554">
        <f>COUNTIF(AD586:AD590,"NS")</f>
        <v>0</v>
      </c>
      <c r="BD554">
        <f>SUM(AD586:AD590)</f>
        <v>0</v>
      </c>
      <c r="BE554">
        <f>IF(COUNTA(AD585:AD590)=0,0,IF(OR(AND(AD585=0,BC554&gt;0),AND(AD585="ns",BD554&gt;0),AND(AD585="ns",BC554=0,BD554=0)),1,IF(OR(AND(BC554&gt;=2,AD585&gt;BD554),AND(AD585="ns",BD554=0,BC554&gt;0),AD585=BD554),0,1)))</f>
        <v>0</v>
      </c>
      <c r="BF554">
        <f>COUNTIF(AD594:AD596,"NS")</f>
        <v>0</v>
      </c>
      <c r="BG554">
        <f>SUM(AD594:AD596)</f>
        <v>0</v>
      </c>
      <c r="BH554">
        <f>IF(COUNTA(AD593:AD596)=0,0,IF(OR(AND(AD593=0,BF554&gt;0),AND(AD593="ns",BG554&gt;0),AND(AD593="ns",BF554=0,BG554=0)),1,IF(OR(AND(BF554&gt;=2,AD593&gt;BG554),AND(AD593="ns",BG554=0,BF554&gt;0),AD593=BG554),0,1)))</f>
        <v>0</v>
      </c>
      <c r="BI554">
        <f>COUNTIF(AD604:AD610,"NS")</f>
        <v>0</v>
      </c>
      <c r="BJ554">
        <f>SUM(AD604:AD610)</f>
        <v>0</v>
      </c>
      <c r="BK554">
        <f>IF(COUNTA(AD603:AD610)=0,0,IF(OR(AND(AD603=0,BI554&gt;0),AND(AD603="ns",BJ554&gt;0),AND(AD603="ns",BI554=0,BJ554=0)),1,IF(OR(AND(BI554&gt;=2,AD603&gt;BJ554),AND(AD603="ns",BJ554=0,BI554&gt;0),AD603=BJ554),0,1)))</f>
        <v>0</v>
      </c>
      <c r="BL554">
        <f>COUNTIF(AD612:AD616,"NS")</f>
        <v>0</v>
      </c>
      <c r="BM554">
        <f>SUM(AD612:AD616)</f>
        <v>0</v>
      </c>
      <c r="BN554">
        <f>IF(COUNTA(AD611:AD616)=0,0,IF(OR(AND(AD611=0,BL554&gt;0),AND(AD611="ns",BM554&gt;0),AND(AD611="ns",BL554=0,BM554=0)),1,IF(OR(AND(BL554&gt;=2,AD611&gt;BM554),AND(AD611="ns",BM554=0,BL554&gt;0),AD611=BM554),0,1)))</f>
        <v>0</v>
      </c>
      <c r="BO554">
        <f>COUNTIF(AD622:AD627,"NS")</f>
        <v>0</v>
      </c>
      <c r="BP554">
        <f>SUM(AD622:AD627)</f>
        <v>0</v>
      </c>
      <c r="BQ554">
        <f>IF(COUNTA(AD621:AD627)=0,0,IF(OR(AND(AD621=0,BO554&gt;0),AND(AD621="ns",BP554&gt;0),AND(AD621="ns",BO554=0,BP554=0)),1,IF(OR(AND(BO554&gt;=2,AD621&gt;BP554),AND(AD621="ns",BP554=0,BO554&gt;0),AD621=BP554),0,1)))</f>
        <v>0</v>
      </c>
      <c r="BR554">
        <f>COUNTIF(AD629:AD636,"NS")</f>
        <v>0</v>
      </c>
      <c r="BS554">
        <f>SUM(AD629:AD636)</f>
        <v>0</v>
      </c>
      <c r="BT554">
        <f>IF(COUNTA(AD628:AD636)=0,0,IF(OR(AND(AD628=0,BR554&gt;0),AND(AD628="ns",BS554&gt;0),AND(AD628="ns",BR554=0,BS554=0)),1,IF(OR(AND(BR554&gt;=2,AD628&gt;BS554),AND(AD628="ns",BS554=0,BR554&gt;0),AD628=BS554),0,1)))</f>
        <v>0</v>
      </c>
      <c r="BU554">
        <f>COUNTIF(AD641:AD646,"NS")</f>
        <v>0</v>
      </c>
      <c r="BV554">
        <f>SUM(AD641:AD646)</f>
        <v>0</v>
      </c>
      <c r="BW554">
        <f>IF(COUNTA(AD640:AD646)=0,0,IF(OR(AND(AD640=0,BU554&gt;0),AND(AD640="ns",BV554&gt;0),AND(AD640="ns",BU554=0,BV554=0)),1,IF(OR(AND(BU554&gt;=2,AD640&gt;BV554),AND(AD640="ns",BV554=0,BU554&gt;0),AD640=BV554),0,1)))</f>
        <v>0</v>
      </c>
      <c r="BX554">
        <f>COUNTIF(AD651:AD659,"NS")</f>
        <v>0</v>
      </c>
      <c r="BY554">
        <f>SUM(AD651:AD659)</f>
        <v>0</v>
      </c>
      <c r="BZ554">
        <f>IF(COUNTA(AD650:AD659)=0,0,IF(OR(AND(AD650=0,BX554&gt;0),AND(AD650="ns",BY554&gt;0),AND(AD650="ns",BX554=0,BY554=0)),1,IF(OR(AND(BX554&gt;=2,AD650&gt;BY554),AND(AD650="ns",BY554=0,BX554&gt;0),AD650=BY554),0,1)))</f>
        <v>0</v>
      </c>
      <c r="CA554">
        <f>COUNTIF(AD661:AD663,"NS")</f>
        <v>0</v>
      </c>
      <c r="CB554">
        <f>SUM(AD661:AD663)</f>
        <v>0</v>
      </c>
      <c r="CC554">
        <f>IF(COUNTA(AD660:AD663)=0,0,IF(OR(AND(AD660=0,CA554&gt;0),AND(AD660="ns",CB554&gt;0),AND(AD660="ns",CA554=0,CB554=0)),1,IF(OR(AND(CA554&gt;=2,AD660&gt;CB554),AND(AD660="ns",CB554=0,CA554&gt;0),AD660=CB554),0,1)))</f>
        <v>0</v>
      </c>
      <c r="CD554">
        <f>COUNTIF(AD672:AD678,"NS")</f>
        <v>0</v>
      </c>
      <c r="CE554">
        <f>SUM(AD672:AD678)</f>
        <v>0</v>
      </c>
      <c r="CF554">
        <f>IF(COUNTA(AD671:AD678)=0,0,IF(OR(AND(AD671=0,CD554&gt;0),AND(AD671="ns",CE554&gt;0),AND(AD671="ns",CD554=0,CE554=0)),1,IF(OR(AND(CD554&gt;=2,AD671&gt;CE554),AND(AD671="ns",CE554=0,CD554&gt;0),AD671=CE554),0,1)))</f>
        <v>0</v>
      </c>
      <c r="CG554">
        <f>COUNTIF(AD681:AD683,"NS")</f>
        <v>0</v>
      </c>
      <c r="CH554">
        <f>SUM(AD681:AD683)</f>
        <v>0</v>
      </c>
      <c r="CI554">
        <f>IF(COUNTA(AD680:AD683)=0,0,IF(OR(AND(AD680=0,CG554&gt;0),AND(AD680="ns",CH554&gt;0),AND(AD680="ns",CG554=0,CH554=0)),1,IF(OR(AND(CG554&gt;=2,AD680&gt;CH554),AND(AD680="ns",CH554=0,CG554&gt;0),AD680=CH554),0,1)))</f>
        <v>0</v>
      </c>
      <c r="CJ554">
        <f>COUNTIF(AD693:AD697,"NS")</f>
        <v>0</v>
      </c>
      <c r="CK554">
        <f>SUM(AD693:AD697)</f>
        <v>0</v>
      </c>
      <c r="CL554">
        <f>IF(COUNTA(AD692:AD697)=0,0,IF(OR(AND(AD692=0,CJ554&gt;0),AND(AD692="ns",CK554&gt;0),AND(AD692="ns",CJ554=0,CK554=0)),1,IF(OR(AND(CJ554&gt;=2,AD692&gt;CK554),AND(AD692="ns",CK554=0,CJ554&gt;0),AD692=CK554),0,1)))</f>
        <v>0</v>
      </c>
    </row>
    <row r="555" spans="1:91" ht="15" customHeight="1">
      <c r="A555" s="176"/>
      <c r="B555" s="57"/>
      <c r="C555" s="1109"/>
      <c r="D555" s="954"/>
      <c r="E555" s="955"/>
      <c r="F555" s="956"/>
      <c r="G555" s="1103" t="s">
        <v>4830</v>
      </c>
      <c r="H555" s="1103"/>
      <c r="I555" s="1104" t="s">
        <v>4831</v>
      </c>
      <c r="J555" s="1105"/>
      <c r="K555" s="1105"/>
      <c r="L555" s="1105"/>
      <c r="M555" s="1105"/>
      <c r="N555" s="1105"/>
      <c r="O555" s="1105"/>
      <c r="P555" s="1105"/>
      <c r="Q555" s="1105"/>
      <c r="R555" s="1105"/>
      <c r="S555" s="1105"/>
      <c r="T555" s="1105"/>
      <c r="U555" s="1106"/>
      <c r="V555" s="100"/>
      <c r="W555" s="100"/>
      <c r="X555" s="100"/>
      <c r="Y555" s="100"/>
      <c r="Z555" s="100"/>
      <c r="AA555" s="100"/>
      <c r="AB555" s="100"/>
      <c r="AC555" s="100"/>
      <c r="AD555" s="100"/>
      <c r="AF555"/>
      <c r="AG555">
        <f t="shared" si="280"/>
        <v>0</v>
      </c>
      <c r="AH555">
        <f t="shared" si="270"/>
        <v>0</v>
      </c>
      <c r="AK555">
        <f t="shared" si="271"/>
        <v>0</v>
      </c>
      <c r="AL555">
        <f t="shared" si="272"/>
        <v>0</v>
      </c>
      <c r="AM555">
        <f t="shared" si="273"/>
        <v>0</v>
      </c>
      <c r="AN555">
        <f t="shared" si="274"/>
        <v>0</v>
      </c>
      <c r="AO555">
        <f t="shared" si="275"/>
        <v>0</v>
      </c>
      <c r="AP555">
        <f t="shared" si="276"/>
        <v>0</v>
      </c>
      <c r="AQ555">
        <f t="shared" si="277"/>
        <v>0</v>
      </c>
      <c r="AR555">
        <f t="shared" si="278"/>
        <v>0</v>
      </c>
      <c r="AS555">
        <f t="shared" si="279"/>
        <v>0</v>
      </c>
      <c r="AT555">
        <f>SUM(AT546:AT554)</f>
        <v>0</v>
      </c>
      <c r="AV555">
        <f>SUM(AV546:AV554)</f>
        <v>0</v>
      </c>
      <c r="AW555">
        <f>SUM(AW546:AW554)</f>
        <v>0</v>
      </c>
      <c r="AY555">
        <f>SUM(AY546:AY554)</f>
        <v>0</v>
      </c>
      <c r="AZ555">
        <f>SUM(AZ546:AZ554)</f>
        <v>0</v>
      </c>
      <c r="BB555">
        <f>SUM(BB546:BB554)</f>
        <v>0</v>
      </c>
      <c r="BC555">
        <f>SUM(BC546:BC554)</f>
        <v>0</v>
      </c>
      <c r="BE555">
        <f>SUM(BE546:BE554)</f>
        <v>0</v>
      </c>
      <c r="BF555">
        <f>SUM(BF546:BF554)</f>
        <v>0</v>
      </c>
      <c r="BH555">
        <f>SUM(BH546:BH554)</f>
        <v>0</v>
      </c>
      <c r="BI555">
        <f>SUM(BI546:BI554)</f>
        <v>0</v>
      </c>
      <c r="BK555">
        <f>SUM(BK546:BK554)</f>
        <v>0</v>
      </c>
      <c r="BL555">
        <f>SUM(BL546:BL554)</f>
        <v>0</v>
      </c>
      <c r="BN555">
        <f>SUM(BN546:BN554)</f>
        <v>0</v>
      </c>
      <c r="BO555">
        <f>SUM(BO546:BO554)</f>
        <v>0</v>
      </c>
      <c r="BQ555">
        <f>SUM(BQ546:BQ554)</f>
        <v>0</v>
      </c>
      <c r="BR555">
        <f>SUM(BR546:BR554)</f>
        <v>0</v>
      </c>
      <c r="BT555">
        <f>SUM(BT546:BT554)</f>
        <v>0</v>
      </c>
      <c r="BU555">
        <f>SUM(BU546:BU554)</f>
        <v>0</v>
      </c>
      <c r="BW555">
        <f>SUM(BW546:BW554)</f>
        <v>0</v>
      </c>
      <c r="BX555">
        <f>SUM(BX546:BX554)</f>
        <v>0</v>
      </c>
      <c r="BZ555">
        <f>SUM(BZ546:BZ554)</f>
        <v>0</v>
      </c>
      <c r="CA555">
        <f>SUM(CA546:CA554)</f>
        <v>0</v>
      </c>
      <c r="CC555">
        <f>SUM(CC546:CC554)</f>
        <v>0</v>
      </c>
      <c r="CD555">
        <f>SUM(CD546:CD554)</f>
        <v>0</v>
      </c>
      <c r="CF555">
        <f>SUM(CF546:CF554)</f>
        <v>0</v>
      </c>
      <c r="CG555">
        <f>SUM(CG546:CG554)</f>
        <v>0</v>
      </c>
      <c r="CI555">
        <f>SUM(CI546:CI554)</f>
        <v>0</v>
      </c>
      <c r="CJ555">
        <f>SUM(CJ546:CJ554)</f>
        <v>0</v>
      </c>
      <c r="CL555">
        <f>SUM(CL546:CL554)</f>
        <v>0</v>
      </c>
    </row>
    <row r="556" spans="1:91" ht="15" customHeight="1">
      <c r="A556" s="176"/>
      <c r="B556" s="57"/>
      <c r="C556" s="1109"/>
      <c r="D556" s="954"/>
      <c r="E556" s="955"/>
      <c r="F556" s="956"/>
      <c r="G556" s="1103" t="s">
        <v>4832</v>
      </c>
      <c r="H556" s="1103"/>
      <c r="I556" s="1104" t="s">
        <v>4833</v>
      </c>
      <c r="J556" s="1105"/>
      <c r="K556" s="1105"/>
      <c r="L556" s="1105"/>
      <c r="M556" s="1105"/>
      <c r="N556" s="1105"/>
      <c r="O556" s="1105"/>
      <c r="P556" s="1105"/>
      <c r="Q556" s="1105"/>
      <c r="R556" s="1105"/>
      <c r="S556" s="1105"/>
      <c r="T556" s="1105"/>
      <c r="U556" s="1106"/>
      <c r="V556" s="100"/>
      <c r="W556" s="100"/>
      <c r="X556" s="100"/>
      <c r="Y556" s="100"/>
      <c r="Z556" s="100"/>
      <c r="AA556" s="100"/>
      <c r="AB556" s="100"/>
      <c r="AC556" s="100"/>
      <c r="AD556" s="100"/>
      <c r="AF556"/>
      <c r="AG556">
        <f t="shared" si="280"/>
        <v>0</v>
      </c>
      <c r="AH556">
        <f t="shared" si="270"/>
        <v>0</v>
      </c>
      <c r="AK556">
        <f t="shared" si="271"/>
        <v>0</v>
      </c>
      <c r="AL556">
        <f t="shared" si="272"/>
        <v>0</v>
      </c>
      <c r="AM556">
        <f t="shared" si="273"/>
        <v>0</v>
      </c>
      <c r="AN556">
        <f t="shared" si="274"/>
        <v>0</v>
      </c>
      <c r="AO556">
        <f t="shared" si="275"/>
        <v>0</v>
      </c>
      <c r="AP556">
        <f t="shared" si="276"/>
        <v>0</v>
      </c>
      <c r="AQ556">
        <f t="shared" si="277"/>
        <v>0</v>
      </c>
      <c r="AR556">
        <f t="shared" si="278"/>
        <v>0</v>
      </c>
      <c r="AS556">
        <f t="shared" si="279"/>
        <v>0</v>
      </c>
      <c r="CL556" s="405">
        <f>SUM(AV555,AY555,BB555,BE555,BH555,BK555,BN555,BQ555,BT555,BW555,BZ555,CC555,CF555,CI555,CL555)</f>
        <v>0</v>
      </c>
    </row>
    <row r="557" spans="1:91" ht="15" customHeight="1">
      <c r="A557" s="176"/>
      <c r="B557" s="57"/>
      <c r="C557" s="1109"/>
      <c r="D557" s="954"/>
      <c r="E557" s="955"/>
      <c r="F557" s="956"/>
      <c r="G557" s="1103" t="s">
        <v>4834</v>
      </c>
      <c r="H557" s="1103"/>
      <c r="I557" s="1104" t="s">
        <v>4835</v>
      </c>
      <c r="J557" s="1105"/>
      <c r="K557" s="1105"/>
      <c r="L557" s="1105"/>
      <c r="M557" s="1105"/>
      <c r="N557" s="1105"/>
      <c r="O557" s="1105"/>
      <c r="P557" s="1105"/>
      <c r="Q557" s="1105"/>
      <c r="R557" s="1105"/>
      <c r="S557" s="1105"/>
      <c r="T557" s="1105"/>
      <c r="U557" s="1106"/>
      <c r="V557" s="100"/>
      <c r="W557" s="100"/>
      <c r="X557" s="100"/>
      <c r="Y557" s="100"/>
      <c r="Z557" s="100"/>
      <c r="AA557" s="100"/>
      <c r="AB557" s="100"/>
      <c r="AC557" s="100"/>
      <c r="AD557" s="100"/>
      <c r="AF557">
        <f>IF(V557="NA",IF(AND(COUNTIF(V558:V562,"="&amp;$AF$545)=0,COUNTIF(V558:V562,"&lt;&gt;NA")&gt;0),1,0),IF(AND(COUNTIF(V558:V562,"="&amp;$AF$545)=0,COUNTIF(V558:V562,"NA")=COUNTIF(V558:V562,"&lt;&gt;"&amp;$AF$545)),1,0))</f>
        <v>0</v>
      </c>
      <c r="AG557">
        <f t="shared" si="280"/>
        <v>0</v>
      </c>
      <c r="AH557">
        <f t="shared" si="270"/>
        <v>0</v>
      </c>
      <c r="AK557">
        <f t="shared" si="271"/>
        <v>0</v>
      </c>
      <c r="AL557">
        <f t="shared" si="272"/>
        <v>0</v>
      </c>
      <c r="AM557">
        <f t="shared" si="273"/>
        <v>0</v>
      </c>
      <c r="AN557">
        <f t="shared" si="274"/>
        <v>0</v>
      </c>
      <c r="AO557">
        <f t="shared" si="275"/>
        <v>0</v>
      </c>
      <c r="AP557">
        <f t="shared" si="276"/>
        <v>0</v>
      </c>
      <c r="AQ557">
        <f t="shared" si="277"/>
        <v>0</v>
      </c>
      <c r="AR557">
        <f t="shared" si="278"/>
        <v>0</v>
      </c>
      <c r="AS557">
        <f t="shared" si="279"/>
        <v>0</v>
      </c>
      <c r="CL557" t="s">
        <v>4836</v>
      </c>
      <c r="CM557" s="506">
        <f>CL556-SUM(COUNTIF(V546,"NA"),COUNTIF(V557,"NA"),COUNTIF(V566,"NA"),COUNTIF(V585,"NA"),COUNTIF(V593,"NA"),COUNTIF(V603,"NA"),COUNTIF(V611,"NA"),COUNTIF(V621,"NA"),COUNTIF(V628,"NA"),COUNTIF(V640,"NA"),COUNTIF(V650,"NA"),COUNTIF(V660,"NA"),COUNTIF(V671,"NA"),COUNTIF(V680,"NA"),COUNTIF(V692,"NA"))</f>
        <v>0</v>
      </c>
    </row>
    <row r="558" spans="1:91" ht="15" customHeight="1">
      <c r="A558" s="176"/>
      <c r="B558" s="57"/>
      <c r="C558" s="1109"/>
      <c r="D558" s="954"/>
      <c r="E558" s="955"/>
      <c r="F558" s="956"/>
      <c r="G558" s="1110" t="s">
        <v>4837</v>
      </c>
      <c r="H558" s="1110"/>
      <c r="I558" s="177"/>
      <c r="J558" s="1115" t="s">
        <v>4838</v>
      </c>
      <c r="K558" s="1115"/>
      <c r="L558" s="1115"/>
      <c r="M558" s="1115"/>
      <c r="N558" s="1115"/>
      <c r="O558" s="1115"/>
      <c r="P558" s="1115"/>
      <c r="Q558" s="1115"/>
      <c r="R558" s="1115"/>
      <c r="S558" s="1115"/>
      <c r="T558" s="1115"/>
      <c r="U558" s="1116"/>
      <c r="V558" s="100"/>
      <c r="W558" s="100"/>
      <c r="X558" s="100"/>
      <c r="Y558" s="100"/>
      <c r="Z558" s="100"/>
      <c r="AA558" s="100"/>
      <c r="AB558" s="100"/>
      <c r="AC558" s="100"/>
      <c r="AD558" s="100"/>
      <c r="AF558"/>
      <c r="AG558">
        <f t="shared" si="280"/>
        <v>0</v>
      </c>
      <c r="AH558">
        <f t="shared" si="270"/>
        <v>0</v>
      </c>
      <c r="AK558">
        <f t="shared" si="271"/>
        <v>0</v>
      </c>
      <c r="AL558">
        <f t="shared" si="272"/>
        <v>0</v>
      </c>
      <c r="AM558">
        <f t="shared" si="273"/>
        <v>0</v>
      </c>
      <c r="AN558">
        <f t="shared" si="274"/>
        <v>0</v>
      </c>
      <c r="AO558">
        <f t="shared" si="275"/>
        <v>0</v>
      </c>
      <c r="AP558">
        <f t="shared" si="276"/>
        <v>0</v>
      </c>
      <c r="AQ558">
        <f t="shared" si="277"/>
        <v>0</v>
      </c>
      <c r="AR558">
        <f t="shared" si="278"/>
        <v>0</v>
      </c>
      <c r="AS558">
        <f t="shared" si="279"/>
        <v>0</v>
      </c>
    </row>
    <row r="559" spans="1:91" ht="36" customHeight="1">
      <c r="A559" s="176"/>
      <c r="B559" s="57"/>
      <c r="C559" s="1109"/>
      <c r="D559" s="954"/>
      <c r="E559" s="955"/>
      <c r="F559" s="956"/>
      <c r="G559" s="1110" t="s">
        <v>4839</v>
      </c>
      <c r="H559" s="1110"/>
      <c r="I559" s="178"/>
      <c r="J559" s="1111" t="s">
        <v>4840</v>
      </c>
      <c r="K559" s="1111"/>
      <c r="L559" s="1111"/>
      <c r="M559" s="1111"/>
      <c r="N559" s="1111"/>
      <c r="O559" s="1111"/>
      <c r="P559" s="1111"/>
      <c r="Q559" s="1111"/>
      <c r="R559" s="1111"/>
      <c r="S559" s="1111"/>
      <c r="T559" s="1111"/>
      <c r="U559" s="1112"/>
      <c r="V559" s="100"/>
      <c r="W559" s="100"/>
      <c r="X559" s="100"/>
      <c r="Y559" s="100"/>
      <c r="Z559" s="100"/>
      <c r="AA559" s="100"/>
      <c r="AB559" s="100"/>
      <c r="AC559" s="100"/>
      <c r="AD559" s="100"/>
      <c r="AF559"/>
      <c r="AG559">
        <f t="shared" si="280"/>
        <v>0</v>
      </c>
      <c r="AH559">
        <f t="shared" si="270"/>
        <v>0</v>
      </c>
      <c r="AK559">
        <f t="shared" si="271"/>
        <v>0</v>
      </c>
      <c r="AL559">
        <f t="shared" si="272"/>
        <v>0</v>
      </c>
      <c r="AM559">
        <f t="shared" si="273"/>
        <v>0</v>
      </c>
      <c r="AN559">
        <f t="shared" si="274"/>
        <v>0</v>
      </c>
      <c r="AO559">
        <f t="shared" si="275"/>
        <v>0</v>
      </c>
      <c r="AP559">
        <f t="shared" si="276"/>
        <v>0</v>
      </c>
      <c r="AQ559">
        <f t="shared" si="277"/>
        <v>0</v>
      </c>
      <c r="AR559">
        <f t="shared" si="278"/>
        <v>0</v>
      </c>
      <c r="AS559">
        <f t="shared" si="279"/>
        <v>0</v>
      </c>
    </row>
    <row r="560" spans="1:91" ht="15" customHeight="1">
      <c r="A560" s="176"/>
      <c r="B560" s="57"/>
      <c r="C560" s="1109"/>
      <c r="D560" s="954"/>
      <c r="E560" s="955"/>
      <c r="F560" s="956"/>
      <c r="G560" s="1110" t="s">
        <v>4841</v>
      </c>
      <c r="H560" s="1110"/>
      <c r="I560" s="178"/>
      <c r="J560" s="1111" t="s">
        <v>4842</v>
      </c>
      <c r="K560" s="1111"/>
      <c r="L560" s="1111"/>
      <c r="M560" s="1111"/>
      <c r="N560" s="1111"/>
      <c r="O560" s="1111"/>
      <c r="P560" s="1111"/>
      <c r="Q560" s="1111"/>
      <c r="R560" s="1111"/>
      <c r="S560" s="1111"/>
      <c r="T560" s="1111"/>
      <c r="U560" s="1112"/>
      <c r="V560" s="100"/>
      <c r="W560" s="100"/>
      <c r="X560" s="100"/>
      <c r="Y560" s="100"/>
      <c r="Z560" s="100"/>
      <c r="AA560" s="100"/>
      <c r="AB560" s="100"/>
      <c r="AC560" s="100"/>
      <c r="AD560" s="100"/>
      <c r="AF560"/>
      <c r="AG560">
        <f t="shared" si="280"/>
        <v>0</v>
      </c>
      <c r="AH560">
        <f t="shared" si="270"/>
        <v>0</v>
      </c>
      <c r="AK560">
        <f t="shared" si="271"/>
        <v>0</v>
      </c>
      <c r="AL560">
        <f t="shared" si="272"/>
        <v>0</v>
      </c>
      <c r="AM560">
        <f t="shared" si="273"/>
        <v>0</v>
      </c>
      <c r="AN560">
        <f t="shared" si="274"/>
        <v>0</v>
      </c>
      <c r="AO560">
        <f t="shared" si="275"/>
        <v>0</v>
      </c>
      <c r="AP560">
        <f t="shared" si="276"/>
        <v>0</v>
      </c>
      <c r="AQ560">
        <f t="shared" si="277"/>
        <v>0</v>
      </c>
      <c r="AR560">
        <f t="shared" si="278"/>
        <v>0</v>
      </c>
      <c r="AS560">
        <f t="shared" si="279"/>
        <v>0</v>
      </c>
    </row>
    <row r="561" spans="1:45" ht="15" customHeight="1">
      <c r="A561" s="176"/>
      <c r="B561" s="57"/>
      <c r="C561" s="1109"/>
      <c r="D561" s="954"/>
      <c r="E561" s="955"/>
      <c r="F561" s="956"/>
      <c r="G561" s="1110" t="s">
        <v>4843</v>
      </c>
      <c r="H561" s="1110"/>
      <c r="I561" s="178"/>
      <c r="J561" s="1111" t="s">
        <v>4844</v>
      </c>
      <c r="K561" s="1111"/>
      <c r="L561" s="1111"/>
      <c r="M561" s="1111"/>
      <c r="N561" s="1111"/>
      <c r="O561" s="1111"/>
      <c r="P561" s="1111"/>
      <c r="Q561" s="1111"/>
      <c r="R561" s="1111"/>
      <c r="S561" s="1111"/>
      <c r="T561" s="1111"/>
      <c r="U561" s="1112"/>
      <c r="V561" s="100"/>
      <c r="W561" s="100"/>
      <c r="X561" s="100"/>
      <c r="Y561" s="100"/>
      <c r="Z561" s="100"/>
      <c r="AA561" s="100"/>
      <c r="AB561" s="100"/>
      <c r="AC561" s="100"/>
      <c r="AD561" s="100"/>
      <c r="AF561"/>
      <c r="AG561">
        <f t="shared" si="280"/>
        <v>0</v>
      </c>
      <c r="AH561">
        <f t="shared" si="270"/>
        <v>0</v>
      </c>
      <c r="AK561">
        <f t="shared" si="271"/>
        <v>0</v>
      </c>
      <c r="AL561">
        <f t="shared" si="272"/>
        <v>0</v>
      </c>
      <c r="AM561">
        <f t="shared" si="273"/>
        <v>0</v>
      </c>
      <c r="AN561">
        <f t="shared" si="274"/>
        <v>0</v>
      </c>
      <c r="AO561">
        <f t="shared" si="275"/>
        <v>0</v>
      </c>
      <c r="AP561">
        <f t="shared" si="276"/>
        <v>0</v>
      </c>
      <c r="AQ561">
        <f t="shared" si="277"/>
        <v>0</v>
      </c>
      <c r="AR561">
        <f t="shared" si="278"/>
        <v>0</v>
      </c>
      <c r="AS561">
        <f t="shared" si="279"/>
        <v>0</v>
      </c>
    </row>
    <row r="562" spans="1:45" ht="15" customHeight="1">
      <c r="A562" s="176"/>
      <c r="B562" s="57"/>
      <c r="C562" s="1109"/>
      <c r="D562" s="954"/>
      <c r="E562" s="955"/>
      <c r="F562" s="956"/>
      <c r="G562" s="1110" t="s">
        <v>4845</v>
      </c>
      <c r="H562" s="1110"/>
      <c r="I562" s="179"/>
      <c r="J562" s="1113" t="s">
        <v>201</v>
      </c>
      <c r="K562" s="1113"/>
      <c r="L562" s="1113"/>
      <c r="M562" s="1113"/>
      <c r="N562" s="1113"/>
      <c r="O562" s="1113"/>
      <c r="P562" s="1113"/>
      <c r="Q562" s="1113"/>
      <c r="R562" s="1113"/>
      <c r="S562" s="1113"/>
      <c r="T562" s="1113"/>
      <c r="U562" s="1114"/>
      <c r="V562" s="100"/>
      <c r="W562" s="100"/>
      <c r="X562" s="100"/>
      <c r="Y562" s="100"/>
      <c r="Z562" s="100"/>
      <c r="AA562" s="100"/>
      <c r="AB562" s="100"/>
      <c r="AC562" s="100"/>
      <c r="AD562" s="100"/>
      <c r="AF562"/>
      <c r="AG562">
        <f t="shared" si="280"/>
        <v>0</v>
      </c>
      <c r="AH562">
        <f t="shared" si="270"/>
        <v>0</v>
      </c>
      <c r="AK562">
        <f t="shared" si="271"/>
        <v>0</v>
      </c>
      <c r="AL562">
        <f t="shared" si="272"/>
        <v>0</v>
      </c>
      <c r="AM562">
        <f t="shared" si="273"/>
        <v>0</v>
      </c>
      <c r="AN562">
        <f t="shared" si="274"/>
        <v>0</v>
      </c>
      <c r="AO562">
        <f t="shared" si="275"/>
        <v>0</v>
      </c>
      <c r="AP562">
        <f t="shared" si="276"/>
        <v>0</v>
      </c>
      <c r="AQ562">
        <f t="shared" si="277"/>
        <v>0</v>
      </c>
      <c r="AR562">
        <f t="shared" si="278"/>
        <v>0</v>
      </c>
      <c r="AS562">
        <f t="shared" si="279"/>
        <v>0</v>
      </c>
    </row>
    <row r="563" spans="1:45" ht="15" customHeight="1">
      <c r="A563" s="176"/>
      <c r="B563" s="57"/>
      <c r="C563" s="1109"/>
      <c r="D563" s="954"/>
      <c r="E563" s="955"/>
      <c r="F563" s="956"/>
      <c r="G563" s="1103" t="s">
        <v>4846</v>
      </c>
      <c r="H563" s="1103"/>
      <c r="I563" s="1104" t="s">
        <v>4847</v>
      </c>
      <c r="J563" s="1105"/>
      <c r="K563" s="1105"/>
      <c r="L563" s="1105"/>
      <c r="M563" s="1105"/>
      <c r="N563" s="1105"/>
      <c r="O563" s="1105"/>
      <c r="P563" s="1105"/>
      <c r="Q563" s="1105"/>
      <c r="R563" s="1105"/>
      <c r="S563" s="1105"/>
      <c r="T563" s="1105"/>
      <c r="U563" s="1106"/>
      <c r="V563" s="100"/>
      <c r="W563" s="100"/>
      <c r="X563" s="100"/>
      <c r="Y563" s="100"/>
      <c r="Z563" s="100"/>
      <c r="AA563" s="100"/>
      <c r="AB563" s="100"/>
      <c r="AC563" s="100"/>
      <c r="AD563" s="100"/>
      <c r="AF563"/>
      <c r="AG563">
        <f t="shared" si="280"/>
        <v>0</v>
      </c>
      <c r="AH563">
        <f t="shared" si="270"/>
        <v>0</v>
      </c>
      <c r="AK563">
        <f t="shared" si="271"/>
        <v>0</v>
      </c>
      <c r="AL563">
        <f t="shared" si="272"/>
        <v>0</v>
      </c>
      <c r="AM563">
        <f t="shared" si="273"/>
        <v>0</v>
      </c>
      <c r="AN563">
        <f t="shared" si="274"/>
        <v>0</v>
      </c>
      <c r="AO563">
        <f t="shared" si="275"/>
        <v>0</v>
      </c>
      <c r="AP563">
        <f t="shared" si="276"/>
        <v>0</v>
      </c>
      <c r="AQ563">
        <f t="shared" si="277"/>
        <v>0</v>
      </c>
      <c r="AR563">
        <f t="shared" si="278"/>
        <v>0</v>
      </c>
      <c r="AS563">
        <f t="shared" si="279"/>
        <v>0</v>
      </c>
    </row>
    <row r="564" spans="1:45" ht="15" customHeight="1">
      <c r="A564" s="176"/>
      <c r="B564" s="57"/>
      <c r="C564" s="1109"/>
      <c r="D564" s="954"/>
      <c r="E564" s="955"/>
      <c r="F564" s="956"/>
      <c r="G564" s="1103" t="s">
        <v>4848</v>
      </c>
      <c r="H564" s="1103"/>
      <c r="I564" s="1104" t="s">
        <v>4849</v>
      </c>
      <c r="J564" s="1105"/>
      <c r="K564" s="1105"/>
      <c r="L564" s="1105"/>
      <c r="M564" s="1105"/>
      <c r="N564" s="1105"/>
      <c r="O564" s="1105"/>
      <c r="P564" s="1105"/>
      <c r="Q564" s="1105"/>
      <c r="R564" s="1105"/>
      <c r="S564" s="1105"/>
      <c r="T564" s="1105"/>
      <c r="U564" s="1106"/>
      <c r="V564" s="100"/>
      <c r="W564" s="100"/>
      <c r="X564" s="100"/>
      <c r="Y564" s="100"/>
      <c r="Z564" s="100"/>
      <c r="AA564" s="100"/>
      <c r="AB564" s="100"/>
      <c r="AC564" s="100"/>
      <c r="AD564" s="100"/>
      <c r="AF564"/>
      <c r="AG564">
        <f t="shared" si="280"/>
        <v>0</v>
      </c>
      <c r="AH564">
        <f t="shared" si="270"/>
        <v>0</v>
      </c>
      <c r="AK564">
        <f t="shared" si="271"/>
        <v>0</v>
      </c>
      <c r="AL564">
        <f t="shared" si="272"/>
        <v>0</v>
      </c>
      <c r="AM564">
        <f t="shared" si="273"/>
        <v>0</v>
      </c>
      <c r="AN564">
        <f t="shared" si="274"/>
        <v>0</v>
      </c>
      <c r="AO564">
        <f t="shared" si="275"/>
        <v>0</v>
      </c>
      <c r="AP564">
        <f t="shared" si="276"/>
        <v>0</v>
      </c>
      <c r="AQ564">
        <f t="shared" si="277"/>
        <v>0</v>
      </c>
      <c r="AR564">
        <f t="shared" si="278"/>
        <v>0</v>
      </c>
      <c r="AS564">
        <f t="shared" si="279"/>
        <v>0</v>
      </c>
    </row>
    <row r="565" spans="1:45" ht="15" customHeight="1">
      <c r="A565" s="176"/>
      <c r="B565" s="57"/>
      <c r="C565" s="1109"/>
      <c r="D565" s="954"/>
      <c r="E565" s="955"/>
      <c r="F565" s="956"/>
      <c r="G565" s="1103" t="s">
        <v>4850</v>
      </c>
      <c r="H565" s="1103"/>
      <c r="I565" s="1104" t="s">
        <v>4851</v>
      </c>
      <c r="J565" s="1105"/>
      <c r="K565" s="1105"/>
      <c r="L565" s="1105"/>
      <c r="M565" s="1105"/>
      <c r="N565" s="1105"/>
      <c r="O565" s="1105"/>
      <c r="P565" s="1105"/>
      <c r="Q565" s="1105"/>
      <c r="R565" s="1105"/>
      <c r="S565" s="1105"/>
      <c r="T565" s="1105"/>
      <c r="U565" s="1106"/>
      <c r="V565" s="100"/>
      <c r="W565" s="100"/>
      <c r="X565" s="100"/>
      <c r="Y565" s="100"/>
      <c r="Z565" s="100"/>
      <c r="AA565" s="100"/>
      <c r="AB565" s="100"/>
      <c r="AC565" s="100"/>
      <c r="AD565" s="100"/>
      <c r="AF565"/>
      <c r="AG565">
        <f t="shared" si="280"/>
        <v>0</v>
      </c>
      <c r="AH565">
        <f t="shared" si="270"/>
        <v>0</v>
      </c>
      <c r="AJ565">
        <f>IF(OR(V565="NS",V565="NA",$V$715=0,$V$715="NS",$V$715="NA"),0,IF((V565*(IFERROR(100/SUM(V554:V565),0)))&gt;25,1,0))</f>
        <v>0</v>
      </c>
      <c r="AK565">
        <f t="shared" si="271"/>
        <v>0</v>
      </c>
      <c r="AL565">
        <f t="shared" si="272"/>
        <v>0</v>
      </c>
      <c r="AM565">
        <f t="shared" si="273"/>
        <v>0</v>
      </c>
      <c r="AN565">
        <f t="shared" si="274"/>
        <v>0</v>
      </c>
      <c r="AO565">
        <f t="shared" si="275"/>
        <v>0</v>
      </c>
      <c r="AP565">
        <f t="shared" si="276"/>
        <v>0</v>
      </c>
      <c r="AQ565">
        <f t="shared" si="277"/>
        <v>0</v>
      </c>
      <c r="AR565">
        <f t="shared" si="278"/>
        <v>0</v>
      </c>
      <c r="AS565">
        <f t="shared" si="279"/>
        <v>0</v>
      </c>
    </row>
    <row r="566" spans="1:45" ht="15" customHeight="1">
      <c r="A566" s="176"/>
      <c r="B566" s="57"/>
      <c r="C566" s="1108" t="s">
        <v>4852</v>
      </c>
      <c r="D566" s="847" t="s">
        <v>4853</v>
      </c>
      <c r="E566" s="953"/>
      <c r="F566" s="848"/>
      <c r="G566" s="1103" t="s">
        <v>4854</v>
      </c>
      <c r="H566" s="1103"/>
      <c r="I566" s="1104" t="s">
        <v>4855</v>
      </c>
      <c r="J566" s="1105"/>
      <c r="K566" s="1105"/>
      <c r="L566" s="1105"/>
      <c r="M566" s="1105"/>
      <c r="N566" s="1105"/>
      <c r="O566" s="1105"/>
      <c r="P566" s="1105"/>
      <c r="Q566" s="1105"/>
      <c r="R566" s="1105"/>
      <c r="S566" s="1105"/>
      <c r="T566" s="1105"/>
      <c r="U566" s="1106"/>
      <c r="V566" s="100"/>
      <c r="W566" s="100"/>
      <c r="X566" s="100"/>
      <c r="Y566" s="100"/>
      <c r="Z566" s="100"/>
      <c r="AA566" s="100"/>
      <c r="AB566" s="100"/>
      <c r="AC566" s="100"/>
      <c r="AD566" s="100"/>
      <c r="AF566">
        <f>IF(V566="NA",IF(AND(COUNTIF(V567:V584,"="&amp;$AF$545)=0,COUNTIF(V567:V584,"&lt;&gt;NA")&gt;0),1,0),IF(AND(COUNTIF(V567:V584,"="&amp;$AF$545)=0,COUNTIF(V567:V584,"NA")=COUNTIF(V567:V584,"&lt;&gt;"&amp;$AF$545)),1,0))</f>
        <v>0</v>
      </c>
      <c r="AG566">
        <f t="shared" si="280"/>
        <v>0</v>
      </c>
      <c r="AH566">
        <f t="shared" si="270"/>
        <v>0</v>
      </c>
      <c r="AK566">
        <f t="shared" si="271"/>
        <v>0</v>
      </c>
      <c r="AL566">
        <f t="shared" si="272"/>
        <v>0</v>
      </c>
      <c r="AM566">
        <f t="shared" si="273"/>
        <v>0</v>
      </c>
      <c r="AN566">
        <f t="shared" si="274"/>
        <v>0</v>
      </c>
      <c r="AO566">
        <f t="shared" si="275"/>
        <v>0</v>
      </c>
      <c r="AP566">
        <f t="shared" si="276"/>
        <v>0</v>
      </c>
      <c r="AQ566">
        <f t="shared" si="277"/>
        <v>0</v>
      </c>
      <c r="AR566">
        <f t="shared" si="278"/>
        <v>0</v>
      </c>
      <c r="AS566">
        <f t="shared" si="279"/>
        <v>0</v>
      </c>
    </row>
    <row r="567" spans="1:45" ht="15" customHeight="1">
      <c r="A567" s="176"/>
      <c r="B567" s="57"/>
      <c r="C567" s="1109"/>
      <c r="D567" s="954"/>
      <c r="E567" s="955"/>
      <c r="F567" s="956"/>
      <c r="G567" s="1110" t="s">
        <v>4856</v>
      </c>
      <c r="H567" s="1110"/>
      <c r="I567" s="177"/>
      <c r="J567" s="1115" t="s">
        <v>4857</v>
      </c>
      <c r="K567" s="1115"/>
      <c r="L567" s="1115"/>
      <c r="M567" s="1115"/>
      <c r="N567" s="1115"/>
      <c r="O567" s="1115"/>
      <c r="P567" s="1115"/>
      <c r="Q567" s="1115"/>
      <c r="R567" s="1115"/>
      <c r="S567" s="1115"/>
      <c r="T567" s="1115"/>
      <c r="U567" s="1116"/>
      <c r="V567" s="100"/>
      <c r="W567" s="100"/>
      <c r="X567" s="100"/>
      <c r="Y567" s="100"/>
      <c r="Z567" s="100"/>
      <c r="AA567" s="100"/>
      <c r="AB567" s="100"/>
      <c r="AC567" s="100"/>
      <c r="AD567" s="100"/>
      <c r="AF567"/>
      <c r="AG567">
        <f t="shared" si="280"/>
        <v>0</v>
      </c>
      <c r="AH567">
        <f t="shared" si="270"/>
        <v>0</v>
      </c>
      <c r="AK567">
        <f t="shared" si="271"/>
        <v>0</v>
      </c>
      <c r="AL567">
        <f t="shared" si="272"/>
        <v>0</v>
      </c>
      <c r="AM567">
        <f t="shared" si="273"/>
        <v>0</v>
      </c>
      <c r="AN567">
        <f t="shared" si="274"/>
        <v>0</v>
      </c>
      <c r="AO567">
        <f t="shared" si="275"/>
        <v>0</v>
      </c>
      <c r="AP567">
        <f t="shared" si="276"/>
        <v>0</v>
      </c>
      <c r="AQ567">
        <f t="shared" si="277"/>
        <v>0</v>
      </c>
      <c r="AR567">
        <f t="shared" si="278"/>
        <v>0</v>
      </c>
      <c r="AS567">
        <f t="shared" si="279"/>
        <v>0</v>
      </c>
    </row>
    <row r="568" spans="1:45" ht="15" customHeight="1">
      <c r="A568" s="176"/>
      <c r="B568" s="57"/>
      <c r="C568" s="1109"/>
      <c r="D568" s="954"/>
      <c r="E568" s="955"/>
      <c r="F568" s="956"/>
      <c r="G568" s="1110" t="s">
        <v>4858</v>
      </c>
      <c r="H568" s="1110"/>
      <c r="I568" s="178"/>
      <c r="J568" s="1111" t="s">
        <v>4859</v>
      </c>
      <c r="K568" s="1111"/>
      <c r="L568" s="1111"/>
      <c r="M568" s="1111"/>
      <c r="N568" s="1111"/>
      <c r="O568" s="1111"/>
      <c r="P568" s="1111"/>
      <c r="Q568" s="1111"/>
      <c r="R568" s="1111"/>
      <c r="S568" s="1111"/>
      <c r="T568" s="1111"/>
      <c r="U568" s="1112"/>
      <c r="V568" s="100"/>
      <c r="W568" s="100"/>
      <c r="X568" s="100"/>
      <c r="Y568" s="100"/>
      <c r="Z568" s="100"/>
      <c r="AA568" s="100"/>
      <c r="AB568" s="100"/>
      <c r="AC568" s="100"/>
      <c r="AD568" s="100"/>
      <c r="AF568"/>
      <c r="AG568">
        <f t="shared" si="280"/>
        <v>0</v>
      </c>
      <c r="AH568">
        <f t="shared" si="270"/>
        <v>0</v>
      </c>
      <c r="AK568">
        <f t="shared" ref="AK568:AK599" si="281">COUNTIF(W568:X568,"NS")</f>
        <v>0</v>
      </c>
      <c r="AL568">
        <f t="shared" ref="AL568:AL599" si="282">SUM(W568:X568)</f>
        <v>0</v>
      </c>
      <c r="AM568">
        <f t="shared" ref="AM568:AM599" si="283">IF(COUNTIF(V568:X568,"NA")=3,0,IF(COUNTA(V568:X568)=0,0,IF(OR(AND(V568=0,AK568&gt;0),AND(V568="ns",AL568&gt;0),AND(V568="ns",AK568=0,AL568=0)),1,IF(OR(AND(V568&gt;0,AK568=2),AND(V568="ns",AK568=2),AND(V568="ns",AL568=0,AK568&gt;0),V568=AL568),0,1))))</f>
        <v>0</v>
      </c>
      <c r="AN568">
        <f t="shared" ref="AN568:AN599" si="284">COUNTIF(Z568:AA568,"NS")</f>
        <v>0</v>
      </c>
      <c r="AO568">
        <f t="shared" ref="AO568:AO599" si="285">SUM(Z568:AA568)</f>
        <v>0</v>
      </c>
      <c r="AP568">
        <f t="shared" ref="AP568:AP599" si="286">IF(COUNTIF(Y568:AA568,"NA")=3,0,IF(COUNTA(Y568:AA568)=0,0,IF(OR(AND(Y568=0,AN568&gt;0),AND(Y568="ns",AO568&gt;0),AND(Y568="ns",AN568=0,AO568=0)),1,IF(OR(AND(Y568&gt;0,AN568=2),AND(Y568="ns",AN568=2),AND(Y568="ns",AO568=0,AN568&gt;0),Y568=AO568),0,1))))</f>
        <v>0</v>
      </c>
      <c r="AQ568">
        <f t="shared" ref="AQ568:AQ599" si="287">COUNTIF(AC568:AD568,"NS")</f>
        <v>0</v>
      </c>
      <c r="AR568">
        <f t="shared" ref="AR568:AR599" si="288">SUM(AC568:AD568)</f>
        <v>0</v>
      </c>
      <c r="AS568">
        <f t="shared" ref="AS568:AS599" si="289">IF(COUNTIF(AB568:AD568,"NA")=3,0,IF(COUNTA(AB568:AD568)=0,0,IF(OR(AND(AB568=0,AQ568&gt;0),AND(AB568="ns",AR568&gt;0),AND(AB568="ns",AQ568=0,AR568=0)),1,IF(OR(AND(AB568&gt;0,AQ568=2),AND(AB568="ns",AQ568=2),AND(AB568="ns",AR568=0,AQ568&gt;0),AB568=AR568),0,1))))</f>
        <v>0</v>
      </c>
    </row>
    <row r="569" spans="1:45" ht="15" customHeight="1">
      <c r="A569" s="176"/>
      <c r="B569" s="57"/>
      <c r="C569" s="1109"/>
      <c r="D569" s="954"/>
      <c r="E569" s="955"/>
      <c r="F569" s="956"/>
      <c r="G569" s="1110" t="s">
        <v>4860</v>
      </c>
      <c r="H569" s="1110"/>
      <c r="I569" s="178"/>
      <c r="J569" s="1111" t="s">
        <v>4861</v>
      </c>
      <c r="K569" s="1111"/>
      <c r="L569" s="1111"/>
      <c r="M569" s="1111"/>
      <c r="N569" s="1111"/>
      <c r="O569" s="1111"/>
      <c r="P569" s="1111"/>
      <c r="Q569" s="1111"/>
      <c r="R569" s="1111"/>
      <c r="S569" s="1111"/>
      <c r="T569" s="1111"/>
      <c r="U569" s="1112"/>
      <c r="V569" s="100"/>
      <c r="W569" s="100"/>
      <c r="X569" s="100"/>
      <c r="Y569" s="100"/>
      <c r="Z569" s="100"/>
      <c r="AA569" s="100"/>
      <c r="AB569" s="100"/>
      <c r="AC569" s="100"/>
      <c r="AD569" s="100"/>
      <c r="AF569"/>
      <c r="AG569">
        <f t="shared" si="280"/>
        <v>0</v>
      </c>
      <c r="AH569">
        <f t="shared" si="270"/>
        <v>0</v>
      </c>
      <c r="AK569">
        <f t="shared" si="281"/>
        <v>0</v>
      </c>
      <c r="AL569">
        <f t="shared" si="282"/>
        <v>0</v>
      </c>
      <c r="AM569">
        <f t="shared" si="283"/>
        <v>0</v>
      </c>
      <c r="AN569">
        <f t="shared" si="284"/>
        <v>0</v>
      </c>
      <c r="AO569">
        <f t="shared" si="285"/>
        <v>0</v>
      </c>
      <c r="AP569">
        <f t="shared" si="286"/>
        <v>0</v>
      </c>
      <c r="AQ569">
        <f t="shared" si="287"/>
        <v>0</v>
      </c>
      <c r="AR569">
        <f t="shared" si="288"/>
        <v>0</v>
      </c>
      <c r="AS569">
        <f t="shared" si="289"/>
        <v>0</v>
      </c>
    </row>
    <row r="570" spans="1:45" ht="15" customHeight="1">
      <c r="A570" s="176"/>
      <c r="B570" s="57"/>
      <c r="C570" s="1109"/>
      <c r="D570" s="954"/>
      <c r="E570" s="955"/>
      <c r="F570" s="956"/>
      <c r="G570" s="1110" t="s">
        <v>4862</v>
      </c>
      <c r="H570" s="1110"/>
      <c r="I570" s="178"/>
      <c r="J570" s="1111" t="s">
        <v>4863</v>
      </c>
      <c r="K570" s="1111"/>
      <c r="L570" s="1111"/>
      <c r="M570" s="1111"/>
      <c r="N570" s="1111"/>
      <c r="O570" s="1111"/>
      <c r="P570" s="1111"/>
      <c r="Q570" s="1111"/>
      <c r="R570" s="1111"/>
      <c r="S570" s="1111"/>
      <c r="T570" s="1111"/>
      <c r="U570" s="1112"/>
      <c r="V570" s="100"/>
      <c r="W570" s="100"/>
      <c r="X570" s="100"/>
      <c r="Y570" s="100"/>
      <c r="Z570" s="100"/>
      <c r="AA570" s="100"/>
      <c r="AB570" s="100"/>
      <c r="AC570" s="100"/>
      <c r="AD570" s="100"/>
      <c r="AF570"/>
      <c r="AG570">
        <f t="shared" si="280"/>
        <v>0</v>
      </c>
      <c r="AH570">
        <f t="shared" si="270"/>
        <v>0</v>
      </c>
      <c r="AK570">
        <f t="shared" si="281"/>
        <v>0</v>
      </c>
      <c r="AL570">
        <f t="shared" si="282"/>
        <v>0</v>
      </c>
      <c r="AM570">
        <f t="shared" si="283"/>
        <v>0</v>
      </c>
      <c r="AN570">
        <f t="shared" si="284"/>
        <v>0</v>
      </c>
      <c r="AO570">
        <f t="shared" si="285"/>
        <v>0</v>
      </c>
      <c r="AP570">
        <f t="shared" si="286"/>
        <v>0</v>
      </c>
      <c r="AQ570">
        <f t="shared" si="287"/>
        <v>0</v>
      </c>
      <c r="AR570">
        <f t="shared" si="288"/>
        <v>0</v>
      </c>
      <c r="AS570">
        <f t="shared" si="289"/>
        <v>0</v>
      </c>
    </row>
    <row r="571" spans="1:45" ht="15" customHeight="1">
      <c r="A571" s="176"/>
      <c r="B571" s="57"/>
      <c r="C571" s="1109"/>
      <c r="D571" s="954"/>
      <c r="E571" s="955"/>
      <c r="F571" s="956"/>
      <c r="G571" s="1110" t="s">
        <v>4864</v>
      </c>
      <c r="H571" s="1110"/>
      <c r="I571" s="178"/>
      <c r="J571" s="1111" t="s">
        <v>4865</v>
      </c>
      <c r="K571" s="1111"/>
      <c r="L571" s="1111"/>
      <c r="M571" s="1111"/>
      <c r="N571" s="1111"/>
      <c r="O571" s="1111"/>
      <c r="P571" s="1111"/>
      <c r="Q571" s="1111"/>
      <c r="R571" s="1111"/>
      <c r="S571" s="1111"/>
      <c r="T571" s="1111"/>
      <c r="U571" s="1112"/>
      <c r="V571" s="100"/>
      <c r="W571" s="100"/>
      <c r="X571" s="100"/>
      <c r="Y571" s="100"/>
      <c r="Z571" s="100"/>
      <c r="AA571" s="100"/>
      <c r="AB571" s="100"/>
      <c r="AC571" s="100"/>
      <c r="AD571" s="100"/>
      <c r="AF571"/>
      <c r="AG571">
        <f t="shared" si="280"/>
        <v>0</v>
      </c>
      <c r="AH571">
        <f t="shared" si="270"/>
        <v>0</v>
      </c>
      <c r="AK571">
        <f t="shared" si="281"/>
        <v>0</v>
      </c>
      <c r="AL571">
        <f t="shared" si="282"/>
        <v>0</v>
      </c>
      <c r="AM571">
        <f t="shared" si="283"/>
        <v>0</v>
      </c>
      <c r="AN571">
        <f t="shared" si="284"/>
        <v>0</v>
      </c>
      <c r="AO571">
        <f t="shared" si="285"/>
        <v>0</v>
      </c>
      <c r="AP571">
        <f t="shared" si="286"/>
        <v>0</v>
      </c>
      <c r="AQ571">
        <f t="shared" si="287"/>
        <v>0</v>
      </c>
      <c r="AR571">
        <f t="shared" si="288"/>
        <v>0</v>
      </c>
      <c r="AS571">
        <f t="shared" si="289"/>
        <v>0</v>
      </c>
    </row>
    <row r="572" spans="1:45" ht="15" customHeight="1">
      <c r="A572" s="176"/>
      <c r="B572" s="57"/>
      <c r="C572" s="1109"/>
      <c r="D572" s="954"/>
      <c r="E572" s="955"/>
      <c r="F572" s="956"/>
      <c r="G572" s="1110" t="s">
        <v>4866</v>
      </c>
      <c r="H572" s="1110"/>
      <c r="I572" s="178"/>
      <c r="J572" s="1111" t="s">
        <v>4867</v>
      </c>
      <c r="K572" s="1111"/>
      <c r="L572" s="1111"/>
      <c r="M572" s="1111"/>
      <c r="N572" s="1111"/>
      <c r="O572" s="1111"/>
      <c r="P572" s="1111"/>
      <c r="Q572" s="1111"/>
      <c r="R572" s="1111"/>
      <c r="S572" s="1111"/>
      <c r="T572" s="1111"/>
      <c r="U572" s="1112"/>
      <c r="V572" s="100"/>
      <c r="W572" s="100"/>
      <c r="X572" s="100"/>
      <c r="Y572" s="100"/>
      <c r="Z572" s="100"/>
      <c r="AA572" s="100"/>
      <c r="AB572" s="100"/>
      <c r="AC572" s="100"/>
      <c r="AD572" s="100"/>
      <c r="AF572"/>
      <c r="AG572">
        <f t="shared" si="280"/>
        <v>0</v>
      </c>
      <c r="AH572">
        <f t="shared" si="270"/>
        <v>0</v>
      </c>
      <c r="AK572">
        <f t="shared" si="281"/>
        <v>0</v>
      </c>
      <c r="AL572">
        <f t="shared" si="282"/>
        <v>0</v>
      </c>
      <c r="AM572">
        <f t="shared" si="283"/>
        <v>0</v>
      </c>
      <c r="AN572">
        <f t="shared" si="284"/>
        <v>0</v>
      </c>
      <c r="AO572">
        <f t="shared" si="285"/>
        <v>0</v>
      </c>
      <c r="AP572">
        <f t="shared" si="286"/>
        <v>0</v>
      </c>
      <c r="AQ572">
        <f t="shared" si="287"/>
        <v>0</v>
      </c>
      <c r="AR572">
        <f t="shared" si="288"/>
        <v>0</v>
      </c>
      <c r="AS572">
        <f t="shared" si="289"/>
        <v>0</v>
      </c>
    </row>
    <row r="573" spans="1:45" ht="15" customHeight="1">
      <c r="A573" s="176"/>
      <c r="B573" s="57"/>
      <c r="C573" s="1109"/>
      <c r="D573" s="954"/>
      <c r="E573" s="955"/>
      <c r="F573" s="956"/>
      <c r="G573" s="1110" t="s">
        <v>4868</v>
      </c>
      <c r="H573" s="1110"/>
      <c r="I573" s="178"/>
      <c r="J573" s="1111" t="s">
        <v>4869</v>
      </c>
      <c r="K573" s="1111"/>
      <c r="L573" s="1111"/>
      <c r="M573" s="1111"/>
      <c r="N573" s="1111"/>
      <c r="O573" s="1111"/>
      <c r="P573" s="1111"/>
      <c r="Q573" s="1111"/>
      <c r="R573" s="1111"/>
      <c r="S573" s="1111"/>
      <c r="T573" s="1111"/>
      <c r="U573" s="1112"/>
      <c r="V573" s="100"/>
      <c r="W573" s="100"/>
      <c r="X573" s="100"/>
      <c r="Y573" s="100"/>
      <c r="Z573" s="100"/>
      <c r="AA573" s="100"/>
      <c r="AB573" s="100"/>
      <c r="AC573" s="100"/>
      <c r="AD573" s="100"/>
      <c r="AF573"/>
      <c r="AG573">
        <f t="shared" si="280"/>
        <v>0</v>
      </c>
      <c r="AH573">
        <f t="shared" si="270"/>
        <v>0</v>
      </c>
      <c r="AK573">
        <f t="shared" si="281"/>
        <v>0</v>
      </c>
      <c r="AL573">
        <f t="shared" si="282"/>
        <v>0</v>
      </c>
      <c r="AM573">
        <f t="shared" si="283"/>
        <v>0</v>
      </c>
      <c r="AN573">
        <f t="shared" si="284"/>
        <v>0</v>
      </c>
      <c r="AO573">
        <f t="shared" si="285"/>
        <v>0</v>
      </c>
      <c r="AP573">
        <f t="shared" si="286"/>
        <v>0</v>
      </c>
      <c r="AQ573">
        <f t="shared" si="287"/>
        <v>0</v>
      </c>
      <c r="AR573">
        <f t="shared" si="288"/>
        <v>0</v>
      </c>
      <c r="AS573">
        <f t="shared" si="289"/>
        <v>0</v>
      </c>
    </row>
    <row r="574" spans="1:45" ht="15" customHeight="1">
      <c r="A574" s="176"/>
      <c r="B574" s="57"/>
      <c r="C574" s="1109"/>
      <c r="D574" s="954"/>
      <c r="E574" s="955"/>
      <c r="F574" s="956"/>
      <c r="G574" s="1110" t="s">
        <v>4870</v>
      </c>
      <c r="H574" s="1110"/>
      <c r="I574" s="178"/>
      <c r="J574" s="1111" t="s">
        <v>4871</v>
      </c>
      <c r="K574" s="1111"/>
      <c r="L574" s="1111"/>
      <c r="M574" s="1111"/>
      <c r="N574" s="1111"/>
      <c r="O574" s="1111"/>
      <c r="P574" s="1111"/>
      <c r="Q574" s="1111"/>
      <c r="R574" s="1111"/>
      <c r="S574" s="1111"/>
      <c r="T574" s="1111"/>
      <c r="U574" s="1112"/>
      <c r="V574" s="100"/>
      <c r="W574" s="100"/>
      <c r="X574" s="100"/>
      <c r="Y574" s="100"/>
      <c r="Z574" s="100"/>
      <c r="AA574" s="100"/>
      <c r="AB574" s="100"/>
      <c r="AC574" s="100"/>
      <c r="AD574" s="100"/>
      <c r="AF574"/>
      <c r="AG574">
        <f t="shared" si="280"/>
        <v>0</v>
      </c>
      <c r="AH574">
        <f t="shared" si="270"/>
        <v>0</v>
      </c>
      <c r="AK574">
        <f t="shared" si="281"/>
        <v>0</v>
      </c>
      <c r="AL574">
        <f t="shared" si="282"/>
        <v>0</v>
      </c>
      <c r="AM574">
        <f t="shared" si="283"/>
        <v>0</v>
      </c>
      <c r="AN574">
        <f t="shared" si="284"/>
        <v>0</v>
      </c>
      <c r="AO574">
        <f t="shared" si="285"/>
        <v>0</v>
      </c>
      <c r="AP574">
        <f t="shared" si="286"/>
        <v>0</v>
      </c>
      <c r="AQ574">
        <f t="shared" si="287"/>
        <v>0</v>
      </c>
      <c r="AR574">
        <f t="shared" si="288"/>
        <v>0</v>
      </c>
      <c r="AS574">
        <f t="shared" si="289"/>
        <v>0</v>
      </c>
    </row>
    <row r="575" spans="1:45" ht="15" customHeight="1">
      <c r="A575" s="176"/>
      <c r="B575" s="57"/>
      <c r="C575" s="1109"/>
      <c r="D575" s="954"/>
      <c r="E575" s="955"/>
      <c r="F575" s="956"/>
      <c r="G575" s="1110" t="s">
        <v>4872</v>
      </c>
      <c r="H575" s="1110"/>
      <c r="I575" s="178"/>
      <c r="J575" s="1111" t="s">
        <v>4873</v>
      </c>
      <c r="K575" s="1111"/>
      <c r="L575" s="1111"/>
      <c r="M575" s="1111"/>
      <c r="N575" s="1111"/>
      <c r="O575" s="1111"/>
      <c r="P575" s="1111"/>
      <c r="Q575" s="1111"/>
      <c r="R575" s="1111"/>
      <c r="S575" s="1111"/>
      <c r="T575" s="1111"/>
      <c r="U575" s="1112"/>
      <c r="V575" s="100"/>
      <c r="W575" s="100"/>
      <c r="X575" s="100"/>
      <c r="Y575" s="100"/>
      <c r="Z575" s="100"/>
      <c r="AA575" s="100"/>
      <c r="AB575" s="100"/>
      <c r="AC575" s="100"/>
      <c r="AD575" s="100"/>
      <c r="AF575"/>
      <c r="AG575">
        <f t="shared" si="280"/>
        <v>0</v>
      </c>
      <c r="AH575">
        <f t="shared" si="270"/>
        <v>0</v>
      </c>
      <c r="AK575">
        <f t="shared" si="281"/>
        <v>0</v>
      </c>
      <c r="AL575">
        <f t="shared" si="282"/>
        <v>0</v>
      </c>
      <c r="AM575">
        <f t="shared" si="283"/>
        <v>0</v>
      </c>
      <c r="AN575">
        <f t="shared" si="284"/>
        <v>0</v>
      </c>
      <c r="AO575">
        <f t="shared" si="285"/>
        <v>0</v>
      </c>
      <c r="AP575">
        <f t="shared" si="286"/>
        <v>0</v>
      </c>
      <c r="AQ575">
        <f t="shared" si="287"/>
        <v>0</v>
      </c>
      <c r="AR575">
        <f t="shared" si="288"/>
        <v>0</v>
      </c>
      <c r="AS575">
        <f t="shared" si="289"/>
        <v>0</v>
      </c>
    </row>
    <row r="576" spans="1:45" ht="15" customHeight="1">
      <c r="A576" s="176"/>
      <c r="B576" s="57"/>
      <c r="C576" s="1109"/>
      <c r="D576" s="954"/>
      <c r="E576" s="955"/>
      <c r="F576" s="956"/>
      <c r="G576" s="1110" t="s">
        <v>4874</v>
      </c>
      <c r="H576" s="1110"/>
      <c r="I576" s="178"/>
      <c r="J576" s="1111" t="s">
        <v>4875</v>
      </c>
      <c r="K576" s="1111"/>
      <c r="L576" s="1111"/>
      <c r="M576" s="1111"/>
      <c r="N576" s="1111"/>
      <c r="O576" s="1111"/>
      <c r="P576" s="1111"/>
      <c r="Q576" s="1111"/>
      <c r="R576" s="1111"/>
      <c r="S576" s="1111"/>
      <c r="T576" s="1111"/>
      <c r="U576" s="1112"/>
      <c r="V576" s="100"/>
      <c r="W576" s="100"/>
      <c r="X576" s="100"/>
      <c r="Y576" s="100"/>
      <c r="Z576" s="100"/>
      <c r="AA576" s="100"/>
      <c r="AB576" s="100"/>
      <c r="AC576" s="100"/>
      <c r="AD576" s="100"/>
      <c r="AF576"/>
      <c r="AG576">
        <f t="shared" si="280"/>
        <v>0</v>
      </c>
      <c r="AH576">
        <f t="shared" si="270"/>
        <v>0</v>
      </c>
      <c r="AK576">
        <f t="shared" si="281"/>
        <v>0</v>
      </c>
      <c r="AL576">
        <f t="shared" si="282"/>
        <v>0</v>
      </c>
      <c r="AM576">
        <f t="shared" si="283"/>
        <v>0</v>
      </c>
      <c r="AN576">
        <f t="shared" si="284"/>
        <v>0</v>
      </c>
      <c r="AO576">
        <f t="shared" si="285"/>
        <v>0</v>
      </c>
      <c r="AP576">
        <f t="shared" si="286"/>
        <v>0</v>
      </c>
      <c r="AQ576">
        <f t="shared" si="287"/>
        <v>0</v>
      </c>
      <c r="AR576">
        <f t="shared" si="288"/>
        <v>0</v>
      </c>
      <c r="AS576">
        <f t="shared" si="289"/>
        <v>0</v>
      </c>
    </row>
    <row r="577" spans="1:45" ht="15" customHeight="1">
      <c r="A577" s="176"/>
      <c r="B577" s="57"/>
      <c r="C577" s="1109"/>
      <c r="D577" s="954"/>
      <c r="E577" s="955"/>
      <c r="F577" s="956"/>
      <c r="G577" s="1110" t="s">
        <v>4876</v>
      </c>
      <c r="H577" s="1110"/>
      <c r="I577" s="178"/>
      <c r="J577" s="1111" t="s">
        <v>4877</v>
      </c>
      <c r="K577" s="1111"/>
      <c r="L577" s="1111"/>
      <c r="M577" s="1111"/>
      <c r="N577" s="1111"/>
      <c r="O577" s="1111"/>
      <c r="P577" s="1111"/>
      <c r="Q577" s="1111"/>
      <c r="R577" s="1111"/>
      <c r="S577" s="1111"/>
      <c r="T577" s="1111"/>
      <c r="U577" s="1112"/>
      <c r="V577" s="100"/>
      <c r="W577" s="100"/>
      <c r="X577" s="100"/>
      <c r="Y577" s="100"/>
      <c r="Z577" s="100"/>
      <c r="AA577" s="100"/>
      <c r="AB577" s="100"/>
      <c r="AC577" s="100"/>
      <c r="AD577" s="100"/>
      <c r="AF577"/>
      <c r="AG577">
        <f t="shared" si="280"/>
        <v>0</v>
      </c>
      <c r="AH577">
        <f t="shared" si="270"/>
        <v>0</v>
      </c>
      <c r="AK577">
        <f t="shared" si="281"/>
        <v>0</v>
      </c>
      <c r="AL577">
        <f t="shared" si="282"/>
        <v>0</v>
      </c>
      <c r="AM577">
        <f t="shared" si="283"/>
        <v>0</v>
      </c>
      <c r="AN577">
        <f t="shared" si="284"/>
        <v>0</v>
      </c>
      <c r="AO577">
        <f t="shared" si="285"/>
        <v>0</v>
      </c>
      <c r="AP577">
        <f t="shared" si="286"/>
        <v>0</v>
      </c>
      <c r="AQ577">
        <f t="shared" si="287"/>
        <v>0</v>
      </c>
      <c r="AR577">
        <f t="shared" si="288"/>
        <v>0</v>
      </c>
      <c r="AS577">
        <f t="shared" si="289"/>
        <v>0</v>
      </c>
    </row>
    <row r="578" spans="1:45" ht="15" customHeight="1">
      <c r="A578" s="176"/>
      <c r="B578" s="57"/>
      <c r="C578" s="1109"/>
      <c r="D578" s="954"/>
      <c r="E578" s="955"/>
      <c r="F578" s="956"/>
      <c r="G578" s="1110" t="s">
        <v>4878</v>
      </c>
      <c r="H578" s="1110"/>
      <c r="I578" s="178"/>
      <c r="J578" s="1111" t="s">
        <v>4879</v>
      </c>
      <c r="K578" s="1111"/>
      <c r="L578" s="1111"/>
      <c r="M578" s="1111"/>
      <c r="N578" s="1111"/>
      <c r="O578" s="1111"/>
      <c r="P578" s="1111"/>
      <c r="Q578" s="1111"/>
      <c r="R578" s="1111"/>
      <c r="S578" s="1111"/>
      <c r="T578" s="1111"/>
      <c r="U578" s="1112"/>
      <c r="V578" s="100"/>
      <c r="W578" s="100"/>
      <c r="X578" s="100"/>
      <c r="Y578" s="100"/>
      <c r="Z578" s="100"/>
      <c r="AA578" s="100"/>
      <c r="AB578" s="100"/>
      <c r="AC578" s="100"/>
      <c r="AD578" s="100"/>
      <c r="AF578"/>
      <c r="AG578">
        <f t="shared" si="280"/>
        <v>0</v>
      </c>
      <c r="AH578">
        <f t="shared" si="270"/>
        <v>0</v>
      </c>
      <c r="AK578">
        <f t="shared" si="281"/>
        <v>0</v>
      </c>
      <c r="AL578">
        <f t="shared" si="282"/>
        <v>0</v>
      </c>
      <c r="AM578">
        <f t="shared" si="283"/>
        <v>0</v>
      </c>
      <c r="AN578">
        <f t="shared" si="284"/>
        <v>0</v>
      </c>
      <c r="AO578">
        <f t="shared" si="285"/>
        <v>0</v>
      </c>
      <c r="AP578">
        <f t="shared" si="286"/>
        <v>0</v>
      </c>
      <c r="AQ578">
        <f t="shared" si="287"/>
        <v>0</v>
      </c>
      <c r="AR578">
        <f t="shared" si="288"/>
        <v>0</v>
      </c>
      <c r="AS578">
        <f t="shared" si="289"/>
        <v>0</v>
      </c>
    </row>
    <row r="579" spans="1:45" ht="15" customHeight="1">
      <c r="A579" s="176"/>
      <c r="B579" s="57"/>
      <c r="C579" s="1109"/>
      <c r="D579" s="954"/>
      <c r="E579" s="955"/>
      <c r="F579" s="956"/>
      <c r="G579" s="1110" t="s">
        <v>4880</v>
      </c>
      <c r="H579" s="1110"/>
      <c r="I579" s="178"/>
      <c r="J579" s="1111" t="s">
        <v>4881</v>
      </c>
      <c r="K579" s="1111"/>
      <c r="L579" s="1111"/>
      <c r="M579" s="1111"/>
      <c r="N579" s="1111"/>
      <c r="O579" s="1111"/>
      <c r="P579" s="1111"/>
      <c r="Q579" s="1111"/>
      <c r="R579" s="1111"/>
      <c r="S579" s="1111"/>
      <c r="T579" s="1111"/>
      <c r="U579" s="1112"/>
      <c r="V579" s="100"/>
      <c r="W579" s="100"/>
      <c r="X579" s="100"/>
      <c r="Y579" s="100"/>
      <c r="Z579" s="100"/>
      <c r="AA579" s="100"/>
      <c r="AB579" s="100"/>
      <c r="AC579" s="100"/>
      <c r="AD579" s="100"/>
      <c r="AF579"/>
      <c r="AG579">
        <f t="shared" si="280"/>
        <v>0</v>
      </c>
      <c r="AH579">
        <f t="shared" si="270"/>
        <v>0</v>
      </c>
      <c r="AK579">
        <f t="shared" si="281"/>
        <v>0</v>
      </c>
      <c r="AL579">
        <f t="shared" si="282"/>
        <v>0</v>
      </c>
      <c r="AM579">
        <f t="shared" si="283"/>
        <v>0</v>
      </c>
      <c r="AN579">
        <f t="shared" si="284"/>
        <v>0</v>
      </c>
      <c r="AO579">
        <f t="shared" si="285"/>
        <v>0</v>
      </c>
      <c r="AP579">
        <f t="shared" si="286"/>
        <v>0</v>
      </c>
      <c r="AQ579">
        <f t="shared" si="287"/>
        <v>0</v>
      </c>
      <c r="AR579">
        <f t="shared" si="288"/>
        <v>0</v>
      </c>
      <c r="AS579">
        <f t="shared" si="289"/>
        <v>0</v>
      </c>
    </row>
    <row r="580" spans="1:45" ht="15" customHeight="1">
      <c r="A580" s="176"/>
      <c r="B580" s="57"/>
      <c r="C580" s="1109"/>
      <c r="D580" s="954"/>
      <c r="E580" s="955"/>
      <c r="F580" s="956"/>
      <c r="G580" s="1110" t="s">
        <v>4882</v>
      </c>
      <c r="H580" s="1110"/>
      <c r="I580" s="178"/>
      <c r="J580" s="1111" t="s">
        <v>4883</v>
      </c>
      <c r="K580" s="1111"/>
      <c r="L580" s="1111"/>
      <c r="M580" s="1111"/>
      <c r="N580" s="1111"/>
      <c r="O580" s="1111"/>
      <c r="P580" s="1111"/>
      <c r="Q580" s="1111"/>
      <c r="R580" s="1111"/>
      <c r="S580" s="1111"/>
      <c r="T580" s="1111"/>
      <c r="U580" s="1112"/>
      <c r="V580" s="100"/>
      <c r="W580" s="100"/>
      <c r="X580" s="100"/>
      <c r="Y580" s="100"/>
      <c r="Z580" s="100"/>
      <c r="AA580" s="100"/>
      <c r="AB580" s="100"/>
      <c r="AC580" s="100"/>
      <c r="AD580" s="100"/>
      <c r="AF580"/>
      <c r="AG580">
        <f t="shared" si="280"/>
        <v>0</v>
      </c>
      <c r="AH580">
        <f t="shared" si="270"/>
        <v>0</v>
      </c>
      <c r="AK580">
        <f t="shared" si="281"/>
        <v>0</v>
      </c>
      <c r="AL580">
        <f t="shared" si="282"/>
        <v>0</v>
      </c>
      <c r="AM580">
        <f t="shared" si="283"/>
        <v>0</v>
      </c>
      <c r="AN580">
        <f t="shared" si="284"/>
        <v>0</v>
      </c>
      <c r="AO580">
        <f t="shared" si="285"/>
        <v>0</v>
      </c>
      <c r="AP580">
        <f t="shared" si="286"/>
        <v>0</v>
      </c>
      <c r="AQ580">
        <f t="shared" si="287"/>
        <v>0</v>
      </c>
      <c r="AR580">
        <f t="shared" si="288"/>
        <v>0</v>
      </c>
      <c r="AS580">
        <f t="shared" si="289"/>
        <v>0</v>
      </c>
    </row>
    <row r="581" spans="1:45" ht="15" customHeight="1">
      <c r="A581" s="176"/>
      <c r="B581" s="57"/>
      <c r="C581" s="1109"/>
      <c r="D581" s="954"/>
      <c r="E581" s="955"/>
      <c r="F581" s="956"/>
      <c r="G581" s="1110" t="s">
        <v>4884</v>
      </c>
      <c r="H581" s="1110"/>
      <c r="I581" s="178"/>
      <c r="J581" s="1111" t="s">
        <v>4885</v>
      </c>
      <c r="K581" s="1111"/>
      <c r="L581" s="1111"/>
      <c r="M581" s="1111"/>
      <c r="N581" s="1111"/>
      <c r="O581" s="1111"/>
      <c r="P581" s="1111"/>
      <c r="Q581" s="1111"/>
      <c r="R581" s="1111"/>
      <c r="S581" s="1111"/>
      <c r="T581" s="1111"/>
      <c r="U581" s="1112"/>
      <c r="V581" s="100"/>
      <c r="W581" s="100"/>
      <c r="X581" s="100"/>
      <c r="Y581" s="100"/>
      <c r="Z581" s="100"/>
      <c r="AA581" s="100"/>
      <c r="AB581" s="100"/>
      <c r="AC581" s="100"/>
      <c r="AD581" s="100"/>
      <c r="AF581"/>
      <c r="AG581">
        <f t="shared" si="280"/>
        <v>0</v>
      </c>
      <c r="AH581">
        <f t="shared" si="270"/>
        <v>0</v>
      </c>
      <c r="AK581">
        <f t="shared" si="281"/>
        <v>0</v>
      </c>
      <c r="AL581">
        <f t="shared" si="282"/>
        <v>0</v>
      </c>
      <c r="AM581">
        <f t="shared" si="283"/>
        <v>0</v>
      </c>
      <c r="AN581">
        <f t="shared" si="284"/>
        <v>0</v>
      </c>
      <c r="AO581">
        <f t="shared" si="285"/>
        <v>0</v>
      </c>
      <c r="AP581">
        <f t="shared" si="286"/>
        <v>0</v>
      </c>
      <c r="AQ581">
        <f t="shared" si="287"/>
        <v>0</v>
      </c>
      <c r="AR581">
        <f t="shared" si="288"/>
        <v>0</v>
      </c>
      <c r="AS581">
        <f t="shared" si="289"/>
        <v>0</v>
      </c>
    </row>
    <row r="582" spans="1:45" ht="15" customHeight="1">
      <c r="A582" s="176"/>
      <c r="B582" s="57"/>
      <c r="C582" s="1109"/>
      <c r="D582" s="954"/>
      <c r="E582" s="955"/>
      <c r="F582" s="956"/>
      <c r="G582" s="1110" t="s">
        <v>4886</v>
      </c>
      <c r="H582" s="1110"/>
      <c r="I582" s="178"/>
      <c r="J582" s="1111" t="s">
        <v>4887</v>
      </c>
      <c r="K582" s="1111"/>
      <c r="L582" s="1111"/>
      <c r="M582" s="1111"/>
      <c r="N582" s="1111"/>
      <c r="O582" s="1111"/>
      <c r="P582" s="1111"/>
      <c r="Q582" s="1111"/>
      <c r="R582" s="1111"/>
      <c r="S582" s="1111"/>
      <c r="T582" s="1111"/>
      <c r="U582" s="1112"/>
      <c r="V582" s="100"/>
      <c r="W582" s="100"/>
      <c r="X582" s="100"/>
      <c r="Y582" s="100"/>
      <c r="Z582" s="100"/>
      <c r="AA582" s="100"/>
      <c r="AB582" s="100"/>
      <c r="AC582" s="100"/>
      <c r="AD582" s="100"/>
      <c r="AF582"/>
      <c r="AG582">
        <f t="shared" si="280"/>
        <v>0</v>
      </c>
      <c r="AH582">
        <f t="shared" si="270"/>
        <v>0</v>
      </c>
      <c r="AK582">
        <f t="shared" si="281"/>
        <v>0</v>
      </c>
      <c r="AL582">
        <f t="shared" si="282"/>
        <v>0</v>
      </c>
      <c r="AM582">
        <f t="shared" si="283"/>
        <v>0</v>
      </c>
      <c r="AN582">
        <f t="shared" si="284"/>
        <v>0</v>
      </c>
      <c r="AO582">
        <f t="shared" si="285"/>
        <v>0</v>
      </c>
      <c r="AP582">
        <f t="shared" si="286"/>
        <v>0</v>
      </c>
      <c r="AQ582">
        <f t="shared" si="287"/>
        <v>0</v>
      </c>
      <c r="AR582">
        <f t="shared" si="288"/>
        <v>0</v>
      </c>
      <c r="AS582">
        <f t="shared" si="289"/>
        <v>0</v>
      </c>
    </row>
    <row r="583" spans="1:45" ht="15" customHeight="1">
      <c r="A583" s="176"/>
      <c r="B583" s="57"/>
      <c r="C583" s="1109"/>
      <c r="D583" s="954"/>
      <c r="E583" s="955"/>
      <c r="F583" s="956"/>
      <c r="G583" s="1110" t="s">
        <v>4888</v>
      </c>
      <c r="H583" s="1110"/>
      <c r="I583" s="178"/>
      <c r="J583" s="1111" t="s">
        <v>4889</v>
      </c>
      <c r="K583" s="1111"/>
      <c r="L583" s="1111"/>
      <c r="M583" s="1111"/>
      <c r="N583" s="1111"/>
      <c r="O583" s="1111"/>
      <c r="P583" s="1111"/>
      <c r="Q583" s="1111"/>
      <c r="R583" s="1111"/>
      <c r="S583" s="1111"/>
      <c r="T583" s="1111"/>
      <c r="U583" s="1112"/>
      <c r="V583" s="100"/>
      <c r="W583" s="100"/>
      <c r="X583" s="100"/>
      <c r="Y583" s="100"/>
      <c r="Z583" s="100"/>
      <c r="AA583" s="100"/>
      <c r="AB583" s="100"/>
      <c r="AC583" s="100"/>
      <c r="AD583" s="100"/>
      <c r="AF583"/>
      <c r="AG583">
        <f t="shared" si="280"/>
        <v>0</v>
      </c>
      <c r="AH583">
        <f t="shared" si="270"/>
        <v>0</v>
      </c>
      <c r="AK583">
        <f t="shared" si="281"/>
        <v>0</v>
      </c>
      <c r="AL583">
        <f t="shared" si="282"/>
        <v>0</v>
      </c>
      <c r="AM583">
        <f t="shared" si="283"/>
        <v>0</v>
      </c>
      <c r="AN583">
        <f t="shared" si="284"/>
        <v>0</v>
      </c>
      <c r="AO583">
        <f t="shared" si="285"/>
        <v>0</v>
      </c>
      <c r="AP583">
        <f t="shared" si="286"/>
        <v>0</v>
      </c>
      <c r="AQ583">
        <f t="shared" si="287"/>
        <v>0</v>
      </c>
      <c r="AR583">
        <f t="shared" si="288"/>
        <v>0</v>
      </c>
      <c r="AS583">
        <f t="shared" si="289"/>
        <v>0</v>
      </c>
    </row>
    <row r="584" spans="1:45" ht="15" customHeight="1">
      <c r="A584" s="176"/>
      <c r="B584" s="57"/>
      <c r="C584" s="1109"/>
      <c r="D584" s="954"/>
      <c r="E584" s="955"/>
      <c r="F584" s="956"/>
      <c r="G584" s="1110" t="s">
        <v>4890</v>
      </c>
      <c r="H584" s="1110"/>
      <c r="I584" s="179"/>
      <c r="J584" s="1113" t="s">
        <v>201</v>
      </c>
      <c r="K584" s="1113"/>
      <c r="L584" s="1113"/>
      <c r="M584" s="1113"/>
      <c r="N584" s="1113"/>
      <c r="O584" s="1113"/>
      <c r="P584" s="1113"/>
      <c r="Q584" s="1113"/>
      <c r="R584" s="1113"/>
      <c r="S584" s="1113"/>
      <c r="T584" s="1113"/>
      <c r="U584" s="1114"/>
      <c r="V584" s="100"/>
      <c r="W584" s="100"/>
      <c r="X584" s="100"/>
      <c r="Y584" s="100"/>
      <c r="Z584" s="100"/>
      <c r="AA584" s="100"/>
      <c r="AB584" s="100"/>
      <c r="AC584" s="100"/>
      <c r="AD584" s="100"/>
      <c r="AF584"/>
      <c r="AG584">
        <f t="shared" si="280"/>
        <v>0</v>
      </c>
      <c r="AH584">
        <f t="shared" si="270"/>
        <v>0</v>
      </c>
      <c r="AK584">
        <f t="shared" si="281"/>
        <v>0</v>
      </c>
      <c r="AL584">
        <f t="shared" si="282"/>
        <v>0</v>
      </c>
      <c r="AM584">
        <f t="shared" si="283"/>
        <v>0</v>
      </c>
      <c r="AN584">
        <f t="shared" si="284"/>
        <v>0</v>
      </c>
      <c r="AO584">
        <f t="shared" si="285"/>
        <v>0</v>
      </c>
      <c r="AP584">
        <f t="shared" si="286"/>
        <v>0</v>
      </c>
      <c r="AQ584">
        <f t="shared" si="287"/>
        <v>0</v>
      </c>
      <c r="AR584">
        <f t="shared" si="288"/>
        <v>0</v>
      </c>
      <c r="AS584">
        <f t="shared" si="289"/>
        <v>0</v>
      </c>
    </row>
    <row r="585" spans="1:45" ht="15" customHeight="1">
      <c r="A585" s="176"/>
      <c r="B585" s="57"/>
      <c r="C585" s="1109"/>
      <c r="D585" s="954"/>
      <c r="E585" s="955"/>
      <c r="F585" s="956"/>
      <c r="G585" s="1103" t="s">
        <v>4891</v>
      </c>
      <c r="H585" s="1103"/>
      <c r="I585" s="1104" t="s">
        <v>4892</v>
      </c>
      <c r="J585" s="1105"/>
      <c r="K585" s="1105"/>
      <c r="L585" s="1105"/>
      <c r="M585" s="1105"/>
      <c r="N585" s="1105"/>
      <c r="O585" s="1105"/>
      <c r="P585" s="1105"/>
      <c r="Q585" s="1105"/>
      <c r="R585" s="1105"/>
      <c r="S585" s="1105"/>
      <c r="T585" s="1105"/>
      <c r="U585" s="1106"/>
      <c r="V585" s="100"/>
      <c r="W585" s="100"/>
      <c r="X585" s="100"/>
      <c r="Y585" s="100"/>
      <c r="Z585" s="100"/>
      <c r="AA585" s="100"/>
      <c r="AB585" s="100"/>
      <c r="AC585" s="100"/>
      <c r="AD585" s="100"/>
      <c r="AF585">
        <f>IF(V585="NA",IF(AND(COUNTIF(V586:V590,"="&amp;$AF$545)=0,COUNTIF(V586:V590,"&lt;&gt;NA")&gt;0),1,0),IF(AND(COUNTIF(V586:V590,"="&amp;$AF$545)=0,COUNTIF(V586:V590,"NA")=COUNTIF(V586:V590,"&lt;&gt;"&amp;$AF$545)),1,0))</f>
        <v>0</v>
      </c>
      <c r="AG585">
        <f t="shared" si="280"/>
        <v>0</v>
      </c>
      <c r="AH585">
        <f t="shared" si="270"/>
        <v>0</v>
      </c>
      <c r="AK585">
        <f t="shared" si="281"/>
        <v>0</v>
      </c>
      <c r="AL585">
        <f t="shared" si="282"/>
        <v>0</v>
      </c>
      <c r="AM585">
        <f t="shared" si="283"/>
        <v>0</v>
      </c>
      <c r="AN585">
        <f t="shared" si="284"/>
        <v>0</v>
      </c>
      <c r="AO585">
        <f t="shared" si="285"/>
        <v>0</v>
      </c>
      <c r="AP585">
        <f t="shared" si="286"/>
        <v>0</v>
      </c>
      <c r="AQ585">
        <f t="shared" si="287"/>
        <v>0</v>
      </c>
      <c r="AR585">
        <f t="shared" si="288"/>
        <v>0</v>
      </c>
      <c r="AS585">
        <f t="shared" si="289"/>
        <v>0</v>
      </c>
    </row>
    <row r="586" spans="1:45" ht="15" customHeight="1">
      <c r="A586" s="176"/>
      <c r="B586" s="57"/>
      <c r="C586" s="1109"/>
      <c r="D586" s="954"/>
      <c r="E586" s="955"/>
      <c r="F586" s="956"/>
      <c r="G586" s="1110" t="s">
        <v>4893</v>
      </c>
      <c r="H586" s="1110"/>
      <c r="I586" s="177"/>
      <c r="J586" s="1115" t="s">
        <v>4894</v>
      </c>
      <c r="K586" s="1115"/>
      <c r="L586" s="1115"/>
      <c r="M586" s="1115"/>
      <c r="N586" s="1115"/>
      <c r="O586" s="1115"/>
      <c r="P586" s="1115"/>
      <c r="Q586" s="1115"/>
      <c r="R586" s="1115"/>
      <c r="S586" s="1115"/>
      <c r="T586" s="1115"/>
      <c r="U586" s="1116"/>
      <c r="V586" s="100"/>
      <c r="W586" s="100"/>
      <c r="X586" s="100"/>
      <c r="Y586" s="100"/>
      <c r="Z586" s="100"/>
      <c r="AA586" s="100"/>
      <c r="AB586" s="100"/>
      <c r="AC586" s="100"/>
      <c r="AD586" s="100"/>
      <c r="AF586"/>
      <c r="AG586">
        <f t="shared" si="280"/>
        <v>0</v>
      </c>
      <c r="AH586">
        <f t="shared" si="270"/>
        <v>0</v>
      </c>
      <c r="AK586">
        <f t="shared" si="281"/>
        <v>0</v>
      </c>
      <c r="AL586">
        <f t="shared" si="282"/>
        <v>0</v>
      </c>
      <c r="AM586">
        <f t="shared" si="283"/>
        <v>0</v>
      </c>
      <c r="AN586">
        <f t="shared" si="284"/>
        <v>0</v>
      </c>
      <c r="AO586">
        <f t="shared" si="285"/>
        <v>0</v>
      </c>
      <c r="AP586">
        <f t="shared" si="286"/>
        <v>0</v>
      </c>
      <c r="AQ586">
        <f t="shared" si="287"/>
        <v>0</v>
      </c>
      <c r="AR586">
        <f t="shared" si="288"/>
        <v>0</v>
      </c>
      <c r="AS586">
        <f t="shared" si="289"/>
        <v>0</v>
      </c>
    </row>
    <row r="587" spans="1:45" ht="15" customHeight="1">
      <c r="A587" s="176"/>
      <c r="B587" s="57"/>
      <c r="C587" s="1109"/>
      <c r="D587" s="954"/>
      <c r="E587" s="955"/>
      <c r="F587" s="956"/>
      <c r="G587" s="1110" t="s">
        <v>4895</v>
      </c>
      <c r="H587" s="1110"/>
      <c r="I587" s="178"/>
      <c r="J587" s="1111" t="s">
        <v>4896</v>
      </c>
      <c r="K587" s="1111"/>
      <c r="L587" s="1111"/>
      <c r="M587" s="1111"/>
      <c r="N587" s="1111"/>
      <c r="O587" s="1111"/>
      <c r="P587" s="1111"/>
      <c r="Q587" s="1111"/>
      <c r="R587" s="1111"/>
      <c r="S587" s="1111"/>
      <c r="T587" s="1111"/>
      <c r="U587" s="1112"/>
      <c r="V587" s="100"/>
      <c r="W587" s="100"/>
      <c r="X587" s="100"/>
      <c r="Y587" s="100"/>
      <c r="Z587" s="100"/>
      <c r="AA587" s="100"/>
      <c r="AB587" s="100"/>
      <c r="AC587" s="100"/>
      <c r="AD587" s="100"/>
      <c r="AF587"/>
      <c r="AG587">
        <f t="shared" si="280"/>
        <v>0</v>
      </c>
      <c r="AH587">
        <f t="shared" si="270"/>
        <v>0</v>
      </c>
      <c r="AK587">
        <f t="shared" si="281"/>
        <v>0</v>
      </c>
      <c r="AL587">
        <f t="shared" si="282"/>
        <v>0</v>
      </c>
      <c r="AM587">
        <f t="shared" si="283"/>
        <v>0</v>
      </c>
      <c r="AN587">
        <f t="shared" si="284"/>
        <v>0</v>
      </c>
      <c r="AO587">
        <f t="shared" si="285"/>
        <v>0</v>
      </c>
      <c r="AP587">
        <f t="shared" si="286"/>
        <v>0</v>
      </c>
      <c r="AQ587">
        <f t="shared" si="287"/>
        <v>0</v>
      </c>
      <c r="AR587">
        <f t="shared" si="288"/>
        <v>0</v>
      </c>
      <c r="AS587">
        <f t="shared" si="289"/>
        <v>0</v>
      </c>
    </row>
    <row r="588" spans="1:45" ht="15" customHeight="1">
      <c r="A588" s="176"/>
      <c r="B588" s="57"/>
      <c r="C588" s="1109"/>
      <c r="D588" s="954"/>
      <c r="E588" s="955"/>
      <c r="F588" s="956"/>
      <c r="G588" s="1110" t="s">
        <v>4897</v>
      </c>
      <c r="H588" s="1110"/>
      <c r="I588" s="178"/>
      <c r="J588" s="1111" t="s">
        <v>4898</v>
      </c>
      <c r="K588" s="1111"/>
      <c r="L588" s="1111"/>
      <c r="M588" s="1111"/>
      <c r="N588" s="1111"/>
      <c r="O588" s="1111"/>
      <c r="P588" s="1111"/>
      <c r="Q588" s="1111"/>
      <c r="R588" s="1111"/>
      <c r="S588" s="1111"/>
      <c r="T588" s="1111"/>
      <c r="U588" s="1112"/>
      <c r="V588" s="100"/>
      <c r="W588" s="100"/>
      <c r="X588" s="100"/>
      <c r="Y588" s="100"/>
      <c r="Z588" s="100"/>
      <c r="AA588" s="100"/>
      <c r="AB588" s="100"/>
      <c r="AC588" s="100"/>
      <c r="AD588" s="100"/>
      <c r="AF588"/>
      <c r="AG588">
        <f t="shared" si="280"/>
        <v>0</v>
      </c>
      <c r="AH588">
        <f t="shared" si="270"/>
        <v>0</v>
      </c>
      <c r="AK588">
        <f t="shared" si="281"/>
        <v>0</v>
      </c>
      <c r="AL588">
        <f t="shared" si="282"/>
        <v>0</v>
      </c>
      <c r="AM588">
        <f t="shared" si="283"/>
        <v>0</v>
      </c>
      <c r="AN588">
        <f t="shared" si="284"/>
        <v>0</v>
      </c>
      <c r="AO588">
        <f t="shared" si="285"/>
        <v>0</v>
      </c>
      <c r="AP588">
        <f t="shared" si="286"/>
        <v>0</v>
      </c>
      <c r="AQ588">
        <f t="shared" si="287"/>
        <v>0</v>
      </c>
      <c r="AR588">
        <f t="shared" si="288"/>
        <v>0</v>
      </c>
      <c r="AS588">
        <f t="shared" si="289"/>
        <v>0</v>
      </c>
    </row>
    <row r="589" spans="1:45" ht="15" customHeight="1">
      <c r="A589" s="176"/>
      <c r="B589" s="57"/>
      <c r="C589" s="1109"/>
      <c r="D589" s="954"/>
      <c r="E589" s="955"/>
      <c r="F589" s="956"/>
      <c r="G589" s="1110" t="s">
        <v>4899</v>
      </c>
      <c r="H589" s="1110"/>
      <c r="I589" s="178"/>
      <c r="J589" s="1111" t="s">
        <v>4900</v>
      </c>
      <c r="K589" s="1111"/>
      <c r="L589" s="1111"/>
      <c r="M589" s="1111"/>
      <c r="N589" s="1111"/>
      <c r="O589" s="1111"/>
      <c r="P589" s="1111"/>
      <c r="Q589" s="1111"/>
      <c r="R589" s="1111"/>
      <c r="S589" s="1111"/>
      <c r="T589" s="1111"/>
      <c r="U589" s="1112"/>
      <c r="V589" s="100"/>
      <c r="W589" s="100"/>
      <c r="X589" s="100"/>
      <c r="Y589" s="100"/>
      <c r="Z589" s="100"/>
      <c r="AA589" s="100"/>
      <c r="AB589" s="100"/>
      <c r="AC589" s="100"/>
      <c r="AD589" s="100"/>
      <c r="AF589"/>
      <c r="AG589">
        <f t="shared" si="280"/>
        <v>0</v>
      </c>
      <c r="AH589">
        <f t="shared" si="270"/>
        <v>0</v>
      </c>
      <c r="AK589">
        <f t="shared" si="281"/>
        <v>0</v>
      </c>
      <c r="AL589">
        <f t="shared" si="282"/>
        <v>0</v>
      </c>
      <c r="AM589">
        <f t="shared" si="283"/>
        <v>0</v>
      </c>
      <c r="AN589">
        <f t="shared" si="284"/>
        <v>0</v>
      </c>
      <c r="AO589">
        <f t="shared" si="285"/>
        <v>0</v>
      </c>
      <c r="AP589">
        <f t="shared" si="286"/>
        <v>0</v>
      </c>
      <c r="AQ589">
        <f t="shared" si="287"/>
        <v>0</v>
      </c>
      <c r="AR589">
        <f t="shared" si="288"/>
        <v>0</v>
      </c>
      <c r="AS589">
        <f t="shared" si="289"/>
        <v>0</v>
      </c>
    </row>
    <row r="590" spans="1:45" ht="15" customHeight="1">
      <c r="A590" s="176"/>
      <c r="B590" s="57"/>
      <c r="C590" s="1109"/>
      <c r="D590" s="954"/>
      <c r="E590" s="955"/>
      <c r="F590" s="956"/>
      <c r="G590" s="1110" t="s">
        <v>4901</v>
      </c>
      <c r="H590" s="1110"/>
      <c r="I590" s="179"/>
      <c r="J590" s="1113" t="s">
        <v>201</v>
      </c>
      <c r="K590" s="1113"/>
      <c r="L590" s="1113"/>
      <c r="M590" s="1113"/>
      <c r="N590" s="1113"/>
      <c r="O590" s="1113"/>
      <c r="P590" s="1113"/>
      <c r="Q590" s="1113"/>
      <c r="R590" s="1113"/>
      <c r="S590" s="1113"/>
      <c r="T590" s="1113"/>
      <c r="U590" s="1114"/>
      <c r="V590" s="100"/>
      <c r="W590" s="100"/>
      <c r="X590" s="100"/>
      <c r="Y590" s="100"/>
      <c r="Z590" s="100"/>
      <c r="AA590" s="100"/>
      <c r="AB590" s="100"/>
      <c r="AC590" s="100"/>
      <c r="AD590" s="100"/>
      <c r="AF590"/>
      <c r="AG590">
        <f t="shared" si="280"/>
        <v>0</v>
      </c>
      <c r="AH590">
        <f t="shared" si="270"/>
        <v>0</v>
      </c>
      <c r="AK590">
        <f t="shared" si="281"/>
        <v>0</v>
      </c>
      <c r="AL590">
        <f t="shared" si="282"/>
        <v>0</v>
      </c>
      <c r="AM590">
        <f t="shared" si="283"/>
        <v>0</v>
      </c>
      <c r="AN590">
        <f t="shared" si="284"/>
        <v>0</v>
      </c>
      <c r="AO590">
        <f t="shared" si="285"/>
        <v>0</v>
      </c>
      <c r="AP590">
        <f t="shared" si="286"/>
        <v>0</v>
      </c>
      <c r="AQ590">
        <f t="shared" si="287"/>
        <v>0</v>
      </c>
      <c r="AR590">
        <f t="shared" si="288"/>
        <v>0</v>
      </c>
      <c r="AS590">
        <f t="shared" si="289"/>
        <v>0</v>
      </c>
    </row>
    <row r="591" spans="1:45" ht="15" customHeight="1">
      <c r="A591" s="176"/>
      <c r="B591" s="57"/>
      <c r="C591" s="1109"/>
      <c r="D591" s="954"/>
      <c r="E591" s="955"/>
      <c r="F591" s="956"/>
      <c r="G591" s="1103" t="s">
        <v>4902</v>
      </c>
      <c r="H591" s="1103"/>
      <c r="I591" s="1104" t="s">
        <v>4903</v>
      </c>
      <c r="J591" s="1105"/>
      <c r="K591" s="1105"/>
      <c r="L591" s="1105"/>
      <c r="M591" s="1105"/>
      <c r="N591" s="1105"/>
      <c r="O591" s="1105"/>
      <c r="P591" s="1105"/>
      <c r="Q591" s="1105"/>
      <c r="R591" s="1105"/>
      <c r="S591" s="1105"/>
      <c r="T591" s="1105"/>
      <c r="U591" s="1106"/>
      <c r="V591" s="100"/>
      <c r="W591" s="100"/>
      <c r="X591" s="100"/>
      <c r="Y591" s="100"/>
      <c r="Z591" s="100"/>
      <c r="AA591" s="100"/>
      <c r="AB591" s="100"/>
      <c r="AC591" s="100"/>
      <c r="AD591" s="100"/>
      <c r="AF591"/>
      <c r="AG591">
        <f t="shared" si="280"/>
        <v>0</v>
      </c>
      <c r="AH591">
        <f t="shared" si="270"/>
        <v>0</v>
      </c>
      <c r="AK591">
        <f t="shared" si="281"/>
        <v>0</v>
      </c>
      <c r="AL591">
        <f t="shared" si="282"/>
        <v>0</v>
      </c>
      <c r="AM591">
        <f t="shared" si="283"/>
        <v>0</v>
      </c>
      <c r="AN591">
        <f t="shared" si="284"/>
        <v>0</v>
      </c>
      <c r="AO591">
        <f t="shared" si="285"/>
        <v>0</v>
      </c>
      <c r="AP591">
        <f t="shared" si="286"/>
        <v>0</v>
      </c>
      <c r="AQ591">
        <f t="shared" si="287"/>
        <v>0</v>
      </c>
      <c r="AR591">
        <f t="shared" si="288"/>
        <v>0</v>
      </c>
      <c r="AS591">
        <f t="shared" si="289"/>
        <v>0</v>
      </c>
    </row>
    <row r="592" spans="1:45" ht="15" customHeight="1">
      <c r="A592" s="176"/>
      <c r="B592" s="57"/>
      <c r="C592" s="1109"/>
      <c r="D592" s="954"/>
      <c r="E592" s="955"/>
      <c r="F592" s="956"/>
      <c r="G592" s="1103" t="s">
        <v>4904</v>
      </c>
      <c r="H592" s="1103"/>
      <c r="I592" s="1104" t="s">
        <v>4905</v>
      </c>
      <c r="J592" s="1105"/>
      <c r="K592" s="1105"/>
      <c r="L592" s="1105"/>
      <c r="M592" s="1105"/>
      <c r="N592" s="1105"/>
      <c r="O592" s="1105"/>
      <c r="P592" s="1105"/>
      <c r="Q592" s="1105"/>
      <c r="R592" s="1105"/>
      <c r="S592" s="1105"/>
      <c r="T592" s="1105"/>
      <c r="U592" s="1106"/>
      <c r="V592" s="100"/>
      <c r="W592" s="100"/>
      <c r="X592" s="100"/>
      <c r="Y592" s="100"/>
      <c r="Z592" s="100"/>
      <c r="AA592" s="100"/>
      <c r="AB592" s="100"/>
      <c r="AC592" s="100"/>
      <c r="AD592" s="100"/>
      <c r="AF592"/>
      <c r="AG592">
        <f t="shared" si="280"/>
        <v>0</v>
      </c>
      <c r="AH592">
        <f t="shared" si="270"/>
        <v>0</v>
      </c>
      <c r="AK592">
        <f t="shared" si="281"/>
        <v>0</v>
      </c>
      <c r="AL592">
        <f t="shared" si="282"/>
        <v>0</v>
      </c>
      <c r="AM592">
        <f t="shared" si="283"/>
        <v>0</v>
      </c>
      <c r="AN592">
        <f t="shared" si="284"/>
        <v>0</v>
      </c>
      <c r="AO592">
        <f t="shared" si="285"/>
        <v>0</v>
      </c>
      <c r="AP592">
        <f t="shared" si="286"/>
        <v>0</v>
      </c>
      <c r="AQ592">
        <f t="shared" si="287"/>
        <v>0</v>
      </c>
      <c r="AR592">
        <f t="shared" si="288"/>
        <v>0</v>
      </c>
      <c r="AS592">
        <f t="shared" si="289"/>
        <v>0</v>
      </c>
    </row>
    <row r="593" spans="1:45" ht="15" customHeight="1">
      <c r="A593" s="176"/>
      <c r="B593" s="57"/>
      <c r="C593" s="1109"/>
      <c r="D593" s="954"/>
      <c r="E593" s="955"/>
      <c r="F593" s="956"/>
      <c r="G593" s="1103" t="s">
        <v>4906</v>
      </c>
      <c r="H593" s="1103"/>
      <c r="I593" s="1104" t="s">
        <v>4907</v>
      </c>
      <c r="J593" s="1105"/>
      <c r="K593" s="1105"/>
      <c r="L593" s="1105"/>
      <c r="M593" s="1105"/>
      <c r="N593" s="1105"/>
      <c r="O593" s="1105"/>
      <c r="P593" s="1105"/>
      <c r="Q593" s="1105"/>
      <c r="R593" s="1105"/>
      <c r="S593" s="1105"/>
      <c r="T593" s="1105"/>
      <c r="U593" s="1106"/>
      <c r="V593" s="100"/>
      <c r="W593" s="100"/>
      <c r="X593" s="100"/>
      <c r="Y593" s="100"/>
      <c r="Z593" s="100"/>
      <c r="AA593" s="100"/>
      <c r="AB593" s="100"/>
      <c r="AC593" s="100"/>
      <c r="AD593" s="100"/>
      <c r="AF593">
        <f>IF(V593="NA",IF(AND(COUNTIF(V594:V596,"="&amp;$AF$545)=0,COUNTIF(V594:V596,"&lt;&gt;NA")&gt;0),1,0),IF(AND(COUNTIF(V594:V596,"="&amp;$AF$545)=0,COUNTIF(V594:V596,"NA")=COUNTIF(V594:V596,"&lt;&gt;"&amp;$AF$545)),1,0))</f>
        <v>0</v>
      </c>
      <c r="AG593">
        <f t="shared" si="280"/>
        <v>0</v>
      </c>
      <c r="AH593">
        <f t="shared" si="270"/>
        <v>0</v>
      </c>
      <c r="AK593">
        <f t="shared" si="281"/>
        <v>0</v>
      </c>
      <c r="AL593">
        <f t="shared" si="282"/>
        <v>0</v>
      </c>
      <c r="AM593">
        <f t="shared" si="283"/>
        <v>0</v>
      </c>
      <c r="AN593">
        <f t="shared" si="284"/>
        <v>0</v>
      </c>
      <c r="AO593">
        <f t="shared" si="285"/>
        <v>0</v>
      </c>
      <c r="AP593">
        <f t="shared" si="286"/>
        <v>0</v>
      </c>
      <c r="AQ593">
        <f t="shared" si="287"/>
        <v>0</v>
      </c>
      <c r="AR593">
        <f t="shared" si="288"/>
        <v>0</v>
      </c>
      <c r="AS593">
        <f t="shared" si="289"/>
        <v>0</v>
      </c>
    </row>
    <row r="594" spans="1:45" ht="24" customHeight="1">
      <c r="A594" s="176"/>
      <c r="B594" s="57"/>
      <c r="C594" s="1109"/>
      <c r="D594" s="954"/>
      <c r="E594" s="955"/>
      <c r="F594" s="956"/>
      <c r="G594" s="1110" t="s">
        <v>4908</v>
      </c>
      <c r="H594" s="1110"/>
      <c r="I594" s="177"/>
      <c r="J594" s="1115" t="s">
        <v>4909</v>
      </c>
      <c r="K594" s="1115"/>
      <c r="L594" s="1115"/>
      <c r="M594" s="1115"/>
      <c r="N594" s="1115"/>
      <c r="O594" s="1115"/>
      <c r="P594" s="1115"/>
      <c r="Q594" s="1115"/>
      <c r="R594" s="1115"/>
      <c r="S594" s="1115"/>
      <c r="T594" s="1115"/>
      <c r="U594" s="1116"/>
      <c r="V594" s="100"/>
      <c r="W594" s="100"/>
      <c r="X594" s="100"/>
      <c r="Y594" s="100"/>
      <c r="Z594" s="100"/>
      <c r="AA594" s="100"/>
      <c r="AB594" s="100"/>
      <c r="AC594" s="100"/>
      <c r="AD594" s="100"/>
      <c r="AF594"/>
      <c r="AG594">
        <f t="shared" si="280"/>
        <v>0</v>
      </c>
      <c r="AH594">
        <f t="shared" si="270"/>
        <v>0</v>
      </c>
      <c r="AK594">
        <f t="shared" si="281"/>
        <v>0</v>
      </c>
      <c r="AL594">
        <f t="shared" si="282"/>
        <v>0</v>
      </c>
      <c r="AM594">
        <f t="shared" si="283"/>
        <v>0</v>
      </c>
      <c r="AN594">
        <f t="shared" si="284"/>
        <v>0</v>
      </c>
      <c r="AO594">
        <f t="shared" si="285"/>
        <v>0</v>
      </c>
      <c r="AP594">
        <f t="shared" si="286"/>
        <v>0</v>
      </c>
      <c r="AQ594">
        <f t="shared" si="287"/>
        <v>0</v>
      </c>
      <c r="AR594">
        <f t="shared" si="288"/>
        <v>0</v>
      </c>
      <c r="AS594">
        <f t="shared" si="289"/>
        <v>0</v>
      </c>
    </row>
    <row r="595" spans="1:45" ht="15" customHeight="1">
      <c r="A595" s="176"/>
      <c r="B595" s="57"/>
      <c r="C595" s="1109"/>
      <c r="D595" s="954"/>
      <c r="E595" s="955"/>
      <c r="F595" s="956"/>
      <c r="G595" s="1110" t="s">
        <v>4910</v>
      </c>
      <c r="H595" s="1110"/>
      <c r="I595" s="178"/>
      <c r="J595" s="1111" t="s">
        <v>4911</v>
      </c>
      <c r="K595" s="1111"/>
      <c r="L595" s="1111"/>
      <c r="M595" s="1111"/>
      <c r="N595" s="1111"/>
      <c r="O595" s="1111"/>
      <c r="P595" s="1111"/>
      <c r="Q595" s="1111"/>
      <c r="R595" s="1111"/>
      <c r="S595" s="1111"/>
      <c r="T595" s="1111"/>
      <c r="U595" s="1112"/>
      <c r="V595" s="100"/>
      <c r="W595" s="100"/>
      <c r="X595" s="100"/>
      <c r="Y595" s="100"/>
      <c r="Z595" s="100"/>
      <c r="AA595" s="100"/>
      <c r="AB595" s="100"/>
      <c r="AC595" s="100"/>
      <c r="AD595" s="100"/>
      <c r="AF595"/>
      <c r="AG595">
        <f t="shared" si="280"/>
        <v>0</v>
      </c>
      <c r="AH595">
        <f t="shared" si="270"/>
        <v>0</v>
      </c>
      <c r="AK595">
        <f t="shared" si="281"/>
        <v>0</v>
      </c>
      <c r="AL595">
        <f t="shared" si="282"/>
        <v>0</v>
      </c>
      <c r="AM595">
        <f t="shared" si="283"/>
        <v>0</v>
      </c>
      <c r="AN595">
        <f t="shared" si="284"/>
        <v>0</v>
      </c>
      <c r="AO595">
        <f t="shared" si="285"/>
        <v>0</v>
      </c>
      <c r="AP595">
        <f t="shared" si="286"/>
        <v>0</v>
      </c>
      <c r="AQ595">
        <f t="shared" si="287"/>
        <v>0</v>
      </c>
      <c r="AR595">
        <f t="shared" si="288"/>
        <v>0</v>
      </c>
      <c r="AS595">
        <f t="shared" si="289"/>
        <v>0</v>
      </c>
    </row>
    <row r="596" spans="1:45" ht="15" customHeight="1">
      <c r="A596" s="176"/>
      <c r="B596" s="57"/>
      <c r="C596" s="1109"/>
      <c r="D596" s="954"/>
      <c r="E596" s="955"/>
      <c r="F596" s="956"/>
      <c r="G596" s="1110" t="s">
        <v>4912</v>
      </c>
      <c r="H596" s="1110"/>
      <c r="I596" s="179"/>
      <c r="J596" s="1113" t="s">
        <v>201</v>
      </c>
      <c r="K596" s="1113"/>
      <c r="L596" s="1113"/>
      <c r="M596" s="1113"/>
      <c r="N596" s="1113"/>
      <c r="O596" s="1113"/>
      <c r="P596" s="1113"/>
      <c r="Q596" s="1113"/>
      <c r="R596" s="1113"/>
      <c r="S596" s="1113"/>
      <c r="T596" s="1113"/>
      <c r="U596" s="1114"/>
      <c r="V596" s="100"/>
      <c r="W596" s="100"/>
      <c r="X596" s="100"/>
      <c r="Y596" s="100"/>
      <c r="Z596" s="100"/>
      <c r="AA596" s="100"/>
      <c r="AB596" s="100"/>
      <c r="AC596" s="100"/>
      <c r="AD596" s="100"/>
      <c r="AF596"/>
      <c r="AG596">
        <f t="shared" si="280"/>
        <v>0</v>
      </c>
      <c r="AH596">
        <f t="shared" si="270"/>
        <v>0</v>
      </c>
      <c r="AK596">
        <f t="shared" si="281"/>
        <v>0</v>
      </c>
      <c r="AL596">
        <f t="shared" si="282"/>
        <v>0</v>
      </c>
      <c r="AM596">
        <f t="shared" si="283"/>
        <v>0</v>
      </c>
      <c r="AN596">
        <f t="shared" si="284"/>
        <v>0</v>
      </c>
      <c r="AO596">
        <f t="shared" si="285"/>
        <v>0</v>
      </c>
      <c r="AP596">
        <f t="shared" si="286"/>
        <v>0</v>
      </c>
      <c r="AQ596">
        <f t="shared" si="287"/>
        <v>0</v>
      </c>
      <c r="AR596">
        <f t="shared" si="288"/>
        <v>0</v>
      </c>
      <c r="AS596">
        <f t="shared" si="289"/>
        <v>0</v>
      </c>
    </row>
    <row r="597" spans="1:45" ht="15" customHeight="1">
      <c r="A597" s="176"/>
      <c r="B597" s="57"/>
      <c r="C597" s="1109"/>
      <c r="D597" s="954"/>
      <c r="E597" s="955"/>
      <c r="F597" s="956"/>
      <c r="G597" s="1103" t="s">
        <v>4913</v>
      </c>
      <c r="H597" s="1103"/>
      <c r="I597" s="1104" t="s">
        <v>4914</v>
      </c>
      <c r="J597" s="1105"/>
      <c r="K597" s="1105"/>
      <c r="L597" s="1105"/>
      <c r="M597" s="1105"/>
      <c r="N597" s="1105"/>
      <c r="O597" s="1105"/>
      <c r="P597" s="1105"/>
      <c r="Q597" s="1105"/>
      <c r="R597" s="1105"/>
      <c r="S597" s="1105"/>
      <c r="T597" s="1105"/>
      <c r="U597" s="1106"/>
      <c r="V597" s="100"/>
      <c r="W597" s="100"/>
      <c r="X597" s="100"/>
      <c r="Y597" s="100"/>
      <c r="Z597" s="100"/>
      <c r="AA597" s="100"/>
      <c r="AB597" s="100"/>
      <c r="AC597" s="100"/>
      <c r="AD597" s="100"/>
      <c r="AF597"/>
      <c r="AG597">
        <f t="shared" si="280"/>
        <v>0</v>
      </c>
      <c r="AH597">
        <f t="shared" si="270"/>
        <v>0</v>
      </c>
      <c r="AK597">
        <f t="shared" si="281"/>
        <v>0</v>
      </c>
      <c r="AL597">
        <f t="shared" si="282"/>
        <v>0</v>
      </c>
      <c r="AM597">
        <f t="shared" si="283"/>
        <v>0</v>
      </c>
      <c r="AN597">
        <f t="shared" si="284"/>
        <v>0</v>
      </c>
      <c r="AO597">
        <f t="shared" si="285"/>
        <v>0</v>
      </c>
      <c r="AP597">
        <f t="shared" si="286"/>
        <v>0</v>
      </c>
      <c r="AQ597">
        <f t="shared" si="287"/>
        <v>0</v>
      </c>
      <c r="AR597">
        <f t="shared" si="288"/>
        <v>0</v>
      </c>
      <c r="AS597">
        <f t="shared" si="289"/>
        <v>0</v>
      </c>
    </row>
    <row r="598" spans="1:45" ht="15" customHeight="1">
      <c r="A598" s="176"/>
      <c r="B598" s="57"/>
      <c r="C598" s="1109"/>
      <c r="D598" s="954"/>
      <c r="E598" s="955"/>
      <c r="F598" s="956"/>
      <c r="G598" s="1103" t="s">
        <v>4915</v>
      </c>
      <c r="H598" s="1103"/>
      <c r="I598" s="1104" t="s">
        <v>4916</v>
      </c>
      <c r="J598" s="1105"/>
      <c r="K598" s="1105"/>
      <c r="L598" s="1105"/>
      <c r="M598" s="1105"/>
      <c r="N598" s="1105"/>
      <c r="O598" s="1105"/>
      <c r="P598" s="1105"/>
      <c r="Q598" s="1105"/>
      <c r="R598" s="1105"/>
      <c r="S598" s="1105"/>
      <c r="T598" s="1105"/>
      <c r="U598" s="1106"/>
      <c r="V598" s="100"/>
      <c r="W598" s="100"/>
      <c r="X598" s="100"/>
      <c r="Y598" s="100"/>
      <c r="Z598" s="100"/>
      <c r="AA598" s="100"/>
      <c r="AB598" s="100"/>
      <c r="AC598" s="100"/>
      <c r="AD598" s="100"/>
      <c r="AF598"/>
      <c r="AG598">
        <f t="shared" si="280"/>
        <v>0</v>
      </c>
      <c r="AH598">
        <f t="shared" si="270"/>
        <v>0</v>
      </c>
      <c r="AK598">
        <f t="shared" si="281"/>
        <v>0</v>
      </c>
      <c r="AL598">
        <f t="shared" si="282"/>
        <v>0</v>
      </c>
      <c r="AM598">
        <f t="shared" si="283"/>
        <v>0</v>
      </c>
      <c r="AN598">
        <f t="shared" si="284"/>
        <v>0</v>
      </c>
      <c r="AO598">
        <f t="shared" si="285"/>
        <v>0</v>
      </c>
      <c r="AP598">
        <f t="shared" si="286"/>
        <v>0</v>
      </c>
      <c r="AQ598">
        <f t="shared" si="287"/>
        <v>0</v>
      </c>
      <c r="AR598">
        <f t="shared" si="288"/>
        <v>0</v>
      </c>
      <c r="AS598">
        <f t="shared" si="289"/>
        <v>0</v>
      </c>
    </row>
    <row r="599" spans="1:45" ht="15" customHeight="1">
      <c r="A599" s="176"/>
      <c r="B599" s="57"/>
      <c r="C599" s="1109"/>
      <c r="D599" s="954"/>
      <c r="E599" s="955"/>
      <c r="F599" s="956"/>
      <c r="G599" s="1103" t="s">
        <v>4917</v>
      </c>
      <c r="H599" s="1103"/>
      <c r="I599" s="1104" t="s">
        <v>4918</v>
      </c>
      <c r="J599" s="1105"/>
      <c r="K599" s="1105"/>
      <c r="L599" s="1105"/>
      <c r="M599" s="1105"/>
      <c r="N599" s="1105"/>
      <c r="O599" s="1105"/>
      <c r="P599" s="1105"/>
      <c r="Q599" s="1105"/>
      <c r="R599" s="1105"/>
      <c r="S599" s="1105"/>
      <c r="T599" s="1105"/>
      <c r="U599" s="1106"/>
      <c r="V599" s="100"/>
      <c r="W599" s="100"/>
      <c r="X599" s="100"/>
      <c r="Y599" s="100"/>
      <c r="Z599" s="100"/>
      <c r="AA599" s="100"/>
      <c r="AB599" s="100"/>
      <c r="AC599" s="100"/>
      <c r="AD599" s="100"/>
      <c r="AF599"/>
      <c r="AG599">
        <f t="shared" si="280"/>
        <v>0</v>
      </c>
      <c r="AH599">
        <f t="shared" si="270"/>
        <v>0</v>
      </c>
      <c r="AJ599">
        <f>IF(OR(V599="NS",V599="NA",$V$715=0,$V$715="NS",$V$715="NA"),0,IF((V599*(IFERROR(100/SUM(V566:V599),0)))&gt;25,1,0))</f>
        <v>0</v>
      </c>
      <c r="AK599">
        <f t="shared" si="281"/>
        <v>0</v>
      </c>
      <c r="AL599">
        <f t="shared" si="282"/>
        <v>0</v>
      </c>
      <c r="AM599">
        <f t="shared" si="283"/>
        <v>0</v>
      </c>
      <c r="AN599">
        <f t="shared" si="284"/>
        <v>0</v>
      </c>
      <c r="AO599">
        <f t="shared" si="285"/>
        <v>0</v>
      </c>
      <c r="AP599">
        <f t="shared" si="286"/>
        <v>0</v>
      </c>
      <c r="AQ599">
        <f t="shared" si="287"/>
        <v>0</v>
      </c>
      <c r="AR599">
        <f t="shared" si="288"/>
        <v>0</v>
      </c>
      <c r="AS599">
        <f t="shared" si="289"/>
        <v>0</v>
      </c>
    </row>
    <row r="600" spans="1:45" ht="15" customHeight="1">
      <c r="A600" s="176"/>
      <c r="B600" s="57"/>
      <c r="C600" s="1108" t="s">
        <v>4919</v>
      </c>
      <c r="D600" s="847" t="s">
        <v>4920</v>
      </c>
      <c r="E600" s="953"/>
      <c r="F600" s="848"/>
      <c r="G600" s="1103" t="s">
        <v>4921</v>
      </c>
      <c r="H600" s="1103"/>
      <c r="I600" s="1104" t="s">
        <v>4922</v>
      </c>
      <c r="J600" s="1105"/>
      <c r="K600" s="1105"/>
      <c r="L600" s="1105"/>
      <c r="M600" s="1105"/>
      <c r="N600" s="1105"/>
      <c r="O600" s="1105"/>
      <c r="P600" s="1105"/>
      <c r="Q600" s="1105"/>
      <c r="R600" s="1105"/>
      <c r="S600" s="1105"/>
      <c r="T600" s="1105"/>
      <c r="U600" s="1106"/>
      <c r="V600" s="100"/>
      <c r="W600" s="100"/>
      <c r="X600" s="100"/>
      <c r="Y600" s="100"/>
      <c r="Z600" s="100"/>
      <c r="AA600" s="100"/>
      <c r="AB600" s="100"/>
      <c r="AC600" s="100"/>
      <c r="AD600" s="100"/>
      <c r="AF600"/>
      <c r="AG600">
        <f t="shared" si="280"/>
        <v>0</v>
      </c>
      <c r="AH600">
        <f t="shared" ref="AH600:AH663" si="290">IF(V600="NA",IF(COUNTBLANK(W600:AD600)=8,0,1),0)</f>
        <v>0</v>
      </c>
      <c r="AK600">
        <f t="shared" ref="AK600:AK631" si="291">COUNTIF(W600:X600,"NS")</f>
        <v>0</v>
      </c>
      <c r="AL600">
        <f t="shared" ref="AL600:AL631" si="292">SUM(W600:X600)</f>
        <v>0</v>
      </c>
      <c r="AM600">
        <f t="shared" ref="AM600:AM631" si="293">IF(COUNTIF(V600:X600,"NA")=3,0,IF(COUNTA(V600:X600)=0,0,IF(OR(AND(V600=0,AK600&gt;0),AND(V600="ns",AL600&gt;0),AND(V600="ns",AK600=0,AL600=0)),1,IF(OR(AND(V600&gt;0,AK600=2),AND(V600="ns",AK600=2),AND(V600="ns",AL600=0,AK600&gt;0),V600=AL600),0,1))))</f>
        <v>0</v>
      </c>
      <c r="AN600">
        <f t="shared" ref="AN600:AN631" si="294">COUNTIF(Z600:AA600,"NS")</f>
        <v>0</v>
      </c>
      <c r="AO600">
        <f t="shared" ref="AO600:AO631" si="295">SUM(Z600:AA600)</f>
        <v>0</v>
      </c>
      <c r="AP600">
        <f t="shared" ref="AP600:AP631" si="296">IF(COUNTIF(Y600:AA600,"NA")=3,0,IF(COUNTA(Y600:AA600)=0,0,IF(OR(AND(Y600=0,AN600&gt;0),AND(Y600="ns",AO600&gt;0),AND(Y600="ns",AN600=0,AO600=0)),1,IF(OR(AND(Y600&gt;0,AN600=2),AND(Y600="ns",AN600=2),AND(Y600="ns",AO600=0,AN600&gt;0),Y600=AO600),0,1))))</f>
        <v>0</v>
      </c>
      <c r="AQ600">
        <f t="shared" ref="AQ600:AQ631" si="297">COUNTIF(AC600:AD600,"NS")</f>
        <v>0</v>
      </c>
      <c r="AR600">
        <f t="shared" ref="AR600:AR631" si="298">SUM(AC600:AD600)</f>
        <v>0</v>
      </c>
      <c r="AS600">
        <f t="shared" ref="AS600:AS631" si="299">IF(COUNTIF(AB600:AD600,"NA")=3,0,IF(COUNTA(AB600:AD600)=0,0,IF(OR(AND(AB600=0,AQ600&gt;0),AND(AB600="ns",AR600&gt;0),AND(AB600="ns",AQ600=0,AR600=0)),1,IF(OR(AND(AB600&gt;0,AQ600=2),AND(AB600="ns",AQ600=2),AND(AB600="ns",AR600=0,AQ600&gt;0),AB600=AR600),0,1))))</f>
        <v>0</v>
      </c>
    </row>
    <row r="601" spans="1:45" ht="15" customHeight="1">
      <c r="A601" s="176"/>
      <c r="B601" s="57"/>
      <c r="C601" s="1109"/>
      <c r="D601" s="954"/>
      <c r="E601" s="955"/>
      <c r="F601" s="956"/>
      <c r="G601" s="1103" t="s">
        <v>4923</v>
      </c>
      <c r="H601" s="1103"/>
      <c r="I601" s="1104" t="s">
        <v>4924</v>
      </c>
      <c r="J601" s="1105"/>
      <c r="K601" s="1105"/>
      <c r="L601" s="1105"/>
      <c r="M601" s="1105"/>
      <c r="N601" s="1105"/>
      <c r="O601" s="1105"/>
      <c r="P601" s="1105"/>
      <c r="Q601" s="1105"/>
      <c r="R601" s="1105"/>
      <c r="S601" s="1105"/>
      <c r="T601" s="1105"/>
      <c r="U601" s="1106"/>
      <c r="V601" s="100"/>
      <c r="W601" s="100"/>
      <c r="X601" s="100"/>
      <c r="Y601" s="100"/>
      <c r="Z601" s="100"/>
      <c r="AA601" s="100"/>
      <c r="AB601" s="100"/>
      <c r="AC601" s="100"/>
      <c r="AD601" s="100"/>
      <c r="AF601"/>
      <c r="AG601">
        <f t="shared" ref="AG601:AG664" si="300">IF(OR($V$517=0,$V$517="NS",$V$517="NA",V601="NA"),0,IF(COUNTBLANK(V601:AD601)=0,0,1))</f>
        <v>0</v>
      </c>
      <c r="AH601">
        <f t="shared" si="290"/>
        <v>0</v>
      </c>
      <c r="AK601">
        <f t="shared" si="291"/>
        <v>0</v>
      </c>
      <c r="AL601">
        <f t="shared" si="292"/>
        <v>0</v>
      </c>
      <c r="AM601">
        <f t="shared" si="293"/>
        <v>0</v>
      </c>
      <c r="AN601">
        <f t="shared" si="294"/>
        <v>0</v>
      </c>
      <c r="AO601">
        <f t="shared" si="295"/>
        <v>0</v>
      </c>
      <c r="AP601">
        <f t="shared" si="296"/>
        <v>0</v>
      </c>
      <c r="AQ601">
        <f t="shared" si="297"/>
        <v>0</v>
      </c>
      <c r="AR601">
        <f t="shared" si="298"/>
        <v>0</v>
      </c>
      <c r="AS601">
        <f t="shared" si="299"/>
        <v>0</v>
      </c>
    </row>
    <row r="602" spans="1:45" ht="15" customHeight="1">
      <c r="A602" s="176"/>
      <c r="B602" s="57"/>
      <c r="C602" s="1109"/>
      <c r="D602" s="954"/>
      <c r="E602" s="955"/>
      <c r="F602" s="956"/>
      <c r="G602" s="1103" t="s">
        <v>4925</v>
      </c>
      <c r="H602" s="1103"/>
      <c r="I602" s="1104" t="s">
        <v>4926</v>
      </c>
      <c r="J602" s="1105"/>
      <c r="K602" s="1105"/>
      <c r="L602" s="1105"/>
      <c r="M602" s="1105"/>
      <c r="N602" s="1105"/>
      <c r="O602" s="1105"/>
      <c r="P602" s="1105"/>
      <c r="Q602" s="1105"/>
      <c r="R602" s="1105"/>
      <c r="S602" s="1105"/>
      <c r="T602" s="1105"/>
      <c r="U602" s="1106"/>
      <c r="V602" s="100"/>
      <c r="W602" s="100"/>
      <c r="X602" s="100"/>
      <c r="Y602" s="100"/>
      <c r="Z602" s="100"/>
      <c r="AA602" s="100"/>
      <c r="AB602" s="100"/>
      <c r="AC602" s="100"/>
      <c r="AD602" s="100"/>
      <c r="AF602"/>
      <c r="AG602">
        <f t="shared" si="300"/>
        <v>0</v>
      </c>
      <c r="AH602">
        <f t="shared" si="290"/>
        <v>0</v>
      </c>
      <c r="AJ602">
        <f>IF(OR(V602="NS",V602="NA",$V$715=0,$V$715="NS",$V$715="NA"),0,IF((V602*(IFERROR(100/SUM(V600:V602),0)))&gt;25,1,0))</f>
        <v>0</v>
      </c>
      <c r="AK602">
        <f t="shared" si="291"/>
        <v>0</v>
      </c>
      <c r="AL602">
        <f t="shared" si="292"/>
        <v>0</v>
      </c>
      <c r="AM602">
        <f t="shared" si="293"/>
        <v>0</v>
      </c>
      <c r="AN602">
        <f t="shared" si="294"/>
        <v>0</v>
      </c>
      <c r="AO602">
        <f t="shared" si="295"/>
        <v>0</v>
      </c>
      <c r="AP602">
        <f t="shared" si="296"/>
        <v>0</v>
      </c>
      <c r="AQ602">
        <f t="shared" si="297"/>
        <v>0</v>
      </c>
      <c r="AR602">
        <f t="shared" si="298"/>
        <v>0</v>
      </c>
      <c r="AS602">
        <f t="shared" si="299"/>
        <v>0</v>
      </c>
    </row>
    <row r="603" spans="1:45" ht="15" customHeight="1">
      <c r="A603" s="176"/>
      <c r="B603" s="57"/>
      <c r="C603" s="1108" t="s">
        <v>4927</v>
      </c>
      <c r="D603" s="847" t="s">
        <v>4928</v>
      </c>
      <c r="E603" s="953"/>
      <c r="F603" s="848"/>
      <c r="G603" s="1103" t="s">
        <v>4929</v>
      </c>
      <c r="H603" s="1103"/>
      <c r="I603" s="1104" t="s">
        <v>4930</v>
      </c>
      <c r="J603" s="1105"/>
      <c r="K603" s="1105"/>
      <c r="L603" s="1105"/>
      <c r="M603" s="1105"/>
      <c r="N603" s="1105"/>
      <c r="O603" s="1105"/>
      <c r="P603" s="1105"/>
      <c r="Q603" s="1105"/>
      <c r="R603" s="1105"/>
      <c r="S603" s="1105"/>
      <c r="T603" s="1105"/>
      <c r="U603" s="1106"/>
      <c r="V603" s="100"/>
      <c r="W603" s="100"/>
      <c r="X603" s="100"/>
      <c r="Y603" s="100"/>
      <c r="Z603" s="100"/>
      <c r="AA603" s="100"/>
      <c r="AB603" s="100"/>
      <c r="AC603" s="100"/>
      <c r="AD603" s="100"/>
      <c r="AF603">
        <f>IF(V603="NA",IF(AND(COUNTIF(V604:V610,"="&amp;$AF$545)=0,COUNTIF(V604:V610,"&lt;&gt;NA")&gt;0),1,0),IF(AND(COUNTIF(V604:V610,"="&amp;$AF$545)=0,COUNTIF(V604:V610,"NA")=COUNTIF(V604:V610,"&lt;&gt;"&amp;$AF$545)),1,0))</f>
        <v>0</v>
      </c>
      <c r="AG603">
        <f t="shared" si="300"/>
        <v>0</v>
      </c>
      <c r="AH603">
        <f t="shared" si="290"/>
        <v>0</v>
      </c>
      <c r="AK603">
        <f t="shared" si="291"/>
        <v>0</v>
      </c>
      <c r="AL603">
        <f t="shared" si="292"/>
        <v>0</v>
      </c>
      <c r="AM603">
        <f t="shared" si="293"/>
        <v>0</v>
      </c>
      <c r="AN603">
        <f t="shared" si="294"/>
        <v>0</v>
      </c>
      <c r="AO603">
        <f t="shared" si="295"/>
        <v>0</v>
      </c>
      <c r="AP603">
        <f t="shared" si="296"/>
        <v>0</v>
      </c>
      <c r="AQ603">
        <f t="shared" si="297"/>
        <v>0</v>
      </c>
      <c r="AR603">
        <f t="shared" si="298"/>
        <v>0</v>
      </c>
      <c r="AS603">
        <f t="shared" si="299"/>
        <v>0</v>
      </c>
    </row>
    <row r="604" spans="1:45" ht="15" customHeight="1">
      <c r="A604" s="176"/>
      <c r="B604" s="57"/>
      <c r="C604" s="1109"/>
      <c r="D604" s="954"/>
      <c r="E604" s="955"/>
      <c r="F604" s="956"/>
      <c r="G604" s="1110" t="s">
        <v>4931</v>
      </c>
      <c r="H604" s="1110"/>
      <c r="I604" s="177"/>
      <c r="J604" s="1115" t="s">
        <v>4932</v>
      </c>
      <c r="K604" s="1115"/>
      <c r="L604" s="1115"/>
      <c r="M604" s="1115"/>
      <c r="N604" s="1115"/>
      <c r="O604" s="1115"/>
      <c r="P604" s="1115"/>
      <c r="Q604" s="1115"/>
      <c r="R604" s="1115"/>
      <c r="S604" s="1115"/>
      <c r="T604" s="1115"/>
      <c r="U604" s="1116"/>
      <c r="V604" s="100"/>
      <c r="W604" s="100"/>
      <c r="X604" s="100"/>
      <c r="Y604" s="100"/>
      <c r="Z604" s="100"/>
      <c r="AA604" s="100"/>
      <c r="AB604" s="100"/>
      <c r="AC604" s="100"/>
      <c r="AD604" s="100"/>
      <c r="AF604"/>
      <c r="AG604">
        <f t="shared" si="300"/>
        <v>0</v>
      </c>
      <c r="AH604">
        <f t="shared" si="290"/>
        <v>0</v>
      </c>
      <c r="AK604">
        <f t="shared" si="291"/>
        <v>0</v>
      </c>
      <c r="AL604">
        <f t="shared" si="292"/>
        <v>0</v>
      </c>
      <c r="AM604">
        <f t="shared" si="293"/>
        <v>0</v>
      </c>
      <c r="AN604">
        <f t="shared" si="294"/>
        <v>0</v>
      </c>
      <c r="AO604">
        <f t="shared" si="295"/>
        <v>0</v>
      </c>
      <c r="AP604">
        <f t="shared" si="296"/>
        <v>0</v>
      </c>
      <c r="AQ604">
        <f t="shared" si="297"/>
        <v>0</v>
      </c>
      <c r="AR604">
        <f t="shared" si="298"/>
        <v>0</v>
      </c>
      <c r="AS604">
        <f t="shared" si="299"/>
        <v>0</v>
      </c>
    </row>
    <row r="605" spans="1:45" ht="15" customHeight="1">
      <c r="A605" s="176"/>
      <c r="B605" s="57"/>
      <c r="C605" s="1109"/>
      <c r="D605" s="954"/>
      <c r="E605" s="955"/>
      <c r="F605" s="956"/>
      <c r="G605" s="1110" t="s">
        <v>4933</v>
      </c>
      <c r="H605" s="1110"/>
      <c r="I605" s="178"/>
      <c r="J605" s="1111" t="s">
        <v>4934</v>
      </c>
      <c r="K605" s="1111"/>
      <c r="L605" s="1111"/>
      <c r="M605" s="1111"/>
      <c r="N605" s="1111"/>
      <c r="O605" s="1111"/>
      <c r="P605" s="1111"/>
      <c r="Q605" s="1111"/>
      <c r="R605" s="1111"/>
      <c r="S605" s="1111"/>
      <c r="T605" s="1111"/>
      <c r="U605" s="1112"/>
      <c r="V605" s="100"/>
      <c r="W605" s="100"/>
      <c r="X605" s="100"/>
      <c r="Y605" s="100"/>
      <c r="Z605" s="100"/>
      <c r="AA605" s="100"/>
      <c r="AB605" s="100"/>
      <c r="AC605" s="100"/>
      <c r="AD605" s="100"/>
      <c r="AF605"/>
      <c r="AG605">
        <f t="shared" si="300"/>
        <v>0</v>
      </c>
      <c r="AH605">
        <f t="shared" si="290"/>
        <v>0</v>
      </c>
      <c r="AK605">
        <f t="shared" si="291"/>
        <v>0</v>
      </c>
      <c r="AL605">
        <f t="shared" si="292"/>
        <v>0</v>
      </c>
      <c r="AM605">
        <f t="shared" si="293"/>
        <v>0</v>
      </c>
      <c r="AN605">
        <f t="shared" si="294"/>
        <v>0</v>
      </c>
      <c r="AO605">
        <f t="shared" si="295"/>
        <v>0</v>
      </c>
      <c r="AP605">
        <f t="shared" si="296"/>
        <v>0</v>
      </c>
      <c r="AQ605">
        <f t="shared" si="297"/>
        <v>0</v>
      </c>
      <c r="AR605">
        <f t="shared" si="298"/>
        <v>0</v>
      </c>
      <c r="AS605">
        <f t="shared" si="299"/>
        <v>0</v>
      </c>
    </row>
    <row r="606" spans="1:45" ht="15" customHeight="1">
      <c r="A606" s="176"/>
      <c r="B606" s="57"/>
      <c r="C606" s="1109"/>
      <c r="D606" s="954"/>
      <c r="E606" s="955"/>
      <c r="F606" s="956"/>
      <c r="G606" s="1110" t="s">
        <v>4935</v>
      </c>
      <c r="H606" s="1110"/>
      <c r="I606" s="178"/>
      <c r="J606" s="1111" t="s">
        <v>4936</v>
      </c>
      <c r="K606" s="1111"/>
      <c r="L606" s="1111"/>
      <c r="M606" s="1111"/>
      <c r="N606" s="1111"/>
      <c r="O606" s="1111"/>
      <c r="P606" s="1111"/>
      <c r="Q606" s="1111"/>
      <c r="R606" s="1111"/>
      <c r="S606" s="1111"/>
      <c r="T606" s="1111"/>
      <c r="U606" s="1112"/>
      <c r="V606" s="100"/>
      <c r="W606" s="100"/>
      <c r="X606" s="100"/>
      <c r="Y606" s="100"/>
      <c r="Z606" s="100"/>
      <c r="AA606" s="100"/>
      <c r="AB606" s="100"/>
      <c r="AC606" s="100"/>
      <c r="AD606" s="100"/>
      <c r="AF606"/>
      <c r="AG606">
        <f t="shared" si="300"/>
        <v>0</v>
      </c>
      <c r="AH606">
        <f t="shared" si="290"/>
        <v>0</v>
      </c>
      <c r="AK606">
        <f t="shared" si="291"/>
        <v>0</v>
      </c>
      <c r="AL606">
        <f t="shared" si="292"/>
        <v>0</v>
      </c>
      <c r="AM606">
        <f t="shared" si="293"/>
        <v>0</v>
      </c>
      <c r="AN606">
        <f t="shared" si="294"/>
        <v>0</v>
      </c>
      <c r="AO606">
        <f t="shared" si="295"/>
        <v>0</v>
      </c>
      <c r="AP606">
        <f t="shared" si="296"/>
        <v>0</v>
      </c>
      <c r="AQ606">
        <f t="shared" si="297"/>
        <v>0</v>
      </c>
      <c r="AR606">
        <f t="shared" si="298"/>
        <v>0</v>
      </c>
      <c r="AS606">
        <f t="shared" si="299"/>
        <v>0</v>
      </c>
    </row>
    <row r="607" spans="1:45" ht="15" customHeight="1">
      <c r="A607" s="176"/>
      <c r="B607" s="57"/>
      <c r="C607" s="1109"/>
      <c r="D607" s="954"/>
      <c r="E607" s="955"/>
      <c r="F607" s="956"/>
      <c r="G607" s="1110" t="s">
        <v>4937</v>
      </c>
      <c r="H607" s="1110"/>
      <c r="I607" s="178"/>
      <c r="J607" s="1111" t="s">
        <v>4938</v>
      </c>
      <c r="K607" s="1111"/>
      <c r="L607" s="1111"/>
      <c r="M607" s="1111"/>
      <c r="N607" s="1111"/>
      <c r="O607" s="1111"/>
      <c r="P607" s="1111"/>
      <c r="Q607" s="1111"/>
      <c r="R607" s="1111"/>
      <c r="S607" s="1111"/>
      <c r="T607" s="1111"/>
      <c r="U607" s="1112"/>
      <c r="V607" s="100"/>
      <c r="W607" s="100"/>
      <c r="X607" s="100"/>
      <c r="Y607" s="100"/>
      <c r="Z607" s="100"/>
      <c r="AA607" s="100"/>
      <c r="AB607" s="100"/>
      <c r="AC607" s="100"/>
      <c r="AD607" s="100"/>
      <c r="AF607"/>
      <c r="AG607">
        <f t="shared" si="300"/>
        <v>0</v>
      </c>
      <c r="AH607">
        <f t="shared" si="290"/>
        <v>0</v>
      </c>
      <c r="AK607">
        <f t="shared" si="291"/>
        <v>0</v>
      </c>
      <c r="AL607">
        <f t="shared" si="292"/>
        <v>0</v>
      </c>
      <c r="AM607">
        <f t="shared" si="293"/>
        <v>0</v>
      </c>
      <c r="AN607">
        <f t="shared" si="294"/>
        <v>0</v>
      </c>
      <c r="AO607">
        <f t="shared" si="295"/>
        <v>0</v>
      </c>
      <c r="AP607">
        <f t="shared" si="296"/>
        <v>0</v>
      </c>
      <c r="AQ607">
        <f t="shared" si="297"/>
        <v>0</v>
      </c>
      <c r="AR607">
        <f t="shared" si="298"/>
        <v>0</v>
      </c>
      <c r="AS607">
        <f t="shared" si="299"/>
        <v>0</v>
      </c>
    </row>
    <row r="608" spans="1:45" ht="15" customHeight="1">
      <c r="A608" s="176"/>
      <c r="B608" s="57"/>
      <c r="C608" s="1109"/>
      <c r="D608" s="954"/>
      <c r="E608" s="955"/>
      <c r="F608" s="956"/>
      <c r="G608" s="1110" t="s">
        <v>4939</v>
      </c>
      <c r="H608" s="1110"/>
      <c r="I608" s="178"/>
      <c r="J608" s="1111" t="s">
        <v>4940</v>
      </c>
      <c r="K608" s="1111"/>
      <c r="L608" s="1111"/>
      <c r="M608" s="1111"/>
      <c r="N608" s="1111"/>
      <c r="O608" s="1111"/>
      <c r="P608" s="1111"/>
      <c r="Q608" s="1111"/>
      <c r="R608" s="1111"/>
      <c r="S608" s="1111"/>
      <c r="T608" s="1111"/>
      <c r="U608" s="1112"/>
      <c r="V608" s="100"/>
      <c r="W608" s="100"/>
      <c r="X608" s="100"/>
      <c r="Y608" s="100"/>
      <c r="Z608" s="100"/>
      <c r="AA608" s="100"/>
      <c r="AB608" s="100"/>
      <c r="AC608" s="100"/>
      <c r="AD608" s="100"/>
      <c r="AF608"/>
      <c r="AG608">
        <f t="shared" si="300"/>
        <v>0</v>
      </c>
      <c r="AH608">
        <f t="shared" si="290"/>
        <v>0</v>
      </c>
      <c r="AK608">
        <f t="shared" si="291"/>
        <v>0</v>
      </c>
      <c r="AL608">
        <f t="shared" si="292"/>
        <v>0</v>
      </c>
      <c r="AM608">
        <f t="shared" si="293"/>
        <v>0</v>
      </c>
      <c r="AN608">
        <f t="shared" si="294"/>
        <v>0</v>
      </c>
      <c r="AO608">
        <f t="shared" si="295"/>
        <v>0</v>
      </c>
      <c r="AP608">
        <f t="shared" si="296"/>
        <v>0</v>
      </c>
      <c r="AQ608">
        <f t="shared" si="297"/>
        <v>0</v>
      </c>
      <c r="AR608">
        <f t="shared" si="298"/>
        <v>0</v>
      </c>
      <c r="AS608">
        <f t="shared" si="299"/>
        <v>0</v>
      </c>
    </row>
    <row r="609" spans="1:45" ht="15" customHeight="1">
      <c r="A609" s="176"/>
      <c r="B609" s="57"/>
      <c r="C609" s="1109"/>
      <c r="D609" s="954"/>
      <c r="E609" s="955"/>
      <c r="F609" s="956"/>
      <c r="G609" s="1110" t="s">
        <v>4941</v>
      </c>
      <c r="H609" s="1110"/>
      <c r="I609" s="178"/>
      <c r="J609" s="1111" t="s">
        <v>4942</v>
      </c>
      <c r="K609" s="1111"/>
      <c r="L609" s="1111"/>
      <c r="M609" s="1111"/>
      <c r="N609" s="1111"/>
      <c r="O609" s="1111"/>
      <c r="P609" s="1111"/>
      <c r="Q609" s="1111"/>
      <c r="R609" s="1111"/>
      <c r="S609" s="1111"/>
      <c r="T609" s="1111"/>
      <c r="U609" s="1112"/>
      <c r="V609" s="100"/>
      <c r="W609" s="100"/>
      <c r="X609" s="100"/>
      <c r="Y609" s="100"/>
      <c r="Z609" s="100"/>
      <c r="AA609" s="100"/>
      <c r="AB609" s="100"/>
      <c r="AC609" s="100"/>
      <c r="AD609" s="100"/>
      <c r="AF609"/>
      <c r="AG609">
        <f t="shared" si="300"/>
        <v>0</v>
      </c>
      <c r="AH609">
        <f t="shared" si="290"/>
        <v>0</v>
      </c>
      <c r="AK609">
        <f t="shared" si="291"/>
        <v>0</v>
      </c>
      <c r="AL609">
        <f t="shared" si="292"/>
        <v>0</v>
      </c>
      <c r="AM609">
        <f t="shared" si="293"/>
        <v>0</v>
      </c>
      <c r="AN609">
        <f t="shared" si="294"/>
        <v>0</v>
      </c>
      <c r="AO609">
        <f t="shared" si="295"/>
        <v>0</v>
      </c>
      <c r="AP609">
        <f t="shared" si="296"/>
        <v>0</v>
      </c>
      <c r="AQ609">
        <f t="shared" si="297"/>
        <v>0</v>
      </c>
      <c r="AR609">
        <f t="shared" si="298"/>
        <v>0</v>
      </c>
      <c r="AS609">
        <f t="shared" si="299"/>
        <v>0</v>
      </c>
    </row>
    <row r="610" spans="1:45" ht="15" customHeight="1">
      <c r="A610" s="176"/>
      <c r="B610" s="57"/>
      <c r="C610" s="1109"/>
      <c r="D610" s="954"/>
      <c r="E610" s="955"/>
      <c r="F610" s="956"/>
      <c r="G610" s="1110" t="s">
        <v>4943</v>
      </c>
      <c r="H610" s="1110"/>
      <c r="I610" s="179"/>
      <c r="J610" s="1113" t="s">
        <v>201</v>
      </c>
      <c r="K610" s="1113"/>
      <c r="L610" s="1113"/>
      <c r="M610" s="1113"/>
      <c r="N610" s="1113"/>
      <c r="O610" s="1113"/>
      <c r="P610" s="1113"/>
      <c r="Q610" s="1113"/>
      <c r="R610" s="1113"/>
      <c r="S610" s="1113"/>
      <c r="T610" s="1113"/>
      <c r="U610" s="1114"/>
      <c r="V610" s="100"/>
      <c r="W610" s="100"/>
      <c r="X610" s="100"/>
      <c r="Y610" s="100"/>
      <c r="Z610" s="100"/>
      <c r="AA610" s="100"/>
      <c r="AB610" s="100"/>
      <c r="AC610" s="100"/>
      <c r="AD610" s="100"/>
      <c r="AF610"/>
      <c r="AG610">
        <f t="shared" si="300"/>
        <v>0</v>
      </c>
      <c r="AH610">
        <f t="shared" si="290"/>
        <v>0</v>
      </c>
      <c r="AK610">
        <f t="shared" si="291"/>
        <v>0</v>
      </c>
      <c r="AL610">
        <f t="shared" si="292"/>
        <v>0</v>
      </c>
      <c r="AM610">
        <f t="shared" si="293"/>
        <v>0</v>
      </c>
      <c r="AN610">
        <f t="shared" si="294"/>
        <v>0</v>
      </c>
      <c r="AO610">
        <f t="shared" si="295"/>
        <v>0</v>
      </c>
      <c r="AP610">
        <f t="shared" si="296"/>
        <v>0</v>
      </c>
      <c r="AQ610">
        <f t="shared" si="297"/>
        <v>0</v>
      </c>
      <c r="AR610">
        <f t="shared" si="298"/>
        <v>0</v>
      </c>
      <c r="AS610">
        <f t="shared" si="299"/>
        <v>0</v>
      </c>
    </row>
    <row r="611" spans="1:45" ht="15" customHeight="1">
      <c r="A611" s="176"/>
      <c r="B611" s="57"/>
      <c r="C611" s="1109"/>
      <c r="D611" s="954"/>
      <c r="E611" s="955"/>
      <c r="F611" s="956"/>
      <c r="G611" s="1117" t="s">
        <v>4944</v>
      </c>
      <c r="H611" s="1118"/>
      <c r="I611" s="1104" t="s">
        <v>4945</v>
      </c>
      <c r="J611" s="1105"/>
      <c r="K611" s="1105"/>
      <c r="L611" s="1105"/>
      <c r="M611" s="1105"/>
      <c r="N611" s="1105"/>
      <c r="O611" s="1105"/>
      <c r="P611" s="1105"/>
      <c r="Q611" s="1105"/>
      <c r="R611" s="1105"/>
      <c r="S611" s="1105"/>
      <c r="T611" s="1105"/>
      <c r="U611" s="1106"/>
      <c r="V611" s="100"/>
      <c r="W611" s="100"/>
      <c r="X611" s="100"/>
      <c r="Y611" s="100"/>
      <c r="Z611" s="100"/>
      <c r="AA611" s="100"/>
      <c r="AB611" s="100"/>
      <c r="AC611" s="100"/>
      <c r="AD611" s="100"/>
      <c r="AF611">
        <f>IF(V611="NA",IF(AND(COUNTIF(V612:V616,"="&amp;$AF$545)=0,COUNTIF(V612:V616,"&lt;&gt;NA")&gt;0),1,0),IF(AND(COUNTIF(V612:V616,"="&amp;$AF$545)=0,COUNTIF(V612:V616,"NA")=COUNTIF(V612:V616,"&lt;&gt;"&amp;$AF$545)),1,0))</f>
        <v>0</v>
      </c>
      <c r="AG611">
        <f t="shared" si="300"/>
        <v>0</v>
      </c>
      <c r="AH611">
        <f t="shared" si="290"/>
        <v>0</v>
      </c>
      <c r="AK611">
        <f t="shared" si="291"/>
        <v>0</v>
      </c>
      <c r="AL611">
        <f t="shared" si="292"/>
        <v>0</v>
      </c>
      <c r="AM611">
        <f t="shared" si="293"/>
        <v>0</v>
      </c>
      <c r="AN611">
        <f t="shared" si="294"/>
        <v>0</v>
      </c>
      <c r="AO611">
        <f t="shared" si="295"/>
        <v>0</v>
      </c>
      <c r="AP611">
        <f t="shared" si="296"/>
        <v>0</v>
      </c>
      <c r="AQ611">
        <f t="shared" si="297"/>
        <v>0</v>
      </c>
      <c r="AR611">
        <f t="shared" si="298"/>
        <v>0</v>
      </c>
      <c r="AS611">
        <f t="shared" si="299"/>
        <v>0</v>
      </c>
    </row>
    <row r="612" spans="1:45" ht="15" customHeight="1">
      <c r="A612" s="176"/>
      <c r="B612" s="57"/>
      <c r="C612" s="1109"/>
      <c r="D612" s="954"/>
      <c r="E612" s="955"/>
      <c r="F612" s="956"/>
      <c r="G612" s="1119" t="s">
        <v>4946</v>
      </c>
      <c r="H612" s="1120"/>
      <c r="I612" s="177"/>
      <c r="J612" s="1115" t="s">
        <v>4947</v>
      </c>
      <c r="K612" s="1115"/>
      <c r="L612" s="1115"/>
      <c r="M612" s="1115"/>
      <c r="N612" s="1115"/>
      <c r="O612" s="1115"/>
      <c r="P612" s="1115"/>
      <c r="Q612" s="1115"/>
      <c r="R612" s="1115"/>
      <c r="S612" s="1115"/>
      <c r="T612" s="1115"/>
      <c r="U612" s="1116"/>
      <c r="V612" s="100"/>
      <c r="W612" s="100"/>
      <c r="X612" s="100"/>
      <c r="Y612" s="100"/>
      <c r="Z612" s="100"/>
      <c r="AA612" s="100"/>
      <c r="AB612" s="100"/>
      <c r="AC612" s="100"/>
      <c r="AD612" s="100"/>
      <c r="AF612"/>
      <c r="AG612">
        <f t="shared" si="300"/>
        <v>0</v>
      </c>
      <c r="AH612">
        <f t="shared" si="290"/>
        <v>0</v>
      </c>
      <c r="AK612">
        <f t="shared" si="291"/>
        <v>0</v>
      </c>
      <c r="AL612">
        <f t="shared" si="292"/>
        <v>0</v>
      </c>
      <c r="AM612">
        <f t="shared" si="293"/>
        <v>0</v>
      </c>
      <c r="AN612">
        <f t="shared" si="294"/>
        <v>0</v>
      </c>
      <c r="AO612">
        <f t="shared" si="295"/>
        <v>0</v>
      </c>
      <c r="AP612">
        <f t="shared" si="296"/>
        <v>0</v>
      </c>
      <c r="AQ612">
        <f t="shared" si="297"/>
        <v>0</v>
      </c>
      <c r="AR612">
        <f t="shared" si="298"/>
        <v>0</v>
      </c>
      <c r="AS612">
        <f t="shared" si="299"/>
        <v>0</v>
      </c>
    </row>
    <row r="613" spans="1:45" ht="15" customHeight="1">
      <c r="A613" s="176"/>
      <c r="B613" s="57"/>
      <c r="C613" s="1109"/>
      <c r="D613" s="954"/>
      <c r="E613" s="955"/>
      <c r="F613" s="956"/>
      <c r="G613" s="1119" t="s">
        <v>4948</v>
      </c>
      <c r="H613" s="1120"/>
      <c r="I613" s="178"/>
      <c r="J613" s="1111" t="s">
        <v>4949</v>
      </c>
      <c r="K613" s="1111"/>
      <c r="L613" s="1111"/>
      <c r="M613" s="1111"/>
      <c r="N613" s="1111"/>
      <c r="O613" s="1111"/>
      <c r="P613" s="1111"/>
      <c r="Q613" s="1111"/>
      <c r="R613" s="1111"/>
      <c r="S613" s="1111"/>
      <c r="T613" s="1111"/>
      <c r="U613" s="1112"/>
      <c r="V613" s="100"/>
      <c r="W613" s="100"/>
      <c r="X613" s="100"/>
      <c r="Y613" s="100"/>
      <c r="Z613" s="100"/>
      <c r="AA613" s="100"/>
      <c r="AB613" s="100"/>
      <c r="AC613" s="100"/>
      <c r="AD613" s="100"/>
      <c r="AF613"/>
      <c r="AG613">
        <f t="shared" si="300"/>
        <v>0</v>
      </c>
      <c r="AH613">
        <f t="shared" si="290"/>
        <v>0</v>
      </c>
      <c r="AK613">
        <f t="shared" si="291"/>
        <v>0</v>
      </c>
      <c r="AL613">
        <f t="shared" si="292"/>
        <v>0</v>
      </c>
      <c r="AM613">
        <f t="shared" si="293"/>
        <v>0</v>
      </c>
      <c r="AN613">
        <f t="shared" si="294"/>
        <v>0</v>
      </c>
      <c r="AO613">
        <f t="shared" si="295"/>
        <v>0</v>
      </c>
      <c r="AP613">
        <f t="shared" si="296"/>
        <v>0</v>
      </c>
      <c r="AQ613">
        <f t="shared" si="297"/>
        <v>0</v>
      </c>
      <c r="AR613">
        <f t="shared" si="298"/>
        <v>0</v>
      </c>
      <c r="AS613">
        <f t="shared" si="299"/>
        <v>0</v>
      </c>
    </row>
    <row r="614" spans="1:45" ht="15" customHeight="1">
      <c r="A614" s="176"/>
      <c r="B614" s="57"/>
      <c r="C614" s="1109"/>
      <c r="D614" s="954"/>
      <c r="E614" s="955"/>
      <c r="F614" s="956"/>
      <c r="G614" s="1119" t="s">
        <v>4950</v>
      </c>
      <c r="H614" s="1120"/>
      <c r="I614" s="178"/>
      <c r="J614" s="1111" t="s">
        <v>4951</v>
      </c>
      <c r="K614" s="1111"/>
      <c r="L614" s="1111"/>
      <c r="M614" s="1111"/>
      <c r="N614" s="1111"/>
      <c r="O614" s="1111"/>
      <c r="P614" s="1111"/>
      <c r="Q614" s="1111"/>
      <c r="R614" s="1111"/>
      <c r="S614" s="1111"/>
      <c r="T614" s="1111"/>
      <c r="U614" s="1112"/>
      <c r="V614" s="100"/>
      <c r="W614" s="100"/>
      <c r="X614" s="100"/>
      <c r="Y614" s="100"/>
      <c r="Z614" s="100"/>
      <c r="AA614" s="100"/>
      <c r="AB614" s="100"/>
      <c r="AC614" s="100"/>
      <c r="AD614" s="100"/>
      <c r="AF614"/>
      <c r="AG614">
        <f t="shared" si="300"/>
        <v>0</v>
      </c>
      <c r="AH614">
        <f t="shared" si="290"/>
        <v>0</v>
      </c>
      <c r="AK614">
        <f t="shared" si="291"/>
        <v>0</v>
      </c>
      <c r="AL614">
        <f t="shared" si="292"/>
        <v>0</v>
      </c>
      <c r="AM614">
        <f t="shared" si="293"/>
        <v>0</v>
      </c>
      <c r="AN614">
        <f t="shared" si="294"/>
        <v>0</v>
      </c>
      <c r="AO614">
        <f t="shared" si="295"/>
        <v>0</v>
      </c>
      <c r="AP614">
        <f t="shared" si="296"/>
        <v>0</v>
      </c>
      <c r="AQ614">
        <f t="shared" si="297"/>
        <v>0</v>
      </c>
      <c r="AR614">
        <f t="shared" si="298"/>
        <v>0</v>
      </c>
      <c r="AS614">
        <f t="shared" si="299"/>
        <v>0</v>
      </c>
    </row>
    <row r="615" spans="1:45" ht="15" customHeight="1">
      <c r="A615" s="176"/>
      <c r="B615" s="57"/>
      <c r="C615" s="1109"/>
      <c r="D615" s="954"/>
      <c r="E615" s="955"/>
      <c r="F615" s="956"/>
      <c r="G615" s="1119" t="s">
        <v>4952</v>
      </c>
      <c r="H615" s="1120"/>
      <c r="I615" s="178"/>
      <c r="J615" s="1111" t="s">
        <v>4953</v>
      </c>
      <c r="K615" s="1111"/>
      <c r="L615" s="1111"/>
      <c r="M615" s="1111"/>
      <c r="N615" s="1111"/>
      <c r="O615" s="1111"/>
      <c r="P615" s="1111"/>
      <c r="Q615" s="1111"/>
      <c r="R615" s="1111"/>
      <c r="S615" s="1111"/>
      <c r="T615" s="1111"/>
      <c r="U615" s="1112"/>
      <c r="V615" s="100"/>
      <c r="W615" s="100"/>
      <c r="X615" s="100"/>
      <c r="Y615" s="100"/>
      <c r="Z615" s="100"/>
      <c r="AA615" s="100"/>
      <c r="AB615" s="100"/>
      <c r="AC615" s="100"/>
      <c r="AD615" s="100"/>
      <c r="AF615"/>
      <c r="AG615">
        <f t="shared" si="300"/>
        <v>0</v>
      </c>
      <c r="AH615">
        <f t="shared" si="290"/>
        <v>0</v>
      </c>
      <c r="AK615">
        <f t="shared" si="291"/>
        <v>0</v>
      </c>
      <c r="AL615">
        <f t="shared" si="292"/>
        <v>0</v>
      </c>
      <c r="AM615">
        <f t="shared" si="293"/>
        <v>0</v>
      </c>
      <c r="AN615">
        <f t="shared" si="294"/>
        <v>0</v>
      </c>
      <c r="AO615">
        <f t="shared" si="295"/>
        <v>0</v>
      </c>
      <c r="AP615">
        <f t="shared" si="296"/>
        <v>0</v>
      </c>
      <c r="AQ615">
        <f t="shared" si="297"/>
        <v>0</v>
      </c>
      <c r="AR615">
        <f t="shared" si="298"/>
        <v>0</v>
      </c>
      <c r="AS615">
        <f t="shared" si="299"/>
        <v>0</v>
      </c>
    </row>
    <row r="616" spans="1:45" ht="15" customHeight="1">
      <c r="A616" s="176"/>
      <c r="B616" s="57"/>
      <c r="C616" s="1109"/>
      <c r="D616" s="954"/>
      <c r="E616" s="955"/>
      <c r="F616" s="956"/>
      <c r="G616" s="1119" t="s">
        <v>4954</v>
      </c>
      <c r="H616" s="1120"/>
      <c r="I616" s="179"/>
      <c r="J616" s="1113" t="s">
        <v>201</v>
      </c>
      <c r="K616" s="1113"/>
      <c r="L616" s="1113"/>
      <c r="M616" s="1113"/>
      <c r="N616" s="1113"/>
      <c r="O616" s="1113"/>
      <c r="P616" s="1113"/>
      <c r="Q616" s="1113"/>
      <c r="R616" s="1113"/>
      <c r="S616" s="1113"/>
      <c r="T616" s="1113"/>
      <c r="U616" s="1114"/>
      <c r="V616" s="100"/>
      <c r="W616" s="100"/>
      <c r="X616" s="100"/>
      <c r="Y616" s="100"/>
      <c r="Z616" s="100"/>
      <c r="AA616" s="100"/>
      <c r="AB616" s="100"/>
      <c r="AC616" s="100"/>
      <c r="AD616" s="100"/>
      <c r="AF616"/>
      <c r="AG616">
        <f t="shared" si="300"/>
        <v>0</v>
      </c>
      <c r="AH616">
        <f t="shared" si="290"/>
        <v>0</v>
      </c>
      <c r="AK616">
        <f t="shared" si="291"/>
        <v>0</v>
      </c>
      <c r="AL616">
        <f t="shared" si="292"/>
        <v>0</v>
      </c>
      <c r="AM616">
        <f t="shared" si="293"/>
        <v>0</v>
      </c>
      <c r="AN616">
        <f t="shared" si="294"/>
        <v>0</v>
      </c>
      <c r="AO616">
        <f t="shared" si="295"/>
        <v>0</v>
      </c>
      <c r="AP616">
        <f t="shared" si="296"/>
        <v>0</v>
      </c>
      <c r="AQ616">
        <f t="shared" si="297"/>
        <v>0</v>
      </c>
      <c r="AR616">
        <f t="shared" si="298"/>
        <v>0</v>
      </c>
      <c r="AS616">
        <f t="shared" si="299"/>
        <v>0</v>
      </c>
    </row>
    <row r="617" spans="1:45" ht="24" customHeight="1">
      <c r="A617" s="176"/>
      <c r="B617" s="57"/>
      <c r="C617" s="1109"/>
      <c r="D617" s="954"/>
      <c r="E617" s="955"/>
      <c r="F617" s="956"/>
      <c r="G617" s="1103" t="s">
        <v>4955</v>
      </c>
      <c r="H617" s="1103"/>
      <c r="I617" s="1104" t="s">
        <v>4956</v>
      </c>
      <c r="J617" s="1105"/>
      <c r="K617" s="1105"/>
      <c r="L617" s="1105"/>
      <c r="M617" s="1105"/>
      <c r="N617" s="1105"/>
      <c r="O617" s="1105"/>
      <c r="P617" s="1105"/>
      <c r="Q617" s="1105"/>
      <c r="R617" s="1105"/>
      <c r="S617" s="1105"/>
      <c r="T617" s="1105"/>
      <c r="U617" s="1106"/>
      <c r="V617" s="100"/>
      <c r="W617" s="100"/>
      <c r="X617" s="100"/>
      <c r="Y617" s="100"/>
      <c r="Z617" s="100"/>
      <c r="AA617" s="100"/>
      <c r="AB617" s="100"/>
      <c r="AC617" s="100"/>
      <c r="AD617" s="100"/>
      <c r="AF617"/>
      <c r="AG617">
        <f t="shared" si="300"/>
        <v>0</v>
      </c>
      <c r="AH617">
        <f t="shared" si="290"/>
        <v>0</v>
      </c>
      <c r="AK617">
        <f t="shared" si="291"/>
        <v>0</v>
      </c>
      <c r="AL617">
        <f t="shared" si="292"/>
        <v>0</v>
      </c>
      <c r="AM617">
        <f t="shared" si="293"/>
        <v>0</v>
      </c>
      <c r="AN617">
        <f t="shared" si="294"/>
        <v>0</v>
      </c>
      <c r="AO617">
        <f t="shared" si="295"/>
        <v>0</v>
      </c>
      <c r="AP617">
        <f t="shared" si="296"/>
        <v>0</v>
      </c>
      <c r="AQ617">
        <f t="shared" si="297"/>
        <v>0</v>
      </c>
      <c r="AR617">
        <f t="shared" si="298"/>
        <v>0</v>
      </c>
      <c r="AS617">
        <f t="shared" si="299"/>
        <v>0</v>
      </c>
    </row>
    <row r="618" spans="1:45" ht="15" customHeight="1">
      <c r="A618" s="176"/>
      <c r="B618" s="57"/>
      <c r="C618" s="1109"/>
      <c r="D618" s="954"/>
      <c r="E618" s="955"/>
      <c r="F618" s="956"/>
      <c r="G618" s="1103" t="s">
        <v>4957</v>
      </c>
      <c r="H618" s="1103"/>
      <c r="I618" s="1104" t="s">
        <v>4958</v>
      </c>
      <c r="J618" s="1105"/>
      <c r="K618" s="1105"/>
      <c r="L618" s="1105"/>
      <c r="M618" s="1105"/>
      <c r="N618" s="1105"/>
      <c r="O618" s="1105"/>
      <c r="P618" s="1105"/>
      <c r="Q618" s="1105"/>
      <c r="R618" s="1105"/>
      <c r="S618" s="1105"/>
      <c r="T618" s="1105"/>
      <c r="U618" s="1106"/>
      <c r="V618" s="100"/>
      <c r="W618" s="100"/>
      <c r="X618" s="100"/>
      <c r="Y618" s="100"/>
      <c r="Z618" s="100"/>
      <c r="AA618" s="100"/>
      <c r="AB618" s="100"/>
      <c r="AC618" s="100"/>
      <c r="AD618" s="100"/>
      <c r="AF618"/>
      <c r="AG618">
        <f t="shared" si="300"/>
        <v>0</v>
      </c>
      <c r="AH618">
        <f t="shared" si="290"/>
        <v>0</v>
      </c>
      <c r="AK618">
        <f t="shared" si="291"/>
        <v>0</v>
      </c>
      <c r="AL618">
        <f t="shared" si="292"/>
        <v>0</v>
      </c>
      <c r="AM618">
        <f t="shared" si="293"/>
        <v>0</v>
      </c>
      <c r="AN618">
        <f t="shared" si="294"/>
        <v>0</v>
      </c>
      <c r="AO618">
        <f t="shared" si="295"/>
        <v>0</v>
      </c>
      <c r="AP618">
        <f t="shared" si="296"/>
        <v>0</v>
      </c>
      <c r="AQ618">
        <f t="shared" si="297"/>
        <v>0</v>
      </c>
      <c r="AR618">
        <f t="shared" si="298"/>
        <v>0</v>
      </c>
      <c r="AS618">
        <f t="shared" si="299"/>
        <v>0</v>
      </c>
    </row>
    <row r="619" spans="1:45" ht="15" customHeight="1">
      <c r="A619" s="176"/>
      <c r="B619" s="57"/>
      <c r="C619" s="1109"/>
      <c r="D619" s="954"/>
      <c r="E619" s="955"/>
      <c r="F619" s="956"/>
      <c r="G619" s="1103" t="s">
        <v>4959</v>
      </c>
      <c r="H619" s="1103"/>
      <c r="I619" s="1104" t="s">
        <v>4960</v>
      </c>
      <c r="J619" s="1105"/>
      <c r="K619" s="1105"/>
      <c r="L619" s="1105"/>
      <c r="M619" s="1105"/>
      <c r="N619" s="1105"/>
      <c r="O619" s="1105"/>
      <c r="P619" s="1105"/>
      <c r="Q619" s="1105"/>
      <c r="R619" s="1105"/>
      <c r="S619" s="1105"/>
      <c r="T619" s="1105"/>
      <c r="U619" s="1106"/>
      <c r="V619" s="100"/>
      <c r="W619" s="100"/>
      <c r="X619" s="100"/>
      <c r="Y619" s="100"/>
      <c r="Z619" s="100"/>
      <c r="AA619" s="100"/>
      <c r="AB619" s="100"/>
      <c r="AC619" s="100"/>
      <c r="AD619" s="100"/>
      <c r="AF619"/>
      <c r="AG619">
        <f t="shared" si="300"/>
        <v>0</v>
      </c>
      <c r="AH619">
        <f t="shared" si="290"/>
        <v>0</v>
      </c>
      <c r="AK619">
        <f t="shared" si="291"/>
        <v>0</v>
      </c>
      <c r="AL619">
        <f t="shared" si="292"/>
        <v>0</v>
      </c>
      <c r="AM619">
        <f t="shared" si="293"/>
        <v>0</v>
      </c>
      <c r="AN619">
        <f t="shared" si="294"/>
        <v>0</v>
      </c>
      <c r="AO619">
        <f t="shared" si="295"/>
        <v>0</v>
      </c>
      <c r="AP619">
        <f t="shared" si="296"/>
        <v>0</v>
      </c>
      <c r="AQ619">
        <f t="shared" si="297"/>
        <v>0</v>
      </c>
      <c r="AR619">
        <f t="shared" si="298"/>
        <v>0</v>
      </c>
      <c r="AS619">
        <f t="shared" si="299"/>
        <v>0</v>
      </c>
    </row>
    <row r="620" spans="1:45" ht="15" customHeight="1">
      <c r="A620" s="176"/>
      <c r="B620" s="57"/>
      <c r="C620" s="1109"/>
      <c r="D620" s="954"/>
      <c r="E620" s="955"/>
      <c r="F620" s="956"/>
      <c r="G620" s="1103" t="s">
        <v>4961</v>
      </c>
      <c r="H620" s="1103"/>
      <c r="I620" s="1104" t="s">
        <v>4962</v>
      </c>
      <c r="J620" s="1105"/>
      <c r="K620" s="1105"/>
      <c r="L620" s="1105"/>
      <c r="M620" s="1105"/>
      <c r="N620" s="1105"/>
      <c r="O620" s="1105"/>
      <c r="P620" s="1105"/>
      <c r="Q620" s="1105"/>
      <c r="R620" s="1105"/>
      <c r="S620" s="1105"/>
      <c r="T620" s="1105"/>
      <c r="U620" s="1106"/>
      <c r="V620" s="100"/>
      <c r="W620" s="100"/>
      <c r="X620" s="100"/>
      <c r="Y620" s="100"/>
      <c r="Z620" s="100"/>
      <c r="AA620" s="100"/>
      <c r="AB620" s="100"/>
      <c r="AC620" s="100"/>
      <c r="AD620" s="100"/>
      <c r="AF620"/>
      <c r="AG620">
        <f t="shared" si="300"/>
        <v>0</v>
      </c>
      <c r="AH620">
        <f t="shared" si="290"/>
        <v>0</v>
      </c>
      <c r="AJ620">
        <f>IF(OR(V620="NS",V620="NA",$V$715=0,$V$715="NS",$V$715="NA"),0,IF((V620*(IFERROR(100/SUM(V603:V620),0)))&gt;25,1,0))</f>
        <v>0</v>
      </c>
      <c r="AK620">
        <f t="shared" si="291"/>
        <v>0</v>
      </c>
      <c r="AL620">
        <f t="shared" si="292"/>
        <v>0</v>
      </c>
      <c r="AM620">
        <f t="shared" si="293"/>
        <v>0</v>
      </c>
      <c r="AN620">
        <f t="shared" si="294"/>
        <v>0</v>
      </c>
      <c r="AO620">
        <f t="shared" si="295"/>
        <v>0</v>
      </c>
      <c r="AP620">
        <f t="shared" si="296"/>
        <v>0</v>
      </c>
      <c r="AQ620">
        <f t="shared" si="297"/>
        <v>0</v>
      </c>
      <c r="AR620">
        <f t="shared" si="298"/>
        <v>0</v>
      </c>
      <c r="AS620">
        <f t="shared" si="299"/>
        <v>0</v>
      </c>
    </row>
    <row r="621" spans="1:45" ht="24" customHeight="1">
      <c r="A621" s="176"/>
      <c r="B621" s="57"/>
      <c r="C621" s="1108" t="s">
        <v>4963</v>
      </c>
      <c r="D621" s="847" t="s">
        <v>4964</v>
      </c>
      <c r="E621" s="953"/>
      <c r="F621" s="848"/>
      <c r="G621" s="1103" t="s">
        <v>4965</v>
      </c>
      <c r="H621" s="1103"/>
      <c r="I621" s="1104" t="s">
        <v>4966</v>
      </c>
      <c r="J621" s="1105"/>
      <c r="K621" s="1105"/>
      <c r="L621" s="1105"/>
      <c r="M621" s="1105"/>
      <c r="N621" s="1105"/>
      <c r="O621" s="1105"/>
      <c r="P621" s="1105"/>
      <c r="Q621" s="1105"/>
      <c r="R621" s="1105"/>
      <c r="S621" s="1105"/>
      <c r="T621" s="1105"/>
      <c r="U621" s="1106"/>
      <c r="V621" s="100"/>
      <c r="W621" s="100"/>
      <c r="X621" s="100"/>
      <c r="Y621" s="100"/>
      <c r="Z621" s="100"/>
      <c r="AA621" s="100"/>
      <c r="AB621" s="100"/>
      <c r="AC621" s="100"/>
      <c r="AD621" s="100"/>
      <c r="AF621">
        <f>IF(V621="NA",IF(AND(COUNTIF(V622:V627,"="&amp;$AF$545)=0,COUNTIF(V622:V627,"&lt;&gt;NA")&gt;0),1,0),IF(AND(COUNTIF(V622:V627,"="&amp;$AF$545)=0,COUNTIF(V622:V627,"NA")=COUNTIF(V622:V627,"&lt;&gt;"&amp;$AF$545)),1,0))</f>
        <v>0</v>
      </c>
      <c r="AG621">
        <f t="shared" si="300"/>
        <v>0</v>
      </c>
      <c r="AH621">
        <f t="shared" si="290"/>
        <v>0</v>
      </c>
      <c r="AK621">
        <f t="shared" si="291"/>
        <v>0</v>
      </c>
      <c r="AL621">
        <f t="shared" si="292"/>
        <v>0</v>
      </c>
      <c r="AM621">
        <f t="shared" si="293"/>
        <v>0</v>
      </c>
      <c r="AN621">
        <f t="shared" si="294"/>
        <v>0</v>
      </c>
      <c r="AO621">
        <f t="shared" si="295"/>
        <v>0</v>
      </c>
      <c r="AP621">
        <f t="shared" si="296"/>
        <v>0</v>
      </c>
      <c r="AQ621">
        <f t="shared" si="297"/>
        <v>0</v>
      </c>
      <c r="AR621">
        <f t="shared" si="298"/>
        <v>0</v>
      </c>
      <c r="AS621">
        <f t="shared" si="299"/>
        <v>0</v>
      </c>
    </row>
    <row r="622" spans="1:45" ht="15" customHeight="1">
      <c r="A622" s="176"/>
      <c r="B622" s="57"/>
      <c r="C622" s="1109"/>
      <c r="D622" s="954"/>
      <c r="E622" s="955"/>
      <c r="F622" s="956"/>
      <c r="G622" s="1110" t="s">
        <v>4967</v>
      </c>
      <c r="H622" s="1110"/>
      <c r="I622" s="177"/>
      <c r="J622" s="1115" t="s">
        <v>4968</v>
      </c>
      <c r="K622" s="1115"/>
      <c r="L622" s="1115"/>
      <c r="M622" s="1115"/>
      <c r="N622" s="1115"/>
      <c r="O622" s="1115"/>
      <c r="P622" s="1115"/>
      <c r="Q622" s="1115"/>
      <c r="R622" s="1115"/>
      <c r="S622" s="1115"/>
      <c r="T622" s="1115"/>
      <c r="U622" s="1116"/>
      <c r="V622" s="100"/>
      <c r="W622" s="100"/>
      <c r="X622" s="100"/>
      <c r="Y622" s="100"/>
      <c r="Z622" s="100"/>
      <c r="AA622" s="100"/>
      <c r="AB622" s="100"/>
      <c r="AC622" s="100"/>
      <c r="AD622" s="100"/>
      <c r="AF622"/>
      <c r="AG622">
        <f t="shared" si="300"/>
        <v>0</v>
      </c>
      <c r="AH622">
        <f t="shared" si="290"/>
        <v>0</v>
      </c>
      <c r="AK622">
        <f t="shared" si="291"/>
        <v>0</v>
      </c>
      <c r="AL622">
        <f t="shared" si="292"/>
        <v>0</v>
      </c>
      <c r="AM622">
        <f t="shared" si="293"/>
        <v>0</v>
      </c>
      <c r="AN622">
        <f t="shared" si="294"/>
        <v>0</v>
      </c>
      <c r="AO622">
        <f t="shared" si="295"/>
        <v>0</v>
      </c>
      <c r="AP622">
        <f t="shared" si="296"/>
        <v>0</v>
      </c>
      <c r="AQ622">
        <f t="shared" si="297"/>
        <v>0</v>
      </c>
      <c r="AR622">
        <f t="shared" si="298"/>
        <v>0</v>
      </c>
      <c r="AS622">
        <f t="shared" si="299"/>
        <v>0</v>
      </c>
    </row>
    <row r="623" spans="1:45" ht="15" customHeight="1">
      <c r="A623" s="176"/>
      <c r="B623" s="57"/>
      <c r="C623" s="1109"/>
      <c r="D623" s="954"/>
      <c r="E623" s="955"/>
      <c r="F623" s="956"/>
      <c r="G623" s="1110" t="s">
        <v>4969</v>
      </c>
      <c r="H623" s="1110"/>
      <c r="I623" s="178"/>
      <c r="J623" s="1111" t="s">
        <v>4970</v>
      </c>
      <c r="K623" s="1111"/>
      <c r="L623" s="1111"/>
      <c r="M623" s="1111"/>
      <c r="N623" s="1111"/>
      <c r="O623" s="1111"/>
      <c r="P623" s="1111"/>
      <c r="Q623" s="1111"/>
      <c r="R623" s="1111"/>
      <c r="S623" s="1111"/>
      <c r="T623" s="1111"/>
      <c r="U623" s="1112"/>
      <c r="V623" s="100"/>
      <c r="W623" s="100"/>
      <c r="X623" s="100"/>
      <c r="Y623" s="100"/>
      <c r="Z623" s="100"/>
      <c r="AA623" s="100"/>
      <c r="AB623" s="100"/>
      <c r="AC623" s="100"/>
      <c r="AD623" s="100"/>
      <c r="AF623"/>
      <c r="AG623">
        <f t="shared" si="300"/>
        <v>0</v>
      </c>
      <c r="AH623">
        <f t="shared" si="290"/>
        <v>0</v>
      </c>
      <c r="AK623">
        <f t="shared" si="291"/>
        <v>0</v>
      </c>
      <c r="AL623">
        <f t="shared" si="292"/>
        <v>0</v>
      </c>
      <c r="AM623">
        <f t="shared" si="293"/>
        <v>0</v>
      </c>
      <c r="AN623">
        <f t="shared" si="294"/>
        <v>0</v>
      </c>
      <c r="AO623">
        <f t="shared" si="295"/>
        <v>0</v>
      </c>
      <c r="AP623">
        <f t="shared" si="296"/>
        <v>0</v>
      </c>
      <c r="AQ623">
        <f t="shared" si="297"/>
        <v>0</v>
      </c>
      <c r="AR623">
        <f t="shared" si="298"/>
        <v>0</v>
      </c>
      <c r="AS623">
        <f t="shared" si="299"/>
        <v>0</v>
      </c>
    </row>
    <row r="624" spans="1:45" ht="15" customHeight="1">
      <c r="A624" s="176"/>
      <c r="B624" s="57"/>
      <c r="C624" s="1109"/>
      <c r="D624" s="954"/>
      <c r="E624" s="955"/>
      <c r="F624" s="956"/>
      <c r="G624" s="1110" t="s">
        <v>4971</v>
      </c>
      <c r="H624" s="1110"/>
      <c r="I624" s="178"/>
      <c r="J624" s="1111" t="s">
        <v>4972</v>
      </c>
      <c r="K624" s="1111"/>
      <c r="L624" s="1111"/>
      <c r="M624" s="1111"/>
      <c r="N624" s="1111"/>
      <c r="O624" s="1111"/>
      <c r="P624" s="1111"/>
      <c r="Q624" s="1111"/>
      <c r="R624" s="1111"/>
      <c r="S624" s="1111"/>
      <c r="T624" s="1111"/>
      <c r="U624" s="1112"/>
      <c r="V624" s="100"/>
      <c r="W624" s="100"/>
      <c r="X624" s="100"/>
      <c r="Y624" s="100"/>
      <c r="Z624" s="100"/>
      <c r="AA624" s="100"/>
      <c r="AB624" s="100"/>
      <c r="AC624" s="100"/>
      <c r="AD624" s="100"/>
      <c r="AF624"/>
      <c r="AG624">
        <f t="shared" si="300"/>
        <v>0</v>
      </c>
      <c r="AH624">
        <f t="shared" si="290"/>
        <v>0</v>
      </c>
      <c r="AK624">
        <f t="shared" si="291"/>
        <v>0</v>
      </c>
      <c r="AL624">
        <f t="shared" si="292"/>
        <v>0</v>
      </c>
      <c r="AM624">
        <f t="shared" si="293"/>
        <v>0</v>
      </c>
      <c r="AN624">
        <f t="shared" si="294"/>
        <v>0</v>
      </c>
      <c r="AO624">
        <f t="shared" si="295"/>
        <v>0</v>
      </c>
      <c r="AP624">
        <f t="shared" si="296"/>
        <v>0</v>
      </c>
      <c r="AQ624">
        <f t="shared" si="297"/>
        <v>0</v>
      </c>
      <c r="AR624">
        <f t="shared" si="298"/>
        <v>0</v>
      </c>
      <c r="AS624">
        <f t="shared" si="299"/>
        <v>0</v>
      </c>
    </row>
    <row r="625" spans="1:45" ht="15" customHeight="1">
      <c r="A625" s="176"/>
      <c r="B625" s="57"/>
      <c r="C625" s="1109"/>
      <c r="D625" s="954"/>
      <c r="E625" s="955"/>
      <c r="F625" s="956"/>
      <c r="G625" s="1110" t="s">
        <v>4973</v>
      </c>
      <c r="H625" s="1110"/>
      <c r="I625" s="178"/>
      <c r="J625" s="1111" t="s">
        <v>4974</v>
      </c>
      <c r="K625" s="1111"/>
      <c r="L625" s="1111"/>
      <c r="M625" s="1111"/>
      <c r="N625" s="1111"/>
      <c r="O625" s="1111"/>
      <c r="P625" s="1111"/>
      <c r="Q625" s="1111"/>
      <c r="R625" s="1111"/>
      <c r="S625" s="1111"/>
      <c r="T625" s="1111"/>
      <c r="U625" s="1112"/>
      <c r="V625" s="100"/>
      <c r="W625" s="100"/>
      <c r="X625" s="100"/>
      <c r="Y625" s="100"/>
      <c r="Z625" s="100"/>
      <c r="AA625" s="100"/>
      <c r="AB625" s="100"/>
      <c r="AC625" s="100"/>
      <c r="AD625" s="100"/>
      <c r="AF625"/>
      <c r="AG625">
        <f t="shared" si="300"/>
        <v>0</v>
      </c>
      <c r="AH625">
        <f t="shared" si="290"/>
        <v>0</v>
      </c>
      <c r="AK625">
        <f t="shared" si="291"/>
        <v>0</v>
      </c>
      <c r="AL625">
        <f t="shared" si="292"/>
        <v>0</v>
      </c>
      <c r="AM625">
        <f t="shared" si="293"/>
        <v>0</v>
      </c>
      <c r="AN625">
        <f t="shared" si="294"/>
        <v>0</v>
      </c>
      <c r="AO625">
        <f t="shared" si="295"/>
        <v>0</v>
      </c>
      <c r="AP625">
        <f t="shared" si="296"/>
        <v>0</v>
      </c>
      <c r="AQ625">
        <f t="shared" si="297"/>
        <v>0</v>
      </c>
      <c r="AR625">
        <f t="shared" si="298"/>
        <v>0</v>
      </c>
      <c r="AS625">
        <f t="shared" si="299"/>
        <v>0</v>
      </c>
    </row>
    <row r="626" spans="1:45" ht="24" customHeight="1">
      <c r="A626" s="176"/>
      <c r="B626" s="57"/>
      <c r="C626" s="1109"/>
      <c r="D626" s="954"/>
      <c r="E626" s="955"/>
      <c r="F626" s="956"/>
      <c r="G626" s="1110" t="s">
        <v>4975</v>
      </c>
      <c r="H626" s="1110"/>
      <c r="I626" s="178"/>
      <c r="J626" s="1111" t="s">
        <v>4976</v>
      </c>
      <c r="K626" s="1111"/>
      <c r="L626" s="1111"/>
      <c r="M626" s="1111"/>
      <c r="N626" s="1111"/>
      <c r="O626" s="1111"/>
      <c r="P626" s="1111"/>
      <c r="Q626" s="1111"/>
      <c r="R626" s="1111"/>
      <c r="S626" s="1111"/>
      <c r="T626" s="1111"/>
      <c r="U626" s="1112"/>
      <c r="V626" s="100"/>
      <c r="W626" s="100"/>
      <c r="X626" s="100"/>
      <c r="Y626" s="100"/>
      <c r="Z626" s="100"/>
      <c r="AA626" s="100"/>
      <c r="AB626" s="100"/>
      <c r="AC626" s="100"/>
      <c r="AD626" s="100"/>
      <c r="AF626"/>
      <c r="AG626">
        <f t="shared" si="300"/>
        <v>0</v>
      </c>
      <c r="AH626">
        <f t="shared" si="290"/>
        <v>0</v>
      </c>
      <c r="AK626">
        <f t="shared" si="291"/>
        <v>0</v>
      </c>
      <c r="AL626">
        <f t="shared" si="292"/>
        <v>0</v>
      </c>
      <c r="AM626">
        <f t="shared" si="293"/>
        <v>0</v>
      </c>
      <c r="AN626">
        <f t="shared" si="294"/>
        <v>0</v>
      </c>
      <c r="AO626">
        <f t="shared" si="295"/>
        <v>0</v>
      </c>
      <c r="AP626">
        <f t="shared" si="296"/>
        <v>0</v>
      </c>
      <c r="AQ626">
        <f t="shared" si="297"/>
        <v>0</v>
      </c>
      <c r="AR626">
        <f t="shared" si="298"/>
        <v>0</v>
      </c>
      <c r="AS626">
        <f t="shared" si="299"/>
        <v>0</v>
      </c>
    </row>
    <row r="627" spans="1:45" ht="15" customHeight="1">
      <c r="A627" s="176"/>
      <c r="B627" s="57"/>
      <c r="C627" s="1109"/>
      <c r="D627" s="954"/>
      <c r="E627" s="955"/>
      <c r="F627" s="956"/>
      <c r="G627" s="1110" t="s">
        <v>4977</v>
      </c>
      <c r="H627" s="1110"/>
      <c r="I627" s="179"/>
      <c r="J627" s="1113" t="s">
        <v>201</v>
      </c>
      <c r="K627" s="1113"/>
      <c r="L627" s="1113"/>
      <c r="M627" s="1113"/>
      <c r="N627" s="1113"/>
      <c r="O627" s="1113"/>
      <c r="P627" s="1113"/>
      <c r="Q627" s="1113"/>
      <c r="R627" s="1113"/>
      <c r="S627" s="1113"/>
      <c r="T627" s="1113"/>
      <c r="U627" s="1114"/>
      <c r="V627" s="100"/>
      <c r="W627" s="100"/>
      <c r="X627" s="100"/>
      <c r="Y627" s="100"/>
      <c r="Z627" s="100"/>
      <c r="AA627" s="100"/>
      <c r="AB627" s="100"/>
      <c r="AC627" s="100"/>
      <c r="AD627" s="100"/>
      <c r="AF627"/>
      <c r="AG627">
        <f t="shared" si="300"/>
        <v>0</v>
      </c>
      <c r="AH627">
        <f t="shared" si="290"/>
        <v>0</v>
      </c>
      <c r="AK627">
        <f t="shared" si="291"/>
        <v>0</v>
      </c>
      <c r="AL627">
        <f t="shared" si="292"/>
        <v>0</v>
      </c>
      <c r="AM627">
        <f t="shared" si="293"/>
        <v>0</v>
      </c>
      <c r="AN627">
        <f t="shared" si="294"/>
        <v>0</v>
      </c>
      <c r="AO627">
        <f t="shared" si="295"/>
        <v>0</v>
      </c>
      <c r="AP627">
        <f t="shared" si="296"/>
        <v>0</v>
      </c>
      <c r="AQ627">
        <f t="shared" si="297"/>
        <v>0</v>
      </c>
      <c r="AR627">
        <f t="shared" si="298"/>
        <v>0</v>
      </c>
      <c r="AS627">
        <f t="shared" si="299"/>
        <v>0</v>
      </c>
    </row>
    <row r="628" spans="1:45" ht="15" customHeight="1">
      <c r="A628" s="176"/>
      <c r="B628" s="57"/>
      <c r="C628" s="1109"/>
      <c r="D628" s="954"/>
      <c r="E628" s="955"/>
      <c r="F628" s="956"/>
      <c r="G628" s="1103" t="s">
        <v>4978</v>
      </c>
      <c r="H628" s="1103"/>
      <c r="I628" s="1104" t="s">
        <v>4979</v>
      </c>
      <c r="J628" s="1105"/>
      <c r="K628" s="1105"/>
      <c r="L628" s="1105"/>
      <c r="M628" s="1105"/>
      <c r="N628" s="1105"/>
      <c r="O628" s="1105"/>
      <c r="P628" s="1105"/>
      <c r="Q628" s="1105"/>
      <c r="R628" s="1105"/>
      <c r="S628" s="1105"/>
      <c r="T628" s="1105"/>
      <c r="U628" s="1106"/>
      <c r="V628" s="100"/>
      <c r="W628" s="100"/>
      <c r="X628" s="100"/>
      <c r="Y628" s="100"/>
      <c r="Z628" s="100"/>
      <c r="AA628" s="100"/>
      <c r="AB628" s="100"/>
      <c r="AC628" s="100"/>
      <c r="AD628" s="100"/>
      <c r="AF628">
        <f>IF(V628="NA",IF(AND(COUNTIF(V629:V636,"="&amp;$AF$545)=0,COUNTIF(V629:V636,"&lt;&gt;NA")&gt;0),1,0),IF(AND(COUNTIF(V629:V636,"="&amp;$AF$545)=0,COUNTIF(V629:V636,"NA")=COUNTIF(V629:V636,"&lt;&gt;"&amp;$AF$545)),1,0))</f>
        <v>0</v>
      </c>
      <c r="AG628">
        <f t="shared" si="300"/>
        <v>0</v>
      </c>
      <c r="AH628">
        <f t="shared" si="290"/>
        <v>0</v>
      </c>
      <c r="AK628">
        <f t="shared" si="291"/>
        <v>0</v>
      </c>
      <c r="AL628">
        <f t="shared" si="292"/>
        <v>0</v>
      </c>
      <c r="AM628">
        <f t="shared" si="293"/>
        <v>0</v>
      </c>
      <c r="AN628">
        <f t="shared" si="294"/>
        <v>0</v>
      </c>
      <c r="AO628">
        <f t="shared" si="295"/>
        <v>0</v>
      </c>
      <c r="AP628">
        <f t="shared" si="296"/>
        <v>0</v>
      </c>
      <c r="AQ628">
        <f t="shared" si="297"/>
        <v>0</v>
      </c>
      <c r="AR628">
        <f t="shared" si="298"/>
        <v>0</v>
      </c>
      <c r="AS628">
        <f t="shared" si="299"/>
        <v>0</v>
      </c>
    </row>
    <row r="629" spans="1:45" ht="15" customHeight="1">
      <c r="A629" s="176"/>
      <c r="B629" s="57"/>
      <c r="C629" s="1109"/>
      <c r="D629" s="954"/>
      <c r="E629" s="955"/>
      <c r="F629" s="956"/>
      <c r="G629" s="1110" t="s">
        <v>4980</v>
      </c>
      <c r="H629" s="1110"/>
      <c r="I629" s="177"/>
      <c r="J629" s="1115" t="s">
        <v>4981</v>
      </c>
      <c r="K629" s="1115"/>
      <c r="L629" s="1115"/>
      <c r="M629" s="1115"/>
      <c r="N629" s="1115"/>
      <c r="O629" s="1115"/>
      <c r="P629" s="1115"/>
      <c r="Q629" s="1115"/>
      <c r="R629" s="1115"/>
      <c r="S629" s="1115"/>
      <c r="T629" s="1115"/>
      <c r="U629" s="1116"/>
      <c r="V629" s="100"/>
      <c r="W629" s="100"/>
      <c r="X629" s="100"/>
      <c r="Y629" s="100"/>
      <c r="Z629" s="100"/>
      <c r="AA629" s="100"/>
      <c r="AB629" s="100"/>
      <c r="AC629" s="100"/>
      <c r="AD629" s="100"/>
      <c r="AF629"/>
      <c r="AG629">
        <f t="shared" si="300"/>
        <v>0</v>
      </c>
      <c r="AH629">
        <f t="shared" si="290"/>
        <v>0</v>
      </c>
      <c r="AK629">
        <f t="shared" si="291"/>
        <v>0</v>
      </c>
      <c r="AL629">
        <f t="shared" si="292"/>
        <v>0</v>
      </c>
      <c r="AM629">
        <f t="shared" si="293"/>
        <v>0</v>
      </c>
      <c r="AN629">
        <f t="shared" si="294"/>
        <v>0</v>
      </c>
      <c r="AO629">
        <f t="shared" si="295"/>
        <v>0</v>
      </c>
      <c r="AP629">
        <f t="shared" si="296"/>
        <v>0</v>
      </c>
      <c r="AQ629">
        <f t="shared" si="297"/>
        <v>0</v>
      </c>
      <c r="AR629">
        <f t="shared" si="298"/>
        <v>0</v>
      </c>
      <c r="AS629">
        <f t="shared" si="299"/>
        <v>0</v>
      </c>
    </row>
    <row r="630" spans="1:45" ht="15" customHeight="1">
      <c r="A630" s="176"/>
      <c r="B630" s="57"/>
      <c r="C630" s="1109"/>
      <c r="D630" s="954"/>
      <c r="E630" s="955"/>
      <c r="F630" s="956"/>
      <c r="G630" s="1110" t="s">
        <v>4982</v>
      </c>
      <c r="H630" s="1110"/>
      <c r="I630" s="178"/>
      <c r="J630" s="1111" t="s">
        <v>4983</v>
      </c>
      <c r="K630" s="1111"/>
      <c r="L630" s="1111"/>
      <c r="M630" s="1111"/>
      <c r="N630" s="1111"/>
      <c r="O630" s="1111"/>
      <c r="P630" s="1111"/>
      <c r="Q630" s="1111"/>
      <c r="R630" s="1111"/>
      <c r="S630" s="1111"/>
      <c r="T630" s="1111"/>
      <c r="U630" s="1112"/>
      <c r="V630" s="100"/>
      <c r="W630" s="100"/>
      <c r="X630" s="100"/>
      <c r="Y630" s="100"/>
      <c r="Z630" s="100"/>
      <c r="AA630" s="100"/>
      <c r="AB630" s="100"/>
      <c r="AC630" s="100"/>
      <c r="AD630" s="100"/>
      <c r="AF630"/>
      <c r="AG630">
        <f t="shared" si="300"/>
        <v>0</v>
      </c>
      <c r="AH630">
        <f t="shared" si="290"/>
        <v>0</v>
      </c>
      <c r="AK630">
        <f t="shared" si="291"/>
        <v>0</v>
      </c>
      <c r="AL630">
        <f t="shared" si="292"/>
        <v>0</v>
      </c>
      <c r="AM630">
        <f t="shared" si="293"/>
        <v>0</v>
      </c>
      <c r="AN630">
        <f t="shared" si="294"/>
        <v>0</v>
      </c>
      <c r="AO630">
        <f t="shared" si="295"/>
        <v>0</v>
      </c>
      <c r="AP630">
        <f t="shared" si="296"/>
        <v>0</v>
      </c>
      <c r="AQ630">
        <f t="shared" si="297"/>
        <v>0</v>
      </c>
      <c r="AR630">
        <f t="shared" si="298"/>
        <v>0</v>
      </c>
      <c r="AS630">
        <f t="shared" si="299"/>
        <v>0</v>
      </c>
    </row>
    <row r="631" spans="1:45" ht="15" customHeight="1">
      <c r="A631" s="176"/>
      <c r="B631" s="57"/>
      <c r="C631" s="1109"/>
      <c r="D631" s="954"/>
      <c r="E631" s="955"/>
      <c r="F631" s="956"/>
      <c r="G631" s="1110" t="s">
        <v>4984</v>
      </c>
      <c r="H631" s="1110"/>
      <c r="I631" s="178"/>
      <c r="J631" s="1111" t="s">
        <v>4985</v>
      </c>
      <c r="K631" s="1111"/>
      <c r="L631" s="1111"/>
      <c r="M631" s="1111"/>
      <c r="N631" s="1111"/>
      <c r="O631" s="1111"/>
      <c r="P631" s="1111"/>
      <c r="Q631" s="1111"/>
      <c r="R631" s="1111"/>
      <c r="S631" s="1111"/>
      <c r="T631" s="1111"/>
      <c r="U631" s="1112"/>
      <c r="V631" s="100"/>
      <c r="W631" s="100"/>
      <c r="X631" s="100"/>
      <c r="Y631" s="100"/>
      <c r="Z631" s="100"/>
      <c r="AA631" s="100"/>
      <c r="AB631" s="100"/>
      <c r="AC631" s="100"/>
      <c r="AD631" s="100"/>
      <c r="AF631"/>
      <c r="AG631">
        <f t="shared" si="300"/>
        <v>0</v>
      </c>
      <c r="AH631">
        <f t="shared" si="290"/>
        <v>0</v>
      </c>
      <c r="AK631">
        <f t="shared" si="291"/>
        <v>0</v>
      </c>
      <c r="AL631">
        <f t="shared" si="292"/>
        <v>0</v>
      </c>
      <c r="AM631">
        <f t="shared" si="293"/>
        <v>0</v>
      </c>
      <c r="AN631">
        <f t="shared" si="294"/>
        <v>0</v>
      </c>
      <c r="AO631">
        <f t="shared" si="295"/>
        <v>0</v>
      </c>
      <c r="AP631">
        <f t="shared" si="296"/>
        <v>0</v>
      </c>
      <c r="AQ631">
        <f t="shared" si="297"/>
        <v>0</v>
      </c>
      <c r="AR631">
        <f t="shared" si="298"/>
        <v>0</v>
      </c>
      <c r="AS631">
        <f t="shared" si="299"/>
        <v>0</v>
      </c>
    </row>
    <row r="632" spans="1:45" ht="15" customHeight="1">
      <c r="A632" s="176"/>
      <c r="B632" s="57"/>
      <c r="C632" s="1109"/>
      <c r="D632" s="954"/>
      <c r="E632" s="955"/>
      <c r="F632" s="956"/>
      <c r="G632" s="1110" t="s">
        <v>4986</v>
      </c>
      <c r="H632" s="1110"/>
      <c r="I632" s="178"/>
      <c r="J632" s="1111" t="s">
        <v>4987</v>
      </c>
      <c r="K632" s="1111"/>
      <c r="L632" s="1111"/>
      <c r="M632" s="1111"/>
      <c r="N632" s="1111"/>
      <c r="O632" s="1111"/>
      <c r="P632" s="1111"/>
      <c r="Q632" s="1111"/>
      <c r="R632" s="1111"/>
      <c r="S632" s="1111"/>
      <c r="T632" s="1111"/>
      <c r="U632" s="1112"/>
      <c r="V632" s="100"/>
      <c r="W632" s="100"/>
      <c r="X632" s="100"/>
      <c r="Y632" s="100"/>
      <c r="Z632" s="100"/>
      <c r="AA632" s="100"/>
      <c r="AB632" s="100"/>
      <c r="AC632" s="100"/>
      <c r="AD632" s="100"/>
      <c r="AF632"/>
      <c r="AG632">
        <f t="shared" si="300"/>
        <v>0</v>
      </c>
      <c r="AH632">
        <f t="shared" si="290"/>
        <v>0</v>
      </c>
      <c r="AK632">
        <f t="shared" ref="AK632:AK663" si="301">COUNTIF(W632:X632,"NS")</f>
        <v>0</v>
      </c>
      <c r="AL632">
        <f t="shared" ref="AL632:AL663" si="302">SUM(W632:X632)</f>
        <v>0</v>
      </c>
      <c r="AM632">
        <f t="shared" ref="AM632:AM663" si="303">IF(COUNTIF(V632:X632,"NA")=3,0,IF(COUNTA(V632:X632)=0,0,IF(OR(AND(V632=0,AK632&gt;0),AND(V632="ns",AL632&gt;0),AND(V632="ns",AK632=0,AL632=0)),1,IF(OR(AND(V632&gt;0,AK632=2),AND(V632="ns",AK632=2),AND(V632="ns",AL632=0,AK632&gt;0),V632=AL632),0,1))))</f>
        <v>0</v>
      </c>
      <c r="AN632">
        <f t="shared" ref="AN632:AN663" si="304">COUNTIF(Z632:AA632,"NS")</f>
        <v>0</v>
      </c>
      <c r="AO632">
        <f t="shared" ref="AO632:AO663" si="305">SUM(Z632:AA632)</f>
        <v>0</v>
      </c>
      <c r="AP632">
        <f t="shared" ref="AP632:AP663" si="306">IF(COUNTIF(Y632:AA632,"NA")=3,0,IF(COUNTA(Y632:AA632)=0,0,IF(OR(AND(Y632=0,AN632&gt;0),AND(Y632="ns",AO632&gt;0),AND(Y632="ns",AN632=0,AO632=0)),1,IF(OR(AND(Y632&gt;0,AN632=2),AND(Y632="ns",AN632=2),AND(Y632="ns",AO632=0,AN632&gt;0),Y632=AO632),0,1))))</f>
        <v>0</v>
      </c>
      <c r="AQ632">
        <f t="shared" ref="AQ632:AQ663" si="307">COUNTIF(AC632:AD632,"NS")</f>
        <v>0</v>
      </c>
      <c r="AR632">
        <f t="shared" ref="AR632:AR663" si="308">SUM(AC632:AD632)</f>
        <v>0</v>
      </c>
      <c r="AS632">
        <f t="shared" ref="AS632:AS663" si="309">IF(COUNTIF(AB632:AD632,"NA")=3,0,IF(COUNTA(AB632:AD632)=0,0,IF(OR(AND(AB632=0,AQ632&gt;0),AND(AB632="ns",AR632&gt;0),AND(AB632="ns",AQ632=0,AR632=0)),1,IF(OR(AND(AB632&gt;0,AQ632=2),AND(AB632="ns",AQ632=2),AND(AB632="ns",AR632=0,AQ632&gt;0),AB632=AR632),0,1))))</f>
        <v>0</v>
      </c>
    </row>
    <row r="633" spans="1:45" ht="15" customHeight="1">
      <c r="A633" s="176"/>
      <c r="B633" s="57"/>
      <c r="C633" s="1109"/>
      <c r="D633" s="954"/>
      <c r="E633" s="955"/>
      <c r="F633" s="956"/>
      <c r="G633" s="1110" t="s">
        <v>4988</v>
      </c>
      <c r="H633" s="1110"/>
      <c r="I633" s="178"/>
      <c r="J633" s="1111" t="s">
        <v>4989</v>
      </c>
      <c r="K633" s="1111"/>
      <c r="L633" s="1111"/>
      <c r="M633" s="1111"/>
      <c r="N633" s="1111"/>
      <c r="O633" s="1111"/>
      <c r="P633" s="1111"/>
      <c r="Q633" s="1111"/>
      <c r="R633" s="1111"/>
      <c r="S633" s="1111"/>
      <c r="T633" s="1111"/>
      <c r="U633" s="1112"/>
      <c r="V633" s="100"/>
      <c r="W633" s="100"/>
      <c r="X633" s="100"/>
      <c r="Y633" s="100"/>
      <c r="Z633" s="100"/>
      <c r="AA633" s="100"/>
      <c r="AB633" s="100"/>
      <c r="AC633" s="100"/>
      <c r="AD633" s="100"/>
      <c r="AF633"/>
      <c r="AG633">
        <f t="shared" si="300"/>
        <v>0</v>
      </c>
      <c r="AH633">
        <f t="shared" si="290"/>
        <v>0</v>
      </c>
      <c r="AK633">
        <f t="shared" si="301"/>
        <v>0</v>
      </c>
      <c r="AL633">
        <f t="shared" si="302"/>
        <v>0</v>
      </c>
      <c r="AM633">
        <f t="shared" si="303"/>
        <v>0</v>
      </c>
      <c r="AN633">
        <f t="shared" si="304"/>
        <v>0</v>
      </c>
      <c r="AO633">
        <f t="shared" si="305"/>
        <v>0</v>
      </c>
      <c r="AP633">
        <f t="shared" si="306"/>
        <v>0</v>
      </c>
      <c r="AQ633">
        <f t="shared" si="307"/>
        <v>0</v>
      </c>
      <c r="AR633">
        <f t="shared" si="308"/>
        <v>0</v>
      </c>
      <c r="AS633">
        <f t="shared" si="309"/>
        <v>0</v>
      </c>
    </row>
    <row r="634" spans="1:45" ht="15" customHeight="1">
      <c r="A634" s="176"/>
      <c r="B634" s="57"/>
      <c r="C634" s="1109"/>
      <c r="D634" s="954"/>
      <c r="E634" s="955"/>
      <c r="F634" s="956"/>
      <c r="G634" s="1110" t="s">
        <v>4990</v>
      </c>
      <c r="H634" s="1110"/>
      <c r="I634" s="178"/>
      <c r="J634" s="1111" t="s">
        <v>4991</v>
      </c>
      <c r="K634" s="1111"/>
      <c r="L634" s="1111"/>
      <c r="M634" s="1111"/>
      <c r="N634" s="1111"/>
      <c r="O634" s="1111"/>
      <c r="P634" s="1111"/>
      <c r="Q634" s="1111"/>
      <c r="R634" s="1111"/>
      <c r="S634" s="1111"/>
      <c r="T634" s="1111"/>
      <c r="U634" s="1112"/>
      <c r="V634" s="100"/>
      <c r="W634" s="100"/>
      <c r="X634" s="100"/>
      <c r="Y634" s="100"/>
      <c r="Z634" s="100"/>
      <c r="AA634" s="100"/>
      <c r="AB634" s="100"/>
      <c r="AC634" s="100"/>
      <c r="AD634" s="100"/>
      <c r="AF634"/>
      <c r="AG634">
        <f t="shared" si="300"/>
        <v>0</v>
      </c>
      <c r="AH634">
        <f t="shared" si="290"/>
        <v>0</v>
      </c>
      <c r="AK634">
        <f t="shared" si="301"/>
        <v>0</v>
      </c>
      <c r="AL634">
        <f t="shared" si="302"/>
        <v>0</v>
      </c>
      <c r="AM634">
        <f t="shared" si="303"/>
        <v>0</v>
      </c>
      <c r="AN634">
        <f t="shared" si="304"/>
        <v>0</v>
      </c>
      <c r="AO634">
        <f t="shared" si="305"/>
        <v>0</v>
      </c>
      <c r="AP634">
        <f t="shared" si="306"/>
        <v>0</v>
      </c>
      <c r="AQ634">
        <f t="shared" si="307"/>
        <v>0</v>
      </c>
      <c r="AR634">
        <f t="shared" si="308"/>
        <v>0</v>
      </c>
      <c r="AS634">
        <f t="shared" si="309"/>
        <v>0</v>
      </c>
    </row>
    <row r="635" spans="1:45" ht="24" customHeight="1">
      <c r="A635" s="176"/>
      <c r="B635" s="57"/>
      <c r="C635" s="1109"/>
      <c r="D635" s="954"/>
      <c r="E635" s="955"/>
      <c r="F635" s="956"/>
      <c r="G635" s="1110" t="s">
        <v>4992</v>
      </c>
      <c r="H635" s="1110"/>
      <c r="I635" s="178"/>
      <c r="J635" s="1111" t="s">
        <v>4993</v>
      </c>
      <c r="K635" s="1111"/>
      <c r="L635" s="1111"/>
      <c r="M635" s="1111"/>
      <c r="N635" s="1111"/>
      <c r="O635" s="1111"/>
      <c r="P635" s="1111"/>
      <c r="Q635" s="1111"/>
      <c r="R635" s="1111"/>
      <c r="S635" s="1111"/>
      <c r="T635" s="1111"/>
      <c r="U635" s="1112"/>
      <c r="V635" s="100"/>
      <c r="W635" s="100"/>
      <c r="X635" s="100"/>
      <c r="Y635" s="100"/>
      <c r="Z635" s="100"/>
      <c r="AA635" s="100"/>
      <c r="AB635" s="100"/>
      <c r="AC635" s="100"/>
      <c r="AD635" s="100"/>
      <c r="AF635"/>
      <c r="AG635">
        <f t="shared" si="300"/>
        <v>0</v>
      </c>
      <c r="AH635">
        <f t="shared" si="290"/>
        <v>0</v>
      </c>
      <c r="AK635">
        <f t="shared" si="301"/>
        <v>0</v>
      </c>
      <c r="AL635">
        <f t="shared" si="302"/>
        <v>0</v>
      </c>
      <c r="AM635">
        <f t="shared" si="303"/>
        <v>0</v>
      </c>
      <c r="AN635">
        <f t="shared" si="304"/>
        <v>0</v>
      </c>
      <c r="AO635">
        <f t="shared" si="305"/>
        <v>0</v>
      </c>
      <c r="AP635">
        <f t="shared" si="306"/>
        <v>0</v>
      </c>
      <c r="AQ635">
        <f t="shared" si="307"/>
        <v>0</v>
      </c>
      <c r="AR635">
        <f t="shared" si="308"/>
        <v>0</v>
      </c>
      <c r="AS635">
        <f t="shared" si="309"/>
        <v>0</v>
      </c>
    </row>
    <row r="636" spans="1:45" ht="15" customHeight="1">
      <c r="A636" s="176"/>
      <c r="B636" s="57"/>
      <c r="C636" s="1109"/>
      <c r="D636" s="954"/>
      <c r="E636" s="955"/>
      <c r="F636" s="956"/>
      <c r="G636" s="1110" t="s">
        <v>4994</v>
      </c>
      <c r="H636" s="1110"/>
      <c r="I636" s="179"/>
      <c r="J636" s="1113" t="s">
        <v>201</v>
      </c>
      <c r="K636" s="1113"/>
      <c r="L636" s="1113"/>
      <c r="M636" s="1113"/>
      <c r="N636" s="1113"/>
      <c r="O636" s="1113"/>
      <c r="P636" s="1113"/>
      <c r="Q636" s="1113"/>
      <c r="R636" s="1113"/>
      <c r="S636" s="1113"/>
      <c r="T636" s="1113"/>
      <c r="U636" s="1114"/>
      <c r="V636" s="100"/>
      <c r="W636" s="100"/>
      <c r="X636" s="100"/>
      <c r="Y636" s="100"/>
      <c r="Z636" s="100"/>
      <c r="AA636" s="100"/>
      <c r="AB636" s="100"/>
      <c r="AC636" s="100"/>
      <c r="AD636" s="100"/>
      <c r="AF636"/>
      <c r="AG636">
        <f t="shared" si="300"/>
        <v>0</v>
      </c>
      <c r="AH636">
        <f t="shared" si="290"/>
        <v>0</v>
      </c>
      <c r="AK636">
        <f t="shared" si="301"/>
        <v>0</v>
      </c>
      <c r="AL636">
        <f t="shared" si="302"/>
        <v>0</v>
      </c>
      <c r="AM636">
        <f t="shared" si="303"/>
        <v>0</v>
      </c>
      <c r="AN636">
        <f t="shared" si="304"/>
        <v>0</v>
      </c>
      <c r="AO636">
        <f t="shared" si="305"/>
        <v>0</v>
      </c>
      <c r="AP636">
        <f t="shared" si="306"/>
        <v>0</v>
      </c>
      <c r="AQ636">
        <f t="shared" si="307"/>
        <v>0</v>
      </c>
      <c r="AR636">
        <f t="shared" si="308"/>
        <v>0</v>
      </c>
      <c r="AS636">
        <f t="shared" si="309"/>
        <v>0</v>
      </c>
    </row>
    <row r="637" spans="1:45" ht="15" customHeight="1">
      <c r="A637" s="176"/>
      <c r="B637" s="57"/>
      <c r="C637" s="1109"/>
      <c r="D637" s="954"/>
      <c r="E637" s="955"/>
      <c r="F637" s="956"/>
      <c r="G637" s="1103" t="s">
        <v>4995</v>
      </c>
      <c r="H637" s="1103"/>
      <c r="I637" s="1104" t="s">
        <v>4996</v>
      </c>
      <c r="J637" s="1105"/>
      <c r="K637" s="1105"/>
      <c r="L637" s="1105"/>
      <c r="M637" s="1105"/>
      <c r="N637" s="1105"/>
      <c r="O637" s="1105"/>
      <c r="P637" s="1105"/>
      <c r="Q637" s="1105"/>
      <c r="R637" s="1105"/>
      <c r="S637" s="1105"/>
      <c r="T637" s="1105"/>
      <c r="U637" s="1106"/>
      <c r="V637" s="100"/>
      <c r="W637" s="100"/>
      <c r="X637" s="100"/>
      <c r="Y637" s="100"/>
      <c r="Z637" s="100"/>
      <c r="AA637" s="100"/>
      <c r="AB637" s="100"/>
      <c r="AC637" s="100"/>
      <c r="AD637" s="100"/>
      <c r="AF637"/>
      <c r="AG637">
        <f t="shared" si="300"/>
        <v>0</v>
      </c>
      <c r="AH637">
        <f t="shared" si="290"/>
        <v>0</v>
      </c>
      <c r="AK637">
        <f t="shared" si="301"/>
        <v>0</v>
      </c>
      <c r="AL637">
        <f t="shared" si="302"/>
        <v>0</v>
      </c>
      <c r="AM637">
        <f t="shared" si="303"/>
        <v>0</v>
      </c>
      <c r="AN637">
        <f t="shared" si="304"/>
        <v>0</v>
      </c>
      <c r="AO637">
        <f t="shared" si="305"/>
        <v>0</v>
      </c>
      <c r="AP637">
        <f t="shared" si="306"/>
        <v>0</v>
      </c>
      <c r="AQ637">
        <f t="shared" si="307"/>
        <v>0</v>
      </c>
      <c r="AR637">
        <f t="shared" si="308"/>
        <v>0</v>
      </c>
      <c r="AS637">
        <f t="shared" si="309"/>
        <v>0</v>
      </c>
    </row>
    <row r="638" spans="1:45" ht="15" customHeight="1">
      <c r="A638" s="176"/>
      <c r="B638" s="57"/>
      <c r="C638" s="1109"/>
      <c r="D638" s="954"/>
      <c r="E638" s="955"/>
      <c r="F638" s="956"/>
      <c r="G638" s="1103" t="s">
        <v>4997</v>
      </c>
      <c r="H638" s="1103"/>
      <c r="I638" s="1104" t="s">
        <v>4998</v>
      </c>
      <c r="J638" s="1105"/>
      <c r="K638" s="1105"/>
      <c r="L638" s="1105"/>
      <c r="M638" s="1105"/>
      <c r="N638" s="1105"/>
      <c r="O638" s="1105"/>
      <c r="P638" s="1105"/>
      <c r="Q638" s="1105"/>
      <c r="R638" s="1105"/>
      <c r="S638" s="1105"/>
      <c r="T638" s="1105"/>
      <c r="U638" s="1106"/>
      <c r="V638" s="100"/>
      <c r="W638" s="100"/>
      <c r="X638" s="100"/>
      <c r="Y638" s="100"/>
      <c r="Z638" s="100"/>
      <c r="AA638" s="100"/>
      <c r="AB638" s="100"/>
      <c r="AC638" s="100"/>
      <c r="AD638" s="100"/>
      <c r="AF638"/>
      <c r="AG638">
        <f t="shared" si="300"/>
        <v>0</v>
      </c>
      <c r="AH638">
        <f t="shared" si="290"/>
        <v>0</v>
      </c>
      <c r="AK638">
        <f t="shared" si="301"/>
        <v>0</v>
      </c>
      <c r="AL638">
        <f t="shared" si="302"/>
        <v>0</v>
      </c>
      <c r="AM638">
        <f t="shared" si="303"/>
        <v>0</v>
      </c>
      <c r="AN638">
        <f t="shared" si="304"/>
        <v>0</v>
      </c>
      <c r="AO638">
        <f t="shared" si="305"/>
        <v>0</v>
      </c>
      <c r="AP638">
        <f t="shared" si="306"/>
        <v>0</v>
      </c>
      <c r="AQ638">
        <f t="shared" si="307"/>
        <v>0</v>
      </c>
      <c r="AR638">
        <f t="shared" si="308"/>
        <v>0</v>
      </c>
      <c r="AS638">
        <f t="shared" si="309"/>
        <v>0</v>
      </c>
    </row>
    <row r="639" spans="1:45" ht="15" customHeight="1">
      <c r="A639" s="176"/>
      <c r="B639" s="57"/>
      <c r="C639" s="1109"/>
      <c r="D639" s="954"/>
      <c r="E639" s="955"/>
      <c r="F639" s="956"/>
      <c r="G639" s="1103" t="s">
        <v>4999</v>
      </c>
      <c r="H639" s="1103"/>
      <c r="I639" s="1104" t="s">
        <v>5000</v>
      </c>
      <c r="J639" s="1105"/>
      <c r="K639" s="1105"/>
      <c r="L639" s="1105"/>
      <c r="M639" s="1105"/>
      <c r="N639" s="1105"/>
      <c r="O639" s="1105"/>
      <c r="P639" s="1105"/>
      <c r="Q639" s="1105"/>
      <c r="R639" s="1105"/>
      <c r="S639" s="1105"/>
      <c r="T639" s="1105"/>
      <c r="U639" s="1106"/>
      <c r="V639" s="100"/>
      <c r="W639" s="100"/>
      <c r="X639" s="100"/>
      <c r="Y639" s="100"/>
      <c r="Z639" s="100"/>
      <c r="AA639" s="100"/>
      <c r="AB639" s="100"/>
      <c r="AC639" s="100"/>
      <c r="AD639" s="100"/>
      <c r="AF639"/>
      <c r="AG639">
        <f t="shared" si="300"/>
        <v>0</v>
      </c>
      <c r="AH639">
        <f t="shared" si="290"/>
        <v>0</v>
      </c>
      <c r="AK639">
        <f t="shared" si="301"/>
        <v>0</v>
      </c>
      <c r="AL639">
        <f t="shared" si="302"/>
        <v>0</v>
      </c>
      <c r="AM639">
        <f t="shared" si="303"/>
        <v>0</v>
      </c>
      <c r="AN639">
        <f t="shared" si="304"/>
        <v>0</v>
      </c>
      <c r="AO639">
        <f t="shared" si="305"/>
        <v>0</v>
      </c>
      <c r="AP639">
        <f t="shared" si="306"/>
        <v>0</v>
      </c>
      <c r="AQ639">
        <f t="shared" si="307"/>
        <v>0</v>
      </c>
      <c r="AR639">
        <f t="shared" si="308"/>
        <v>0</v>
      </c>
      <c r="AS639">
        <f t="shared" si="309"/>
        <v>0</v>
      </c>
    </row>
    <row r="640" spans="1:45" ht="24" customHeight="1">
      <c r="A640" s="176"/>
      <c r="B640" s="57"/>
      <c r="C640" s="1109"/>
      <c r="D640" s="954"/>
      <c r="E640" s="955"/>
      <c r="F640" s="956"/>
      <c r="G640" s="1103" t="s">
        <v>5001</v>
      </c>
      <c r="H640" s="1103"/>
      <c r="I640" s="1104" t="s">
        <v>5002</v>
      </c>
      <c r="J640" s="1105"/>
      <c r="K640" s="1105"/>
      <c r="L640" s="1105"/>
      <c r="M640" s="1105"/>
      <c r="N640" s="1105"/>
      <c r="O640" s="1105"/>
      <c r="P640" s="1105"/>
      <c r="Q640" s="1105"/>
      <c r="R640" s="1105"/>
      <c r="S640" s="1105"/>
      <c r="T640" s="1105"/>
      <c r="U640" s="1106"/>
      <c r="V640" s="100"/>
      <c r="W640" s="100"/>
      <c r="X640" s="100"/>
      <c r="Y640" s="100"/>
      <c r="Z640" s="100"/>
      <c r="AA640" s="100"/>
      <c r="AB640" s="100"/>
      <c r="AC640" s="100"/>
      <c r="AD640" s="100"/>
      <c r="AF640">
        <f>IF(V640="NA",IF(AND(COUNTIF(V641:V646,"="&amp;$AF$545)=0,COUNTIF(V641:V646,"&lt;&gt;NA")&gt;0),1,0),IF(AND(COUNTIF(V641:V646,"="&amp;$AF$545)=0,COUNTIF(V641:V646,"NA")=COUNTIF(V641:V646,"&lt;&gt;"&amp;$AF$545)),1,0))</f>
        <v>0</v>
      </c>
      <c r="AG640">
        <f t="shared" si="300"/>
        <v>0</v>
      </c>
      <c r="AH640">
        <f t="shared" si="290"/>
        <v>0</v>
      </c>
      <c r="AK640">
        <f t="shared" si="301"/>
        <v>0</v>
      </c>
      <c r="AL640">
        <f t="shared" si="302"/>
        <v>0</v>
      </c>
      <c r="AM640">
        <f t="shared" si="303"/>
        <v>0</v>
      </c>
      <c r="AN640">
        <f t="shared" si="304"/>
        <v>0</v>
      </c>
      <c r="AO640">
        <f t="shared" si="305"/>
        <v>0</v>
      </c>
      <c r="AP640">
        <f t="shared" si="306"/>
        <v>0</v>
      </c>
      <c r="AQ640">
        <f t="shared" si="307"/>
        <v>0</v>
      </c>
      <c r="AR640">
        <f t="shared" si="308"/>
        <v>0</v>
      </c>
      <c r="AS640">
        <f t="shared" si="309"/>
        <v>0</v>
      </c>
    </row>
    <row r="641" spans="1:45" ht="15" customHeight="1">
      <c r="A641" s="176"/>
      <c r="B641" s="57"/>
      <c r="C641" s="1109"/>
      <c r="D641" s="954"/>
      <c r="E641" s="955"/>
      <c r="F641" s="956"/>
      <c r="G641" s="1110" t="s">
        <v>5003</v>
      </c>
      <c r="H641" s="1110"/>
      <c r="I641" s="177"/>
      <c r="J641" s="1115" t="s">
        <v>5004</v>
      </c>
      <c r="K641" s="1115"/>
      <c r="L641" s="1115"/>
      <c r="M641" s="1115"/>
      <c r="N641" s="1115"/>
      <c r="O641" s="1115"/>
      <c r="P641" s="1115"/>
      <c r="Q641" s="1115"/>
      <c r="R641" s="1115"/>
      <c r="S641" s="1115"/>
      <c r="T641" s="1115"/>
      <c r="U641" s="1116"/>
      <c r="V641" s="100"/>
      <c r="W641" s="100"/>
      <c r="X641" s="100"/>
      <c r="Y641" s="100"/>
      <c r="Z641" s="100"/>
      <c r="AA641" s="100"/>
      <c r="AB641" s="100"/>
      <c r="AC641" s="100"/>
      <c r="AD641" s="100"/>
      <c r="AF641"/>
      <c r="AG641">
        <f t="shared" si="300"/>
        <v>0</v>
      </c>
      <c r="AH641">
        <f t="shared" si="290"/>
        <v>0</v>
      </c>
      <c r="AK641">
        <f t="shared" si="301"/>
        <v>0</v>
      </c>
      <c r="AL641">
        <f t="shared" si="302"/>
        <v>0</v>
      </c>
      <c r="AM641">
        <f t="shared" si="303"/>
        <v>0</v>
      </c>
      <c r="AN641">
        <f t="shared" si="304"/>
        <v>0</v>
      </c>
      <c r="AO641">
        <f t="shared" si="305"/>
        <v>0</v>
      </c>
      <c r="AP641">
        <f t="shared" si="306"/>
        <v>0</v>
      </c>
      <c r="AQ641">
        <f t="shared" si="307"/>
        <v>0</v>
      </c>
      <c r="AR641">
        <f t="shared" si="308"/>
        <v>0</v>
      </c>
      <c r="AS641">
        <f t="shared" si="309"/>
        <v>0</v>
      </c>
    </row>
    <row r="642" spans="1:45" ht="15" customHeight="1">
      <c r="A642" s="176"/>
      <c r="B642" s="57"/>
      <c r="C642" s="1109"/>
      <c r="D642" s="954"/>
      <c r="E642" s="955"/>
      <c r="F642" s="956"/>
      <c r="G642" s="1110" t="s">
        <v>5005</v>
      </c>
      <c r="H642" s="1110"/>
      <c r="I642" s="178"/>
      <c r="J642" s="1111" t="s">
        <v>5006</v>
      </c>
      <c r="K642" s="1111"/>
      <c r="L642" s="1111"/>
      <c r="M642" s="1111"/>
      <c r="N642" s="1111"/>
      <c r="O642" s="1111"/>
      <c r="P642" s="1111"/>
      <c r="Q642" s="1111"/>
      <c r="R642" s="1111"/>
      <c r="S642" s="1111"/>
      <c r="T642" s="1111"/>
      <c r="U642" s="1112"/>
      <c r="V642" s="100"/>
      <c r="W642" s="100"/>
      <c r="X642" s="100"/>
      <c r="Y642" s="100"/>
      <c r="Z642" s="100"/>
      <c r="AA642" s="100"/>
      <c r="AB642" s="100"/>
      <c r="AC642" s="100"/>
      <c r="AD642" s="100"/>
      <c r="AF642"/>
      <c r="AG642">
        <f t="shared" si="300"/>
        <v>0</v>
      </c>
      <c r="AH642">
        <f t="shared" si="290"/>
        <v>0</v>
      </c>
      <c r="AK642">
        <f t="shared" si="301"/>
        <v>0</v>
      </c>
      <c r="AL642">
        <f t="shared" si="302"/>
        <v>0</v>
      </c>
      <c r="AM642">
        <f t="shared" si="303"/>
        <v>0</v>
      </c>
      <c r="AN642">
        <f t="shared" si="304"/>
        <v>0</v>
      </c>
      <c r="AO642">
        <f t="shared" si="305"/>
        <v>0</v>
      </c>
      <c r="AP642">
        <f t="shared" si="306"/>
        <v>0</v>
      </c>
      <c r="AQ642">
        <f t="shared" si="307"/>
        <v>0</v>
      </c>
      <c r="AR642">
        <f t="shared" si="308"/>
        <v>0</v>
      </c>
      <c r="AS642">
        <f t="shared" si="309"/>
        <v>0</v>
      </c>
    </row>
    <row r="643" spans="1:45" ht="15" customHeight="1">
      <c r="A643" s="176"/>
      <c r="B643" s="57"/>
      <c r="C643" s="1109"/>
      <c r="D643" s="954"/>
      <c r="E643" s="955"/>
      <c r="F643" s="956"/>
      <c r="G643" s="1110" t="s">
        <v>5007</v>
      </c>
      <c r="H643" s="1110"/>
      <c r="I643" s="178"/>
      <c r="J643" s="1111" t="s">
        <v>5008</v>
      </c>
      <c r="K643" s="1111"/>
      <c r="L643" s="1111"/>
      <c r="M643" s="1111"/>
      <c r="N643" s="1111"/>
      <c r="O643" s="1111"/>
      <c r="P643" s="1111"/>
      <c r="Q643" s="1111"/>
      <c r="R643" s="1111"/>
      <c r="S643" s="1111"/>
      <c r="T643" s="1111"/>
      <c r="U643" s="1112"/>
      <c r="V643" s="100"/>
      <c r="W643" s="100"/>
      <c r="X643" s="100"/>
      <c r="Y643" s="100"/>
      <c r="Z643" s="100"/>
      <c r="AA643" s="100"/>
      <c r="AB643" s="100"/>
      <c r="AC643" s="100"/>
      <c r="AD643" s="100"/>
      <c r="AF643"/>
      <c r="AG643">
        <f t="shared" si="300"/>
        <v>0</v>
      </c>
      <c r="AH643">
        <f t="shared" si="290"/>
        <v>0</v>
      </c>
      <c r="AK643">
        <f t="shared" si="301"/>
        <v>0</v>
      </c>
      <c r="AL643">
        <f t="shared" si="302"/>
        <v>0</v>
      </c>
      <c r="AM643">
        <f t="shared" si="303"/>
        <v>0</v>
      </c>
      <c r="AN643">
        <f t="shared" si="304"/>
        <v>0</v>
      </c>
      <c r="AO643">
        <f t="shared" si="305"/>
        <v>0</v>
      </c>
      <c r="AP643">
        <f t="shared" si="306"/>
        <v>0</v>
      </c>
      <c r="AQ643">
        <f t="shared" si="307"/>
        <v>0</v>
      </c>
      <c r="AR643">
        <f t="shared" si="308"/>
        <v>0</v>
      </c>
      <c r="AS643">
        <f t="shared" si="309"/>
        <v>0</v>
      </c>
    </row>
    <row r="644" spans="1:45" ht="24" customHeight="1">
      <c r="A644" s="176"/>
      <c r="B644" s="57"/>
      <c r="C644" s="1109"/>
      <c r="D644" s="954"/>
      <c r="E644" s="955"/>
      <c r="F644" s="956"/>
      <c r="G644" s="1110" t="s">
        <v>5009</v>
      </c>
      <c r="H644" s="1110"/>
      <c r="I644" s="178"/>
      <c r="J644" s="1111" t="s">
        <v>5010</v>
      </c>
      <c r="K644" s="1111"/>
      <c r="L644" s="1111"/>
      <c r="M644" s="1111"/>
      <c r="N644" s="1111"/>
      <c r="O644" s="1111"/>
      <c r="P644" s="1111"/>
      <c r="Q644" s="1111"/>
      <c r="R644" s="1111"/>
      <c r="S644" s="1111"/>
      <c r="T644" s="1111"/>
      <c r="U644" s="1112"/>
      <c r="V644" s="100"/>
      <c r="W644" s="100"/>
      <c r="X644" s="100"/>
      <c r="Y644" s="100"/>
      <c r="Z644" s="100"/>
      <c r="AA644" s="100"/>
      <c r="AB644" s="100"/>
      <c r="AC644" s="100"/>
      <c r="AD644" s="100"/>
      <c r="AF644"/>
      <c r="AG644">
        <f t="shared" si="300"/>
        <v>0</v>
      </c>
      <c r="AH644">
        <f t="shared" si="290"/>
        <v>0</v>
      </c>
      <c r="AK644">
        <f t="shared" si="301"/>
        <v>0</v>
      </c>
      <c r="AL644">
        <f t="shared" si="302"/>
        <v>0</v>
      </c>
      <c r="AM644">
        <f t="shared" si="303"/>
        <v>0</v>
      </c>
      <c r="AN644">
        <f t="shared" si="304"/>
        <v>0</v>
      </c>
      <c r="AO644">
        <f t="shared" si="305"/>
        <v>0</v>
      </c>
      <c r="AP644">
        <f t="shared" si="306"/>
        <v>0</v>
      </c>
      <c r="AQ644">
        <f t="shared" si="307"/>
        <v>0</v>
      </c>
      <c r="AR644">
        <f t="shared" si="308"/>
        <v>0</v>
      </c>
      <c r="AS644">
        <f t="shared" si="309"/>
        <v>0</v>
      </c>
    </row>
    <row r="645" spans="1:45" ht="24" customHeight="1">
      <c r="A645" s="176"/>
      <c r="B645" s="57"/>
      <c r="C645" s="1109"/>
      <c r="D645" s="954"/>
      <c r="E645" s="955"/>
      <c r="F645" s="956"/>
      <c r="G645" s="1110" t="s">
        <v>5011</v>
      </c>
      <c r="H645" s="1110"/>
      <c r="I645" s="178"/>
      <c r="J645" s="1111" t="s">
        <v>5012</v>
      </c>
      <c r="K645" s="1111"/>
      <c r="L645" s="1111"/>
      <c r="M645" s="1111"/>
      <c r="N645" s="1111"/>
      <c r="O645" s="1111"/>
      <c r="P645" s="1111"/>
      <c r="Q645" s="1111"/>
      <c r="R645" s="1111"/>
      <c r="S645" s="1111"/>
      <c r="T645" s="1111"/>
      <c r="U645" s="1112"/>
      <c r="V645" s="100"/>
      <c r="W645" s="100"/>
      <c r="X645" s="100"/>
      <c r="Y645" s="100"/>
      <c r="Z645" s="100"/>
      <c r="AA645" s="100"/>
      <c r="AB645" s="100"/>
      <c r="AC645" s="100"/>
      <c r="AD645" s="100"/>
      <c r="AF645"/>
      <c r="AG645">
        <f t="shared" si="300"/>
        <v>0</v>
      </c>
      <c r="AH645">
        <f t="shared" si="290"/>
        <v>0</v>
      </c>
      <c r="AK645">
        <f t="shared" si="301"/>
        <v>0</v>
      </c>
      <c r="AL645">
        <f t="shared" si="302"/>
        <v>0</v>
      </c>
      <c r="AM645">
        <f t="shared" si="303"/>
        <v>0</v>
      </c>
      <c r="AN645">
        <f t="shared" si="304"/>
        <v>0</v>
      </c>
      <c r="AO645">
        <f t="shared" si="305"/>
        <v>0</v>
      </c>
      <c r="AP645">
        <f t="shared" si="306"/>
        <v>0</v>
      </c>
      <c r="AQ645">
        <f t="shared" si="307"/>
        <v>0</v>
      </c>
      <c r="AR645">
        <f t="shared" si="308"/>
        <v>0</v>
      </c>
      <c r="AS645">
        <f t="shared" si="309"/>
        <v>0</v>
      </c>
    </row>
    <row r="646" spans="1:45" ht="15" customHeight="1">
      <c r="A646" s="176"/>
      <c r="B646" s="57"/>
      <c r="C646" s="1109"/>
      <c r="D646" s="954"/>
      <c r="E646" s="955"/>
      <c r="F646" s="956"/>
      <c r="G646" s="1110" t="s">
        <v>5013</v>
      </c>
      <c r="H646" s="1110"/>
      <c r="I646" s="179"/>
      <c r="J646" s="1113" t="s">
        <v>201</v>
      </c>
      <c r="K646" s="1113"/>
      <c r="L646" s="1113"/>
      <c r="M646" s="1113"/>
      <c r="N646" s="1113"/>
      <c r="O646" s="1113"/>
      <c r="P646" s="1113"/>
      <c r="Q646" s="1113"/>
      <c r="R646" s="1113"/>
      <c r="S646" s="1113"/>
      <c r="T646" s="1113"/>
      <c r="U646" s="1114"/>
      <c r="V646" s="100"/>
      <c r="W646" s="100"/>
      <c r="X646" s="100"/>
      <c r="Y646" s="100"/>
      <c r="Z646" s="100"/>
      <c r="AA646" s="100"/>
      <c r="AB646" s="100"/>
      <c r="AC646" s="100"/>
      <c r="AD646" s="100"/>
      <c r="AF646"/>
      <c r="AG646">
        <f t="shared" si="300"/>
        <v>0</v>
      </c>
      <c r="AH646">
        <f t="shared" si="290"/>
        <v>0</v>
      </c>
      <c r="AK646">
        <f t="shared" si="301"/>
        <v>0</v>
      </c>
      <c r="AL646">
        <f t="shared" si="302"/>
        <v>0</v>
      </c>
      <c r="AM646">
        <f t="shared" si="303"/>
        <v>0</v>
      </c>
      <c r="AN646">
        <f t="shared" si="304"/>
        <v>0</v>
      </c>
      <c r="AO646">
        <f t="shared" si="305"/>
        <v>0</v>
      </c>
      <c r="AP646">
        <f t="shared" si="306"/>
        <v>0</v>
      </c>
      <c r="AQ646">
        <f t="shared" si="307"/>
        <v>0</v>
      </c>
      <c r="AR646">
        <f t="shared" si="308"/>
        <v>0</v>
      </c>
      <c r="AS646">
        <f t="shared" si="309"/>
        <v>0</v>
      </c>
    </row>
    <row r="647" spans="1:45" ht="15" customHeight="1">
      <c r="A647" s="176"/>
      <c r="B647" s="57"/>
      <c r="C647" s="1109"/>
      <c r="D647" s="954"/>
      <c r="E647" s="955"/>
      <c r="F647" s="956"/>
      <c r="G647" s="1103" t="s">
        <v>5014</v>
      </c>
      <c r="H647" s="1103"/>
      <c r="I647" s="1104" t="s">
        <v>5015</v>
      </c>
      <c r="J647" s="1105"/>
      <c r="K647" s="1105"/>
      <c r="L647" s="1105"/>
      <c r="M647" s="1105"/>
      <c r="N647" s="1105"/>
      <c r="O647" s="1105"/>
      <c r="P647" s="1105"/>
      <c r="Q647" s="1105"/>
      <c r="R647" s="1105"/>
      <c r="S647" s="1105"/>
      <c r="T647" s="1105"/>
      <c r="U647" s="1106"/>
      <c r="V647" s="100"/>
      <c r="W647" s="100"/>
      <c r="X647" s="100"/>
      <c r="Y647" s="100"/>
      <c r="Z647" s="100"/>
      <c r="AA647" s="100"/>
      <c r="AB647" s="100"/>
      <c r="AC647" s="100"/>
      <c r="AD647" s="100"/>
      <c r="AF647"/>
      <c r="AG647">
        <f t="shared" si="300"/>
        <v>0</v>
      </c>
      <c r="AH647">
        <f t="shared" si="290"/>
        <v>0</v>
      </c>
      <c r="AK647">
        <f t="shared" si="301"/>
        <v>0</v>
      </c>
      <c r="AL647">
        <f t="shared" si="302"/>
        <v>0</v>
      </c>
      <c r="AM647">
        <f t="shared" si="303"/>
        <v>0</v>
      </c>
      <c r="AN647">
        <f t="shared" si="304"/>
        <v>0</v>
      </c>
      <c r="AO647">
        <f t="shared" si="305"/>
        <v>0</v>
      </c>
      <c r="AP647">
        <f t="shared" si="306"/>
        <v>0</v>
      </c>
      <c r="AQ647">
        <f t="shared" si="307"/>
        <v>0</v>
      </c>
      <c r="AR647">
        <f t="shared" si="308"/>
        <v>0</v>
      </c>
      <c r="AS647">
        <f t="shared" si="309"/>
        <v>0</v>
      </c>
    </row>
    <row r="648" spans="1:45" ht="15" customHeight="1">
      <c r="A648" s="176"/>
      <c r="B648" s="57"/>
      <c r="C648" s="1109"/>
      <c r="D648" s="954"/>
      <c r="E648" s="955"/>
      <c r="F648" s="956"/>
      <c r="G648" s="1103" t="s">
        <v>5016</v>
      </c>
      <c r="H648" s="1103"/>
      <c r="I648" s="1104" t="s">
        <v>5017</v>
      </c>
      <c r="J648" s="1105"/>
      <c r="K648" s="1105"/>
      <c r="L648" s="1105"/>
      <c r="M648" s="1105"/>
      <c r="N648" s="1105"/>
      <c r="O648" s="1105"/>
      <c r="P648" s="1105"/>
      <c r="Q648" s="1105"/>
      <c r="R648" s="1105"/>
      <c r="S648" s="1105"/>
      <c r="T648" s="1105"/>
      <c r="U648" s="1106"/>
      <c r="V648" s="100"/>
      <c r="W648" s="100"/>
      <c r="X648" s="100"/>
      <c r="Y648" s="100"/>
      <c r="Z648" s="100"/>
      <c r="AA648" s="100"/>
      <c r="AB648" s="100"/>
      <c r="AC648" s="100"/>
      <c r="AD648" s="100"/>
      <c r="AF648"/>
      <c r="AG648">
        <f t="shared" si="300"/>
        <v>0</v>
      </c>
      <c r="AH648">
        <f t="shared" si="290"/>
        <v>0</v>
      </c>
      <c r="AK648">
        <f t="shared" si="301"/>
        <v>0</v>
      </c>
      <c r="AL648">
        <f t="shared" si="302"/>
        <v>0</v>
      </c>
      <c r="AM648">
        <f t="shared" si="303"/>
        <v>0</v>
      </c>
      <c r="AN648">
        <f t="shared" si="304"/>
        <v>0</v>
      </c>
      <c r="AO648">
        <f t="shared" si="305"/>
        <v>0</v>
      </c>
      <c r="AP648">
        <f t="shared" si="306"/>
        <v>0</v>
      </c>
      <c r="AQ648">
        <f t="shared" si="307"/>
        <v>0</v>
      </c>
      <c r="AR648">
        <f t="shared" si="308"/>
        <v>0</v>
      </c>
      <c r="AS648">
        <f t="shared" si="309"/>
        <v>0</v>
      </c>
    </row>
    <row r="649" spans="1:45" ht="15" customHeight="1">
      <c r="A649" s="176"/>
      <c r="B649" s="57"/>
      <c r="C649" s="1109"/>
      <c r="D649" s="954"/>
      <c r="E649" s="955"/>
      <c r="F649" s="956"/>
      <c r="G649" s="1103" t="s">
        <v>5018</v>
      </c>
      <c r="H649" s="1103"/>
      <c r="I649" s="1104" t="s">
        <v>5019</v>
      </c>
      <c r="J649" s="1105"/>
      <c r="K649" s="1105"/>
      <c r="L649" s="1105"/>
      <c r="M649" s="1105"/>
      <c r="N649" s="1105"/>
      <c r="O649" s="1105"/>
      <c r="P649" s="1105"/>
      <c r="Q649" s="1105"/>
      <c r="R649" s="1105"/>
      <c r="S649" s="1105"/>
      <c r="T649" s="1105"/>
      <c r="U649" s="1106"/>
      <c r="V649" s="100"/>
      <c r="W649" s="100"/>
      <c r="X649" s="100"/>
      <c r="Y649" s="100"/>
      <c r="Z649" s="100"/>
      <c r="AA649" s="100"/>
      <c r="AB649" s="100"/>
      <c r="AC649" s="100"/>
      <c r="AD649" s="100"/>
      <c r="AF649"/>
      <c r="AG649">
        <f t="shared" si="300"/>
        <v>0</v>
      </c>
      <c r="AH649">
        <f t="shared" si="290"/>
        <v>0</v>
      </c>
      <c r="AJ649">
        <f>IF(OR(V649="NS",V649="NA",$V$715=0,$V$715="NS",$V$715="NA"),0,IF((V649*(IFERROR(100/SUM(V621:V649),0)))&gt;25,1,0))</f>
        <v>0</v>
      </c>
      <c r="AK649">
        <f t="shared" si="301"/>
        <v>0</v>
      </c>
      <c r="AL649">
        <f t="shared" si="302"/>
        <v>0</v>
      </c>
      <c r="AM649">
        <f t="shared" si="303"/>
        <v>0</v>
      </c>
      <c r="AN649">
        <f t="shared" si="304"/>
        <v>0</v>
      </c>
      <c r="AO649">
        <f t="shared" si="305"/>
        <v>0</v>
      </c>
      <c r="AP649">
        <f t="shared" si="306"/>
        <v>0</v>
      </c>
      <c r="AQ649">
        <f t="shared" si="307"/>
        <v>0</v>
      </c>
      <c r="AR649">
        <f t="shared" si="308"/>
        <v>0</v>
      </c>
      <c r="AS649">
        <f t="shared" si="309"/>
        <v>0</v>
      </c>
    </row>
    <row r="650" spans="1:45" ht="15" customHeight="1">
      <c r="A650" s="176"/>
      <c r="B650" s="57"/>
      <c r="C650" s="1108" t="s">
        <v>5020</v>
      </c>
      <c r="D650" s="847" t="s">
        <v>5021</v>
      </c>
      <c r="E650" s="953"/>
      <c r="F650" s="848"/>
      <c r="G650" s="1103" t="s">
        <v>5022</v>
      </c>
      <c r="H650" s="1103"/>
      <c r="I650" s="1104" t="s">
        <v>5023</v>
      </c>
      <c r="J650" s="1105"/>
      <c r="K650" s="1105"/>
      <c r="L650" s="1105"/>
      <c r="M650" s="1105"/>
      <c r="N650" s="1105"/>
      <c r="O650" s="1105"/>
      <c r="P650" s="1105"/>
      <c r="Q650" s="1105"/>
      <c r="R650" s="1105"/>
      <c r="S650" s="1105"/>
      <c r="T650" s="1105"/>
      <c r="U650" s="1106"/>
      <c r="V650" s="100"/>
      <c r="W650" s="100"/>
      <c r="X650" s="100"/>
      <c r="Y650" s="100"/>
      <c r="Z650" s="100"/>
      <c r="AA650" s="100"/>
      <c r="AB650" s="100"/>
      <c r="AC650" s="100"/>
      <c r="AD650" s="100"/>
      <c r="AF650">
        <f>IF(V650="NA",IF(AND(COUNTIF(V651:V659,"="&amp;$AF$545)=0,COUNTIF(V651:V659,"&lt;&gt;NA")&gt;0),1,0),IF(AND(COUNTIF(V651:V659,"="&amp;$AF$545)=0,COUNTIF(V651:V659,"NA")=COUNTIF(V651:V659,"&lt;&gt;"&amp;$AF$545)),1,0))</f>
        <v>0</v>
      </c>
      <c r="AG650">
        <f t="shared" si="300"/>
        <v>0</v>
      </c>
      <c r="AH650">
        <f t="shared" si="290"/>
        <v>0</v>
      </c>
      <c r="AK650">
        <f t="shared" si="301"/>
        <v>0</v>
      </c>
      <c r="AL650">
        <f t="shared" si="302"/>
        <v>0</v>
      </c>
      <c r="AM650">
        <f t="shared" si="303"/>
        <v>0</v>
      </c>
      <c r="AN650">
        <f t="shared" si="304"/>
        <v>0</v>
      </c>
      <c r="AO650">
        <f t="shared" si="305"/>
        <v>0</v>
      </c>
      <c r="AP650">
        <f t="shared" si="306"/>
        <v>0</v>
      </c>
      <c r="AQ650">
        <f t="shared" si="307"/>
        <v>0</v>
      </c>
      <c r="AR650">
        <f t="shared" si="308"/>
        <v>0</v>
      </c>
      <c r="AS650">
        <f t="shared" si="309"/>
        <v>0</v>
      </c>
    </row>
    <row r="651" spans="1:45" ht="15" customHeight="1">
      <c r="A651" s="176"/>
      <c r="B651" s="57"/>
      <c r="C651" s="1109"/>
      <c r="D651" s="954"/>
      <c r="E651" s="955"/>
      <c r="F651" s="956"/>
      <c r="G651" s="1110" t="s">
        <v>5024</v>
      </c>
      <c r="H651" s="1110"/>
      <c r="I651" s="177"/>
      <c r="J651" s="1115" t="s">
        <v>5025</v>
      </c>
      <c r="K651" s="1115"/>
      <c r="L651" s="1115"/>
      <c r="M651" s="1115"/>
      <c r="N651" s="1115"/>
      <c r="O651" s="1115"/>
      <c r="P651" s="1115"/>
      <c r="Q651" s="1115"/>
      <c r="R651" s="1115"/>
      <c r="S651" s="1115"/>
      <c r="T651" s="1115"/>
      <c r="U651" s="1116"/>
      <c r="V651" s="100"/>
      <c r="W651" s="100"/>
      <c r="X651" s="100"/>
      <c r="Y651" s="100"/>
      <c r="Z651" s="100"/>
      <c r="AA651" s="100"/>
      <c r="AB651" s="100"/>
      <c r="AC651" s="100"/>
      <c r="AD651" s="100"/>
      <c r="AF651"/>
      <c r="AG651">
        <f t="shared" si="300"/>
        <v>0</v>
      </c>
      <c r="AH651">
        <f t="shared" si="290"/>
        <v>0</v>
      </c>
      <c r="AK651">
        <f t="shared" si="301"/>
        <v>0</v>
      </c>
      <c r="AL651">
        <f t="shared" si="302"/>
        <v>0</v>
      </c>
      <c r="AM651">
        <f t="shared" si="303"/>
        <v>0</v>
      </c>
      <c r="AN651">
        <f t="shared" si="304"/>
        <v>0</v>
      </c>
      <c r="AO651">
        <f t="shared" si="305"/>
        <v>0</v>
      </c>
      <c r="AP651">
        <f t="shared" si="306"/>
        <v>0</v>
      </c>
      <c r="AQ651">
        <f t="shared" si="307"/>
        <v>0</v>
      </c>
      <c r="AR651">
        <f t="shared" si="308"/>
        <v>0</v>
      </c>
      <c r="AS651">
        <f t="shared" si="309"/>
        <v>0</v>
      </c>
    </row>
    <row r="652" spans="1:45" ht="15" customHeight="1">
      <c r="A652" s="176"/>
      <c r="B652" s="57"/>
      <c r="C652" s="1109"/>
      <c r="D652" s="954"/>
      <c r="E652" s="955"/>
      <c r="F652" s="956"/>
      <c r="G652" s="1110" t="s">
        <v>5026</v>
      </c>
      <c r="H652" s="1110"/>
      <c r="I652" s="178"/>
      <c r="J652" s="1111" t="s">
        <v>5027</v>
      </c>
      <c r="K652" s="1111"/>
      <c r="L652" s="1111"/>
      <c r="M652" s="1111"/>
      <c r="N652" s="1111"/>
      <c r="O652" s="1111"/>
      <c r="P652" s="1111"/>
      <c r="Q652" s="1111"/>
      <c r="R652" s="1111"/>
      <c r="S652" s="1111"/>
      <c r="T652" s="1111"/>
      <c r="U652" s="1112"/>
      <c r="V652" s="100"/>
      <c r="W652" s="100"/>
      <c r="X652" s="100"/>
      <c r="Y652" s="100"/>
      <c r="Z652" s="100"/>
      <c r="AA652" s="100"/>
      <c r="AB652" s="100"/>
      <c r="AC652" s="100"/>
      <c r="AD652" s="100"/>
      <c r="AF652"/>
      <c r="AG652">
        <f t="shared" si="300"/>
        <v>0</v>
      </c>
      <c r="AH652">
        <f t="shared" si="290"/>
        <v>0</v>
      </c>
      <c r="AK652">
        <f t="shared" si="301"/>
        <v>0</v>
      </c>
      <c r="AL652">
        <f t="shared" si="302"/>
        <v>0</v>
      </c>
      <c r="AM652">
        <f t="shared" si="303"/>
        <v>0</v>
      </c>
      <c r="AN652">
        <f t="shared" si="304"/>
        <v>0</v>
      </c>
      <c r="AO652">
        <f t="shared" si="305"/>
        <v>0</v>
      </c>
      <c r="AP652">
        <f t="shared" si="306"/>
        <v>0</v>
      </c>
      <c r="AQ652">
        <f t="shared" si="307"/>
        <v>0</v>
      </c>
      <c r="AR652">
        <f t="shared" si="308"/>
        <v>0</v>
      </c>
      <c r="AS652">
        <f t="shared" si="309"/>
        <v>0</v>
      </c>
    </row>
    <row r="653" spans="1:45" ht="15" customHeight="1">
      <c r="A653" s="176"/>
      <c r="B653" s="57"/>
      <c r="C653" s="1109"/>
      <c r="D653" s="954"/>
      <c r="E653" s="955"/>
      <c r="F653" s="956"/>
      <c r="G653" s="1110" t="s">
        <v>5028</v>
      </c>
      <c r="H653" s="1110"/>
      <c r="I653" s="178"/>
      <c r="J653" s="1111" t="s">
        <v>5029</v>
      </c>
      <c r="K653" s="1111"/>
      <c r="L653" s="1111"/>
      <c r="M653" s="1111"/>
      <c r="N653" s="1111"/>
      <c r="O653" s="1111"/>
      <c r="P653" s="1111"/>
      <c r="Q653" s="1111"/>
      <c r="R653" s="1111"/>
      <c r="S653" s="1111"/>
      <c r="T653" s="1111"/>
      <c r="U653" s="1112"/>
      <c r="V653" s="100"/>
      <c r="W653" s="100"/>
      <c r="X653" s="100"/>
      <c r="Y653" s="100"/>
      <c r="Z653" s="100"/>
      <c r="AA653" s="100"/>
      <c r="AB653" s="100"/>
      <c r="AC653" s="100"/>
      <c r="AD653" s="100"/>
      <c r="AF653"/>
      <c r="AG653">
        <f t="shared" si="300"/>
        <v>0</v>
      </c>
      <c r="AH653">
        <f t="shared" si="290"/>
        <v>0</v>
      </c>
      <c r="AK653">
        <f t="shared" si="301"/>
        <v>0</v>
      </c>
      <c r="AL653">
        <f t="shared" si="302"/>
        <v>0</v>
      </c>
      <c r="AM653">
        <f t="shared" si="303"/>
        <v>0</v>
      </c>
      <c r="AN653">
        <f t="shared" si="304"/>
        <v>0</v>
      </c>
      <c r="AO653">
        <f t="shared" si="305"/>
        <v>0</v>
      </c>
      <c r="AP653">
        <f t="shared" si="306"/>
        <v>0</v>
      </c>
      <c r="AQ653">
        <f t="shared" si="307"/>
        <v>0</v>
      </c>
      <c r="AR653">
        <f t="shared" si="308"/>
        <v>0</v>
      </c>
      <c r="AS653">
        <f t="shared" si="309"/>
        <v>0</v>
      </c>
    </row>
    <row r="654" spans="1:45" ht="15" customHeight="1">
      <c r="A654" s="176"/>
      <c r="B654" s="57"/>
      <c r="C654" s="1109"/>
      <c r="D654" s="954"/>
      <c r="E654" s="955"/>
      <c r="F654" s="956"/>
      <c r="G654" s="1110" t="s">
        <v>5030</v>
      </c>
      <c r="H654" s="1110"/>
      <c r="I654" s="178"/>
      <c r="J654" s="1111" t="s">
        <v>5031</v>
      </c>
      <c r="K654" s="1111"/>
      <c r="L654" s="1111"/>
      <c r="M654" s="1111"/>
      <c r="N654" s="1111"/>
      <c r="O654" s="1111"/>
      <c r="P654" s="1111"/>
      <c r="Q654" s="1111"/>
      <c r="R654" s="1111"/>
      <c r="S654" s="1111"/>
      <c r="T654" s="1111"/>
      <c r="U654" s="1112"/>
      <c r="V654" s="100"/>
      <c r="W654" s="100"/>
      <c r="X654" s="100"/>
      <c r="Y654" s="100"/>
      <c r="Z654" s="100"/>
      <c r="AA654" s="100"/>
      <c r="AB654" s="100"/>
      <c r="AC654" s="100"/>
      <c r="AD654" s="100"/>
      <c r="AF654"/>
      <c r="AG654">
        <f t="shared" si="300"/>
        <v>0</v>
      </c>
      <c r="AH654">
        <f t="shared" si="290"/>
        <v>0</v>
      </c>
      <c r="AK654">
        <f t="shared" si="301"/>
        <v>0</v>
      </c>
      <c r="AL654">
        <f t="shared" si="302"/>
        <v>0</v>
      </c>
      <c r="AM654">
        <f t="shared" si="303"/>
        <v>0</v>
      </c>
      <c r="AN654">
        <f t="shared" si="304"/>
        <v>0</v>
      </c>
      <c r="AO654">
        <f t="shared" si="305"/>
        <v>0</v>
      </c>
      <c r="AP654">
        <f t="shared" si="306"/>
        <v>0</v>
      </c>
      <c r="AQ654">
        <f t="shared" si="307"/>
        <v>0</v>
      </c>
      <c r="AR654">
        <f t="shared" si="308"/>
        <v>0</v>
      </c>
      <c r="AS654">
        <f t="shared" si="309"/>
        <v>0</v>
      </c>
    </row>
    <row r="655" spans="1:45" ht="15" customHeight="1">
      <c r="A655" s="176"/>
      <c r="B655" s="57"/>
      <c r="C655" s="1109"/>
      <c r="D655" s="954"/>
      <c r="E655" s="955"/>
      <c r="F655" s="956"/>
      <c r="G655" s="1110" t="s">
        <v>5032</v>
      </c>
      <c r="H655" s="1110"/>
      <c r="I655" s="178"/>
      <c r="J655" s="1111" t="s">
        <v>5033</v>
      </c>
      <c r="K655" s="1111"/>
      <c r="L655" s="1111"/>
      <c r="M655" s="1111"/>
      <c r="N655" s="1111"/>
      <c r="O655" s="1111"/>
      <c r="P655" s="1111"/>
      <c r="Q655" s="1111"/>
      <c r="R655" s="1111"/>
      <c r="S655" s="1111"/>
      <c r="T655" s="1111"/>
      <c r="U655" s="1112"/>
      <c r="V655" s="100"/>
      <c r="W655" s="100"/>
      <c r="X655" s="100"/>
      <c r="Y655" s="100"/>
      <c r="Z655" s="100"/>
      <c r="AA655" s="100"/>
      <c r="AB655" s="100"/>
      <c r="AC655" s="100"/>
      <c r="AD655" s="100"/>
      <c r="AF655"/>
      <c r="AG655">
        <f t="shared" si="300"/>
        <v>0</v>
      </c>
      <c r="AH655">
        <f t="shared" si="290"/>
        <v>0</v>
      </c>
      <c r="AK655">
        <f t="shared" si="301"/>
        <v>0</v>
      </c>
      <c r="AL655">
        <f t="shared" si="302"/>
        <v>0</v>
      </c>
      <c r="AM655">
        <f t="shared" si="303"/>
        <v>0</v>
      </c>
      <c r="AN655">
        <f t="shared" si="304"/>
        <v>0</v>
      </c>
      <c r="AO655">
        <f t="shared" si="305"/>
        <v>0</v>
      </c>
      <c r="AP655">
        <f t="shared" si="306"/>
        <v>0</v>
      </c>
      <c r="AQ655">
        <f t="shared" si="307"/>
        <v>0</v>
      </c>
      <c r="AR655">
        <f t="shared" si="308"/>
        <v>0</v>
      </c>
      <c r="AS655">
        <f t="shared" si="309"/>
        <v>0</v>
      </c>
    </row>
    <row r="656" spans="1:45" ht="15" customHeight="1">
      <c r="A656" s="176"/>
      <c r="B656" s="57"/>
      <c r="C656" s="1109"/>
      <c r="D656" s="954"/>
      <c r="E656" s="955"/>
      <c r="F656" s="956"/>
      <c r="G656" s="1110" t="s">
        <v>5034</v>
      </c>
      <c r="H656" s="1110"/>
      <c r="I656" s="178"/>
      <c r="J656" s="1111" t="s">
        <v>5035</v>
      </c>
      <c r="K656" s="1111"/>
      <c r="L656" s="1111"/>
      <c r="M656" s="1111"/>
      <c r="N656" s="1111"/>
      <c r="O656" s="1111"/>
      <c r="P656" s="1111"/>
      <c r="Q656" s="1111"/>
      <c r="R656" s="1111"/>
      <c r="S656" s="1111"/>
      <c r="T656" s="1111"/>
      <c r="U656" s="1112"/>
      <c r="V656" s="100"/>
      <c r="W656" s="100"/>
      <c r="X656" s="100"/>
      <c r="Y656" s="100"/>
      <c r="Z656" s="100"/>
      <c r="AA656" s="100"/>
      <c r="AB656" s="100"/>
      <c r="AC656" s="100"/>
      <c r="AD656" s="100"/>
      <c r="AF656"/>
      <c r="AG656">
        <f t="shared" si="300"/>
        <v>0</v>
      </c>
      <c r="AH656">
        <f t="shared" si="290"/>
        <v>0</v>
      </c>
      <c r="AK656">
        <f t="shared" si="301"/>
        <v>0</v>
      </c>
      <c r="AL656">
        <f t="shared" si="302"/>
        <v>0</v>
      </c>
      <c r="AM656">
        <f t="shared" si="303"/>
        <v>0</v>
      </c>
      <c r="AN656">
        <f t="shared" si="304"/>
        <v>0</v>
      </c>
      <c r="AO656">
        <f t="shared" si="305"/>
        <v>0</v>
      </c>
      <c r="AP656">
        <f t="shared" si="306"/>
        <v>0</v>
      </c>
      <c r="AQ656">
        <f t="shared" si="307"/>
        <v>0</v>
      </c>
      <c r="AR656">
        <f t="shared" si="308"/>
        <v>0</v>
      </c>
      <c r="AS656">
        <f t="shared" si="309"/>
        <v>0</v>
      </c>
    </row>
    <row r="657" spans="1:45" ht="15" customHeight="1">
      <c r="A657" s="176"/>
      <c r="B657" s="57"/>
      <c r="C657" s="1109"/>
      <c r="D657" s="954"/>
      <c r="E657" s="955"/>
      <c r="F657" s="956"/>
      <c r="G657" s="1110" t="s">
        <v>5036</v>
      </c>
      <c r="H657" s="1110"/>
      <c r="I657" s="178"/>
      <c r="J657" s="1111" t="s">
        <v>5037</v>
      </c>
      <c r="K657" s="1111"/>
      <c r="L657" s="1111"/>
      <c r="M657" s="1111"/>
      <c r="N657" s="1111"/>
      <c r="O657" s="1111"/>
      <c r="P657" s="1111"/>
      <c r="Q657" s="1111"/>
      <c r="R657" s="1111"/>
      <c r="S657" s="1111"/>
      <c r="T657" s="1111"/>
      <c r="U657" s="1112"/>
      <c r="V657" s="100"/>
      <c r="W657" s="100"/>
      <c r="X657" s="100"/>
      <c r="Y657" s="100"/>
      <c r="Z657" s="100"/>
      <c r="AA657" s="100"/>
      <c r="AB657" s="100"/>
      <c r="AC657" s="100"/>
      <c r="AD657" s="100"/>
      <c r="AF657"/>
      <c r="AG657">
        <f t="shared" si="300"/>
        <v>0</v>
      </c>
      <c r="AH657">
        <f t="shared" si="290"/>
        <v>0</v>
      </c>
      <c r="AK657">
        <f t="shared" si="301"/>
        <v>0</v>
      </c>
      <c r="AL657">
        <f t="shared" si="302"/>
        <v>0</v>
      </c>
      <c r="AM657">
        <f t="shared" si="303"/>
        <v>0</v>
      </c>
      <c r="AN657">
        <f t="shared" si="304"/>
        <v>0</v>
      </c>
      <c r="AO657">
        <f t="shared" si="305"/>
        <v>0</v>
      </c>
      <c r="AP657">
        <f t="shared" si="306"/>
        <v>0</v>
      </c>
      <c r="AQ657">
        <f t="shared" si="307"/>
        <v>0</v>
      </c>
      <c r="AR657">
        <f t="shared" si="308"/>
        <v>0</v>
      </c>
      <c r="AS657">
        <f t="shared" si="309"/>
        <v>0</v>
      </c>
    </row>
    <row r="658" spans="1:45" ht="15" customHeight="1">
      <c r="A658" s="176"/>
      <c r="B658" s="57"/>
      <c r="C658" s="1109"/>
      <c r="D658" s="954"/>
      <c r="E658" s="955"/>
      <c r="F658" s="956"/>
      <c r="G658" s="1110" t="s">
        <v>5038</v>
      </c>
      <c r="H658" s="1110"/>
      <c r="I658" s="178"/>
      <c r="J658" s="1111" t="s">
        <v>5039</v>
      </c>
      <c r="K658" s="1111"/>
      <c r="L658" s="1111"/>
      <c r="M658" s="1111"/>
      <c r="N658" s="1111"/>
      <c r="O658" s="1111"/>
      <c r="P658" s="1111"/>
      <c r="Q658" s="1111"/>
      <c r="R658" s="1111"/>
      <c r="S658" s="1111"/>
      <c r="T658" s="1111"/>
      <c r="U658" s="1112"/>
      <c r="V658" s="100"/>
      <c r="W658" s="100"/>
      <c r="X658" s="100"/>
      <c r="Y658" s="100"/>
      <c r="Z658" s="100"/>
      <c r="AA658" s="100"/>
      <c r="AB658" s="100"/>
      <c r="AC658" s="100"/>
      <c r="AD658" s="100"/>
      <c r="AF658"/>
      <c r="AG658">
        <f t="shared" si="300"/>
        <v>0</v>
      </c>
      <c r="AH658">
        <f t="shared" si="290"/>
        <v>0</v>
      </c>
      <c r="AK658">
        <f t="shared" si="301"/>
        <v>0</v>
      </c>
      <c r="AL658">
        <f t="shared" si="302"/>
        <v>0</v>
      </c>
      <c r="AM658">
        <f t="shared" si="303"/>
        <v>0</v>
      </c>
      <c r="AN658">
        <f t="shared" si="304"/>
        <v>0</v>
      </c>
      <c r="AO658">
        <f t="shared" si="305"/>
        <v>0</v>
      </c>
      <c r="AP658">
        <f t="shared" si="306"/>
        <v>0</v>
      </c>
      <c r="AQ658">
        <f t="shared" si="307"/>
        <v>0</v>
      </c>
      <c r="AR658">
        <f t="shared" si="308"/>
        <v>0</v>
      </c>
      <c r="AS658">
        <f t="shared" si="309"/>
        <v>0</v>
      </c>
    </row>
    <row r="659" spans="1:45" ht="15" customHeight="1">
      <c r="A659" s="176"/>
      <c r="B659" s="57"/>
      <c r="C659" s="1109"/>
      <c r="D659" s="954"/>
      <c r="E659" s="955"/>
      <c r="F659" s="956"/>
      <c r="G659" s="1110" t="s">
        <v>5040</v>
      </c>
      <c r="H659" s="1110"/>
      <c r="I659" s="179"/>
      <c r="J659" s="1113" t="s">
        <v>201</v>
      </c>
      <c r="K659" s="1113"/>
      <c r="L659" s="1113"/>
      <c r="M659" s="1113"/>
      <c r="N659" s="1113"/>
      <c r="O659" s="1113"/>
      <c r="P659" s="1113"/>
      <c r="Q659" s="1113"/>
      <c r="R659" s="1113"/>
      <c r="S659" s="1113"/>
      <c r="T659" s="1113"/>
      <c r="U659" s="1114"/>
      <c r="V659" s="100"/>
      <c r="W659" s="100"/>
      <c r="X659" s="100"/>
      <c r="Y659" s="100"/>
      <c r="Z659" s="100"/>
      <c r="AA659" s="100"/>
      <c r="AB659" s="100"/>
      <c r="AC659" s="100"/>
      <c r="AD659" s="100"/>
      <c r="AF659"/>
      <c r="AG659">
        <f t="shared" si="300"/>
        <v>0</v>
      </c>
      <c r="AH659">
        <f t="shared" si="290"/>
        <v>0</v>
      </c>
      <c r="AK659">
        <f t="shared" si="301"/>
        <v>0</v>
      </c>
      <c r="AL659">
        <f t="shared" si="302"/>
        <v>0</v>
      </c>
      <c r="AM659">
        <f t="shared" si="303"/>
        <v>0</v>
      </c>
      <c r="AN659">
        <f t="shared" si="304"/>
        <v>0</v>
      </c>
      <c r="AO659">
        <f t="shared" si="305"/>
        <v>0</v>
      </c>
      <c r="AP659">
        <f t="shared" si="306"/>
        <v>0</v>
      </c>
      <c r="AQ659">
        <f t="shared" si="307"/>
        <v>0</v>
      </c>
      <c r="AR659">
        <f t="shared" si="308"/>
        <v>0</v>
      </c>
      <c r="AS659">
        <f t="shared" si="309"/>
        <v>0</v>
      </c>
    </row>
    <row r="660" spans="1:45" ht="15" customHeight="1">
      <c r="A660" s="176"/>
      <c r="B660" s="57"/>
      <c r="C660" s="1109"/>
      <c r="D660" s="954"/>
      <c r="E660" s="955"/>
      <c r="F660" s="956"/>
      <c r="G660" s="1103" t="s">
        <v>5041</v>
      </c>
      <c r="H660" s="1103"/>
      <c r="I660" s="1104" t="s">
        <v>5042</v>
      </c>
      <c r="J660" s="1105"/>
      <c r="K660" s="1105"/>
      <c r="L660" s="1105"/>
      <c r="M660" s="1105"/>
      <c r="N660" s="1105"/>
      <c r="O660" s="1105"/>
      <c r="P660" s="1105"/>
      <c r="Q660" s="1105"/>
      <c r="R660" s="1105"/>
      <c r="S660" s="1105"/>
      <c r="T660" s="1105"/>
      <c r="U660" s="1106"/>
      <c r="V660" s="100"/>
      <c r="W660" s="100"/>
      <c r="X660" s="100"/>
      <c r="Y660" s="100"/>
      <c r="Z660" s="100"/>
      <c r="AA660" s="100"/>
      <c r="AB660" s="100"/>
      <c r="AC660" s="100"/>
      <c r="AD660" s="100"/>
      <c r="AF660">
        <f>IF(V660="NA",IF(AND(COUNTIF(V661:V663,"="&amp;$AF$545)=0,COUNTIF(V661:V663,"&lt;&gt;NA")&gt;0),1,0),IF(AND(COUNTIF(V661:V663,"="&amp;$AF$545)=0,COUNTIF(V661:V663,"NA")=COUNTIF(V661:V663,"&lt;&gt;"&amp;$AF$545)),1,0))</f>
        <v>0</v>
      </c>
      <c r="AG660">
        <f t="shared" si="300"/>
        <v>0</v>
      </c>
      <c r="AH660">
        <f t="shared" si="290"/>
        <v>0</v>
      </c>
      <c r="AK660">
        <f t="shared" si="301"/>
        <v>0</v>
      </c>
      <c r="AL660">
        <f t="shared" si="302"/>
        <v>0</v>
      </c>
      <c r="AM660">
        <f t="shared" si="303"/>
        <v>0</v>
      </c>
      <c r="AN660">
        <f t="shared" si="304"/>
        <v>0</v>
      </c>
      <c r="AO660">
        <f t="shared" si="305"/>
        <v>0</v>
      </c>
      <c r="AP660">
        <f t="shared" si="306"/>
        <v>0</v>
      </c>
      <c r="AQ660">
        <f t="shared" si="307"/>
        <v>0</v>
      </c>
      <c r="AR660">
        <f t="shared" si="308"/>
        <v>0</v>
      </c>
      <c r="AS660">
        <f t="shared" si="309"/>
        <v>0</v>
      </c>
    </row>
    <row r="661" spans="1:45" ht="15" customHeight="1">
      <c r="A661" s="176"/>
      <c r="B661" s="57"/>
      <c r="C661" s="1109"/>
      <c r="D661" s="954"/>
      <c r="E661" s="955"/>
      <c r="F661" s="956"/>
      <c r="G661" s="1119" t="s">
        <v>5043</v>
      </c>
      <c r="H661" s="1120"/>
      <c r="I661" s="177"/>
      <c r="J661" s="1115" t="s">
        <v>5044</v>
      </c>
      <c r="K661" s="1115"/>
      <c r="L661" s="1115"/>
      <c r="M661" s="1115"/>
      <c r="N661" s="1115"/>
      <c r="O661" s="1115"/>
      <c r="P661" s="1115"/>
      <c r="Q661" s="1115"/>
      <c r="R661" s="1115"/>
      <c r="S661" s="1115"/>
      <c r="T661" s="1115"/>
      <c r="U661" s="1116"/>
      <c r="V661" s="100"/>
      <c r="W661" s="100"/>
      <c r="X661" s="100"/>
      <c r="Y661" s="100"/>
      <c r="Z661" s="100"/>
      <c r="AA661" s="100"/>
      <c r="AB661" s="100"/>
      <c r="AC661" s="100"/>
      <c r="AD661" s="100"/>
      <c r="AF661"/>
      <c r="AG661">
        <f t="shared" si="300"/>
        <v>0</v>
      </c>
      <c r="AH661">
        <f t="shared" si="290"/>
        <v>0</v>
      </c>
      <c r="AK661">
        <f t="shared" si="301"/>
        <v>0</v>
      </c>
      <c r="AL661">
        <f t="shared" si="302"/>
        <v>0</v>
      </c>
      <c r="AM661">
        <f t="shared" si="303"/>
        <v>0</v>
      </c>
      <c r="AN661">
        <f t="shared" si="304"/>
        <v>0</v>
      </c>
      <c r="AO661">
        <f t="shared" si="305"/>
        <v>0</v>
      </c>
      <c r="AP661">
        <f t="shared" si="306"/>
        <v>0</v>
      </c>
      <c r="AQ661">
        <f t="shared" si="307"/>
        <v>0</v>
      </c>
      <c r="AR661">
        <f t="shared" si="308"/>
        <v>0</v>
      </c>
      <c r="AS661">
        <f t="shared" si="309"/>
        <v>0</v>
      </c>
    </row>
    <row r="662" spans="1:45" ht="15" customHeight="1">
      <c r="A662" s="176"/>
      <c r="B662" s="57"/>
      <c r="C662" s="1109"/>
      <c r="D662" s="954"/>
      <c r="E662" s="955"/>
      <c r="F662" s="956"/>
      <c r="G662" s="1119" t="s">
        <v>5045</v>
      </c>
      <c r="H662" s="1120"/>
      <c r="I662" s="178"/>
      <c r="J662" s="1111" t="s">
        <v>5046</v>
      </c>
      <c r="K662" s="1111"/>
      <c r="L662" s="1111"/>
      <c r="M662" s="1111"/>
      <c r="N662" s="1111"/>
      <c r="O662" s="1111"/>
      <c r="P662" s="1111"/>
      <c r="Q662" s="1111"/>
      <c r="R662" s="1111"/>
      <c r="S662" s="1111"/>
      <c r="T662" s="1111"/>
      <c r="U662" s="1112"/>
      <c r="V662" s="100"/>
      <c r="W662" s="100"/>
      <c r="X662" s="100"/>
      <c r="Y662" s="100"/>
      <c r="Z662" s="100"/>
      <c r="AA662" s="100"/>
      <c r="AB662" s="100"/>
      <c r="AC662" s="100"/>
      <c r="AD662" s="100"/>
      <c r="AF662"/>
      <c r="AG662">
        <f t="shared" si="300"/>
        <v>0</v>
      </c>
      <c r="AH662">
        <f t="shared" si="290"/>
        <v>0</v>
      </c>
      <c r="AK662">
        <f t="shared" si="301"/>
        <v>0</v>
      </c>
      <c r="AL662">
        <f t="shared" si="302"/>
        <v>0</v>
      </c>
      <c r="AM662">
        <f t="shared" si="303"/>
        <v>0</v>
      </c>
      <c r="AN662">
        <f t="shared" si="304"/>
        <v>0</v>
      </c>
      <c r="AO662">
        <f t="shared" si="305"/>
        <v>0</v>
      </c>
      <c r="AP662">
        <f t="shared" si="306"/>
        <v>0</v>
      </c>
      <c r="AQ662">
        <f t="shared" si="307"/>
        <v>0</v>
      </c>
      <c r="AR662">
        <f t="shared" si="308"/>
        <v>0</v>
      </c>
      <c r="AS662">
        <f t="shared" si="309"/>
        <v>0</v>
      </c>
    </row>
    <row r="663" spans="1:45" ht="15" customHeight="1">
      <c r="A663" s="176"/>
      <c r="B663" s="57"/>
      <c r="C663" s="1109"/>
      <c r="D663" s="954"/>
      <c r="E663" s="955"/>
      <c r="F663" s="956"/>
      <c r="G663" s="1119" t="s">
        <v>5047</v>
      </c>
      <c r="H663" s="1120"/>
      <c r="I663" s="179"/>
      <c r="J663" s="1113" t="s">
        <v>201</v>
      </c>
      <c r="K663" s="1113"/>
      <c r="L663" s="1113"/>
      <c r="M663" s="1113"/>
      <c r="N663" s="1113"/>
      <c r="O663" s="1113"/>
      <c r="P663" s="1113"/>
      <c r="Q663" s="1113"/>
      <c r="R663" s="1113"/>
      <c r="S663" s="1113"/>
      <c r="T663" s="1113"/>
      <c r="U663" s="1114"/>
      <c r="V663" s="100"/>
      <c r="W663" s="100"/>
      <c r="X663" s="100"/>
      <c r="Y663" s="100"/>
      <c r="Z663" s="100"/>
      <c r="AA663" s="100"/>
      <c r="AB663" s="100"/>
      <c r="AC663" s="100"/>
      <c r="AD663" s="100"/>
      <c r="AF663"/>
      <c r="AG663">
        <f t="shared" si="300"/>
        <v>0</v>
      </c>
      <c r="AH663">
        <f t="shared" si="290"/>
        <v>0</v>
      </c>
      <c r="AK663">
        <f t="shared" si="301"/>
        <v>0</v>
      </c>
      <c r="AL663">
        <f t="shared" si="302"/>
        <v>0</v>
      </c>
      <c r="AM663">
        <f t="shared" si="303"/>
        <v>0</v>
      </c>
      <c r="AN663">
        <f t="shared" si="304"/>
        <v>0</v>
      </c>
      <c r="AO663">
        <f t="shared" si="305"/>
        <v>0</v>
      </c>
      <c r="AP663">
        <f t="shared" si="306"/>
        <v>0</v>
      </c>
      <c r="AQ663">
        <f t="shared" si="307"/>
        <v>0</v>
      </c>
      <c r="AR663">
        <f t="shared" si="308"/>
        <v>0</v>
      </c>
      <c r="AS663">
        <f t="shared" si="309"/>
        <v>0</v>
      </c>
    </row>
    <row r="664" spans="1:45" ht="15" customHeight="1">
      <c r="A664" s="176"/>
      <c r="B664" s="57"/>
      <c r="C664" s="1109"/>
      <c r="D664" s="954"/>
      <c r="E664" s="955"/>
      <c r="F664" s="956"/>
      <c r="G664" s="1103" t="s">
        <v>5048</v>
      </c>
      <c r="H664" s="1103"/>
      <c r="I664" s="1104" t="s">
        <v>5049</v>
      </c>
      <c r="J664" s="1105"/>
      <c r="K664" s="1105"/>
      <c r="L664" s="1105"/>
      <c r="M664" s="1105"/>
      <c r="N664" s="1105"/>
      <c r="O664" s="1105"/>
      <c r="P664" s="1105"/>
      <c r="Q664" s="1105"/>
      <c r="R664" s="1105"/>
      <c r="S664" s="1105"/>
      <c r="T664" s="1105"/>
      <c r="U664" s="1106"/>
      <c r="V664" s="100"/>
      <c r="W664" s="100"/>
      <c r="X664" s="100"/>
      <c r="Y664" s="100"/>
      <c r="Z664" s="100"/>
      <c r="AA664" s="100"/>
      <c r="AB664" s="100"/>
      <c r="AC664" s="100"/>
      <c r="AD664" s="100"/>
      <c r="AF664"/>
      <c r="AG664">
        <f t="shared" si="300"/>
        <v>0</v>
      </c>
      <c r="AH664">
        <f t="shared" ref="AH664:AH700" si="310">IF(V664="NA",IF(COUNTBLANK(W664:AD664)=8,0,1),0)</f>
        <v>0</v>
      </c>
      <c r="AK664">
        <f t="shared" ref="AK664:AK700" si="311">COUNTIF(W664:X664,"NS")</f>
        <v>0</v>
      </c>
      <c r="AL664">
        <f t="shared" ref="AL664:AL700" si="312">SUM(W664:X664)</f>
        <v>0</v>
      </c>
      <c r="AM664">
        <f t="shared" ref="AM664:AM695" si="313">IF(COUNTIF(V664:X664,"NA")=3,0,IF(COUNTA(V664:X664)=0,0,IF(OR(AND(V664=0,AK664&gt;0),AND(V664="ns",AL664&gt;0),AND(V664="ns",AK664=0,AL664=0)),1,IF(OR(AND(V664&gt;0,AK664=2),AND(V664="ns",AK664=2),AND(V664="ns",AL664=0,AK664&gt;0),V664=AL664),0,1))))</f>
        <v>0</v>
      </c>
      <c r="AN664">
        <f t="shared" ref="AN664:AN700" si="314">COUNTIF(Z664:AA664,"NS")</f>
        <v>0</v>
      </c>
      <c r="AO664">
        <f t="shared" ref="AO664:AO700" si="315">SUM(Z664:AA664)</f>
        <v>0</v>
      </c>
      <c r="AP664">
        <f t="shared" ref="AP664:AP695" si="316">IF(COUNTIF(Y664:AA664,"NA")=3,0,IF(COUNTA(Y664:AA664)=0,0,IF(OR(AND(Y664=0,AN664&gt;0),AND(Y664="ns",AO664&gt;0),AND(Y664="ns",AN664=0,AO664=0)),1,IF(OR(AND(Y664&gt;0,AN664=2),AND(Y664="ns",AN664=2),AND(Y664="ns",AO664=0,AN664&gt;0),Y664=AO664),0,1))))</f>
        <v>0</v>
      </c>
      <c r="AQ664">
        <f t="shared" ref="AQ664:AQ700" si="317">COUNTIF(AC664:AD664,"NS")</f>
        <v>0</v>
      </c>
      <c r="AR664">
        <f t="shared" ref="AR664:AR700" si="318">SUM(AC664:AD664)</f>
        <v>0</v>
      </c>
      <c r="AS664">
        <f t="shared" ref="AS664:AS695" si="319">IF(COUNTIF(AB664:AD664,"NA")=3,0,IF(COUNTA(AB664:AD664)=0,0,IF(OR(AND(AB664=0,AQ664&gt;0),AND(AB664="ns",AR664&gt;0),AND(AB664="ns",AQ664=0,AR664=0)),1,IF(OR(AND(AB664&gt;0,AQ664=2),AND(AB664="ns",AQ664=2),AND(AB664="ns",AR664=0,AQ664&gt;0),AB664=AR664),0,1))))</f>
        <v>0</v>
      </c>
    </row>
    <row r="665" spans="1:45" ht="15" customHeight="1">
      <c r="A665" s="176"/>
      <c r="B665" s="57"/>
      <c r="C665" s="1109"/>
      <c r="D665" s="954"/>
      <c r="E665" s="955"/>
      <c r="F665" s="956"/>
      <c r="G665" s="1103" t="s">
        <v>5050</v>
      </c>
      <c r="H665" s="1103"/>
      <c r="I665" s="1104" t="s">
        <v>5051</v>
      </c>
      <c r="J665" s="1105"/>
      <c r="K665" s="1105"/>
      <c r="L665" s="1105"/>
      <c r="M665" s="1105"/>
      <c r="N665" s="1105"/>
      <c r="O665" s="1105"/>
      <c r="P665" s="1105"/>
      <c r="Q665" s="1105"/>
      <c r="R665" s="1105"/>
      <c r="S665" s="1105"/>
      <c r="T665" s="1105"/>
      <c r="U665" s="1106"/>
      <c r="V665" s="100"/>
      <c r="W665" s="100"/>
      <c r="X665" s="100"/>
      <c r="Y665" s="100"/>
      <c r="Z665" s="100"/>
      <c r="AA665" s="100"/>
      <c r="AB665" s="100"/>
      <c r="AC665" s="100"/>
      <c r="AD665" s="100"/>
      <c r="AF665"/>
      <c r="AG665">
        <f t="shared" ref="AG665:AG700" si="320">IF(OR($V$517=0,$V$517="NS",$V$517="NA",V665="NA"),0,IF(COUNTBLANK(V665:AD665)=0,0,1))</f>
        <v>0</v>
      </c>
      <c r="AH665">
        <f t="shared" si="310"/>
        <v>0</v>
      </c>
      <c r="AK665">
        <f t="shared" si="311"/>
        <v>0</v>
      </c>
      <c r="AL665">
        <f t="shared" si="312"/>
        <v>0</v>
      </c>
      <c r="AM665">
        <f t="shared" si="313"/>
        <v>0</v>
      </c>
      <c r="AN665">
        <f t="shared" si="314"/>
        <v>0</v>
      </c>
      <c r="AO665">
        <f t="shared" si="315"/>
        <v>0</v>
      </c>
      <c r="AP665">
        <f t="shared" si="316"/>
        <v>0</v>
      </c>
      <c r="AQ665">
        <f t="shared" si="317"/>
        <v>0</v>
      </c>
      <c r="AR665">
        <f t="shared" si="318"/>
        <v>0</v>
      </c>
      <c r="AS665">
        <f t="shared" si="319"/>
        <v>0</v>
      </c>
    </row>
    <row r="666" spans="1:45" ht="15" customHeight="1">
      <c r="A666" s="176"/>
      <c r="B666" s="57"/>
      <c r="C666" s="1109"/>
      <c r="D666" s="954"/>
      <c r="E666" s="955"/>
      <c r="F666" s="956"/>
      <c r="G666" s="1103" t="s">
        <v>5052</v>
      </c>
      <c r="H666" s="1103"/>
      <c r="I666" s="1104" t="s">
        <v>5053</v>
      </c>
      <c r="J666" s="1105"/>
      <c r="K666" s="1105"/>
      <c r="L666" s="1105"/>
      <c r="M666" s="1105"/>
      <c r="N666" s="1105"/>
      <c r="O666" s="1105"/>
      <c r="P666" s="1105"/>
      <c r="Q666" s="1105"/>
      <c r="R666" s="1105"/>
      <c r="S666" s="1105"/>
      <c r="T666" s="1105"/>
      <c r="U666" s="1106"/>
      <c r="V666" s="100"/>
      <c r="W666" s="100"/>
      <c r="X666" s="100"/>
      <c r="Y666" s="100"/>
      <c r="Z666" s="100"/>
      <c r="AA666" s="100"/>
      <c r="AB666" s="100"/>
      <c r="AC666" s="100"/>
      <c r="AD666" s="100"/>
      <c r="AF666"/>
      <c r="AG666">
        <f t="shared" si="320"/>
        <v>0</v>
      </c>
      <c r="AH666">
        <f t="shared" si="310"/>
        <v>0</v>
      </c>
      <c r="AJ666">
        <f>IF(OR(V666="NS",V666="NA",$V$715=0,$V$715="NS",$V$715="NA"),0,IF((V666*(IFERROR(100/SUM(V650:V666),0)))&gt;25,1,0))</f>
        <v>0</v>
      </c>
      <c r="AK666">
        <f t="shared" si="311"/>
        <v>0</v>
      </c>
      <c r="AL666">
        <f t="shared" si="312"/>
        <v>0</v>
      </c>
      <c r="AM666">
        <f t="shared" si="313"/>
        <v>0</v>
      </c>
      <c r="AN666">
        <f t="shared" si="314"/>
        <v>0</v>
      </c>
      <c r="AO666">
        <f t="shared" si="315"/>
        <v>0</v>
      </c>
      <c r="AP666">
        <f t="shared" si="316"/>
        <v>0</v>
      </c>
      <c r="AQ666">
        <f t="shared" si="317"/>
        <v>0</v>
      </c>
      <c r="AR666">
        <f t="shared" si="318"/>
        <v>0</v>
      </c>
      <c r="AS666">
        <f t="shared" si="319"/>
        <v>0</v>
      </c>
    </row>
    <row r="667" spans="1:45" ht="15" customHeight="1">
      <c r="A667" s="176"/>
      <c r="B667" s="57"/>
      <c r="C667" s="1108" t="s">
        <v>5054</v>
      </c>
      <c r="D667" s="847" t="s">
        <v>5055</v>
      </c>
      <c r="E667" s="953"/>
      <c r="F667" s="848"/>
      <c r="G667" s="1103" t="s">
        <v>5056</v>
      </c>
      <c r="H667" s="1103"/>
      <c r="I667" s="1104" t="s">
        <v>5057</v>
      </c>
      <c r="J667" s="1105"/>
      <c r="K667" s="1105"/>
      <c r="L667" s="1105"/>
      <c r="M667" s="1105"/>
      <c r="N667" s="1105"/>
      <c r="O667" s="1105"/>
      <c r="P667" s="1105"/>
      <c r="Q667" s="1105"/>
      <c r="R667" s="1105"/>
      <c r="S667" s="1105"/>
      <c r="T667" s="1105"/>
      <c r="U667" s="1106"/>
      <c r="V667" s="100"/>
      <c r="W667" s="100"/>
      <c r="X667" s="100"/>
      <c r="Y667" s="100"/>
      <c r="Z667" s="100"/>
      <c r="AA667" s="100"/>
      <c r="AB667" s="100"/>
      <c r="AC667" s="100"/>
      <c r="AD667" s="100"/>
      <c r="AF667"/>
      <c r="AG667">
        <f t="shared" si="320"/>
        <v>0</v>
      </c>
      <c r="AH667">
        <f t="shared" si="310"/>
        <v>0</v>
      </c>
      <c r="AK667">
        <f t="shared" si="311"/>
        <v>0</v>
      </c>
      <c r="AL667">
        <f t="shared" si="312"/>
        <v>0</v>
      </c>
      <c r="AM667">
        <f t="shared" si="313"/>
        <v>0</v>
      </c>
      <c r="AN667">
        <f t="shared" si="314"/>
        <v>0</v>
      </c>
      <c r="AO667">
        <f t="shared" si="315"/>
        <v>0</v>
      </c>
      <c r="AP667">
        <f t="shared" si="316"/>
        <v>0</v>
      </c>
      <c r="AQ667">
        <f t="shared" si="317"/>
        <v>0</v>
      </c>
      <c r="AR667">
        <f t="shared" si="318"/>
        <v>0</v>
      </c>
      <c r="AS667">
        <f t="shared" si="319"/>
        <v>0</v>
      </c>
    </row>
    <row r="668" spans="1:45" ht="15" customHeight="1">
      <c r="A668" s="176"/>
      <c r="B668" s="57"/>
      <c r="C668" s="1109"/>
      <c r="D668" s="954"/>
      <c r="E668" s="955"/>
      <c r="F668" s="956"/>
      <c r="G668" s="1103" t="s">
        <v>5058</v>
      </c>
      <c r="H668" s="1103"/>
      <c r="I668" s="1104" t="s">
        <v>5059</v>
      </c>
      <c r="J668" s="1105"/>
      <c r="K668" s="1105"/>
      <c r="L668" s="1105"/>
      <c r="M668" s="1105"/>
      <c r="N668" s="1105"/>
      <c r="O668" s="1105"/>
      <c r="P668" s="1105"/>
      <c r="Q668" s="1105"/>
      <c r="R668" s="1105"/>
      <c r="S668" s="1105"/>
      <c r="T668" s="1105"/>
      <c r="U668" s="1106"/>
      <c r="V668" s="100"/>
      <c r="W668" s="100"/>
      <c r="X668" s="100"/>
      <c r="Y668" s="100"/>
      <c r="Z668" s="100"/>
      <c r="AA668" s="100"/>
      <c r="AB668" s="100"/>
      <c r="AC668" s="100"/>
      <c r="AD668" s="100"/>
      <c r="AF668"/>
      <c r="AG668">
        <f t="shared" si="320"/>
        <v>0</v>
      </c>
      <c r="AH668">
        <f t="shared" si="310"/>
        <v>0</v>
      </c>
      <c r="AK668">
        <f t="shared" si="311"/>
        <v>0</v>
      </c>
      <c r="AL668">
        <f t="shared" si="312"/>
        <v>0</v>
      </c>
      <c r="AM668">
        <f t="shared" si="313"/>
        <v>0</v>
      </c>
      <c r="AN668">
        <f t="shared" si="314"/>
        <v>0</v>
      </c>
      <c r="AO668">
        <f t="shared" si="315"/>
        <v>0</v>
      </c>
      <c r="AP668">
        <f t="shared" si="316"/>
        <v>0</v>
      </c>
      <c r="AQ668">
        <f t="shared" si="317"/>
        <v>0</v>
      </c>
      <c r="AR668">
        <f t="shared" si="318"/>
        <v>0</v>
      </c>
      <c r="AS668">
        <f t="shared" si="319"/>
        <v>0</v>
      </c>
    </row>
    <row r="669" spans="1:45" ht="15" customHeight="1">
      <c r="A669" s="176"/>
      <c r="B669" s="57"/>
      <c r="C669" s="1109"/>
      <c r="D669" s="954"/>
      <c r="E669" s="955"/>
      <c r="F669" s="956"/>
      <c r="G669" s="1103" t="s">
        <v>5060</v>
      </c>
      <c r="H669" s="1103"/>
      <c r="I669" s="1104" t="s">
        <v>5061</v>
      </c>
      <c r="J669" s="1105"/>
      <c r="K669" s="1105"/>
      <c r="L669" s="1105"/>
      <c r="M669" s="1105"/>
      <c r="N669" s="1105"/>
      <c r="O669" s="1105"/>
      <c r="P669" s="1105"/>
      <c r="Q669" s="1105"/>
      <c r="R669" s="1105"/>
      <c r="S669" s="1105"/>
      <c r="T669" s="1105"/>
      <c r="U669" s="1106"/>
      <c r="V669" s="100"/>
      <c r="W669" s="100"/>
      <c r="X669" s="100"/>
      <c r="Y669" s="100"/>
      <c r="Z669" s="100"/>
      <c r="AA669" s="100"/>
      <c r="AB669" s="100"/>
      <c r="AC669" s="100"/>
      <c r="AD669" s="100"/>
      <c r="AF669"/>
      <c r="AG669">
        <f t="shared" si="320"/>
        <v>0</v>
      </c>
      <c r="AH669">
        <f t="shared" si="310"/>
        <v>0</v>
      </c>
      <c r="AK669">
        <f t="shared" si="311"/>
        <v>0</v>
      </c>
      <c r="AL669">
        <f t="shared" si="312"/>
        <v>0</v>
      </c>
      <c r="AM669">
        <f t="shared" si="313"/>
        <v>0</v>
      </c>
      <c r="AN669">
        <f t="shared" si="314"/>
        <v>0</v>
      </c>
      <c r="AO669">
        <f t="shared" si="315"/>
        <v>0</v>
      </c>
      <c r="AP669">
        <f t="shared" si="316"/>
        <v>0</v>
      </c>
      <c r="AQ669">
        <f t="shared" si="317"/>
        <v>0</v>
      </c>
      <c r="AR669">
        <f t="shared" si="318"/>
        <v>0</v>
      </c>
      <c r="AS669">
        <f t="shared" si="319"/>
        <v>0</v>
      </c>
    </row>
    <row r="670" spans="1:45" ht="15" customHeight="1">
      <c r="A670" s="176"/>
      <c r="B670" s="57"/>
      <c r="C670" s="1109"/>
      <c r="D670" s="954"/>
      <c r="E670" s="955"/>
      <c r="F670" s="956"/>
      <c r="G670" s="1103" t="s">
        <v>5062</v>
      </c>
      <c r="H670" s="1103"/>
      <c r="I670" s="1104" t="s">
        <v>5063</v>
      </c>
      <c r="J670" s="1105"/>
      <c r="K670" s="1105"/>
      <c r="L670" s="1105"/>
      <c r="M670" s="1105"/>
      <c r="N670" s="1105"/>
      <c r="O670" s="1105"/>
      <c r="P670" s="1105"/>
      <c r="Q670" s="1105"/>
      <c r="R670" s="1105"/>
      <c r="S670" s="1105"/>
      <c r="T670" s="1105"/>
      <c r="U670" s="1106"/>
      <c r="V670" s="100"/>
      <c r="W670" s="100"/>
      <c r="X670" s="100"/>
      <c r="Y670" s="100"/>
      <c r="Z670" s="100"/>
      <c r="AA670" s="100"/>
      <c r="AB670" s="100"/>
      <c r="AC670" s="100"/>
      <c r="AD670" s="100"/>
      <c r="AF670"/>
      <c r="AG670">
        <f t="shared" si="320"/>
        <v>0</v>
      </c>
      <c r="AH670">
        <f t="shared" si="310"/>
        <v>0</v>
      </c>
      <c r="AK670">
        <f t="shared" si="311"/>
        <v>0</v>
      </c>
      <c r="AL670">
        <f t="shared" si="312"/>
        <v>0</v>
      </c>
      <c r="AM670">
        <f t="shared" si="313"/>
        <v>0</v>
      </c>
      <c r="AN670">
        <f t="shared" si="314"/>
        <v>0</v>
      </c>
      <c r="AO670">
        <f t="shared" si="315"/>
        <v>0</v>
      </c>
      <c r="AP670">
        <f t="shared" si="316"/>
        <v>0</v>
      </c>
      <c r="AQ670">
        <f t="shared" si="317"/>
        <v>0</v>
      </c>
      <c r="AR670">
        <f t="shared" si="318"/>
        <v>0</v>
      </c>
      <c r="AS670">
        <f t="shared" si="319"/>
        <v>0</v>
      </c>
    </row>
    <row r="671" spans="1:45" ht="24" customHeight="1">
      <c r="A671" s="176"/>
      <c r="B671" s="57"/>
      <c r="C671" s="1109"/>
      <c r="D671" s="954"/>
      <c r="E671" s="955"/>
      <c r="F671" s="956"/>
      <c r="G671" s="1103" t="s">
        <v>5064</v>
      </c>
      <c r="H671" s="1103"/>
      <c r="I671" s="1104" t="s">
        <v>5065</v>
      </c>
      <c r="J671" s="1105"/>
      <c r="K671" s="1105"/>
      <c r="L671" s="1105"/>
      <c r="M671" s="1105"/>
      <c r="N671" s="1105"/>
      <c r="O671" s="1105"/>
      <c r="P671" s="1105"/>
      <c r="Q671" s="1105"/>
      <c r="R671" s="1105"/>
      <c r="S671" s="1105"/>
      <c r="T671" s="1105"/>
      <c r="U671" s="1106"/>
      <c r="V671" s="100"/>
      <c r="W671" s="100"/>
      <c r="X671" s="100"/>
      <c r="Y671" s="100"/>
      <c r="Z671" s="100"/>
      <c r="AA671" s="100"/>
      <c r="AB671" s="100"/>
      <c r="AC671" s="100"/>
      <c r="AD671" s="100"/>
      <c r="AF671">
        <f>IF(V671="NA",IF(AND(COUNTIF(V672:V678,"="&amp;$AF$545)=0,COUNTIF(V672:V678,"&lt;&gt;NA")&gt;0),1,0),IF(AND(COUNTIF(V672:V678,"="&amp;$AF$545)=0,COUNTIF(V672:V678,"NA")=COUNTIF(V672:V678,"&lt;&gt;"&amp;$AF$545)),1,0))</f>
        <v>0</v>
      </c>
      <c r="AG671">
        <f t="shared" si="320"/>
        <v>0</v>
      </c>
      <c r="AH671">
        <f t="shared" si="310"/>
        <v>0</v>
      </c>
      <c r="AK671">
        <f t="shared" si="311"/>
        <v>0</v>
      </c>
      <c r="AL671">
        <f t="shared" si="312"/>
        <v>0</v>
      </c>
      <c r="AM671">
        <f t="shared" si="313"/>
        <v>0</v>
      </c>
      <c r="AN671">
        <f t="shared" si="314"/>
        <v>0</v>
      </c>
      <c r="AO671">
        <f t="shared" si="315"/>
        <v>0</v>
      </c>
      <c r="AP671">
        <f t="shared" si="316"/>
        <v>0</v>
      </c>
      <c r="AQ671">
        <f t="shared" si="317"/>
        <v>0</v>
      </c>
      <c r="AR671">
        <f t="shared" si="318"/>
        <v>0</v>
      </c>
      <c r="AS671">
        <f t="shared" si="319"/>
        <v>0</v>
      </c>
    </row>
    <row r="672" spans="1:45" ht="24" customHeight="1">
      <c r="A672" s="176"/>
      <c r="B672" s="57"/>
      <c r="C672" s="1109"/>
      <c r="D672" s="954"/>
      <c r="E672" s="955"/>
      <c r="F672" s="956"/>
      <c r="G672" s="1110" t="s">
        <v>5066</v>
      </c>
      <c r="H672" s="1110"/>
      <c r="I672" s="177"/>
      <c r="J672" s="1115" t="s">
        <v>5067</v>
      </c>
      <c r="K672" s="1115"/>
      <c r="L672" s="1115"/>
      <c r="M672" s="1115"/>
      <c r="N672" s="1115"/>
      <c r="O672" s="1115"/>
      <c r="P672" s="1115"/>
      <c r="Q672" s="1115"/>
      <c r="R672" s="1115"/>
      <c r="S672" s="1115"/>
      <c r="T672" s="1115"/>
      <c r="U672" s="1116"/>
      <c r="V672" s="100"/>
      <c r="W672" s="100"/>
      <c r="X672" s="100"/>
      <c r="Y672" s="100"/>
      <c r="Z672" s="100"/>
      <c r="AA672" s="100"/>
      <c r="AB672" s="100"/>
      <c r="AC672" s="100"/>
      <c r="AD672" s="100"/>
      <c r="AF672"/>
      <c r="AG672">
        <f t="shared" si="320"/>
        <v>0</v>
      </c>
      <c r="AH672">
        <f t="shared" si="310"/>
        <v>0</v>
      </c>
      <c r="AK672">
        <f t="shared" si="311"/>
        <v>0</v>
      </c>
      <c r="AL672">
        <f t="shared" si="312"/>
        <v>0</v>
      </c>
      <c r="AM672">
        <f t="shared" si="313"/>
        <v>0</v>
      </c>
      <c r="AN672">
        <f t="shared" si="314"/>
        <v>0</v>
      </c>
      <c r="AO672">
        <f t="shared" si="315"/>
        <v>0</v>
      </c>
      <c r="AP672">
        <f t="shared" si="316"/>
        <v>0</v>
      </c>
      <c r="AQ672">
        <f t="shared" si="317"/>
        <v>0</v>
      </c>
      <c r="AR672">
        <f t="shared" si="318"/>
        <v>0</v>
      </c>
      <c r="AS672">
        <f t="shared" si="319"/>
        <v>0</v>
      </c>
    </row>
    <row r="673" spans="1:45" ht="24" customHeight="1">
      <c r="A673" s="176"/>
      <c r="B673" s="57"/>
      <c r="C673" s="1109"/>
      <c r="D673" s="954"/>
      <c r="E673" s="955"/>
      <c r="F673" s="956"/>
      <c r="G673" s="1110" t="s">
        <v>5068</v>
      </c>
      <c r="H673" s="1110"/>
      <c r="I673" s="178"/>
      <c r="J673" s="1111" t="s">
        <v>5069</v>
      </c>
      <c r="K673" s="1111"/>
      <c r="L673" s="1111"/>
      <c r="M673" s="1111"/>
      <c r="N673" s="1111"/>
      <c r="O673" s="1111"/>
      <c r="P673" s="1111"/>
      <c r="Q673" s="1111"/>
      <c r="R673" s="1111"/>
      <c r="S673" s="1111"/>
      <c r="T673" s="1111"/>
      <c r="U673" s="1112"/>
      <c r="V673" s="100"/>
      <c r="W673" s="100"/>
      <c r="X673" s="100"/>
      <c r="Y673" s="100"/>
      <c r="Z673" s="100"/>
      <c r="AA673" s="100"/>
      <c r="AB673" s="100"/>
      <c r="AC673" s="100"/>
      <c r="AD673" s="100"/>
      <c r="AF673"/>
      <c r="AG673">
        <f t="shared" si="320"/>
        <v>0</v>
      </c>
      <c r="AH673">
        <f t="shared" si="310"/>
        <v>0</v>
      </c>
      <c r="AK673">
        <f t="shared" si="311"/>
        <v>0</v>
      </c>
      <c r="AL673">
        <f t="shared" si="312"/>
        <v>0</v>
      </c>
      <c r="AM673">
        <f t="shared" si="313"/>
        <v>0</v>
      </c>
      <c r="AN673">
        <f t="shared" si="314"/>
        <v>0</v>
      </c>
      <c r="AO673">
        <f t="shared" si="315"/>
        <v>0</v>
      </c>
      <c r="AP673">
        <f t="shared" si="316"/>
        <v>0</v>
      </c>
      <c r="AQ673">
        <f t="shared" si="317"/>
        <v>0</v>
      </c>
      <c r="AR673">
        <f t="shared" si="318"/>
        <v>0</v>
      </c>
      <c r="AS673">
        <f t="shared" si="319"/>
        <v>0</v>
      </c>
    </row>
    <row r="674" spans="1:45" ht="24" customHeight="1">
      <c r="A674" s="176"/>
      <c r="B674" s="57"/>
      <c r="C674" s="1109"/>
      <c r="D674" s="954"/>
      <c r="E674" s="955"/>
      <c r="F674" s="956"/>
      <c r="G674" s="1110" t="s">
        <v>5070</v>
      </c>
      <c r="H674" s="1110"/>
      <c r="I674" s="178"/>
      <c r="J674" s="1111" t="s">
        <v>5071</v>
      </c>
      <c r="K674" s="1111"/>
      <c r="L674" s="1111"/>
      <c r="M674" s="1111"/>
      <c r="N674" s="1111"/>
      <c r="O674" s="1111"/>
      <c r="P674" s="1111"/>
      <c r="Q674" s="1111"/>
      <c r="R674" s="1111"/>
      <c r="S674" s="1111"/>
      <c r="T674" s="1111"/>
      <c r="U674" s="1112"/>
      <c r="V674" s="100"/>
      <c r="W674" s="100"/>
      <c r="X674" s="100"/>
      <c r="Y674" s="100"/>
      <c r="Z674" s="100"/>
      <c r="AA674" s="100"/>
      <c r="AB674" s="100"/>
      <c r="AC674" s="100"/>
      <c r="AD674" s="100"/>
      <c r="AF674"/>
      <c r="AG674">
        <f t="shared" si="320"/>
        <v>0</v>
      </c>
      <c r="AH674">
        <f t="shared" si="310"/>
        <v>0</v>
      </c>
      <c r="AK674">
        <f t="shared" si="311"/>
        <v>0</v>
      </c>
      <c r="AL674">
        <f t="shared" si="312"/>
        <v>0</v>
      </c>
      <c r="AM674">
        <f t="shared" si="313"/>
        <v>0</v>
      </c>
      <c r="AN674">
        <f t="shared" si="314"/>
        <v>0</v>
      </c>
      <c r="AO674">
        <f t="shared" si="315"/>
        <v>0</v>
      </c>
      <c r="AP674">
        <f t="shared" si="316"/>
        <v>0</v>
      </c>
      <c r="AQ674">
        <f t="shared" si="317"/>
        <v>0</v>
      </c>
      <c r="AR674">
        <f t="shared" si="318"/>
        <v>0</v>
      </c>
      <c r="AS674">
        <f t="shared" si="319"/>
        <v>0</v>
      </c>
    </row>
    <row r="675" spans="1:45" ht="15" customHeight="1">
      <c r="A675" s="176"/>
      <c r="B675" s="57"/>
      <c r="C675" s="1109"/>
      <c r="D675" s="954"/>
      <c r="E675" s="955"/>
      <c r="F675" s="956"/>
      <c r="G675" s="1110" t="s">
        <v>5072</v>
      </c>
      <c r="H675" s="1110"/>
      <c r="I675" s="178"/>
      <c r="J675" s="1111" t="s">
        <v>5073</v>
      </c>
      <c r="K675" s="1111"/>
      <c r="L675" s="1111"/>
      <c r="M675" s="1111"/>
      <c r="N675" s="1111"/>
      <c r="O675" s="1111"/>
      <c r="P675" s="1111"/>
      <c r="Q675" s="1111"/>
      <c r="R675" s="1111"/>
      <c r="S675" s="1111"/>
      <c r="T675" s="1111"/>
      <c r="U675" s="1112"/>
      <c r="V675" s="100"/>
      <c r="W675" s="100"/>
      <c r="X675" s="100"/>
      <c r="Y675" s="100"/>
      <c r="Z675" s="100"/>
      <c r="AA675" s="100"/>
      <c r="AB675" s="100"/>
      <c r="AC675" s="100"/>
      <c r="AD675" s="100"/>
      <c r="AF675"/>
      <c r="AG675">
        <f t="shared" si="320"/>
        <v>0</v>
      </c>
      <c r="AH675">
        <f t="shared" si="310"/>
        <v>0</v>
      </c>
      <c r="AK675">
        <f t="shared" si="311"/>
        <v>0</v>
      </c>
      <c r="AL675">
        <f t="shared" si="312"/>
        <v>0</v>
      </c>
      <c r="AM675">
        <f t="shared" si="313"/>
        <v>0</v>
      </c>
      <c r="AN675">
        <f t="shared" si="314"/>
        <v>0</v>
      </c>
      <c r="AO675">
        <f t="shared" si="315"/>
        <v>0</v>
      </c>
      <c r="AP675">
        <f t="shared" si="316"/>
        <v>0</v>
      </c>
      <c r="AQ675">
        <f t="shared" si="317"/>
        <v>0</v>
      </c>
      <c r="AR675">
        <f t="shared" si="318"/>
        <v>0</v>
      </c>
      <c r="AS675">
        <f t="shared" si="319"/>
        <v>0</v>
      </c>
    </row>
    <row r="676" spans="1:45" ht="15" customHeight="1">
      <c r="A676" s="176"/>
      <c r="B676" s="57"/>
      <c r="C676" s="1109"/>
      <c r="D676" s="954"/>
      <c r="E676" s="955"/>
      <c r="F676" s="956"/>
      <c r="G676" s="1110" t="s">
        <v>5074</v>
      </c>
      <c r="H676" s="1110"/>
      <c r="I676" s="178"/>
      <c r="J676" s="1111" t="s">
        <v>5075</v>
      </c>
      <c r="K676" s="1111"/>
      <c r="L676" s="1111"/>
      <c r="M676" s="1111"/>
      <c r="N676" s="1111"/>
      <c r="O676" s="1111"/>
      <c r="P676" s="1111"/>
      <c r="Q676" s="1111"/>
      <c r="R676" s="1111"/>
      <c r="S676" s="1111"/>
      <c r="T676" s="1111"/>
      <c r="U676" s="1112"/>
      <c r="V676" s="100"/>
      <c r="W676" s="100"/>
      <c r="X676" s="100"/>
      <c r="Y676" s="100"/>
      <c r="Z676" s="100"/>
      <c r="AA676" s="100"/>
      <c r="AB676" s="100"/>
      <c r="AC676" s="100"/>
      <c r="AD676" s="100"/>
      <c r="AF676"/>
      <c r="AG676">
        <f t="shared" si="320"/>
        <v>0</v>
      </c>
      <c r="AH676">
        <f t="shared" si="310"/>
        <v>0</v>
      </c>
      <c r="AK676">
        <f t="shared" si="311"/>
        <v>0</v>
      </c>
      <c r="AL676">
        <f t="shared" si="312"/>
        <v>0</v>
      </c>
      <c r="AM676">
        <f t="shared" si="313"/>
        <v>0</v>
      </c>
      <c r="AN676">
        <f t="shared" si="314"/>
        <v>0</v>
      </c>
      <c r="AO676">
        <f t="shared" si="315"/>
        <v>0</v>
      </c>
      <c r="AP676">
        <f t="shared" si="316"/>
        <v>0</v>
      </c>
      <c r="AQ676">
        <f t="shared" si="317"/>
        <v>0</v>
      </c>
      <c r="AR676">
        <f t="shared" si="318"/>
        <v>0</v>
      </c>
      <c r="AS676">
        <f t="shared" si="319"/>
        <v>0</v>
      </c>
    </row>
    <row r="677" spans="1:45" ht="24" customHeight="1">
      <c r="A677" s="176"/>
      <c r="B677" s="57"/>
      <c r="C677" s="1109"/>
      <c r="D677" s="954"/>
      <c r="E677" s="955"/>
      <c r="F677" s="956"/>
      <c r="G677" s="1110" t="s">
        <v>5076</v>
      </c>
      <c r="H677" s="1110"/>
      <c r="I677" s="178"/>
      <c r="J677" s="1111" t="s">
        <v>5077</v>
      </c>
      <c r="K677" s="1111"/>
      <c r="L677" s="1111"/>
      <c r="M677" s="1111"/>
      <c r="N677" s="1111"/>
      <c r="O677" s="1111"/>
      <c r="P677" s="1111"/>
      <c r="Q677" s="1111"/>
      <c r="R677" s="1111"/>
      <c r="S677" s="1111"/>
      <c r="T677" s="1111"/>
      <c r="U677" s="1112"/>
      <c r="V677" s="100"/>
      <c r="W677" s="100"/>
      <c r="X677" s="100"/>
      <c r="Y677" s="100"/>
      <c r="Z677" s="100"/>
      <c r="AA677" s="100"/>
      <c r="AB677" s="100"/>
      <c r="AC677" s="100"/>
      <c r="AD677" s="100"/>
      <c r="AF677"/>
      <c r="AG677">
        <f t="shared" si="320"/>
        <v>0</v>
      </c>
      <c r="AH677">
        <f t="shared" si="310"/>
        <v>0</v>
      </c>
      <c r="AK677">
        <f t="shared" si="311"/>
        <v>0</v>
      </c>
      <c r="AL677">
        <f t="shared" si="312"/>
        <v>0</v>
      </c>
      <c r="AM677">
        <f t="shared" si="313"/>
        <v>0</v>
      </c>
      <c r="AN677">
        <f t="shared" si="314"/>
        <v>0</v>
      </c>
      <c r="AO677">
        <f t="shared" si="315"/>
        <v>0</v>
      </c>
      <c r="AP677">
        <f t="shared" si="316"/>
        <v>0</v>
      </c>
      <c r="AQ677">
        <f t="shared" si="317"/>
        <v>0</v>
      </c>
      <c r="AR677">
        <f t="shared" si="318"/>
        <v>0</v>
      </c>
      <c r="AS677">
        <f t="shared" si="319"/>
        <v>0</v>
      </c>
    </row>
    <row r="678" spans="1:45" ht="15" customHeight="1">
      <c r="A678" s="176"/>
      <c r="B678" s="57"/>
      <c r="C678" s="1109"/>
      <c r="D678" s="954"/>
      <c r="E678" s="955"/>
      <c r="F678" s="956"/>
      <c r="G678" s="1110" t="s">
        <v>5078</v>
      </c>
      <c r="H678" s="1110"/>
      <c r="I678" s="179"/>
      <c r="J678" s="1113" t="s">
        <v>201</v>
      </c>
      <c r="K678" s="1113"/>
      <c r="L678" s="1113"/>
      <c r="M678" s="1113"/>
      <c r="N678" s="1113"/>
      <c r="O678" s="1113"/>
      <c r="P678" s="1113"/>
      <c r="Q678" s="1113"/>
      <c r="R678" s="1113"/>
      <c r="S678" s="1113"/>
      <c r="T678" s="1113"/>
      <c r="U678" s="1114"/>
      <c r="V678" s="100"/>
      <c r="W678" s="100"/>
      <c r="X678" s="100"/>
      <c r="Y678" s="100"/>
      <c r="Z678" s="100"/>
      <c r="AA678" s="100"/>
      <c r="AB678" s="100"/>
      <c r="AC678" s="100"/>
      <c r="AD678" s="100"/>
      <c r="AF678"/>
      <c r="AG678">
        <f t="shared" si="320"/>
        <v>0</v>
      </c>
      <c r="AH678">
        <f t="shared" si="310"/>
        <v>0</v>
      </c>
      <c r="AK678">
        <f t="shared" si="311"/>
        <v>0</v>
      </c>
      <c r="AL678">
        <f t="shared" si="312"/>
        <v>0</v>
      </c>
      <c r="AM678">
        <f t="shared" si="313"/>
        <v>0</v>
      </c>
      <c r="AN678">
        <f t="shared" si="314"/>
        <v>0</v>
      </c>
      <c r="AO678">
        <f t="shared" si="315"/>
        <v>0</v>
      </c>
      <c r="AP678">
        <f t="shared" si="316"/>
        <v>0</v>
      </c>
      <c r="AQ678">
        <f t="shared" si="317"/>
        <v>0</v>
      </c>
      <c r="AR678">
        <f t="shared" si="318"/>
        <v>0</v>
      </c>
      <c r="AS678">
        <f t="shared" si="319"/>
        <v>0</v>
      </c>
    </row>
    <row r="679" spans="1:45" ht="15" customHeight="1">
      <c r="A679" s="176"/>
      <c r="B679" s="57"/>
      <c r="C679" s="1109"/>
      <c r="D679" s="954"/>
      <c r="E679" s="955"/>
      <c r="F679" s="956"/>
      <c r="G679" s="1103" t="s">
        <v>5079</v>
      </c>
      <c r="H679" s="1103"/>
      <c r="I679" s="1104" t="s">
        <v>5080</v>
      </c>
      <c r="J679" s="1105"/>
      <c r="K679" s="1105"/>
      <c r="L679" s="1105"/>
      <c r="M679" s="1105"/>
      <c r="N679" s="1105"/>
      <c r="O679" s="1105"/>
      <c r="P679" s="1105"/>
      <c r="Q679" s="1105"/>
      <c r="R679" s="1105"/>
      <c r="S679" s="1105"/>
      <c r="T679" s="1105"/>
      <c r="U679" s="1106"/>
      <c r="V679" s="100"/>
      <c r="W679" s="100"/>
      <c r="X679" s="100"/>
      <c r="Y679" s="100"/>
      <c r="Z679" s="100"/>
      <c r="AA679" s="100"/>
      <c r="AB679" s="100"/>
      <c r="AC679" s="100"/>
      <c r="AD679" s="100"/>
      <c r="AF679"/>
      <c r="AG679">
        <f t="shared" si="320"/>
        <v>0</v>
      </c>
      <c r="AH679">
        <f t="shared" si="310"/>
        <v>0</v>
      </c>
      <c r="AK679">
        <f t="shared" si="311"/>
        <v>0</v>
      </c>
      <c r="AL679">
        <f t="shared" si="312"/>
        <v>0</v>
      </c>
      <c r="AM679">
        <f t="shared" si="313"/>
        <v>0</v>
      </c>
      <c r="AN679">
        <f t="shared" si="314"/>
        <v>0</v>
      </c>
      <c r="AO679">
        <f t="shared" si="315"/>
        <v>0</v>
      </c>
      <c r="AP679">
        <f t="shared" si="316"/>
        <v>0</v>
      </c>
      <c r="AQ679">
        <f t="shared" si="317"/>
        <v>0</v>
      </c>
      <c r="AR679">
        <f t="shared" si="318"/>
        <v>0</v>
      </c>
      <c r="AS679">
        <f t="shared" si="319"/>
        <v>0</v>
      </c>
    </row>
    <row r="680" spans="1:45" ht="15" customHeight="1">
      <c r="A680" s="176"/>
      <c r="B680" s="57"/>
      <c r="C680" s="1109"/>
      <c r="D680" s="954"/>
      <c r="E680" s="955"/>
      <c r="F680" s="956"/>
      <c r="G680" s="1103" t="s">
        <v>5081</v>
      </c>
      <c r="H680" s="1103"/>
      <c r="I680" s="1104" t="s">
        <v>5082</v>
      </c>
      <c r="J680" s="1105"/>
      <c r="K680" s="1105"/>
      <c r="L680" s="1105"/>
      <c r="M680" s="1105"/>
      <c r="N680" s="1105"/>
      <c r="O680" s="1105"/>
      <c r="P680" s="1105"/>
      <c r="Q680" s="1105"/>
      <c r="R680" s="1105"/>
      <c r="S680" s="1105"/>
      <c r="T680" s="1105"/>
      <c r="U680" s="1106"/>
      <c r="V680" s="100"/>
      <c r="W680" s="100"/>
      <c r="X680" s="100"/>
      <c r="Y680" s="100"/>
      <c r="Z680" s="100"/>
      <c r="AA680" s="100"/>
      <c r="AB680" s="100"/>
      <c r="AC680" s="100"/>
      <c r="AD680" s="100"/>
      <c r="AF680">
        <f>IF(V680="NA",IF(AND(COUNTIF(V681:V683,"="&amp;$AF$545)=0,COUNTIF(V681:V683,"&lt;&gt;NA")&gt;0),1,0),IF(AND(COUNTIF(V681:V683,"="&amp;$AF$545)=0,COUNTIF(V681:V683,"NA")=COUNTIF(V681:V683,"&lt;&gt;"&amp;$AF$545)),1,0))</f>
        <v>0</v>
      </c>
      <c r="AG680">
        <f t="shared" si="320"/>
        <v>0</v>
      </c>
      <c r="AH680">
        <f t="shared" si="310"/>
        <v>0</v>
      </c>
      <c r="AK680">
        <f t="shared" si="311"/>
        <v>0</v>
      </c>
      <c r="AL680">
        <f t="shared" si="312"/>
        <v>0</v>
      </c>
      <c r="AM680">
        <f t="shared" si="313"/>
        <v>0</v>
      </c>
      <c r="AN680">
        <f t="shared" si="314"/>
        <v>0</v>
      </c>
      <c r="AO680">
        <f t="shared" si="315"/>
        <v>0</v>
      </c>
      <c r="AP680">
        <f t="shared" si="316"/>
        <v>0</v>
      </c>
      <c r="AQ680">
        <f t="shared" si="317"/>
        <v>0</v>
      </c>
      <c r="AR680">
        <f t="shared" si="318"/>
        <v>0</v>
      </c>
      <c r="AS680">
        <f t="shared" si="319"/>
        <v>0</v>
      </c>
    </row>
    <row r="681" spans="1:45" ht="15" customHeight="1">
      <c r="A681" s="176"/>
      <c r="B681" s="57"/>
      <c r="C681" s="1109"/>
      <c r="D681" s="954"/>
      <c r="E681" s="955"/>
      <c r="F681" s="956"/>
      <c r="G681" s="1110" t="s">
        <v>5083</v>
      </c>
      <c r="H681" s="1110"/>
      <c r="I681" s="177"/>
      <c r="J681" s="1115" t="s">
        <v>5084</v>
      </c>
      <c r="K681" s="1115"/>
      <c r="L681" s="1115"/>
      <c r="M681" s="1115"/>
      <c r="N681" s="1115"/>
      <c r="O681" s="1115"/>
      <c r="P681" s="1115"/>
      <c r="Q681" s="1115"/>
      <c r="R681" s="1115"/>
      <c r="S681" s="1115"/>
      <c r="T681" s="1115"/>
      <c r="U681" s="1116"/>
      <c r="V681" s="100"/>
      <c r="W681" s="100"/>
      <c r="X681" s="100"/>
      <c r="Y681" s="100"/>
      <c r="Z681" s="100"/>
      <c r="AA681" s="100"/>
      <c r="AB681" s="100"/>
      <c r="AC681" s="100"/>
      <c r="AD681" s="100"/>
      <c r="AF681"/>
      <c r="AG681">
        <f t="shared" si="320"/>
        <v>0</v>
      </c>
      <c r="AH681">
        <f t="shared" si="310"/>
        <v>0</v>
      </c>
      <c r="AK681">
        <f t="shared" si="311"/>
        <v>0</v>
      </c>
      <c r="AL681">
        <f t="shared" si="312"/>
        <v>0</v>
      </c>
      <c r="AM681">
        <f t="shared" si="313"/>
        <v>0</v>
      </c>
      <c r="AN681">
        <f t="shared" si="314"/>
        <v>0</v>
      </c>
      <c r="AO681">
        <f t="shared" si="315"/>
        <v>0</v>
      </c>
      <c r="AP681">
        <f t="shared" si="316"/>
        <v>0</v>
      </c>
      <c r="AQ681">
        <f t="shared" si="317"/>
        <v>0</v>
      </c>
      <c r="AR681">
        <f t="shared" si="318"/>
        <v>0</v>
      </c>
      <c r="AS681">
        <f t="shared" si="319"/>
        <v>0</v>
      </c>
    </row>
    <row r="682" spans="1:45" ht="15" customHeight="1">
      <c r="A682" s="176"/>
      <c r="B682" s="57"/>
      <c r="C682" s="1109"/>
      <c r="D682" s="954"/>
      <c r="E682" s="955"/>
      <c r="F682" s="956"/>
      <c r="G682" s="1110" t="s">
        <v>5085</v>
      </c>
      <c r="H682" s="1110"/>
      <c r="I682" s="178"/>
      <c r="J682" s="1111" t="s">
        <v>5086</v>
      </c>
      <c r="K682" s="1111"/>
      <c r="L682" s="1111"/>
      <c r="M682" s="1111"/>
      <c r="N682" s="1111"/>
      <c r="O682" s="1111"/>
      <c r="P682" s="1111"/>
      <c r="Q682" s="1111"/>
      <c r="R682" s="1111"/>
      <c r="S682" s="1111"/>
      <c r="T682" s="1111"/>
      <c r="U682" s="1112"/>
      <c r="V682" s="100"/>
      <c r="W682" s="100"/>
      <c r="X682" s="100"/>
      <c r="Y682" s="100"/>
      <c r="Z682" s="100"/>
      <c r="AA682" s="100"/>
      <c r="AB682" s="100"/>
      <c r="AC682" s="100"/>
      <c r="AD682" s="100"/>
      <c r="AF682"/>
      <c r="AG682">
        <f t="shared" si="320"/>
        <v>0</v>
      </c>
      <c r="AH682">
        <f t="shared" si="310"/>
        <v>0</v>
      </c>
      <c r="AK682">
        <f t="shared" si="311"/>
        <v>0</v>
      </c>
      <c r="AL682">
        <f t="shared" si="312"/>
        <v>0</v>
      </c>
      <c r="AM682">
        <f t="shared" si="313"/>
        <v>0</v>
      </c>
      <c r="AN682">
        <f t="shared" si="314"/>
        <v>0</v>
      </c>
      <c r="AO682">
        <f t="shared" si="315"/>
        <v>0</v>
      </c>
      <c r="AP682">
        <f t="shared" si="316"/>
        <v>0</v>
      </c>
      <c r="AQ682">
        <f t="shared" si="317"/>
        <v>0</v>
      </c>
      <c r="AR682">
        <f t="shared" si="318"/>
        <v>0</v>
      </c>
      <c r="AS682">
        <f t="shared" si="319"/>
        <v>0</v>
      </c>
    </row>
    <row r="683" spans="1:45" ht="15" customHeight="1">
      <c r="A683" s="176"/>
      <c r="B683" s="57"/>
      <c r="C683" s="1109"/>
      <c r="D683" s="954"/>
      <c r="E683" s="955"/>
      <c r="F683" s="956"/>
      <c r="G683" s="1110" t="s">
        <v>5087</v>
      </c>
      <c r="H683" s="1110"/>
      <c r="I683" s="179"/>
      <c r="J683" s="1113" t="s">
        <v>201</v>
      </c>
      <c r="K683" s="1113"/>
      <c r="L683" s="1113"/>
      <c r="M683" s="1113"/>
      <c r="N683" s="1113"/>
      <c r="O683" s="1113"/>
      <c r="P683" s="1113"/>
      <c r="Q683" s="1113"/>
      <c r="R683" s="1113"/>
      <c r="S683" s="1113"/>
      <c r="T683" s="1113"/>
      <c r="U683" s="1114"/>
      <c r="V683" s="100"/>
      <c r="W683" s="100"/>
      <c r="X683" s="100"/>
      <c r="Y683" s="100"/>
      <c r="Z683" s="100"/>
      <c r="AA683" s="100"/>
      <c r="AB683" s="100"/>
      <c r="AC683" s="100"/>
      <c r="AD683" s="100"/>
      <c r="AF683"/>
      <c r="AG683">
        <f t="shared" si="320"/>
        <v>0</v>
      </c>
      <c r="AH683">
        <f t="shared" si="310"/>
        <v>0</v>
      </c>
      <c r="AK683">
        <f t="shared" si="311"/>
        <v>0</v>
      </c>
      <c r="AL683">
        <f t="shared" si="312"/>
        <v>0</v>
      </c>
      <c r="AM683">
        <f t="shared" si="313"/>
        <v>0</v>
      </c>
      <c r="AN683">
        <f t="shared" si="314"/>
        <v>0</v>
      </c>
      <c r="AO683">
        <f t="shared" si="315"/>
        <v>0</v>
      </c>
      <c r="AP683">
        <f t="shared" si="316"/>
        <v>0</v>
      </c>
      <c r="AQ683">
        <f t="shared" si="317"/>
        <v>0</v>
      </c>
      <c r="AR683">
        <f t="shared" si="318"/>
        <v>0</v>
      </c>
      <c r="AS683">
        <f t="shared" si="319"/>
        <v>0</v>
      </c>
    </row>
    <row r="684" spans="1:45" ht="15" customHeight="1">
      <c r="A684" s="176"/>
      <c r="B684" s="57"/>
      <c r="C684" s="1109"/>
      <c r="D684" s="954"/>
      <c r="E684" s="955"/>
      <c r="F684" s="956"/>
      <c r="G684" s="1103" t="s">
        <v>5088</v>
      </c>
      <c r="H684" s="1103"/>
      <c r="I684" s="1104" t="s">
        <v>5089</v>
      </c>
      <c r="J684" s="1105"/>
      <c r="K684" s="1105"/>
      <c r="L684" s="1105"/>
      <c r="M684" s="1105"/>
      <c r="N684" s="1105"/>
      <c r="O684" s="1105"/>
      <c r="P684" s="1105"/>
      <c r="Q684" s="1105"/>
      <c r="R684" s="1105"/>
      <c r="S684" s="1105"/>
      <c r="T684" s="1105"/>
      <c r="U684" s="1106"/>
      <c r="V684" s="100"/>
      <c r="W684" s="100"/>
      <c r="X684" s="100"/>
      <c r="Y684" s="100"/>
      <c r="Z684" s="100"/>
      <c r="AA684" s="100"/>
      <c r="AB684" s="100"/>
      <c r="AC684" s="100"/>
      <c r="AD684" s="100"/>
      <c r="AF684"/>
      <c r="AG684">
        <f t="shared" si="320"/>
        <v>0</v>
      </c>
      <c r="AH684">
        <f t="shared" si="310"/>
        <v>0</v>
      </c>
      <c r="AK684">
        <f t="shared" si="311"/>
        <v>0</v>
      </c>
      <c r="AL684">
        <f t="shared" si="312"/>
        <v>0</v>
      </c>
      <c r="AM684">
        <f t="shared" si="313"/>
        <v>0</v>
      </c>
      <c r="AN684">
        <f t="shared" si="314"/>
        <v>0</v>
      </c>
      <c r="AO684">
        <f t="shared" si="315"/>
        <v>0</v>
      </c>
      <c r="AP684">
        <f t="shared" si="316"/>
        <v>0</v>
      </c>
      <c r="AQ684">
        <f t="shared" si="317"/>
        <v>0</v>
      </c>
      <c r="AR684">
        <f t="shared" si="318"/>
        <v>0</v>
      </c>
      <c r="AS684">
        <f t="shared" si="319"/>
        <v>0</v>
      </c>
    </row>
    <row r="685" spans="1:45" ht="24" customHeight="1">
      <c r="A685" s="176"/>
      <c r="B685" s="57"/>
      <c r="C685" s="1109"/>
      <c r="D685" s="954"/>
      <c r="E685" s="955"/>
      <c r="F685" s="956"/>
      <c r="G685" s="1103" t="s">
        <v>5090</v>
      </c>
      <c r="H685" s="1103"/>
      <c r="I685" s="1104" t="s">
        <v>5091</v>
      </c>
      <c r="J685" s="1105"/>
      <c r="K685" s="1105"/>
      <c r="L685" s="1105"/>
      <c r="M685" s="1105"/>
      <c r="N685" s="1105"/>
      <c r="O685" s="1105"/>
      <c r="P685" s="1105"/>
      <c r="Q685" s="1105"/>
      <c r="R685" s="1105"/>
      <c r="S685" s="1105"/>
      <c r="T685" s="1105"/>
      <c r="U685" s="1106"/>
      <c r="V685" s="100"/>
      <c r="W685" s="100"/>
      <c r="X685" s="100"/>
      <c r="Y685" s="100"/>
      <c r="Z685" s="100"/>
      <c r="AA685" s="100"/>
      <c r="AB685" s="100"/>
      <c r="AC685" s="100"/>
      <c r="AD685" s="100"/>
      <c r="AF685"/>
      <c r="AG685">
        <f t="shared" si="320"/>
        <v>0</v>
      </c>
      <c r="AH685">
        <f t="shared" si="310"/>
        <v>0</v>
      </c>
      <c r="AK685">
        <f t="shared" si="311"/>
        <v>0</v>
      </c>
      <c r="AL685">
        <f t="shared" si="312"/>
        <v>0</v>
      </c>
      <c r="AM685">
        <f t="shared" si="313"/>
        <v>0</v>
      </c>
      <c r="AN685">
        <f t="shared" si="314"/>
        <v>0</v>
      </c>
      <c r="AO685">
        <f t="shared" si="315"/>
        <v>0</v>
      </c>
      <c r="AP685">
        <f t="shared" si="316"/>
        <v>0</v>
      </c>
      <c r="AQ685">
        <f t="shared" si="317"/>
        <v>0</v>
      </c>
      <c r="AR685">
        <f t="shared" si="318"/>
        <v>0</v>
      </c>
      <c r="AS685">
        <f t="shared" si="319"/>
        <v>0</v>
      </c>
    </row>
    <row r="686" spans="1:45" ht="15" customHeight="1">
      <c r="A686" s="176"/>
      <c r="B686" s="57"/>
      <c r="C686" s="1109"/>
      <c r="D686" s="954"/>
      <c r="E686" s="955"/>
      <c r="F686" s="956"/>
      <c r="G686" s="1103" t="s">
        <v>5092</v>
      </c>
      <c r="H686" s="1103"/>
      <c r="I686" s="1104" t="s">
        <v>5093</v>
      </c>
      <c r="J686" s="1105"/>
      <c r="K686" s="1105"/>
      <c r="L686" s="1105"/>
      <c r="M686" s="1105"/>
      <c r="N686" s="1105"/>
      <c r="O686" s="1105"/>
      <c r="P686" s="1105"/>
      <c r="Q686" s="1105"/>
      <c r="R686" s="1105"/>
      <c r="S686" s="1105"/>
      <c r="T686" s="1105"/>
      <c r="U686" s="1106"/>
      <c r="V686" s="100"/>
      <c r="W686" s="100"/>
      <c r="X686" s="100"/>
      <c r="Y686" s="100"/>
      <c r="Z686" s="100"/>
      <c r="AA686" s="100"/>
      <c r="AB686" s="100"/>
      <c r="AC686" s="100"/>
      <c r="AD686" s="100"/>
      <c r="AF686"/>
      <c r="AG686">
        <f t="shared" si="320"/>
        <v>0</v>
      </c>
      <c r="AH686">
        <f t="shared" si="310"/>
        <v>0</v>
      </c>
      <c r="AK686">
        <f t="shared" si="311"/>
        <v>0</v>
      </c>
      <c r="AL686">
        <f t="shared" si="312"/>
        <v>0</v>
      </c>
      <c r="AM686">
        <f t="shared" si="313"/>
        <v>0</v>
      </c>
      <c r="AN686">
        <f t="shared" si="314"/>
        <v>0</v>
      </c>
      <c r="AO686">
        <f t="shared" si="315"/>
        <v>0</v>
      </c>
      <c r="AP686">
        <f t="shared" si="316"/>
        <v>0</v>
      </c>
      <c r="AQ686">
        <f t="shared" si="317"/>
        <v>0</v>
      </c>
      <c r="AR686">
        <f t="shared" si="318"/>
        <v>0</v>
      </c>
      <c r="AS686">
        <f t="shared" si="319"/>
        <v>0</v>
      </c>
    </row>
    <row r="687" spans="1:45" ht="15" customHeight="1">
      <c r="A687" s="176"/>
      <c r="B687" s="57"/>
      <c r="C687" s="1109"/>
      <c r="D687" s="954"/>
      <c r="E687" s="955"/>
      <c r="F687" s="956"/>
      <c r="G687" s="1103" t="s">
        <v>5094</v>
      </c>
      <c r="H687" s="1103"/>
      <c r="I687" s="1104" t="s">
        <v>5095</v>
      </c>
      <c r="J687" s="1105"/>
      <c r="K687" s="1105"/>
      <c r="L687" s="1105"/>
      <c r="M687" s="1105"/>
      <c r="N687" s="1105"/>
      <c r="O687" s="1105"/>
      <c r="P687" s="1105"/>
      <c r="Q687" s="1105"/>
      <c r="R687" s="1105"/>
      <c r="S687" s="1105"/>
      <c r="T687" s="1105"/>
      <c r="U687" s="1106"/>
      <c r="V687" s="100"/>
      <c r="W687" s="100"/>
      <c r="X687" s="100"/>
      <c r="Y687" s="100"/>
      <c r="Z687" s="100"/>
      <c r="AA687" s="100"/>
      <c r="AB687" s="100"/>
      <c r="AC687" s="100"/>
      <c r="AD687" s="100"/>
      <c r="AF687"/>
      <c r="AG687">
        <f t="shared" si="320"/>
        <v>0</v>
      </c>
      <c r="AH687">
        <f t="shared" si="310"/>
        <v>0</v>
      </c>
      <c r="AK687">
        <f t="shared" si="311"/>
        <v>0</v>
      </c>
      <c r="AL687">
        <f t="shared" si="312"/>
        <v>0</v>
      </c>
      <c r="AM687">
        <f t="shared" si="313"/>
        <v>0</v>
      </c>
      <c r="AN687">
        <f t="shared" si="314"/>
        <v>0</v>
      </c>
      <c r="AO687">
        <f t="shared" si="315"/>
        <v>0</v>
      </c>
      <c r="AP687">
        <f t="shared" si="316"/>
        <v>0</v>
      </c>
      <c r="AQ687">
        <f t="shared" si="317"/>
        <v>0</v>
      </c>
      <c r="AR687">
        <f t="shared" si="318"/>
        <v>0</v>
      </c>
      <c r="AS687">
        <f t="shared" si="319"/>
        <v>0</v>
      </c>
    </row>
    <row r="688" spans="1:45" ht="15" customHeight="1">
      <c r="A688" s="176"/>
      <c r="B688" s="57"/>
      <c r="C688" s="1109"/>
      <c r="D688" s="954"/>
      <c r="E688" s="955"/>
      <c r="F688" s="956"/>
      <c r="G688" s="1103" t="s">
        <v>5096</v>
      </c>
      <c r="H688" s="1103"/>
      <c r="I688" s="1104" t="s">
        <v>5097</v>
      </c>
      <c r="J688" s="1105"/>
      <c r="K688" s="1105"/>
      <c r="L688" s="1105"/>
      <c r="M688" s="1105"/>
      <c r="N688" s="1105"/>
      <c r="O688" s="1105"/>
      <c r="P688" s="1105"/>
      <c r="Q688" s="1105"/>
      <c r="R688" s="1105"/>
      <c r="S688" s="1105"/>
      <c r="T688" s="1105"/>
      <c r="U688" s="1106"/>
      <c r="V688" s="100"/>
      <c r="W688" s="100"/>
      <c r="X688" s="100"/>
      <c r="Y688" s="100"/>
      <c r="Z688" s="100"/>
      <c r="AA688" s="100"/>
      <c r="AB688" s="100"/>
      <c r="AC688" s="100"/>
      <c r="AD688" s="100"/>
      <c r="AF688"/>
      <c r="AG688">
        <f t="shared" si="320"/>
        <v>0</v>
      </c>
      <c r="AH688">
        <f t="shared" si="310"/>
        <v>0</v>
      </c>
      <c r="AK688">
        <f t="shared" si="311"/>
        <v>0</v>
      </c>
      <c r="AL688">
        <f t="shared" si="312"/>
        <v>0</v>
      </c>
      <c r="AM688">
        <f t="shared" si="313"/>
        <v>0</v>
      </c>
      <c r="AN688">
        <f t="shared" si="314"/>
        <v>0</v>
      </c>
      <c r="AO688">
        <f t="shared" si="315"/>
        <v>0</v>
      </c>
      <c r="AP688">
        <f t="shared" si="316"/>
        <v>0</v>
      </c>
      <c r="AQ688">
        <f t="shared" si="317"/>
        <v>0</v>
      </c>
      <c r="AR688">
        <f t="shared" si="318"/>
        <v>0</v>
      </c>
      <c r="AS688">
        <f t="shared" si="319"/>
        <v>0</v>
      </c>
    </row>
    <row r="689" spans="1:45" ht="15" customHeight="1">
      <c r="A689" s="176"/>
      <c r="B689" s="57"/>
      <c r="C689" s="1109"/>
      <c r="D689" s="954"/>
      <c r="E689" s="955"/>
      <c r="F689" s="956"/>
      <c r="G689" s="1103" t="s">
        <v>5098</v>
      </c>
      <c r="H689" s="1103"/>
      <c r="I689" s="1104" t="s">
        <v>5099</v>
      </c>
      <c r="J689" s="1105"/>
      <c r="K689" s="1105"/>
      <c r="L689" s="1105"/>
      <c r="M689" s="1105"/>
      <c r="N689" s="1105"/>
      <c r="O689" s="1105"/>
      <c r="P689" s="1105"/>
      <c r="Q689" s="1105"/>
      <c r="R689" s="1105"/>
      <c r="S689" s="1105"/>
      <c r="T689" s="1105"/>
      <c r="U689" s="1106"/>
      <c r="V689" s="100"/>
      <c r="W689" s="100"/>
      <c r="X689" s="100"/>
      <c r="Y689" s="100"/>
      <c r="Z689" s="100"/>
      <c r="AA689" s="100"/>
      <c r="AB689" s="100"/>
      <c r="AC689" s="100"/>
      <c r="AD689" s="100"/>
      <c r="AF689"/>
      <c r="AG689">
        <f t="shared" si="320"/>
        <v>0</v>
      </c>
      <c r="AH689">
        <f t="shared" si="310"/>
        <v>0</v>
      </c>
      <c r="AK689">
        <f t="shared" si="311"/>
        <v>0</v>
      </c>
      <c r="AL689">
        <f t="shared" si="312"/>
        <v>0</v>
      </c>
      <c r="AM689">
        <f t="shared" si="313"/>
        <v>0</v>
      </c>
      <c r="AN689">
        <f t="shared" si="314"/>
        <v>0</v>
      </c>
      <c r="AO689">
        <f t="shared" si="315"/>
        <v>0</v>
      </c>
      <c r="AP689">
        <f t="shared" si="316"/>
        <v>0</v>
      </c>
      <c r="AQ689">
        <f t="shared" si="317"/>
        <v>0</v>
      </c>
      <c r="AR689">
        <f t="shared" si="318"/>
        <v>0</v>
      </c>
      <c r="AS689">
        <f t="shared" si="319"/>
        <v>0</v>
      </c>
    </row>
    <row r="690" spans="1:45" ht="15" customHeight="1">
      <c r="A690" s="176"/>
      <c r="B690" s="57"/>
      <c r="C690" s="1109"/>
      <c r="D690" s="954"/>
      <c r="E690" s="955"/>
      <c r="F690" s="956"/>
      <c r="G690" s="1103" t="s">
        <v>5100</v>
      </c>
      <c r="H690" s="1103"/>
      <c r="I690" s="1104" t="s">
        <v>5101</v>
      </c>
      <c r="J690" s="1105"/>
      <c r="K690" s="1105"/>
      <c r="L690" s="1105"/>
      <c r="M690" s="1105"/>
      <c r="N690" s="1105"/>
      <c r="O690" s="1105"/>
      <c r="P690" s="1105"/>
      <c r="Q690" s="1105"/>
      <c r="R690" s="1105"/>
      <c r="S690" s="1105"/>
      <c r="T690" s="1105"/>
      <c r="U690" s="1106"/>
      <c r="V690" s="100"/>
      <c r="W690" s="100"/>
      <c r="X690" s="100"/>
      <c r="Y690" s="100"/>
      <c r="Z690" s="100"/>
      <c r="AA690" s="100"/>
      <c r="AB690" s="100"/>
      <c r="AC690" s="100"/>
      <c r="AD690" s="100"/>
      <c r="AF690"/>
      <c r="AG690">
        <f t="shared" si="320"/>
        <v>0</v>
      </c>
      <c r="AH690">
        <f t="shared" si="310"/>
        <v>0</v>
      </c>
      <c r="AK690">
        <f t="shared" si="311"/>
        <v>0</v>
      </c>
      <c r="AL690">
        <f t="shared" si="312"/>
        <v>0</v>
      </c>
      <c r="AM690">
        <f t="shared" si="313"/>
        <v>0</v>
      </c>
      <c r="AN690">
        <f t="shared" si="314"/>
        <v>0</v>
      </c>
      <c r="AO690">
        <f t="shared" si="315"/>
        <v>0</v>
      </c>
      <c r="AP690">
        <f t="shared" si="316"/>
        <v>0</v>
      </c>
      <c r="AQ690">
        <f t="shared" si="317"/>
        <v>0</v>
      </c>
      <c r="AR690">
        <f t="shared" si="318"/>
        <v>0</v>
      </c>
      <c r="AS690">
        <f t="shared" si="319"/>
        <v>0</v>
      </c>
    </row>
    <row r="691" spans="1:45" ht="15" customHeight="1">
      <c r="A691" s="176"/>
      <c r="B691" s="57"/>
      <c r="C691" s="1109"/>
      <c r="D691" s="954"/>
      <c r="E691" s="955"/>
      <c r="F691" s="956"/>
      <c r="G691" s="1103" t="s">
        <v>5102</v>
      </c>
      <c r="H691" s="1103"/>
      <c r="I691" s="1104" t="s">
        <v>5103</v>
      </c>
      <c r="J691" s="1105"/>
      <c r="K691" s="1105"/>
      <c r="L691" s="1105"/>
      <c r="M691" s="1105"/>
      <c r="N691" s="1105"/>
      <c r="O691" s="1105"/>
      <c r="P691" s="1105"/>
      <c r="Q691" s="1105"/>
      <c r="R691" s="1105"/>
      <c r="S691" s="1105"/>
      <c r="T691" s="1105"/>
      <c r="U691" s="1106"/>
      <c r="V691" s="100"/>
      <c r="W691" s="100"/>
      <c r="X691" s="100"/>
      <c r="Y691" s="100"/>
      <c r="Z691" s="100"/>
      <c r="AA691" s="100"/>
      <c r="AB691" s="100"/>
      <c r="AC691" s="100"/>
      <c r="AD691" s="100"/>
      <c r="AF691"/>
      <c r="AG691">
        <f t="shared" si="320"/>
        <v>0</v>
      </c>
      <c r="AH691">
        <f t="shared" si="310"/>
        <v>0</v>
      </c>
      <c r="AK691">
        <f t="shared" si="311"/>
        <v>0</v>
      </c>
      <c r="AL691">
        <f t="shared" si="312"/>
        <v>0</v>
      </c>
      <c r="AM691">
        <f t="shared" si="313"/>
        <v>0</v>
      </c>
      <c r="AN691">
        <f t="shared" si="314"/>
        <v>0</v>
      </c>
      <c r="AO691">
        <f t="shared" si="315"/>
        <v>0</v>
      </c>
      <c r="AP691">
        <f t="shared" si="316"/>
        <v>0</v>
      </c>
      <c r="AQ691">
        <f t="shared" si="317"/>
        <v>0</v>
      </c>
      <c r="AR691">
        <f t="shared" si="318"/>
        <v>0</v>
      </c>
      <c r="AS691">
        <f t="shared" si="319"/>
        <v>0</v>
      </c>
    </row>
    <row r="692" spans="1:45" ht="24" customHeight="1">
      <c r="A692" s="176"/>
      <c r="B692" s="57"/>
      <c r="C692" s="1109"/>
      <c r="D692" s="954"/>
      <c r="E692" s="955"/>
      <c r="F692" s="956"/>
      <c r="G692" s="1103" t="s">
        <v>5104</v>
      </c>
      <c r="H692" s="1103"/>
      <c r="I692" s="1104" t="s">
        <v>5105</v>
      </c>
      <c r="J692" s="1105"/>
      <c r="K692" s="1105"/>
      <c r="L692" s="1105"/>
      <c r="M692" s="1105"/>
      <c r="N692" s="1105"/>
      <c r="O692" s="1105"/>
      <c r="P692" s="1105"/>
      <c r="Q692" s="1105"/>
      <c r="R692" s="1105"/>
      <c r="S692" s="1105"/>
      <c r="T692" s="1105"/>
      <c r="U692" s="1106"/>
      <c r="V692" s="100"/>
      <c r="W692" s="100"/>
      <c r="X692" s="100"/>
      <c r="Y692" s="100"/>
      <c r="Z692" s="100"/>
      <c r="AA692" s="100"/>
      <c r="AB692" s="100"/>
      <c r="AC692" s="100"/>
      <c r="AD692" s="100"/>
      <c r="AF692">
        <f>IF(V692="NA",IF(AND(COUNTIF(V693:V697,"="&amp;$AF$545)=0,COUNTIF(V693:V697,"&lt;&gt;NA")&gt;0),1,0),IF(AND(COUNTIF(V693:V697,"="&amp;$AF$545)=0,COUNTIF(V693:V697,"NA")=COUNTIF(V693:V697,"&lt;&gt;"&amp;$AF$545)),1,0))</f>
        <v>0</v>
      </c>
      <c r="AG692">
        <f t="shared" si="320"/>
        <v>0</v>
      </c>
      <c r="AH692">
        <f t="shared" si="310"/>
        <v>0</v>
      </c>
      <c r="AK692">
        <f t="shared" si="311"/>
        <v>0</v>
      </c>
      <c r="AL692">
        <f t="shared" si="312"/>
        <v>0</v>
      </c>
      <c r="AM692">
        <f t="shared" si="313"/>
        <v>0</v>
      </c>
      <c r="AN692">
        <f t="shared" si="314"/>
        <v>0</v>
      </c>
      <c r="AO692">
        <f t="shared" si="315"/>
        <v>0</v>
      </c>
      <c r="AP692">
        <f t="shared" si="316"/>
        <v>0</v>
      </c>
      <c r="AQ692">
        <f t="shared" si="317"/>
        <v>0</v>
      </c>
      <c r="AR692">
        <f t="shared" si="318"/>
        <v>0</v>
      </c>
      <c r="AS692">
        <f t="shared" si="319"/>
        <v>0</v>
      </c>
    </row>
    <row r="693" spans="1:45" ht="15" customHeight="1">
      <c r="A693" s="176"/>
      <c r="B693" s="57"/>
      <c r="C693" s="1109"/>
      <c r="D693" s="954"/>
      <c r="E693" s="955"/>
      <c r="F693" s="956"/>
      <c r="G693" s="1119" t="s">
        <v>5106</v>
      </c>
      <c r="H693" s="1120"/>
      <c r="I693" s="177"/>
      <c r="J693" s="1115" t="s">
        <v>5107</v>
      </c>
      <c r="K693" s="1115"/>
      <c r="L693" s="1115"/>
      <c r="M693" s="1115"/>
      <c r="N693" s="1115"/>
      <c r="O693" s="1115"/>
      <c r="P693" s="1115"/>
      <c r="Q693" s="1115"/>
      <c r="R693" s="1115"/>
      <c r="S693" s="1115"/>
      <c r="T693" s="1115"/>
      <c r="U693" s="1116"/>
      <c r="V693" s="100"/>
      <c r="W693" s="100"/>
      <c r="X693" s="100"/>
      <c r="Y693" s="100"/>
      <c r="Z693" s="100"/>
      <c r="AA693" s="100"/>
      <c r="AB693" s="100"/>
      <c r="AC693" s="100"/>
      <c r="AD693" s="100"/>
      <c r="AF693"/>
      <c r="AG693">
        <f t="shared" si="320"/>
        <v>0</v>
      </c>
      <c r="AH693">
        <f t="shared" si="310"/>
        <v>0</v>
      </c>
      <c r="AK693">
        <f t="shared" si="311"/>
        <v>0</v>
      </c>
      <c r="AL693">
        <f t="shared" si="312"/>
        <v>0</v>
      </c>
      <c r="AM693">
        <f t="shared" si="313"/>
        <v>0</v>
      </c>
      <c r="AN693">
        <f t="shared" si="314"/>
        <v>0</v>
      </c>
      <c r="AO693">
        <f t="shared" si="315"/>
        <v>0</v>
      </c>
      <c r="AP693">
        <f t="shared" si="316"/>
        <v>0</v>
      </c>
      <c r="AQ693">
        <f t="shared" si="317"/>
        <v>0</v>
      </c>
      <c r="AR693">
        <f t="shared" si="318"/>
        <v>0</v>
      </c>
      <c r="AS693">
        <f t="shared" si="319"/>
        <v>0</v>
      </c>
    </row>
    <row r="694" spans="1:45" ht="15" customHeight="1">
      <c r="A694" s="176"/>
      <c r="B694" s="57"/>
      <c r="C694" s="1109"/>
      <c r="D694" s="954"/>
      <c r="E694" s="955"/>
      <c r="F694" s="956"/>
      <c r="G694" s="1119" t="s">
        <v>5108</v>
      </c>
      <c r="H694" s="1120"/>
      <c r="I694" s="178"/>
      <c r="J694" s="1111" t="s">
        <v>5109</v>
      </c>
      <c r="K694" s="1111"/>
      <c r="L694" s="1111"/>
      <c r="M694" s="1111"/>
      <c r="N694" s="1111"/>
      <c r="O694" s="1111"/>
      <c r="P694" s="1111"/>
      <c r="Q694" s="1111"/>
      <c r="R694" s="1111"/>
      <c r="S694" s="1111"/>
      <c r="T694" s="1111"/>
      <c r="U694" s="1112"/>
      <c r="V694" s="100"/>
      <c r="W694" s="100"/>
      <c r="X694" s="100"/>
      <c r="Y694" s="100"/>
      <c r="Z694" s="100"/>
      <c r="AA694" s="100"/>
      <c r="AB694" s="100"/>
      <c r="AC694" s="100"/>
      <c r="AD694" s="100"/>
      <c r="AF694"/>
      <c r="AG694">
        <f t="shared" si="320"/>
        <v>0</v>
      </c>
      <c r="AH694">
        <f t="shared" si="310"/>
        <v>0</v>
      </c>
      <c r="AK694">
        <f t="shared" si="311"/>
        <v>0</v>
      </c>
      <c r="AL694">
        <f t="shared" si="312"/>
        <v>0</v>
      </c>
      <c r="AM694">
        <f t="shared" si="313"/>
        <v>0</v>
      </c>
      <c r="AN694">
        <f t="shared" si="314"/>
        <v>0</v>
      </c>
      <c r="AO694">
        <f t="shared" si="315"/>
        <v>0</v>
      </c>
      <c r="AP694">
        <f t="shared" si="316"/>
        <v>0</v>
      </c>
      <c r="AQ694">
        <f t="shared" si="317"/>
        <v>0</v>
      </c>
      <c r="AR694">
        <f t="shared" si="318"/>
        <v>0</v>
      </c>
      <c r="AS694">
        <f t="shared" si="319"/>
        <v>0</v>
      </c>
    </row>
    <row r="695" spans="1:45" ht="24" customHeight="1">
      <c r="A695" s="176"/>
      <c r="B695" s="57"/>
      <c r="C695" s="1109"/>
      <c r="D695" s="954"/>
      <c r="E695" s="955"/>
      <c r="F695" s="956"/>
      <c r="G695" s="1119" t="s">
        <v>5110</v>
      </c>
      <c r="H695" s="1120"/>
      <c r="I695" s="178"/>
      <c r="J695" s="1111" t="s">
        <v>5111</v>
      </c>
      <c r="K695" s="1111"/>
      <c r="L695" s="1111"/>
      <c r="M695" s="1111"/>
      <c r="N695" s="1111"/>
      <c r="O695" s="1111"/>
      <c r="P695" s="1111"/>
      <c r="Q695" s="1111"/>
      <c r="R695" s="1111"/>
      <c r="S695" s="1111"/>
      <c r="T695" s="1111"/>
      <c r="U695" s="1112"/>
      <c r="V695" s="100"/>
      <c r="W695" s="100"/>
      <c r="X695" s="100"/>
      <c r="Y695" s="100"/>
      <c r="Z695" s="100"/>
      <c r="AA695" s="100"/>
      <c r="AB695" s="100"/>
      <c r="AC695" s="100"/>
      <c r="AD695" s="100"/>
      <c r="AF695"/>
      <c r="AG695">
        <f t="shared" si="320"/>
        <v>0</v>
      </c>
      <c r="AH695">
        <f t="shared" si="310"/>
        <v>0</v>
      </c>
      <c r="AK695">
        <f t="shared" si="311"/>
        <v>0</v>
      </c>
      <c r="AL695">
        <f t="shared" si="312"/>
        <v>0</v>
      </c>
      <c r="AM695">
        <f t="shared" si="313"/>
        <v>0</v>
      </c>
      <c r="AN695">
        <f t="shared" si="314"/>
        <v>0</v>
      </c>
      <c r="AO695">
        <f t="shared" si="315"/>
        <v>0</v>
      </c>
      <c r="AP695">
        <f t="shared" si="316"/>
        <v>0</v>
      </c>
      <c r="AQ695">
        <f t="shared" si="317"/>
        <v>0</v>
      </c>
      <c r="AR695">
        <f t="shared" si="318"/>
        <v>0</v>
      </c>
      <c r="AS695">
        <f t="shared" si="319"/>
        <v>0</v>
      </c>
    </row>
    <row r="696" spans="1:45" ht="24" customHeight="1">
      <c r="A696" s="176"/>
      <c r="B696" s="57"/>
      <c r="C696" s="1109"/>
      <c r="D696" s="954"/>
      <c r="E696" s="955"/>
      <c r="F696" s="956"/>
      <c r="G696" s="1119" t="s">
        <v>5112</v>
      </c>
      <c r="H696" s="1120"/>
      <c r="I696" s="178"/>
      <c r="J696" s="1111" t="s">
        <v>5113</v>
      </c>
      <c r="K696" s="1111"/>
      <c r="L696" s="1111"/>
      <c r="M696" s="1111"/>
      <c r="N696" s="1111"/>
      <c r="O696" s="1111"/>
      <c r="P696" s="1111"/>
      <c r="Q696" s="1111"/>
      <c r="R696" s="1111"/>
      <c r="S696" s="1111"/>
      <c r="T696" s="1111"/>
      <c r="U696" s="1112"/>
      <c r="V696" s="100"/>
      <c r="W696" s="100"/>
      <c r="X696" s="100"/>
      <c r="Y696" s="100"/>
      <c r="Z696" s="100"/>
      <c r="AA696" s="100"/>
      <c r="AB696" s="100"/>
      <c r="AC696" s="100"/>
      <c r="AD696" s="100"/>
      <c r="AF696"/>
      <c r="AG696">
        <f t="shared" si="320"/>
        <v>0</v>
      </c>
      <c r="AH696">
        <f t="shared" si="310"/>
        <v>0</v>
      </c>
      <c r="AK696">
        <f t="shared" si="311"/>
        <v>0</v>
      </c>
      <c r="AL696">
        <f t="shared" si="312"/>
        <v>0</v>
      </c>
      <c r="AM696">
        <f t="shared" ref="AM696:AM700" si="321">IF(COUNTIF(V696:X696,"NA")=3,0,IF(COUNTA(V696:X696)=0,0,IF(OR(AND(V696=0,AK696&gt;0),AND(V696="ns",AL696&gt;0),AND(V696="ns",AK696=0,AL696=0)),1,IF(OR(AND(V696&gt;0,AK696=2),AND(V696="ns",AK696=2),AND(V696="ns",AL696=0,AK696&gt;0),V696=AL696),0,1))))</f>
        <v>0</v>
      </c>
      <c r="AN696">
        <f t="shared" si="314"/>
        <v>0</v>
      </c>
      <c r="AO696">
        <f t="shared" si="315"/>
        <v>0</v>
      </c>
      <c r="AP696">
        <f t="shared" ref="AP696:AP700" si="322">IF(COUNTIF(Y696:AA696,"NA")=3,0,IF(COUNTA(Y696:AA696)=0,0,IF(OR(AND(Y696=0,AN696&gt;0),AND(Y696="ns",AO696&gt;0),AND(Y696="ns",AN696=0,AO696=0)),1,IF(OR(AND(Y696&gt;0,AN696=2),AND(Y696="ns",AN696=2),AND(Y696="ns",AO696=0,AN696&gt;0),Y696=AO696),0,1))))</f>
        <v>0</v>
      </c>
      <c r="AQ696">
        <f t="shared" si="317"/>
        <v>0</v>
      </c>
      <c r="AR696">
        <f t="shared" si="318"/>
        <v>0</v>
      </c>
      <c r="AS696">
        <f t="shared" ref="AS696:AS700" si="323">IF(COUNTIF(AB696:AD696,"NA")=3,0,IF(COUNTA(AB696:AD696)=0,0,IF(OR(AND(AB696=0,AQ696&gt;0),AND(AB696="ns",AR696&gt;0),AND(AB696="ns",AQ696=0,AR696=0)),1,IF(OR(AND(AB696&gt;0,AQ696=2),AND(AB696="ns",AQ696=2),AND(AB696="ns",AR696=0,AQ696&gt;0),AB696=AR696),0,1))))</f>
        <v>0</v>
      </c>
    </row>
    <row r="697" spans="1:45" ht="15" customHeight="1">
      <c r="A697" s="176"/>
      <c r="B697" s="57"/>
      <c r="C697" s="1109"/>
      <c r="D697" s="954"/>
      <c r="E697" s="955"/>
      <c r="F697" s="956"/>
      <c r="G697" s="1119" t="s">
        <v>5114</v>
      </c>
      <c r="H697" s="1120"/>
      <c r="I697" s="179"/>
      <c r="J697" s="1113" t="s">
        <v>201</v>
      </c>
      <c r="K697" s="1113"/>
      <c r="L697" s="1113"/>
      <c r="M697" s="1113"/>
      <c r="N697" s="1113"/>
      <c r="O697" s="1113"/>
      <c r="P697" s="1113"/>
      <c r="Q697" s="1113"/>
      <c r="R697" s="1113"/>
      <c r="S697" s="1113"/>
      <c r="T697" s="1113"/>
      <c r="U697" s="1114"/>
      <c r="V697" s="100"/>
      <c r="W697" s="100"/>
      <c r="X697" s="100"/>
      <c r="Y697" s="100"/>
      <c r="Z697" s="100"/>
      <c r="AA697" s="100"/>
      <c r="AB697" s="100"/>
      <c r="AC697" s="100"/>
      <c r="AD697" s="100"/>
      <c r="AF697"/>
      <c r="AG697">
        <f t="shared" si="320"/>
        <v>0</v>
      </c>
      <c r="AH697">
        <f t="shared" si="310"/>
        <v>0</v>
      </c>
      <c r="AK697">
        <f t="shared" si="311"/>
        <v>0</v>
      </c>
      <c r="AL697">
        <f t="shared" si="312"/>
        <v>0</v>
      </c>
      <c r="AM697">
        <f t="shared" si="321"/>
        <v>0</v>
      </c>
      <c r="AN697">
        <f t="shared" si="314"/>
        <v>0</v>
      </c>
      <c r="AO697">
        <f t="shared" si="315"/>
        <v>0</v>
      </c>
      <c r="AP697">
        <f t="shared" si="322"/>
        <v>0</v>
      </c>
      <c r="AQ697">
        <f t="shared" si="317"/>
        <v>0</v>
      </c>
      <c r="AR697">
        <f t="shared" si="318"/>
        <v>0</v>
      </c>
      <c r="AS697">
        <f t="shared" si="323"/>
        <v>0</v>
      </c>
    </row>
    <row r="698" spans="1:45" ht="15" customHeight="1">
      <c r="A698" s="176"/>
      <c r="B698" s="57"/>
      <c r="C698" s="1109"/>
      <c r="D698" s="954"/>
      <c r="E698" s="955"/>
      <c r="F698" s="956"/>
      <c r="G698" s="1103" t="s">
        <v>5115</v>
      </c>
      <c r="H698" s="1103"/>
      <c r="I698" s="1104" t="s">
        <v>5116</v>
      </c>
      <c r="J698" s="1105"/>
      <c r="K698" s="1105"/>
      <c r="L698" s="1105"/>
      <c r="M698" s="1105"/>
      <c r="N698" s="1105"/>
      <c r="O698" s="1105"/>
      <c r="P698" s="1105"/>
      <c r="Q698" s="1105"/>
      <c r="R698" s="1105"/>
      <c r="S698" s="1105"/>
      <c r="T698" s="1105"/>
      <c r="U698" s="1106"/>
      <c r="V698" s="100"/>
      <c r="W698" s="100"/>
      <c r="X698" s="100"/>
      <c r="Y698" s="100"/>
      <c r="Z698" s="100"/>
      <c r="AA698" s="100"/>
      <c r="AB698" s="100"/>
      <c r="AC698" s="100"/>
      <c r="AD698" s="100"/>
      <c r="AF698"/>
      <c r="AG698">
        <f t="shared" si="320"/>
        <v>0</v>
      </c>
      <c r="AH698">
        <f t="shared" si="310"/>
        <v>0</v>
      </c>
      <c r="AK698">
        <f t="shared" si="311"/>
        <v>0</v>
      </c>
      <c r="AL698">
        <f t="shared" si="312"/>
        <v>0</v>
      </c>
      <c r="AM698">
        <f t="shared" si="321"/>
        <v>0</v>
      </c>
      <c r="AN698">
        <f t="shared" si="314"/>
        <v>0</v>
      </c>
      <c r="AO698">
        <f t="shared" si="315"/>
        <v>0</v>
      </c>
      <c r="AP698">
        <f t="shared" si="322"/>
        <v>0</v>
      </c>
      <c r="AQ698">
        <f t="shared" si="317"/>
        <v>0</v>
      </c>
      <c r="AR698">
        <f t="shared" si="318"/>
        <v>0</v>
      </c>
      <c r="AS698">
        <f t="shared" si="323"/>
        <v>0</v>
      </c>
    </row>
    <row r="699" spans="1:45" ht="15" customHeight="1">
      <c r="A699" s="176"/>
      <c r="B699" s="57"/>
      <c r="C699" s="1109"/>
      <c r="D699" s="954"/>
      <c r="E699" s="955"/>
      <c r="F699" s="956"/>
      <c r="G699" s="1107" t="s">
        <v>5117</v>
      </c>
      <c r="H699" s="1107"/>
      <c r="I699" s="1104" t="s">
        <v>5118</v>
      </c>
      <c r="J699" s="1105"/>
      <c r="K699" s="1105"/>
      <c r="L699" s="1105"/>
      <c r="M699" s="1105"/>
      <c r="N699" s="1105"/>
      <c r="O699" s="1105"/>
      <c r="P699" s="1105"/>
      <c r="Q699" s="1105"/>
      <c r="R699" s="1105"/>
      <c r="S699" s="1105"/>
      <c r="T699" s="1105"/>
      <c r="U699" s="1106"/>
      <c r="V699" s="100"/>
      <c r="W699" s="100"/>
      <c r="X699" s="100"/>
      <c r="Y699" s="100"/>
      <c r="Z699" s="100"/>
      <c r="AA699" s="100"/>
      <c r="AB699" s="100"/>
      <c r="AC699" s="100"/>
      <c r="AD699" s="100"/>
      <c r="AF699"/>
      <c r="AG699">
        <f t="shared" si="320"/>
        <v>0</v>
      </c>
      <c r="AH699">
        <f t="shared" si="310"/>
        <v>0</v>
      </c>
      <c r="AJ699">
        <f>IF(OR(V699="NS",V699="NA",$V$715=0,$V$715="NS",$V$715="NA"),0,IF((V699*(IFERROR(100/SUM(V667:V699),0)))&gt;25,1,0))</f>
        <v>0</v>
      </c>
      <c r="AK699">
        <f t="shared" si="311"/>
        <v>0</v>
      </c>
      <c r="AL699">
        <f t="shared" si="312"/>
        <v>0</v>
      </c>
      <c r="AM699">
        <f t="shared" si="321"/>
        <v>0</v>
      </c>
      <c r="AN699">
        <f t="shared" si="314"/>
        <v>0</v>
      </c>
      <c r="AO699">
        <f t="shared" si="315"/>
        <v>0</v>
      </c>
      <c r="AP699">
        <f t="shared" si="322"/>
        <v>0</v>
      </c>
      <c r="AQ699">
        <f t="shared" si="317"/>
        <v>0</v>
      </c>
      <c r="AR699">
        <f t="shared" si="318"/>
        <v>0</v>
      </c>
      <c r="AS699">
        <f t="shared" si="323"/>
        <v>0</v>
      </c>
    </row>
    <row r="700" spans="1:45" ht="15" customHeight="1">
      <c r="A700" s="176"/>
      <c r="B700" s="57"/>
      <c r="C700" s="732" t="s">
        <v>5119</v>
      </c>
      <c r="D700" s="732"/>
      <c r="E700" s="732"/>
      <c r="F700" s="732"/>
      <c r="G700" s="732"/>
      <c r="H700" s="732"/>
      <c r="I700" s="1104" t="s">
        <v>2631</v>
      </c>
      <c r="J700" s="1105"/>
      <c r="K700" s="1105"/>
      <c r="L700" s="1105"/>
      <c r="M700" s="1105"/>
      <c r="N700" s="1105"/>
      <c r="O700" s="1105"/>
      <c r="P700" s="1105"/>
      <c r="Q700" s="1105"/>
      <c r="R700" s="1105"/>
      <c r="S700" s="1105"/>
      <c r="T700" s="1105"/>
      <c r="U700" s="1106"/>
      <c r="V700" s="100"/>
      <c r="W700" s="100"/>
      <c r="X700" s="100"/>
      <c r="Y700" s="100"/>
      <c r="Z700" s="100"/>
      <c r="AA700" s="100"/>
      <c r="AB700" s="100"/>
      <c r="AC700" s="100"/>
      <c r="AD700" s="100"/>
      <c r="AF700"/>
      <c r="AG700">
        <f t="shared" si="320"/>
        <v>0</v>
      </c>
      <c r="AH700">
        <f t="shared" si="310"/>
        <v>0</v>
      </c>
      <c r="AK700">
        <f t="shared" si="311"/>
        <v>0</v>
      </c>
      <c r="AL700">
        <f t="shared" si="312"/>
        <v>0</v>
      </c>
      <c r="AM700">
        <f t="shared" si="321"/>
        <v>0</v>
      </c>
      <c r="AN700">
        <f t="shared" si="314"/>
        <v>0</v>
      </c>
      <c r="AO700">
        <f t="shared" si="315"/>
        <v>0</v>
      </c>
      <c r="AP700">
        <f t="shared" si="322"/>
        <v>0</v>
      </c>
      <c r="AQ700">
        <f t="shared" si="317"/>
        <v>0</v>
      </c>
      <c r="AR700">
        <f t="shared" si="318"/>
        <v>0</v>
      </c>
      <c r="AS700">
        <f t="shared" si="323"/>
        <v>0</v>
      </c>
    </row>
    <row r="701" spans="1:45" ht="15" customHeight="1">
      <c r="A701" s="176"/>
      <c r="B701" s="57"/>
      <c r="C701" s="38"/>
      <c r="D701" s="38"/>
      <c r="E701" s="38"/>
      <c r="F701" s="38"/>
      <c r="G701" s="38"/>
      <c r="H701" s="38"/>
      <c r="I701" s="38"/>
      <c r="J701" s="38"/>
      <c r="K701" s="38"/>
      <c r="L701" s="38"/>
      <c r="M701" s="38"/>
      <c r="N701" s="38"/>
      <c r="O701" s="38"/>
      <c r="P701" s="38"/>
      <c r="Q701" s="38"/>
      <c r="S701" s="38"/>
      <c r="T701" s="38"/>
      <c r="U701" s="117" t="s">
        <v>2649</v>
      </c>
      <c r="V701" s="524">
        <f t="shared" ref="V701:AD701" si="324">IF(COUNTIF(V536:V700,"NA")=165,"NA",IF(AND(SUM(COUNTIF(V536:V546,"NS"),COUNTIF(V553:V557,"NS"),COUNTIF(V563:V566,"NS"),COUNTIF(V585,"NS"),COUNTIF(V591:V593,"NS"),COUNTIF(V597:V603,"NS"),COUNTIF(V611,"NS"),COUNTIF(V617:V621,"NS"),COUNTIF(V628,"NS"),COUNTIF(V637:V640,"NS"),COUNTIF(V647:V650,"NS"),COUNTIF(V660,"NS"),COUNTIF(V664:V671,"NS"),COUNTIF(V679:V680,"NS"),COUNTIF(V684:V692,"NS"),COUNTIF(V698:V700,"NS"))&gt;0,SUM(V536:V546,V553:V557,V563:V566,V585,V591:V593,V597:V603,V611,V617:V621,V628,V637:V640,V647:V650,V660,V664:V671,V679:V680,V684:V692,V698:V700)=0),"NS",SUM(V536:V546,V553:V557,V563:V566,V585,V591:V593,V597:V603,V611,V617:V621,V628,V637:V640,V647:V650,V660,V664:V671,V679:V680,V684:V692,V698:V700)))</f>
        <v>0</v>
      </c>
      <c r="W701" s="524">
        <f t="shared" si="324"/>
        <v>0</v>
      </c>
      <c r="X701" s="524">
        <f t="shared" si="324"/>
        <v>0</v>
      </c>
      <c r="Y701" s="524">
        <f t="shared" si="324"/>
        <v>0</v>
      </c>
      <c r="Z701" s="524">
        <f t="shared" si="324"/>
        <v>0</v>
      </c>
      <c r="AA701" s="524">
        <f t="shared" si="324"/>
        <v>0</v>
      </c>
      <c r="AB701" s="524">
        <f t="shared" si="324"/>
        <v>0</v>
      </c>
      <c r="AC701" s="524">
        <f t="shared" si="324"/>
        <v>0</v>
      </c>
      <c r="AD701" s="124">
        <f t="shared" si="324"/>
        <v>0</v>
      </c>
      <c r="AF701" s="506">
        <f>SUM(AF692,AF680,AF671,AF660,AF650,AF640,AF628,AF621,AF611,AF603,AF593,AF585,AF566,AF557,AF546)</f>
        <v>0</v>
      </c>
      <c r="AG701" s="506">
        <f>SUM(AG536:AG700)</f>
        <v>0</v>
      </c>
      <c r="AH701" s="506">
        <f>SUM(AH536:AH700,AI536)</f>
        <v>0</v>
      </c>
      <c r="AJ701" s="506">
        <f>SUM(AJ699,AJ666,AJ649,AJ620,AJ602,AJ599,AJ565,AJ553,AJ540)</f>
        <v>0</v>
      </c>
      <c r="AK701">
        <f>SUM(AK536:AK700)</f>
        <v>0</v>
      </c>
      <c r="AM701">
        <f>SUM(AM536:AM700)</f>
        <v>0</v>
      </c>
      <c r="AN701">
        <f>SUM(AN536:AN700)</f>
        <v>0</v>
      </c>
      <c r="AP701">
        <f>SUM(AP536:AP700)</f>
        <v>0</v>
      </c>
      <c r="AQ701">
        <f>SUM(AQ536:AQ700)</f>
        <v>0</v>
      </c>
      <c r="AS701">
        <f>SUM(AS536:AS700)</f>
        <v>0</v>
      </c>
    </row>
    <row r="702" spans="1:45" ht="15" customHeight="1">
      <c r="A702" s="108"/>
      <c r="B702" s="1087" t="str">
        <f>IF(AND(OR(AND(V585&gt;0,ISNONTEXT(V585)),AND(V586&gt;0,ISNONTEXT(V586)),AND(V587&gt;0,ISNONTEXT(V587)),AND(V588&gt;0,ISNONTEXT(V588)),AND(V589&gt;0,ISNONTEXT(V589)),AND(V590&gt;0,ISNONTEXT(V590)),AND(V628&gt;0,ISNONTEXT(V628)),AND(V629&gt;0,ISNONTEXT(V629)),AND(V630&gt;0,ISNONTEXT(V630)),AND(V631&gt;0,ISNONTEXT(V631)),AND(V632&gt;0,ISNONTEXT(V632)),AND(V633&gt;0,ISNONTEXT(V633)),AND(V634&gt;0,ISNONTEXT(V634)),AND(V635&gt;0,ISNONTEXT(V635)),AND(V636&gt;0,ISNONTEXT(V636)),AND(V639&gt;0,ISNONTEXT(V639)),AND(V640&gt;0,ISNONTEXT(V640)),AND(V641&gt;0,ISNONTEXT(V641)),AND(V642&gt;0,ISNONTEXT(V642)),AND(V643&gt;0,ISNONTEXT(V643)),AND(V644&gt;0,ISNONTEXT(V644)),AND(V645&gt;0,ISNONTEXT(V645)),AND(V646&gt;0,ISNONTEXT(V646)),AND(V661&gt;0,ISNONTEXT(V661)),AND(V680&gt;0,ISNONTEXT(V680)),AND(V681&gt;0,ISNONTEXT(V681)),AND(V682&gt;0,ISNONTEXT(V682)),AND(V683&gt;0,ISNONTEXT(V683)))),"Alerta: debido a que cuenta con registros del fuero federal mayores a cero, proporcione una justificación en el área de comentarios","")</f>
        <v/>
      </c>
      <c r="C702" s="1087"/>
      <c r="D702" s="1087"/>
      <c r="E702" s="1087"/>
      <c r="F702" s="1087"/>
      <c r="G702" s="1087"/>
      <c r="H702" s="1087"/>
      <c r="I702" s="1087"/>
      <c r="J702" s="1087"/>
      <c r="K702" s="1087"/>
      <c r="L702" s="1087"/>
      <c r="M702" s="1087"/>
      <c r="N702" s="1087"/>
      <c r="O702" s="1087"/>
      <c r="P702" s="1087"/>
      <c r="Q702" s="1087"/>
      <c r="R702" s="1087"/>
      <c r="S702" s="1087"/>
      <c r="T702" s="1087"/>
      <c r="U702" s="1087"/>
      <c r="V702" s="1087"/>
      <c r="W702" s="1087"/>
      <c r="X702" s="1087"/>
      <c r="Y702" s="1087"/>
      <c r="Z702" s="1087"/>
      <c r="AA702" s="1087"/>
      <c r="AB702" s="1087"/>
      <c r="AC702" s="1087"/>
      <c r="AD702" s="1087"/>
      <c r="AE702" s="1087"/>
      <c r="AF702"/>
      <c r="AK702" t="s">
        <v>2650</v>
      </c>
      <c r="AL702">
        <f>SUM(AM701,AP701,AS701)</f>
        <v>0</v>
      </c>
      <c r="AM702" t="s">
        <v>2651</v>
      </c>
      <c r="AN702">
        <f>SUM(AK701,AN701,AQ701)</f>
        <v>0</v>
      </c>
    </row>
    <row r="703" spans="1:45" ht="24" customHeight="1">
      <c r="A703" s="108"/>
      <c r="B703" s="38"/>
      <c r="C703" s="754" t="s">
        <v>2611</v>
      </c>
      <c r="D703" s="754"/>
      <c r="E703" s="754"/>
      <c r="F703" s="754"/>
      <c r="G703" s="754"/>
      <c r="H703" s="754"/>
      <c r="I703" s="754"/>
      <c r="J703" s="754"/>
      <c r="K703" s="754"/>
      <c r="L703" s="754"/>
      <c r="M703" s="754"/>
      <c r="N703" s="754"/>
      <c r="O703" s="754"/>
      <c r="P703" s="754"/>
      <c r="Q703" s="754"/>
      <c r="R703" s="754"/>
      <c r="S703" s="754"/>
      <c r="T703" s="754"/>
      <c r="U703" s="754"/>
      <c r="V703" s="754"/>
      <c r="W703" s="754"/>
      <c r="X703" s="754"/>
      <c r="Y703" s="754"/>
      <c r="Z703" s="754"/>
      <c r="AA703" s="754"/>
      <c r="AB703" s="754"/>
      <c r="AC703" s="754"/>
      <c r="AD703" s="754"/>
      <c r="AF703"/>
      <c r="AK703" t="s">
        <v>2652</v>
      </c>
      <c r="AL703" s="507">
        <f>IF(AN702&gt;0,IF(SUM(V701)&gt;=SUM(Y701,AB701),0,1),IF(SUM(V701)&lt;&gt;SUM(Y701,AB701),1,0))</f>
        <v>0</v>
      </c>
      <c r="AM703" t="s">
        <v>2653</v>
      </c>
      <c r="AN703" s="507">
        <f>IF(AN702&gt;0,IF(SUM(W701)&gt;=SUM(Z701,AC701),0,1),IF(SUM(W701)&lt;&gt;SUM(Z701,AC701),1,0))</f>
        <v>0</v>
      </c>
      <c r="AO703" t="s">
        <v>2654</v>
      </c>
      <c r="AP703" s="507">
        <f>IF(AN702&gt;0,IF(SUM(X701)&gt;=SUM(AA701,AD701),0,1),IF(SUM(X701)&lt;&gt;SUM(AA701,AD701),1,0))</f>
        <v>0</v>
      </c>
    </row>
    <row r="704" spans="1:45" ht="60" customHeight="1">
      <c r="A704" s="108"/>
      <c r="B704" s="38"/>
      <c r="C704" s="851"/>
      <c r="D704" s="851"/>
      <c r="E704" s="851"/>
      <c r="F704" s="851"/>
      <c r="G704" s="851"/>
      <c r="H704" s="851"/>
      <c r="I704" s="851"/>
      <c r="J704" s="851"/>
      <c r="K704" s="851"/>
      <c r="L704" s="851"/>
      <c r="M704" s="851"/>
      <c r="N704" s="851"/>
      <c r="O704" s="851"/>
      <c r="P704" s="851"/>
      <c r="Q704" s="851"/>
      <c r="R704" s="851"/>
      <c r="S704" s="851"/>
      <c r="T704" s="851"/>
      <c r="U704" s="851"/>
      <c r="V704" s="851"/>
      <c r="W704" s="851"/>
      <c r="X704" s="851"/>
      <c r="Y704" s="851"/>
      <c r="Z704" s="851"/>
      <c r="AA704" s="851"/>
      <c r="AB704" s="851"/>
      <c r="AC704" s="851"/>
      <c r="AD704" s="851"/>
      <c r="AF704"/>
      <c r="AK704" t="s">
        <v>4836</v>
      </c>
      <c r="AL704" s="506">
        <f>AL702-COUNTIF(V536:V700,"NA")</f>
        <v>0</v>
      </c>
    </row>
    <row r="705" spans="1:45" ht="15" customHeight="1">
      <c r="A705" s="176"/>
      <c r="B705" s="1003" t="str">
        <f>IF(AG701=0,"","Favor de ingresar toda la información requerida en la pregunta")</f>
        <v/>
      </c>
      <c r="C705" s="1003"/>
      <c r="D705" s="1003"/>
      <c r="E705" s="1003"/>
      <c r="F705" s="1003"/>
      <c r="G705" s="1003"/>
      <c r="H705" s="1003"/>
      <c r="I705" s="1003"/>
      <c r="J705" s="1003"/>
      <c r="K705" s="1003"/>
      <c r="L705" s="1003"/>
      <c r="M705" s="1003"/>
      <c r="N705" s="1003"/>
      <c r="O705" s="1003"/>
      <c r="P705" s="1003"/>
      <c r="Q705" s="1003"/>
      <c r="R705" s="1003"/>
      <c r="S705" s="1003"/>
      <c r="T705" s="1003"/>
      <c r="U705" s="1003"/>
      <c r="V705" s="1003"/>
      <c r="W705" s="1003"/>
      <c r="X705" s="1003"/>
      <c r="Y705" s="1003"/>
      <c r="Z705" s="1003"/>
      <c r="AA705" s="1003"/>
      <c r="AB705" s="1003"/>
      <c r="AC705" s="1003"/>
      <c r="AD705" s="1003"/>
      <c r="AE705" s="1003"/>
      <c r="AF705"/>
    </row>
    <row r="706" spans="1:45" ht="15" customHeight="1">
      <c r="A706" s="176"/>
      <c r="B706" s="1087" t="str">
        <f>IF(OR($V$517=0,$V$517="NS",$V$517="NA"),"",IF(COUNTIF(V536:AD700,"NS")&lt;&gt;0,"Alerta: debido a que cuenta con registros NS, debe proporcionar una justificación en el area de comentarios al final de la pregunta",""))</f>
        <v/>
      </c>
      <c r="C706" s="1087"/>
      <c r="D706" s="1087"/>
      <c r="E706" s="1087"/>
      <c r="F706" s="1087"/>
      <c r="G706" s="1087"/>
      <c r="H706" s="1087"/>
      <c r="I706" s="1087"/>
      <c r="J706" s="1087"/>
      <c r="K706" s="1087"/>
      <c r="L706" s="1087"/>
      <c r="M706" s="1087"/>
      <c r="N706" s="1087"/>
      <c r="O706" s="1087"/>
      <c r="P706" s="1087"/>
      <c r="Q706" s="1087"/>
      <c r="R706" s="1087"/>
      <c r="S706" s="1087"/>
      <c r="T706" s="1087"/>
      <c r="U706" s="1087"/>
      <c r="V706" s="1087"/>
      <c r="W706" s="1087"/>
      <c r="X706" s="1087"/>
      <c r="Y706" s="1087"/>
      <c r="Z706" s="1087"/>
      <c r="AA706" s="1087"/>
      <c r="AB706" s="1087"/>
      <c r="AC706" s="1087"/>
      <c r="AD706" s="1087"/>
      <c r="AE706" s="1087"/>
    </row>
    <row r="707" spans="1:45" ht="15" customHeight="1">
      <c r="A707" s="176"/>
      <c r="B707" s="1003" t="str">
        <f>IF(AH701=0,"","Revise la información capturada, ya que tiene datos ingresados en celdas que están sombreadas")</f>
        <v/>
      </c>
      <c r="C707" s="1003"/>
      <c r="D707" s="1003"/>
      <c r="E707" s="1003"/>
      <c r="F707" s="1003"/>
      <c r="G707" s="1003"/>
      <c r="H707" s="1003"/>
      <c r="I707" s="1003"/>
      <c r="J707" s="1003"/>
      <c r="K707" s="1003"/>
      <c r="L707" s="1003"/>
      <c r="M707" s="1003"/>
      <c r="N707" s="1003"/>
      <c r="O707" s="1003"/>
      <c r="P707" s="1003"/>
      <c r="Q707" s="1003"/>
      <c r="R707" s="1003"/>
      <c r="S707" s="1003"/>
      <c r="T707" s="1003"/>
      <c r="U707" s="1003"/>
      <c r="V707" s="1003"/>
      <c r="W707" s="1003"/>
      <c r="X707" s="1003"/>
      <c r="Y707" s="1003"/>
      <c r="Z707" s="1003"/>
      <c r="AA707" s="1003"/>
      <c r="AB707" s="1003"/>
      <c r="AC707" s="1003"/>
      <c r="AD707" s="1003"/>
      <c r="AE707" s="1003"/>
    </row>
    <row r="708" spans="1:45" ht="15" customHeight="1">
      <c r="A708" s="176"/>
      <c r="B708" s="1003" t="str">
        <f>IF(OR($V$517=0,$V$517="NS",$V$517="NA"),"",IF(OR(AL704&gt;=1,AL703&gt;=1,AN703&gt;=1,AP703&gt;=1),"Favor de revisar la suma y consistencia de totales y/o subtotales por filas (numéricos y NS)",IF(CM557&gt;0,"Favor de revisar la suma y consistencia de totales y/o subtotales de las desagregaciones de los tipos específicos","")))</f>
        <v/>
      </c>
      <c r="C708" s="1003"/>
      <c r="D708" s="1003"/>
      <c r="E708" s="1003"/>
      <c r="F708" s="1003"/>
      <c r="G708" s="1003"/>
      <c r="H708" s="1003"/>
      <c r="I708" s="1003"/>
      <c r="J708" s="1003"/>
      <c r="K708" s="1003"/>
      <c r="L708" s="1003"/>
      <c r="M708" s="1003"/>
      <c r="N708" s="1003"/>
      <c r="O708" s="1003"/>
      <c r="P708" s="1003"/>
      <c r="Q708" s="1003"/>
      <c r="R708" s="1003"/>
      <c r="S708" s="1003"/>
      <c r="T708" s="1003"/>
      <c r="U708" s="1003"/>
      <c r="V708" s="1003"/>
      <c r="W708" s="1003"/>
      <c r="X708" s="1003"/>
      <c r="Y708" s="1003"/>
      <c r="Z708" s="1003"/>
      <c r="AA708" s="1003"/>
      <c r="AB708" s="1003"/>
      <c r="AC708" s="1003"/>
      <c r="AD708" s="1003"/>
      <c r="AE708" s="1003"/>
    </row>
    <row r="709" spans="1:45" ht="15" customHeight="1">
      <c r="A709" s="176"/>
      <c r="B709" s="1003" t="str">
        <f>IF(OR($V$517=0,$V$517="NS",$V$517="NA"),"",IF(AND(V517=V701,W517=W701,X517=X701,Y517=Y701,Z517=Z701,AA517=AA701,AB517=AB701,AC517=AC701,AD517=AD701),IF(AF701&gt;0,"Debido a que reportó NA para cierto delito, también anote NA en sus respectivos tipos específicos",""),"Las cantidades de Hombres y Mujeres debe corresponder con los datos reportados en la preg. anterior del numeral 1"))</f>
        <v/>
      </c>
      <c r="C709" s="1003"/>
      <c r="D709" s="1003"/>
      <c r="E709" s="1003"/>
      <c r="F709" s="1003"/>
      <c r="G709" s="1003"/>
      <c r="H709" s="1003"/>
      <c r="I709" s="1003"/>
      <c r="J709" s="1003"/>
      <c r="K709" s="1003"/>
      <c r="L709" s="1003"/>
      <c r="M709" s="1003"/>
      <c r="N709" s="1003"/>
      <c r="O709" s="1003"/>
      <c r="P709" s="1003"/>
      <c r="Q709" s="1003"/>
      <c r="R709" s="1003"/>
      <c r="S709" s="1003"/>
      <c r="T709" s="1003"/>
      <c r="U709" s="1003"/>
      <c r="V709" s="1003"/>
      <c r="W709" s="1003"/>
      <c r="X709" s="1003"/>
      <c r="Y709" s="1003"/>
      <c r="Z709" s="1003"/>
      <c r="AA709" s="1003"/>
      <c r="AB709" s="1003"/>
      <c r="AC709" s="1003"/>
      <c r="AD709" s="1003"/>
      <c r="AE709" s="1003"/>
    </row>
    <row r="710" spans="1:45" ht="15" customHeight="1">
      <c r="A710" s="176"/>
      <c r="B710" s="1087" t="str">
        <f>IF(AJ701&gt;0,"Alerta: si el total en Otros delitos es mayor al 25% por bien jurídico, anote el n. de los delitos en la casilla al final de la pregunta","")</f>
        <v/>
      </c>
      <c r="C710" s="1087"/>
      <c r="D710" s="1087"/>
      <c r="E710" s="1087"/>
      <c r="F710" s="1087"/>
      <c r="G710" s="1087"/>
      <c r="H710" s="1087"/>
      <c r="I710" s="1087"/>
      <c r="J710" s="1087"/>
      <c r="K710" s="1087"/>
      <c r="L710" s="1087"/>
      <c r="M710" s="1087"/>
      <c r="N710" s="1087"/>
      <c r="O710" s="1087"/>
      <c r="P710" s="1087"/>
      <c r="Q710" s="1087"/>
      <c r="R710" s="1087"/>
      <c r="S710" s="1087"/>
      <c r="T710" s="1087"/>
      <c r="U710" s="1087"/>
      <c r="V710" s="1087"/>
      <c r="W710" s="1087"/>
      <c r="X710" s="1087"/>
      <c r="Y710" s="1087"/>
      <c r="Z710" s="1087"/>
      <c r="AA710" s="1087"/>
      <c r="AB710" s="1087"/>
      <c r="AC710" s="1087"/>
      <c r="AD710" s="1087"/>
      <c r="AE710" s="1087"/>
    </row>
    <row r="711" spans="1:45" ht="24" customHeight="1">
      <c r="A711" s="49" t="s">
        <v>5120</v>
      </c>
      <c r="B711" s="829" t="s">
        <v>5121</v>
      </c>
      <c r="C711" s="829"/>
      <c r="D711" s="829"/>
      <c r="E711" s="829"/>
      <c r="F711" s="829"/>
      <c r="G711" s="829"/>
      <c r="H711" s="829"/>
      <c r="I711" s="829"/>
      <c r="J711" s="829"/>
      <c r="K711" s="829"/>
      <c r="L711" s="829"/>
      <c r="M711" s="829"/>
      <c r="N711" s="829"/>
      <c r="O711" s="829"/>
      <c r="P711" s="829"/>
      <c r="Q711" s="829"/>
      <c r="R711" s="829"/>
      <c r="S711" s="829"/>
      <c r="T711" s="829"/>
      <c r="U711" s="829"/>
      <c r="V711" s="829"/>
      <c r="W711" s="829"/>
      <c r="X711" s="829"/>
      <c r="Y711" s="829"/>
      <c r="Z711" s="829"/>
      <c r="AA711" s="829"/>
      <c r="AB711" s="829"/>
      <c r="AC711" s="829"/>
      <c r="AD711" s="829"/>
    </row>
    <row r="712" spans="1:45" ht="24" customHeight="1">
      <c r="A712" s="49"/>
      <c r="B712" s="105"/>
      <c r="C712" s="754" t="s">
        <v>5122</v>
      </c>
      <c r="D712" s="754"/>
      <c r="E712" s="754"/>
      <c r="F712" s="754"/>
      <c r="G712" s="754"/>
      <c r="H712" s="754"/>
      <c r="I712" s="754"/>
      <c r="J712" s="754"/>
      <c r="K712" s="754"/>
      <c r="L712" s="754"/>
      <c r="M712" s="754"/>
      <c r="N712" s="754"/>
      <c r="O712" s="754"/>
      <c r="P712" s="754"/>
      <c r="Q712" s="754"/>
      <c r="R712" s="754"/>
      <c r="S712" s="754"/>
      <c r="T712" s="754"/>
      <c r="U712" s="754"/>
      <c r="V712" s="754"/>
      <c r="W712" s="754"/>
      <c r="X712" s="754"/>
      <c r="Y712" s="754"/>
      <c r="Z712" s="754"/>
      <c r="AA712" s="754"/>
      <c r="AB712" s="754"/>
      <c r="AC712" s="754"/>
      <c r="AD712" s="754"/>
    </row>
    <row r="713" spans="1:45" ht="24" customHeight="1">
      <c r="A713" s="49"/>
      <c r="B713" s="38"/>
      <c r="C713" s="754" t="s">
        <v>5123</v>
      </c>
      <c r="D713" s="754"/>
      <c r="E713" s="754"/>
      <c r="F713" s="754"/>
      <c r="G713" s="754"/>
      <c r="H713" s="754"/>
      <c r="I713" s="754"/>
      <c r="J713" s="754"/>
      <c r="K713" s="754"/>
      <c r="L713" s="754"/>
      <c r="M713" s="754"/>
      <c r="N713" s="754"/>
      <c r="O713" s="754"/>
      <c r="P713" s="754"/>
      <c r="Q713" s="754"/>
      <c r="R713" s="754"/>
      <c r="S713" s="754"/>
      <c r="T713" s="754"/>
      <c r="U713" s="754"/>
      <c r="V713" s="754"/>
      <c r="W713" s="754"/>
      <c r="X713" s="754"/>
      <c r="Y713" s="754"/>
      <c r="Z713" s="754"/>
      <c r="AA713" s="754"/>
      <c r="AB713" s="754"/>
      <c r="AC713" s="754"/>
      <c r="AD713" s="754"/>
    </row>
    <row r="714" spans="1:45" ht="15" customHeight="1">
      <c r="A714" s="176"/>
      <c r="B714" s="57"/>
      <c r="C714" s="57"/>
      <c r="D714" s="57"/>
      <c r="E714" s="57"/>
      <c r="F714" s="57"/>
      <c r="G714" s="57"/>
      <c r="H714" s="57"/>
      <c r="I714" s="57"/>
      <c r="J714" s="57"/>
      <c r="K714" s="57"/>
      <c r="L714" s="57"/>
      <c r="M714" s="57"/>
      <c r="N714" s="57"/>
      <c r="O714" s="57"/>
      <c r="P714" s="57"/>
      <c r="Q714" s="57"/>
      <c r="R714" s="57"/>
      <c r="S714" s="57"/>
      <c r="T714" s="57"/>
      <c r="U714" s="57"/>
      <c r="V714" s="57"/>
      <c r="W714" s="57"/>
      <c r="X714" s="57"/>
      <c r="Y714" s="57"/>
      <c r="Z714" s="57"/>
      <c r="AA714" s="57"/>
      <c r="AB714" s="57"/>
      <c r="AC714" s="57"/>
      <c r="AD714" s="57"/>
    </row>
    <row r="715" spans="1:45" ht="60" customHeight="1">
      <c r="A715" s="108"/>
      <c r="B715" s="38"/>
      <c r="C715" s="732" t="s">
        <v>4736</v>
      </c>
      <c r="D715" s="732"/>
      <c r="E715" s="732"/>
      <c r="F715" s="732"/>
      <c r="G715" s="732" t="s">
        <v>4737</v>
      </c>
      <c r="H715" s="732"/>
      <c r="I715" s="968" t="s">
        <v>4738</v>
      </c>
      <c r="J715" s="969"/>
      <c r="K715" s="969"/>
      <c r="L715" s="969"/>
      <c r="M715" s="969"/>
      <c r="N715" s="969"/>
      <c r="O715" s="969"/>
      <c r="P715" s="969"/>
      <c r="Q715" s="969"/>
      <c r="R715" s="969"/>
      <c r="S715" s="969"/>
      <c r="T715" s="969"/>
      <c r="U715" s="970"/>
      <c r="V715" s="739" t="s">
        <v>5124</v>
      </c>
      <c r="W715" s="740"/>
      <c r="X715" s="740"/>
      <c r="Y715" s="740"/>
      <c r="Z715" s="740"/>
      <c r="AA715" s="740"/>
      <c r="AB715" s="740"/>
      <c r="AC715" s="740"/>
      <c r="AD715" s="741"/>
    </row>
    <row r="716" spans="1:45" ht="15" customHeight="1">
      <c r="A716" s="108"/>
      <c r="B716" s="38"/>
      <c r="C716" s="732"/>
      <c r="D716" s="732"/>
      <c r="E716" s="732"/>
      <c r="F716" s="732"/>
      <c r="G716" s="732"/>
      <c r="H716" s="732"/>
      <c r="I716" s="1100"/>
      <c r="J716" s="1101"/>
      <c r="K716" s="1101"/>
      <c r="L716" s="1101"/>
      <c r="M716" s="1101"/>
      <c r="N716" s="1101"/>
      <c r="O716" s="1101"/>
      <c r="P716" s="1101"/>
      <c r="Q716" s="1101"/>
      <c r="R716" s="1101"/>
      <c r="S716" s="1101"/>
      <c r="T716" s="1101"/>
      <c r="U716" s="1102"/>
      <c r="V716" s="887" t="s">
        <v>2628</v>
      </c>
      <c r="W716" s="889" t="s">
        <v>2629</v>
      </c>
      <c r="X716" s="889" t="s">
        <v>2630</v>
      </c>
      <c r="Y716" s="733" t="s">
        <v>4586</v>
      </c>
      <c r="Z716" s="734"/>
      <c r="AA716" s="735"/>
      <c r="AB716" s="733" t="s">
        <v>4587</v>
      </c>
      <c r="AC716" s="734"/>
      <c r="AD716" s="735"/>
    </row>
    <row r="717" spans="1:45" ht="48" customHeight="1">
      <c r="A717" s="108"/>
      <c r="B717" s="38"/>
      <c r="C717" s="732"/>
      <c r="D717" s="732"/>
      <c r="E717" s="732"/>
      <c r="F717" s="732"/>
      <c r="G717" s="732"/>
      <c r="H717" s="732"/>
      <c r="I717" s="971"/>
      <c r="J717" s="972"/>
      <c r="K717" s="972"/>
      <c r="L717" s="972"/>
      <c r="M717" s="972"/>
      <c r="N717" s="972"/>
      <c r="O717" s="972"/>
      <c r="P717" s="972"/>
      <c r="Q717" s="972"/>
      <c r="R717" s="972"/>
      <c r="S717" s="972"/>
      <c r="T717" s="972"/>
      <c r="U717" s="973"/>
      <c r="V717" s="888"/>
      <c r="W717" s="890"/>
      <c r="X717" s="890"/>
      <c r="Y717" s="171" t="s">
        <v>2635</v>
      </c>
      <c r="Z717" s="128" t="s">
        <v>2629</v>
      </c>
      <c r="AA717" s="128" t="s">
        <v>2630</v>
      </c>
      <c r="AB717" s="171" t="s">
        <v>2635</v>
      </c>
      <c r="AC717" s="128" t="s">
        <v>2629</v>
      </c>
      <c r="AD717" s="128" t="s">
        <v>2630</v>
      </c>
      <c r="AF717" s="576" t="s">
        <v>4740</v>
      </c>
      <c r="AG717" t="s">
        <v>2586</v>
      </c>
      <c r="AH717" t="s">
        <v>4599</v>
      </c>
      <c r="AI717" t="s">
        <v>4741</v>
      </c>
      <c r="AJ717" t="s">
        <v>4742</v>
      </c>
      <c r="AK717" t="s">
        <v>4573</v>
      </c>
      <c r="AL717" t="s">
        <v>2638</v>
      </c>
      <c r="AM717" t="s">
        <v>2639</v>
      </c>
      <c r="AN717" t="s">
        <v>4574</v>
      </c>
      <c r="AO717" t="s">
        <v>2641</v>
      </c>
      <c r="AP717" t="s">
        <v>2642</v>
      </c>
      <c r="AQ717" t="s">
        <v>4575</v>
      </c>
      <c r="AR717" t="s">
        <v>2644</v>
      </c>
      <c r="AS717" t="s">
        <v>2645</v>
      </c>
    </row>
    <row r="718" spans="1:45" ht="15" customHeight="1">
      <c r="A718" s="108"/>
      <c r="B718" s="38"/>
      <c r="C718" s="1108" t="s">
        <v>4743</v>
      </c>
      <c r="D718" s="847" t="s">
        <v>4744</v>
      </c>
      <c r="E718" s="953"/>
      <c r="F718" s="848"/>
      <c r="G718" s="1103" t="s">
        <v>4745</v>
      </c>
      <c r="H718" s="1103"/>
      <c r="I718" s="1104" t="s">
        <v>3875</v>
      </c>
      <c r="J718" s="1105"/>
      <c r="K718" s="1105"/>
      <c r="L718" s="1105"/>
      <c r="M718" s="1105"/>
      <c r="N718" s="1105"/>
      <c r="O718" s="1105"/>
      <c r="P718" s="1105"/>
      <c r="Q718" s="1105"/>
      <c r="R718" s="1105"/>
      <c r="S718" s="1105"/>
      <c r="T718" s="1105"/>
      <c r="U718" s="1106"/>
      <c r="V718" s="100"/>
      <c r="W718" s="100"/>
      <c r="X718" s="100"/>
      <c r="Y718" s="100"/>
      <c r="Z718" s="100"/>
      <c r="AA718" s="100"/>
      <c r="AB718" s="100"/>
      <c r="AC718" s="100"/>
      <c r="AD718" s="100"/>
      <c r="AF718"/>
      <c r="AG718">
        <f>IF(OR($V$518=0,$V$518="NS",$V$518="NA",V718="NA"),0,IF(COUNTBLANK(V718:AD718)=0,0,1))</f>
        <v>0</v>
      </c>
      <c r="AH718">
        <f t="shared" ref="AH718:AH781" si="325">IF(V718="NA",IF(COUNTBLANK(W718:AD718)=8,0,1),0)</f>
        <v>0</v>
      </c>
      <c r="AI718">
        <f>IF(OR($V$518=0,$V$518="NS",$V$518="NA"),IF(COUNTBLANK(V718:AD882)=1485,0,1),0)</f>
        <v>0</v>
      </c>
      <c r="AK718">
        <f t="shared" ref="AK718:AK781" si="326">COUNTIF(W718:X718,"NS")</f>
        <v>0</v>
      </c>
      <c r="AL718">
        <f t="shared" ref="AL718:AL781" si="327">SUM(W718:X718)</f>
        <v>0</v>
      </c>
      <c r="AM718">
        <f t="shared" ref="AM718:AM781" si="328">IF(COUNTIF(V718:X718,"NA")=3,0,IF(COUNTA(V718:X718)=0,0,IF(OR(AND(V718=0,AK718&gt;0),AND(V718="ns",AL718&gt;0),AND(V718="ns",AK718=0,AL718=0)),1,IF(OR(AND(V718&gt;0,AK718=2),AND(V718="ns",AK718=2),AND(V718="ns",AL718=0,AK718&gt;0),V718=AL718),0,1))))</f>
        <v>0</v>
      </c>
      <c r="AN718">
        <f t="shared" ref="AN718:AN781" si="329">COUNTIF(Z718:AA718,"NS")</f>
        <v>0</v>
      </c>
      <c r="AO718">
        <f t="shared" ref="AO718:AO781" si="330">SUM(Z718:AA718)</f>
        <v>0</v>
      </c>
      <c r="AP718">
        <f t="shared" ref="AP718:AP781" si="331">IF(COUNTIF(Y718:AA718,"NA")=3,0,IF(COUNTA(Y718:AA718)=0,0,IF(OR(AND(Y718=0,AN718&gt;0),AND(Y718="ns",AO718&gt;0),AND(Y718="ns",AN718=0,AO718=0)),1,IF(OR(AND(Y718&gt;0,AN718=2),AND(Y718="ns",AN718=2),AND(Y718="ns",AO718=0,AN718&gt;0),Y718=AO718),0,1))))</f>
        <v>0</v>
      </c>
      <c r="AQ718">
        <f t="shared" ref="AQ718:AQ781" si="332">COUNTIF(AC718:AD718,"NS")</f>
        <v>0</v>
      </c>
      <c r="AR718">
        <f t="shared" ref="AR718:AR781" si="333">SUM(AC718:AD718)</f>
        <v>0</v>
      </c>
      <c r="AS718">
        <f t="shared" ref="AS718:AS781" si="334">IF(COUNTIF(AB718:AD718,"NA")=3,0,IF(COUNTA(AB718:AD718)=0,0,IF(OR(AND(AB718=0,AQ718&gt;0),AND(AB718="ns",AR718&gt;0),AND(AB718="ns",AQ718=0,AR718=0)),1,IF(OR(AND(AB718&gt;0,AQ718=2),AND(AB718="ns",AQ718=2),AND(AB718="ns",AR718=0,AQ718&gt;0),AB718=AR718),0,1))))</f>
        <v>0</v>
      </c>
    </row>
    <row r="719" spans="1:45" ht="15" customHeight="1">
      <c r="A719" s="108"/>
      <c r="B719" s="38"/>
      <c r="C719" s="1109"/>
      <c r="D719" s="954"/>
      <c r="E719" s="955"/>
      <c r="F719" s="956"/>
      <c r="G719" s="1103" t="s">
        <v>4746</v>
      </c>
      <c r="H719" s="1103"/>
      <c r="I719" s="1104" t="s">
        <v>4747</v>
      </c>
      <c r="J719" s="1105"/>
      <c r="K719" s="1105"/>
      <c r="L719" s="1105"/>
      <c r="M719" s="1105"/>
      <c r="N719" s="1105"/>
      <c r="O719" s="1105"/>
      <c r="P719" s="1105"/>
      <c r="Q719" s="1105"/>
      <c r="R719" s="1105"/>
      <c r="S719" s="1105"/>
      <c r="T719" s="1105"/>
      <c r="U719" s="1106"/>
      <c r="V719" s="100"/>
      <c r="W719" s="100"/>
      <c r="X719" s="100"/>
      <c r="Y719" s="100"/>
      <c r="Z719" s="100"/>
      <c r="AA719" s="100"/>
      <c r="AB719" s="100"/>
      <c r="AC719" s="100"/>
      <c r="AD719" s="100"/>
      <c r="AF719"/>
      <c r="AG719">
        <f t="shared" ref="AG719:AG782" si="335">IF(OR($V$518=0,$V$518="NS",$V$518="NA",V719="NA"),0,IF(COUNTBLANK(V719:AD719)=0,0,1))</f>
        <v>0</v>
      </c>
      <c r="AH719">
        <f t="shared" si="325"/>
        <v>0</v>
      </c>
      <c r="AK719">
        <f t="shared" si="326"/>
        <v>0</v>
      </c>
      <c r="AL719">
        <f t="shared" si="327"/>
        <v>0</v>
      </c>
      <c r="AM719">
        <f t="shared" si="328"/>
        <v>0</v>
      </c>
      <c r="AN719">
        <f t="shared" si="329"/>
        <v>0</v>
      </c>
      <c r="AO719">
        <f t="shared" si="330"/>
        <v>0</v>
      </c>
      <c r="AP719">
        <f t="shared" si="331"/>
        <v>0</v>
      </c>
      <c r="AQ719">
        <f t="shared" si="332"/>
        <v>0</v>
      </c>
      <c r="AR719">
        <f t="shared" si="333"/>
        <v>0</v>
      </c>
      <c r="AS719">
        <f t="shared" si="334"/>
        <v>0</v>
      </c>
    </row>
    <row r="720" spans="1:45" ht="15" customHeight="1">
      <c r="A720" s="108"/>
      <c r="B720" s="38"/>
      <c r="C720" s="1109"/>
      <c r="D720" s="954"/>
      <c r="E720" s="955"/>
      <c r="F720" s="956"/>
      <c r="G720" s="1103" t="s">
        <v>4748</v>
      </c>
      <c r="H720" s="1103"/>
      <c r="I720" s="1104" t="s">
        <v>4749</v>
      </c>
      <c r="J720" s="1105"/>
      <c r="K720" s="1105"/>
      <c r="L720" s="1105"/>
      <c r="M720" s="1105"/>
      <c r="N720" s="1105"/>
      <c r="O720" s="1105"/>
      <c r="P720" s="1105"/>
      <c r="Q720" s="1105"/>
      <c r="R720" s="1105"/>
      <c r="S720" s="1105"/>
      <c r="T720" s="1105"/>
      <c r="U720" s="1106"/>
      <c r="V720" s="100"/>
      <c r="W720" s="100"/>
      <c r="X720" s="100"/>
      <c r="Y720" s="100"/>
      <c r="Z720" s="100"/>
      <c r="AA720" s="100"/>
      <c r="AB720" s="100"/>
      <c r="AC720" s="100"/>
      <c r="AD720" s="100"/>
      <c r="AF720"/>
      <c r="AG720">
        <f t="shared" si="335"/>
        <v>0</v>
      </c>
      <c r="AH720">
        <f t="shared" si="325"/>
        <v>0</v>
      </c>
      <c r="AK720">
        <f t="shared" si="326"/>
        <v>0</v>
      </c>
      <c r="AL720">
        <f t="shared" si="327"/>
        <v>0</v>
      </c>
      <c r="AM720">
        <f t="shared" si="328"/>
        <v>0</v>
      </c>
      <c r="AN720">
        <f t="shared" si="329"/>
        <v>0</v>
      </c>
      <c r="AO720">
        <f t="shared" si="330"/>
        <v>0</v>
      </c>
      <c r="AP720">
        <f t="shared" si="331"/>
        <v>0</v>
      </c>
      <c r="AQ720">
        <f t="shared" si="332"/>
        <v>0</v>
      </c>
      <c r="AR720">
        <f t="shared" si="333"/>
        <v>0</v>
      </c>
      <c r="AS720">
        <f t="shared" si="334"/>
        <v>0</v>
      </c>
    </row>
    <row r="721" spans="1:90" ht="15" customHeight="1">
      <c r="A721" s="108"/>
      <c r="B721" s="38"/>
      <c r="C721" s="1109"/>
      <c r="D721" s="954"/>
      <c r="E721" s="955"/>
      <c r="F721" s="956"/>
      <c r="G721" s="1103" t="s">
        <v>4750</v>
      </c>
      <c r="H721" s="1103"/>
      <c r="I721" s="1104" t="s">
        <v>4751</v>
      </c>
      <c r="J721" s="1105"/>
      <c r="K721" s="1105"/>
      <c r="L721" s="1105"/>
      <c r="M721" s="1105"/>
      <c r="N721" s="1105"/>
      <c r="O721" s="1105"/>
      <c r="P721" s="1105"/>
      <c r="Q721" s="1105"/>
      <c r="R721" s="1105"/>
      <c r="S721" s="1105"/>
      <c r="T721" s="1105"/>
      <c r="U721" s="1106"/>
      <c r="V721" s="100"/>
      <c r="W721" s="100"/>
      <c r="X721" s="100"/>
      <c r="Y721" s="100"/>
      <c r="Z721" s="100"/>
      <c r="AA721" s="100"/>
      <c r="AB721" s="100"/>
      <c r="AC721" s="100"/>
      <c r="AD721" s="100"/>
      <c r="AF721"/>
      <c r="AG721">
        <f t="shared" si="335"/>
        <v>0</v>
      </c>
      <c r="AH721">
        <f t="shared" si="325"/>
        <v>0</v>
      </c>
      <c r="AK721">
        <f t="shared" si="326"/>
        <v>0</v>
      </c>
      <c r="AL721">
        <f t="shared" si="327"/>
        <v>0</v>
      </c>
      <c r="AM721">
        <f t="shared" si="328"/>
        <v>0</v>
      </c>
      <c r="AN721">
        <f t="shared" si="329"/>
        <v>0</v>
      </c>
      <c r="AO721">
        <f t="shared" si="330"/>
        <v>0</v>
      </c>
      <c r="AP721">
        <f t="shared" si="331"/>
        <v>0</v>
      </c>
      <c r="AQ721">
        <f t="shared" si="332"/>
        <v>0</v>
      </c>
      <c r="AR721">
        <f t="shared" si="333"/>
        <v>0</v>
      </c>
      <c r="AS721">
        <f t="shared" si="334"/>
        <v>0</v>
      </c>
    </row>
    <row r="722" spans="1:90" ht="15" customHeight="1">
      <c r="A722" s="108"/>
      <c r="B722" s="38"/>
      <c r="C722" s="1109"/>
      <c r="D722" s="954"/>
      <c r="E722" s="955"/>
      <c r="F722" s="956"/>
      <c r="G722" s="1107" t="s">
        <v>4752</v>
      </c>
      <c r="H722" s="1107"/>
      <c r="I722" s="1104" t="s">
        <v>4753</v>
      </c>
      <c r="J722" s="1105"/>
      <c r="K722" s="1105"/>
      <c r="L722" s="1105"/>
      <c r="M722" s="1105"/>
      <c r="N722" s="1105"/>
      <c r="O722" s="1105"/>
      <c r="P722" s="1105"/>
      <c r="Q722" s="1105"/>
      <c r="R722" s="1105"/>
      <c r="S722" s="1105"/>
      <c r="T722" s="1105"/>
      <c r="U722" s="1106"/>
      <c r="V722" s="100"/>
      <c r="W722" s="100"/>
      <c r="X722" s="100"/>
      <c r="Y722" s="100"/>
      <c r="Z722" s="100"/>
      <c r="AA722" s="100"/>
      <c r="AB722" s="100"/>
      <c r="AC722" s="100"/>
      <c r="AD722" s="100"/>
      <c r="AF722"/>
      <c r="AG722">
        <f t="shared" si="335"/>
        <v>0</v>
      </c>
      <c r="AH722">
        <f t="shared" si="325"/>
        <v>0</v>
      </c>
      <c r="AJ722">
        <f>IF(OR(V722="NS",V722="NA",$V$715=0,$V$715="NS",$V$715="NA"),0,IF((V722*(IFERROR(100/SUM(V718:V722),0)))&gt;25,1,0))</f>
        <v>0</v>
      </c>
      <c r="AK722">
        <f t="shared" si="326"/>
        <v>0</v>
      </c>
      <c r="AL722">
        <f t="shared" si="327"/>
        <v>0</v>
      </c>
      <c r="AM722">
        <f t="shared" si="328"/>
        <v>0</v>
      </c>
      <c r="AN722">
        <f t="shared" si="329"/>
        <v>0</v>
      </c>
      <c r="AO722">
        <f t="shared" si="330"/>
        <v>0</v>
      </c>
      <c r="AP722">
        <f t="shared" si="331"/>
        <v>0</v>
      </c>
      <c r="AQ722">
        <f t="shared" si="332"/>
        <v>0</v>
      </c>
      <c r="AR722">
        <f t="shared" si="333"/>
        <v>0</v>
      </c>
      <c r="AS722">
        <f t="shared" si="334"/>
        <v>0</v>
      </c>
    </row>
    <row r="723" spans="1:90" ht="15" customHeight="1">
      <c r="A723" s="108"/>
      <c r="B723" s="38"/>
      <c r="C723" s="1108" t="s">
        <v>4754</v>
      </c>
      <c r="D723" s="847" t="s">
        <v>4755</v>
      </c>
      <c r="E723" s="953"/>
      <c r="F723" s="953"/>
      <c r="G723" s="1103" t="s">
        <v>4756</v>
      </c>
      <c r="H723" s="1103"/>
      <c r="I723" s="1104" t="s">
        <v>4757</v>
      </c>
      <c r="J723" s="1105"/>
      <c r="K723" s="1105"/>
      <c r="L723" s="1105"/>
      <c r="M723" s="1105"/>
      <c r="N723" s="1105"/>
      <c r="O723" s="1105"/>
      <c r="P723" s="1105"/>
      <c r="Q723" s="1105"/>
      <c r="R723" s="1105"/>
      <c r="S723" s="1105"/>
      <c r="T723" s="1105"/>
      <c r="U723" s="1106"/>
      <c r="V723" s="100"/>
      <c r="W723" s="100"/>
      <c r="X723" s="100"/>
      <c r="Y723" s="100"/>
      <c r="Z723" s="100"/>
      <c r="AA723" s="100"/>
      <c r="AB723" s="100"/>
      <c r="AC723" s="100"/>
      <c r="AD723" s="100"/>
      <c r="AF723"/>
      <c r="AG723">
        <f t="shared" si="335"/>
        <v>0</v>
      </c>
      <c r="AH723">
        <f t="shared" si="325"/>
        <v>0</v>
      </c>
      <c r="AK723">
        <f t="shared" si="326"/>
        <v>0</v>
      </c>
      <c r="AL723">
        <f t="shared" si="327"/>
        <v>0</v>
      </c>
      <c r="AM723">
        <f t="shared" si="328"/>
        <v>0</v>
      </c>
      <c r="AN723">
        <f t="shared" si="329"/>
        <v>0</v>
      </c>
      <c r="AO723">
        <f t="shared" si="330"/>
        <v>0</v>
      </c>
      <c r="AP723">
        <f t="shared" si="331"/>
        <v>0</v>
      </c>
      <c r="AQ723">
        <f t="shared" si="332"/>
        <v>0</v>
      </c>
      <c r="AR723">
        <f t="shared" si="333"/>
        <v>0</v>
      </c>
      <c r="AS723">
        <f t="shared" si="334"/>
        <v>0</v>
      </c>
    </row>
    <row r="724" spans="1:90" ht="15" customHeight="1">
      <c r="A724" s="176"/>
      <c r="B724" s="57"/>
      <c r="C724" s="1109"/>
      <c r="D724" s="954"/>
      <c r="E724" s="955"/>
      <c r="F724" s="955"/>
      <c r="G724" s="1103" t="s">
        <v>4758</v>
      </c>
      <c r="H724" s="1103"/>
      <c r="I724" s="1104" t="s">
        <v>4759</v>
      </c>
      <c r="J724" s="1105"/>
      <c r="K724" s="1105"/>
      <c r="L724" s="1105"/>
      <c r="M724" s="1105"/>
      <c r="N724" s="1105"/>
      <c r="O724" s="1105"/>
      <c r="P724" s="1105"/>
      <c r="Q724" s="1105"/>
      <c r="R724" s="1105"/>
      <c r="S724" s="1105"/>
      <c r="T724" s="1105"/>
      <c r="U724" s="1106"/>
      <c r="V724" s="100"/>
      <c r="W724" s="100"/>
      <c r="X724" s="100"/>
      <c r="Y724" s="100"/>
      <c r="Z724" s="100"/>
      <c r="AA724" s="100"/>
      <c r="AB724" s="100"/>
      <c r="AC724" s="100"/>
      <c r="AD724" s="100"/>
      <c r="AF724"/>
      <c r="AG724">
        <f t="shared" si="335"/>
        <v>0</v>
      </c>
      <c r="AH724">
        <f t="shared" si="325"/>
        <v>0</v>
      </c>
      <c r="AK724">
        <f t="shared" si="326"/>
        <v>0</v>
      </c>
      <c r="AL724">
        <f t="shared" si="327"/>
        <v>0</v>
      </c>
      <c r="AM724">
        <f t="shared" si="328"/>
        <v>0</v>
      </c>
      <c r="AN724">
        <f t="shared" si="329"/>
        <v>0</v>
      </c>
      <c r="AO724">
        <f t="shared" si="330"/>
        <v>0</v>
      </c>
      <c r="AP724">
        <f t="shared" si="331"/>
        <v>0</v>
      </c>
      <c r="AQ724">
        <f t="shared" si="332"/>
        <v>0</v>
      </c>
      <c r="AR724">
        <f t="shared" si="333"/>
        <v>0</v>
      </c>
      <c r="AS724">
        <f t="shared" si="334"/>
        <v>0</v>
      </c>
    </row>
    <row r="725" spans="1:90" ht="15" customHeight="1">
      <c r="A725" s="176"/>
      <c r="B725" s="57"/>
      <c r="C725" s="1109"/>
      <c r="D725" s="954"/>
      <c r="E725" s="955"/>
      <c r="F725" s="955"/>
      <c r="G725" s="1103" t="s">
        <v>4760</v>
      </c>
      <c r="H725" s="1103"/>
      <c r="I725" s="1104" t="s">
        <v>4761</v>
      </c>
      <c r="J725" s="1105"/>
      <c r="K725" s="1105"/>
      <c r="L725" s="1105"/>
      <c r="M725" s="1105"/>
      <c r="N725" s="1105"/>
      <c r="O725" s="1105"/>
      <c r="P725" s="1105"/>
      <c r="Q725" s="1105"/>
      <c r="R725" s="1105"/>
      <c r="S725" s="1105"/>
      <c r="T725" s="1105"/>
      <c r="U725" s="1106"/>
      <c r="V725" s="100"/>
      <c r="W725" s="100"/>
      <c r="X725" s="100"/>
      <c r="Y725" s="100"/>
      <c r="Z725" s="100"/>
      <c r="AA725" s="100"/>
      <c r="AB725" s="100"/>
      <c r="AC725" s="100"/>
      <c r="AD725" s="100"/>
      <c r="AF725"/>
      <c r="AG725">
        <f t="shared" si="335"/>
        <v>0</v>
      </c>
      <c r="AH725">
        <f t="shared" si="325"/>
        <v>0</v>
      </c>
      <c r="AK725">
        <f t="shared" si="326"/>
        <v>0</v>
      </c>
      <c r="AL725">
        <f t="shared" si="327"/>
        <v>0</v>
      </c>
      <c r="AM725">
        <f t="shared" si="328"/>
        <v>0</v>
      </c>
      <c r="AN725">
        <f t="shared" si="329"/>
        <v>0</v>
      </c>
      <c r="AO725">
        <f t="shared" si="330"/>
        <v>0</v>
      </c>
      <c r="AP725">
        <f t="shared" si="331"/>
        <v>0</v>
      </c>
      <c r="AQ725">
        <f t="shared" si="332"/>
        <v>0</v>
      </c>
      <c r="AR725">
        <f t="shared" si="333"/>
        <v>0</v>
      </c>
      <c r="AS725">
        <f t="shared" si="334"/>
        <v>0</v>
      </c>
    </row>
    <row r="726" spans="1:90" ht="15" customHeight="1">
      <c r="A726" s="176"/>
      <c r="B726" s="57"/>
      <c r="C726" s="1109"/>
      <c r="D726" s="954"/>
      <c r="E726" s="955"/>
      <c r="F726" s="955"/>
      <c r="G726" s="1103" t="s">
        <v>4762</v>
      </c>
      <c r="H726" s="1103"/>
      <c r="I726" s="1104" t="s">
        <v>4763</v>
      </c>
      <c r="J726" s="1105"/>
      <c r="K726" s="1105"/>
      <c r="L726" s="1105"/>
      <c r="M726" s="1105"/>
      <c r="N726" s="1105"/>
      <c r="O726" s="1105"/>
      <c r="P726" s="1105"/>
      <c r="Q726" s="1105"/>
      <c r="R726" s="1105"/>
      <c r="S726" s="1105"/>
      <c r="T726" s="1105"/>
      <c r="U726" s="1106"/>
      <c r="V726" s="100"/>
      <c r="W726" s="100"/>
      <c r="X726" s="100"/>
      <c r="Y726" s="100"/>
      <c r="Z726" s="100"/>
      <c r="AA726" s="100"/>
      <c r="AB726" s="100"/>
      <c r="AC726" s="100"/>
      <c r="AD726" s="100"/>
      <c r="AF726"/>
      <c r="AG726">
        <f t="shared" si="335"/>
        <v>0</v>
      </c>
      <c r="AH726">
        <f t="shared" si="325"/>
        <v>0</v>
      </c>
      <c r="AK726">
        <f t="shared" si="326"/>
        <v>0</v>
      </c>
      <c r="AL726">
        <f t="shared" si="327"/>
        <v>0</v>
      </c>
      <c r="AM726">
        <f t="shared" si="328"/>
        <v>0</v>
      </c>
      <c r="AN726">
        <f t="shared" si="329"/>
        <v>0</v>
      </c>
      <c r="AO726">
        <f t="shared" si="330"/>
        <v>0</v>
      </c>
      <c r="AP726">
        <f t="shared" si="331"/>
        <v>0</v>
      </c>
      <c r="AQ726">
        <f t="shared" si="332"/>
        <v>0</v>
      </c>
      <c r="AR726">
        <f t="shared" si="333"/>
        <v>0</v>
      </c>
      <c r="AS726">
        <f t="shared" si="334"/>
        <v>0</v>
      </c>
    </row>
    <row r="727" spans="1:90" ht="15" customHeight="1">
      <c r="A727" s="176"/>
      <c r="B727" s="57"/>
      <c r="C727" s="1109"/>
      <c r="D727" s="954"/>
      <c r="E727" s="955"/>
      <c r="F727" s="955"/>
      <c r="G727" s="1103" t="s">
        <v>4764</v>
      </c>
      <c r="H727" s="1103"/>
      <c r="I727" s="1104" t="s">
        <v>4765</v>
      </c>
      <c r="J727" s="1105"/>
      <c r="K727" s="1105"/>
      <c r="L727" s="1105"/>
      <c r="M727" s="1105"/>
      <c r="N727" s="1105"/>
      <c r="O727" s="1105"/>
      <c r="P727" s="1105"/>
      <c r="Q727" s="1105"/>
      <c r="R727" s="1105"/>
      <c r="S727" s="1105"/>
      <c r="T727" s="1105"/>
      <c r="U727" s="1106"/>
      <c r="V727" s="100"/>
      <c r="W727" s="100"/>
      <c r="X727" s="100"/>
      <c r="Y727" s="100"/>
      <c r="Z727" s="100"/>
      <c r="AA727" s="100"/>
      <c r="AB727" s="100"/>
      <c r="AC727" s="100"/>
      <c r="AD727" s="100"/>
      <c r="AF727"/>
      <c r="AG727">
        <f t="shared" si="335"/>
        <v>0</v>
      </c>
      <c r="AH727">
        <f t="shared" si="325"/>
        <v>0</v>
      </c>
      <c r="AK727">
        <f t="shared" si="326"/>
        <v>0</v>
      </c>
      <c r="AL727">
        <f t="shared" si="327"/>
        <v>0</v>
      </c>
      <c r="AM727">
        <f t="shared" si="328"/>
        <v>0</v>
      </c>
      <c r="AN727">
        <f t="shared" si="329"/>
        <v>0</v>
      </c>
      <c r="AO727">
        <f t="shared" si="330"/>
        <v>0</v>
      </c>
      <c r="AP727">
        <f t="shared" si="331"/>
        <v>0</v>
      </c>
      <c r="AQ727">
        <f t="shared" si="332"/>
        <v>0</v>
      </c>
      <c r="AR727">
        <f t="shared" si="333"/>
        <v>0</v>
      </c>
      <c r="AS727">
        <f t="shared" si="334"/>
        <v>0</v>
      </c>
      <c r="AT727" t="s">
        <v>4766</v>
      </c>
      <c r="AU727" t="s">
        <v>4767</v>
      </c>
      <c r="AV727" t="s">
        <v>4768</v>
      </c>
      <c r="AW727" t="s">
        <v>4769</v>
      </c>
      <c r="AX727" t="s">
        <v>4770</v>
      </c>
      <c r="AY727" t="s">
        <v>4771</v>
      </c>
      <c r="AZ727" t="s">
        <v>4772</v>
      </c>
      <c r="BA727" t="s">
        <v>4773</v>
      </c>
      <c r="BB727" t="s">
        <v>4774</v>
      </c>
      <c r="BC727" t="s">
        <v>4775</v>
      </c>
      <c r="BD727" t="s">
        <v>4776</v>
      </c>
      <c r="BE727" t="s">
        <v>4777</v>
      </c>
      <c r="BF727" t="s">
        <v>4778</v>
      </c>
      <c r="BG727" t="s">
        <v>4779</v>
      </c>
      <c r="BH727" t="s">
        <v>4780</v>
      </c>
      <c r="BI727" t="s">
        <v>4781</v>
      </c>
      <c r="BJ727" t="s">
        <v>4782</v>
      </c>
      <c r="BK727" t="s">
        <v>4783</v>
      </c>
      <c r="BL727" t="s">
        <v>4784</v>
      </c>
      <c r="BM727" t="s">
        <v>4785</v>
      </c>
      <c r="BN727" t="s">
        <v>4786</v>
      </c>
      <c r="BO727" t="s">
        <v>4787</v>
      </c>
      <c r="BP727" t="s">
        <v>4788</v>
      </c>
      <c r="BQ727" t="s">
        <v>4789</v>
      </c>
      <c r="BR727" t="s">
        <v>4790</v>
      </c>
      <c r="BS727" t="s">
        <v>4791</v>
      </c>
      <c r="BT727" t="s">
        <v>4792</v>
      </c>
      <c r="BU727" t="s">
        <v>4793</v>
      </c>
      <c r="BV727" t="s">
        <v>4794</v>
      </c>
      <c r="BW727" t="s">
        <v>4795</v>
      </c>
      <c r="BX727" t="s">
        <v>4796</v>
      </c>
      <c r="BY727" t="s">
        <v>4797</v>
      </c>
      <c r="BZ727" t="s">
        <v>4798</v>
      </c>
      <c r="CA727" t="s">
        <v>4799</v>
      </c>
      <c r="CB727" t="s">
        <v>4800</v>
      </c>
      <c r="CC727" t="s">
        <v>4801</v>
      </c>
      <c r="CD727" t="s">
        <v>4802</v>
      </c>
      <c r="CE727" t="s">
        <v>4803</v>
      </c>
      <c r="CF727" t="s">
        <v>4804</v>
      </c>
      <c r="CG727" t="s">
        <v>4805</v>
      </c>
      <c r="CH727" t="s">
        <v>4806</v>
      </c>
      <c r="CI727" t="s">
        <v>4807</v>
      </c>
      <c r="CJ727" t="s">
        <v>4808</v>
      </c>
      <c r="CK727" t="s">
        <v>4809</v>
      </c>
      <c r="CL727" t="s">
        <v>4810</v>
      </c>
    </row>
    <row r="728" spans="1:90" ht="15" customHeight="1">
      <c r="A728" s="176"/>
      <c r="B728" s="57"/>
      <c r="C728" s="1109"/>
      <c r="D728" s="954"/>
      <c r="E728" s="955"/>
      <c r="F728" s="955"/>
      <c r="G728" s="1103" t="s">
        <v>4811</v>
      </c>
      <c r="H728" s="1103"/>
      <c r="I728" s="1104" t="s">
        <v>4812</v>
      </c>
      <c r="J728" s="1105"/>
      <c r="K728" s="1105"/>
      <c r="L728" s="1105"/>
      <c r="M728" s="1105"/>
      <c r="N728" s="1105"/>
      <c r="O728" s="1105"/>
      <c r="P728" s="1105"/>
      <c r="Q728" s="1105"/>
      <c r="R728" s="1105"/>
      <c r="S728" s="1105"/>
      <c r="T728" s="1105"/>
      <c r="U728" s="1106"/>
      <c r="V728" s="100"/>
      <c r="W728" s="100"/>
      <c r="X728" s="100"/>
      <c r="Y728" s="100"/>
      <c r="Z728" s="100"/>
      <c r="AA728" s="100"/>
      <c r="AB728" s="100"/>
      <c r="AC728" s="100"/>
      <c r="AD728" s="100"/>
      <c r="AF728">
        <f>IF(V728="NA",IF(AND(COUNTIF(V729:V734,"="&amp;$AF$545)=0,COUNTIF(V729:V734,"&lt;&gt;NA")&gt;0),1,0),IF(AND(COUNTIF(V729:V734,"="&amp;$AF$545)=0,COUNTIF(V729:V734,"NA")=COUNTIF(V729:V734,"&lt;&gt;"&amp;$AF$545)),1,0))</f>
        <v>0</v>
      </c>
      <c r="AG728">
        <f t="shared" si="335"/>
        <v>0</v>
      </c>
      <c r="AH728">
        <f t="shared" si="325"/>
        <v>0</v>
      </c>
      <c r="AK728">
        <f t="shared" si="326"/>
        <v>0</v>
      </c>
      <c r="AL728">
        <f t="shared" si="327"/>
        <v>0</v>
      </c>
      <c r="AM728">
        <f t="shared" si="328"/>
        <v>0</v>
      </c>
      <c r="AN728">
        <f t="shared" si="329"/>
        <v>0</v>
      </c>
      <c r="AO728">
        <f t="shared" si="330"/>
        <v>0</v>
      </c>
      <c r="AP728">
        <f t="shared" si="331"/>
        <v>0</v>
      </c>
      <c r="AQ728">
        <f t="shared" si="332"/>
        <v>0</v>
      </c>
      <c r="AR728">
        <f t="shared" si="333"/>
        <v>0</v>
      </c>
      <c r="AS728">
        <f t="shared" si="334"/>
        <v>0</v>
      </c>
      <c r="AT728">
        <f>COUNTIF(V729:V734,"NS")</f>
        <v>0</v>
      </c>
      <c r="AU728">
        <f>SUM(V729:V734)</f>
        <v>0</v>
      </c>
      <c r="AV728">
        <f>IF(COUNTA(V728:V734)=0,0,IF(OR(AND(V728=0,AT728&gt;0),AND(V728="ns",AU728&gt;0),AND(V728="ns",AT728=0,AU728=0)),1,IF(OR(AND(AT728&gt;=2,V728&gt;AU728),AND(V728="ns",AU728=0,AT728&gt;0),V728=AU728),0,1)))</f>
        <v>0</v>
      </c>
      <c r="AW728">
        <f>COUNTIF(V740:V744,"NS")</f>
        <v>0</v>
      </c>
      <c r="AX728">
        <f>SUM(V740:V744)</f>
        <v>0</v>
      </c>
      <c r="AY728">
        <f>IF(COUNTA(V739:V744)=0,0,IF(OR(AND(V739=0,AW728&gt;0),AND(V739="ns",AX728&gt;0),AND(V739="ns",AW728=0,AX728=0)),1,IF(OR(AND(AW728&gt;=2,V739&gt;AX728),AND(V739="ns",AX728=0,AW728&gt;0),V739=AX728),0,1)))</f>
        <v>0</v>
      </c>
      <c r="AZ728">
        <f>COUNTIF(V749:V766,"NS")</f>
        <v>0</v>
      </c>
      <c r="BA728">
        <f>SUM(V749:V766)</f>
        <v>0</v>
      </c>
      <c r="BB728">
        <f>IF(COUNTA(V748:V766)=0,0,IF(OR(AND(V748=0,AZ728&gt;0),AND(V748="ns",BA728&gt;0),AND(V748="ns",AZ728=0,BA728=0)),1,IF(OR(AND(AZ728&gt;=2,V748&gt;BA728),AND(V748="ns",BA728=0,AZ728&gt;0),V748=BA728),0,1)))</f>
        <v>0</v>
      </c>
      <c r="BC728">
        <f>COUNTIF(V768:V772,"NS")</f>
        <v>0</v>
      </c>
      <c r="BD728">
        <f>SUM(V768:V772)</f>
        <v>0</v>
      </c>
      <c r="BE728">
        <f>IF(COUNTA(V767:V772)=0,0,IF(OR(AND(V767=0,BC728&gt;0),AND(V767="ns",BD728&gt;0),AND(V767="ns",BC728=0,BD728=0)),1,IF(OR(AND(BC728&gt;=2,V767&gt;BD728),AND(V767="ns",BD728=0,BC728&gt;0),V767=BD728),0,1)))</f>
        <v>0</v>
      </c>
      <c r="BF728">
        <f>COUNTIF(V776:V778,"NS")</f>
        <v>0</v>
      </c>
      <c r="BG728">
        <f>SUM(V776:V778)</f>
        <v>0</v>
      </c>
      <c r="BH728">
        <f>IF(COUNTA(V775:V778)=0,0,IF(OR(AND(V775=0,BF728&gt;0),AND(V775="ns",BG728&gt;0),AND(V775="ns",BF728=0,BG728=0)),1,IF(OR(AND(BF728&gt;=2,V775&gt;BG728),AND(V775="ns",BG728=0,BF728&gt;0),V775=BG728),0,1)))</f>
        <v>0</v>
      </c>
      <c r="BI728">
        <f>COUNTIF(V786:V792,"NS")</f>
        <v>0</v>
      </c>
      <c r="BJ728">
        <f>SUM(V786:V792)</f>
        <v>0</v>
      </c>
      <c r="BK728">
        <f>IF(COUNTA(V785:V792)=0,0,IF(OR(AND(V785=0,BI728&gt;0),AND(V785="ns",BJ728&gt;0),AND(V785="ns",BI728=0,BJ728=0)),1,IF(OR(AND(BI728&gt;=2,V785&gt;BJ728),AND(V785="ns",BJ728=0,BI728&gt;0),V785=BJ728),0,1)))</f>
        <v>0</v>
      </c>
      <c r="BL728">
        <f>COUNTIF(V794:V798,"NS")</f>
        <v>0</v>
      </c>
      <c r="BM728">
        <f>SUM(V794:V798)</f>
        <v>0</v>
      </c>
      <c r="BN728">
        <f>IF(COUNTA(V793:V798)=0,0,IF(OR(AND(V793=0,BL728&gt;0),AND(V793="ns",BM728&gt;0),AND(V793="ns",BL728=0,BM728=0)),1,IF(OR(AND(BL728&gt;=2,V793&gt;BM728),AND(V793="ns",BM728=0,BL728&gt;0),V793=BM728),0,1)))</f>
        <v>0</v>
      </c>
      <c r="BO728">
        <f>COUNTIF(V804:V809,"NS")</f>
        <v>0</v>
      </c>
      <c r="BP728">
        <f>SUM(V804:V809)</f>
        <v>0</v>
      </c>
      <c r="BQ728">
        <f>IF(COUNTA(V803:V809)=0,0,IF(OR(AND(V803=0,BO728&gt;0),AND(V803="ns",BP728&gt;0),AND(V803="ns",BO728=0,BP728=0)),1,IF(OR(AND(BO728&gt;=2,V803&gt;BP728),AND(V803="ns",BP728=0,BO728&gt;0),V803=BP728),0,1)))</f>
        <v>0</v>
      </c>
      <c r="BR728">
        <f>COUNTIF(V811:V818,"NS")</f>
        <v>0</v>
      </c>
      <c r="BS728">
        <f>SUM(V811:V818)</f>
        <v>0</v>
      </c>
      <c r="BT728">
        <f>IF(COUNTA(V810:V818)=0,0,IF(OR(AND(V810=0,BR728&gt;0),AND(V810="ns",BS728&gt;0),AND(V810="ns",BR728=0,BS728=0)),1,IF(OR(AND(BR728&gt;=2,V810&gt;BS728),AND(V810="ns",BS728=0,BR728&gt;0),V810=BS728),0,1)))</f>
        <v>0</v>
      </c>
      <c r="BU728">
        <f>COUNTIF(V823:V828,"NS")</f>
        <v>0</v>
      </c>
      <c r="BV728">
        <f>SUM(V823:V828)</f>
        <v>0</v>
      </c>
      <c r="BW728">
        <f>IF(COUNTA(V822:V828)=0,0,IF(OR(AND(V822=0,BU728&gt;0),AND(V822="ns",BV728&gt;0),AND(V822="ns",BU728=0,BV728=0)),1,IF(OR(AND(BU728&gt;=2,V822&gt;BV728),AND(V822="ns",BV728=0,BU728&gt;0),V822=BV728),0,1)))</f>
        <v>0</v>
      </c>
      <c r="BX728">
        <f>COUNTIF(V833:V841,"NS")</f>
        <v>0</v>
      </c>
      <c r="BY728">
        <f>SUM(V833:V841)</f>
        <v>0</v>
      </c>
      <c r="BZ728">
        <f>IF(COUNTA(V832:V841)=0,0,IF(OR(AND(V832=0,BX728&gt;0),AND(V832="ns",BY728&gt;0),AND(V832="ns",BX728=0,BY728=0)),1,IF(OR(AND(BX728&gt;=2,V832&gt;BY728),AND(V832="ns",BY728=0,BX728&gt;0),V832=BY728),0,1)))</f>
        <v>0</v>
      </c>
      <c r="CA728">
        <f>COUNTIF(V843:V845,"NS")</f>
        <v>0</v>
      </c>
      <c r="CB728">
        <f>SUM(V843:V845)</f>
        <v>0</v>
      </c>
      <c r="CC728">
        <f>IF(COUNTA(V842:V845)=0,0,IF(OR(AND(V842=0,CA728&gt;0),AND(V842="ns",CB728&gt;0),AND(V842="ns",CA728=0,CB728=0)),1,IF(OR(AND(CA728&gt;=2,V842&gt;CB728),AND(V842="ns",CB728=0,CA728&gt;0),V842=CB728),0,1)))</f>
        <v>0</v>
      </c>
      <c r="CD728">
        <f>COUNTIF(V854:V860,"NS")</f>
        <v>0</v>
      </c>
      <c r="CE728">
        <f>SUM(V854:V860)</f>
        <v>0</v>
      </c>
      <c r="CF728">
        <f>IF(COUNTA(V853:V860)=0,0,IF(OR(AND(V853=0,CD728&gt;0),AND(V853="ns",CE728&gt;0),AND(V853="ns",CD728=0,CE728=0)),1,IF(OR(AND(CD728&gt;=2,V853&gt;CE728),AND(V853="ns",CE728=0,CD728&gt;0),V853=CE728),0,1)))</f>
        <v>0</v>
      </c>
      <c r="CG728">
        <f>COUNTIF(V863:V865,"NS")</f>
        <v>0</v>
      </c>
      <c r="CH728">
        <f>SUM(V863:V865)</f>
        <v>0</v>
      </c>
      <c r="CI728">
        <f>IF(COUNTA(V862:V865)=0,0,IF(OR(AND(V862=0,CG728&gt;0),AND(V862="ns",CH728&gt;0),AND(V862="ns",CG728=0,CH728=0)),1,IF(OR(AND(CG728&gt;=2,V862&gt;CH728),AND(V862="ns",CH728=0,CG728&gt;0),V862=CH728),0,1)))</f>
        <v>0</v>
      </c>
      <c r="CJ728">
        <f>COUNTIF(V875:V879,"NS")</f>
        <v>0</v>
      </c>
      <c r="CK728">
        <f>SUM(V875:V879)</f>
        <v>0</v>
      </c>
      <c r="CL728">
        <f>IF(COUNTA(V874:V879)=0,0,IF(OR(AND(V874=0,CJ728&gt;0),AND(V874="ns",CK728&gt;0),AND(V874="ns",CJ728=0,CK728=0)),1,IF(OR(AND(CJ728&gt;=2,V874&gt;CK728),AND(V874="ns",CK728=0,CJ728&gt;0),V874=CK728),0,1)))</f>
        <v>0</v>
      </c>
    </row>
    <row r="729" spans="1:90" ht="15" customHeight="1">
      <c r="A729" s="176"/>
      <c r="B729" s="57"/>
      <c r="C729" s="1109"/>
      <c r="D729" s="954"/>
      <c r="E729" s="955"/>
      <c r="F729" s="955"/>
      <c r="G729" s="1110" t="s">
        <v>4813</v>
      </c>
      <c r="H729" s="1110"/>
      <c r="I729" s="177"/>
      <c r="J729" s="1115" t="s">
        <v>4814</v>
      </c>
      <c r="K729" s="1115"/>
      <c r="L729" s="1115"/>
      <c r="M729" s="1115"/>
      <c r="N729" s="1115"/>
      <c r="O729" s="1115"/>
      <c r="P729" s="1115"/>
      <c r="Q729" s="1115"/>
      <c r="R729" s="1115"/>
      <c r="S729" s="1115"/>
      <c r="T729" s="1115"/>
      <c r="U729" s="1116"/>
      <c r="V729" s="100"/>
      <c r="W729" s="100"/>
      <c r="X729" s="100"/>
      <c r="Y729" s="100"/>
      <c r="Z729" s="100"/>
      <c r="AA729" s="100"/>
      <c r="AB729" s="100"/>
      <c r="AC729" s="100"/>
      <c r="AD729" s="100"/>
      <c r="AF729"/>
      <c r="AG729">
        <f t="shared" si="335"/>
        <v>0</v>
      </c>
      <c r="AH729">
        <f t="shared" si="325"/>
        <v>0</v>
      </c>
      <c r="AK729">
        <f t="shared" si="326"/>
        <v>0</v>
      </c>
      <c r="AL729">
        <f t="shared" si="327"/>
        <v>0</v>
      </c>
      <c r="AM729">
        <f t="shared" si="328"/>
        <v>0</v>
      </c>
      <c r="AN729">
        <f t="shared" si="329"/>
        <v>0</v>
      </c>
      <c r="AO729">
        <f t="shared" si="330"/>
        <v>0</v>
      </c>
      <c r="AP729">
        <f t="shared" si="331"/>
        <v>0</v>
      </c>
      <c r="AQ729">
        <f t="shared" si="332"/>
        <v>0</v>
      </c>
      <c r="AR729">
        <f t="shared" si="333"/>
        <v>0</v>
      </c>
      <c r="AS729">
        <f t="shared" si="334"/>
        <v>0</v>
      </c>
      <c r="AT729">
        <f>COUNTIF(W729:W734,"NS")</f>
        <v>0</v>
      </c>
      <c r="AU729">
        <f>SUM(W729:W734)</f>
        <v>0</v>
      </c>
      <c r="AV729">
        <f>IF(COUNTA(W728:W734)=0,0,IF(OR(AND(W728=0,AT729&gt;0),AND(W728="ns",AU729&gt;0),AND(W728="ns",AT729=0,AU729=0)),1,IF(OR(AND(AT729&gt;=2,W728&gt;AU729),AND(W728="ns",AU729=0,AT729&gt;0),W728=AU729),0,1)))</f>
        <v>0</v>
      </c>
      <c r="AW729">
        <f>COUNTIF(W740:W744,"NS")</f>
        <v>0</v>
      </c>
      <c r="AX729">
        <f>SUM(W740:W744)</f>
        <v>0</v>
      </c>
      <c r="AY729">
        <f>IF(COUNTA(W739:W744)=0,0,IF(OR(AND(W739=0,AW729&gt;0),AND(W739="ns",AX729&gt;0),AND(W739="ns",AW729=0,AX729=0)),1,IF(OR(AND(AW729&gt;=2,W739&gt;AX729),AND(W739="ns",AX729=0,AW729&gt;0),W739=AX729),0,1)))</f>
        <v>0</v>
      </c>
      <c r="AZ729">
        <f>COUNTIF(W749:W766,"NS")</f>
        <v>0</v>
      </c>
      <c r="BA729">
        <f>SUM(W749:W766)</f>
        <v>0</v>
      </c>
      <c r="BB729">
        <f>IF(COUNTA(W748:W766)=0,0,IF(OR(AND(W748=0,AZ729&gt;0),AND(W748="ns",BA729&gt;0),AND(W748="ns",AZ729=0,BA729=0)),1,IF(OR(AND(AZ729&gt;=2,W748&gt;BA729),AND(W748="ns",BA729=0,AZ729&gt;0),W748=BA729),0,1)))</f>
        <v>0</v>
      </c>
      <c r="BC729">
        <f>COUNTIF(W768:W772,"NS")</f>
        <v>0</v>
      </c>
      <c r="BD729">
        <f>SUM(W768:W772)</f>
        <v>0</v>
      </c>
      <c r="BE729">
        <f>IF(COUNTA(W767:W772)=0,0,IF(OR(AND(W767=0,BC729&gt;0),AND(W767="ns",BD729&gt;0),AND(W767="ns",BC729=0,BD729=0)),1,IF(OR(AND(BC729&gt;=2,W767&gt;BD729),AND(W767="ns",BD729=0,BC729&gt;0),W767=BD729),0,1)))</f>
        <v>0</v>
      </c>
      <c r="BF729">
        <f>COUNTIF(W776:W778,"NS")</f>
        <v>0</v>
      </c>
      <c r="BG729">
        <f>SUM(W776:W778)</f>
        <v>0</v>
      </c>
      <c r="BH729">
        <f>IF(COUNTA(W775:W778)=0,0,IF(OR(AND(W775=0,BF729&gt;0),AND(W775="ns",BG729&gt;0),AND(W775="ns",BF729=0,BG729=0)),1,IF(OR(AND(BF729&gt;=2,W775&gt;BG729),AND(W775="ns",BG729=0,BF729&gt;0),W775=BG729),0,1)))</f>
        <v>0</v>
      </c>
      <c r="BI729">
        <f>COUNTIF(W786:W792,"NS")</f>
        <v>0</v>
      </c>
      <c r="BJ729">
        <f>SUM(W786:W792)</f>
        <v>0</v>
      </c>
      <c r="BK729">
        <f>IF(COUNTA(W785:W792)=0,0,IF(OR(AND(W785=0,BI729&gt;0),AND(W785="ns",BJ729&gt;0),AND(W785="ns",BI729=0,BJ729=0)),1,IF(OR(AND(BI729&gt;=2,W785&gt;BJ729),AND(W785="ns",BJ729=0,BI729&gt;0),W785=BJ729),0,1)))</f>
        <v>0</v>
      </c>
      <c r="BL729">
        <f>COUNTIF(W794:W798,"NS")</f>
        <v>0</v>
      </c>
      <c r="BM729">
        <f>SUM(W794:W798)</f>
        <v>0</v>
      </c>
      <c r="BN729">
        <f>IF(COUNTA(W793:W798)=0,0,IF(OR(AND(W793=0,BL729&gt;0),AND(W793="ns",BM729&gt;0),AND(W793="ns",BL729=0,BM729=0)),1,IF(OR(AND(BL729&gt;=2,W793&gt;BM729),AND(W793="ns",BM729=0,BL729&gt;0),W793=BM729),0,1)))</f>
        <v>0</v>
      </c>
      <c r="BO729">
        <f>COUNTIF(W804:W809,"NS")</f>
        <v>0</v>
      </c>
      <c r="BP729">
        <f>SUM(W804:W809)</f>
        <v>0</v>
      </c>
      <c r="BQ729">
        <f>IF(COUNTA(W803:W809)=0,0,IF(OR(AND(W803=0,BO729&gt;0),AND(W803="ns",BP729&gt;0),AND(W803="ns",BO729=0,BP729=0)),1,IF(OR(AND(BO729&gt;=2,W803&gt;BP729),AND(W803="ns",BP729=0,BO729&gt;0),W803=BP729),0,1)))</f>
        <v>0</v>
      </c>
      <c r="BR729">
        <f>COUNTIF(W811:W818,"NS")</f>
        <v>0</v>
      </c>
      <c r="BS729">
        <f>SUM(W811:W818)</f>
        <v>0</v>
      </c>
      <c r="BT729">
        <f>IF(COUNTA(W810:W818)=0,0,IF(OR(AND(W810=0,BR729&gt;0),AND(W810="ns",BS729&gt;0),AND(W810="ns",BR729=0,BS729=0)),1,IF(OR(AND(BR729&gt;=2,W810&gt;BS729),AND(W810="ns",BS729=0,BR729&gt;0),W810=BS729),0,1)))</f>
        <v>0</v>
      </c>
      <c r="BU729">
        <f>COUNTIF(W823:W828,"NS")</f>
        <v>0</v>
      </c>
      <c r="BV729">
        <f>SUM(W823:W828)</f>
        <v>0</v>
      </c>
      <c r="BW729">
        <f>IF(COUNTA(W822:W828)=0,0,IF(OR(AND(W822=0,BU729&gt;0),AND(W822="ns",BV729&gt;0),AND(W822="ns",BU729=0,BV729=0)),1,IF(OR(AND(BU729&gt;=2,W822&gt;BV729),AND(W822="ns",BV729=0,BU729&gt;0),W822=BV729),0,1)))</f>
        <v>0</v>
      </c>
      <c r="BX729">
        <f>COUNTIF(W833:W841,"NS")</f>
        <v>0</v>
      </c>
      <c r="BY729">
        <f>SUM(W833:W841)</f>
        <v>0</v>
      </c>
      <c r="BZ729">
        <f>IF(COUNTA(W832:W841)=0,0,IF(OR(AND(W832=0,BX729&gt;0),AND(W832="ns",BY729&gt;0),AND(W832="ns",BX729=0,BY729=0)),1,IF(OR(AND(BX729&gt;=2,W832&gt;BY729),AND(W832="ns",BY729=0,BX729&gt;0),W832=BY729),0,1)))</f>
        <v>0</v>
      </c>
      <c r="CA729">
        <f>COUNTIF(W843:W845,"NS")</f>
        <v>0</v>
      </c>
      <c r="CB729">
        <f>SUM(W843:W845)</f>
        <v>0</v>
      </c>
      <c r="CC729">
        <f>IF(COUNTA(W842:W845)=0,0,IF(OR(AND(W842=0,CA729&gt;0),AND(W842="ns",CB729&gt;0),AND(W842="ns",CA729=0,CB729=0)),1,IF(OR(AND(CA729&gt;=2,W842&gt;CB729),AND(W842="ns",CB729=0,CA729&gt;0),W842=CB729),0,1)))</f>
        <v>0</v>
      </c>
      <c r="CD729">
        <f>COUNTIF(W854:W860,"NS")</f>
        <v>0</v>
      </c>
      <c r="CE729">
        <f>SUM(W854:W860)</f>
        <v>0</v>
      </c>
      <c r="CF729">
        <f>IF(COUNTA(W853:W860)=0,0,IF(OR(AND(W853=0,CD729&gt;0),AND(W853="ns",CE729&gt;0),AND(W853="ns",CD729=0,CE729=0)),1,IF(OR(AND(CD729&gt;=2,W853&gt;CE729),AND(W853="ns",CE729=0,CD729&gt;0),W853=CE729),0,1)))</f>
        <v>0</v>
      </c>
      <c r="CG729">
        <f>COUNTIF(W863:W865,"NS")</f>
        <v>0</v>
      </c>
      <c r="CH729">
        <f>SUM(W863:W865)</f>
        <v>0</v>
      </c>
      <c r="CI729">
        <f>IF(COUNTA(W862:W865)=0,0,IF(OR(AND(W862=0,CG729&gt;0),AND(W862="ns",CH729&gt;0),AND(W862="ns",CG729=0,CH729=0)),1,IF(OR(AND(CG729&gt;=2,W862&gt;CH729),AND(W862="ns",CH729=0,CG729&gt;0),W862=CH729),0,1)))</f>
        <v>0</v>
      </c>
      <c r="CJ729">
        <f>COUNTIF(W875:W879,"NS")</f>
        <v>0</v>
      </c>
      <c r="CK729">
        <f>SUM(W875:W879)</f>
        <v>0</v>
      </c>
      <c r="CL729">
        <f>IF(COUNTA(W874:W879)=0,0,IF(OR(AND(W874=0,CJ729&gt;0),AND(W874="ns",CK729&gt;0),AND(W874="ns",CJ729=0,CK729=0)),1,IF(OR(AND(CJ729&gt;=2,W874&gt;CK729),AND(W874="ns",CK729=0,CJ729&gt;0),W874=CK729),0,1)))</f>
        <v>0</v>
      </c>
    </row>
    <row r="730" spans="1:90" ht="15" customHeight="1">
      <c r="A730" s="176"/>
      <c r="B730" s="57"/>
      <c r="C730" s="1109"/>
      <c r="D730" s="954"/>
      <c r="E730" s="955"/>
      <c r="F730" s="955"/>
      <c r="G730" s="1110" t="s">
        <v>4815</v>
      </c>
      <c r="H730" s="1110"/>
      <c r="I730" s="178"/>
      <c r="J730" s="1111" t="s">
        <v>4816</v>
      </c>
      <c r="K730" s="1111"/>
      <c r="L730" s="1111"/>
      <c r="M730" s="1111"/>
      <c r="N730" s="1111"/>
      <c r="O730" s="1111"/>
      <c r="P730" s="1111"/>
      <c r="Q730" s="1111"/>
      <c r="R730" s="1111"/>
      <c r="S730" s="1111"/>
      <c r="T730" s="1111"/>
      <c r="U730" s="1112"/>
      <c r="V730" s="100"/>
      <c r="W730" s="100"/>
      <c r="X730" s="100"/>
      <c r="Y730" s="100"/>
      <c r="Z730" s="100"/>
      <c r="AA730" s="100"/>
      <c r="AB730" s="100"/>
      <c r="AC730" s="100"/>
      <c r="AD730" s="100"/>
      <c r="AF730"/>
      <c r="AG730">
        <f t="shared" si="335"/>
        <v>0</v>
      </c>
      <c r="AH730">
        <f t="shared" si="325"/>
        <v>0</v>
      </c>
      <c r="AK730">
        <f t="shared" si="326"/>
        <v>0</v>
      </c>
      <c r="AL730">
        <f t="shared" si="327"/>
        <v>0</v>
      </c>
      <c r="AM730">
        <f t="shared" si="328"/>
        <v>0</v>
      </c>
      <c r="AN730">
        <f t="shared" si="329"/>
        <v>0</v>
      </c>
      <c r="AO730">
        <f t="shared" si="330"/>
        <v>0</v>
      </c>
      <c r="AP730">
        <f t="shared" si="331"/>
        <v>0</v>
      </c>
      <c r="AQ730">
        <f t="shared" si="332"/>
        <v>0</v>
      </c>
      <c r="AR730">
        <f t="shared" si="333"/>
        <v>0</v>
      </c>
      <c r="AS730">
        <f t="shared" si="334"/>
        <v>0</v>
      </c>
      <c r="AT730">
        <f>COUNTIF(X729:X734,"NS")</f>
        <v>0</v>
      </c>
      <c r="AU730">
        <f>SUM(X729:X734)</f>
        <v>0</v>
      </c>
      <c r="AV730">
        <f>IF(COUNTA(X728:X734)=0,0,IF(OR(AND(X728=0,AT730&gt;0),AND(X728="ns",AU730&gt;0),AND(X728="ns",AT730=0,AU730=0)),1,IF(OR(AND(AT730&gt;=2,X728&gt;AU730),AND(X728="ns",AU730=0,AT730&gt;0),X728=AU730),0,1)))</f>
        <v>0</v>
      </c>
      <c r="AW730">
        <f>COUNTIF(X740:X744,"NS")</f>
        <v>0</v>
      </c>
      <c r="AX730">
        <f>SUM(X740:X744)</f>
        <v>0</v>
      </c>
      <c r="AY730">
        <f>IF(COUNTA(X739:X744)=0,0,IF(OR(AND(X739=0,AW730&gt;0),AND(X739="ns",AX730&gt;0),AND(X739="ns",AW730=0,AX730=0)),1,IF(OR(AND(AW730&gt;=2,X739&gt;AX730),AND(X739="ns",AX730=0,AW730&gt;0),X739=AX730),0,1)))</f>
        <v>0</v>
      </c>
      <c r="AZ730">
        <f>COUNTIF(X749:X766,"NS")</f>
        <v>0</v>
      </c>
      <c r="BA730">
        <f>SUM(X749:X766)</f>
        <v>0</v>
      </c>
      <c r="BB730">
        <f>IF(COUNTA(X748:X766)=0,0,IF(OR(AND(X748=0,AZ730&gt;0),AND(X748="ns",BA730&gt;0),AND(X748="ns",AZ730=0,BA730=0)),1,IF(OR(AND(AZ730&gt;=2,X748&gt;BA730),AND(X748="ns",BA730=0,AZ730&gt;0),X748=BA730),0,1)))</f>
        <v>0</v>
      </c>
      <c r="BC730">
        <f>COUNTIF(X768:X772,"NS")</f>
        <v>0</v>
      </c>
      <c r="BD730">
        <f>SUM(X768:X772)</f>
        <v>0</v>
      </c>
      <c r="BE730">
        <f>IF(COUNTA(X767:X772)=0,0,IF(OR(AND(X767=0,BC730&gt;0),AND(X767="ns",BD730&gt;0),AND(X767="ns",BC730=0,BD730=0)),1,IF(OR(AND(BC730&gt;=2,X767&gt;BD730),AND(X767="ns",BD730=0,BC730&gt;0),X767=BD730),0,1)))</f>
        <v>0</v>
      </c>
      <c r="BF730">
        <f>COUNTIF(X776:X778,"NS")</f>
        <v>0</v>
      </c>
      <c r="BG730">
        <f>SUM(X776:X778)</f>
        <v>0</v>
      </c>
      <c r="BH730">
        <f>IF(COUNTA(X775:X778)=0,0,IF(OR(AND(X775=0,BF730&gt;0),AND(X775="ns",BG730&gt;0),AND(X775="ns",BF730=0,BG730=0)),1,IF(OR(AND(BF730&gt;=2,X775&gt;BG730),AND(X775="ns",BG730=0,BF730&gt;0),X775=BG730),0,1)))</f>
        <v>0</v>
      </c>
      <c r="BI730">
        <f>COUNTIF(X786:X792,"NS")</f>
        <v>0</v>
      </c>
      <c r="BJ730">
        <f>SUM(X786:X792)</f>
        <v>0</v>
      </c>
      <c r="BK730">
        <f>IF(COUNTA(X785:X792)=0,0,IF(OR(AND(X785=0,BI730&gt;0),AND(X785="ns",BJ730&gt;0),AND(X785="ns",BI730=0,BJ730=0)),1,IF(OR(AND(BI730&gt;=2,X785&gt;BJ730),AND(X785="ns",BJ730=0,BI730&gt;0),X785=BJ730),0,1)))</f>
        <v>0</v>
      </c>
      <c r="BL730">
        <f>COUNTIF(X794:X798,"NS")</f>
        <v>0</v>
      </c>
      <c r="BM730">
        <f>SUM(X794:X798)</f>
        <v>0</v>
      </c>
      <c r="BN730">
        <f>IF(COUNTA(X793:X798)=0,0,IF(OR(AND(X793=0,BL730&gt;0),AND(X793="ns",BM730&gt;0),AND(X793="ns",BL730=0,BM730=0)),1,IF(OR(AND(BL730&gt;=2,X793&gt;BM730),AND(X793="ns",BM730=0,BL730&gt;0),X793=BM730),0,1)))</f>
        <v>0</v>
      </c>
      <c r="BO730">
        <f>COUNTIF(X804:X809,"NS")</f>
        <v>0</v>
      </c>
      <c r="BP730">
        <f>SUM(X804:X809)</f>
        <v>0</v>
      </c>
      <c r="BQ730">
        <f>IF(COUNTA(X803:X809)=0,0,IF(OR(AND(X803=0,BO730&gt;0),AND(X803="ns",BP730&gt;0),AND(X803="ns",BO730=0,BP730=0)),1,IF(OR(AND(BO730&gt;=2,X803&gt;BP730),AND(X803="ns",BP730=0,BO730&gt;0),X803=BP730),0,1)))</f>
        <v>0</v>
      </c>
      <c r="BR730">
        <f>COUNTIF(X811:X818,"NS")</f>
        <v>0</v>
      </c>
      <c r="BS730">
        <f>SUM(X811:X818)</f>
        <v>0</v>
      </c>
      <c r="BT730">
        <f>IF(COUNTA(X810:X818)=0,0,IF(OR(AND(X810=0,BR730&gt;0),AND(X810="ns",BS730&gt;0),AND(X810="ns",BR730=0,BS730=0)),1,IF(OR(AND(BR730&gt;=2,X810&gt;BS730),AND(X810="ns",BS730=0,BR730&gt;0),X810=BS730),0,1)))</f>
        <v>0</v>
      </c>
      <c r="BU730">
        <f>COUNTIF(X823:X828,"NS")</f>
        <v>0</v>
      </c>
      <c r="BV730">
        <f>SUM(X823:X828)</f>
        <v>0</v>
      </c>
      <c r="BW730">
        <f>IF(COUNTA(X822:X828)=0,0,IF(OR(AND(X822=0,BU730&gt;0),AND(X822="ns",BV730&gt;0),AND(X822="ns",BU730=0,BV730=0)),1,IF(OR(AND(BU730&gt;=2,X822&gt;BV730),AND(X822="ns",BV730=0,BU730&gt;0),X822=BV730),0,1)))</f>
        <v>0</v>
      </c>
      <c r="BX730">
        <f>COUNTIF(X833:X841,"NS")</f>
        <v>0</v>
      </c>
      <c r="BY730">
        <f>SUM(X833:X841)</f>
        <v>0</v>
      </c>
      <c r="BZ730">
        <f>IF(COUNTA(X832:X841)=0,0,IF(OR(AND(X832=0,BX730&gt;0),AND(X832="ns",BY730&gt;0),AND(X832="ns",BX730=0,BY730=0)),1,IF(OR(AND(BX730&gt;=2,X832&gt;BY730),AND(X832="ns",BY730=0,BX730&gt;0),X832=BY730),0,1)))</f>
        <v>0</v>
      </c>
      <c r="CA730">
        <f>COUNTIF(X843:X845,"NS")</f>
        <v>0</v>
      </c>
      <c r="CB730">
        <f>SUM(X843:X845)</f>
        <v>0</v>
      </c>
      <c r="CC730">
        <f>IF(COUNTA(X842:X845)=0,0,IF(OR(AND(X842=0,CA730&gt;0),AND(X842="ns",CB730&gt;0),AND(X842="ns",CA730=0,CB730=0)),1,IF(OR(AND(CA730&gt;=2,X842&gt;CB730),AND(X842="ns",CB730=0,CA730&gt;0),X842=CB730),0,1)))</f>
        <v>0</v>
      </c>
      <c r="CD730">
        <f>COUNTIF(X854:X860,"NS")</f>
        <v>0</v>
      </c>
      <c r="CE730">
        <f>SUM(X854:X860)</f>
        <v>0</v>
      </c>
      <c r="CF730">
        <f>IF(COUNTA(X853:X860)=0,0,IF(OR(AND(X853=0,CD730&gt;0),AND(X853="ns",CE730&gt;0),AND(X853="ns",CD730=0,CE730=0)),1,IF(OR(AND(CD730&gt;=2,X853&gt;CE730),AND(X853="ns",CE730=0,CD730&gt;0),X853=CE730),0,1)))</f>
        <v>0</v>
      </c>
      <c r="CG730">
        <f>COUNTIF(X863:X865,"NS")</f>
        <v>0</v>
      </c>
      <c r="CH730">
        <f>SUM(X863:X865)</f>
        <v>0</v>
      </c>
      <c r="CI730">
        <f>IF(COUNTA(X862:X865)=0,0,IF(OR(AND(X862=0,CG730&gt;0),AND(X862="ns",CH730&gt;0),AND(X862="ns",CG730=0,CH730=0)),1,IF(OR(AND(CG730&gt;=2,X862&gt;CH730),AND(X862="ns",CH730=0,CG730&gt;0),X862=CH730),0,1)))</f>
        <v>0</v>
      </c>
      <c r="CJ730">
        <f>COUNTIF(X875:X879,"NS")</f>
        <v>0</v>
      </c>
      <c r="CK730">
        <f>SUM(X875:X879)</f>
        <v>0</v>
      </c>
      <c r="CL730">
        <f>IF(COUNTA(X874:X879)=0,0,IF(OR(AND(X874=0,CJ730&gt;0),AND(X874="ns",CK730&gt;0),AND(X874="ns",CJ730=0,CK730=0)),1,IF(OR(AND(CJ730&gt;=2,X874&gt;CK730),AND(X874="ns",CK730=0,CJ730&gt;0),X874=CK730),0,1)))</f>
        <v>0</v>
      </c>
    </row>
    <row r="731" spans="1:90" ht="15" customHeight="1">
      <c r="A731" s="176"/>
      <c r="B731" s="57"/>
      <c r="C731" s="1109"/>
      <c r="D731" s="954"/>
      <c r="E731" s="955"/>
      <c r="F731" s="955"/>
      <c r="G731" s="1110" t="s">
        <v>4817</v>
      </c>
      <c r="H731" s="1110"/>
      <c r="I731" s="178"/>
      <c r="J731" s="1111" t="s">
        <v>4818</v>
      </c>
      <c r="K731" s="1111"/>
      <c r="L731" s="1111"/>
      <c r="M731" s="1111"/>
      <c r="N731" s="1111"/>
      <c r="O731" s="1111"/>
      <c r="P731" s="1111"/>
      <c r="Q731" s="1111"/>
      <c r="R731" s="1111"/>
      <c r="S731" s="1111"/>
      <c r="T731" s="1111"/>
      <c r="U731" s="1112"/>
      <c r="V731" s="100"/>
      <c r="W731" s="100"/>
      <c r="X731" s="100"/>
      <c r="Y731" s="100"/>
      <c r="Z731" s="100"/>
      <c r="AA731" s="100"/>
      <c r="AB731" s="100"/>
      <c r="AC731" s="100"/>
      <c r="AD731" s="100"/>
      <c r="AF731"/>
      <c r="AG731">
        <f t="shared" si="335"/>
        <v>0</v>
      </c>
      <c r="AH731">
        <f t="shared" si="325"/>
        <v>0</v>
      </c>
      <c r="AK731">
        <f t="shared" si="326"/>
        <v>0</v>
      </c>
      <c r="AL731">
        <f t="shared" si="327"/>
        <v>0</v>
      </c>
      <c r="AM731">
        <f t="shared" si="328"/>
        <v>0</v>
      </c>
      <c r="AN731">
        <f t="shared" si="329"/>
        <v>0</v>
      </c>
      <c r="AO731">
        <f t="shared" si="330"/>
        <v>0</v>
      </c>
      <c r="AP731">
        <f t="shared" si="331"/>
        <v>0</v>
      </c>
      <c r="AQ731">
        <f t="shared" si="332"/>
        <v>0</v>
      </c>
      <c r="AR731">
        <f t="shared" si="333"/>
        <v>0</v>
      </c>
      <c r="AS731">
        <f t="shared" si="334"/>
        <v>0</v>
      </c>
      <c r="AT731">
        <f>COUNTIF(Y729:Y734,"NS")</f>
        <v>0</v>
      </c>
      <c r="AU731">
        <f>SUM(Y729:Y734)</f>
        <v>0</v>
      </c>
      <c r="AV731">
        <f>IF(COUNTA(Y728:Y734)=0,0,IF(OR(AND(Y728=0,AT731&gt;0),AND(Y728="ns",AU731&gt;0),AND(Y728="ns",AT731=0,AU731=0)),1,IF(OR(AND(AT731&gt;=2,Y728&gt;AU731),AND(Y728="ns",AU731=0,AT731&gt;0),Y728=AU731),0,1)))</f>
        <v>0</v>
      </c>
      <c r="AW731">
        <f>COUNTIF(Y740:Y744,"NS")</f>
        <v>0</v>
      </c>
      <c r="AX731">
        <f>SUM(Y740:Y744)</f>
        <v>0</v>
      </c>
      <c r="AY731">
        <f>IF(COUNTA(Y739:Y744)=0,0,IF(OR(AND(Y739=0,AW731&gt;0),AND(Y739="ns",AX731&gt;0),AND(Y739="ns",AW731=0,AX731=0)),1,IF(OR(AND(AW731&gt;=2,Y739&gt;AX731),AND(Y739="ns",AX731=0,AW731&gt;0),Y739=AX731),0,1)))</f>
        <v>0</v>
      </c>
      <c r="AZ731">
        <f>COUNTIF(Y749:Y766,"NS")</f>
        <v>0</v>
      </c>
      <c r="BA731">
        <f>SUM(Y749:Y766)</f>
        <v>0</v>
      </c>
      <c r="BB731">
        <f>IF(COUNTA(Y748:Y766)=0,0,IF(OR(AND(Y748=0,AZ731&gt;0),AND(Y748="ns",BA731&gt;0),AND(Y748="ns",AZ731=0,BA731=0)),1,IF(OR(AND(AZ731&gt;=2,Y748&gt;BA731),AND(Y748="ns",BA731=0,AZ731&gt;0),Y748=BA731),0,1)))</f>
        <v>0</v>
      </c>
      <c r="BC731">
        <f>COUNTIF(Y768:Y772,"NS")</f>
        <v>0</v>
      </c>
      <c r="BD731">
        <f>SUM(Y768:Y772)</f>
        <v>0</v>
      </c>
      <c r="BE731">
        <f>IF(COUNTA(Y767:Y772)=0,0,IF(OR(AND(Y767=0,BC731&gt;0),AND(Y767="ns",BD731&gt;0),AND(Y767="ns",BC731=0,BD731=0)),1,IF(OR(AND(BC731&gt;=2,Y767&gt;BD731),AND(Y767="ns",BD731=0,BC731&gt;0),Y767=BD731),0,1)))</f>
        <v>0</v>
      </c>
      <c r="BF731">
        <f>COUNTIF(Y776:Y778,"NS")</f>
        <v>0</v>
      </c>
      <c r="BG731">
        <f>SUM(Y776:Y778)</f>
        <v>0</v>
      </c>
      <c r="BH731">
        <f>IF(COUNTA(Y775:Y778)=0,0,IF(OR(AND(Y775=0,BF731&gt;0),AND(Y775="ns",BG731&gt;0),AND(Y775="ns",BF731=0,BG731=0)),1,IF(OR(AND(BF731&gt;=2,Y775&gt;BG731),AND(Y775="ns",BG731=0,BF731&gt;0),Y775=BG731),0,1)))</f>
        <v>0</v>
      </c>
      <c r="BI731">
        <f>COUNTIF(Y786:Y792,"NS")</f>
        <v>0</v>
      </c>
      <c r="BJ731">
        <f>SUM(Y786:Y792)</f>
        <v>0</v>
      </c>
      <c r="BK731">
        <f>IF(COUNTA(Y785:Y792)=0,0,IF(OR(AND(Y785=0,BI731&gt;0),AND(Y785="ns",BJ731&gt;0),AND(Y785="ns",BI731=0,BJ731=0)),1,IF(OR(AND(BI731&gt;=2,Y785&gt;BJ731),AND(Y785="ns",BJ731=0,BI731&gt;0),Y785=BJ731),0,1)))</f>
        <v>0</v>
      </c>
      <c r="BL731">
        <f>COUNTIF(Y794:Y798,"NS")</f>
        <v>0</v>
      </c>
      <c r="BM731">
        <f>SUM(Y794:Y798)</f>
        <v>0</v>
      </c>
      <c r="BN731">
        <f>IF(COUNTA(Y793:Y798)=0,0,IF(OR(AND(Y793=0,BL731&gt;0),AND(Y793="ns",BM731&gt;0),AND(Y793="ns",BL731=0,BM731=0)),1,IF(OR(AND(BL731&gt;=2,Y793&gt;BM731),AND(Y793="ns",BM731=0,BL731&gt;0),Y793=BM731),0,1)))</f>
        <v>0</v>
      </c>
      <c r="BO731">
        <f>COUNTIF(Y804:Y809,"NS")</f>
        <v>0</v>
      </c>
      <c r="BP731">
        <f>SUM(Y804:Y809)</f>
        <v>0</v>
      </c>
      <c r="BQ731">
        <f>IF(COUNTA(Y803:Y809)=0,0,IF(OR(AND(Y803=0,BO731&gt;0),AND(Y803="ns",BP731&gt;0),AND(Y803="ns",BO731=0,BP731=0)),1,IF(OR(AND(BO731&gt;=2,Y803&gt;BP731),AND(Y803="ns",BP731=0,BO731&gt;0),Y803=BP731),0,1)))</f>
        <v>0</v>
      </c>
      <c r="BR731">
        <f>COUNTIF(Y811:Y818,"NS")</f>
        <v>0</v>
      </c>
      <c r="BS731">
        <f>SUM(Y811:Y818)</f>
        <v>0</v>
      </c>
      <c r="BT731">
        <f>IF(COUNTA(Y810:Y818)=0,0,IF(OR(AND(Y810=0,BR731&gt;0),AND(Y810="ns",BS731&gt;0),AND(Y810="ns",BR731=0,BS731=0)),1,IF(OR(AND(BR731&gt;=2,Y810&gt;BS731),AND(Y810="ns",BS731=0,BR731&gt;0),Y810=BS731),0,1)))</f>
        <v>0</v>
      </c>
      <c r="BU731">
        <f>COUNTIF(Y823:Y828,"NS")</f>
        <v>0</v>
      </c>
      <c r="BV731">
        <f>SUM(Y823:Y828)</f>
        <v>0</v>
      </c>
      <c r="BW731">
        <f>IF(COUNTA(Y822:Y828)=0,0,IF(OR(AND(Y822=0,BU731&gt;0),AND(Y822="ns",BV731&gt;0),AND(Y822="ns",BU731=0,BV731=0)),1,IF(OR(AND(BU731&gt;=2,Y822&gt;BV731),AND(Y822="ns",BV731=0,BU731&gt;0),Y822=BV731),0,1)))</f>
        <v>0</v>
      </c>
      <c r="BX731">
        <f>COUNTIF(Y833:Y841,"NS")</f>
        <v>0</v>
      </c>
      <c r="BY731">
        <f>SUM(Y833:Y841)</f>
        <v>0</v>
      </c>
      <c r="BZ731">
        <f>IF(COUNTA(Y832:Y841)=0,0,IF(OR(AND(Y832=0,BX731&gt;0),AND(Y832="ns",BY731&gt;0),AND(Y832="ns",BX731=0,BY731=0)),1,IF(OR(AND(BX731&gt;=2,Y832&gt;BY731),AND(Y832="ns",BY731=0,BX731&gt;0),Y832=BY731),0,1)))</f>
        <v>0</v>
      </c>
      <c r="CA731">
        <f>COUNTIF(Y843:Y845,"NS")</f>
        <v>0</v>
      </c>
      <c r="CB731">
        <f>SUM(Y843:Y845)</f>
        <v>0</v>
      </c>
      <c r="CC731">
        <f>IF(COUNTA(Y842:Y845)=0,0,IF(OR(AND(Y842=0,CA731&gt;0),AND(Y842="ns",CB731&gt;0),AND(Y842="ns",CA731=0,CB731=0)),1,IF(OR(AND(CA731&gt;=2,Y842&gt;CB731),AND(Y842="ns",CB731=0,CA731&gt;0),Y842=CB731),0,1)))</f>
        <v>0</v>
      </c>
      <c r="CD731">
        <f>COUNTIF(Y854:Y860,"NS")</f>
        <v>0</v>
      </c>
      <c r="CE731">
        <f>SUM(Y854:Y860)</f>
        <v>0</v>
      </c>
      <c r="CF731">
        <f>IF(COUNTA(Y853:Y860)=0,0,IF(OR(AND(Y853=0,CD731&gt;0),AND(Y853="ns",CE731&gt;0),AND(Y853="ns",CD731=0,CE731=0)),1,IF(OR(AND(CD731&gt;=2,Y853&gt;CE731),AND(Y853="ns",CE731=0,CD731&gt;0),Y853=CE731),0,1)))</f>
        <v>0</v>
      </c>
      <c r="CG731">
        <f>COUNTIF(Y863:Y865,"NS")</f>
        <v>0</v>
      </c>
      <c r="CH731">
        <f>SUM(Y863:Y865)</f>
        <v>0</v>
      </c>
      <c r="CI731">
        <f>IF(COUNTA(Y862:Y865)=0,0,IF(OR(AND(Y862=0,CG731&gt;0),AND(Y862="ns",CH731&gt;0),AND(Y862="ns",CG731=0,CH731=0)),1,IF(OR(AND(CG731&gt;=2,Y862&gt;CH731),AND(Y862="ns",CH731=0,CG731&gt;0),Y862=CH731),0,1)))</f>
        <v>0</v>
      </c>
      <c r="CJ731">
        <f>COUNTIF(Y875:Y879,"NS")</f>
        <v>0</v>
      </c>
      <c r="CK731">
        <f>SUM(Y875:Y879)</f>
        <v>0</v>
      </c>
      <c r="CL731">
        <f>IF(COUNTA(Y874:Y879)=0,0,IF(OR(AND(Y874=0,CJ731&gt;0),AND(Y874="ns",CK731&gt;0),AND(Y874="ns",CJ731=0,CK731=0)),1,IF(OR(AND(CJ731&gt;=2,Y874&gt;CK731),AND(Y874="ns",CK731=0,CJ731&gt;0),Y874=CK731),0,1)))</f>
        <v>0</v>
      </c>
    </row>
    <row r="732" spans="1:90" ht="15" customHeight="1">
      <c r="A732" s="176"/>
      <c r="B732" s="57"/>
      <c r="C732" s="1109"/>
      <c r="D732" s="954"/>
      <c r="E732" s="955"/>
      <c r="F732" s="955"/>
      <c r="G732" s="1110" t="s">
        <v>4819</v>
      </c>
      <c r="H732" s="1110"/>
      <c r="I732" s="178"/>
      <c r="J732" s="1111" t="s">
        <v>4820</v>
      </c>
      <c r="K732" s="1111"/>
      <c r="L732" s="1111"/>
      <c r="M732" s="1111"/>
      <c r="N732" s="1111"/>
      <c r="O732" s="1111"/>
      <c r="P732" s="1111"/>
      <c r="Q732" s="1111"/>
      <c r="R732" s="1111"/>
      <c r="S732" s="1111"/>
      <c r="T732" s="1111"/>
      <c r="U732" s="1112"/>
      <c r="V732" s="100"/>
      <c r="W732" s="100"/>
      <c r="X732" s="100"/>
      <c r="Y732" s="100"/>
      <c r="Z732" s="100"/>
      <c r="AA732" s="100"/>
      <c r="AB732" s="100"/>
      <c r="AC732" s="100"/>
      <c r="AD732" s="100"/>
      <c r="AF732"/>
      <c r="AG732">
        <f t="shared" si="335"/>
        <v>0</v>
      </c>
      <c r="AH732">
        <f t="shared" si="325"/>
        <v>0</v>
      </c>
      <c r="AK732">
        <f t="shared" si="326"/>
        <v>0</v>
      </c>
      <c r="AL732">
        <f t="shared" si="327"/>
        <v>0</v>
      </c>
      <c r="AM732">
        <f t="shared" si="328"/>
        <v>0</v>
      </c>
      <c r="AN732">
        <f t="shared" si="329"/>
        <v>0</v>
      </c>
      <c r="AO732">
        <f t="shared" si="330"/>
        <v>0</v>
      </c>
      <c r="AP732">
        <f t="shared" si="331"/>
        <v>0</v>
      </c>
      <c r="AQ732">
        <f t="shared" si="332"/>
        <v>0</v>
      </c>
      <c r="AR732">
        <f t="shared" si="333"/>
        <v>0</v>
      </c>
      <c r="AS732">
        <f t="shared" si="334"/>
        <v>0</v>
      </c>
      <c r="AT732">
        <f>COUNTIF(Z729:Z734,"NS")</f>
        <v>0</v>
      </c>
      <c r="AU732">
        <f>SUM(Z729:Z734)</f>
        <v>0</v>
      </c>
      <c r="AV732">
        <f>IF(COUNTA(Z728:Z734)=0,0,IF(OR(AND(Z728=0,AT732&gt;0),AND(Z728="ns",AU732&gt;0),AND(Z728="ns",AT732=0,AU732=0)),1,IF(OR(AND(AT732&gt;=2,Z728&gt;AU732),AND(Z728="ns",AU732=0,AT732&gt;0),Z728=AU732),0,1)))</f>
        <v>0</v>
      </c>
      <c r="AW732">
        <f>COUNTIF(Z740:Z744,"NS")</f>
        <v>0</v>
      </c>
      <c r="AX732">
        <f>SUM(Z740:Z744)</f>
        <v>0</v>
      </c>
      <c r="AY732">
        <f>IF(COUNTA(Z739:Z744)=0,0,IF(OR(AND(Z739=0,AW732&gt;0),AND(Z739="ns",AX732&gt;0),AND(Z739="ns",AW732=0,AX732=0)),1,IF(OR(AND(AW732&gt;=2,Z739&gt;AX732),AND(Z739="ns",AX732=0,AW732&gt;0),Z739=AX732),0,1)))</f>
        <v>0</v>
      </c>
      <c r="AZ732">
        <f>COUNTIF(Z749:Z766,"NS")</f>
        <v>0</v>
      </c>
      <c r="BA732">
        <f>SUM(Z749:Z766)</f>
        <v>0</v>
      </c>
      <c r="BB732">
        <f>IF(COUNTA(Z748:Z766)=0,0,IF(OR(AND(Z748=0,AZ732&gt;0),AND(Z748="ns",BA732&gt;0),AND(Z748="ns",AZ732=0,BA732=0)),1,IF(OR(AND(AZ732&gt;=2,Z748&gt;BA732),AND(Z748="ns",BA732=0,AZ732&gt;0),Z748=BA732),0,1)))</f>
        <v>0</v>
      </c>
      <c r="BC732">
        <f>COUNTIF(Z768:Z772,"NS")</f>
        <v>0</v>
      </c>
      <c r="BD732">
        <f>SUM(Z768:Z772)</f>
        <v>0</v>
      </c>
      <c r="BE732">
        <f>IF(COUNTA(Z767:Z772)=0,0,IF(OR(AND(Z767=0,BC732&gt;0),AND(Z767="ns",BD732&gt;0),AND(Z767="ns",BC732=0,BD732=0)),1,IF(OR(AND(BC732&gt;=2,Z767&gt;BD732),AND(Z767="ns",BD732=0,BC732&gt;0),Z767=BD732),0,1)))</f>
        <v>0</v>
      </c>
      <c r="BF732">
        <f>COUNTIF(Z776:Z778,"NS")</f>
        <v>0</v>
      </c>
      <c r="BG732">
        <f>SUM(Z776:Z778)</f>
        <v>0</v>
      </c>
      <c r="BH732">
        <f>IF(COUNTA(Z775:Z778)=0,0,IF(OR(AND(Z775=0,BF732&gt;0),AND(Z775="ns",BG732&gt;0),AND(Z775="ns",BF732=0,BG732=0)),1,IF(OR(AND(BF732&gt;=2,Z775&gt;BG732),AND(Z775="ns",BG732=0,BF732&gt;0),Z775=BG732),0,1)))</f>
        <v>0</v>
      </c>
      <c r="BI732">
        <f>COUNTIF(Z786:Z792,"NS")</f>
        <v>0</v>
      </c>
      <c r="BJ732">
        <f>SUM(Z786:Z792)</f>
        <v>0</v>
      </c>
      <c r="BK732">
        <f>IF(COUNTA(Z785:Z792)=0,0,IF(OR(AND(Z785=0,BI732&gt;0),AND(Z785="ns",BJ732&gt;0),AND(Z785="ns",BI732=0,BJ732=0)),1,IF(OR(AND(BI732&gt;=2,Z785&gt;BJ732),AND(Z785="ns",BJ732=0,BI732&gt;0),Z785=BJ732),0,1)))</f>
        <v>0</v>
      </c>
      <c r="BL732">
        <f>COUNTIF(Z794:Z798,"NS")</f>
        <v>0</v>
      </c>
      <c r="BM732">
        <f>SUM(Z794:Z798)</f>
        <v>0</v>
      </c>
      <c r="BN732">
        <f>IF(COUNTA(Z793:Z798)=0,0,IF(OR(AND(Z793=0,BL732&gt;0),AND(Z793="ns",BM732&gt;0),AND(Z793="ns",BL732=0,BM732=0)),1,IF(OR(AND(BL732&gt;=2,Z793&gt;BM732),AND(Z793="ns",BM732=0,BL732&gt;0),Z793=BM732),0,1)))</f>
        <v>0</v>
      </c>
      <c r="BO732">
        <f>COUNTIF(Z804:Z809,"NS")</f>
        <v>0</v>
      </c>
      <c r="BP732">
        <f>SUM(Z804:Z809)</f>
        <v>0</v>
      </c>
      <c r="BQ732">
        <f>IF(COUNTA(Z803:Z809)=0,0,IF(OR(AND(Z803=0,BO732&gt;0),AND(Z803="ns",BP732&gt;0),AND(Z803="ns",BO732=0,BP732=0)),1,IF(OR(AND(BO732&gt;=2,Z803&gt;BP732),AND(Z803="ns",BP732=0,BO732&gt;0),Z803=BP732),0,1)))</f>
        <v>0</v>
      </c>
      <c r="BR732">
        <f>COUNTIF(Z811:Z818,"NS")</f>
        <v>0</v>
      </c>
      <c r="BS732">
        <f>SUM(Z811:Z818)</f>
        <v>0</v>
      </c>
      <c r="BT732">
        <f>IF(COUNTA(Z810:Z818)=0,0,IF(OR(AND(Z810=0,BR732&gt;0),AND(Z810="ns",BS732&gt;0),AND(Z810="ns",BR732=0,BS732=0)),1,IF(OR(AND(BR732&gt;=2,Z810&gt;BS732),AND(Z810="ns",BS732=0,BR732&gt;0),Z810=BS732),0,1)))</f>
        <v>0</v>
      </c>
      <c r="BU732">
        <f>COUNTIF(Z823:Z828,"NS")</f>
        <v>0</v>
      </c>
      <c r="BV732">
        <f>SUM(Z823:Z828)</f>
        <v>0</v>
      </c>
      <c r="BW732">
        <f>IF(COUNTA(Z822:Z828)=0,0,IF(OR(AND(Z822=0,BU732&gt;0),AND(Z822="ns",BV732&gt;0),AND(Z822="ns",BU732=0,BV732=0)),1,IF(OR(AND(BU732&gt;=2,Z822&gt;BV732),AND(Z822="ns",BV732=0,BU732&gt;0),Z822=BV732),0,1)))</f>
        <v>0</v>
      </c>
      <c r="BX732">
        <f>COUNTIF(Z833:Z841,"NS")</f>
        <v>0</v>
      </c>
      <c r="BY732">
        <f>SUM(Z833:Z841)</f>
        <v>0</v>
      </c>
      <c r="BZ732">
        <f>IF(COUNTA(Z832:Z841)=0,0,IF(OR(AND(Z832=0,BX732&gt;0),AND(Z832="ns",BY732&gt;0),AND(Z832="ns",BX732=0,BY732=0)),1,IF(OR(AND(BX732&gt;=2,Z832&gt;BY732),AND(Z832="ns",BY732=0,BX732&gt;0),Z832=BY732),0,1)))</f>
        <v>0</v>
      </c>
      <c r="CA732">
        <f>COUNTIF(Z843:Z845,"NS")</f>
        <v>0</v>
      </c>
      <c r="CB732">
        <f>SUM(Z843:Z845)</f>
        <v>0</v>
      </c>
      <c r="CC732">
        <f>IF(COUNTA(Z842:Z845)=0,0,IF(OR(AND(Z842=0,CA732&gt;0),AND(Z842="ns",CB732&gt;0),AND(Z842="ns",CA732=0,CB732=0)),1,IF(OR(AND(CA732&gt;=2,Z842&gt;CB732),AND(Z842="ns",CB732=0,CA732&gt;0),Z842=CB732),0,1)))</f>
        <v>0</v>
      </c>
      <c r="CD732">
        <f>COUNTIF(Z854:Z860,"NS")</f>
        <v>0</v>
      </c>
      <c r="CE732">
        <f>SUM(Z854:Z860)</f>
        <v>0</v>
      </c>
      <c r="CF732">
        <f>IF(COUNTA(Z853:Z860)=0,0,IF(OR(AND(Z853=0,CD732&gt;0),AND(Z853="ns",CE732&gt;0),AND(Z853="ns",CD732=0,CE732=0)),1,IF(OR(AND(CD732&gt;=2,Z853&gt;CE732),AND(Z853="ns",CE732=0,CD732&gt;0),Z853=CE732),0,1)))</f>
        <v>0</v>
      </c>
      <c r="CG732">
        <f>COUNTIF(Z863:Z865,"NS")</f>
        <v>0</v>
      </c>
      <c r="CH732">
        <f>SUM(Z863:Z865)</f>
        <v>0</v>
      </c>
      <c r="CI732">
        <f>IF(COUNTA(Z862:Z865)=0,0,IF(OR(AND(Z862=0,CG732&gt;0),AND(Z862="ns",CH732&gt;0),AND(Z862="ns",CG732=0,CH732=0)),1,IF(OR(AND(CG732&gt;=2,Z862&gt;CH732),AND(Z862="ns",CH732=0,CG732&gt;0),Z862=CH732),0,1)))</f>
        <v>0</v>
      </c>
      <c r="CJ732">
        <f>COUNTIF(Z875:Z879,"NS")</f>
        <v>0</v>
      </c>
      <c r="CK732">
        <f>SUM(Z875:Z879)</f>
        <v>0</v>
      </c>
      <c r="CL732">
        <f>IF(COUNTA(Z874:Z879)=0,0,IF(OR(AND(Z874=0,CJ732&gt;0),AND(Z874="ns",CK732&gt;0),AND(Z874="ns",CJ732=0,CK732=0)),1,IF(OR(AND(CJ732&gt;=2,Z874&gt;CK732),AND(Z874="ns",CK732=0,CJ732&gt;0),Z874=CK732),0,1)))</f>
        <v>0</v>
      </c>
    </row>
    <row r="733" spans="1:90" ht="15" customHeight="1">
      <c r="A733" s="176"/>
      <c r="B733" s="57"/>
      <c r="C733" s="1109"/>
      <c r="D733" s="954"/>
      <c r="E733" s="955"/>
      <c r="F733" s="955"/>
      <c r="G733" s="1110" t="s">
        <v>4821</v>
      </c>
      <c r="H733" s="1110"/>
      <c r="I733" s="178"/>
      <c r="J733" s="1111" t="s">
        <v>4822</v>
      </c>
      <c r="K733" s="1111"/>
      <c r="L733" s="1111"/>
      <c r="M733" s="1111"/>
      <c r="N733" s="1111"/>
      <c r="O733" s="1111"/>
      <c r="P733" s="1111"/>
      <c r="Q733" s="1111"/>
      <c r="R733" s="1111"/>
      <c r="S733" s="1111"/>
      <c r="T733" s="1111"/>
      <c r="U733" s="1112"/>
      <c r="V733" s="100"/>
      <c r="W733" s="100"/>
      <c r="X733" s="100"/>
      <c r="Y733" s="100"/>
      <c r="Z733" s="100"/>
      <c r="AA733" s="100"/>
      <c r="AB733" s="100"/>
      <c r="AC733" s="100"/>
      <c r="AD733" s="100"/>
      <c r="AF733"/>
      <c r="AG733">
        <f t="shared" si="335"/>
        <v>0</v>
      </c>
      <c r="AH733">
        <f t="shared" si="325"/>
        <v>0</v>
      </c>
      <c r="AK733">
        <f t="shared" si="326"/>
        <v>0</v>
      </c>
      <c r="AL733">
        <f t="shared" si="327"/>
        <v>0</v>
      </c>
      <c r="AM733">
        <f t="shared" si="328"/>
        <v>0</v>
      </c>
      <c r="AN733">
        <f t="shared" si="329"/>
        <v>0</v>
      </c>
      <c r="AO733">
        <f t="shared" si="330"/>
        <v>0</v>
      </c>
      <c r="AP733">
        <f t="shared" si="331"/>
        <v>0</v>
      </c>
      <c r="AQ733">
        <f t="shared" si="332"/>
        <v>0</v>
      </c>
      <c r="AR733">
        <f t="shared" si="333"/>
        <v>0</v>
      </c>
      <c r="AS733">
        <f t="shared" si="334"/>
        <v>0</v>
      </c>
      <c r="AT733">
        <f>COUNTIF(AA729:AA734,"NS")</f>
        <v>0</v>
      </c>
      <c r="AU733">
        <f>SUM(AA729:AA734)</f>
        <v>0</v>
      </c>
      <c r="AV733">
        <f>IF(COUNTA(AA728:AA734)=0,0,IF(OR(AND(AA728=0,AT733&gt;0),AND(AA728="ns",AU733&gt;0),AND(AA728="ns",AT733=0,AU733=0)),1,IF(OR(AND(AT733&gt;=2,AA728&gt;AU733),AND(AA728="ns",AU733=0,AT733&gt;0),AA728=AU733),0,1)))</f>
        <v>0</v>
      </c>
      <c r="AW733">
        <f>COUNTIF(AA740:AA744,"NS")</f>
        <v>0</v>
      </c>
      <c r="AX733">
        <f>SUM(AA740:AA744)</f>
        <v>0</v>
      </c>
      <c r="AY733">
        <f>IF(COUNTA(AA739:AA744)=0,0,IF(OR(AND(AA739=0,AW733&gt;0),AND(AA739="ns",AX733&gt;0),AND(AA739="ns",AW733=0,AX733=0)),1,IF(OR(AND(AW733&gt;=2,AA739&gt;AX733),AND(AA739="ns",AX733=0,AW733&gt;0),AA739=AX733),0,1)))</f>
        <v>0</v>
      </c>
      <c r="AZ733">
        <f>COUNTIF(AA749:AA766,"NS")</f>
        <v>0</v>
      </c>
      <c r="BA733">
        <f>SUM(AA749:AA766)</f>
        <v>0</v>
      </c>
      <c r="BB733">
        <f>IF(COUNTA(AA748:AA766)=0,0,IF(OR(AND(AA748=0,AZ733&gt;0),AND(AA748="ns",BA733&gt;0),AND(AA748="ns",AZ733=0,BA733=0)),1,IF(OR(AND(AZ733&gt;=2,AA748&gt;BA733),AND(AA748="ns",BA733=0,AZ733&gt;0),AA748=BA733),0,1)))</f>
        <v>0</v>
      </c>
      <c r="BC733">
        <f>COUNTIF(AA768:AA772,"NS")</f>
        <v>0</v>
      </c>
      <c r="BD733">
        <f>SUM(AA768:AA772)</f>
        <v>0</v>
      </c>
      <c r="BE733">
        <f>IF(COUNTA(AA767:AA772)=0,0,IF(OR(AND(AA767=0,BC733&gt;0),AND(AA767="ns",BD733&gt;0),AND(AA767="ns",BC733=0,BD733=0)),1,IF(OR(AND(BC733&gt;=2,AA767&gt;BD733),AND(AA767="ns",BD733=0,BC733&gt;0),AA767=BD733),0,1)))</f>
        <v>0</v>
      </c>
      <c r="BF733">
        <f>COUNTIF(AA776:AA778,"NS")</f>
        <v>0</v>
      </c>
      <c r="BG733">
        <f>SUM(AA776:AA778)</f>
        <v>0</v>
      </c>
      <c r="BH733">
        <f>IF(COUNTA(AA775:AA778)=0,0,IF(OR(AND(AA775=0,BF733&gt;0),AND(AA775="ns",BG733&gt;0),AND(AA775="ns",BF733=0,BG733=0)),1,IF(OR(AND(BF733&gt;=2,AA775&gt;BG733),AND(AA775="ns",BG733=0,BF733&gt;0),AA775=BG733),0,1)))</f>
        <v>0</v>
      </c>
      <c r="BI733">
        <f>COUNTIF(AA786:AA792,"NS")</f>
        <v>0</v>
      </c>
      <c r="BJ733">
        <f>SUM(AA786:AA792)</f>
        <v>0</v>
      </c>
      <c r="BK733">
        <f>IF(COUNTA(AA785:AA792)=0,0,IF(OR(AND(AA785=0,BI733&gt;0),AND(AA785="ns",BJ733&gt;0),AND(AA785="ns",BI733=0,BJ733=0)),1,IF(OR(AND(BI733&gt;=2,AA785&gt;BJ733),AND(AA785="ns",BJ733=0,BI733&gt;0),AA785=BJ733),0,1)))</f>
        <v>0</v>
      </c>
      <c r="BL733">
        <f>COUNTIF(AA794:AA798,"NS")</f>
        <v>0</v>
      </c>
      <c r="BM733">
        <f>SUM(AA794:AA798)</f>
        <v>0</v>
      </c>
      <c r="BN733">
        <f>IF(COUNTA(AA793:AA798)=0,0,IF(OR(AND(AA793=0,BL733&gt;0),AND(AA793="ns",BM733&gt;0),AND(AA793="ns",BL733=0,BM733=0)),1,IF(OR(AND(BL733&gt;=2,AA793&gt;BM733),AND(AA793="ns",BM733=0,BL733&gt;0),AA793=BM733),0,1)))</f>
        <v>0</v>
      </c>
      <c r="BO733">
        <f>COUNTIF(AA804:AA809,"NS")</f>
        <v>0</v>
      </c>
      <c r="BP733">
        <f>SUM(AA804:AA809)</f>
        <v>0</v>
      </c>
      <c r="BQ733">
        <f>IF(COUNTA(AA803:AA809)=0,0,IF(OR(AND(AA803=0,BO733&gt;0),AND(AA803="ns",BP733&gt;0),AND(AA803="ns",BO733=0,BP733=0)),1,IF(OR(AND(BO733&gt;=2,AA803&gt;BP733),AND(AA803="ns",BP733=0,BO733&gt;0),AA803=BP733),0,1)))</f>
        <v>0</v>
      </c>
      <c r="BR733">
        <f>COUNTIF(AA811:AA818,"NS")</f>
        <v>0</v>
      </c>
      <c r="BS733">
        <f>SUM(AA811:AA818)</f>
        <v>0</v>
      </c>
      <c r="BT733">
        <f>IF(COUNTA(AA810:AA818)=0,0,IF(OR(AND(AA810=0,BR733&gt;0),AND(AA810="ns",BS733&gt;0),AND(AA810="ns",BR733=0,BS733=0)),1,IF(OR(AND(BR733&gt;=2,AA810&gt;BS733),AND(AA810="ns",BS733=0,BR733&gt;0),AA810=BS733),0,1)))</f>
        <v>0</v>
      </c>
      <c r="BU733">
        <f>COUNTIF(AA823:AA828,"NS")</f>
        <v>0</v>
      </c>
      <c r="BV733">
        <f>SUM(AA823:AA828)</f>
        <v>0</v>
      </c>
      <c r="BW733">
        <f>IF(COUNTA(AA822:AA828)=0,0,IF(OR(AND(AA822=0,BU733&gt;0),AND(AA822="ns",BV733&gt;0),AND(AA822="ns",BU733=0,BV733=0)),1,IF(OR(AND(BU733&gt;=2,AA822&gt;BV733),AND(AA822="ns",BV733=0,BU733&gt;0),AA822=BV733),0,1)))</f>
        <v>0</v>
      </c>
      <c r="BX733">
        <f>COUNTIF(AA833:AA841,"NS")</f>
        <v>0</v>
      </c>
      <c r="BY733">
        <f>SUM(AA833:AA841)</f>
        <v>0</v>
      </c>
      <c r="BZ733">
        <f>IF(COUNTA(AA832:AA841)=0,0,IF(OR(AND(AA832=0,BX733&gt;0),AND(AA832="ns",BY733&gt;0),AND(AA832="ns",BX733=0,BY733=0)),1,IF(OR(AND(BX733&gt;=2,AA832&gt;BY733),AND(AA832="ns",BY733=0,BX733&gt;0),AA832=BY733),0,1)))</f>
        <v>0</v>
      </c>
      <c r="CA733">
        <f>COUNTIF(AA843:AA845,"NS")</f>
        <v>0</v>
      </c>
      <c r="CB733">
        <f>SUM(AA843:AA845)</f>
        <v>0</v>
      </c>
      <c r="CC733">
        <f>IF(COUNTA(AA842:AA845)=0,0,IF(OR(AND(AA842=0,CA733&gt;0),AND(AA842="ns",CB733&gt;0),AND(AA842="ns",CA733=0,CB733=0)),1,IF(OR(AND(CA733&gt;=2,AA842&gt;CB733),AND(AA842="ns",CB733=0,CA733&gt;0),AA842=CB733),0,1)))</f>
        <v>0</v>
      </c>
      <c r="CD733">
        <f>COUNTIF(AA854:AA860,"NS")</f>
        <v>0</v>
      </c>
      <c r="CE733">
        <f>SUM(AA854:AA860)</f>
        <v>0</v>
      </c>
      <c r="CF733">
        <f>IF(COUNTA(AA853:AA860)=0,0,IF(OR(AND(AA853=0,CD733&gt;0),AND(AA853="ns",CE733&gt;0),AND(AA853="ns",CD733=0,CE733=0)),1,IF(OR(AND(CD733&gt;=2,AA853&gt;CE733),AND(AA853="ns",CE733=0,CD733&gt;0),AA853=CE733),0,1)))</f>
        <v>0</v>
      </c>
      <c r="CG733">
        <f>COUNTIF(AA863:AA865,"NS")</f>
        <v>0</v>
      </c>
      <c r="CH733">
        <f>SUM(AA863:AA865)</f>
        <v>0</v>
      </c>
      <c r="CI733">
        <f>IF(COUNTA(AA862:AA865)=0,0,IF(OR(AND(AA862=0,CG733&gt;0),AND(AA862="ns",CH733&gt;0),AND(AA862="ns",CG733=0,CH733=0)),1,IF(OR(AND(CG733&gt;=2,AA862&gt;CH733),AND(AA862="ns",CH733=0,CG733&gt;0),AA862=CH733),0,1)))</f>
        <v>0</v>
      </c>
      <c r="CJ733">
        <f>COUNTIF(AA875:AA879,"NS")</f>
        <v>0</v>
      </c>
      <c r="CK733">
        <f>SUM(AA875:AA879)</f>
        <v>0</v>
      </c>
      <c r="CL733">
        <f>IF(COUNTA(AA874:AA879)=0,0,IF(OR(AND(AA874=0,CJ733&gt;0),AND(AA874="ns",CK733&gt;0),AND(AA874="ns",CJ733=0,CK733=0)),1,IF(OR(AND(CJ733&gt;=2,AA874&gt;CK733),AND(AA874="ns",CK733=0,CJ733&gt;0),AA874=CK733),0,1)))</f>
        <v>0</v>
      </c>
    </row>
    <row r="734" spans="1:90" ht="15" customHeight="1">
      <c r="A734" s="176"/>
      <c r="B734" s="57"/>
      <c r="C734" s="1109"/>
      <c r="D734" s="954"/>
      <c r="E734" s="955"/>
      <c r="F734" s="955"/>
      <c r="G734" s="1110" t="s">
        <v>4823</v>
      </c>
      <c r="H734" s="1110"/>
      <c r="I734" s="179"/>
      <c r="J734" s="1113" t="s">
        <v>201</v>
      </c>
      <c r="K734" s="1113"/>
      <c r="L734" s="1113"/>
      <c r="M734" s="1113"/>
      <c r="N734" s="1113"/>
      <c r="O734" s="1113"/>
      <c r="P734" s="1113"/>
      <c r="Q734" s="1113"/>
      <c r="R734" s="1113"/>
      <c r="S734" s="1113"/>
      <c r="T734" s="1113"/>
      <c r="U734" s="1114"/>
      <c r="V734" s="100"/>
      <c r="W734" s="100"/>
      <c r="X734" s="100"/>
      <c r="Y734" s="100"/>
      <c r="Z734" s="100"/>
      <c r="AA734" s="100"/>
      <c r="AB734" s="100"/>
      <c r="AC734" s="100"/>
      <c r="AD734" s="100"/>
      <c r="AF734"/>
      <c r="AG734">
        <f t="shared" si="335"/>
        <v>0</v>
      </c>
      <c r="AH734">
        <f t="shared" si="325"/>
        <v>0</v>
      </c>
      <c r="AK734">
        <f t="shared" si="326"/>
        <v>0</v>
      </c>
      <c r="AL734">
        <f t="shared" si="327"/>
        <v>0</v>
      </c>
      <c r="AM734">
        <f t="shared" si="328"/>
        <v>0</v>
      </c>
      <c r="AN734">
        <f t="shared" si="329"/>
        <v>0</v>
      </c>
      <c r="AO734">
        <f t="shared" si="330"/>
        <v>0</v>
      </c>
      <c r="AP734">
        <f t="shared" si="331"/>
        <v>0</v>
      </c>
      <c r="AQ734">
        <f t="shared" si="332"/>
        <v>0</v>
      </c>
      <c r="AR734">
        <f t="shared" si="333"/>
        <v>0</v>
      </c>
      <c r="AS734">
        <f t="shared" si="334"/>
        <v>0</v>
      </c>
      <c r="AT734">
        <f>COUNTIF(AB729:AB734,"NS")</f>
        <v>0</v>
      </c>
      <c r="AU734">
        <f>SUM(AB729:AB734)</f>
        <v>0</v>
      </c>
      <c r="AV734">
        <f>IF(COUNTA(AB728:AB734)=0,0,IF(OR(AND(AB728=0,AT734&gt;0),AND(AB728="ns",AU734&gt;0),AND(AB728="ns",AT734=0,AU734=0)),1,IF(OR(AND(AT734&gt;=2,AB728&gt;AU734),AND(AB728="ns",AU734=0,AT734&gt;0),AB728=AU734),0,1)))</f>
        <v>0</v>
      </c>
      <c r="AW734">
        <f>COUNTIF(AB740:AB744,"NS")</f>
        <v>0</v>
      </c>
      <c r="AX734">
        <f>SUM(AB740:AB744)</f>
        <v>0</v>
      </c>
      <c r="AY734">
        <f>IF(COUNTA(AB739:AB744)=0,0,IF(OR(AND(AB739=0,AW734&gt;0),AND(AB739="ns",AX734&gt;0),AND(AB739="ns",AW734=0,AX734=0)),1,IF(OR(AND(AW734&gt;=2,AB739&gt;AX734),AND(AB739="ns",AX734=0,AW734&gt;0),AB739=AX734),0,1)))</f>
        <v>0</v>
      </c>
      <c r="AZ734">
        <f>COUNTIF(AB749:AB766,"NS")</f>
        <v>0</v>
      </c>
      <c r="BA734">
        <f>SUM(AB749:AB766)</f>
        <v>0</v>
      </c>
      <c r="BB734">
        <f>IF(COUNTA(AB748:AB766)=0,0,IF(OR(AND(AB748=0,AZ734&gt;0),AND(AB748="ns",BA734&gt;0),AND(AB748="ns",AZ734=0,BA734=0)),1,IF(OR(AND(AZ734&gt;=2,AB748&gt;BA734),AND(AB748="ns",BA734=0,AZ734&gt;0),AB748=BA734),0,1)))</f>
        <v>0</v>
      </c>
      <c r="BC734">
        <f>COUNTIF(AB768:AB772,"NS")</f>
        <v>0</v>
      </c>
      <c r="BD734">
        <f>SUM(AB768:AB772)</f>
        <v>0</v>
      </c>
      <c r="BE734">
        <f>IF(COUNTA(AB767:AB772)=0,0,IF(OR(AND(AB767=0,BC734&gt;0),AND(AB767="ns",BD734&gt;0),AND(AB767="ns",BC734=0,BD734=0)),1,IF(OR(AND(BC734&gt;=2,AB767&gt;BD734),AND(AB767="ns",BD734=0,BC734&gt;0),AB767=BD734),0,1)))</f>
        <v>0</v>
      </c>
      <c r="BF734">
        <f>COUNTIF(AB776:AB778,"NS")</f>
        <v>0</v>
      </c>
      <c r="BG734">
        <f>SUM(AB776:AB778)</f>
        <v>0</v>
      </c>
      <c r="BH734">
        <f>IF(COUNTA(AB775:AB778)=0,0,IF(OR(AND(AB775=0,BF734&gt;0),AND(AB775="ns",BG734&gt;0),AND(AB775="ns",BF734=0,BG734=0)),1,IF(OR(AND(BF734&gt;=2,AB775&gt;BG734),AND(AB775="ns",BG734=0,BF734&gt;0),AB775=BG734),0,1)))</f>
        <v>0</v>
      </c>
      <c r="BI734">
        <f>COUNTIF(AB786:AB792,"NS")</f>
        <v>0</v>
      </c>
      <c r="BJ734">
        <f>SUM(AB786:AB792)</f>
        <v>0</v>
      </c>
      <c r="BK734">
        <f>IF(COUNTA(AB785:AB792)=0,0,IF(OR(AND(AB785=0,BI734&gt;0),AND(AB785="ns",BJ734&gt;0),AND(AB785="ns",BI734=0,BJ734=0)),1,IF(OR(AND(BI734&gt;=2,AB785&gt;BJ734),AND(AB785="ns",BJ734=0,BI734&gt;0),AB785=BJ734),0,1)))</f>
        <v>0</v>
      </c>
      <c r="BL734">
        <f>COUNTIF(AB794:AB798,"NS")</f>
        <v>0</v>
      </c>
      <c r="BM734">
        <f>SUM(AB794:AB798)</f>
        <v>0</v>
      </c>
      <c r="BN734">
        <f>IF(COUNTA(AB793:AB798)=0,0,IF(OR(AND(AB793=0,BL734&gt;0),AND(AB793="ns",BM734&gt;0),AND(AB793="ns",BL734=0,BM734=0)),1,IF(OR(AND(BL734&gt;=2,AB793&gt;BM734),AND(AB793="ns",BM734=0,BL734&gt;0),AB793=BM734),0,1)))</f>
        <v>0</v>
      </c>
      <c r="BO734">
        <f>COUNTIF(AB804:AB809,"NS")</f>
        <v>0</v>
      </c>
      <c r="BP734">
        <f>SUM(AB804:AB809)</f>
        <v>0</v>
      </c>
      <c r="BQ734">
        <f>IF(COUNTA(AB803:AB809)=0,0,IF(OR(AND(AB803=0,BO734&gt;0),AND(AB803="ns",BP734&gt;0),AND(AB803="ns",BO734=0,BP734=0)),1,IF(OR(AND(BO734&gt;=2,AB803&gt;BP734),AND(AB803="ns",BP734=0,BO734&gt;0),AB803=BP734),0,1)))</f>
        <v>0</v>
      </c>
      <c r="BR734">
        <f>COUNTIF(AB811:AB818,"NS")</f>
        <v>0</v>
      </c>
      <c r="BS734">
        <f>SUM(AB811:AB818)</f>
        <v>0</v>
      </c>
      <c r="BT734">
        <f>IF(COUNTA(AB810:AB818)=0,0,IF(OR(AND(AB810=0,BR734&gt;0),AND(AB810="ns",BS734&gt;0),AND(AB810="ns",BR734=0,BS734=0)),1,IF(OR(AND(BR734&gt;=2,AB810&gt;BS734),AND(AB810="ns",BS734=0,BR734&gt;0),AB810=BS734),0,1)))</f>
        <v>0</v>
      </c>
      <c r="BU734">
        <f>COUNTIF(AB823:AB828,"NS")</f>
        <v>0</v>
      </c>
      <c r="BV734">
        <f>SUM(AB823:AB828)</f>
        <v>0</v>
      </c>
      <c r="BW734">
        <f>IF(COUNTA(AB822:AB828)=0,0,IF(OR(AND(AB822=0,BU734&gt;0),AND(AB822="ns",BV734&gt;0),AND(AB822="ns",BU734=0,BV734=0)),1,IF(OR(AND(BU734&gt;=2,AB822&gt;BV734),AND(AB822="ns",BV734=0,BU734&gt;0),AB822=BV734),0,1)))</f>
        <v>0</v>
      </c>
      <c r="BX734">
        <f>COUNTIF(AB833:AB841,"NS")</f>
        <v>0</v>
      </c>
      <c r="BY734">
        <f>SUM(AB833:AB841)</f>
        <v>0</v>
      </c>
      <c r="BZ734">
        <f>IF(COUNTA(AB832:AB841)=0,0,IF(OR(AND(AB832=0,BX734&gt;0),AND(AB832="ns",BY734&gt;0),AND(AB832="ns",BX734=0,BY734=0)),1,IF(OR(AND(BX734&gt;=2,AB832&gt;BY734),AND(AB832="ns",BY734=0,BX734&gt;0),AB832=BY734),0,1)))</f>
        <v>0</v>
      </c>
      <c r="CA734">
        <f>COUNTIF(AB843:AB845,"NS")</f>
        <v>0</v>
      </c>
      <c r="CB734">
        <f>SUM(AB843:AB845)</f>
        <v>0</v>
      </c>
      <c r="CC734">
        <f>IF(COUNTA(AB842:AB845)=0,0,IF(OR(AND(AB842=0,CA734&gt;0),AND(AB842="ns",CB734&gt;0),AND(AB842="ns",CA734=0,CB734=0)),1,IF(OR(AND(CA734&gt;=2,AB842&gt;CB734),AND(AB842="ns",CB734=0,CA734&gt;0),AB842=CB734),0,1)))</f>
        <v>0</v>
      </c>
      <c r="CD734">
        <f>COUNTIF(AB854:AB860,"NS")</f>
        <v>0</v>
      </c>
      <c r="CE734">
        <f>SUM(AB854:AB860)</f>
        <v>0</v>
      </c>
      <c r="CF734">
        <f>IF(COUNTA(AB853:AB860)=0,0,IF(OR(AND(AB853=0,CD734&gt;0),AND(AB853="ns",CE734&gt;0),AND(AB853="ns",CD734=0,CE734=0)),1,IF(OR(AND(CD734&gt;=2,AB853&gt;CE734),AND(AB853="ns",CE734=0,CD734&gt;0),AB853=CE734),0,1)))</f>
        <v>0</v>
      </c>
      <c r="CG734">
        <f>COUNTIF(AB863:AB865,"NS")</f>
        <v>0</v>
      </c>
      <c r="CH734">
        <f>SUM(AB863:AB865)</f>
        <v>0</v>
      </c>
      <c r="CI734">
        <f>IF(COUNTA(AB862:AB865)=0,0,IF(OR(AND(AB862=0,CG734&gt;0),AND(AB862="ns",CH734&gt;0),AND(AB862="ns",CG734=0,CH734=0)),1,IF(OR(AND(CG734&gt;=2,AB862&gt;CH734),AND(AB862="ns",CH734=0,CG734&gt;0),AB862=CH734),0,1)))</f>
        <v>0</v>
      </c>
      <c r="CJ734">
        <f>COUNTIF(AB875:AB879,"NS")</f>
        <v>0</v>
      </c>
      <c r="CK734">
        <f>SUM(AB875:AB879)</f>
        <v>0</v>
      </c>
      <c r="CL734">
        <f>IF(COUNTA(AB874:AB879)=0,0,IF(OR(AND(AB874=0,CJ734&gt;0),AND(AB874="ns",CK734&gt;0),AND(AB874="ns",CJ734=0,CK734=0)),1,IF(OR(AND(CJ734&gt;=2,AB874&gt;CK734),AND(AB874="ns",CK734=0,CJ734&gt;0),AB874=CK734),0,1)))</f>
        <v>0</v>
      </c>
    </row>
    <row r="735" spans="1:90" ht="15" customHeight="1">
      <c r="A735" s="176"/>
      <c r="B735" s="57"/>
      <c r="C735" s="1109"/>
      <c r="D735" s="954"/>
      <c r="E735" s="955"/>
      <c r="F735" s="955"/>
      <c r="G735" s="1103" t="s">
        <v>4824</v>
      </c>
      <c r="H735" s="1103"/>
      <c r="I735" s="1104" t="s">
        <v>4825</v>
      </c>
      <c r="J735" s="1105"/>
      <c r="K735" s="1105"/>
      <c r="L735" s="1105"/>
      <c r="M735" s="1105"/>
      <c r="N735" s="1105"/>
      <c r="O735" s="1105"/>
      <c r="P735" s="1105"/>
      <c r="Q735" s="1105"/>
      <c r="R735" s="1105"/>
      <c r="S735" s="1105"/>
      <c r="T735" s="1105"/>
      <c r="U735" s="1106"/>
      <c r="V735" s="100"/>
      <c r="W735" s="100"/>
      <c r="X735" s="100"/>
      <c r="Y735" s="100"/>
      <c r="Z735" s="100"/>
      <c r="AA735" s="100"/>
      <c r="AB735" s="100"/>
      <c r="AC735" s="100"/>
      <c r="AD735" s="100"/>
      <c r="AF735"/>
      <c r="AG735">
        <f t="shared" si="335"/>
        <v>0</v>
      </c>
      <c r="AH735">
        <f t="shared" si="325"/>
        <v>0</v>
      </c>
      <c r="AJ735">
        <f>IF(OR(V735="NS",V735="NA",$V$715=0,$V$715="NS",$V$715="NA"),0,IF((V735*(IFERROR(100/SUM(V723:V735),0)))&gt;25,1,0))</f>
        <v>0</v>
      </c>
      <c r="AK735">
        <f t="shared" si="326"/>
        <v>0</v>
      </c>
      <c r="AL735">
        <f t="shared" si="327"/>
        <v>0</v>
      </c>
      <c r="AM735">
        <f t="shared" si="328"/>
        <v>0</v>
      </c>
      <c r="AN735">
        <f t="shared" si="329"/>
        <v>0</v>
      </c>
      <c r="AO735">
        <f t="shared" si="330"/>
        <v>0</v>
      </c>
      <c r="AP735">
        <f t="shared" si="331"/>
        <v>0</v>
      </c>
      <c r="AQ735">
        <f t="shared" si="332"/>
        <v>0</v>
      </c>
      <c r="AR735">
        <f t="shared" si="333"/>
        <v>0</v>
      </c>
      <c r="AS735">
        <f t="shared" si="334"/>
        <v>0</v>
      </c>
      <c r="AT735">
        <f>COUNTIF(AC729:AC734,"NS")</f>
        <v>0</v>
      </c>
      <c r="AU735">
        <f>SUM(AC729:AC734)</f>
        <v>0</v>
      </c>
      <c r="AV735">
        <f>IF(COUNTA(AC728:AC734)=0,0,IF(OR(AND(AC728=0,AT735&gt;0),AND(AC728="ns",AU735&gt;0),AND(AC728="ns",AT735=0,AU735=0)),1,IF(OR(AND(AT735&gt;=2,AC728&gt;AU735),AND(AC728="ns",AU735=0,AT735&gt;0),AC728=AU735),0,1)))</f>
        <v>0</v>
      </c>
      <c r="AW735">
        <f>COUNTIF(AC740:AC744,"NS")</f>
        <v>0</v>
      </c>
      <c r="AX735">
        <f>SUM(AC740:AC744)</f>
        <v>0</v>
      </c>
      <c r="AY735">
        <f>IF(COUNTA(AC739:AC744)=0,0,IF(OR(AND(AC739=0,AW735&gt;0),AND(AC739="ns",AX735&gt;0),AND(AC739="ns",AW735=0,AX735=0)),1,IF(OR(AND(AW735&gt;=2,AC739&gt;AX735),AND(AC739="ns",AX735=0,AW735&gt;0),AC739=AX735),0,1)))</f>
        <v>0</v>
      </c>
      <c r="AZ735">
        <f>COUNTIF(AC749:AC766,"NS")</f>
        <v>0</v>
      </c>
      <c r="BA735">
        <f>SUM(AC749:AC766)</f>
        <v>0</v>
      </c>
      <c r="BB735">
        <f>IF(COUNTA(AC748:AC766)=0,0,IF(OR(AND(AC748=0,AZ735&gt;0),AND(AC748="ns",BA735&gt;0),AND(AC748="ns",AZ735=0,BA735=0)),1,IF(OR(AND(AZ735&gt;=2,AC748&gt;BA735),AND(AC748="ns",BA735=0,AZ735&gt;0),AC748=BA735),0,1)))</f>
        <v>0</v>
      </c>
      <c r="BC735">
        <f>COUNTIF(AC768:AC772,"NS")</f>
        <v>0</v>
      </c>
      <c r="BD735">
        <f>SUM(AC768:AC772)</f>
        <v>0</v>
      </c>
      <c r="BE735">
        <f>IF(COUNTA(AC767:AC772)=0,0,IF(OR(AND(AC767=0,BC735&gt;0),AND(AC767="ns",BD735&gt;0),AND(AC767="ns",BC735=0,BD735=0)),1,IF(OR(AND(BC735&gt;=2,AC767&gt;BD735),AND(AC767="ns",BD735=0,BC735&gt;0),AC767=BD735),0,1)))</f>
        <v>0</v>
      </c>
      <c r="BF735">
        <f>COUNTIF(AC776:AC778,"NS")</f>
        <v>0</v>
      </c>
      <c r="BG735">
        <f>SUM(AC776:AC778)</f>
        <v>0</v>
      </c>
      <c r="BH735">
        <f>IF(COUNTA(AC775:AC778)=0,0,IF(OR(AND(AC775=0,BF735&gt;0),AND(AC775="ns",BG735&gt;0),AND(AC775="ns",BF735=0,BG735=0)),1,IF(OR(AND(BF735&gt;=2,AC775&gt;BG735),AND(AC775="ns",BG735=0,BF735&gt;0),AC775=BG735),0,1)))</f>
        <v>0</v>
      </c>
      <c r="BI735">
        <f>COUNTIF(AC786:AC792,"NS")</f>
        <v>0</v>
      </c>
      <c r="BJ735">
        <f>SUM(AC786:AC792)</f>
        <v>0</v>
      </c>
      <c r="BK735">
        <f>IF(COUNTA(AC785:AC792)=0,0,IF(OR(AND(AC785=0,BI735&gt;0),AND(AC785="ns",BJ735&gt;0),AND(AC785="ns",BI735=0,BJ735=0)),1,IF(OR(AND(BI735&gt;=2,AC785&gt;BJ735),AND(AC785="ns",BJ735=0,BI735&gt;0),AC785=BJ735),0,1)))</f>
        <v>0</v>
      </c>
      <c r="BL735">
        <f>COUNTIF(AC794:AC798,"NS")</f>
        <v>0</v>
      </c>
      <c r="BM735">
        <f>SUM(AC794:AC798)</f>
        <v>0</v>
      </c>
      <c r="BN735">
        <f>IF(COUNTA(AC793:AC798)=0,0,IF(OR(AND(AC793=0,BL735&gt;0),AND(AC793="ns",BM735&gt;0),AND(AC793="ns",BL735=0,BM735=0)),1,IF(OR(AND(BL735&gt;=2,AC793&gt;BM735),AND(AC793="ns",BM735=0,BL735&gt;0),AC793=BM735),0,1)))</f>
        <v>0</v>
      </c>
      <c r="BO735">
        <f>COUNTIF(AC804:AC809,"NS")</f>
        <v>0</v>
      </c>
      <c r="BP735">
        <f>SUM(AC804:AC809)</f>
        <v>0</v>
      </c>
      <c r="BQ735">
        <f>IF(COUNTA(AC803:AC809)=0,0,IF(OR(AND(AC803=0,BO735&gt;0),AND(AC803="ns",BP735&gt;0),AND(AC803="ns",BO735=0,BP735=0)),1,IF(OR(AND(BO735&gt;=2,AC803&gt;BP735),AND(AC803="ns",BP735=0,BO735&gt;0),AC803=BP735),0,1)))</f>
        <v>0</v>
      </c>
      <c r="BR735">
        <f>COUNTIF(AC811:AC818,"NS")</f>
        <v>0</v>
      </c>
      <c r="BS735">
        <f>SUM(AC811:AC818)</f>
        <v>0</v>
      </c>
      <c r="BT735">
        <f>IF(COUNTA(AC810:AC818)=0,0,IF(OR(AND(AC810=0,BR735&gt;0),AND(AC810="ns",BS735&gt;0),AND(AC810="ns",BR735=0,BS735=0)),1,IF(OR(AND(BR735&gt;=2,AC810&gt;BS735),AND(AC810="ns",BS735=0,BR735&gt;0),AC810=BS735),0,1)))</f>
        <v>0</v>
      </c>
      <c r="BU735">
        <f>COUNTIF(AC823:AC828,"NS")</f>
        <v>0</v>
      </c>
      <c r="BV735">
        <f>SUM(AC823:AC828)</f>
        <v>0</v>
      </c>
      <c r="BW735">
        <f>IF(COUNTA(AC822:AC828)=0,0,IF(OR(AND(AC822=0,BU735&gt;0),AND(AC822="ns",BV735&gt;0),AND(AC822="ns",BU735=0,BV735=0)),1,IF(OR(AND(BU735&gt;=2,AC822&gt;BV735),AND(AC822="ns",BV735=0,BU735&gt;0),AC822=BV735),0,1)))</f>
        <v>0</v>
      </c>
      <c r="BX735">
        <f>COUNTIF(AC833:AC841,"NS")</f>
        <v>0</v>
      </c>
      <c r="BY735">
        <f>SUM(AC833:AC841)</f>
        <v>0</v>
      </c>
      <c r="BZ735">
        <f>IF(COUNTA(AC832:AC841)=0,0,IF(OR(AND(AC832=0,BX735&gt;0),AND(AC832="ns",BY735&gt;0),AND(AC832="ns",BX735=0,BY735=0)),1,IF(OR(AND(BX735&gt;=2,AC832&gt;BY735),AND(AC832="ns",BY735=0,BX735&gt;0),AC832=BY735),0,1)))</f>
        <v>0</v>
      </c>
      <c r="CA735">
        <f>COUNTIF(AC843:AC845,"NS")</f>
        <v>0</v>
      </c>
      <c r="CB735">
        <f>SUM(AC843:AC845)</f>
        <v>0</v>
      </c>
      <c r="CC735">
        <f>IF(COUNTA(AC842:AC845)=0,0,IF(OR(AND(AC842=0,CA735&gt;0),AND(AC842="ns",CB735&gt;0),AND(AC842="ns",CA735=0,CB735=0)),1,IF(OR(AND(CA735&gt;=2,AC842&gt;CB735),AND(AC842="ns",CB735=0,CA735&gt;0),AC842=CB735),0,1)))</f>
        <v>0</v>
      </c>
      <c r="CD735">
        <f>COUNTIF(AC854:AC860,"NS")</f>
        <v>0</v>
      </c>
      <c r="CE735">
        <f>SUM(AC854:AC860)</f>
        <v>0</v>
      </c>
      <c r="CF735">
        <f>IF(COUNTA(AC853:AC860)=0,0,IF(OR(AND(AC853=0,CD735&gt;0),AND(AC853="ns",CE735&gt;0),AND(AC853="ns",CD735=0,CE735=0)),1,IF(OR(AND(CD735&gt;=2,AC853&gt;CE735),AND(AC853="ns",CE735=0,CD735&gt;0),AC853=CE735),0,1)))</f>
        <v>0</v>
      </c>
      <c r="CG735">
        <f>COUNTIF(AC863:AC865,"NS")</f>
        <v>0</v>
      </c>
      <c r="CH735">
        <f>SUM(AC863:AC865)</f>
        <v>0</v>
      </c>
      <c r="CI735">
        <f>IF(COUNTA(AC862:AC865)=0,0,IF(OR(AND(AC862=0,CG735&gt;0),AND(AC862="ns",CH735&gt;0),AND(AC862="ns",CG735=0,CH735=0)),1,IF(OR(AND(CG735&gt;=2,AC862&gt;CH735),AND(AC862="ns",CH735=0,CG735&gt;0),AC862=CH735),0,1)))</f>
        <v>0</v>
      </c>
      <c r="CJ735">
        <f>COUNTIF(AC875:AC879,"NS")</f>
        <v>0</v>
      </c>
      <c r="CK735">
        <f>SUM(AC875:AC879)</f>
        <v>0</v>
      </c>
      <c r="CL735">
        <f>IF(COUNTA(AC874:AC879)=0,0,IF(OR(AND(AC874=0,CJ735&gt;0),AND(AC874="ns",CK735&gt;0),AND(AC874="ns",CJ735=0,CK735=0)),1,IF(OR(AND(CJ735&gt;=2,AC874&gt;CK735),AND(AC874="ns",CK735=0,CJ735&gt;0),AC874=CK735),0,1)))</f>
        <v>0</v>
      </c>
    </row>
    <row r="736" spans="1:90" ht="15" customHeight="1">
      <c r="A736" s="176"/>
      <c r="B736" s="57"/>
      <c r="C736" s="1108" t="s">
        <v>4826</v>
      </c>
      <c r="D736" s="847" t="s">
        <v>4827</v>
      </c>
      <c r="E736" s="953"/>
      <c r="F736" s="848"/>
      <c r="G736" s="1103" t="s">
        <v>4828</v>
      </c>
      <c r="H736" s="1103"/>
      <c r="I736" s="1104" t="s">
        <v>4829</v>
      </c>
      <c r="J736" s="1105"/>
      <c r="K736" s="1105"/>
      <c r="L736" s="1105"/>
      <c r="M736" s="1105"/>
      <c r="N736" s="1105"/>
      <c r="O736" s="1105"/>
      <c r="P736" s="1105"/>
      <c r="Q736" s="1105"/>
      <c r="R736" s="1105"/>
      <c r="S736" s="1105"/>
      <c r="T736" s="1105"/>
      <c r="U736" s="1106"/>
      <c r="V736" s="100"/>
      <c r="W736" s="100"/>
      <c r="X736" s="100"/>
      <c r="Y736" s="100"/>
      <c r="Z736" s="100"/>
      <c r="AA736" s="100"/>
      <c r="AB736" s="100"/>
      <c r="AC736" s="100"/>
      <c r="AD736" s="100"/>
      <c r="AF736"/>
      <c r="AG736">
        <f t="shared" si="335"/>
        <v>0</v>
      </c>
      <c r="AH736">
        <f t="shared" si="325"/>
        <v>0</v>
      </c>
      <c r="AK736">
        <f t="shared" si="326"/>
        <v>0</v>
      </c>
      <c r="AL736">
        <f t="shared" si="327"/>
        <v>0</v>
      </c>
      <c r="AM736">
        <f t="shared" si="328"/>
        <v>0</v>
      </c>
      <c r="AN736">
        <f t="shared" si="329"/>
        <v>0</v>
      </c>
      <c r="AO736">
        <f t="shared" si="330"/>
        <v>0</v>
      </c>
      <c r="AP736">
        <f t="shared" si="331"/>
        <v>0</v>
      </c>
      <c r="AQ736">
        <f t="shared" si="332"/>
        <v>0</v>
      </c>
      <c r="AR736">
        <f t="shared" si="333"/>
        <v>0</v>
      </c>
      <c r="AS736">
        <f t="shared" si="334"/>
        <v>0</v>
      </c>
      <c r="AT736">
        <f>COUNTIF(AD729:AD734,"NS")</f>
        <v>0</v>
      </c>
      <c r="AU736">
        <f>SUM(AD729:AD734)</f>
        <v>0</v>
      </c>
      <c r="AV736">
        <f>IF(COUNTA(AD728:AD734)=0,0,IF(OR(AND(AD728=0,AT736&gt;0),AND(AD728="ns",AU736&gt;0),AND(AD728="ns",AT736=0,AU736=0)),1,IF(OR(AND(AT736&gt;=2,AD728&gt;AU736),AND(AD728="ns",AU736=0,AT736&gt;0),AD728=AU736),0,1)))</f>
        <v>0</v>
      </c>
      <c r="AW736">
        <f>COUNTIF(AD740:AD744,"NS")</f>
        <v>0</v>
      </c>
      <c r="AX736">
        <f>SUM(AD740:AD744)</f>
        <v>0</v>
      </c>
      <c r="AY736">
        <f>IF(COUNTA(AD739:AD744)=0,0,IF(OR(AND(AD739=0,AW736&gt;0),AND(AD739="ns",AX736&gt;0),AND(AD739="ns",AW736=0,AX736=0)),1,IF(OR(AND(AW736&gt;=2,AD739&gt;AX736),AND(AD739="ns",AX736=0,AW736&gt;0),AD739=AX736),0,1)))</f>
        <v>0</v>
      </c>
      <c r="AZ736">
        <f>COUNTIF(AD749:AD766,"NS")</f>
        <v>0</v>
      </c>
      <c r="BA736">
        <f>SUM(AD749:AD766)</f>
        <v>0</v>
      </c>
      <c r="BB736">
        <f>IF(COUNTA(AD748:AD766)=0,0,IF(OR(AND(AD748=0,AZ736&gt;0),AND(AD748="ns",BA736&gt;0),AND(AD748="ns",AZ736=0,BA736=0)),1,IF(OR(AND(AZ736&gt;=2,AD748&gt;BA736),AND(AD748="ns",BA736=0,AZ736&gt;0),AD748=BA736),0,1)))</f>
        <v>0</v>
      </c>
      <c r="BC736">
        <f>COUNTIF(AD768:AD772,"NS")</f>
        <v>0</v>
      </c>
      <c r="BD736">
        <f>SUM(AD768:AD772)</f>
        <v>0</v>
      </c>
      <c r="BE736">
        <f>IF(COUNTA(AD767:AD772)=0,0,IF(OR(AND(AD767=0,BC736&gt;0),AND(AD767="ns",BD736&gt;0),AND(AD767="ns",BC736=0,BD736=0)),1,IF(OR(AND(BC736&gt;=2,AD767&gt;BD736),AND(AD767="ns",BD736=0,BC736&gt;0),AD767=BD736),0,1)))</f>
        <v>0</v>
      </c>
      <c r="BF736">
        <f>COUNTIF(AD776:AD778,"NS")</f>
        <v>0</v>
      </c>
      <c r="BG736">
        <f>SUM(AD776:AD778)</f>
        <v>0</v>
      </c>
      <c r="BH736">
        <f>IF(COUNTA(AD775:AD778)=0,0,IF(OR(AND(AD775=0,BF736&gt;0),AND(AD775="ns",BG736&gt;0),AND(AD775="ns",BF736=0,BG736=0)),1,IF(OR(AND(BF736&gt;=2,AD775&gt;BG736),AND(AD775="ns",BG736=0,BF736&gt;0),AD775=BG736),0,1)))</f>
        <v>0</v>
      </c>
      <c r="BI736">
        <f>COUNTIF(AD786:AD792,"NS")</f>
        <v>0</v>
      </c>
      <c r="BJ736">
        <f>SUM(AD786:AD792)</f>
        <v>0</v>
      </c>
      <c r="BK736">
        <f>IF(COUNTA(AD785:AD792)=0,0,IF(OR(AND(AD785=0,BI736&gt;0),AND(AD785="ns",BJ736&gt;0),AND(AD785="ns",BI736=0,BJ736=0)),1,IF(OR(AND(BI736&gt;=2,AD785&gt;BJ736),AND(AD785="ns",BJ736=0,BI736&gt;0),AD785=BJ736),0,1)))</f>
        <v>0</v>
      </c>
      <c r="BL736">
        <f>COUNTIF(AD794:AD798,"NS")</f>
        <v>0</v>
      </c>
      <c r="BM736">
        <f>SUM(AD794:AD798)</f>
        <v>0</v>
      </c>
      <c r="BN736">
        <f>IF(COUNTA(AD793:AD798)=0,0,IF(OR(AND(AD793=0,BL736&gt;0),AND(AD793="ns",BM736&gt;0),AND(AD793="ns",BL736=0,BM736=0)),1,IF(OR(AND(BL736&gt;=2,AD793&gt;BM736),AND(AD793="ns",BM736=0,BL736&gt;0),AD793=BM736),0,1)))</f>
        <v>0</v>
      </c>
      <c r="BO736">
        <f>COUNTIF(AD804:AD809,"NS")</f>
        <v>0</v>
      </c>
      <c r="BP736">
        <f>SUM(AD804:AD809)</f>
        <v>0</v>
      </c>
      <c r="BQ736">
        <f>IF(COUNTA(AD803:AD809)=0,0,IF(OR(AND(AD803=0,BO736&gt;0),AND(AD803="ns",BP736&gt;0),AND(AD803="ns",BO736=0,BP736=0)),1,IF(OR(AND(BO736&gt;=2,AD803&gt;BP736),AND(AD803="ns",BP736=0,BO736&gt;0),AD803=BP736),0,1)))</f>
        <v>0</v>
      </c>
      <c r="BR736">
        <f>COUNTIF(AD811:AD818,"NS")</f>
        <v>0</v>
      </c>
      <c r="BS736">
        <f>SUM(AD811:AD818)</f>
        <v>0</v>
      </c>
      <c r="BT736">
        <f>IF(COUNTA(AD810:AD818)=0,0,IF(OR(AND(AD810=0,BR736&gt;0),AND(AD810="ns",BS736&gt;0),AND(AD810="ns",BR736=0,BS736=0)),1,IF(OR(AND(BR736&gt;=2,AD810&gt;BS736),AND(AD810="ns",BS736=0,BR736&gt;0),AD810=BS736),0,1)))</f>
        <v>0</v>
      </c>
      <c r="BU736">
        <f>COUNTIF(AD823:AD828,"NS")</f>
        <v>0</v>
      </c>
      <c r="BV736">
        <f>SUM(AD823:AD828)</f>
        <v>0</v>
      </c>
      <c r="BW736">
        <f>IF(COUNTA(AD822:AD828)=0,0,IF(OR(AND(AD822=0,BU736&gt;0),AND(AD822="ns",BV736&gt;0),AND(AD822="ns",BU736=0,BV736=0)),1,IF(OR(AND(BU736&gt;=2,AD822&gt;BV736),AND(AD822="ns",BV736=0,BU736&gt;0),AD822=BV736),0,1)))</f>
        <v>0</v>
      </c>
      <c r="BX736">
        <f>COUNTIF(AD833:AD841,"NS")</f>
        <v>0</v>
      </c>
      <c r="BY736">
        <f>SUM(AD833:AD841)</f>
        <v>0</v>
      </c>
      <c r="BZ736">
        <f>IF(COUNTA(AD832:AD841)=0,0,IF(OR(AND(AD832=0,BX736&gt;0),AND(AD832="ns",BY736&gt;0),AND(AD832="ns",BX736=0,BY736=0)),1,IF(OR(AND(BX736&gt;=2,AD832&gt;BY736),AND(AD832="ns",BY736=0,BX736&gt;0),AD832=BY736),0,1)))</f>
        <v>0</v>
      </c>
      <c r="CA736">
        <f>COUNTIF(AD843:AD845,"NS")</f>
        <v>0</v>
      </c>
      <c r="CB736">
        <f>SUM(AD843:AD845)</f>
        <v>0</v>
      </c>
      <c r="CC736">
        <f>IF(COUNTA(AD842:AD845)=0,0,IF(OR(AND(AD842=0,CA736&gt;0),AND(AD842="ns",CB736&gt;0),AND(AD842="ns",CA736=0,CB736=0)),1,IF(OR(AND(CA736&gt;=2,AD842&gt;CB736),AND(AD842="ns",CB736=0,CA736&gt;0),AD842=CB736),0,1)))</f>
        <v>0</v>
      </c>
      <c r="CD736">
        <f>COUNTIF(AD854:AD860,"NS")</f>
        <v>0</v>
      </c>
      <c r="CE736">
        <f>SUM(AD854:AD860)</f>
        <v>0</v>
      </c>
      <c r="CF736">
        <f>IF(COUNTA(AD853:AD860)=0,0,IF(OR(AND(AD853=0,CD736&gt;0),AND(AD853="ns",CE736&gt;0),AND(AD853="ns",CD736=0,CE736=0)),1,IF(OR(AND(CD736&gt;=2,AD853&gt;CE736),AND(AD853="ns",CE736=0,CD736&gt;0),AD853=CE736),0,1)))</f>
        <v>0</v>
      </c>
      <c r="CG736">
        <f>COUNTIF(AD863:AD865,"NS")</f>
        <v>0</v>
      </c>
      <c r="CH736">
        <f>SUM(AD863:AD865)</f>
        <v>0</v>
      </c>
      <c r="CI736">
        <f>IF(COUNTA(AD862:AD865)=0,0,IF(OR(AND(AD862=0,CG736&gt;0),AND(AD862="ns",CH736&gt;0),AND(AD862="ns",CG736=0,CH736=0)),1,IF(OR(AND(CG736&gt;=2,AD862&gt;CH736),AND(AD862="ns",CH736=0,CG736&gt;0),AD862=CH736),0,1)))</f>
        <v>0</v>
      </c>
      <c r="CJ736">
        <f>COUNTIF(AD875:AD879,"NS")</f>
        <v>0</v>
      </c>
      <c r="CK736">
        <f>SUM(AD875:AD879)</f>
        <v>0</v>
      </c>
      <c r="CL736">
        <f>IF(COUNTA(AD874:AD879)=0,0,IF(OR(AND(AD874=0,CJ736&gt;0),AND(AD874="ns",CK736&gt;0),AND(AD874="ns",CJ736=0,CK736=0)),1,IF(OR(AND(CJ736&gt;=2,AD874&gt;CK736),AND(AD874="ns",CK736=0,CJ736&gt;0),AD874=CK736),0,1)))</f>
        <v>0</v>
      </c>
    </row>
    <row r="737" spans="1:91" ht="15" customHeight="1">
      <c r="A737" s="176"/>
      <c r="B737" s="57"/>
      <c r="C737" s="1109"/>
      <c r="D737" s="954"/>
      <c r="E737" s="955"/>
      <c r="F737" s="956"/>
      <c r="G737" s="1103" t="s">
        <v>4830</v>
      </c>
      <c r="H737" s="1103"/>
      <c r="I737" s="1104" t="s">
        <v>4831</v>
      </c>
      <c r="J737" s="1105"/>
      <c r="K737" s="1105"/>
      <c r="L737" s="1105"/>
      <c r="M737" s="1105"/>
      <c r="N737" s="1105"/>
      <c r="O737" s="1105"/>
      <c r="P737" s="1105"/>
      <c r="Q737" s="1105"/>
      <c r="R737" s="1105"/>
      <c r="S737" s="1105"/>
      <c r="T737" s="1105"/>
      <c r="U737" s="1106"/>
      <c r="V737" s="100"/>
      <c r="W737" s="100"/>
      <c r="X737" s="100"/>
      <c r="Y737" s="100"/>
      <c r="Z737" s="100"/>
      <c r="AA737" s="100"/>
      <c r="AB737" s="100"/>
      <c r="AC737" s="100"/>
      <c r="AD737" s="100"/>
      <c r="AF737"/>
      <c r="AG737">
        <f t="shared" si="335"/>
        <v>0</v>
      </c>
      <c r="AH737">
        <f t="shared" si="325"/>
        <v>0</v>
      </c>
      <c r="AK737">
        <f t="shared" si="326"/>
        <v>0</v>
      </c>
      <c r="AL737">
        <f t="shared" si="327"/>
        <v>0</v>
      </c>
      <c r="AM737">
        <f t="shared" si="328"/>
        <v>0</v>
      </c>
      <c r="AN737">
        <f t="shared" si="329"/>
        <v>0</v>
      </c>
      <c r="AO737">
        <f t="shared" si="330"/>
        <v>0</v>
      </c>
      <c r="AP737">
        <f t="shared" si="331"/>
        <v>0</v>
      </c>
      <c r="AQ737">
        <f t="shared" si="332"/>
        <v>0</v>
      </c>
      <c r="AR737">
        <f t="shared" si="333"/>
        <v>0</v>
      </c>
      <c r="AS737">
        <f t="shared" si="334"/>
        <v>0</v>
      </c>
      <c r="AT737">
        <f>SUM(AT728:AT736)</f>
        <v>0</v>
      </c>
      <c r="AV737">
        <f>SUM(AV728:AV736)</f>
        <v>0</v>
      </c>
      <c r="AW737">
        <f>SUM(AW728:AW736)</f>
        <v>0</v>
      </c>
      <c r="AY737">
        <f>SUM(AY728:AY736)</f>
        <v>0</v>
      </c>
      <c r="AZ737">
        <f>SUM(AZ728:AZ736)</f>
        <v>0</v>
      </c>
      <c r="BB737">
        <f>SUM(BB728:BB736)</f>
        <v>0</v>
      </c>
      <c r="BC737">
        <f>SUM(BC728:BC736)</f>
        <v>0</v>
      </c>
      <c r="BE737">
        <f>SUM(BE728:BE736)</f>
        <v>0</v>
      </c>
      <c r="BF737">
        <f>SUM(BF728:BF736)</f>
        <v>0</v>
      </c>
      <c r="BH737">
        <f>SUM(BH728:BH736)</f>
        <v>0</v>
      </c>
      <c r="BI737">
        <f>SUM(BI728:BI736)</f>
        <v>0</v>
      </c>
      <c r="BK737">
        <f>SUM(BK728:BK736)</f>
        <v>0</v>
      </c>
      <c r="BL737">
        <f>SUM(BL728:BL736)</f>
        <v>0</v>
      </c>
      <c r="BN737">
        <f>SUM(BN728:BN736)</f>
        <v>0</v>
      </c>
      <c r="BO737">
        <f>SUM(BO728:BO736)</f>
        <v>0</v>
      </c>
      <c r="BQ737">
        <f>SUM(BQ728:BQ736)</f>
        <v>0</v>
      </c>
      <c r="BR737">
        <f>SUM(BR728:BR736)</f>
        <v>0</v>
      </c>
      <c r="BT737">
        <f>SUM(BT728:BT736)</f>
        <v>0</v>
      </c>
      <c r="BU737">
        <f>SUM(BU728:BU736)</f>
        <v>0</v>
      </c>
      <c r="BW737">
        <f>SUM(BW728:BW736)</f>
        <v>0</v>
      </c>
      <c r="BX737">
        <f>SUM(BX728:BX736)</f>
        <v>0</v>
      </c>
      <c r="BZ737">
        <f>SUM(BZ728:BZ736)</f>
        <v>0</v>
      </c>
      <c r="CA737">
        <f>SUM(CA728:CA736)</f>
        <v>0</v>
      </c>
      <c r="CC737">
        <f>SUM(CC728:CC736)</f>
        <v>0</v>
      </c>
      <c r="CD737">
        <f>SUM(CD728:CD736)</f>
        <v>0</v>
      </c>
      <c r="CF737">
        <f>SUM(CF728:CF736)</f>
        <v>0</v>
      </c>
      <c r="CG737">
        <f>SUM(CG728:CG736)</f>
        <v>0</v>
      </c>
      <c r="CI737">
        <f>SUM(CI728:CI736)</f>
        <v>0</v>
      </c>
      <c r="CJ737">
        <f>SUM(CJ728:CJ736)</f>
        <v>0</v>
      </c>
      <c r="CL737">
        <f>SUM(CL728:CL736)</f>
        <v>0</v>
      </c>
    </row>
    <row r="738" spans="1:91" ht="15" customHeight="1">
      <c r="A738" s="176"/>
      <c r="B738" s="57"/>
      <c r="C738" s="1109"/>
      <c r="D738" s="954"/>
      <c r="E738" s="955"/>
      <c r="F738" s="956"/>
      <c r="G738" s="1103" t="s">
        <v>4832</v>
      </c>
      <c r="H738" s="1103"/>
      <c r="I738" s="1104" t="s">
        <v>4833</v>
      </c>
      <c r="J738" s="1105"/>
      <c r="K738" s="1105"/>
      <c r="L738" s="1105"/>
      <c r="M738" s="1105"/>
      <c r="N738" s="1105"/>
      <c r="O738" s="1105"/>
      <c r="P738" s="1105"/>
      <c r="Q738" s="1105"/>
      <c r="R738" s="1105"/>
      <c r="S738" s="1105"/>
      <c r="T738" s="1105"/>
      <c r="U738" s="1106"/>
      <c r="V738" s="100"/>
      <c r="W738" s="100"/>
      <c r="X738" s="100"/>
      <c r="Y738" s="100"/>
      <c r="Z738" s="100"/>
      <c r="AA738" s="100"/>
      <c r="AB738" s="100"/>
      <c r="AC738" s="100"/>
      <c r="AD738" s="100"/>
      <c r="AF738"/>
      <c r="AG738">
        <f t="shared" si="335"/>
        <v>0</v>
      </c>
      <c r="AH738">
        <f t="shared" si="325"/>
        <v>0</v>
      </c>
      <c r="AK738">
        <f t="shared" si="326"/>
        <v>0</v>
      </c>
      <c r="AL738">
        <f t="shared" si="327"/>
        <v>0</v>
      </c>
      <c r="AM738">
        <f t="shared" si="328"/>
        <v>0</v>
      </c>
      <c r="AN738">
        <f t="shared" si="329"/>
        <v>0</v>
      </c>
      <c r="AO738">
        <f t="shared" si="330"/>
        <v>0</v>
      </c>
      <c r="AP738">
        <f t="shared" si="331"/>
        <v>0</v>
      </c>
      <c r="AQ738">
        <f t="shared" si="332"/>
        <v>0</v>
      </c>
      <c r="AR738">
        <f t="shared" si="333"/>
        <v>0</v>
      </c>
      <c r="AS738">
        <f t="shared" si="334"/>
        <v>0</v>
      </c>
      <c r="CL738" s="405">
        <f>SUM(AV737,AY737,BB737,BE737,BH737,BK737,BN737,BQ737,BT737,BW737,BZ737,CC737,CF737,CI737,CL737)</f>
        <v>0</v>
      </c>
    </row>
    <row r="739" spans="1:91" ht="15" customHeight="1">
      <c r="A739" s="176"/>
      <c r="B739" s="57"/>
      <c r="C739" s="1109"/>
      <c r="D739" s="954"/>
      <c r="E739" s="955"/>
      <c r="F739" s="956"/>
      <c r="G739" s="1103" t="s">
        <v>4834</v>
      </c>
      <c r="H739" s="1103"/>
      <c r="I739" s="1104" t="s">
        <v>4835</v>
      </c>
      <c r="J739" s="1105"/>
      <c r="K739" s="1105"/>
      <c r="L739" s="1105"/>
      <c r="M739" s="1105"/>
      <c r="N739" s="1105"/>
      <c r="O739" s="1105"/>
      <c r="P739" s="1105"/>
      <c r="Q739" s="1105"/>
      <c r="R739" s="1105"/>
      <c r="S739" s="1105"/>
      <c r="T739" s="1105"/>
      <c r="U739" s="1106"/>
      <c r="V739" s="100"/>
      <c r="W739" s="100"/>
      <c r="X739" s="100"/>
      <c r="Y739" s="100"/>
      <c r="Z739" s="100"/>
      <c r="AA739" s="100"/>
      <c r="AB739" s="100"/>
      <c r="AC739" s="100"/>
      <c r="AD739" s="100"/>
      <c r="AF739">
        <f>IF(V739="NA",IF(AND(COUNTIF(V740:V744,"="&amp;$AF$545)=0,COUNTIF(V740:V744,"&lt;&gt;NA")&gt;0),1,0),IF(AND(COUNTIF(V740:V744,"="&amp;$AF$545)=0,COUNTIF(V740:V744,"NA")=COUNTIF(V740:V744,"&lt;&gt;"&amp;$AF$545)),1,0))</f>
        <v>0</v>
      </c>
      <c r="AG739">
        <f t="shared" si="335"/>
        <v>0</v>
      </c>
      <c r="AH739">
        <f t="shared" si="325"/>
        <v>0</v>
      </c>
      <c r="AK739">
        <f t="shared" si="326"/>
        <v>0</v>
      </c>
      <c r="AL739">
        <f t="shared" si="327"/>
        <v>0</v>
      </c>
      <c r="AM739">
        <f t="shared" si="328"/>
        <v>0</v>
      </c>
      <c r="AN739">
        <f t="shared" si="329"/>
        <v>0</v>
      </c>
      <c r="AO739">
        <f t="shared" si="330"/>
        <v>0</v>
      </c>
      <c r="AP739">
        <f t="shared" si="331"/>
        <v>0</v>
      </c>
      <c r="AQ739">
        <f t="shared" si="332"/>
        <v>0</v>
      </c>
      <c r="AR739">
        <f t="shared" si="333"/>
        <v>0</v>
      </c>
      <c r="AS739">
        <f t="shared" si="334"/>
        <v>0</v>
      </c>
      <c r="CL739" t="s">
        <v>4836</v>
      </c>
      <c r="CM739" s="506">
        <f>CL738-SUM(COUNTIF(V728,"NA"),COUNTIF(V739,"NA"),COUNTIF(V748,"NA"),COUNTIF(V767,"NA"),COUNTIF(V775,"NA"),COUNTIF(V785,"NA"),COUNTIF(V793,"NA"),COUNTIF(V803,"NA"),COUNTIF(V810,"NA"),COUNTIF(V822,"NA"),COUNTIF(V832,"NA"),COUNTIF(V842,"NA"),COUNTIF(V853,"NA"),COUNTIF(V862,"NA"),COUNTIF(V874,"NA"))</f>
        <v>0</v>
      </c>
    </row>
    <row r="740" spans="1:91" ht="15" customHeight="1">
      <c r="A740" s="176"/>
      <c r="B740" s="57"/>
      <c r="C740" s="1109"/>
      <c r="D740" s="954"/>
      <c r="E740" s="955"/>
      <c r="F740" s="956"/>
      <c r="G740" s="1110" t="s">
        <v>4837</v>
      </c>
      <c r="H740" s="1110"/>
      <c r="I740" s="177"/>
      <c r="J740" s="1115" t="s">
        <v>4838</v>
      </c>
      <c r="K740" s="1115"/>
      <c r="L740" s="1115"/>
      <c r="M740" s="1115"/>
      <c r="N740" s="1115"/>
      <c r="O740" s="1115"/>
      <c r="P740" s="1115"/>
      <c r="Q740" s="1115"/>
      <c r="R740" s="1115"/>
      <c r="S740" s="1115"/>
      <c r="T740" s="1115"/>
      <c r="U740" s="1116"/>
      <c r="V740" s="100"/>
      <c r="W740" s="100"/>
      <c r="X740" s="100"/>
      <c r="Y740" s="100"/>
      <c r="Z740" s="100"/>
      <c r="AA740" s="100"/>
      <c r="AB740" s="100"/>
      <c r="AC740" s="100"/>
      <c r="AD740" s="100"/>
      <c r="AF740"/>
      <c r="AG740">
        <f t="shared" si="335"/>
        <v>0</v>
      </c>
      <c r="AH740">
        <f t="shared" si="325"/>
        <v>0</v>
      </c>
      <c r="AK740">
        <f t="shared" si="326"/>
        <v>0</v>
      </c>
      <c r="AL740">
        <f t="shared" si="327"/>
        <v>0</v>
      </c>
      <c r="AM740">
        <f t="shared" si="328"/>
        <v>0</v>
      </c>
      <c r="AN740">
        <f t="shared" si="329"/>
        <v>0</v>
      </c>
      <c r="AO740">
        <f t="shared" si="330"/>
        <v>0</v>
      </c>
      <c r="AP740">
        <f t="shared" si="331"/>
        <v>0</v>
      </c>
      <c r="AQ740">
        <f t="shared" si="332"/>
        <v>0</v>
      </c>
      <c r="AR740">
        <f t="shared" si="333"/>
        <v>0</v>
      </c>
      <c r="AS740">
        <f t="shared" si="334"/>
        <v>0</v>
      </c>
    </row>
    <row r="741" spans="1:91" ht="36" customHeight="1">
      <c r="A741" s="176"/>
      <c r="B741" s="57"/>
      <c r="C741" s="1109"/>
      <c r="D741" s="954"/>
      <c r="E741" s="955"/>
      <c r="F741" s="956"/>
      <c r="G741" s="1110" t="s">
        <v>4839</v>
      </c>
      <c r="H741" s="1110"/>
      <c r="I741" s="178"/>
      <c r="J741" s="1111" t="s">
        <v>4840</v>
      </c>
      <c r="K741" s="1111"/>
      <c r="L741" s="1111"/>
      <c r="M741" s="1111"/>
      <c r="N741" s="1111"/>
      <c r="O741" s="1111"/>
      <c r="P741" s="1111"/>
      <c r="Q741" s="1111"/>
      <c r="R741" s="1111"/>
      <c r="S741" s="1111"/>
      <c r="T741" s="1111"/>
      <c r="U741" s="1112"/>
      <c r="V741" s="100"/>
      <c r="W741" s="100"/>
      <c r="X741" s="100"/>
      <c r="Y741" s="100"/>
      <c r="Z741" s="100"/>
      <c r="AA741" s="100"/>
      <c r="AB741" s="100"/>
      <c r="AC741" s="100"/>
      <c r="AD741" s="100"/>
      <c r="AF741"/>
      <c r="AG741">
        <f t="shared" si="335"/>
        <v>0</v>
      </c>
      <c r="AH741">
        <f t="shared" si="325"/>
        <v>0</v>
      </c>
      <c r="AK741">
        <f t="shared" si="326"/>
        <v>0</v>
      </c>
      <c r="AL741">
        <f t="shared" si="327"/>
        <v>0</v>
      </c>
      <c r="AM741">
        <f t="shared" si="328"/>
        <v>0</v>
      </c>
      <c r="AN741">
        <f t="shared" si="329"/>
        <v>0</v>
      </c>
      <c r="AO741">
        <f t="shared" si="330"/>
        <v>0</v>
      </c>
      <c r="AP741">
        <f t="shared" si="331"/>
        <v>0</v>
      </c>
      <c r="AQ741">
        <f t="shared" si="332"/>
        <v>0</v>
      </c>
      <c r="AR741">
        <f t="shared" si="333"/>
        <v>0</v>
      </c>
      <c r="AS741">
        <f t="shared" si="334"/>
        <v>0</v>
      </c>
    </row>
    <row r="742" spans="1:91" ht="15" customHeight="1">
      <c r="A742" s="176"/>
      <c r="B742" s="57"/>
      <c r="C742" s="1109"/>
      <c r="D742" s="954"/>
      <c r="E742" s="955"/>
      <c r="F742" s="956"/>
      <c r="G742" s="1110" t="s">
        <v>4841</v>
      </c>
      <c r="H742" s="1110"/>
      <c r="I742" s="178"/>
      <c r="J742" s="1111" t="s">
        <v>4842</v>
      </c>
      <c r="K742" s="1111"/>
      <c r="L742" s="1111"/>
      <c r="M742" s="1111"/>
      <c r="N742" s="1111"/>
      <c r="O742" s="1111"/>
      <c r="P742" s="1111"/>
      <c r="Q742" s="1111"/>
      <c r="R742" s="1111"/>
      <c r="S742" s="1111"/>
      <c r="T742" s="1111"/>
      <c r="U742" s="1112"/>
      <c r="V742" s="100"/>
      <c r="W742" s="100"/>
      <c r="X742" s="100"/>
      <c r="Y742" s="100"/>
      <c r="Z742" s="100"/>
      <c r="AA742" s="100"/>
      <c r="AB742" s="100"/>
      <c r="AC742" s="100"/>
      <c r="AD742" s="100"/>
      <c r="AF742"/>
      <c r="AG742">
        <f t="shared" si="335"/>
        <v>0</v>
      </c>
      <c r="AH742">
        <f t="shared" si="325"/>
        <v>0</v>
      </c>
      <c r="AK742">
        <f t="shared" si="326"/>
        <v>0</v>
      </c>
      <c r="AL742">
        <f t="shared" si="327"/>
        <v>0</v>
      </c>
      <c r="AM742">
        <f t="shared" si="328"/>
        <v>0</v>
      </c>
      <c r="AN742">
        <f t="shared" si="329"/>
        <v>0</v>
      </c>
      <c r="AO742">
        <f t="shared" si="330"/>
        <v>0</v>
      </c>
      <c r="AP742">
        <f t="shared" si="331"/>
        <v>0</v>
      </c>
      <c r="AQ742">
        <f t="shared" si="332"/>
        <v>0</v>
      </c>
      <c r="AR742">
        <f t="shared" si="333"/>
        <v>0</v>
      </c>
      <c r="AS742">
        <f t="shared" si="334"/>
        <v>0</v>
      </c>
    </row>
    <row r="743" spans="1:91" ht="15" customHeight="1">
      <c r="A743" s="176"/>
      <c r="B743" s="57"/>
      <c r="C743" s="1109"/>
      <c r="D743" s="954"/>
      <c r="E743" s="955"/>
      <c r="F743" s="956"/>
      <c r="G743" s="1110" t="s">
        <v>4843</v>
      </c>
      <c r="H743" s="1110"/>
      <c r="I743" s="178"/>
      <c r="J743" s="1111" t="s">
        <v>4844</v>
      </c>
      <c r="K743" s="1111"/>
      <c r="L743" s="1111"/>
      <c r="M743" s="1111"/>
      <c r="N743" s="1111"/>
      <c r="O743" s="1111"/>
      <c r="P743" s="1111"/>
      <c r="Q743" s="1111"/>
      <c r="R743" s="1111"/>
      <c r="S743" s="1111"/>
      <c r="T743" s="1111"/>
      <c r="U743" s="1112"/>
      <c r="V743" s="100"/>
      <c r="W743" s="100"/>
      <c r="X743" s="100"/>
      <c r="Y743" s="100"/>
      <c r="Z743" s="100"/>
      <c r="AA743" s="100"/>
      <c r="AB743" s="100"/>
      <c r="AC743" s="100"/>
      <c r="AD743" s="100"/>
      <c r="AF743"/>
      <c r="AG743">
        <f t="shared" si="335"/>
        <v>0</v>
      </c>
      <c r="AH743">
        <f t="shared" si="325"/>
        <v>0</v>
      </c>
      <c r="AK743">
        <f t="shared" si="326"/>
        <v>0</v>
      </c>
      <c r="AL743">
        <f t="shared" si="327"/>
        <v>0</v>
      </c>
      <c r="AM743">
        <f t="shared" si="328"/>
        <v>0</v>
      </c>
      <c r="AN743">
        <f t="shared" si="329"/>
        <v>0</v>
      </c>
      <c r="AO743">
        <f t="shared" si="330"/>
        <v>0</v>
      </c>
      <c r="AP743">
        <f t="shared" si="331"/>
        <v>0</v>
      </c>
      <c r="AQ743">
        <f t="shared" si="332"/>
        <v>0</v>
      </c>
      <c r="AR743">
        <f t="shared" si="333"/>
        <v>0</v>
      </c>
      <c r="AS743">
        <f t="shared" si="334"/>
        <v>0</v>
      </c>
    </row>
    <row r="744" spans="1:91" ht="15" customHeight="1">
      <c r="A744" s="176"/>
      <c r="B744" s="57"/>
      <c r="C744" s="1109"/>
      <c r="D744" s="954"/>
      <c r="E744" s="955"/>
      <c r="F744" s="956"/>
      <c r="G744" s="1110" t="s">
        <v>4845</v>
      </c>
      <c r="H744" s="1110"/>
      <c r="I744" s="179"/>
      <c r="J744" s="1113" t="s">
        <v>201</v>
      </c>
      <c r="K744" s="1113"/>
      <c r="L744" s="1113"/>
      <c r="M744" s="1113"/>
      <c r="N744" s="1113"/>
      <c r="O744" s="1113"/>
      <c r="P744" s="1113"/>
      <c r="Q744" s="1113"/>
      <c r="R744" s="1113"/>
      <c r="S744" s="1113"/>
      <c r="T744" s="1113"/>
      <c r="U744" s="1114"/>
      <c r="V744" s="100"/>
      <c r="W744" s="100"/>
      <c r="X744" s="100"/>
      <c r="Y744" s="100"/>
      <c r="Z744" s="100"/>
      <c r="AA744" s="100"/>
      <c r="AB744" s="100"/>
      <c r="AC744" s="100"/>
      <c r="AD744" s="100"/>
      <c r="AF744"/>
      <c r="AG744">
        <f t="shared" si="335"/>
        <v>0</v>
      </c>
      <c r="AH744">
        <f t="shared" si="325"/>
        <v>0</v>
      </c>
      <c r="AK744">
        <f t="shared" si="326"/>
        <v>0</v>
      </c>
      <c r="AL744">
        <f t="shared" si="327"/>
        <v>0</v>
      </c>
      <c r="AM744">
        <f t="shared" si="328"/>
        <v>0</v>
      </c>
      <c r="AN744">
        <f t="shared" si="329"/>
        <v>0</v>
      </c>
      <c r="AO744">
        <f t="shared" si="330"/>
        <v>0</v>
      </c>
      <c r="AP744">
        <f t="shared" si="331"/>
        <v>0</v>
      </c>
      <c r="AQ744">
        <f t="shared" si="332"/>
        <v>0</v>
      </c>
      <c r="AR744">
        <f t="shared" si="333"/>
        <v>0</v>
      </c>
      <c r="AS744">
        <f t="shared" si="334"/>
        <v>0</v>
      </c>
    </row>
    <row r="745" spans="1:91" ht="15" customHeight="1">
      <c r="A745" s="176"/>
      <c r="B745" s="57"/>
      <c r="C745" s="1109"/>
      <c r="D745" s="954"/>
      <c r="E745" s="955"/>
      <c r="F745" s="956"/>
      <c r="G745" s="1103" t="s">
        <v>4846</v>
      </c>
      <c r="H745" s="1103"/>
      <c r="I745" s="1104" t="s">
        <v>4847</v>
      </c>
      <c r="J745" s="1105"/>
      <c r="K745" s="1105"/>
      <c r="L745" s="1105"/>
      <c r="M745" s="1105"/>
      <c r="N745" s="1105"/>
      <c r="O745" s="1105"/>
      <c r="P745" s="1105"/>
      <c r="Q745" s="1105"/>
      <c r="R745" s="1105"/>
      <c r="S745" s="1105"/>
      <c r="T745" s="1105"/>
      <c r="U745" s="1106"/>
      <c r="V745" s="100"/>
      <c r="W745" s="100"/>
      <c r="X745" s="100"/>
      <c r="Y745" s="100"/>
      <c r="Z745" s="100"/>
      <c r="AA745" s="100"/>
      <c r="AB745" s="100"/>
      <c r="AC745" s="100"/>
      <c r="AD745" s="100"/>
      <c r="AF745"/>
      <c r="AG745">
        <f t="shared" si="335"/>
        <v>0</v>
      </c>
      <c r="AH745">
        <f t="shared" si="325"/>
        <v>0</v>
      </c>
      <c r="AK745">
        <f t="shared" si="326"/>
        <v>0</v>
      </c>
      <c r="AL745">
        <f t="shared" si="327"/>
        <v>0</v>
      </c>
      <c r="AM745">
        <f t="shared" si="328"/>
        <v>0</v>
      </c>
      <c r="AN745">
        <f t="shared" si="329"/>
        <v>0</v>
      </c>
      <c r="AO745">
        <f t="shared" si="330"/>
        <v>0</v>
      </c>
      <c r="AP745">
        <f t="shared" si="331"/>
        <v>0</v>
      </c>
      <c r="AQ745">
        <f t="shared" si="332"/>
        <v>0</v>
      </c>
      <c r="AR745">
        <f t="shared" si="333"/>
        <v>0</v>
      </c>
      <c r="AS745">
        <f t="shared" si="334"/>
        <v>0</v>
      </c>
    </row>
    <row r="746" spans="1:91" ht="15" customHeight="1">
      <c r="A746" s="176"/>
      <c r="B746" s="57"/>
      <c r="C746" s="1109"/>
      <c r="D746" s="954"/>
      <c r="E746" s="955"/>
      <c r="F746" s="956"/>
      <c r="G746" s="1103" t="s">
        <v>4848</v>
      </c>
      <c r="H746" s="1103"/>
      <c r="I746" s="1104" t="s">
        <v>4849</v>
      </c>
      <c r="J746" s="1105"/>
      <c r="K746" s="1105"/>
      <c r="L746" s="1105"/>
      <c r="M746" s="1105"/>
      <c r="N746" s="1105"/>
      <c r="O746" s="1105"/>
      <c r="P746" s="1105"/>
      <c r="Q746" s="1105"/>
      <c r="R746" s="1105"/>
      <c r="S746" s="1105"/>
      <c r="T746" s="1105"/>
      <c r="U746" s="1106"/>
      <c r="V746" s="100"/>
      <c r="W746" s="100"/>
      <c r="X746" s="100"/>
      <c r="Y746" s="100"/>
      <c r="Z746" s="100"/>
      <c r="AA746" s="100"/>
      <c r="AB746" s="100"/>
      <c r="AC746" s="100"/>
      <c r="AD746" s="100"/>
      <c r="AF746"/>
      <c r="AG746">
        <f t="shared" si="335"/>
        <v>0</v>
      </c>
      <c r="AH746">
        <f t="shared" si="325"/>
        <v>0</v>
      </c>
      <c r="AK746">
        <f t="shared" si="326"/>
        <v>0</v>
      </c>
      <c r="AL746">
        <f t="shared" si="327"/>
        <v>0</v>
      </c>
      <c r="AM746">
        <f t="shared" si="328"/>
        <v>0</v>
      </c>
      <c r="AN746">
        <f t="shared" si="329"/>
        <v>0</v>
      </c>
      <c r="AO746">
        <f t="shared" si="330"/>
        <v>0</v>
      </c>
      <c r="AP746">
        <f t="shared" si="331"/>
        <v>0</v>
      </c>
      <c r="AQ746">
        <f t="shared" si="332"/>
        <v>0</v>
      </c>
      <c r="AR746">
        <f t="shared" si="333"/>
        <v>0</v>
      </c>
      <c r="AS746">
        <f t="shared" si="334"/>
        <v>0</v>
      </c>
    </row>
    <row r="747" spans="1:91" ht="15" customHeight="1">
      <c r="A747" s="176"/>
      <c r="B747" s="57"/>
      <c r="C747" s="1109"/>
      <c r="D747" s="954"/>
      <c r="E747" s="955"/>
      <c r="F747" s="956"/>
      <c r="G747" s="1103" t="s">
        <v>4850</v>
      </c>
      <c r="H747" s="1103"/>
      <c r="I747" s="1104" t="s">
        <v>4851</v>
      </c>
      <c r="J747" s="1105"/>
      <c r="K747" s="1105"/>
      <c r="L747" s="1105"/>
      <c r="M747" s="1105"/>
      <c r="N747" s="1105"/>
      <c r="O747" s="1105"/>
      <c r="P747" s="1105"/>
      <c r="Q747" s="1105"/>
      <c r="R747" s="1105"/>
      <c r="S747" s="1105"/>
      <c r="T747" s="1105"/>
      <c r="U747" s="1106"/>
      <c r="V747" s="100"/>
      <c r="W747" s="100"/>
      <c r="X747" s="100"/>
      <c r="Y747" s="100"/>
      <c r="Z747" s="100"/>
      <c r="AA747" s="100"/>
      <c r="AB747" s="100"/>
      <c r="AC747" s="100"/>
      <c r="AD747" s="100"/>
      <c r="AF747"/>
      <c r="AG747">
        <f t="shared" si="335"/>
        <v>0</v>
      </c>
      <c r="AH747">
        <f t="shared" si="325"/>
        <v>0</v>
      </c>
      <c r="AJ747">
        <f>IF(OR(V747="NS",V747="NA",$V$715=0,$V$715="NS",$V$715="NA"),0,IF((V747*(IFERROR(100/SUM(V736:V747),0)))&gt;25,1,0))</f>
        <v>0</v>
      </c>
      <c r="AK747">
        <f t="shared" si="326"/>
        <v>0</v>
      </c>
      <c r="AL747">
        <f t="shared" si="327"/>
        <v>0</v>
      </c>
      <c r="AM747">
        <f t="shared" si="328"/>
        <v>0</v>
      </c>
      <c r="AN747">
        <f t="shared" si="329"/>
        <v>0</v>
      </c>
      <c r="AO747">
        <f t="shared" si="330"/>
        <v>0</v>
      </c>
      <c r="AP747">
        <f t="shared" si="331"/>
        <v>0</v>
      </c>
      <c r="AQ747">
        <f t="shared" si="332"/>
        <v>0</v>
      </c>
      <c r="AR747">
        <f t="shared" si="333"/>
        <v>0</v>
      </c>
      <c r="AS747">
        <f t="shared" si="334"/>
        <v>0</v>
      </c>
    </row>
    <row r="748" spans="1:91" ht="15" customHeight="1">
      <c r="A748" s="176"/>
      <c r="B748" s="57"/>
      <c r="C748" s="1108" t="s">
        <v>4852</v>
      </c>
      <c r="D748" s="847" t="s">
        <v>4853</v>
      </c>
      <c r="E748" s="953"/>
      <c r="F748" s="848"/>
      <c r="G748" s="1103" t="s">
        <v>4854</v>
      </c>
      <c r="H748" s="1103"/>
      <c r="I748" s="1104" t="s">
        <v>4855</v>
      </c>
      <c r="J748" s="1105"/>
      <c r="K748" s="1105"/>
      <c r="L748" s="1105"/>
      <c r="M748" s="1105"/>
      <c r="N748" s="1105"/>
      <c r="O748" s="1105"/>
      <c r="P748" s="1105"/>
      <c r="Q748" s="1105"/>
      <c r="R748" s="1105"/>
      <c r="S748" s="1105"/>
      <c r="T748" s="1105"/>
      <c r="U748" s="1106"/>
      <c r="V748" s="100"/>
      <c r="W748" s="100"/>
      <c r="X748" s="100"/>
      <c r="Y748" s="100"/>
      <c r="Z748" s="100"/>
      <c r="AA748" s="100"/>
      <c r="AB748" s="100"/>
      <c r="AC748" s="100"/>
      <c r="AD748" s="100"/>
      <c r="AF748">
        <f>IF(V748="NA",IF(AND(COUNTIF(V749:V766,"="&amp;$AF$545)=0,COUNTIF(V749:V766,"&lt;&gt;NA")&gt;0),1,0),IF(AND(COUNTIF(V749:V766,"="&amp;$AF$545)=0,COUNTIF(V749:V766,"NA")=COUNTIF(V749:V766,"&lt;&gt;"&amp;$AF$545)),1,0))</f>
        <v>0</v>
      </c>
      <c r="AG748">
        <f t="shared" si="335"/>
        <v>0</v>
      </c>
      <c r="AH748">
        <f t="shared" si="325"/>
        <v>0</v>
      </c>
      <c r="AK748">
        <f t="shared" si="326"/>
        <v>0</v>
      </c>
      <c r="AL748">
        <f t="shared" si="327"/>
        <v>0</v>
      </c>
      <c r="AM748">
        <f t="shared" si="328"/>
        <v>0</v>
      </c>
      <c r="AN748">
        <f t="shared" si="329"/>
        <v>0</v>
      </c>
      <c r="AO748">
        <f t="shared" si="330"/>
        <v>0</v>
      </c>
      <c r="AP748">
        <f t="shared" si="331"/>
        <v>0</v>
      </c>
      <c r="AQ748">
        <f t="shared" si="332"/>
        <v>0</v>
      </c>
      <c r="AR748">
        <f t="shared" si="333"/>
        <v>0</v>
      </c>
      <c r="AS748">
        <f t="shared" si="334"/>
        <v>0</v>
      </c>
    </row>
    <row r="749" spans="1:91" ht="15" customHeight="1">
      <c r="A749" s="176"/>
      <c r="B749" s="57"/>
      <c r="C749" s="1109"/>
      <c r="D749" s="954"/>
      <c r="E749" s="955"/>
      <c r="F749" s="956"/>
      <c r="G749" s="1110" t="s">
        <v>4856</v>
      </c>
      <c r="H749" s="1110"/>
      <c r="I749" s="177"/>
      <c r="J749" s="1115" t="s">
        <v>4857</v>
      </c>
      <c r="K749" s="1115"/>
      <c r="L749" s="1115"/>
      <c r="M749" s="1115"/>
      <c r="N749" s="1115"/>
      <c r="O749" s="1115"/>
      <c r="P749" s="1115"/>
      <c r="Q749" s="1115"/>
      <c r="R749" s="1115"/>
      <c r="S749" s="1115"/>
      <c r="T749" s="1115"/>
      <c r="U749" s="1116"/>
      <c r="V749" s="100"/>
      <c r="W749" s="100"/>
      <c r="X749" s="100"/>
      <c r="Y749" s="100"/>
      <c r="Z749" s="100"/>
      <c r="AA749" s="100"/>
      <c r="AB749" s="100"/>
      <c r="AC749" s="100"/>
      <c r="AD749" s="100"/>
      <c r="AF749"/>
      <c r="AG749">
        <f t="shared" si="335"/>
        <v>0</v>
      </c>
      <c r="AH749">
        <f t="shared" si="325"/>
        <v>0</v>
      </c>
      <c r="AK749">
        <f t="shared" si="326"/>
        <v>0</v>
      </c>
      <c r="AL749">
        <f t="shared" si="327"/>
        <v>0</v>
      </c>
      <c r="AM749">
        <f t="shared" si="328"/>
        <v>0</v>
      </c>
      <c r="AN749">
        <f t="shared" si="329"/>
        <v>0</v>
      </c>
      <c r="AO749">
        <f t="shared" si="330"/>
        <v>0</v>
      </c>
      <c r="AP749">
        <f t="shared" si="331"/>
        <v>0</v>
      </c>
      <c r="AQ749">
        <f t="shared" si="332"/>
        <v>0</v>
      </c>
      <c r="AR749">
        <f t="shared" si="333"/>
        <v>0</v>
      </c>
      <c r="AS749">
        <f t="shared" si="334"/>
        <v>0</v>
      </c>
    </row>
    <row r="750" spans="1:91" ht="15" customHeight="1">
      <c r="A750" s="176"/>
      <c r="B750" s="57"/>
      <c r="C750" s="1109"/>
      <c r="D750" s="954"/>
      <c r="E750" s="955"/>
      <c r="F750" s="956"/>
      <c r="G750" s="1110" t="s">
        <v>4858</v>
      </c>
      <c r="H750" s="1110"/>
      <c r="I750" s="178"/>
      <c r="J750" s="1111" t="s">
        <v>4859</v>
      </c>
      <c r="K750" s="1111"/>
      <c r="L750" s="1111"/>
      <c r="M750" s="1111"/>
      <c r="N750" s="1111"/>
      <c r="O750" s="1111"/>
      <c r="P750" s="1111"/>
      <c r="Q750" s="1111"/>
      <c r="R750" s="1111"/>
      <c r="S750" s="1111"/>
      <c r="T750" s="1111"/>
      <c r="U750" s="1112"/>
      <c r="V750" s="100"/>
      <c r="W750" s="100"/>
      <c r="X750" s="100"/>
      <c r="Y750" s="100"/>
      <c r="Z750" s="100"/>
      <c r="AA750" s="100"/>
      <c r="AB750" s="100"/>
      <c r="AC750" s="100"/>
      <c r="AD750" s="100"/>
      <c r="AF750"/>
      <c r="AG750">
        <f t="shared" si="335"/>
        <v>0</v>
      </c>
      <c r="AH750">
        <f t="shared" si="325"/>
        <v>0</v>
      </c>
      <c r="AK750">
        <f t="shared" si="326"/>
        <v>0</v>
      </c>
      <c r="AL750">
        <f t="shared" si="327"/>
        <v>0</v>
      </c>
      <c r="AM750">
        <f t="shared" si="328"/>
        <v>0</v>
      </c>
      <c r="AN750">
        <f t="shared" si="329"/>
        <v>0</v>
      </c>
      <c r="AO750">
        <f t="shared" si="330"/>
        <v>0</v>
      </c>
      <c r="AP750">
        <f t="shared" si="331"/>
        <v>0</v>
      </c>
      <c r="AQ750">
        <f t="shared" si="332"/>
        <v>0</v>
      </c>
      <c r="AR750">
        <f t="shared" si="333"/>
        <v>0</v>
      </c>
      <c r="AS750">
        <f t="shared" si="334"/>
        <v>0</v>
      </c>
    </row>
    <row r="751" spans="1:91" ht="15" customHeight="1">
      <c r="A751" s="176"/>
      <c r="B751" s="57"/>
      <c r="C751" s="1109"/>
      <c r="D751" s="954"/>
      <c r="E751" s="955"/>
      <c r="F751" s="956"/>
      <c r="G751" s="1110" t="s">
        <v>4860</v>
      </c>
      <c r="H751" s="1110"/>
      <c r="I751" s="178"/>
      <c r="J751" s="1111" t="s">
        <v>4861</v>
      </c>
      <c r="K751" s="1111"/>
      <c r="L751" s="1111"/>
      <c r="M751" s="1111"/>
      <c r="N751" s="1111"/>
      <c r="O751" s="1111"/>
      <c r="P751" s="1111"/>
      <c r="Q751" s="1111"/>
      <c r="R751" s="1111"/>
      <c r="S751" s="1111"/>
      <c r="T751" s="1111"/>
      <c r="U751" s="1112"/>
      <c r="V751" s="100"/>
      <c r="W751" s="100"/>
      <c r="X751" s="100"/>
      <c r="Y751" s="100"/>
      <c r="Z751" s="100"/>
      <c r="AA751" s="100"/>
      <c r="AB751" s="100"/>
      <c r="AC751" s="100"/>
      <c r="AD751" s="100"/>
      <c r="AF751"/>
      <c r="AG751">
        <f t="shared" si="335"/>
        <v>0</v>
      </c>
      <c r="AH751">
        <f t="shared" si="325"/>
        <v>0</v>
      </c>
      <c r="AK751">
        <f t="shared" si="326"/>
        <v>0</v>
      </c>
      <c r="AL751">
        <f t="shared" si="327"/>
        <v>0</v>
      </c>
      <c r="AM751">
        <f t="shared" si="328"/>
        <v>0</v>
      </c>
      <c r="AN751">
        <f t="shared" si="329"/>
        <v>0</v>
      </c>
      <c r="AO751">
        <f t="shared" si="330"/>
        <v>0</v>
      </c>
      <c r="AP751">
        <f t="shared" si="331"/>
        <v>0</v>
      </c>
      <c r="AQ751">
        <f t="shared" si="332"/>
        <v>0</v>
      </c>
      <c r="AR751">
        <f t="shared" si="333"/>
        <v>0</v>
      </c>
      <c r="AS751">
        <f t="shared" si="334"/>
        <v>0</v>
      </c>
    </row>
    <row r="752" spans="1:91" ht="15" customHeight="1">
      <c r="A752" s="176"/>
      <c r="B752" s="57"/>
      <c r="C752" s="1109"/>
      <c r="D752" s="954"/>
      <c r="E752" s="955"/>
      <c r="F752" s="956"/>
      <c r="G752" s="1110" t="s">
        <v>4862</v>
      </c>
      <c r="H752" s="1110"/>
      <c r="I752" s="178"/>
      <c r="J752" s="1111" t="s">
        <v>4863</v>
      </c>
      <c r="K752" s="1111"/>
      <c r="L752" s="1111"/>
      <c r="M752" s="1111"/>
      <c r="N752" s="1111"/>
      <c r="O752" s="1111"/>
      <c r="P752" s="1111"/>
      <c r="Q752" s="1111"/>
      <c r="R752" s="1111"/>
      <c r="S752" s="1111"/>
      <c r="T752" s="1111"/>
      <c r="U752" s="1112"/>
      <c r="V752" s="100"/>
      <c r="W752" s="100"/>
      <c r="X752" s="100"/>
      <c r="Y752" s="100"/>
      <c r="Z752" s="100"/>
      <c r="AA752" s="100"/>
      <c r="AB752" s="100"/>
      <c r="AC752" s="100"/>
      <c r="AD752" s="100"/>
      <c r="AF752"/>
      <c r="AG752">
        <f t="shared" si="335"/>
        <v>0</v>
      </c>
      <c r="AH752">
        <f t="shared" si="325"/>
        <v>0</v>
      </c>
      <c r="AK752">
        <f t="shared" si="326"/>
        <v>0</v>
      </c>
      <c r="AL752">
        <f t="shared" si="327"/>
        <v>0</v>
      </c>
      <c r="AM752">
        <f t="shared" si="328"/>
        <v>0</v>
      </c>
      <c r="AN752">
        <f t="shared" si="329"/>
        <v>0</v>
      </c>
      <c r="AO752">
        <f t="shared" si="330"/>
        <v>0</v>
      </c>
      <c r="AP752">
        <f t="shared" si="331"/>
        <v>0</v>
      </c>
      <c r="AQ752">
        <f t="shared" si="332"/>
        <v>0</v>
      </c>
      <c r="AR752">
        <f t="shared" si="333"/>
        <v>0</v>
      </c>
      <c r="AS752">
        <f t="shared" si="334"/>
        <v>0</v>
      </c>
    </row>
    <row r="753" spans="1:45" ht="15" customHeight="1">
      <c r="A753" s="176"/>
      <c r="B753" s="57"/>
      <c r="C753" s="1109"/>
      <c r="D753" s="954"/>
      <c r="E753" s="955"/>
      <c r="F753" s="956"/>
      <c r="G753" s="1110" t="s">
        <v>4864</v>
      </c>
      <c r="H753" s="1110"/>
      <c r="I753" s="178"/>
      <c r="J753" s="1111" t="s">
        <v>4865</v>
      </c>
      <c r="K753" s="1111"/>
      <c r="L753" s="1111"/>
      <c r="M753" s="1111"/>
      <c r="N753" s="1111"/>
      <c r="O753" s="1111"/>
      <c r="P753" s="1111"/>
      <c r="Q753" s="1111"/>
      <c r="R753" s="1111"/>
      <c r="S753" s="1111"/>
      <c r="T753" s="1111"/>
      <c r="U753" s="1112"/>
      <c r="V753" s="100"/>
      <c r="W753" s="100"/>
      <c r="X753" s="100"/>
      <c r="Y753" s="100"/>
      <c r="Z753" s="100"/>
      <c r="AA753" s="100"/>
      <c r="AB753" s="100"/>
      <c r="AC753" s="100"/>
      <c r="AD753" s="100"/>
      <c r="AF753"/>
      <c r="AG753">
        <f t="shared" si="335"/>
        <v>0</v>
      </c>
      <c r="AH753">
        <f t="shared" si="325"/>
        <v>0</v>
      </c>
      <c r="AK753">
        <f t="shared" si="326"/>
        <v>0</v>
      </c>
      <c r="AL753">
        <f t="shared" si="327"/>
        <v>0</v>
      </c>
      <c r="AM753">
        <f t="shared" si="328"/>
        <v>0</v>
      </c>
      <c r="AN753">
        <f t="shared" si="329"/>
        <v>0</v>
      </c>
      <c r="AO753">
        <f t="shared" si="330"/>
        <v>0</v>
      </c>
      <c r="AP753">
        <f t="shared" si="331"/>
        <v>0</v>
      </c>
      <c r="AQ753">
        <f t="shared" si="332"/>
        <v>0</v>
      </c>
      <c r="AR753">
        <f t="shared" si="333"/>
        <v>0</v>
      </c>
      <c r="AS753">
        <f t="shared" si="334"/>
        <v>0</v>
      </c>
    </row>
    <row r="754" spans="1:45" ht="15" customHeight="1">
      <c r="A754" s="176"/>
      <c r="B754" s="57"/>
      <c r="C754" s="1109"/>
      <c r="D754" s="954"/>
      <c r="E754" s="955"/>
      <c r="F754" s="956"/>
      <c r="G754" s="1110" t="s">
        <v>4866</v>
      </c>
      <c r="H754" s="1110"/>
      <c r="I754" s="178"/>
      <c r="J754" s="1111" t="s">
        <v>4867</v>
      </c>
      <c r="K754" s="1111"/>
      <c r="L754" s="1111"/>
      <c r="M754" s="1111"/>
      <c r="N754" s="1111"/>
      <c r="O754" s="1111"/>
      <c r="P754" s="1111"/>
      <c r="Q754" s="1111"/>
      <c r="R754" s="1111"/>
      <c r="S754" s="1111"/>
      <c r="T754" s="1111"/>
      <c r="U754" s="1112"/>
      <c r="V754" s="100"/>
      <c r="W754" s="100"/>
      <c r="X754" s="100"/>
      <c r="Y754" s="100"/>
      <c r="Z754" s="100"/>
      <c r="AA754" s="100"/>
      <c r="AB754" s="100"/>
      <c r="AC754" s="100"/>
      <c r="AD754" s="100"/>
      <c r="AF754"/>
      <c r="AG754">
        <f t="shared" si="335"/>
        <v>0</v>
      </c>
      <c r="AH754">
        <f t="shared" si="325"/>
        <v>0</v>
      </c>
      <c r="AK754">
        <f t="shared" si="326"/>
        <v>0</v>
      </c>
      <c r="AL754">
        <f t="shared" si="327"/>
        <v>0</v>
      </c>
      <c r="AM754">
        <f t="shared" si="328"/>
        <v>0</v>
      </c>
      <c r="AN754">
        <f t="shared" si="329"/>
        <v>0</v>
      </c>
      <c r="AO754">
        <f t="shared" si="330"/>
        <v>0</v>
      </c>
      <c r="AP754">
        <f t="shared" si="331"/>
        <v>0</v>
      </c>
      <c r="AQ754">
        <f t="shared" si="332"/>
        <v>0</v>
      </c>
      <c r="AR754">
        <f t="shared" si="333"/>
        <v>0</v>
      </c>
      <c r="AS754">
        <f t="shared" si="334"/>
        <v>0</v>
      </c>
    </row>
    <row r="755" spans="1:45" ht="15" customHeight="1">
      <c r="A755" s="176"/>
      <c r="B755" s="57"/>
      <c r="C755" s="1109"/>
      <c r="D755" s="954"/>
      <c r="E755" s="955"/>
      <c r="F755" s="956"/>
      <c r="G755" s="1110" t="s">
        <v>4868</v>
      </c>
      <c r="H755" s="1110"/>
      <c r="I755" s="178"/>
      <c r="J755" s="1111" t="s">
        <v>4869</v>
      </c>
      <c r="K755" s="1111"/>
      <c r="L755" s="1111"/>
      <c r="M755" s="1111"/>
      <c r="N755" s="1111"/>
      <c r="O755" s="1111"/>
      <c r="P755" s="1111"/>
      <c r="Q755" s="1111"/>
      <c r="R755" s="1111"/>
      <c r="S755" s="1111"/>
      <c r="T755" s="1111"/>
      <c r="U755" s="1112"/>
      <c r="V755" s="100"/>
      <c r="W755" s="100"/>
      <c r="X755" s="100"/>
      <c r="Y755" s="100"/>
      <c r="Z755" s="100"/>
      <c r="AA755" s="100"/>
      <c r="AB755" s="100"/>
      <c r="AC755" s="100"/>
      <c r="AD755" s="100"/>
      <c r="AF755"/>
      <c r="AG755">
        <f t="shared" si="335"/>
        <v>0</v>
      </c>
      <c r="AH755">
        <f t="shared" si="325"/>
        <v>0</v>
      </c>
      <c r="AK755">
        <f t="shared" si="326"/>
        <v>0</v>
      </c>
      <c r="AL755">
        <f t="shared" si="327"/>
        <v>0</v>
      </c>
      <c r="AM755">
        <f t="shared" si="328"/>
        <v>0</v>
      </c>
      <c r="AN755">
        <f t="shared" si="329"/>
        <v>0</v>
      </c>
      <c r="AO755">
        <f t="shared" si="330"/>
        <v>0</v>
      </c>
      <c r="AP755">
        <f t="shared" si="331"/>
        <v>0</v>
      </c>
      <c r="AQ755">
        <f t="shared" si="332"/>
        <v>0</v>
      </c>
      <c r="AR755">
        <f t="shared" si="333"/>
        <v>0</v>
      </c>
      <c r="AS755">
        <f t="shared" si="334"/>
        <v>0</v>
      </c>
    </row>
    <row r="756" spans="1:45" ht="15" customHeight="1">
      <c r="A756" s="176"/>
      <c r="B756" s="57"/>
      <c r="C756" s="1109"/>
      <c r="D756" s="954"/>
      <c r="E756" s="955"/>
      <c r="F756" s="956"/>
      <c r="G756" s="1110" t="s">
        <v>4870</v>
      </c>
      <c r="H756" s="1110"/>
      <c r="I756" s="178"/>
      <c r="J756" s="1111" t="s">
        <v>4871</v>
      </c>
      <c r="K756" s="1111"/>
      <c r="L756" s="1111"/>
      <c r="M756" s="1111"/>
      <c r="N756" s="1111"/>
      <c r="O756" s="1111"/>
      <c r="P756" s="1111"/>
      <c r="Q756" s="1111"/>
      <c r="R756" s="1111"/>
      <c r="S756" s="1111"/>
      <c r="T756" s="1111"/>
      <c r="U756" s="1112"/>
      <c r="V756" s="100"/>
      <c r="W756" s="100"/>
      <c r="X756" s="100"/>
      <c r="Y756" s="100"/>
      <c r="Z756" s="100"/>
      <c r="AA756" s="100"/>
      <c r="AB756" s="100"/>
      <c r="AC756" s="100"/>
      <c r="AD756" s="100"/>
      <c r="AF756"/>
      <c r="AG756">
        <f t="shared" si="335"/>
        <v>0</v>
      </c>
      <c r="AH756">
        <f t="shared" si="325"/>
        <v>0</v>
      </c>
      <c r="AK756">
        <f t="shared" si="326"/>
        <v>0</v>
      </c>
      <c r="AL756">
        <f t="shared" si="327"/>
        <v>0</v>
      </c>
      <c r="AM756">
        <f t="shared" si="328"/>
        <v>0</v>
      </c>
      <c r="AN756">
        <f t="shared" si="329"/>
        <v>0</v>
      </c>
      <c r="AO756">
        <f t="shared" si="330"/>
        <v>0</v>
      </c>
      <c r="AP756">
        <f t="shared" si="331"/>
        <v>0</v>
      </c>
      <c r="AQ756">
        <f t="shared" si="332"/>
        <v>0</v>
      </c>
      <c r="AR756">
        <f t="shared" si="333"/>
        <v>0</v>
      </c>
      <c r="AS756">
        <f t="shared" si="334"/>
        <v>0</v>
      </c>
    </row>
    <row r="757" spans="1:45" ht="15" customHeight="1">
      <c r="A757" s="176"/>
      <c r="B757" s="57"/>
      <c r="C757" s="1109"/>
      <c r="D757" s="954"/>
      <c r="E757" s="955"/>
      <c r="F757" s="956"/>
      <c r="G757" s="1110" t="s">
        <v>4872</v>
      </c>
      <c r="H757" s="1110"/>
      <c r="I757" s="178"/>
      <c r="J757" s="1111" t="s">
        <v>4873</v>
      </c>
      <c r="K757" s="1111"/>
      <c r="L757" s="1111"/>
      <c r="M757" s="1111"/>
      <c r="N757" s="1111"/>
      <c r="O757" s="1111"/>
      <c r="P757" s="1111"/>
      <c r="Q757" s="1111"/>
      <c r="R757" s="1111"/>
      <c r="S757" s="1111"/>
      <c r="T757" s="1111"/>
      <c r="U757" s="1112"/>
      <c r="V757" s="100"/>
      <c r="W757" s="100"/>
      <c r="X757" s="100"/>
      <c r="Y757" s="100"/>
      <c r="Z757" s="100"/>
      <c r="AA757" s="100"/>
      <c r="AB757" s="100"/>
      <c r="AC757" s="100"/>
      <c r="AD757" s="100"/>
      <c r="AF757"/>
      <c r="AG757">
        <f t="shared" si="335"/>
        <v>0</v>
      </c>
      <c r="AH757">
        <f t="shared" si="325"/>
        <v>0</v>
      </c>
      <c r="AK757">
        <f t="shared" si="326"/>
        <v>0</v>
      </c>
      <c r="AL757">
        <f t="shared" si="327"/>
        <v>0</v>
      </c>
      <c r="AM757">
        <f t="shared" si="328"/>
        <v>0</v>
      </c>
      <c r="AN757">
        <f t="shared" si="329"/>
        <v>0</v>
      </c>
      <c r="AO757">
        <f t="shared" si="330"/>
        <v>0</v>
      </c>
      <c r="AP757">
        <f t="shared" si="331"/>
        <v>0</v>
      </c>
      <c r="AQ757">
        <f t="shared" si="332"/>
        <v>0</v>
      </c>
      <c r="AR757">
        <f t="shared" si="333"/>
        <v>0</v>
      </c>
      <c r="AS757">
        <f t="shared" si="334"/>
        <v>0</v>
      </c>
    </row>
    <row r="758" spans="1:45" ht="15" customHeight="1">
      <c r="A758" s="176"/>
      <c r="B758" s="57"/>
      <c r="C758" s="1109"/>
      <c r="D758" s="954"/>
      <c r="E758" s="955"/>
      <c r="F758" s="956"/>
      <c r="G758" s="1110" t="s">
        <v>4874</v>
      </c>
      <c r="H758" s="1110"/>
      <c r="I758" s="178"/>
      <c r="J758" s="1111" t="s">
        <v>4875</v>
      </c>
      <c r="K758" s="1111"/>
      <c r="L758" s="1111"/>
      <c r="M758" s="1111"/>
      <c r="N758" s="1111"/>
      <c r="O758" s="1111"/>
      <c r="P758" s="1111"/>
      <c r="Q758" s="1111"/>
      <c r="R758" s="1111"/>
      <c r="S758" s="1111"/>
      <c r="T758" s="1111"/>
      <c r="U758" s="1112"/>
      <c r="V758" s="100"/>
      <c r="W758" s="100"/>
      <c r="X758" s="100"/>
      <c r="Y758" s="100"/>
      <c r="Z758" s="100"/>
      <c r="AA758" s="100"/>
      <c r="AB758" s="100"/>
      <c r="AC758" s="100"/>
      <c r="AD758" s="100"/>
      <c r="AF758"/>
      <c r="AG758">
        <f t="shared" si="335"/>
        <v>0</v>
      </c>
      <c r="AH758">
        <f t="shared" si="325"/>
        <v>0</v>
      </c>
      <c r="AK758">
        <f t="shared" si="326"/>
        <v>0</v>
      </c>
      <c r="AL758">
        <f t="shared" si="327"/>
        <v>0</v>
      </c>
      <c r="AM758">
        <f t="shared" si="328"/>
        <v>0</v>
      </c>
      <c r="AN758">
        <f t="shared" si="329"/>
        <v>0</v>
      </c>
      <c r="AO758">
        <f t="shared" si="330"/>
        <v>0</v>
      </c>
      <c r="AP758">
        <f t="shared" si="331"/>
        <v>0</v>
      </c>
      <c r="AQ758">
        <f t="shared" si="332"/>
        <v>0</v>
      </c>
      <c r="AR758">
        <f t="shared" si="333"/>
        <v>0</v>
      </c>
      <c r="AS758">
        <f t="shared" si="334"/>
        <v>0</v>
      </c>
    </row>
    <row r="759" spans="1:45" ht="15" customHeight="1">
      <c r="A759" s="176"/>
      <c r="B759" s="57"/>
      <c r="C759" s="1109"/>
      <c r="D759" s="954"/>
      <c r="E759" s="955"/>
      <c r="F759" s="956"/>
      <c r="G759" s="1110" t="s">
        <v>4876</v>
      </c>
      <c r="H759" s="1110"/>
      <c r="I759" s="178"/>
      <c r="J759" s="1111" t="s">
        <v>4877</v>
      </c>
      <c r="K759" s="1111"/>
      <c r="L759" s="1111"/>
      <c r="M759" s="1111"/>
      <c r="N759" s="1111"/>
      <c r="O759" s="1111"/>
      <c r="P759" s="1111"/>
      <c r="Q759" s="1111"/>
      <c r="R759" s="1111"/>
      <c r="S759" s="1111"/>
      <c r="T759" s="1111"/>
      <c r="U759" s="1112"/>
      <c r="V759" s="100"/>
      <c r="W759" s="100"/>
      <c r="X759" s="100"/>
      <c r="Y759" s="100"/>
      <c r="Z759" s="100"/>
      <c r="AA759" s="100"/>
      <c r="AB759" s="100"/>
      <c r="AC759" s="100"/>
      <c r="AD759" s="100"/>
      <c r="AF759"/>
      <c r="AG759">
        <f t="shared" si="335"/>
        <v>0</v>
      </c>
      <c r="AH759">
        <f t="shared" si="325"/>
        <v>0</v>
      </c>
      <c r="AK759">
        <f t="shared" si="326"/>
        <v>0</v>
      </c>
      <c r="AL759">
        <f t="shared" si="327"/>
        <v>0</v>
      </c>
      <c r="AM759">
        <f t="shared" si="328"/>
        <v>0</v>
      </c>
      <c r="AN759">
        <f t="shared" si="329"/>
        <v>0</v>
      </c>
      <c r="AO759">
        <f t="shared" si="330"/>
        <v>0</v>
      </c>
      <c r="AP759">
        <f t="shared" si="331"/>
        <v>0</v>
      </c>
      <c r="AQ759">
        <f t="shared" si="332"/>
        <v>0</v>
      </c>
      <c r="AR759">
        <f t="shared" si="333"/>
        <v>0</v>
      </c>
      <c r="AS759">
        <f t="shared" si="334"/>
        <v>0</v>
      </c>
    </row>
    <row r="760" spans="1:45" ht="15" customHeight="1">
      <c r="A760" s="176"/>
      <c r="B760" s="57"/>
      <c r="C760" s="1109"/>
      <c r="D760" s="954"/>
      <c r="E760" s="955"/>
      <c r="F760" s="956"/>
      <c r="G760" s="1110" t="s">
        <v>4878</v>
      </c>
      <c r="H760" s="1110"/>
      <c r="I760" s="178"/>
      <c r="J760" s="1111" t="s">
        <v>4879</v>
      </c>
      <c r="K760" s="1111"/>
      <c r="L760" s="1111"/>
      <c r="M760" s="1111"/>
      <c r="N760" s="1111"/>
      <c r="O760" s="1111"/>
      <c r="P760" s="1111"/>
      <c r="Q760" s="1111"/>
      <c r="R760" s="1111"/>
      <c r="S760" s="1111"/>
      <c r="T760" s="1111"/>
      <c r="U760" s="1112"/>
      <c r="V760" s="100"/>
      <c r="W760" s="100"/>
      <c r="X760" s="100"/>
      <c r="Y760" s="100"/>
      <c r="Z760" s="100"/>
      <c r="AA760" s="100"/>
      <c r="AB760" s="100"/>
      <c r="AC760" s="100"/>
      <c r="AD760" s="100"/>
      <c r="AF760"/>
      <c r="AG760">
        <f t="shared" si="335"/>
        <v>0</v>
      </c>
      <c r="AH760">
        <f t="shared" si="325"/>
        <v>0</v>
      </c>
      <c r="AK760">
        <f t="shared" si="326"/>
        <v>0</v>
      </c>
      <c r="AL760">
        <f t="shared" si="327"/>
        <v>0</v>
      </c>
      <c r="AM760">
        <f t="shared" si="328"/>
        <v>0</v>
      </c>
      <c r="AN760">
        <f t="shared" si="329"/>
        <v>0</v>
      </c>
      <c r="AO760">
        <f t="shared" si="330"/>
        <v>0</v>
      </c>
      <c r="AP760">
        <f t="shared" si="331"/>
        <v>0</v>
      </c>
      <c r="AQ760">
        <f t="shared" si="332"/>
        <v>0</v>
      </c>
      <c r="AR760">
        <f t="shared" si="333"/>
        <v>0</v>
      </c>
      <c r="AS760">
        <f t="shared" si="334"/>
        <v>0</v>
      </c>
    </row>
    <row r="761" spans="1:45" ht="15" customHeight="1">
      <c r="A761" s="176"/>
      <c r="B761" s="57"/>
      <c r="C761" s="1109"/>
      <c r="D761" s="954"/>
      <c r="E761" s="955"/>
      <c r="F761" s="956"/>
      <c r="G761" s="1110" t="s">
        <v>4880</v>
      </c>
      <c r="H761" s="1110"/>
      <c r="I761" s="178"/>
      <c r="J761" s="1111" t="s">
        <v>4881</v>
      </c>
      <c r="K761" s="1111"/>
      <c r="L761" s="1111"/>
      <c r="M761" s="1111"/>
      <c r="N761" s="1111"/>
      <c r="O761" s="1111"/>
      <c r="P761" s="1111"/>
      <c r="Q761" s="1111"/>
      <c r="R761" s="1111"/>
      <c r="S761" s="1111"/>
      <c r="T761" s="1111"/>
      <c r="U761" s="1112"/>
      <c r="V761" s="100"/>
      <c r="W761" s="100"/>
      <c r="X761" s="100"/>
      <c r="Y761" s="100"/>
      <c r="Z761" s="100"/>
      <c r="AA761" s="100"/>
      <c r="AB761" s="100"/>
      <c r="AC761" s="100"/>
      <c r="AD761" s="100"/>
      <c r="AF761"/>
      <c r="AG761">
        <f t="shared" si="335"/>
        <v>0</v>
      </c>
      <c r="AH761">
        <f t="shared" si="325"/>
        <v>0</v>
      </c>
      <c r="AK761">
        <f t="shared" si="326"/>
        <v>0</v>
      </c>
      <c r="AL761">
        <f t="shared" si="327"/>
        <v>0</v>
      </c>
      <c r="AM761">
        <f t="shared" si="328"/>
        <v>0</v>
      </c>
      <c r="AN761">
        <f t="shared" si="329"/>
        <v>0</v>
      </c>
      <c r="AO761">
        <f t="shared" si="330"/>
        <v>0</v>
      </c>
      <c r="AP761">
        <f t="shared" si="331"/>
        <v>0</v>
      </c>
      <c r="AQ761">
        <f t="shared" si="332"/>
        <v>0</v>
      </c>
      <c r="AR761">
        <f t="shared" si="333"/>
        <v>0</v>
      </c>
      <c r="AS761">
        <f t="shared" si="334"/>
        <v>0</v>
      </c>
    </row>
    <row r="762" spans="1:45" ht="15" customHeight="1">
      <c r="A762" s="176"/>
      <c r="B762" s="57"/>
      <c r="C762" s="1109"/>
      <c r="D762" s="954"/>
      <c r="E762" s="955"/>
      <c r="F762" s="956"/>
      <c r="G762" s="1110" t="s">
        <v>4882</v>
      </c>
      <c r="H762" s="1110"/>
      <c r="I762" s="178"/>
      <c r="J762" s="1111" t="s">
        <v>4883</v>
      </c>
      <c r="K762" s="1111"/>
      <c r="L762" s="1111"/>
      <c r="M762" s="1111"/>
      <c r="N762" s="1111"/>
      <c r="O762" s="1111"/>
      <c r="P762" s="1111"/>
      <c r="Q762" s="1111"/>
      <c r="R762" s="1111"/>
      <c r="S762" s="1111"/>
      <c r="T762" s="1111"/>
      <c r="U762" s="1112"/>
      <c r="V762" s="100"/>
      <c r="W762" s="100"/>
      <c r="X762" s="100"/>
      <c r="Y762" s="100"/>
      <c r="Z762" s="100"/>
      <c r="AA762" s="100"/>
      <c r="AB762" s="100"/>
      <c r="AC762" s="100"/>
      <c r="AD762" s="100"/>
      <c r="AF762"/>
      <c r="AG762">
        <f t="shared" si="335"/>
        <v>0</v>
      </c>
      <c r="AH762">
        <f t="shared" si="325"/>
        <v>0</v>
      </c>
      <c r="AK762">
        <f t="shared" si="326"/>
        <v>0</v>
      </c>
      <c r="AL762">
        <f t="shared" si="327"/>
        <v>0</v>
      </c>
      <c r="AM762">
        <f t="shared" si="328"/>
        <v>0</v>
      </c>
      <c r="AN762">
        <f t="shared" si="329"/>
        <v>0</v>
      </c>
      <c r="AO762">
        <f t="shared" si="330"/>
        <v>0</v>
      </c>
      <c r="AP762">
        <f t="shared" si="331"/>
        <v>0</v>
      </c>
      <c r="AQ762">
        <f t="shared" si="332"/>
        <v>0</v>
      </c>
      <c r="AR762">
        <f t="shared" si="333"/>
        <v>0</v>
      </c>
      <c r="AS762">
        <f t="shared" si="334"/>
        <v>0</v>
      </c>
    </row>
    <row r="763" spans="1:45" ht="15" customHeight="1">
      <c r="A763" s="176"/>
      <c r="B763" s="57"/>
      <c r="C763" s="1109"/>
      <c r="D763" s="954"/>
      <c r="E763" s="955"/>
      <c r="F763" s="956"/>
      <c r="G763" s="1110" t="s">
        <v>4884</v>
      </c>
      <c r="H763" s="1110"/>
      <c r="I763" s="178"/>
      <c r="J763" s="1111" t="s">
        <v>4885</v>
      </c>
      <c r="K763" s="1111"/>
      <c r="L763" s="1111"/>
      <c r="M763" s="1111"/>
      <c r="N763" s="1111"/>
      <c r="O763" s="1111"/>
      <c r="P763" s="1111"/>
      <c r="Q763" s="1111"/>
      <c r="R763" s="1111"/>
      <c r="S763" s="1111"/>
      <c r="T763" s="1111"/>
      <c r="U763" s="1112"/>
      <c r="V763" s="100"/>
      <c r="W763" s="100"/>
      <c r="X763" s="100"/>
      <c r="Y763" s="100"/>
      <c r="Z763" s="100"/>
      <c r="AA763" s="100"/>
      <c r="AB763" s="100"/>
      <c r="AC763" s="100"/>
      <c r="AD763" s="100"/>
      <c r="AF763"/>
      <c r="AG763">
        <f t="shared" si="335"/>
        <v>0</v>
      </c>
      <c r="AH763">
        <f t="shared" si="325"/>
        <v>0</v>
      </c>
      <c r="AK763">
        <f t="shared" si="326"/>
        <v>0</v>
      </c>
      <c r="AL763">
        <f t="shared" si="327"/>
        <v>0</v>
      </c>
      <c r="AM763">
        <f t="shared" si="328"/>
        <v>0</v>
      </c>
      <c r="AN763">
        <f t="shared" si="329"/>
        <v>0</v>
      </c>
      <c r="AO763">
        <f t="shared" si="330"/>
        <v>0</v>
      </c>
      <c r="AP763">
        <f t="shared" si="331"/>
        <v>0</v>
      </c>
      <c r="AQ763">
        <f t="shared" si="332"/>
        <v>0</v>
      </c>
      <c r="AR763">
        <f t="shared" si="333"/>
        <v>0</v>
      </c>
      <c r="AS763">
        <f t="shared" si="334"/>
        <v>0</v>
      </c>
    </row>
    <row r="764" spans="1:45" ht="15" customHeight="1">
      <c r="A764" s="176"/>
      <c r="B764" s="57"/>
      <c r="C764" s="1109"/>
      <c r="D764" s="954"/>
      <c r="E764" s="955"/>
      <c r="F764" s="956"/>
      <c r="G764" s="1110" t="s">
        <v>4886</v>
      </c>
      <c r="H764" s="1110"/>
      <c r="I764" s="178"/>
      <c r="J764" s="1111" t="s">
        <v>4887</v>
      </c>
      <c r="K764" s="1111"/>
      <c r="L764" s="1111"/>
      <c r="M764" s="1111"/>
      <c r="N764" s="1111"/>
      <c r="O764" s="1111"/>
      <c r="P764" s="1111"/>
      <c r="Q764" s="1111"/>
      <c r="R764" s="1111"/>
      <c r="S764" s="1111"/>
      <c r="T764" s="1111"/>
      <c r="U764" s="1112"/>
      <c r="V764" s="100"/>
      <c r="W764" s="100"/>
      <c r="X764" s="100"/>
      <c r="Y764" s="100"/>
      <c r="Z764" s="100"/>
      <c r="AA764" s="100"/>
      <c r="AB764" s="100"/>
      <c r="AC764" s="100"/>
      <c r="AD764" s="100"/>
      <c r="AF764"/>
      <c r="AG764">
        <f t="shared" si="335"/>
        <v>0</v>
      </c>
      <c r="AH764">
        <f t="shared" si="325"/>
        <v>0</v>
      </c>
      <c r="AK764">
        <f t="shared" si="326"/>
        <v>0</v>
      </c>
      <c r="AL764">
        <f t="shared" si="327"/>
        <v>0</v>
      </c>
      <c r="AM764">
        <f t="shared" si="328"/>
        <v>0</v>
      </c>
      <c r="AN764">
        <f t="shared" si="329"/>
        <v>0</v>
      </c>
      <c r="AO764">
        <f t="shared" si="330"/>
        <v>0</v>
      </c>
      <c r="AP764">
        <f t="shared" si="331"/>
        <v>0</v>
      </c>
      <c r="AQ764">
        <f t="shared" si="332"/>
        <v>0</v>
      </c>
      <c r="AR764">
        <f t="shared" si="333"/>
        <v>0</v>
      </c>
      <c r="AS764">
        <f t="shared" si="334"/>
        <v>0</v>
      </c>
    </row>
    <row r="765" spans="1:45" ht="15" customHeight="1">
      <c r="A765" s="176"/>
      <c r="B765" s="57"/>
      <c r="C765" s="1109"/>
      <c r="D765" s="954"/>
      <c r="E765" s="955"/>
      <c r="F765" s="956"/>
      <c r="G765" s="1110" t="s">
        <v>4888</v>
      </c>
      <c r="H765" s="1110"/>
      <c r="I765" s="178"/>
      <c r="J765" s="1111" t="s">
        <v>4889</v>
      </c>
      <c r="K765" s="1111"/>
      <c r="L765" s="1111"/>
      <c r="M765" s="1111"/>
      <c r="N765" s="1111"/>
      <c r="O765" s="1111"/>
      <c r="P765" s="1111"/>
      <c r="Q765" s="1111"/>
      <c r="R765" s="1111"/>
      <c r="S765" s="1111"/>
      <c r="T765" s="1111"/>
      <c r="U765" s="1112"/>
      <c r="V765" s="100"/>
      <c r="W765" s="100"/>
      <c r="X765" s="100"/>
      <c r="Y765" s="100"/>
      <c r="Z765" s="100"/>
      <c r="AA765" s="100"/>
      <c r="AB765" s="100"/>
      <c r="AC765" s="100"/>
      <c r="AD765" s="100"/>
      <c r="AF765"/>
      <c r="AG765">
        <f t="shared" si="335"/>
        <v>0</v>
      </c>
      <c r="AH765">
        <f t="shared" si="325"/>
        <v>0</v>
      </c>
      <c r="AK765">
        <f t="shared" si="326"/>
        <v>0</v>
      </c>
      <c r="AL765">
        <f t="shared" si="327"/>
        <v>0</v>
      </c>
      <c r="AM765">
        <f t="shared" si="328"/>
        <v>0</v>
      </c>
      <c r="AN765">
        <f t="shared" si="329"/>
        <v>0</v>
      </c>
      <c r="AO765">
        <f t="shared" si="330"/>
        <v>0</v>
      </c>
      <c r="AP765">
        <f t="shared" si="331"/>
        <v>0</v>
      </c>
      <c r="AQ765">
        <f t="shared" si="332"/>
        <v>0</v>
      </c>
      <c r="AR765">
        <f t="shared" si="333"/>
        <v>0</v>
      </c>
      <c r="AS765">
        <f t="shared" si="334"/>
        <v>0</v>
      </c>
    </row>
    <row r="766" spans="1:45" ht="15" customHeight="1">
      <c r="A766" s="176"/>
      <c r="B766" s="57"/>
      <c r="C766" s="1109"/>
      <c r="D766" s="954"/>
      <c r="E766" s="955"/>
      <c r="F766" s="956"/>
      <c r="G766" s="1110" t="s">
        <v>4890</v>
      </c>
      <c r="H766" s="1110"/>
      <c r="I766" s="179"/>
      <c r="J766" s="1113" t="s">
        <v>201</v>
      </c>
      <c r="K766" s="1113"/>
      <c r="L766" s="1113"/>
      <c r="M766" s="1113"/>
      <c r="N766" s="1113"/>
      <c r="O766" s="1113"/>
      <c r="P766" s="1113"/>
      <c r="Q766" s="1113"/>
      <c r="R766" s="1113"/>
      <c r="S766" s="1113"/>
      <c r="T766" s="1113"/>
      <c r="U766" s="1114"/>
      <c r="V766" s="100"/>
      <c r="W766" s="100"/>
      <c r="X766" s="100"/>
      <c r="Y766" s="100"/>
      <c r="Z766" s="100"/>
      <c r="AA766" s="100"/>
      <c r="AB766" s="100"/>
      <c r="AC766" s="100"/>
      <c r="AD766" s="100"/>
      <c r="AF766"/>
      <c r="AG766">
        <f t="shared" si="335"/>
        <v>0</v>
      </c>
      <c r="AH766">
        <f t="shared" si="325"/>
        <v>0</v>
      </c>
      <c r="AK766">
        <f t="shared" si="326"/>
        <v>0</v>
      </c>
      <c r="AL766">
        <f t="shared" si="327"/>
        <v>0</v>
      </c>
      <c r="AM766">
        <f t="shared" si="328"/>
        <v>0</v>
      </c>
      <c r="AN766">
        <f t="shared" si="329"/>
        <v>0</v>
      </c>
      <c r="AO766">
        <f t="shared" si="330"/>
        <v>0</v>
      </c>
      <c r="AP766">
        <f t="shared" si="331"/>
        <v>0</v>
      </c>
      <c r="AQ766">
        <f t="shared" si="332"/>
        <v>0</v>
      </c>
      <c r="AR766">
        <f t="shared" si="333"/>
        <v>0</v>
      </c>
      <c r="AS766">
        <f t="shared" si="334"/>
        <v>0</v>
      </c>
    </row>
    <row r="767" spans="1:45" ht="15" customHeight="1">
      <c r="A767" s="176"/>
      <c r="B767" s="57"/>
      <c r="C767" s="1109"/>
      <c r="D767" s="954"/>
      <c r="E767" s="955"/>
      <c r="F767" s="956"/>
      <c r="G767" s="1103" t="s">
        <v>4891</v>
      </c>
      <c r="H767" s="1103"/>
      <c r="I767" s="1104" t="s">
        <v>4892</v>
      </c>
      <c r="J767" s="1105"/>
      <c r="K767" s="1105"/>
      <c r="L767" s="1105"/>
      <c r="M767" s="1105"/>
      <c r="N767" s="1105"/>
      <c r="O767" s="1105"/>
      <c r="P767" s="1105"/>
      <c r="Q767" s="1105"/>
      <c r="R767" s="1105"/>
      <c r="S767" s="1105"/>
      <c r="T767" s="1105"/>
      <c r="U767" s="1106"/>
      <c r="V767" s="100"/>
      <c r="W767" s="100"/>
      <c r="X767" s="100"/>
      <c r="Y767" s="100"/>
      <c r="Z767" s="100"/>
      <c r="AA767" s="100"/>
      <c r="AB767" s="100"/>
      <c r="AC767" s="100"/>
      <c r="AD767" s="100"/>
      <c r="AF767">
        <f>IF(V767="NA",IF(AND(COUNTIF(V768:V772,"="&amp;$AF$545)=0,COUNTIF(V768:V772,"&lt;&gt;NA")&gt;0),1,0),IF(AND(COUNTIF(V768:V772,"="&amp;$AF$545)=0,COUNTIF(V768:V772,"NA")=COUNTIF(V768:V772,"&lt;&gt;"&amp;$AF$545)),1,0))</f>
        <v>0</v>
      </c>
      <c r="AG767">
        <f t="shared" si="335"/>
        <v>0</v>
      </c>
      <c r="AH767">
        <f t="shared" si="325"/>
        <v>0</v>
      </c>
      <c r="AK767">
        <f t="shared" si="326"/>
        <v>0</v>
      </c>
      <c r="AL767">
        <f t="shared" si="327"/>
        <v>0</v>
      </c>
      <c r="AM767">
        <f t="shared" si="328"/>
        <v>0</v>
      </c>
      <c r="AN767">
        <f t="shared" si="329"/>
        <v>0</v>
      </c>
      <c r="AO767">
        <f t="shared" si="330"/>
        <v>0</v>
      </c>
      <c r="AP767">
        <f t="shared" si="331"/>
        <v>0</v>
      </c>
      <c r="AQ767">
        <f t="shared" si="332"/>
        <v>0</v>
      </c>
      <c r="AR767">
        <f t="shared" si="333"/>
        <v>0</v>
      </c>
      <c r="AS767">
        <f t="shared" si="334"/>
        <v>0</v>
      </c>
    </row>
    <row r="768" spans="1:45" ht="15" customHeight="1">
      <c r="A768" s="176"/>
      <c r="B768" s="57"/>
      <c r="C768" s="1109"/>
      <c r="D768" s="954"/>
      <c r="E768" s="955"/>
      <c r="F768" s="956"/>
      <c r="G768" s="1110" t="s">
        <v>4893</v>
      </c>
      <c r="H768" s="1110"/>
      <c r="I768" s="177"/>
      <c r="J768" s="1115" t="s">
        <v>4894</v>
      </c>
      <c r="K768" s="1115"/>
      <c r="L768" s="1115"/>
      <c r="M768" s="1115"/>
      <c r="N768" s="1115"/>
      <c r="O768" s="1115"/>
      <c r="P768" s="1115"/>
      <c r="Q768" s="1115"/>
      <c r="R768" s="1115"/>
      <c r="S768" s="1115"/>
      <c r="T768" s="1115"/>
      <c r="U768" s="1116"/>
      <c r="V768" s="100"/>
      <c r="W768" s="100"/>
      <c r="X768" s="100"/>
      <c r="Y768" s="100"/>
      <c r="Z768" s="100"/>
      <c r="AA768" s="100"/>
      <c r="AB768" s="100"/>
      <c r="AC768" s="100"/>
      <c r="AD768" s="100"/>
      <c r="AF768"/>
      <c r="AG768">
        <f t="shared" si="335"/>
        <v>0</v>
      </c>
      <c r="AH768">
        <f t="shared" si="325"/>
        <v>0</v>
      </c>
      <c r="AK768">
        <f t="shared" si="326"/>
        <v>0</v>
      </c>
      <c r="AL768">
        <f t="shared" si="327"/>
        <v>0</v>
      </c>
      <c r="AM768">
        <f t="shared" si="328"/>
        <v>0</v>
      </c>
      <c r="AN768">
        <f t="shared" si="329"/>
        <v>0</v>
      </c>
      <c r="AO768">
        <f t="shared" si="330"/>
        <v>0</v>
      </c>
      <c r="AP768">
        <f t="shared" si="331"/>
        <v>0</v>
      </c>
      <c r="AQ768">
        <f t="shared" si="332"/>
        <v>0</v>
      </c>
      <c r="AR768">
        <f t="shared" si="333"/>
        <v>0</v>
      </c>
      <c r="AS768">
        <f t="shared" si="334"/>
        <v>0</v>
      </c>
    </row>
    <row r="769" spans="1:45" ht="15" customHeight="1">
      <c r="A769" s="176"/>
      <c r="B769" s="57"/>
      <c r="C769" s="1109"/>
      <c r="D769" s="954"/>
      <c r="E769" s="955"/>
      <c r="F769" s="956"/>
      <c r="G769" s="1110" t="s">
        <v>4895</v>
      </c>
      <c r="H769" s="1110"/>
      <c r="I769" s="178"/>
      <c r="J769" s="1111" t="s">
        <v>4896</v>
      </c>
      <c r="K769" s="1111"/>
      <c r="L769" s="1111"/>
      <c r="M769" s="1111"/>
      <c r="N769" s="1111"/>
      <c r="O769" s="1111"/>
      <c r="P769" s="1111"/>
      <c r="Q769" s="1111"/>
      <c r="R769" s="1111"/>
      <c r="S769" s="1111"/>
      <c r="T769" s="1111"/>
      <c r="U769" s="1112"/>
      <c r="V769" s="100"/>
      <c r="W769" s="100"/>
      <c r="X769" s="100"/>
      <c r="Y769" s="100"/>
      <c r="Z769" s="100"/>
      <c r="AA769" s="100"/>
      <c r="AB769" s="100"/>
      <c r="AC769" s="100"/>
      <c r="AD769" s="100"/>
      <c r="AF769"/>
      <c r="AG769">
        <f t="shared" si="335"/>
        <v>0</v>
      </c>
      <c r="AH769">
        <f t="shared" si="325"/>
        <v>0</v>
      </c>
      <c r="AK769">
        <f t="shared" si="326"/>
        <v>0</v>
      </c>
      <c r="AL769">
        <f t="shared" si="327"/>
        <v>0</v>
      </c>
      <c r="AM769">
        <f t="shared" si="328"/>
        <v>0</v>
      </c>
      <c r="AN769">
        <f t="shared" si="329"/>
        <v>0</v>
      </c>
      <c r="AO769">
        <f t="shared" si="330"/>
        <v>0</v>
      </c>
      <c r="AP769">
        <f t="shared" si="331"/>
        <v>0</v>
      </c>
      <c r="AQ769">
        <f t="shared" si="332"/>
        <v>0</v>
      </c>
      <c r="AR769">
        <f t="shared" si="333"/>
        <v>0</v>
      </c>
      <c r="AS769">
        <f t="shared" si="334"/>
        <v>0</v>
      </c>
    </row>
    <row r="770" spans="1:45" ht="15" customHeight="1">
      <c r="A770" s="176"/>
      <c r="B770" s="57"/>
      <c r="C770" s="1109"/>
      <c r="D770" s="954"/>
      <c r="E770" s="955"/>
      <c r="F770" s="956"/>
      <c r="G770" s="1110" t="s">
        <v>4897</v>
      </c>
      <c r="H770" s="1110"/>
      <c r="I770" s="178"/>
      <c r="J770" s="1111" t="s">
        <v>4898</v>
      </c>
      <c r="K770" s="1111"/>
      <c r="L770" s="1111"/>
      <c r="M770" s="1111"/>
      <c r="N770" s="1111"/>
      <c r="O770" s="1111"/>
      <c r="P770" s="1111"/>
      <c r="Q770" s="1111"/>
      <c r="R770" s="1111"/>
      <c r="S770" s="1111"/>
      <c r="T770" s="1111"/>
      <c r="U770" s="1112"/>
      <c r="V770" s="100"/>
      <c r="W770" s="100"/>
      <c r="X770" s="100"/>
      <c r="Y770" s="100"/>
      <c r="Z770" s="100"/>
      <c r="AA770" s="100"/>
      <c r="AB770" s="100"/>
      <c r="AC770" s="100"/>
      <c r="AD770" s="100"/>
      <c r="AF770"/>
      <c r="AG770">
        <f t="shared" si="335"/>
        <v>0</v>
      </c>
      <c r="AH770">
        <f t="shared" si="325"/>
        <v>0</v>
      </c>
      <c r="AK770">
        <f t="shared" si="326"/>
        <v>0</v>
      </c>
      <c r="AL770">
        <f t="shared" si="327"/>
        <v>0</v>
      </c>
      <c r="AM770">
        <f t="shared" si="328"/>
        <v>0</v>
      </c>
      <c r="AN770">
        <f t="shared" si="329"/>
        <v>0</v>
      </c>
      <c r="AO770">
        <f t="shared" si="330"/>
        <v>0</v>
      </c>
      <c r="AP770">
        <f t="shared" si="331"/>
        <v>0</v>
      </c>
      <c r="AQ770">
        <f t="shared" si="332"/>
        <v>0</v>
      </c>
      <c r="AR770">
        <f t="shared" si="333"/>
        <v>0</v>
      </c>
      <c r="AS770">
        <f t="shared" si="334"/>
        <v>0</v>
      </c>
    </row>
    <row r="771" spans="1:45" ht="15" customHeight="1">
      <c r="A771" s="176"/>
      <c r="B771" s="57"/>
      <c r="C771" s="1109"/>
      <c r="D771" s="954"/>
      <c r="E771" s="955"/>
      <c r="F771" s="956"/>
      <c r="G771" s="1110" t="s">
        <v>4899</v>
      </c>
      <c r="H771" s="1110"/>
      <c r="I771" s="178"/>
      <c r="J771" s="1111" t="s">
        <v>4900</v>
      </c>
      <c r="K771" s="1111"/>
      <c r="L771" s="1111"/>
      <c r="M771" s="1111"/>
      <c r="N771" s="1111"/>
      <c r="O771" s="1111"/>
      <c r="P771" s="1111"/>
      <c r="Q771" s="1111"/>
      <c r="R771" s="1111"/>
      <c r="S771" s="1111"/>
      <c r="T771" s="1111"/>
      <c r="U771" s="1112"/>
      <c r="V771" s="100"/>
      <c r="W771" s="100"/>
      <c r="X771" s="100"/>
      <c r="Y771" s="100"/>
      <c r="Z771" s="100"/>
      <c r="AA771" s="100"/>
      <c r="AB771" s="100"/>
      <c r="AC771" s="100"/>
      <c r="AD771" s="100"/>
      <c r="AF771"/>
      <c r="AG771">
        <f t="shared" si="335"/>
        <v>0</v>
      </c>
      <c r="AH771">
        <f t="shared" si="325"/>
        <v>0</v>
      </c>
      <c r="AK771">
        <f t="shared" si="326"/>
        <v>0</v>
      </c>
      <c r="AL771">
        <f t="shared" si="327"/>
        <v>0</v>
      </c>
      <c r="AM771">
        <f t="shared" si="328"/>
        <v>0</v>
      </c>
      <c r="AN771">
        <f t="shared" si="329"/>
        <v>0</v>
      </c>
      <c r="AO771">
        <f t="shared" si="330"/>
        <v>0</v>
      </c>
      <c r="AP771">
        <f t="shared" si="331"/>
        <v>0</v>
      </c>
      <c r="AQ771">
        <f t="shared" si="332"/>
        <v>0</v>
      </c>
      <c r="AR771">
        <f t="shared" si="333"/>
        <v>0</v>
      </c>
      <c r="AS771">
        <f t="shared" si="334"/>
        <v>0</v>
      </c>
    </row>
    <row r="772" spans="1:45" ht="15" customHeight="1">
      <c r="A772" s="176"/>
      <c r="B772" s="57"/>
      <c r="C772" s="1109"/>
      <c r="D772" s="954"/>
      <c r="E772" s="955"/>
      <c r="F772" s="956"/>
      <c r="G772" s="1110" t="s">
        <v>4901</v>
      </c>
      <c r="H772" s="1110"/>
      <c r="I772" s="179"/>
      <c r="J772" s="1113" t="s">
        <v>201</v>
      </c>
      <c r="K772" s="1113"/>
      <c r="L772" s="1113"/>
      <c r="M772" s="1113"/>
      <c r="N772" s="1113"/>
      <c r="O772" s="1113"/>
      <c r="P772" s="1113"/>
      <c r="Q772" s="1113"/>
      <c r="R772" s="1113"/>
      <c r="S772" s="1113"/>
      <c r="T772" s="1113"/>
      <c r="U772" s="1114"/>
      <c r="V772" s="100"/>
      <c r="W772" s="100"/>
      <c r="X772" s="100"/>
      <c r="Y772" s="100"/>
      <c r="Z772" s="100"/>
      <c r="AA772" s="100"/>
      <c r="AB772" s="100"/>
      <c r="AC772" s="100"/>
      <c r="AD772" s="100"/>
      <c r="AF772"/>
      <c r="AG772">
        <f t="shared" si="335"/>
        <v>0</v>
      </c>
      <c r="AH772">
        <f t="shared" si="325"/>
        <v>0</v>
      </c>
      <c r="AK772">
        <f t="shared" si="326"/>
        <v>0</v>
      </c>
      <c r="AL772">
        <f t="shared" si="327"/>
        <v>0</v>
      </c>
      <c r="AM772">
        <f t="shared" si="328"/>
        <v>0</v>
      </c>
      <c r="AN772">
        <f t="shared" si="329"/>
        <v>0</v>
      </c>
      <c r="AO772">
        <f t="shared" si="330"/>
        <v>0</v>
      </c>
      <c r="AP772">
        <f t="shared" si="331"/>
        <v>0</v>
      </c>
      <c r="AQ772">
        <f t="shared" si="332"/>
        <v>0</v>
      </c>
      <c r="AR772">
        <f t="shared" si="333"/>
        <v>0</v>
      </c>
      <c r="AS772">
        <f t="shared" si="334"/>
        <v>0</v>
      </c>
    </row>
    <row r="773" spans="1:45" ht="15" customHeight="1">
      <c r="A773" s="176"/>
      <c r="B773" s="57"/>
      <c r="C773" s="1109"/>
      <c r="D773" s="954"/>
      <c r="E773" s="955"/>
      <c r="F773" s="956"/>
      <c r="G773" s="1103" t="s">
        <v>4902</v>
      </c>
      <c r="H773" s="1103"/>
      <c r="I773" s="1104" t="s">
        <v>4903</v>
      </c>
      <c r="J773" s="1105"/>
      <c r="K773" s="1105"/>
      <c r="L773" s="1105"/>
      <c r="M773" s="1105"/>
      <c r="N773" s="1105"/>
      <c r="O773" s="1105"/>
      <c r="P773" s="1105"/>
      <c r="Q773" s="1105"/>
      <c r="R773" s="1105"/>
      <c r="S773" s="1105"/>
      <c r="T773" s="1105"/>
      <c r="U773" s="1106"/>
      <c r="V773" s="100"/>
      <c r="W773" s="100"/>
      <c r="X773" s="100"/>
      <c r="Y773" s="100"/>
      <c r="Z773" s="100"/>
      <c r="AA773" s="100"/>
      <c r="AB773" s="100"/>
      <c r="AC773" s="100"/>
      <c r="AD773" s="100"/>
      <c r="AF773"/>
      <c r="AG773">
        <f t="shared" si="335"/>
        <v>0</v>
      </c>
      <c r="AH773">
        <f t="shared" si="325"/>
        <v>0</v>
      </c>
      <c r="AK773">
        <f t="shared" si="326"/>
        <v>0</v>
      </c>
      <c r="AL773">
        <f t="shared" si="327"/>
        <v>0</v>
      </c>
      <c r="AM773">
        <f t="shared" si="328"/>
        <v>0</v>
      </c>
      <c r="AN773">
        <f t="shared" si="329"/>
        <v>0</v>
      </c>
      <c r="AO773">
        <f t="shared" si="330"/>
        <v>0</v>
      </c>
      <c r="AP773">
        <f t="shared" si="331"/>
        <v>0</v>
      </c>
      <c r="AQ773">
        <f t="shared" si="332"/>
        <v>0</v>
      </c>
      <c r="AR773">
        <f t="shared" si="333"/>
        <v>0</v>
      </c>
      <c r="AS773">
        <f t="shared" si="334"/>
        <v>0</v>
      </c>
    </row>
    <row r="774" spans="1:45" ht="15" customHeight="1">
      <c r="A774" s="176"/>
      <c r="B774" s="57"/>
      <c r="C774" s="1109"/>
      <c r="D774" s="954"/>
      <c r="E774" s="955"/>
      <c r="F774" s="956"/>
      <c r="G774" s="1103" t="s">
        <v>4904</v>
      </c>
      <c r="H774" s="1103"/>
      <c r="I774" s="1104" t="s">
        <v>4905</v>
      </c>
      <c r="J774" s="1105"/>
      <c r="K774" s="1105"/>
      <c r="L774" s="1105"/>
      <c r="M774" s="1105"/>
      <c r="N774" s="1105"/>
      <c r="O774" s="1105"/>
      <c r="P774" s="1105"/>
      <c r="Q774" s="1105"/>
      <c r="R774" s="1105"/>
      <c r="S774" s="1105"/>
      <c r="T774" s="1105"/>
      <c r="U774" s="1106"/>
      <c r="V774" s="100"/>
      <c r="W774" s="100"/>
      <c r="X774" s="100"/>
      <c r="Y774" s="100"/>
      <c r="Z774" s="100"/>
      <c r="AA774" s="100"/>
      <c r="AB774" s="100"/>
      <c r="AC774" s="100"/>
      <c r="AD774" s="100"/>
      <c r="AF774"/>
      <c r="AG774">
        <f t="shared" si="335"/>
        <v>0</v>
      </c>
      <c r="AH774">
        <f t="shared" si="325"/>
        <v>0</v>
      </c>
      <c r="AK774">
        <f t="shared" si="326"/>
        <v>0</v>
      </c>
      <c r="AL774">
        <f t="shared" si="327"/>
        <v>0</v>
      </c>
      <c r="AM774">
        <f t="shared" si="328"/>
        <v>0</v>
      </c>
      <c r="AN774">
        <f t="shared" si="329"/>
        <v>0</v>
      </c>
      <c r="AO774">
        <f t="shared" si="330"/>
        <v>0</v>
      </c>
      <c r="AP774">
        <f t="shared" si="331"/>
        <v>0</v>
      </c>
      <c r="AQ774">
        <f t="shared" si="332"/>
        <v>0</v>
      </c>
      <c r="AR774">
        <f t="shared" si="333"/>
        <v>0</v>
      </c>
      <c r="AS774">
        <f t="shared" si="334"/>
        <v>0</v>
      </c>
    </row>
    <row r="775" spans="1:45" ht="15" customHeight="1">
      <c r="A775" s="176"/>
      <c r="B775" s="57"/>
      <c r="C775" s="1109"/>
      <c r="D775" s="954"/>
      <c r="E775" s="955"/>
      <c r="F775" s="956"/>
      <c r="G775" s="1103" t="s">
        <v>4906</v>
      </c>
      <c r="H775" s="1103"/>
      <c r="I775" s="1104" t="s">
        <v>4907</v>
      </c>
      <c r="J775" s="1105"/>
      <c r="K775" s="1105"/>
      <c r="L775" s="1105"/>
      <c r="M775" s="1105"/>
      <c r="N775" s="1105"/>
      <c r="O775" s="1105"/>
      <c r="P775" s="1105"/>
      <c r="Q775" s="1105"/>
      <c r="R775" s="1105"/>
      <c r="S775" s="1105"/>
      <c r="T775" s="1105"/>
      <c r="U775" s="1106"/>
      <c r="V775" s="100"/>
      <c r="W775" s="100"/>
      <c r="X775" s="100"/>
      <c r="Y775" s="100"/>
      <c r="Z775" s="100"/>
      <c r="AA775" s="100"/>
      <c r="AB775" s="100"/>
      <c r="AC775" s="100"/>
      <c r="AD775" s="100"/>
      <c r="AF775">
        <f>IF(V775="NA",IF(AND(COUNTIF(V776:V778,"="&amp;$AF$545)=0,COUNTIF(V776:V778,"&lt;&gt;NA")&gt;0),1,0),IF(AND(COUNTIF(V776:V778,"="&amp;$AF$545)=0,COUNTIF(V776:V778,"NA")=COUNTIF(V776:V778,"&lt;&gt;"&amp;$AF$545)),1,0))</f>
        <v>0</v>
      </c>
      <c r="AG775">
        <f t="shared" si="335"/>
        <v>0</v>
      </c>
      <c r="AH775">
        <f t="shared" si="325"/>
        <v>0</v>
      </c>
      <c r="AK775">
        <f t="shared" si="326"/>
        <v>0</v>
      </c>
      <c r="AL775">
        <f t="shared" si="327"/>
        <v>0</v>
      </c>
      <c r="AM775">
        <f t="shared" si="328"/>
        <v>0</v>
      </c>
      <c r="AN775">
        <f t="shared" si="329"/>
        <v>0</v>
      </c>
      <c r="AO775">
        <f t="shared" si="330"/>
        <v>0</v>
      </c>
      <c r="AP775">
        <f t="shared" si="331"/>
        <v>0</v>
      </c>
      <c r="AQ775">
        <f t="shared" si="332"/>
        <v>0</v>
      </c>
      <c r="AR775">
        <f t="shared" si="333"/>
        <v>0</v>
      </c>
      <c r="AS775">
        <f t="shared" si="334"/>
        <v>0</v>
      </c>
    </row>
    <row r="776" spans="1:45" ht="24" customHeight="1">
      <c r="A776" s="176"/>
      <c r="B776" s="57"/>
      <c r="C776" s="1109"/>
      <c r="D776" s="954"/>
      <c r="E776" s="955"/>
      <c r="F776" s="956"/>
      <c r="G776" s="1110" t="s">
        <v>4908</v>
      </c>
      <c r="H776" s="1110"/>
      <c r="I776" s="177"/>
      <c r="J776" s="1115" t="s">
        <v>4909</v>
      </c>
      <c r="K776" s="1115"/>
      <c r="L776" s="1115"/>
      <c r="M776" s="1115"/>
      <c r="N776" s="1115"/>
      <c r="O776" s="1115"/>
      <c r="P776" s="1115"/>
      <c r="Q776" s="1115"/>
      <c r="R776" s="1115"/>
      <c r="S776" s="1115"/>
      <c r="T776" s="1115"/>
      <c r="U776" s="1116"/>
      <c r="V776" s="100"/>
      <c r="W776" s="100"/>
      <c r="X776" s="100"/>
      <c r="Y776" s="100"/>
      <c r="Z776" s="100"/>
      <c r="AA776" s="100"/>
      <c r="AB776" s="100"/>
      <c r="AC776" s="100"/>
      <c r="AD776" s="100"/>
      <c r="AF776"/>
      <c r="AG776">
        <f t="shared" si="335"/>
        <v>0</v>
      </c>
      <c r="AH776">
        <f t="shared" si="325"/>
        <v>0</v>
      </c>
      <c r="AK776">
        <f t="shared" si="326"/>
        <v>0</v>
      </c>
      <c r="AL776">
        <f t="shared" si="327"/>
        <v>0</v>
      </c>
      <c r="AM776">
        <f t="shared" si="328"/>
        <v>0</v>
      </c>
      <c r="AN776">
        <f t="shared" si="329"/>
        <v>0</v>
      </c>
      <c r="AO776">
        <f t="shared" si="330"/>
        <v>0</v>
      </c>
      <c r="AP776">
        <f t="shared" si="331"/>
        <v>0</v>
      </c>
      <c r="AQ776">
        <f t="shared" si="332"/>
        <v>0</v>
      </c>
      <c r="AR776">
        <f t="shared" si="333"/>
        <v>0</v>
      </c>
      <c r="AS776">
        <f t="shared" si="334"/>
        <v>0</v>
      </c>
    </row>
    <row r="777" spans="1:45" ht="15" customHeight="1">
      <c r="A777" s="176"/>
      <c r="B777" s="57"/>
      <c r="C777" s="1109"/>
      <c r="D777" s="954"/>
      <c r="E777" s="955"/>
      <c r="F777" s="956"/>
      <c r="G777" s="1110" t="s">
        <v>4910</v>
      </c>
      <c r="H777" s="1110"/>
      <c r="I777" s="178"/>
      <c r="J777" s="1111" t="s">
        <v>4911</v>
      </c>
      <c r="K777" s="1111"/>
      <c r="L777" s="1111"/>
      <c r="M777" s="1111"/>
      <c r="N777" s="1111"/>
      <c r="O777" s="1111"/>
      <c r="P777" s="1111"/>
      <c r="Q777" s="1111"/>
      <c r="R777" s="1111"/>
      <c r="S777" s="1111"/>
      <c r="T777" s="1111"/>
      <c r="U777" s="1112"/>
      <c r="V777" s="100"/>
      <c r="W777" s="100"/>
      <c r="X777" s="100"/>
      <c r="Y777" s="100"/>
      <c r="Z777" s="100"/>
      <c r="AA777" s="100"/>
      <c r="AB777" s="100"/>
      <c r="AC777" s="100"/>
      <c r="AD777" s="100"/>
      <c r="AF777"/>
      <c r="AG777">
        <f t="shared" si="335"/>
        <v>0</v>
      </c>
      <c r="AH777">
        <f t="shared" si="325"/>
        <v>0</v>
      </c>
      <c r="AK777">
        <f t="shared" si="326"/>
        <v>0</v>
      </c>
      <c r="AL777">
        <f t="shared" si="327"/>
        <v>0</v>
      </c>
      <c r="AM777">
        <f t="shared" si="328"/>
        <v>0</v>
      </c>
      <c r="AN777">
        <f t="shared" si="329"/>
        <v>0</v>
      </c>
      <c r="AO777">
        <f t="shared" si="330"/>
        <v>0</v>
      </c>
      <c r="AP777">
        <f t="shared" si="331"/>
        <v>0</v>
      </c>
      <c r="AQ777">
        <f t="shared" si="332"/>
        <v>0</v>
      </c>
      <c r="AR777">
        <f t="shared" si="333"/>
        <v>0</v>
      </c>
      <c r="AS777">
        <f t="shared" si="334"/>
        <v>0</v>
      </c>
    </row>
    <row r="778" spans="1:45" ht="15" customHeight="1">
      <c r="A778" s="176"/>
      <c r="B778" s="57"/>
      <c r="C778" s="1109"/>
      <c r="D778" s="954"/>
      <c r="E778" s="955"/>
      <c r="F778" s="956"/>
      <c r="G778" s="1110" t="s">
        <v>4912</v>
      </c>
      <c r="H778" s="1110"/>
      <c r="I778" s="179"/>
      <c r="J778" s="1113" t="s">
        <v>201</v>
      </c>
      <c r="K778" s="1113"/>
      <c r="L778" s="1113"/>
      <c r="M778" s="1113"/>
      <c r="N778" s="1113"/>
      <c r="O778" s="1113"/>
      <c r="P778" s="1113"/>
      <c r="Q778" s="1113"/>
      <c r="R778" s="1113"/>
      <c r="S778" s="1113"/>
      <c r="T778" s="1113"/>
      <c r="U778" s="1114"/>
      <c r="V778" s="100"/>
      <c r="W778" s="100"/>
      <c r="X778" s="100"/>
      <c r="Y778" s="100"/>
      <c r="Z778" s="100"/>
      <c r="AA778" s="100"/>
      <c r="AB778" s="100"/>
      <c r="AC778" s="100"/>
      <c r="AD778" s="100"/>
      <c r="AF778"/>
      <c r="AG778">
        <f t="shared" si="335"/>
        <v>0</v>
      </c>
      <c r="AH778">
        <f t="shared" si="325"/>
        <v>0</v>
      </c>
      <c r="AK778">
        <f t="shared" si="326"/>
        <v>0</v>
      </c>
      <c r="AL778">
        <f t="shared" si="327"/>
        <v>0</v>
      </c>
      <c r="AM778">
        <f t="shared" si="328"/>
        <v>0</v>
      </c>
      <c r="AN778">
        <f t="shared" si="329"/>
        <v>0</v>
      </c>
      <c r="AO778">
        <f t="shared" si="330"/>
        <v>0</v>
      </c>
      <c r="AP778">
        <f t="shared" si="331"/>
        <v>0</v>
      </c>
      <c r="AQ778">
        <f t="shared" si="332"/>
        <v>0</v>
      </c>
      <c r="AR778">
        <f t="shared" si="333"/>
        <v>0</v>
      </c>
      <c r="AS778">
        <f t="shared" si="334"/>
        <v>0</v>
      </c>
    </row>
    <row r="779" spans="1:45" ht="15" customHeight="1">
      <c r="A779" s="176"/>
      <c r="B779" s="57"/>
      <c r="C779" s="1109"/>
      <c r="D779" s="954"/>
      <c r="E779" s="955"/>
      <c r="F779" s="956"/>
      <c r="G779" s="1103" t="s">
        <v>4913</v>
      </c>
      <c r="H779" s="1103"/>
      <c r="I779" s="1104" t="s">
        <v>4914</v>
      </c>
      <c r="J779" s="1105"/>
      <c r="K779" s="1105"/>
      <c r="L779" s="1105"/>
      <c r="M779" s="1105"/>
      <c r="N779" s="1105"/>
      <c r="O779" s="1105"/>
      <c r="P779" s="1105"/>
      <c r="Q779" s="1105"/>
      <c r="R779" s="1105"/>
      <c r="S779" s="1105"/>
      <c r="T779" s="1105"/>
      <c r="U779" s="1106"/>
      <c r="V779" s="100"/>
      <c r="W779" s="100"/>
      <c r="X779" s="100"/>
      <c r="Y779" s="100"/>
      <c r="Z779" s="100"/>
      <c r="AA779" s="100"/>
      <c r="AB779" s="100"/>
      <c r="AC779" s="100"/>
      <c r="AD779" s="100"/>
      <c r="AF779"/>
      <c r="AG779">
        <f t="shared" si="335"/>
        <v>0</v>
      </c>
      <c r="AH779">
        <f t="shared" si="325"/>
        <v>0</v>
      </c>
      <c r="AK779">
        <f t="shared" si="326"/>
        <v>0</v>
      </c>
      <c r="AL779">
        <f t="shared" si="327"/>
        <v>0</v>
      </c>
      <c r="AM779">
        <f t="shared" si="328"/>
        <v>0</v>
      </c>
      <c r="AN779">
        <f t="shared" si="329"/>
        <v>0</v>
      </c>
      <c r="AO779">
        <f t="shared" si="330"/>
        <v>0</v>
      </c>
      <c r="AP779">
        <f t="shared" si="331"/>
        <v>0</v>
      </c>
      <c r="AQ779">
        <f t="shared" si="332"/>
        <v>0</v>
      </c>
      <c r="AR779">
        <f t="shared" si="333"/>
        <v>0</v>
      </c>
      <c r="AS779">
        <f t="shared" si="334"/>
        <v>0</v>
      </c>
    </row>
    <row r="780" spans="1:45" ht="15" customHeight="1">
      <c r="A780" s="176"/>
      <c r="B780" s="57"/>
      <c r="C780" s="1109"/>
      <c r="D780" s="954"/>
      <c r="E780" s="955"/>
      <c r="F780" s="956"/>
      <c r="G780" s="1103" t="s">
        <v>4915</v>
      </c>
      <c r="H780" s="1103"/>
      <c r="I780" s="1104" t="s">
        <v>4916</v>
      </c>
      <c r="J780" s="1105"/>
      <c r="K780" s="1105"/>
      <c r="L780" s="1105"/>
      <c r="M780" s="1105"/>
      <c r="N780" s="1105"/>
      <c r="O780" s="1105"/>
      <c r="P780" s="1105"/>
      <c r="Q780" s="1105"/>
      <c r="R780" s="1105"/>
      <c r="S780" s="1105"/>
      <c r="T780" s="1105"/>
      <c r="U780" s="1106"/>
      <c r="V780" s="100"/>
      <c r="W780" s="100"/>
      <c r="X780" s="100"/>
      <c r="Y780" s="100"/>
      <c r="Z780" s="100"/>
      <c r="AA780" s="100"/>
      <c r="AB780" s="100"/>
      <c r="AC780" s="100"/>
      <c r="AD780" s="100"/>
      <c r="AF780"/>
      <c r="AG780">
        <f t="shared" si="335"/>
        <v>0</v>
      </c>
      <c r="AH780">
        <f t="shared" si="325"/>
        <v>0</v>
      </c>
      <c r="AK780">
        <f t="shared" si="326"/>
        <v>0</v>
      </c>
      <c r="AL780">
        <f t="shared" si="327"/>
        <v>0</v>
      </c>
      <c r="AM780">
        <f t="shared" si="328"/>
        <v>0</v>
      </c>
      <c r="AN780">
        <f t="shared" si="329"/>
        <v>0</v>
      </c>
      <c r="AO780">
        <f t="shared" si="330"/>
        <v>0</v>
      </c>
      <c r="AP780">
        <f t="shared" si="331"/>
        <v>0</v>
      </c>
      <c r="AQ780">
        <f t="shared" si="332"/>
        <v>0</v>
      </c>
      <c r="AR780">
        <f t="shared" si="333"/>
        <v>0</v>
      </c>
      <c r="AS780">
        <f t="shared" si="334"/>
        <v>0</v>
      </c>
    </row>
    <row r="781" spans="1:45" ht="15" customHeight="1">
      <c r="A781" s="176"/>
      <c r="B781" s="57"/>
      <c r="C781" s="1109"/>
      <c r="D781" s="954"/>
      <c r="E781" s="955"/>
      <c r="F781" s="956"/>
      <c r="G781" s="1103" t="s">
        <v>4917</v>
      </c>
      <c r="H781" s="1103"/>
      <c r="I781" s="1104" t="s">
        <v>4918</v>
      </c>
      <c r="J781" s="1105"/>
      <c r="K781" s="1105"/>
      <c r="L781" s="1105"/>
      <c r="M781" s="1105"/>
      <c r="N781" s="1105"/>
      <c r="O781" s="1105"/>
      <c r="P781" s="1105"/>
      <c r="Q781" s="1105"/>
      <c r="R781" s="1105"/>
      <c r="S781" s="1105"/>
      <c r="T781" s="1105"/>
      <c r="U781" s="1106"/>
      <c r="V781" s="100"/>
      <c r="W781" s="100"/>
      <c r="X781" s="100"/>
      <c r="Y781" s="100"/>
      <c r="Z781" s="100"/>
      <c r="AA781" s="100"/>
      <c r="AB781" s="100"/>
      <c r="AC781" s="100"/>
      <c r="AD781" s="100"/>
      <c r="AF781"/>
      <c r="AG781">
        <f t="shared" si="335"/>
        <v>0</v>
      </c>
      <c r="AH781">
        <f t="shared" si="325"/>
        <v>0</v>
      </c>
      <c r="AJ781">
        <f>IF(OR(V781="NS",V781="NA",$V$715=0,$V$715="NS",$V$715="NA"),0,IF((V781*(IFERROR(100/SUM(V748:V781),0)))&gt;25,1,0))</f>
        <v>0</v>
      </c>
      <c r="AK781">
        <f t="shared" si="326"/>
        <v>0</v>
      </c>
      <c r="AL781">
        <f t="shared" si="327"/>
        <v>0</v>
      </c>
      <c r="AM781">
        <f t="shared" si="328"/>
        <v>0</v>
      </c>
      <c r="AN781">
        <f t="shared" si="329"/>
        <v>0</v>
      </c>
      <c r="AO781">
        <f t="shared" si="330"/>
        <v>0</v>
      </c>
      <c r="AP781">
        <f t="shared" si="331"/>
        <v>0</v>
      </c>
      <c r="AQ781">
        <f t="shared" si="332"/>
        <v>0</v>
      </c>
      <c r="AR781">
        <f t="shared" si="333"/>
        <v>0</v>
      </c>
      <c r="AS781">
        <f t="shared" si="334"/>
        <v>0</v>
      </c>
    </row>
    <row r="782" spans="1:45" ht="15" customHeight="1">
      <c r="A782" s="176"/>
      <c r="B782" s="57"/>
      <c r="C782" s="1108" t="s">
        <v>4919</v>
      </c>
      <c r="D782" s="847" t="s">
        <v>4920</v>
      </c>
      <c r="E782" s="953"/>
      <c r="F782" s="848"/>
      <c r="G782" s="1103" t="s">
        <v>4921</v>
      </c>
      <c r="H782" s="1103"/>
      <c r="I782" s="1104" t="s">
        <v>4922</v>
      </c>
      <c r="J782" s="1105"/>
      <c r="K782" s="1105"/>
      <c r="L782" s="1105"/>
      <c r="M782" s="1105"/>
      <c r="N782" s="1105"/>
      <c r="O782" s="1105"/>
      <c r="P782" s="1105"/>
      <c r="Q782" s="1105"/>
      <c r="R782" s="1105"/>
      <c r="S782" s="1105"/>
      <c r="T782" s="1105"/>
      <c r="U782" s="1106"/>
      <c r="V782" s="100"/>
      <c r="W782" s="100"/>
      <c r="X782" s="100"/>
      <c r="Y782" s="100"/>
      <c r="Z782" s="100"/>
      <c r="AA782" s="100"/>
      <c r="AB782" s="100"/>
      <c r="AC782" s="100"/>
      <c r="AD782" s="100"/>
      <c r="AF782"/>
      <c r="AG782">
        <f t="shared" si="335"/>
        <v>0</v>
      </c>
      <c r="AH782">
        <f t="shared" ref="AH782:AH845" si="336">IF(V782="NA",IF(COUNTBLANK(W782:AD782)=8,0,1),0)</f>
        <v>0</v>
      </c>
      <c r="AK782">
        <f t="shared" ref="AK782:AK845" si="337">COUNTIF(W782:X782,"NS")</f>
        <v>0</v>
      </c>
      <c r="AL782">
        <f t="shared" ref="AL782:AL845" si="338">SUM(W782:X782)</f>
        <v>0</v>
      </c>
      <c r="AM782">
        <f t="shared" ref="AM782:AM845" si="339">IF(COUNTIF(V782:X782,"NA")=3,0,IF(COUNTA(V782:X782)=0,0,IF(OR(AND(V782=0,AK782&gt;0),AND(V782="ns",AL782&gt;0),AND(V782="ns",AK782=0,AL782=0)),1,IF(OR(AND(V782&gt;0,AK782=2),AND(V782="ns",AK782=2),AND(V782="ns",AL782=0,AK782&gt;0),V782=AL782),0,1))))</f>
        <v>0</v>
      </c>
      <c r="AN782">
        <f t="shared" ref="AN782:AN845" si="340">COUNTIF(Z782:AA782,"NS")</f>
        <v>0</v>
      </c>
      <c r="AO782">
        <f t="shared" ref="AO782:AO845" si="341">SUM(Z782:AA782)</f>
        <v>0</v>
      </c>
      <c r="AP782">
        <f t="shared" ref="AP782:AP845" si="342">IF(COUNTIF(Y782:AA782,"NA")=3,0,IF(COUNTA(Y782:AA782)=0,0,IF(OR(AND(Y782=0,AN782&gt;0),AND(Y782="ns",AO782&gt;0),AND(Y782="ns",AN782=0,AO782=0)),1,IF(OR(AND(Y782&gt;0,AN782=2),AND(Y782="ns",AN782=2),AND(Y782="ns",AO782=0,AN782&gt;0),Y782=AO782),0,1))))</f>
        <v>0</v>
      </c>
      <c r="AQ782">
        <f t="shared" ref="AQ782:AQ845" si="343">COUNTIF(AC782:AD782,"NS")</f>
        <v>0</v>
      </c>
      <c r="AR782">
        <f t="shared" ref="AR782:AR845" si="344">SUM(AC782:AD782)</f>
        <v>0</v>
      </c>
      <c r="AS782">
        <f t="shared" ref="AS782:AS845" si="345">IF(COUNTIF(AB782:AD782,"NA")=3,0,IF(COUNTA(AB782:AD782)=0,0,IF(OR(AND(AB782=0,AQ782&gt;0),AND(AB782="ns",AR782&gt;0),AND(AB782="ns",AQ782=0,AR782=0)),1,IF(OR(AND(AB782&gt;0,AQ782=2),AND(AB782="ns",AQ782=2),AND(AB782="ns",AR782=0,AQ782&gt;0),AB782=AR782),0,1))))</f>
        <v>0</v>
      </c>
    </row>
    <row r="783" spans="1:45" ht="15" customHeight="1">
      <c r="A783" s="176"/>
      <c r="B783" s="57"/>
      <c r="C783" s="1109"/>
      <c r="D783" s="954"/>
      <c r="E783" s="955"/>
      <c r="F783" s="956"/>
      <c r="G783" s="1103" t="s">
        <v>4923</v>
      </c>
      <c r="H783" s="1103"/>
      <c r="I783" s="1104" t="s">
        <v>4924</v>
      </c>
      <c r="J783" s="1105"/>
      <c r="K783" s="1105"/>
      <c r="L783" s="1105"/>
      <c r="M783" s="1105"/>
      <c r="N783" s="1105"/>
      <c r="O783" s="1105"/>
      <c r="P783" s="1105"/>
      <c r="Q783" s="1105"/>
      <c r="R783" s="1105"/>
      <c r="S783" s="1105"/>
      <c r="T783" s="1105"/>
      <c r="U783" s="1106"/>
      <c r="V783" s="100"/>
      <c r="W783" s="100"/>
      <c r="X783" s="100"/>
      <c r="Y783" s="100"/>
      <c r="Z783" s="100"/>
      <c r="AA783" s="100"/>
      <c r="AB783" s="100"/>
      <c r="AC783" s="100"/>
      <c r="AD783" s="100"/>
      <c r="AF783"/>
      <c r="AG783">
        <f t="shared" ref="AG783:AG846" si="346">IF(OR($V$518=0,$V$518="NS",$V$518="NA",V783="NA"),0,IF(COUNTBLANK(V783:AD783)=0,0,1))</f>
        <v>0</v>
      </c>
      <c r="AH783">
        <f t="shared" si="336"/>
        <v>0</v>
      </c>
      <c r="AK783">
        <f t="shared" si="337"/>
        <v>0</v>
      </c>
      <c r="AL783">
        <f t="shared" si="338"/>
        <v>0</v>
      </c>
      <c r="AM783">
        <f t="shared" si="339"/>
        <v>0</v>
      </c>
      <c r="AN783">
        <f t="shared" si="340"/>
        <v>0</v>
      </c>
      <c r="AO783">
        <f t="shared" si="341"/>
        <v>0</v>
      </c>
      <c r="AP783">
        <f t="shared" si="342"/>
        <v>0</v>
      </c>
      <c r="AQ783">
        <f t="shared" si="343"/>
        <v>0</v>
      </c>
      <c r="AR783">
        <f t="shared" si="344"/>
        <v>0</v>
      </c>
      <c r="AS783">
        <f t="shared" si="345"/>
        <v>0</v>
      </c>
    </row>
    <row r="784" spans="1:45" ht="15" customHeight="1">
      <c r="A784" s="176"/>
      <c r="B784" s="57"/>
      <c r="C784" s="1109"/>
      <c r="D784" s="954"/>
      <c r="E784" s="955"/>
      <c r="F784" s="956"/>
      <c r="G784" s="1103" t="s">
        <v>4925</v>
      </c>
      <c r="H784" s="1103"/>
      <c r="I784" s="1104" t="s">
        <v>4926</v>
      </c>
      <c r="J784" s="1105"/>
      <c r="K784" s="1105"/>
      <c r="L784" s="1105"/>
      <c r="M784" s="1105"/>
      <c r="N784" s="1105"/>
      <c r="O784" s="1105"/>
      <c r="P784" s="1105"/>
      <c r="Q784" s="1105"/>
      <c r="R784" s="1105"/>
      <c r="S784" s="1105"/>
      <c r="T784" s="1105"/>
      <c r="U784" s="1106"/>
      <c r="V784" s="100"/>
      <c r="W784" s="100"/>
      <c r="X784" s="100"/>
      <c r="Y784" s="100"/>
      <c r="Z784" s="100"/>
      <c r="AA784" s="100"/>
      <c r="AB784" s="100"/>
      <c r="AC784" s="100"/>
      <c r="AD784" s="100"/>
      <c r="AF784"/>
      <c r="AG784">
        <f t="shared" si="346"/>
        <v>0</v>
      </c>
      <c r="AH784">
        <f t="shared" si="336"/>
        <v>0</v>
      </c>
      <c r="AJ784">
        <f>IF(OR(V784="NS",V784="NA",$V$715=0,$V$715="NS",$V$715="NA"),0,IF((V784*(IFERROR(100/SUM(V782:V784),0)))&gt;25,1,0))</f>
        <v>0</v>
      </c>
      <c r="AK784">
        <f t="shared" si="337"/>
        <v>0</v>
      </c>
      <c r="AL784">
        <f t="shared" si="338"/>
        <v>0</v>
      </c>
      <c r="AM784">
        <f t="shared" si="339"/>
        <v>0</v>
      </c>
      <c r="AN784">
        <f t="shared" si="340"/>
        <v>0</v>
      </c>
      <c r="AO784">
        <f t="shared" si="341"/>
        <v>0</v>
      </c>
      <c r="AP784">
        <f t="shared" si="342"/>
        <v>0</v>
      </c>
      <c r="AQ784">
        <f t="shared" si="343"/>
        <v>0</v>
      </c>
      <c r="AR784">
        <f t="shared" si="344"/>
        <v>0</v>
      </c>
      <c r="AS784">
        <f t="shared" si="345"/>
        <v>0</v>
      </c>
    </row>
    <row r="785" spans="1:45" ht="15" customHeight="1">
      <c r="A785" s="176"/>
      <c r="B785" s="57"/>
      <c r="C785" s="1108" t="s">
        <v>4927</v>
      </c>
      <c r="D785" s="847" t="s">
        <v>4928</v>
      </c>
      <c r="E785" s="953"/>
      <c r="F785" s="848"/>
      <c r="G785" s="1103" t="s">
        <v>4929</v>
      </c>
      <c r="H785" s="1103"/>
      <c r="I785" s="1104" t="s">
        <v>4930</v>
      </c>
      <c r="J785" s="1105"/>
      <c r="K785" s="1105"/>
      <c r="L785" s="1105"/>
      <c r="M785" s="1105"/>
      <c r="N785" s="1105"/>
      <c r="O785" s="1105"/>
      <c r="P785" s="1105"/>
      <c r="Q785" s="1105"/>
      <c r="R785" s="1105"/>
      <c r="S785" s="1105"/>
      <c r="T785" s="1105"/>
      <c r="U785" s="1106"/>
      <c r="V785" s="100"/>
      <c r="W785" s="100"/>
      <c r="X785" s="100"/>
      <c r="Y785" s="100"/>
      <c r="Z785" s="100"/>
      <c r="AA785" s="100"/>
      <c r="AB785" s="100"/>
      <c r="AC785" s="100"/>
      <c r="AD785" s="100"/>
      <c r="AF785">
        <f>IF(V785="NA",IF(AND(COUNTIF(V786:V792,"="&amp;$AF$545)=0,COUNTIF(V786:V792,"&lt;&gt;NA")&gt;0),1,0),IF(AND(COUNTIF(V786:V792,"="&amp;$AF$545)=0,COUNTIF(V786:V792,"NA")=COUNTIF(V786:V792,"&lt;&gt;"&amp;$AF$545)),1,0))</f>
        <v>0</v>
      </c>
      <c r="AG785">
        <f t="shared" si="346"/>
        <v>0</v>
      </c>
      <c r="AH785">
        <f t="shared" si="336"/>
        <v>0</v>
      </c>
      <c r="AK785">
        <f t="shared" si="337"/>
        <v>0</v>
      </c>
      <c r="AL785">
        <f t="shared" si="338"/>
        <v>0</v>
      </c>
      <c r="AM785">
        <f t="shared" si="339"/>
        <v>0</v>
      </c>
      <c r="AN785">
        <f t="shared" si="340"/>
        <v>0</v>
      </c>
      <c r="AO785">
        <f t="shared" si="341"/>
        <v>0</v>
      </c>
      <c r="AP785">
        <f t="shared" si="342"/>
        <v>0</v>
      </c>
      <c r="AQ785">
        <f t="shared" si="343"/>
        <v>0</v>
      </c>
      <c r="AR785">
        <f t="shared" si="344"/>
        <v>0</v>
      </c>
      <c r="AS785">
        <f t="shared" si="345"/>
        <v>0</v>
      </c>
    </row>
    <row r="786" spans="1:45" ht="15" customHeight="1">
      <c r="A786" s="176"/>
      <c r="B786" s="57"/>
      <c r="C786" s="1109"/>
      <c r="D786" s="954"/>
      <c r="E786" s="955"/>
      <c r="F786" s="956"/>
      <c r="G786" s="1110" t="s">
        <v>4931</v>
      </c>
      <c r="H786" s="1110"/>
      <c r="I786" s="177"/>
      <c r="J786" s="1115" t="s">
        <v>4932</v>
      </c>
      <c r="K786" s="1115"/>
      <c r="L786" s="1115"/>
      <c r="M786" s="1115"/>
      <c r="N786" s="1115"/>
      <c r="O786" s="1115"/>
      <c r="P786" s="1115"/>
      <c r="Q786" s="1115"/>
      <c r="R786" s="1115"/>
      <c r="S786" s="1115"/>
      <c r="T786" s="1115"/>
      <c r="U786" s="1116"/>
      <c r="V786" s="100"/>
      <c r="W786" s="100"/>
      <c r="X786" s="100"/>
      <c r="Y786" s="100"/>
      <c r="Z786" s="100"/>
      <c r="AA786" s="100"/>
      <c r="AB786" s="100"/>
      <c r="AC786" s="100"/>
      <c r="AD786" s="100"/>
      <c r="AF786"/>
      <c r="AG786">
        <f t="shared" si="346"/>
        <v>0</v>
      </c>
      <c r="AH786">
        <f t="shared" si="336"/>
        <v>0</v>
      </c>
      <c r="AK786">
        <f t="shared" si="337"/>
        <v>0</v>
      </c>
      <c r="AL786">
        <f t="shared" si="338"/>
        <v>0</v>
      </c>
      <c r="AM786">
        <f t="shared" si="339"/>
        <v>0</v>
      </c>
      <c r="AN786">
        <f t="shared" si="340"/>
        <v>0</v>
      </c>
      <c r="AO786">
        <f t="shared" si="341"/>
        <v>0</v>
      </c>
      <c r="AP786">
        <f t="shared" si="342"/>
        <v>0</v>
      </c>
      <c r="AQ786">
        <f t="shared" si="343"/>
        <v>0</v>
      </c>
      <c r="AR786">
        <f t="shared" si="344"/>
        <v>0</v>
      </c>
      <c r="AS786">
        <f t="shared" si="345"/>
        <v>0</v>
      </c>
    </row>
    <row r="787" spans="1:45" ht="15" customHeight="1">
      <c r="A787" s="176"/>
      <c r="B787" s="57"/>
      <c r="C787" s="1109"/>
      <c r="D787" s="954"/>
      <c r="E787" s="955"/>
      <c r="F787" s="956"/>
      <c r="G787" s="1110" t="s">
        <v>4933</v>
      </c>
      <c r="H787" s="1110"/>
      <c r="I787" s="178"/>
      <c r="J787" s="1111" t="s">
        <v>4934</v>
      </c>
      <c r="K787" s="1111"/>
      <c r="L787" s="1111"/>
      <c r="M787" s="1111"/>
      <c r="N787" s="1111"/>
      <c r="O787" s="1111"/>
      <c r="P787" s="1111"/>
      <c r="Q787" s="1111"/>
      <c r="R787" s="1111"/>
      <c r="S787" s="1111"/>
      <c r="T787" s="1111"/>
      <c r="U787" s="1112"/>
      <c r="V787" s="100"/>
      <c r="W787" s="100"/>
      <c r="X787" s="100"/>
      <c r="Y787" s="100"/>
      <c r="Z787" s="100"/>
      <c r="AA787" s="100"/>
      <c r="AB787" s="100"/>
      <c r="AC787" s="100"/>
      <c r="AD787" s="100"/>
      <c r="AF787"/>
      <c r="AG787">
        <f t="shared" si="346"/>
        <v>0</v>
      </c>
      <c r="AH787">
        <f t="shared" si="336"/>
        <v>0</v>
      </c>
      <c r="AK787">
        <f t="shared" si="337"/>
        <v>0</v>
      </c>
      <c r="AL787">
        <f t="shared" si="338"/>
        <v>0</v>
      </c>
      <c r="AM787">
        <f t="shared" si="339"/>
        <v>0</v>
      </c>
      <c r="AN787">
        <f t="shared" si="340"/>
        <v>0</v>
      </c>
      <c r="AO787">
        <f t="shared" si="341"/>
        <v>0</v>
      </c>
      <c r="AP787">
        <f t="shared" si="342"/>
        <v>0</v>
      </c>
      <c r="AQ787">
        <f t="shared" si="343"/>
        <v>0</v>
      </c>
      <c r="AR787">
        <f t="shared" si="344"/>
        <v>0</v>
      </c>
      <c r="AS787">
        <f t="shared" si="345"/>
        <v>0</v>
      </c>
    </row>
    <row r="788" spans="1:45" ht="15" customHeight="1">
      <c r="A788" s="176"/>
      <c r="B788" s="57"/>
      <c r="C788" s="1109"/>
      <c r="D788" s="954"/>
      <c r="E788" s="955"/>
      <c r="F788" s="956"/>
      <c r="G788" s="1110" t="s">
        <v>4935</v>
      </c>
      <c r="H788" s="1110"/>
      <c r="I788" s="178"/>
      <c r="J788" s="1111" t="s">
        <v>4936</v>
      </c>
      <c r="K788" s="1111"/>
      <c r="L788" s="1111"/>
      <c r="M788" s="1111"/>
      <c r="N788" s="1111"/>
      <c r="O788" s="1111"/>
      <c r="P788" s="1111"/>
      <c r="Q788" s="1111"/>
      <c r="R788" s="1111"/>
      <c r="S788" s="1111"/>
      <c r="T788" s="1111"/>
      <c r="U788" s="1112"/>
      <c r="V788" s="100"/>
      <c r="W788" s="100"/>
      <c r="X788" s="100"/>
      <c r="Y788" s="100"/>
      <c r="Z788" s="100"/>
      <c r="AA788" s="100"/>
      <c r="AB788" s="100"/>
      <c r="AC788" s="100"/>
      <c r="AD788" s="100"/>
      <c r="AF788"/>
      <c r="AG788">
        <f t="shared" si="346"/>
        <v>0</v>
      </c>
      <c r="AH788">
        <f t="shared" si="336"/>
        <v>0</v>
      </c>
      <c r="AK788">
        <f t="shared" si="337"/>
        <v>0</v>
      </c>
      <c r="AL788">
        <f t="shared" si="338"/>
        <v>0</v>
      </c>
      <c r="AM788">
        <f t="shared" si="339"/>
        <v>0</v>
      </c>
      <c r="AN788">
        <f t="shared" si="340"/>
        <v>0</v>
      </c>
      <c r="AO788">
        <f t="shared" si="341"/>
        <v>0</v>
      </c>
      <c r="AP788">
        <f t="shared" si="342"/>
        <v>0</v>
      </c>
      <c r="AQ788">
        <f t="shared" si="343"/>
        <v>0</v>
      </c>
      <c r="AR788">
        <f t="shared" si="344"/>
        <v>0</v>
      </c>
      <c r="AS788">
        <f t="shared" si="345"/>
        <v>0</v>
      </c>
    </row>
    <row r="789" spans="1:45" ht="15" customHeight="1">
      <c r="A789" s="176"/>
      <c r="B789" s="57"/>
      <c r="C789" s="1109"/>
      <c r="D789" s="954"/>
      <c r="E789" s="955"/>
      <c r="F789" s="956"/>
      <c r="G789" s="1110" t="s">
        <v>4937</v>
      </c>
      <c r="H789" s="1110"/>
      <c r="I789" s="178"/>
      <c r="J789" s="1111" t="s">
        <v>4938</v>
      </c>
      <c r="K789" s="1111"/>
      <c r="L789" s="1111"/>
      <c r="M789" s="1111"/>
      <c r="N789" s="1111"/>
      <c r="O789" s="1111"/>
      <c r="P789" s="1111"/>
      <c r="Q789" s="1111"/>
      <c r="R789" s="1111"/>
      <c r="S789" s="1111"/>
      <c r="T789" s="1111"/>
      <c r="U789" s="1112"/>
      <c r="V789" s="100"/>
      <c r="W789" s="100"/>
      <c r="X789" s="100"/>
      <c r="Y789" s="100"/>
      <c r="Z789" s="100"/>
      <c r="AA789" s="100"/>
      <c r="AB789" s="100"/>
      <c r="AC789" s="100"/>
      <c r="AD789" s="100"/>
      <c r="AF789"/>
      <c r="AG789">
        <f t="shared" si="346"/>
        <v>0</v>
      </c>
      <c r="AH789">
        <f t="shared" si="336"/>
        <v>0</v>
      </c>
      <c r="AK789">
        <f t="shared" si="337"/>
        <v>0</v>
      </c>
      <c r="AL789">
        <f t="shared" si="338"/>
        <v>0</v>
      </c>
      <c r="AM789">
        <f t="shared" si="339"/>
        <v>0</v>
      </c>
      <c r="AN789">
        <f t="shared" si="340"/>
        <v>0</v>
      </c>
      <c r="AO789">
        <f t="shared" si="341"/>
        <v>0</v>
      </c>
      <c r="AP789">
        <f t="shared" si="342"/>
        <v>0</v>
      </c>
      <c r="AQ789">
        <f t="shared" si="343"/>
        <v>0</v>
      </c>
      <c r="AR789">
        <f t="shared" si="344"/>
        <v>0</v>
      </c>
      <c r="AS789">
        <f t="shared" si="345"/>
        <v>0</v>
      </c>
    </row>
    <row r="790" spans="1:45" ht="15" customHeight="1">
      <c r="A790" s="176"/>
      <c r="B790" s="57"/>
      <c r="C790" s="1109"/>
      <c r="D790" s="954"/>
      <c r="E790" s="955"/>
      <c r="F790" s="956"/>
      <c r="G790" s="1110" t="s">
        <v>4939</v>
      </c>
      <c r="H790" s="1110"/>
      <c r="I790" s="178"/>
      <c r="J790" s="1111" t="s">
        <v>4940</v>
      </c>
      <c r="K790" s="1111"/>
      <c r="L790" s="1111"/>
      <c r="M790" s="1111"/>
      <c r="N790" s="1111"/>
      <c r="O790" s="1111"/>
      <c r="P790" s="1111"/>
      <c r="Q790" s="1111"/>
      <c r="R790" s="1111"/>
      <c r="S790" s="1111"/>
      <c r="T790" s="1111"/>
      <c r="U790" s="1112"/>
      <c r="V790" s="100"/>
      <c r="W790" s="100"/>
      <c r="X790" s="100"/>
      <c r="Y790" s="100"/>
      <c r="Z790" s="100"/>
      <c r="AA790" s="100"/>
      <c r="AB790" s="100"/>
      <c r="AC790" s="100"/>
      <c r="AD790" s="100"/>
      <c r="AF790"/>
      <c r="AG790">
        <f t="shared" si="346"/>
        <v>0</v>
      </c>
      <c r="AH790">
        <f t="shared" si="336"/>
        <v>0</v>
      </c>
      <c r="AK790">
        <f t="shared" si="337"/>
        <v>0</v>
      </c>
      <c r="AL790">
        <f t="shared" si="338"/>
        <v>0</v>
      </c>
      <c r="AM790">
        <f t="shared" si="339"/>
        <v>0</v>
      </c>
      <c r="AN790">
        <f t="shared" si="340"/>
        <v>0</v>
      </c>
      <c r="AO790">
        <f t="shared" si="341"/>
        <v>0</v>
      </c>
      <c r="AP790">
        <f t="shared" si="342"/>
        <v>0</v>
      </c>
      <c r="AQ790">
        <f t="shared" si="343"/>
        <v>0</v>
      </c>
      <c r="AR790">
        <f t="shared" si="344"/>
        <v>0</v>
      </c>
      <c r="AS790">
        <f t="shared" si="345"/>
        <v>0</v>
      </c>
    </row>
    <row r="791" spans="1:45" ht="15" customHeight="1">
      <c r="A791" s="176"/>
      <c r="B791" s="57"/>
      <c r="C791" s="1109"/>
      <c r="D791" s="954"/>
      <c r="E791" s="955"/>
      <c r="F791" s="956"/>
      <c r="G791" s="1110" t="s">
        <v>4941</v>
      </c>
      <c r="H791" s="1110"/>
      <c r="I791" s="178"/>
      <c r="J791" s="1111" t="s">
        <v>4942</v>
      </c>
      <c r="K791" s="1111"/>
      <c r="L791" s="1111"/>
      <c r="M791" s="1111"/>
      <c r="N791" s="1111"/>
      <c r="O791" s="1111"/>
      <c r="P791" s="1111"/>
      <c r="Q791" s="1111"/>
      <c r="R791" s="1111"/>
      <c r="S791" s="1111"/>
      <c r="T791" s="1111"/>
      <c r="U791" s="1112"/>
      <c r="V791" s="100"/>
      <c r="W791" s="100"/>
      <c r="X791" s="100"/>
      <c r="Y791" s="100"/>
      <c r="Z791" s="100"/>
      <c r="AA791" s="100"/>
      <c r="AB791" s="100"/>
      <c r="AC791" s="100"/>
      <c r="AD791" s="100"/>
      <c r="AF791"/>
      <c r="AG791">
        <f t="shared" si="346"/>
        <v>0</v>
      </c>
      <c r="AH791">
        <f t="shared" si="336"/>
        <v>0</v>
      </c>
      <c r="AK791">
        <f t="shared" si="337"/>
        <v>0</v>
      </c>
      <c r="AL791">
        <f t="shared" si="338"/>
        <v>0</v>
      </c>
      <c r="AM791">
        <f t="shared" si="339"/>
        <v>0</v>
      </c>
      <c r="AN791">
        <f t="shared" si="340"/>
        <v>0</v>
      </c>
      <c r="AO791">
        <f t="shared" si="341"/>
        <v>0</v>
      </c>
      <c r="AP791">
        <f t="shared" si="342"/>
        <v>0</v>
      </c>
      <c r="AQ791">
        <f t="shared" si="343"/>
        <v>0</v>
      </c>
      <c r="AR791">
        <f t="shared" si="344"/>
        <v>0</v>
      </c>
      <c r="AS791">
        <f t="shared" si="345"/>
        <v>0</v>
      </c>
    </row>
    <row r="792" spans="1:45" ht="15" customHeight="1">
      <c r="A792" s="176"/>
      <c r="B792" s="57"/>
      <c r="C792" s="1109"/>
      <c r="D792" s="954"/>
      <c r="E792" s="955"/>
      <c r="F792" s="956"/>
      <c r="G792" s="1110" t="s">
        <v>4943</v>
      </c>
      <c r="H792" s="1110"/>
      <c r="I792" s="179"/>
      <c r="J792" s="1113" t="s">
        <v>201</v>
      </c>
      <c r="K792" s="1113"/>
      <c r="L792" s="1113"/>
      <c r="M792" s="1113"/>
      <c r="N792" s="1113"/>
      <c r="O792" s="1113"/>
      <c r="P792" s="1113"/>
      <c r="Q792" s="1113"/>
      <c r="R792" s="1113"/>
      <c r="S792" s="1113"/>
      <c r="T792" s="1113"/>
      <c r="U792" s="1114"/>
      <c r="V792" s="100"/>
      <c r="W792" s="100"/>
      <c r="X792" s="100"/>
      <c r="Y792" s="100"/>
      <c r="Z792" s="100"/>
      <c r="AA792" s="100"/>
      <c r="AB792" s="100"/>
      <c r="AC792" s="100"/>
      <c r="AD792" s="100"/>
      <c r="AF792"/>
      <c r="AG792">
        <f t="shared" si="346"/>
        <v>0</v>
      </c>
      <c r="AH792">
        <f t="shared" si="336"/>
        <v>0</v>
      </c>
      <c r="AK792">
        <f t="shared" si="337"/>
        <v>0</v>
      </c>
      <c r="AL792">
        <f t="shared" si="338"/>
        <v>0</v>
      </c>
      <c r="AM792">
        <f t="shared" si="339"/>
        <v>0</v>
      </c>
      <c r="AN792">
        <f t="shared" si="340"/>
        <v>0</v>
      </c>
      <c r="AO792">
        <f t="shared" si="341"/>
        <v>0</v>
      </c>
      <c r="AP792">
        <f t="shared" si="342"/>
        <v>0</v>
      </c>
      <c r="AQ792">
        <f t="shared" si="343"/>
        <v>0</v>
      </c>
      <c r="AR792">
        <f t="shared" si="344"/>
        <v>0</v>
      </c>
      <c r="AS792">
        <f t="shared" si="345"/>
        <v>0</v>
      </c>
    </row>
    <row r="793" spans="1:45" ht="15" customHeight="1">
      <c r="A793" s="176"/>
      <c r="B793" s="57"/>
      <c r="C793" s="1109"/>
      <c r="D793" s="954"/>
      <c r="E793" s="955"/>
      <c r="F793" s="956"/>
      <c r="G793" s="1117" t="s">
        <v>4944</v>
      </c>
      <c r="H793" s="1118"/>
      <c r="I793" s="1104" t="s">
        <v>4945</v>
      </c>
      <c r="J793" s="1105"/>
      <c r="K793" s="1105"/>
      <c r="L793" s="1105"/>
      <c r="M793" s="1105"/>
      <c r="N793" s="1105"/>
      <c r="O793" s="1105"/>
      <c r="P793" s="1105"/>
      <c r="Q793" s="1105"/>
      <c r="R793" s="1105"/>
      <c r="S793" s="1105"/>
      <c r="T793" s="1105"/>
      <c r="U793" s="1106"/>
      <c r="V793" s="100"/>
      <c r="W793" s="100"/>
      <c r="X793" s="100"/>
      <c r="Y793" s="100"/>
      <c r="Z793" s="100"/>
      <c r="AA793" s="100"/>
      <c r="AB793" s="100"/>
      <c r="AC793" s="100"/>
      <c r="AD793" s="100"/>
      <c r="AF793">
        <f>IF(V793="NA",IF(AND(COUNTIF(V794:V798,"="&amp;$AF$545)=0,COUNTIF(V794:V798,"&lt;&gt;NA")&gt;0),1,0),IF(AND(COUNTIF(V794:V798,"="&amp;$AF$545)=0,COUNTIF(V794:V798,"NA")=COUNTIF(V794:V798,"&lt;&gt;"&amp;$AF$545)),1,0))</f>
        <v>0</v>
      </c>
      <c r="AG793">
        <f t="shared" si="346"/>
        <v>0</v>
      </c>
      <c r="AH793">
        <f t="shared" si="336"/>
        <v>0</v>
      </c>
      <c r="AK793">
        <f t="shared" si="337"/>
        <v>0</v>
      </c>
      <c r="AL793">
        <f t="shared" si="338"/>
        <v>0</v>
      </c>
      <c r="AM793">
        <f t="shared" si="339"/>
        <v>0</v>
      </c>
      <c r="AN793">
        <f t="shared" si="340"/>
        <v>0</v>
      </c>
      <c r="AO793">
        <f t="shared" si="341"/>
        <v>0</v>
      </c>
      <c r="AP793">
        <f t="shared" si="342"/>
        <v>0</v>
      </c>
      <c r="AQ793">
        <f t="shared" si="343"/>
        <v>0</v>
      </c>
      <c r="AR793">
        <f t="shared" si="344"/>
        <v>0</v>
      </c>
      <c r="AS793">
        <f t="shared" si="345"/>
        <v>0</v>
      </c>
    </row>
    <row r="794" spans="1:45" ht="15" customHeight="1">
      <c r="A794" s="176"/>
      <c r="B794" s="57"/>
      <c r="C794" s="1109"/>
      <c r="D794" s="954"/>
      <c r="E794" s="955"/>
      <c r="F794" s="956"/>
      <c r="G794" s="1119" t="s">
        <v>4946</v>
      </c>
      <c r="H794" s="1120"/>
      <c r="I794" s="177"/>
      <c r="J794" s="1115" t="s">
        <v>4947</v>
      </c>
      <c r="K794" s="1115"/>
      <c r="L794" s="1115"/>
      <c r="M794" s="1115"/>
      <c r="N794" s="1115"/>
      <c r="O794" s="1115"/>
      <c r="P794" s="1115"/>
      <c r="Q794" s="1115"/>
      <c r="R794" s="1115"/>
      <c r="S794" s="1115"/>
      <c r="T794" s="1115"/>
      <c r="U794" s="1116"/>
      <c r="V794" s="100"/>
      <c r="W794" s="100"/>
      <c r="X794" s="100"/>
      <c r="Y794" s="100"/>
      <c r="Z794" s="100"/>
      <c r="AA794" s="100"/>
      <c r="AB794" s="100"/>
      <c r="AC794" s="100"/>
      <c r="AD794" s="100"/>
      <c r="AF794"/>
      <c r="AG794">
        <f t="shared" si="346"/>
        <v>0</v>
      </c>
      <c r="AH794">
        <f t="shared" si="336"/>
        <v>0</v>
      </c>
      <c r="AK794">
        <f t="shared" si="337"/>
        <v>0</v>
      </c>
      <c r="AL794">
        <f t="shared" si="338"/>
        <v>0</v>
      </c>
      <c r="AM794">
        <f t="shared" si="339"/>
        <v>0</v>
      </c>
      <c r="AN794">
        <f t="shared" si="340"/>
        <v>0</v>
      </c>
      <c r="AO794">
        <f t="shared" si="341"/>
        <v>0</v>
      </c>
      <c r="AP794">
        <f t="shared" si="342"/>
        <v>0</v>
      </c>
      <c r="AQ794">
        <f t="shared" si="343"/>
        <v>0</v>
      </c>
      <c r="AR794">
        <f t="shared" si="344"/>
        <v>0</v>
      </c>
      <c r="AS794">
        <f t="shared" si="345"/>
        <v>0</v>
      </c>
    </row>
    <row r="795" spans="1:45" ht="15" customHeight="1">
      <c r="A795" s="176"/>
      <c r="B795" s="57"/>
      <c r="C795" s="1109"/>
      <c r="D795" s="954"/>
      <c r="E795" s="955"/>
      <c r="F795" s="956"/>
      <c r="G795" s="1119" t="s">
        <v>4948</v>
      </c>
      <c r="H795" s="1120"/>
      <c r="I795" s="178"/>
      <c r="J795" s="1111" t="s">
        <v>4949</v>
      </c>
      <c r="K795" s="1111"/>
      <c r="L795" s="1111"/>
      <c r="M795" s="1111"/>
      <c r="N795" s="1111"/>
      <c r="O795" s="1111"/>
      <c r="P795" s="1111"/>
      <c r="Q795" s="1111"/>
      <c r="R795" s="1111"/>
      <c r="S795" s="1111"/>
      <c r="T795" s="1111"/>
      <c r="U795" s="1112"/>
      <c r="V795" s="100"/>
      <c r="W795" s="100"/>
      <c r="X795" s="100"/>
      <c r="Y795" s="100"/>
      <c r="Z795" s="100"/>
      <c r="AA795" s="100"/>
      <c r="AB795" s="100"/>
      <c r="AC795" s="100"/>
      <c r="AD795" s="100"/>
      <c r="AF795"/>
      <c r="AG795">
        <f t="shared" si="346"/>
        <v>0</v>
      </c>
      <c r="AH795">
        <f t="shared" si="336"/>
        <v>0</v>
      </c>
      <c r="AK795">
        <f t="shared" si="337"/>
        <v>0</v>
      </c>
      <c r="AL795">
        <f t="shared" si="338"/>
        <v>0</v>
      </c>
      <c r="AM795">
        <f t="shared" si="339"/>
        <v>0</v>
      </c>
      <c r="AN795">
        <f t="shared" si="340"/>
        <v>0</v>
      </c>
      <c r="AO795">
        <f t="shared" si="341"/>
        <v>0</v>
      </c>
      <c r="AP795">
        <f t="shared" si="342"/>
        <v>0</v>
      </c>
      <c r="AQ795">
        <f t="shared" si="343"/>
        <v>0</v>
      </c>
      <c r="AR795">
        <f t="shared" si="344"/>
        <v>0</v>
      </c>
      <c r="AS795">
        <f t="shared" si="345"/>
        <v>0</v>
      </c>
    </row>
    <row r="796" spans="1:45" ht="15" customHeight="1">
      <c r="A796" s="176"/>
      <c r="B796" s="57"/>
      <c r="C796" s="1109"/>
      <c r="D796" s="954"/>
      <c r="E796" s="955"/>
      <c r="F796" s="956"/>
      <c r="G796" s="1119" t="s">
        <v>4950</v>
      </c>
      <c r="H796" s="1120"/>
      <c r="I796" s="178"/>
      <c r="J796" s="1111" t="s">
        <v>4951</v>
      </c>
      <c r="K796" s="1111"/>
      <c r="L796" s="1111"/>
      <c r="M796" s="1111"/>
      <c r="N796" s="1111"/>
      <c r="O796" s="1111"/>
      <c r="P796" s="1111"/>
      <c r="Q796" s="1111"/>
      <c r="R796" s="1111"/>
      <c r="S796" s="1111"/>
      <c r="T796" s="1111"/>
      <c r="U796" s="1112"/>
      <c r="V796" s="100"/>
      <c r="W796" s="100"/>
      <c r="X796" s="100"/>
      <c r="Y796" s="100"/>
      <c r="Z796" s="100"/>
      <c r="AA796" s="100"/>
      <c r="AB796" s="100"/>
      <c r="AC796" s="100"/>
      <c r="AD796" s="100"/>
      <c r="AF796"/>
      <c r="AG796">
        <f t="shared" si="346"/>
        <v>0</v>
      </c>
      <c r="AH796">
        <f t="shared" si="336"/>
        <v>0</v>
      </c>
      <c r="AK796">
        <f t="shared" si="337"/>
        <v>0</v>
      </c>
      <c r="AL796">
        <f t="shared" si="338"/>
        <v>0</v>
      </c>
      <c r="AM796">
        <f t="shared" si="339"/>
        <v>0</v>
      </c>
      <c r="AN796">
        <f t="shared" si="340"/>
        <v>0</v>
      </c>
      <c r="AO796">
        <f t="shared" si="341"/>
        <v>0</v>
      </c>
      <c r="AP796">
        <f t="shared" si="342"/>
        <v>0</v>
      </c>
      <c r="AQ796">
        <f t="shared" si="343"/>
        <v>0</v>
      </c>
      <c r="AR796">
        <f t="shared" si="344"/>
        <v>0</v>
      </c>
      <c r="AS796">
        <f t="shared" si="345"/>
        <v>0</v>
      </c>
    </row>
    <row r="797" spans="1:45" ht="15" customHeight="1">
      <c r="A797" s="176"/>
      <c r="B797" s="57"/>
      <c r="C797" s="1109"/>
      <c r="D797" s="954"/>
      <c r="E797" s="955"/>
      <c r="F797" s="956"/>
      <c r="G797" s="1119" t="s">
        <v>4952</v>
      </c>
      <c r="H797" s="1120"/>
      <c r="I797" s="178"/>
      <c r="J797" s="1111" t="s">
        <v>4953</v>
      </c>
      <c r="K797" s="1111"/>
      <c r="L797" s="1111"/>
      <c r="M797" s="1111"/>
      <c r="N797" s="1111"/>
      <c r="O797" s="1111"/>
      <c r="P797" s="1111"/>
      <c r="Q797" s="1111"/>
      <c r="R797" s="1111"/>
      <c r="S797" s="1111"/>
      <c r="T797" s="1111"/>
      <c r="U797" s="1112"/>
      <c r="V797" s="100"/>
      <c r="W797" s="100"/>
      <c r="X797" s="100"/>
      <c r="Y797" s="100"/>
      <c r="Z797" s="100"/>
      <c r="AA797" s="100"/>
      <c r="AB797" s="100"/>
      <c r="AC797" s="100"/>
      <c r="AD797" s="100"/>
      <c r="AF797"/>
      <c r="AG797">
        <f t="shared" si="346"/>
        <v>0</v>
      </c>
      <c r="AH797">
        <f t="shared" si="336"/>
        <v>0</v>
      </c>
      <c r="AK797">
        <f t="shared" si="337"/>
        <v>0</v>
      </c>
      <c r="AL797">
        <f t="shared" si="338"/>
        <v>0</v>
      </c>
      <c r="AM797">
        <f t="shared" si="339"/>
        <v>0</v>
      </c>
      <c r="AN797">
        <f t="shared" si="340"/>
        <v>0</v>
      </c>
      <c r="AO797">
        <f t="shared" si="341"/>
        <v>0</v>
      </c>
      <c r="AP797">
        <f t="shared" si="342"/>
        <v>0</v>
      </c>
      <c r="AQ797">
        <f t="shared" si="343"/>
        <v>0</v>
      </c>
      <c r="AR797">
        <f t="shared" si="344"/>
        <v>0</v>
      </c>
      <c r="AS797">
        <f t="shared" si="345"/>
        <v>0</v>
      </c>
    </row>
    <row r="798" spans="1:45" ht="15" customHeight="1">
      <c r="A798" s="176"/>
      <c r="B798" s="57"/>
      <c r="C798" s="1109"/>
      <c r="D798" s="954"/>
      <c r="E798" s="955"/>
      <c r="F798" s="956"/>
      <c r="G798" s="1119" t="s">
        <v>4954</v>
      </c>
      <c r="H798" s="1120"/>
      <c r="I798" s="179"/>
      <c r="J798" s="1113" t="s">
        <v>201</v>
      </c>
      <c r="K798" s="1113"/>
      <c r="L798" s="1113"/>
      <c r="M798" s="1113"/>
      <c r="N798" s="1113"/>
      <c r="O798" s="1113"/>
      <c r="P798" s="1113"/>
      <c r="Q798" s="1113"/>
      <c r="R798" s="1113"/>
      <c r="S798" s="1113"/>
      <c r="T798" s="1113"/>
      <c r="U798" s="1114"/>
      <c r="V798" s="100"/>
      <c r="W798" s="100"/>
      <c r="X798" s="100"/>
      <c r="Y798" s="100"/>
      <c r="Z798" s="100"/>
      <c r="AA798" s="100"/>
      <c r="AB798" s="100"/>
      <c r="AC798" s="100"/>
      <c r="AD798" s="100"/>
      <c r="AF798"/>
      <c r="AG798">
        <f t="shared" si="346"/>
        <v>0</v>
      </c>
      <c r="AH798">
        <f t="shared" si="336"/>
        <v>0</v>
      </c>
      <c r="AK798">
        <f t="shared" si="337"/>
        <v>0</v>
      </c>
      <c r="AL798">
        <f t="shared" si="338"/>
        <v>0</v>
      </c>
      <c r="AM798">
        <f t="shared" si="339"/>
        <v>0</v>
      </c>
      <c r="AN798">
        <f t="shared" si="340"/>
        <v>0</v>
      </c>
      <c r="AO798">
        <f t="shared" si="341"/>
        <v>0</v>
      </c>
      <c r="AP798">
        <f t="shared" si="342"/>
        <v>0</v>
      </c>
      <c r="AQ798">
        <f t="shared" si="343"/>
        <v>0</v>
      </c>
      <c r="AR798">
        <f t="shared" si="344"/>
        <v>0</v>
      </c>
      <c r="AS798">
        <f t="shared" si="345"/>
        <v>0</v>
      </c>
    </row>
    <row r="799" spans="1:45" ht="24" customHeight="1">
      <c r="A799" s="176"/>
      <c r="B799" s="57"/>
      <c r="C799" s="1109"/>
      <c r="D799" s="954"/>
      <c r="E799" s="955"/>
      <c r="F799" s="956"/>
      <c r="G799" s="1103" t="s">
        <v>4955</v>
      </c>
      <c r="H799" s="1103"/>
      <c r="I799" s="1104" t="s">
        <v>4956</v>
      </c>
      <c r="J799" s="1105"/>
      <c r="K799" s="1105"/>
      <c r="L799" s="1105"/>
      <c r="M799" s="1105"/>
      <c r="N799" s="1105"/>
      <c r="O799" s="1105"/>
      <c r="P799" s="1105"/>
      <c r="Q799" s="1105"/>
      <c r="R799" s="1105"/>
      <c r="S799" s="1105"/>
      <c r="T799" s="1105"/>
      <c r="U799" s="1106"/>
      <c r="V799" s="100"/>
      <c r="W799" s="100"/>
      <c r="X799" s="100"/>
      <c r="Y799" s="100"/>
      <c r="Z799" s="100"/>
      <c r="AA799" s="100"/>
      <c r="AB799" s="100"/>
      <c r="AC799" s="100"/>
      <c r="AD799" s="100"/>
      <c r="AF799"/>
      <c r="AG799">
        <f t="shared" si="346"/>
        <v>0</v>
      </c>
      <c r="AH799">
        <f t="shared" si="336"/>
        <v>0</v>
      </c>
      <c r="AK799">
        <f t="shared" si="337"/>
        <v>0</v>
      </c>
      <c r="AL799">
        <f t="shared" si="338"/>
        <v>0</v>
      </c>
      <c r="AM799">
        <f t="shared" si="339"/>
        <v>0</v>
      </c>
      <c r="AN799">
        <f t="shared" si="340"/>
        <v>0</v>
      </c>
      <c r="AO799">
        <f t="shared" si="341"/>
        <v>0</v>
      </c>
      <c r="AP799">
        <f t="shared" si="342"/>
        <v>0</v>
      </c>
      <c r="AQ799">
        <f t="shared" si="343"/>
        <v>0</v>
      </c>
      <c r="AR799">
        <f t="shared" si="344"/>
        <v>0</v>
      </c>
      <c r="AS799">
        <f t="shared" si="345"/>
        <v>0</v>
      </c>
    </row>
    <row r="800" spans="1:45" ht="15" customHeight="1">
      <c r="A800" s="176"/>
      <c r="B800" s="57"/>
      <c r="C800" s="1109"/>
      <c r="D800" s="954"/>
      <c r="E800" s="955"/>
      <c r="F800" s="956"/>
      <c r="G800" s="1103" t="s">
        <v>4957</v>
      </c>
      <c r="H800" s="1103"/>
      <c r="I800" s="1104" t="s">
        <v>4958</v>
      </c>
      <c r="J800" s="1105"/>
      <c r="K800" s="1105"/>
      <c r="L800" s="1105"/>
      <c r="M800" s="1105"/>
      <c r="N800" s="1105"/>
      <c r="O800" s="1105"/>
      <c r="P800" s="1105"/>
      <c r="Q800" s="1105"/>
      <c r="R800" s="1105"/>
      <c r="S800" s="1105"/>
      <c r="T800" s="1105"/>
      <c r="U800" s="1106"/>
      <c r="V800" s="100"/>
      <c r="W800" s="100"/>
      <c r="X800" s="100"/>
      <c r="Y800" s="100"/>
      <c r="Z800" s="100"/>
      <c r="AA800" s="100"/>
      <c r="AB800" s="100"/>
      <c r="AC800" s="100"/>
      <c r="AD800" s="100"/>
      <c r="AF800"/>
      <c r="AG800">
        <f t="shared" si="346"/>
        <v>0</v>
      </c>
      <c r="AH800">
        <f t="shared" si="336"/>
        <v>0</v>
      </c>
      <c r="AK800">
        <f t="shared" si="337"/>
        <v>0</v>
      </c>
      <c r="AL800">
        <f t="shared" si="338"/>
        <v>0</v>
      </c>
      <c r="AM800">
        <f t="shared" si="339"/>
        <v>0</v>
      </c>
      <c r="AN800">
        <f t="shared" si="340"/>
        <v>0</v>
      </c>
      <c r="AO800">
        <f t="shared" si="341"/>
        <v>0</v>
      </c>
      <c r="AP800">
        <f t="shared" si="342"/>
        <v>0</v>
      </c>
      <c r="AQ800">
        <f t="shared" si="343"/>
        <v>0</v>
      </c>
      <c r="AR800">
        <f t="shared" si="344"/>
        <v>0</v>
      </c>
      <c r="AS800">
        <f t="shared" si="345"/>
        <v>0</v>
      </c>
    </row>
    <row r="801" spans="1:45" ht="15" customHeight="1">
      <c r="A801" s="176"/>
      <c r="B801" s="57"/>
      <c r="C801" s="1109"/>
      <c r="D801" s="954"/>
      <c r="E801" s="955"/>
      <c r="F801" s="956"/>
      <c r="G801" s="1103" t="s">
        <v>4959</v>
      </c>
      <c r="H801" s="1103"/>
      <c r="I801" s="1104" t="s">
        <v>4960</v>
      </c>
      <c r="J801" s="1105"/>
      <c r="K801" s="1105"/>
      <c r="L801" s="1105"/>
      <c r="M801" s="1105"/>
      <c r="N801" s="1105"/>
      <c r="O801" s="1105"/>
      <c r="P801" s="1105"/>
      <c r="Q801" s="1105"/>
      <c r="R801" s="1105"/>
      <c r="S801" s="1105"/>
      <c r="T801" s="1105"/>
      <c r="U801" s="1106"/>
      <c r="V801" s="100"/>
      <c r="W801" s="100"/>
      <c r="X801" s="100"/>
      <c r="Y801" s="100"/>
      <c r="Z801" s="100"/>
      <c r="AA801" s="100"/>
      <c r="AB801" s="100"/>
      <c r="AC801" s="100"/>
      <c r="AD801" s="100"/>
      <c r="AF801"/>
      <c r="AG801">
        <f t="shared" si="346"/>
        <v>0</v>
      </c>
      <c r="AH801">
        <f t="shared" si="336"/>
        <v>0</v>
      </c>
      <c r="AK801">
        <f t="shared" si="337"/>
        <v>0</v>
      </c>
      <c r="AL801">
        <f t="shared" si="338"/>
        <v>0</v>
      </c>
      <c r="AM801">
        <f t="shared" si="339"/>
        <v>0</v>
      </c>
      <c r="AN801">
        <f t="shared" si="340"/>
        <v>0</v>
      </c>
      <c r="AO801">
        <f t="shared" si="341"/>
        <v>0</v>
      </c>
      <c r="AP801">
        <f t="shared" si="342"/>
        <v>0</v>
      </c>
      <c r="AQ801">
        <f t="shared" si="343"/>
        <v>0</v>
      </c>
      <c r="AR801">
        <f t="shared" si="344"/>
        <v>0</v>
      </c>
      <c r="AS801">
        <f t="shared" si="345"/>
        <v>0</v>
      </c>
    </row>
    <row r="802" spans="1:45" ht="15" customHeight="1">
      <c r="A802" s="176"/>
      <c r="B802" s="57"/>
      <c r="C802" s="1109"/>
      <c r="D802" s="954"/>
      <c r="E802" s="955"/>
      <c r="F802" s="956"/>
      <c r="G802" s="1103" t="s">
        <v>4961</v>
      </c>
      <c r="H802" s="1103"/>
      <c r="I802" s="1104" t="s">
        <v>4962</v>
      </c>
      <c r="J802" s="1105"/>
      <c r="K802" s="1105"/>
      <c r="L802" s="1105"/>
      <c r="M802" s="1105"/>
      <c r="N802" s="1105"/>
      <c r="O802" s="1105"/>
      <c r="P802" s="1105"/>
      <c r="Q802" s="1105"/>
      <c r="R802" s="1105"/>
      <c r="S802" s="1105"/>
      <c r="T802" s="1105"/>
      <c r="U802" s="1106"/>
      <c r="V802" s="100"/>
      <c r="W802" s="100"/>
      <c r="X802" s="100"/>
      <c r="Y802" s="100"/>
      <c r="Z802" s="100"/>
      <c r="AA802" s="100"/>
      <c r="AB802" s="100"/>
      <c r="AC802" s="100"/>
      <c r="AD802" s="100"/>
      <c r="AF802"/>
      <c r="AG802">
        <f t="shared" si="346"/>
        <v>0</v>
      </c>
      <c r="AH802">
        <f t="shared" si="336"/>
        <v>0</v>
      </c>
      <c r="AJ802">
        <f>IF(OR(V802="NS",V802="NA",$V$715=0,$V$715="NS",$V$715="NA"),0,IF((V802*(IFERROR(100/SUM(V785:V802),0)))&gt;25,1,0))</f>
        <v>0</v>
      </c>
      <c r="AK802">
        <f t="shared" si="337"/>
        <v>0</v>
      </c>
      <c r="AL802">
        <f t="shared" si="338"/>
        <v>0</v>
      </c>
      <c r="AM802">
        <f t="shared" si="339"/>
        <v>0</v>
      </c>
      <c r="AN802">
        <f t="shared" si="340"/>
        <v>0</v>
      </c>
      <c r="AO802">
        <f t="shared" si="341"/>
        <v>0</v>
      </c>
      <c r="AP802">
        <f t="shared" si="342"/>
        <v>0</v>
      </c>
      <c r="AQ802">
        <f t="shared" si="343"/>
        <v>0</v>
      </c>
      <c r="AR802">
        <f t="shared" si="344"/>
        <v>0</v>
      </c>
      <c r="AS802">
        <f t="shared" si="345"/>
        <v>0</v>
      </c>
    </row>
    <row r="803" spans="1:45" ht="24" customHeight="1">
      <c r="A803" s="176"/>
      <c r="B803" s="57"/>
      <c r="C803" s="1108" t="s">
        <v>4963</v>
      </c>
      <c r="D803" s="847" t="s">
        <v>4964</v>
      </c>
      <c r="E803" s="953"/>
      <c r="F803" s="848"/>
      <c r="G803" s="1103" t="s">
        <v>4965</v>
      </c>
      <c r="H803" s="1103"/>
      <c r="I803" s="1104" t="s">
        <v>4966</v>
      </c>
      <c r="J803" s="1105"/>
      <c r="K803" s="1105"/>
      <c r="L803" s="1105"/>
      <c r="M803" s="1105"/>
      <c r="N803" s="1105"/>
      <c r="O803" s="1105"/>
      <c r="P803" s="1105"/>
      <c r="Q803" s="1105"/>
      <c r="R803" s="1105"/>
      <c r="S803" s="1105"/>
      <c r="T803" s="1105"/>
      <c r="U803" s="1106"/>
      <c r="V803" s="100"/>
      <c r="W803" s="100"/>
      <c r="X803" s="100"/>
      <c r="Y803" s="100"/>
      <c r="Z803" s="100"/>
      <c r="AA803" s="100"/>
      <c r="AB803" s="100"/>
      <c r="AC803" s="100"/>
      <c r="AD803" s="100"/>
      <c r="AF803">
        <f>IF(V803="NA",IF(AND(COUNTIF(V804:V809,"="&amp;$AF$545)=0,COUNTIF(V804:V809,"&lt;&gt;NA")&gt;0),1,0),IF(AND(COUNTIF(V804:V809,"="&amp;$AF$545)=0,COUNTIF(V804:V809,"NA")=COUNTIF(V804:V809,"&lt;&gt;"&amp;$AF$545)),1,0))</f>
        <v>0</v>
      </c>
      <c r="AG803">
        <f t="shared" si="346"/>
        <v>0</v>
      </c>
      <c r="AH803">
        <f t="shared" si="336"/>
        <v>0</v>
      </c>
      <c r="AK803">
        <f t="shared" si="337"/>
        <v>0</v>
      </c>
      <c r="AL803">
        <f t="shared" si="338"/>
        <v>0</v>
      </c>
      <c r="AM803">
        <f t="shared" si="339"/>
        <v>0</v>
      </c>
      <c r="AN803">
        <f t="shared" si="340"/>
        <v>0</v>
      </c>
      <c r="AO803">
        <f t="shared" si="341"/>
        <v>0</v>
      </c>
      <c r="AP803">
        <f t="shared" si="342"/>
        <v>0</v>
      </c>
      <c r="AQ803">
        <f t="shared" si="343"/>
        <v>0</v>
      </c>
      <c r="AR803">
        <f t="shared" si="344"/>
        <v>0</v>
      </c>
      <c r="AS803">
        <f t="shared" si="345"/>
        <v>0</v>
      </c>
    </row>
    <row r="804" spans="1:45" ht="15" customHeight="1">
      <c r="A804" s="176"/>
      <c r="B804" s="57"/>
      <c r="C804" s="1109"/>
      <c r="D804" s="954"/>
      <c r="E804" s="955"/>
      <c r="F804" s="956"/>
      <c r="G804" s="1110" t="s">
        <v>4967</v>
      </c>
      <c r="H804" s="1110"/>
      <c r="I804" s="177"/>
      <c r="J804" s="1115" t="s">
        <v>4968</v>
      </c>
      <c r="K804" s="1115"/>
      <c r="L804" s="1115"/>
      <c r="M804" s="1115"/>
      <c r="N804" s="1115"/>
      <c r="O804" s="1115"/>
      <c r="P804" s="1115"/>
      <c r="Q804" s="1115"/>
      <c r="R804" s="1115"/>
      <c r="S804" s="1115"/>
      <c r="T804" s="1115"/>
      <c r="U804" s="1116"/>
      <c r="V804" s="100"/>
      <c r="W804" s="100"/>
      <c r="X804" s="100"/>
      <c r="Y804" s="100"/>
      <c r="Z804" s="100"/>
      <c r="AA804" s="100"/>
      <c r="AB804" s="100"/>
      <c r="AC804" s="100"/>
      <c r="AD804" s="100"/>
      <c r="AF804"/>
      <c r="AG804">
        <f t="shared" si="346"/>
        <v>0</v>
      </c>
      <c r="AH804">
        <f t="shared" si="336"/>
        <v>0</v>
      </c>
      <c r="AK804">
        <f t="shared" si="337"/>
        <v>0</v>
      </c>
      <c r="AL804">
        <f t="shared" si="338"/>
        <v>0</v>
      </c>
      <c r="AM804">
        <f t="shared" si="339"/>
        <v>0</v>
      </c>
      <c r="AN804">
        <f t="shared" si="340"/>
        <v>0</v>
      </c>
      <c r="AO804">
        <f t="shared" si="341"/>
        <v>0</v>
      </c>
      <c r="AP804">
        <f t="shared" si="342"/>
        <v>0</v>
      </c>
      <c r="AQ804">
        <f t="shared" si="343"/>
        <v>0</v>
      </c>
      <c r="AR804">
        <f t="shared" si="344"/>
        <v>0</v>
      </c>
      <c r="AS804">
        <f t="shared" si="345"/>
        <v>0</v>
      </c>
    </row>
    <row r="805" spans="1:45" ht="15" customHeight="1">
      <c r="A805" s="176"/>
      <c r="B805" s="57"/>
      <c r="C805" s="1109"/>
      <c r="D805" s="954"/>
      <c r="E805" s="955"/>
      <c r="F805" s="956"/>
      <c r="G805" s="1110" t="s">
        <v>4969</v>
      </c>
      <c r="H805" s="1110"/>
      <c r="I805" s="178"/>
      <c r="J805" s="1111" t="s">
        <v>4970</v>
      </c>
      <c r="K805" s="1111"/>
      <c r="L805" s="1111"/>
      <c r="M805" s="1111"/>
      <c r="N805" s="1111"/>
      <c r="O805" s="1111"/>
      <c r="P805" s="1111"/>
      <c r="Q805" s="1111"/>
      <c r="R805" s="1111"/>
      <c r="S805" s="1111"/>
      <c r="T805" s="1111"/>
      <c r="U805" s="1112"/>
      <c r="V805" s="100"/>
      <c r="W805" s="100"/>
      <c r="X805" s="100"/>
      <c r="Y805" s="100"/>
      <c r="Z805" s="100"/>
      <c r="AA805" s="100"/>
      <c r="AB805" s="100"/>
      <c r="AC805" s="100"/>
      <c r="AD805" s="100"/>
      <c r="AF805"/>
      <c r="AG805">
        <f t="shared" si="346"/>
        <v>0</v>
      </c>
      <c r="AH805">
        <f t="shared" si="336"/>
        <v>0</v>
      </c>
      <c r="AK805">
        <f t="shared" si="337"/>
        <v>0</v>
      </c>
      <c r="AL805">
        <f t="shared" si="338"/>
        <v>0</v>
      </c>
      <c r="AM805">
        <f t="shared" si="339"/>
        <v>0</v>
      </c>
      <c r="AN805">
        <f t="shared" si="340"/>
        <v>0</v>
      </c>
      <c r="AO805">
        <f t="shared" si="341"/>
        <v>0</v>
      </c>
      <c r="AP805">
        <f t="shared" si="342"/>
        <v>0</v>
      </c>
      <c r="AQ805">
        <f t="shared" si="343"/>
        <v>0</v>
      </c>
      <c r="AR805">
        <f t="shared" si="344"/>
        <v>0</v>
      </c>
      <c r="AS805">
        <f t="shared" si="345"/>
        <v>0</v>
      </c>
    </row>
    <row r="806" spans="1:45" ht="15" customHeight="1">
      <c r="A806" s="176"/>
      <c r="B806" s="57"/>
      <c r="C806" s="1109"/>
      <c r="D806" s="954"/>
      <c r="E806" s="955"/>
      <c r="F806" s="956"/>
      <c r="G806" s="1110" t="s">
        <v>4971</v>
      </c>
      <c r="H806" s="1110"/>
      <c r="I806" s="178"/>
      <c r="J806" s="1111" t="s">
        <v>4972</v>
      </c>
      <c r="K806" s="1111"/>
      <c r="L806" s="1111"/>
      <c r="M806" s="1111"/>
      <c r="N806" s="1111"/>
      <c r="O806" s="1111"/>
      <c r="P806" s="1111"/>
      <c r="Q806" s="1111"/>
      <c r="R806" s="1111"/>
      <c r="S806" s="1111"/>
      <c r="T806" s="1111"/>
      <c r="U806" s="1112"/>
      <c r="V806" s="100"/>
      <c r="W806" s="100"/>
      <c r="X806" s="100"/>
      <c r="Y806" s="100"/>
      <c r="Z806" s="100"/>
      <c r="AA806" s="100"/>
      <c r="AB806" s="100"/>
      <c r="AC806" s="100"/>
      <c r="AD806" s="100"/>
      <c r="AF806"/>
      <c r="AG806">
        <f t="shared" si="346"/>
        <v>0</v>
      </c>
      <c r="AH806">
        <f t="shared" si="336"/>
        <v>0</v>
      </c>
      <c r="AK806">
        <f t="shared" si="337"/>
        <v>0</v>
      </c>
      <c r="AL806">
        <f t="shared" si="338"/>
        <v>0</v>
      </c>
      <c r="AM806">
        <f t="shared" si="339"/>
        <v>0</v>
      </c>
      <c r="AN806">
        <f t="shared" si="340"/>
        <v>0</v>
      </c>
      <c r="AO806">
        <f t="shared" si="341"/>
        <v>0</v>
      </c>
      <c r="AP806">
        <f t="shared" si="342"/>
        <v>0</v>
      </c>
      <c r="AQ806">
        <f t="shared" si="343"/>
        <v>0</v>
      </c>
      <c r="AR806">
        <f t="shared" si="344"/>
        <v>0</v>
      </c>
      <c r="AS806">
        <f t="shared" si="345"/>
        <v>0</v>
      </c>
    </row>
    <row r="807" spans="1:45" ht="15" customHeight="1">
      <c r="A807" s="176"/>
      <c r="B807" s="57"/>
      <c r="C807" s="1109"/>
      <c r="D807" s="954"/>
      <c r="E807" s="955"/>
      <c r="F807" s="956"/>
      <c r="G807" s="1110" t="s">
        <v>4973</v>
      </c>
      <c r="H807" s="1110"/>
      <c r="I807" s="178"/>
      <c r="J807" s="1111" t="s">
        <v>4974</v>
      </c>
      <c r="K807" s="1111"/>
      <c r="L807" s="1111"/>
      <c r="M807" s="1111"/>
      <c r="N807" s="1111"/>
      <c r="O807" s="1111"/>
      <c r="P807" s="1111"/>
      <c r="Q807" s="1111"/>
      <c r="R807" s="1111"/>
      <c r="S807" s="1111"/>
      <c r="T807" s="1111"/>
      <c r="U807" s="1112"/>
      <c r="V807" s="100"/>
      <c r="W807" s="100"/>
      <c r="X807" s="100"/>
      <c r="Y807" s="100"/>
      <c r="Z807" s="100"/>
      <c r="AA807" s="100"/>
      <c r="AB807" s="100"/>
      <c r="AC807" s="100"/>
      <c r="AD807" s="100"/>
      <c r="AF807"/>
      <c r="AG807">
        <f t="shared" si="346"/>
        <v>0</v>
      </c>
      <c r="AH807">
        <f t="shared" si="336"/>
        <v>0</v>
      </c>
      <c r="AK807">
        <f t="shared" si="337"/>
        <v>0</v>
      </c>
      <c r="AL807">
        <f t="shared" si="338"/>
        <v>0</v>
      </c>
      <c r="AM807">
        <f t="shared" si="339"/>
        <v>0</v>
      </c>
      <c r="AN807">
        <f t="shared" si="340"/>
        <v>0</v>
      </c>
      <c r="AO807">
        <f t="shared" si="341"/>
        <v>0</v>
      </c>
      <c r="AP807">
        <f t="shared" si="342"/>
        <v>0</v>
      </c>
      <c r="AQ807">
        <f t="shared" si="343"/>
        <v>0</v>
      </c>
      <c r="AR807">
        <f t="shared" si="344"/>
        <v>0</v>
      </c>
      <c r="AS807">
        <f t="shared" si="345"/>
        <v>0</v>
      </c>
    </row>
    <row r="808" spans="1:45" ht="24" customHeight="1">
      <c r="A808" s="176"/>
      <c r="B808" s="57"/>
      <c r="C808" s="1109"/>
      <c r="D808" s="954"/>
      <c r="E808" s="955"/>
      <c r="F808" s="956"/>
      <c r="G808" s="1110" t="s">
        <v>4975</v>
      </c>
      <c r="H808" s="1110"/>
      <c r="I808" s="178"/>
      <c r="J808" s="1111" t="s">
        <v>4976</v>
      </c>
      <c r="K808" s="1111"/>
      <c r="L808" s="1111"/>
      <c r="M808" s="1111"/>
      <c r="N808" s="1111"/>
      <c r="O808" s="1111"/>
      <c r="P808" s="1111"/>
      <c r="Q808" s="1111"/>
      <c r="R808" s="1111"/>
      <c r="S808" s="1111"/>
      <c r="T808" s="1111"/>
      <c r="U808" s="1112"/>
      <c r="V808" s="100"/>
      <c r="W808" s="100"/>
      <c r="X808" s="100"/>
      <c r="Y808" s="100"/>
      <c r="Z808" s="100"/>
      <c r="AA808" s="100"/>
      <c r="AB808" s="100"/>
      <c r="AC808" s="100"/>
      <c r="AD808" s="100"/>
      <c r="AF808"/>
      <c r="AG808">
        <f t="shared" si="346"/>
        <v>0</v>
      </c>
      <c r="AH808">
        <f t="shared" si="336"/>
        <v>0</v>
      </c>
      <c r="AK808">
        <f t="shared" si="337"/>
        <v>0</v>
      </c>
      <c r="AL808">
        <f t="shared" si="338"/>
        <v>0</v>
      </c>
      <c r="AM808">
        <f t="shared" si="339"/>
        <v>0</v>
      </c>
      <c r="AN808">
        <f t="shared" si="340"/>
        <v>0</v>
      </c>
      <c r="AO808">
        <f t="shared" si="341"/>
        <v>0</v>
      </c>
      <c r="AP808">
        <f t="shared" si="342"/>
        <v>0</v>
      </c>
      <c r="AQ808">
        <f t="shared" si="343"/>
        <v>0</v>
      </c>
      <c r="AR808">
        <f t="shared" si="344"/>
        <v>0</v>
      </c>
      <c r="AS808">
        <f t="shared" si="345"/>
        <v>0</v>
      </c>
    </row>
    <row r="809" spans="1:45" ht="15" customHeight="1">
      <c r="A809" s="176"/>
      <c r="B809" s="57"/>
      <c r="C809" s="1109"/>
      <c r="D809" s="954"/>
      <c r="E809" s="955"/>
      <c r="F809" s="956"/>
      <c r="G809" s="1110" t="s">
        <v>4977</v>
      </c>
      <c r="H809" s="1110"/>
      <c r="I809" s="179"/>
      <c r="J809" s="1113" t="s">
        <v>201</v>
      </c>
      <c r="K809" s="1113"/>
      <c r="L809" s="1113"/>
      <c r="M809" s="1113"/>
      <c r="N809" s="1113"/>
      <c r="O809" s="1113"/>
      <c r="P809" s="1113"/>
      <c r="Q809" s="1113"/>
      <c r="R809" s="1113"/>
      <c r="S809" s="1113"/>
      <c r="T809" s="1113"/>
      <c r="U809" s="1114"/>
      <c r="V809" s="100"/>
      <c r="W809" s="100"/>
      <c r="X809" s="100"/>
      <c r="Y809" s="100"/>
      <c r="Z809" s="100"/>
      <c r="AA809" s="100"/>
      <c r="AB809" s="100"/>
      <c r="AC809" s="100"/>
      <c r="AD809" s="100"/>
      <c r="AF809"/>
      <c r="AG809">
        <f t="shared" si="346"/>
        <v>0</v>
      </c>
      <c r="AH809">
        <f t="shared" si="336"/>
        <v>0</v>
      </c>
      <c r="AK809">
        <f t="shared" si="337"/>
        <v>0</v>
      </c>
      <c r="AL809">
        <f t="shared" si="338"/>
        <v>0</v>
      </c>
      <c r="AM809">
        <f t="shared" si="339"/>
        <v>0</v>
      </c>
      <c r="AN809">
        <f t="shared" si="340"/>
        <v>0</v>
      </c>
      <c r="AO809">
        <f t="shared" si="341"/>
        <v>0</v>
      </c>
      <c r="AP809">
        <f t="shared" si="342"/>
        <v>0</v>
      </c>
      <c r="AQ809">
        <f t="shared" si="343"/>
        <v>0</v>
      </c>
      <c r="AR809">
        <f t="shared" si="344"/>
        <v>0</v>
      </c>
      <c r="AS809">
        <f t="shared" si="345"/>
        <v>0</v>
      </c>
    </row>
    <row r="810" spans="1:45" ht="15" customHeight="1">
      <c r="A810" s="176"/>
      <c r="B810" s="57"/>
      <c r="C810" s="1109"/>
      <c r="D810" s="954"/>
      <c r="E810" s="955"/>
      <c r="F810" s="956"/>
      <c r="G810" s="1103" t="s">
        <v>4978</v>
      </c>
      <c r="H810" s="1103"/>
      <c r="I810" s="1104" t="s">
        <v>4979</v>
      </c>
      <c r="J810" s="1105"/>
      <c r="K810" s="1105"/>
      <c r="L810" s="1105"/>
      <c r="M810" s="1105"/>
      <c r="N810" s="1105"/>
      <c r="O810" s="1105"/>
      <c r="P810" s="1105"/>
      <c r="Q810" s="1105"/>
      <c r="R810" s="1105"/>
      <c r="S810" s="1105"/>
      <c r="T810" s="1105"/>
      <c r="U810" s="1106"/>
      <c r="V810" s="100"/>
      <c r="W810" s="100"/>
      <c r="X810" s="100"/>
      <c r="Y810" s="100"/>
      <c r="Z810" s="100"/>
      <c r="AA810" s="100"/>
      <c r="AB810" s="100"/>
      <c r="AC810" s="100"/>
      <c r="AD810" s="100"/>
      <c r="AF810">
        <f>IF(V810="NA",IF(AND(COUNTIF(V811:V818,"="&amp;$AF$545)=0,COUNTIF(V811:V818,"&lt;&gt;NA")&gt;0),1,0),IF(AND(COUNTIF(V811:V818,"="&amp;$AF$545)=0,COUNTIF(V811:V818,"NA")=COUNTIF(V811:V818,"&lt;&gt;"&amp;$AF$545)),1,0))</f>
        <v>0</v>
      </c>
      <c r="AG810">
        <f t="shared" si="346"/>
        <v>0</v>
      </c>
      <c r="AH810">
        <f t="shared" si="336"/>
        <v>0</v>
      </c>
      <c r="AK810">
        <f t="shared" si="337"/>
        <v>0</v>
      </c>
      <c r="AL810">
        <f t="shared" si="338"/>
        <v>0</v>
      </c>
      <c r="AM810">
        <f t="shared" si="339"/>
        <v>0</v>
      </c>
      <c r="AN810">
        <f t="shared" si="340"/>
        <v>0</v>
      </c>
      <c r="AO810">
        <f t="shared" si="341"/>
        <v>0</v>
      </c>
      <c r="AP810">
        <f t="shared" si="342"/>
        <v>0</v>
      </c>
      <c r="AQ810">
        <f t="shared" si="343"/>
        <v>0</v>
      </c>
      <c r="AR810">
        <f t="shared" si="344"/>
        <v>0</v>
      </c>
      <c r="AS810">
        <f t="shared" si="345"/>
        <v>0</v>
      </c>
    </row>
    <row r="811" spans="1:45" ht="15" customHeight="1">
      <c r="A811" s="176"/>
      <c r="B811" s="57"/>
      <c r="C811" s="1109"/>
      <c r="D811" s="954"/>
      <c r="E811" s="955"/>
      <c r="F811" s="956"/>
      <c r="G811" s="1110" t="s">
        <v>4980</v>
      </c>
      <c r="H811" s="1110"/>
      <c r="I811" s="177"/>
      <c r="J811" s="1115" t="s">
        <v>4981</v>
      </c>
      <c r="K811" s="1115"/>
      <c r="L811" s="1115"/>
      <c r="M811" s="1115"/>
      <c r="N811" s="1115"/>
      <c r="O811" s="1115"/>
      <c r="P811" s="1115"/>
      <c r="Q811" s="1115"/>
      <c r="R811" s="1115"/>
      <c r="S811" s="1115"/>
      <c r="T811" s="1115"/>
      <c r="U811" s="1116"/>
      <c r="V811" s="100"/>
      <c r="W811" s="100"/>
      <c r="X811" s="100"/>
      <c r="Y811" s="100"/>
      <c r="Z811" s="100"/>
      <c r="AA811" s="100"/>
      <c r="AB811" s="100"/>
      <c r="AC811" s="100"/>
      <c r="AD811" s="100"/>
      <c r="AF811"/>
      <c r="AG811">
        <f t="shared" si="346"/>
        <v>0</v>
      </c>
      <c r="AH811">
        <f t="shared" si="336"/>
        <v>0</v>
      </c>
      <c r="AK811">
        <f t="shared" si="337"/>
        <v>0</v>
      </c>
      <c r="AL811">
        <f t="shared" si="338"/>
        <v>0</v>
      </c>
      <c r="AM811">
        <f t="shared" si="339"/>
        <v>0</v>
      </c>
      <c r="AN811">
        <f t="shared" si="340"/>
        <v>0</v>
      </c>
      <c r="AO811">
        <f t="shared" si="341"/>
        <v>0</v>
      </c>
      <c r="AP811">
        <f t="shared" si="342"/>
        <v>0</v>
      </c>
      <c r="AQ811">
        <f t="shared" si="343"/>
        <v>0</v>
      </c>
      <c r="AR811">
        <f t="shared" si="344"/>
        <v>0</v>
      </c>
      <c r="AS811">
        <f t="shared" si="345"/>
        <v>0</v>
      </c>
    </row>
    <row r="812" spans="1:45" ht="15" customHeight="1">
      <c r="A812" s="176"/>
      <c r="B812" s="57"/>
      <c r="C812" s="1109"/>
      <c r="D812" s="954"/>
      <c r="E812" s="955"/>
      <c r="F812" s="956"/>
      <c r="G812" s="1110" t="s">
        <v>4982</v>
      </c>
      <c r="H812" s="1110"/>
      <c r="I812" s="178"/>
      <c r="J812" s="1111" t="s">
        <v>4983</v>
      </c>
      <c r="K812" s="1111"/>
      <c r="L812" s="1111"/>
      <c r="M812" s="1111"/>
      <c r="N812" s="1111"/>
      <c r="O812" s="1111"/>
      <c r="P812" s="1111"/>
      <c r="Q812" s="1111"/>
      <c r="R812" s="1111"/>
      <c r="S812" s="1111"/>
      <c r="T812" s="1111"/>
      <c r="U812" s="1112"/>
      <c r="V812" s="100"/>
      <c r="W812" s="100"/>
      <c r="X812" s="100"/>
      <c r="Y812" s="100"/>
      <c r="Z812" s="100"/>
      <c r="AA812" s="100"/>
      <c r="AB812" s="100"/>
      <c r="AC812" s="100"/>
      <c r="AD812" s="100"/>
      <c r="AF812"/>
      <c r="AG812">
        <f t="shared" si="346"/>
        <v>0</v>
      </c>
      <c r="AH812">
        <f t="shared" si="336"/>
        <v>0</v>
      </c>
      <c r="AK812">
        <f t="shared" si="337"/>
        <v>0</v>
      </c>
      <c r="AL812">
        <f t="shared" si="338"/>
        <v>0</v>
      </c>
      <c r="AM812">
        <f t="shared" si="339"/>
        <v>0</v>
      </c>
      <c r="AN812">
        <f t="shared" si="340"/>
        <v>0</v>
      </c>
      <c r="AO812">
        <f t="shared" si="341"/>
        <v>0</v>
      </c>
      <c r="AP812">
        <f t="shared" si="342"/>
        <v>0</v>
      </c>
      <c r="AQ812">
        <f t="shared" si="343"/>
        <v>0</v>
      </c>
      <c r="AR812">
        <f t="shared" si="344"/>
        <v>0</v>
      </c>
      <c r="AS812">
        <f t="shared" si="345"/>
        <v>0</v>
      </c>
    </row>
    <row r="813" spans="1:45" ht="15" customHeight="1">
      <c r="A813" s="176"/>
      <c r="B813" s="57"/>
      <c r="C813" s="1109"/>
      <c r="D813" s="954"/>
      <c r="E813" s="955"/>
      <c r="F813" s="956"/>
      <c r="G813" s="1110" t="s">
        <v>4984</v>
      </c>
      <c r="H813" s="1110"/>
      <c r="I813" s="178"/>
      <c r="J813" s="1111" t="s">
        <v>4985</v>
      </c>
      <c r="K813" s="1111"/>
      <c r="L813" s="1111"/>
      <c r="M813" s="1111"/>
      <c r="N813" s="1111"/>
      <c r="O813" s="1111"/>
      <c r="P813" s="1111"/>
      <c r="Q813" s="1111"/>
      <c r="R813" s="1111"/>
      <c r="S813" s="1111"/>
      <c r="T813" s="1111"/>
      <c r="U813" s="1112"/>
      <c r="V813" s="100"/>
      <c r="W813" s="100"/>
      <c r="X813" s="100"/>
      <c r="Y813" s="100"/>
      <c r="Z813" s="100"/>
      <c r="AA813" s="100"/>
      <c r="AB813" s="100"/>
      <c r="AC813" s="100"/>
      <c r="AD813" s="100"/>
      <c r="AF813"/>
      <c r="AG813">
        <f t="shared" si="346"/>
        <v>0</v>
      </c>
      <c r="AH813">
        <f t="shared" si="336"/>
        <v>0</v>
      </c>
      <c r="AK813">
        <f t="shared" si="337"/>
        <v>0</v>
      </c>
      <c r="AL813">
        <f t="shared" si="338"/>
        <v>0</v>
      </c>
      <c r="AM813">
        <f t="shared" si="339"/>
        <v>0</v>
      </c>
      <c r="AN813">
        <f t="shared" si="340"/>
        <v>0</v>
      </c>
      <c r="AO813">
        <f t="shared" si="341"/>
        <v>0</v>
      </c>
      <c r="AP813">
        <f t="shared" si="342"/>
        <v>0</v>
      </c>
      <c r="AQ813">
        <f t="shared" si="343"/>
        <v>0</v>
      </c>
      <c r="AR813">
        <f t="shared" si="344"/>
        <v>0</v>
      </c>
      <c r="AS813">
        <f t="shared" si="345"/>
        <v>0</v>
      </c>
    </row>
    <row r="814" spans="1:45" ht="15" customHeight="1">
      <c r="A814" s="176"/>
      <c r="B814" s="57"/>
      <c r="C814" s="1109"/>
      <c r="D814" s="954"/>
      <c r="E814" s="955"/>
      <c r="F814" s="956"/>
      <c r="G814" s="1110" t="s">
        <v>4986</v>
      </c>
      <c r="H814" s="1110"/>
      <c r="I814" s="178"/>
      <c r="J814" s="1111" t="s">
        <v>4987</v>
      </c>
      <c r="K814" s="1111"/>
      <c r="L814" s="1111"/>
      <c r="M814" s="1111"/>
      <c r="N814" s="1111"/>
      <c r="O814" s="1111"/>
      <c r="P814" s="1111"/>
      <c r="Q814" s="1111"/>
      <c r="R814" s="1111"/>
      <c r="S814" s="1111"/>
      <c r="T814" s="1111"/>
      <c r="U814" s="1112"/>
      <c r="V814" s="100"/>
      <c r="W814" s="100"/>
      <c r="X814" s="100"/>
      <c r="Y814" s="100"/>
      <c r="Z814" s="100"/>
      <c r="AA814" s="100"/>
      <c r="AB814" s="100"/>
      <c r="AC814" s="100"/>
      <c r="AD814" s="100"/>
      <c r="AF814"/>
      <c r="AG814">
        <f t="shared" si="346"/>
        <v>0</v>
      </c>
      <c r="AH814">
        <f t="shared" si="336"/>
        <v>0</v>
      </c>
      <c r="AK814">
        <f t="shared" si="337"/>
        <v>0</v>
      </c>
      <c r="AL814">
        <f t="shared" si="338"/>
        <v>0</v>
      </c>
      <c r="AM814">
        <f t="shared" si="339"/>
        <v>0</v>
      </c>
      <c r="AN814">
        <f t="shared" si="340"/>
        <v>0</v>
      </c>
      <c r="AO814">
        <f t="shared" si="341"/>
        <v>0</v>
      </c>
      <c r="AP814">
        <f t="shared" si="342"/>
        <v>0</v>
      </c>
      <c r="AQ814">
        <f t="shared" si="343"/>
        <v>0</v>
      </c>
      <c r="AR814">
        <f t="shared" si="344"/>
        <v>0</v>
      </c>
      <c r="AS814">
        <f t="shared" si="345"/>
        <v>0</v>
      </c>
    </row>
    <row r="815" spans="1:45" ht="15" customHeight="1">
      <c r="A815" s="176"/>
      <c r="B815" s="57"/>
      <c r="C815" s="1109"/>
      <c r="D815" s="954"/>
      <c r="E815" s="955"/>
      <c r="F815" s="956"/>
      <c r="G815" s="1110" t="s">
        <v>4988</v>
      </c>
      <c r="H815" s="1110"/>
      <c r="I815" s="178"/>
      <c r="J815" s="1111" t="s">
        <v>4989</v>
      </c>
      <c r="K815" s="1111"/>
      <c r="L815" s="1111"/>
      <c r="M815" s="1111"/>
      <c r="N815" s="1111"/>
      <c r="O815" s="1111"/>
      <c r="P815" s="1111"/>
      <c r="Q815" s="1111"/>
      <c r="R815" s="1111"/>
      <c r="S815" s="1111"/>
      <c r="T815" s="1111"/>
      <c r="U815" s="1112"/>
      <c r="V815" s="100"/>
      <c r="W815" s="100"/>
      <c r="X815" s="100"/>
      <c r="Y815" s="100"/>
      <c r="Z815" s="100"/>
      <c r="AA815" s="100"/>
      <c r="AB815" s="100"/>
      <c r="AC815" s="100"/>
      <c r="AD815" s="100"/>
      <c r="AF815"/>
      <c r="AG815">
        <f t="shared" si="346"/>
        <v>0</v>
      </c>
      <c r="AH815">
        <f t="shared" si="336"/>
        <v>0</v>
      </c>
      <c r="AK815">
        <f t="shared" si="337"/>
        <v>0</v>
      </c>
      <c r="AL815">
        <f t="shared" si="338"/>
        <v>0</v>
      </c>
      <c r="AM815">
        <f t="shared" si="339"/>
        <v>0</v>
      </c>
      <c r="AN815">
        <f t="shared" si="340"/>
        <v>0</v>
      </c>
      <c r="AO815">
        <f t="shared" si="341"/>
        <v>0</v>
      </c>
      <c r="AP815">
        <f t="shared" si="342"/>
        <v>0</v>
      </c>
      <c r="AQ815">
        <f t="shared" si="343"/>
        <v>0</v>
      </c>
      <c r="AR815">
        <f t="shared" si="344"/>
        <v>0</v>
      </c>
      <c r="AS815">
        <f t="shared" si="345"/>
        <v>0</v>
      </c>
    </row>
    <row r="816" spans="1:45" ht="15" customHeight="1">
      <c r="A816" s="176"/>
      <c r="B816" s="57"/>
      <c r="C816" s="1109"/>
      <c r="D816" s="954"/>
      <c r="E816" s="955"/>
      <c r="F816" s="956"/>
      <c r="G816" s="1110" t="s">
        <v>4990</v>
      </c>
      <c r="H816" s="1110"/>
      <c r="I816" s="178"/>
      <c r="J816" s="1111" t="s">
        <v>4991</v>
      </c>
      <c r="K816" s="1111"/>
      <c r="L816" s="1111"/>
      <c r="M816" s="1111"/>
      <c r="N816" s="1111"/>
      <c r="O816" s="1111"/>
      <c r="P816" s="1111"/>
      <c r="Q816" s="1111"/>
      <c r="R816" s="1111"/>
      <c r="S816" s="1111"/>
      <c r="T816" s="1111"/>
      <c r="U816" s="1112"/>
      <c r="V816" s="100"/>
      <c r="W816" s="100"/>
      <c r="X816" s="100"/>
      <c r="Y816" s="100"/>
      <c r="Z816" s="100"/>
      <c r="AA816" s="100"/>
      <c r="AB816" s="100"/>
      <c r="AC816" s="100"/>
      <c r="AD816" s="100"/>
      <c r="AF816"/>
      <c r="AG816">
        <f t="shared" si="346"/>
        <v>0</v>
      </c>
      <c r="AH816">
        <f t="shared" si="336"/>
        <v>0</v>
      </c>
      <c r="AK816">
        <f t="shared" si="337"/>
        <v>0</v>
      </c>
      <c r="AL816">
        <f t="shared" si="338"/>
        <v>0</v>
      </c>
      <c r="AM816">
        <f t="shared" si="339"/>
        <v>0</v>
      </c>
      <c r="AN816">
        <f t="shared" si="340"/>
        <v>0</v>
      </c>
      <c r="AO816">
        <f t="shared" si="341"/>
        <v>0</v>
      </c>
      <c r="AP816">
        <f t="shared" si="342"/>
        <v>0</v>
      </c>
      <c r="AQ816">
        <f t="shared" si="343"/>
        <v>0</v>
      </c>
      <c r="AR816">
        <f t="shared" si="344"/>
        <v>0</v>
      </c>
      <c r="AS816">
        <f t="shared" si="345"/>
        <v>0</v>
      </c>
    </row>
    <row r="817" spans="1:45" ht="24" customHeight="1">
      <c r="A817" s="176"/>
      <c r="B817" s="57"/>
      <c r="C817" s="1109"/>
      <c r="D817" s="954"/>
      <c r="E817" s="955"/>
      <c r="F817" s="956"/>
      <c r="G817" s="1110" t="s">
        <v>4992</v>
      </c>
      <c r="H817" s="1110"/>
      <c r="I817" s="178"/>
      <c r="J817" s="1111" t="s">
        <v>4993</v>
      </c>
      <c r="K817" s="1111"/>
      <c r="L817" s="1111"/>
      <c r="M817" s="1111"/>
      <c r="N817" s="1111"/>
      <c r="O817" s="1111"/>
      <c r="P817" s="1111"/>
      <c r="Q817" s="1111"/>
      <c r="R817" s="1111"/>
      <c r="S817" s="1111"/>
      <c r="T817" s="1111"/>
      <c r="U817" s="1112"/>
      <c r="V817" s="100"/>
      <c r="W817" s="100"/>
      <c r="X817" s="100"/>
      <c r="Y817" s="100"/>
      <c r="Z817" s="100"/>
      <c r="AA817" s="100"/>
      <c r="AB817" s="100"/>
      <c r="AC817" s="100"/>
      <c r="AD817" s="100"/>
      <c r="AF817"/>
      <c r="AG817">
        <f t="shared" si="346"/>
        <v>0</v>
      </c>
      <c r="AH817">
        <f t="shared" si="336"/>
        <v>0</v>
      </c>
      <c r="AK817">
        <f t="shared" si="337"/>
        <v>0</v>
      </c>
      <c r="AL817">
        <f t="shared" si="338"/>
        <v>0</v>
      </c>
      <c r="AM817">
        <f t="shared" si="339"/>
        <v>0</v>
      </c>
      <c r="AN817">
        <f t="shared" si="340"/>
        <v>0</v>
      </c>
      <c r="AO817">
        <f t="shared" si="341"/>
        <v>0</v>
      </c>
      <c r="AP817">
        <f t="shared" si="342"/>
        <v>0</v>
      </c>
      <c r="AQ817">
        <f t="shared" si="343"/>
        <v>0</v>
      </c>
      <c r="AR817">
        <f t="shared" si="344"/>
        <v>0</v>
      </c>
      <c r="AS817">
        <f t="shared" si="345"/>
        <v>0</v>
      </c>
    </row>
    <row r="818" spans="1:45" ht="15" customHeight="1">
      <c r="A818" s="176"/>
      <c r="B818" s="57"/>
      <c r="C818" s="1109"/>
      <c r="D818" s="954"/>
      <c r="E818" s="955"/>
      <c r="F818" s="956"/>
      <c r="G818" s="1110" t="s">
        <v>4994</v>
      </c>
      <c r="H818" s="1110"/>
      <c r="I818" s="179"/>
      <c r="J818" s="1113" t="s">
        <v>201</v>
      </c>
      <c r="K818" s="1113"/>
      <c r="L818" s="1113"/>
      <c r="M818" s="1113"/>
      <c r="N818" s="1113"/>
      <c r="O818" s="1113"/>
      <c r="P818" s="1113"/>
      <c r="Q818" s="1113"/>
      <c r="R818" s="1113"/>
      <c r="S818" s="1113"/>
      <c r="T818" s="1113"/>
      <c r="U818" s="1114"/>
      <c r="V818" s="100"/>
      <c r="W818" s="100"/>
      <c r="X818" s="100"/>
      <c r="Y818" s="100"/>
      <c r="Z818" s="100"/>
      <c r="AA818" s="100"/>
      <c r="AB818" s="100"/>
      <c r="AC818" s="100"/>
      <c r="AD818" s="100"/>
      <c r="AF818"/>
      <c r="AG818">
        <f t="shared" si="346"/>
        <v>0</v>
      </c>
      <c r="AH818">
        <f t="shared" si="336"/>
        <v>0</v>
      </c>
      <c r="AK818">
        <f t="shared" si="337"/>
        <v>0</v>
      </c>
      <c r="AL818">
        <f t="shared" si="338"/>
        <v>0</v>
      </c>
      <c r="AM818">
        <f t="shared" si="339"/>
        <v>0</v>
      </c>
      <c r="AN818">
        <f t="shared" si="340"/>
        <v>0</v>
      </c>
      <c r="AO818">
        <f t="shared" si="341"/>
        <v>0</v>
      </c>
      <c r="AP818">
        <f t="shared" si="342"/>
        <v>0</v>
      </c>
      <c r="AQ818">
        <f t="shared" si="343"/>
        <v>0</v>
      </c>
      <c r="AR818">
        <f t="shared" si="344"/>
        <v>0</v>
      </c>
      <c r="AS818">
        <f t="shared" si="345"/>
        <v>0</v>
      </c>
    </row>
    <row r="819" spans="1:45" ht="15" customHeight="1">
      <c r="A819" s="176"/>
      <c r="B819" s="57"/>
      <c r="C819" s="1109"/>
      <c r="D819" s="954"/>
      <c r="E819" s="955"/>
      <c r="F819" s="956"/>
      <c r="G819" s="1103" t="s">
        <v>4995</v>
      </c>
      <c r="H819" s="1103"/>
      <c r="I819" s="1104" t="s">
        <v>4996</v>
      </c>
      <c r="J819" s="1105"/>
      <c r="K819" s="1105"/>
      <c r="L819" s="1105"/>
      <c r="M819" s="1105"/>
      <c r="N819" s="1105"/>
      <c r="O819" s="1105"/>
      <c r="P819" s="1105"/>
      <c r="Q819" s="1105"/>
      <c r="R819" s="1105"/>
      <c r="S819" s="1105"/>
      <c r="T819" s="1105"/>
      <c r="U819" s="1106"/>
      <c r="V819" s="100"/>
      <c r="W819" s="100"/>
      <c r="X819" s="100"/>
      <c r="Y819" s="100"/>
      <c r="Z819" s="100"/>
      <c r="AA819" s="100"/>
      <c r="AB819" s="100"/>
      <c r="AC819" s="100"/>
      <c r="AD819" s="100"/>
      <c r="AF819"/>
      <c r="AG819">
        <f t="shared" si="346"/>
        <v>0</v>
      </c>
      <c r="AH819">
        <f t="shared" si="336"/>
        <v>0</v>
      </c>
      <c r="AK819">
        <f t="shared" si="337"/>
        <v>0</v>
      </c>
      <c r="AL819">
        <f t="shared" si="338"/>
        <v>0</v>
      </c>
      <c r="AM819">
        <f t="shared" si="339"/>
        <v>0</v>
      </c>
      <c r="AN819">
        <f t="shared" si="340"/>
        <v>0</v>
      </c>
      <c r="AO819">
        <f t="shared" si="341"/>
        <v>0</v>
      </c>
      <c r="AP819">
        <f t="shared" si="342"/>
        <v>0</v>
      </c>
      <c r="AQ819">
        <f t="shared" si="343"/>
        <v>0</v>
      </c>
      <c r="AR819">
        <f t="shared" si="344"/>
        <v>0</v>
      </c>
      <c r="AS819">
        <f t="shared" si="345"/>
        <v>0</v>
      </c>
    </row>
    <row r="820" spans="1:45" ht="15" customHeight="1">
      <c r="A820" s="176"/>
      <c r="B820" s="57"/>
      <c r="C820" s="1109"/>
      <c r="D820" s="954"/>
      <c r="E820" s="955"/>
      <c r="F820" s="956"/>
      <c r="G820" s="1103" t="s">
        <v>4997</v>
      </c>
      <c r="H820" s="1103"/>
      <c r="I820" s="1104" t="s">
        <v>4998</v>
      </c>
      <c r="J820" s="1105"/>
      <c r="K820" s="1105"/>
      <c r="L820" s="1105"/>
      <c r="M820" s="1105"/>
      <c r="N820" s="1105"/>
      <c r="O820" s="1105"/>
      <c r="P820" s="1105"/>
      <c r="Q820" s="1105"/>
      <c r="R820" s="1105"/>
      <c r="S820" s="1105"/>
      <c r="T820" s="1105"/>
      <c r="U820" s="1106"/>
      <c r="V820" s="100"/>
      <c r="W820" s="100"/>
      <c r="X820" s="100"/>
      <c r="Y820" s="100"/>
      <c r="Z820" s="100"/>
      <c r="AA820" s="100"/>
      <c r="AB820" s="100"/>
      <c r="AC820" s="100"/>
      <c r="AD820" s="100"/>
      <c r="AF820"/>
      <c r="AG820">
        <f t="shared" si="346"/>
        <v>0</v>
      </c>
      <c r="AH820">
        <f t="shared" si="336"/>
        <v>0</v>
      </c>
      <c r="AK820">
        <f t="shared" si="337"/>
        <v>0</v>
      </c>
      <c r="AL820">
        <f t="shared" si="338"/>
        <v>0</v>
      </c>
      <c r="AM820">
        <f t="shared" si="339"/>
        <v>0</v>
      </c>
      <c r="AN820">
        <f t="shared" si="340"/>
        <v>0</v>
      </c>
      <c r="AO820">
        <f t="shared" si="341"/>
        <v>0</v>
      </c>
      <c r="AP820">
        <f t="shared" si="342"/>
        <v>0</v>
      </c>
      <c r="AQ820">
        <f t="shared" si="343"/>
        <v>0</v>
      </c>
      <c r="AR820">
        <f t="shared" si="344"/>
        <v>0</v>
      </c>
      <c r="AS820">
        <f t="shared" si="345"/>
        <v>0</v>
      </c>
    </row>
    <row r="821" spans="1:45" ht="15" customHeight="1">
      <c r="A821" s="176"/>
      <c r="B821" s="57"/>
      <c r="C821" s="1109"/>
      <c r="D821" s="954"/>
      <c r="E821" s="955"/>
      <c r="F821" s="956"/>
      <c r="G821" s="1103" t="s">
        <v>4999</v>
      </c>
      <c r="H821" s="1103"/>
      <c r="I821" s="1104" t="s">
        <v>5000</v>
      </c>
      <c r="J821" s="1105"/>
      <c r="K821" s="1105"/>
      <c r="L821" s="1105"/>
      <c r="M821" s="1105"/>
      <c r="N821" s="1105"/>
      <c r="O821" s="1105"/>
      <c r="P821" s="1105"/>
      <c r="Q821" s="1105"/>
      <c r="R821" s="1105"/>
      <c r="S821" s="1105"/>
      <c r="T821" s="1105"/>
      <c r="U821" s="1106"/>
      <c r="V821" s="100"/>
      <c r="W821" s="100"/>
      <c r="X821" s="100"/>
      <c r="Y821" s="100"/>
      <c r="Z821" s="100"/>
      <c r="AA821" s="100"/>
      <c r="AB821" s="100"/>
      <c r="AC821" s="100"/>
      <c r="AD821" s="100"/>
      <c r="AF821"/>
      <c r="AG821">
        <f t="shared" si="346"/>
        <v>0</v>
      </c>
      <c r="AH821">
        <f t="shared" si="336"/>
        <v>0</v>
      </c>
      <c r="AK821">
        <f t="shared" si="337"/>
        <v>0</v>
      </c>
      <c r="AL821">
        <f t="shared" si="338"/>
        <v>0</v>
      </c>
      <c r="AM821">
        <f t="shared" si="339"/>
        <v>0</v>
      </c>
      <c r="AN821">
        <f t="shared" si="340"/>
        <v>0</v>
      </c>
      <c r="AO821">
        <f t="shared" si="341"/>
        <v>0</v>
      </c>
      <c r="AP821">
        <f t="shared" si="342"/>
        <v>0</v>
      </c>
      <c r="AQ821">
        <f t="shared" si="343"/>
        <v>0</v>
      </c>
      <c r="AR821">
        <f t="shared" si="344"/>
        <v>0</v>
      </c>
      <c r="AS821">
        <f t="shared" si="345"/>
        <v>0</v>
      </c>
    </row>
    <row r="822" spans="1:45" ht="24" customHeight="1">
      <c r="A822" s="176"/>
      <c r="B822" s="57"/>
      <c r="C822" s="1109"/>
      <c r="D822" s="954"/>
      <c r="E822" s="955"/>
      <c r="F822" s="956"/>
      <c r="G822" s="1103" t="s">
        <v>5001</v>
      </c>
      <c r="H822" s="1103"/>
      <c r="I822" s="1104" t="s">
        <v>5002</v>
      </c>
      <c r="J822" s="1105"/>
      <c r="K822" s="1105"/>
      <c r="L822" s="1105"/>
      <c r="M822" s="1105"/>
      <c r="N822" s="1105"/>
      <c r="O822" s="1105"/>
      <c r="P822" s="1105"/>
      <c r="Q822" s="1105"/>
      <c r="R822" s="1105"/>
      <c r="S822" s="1105"/>
      <c r="T822" s="1105"/>
      <c r="U822" s="1106"/>
      <c r="V822" s="100"/>
      <c r="W822" s="100"/>
      <c r="X822" s="100"/>
      <c r="Y822" s="100"/>
      <c r="Z822" s="100"/>
      <c r="AA822" s="100"/>
      <c r="AB822" s="100"/>
      <c r="AC822" s="100"/>
      <c r="AD822" s="100"/>
      <c r="AF822">
        <f>IF(V822="NA",IF(AND(COUNTIF(V823:V828,"="&amp;$AF$545)=0,COUNTIF(V823:V828,"&lt;&gt;NA")&gt;0),1,0),IF(AND(COUNTIF(V823:V828,"="&amp;$AF$545)=0,COUNTIF(V823:V828,"NA")=COUNTIF(V823:V828,"&lt;&gt;"&amp;$AF$545)),1,0))</f>
        <v>0</v>
      </c>
      <c r="AG822">
        <f t="shared" si="346"/>
        <v>0</v>
      </c>
      <c r="AH822">
        <f t="shared" si="336"/>
        <v>0</v>
      </c>
      <c r="AK822">
        <f t="shared" si="337"/>
        <v>0</v>
      </c>
      <c r="AL822">
        <f t="shared" si="338"/>
        <v>0</v>
      </c>
      <c r="AM822">
        <f t="shared" si="339"/>
        <v>0</v>
      </c>
      <c r="AN822">
        <f t="shared" si="340"/>
        <v>0</v>
      </c>
      <c r="AO822">
        <f t="shared" si="341"/>
        <v>0</v>
      </c>
      <c r="AP822">
        <f t="shared" si="342"/>
        <v>0</v>
      </c>
      <c r="AQ822">
        <f t="shared" si="343"/>
        <v>0</v>
      </c>
      <c r="AR822">
        <f t="shared" si="344"/>
        <v>0</v>
      </c>
      <c r="AS822">
        <f t="shared" si="345"/>
        <v>0</v>
      </c>
    </row>
    <row r="823" spans="1:45" ht="15" customHeight="1">
      <c r="A823" s="176"/>
      <c r="B823" s="57"/>
      <c r="C823" s="1109"/>
      <c r="D823" s="954"/>
      <c r="E823" s="955"/>
      <c r="F823" s="956"/>
      <c r="G823" s="1110" t="s">
        <v>5003</v>
      </c>
      <c r="H823" s="1110"/>
      <c r="I823" s="177"/>
      <c r="J823" s="1115" t="s">
        <v>5004</v>
      </c>
      <c r="K823" s="1115"/>
      <c r="L823" s="1115"/>
      <c r="M823" s="1115"/>
      <c r="N823" s="1115"/>
      <c r="O823" s="1115"/>
      <c r="P823" s="1115"/>
      <c r="Q823" s="1115"/>
      <c r="R823" s="1115"/>
      <c r="S823" s="1115"/>
      <c r="T823" s="1115"/>
      <c r="U823" s="1116"/>
      <c r="V823" s="100"/>
      <c r="W823" s="100"/>
      <c r="X823" s="100"/>
      <c r="Y823" s="100"/>
      <c r="Z823" s="100"/>
      <c r="AA823" s="100"/>
      <c r="AB823" s="100"/>
      <c r="AC823" s="100"/>
      <c r="AD823" s="100"/>
      <c r="AF823"/>
      <c r="AG823">
        <f t="shared" si="346"/>
        <v>0</v>
      </c>
      <c r="AH823">
        <f t="shared" si="336"/>
        <v>0</v>
      </c>
      <c r="AK823">
        <f t="shared" si="337"/>
        <v>0</v>
      </c>
      <c r="AL823">
        <f t="shared" si="338"/>
        <v>0</v>
      </c>
      <c r="AM823">
        <f t="shared" si="339"/>
        <v>0</v>
      </c>
      <c r="AN823">
        <f t="shared" si="340"/>
        <v>0</v>
      </c>
      <c r="AO823">
        <f t="shared" si="341"/>
        <v>0</v>
      </c>
      <c r="AP823">
        <f t="shared" si="342"/>
        <v>0</v>
      </c>
      <c r="AQ823">
        <f t="shared" si="343"/>
        <v>0</v>
      </c>
      <c r="AR823">
        <f t="shared" si="344"/>
        <v>0</v>
      </c>
      <c r="AS823">
        <f t="shared" si="345"/>
        <v>0</v>
      </c>
    </row>
    <row r="824" spans="1:45" ht="15" customHeight="1">
      <c r="A824" s="176"/>
      <c r="B824" s="57"/>
      <c r="C824" s="1109"/>
      <c r="D824" s="954"/>
      <c r="E824" s="955"/>
      <c r="F824" s="956"/>
      <c r="G824" s="1110" t="s">
        <v>5005</v>
      </c>
      <c r="H824" s="1110"/>
      <c r="I824" s="178"/>
      <c r="J824" s="1111" t="s">
        <v>5006</v>
      </c>
      <c r="K824" s="1111"/>
      <c r="L824" s="1111"/>
      <c r="M824" s="1111"/>
      <c r="N824" s="1111"/>
      <c r="O824" s="1111"/>
      <c r="P824" s="1111"/>
      <c r="Q824" s="1111"/>
      <c r="R824" s="1111"/>
      <c r="S824" s="1111"/>
      <c r="T824" s="1111"/>
      <c r="U824" s="1112"/>
      <c r="V824" s="100"/>
      <c r="W824" s="100"/>
      <c r="X824" s="100"/>
      <c r="Y824" s="100"/>
      <c r="Z824" s="100"/>
      <c r="AA824" s="100"/>
      <c r="AB824" s="100"/>
      <c r="AC824" s="100"/>
      <c r="AD824" s="100"/>
      <c r="AF824"/>
      <c r="AG824">
        <f t="shared" si="346"/>
        <v>0</v>
      </c>
      <c r="AH824">
        <f t="shared" si="336"/>
        <v>0</v>
      </c>
      <c r="AK824">
        <f t="shared" si="337"/>
        <v>0</v>
      </c>
      <c r="AL824">
        <f t="shared" si="338"/>
        <v>0</v>
      </c>
      <c r="AM824">
        <f t="shared" si="339"/>
        <v>0</v>
      </c>
      <c r="AN824">
        <f t="shared" si="340"/>
        <v>0</v>
      </c>
      <c r="AO824">
        <f t="shared" si="341"/>
        <v>0</v>
      </c>
      <c r="AP824">
        <f t="shared" si="342"/>
        <v>0</v>
      </c>
      <c r="AQ824">
        <f t="shared" si="343"/>
        <v>0</v>
      </c>
      <c r="AR824">
        <f t="shared" si="344"/>
        <v>0</v>
      </c>
      <c r="AS824">
        <f t="shared" si="345"/>
        <v>0</v>
      </c>
    </row>
    <row r="825" spans="1:45" ht="15" customHeight="1">
      <c r="A825" s="176"/>
      <c r="B825" s="57"/>
      <c r="C825" s="1109"/>
      <c r="D825" s="954"/>
      <c r="E825" s="955"/>
      <c r="F825" s="956"/>
      <c r="G825" s="1110" t="s">
        <v>5007</v>
      </c>
      <c r="H825" s="1110"/>
      <c r="I825" s="178"/>
      <c r="J825" s="1111" t="s">
        <v>5008</v>
      </c>
      <c r="K825" s="1111"/>
      <c r="L825" s="1111"/>
      <c r="M825" s="1111"/>
      <c r="N825" s="1111"/>
      <c r="O825" s="1111"/>
      <c r="P825" s="1111"/>
      <c r="Q825" s="1111"/>
      <c r="R825" s="1111"/>
      <c r="S825" s="1111"/>
      <c r="T825" s="1111"/>
      <c r="U825" s="1112"/>
      <c r="V825" s="100"/>
      <c r="W825" s="100"/>
      <c r="X825" s="100"/>
      <c r="Y825" s="100"/>
      <c r="Z825" s="100"/>
      <c r="AA825" s="100"/>
      <c r="AB825" s="100"/>
      <c r="AC825" s="100"/>
      <c r="AD825" s="100"/>
      <c r="AF825"/>
      <c r="AG825">
        <f t="shared" si="346"/>
        <v>0</v>
      </c>
      <c r="AH825">
        <f t="shared" si="336"/>
        <v>0</v>
      </c>
      <c r="AK825">
        <f t="shared" si="337"/>
        <v>0</v>
      </c>
      <c r="AL825">
        <f t="shared" si="338"/>
        <v>0</v>
      </c>
      <c r="AM825">
        <f t="shared" si="339"/>
        <v>0</v>
      </c>
      <c r="AN825">
        <f t="shared" si="340"/>
        <v>0</v>
      </c>
      <c r="AO825">
        <f t="shared" si="341"/>
        <v>0</v>
      </c>
      <c r="AP825">
        <f t="shared" si="342"/>
        <v>0</v>
      </c>
      <c r="AQ825">
        <f t="shared" si="343"/>
        <v>0</v>
      </c>
      <c r="AR825">
        <f t="shared" si="344"/>
        <v>0</v>
      </c>
      <c r="AS825">
        <f t="shared" si="345"/>
        <v>0</v>
      </c>
    </row>
    <row r="826" spans="1:45" ht="24" customHeight="1">
      <c r="A826" s="176"/>
      <c r="B826" s="57"/>
      <c r="C826" s="1109"/>
      <c r="D826" s="954"/>
      <c r="E826" s="955"/>
      <c r="F826" s="956"/>
      <c r="G826" s="1110" t="s">
        <v>5009</v>
      </c>
      <c r="H826" s="1110"/>
      <c r="I826" s="178"/>
      <c r="J826" s="1111" t="s">
        <v>5010</v>
      </c>
      <c r="K826" s="1111"/>
      <c r="L826" s="1111"/>
      <c r="M826" s="1111"/>
      <c r="N826" s="1111"/>
      <c r="O826" s="1111"/>
      <c r="P826" s="1111"/>
      <c r="Q826" s="1111"/>
      <c r="R826" s="1111"/>
      <c r="S826" s="1111"/>
      <c r="T826" s="1111"/>
      <c r="U826" s="1112"/>
      <c r="V826" s="100"/>
      <c r="W826" s="100"/>
      <c r="X826" s="100"/>
      <c r="Y826" s="100"/>
      <c r="Z826" s="100"/>
      <c r="AA826" s="100"/>
      <c r="AB826" s="100"/>
      <c r="AC826" s="100"/>
      <c r="AD826" s="100"/>
      <c r="AF826"/>
      <c r="AG826">
        <f t="shared" si="346"/>
        <v>0</v>
      </c>
      <c r="AH826">
        <f t="shared" si="336"/>
        <v>0</v>
      </c>
      <c r="AK826">
        <f t="shared" si="337"/>
        <v>0</v>
      </c>
      <c r="AL826">
        <f t="shared" si="338"/>
        <v>0</v>
      </c>
      <c r="AM826">
        <f t="shared" si="339"/>
        <v>0</v>
      </c>
      <c r="AN826">
        <f t="shared" si="340"/>
        <v>0</v>
      </c>
      <c r="AO826">
        <f t="shared" si="341"/>
        <v>0</v>
      </c>
      <c r="AP826">
        <f t="shared" si="342"/>
        <v>0</v>
      </c>
      <c r="AQ826">
        <f t="shared" si="343"/>
        <v>0</v>
      </c>
      <c r="AR826">
        <f t="shared" si="344"/>
        <v>0</v>
      </c>
      <c r="AS826">
        <f t="shared" si="345"/>
        <v>0</v>
      </c>
    </row>
    <row r="827" spans="1:45" ht="24" customHeight="1">
      <c r="A827" s="176"/>
      <c r="B827" s="57"/>
      <c r="C827" s="1109"/>
      <c r="D827" s="954"/>
      <c r="E827" s="955"/>
      <c r="F827" s="956"/>
      <c r="G827" s="1110" t="s">
        <v>5011</v>
      </c>
      <c r="H827" s="1110"/>
      <c r="I827" s="178"/>
      <c r="J827" s="1111" t="s">
        <v>5012</v>
      </c>
      <c r="K827" s="1111"/>
      <c r="L827" s="1111"/>
      <c r="M827" s="1111"/>
      <c r="N827" s="1111"/>
      <c r="O827" s="1111"/>
      <c r="P827" s="1111"/>
      <c r="Q827" s="1111"/>
      <c r="R827" s="1111"/>
      <c r="S827" s="1111"/>
      <c r="T827" s="1111"/>
      <c r="U827" s="1112"/>
      <c r="V827" s="100"/>
      <c r="W827" s="100"/>
      <c r="X827" s="100"/>
      <c r="Y827" s="100"/>
      <c r="Z827" s="100"/>
      <c r="AA827" s="100"/>
      <c r="AB827" s="100"/>
      <c r="AC827" s="100"/>
      <c r="AD827" s="100"/>
      <c r="AF827"/>
      <c r="AG827">
        <f t="shared" si="346"/>
        <v>0</v>
      </c>
      <c r="AH827">
        <f t="shared" si="336"/>
        <v>0</v>
      </c>
      <c r="AK827">
        <f t="shared" si="337"/>
        <v>0</v>
      </c>
      <c r="AL827">
        <f t="shared" si="338"/>
        <v>0</v>
      </c>
      <c r="AM827">
        <f t="shared" si="339"/>
        <v>0</v>
      </c>
      <c r="AN827">
        <f t="shared" si="340"/>
        <v>0</v>
      </c>
      <c r="AO827">
        <f t="shared" si="341"/>
        <v>0</v>
      </c>
      <c r="AP827">
        <f t="shared" si="342"/>
        <v>0</v>
      </c>
      <c r="AQ827">
        <f t="shared" si="343"/>
        <v>0</v>
      </c>
      <c r="AR827">
        <f t="shared" si="344"/>
        <v>0</v>
      </c>
      <c r="AS827">
        <f t="shared" si="345"/>
        <v>0</v>
      </c>
    </row>
    <row r="828" spans="1:45" ht="15" customHeight="1">
      <c r="A828" s="176"/>
      <c r="B828" s="57"/>
      <c r="C828" s="1109"/>
      <c r="D828" s="954"/>
      <c r="E828" s="955"/>
      <c r="F828" s="956"/>
      <c r="G828" s="1110" t="s">
        <v>5013</v>
      </c>
      <c r="H828" s="1110"/>
      <c r="I828" s="179"/>
      <c r="J828" s="1113" t="s">
        <v>201</v>
      </c>
      <c r="K828" s="1113"/>
      <c r="L828" s="1113"/>
      <c r="M828" s="1113"/>
      <c r="N828" s="1113"/>
      <c r="O828" s="1113"/>
      <c r="P828" s="1113"/>
      <c r="Q828" s="1113"/>
      <c r="R828" s="1113"/>
      <c r="S828" s="1113"/>
      <c r="T828" s="1113"/>
      <c r="U828" s="1114"/>
      <c r="V828" s="100"/>
      <c r="W828" s="100"/>
      <c r="X828" s="100"/>
      <c r="Y828" s="100"/>
      <c r="Z828" s="100"/>
      <c r="AA828" s="100"/>
      <c r="AB828" s="100"/>
      <c r="AC828" s="100"/>
      <c r="AD828" s="100"/>
      <c r="AF828"/>
      <c r="AG828">
        <f t="shared" si="346"/>
        <v>0</v>
      </c>
      <c r="AH828">
        <f t="shared" si="336"/>
        <v>0</v>
      </c>
      <c r="AK828">
        <f t="shared" si="337"/>
        <v>0</v>
      </c>
      <c r="AL828">
        <f t="shared" si="338"/>
        <v>0</v>
      </c>
      <c r="AM828">
        <f t="shared" si="339"/>
        <v>0</v>
      </c>
      <c r="AN828">
        <f t="shared" si="340"/>
        <v>0</v>
      </c>
      <c r="AO828">
        <f t="shared" si="341"/>
        <v>0</v>
      </c>
      <c r="AP828">
        <f t="shared" si="342"/>
        <v>0</v>
      </c>
      <c r="AQ828">
        <f t="shared" si="343"/>
        <v>0</v>
      </c>
      <c r="AR828">
        <f t="shared" si="344"/>
        <v>0</v>
      </c>
      <c r="AS828">
        <f t="shared" si="345"/>
        <v>0</v>
      </c>
    </row>
    <row r="829" spans="1:45" ht="15" customHeight="1">
      <c r="A829" s="176"/>
      <c r="B829" s="57"/>
      <c r="C829" s="1109"/>
      <c r="D829" s="954"/>
      <c r="E829" s="955"/>
      <c r="F829" s="956"/>
      <c r="G829" s="1103" t="s">
        <v>5014</v>
      </c>
      <c r="H829" s="1103"/>
      <c r="I829" s="1104" t="s">
        <v>5015</v>
      </c>
      <c r="J829" s="1105"/>
      <c r="K829" s="1105"/>
      <c r="L829" s="1105"/>
      <c r="M829" s="1105"/>
      <c r="N829" s="1105"/>
      <c r="O829" s="1105"/>
      <c r="P829" s="1105"/>
      <c r="Q829" s="1105"/>
      <c r="R829" s="1105"/>
      <c r="S829" s="1105"/>
      <c r="T829" s="1105"/>
      <c r="U829" s="1106"/>
      <c r="V829" s="100"/>
      <c r="W829" s="100"/>
      <c r="X829" s="100"/>
      <c r="Y829" s="100"/>
      <c r="Z829" s="100"/>
      <c r="AA829" s="100"/>
      <c r="AB829" s="100"/>
      <c r="AC829" s="100"/>
      <c r="AD829" s="100"/>
      <c r="AF829"/>
      <c r="AG829">
        <f t="shared" si="346"/>
        <v>0</v>
      </c>
      <c r="AH829">
        <f t="shared" si="336"/>
        <v>0</v>
      </c>
      <c r="AK829">
        <f t="shared" si="337"/>
        <v>0</v>
      </c>
      <c r="AL829">
        <f t="shared" si="338"/>
        <v>0</v>
      </c>
      <c r="AM829">
        <f t="shared" si="339"/>
        <v>0</v>
      </c>
      <c r="AN829">
        <f t="shared" si="340"/>
        <v>0</v>
      </c>
      <c r="AO829">
        <f t="shared" si="341"/>
        <v>0</v>
      </c>
      <c r="AP829">
        <f t="shared" si="342"/>
        <v>0</v>
      </c>
      <c r="AQ829">
        <f t="shared" si="343"/>
        <v>0</v>
      </c>
      <c r="AR829">
        <f t="shared" si="344"/>
        <v>0</v>
      </c>
      <c r="AS829">
        <f t="shared" si="345"/>
        <v>0</v>
      </c>
    </row>
    <row r="830" spans="1:45" ht="15" customHeight="1">
      <c r="A830" s="176"/>
      <c r="B830" s="57"/>
      <c r="C830" s="1109"/>
      <c r="D830" s="954"/>
      <c r="E830" s="955"/>
      <c r="F830" s="956"/>
      <c r="G830" s="1103" t="s">
        <v>5016</v>
      </c>
      <c r="H830" s="1103"/>
      <c r="I830" s="1104" t="s">
        <v>5017</v>
      </c>
      <c r="J830" s="1105"/>
      <c r="K830" s="1105"/>
      <c r="L830" s="1105"/>
      <c r="M830" s="1105"/>
      <c r="N830" s="1105"/>
      <c r="O830" s="1105"/>
      <c r="P830" s="1105"/>
      <c r="Q830" s="1105"/>
      <c r="R830" s="1105"/>
      <c r="S830" s="1105"/>
      <c r="T830" s="1105"/>
      <c r="U830" s="1106"/>
      <c r="V830" s="100"/>
      <c r="W830" s="100"/>
      <c r="X830" s="100"/>
      <c r="Y830" s="100"/>
      <c r="Z830" s="100"/>
      <c r="AA830" s="100"/>
      <c r="AB830" s="100"/>
      <c r="AC830" s="100"/>
      <c r="AD830" s="100"/>
      <c r="AF830"/>
      <c r="AG830">
        <f t="shared" si="346"/>
        <v>0</v>
      </c>
      <c r="AH830">
        <f t="shared" si="336"/>
        <v>0</v>
      </c>
      <c r="AK830">
        <f t="shared" si="337"/>
        <v>0</v>
      </c>
      <c r="AL830">
        <f t="shared" si="338"/>
        <v>0</v>
      </c>
      <c r="AM830">
        <f t="shared" si="339"/>
        <v>0</v>
      </c>
      <c r="AN830">
        <f t="shared" si="340"/>
        <v>0</v>
      </c>
      <c r="AO830">
        <f t="shared" si="341"/>
        <v>0</v>
      </c>
      <c r="AP830">
        <f t="shared" si="342"/>
        <v>0</v>
      </c>
      <c r="AQ830">
        <f t="shared" si="343"/>
        <v>0</v>
      </c>
      <c r="AR830">
        <f t="shared" si="344"/>
        <v>0</v>
      </c>
      <c r="AS830">
        <f t="shared" si="345"/>
        <v>0</v>
      </c>
    </row>
    <row r="831" spans="1:45" ht="15" customHeight="1">
      <c r="A831" s="176"/>
      <c r="B831" s="57"/>
      <c r="C831" s="1109"/>
      <c r="D831" s="954"/>
      <c r="E831" s="955"/>
      <c r="F831" s="956"/>
      <c r="G831" s="1103" t="s">
        <v>5018</v>
      </c>
      <c r="H831" s="1103"/>
      <c r="I831" s="1104" t="s">
        <v>5019</v>
      </c>
      <c r="J831" s="1105"/>
      <c r="K831" s="1105"/>
      <c r="L831" s="1105"/>
      <c r="M831" s="1105"/>
      <c r="N831" s="1105"/>
      <c r="O831" s="1105"/>
      <c r="P831" s="1105"/>
      <c r="Q831" s="1105"/>
      <c r="R831" s="1105"/>
      <c r="S831" s="1105"/>
      <c r="T831" s="1105"/>
      <c r="U831" s="1106"/>
      <c r="V831" s="100"/>
      <c r="W831" s="100"/>
      <c r="X831" s="100"/>
      <c r="Y831" s="100"/>
      <c r="Z831" s="100"/>
      <c r="AA831" s="100"/>
      <c r="AB831" s="100"/>
      <c r="AC831" s="100"/>
      <c r="AD831" s="100"/>
      <c r="AF831"/>
      <c r="AG831">
        <f t="shared" si="346"/>
        <v>0</v>
      </c>
      <c r="AH831">
        <f t="shared" si="336"/>
        <v>0</v>
      </c>
      <c r="AJ831">
        <f>IF(OR(V831="NS",V831="NA",$V$715=0,$V$715="NS",$V$715="NA"),0,IF((V831*(IFERROR(100/SUM(V803:V831),0)))&gt;25,1,0))</f>
        <v>0</v>
      </c>
      <c r="AK831">
        <f t="shared" si="337"/>
        <v>0</v>
      </c>
      <c r="AL831">
        <f t="shared" si="338"/>
        <v>0</v>
      </c>
      <c r="AM831">
        <f t="shared" si="339"/>
        <v>0</v>
      </c>
      <c r="AN831">
        <f t="shared" si="340"/>
        <v>0</v>
      </c>
      <c r="AO831">
        <f t="shared" si="341"/>
        <v>0</v>
      </c>
      <c r="AP831">
        <f t="shared" si="342"/>
        <v>0</v>
      </c>
      <c r="AQ831">
        <f t="shared" si="343"/>
        <v>0</v>
      </c>
      <c r="AR831">
        <f t="shared" si="344"/>
        <v>0</v>
      </c>
      <c r="AS831">
        <f t="shared" si="345"/>
        <v>0</v>
      </c>
    </row>
    <row r="832" spans="1:45" ht="15" customHeight="1">
      <c r="A832" s="176"/>
      <c r="B832" s="57"/>
      <c r="C832" s="1108" t="s">
        <v>5020</v>
      </c>
      <c r="D832" s="847" t="s">
        <v>5021</v>
      </c>
      <c r="E832" s="953"/>
      <c r="F832" s="848"/>
      <c r="G832" s="1103" t="s">
        <v>5022</v>
      </c>
      <c r="H832" s="1103"/>
      <c r="I832" s="1104" t="s">
        <v>5023</v>
      </c>
      <c r="J832" s="1105"/>
      <c r="K832" s="1105"/>
      <c r="L832" s="1105"/>
      <c r="M832" s="1105"/>
      <c r="N832" s="1105"/>
      <c r="O832" s="1105"/>
      <c r="P832" s="1105"/>
      <c r="Q832" s="1105"/>
      <c r="R832" s="1105"/>
      <c r="S832" s="1105"/>
      <c r="T832" s="1105"/>
      <c r="U832" s="1106"/>
      <c r="V832" s="100"/>
      <c r="W832" s="100"/>
      <c r="X832" s="100"/>
      <c r="Y832" s="100"/>
      <c r="Z832" s="100"/>
      <c r="AA832" s="100"/>
      <c r="AB832" s="100"/>
      <c r="AC832" s="100"/>
      <c r="AD832" s="100"/>
      <c r="AF832">
        <f>IF(V832="NA",IF(AND(COUNTIF(V833:V841,"="&amp;$AF$545)=0,COUNTIF(V833:V841,"&lt;&gt;NA")&gt;0),1,0),IF(AND(COUNTIF(V833:V841,"="&amp;$AF$545)=0,COUNTIF(V833:V841,"NA")=COUNTIF(V833:V841,"&lt;&gt;"&amp;$AF$545)),1,0))</f>
        <v>0</v>
      </c>
      <c r="AG832">
        <f t="shared" si="346"/>
        <v>0</v>
      </c>
      <c r="AH832">
        <f t="shared" si="336"/>
        <v>0</v>
      </c>
      <c r="AK832">
        <f t="shared" si="337"/>
        <v>0</v>
      </c>
      <c r="AL832">
        <f t="shared" si="338"/>
        <v>0</v>
      </c>
      <c r="AM832">
        <f t="shared" si="339"/>
        <v>0</v>
      </c>
      <c r="AN832">
        <f t="shared" si="340"/>
        <v>0</v>
      </c>
      <c r="AO832">
        <f t="shared" si="341"/>
        <v>0</v>
      </c>
      <c r="AP832">
        <f t="shared" si="342"/>
        <v>0</v>
      </c>
      <c r="AQ832">
        <f t="shared" si="343"/>
        <v>0</v>
      </c>
      <c r="AR832">
        <f t="shared" si="344"/>
        <v>0</v>
      </c>
      <c r="AS832">
        <f t="shared" si="345"/>
        <v>0</v>
      </c>
    </row>
    <row r="833" spans="1:45" ht="15" customHeight="1">
      <c r="A833" s="176"/>
      <c r="B833" s="57"/>
      <c r="C833" s="1109"/>
      <c r="D833" s="954"/>
      <c r="E833" s="955"/>
      <c r="F833" s="956"/>
      <c r="G833" s="1110" t="s">
        <v>5024</v>
      </c>
      <c r="H833" s="1110"/>
      <c r="I833" s="177"/>
      <c r="J833" s="1115" t="s">
        <v>5025</v>
      </c>
      <c r="K833" s="1115"/>
      <c r="L833" s="1115"/>
      <c r="M833" s="1115"/>
      <c r="N833" s="1115"/>
      <c r="O833" s="1115"/>
      <c r="P833" s="1115"/>
      <c r="Q833" s="1115"/>
      <c r="R833" s="1115"/>
      <c r="S833" s="1115"/>
      <c r="T833" s="1115"/>
      <c r="U833" s="1116"/>
      <c r="V833" s="100"/>
      <c r="W833" s="100"/>
      <c r="X833" s="100"/>
      <c r="Y833" s="100"/>
      <c r="Z833" s="100"/>
      <c r="AA833" s="100"/>
      <c r="AB833" s="100"/>
      <c r="AC833" s="100"/>
      <c r="AD833" s="100"/>
      <c r="AF833"/>
      <c r="AG833">
        <f t="shared" si="346"/>
        <v>0</v>
      </c>
      <c r="AH833">
        <f t="shared" si="336"/>
        <v>0</v>
      </c>
      <c r="AK833">
        <f t="shared" si="337"/>
        <v>0</v>
      </c>
      <c r="AL833">
        <f t="shared" si="338"/>
        <v>0</v>
      </c>
      <c r="AM833">
        <f t="shared" si="339"/>
        <v>0</v>
      </c>
      <c r="AN833">
        <f t="shared" si="340"/>
        <v>0</v>
      </c>
      <c r="AO833">
        <f t="shared" si="341"/>
        <v>0</v>
      </c>
      <c r="AP833">
        <f t="shared" si="342"/>
        <v>0</v>
      </c>
      <c r="AQ833">
        <f t="shared" si="343"/>
        <v>0</v>
      </c>
      <c r="AR833">
        <f t="shared" si="344"/>
        <v>0</v>
      </c>
      <c r="AS833">
        <f t="shared" si="345"/>
        <v>0</v>
      </c>
    </row>
    <row r="834" spans="1:45" ht="15" customHeight="1">
      <c r="A834" s="176"/>
      <c r="B834" s="57"/>
      <c r="C834" s="1109"/>
      <c r="D834" s="954"/>
      <c r="E834" s="955"/>
      <c r="F834" s="956"/>
      <c r="G834" s="1110" t="s">
        <v>5026</v>
      </c>
      <c r="H834" s="1110"/>
      <c r="I834" s="178"/>
      <c r="J834" s="1111" t="s">
        <v>5027</v>
      </c>
      <c r="K834" s="1111"/>
      <c r="L834" s="1111"/>
      <c r="M834" s="1111"/>
      <c r="N834" s="1111"/>
      <c r="O834" s="1111"/>
      <c r="P834" s="1111"/>
      <c r="Q834" s="1111"/>
      <c r="R834" s="1111"/>
      <c r="S834" s="1111"/>
      <c r="T834" s="1111"/>
      <c r="U834" s="1112"/>
      <c r="V834" s="100"/>
      <c r="W834" s="100"/>
      <c r="X834" s="100"/>
      <c r="Y834" s="100"/>
      <c r="Z834" s="100"/>
      <c r="AA834" s="100"/>
      <c r="AB834" s="100"/>
      <c r="AC834" s="100"/>
      <c r="AD834" s="100"/>
      <c r="AF834"/>
      <c r="AG834">
        <f t="shared" si="346"/>
        <v>0</v>
      </c>
      <c r="AH834">
        <f t="shared" si="336"/>
        <v>0</v>
      </c>
      <c r="AK834">
        <f t="shared" si="337"/>
        <v>0</v>
      </c>
      <c r="AL834">
        <f t="shared" si="338"/>
        <v>0</v>
      </c>
      <c r="AM834">
        <f t="shared" si="339"/>
        <v>0</v>
      </c>
      <c r="AN834">
        <f t="shared" si="340"/>
        <v>0</v>
      </c>
      <c r="AO834">
        <f t="shared" si="341"/>
        <v>0</v>
      </c>
      <c r="AP834">
        <f t="shared" si="342"/>
        <v>0</v>
      </c>
      <c r="AQ834">
        <f t="shared" si="343"/>
        <v>0</v>
      </c>
      <c r="AR834">
        <f t="shared" si="344"/>
        <v>0</v>
      </c>
      <c r="AS834">
        <f t="shared" si="345"/>
        <v>0</v>
      </c>
    </row>
    <row r="835" spans="1:45" ht="15" customHeight="1">
      <c r="A835" s="176"/>
      <c r="B835" s="57"/>
      <c r="C835" s="1109"/>
      <c r="D835" s="954"/>
      <c r="E835" s="955"/>
      <c r="F835" s="956"/>
      <c r="G835" s="1110" t="s">
        <v>5028</v>
      </c>
      <c r="H835" s="1110"/>
      <c r="I835" s="178"/>
      <c r="J835" s="1111" t="s">
        <v>5029</v>
      </c>
      <c r="K835" s="1111"/>
      <c r="L835" s="1111"/>
      <c r="M835" s="1111"/>
      <c r="N835" s="1111"/>
      <c r="O835" s="1111"/>
      <c r="P835" s="1111"/>
      <c r="Q835" s="1111"/>
      <c r="R835" s="1111"/>
      <c r="S835" s="1111"/>
      <c r="T835" s="1111"/>
      <c r="U835" s="1112"/>
      <c r="V835" s="100"/>
      <c r="W835" s="100"/>
      <c r="X835" s="100"/>
      <c r="Y835" s="100"/>
      <c r="Z835" s="100"/>
      <c r="AA835" s="100"/>
      <c r="AB835" s="100"/>
      <c r="AC835" s="100"/>
      <c r="AD835" s="100"/>
      <c r="AF835"/>
      <c r="AG835">
        <f t="shared" si="346"/>
        <v>0</v>
      </c>
      <c r="AH835">
        <f t="shared" si="336"/>
        <v>0</v>
      </c>
      <c r="AK835">
        <f t="shared" si="337"/>
        <v>0</v>
      </c>
      <c r="AL835">
        <f t="shared" si="338"/>
        <v>0</v>
      </c>
      <c r="AM835">
        <f t="shared" si="339"/>
        <v>0</v>
      </c>
      <c r="AN835">
        <f t="shared" si="340"/>
        <v>0</v>
      </c>
      <c r="AO835">
        <f t="shared" si="341"/>
        <v>0</v>
      </c>
      <c r="AP835">
        <f t="shared" si="342"/>
        <v>0</v>
      </c>
      <c r="AQ835">
        <f t="shared" si="343"/>
        <v>0</v>
      </c>
      <c r="AR835">
        <f t="shared" si="344"/>
        <v>0</v>
      </c>
      <c r="AS835">
        <f t="shared" si="345"/>
        <v>0</v>
      </c>
    </row>
    <row r="836" spans="1:45" ht="15" customHeight="1">
      <c r="A836" s="176"/>
      <c r="B836" s="57"/>
      <c r="C836" s="1109"/>
      <c r="D836" s="954"/>
      <c r="E836" s="955"/>
      <c r="F836" s="956"/>
      <c r="G836" s="1110" t="s">
        <v>5030</v>
      </c>
      <c r="H836" s="1110"/>
      <c r="I836" s="178"/>
      <c r="J836" s="1111" t="s">
        <v>5031</v>
      </c>
      <c r="K836" s="1111"/>
      <c r="L836" s="1111"/>
      <c r="M836" s="1111"/>
      <c r="N836" s="1111"/>
      <c r="O836" s="1111"/>
      <c r="P836" s="1111"/>
      <c r="Q836" s="1111"/>
      <c r="R836" s="1111"/>
      <c r="S836" s="1111"/>
      <c r="T836" s="1111"/>
      <c r="U836" s="1112"/>
      <c r="V836" s="100"/>
      <c r="W836" s="100"/>
      <c r="X836" s="100"/>
      <c r="Y836" s="100"/>
      <c r="Z836" s="100"/>
      <c r="AA836" s="100"/>
      <c r="AB836" s="100"/>
      <c r="AC836" s="100"/>
      <c r="AD836" s="100"/>
      <c r="AF836"/>
      <c r="AG836">
        <f t="shared" si="346"/>
        <v>0</v>
      </c>
      <c r="AH836">
        <f t="shared" si="336"/>
        <v>0</v>
      </c>
      <c r="AK836">
        <f t="shared" si="337"/>
        <v>0</v>
      </c>
      <c r="AL836">
        <f t="shared" si="338"/>
        <v>0</v>
      </c>
      <c r="AM836">
        <f t="shared" si="339"/>
        <v>0</v>
      </c>
      <c r="AN836">
        <f t="shared" si="340"/>
        <v>0</v>
      </c>
      <c r="AO836">
        <f t="shared" si="341"/>
        <v>0</v>
      </c>
      <c r="AP836">
        <f t="shared" si="342"/>
        <v>0</v>
      </c>
      <c r="AQ836">
        <f t="shared" si="343"/>
        <v>0</v>
      </c>
      <c r="AR836">
        <f t="shared" si="344"/>
        <v>0</v>
      </c>
      <c r="AS836">
        <f t="shared" si="345"/>
        <v>0</v>
      </c>
    </row>
    <row r="837" spans="1:45" ht="15" customHeight="1">
      <c r="A837" s="176"/>
      <c r="B837" s="57"/>
      <c r="C837" s="1109"/>
      <c r="D837" s="954"/>
      <c r="E837" s="955"/>
      <c r="F837" s="956"/>
      <c r="G837" s="1110" t="s">
        <v>5032</v>
      </c>
      <c r="H837" s="1110"/>
      <c r="I837" s="178"/>
      <c r="J837" s="1111" t="s">
        <v>5033</v>
      </c>
      <c r="K837" s="1111"/>
      <c r="L837" s="1111"/>
      <c r="M837" s="1111"/>
      <c r="N837" s="1111"/>
      <c r="O837" s="1111"/>
      <c r="P837" s="1111"/>
      <c r="Q837" s="1111"/>
      <c r="R837" s="1111"/>
      <c r="S837" s="1111"/>
      <c r="T837" s="1111"/>
      <c r="U837" s="1112"/>
      <c r="V837" s="100"/>
      <c r="W837" s="100"/>
      <c r="X837" s="100"/>
      <c r="Y837" s="100"/>
      <c r="Z837" s="100"/>
      <c r="AA837" s="100"/>
      <c r="AB837" s="100"/>
      <c r="AC837" s="100"/>
      <c r="AD837" s="100"/>
      <c r="AF837"/>
      <c r="AG837">
        <f t="shared" si="346"/>
        <v>0</v>
      </c>
      <c r="AH837">
        <f t="shared" si="336"/>
        <v>0</v>
      </c>
      <c r="AK837">
        <f t="shared" si="337"/>
        <v>0</v>
      </c>
      <c r="AL837">
        <f t="shared" si="338"/>
        <v>0</v>
      </c>
      <c r="AM837">
        <f t="shared" si="339"/>
        <v>0</v>
      </c>
      <c r="AN837">
        <f t="shared" si="340"/>
        <v>0</v>
      </c>
      <c r="AO837">
        <f t="shared" si="341"/>
        <v>0</v>
      </c>
      <c r="AP837">
        <f t="shared" si="342"/>
        <v>0</v>
      </c>
      <c r="AQ837">
        <f t="shared" si="343"/>
        <v>0</v>
      </c>
      <c r="AR837">
        <f t="shared" si="344"/>
        <v>0</v>
      </c>
      <c r="AS837">
        <f t="shared" si="345"/>
        <v>0</v>
      </c>
    </row>
    <row r="838" spans="1:45" ht="15" customHeight="1">
      <c r="A838" s="176"/>
      <c r="B838" s="57"/>
      <c r="C838" s="1109"/>
      <c r="D838" s="954"/>
      <c r="E838" s="955"/>
      <c r="F838" s="956"/>
      <c r="G838" s="1110" t="s">
        <v>5034</v>
      </c>
      <c r="H838" s="1110"/>
      <c r="I838" s="178"/>
      <c r="J838" s="1111" t="s">
        <v>5035</v>
      </c>
      <c r="K838" s="1111"/>
      <c r="L838" s="1111"/>
      <c r="M838" s="1111"/>
      <c r="N838" s="1111"/>
      <c r="O838" s="1111"/>
      <c r="P838" s="1111"/>
      <c r="Q838" s="1111"/>
      <c r="R838" s="1111"/>
      <c r="S838" s="1111"/>
      <c r="T838" s="1111"/>
      <c r="U838" s="1112"/>
      <c r="V838" s="100"/>
      <c r="W838" s="100"/>
      <c r="X838" s="100"/>
      <c r="Y838" s="100"/>
      <c r="Z838" s="100"/>
      <c r="AA838" s="100"/>
      <c r="AB838" s="100"/>
      <c r="AC838" s="100"/>
      <c r="AD838" s="100"/>
      <c r="AF838"/>
      <c r="AG838">
        <f t="shared" si="346"/>
        <v>0</v>
      </c>
      <c r="AH838">
        <f t="shared" si="336"/>
        <v>0</v>
      </c>
      <c r="AK838">
        <f t="shared" si="337"/>
        <v>0</v>
      </c>
      <c r="AL838">
        <f t="shared" si="338"/>
        <v>0</v>
      </c>
      <c r="AM838">
        <f t="shared" si="339"/>
        <v>0</v>
      </c>
      <c r="AN838">
        <f t="shared" si="340"/>
        <v>0</v>
      </c>
      <c r="AO838">
        <f t="shared" si="341"/>
        <v>0</v>
      </c>
      <c r="AP838">
        <f t="shared" si="342"/>
        <v>0</v>
      </c>
      <c r="AQ838">
        <f t="shared" si="343"/>
        <v>0</v>
      </c>
      <c r="AR838">
        <f t="shared" si="344"/>
        <v>0</v>
      </c>
      <c r="AS838">
        <f t="shared" si="345"/>
        <v>0</v>
      </c>
    </row>
    <row r="839" spans="1:45" ht="15" customHeight="1">
      <c r="A839" s="176"/>
      <c r="B839" s="57"/>
      <c r="C839" s="1109"/>
      <c r="D839" s="954"/>
      <c r="E839" s="955"/>
      <c r="F839" s="956"/>
      <c r="G839" s="1110" t="s">
        <v>5036</v>
      </c>
      <c r="H839" s="1110"/>
      <c r="I839" s="178"/>
      <c r="J839" s="1111" t="s">
        <v>5037</v>
      </c>
      <c r="K839" s="1111"/>
      <c r="L839" s="1111"/>
      <c r="M839" s="1111"/>
      <c r="N839" s="1111"/>
      <c r="O839" s="1111"/>
      <c r="P839" s="1111"/>
      <c r="Q839" s="1111"/>
      <c r="R839" s="1111"/>
      <c r="S839" s="1111"/>
      <c r="T839" s="1111"/>
      <c r="U839" s="1112"/>
      <c r="V839" s="100"/>
      <c r="W839" s="100"/>
      <c r="X839" s="100"/>
      <c r="Y839" s="100"/>
      <c r="Z839" s="100"/>
      <c r="AA839" s="100"/>
      <c r="AB839" s="100"/>
      <c r="AC839" s="100"/>
      <c r="AD839" s="100"/>
      <c r="AF839"/>
      <c r="AG839">
        <f t="shared" si="346"/>
        <v>0</v>
      </c>
      <c r="AH839">
        <f t="shared" si="336"/>
        <v>0</v>
      </c>
      <c r="AK839">
        <f t="shared" si="337"/>
        <v>0</v>
      </c>
      <c r="AL839">
        <f t="shared" si="338"/>
        <v>0</v>
      </c>
      <c r="AM839">
        <f t="shared" si="339"/>
        <v>0</v>
      </c>
      <c r="AN839">
        <f t="shared" si="340"/>
        <v>0</v>
      </c>
      <c r="AO839">
        <f t="shared" si="341"/>
        <v>0</v>
      </c>
      <c r="AP839">
        <f t="shared" si="342"/>
        <v>0</v>
      </c>
      <c r="AQ839">
        <f t="shared" si="343"/>
        <v>0</v>
      </c>
      <c r="AR839">
        <f t="shared" si="344"/>
        <v>0</v>
      </c>
      <c r="AS839">
        <f t="shared" si="345"/>
        <v>0</v>
      </c>
    </row>
    <row r="840" spans="1:45" ht="15" customHeight="1">
      <c r="A840" s="176"/>
      <c r="B840" s="57"/>
      <c r="C840" s="1109"/>
      <c r="D840" s="954"/>
      <c r="E840" s="955"/>
      <c r="F840" s="956"/>
      <c r="G840" s="1110" t="s">
        <v>5038</v>
      </c>
      <c r="H840" s="1110"/>
      <c r="I840" s="178"/>
      <c r="J840" s="1111" t="s">
        <v>5039</v>
      </c>
      <c r="K840" s="1111"/>
      <c r="L840" s="1111"/>
      <c r="M840" s="1111"/>
      <c r="N840" s="1111"/>
      <c r="O840" s="1111"/>
      <c r="P840" s="1111"/>
      <c r="Q840" s="1111"/>
      <c r="R840" s="1111"/>
      <c r="S840" s="1111"/>
      <c r="T840" s="1111"/>
      <c r="U840" s="1112"/>
      <c r="V840" s="100"/>
      <c r="W840" s="100"/>
      <c r="X840" s="100"/>
      <c r="Y840" s="100"/>
      <c r="Z840" s="100"/>
      <c r="AA840" s="100"/>
      <c r="AB840" s="100"/>
      <c r="AC840" s="100"/>
      <c r="AD840" s="100"/>
      <c r="AF840"/>
      <c r="AG840">
        <f t="shared" si="346"/>
        <v>0</v>
      </c>
      <c r="AH840">
        <f t="shared" si="336"/>
        <v>0</v>
      </c>
      <c r="AK840">
        <f t="shared" si="337"/>
        <v>0</v>
      </c>
      <c r="AL840">
        <f t="shared" si="338"/>
        <v>0</v>
      </c>
      <c r="AM840">
        <f t="shared" si="339"/>
        <v>0</v>
      </c>
      <c r="AN840">
        <f t="shared" si="340"/>
        <v>0</v>
      </c>
      <c r="AO840">
        <f t="shared" si="341"/>
        <v>0</v>
      </c>
      <c r="AP840">
        <f t="shared" si="342"/>
        <v>0</v>
      </c>
      <c r="AQ840">
        <f t="shared" si="343"/>
        <v>0</v>
      </c>
      <c r="AR840">
        <f t="shared" si="344"/>
        <v>0</v>
      </c>
      <c r="AS840">
        <f t="shared" si="345"/>
        <v>0</v>
      </c>
    </row>
    <row r="841" spans="1:45" ht="15" customHeight="1">
      <c r="A841" s="176"/>
      <c r="B841" s="57"/>
      <c r="C841" s="1109"/>
      <c r="D841" s="954"/>
      <c r="E841" s="955"/>
      <c r="F841" s="956"/>
      <c r="G841" s="1110" t="s">
        <v>5040</v>
      </c>
      <c r="H841" s="1110"/>
      <c r="I841" s="179"/>
      <c r="J841" s="1113" t="s">
        <v>201</v>
      </c>
      <c r="K841" s="1113"/>
      <c r="L841" s="1113"/>
      <c r="M841" s="1113"/>
      <c r="N841" s="1113"/>
      <c r="O841" s="1113"/>
      <c r="P841" s="1113"/>
      <c r="Q841" s="1113"/>
      <c r="R841" s="1113"/>
      <c r="S841" s="1113"/>
      <c r="T841" s="1113"/>
      <c r="U841" s="1114"/>
      <c r="V841" s="100"/>
      <c r="W841" s="100"/>
      <c r="X841" s="100"/>
      <c r="Y841" s="100"/>
      <c r="Z841" s="100"/>
      <c r="AA841" s="100"/>
      <c r="AB841" s="100"/>
      <c r="AC841" s="100"/>
      <c r="AD841" s="100"/>
      <c r="AF841"/>
      <c r="AG841">
        <f t="shared" si="346"/>
        <v>0</v>
      </c>
      <c r="AH841">
        <f t="shared" si="336"/>
        <v>0</v>
      </c>
      <c r="AK841">
        <f t="shared" si="337"/>
        <v>0</v>
      </c>
      <c r="AL841">
        <f t="shared" si="338"/>
        <v>0</v>
      </c>
      <c r="AM841">
        <f t="shared" si="339"/>
        <v>0</v>
      </c>
      <c r="AN841">
        <f t="shared" si="340"/>
        <v>0</v>
      </c>
      <c r="AO841">
        <f t="shared" si="341"/>
        <v>0</v>
      </c>
      <c r="AP841">
        <f t="shared" si="342"/>
        <v>0</v>
      </c>
      <c r="AQ841">
        <f t="shared" si="343"/>
        <v>0</v>
      </c>
      <c r="AR841">
        <f t="shared" si="344"/>
        <v>0</v>
      </c>
      <c r="AS841">
        <f t="shared" si="345"/>
        <v>0</v>
      </c>
    </row>
    <row r="842" spans="1:45" ht="15" customHeight="1">
      <c r="A842" s="176"/>
      <c r="B842" s="57"/>
      <c r="C842" s="1109"/>
      <c r="D842" s="954"/>
      <c r="E842" s="955"/>
      <c r="F842" s="956"/>
      <c r="G842" s="1103" t="s">
        <v>5041</v>
      </c>
      <c r="H842" s="1103"/>
      <c r="I842" s="1104" t="s">
        <v>5042</v>
      </c>
      <c r="J842" s="1105"/>
      <c r="K842" s="1105"/>
      <c r="L842" s="1105"/>
      <c r="M842" s="1105"/>
      <c r="N842" s="1105"/>
      <c r="O842" s="1105"/>
      <c r="P842" s="1105"/>
      <c r="Q842" s="1105"/>
      <c r="R842" s="1105"/>
      <c r="S842" s="1105"/>
      <c r="T842" s="1105"/>
      <c r="U842" s="1106"/>
      <c r="V842" s="100"/>
      <c r="W842" s="100"/>
      <c r="X842" s="100"/>
      <c r="Y842" s="100"/>
      <c r="Z842" s="100"/>
      <c r="AA842" s="100"/>
      <c r="AB842" s="100"/>
      <c r="AC842" s="100"/>
      <c r="AD842" s="100"/>
      <c r="AF842">
        <f>IF(V842="NA",IF(AND(COUNTIF(V843:V845,"="&amp;$AF$545)=0,COUNTIF(V843:V845,"&lt;&gt;NA")&gt;0),1,0),IF(AND(COUNTIF(V843:V845,"="&amp;$AF$545)=0,COUNTIF(V843:V845,"NA")=COUNTIF(V843:V845,"&lt;&gt;"&amp;$AF$545)),1,0))</f>
        <v>0</v>
      </c>
      <c r="AG842">
        <f t="shared" si="346"/>
        <v>0</v>
      </c>
      <c r="AH842">
        <f t="shared" si="336"/>
        <v>0</v>
      </c>
      <c r="AK842">
        <f t="shared" si="337"/>
        <v>0</v>
      </c>
      <c r="AL842">
        <f t="shared" si="338"/>
        <v>0</v>
      </c>
      <c r="AM842">
        <f t="shared" si="339"/>
        <v>0</v>
      </c>
      <c r="AN842">
        <f t="shared" si="340"/>
        <v>0</v>
      </c>
      <c r="AO842">
        <f t="shared" si="341"/>
        <v>0</v>
      </c>
      <c r="AP842">
        <f t="shared" si="342"/>
        <v>0</v>
      </c>
      <c r="AQ842">
        <f t="shared" si="343"/>
        <v>0</v>
      </c>
      <c r="AR842">
        <f t="shared" si="344"/>
        <v>0</v>
      </c>
      <c r="AS842">
        <f t="shared" si="345"/>
        <v>0</v>
      </c>
    </row>
    <row r="843" spans="1:45" ht="15" customHeight="1">
      <c r="A843" s="176"/>
      <c r="B843" s="57"/>
      <c r="C843" s="1109"/>
      <c r="D843" s="954"/>
      <c r="E843" s="955"/>
      <c r="F843" s="956"/>
      <c r="G843" s="1119" t="s">
        <v>5043</v>
      </c>
      <c r="H843" s="1120"/>
      <c r="I843" s="177"/>
      <c r="J843" s="1115" t="s">
        <v>5044</v>
      </c>
      <c r="K843" s="1115"/>
      <c r="L843" s="1115"/>
      <c r="M843" s="1115"/>
      <c r="N843" s="1115"/>
      <c r="O843" s="1115"/>
      <c r="P843" s="1115"/>
      <c r="Q843" s="1115"/>
      <c r="R843" s="1115"/>
      <c r="S843" s="1115"/>
      <c r="T843" s="1115"/>
      <c r="U843" s="1116"/>
      <c r="V843" s="100"/>
      <c r="W843" s="100"/>
      <c r="X843" s="100"/>
      <c r="Y843" s="100"/>
      <c r="Z843" s="100"/>
      <c r="AA843" s="100"/>
      <c r="AB843" s="100"/>
      <c r="AC843" s="100"/>
      <c r="AD843" s="100"/>
      <c r="AF843"/>
      <c r="AG843">
        <f t="shared" si="346"/>
        <v>0</v>
      </c>
      <c r="AH843">
        <f t="shared" si="336"/>
        <v>0</v>
      </c>
      <c r="AK843">
        <f t="shared" si="337"/>
        <v>0</v>
      </c>
      <c r="AL843">
        <f t="shared" si="338"/>
        <v>0</v>
      </c>
      <c r="AM843">
        <f t="shared" si="339"/>
        <v>0</v>
      </c>
      <c r="AN843">
        <f t="shared" si="340"/>
        <v>0</v>
      </c>
      <c r="AO843">
        <f t="shared" si="341"/>
        <v>0</v>
      </c>
      <c r="AP843">
        <f t="shared" si="342"/>
        <v>0</v>
      </c>
      <c r="AQ843">
        <f t="shared" si="343"/>
        <v>0</v>
      </c>
      <c r="AR843">
        <f t="shared" si="344"/>
        <v>0</v>
      </c>
      <c r="AS843">
        <f t="shared" si="345"/>
        <v>0</v>
      </c>
    </row>
    <row r="844" spans="1:45" ht="15" customHeight="1">
      <c r="A844" s="176"/>
      <c r="B844" s="57"/>
      <c r="C844" s="1109"/>
      <c r="D844" s="954"/>
      <c r="E844" s="955"/>
      <c r="F844" s="956"/>
      <c r="G844" s="1119" t="s">
        <v>5045</v>
      </c>
      <c r="H844" s="1120"/>
      <c r="I844" s="178"/>
      <c r="J844" s="1111" t="s">
        <v>5046</v>
      </c>
      <c r="K844" s="1111"/>
      <c r="L844" s="1111"/>
      <c r="M844" s="1111"/>
      <c r="N844" s="1111"/>
      <c r="O844" s="1111"/>
      <c r="P844" s="1111"/>
      <c r="Q844" s="1111"/>
      <c r="R844" s="1111"/>
      <c r="S844" s="1111"/>
      <c r="T844" s="1111"/>
      <c r="U844" s="1112"/>
      <c r="V844" s="100"/>
      <c r="W844" s="100"/>
      <c r="X844" s="100"/>
      <c r="Y844" s="100"/>
      <c r="Z844" s="100"/>
      <c r="AA844" s="100"/>
      <c r="AB844" s="100"/>
      <c r="AC844" s="100"/>
      <c r="AD844" s="100"/>
      <c r="AF844"/>
      <c r="AG844">
        <f t="shared" si="346"/>
        <v>0</v>
      </c>
      <c r="AH844">
        <f t="shared" si="336"/>
        <v>0</v>
      </c>
      <c r="AK844">
        <f t="shared" si="337"/>
        <v>0</v>
      </c>
      <c r="AL844">
        <f t="shared" si="338"/>
        <v>0</v>
      </c>
      <c r="AM844">
        <f t="shared" si="339"/>
        <v>0</v>
      </c>
      <c r="AN844">
        <f t="shared" si="340"/>
        <v>0</v>
      </c>
      <c r="AO844">
        <f t="shared" si="341"/>
        <v>0</v>
      </c>
      <c r="AP844">
        <f t="shared" si="342"/>
        <v>0</v>
      </c>
      <c r="AQ844">
        <f t="shared" si="343"/>
        <v>0</v>
      </c>
      <c r="AR844">
        <f t="shared" si="344"/>
        <v>0</v>
      </c>
      <c r="AS844">
        <f t="shared" si="345"/>
        <v>0</v>
      </c>
    </row>
    <row r="845" spans="1:45" ht="15" customHeight="1">
      <c r="A845" s="176"/>
      <c r="B845" s="57"/>
      <c r="C845" s="1109"/>
      <c r="D845" s="954"/>
      <c r="E845" s="955"/>
      <c r="F845" s="956"/>
      <c r="G845" s="1119" t="s">
        <v>5047</v>
      </c>
      <c r="H845" s="1120"/>
      <c r="I845" s="179"/>
      <c r="J845" s="1113" t="s">
        <v>201</v>
      </c>
      <c r="K845" s="1113"/>
      <c r="L845" s="1113"/>
      <c r="M845" s="1113"/>
      <c r="N845" s="1113"/>
      <c r="O845" s="1113"/>
      <c r="P845" s="1113"/>
      <c r="Q845" s="1113"/>
      <c r="R845" s="1113"/>
      <c r="S845" s="1113"/>
      <c r="T845" s="1113"/>
      <c r="U845" s="1114"/>
      <c r="V845" s="100"/>
      <c r="W845" s="100"/>
      <c r="X845" s="100"/>
      <c r="Y845" s="100"/>
      <c r="Z845" s="100"/>
      <c r="AA845" s="100"/>
      <c r="AB845" s="100"/>
      <c r="AC845" s="100"/>
      <c r="AD845" s="100"/>
      <c r="AF845"/>
      <c r="AG845">
        <f t="shared" si="346"/>
        <v>0</v>
      </c>
      <c r="AH845">
        <f t="shared" si="336"/>
        <v>0</v>
      </c>
      <c r="AK845">
        <f t="shared" si="337"/>
        <v>0</v>
      </c>
      <c r="AL845">
        <f t="shared" si="338"/>
        <v>0</v>
      </c>
      <c r="AM845">
        <f t="shared" si="339"/>
        <v>0</v>
      </c>
      <c r="AN845">
        <f t="shared" si="340"/>
        <v>0</v>
      </c>
      <c r="AO845">
        <f t="shared" si="341"/>
        <v>0</v>
      </c>
      <c r="AP845">
        <f t="shared" si="342"/>
        <v>0</v>
      </c>
      <c r="AQ845">
        <f t="shared" si="343"/>
        <v>0</v>
      </c>
      <c r="AR845">
        <f t="shared" si="344"/>
        <v>0</v>
      </c>
      <c r="AS845">
        <f t="shared" si="345"/>
        <v>0</v>
      </c>
    </row>
    <row r="846" spans="1:45" ht="15" customHeight="1">
      <c r="A846" s="176"/>
      <c r="B846" s="57"/>
      <c r="C846" s="1109"/>
      <c r="D846" s="954"/>
      <c r="E846" s="955"/>
      <c r="F846" s="956"/>
      <c r="G846" s="1103" t="s">
        <v>5048</v>
      </c>
      <c r="H846" s="1103"/>
      <c r="I846" s="1104" t="s">
        <v>5049</v>
      </c>
      <c r="J846" s="1105"/>
      <c r="K846" s="1105"/>
      <c r="L846" s="1105"/>
      <c r="M846" s="1105"/>
      <c r="N846" s="1105"/>
      <c r="O846" s="1105"/>
      <c r="P846" s="1105"/>
      <c r="Q846" s="1105"/>
      <c r="R846" s="1105"/>
      <c r="S846" s="1105"/>
      <c r="T846" s="1105"/>
      <c r="U846" s="1106"/>
      <c r="V846" s="100"/>
      <c r="W846" s="100"/>
      <c r="X846" s="100"/>
      <c r="Y846" s="100"/>
      <c r="Z846" s="100"/>
      <c r="AA846" s="100"/>
      <c r="AB846" s="100"/>
      <c r="AC846" s="100"/>
      <c r="AD846" s="100"/>
      <c r="AF846"/>
      <c r="AG846">
        <f t="shared" si="346"/>
        <v>0</v>
      </c>
      <c r="AH846">
        <f t="shared" ref="AH846:AH882" si="347">IF(V846="NA",IF(COUNTBLANK(W846:AD846)=8,0,1),0)</f>
        <v>0</v>
      </c>
      <c r="AK846">
        <f t="shared" ref="AK846:AK882" si="348">COUNTIF(W846:X846,"NS")</f>
        <v>0</v>
      </c>
      <c r="AL846">
        <f t="shared" ref="AL846:AL882" si="349">SUM(W846:X846)</f>
        <v>0</v>
      </c>
      <c r="AM846">
        <f t="shared" ref="AM846:AM882" si="350">IF(COUNTIF(V846:X846,"NA")=3,0,IF(COUNTA(V846:X846)=0,0,IF(OR(AND(V846=0,AK846&gt;0),AND(V846="ns",AL846&gt;0),AND(V846="ns",AK846=0,AL846=0)),1,IF(OR(AND(V846&gt;0,AK846=2),AND(V846="ns",AK846=2),AND(V846="ns",AL846=0,AK846&gt;0),V846=AL846),0,1))))</f>
        <v>0</v>
      </c>
      <c r="AN846">
        <f t="shared" ref="AN846:AN882" si="351">COUNTIF(Z846:AA846,"NS")</f>
        <v>0</v>
      </c>
      <c r="AO846">
        <f t="shared" ref="AO846:AO882" si="352">SUM(Z846:AA846)</f>
        <v>0</v>
      </c>
      <c r="AP846">
        <f t="shared" ref="AP846:AP882" si="353">IF(COUNTIF(Y846:AA846,"NA")=3,0,IF(COUNTA(Y846:AA846)=0,0,IF(OR(AND(Y846=0,AN846&gt;0),AND(Y846="ns",AO846&gt;0),AND(Y846="ns",AN846=0,AO846=0)),1,IF(OR(AND(Y846&gt;0,AN846=2),AND(Y846="ns",AN846=2),AND(Y846="ns",AO846=0,AN846&gt;0),Y846=AO846),0,1))))</f>
        <v>0</v>
      </c>
      <c r="AQ846">
        <f t="shared" ref="AQ846:AQ882" si="354">COUNTIF(AC846:AD846,"NS")</f>
        <v>0</v>
      </c>
      <c r="AR846">
        <f t="shared" ref="AR846:AR882" si="355">SUM(AC846:AD846)</f>
        <v>0</v>
      </c>
      <c r="AS846">
        <f t="shared" ref="AS846:AS882" si="356">IF(COUNTIF(AB846:AD846,"NA")=3,0,IF(COUNTA(AB846:AD846)=0,0,IF(OR(AND(AB846=0,AQ846&gt;0),AND(AB846="ns",AR846&gt;0),AND(AB846="ns",AQ846=0,AR846=0)),1,IF(OR(AND(AB846&gt;0,AQ846=2),AND(AB846="ns",AQ846=2),AND(AB846="ns",AR846=0,AQ846&gt;0),AB846=AR846),0,1))))</f>
        <v>0</v>
      </c>
    </row>
    <row r="847" spans="1:45" ht="15" customHeight="1">
      <c r="A847" s="176"/>
      <c r="B847" s="57"/>
      <c r="C847" s="1109"/>
      <c r="D847" s="954"/>
      <c r="E847" s="955"/>
      <c r="F847" s="956"/>
      <c r="G847" s="1103" t="s">
        <v>5050</v>
      </c>
      <c r="H847" s="1103"/>
      <c r="I847" s="1104" t="s">
        <v>5051</v>
      </c>
      <c r="J847" s="1105"/>
      <c r="K847" s="1105"/>
      <c r="L847" s="1105"/>
      <c r="M847" s="1105"/>
      <c r="N847" s="1105"/>
      <c r="O847" s="1105"/>
      <c r="P847" s="1105"/>
      <c r="Q847" s="1105"/>
      <c r="R847" s="1105"/>
      <c r="S847" s="1105"/>
      <c r="T847" s="1105"/>
      <c r="U847" s="1106"/>
      <c r="V847" s="100"/>
      <c r="W847" s="100"/>
      <c r="X847" s="100"/>
      <c r="Y847" s="100"/>
      <c r="Z847" s="100"/>
      <c r="AA847" s="100"/>
      <c r="AB847" s="100"/>
      <c r="AC847" s="100"/>
      <c r="AD847" s="100"/>
      <c r="AF847"/>
      <c r="AG847">
        <f t="shared" ref="AG847:AG882" si="357">IF(OR($V$518=0,$V$518="NS",$V$518="NA",V847="NA"),0,IF(COUNTBLANK(V847:AD847)=0,0,1))</f>
        <v>0</v>
      </c>
      <c r="AH847">
        <f t="shared" si="347"/>
        <v>0</v>
      </c>
      <c r="AK847">
        <f t="shared" si="348"/>
        <v>0</v>
      </c>
      <c r="AL847">
        <f t="shared" si="349"/>
        <v>0</v>
      </c>
      <c r="AM847">
        <f t="shared" si="350"/>
        <v>0</v>
      </c>
      <c r="AN847">
        <f t="shared" si="351"/>
        <v>0</v>
      </c>
      <c r="AO847">
        <f t="shared" si="352"/>
        <v>0</v>
      </c>
      <c r="AP847">
        <f t="shared" si="353"/>
        <v>0</v>
      </c>
      <c r="AQ847">
        <f t="shared" si="354"/>
        <v>0</v>
      </c>
      <c r="AR847">
        <f t="shared" si="355"/>
        <v>0</v>
      </c>
      <c r="AS847">
        <f t="shared" si="356"/>
        <v>0</v>
      </c>
    </row>
    <row r="848" spans="1:45" ht="15" customHeight="1">
      <c r="A848" s="176"/>
      <c r="B848" s="57"/>
      <c r="C848" s="1109"/>
      <c r="D848" s="954"/>
      <c r="E848" s="955"/>
      <c r="F848" s="956"/>
      <c r="G848" s="1103" t="s">
        <v>5052</v>
      </c>
      <c r="H848" s="1103"/>
      <c r="I848" s="1104" t="s">
        <v>5053</v>
      </c>
      <c r="J848" s="1105"/>
      <c r="K848" s="1105"/>
      <c r="L848" s="1105"/>
      <c r="M848" s="1105"/>
      <c r="N848" s="1105"/>
      <c r="O848" s="1105"/>
      <c r="P848" s="1105"/>
      <c r="Q848" s="1105"/>
      <c r="R848" s="1105"/>
      <c r="S848" s="1105"/>
      <c r="T848" s="1105"/>
      <c r="U848" s="1106"/>
      <c r="V848" s="100"/>
      <c r="W848" s="100"/>
      <c r="X848" s="100"/>
      <c r="Y848" s="100"/>
      <c r="Z848" s="100"/>
      <c r="AA848" s="100"/>
      <c r="AB848" s="100"/>
      <c r="AC848" s="100"/>
      <c r="AD848" s="100"/>
      <c r="AF848"/>
      <c r="AG848">
        <f t="shared" si="357"/>
        <v>0</v>
      </c>
      <c r="AH848">
        <f t="shared" si="347"/>
        <v>0</v>
      </c>
      <c r="AJ848">
        <f>IF(OR(V848="NS",V848="NA",$V$715=0,$V$715="NS",$V$715="NA"),0,IF((V848*(IFERROR(100/SUM(V832:V848),0)))&gt;25,1,0))</f>
        <v>0</v>
      </c>
      <c r="AK848">
        <f t="shared" si="348"/>
        <v>0</v>
      </c>
      <c r="AL848">
        <f t="shared" si="349"/>
        <v>0</v>
      </c>
      <c r="AM848">
        <f t="shared" si="350"/>
        <v>0</v>
      </c>
      <c r="AN848">
        <f t="shared" si="351"/>
        <v>0</v>
      </c>
      <c r="AO848">
        <f t="shared" si="352"/>
        <v>0</v>
      </c>
      <c r="AP848">
        <f t="shared" si="353"/>
        <v>0</v>
      </c>
      <c r="AQ848">
        <f t="shared" si="354"/>
        <v>0</v>
      </c>
      <c r="AR848">
        <f t="shared" si="355"/>
        <v>0</v>
      </c>
      <c r="AS848">
        <f t="shared" si="356"/>
        <v>0</v>
      </c>
    </row>
    <row r="849" spans="1:45" ht="15" customHeight="1">
      <c r="A849" s="176"/>
      <c r="B849" s="57"/>
      <c r="C849" s="1108" t="s">
        <v>5054</v>
      </c>
      <c r="D849" s="847" t="s">
        <v>5055</v>
      </c>
      <c r="E849" s="953"/>
      <c r="F849" s="848"/>
      <c r="G849" s="1103" t="s">
        <v>5056</v>
      </c>
      <c r="H849" s="1103"/>
      <c r="I849" s="1104" t="s">
        <v>5057</v>
      </c>
      <c r="J849" s="1105"/>
      <c r="K849" s="1105"/>
      <c r="L849" s="1105"/>
      <c r="M849" s="1105"/>
      <c r="N849" s="1105"/>
      <c r="O849" s="1105"/>
      <c r="P849" s="1105"/>
      <c r="Q849" s="1105"/>
      <c r="R849" s="1105"/>
      <c r="S849" s="1105"/>
      <c r="T849" s="1105"/>
      <c r="U849" s="1106"/>
      <c r="V849" s="100"/>
      <c r="W849" s="100"/>
      <c r="X849" s="100"/>
      <c r="Y849" s="100"/>
      <c r="Z849" s="100"/>
      <c r="AA849" s="100"/>
      <c r="AB849" s="100"/>
      <c r="AC849" s="100"/>
      <c r="AD849" s="100"/>
      <c r="AF849"/>
      <c r="AG849">
        <f t="shared" si="357"/>
        <v>0</v>
      </c>
      <c r="AH849">
        <f t="shared" si="347"/>
        <v>0</v>
      </c>
      <c r="AK849">
        <f t="shared" si="348"/>
        <v>0</v>
      </c>
      <c r="AL849">
        <f t="shared" si="349"/>
        <v>0</v>
      </c>
      <c r="AM849">
        <f t="shared" si="350"/>
        <v>0</v>
      </c>
      <c r="AN849">
        <f t="shared" si="351"/>
        <v>0</v>
      </c>
      <c r="AO849">
        <f t="shared" si="352"/>
        <v>0</v>
      </c>
      <c r="AP849">
        <f t="shared" si="353"/>
        <v>0</v>
      </c>
      <c r="AQ849">
        <f t="shared" si="354"/>
        <v>0</v>
      </c>
      <c r="AR849">
        <f t="shared" si="355"/>
        <v>0</v>
      </c>
      <c r="AS849">
        <f t="shared" si="356"/>
        <v>0</v>
      </c>
    </row>
    <row r="850" spans="1:45" ht="15" customHeight="1">
      <c r="A850" s="176"/>
      <c r="B850" s="57"/>
      <c r="C850" s="1109"/>
      <c r="D850" s="954"/>
      <c r="E850" s="955"/>
      <c r="F850" s="956"/>
      <c r="G850" s="1103" t="s">
        <v>5058</v>
      </c>
      <c r="H850" s="1103"/>
      <c r="I850" s="1104" t="s">
        <v>5059</v>
      </c>
      <c r="J850" s="1105"/>
      <c r="K850" s="1105"/>
      <c r="L850" s="1105"/>
      <c r="M850" s="1105"/>
      <c r="N850" s="1105"/>
      <c r="O850" s="1105"/>
      <c r="P850" s="1105"/>
      <c r="Q850" s="1105"/>
      <c r="R850" s="1105"/>
      <c r="S850" s="1105"/>
      <c r="T850" s="1105"/>
      <c r="U850" s="1106"/>
      <c r="V850" s="100"/>
      <c r="W850" s="100"/>
      <c r="X850" s="100"/>
      <c r="Y850" s="100"/>
      <c r="Z850" s="100"/>
      <c r="AA850" s="100"/>
      <c r="AB850" s="100"/>
      <c r="AC850" s="100"/>
      <c r="AD850" s="100"/>
      <c r="AF850"/>
      <c r="AG850">
        <f t="shared" si="357"/>
        <v>0</v>
      </c>
      <c r="AH850">
        <f t="shared" si="347"/>
        <v>0</v>
      </c>
      <c r="AK850">
        <f t="shared" si="348"/>
        <v>0</v>
      </c>
      <c r="AL850">
        <f t="shared" si="349"/>
        <v>0</v>
      </c>
      <c r="AM850">
        <f t="shared" si="350"/>
        <v>0</v>
      </c>
      <c r="AN850">
        <f t="shared" si="351"/>
        <v>0</v>
      </c>
      <c r="AO850">
        <f t="shared" si="352"/>
        <v>0</v>
      </c>
      <c r="AP850">
        <f t="shared" si="353"/>
        <v>0</v>
      </c>
      <c r="AQ850">
        <f t="shared" si="354"/>
        <v>0</v>
      </c>
      <c r="AR850">
        <f t="shared" si="355"/>
        <v>0</v>
      </c>
      <c r="AS850">
        <f t="shared" si="356"/>
        <v>0</v>
      </c>
    </row>
    <row r="851" spans="1:45" ht="15" customHeight="1">
      <c r="A851" s="176"/>
      <c r="B851" s="57"/>
      <c r="C851" s="1109"/>
      <c r="D851" s="954"/>
      <c r="E851" s="955"/>
      <c r="F851" s="956"/>
      <c r="G851" s="1103" t="s">
        <v>5060</v>
      </c>
      <c r="H851" s="1103"/>
      <c r="I851" s="1104" t="s">
        <v>5061</v>
      </c>
      <c r="J851" s="1105"/>
      <c r="K851" s="1105"/>
      <c r="L851" s="1105"/>
      <c r="M851" s="1105"/>
      <c r="N851" s="1105"/>
      <c r="O851" s="1105"/>
      <c r="P851" s="1105"/>
      <c r="Q851" s="1105"/>
      <c r="R851" s="1105"/>
      <c r="S851" s="1105"/>
      <c r="T851" s="1105"/>
      <c r="U851" s="1106"/>
      <c r="V851" s="100"/>
      <c r="W851" s="100"/>
      <c r="X851" s="100"/>
      <c r="Y851" s="100"/>
      <c r="Z851" s="100"/>
      <c r="AA851" s="100"/>
      <c r="AB851" s="100"/>
      <c r="AC851" s="100"/>
      <c r="AD851" s="100"/>
      <c r="AF851"/>
      <c r="AG851">
        <f t="shared" si="357"/>
        <v>0</v>
      </c>
      <c r="AH851">
        <f t="shared" si="347"/>
        <v>0</v>
      </c>
      <c r="AK851">
        <f t="shared" si="348"/>
        <v>0</v>
      </c>
      <c r="AL851">
        <f t="shared" si="349"/>
        <v>0</v>
      </c>
      <c r="AM851">
        <f t="shared" si="350"/>
        <v>0</v>
      </c>
      <c r="AN851">
        <f t="shared" si="351"/>
        <v>0</v>
      </c>
      <c r="AO851">
        <f t="shared" si="352"/>
        <v>0</v>
      </c>
      <c r="AP851">
        <f t="shared" si="353"/>
        <v>0</v>
      </c>
      <c r="AQ851">
        <f t="shared" si="354"/>
        <v>0</v>
      </c>
      <c r="AR851">
        <f t="shared" si="355"/>
        <v>0</v>
      </c>
      <c r="AS851">
        <f t="shared" si="356"/>
        <v>0</v>
      </c>
    </row>
    <row r="852" spans="1:45" ht="15" customHeight="1">
      <c r="A852" s="176"/>
      <c r="B852" s="57"/>
      <c r="C852" s="1109"/>
      <c r="D852" s="954"/>
      <c r="E852" s="955"/>
      <c r="F852" s="956"/>
      <c r="G852" s="1103" t="s">
        <v>5062</v>
      </c>
      <c r="H852" s="1103"/>
      <c r="I852" s="1104" t="s">
        <v>5063</v>
      </c>
      <c r="J852" s="1105"/>
      <c r="K852" s="1105"/>
      <c r="L852" s="1105"/>
      <c r="M852" s="1105"/>
      <c r="N852" s="1105"/>
      <c r="O852" s="1105"/>
      <c r="P852" s="1105"/>
      <c r="Q852" s="1105"/>
      <c r="R852" s="1105"/>
      <c r="S852" s="1105"/>
      <c r="T852" s="1105"/>
      <c r="U852" s="1106"/>
      <c r="V852" s="100"/>
      <c r="W852" s="100"/>
      <c r="X852" s="100"/>
      <c r="Y852" s="100"/>
      <c r="Z852" s="100"/>
      <c r="AA852" s="100"/>
      <c r="AB852" s="100"/>
      <c r="AC852" s="100"/>
      <c r="AD852" s="100"/>
      <c r="AF852"/>
      <c r="AG852">
        <f t="shared" si="357"/>
        <v>0</v>
      </c>
      <c r="AH852">
        <f t="shared" si="347"/>
        <v>0</v>
      </c>
      <c r="AK852">
        <f t="shared" si="348"/>
        <v>0</v>
      </c>
      <c r="AL852">
        <f t="shared" si="349"/>
        <v>0</v>
      </c>
      <c r="AM852">
        <f t="shared" si="350"/>
        <v>0</v>
      </c>
      <c r="AN852">
        <f t="shared" si="351"/>
        <v>0</v>
      </c>
      <c r="AO852">
        <f t="shared" si="352"/>
        <v>0</v>
      </c>
      <c r="AP852">
        <f t="shared" si="353"/>
        <v>0</v>
      </c>
      <c r="AQ852">
        <f t="shared" si="354"/>
        <v>0</v>
      </c>
      <c r="AR852">
        <f t="shared" si="355"/>
        <v>0</v>
      </c>
      <c r="AS852">
        <f t="shared" si="356"/>
        <v>0</v>
      </c>
    </row>
    <row r="853" spans="1:45" ht="24" customHeight="1">
      <c r="A853" s="176"/>
      <c r="B853" s="57"/>
      <c r="C853" s="1109"/>
      <c r="D853" s="954"/>
      <c r="E853" s="955"/>
      <c r="F853" s="956"/>
      <c r="G853" s="1103" t="s">
        <v>5064</v>
      </c>
      <c r="H853" s="1103"/>
      <c r="I853" s="1104" t="s">
        <v>5065</v>
      </c>
      <c r="J853" s="1105"/>
      <c r="K853" s="1105"/>
      <c r="L853" s="1105"/>
      <c r="M853" s="1105"/>
      <c r="N853" s="1105"/>
      <c r="O853" s="1105"/>
      <c r="P853" s="1105"/>
      <c r="Q853" s="1105"/>
      <c r="R853" s="1105"/>
      <c r="S853" s="1105"/>
      <c r="T853" s="1105"/>
      <c r="U853" s="1106"/>
      <c r="V853" s="100"/>
      <c r="W853" s="100"/>
      <c r="X853" s="100"/>
      <c r="Y853" s="100"/>
      <c r="Z853" s="100"/>
      <c r="AA853" s="100"/>
      <c r="AB853" s="100"/>
      <c r="AC853" s="100"/>
      <c r="AD853" s="100"/>
      <c r="AF853">
        <f>IF(V853="NA",IF(AND(COUNTIF(V854:V860,"="&amp;$AF$545)=0,COUNTIF(V854:V860,"&lt;&gt;NA")&gt;0),1,0),IF(AND(COUNTIF(V854:V860,"="&amp;$AF$545)=0,COUNTIF(V854:V860,"NA")=COUNTIF(V854:V860,"&lt;&gt;"&amp;$AF$545)),1,0))</f>
        <v>0</v>
      </c>
      <c r="AG853">
        <f t="shared" si="357"/>
        <v>0</v>
      </c>
      <c r="AH853">
        <f t="shared" si="347"/>
        <v>0</v>
      </c>
      <c r="AK853">
        <f t="shared" si="348"/>
        <v>0</v>
      </c>
      <c r="AL853">
        <f t="shared" si="349"/>
        <v>0</v>
      </c>
      <c r="AM853">
        <f t="shared" si="350"/>
        <v>0</v>
      </c>
      <c r="AN853">
        <f t="shared" si="351"/>
        <v>0</v>
      </c>
      <c r="AO853">
        <f t="shared" si="352"/>
        <v>0</v>
      </c>
      <c r="AP853">
        <f t="shared" si="353"/>
        <v>0</v>
      </c>
      <c r="AQ853">
        <f t="shared" si="354"/>
        <v>0</v>
      </c>
      <c r="AR853">
        <f t="shared" si="355"/>
        <v>0</v>
      </c>
      <c r="AS853">
        <f t="shared" si="356"/>
        <v>0</v>
      </c>
    </row>
    <row r="854" spans="1:45" ht="24" customHeight="1">
      <c r="A854" s="176"/>
      <c r="B854" s="57"/>
      <c r="C854" s="1109"/>
      <c r="D854" s="954"/>
      <c r="E854" s="955"/>
      <c r="F854" s="956"/>
      <c r="G854" s="1110" t="s">
        <v>5066</v>
      </c>
      <c r="H854" s="1110"/>
      <c r="I854" s="177"/>
      <c r="J854" s="1115" t="s">
        <v>5067</v>
      </c>
      <c r="K854" s="1115"/>
      <c r="L854" s="1115"/>
      <c r="M854" s="1115"/>
      <c r="N854" s="1115"/>
      <c r="O854" s="1115"/>
      <c r="P854" s="1115"/>
      <c r="Q854" s="1115"/>
      <c r="R854" s="1115"/>
      <c r="S854" s="1115"/>
      <c r="T854" s="1115"/>
      <c r="U854" s="1116"/>
      <c r="V854" s="100"/>
      <c r="W854" s="100"/>
      <c r="X854" s="100"/>
      <c r="Y854" s="100"/>
      <c r="Z854" s="100"/>
      <c r="AA854" s="100"/>
      <c r="AB854" s="100"/>
      <c r="AC854" s="100"/>
      <c r="AD854" s="100"/>
      <c r="AF854"/>
      <c r="AG854">
        <f t="shared" si="357"/>
        <v>0</v>
      </c>
      <c r="AH854">
        <f t="shared" si="347"/>
        <v>0</v>
      </c>
      <c r="AK854">
        <f t="shared" si="348"/>
        <v>0</v>
      </c>
      <c r="AL854">
        <f t="shared" si="349"/>
        <v>0</v>
      </c>
      <c r="AM854">
        <f t="shared" si="350"/>
        <v>0</v>
      </c>
      <c r="AN854">
        <f t="shared" si="351"/>
        <v>0</v>
      </c>
      <c r="AO854">
        <f t="shared" si="352"/>
        <v>0</v>
      </c>
      <c r="AP854">
        <f t="shared" si="353"/>
        <v>0</v>
      </c>
      <c r="AQ854">
        <f t="shared" si="354"/>
        <v>0</v>
      </c>
      <c r="AR854">
        <f t="shared" si="355"/>
        <v>0</v>
      </c>
      <c r="AS854">
        <f t="shared" si="356"/>
        <v>0</v>
      </c>
    </row>
    <row r="855" spans="1:45" ht="24" customHeight="1">
      <c r="A855" s="176"/>
      <c r="B855" s="57"/>
      <c r="C855" s="1109"/>
      <c r="D855" s="954"/>
      <c r="E855" s="955"/>
      <c r="F855" s="956"/>
      <c r="G855" s="1110" t="s">
        <v>5068</v>
      </c>
      <c r="H855" s="1110"/>
      <c r="I855" s="178"/>
      <c r="J855" s="1111" t="s">
        <v>5069</v>
      </c>
      <c r="K855" s="1111"/>
      <c r="L855" s="1111"/>
      <c r="M855" s="1111"/>
      <c r="N855" s="1111"/>
      <c r="O855" s="1111"/>
      <c r="P855" s="1111"/>
      <c r="Q855" s="1111"/>
      <c r="R855" s="1111"/>
      <c r="S855" s="1111"/>
      <c r="T855" s="1111"/>
      <c r="U855" s="1112"/>
      <c r="V855" s="100"/>
      <c r="W855" s="100"/>
      <c r="X855" s="100"/>
      <c r="Y855" s="100"/>
      <c r="Z855" s="100"/>
      <c r="AA855" s="100"/>
      <c r="AB855" s="100"/>
      <c r="AC855" s="100"/>
      <c r="AD855" s="100"/>
      <c r="AF855"/>
      <c r="AG855">
        <f t="shared" si="357"/>
        <v>0</v>
      </c>
      <c r="AH855">
        <f t="shared" si="347"/>
        <v>0</v>
      </c>
      <c r="AK855">
        <f t="shared" si="348"/>
        <v>0</v>
      </c>
      <c r="AL855">
        <f t="shared" si="349"/>
        <v>0</v>
      </c>
      <c r="AM855">
        <f t="shared" si="350"/>
        <v>0</v>
      </c>
      <c r="AN855">
        <f t="shared" si="351"/>
        <v>0</v>
      </c>
      <c r="AO855">
        <f t="shared" si="352"/>
        <v>0</v>
      </c>
      <c r="AP855">
        <f t="shared" si="353"/>
        <v>0</v>
      </c>
      <c r="AQ855">
        <f t="shared" si="354"/>
        <v>0</v>
      </c>
      <c r="AR855">
        <f t="shared" si="355"/>
        <v>0</v>
      </c>
      <c r="AS855">
        <f t="shared" si="356"/>
        <v>0</v>
      </c>
    </row>
    <row r="856" spans="1:45" ht="24" customHeight="1">
      <c r="A856" s="176"/>
      <c r="B856" s="57"/>
      <c r="C856" s="1109"/>
      <c r="D856" s="954"/>
      <c r="E856" s="955"/>
      <c r="F856" s="956"/>
      <c r="G856" s="1110" t="s">
        <v>5070</v>
      </c>
      <c r="H856" s="1110"/>
      <c r="I856" s="178"/>
      <c r="J856" s="1111" t="s">
        <v>5071</v>
      </c>
      <c r="K856" s="1111"/>
      <c r="L856" s="1111"/>
      <c r="M856" s="1111"/>
      <c r="N856" s="1111"/>
      <c r="O856" s="1111"/>
      <c r="P856" s="1111"/>
      <c r="Q856" s="1111"/>
      <c r="R856" s="1111"/>
      <c r="S856" s="1111"/>
      <c r="T856" s="1111"/>
      <c r="U856" s="1112"/>
      <c r="V856" s="100"/>
      <c r="W856" s="100"/>
      <c r="X856" s="100"/>
      <c r="Y856" s="100"/>
      <c r="Z856" s="100"/>
      <c r="AA856" s="100"/>
      <c r="AB856" s="100"/>
      <c r="AC856" s="100"/>
      <c r="AD856" s="100"/>
      <c r="AF856"/>
      <c r="AG856">
        <f t="shared" si="357"/>
        <v>0</v>
      </c>
      <c r="AH856">
        <f t="shared" si="347"/>
        <v>0</v>
      </c>
      <c r="AK856">
        <f t="shared" si="348"/>
        <v>0</v>
      </c>
      <c r="AL856">
        <f t="shared" si="349"/>
        <v>0</v>
      </c>
      <c r="AM856">
        <f t="shared" si="350"/>
        <v>0</v>
      </c>
      <c r="AN856">
        <f t="shared" si="351"/>
        <v>0</v>
      </c>
      <c r="AO856">
        <f t="shared" si="352"/>
        <v>0</v>
      </c>
      <c r="AP856">
        <f t="shared" si="353"/>
        <v>0</v>
      </c>
      <c r="AQ856">
        <f t="shared" si="354"/>
        <v>0</v>
      </c>
      <c r="AR856">
        <f t="shared" si="355"/>
        <v>0</v>
      </c>
      <c r="AS856">
        <f t="shared" si="356"/>
        <v>0</v>
      </c>
    </row>
    <row r="857" spans="1:45" ht="15" customHeight="1">
      <c r="A857" s="176"/>
      <c r="B857" s="57"/>
      <c r="C857" s="1109"/>
      <c r="D857" s="954"/>
      <c r="E857" s="955"/>
      <c r="F857" s="956"/>
      <c r="G857" s="1110" t="s">
        <v>5072</v>
      </c>
      <c r="H857" s="1110"/>
      <c r="I857" s="178"/>
      <c r="J857" s="1111" t="s">
        <v>5073</v>
      </c>
      <c r="K857" s="1111"/>
      <c r="L857" s="1111"/>
      <c r="M857" s="1111"/>
      <c r="N857" s="1111"/>
      <c r="O857" s="1111"/>
      <c r="P857" s="1111"/>
      <c r="Q857" s="1111"/>
      <c r="R857" s="1111"/>
      <c r="S857" s="1111"/>
      <c r="T857" s="1111"/>
      <c r="U857" s="1112"/>
      <c r="V857" s="100"/>
      <c r="W857" s="100"/>
      <c r="X857" s="100"/>
      <c r="Y857" s="100"/>
      <c r="Z857" s="100"/>
      <c r="AA857" s="100"/>
      <c r="AB857" s="100"/>
      <c r="AC857" s="100"/>
      <c r="AD857" s="100"/>
      <c r="AF857"/>
      <c r="AG857">
        <f t="shared" si="357"/>
        <v>0</v>
      </c>
      <c r="AH857">
        <f t="shared" si="347"/>
        <v>0</v>
      </c>
      <c r="AK857">
        <f t="shared" si="348"/>
        <v>0</v>
      </c>
      <c r="AL857">
        <f t="shared" si="349"/>
        <v>0</v>
      </c>
      <c r="AM857">
        <f t="shared" si="350"/>
        <v>0</v>
      </c>
      <c r="AN857">
        <f t="shared" si="351"/>
        <v>0</v>
      </c>
      <c r="AO857">
        <f t="shared" si="352"/>
        <v>0</v>
      </c>
      <c r="AP857">
        <f t="shared" si="353"/>
        <v>0</v>
      </c>
      <c r="AQ857">
        <f t="shared" si="354"/>
        <v>0</v>
      </c>
      <c r="AR857">
        <f t="shared" si="355"/>
        <v>0</v>
      </c>
      <c r="AS857">
        <f t="shared" si="356"/>
        <v>0</v>
      </c>
    </row>
    <row r="858" spans="1:45" ht="15" customHeight="1">
      <c r="A858" s="176"/>
      <c r="B858" s="57"/>
      <c r="C858" s="1109"/>
      <c r="D858" s="954"/>
      <c r="E858" s="955"/>
      <c r="F858" s="956"/>
      <c r="G858" s="1110" t="s">
        <v>5074</v>
      </c>
      <c r="H858" s="1110"/>
      <c r="I858" s="178"/>
      <c r="J858" s="1111" t="s">
        <v>5075</v>
      </c>
      <c r="K858" s="1111"/>
      <c r="L858" s="1111"/>
      <c r="M858" s="1111"/>
      <c r="N858" s="1111"/>
      <c r="O858" s="1111"/>
      <c r="P858" s="1111"/>
      <c r="Q858" s="1111"/>
      <c r="R858" s="1111"/>
      <c r="S858" s="1111"/>
      <c r="T858" s="1111"/>
      <c r="U858" s="1112"/>
      <c r="V858" s="100"/>
      <c r="W858" s="100"/>
      <c r="X858" s="100"/>
      <c r="Y858" s="100"/>
      <c r="Z858" s="100"/>
      <c r="AA858" s="100"/>
      <c r="AB858" s="100"/>
      <c r="AC858" s="100"/>
      <c r="AD858" s="100"/>
      <c r="AF858"/>
      <c r="AG858">
        <f t="shared" si="357"/>
        <v>0</v>
      </c>
      <c r="AH858">
        <f t="shared" si="347"/>
        <v>0</v>
      </c>
      <c r="AK858">
        <f t="shared" si="348"/>
        <v>0</v>
      </c>
      <c r="AL858">
        <f t="shared" si="349"/>
        <v>0</v>
      </c>
      <c r="AM858">
        <f t="shared" si="350"/>
        <v>0</v>
      </c>
      <c r="AN858">
        <f t="shared" si="351"/>
        <v>0</v>
      </c>
      <c r="AO858">
        <f t="shared" si="352"/>
        <v>0</v>
      </c>
      <c r="AP858">
        <f t="shared" si="353"/>
        <v>0</v>
      </c>
      <c r="AQ858">
        <f t="shared" si="354"/>
        <v>0</v>
      </c>
      <c r="AR858">
        <f t="shared" si="355"/>
        <v>0</v>
      </c>
      <c r="AS858">
        <f t="shared" si="356"/>
        <v>0</v>
      </c>
    </row>
    <row r="859" spans="1:45" ht="24" customHeight="1">
      <c r="A859" s="176"/>
      <c r="B859" s="57"/>
      <c r="C859" s="1109"/>
      <c r="D859" s="954"/>
      <c r="E859" s="955"/>
      <c r="F859" s="956"/>
      <c r="G859" s="1110" t="s">
        <v>5076</v>
      </c>
      <c r="H859" s="1110"/>
      <c r="I859" s="178"/>
      <c r="J859" s="1111" t="s">
        <v>5077</v>
      </c>
      <c r="K859" s="1111"/>
      <c r="L859" s="1111"/>
      <c r="M859" s="1111"/>
      <c r="N859" s="1111"/>
      <c r="O859" s="1111"/>
      <c r="P859" s="1111"/>
      <c r="Q859" s="1111"/>
      <c r="R859" s="1111"/>
      <c r="S859" s="1111"/>
      <c r="T859" s="1111"/>
      <c r="U859" s="1112"/>
      <c r="V859" s="100"/>
      <c r="W859" s="100"/>
      <c r="X859" s="100"/>
      <c r="Y859" s="100"/>
      <c r="Z859" s="100"/>
      <c r="AA859" s="100"/>
      <c r="AB859" s="100"/>
      <c r="AC859" s="100"/>
      <c r="AD859" s="100"/>
      <c r="AF859"/>
      <c r="AG859">
        <f t="shared" si="357"/>
        <v>0</v>
      </c>
      <c r="AH859">
        <f t="shared" si="347"/>
        <v>0</v>
      </c>
      <c r="AK859">
        <f t="shared" si="348"/>
        <v>0</v>
      </c>
      <c r="AL859">
        <f t="shared" si="349"/>
        <v>0</v>
      </c>
      <c r="AM859">
        <f t="shared" si="350"/>
        <v>0</v>
      </c>
      <c r="AN859">
        <f t="shared" si="351"/>
        <v>0</v>
      </c>
      <c r="AO859">
        <f t="shared" si="352"/>
        <v>0</v>
      </c>
      <c r="AP859">
        <f t="shared" si="353"/>
        <v>0</v>
      </c>
      <c r="AQ859">
        <f t="shared" si="354"/>
        <v>0</v>
      </c>
      <c r="AR859">
        <f t="shared" si="355"/>
        <v>0</v>
      </c>
      <c r="AS859">
        <f t="shared" si="356"/>
        <v>0</v>
      </c>
    </row>
    <row r="860" spans="1:45" ht="15" customHeight="1">
      <c r="A860" s="176"/>
      <c r="B860" s="57"/>
      <c r="C860" s="1109"/>
      <c r="D860" s="954"/>
      <c r="E860" s="955"/>
      <c r="F860" s="956"/>
      <c r="G860" s="1110" t="s">
        <v>5078</v>
      </c>
      <c r="H860" s="1110"/>
      <c r="I860" s="179"/>
      <c r="J860" s="1113" t="s">
        <v>201</v>
      </c>
      <c r="K860" s="1113"/>
      <c r="L860" s="1113"/>
      <c r="M860" s="1113"/>
      <c r="N860" s="1113"/>
      <c r="O860" s="1113"/>
      <c r="P860" s="1113"/>
      <c r="Q860" s="1113"/>
      <c r="R860" s="1113"/>
      <c r="S860" s="1113"/>
      <c r="T860" s="1113"/>
      <c r="U860" s="1114"/>
      <c r="V860" s="100"/>
      <c r="W860" s="100"/>
      <c r="X860" s="100"/>
      <c r="Y860" s="100"/>
      <c r="Z860" s="100"/>
      <c r="AA860" s="100"/>
      <c r="AB860" s="100"/>
      <c r="AC860" s="100"/>
      <c r="AD860" s="100"/>
      <c r="AF860"/>
      <c r="AG860">
        <f t="shared" si="357"/>
        <v>0</v>
      </c>
      <c r="AH860">
        <f t="shared" si="347"/>
        <v>0</v>
      </c>
      <c r="AK860">
        <f t="shared" si="348"/>
        <v>0</v>
      </c>
      <c r="AL860">
        <f t="shared" si="349"/>
        <v>0</v>
      </c>
      <c r="AM860">
        <f t="shared" si="350"/>
        <v>0</v>
      </c>
      <c r="AN860">
        <f t="shared" si="351"/>
        <v>0</v>
      </c>
      <c r="AO860">
        <f t="shared" si="352"/>
        <v>0</v>
      </c>
      <c r="AP860">
        <f t="shared" si="353"/>
        <v>0</v>
      </c>
      <c r="AQ860">
        <f t="shared" si="354"/>
        <v>0</v>
      </c>
      <c r="AR860">
        <f t="shared" si="355"/>
        <v>0</v>
      </c>
      <c r="AS860">
        <f t="shared" si="356"/>
        <v>0</v>
      </c>
    </row>
    <row r="861" spans="1:45" ht="15" customHeight="1">
      <c r="A861" s="176"/>
      <c r="B861" s="57"/>
      <c r="C861" s="1109"/>
      <c r="D861" s="954"/>
      <c r="E861" s="955"/>
      <c r="F861" s="956"/>
      <c r="G861" s="1103" t="s">
        <v>5079</v>
      </c>
      <c r="H861" s="1103"/>
      <c r="I861" s="1104" t="s">
        <v>5080</v>
      </c>
      <c r="J861" s="1105"/>
      <c r="K861" s="1105"/>
      <c r="L861" s="1105"/>
      <c r="M861" s="1105"/>
      <c r="N861" s="1105"/>
      <c r="O861" s="1105"/>
      <c r="P861" s="1105"/>
      <c r="Q861" s="1105"/>
      <c r="R861" s="1105"/>
      <c r="S861" s="1105"/>
      <c r="T861" s="1105"/>
      <c r="U861" s="1106"/>
      <c r="V861" s="100"/>
      <c r="W861" s="100"/>
      <c r="X861" s="100"/>
      <c r="Y861" s="100"/>
      <c r="Z861" s="100"/>
      <c r="AA861" s="100"/>
      <c r="AB861" s="100"/>
      <c r="AC861" s="100"/>
      <c r="AD861" s="100"/>
      <c r="AF861"/>
      <c r="AG861">
        <f t="shared" si="357"/>
        <v>0</v>
      </c>
      <c r="AH861">
        <f t="shared" si="347"/>
        <v>0</v>
      </c>
      <c r="AK861">
        <f t="shared" si="348"/>
        <v>0</v>
      </c>
      <c r="AL861">
        <f t="shared" si="349"/>
        <v>0</v>
      </c>
      <c r="AM861">
        <f t="shared" si="350"/>
        <v>0</v>
      </c>
      <c r="AN861">
        <f t="shared" si="351"/>
        <v>0</v>
      </c>
      <c r="AO861">
        <f t="shared" si="352"/>
        <v>0</v>
      </c>
      <c r="AP861">
        <f t="shared" si="353"/>
        <v>0</v>
      </c>
      <c r="AQ861">
        <f t="shared" si="354"/>
        <v>0</v>
      </c>
      <c r="AR861">
        <f t="shared" si="355"/>
        <v>0</v>
      </c>
      <c r="AS861">
        <f t="shared" si="356"/>
        <v>0</v>
      </c>
    </row>
    <row r="862" spans="1:45" ht="15" customHeight="1">
      <c r="A862" s="176"/>
      <c r="B862" s="57"/>
      <c r="C862" s="1109"/>
      <c r="D862" s="954"/>
      <c r="E862" s="955"/>
      <c r="F862" s="956"/>
      <c r="G862" s="1103" t="s">
        <v>5081</v>
      </c>
      <c r="H862" s="1103"/>
      <c r="I862" s="1104" t="s">
        <v>5082</v>
      </c>
      <c r="J862" s="1105"/>
      <c r="K862" s="1105"/>
      <c r="L862" s="1105"/>
      <c r="M862" s="1105"/>
      <c r="N862" s="1105"/>
      <c r="O862" s="1105"/>
      <c r="P862" s="1105"/>
      <c r="Q862" s="1105"/>
      <c r="R862" s="1105"/>
      <c r="S862" s="1105"/>
      <c r="T862" s="1105"/>
      <c r="U862" s="1106"/>
      <c r="V862" s="100"/>
      <c r="W862" s="100"/>
      <c r="X862" s="100"/>
      <c r="Y862" s="100"/>
      <c r="Z862" s="100"/>
      <c r="AA862" s="100"/>
      <c r="AB862" s="100"/>
      <c r="AC862" s="100"/>
      <c r="AD862" s="100"/>
      <c r="AF862">
        <f>IF(V862="NA",IF(AND(COUNTIF(V863:V865,"="&amp;$AF$545)=0,COUNTIF(V863:V865,"&lt;&gt;NA")&gt;0),1,0),IF(AND(COUNTIF(V863:V865,"="&amp;$AF$545)=0,COUNTIF(V863:V865,"NA")=COUNTIF(V863:V865,"&lt;&gt;"&amp;$AF$545)),1,0))</f>
        <v>0</v>
      </c>
      <c r="AG862">
        <f t="shared" si="357"/>
        <v>0</v>
      </c>
      <c r="AH862">
        <f t="shared" si="347"/>
        <v>0</v>
      </c>
      <c r="AK862">
        <f t="shared" si="348"/>
        <v>0</v>
      </c>
      <c r="AL862">
        <f t="shared" si="349"/>
        <v>0</v>
      </c>
      <c r="AM862">
        <f t="shared" si="350"/>
        <v>0</v>
      </c>
      <c r="AN862">
        <f t="shared" si="351"/>
        <v>0</v>
      </c>
      <c r="AO862">
        <f t="shared" si="352"/>
        <v>0</v>
      </c>
      <c r="AP862">
        <f t="shared" si="353"/>
        <v>0</v>
      </c>
      <c r="AQ862">
        <f t="shared" si="354"/>
        <v>0</v>
      </c>
      <c r="AR862">
        <f t="shared" si="355"/>
        <v>0</v>
      </c>
      <c r="AS862">
        <f t="shared" si="356"/>
        <v>0</v>
      </c>
    </row>
    <row r="863" spans="1:45" ht="15" customHeight="1">
      <c r="A863" s="176"/>
      <c r="B863" s="57"/>
      <c r="C863" s="1109"/>
      <c r="D863" s="954"/>
      <c r="E863" s="955"/>
      <c r="F863" s="956"/>
      <c r="G863" s="1110" t="s">
        <v>5083</v>
      </c>
      <c r="H863" s="1110"/>
      <c r="I863" s="177"/>
      <c r="J863" s="1115" t="s">
        <v>5084</v>
      </c>
      <c r="K863" s="1115"/>
      <c r="L863" s="1115"/>
      <c r="M863" s="1115"/>
      <c r="N863" s="1115"/>
      <c r="O863" s="1115"/>
      <c r="P863" s="1115"/>
      <c r="Q863" s="1115"/>
      <c r="R863" s="1115"/>
      <c r="S863" s="1115"/>
      <c r="T863" s="1115"/>
      <c r="U863" s="1116"/>
      <c r="V863" s="100"/>
      <c r="W863" s="100"/>
      <c r="X863" s="100"/>
      <c r="Y863" s="100"/>
      <c r="Z863" s="100"/>
      <c r="AA863" s="100"/>
      <c r="AB863" s="100"/>
      <c r="AC863" s="100"/>
      <c r="AD863" s="100"/>
      <c r="AF863"/>
      <c r="AG863">
        <f t="shared" si="357"/>
        <v>0</v>
      </c>
      <c r="AH863">
        <f t="shared" si="347"/>
        <v>0</v>
      </c>
      <c r="AK863">
        <f t="shared" si="348"/>
        <v>0</v>
      </c>
      <c r="AL863">
        <f t="shared" si="349"/>
        <v>0</v>
      </c>
      <c r="AM863">
        <f t="shared" si="350"/>
        <v>0</v>
      </c>
      <c r="AN863">
        <f t="shared" si="351"/>
        <v>0</v>
      </c>
      <c r="AO863">
        <f t="shared" si="352"/>
        <v>0</v>
      </c>
      <c r="AP863">
        <f t="shared" si="353"/>
        <v>0</v>
      </c>
      <c r="AQ863">
        <f t="shared" si="354"/>
        <v>0</v>
      </c>
      <c r="AR863">
        <f t="shared" si="355"/>
        <v>0</v>
      </c>
      <c r="AS863">
        <f t="shared" si="356"/>
        <v>0</v>
      </c>
    </row>
    <row r="864" spans="1:45" ht="15" customHeight="1">
      <c r="A864" s="176"/>
      <c r="B864" s="57"/>
      <c r="C864" s="1109"/>
      <c r="D864" s="954"/>
      <c r="E864" s="955"/>
      <c r="F864" s="956"/>
      <c r="G864" s="1110" t="s">
        <v>5085</v>
      </c>
      <c r="H864" s="1110"/>
      <c r="I864" s="178"/>
      <c r="J864" s="1111" t="s">
        <v>5086</v>
      </c>
      <c r="K864" s="1111"/>
      <c r="L864" s="1111"/>
      <c r="M864" s="1111"/>
      <c r="N864" s="1111"/>
      <c r="O864" s="1111"/>
      <c r="P864" s="1111"/>
      <c r="Q864" s="1111"/>
      <c r="R864" s="1111"/>
      <c r="S864" s="1111"/>
      <c r="T864" s="1111"/>
      <c r="U864" s="1112"/>
      <c r="V864" s="100"/>
      <c r="W864" s="100"/>
      <c r="X864" s="100"/>
      <c r="Y864" s="100"/>
      <c r="Z864" s="100"/>
      <c r="AA864" s="100"/>
      <c r="AB864" s="100"/>
      <c r="AC864" s="100"/>
      <c r="AD864" s="100"/>
      <c r="AF864"/>
      <c r="AG864">
        <f t="shared" si="357"/>
        <v>0</v>
      </c>
      <c r="AH864">
        <f t="shared" si="347"/>
        <v>0</v>
      </c>
      <c r="AK864">
        <f t="shared" si="348"/>
        <v>0</v>
      </c>
      <c r="AL864">
        <f t="shared" si="349"/>
        <v>0</v>
      </c>
      <c r="AM864">
        <f t="shared" si="350"/>
        <v>0</v>
      </c>
      <c r="AN864">
        <f t="shared" si="351"/>
        <v>0</v>
      </c>
      <c r="AO864">
        <f t="shared" si="352"/>
        <v>0</v>
      </c>
      <c r="AP864">
        <f t="shared" si="353"/>
        <v>0</v>
      </c>
      <c r="AQ864">
        <f t="shared" si="354"/>
        <v>0</v>
      </c>
      <c r="AR864">
        <f t="shared" si="355"/>
        <v>0</v>
      </c>
      <c r="AS864">
        <f t="shared" si="356"/>
        <v>0</v>
      </c>
    </row>
    <row r="865" spans="1:45" ht="15" customHeight="1">
      <c r="A865" s="176"/>
      <c r="B865" s="57"/>
      <c r="C865" s="1109"/>
      <c r="D865" s="954"/>
      <c r="E865" s="955"/>
      <c r="F865" s="956"/>
      <c r="G865" s="1110" t="s">
        <v>5087</v>
      </c>
      <c r="H865" s="1110"/>
      <c r="I865" s="179"/>
      <c r="J865" s="1113" t="s">
        <v>201</v>
      </c>
      <c r="K865" s="1113"/>
      <c r="L865" s="1113"/>
      <c r="M865" s="1113"/>
      <c r="N865" s="1113"/>
      <c r="O865" s="1113"/>
      <c r="P865" s="1113"/>
      <c r="Q865" s="1113"/>
      <c r="R865" s="1113"/>
      <c r="S865" s="1113"/>
      <c r="T865" s="1113"/>
      <c r="U865" s="1114"/>
      <c r="V865" s="100"/>
      <c r="W865" s="100"/>
      <c r="X865" s="100"/>
      <c r="Y865" s="100"/>
      <c r="Z865" s="100"/>
      <c r="AA865" s="100"/>
      <c r="AB865" s="100"/>
      <c r="AC865" s="100"/>
      <c r="AD865" s="100"/>
      <c r="AF865"/>
      <c r="AG865">
        <f t="shared" si="357"/>
        <v>0</v>
      </c>
      <c r="AH865">
        <f t="shared" si="347"/>
        <v>0</v>
      </c>
      <c r="AK865">
        <f t="shared" si="348"/>
        <v>0</v>
      </c>
      <c r="AL865">
        <f t="shared" si="349"/>
        <v>0</v>
      </c>
      <c r="AM865">
        <f t="shared" si="350"/>
        <v>0</v>
      </c>
      <c r="AN865">
        <f t="shared" si="351"/>
        <v>0</v>
      </c>
      <c r="AO865">
        <f t="shared" si="352"/>
        <v>0</v>
      </c>
      <c r="AP865">
        <f t="shared" si="353"/>
        <v>0</v>
      </c>
      <c r="AQ865">
        <f t="shared" si="354"/>
        <v>0</v>
      </c>
      <c r="AR865">
        <f t="shared" si="355"/>
        <v>0</v>
      </c>
      <c r="AS865">
        <f t="shared" si="356"/>
        <v>0</v>
      </c>
    </row>
    <row r="866" spans="1:45" ht="15" customHeight="1">
      <c r="A866" s="176"/>
      <c r="B866" s="57"/>
      <c r="C866" s="1109"/>
      <c r="D866" s="954"/>
      <c r="E866" s="955"/>
      <c r="F866" s="956"/>
      <c r="G866" s="1103" t="s">
        <v>5088</v>
      </c>
      <c r="H866" s="1103"/>
      <c r="I866" s="1104" t="s">
        <v>5089</v>
      </c>
      <c r="J866" s="1105"/>
      <c r="K866" s="1105"/>
      <c r="L866" s="1105"/>
      <c r="M866" s="1105"/>
      <c r="N866" s="1105"/>
      <c r="O866" s="1105"/>
      <c r="P866" s="1105"/>
      <c r="Q866" s="1105"/>
      <c r="R866" s="1105"/>
      <c r="S866" s="1105"/>
      <c r="T866" s="1105"/>
      <c r="U866" s="1106"/>
      <c r="V866" s="100"/>
      <c r="W866" s="100"/>
      <c r="X866" s="100"/>
      <c r="Y866" s="100"/>
      <c r="Z866" s="100"/>
      <c r="AA866" s="100"/>
      <c r="AB866" s="100"/>
      <c r="AC866" s="100"/>
      <c r="AD866" s="100"/>
      <c r="AF866"/>
      <c r="AG866">
        <f t="shared" si="357"/>
        <v>0</v>
      </c>
      <c r="AH866">
        <f t="shared" si="347"/>
        <v>0</v>
      </c>
      <c r="AK866">
        <f t="shared" si="348"/>
        <v>0</v>
      </c>
      <c r="AL866">
        <f t="shared" si="349"/>
        <v>0</v>
      </c>
      <c r="AM866">
        <f t="shared" si="350"/>
        <v>0</v>
      </c>
      <c r="AN866">
        <f t="shared" si="351"/>
        <v>0</v>
      </c>
      <c r="AO866">
        <f t="shared" si="352"/>
        <v>0</v>
      </c>
      <c r="AP866">
        <f t="shared" si="353"/>
        <v>0</v>
      </c>
      <c r="AQ866">
        <f t="shared" si="354"/>
        <v>0</v>
      </c>
      <c r="AR866">
        <f t="shared" si="355"/>
        <v>0</v>
      </c>
      <c r="AS866">
        <f t="shared" si="356"/>
        <v>0</v>
      </c>
    </row>
    <row r="867" spans="1:45" ht="24" customHeight="1">
      <c r="A867" s="176"/>
      <c r="B867" s="57"/>
      <c r="C867" s="1109"/>
      <c r="D867" s="954"/>
      <c r="E867" s="955"/>
      <c r="F867" s="956"/>
      <c r="G867" s="1103" t="s">
        <v>5090</v>
      </c>
      <c r="H867" s="1103"/>
      <c r="I867" s="1104" t="s">
        <v>5091</v>
      </c>
      <c r="J867" s="1105"/>
      <c r="K867" s="1105"/>
      <c r="L867" s="1105"/>
      <c r="M867" s="1105"/>
      <c r="N867" s="1105"/>
      <c r="O867" s="1105"/>
      <c r="P867" s="1105"/>
      <c r="Q867" s="1105"/>
      <c r="R867" s="1105"/>
      <c r="S867" s="1105"/>
      <c r="T867" s="1105"/>
      <c r="U867" s="1106"/>
      <c r="V867" s="100"/>
      <c r="W867" s="100"/>
      <c r="X867" s="100"/>
      <c r="Y867" s="100"/>
      <c r="Z867" s="100"/>
      <c r="AA867" s="100"/>
      <c r="AB867" s="100"/>
      <c r="AC867" s="100"/>
      <c r="AD867" s="100"/>
      <c r="AF867"/>
      <c r="AG867">
        <f t="shared" si="357"/>
        <v>0</v>
      </c>
      <c r="AH867">
        <f t="shared" si="347"/>
        <v>0</v>
      </c>
      <c r="AK867">
        <f t="shared" si="348"/>
        <v>0</v>
      </c>
      <c r="AL867">
        <f t="shared" si="349"/>
        <v>0</v>
      </c>
      <c r="AM867">
        <f t="shared" si="350"/>
        <v>0</v>
      </c>
      <c r="AN867">
        <f t="shared" si="351"/>
        <v>0</v>
      </c>
      <c r="AO867">
        <f t="shared" si="352"/>
        <v>0</v>
      </c>
      <c r="AP867">
        <f t="shared" si="353"/>
        <v>0</v>
      </c>
      <c r="AQ867">
        <f t="shared" si="354"/>
        <v>0</v>
      </c>
      <c r="AR867">
        <f t="shared" si="355"/>
        <v>0</v>
      </c>
      <c r="AS867">
        <f t="shared" si="356"/>
        <v>0</v>
      </c>
    </row>
    <row r="868" spans="1:45" ht="15" customHeight="1">
      <c r="A868" s="176"/>
      <c r="B868" s="57"/>
      <c r="C868" s="1109"/>
      <c r="D868" s="954"/>
      <c r="E868" s="955"/>
      <c r="F868" s="956"/>
      <c r="G868" s="1103" t="s">
        <v>5092</v>
      </c>
      <c r="H868" s="1103"/>
      <c r="I868" s="1104" t="s">
        <v>5093</v>
      </c>
      <c r="J868" s="1105"/>
      <c r="K868" s="1105"/>
      <c r="L868" s="1105"/>
      <c r="M868" s="1105"/>
      <c r="N868" s="1105"/>
      <c r="O868" s="1105"/>
      <c r="P868" s="1105"/>
      <c r="Q868" s="1105"/>
      <c r="R868" s="1105"/>
      <c r="S868" s="1105"/>
      <c r="T868" s="1105"/>
      <c r="U868" s="1106"/>
      <c r="V868" s="100"/>
      <c r="W868" s="100"/>
      <c r="X868" s="100"/>
      <c r="Y868" s="100"/>
      <c r="Z868" s="100"/>
      <c r="AA868" s="100"/>
      <c r="AB868" s="100"/>
      <c r="AC868" s="100"/>
      <c r="AD868" s="100"/>
      <c r="AF868"/>
      <c r="AG868">
        <f t="shared" si="357"/>
        <v>0</v>
      </c>
      <c r="AH868">
        <f t="shared" si="347"/>
        <v>0</v>
      </c>
      <c r="AK868">
        <f t="shared" si="348"/>
        <v>0</v>
      </c>
      <c r="AL868">
        <f t="shared" si="349"/>
        <v>0</v>
      </c>
      <c r="AM868">
        <f t="shared" si="350"/>
        <v>0</v>
      </c>
      <c r="AN868">
        <f t="shared" si="351"/>
        <v>0</v>
      </c>
      <c r="AO868">
        <f t="shared" si="352"/>
        <v>0</v>
      </c>
      <c r="AP868">
        <f t="shared" si="353"/>
        <v>0</v>
      </c>
      <c r="AQ868">
        <f t="shared" si="354"/>
        <v>0</v>
      </c>
      <c r="AR868">
        <f t="shared" si="355"/>
        <v>0</v>
      </c>
      <c r="AS868">
        <f t="shared" si="356"/>
        <v>0</v>
      </c>
    </row>
    <row r="869" spans="1:45" ht="15" customHeight="1">
      <c r="A869" s="176"/>
      <c r="B869" s="57"/>
      <c r="C869" s="1109"/>
      <c r="D869" s="954"/>
      <c r="E869" s="955"/>
      <c r="F869" s="956"/>
      <c r="G869" s="1103" t="s">
        <v>5094</v>
      </c>
      <c r="H869" s="1103"/>
      <c r="I869" s="1104" t="s">
        <v>5095</v>
      </c>
      <c r="J869" s="1105"/>
      <c r="K869" s="1105"/>
      <c r="L869" s="1105"/>
      <c r="M869" s="1105"/>
      <c r="N869" s="1105"/>
      <c r="O869" s="1105"/>
      <c r="P869" s="1105"/>
      <c r="Q869" s="1105"/>
      <c r="R869" s="1105"/>
      <c r="S869" s="1105"/>
      <c r="T869" s="1105"/>
      <c r="U869" s="1106"/>
      <c r="V869" s="100"/>
      <c r="W869" s="100"/>
      <c r="X869" s="100"/>
      <c r="Y869" s="100"/>
      <c r="Z869" s="100"/>
      <c r="AA869" s="100"/>
      <c r="AB869" s="100"/>
      <c r="AC869" s="100"/>
      <c r="AD869" s="100"/>
      <c r="AF869"/>
      <c r="AG869">
        <f t="shared" si="357"/>
        <v>0</v>
      </c>
      <c r="AH869">
        <f t="shared" si="347"/>
        <v>0</v>
      </c>
      <c r="AK869">
        <f t="shared" si="348"/>
        <v>0</v>
      </c>
      <c r="AL869">
        <f t="shared" si="349"/>
        <v>0</v>
      </c>
      <c r="AM869">
        <f t="shared" si="350"/>
        <v>0</v>
      </c>
      <c r="AN869">
        <f t="shared" si="351"/>
        <v>0</v>
      </c>
      <c r="AO869">
        <f t="shared" si="352"/>
        <v>0</v>
      </c>
      <c r="AP869">
        <f t="shared" si="353"/>
        <v>0</v>
      </c>
      <c r="AQ869">
        <f t="shared" si="354"/>
        <v>0</v>
      </c>
      <c r="AR869">
        <f t="shared" si="355"/>
        <v>0</v>
      </c>
      <c r="AS869">
        <f t="shared" si="356"/>
        <v>0</v>
      </c>
    </row>
    <row r="870" spans="1:45" ht="15" customHeight="1">
      <c r="A870" s="176"/>
      <c r="B870" s="57"/>
      <c r="C870" s="1109"/>
      <c r="D870" s="954"/>
      <c r="E870" s="955"/>
      <c r="F870" s="956"/>
      <c r="G870" s="1103" t="s">
        <v>5096</v>
      </c>
      <c r="H870" s="1103"/>
      <c r="I870" s="1104" t="s">
        <v>5097</v>
      </c>
      <c r="J870" s="1105"/>
      <c r="K870" s="1105"/>
      <c r="L870" s="1105"/>
      <c r="M870" s="1105"/>
      <c r="N870" s="1105"/>
      <c r="O870" s="1105"/>
      <c r="P870" s="1105"/>
      <c r="Q870" s="1105"/>
      <c r="R870" s="1105"/>
      <c r="S870" s="1105"/>
      <c r="T870" s="1105"/>
      <c r="U870" s="1106"/>
      <c r="V870" s="100"/>
      <c r="W870" s="100"/>
      <c r="X870" s="100"/>
      <c r="Y870" s="100"/>
      <c r="Z870" s="100"/>
      <c r="AA870" s="100"/>
      <c r="AB870" s="100"/>
      <c r="AC870" s="100"/>
      <c r="AD870" s="100"/>
      <c r="AF870"/>
      <c r="AG870">
        <f t="shared" si="357"/>
        <v>0</v>
      </c>
      <c r="AH870">
        <f t="shared" si="347"/>
        <v>0</v>
      </c>
      <c r="AK870">
        <f t="shared" si="348"/>
        <v>0</v>
      </c>
      <c r="AL870">
        <f t="shared" si="349"/>
        <v>0</v>
      </c>
      <c r="AM870">
        <f t="shared" si="350"/>
        <v>0</v>
      </c>
      <c r="AN870">
        <f t="shared" si="351"/>
        <v>0</v>
      </c>
      <c r="AO870">
        <f t="shared" si="352"/>
        <v>0</v>
      </c>
      <c r="AP870">
        <f t="shared" si="353"/>
        <v>0</v>
      </c>
      <c r="AQ870">
        <f t="shared" si="354"/>
        <v>0</v>
      </c>
      <c r="AR870">
        <f t="shared" si="355"/>
        <v>0</v>
      </c>
      <c r="AS870">
        <f t="shared" si="356"/>
        <v>0</v>
      </c>
    </row>
    <row r="871" spans="1:45" ht="15" customHeight="1">
      <c r="A871" s="176"/>
      <c r="B871" s="57"/>
      <c r="C871" s="1109"/>
      <c r="D871" s="954"/>
      <c r="E871" s="955"/>
      <c r="F871" s="956"/>
      <c r="G871" s="1103" t="s">
        <v>5098</v>
      </c>
      <c r="H871" s="1103"/>
      <c r="I871" s="1104" t="s">
        <v>5099</v>
      </c>
      <c r="J871" s="1105"/>
      <c r="K871" s="1105"/>
      <c r="L871" s="1105"/>
      <c r="M871" s="1105"/>
      <c r="N871" s="1105"/>
      <c r="O871" s="1105"/>
      <c r="P871" s="1105"/>
      <c r="Q871" s="1105"/>
      <c r="R871" s="1105"/>
      <c r="S871" s="1105"/>
      <c r="T871" s="1105"/>
      <c r="U871" s="1106"/>
      <c r="V871" s="100"/>
      <c r="W871" s="100"/>
      <c r="X871" s="100"/>
      <c r="Y871" s="100"/>
      <c r="Z871" s="100"/>
      <c r="AA871" s="100"/>
      <c r="AB871" s="100"/>
      <c r="AC871" s="100"/>
      <c r="AD871" s="100"/>
      <c r="AF871"/>
      <c r="AG871">
        <f t="shared" si="357"/>
        <v>0</v>
      </c>
      <c r="AH871">
        <f t="shared" si="347"/>
        <v>0</v>
      </c>
      <c r="AK871">
        <f t="shared" si="348"/>
        <v>0</v>
      </c>
      <c r="AL871">
        <f t="shared" si="349"/>
        <v>0</v>
      </c>
      <c r="AM871">
        <f t="shared" si="350"/>
        <v>0</v>
      </c>
      <c r="AN871">
        <f t="shared" si="351"/>
        <v>0</v>
      </c>
      <c r="AO871">
        <f t="shared" si="352"/>
        <v>0</v>
      </c>
      <c r="AP871">
        <f t="shared" si="353"/>
        <v>0</v>
      </c>
      <c r="AQ871">
        <f t="shared" si="354"/>
        <v>0</v>
      </c>
      <c r="AR871">
        <f t="shared" si="355"/>
        <v>0</v>
      </c>
      <c r="AS871">
        <f t="shared" si="356"/>
        <v>0</v>
      </c>
    </row>
    <row r="872" spans="1:45" ht="15" customHeight="1">
      <c r="A872" s="176"/>
      <c r="B872" s="57"/>
      <c r="C872" s="1109"/>
      <c r="D872" s="954"/>
      <c r="E872" s="955"/>
      <c r="F872" s="956"/>
      <c r="G872" s="1103" t="s">
        <v>5100</v>
      </c>
      <c r="H872" s="1103"/>
      <c r="I872" s="1104" t="s">
        <v>5101</v>
      </c>
      <c r="J872" s="1105"/>
      <c r="K872" s="1105"/>
      <c r="L872" s="1105"/>
      <c r="M872" s="1105"/>
      <c r="N872" s="1105"/>
      <c r="O872" s="1105"/>
      <c r="P872" s="1105"/>
      <c r="Q872" s="1105"/>
      <c r="R872" s="1105"/>
      <c r="S872" s="1105"/>
      <c r="T872" s="1105"/>
      <c r="U872" s="1106"/>
      <c r="V872" s="100"/>
      <c r="W872" s="100"/>
      <c r="X872" s="100"/>
      <c r="Y872" s="100"/>
      <c r="Z872" s="100"/>
      <c r="AA872" s="100"/>
      <c r="AB872" s="100"/>
      <c r="AC872" s="100"/>
      <c r="AD872" s="100"/>
      <c r="AF872"/>
      <c r="AG872">
        <f t="shared" si="357"/>
        <v>0</v>
      </c>
      <c r="AH872">
        <f t="shared" si="347"/>
        <v>0</v>
      </c>
      <c r="AK872">
        <f t="shared" si="348"/>
        <v>0</v>
      </c>
      <c r="AL872">
        <f t="shared" si="349"/>
        <v>0</v>
      </c>
      <c r="AM872">
        <f t="shared" si="350"/>
        <v>0</v>
      </c>
      <c r="AN872">
        <f t="shared" si="351"/>
        <v>0</v>
      </c>
      <c r="AO872">
        <f t="shared" si="352"/>
        <v>0</v>
      </c>
      <c r="AP872">
        <f t="shared" si="353"/>
        <v>0</v>
      </c>
      <c r="AQ872">
        <f t="shared" si="354"/>
        <v>0</v>
      </c>
      <c r="AR872">
        <f t="shared" si="355"/>
        <v>0</v>
      </c>
      <c r="AS872">
        <f t="shared" si="356"/>
        <v>0</v>
      </c>
    </row>
    <row r="873" spans="1:45" ht="15" customHeight="1">
      <c r="A873" s="176"/>
      <c r="B873" s="57"/>
      <c r="C873" s="1109"/>
      <c r="D873" s="954"/>
      <c r="E873" s="955"/>
      <c r="F873" s="956"/>
      <c r="G873" s="1103" t="s">
        <v>5102</v>
      </c>
      <c r="H873" s="1103"/>
      <c r="I873" s="1104" t="s">
        <v>5103</v>
      </c>
      <c r="J873" s="1105"/>
      <c r="K873" s="1105"/>
      <c r="L873" s="1105"/>
      <c r="M873" s="1105"/>
      <c r="N873" s="1105"/>
      <c r="O873" s="1105"/>
      <c r="P873" s="1105"/>
      <c r="Q873" s="1105"/>
      <c r="R873" s="1105"/>
      <c r="S873" s="1105"/>
      <c r="T873" s="1105"/>
      <c r="U873" s="1106"/>
      <c r="V873" s="100"/>
      <c r="W873" s="100"/>
      <c r="X873" s="100"/>
      <c r="Y873" s="100"/>
      <c r="Z873" s="100"/>
      <c r="AA873" s="100"/>
      <c r="AB873" s="100"/>
      <c r="AC873" s="100"/>
      <c r="AD873" s="100"/>
      <c r="AF873"/>
      <c r="AG873">
        <f t="shared" si="357"/>
        <v>0</v>
      </c>
      <c r="AH873">
        <f t="shared" si="347"/>
        <v>0</v>
      </c>
      <c r="AK873">
        <f t="shared" si="348"/>
        <v>0</v>
      </c>
      <c r="AL873">
        <f t="shared" si="349"/>
        <v>0</v>
      </c>
      <c r="AM873">
        <f t="shared" si="350"/>
        <v>0</v>
      </c>
      <c r="AN873">
        <f t="shared" si="351"/>
        <v>0</v>
      </c>
      <c r="AO873">
        <f t="shared" si="352"/>
        <v>0</v>
      </c>
      <c r="AP873">
        <f t="shared" si="353"/>
        <v>0</v>
      </c>
      <c r="AQ873">
        <f t="shared" si="354"/>
        <v>0</v>
      </c>
      <c r="AR873">
        <f t="shared" si="355"/>
        <v>0</v>
      </c>
      <c r="AS873">
        <f t="shared" si="356"/>
        <v>0</v>
      </c>
    </row>
    <row r="874" spans="1:45" ht="24" customHeight="1">
      <c r="A874" s="176"/>
      <c r="B874" s="57"/>
      <c r="C874" s="1109"/>
      <c r="D874" s="954"/>
      <c r="E874" s="955"/>
      <c r="F874" s="956"/>
      <c r="G874" s="1103" t="s">
        <v>5104</v>
      </c>
      <c r="H874" s="1103"/>
      <c r="I874" s="1104" t="s">
        <v>5105</v>
      </c>
      <c r="J874" s="1105"/>
      <c r="K874" s="1105"/>
      <c r="L874" s="1105"/>
      <c r="M874" s="1105"/>
      <c r="N874" s="1105"/>
      <c r="O874" s="1105"/>
      <c r="P874" s="1105"/>
      <c r="Q874" s="1105"/>
      <c r="R874" s="1105"/>
      <c r="S874" s="1105"/>
      <c r="T874" s="1105"/>
      <c r="U874" s="1106"/>
      <c r="V874" s="100"/>
      <c r="W874" s="100"/>
      <c r="X874" s="100"/>
      <c r="Y874" s="100"/>
      <c r="Z874" s="100"/>
      <c r="AA874" s="100"/>
      <c r="AB874" s="100"/>
      <c r="AC874" s="100"/>
      <c r="AD874" s="100"/>
      <c r="AF874">
        <f>IF(V874="NA",IF(AND(COUNTIF(V875:V879,"="&amp;$AF$545)=0,COUNTIF(V875:V879,"&lt;&gt;NA")&gt;0),1,0),IF(AND(COUNTIF(V875:V879,"="&amp;$AF$545)=0,COUNTIF(V875:V879,"NA")=COUNTIF(V875:V879,"&lt;&gt;"&amp;$AF$545)),1,0))</f>
        <v>0</v>
      </c>
      <c r="AG874">
        <f t="shared" si="357"/>
        <v>0</v>
      </c>
      <c r="AH874">
        <f t="shared" si="347"/>
        <v>0</v>
      </c>
      <c r="AK874">
        <f t="shared" si="348"/>
        <v>0</v>
      </c>
      <c r="AL874">
        <f t="shared" si="349"/>
        <v>0</v>
      </c>
      <c r="AM874">
        <f t="shared" si="350"/>
        <v>0</v>
      </c>
      <c r="AN874">
        <f t="shared" si="351"/>
        <v>0</v>
      </c>
      <c r="AO874">
        <f t="shared" si="352"/>
        <v>0</v>
      </c>
      <c r="AP874">
        <f t="shared" si="353"/>
        <v>0</v>
      </c>
      <c r="AQ874">
        <f t="shared" si="354"/>
        <v>0</v>
      </c>
      <c r="AR874">
        <f t="shared" si="355"/>
        <v>0</v>
      </c>
      <c r="AS874">
        <f t="shared" si="356"/>
        <v>0</v>
      </c>
    </row>
    <row r="875" spans="1:45" ht="15" customHeight="1">
      <c r="A875" s="176"/>
      <c r="B875" s="57"/>
      <c r="C875" s="1109"/>
      <c r="D875" s="954"/>
      <c r="E875" s="955"/>
      <c r="F875" s="956"/>
      <c r="G875" s="1119" t="s">
        <v>5106</v>
      </c>
      <c r="H875" s="1120"/>
      <c r="I875" s="177"/>
      <c r="J875" s="1115" t="s">
        <v>5107</v>
      </c>
      <c r="K875" s="1115"/>
      <c r="L875" s="1115"/>
      <c r="M875" s="1115"/>
      <c r="N875" s="1115"/>
      <c r="O875" s="1115"/>
      <c r="P875" s="1115"/>
      <c r="Q875" s="1115"/>
      <c r="R875" s="1115"/>
      <c r="S875" s="1115"/>
      <c r="T875" s="1115"/>
      <c r="U875" s="1116"/>
      <c r="V875" s="100"/>
      <c r="W875" s="100"/>
      <c r="X875" s="100"/>
      <c r="Y875" s="100"/>
      <c r="Z875" s="100"/>
      <c r="AA875" s="100"/>
      <c r="AB875" s="100"/>
      <c r="AC875" s="100"/>
      <c r="AD875" s="100"/>
      <c r="AF875"/>
      <c r="AG875">
        <f t="shared" si="357"/>
        <v>0</v>
      </c>
      <c r="AH875">
        <f t="shared" si="347"/>
        <v>0</v>
      </c>
      <c r="AK875">
        <f t="shared" si="348"/>
        <v>0</v>
      </c>
      <c r="AL875">
        <f t="shared" si="349"/>
        <v>0</v>
      </c>
      <c r="AM875">
        <f t="shared" si="350"/>
        <v>0</v>
      </c>
      <c r="AN875">
        <f t="shared" si="351"/>
        <v>0</v>
      </c>
      <c r="AO875">
        <f t="shared" si="352"/>
        <v>0</v>
      </c>
      <c r="AP875">
        <f t="shared" si="353"/>
        <v>0</v>
      </c>
      <c r="AQ875">
        <f t="shared" si="354"/>
        <v>0</v>
      </c>
      <c r="AR875">
        <f t="shared" si="355"/>
        <v>0</v>
      </c>
      <c r="AS875">
        <f t="shared" si="356"/>
        <v>0</v>
      </c>
    </row>
    <row r="876" spans="1:45" ht="15" customHeight="1">
      <c r="A876" s="176"/>
      <c r="B876" s="57"/>
      <c r="C876" s="1109"/>
      <c r="D876" s="954"/>
      <c r="E876" s="955"/>
      <c r="F876" s="956"/>
      <c r="G876" s="1119" t="s">
        <v>5108</v>
      </c>
      <c r="H876" s="1120"/>
      <c r="I876" s="178"/>
      <c r="J876" s="1111" t="s">
        <v>5109</v>
      </c>
      <c r="K876" s="1111"/>
      <c r="L876" s="1111"/>
      <c r="M876" s="1111"/>
      <c r="N876" s="1111"/>
      <c r="O876" s="1111"/>
      <c r="P876" s="1111"/>
      <c r="Q876" s="1111"/>
      <c r="R876" s="1111"/>
      <c r="S876" s="1111"/>
      <c r="T876" s="1111"/>
      <c r="U876" s="1112"/>
      <c r="V876" s="100"/>
      <c r="W876" s="100"/>
      <c r="X876" s="100"/>
      <c r="Y876" s="100"/>
      <c r="Z876" s="100"/>
      <c r="AA876" s="100"/>
      <c r="AB876" s="100"/>
      <c r="AC876" s="100"/>
      <c r="AD876" s="100"/>
      <c r="AF876"/>
      <c r="AG876">
        <f t="shared" si="357"/>
        <v>0</v>
      </c>
      <c r="AH876">
        <f t="shared" si="347"/>
        <v>0</v>
      </c>
      <c r="AK876">
        <f t="shared" si="348"/>
        <v>0</v>
      </c>
      <c r="AL876">
        <f t="shared" si="349"/>
        <v>0</v>
      </c>
      <c r="AM876">
        <f t="shared" si="350"/>
        <v>0</v>
      </c>
      <c r="AN876">
        <f t="shared" si="351"/>
        <v>0</v>
      </c>
      <c r="AO876">
        <f t="shared" si="352"/>
        <v>0</v>
      </c>
      <c r="AP876">
        <f t="shared" si="353"/>
        <v>0</v>
      </c>
      <c r="AQ876">
        <f t="shared" si="354"/>
        <v>0</v>
      </c>
      <c r="AR876">
        <f t="shared" si="355"/>
        <v>0</v>
      </c>
      <c r="AS876">
        <f t="shared" si="356"/>
        <v>0</v>
      </c>
    </row>
    <row r="877" spans="1:45" ht="24" customHeight="1">
      <c r="A877" s="176"/>
      <c r="B877" s="57"/>
      <c r="C877" s="1109"/>
      <c r="D877" s="954"/>
      <c r="E877" s="955"/>
      <c r="F877" s="956"/>
      <c r="G877" s="1119" t="s">
        <v>5110</v>
      </c>
      <c r="H877" s="1120"/>
      <c r="I877" s="178"/>
      <c r="J877" s="1111" t="s">
        <v>5111</v>
      </c>
      <c r="K877" s="1111"/>
      <c r="L877" s="1111"/>
      <c r="M877" s="1111"/>
      <c r="N877" s="1111"/>
      <c r="O877" s="1111"/>
      <c r="P877" s="1111"/>
      <c r="Q877" s="1111"/>
      <c r="R877" s="1111"/>
      <c r="S877" s="1111"/>
      <c r="T877" s="1111"/>
      <c r="U877" s="1112"/>
      <c r="V877" s="100"/>
      <c r="W877" s="100"/>
      <c r="X877" s="100"/>
      <c r="Y877" s="100"/>
      <c r="Z877" s="100"/>
      <c r="AA877" s="100"/>
      <c r="AB877" s="100"/>
      <c r="AC877" s="100"/>
      <c r="AD877" s="100"/>
      <c r="AF877"/>
      <c r="AG877">
        <f t="shared" si="357"/>
        <v>0</v>
      </c>
      <c r="AH877">
        <f t="shared" si="347"/>
        <v>0</v>
      </c>
      <c r="AK877">
        <f t="shared" si="348"/>
        <v>0</v>
      </c>
      <c r="AL877">
        <f t="shared" si="349"/>
        <v>0</v>
      </c>
      <c r="AM877">
        <f t="shared" si="350"/>
        <v>0</v>
      </c>
      <c r="AN877">
        <f t="shared" si="351"/>
        <v>0</v>
      </c>
      <c r="AO877">
        <f t="shared" si="352"/>
        <v>0</v>
      </c>
      <c r="AP877">
        <f t="shared" si="353"/>
        <v>0</v>
      </c>
      <c r="AQ877">
        <f t="shared" si="354"/>
        <v>0</v>
      </c>
      <c r="AR877">
        <f t="shared" si="355"/>
        <v>0</v>
      </c>
      <c r="AS877">
        <f t="shared" si="356"/>
        <v>0</v>
      </c>
    </row>
    <row r="878" spans="1:45" ht="24" customHeight="1">
      <c r="A878" s="176"/>
      <c r="B878" s="57"/>
      <c r="C878" s="1109"/>
      <c r="D878" s="954"/>
      <c r="E878" s="955"/>
      <c r="F878" s="956"/>
      <c r="G878" s="1119" t="s">
        <v>5112</v>
      </c>
      <c r="H878" s="1120"/>
      <c r="I878" s="178"/>
      <c r="J878" s="1111" t="s">
        <v>5113</v>
      </c>
      <c r="K878" s="1111"/>
      <c r="L878" s="1111"/>
      <c r="M878" s="1111"/>
      <c r="N878" s="1111"/>
      <c r="O878" s="1111"/>
      <c r="P878" s="1111"/>
      <c r="Q878" s="1111"/>
      <c r="R878" s="1111"/>
      <c r="S878" s="1111"/>
      <c r="T878" s="1111"/>
      <c r="U878" s="1112"/>
      <c r="V878" s="100"/>
      <c r="W878" s="100"/>
      <c r="X878" s="100"/>
      <c r="Y878" s="100"/>
      <c r="Z878" s="100"/>
      <c r="AA878" s="100"/>
      <c r="AB878" s="100"/>
      <c r="AC878" s="100"/>
      <c r="AD878" s="100"/>
      <c r="AF878"/>
      <c r="AG878">
        <f t="shared" si="357"/>
        <v>0</v>
      </c>
      <c r="AH878">
        <f t="shared" si="347"/>
        <v>0</v>
      </c>
      <c r="AK878">
        <f t="shared" si="348"/>
        <v>0</v>
      </c>
      <c r="AL878">
        <f t="shared" si="349"/>
        <v>0</v>
      </c>
      <c r="AM878">
        <f t="shared" si="350"/>
        <v>0</v>
      </c>
      <c r="AN878">
        <f t="shared" si="351"/>
        <v>0</v>
      </c>
      <c r="AO878">
        <f t="shared" si="352"/>
        <v>0</v>
      </c>
      <c r="AP878">
        <f t="shared" si="353"/>
        <v>0</v>
      </c>
      <c r="AQ878">
        <f t="shared" si="354"/>
        <v>0</v>
      </c>
      <c r="AR878">
        <f t="shared" si="355"/>
        <v>0</v>
      </c>
      <c r="AS878">
        <f t="shared" si="356"/>
        <v>0</v>
      </c>
    </row>
    <row r="879" spans="1:45" ht="15" customHeight="1">
      <c r="A879" s="176"/>
      <c r="B879" s="57"/>
      <c r="C879" s="1109"/>
      <c r="D879" s="954"/>
      <c r="E879" s="955"/>
      <c r="F879" s="956"/>
      <c r="G879" s="1119" t="s">
        <v>5114</v>
      </c>
      <c r="H879" s="1120"/>
      <c r="I879" s="179"/>
      <c r="J879" s="1113" t="s">
        <v>201</v>
      </c>
      <c r="K879" s="1113"/>
      <c r="L879" s="1113"/>
      <c r="M879" s="1113"/>
      <c r="N879" s="1113"/>
      <c r="O879" s="1113"/>
      <c r="P879" s="1113"/>
      <c r="Q879" s="1113"/>
      <c r="R879" s="1113"/>
      <c r="S879" s="1113"/>
      <c r="T879" s="1113"/>
      <c r="U879" s="1114"/>
      <c r="V879" s="100"/>
      <c r="W879" s="100"/>
      <c r="X879" s="100"/>
      <c r="Y879" s="100"/>
      <c r="Z879" s="100"/>
      <c r="AA879" s="100"/>
      <c r="AB879" s="100"/>
      <c r="AC879" s="100"/>
      <c r="AD879" s="100"/>
      <c r="AF879"/>
      <c r="AG879">
        <f t="shared" si="357"/>
        <v>0</v>
      </c>
      <c r="AH879">
        <f t="shared" si="347"/>
        <v>0</v>
      </c>
      <c r="AK879">
        <f t="shared" si="348"/>
        <v>0</v>
      </c>
      <c r="AL879">
        <f t="shared" si="349"/>
        <v>0</v>
      </c>
      <c r="AM879">
        <f t="shared" si="350"/>
        <v>0</v>
      </c>
      <c r="AN879">
        <f t="shared" si="351"/>
        <v>0</v>
      </c>
      <c r="AO879">
        <f t="shared" si="352"/>
        <v>0</v>
      </c>
      <c r="AP879">
        <f t="shared" si="353"/>
        <v>0</v>
      </c>
      <c r="AQ879">
        <f t="shared" si="354"/>
        <v>0</v>
      </c>
      <c r="AR879">
        <f t="shared" si="355"/>
        <v>0</v>
      </c>
      <c r="AS879">
        <f t="shared" si="356"/>
        <v>0</v>
      </c>
    </row>
    <row r="880" spans="1:45" ht="15" customHeight="1">
      <c r="A880" s="176"/>
      <c r="B880" s="57"/>
      <c r="C880" s="1109"/>
      <c r="D880" s="954"/>
      <c r="E880" s="955"/>
      <c r="F880" s="956"/>
      <c r="G880" s="1103" t="s">
        <v>5115</v>
      </c>
      <c r="H880" s="1103"/>
      <c r="I880" s="1104" t="s">
        <v>5116</v>
      </c>
      <c r="J880" s="1105"/>
      <c r="K880" s="1105"/>
      <c r="L880" s="1105"/>
      <c r="M880" s="1105"/>
      <c r="N880" s="1105"/>
      <c r="O880" s="1105"/>
      <c r="P880" s="1105"/>
      <c r="Q880" s="1105"/>
      <c r="R880" s="1105"/>
      <c r="S880" s="1105"/>
      <c r="T880" s="1105"/>
      <c r="U880" s="1106"/>
      <c r="V880" s="100"/>
      <c r="W880" s="100"/>
      <c r="X880" s="100"/>
      <c r="Y880" s="100"/>
      <c r="Z880" s="100"/>
      <c r="AA880" s="100"/>
      <c r="AB880" s="100"/>
      <c r="AC880" s="100"/>
      <c r="AD880" s="100"/>
      <c r="AF880"/>
      <c r="AG880">
        <f t="shared" si="357"/>
        <v>0</v>
      </c>
      <c r="AH880">
        <f t="shared" si="347"/>
        <v>0</v>
      </c>
      <c r="AK880">
        <f t="shared" si="348"/>
        <v>0</v>
      </c>
      <c r="AL880">
        <f t="shared" si="349"/>
        <v>0</v>
      </c>
      <c r="AM880">
        <f t="shared" si="350"/>
        <v>0</v>
      </c>
      <c r="AN880">
        <f t="shared" si="351"/>
        <v>0</v>
      </c>
      <c r="AO880">
        <f t="shared" si="352"/>
        <v>0</v>
      </c>
      <c r="AP880">
        <f t="shared" si="353"/>
        <v>0</v>
      </c>
      <c r="AQ880">
        <f t="shared" si="354"/>
        <v>0</v>
      </c>
      <c r="AR880">
        <f t="shared" si="355"/>
        <v>0</v>
      </c>
      <c r="AS880">
        <f t="shared" si="356"/>
        <v>0</v>
      </c>
    </row>
    <row r="881" spans="1:45" ht="15" customHeight="1">
      <c r="A881" s="176"/>
      <c r="B881" s="57"/>
      <c r="C881" s="1109"/>
      <c r="D881" s="954"/>
      <c r="E881" s="955"/>
      <c r="F881" s="956"/>
      <c r="G881" s="1107" t="s">
        <v>5117</v>
      </c>
      <c r="H881" s="1107"/>
      <c r="I881" s="1104" t="s">
        <v>5118</v>
      </c>
      <c r="J881" s="1105"/>
      <c r="K881" s="1105"/>
      <c r="L881" s="1105"/>
      <c r="M881" s="1105"/>
      <c r="N881" s="1105"/>
      <c r="O881" s="1105"/>
      <c r="P881" s="1105"/>
      <c r="Q881" s="1105"/>
      <c r="R881" s="1105"/>
      <c r="S881" s="1105"/>
      <c r="T881" s="1105"/>
      <c r="U881" s="1106"/>
      <c r="V881" s="100"/>
      <c r="W881" s="100"/>
      <c r="X881" s="100"/>
      <c r="Y881" s="100"/>
      <c r="Z881" s="100"/>
      <c r="AA881" s="100"/>
      <c r="AB881" s="100"/>
      <c r="AC881" s="100"/>
      <c r="AD881" s="100"/>
      <c r="AF881"/>
      <c r="AG881">
        <f t="shared" si="357"/>
        <v>0</v>
      </c>
      <c r="AH881">
        <f t="shared" si="347"/>
        <v>0</v>
      </c>
      <c r="AJ881">
        <f>IF(OR(V881="NS",V881="NA",$V$715=0,$V$715="NS",$V$715="NA"),0,IF((V881*(IFERROR(100/SUM(V849:V881),0)))&gt;25,1,0))</f>
        <v>0</v>
      </c>
      <c r="AK881">
        <f t="shared" si="348"/>
        <v>0</v>
      </c>
      <c r="AL881">
        <f t="shared" si="349"/>
        <v>0</v>
      </c>
      <c r="AM881">
        <f t="shared" si="350"/>
        <v>0</v>
      </c>
      <c r="AN881">
        <f t="shared" si="351"/>
        <v>0</v>
      </c>
      <c r="AO881">
        <f t="shared" si="352"/>
        <v>0</v>
      </c>
      <c r="AP881">
        <f t="shared" si="353"/>
        <v>0</v>
      </c>
      <c r="AQ881">
        <f t="shared" si="354"/>
        <v>0</v>
      </c>
      <c r="AR881">
        <f t="shared" si="355"/>
        <v>0</v>
      </c>
      <c r="AS881">
        <f t="shared" si="356"/>
        <v>0</v>
      </c>
    </row>
    <row r="882" spans="1:45" ht="15" customHeight="1">
      <c r="A882" s="176"/>
      <c r="B882" s="57"/>
      <c r="C882" s="732" t="s">
        <v>5119</v>
      </c>
      <c r="D882" s="732"/>
      <c r="E882" s="732"/>
      <c r="F882" s="732"/>
      <c r="G882" s="732"/>
      <c r="H882" s="732"/>
      <c r="I882" s="1104" t="s">
        <v>2631</v>
      </c>
      <c r="J882" s="1105"/>
      <c r="K882" s="1105"/>
      <c r="L882" s="1105"/>
      <c r="M882" s="1105"/>
      <c r="N882" s="1105"/>
      <c r="O882" s="1105"/>
      <c r="P882" s="1105"/>
      <c r="Q882" s="1105"/>
      <c r="R882" s="1105"/>
      <c r="S882" s="1105"/>
      <c r="T882" s="1105"/>
      <c r="U882" s="1106"/>
      <c r="V882" s="100"/>
      <c r="W882" s="100"/>
      <c r="X882" s="100"/>
      <c r="Y882" s="100"/>
      <c r="Z882" s="100"/>
      <c r="AA882" s="100"/>
      <c r="AB882" s="100"/>
      <c r="AC882" s="100"/>
      <c r="AD882" s="100"/>
      <c r="AF882"/>
      <c r="AG882">
        <f t="shared" si="357"/>
        <v>0</v>
      </c>
      <c r="AH882">
        <f t="shared" si="347"/>
        <v>0</v>
      </c>
      <c r="AK882">
        <f t="shared" si="348"/>
        <v>0</v>
      </c>
      <c r="AL882">
        <f t="shared" si="349"/>
        <v>0</v>
      </c>
      <c r="AM882">
        <f t="shared" si="350"/>
        <v>0</v>
      </c>
      <c r="AN882">
        <f t="shared" si="351"/>
        <v>0</v>
      </c>
      <c r="AO882">
        <f t="shared" si="352"/>
        <v>0</v>
      </c>
      <c r="AP882">
        <f t="shared" si="353"/>
        <v>0</v>
      </c>
      <c r="AQ882">
        <f t="shared" si="354"/>
        <v>0</v>
      </c>
      <c r="AR882">
        <f t="shared" si="355"/>
        <v>0</v>
      </c>
      <c r="AS882">
        <f t="shared" si="356"/>
        <v>0</v>
      </c>
    </row>
    <row r="883" spans="1:45" ht="15" customHeight="1">
      <c r="A883" s="176"/>
      <c r="B883" s="57"/>
      <c r="C883" s="38"/>
      <c r="D883" s="38"/>
      <c r="E883" s="38"/>
      <c r="F883" s="38"/>
      <c r="G883" s="38"/>
      <c r="H883" s="38"/>
      <c r="I883" s="38"/>
      <c r="J883" s="38"/>
      <c r="K883" s="38"/>
      <c r="L883" s="38"/>
      <c r="M883" s="38"/>
      <c r="N883" s="38"/>
      <c r="O883" s="38"/>
      <c r="P883" s="38"/>
      <c r="Q883" s="38"/>
      <c r="S883" s="38"/>
      <c r="T883" s="38"/>
      <c r="U883" s="117" t="s">
        <v>2649</v>
      </c>
      <c r="V883" s="524">
        <f t="shared" ref="V883:AD883" si="358">IF(COUNTIF(V718:V882,"NA")=165,"NA",IF(AND(SUM(COUNTIF(V718:V728,"NS"),COUNTIF(V735:V739,"NS"),COUNTIF(V745:V748,"NS"),COUNTIF(V767,"NS"),COUNTIF(V773:V775,"NS"),COUNTIF(V779:V785,"NS"),COUNTIF(V793,"NS"),COUNTIF(V799:V803,"NS"),COUNTIF(V810,"NS"),COUNTIF(V819:V822,"NS"),COUNTIF(V829:V832,"NS"),COUNTIF(V842,"NS"),COUNTIF(V846:V853,"NS"),COUNTIF(V861:V862,"NS"),COUNTIF(V866:V874,"NS"),COUNTIF(V880:V882,"NS"))&gt;0,SUM(V718:V728,V735:V739,V745:V748,V767,V773:V775,V779:V785,V793,V799:V803,V810,V819:V822,V829:V832,V842,V846:V853,V861:V862,V866:V874,V880:V882)=0),"NS",SUM(V718:V728,V735:V739,V745:V748,V767,V773:V775,V779:V785,V793,V799:V803,V810,V819:V822,V829:V832,V842,V846:V853,V861:V862,V866:V874,V880:V882)))</f>
        <v>0</v>
      </c>
      <c r="W883" s="524">
        <f t="shared" si="358"/>
        <v>0</v>
      </c>
      <c r="X883" s="524">
        <f t="shared" si="358"/>
        <v>0</v>
      </c>
      <c r="Y883" s="524">
        <f t="shared" si="358"/>
        <v>0</v>
      </c>
      <c r="Z883" s="524">
        <f t="shared" si="358"/>
        <v>0</v>
      </c>
      <c r="AA883" s="524">
        <f t="shared" si="358"/>
        <v>0</v>
      </c>
      <c r="AB883" s="524">
        <f t="shared" si="358"/>
        <v>0</v>
      </c>
      <c r="AC883" s="524">
        <f t="shared" si="358"/>
        <v>0</v>
      </c>
      <c r="AD883" s="124">
        <f t="shared" si="358"/>
        <v>0</v>
      </c>
      <c r="AF883" s="506">
        <f>SUM(AF874,AF862,AF853,AF842,AF832,AF822,AF810,AF803,AF793,AF785,AF775,AF767,AF748,AF739,AF728)</f>
        <v>0</v>
      </c>
      <c r="AG883" s="506">
        <f>SUM(AG718:AG882)</f>
        <v>0</v>
      </c>
      <c r="AH883" s="506">
        <f>SUM(AH718:AH882,AI718)</f>
        <v>0</v>
      </c>
      <c r="AJ883" s="506">
        <f>SUM(AJ881,AJ848,AJ831,AJ802,AJ784,AJ781,AJ747,AJ735,AJ722)</f>
        <v>0</v>
      </c>
      <c r="AK883">
        <f>SUM(AK718:AK882)</f>
        <v>0</v>
      </c>
      <c r="AM883">
        <f>SUM(AM718:AM882)</f>
        <v>0</v>
      </c>
      <c r="AN883">
        <f>SUM(AN718:AN882)</f>
        <v>0</v>
      </c>
      <c r="AP883">
        <f>SUM(AP718:AP882)</f>
        <v>0</v>
      </c>
      <c r="AQ883">
        <f>SUM(AQ718:AQ882)</f>
        <v>0</v>
      </c>
      <c r="AS883">
        <f>SUM(AS718:AS882)</f>
        <v>0</v>
      </c>
    </row>
    <row r="884" spans="1:45" ht="15" customHeight="1">
      <c r="A884" s="176"/>
      <c r="B884" s="1087" t="str">
        <f>IF(AND(OR(AND(V726&gt;0,ISNONTEXT(V726)),AND(V737&gt;0,ISNONTEXT(V737)),AND(V753&gt;0,ISNONTEXT(V753)),AND(V754&gt;0,ISNONTEXT(V754)),AND(V787&gt;0,ISNONTEXT(V787)),AND(V799&gt;0,ISNONTEXT(V799)))),"Alerta: debido a que cuenta con registros del fuero común mayores a cero, proporcione una justificación en el área de comentarios","")</f>
        <v/>
      </c>
      <c r="C884" s="1087"/>
      <c r="D884" s="1087"/>
      <c r="E884" s="1087"/>
      <c r="F884" s="1087"/>
      <c r="G884" s="1087"/>
      <c r="H884" s="1087"/>
      <c r="I884" s="1087"/>
      <c r="J884" s="1087"/>
      <c r="K884" s="1087"/>
      <c r="L884" s="1087"/>
      <c r="M884" s="1087"/>
      <c r="N884" s="1087"/>
      <c r="O884" s="1087"/>
      <c r="P884" s="1087"/>
      <c r="Q884" s="1087"/>
      <c r="R884" s="1087"/>
      <c r="S884" s="1087"/>
      <c r="T884" s="1087"/>
      <c r="U884" s="1087"/>
      <c r="V884" s="1087"/>
      <c r="W884" s="1087"/>
      <c r="X884" s="1087"/>
      <c r="Y884" s="1087"/>
      <c r="Z884" s="1087"/>
      <c r="AA884" s="1087"/>
      <c r="AB884" s="1087"/>
      <c r="AC884" s="1087"/>
      <c r="AD884" s="1087"/>
      <c r="AE884" s="1087"/>
      <c r="AF884"/>
      <c r="AK884" t="s">
        <v>2650</v>
      </c>
      <c r="AL884">
        <f>SUM(AM883,AP883,AS883)</f>
        <v>0</v>
      </c>
      <c r="AM884" t="s">
        <v>2651</v>
      </c>
      <c r="AN884">
        <f>SUM(AK883,AN883,AQ883)</f>
        <v>0</v>
      </c>
    </row>
    <row r="885" spans="1:45" ht="24" customHeight="1">
      <c r="A885" s="176"/>
      <c r="B885" s="38"/>
      <c r="C885" s="754" t="s">
        <v>2611</v>
      </c>
      <c r="D885" s="754"/>
      <c r="E885" s="754"/>
      <c r="F885" s="754"/>
      <c r="G885" s="754"/>
      <c r="H885" s="754"/>
      <c r="I885" s="754"/>
      <c r="J885" s="754"/>
      <c r="K885" s="754"/>
      <c r="L885" s="754"/>
      <c r="M885" s="754"/>
      <c r="N885" s="754"/>
      <c r="O885" s="754"/>
      <c r="P885" s="754"/>
      <c r="Q885" s="754"/>
      <c r="R885" s="754"/>
      <c r="S885" s="754"/>
      <c r="T885" s="754"/>
      <c r="U885" s="754"/>
      <c r="V885" s="754"/>
      <c r="W885" s="754"/>
      <c r="X885" s="754"/>
      <c r="Y885" s="754"/>
      <c r="Z885" s="754"/>
      <c r="AA885" s="754"/>
      <c r="AB885" s="754"/>
      <c r="AC885" s="754"/>
      <c r="AD885" s="754"/>
      <c r="AF885"/>
      <c r="AK885" t="s">
        <v>2652</v>
      </c>
      <c r="AL885" s="507">
        <f>IF(AN884&gt;0,IF(SUM(V883)&gt;=SUM(Y883,AB883),0,1),IF(SUM(V883)&lt;&gt;SUM(Y883,AB883),1,0))</f>
        <v>0</v>
      </c>
      <c r="AM885" t="s">
        <v>2653</v>
      </c>
      <c r="AN885" s="507">
        <f>IF(AN884&gt;0,IF(SUM(W883)&gt;=SUM(Z883,AC883),0,1),IF(SUM(W883)&lt;&gt;SUM(Z883,AC883),1,0))</f>
        <v>0</v>
      </c>
      <c r="AO885" t="s">
        <v>2654</v>
      </c>
      <c r="AP885" s="507">
        <f>IF(AN884&gt;0,IF(SUM(X883)&gt;=SUM(AA883,AD883),0,1),IF(SUM(X883)&lt;&gt;SUM(AA883,AD883),1,0))</f>
        <v>0</v>
      </c>
    </row>
    <row r="886" spans="1:45" ht="60" customHeight="1">
      <c r="A886" s="176"/>
      <c r="B886" s="38"/>
      <c r="C886" s="851"/>
      <c r="D886" s="851"/>
      <c r="E886" s="851"/>
      <c r="F886" s="851"/>
      <c r="G886" s="851"/>
      <c r="H886" s="851"/>
      <c r="I886" s="851"/>
      <c r="J886" s="851"/>
      <c r="K886" s="851"/>
      <c r="L886" s="851"/>
      <c r="M886" s="851"/>
      <c r="N886" s="851"/>
      <c r="O886" s="851"/>
      <c r="P886" s="851"/>
      <c r="Q886" s="851"/>
      <c r="R886" s="851"/>
      <c r="S886" s="851"/>
      <c r="T886" s="851"/>
      <c r="U886" s="851"/>
      <c r="V886" s="851"/>
      <c r="W886" s="851"/>
      <c r="X886" s="851"/>
      <c r="Y886" s="851"/>
      <c r="Z886" s="851"/>
      <c r="AA886" s="851"/>
      <c r="AB886" s="851"/>
      <c r="AC886" s="851"/>
      <c r="AD886" s="851"/>
      <c r="AF886"/>
      <c r="AK886" t="s">
        <v>4836</v>
      </c>
      <c r="AL886" s="506">
        <f>AL884-COUNTIF(V718:V882,"NA")</f>
        <v>0</v>
      </c>
    </row>
    <row r="887" spans="1:45" ht="15" customHeight="1">
      <c r="A887" s="91"/>
      <c r="B887" s="1003" t="str">
        <f>IF(AG883=0,"","Favor de ingresar toda la información requerida en la pregunta")</f>
        <v/>
      </c>
      <c r="C887" s="1003"/>
      <c r="D887" s="1003"/>
      <c r="E887" s="1003"/>
      <c r="F887" s="1003"/>
      <c r="G887" s="1003"/>
      <c r="H887" s="1003"/>
      <c r="I887" s="1003"/>
      <c r="J887" s="1003"/>
      <c r="K887" s="1003"/>
      <c r="L887" s="1003"/>
      <c r="M887" s="1003"/>
      <c r="N887" s="1003"/>
      <c r="O887" s="1003"/>
      <c r="P887" s="1003"/>
      <c r="Q887" s="1003"/>
      <c r="R887" s="1003"/>
      <c r="S887" s="1003"/>
      <c r="T887" s="1003"/>
      <c r="U887" s="1003"/>
      <c r="V887" s="1003"/>
      <c r="W887" s="1003"/>
      <c r="X887" s="1003"/>
      <c r="Y887" s="1003"/>
      <c r="Z887" s="1003"/>
      <c r="AA887" s="1003"/>
      <c r="AB887" s="1003"/>
      <c r="AC887" s="1003"/>
      <c r="AD887" s="1003"/>
      <c r="AE887" s="1003"/>
      <c r="AF887"/>
    </row>
    <row r="888" spans="1:45" ht="15" customHeight="1">
      <c r="A888" s="91"/>
      <c r="B888" s="1087" t="str">
        <f>IF(OR($V$518=0,$V$518="NS",$V$518="NA"),"",IF(COUNTIF(V718:AD882,"NS")&lt;&gt;0,"Alerta: debido a que cuenta con registros NS, debe proporcionar una justificación en el area de comentarios al final de la pregunta",""))</f>
        <v/>
      </c>
      <c r="C888" s="1087"/>
      <c r="D888" s="1087"/>
      <c r="E888" s="1087"/>
      <c r="F888" s="1087"/>
      <c r="G888" s="1087"/>
      <c r="H888" s="1087"/>
      <c r="I888" s="1087"/>
      <c r="J888" s="1087"/>
      <c r="K888" s="1087"/>
      <c r="L888" s="1087"/>
      <c r="M888" s="1087"/>
      <c r="N888" s="1087"/>
      <c r="O888" s="1087"/>
      <c r="P888" s="1087"/>
      <c r="Q888" s="1087"/>
      <c r="R888" s="1087"/>
      <c r="S888" s="1087"/>
      <c r="T888" s="1087"/>
      <c r="U888" s="1087"/>
      <c r="V888" s="1087"/>
      <c r="W888" s="1087"/>
      <c r="X888" s="1087"/>
      <c r="Y888" s="1087"/>
      <c r="Z888" s="1087"/>
      <c r="AA888" s="1087"/>
      <c r="AB888" s="1087"/>
      <c r="AC888" s="1087"/>
      <c r="AD888" s="1087"/>
      <c r="AE888" s="1087"/>
    </row>
    <row r="889" spans="1:45" ht="15" customHeight="1">
      <c r="A889" s="91"/>
      <c r="B889" s="1003" t="str">
        <f>IF(AH883=0,"","Revise la información capturada, ya que tiene datos ingresados en celdas que están sombreadas")</f>
        <v/>
      </c>
      <c r="C889" s="1003"/>
      <c r="D889" s="1003"/>
      <c r="E889" s="1003"/>
      <c r="F889" s="1003"/>
      <c r="G889" s="1003"/>
      <c r="H889" s="1003"/>
      <c r="I889" s="1003"/>
      <c r="J889" s="1003"/>
      <c r="K889" s="1003"/>
      <c r="L889" s="1003"/>
      <c r="M889" s="1003"/>
      <c r="N889" s="1003"/>
      <c r="O889" s="1003"/>
      <c r="P889" s="1003"/>
      <c r="Q889" s="1003"/>
      <c r="R889" s="1003"/>
      <c r="S889" s="1003"/>
      <c r="T889" s="1003"/>
      <c r="U889" s="1003"/>
      <c r="V889" s="1003"/>
      <c r="W889" s="1003"/>
      <c r="X889" s="1003"/>
      <c r="Y889" s="1003"/>
      <c r="Z889" s="1003"/>
      <c r="AA889" s="1003"/>
      <c r="AB889" s="1003"/>
      <c r="AC889" s="1003"/>
      <c r="AD889" s="1003"/>
      <c r="AE889" s="1003"/>
    </row>
    <row r="890" spans="1:45" ht="15" customHeight="1">
      <c r="A890" s="91"/>
      <c r="B890" s="1003" t="str">
        <f>IF(OR($V$518=0,$V$518="NS",$V$518="NA"),"",IF(OR(AL886&gt;=1,AL885&gt;=1,AN885&gt;=1,AP885&gt;=1),"Favor de revisar la suma y consistencia de totales y/o subtotales por filas (numéricos y NS)",IF(CM739&gt;0,"Favor de revisar la suma y consistencia de totales y/o subtotales de las desagregaciones de los tipos específicos","")))</f>
        <v/>
      </c>
      <c r="C890" s="1003"/>
      <c r="D890" s="1003"/>
      <c r="E890" s="1003"/>
      <c r="F890" s="1003"/>
      <c r="G890" s="1003"/>
      <c r="H890" s="1003"/>
      <c r="I890" s="1003"/>
      <c r="J890" s="1003"/>
      <c r="K890" s="1003"/>
      <c r="L890" s="1003"/>
      <c r="M890" s="1003"/>
      <c r="N890" s="1003"/>
      <c r="O890" s="1003"/>
      <c r="P890" s="1003"/>
      <c r="Q890" s="1003"/>
      <c r="R890" s="1003"/>
      <c r="S890" s="1003"/>
      <c r="T890" s="1003"/>
      <c r="U890" s="1003"/>
      <c r="V890" s="1003"/>
      <c r="W890" s="1003"/>
      <c r="X890" s="1003"/>
      <c r="Y890" s="1003"/>
      <c r="Z890" s="1003"/>
      <c r="AA890" s="1003"/>
      <c r="AB890" s="1003"/>
      <c r="AC890" s="1003"/>
      <c r="AD890" s="1003"/>
      <c r="AE890" s="1003"/>
    </row>
    <row r="891" spans="1:45" ht="15" customHeight="1">
      <c r="A891" s="91"/>
      <c r="B891" s="1003" t="str">
        <f>IF(OR($V$518=0,$V$518="NS",$V$518="NA"),"",IF(AND(V518=V883,W518=W883,X518=X883,Y518=Y883,Z518=Z883,AA518=AA883,AB518=AB883,AC518=AC883,AD518=AD883),IF(AF883&gt;0,"Debido a que reportó NA para cierto delito, también anote NA en sus respectivos tipos específicos",""),"Las cantidades de Hombres y Mujeres debe corresponder con los datos reportados en la preg. 7.19 del numeral 1"))</f>
        <v/>
      </c>
      <c r="C891" s="1003"/>
      <c r="D891" s="1003"/>
      <c r="E891" s="1003"/>
      <c r="F891" s="1003"/>
      <c r="G891" s="1003"/>
      <c r="H891" s="1003"/>
      <c r="I891" s="1003"/>
      <c r="J891" s="1003"/>
      <c r="K891" s="1003"/>
      <c r="L891" s="1003"/>
      <c r="M891" s="1003"/>
      <c r="N891" s="1003"/>
      <c r="O891" s="1003"/>
      <c r="P891" s="1003"/>
      <c r="Q891" s="1003"/>
      <c r="R891" s="1003"/>
      <c r="S891" s="1003"/>
      <c r="T891" s="1003"/>
      <c r="U891" s="1003"/>
      <c r="V891" s="1003"/>
      <c r="W891" s="1003"/>
      <c r="X891" s="1003"/>
      <c r="Y891" s="1003"/>
      <c r="Z891" s="1003"/>
      <c r="AA891" s="1003"/>
      <c r="AB891" s="1003"/>
      <c r="AC891" s="1003"/>
      <c r="AD891" s="1003"/>
      <c r="AE891" s="1003"/>
    </row>
    <row r="892" spans="1:45" ht="15" customHeight="1" thickBot="1">
      <c r="A892" s="91"/>
      <c r="B892" s="1087" t="str">
        <f>IF(AJ883&gt;0,"Alerta: si el total en Otros delitos es mayor al 25% por bien jurídico, anote el n. de los delitos en la casilla al final de la pregunta","")</f>
        <v/>
      </c>
      <c r="C892" s="1087"/>
      <c r="D892" s="1087"/>
      <c r="E892" s="1087"/>
      <c r="F892" s="1087"/>
      <c r="G892" s="1087"/>
      <c r="H892" s="1087"/>
      <c r="I892" s="1087"/>
      <c r="J892" s="1087"/>
      <c r="K892" s="1087"/>
      <c r="L892" s="1087"/>
      <c r="M892" s="1087"/>
      <c r="N892" s="1087"/>
      <c r="O892" s="1087"/>
      <c r="P892" s="1087"/>
      <c r="Q892" s="1087"/>
      <c r="R892" s="1087"/>
      <c r="S892" s="1087"/>
      <c r="T892" s="1087"/>
      <c r="U892" s="1087"/>
      <c r="V892" s="1087"/>
      <c r="W892" s="1087"/>
      <c r="X892" s="1087"/>
      <c r="Y892" s="1087"/>
      <c r="Z892" s="1087"/>
      <c r="AA892" s="1087"/>
      <c r="AB892" s="1087"/>
      <c r="AC892" s="1087"/>
      <c r="AD892" s="1087"/>
      <c r="AE892" s="1087"/>
    </row>
    <row r="893" spans="1:45" customFormat="1" ht="15" customHeight="1" thickBot="1">
      <c r="A893" s="153" t="s">
        <v>2563</v>
      </c>
      <c r="B893" s="1081" t="s">
        <v>5125</v>
      </c>
      <c r="C893" s="1082"/>
      <c r="D893" s="1082"/>
      <c r="E893" s="1082"/>
      <c r="F893" s="1082"/>
      <c r="G893" s="1082"/>
      <c r="H893" s="1082"/>
      <c r="I893" s="1082"/>
      <c r="J893" s="1082"/>
      <c r="K893" s="1082"/>
      <c r="L893" s="1082"/>
      <c r="M893" s="1082"/>
      <c r="N893" s="1082"/>
      <c r="O893" s="1082"/>
      <c r="P893" s="1082"/>
      <c r="Q893" s="1082"/>
      <c r="R893" s="1082"/>
      <c r="S893" s="1082"/>
      <c r="T893" s="1082"/>
      <c r="U893" s="1082"/>
      <c r="V893" s="1082"/>
      <c r="W893" s="1082"/>
      <c r="X893" s="1082"/>
      <c r="Y893" s="1082"/>
      <c r="Z893" s="1082"/>
      <c r="AA893" s="1082"/>
      <c r="AB893" s="1082"/>
      <c r="AC893" s="1082"/>
      <c r="AD893" s="1083"/>
      <c r="AE893" s="3"/>
    </row>
    <row r="894" spans="1:45" ht="15" customHeight="1">
      <c r="A894" s="170"/>
    </row>
    <row r="895" spans="1:45" ht="36" customHeight="1">
      <c r="A895" s="49" t="s">
        <v>5126</v>
      </c>
      <c r="B895" s="829" t="s">
        <v>5127</v>
      </c>
      <c r="C895" s="829"/>
      <c r="D895" s="829"/>
      <c r="E895" s="829"/>
      <c r="F895" s="829"/>
      <c r="G895" s="829"/>
      <c r="H895" s="829"/>
      <c r="I895" s="829"/>
      <c r="J895" s="829"/>
      <c r="K895" s="829"/>
      <c r="L895" s="829"/>
      <c r="M895" s="829"/>
      <c r="N895" s="829"/>
      <c r="O895" s="829"/>
      <c r="P895" s="829"/>
      <c r="Q895" s="829"/>
      <c r="R895" s="829"/>
      <c r="S895" s="829"/>
      <c r="T895" s="829"/>
      <c r="U895" s="829"/>
      <c r="V895" s="829"/>
      <c r="W895" s="829"/>
      <c r="X895" s="829"/>
      <c r="Y895" s="829"/>
      <c r="Z895" s="829"/>
      <c r="AA895" s="829"/>
      <c r="AB895" s="829"/>
      <c r="AC895" s="829"/>
      <c r="AD895" s="829"/>
    </row>
    <row r="896" spans="1:45" ht="24" customHeight="1">
      <c r="A896" s="49"/>
      <c r="B896" s="105"/>
      <c r="C896" s="754" t="s">
        <v>5128</v>
      </c>
      <c r="D896" s="754"/>
      <c r="E896" s="754"/>
      <c r="F896" s="754"/>
      <c r="G896" s="754"/>
      <c r="H896" s="754"/>
      <c r="I896" s="754"/>
      <c r="J896" s="754"/>
      <c r="K896" s="754"/>
      <c r="L896" s="754"/>
      <c r="M896" s="754"/>
      <c r="N896" s="754"/>
      <c r="O896" s="754"/>
      <c r="P896" s="754"/>
      <c r="Q896" s="754"/>
      <c r="R896" s="754"/>
      <c r="S896" s="754"/>
      <c r="T896" s="754"/>
      <c r="U896" s="754"/>
      <c r="V896" s="754"/>
      <c r="W896" s="754"/>
      <c r="X896" s="754"/>
      <c r="Y896" s="754"/>
      <c r="Z896" s="754"/>
      <c r="AA896" s="754"/>
      <c r="AB896" s="754"/>
      <c r="AC896" s="754"/>
      <c r="AD896" s="754"/>
    </row>
    <row r="897" spans="1:59" ht="24" customHeight="1">
      <c r="A897" s="49"/>
      <c r="B897" s="105"/>
      <c r="C897" s="754" t="s">
        <v>5129</v>
      </c>
      <c r="D897" s="754"/>
      <c r="E897" s="754"/>
      <c r="F897" s="754"/>
      <c r="G897" s="754"/>
      <c r="H897" s="754"/>
      <c r="I897" s="754"/>
      <c r="J897" s="754"/>
      <c r="K897" s="754"/>
      <c r="L897" s="754"/>
      <c r="M897" s="754"/>
      <c r="N897" s="754"/>
      <c r="O897" s="754"/>
      <c r="P897" s="754"/>
      <c r="Q897" s="754"/>
      <c r="R897" s="754"/>
      <c r="S897" s="754"/>
      <c r="T897" s="754"/>
      <c r="U897" s="754"/>
      <c r="V897" s="754"/>
      <c r="W897" s="754"/>
      <c r="X897" s="754"/>
      <c r="Y897" s="754"/>
      <c r="Z897" s="754"/>
      <c r="AA897" s="754"/>
      <c r="AB897" s="754"/>
      <c r="AC897" s="754"/>
      <c r="AD897" s="754"/>
    </row>
    <row r="898" spans="1:59" ht="15" customHeight="1">
      <c r="A898" s="108"/>
      <c r="B898" s="38"/>
      <c r="C898" s="38"/>
      <c r="D898" s="38"/>
      <c r="E898" s="38"/>
      <c r="F898" s="38"/>
      <c r="G898" s="38"/>
      <c r="H898" s="38"/>
      <c r="I898" s="38"/>
      <c r="J898" s="38"/>
      <c r="K898" s="38"/>
      <c r="L898" s="38"/>
      <c r="M898" s="38"/>
      <c r="N898" s="38"/>
      <c r="O898" s="38"/>
      <c r="P898" s="38"/>
      <c r="Q898" s="38"/>
      <c r="R898" s="38"/>
      <c r="S898" s="38"/>
      <c r="T898" s="38"/>
      <c r="U898" s="38"/>
      <c r="V898" s="38"/>
      <c r="W898" s="38"/>
      <c r="X898" s="38"/>
      <c r="Y898" s="38"/>
      <c r="Z898" s="38"/>
      <c r="AA898" s="38"/>
      <c r="AB898" s="38"/>
      <c r="AC898" s="38"/>
      <c r="AD898" s="38"/>
    </row>
    <row r="899" spans="1:59" ht="60" customHeight="1">
      <c r="A899" s="49"/>
      <c r="B899" s="38"/>
      <c r="C899" s="732" t="s">
        <v>5130</v>
      </c>
      <c r="D899" s="732"/>
      <c r="E899" s="732"/>
      <c r="F899" s="732"/>
      <c r="G899" s="732"/>
      <c r="H899" s="732"/>
      <c r="I899" s="732"/>
      <c r="J899" s="732"/>
      <c r="K899" s="732"/>
      <c r="L899" s="732"/>
      <c r="M899" s="732"/>
      <c r="N899" s="732"/>
      <c r="O899" s="732"/>
      <c r="P899" s="732"/>
      <c r="Q899" s="732"/>
      <c r="R899" s="732"/>
      <c r="S899" s="732"/>
      <c r="T899" s="732"/>
      <c r="U899" s="732"/>
      <c r="V899" s="739" t="s">
        <v>5131</v>
      </c>
      <c r="W899" s="740"/>
      <c r="X899" s="740"/>
      <c r="Y899" s="740"/>
      <c r="Z899" s="740"/>
      <c r="AA899" s="740"/>
      <c r="AB899" s="740"/>
      <c r="AC899" s="740"/>
      <c r="AD899" s="741"/>
    </row>
    <row r="900" spans="1:59" ht="15" customHeight="1">
      <c r="A900" s="49"/>
      <c r="B900" s="38"/>
      <c r="C900" s="732"/>
      <c r="D900" s="732"/>
      <c r="E900" s="732"/>
      <c r="F900" s="732"/>
      <c r="G900" s="732"/>
      <c r="H900" s="732"/>
      <c r="I900" s="732"/>
      <c r="J900" s="732"/>
      <c r="K900" s="732"/>
      <c r="L900" s="732"/>
      <c r="M900" s="732"/>
      <c r="N900" s="732"/>
      <c r="O900" s="732"/>
      <c r="P900" s="732"/>
      <c r="Q900" s="732"/>
      <c r="R900" s="732"/>
      <c r="S900" s="732"/>
      <c r="T900" s="732"/>
      <c r="U900" s="732"/>
      <c r="V900" s="887" t="s">
        <v>2628</v>
      </c>
      <c r="W900" s="889" t="s">
        <v>2629</v>
      </c>
      <c r="X900" s="889" t="s">
        <v>2630</v>
      </c>
      <c r="Y900" s="733" t="s">
        <v>4586</v>
      </c>
      <c r="Z900" s="734"/>
      <c r="AA900" s="735"/>
      <c r="AB900" s="733" t="s">
        <v>4587</v>
      </c>
      <c r="AC900" s="734"/>
      <c r="AD900" s="735"/>
    </row>
    <row r="901" spans="1:59" ht="48" customHeight="1">
      <c r="A901" s="49"/>
      <c r="B901" s="38"/>
      <c r="C901" s="732"/>
      <c r="D901" s="732"/>
      <c r="E901" s="732"/>
      <c r="F901" s="732"/>
      <c r="G901" s="732"/>
      <c r="H901" s="732"/>
      <c r="I901" s="732"/>
      <c r="J901" s="732"/>
      <c r="K901" s="732"/>
      <c r="L901" s="732"/>
      <c r="M901" s="732"/>
      <c r="N901" s="732"/>
      <c r="O901" s="732"/>
      <c r="P901" s="732"/>
      <c r="Q901" s="732"/>
      <c r="R901" s="732"/>
      <c r="S901" s="732"/>
      <c r="T901" s="732"/>
      <c r="U901" s="732"/>
      <c r="V901" s="888"/>
      <c r="W901" s="890"/>
      <c r="X901" s="890"/>
      <c r="Y901" s="171" t="s">
        <v>2635</v>
      </c>
      <c r="Z901" s="128" t="s">
        <v>2629</v>
      </c>
      <c r="AA901" s="128" t="s">
        <v>2630</v>
      </c>
      <c r="AB901" s="171" t="s">
        <v>2635</v>
      </c>
      <c r="AC901" s="128" t="s">
        <v>2629</v>
      </c>
      <c r="AD901" s="128" t="s">
        <v>2630</v>
      </c>
      <c r="AF901" s="576" t="s">
        <v>4740</v>
      </c>
      <c r="AT901" t="s">
        <v>4766</v>
      </c>
      <c r="AU901" t="s">
        <v>4767</v>
      </c>
      <c r="AV901" t="s">
        <v>4768</v>
      </c>
      <c r="AW901" t="s">
        <v>4769</v>
      </c>
      <c r="AX901">
        <f t="shared" ref="AX901:BF901" si="359">COUNTIF(V907:V909,"NS")</f>
        <v>0</v>
      </c>
      <c r="AY901">
        <f t="shared" si="359"/>
        <v>0</v>
      </c>
      <c r="AZ901">
        <f t="shared" si="359"/>
        <v>0</v>
      </c>
      <c r="BA901">
        <f t="shared" si="359"/>
        <v>0</v>
      </c>
      <c r="BB901">
        <f t="shared" si="359"/>
        <v>0</v>
      </c>
      <c r="BC901">
        <f t="shared" si="359"/>
        <v>0</v>
      </c>
      <c r="BD901">
        <f t="shared" si="359"/>
        <v>0</v>
      </c>
      <c r="BE901">
        <f t="shared" si="359"/>
        <v>0</v>
      </c>
      <c r="BF901">
        <f t="shared" si="359"/>
        <v>0</v>
      </c>
      <c r="BG901"/>
    </row>
    <row r="902" spans="1:59" ht="15" customHeight="1">
      <c r="A902" s="50"/>
      <c r="B902" s="38"/>
      <c r="C902" s="733" t="s">
        <v>4745</v>
      </c>
      <c r="D902" s="734"/>
      <c r="E902" s="734"/>
      <c r="F902" s="735"/>
      <c r="G902" s="813" t="s">
        <v>3875</v>
      </c>
      <c r="H902" s="814"/>
      <c r="I902" s="814"/>
      <c r="J902" s="814"/>
      <c r="K902" s="814"/>
      <c r="L902" s="814"/>
      <c r="M902" s="814"/>
      <c r="N902" s="814"/>
      <c r="O902" s="814"/>
      <c r="P902" s="814"/>
      <c r="Q902" s="814"/>
      <c r="R902" s="814"/>
      <c r="S902" s="814"/>
      <c r="T902" s="814"/>
      <c r="U902" s="815"/>
      <c r="V902" s="124" t="str">
        <f>IF(AND(V536="",V718=""),"",IF(AND(SUM(V536,V718)=0,SUM(COUNTIF(V536,"NS"),COUNTIF(V718,"NS"))&gt;0),"NS",IF(AND(SUM(V536,V718)=0,SUM(COUNTIF(V536,0),COUNTIF(V718,0))&gt;0),0,IF(AND(SUM(V536,V718)=0,SUM(COUNTIF(V536,"NA"),COUNTIF(V718,"NA"))&gt;0),"NA",SUM(V536,V718)))))</f>
        <v/>
      </c>
      <c r="W902" s="124" t="str">
        <f t="shared" ref="W902:AD902" si="360">IF(AND(W536="",W718=""),"",IF($V$902="NA","",IF(AND(SUM(W536,W718)=0,SUM(COUNTIF(W536,"NS"),COUNTIF(W718,"NS"))&gt;0),"NS",IF(AND(SUM(W536,W718)=0,SUM(COUNTIF(W536,0),COUNTIF(W718,0))&gt;0),0,IF(AND(SUM(W536,W718)=0,SUM(COUNTIF(W536,"NA"),COUNTIF(W718,"NA"))&gt;0),"NA",SUM(W536,W718))))))</f>
        <v/>
      </c>
      <c r="X902" s="124" t="str">
        <f t="shared" si="360"/>
        <v/>
      </c>
      <c r="Y902" s="124" t="str">
        <f t="shared" si="360"/>
        <v/>
      </c>
      <c r="Z902" s="124" t="str">
        <f t="shared" si="360"/>
        <v/>
      </c>
      <c r="AA902" s="124" t="str">
        <f t="shared" si="360"/>
        <v/>
      </c>
      <c r="AB902" s="124" t="str">
        <f t="shared" si="360"/>
        <v/>
      </c>
      <c r="AC902" s="124" t="str">
        <f t="shared" si="360"/>
        <v/>
      </c>
      <c r="AD902" s="124" t="str">
        <f t="shared" si="360"/>
        <v/>
      </c>
      <c r="AF902">
        <f>IF(V902="NA",IF(AND(COUNTIF(V903:V905,"="&amp;$AF$898)=0,COUNTIF(V903:V905,"&lt;&gt;NA")&gt;0),1,0),IF(AND(COUNTIF(V903:V905,"="&amp;$AF$898)=0,COUNTIF(V903:V905,"NA")=COUNTIF(V903:V905,"&lt;&gt;"&amp;$AF$898)),1,0))</f>
        <v>0</v>
      </c>
      <c r="AG902" t="s">
        <v>2586</v>
      </c>
      <c r="AH902" t="s">
        <v>4599</v>
      </c>
      <c r="AK902" t="s">
        <v>4573</v>
      </c>
      <c r="AL902" t="s">
        <v>2638</v>
      </c>
      <c r="AM902" t="s">
        <v>2639</v>
      </c>
      <c r="AN902" t="s">
        <v>4574</v>
      </c>
      <c r="AO902" t="s">
        <v>2641</v>
      </c>
      <c r="AP902" t="s">
        <v>2642</v>
      </c>
      <c r="AQ902" t="s">
        <v>4575</v>
      </c>
      <c r="AR902" t="s">
        <v>2644</v>
      </c>
      <c r="AS902" t="s">
        <v>2645</v>
      </c>
      <c r="AT902">
        <f>COUNTIF(V903:V905,"NS")</f>
        <v>0</v>
      </c>
      <c r="AU902">
        <f>SUM(V903:V905)</f>
        <v>0</v>
      </c>
      <c r="AV902">
        <f>IF(COUNTBLANK(V902:V905)=4,0,IF(OR(AND(V902=0,AT902&gt;0),AND(V902="ns",AU902&gt;0),AND(V902="ns",AT902=0,AU902=0)),1,IF(OR(AND(AT902&gt;=2,V902&gt;AU902),AND(V902="ns",AU902=0,AT902&gt;0),V902=AU902),0,1)))</f>
        <v>0</v>
      </c>
      <c r="AW902" t="s">
        <v>4770</v>
      </c>
      <c r="AX902">
        <f t="shared" ref="AX902:BF902" si="361">SUM(V907:V909)</f>
        <v>0</v>
      </c>
      <c r="AY902">
        <f t="shared" si="361"/>
        <v>0</v>
      </c>
      <c r="AZ902">
        <f t="shared" si="361"/>
        <v>0</v>
      </c>
      <c r="BA902">
        <f t="shared" si="361"/>
        <v>0</v>
      </c>
      <c r="BB902">
        <f t="shared" si="361"/>
        <v>0</v>
      </c>
      <c r="BC902">
        <f t="shared" si="361"/>
        <v>0</v>
      </c>
      <c r="BD902">
        <f t="shared" si="361"/>
        <v>0</v>
      </c>
      <c r="BE902">
        <f t="shared" si="361"/>
        <v>0</v>
      </c>
      <c r="BF902">
        <f t="shared" si="361"/>
        <v>0</v>
      </c>
      <c r="BG902"/>
    </row>
    <row r="903" spans="1:59" ht="15" customHeight="1">
      <c r="A903" s="50"/>
      <c r="B903" s="38"/>
      <c r="C903" s="1119" t="s">
        <v>5132</v>
      </c>
      <c r="D903" s="1121"/>
      <c r="E903" s="1121"/>
      <c r="F903" s="1120"/>
      <c r="G903" s="173"/>
      <c r="H903" s="1126" t="s">
        <v>3876</v>
      </c>
      <c r="I903" s="1126"/>
      <c r="J903" s="1126"/>
      <c r="K903" s="1126"/>
      <c r="L903" s="1126"/>
      <c r="M903" s="1126"/>
      <c r="N903" s="1126"/>
      <c r="O903" s="1126"/>
      <c r="P903" s="1126"/>
      <c r="Q903" s="1126"/>
      <c r="R903" s="1126"/>
      <c r="S903" s="1126"/>
      <c r="T903" s="1126"/>
      <c r="U903" s="1127"/>
      <c r="V903" s="100"/>
      <c r="W903" s="100"/>
      <c r="X903" s="100"/>
      <c r="Y903" s="100"/>
      <c r="Z903" s="100"/>
      <c r="AA903" s="100"/>
      <c r="AB903" s="100"/>
      <c r="AC903" s="100"/>
      <c r="AD903" s="100"/>
      <c r="AF903"/>
      <c r="AG903">
        <f>IF(AND(V903="NA",$V$902&lt;&gt;""),0,IF(AND($V$902="",COUNTA(V903:AD903)&gt;0),1,IF(OR(AND($V$902&lt;&gt;"",COUNTA(V903:AD903)=9),AND($V$902="",COUNTA(V903:AD903)=0)),0,1)))</f>
        <v>0</v>
      </c>
      <c r="AH903">
        <f>IF(V903="NA",IF(COUNTBLANK(W903:AD903)=8,0,1),0)</f>
        <v>0</v>
      </c>
      <c r="AK903">
        <f>COUNTIF(W903:X903,"NS")</f>
        <v>0</v>
      </c>
      <c r="AL903">
        <f>SUM(W903:X903)</f>
        <v>0</v>
      </c>
      <c r="AM903">
        <f>IF(COUNTIF(V903:X903,"NA")=3,0,IF(COUNTA(V903:X903)=0,0,IF(OR(AND(V903=0,AK903&gt;0),AND(V903="ns",AL903&gt;0),AND(V903="ns",AK903=0,AL903=0)),1,IF(OR(AND(V903&gt;0,AK903=2),AND(V903="ns",AK903=2),AND(V903="ns",AL903=0,AK903&gt;0),V903=AL903),0,1))))</f>
        <v>0</v>
      </c>
      <c r="AN903">
        <f>COUNTIF(Z903:AA903,"NS")</f>
        <v>0</v>
      </c>
      <c r="AO903">
        <f>SUM(Z903:AA903)</f>
        <v>0</v>
      </c>
      <c r="AP903">
        <f>IF(COUNTIF(Y903:AA903,"NA")=3,0,IF(COUNTA(Y903:AA903)=0,0,IF(OR(AND(Y903=0,AN903&gt;0),AND(Y903="ns",AO903&gt;0),AND(Y903="ns",AN903=0,AO903=0)),1,IF(OR(AND(Y903&gt;0,AN903=2),AND(Y903="ns",AN903=2),AND(Y903="ns",AO903=0,AN903&gt;0),Y903=AO903),0,1))))</f>
        <v>0</v>
      </c>
      <c r="AQ903">
        <f>COUNTIF(AC903:AD903,"NS")</f>
        <v>0</v>
      </c>
      <c r="AR903">
        <f>SUM(AC903:AD903)</f>
        <v>0</v>
      </c>
      <c r="AS903">
        <f>IF(COUNTIF(AB903:AD903,"NA")=3,0,IF(COUNTA(AB903:AD903)=0,0,IF(OR(AND(AB903=0,AQ903&gt;0),AND(AB903="ns",AR903&gt;0),AND(AB903="ns",AQ903=0,AR903=0)),1,IF(OR(AND(AB903&gt;0,AQ903=2),AND(AB903="ns",AQ903=2),AND(AB903="ns",AR903=0,AQ903&gt;0),AB903=AR903),0,1))))</f>
        <v>0</v>
      </c>
      <c r="AT903">
        <f>COUNTIF(W903:W905,"NS")</f>
        <v>0</v>
      </c>
      <c r="AU903">
        <f>SUM(W903:W905)</f>
        <v>0</v>
      </c>
      <c r="AV903">
        <f>IF(COUNTBLANK(W902:W905)=4,0,IF(OR(AND(W902=0,AT903&gt;0),AND(W902="ns",AU903&gt;0),AND(W902="ns",AT903=0,AU903=0)),1,IF(OR(AND(AT903&gt;=2,W902&gt;AU903),AND(W902="ns",AU903=0,AT903&gt;0),W902=AU903),0,1)))</f>
        <v>0</v>
      </c>
      <c r="AW903" t="s">
        <v>4771</v>
      </c>
      <c r="AX903">
        <f t="shared" ref="AX903:BF903" si="362">IF(COUNTBLANK(V906:V909)=4,0,IF(OR(AND(V906=0,AX901&gt;0),AND(V906="ns",AX902&gt;0),AND(V906="ns",AX901=0,AX902=0)),1,IF(OR(AND(AX901&gt;=2,V906&gt;AX902),AND(V906="ns",AX902=0,AX901&gt;0),V906=AX902),0,1)))</f>
        <v>0</v>
      </c>
      <c r="AY903">
        <f t="shared" si="362"/>
        <v>0</v>
      </c>
      <c r="AZ903">
        <f t="shared" si="362"/>
        <v>0</v>
      </c>
      <c r="BA903">
        <f t="shared" si="362"/>
        <v>0</v>
      </c>
      <c r="BB903">
        <f t="shared" si="362"/>
        <v>0</v>
      </c>
      <c r="BC903">
        <f t="shared" si="362"/>
        <v>0</v>
      </c>
      <c r="BD903">
        <f t="shared" si="362"/>
        <v>0</v>
      </c>
      <c r="BE903">
        <f t="shared" si="362"/>
        <v>0</v>
      </c>
      <c r="BF903">
        <f t="shared" si="362"/>
        <v>0</v>
      </c>
      <c r="BG903" s="366">
        <f>SUM(AX903:BF903)</f>
        <v>0</v>
      </c>
    </row>
    <row r="904" spans="1:59" ht="15" customHeight="1">
      <c r="A904" s="50"/>
      <c r="B904" s="38"/>
      <c r="C904" s="1119" t="s">
        <v>5133</v>
      </c>
      <c r="D904" s="1121"/>
      <c r="E904" s="1121"/>
      <c r="F904" s="1120"/>
      <c r="G904" s="174"/>
      <c r="H904" s="1122" t="s">
        <v>3877</v>
      </c>
      <c r="I904" s="1122"/>
      <c r="J904" s="1122"/>
      <c r="K904" s="1122"/>
      <c r="L904" s="1122"/>
      <c r="M904" s="1122"/>
      <c r="N904" s="1122"/>
      <c r="O904" s="1122"/>
      <c r="P904" s="1122"/>
      <c r="Q904" s="1122"/>
      <c r="R904" s="1122"/>
      <c r="S904" s="1122"/>
      <c r="T904" s="1122"/>
      <c r="U904" s="1123"/>
      <c r="V904" s="100"/>
      <c r="W904" s="100"/>
      <c r="X904" s="100"/>
      <c r="Y904" s="100"/>
      <c r="Z904" s="100"/>
      <c r="AA904" s="100"/>
      <c r="AB904" s="100"/>
      <c r="AC904" s="100"/>
      <c r="AD904" s="100"/>
      <c r="AF904"/>
      <c r="AG904">
        <f t="shared" ref="AG904:AG905" si="363">IF(AND(V904="NA",$V$902&lt;&gt;""),0,IF(AND($V$902="",COUNTA(V904:AD904)&gt;0),1,IF(OR(AND($V$902&lt;&gt;"",COUNTA(V904:AD904)=9),AND($V$902="",COUNTA(V904:AD904)=0)),0,1)))</f>
        <v>0</v>
      </c>
      <c r="AH904">
        <f t="shared" ref="AH904:AH905" si="364">IF(V904="NA",IF(COUNTBLANK(W904:AD904)=8,0,1),0)</f>
        <v>0</v>
      </c>
      <c r="AK904">
        <f>COUNTIF(W904:X904,"NS")</f>
        <v>0</v>
      </c>
      <c r="AL904">
        <f>SUM(W904:X904)</f>
        <v>0</v>
      </c>
      <c r="AM904">
        <f>IF(COUNTIF(V904:X904,"NA")=3,0,IF(COUNTA(V904:X904)=0,0,IF(OR(AND(V904=0,AK904&gt;0),AND(V904="ns",AL904&gt;0),AND(V904="ns",AK904=0,AL904=0)),1,IF(OR(AND(V904&gt;0,AK904=2),AND(V904="ns",AK904=2),AND(V904="ns",AL904=0,AK904&gt;0),V904=AL904),0,1))))</f>
        <v>0</v>
      </c>
      <c r="AN904">
        <f>COUNTIF(Z904:AA904,"NS")</f>
        <v>0</v>
      </c>
      <c r="AO904">
        <f>SUM(Z904:AA904)</f>
        <v>0</v>
      </c>
      <c r="AP904">
        <f>IF(COUNTIF(Y904:AA904,"NA")=3,0,IF(COUNTA(Y904:AA904)=0,0,IF(OR(AND(Y904=0,AN904&gt;0),AND(Y904="ns",AO904&gt;0),AND(Y904="ns",AN904=0,AO904=0)),1,IF(OR(AND(Y904&gt;0,AN904=2),AND(Y904="ns",AN904=2),AND(Y904="ns",AO904=0,AN904&gt;0),Y904=AO904),0,1))))</f>
        <v>0</v>
      </c>
      <c r="AQ904">
        <f>COUNTIF(AC904:AD904,"NS")</f>
        <v>0</v>
      </c>
      <c r="AR904">
        <f>SUM(AC904:AD904)</f>
        <v>0</v>
      </c>
      <c r="AS904">
        <f>IF(COUNTIF(AB904:AD904,"NA")=3,0,IF(COUNTA(AB904:AD904)=0,0,IF(OR(AND(AB904=0,AQ904&gt;0),AND(AB904="ns",AR904&gt;0),AND(AB904="ns",AQ904=0,AR904=0)),1,IF(OR(AND(AB904&gt;0,AQ904=2),AND(AB904="ns",AQ904=2),AND(AB904="ns",AR904=0,AQ904&gt;0),AB904=AR904),0,1))))</f>
        <v>0</v>
      </c>
      <c r="AT904">
        <f>COUNTIF(X903:X905,"NS")</f>
        <v>0</v>
      </c>
      <c r="AU904">
        <f>SUM(X903:X905)</f>
        <v>0</v>
      </c>
      <c r="AV904">
        <f>IF(COUNTBLANK(X902:X905)=4,0,IF(OR(AND(X902=0,AT904&gt;0),AND(X902="ns",AU904&gt;0),AND(X902="ns",AT904=0,AU904=0)),1,IF(OR(AND(AT904&gt;=2,X902&gt;AU904),AND(X902="ns",AU904=0,AT904&gt;0),X902=AU904),0,1)))</f>
        <v>0</v>
      </c>
      <c r="AW904"/>
      <c r="AX904"/>
      <c r="AY904"/>
      <c r="AZ904"/>
      <c r="BA904"/>
      <c r="BB904"/>
      <c r="BC904"/>
      <c r="BD904"/>
      <c r="BE904"/>
      <c r="BF904"/>
      <c r="BG904"/>
    </row>
    <row r="905" spans="1:59" ht="15" customHeight="1">
      <c r="A905" s="50"/>
      <c r="B905" s="38"/>
      <c r="C905" s="1119" t="s">
        <v>5134</v>
      </c>
      <c r="D905" s="1121"/>
      <c r="E905" s="1121"/>
      <c r="F905" s="1120"/>
      <c r="G905" s="175"/>
      <c r="H905" s="1124" t="s">
        <v>201</v>
      </c>
      <c r="I905" s="1124"/>
      <c r="J905" s="1124"/>
      <c r="K905" s="1124"/>
      <c r="L905" s="1124"/>
      <c r="M905" s="1124"/>
      <c r="N905" s="1124"/>
      <c r="O905" s="1124"/>
      <c r="P905" s="1124"/>
      <c r="Q905" s="1124"/>
      <c r="R905" s="1124"/>
      <c r="S905" s="1124"/>
      <c r="T905" s="1124"/>
      <c r="U905" s="1125"/>
      <c r="V905" s="100"/>
      <c r="W905" s="100"/>
      <c r="X905" s="100"/>
      <c r="Y905" s="100"/>
      <c r="Z905" s="100"/>
      <c r="AA905" s="100"/>
      <c r="AB905" s="100"/>
      <c r="AC905" s="100"/>
      <c r="AD905" s="100"/>
      <c r="AF905"/>
      <c r="AG905">
        <f t="shared" si="363"/>
        <v>0</v>
      </c>
      <c r="AH905">
        <f t="shared" si="364"/>
        <v>0</v>
      </c>
      <c r="AK905">
        <f>COUNTIF(W905:X905,"NS")</f>
        <v>0</v>
      </c>
      <c r="AL905">
        <f>SUM(W905:X905)</f>
        <v>0</v>
      </c>
      <c r="AM905">
        <f>IF(COUNTIF(V905:X905,"NA")=3,0,IF(COUNTA(V905:X905)=0,0,IF(OR(AND(V905=0,AK905&gt;0),AND(V905="ns",AL905&gt;0),AND(V905="ns",AK905=0,AL905=0)),1,IF(OR(AND(V905&gt;0,AK905=2),AND(V905="ns",AK905=2),AND(V905="ns",AL905=0,AK905&gt;0),V905=AL905),0,1))))</f>
        <v>0</v>
      </c>
      <c r="AN905">
        <f>COUNTIF(Z905:AA905,"NS")</f>
        <v>0</v>
      </c>
      <c r="AO905">
        <f>SUM(Z905:AA905)</f>
        <v>0</v>
      </c>
      <c r="AP905">
        <f>IF(COUNTIF(Y905:AA905,"NA")=3,0,IF(COUNTA(Y905:AA905)=0,0,IF(OR(AND(Y905=0,AN905&gt;0),AND(Y905="ns",AO905&gt;0),AND(Y905="ns",AN905=0,AO905=0)),1,IF(OR(AND(Y905&gt;0,AN905=2),AND(Y905="ns",AN905=2),AND(Y905="ns",AO905=0,AN905&gt;0),Y905=AO905),0,1))))</f>
        <v>0</v>
      </c>
      <c r="AQ905">
        <f>COUNTIF(AC905:AD905,"NS")</f>
        <v>0</v>
      </c>
      <c r="AR905">
        <f>SUM(AC905:AD905)</f>
        <v>0</v>
      </c>
      <c r="AS905">
        <f>IF(COUNTIF(AB905:AD905,"NA")=3,0,IF(COUNTA(AB905:AD905)=0,0,IF(OR(AND(AB905=0,AQ905&gt;0),AND(AB905="ns",AR905&gt;0),AND(AB905="ns",AQ905=0,AR905=0)),1,IF(OR(AND(AB905&gt;0,AQ905=2),AND(AB905="ns",AQ905=2),AND(AB905="ns",AR905=0,AQ905&gt;0),AB905=AR905),0,1))))</f>
        <v>0</v>
      </c>
      <c r="AT905">
        <f>COUNTIF(Y903:Y905,"NS")</f>
        <v>0</v>
      </c>
      <c r="AU905">
        <f>SUM(Y903:Y905)</f>
        <v>0</v>
      </c>
      <c r="AV905">
        <f>IF(COUNTBLANK(Y902:Y905)=4,0,IF(OR(AND(Y902=0,AT905&gt;0),AND(Y902="ns",AU905&gt;0),AND(Y902="ns",AT905=0,AU905=0)),1,IF(OR(AND(AT905&gt;=2,Y902&gt;AU905),AND(Y902="ns",AU905=0,AT905&gt;0),Y902=AU905),0,1)))</f>
        <v>0</v>
      </c>
      <c r="AW905"/>
      <c r="AX905"/>
      <c r="AY905"/>
      <c r="AZ905"/>
      <c r="BA905"/>
      <c r="BB905"/>
      <c r="BC905"/>
      <c r="BD905"/>
      <c r="BE905"/>
      <c r="BF905"/>
      <c r="BG905"/>
    </row>
    <row r="906" spans="1:59" ht="15" customHeight="1">
      <c r="A906" s="50"/>
      <c r="B906" s="38"/>
      <c r="C906" s="733" t="s">
        <v>4746</v>
      </c>
      <c r="D906" s="734"/>
      <c r="E906" s="734"/>
      <c r="F906" s="735"/>
      <c r="G906" s="813" t="s">
        <v>4747</v>
      </c>
      <c r="H906" s="814"/>
      <c r="I906" s="814"/>
      <c r="J906" s="814"/>
      <c r="K906" s="814"/>
      <c r="L906" s="814"/>
      <c r="M906" s="814"/>
      <c r="N906" s="814"/>
      <c r="O906" s="814"/>
      <c r="P906" s="814"/>
      <c r="Q906" s="814"/>
      <c r="R906" s="814"/>
      <c r="S906" s="814"/>
      <c r="T906" s="814"/>
      <c r="U906" s="815"/>
      <c r="V906" s="124" t="str">
        <f>IF(AND(V537="",V719=""),"",IF(AND(SUM(V537,V719)=0,SUM(COUNTIF(V537,"NS"),COUNTIF(V719,"NS"))&gt;0),"NS",IF(AND(SUM(V537,V719)=0,SUM(COUNTIF(V537,0),COUNTIF(V719,0))&gt;0),0,IF(AND(SUM(V537,V719)=0,SUM(COUNTIF(V537,"NA"),COUNTIF(V719,"NA"))&gt;0),"NA",SUM(V537,V719)))))</f>
        <v/>
      </c>
      <c r="W906" s="124" t="str">
        <f t="shared" ref="W906:AD906" si="365">IF(AND(W537="",W719=""),"",IF($V$906="NA","",IF(AND(SUM(W537,W719)=0,SUM(COUNTIF(W537,"NS"),COUNTIF(W719,"NS"))&gt;0),"NS",IF(AND(SUM(W537,W719)=0,SUM(COUNTIF(W537,0),COUNTIF(W719,0))&gt;0),0,IF(AND(SUM(W537,W719)=0,SUM(COUNTIF(W537,"NA"),COUNTIF(W719,"NA"))&gt;0),"NA",SUM(W537,W719))))))</f>
        <v/>
      </c>
      <c r="X906" s="124" t="str">
        <f t="shared" si="365"/>
        <v/>
      </c>
      <c r="Y906" s="124" t="str">
        <f t="shared" si="365"/>
        <v/>
      </c>
      <c r="Z906" s="124" t="str">
        <f t="shared" si="365"/>
        <v/>
      </c>
      <c r="AA906" s="124" t="str">
        <f t="shared" si="365"/>
        <v/>
      </c>
      <c r="AB906" s="124" t="str">
        <f t="shared" si="365"/>
        <v/>
      </c>
      <c r="AC906" s="124" t="str">
        <f t="shared" si="365"/>
        <v/>
      </c>
      <c r="AD906" s="124" t="str">
        <f t="shared" si="365"/>
        <v/>
      </c>
      <c r="AF906">
        <f>IF(V906="NA",IF(AND(COUNTIF(V907:V909,"="&amp;$AF$898)=0,COUNTIF(V907:V909,"&lt;&gt;NA")&gt;0),1,0),IF(AND(COUNTIF(V907:V909,"="&amp;$AF$898)=0,COUNTIF(V907:V909,"NA")=COUNTIF(V907:V909,"&lt;&gt;"&amp;$AF$898)),1,0))</f>
        <v>0</v>
      </c>
      <c r="AG906"/>
      <c r="AH906"/>
      <c r="AK906"/>
      <c r="AM906" s="366">
        <f>SUM(AM903:AM905)</f>
        <v>0</v>
      </c>
      <c r="AN906"/>
      <c r="AP906" s="366">
        <f>SUM(AP903:AP905)</f>
        <v>0</v>
      </c>
      <c r="AQ906"/>
      <c r="AS906" s="366">
        <f>SUM(AS903:AS905)</f>
        <v>0</v>
      </c>
      <c r="AT906">
        <f>COUNTIF(Z903:Z905,"NS")</f>
        <v>0</v>
      </c>
      <c r="AU906">
        <f>SUM(Z903:Z905)</f>
        <v>0</v>
      </c>
      <c r="AV906">
        <f>IF(COUNTBLANK(Z902:Z905)=4,0,IF(OR(AND(Z902=0,AT906&gt;0),AND(Z902="ns",AU906&gt;0),AND(Z902="ns",AT906=0,AU906=0)),1,IF(OR(AND(AT906&gt;=2,Z902&gt;AU906),AND(Z902="ns",AU906=0,AT906&gt;0),Z902=AU906),0,1)))</f>
        <v>0</v>
      </c>
      <c r="AW906"/>
      <c r="AX906"/>
      <c r="AY906"/>
      <c r="AZ906"/>
      <c r="BA906"/>
      <c r="BB906"/>
      <c r="BC906"/>
      <c r="BD906"/>
      <c r="BE906"/>
      <c r="BF906"/>
      <c r="BG906"/>
    </row>
    <row r="907" spans="1:59" ht="15" customHeight="1">
      <c r="A907" s="50"/>
      <c r="B907" s="38"/>
      <c r="C907" s="1119" t="s">
        <v>5135</v>
      </c>
      <c r="D907" s="1121"/>
      <c r="E907" s="1121"/>
      <c r="F907" s="1120"/>
      <c r="G907" s="173"/>
      <c r="H907" s="1126" t="s">
        <v>5136</v>
      </c>
      <c r="I907" s="1126"/>
      <c r="J907" s="1126"/>
      <c r="K907" s="1126"/>
      <c r="L907" s="1126"/>
      <c r="M907" s="1126"/>
      <c r="N907" s="1126"/>
      <c r="O907" s="1126"/>
      <c r="P907" s="1126"/>
      <c r="Q907" s="1126"/>
      <c r="R907" s="1126"/>
      <c r="S907" s="1126"/>
      <c r="T907" s="1126"/>
      <c r="U907" s="1127"/>
      <c r="V907" s="100"/>
      <c r="W907" s="100"/>
      <c r="X907" s="100"/>
      <c r="Y907" s="100"/>
      <c r="Z907" s="100"/>
      <c r="AA907" s="100"/>
      <c r="AB907" s="100"/>
      <c r="AC907" s="100"/>
      <c r="AD907" s="100"/>
      <c r="AF907"/>
      <c r="AG907">
        <f>IF(AND(V907="NA",$V$906&lt;&gt;""),0,IF(AND($V$906="",COUNTA(V907:AD907)&gt;0),1,IF(OR(AND($V$906&lt;&gt;"",COUNTA(V907:AD907)=9),AND($V$906="",COUNTA(V907:AD907)=0)),0,1)))</f>
        <v>0</v>
      </c>
      <c r="AH907">
        <f>IF(V907="NA",IF(COUNTBLANK(W907:AD907)=8,0,1),0)</f>
        <v>0</v>
      </c>
      <c r="AK907">
        <f>COUNTIF(W907:X907,"NS")</f>
        <v>0</v>
      </c>
      <c r="AL907">
        <f>SUM(W907:X907)</f>
        <v>0</v>
      </c>
      <c r="AM907">
        <f>IF(COUNTIF(V907:X907,"NA")=3,0,IF(COUNTA(V907:X907)=0,0,IF(OR(AND(V907=0,AK907&gt;0),AND(V907="ns",AL907&gt;0),AND(V907="ns",AK907=0,AL907=0)),1,IF(OR(AND(V907&gt;0,AK907=2),AND(V907="ns",AK907=2),AND(V907="ns",AL907=0,AK907&gt;0),V907=AL907),0,1))))</f>
        <v>0</v>
      </c>
      <c r="AN907">
        <f>COUNTIF(Z907:AA907,"NS")</f>
        <v>0</v>
      </c>
      <c r="AO907">
        <f>SUM(Z907:AA907)</f>
        <v>0</v>
      </c>
      <c r="AP907">
        <f>IF(COUNTIF(Y907:AA907,"NA")=3,0,IF(COUNTA(Y907:AA907)=0,0,IF(OR(AND(Y907=0,AN907&gt;0),AND(Y907="ns",AO907&gt;0),AND(Y907="ns",AN907=0,AO907=0)),1,IF(OR(AND(Y907&gt;0,AN907=2),AND(Y907="ns",AN907=2),AND(Y907="ns",AO907=0,AN907&gt;0),Y907=AO907),0,1))))</f>
        <v>0</v>
      </c>
      <c r="AQ907">
        <f>COUNTIF(AC907:AD907,"NS")</f>
        <v>0</v>
      </c>
      <c r="AR907">
        <f>SUM(AC907:AD907)</f>
        <v>0</v>
      </c>
      <c r="AS907">
        <f>IF(COUNTIF(AB907:AD907,"NA")=3,0,IF(COUNTA(AB907:AD907)=0,0,IF(OR(AND(AB907=0,AQ907&gt;0),AND(AB907="ns",AR907&gt;0),AND(AB907="ns",AQ907=0,AR907=0)),1,IF(OR(AND(AB907&gt;0,AQ907=2),AND(AB907="ns",AQ907=2),AND(AB907="ns",AR907=0,AQ907&gt;0),AB907=AR907),0,1))))</f>
        <v>0</v>
      </c>
      <c r="AT907">
        <f>COUNTIF(AA903:AA905,"NS")</f>
        <v>0</v>
      </c>
      <c r="AU907">
        <f>SUM(AA903:AA905)</f>
        <v>0</v>
      </c>
      <c r="AV907">
        <f>IF(COUNTBLANK(AA902:AA905)=4,0,IF(OR(AND(AA902=0,AT907&gt;0),AND(AA902="ns",AU907&gt;0),AND(AA902="ns",AT907=0,AU907=0)),1,IF(OR(AND(AT907&gt;=2,AA902&gt;AU907),AND(AA902="ns",AU907=0,AT907&gt;0),AA902=AU907),0,1)))</f>
        <v>0</v>
      </c>
      <c r="AW907"/>
      <c r="AX907"/>
      <c r="AY907"/>
      <c r="AZ907"/>
      <c r="BA907"/>
      <c r="BB907"/>
      <c r="BC907"/>
      <c r="BD907"/>
      <c r="BE907"/>
      <c r="BF907"/>
      <c r="BG907"/>
    </row>
    <row r="908" spans="1:59" ht="15" customHeight="1">
      <c r="A908" s="50"/>
      <c r="B908" s="38"/>
      <c r="C908" s="1119" t="s">
        <v>5137</v>
      </c>
      <c r="D908" s="1121"/>
      <c r="E908" s="1121"/>
      <c r="F908" s="1120"/>
      <c r="G908" s="174"/>
      <c r="H908" s="1122" t="s">
        <v>5138</v>
      </c>
      <c r="I908" s="1122"/>
      <c r="J908" s="1122"/>
      <c r="K908" s="1122"/>
      <c r="L908" s="1122"/>
      <c r="M908" s="1122"/>
      <c r="N908" s="1122"/>
      <c r="O908" s="1122"/>
      <c r="P908" s="1122"/>
      <c r="Q908" s="1122"/>
      <c r="R908" s="1122"/>
      <c r="S908" s="1122"/>
      <c r="T908" s="1122"/>
      <c r="U908" s="1123"/>
      <c r="V908" s="100"/>
      <c r="W908" s="100"/>
      <c r="X908" s="100"/>
      <c r="Y908" s="100"/>
      <c r="Z908" s="100"/>
      <c r="AA908" s="100"/>
      <c r="AB908" s="100"/>
      <c r="AC908" s="100"/>
      <c r="AD908" s="100"/>
      <c r="AF908"/>
      <c r="AG908">
        <f t="shared" ref="AG908:AG909" si="366">IF(AND(V908="NA",$V$906&lt;&gt;""),0,IF(AND($V$906="",COUNTA(V908:AD908)&gt;0),1,IF(OR(AND($V$906&lt;&gt;"",COUNTA(V908:AD908)=9),AND($V$906="",COUNTA(V908:AD908)=0)),0,1)))</f>
        <v>0</v>
      </c>
      <c r="AH908">
        <f t="shared" ref="AH908:AH909" si="367">IF(V908="NA",IF(COUNTBLANK(W908:AD908)=8,0,1),0)</f>
        <v>0</v>
      </c>
      <c r="AK908">
        <f>COUNTIF(W908:X908,"NS")</f>
        <v>0</v>
      </c>
      <c r="AL908">
        <f>SUM(W908:X908)</f>
        <v>0</v>
      </c>
      <c r="AM908">
        <f>IF(COUNTIF(V908:X908,"NA")=3,0,IF(COUNTA(V908:X908)=0,0,IF(OR(AND(V908=0,AK908&gt;0),AND(V908="ns",AL908&gt;0),AND(V908="ns",AK908=0,AL908=0)),1,IF(OR(AND(V908&gt;0,AK908=2),AND(V908="ns",AK908=2),AND(V908="ns",AL908=0,AK908&gt;0),V908=AL908),0,1))))</f>
        <v>0</v>
      </c>
      <c r="AN908">
        <f>COUNTIF(Z908:AA908,"NS")</f>
        <v>0</v>
      </c>
      <c r="AO908">
        <f>SUM(Z908:AA908)</f>
        <v>0</v>
      </c>
      <c r="AP908">
        <f>IF(COUNTIF(Y908:AA908,"NA")=3,0,IF(COUNTA(Y908:AA908)=0,0,IF(OR(AND(Y908=0,AN908&gt;0),AND(Y908="ns",AO908&gt;0),AND(Y908="ns",AN908=0,AO908=0)),1,IF(OR(AND(Y908&gt;0,AN908=2),AND(Y908="ns",AN908=2),AND(Y908="ns",AO908=0,AN908&gt;0),Y908=AO908),0,1))))</f>
        <v>0</v>
      </c>
      <c r="AQ908">
        <f>COUNTIF(AC908:AD908,"NS")</f>
        <v>0</v>
      </c>
      <c r="AR908">
        <f>SUM(AC908:AD908)</f>
        <v>0</v>
      </c>
      <c r="AS908">
        <f>IF(COUNTIF(AB908:AD908,"NA")=3,0,IF(COUNTA(AB908:AD908)=0,0,IF(OR(AND(AB908=0,AQ908&gt;0),AND(AB908="ns",AR908&gt;0),AND(AB908="ns",AQ908=0,AR908=0)),1,IF(OR(AND(AB908&gt;0,AQ908=2),AND(AB908="ns",AQ908=2),AND(AB908="ns",AR908=0,AQ908&gt;0),AB908=AR908),0,1))))</f>
        <v>0</v>
      </c>
      <c r="AT908">
        <f>COUNTIF(AB903:AB905,"NS")</f>
        <v>0</v>
      </c>
      <c r="AU908">
        <f>SUM(AB903:AB905)</f>
        <v>0</v>
      </c>
      <c r="AV908">
        <f>IF(COUNTBLANK(AB902:AB905)=4,0,IF(OR(AND(AB902=0,AT908&gt;0),AND(AB902="ns",AU908&gt;0),AND(AB902="ns",AT908=0,AU908=0)),1,IF(OR(AND(AT908&gt;=2,AB902&gt;AU908),AND(AB902="ns",AU908=0,AT908&gt;0),AB902=AU908),0,1)))</f>
        <v>0</v>
      </c>
      <c r="AW908"/>
      <c r="AX908"/>
      <c r="AY908"/>
      <c r="AZ908"/>
      <c r="BA908"/>
      <c r="BB908"/>
      <c r="BC908"/>
      <c r="BD908"/>
      <c r="BE908"/>
      <c r="BF908"/>
      <c r="BG908"/>
    </row>
    <row r="909" spans="1:59" ht="15" customHeight="1">
      <c r="A909" s="50"/>
      <c r="B909" s="38"/>
      <c r="C909" s="1119" t="s">
        <v>5139</v>
      </c>
      <c r="D909" s="1121"/>
      <c r="E909" s="1121"/>
      <c r="F909" s="1120"/>
      <c r="G909" s="175"/>
      <c r="H909" s="1124" t="s">
        <v>201</v>
      </c>
      <c r="I909" s="1124"/>
      <c r="J909" s="1124"/>
      <c r="K909" s="1124"/>
      <c r="L909" s="1124"/>
      <c r="M909" s="1124"/>
      <c r="N909" s="1124"/>
      <c r="O909" s="1124"/>
      <c r="P909" s="1124"/>
      <c r="Q909" s="1124"/>
      <c r="R909" s="1124"/>
      <c r="S909" s="1124"/>
      <c r="T909" s="1124"/>
      <c r="U909" s="1125"/>
      <c r="V909" s="100"/>
      <c r="W909" s="100"/>
      <c r="X909" s="100"/>
      <c r="Y909" s="100"/>
      <c r="Z909" s="100"/>
      <c r="AA909" s="100"/>
      <c r="AB909" s="100"/>
      <c r="AC909" s="100"/>
      <c r="AD909" s="100"/>
      <c r="AF909"/>
      <c r="AG909">
        <f t="shared" si="366"/>
        <v>0</v>
      </c>
      <c r="AH909">
        <f t="shared" si="367"/>
        <v>0</v>
      </c>
      <c r="AK909">
        <f>COUNTIF(W909:X909,"NS")</f>
        <v>0</v>
      </c>
      <c r="AL909">
        <f>SUM(W909:X909)</f>
        <v>0</v>
      </c>
      <c r="AM909">
        <f>IF(COUNTIF(V909:X909,"NA")=3,0,IF(COUNTA(V909:X909)=0,0,IF(OR(AND(V909=0,AK909&gt;0),AND(V909="ns",AL909&gt;0),AND(V909="ns",AK909=0,AL909=0)),1,IF(OR(AND(V909&gt;0,AK909=2),AND(V909="ns",AK909=2),AND(V909="ns",AL909=0,AK909&gt;0),V909=AL909),0,1))))</f>
        <v>0</v>
      </c>
      <c r="AN909">
        <f>COUNTIF(Z909:AA909,"NS")</f>
        <v>0</v>
      </c>
      <c r="AO909">
        <f>SUM(Z909:AA909)</f>
        <v>0</v>
      </c>
      <c r="AP909">
        <f>IF(COUNTIF(Y909:AA909,"NA")=3,0,IF(COUNTA(Y909:AA909)=0,0,IF(OR(AND(Y909=0,AN909&gt;0),AND(Y909="ns",AO909&gt;0),AND(Y909="ns",AN909=0,AO909=0)),1,IF(OR(AND(Y909&gt;0,AN909=2),AND(Y909="ns",AN909=2),AND(Y909="ns",AO909=0,AN909&gt;0),Y909=AO909),0,1))))</f>
        <v>0</v>
      </c>
      <c r="AQ909">
        <f>COUNTIF(AC909:AD909,"NS")</f>
        <v>0</v>
      </c>
      <c r="AR909">
        <f>SUM(AC909:AD909)</f>
        <v>0</v>
      </c>
      <c r="AS909">
        <f>IF(COUNTIF(AB909:AD909,"NA")=3,0,IF(COUNTA(AB909:AD909)=0,0,IF(OR(AND(AB909=0,AQ909&gt;0),AND(AB909="ns",AR909&gt;0),AND(AB909="ns",AQ909=0,AR909=0)),1,IF(OR(AND(AB909&gt;0,AQ909=2),AND(AB909="ns",AQ909=2),AND(AB909="ns",AR909=0,AQ909&gt;0),AB909=AR909),0,1))))</f>
        <v>0</v>
      </c>
      <c r="AT909">
        <f>COUNTIF(AC903:AC905,"NS")</f>
        <v>0</v>
      </c>
      <c r="AU909">
        <f>SUM(AC903:AC905)</f>
        <v>0</v>
      </c>
      <c r="AV909">
        <f>IF(COUNTBLANK(AC902:AC905)=4,0,IF(OR(AND(AC902=0,AT909&gt;0),AND(AC902="ns",AU909&gt;0),AND(AC902="ns",AT909=0,AU909=0)),1,IF(OR(AND(AT909&gt;=2,AC902&gt;AU909),AND(AC902="ns",AU909=0,AT909&gt;0),AC902=AU909),0,1)))</f>
        <v>0</v>
      </c>
      <c r="AW909"/>
      <c r="AX909"/>
      <c r="AY909"/>
      <c r="AZ909"/>
      <c r="BA909"/>
      <c r="BB909"/>
      <c r="BC909"/>
      <c r="BD909"/>
      <c r="BE909"/>
      <c r="BF909"/>
      <c r="BG909"/>
    </row>
    <row r="910" spans="1:59" ht="15" customHeight="1">
      <c r="A910" s="50"/>
      <c r="B910" s="38"/>
      <c r="C910" s="733" t="s">
        <v>4750</v>
      </c>
      <c r="D910" s="734"/>
      <c r="E910" s="734"/>
      <c r="F910" s="735"/>
      <c r="G910" s="813" t="s">
        <v>4751</v>
      </c>
      <c r="H910" s="814"/>
      <c r="I910" s="814"/>
      <c r="J910" s="814"/>
      <c r="K910" s="814"/>
      <c r="L910" s="814"/>
      <c r="M910" s="814"/>
      <c r="N910" s="814"/>
      <c r="O910" s="814"/>
      <c r="P910" s="814"/>
      <c r="Q910" s="814"/>
      <c r="R910" s="814"/>
      <c r="S910" s="814"/>
      <c r="T910" s="814"/>
      <c r="U910" s="815"/>
      <c r="V910" s="124" t="str">
        <f>IF(AND(V539="",V721=""),"",IF(AND(SUM(V539,V721)=0,SUM(COUNTIF(V539,"NS"),COUNTIF(V721,"NS"))&gt;0),"NS",IF(AND(SUM(V539,V721)=0,SUM(COUNTIF(V539,0),COUNTIF(V721,0))&gt;0),0,IF(AND(SUM(V539,V721)=0,SUM(COUNTIF(V539,"NA"),COUNTIF(V721,"NA"))&gt;0),"NA",SUM(V539,V721)))))</f>
        <v/>
      </c>
      <c r="W910" s="124" t="str">
        <f t="shared" ref="W910:AD910" si="368">IF(AND(W539="",W721=""),"",IF($V$910="NA","",IF(AND(SUM(W539,W721)=0,SUM(COUNTIF(W539,"NS"),COUNTIF(W721,"NS"))&gt;0),"NS",IF(AND(SUM(W539,W721)=0,SUM(COUNTIF(W539,0),COUNTIF(W721,0))&gt;0),0,IF(AND(SUM(W539,W721)=0,SUM(COUNTIF(W539,"NA"),COUNTIF(W721,"NA"))&gt;0),"NA",SUM(W539,W721))))))</f>
        <v/>
      </c>
      <c r="X910" s="124" t="str">
        <f t="shared" si="368"/>
        <v/>
      </c>
      <c r="Y910" s="124" t="str">
        <f t="shared" si="368"/>
        <v/>
      </c>
      <c r="Z910" s="124" t="str">
        <f t="shared" si="368"/>
        <v/>
      </c>
      <c r="AA910" s="124" t="str">
        <f t="shared" si="368"/>
        <v/>
      </c>
      <c r="AB910" s="124" t="str">
        <f t="shared" si="368"/>
        <v/>
      </c>
      <c r="AC910" s="124" t="str">
        <f t="shared" si="368"/>
        <v/>
      </c>
      <c r="AD910" s="124" t="str">
        <f t="shared" si="368"/>
        <v/>
      </c>
      <c r="AF910" s="507">
        <f>SUM(AF906,AF902)</f>
        <v>0</v>
      </c>
      <c r="AG910" s="507">
        <f>SUM(AG907:AG909,AG903:AG905)</f>
        <v>0</v>
      </c>
      <c r="AH910" s="507">
        <f>SUM(AH907:AH909,AH903:AH905)</f>
        <v>0</v>
      </c>
      <c r="AM910" s="366">
        <f>SUM(AM907:AM909)</f>
        <v>0</v>
      </c>
      <c r="AN910"/>
      <c r="AP910" s="366">
        <f>SUM(AP907:AP909)</f>
        <v>0</v>
      </c>
      <c r="AQ910"/>
      <c r="AS910" s="366">
        <f>SUM(AS907:AS909)</f>
        <v>0</v>
      </c>
      <c r="AT910">
        <f>COUNTIF(AD903:AD905,"NS")</f>
        <v>0</v>
      </c>
      <c r="AU910">
        <f>SUM(AD903:AD905)</f>
        <v>0</v>
      </c>
      <c r="AV910">
        <f>IF(COUNTBLANK(AD902:AD905)=4,0,IF(OR(AND(AD902=0,AT910&gt;0),AND(AD902="ns",AU910&gt;0),AND(AD902="ns",AT910=0,AU910=0)),1,IF(OR(AND(AT910&gt;=2,AD902&gt;AU910),AND(AD902="ns",AU910=0,AT910&gt;0),AD902=AU910),0,1)))</f>
        <v>0</v>
      </c>
      <c r="AW910"/>
      <c r="AX910"/>
      <c r="AY910"/>
      <c r="AZ910"/>
      <c r="BA910"/>
      <c r="BB910"/>
      <c r="BC910"/>
      <c r="BD910"/>
      <c r="BE910"/>
      <c r="BF910"/>
      <c r="BG910"/>
    </row>
    <row r="911" spans="1:59" ht="15" customHeight="1">
      <c r="A911" s="50"/>
      <c r="B911" s="38"/>
      <c r="C911" s="733" t="s">
        <v>4764</v>
      </c>
      <c r="D911" s="734"/>
      <c r="E911" s="734"/>
      <c r="F911" s="735"/>
      <c r="G911" s="813" t="s">
        <v>4765</v>
      </c>
      <c r="H911" s="814"/>
      <c r="I911" s="814"/>
      <c r="J911" s="814"/>
      <c r="K911" s="814"/>
      <c r="L911" s="814"/>
      <c r="M911" s="814"/>
      <c r="N911" s="814"/>
      <c r="O911" s="814"/>
      <c r="P911" s="814"/>
      <c r="Q911" s="814"/>
      <c r="R911" s="814"/>
      <c r="S911" s="814"/>
      <c r="T911" s="814"/>
      <c r="U911" s="815"/>
      <c r="V911" s="124" t="str">
        <f>IF(AND(V545="",V727=""),"",IF(AND(SUM(V545,V727)=0,SUM(COUNTIF(V545,"NS"),COUNTIF(V727,"NS"))&gt;0),"NS",IF(AND(SUM(V545,V727)=0,SUM(COUNTIF(V545,0),COUNTIF(V727,0))&gt;0),0,IF(AND(SUM(V545,V727)=0,SUM(COUNTIF(V545,"NA"),COUNTIF(V727,"NA"))&gt;0),"NA",SUM(V545,V727)))))</f>
        <v/>
      </c>
      <c r="W911" s="124" t="str">
        <f t="shared" ref="W911:AD911" si="369">IF(AND(W545="",W727=""),"",IF($V$911="NA","",IF(AND(SUM(W545,W727)=0,SUM(COUNTIF(W545,"NS"),COUNTIF(W727,"NS"))&gt;0),"NS",IF(AND(SUM(W545,W727)=0,SUM(COUNTIF(W545,0),COUNTIF(W727,0))&gt;0),0,IF(AND(SUM(W545,W727)=0,SUM(COUNTIF(W545,"NA"),COUNTIF(W727,"NA"))&gt;0),"NA",SUM(W545,W727))))))</f>
        <v/>
      </c>
      <c r="X911" s="124" t="str">
        <f t="shared" si="369"/>
        <v/>
      </c>
      <c r="Y911" s="124" t="str">
        <f t="shared" si="369"/>
        <v/>
      </c>
      <c r="Z911" s="124" t="str">
        <f t="shared" si="369"/>
        <v/>
      </c>
      <c r="AA911" s="124" t="str">
        <f t="shared" si="369"/>
        <v/>
      </c>
      <c r="AB911" s="124" t="str">
        <f t="shared" si="369"/>
        <v/>
      </c>
      <c r="AC911" s="124" t="str">
        <f t="shared" si="369"/>
        <v/>
      </c>
      <c r="AD911" s="124" t="str">
        <f t="shared" si="369"/>
        <v/>
      </c>
      <c r="AF911"/>
      <c r="AK911" t="s">
        <v>2650</v>
      </c>
      <c r="AL911" s="405">
        <f>SUM(AM906,AP906,AS906,AM910,AP910,AS910)</f>
        <v>0</v>
      </c>
      <c r="AT911">
        <f>SUM(AT902:AT910)</f>
        <v>0</v>
      </c>
      <c r="AV911" s="366">
        <f>SUM(AV902:AV910)</f>
        <v>0</v>
      </c>
      <c r="AW911"/>
      <c r="AX911"/>
      <c r="AY911"/>
      <c r="AZ911"/>
      <c r="BA911"/>
      <c r="BB911"/>
      <c r="BC911"/>
      <c r="BD911"/>
      <c r="BE911"/>
      <c r="BF911"/>
      <c r="BG911"/>
    </row>
    <row r="912" spans="1:59" ht="15" customHeight="1">
      <c r="A912" s="50"/>
      <c r="B912" s="38"/>
      <c r="C912" s="733" t="s">
        <v>4828</v>
      </c>
      <c r="D912" s="734"/>
      <c r="E912" s="734"/>
      <c r="F912" s="735"/>
      <c r="G912" s="813" t="s">
        <v>4829</v>
      </c>
      <c r="H912" s="814"/>
      <c r="I912" s="814"/>
      <c r="J912" s="814"/>
      <c r="K912" s="814"/>
      <c r="L912" s="814"/>
      <c r="M912" s="814"/>
      <c r="N912" s="814"/>
      <c r="O912" s="814"/>
      <c r="P912" s="814"/>
      <c r="Q912" s="814"/>
      <c r="R912" s="814"/>
      <c r="S912" s="814"/>
      <c r="T912" s="814"/>
      <c r="U912" s="815"/>
      <c r="V912" s="124" t="str">
        <f>IF(AND(V554="",V736=""),"",IF(AND(SUM(V554,V736)=0,SUM(COUNTIF(V554,"NS"),COUNTIF(V736,"NS"))&gt;0),"NS",IF(AND(SUM(V554,V736)=0,SUM(COUNTIF(V554,0),COUNTIF(V736,0))&gt;0),0,IF(AND(SUM(V554,V736)=0,SUM(COUNTIF(V554,"NA"),COUNTIF(V736,"NA"))&gt;0),"NA",SUM(V554,V736)))))</f>
        <v/>
      </c>
      <c r="W912" s="124" t="str">
        <f t="shared" ref="W912:AD912" si="370">IF(AND(W554="",W736=""),"",IF($V$912="NA","",IF(AND(SUM(W554,W736)=0,SUM(COUNTIF(W554,"NS"),COUNTIF(W736,"NS"))&gt;0),"NS",IF(AND(SUM(W554,W736)=0,SUM(COUNTIF(W554,0),COUNTIF(W736,0))&gt;0),0,IF(AND(SUM(W554,W736)=0,SUM(COUNTIF(W554,"NA"),COUNTIF(W736,"NA"))&gt;0),"NA",SUM(W554,W736))))))</f>
        <v/>
      </c>
      <c r="X912" s="124" t="str">
        <f t="shared" si="370"/>
        <v/>
      </c>
      <c r="Y912" s="124" t="str">
        <f t="shared" si="370"/>
        <v/>
      </c>
      <c r="Z912" s="124" t="str">
        <f t="shared" si="370"/>
        <v/>
      </c>
      <c r="AA912" s="124" t="str">
        <f t="shared" si="370"/>
        <v/>
      </c>
      <c r="AB912" s="124" t="str">
        <f t="shared" si="370"/>
        <v/>
      </c>
      <c r="AC912" s="124" t="str">
        <f t="shared" si="370"/>
        <v/>
      </c>
      <c r="AD912" s="124" t="str">
        <f t="shared" si="370"/>
        <v/>
      </c>
      <c r="AF912"/>
      <c r="AK912"/>
      <c r="AL912"/>
      <c r="AV912" s="405">
        <f>SUM(AV911,BG903)</f>
        <v>0</v>
      </c>
      <c r="AW912"/>
      <c r="AX912"/>
      <c r="AY912"/>
      <c r="AZ912"/>
      <c r="BA912"/>
      <c r="BB912"/>
      <c r="BC912"/>
      <c r="BD912"/>
      <c r="BE912"/>
      <c r="BF912"/>
      <c r="BG912"/>
    </row>
    <row r="913" spans="1:59" ht="15" customHeight="1">
      <c r="A913" s="50"/>
      <c r="B913" s="38"/>
      <c r="C913" s="733" t="s">
        <v>4830</v>
      </c>
      <c r="D913" s="734"/>
      <c r="E913" s="734"/>
      <c r="F913" s="735"/>
      <c r="G913" s="813" t="s">
        <v>4831</v>
      </c>
      <c r="H913" s="814"/>
      <c r="I913" s="814"/>
      <c r="J913" s="814"/>
      <c r="K913" s="814"/>
      <c r="L913" s="814"/>
      <c r="M913" s="814"/>
      <c r="N913" s="814"/>
      <c r="O913" s="814"/>
      <c r="P913" s="814"/>
      <c r="Q913" s="814"/>
      <c r="R913" s="814"/>
      <c r="S913" s="814"/>
      <c r="T913" s="814"/>
      <c r="U913" s="815"/>
      <c r="V913" s="124" t="str">
        <f>IF(AND(V555="",V737=""),"",IF(AND(SUM(V555,V737)=0,SUM(COUNTIF(V555,"NS"),COUNTIF(V737,"NS"))&gt;0),"NS",IF(AND(SUM(V555,V737)=0,SUM(COUNTIF(V555,0),COUNTIF(V737,0))&gt;0),0,IF(AND(SUM(V555,V737)=0,SUM(COUNTIF(V555,"NA"),COUNTIF(V737,"NA"))&gt;0),"NA",SUM(V555,V737)))))</f>
        <v/>
      </c>
      <c r="W913" s="124" t="str">
        <f t="shared" ref="W913:AD913" si="371">IF(AND(W555="",W737=""),"",IF($V$913="NA","",IF(AND(SUM(W555,W737)=0,SUM(COUNTIF(W555,"NS"),COUNTIF(W737,"NS"))&gt;0),"NS",IF(AND(SUM(W555,W737)=0,SUM(COUNTIF(W555,0),COUNTIF(W737,0))&gt;0),0,IF(AND(SUM(W555,W737)=0,SUM(COUNTIF(W555,"NA"),COUNTIF(W737,"NA"))&gt;0),"NA",SUM(W555,W737))))))</f>
        <v/>
      </c>
      <c r="X913" s="124" t="str">
        <f t="shared" si="371"/>
        <v/>
      </c>
      <c r="Y913" s="124" t="str">
        <f t="shared" si="371"/>
        <v/>
      </c>
      <c r="Z913" s="124" t="str">
        <f t="shared" si="371"/>
        <v/>
      </c>
      <c r="AA913" s="124" t="str">
        <f t="shared" si="371"/>
        <v/>
      </c>
      <c r="AB913" s="124" t="str">
        <f t="shared" si="371"/>
        <v/>
      </c>
      <c r="AC913" s="124" t="str">
        <f t="shared" si="371"/>
        <v/>
      </c>
      <c r="AD913" s="124" t="str">
        <f t="shared" si="371"/>
        <v/>
      </c>
      <c r="AF913"/>
      <c r="AK913" t="s">
        <v>5140</v>
      </c>
      <c r="AL913" s="506">
        <f>AL911-SUM(COUNTIF(V903:V905,"NA"),COUNTIF(V907:V909,"NA"))</f>
        <v>0</v>
      </c>
      <c r="AT913"/>
      <c r="AU913" t="s">
        <v>5140</v>
      </c>
      <c r="AV913" s="506">
        <f>AV912-SUM(COUNTIF(V902,"NA"),COUNTIF(V906,"NA"))</f>
        <v>0</v>
      </c>
      <c r="AW913"/>
      <c r="AX913"/>
      <c r="AY913"/>
      <c r="AZ913"/>
      <c r="BA913"/>
      <c r="BB913"/>
      <c r="BC913"/>
      <c r="BD913"/>
      <c r="BE913"/>
      <c r="BF913"/>
      <c r="BG913"/>
    </row>
    <row r="914" spans="1:59" ht="15" customHeight="1">
      <c r="A914" s="50"/>
      <c r="B914" s="38"/>
      <c r="C914" s="733" t="s">
        <v>4832</v>
      </c>
      <c r="D914" s="734"/>
      <c r="E914" s="734"/>
      <c r="F914" s="735"/>
      <c r="G914" s="813" t="s">
        <v>4833</v>
      </c>
      <c r="H914" s="814"/>
      <c r="I914" s="814"/>
      <c r="J914" s="814"/>
      <c r="K914" s="814"/>
      <c r="L914" s="814"/>
      <c r="M914" s="814"/>
      <c r="N914" s="814"/>
      <c r="O914" s="814"/>
      <c r="P914" s="814"/>
      <c r="Q914" s="814"/>
      <c r="R914" s="814"/>
      <c r="S914" s="814"/>
      <c r="T914" s="814"/>
      <c r="U914" s="815"/>
      <c r="V914" s="124" t="str">
        <f>IF(AND(V556="",V738=""),"",IF(AND(SUM(V556,V738)=0,SUM(COUNTIF(V556,"NS"),COUNTIF(V738,"NS"))&gt;0),"NS",IF(AND(SUM(V556,V738)=0,SUM(COUNTIF(V556,0),COUNTIF(V738,0))&gt;0),0,IF(AND(SUM(V556,V738)=0,SUM(COUNTIF(V556,"NA"),COUNTIF(V738,"NA"))&gt;0),"NA",SUM(V556,V738)))))</f>
        <v/>
      </c>
      <c r="W914" s="124" t="str">
        <f t="shared" ref="W914:AD914" si="372">IF(AND(W556="",W738=""),"",IF($V$914="NA","",IF(AND(SUM(W556,W738)=0,SUM(COUNTIF(W556,"NS"),COUNTIF(W738,"NS"))&gt;0),"NS",IF(AND(SUM(W556,W738)=0,SUM(COUNTIF(W556,0),COUNTIF(W738,0))&gt;0),0,IF(AND(SUM(W556,W738)=0,SUM(COUNTIF(W556,"NA"),COUNTIF(W738,"NA"))&gt;0),"NA",SUM(W556,W738))))))</f>
        <v/>
      </c>
      <c r="X914" s="124" t="str">
        <f t="shared" si="372"/>
        <v/>
      </c>
      <c r="Y914" s="124" t="str">
        <f t="shared" si="372"/>
        <v/>
      </c>
      <c r="Z914" s="124" t="str">
        <f t="shared" si="372"/>
        <v/>
      </c>
      <c r="AA914" s="124" t="str">
        <f t="shared" si="372"/>
        <v/>
      </c>
      <c r="AB914" s="124" t="str">
        <f t="shared" si="372"/>
        <v/>
      </c>
      <c r="AC914" s="124" t="str">
        <f t="shared" si="372"/>
        <v/>
      </c>
      <c r="AD914" s="124" t="str">
        <f t="shared" si="372"/>
        <v/>
      </c>
      <c r="AF914"/>
      <c r="AG914"/>
      <c r="AH914"/>
      <c r="AI914"/>
      <c r="AJ914"/>
      <c r="AK914"/>
      <c r="AL914"/>
      <c r="AM914"/>
      <c r="AN914"/>
      <c r="AO914"/>
      <c r="AP914"/>
      <c r="AQ914"/>
      <c r="AR914"/>
      <c r="AS914"/>
      <c r="AT914"/>
      <c r="AU914"/>
      <c r="AV914"/>
      <c r="AW914"/>
      <c r="AX914"/>
      <c r="AY914"/>
      <c r="AZ914"/>
      <c r="BA914"/>
      <c r="BB914"/>
      <c r="BC914"/>
      <c r="BD914"/>
      <c r="BE914"/>
      <c r="BF914"/>
      <c r="BG914"/>
    </row>
    <row r="915" spans="1:59" ht="15" customHeight="1">
      <c r="A915" s="50"/>
      <c r="B915" s="38"/>
      <c r="C915" s="733" t="s">
        <v>4834</v>
      </c>
      <c r="D915" s="734"/>
      <c r="E915" s="734"/>
      <c r="F915" s="735"/>
      <c r="G915" s="813" t="s">
        <v>4835</v>
      </c>
      <c r="H915" s="814"/>
      <c r="I915" s="814"/>
      <c r="J915" s="814"/>
      <c r="K915" s="814"/>
      <c r="L915" s="814"/>
      <c r="M915" s="814"/>
      <c r="N915" s="814"/>
      <c r="O915" s="814"/>
      <c r="P915" s="814"/>
      <c r="Q915" s="814"/>
      <c r="R915" s="814"/>
      <c r="S915" s="814"/>
      <c r="T915" s="814"/>
      <c r="U915" s="815"/>
      <c r="V915" s="124" t="str">
        <f>IF(AND(V557="",V739=""),"",IF(AND(SUM(V557,V739)=0,SUM(COUNTIF(V557,"NS"),COUNTIF(V739,"NS"))&gt;0),"NS",IF(AND(SUM(V557,V739)=0,SUM(COUNTIF(V557,0),COUNTIF(V739,0))&gt;0),0,IF(AND(SUM(V557,V739)=0,SUM(COUNTIF(V557,"NA"),COUNTIF(V739,"NA"))&gt;0),"NA",SUM(V557,V739)))))</f>
        <v/>
      </c>
      <c r="W915" s="124" t="str">
        <f t="shared" ref="W915:AD915" si="373">IF(AND(W557="",W739=""),"",IF($V$915="NA","",IF(AND(SUM(W557,W739)=0,SUM(COUNTIF(W557,"NS"),COUNTIF(W739,"NS"))&gt;0),"NS",IF(AND(SUM(W557,W739)=0,SUM(COUNTIF(W557,0),COUNTIF(W739,0))&gt;0),0,IF(AND(SUM(W557,W739)=0,SUM(COUNTIF(W557,"NA"),COUNTIF(W739,"NA"))&gt;0),"NA",SUM(W557,W739))))))</f>
        <v/>
      </c>
      <c r="X915" s="124" t="str">
        <f t="shared" si="373"/>
        <v/>
      </c>
      <c r="Y915" s="124" t="str">
        <f t="shared" si="373"/>
        <v/>
      </c>
      <c r="Z915" s="124" t="str">
        <f t="shared" si="373"/>
        <v/>
      </c>
      <c r="AA915" s="124" t="str">
        <f t="shared" si="373"/>
        <v/>
      </c>
      <c r="AB915" s="124" t="str">
        <f t="shared" si="373"/>
        <v/>
      </c>
      <c r="AC915" s="124" t="str">
        <f t="shared" si="373"/>
        <v/>
      </c>
      <c r="AD915" s="124" t="str">
        <f t="shared" si="373"/>
        <v/>
      </c>
      <c r="AF915"/>
      <c r="AG915"/>
      <c r="AH915"/>
      <c r="AI915"/>
      <c r="AJ915"/>
      <c r="AK915"/>
      <c r="AL915"/>
      <c r="AM915"/>
      <c r="AN915"/>
      <c r="AO915"/>
      <c r="AP915"/>
      <c r="AQ915"/>
      <c r="AR915"/>
      <c r="AS915"/>
      <c r="AT915"/>
      <c r="AU915"/>
      <c r="AV915"/>
      <c r="AW915"/>
      <c r="AX915"/>
      <c r="AY915"/>
      <c r="AZ915"/>
      <c r="BA915"/>
      <c r="BB915"/>
      <c r="BC915"/>
      <c r="BD915"/>
      <c r="BE915"/>
      <c r="BF915"/>
      <c r="BG915"/>
    </row>
    <row r="916" spans="1:59" ht="15" customHeight="1">
      <c r="A916" s="50"/>
      <c r="B916" s="38"/>
      <c r="C916" s="733" t="s">
        <v>4850</v>
      </c>
      <c r="D916" s="734"/>
      <c r="E916" s="734"/>
      <c r="F916" s="735"/>
      <c r="G916" s="813" t="s">
        <v>4851</v>
      </c>
      <c r="H916" s="814"/>
      <c r="I916" s="814"/>
      <c r="J916" s="814"/>
      <c r="K916" s="814"/>
      <c r="L916" s="814"/>
      <c r="M916" s="814"/>
      <c r="N916" s="814"/>
      <c r="O916" s="814"/>
      <c r="P916" s="814"/>
      <c r="Q916" s="814"/>
      <c r="R916" s="814"/>
      <c r="S916" s="814"/>
      <c r="T916" s="814"/>
      <c r="U916" s="815"/>
      <c r="V916" s="124" t="str">
        <f>IF(AND(V565="",V747=""),"",IF(AND(SUM(V565,V747)=0,SUM(COUNTIF(V565,"NS"),COUNTIF(V747,"NS"))&gt;0),"NS",IF(AND(SUM(V565,V747)=0,SUM(COUNTIF(V565,0),COUNTIF(V747,0))&gt;0),0,IF(AND(SUM(V565,V747)=0,SUM(COUNTIF(V565,"NA"),COUNTIF(V747,"NA"))&gt;0),"NA",SUM(V565,V747)))))</f>
        <v/>
      </c>
      <c r="W916" s="124" t="str">
        <f t="shared" ref="W916:AD916" si="374">IF(AND(W565="",W747=""),"",IF($V$916="NA","",IF(AND(SUM(W565,W747)=0,SUM(COUNTIF(W565,"NS"),COUNTIF(W747,"NS"))&gt;0),"NS",IF(AND(SUM(W565,W747)=0,SUM(COUNTIF(W565,0),COUNTIF(W747,0))&gt;0),0,IF(AND(SUM(W565,W747)=0,SUM(COUNTIF(W565,"NA"),COUNTIF(W747,"NA"))&gt;0),"NA",SUM(W565,W747))))))</f>
        <v/>
      </c>
      <c r="X916" s="124" t="str">
        <f t="shared" si="374"/>
        <v/>
      </c>
      <c r="Y916" s="124" t="str">
        <f t="shared" si="374"/>
        <v/>
      </c>
      <c r="Z916" s="124" t="str">
        <f t="shared" si="374"/>
        <v/>
      </c>
      <c r="AA916" s="124" t="str">
        <f t="shared" si="374"/>
        <v/>
      </c>
      <c r="AB916" s="124" t="str">
        <f t="shared" si="374"/>
        <v/>
      </c>
      <c r="AC916" s="124" t="str">
        <f t="shared" si="374"/>
        <v/>
      </c>
      <c r="AD916" s="124" t="str">
        <f t="shared" si="374"/>
        <v/>
      </c>
    </row>
    <row r="917" spans="1:59" ht="15" customHeight="1">
      <c r="A917" s="50"/>
      <c r="B917" s="38"/>
      <c r="C917" s="733" t="s">
        <v>4921</v>
      </c>
      <c r="D917" s="734"/>
      <c r="E917" s="734"/>
      <c r="F917" s="735"/>
      <c r="G917" s="813" t="s">
        <v>4922</v>
      </c>
      <c r="H917" s="814"/>
      <c r="I917" s="814"/>
      <c r="J917" s="814"/>
      <c r="K917" s="814"/>
      <c r="L917" s="814"/>
      <c r="M917" s="814"/>
      <c r="N917" s="814"/>
      <c r="O917" s="814"/>
      <c r="P917" s="814"/>
      <c r="Q917" s="814"/>
      <c r="R917" s="814"/>
      <c r="S917" s="814"/>
      <c r="T917" s="814"/>
      <c r="U917" s="815"/>
      <c r="V917" s="124" t="str">
        <f>IF(AND(V600="",V782=""),"",IF(AND(SUM(V600,V782)=0,SUM(COUNTIF(V600,"NS"),COUNTIF(V782,"NS"))&gt;0),"NS",IF(AND(SUM(V600,V782)=0,SUM(COUNTIF(V600,0),COUNTIF(V782,0))&gt;0),0,IF(AND(SUM(V600,V782)=0,SUM(COUNTIF(V600,"NA"),COUNTIF(V782,"NA"))&gt;0),"NA",SUM(V600,V782)))))</f>
        <v/>
      </c>
      <c r="W917" s="124" t="str">
        <f t="shared" ref="W917:AD917" si="375">IF(AND(W600="",W782=""),"",IF($V$917="NA","",IF(AND(SUM(W600,W782)=0,SUM(COUNTIF(W600,"NS"),COUNTIF(W782,"NS"))&gt;0),"NS",IF(AND(SUM(W600,W782)=0,SUM(COUNTIF(W600,0),COUNTIF(W782,0))&gt;0),0,IF(AND(SUM(W600,W782)=0,SUM(COUNTIF(W600,"NA"),COUNTIF(W782,"NA"))&gt;0),"NA",SUM(W600,W782))))))</f>
        <v/>
      </c>
      <c r="X917" s="124" t="str">
        <f t="shared" si="375"/>
        <v/>
      </c>
      <c r="Y917" s="124" t="str">
        <f t="shared" si="375"/>
        <v/>
      </c>
      <c r="Z917" s="124" t="str">
        <f t="shared" si="375"/>
        <v/>
      </c>
      <c r="AA917" s="124" t="str">
        <f t="shared" si="375"/>
        <v/>
      </c>
      <c r="AB917" s="124" t="str">
        <f t="shared" si="375"/>
        <v/>
      </c>
      <c r="AC917" s="124" t="str">
        <f t="shared" si="375"/>
        <v/>
      </c>
      <c r="AD917" s="124" t="str">
        <f t="shared" si="375"/>
        <v/>
      </c>
    </row>
    <row r="918" spans="1:59" ht="15" customHeight="1">
      <c r="A918" s="50"/>
      <c r="B918" s="38"/>
      <c r="C918" s="733" t="s">
        <v>4944</v>
      </c>
      <c r="D918" s="734"/>
      <c r="E918" s="734"/>
      <c r="F918" s="735"/>
      <c r="G918" s="813" t="s">
        <v>4945</v>
      </c>
      <c r="H918" s="814"/>
      <c r="I918" s="814"/>
      <c r="J918" s="814"/>
      <c r="K918" s="814"/>
      <c r="L918" s="814"/>
      <c r="M918" s="814"/>
      <c r="N918" s="814"/>
      <c r="O918" s="814"/>
      <c r="P918" s="814"/>
      <c r="Q918" s="814"/>
      <c r="R918" s="814"/>
      <c r="S918" s="814"/>
      <c r="T918" s="814"/>
      <c r="U918" s="815"/>
      <c r="V918" s="124" t="str">
        <f t="shared" ref="V918:V923" si="376">IF(AND(V611="",V793=""),"",IF(AND(SUM(V611,V793)=0,SUM(COUNTIF(V611,"NS"),COUNTIF(V793,"NS"))&gt;0),"NS",IF(AND(SUM(V611,V793)=0,SUM(COUNTIF(V611,0),COUNTIF(V793,0))&gt;0),0,IF(AND(SUM(V611,V793)=0,SUM(COUNTIF(V611,"NA"),COUNTIF(V793,"NA"))&gt;0),"NA",SUM(V611,V793)))))</f>
        <v/>
      </c>
      <c r="W918" s="124" t="str">
        <f t="shared" ref="W918:AD918" si="377">IF(AND(W611="",W793=""),"",IF($V$918="NA","",IF(AND(SUM(W611,W793)=0,SUM(COUNTIF(W611,"NS"),COUNTIF(W793,"NS"))&gt;0),"NS",IF(AND(SUM(W611,W793)=0,SUM(COUNTIF(W611,0),COUNTIF(W793,0))&gt;0),0,IF(AND(SUM(W611,W793)=0,SUM(COUNTIF(W611,"NA"),COUNTIF(W793,"NA"))&gt;0),"NA",SUM(W611,W793))))))</f>
        <v/>
      </c>
      <c r="X918" s="124" t="str">
        <f t="shared" si="377"/>
        <v/>
      </c>
      <c r="Y918" s="124" t="str">
        <f t="shared" si="377"/>
        <v/>
      </c>
      <c r="Z918" s="124" t="str">
        <f t="shared" si="377"/>
        <v/>
      </c>
      <c r="AA918" s="124" t="str">
        <f t="shared" si="377"/>
        <v/>
      </c>
      <c r="AB918" s="124" t="str">
        <f t="shared" si="377"/>
        <v/>
      </c>
      <c r="AC918" s="124" t="str">
        <f t="shared" si="377"/>
        <v/>
      </c>
      <c r="AD918" s="124" t="str">
        <f t="shared" si="377"/>
        <v/>
      </c>
    </row>
    <row r="919" spans="1:59" ht="15" customHeight="1">
      <c r="A919" s="50"/>
      <c r="B919" s="38"/>
      <c r="C919" s="1119" t="s">
        <v>4946</v>
      </c>
      <c r="D919" s="1121"/>
      <c r="E919" s="1121"/>
      <c r="F919" s="1120"/>
      <c r="G919" s="174"/>
      <c r="H919" s="1126" t="s">
        <v>4947</v>
      </c>
      <c r="I919" s="1126"/>
      <c r="J919" s="1126"/>
      <c r="K919" s="1126"/>
      <c r="L919" s="1126"/>
      <c r="M919" s="1126"/>
      <c r="N919" s="1126"/>
      <c r="O919" s="1126"/>
      <c r="P919" s="1126"/>
      <c r="Q919" s="1126"/>
      <c r="R919" s="1126"/>
      <c r="S919" s="1126"/>
      <c r="T919" s="1126"/>
      <c r="U919" s="1127"/>
      <c r="V919" s="124" t="str">
        <f t="shared" si="376"/>
        <v/>
      </c>
      <c r="W919" s="124" t="str">
        <f t="shared" ref="W919:AD919" si="378">IF(AND(W612="",W794=""),"",IF($V$919="NA","",IF(AND(SUM(W612,W794)=0,SUM(COUNTIF(W612,"NS"),COUNTIF(W794,"NS"))&gt;0),"NS",IF(AND(SUM(W612,W794)=0,SUM(COUNTIF(W612,0),COUNTIF(W794,0))&gt;0),0,IF(AND(SUM(W612,W794)=0,SUM(COUNTIF(W612,"NA"),COUNTIF(W794,"NA"))&gt;0),"NA",SUM(W612,W794))))))</f>
        <v/>
      </c>
      <c r="X919" s="124" t="str">
        <f t="shared" si="378"/>
        <v/>
      </c>
      <c r="Y919" s="124" t="str">
        <f t="shared" si="378"/>
        <v/>
      </c>
      <c r="Z919" s="124" t="str">
        <f t="shared" si="378"/>
        <v/>
      </c>
      <c r="AA919" s="124" t="str">
        <f t="shared" si="378"/>
        <v/>
      </c>
      <c r="AB919" s="124" t="str">
        <f t="shared" si="378"/>
        <v/>
      </c>
      <c r="AC919" s="124" t="str">
        <f t="shared" si="378"/>
        <v/>
      </c>
      <c r="AD919" s="124" t="str">
        <f t="shared" si="378"/>
        <v/>
      </c>
    </row>
    <row r="920" spans="1:59" ht="15" customHeight="1">
      <c r="A920" s="50"/>
      <c r="B920" s="38"/>
      <c r="C920" s="1119" t="s">
        <v>4948</v>
      </c>
      <c r="D920" s="1121"/>
      <c r="E920" s="1121"/>
      <c r="F920" s="1120"/>
      <c r="G920" s="174"/>
      <c r="H920" s="1122" t="s">
        <v>4949</v>
      </c>
      <c r="I920" s="1122"/>
      <c r="J920" s="1122"/>
      <c r="K920" s="1122"/>
      <c r="L920" s="1122"/>
      <c r="M920" s="1122"/>
      <c r="N920" s="1122"/>
      <c r="O920" s="1122"/>
      <c r="P920" s="1122"/>
      <c r="Q920" s="1122"/>
      <c r="R920" s="1122"/>
      <c r="S920" s="1122"/>
      <c r="T920" s="1122"/>
      <c r="U920" s="1123"/>
      <c r="V920" s="124" t="str">
        <f t="shared" si="376"/>
        <v/>
      </c>
      <c r="W920" s="124" t="str">
        <f t="shared" ref="W920:AD920" si="379">IF(AND(W613="",W795=""),"",IF($V$920="NA","",IF(AND(SUM(W613,W795)=0,SUM(COUNTIF(W613,"NS"),COUNTIF(W795,"NS"))&gt;0),"NS",IF(AND(SUM(W613,W795)=0,SUM(COUNTIF(W613,0),COUNTIF(W795,0))&gt;0),0,IF(AND(SUM(W613,W795)=0,SUM(COUNTIF(W613,"NA"),COUNTIF(W795,"NA"))&gt;0),"NA",SUM(W613,W795))))))</f>
        <v/>
      </c>
      <c r="X920" s="124" t="str">
        <f t="shared" si="379"/>
        <v/>
      </c>
      <c r="Y920" s="124" t="str">
        <f t="shared" si="379"/>
        <v/>
      </c>
      <c r="Z920" s="124" t="str">
        <f t="shared" si="379"/>
        <v/>
      </c>
      <c r="AA920" s="124" t="str">
        <f t="shared" si="379"/>
        <v/>
      </c>
      <c r="AB920" s="124" t="str">
        <f t="shared" si="379"/>
        <v/>
      </c>
      <c r="AC920" s="124" t="str">
        <f t="shared" si="379"/>
        <v/>
      </c>
      <c r="AD920" s="124" t="str">
        <f t="shared" si="379"/>
        <v/>
      </c>
    </row>
    <row r="921" spans="1:59" ht="15" customHeight="1">
      <c r="A921" s="50"/>
      <c r="B921" s="38"/>
      <c r="C921" s="1119" t="s">
        <v>4950</v>
      </c>
      <c r="D921" s="1121"/>
      <c r="E921" s="1121"/>
      <c r="F921" s="1120"/>
      <c r="G921" s="174"/>
      <c r="H921" s="1122" t="s">
        <v>4951</v>
      </c>
      <c r="I921" s="1122"/>
      <c r="J921" s="1122"/>
      <c r="K921" s="1122"/>
      <c r="L921" s="1122"/>
      <c r="M921" s="1122"/>
      <c r="N921" s="1122"/>
      <c r="O921" s="1122"/>
      <c r="P921" s="1122"/>
      <c r="Q921" s="1122"/>
      <c r="R921" s="1122"/>
      <c r="S921" s="1122"/>
      <c r="T921" s="1122"/>
      <c r="U921" s="1123"/>
      <c r="V921" s="124" t="str">
        <f t="shared" si="376"/>
        <v/>
      </c>
      <c r="W921" s="124" t="str">
        <f t="shared" ref="W921:AD921" si="380">IF(AND(W614="",W796=""),"",IF($V$921="NA","",IF(AND(SUM(W614,W796)=0,SUM(COUNTIF(W614,"NS"),COUNTIF(W796,"NS"))&gt;0),"NS",IF(AND(SUM(W614,W796)=0,SUM(COUNTIF(W614,0),COUNTIF(W796,0))&gt;0),0,IF(AND(SUM(W614,W796)=0,SUM(COUNTIF(W614,"NA"),COUNTIF(W796,"NA"))&gt;0),"NA",SUM(W614,W796))))))</f>
        <v/>
      </c>
      <c r="X921" s="124" t="str">
        <f t="shared" si="380"/>
        <v/>
      </c>
      <c r="Y921" s="124" t="str">
        <f t="shared" si="380"/>
        <v/>
      </c>
      <c r="Z921" s="124" t="str">
        <f t="shared" si="380"/>
        <v/>
      </c>
      <c r="AA921" s="124" t="str">
        <f t="shared" si="380"/>
        <v/>
      </c>
      <c r="AB921" s="124" t="str">
        <f t="shared" si="380"/>
        <v/>
      </c>
      <c r="AC921" s="124" t="str">
        <f t="shared" si="380"/>
        <v/>
      </c>
      <c r="AD921" s="124" t="str">
        <f t="shared" si="380"/>
        <v/>
      </c>
    </row>
    <row r="922" spans="1:59" ht="15" customHeight="1">
      <c r="A922" s="50"/>
      <c r="B922" s="38"/>
      <c r="C922" s="1119" t="s">
        <v>4952</v>
      </c>
      <c r="D922" s="1121"/>
      <c r="E922" s="1121"/>
      <c r="F922" s="1120"/>
      <c r="G922" s="174"/>
      <c r="H922" s="1122" t="s">
        <v>4953</v>
      </c>
      <c r="I922" s="1122"/>
      <c r="J922" s="1122"/>
      <c r="K922" s="1122"/>
      <c r="L922" s="1122"/>
      <c r="M922" s="1122"/>
      <c r="N922" s="1122"/>
      <c r="O922" s="1122"/>
      <c r="P922" s="1122"/>
      <c r="Q922" s="1122"/>
      <c r="R922" s="1122"/>
      <c r="S922" s="1122"/>
      <c r="T922" s="1122"/>
      <c r="U922" s="1123"/>
      <c r="V922" s="124" t="str">
        <f t="shared" si="376"/>
        <v/>
      </c>
      <c r="W922" s="124" t="str">
        <f t="shared" ref="W922:AD922" si="381">IF(AND(W615="",W797=""),"",IF($V$922="NA","",IF(AND(SUM(W615,W797)=0,SUM(COUNTIF(W615,"NS"),COUNTIF(W797,"NS"))&gt;0),"NS",IF(AND(SUM(W615,W797)=0,SUM(COUNTIF(W615,0),COUNTIF(W797,0))&gt;0),0,IF(AND(SUM(W615,W797)=0,SUM(COUNTIF(W615,"NA"),COUNTIF(W797,"NA"))&gt;0),"NA",SUM(W615,W797))))))</f>
        <v/>
      </c>
      <c r="X922" s="124" t="str">
        <f t="shared" si="381"/>
        <v/>
      </c>
      <c r="Y922" s="124" t="str">
        <f t="shared" si="381"/>
        <v/>
      </c>
      <c r="Z922" s="124" t="str">
        <f t="shared" si="381"/>
        <v/>
      </c>
      <c r="AA922" s="124" t="str">
        <f t="shared" si="381"/>
        <v/>
      </c>
      <c r="AB922" s="124" t="str">
        <f t="shared" si="381"/>
        <v/>
      </c>
      <c r="AC922" s="124" t="str">
        <f t="shared" si="381"/>
        <v/>
      </c>
      <c r="AD922" s="124" t="str">
        <f t="shared" si="381"/>
        <v/>
      </c>
    </row>
    <row r="923" spans="1:59" ht="15" customHeight="1">
      <c r="A923" s="50"/>
      <c r="B923" s="38"/>
      <c r="C923" s="1119" t="s">
        <v>4954</v>
      </c>
      <c r="D923" s="1121"/>
      <c r="E923" s="1121"/>
      <c r="F923" s="1120"/>
      <c r="G923" s="174"/>
      <c r="H923" s="1124" t="s">
        <v>201</v>
      </c>
      <c r="I923" s="1124"/>
      <c r="J923" s="1124"/>
      <c r="K923" s="1124"/>
      <c r="L923" s="1124"/>
      <c r="M923" s="1124"/>
      <c r="N923" s="1124"/>
      <c r="O923" s="1124"/>
      <c r="P923" s="1124"/>
      <c r="Q923" s="1124"/>
      <c r="R923" s="1124"/>
      <c r="S923" s="1124"/>
      <c r="T923" s="1124"/>
      <c r="U923" s="1125"/>
      <c r="V923" s="124" t="str">
        <f t="shared" si="376"/>
        <v/>
      </c>
      <c r="W923" s="124" t="str">
        <f t="shared" ref="W923:AD923" si="382">IF(AND(W616="",W798=""),"",IF($V$923="NA","",IF(AND(SUM(W616,W798)=0,SUM(COUNTIF(W616,"NS"),COUNTIF(W798,"NS"))&gt;0),"NS",IF(AND(SUM(W616,W798)=0,SUM(COUNTIF(W616,0),COUNTIF(W798,0))&gt;0),0,IF(AND(SUM(W616,W798)=0,SUM(COUNTIF(W616,"NA"),COUNTIF(W798,"NA"))&gt;0),"NA",SUM(W616,W798))))))</f>
        <v/>
      </c>
      <c r="X923" s="124" t="str">
        <f t="shared" si="382"/>
        <v/>
      </c>
      <c r="Y923" s="124" t="str">
        <f t="shared" si="382"/>
        <v/>
      </c>
      <c r="Z923" s="124" t="str">
        <f t="shared" si="382"/>
        <v/>
      </c>
      <c r="AA923" s="124" t="str">
        <f t="shared" si="382"/>
        <v/>
      </c>
      <c r="AB923" s="124" t="str">
        <f t="shared" si="382"/>
        <v/>
      </c>
      <c r="AC923" s="124" t="str">
        <f t="shared" si="382"/>
        <v/>
      </c>
      <c r="AD923" s="124" t="str">
        <f t="shared" si="382"/>
        <v/>
      </c>
    </row>
    <row r="924" spans="1:59" ht="24" customHeight="1">
      <c r="A924" s="50"/>
      <c r="B924" s="38"/>
      <c r="C924" s="733" t="s">
        <v>4965</v>
      </c>
      <c r="D924" s="734"/>
      <c r="E924" s="734"/>
      <c r="F924" s="735"/>
      <c r="G924" s="813" t="s">
        <v>4966</v>
      </c>
      <c r="H924" s="814"/>
      <c r="I924" s="814"/>
      <c r="J924" s="814"/>
      <c r="K924" s="814"/>
      <c r="L924" s="814"/>
      <c r="M924" s="814"/>
      <c r="N924" s="814"/>
      <c r="O924" s="814"/>
      <c r="P924" s="814"/>
      <c r="Q924" s="814"/>
      <c r="R924" s="814"/>
      <c r="S924" s="814"/>
      <c r="T924" s="814"/>
      <c r="U924" s="815"/>
      <c r="V924" s="124" t="str">
        <f t="shared" ref="V924:V939" si="383">IF(AND(V621="",V803=""),"",IF(AND(SUM(V621,V803)=0,SUM(COUNTIF(V621,"NS"),COUNTIF(V803,"NS"))&gt;0),"NS",IF(AND(SUM(V621,V803)=0,SUM(COUNTIF(V621,0),COUNTIF(V803,0))&gt;0),0,IF(AND(SUM(V621,V803)=0,SUM(COUNTIF(V621,"NA"),COUNTIF(V803,"NA"))&gt;0),"NA",SUM(V621,V803)))))</f>
        <v/>
      </c>
      <c r="W924" s="124" t="str">
        <f t="shared" ref="W924:AD924" si="384">IF(AND(W621="",W803=""),"",IF($V$924="NA","",IF(AND(SUM(W621,W803)=0,SUM(COUNTIF(W621,"NS"),COUNTIF(W803,"NS"))&gt;0),"NS",IF(AND(SUM(W621,W803)=0,SUM(COUNTIF(W621,0),COUNTIF(W803,0))&gt;0),0,IF(AND(SUM(W621,W803)=0,SUM(COUNTIF(W621,"NA"),COUNTIF(W803,"NA"))&gt;0),"NA",SUM(W621,W803))))))</f>
        <v/>
      </c>
      <c r="X924" s="124" t="str">
        <f t="shared" si="384"/>
        <v/>
      </c>
      <c r="Y924" s="124" t="str">
        <f t="shared" si="384"/>
        <v/>
      </c>
      <c r="Z924" s="124" t="str">
        <f t="shared" si="384"/>
        <v/>
      </c>
      <c r="AA924" s="124" t="str">
        <f t="shared" si="384"/>
        <v/>
      </c>
      <c r="AB924" s="124" t="str">
        <f t="shared" si="384"/>
        <v/>
      </c>
      <c r="AC924" s="124" t="str">
        <f t="shared" si="384"/>
        <v/>
      </c>
      <c r="AD924" s="124" t="str">
        <f t="shared" si="384"/>
        <v/>
      </c>
    </row>
    <row r="925" spans="1:59" ht="15" customHeight="1">
      <c r="A925" s="50"/>
      <c r="B925" s="38"/>
      <c r="C925" s="1119" t="s">
        <v>4967</v>
      </c>
      <c r="D925" s="1121"/>
      <c r="E925" s="1121"/>
      <c r="F925" s="1120"/>
      <c r="G925" s="174"/>
      <c r="H925" s="1126" t="s">
        <v>4968</v>
      </c>
      <c r="I925" s="1126"/>
      <c r="J925" s="1126"/>
      <c r="K925" s="1126"/>
      <c r="L925" s="1126"/>
      <c r="M925" s="1126"/>
      <c r="N925" s="1126"/>
      <c r="O925" s="1126"/>
      <c r="P925" s="1126"/>
      <c r="Q925" s="1126"/>
      <c r="R925" s="1126"/>
      <c r="S925" s="1126"/>
      <c r="T925" s="1126"/>
      <c r="U925" s="1127"/>
      <c r="V925" s="124" t="str">
        <f t="shared" si="383"/>
        <v/>
      </c>
      <c r="W925" s="124" t="str">
        <f t="shared" ref="W925:AD925" si="385">IF(AND(W622="",W804=""),"",IF($V$925="NA","",IF(AND(SUM(W622,W804)=0,SUM(COUNTIF(W622,"NS"),COUNTIF(W804,"NS"))&gt;0),"NS",IF(AND(SUM(W622,W804)=0,SUM(COUNTIF(W622,0),COUNTIF(W804,0))&gt;0),0,IF(AND(SUM(W622,W804)=0,SUM(COUNTIF(W622,"NA"),COUNTIF(W804,"NA"))&gt;0),"NA",SUM(W622,W804))))))</f>
        <v/>
      </c>
      <c r="X925" s="124" t="str">
        <f t="shared" si="385"/>
        <v/>
      </c>
      <c r="Y925" s="124" t="str">
        <f t="shared" si="385"/>
        <v/>
      </c>
      <c r="Z925" s="124" t="str">
        <f t="shared" si="385"/>
        <v/>
      </c>
      <c r="AA925" s="124" t="str">
        <f t="shared" si="385"/>
        <v/>
      </c>
      <c r="AB925" s="124" t="str">
        <f t="shared" si="385"/>
        <v/>
      </c>
      <c r="AC925" s="124" t="str">
        <f t="shared" si="385"/>
        <v/>
      </c>
      <c r="AD925" s="124" t="str">
        <f t="shared" si="385"/>
        <v/>
      </c>
    </row>
    <row r="926" spans="1:59" ht="15" customHeight="1">
      <c r="A926" s="50"/>
      <c r="B926" s="38"/>
      <c r="C926" s="1119" t="s">
        <v>4969</v>
      </c>
      <c r="D926" s="1121"/>
      <c r="E926" s="1121"/>
      <c r="F926" s="1120"/>
      <c r="G926" s="174"/>
      <c r="H926" s="1122" t="s">
        <v>4970</v>
      </c>
      <c r="I926" s="1122"/>
      <c r="J926" s="1122"/>
      <c r="K926" s="1122"/>
      <c r="L926" s="1122"/>
      <c r="M926" s="1122"/>
      <c r="N926" s="1122"/>
      <c r="O926" s="1122"/>
      <c r="P926" s="1122"/>
      <c r="Q926" s="1122"/>
      <c r="R926" s="1122"/>
      <c r="S926" s="1122"/>
      <c r="T926" s="1122"/>
      <c r="U926" s="1123"/>
      <c r="V926" s="124" t="str">
        <f t="shared" si="383"/>
        <v/>
      </c>
      <c r="W926" s="124" t="str">
        <f t="shared" ref="W926:AD926" si="386">IF(AND(W623="",W805=""),"",IF($V$926="NA","",IF(AND(SUM(W623,W805)=0,SUM(COUNTIF(W623,"NS"),COUNTIF(W805,"NS"))&gt;0),"NS",IF(AND(SUM(W623,W805)=0,SUM(COUNTIF(W623,0),COUNTIF(W805,0))&gt;0),0,IF(AND(SUM(W623,W805)=0,SUM(COUNTIF(W623,"NA"),COUNTIF(W805,"NA"))&gt;0),"NA",SUM(W623,W805))))))</f>
        <v/>
      </c>
      <c r="X926" s="124" t="str">
        <f t="shared" si="386"/>
        <v/>
      </c>
      <c r="Y926" s="124" t="str">
        <f t="shared" si="386"/>
        <v/>
      </c>
      <c r="Z926" s="124" t="str">
        <f t="shared" si="386"/>
        <v/>
      </c>
      <c r="AA926" s="124" t="str">
        <f t="shared" si="386"/>
        <v/>
      </c>
      <c r="AB926" s="124" t="str">
        <f t="shared" si="386"/>
        <v/>
      </c>
      <c r="AC926" s="124" t="str">
        <f t="shared" si="386"/>
        <v/>
      </c>
      <c r="AD926" s="124" t="str">
        <f t="shared" si="386"/>
        <v/>
      </c>
    </row>
    <row r="927" spans="1:59" ht="15" customHeight="1">
      <c r="A927" s="50"/>
      <c r="B927" s="38"/>
      <c r="C927" s="1119" t="s">
        <v>4971</v>
      </c>
      <c r="D927" s="1121"/>
      <c r="E927" s="1121"/>
      <c r="F927" s="1120"/>
      <c r="G927" s="174"/>
      <c r="H927" s="1122" t="s">
        <v>4987</v>
      </c>
      <c r="I927" s="1122"/>
      <c r="J927" s="1122"/>
      <c r="K927" s="1122"/>
      <c r="L927" s="1122"/>
      <c r="M927" s="1122"/>
      <c r="N927" s="1122"/>
      <c r="O927" s="1122"/>
      <c r="P927" s="1122"/>
      <c r="Q927" s="1122"/>
      <c r="R927" s="1122"/>
      <c r="S927" s="1122"/>
      <c r="T927" s="1122"/>
      <c r="U927" s="1123"/>
      <c r="V927" s="124" t="str">
        <f t="shared" si="383"/>
        <v/>
      </c>
      <c r="W927" s="124" t="str">
        <f t="shared" ref="W927:AD927" si="387">IF(AND(W624="",W806=""),"",IF($V$927="NA","",IF(AND(SUM(W624,W806)=0,SUM(COUNTIF(W624,"NS"),COUNTIF(W806,"NS"))&gt;0),"NS",IF(AND(SUM(W624,W806)=0,SUM(COUNTIF(W624,0),COUNTIF(W806,0))&gt;0),0,IF(AND(SUM(W624,W806)=0,SUM(COUNTIF(W624,"NA"),COUNTIF(W806,"NA"))&gt;0),"NA",SUM(W624,W806))))))</f>
        <v/>
      </c>
      <c r="X927" s="124" t="str">
        <f t="shared" si="387"/>
        <v/>
      </c>
      <c r="Y927" s="124" t="str">
        <f t="shared" si="387"/>
        <v/>
      </c>
      <c r="Z927" s="124" t="str">
        <f t="shared" si="387"/>
        <v/>
      </c>
      <c r="AA927" s="124" t="str">
        <f t="shared" si="387"/>
        <v/>
      </c>
      <c r="AB927" s="124" t="str">
        <f t="shared" si="387"/>
        <v/>
      </c>
      <c r="AC927" s="124" t="str">
        <f t="shared" si="387"/>
        <v/>
      </c>
      <c r="AD927" s="124" t="str">
        <f t="shared" si="387"/>
        <v/>
      </c>
    </row>
    <row r="928" spans="1:59" ht="15" customHeight="1">
      <c r="A928" s="50"/>
      <c r="B928" s="38"/>
      <c r="C928" s="1119" t="s">
        <v>4973</v>
      </c>
      <c r="D928" s="1121"/>
      <c r="E928" s="1121"/>
      <c r="F928" s="1120"/>
      <c r="G928" s="174"/>
      <c r="H928" s="1122" t="s">
        <v>4974</v>
      </c>
      <c r="I928" s="1122"/>
      <c r="J928" s="1122"/>
      <c r="K928" s="1122"/>
      <c r="L928" s="1122"/>
      <c r="M928" s="1122"/>
      <c r="N928" s="1122"/>
      <c r="O928" s="1122"/>
      <c r="P928" s="1122"/>
      <c r="Q928" s="1122"/>
      <c r="R928" s="1122"/>
      <c r="S928" s="1122"/>
      <c r="T928" s="1122"/>
      <c r="U928" s="1123"/>
      <c r="V928" s="124" t="str">
        <f t="shared" si="383"/>
        <v/>
      </c>
      <c r="W928" s="124" t="str">
        <f t="shared" ref="W928:AD928" si="388">IF(AND(W625="",W807=""),"",IF($V$928="NA","",IF(AND(SUM(W625,W807)=0,SUM(COUNTIF(W625,"NS"),COUNTIF(W807,"NS"))&gt;0),"NS",IF(AND(SUM(W625,W807)=0,SUM(COUNTIF(W625,0),COUNTIF(W807,0))&gt;0),0,IF(AND(SUM(W625,W807)=0,SUM(COUNTIF(W625,"NA"),COUNTIF(W807,"NA"))&gt;0),"NA",SUM(W625,W807))))))</f>
        <v/>
      </c>
      <c r="X928" s="124" t="str">
        <f t="shared" si="388"/>
        <v/>
      </c>
      <c r="Y928" s="124" t="str">
        <f t="shared" si="388"/>
        <v/>
      </c>
      <c r="Z928" s="124" t="str">
        <f t="shared" si="388"/>
        <v/>
      </c>
      <c r="AA928" s="124" t="str">
        <f t="shared" si="388"/>
        <v/>
      </c>
      <c r="AB928" s="124" t="str">
        <f t="shared" si="388"/>
        <v/>
      </c>
      <c r="AC928" s="124" t="str">
        <f t="shared" si="388"/>
        <v/>
      </c>
      <c r="AD928" s="124" t="str">
        <f t="shared" si="388"/>
        <v/>
      </c>
    </row>
    <row r="929" spans="1:30" ht="24" customHeight="1">
      <c r="A929" s="50"/>
      <c r="B929" s="38"/>
      <c r="C929" s="1119" t="s">
        <v>4975</v>
      </c>
      <c r="D929" s="1121"/>
      <c r="E929" s="1121"/>
      <c r="F929" s="1120"/>
      <c r="G929" s="174"/>
      <c r="H929" s="1122" t="s">
        <v>4976</v>
      </c>
      <c r="I929" s="1122"/>
      <c r="J929" s="1122"/>
      <c r="K929" s="1122"/>
      <c r="L929" s="1122"/>
      <c r="M929" s="1122"/>
      <c r="N929" s="1122"/>
      <c r="O929" s="1122"/>
      <c r="P929" s="1122"/>
      <c r="Q929" s="1122"/>
      <c r="R929" s="1122"/>
      <c r="S929" s="1122"/>
      <c r="T929" s="1122"/>
      <c r="U929" s="1123"/>
      <c r="V929" s="124" t="str">
        <f t="shared" si="383"/>
        <v/>
      </c>
      <c r="W929" s="124" t="str">
        <f t="shared" ref="W929:AD929" si="389">IF(AND(W626="",W808=""),"",IF($V$929="NA","",IF(AND(SUM(W626,W808)=0,SUM(COUNTIF(W626,"NS"),COUNTIF(W808,"NS"))&gt;0),"NS",IF(AND(SUM(W626,W808)=0,SUM(COUNTIF(W626,0),COUNTIF(W808,0))&gt;0),0,IF(AND(SUM(W626,W808)=0,SUM(COUNTIF(W626,"NA"),COUNTIF(W808,"NA"))&gt;0),"NA",SUM(W626,W808))))))</f>
        <v/>
      </c>
      <c r="X929" s="124" t="str">
        <f t="shared" si="389"/>
        <v/>
      </c>
      <c r="Y929" s="124" t="str">
        <f t="shared" si="389"/>
        <v/>
      </c>
      <c r="Z929" s="124" t="str">
        <f t="shared" si="389"/>
        <v/>
      </c>
      <c r="AA929" s="124" t="str">
        <f t="shared" si="389"/>
        <v/>
      </c>
      <c r="AB929" s="124" t="str">
        <f t="shared" si="389"/>
        <v/>
      </c>
      <c r="AC929" s="124" t="str">
        <f t="shared" si="389"/>
        <v/>
      </c>
      <c r="AD929" s="124" t="str">
        <f t="shared" si="389"/>
        <v/>
      </c>
    </row>
    <row r="930" spans="1:30" ht="15" customHeight="1">
      <c r="A930" s="50"/>
      <c r="B930" s="38"/>
      <c r="C930" s="1119" t="s">
        <v>4977</v>
      </c>
      <c r="D930" s="1121"/>
      <c r="E930" s="1121"/>
      <c r="F930" s="1120"/>
      <c r="G930" s="174"/>
      <c r="H930" s="1124" t="s">
        <v>201</v>
      </c>
      <c r="I930" s="1124"/>
      <c r="J930" s="1124"/>
      <c r="K930" s="1124"/>
      <c r="L930" s="1124"/>
      <c r="M930" s="1124"/>
      <c r="N930" s="1124"/>
      <c r="O930" s="1124"/>
      <c r="P930" s="1124"/>
      <c r="Q930" s="1124"/>
      <c r="R930" s="1124"/>
      <c r="S930" s="1124"/>
      <c r="T930" s="1124"/>
      <c r="U930" s="1125"/>
      <c r="V930" s="124" t="str">
        <f t="shared" si="383"/>
        <v/>
      </c>
      <c r="W930" s="124" t="str">
        <f t="shared" ref="W930:AD930" si="390">IF(AND(W627="",W809=""),"",IF($V$930="NA","",IF(AND(SUM(W627,W809)=0,SUM(COUNTIF(W627,"NS"),COUNTIF(W809,"NS"))&gt;0),"NS",IF(AND(SUM(W627,W809)=0,SUM(COUNTIF(W627,0),COUNTIF(W809,0))&gt;0),0,IF(AND(SUM(W627,W809)=0,SUM(COUNTIF(W627,"NA"),COUNTIF(W809,"NA"))&gt;0),"NA",SUM(W627,W809))))))</f>
        <v/>
      </c>
      <c r="X930" s="124" t="str">
        <f t="shared" si="390"/>
        <v/>
      </c>
      <c r="Y930" s="124" t="str">
        <f t="shared" si="390"/>
        <v/>
      </c>
      <c r="Z930" s="124" t="str">
        <f t="shared" si="390"/>
        <v/>
      </c>
      <c r="AA930" s="124" t="str">
        <f t="shared" si="390"/>
        <v/>
      </c>
      <c r="AB930" s="124" t="str">
        <f t="shared" si="390"/>
        <v/>
      </c>
      <c r="AC930" s="124" t="str">
        <f t="shared" si="390"/>
        <v/>
      </c>
      <c r="AD930" s="124" t="str">
        <f t="shared" si="390"/>
        <v/>
      </c>
    </row>
    <row r="931" spans="1:30" ht="15" customHeight="1">
      <c r="A931" s="50"/>
      <c r="B931" s="38"/>
      <c r="C931" s="733" t="s">
        <v>4978</v>
      </c>
      <c r="D931" s="734"/>
      <c r="E931" s="734"/>
      <c r="F931" s="735"/>
      <c r="G931" s="813" t="s">
        <v>4979</v>
      </c>
      <c r="H931" s="814"/>
      <c r="I931" s="814"/>
      <c r="J931" s="814"/>
      <c r="K931" s="814"/>
      <c r="L931" s="814"/>
      <c r="M931" s="814"/>
      <c r="N931" s="814"/>
      <c r="O931" s="814"/>
      <c r="P931" s="814"/>
      <c r="Q931" s="814"/>
      <c r="R931" s="814"/>
      <c r="S931" s="814"/>
      <c r="T931" s="814"/>
      <c r="U931" s="815"/>
      <c r="V931" s="124" t="str">
        <f t="shared" si="383"/>
        <v/>
      </c>
      <c r="W931" s="124" t="str">
        <f t="shared" ref="W931:AD931" si="391">IF(AND(W628="",W810=""),"",IF($V$931="NA","",IF(AND(SUM(W628,W810)=0,SUM(COUNTIF(W628,"NS"),COUNTIF(W810,"NS"))&gt;0),"NS",IF(AND(SUM(W628,W810)=0,SUM(COUNTIF(W628,0),COUNTIF(W810,0))&gt;0),0,IF(AND(SUM(W628,W810)=0,SUM(COUNTIF(W628,"NA"),COUNTIF(W810,"NA"))&gt;0),"NA",SUM(W628,W810))))))</f>
        <v/>
      </c>
      <c r="X931" s="124" t="str">
        <f t="shared" si="391"/>
        <v/>
      </c>
      <c r="Y931" s="124" t="str">
        <f t="shared" si="391"/>
        <v/>
      </c>
      <c r="Z931" s="124" t="str">
        <f t="shared" si="391"/>
        <v/>
      </c>
      <c r="AA931" s="124" t="str">
        <f t="shared" si="391"/>
        <v/>
      </c>
      <c r="AB931" s="124" t="str">
        <f t="shared" si="391"/>
        <v/>
      </c>
      <c r="AC931" s="124" t="str">
        <f t="shared" si="391"/>
        <v/>
      </c>
      <c r="AD931" s="124" t="str">
        <f t="shared" si="391"/>
        <v/>
      </c>
    </row>
    <row r="932" spans="1:30" ht="15" customHeight="1">
      <c r="A932" s="50"/>
      <c r="B932" s="38"/>
      <c r="C932" s="1119" t="s">
        <v>4980</v>
      </c>
      <c r="D932" s="1121"/>
      <c r="E932" s="1121"/>
      <c r="F932" s="1120"/>
      <c r="G932" s="174"/>
      <c r="H932" s="1115" t="s">
        <v>4981</v>
      </c>
      <c r="I932" s="1115"/>
      <c r="J932" s="1115"/>
      <c r="K932" s="1115"/>
      <c r="L932" s="1115"/>
      <c r="M932" s="1115"/>
      <c r="N932" s="1115"/>
      <c r="O932" s="1115"/>
      <c r="P932" s="1115"/>
      <c r="Q932" s="1115"/>
      <c r="R932" s="1115"/>
      <c r="S932" s="1115"/>
      <c r="T932" s="1115"/>
      <c r="U932" s="1116"/>
      <c r="V932" s="124" t="str">
        <f t="shared" si="383"/>
        <v/>
      </c>
      <c r="W932" s="124" t="str">
        <f t="shared" ref="W932:AD932" si="392">IF(AND(W629="",W811=""),"",IF($V$932="NA","",IF(AND(SUM(W629,W811)=0,SUM(COUNTIF(W629,"NS"),COUNTIF(W811,"NS"))&gt;0),"NS",IF(AND(SUM(W629,W811)=0,SUM(COUNTIF(W629,0),COUNTIF(W811,0))&gt;0),0,IF(AND(SUM(W629,W811)=0,SUM(COUNTIF(W629,"NA"),COUNTIF(W811,"NA"))&gt;0),"NA",SUM(W629,W811))))))</f>
        <v/>
      </c>
      <c r="X932" s="124" t="str">
        <f t="shared" si="392"/>
        <v/>
      </c>
      <c r="Y932" s="124" t="str">
        <f t="shared" si="392"/>
        <v/>
      </c>
      <c r="Z932" s="124" t="str">
        <f t="shared" si="392"/>
        <v/>
      </c>
      <c r="AA932" s="124" t="str">
        <f t="shared" si="392"/>
        <v/>
      </c>
      <c r="AB932" s="124" t="str">
        <f t="shared" si="392"/>
        <v/>
      </c>
      <c r="AC932" s="124" t="str">
        <f t="shared" si="392"/>
        <v/>
      </c>
      <c r="AD932" s="124" t="str">
        <f t="shared" si="392"/>
        <v/>
      </c>
    </row>
    <row r="933" spans="1:30" ht="15" customHeight="1">
      <c r="A933" s="50"/>
      <c r="B933" s="38"/>
      <c r="C933" s="1119" t="s">
        <v>4982</v>
      </c>
      <c r="D933" s="1121"/>
      <c r="E933" s="1121"/>
      <c r="F933" s="1120"/>
      <c r="G933" s="174"/>
      <c r="H933" s="1111" t="s">
        <v>4983</v>
      </c>
      <c r="I933" s="1111"/>
      <c r="J933" s="1111"/>
      <c r="K933" s="1111"/>
      <c r="L933" s="1111"/>
      <c r="M933" s="1111"/>
      <c r="N933" s="1111"/>
      <c r="O933" s="1111"/>
      <c r="P933" s="1111"/>
      <c r="Q933" s="1111"/>
      <c r="R933" s="1111"/>
      <c r="S933" s="1111"/>
      <c r="T933" s="1111"/>
      <c r="U933" s="1112"/>
      <c r="V933" s="124" t="str">
        <f t="shared" si="383"/>
        <v/>
      </c>
      <c r="W933" s="124" t="str">
        <f t="shared" ref="W933:AD933" si="393">IF(AND(W630="",W812=""),"",IF($V$933="NA","",IF(AND(SUM(W630,W812)=0,SUM(COUNTIF(W630,"NS"),COUNTIF(W812,"NS"))&gt;0),"NS",IF(AND(SUM(W630,W812)=0,SUM(COUNTIF(W630,0),COUNTIF(W812,0))&gt;0),0,IF(AND(SUM(W630,W812)=0,SUM(COUNTIF(W630,"NA"),COUNTIF(W812,"NA"))&gt;0),"NA",SUM(W630,W812))))))</f>
        <v/>
      </c>
      <c r="X933" s="124" t="str">
        <f t="shared" si="393"/>
        <v/>
      </c>
      <c r="Y933" s="124" t="str">
        <f t="shared" si="393"/>
        <v/>
      </c>
      <c r="Z933" s="124" t="str">
        <f t="shared" si="393"/>
        <v/>
      </c>
      <c r="AA933" s="124" t="str">
        <f t="shared" si="393"/>
        <v/>
      </c>
      <c r="AB933" s="124" t="str">
        <f t="shared" si="393"/>
        <v/>
      </c>
      <c r="AC933" s="124" t="str">
        <f t="shared" si="393"/>
        <v/>
      </c>
      <c r="AD933" s="124" t="str">
        <f t="shared" si="393"/>
        <v/>
      </c>
    </row>
    <row r="934" spans="1:30" ht="15" customHeight="1">
      <c r="A934" s="50"/>
      <c r="B934" s="38"/>
      <c r="C934" s="1119" t="s">
        <v>4984</v>
      </c>
      <c r="D934" s="1121"/>
      <c r="E934" s="1121"/>
      <c r="F934" s="1120"/>
      <c r="G934" s="174"/>
      <c r="H934" s="1111" t="s">
        <v>4985</v>
      </c>
      <c r="I934" s="1111"/>
      <c r="J934" s="1111"/>
      <c r="K934" s="1111"/>
      <c r="L934" s="1111"/>
      <c r="M934" s="1111"/>
      <c r="N934" s="1111"/>
      <c r="O934" s="1111"/>
      <c r="P934" s="1111"/>
      <c r="Q934" s="1111"/>
      <c r="R934" s="1111"/>
      <c r="S934" s="1111"/>
      <c r="T934" s="1111"/>
      <c r="U934" s="1112"/>
      <c r="V934" s="124" t="str">
        <f t="shared" si="383"/>
        <v/>
      </c>
      <c r="W934" s="124" t="str">
        <f t="shared" ref="W934:AD934" si="394">IF(AND(W631="",W813=""),"",IF($V$934="NA","",IF(AND(SUM(W631,W813)=0,SUM(COUNTIF(W631,"NS"),COUNTIF(W813,"NS"))&gt;0),"NS",IF(AND(SUM(W631,W813)=0,SUM(COUNTIF(W631,0),COUNTIF(W813,0))&gt;0),0,IF(AND(SUM(W631,W813)=0,SUM(COUNTIF(W631,"NA"),COUNTIF(W813,"NA"))&gt;0),"NA",SUM(W631,W813))))))</f>
        <v/>
      </c>
      <c r="X934" s="124" t="str">
        <f t="shared" si="394"/>
        <v/>
      </c>
      <c r="Y934" s="124" t="str">
        <f t="shared" si="394"/>
        <v/>
      </c>
      <c r="Z934" s="124" t="str">
        <f t="shared" si="394"/>
        <v/>
      </c>
      <c r="AA934" s="124" t="str">
        <f t="shared" si="394"/>
        <v/>
      </c>
      <c r="AB934" s="124" t="str">
        <f t="shared" si="394"/>
        <v/>
      </c>
      <c r="AC934" s="124" t="str">
        <f t="shared" si="394"/>
        <v/>
      </c>
      <c r="AD934" s="124" t="str">
        <f t="shared" si="394"/>
        <v/>
      </c>
    </row>
    <row r="935" spans="1:30" ht="15" customHeight="1">
      <c r="A935" s="50"/>
      <c r="B935" s="38"/>
      <c r="C935" s="1119" t="s">
        <v>4986</v>
      </c>
      <c r="D935" s="1121"/>
      <c r="E935" s="1121"/>
      <c r="F935" s="1120"/>
      <c r="G935" s="174"/>
      <c r="H935" s="1111" t="s">
        <v>4987</v>
      </c>
      <c r="I935" s="1111"/>
      <c r="J935" s="1111"/>
      <c r="K935" s="1111"/>
      <c r="L935" s="1111"/>
      <c r="M935" s="1111"/>
      <c r="N935" s="1111"/>
      <c r="O935" s="1111"/>
      <c r="P935" s="1111"/>
      <c r="Q935" s="1111"/>
      <c r="R935" s="1111"/>
      <c r="S935" s="1111"/>
      <c r="T935" s="1111"/>
      <c r="U935" s="1112"/>
      <c r="V935" s="124" t="str">
        <f t="shared" si="383"/>
        <v/>
      </c>
      <c r="W935" s="124" t="str">
        <f t="shared" ref="W935:AD935" si="395">IF(AND(W632="",W814=""),"",IF($V$935="NA","",IF(AND(SUM(W632,W814)=0,SUM(COUNTIF(W632,"NS"),COUNTIF(W814,"NS"))&gt;0),"NS",IF(AND(SUM(W632,W814)=0,SUM(COUNTIF(W632,0),COUNTIF(W814,0))&gt;0),0,IF(AND(SUM(W632,W814)=0,SUM(COUNTIF(W632,"NA"),COUNTIF(W814,"NA"))&gt;0),"NA",SUM(W632,W814))))))</f>
        <v/>
      </c>
      <c r="X935" s="124" t="str">
        <f t="shared" si="395"/>
        <v/>
      </c>
      <c r="Y935" s="124" t="str">
        <f t="shared" si="395"/>
        <v/>
      </c>
      <c r="Z935" s="124" t="str">
        <f t="shared" si="395"/>
        <v/>
      </c>
      <c r="AA935" s="124" t="str">
        <f t="shared" si="395"/>
        <v/>
      </c>
      <c r="AB935" s="124" t="str">
        <f t="shared" si="395"/>
        <v/>
      </c>
      <c r="AC935" s="124" t="str">
        <f t="shared" si="395"/>
        <v/>
      </c>
      <c r="AD935" s="124" t="str">
        <f t="shared" si="395"/>
        <v/>
      </c>
    </row>
    <row r="936" spans="1:30" ht="15" customHeight="1">
      <c r="A936" s="50"/>
      <c r="B936" s="38"/>
      <c r="C936" s="1119" t="s">
        <v>4988</v>
      </c>
      <c r="D936" s="1121"/>
      <c r="E936" s="1121"/>
      <c r="F936" s="1120"/>
      <c r="G936" s="174"/>
      <c r="H936" s="1111" t="s">
        <v>4989</v>
      </c>
      <c r="I936" s="1111"/>
      <c r="J936" s="1111"/>
      <c r="K936" s="1111"/>
      <c r="L936" s="1111"/>
      <c r="M936" s="1111"/>
      <c r="N936" s="1111"/>
      <c r="O936" s="1111"/>
      <c r="P936" s="1111"/>
      <c r="Q936" s="1111"/>
      <c r="R936" s="1111"/>
      <c r="S936" s="1111"/>
      <c r="T936" s="1111"/>
      <c r="U936" s="1112"/>
      <c r="V936" s="124" t="str">
        <f t="shared" si="383"/>
        <v/>
      </c>
      <c r="W936" s="124" t="str">
        <f t="shared" ref="W936:AD936" si="396">IF(AND(W633="",W815=""),"",IF($V$936="NA","",IF(AND(SUM(W633,W815)=0,SUM(COUNTIF(W633,"NS"),COUNTIF(W815,"NS"))&gt;0),"NS",IF(AND(SUM(W633,W815)=0,SUM(COUNTIF(W633,0),COUNTIF(W815,0))&gt;0),0,IF(AND(SUM(W633,W815)=0,SUM(COUNTIF(W633,"NA"),COUNTIF(W815,"NA"))&gt;0),"NA",SUM(W633,W815))))))</f>
        <v/>
      </c>
      <c r="X936" s="124" t="str">
        <f t="shared" si="396"/>
        <v/>
      </c>
      <c r="Y936" s="124" t="str">
        <f t="shared" si="396"/>
        <v/>
      </c>
      <c r="Z936" s="124" t="str">
        <f t="shared" si="396"/>
        <v/>
      </c>
      <c r="AA936" s="124" t="str">
        <f t="shared" si="396"/>
        <v/>
      </c>
      <c r="AB936" s="124" t="str">
        <f t="shared" si="396"/>
        <v/>
      </c>
      <c r="AC936" s="124" t="str">
        <f t="shared" si="396"/>
        <v/>
      </c>
      <c r="AD936" s="124" t="str">
        <f t="shared" si="396"/>
        <v/>
      </c>
    </row>
    <row r="937" spans="1:30" ht="15" customHeight="1">
      <c r="A937" s="50"/>
      <c r="B937" s="38"/>
      <c r="C937" s="1119" t="s">
        <v>4990</v>
      </c>
      <c r="D937" s="1121"/>
      <c r="E937" s="1121"/>
      <c r="F937" s="1120"/>
      <c r="G937" s="174"/>
      <c r="H937" s="1111" t="s">
        <v>4991</v>
      </c>
      <c r="I937" s="1111"/>
      <c r="J937" s="1111"/>
      <c r="K937" s="1111"/>
      <c r="L937" s="1111"/>
      <c r="M937" s="1111"/>
      <c r="N937" s="1111"/>
      <c r="O937" s="1111"/>
      <c r="P937" s="1111"/>
      <c r="Q937" s="1111"/>
      <c r="R937" s="1111"/>
      <c r="S937" s="1111"/>
      <c r="T937" s="1111"/>
      <c r="U937" s="1112"/>
      <c r="V937" s="124" t="str">
        <f t="shared" si="383"/>
        <v/>
      </c>
      <c r="W937" s="124" t="str">
        <f t="shared" ref="W937:AD937" si="397">IF(AND(W634="",W816=""),"",IF($V$937="NA","",IF(AND(SUM(W634,W816)=0,SUM(COUNTIF(W634,"NS"),COUNTIF(W816,"NS"))&gt;0),"NS",IF(AND(SUM(W634,W816)=0,SUM(COUNTIF(W634,0),COUNTIF(W816,0))&gt;0),0,IF(AND(SUM(W634,W816)=0,SUM(COUNTIF(W634,"NA"),COUNTIF(W816,"NA"))&gt;0),"NA",SUM(W634,W816))))))</f>
        <v/>
      </c>
      <c r="X937" s="124" t="str">
        <f t="shared" si="397"/>
        <v/>
      </c>
      <c r="Y937" s="124" t="str">
        <f t="shared" si="397"/>
        <v/>
      </c>
      <c r="Z937" s="124" t="str">
        <f t="shared" si="397"/>
        <v/>
      </c>
      <c r="AA937" s="124" t="str">
        <f t="shared" si="397"/>
        <v/>
      </c>
      <c r="AB937" s="124" t="str">
        <f t="shared" si="397"/>
        <v/>
      </c>
      <c r="AC937" s="124" t="str">
        <f t="shared" si="397"/>
        <v/>
      </c>
      <c r="AD937" s="124" t="str">
        <f t="shared" si="397"/>
        <v/>
      </c>
    </row>
    <row r="938" spans="1:30" ht="15" customHeight="1">
      <c r="A938" s="50"/>
      <c r="B938" s="38"/>
      <c r="C938" s="1119" t="s">
        <v>4992</v>
      </c>
      <c r="D938" s="1121"/>
      <c r="E938" s="1121"/>
      <c r="F938" s="1120"/>
      <c r="G938" s="174"/>
      <c r="H938" s="1111" t="s">
        <v>4993</v>
      </c>
      <c r="I938" s="1111"/>
      <c r="J938" s="1111"/>
      <c r="K938" s="1111"/>
      <c r="L938" s="1111"/>
      <c r="M938" s="1111"/>
      <c r="N938" s="1111"/>
      <c r="O938" s="1111"/>
      <c r="P938" s="1111"/>
      <c r="Q938" s="1111"/>
      <c r="R938" s="1111"/>
      <c r="S938" s="1111"/>
      <c r="T938" s="1111"/>
      <c r="U938" s="1112"/>
      <c r="V938" s="124" t="str">
        <f t="shared" si="383"/>
        <v/>
      </c>
      <c r="W938" s="124" t="str">
        <f t="shared" ref="W938:AD938" si="398">IF(AND(W635="",W817=""),"",IF($V$938="NA","",IF(AND(SUM(W635,W817)=0,SUM(COUNTIF(W635,"NS"),COUNTIF(W817,"NS"))&gt;0),"NS",IF(AND(SUM(W635,W817)=0,SUM(COUNTIF(W635,0),COUNTIF(W817,0))&gt;0),0,IF(AND(SUM(W635,W817)=0,SUM(COUNTIF(W635,"NA"),COUNTIF(W817,"NA"))&gt;0),"NA",SUM(W635,W817))))))</f>
        <v/>
      </c>
      <c r="X938" s="124" t="str">
        <f t="shared" si="398"/>
        <v/>
      </c>
      <c r="Y938" s="124" t="str">
        <f t="shared" si="398"/>
        <v/>
      </c>
      <c r="Z938" s="124" t="str">
        <f t="shared" si="398"/>
        <v/>
      </c>
      <c r="AA938" s="124" t="str">
        <f t="shared" si="398"/>
        <v/>
      </c>
      <c r="AB938" s="124" t="str">
        <f t="shared" si="398"/>
        <v/>
      </c>
      <c r="AC938" s="124" t="str">
        <f t="shared" si="398"/>
        <v/>
      </c>
      <c r="AD938" s="124" t="str">
        <f t="shared" si="398"/>
        <v/>
      </c>
    </row>
    <row r="939" spans="1:30" ht="15" customHeight="1">
      <c r="A939" s="50"/>
      <c r="B939" s="38"/>
      <c r="C939" s="1119" t="s">
        <v>4994</v>
      </c>
      <c r="D939" s="1121"/>
      <c r="E939" s="1121"/>
      <c r="F939" s="1120"/>
      <c r="G939" s="174"/>
      <c r="H939" s="1113" t="s">
        <v>201</v>
      </c>
      <c r="I939" s="1113"/>
      <c r="J939" s="1113"/>
      <c r="K939" s="1113"/>
      <c r="L939" s="1113"/>
      <c r="M939" s="1113"/>
      <c r="N939" s="1113"/>
      <c r="O939" s="1113"/>
      <c r="P939" s="1113"/>
      <c r="Q939" s="1113"/>
      <c r="R939" s="1113"/>
      <c r="S939" s="1113"/>
      <c r="T939" s="1113"/>
      <c r="U939" s="1114"/>
      <c r="V939" s="124" t="str">
        <f t="shared" si="383"/>
        <v/>
      </c>
      <c r="W939" s="124" t="str">
        <f t="shared" ref="W939:AD939" si="399">IF(AND(W636="",W818=""),"",IF($V$939="NA","",IF(AND(SUM(W636,W818)=0,SUM(COUNTIF(W636,"NS"),COUNTIF(W818,"NS"))&gt;0),"NS",IF(AND(SUM(W636,W818)=0,SUM(COUNTIF(W636,0),COUNTIF(W818,0))&gt;0),0,IF(AND(SUM(W636,W818)=0,SUM(COUNTIF(W636,"NA"),COUNTIF(W818,"NA"))&gt;0),"NA",SUM(W636,W818))))))</f>
        <v/>
      </c>
      <c r="X939" s="124" t="str">
        <f t="shared" si="399"/>
        <v/>
      </c>
      <c r="Y939" s="124" t="str">
        <f t="shared" si="399"/>
        <v/>
      </c>
      <c r="Z939" s="124" t="str">
        <f t="shared" si="399"/>
        <v/>
      </c>
      <c r="AA939" s="124" t="str">
        <f t="shared" si="399"/>
        <v/>
      </c>
      <c r="AB939" s="124" t="str">
        <f t="shared" si="399"/>
        <v/>
      </c>
      <c r="AC939" s="124" t="str">
        <f t="shared" si="399"/>
        <v/>
      </c>
      <c r="AD939" s="124" t="str">
        <f t="shared" si="399"/>
        <v/>
      </c>
    </row>
    <row r="940" spans="1:30" ht="15" customHeight="1">
      <c r="A940" s="50"/>
      <c r="B940" s="38"/>
      <c r="C940" s="733" t="s">
        <v>5028</v>
      </c>
      <c r="D940" s="734"/>
      <c r="E940" s="734"/>
      <c r="F940" s="735"/>
      <c r="G940" s="796" t="s">
        <v>5029</v>
      </c>
      <c r="H940" s="796"/>
      <c r="I940" s="796"/>
      <c r="J940" s="796"/>
      <c r="K940" s="796"/>
      <c r="L940" s="796"/>
      <c r="M940" s="796"/>
      <c r="N940" s="796"/>
      <c r="O940" s="796"/>
      <c r="P940" s="796"/>
      <c r="Q940" s="796"/>
      <c r="R940" s="796"/>
      <c r="S940" s="796"/>
      <c r="T940" s="796"/>
      <c r="U940" s="796"/>
      <c r="V940" s="124" t="str">
        <f>IF(AND(V653="",V835=""),"",IF(AND(SUM(V653,V835)=0,SUM(COUNTIF(V653,"NS"),COUNTIF(V835,"NS"))&gt;0),"NS",IF(AND(SUM(V653,V835)=0,SUM(COUNTIF(V653,0),COUNTIF(V835,0))&gt;0),0,IF(AND(SUM(V653,V835)=0,SUM(COUNTIF(V653,"NA"),COUNTIF(V835,"NA"))&gt;0),"NA",SUM(V653,V835)))))</f>
        <v/>
      </c>
      <c r="W940" s="124" t="str">
        <f t="shared" ref="W940:AD940" si="400">IF(AND(W653="",W835=""),"",IF($V$940="NA","",IF(AND(SUM(W653,W835)=0,SUM(COUNTIF(W653,"NS"),COUNTIF(W835,"NS"))&gt;0),"NS",IF(AND(SUM(W653,W835)=0,SUM(COUNTIF(W653,0),COUNTIF(W835,0))&gt;0),0,IF(AND(SUM(W653,W835)=0,SUM(COUNTIF(W653,"NA"),COUNTIF(W835,"NA"))&gt;0),"NA",SUM(W653,W835))))))</f>
        <v/>
      </c>
      <c r="X940" s="124" t="str">
        <f t="shared" si="400"/>
        <v/>
      </c>
      <c r="Y940" s="124" t="str">
        <f t="shared" si="400"/>
        <v/>
      </c>
      <c r="Z940" s="124" t="str">
        <f t="shared" si="400"/>
        <v/>
      </c>
      <c r="AA940" s="124" t="str">
        <f t="shared" si="400"/>
        <v/>
      </c>
      <c r="AB940" s="124" t="str">
        <f t="shared" si="400"/>
        <v/>
      </c>
      <c r="AC940" s="124" t="str">
        <f t="shared" si="400"/>
        <v/>
      </c>
      <c r="AD940" s="124" t="str">
        <f t="shared" si="400"/>
        <v/>
      </c>
    </row>
    <row r="941" spans="1:30" ht="15" customHeight="1">
      <c r="A941" s="50"/>
      <c r="B941" s="38"/>
      <c r="C941" s="733" t="s">
        <v>5100</v>
      </c>
      <c r="D941" s="734"/>
      <c r="E941" s="734"/>
      <c r="F941" s="735"/>
      <c r="G941" s="813" t="s">
        <v>5141</v>
      </c>
      <c r="H941" s="814"/>
      <c r="I941" s="814"/>
      <c r="J941" s="814"/>
      <c r="K941" s="814"/>
      <c r="L941" s="814"/>
      <c r="M941" s="814"/>
      <c r="N941" s="814"/>
      <c r="O941" s="814"/>
      <c r="P941" s="814"/>
      <c r="Q941" s="814"/>
      <c r="R941" s="814"/>
      <c r="S941" s="814"/>
      <c r="T941" s="814"/>
      <c r="U941" s="815"/>
      <c r="V941" s="124" t="str">
        <f>IF(AND(V690="",V872=""),"",IF(AND(SUM(V690,V872)=0,SUM(COUNTIF(V690,"NS"),COUNTIF(V872,"NS"))&gt;0),"NS",IF(AND(SUM(V690,V872)=0,SUM(COUNTIF(V690,0),COUNTIF(V872,0))&gt;0),0,IF(AND(SUM(V690,V872)=0,SUM(COUNTIF(V690,"NA"),COUNTIF(V872,"NA"))&gt;0),"NA",SUM(V690,V872)))))</f>
        <v/>
      </c>
      <c r="W941" s="124" t="str">
        <f t="shared" ref="W941:AD941" si="401">IF(AND(W690="",W872=""),"",IF($V$941="NA","",IF(AND(SUM(W690,W872)=0,SUM(COUNTIF(W690,"NS"),COUNTIF(W872,"NS"))&gt;0),"NS",IF(AND(SUM(W690,W872)=0,SUM(COUNTIF(W690,0),COUNTIF(W872,0))&gt;0),0,IF(AND(SUM(W690,W872)=0,SUM(COUNTIF(W690,"NA"),COUNTIF(W872,"NA"))&gt;0),"NA",SUM(W690,W872))))))</f>
        <v/>
      </c>
      <c r="X941" s="124" t="str">
        <f t="shared" si="401"/>
        <v/>
      </c>
      <c r="Y941" s="124" t="str">
        <f t="shared" si="401"/>
        <v/>
      </c>
      <c r="Z941" s="124" t="str">
        <f t="shared" si="401"/>
        <v/>
      </c>
      <c r="AA941" s="124" t="str">
        <f t="shared" si="401"/>
        <v/>
      </c>
      <c r="AB941" s="124" t="str">
        <f t="shared" si="401"/>
        <v/>
      </c>
      <c r="AC941" s="124" t="str">
        <f t="shared" si="401"/>
        <v/>
      </c>
      <c r="AD941" s="124" t="str">
        <f t="shared" si="401"/>
        <v/>
      </c>
    </row>
    <row r="942" spans="1:30" ht="15" customHeight="1">
      <c r="A942" s="108"/>
      <c r="B942" s="38"/>
      <c r="C942" s="38"/>
      <c r="D942" s="38"/>
      <c r="E942" s="38"/>
      <c r="F942" s="38"/>
      <c r="G942" s="38"/>
      <c r="H942" s="38"/>
      <c r="I942" s="38"/>
      <c r="J942" s="38"/>
      <c r="K942" s="38"/>
      <c r="L942" s="38"/>
      <c r="M942" s="38"/>
      <c r="N942" s="38"/>
      <c r="O942" s="38"/>
      <c r="P942" s="38"/>
      <c r="Q942" s="38"/>
      <c r="R942" s="38"/>
      <c r="S942" s="38"/>
      <c r="T942" s="38"/>
      <c r="U942" s="38"/>
      <c r="V942" s="38"/>
      <c r="W942" s="38"/>
      <c r="X942" s="38"/>
      <c r="Y942" s="38"/>
      <c r="Z942" s="38"/>
      <c r="AA942" s="38"/>
      <c r="AB942" s="38"/>
      <c r="AC942" s="38"/>
      <c r="AD942" s="38"/>
    </row>
    <row r="943" spans="1:30" ht="24" customHeight="1">
      <c r="A943" s="108"/>
      <c r="B943" s="38"/>
      <c r="C943" s="754" t="s">
        <v>2611</v>
      </c>
      <c r="D943" s="754"/>
      <c r="E943" s="754"/>
      <c r="F943" s="754"/>
      <c r="G943" s="754"/>
      <c r="H943" s="754"/>
      <c r="I943" s="754"/>
      <c r="J943" s="754"/>
      <c r="K943" s="754"/>
      <c r="L943" s="754"/>
      <c r="M943" s="754"/>
      <c r="N943" s="754"/>
      <c r="O943" s="754"/>
      <c r="P943" s="754"/>
      <c r="Q943" s="754"/>
      <c r="R943" s="754"/>
      <c r="S943" s="754"/>
      <c r="T943" s="754"/>
      <c r="U943" s="754"/>
      <c r="V943" s="754"/>
      <c r="W943" s="754"/>
      <c r="X943" s="754"/>
      <c r="Y943" s="754"/>
      <c r="Z943" s="754"/>
      <c r="AA943" s="754"/>
      <c r="AB943" s="754"/>
      <c r="AC943" s="754"/>
      <c r="AD943" s="754"/>
    </row>
    <row r="944" spans="1:30" ht="60" customHeight="1">
      <c r="A944" s="108"/>
      <c r="B944" s="38"/>
      <c r="C944" s="851"/>
      <c r="D944" s="851"/>
      <c r="E944" s="851"/>
      <c r="F944" s="851"/>
      <c r="G944" s="851"/>
      <c r="H944" s="851"/>
      <c r="I944" s="851"/>
      <c r="J944" s="851"/>
      <c r="K944" s="851"/>
      <c r="L944" s="851"/>
      <c r="M944" s="851"/>
      <c r="N944" s="851"/>
      <c r="O944" s="851"/>
      <c r="P944" s="851"/>
      <c r="Q944" s="851"/>
      <c r="R944" s="851"/>
      <c r="S944" s="851"/>
      <c r="T944" s="851"/>
      <c r="U944" s="851"/>
      <c r="V944" s="851"/>
      <c r="W944" s="851"/>
      <c r="X944" s="851"/>
      <c r="Y944" s="851"/>
      <c r="Z944" s="851"/>
      <c r="AA944" s="851"/>
      <c r="AB944" s="851"/>
      <c r="AC944" s="851"/>
      <c r="AD944" s="851"/>
    </row>
    <row r="945" spans="1:51" ht="15" customHeight="1">
      <c r="A945" s="108"/>
      <c r="B945" s="1003" t="str">
        <f>IF(AG910=0,"","Favor de ingresar toda la información requerida en la pregunta")</f>
        <v/>
      </c>
      <c r="C945" s="1003"/>
      <c r="D945" s="1003"/>
      <c r="E945" s="1003"/>
      <c r="F945" s="1003"/>
      <c r="G945" s="1003"/>
      <c r="H945" s="1003"/>
      <c r="I945" s="1003"/>
      <c r="J945" s="1003"/>
      <c r="K945" s="1003"/>
      <c r="L945" s="1003"/>
      <c r="M945" s="1003"/>
      <c r="N945" s="1003"/>
      <c r="O945" s="1003"/>
      <c r="P945" s="1003"/>
      <c r="Q945" s="1003"/>
      <c r="R945" s="1003"/>
      <c r="S945" s="1003"/>
      <c r="T945" s="1003"/>
      <c r="U945" s="1003"/>
      <c r="V945" s="1003"/>
      <c r="W945" s="1003"/>
      <c r="X945" s="1003"/>
      <c r="Y945" s="1003"/>
      <c r="Z945" s="1003"/>
      <c r="AA945" s="1003"/>
      <c r="AB945" s="1003"/>
      <c r="AC945" s="1003"/>
      <c r="AD945" s="1003"/>
      <c r="AE945" s="1003"/>
    </row>
    <row r="946" spans="1:51" ht="15" customHeight="1">
      <c r="A946" s="176"/>
      <c r="B946" s="1087" t="str">
        <f>IF(SUM(COUNTIF(V903:AD905,"NS"),COUNTIF(V907:AD909,"NS"))&lt;&gt;0,"Alerta: debido a que cuenta con registros NS, debe proporcionar una justificación en el area de comentarios al final de la pregunta","")</f>
        <v/>
      </c>
      <c r="C946" s="1087"/>
      <c r="D946" s="1087"/>
      <c r="E946" s="1087"/>
      <c r="F946" s="1087"/>
      <c r="G946" s="1087"/>
      <c r="H946" s="1087"/>
      <c r="I946" s="1087"/>
      <c r="J946" s="1087"/>
      <c r="K946" s="1087"/>
      <c r="L946" s="1087"/>
      <c r="M946" s="1087"/>
      <c r="N946" s="1087"/>
      <c r="O946" s="1087"/>
      <c r="P946" s="1087"/>
      <c r="Q946" s="1087"/>
      <c r="R946" s="1087"/>
      <c r="S946" s="1087"/>
      <c r="T946" s="1087"/>
      <c r="U946" s="1087"/>
      <c r="V946" s="1087"/>
      <c r="W946" s="1087"/>
      <c r="X946" s="1087"/>
      <c r="Y946" s="1087"/>
      <c r="Z946" s="1087"/>
      <c r="AA946" s="1087"/>
      <c r="AB946" s="1087"/>
      <c r="AC946" s="1087"/>
      <c r="AD946" s="1087"/>
      <c r="AE946" s="1087"/>
    </row>
    <row r="947" spans="1:51" ht="15" customHeight="1">
      <c r="A947" s="176"/>
      <c r="B947" s="1003" t="str">
        <f>IF(AH910=0,"","Revise la información capturada, ya que tiene datos ingresados en celdas que están sombreadas")</f>
        <v/>
      </c>
      <c r="C947" s="1003"/>
      <c r="D947" s="1003"/>
      <c r="E947" s="1003"/>
      <c r="F947" s="1003"/>
      <c r="G947" s="1003"/>
      <c r="H947" s="1003"/>
      <c r="I947" s="1003"/>
      <c r="J947" s="1003"/>
      <c r="K947" s="1003"/>
      <c r="L947" s="1003"/>
      <c r="M947" s="1003"/>
      <c r="N947" s="1003"/>
      <c r="O947" s="1003"/>
      <c r="P947" s="1003"/>
      <c r="Q947" s="1003"/>
      <c r="R947" s="1003"/>
      <c r="S947" s="1003"/>
      <c r="T947" s="1003"/>
      <c r="U947" s="1003"/>
      <c r="V947" s="1003"/>
      <c r="W947" s="1003"/>
      <c r="X947" s="1003"/>
      <c r="Y947" s="1003"/>
      <c r="Z947" s="1003"/>
      <c r="AA947" s="1003"/>
      <c r="AB947" s="1003"/>
      <c r="AC947" s="1003"/>
      <c r="AD947" s="1003"/>
      <c r="AE947" s="1003"/>
    </row>
    <row r="948" spans="1:51" ht="15" customHeight="1">
      <c r="A948" s="176"/>
      <c r="B948" s="1003" t="str">
        <f>IF(AL913&gt;0,"Favor de revisar la suma y consistencia de totales y/o subtotales por filas (numéricos y NS)",IF(AV913&gt;0,"Favor de revisar la suma y consistencia de totales y/o subtotales de las desagregaciones de los tipos específicos",""))</f>
        <v/>
      </c>
      <c r="C948" s="1003"/>
      <c r="D948" s="1003"/>
      <c r="E948" s="1003"/>
      <c r="F948" s="1003"/>
      <c r="G948" s="1003"/>
      <c r="H948" s="1003"/>
      <c r="I948" s="1003"/>
      <c r="J948" s="1003"/>
      <c r="K948" s="1003"/>
      <c r="L948" s="1003"/>
      <c r="M948" s="1003"/>
      <c r="N948" s="1003"/>
      <c r="O948" s="1003"/>
      <c r="P948" s="1003"/>
      <c r="Q948" s="1003"/>
      <c r="R948" s="1003"/>
      <c r="S948" s="1003"/>
      <c r="T948" s="1003"/>
      <c r="U948" s="1003"/>
      <c r="V948" s="1003"/>
      <c r="W948" s="1003"/>
      <c r="X948" s="1003"/>
      <c r="Y948" s="1003"/>
      <c r="Z948" s="1003"/>
      <c r="AA948" s="1003"/>
      <c r="AB948" s="1003"/>
      <c r="AC948" s="1003"/>
      <c r="AD948" s="1003"/>
      <c r="AE948" s="1003"/>
    </row>
    <row r="949" spans="1:51" ht="15" customHeight="1">
      <c r="A949" s="108"/>
      <c r="B949" s="1003" t="str">
        <f>IF(AF910&gt;0,"Debido a que reportó NA para cierto delito, también anote NA en sus respectivos tipos específicos","")</f>
        <v/>
      </c>
      <c r="C949" s="1003"/>
      <c r="D949" s="1003"/>
      <c r="E949" s="1003"/>
      <c r="F949" s="1003"/>
      <c r="G949" s="1003"/>
      <c r="H949" s="1003"/>
      <c r="I949" s="1003"/>
      <c r="J949" s="1003"/>
      <c r="K949" s="1003"/>
      <c r="L949" s="1003"/>
      <c r="M949" s="1003"/>
      <c r="N949" s="1003"/>
      <c r="O949" s="1003"/>
      <c r="P949" s="1003"/>
      <c r="Q949" s="1003"/>
      <c r="R949" s="1003"/>
      <c r="S949" s="1003"/>
      <c r="T949" s="1003"/>
      <c r="U949" s="1003"/>
      <c r="V949" s="1003"/>
      <c r="W949" s="1003"/>
      <c r="X949" s="1003"/>
      <c r="Y949" s="1003"/>
      <c r="Z949" s="1003"/>
      <c r="AA949" s="1003"/>
      <c r="AB949" s="1003"/>
      <c r="AC949" s="1003"/>
      <c r="AD949" s="1003"/>
      <c r="AE949" s="1003"/>
    </row>
    <row r="950" spans="1:51" ht="15" customHeight="1">
      <c r="A950" s="108"/>
      <c r="B950" s="57"/>
      <c r="C950" s="57"/>
      <c r="D950" s="57"/>
      <c r="E950" s="57"/>
      <c r="F950" s="57"/>
      <c r="G950" s="57"/>
      <c r="H950" s="57"/>
      <c r="I950" s="57"/>
      <c r="J950" s="57"/>
      <c r="K950" s="57"/>
      <c r="L950" s="57"/>
      <c r="M950" s="57"/>
      <c r="N950" s="57"/>
      <c r="O950" s="57"/>
      <c r="P950" s="57"/>
      <c r="Q950" s="57"/>
      <c r="R950" s="57"/>
      <c r="S950" s="57"/>
      <c r="T950" s="57"/>
      <c r="U950" s="57"/>
      <c r="V950" s="57"/>
      <c r="W950" s="57"/>
      <c r="X950" s="57"/>
      <c r="Y950" s="57"/>
      <c r="Z950" s="57"/>
      <c r="AA950" s="57"/>
      <c r="AB950" s="57"/>
      <c r="AC950" s="57"/>
      <c r="AD950" s="57"/>
      <c r="AE950"/>
    </row>
    <row r="951" spans="1:51" ht="24" customHeight="1">
      <c r="A951" s="49" t="s">
        <v>5142</v>
      </c>
      <c r="B951" s="829" t="s">
        <v>5143</v>
      </c>
      <c r="C951" s="829"/>
      <c r="D951" s="829"/>
      <c r="E951" s="829"/>
      <c r="F951" s="829"/>
      <c r="G951" s="829"/>
      <c r="H951" s="829"/>
      <c r="I951" s="829"/>
      <c r="J951" s="829"/>
      <c r="K951" s="829"/>
      <c r="L951" s="829"/>
      <c r="M951" s="829"/>
      <c r="N951" s="829"/>
      <c r="O951" s="829"/>
      <c r="P951" s="829"/>
      <c r="Q951" s="829"/>
      <c r="R951" s="829"/>
      <c r="S951" s="829"/>
      <c r="T951" s="829"/>
      <c r="U951" s="829"/>
      <c r="V951" s="829"/>
      <c r="W951" s="829"/>
      <c r="X951" s="829"/>
      <c r="Y951" s="829"/>
      <c r="Z951" s="829"/>
      <c r="AA951" s="829"/>
      <c r="AB951" s="829"/>
      <c r="AC951" s="829"/>
      <c r="AD951" s="829"/>
    </row>
    <row r="952" spans="1:51" ht="24" customHeight="1">
      <c r="A952" s="50"/>
      <c r="B952" s="38"/>
      <c r="C952" s="754" t="s">
        <v>5128</v>
      </c>
      <c r="D952" s="754"/>
      <c r="E952" s="754"/>
      <c r="F952" s="754"/>
      <c r="G952" s="754"/>
      <c r="H952" s="754"/>
      <c r="I952" s="754"/>
      <c r="J952" s="754"/>
      <c r="K952" s="754"/>
      <c r="L952" s="754"/>
      <c r="M952" s="754"/>
      <c r="N952" s="754"/>
      <c r="O952" s="754"/>
      <c r="P952" s="754"/>
      <c r="Q952" s="754"/>
      <c r="R952" s="754"/>
      <c r="S952" s="754"/>
      <c r="T952" s="754"/>
      <c r="U952" s="754"/>
      <c r="V952" s="754"/>
      <c r="W952" s="754"/>
      <c r="X952" s="754"/>
      <c r="Y952" s="754"/>
      <c r="Z952" s="754"/>
      <c r="AA952" s="754"/>
      <c r="AB952" s="754"/>
      <c r="AC952" s="754"/>
      <c r="AD952" s="754"/>
    </row>
    <row r="953" spans="1:51" ht="24" customHeight="1">
      <c r="A953" s="50"/>
      <c r="B953" s="38"/>
      <c r="C953" s="754" t="s">
        <v>5129</v>
      </c>
      <c r="D953" s="754"/>
      <c r="E953" s="754"/>
      <c r="F953" s="754"/>
      <c r="G953" s="754"/>
      <c r="H953" s="754"/>
      <c r="I953" s="754"/>
      <c r="J953" s="754"/>
      <c r="K953" s="754"/>
      <c r="L953" s="754"/>
      <c r="M953" s="754"/>
      <c r="N953" s="754"/>
      <c r="O953" s="754"/>
      <c r="P953" s="754"/>
      <c r="Q953" s="754"/>
      <c r="R953" s="754"/>
      <c r="S953" s="754"/>
      <c r="T953" s="754"/>
      <c r="U953" s="754"/>
      <c r="V953" s="754"/>
      <c r="W953" s="754"/>
      <c r="X953" s="754"/>
      <c r="Y953" s="754"/>
      <c r="Z953" s="754"/>
      <c r="AA953" s="754"/>
      <c r="AB953" s="754"/>
      <c r="AC953" s="754"/>
      <c r="AD953" s="754"/>
    </row>
    <row r="954" spans="1:51" ht="24" customHeight="1">
      <c r="A954" s="49"/>
      <c r="B954" s="105"/>
      <c r="C954" s="830" t="s">
        <v>5144</v>
      </c>
      <c r="D954" s="830"/>
      <c r="E954" s="830"/>
      <c r="F954" s="830"/>
      <c r="G954" s="830"/>
      <c r="H954" s="830"/>
      <c r="I954" s="830"/>
      <c r="J954" s="830"/>
      <c r="K954" s="830"/>
      <c r="L954" s="830"/>
      <c r="M954" s="830"/>
      <c r="N954" s="830"/>
      <c r="O954" s="830"/>
      <c r="P954" s="830"/>
      <c r="Q954" s="830"/>
      <c r="R954" s="830"/>
      <c r="S954" s="830"/>
      <c r="T954" s="830"/>
      <c r="U954" s="830"/>
      <c r="V954" s="830"/>
      <c r="W954" s="830"/>
      <c r="X954" s="830"/>
      <c r="Y954" s="830"/>
      <c r="Z954" s="830"/>
      <c r="AA954" s="830"/>
      <c r="AB954" s="830"/>
      <c r="AC954" s="830"/>
      <c r="AD954" s="830"/>
    </row>
    <row r="955" spans="1:51" ht="36" customHeight="1">
      <c r="A955" s="49"/>
      <c r="B955" s="105"/>
      <c r="C955" s="754" t="s">
        <v>5145</v>
      </c>
      <c r="D955" s="754"/>
      <c r="E955" s="754"/>
      <c r="F955" s="754"/>
      <c r="G955" s="754"/>
      <c r="H955" s="754"/>
      <c r="I955" s="754"/>
      <c r="J955" s="754"/>
      <c r="K955" s="754"/>
      <c r="L955" s="754"/>
      <c r="M955" s="754"/>
      <c r="N955" s="754"/>
      <c r="O955" s="754"/>
      <c r="P955" s="754"/>
      <c r="Q955" s="754"/>
      <c r="R955" s="754"/>
      <c r="S955" s="754"/>
      <c r="T955" s="754"/>
      <c r="U955" s="754"/>
      <c r="V955" s="754"/>
      <c r="W955" s="754"/>
      <c r="X955" s="754"/>
      <c r="Y955" s="754"/>
      <c r="Z955" s="754"/>
      <c r="AA955" s="754"/>
      <c r="AB955" s="754"/>
      <c r="AC955" s="754"/>
      <c r="AD955" s="754"/>
    </row>
    <row r="956" spans="1:51" ht="15" customHeight="1">
      <c r="A956" s="49"/>
      <c r="B956" s="38"/>
      <c r="C956" s="38"/>
      <c r="D956" s="38"/>
      <c r="E956" s="38"/>
      <c r="F956" s="38"/>
      <c r="G956" s="38"/>
      <c r="H956" s="38"/>
      <c r="I956" s="38"/>
      <c r="J956" s="38"/>
      <c r="K956" s="38"/>
      <c r="L956" s="38"/>
      <c r="M956" s="38"/>
      <c r="N956" s="38"/>
      <c r="O956" s="38"/>
      <c r="P956" s="38"/>
      <c r="Q956" s="38"/>
      <c r="R956" s="38"/>
      <c r="S956" s="38"/>
      <c r="T956" s="38"/>
      <c r="U956" s="38"/>
      <c r="V956" s="38"/>
      <c r="W956" s="38"/>
      <c r="X956" s="38"/>
      <c r="Y956" s="38"/>
      <c r="Z956" s="38"/>
      <c r="AA956" s="38"/>
      <c r="AB956" s="38"/>
      <c r="AC956" s="38"/>
      <c r="AD956" s="38"/>
    </row>
    <row r="957" spans="1:51" ht="15" customHeight="1">
      <c r="A957" s="49"/>
      <c r="B957" s="38"/>
      <c r="C957" s="732" t="s">
        <v>5130</v>
      </c>
      <c r="D957" s="732"/>
      <c r="E957" s="732"/>
      <c r="F957" s="732"/>
      <c r="G957" s="732"/>
      <c r="H957" s="732"/>
      <c r="I957" s="732"/>
      <c r="J957" s="732"/>
      <c r="K957" s="732"/>
      <c r="L957" s="732"/>
      <c r="M957" s="732" t="s">
        <v>4563</v>
      </c>
      <c r="N957" s="732"/>
      <c r="O957" s="732"/>
      <c r="P957" s="732"/>
      <c r="Q957" s="732"/>
      <c r="R957" s="732"/>
      <c r="S957" s="732"/>
      <c r="T957" s="732"/>
      <c r="U957" s="732"/>
      <c r="V957" s="732"/>
      <c r="W957" s="732"/>
      <c r="X957" s="732"/>
      <c r="Y957" s="732"/>
      <c r="Z957" s="732"/>
      <c r="AA957" s="732"/>
      <c r="AB957" s="732"/>
      <c r="AC957" s="732"/>
      <c r="AD957" s="732"/>
    </row>
    <row r="958" spans="1:51" ht="15" customHeight="1">
      <c r="A958" s="49"/>
      <c r="B958" s="38"/>
      <c r="C958" s="732"/>
      <c r="D958" s="732"/>
      <c r="E958" s="732"/>
      <c r="F958" s="732"/>
      <c r="G958" s="732"/>
      <c r="H958" s="732"/>
      <c r="I958" s="732"/>
      <c r="J958" s="732"/>
      <c r="K958" s="732"/>
      <c r="L958" s="732"/>
      <c r="M958" s="987" t="s">
        <v>2628</v>
      </c>
      <c r="N958" s="988"/>
      <c r="O958" s="988"/>
      <c r="P958" s="988"/>
      <c r="Q958" s="988"/>
      <c r="R958" s="988"/>
      <c r="S958" s="989" t="s">
        <v>2629</v>
      </c>
      <c r="T958" s="990"/>
      <c r="U958" s="990"/>
      <c r="V958" s="990"/>
      <c r="W958" s="990"/>
      <c r="X958" s="990"/>
      <c r="Y958" s="989" t="s">
        <v>2630</v>
      </c>
      <c r="Z958" s="990"/>
      <c r="AA958" s="990"/>
      <c r="AB958" s="990"/>
      <c r="AC958" s="990"/>
      <c r="AD958" s="990"/>
      <c r="AF958" t="s">
        <v>4740</v>
      </c>
      <c r="AG958" t="s">
        <v>2586</v>
      </c>
      <c r="AH958" t="s">
        <v>4599</v>
      </c>
      <c r="AI958" t="s">
        <v>2590</v>
      </c>
      <c r="AJ958" t="s">
        <v>3163</v>
      </c>
      <c r="AK958" t="s">
        <v>4564</v>
      </c>
      <c r="AL958" t="s">
        <v>4766</v>
      </c>
      <c r="AM958" t="s">
        <v>4767</v>
      </c>
      <c r="AN958" t="s">
        <v>4768</v>
      </c>
      <c r="AO958" t="s">
        <v>4769</v>
      </c>
      <c r="AP958">
        <f>COUNTIF(M964:M966,"NS")</f>
        <v>0</v>
      </c>
      <c r="AQ958">
        <f>COUNTIF(S964:S966,"NS")</f>
        <v>0</v>
      </c>
      <c r="AR958">
        <f>COUNTIF(Y964:Y966,"NS")</f>
        <v>0</v>
      </c>
      <c r="AS958"/>
      <c r="AT958" t="s">
        <v>4682</v>
      </c>
      <c r="AU958"/>
      <c r="AV958"/>
      <c r="AW958" t="s">
        <v>4681</v>
      </c>
      <c r="AX958"/>
      <c r="AY958"/>
    </row>
    <row r="959" spans="1:51" ht="15" customHeight="1">
      <c r="A959" s="50"/>
      <c r="B959" s="38"/>
      <c r="C959" s="733" t="s">
        <v>4745</v>
      </c>
      <c r="D959" s="734"/>
      <c r="E959" s="734"/>
      <c r="F959" s="735"/>
      <c r="G959" s="796" t="s">
        <v>3875</v>
      </c>
      <c r="H959" s="796"/>
      <c r="I959" s="796"/>
      <c r="J959" s="796"/>
      <c r="K959" s="796"/>
      <c r="L959" s="796"/>
      <c r="M959" s="749"/>
      <c r="N959" s="749"/>
      <c r="O959" s="749"/>
      <c r="P959" s="749"/>
      <c r="Q959" s="749"/>
      <c r="R959" s="749"/>
      <c r="S959" s="749"/>
      <c r="T959" s="749"/>
      <c r="U959" s="749"/>
      <c r="V959" s="749"/>
      <c r="W959" s="749"/>
      <c r="X959" s="749"/>
      <c r="Y959" s="749"/>
      <c r="Z959" s="749"/>
      <c r="AA959" s="749"/>
      <c r="AB959" s="749"/>
      <c r="AC959" s="749"/>
      <c r="AD959" s="749"/>
      <c r="AF959">
        <f>IF(M959="NA",IF(AND(COUNTIF(M960:M962,"="&amp;$AF$956)=0,COUNTIF(M960:M962,"&lt;&gt;NA")&gt;0),1,0),IF(AND(COUNTIF(M960:M962,"="&amp;$AF$956)=0,COUNTIF(M960:M962,"NA")=COUNTIF(M960:M962,"&lt;&gt;"&amp;$AF$956)),1,0))</f>
        <v>0</v>
      </c>
      <c r="AG959">
        <f>IF(M959="NA",0,IF(COUNTBLANK(M959:AD959)=15,0,IF(COUNTA($M$959:$AD$998)=0,0,1)))</f>
        <v>0</v>
      </c>
      <c r="AH959">
        <f t="shared" ref="AH959:AH998" si="402">IF(M959="NA",IF(COUNTBLANK(S959:AD959)=12,0,1),0)</f>
        <v>0</v>
      </c>
      <c r="AI959">
        <f t="shared" ref="AI959:AI998" si="403">COUNTIF(S959:AD959,"NS")</f>
        <v>0</v>
      </c>
      <c r="AJ959">
        <f t="shared" ref="AJ959:AJ998" si="404">SUM(S959:AD959)</f>
        <v>0</v>
      </c>
      <c r="AK959">
        <f t="shared" ref="AK959:AK998" si="405">IF(COUNTIF(M959:AD959,"NA")=3,0,IF(COUNTA(M959:AD959)=0,0,IF(OR(AND(M959=0,AI959&gt;0),AND(M959="ns",AJ959&gt;0),AND(M959="ns",AI959=0,AJ959=0)),1,IF(OR(AND(M959&gt;0,AI959=2),AND(M959="ns",AI959=2),AND(M959="ns",AJ959=0,AI959&gt;0),M959=AJ959),0,1))))</f>
        <v>0</v>
      </c>
      <c r="AL959">
        <f>COUNTIF(M960:M962,"NS")</f>
        <v>0</v>
      </c>
      <c r="AM959">
        <f>SUM(M960:M962)</f>
        <v>0</v>
      </c>
      <c r="AN959">
        <f>IF(COUNTA(M959:M962)=0,0,IF(OR(AND(M959=0,AL959&gt;0),AND(M959="ns",AM959&gt;0),AND(M959="ns",AL959=0,AM959=0)),1,IF(OR(AND(AL959&gt;=2,M959&gt;AM959),AND(M959="ns",AM959=0,AL959&gt;0),M959=AM959),0,1)))</f>
        <v>0</v>
      </c>
      <c r="AO959" t="s">
        <v>4770</v>
      </c>
      <c r="AP959">
        <f>SUM(M964:M966)</f>
        <v>0</v>
      </c>
      <c r="AQ959">
        <f>SUM(S964:S966)</f>
        <v>0</v>
      </c>
      <c r="AR959">
        <f>SUM(Y964:Y966)</f>
        <v>0</v>
      </c>
      <c r="AS959"/>
      <c r="AT959" cm="1">
        <f t="array" ref="AT959">IF(OR(M959={"NS","NA"},$M$71={"NS","NA"}),0,IF(M959&lt;=$M$71,0,1))</f>
        <v>0</v>
      </c>
      <c r="AU959" cm="1">
        <f t="array" ref="AU959">IF(OR(S959={"NS","NA"},$S$71={"NS","NA"}),0,IF(S959&lt;=$S$71,0,1))</f>
        <v>0</v>
      </c>
      <c r="AV959" cm="1">
        <f t="array" ref="AV959">IF(OR(Y959={"NS","NA"},$Y$71={"NS","NA"}),0,IF(Y959&lt;=$Y$71,0,1))</f>
        <v>0</v>
      </c>
      <c r="AW959" cm="1">
        <f t="array" ref="AW959">IF(OR(M959={"NS","NA"},V902={"NS","NA"}),0,IF(M959&lt;=V902,0,1))</f>
        <v>0</v>
      </c>
      <c r="AX959" cm="1">
        <f t="array" ref="AX959">IF(OR(S959={"NS","NA"},W902={"NS","NA"}),0,IF(S959&lt;=W902,0,1))</f>
        <v>0</v>
      </c>
      <c r="AY959" cm="1">
        <f t="array" ref="AY959">IF(OR(Y959={"NS","NA"},X902={"NS","NA"}),0,IF(Y959&lt;=X902,0,1))</f>
        <v>0</v>
      </c>
    </row>
    <row r="960" spans="1:51" ht="15" customHeight="1">
      <c r="A960" s="50"/>
      <c r="B960" s="38"/>
      <c r="C960" s="1119" t="s">
        <v>5132</v>
      </c>
      <c r="D960" s="1121"/>
      <c r="E960" s="1121"/>
      <c r="F960" s="1120"/>
      <c r="G960" s="173"/>
      <c r="H960" s="1126" t="s">
        <v>3876</v>
      </c>
      <c r="I960" s="1126"/>
      <c r="J960" s="1126"/>
      <c r="K960" s="1126"/>
      <c r="L960" s="1127"/>
      <c r="M960" s="749"/>
      <c r="N960" s="749"/>
      <c r="O960" s="749"/>
      <c r="P960" s="749"/>
      <c r="Q960" s="749"/>
      <c r="R960" s="749"/>
      <c r="S960" s="749"/>
      <c r="T960" s="749"/>
      <c r="U960" s="749"/>
      <c r="V960" s="749"/>
      <c r="W960" s="749"/>
      <c r="X960" s="749"/>
      <c r="Y960" s="749"/>
      <c r="Z960" s="749"/>
      <c r="AA960" s="749"/>
      <c r="AB960" s="749"/>
      <c r="AC960" s="749"/>
      <c r="AD960" s="749"/>
      <c r="AF960"/>
      <c r="AG960">
        <f t="shared" ref="AG960:AG997" si="406">IF(M960="NA",0,IF(COUNTBLANK(M960:AD960)=15,0,IF(COUNTA($M$959:$AD$998)=0,0,1)))</f>
        <v>0</v>
      </c>
      <c r="AH960">
        <f t="shared" si="402"/>
        <v>0</v>
      </c>
      <c r="AI960">
        <f t="shared" si="403"/>
        <v>0</v>
      </c>
      <c r="AJ960">
        <f t="shared" si="404"/>
        <v>0</v>
      </c>
      <c r="AK960">
        <f t="shared" si="405"/>
        <v>0</v>
      </c>
      <c r="AL960">
        <f>COUNTIF(S960:S962,"NS")</f>
        <v>0</v>
      </c>
      <c r="AM960">
        <f>SUM(S960:S962)</f>
        <v>0</v>
      </c>
      <c r="AN960">
        <f>IF(COUNTA(S959:S962)=0,0,IF(OR(AND(S959=0,AL960&gt;0),AND(S959="ns",AM960&gt;0),AND(S959="ns",AL960=0,AM960=0)),1,IF(OR(AND(AL960&gt;=2,S959&gt;AM960),AND(S959="ns",AM960=0,AL960&gt;0),S959=AM960),0,1)))</f>
        <v>0</v>
      </c>
      <c r="AO960" t="s">
        <v>4771</v>
      </c>
      <c r="AP960">
        <f>IF(COUNTBLANK(M963:M966)=4,0,IF(OR(AND(M963=0,AP958&gt;0),AND(M963="ns",AP959&gt;0),AND(M963="ns",AP958=0,AP959=0)),1,IF(OR(AND(AP958&gt;=2,M963&gt;AP959),AND(M963="ns",AP959=0,AP958&gt;0),M963=AP959),0,1)))</f>
        <v>0</v>
      </c>
      <c r="AQ960">
        <f>IF(COUNTBLANK(S963:S966)=4,0,IF(OR(AND(S963=0,AQ958&gt;0),AND(S963="ns",AQ959&gt;0),AND(S963="ns",AQ958=0,AQ959=0)),1,IF(OR(AND(AQ958&gt;=2,S963&gt;AQ959),AND(S963="ns",AQ959=0,AQ958&gt;0),S963=AQ959),0,1)))</f>
        <v>0</v>
      </c>
      <c r="AR960">
        <f>IF(COUNTBLANK(Y963:Y966)=4,0,IF(OR(AND(Y963=0,AR958&gt;0),AND(Y963="ns",AR959&gt;0),AND(Y963="ns",AR958=0,AR959=0)),1,IF(OR(AND(AR958&gt;=2,Y963&gt;AR959),AND(Y963="ns",AR959=0,AR958&gt;0),Y963=AR959),0,1)))</f>
        <v>0</v>
      </c>
      <c r="AS960" s="366">
        <f>SUM(AP960:AR960)</f>
        <v>0</v>
      </c>
      <c r="AT960" cm="1">
        <f t="array" ref="AT960">IF(OR(M960={"NS","NA"},$M$71={"NS","NA"}),0,IF(M960&lt;=$M$71,0,1))</f>
        <v>0</v>
      </c>
      <c r="AU960" cm="1">
        <f t="array" ref="AU960">IF(OR(S960={"NS","NA"},$S$71={"NS","NA"}),0,IF(S960&lt;=$S$71,0,1))</f>
        <v>0</v>
      </c>
      <c r="AV960" cm="1">
        <f t="array" ref="AV960">IF(OR(Y960={"NS","NA"},$Y$71={"NS","NA"}),0,IF(Y960&lt;=$Y$71,0,1))</f>
        <v>0</v>
      </c>
      <c r="AW960" cm="1">
        <f t="array" ref="AW960">IF(OR(M960={"NS","NA"},V903={"NS","NA"}),0,IF(M960&lt;=V903,0,1))</f>
        <v>0</v>
      </c>
      <c r="AX960" cm="1">
        <f t="array" ref="AX960">IF(OR(S960={"NS","NA"},W903={"NS","NA"}),0,IF(S960&lt;=W903,0,1))</f>
        <v>0</v>
      </c>
      <c r="AY960" cm="1">
        <f t="array" ref="AY960">IF(OR(Y960={"NS","NA"},X903={"NS","NA"}),0,IF(Y960&lt;=X903,0,1))</f>
        <v>0</v>
      </c>
    </row>
    <row r="961" spans="1:51" ht="15" customHeight="1">
      <c r="A961" s="50"/>
      <c r="B961" s="38"/>
      <c r="C961" s="1119" t="s">
        <v>5133</v>
      </c>
      <c r="D961" s="1121"/>
      <c r="E961" s="1121"/>
      <c r="F961" s="1120"/>
      <c r="G961" s="174"/>
      <c r="H961" s="1122" t="s">
        <v>3877</v>
      </c>
      <c r="I961" s="1122"/>
      <c r="J961" s="1122"/>
      <c r="K961" s="1122"/>
      <c r="L961" s="1123"/>
      <c r="M961" s="749"/>
      <c r="N961" s="749"/>
      <c r="O961" s="749"/>
      <c r="P961" s="749"/>
      <c r="Q961" s="749"/>
      <c r="R961" s="749"/>
      <c r="S961" s="749"/>
      <c r="T961" s="749"/>
      <c r="U961" s="749"/>
      <c r="V961" s="749"/>
      <c r="W961" s="749"/>
      <c r="X961" s="749"/>
      <c r="Y961" s="749"/>
      <c r="Z961" s="749"/>
      <c r="AA961" s="749"/>
      <c r="AB961" s="749"/>
      <c r="AC961" s="749"/>
      <c r="AD961" s="749"/>
      <c r="AF961"/>
      <c r="AG961">
        <f t="shared" si="406"/>
        <v>0</v>
      </c>
      <c r="AH961">
        <f t="shared" si="402"/>
        <v>0</v>
      </c>
      <c r="AI961">
        <f t="shared" si="403"/>
        <v>0</v>
      </c>
      <c r="AJ961">
        <f t="shared" si="404"/>
        <v>0</v>
      </c>
      <c r="AK961">
        <f t="shared" si="405"/>
        <v>0</v>
      </c>
      <c r="AL961">
        <f>COUNTIF(Y960:Y962,"NS")</f>
        <v>0</v>
      </c>
      <c r="AM961">
        <f>SUM(Y960:Y962)</f>
        <v>0</v>
      </c>
      <c r="AN961">
        <f>IF(COUNTA(Y959:Y962)=0,0,IF(OR(AND(Y959=0,AL961&gt;0),AND(Y959="ns",AM961&gt;0),AND(Y959="ns",AL961=0,AM961=0)),1,IF(OR(AND(AL961&gt;=2,Y959&gt;AM961),AND(Y959="ns",AM961=0,AL961&gt;0),Y959=AM961),0,1)))</f>
        <v>0</v>
      </c>
      <c r="AO961"/>
      <c r="AP961"/>
      <c r="AQ961"/>
      <c r="AR961"/>
      <c r="AS961"/>
      <c r="AT961" cm="1">
        <f t="array" ref="AT961">IF(OR(M961={"NS","NA"},$M$71={"NS","NA"}),0,IF(M961&lt;=$M$71,0,1))</f>
        <v>0</v>
      </c>
      <c r="AU961" cm="1">
        <f t="array" ref="AU961">IF(OR(S961={"NS","NA"},$S$71={"NS","NA"}),0,IF(S961&lt;=$S$71,0,1))</f>
        <v>0</v>
      </c>
      <c r="AV961" cm="1">
        <f t="array" ref="AV961">IF(OR(Y961={"NS","NA"},$Y$71={"NS","NA"}),0,IF(Y961&lt;=$Y$71,0,1))</f>
        <v>0</v>
      </c>
      <c r="AW961" cm="1">
        <f t="array" ref="AW961">IF(OR(M961={"NS","NA"},V904={"NS","NA"}),0,IF(M961&lt;=V904,0,1))</f>
        <v>0</v>
      </c>
      <c r="AX961" cm="1">
        <f t="array" ref="AX961">IF(OR(S961={"NS","NA"},W904={"NS","NA"}),0,IF(S961&lt;=W904,0,1))</f>
        <v>0</v>
      </c>
      <c r="AY961" cm="1">
        <f t="array" ref="AY961">IF(OR(Y961={"NS","NA"},X904={"NS","NA"}),0,IF(Y961&lt;=X904,0,1))</f>
        <v>0</v>
      </c>
    </row>
    <row r="962" spans="1:51" ht="15" customHeight="1">
      <c r="A962" s="50"/>
      <c r="B962" s="38"/>
      <c r="C962" s="1119" t="s">
        <v>5134</v>
      </c>
      <c r="D962" s="1121"/>
      <c r="E962" s="1121"/>
      <c r="F962" s="1120"/>
      <c r="G962" s="175"/>
      <c r="H962" s="1124" t="s">
        <v>201</v>
      </c>
      <c r="I962" s="1124"/>
      <c r="J962" s="1124"/>
      <c r="K962" s="1124"/>
      <c r="L962" s="1125"/>
      <c r="M962" s="749"/>
      <c r="N962" s="749"/>
      <c r="O962" s="749"/>
      <c r="P962" s="749"/>
      <c r="Q962" s="749"/>
      <c r="R962" s="749"/>
      <c r="S962" s="749"/>
      <c r="T962" s="749"/>
      <c r="U962" s="749"/>
      <c r="V962" s="749"/>
      <c r="W962" s="749"/>
      <c r="X962" s="749"/>
      <c r="Y962" s="749"/>
      <c r="Z962" s="749"/>
      <c r="AA962" s="749"/>
      <c r="AB962" s="749"/>
      <c r="AC962" s="749"/>
      <c r="AD962" s="749"/>
      <c r="AF962"/>
      <c r="AG962">
        <f t="shared" si="406"/>
        <v>0</v>
      </c>
      <c r="AH962">
        <f t="shared" si="402"/>
        <v>0</v>
      </c>
      <c r="AI962">
        <f t="shared" si="403"/>
        <v>0</v>
      </c>
      <c r="AJ962">
        <f t="shared" si="404"/>
        <v>0</v>
      </c>
      <c r="AK962">
        <f t="shared" si="405"/>
        <v>0</v>
      </c>
      <c r="AL962"/>
      <c r="AN962" s="366">
        <f>SUM(AN959:AN961)</f>
        <v>0</v>
      </c>
      <c r="AO962"/>
      <c r="AP962"/>
      <c r="AQ962"/>
      <c r="AR962"/>
      <c r="AS962"/>
      <c r="AT962" cm="1">
        <f t="array" ref="AT962">IF(OR(M962={"NS","NA"},$M$71={"NS","NA"}),0,IF(M962&lt;=$M$71,0,1))</f>
        <v>0</v>
      </c>
      <c r="AU962" cm="1">
        <f t="array" ref="AU962">IF(OR(S962={"NS","NA"},$S$71={"NS","NA"}),0,IF(S962&lt;=$S$71,0,1))</f>
        <v>0</v>
      </c>
      <c r="AV962" cm="1">
        <f t="array" ref="AV962">IF(OR(Y962={"NS","NA"},$Y$71={"NS","NA"}),0,IF(Y962&lt;=$Y$71,0,1))</f>
        <v>0</v>
      </c>
      <c r="AW962" cm="1">
        <f t="array" ref="AW962">IF(OR(M962={"NS","NA"},V905={"NS","NA"}),0,IF(M962&lt;=V905,0,1))</f>
        <v>0</v>
      </c>
      <c r="AX962" cm="1">
        <f t="array" ref="AX962">IF(OR(S962={"NS","NA"},W905={"NS","NA"}),0,IF(S962&lt;=W905,0,1))</f>
        <v>0</v>
      </c>
      <c r="AY962" cm="1">
        <f t="array" ref="AY962">IF(OR(Y962={"NS","NA"},X905={"NS","NA"}),0,IF(Y962&lt;=X905,0,1))</f>
        <v>0</v>
      </c>
    </row>
    <row r="963" spans="1:51" ht="15" customHeight="1">
      <c r="A963" s="50"/>
      <c r="B963" s="38"/>
      <c r="C963" s="733" t="s">
        <v>4746</v>
      </c>
      <c r="D963" s="734"/>
      <c r="E963" s="734"/>
      <c r="F963" s="735"/>
      <c r="G963" s="796" t="s">
        <v>4747</v>
      </c>
      <c r="H963" s="796"/>
      <c r="I963" s="796"/>
      <c r="J963" s="796"/>
      <c r="K963" s="796"/>
      <c r="L963" s="796"/>
      <c r="M963" s="749"/>
      <c r="N963" s="749"/>
      <c r="O963" s="749"/>
      <c r="P963" s="749"/>
      <c r="Q963" s="749"/>
      <c r="R963" s="749"/>
      <c r="S963" s="749"/>
      <c r="T963" s="749"/>
      <c r="U963" s="749"/>
      <c r="V963" s="749"/>
      <c r="W963" s="749"/>
      <c r="X963" s="749"/>
      <c r="Y963" s="749"/>
      <c r="Z963" s="749"/>
      <c r="AA963" s="749"/>
      <c r="AB963" s="749"/>
      <c r="AC963" s="749"/>
      <c r="AD963" s="749"/>
      <c r="AF963">
        <f>IF(M963="NA",IF(AND(COUNTIF(M964:M966,"="&amp;$AF$956)=0,COUNTIF(M964:M966,"&lt;&gt;NA")&gt;0),1,0),IF(AND(COUNTIF(M964:M966,"="&amp;$AF$956)=0,COUNTIF(M964:M966,"NA")=COUNTIF(M964:M966,"&lt;&gt;"&amp;$AF$956)),1,0))</f>
        <v>0</v>
      </c>
      <c r="AG963">
        <f t="shared" si="406"/>
        <v>0</v>
      </c>
      <c r="AH963">
        <f t="shared" si="402"/>
        <v>0</v>
      </c>
      <c r="AI963">
        <f t="shared" si="403"/>
        <v>0</v>
      </c>
      <c r="AJ963">
        <f t="shared" si="404"/>
        <v>0</v>
      </c>
      <c r="AK963">
        <f t="shared" si="405"/>
        <v>0</v>
      </c>
      <c r="AN963" s="405">
        <f>SUM(AN962,AS960)</f>
        <v>0</v>
      </c>
      <c r="AO963"/>
      <c r="AP963"/>
      <c r="AQ963"/>
      <c r="AR963"/>
      <c r="AS963"/>
      <c r="AT963" cm="1">
        <f t="array" ref="AT963">IF(OR(M963={"NS","NA"},$M$71={"NS","NA"}),0,IF(M963&lt;=$M$71,0,1))</f>
        <v>0</v>
      </c>
      <c r="AU963" cm="1">
        <f t="array" ref="AU963">IF(OR(S963={"NS","NA"},$S$71={"NS","NA"}),0,IF(S963&lt;=$S$71,0,1))</f>
        <v>0</v>
      </c>
      <c r="AV963" cm="1">
        <f t="array" ref="AV963">IF(OR(Y963={"NS","NA"},$Y$71={"NS","NA"}),0,IF(Y963&lt;=$Y$71,0,1))</f>
        <v>0</v>
      </c>
      <c r="AW963" cm="1">
        <f t="array" ref="AW963">IF(OR(M963={"NS","NA"},V906={"NS","NA"}),0,IF(M963&lt;=V906,0,1))</f>
        <v>0</v>
      </c>
      <c r="AX963" cm="1">
        <f t="array" ref="AX963">IF(OR(S963={"NS","NA"},W906={"NS","NA"}),0,IF(S963&lt;=W906,0,1))</f>
        <v>0</v>
      </c>
      <c r="AY963" cm="1">
        <f t="array" ref="AY963">IF(OR(Y963={"NS","NA"},X906={"NS","NA"}),0,IF(Y963&lt;=X906,0,1))</f>
        <v>0</v>
      </c>
    </row>
    <row r="964" spans="1:51" ht="15" customHeight="1">
      <c r="A964" s="50"/>
      <c r="B964" s="38"/>
      <c r="C964" s="1119" t="s">
        <v>5135</v>
      </c>
      <c r="D964" s="1121"/>
      <c r="E964" s="1121"/>
      <c r="F964" s="1120"/>
      <c r="G964" s="173"/>
      <c r="H964" s="1126" t="s">
        <v>5136</v>
      </c>
      <c r="I964" s="1126"/>
      <c r="J964" s="1126"/>
      <c r="K964" s="1126"/>
      <c r="L964" s="1127"/>
      <c r="M964" s="749"/>
      <c r="N964" s="749"/>
      <c r="O964" s="749"/>
      <c r="P964" s="749"/>
      <c r="Q964" s="749"/>
      <c r="R964" s="749"/>
      <c r="S964" s="749"/>
      <c r="T964" s="749"/>
      <c r="U964" s="749"/>
      <c r="V964" s="749"/>
      <c r="W964" s="749"/>
      <c r="X964" s="749"/>
      <c r="Y964" s="749"/>
      <c r="Z964" s="749"/>
      <c r="AA964" s="749"/>
      <c r="AB964" s="749"/>
      <c r="AC964" s="749"/>
      <c r="AD964" s="749"/>
      <c r="AF964"/>
      <c r="AG964">
        <f t="shared" si="406"/>
        <v>0</v>
      </c>
      <c r="AH964">
        <f t="shared" si="402"/>
        <v>0</v>
      </c>
      <c r="AI964">
        <f t="shared" si="403"/>
        <v>0</v>
      </c>
      <c r="AJ964">
        <f t="shared" si="404"/>
        <v>0</v>
      </c>
      <c r="AK964">
        <f t="shared" si="405"/>
        <v>0</v>
      </c>
      <c r="AM964" t="s">
        <v>5140</v>
      </c>
      <c r="AN964" s="506">
        <f>AN963-SUM(COUNTIF(M959,"NA"),COUNTIF(M963,"NA"))</f>
        <v>0</v>
      </c>
      <c r="AO964"/>
      <c r="AP964"/>
      <c r="AQ964"/>
      <c r="AR964"/>
      <c r="AS964"/>
      <c r="AT964" cm="1">
        <f t="array" ref="AT964">IF(OR(M964={"NS","NA"},$M$71={"NS","NA"}),0,IF(M964&lt;=$M$71,0,1))</f>
        <v>0</v>
      </c>
      <c r="AU964" cm="1">
        <f t="array" ref="AU964">IF(OR(S964={"NS","NA"},$S$71={"NS","NA"}),0,IF(S964&lt;=$S$71,0,1))</f>
        <v>0</v>
      </c>
      <c r="AV964" cm="1">
        <f t="array" ref="AV964">IF(OR(Y964={"NS","NA"},$Y$71={"NS","NA"}),0,IF(Y964&lt;=$Y$71,0,1))</f>
        <v>0</v>
      </c>
      <c r="AW964" cm="1">
        <f t="array" ref="AW964">IF(OR(M964={"NS","NA"},V907={"NS","NA"}),0,IF(M964&lt;=V907,0,1))</f>
        <v>0</v>
      </c>
      <c r="AX964" cm="1">
        <f t="array" ref="AX964">IF(OR(S964={"NS","NA"},W907={"NS","NA"}),0,IF(S964&lt;=W907,0,1))</f>
        <v>0</v>
      </c>
      <c r="AY964" cm="1">
        <f t="array" ref="AY964">IF(OR(Y964={"NS","NA"},X907={"NS","NA"}),0,IF(Y964&lt;=X907,0,1))</f>
        <v>0</v>
      </c>
    </row>
    <row r="965" spans="1:51" ht="15" customHeight="1">
      <c r="A965" s="50"/>
      <c r="B965" s="38"/>
      <c r="C965" s="1119" t="s">
        <v>5137</v>
      </c>
      <c r="D965" s="1121"/>
      <c r="E965" s="1121"/>
      <c r="F965" s="1120"/>
      <c r="G965" s="174"/>
      <c r="H965" s="1122" t="s">
        <v>5138</v>
      </c>
      <c r="I965" s="1122"/>
      <c r="J965" s="1122"/>
      <c r="K965" s="1122"/>
      <c r="L965" s="1123"/>
      <c r="M965" s="749"/>
      <c r="N965" s="749"/>
      <c r="O965" s="749"/>
      <c r="P965" s="749"/>
      <c r="Q965" s="749"/>
      <c r="R965" s="749"/>
      <c r="S965" s="749"/>
      <c r="T965" s="749"/>
      <c r="U965" s="749"/>
      <c r="V965" s="749"/>
      <c r="W965" s="749"/>
      <c r="X965" s="749"/>
      <c r="Y965" s="749"/>
      <c r="Z965" s="749"/>
      <c r="AA965" s="749"/>
      <c r="AB965" s="749"/>
      <c r="AC965" s="749"/>
      <c r="AD965" s="749"/>
      <c r="AF965"/>
      <c r="AG965">
        <f t="shared" si="406"/>
        <v>0</v>
      </c>
      <c r="AH965">
        <f t="shared" si="402"/>
        <v>0</v>
      </c>
      <c r="AI965">
        <f t="shared" si="403"/>
        <v>0</v>
      </c>
      <c r="AJ965">
        <f t="shared" si="404"/>
        <v>0</v>
      </c>
      <c r="AK965">
        <f t="shared" si="405"/>
        <v>0</v>
      </c>
      <c r="AO965"/>
      <c r="AP965"/>
      <c r="AQ965"/>
      <c r="AR965"/>
      <c r="AS965"/>
      <c r="AT965" cm="1">
        <f t="array" ref="AT965">IF(OR(M965={"NS","NA"},$M$71={"NS","NA"}),0,IF(M965&lt;=$M$71,0,1))</f>
        <v>0</v>
      </c>
      <c r="AU965" cm="1">
        <f t="array" ref="AU965">IF(OR(S965={"NS","NA"},$S$71={"NS","NA"}),0,IF(S965&lt;=$S$71,0,1))</f>
        <v>0</v>
      </c>
      <c r="AV965" cm="1">
        <f t="array" ref="AV965">IF(OR(Y965={"NS","NA"},$Y$71={"NS","NA"}),0,IF(Y965&lt;=$Y$71,0,1))</f>
        <v>0</v>
      </c>
      <c r="AW965" cm="1">
        <f t="array" ref="AW965">IF(OR(M965={"NS","NA"},V908={"NS","NA"}),0,IF(M965&lt;=V908,0,1))</f>
        <v>0</v>
      </c>
      <c r="AX965" cm="1">
        <f t="array" ref="AX965">IF(OR(S965={"NS","NA"},W908={"NS","NA"}),0,IF(S965&lt;=W908,0,1))</f>
        <v>0</v>
      </c>
      <c r="AY965" cm="1">
        <f t="array" ref="AY965">IF(OR(Y965={"NS","NA"},X908={"NS","NA"}),0,IF(Y965&lt;=X908,0,1))</f>
        <v>0</v>
      </c>
    </row>
    <row r="966" spans="1:51" ht="15" customHeight="1">
      <c r="A966" s="50"/>
      <c r="B966" s="38"/>
      <c r="C966" s="1119" t="s">
        <v>5139</v>
      </c>
      <c r="D966" s="1121"/>
      <c r="E966" s="1121"/>
      <c r="F966" s="1120"/>
      <c r="G966" s="175"/>
      <c r="H966" s="1124" t="s">
        <v>201</v>
      </c>
      <c r="I966" s="1124"/>
      <c r="J966" s="1124"/>
      <c r="K966" s="1124"/>
      <c r="L966" s="1125"/>
      <c r="M966" s="749"/>
      <c r="N966" s="749"/>
      <c r="O966" s="749"/>
      <c r="P966" s="749"/>
      <c r="Q966" s="749"/>
      <c r="R966" s="749"/>
      <c r="S966" s="749"/>
      <c r="T966" s="749"/>
      <c r="U966" s="749"/>
      <c r="V966" s="749"/>
      <c r="W966" s="749"/>
      <c r="X966" s="749"/>
      <c r="Y966" s="749"/>
      <c r="Z966" s="749"/>
      <c r="AA966" s="749"/>
      <c r="AB966" s="749"/>
      <c r="AC966" s="749"/>
      <c r="AD966" s="749"/>
      <c r="AF966"/>
      <c r="AG966">
        <f t="shared" si="406"/>
        <v>0</v>
      </c>
      <c r="AH966">
        <f t="shared" si="402"/>
        <v>0</v>
      </c>
      <c r="AI966">
        <f t="shared" si="403"/>
        <v>0</v>
      </c>
      <c r="AJ966">
        <f t="shared" si="404"/>
        <v>0</v>
      </c>
      <c r="AK966">
        <f t="shared" si="405"/>
        <v>0</v>
      </c>
      <c r="AO966"/>
      <c r="AP966"/>
      <c r="AQ966"/>
      <c r="AR966"/>
      <c r="AS966"/>
      <c r="AT966" cm="1">
        <f t="array" ref="AT966">IF(OR(M966={"NS","NA"},$M$71={"NS","NA"}),0,IF(M966&lt;=$M$71,0,1))</f>
        <v>0</v>
      </c>
      <c r="AU966" cm="1">
        <f t="array" ref="AU966">IF(OR(S966={"NS","NA"},$S$71={"NS","NA"}),0,IF(S966&lt;=$S$71,0,1))</f>
        <v>0</v>
      </c>
      <c r="AV966" cm="1">
        <f t="array" ref="AV966">IF(OR(Y966={"NS","NA"},$Y$71={"NS","NA"}),0,IF(Y966&lt;=$Y$71,0,1))</f>
        <v>0</v>
      </c>
      <c r="AW966" cm="1">
        <f t="array" ref="AW966">IF(OR(M966={"NS","NA"},V909={"NS","NA"}),0,IF(M966&lt;=V909,0,1))</f>
        <v>0</v>
      </c>
      <c r="AX966" cm="1">
        <f t="array" ref="AX966">IF(OR(S966={"NS","NA"},W909={"NS","NA"}),0,IF(S966&lt;=W909,0,1))</f>
        <v>0</v>
      </c>
      <c r="AY966" cm="1">
        <f t="array" ref="AY966">IF(OR(Y966={"NS","NA"},X909={"NS","NA"}),0,IF(Y966&lt;=X909,0,1))</f>
        <v>0</v>
      </c>
    </row>
    <row r="967" spans="1:51" ht="15" customHeight="1">
      <c r="A967" s="50"/>
      <c r="B967" s="38"/>
      <c r="C967" s="733" t="s">
        <v>4750</v>
      </c>
      <c r="D967" s="734"/>
      <c r="E967" s="734"/>
      <c r="F967" s="735"/>
      <c r="G967" s="796" t="s">
        <v>4751</v>
      </c>
      <c r="H967" s="796"/>
      <c r="I967" s="796"/>
      <c r="J967" s="796"/>
      <c r="K967" s="796"/>
      <c r="L967" s="796"/>
      <c r="M967" s="749"/>
      <c r="N967" s="749"/>
      <c r="O967" s="749"/>
      <c r="P967" s="749"/>
      <c r="Q967" s="749"/>
      <c r="R967" s="749"/>
      <c r="S967" s="749"/>
      <c r="T967" s="749"/>
      <c r="U967" s="749"/>
      <c r="V967" s="749"/>
      <c r="W967" s="749"/>
      <c r="X967" s="749"/>
      <c r="Y967" s="749"/>
      <c r="Z967" s="749"/>
      <c r="AA967" s="749"/>
      <c r="AB967" s="749"/>
      <c r="AC967" s="749"/>
      <c r="AD967" s="749"/>
      <c r="AF967"/>
      <c r="AG967">
        <f t="shared" si="406"/>
        <v>0</v>
      </c>
      <c r="AH967">
        <f t="shared" si="402"/>
        <v>0</v>
      </c>
      <c r="AI967">
        <f t="shared" si="403"/>
        <v>0</v>
      </c>
      <c r="AJ967">
        <f t="shared" si="404"/>
        <v>0</v>
      </c>
      <c r="AK967">
        <f t="shared" si="405"/>
        <v>0</v>
      </c>
      <c r="AO967"/>
      <c r="AP967"/>
      <c r="AQ967"/>
      <c r="AR967"/>
      <c r="AS967"/>
      <c r="AT967" cm="1">
        <f t="array" ref="AT967">IF(OR(M967={"NS","NA"},$M$71={"NS","NA"}),0,IF(M967&lt;=$M$71,0,1))</f>
        <v>0</v>
      </c>
      <c r="AU967" cm="1">
        <f t="array" ref="AU967">IF(OR(S967={"NS","NA"},$S$71={"NS","NA"}),0,IF(S967&lt;=$S$71,0,1))</f>
        <v>0</v>
      </c>
      <c r="AV967" cm="1">
        <f t="array" ref="AV967">IF(OR(Y967={"NS","NA"},$Y$71={"NS","NA"}),0,IF(Y967&lt;=$Y$71,0,1))</f>
        <v>0</v>
      </c>
      <c r="AW967" cm="1">
        <f t="array" ref="AW967">IF(OR(M967={"NS","NA"},V910={"NS","NA"}),0,IF(M967&lt;=V910,0,1))</f>
        <v>0</v>
      </c>
      <c r="AX967" cm="1">
        <f t="array" ref="AX967">IF(OR(S967={"NS","NA"},W910={"NS","NA"}),0,IF(S967&lt;=W910,0,1))</f>
        <v>0</v>
      </c>
      <c r="AY967" cm="1">
        <f t="array" ref="AY967">IF(OR(Y967={"NS","NA"},X910={"NS","NA"}),0,IF(Y967&lt;=X910,0,1))</f>
        <v>0</v>
      </c>
    </row>
    <row r="968" spans="1:51" ht="24" customHeight="1">
      <c r="A968" s="50"/>
      <c r="B968" s="38"/>
      <c r="C968" s="733" t="s">
        <v>4764</v>
      </c>
      <c r="D968" s="734"/>
      <c r="E968" s="734"/>
      <c r="F968" s="735"/>
      <c r="G968" s="796" t="s">
        <v>4765</v>
      </c>
      <c r="H968" s="796"/>
      <c r="I968" s="796"/>
      <c r="J968" s="796"/>
      <c r="K968" s="796"/>
      <c r="L968" s="796"/>
      <c r="M968" s="749"/>
      <c r="N968" s="749"/>
      <c r="O968" s="749"/>
      <c r="P968" s="749"/>
      <c r="Q968" s="749"/>
      <c r="R968" s="749"/>
      <c r="S968" s="749"/>
      <c r="T968" s="749"/>
      <c r="U968" s="749"/>
      <c r="V968" s="749"/>
      <c r="W968" s="749"/>
      <c r="X968" s="749"/>
      <c r="Y968" s="749"/>
      <c r="Z968" s="749"/>
      <c r="AA968" s="749"/>
      <c r="AB968" s="749"/>
      <c r="AC968" s="749"/>
      <c r="AD968" s="749"/>
      <c r="AF968"/>
      <c r="AG968">
        <f t="shared" si="406"/>
        <v>0</v>
      </c>
      <c r="AH968">
        <f t="shared" si="402"/>
        <v>0</v>
      </c>
      <c r="AI968">
        <f t="shared" si="403"/>
        <v>0</v>
      </c>
      <c r="AJ968">
        <f t="shared" si="404"/>
        <v>0</v>
      </c>
      <c r="AK968">
        <f t="shared" si="405"/>
        <v>0</v>
      </c>
      <c r="AO968"/>
      <c r="AP968"/>
      <c r="AQ968"/>
      <c r="AR968"/>
      <c r="AS968"/>
      <c r="AT968" cm="1">
        <f t="array" ref="AT968">IF(OR(M968={"NS","NA"},$M$71={"NS","NA"}),0,IF(M968&lt;=$M$71,0,1))</f>
        <v>0</v>
      </c>
      <c r="AU968" cm="1">
        <f t="array" ref="AU968">IF(OR(S968={"NS","NA"},$S$71={"NS","NA"}),0,IF(S968&lt;=$S$71,0,1))</f>
        <v>0</v>
      </c>
      <c r="AV968" cm="1">
        <f t="array" ref="AV968">IF(OR(Y968={"NS","NA"},$Y$71={"NS","NA"}),0,IF(Y968&lt;=$Y$71,0,1))</f>
        <v>0</v>
      </c>
      <c r="AW968" cm="1">
        <f t="array" ref="AW968">IF(OR(M968={"NS","NA"},V911={"NS","NA"}),0,IF(M968&lt;=V911,0,1))</f>
        <v>0</v>
      </c>
      <c r="AX968" cm="1">
        <f t="array" ref="AX968">IF(OR(S968={"NS","NA"},W911={"NS","NA"}),0,IF(S968&lt;=W911,0,1))</f>
        <v>0</v>
      </c>
      <c r="AY968" cm="1">
        <f t="array" ref="AY968">IF(OR(Y968={"NS","NA"},X911={"NS","NA"}),0,IF(Y968&lt;=X911,0,1))</f>
        <v>0</v>
      </c>
    </row>
    <row r="969" spans="1:51" ht="15" customHeight="1">
      <c r="A969" s="50"/>
      <c r="B969" s="38"/>
      <c r="C969" s="733" t="s">
        <v>4828</v>
      </c>
      <c r="D969" s="734"/>
      <c r="E969" s="734"/>
      <c r="F969" s="735"/>
      <c r="G969" s="796" t="s">
        <v>4829</v>
      </c>
      <c r="H969" s="796"/>
      <c r="I969" s="796"/>
      <c r="J969" s="796"/>
      <c r="K969" s="796"/>
      <c r="L969" s="796"/>
      <c r="M969" s="749"/>
      <c r="N969" s="749"/>
      <c r="O969" s="749"/>
      <c r="P969" s="749"/>
      <c r="Q969" s="749"/>
      <c r="R969" s="749"/>
      <c r="S969" s="749"/>
      <c r="T969" s="749"/>
      <c r="U969" s="749"/>
      <c r="V969" s="749"/>
      <c r="W969" s="749"/>
      <c r="X969" s="749"/>
      <c r="Y969" s="749"/>
      <c r="Z969" s="749"/>
      <c r="AA969" s="749"/>
      <c r="AB969" s="749"/>
      <c r="AC969" s="749"/>
      <c r="AD969" s="749"/>
      <c r="AF969"/>
      <c r="AG969">
        <f t="shared" si="406"/>
        <v>0</v>
      </c>
      <c r="AH969">
        <f t="shared" si="402"/>
        <v>0</v>
      </c>
      <c r="AI969">
        <f t="shared" si="403"/>
        <v>0</v>
      </c>
      <c r="AJ969">
        <f t="shared" si="404"/>
        <v>0</v>
      </c>
      <c r="AK969">
        <f t="shared" si="405"/>
        <v>0</v>
      </c>
      <c r="AO969"/>
      <c r="AP969"/>
      <c r="AQ969"/>
      <c r="AR969"/>
      <c r="AS969"/>
      <c r="AT969" cm="1">
        <f t="array" ref="AT969">IF(OR(M969={"NS","NA"},$M$71={"NS","NA"}),0,IF(M969&lt;=$M$71,0,1))</f>
        <v>0</v>
      </c>
      <c r="AU969" cm="1">
        <f t="array" ref="AU969">IF(OR(S969={"NS","NA"},$S$71={"NS","NA"}),0,IF(S969&lt;=$S$71,0,1))</f>
        <v>0</v>
      </c>
      <c r="AV969" cm="1">
        <f t="array" ref="AV969">IF(OR(Y969={"NS","NA"},$Y$71={"NS","NA"}),0,IF(Y969&lt;=$Y$71,0,1))</f>
        <v>0</v>
      </c>
      <c r="AW969" cm="1">
        <f t="array" ref="AW969">IF(OR(M969={"NS","NA"},V912={"NS","NA"}),0,IF(M969&lt;=V912,0,1))</f>
        <v>0</v>
      </c>
      <c r="AX969" cm="1">
        <f t="array" ref="AX969">IF(OR(S969={"NS","NA"},W912={"NS","NA"}),0,IF(S969&lt;=W912,0,1))</f>
        <v>0</v>
      </c>
      <c r="AY969" cm="1">
        <f t="array" ref="AY969">IF(OR(Y969={"NS","NA"},X912={"NS","NA"}),0,IF(Y969&lt;=X912,0,1))</f>
        <v>0</v>
      </c>
    </row>
    <row r="970" spans="1:51" ht="15" customHeight="1">
      <c r="A970" s="50"/>
      <c r="B970" s="38"/>
      <c r="C970" s="733" t="s">
        <v>4830</v>
      </c>
      <c r="D970" s="734"/>
      <c r="E970" s="734"/>
      <c r="F970" s="735"/>
      <c r="G970" s="796" t="s">
        <v>4831</v>
      </c>
      <c r="H970" s="796"/>
      <c r="I970" s="796"/>
      <c r="J970" s="796"/>
      <c r="K970" s="796"/>
      <c r="L970" s="796"/>
      <c r="M970" s="749"/>
      <c r="N970" s="749"/>
      <c r="O970" s="749"/>
      <c r="P970" s="749"/>
      <c r="Q970" s="749"/>
      <c r="R970" s="749"/>
      <c r="S970" s="749"/>
      <c r="T970" s="749"/>
      <c r="U970" s="749"/>
      <c r="V970" s="749"/>
      <c r="W970" s="749"/>
      <c r="X970" s="749"/>
      <c r="Y970" s="749"/>
      <c r="Z970" s="749"/>
      <c r="AA970" s="749"/>
      <c r="AB970" s="749"/>
      <c r="AC970" s="749"/>
      <c r="AD970" s="749"/>
      <c r="AF970"/>
      <c r="AG970">
        <f t="shared" si="406"/>
        <v>0</v>
      </c>
      <c r="AH970">
        <f t="shared" si="402"/>
        <v>0</v>
      </c>
      <c r="AI970">
        <f t="shared" si="403"/>
        <v>0</v>
      </c>
      <c r="AJ970">
        <f t="shared" si="404"/>
        <v>0</v>
      </c>
      <c r="AK970">
        <f t="shared" si="405"/>
        <v>0</v>
      </c>
      <c r="AO970"/>
      <c r="AP970"/>
      <c r="AQ970"/>
      <c r="AR970"/>
      <c r="AS970"/>
      <c r="AT970" cm="1">
        <f t="array" ref="AT970">IF(OR(M970={"NS","NA"},$M$71={"NS","NA"}),0,IF(M970&lt;=$M$71,0,1))</f>
        <v>0</v>
      </c>
      <c r="AU970" cm="1">
        <f t="array" ref="AU970">IF(OR(S970={"NS","NA"},$S$71={"NS","NA"}),0,IF(S970&lt;=$S$71,0,1))</f>
        <v>0</v>
      </c>
      <c r="AV970" cm="1">
        <f t="array" ref="AV970">IF(OR(Y970={"NS","NA"},$Y$71={"NS","NA"}),0,IF(Y970&lt;=$Y$71,0,1))</f>
        <v>0</v>
      </c>
      <c r="AW970" cm="1">
        <f t="array" ref="AW970">IF(OR(M970={"NS","NA"},V913={"NS","NA"}),0,IF(M970&lt;=V913,0,1))</f>
        <v>0</v>
      </c>
      <c r="AX970" cm="1">
        <f t="array" ref="AX970">IF(OR(S970={"NS","NA"},W913={"NS","NA"}),0,IF(S970&lt;=W913,0,1))</f>
        <v>0</v>
      </c>
      <c r="AY970" cm="1">
        <f t="array" ref="AY970">IF(OR(Y970={"NS","NA"},X913={"NS","NA"}),0,IF(Y970&lt;=X913,0,1))</f>
        <v>0</v>
      </c>
    </row>
    <row r="971" spans="1:51" ht="15" customHeight="1">
      <c r="A971" s="50"/>
      <c r="B971" s="38"/>
      <c r="C971" s="733" t="s">
        <v>4832</v>
      </c>
      <c r="D971" s="734"/>
      <c r="E971" s="734"/>
      <c r="F971" s="735"/>
      <c r="G971" s="796" t="s">
        <v>4833</v>
      </c>
      <c r="H971" s="796"/>
      <c r="I971" s="796"/>
      <c r="J971" s="796"/>
      <c r="K971" s="796"/>
      <c r="L971" s="796"/>
      <c r="M971" s="749"/>
      <c r="N971" s="749"/>
      <c r="O971" s="749"/>
      <c r="P971" s="749"/>
      <c r="Q971" s="749"/>
      <c r="R971" s="749"/>
      <c r="S971" s="749"/>
      <c r="T971" s="749"/>
      <c r="U971" s="749"/>
      <c r="V971" s="749"/>
      <c r="W971" s="749"/>
      <c r="X971" s="749"/>
      <c r="Y971" s="749"/>
      <c r="Z971" s="749"/>
      <c r="AA971" s="749"/>
      <c r="AB971" s="749"/>
      <c r="AC971" s="749"/>
      <c r="AD971" s="749"/>
      <c r="AF971"/>
      <c r="AG971">
        <f t="shared" si="406"/>
        <v>0</v>
      </c>
      <c r="AH971">
        <f t="shared" si="402"/>
        <v>0</v>
      </c>
      <c r="AI971">
        <f t="shared" si="403"/>
        <v>0</v>
      </c>
      <c r="AJ971">
        <f t="shared" si="404"/>
        <v>0</v>
      </c>
      <c r="AK971">
        <f t="shared" si="405"/>
        <v>0</v>
      </c>
      <c r="AO971"/>
      <c r="AP971"/>
      <c r="AQ971"/>
      <c r="AR971"/>
      <c r="AS971"/>
      <c r="AT971" cm="1">
        <f t="array" ref="AT971">IF(OR(M971={"NS","NA"},$M$71={"NS","NA"}),0,IF(M971&lt;=$M$71,0,1))</f>
        <v>0</v>
      </c>
      <c r="AU971" cm="1">
        <f t="array" ref="AU971">IF(OR(S971={"NS","NA"},$S$71={"NS","NA"}),0,IF(S971&lt;=$S$71,0,1))</f>
        <v>0</v>
      </c>
      <c r="AV971" cm="1">
        <f t="array" ref="AV971">IF(OR(Y971={"NS","NA"},$Y$71={"NS","NA"}),0,IF(Y971&lt;=$Y$71,0,1))</f>
        <v>0</v>
      </c>
      <c r="AW971" cm="1">
        <f t="array" ref="AW971">IF(OR(M971={"NS","NA"},V914={"NS","NA"}),0,IF(M971&lt;=V914,0,1))</f>
        <v>0</v>
      </c>
      <c r="AX971" cm="1">
        <f t="array" ref="AX971">IF(OR(S971={"NS","NA"},W914={"NS","NA"}),0,IF(S971&lt;=W914,0,1))</f>
        <v>0</v>
      </c>
      <c r="AY971" cm="1">
        <f t="array" ref="AY971">IF(OR(Y971={"NS","NA"},X914={"NS","NA"}),0,IF(Y971&lt;=X914,0,1))</f>
        <v>0</v>
      </c>
    </row>
    <row r="972" spans="1:51" ht="15" customHeight="1">
      <c r="A972" s="50"/>
      <c r="B972" s="38"/>
      <c r="C972" s="733" t="s">
        <v>4834</v>
      </c>
      <c r="D972" s="734"/>
      <c r="E972" s="734"/>
      <c r="F972" s="735"/>
      <c r="G972" s="796" t="s">
        <v>4835</v>
      </c>
      <c r="H972" s="796"/>
      <c r="I972" s="796"/>
      <c r="J972" s="796"/>
      <c r="K972" s="796"/>
      <c r="L972" s="796"/>
      <c r="M972" s="749"/>
      <c r="N972" s="749"/>
      <c r="O972" s="749"/>
      <c r="P972" s="749"/>
      <c r="Q972" s="749"/>
      <c r="R972" s="749"/>
      <c r="S972" s="749"/>
      <c r="T972" s="749"/>
      <c r="U972" s="749"/>
      <c r="V972" s="749"/>
      <c r="W972" s="749"/>
      <c r="X972" s="749"/>
      <c r="Y972" s="749"/>
      <c r="Z972" s="749"/>
      <c r="AA972" s="749"/>
      <c r="AB972" s="749"/>
      <c r="AC972" s="749"/>
      <c r="AD972" s="749"/>
      <c r="AF972"/>
      <c r="AG972">
        <f t="shared" si="406"/>
        <v>0</v>
      </c>
      <c r="AH972">
        <f t="shared" si="402"/>
        <v>0</v>
      </c>
      <c r="AI972">
        <f t="shared" si="403"/>
        <v>0</v>
      </c>
      <c r="AJ972">
        <f t="shared" si="404"/>
        <v>0</v>
      </c>
      <c r="AK972">
        <f t="shared" si="405"/>
        <v>0</v>
      </c>
      <c r="AO972"/>
      <c r="AP972"/>
      <c r="AQ972"/>
      <c r="AR972"/>
      <c r="AS972"/>
      <c r="AT972" cm="1">
        <f t="array" ref="AT972">IF(OR(M972={"NS","NA"},$M$71={"NS","NA"}),0,IF(M972&lt;=$M$71,0,1))</f>
        <v>0</v>
      </c>
      <c r="AU972" cm="1">
        <f t="array" ref="AU972">IF(OR(S972={"NS","NA"},$S$71={"NS","NA"}),0,IF(S972&lt;=$S$71,0,1))</f>
        <v>0</v>
      </c>
      <c r="AV972" cm="1">
        <f t="array" ref="AV972">IF(OR(Y972={"NS","NA"},$Y$71={"NS","NA"}),0,IF(Y972&lt;=$Y$71,0,1))</f>
        <v>0</v>
      </c>
      <c r="AW972" cm="1">
        <f t="array" ref="AW972">IF(OR(M972={"NS","NA"},V915={"NS","NA"}),0,IF(M972&lt;=V915,0,1))</f>
        <v>0</v>
      </c>
      <c r="AX972" cm="1">
        <f t="array" ref="AX972">IF(OR(S972={"NS","NA"},W915={"NS","NA"}),0,IF(S972&lt;=W915,0,1))</f>
        <v>0</v>
      </c>
      <c r="AY972" cm="1">
        <f t="array" ref="AY972">IF(OR(Y972={"NS","NA"},X915={"NS","NA"}),0,IF(Y972&lt;=X915,0,1))</f>
        <v>0</v>
      </c>
    </row>
    <row r="973" spans="1:51" ht="36" customHeight="1">
      <c r="A973" s="50"/>
      <c r="B973" s="38"/>
      <c r="C973" s="733" t="s">
        <v>4850</v>
      </c>
      <c r="D973" s="734"/>
      <c r="E973" s="734"/>
      <c r="F973" s="735"/>
      <c r="G973" s="796" t="s">
        <v>4851</v>
      </c>
      <c r="H973" s="796"/>
      <c r="I973" s="796"/>
      <c r="J973" s="796"/>
      <c r="K973" s="796"/>
      <c r="L973" s="796"/>
      <c r="M973" s="749"/>
      <c r="N973" s="749"/>
      <c r="O973" s="749"/>
      <c r="P973" s="749"/>
      <c r="Q973" s="749"/>
      <c r="R973" s="749"/>
      <c r="S973" s="749"/>
      <c r="T973" s="749"/>
      <c r="U973" s="749"/>
      <c r="V973" s="749"/>
      <c r="W973" s="749"/>
      <c r="X973" s="749"/>
      <c r="Y973" s="749"/>
      <c r="Z973" s="749"/>
      <c r="AA973" s="749"/>
      <c r="AB973" s="749"/>
      <c r="AC973" s="749"/>
      <c r="AD973" s="749"/>
      <c r="AF973"/>
      <c r="AG973">
        <f t="shared" si="406"/>
        <v>0</v>
      </c>
      <c r="AH973">
        <f t="shared" si="402"/>
        <v>0</v>
      </c>
      <c r="AI973">
        <f t="shared" si="403"/>
        <v>0</v>
      </c>
      <c r="AJ973">
        <f t="shared" si="404"/>
        <v>0</v>
      </c>
      <c r="AK973">
        <f t="shared" si="405"/>
        <v>0</v>
      </c>
      <c r="AO973"/>
      <c r="AP973"/>
      <c r="AQ973"/>
      <c r="AR973"/>
      <c r="AS973"/>
      <c r="AT973" cm="1">
        <f t="array" ref="AT973">IF(OR(M973={"NS","NA"},$M$71={"NS","NA"}),0,IF(M973&lt;=$M$71,0,1))</f>
        <v>0</v>
      </c>
      <c r="AU973" cm="1">
        <f t="array" ref="AU973">IF(OR(S973={"NS","NA"},$S$71={"NS","NA"}),0,IF(S973&lt;=$S$71,0,1))</f>
        <v>0</v>
      </c>
      <c r="AV973" cm="1">
        <f t="array" ref="AV973">IF(OR(Y973={"NS","NA"},$Y$71={"NS","NA"}),0,IF(Y973&lt;=$Y$71,0,1))</f>
        <v>0</v>
      </c>
      <c r="AW973" cm="1">
        <f t="array" ref="AW973">IF(OR(M973={"NS","NA"},V916={"NS","NA"}),0,IF(M973&lt;=V916,0,1))</f>
        <v>0</v>
      </c>
      <c r="AX973" cm="1">
        <f t="array" ref="AX973">IF(OR(S973={"NS","NA"},W916={"NS","NA"}),0,IF(S973&lt;=W916,0,1))</f>
        <v>0</v>
      </c>
      <c r="AY973" cm="1">
        <f t="array" ref="AY973">IF(OR(Y973={"NS","NA"},X916={"NS","NA"}),0,IF(Y973&lt;=X916,0,1))</f>
        <v>0</v>
      </c>
    </row>
    <row r="974" spans="1:51" ht="15" customHeight="1">
      <c r="A974" s="50"/>
      <c r="B974" s="38"/>
      <c r="C974" s="733" t="s">
        <v>4921</v>
      </c>
      <c r="D974" s="734"/>
      <c r="E974" s="734"/>
      <c r="F974" s="735"/>
      <c r="G974" s="796" t="s">
        <v>4922</v>
      </c>
      <c r="H974" s="796"/>
      <c r="I974" s="796"/>
      <c r="J974" s="796"/>
      <c r="K974" s="796"/>
      <c r="L974" s="796"/>
      <c r="M974" s="749"/>
      <c r="N974" s="749"/>
      <c r="O974" s="749"/>
      <c r="P974" s="749"/>
      <c r="Q974" s="749"/>
      <c r="R974" s="749"/>
      <c r="S974" s="749"/>
      <c r="T974" s="749"/>
      <c r="U974" s="749"/>
      <c r="V974" s="749"/>
      <c r="W974" s="749"/>
      <c r="X974" s="749"/>
      <c r="Y974" s="749"/>
      <c r="Z974" s="749"/>
      <c r="AA974" s="749"/>
      <c r="AB974" s="749"/>
      <c r="AC974" s="749"/>
      <c r="AD974" s="749"/>
      <c r="AF974"/>
      <c r="AG974">
        <f t="shared" si="406"/>
        <v>0</v>
      </c>
      <c r="AH974">
        <f t="shared" si="402"/>
        <v>0</v>
      </c>
      <c r="AI974">
        <f t="shared" si="403"/>
        <v>0</v>
      </c>
      <c r="AJ974">
        <f t="shared" si="404"/>
        <v>0</v>
      </c>
      <c r="AK974">
        <f t="shared" si="405"/>
        <v>0</v>
      </c>
      <c r="AO974"/>
      <c r="AP974"/>
      <c r="AQ974"/>
      <c r="AR974"/>
      <c r="AS974"/>
      <c r="AT974" cm="1">
        <f t="array" ref="AT974">IF(OR(M974={"NS","NA"},$M$71={"NS","NA"}),0,IF(M974&lt;=$M$71,0,1))</f>
        <v>0</v>
      </c>
      <c r="AU974" cm="1">
        <f t="array" ref="AU974">IF(OR(S974={"NS","NA"},$S$71={"NS","NA"}),0,IF(S974&lt;=$S$71,0,1))</f>
        <v>0</v>
      </c>
      <c r="AV974" cm="1">
        <f t="array" ref="AV974">IF(OR(Y974={"NS","NA"},$Y$71={"NS","NA"}),0,IF(Y974&lt;=$Y$71,0,1))</f>
        <v>0</v>
      </c>
      <c r="AW974" cm="1">
        <f t="array" ref="AW974">IF(OR(M974={"NS","NA"},V917={"NS","NA"}),0,IF(M974&lt;=V917,0,1))</f>
        <v>0</v>
      </c>
      <c r="AX974" cm="1">
        <f t="array" ref="AX974">IF(OR(S974={"NS","NA"},W917={"NS","NA"}),0,IF(S974&lt;=W917,0,1))</f>
        <v>0</v>
      </c>
      <c r="AY974" cm="1">
        <f t="array" ref="AY974">IF(OR(Y974={"NS","NA"},X917={"NS","NA"}),0,IF(Y974&lt;=X917,0,1))</f>
        <v>0</v>
      </c>
    </row>
    <row r="975" spans="1:51" ht="15" customHeight="1">
      <c r="A975" s="50"/>
      <c r="B975" s="38"/>
      <c r="C975" s="733" t="s">
        <v>4944</v>
      </c>
      <c r="D975" s="734"/>
      <c r="E975" s="734"/>
      <c r="F975" s="735"/>
      <c r="G975" s="796" t="s">
        <v>4945</v>
      </c>
      <c r="H975" s="796"/>
      <c r="I975" s="796"/>
      <c r="J975" s="796"/>
      <c r="K975" s="796"/>
      <c r="L975" s="796"/>
      <c r="M975" s="749"/>
      <c r="N975" s="749"/>
      <c r="O975" s="749"/>
      <c r="P975" s="749"/>
      <c r="Q975" s="749"/>
      <c r="R975" s="749"/>
      <c r="S975" s="749"/>
      <c r="T975" s="749"/>
      <c r="U975" s="749"/>
      <c r="V975" s="749"/>
      <c r="W975" s="749"/>
      <c r="X975" s="749"/>
      <c r="Y975" s="749"/>
      <c r="Z975" s="749"/>
      <c r="AA975" s="749"/>
      <c r="AB975" s="749"/>
      <c r="AC975" s="749"/>
      <c r="AD975" s="749"/>
      <c r="AF975">
        <f>IF(M975="NA",IF(AND(COUNTIF(M976:M980,"="&amp;$AF$956)=0,COUNTIF(M976:M980,"&lt;&gt;NA")&gt;0),1,0),IF(AND(COUNTIF(M976:M980,"="&amp;$AF$956)=0,COUNTIF(M976:M980,"NA")=COUNTIF(M976:M980,"&lt;&gt;"&amp;$AF$956)),1,0))</f>
        <v>0</v>
      </c>
      <c r="AG975">
        <f t="shared" si="406"/>
        <v>0</v>
      </c>
      <c r="AH975">
        <f t="shared" si="402"/>
        <v>0</v>
      </c>
      <c r="AI975">
        <f t="shared" si="403"/>
        <v>0</v>
      </c>
      <c r="AJ975">
        <f t="shared" si="404"/>
        <v>0</v>
      </c>
      <c r="AK975">
        <f t="shared" si="405"/>
        <v>0</v>
      </c>
      <c r="AO975"/>
      <c r="AP975"/>
      <c r="AQ975"/>
      <c r="AR975"/>
      <c r="AS975"/>
      <c r="AT975" cm="1">
        <f t="array" ref="AT975">IF(OR(M975={"NS","NA"},$M$71={"NS","NA"}),0,IF(M975&lt;=$M$71,0,1))</f>
        <v>0</v>
      </c>
      <c r="AU975" cm="1">
        <f t="array" ref="AU975">IF(OR(S975={"NS","NA"},$S$71={"NS","NA"}),0,IF(S975&lt;=$S$71,0,1))</f>
        <v>0</v>
      </c>
      <c r="AV975" cm="1">
        <f t="array" ref="AV975">IF(OR(Y975={"NS","NA"},$Y$71={"NS","NA"}),0,IF(Y975&lt;=$Y$71,0,1))</f>
        <v>0</v>
      </c>
      <c r="AW975" cm="1">
        <f t="array" ref="AW975">IF(OR(M975={"NS","NA"},V918={"NS","NA"}),0,IF(M975&lt;=V918,0,1))</f>
        <v>0</v>
      </c>
      <c r="AX975" cm="1">
        <f t="array" ref="AX975">IF(OR(S975={"NS","NA"},W918={"NS","NA"}),0,IF(S975&lt;=W918,0,1))</f>
        <v>0</v>
      </c>
      <c r="AY975" cm="1">
        <f t="array" ref="AY975">IF(OR(Y975={"NS","NA"},X918={"NS","NA"}),0,IF(Y975&lt;=X918,0,1))</f>
        <v>0</v>
      </c>
    </row>
    <row r="976" spans="1:51" ht="36" customHeight="1">
      <c r="A976" s="50"/>
      <c r="B976" s="38"/>
      <c r="C976" s="1119" t="s">
        <v>4946</v>
      </c>
      <c r="D976" s="1121"/>
      <c r="E976" s="1121"/>
      <c r="F976" s="1120"/>
      <c r="G976" s="173"/>
      <c r="H976" s="1126" t="s">
        <v>4947</v>
      </c>
      <c r="I976" s="1126"/>
      <c r="J976" s="1126"/>
      <c r="K976" s="1126"/>
      <c r="L976" s="1127"/>
      <c r="M976" s="749"/>
      <c r="N976" s="749"/>
      <c r="O976" s="749"/>
      <c r="P976" s="749"/>
      <c r="Q976" s="749"/>
      <c r="R976" s="749"/>
      <c r="S976" s="749"/>
      <c r="T976" s="749"/>
      <c r="U976" s="749"/>
      <c r="V976" s="749"/>
      <c r="W976" s="749"/>
      <c r="X976" s="749"/>
      <c r="Y976" s="749"/>
      <c r="Z976" s="749"/>
      <c r="AA976" s="749"/>
      <c r="AB976" s="749"/>
      <c r="AC976" s="749"/>
      <c r="AD976" s="749"/>
      <c r="AF976"/>
      <c r="AG976">
        <f t="shared" si="406"/>
        <v>0</v>
      </c>
      <c r="AH976">
        <f t="shared" si="402"/>
        <v>0</v>
      </c>
      <c r="AI976">
        <f t="shared" si="403"/>
        <v>0</v>
      </c>
      <c r="AJ976">
        <f t="shared" si="404"/>
        <v>0</v>
      </c>
      <c r="AK976">
        <f t="shared" si="405"/>
        <v>0</v>
      </c>
      <c r="AO976"/>
      <c r="AP976"/>
      <c r="AQ976"/>
      <c r="AR976"/>
      <c r="AS976"/>
      <c r="AT976" cm="1">
        <f t="array" ref="AT976">IF(OR(M976={"NS","NA"},$M$71={"NS","NA"}),0,IF(M976&lt;=$M$71,0,1))</f>
        <v>0</v>
      </c>
      <c r="AU976" cm="1">
        <f t="array" ref="AU976">IF(OR(S976={"NS","NA"},$S$71={"NS","NA"}),0,IF(S976&lt;=$S$71,0,1))</f>
        <v>0</v>
      </c>
      <c r="AV976" cm="1">
        <f t="array" ref="AV976">IF(OR(Y976={"NS","NA"},$Y$71={"NS","NA"}),0,IF(Y976&lt;=$Y$71,0,1))</f>
        <v>0</v>
      </c>
      <c r="AW976" cm="1">
        <f t="array" ref="AW976">IF(OR(M976={"NS","NA"},V919={"NS","NA"}),0,IF(M976&lt;=V919,0,1))</f>
        <v>0</v>
      </c>
      <c r="AX976" cm="1">
        <f t="array" ref="AX976">IF(OR(S976={"NS","NA"},W919={"NS","NA"}),0,IF(S976&lt;=W919,0,1))</f>
        <v>0</v>
      </c>
      <c r="AY976" cm="1">
        <f t="array" ref="AY976">IF(OR(Y976={"NS","NA"},X919={"NS","NA"}),0,IF(Y976&lt;=X919,0,1))</f>
        <v>0</v>
      </c>
    </row>
    <row r="977" spans="1:51" ht="36" customHeight="1">
      <c r="A977" s="50"/>
      <c r="B977" s="38"/>
      <c r="C977" s="1119" t="s">
        <v>4948</v>
      </c>
      <c r="D977" s="1121"/>
      <c r="E977" s="1121"/>
      <c r="F977" s="1120"/>
      <c r="G977" s="174"/>
      <c r="H977" s="1122" t="s">
        <v>4949</v>
      </c>
      <c r="I977" s="1122"/>
      <c r="J977" s="1122"/>
      <c r="K977" s="1122"/>
      <c r="L977" s="1123"/>
      <c r="M977" s="749"/>
      <c r="N977" s="749"/>
      <c r="O977" s="749"/>
      <c r="P977" s="749"/>
      <c r="Q977" s="749"/>
      <c r="R977" s="749"/>
      <c r="S977" s="749"/>
      <c r="T977" s="749"/>
      <c r="U977" s="749"/>
      <c r="V977" s="749"/>
      <c r="W977" s="749"/>
      <c r="X977" s="749"/>
      <c r="Y977" s="749"/>
      <c r="Z977" s="749"/>
      <c r="AA977" s="749"/>
      <c r="AB977" s="749"/>
      <c r="AC977" s="749"/>
      <c r="AD977" s="749"/>
      <c r="AF977"/>
      <c r="AG977">
        <f t="shared" si="406"/>
        <v>0</v>
      </c>
      <c r="AH977">
        <f t="shared" si="402"/>
        <v>0</v>
      </c>
      <c r="AI977">
        <f t="shared" si="403"/>
        <v>0</v>
      </c>
      <c r="AJ977">
        <f t="shared" si="404"/>
        <v>0</v>
      </c>
      <c r="AK977">
        <f t="shared" si="405"/>
        <v>0</v>
      </c>
      <c r="AO977"/>
      <c r="AP977"/>
      <c r="AQ977"/>
      <c r="AR977"/>
      <c r="AS977"/>
      <c r="AT977" cm="1">
        <f t="array" ref="AT977">IF(OR(M977={"NS","NA"},$M$71={"NS","NA"}),0,IF(M977&lt;=$M$71,0,1))</f>
        <v>0</v>
      </c>
      <c r="AU977" cm="1">
        <f t="array" ref="AU977">IF(OR(S977={"NS","NA"},$S$71={"NS","NA"}),0,IF(S977&lt;=$S$71,0,1))</f>
        <v>0</v>
      </c>
      <c r="AV977" cm="1">
        <f t="array" ref="AV977">IF(OR(Y977={"NS","NA"},$Y$71={"NS","NA"}),0,IF(Y977&lt;=$Y$71,0,1))</f>
        <v>0</v>
      </c>
      <c r="AW977" cm="1">
        <f t="array" ref="AW977">IF(OR(M977={"NS","NA"},V920={"NS","NA"}),0,IF(M977&lt;=V920,0,1))</f>
        <v>0</v>
      </c>
      <c r="AX977" cm="1">
        <f t="array" ref="AX977">IF(OR(S977={"NS","NA"},W920={"NS","NA"}),0,IF(S977&lt;=W920,0,1))</f>
        <v>0</v>
      </c>
      <c r="AY977" cm="1">
        <f t="array" ref="AY977">IF(OR(Y977={"NS","NA"},X920={"NS","NA"}),0,IF(Y977&lt;=X920,0,1))</f>
        <v>0</v>
      </c>
    </row>
    <row r="978" spans="1:51" ht="36" customHeight="1">
      <c r="A978" s="50"/>
      <c r="B978" s="38"/>
      <c r="C978" s="1119" t="s">
        <v>4950</v>
      </c>
      <c r="D978" s="1121"/>
      <c r="E978" s="1121"/>
      <c r="F978" s="1120"/>
      <c r="G978" s="174"/>
      <c r="H978" s="1122" t="s">
        <v>4951</v>
      </c>
      <c r="I978" s="1122"/>
      <c r="J978" s="1122"/>
      <c r="K978" s="1122"/>
      <c r="L978" s="1123"/>
      <c r="M978" s="749"/>
      <c r="N978" s="749"/>
      <c r="O978" s="749"/>
      <c r="P978" s="749"/>
      <c r="Q978" s="749"/>
      <c r="R978" s="749"/>
      <c r="S978" s="749"/>
      <c r="T978" s="749"/>
      <c r="U978" s="749"/>
      <c r="V978" s="749"/>
      <c r="W978" s="749"/>
      <c r="X978" s="749"/>
      <c r="Y978" s="749"/>
      <c r="Z978" s="749"/>
      <c r="AA978" s="749"/>
      <c r="AB978" s="749"/>
      <c r="AC978" s="749"/>
      <c r="AD978" s="749"/>
      <c r="AF978"/>
      <c r="AG978">
        <f t="shared" si="406"/>
        <v>0</v>
      </c>
      <c r="AH978">
        <f t="shared" si="402"/>
        <v>0</v>
      </c>
      <c r="AI978">
        <f t="shared" si="403"/>
        <v>0</v>
      </c>
      <c r="AJ978">
        <f t="shared" si="404"/>
        <v>0</v>
      </c>
      <c r="AK978">
        <f t="shared" si="405"/>
        <v>0</v>
      </c>
      <c r="AO978"/>
      <c r="AP978"/>
      <c r="AQ978"/>
      <c r="AR978"/>
      <c r="AS978"/>
      <c r="AT978" cm="1">
        <f t="array" ref="AT978">IF(OR(M978={"NS","NA"},$M$71={"NS","NA"}),0,IF(M978&lt;=$M$71,0,1))</f>
        <v>0</v>
      </c>
      <c r="AU978" cm="1">
        <f t="array" ref="AU978">IF(OR(S978={"NS","NA"},$S$71={"NS","NA"}),0,IF(S978&lt;=$S$71,0,1))</f>
        <v>0</v>
      </c>
      <c r="AV978" cm="1">
        <f t="array" ref="AV978">IF(OR(Y978={"NS","NA"},$Y$71={"NS","NA"}),0,IF(Y978&lt;=$Y$71,0,1))</f>
        <v>0</v>
      </c>
      <c r="AW978" cm="1">
        <f t="array" ref="AW978">IF(OR(M978={"NS","NA"},V921={"NS","NA"}),0,IF(M978&lt;=V921,0,1))</f>
        <v>0</v>
      </c>
      <c r="AX978" cm="1">
        <f t="array" ref="AX978">IF(OR(S978={"NS","NA"},W921={"NS","NA"}),0,IF(S978&lt;=W921,0,1))</f>
        <v>0</v>
      </c>
      <c r="AY978" cm="1">
        <f t="array" ref="AY978">IF(OR(Y978={"NS","NA"},X921={"NS","NA"}),0,IF(Y978&lt;=X921,0,1))</f>
        <v>0</v>
      </c>
    </row>
    <row r="979" spans="1:51" ht="24" customHeight="1">
      <c r="A979" s="50"/>
      <c r="B979" s="38"/>
      <c r="C979" s="1119" t="s">
        <v>4952</v>
      </c>
      <c r="D979" s="1121"/>
      <c r="E979" s="1121"/>
      <c r="F979" s="1120"/>
      <c r="G979" s="174"/>
      <c r="H979" s="1122" t="s">
        <v>4953</v>
      </c>
      <c r="I979" s="1122"/>
      <c r="J979" s="1122"/>
      <c r="K979" s="1122"/>
      <c r="L979" s="1123"/>
      <c r="M979" s="749"/>
      <c r="N979" s="749"/>
      <c r="O979" s="749"/>
      <c r="P979" s="749"/>
      <c r="Q979" s="749"/>
      <c r="R979" s="749"/>
      <c r="S979" s="749"/>
      <c r="T979" s="749"/>
      <c r="U979" s="749"/>
      <c r="V979" s="749"/>
      <c r="W979" s="749"/>
      <c r="X979" s="749"/>
      <c r="Y979" s="749"/>
      <c r="Z979" s="749"/>
      <c r="AA979" s="749"/>
      <c r="AB979" s="749"/>
      <c r="AC979" s="749"/>
      <c r="AD979" s="749"/>
      <c r="AF979"/>
      <c r="AG979">
        <f t="shared" si="406"/>
        <v>0</v>
      </c>
      <c r="AH979">
        <f t="shared" si="402"/>
        <v>0</v>
      </c>
      <c r="AI979">
        <f t="shared" si="403"/>
        <v>0</v>
      </c>
      <c r="AJ979">
        <f t="shared" si="404"/>
        <v>0</v>
      </c>
      <c r="AK979">
        <f t="shared" si="405"/>
        <v>0</v>
      </c>
      <c r="AO979"/>
      <c r="AP979"/>
      <c r="AQ979"/>
      <c r="AR979"/>
      <c r="AS979"/>
      <c r="AT979" cm="1">
        <f t="array" ref="AT979">IF(OR(M979={"NS","NA"},$M$71={"NS","NA"}),0,IF(M979&lt;=$M$71,0,1))</f>
        <v>0</v>
      </c>
      <c r="AU979" cm="1">
        <f t="array" ref="AU979">IF(OR(S979={"NS","NA"},$S$71={"NS","NA"}),0,IF(S979&lt;=$S$71,0,1))</f>
        <v>0</v>
      </c>
      <c r="AV979" cm="1">
        <f t="array" ref="AV979">IF(OR(Y979={"NS","NA"},$Y$71={"NS","NA"}),0,IF(Y979&lt;=$Y$71,0,1))</f>
        <v>0</v>
      </c>
      <c r="AW979" cm="1">
        <f t="array" ref="AW979">IF(OR(M979={"NS","NA"},V922={"NS","NA"}),0,IF(M979&lt;=V922,0,1))</f>
        <v>0</v>
      </c>
      <c r="AX979" cm="1">
        <f t="array" ref="AX979">IF(OR(S979={"NS","NA"},W922={"NS","NA"}),0,IF(S979&lt;=W922,0,1))</f>
        <v>0</v>
      </c>
      <c r="AY979" cm="1">
        <f t="array" ref="AY979">IF(OR(Y979={"NS","NA"},X922={"NS","NA"}),0,IF(Y979&lt;=X922,0,1))</f>
        <v>0</v>
      </c>
    </row>
    <row r="980" spans="1:51" ht="15" customHeight="1">
      <c r="A980" s="50"/>
      <c r="B980" s="38"/>
      <c r="C980" s="1119" t="s">
        <v>4954</v>
      </c>
      <c r="D980" s="1121"/>
      <c r="E980" s="1121"/>
      <c r="F980" s="1120"/>
      <c r="G980" s="175"/>
      <c r="H980" s="1124" t="s">
        <v>201</v>
      </c>
      <c r="I980" s="1124"/>
      <c r="J980" s="1124"/>
      <c r="K980" s="1124"/>
      <c r="L980" s="1125"/>
      <c r="M980" s="749"/>
      <c r="N980" s="749"/>
      <c r="O980" s="749"/>
      <c r="P980" s="749"/>
      <c r="Q980" s="749"/>
      <c r="R980" s="749"/>
      <c r="S980" s="749"/>
      <c r="T980" s="749"/>
      <c r="U980" s="749"/>
      <c r="V980" s="749"/>
      <c r="W980" s="749"/>
      <c r="X980" s="749"/>
      <c r="Y980" s="749"/>
      <c r="Z980" s="749"/>
      <c r="AA980" s="749"/>
      <c r="AB980" s="749"/>
      <c r="AC980" s="749"/>
      <c r="AD980" s="749"/>
      <c r="AF980"/>
      <c r="AG980">
        <f t="shared" si="406"/>
        <v>0</v>
      </c>
      <c r="AH980">
        <f t="shared" si="402"/>
        <v>0</v>
      </c>
      <c r="AI980">
        <f t="shared" si="403"/>
        <v>0</v>
      </c>
      <c r="AJ980">
        <f t="shared" si="404"/>
        <v>0</v>
      </c>
      <c r="AK980">
        <f t="shared" si="405"/>
        <v>0</v>
      </c>
      <c r="AO980"/>
      <c r="AP980"/>
      <c r="AQ980"/>
      <c r="AR980"/>
      <c r="AS980"/>
      <c r="AT980" cm="1">
        <f t="array" ref="AT980">IF(OR(M980={"NS","NA"},$M$71={"NS","NA"}),0,IF(M980&lt;=$M$71,0,1))</f>
        <v>0</v>
      </c>
      <c r="AU980" cm="1">
        <f t="array" ref="AU980">IF(OR(S980={"NS","NA"},$S$71={"NS","NA"}),0,IF(S980&lt;=$S$71,0,1))</f>
        <v>0</v>
      </c>
      <c r="AV980" cm="1">
        <f t="array" ref="AV980">IF(OR(Y980={"NS","NA"},$Y$71={"NS","NA"}),0,IF(Y980&lt;=$Y$71,0,1))</f>
        <v>0</v>
      </c>
      <c r="AW980" cm="1">
        <f t="array" ref="AW980">IF(OR(M980={"NS","NA"},V923={"NS","NA"}),0,IF(M980&lt;=V923,0,1))</f>
        <v>0</v>
      </c>
      <c r="AX980" cm="1">
        <f t="array" ref="AX980">IF(OR(S980={"NS","NA"},W923={"NS","NA"}),0,IF(S980&lt;=W923,0,1))</f>
        <v>0</v>
      </c>
      <c r="AY980" cm="1">
        <f t="array" ref="AY980">IF(OR(Y980={"NS","NA"},X923={"NS","NA"}),0,IF(Y980&lt;=X923,0,1))</f>
        <v>0</v>
      </c>
    </row>
    <row r="981" spans="1:51" ht="60" customHeight="1">
      <c r="A981" s="50"/>
      <c r="B981" s="38"/>
      <c r="C981" s="733" t="s">
        <v>4965</v>
      </c>
      <c r="D981" s="734"/>
      <c r="E981" s="734"/>
      <c r="F981" s="735"/>
      <c r="G981" s="796" t="s">
        <v>4966</v>
      </c>
      <c r="H981" s="796"/>
      <c r="I981" s="796"/>
      <c r="J981" s="796"/>
      <c r="K981" s="796"/>
      <c r="L981" s="796"/>
      <c r="M981" s="749"/>
      <c r="N981" s="749"/>
      <c r="O981" s="749"/>
      <c r="P981" s="749"/>
      <c r="Q981" s="749"/>
      <c r="R981" s="749"/>
      <c r="S981" s="749"/>
      <c r="T981" s="749"/>
      <c r="U981" s="749"/>
      <c r="V981" s="749"/>
      <c r="W981" s="749"/>
      <c r="X981" s="749"/>
      <c r="Y981" s="749"/>
      <c r="Z981" s="749"/>
      <c r="AA981" s="749"/>
      <c r="AB981" s="749"/>
      <c r="AC981" s="749"/>
      <c r="AD981" s="749"/>
      <c r="AF981">
        <f>IF(M981="NA",IF(AND(COUNTIF(M982:M987,"="&amp;$AF$956)=0,COUNTIF(M982:M987,"&lt;&gt;NA")&gt;0),1,0),IF(AND(COUNTIF(M982:M987,"="&amp;$AF$956)=0,COUNTIF(M982:M987,"NA")=COUNTIF(M982:M987,"&lt;&gt;"&amp;$AF$956)),1,0))</f>
        <v>0</v>
      </c>
      <c r="AG981">
        <f t="shared" si="406"/>
        <v>0</v>
      </c>
      <c r="AH981">
        <f t="shared" si="402"/>
        <v>0</v>
      </c>
      <c r="AI981">
        <f t="shared" si="403"/>
        <v>0</v>
      </c>
      <c r="AJ981">
        <f t="shared" si="404"/>
        <v>0</v>
      </c>
      <c r="AK981">
        <f t="shared" si="405"/>
        <v>0</v>
      </c>
      <c r="AO981"/>
      <c r="AP981"/>
      <c r="AQ981"/>
      <c r="AR981"/>
      <c r="AS981"/>
      <c r="AT981" cm="1">
        <f t="array" ref="AT981">IF(OR(M981={"NS","NA"},$M$71={"NS","NA"}),0,IF(M981&lt;=$M$71,0,1))</f>
        <v>0</v>
      </c>
      <c r="AU981" cm="1">
        <f t="array" ref="AU981">IF(OR(S981={"NS","NA"},$S$71={"NS","NA"}),0,IF(S981&lt;=$S$71,0,1))</f>
        <v>0</v>
      </c>
      <c r="AV981" cm="1">
        <f t="array" ref="AV981">IF(OR(Y981={"NS","NA"},$Y$71={"NS","NA"}),0,IF(Y981&lt;=$Y$71,0,1))</f>
        <v>0</v>
      </c>
      <c r="AW981" cm="1">
        <f t="array" ref="AW981">IF(OR(M981={"NS","NA"},V924={"NS","NA"}),0,IF(M981&lt;=V924,0,1))</f>
        <v>0</v>
      </c>
      <c r="AX981" cm="1">
        <f t="array" ref="AX981">IF(OR(S981={"NS","NA"},W924={"NS","NA"}),0,IF(S981&lt;=W924,0,1))</f>
        <v>0</v>
      </c>
      <c r="AY981" cm="1">
        <f t="array" ref="AY981">IF(OR(Y981={"NS","NA"},X924={"NS","NA"}),0,IF(Y981&lt;=X924,0,1))</f>
        <v>0</v>
      </c>
    </row>
    <row r="982" spans="1:51" ht="24" customHeight="1">
      <c r="A982" s="50"/>
      <c r="B982" s="38"/>
      <c r="C982" s="1119" t="s">
        <v>4967</v>
      </c>
      <c r="D982" s="1121"/>
      <c r="E982" s="1121"/>
      <c r="F982" s="1120"/>
      <c r="G982" s="174"/>
      <c r="H982" s="1126" t="s">
        <v>4968</v>
      </c>
      <c r="I982" s="1126"/>
      <c r="J982" s="1126"/>
      <c r="K982" s="1126"/>
      <c r="L982" s="1127"/>
      <c r="M982" s="749"/>
      <c r="N982" s="749"/>
      <c r="O982" s="749"/>
      <c r="P982" s="749"/>
      <c r="Q982" s="749"/>
      <c r="R982" s="749"/>
      <c r="S982" s="749"/>
      <c r="T982" s="749"/>
      <c r="U982" s="749"/>
      <c r="V982" s="749"/>
      <c r="W982" s="749"/>
      <c r="X982" s="749"/>
      <c r="Y982" s="749"/>
      <c r="Z982" s="749"/>
      <c r="AA982" s="749"/>
      <c r="AB982" s="749"/>
      <c r="AC982" s="749"/>
      <c r="AD982" s="749"/>
      <c r="AF982"/>
      <c r="AG982">
        <f t="shared" si="406"/>
        <v>0</v>
      </c>
      <c r="AH982">
        <f t="shared" si="402"/>
        <v>0</v>
      </c>
      <c r="AI982">
        <f t="shared" si="403"/>
        <v>0</v>
      </c>
      <c r="AJ982">
        <f t="shared" si="404"/>
        <v>0</v>
      </c>
      <c r="AK982">
        <f t="shared" si="405"/>
        <v>0</v>
      </c>
      <c r="AO982"/>
      <c r="AP982"/>
      <c r="AQ982"/>
      <c r="AR982"/>
      <c r="AS982"/>
      <c r="AT982" cm="1">
        <f t="array" ref="AT982">IF(OR(M982={"NS","NA"},$M$71={"NS","NA"}),0,IF(M982&lt;=$M$71,0,1))</f>
        <v>0</v>
      </c>
      <c r="AU982" cm="1">
        <f t="array" ref="AU982">IF(OR(S982={"NS","NA"},$S$71={"NS","NA"}),0,IF(S982&lt;=$S$71,0,1))</f>
        <v>0</v>
      </c>
      <c r="AV982" cm="1">
        <f t="array" ref="AV982">IF(OR(Y982={"NS","NA"},$Y$71={"NS","NA"}),0,IF(Y982&lt;=$Y$71,0,1))</f>
        <v>0</v>
      </c>
      <c r="AW982" cm="1">
        <f t="array" ref="AW982">IF(OR(M982={"NS","NA"},V925={"NS","NA"}),0,IF(M982&lt;=V925,0,1))</f>
        <v>0</v>
      </c>
      <c r="AX982" cm="1">
        <f t="array" ref="AX982">IF(OR(S982={"NS","NA"},W925={"NS","NA"}),0,IF(S982&lt;=W925,0,1))</f>
        <v>0</v>
      </c>
      <c r="AY982" cm="1">
        <f t="array" ref="AY982">IF(OR(Y982={"NS","NA"},X925={"NS","NA"}),0,IF(Y982&lt;=X925,0,1))</f>
        <v>0</v>
      </c>
    </row>
    <row r="983" spans="1:51" ht="36" customHeight="1">
      <c r="A983" s="50"/>
      <c r="B983" s="38"/>
      <c r="C983" s="1119" t="s">
        <v>4969</v>
      </c>
      <c r="D983" s="1121"/>
      <c r="E983" s="1121"/>
      <c r="F983" s="1120"/>
      <c r="G983" s="174"/>
      <c r="H983" s="1122" t="s">
        <v>4970</v>
      </c>
      <c r="I983" s="1122"/>
      <c r="J983" s="1122"/>
      <c r="K983" s="1122"/>
      <c r="L983" s="1123"/>
      <c r="M983" s="749"/>
      <c r="N983" s="749"/>
      <c r="O983" s="749"/>
      <c r="P983" s="749"/>
      <c r="Q983" s="749"/>
      <c r="R983" s="749"/>
      <c r="S983" s="749"/>
      <c r="T983" s="749"/>
      <c r="U983" s="749"/>
      <c r="V983" s="749"/>
      <c r="W983" s="749"/>
      <c r="X983" s="749"/>
      <c r="Y983" s="749"/>
      <c r="Z983" s="749"/>
      <c r="AA983" s="749"/>
      <c r="AB983" s="749"/>
      <c r="AC983" s="749"/>
      <c r="AD983" s="749"/>
      <c r="AF983"/>
      <c r="AG983">
        <f t="shared" si="406"/>
        <v>0</v>
      </c>
      <c r="AH983">
        <f t="shared" si="402"/>
        <v>0</v>
      </c>
      <c r="AI983">
        <f t="shared" si="403"/>
        <v>0</v>
      </c>
      <c r="AJ983">
        <f t="shared" si="404"/>
        <v>0</v>
      </c>
      <c r="AK983">
        <f t="shared" si="405"/>
        <v>0</v>
      </c>
      <c r="AO983"/>
      <c r="AP983"/>
      <c r="AQ983"/>
      <c r="AR983"/>
      <c r="AS983"/>
      <c r="AT983" cm="1">
        <f t="array" ref="AT983">IF(OR(M983={"NS","NA"},$M$71={"NS","NA"}),0,IF(M983&lt;=$M$71,0,1))</f>
        <v>0</v>
      </c>
      <c r="AU983" cm="1">
        <f t="array" ref="AU983">IF(OR(S983={"NS","NA"},$S$71={"NS","NA"}),0,IF(S983&lt;=$S$71,0,1))</f>
        <v>0</v>
      </c>
      <c r="AV983" cm="1">
        <f t="array" ref="AV983">IF(OR(Y983={"NS","NA"},$Y$71={"NS","NA"}),0,IF(Y983&lt;=$Y$71,0,1))</f>
        <v>0</v>
      </c>
      <c r="AW983" cm="1">
        <f t="array" ref="AW983">IF(OR(M983={"NS","NA"},V926={"NS","NA"}),0,IF(M983&lt;=V926,0,1))</f>
        <v>0</v>
      </c>
      <c r="AX983" cm="1">
        <f t="array" ref="AX983">IF(OR(S983={"NS","NA"},W926={"NS","NA"}),0,IF(S983&lt;=W926,0,1))</f>
        <v>0</v>
      </c>
      <c r="AY983" cm="1">
        <f t="array" ref="AY983">IF(OR(Y983={"NS","NA"},X926={"NS","NA"}),0,IF(Y983&lt;=X926,0,1))</f>
        <v>0</v>
      </c>
    </row>
    <row r="984" spans="1:51" ht="15" customHeight="1">
      <c r="A984" s="50"/>
      <c r="B984" s="38"/>
      <c r="C984" s="1119" t="s">
        <v>4971</v>
      </c>
      <c r="D984" s="1121"/>
      <c r="E984" s="1121"/>
      <c r="F984" s="1120"/>
      <c r="G984" s="174"/>
      <c r="H984" s="1122" t="s">
        <v>4987</v>
      </c>
      <c r="I984" s="1122"/>
      <c r="J984" s="1122"/>
      <c r="K984" s="1122"/>
      <c r="L984" s="1123"/>
      <c r="M984" s="749"/>
      <c r="N984" s="749"/>
      <c r="O984" s="749"/>
      <c r="P984" s="749"/>
      <c r="Q984" s="749"/>
      <c r="R984" s="749"/>
      <c r="S984" s="749"/>
      <c r="T984" s="749"/>
      <c r="U984" s="749"/>
      <c r="V984" s="749"/>
      <c r="W984" s="749"/>
      <c r="X984" s="749"/>
      <c r="Y984" s="749"/>
      <c r="Z984" s="749"/>
      <c r="AA984" s="749"/>
      <c r="AB984" s="749"/>
      <c r="AC984" s="749"/>
      <c r="AD984" s="749"/>
      <c r="AF984"/>
      <c r="AG984">
        <f t="shared" si="406"/>
        <v>0</v>
      </c>
      <c r="AH984">
        <f t="shared" si="402"/>
        <v>0</v>
      </c>
      <c r="AI984">
        <f t="shared" si="403"/>
        <v>0</v>
      </c>
      <c r="AJ984">
        <f t="shared" si="404"/>
        <v>0</v>
      </c>
      <c r="AK984">
        <f t="shared" si="405"/>
        <v>0</v>
      </c>
      <c r="AO984"/>
      <c r="AP984"/>
      <c r="AQ984"/>
      <c r="AR984"/>
      <c r="AS984"/>
      <c r="AT984" cm="1">
        <f t="array" ref="AT984">IF(OR(M984={"NS","NA"},$M$71={"NS","NA"}),0,IF(M984&lt;=$M$71,0,1))</f>
        <v>0</v>
      </c>
      <c r="AU984" cm="1">
        <f t="array" ref="AU984">IF(OR(S984={"NS","NA"},$S$71={"NS","NA"}),0,IF(S984&lt;=$S$71,0,1))</f>
        <v>0</v>
      </c>
      <c r="AV984" cm="1">
        <f t="array" ref="AV984">IF(OR(Y984={"NS","NA"},$Y$71={"NS","NA"}),0,IF(Y984&lt;=$Y$71,0,1))</f>
        <v>0</v>
      </c>
      <c r="AW984" cm="1">
        <f t="array" ref="AW984">IF(OR(M984={"NS","NA"},V927={"NS","NA"}),0,IF(M984&lt;=V927,0,1))</f>
        <v>0</v>
      </c>
      <c r="AX984" cm="1">
        <f t="array" ref="AX984">IF(OR(S984={"NS","NA"},W927={"NS","NA"}),0,IF(S984&lt;=W927,0,1))</f>
        <v>0</v>
      </c>
      <c r="AY984" cm="1">
        <f t="array" ref="AY984">IF(OR(Y984={"NS","NA"},X927={"NS","NA"}),0,IF(Y984&lt;=X927,0,1))</f>
        <v>0</v>
      </c>
    </row>
    <row r="985" spans="1:51" ht="15" customHeight="1">
      <c r="A985" s="50"/>
      <c r="B985" s="38"/>
      <c r="C985" s="1119" t="s">
        <v>4973</v>
      </c>
      <c r="D985" s="1121"/>
      <c r="E985" s="1121"/>
      <c r="F985" s="1120"/>
      <c r="G985" s="174"/>
      <c r="H985" s="1122" t="s">
        <v>4974</v>
      </c>
      <c r="I985" s="1122"/>
      <c r="J985" s="1122"/>
      <c r="K985" s="1122"/>
      <c r="L985" s="1123"/>
      <c r="M985" s="749"/>
      <c r="N985" s="749"/>
      <c r="O985" s="749"/>
      <c r="P985" s="749"/>
      <c r="Q985" s="749"/>
      <c r="R985" s="749"/>
      <c r="S985" s="749"/>
      <c r="T985" s="749"/>
      <c r="U985" s="749"/>
      <c r="V985" s="749"/>
      <c r="W985" s="749"/>
      <c r="X985" s="749"/>
      <c r="Y985" s="749"/>
      <c r="Z985" s="749"/>
      <c r="AA985" s="749"/>
      <c r="AB985" s="749"/>
      <c r="AC985" s="749"/>
      <c r="AD985" s="749"/>
      <c r="AF985"/>
      <c r="AG985">
        <f t="shared" si="406"/>
        <v>0</v>
      </c>
      <c r="AH985">
        <f t="shared" si="402"/>
        <v>0</v>
      </c>
      <c r="AI985">
        <f t="shared" si="403"/>
        <v>0</v>
      </c>
      <c r="AJ985">
        <f t="shared" si="404"/>
        <v>0</v>
      </c>
      <c r="AK985">
        <f t="shared" si="405"/>
        <v>0</v>
      </c>
      <c r="AO985"/>
      <c r="AP985"/>
      <c r="AQ985"/>
      <c r="AR985"/>
      <c r="AS985"/>
      <c r="AT985" cm="1">
        <f t="array" ref="AT985">IF(OR(M985={"NS","NA"},$M$71={"NS","NA"}),0,IF(M985&lt;=$M$71,0,1))</f>
        <v>0</v>
      </c>
      <c r="AU985" cm="1">
        <f t="array" ref="AU985">IF(OR(S985={"NS","NA"},$S$71={"NS","NA"}),0,IF(S985&lt;=$S$71,0,1))</f>
        <v>0</v>
      </c>
      <c r="AV985" cm="1">
        <f t="array" ref="AV985">IF(OR(Y985={"NS","NA"},$Y$71={"NS","NA"}),0,IF(Y985&lt;=$Y$71,0,1))</f>
        <v>0</v>
      </c>
      <c r="AW985" cm="1">
        <f t="array" ref="AW985">IF(OR(M985={"NS","NA"},V928={"NS","NA"}),0,IF(M985&lt;=V928,0,1))</f>
        <v>0</v>
      </c>
      <c r="AX985" cm="1">
        <f t="array" ref="AX985">IF(OR(S985={"NS","NA"},W928={"NS","NA"}),0,IF(S985&lt;=W928,0,1))</f>
        <v>0</v>
      </c>
      <c r="AY985" cm="1">
        <f t="array" ref="AY985">IF(OR(Y985={"NS","NA"},X928={"NS","NA"}),0,IF(Y985&lt;=X928,0,1))</f>
        <v>0</v>
      </c>
    </row>
    <row r="986" spans="1:51" ht="60" customHeight="1">
      <c r="A986" s="50"/>
      <c r="B986" s="38"/>
      <c r="C986" s="1119" t="s">
        <v>4975</v>
      </c>
      <c r="D986" s="1121"/>
      <c r="E986" s="1121"/>
      <c r="F986" s="1120"/>
      <c r="G986" s="174"/>
      <c r="H986" s="1122" t="s">
        <v>4976</v>
      </c>
      <c r="I986" s="1122"/>
      <c r="J986" s="1122"/>
      <c r="K986" s="1122"/>
      <c r="L986" s="1123"/>
      <c r="M986" s="749"/>
      <c r="N986" s="749"/>
      <c r="O986" s="749"/>
      <c r="P986" s="749"/>
      <c r="Q986" s="749"/>
      <c r="R986" s="749"/>
      <c r="S986" s="749"/>
      <c r="T986" s="749"/>
      <c r="U986" s="749"/>
      <c r="V986" s="749"/>
      <c r="W986" s="749"/>
      <c r="X986" s="749"/>
      <c r="Y986" s="749"/>
      <c r="Z986" s="749"/>
      <c r="AA986" s="749"/>
      <c r="AB986" s="749"/>
      <c r="AC986" s="749"/>
      <c r="AD986" s="749"/>
      <c r="AF986"/>
      <c r="AG986">
        <f t="shared" si="406"/>
        <v>0</v>
      </c>
      <c r="AH986">
        <f t="shared" si="402"/>
        <v>0</v>
      </c>
      <c r="AI986">
        <f t="shared" si="403"/>
        <v>0</v>
      </c>
      <c r="AJ986">
        <f t="shared" si="404"/>
        <v>0</v>
      </c>
      <c r="AK986">
        <f t="shared" si="405"/>
        <v>0</v>
      </c>
      <c r="AO986"/>
      <c r="AP986"/>
      <c r="AQ986"/>
      <c r="AR986"/>
      <c r="AS986"/>
      <c r="AT986" cm="1">
        <f t="array" ref="AT986">IF(OR(M986={"NS","NA"},$M$71={"NS","NA"}),0,IF(M986&lt;=$M$71,0,1))</f>
        <v>0</v>
      </c>
      <c r="AU986" cm="1">
        <f t="array" ref="AU986">IF(OR(S986={"NS","NA"},$S$71={"NS","NA"}),0,IF(S986&lt;=$S$71,0,1))</f>
        <v>0</v>
      </c>
      <c r="AV986" cm="1">
        <f t="array" ref="AV986">IF(OR(Y986={"NS","NA"},$Y$71={"NS","NA"}),0,IF(Y986&lt;=$Y$71,0,1))</f>
        <v>0</v>
      </c>
      <c r="AW986" cm="1">
        <f t="array" ref="AW986">IF(OR(M986={"NS","NA"},V929={"NS","NA"}),0,IF(M986&lt;=V929,0,1))</f>
        <v>0</v>
      </c>
      <c r="AX986" cm="1">
        <f t="array" ref="AX986">IF(OR(S986={"NS","NA"},W929={"NS","NA"}),0,IF(S986&lt;=W929,0,1))</f>
        <v>0</v>
      </c>
      <c r="AY986" cm="1">
        <f t="array" ref="AY986">IF(OR(Y986={"NS","NA"},X929={"NS","NA"}),0,IF(Y986&lt;=X929,0,1))</f>
        <v>0</v>
      </c>
    </row>
    <row r="987" spans="1:51" ht="15" customHeight="1">
      <c r="A987" s="50"/>
      <c r="B987" s="38"/>
      <c r="C987" s="1119" t="s">
        <v>4977</v>
      </c>
      <c r="D987" s="1121"/>
      <c r="E987" s="1121"/>
      <c r="F987" s="1120"/>
      <c r="G987" s="174"/>
      <c r="H987" s="1124" t="s">
        <v>201</v>
      </c>
      <c r="I987" s="1124"/>
      <c r="J987" s="1124"/>
      <c r="K987" s="1124"/>
      <c r="L987" s="1125"/>
      <c r="M987" s="749"/>
      <c r="N987" s="749"/>
      <c r="O987" s="749"/>
      <c r="P987" s="749"/>
      <c r="Q987" s="749"/>
      <c r="R987" s="749"/>
      <c r="S987" s="749"/>
      <c r="T987" s="749"/>
      <c r="U987" s="749"/>
      <c r="V987" s="749"/>
      <c r="W987" s="749"/>
      <c r="X987" s="749"/>
      <c r="Y987" s="749"/>
      <c r="Z987" s="749"/>
      <c r="AA987" s="749"/>
      <c r="AB987" s="749"/>
      <c r="AC987" s="749"/>
      <c r="AD987" s="749"/>
      <c r="AF987"/>
      <c r="AG987">
        <f t="shared" si="406"/>
        <v>0</v>
      </c>
      <c r="AH987">
        <f t="shared" si="402"/>
        <v>0</v>
      </c>
      <c r="AI987">
        <f t="shared" si="403"/>
        <v>0</v>
      </c>
      <c r="AJ987">
        <f t="shared" si="404"/>
        <v>0</v>
      </c>
      <c r="AK987">
        <f t="shared" si="405"/>
        <v>0</v>
      </c>
      <c r="AO987"/>
      <c r="AP987"/>
      <c r="AQ987"/>
      <c r="AR987"/>
      <c r="AS987"/>
      <c r="AT987" cm="1">
        <f t="array" ref="AT987">IF(OR(M987={"NS","NA"},$M$71={"NS","NA"}),0,IF(M987&lt;=$M$71,0,1))</f>
        <v>0</v>
      </c>
      <c r="AU987" cm="1">
        <f t="array" ref="AU987">IF(OR(S987={"NS","NA"},$S$71={"NS","NA"}),0,IF(S987&lt;=$S$71,0,1))</f>
        <v>0</v>
      </c>
      <c r="AV987" cm="1">
        <f t="array" ref="AV987">IF(OR(Y987={"NS","NA"},$Y$71={"NS","NA"}),0,IF(Y987&lt;=$Y$71,0,1))</f>
        <v>0</v>
      </c>
      <c r="AW987" cm="1">
        <f t="array" ref="AW987">IF(OR(M987={"NS","NA"},V930={"NS","NA"}),0,IF(M987&lt;=V930,0,1))</f>
        <v>0</v>
      </c>
      <c r="AX987" cm="1">
        <f t="array" ref="AX987">IF(OR(S987={"NS","NA"},W930={"NS","NA"}),0,IF(S987&lt;=W930,0,1))</f>
        <v>0</v>
      </c>
      <c r="AY987" cm="1">
        <f t="array" ref="AY987">IF(OR(Y987={"NS","NA"},X930={"NS","NA"}),0,IF(Y987&lt;=X930,0,1))</f>
        <v>0</v>
      </c>
    </row>
    <row r="988" spans="1:51" ht="36" customHeight="1">
      <c r="A988" s="50"/>
      <c r="B988" s="38"/>
      <c r="C988" s="733" t="s">
        <v>4978</v>
      </c>
      <c r="D988" s="734"/>
      <c r="E988" s="734"/>
      <c r="F988" s="735"/>
      <c r="G988" s="796" t="s">
        <v>4979</v>
      </c>
      <c r="H988" s="796"/>
      <c r="I988" s="796"/>
      <c r="J988" s="796"/>
      <c r="K988" s="796"/>
      <c r="L988" s="796"/>
      <c r="M988" s="749"/>
      <c r="N988" s="749"/>
      <c r="O988" s="749"/>
      <c r="P988" s="749"/>
      <c r="Q988" s="749"/>
      <c r="R988" s="749"/>
      <c r="S988" s="749"/>
      <c r="T988" s="749"/>
      <c r="U988" s="749"/>
      <c r="V988" s="749"/>
      <c r="W988" s="749"/>
      <c r="X988" s="749"/>
      <c r="Y988" s="749"/>
      <c r="Z988" s="749"/>
      <c r="AA988" s="749"/>
      <c r="AB988" s="749"/>
      <c r="AC988" s="749"/>
      <c r="AD988" s="749"/>
      <c r="AF988">
        <f>IF(M988="NA",IF(AND(COUNTIF(M989:M996,"="&amp;$AF$956)=0,COUNTIF(M989:M996,"&lt;&gt;NA")&gt;0),1,0),IF(AND(COUNTIF(M989:M996,"="&amp;$AF$956)=0,COUNTIF(M989:M996,"NA")=COUNTIF(M989:M996,"&lt;&gt;"&amp;$AF$956)),1,0))</f>
        <v>0</v>
      </c>
      <c r="AG988">
        <f t="shared" si="406"/>
        <v>0</v>
      </c>
      <c r="AH988">
        <f t="shared" si="402"/>
        <v>0</v>
      </c>
      <c r="AI988">
        <f t="shared" si="403"/>
        <v>0</v>
      </c>
      <c r="AJ988">
        <f t="shared" si="404"/>
        <v>0</v>
      </c>
      <c r="AK988">
        <f t="shared" si="405"/>
        <v>0</v>
      </c>
      <c r="AO988"/>
      <c r="AP988"/>
      <c r="AQ988"/>
      <c r="AR988"/>
      <c r="AS988"/>
      <c r="AT988" cm="1">
        <f t="array" ref="AT988">IF(OR(M988={"NS","NA"},$M$71={"NS","NA"}),0,IF(M988&lt;=$M$71,0,1))</f>
        <v>0</v>
      </c>
      <c r="AU988" cm="1">
        <f t="array" ref="AU988">IF(OR(S988={"NS","NA"},$S$71={"NS","NA"}),0,IF(S988&lt;=$S$71,0,1))</f>
        <v>0</v>
      </c>
      <c r="AV988" cm="1">
        <f t="array" ref="AV988">IF(OR(Y988={"NS","NA"},$Y$71={"NS","NA"}),0,IF(Y988&lt;=$Y$71,0,1))</f>
        <v>0</v>
      </c>
      <c r="AW988" cm="1">
        <f t="array" ref="AW988">IF(OR(M988={"NS","NA"},V931={"NS","NA"}),0,IF(M988&lt;=V931,0,1))</f>
        <v>0</v>
      </c>
      <c r="AX988" cm="1">
        <f t="array" ref="AX988">IF(OR(S988={"NS","NA"},W931={"NS","NA"}),0,IF(S988&lt;=W931,0,1))</f>
        <v>0</v>
      </c>
      <c r="AY988" cm="1">
        <f t="array" ref="AY988">IF(OR(Y988={"NS","NA"},X931={"NS","NA"}),0,IF(Y988&lt;=X931,0,1))</f>
        <v>0</v>
      </c>
    </row>
    <row r="989" spans="1:51" ht="15" customHeight="1">
      <c r="A989" s="50"/>
      <c r="B989" s="38"/>
      <c r="C989" s="1119" t="s">
        <v>4980</v>
      </c>
      <c r="D989" s="1121"/>
      <c r="E989" s="1121"/>
      <c r="F989" s="1120"/>
      <c r="G989" s="174"/>
      <c r="H989" s="1126" t="s">
        <v>4981</v>
      </c>
      <c r="I989" s="1126"/>
      <c r="J989" s="1126"/>
      <c r="K989" s="1126"/>
      <c r="L989" s="1127"/>
      <c r="M989" s="749"/>
      <c r="N989" s="749"/>
      <c r="O989" s="749"/>
      <c r="P989" s="749"/>
      <c r="Q989" s="749"/>
      <c r="R989" s="749"/>
      <c r="S989" s="749"/>
      <c r="T989" s="749"/>
      <c r="U989" s="749"/>
      <c r="V989" s="749"/>
      <c r="W989" s="749"/>
      <c r="X989" s="749"/>
      <c r="Y989" s="749"/>
      <c r="Z989" s="749"/>
      <c r="AA989" s="749"/>
      <c r="AB989" s="749"/>
      <c r="AC989" s="749"/>
      <c r="AD989" s="749"/>
      <c r="AF989"/>
      <c r="AG989">
        <f t="shared" si="406"/>
        <v>0</v>
      </c>
      <c r="AH989">
        <f t="shared" si="402"/>
        <v>0</v>
      </c>
      <c r="AI989">
        <f t="shared" si="403"/>
        <v>0</v>
      </c>
      <c r="AJ989">
        <f t="shared" si="404"/>
        <v>0</v>
      </c>
      <c r="AK989">
        <f t="shared" si="405"/>
        <v>0</v>
      </c>
      <c r="AO989"/>
      <c r="AP989"/>
      <c r="AQ989"/>
      <c r="AR989"/>
      <c r="AS989"/>
      <c r="AT989" cm="1">
        <f t="array" ref="AT989">IF(OR(M989={"NS","NA"},$M$71={"NS","NA"}),0,IF(M989&lt;=$M$71,0,1))</f>
        <v>0</v>
      </c>
      <c r="AU989" cm="1">
        <f t="array" ref="AU989">IF(OR(S989={"NS","NA"},$S$71={"NS","NA"}),0,IF(S989&lt;=$S$71,0,1))</f>
        <v>0</v>
      </c>
      <c r="AV989" cm="1">
        <f t="array" ref="AV989">IF(OR(Y989={"NS","NA"},$Y$71={"NS","NA"}),0,IF(Y989&lt;=$Y$71,0,1))</f>
        <v>0</v>
      </c>
      <c r="AW989" cm="1">
        <f t="array" ref="AW989">IF(OR(M989={"NS","NA"},V932={"NS","NA"}),0,IF(M989&lt;=V932,0,1))</f>
        <v>0</v>
      </c>
      <c r="AX989" cm="1">
        <f t="array" ref="AX989">IF(OR(S989={"NS","NA"},W932={"NS","NA"}),0,IF(S989&lt;=W932,0,1))</f>
        <v>0</v>
      </c>
      <c r="AY989" cm="1">
        <f t="array" ref="AY989">IF(OR(Y989={"NS","NA"},X932={"NS","NA"}),0,IF(Y989&lt;=X932,0,1))</f>
        <v>0</v>
      </c>
    </row>
    <row r="990" spans="1:51" ht="15" customHeight="1">
      <c r="A990" s="50"/>
      <c r="B990" s="38"/>
      <c r="C990" s="1119" t="s">
        <v>4982</v>
      </c>
      <c r="D990" s="1121"/>
      <c r="E990" s="1121"/>
      <c r="F990" s="1120"/>
      <c r="G990" s="174"/>
      <c r="H990" s="1122" t="s">
        <v>4983</v>
      </c>
      <c r="I990" s="1122"/>
      <c r="J990" s="1122"/>
      <c r="K990" s="1122"/>
      <c r="L990" s="1123"/>
      <c r="M990" s="749"/>
      <c r="N990" s="749"/>
      <c r="O990" s="749"/>
      <c r="P990" s="749"/>
      <c r="Q990" s="749"/>
      <c r="R990" s="749"/>
      <c r="S990" s="749"/>
      <c r="T990" s="749"/>
      <c r="U990" s="749"/>
      <c r="V990" s="749"/>
      <c r="W990" s="749"/>
      <c r="X990" s="749"/>
      <c r="Y990" s="749"/>
      <c r="Z990" s="749"/>
      <c r="AA990" s="749"/>
      <c r="AB990" s="749"/>
      <c r="AC990" s="749"/>
      <c r="AD990" s="749"/>
      <c r="AF990"/>
      <c r="AG990">
        <f t="shared" si="406"/>
        <v>0</v>
      </c>
      <c r="AH990">
        <f t="shared" si="402"/>
        <v>0</v>
      </c>
      <c r="AI990">
        <f t="shared" si="403"/>
        <v>0</v>
      </c>
      <c r="AJ990">
        <f t="shared" si="404"/>
        <v>0</v>
      </c>
      <c r="AK990">
        <f t="shared" si="405"/>
        <v>0</v>
      </c>
      <c r="AO990"/>
      <c r="AP990"/>
      <c r="AQ990"/>
      <c r="AR990"/>
      <c r="AS990"/>
      <c r="AT990" cm="1">
        <f t="array" ref="AT990">IF(OR(M990={"NS","NA"},$M$71={"NS","NA"}),0,IF(M990&lt;=$M$71,0,1))</f>
        <v>0</v>
      </c>
      <c r="AU990" cm="1">
        <f t="array" ref="AU990">IF(OR(S990={"NS","NA"},$S$71={"NS","NA"}),0,IF(S990&lt;=$S$71,0,1))</f>
        <v>0</v>
      </c>
      <c r="AV990" cm="1">
        <f t="array" ref="AV990">IF(OR(Y990={"NS","NA"},$Y$71={"NS","NA"}),0,IF(Y990&lt;=$Y$71,0,1))</f>
        <v>0</v>
      </c>
      <c r="AW990" cm="1">
        <f t="array" ref="AW990">IF(OR(M990={"NS","NA"},V933={"NS","NA"}),0,IF(M990&lt;=V933,0,1))</f>
        <v>0</v>
      </c>
      <c r="AX990" cm="1">
        <f t="array" ref="AX990">IF(OR(S990={"NS","NA"},W933={"NS","NA"}),0,IF(S990&lt;=W933,0,1))</f>
        <v>0</v>
      </c>
      <c r="AY990" cm="1">
        <f t="array" ref="AY990">IF(OR(Y990={"NS","NA"},X933={"NS","NA"}),0,IF(Y990&lt;=X933,0,1))</f>
        <v>0</v>
      </c>
    </row>
    <row r="991" spans="1:51" ht="15" customHeight="1">
      <c r="A991" s="50"/>
      <c r="B991" s="38"/>
      <c r="C991" s="1119" t="s">
        <v>4984</v>
      </c>
      <c r="D991" s="1121"/>
      <c r="E991" s="1121"/>
      <c r="F991" s="1120"/>
      <c r="G991" s="174"/>
      <c r="H991" s="1122" t="s">
        <v>4985</v>
      </c>
      <c r="I991" s="1122"/>
      <c r="J991" s="1122"/>
      <c r="K991" s="1122"/>
      <c r="L991" s="1123"/>
      <c r="M991" s="749"/>
      <c r="N991" s="749"/>
      <c r="O991" s="749"/>
      <c r="P991" s="749"/>
      <c r="Q991" s="749"/>
      <c r="R991" s="749"/>
      <c r="S991" s="749"/>
      <c r="T991" s="749"/>
      <c r="U991" s="749"/>
      <c r="V991" s="749"/>
      <c r="W991" s="749"/>
      <c r="X991" s="749"/>
      <c r="Y991" s="749"/>
      <c r="Z991" s="749"/>
      <c r="AA991" s="749"/>
      <c r="AB991" s="749"/>
      <c r="AC991" s="749"/>
      <c r="AD991" s="749"/>
      <c r="AF991"/>
      <c r="AG991">
        <f t="shared" si="406"/>
        <v>0</v>
      </c>
      <c r="AH991">
        <f t="shared" si="402"/>
        <v>0</v>
      </c>
      <c r="AI991">
        <f t="shared" si="403"/>
        <v>0</v>
      </c>
      <c r="AJ991">
        <f t="shared" si="404"/>
        <v>0</v>
      </c>
      <c r="AK991">
        <f t="shared" si="405"/>
        <v>0</v>
      </c>
      <c r="AO991"/>
      <c r="AP991"/>
      <c r="AQ991"/>
      <c r="AR991"/>
      <c r="AS991"/>
      <c r="AT991" cm="1">
        <f t="array" ref="AT991">IF(OR(M991={"NS","NA"},$M$71={"NS","NA"}),0,IF(M991&lt;=$M$71,0,1))</f>
        <v>0</v>
      </c>
      <c r="AU991" cm="1">
        <f t="array" ref="AU991">IF(OR(S991={"NS","NA"},$S$71={"NS","NA"}),0,IF(S991&lt;=$S$71,0,1))</f>
        <v>0</v>
      </c>
      <c r="AV991" cm="1">
        <f t="array" ref="AV991">IF(OR(Y991={"NS","NA"},$Y$71={"NS","NA"}),0,IF(Y991&lt;=$Y$71,0,1))</f>
        <v>0</v>
      </c>
      <c r="AW991" cm="1">
        <f t="array" ref="AW991">IF(OR(M991={"NS","NA"},V934={"NS","NA"}),0,IF(M991&lt;=V934,0,1))</f>
        <v>0</v>
      </c>
      <c r="AX991" cm="1">
        <f t="array" ref="AX991">IF(OR(S991={"NS","NA"},W934={"NS","NA"}),0,IF(S991&lt;=W934,0,1))</f>
        <v>0</v>
      </c>
      <c r="AY991" cm="1">
        <f t="array" ref="AY991">IF(OR(Y991={"NS","NA"},X934={"NS","NA"}),0,IF(Y991&lt;=X934,0,1))</f>
        <v>0</v>
      </c>
    </row>
    <row r="992" spans="1:51" ht="15" customHeight="1">
      <c r="A992" s="50"/>
      <c r="B992" s="38"/>
      <c r="C992" s="1119" t="s">
        <v>4986</v>
      </c>
      <c r="D992" s="1121"/>
      <c r="E992" s="1121"/>
      <c r="F992" s="1120"/>
      <c r="G992" s="174"/>
      <c r="H992" s="1122" t="s">
        <v>4987</v>
      </c>
      <c r="I992" s="1122"/>
      <c r="J992" s="1122"/>
      <c r="K992" s="1122"/>
      <c r="L992" s="1123"/>
      <c r="M992" s="749"/>
      <c r="N992" s="749"/>
      <c r="O992" s="749"/>
      <c r="P992" s="749"/>
      <c r="Q992" s="749"/>
      <c r="R992" s="749"/>
      <c r="S992" s="749"/>
      <c r="T992" s="749"/>
      <c r="U992" s="749"/>
      <c r="V992" s="749"/>
      <c r="W992" s="749"/>
      <c r="X992" s="749"/>
      <c r="Y992" s="749"/>
      <c r="Z992" s="749"/>
      <c r="AA992" s="749"/>
      <c r="AB992" s="749"/>
      <c r="AC992" s="749"/>
      <c r="AD992" s="749"/>
      <c r="AF992"/>
      <c r="AG992">
        <f t="shared" si="406"/>
        <v>0</v>
      </c>
      <c r="AH992">
        <f t="shared" si="402"/>
        <v>0</v>
      </c>
      <c r="AI992">
        <f t="shared" si="403"/>
        <v>0</v>
      </c>
      <c r="AJ992">
        <f t="shared" si="404"/>
        <v>0</v>
      </c>
      <c r="AK992">
        <f t="shared" si="405"/>
        <v>0</v>
      </c>
      <c r="AO992"/>
      <c r="AP992"/>
      <c r="AQ992"/>
      <c r="AR992"/>
      <c r="AS992"/>
      <c r="AT992" cm="1">
        <f t="array" ref="AT992">IF(OR(M992={"NS","NA"},$M$71={"NS","NA"}),0,IF(M992&lt;=$M$71,0,1))</f>
        <v>0</v>
      </c>
      <c r="AU992" cm="1">
        <f t="array" ref="AU992">IF(OR(S992={"NS","NA"},$S$71={"NS","NA"}),0,IF(S992&lt;=$S$71,0,1))</f>
        <v>0</v>
      </c>
      <c r="AV992" cm="1">
        <f t="array" ref="AV992">IF(OR(Y992={"NS","NA"},$Y$71={"NS","NA"}),0,IF(Y992&lt;=$Y$71,0,1))</f>
        <v>0</v>
      </c>
      <c r="AW992" cm="1">
        <f t="array" ref="AW992">IF(OR(M992={"NS","NA"},V935={"NS","NA"}),0,IF(M992&lt;=V935,0,1))</f>
        <v>0</v>
      </c>
      <c r="AX992" cm="1">
        <f t="array" ref="AX992">IF(OR(S992={"NS","NA"},W935={"NS","NA"}),0,IF(S992&lt;=W935,0,1))</f>
        <v>0</v>
      </c>
      <c r="AY992" cm="1">
        <f t="array" ref="AY992">IF(OR(Y992={"NS","NA"},X935={"NS","NA"}),0,IF(Y992&lt;=X935,0,1))</f>
        <v>0</v>
      </c>
    </row>
    <row r="993" spans="1:51" ht="15" customHeight="1">
      <c r="A993" s="50"/>
      <c r="B993" s="38"/>
      <c r="C993" s="1119" t="s">
        <v>4988</v>
      </c>
      <c r="D993" s="1121"/>
      <c r="E993" s="1121"/>
      <c r="F993" s="1120"/>
      <c r="G993" s="174"/>
      <c r="H993" s="1122" t="s">
        <v>4989</v>
      </c>
      <c r="I993" s="1122"/>
      <c r="J993" s="1122"/>
      <c r="K993" s="1122"/>
      <c r="L993" s="1123"/>
      <c r="M993" s="749"/>
      <c r="N993" s="749"/>
      <c r="O993" s="749"/>
      <c r="P993" s="749"/>
      <c r="Q993" s="749"/>
      <c r="R993" s="749"/>
      <c r="S993" s="749"/>
      <c r="T993" s="749"/>
      <c r="U993" s="749"/>
      <c r="V993" s="749"/>
      <c r="W993" s="749"/>
      <c r="X993" s="749"/>
      <c r="Y993" s="749"/>
      <c r="Z993" s="749"/>
      <c r="AA993" s="749"/>
      <c r="AB993" s="749"/>
      <c r="AC993" s="749"/>
      <c r="AD993" s="749"/>
      <c r="AF993"/>
      <c r="AG993">
        <f t="shared" si="406"/>
        <v>0</v>
      </c>
      <c r="AH993">
        <f t="shared" si="402"/>
        <v>0</v>
      </c>
      <c r="AI993">
        <f t="shared" si="403"/>
        <v>0</v>
      </c>
      <c r="AJ993">
        <f t="shared" si="404"/>
        <v>0</v>
      </c>
      <c r="AK993">
        <f t="shared" si="405"/>
        <v>0</v>
      </c>
      <c r="AO993"/>
      <c r="AP993"/>
      <c r="AQ993"/>
      <c r="AR993"/>
      <c r="AS993"/>
      <c r="AT993" cm="1">
        <f t="array" ref="AT993">IF(OR(M993={"NS","NA"},$M$71={"NS","NA"}),0,IF(M993&lt;=$M$71,0,1))</f>
        <v>0</v>
      </c>
      <c r="AU993" cm="1">
        <f t="array" ref="AU993">IF(OR(S993={"NS","NA"},$S$71={"NS","NA"}),0,IF(S993&lt;=$S$71,0,1))</f>
        <v>0</v>
      </c>
      <c r="AV993" cm="1">
        <f t="array" ref="AV993">IF(OR(Y993={"NS","NA"},$Y$71={"NS","NA"}),0,IF(Y993&lt;=$Y$71,0,1))</f>
        <v>0</v>
      </c>
      <c r="AW993" cm="1">
        <f t="array" ref="AW993">IF(OR(M993={"NS","NA"},V936={"NS","NA"}),0,IF(M993&lt;=V936,0,1))</f>
        <v>0</v>
      </c>
      <c r="AX993" cm="1">
        <f t="array" ref="AX993">IF(OR(S993={"NS","NA"},W936={"NS","NA"}),0,IF(S993&lt;=W936,0,1))</f>
        <v>0</v>
      </c>
      <c r="AY993" cm="1">
        <f t="array" ref="AY993">IF(OR(Y993={"NS","NA"},X936={"NS","NA"}),0,IF(Y993&lt;=X936,0,1))</f>
        <v>0</v>
      </c>
    </row>
    <row r="994" spans="1:51" ht="15" customHeight="1">
      <c r="A994" s="50"/>
      <c r="B994" s="38"/>
      <c r="C994" s="1119" t="s">
        <v>4990</v>
      </c>
      <c r="D994" s="1121"/>
      <c r="E994" s="1121"/>
      <c r="F994" s="1120"/>
      <c r="G994" s="174"/>
      <c r="H994" s="1122" t="s">
        <v>4991</v>
      </c>
      <c r="I994" s="1122"/>
      <c r="J994" s="1122"/>
      <c r="K994" s="1122"/>
      <c r="L994" s="1123"/>
      <c r="M994" s="749"/>
      <c r="N994" s="749"/>
      <c r="O994" s="749"/>
      <c r="P994" s="749"/>
      <c r="Q994" s="749"/>
      <c r="R994" s="749"/>
      <c r="S994" s="749"/>
      <c r="T994" s="749"/>
      <c r="U994" s="749"/>
      <c r="V994" s="749"/>
      <c r="W994" s="749"/>
      <c r="X994" s="749"/>
      <c r="Y994" s="749"/>
      <c r="Z994" s="749"/>
      <c r="AA994" s="749"/>
      <c r="AB994" s="749"/>
      <c r="AC994" s="749"/>
      <c r="AD994" s="749"/>
      <c r="AF994"/>
      <c r="AG994">
        <f t="shared" si="406"/>
        <v>0</v>
      </c>
      <c r="AH994">
        <f t="shared" si="402"/>
        <v>0</v>
      </c>
      <c r="AI994">
        <f t="shared" si="403"/>
        <v>0</v>
      </c>
      <c r="AJ994">
        <f t="shared" si="404"/>
        <v>0</v>
      </c>
      <c r="AK994">
        <f t="shared" si="405"/>
        <v>0</v>
      </c>
      <c r="AO994"/>
      <c r="AP994"/>
      <c r="AQ994"/>
      <c r="AR994"/>
      <c r="AS994"/>
      <c r="AT994" cm="1">
        <f t="array" ref="AT994">IF(OR(M994={"NS","NA"},$M$71={"NS","NA"}),0,IF(M994&lt;=$M$71,0,1))</f>
        <v>0</v>
      </c>
      <c r="AU994" cm="1">
        <f t="array" ref="AU994">IF(OR(S994={"NS","NA"},$S$71={"NS","NA"}),0,IF(S994&lt;=$S$71,0,1))</f>
        <v>0</v>
      </c>
      <c r="AV994" cm="1">
        <f t="array" ref="AV994">IF(OR(Y994={"NS","NA"},$Y$71={"NS","NA"}),0,IF(Y994&lt;=$Y$71,0,1))</f>
        <v>0</v>
      </c>
      <c r="AW994" cm="1">
        <f t="array" ref="AW994">IF(OR(M994={"NS","NA"},V937={"NS","NA"}),0,IF(M994&lt;=V937,0,1))</f>
        <v>0</v>
      </c>
      <c r="AX994" cm="1">
        <f t="array" ref="AX994">IF(OR(S994={"NS","NA"},W937={"NS","NA"}),0,IF(S994&lt;=W937,0,1))</f>
        <v>0</v>
      </c>
      <c r="AY994" cm="1">
        <f t="array" ref="AY994">IF(OR(Y994={"NS","NA"},X937={"NS","NA"}),0,IF(Y994&lt;=X937,0,1))</f>
        <v>0</v>
      </c>
    </row>
    <row r="995" spans="1:51" ht="48" customHeight="1">
      <c r="A995" s="50"/>
      <c r="B995" s="38"/>
      <c r="C995" s="1119" t="s">
        <v>4992</v>
      </c>
      <c r="D995" s="1121"/>
      <c r="E995" s="1121"/>
      <c r="F995" s="1120"/>
      <c r="G995" s="174"/>
      <c r="H995" s="1122" t="s">
        <v>4993</v>
      </c>
      <c r="I995" s="1122"/>
      <c r="J995" s="1122"/>
      <c r="K995" s="1122"/>
      <c r="L995" s="1123"/>
      <c r="M995" s="749"/>
      <c r="N995" s="749"/>
      <c r="O995" s="749"/>
      <c r="P995" s="749"/>
      <c r="Q995" s="749"/>
      <c r="R995" s="749"/>
      <c r="S995" s="749"/>
      <c r="T995" s="749"/>
      <c r="U995" s="749"/>
      <c r="V995" s="749"/>
      <c r="W995" s="749"/>
      <c r="X995" s="749"/>
      <c r="Y995" s="749"/>
      <c r="Z995" s="749"/>
      <c r="AA995" s="749"/>
      <c r="AB995" s="749"/>
      <c r="AC995" s="749"/>
      <c r="AD995" s="749"/>
      <c r="AF995"/>
      <c r="AG995">
        <f t="shared" si="406"/>
        <v>0</v>
      </c>
      <c r="AH995">
        <f t="shared" si="402"/>
        <v>0</v>
      </c>
      <c r="AI995">
        <f t="shared" si="403"/>
        <v>0</v>
      </c>
      <c r="AJ995">
        <f t="shared" si="404"/>
        <v>0</v>
      </c>
      <c r="AK995">
        <f t="shared" si="405"/>
        <v>0</v>
      </c>
      <c r="AO995"/>
      <c r="AP995"/>
      <c r="AQ995"/>
      <c r="AR995"/>
      <c r="AS995"/>
      <c r="AT995" cm="1">
        <f t="array" ref="AT995">IF(OR(M995={"NS","NA"},$M$71={"NS","NA"}),0,IF(M995&lt;=$M$71,0,1))</f>
        <v>0</v>
      </c>
      <c r="AU995" cm="1">
        <f t="array" ref="AU995">IF(OR(S995={"NS","NA"},$S$71={"NS","NA"}),0,IF(S995&lt;=$S$71,0,1))</f>
        <v>0</v>
      </c>
      <c r="AV995" cm="1">
        <f t="array" ref="AV995">IF(OR(Y995={"NS","NA"},$Y$71={"NS","NA"}),0,IF(Y995&lt;=$Y$71,0,1))</f>
        <v>0</v>
      </c>
      <c r="AW995" cm="1">
        <f t="array" ref="AW995">IF(OR(M995={"NS","NA"},V938={"NS","NA"}),0,IF(M995&lt;=V938,0,1))</f>
        <v>0</v>
      </c>
      <c r="AX995" cm="1">
        <f t="array" ref="AX995">IF(OR(S995={"NS","NA"},W938={"NS","NA"}),0,IF(S995&lt;=W938,0,1))</f>
        <v>0</v>
      </c>
      <c r="AY995" cm="1">
        <f t="array" ref="AY995">IF(OR(Y995={"NS","NA"},X938={"NS","NA"}),0,IF(Y995&lt;=X938,0,1))</f>
        <v>0</v>
      </c>
    </row>
    <row r="996" spans="1:51" ht="15" customHeight="1">
      <c r="A996" s="50"/>
      <c r="B996" s="38"/>
      <c r="C996" s="1119" t="s">
        <v>4994</v>
      </c>
      <c r="D996" s="1121"/>
      <c r="E996" s="1121"/>
      <c r="F996" s="1120"/>
      <c r="G996" s="174"/>
      <c r="H996" s="1124" t="s">
        <v>201</v>
      </c>
      <c r="I996" s="1124"/>
      <c r="J996" s="1124"/>
      <c r="K996" s="1124"/>
      <c r="L996" s="1125"/>
      <c r="M996" s="749"/>
      <c r="N996" s="749"/>
      <c r="O996" s="749"/>
      <c r="P996" s="749"/>
      <c r="Q996" s="749"/>
      <c r="R996" s="749"/>
      <c r="S996" s="749"/>
      <c r="T996" s="749"/>
      <c r="U996" s="749"/>
      <c r="V996" s="749"/>
      <c r="W996" s="749"/>
      <c r="X996" s="749"/>
      <c r="Y996" s="749"/>
      <c r="Z996" s="749"/>
      <c r="AA996" s="749"/>
      <c r="AB996" s="749"/>
      <c r="AC996" s="749"/>
      <c r="AD996" s="749"/>
      <c r="AF996"/>
      <c r="AG996">
        <f t="shared" si="406"/>
        <v>0</v>
      </c>
      <c r="AH996">
        <f t="shared" si="402"/>
        <v>0</v>
      </c>
      <c r="AI996">
        <f t="shared" si="403"/>
        <v>0</v>
      </c>
      <c r="AJ996">
        <f t="shared" si="404"/>
        <v>0</v>
      </c>
      <c r="AK996">
        <f t="shared" si="405"/>
        <v>0</v>
      </c>
      <c r="AO996"/>
      <c r="AP996"/>
      <c r="AQ996"/>
      <c r="AR996"/>
      <c r="AS996"/>
      <c r="AT996" cm="1">
        <f t="array" ref="AT996">IF(OR(M996={"NS","NA"},$M$71={"NS","NA"}),0,IF(M996&lt;=$M$71,0,1))</f>
        <v>0</v>
      </c>
      <c r="AU996" cm="1">
        <f t="array" ref="AU996">IF(OR(S996={"NS","NA"},$S$71={"NS","NA"}),0,IF(S996&lt;=$S$71,0,1))</f>
        <v>0</v>
      </c>
      <c r="AV996" cm="1">
        <f t="array" ref="AV996">IF(OR(Y996={"NS","NA"},$Y$71={"NS","NA"}),0,IF(Y996&lt;=$Y$71,0,1))</f>
        <v>0</v>
      </c>
      <c r="AW996" cm="1">
        <f t="array" ref="AW996">IF(OR(M996={"NS","NA"},V939={"NS","NA"}),0,IF(M996&lt;=V939,0,1))</f>
        <v>0</v>
      </c>
      <c r="AX996" cm="1">
        <f t="array" ref="AX996">IF(OR(S996={"NS","NA"},W939={"NS","NA"}),0,IF(S996&lt;=W939,0,1))</f>
        <v>0</v>
      </c>
      <c r="AY996" cm="1">
        <f t="array" ref="AY996">IF(OR(Y996={"NS","NA"},X939={"NS","NA"}),0,IF(Y996&lt;=X939,0,1))</f>
        <v>0</v>
      </c>
    </row>
    <row r="997" spans="1:51" ht="15" customHeight="1">
      <c r="A997" s="50"/>
      <c r="B997" s="38"/>
      <c r="C997" s="733" t="s">
        <v>5028</v>
      </c>
      <c r="D997" s="734"/>
      <c r="E997" s="734"/>
      <c r="F997" s="735"/>
      <c r="G997" s="796" t="s">
        <v>5029</v>
      </c>
      <c r="H997" s="796"/>
      <c r="I997" s="796"/>
      <c r="J997" s="796"/>
      <c r="K997" s="796"/>
      <c r="L997" s="796"/>
      <c r="M997" s="749"/>
      <c r="N997" s="749"/>
      <c r="O997" s="749"/>
      <c r="P997" s="749"/>
      <c r="Q997" s="749"/>
      <c r="R997" s="749"/>
      <c r="S997" s="749"/>
      <c r="T997" s="749"/>
      <c r="U997" s="749"/>
      <c r="V997" s="749"/>
      <c r="W997" s="749"/>
      <c r="X997" s="749"/>
      <c r="Y997" s="749"/>
      <c r="Z997" s="749"/>
      <c r="AA997" s="749"/>
      <c r="AB997" s="749"/>
      <c r="AC997" s="749"/>
      <c r="AD997" s="749"/>
      <c r="AF997"/>
      <c r="AG997">
        <f t="shared" si="406"/>
        <v>0</v>
      </c>
      <c r="AH997">
        <f t="shared" si="402"/>
        <v>0</v>
      </c>
      <c r="AI997">
        <f t="shared" si="403"/>
        <v>0</v>
      </c>
      <c r="AJ997">
        <f t="shared" si="404"/>
        <v>0</v>
      </c>
      <c r="AK997">
        <f t="shared" si="405"/>
        <v>0</v>
      </c>
      <c r="AO997"/>
      <c r="AP997"/>
      <c r="AQ997"/>
      <c r="AR997"/>
      <c r="AS997"/>
      <c r="AT997" cm="1">
        <f t="array" ref="AT997">IF(OR(M997={"NS","NA"},$M$71={"NS","NA"}),0,IF(M997&lt;=$M$71,0,1))</f>
        <v>0</v>
      </c>
      <c r="AU997" cm="1">
        <f t="array" ref="AU997">IF(OR(S997={"NS","NA"},$S$71={"NS","NA"}),0,IF(S997&lt;=$S$71,0,1))</f>
        <v>0</v>
      </c>
      <c r="AV997" cm="1">
        <f t="array" ref="AV997">IF(OR(Y997={"NS","NA"},$Y$71={"NS","NA"}),0,IF(Y997&lt;=$Y$71,0,1))</f>
        <v>0</v>
      </c>
      <c r="AW997" cm="1">
        <f t="array" ref="AW997">IF(OR(M997={"NS","NA"},V940={"NS","NA"}),0,IF(M997&lt;=V940,0,1))</f>
        <v>0</v>
      </c>
      <c r="AX997" cm="1">
        <f t="array" ref="AX997">IF(OR(S997={"NS","NA"},W940={"NS","NA"}),0,IF(S997&lt;=W940,0,1))</f>
        <v>0</v>
      </c>
      <c r="AY997" cm="1">
        <f t="array" ref="AY997">IF(OR(Y997={"NS","NA"},X940={"NS","NA"}),0,IF(Y997&lt;=X940,0,1))</f>
        <v>0</v>
      </c>
    </row>
    <row r="998" spans="1:51" ht="15" customHeight="1">
      <c r="A998" s="50"/>
      <c r="B998" s="38"/>
      <c r="C998" s="733" t="s">
        <v>5100</v>
      </c>
      <c r="D998" s="734"/>
      <c r="E998" s="734"/>
      <c r="F998" s="735"/>
      <c r="G998" s="796" t="s">
        <v>5141</v>
      </c>
      <c r="H998" s="796"/>
      <c r="I998" s="796"/>
      <c r="J998" s="796"/>
      <c r="K998" s="796"/>
      <c r="L998" s="796"/>
      <c r="M998" s="749"/>
      <c r="N998" s="749"/>
      <c r="O998" s="749"/>
      <c r="P998" s="749"/>
      <c r="Q998" s="749"/>
      <c r="R998" s="749"/>
      <c r="S998" s="749"/>
      <c r="T998" s="749"/>
      <c r="U998" s="749"/>
      <c r="V998" s="749"/>
      <c r="W998" s="749"/>
      <c r="X998" s="749"/>
      <c r="Y998" s="749"/>
      <c r="Z998" s="749"/>
      <c r="AA998" s="749"/>
      <c r="AB998" s="749"/>
      <c r="AC998" s="749"/>
      <c r="AD998" s="749"/>
      <c r="AF998"/>
      <c r="AG998">
        <f>IF(M998="NA",0,IF(COUNTBLANK(M998:AD998)=15,0,IF(COUNTA($M$959:$AD$998)=0,0,1)))</f>
        <v>0</v>
      </c>
      <c r="AH998">
        <f t="shared" si="402"/>
        <v>0</v>
      </c>
      <c r="AI998">
        <f t="shared" si="403"/>
        <v>0</v>
      </c>
      <c r="AJ998">
        <f t="shared" si="404"/>
        <v>0</v>
      </c>
      <c r="AK998">
        <f t="shared" si="405"/>
        <v>0</v>
      </c>
      <c r="AL998"/>
      <c r="AM998"/>
      <c r="AN998"/>
      <c r="AO998"/>
      <c r="AP998"/>
      <c r="AQ998"/>
      <c r="AR998"/>
      <c r="AS998"/>
      <c r="AT998" cm="1">
        <f t="array" ref="AT998">IF(OR(M998={"NS","NA"},$M$71={"NS","NA"}),0,IF(M998&lt;=$M$71,0,1))</f>
        <v>0</v>
      </c>
      <c r="AU998" cm="1">
        <f t="array" ref="AU998">IF(OR(S998={"NS","NA"},$S$71={"NS","NA"}),0,IF(S998&lt;=$S$71,0,1))</f>
        <v>0</v>
      </c>
      <c r="AV998" cm="1">
        <f t="array" ref="AV998">IF(OR(Y998={"NS","NA"},$Y$71={"NS","NA"}),0,IF(Y998&lt;=$Y$71,0,1))</f>
        <v>0</v>
      </c>
      <c r="AW998" cm="1">
        <f t="array" ref="AW998">IF(OR(M998={"NS","NA"},V941={"NS","NA"}),0,IF(M998&lt;=V941,0,1))</f>
        <v>0</v>
      </c>
      <c r="AX998" cm="1">
        <f t="array" ref="AX998">IF(OR(S998={"NS","NA"},W941={"NS","NA"}),0,IF(S998&lt;=W941,0,1))</f>
        <v>0</v>
      </c>
      <c r="AY998" cm="1">
        <f t="array" ref="AY998">IF(OR(Y998={"NS","NA"},X941={"NS","NA"}),0,IF(Y998&lt;=X941,0,1))</f>
        <v>0</v>
      </c>
    </row>
    <row r="999" spans="1:51" ht="15" customHeight="1">
      <c r="A999" s="49"/>
      <c r="B999" s="1003" t="str">
        <f>IF(AF999&gt;0,"Debido a que reportó NA para cierto delito, también anote NA en sus respectivos tipos específicos","")</f>
        <v/>
      </c>
      <c r="C999" s="1003"/>
      <c r="D999" s="1003"/>
      <c r="E999" s="1003"/>
      <c r="F999" s="1003"/>
      <c r="G999" s="1003"/>
      <c r="H999" s="1003"/>
      <c r="I999" s="1003"/>
      <c r="J999" s="1003"/>
      <c r="K999" s="1003"/>
      <c r="L999" s="1003"/>
      <c r="M999" s="1003"/>
      <c r="N999" s="1003"/>
      <c r="O999" s="1003"/>
      <c r="P999" s="1003"/>
      <c r="Q999" s="1003"/>
      <c r="R999" s="1003"/>
      <c r="S999" s="1003"/>
      <c r="T999" s="1003"/>
      <c r="U999" s="1003"/>
      <c r="V999" s="1003"/>
      <c r="W999" s="1003"/>
      <c r="X999" s="1003"/>
      <c r="Y999" s="1003"/>
      <c r="Z999" s="1003"/>
      <c r="AA999" s="1003"/>
      <c r="AB999" s="1003"/>
      <c r="AC999" s="1003"/>
      <c r="AD999" s="1003"/>
      <c r="AE999" s="1003"/>
      <c r="AF999" s="507">
        <f>SUM(AF988,AF981,AF975,AF963,AF959)</f>
        <v>0</v>
      </c>
      <c r="AG999" s="507">
        <f>SUM(AG959:AG998)</f>
        <v>0</v>
      </c>
      <c r="AH999" s="507">
        <f>SUM(AH959:AH998)</f>
        <v>0</v>
      </c>
      <c r="AI999"/>
      <c r="AK999" s="405">
        <f>SUM(AK959:AK998)</f>
        <v>0</v>
      </c>
      <c r="AL999"/>
      <c r="AM999"/>
      <c r="AN999"/>
      <c r="AO999"/>
      <c r="AP999"/>
      <c r="AQ999"/>
      <c r="AR999"/>
      <c r="AS999"/>
      <c r="AT999"/>
      <c r="AU999"/>
      <c r="AV999" s="507">
        <f>SUM(AT959:AV998)</f>
        <v>0</v>
      </c>
      <c r="AW999"/>
      <c r="AX999"/>
      <c r="AY999" s="507">
        <f>SUM(AW959:AY998)</f>
        <v>0</v>
      </c>
    </row>
    <row r="1000" spans="1:51" ht="24" customHeight="1">
      <c r="A1000" s="49"/>
      <c r="B1000" s="38"/>
      <c r="C1000" s="754" t="s">
        <v>2611</v>
      </c>
      <c r="D1000" s="754"/>
      <c r="E1000" s="754"/>
      <c r="F1000" s="754"/>
      <c r="G1000" s="754"/>
      <c r="H1000" s="754"/>
      <c r="I1000" s="754"/>
      <c r="J1000" s="754"/>
      <c r="K1000" s="754"/>
      <c r="L1000" s="754"/>
      <c r="M1000" s="754"/>
      <c r="N1000" s="754"/>
      <c r="O1000" s="754"/>
      <c r="P1000" s="754"/>
      <c r="Q1000" s="754"/>
      <c r="R1000" s="754"/>
      <c r="S1000" s="754"/>
      <c r="T1000" s="754"/>
      <c r="U1000" s="754"/>
      <c r="V1000" s="754"/>
      <c r="W1000" s="754"/>
      <c r="X1000" s="754"/>
      <c r="Y1000" s="754"/>
      <c r="Z1000" s="754"/>
      <c r="AA1000" s="754"/>
      <c r="AB1000" s="754"/>
      <c r="AC1000" s="754"/>
      <c r="AD1000" s="754"/>
      <c r="AF1000"/>
      <c r="AG1000"/>
      <c r="AH1000"/>
      <c r="AI1000"/>
      <c r="AJ1000" t="s">
        <v>5140</v>
      </c>
      <c r="AK1000" s="506">
        <f>AK999-COUNTIF(M959:M998,"NA")</f>
        <v>0</v>
      </c>
      <c r="AL1000"/>
      <c r="AM1000"/>
      <c r="AN1000"/>
      <c r="AO1000"/>
      <c r="AP1000"/>
      <c r="AQ1000"/>
      <c r="AR1000"/>
      <c r="AS1000"/>
      <c r="AT1000"/>
      <c r="AU1000"/>
      <c r="AV1000"/>
      <c r="AW1000"/>
      <c r="AX1000"/>
      <c r="AY1000"/>
    </row>
    <row r="1001" spans="1:51" ht="60" customHeight="1">
      <c r="A1001" s="49"/>
      <c r="B1001" s="38"/>
      <c r="C1001" s="851"/>
      <c r="D1001" s="851"/>
      <c r="E1001" s="851"/>
      <c r="F1001" s="851"/>
      <c r="G1001" s="851"/>
      <c r="H1001" s="851"/>
      <c r="I1001" s="851"/>
      <c r="J1001" s="851"/>
      <c r="K1001" s="851"/>
      <c r="L1001" s="851"/>
      <c r="M1001" s="851"/>
      <c r="N1001" s="851"/>
      <c r="O1001" s="851"/>
      <c r="P1001" s="851"/>
      <c r="Q1001" s="851"/>
      <c r="R1001" s="851"/>
      <c r="S1001" s="851"/>
      <c r="T1001" s="851"/>
      <c r="U1001" s="851"/>
      <c r="V1001" s="851"/>
      <c r="W1001" s="851"/>
      <c r="X1001" s="851"/>
      <c r="Y1001" s="851"/>
      <c r="Z1001" s="851"/>
      <c r="AA1001" s="851"/>
      <c r="AB1001" s="851"/>
      <c r="AC1001" s="851"/>
      <c r="AD1001" s="851"/>
      <c r="AF1001"/>
      <c r="AG1001"/>
      <c r="AH1001"/>
      <c r="AI1001"/>
      <c r="AJ1001"/>
      <c r="AK1001"/>
      <c r="AL1001"/>
      <c r="AM1001"/>
      <c r="AN1001"/>
      <c r="AO1001"/>
      <c r="AP1001"/>
      <c r="AQ1001"/>
      <c r="AR1001"/>
      <c r="AS1001"/>
      <c r="AT1001"/>
      <c r="AU1001"/>
      <c r="AV1001"/>
      <c r="AW1001"/>
      <c r="AX1001"/>
      <c r="AY1001"/>
    </row>
    <row r="1002" spans="1:51" ht="15" customHeight="1">
      <c r="B1002" s="1003" t="str">
        <f>IF(AG999=0,"","Favor de ingresar toda la información requerida en la pregunta")</f>
        <v/>
      </c>
      <c r="C1002" s="1003"/>
      <c r="D1002" s="1003"/>
      <c r="E1002" s="1003"/>
      <c r="F1002" s="1003"/>
      <c r="G1002" s="1003"/>
      <c r="H1002" s="1003"/>
      <c r="I1002" s="1003"/>
      <c r="J1002" s="1003"/>
      <c r="K1002" s="1003"/>
      <c r="L1002" s="1003"/>
      <c r="M1002" s="1003"/>
      <c r="N1002" s="1003"/>
      <c r="O1002" s="1003"/>
      <c r="P1002" s="1003"/>
      <c r="Q1002" s="1003"/>
      <c r="R1002" s="1003"/>
      <c r="S1002" s="1003"/>
      <c r="T1002" s="1003"/>
      <c r="U1002" s="1003"/>
      <c r="V1002" s="1003"/>
      <c r="W1002" s="1003"/>
      <c r="X1002" s="1003"/>
      <c r="Y1002" s="1003"/>
      <c r="Z1002" s="1003"/>
      <c r="AA1002" s="1003"/>
      <c r="AB1002" s="1003"/>
      <c r="AC1002" s="1003"/>
      <c r="AD1002" s="1003"/>
      <c r="AE1002" s="1003"/>
      <c r="AF1002"/>
      <c r="AG1002"/>
      <c r="AH1002"/>
      <c r="AI1002"/>
      <c r="AJ1002"/>
      <c r="AK1002"/>
      <c r="AL1002"/>
      <c r="AM1002"/>
      <c r="AN1002"/>
      <c r="AO1002"/>
      <c r="AP1002"/>
      <c r="AQ1002"/>
      <c r="AR1002"/>
      <c r="AS1002"/>
      <c r="AT1002"/>
      <c r="AU1002"/>
      <c r="AV1002"/>
      <c r="AW1002"/>
      <c r="AX1002"/>
      <c r="AY1002"/>
    </row>
    <row r="1003" spans="1:51" ht="15" customHeight="1">
      <c r="B1003" s="1087" t="str">
        <f>IF(COUNTIF(M959:AD998,"NS")&lt;&gt;0,"Alerta: debido a que cuenta con registros NS, debe proporcionar una justificación en el area de comentarios al final de la pregunta","")</f>
        <v/>
      </c>
      <c r="C1003" s="1087"/>
      <c r="D1003" s="1087"/>
      <c r="E1003" s="1087"/>
      <c r="F1003" s="1087"/>
      <c r="G1003" s="1087"/>
      <c r="H1003" s="1087"/>
      <c r="I1003" s="1087"/>
      <c r="J1003" s="1087"/>
      <c r="K1003" s="1087"/>
      <c r="L1003" s="1087"/>
      <c r="M1003" s="1087"/>
      <c r="N1003" s="1087"/>
      <c r="O1003" s="1087"/>
      <c r="P1003" s="1087"/>
      <c r="Q1003" s="1087"/>
      <c r="R1003" s="1087"/>
      <c r="S1003" s="1087"/>
      <c r="T1003" s="1087"/>
      <c r="U1003" s="1087"/>
      <c r="V1003" s="1087"/>
      <c r="W1003" s="1087"/>
      <c r="X1003" s="1087"/>
      <c r="Y1003" s="1087"/>
      <c r="Z1003" s="1087"/>
      <c r="AA1003" s="1087"/>
      <c r="AB1003" s="1087"/>
      <c r="AC1003" s="1087"/>
      <c r="AD1003" s="1087"/>
      <c r="AE1003" s="1087"/>
    </row>
    <row r="1004" spans="1:51" ht="15" customHeight="1">
      <c r="B1004" s="1003" t="str">
        <f>IF(AH999=0,"","Revise la información capturada, ya que tiene datos ingresados en celdas que están sombreadas")</f>
        <v/>
      </c>
      <c r="C1004" s="1003"/>
      <c r="D1004" s="1003"/>
      <c r="E1004" s="1003"/>
      <c r="F1004" s="1003"/>
      <c r="G1004" s="1003"/>
      <c r="H1004" s="1003"/>
      <c r="I1004" s="1003"/>
      <c r="J1004" s="1003"/>
      <c r="K1004" s="1003"/>
      <c r="L1004" s="1003"/>
      <c r="M1004" s="1003"/>
      <c r="N1004" s="1003"/>
      <c r="O1004" s="1003"/>
      <c r="P1004" s="1003"/>
      <c r="Q1004" s="1003"/>
      <c r="R1004" s="1003"/>
      <c r="S1004" s="1003"/>
      <c r="T1004" s="1003"/>
      <c r="U1004" s="1003"/>
      <c r="V1004" s="1003"/>
      <c r="W1004" s="1003"/>
      <c r="X1004" s="1003"/>
      <c r="Y1004" s="1003"/>
      <c r="Z1004" s="1003"/>
      <c r="AA1004" s="1003"/>
      <c r="AB1004" s="1003"/>
      <c r="AC1004" s="1003"/>
      <c r="AD1004" s="1003"/>
      <c r="AE1004" s="1003"/>
    </row>
    <row r="1005" spans="1:51" ht="15" customHeight="1">
      <c r="B1005" s="1003" t="str">
        <f>IF(AK1000&gt;0,"Favor de revisar la suma y consistencia de totales y/o subtotales por filas (numéricos y NS)",IF(AN964&gt;0,"Favor de revisar la suma y consistencia de totales y/o subtotales de las desagregaciones de los tipos específicos",""))</f>
        <v/>
      </c>
      <c r="C1005" s="1003"/>
      <c r="D1005" s="1003"/>
      <c r="E1005" s="1003"/>
      <c r="F1005" s="1003"/>
      <c r="G1005" s="1003"/>
      <c r="H1005" s="1003"/>
      <c r="I1005" s="1003"/>
      <c r="J1005" s="1003"/>
      <c r="K1005" s="1003"/>
      <c r="L1005" s="1003"/>
      <c r="M1005" s="1003"/>
      <c r="N1005" s="1003"/>
      <c r="O1005" s="1003"/>
      <c r="P1005" s="1003"/>
      <c r="Q1005" s="1003"/>
      <c r="R1005" s="1003"/>
      <c r="S1005" s="1003"/>
      <c r="T1005" s="1003"/>
      <c r="U1005" s="1003"/>
      <c r="V1005" s="1003"/>
      <c r="W1005" s="1003"/>
      <c r="X1005" s="1003"/>
      <c r="Y1005" s="1003"/>
      <c r="Z1005" s="1003"/>
      <c r="AA1005" s="1003"/>
      <c r="AB1005" s="1003"/>
      <c r="AC1005" s="1003"/>
      <c r="AD1005" s="1003"/>
      <c r="AE1005" s="1003"/>
    </row>
    <row r="1006" spans="1:51" ht="15" customHeight="1">
      <c r="B1006" s="1003" t="str">
        <f>IF(AV999=0,"","Las cantidades de Hombres y Mujeres por delito y tipo específico seleccionado debe ser igual o menor a los datos reportados en la preg. 7.2")</f>
        <v/>
      </c>
      <c r="C1006" s="1003"/>
      <c r="D1006" s="1003"/>
      <c r="E1006" s="1003"/>
      <c r="F1006" s="1003"/>
      <c r="G1006" s="1003"/>
      <c r="H1006" s="1003"/>
      <c r="I1006" s="1003"/>
      <c r="J1006" s="1003"/>
      <c r="K1006" s="1003"/>
      <c r="L1006" s="1003"/>
      <c r="M1006" s="1003"/>
      <c r="N1006" s="1003"/>
      <c r="O1006" s="1003"/>
      <c r="P1006" s="1003"/>
      <c r="Q1006" s="1003"/>
      <c r="R1006" s="1003"/>
      <c r="S1006" s="1003"/>
      <c r="T1006" s="1003"/>
      <c r="U1006" s="1003"/>
      <c r="V1006" s="1003"/>
      <c r="W1006" s="1003"/>
      <c r="X1006" s="1003"/>
      <c r="Y1006" s="1003"/>
      <c r="Z1006" s="1003"/>
      <c r="AA1006" s="1003"/>
      <c r="AB1006" s="1003"/>
      <c r="AC1006" s="1003"/>
      <c r="AD1006" s="1003"/>
      <c r="AE1006" s="1003"/>
    </row>
    <row r="1007" spans="1:51" ht="15" customHeight="1">
      <c r="B1007" s="795" t="str">
        <f>IF(AY999&gt;0,"Alerta: debe de proporcionar una justificación de acuerdo a lo establecido en la instrucción 4","")</f>
        <v/>
      </c>
      <c r="C1007" s="795"/>
      <c r="D1007" s="795"/>
      <c r="E1007" s="795"/>
      <c r="F1007" s="795"/>
      <c r="G1007" s="795"/>
      <c r="H1007" s="795"/>
      <c r="I1007" s="795"/>
      <c r="J1007" s="795"/>
      <c r="K1007" s="795"/>
      <c r="L1007" s="795"/>
      <c r="M1007" s="795"/>
      <c r="N1007" s="795"/>
      <c r="O1007" s="795"/>
      <c r="P1007" s="795"/>
      <c r="Q1007" s="795"/>
      <c r="R1007" s="795"/>
      <c r="S1007" s="795"/>
      <c r="T1007" s="795"/>
      <c r="U1007" s="795"/>
      <c r="V1007" s="795"/>
      <c r="W1007" s="795"/>
      <c r="X1007" s="795"/>
      <c r="Y1007" s="795"/>
      <c r="Z1007" s="795"/>
      <c r="AA1007" s="795"/>
      <c r="AB1007" s="795"/>
      <c r="AC1007" s="795"/>
      <c r="AD1007" s="795"/>
      <c r="AE1007" s="795"/>
    </row>
  </sheetData>
  <sheetProtection algorithmName="SHA-512" hashValue="dhf2iJMM+qyS8WEv175PE+Ii1JAJ22byU3QoTprzM9Lw1bq7ljVDthNB2vhJzAJwZWx6blh3y46Fs/8q8FDLfA==" saltValue="6Pg/hg7kHy+6OcF01pnuMA==" spinCount="100000" sheet="1" objects="1" scenarios="1"/>
  <mergeCells count="1912">
    <mergeCell ref="B946:AE946"/>
    <mergeCell ref="B947:AE947"/>
    <mergeCell ref="C997:F997"/>
    <mergeCell ref="G997:L997"/>
    <mergeCell ref="M997:R997"/>
    <mergeCell ref="S997:X997"/>
    <mergeCell ref="Y997:AD997"/>
    <mergeCell ref="C998:F998"/>
    <mergeCell ref="S295:X295"/>
    <mergeCell ref="Y295:AD295"/>
    <mergeCell ref="D292:L292"/>
    <mergeCell ref="M292:R292"/>
    <mergeCell ref="S292:X292"/>
    <mergeCell ref="Y292:AD292"/>
    <mergeCell ref="D293:L293"/>
    <mergeCell ref="M293:R293"/>
    <mergeCell ref="B999:AE999"/>
    <mergeCell ref="B948:AE948"/>
    <mergeCell ref="B949:AE949"/>
    <mergeCell ref="Y998:AD998"/>
    <mergeCell ref="C993:F993"/>
    <mergeCell ref="H993:L993"/>
    <mergeCell ref="M993:R993"/>
    <mergeCell ref="S993:X993"/>
    <mergeCell ref="Y993:AD993"/>
    <mergeCell ref="C994:F994"/>
    <mergeCell ref="H994:L994"/>
    <mergeCell ref="M994:R994"/>
    <mergeCell ref="S994:X994"/>
    <mergeCell ref="Y994:AD994"/>
    <mergeCell ref="C995:F995"/>
    <mergeCell ref="H995:L995"/>
    <mergeCell ref="B1002:AE1002"/>
    <mergeCell ref="B1003:AE1003"/>
    <mergeCell ref="B1004:AE1004"/>
    <mergeCell ref="B1005:AE1005"/>
    <mergeCell ref="B1006:AE1006"/>
    <mergeCell ref="B1007:AE1007"/>
    <mergeCell ref="B702:AE702"/>
    <mergeCell ref="B705:AE705"/>
    <mergeCell ref="B706:AE706"/>
    <mergeCell ref="B707:AE707"/>
    <mergeCell ref="B708:AE708"/>
    <mergeCell ref="B709:AE709"/>
    <mergeCell ref="B710:AE710"/>
    <mergeCell ref="B884:AE884"/>
    <mergeCell ref="B887:AE887"/>
    <mergeCell ref="B888:AE888"/>
    <mergeCell ref="B889:AE889"/>
    <mergeCell ref="B890:AE890"/>
    <mergeCell ref="B891:AE891"/>
    <mergeCell ref="B892:AE892"/>
    <mergeCell ref="B945:AE945"/>
    <mergeCell ref="M982:R982"/>
    <mergeCell ref="S982:X982"/>
    <mergeCell ref="Y982:AD982"/>
    <mergeCell ref="C983:F983"/>
    <mergeCell ref="H983:L983"/>
    <mergeCell ref="M983:R983"/>
    <mergeCell ref="S983:X983"/>
    <mergeCell ref="Y983:AD983"/>
    <mergeCell ref="G998:L998"/>
    <mergeCell ref="M998:R998"/>
    <mergeCell ref="S998:X998"/>
    <mergeCell ref="B218:AE218"/>
    <mergeCell ref="B219:AE219"/>
    <mergeCell ref="B220:AE220"/>
    <mergeCell ref="B221:AE221"/>
    <mergeCell ref="B222:AE222"/>
    <mergeCell ref="B254:AE254"/>
    <mergeCell ref="B255:AE255"/>
    <mergeCell ref="B256:AE256"/>
    <mergeCell ref="B257:AE257"/>
    <mergeCell ref="B258:AE258"/>
    <mergeCell ref="B282:AE282"/>
    <mergeCell ref="B283:AE283"/>
    <mergeCell ref="B284:AE284"/>
    <mergeCell ref="B285:AE285"/>
    <mergeCell ref="B286:AE286"/>
    <mergeCell ref="B301:AE301"/>
    <mergeCell ref="B302:AE302"/>
    <mergeCell ref="D294:L294"/>
    <mergeCell ref="M294:R294"/>
    <mergeCell ref="S294:X294"/>
    <mergeCell ref="Y294:AD294"/>
    <mergeCell ref="D295:L295"/>
    <mergeCell ref="M295:R295"/>
    <mergeCell ref="Y293:AD293"/>
    <mergeCell ref="B288:AD288"/>
    <mergeCell ref="C290:L291"/>
    <mergeCell ref="M290:AD290"/>
    <mergeCell ref="M291:R291"/>
    <mergeCell ref="S291:X291"/>
    <mergeCell ref="Y291:AD291"/>
    <mergeCell ref="M276:R276"/>
    <mergeCell ref="S276:X276"/>
    <mergeCell ref="M995:R995"/>
    <mergeCell ref="S995:X995"/>
    <mergeCell ref="Y995:AD995"/>
    <mergeCell ref="C996:F996"/>
    <mergeCell ref="H996:L996"/>
    <mergeCell ref="M996:R996"/>
    <mergeCell ref="S996:X996"/>
    <mergeCell ref="Y996:AD996"/>
    <mergeCell ref="H986:L986"/>
    <mergeCell ref="M986:R986"/>
    <mergeCell ref="S986:X986"/>
    <mergeCell ref="Y986:AD986"/>
    <mergeCell ref="C987:F987"/>
    <mergeCell ref="H987:L987"/>
    <mergeCell ref="M987:R987"/>
    <mergeCell ref="S987:X987"/>
    <mergeCell ref="Y987:AD987"/>
    <mergeCell ref="M988:R988"/>
    <mergeCell ref="S988:X988"/>
    <mergeCell ref="Y988:AD988"/>
    <mergeCell ref="C989:F989"/>
    <mergeCell ref="H989:L989"/>
    <mergeCell ref="M989:R989"/>
    <mergeCell ref="S989:X989"/>
    <mergeCell ref="Y989:AD989"/>
    <mergeCell ref="C988:F988"/>
    <mergeCell ref="G988:L988"/>
    <mergeCell ref="C980:F980"/>
    <mergeCell ref="C981:F981"/>
    <mergeCell ref="C992:F992"/>
    <mergeCell ref="H992:L992"/>
    <mergeCell ref="M992:R992"/>
    <mergeCell ref="S992:X992"/>
    <mergeCell ref="Y992:AD992"/>
    <mergeCell ref="C984:F984"/>
    <mergeCell ref="H984:L984"/>
    <mergeCell ref="M984:R984"/>
    <mergeCell ref="S984:X984"/>
    <mergeCell ref="Y984:AD984"/>
    <mergeCell ref="C985:F985"/>
    <mergeCell ref="H985:L985"/>
    <mergeCell ref="M985:R985"/>
    <mergeCell ref="S985:X985"/>
    <mergeCell ref="Y985:AD985"/>
    <mergeCell ref="C986:F986"/>
    <mergeCell ref="C990:F990"/>
    <mergeCell ref="H990:L990"/>
    <mergeCell ref="M990:R990"/>
    <mergeCell ref="S990:X990"/>
    <mergeCell ref="C982:F982"/>
    <mergeCell ref="H982:L982"/>
    <mergeCell ref="Y990:AD990"/>
    <mergeCell ref="C991:F991"/>
    <mergeCell ref="H991:L991"/>
    <mergeCell ref="M991:R991"/>
    <mergeCell ref="S991:X991"/>
    <mergeCell ref="Y991:AD991"/>
    <mergeCell ref="G981:L981"/>
    <mergeCell ref="M981:R981"/>
    <mergeCell ref="S981:X981"/>
    <mergeCell ref="Y981:AD981"/>
    <mergeCell ref="H976:L976"/>
    <mergeCell ref="M976:R976"/>
    <mergeCell ref="S976:X976"/>
    <mergeCell ref="Y976:AD976"/>
    <mergeCell ref="H977:L977"/>
    <mergeCell ref="M977:R977"/>
    <mergeCell ref="S977:X977"/>
    <mergeCell ref="Y977:AD977"/>
    <mergeCell ref="H978:L978"/>
    <mergeCell ref="M978:R978"/>
    <mergeCell ref="S978:X978"/>
    <mergeCell ref="Y978:AD978"/>
    <mergeCell ref="H979:L979"/>
    <mergeCell ref="M979:R979"/>
    <mergeCell ref="S979:X979"/>
    <mergeCell ref="Y979:AD979"/>
    <mergeCell ref="H980:L980"/>
    <mergeCell ref="M980:R980"/>
    <mergeCell ref="S980:X980"/>
    <mergeCell ref="Y980:AD980"/>
    <mergeCell ref="S972:X972"/>
    <mergeCell ref="Y972:AD972"/>
    <mergeCell ref="G973:L973"/>
    <mergeCell ref="M973:R973"/>
    <mergeCell ref="S973:X973"/>
    <mergeCell ref="Y973:AD973"/>
    <mergeCell ref="G974:L974"/>
    <mergeCell ref="M974:R974"/>
    <mergeCell ref="S974:X974"/>
    <mergeCell ref="Y974:AD974"/>
    <mergeCell ref="G971:L971"/>
    <mergeCell ref="M971:R971"/>
    <mergeCell ref="S971:X971"/>
    <mergeCell ref="G975:L975"/>
    <mergeCell ref="M975:R975"/>
    <mergeCell ref="S975:X975"/>
    <mergeCell ref="Y975:AD975"/>
    <mergeCell ref="C940:F940"/>
    <mergeCell ref="G940:U940"/>
    <mergeCell ref="C941:F941"/>
    <mergeCell ref="G941:U941"/>
    <mergeCell ref="C953:AD953"/>
    <mergeCell ref="G959:L959"/>
    <mergeCell ref="M959:R959"/>
    <mergeCell ref="S959:X959"/>
    <mergeCell ref="Y959:AD959"/>
    <mergeCell ref="Y966:AD966"/>
    <mergeCell ref="G967:L967"/>
    <mergeCell ref="M967:R967"/>
    <mergeCell ref="S967:X967"/>
    <mergeCell ref="Y967:AD967"/>
    <mergeCell ref="G968:L968"/>
    <mergeCell ref="M968:R968"/>
    <mergeCell ref="S968:X968"/>
    <mergeCell ref="Y968:AD968"/>
    <mergeCell ref="Y962:AD962"/>
    <mergeCell ref="G963:L963"/>
    <mergeCell ref="C943:AD943"/>
    <mergeCell ref="C944:AD944"/>
    <mergeCell ref="C962:F962"/>
    <mergeCell ref="C963:F963"/>
    <mergeCell ref="C964:F964"/>
    <mergeCell ref="C959:F959"/>
    <mergeCell ref="C960:F960"/>
    <mergeCell ref="C961:F961"/>
    <mergeCell ref="H962:L962"/>
    <mergeCell ref="M962:R962"/>
    <mergeCell ref="S962:X962"/>
    <mergeCell ref="C965:F965"/>
    <mergeCell ref="C931:F931"/>
    <mergeCell ref="G931:U931"/>
    <mergeCell ref="C932:F932"/>
    <mergeCell ref="H932:U932"/>
    <mergeCell ref="C933:F933"/>
    <mergeCell ref="H933:U933"/>
    <mergeCell ref="C934:F934"/>
    <mergeCell ref="H934:U934"/>
    <mergeCell ref="C935:F935"/>
    <mergeCell ref="H935:U935"/>
    <mergeCell ref="C936:F936"/>
    <mergeCell ref="H936:U936"/>
    <mergeCell ref="C937:F937"/>
    <mergeCell ref="H937:U937"/>
    <mergeCell ref="C938:F938"/>
    <mergeCell ref="H938:U938"/>
    <mergeCell ref="C939:F939"/>
    <mergeCell ref="H939:U939"/>
    <mergeCell ref="C922:F922"/>
    <mergeCell ref="H922:U922"/>
    <mergeCell ref="C923:F923"/>
    <mergeCell ref="H923:U923"/>
    <mergeCell ref="C924:F924"/>
    <mergeCell ref="G924:U924"/>
    <mergeCell ref="C925:F925"/>
    <mergeCell ref="H925:U925"/>
    <mergeCell ref="C926:F926"/>
    <mergeCell ref="H926:U926"/>
    <mergeCell ref="C927:F927"/>
    <mergeCell ref="H927:U927"/>
    <mergeCell ref="C928:F928"/>
    <mergeCell ref="H928:U928"/>
    <mergeCell ref="C929:F929"/>
    <mergeCell ref="H929:U929"/>
    <mergeCell ref="C930:F930"/>
    <mergeCell ref="H930:U930"/>
    <mergeCell ref="X900:X901"/>
    <mergeCell ref="G880:H880"/>
    <mergeCell ref="I880:U880"/>
    <mergeCell ref="G881:H881"/>
    <mergeCell ref="C885:AD885"/>
    <mergeCell ref="C886:AD886"/>
    <mergeCell ref="C918:F918"/>
    <mergeCell ref="G918:U918"/>
    <mergeCell ref="C919:F919"/>
    <mergeCell ref="H919:U919"/>
    <mergeCell ref="C912:F912"/>
    <mergeCell ref="G912:U912"/>
    <mergeCell ref="C913:F913"/>
    <mergeCell ref="G913:U913"/>
    <mergeCell ref="C914:F914"/>
    <mergeCell ref="G914:U914"/>
    <mergeCell ref="C915:F915"/>
    <mergeCell ref="G915:U915"/>
    <mergeCell ref="C916:F916"/>
    <mergeCell ref="G916:U916"/>
    <mergeCell ref="H904:U904"/>
    <mergeCell ref="C905:F905"/>
    <mergeCell ref="H905:U905"/>
    <mergeCell ref="C906:F906"/>
    <mergeCell ref="G906:U906"/>
    <mergeCell ref="C907:F907"/>
    <mergeCell ref="H907:U907"/>
    <mergeCell ref="C908:F908"/>
    <mergeCell ref="H908:U908"/>
    <mergeCell ref="C909:F909"/>
    <mergeCell ref="G917:U917"/>
    <mergeCell ref="G902:U902"/>
    <mergeCell ref="C903:F903"/>
    <mergeCell ref="H903:U903"/>
    <mergeCell ref="C904:F904"/>
    <mergeCell ref="C897:AD897"/>
    <mergeCell ref="C16:AD16"/>
    <mergeCell ref="C59:AD59"/>
    <mergeCell ref="C107:AD107"/>
    <mergeCell ref="C503:AD503"/>
    <mergeCell ref="C504:AD504"/>
    <mergeCell ref="C505:AD505"/>
    <mergeCell ref="C506:AD506"/>
    <mergeCell ref="C507:AD507"/>
    <mergeCell ref="B509:AD509"/>
    <mergeCell ref="B711:AD711"/>
    <mergeCell ref="C22:AD22"/>
    <mergeCell ref="C23:AD23"/>
    <mergeCell ref="C24:AD24"/>
    <mergeCell ref="C25:AD25"/>
    <mergeCell ref="C17:AD17"/>
    <mergeCell ref="G879:H879"/>
    <mergeCell ref="J879:U879"/>
    <mergeCell ref="I874:U874"/>
    <mergeCell ref="G875:H875"/>
    <mergeCell ref="J875:U875"/>
    <mergeCell ref="G870:H870"/>
    <mergeCell ref="I870:U870"/>
    <mergeCell ref="G871:H871"/>
    <mergeCell ref="I871:U871"/>
    <mergeCell ref="B895:AD895"/>
    <mergeCell ref="C902:F902"/>
    <mergeCell ref="G867:H867"/>
    <mergeCell ref="I867:U867"/>
    <mergeCell ref="J877:U877"/>
    <mergeCell ref="G878:H878"/>
    <mergeCell ref="J878:U878"/>
    <mergeCell ref="G873:H873"/>
    <mergeCell ref="C1001:AD1001"/>
    <mergeCell ref="C1000:AD1000"/>
    <mergeCell ref="C957:L958"/>
    <mergeCell ref="M957:AD957"/>
    <mergeCell ref="M958:R958"/>
    <mergeCell ref="S958:X958"/>
    <mergeCell ref="Y958:AD958"/>
    <mergeCell ref="B951:AD951"/>
    <mergeCell ref="C952:AD952"/>
    <mergeCell ref="C954:AD954"/>
    <mergeCell ref="C955:AD955"/>
    <mergeCell ref="H960:L960"/>
    <mergeCell ref="M960:R960"/>
    <mergeCell ref="S960:X960"/>
    <mergeCell ref="Y960:AD960"/>
    <mergeCell ref="H961:L961"/>
    <mergeCell ref="M961:R961"/>
    <mergeCell ref="S961:X961"/>
    <mergeCell ref="Y961:AD961"/>
    <mergeCell ref="C977:F977"/>
    <mergeCell ref="C978:F978"/>
    <mergeCell ref="C979:F979"/>
    <mergeCell ref="C974:F974"/>
    <mergeCell ref="C975:F975"/>
    <mergeCell ref="C896:AD896"/>
    <mergeCell ref="C917:F917"/>
    <mergeCell ref="C976:F976"/>
    <mergeCell ref="M963:R963"/>
    <mergeCell ref="S963:X963"/>
    <mergeCell ref="Y963:AD963"/>
    <mergeCell ref="H964:L964"/>
    <mergeCell ref="M964:R964"/>
    <mergeCell ref="S964:X964"/>
    <mergeCell ref="Y964:AD964"/>
    <mergeCell ref="M965:R965"/>
    <mergeCell ref="S965:X965"/>
    <mergeCell ref="Y965:AD965"/>
    <mergeCell ref="H966:L966"/>
    <mergeCell ref="M966:R966"/>
    <mergeCell ref="C971:F971"/>
    <mergeCell ref="C972:F972"/>
    <mergeCell ref="C973:F973"/>
    <mergeCell ref="C968:F968"/>
    <mergeCell ref="G969:L969"/>
    <mergeCell ref="M969:R969"/>
    <mergeCell ref="S969:X969"/>
    <mergeCell ref="C969:F969"/>
    <mergeCell ref="C970:F970"/>
    <mergeCell ref="C966:F966"/>
    <mergeCell ref="C967:F967"/>
    <mergeCell ref="S966:X966"/>
    <mergeCell ref="H965:L965"/>
    <mergeCell ref="Y969:AD969"/>
    <mergeCell ref="G970:L970"/>
    <mergeCell ref="M970:R970"/>
    <mergeCell ref="S970:X970"/>
    <mergeCell ref="Y970:AD970"/>
    <mergeCell ref="Y971:AD971"/>
    <mergeCell ref="G972:L972"/>
    <mergeCell ref="M972:R972"/>
    <mergeCell ref="G848:H848"/>
    <mergeCell ref="I848:U848"/>
    <mergeCell ref="C920:F920"/>
    <mergeCell ref="H920:U920"/>
    <mergeCell ref="C921:F921"/>
    <mergeCell ref="H921:U921"/>
    <mergeCell ref="G863:H863"/>
    <mergeCell ref="J863:U863"/>
    <mergeCell ref="G858:H858"/>
    <mergeCell ref="J858:U858"/>
    <mergeCell ref="G859:H859"/>
    <mergeCell ref="J859:U859"/>
    <mergeCell ref="G860:H860"/>
    <mergeCell ref="J860:U860"/>
    <mergeCell ref="C882:H882"/>
    <mergeCell ref="I882:U882"/>
    <mergeCell ref="B893:AD893"/>
    <mergeCell ref="H909:U909"/>
    <mergeCell ref="C910:F910"/>
    <mergeCell ref="G910:U910"/>
    <mergeCell ref="C911:F911"/>
    <mergeCell ref="G911:U911"/>
    <mergeCell ref="Y900:AA900"/>
    <mergeCell ref="AB900:AD900"/>
    <mergeCell ref="C899:U901"/>
    <mergeCell ref="V899:AD899"/>
    <mergeCell ref="V900:V901"/>
    <mergeCell ref="W900:W901"/>
    <mergeCell ref="C849:C881"/>
    <mergeCell ref="D849:F881"/>
    <mergeCell ref="G872:H872"/>
    <mergeCell ref="I872:U872"/>
    <mergeCell ref="G849:H849"/>
    <mergeCell ref="I849:U849"/>
    <mergeCell ref="G850:H850"/>
    <mergeCell ref="I850:U850"/>
    <mergeCell ref="G851:H851"/>
    <mergeCell ref="I851:U851"/>
    <mergeCell ref="G864:H864"/>
    <mergeCell ref="J864:U864"/>
    <mergeCell ref="G865:H865"/>
    <mergeCell ref="J865:U865"/>
    <mergeCell ref="G866:H866"/>
    <mergeCell ref="I866:U866"/>
    <mergeCell ref="G861:H861"/>
    <mergeCell ref="I861:U861"/>
    <mergeCell ref="G862:H862"/>
    <mergeCell ref="I862:U862"/>
    <mergeCell ref="I881:U881"/>
    <mergeCell ref="G876:H876"/>
    <mergeCell ref="J876:U876"/>
    <mergeCell ref="G877:H877"/>
    <mergeCell ref="G855:H855"/>
    <mergeCell ref="J855:U855"/>
    <mergeCell ref="G856:H856"/>
    <mergeCell ref="J856:U856"/>
    <mergeCell ref="G857:H857"/>
    <mergeCell ref="J857:U857"/>
    <mergeCell ref="G852:H852"/>
    <mergeCell ref="I852:U852"/>
    <mergeCell ref="G853:H853"/>
    <mergeCell ref="I853:U853"/>
    <mergeCell ref="G854:H854"/>
    <mergeCell ref="J854:U854"/>
    <mergeCell ref="G845:H845"/>
    <mergeCell ref="J845:U845"/>
    <mergeCell ref="G846:H846"/>
    <mergeCell ref="I846:U846"/>
    <mergeCell ref="G847:H847"/>
    <mergeCell ref="I847:U847"/>
    <mergeCell ref="G868:H868"/>
    <mergeCell ref="I868:U868"/>
    <mergeCell ref="G869:H869"/>
    <mergeCell ref="I869:U869"/>
    <mergeCell ref="I873:U873"/>
    <mergeCell ref="G874:H874"/>
    <mergeCell ref="C832:C848"/>
    <mergeCell ref="D832:F848"/>
    <mergeCell ref="G832:H832"/>
    <mergeCell ref="I832:U832"/>
    <mergeCell ref="G833:H833"/>
    <mergeCell ref="J833:U833"/>
    <mergeCell ref="G834:H834"/>
    <mergeCell ref="J834:U834"/>
    <mergeCell ref="G835:H835"/>
    <mergeCell ref="J835:U835"/>
    <mergeCell ref="G842:H842"/>
    <mergeCell ref="I842:U842"/>
    <mergeCell ref="G843:H843"/>
    <mergeCell ref="J843:U843"/>
    <mergeCell ref="G844:H844"/>
    <mergeCell ref="J844:U844"/>
    <mergeCell ref="G839:H839"/>
    <mergeCell ref="J839:U839"/>
    <mergeCell ref="G840:H840"/>
    <mergeCell ref="J840:U840"/>
    <mergeCell ref="G841:H841"/>
    <mergeCell ref="J841:U841"/>
    <mergeCell ref="G836:H836"/>
    <mergeCell ref="J836:U836"/>
    <mergeCell ref="G837:H837"/>
    <mergeCell ref="J837:U837"/>
    <mergeCell ref="G838:H838"/>
    <mergeCell ref="J838:U838"/>
    <mergeCell ref="G829:H829"/>
    <mergeCell ref="I829:U829"/>
    <mergeCell ref="G830:H830"/>
    <mergeCell ref="I830:U830"/>
    <mergeCell ref="G831:H831"/>
    <mergeCell ref="I831:U831"/>
    <mergeCell ref="G826:H826"/>
    <mergeCell ref="J826:U826"/>
    <mergeCell ref="G827:H827"/>
    <mergeCell ref="J827:U827"/>
    <mergeCell ref="G828:H828"/>
    <mergeCell ref="J828:U828"/>
    <mergeCell ref="G823:H823"/>
    <mergeCell ref="J823:U823"/>
    <mergeCell ref="G824:H824"/>
    <mergeCell ref="J824:U824"/>
    <mergeCell ref="G825:H825"/>
    <mergeCell ref="J825:U825"/>
    <mergeCell ref="G806:H806"/>
    <mergeCell ref="J806:U806"/>
    <mergeCell ref="G807:H807"/>
    <mergeCell ref="J807:U807"/>
    <mergeCell ref="G820:H820"/>
    <mergeCell ref="I820:U820"/>
    <mergeCell ref="G821:H821"/>
    <mergeCell ref="I821:U821"/>
    <mergeCell ref="G822:H822"/>
    <mergeCell ref="I822:U822"/>
    <mergeCell ref="G817:H817"/>
    <mergeCell ref="J817:U817"/>
    <mergeCell ref="G818:H818"/>
    <mergeCell ref="J818:U818"/>
    <mergeCell ref="G819:H819"/>
    <mergeCell ref="I819:U819"/>
    <mergeCell ref="G814:H814"/>
    <mergeCell ref="J814:U814"/>
    <mergeCell ref="G815:H815"/>
    <mergeCell ref="J815:U815"/>
    <mergeCell ref="G816:H816"/>
    <mergeCell ref="J816:U816"/>
    <mergeCell ref="C803:C831"/>
    <mergeCell ref="D803:F831"/>
    <mergeCell ref="G803:H803"/>
    <mergeCell ref="I803:U803"/>
    <mergeCell ref="G804:H804"/>
    <mergeCell ref="J804:U804"/>
    <mergeCell ref="G798:H798"/>
    <mergeCell ref="J798:U798"/>
    <mergeCell ref="G799:H799"/>
    <mergeCell ref="I799:U799"/>
    <mergeCell ref="G800:H800"/>
    <mergeCell ref="I800:U800"/>
    <mergeCell ref="G795:H795"/>
    <mergeCell ref="J795:U795"/>
    <mergeCell ref="G796:H796"/>
    <mergeCell ref="J796:U796"/>
    <mergeCell ref="G797:H797"/>
    <mergeCell ref="J797:U797"/>
    <mergeCell ref="G811:H811"/>
    <mergeCell ref="J811:U811"/>
    <mergeCell ref="G812:H812"/>
    <mergeCell ref="J812:U812"/>
    <mergeCell ref="G813:H813"/>
    <mergeCell ref="J813:U813"/>
    <mergeCell ref="G808:H808"/>
    <mergeCell ref="J808:U808"/>
    <mergeCell ref="G809:H809"/>
    <mergeCell ref="J809:U809"/>
    <mergeCell ref="G810:H810"/>
    <mergeCell ref="I810:U810"/>
    <mergeCell ref="G805:H805"/>
    <mergeCell ref="J805:U805"/>
    <mergeCell ref="G792:H792"/>
    <mergeCell ref="J792:U792"/>
    <mergeCell ref="G793:H793"/>
    <mergeCell ref="I793:U793"/>
    <mergeCell ref="G794:H794"/>
    <mergeCell ref="J794:U794"/>
    <mergeCell ref="G789:H789"/>
    <mergeCell ref="J789:U789"/>
    <mergeCell ref="G790:H790"/>
    <mergeCell ref="J790:U790"/>
    <mergeCell ref="G791:H791"/>
    <mergeCell ref="J791:U791"/>
    <mergeCell ref="C785:C802"/>
    <mergeCell ref="D785:F802"/>
    <mergeCell ref="G785:H785"/>
    <mergeCell ref="I785:U785"/>
    <mergeCell ref="G786:H786"/>
    <mergeCell ref="J786:U786"/>
    <mergeCell ref="G787:H787"/>
    <mergeCell ref="J787:U787"/>
    <mergeCell ref="G788:H788"/>
    <mergeCell ref="J788:U788"/>
    <mergeCell ref="G801:H801"/>
    <mergeCell ref="I801:U801"/>
    <mergeCell ref="G802:H802"/>
    <mergeCell ref="I802:U802"/>
    <mergeCell ref="C782:C784"/>
    <mergeCell ref="D782:F784"/>
    <mergeCell ref="G782:H782"/>
    <mergeCell ref="I782:U782"/>
    <mergeCell ref="G783:H783"/>
    <mergeCell ref="I783:U783"/>
    <mergeCell ref="G784:H784"/>
    <mergeCell ref="I784:U784"/>
    <mergeCell ref="G779:H779"/>
    <mergeCell ref="I779:U779"/>
    <mergeCell ref="G780:H780"/>
    <mergeCell ref="I780:U780"/>
    <mergeCell ref="G781:H781"/>
    <mergeCell ref="I781:U781"/>
    <mergeCell ref="G776:H776"/>
    <mergeCell ref="J776:U776"/>
    <mergeCell ref="G777:H777"/>
    <mergeCell ref="J777:U777"/>
    <mergeCell ref="G778:H778"/>
    <mergeCell ref="J778:U778"/>
    <mergeCell ref="C748:C781"/>
    <mergeCell ref="D748:F781"/>
    <mergeCell ref="G748:H748"/>
    <mergeCell ref="I748:U748"/>
    <mergeCell ref="G766:H766"/>
    <mergeCell ref="J766:U766"/>
    <mergeCell ref="G761:H761"/>
    <mergeCell ref="J761:U761"/>
    <mergeCell ref="G762:H762"/>
    <mergeCell ref="J762:U762"/>
    <mergeCell ref="G763:H763"/>
    <mergeCell ref="J763:U763"/>
    <mergeCell ref="G758:H758"/>
    <mergeCell ref="J758:U758"/>
    <mergeCell ref="G759:H759"/>
    <mergeCell ref="J759:U759"/>
    <mergeCell ref="G760:H760"/>
    <mergeCell ref="J760:U760"/>
    <mergeCell ref="G775:H775"/>
    <mergeCell ref="I775:U775"/>
    <mergeCell ref="G770:H770"/>
    <mergeCell ref="J770:U770"/>
    <mergeCell ref="G771:H771"/>
    <mergeCell ref="J771:U771"/>
    <mergeCell ref="G772:H772"/>
    <mergeCell ref="J772:U772"/>
    <mergeCell ref="G767:H767"/>
    <mergeCell ref="I767:U767"/>
    <mergeCell ref="G768:H768"/>
    <mergeCell ref="J768:U768"/>
    <mergeCell ref="G769:H769"/>
    <mergeCell ref="J769:U769"/>
    <mergeCell ref="G773:H773"/>
    <mergeCell ref="I773:U773"/>
    <mergeCell ref="G774:H774"/>
    <mergeCell ref="I774:U774"/>
    <mergeCell ref="G764:H764"/>
    <mergeCell ref="J764:U764"/>
    <mergeCell ref="G765:H765"/>
    <mergeCell ref="J765:U765"/>
    <mergeCell ref="G739:H739"/>
    <mergeCell ref="I739:U739"/>
    <mergeCell ref="G740:H740"/>
    <mergeCell ref="J740:U740"/>
    <mergeCell ref="G741:H741"/>
    <mergeCell ref="J741:U741"/>
    <mergeCell ref="G755:H755"/>
    <mergeCell ref="J755:U755"/>
    <mergeCell ref="G756:H756"/>
    <mergeCell ref="J756:U756"/>
    <mergeCell ref="G757:H757"/>
    <mergeCell ref="J757:U757"/>
    <mergeCell ref="G752:H752"/>
    <mergeCell ref="J752:U752"/>
    <mergeCell ref="G753:H753"/>
    <mergeCell ref="J753:U753"/>
    <mergeCell ref="G754:H754"/>
    <mergeCell ref="J754:U754"/>
    <mergeCell ref="G749:H749"/>
    <mergeCell ref="J749:U749"/>
    <mergeCell ref="G750:H750"/>
    <mergeCell ref="J750:U750"/>
    <mergeCell ref="G751:H751"/>
    <mergeCell ref="J751:U751"/>
    <mergeCell ref="C736:C747"/>
    <mergeCell ref="D736:F747"/>
    <mergeCell ref="G736:H736"/>
    <mergeCell ref="I736:U736"/>
    <mergeCell ref="G737:H737"/>
    <mergeCell ref="I737:U737"/>
    <mergeCell ref="G738:H738"/>
    <mergeCell ref="I738:U738"/>
    <mergeCell ref="G732:H732"/>
    <mergeCell ref="J732:U732"/>
    <mergeCell ref="G733:H733"/>
    <mergeCell ref="J733:U733"/>
    <mergeCell ref="G734:H734"/>
    <mergeCell ref="J734:U734"/>
    <mergeCell ref="G729:H729"/>
    <mergeCell ref="J729:U729"/>
    <mergeCell ref="G730:H730"/>
    <mergeCell ref="J730:U730"/>
    <mergeCell ref="G731:H731"/>
    <mergeCell ref="J731:U731"/>
    <mergeCell ref="G745:H745"/>
    <mergeCell ref="I745:U745"/>
    <mergeCell ref="G746:H746"/>
    <mergeCell ref="I746:U746"/>
    <mergeCell ref="G747:H747"/>
    <mergeCell ref="I747:U747"/>
    <mergeCell ref="G742:H742"/>
    <mergeCell ref="J742:U742"/>
    <mergeCell ref="G743:H743"/>
    <mergeCell ref="J743:U743"/>
    <mergeCell ref="G744:H744"/>
    <mergeCell ref="J744:U744"/>
    <mergeCell ref="G726:H726"/>
    <mergeCell ref="I726:U726"/>
    <mergeCell ref="G727:H727"/>
    <mergeCell ref="I727:U727"/>
    <mergeCell ref="G728:H728"/>
    <mergeCell ref="I728:U728"/>
    <mergeCell ref="G722:H722"/>
    <mergeCell ref="I722:U722"/>
    <mergeCell ref="C723:C735"/>
    <mergeCell ref="D723:F735"/>
    <mergeCell ref="G723:H723"/>
    <mergeCell ref="I723:U723"/>
    <mergeCell ref="G724:H724"/>
    <mergeCell ref="I724:U724"/>
    <mergeCell ref="G725:H725"/>
    <mergeCell ref="I725:U725"/>
    <mergeCell ref="C718:C722"/>
    <mergeCell ref="D718:F722"/>
    <mergeCell ref="G718:H718"/>
    <mergeCell ref="I718:U718"/>
    <mergeCell ref="G719:H719"/>
    <mergeCell ref="I719:U719"/>
    <mergeCell ref="G720:H720"/>
    <mergeCell ref="I720:U720"/>
    <mergeCell ref="G721:H721"/>
    <mergeCell ref="I721:U721"/>
    <mergeCell ref="G735:H735"/>
    <mergeCell ref="I735:U735"/>
    <mergeCell ref="C713:AD713"/>
    <mergeCell ref="C715:F717"/>
    <mergeCell ref="G715:H717"/>
    <mergeCell ref="I715:U717"/>
    <mergeCell ref="V715:AD715"/>
    <mergeCell ref="V716:V717"/>
    <mergeCell ref="W716:W717"/>
    <mergeCell ref="X716:X717"/>
    <mergeCell ref="Y716:AA716"/>
    <mergeCell ref="AB716:AD716"/>
    <mergeCell ref="C700:H700"/>
    <mergeCell ref="I700:U700"/>
    <mergeCell ref="C703:AD703"/>
    <mergeCell ref="C704:AD704"/>
    <mergeCell ref="C712:AD712"/>
    <mergeCell ref="G697:H697"/>
    <mergeCell ref="J697:U697"/>
    <mergeCell ref="G698:H698"/>
    <mergeCell ref="I698:U698"/>
    <mergeCell ref="G699:H699"/>
    <mergeCell ref="I699:U699"/>
    <mergeCell ref="C667:C699"/>
    <mergeCell ref="D667:F699"/>
    <mergeCell ref="G667:H667"/>
    <mergeCell ref="I667:U667"/>
    <mergeCell ref="G668:H668"/>
    <mergeCell ref="I668:U668"/>
    <mergeCell ref="G669:H669"/>
    <mergeCell ref="I669:U669"/>
    <mergeCell ref="G694:H694"/>
    <mergeCell ref="J694:U694"/>
    <mergeCell ref="G695:H695"/>
    <mergeCell ref="J695:U695"/>
    <mergeCell ref="G696:H696"/>
    <mergeCell ref="J696:U696"/>
    <mergeCell ref="G691:H691"/>
    <mergeCell ref="I691:U691"/>
    <mergeCell ref="G692:H692"/>
    <mergeCell ref="I692:U692"/>
    <mergeCell ref="G693:H693"/>
    <mergeCell ref="J693:U693"/>
    <mergeCell ref="G688:H688"/>
    <mergeCell ref="I688:U688"/>
    <mergeCell ref="G689:H689"/>
    <mergeCell ref="I689:U689"/>
    <mergeCell ref="G690:H690"/>
    <mergeCell ref="I690:U690"/>
    <mergeCell ref="G685:H685"/>
    <mergeCell ref="I685:U685"/>
    <mergeCell ref="G686:H686"/>
    <mergeCell ref="I686:U686"/>
    <mergeCell ref="G687:H687"/>
    <mergeCell ref="I687:U687"/>
    <mergeCell ref="G682:H682"/>
    <mergeCell ref="J682:U682"/>
    <mergeCell ref="G683:H683"/>
    <mergeCell ref="J683:U683"/>
    <mergeCell ref="G684:H684"/>
    <mergeCell ref="I684:U684"/>
    <mergeCell ref="G679:H679"/>
    <mergeCell ref="I679:U679"/>
    <mergeCell ref="G680:H680"/>
    <mergeCell ref="I680:U680"/>
    <mergeCell ref="G681:H681"/>
    <mergeCell ref="J681:U681"/>
    <mergeCell ref="G661:H661"/>
    <mergeCell ref="J661:U661"/>
    <mergeCell ref="G662:H662"/>
    <mergeCell ref="J662:U662"/>
    <mergeCell ref="G676:H676"/>
    <mergeCell ref="J676:U676"/>
    <mergeCell ref="G677:H677"/>
    <mergeCell ref="J677:U677"/>
    <mergeCell ref="G678:H678"/>
    <mergeCell ref="J678:U678"/>
    <mergeCell ref="G673:H673"/>
    <mergeCell ref="J673:U673"/>
    <mergeCell ref="G674:H674"/>
    <mergeCell ref="J674:U674"/>
    <mergeCell ref="G675:H675"/>
    <mergeCell ref="J675:U675"/>
    <mergeCell ref="G670:H670"/>
    <mergeCell ref="I670:U670"/>
    <mergeCell ref="G671:H671"/>
    <mergeCell ref="I671:U671"/>
    <mergeCell ref="G672:H672"/>
    <mergeCell ref="J672:U672"/>
    <mergeCell ref="G657:H657"/>
    <mergeCell ref="J657:U657"/>
    <mergeCell ref="G658:H658"/>
    <mergeCell ref="J658:U658"/>
    <mergeCell ref="G659:H659"/>
    <mergeCell ref="J659:U659"/>
    <mergeCell ref="G654:H654"/>
    <mergeCell ref="J654:U654"/>
    <mergeCell ref="G655:H655"/>
    <mergeCell ref="J655:U655"/>
    <mergeCell ref="G656:H656"/>
    <mergeCell ref="J656:U656"/>
    <mergeCell ref="C650:C666"/>
    <mergeCell ref="D650:F666"/>
    <mergeCell ref="G650:H650"/>
    <mergeCell ref="I650:U650"/>
    <mergeCell ref="G651:H651"/>
    <mergeCell ref="J651:U651"/>
    <mergeCell ref="G652:H652"/>
    <mergeCell ref="J652:U652"/>
    <mergeCell ref="G653:H653"/>
    <mergeCell ref="J653:U653"/>
    <mergeCell ref="G666:H666"/>
    <mergeCell ref="I666:U666"/>
    <mergeCell ref="G663:H663"/>
    <mergeCell ref="J663:U663"/>
    <mergeCell ref="G664:H664"/>
    <mergeCell ref="I664:U664"/>
    <mergeCell ref="G665:H665"/>
    <mergeCell ref="I665:U665"/>
    <mergeCell ref="G660:H660"/>
    <mergeCell ref="I660:U660"/>
    <mergeCell ref="G647:H647"/>
    <mergeCell ref="I647:U647"/>
    <mergeCell ref="G648:H648"/>
    <mergeCell ref="I648:U648"/>
    <mergeCell ref="G649:H649"/>
    <mergeCell ref="I649:U649"/>
    <mergeCell ref="G644:H644"/>
    <mergeCell ref="J644:U644"/>
    <mergeCell ref="G645:H645"/>
    <mergeCell ref="J645:U645"/>
    <mergeCell ref="G646:H646"/>
    <mergeCell ref="J646:U646"/>
    <mergeCell ref="G641:H641"/>
    <mergeCell ref="J641:U641"/>
    <mergeCell ref="G642:H642"/>
    <mergeCell ref="J642:U642"/>
    <mergeCell ref="G643:H643"/>
    <mergeCell ref="J643:U643"/>
    <mergeCell ref="G624:H624"/>
    <mergeCell ref="J624:U624"/>
    <mergeCell ref="G625:H625"/>
    <mergeCell ref="J625:U625"/>
    <mergeCell ref="G638:H638"/>
    <mergeCell ref="I638:U638"/>
    <mergeCell ref="G639:H639"/>
    <mergeCell ref="I639:U639"/>
    <mergeCell ref="G640:H640"/>
    <mergeCell ref="I640:U640"/>
    <mergeCell ref="G635:H635"/>
    <mergeCell ref="J635:U635"/>
    <mergeCell ref="G636:H636"/>
    <mergeCell ref="J636:U636"/>
    <mergeCell ref="G637:H637"/>
    <mergeCell ref="I637:U637"/>
    <mergeCell ref="G632:H632"/>
    <mergeCell ref="J632:U632"/>
    <mergeCell ref="G633:H633"/>
    <mergeCell ref="J633:U633"/>
    <mergeCell ref="G634:H634"/>
    <mergeCell ref="J634:U634"/>
    <mergeCell ref="C621:C649"/>
    <mergeCell ref="D621:F649"/>
    <mergeCell ref="G621:H621"/>
    <mergeCell ref="I621:U621"/>
    <mergeCell ref="G622:H622"/>
    <mergeCell ref="J622:U622"/>
    <mergeCell ref="G616:H616"/>
    <mergeCell ref="J616:U616"/>
    <mergeCell ref="G617:H617"/>
    <mergeCell ref="I617:U617"/>
    <mergeCell ref="G618:H618"/>
    <mergeCell ref="I618:U618"/>
    <mergeCell ref="G613:H613"/>
    <mergeCell ref="J613:U613"/>
    <mergeCell ref="G614:H614"/>
    <mergeCell ref="J614:U614"/>
    <mergeCell ref="G615:H615"/>
    <mergeCell ref="J615:U615"/>
    <mergeCell ref="G629:H629"/>
    <mergeCell ref="J629:U629"/>
    <mergeCell ref="G630:H630"/>
    <mergeCell ref="J630:U630"/>
    <mergeCell ref="G631:H631"/>
    <mergeCell ref="J631:U631"/>
    <mergeCell ref="G626:H626"/>
    <mergeCell ref="J626:U626"/>
    <mergeCell ref="G627:H627"/>
    <mergeCell ref="J627:U627"/>
    <mergeCell ref="G628:H628"/>
    <mergeCell ref="I628:U628"/>
    <mergeCell ref="G623:H623"/>
    <mergeCell ref="J623:U623"/>
    <mergeCell ref="G610:H610"/>
    <mergeCell ref="J610:U610"/>
    <mergeCell ref="G611:H611"/>
    <mergeCell ref="I611:U611"/>
    <mergeCell ref="G612:H612"/>
    <mergeCell ref="J612:U612"/>
    <mergeCell ref="G607:H607"/>
    <mergeCell ref="J607:U607"/>
    <mergeCell ref="G608:H608"/>
    <mergeCell ref="J608:U608"/>
    <mergeCell ref="G609:H609"/>
    <mergeCell ref="J609:U609"/>
    <mergeCell ref="C603:C620"/>
    <mergeCell ref="D603:F620"/>
    <mergeCell ref="G603:H603"/>
    <mergeCell ref="I603:U603"/>
    <mergeCell ref="G604:H604"/>
    <mergeCell ref="J604:U604"/>
    <mergeCell ref="G605:H605"/>
    <mergeCell ref="J605:U605"/>
    <mergeCell ref="G606:H606"/>
    <mergeCell ref="J606:U606"/>
    <mergeCell ref="G619:H619"/>
    <mergeCell ref="I619:U619"/>
    <mergeCell ref="G620:H620"/>
    <mergeCell ref="I620:U620"/>
    <mergeCell ref="C600:C602"/>
    <mergeCell ref="D600:F602"/>
    <mergeCell ref="G600:H600"/>
    <mergeCell ref="I600:U600"/>
    <mergeCell ref="G601:H601"/>
    <mergeCell ref="I601:U601"/>
    <mergeCell ref="G602:H602"/>
    <mergeCell ref="I602:U602"/>
    <mergeCell ref="G597:H597"/>
    <mergeCell ref="I597:U597"/>
    <mergeCell ref="G598:H598"/>
    <mergeCell ref="I598:U598"/>
    <mergeCell ref="G599:H599"/>
    <mergeCell ref="I599:U599"/>
    <mergeCell ref="G594:H594"/>
    <mergeCell ref="J594:U594"/>
    <mergeCell ref="G595:H595"/>
    <mergeCell ref="J595:U595"/>
    <mergeCell ref="G596:H596"/>
    <mergeCell ref="J596:U596"/>
    <mergeCell ref="C566:C599"/>
    <mergeCell ref="D566:F599"/>
    <mergeCell ref="G566:H566"/>
    <mergeCell ref="I566:U566"/>
    <mergeCell ref="G584:H584"/>
    <mergeCell ref="J584:U584"/>
    <mergeCell ref="G579:H579"/>
    <mergeCell ref="J579:U579"/>
    <mergeCell ref="G580:H580"/>
    <mergeCell ref="J580:U580"/>
    <mergeCell ref="G581:H581"/>
    <mergeCell ref="J581:U581"/>
    <mergeCell ref="G576:H576"/>
    <mergeCell ref="J576:U576"/>
    <mergeCell ref="G577:H577"/>
    <mergeCell ref="J577:U577"/>
    <mergeCell ref="G578:H578"/>
    <mergeCell ref="J578:U578"/>
    <mergeCell ref="G593:H593"/>
    <mergeCell ref="I593:U593"/>
    <mergeCell ref="G588:H588"/>
    <mergeCell ref="J588:U588"/>
    <mergeCell ref="G589:H589"/>
    <mergeCell ref="J589:U589"/>
    <mergeCell ref="G590:H590"/>
    <mergeCell ref="J590:U590"/>
    <mergeCell ref="G585:H585"/>
    <mergeCell ref="I585:U585"/>
    <mergeCell ref="G586:H586"/>
    <mergeCell ref="J586:U586"/>
    <mergeCell ref="G587:H587"/>
    <mergeCell ref="J587:U587"/>
    <mergeCell ref="G591:H591"/>
    <mergeCell ref="I591:U591"/>
    <mergeCell ref="G592:H592"/>
    <mergeCell ref="I592:U592"/>
    <mergeCell ref="G582:H582"/>
    <mergeCell ref="J582:U582"/>
    <mergeCell ref="G583:H583"/>
    <mergeCell ref="J583:U583"/>
    <mergeCell ref="G557:H557"/>
    <mergeCell ref="I557:U557"/>
    <mergeCell ref="G558:H558"/>
    <mergeCell ref="J558:U558"/>
    <mergeCell ref="G559:H559"/>
    <mergeCell ref="J559:U559"/>
    <mergeCell ref="G573:H573"/>
    <mergeCell ref="J573:U573"/>
    <mergeCell ref="G574:H574"/>
    <mergeCell ref="J574:U574"/>
    <mergeCell ref="G575:H575"/>
    <mergeCell ref="J575:U575"/>
    <mergeCell ref="G570:H570"/>
    <mergeCell ref="J570:U570"/>
    <mergeCell ref="G571:H571"/>
    <mergeCell ref="J571:U571"/>
    <mergeCell ref="G572:H572"/>
    <mergeCell ref="J572:U572"/>
    <mergeCell ref="G567:H567"/>
    <mergeCell ref="J567:U567"/>
    <mergeCell ref="G568:H568"/>
    <mergeCell ref="J568:U568"/>
    <mergeCell ref="G569:H569"/>
    <mergeCell ref="J569:U569"/>
    <mergeCell ref="C554:C565"/>
    <mergeCell ref="D554:F565"/>
    <mergeCell ref="G554:H554"/>
    <mergeCell ref="I554:U554"/>
    <mergeCell ref="G555:H555"/>
    <mergeCell ref="I555:U555"/>
    <mergeCell ref="G556:H556"/>
    <mergeCell ref="I556:U556"/>
    <mergeCell ref="G550:H550"/>
    <mergeCell ref="J550:U550"/>
    <mergeCell ref="G551:H551"/>
    <mergeCell ref="J551:U551"/>
    <mergeCell ref="G552:H552"/>
    <mergeCell ref="J552:U552"/>
    <mergeCell ref="G547:H547"/>
    <mergeCell ref="J547:U547"/>
    <mergeCell ref="G548:H548"/>
    <mergeCell ref="J548:U548"/>
    <mergeCell ref="G549:H549"/>
    <mergeCell ref="J549:U549"/>
    <mergeCell ref="G563:H563"/>
    <mergeCell ref="I563:U563"/>
    <mergeCell ref="G564:H564"/>
    <mergeCell ref="I564:U564"/>
    <mergeCell ref="G565:H565"/>
    <mergeCell ref="I565:U565"/>
    <mergeCell ref="G560:H560"/>
    <mergeCell ref="J560:U560"/>
    <mergeCell ref="G561:H561"/>
    <mergeCell ref="J561:U561"/>
    <mergeCell ref="G562:H562"/>
    <mergeCell ref="J562:U562"/>
    <mergeCell ref="G544:H544"/>
    <mergeCell ref="I544:U544"/>
    <mergeCell ref="G545:H545"/>
    <mergeCell ref="I545:U545"/>
    <mergeCell ref="G546:H546"/>
    <mergeCell ref="I546:U546"/>
    <mergeCell ref="G540:H540"/>
    <mergeCell ref="I540:U540"/>
    <mergeCell ref="C541:C553"/>
    <mergeCell ref="D541:F553"/>
    <mergeCell ref="G541:H541"/>
    <mergeCell ref="I541:U541"/>
    <mergeCell ref="G542:H542"/>
    <mergeCell ref="I542:U542"/>
    <mergeCell ref="G543:H543"/>
    <mergeCell ref="I543:U543"/>
    <mergeCell ref="C536:C540"/>
    <mergeCell ref="D536:F540"/>
    <mergeCell ref="G536:H536"/>
    <mergeCell ref="I536:U536"/>
    <mergeCell ref="G537:H537"/>
    <mergeCell ref="I537:U537"/>
    <mergeCell ref="G538:H538"/>
    <mergeCell ref="I538:U538"/>
    <mergeCell ref="G539:H539"/>
    <mergeCell ref="I539:U539"/>
    <mergeCell ref="G553:H553"/>
    <mergeCell ref="I553:U553"/>
    <mergeCell ref="C531:AD531"/>
    <mergeCell ref="C533:F535"/>
    <mergeCell ref="G533:H535"/>
    <mergeCell ref="I533:U535"/>
    <mergeCell ref="V533:AD533"/>
    <mergeCell ref="V534:V535"/>
    <mergeCell ref="W534:W535"/>
    <mergeCell ref="X534:X535"/>
    <mergeCell ref="Y534:AA534"/>
    <mergeCell ref="AB534:AD534"/>
    <mergeCell ref="D517:U517"/>
    <mergeCell ref="D518:U518"/>
    <mergeCell ref="C521:AD521"/>
    <mergeCell ref="C522:AD522"/>
    <mergeCell ref="B529:AD529"/>
    <mergeCell ref="C530:AD530"/>
    <mergeCell ref="C514:U516"/>
    <mergeCell ref="V514:AD514"/>
    <mergeCell ref="V515:V516"/>
    <mergeCell ref="W515:W516"/>
    <mergeCell ref="X515:X516"/>
    <mergeCell ref="Y515:AA515"/>
    <mergeCell ref="AB515:AD515"/>
    <mergeCell ref="B523:AE523"/>
    <mergeCell ref="B524:AE524"/>
    <mergeCell ref="B525:AE525"/>
    <mergeCell ref="B526:AE526"/>
    <mergeCell ref="B527:AE527"/>
    <mergeCell ref="B528:AE528"/>
    <mergeCell ref="C510:AD510"/>
    <mergeCell ref="C511:AD511"/>
    <mergeCell ref="C512:AD512"/>
    <mergeCell ref="B500:AD500"/>
    <mergeCell ref="C501:AD501"/>
    <mergeCell ref="B499:AD499"/>
    <mergeCell ref="C502:AD502"/>
    <mergeCell ref="C491:AD491"/>
    <mergeCell ref="C492:AD492"/>
    <mergeCell ref="D486:N486"/>
    <mergeCell ref="O486:R486"/>
    <mergeCell ref="D487:N487"/>
    <mergeCell ref="O487:R487"/>
    <mergeCell ref="D488:N488"/>
    <mergeCell ref="O488:R488"/>
    <mergeCell ref="D483:N483"/>
    <mergeCell ref="O483:R483"/>
    <mergeCell ref="D484:N484"/>
    <mergeCell ref="O484:R484"/>
    <mergeCell ref="D485:N485"/>
    <mergeCell ref="O485:R485"/>
    <mergeCell ref="B493:AE493"/>
    <mergeCell ref="B494:AE494"/>
    <mergeCell ref="B495:AE495"/>
    <mergeCell ref="B496:AE496"/>
    <mergeCell ref="B497:AE497"/>
    <mergeCell ref="B498:AE498"/>
    <mergeCell ref="V479:X479"/>
    <mergeCell ref="Y479:AA479"/>
    <mergeCell ref="AB479:AD479"/>
    <mergeCell ref="D481:N481"/>
    <mergeCell ref="O481:R481"/>
    <mergeCell ref="D482:N482"/>
    <mergeCell ref="O482:R482"/>
    <mergeCell ref="C467:AD467"/>
    <mergeCell ref="C468:AD468"/>
    <mergeCell ref="B475:AD475"/>
    <mergeCell ref="C476:AD476"/>
    <mergeCell ref="C478:N480"/>
    <mergeCell ref="O478:R480"/>
    <mergeCell ref="S478:AD478"/>
    <mergeCell ref="S479:S480"/>
    <mergeCell ref="T479:T480"/>
    <mergeCell ref="U479:U480"/>
    <mergeCell ref="B469:AE469"/>
    <mergeCell ref="B470:AE470"/>
    <mergeCell ref="B471:AE471"/>
    <mergeCell ref="B472:AE472"/>
    <mergeCell ref="B473:AE473"/>
    <mergeCell ref="D464:L464"/>
    <mergeCell ref="M464:R464"/>
    <mergeCell ref="S464:X464"/>
    <mergeCell ref="Y464:AD464"/>
    <mergeCell ref="M465:R465"/>
    <mergeCell ref="S465:X465"/>
    <mergeCell ref="Y465:AD465"/>
    <mergeCell ref="D462:L462"/>
    <mergeCell ref="M462:R462"/>
    <mergeCell ref="S462:X462"/>
    <mergeCell ref="Y462:AD462"/>
    <mergeCell ref="D463:L463"/>
    <mergeCell ref="M463:R463"/>
    <mergeCell ref="S463:X463"/>
    <mergeCell ref="Y463:AD463"/>
    <mergeCell ref="D460:L460"/>
    <mergeCell ref="M460:R460"/>
    <mergeCell ref="S460:X460"/>
    <mergeCell ref="Y460:AD460"/>
    <mergeCell ref="D461:L461"/>
    <mergeCell ref="M461:R461"/>
    <mergeCell ref="S461:X461"/>
    <mergeCell ref="Y461:AD461"/>
    <mergeCell ref="D458:L458"/>
    <mergeCell ref="M458:R458"/>
    <mergeCell ref="S458:X458"/>
    <mergeCell ref="Y458:AD458"/>
    <mergeCell ref="D459:L459"/>
    <mergeCell ref="M459:R459"/>
    <mergeCell ref="S459:X459"/>
    <mergeCell ref="Y459:AD459"/>
    <mergeCell ref="D456:L456"/>
    <mergeCell ref="M456:R456"/>
    <mergeCell ref="S456:X456"/>
    <mergeCell ref="Y456:AD456"/>
    <mergeCell ref="D457:L457"/>
    <mergeCell ref="M457:R457"/>
    <mergeCell ref="S457:X457"/>
    <mergeCell ref="Y457:AD457"/>
    <mergeCell ref="D454:L454"/>
    <mergeCell ref="M454:R454"/>
    <mergeCell ref="S454:X454"/>
    <mergeCell ref="Y454:AD454"/>
    <mergeCell ref="D455:L455"/>
    <mergeCell ref="M455:R455"/>
    <mergeCell ref="S455:X455"/>
    <mergeCell ref="Y455:AD455"/>
    <mergeCell ref="D452:L452"/>
    <mergeCell ref="M452:R452"/>
    <mergeCell ref="S452:X452"/>
    <mergeCell ref="Y452:AD452"/>
    <mergeCell ref="D453:L453"/>
    <mergeCell ref="M453:R453"/>
    <mergeCell ref="S453:X453"/>
    <mergeCell ref="Y453:AD453"/>
    <mergeCell ref="D450:L450"/>
    <mergeCell ref="M450:R450"/>
    <mergeCell ref="S450:X450"/>
    <mergeCell ref="Y450:AD450"/>
    <mergeCell ref="D451:L451"/>
    <mergeCell ref="M451:R451"/>
    <mergeCell ref="S451:X451"/>
    <mergeCell ref="Y451:AD451"/>
    <mergeCell ref="D448:L448"/>
    <mergeCell ref="M448:R448"/>
    <mergeCell ref="S448:X448"/>
    <mergeCell ref="Y448:AD448"/>
    <mergeCell ref="D449:L449"/>
    <mergeCell ref="M449:R449"/>
    <mergeCell ref="S449:X449"/>
    <mergeCell ref="Y449:AD449"/>
    <mergeCell ref="D446:L446"/>
    <mergeCell ref="M446:R446"/>
    <mergeCell ref="S446:X446"/>
    <mergeCell ref="Y446:AD446"/>
    <mergeCell ref="D447:L447"/>
    <mergeCell ref="M447:R447"/>
    <mergeCell ref="S447:X447"/>
    <mergeCell ref="Y447:AD447"/>
    <mergeCell ref="D444:L444"/>
    <mergeCell ref="M444:R444"/>
    <mergeCell ref="S444:X444"/>
    <mergeCell ref="Y444:AD444"/>
    <mergeCell ref="D445:L445"/>
    <mergeCell ref="M445:R445"/>
    <mergeCell ref="S445:X445"/>
    <mergeCell ref="Y445:AD445"/>
    <mergeCell ref="D442:L442"/>
    <mergeCell ref="M442:R442"/>
    <mergeCell ref="S442:X442"/>
    <mergeCell ref="Y442:AD442"/>
    <mergeCell ref="D443:L443"/>
    <mergeCell ref="M443:R443"/>
    <mergeCell ref="S443:X443"/>
    <mergeCell ref="Y443:AD443"/>
    <mergeCell ref="D440:L440"/>
    <mergeCell ref="M440:R440"/>
    <mergeCell ref="S440:X440"/>
    <mergeCell ref="Y440:AD440"/>
    <mergeCell ref="D441:L441"/>
    <mergeCell ref="M441:R441"/>
    <mergeCell ref="S441:X441"/>
    <mergeCell ref="Y441:AD441"/>
    <mergeCell ref="C436:AD436"/>
    <mergeCell ref="C438:L439"/>
    <mergeCell ref="M438:AD438"/>
    <mergeCell ref="M439:R439"/>
    <mergeCell ref="S439:X439"/>
    <mergeCell ref="Y439:AD439"/>
    <mergeCell ref="D422:R422"/>
    <mergeCell ref="D423:R423"/>
    <mergeCell ref="C426:AD426"/>
    <mergeCell ref="C427:AD427"/>
    <mergeCell ref="B434:AD434"/>
    <mergeCell ref="C435:AD435"/>
    <mergeCell ref="B428:AE428"/>
    <mergeCell ref="B429:AE429"/>
    <mergeCell ref="B430:AE430"/>
    <mergeCell ref="B431:AE431"/>
    <mergeCell ref="B432:AE432"/>
    <mergeCell ref="D416:R416"/>
    <mergeCell ref="D417:R417"/>
    <mergeCell ref="D418:R418"/>
    <mergeCell ref="D419:R419"/>
    <mergeCell ref="D420:R420"/>
    <mergeCell ref="D421:R421"/>
    <mergeCell ref="C404:AD404"/>
    <mergeCell ref="B411:AD411"/>
    <mergeCell ref="C413:R415"/>
    <mergeCell ref="S413:AD413"/>
    <mergeCell ref="S414:S415"/>
    <mergeCell ref="T414:T415"/>
    <mergeCell ref="U414:U415"/>
    <mergeCell ref="V414:X414"/>
    <mergeCell ref="Y414:AA414"/>
    <mergeCell ref="AB414:AD414"/>
    <mergeCell ref="M399:R399"/>
    <mergeCell ref="S399:X399"/>
    <mergeCell ref="Y399:AD399"/>
    <mergeCell ref="C401:E401"/>
    <mergeCell ref="F401:AD401"/>
    <mergeCell ref="C403:AD403"/>
    <mergeCell ref="B405:AE405"/>
    <mergeCell ref="B406:AE406"/>
    <mergeCell ref="B407:AE407"/>
    <mergeCell ref="B408:AE408"/>
    <mergeCell ref="B409:AE409"/>
    <mergeCell ref="B410:AE410"/>
    <mergeCell ref="B402:AE402"/>
    <mergeCell ref="D397:L397"/>
    <mergeCell ref="M397:R397"/>
    <mergeCell ref="S397:X397"/>
    <mergeCell ref="Y397:AD397"/>
    <mergeCell ref="D398:L398"/>
    <mergeCell ref="M398:R398"/>
    <mergeCell ref="S398:X398"/>
    <mergeCell ref="Y398:AD398"/>
    <mergeCell ref="D395:L395"/>
    <mergeCell ref="M395:R395"/>
    <mergeCell ref="S395:X395"/>
    <mergeCell ref="Y395:AD395"/>
    <mergeCell ref="D396:L396"/>
    <mergeCell ref="M396:R396"/>
    <mergeCell ref="S396:X396"/>
    <mergeCell ref="Y396:AD396"/>
    <mergeCell ref="D393:L393"/>
    <mergeCell ref="M393:R393"/>
    <mergeCell ref="S393:X393"/>
    <mergeCell ref="Y393:AD393"/>
    <mergeCell ref="D394:L394"/>
    <mergeCell ref="M394:R394"/>
    <mergeCell ref="S394:X394"/>
    <mergeCell ref="Y394:AD394"/>
    <mergeCell ref="D391:L391"/>
    <mergeCell ref="M391:R391"/>
    <mergeCell ref="S391:X391"/>
    <mergeCell ref="Y391:AD391"/>
    <mergeCell ref="D392:L392"/>
    <mergeCell ref="M392:R392"/>
    <mergeCell ref="S392:X392"/>
    <mergeCell ref="Y392:AD392"/>
    <mergeCell ref="D389:L389"/>
    <mergeCell ref="M389:R389"/>
    <mergeCell ref="S389:X389"/>
    <mergeCell ref="Y389:AD389"/>
    <mergeCell ref="D390:L390"/>
    <mergeCell ref="M390:R390"/>
    <mergeCell ref="S390:X390"/>
    <mergeCell ref="Y390:AD390"/>
    <mergeCell ref="D387:L387"/>
    <mergeCell ref="M387:R387"/>
    <mergeCell ref="S387:X387"/>
    <mergeCell ref="Y387:AD387"/>
    <mergeCell ref="D388:L388"/>
    <mergeCell ref="M388:R388"/>
    <mergeCell ref="S388:X388"/>
    <mergeCell ref="Y388:AD388"/>
    <mergeCell ref="D385:L385"/>
    <mergeCell ref="M385:R385"/>
    <mergeCell ref="S385:X385"/>
    <mergeCell ref="Y385:AD385"/>
    <mergeCell ref="D386:L386"/>
    <mergeCell ref="M386:R386"/>
    <mergeCell ref="S386:X386"/>
    <mergeCell ref="Y386:AD386"/>
    <mergeCell ref="C383:L384"/>
    <mergeCell ref="M383:AD383"/>
    <mergeCell ref="M384:R384"/>
    <mergeCell ref="S384:X384"/>
    <mergeCell ref="Y384:AD384"/>
    <mergeCell ref="C369:AD369"/>
    <mergeCell ref="B376:AD376"/>
    <mergeCell ref="C377:AD377"/>
    <mergeCell ref="C379:AD379"/>
    <mergeCell ref="C380:AD380"/>
    <mergeCell ref="C381:AD381"/>
    <mergeCell ref="C378:AD378"/>
    <mergeCell ref="B370:AE370"/>
    <mergeCell ref="B371:AE371"/>
    <mergeCell ref="B372:AE372"/>
    <mergeCell ref="B373:AE373"/>
    <mergeCell ref="B374:AE374"/>
    <mergeCell ref="D361:R361"/>
    <mergeCell ref="D362:R362"/>
    <mergeCell ref="D363:R363"/>
    <mergeCell ref="D364:R364"/>
    <mergeCell ref="D365:R365"/>
    <mergeCell ref="C368:AD368"/>
    <mergeCell ref="V356:X356"/>
    <mergeCell ref="Y356:AA356"/>
    <mergeCell ref="AB356:AD356"/>
    <mergeCell ref="D358:R358"/>
    <mergeCell ref="D359:R359"/>
    <mergeCell ref="D360:R360"/>
    <mergeCell ref="D341:R341"/>
    <mergeCell ref="D342:R342"/>
    <mergeCell ref="C345:AD345"/>
    <mergeCell ref="C346:AD346"/>
    <mergeCell ref="B353:AD353"/>
    <mergeCell ref="C355:R357"/>
    <mergeCell ref="S355:AD355"/>
    <mergeCell ref="S356:S357"/>
    <mergeCell ref="T356:T357"/>
    <mergeCell ref="U356:U357"/>
    <mergeCell ref="B347:AE347"/>
    <mergeCell ref="B348:AE348"/>
    <mergeCell ref="B349:AE349"/>
    <mergeCell ref="B350:AE350"/>
    <mergeCell ref="B351:AE351"/>
    <mergeCell ref="D335:R335"/>
    <mergeCell ref="D336:R336"/>
    <mergeCell ref="D337:R337"/>
    <mergeCell ref="D338:R338"/>
    <mergeCell ref="D339:R339"/>
    <mergeCell ref="D340:R340"/>
    <mergeCell ref="C332:R334"/>
    <mergeCell ref="S332:AD332"/>
    <mergeCell ref="S333:S334"/>
    <mergeCell ref="T333:T334"/>
    <mergeCell ref="U333:U334"/>
    <mergeCell ref="V333:X333"/>
    <mergeCell ref="Y333:AA333"/>
    <mergeCell ref="AB333:AD333"/>
    <mergeCell ref="D317:R317"/>
    <mergeCell ref="D318:R318"/>
    <mergeCell ref="D319:R319"/>
    <mergeCell ref="C322:AD322"/>
    <mergeCell ref="C323:AD323"/>
    <mergeCell ref="B330:AD330"/>
    <mergeCell ref="B324:AE324"/>
    <mergeCell ref="B325:AE325"/>
    <mergeCell ref="B326:AE326"/>
    <mergeCell ref="B327:AE327"/>
    <mergeCell ref="B328:AE328"/>
    <mergeCell ref="AB310:AD310"/>
    <mergeCell ref="D312:R312"/>
    <mergeCell ref="D313:R313"/>
    <mergeCell ref="D314:R314"/>
    <mergeCell ref="D315:R315"/>
    <mergeCell ref="D316:R316"/>
    <mergeCell ref="C299:AD299"/>
    <mergeCell ref="C300:AD300"/>
    <mergeCell ref="B307:AD307"/>
    <mergeCell ref="C309:R311"/>
    <mergeCell ref="S309:AD309"/>
    <mergeCell ref="S310:S311"/>
    <mergeCell ref="T310:T311"/>
    <mergeCell ref="U310:U311"/>
    <mergeCell ref="V310:X310"/>
    <mergeCell ref="Y310:AA310"/>
    <mergeCell ref="D296:L296"/>
    <mergeCell ref="M296:R296"/>
    <mergeCell ref="S296:X296"/>
    <mergeCell ref="Y296:AD296"/>
    <mergeCell ref="M297:R297"/>
    <mergeCell ref="S297:X297"/>
    <mergeCell ref="Y297:AD297"/>
    <mergeCell ref="B303:AE303"/>
    <mergeCell ref="B304:AE304"/>
    <mergeCell ref="B305:AE305"/>
    <mergeCell ref="Y276:AD276"/>
    <mergeCell ref="C278:AD278"/>
    <mergeCell ref="C280:AD280"/>
    <mergeCell ref="C281:AD281"/>
    <mergeCell ref="D274:L274"/>
    <mergeCell ref="M274:R274"/>
    <mergeCell ref="S274:X274"/>
    <mergeCell ref="Y274:AD274"/>
    <mergeCell ref="D275:L275"/>
    <mergeCell ref="M275:R275"/>
    <mergeCell ref="S275:X275"/>
    <mergeCell ref="Y275:AD275"/>
    <mergeCell ref="S293:X293"/>
    <mergeCell ref="D272:L272"/>
    <mergeCell ref="M272:R272"/>
    <mergeCell ref="S272:X272"/>
    <mergeCell ref="Y272:AD272"/>
    <mergeCell ref="D273:L273"/>
    <mergeCell ref="M273:R273"/>
    <mergeCell ref="S273:X273"/>
    <mergeCell ref="Y273:AD273"/>
    <mergeCell ref="D270:L270"/>
    <mergeCell ref="M270:R270"/>
    <mergeCell ref="S270:X270"/>
    <mergeCell ref="Y270:AD270"/>
    <mergeCell ref="D271:L271"/>
    <mergeCell ref="M271:R271"/>
    <mergeCell ref="S271:X271"/>
    <mergeCell ref="Y271:AD271"/>
    <mergeCell ref="D268:L268"/>
    <mergeCell ref="M268:R268"/>
    <mergeCell ref="S268:X268"/>
    <mergeCell ref="Y268:AD268"/>
    <mergeCell ref="D269:L269"/>
    <mergeCell ref="M269:R269"/>
    <mergeCell ref="S269:X269"/>
    <mergeCell ref="Y269:AD269"/>
    <mergeCell ref="D266:L266"/>
    <mergeCell ref="M266:R266"/>
    <mergeCell ref="S266:X266"/>
    <mergeCell ref="Y266:AD266"/>
    <mergeCell ref="D267:L267"/>
    <mergeCell ref="M267:R267"/>
    <mergeCell ref="S267:X267"/>
    <mergeCell ref="Y267:AD267"/>
    <mergeCell ref="D264:L264"/>
    <mergeCell ref="M264:R264"/>
    <mergeCell ref="S264:X264"/>
    <mergeCell ref="Y264:AD264"/>
    <mergeCell ref="D265:L265"/>
    <mergeCell ref="M265:R265"/>
    <mergeCell ref="S265:X265"/>
    <mergeCell ref="Y265:AD265"/>
    <mergeCell ref="C250:AD250"/>
    <mergeCell ref="C252:AD252"/>
    <mergeCell ref="C253:AD253"/>
    <mergeCell ref="B260:AD260"/>
    <mergeCell ref="C262:L263"/>
    <mergeCell ref="M262:AD262"/>
    <mergeCell ref="M263:R263"/>
    <mergeCell ref="S263:X263"/>
    <mergeCell ref="Y263:AD263"/>
    <mergeCell ref="D247:L247"/>
    <mergeCell ref="M247:R247"/>
    <mergeCell ref="S247:X247"/>
    <mergeCell ref="Y247:AD247"/>
    <mergeCell ref="M248:R248"/>
    <mergeCell ref="S248:X248"/>
    <mergeCell ref="Y248:AD248"/>
    <mergeCell ref="D245:L245"/>
    <mergeCell ref="M245:R245"/>
    <mergeCell ref="S245:X245"/>
    <mergeCell ref="Y245:AD245"/>
    <mergeCell ref="D246:L246"/>
    <mergeCell ref="M246:R246"/>
    <mergeCell ref="S246:X246"/>
    <mergeCell ref="Y246:AD246"/>
    <mergeCell ref="D243:L243"/>
    <mergeCell ref="M243:R243"/>
    <mergeCell ref="S243:X243"/>
    <mergeCell ref="Y243:AD243"/>
    <mergeCell ref="D244:L244"/>
    <mergeCell ref="M244:R244"/>
    <mergeCell ref="S244:X244"/>
    <mergeCell ref="Y244:AD244"/>
    <mergeCell ref="D241:L241"/>
    <mergeCell ref="M241:R241"/>
    <mergeCell ref="S241:X241"/>
    <mergeCell ref="Y241:AD241"/>
    <mergeCell ref="D242:L242"/>
    <mergeCell ref="M242:R242"/>
    <mergeCell ref="S242:X242"/>
    <mergeCell ref="Y242:AD242"/>
    <mergeCell ref="D239:L239"/>
    <mergeCell ref="M239:R239"/>
    <mergeCell ref="S239:X239"/>
    <mergeCell ref="Y239:AD239"/>
    <mergeCell ref="D240:L240"/>
    <mergeCell ref="M240:R240"/>
    <mergeCell ref="S240:X240"/>
    <mergeCell ref="Y240:AD240"/>
    <mergeCell ref="D237:L237"/>
    <mergeCell ref="M237:R237"/>
    <mergeCell ref="S237:X237"/>
    <mergeCell ref="Y237:AD237"/>
    <mergeCell ref="D238:L238"/>
    <mergeCell ref="M238:R238"/>
    <mergeCell ref="S238:X238"/>
    <mergeCell ref="Y238:AD238"/>
    <mergeCell ref="D235:L235"/>
    <mergeCell ref="M235:R235"/>
    <mergeCell ref="S235:X235"/>
    <mergeCell ref="Y235:AD235"/>
    <mergeCell ref="D236:L236"/>
    <mergeCell ref="M236:R236"/>
    <mergeCell ref="S236:X236"/>
    <mergeCell ref="Y236:AD236"/>
    <mergeCell ref="D233:L233"/>
    <mergeCell ref="M233:R233"/>
    <mergeCell ref="S233:X233"/>
    <mergeCell ref="Y233:AD233"/>
    <mergeCell ref="D234:L234"/>
    <mergeCell ref="M234:R234"/>
    <mergeCell ref="S234:X234"/>
    <mergeCell ref="Y234:AD234"/>
    <mergeCell ref="D231:L231"/>
    <mergeCell ref="M231:R231"/>
    <mergeCell ref="S231:X231"/>
    <mergeCell ref="Y231:AD231"/>
    <mergeCell ref="D232:L232"/>
    <mergeCell ref="M232:R232"/>
    <mergeCell ref="S232:X232"/>
    <mergeCell ref="Y232:AD232"/>
    <mergeCell ref="D207:L207"/>
    <mergeCell ref="M207:R207"/>
    <mergeCell ref="S207:X207"/>
    <mergeCell ref="Y207:AD207"/>
    <mergeCell ref="M214:R214"/>
    <mergeCell ref="S214:X214"/>
    <mergeCell ref="Y214:AD214"/>
    <mergeCell ref="C216:AD216"/>
    <mergeCell ref="C217:AD217"/>
    <mergeCell ref="B224:AD224"/>
    <mergeCell ref="D229:L229"/>
    <mergeCell ref="M229:R229"/>
    <mergeCell ref="S229:X229"/>
    <mergeCell ref="Y229:AD229"/>
    <mergeCell ref="D230:L230"/>
    <mergeCell ref="M230:R230"/>
    <mergeCell ref="S230:X230"/>
    <mergeCell ref="Y230:AD230"/>
    <mergeCell ref="C226:L227"/>
    <mergeCell ref="M226:AD226"/>
    <mergeCell ref="M227:R227"/>
    <mergeCell ref="S227:X227"/>
    <mergeCell ref="Y227:AD227"/>
    <mergeCell ref="D228:L228"/>
    <mergeCell ref="M228:R228"/>
    <mergeCell ref="S228:X228"/>
    <mergeCell ref="Y228:AD228"/>
    <mergeCell ref="D213:L213"/>
    <mergeCell ref="M213:R213"/>
    <mergeCell ref="S213:X213"/>
    <mergeCell ref="Y213:AD213"/>
    <mergeCell ref="D208:L208"/>
    <mergeCell ref="C201:AD201"/>
    <mergeCell ref="C203:L204"/>
    <mergeCell ref="M203:AD203"/>
    <mergeCell ref="M204:R204"/>
    <mergeCell ref="S204:X204"/>
    <mergeCell ref="Y204:AD204"/>
    <mergeCell ref="M190:R190"/>
    <mergeCell ref="S190:X190"/>
    <mergeCell ref="Y190:AD190"/>
    <mergeCell ref="C192:AD192"/>
    <mergeCell ref="C193:AD193"/>
    <mergeCell ref="B200:AD200"/>
    <mergeCell ref="D205:L205"/>
    <mergeCell ref="M205:R205"/>
    <mergeCell ref="S205:X205"/>
    <mergeCell ref="Y205:AD205"/>
    <mergeCell ref="D206:L206"/>
    <mergeCell ref="M206:R206"/>
    <mergeCell ref="S206:X206"/>
    <mergeCell ref="Y206:AD206"/>
    <mergeCell ref="B194:AE194"/>
    <mergeCell ref="B195:AE195"/>
    <mergeCell ref="B196:AE196"/>
    <mergeCell ref="B197:AE197"/>
    <mergeCell ref="B198:AE198"/>
    <mergeCell ref="D188:L188"/>
    <mergeCell ref="M188:R188"/>
    <mergeCell ref="S188:X188"/>
    <mergeCell ref="Y188:AD188"/>
    <mergeCell ref="D189:L189"/>
    <mergeCell ref="M189:R189"/>
    <mergeCell ref="S189:X189"/>
    <mergeCell ref="Y189:AD189"/>
    <mergeCell ref="D186:L186"/>
    <mergeCell ref="M186:R186"/>
    <mergeCell ref="S186:X186"/>
    <mergeCell ref="Y186:AD186"/>
    <mergeCell ref="D187:L187"/>
    <mergeCell ref="M187:R187"/>
    <mergeCell ref="S187:X187"/>
    <mergeCell ref="Y187:AD187"/>
    <mergeCell ref="D184:L184"/>
    <mergeCell ref="M184:R184"/>
    <mergeCell ref="S184:X184"/>
    <mergeCell ref="Y184:AD184"/>
    <mergeCell ref="D185:L185"/>
    <mergeCell ref="M185:R185"/>
    <mergeCell ref="S185:X185"/>
    <mergeCell ref="Y185:AD185"/>
    <mergeCell ref="D182:L182"/>
    <mergeCell ref="M182:R182"/>
    <mergeCell ref="S182:X182"/>
    <mergeCell ref="Y182:AD182"/>
    <mergeCell ref="D183:L183"/>
    <mergeCell ref="M183:R183"/>
    <mergeCell ref="S183:X183"/>
    <mergeCell ref="Y183:AD183"/>
    <mergeCell ref="C178:AD178"/>
    <mergeCell ref="C180:L181"/>
    <mergeCell ref="M180:AD180"/>
    <mergeCell ref="M181:R181"/>
    <mergeCell ref="S181:X181"/>
    <mergeCell ref="Y181:AD181"/>
    <mergeCell ref="D164:R164"/>
    <mergeCell ref="D165:R165"/>
    <mergeCell ref="C168:AD168"/>
    <mergeCell ref="C169:AD169"/>
    <mergeCell ref="B176:AD176"/>
    <mergeCell ref="C177:AD177"/>
    <mergeCell ref="B170:AE170"/>
    <mergeCell ref="B171:AE171"/>
    <mergeCell ref="B172:AE172"/>
    <mergeCell ref="B173:AE173"/>
    <mergeCell ref="B174:AE174"/>
    <mergeCell ref="D158:R158"/>
    <mergeCell ref="D159:R159"/>
    <mergeCell ref="D160:R160"/>
    <mergeCell ref="D161:R161"/>
    <mergeCell ref="D162:R162"/>
    <mergeCell ref="D163:R163"/>
    <mergeCell ref="B153:AD153"/>
    <mergeCell ref="C155:R157"/>
    <mergeCell ref="S155:AD155"/>
    <mergeCell ref="S156:S157"/>
    <mergeCell ref="T156:T157"/>
    <mergeCell ref="U156:U157"/>
    <mergeCell ref="V156:X156"/>
    <mergeCell ref="Y156:AA156"/>
    <mergeCell ref="AB156:AD156"/>
    <mergeCell ref="D139:U139"/>
    <mergeCell ref="D140:U140"/>
    <mergeCell ref="D141:U141"/>
    <mergeCell ref="D142:U142"/>
    <mergeCell ref="C145:AD145"/>
    <mergeCell ref="C146:AD146"/>
    <mergeCell ref="B147:AE147"/>
    <mergeCell ref="B148:AE148"/>
    <mergeCell ref="B149:AE149"/>
    <mergeCell ref="B150:AE150"/>
    <mergeCell ref="B151:AE151"/>
    <mergeCell ref="Y133:AA133"/>
    <mergeCell ref="AB133:AD133"/>
    <mergeCell ref="D135:U135"/>
    <mergeCell ref="D136:U136"/>
    <mergeCell ref="D137:U137"/>
    <mergeCell ref="D138:U138"/>
    <mergeCell ref="D118:R118"/>
    <mergeCell ref="D119:R119"/>
    <mergeCell ref="C122:AD122"/>
    <mergeCell ref="C123:AD123"/>
    <mergeCell ref="B130:AD130"/>
    <mergeCell ref="C132:U134"/>
    <mergeCell ref="V132:AD132"/>
    <mergeCell ref="V133:V134"/>
    <mergeCell ref="W133:W134"/>
    <mergeCell ref="X133:X134"/>
    <mergeCell ref="D112:R112"/>
    <mergeCell ref="D113:R113"/>
    <mergeCell ref="D114:R114"/>
    <mergeCell ref="D115:R115"/>
    <mergeCell ref="D116:R116"/>
    <mergeCell ref="D117:R117"/>
    <mergeCell ref="B124:AE124"/>
    <mergeCell ref="B125:AE125"/>
    <mergeCell ref="B126:AE126"/>
    <mergeCell ref="B127:AE127"/>
    <mergeCell ref="B128:AE128"/>
    <mergeCell ref="C109:R111"/>
    <mergeCell ref="S109:AD109"/>
    <mergeCell ref="S110:S111"/>
    <mergeCell ref="T110:T111"/>
    <mergeCell ref="U110:U111"/>
    <mergeCell ref="V110:X110"/>
    <mergeCell ref="Y110:AA110"/>
    <mergeCell ref="AB110:AD110"/>
    <mergeCell ref="D94:R94"/>
    <mergeCell ref="D95:R95"/>
    <mergeCell ref="C98:AD98"/>
    <mergeCell ref="C99:AD99"/>
    <mergeCell ref="B106:AD106"/>
    <mergeCell ref="D88:R88"/>
    <mergeCell ref="D89:R89"/>
    <mergeCell ref="D90:R90"/>
    <mergeCell ref="D91:R91"/>
    <mergeCell ref="D92:R92"/>
    <mergeCell ref="D93:R93"/>
    <mergeCell ref="B100:AE100"/>
    <mergeCell ref="B101:AE101"/>
    <mergeCell ref="B102:AE102"/>
    <mergeCell ref="C82:AD82"/>
    <mergeCell ref="C83:AD83"/>
    <mergeCell ref="C85:R87"/>
    <mergeCell ref="S85:AD85"/>
    <mergeCell ref="S86:S87"/>
    <mergeCell ref="T86:T87"/>
    <mergeCell ref="U86:U87"/>
    <mergeCell ref="V86:X86"/>
    <mergeCell ref="Y86:AA86"/>
    <mergeCell ref="AB86:AD86"/>
    <mergeCell ref="M71:R71"/>
    <mergeCell ref="S71:X71"/>
    <mergeCell ref="Y71:AD71"/>
    <mergeCell ref="C73:AD73"/>
    <mergeCell ref="C74:AD74"/>
    <mergeCell ref="B81:AD81"/>
    <mergeCell ref="D69:L69"/>
    <mergeCell ref="M69:R69"/>
    <mergeCell ref="S69:X69"/>
    <mergeCell ref="Y69:AD69"/>
    <mergeCell ref="D70:L70"/>
    <mergeCell ref="M70:R70"/>
    <mergeCell ref="S70:X70"/>
    <mergeCell ref="Y70:AD70"/>
    <mergeCell ref="B75:AE75"/>
    <mergeCell ref="B76:AE76"/>
    <mergeCell ref="B77:AE77"/>
    <mergeCell ref="D67:L67"/>
    <mergeCell ref="M67:R67"/>
    <mergeCell ref="S67:X67"/>
    <mergeCell ref="Y67:AD67"/>
    <mergeCell ref="D68:L68"/>
    <mergeCell ref="M68:R68"/>
    <mergeCell ref="S68:X68"/>
    <mergeCell ref="Y68:AD68"/>
    <mergeCell ref="D65:L65"/>
    <mergeCell ref="M65:R65"/>
    <mergeCell ref="S65:X65"/>
    <mergeCell ref="Y65:AD65"/>
    <mergeCell ref="D66:L66"/>
    <mergeCell ref="M66:R66"/>
    <mergeCell ref="S66:X66"/>
    <mergeCell ref="Y66:AD66"/>
    <mergeCell ref="D63:L63"/>
    <mergeCell ref="M63:R63"/>
    <mergeCell ref="S63:X63"/>
    <mergeCell ref="Y63:AD63"/>
    <mergeCell ref="D64:L64"/>
    <mergeCell ref="M64:R64"/>
    <mergeCell ref="S64:X64"/>
    <mergeCell ref="Y64:AD64"/>
    <mergeCell ref="C55:AD55"/>
    <mergeCell ref="C56:AD56"/>
    <mergeCell ref="B58:AD58"/>
    <mergeCell ref="C61:L62"/>
    <mergeCell ref="M61:AD61"/>
    <mergeCell ref="M62:R62"/>
    <mergeCell ref="S62:X62"/>
    <mergeCell ref="Y62:AD62"/>
    <mergeCell ref="C43:AD43"/>
    <mergeCell ref="C44:AD44"/>
    <mergeCell ref="B51:AD51"/>
    <mergeCell ref="B52:AD52"/>
    <mergeCell ref="C53:AD53"/>
    <mergeCell ref="D39:X39"/>
    <mergeCell ref="Y39:AD39"/>
    <mergeCell ref="D40:X40"/>
    <mergeCell ref="Y40:AD40"/>
    <mergeCell ref="D41:X41"/>
    <mergeCell ref="Y41:AD41"/>
    <mergeCell ref="C54:AD54"/>
    <mergeCell ref="B45:AE45"/>
    <mergeCell ref="B1:AD1"/>
    <mergeCell ref="B3:AD3"/>
    <mergeCell ref="B5:AD5"/>
    <mergeCell ref="AA7:AD7"/>
    <mergeCell ref="B8:L8"/>
    <mergeCell ref="N8:O8"/>
    <mergeCell ref="D36:X36"/>
    <mergeCell ref="Y36:AD36"/>
    <mergeCell ref="D37:X37"/>
    <mergeCell ref="Y37:AD37"/>
    <mergeCell ref="D38:X38"/>
    <mergeCell ref="Y38:AD38"/>
    <mergeCell ref="B31:AD31"/>
    <mergeCell ref="C33:X33"/>
    <mergeCell ref="Y33:AD33"/>
    <mergeCell ref="D34:X34"/>
    <mergeCell ref="Y34:AD34"/>
    <mergeCell ref="D35:X35"/>
    <mergeCell ref="Y35:AD35"/>
    <mergeCell ref="B27:AD27"/>
    <mergeCell ref="B28:AD28"/>
    <mergeCell ref="C29:AD29"/>
    <mergeCell ref="B10:AD10"/>
    <mergeCell ref="C11:AD11"/>
    <mergeCell ref="C12:AD12"/>
    <mergeCell ref="C13:AD13"/>
    <mergeCell ref="C14:AD14"/>
    <mergeCell ref="C18:AD18"/>
    <mergeCell ref="C19:AD19"/>
    <mergeCell ref="C20:AD20"/>
    <mergeCell ref="B21:AD21"/>
    <mergeCell ref="C15:AD15"/>
    <mergeCell ref="M208:R208"/>
    <mergeCell ref="S208:X208"/>
    <mergeCell ref="Y208:AD208"/>
    <mergeCell ref="D209:L209"/>
    <mergeCell ref="M209:R209"/>
    <mergeCell ref="S209:X209"/>
    <mergeCell ref="Y209:AD209"/>
    <mergeCell ref="D210:L210"/>
    <mergeCell ref="M210:R210"/>
    <mergeCell ref="S210:X210"/>
    <mergeCell ref="Y210:AD210"/>
    <mergeCell ref="D211:L211"/>
    <mergeCell ref="M211:R211"/>
    <mergeCell ref="S211:X211"/>
    <mergeCell ref="Y211:AD211"/>
    <mergeCell ref="D212:L212"/>
    <mergeCell ref="M212:R212"/>
    <mergeCell ref="S212:X212"/>
    <mergeCell ref="Y212:AD212"/>
  </mergeCells>
  <conditionalFormatting sqref="F401:AD401">
    <cfRule type="expression" dxfId="597" priority="19">
      <formula>OR(M397=0,M397="NA",M397="NS")</formula>
    </cfRule>
    <cfRule type="expression" dxfId="596" priority="20">
      <formula>AND(M397&gt;0,M397&lt;&gt;"NA",M397&lt;&gt;"NS",F401="")</formula>
    </cfRule>
  </conditionalFormatting>
  <conditionalFormatting sqref="M182:AD189">
    <cfRule type="expression" dxfId="595" priority="29">
      <formula>OR($M$71=0,$M$71="NS",$M$71="NA")</formula>
    </cfRule>
  </conditionalFormatting>
  <conditionalFormatting sqref="M205:AD213">
    <cfRule type="expression" dxfId="594" priority="28">
      <formula>OR($M$71=0,$M$71="NS",$M$71="NA")</formula>
    </cfRule>
  </conditionalFormatting>
  <conditionalFormatting sqref="M228:AD247">
    <cfRule type="expression" dxfId="593" priority="27">
      <formula>OR($M$71=0,$M$71="NS",$M$71="NA")</formula>
    </cfRule>
  </conditionalFormatting>
  <conditionalFormatting sqref="M264:AD275">
    <cfRule type="expression" dxfId="592" priority="26">
      <formula>OR($M$71=0,$M$71="NS",$M$71="NA")</formula>
    </cfRule>
  </conditionalFormatting>
  <conditionalFormatting sqref="M292:AD296">
    <cfRule type="expression" dxfId="591" priority="25">
      <formula>OR($M$71=0,$M$71="NS",$M$71="NA")</formula>
    </cfRule>
  </conditionalFormatting>
  <conditionalFormatting sqref="M385:AD398">
    <cfRule type="expression" dxfId="590" priority="21">
      <formula>OR($V$366=0,$V$366="NS",$V$366="NA")</formula>
    </cfRule>
  </conditionalFormatting>
  <conditionalFormatting sqref="M440:AD464">
    <cfRule type="expression" dxfId="589" priority="17">
      <formula>OR($V$424=0,$V$424="NS",$V$424="NA")</formula>
    </cfRule>
  </conditionalFormatting>
  <conditionalFormatting sqref="O481:AD488">
    <cfRule type="expression" dxfId="588" priority="16">
      <formula>OR($M63=0,$M63="NS",$M63="NA")</formula>
    </cfRule>
  </conditionalFormatting>
  <conditionalFormatting sqref="S112:AD119">
    <cfRule type="expression" dxfId="587" priority="32">
      <formula>OR($M63=0,$M63="NS",$M63="NA")</formula>
    </cfRule>
  </conditionalFormatting>
  <conditionalFormatting sqref="S158:AD165">
    <cfRule type="expression" dxfId="586" priority="30">
      <formula>OR($M63=0,$M63="NS",$M63="NA")</formula>
    </cfRule>
  </conditionalFormatting>
  <conditionalFormatting sqref="S312:AD319">
    <cfRule type="expression" dxfId="585" priority="24">
      <formula>OR($M63=0,$M63="NS",$M63="NA")</formula>
    </cfRule>
  </conditionalFormatting>
  <conditionalFormatting sqref="S335:AD342">
    <cfRule type="expression" dxfId="584" priority="23">
      <formula>OR($M63=0,$M63="NS",$M63="NA")</formula>
    </cfRule>
  </conditionalFormatting>
  <conditionalFormatting sqref="S358:AD365">
    <cfRule type="expression" dxfId="583" priority="22">
      <formula>OR($M63=0,$M63="NS",$M63="NA")</formula>
    </cfRule>
  </conditionalFormatting>
  <conditionalFormatting sqref="S416:AD423">
    <cfRule type="expression" dxfId="582" priority="18">
      <formula>OR($M63=0,$M63="NS",$M63="NA")</formula>
    </cfRule>
  </conditionalFormatting>
  <conditionalFormatting sqref="S481:AD488">
    <cfRule type="expression" dxfId="581" priority="15">
      <formula>$O481&gt;1</formula>
    </cfRule>
  </conditionalFormatting>
  <conditionalFormatting sqref="S959:AD998">
    <cfRule type="expression" dxfId="580" priority="3">
      <formula>$M959="NA"</formula>
    </cfRule>
  </conditionalFormatting>
  <conditionalFormatting sqref="V135:AD142">
    <cfRule type="expression" dxfId="579" priority="31">
      <formula>OR($M63=0,$M63="NS",$M63="NA")</formula>
    </cfRule>
  </conditionalFormatting>
  <conditionalFormatting sqref="V517:AD518">
    <cfRule type="expression" dxfId="578" priority="14">
      <formula>OR($M$71=0,$M$71="NS",$M$71="NA")</formula>
    </cfRule>
  </conditionalFormatting>
  <conditionalFormatting sqref="V536:AD700">
    <cfRule type="expression" dxfId="577" priority="12">
      <formula>OR($V$517=0,$V$517="NS",$V$517="NA")</formula>
    </cfRule>
  </conditionalFormatting>
  <conditionalFormatting sqref="V718:AD882">
    <cfRule type="expression" dxfId="576" priority="10">
      <formula>OR($V$518=0,$V$518="NS",$V$518="NA")</formula>
    </cfRule>
  </conditionalFormatting>
  <conditionalFormatting sqref="W536:AD700">
    <cfRule type="expression" dxfId="575" priority="13">
      <formula>$V536="NA"</formula>
    </cfRule>
  </conditionalFormatting>
  <conditionalFormatting sqref="W718:AD882">
    <cfRule type="expression" dxfId="574" priority="11">
      <formula>$V718="NA"</formula>
    </cfRule>
  </conditionalFormatting>
  <conditionalFormatting sqref="W903:AD905">
    <cfRule type="expression" dxfId="573" priority="5">
      <formula>$V903="NA"</formula>
    </cfRule>
  </conditionalFormatting>
  <conditionalFormatting sqref="W907:AD909">
    <cfRule type="expression" dxfId="572" priority="4">
      <formula>$V907="NA"</formula>
    </cfRule>
  </conditionalFormatting>
  <dataValidations count="1">
    <dataValidation type="list" allowBlank="1" showInputMessage="1" showErrorMessage="1" sqref="Y34:AD41 O481:R488" xr:uid="{5277FD90-0703-4793-9A4D-43651789FCED}">
      <formula1>"1,2,9"</formula1>
    </dataValidation>
  </dataValidations>
  <hyperlinks>
    <hyperlink ref="AA7:AD7" location="Índice!B27" display="Índice" xr:uid="{0EDABAC4-229A-4343-9AD6-8DEF6CBC9BA0}"/>
  </hyperlinks>
  <printOptions horizontalCentered="1"/>
  <pageMargins left="0.70866141732283472" right="0.70866141732283472" top="0.74803149606299213" bottom="0.74803149606299213" header="0.31496062992125984" footer="0.31496062992125984"/>
  <pageSetup scale="75" orientation="portrait" r:id="rId1"/>
  <headerFooter>
    <oddHeader>&amp;CMódulo 2 Sección VII
Cuestionario</oddHeader>
    <oddFooter>&amp;LCenso Nacional de Sistemas Penitenciarios Estatales 2024&amp;R&amp;P de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887E0-6A4E-4DE4-95B7-C2ED7FA66001}">
  <dimension ref="A1:CR1863"/>
  <sheetViews>
    <sheetView showGridLines="0" zoomScaleNormal="100" workbookViewId="0"/>
  </sheetViews>
  <sheetFormatPr baseColWidth="10" defaultColWidth="0" defaultRowHeight="15" customHeight="1" zeroHeight="1"/>
  <cols>
    <col min="1" max="1" width="5.7109375" style="3" customWidth="1"/>
    <col min="2" max="30" width="3.7109375" style="3" customWidth="1"/>
    <col min="31" max="31" width="5.7109375" style="3" customWidth="1"/>
    <col min="32" max="96" width="0" style="3" hidden="1" customWidth="1"/>
    <col min="97" max="16384" width="9.28515625" style="3" hidden="1"/>
  </cols>
  <sheetData>
    <row r="1" spans="1:30" ht="173.25" customHeight="1">
      <c r="A1" s="91"/>
      <c r="B1" s="718" t="s">
        <v>0</v>
      </c>
      <c r="C1" s="719"/>
      <c r="D1" s="719"/>
      <c r="E1" s="719"/>
      <c r="F1" s="719"/>
      <c r="G1" s="719"/>
      <c r="H1" s="719"/>
      <c r="I1" s="719"/>
      <c r="J1" s="719"/>
      <c r="K1" s="719"/>
      <c r="L1" s="719"/>
      <c r="M1" s="719"/>
      <c r="N1" s="719"/>
      <c r="O1" s="719"/>
      <c r="P1" s="719"/>
      <c r="Q1" s="719"/>
      <c r="R1" s="719"/>
      <c r="S1" s="719"/>
      <c r="T1" s="719"/>
      <c r="U1" s="719"/>
      <c r="V1" s="719"/>
      <c r="W1" s="719"/>
      <c r="X1" s="719"/>
      <c r="Y1" s="719"/>
      <c r="Z1" s="719"/>
      <c r="AA1" s="719"/>
      <c r="AB1" s="719"/>
      <c r="AC1" s="719"/>
      <c r="AD1" s="719"/>
    </row>
    <row r="2" spans="1:30" ht="15" customHeight="1">
      <c r="A2" s="91"/>
    </row>
    <row r="3" spans="1:30" ht="45" customHeight="1">
      <c r="A3" s="91"/>
      <c r="B3" s="720" t="s">
        <v>1</v>
      </c>
      <c r="C3" s="721"/>
      <c r="D3" s="721"/>
      <c r="E3" s="721"/>
      <c r="F3" s="721"/>
      <c r="G3" s="721"/>
      <c r="H3" s="721"/>
      <c r="I3" s="721"/>
      <c r="J3" s="721"/>
      <c r="K3" s="721"/>
      <c r="L3" s="721"/>
      <c r="M3" s="721"/>
      <c r="N3" s="721"/>
      <c r="O3" s="721"/>
      <c r="P3" s="721"/>
      <c r="Q3" s="721"/>
      <c r="R3" s="721"/>
      <c r="S3" s="721"/>
      <c r="T3" s="721"/>
      <c r="U3" s="721"/>
      <c r="V3" s="721"/>
      <c r="W3" s="721"/>
      <c r="X3" s="721"/>
      <c r="Y3" s="721"/>
      <c r="Z3" s="721"/>
      <c r="AA3" s="721"/>
      <c r="AB3" s="721"/>
      <c r="AC3" s="721"/>
      <c r="AD3" s="721"/>
    </row>
    <row r="4" spans="1:30" ht="15" customHeight="1">
      <c r="A4" s="91"/>
    </row>
    <row r="5" spans="1:30" ht="45" customHeight="1">
      <c r="A5" s="91"/>
      <c r="B5" s="720" t="s">
        <v>22</v>
      </c>
      <c r="C5" s="721"/>
      <c r="D5" s="721"/>
      <c r="E5" s="721"/>
      <c r="F5" s="721"/>
      <c r="G5" s="721"/>
      <c r="H5" s="721"/>
      <c r="I5" s="721"/>
      <c r="J5" s="721"/>
      <c r="K5" s="721"/>
      <c r="L5" s="721"/>
      <c r="M5" s="721"/>
      <c r="N5" s="721"/>
      <c r="O5" s="721"/>
      <c r="P5" s="721"/>
      <c r="Q5" s="721"/>
      <c r="R5" s="721"/>
      <c r="S5" s="721"/>
      <c r="T5" s="721"/>
      <c r="U5" s="721"/>
      <c r="V5" s="721"/>
      <c r="W5" s="721"/>
      <c r="X5" s="721"/>
      <c r="Y5" s="721"/>
      <c r="Z5" s="721"/>
      <c r="AA5" s="721"/>
      <c r="AB5" s="721"/>
      <c r="AC5" s="721"/>
      <c r="AD5" s="721"/>
    </row>
    <row r="6" spans="1:30" ht="15" customHeight="1">
      <c r="A6" s="91"/>
    </row>
    <row r="7" spans="1:30" ht="15" customHeight="1" thickBot="1">
      <c r="A7" s="91"/>
      <c r="B7" s="23" t="s">
        <v>3</v>
      </c>
      <c r="N7" s="23" t="s">
        <v>4</v>
      </c>
      <c r="P7" s="24"/>
      <c r="Q7" s="24"/>
      <c r="R7" s="24"/>
      <c r="S7" s="24"/>
      <c r="T7" s="24"/>
      <c r="U7" s="24"/>
      <c r="V7" s="24"/>
      <c r="W7" s="24"/>
      <c r="X7" s="24"/>
      <c r="Y7" s="24"/>
      <c r="Z7" s="24"/>
      <c r="AA7" s="758" t="s">
        <v>2</v>
      </c>
      <c r="AB7" s="758"/>
      <c r="AC7" s="758"/>
      <c r="AD7" s="758"/>
    </row>
    <row r="8" spans="1:30" ht="15" customHeight="1" thickBot="1">
      <c r="A8" s="108"/>
      <c r="B8" s="722" t="str">
        <f>IF(Presentación!B8="","",Presentación!B8)</f>
        <v>Puebla</v>
      </c>
      <c r="C8" s="723"/>
      <c r="D8" s="723"/>
      <c r="E8" s="723"/>
      <c r="F8" s="723"/>
      <c r="G8" s="723"/>
      <c r="H8" s="723"/>
      <c r="I8" s="723"/>
      <c r="J8" s="723"/>
      <c r="K8" s="723"/>
      <c r="L8" s="724"/>
      <c r="M8" s="25"/>
      <c r="N8" s="722">
        <f>IF(Presentación!N8="","",Presentación!N8)</f>
        <v>221</v>
      </c>
      <c r="O8" s="724"/>
      <c r="P8" s="107"/>
      <c r="Q8" s="107"/>
      <c r="R8" s="107"/>
      <c r="S8" s="109"/>
      <c r="T8" s="107"/>
      <c r="U8" s="107"/>
      <c r="V8" s="107"/>
      <c r="W8" s="107"/>
      <c r="X8" s="107"/>
      <c r="Y8" s="107"/>
      <c r="Z8" s="107"/>
      <c r="AA8" s="107"/>
      <c r="AB8" s="107"/>
      <c r="AC8" s="107"/>
      <c r="AD8" s="107"/>
    </row>
    <row r="9" spans="1:30" ht="15" customHeight="1">
      <c r="A9" s="91"/>
      <c r="C9" s="24"/>
      <c r="D9" s="24"/>
      <c r="E9" s="24"/>
      <c r="F9" s="24"/>
      <c r="G9" s="24"/>
      <c r="H9" s="24"/>
      <c r="I9" s="24"/>
      <c r="J9" s="24"/>
      <c r="K9" s="24"/>
      <c r="L9" s="24"/>
      <c r="M9" s="24"/>
      <c r="N9" s="24"/>
      <c r="O9" s="24"/>
      <c r="P9" s="24"/>
      <c r="Q9" s="24"/>
      <c r="R9" s="24"/>
      <c r="S9" s="24"/>
      <c r="T9" s="24"/>
      <c r="U9" s="24"/>
      <c r="V9" s="24"/>
      <c r="W9" s="24"/>
      <c r="X9" s="24"/>
      <c r="Y9" s="24"/>
      <c r="Z9" s="24"/>
      <c r="AA9" s="24"/>
      <c r="AB9" s="24"/>
      <c r="AC9" s="24"/>
    </row>
    <row r="10" spans="1:30" ht="15" customHeight="1">
      <c r="A10" s="94"/>
      <c r="B10" s="892" t="s">
        <v>2552</v>
      </c>
      <c r="C10" s="893"/>
      <c r="D10" s="893"/>
      <c r="E10" s="893"/>
      <c r="F10" s="893"/>
      <c r="G10" s="893"/>
      <c r="H10" s="893"/>
      <c r="I10" s="893"/>
      <c r="J10" s="893"/>
      <c r="K10" s="893"/>
      <c r="L10" s="893"/>
      <c r="M10" s="893"/>
      <c r="N10" s="893"/>
      <c r="O10" s="893"/>
      <c r="P10" s="893"/>
      <c r="Q10" s="893"/>
      <c r="R10" s="893"/>
      <c r="S10" s="893"/>
      <c r="T10" s="893"/>
      <c r="U10" s="893"/>
      <c r="V10" s="893"/>
      <c r="W10" s="893"/>
      <c r="X10" s="893"/>
      <c r="Y10" s="893"/>
      <c r="Z10" s="893"/>
      <c r="AA10" s="893"/>
      <c r="AB10" s="893"/>
      <c r="AC10" s="893"/>
      <c r="AD10" s="894"/>
    </row>
    <row r="11" spans="1:30" ht="24" customHeight="1">
      <c r="A11" s="94"/>
      <c r="B11" s="654"/>
      <c r="C11" s="754" t="s">
        <v>5146</v>
      </c>
      <c r="D11" s="754"/>
      <c r="E11" s="754"/>
      <c r="F11" s="754"/>
      <c r="G11" s="754"/>
      <c r="H11" s="754"/>
      <c r="I11" s="754"/>
      <c r="J11" s="754"/>
      <c r="K11" s="754"/>
      <c r="L11" s="754"/>
      <c r="M11" s="754"/>
      <c r="N11" s="754"/>
      <c r="O11" s="754"/>
      <c r="P11" s="754"/>
      <c r="Q11" s="754"/>
      <c r="R11" s="754"/>
      <c r="S11" s="754"/>
      <c r="T11" s="754"/>
      <c r="U11" s="754"/>
      <c r="V11" s="754"/>
      <c r="W11" s="754"/>
      <c r="X11" s="754"/>
      <c r="Y11" s="754"/>
      <c r="Z11" s="754"/>
      <c r="AA11" s="754"/>
      <c r="AB11" s="754"/>
      <c r="AC11" s="754"/>
      <c r="AD11" s="891"/>
    </row>
    <row r="12" spans="1:30" ht="24" customHeight="1">
      <c r="A12" s="94"/>
      <c r="B12" s="654"/>
      <c r="C12" s="754" t="s">
        <v>2554</v>
      </c>
      <c r="D12" s="830"/>
      <c r="E12" s="830"/>
      <c r="F12" s="830"/>
      <c r="G12" s="830"/>
      <c r="H12" s="830"/>
      <c r="I12" s="830"/>
      <c r="J12" s="830"/>
      <c r="K12" s="830"/>
      <c r="L12" s="830"/>
      <c r="M12" s="830"/>
      <c r="N12" s="830"/>
      <c r="O12" s="830"/>
      <c r="P12" s="830"/>
      <c r="Q12" s="830"/>
      <c r="R12" s="830"/>
      <c r="S12" s="830"/>
      <c r="T12" s="830"/>
      <c r="U12" s="830"/>
      <c r="V12" s="830"/>
      <c r="W12" s="830"/>
      <c r="X12" s="830"/>
      <c r="Y12" s="830"/>
      <c r="Z12" s="830"/>
      <c r="AA12" s="830"/>
      <c r="AB12" s="830"/>
      <c r="AC12" s="830"/>
      <c r="AD12" s="895"/>
    </row>
    <row r="13" spans="1:30" ht="60" customHeight="1">
      <c r="A13" s="146"/>
      <c r="B13" s="654"/>
      <c r="C13" s="754" t="s">
        <v>2555</v>
      </c>
      <c r="D13" s="830"/>
      <c r="E13" s="830"/>
      <c r="F13" s="830"/>
      <c r="G13" s="830"/>
      <c r="H13" s="830"/>
      <c r="I13" s="830"/>
      <c r="J13" s="830"/>
      <c r="K13" s="830"/>
      <c r="L13" s="830"/>
      <c r="M13" s="830"/>
      <c r="N13" s="830"/>
      <c r="O13" s="830"/>
      <c r="P13" s="830"/>
      <c r="Q13" s="830"/>
      <c r="R13" s="830"/>
      <c r="S13" s="830"/>
      <c r="T13" s="830"/>
      <c r="U13" s="830"/>
      <c r="V13" s="830"/>
      <c r="W13" s="830"/>
      <c r="X13" s="830"/>
      <c r="Y13" s="830"/>
      <c r="Z13" s="830"/>
      <c r="AA13" s="830"/>
      <c r="AB13" s="830"/>
      <c r="AC13" s="830"/>
      <c r="AD13" s="895"/>
    </row>
    <row r="14" spans="1:30" ht="15" customHeight="1">
      <c r="A14" s="94"/>
      <c r="B14" s="654"/>
      <c r="C14" s="754" t="s">
        <v>3021</v>
      </c>
      <c r="D14" s="830"/>
      <c r="E14" s="830"/>
      <c r="F14" s="830"/>
      <c r="G14" s="830"/>
      <c r="H14" s="830"/>
      <c r="I14" s="830"/>
      <c r="J14" s="830"/>
      <c r="K14" s="830"/>
      <c r="L14" s="830"/>
      <c r="M14" s="830"/>
      <c r="N14" s="830"/>
      <c r="O14" s="830"/>
      <c r="P14" s="830"/>
      <c r="Q14" s="830"/>
      <c r="R14" s="830"/>
      <c r="S14" s="830"/>
      <c r="T14" s="830"/>
      <c r="U14" s="830"/>
      <c r="V14" s="830"/>
      <c r="W14" s="830"/>
      <c r="X14" s="830"/>
      <c r="Y14" s="830"/>
      <c r="Z14" s="830"/>
      <c r="AA14" s="830"/>
      <c r="AB14" s="830"/>
      <c r="AC14" s="830"/>
      <c r="AD14" s="886"/>
    </row>
    <row r="15" spans="1:30" ht="24" customHeight="1">
      <c r="A15" s="146"/>
      <c r="B15" s="654"/>
      <c r="C15" s="754" t="s">
        <v>3022</v>
      </c>
      <c r="D15" s="754"/>
      <c r="E15" s="754"/>
      <c r="F15" s="754"/>
      <c r="G15" s="754"/>
      <c r="H15" s="754"/>
      <c r="I15" s="754"/>
      <c r="J15" s="754"/>
      <c r="K15" s="754"/>
      <c r="L15" s="754"/>
      <c r="M15" s="754"/>
      <c r="N15" s="754"/>
      <c r="O15" s="754"/>
      <c r="P15" s="754"/>
      <c r="Q15" s="754"/>
      <c r="R15" s="754"/>
      <c r="S15" s="754"/>
      <c r="T15" s="754"/>
      <c r="U15" s="754"/>
      <c r="V15" s="754"/>
      <c r="W15" s="754"/>
      <c r="X15" s="754"/>
      <c r="Y15" s="754"/>
      <c r="Z15" s="754"/>
      <c r="AA15" s="754"/>
      <c r="AB15" s="754"/>
      <c r="AC15" s="754"/>
      <c r="AD15" s="891"/>
    </row>
    <row r="16" spans="1:30" ht="24" customHeight="1">
      <c r="A16" s="146"/>
      <c r="B16" s="654"/>
      <c r="C16" s="754" t="s">
        <v>5147</v>
      </c>
      <c r="D16" s="830"/>
      <c r="E16" s="830"/>
      <c r="F16" s="830"/>
      <c r="G16" s="830"/>
      <c r="H16" s="830"/>
      <c r="I16" s="830"/>
      <c r="J16" s="830"/>
      <c r="K16" s="830"/>
      <c r="L16" s="830"/>
      <c r="M16" s="830"/>
      <c r="N16" s="830"/>
      <c r="O16" s="830"/>
      <c r="P16" s="830"/>
      <c r="Q16" s="830"/>
      <c r="R16" s="830"/>
      <c r="S16" s="830"/>
      <c r="T16" s="830"/>
      <c r="U16" s="830"/>
      <c r="V16" s="830"/>
      <c r="W16" s="830"/>
      <c r="X16" s="830"/>
      <c r="Y16" s="830"/>
      <c r="Z16" s="830"/>
      <c r="AA16" s="830"/>
      <c r="AB16" s="830"/>
      <c r="AC16" s="830"/>
      <c r="AD16" s="886"/>
    </row>
    <row r="17" spans="1:31" ht="36" customHeight="1">
      <c r="A17" s="110"/>
      <c r="B17" s="111"/>
      <c r="C17" s="754" t="s">
        <v>5148</v>
      </c>
      <c r="D17" s="754"/>
      <c r="E17" s="754"/>
      <c r="F17" s="754"/>
      <c r="G17" s="754"/>
      <c r="H17" s="754"/>
      <c r="I17" s="754"/>
      <c r="J17" s="754"/>
      <c r="K17" s="754"/>
      <c r="L17" s="754"/>
      <c r="M17" s="754"/>
      <c r="N17" s="754"/>
      <c r="O17" s="754"/>
      <c r="P17" s="754"/>
      <c r="Q17" s="754"/>
      <c r="R17" s="754"/>
      <c r="S17" s="754"/>
      <c r="T17" s="754"/>
      <c r="U17" s="754"/>
      <c r="V17" s="754"/>
      <c r="W17" s="754"/>
      <c r="X17" s="754"/>
      <c r="Y17" s="754"/>
      <c r="Z17" s="754"/>
      <c r="AA17" s="754"/>
      <c r="AB17" s="754"/>
      <c r="AC17" s="754"/>
      <c r="AD17" s="755"/>
    </row>
    <row r="18" spans="1:31" ht="48" customHeight="1">
      <c r="A18" s="146"/>
      <c r="B18" s="654"/>
      <c r="C18" s="754" t="s">
        <v>5149</v>
      </c>
      <c r="D18" s="754"/>
      <c r="E18" s="754"/>
      <c r="F18" s="754"/>
      <c r="G18" s="754"/>
      <c r="H18" s="754"/>
      <c r="I18" s="754"/>
      <c r="J18" s="754"/>
      <c r="K18" s="754"/>
      <c r="L18" s="754"/>
      <c r="M18" s="754"/>
      <c r="N18" s="754"/>
      <c r="O18" s="754"/>
      <c r="P18" s="754"/>
      <c r="Q18" s="754"/>
      <c r="R18" s="754"/>
      <c r="S18" s="754"/>
      <c r="T18" s="754"/>
      <c r="U18" s="754"/>
      <c r="V18" s="754"/>
      <c r="W18" s="754"/>
      <c r="X18" s="754"/>
      <c r="Y18" s="754"/>
      <c r="Z18" s="754"/>
      <c r="AA18" s="754"/>
      <c r="AB18" s="754"/>
      <c r="AC18" s="754"/>
      <c r="AD18" s="755"/>
    </row>
    <row r="19" spans="1:31" ht="15" customHeight="1">
      <c r="A19" s="94"/>
      <c r="B19" s="209"/>
      <c r="C19" s="764" t="s">
        <v>5150</v>
      </c>
      <c r="D19" s="764"/>
      <c r="E19" s="764"/>
      <c r="F19" s="764"/>
      <c r="G19" s="764"/>
      <c r="H19" s="764"/>
      <c r="I19" s="764"/>
      <c r="J19" s="764"/>
      <c r="K19" s="764"/>
      <c r="L19" s="764"/>
      <c r="M19" s="764"/>
      <c r="N19" s="764"/>
      <c r="O19" s="764"/>
      <c r="P19" s="764"/>
      <c r="Q19" s="764"/>
      <c r="R19" s="764"/>
      <c r="S19" s="764"/>
      <c r="T19" s="764"/>
      <c r="U19" s="764"/>
      <c r="V19" s="764"/>
      <c r="W19" s="764"/>
      <c r="X19" s="764"/>
      <c r="Y19" s="764"/>
      <c r="Z19" s="764"/>
      <c r="AA19" s="764"/>
      <c r="AB19" s="764"/>
      <c r="AC19" s="764"/>
      <c r="AD19" s="765"/>
    </row>
    <row r="20" spans="1:31" ht="15" customHeight="1">
      <c r="A20" s="170"/>
      <c r="B20" s="1006" t="s">
        <v>2561</v>
      </c>
      <c r="C20" s="893"/>
      <c r="D20" s="893"/>
      <c r="E20" s="893"/>
      <c r="F20" s="893"/>
      <c r="G20" s="893"/>
      <c r="H20" s="893"/>
      <c r="I20" s="893"/>
      <c r="J20" s="893"/>
      <c r="K20" s="893"/>
      <c r="L20" s="893"/>
      <c r="M20" s="893"/>
      <c r="N20" s="893"/>
      <c r="O20" s="893"/>
      <c r="P20" s="893"/>
      <c r="Q20" s="893"/>
      <c r="R20" s="893"/>
      <c r="S20" s="893"/>
      <c r="T20" s="893"/>
      <c r="U20" s="893"/>
      <c r="V20" s="893"/>
      <c r="W20" s="893"/>
      <c r="X20" s="893"/>
      <c r="Y20" s="893"/>
      <c r="Z20" s="893"/>
      <c r="AA20" s="893"/>
      <c r="AB20" s="893"/>
      <c r="AC20" s="893"/>
      <c r="AD20" s="1007"/>
    </row>
    <row r="21" spans="1:31" ht="15" customHeight="1">
      <c r="A21" s="108"/>
      <c r="B21" s="149"/>
      <c r="C21" s="754" t="s">
        <v>5151</v>
      </c>
      <c r="D21" s="830"/>
      <c r="E21" s="830"/>
      <c r="F21" s="830"/>
      <c r="G21" s="830"/>
      <c r="H21" s="830"/>
      <c r="I21" s="830"/>
      <c r="J21" s="830"/>
      <c r="K21" s="830"/>
      <c r="L21" s="830"/>
      <c r="M21" s="830"/>
      <c r="N21" s="830"/>
      <c r="O21" s="830"/>
      <c r="P21" s="830"/>
      <c r="Q21" s="830"/>
      <c r="R21" s="830"/>
      <c r="S21" s="830"/>
      <c r="T21" s="830"/>
      <c r="U21" s="830"/>
      <c r="V21" s="830"/>
      <c r="W21" s="830"/>
      <c r="X21" s="830"/>
      <c r="Y21" s="830"/>
      <c r="Z21" s="830"/>
      <c r="AA21" s="830"/>
      <c r="AB21" s="830"/>
      <c r="AC21" s="830"/>
      <c r="AD21" s="886"/>
    </row>
    <row r="22" spans="1:31" ht="24" customHeight="1">
      <c r="A22" s="170"/>
      <c r="B22" s="76"/>
      <c r="C22" s="754" t="s">
        <v>5152</v>
      </c>
      <c r="D22" s="830"/>
      <c r="E22" s="830"/>
      <c r="F22" s="830"/>
      <c r="G22" s="830"/>
      <c r="H22" s="830"/>
      <c r="I22" s="830"/>
      <c r="J22" s="830"/>
      <c r="K22" s="830"/>
      <c r="L22" s="830"/>
      <c r="M22" s="830"/>
      <c r="N22" s="830"/>
      <c r="O22" s="830"/>
      <c r="P22" s="830"/>
      <c r="Q22" s="830"/>
      <c r="R22" s="830"/>
      <c r="S22" s="830"/>
      <c r="T22" s="830"/>
      <c r="U22" s="830"/>
      <c r="V22" s="830"/>
      <c r="W22" s="830"/>
      <c r="X22" s="830"/>
      <c r="Y22" s="830"/>
      <c r="Z22" s="830"/>
      <c r="AA22" s="830"/>
      <c r="AB22" s="830"/>
      <c r="AC22" s="830"/>
      <c r="AD22" s="886"/>
    </row>
    <row r="23" spans="1:31" ht="24" customHeight="1">
      <c r="A23" s="170"/>
      <c r="B23" s="76"/>
      <c r="C23" s="754" t="s">
        <v>5153</v>
      </c>
      <c r="D23" s="830"/>
      <c r="E23" s="830"/>
      <c r="F23" s="830"/>
      <c r="G23" s="830"/>
      <c r="H23" s="830"/>
      <c r="I23" s="830"/>
      <c r="J23" s="830"/>
      <c r="K23" s="830"/>
      <c r="L23" s="830"/>
      <c r="M23" s="830"/>
      <c r="N23" s="830"/>
      <c r="O23" s="830"/>
      <c r="P23" s="830"/>
      <c r="Q23" s="830"/>
      <c r="R23" s="830"/>
      <c r="S23" s="830"/>
      <c r="T23" s="830"/>
      <c r="U23" s="830"/>
      <c r="V23" s="830"/>
      <c r="W23" s="830"/>
      <c r="X23" s="830"/>
      <c r="Y23" s="830"/>
      <c r="Z23" s="830"/>
      <c r="AA23" s="830"/>
      <c r="AB23" s="830"/>
      <c r="AC23" s="830"/>
      <c r="AD23" s="886"/>
    </row>
    <row r="24" spans="1:31" ht="48" customHeight="1">
      <c r="A24" s="94"/>
      <c r="B24" s="76"/>
      <c r="C24" s="754" t="s">
        <v>5154</v>
      </c>
      <c r="D24" s="830"/>
      <c r="E24" s="830"/>
      <c r="F24" s="830"/>
      <c r="G24" s="830"/>
      <c r="H24" s="830"/>
      <c r="I24" s="830"/>
      <c r="J24" s="830"/>
      <c r="K24" s="830"/>
      <c r="L24" s="830"/>
      <c r="M24" s="830"/>
      <c r="N24" s="830"/>
      <c r="O24" s="830"/>
      <c r="P24" s="830"/>
      <c r="Q24" s="830"/>
      <c r="R24" s="830"/>
      <c r="S24" s="830"/>
      <c r="T24" s="830"/>
      <c r="U24" s="830"/>
      <c r="V24" s="830"/>
      <c r="W24" s="830"/>
      <c r="X24" s="830"/>
      <c r="Y24" s="830"/>
      <c r="Z24" s="830"/>
      <c r="AA24" s="830"/>
      <c r="AB24" s="830"/>
      <c r="AC24" s="830"/>
      <c r="AD24" s="886"/>
    </row>
    <row r="25" spans="1:31" ht="36" customHeight="1">
      <c r="A25" s="94"/>
      <c r="B25" s="76"/>
      <c r="C25" s="754" t="s">
        <v>5155</v>
      </c>
      <c r="D25" s="830"/>
      <c r="E25" s="830"/>
      <c r="F25" s="830"/>
      <c r="G25" s="830"/>
      <c r="H25" s="830"/>
      <c r="I25" s="830"/>
      <c r="J25" s="830"/>
      <c r="K25" s="830"/>
      <c r="L25" s="830"/>
      <c r="M25" s="830"/>
      <c r="N25" s="830"/>
      <c r="O25" s="830"/>
      <c r="P25" s="830"/>
      <c r="Q25" s="830"/>
      <c r="R25" s="830"/>
      <c r="S25" s="830"/>
      <c r="T25" s="830"/>
      <c r="U25" s="830"/>
      <c r="V25" s="830"/>
      <c r="W25" s="830"/>
      <c r="X25" s="830"/>
      <c r="Y25" s="830"/>
      <c r="Z25" s="830"/>
      <c r="AA25" s="830"/>
      <c r="AB25" s="830"/>
      <c r="AC25" s="830"/>
      <c r="AD25" s="886"/>
    </row>
    <row r="26" spans="1:31" ht="36" customHeight="1">
      <c r="A26" s="170"/>
      <c r="B26" s="76"/>
      <c r="C26" s="754" t="s">
        <v>5156</v>
      </c>
      <c r="D26" s="830"/>
      <c r="E26" s="830"/>
      <c r="F26" s="830"/>
      <c r="G26" s="830"/>
      <c r="H26" s="830"/>
      <c r="I26" s="830"/>
      <c r="J26" s="830"/>
      <c r="K26" s="830"/>
      <c r="L26" s="830"/>
      <c r="M26" s="830"/>
      <c r="N26" s="830"/>
      <c r="O26" s="830"/>
      <c r="P26" s="830"/>
      <c r="Q26" s="830"/>
      <c r="R26" s="830"/>
      <c r="S26" s="830"/>
      <c r="T26" s="830"/>
      <c r="U26" s="830"/>
      <c r="V26" s="830"/>
      <c r="W26" s="830"/>
      <c r="X26" s="830"/>
      <c r="Y26" s="830"/>
      <c r="Z26" s="830"/>
      <c r="AA26" s="830"/>
      <c r="AB26" s="830"/>
      <c r="AC26" s="830"/>
      <c r="AD26" s="886"/>
    </row>
    <row r="27" spans="1:31" ht="24" customHeight="1">
      <c r="A27" s="170"/>
      <c r="B27" s="80"/>
      <c r="C27" s="764" t="s">
        <v>5157</v>
      </c>
      <c r="D27" s="876"/>
      <c r="E27" s="876"/>
      <c r="F27" s="876"/>
      <c r="G27" s="876"/>
      <c r="H27" s="876"/>
      <c r="I27" s="876"/>
      <c r="J27" s="876"/>
      <c r="K27" s="876"/>
      <c r="L27" s="876"/>
      <c r="M27" s="876"/>
      <c r="N27" s="876"/>
      <c r="O27" s="876"/>
      <c r="P27" s="876"/>
      <c r="Q27" s="876"/>
      <c r="R27" s="876"/>
      <c r="S27" s="876"/>
      <c r="T27" s="876"/>
      <c r="U27" s="876"/>
      <c r="V27" s="876"/>
      <c r="W27" s="876"/>
      <c r="X27" s="876"/>
      <c r="Y27" s="876"/>
      <c r="Z27" s="876"/>
      <c r="AA27" s="876"/>
      <c r="AB27" s="876"/>
      <c r="AC27" s="876"/>
      <c r="AD27" s="877"/>
    </row>
    <row r="28" spans="1:31" ht="15.75" thickBot="1">
      <c r="A28" s="170"/>
      <c r="B28" s="141"/>
      <c r="C28" s="141"/>
      <c r="D28" s="141"/>
      <c r="E28" s="141"/>
      <c r="F28" s="141"/>
      <c r="G28" s="141"/>
      <c r="H28" s="141"/>
      <c r="I28" s="141"/>
      <c r="J28" s="141"/>
      <c r="K28" s="141"/>
      <c r="L28" s="141"/>
      <c r="M28" s="141"/>
      <c r="N28" s="141"/>
      <c r="O28" s="141"/>
      <c r="P28" s="141"/>
      <c r="Q28" s="141"/>
      <c r="R28" s="141"/>
      <c r="S28" s="141"/>
      <c r="T28" s="141"/>
      <c r="U28" s="141"/>
      <c r="V28" s="141"/>
      <c r="W28" s="141"/>
      <c r="X28" s="141"/>
      <c r="Y28" s="141"/>
      <c r="Z28" s="141"/>
      <c r="AA28" s="141"/>
      <c r="AB28" s="141"/>
      <c r="AC28" s="141"/>
      <c r="AD28" s="141"/>
    </row>
    <row r="29" spans="1:31" customFormat="1" ht="15" customHeight="1" thickBot="1">
      <c r="A29" s="153" t="s">
        <v>2563</v>
      </c>
      <c r="B29" s="1081" t="s">
        <v>5158</v>
      </c>
      <c r="C29" s="1082"/>
      <c r="D29" s="1082"/>
      <c r="E29" s="1082"/>
      <c r="F29" s="1082"/>
      <c r="G29" s="1082"/>
      <c r="H29" s="1082"/>
      <c r="I29" s="1082"/>
      <c r="J29" s="1082"/>
      <c r="K29" s="1082"/>
      <c r="L29" s="1082"/>
      <c r="M29" s="1082"/>
      <c r="N29" s="1082"/>
      <c r="O29" s="1082"/>
      <c r="P29" s="1082"/>
      <c r="Q29" s="1082"/>
      <c r="R29" s="1082"/>
      <c r="S29" s="1082"/>
      <c r="T29" s="1082"/>
      <c r="U29" s="1082"/>
      <c r="V29" s="1082"/>
      <c r="W29" s="1082"/>
      <c r="X29" s="1082"/>
      <c r="Y29" s="1082"/>
      <c r="Z29" s="1082"/>
      <c r="AA29" s="1082"/>
      <c r="AB29" s="1082"/>
      <c r="AC29" s="1082"/>
      <c r="AD29" s="1083"/>
      <c r="AE29" s="3"/>
    </row>
    <row r="30" spans="1:31" ht="15" customHeight="1">
      <c r="A30" s="170"/>
      <c r="B30" s="946" t="s">
        <v>3157</v>
      </c>
      <c r="C30" s="867"/>
      <c r="D30" s="867"/>
      <c r="E30" s="867"/>
      <c r="F30" s="867"/>
      <c r="G30" s="867"/>
      <c r="H30" s="867"/>
      <c r="I30" s="867"/>
      <c r="J30" s="867"/>
      <c r="K30" s="867"/>
      <c r="L30" s="867"/>
      <c r="M30" s="867"/>
      <c r="N30" s="867"/>
      <c r="O30" s="867"/>
      <c r="P30" s="867"/>
      <c r="Q30" s="867"/>
      <c r="R30" s="867"/>
      <c r="S30" s="867"/>
      <c r="T30" s="867"/>
      <c r="U30" s="867"/>
      <c r="V30" s="867"/>
      <c r="W30" s="867"/>
      <c r="X30" s="867"/>
      <c r="Y30" s="867"/>
      <c r="Z30" s="867"/>
      <c r="AA30" s="867"/>
      <c r="AB30" s="867"/>
      <c r="AC30" s="867"/>
      <c r="AD30" s="947"/>
    </row>
    <row r="31" spans="1:31" ht="36" customHeight="1">
      <c r="A31" s="94"/>
      <c r="B31" s="150"/>
      <c r="C31" s="754" t="s">
        <v>5159</v>
      </c>
      <c r="D31" s="754"/>
      <c r="E31" s="754"/>
      <c r="F31" s="754"/>
      <c r="G31" s="754"/>
      <c r="H31" s="754"/>
      <c r="I31" s="754"/>
      <c r="J31" s="754"/>
      <c r="K31" s="754"/>
      <c r="L31" s="754"/>
      <c r="M31" s="754"/>
      <c r="N31" s="754"/>
      <c r="O31" s="754"/>
      <c r="P31" s="754"/>
      <c r="Q31" s="754"/>
      <c r="R31" s="754"/>
      <c r="S31" s="754"/>
      <c r="T31" s="754"/>
      <c r="U31" s="754"/>
      <c r="V31" s="754"/>
      <c r="W31" s="754"/>
      <c r="X31" s="754"/>
      <c r="Y31" s="754"/>
      <c r="Z31" s="754"/>
      <c r="AA31" s="754"/>
      <c r="AB31" s="754"/>
      <c r="AC31" s="754"/>
      <c r="AD31" s="891"/>
    </row>
    <row r="32" spans="1:31" ht="24" customHeight="1">
      <c r="A32" s="94"/>
      <c r="B32" s="150"/>
      <c r="C32" s="754" t="s">
        <v>5160</v>
      </c>
      <c r="D32" s="754"/>
      <c r="E32" s="754"/>
      <c r="F32" s="754"/>
      <c r="G32" s="754"/>
      <c r="H32" s="754"/>
      <c r="I32" s="754"/>
      <c r="J32" s="754"/>
      <c r="K32" s="754"/>
      <c r="L32" s="754"/>
      <c r="M32" s="754"/>
      <c r="N32" s="754"/>
      <c r="O32" s="754"/>
      <c r="P32" s="754"/>
      <c r="Q32" s="754"/>
      <c r="R32" s="754"/>
      <c r="S32" s="754"/>
      <c r="T32" s="754"/>
      <c r="U32" s="754"/>
      <c r="V32" s="754"/>
      <c r="W32" s="754"/>
      <c r="X32" s="754"/>
      <c r="Y32" s="754"/>
      <c r="Z32" s="754"/>
      <c r="AA32" s="754"/>
      <c r="AB32" s="754"/>
      <c r="AC32" s="754"/>
      <c r="AD32" s="891"/>
    </row>
    <row r="33" spans="1:37" ht="36" customHeight="1">
      <c r="A33" s="94"/>
      <c r="B33" s="149"/>
      <c r="C33" s="754" t="s">
        <v>5161</v>
      </c>
      <c r="D33" s="754"/>
      <c r="E33" s="754"/>
      <c r="F33" s="754"/>
      <c r="G33" s="754"/>
      <c r="H33" s="754"/>
      <c r="I33" s="754"/>
      <c r="J33" s="754"/>
      <c r="K33" s="754"/>
      <c r="L33" s="754"/>
      <c r="M33" s="754"/>
      <c r="N33" s="754"/>
      <c r="O33" s="754"/>
      <c r="P33" s="754"/>
      <c r="Q33" s="754"/>
      <c r="R33" s="754"/>
      <c r="S33" s="754"/>
      <c r="T33" s="754"/>
      <c r="U33" s="754"/>
      <c r="V33" s="754"/>
      <c r="W33" s="754"/>
      <c r="X33" s="754"/>
      <c r="Y33" s="754"/>
      <c r="Z33" s="754"/>
      <c r="AA33" s="754"/>
      <c r="AB33" s="754"/>
      <c r="AC33" s="754"/>
      <c r="AD33" s="891"/>
    </row>
    <row r="34" spans="1:37" ht="24" customHeight="1">
      <c r="A34" s="94"/>
      <c r="B34" s="151"/>
      <c r="C34" s="764" t="s">
        <v>5162</v>
      </c>
      <c r="D34" s="764"/>
      <c r="E34" s="764"/>
      <c r="F34" s="764"/>
      <c r="G34" s="764"/>
      <c r="H34" s="764"/>
      <c r="I34" s="764"/>
      <c r="J34" s="764"/>
      <c r="K34" s="764"/>
      <c r="L34" s="764"/>
      <c r="M34" s="764"/>
      <c r="N34" s="764"/>
      <c r="O34" s="764"/>
      <c r="P34" s="764"/>
      <c r="Q34" s="764"/>
      <c r="R34" s="764"/>
      <c r="S34" s="764"/>
      <c r="T34" s="764"/>
      <c r="U34" s="764"/>
      <c r="V34" s="764"/>
      <c r="W34" s="764"/>
      <c r="X34" s="764"/>
      <c r="Y34" s="764"/>
      <c r="Z34" s="764"/>
      <c r="AA34" s="764"/>
      <c r="AB34" s="764"/>
      <c r="AC34" s="764"/>
      <c r="AD34" s="837"/>
    </row>
    <row r="35" spans="1:37" ht="15" customHeight="1">
      <c r="A35" s="94"/>
    </row>
    <row r="36" spans="1:37" ht="24" customHeight="1">
      <c r="A36" s="49" t="s">
        <v>5163</v>
      </c>
      <c r="B36" s="829" t="s">
        <v>5164</v>
      </c>
      <c r="C36" s="829"/>
      <c r="D36" s="829"/>
      <c r="E36" s="829"/>
      <c r="F36" s="829"/>
      <c r="G36" s="829"/>
      <c r="H36" s="829"/>
      <c r="I36" s="829"/>
      <c r="J36" s="829"/>
      <c r="K36" s="829"/>
      <c r="L36" s="829"/>
      <c r="M36" s="829"/>
      <c r="N36" s="829"/>
      <c r="O36" s="829"/>
      <c r="P36" s="829"/>
      <c r="Q36" s="829"/>
      <c r="R36" s="829"/>
      <c r="S36" s="829"/>
      <c r="T36" s="829"/>
      <c r="U36" s="829"/>
      <c r="V36" s="829"/>
      <c r="W36" s="829"/>
      <c r="X36" s="829"/>
      <c r="Y36" s="829"/>
      <c r="Z36" s="829"/>
      <c r="AA36" s="829"/>
      <c r="AB36" s="829"/>
      <c r="AC36" s="829"/>
      <c r="AD36" s="829"/>
      <c r="AG36" s="3" t="s">
        <v>5165</v>
      </c>
    </row>
    <row r="37" spans="1:37" ht="15" customHeight="1">
      <c r="A37" s="10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row>
    <row r="38" spans="1:37" ht="15" customHeight="1">
      <c r="A38" s="108"/>
      <c r="B38" s="38"/>
      <c r="C38" s="732" t="s">
        <v>2581</v>
      </c>
      <c r="D38" s="732"/>
      <c r="E38" s="732"/>
      <c r="F38" s="732"/>
      <c r="G38" s="732"/>
      <c r="H38" s="732"/>
      <c r="I38" s="732"/>
      <c r="J38" s="732"/>
      <c r="K38" s="732"/>
      <c r="L38" s="732"/>
      <c r="M38" s="732" t="s">
        <v>5166</v>
      </c>
      <c r="N38" s="732"/>
      <c r="O38" s="732"/>
      <c r="P38" s="732"/>
      <c r="Q38" s="732"/>
      <c r="R38" s="732"/>
      <c r="S38" s="732"/>
      <c r="T38" s="732"/>
      <c r="U38" s="732"/>
      <c r="V38" s="732"/>
      <c r="W38" s="732"/>
      <c r="X38" s="732"/>
      <c r="Y38" s="732"/>
      <c r="Z38" s="732"/>
      <c r="AA38" s="732"/>
      <c r="AB38" s="732"/>
      <c r="AC38" s="732"/>
      <c r="AD38" s="732"/>
    </row>
    <row r="39" spans="1:37" ht="15" customHeight="1">
      <c r="A39" s="108"/>
      <c r="B39" s="38"/>
      <c r="C39" s="732"/>
      <c r="D39" s="732"/>
      <c r="E39" s="732"/>
      <c r="F39" s="732"/>
      <c r="G39" s="732"/>
      <c r="H39" s="732"/>
      <c r="I39" s="732"/>
      <c r="J39" s="732"/>
      <c r="K39" s="732"/>
      <c r="L39" s="732"/>
      <c r="M39" s="987" t="s">
        <v>2628</v>
      </c>
      <c r="N39" s="988"/>
      <c r="O39" s="988"/>
      <c r="P39" s="988"/>
      <c r="Q39" s="988"/>
      <c r="R39" s="988"/>
      <c r="S39" s="989" t="s">
        <v>2629</v>
      </c>
      <c r="T39" s="990"/>
      <c r="U39" s="990"/>
      <c r="V39" s="990"/>
      <c r="W39" s="990"/>
      <c r="X39" s="990"/>
      <c r="Y39" s="989" t="s">
        <v>2630</v>
      </c>
      <c r="Z39" s="990"/>
      <c r="AA39" s="990"/>
      <c r="AB39" s="990"/>
      <c r="AC39" s="990"/>
      <c r="AD39" s="990"/>
      <c r="AG39" t="s">
        <v>2586</v>
      </c>
      <c r="AI39" t="s">
        <v>2590</v>
      </c>
      <c r="AJ39" t="s">
        <v>3163</v>
      </c>
      <c r="AK39" t="s">
        <v>4564</v>
      </c>
    </row>
    <row r="40" spans="1:37" ht="15" customHeight="1">
      <c r="A40" s="108"/>
      <c r="B40" s="38"/>
      <c r="C40" s="97" t="s">
        <v>2516</v>
      </c>
      <c r="D40" s="1084" t="str">
        <f>IF(CNSIPEE_2024_M2_Secc1!D42="","",CNSIPEE_2024_M2_Secc1!D42)</f>
        <v/>
      </c>
      <c r="E40" s="1084"/>
      <c r="F40" s="1084"/>
      <c r="G40" s="1084"/>
      <c r="H40" s="1084"/>
      <c r="I40" s="1084"/>
      <c r="J40" s="1084"/>
      <c r="K40" s="1084"/>
      <c r="L40" s="1084"/>
      <c r="M40" s="749"/>
      <c r="N40" s="749"/>
      <c r="O40" s="749"/>
      <c r="P40" s="749"/>
      <c r="Q40" s="749"/>
      <c r="R40" s="749"/>
      <c r="S40" s="749"/>
      <c r="T40" s="749"/>
      <c r="U40" s="749"/>
      <c r="V40" s="749"/>
      <c r="W40" s="749"/>
      <c r="X40" s="749"/>
      <c r="Y40" s="749"/>
      <c r="Z40" s="749"/>
      <c r="AA40" s="749"/>
      <c r="AB40" s="749"/>
      <c r="AC40" s="749"/>
      <c r="AD40" s="749"/>
      <c r="AG40">
        <f t="shared" ref="AG40:AG47" si="0">IF(OR(COUNTBLANK(D40:Y40)=22,COUNTBLANK(D40:Y40)=18),0,1)</f>
        <v>0</v>
      </c>
      <c r="AI40">
        <f t="shared" ref="AI40" si="1">COUNTIF(S40:AD40,"NS")</f>
        <v>0</v>
      </c>
      <c r="AJ40">
        <f t="shared" ref="AJ40" si="2">SUM(S40:AD40)</f>
        <v>0</v>
      </c>
      <c r="AK40">
        <f>IF(COUNTIF(M40:AD40,"NA")=3,0,IF(COUNTA(M40:AD40)=0,0,IF(OR(AND(M40=0,AI40&gt;0),AND(M40="ns",AJ40&gt;0),AND(M40="ns",AI40=0,AJ40=0)),1,IF(OR(AND(M40&gt;0,AI40=2),AND(M40="ns",AI40=2),AND(M40="ns",AJ40=0,AI40&gt;0),M40=AJ40),0,1))))</f>
        <v>0</v>
      </c>
    </row>
    <row r="41" spans="1:37" ht="15" customHeight="1">
      <c r="A41" s="108"/>
      <c r="B41" s="38"/>
      <c r="C41" s="98" t="s">
        <v>2517</v>
      </c>
      <c r="D41" s="1084" t="str">
        <f>IF(CNSIPEE_2024_M2_Secc1!D43="","",CNSIPEE_2024_M2_Secc1!D43)</f>
        <v/>
      </c>
      <c r="E41" s="1084"/>
      <c r="F41" s="1084"/>
      <c r="G41" s="1084"/>
      <c r="H41" s="1084"/>
      <c r="I41" s="1084"/>
      <c r="J41" s="1084"/>
      <c r="K41" s="1084"/>
      <c r="L41" s="1084"/>
      <c r="M41" s="749"/>
      <c r="N41" s="749"/>
      <c r="O41" s="749"/>
      <c r="P41" s="749"/>
      <c r="Q41" s="749"/>
      <c r="R41" s="749"/>
      <c r="S41" s="749"/>
      <c r="T41" s="749"/>
      <c r="U41" s="749"/>
      <c r="V41" s="749"/>
      <c r="W41" s="749"/>
      <c r="X41" s="749"/>
      <c r="Y41" s="749"/>
      <c r="Z41" s="749"/>
      <c r="AA41" s="749"/>
      <c r="AB41" s="749"/>
      <c r="AC41" s="749"/>
      <c r="AD41" s="749"/>
      <c r="AG41">
        <f t="shared" si="0"/>
        <v>0</v>
      </c>
      <c r="AI41">
        <f t="shared" ref="AI41:AI47" si="3">COUNTIF(S41:AD41,"NS")</f>
        <v>0</v>
      </c>
      <c r="AJ41">
        <f t="shared" ref="AJ41:AJ47" si="4">SUM(S41:AD41)</f>
        <v>0</v>
      </c>
      <c r="AK41">
        <f t="shared" ref="AK41:AK47" si="5">IF(COUNTIF(M41:AD41,"NA")=3,0,IF(COUNTA(M41:AD41)=0,0,IF(OR(AND(M41=0,AI41&gt;0),AND(M41="ns",AJ41&gt;0),AND(M41="ns",AI41=0,AJ41=0)),1,IF(OR(AND(M41&gt;0,AI41=2),AND(M41="ns",AI41=2),AND(M41="ns",AJ41=0,AI41&gt;0),M41=AJ41),0,1))))</f>
        <v>0</v>
      </c>
    </row>
    <row r="42" spans="1:37" ht="15" customHeight="1">
      <c r="A42" s="108"/>
      <c r="B42" s="38"/>
      <c r="C42" s="98" t="s">
        <v>2518</v>
      </c>
      <c r="D42" s="1084" t="str">
        <f>IF(CNSIPEE_2024_M2_Secc1!D44="","",CNSIPEE_2024_M2_Secc1!D44)</f>
        <v/>
      </c>
      <c r="E42" s="1084"/>
      <c r="F42" s="1084"/>
      <c r="G42" s="1084"/>
      <c r="H42" s="1084"/>
      <c r="I42" s="1084"/>
      <c r="J42" s="1084"/>
      <c r="K42" s="1084"/>
      <c r="L42" s="1084"/>
      <c r="M42" s="749"/>
      <c r="N42" s="749"/>
      <c r="O42" s="749"/>
      <c r="P42" s="749"/>
      <c r="Q42" s="749"/>
      <c r="R42" s="749"/>
      <c r="S42" s="749"/>
      <c r="T42" s="749"/>
      <c r="U42" s="749"/>
      <c r="V42" s="749"/>
      <c r="W42" s="749"/>
      <c r="X42" s="749"/>
      <c r="Y42" s="749"/>
      <c r="Z42" s="749"/>
      <c r="AA42" s="749"/>
      <c r="AB42" s="749"/>
      <c r="AC42" s="749"/>
      <c r="AD42" s="749"/>
      <c r="AG42">
        <f t="shared" si="0"/>
        <v>0</v>
      </c>
      <c r="AI42">
        <f t="shared" si="3"/>
        <v>0</v>
      </c>
      <c r="AJ42">
        <f t="shared" si="4"/>
        <v>0</v>
      </c>
      <c r="AK42">
        <f t="shared" si="5"/>
        <v>0</v>
      </c>
    </row>
    <row r="43" spans="1:37" ht="15" customHeight="1">
      <c r="A43" s="108"/>
      <c r="B43" s="38"/>
      <c r="C43" s="98" t="s">
        <v>2519</v>
      </c>
      <c r="D43" s="1084" t="str">
        <f>IF(CNSIPEE_2024_M2_Secc1!D45="","",CNSIPEE_2024_M2_Secc1!D45)</f>
        <v/>
      </c>
      <c r="E43" s="1084"/>
      <c r="F43" s="1084"/>
      <c r="G43" s="1084"/>
      <c r="H43" s="1084"/>
      <c r="I43" s="1084"/>
      <c r="J43" s="1084"/>
      <c r="K43" s="1084"/>
      <c r="L43" s="1084"/>
      <c r="M43" s="749"/>
      <c r="N43" s="749"/>
      <c r="O43" s="749"/>
      <c r="P43" s="749"/>
      <c r="Q43" s="749"/>
      <c r="R43" s="749"/>
      <c r="S43" s="749"/>
      <c r="T43" s="749"/>
      <c r="U43" s="749"/>
      <c r="V43" s="749"/>
      <c r="W43" s="749"/>
      <c r="X43" s="749"/>
      <c r="Y43" s="749"/>
      <c r="Z43" s="749"/>
      <c r="AA43" s="749"/>
      <c r="AB43" s="749"/>
      <c r="AC43" s="749"/>
      <c r="AD43" s="749"/>
      <c r="AG43">
        <f t="shared" si="0"/>
        <v>0</v>
      </c>
      <c r="AI43">
        <f t="shared" si="3"/>
        <v>0</v>
      </c>
      <c r="AJ43">
        <f t="shared" si="4"/>
        <v>0</v>
      </c>
      <c r="AK43">
        <f t="shared" si="5"/>
        <v>0</v>
      </c>
    </row>
    <row r="44" spans="1:37" ht="15" customHeight="1">
      <c r="A44" s="108"/>
      <c r="B44" s="38"/>
      <c r="C44" s="98" t="s">
        <v>2520</v>
      </c>
      <c r="D44" s="1084" t="str">
        <f>IF(CNSIPEE_2024_M2_Secc1!D46="","",CNSIPEE_2024_M2_Secc1!D46)</f>
        <v/>
      </c>
      <c r="E44" s="1084"/>
      <c r="F44" s="1084"/>
      <c r="G44" s="1084"/>
      <c r="H44" s="1084"/>
      <c r="I44" s="1084"/>
      <c r="J44" s="1084"/>
      <c r="K44" s="1084"/>
      <c r="L44" s="1084"/>
      <c r="M44" s="749"/>
      <c r="N44" s="749"/>
      <c r="O44" s="749"/>
      <c r="P44" s="749"/>
      <c r="Q44" s="749"/>
      <c r="R44" s="749"/>
      <c r="S44" s="749"/>
      <c r="T44" s="749"/>
      <c r="U44" s="749"/>
      <c r="V44" s="749"/>
      <c r="W44" s="749"/>
      <c r="X44" s="749"/>
      <c r="Y44" s="749"/>
      <c r="Z44" s="749"/>
      <c r="AA44" s="749"/>
      <c r="AB44" s="749"/>
      <c r="AC44" s="749"/>
      <c r="AD44" s="749"/>
      <c r="AG44">
        <f t="shared" si="0"/>
        <v>0</v>
      </c>
      <c r="AI44">
        <f t="shared" si="3"/>
        <v>0</v>
      </c>
      <c r="AJ44">
        <f t="shared" si="4"/>
        <v>0</v>
      </c>
      <c r="AK44">
        <f t="shared" si="5"/>
        <v>0</v>
      </c>
    </row>
    <row r="45" spans="1:37" ht="15" customHeight="1">
      <c r="A45" s="108"/>
      <c r="B45" s="38"/>
      <c r="C45" s="98" t="s">
        <v>2521</v>
      </c>
      <c r="D45" s="1084" t="str">
        <f>IF(CNSIPEE_2024_M2_Secc1!D47="","",CNSIPEE_2024_M2_Secc1!D47)</f>
        <v/>
      </c>
      <c r="E45" s="1084"/>
      <c r="F45" s="1084"/>
      <c r="G45" s="1084"/>
      <c r="H45" s="1084"/>
      <c r="I45" s="1084"/>
      <c r="J45" s="1084"/>
      <c r="K45" s="1084"/>
      <c r="L45" s="1084"/>
      <c r="M45" s="749"/>
      <c r="N45" s="749"/>
      <c r="O45" s="749"/>
      <c r="P45" s="749"/>
      <c r="Q45" s="749"/>
      <c r="R45" s="749"/>
      <c r="S45" s="749"/>
      <c r="T45" s="749"/>
      <c r="U45" s="749"/>
      <c r="V45" s="749"/>
      <c r="W45" s="749"/>
      <c r="X45" s="749"/>
      <c r="Y45" s="749"/>
      <c r="Z45" s="749"/>
      <c r="AA45" s="749"/>
      <c r="AB45" s="749"/>
      <c r="AC45" s="749"/>
      <c r="AD45" s="749"/>
      <c r="AG45">
        <f t="shared" si="0"/>
        <v>0</v>
      </c>
      <c r="AI45">
        <f t="shared" si="3"/>
        <v>0</v>
      </c>
      <c r="AJ45">
        <f t="shared" si="4"/>
        <v>0</v>
      </c>
      <c r="AK45">
        <f t="shared" si="5"/>
        <v>0</v>
      </c>
    </row>
    <row r="46" spans="1:37" ht="15" customHeight="1">
      <c r="A46" s="108"/>
      <c r="B46" s="38"/>
      <c r="C46" s="98" t="s">
        <v>2522</v>
      </c>
      <c r="D46" s="1084" t="str">
        <f>IF(CNSIPEE_2024_M2_Secc1!D48="","",CNSIPEE_2024_M2_Secc1!D48)</f>
        <v/>
      </c>
      <c r="E46" s="1084"/>
      <c r="F46" s="1084"/>
      <c r="G46" s="1084"/>
      <c r="H46" s="1084"/>
      <c r="I46" s="1084"/>
      <c r="J46" s="1084"/>
      <c r="K46" s="1084"/>
      <c r="L46" s="1084"/>
      <c r="M46" s="749"/>
      <c r="N46" s="749"/>
      <c r="O46" s="749"/>
      <c r="P46" s="749"/>
      <c r="Q46" s="749"/>
      <c r="R46" s="749"/>
      <c r="S46" s="749"/>
      <c r="T46" s="749"/>
      <c r="U46" s="749"/>
      <c r="V46" s="749"/>
      <c r="W46" s="749"/>
      <c r="X46" s="749"/>
      <c r="Y46" s="749"/>
      <c r="Z46" s="749"/>
      <c r="AA46" s="749"/>
      <c r="AB46" s="749"/>
      <c r="AC46" s="749"/>
      <c r="AD46" s="749"/>
      <c r="AG46">
        <f t="shared" si="0"/>
        <v>0</v>
      </c>
      <c r="AI46">
        <f t="shared" si="3"/>
        <v>0</v>
      </c>
      <c r="AJ46">
        <f t="shared" si="4"/>
        <v>0</v>
      </c>
      <c r="AK46">
        <f t="shared" si="5"/>
        <v>0</v>
      </c>
    </row>
    <row r="47" spans="1:37" ht="15" customHeight="1">
      <c r="A47" s="108"/>
      <c r="B47" s="38"/>
      <c r="C47" s="98" t="s">
        <v>2523</v>
      </c>
      <c r="D47" s="1084" t="str">
        <f>IF(CNSIPEE_2024_M2_Secc1!D49="","",CNSIPEE_2024_M2_Secc1!D49)</f>
        <v/>
      </c>
      <c r="E47" s="1084"/>
      <c r="F47" s="1084"/>
      <c r="G47" s="1084"/>
      <c r="H47" s="1084"/>
      <c r="I47" s="1084"/>
      <c r="J47" s="1084"/>
      <c r="K47" s="1084"/>
      <c r="L47" s="1084"/>
      <c r="M47" s="749"/>
      <c r="N47" s="749"/>
      <c r="O47" s="749"/>
      <c r="P47" s="749"/>
      <c r="Q47" s="749"/>
      <c r="R47" s="749"/>
      <c r="S47" s="749"/>
      <c r="T47" s="749"/>
      <c r="U47" s="749"/>
      <c r="V47" s="749"/>
      <c r="W47" s="749"/>
      <c r="X47" s="749"/>
      <c r="Y47" s="749"/>
      <c r="Z47" s="749"/>
      <c r="AA47" s="749"/>
      <c r="AB47" s="749"/>
      <c r="AC47" s="749"/>
      <c r="AD47" s="749"/>
      <c r="AG47">
        <f t="shared" si="0"/>
        <v>0</v>
      </c>
      <c r="AI47">
        <f t="shared" si="3"/>
        <v>0</v>
      </c>
      <c r="AJ47">
        <f t="shared" si="4"/>
        <v>0</v>
      </c>
      <c r="AK47">
        <f t="shared" si="5"/>
        <v>0</v>
      </c>
    </row>
    <row r="48" spans="1:37" ht="15" customHeight="1">
      <c r="A48" s="108"/>
      <c r="B48" s="38"/>
      <c r="C48" s="38"/>
      <c r="D48" s="38"/>
      <c r="E48" s="38"/>
      <c r="F48" s="38"/>
      <c r="G48" s="38"/>
      <c r="H48" s="38"/>
      <c r="I48" s="38"/>
      <c r="J48" s="38"/>
      <c r="K48" s="38"/>
      <c r="L48" s="117" t="s">
        <v>2649</v>
      </c>
      <c r="M48" s="736">
        <f>IF(AND(SUM(M40:M47)=0,COUNTIF(M40:M47,"NS")&gt;0),"NS",IF(AND(SUM(M40:M47)=0,COUNTIF(M40:M47,0)&gt;0),0,IF(AND(SUM(M40:M47)=0,COUNTIF(M40:M47,"NA")&gt;0),"NA",SUM(M40:M47))))</f>
        <v>0</v>
      </c>
      <c r="N48" s="1085"/>
      <c r="O48" s="1085"/>
      <c r="P48" s="1085"/>
      <c r="Q48" s="1085"/>
      <c r="R48" s="1086"/>
      <c r="S48" s="736">
        <f>IF(AND(SUM(S40:S47)=0,COUNTIF(S40:S47,"NS")&gt;0),"NS",IF(AND(SUM(S40:S47)=0,COUNTIF(S40:S47,0)&gt;0),0,IF(AND(SUM(S40:S47)=0,COUNTIF(S40:S47,"NA")&gt;0),"NA",SUM(S40:S47))))</f>
        <v>0</v>
      </c>
      <c r="T48" s="1085"/>
      <c r="U48" s="1085"/>
      <c r="V48" s="1085"/>
      <c r="W48" s="1085"/>
      <c r="X48" s="1086"/>
      <c r="Y48" s="736">
        <f>IF(AND(SUM(Y40:Y47)=0,COUNTIF(Y40:Y47,"NS")&gt;0),"NS",IF(AND(SUM(Y40:Y47)=0,COUNTIF(Y40:Y47,0)&gt;0),0,IF(AND(SUM(Y40:Y47)=0,COUNTIF(Y40:Y47,"NA")&gt;0),"NA",SUM(Y40:Y47))))</f>
        <v>0</v>
      </c>
      <c r="Z48" s="1085"/>
      <c r="AA48" s="1085"/>
      <c r="AB48" s="1085"/>
      <c r="AC48" s="1085"/>
      <c r="AD48" s="1086"/>
      <c r="AG48" s="507">
        <f>SUM(AG40:AG47)</f>
        <v>0</v>
      </c>
      <c r="AI48">
        <f>SUM(AI40:AI47)</f>
        <v>0</v>
      </c>
      <c r="AK48" s="506">
        <f>SUM(AK40:AK47)</f>
        <v>0</v>
      </c>
    </row>
    <row r="49" spans="1:58" ht="15" customHeight="1">
      <c r="A49" s="108"/>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row>
    <row r="50" spans="1:58" ht="24" customHeight="1">
      <c r="A50" s="108"/>
      <c r="B50" s="38"/>
      <c r="C50" s="754" t="s">
        <v>2611</v>
      </c>
      <c r="D50" s="754"/>
      <c r="E50" s="754"/>
      <c r="F50" s="754"/>
      <c r="G50" s="754"/>
      <c r="H50" s="754"/>
      <c r="I50" s="754"/>
      <c r="J50" s="754"/>
      <c r="K50" s="754"/>
      <c r="L50" s="754"/>
      <c r="M50" s="754"/>
      <c r="N50" s="754"/>
      <c r="O50" s="754"/>
      <c r="P50" s="754"/>
      <c r="Q50" s="754"/>
      <c r="R50" s="754"/>
      <c r="S50" s="754"/>
      <c r="T50" s="754"/>
      <c r="U50" s="754"/>
      <c r="V50" s="754"/>
      <c r="W50" s="754"/>
      <c r="X50" s="754"/>
      <c r="Y50" s="754"/>
      <c r="Z50" s="754"/>
      <c r="AA50" s="754"/>
      <c r="AB50" s="754"/>
      <c r="AC50" s="754"/>
      <c r="AD50" s="754"/>
    </row>
    <row r="51" spans="1:58" ht="60" customHeight="1">
      <c r="A51" s="108"/>
      <c r="B51" s="38"/>
      <c r="C51" s="851"/>
      <c r="D51" s="851"/>
      <c r="E51" s="851"/>
      <c r="F51" s="851"/>
      <c r="G51" s="851"/>
      <c r="H51" s="851"/>
      <c r="I51" s="851"/>
      <c r="J51" s="851"/>
      <c r="K51" s="851"/>
      <c r="L51" s="851"/>
      <c r="M51" s="851"/>
      <c r="N51" s="851"/>
      <c r="O51" s="851"/>
      <c r="P51" s="851"/>
      <c r="Q51" s="851"/>
      <c r="R51" s="851"/>
      <c r="S51" s="851"/>
      <c r="T51" s="851"/>
      <c r="U51" s="851"/>
      <c r="V51" s="851"/>
      <c r="W51" s="851"/>
      <c r="X51" s="851"/>
      <c r="Y51" s="851"/>
      <c r="Z51" s="851"/>
      <c r="AA51" s="851"/>
      <c r="AB51" s="851"/>
      <c r="AC51" s="851"/>
      <c r="AD51" s="851"/>
    </row>
    <row r="52" spans="1:58" ht="15" customHeight="1">
      <c r="A52" s="108"/>
      <c r="B52" s="794" t="str">
        <f>IF(AG48=0,"","Favor de ingresar toda la información requerida en la pregunta")</f>
        <v/>
      </c>
      <c r="C52" s="794"/>
      <c r="D52" s="794"/>
      <c r="E52" s="794"/>
      <c r="F52" s="794"/>
      <c r="G52" s="794"/>
      <c r="H52" s="794"/>
      <c r="I52" s="794"/>
      <c r="J52" s="794"/>
      <c r="K52" s="794"/>
      <c r="L52" s="794"/>
      <c r="M52" s="794"/>
      <c r="N52" s="794"/>
      <c r="O52" s="794"/>
      <c r="P52" s="794"/>
      <c r="Q52" s="794"/>
      <c r="R52" s="794"/>
      <c r="S52" s="794"/>
      <c r="T52" s="794"/>
      <c r="U52" s="794"/>
      <c r="V52" s="794"/>
      <c r="W52" s="794"/>
      <c r="X52" s="794"/>
      <c r="Y52" s="794"/>
      <c r="Z52" s="794"/>
      <c r="AA52" s="794"/>
      <c r="AB52" s="794"/>
      <c r="AC52" s="794"/>
      <c r="AD52" s="794"/>
      <c r="AE52" s="794"/>
    </row>
    <row r="53" spans="1:58" ht="15" customHeight="1">
      <c r="A53" s="176"/>
      <c r="B53" s="1087" t="str">
        <f>IF(COUNTIF(M40:AD47,"NS")&lt;&gt;0,"Alerta: debido a que cuenta con registros NS, debe proporcionar una justificación en el area de comentarios al final de la pregunta","")</f>
        <v/>
      </c>
      <c r="C53" s="1087"/>
      <c r="D53" s="1087"/>
      <c r="E53" s="1087"/>
      <c r="F53" s="1087"/>
      <c r="G53" s="1087"/>
      <c r="H53" s="1087"/>
      <c r="I53" s="1087"/>
      <c r="J53" s="1087"/>
      <c r="K53" s="1087"/>
      <c r="L53" s="1087"/>
      <c r="M53" s="1087"/>
      <c r="N53" s="1087"/>
      <c r="O53" s="1087"/>
      <c r="P53" s="1087"/>
      <c r="Q53" s="1087"/>
      <c r="R53" s="1087"/>
      <c r="S53" s="1087"/>
      <c r="T53" s="1087"/>
      <c r="U53" s="1087"/>
      <c r="V53" s="1087"/>
      <c r="W53" s="1087"/>
      <c r="X53" s="1087"/>
      <c r="Y53" s="1087"/>
      <c r="Z53" s="1087"/>
      <c r="AA53" s="1087"/>
      <c r="AB53" s="1087"/>
      <c r="AC53" s="1087"/>
      <c r="AD53" s="1087"/>
      <c r="AE53" s="1087"/>
    </row>
    <row r="54" spans="1:58" ht="15" customHeight="1">
      <c r="A54" s="176"/>
      <c r="B54" s="1003" t="str">
        <f>IF(AK48&gt;0,"Favor de revisar la suma y consistencia de totales y/o subtotales por filas (numéricos y NS)","")</f>
        <v/>
      </c>
      <c r="C54" s="1003"/>
      <c r="D54" s="1003"/>
      <c r="E54" s="1003"/>
      <c r="F54" s="1003"/>
      <c r="G54" s="1003"/>
      <c r="H54" s="1003"/>
      <c r="I54" s="1003"/>
      <c r="J54" s="1003"/>
      <c r="K54" s="1003"/>
      <c r="L54" s="1003"/>
      <c r="M54" s="1003"/>
      <c r="N54" s="1003"/>
      <c r="O54" s="1003"/>
      <c r="P54" s="1003"/>
      <c r="Q54" s="1003"/>
      <c r="R54" s="1003"/>
      <c r="S54" s="1003"/>
      <c r="T54" s="1003"/>
      <c r="U54" s="1003"/>
      <c r="V54" s="1003"/>
      <c r="W54" s="1003"/>
      <c r="X54" s="1003"/>
      <c r="Y54" s="1003"/>
      <c r="Z54" s="1003"/>
      <c r="AA54" s="1003"/>
      <c r="AB54" s="1003"/>
      <c r="AC54" s="1003"/>
      <c r="AD54" s="1003"/>
      <c r="AE54" s="1003"/>
    </row>
    <row r="55" spans="1:58" ht="15" customHeight="1">
      <c r="A55" s="176"/>
      <c r="B55" s="678"/>
      <c r="C55" s="678"/>
      <c r="D55" s="678"/>
      <c r="E55" s="678"/>
      <c r="F55" s="678"/>
      <c r="G55" s="678"/>
      <c r="H55" s="678"/>
      <c r="I55" s="678"/>
      <c r="J55" s="678"/>
      <c r="K55" s="678"/>
      <c r="L55" s="678"/>
      <c r="M55" s="678"/>
      <c r="N55" s="678"/>
      <c r="O55" s="678"/>
      <c r="P55" s="678"/>
      <c r="Q55" s="678"/>
      <c r="R55" s="678"/>
      <c r="S55" s="678"/>
      <c r="T55" s="678"/>
      <c r="U55" s="678"/>
      <c r="V55" s="678"/>
      <c r="W55" s="678"/>
      <c r="X55" s="678"/>
      <c r="Y55" s="678"/>
      <c r="Z55" s="678"/>
      <c r="AA55" s="678"/>
      <c r="AB55" s="678"/>
      <c r="AC55" s="678"/>
      <c r="AD55" s="678"/>
      <c r="AE55" s="678"/>
    </row>
    <row r="56" spans="1:58" ht="15" customHeight="1">
      <c r="A56" s="108"/>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row>
    <row r="57" spans="1:58" ht="15" customHeight="1">
      <c r="A57" s="108"/>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row>
    <row r="58" spans="1:58" ht="36" customHeight="1">
      <c r="A58" s="108" t="s">
        <v>5167</v>
      </c>
      <c r="B58" s="829" t="s">
        <v>5168</v>
      </c>
      <c r="C58" s="829"/>
      <c r="D58" s="829"/>
      <c r="E58" s="829"/>
      <c r="F58" s="829"/>
      <c r="G58" s="829"/>
      <c r="H58" s="829"/>
      <c r="I58" s="829"/>
      <c r="J58" s="829"/>
      <c r="K58" s="829"/>
      <c r="L58" s="829"/>
      <c r="M58" s="829"/>
      <c r="N58" s="829"/>
      <c r="O58" s="829"/>
      <c r="P58" s="829"/>
      <c r="Q58" s="829"/>
      <c r="R58" s="829"/>
      <c r="S58" s="829"/>
      <c r="T58" s="829"/>
      <c r="U58" s="829"/>
      <c r="V58" s="829"/>
      <c r="W58" s="829"/>
      <c r="X58" s="829"/>
      <c r="Y58" s="829"/>
      <c r="Z58" s="829"/>
      <c r="AA58" s="829"/>
      <c r="AB58" s="829"/>
      <c r="AC58" s="829"/>
      <c r="AD58" s="829"/>
    </row>
    <row r="59" spans="1:58" ht="36" customHeight="1">
      <c r="A59" s="49"/>
      <c r="B59" s="38"/>
      <c r="C59" s="830" t="s">
        <v>5169</v>
      </c>
      <c r="D59" s="830"/>
      <c r="E59" s="830"/>
      <c r="F59" s="830"/>
      <c r="G59" s="830"/>
      <c r="H59" s="830"/>
      <c r="I59" s="830"/>
      <c r="J59" s="830"/>
      <c r="K59" s="830"/>
      <c r="L59" s="830"/>
      <c r="M59" s="830"/>
      <c r="N59" s="830"/>
      <c r="O59" s="830"/>
      <c r="P59" s="830"/>
      <c r="Q59" s="830"/>
      <c r="R59" s="830"/>
      <c r="S59" s="830"/>
      <c r="T59" s="830"/>
      <c r="U59" s="830"/>
      <c r="V59" s="830"/>
      <c r="W59" s="830"/>
      <c r="X59" s="830"/>
      <c r="Y59" s="830"/>
      <c r="Z59" s="830"/>
      <c r="AA59" s="830"/>
      <c r="AB59" s="830"/>
      <c r="AC59" s="830"/>
      <c r="AD59" s="830"/>
    </row>
    <row r="60" spans="1:58" ht="15" customHeight="1">
      <c r="A60" s="108"/>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row>
    <row r="61" spans="1:58" ht="36" customHeight="1">
      <c r="A61" s="108"/>
      <c r="B61" s="38"/>
      <c r="C61" s="797" t="s">
        <v>2581</v>
      </c>
      <c r="D61" s="798"/>
      <c r="E61" s="798"/>
      <c r="F61" s="798"/>
      <c r="G61" s="798"/>
      <c r="H61" s="798"/>
      <c r="I61" s="798"/>
      <c r="J61" s="798"/>
      <c r="K61" s="798"/>
      <c r="L61" s="798"/>
      <c r="M61" s="798"/>
      <c r="N61" s="798"/>
      <c r="O61" s="798"/>
      <c r="P61" s="798"/>
      <c r="Q61" s="798"/>
      <c r="R61" s="799"/>
      <c r="S61" s="739" t="s">
        <v>5170</v>
      </c>
      <c r="T61" s="740"/>
      <c r="U61" s="740"/>
      <c r="V61" s="740"/>
      <c r="W61" s="740"/>
      <c r="X61" s="740"/>
      <c r="Y61" s="740"/>
      <c r="Z61" s="740"/>
      <c r="AA61" s="740"/>
      <c r="AB61" s="740"/>
      <c r="AC61" s="740"/>
      <c r="AD61" s="741"/>
    </row>
    <row r="62" spans="1:58" ht="48" customHeight="1">
      <c r="A62" s="108"/>
      <c r="B62" s="38"/>
      <c r="C62" s="800"/>
      <c r="D62" s="801"/>
      <c r="E62" s="801"/>
      <c r="F62" s="801"/>
      <c r="G62" s="801"/>
      <c r="H62" s="801"/>
      <c r="I62" s="801"/>
      <c r="J62" s="801"/>
      <c r="K62" s="801"/>
      <c r="L62" s="801"/>
      <c r="M62" s="801"/>
      <c r="N62" s="801"/>
      <c r="O62" s="801"/>
      <c r="P62" s="801"/>
      <c r="Q62" s="801"/>
      <c r="R62" s="802"/>
      <c r="S62" s="887" t="s">
        <v>2628</v>
      </c>
      <c r="T62" s="889" t="s">
        <v>2629</v>
      </c>
      <c r="U62" s="889" t="s">
        <v>2630</v>
      </c>
      <c r="V62" s="733" t="s">
        <v>4570</v>
      </c>
      <c r="W62" s="734"/>
      <c r="X62" s="735"/>
      <c r="Y62" s="733" t="s">
        <v>4571</v>
      </c>
      <c r="Z62" s="734"/>
      <c r="AA62" s="735"/>
      <c r="AB62" s="733" t="s">
        <v>4572</v>
      </c>
      <c r="AC62" s="734"/>
      <c r="AD62" s="735"/>
    </row>
    <row r="63" spans="1:58" ht="48" customHeight="1">
      <c r="A63" s="108"/>
      <c r="B63" s="38"/>
      <c r="C63" s="803"/>
      <c r="D63" s="804"/>
      <c r="E63" s="804"/>
      <c r="F63" s="804"/>
      <c r="G63" s="804"/>
      <c r="H63" s="804"/>
      <c r="I63" s="804"/>
      <c r="J63" s="804"/>
      <c r="K63" s="804"/>
      <c r="L63" s="804"/>
      <c r="M63" s="804"/>
      <c r="N63" s="804"/>
      <c r="O63" s="804"/>
      <c r="P63" s="804"/>
      <c r="Q63" s="804"/>
      <c r="R63" s="805"/>
      <c r="S63" s="888"/>
      <c r="T63" s="890"/>
      <c r="U63" s="890"/>
      <c r="V63" s="171" t="s">
        <v>2635</v>
      </c>
      <c r="W63" s="128" t="s">
        <v>2629</v>
      </c>
      <c r="X63" s="128" t="s">
        <v>2630</v>
      </c>
      <c r="Y63" s="171" t="s">
        <v>2635</v>
      </c>
      <c r="Z63" s="128" t="s">
        <v>2629</v>
      </c>
      <c r="AA63" s="128" t="s">
        <v>2630</v>
      </c>
      <c r="AB63" s="171" t="s">
        <v>2635</v>
      </c>
      <c r="AC63" s="128" t="s">
        <v>2629</v>
      </c>
      <c r="AD63" s="128" t="s">
        <v>2630</v>
      </c>
      <c r="AG63" t="s">
        <v>2586</v>
      </c>
      <c r="AH63" t="s">
        <v>4581</v>
      </c>
      <c r="AK63" t="s">
        <v>4573</v>
      </c>
      <c r="AL63" t="s">
        <v>2638</v>
      </c>
      <c r="AM63" t="s">
        <v>2639</v>
      </c>
      <c r="AN63" t="s">
        <v>4574</v>
      </c>
      <c r="AO63" t="s">
        <v>2641</v>
      </c>
      <c r="AP63" t="s">
        <v>2642</v>
      </c>
      <c r="AQ63" t="s">
        <v>4575</v>
      </c>
      <c r="AR63" t="s">
        <v>2644</v>
      </c>
      <c r="AS63" t="s">
        <v>2645</v>
      </c>
      <c r="AT63" t="s">
        <v>4576</v>
      </c>
      <c r="AU63" t="s">
        <v>2647</v>
      </c>
      <c r="AV63" t="s">
        <v>2648</v>
      </c>
      <c r="BF63" t="s">
        <v>4582</v>
      </c>
    </row>
    <row r="64" spans="1:58" ht="15" customHeight="1">
      <c r="A64" s="108"/>
      <c r="B64" s="38"/>
      <c r="C64" s="97" t="s">
        <v>2516</v>
      </c>
      <c r="D64" s="813" t="str">
        <f>IF(CNSIPEE_2024_M2_Secc1!D42="","",CNSIPEE_2024_M2_Secc1!D42)</f>
        <v/>
      </c>
      <c r="E64" s="814"/>
      <c r="F64" s="814"/>
      <c r="G64" s="814"/>
      <c r="H64" s="814"/>
      <c r="I64" s="814"/>
      <c r="J64" s="814"/>
      <c r="K64" s="814"/>
      <c r="L64" s="814"/>
      <c r="M64" s="814"/>
      <c r="N64" s="814"/>
      <c r="O64" s="814"/>
      <c r="P64" s="814"/>
      <c r="Q64" s="814"/>
      <c r="R64" s="815"/>
      <c r="S64" s="100"/>
      <c r="T64" s="100"/>
      <c r="U64" s="100"/>
      <c r="V64" s="100"/>
      <c r="W64" s="100"/>
      <c r="X64" s="100"/>
      <c r="Y64" s="100"/>
      <c r="Z64" s="100"/>
      <c r="AA64" s="100"/>
      <c r="AB64" s="100"/>
      <c r="AC64" s="100"/>
      <c r="AD64" s="100"/>
      <c r="AG64">
        <f>IF(OR($M40=0,$M40="NS",$M40="NA"),0,IF(OR(COUNTBLANK(D64:AD64)=14,COUNTBLANK(D64:AD64)=27),0,1))</f>
        <v>0</v>
      </c>
      <c r="AH64">
        <f>IF(OR($M40=0,$M40="NS",$M40="NA"),IF(COUNTBLANK(S64:AD64)=12,0,1),0)</f>
        <v>0</v>
      </c>
      <c r="AK64">
        <f t="shared" ref="AK64" si="6">COUNTIF(T64:U64,"NS")</f>
        <v>0</v>
      </c>
      <c r="AL64">
        <f t="shared" ref="AL64" si="7">SUM(T64:U64)</f>
        <v>0</v>
      </c>
      <c r="AM64">
        <f>IF(COUNTIF(S64:U64,"NA")=3,0,IF(COUNTA(S64:U64)=0,0,IF(OR(AND(S64=0,AK64&gt;0),AND(S64="ns",AL64&gt;0),AND(S64="ns",AK64=0,AL64=0)),1,IF(OR(AND(S64&gt;0,AK64=2),AND(S64="ns",AK64=2),AND(S64="ns",AL64=0,AK64&gt;0),S64=AL64),0,1))))</f>
        <v>0</v>
      </c>
      <c r="AN64">
        <f t="shared" ref="AN64" si="8">COUNTIF(W64:X64,"NS")</f>
        <v>0</v>
      </c>
      <c r="AO64">
        <f t="shared" ref="AO64" si="9">SUM(W64:X64)</f>
        <v>0</v>
      </c>
      <c r="AP64">
        <f t="shared" ref="AP64" si="10">IF(COUNTIF(V64:X64,"NA")=3,0,IF(COUNTA(V64:X64)=0,0,IF(OR(AND(V64=0,AN64&gt;0),AND(V64="ns",AO64&gt;0),AND(V64="ns",AN64=0,AO64=0)),1,IF(OR(AND(V64&gt;0,AN64=2),AND(V64="ns",AN64=2),AND(V64="ns",AO64=0,AN64&gt;0),V64=AO64),0,1))))</f>
        <v>0</v>
      </c>
      <c r="AQ64">
        <f t="shared" ref="AQ64" si="11">COUNTIF(Z64:AA64,"NS")</f>
        <v>0</v>
      </c>
      <c r="AR64">
        <f t="shared" ref="AR64" si="12">SUM(Z64:AA64)</f>
        <v>0</v>
      </c>
      <c r="AS64">
        <f t="shared" ref="AS64" si="13">IF(COUNTIF(Y64:AA64,"NA")=3,0,IF(COUNTA(Y64:AA64)=0,0,IF(OR(AND(Y64=0,AQ64&gt;0),AND(Y64="ns",AR64&gt;0),AND(Y64="ns",AQ64=0,AR64=0)),1,IF(OR(AND(Y64&gt;0,AQ64=2),AND(Y64="ns",AQ64=2),AND(Y64="ns",AR64=0,AQ64&gt;0),Y64=AR64),0,1))))</f>
        <v>0</v>
      </c>
      <c r="AT64">
        <f t="shared" ref="AT64" si="14">COUNTIF(AC64:AD64,"NS")</f>
        <v>0</v>
      </c>
      <c r="AU64">
        <f t="shared" ref="AU64" si="15">SUM(AC64:AD64)</f>
        <v>0</v>
      </c>
      <c r="AV64">
        <f t="shared" ref="AV64" si="16">IF(COUNTIF(AB64:AD64,"NA")=3,0,IF(COUNTA(AB64:AD64)=0,0,IF(OR(AND(AB64=0,AT64&gt;0),AND(AB64="ns",AU64&gt;0),AND(AB64="ns",AT64=0,AU64=0)),1,IF(OR(AND(AB64&gt;0,AT64=2),AND(AB64="ns",AT64=2),AND(AB64="ns",AU64=0,AT64&gt;0),AB64=AU64),0,1))))</f>
        <v>0</v>
      </c>
      <c r="BF64">
        <f>IF(OR($M40=0,$M40="NS",$M40="NA"),0,IF(AND(M40=S64,S40=T64,Y40=U64),0,1))</f>
        <v>0</v>
      </c>
    </row>
    <row r="65" spans="1:58" ht="15" customHeight="1">
      <c r="A65" s="108"/>
      <c r="B65" s="38"/>
      <c r="C65" s="98" t="s">
        <v>2517</v>
      </c>
      <c r="D65" s="813" t="str">
        <f>IF(CNSIPEE_2024_M2_Secc1!D43="","",CNSIPEE_2024_M2_Secc1!D43)</f>
        <v/>
      </c>
      <c r="E65" s="814"/>
      <c r="F65" s="814"/>
      <c r="G65" s="814"/>
      <c r="H65" s="814"/>
      <c r="I65" s="814"/>
      <c r="J65" s="814"/>
      <c r="K65" s="814"/>
      <c r="L65" s="814"/>
      <c r="M65" s="814"/>
      <c r="N65" s="814"/>
      <c r="O65" s="814"/>
      <c r="P65" s="814"/>
      <c r="Q65" s="814"/>
      <c r="R65" s="815"/>
      <c r="S65" s="100"/>
      <c r="T65" s="100"/>
      <c r="U65" s="100"/>
      <c r="V65" s="100"/>
      <c r="W65" s="100"/>
      <c r="X65" s="100"/>
      <c r="Y65" s="100"/>
      <c r="Z65" s="100"/>
      <c r="AA65" s="100"/>
      <c r="AB65" s="100"/>
      <c r="AC65" s="100"/>
      <c r="AD65" s="100"/>
      <c r="AG65">
        <f t="shared" ref="AG65:AG70" si="17">IF(OR($M41=0,$M41="NS",$M41="NA"),0,IF(OR(COUNTBLANK(D65:AD65)=14,COUNTBLANK(D65:AD65)=27),0,1))</f>
        <v>0</v>
      </c>
      <c r="AH65">
        <f t="shared" ref="AH65:AH71" si="18">IF(OR($M41=0,$M41="NS",$M41="NA"),IF(COUNTBLANK(S65:AD65)=12,0,1),0)</f>
        <v>0</v>
      </c>
      <c r="AK65">
        <f t="shared" ref="AK65:AK71" si="19">COUNTIF(T65:U65,"NS")</f>
        <v>0</v>
      </c>
      <c r="AL65">
        <f t="shared" ref="AL65:AL71" si="20">SUM(T65:U65)</f>
        <v>0</v>
      </c>
      <c r="AM65">
        <f t="shared" ref="AM65:AM71" si="21">IF(COUNTIF(S65:U65,"NA")=3,0,IF(COUNTA(S65:U65)=0,0,IF(OR(AND(S65=0,AK65&gt;0),AND(S65="ns",AL65&gt;0),AND(S65="ns",AK65=0,AL65=0)),1,IF(OR(AND(S65&gt;0,AK65=2),AND(S65="ns",AK65=2),AND(S65="ns",AL65=0,AK65&gt;0),S65=AL65),0,1))))</f>
        <v>0</v>
      </c>
      <c r="AN65">
        <f t="shared" ref="AN65:AN71" si="22">COUNTIF(W65:X65,"NS")</f>
        <v>0</v>
      </c>
      <c r="AO65">
        <f t="shared" ref="AO65:AO71" si="23">SUM(W65:X65)</f>
        <v>0</v>
      </c>
      <c r="AP65">
        <f t="shared" ref="AP65:AP71" si="24">IF(COUNTIF(V65:X65,"NA")=3,0,IF(COUNTA(V65:X65)=0,0,IF(OR(AND(V65=0,AN65&gt;0),AND(V65="ns",AO65&gt;0),AND(V65="ns",AN65=0,AO65=0)),1,IF(OR(AND(V65&gt;0,AN65=2),AND(V65="ns",AN65=2),AND(V65="ns",AO65=0,AN65&gt;0),V65=AO65),0,1))))</f>
        <v>0</v>
      </c>
      <c r="AQ65">
        <f t="shared" ref="AQ65:AQ71" si="25">COUNTIF(Z65:AA65,"NS")</f>
        <v>0</v>
      </c>
      <c r="AR65">
        <f t="shared" ref="AR65:AR71" si="26">SUM(Z65:AA65)</f>
        <v>0</v>
      </c>
      <c r="AS65">
        <f t="shared" ref="AS65:AS71" si="27">IF(COUNTIF(Y65:AA65,"NA")=3,0,IF(COUNTA(Y65:AA65)=0,0,IF(OR(AND(Y65=0,AQ65&gt;0),AND(Y65="ns",AR65&gt;0),AND(Y65="ns",AQ65=0,AR65=0)),1,IF(OR(AND(Y65&gt;0,AQ65=2),AND(Y65="ns",AQ65=2),AND(Y65="ns",AR65=0,AQ65&gt;0),Y65=AR65),0,1))))</f>
        <v>0</v>
      </c>
      <c r="AT65">
        <f t="shared" ref="AT65:AT71" si="28">COUNTIF(AC65:AD65,"NS")</f>
        <v>0</v>
      </c>
      <c r="AU65">
        <f t="shared" ref="AU65:AU71" si="29">SUM(AC65:AD65)</f>
        <v>0</v>
      </c>
      <c r="AV65">
        <f t="shared" ref="AV65:AV71" si="30">IF(COUNTIF(AB65:AD65,"NA")=3,0,IF(COUNTA(AB65:AD65)=0,0,IF(OR(AND(AB65=0,AT65&gt;0),AND(AB65="ns",AU65&gt;0),AND(AB65="ns",AT65=0,AU65=0)),1,IF(OR(AND(AB65&gt;0,AT65=2),AND(AB65="ns",AT65=2),AND(AB65="ns",AU65=0,AT65&gt;0),AB65=AU65),0,1))))</f>
        <v>0</v>
      </c>
      <c r="BF65">
        <f t="shared" ref="BF65:BF71" si="31">IF(OR($M41=0,$M41="NS",$M41="NA"),0,IF(AND(M41=S65,S41=T65,Y41=U65),0,1))</f>
        <v>0</v>
      </c>
    </row>
    <row r="66" spans="1:58" ht="15" customHeight="1">
      <c r="A66" s="186"/>
      <c r="B66" s="57"/>
      <c r="C66" s="98" t="s">
        <v>2518</v>
      </c>
      <c r="D66" s="813" t="str">
        <f>IF(CNSIPEE_2024_M2_Secc1!D44="","",CNSIPEE_2024_M2_Secc1!D44)</f>
        <v/>
      </c>
      <c r="E66" s="814"/>
      <c r="F66" s="814"/>
      <c r="G66" s="814"/>
      <c r="H66" s="814"/>
      <c r="I66" s="814"/>
      <c r="J66" s="814"/>
      <c r="K66" s="814"/>
      <c r="L66" s="814"/>
      <c r="M66" s="814"/>
      <c r="N66" s="814"/>
      <c r="O66" s="814"/>
      <c r="P66" s="814"/>
      <c r="Q66" s="814"/>
      <c r="R66" s="815"/>
      <c r="S66" s="100"/>
      <c r="T66" s="100"/>
      <c r="U66" s="100"/>
      <c r="V66" s="100"/>
      <c r="W66" s="100"/>
      <c r="X66" s="100"/>
      <c r="Y66" s="100"/>
      <c r="Z66" s="100"/>
      <c r="AA66" s="100"/>
      <c r="AB66" s="100"/>
      <c r="AC66" s="100"/>
      <c r="AD66" s="100"/>
      <c r="AG66">
        <f t="shared" si="17"/>
        <v>0</v>
      </c>
      <c r="AH66">
        <f t="shared" si="18"/>
        <v>0</v>
      </c>
      <c r="AK66">
        <f t="shared" si="19"/>
        <v>0</v>
      </c>
      <c r="AL66">
        <f t="shared" si="20"/>
        <v>0</v>
      </c>
      <c r="AM66">
        <f t="shared" si="21"/>
        <v>0</v>
      </c>
      <c r="AN66">
        <f t="shared" si="22"/>
        <v>0</v>
      </c>
      <c r="AO66">
        <f t="shared" si="23"/>
        <v>0</v>
      </c>
      <c r="AP66">
        <f t="shared" si="24"/>
        <v>0</v>
      </c>
      <c r="AQ66">
        <f t="shared" si="25"/>
        <v>0</v>
      </c>
      <c r="AR66">
        <f t="shared" si="26"/>
        <v>0</v>
      </c>
      <c r="AS66">
        <f t="shared" si="27"/>
        <v>0</v>
      </c>
      <c r="AT66">
        <f t="shared" si="28"/>
        <v>0</v>
      </c>
      <c r="AU66">
        <f t="shared" si="29"/>
        <v>0</v>
      </c>
      <c r="AV66">
        <f t="shared" si="30"/>
        <v>0</v>
      </c>
      <c r="BF66">
        <f t="shared" si="31"/>
        <v>0</v>
      </c>
    </row>
    <row r="67" spans="1:58" ht="15" customHeight="1">
      <c r="A67" s="186"/>
      <c r="B67" s="57"/>
      <c r="C67" s="98" t="s">
        <v>2519</v>
      </c>
      <c r="D67" s="813" t="str">
        <f>IF(CNSIPEE_2024_M2_Secc1!D45="","",CNSIPEE_2024_M2_Secc1!D45)</f>
        <v/>
      </c>
      <c r="E67" s="814"/>
      <c r="F67" s="814"/>
      <c r="G67" s="814"/>
      <c r="H67" s="814"/>
      <c r="I67" s="814"/>
      <c r="J67" s="814"/>
      <c r="K67" s="814"/>
      <c r="L67" s="814"/>
      <c r="M67" s="814"/>
      <c r="N67" s="814"/>
      <c r="O67" s="814"/>
      <c r="P67" s="814"/>
      <c r="Q67" s="814"/>
      <c r="R67" s="815"/>
      <c r="S67" s="100"/>
      <c r="T67" s="100"/>
      <c r="U67" s="100"/>
      <c r="V67" s="100"/>
      <c r="W67" s="100"/>
      <c r="X67" s="100"/>
      <c r="Y67" s="100"/>
      <c r="Z67" s="100"/>
      <c r="AA67" s="100"/>
      <c r="AB67" s="100"/>
      <c r="AC67" s="100"/>
      <c r="AD67" s="100"/>
      <c r="AG67">
        <f t="shared" si="17"/>
        <v>0</v>
      </c>
      <c r="AH67">
        <f t="shared" si="18"/>
        <v>0</v>
      </c>
      <c r="AK67">
        <f t="shared" si="19"/>
        <v>0</v>
      </c>
      <c r="AL67">
        <f t="shared" si="20"/>
        <v>0</v>
      </c>
      <c r="AM67">
        <f t="shared" si="21"/>
        <v>0</v>
      </c>
      <c r="AN67">
        <f t="shared" si="22"/>
        <v>0</v>
      </c>
      <c r="AO67">
        <f t="shared" si="23"/>
        <v>0</v>
      </c>
      <c r="AP67">
        <f t="shared" si="24"/>
        <v>0</v>
      </c>
      <c r="AQ67">
        <f t="shared" si="25"/>
        <v>0</v>
      </c>
      <c r="AR67">
        <f t="shared" si="26"/>
        <v>0</v>
      </c>
      <c r="AS67">
        <f t="shared" si="27"/>
        <v>0</v>
      </c>
      <c r="AT67">
        <f t="shared" si="28"/>
        <v>0</v>
      </c>
      <c r="AU67">
        <f t="shared" si="29"/>
        <v>0</v>
      </c>
      <c r="AV67">
        <f t="shared" si="30"/>
        <v>0</v>
      </c>
      <c r="BF67">
        <f t="shared" si="31"/>
        <v>0</v>
      </c>
    </row>
    <row r="68" spans="1:58" ht="15" customHeight="1">
      <c r="A68" s="186"/>
      <c r="B68" s="57"/>
      <c r="C68" s="98" t="s">
        <v>2520</v>
      </c>
      <c r="D68" s="813" t="str">
        <f>IF(CNSIPEE_2024_M2_Secc1!D46="","",CNSIPEE_2024_M2_Secc1!D46)</f>
        <v/>
      </c>
      <c r="E68" s="814"/>
      <c r="F68" s="814"/>
      <c r="G68" s="814"/>
      <c r="H68" s="814"/>
      <c r="I68" s="814"/>
      <c r="J68" s="814"/>
      <c r="K68" s="814"/>
      <c r="L68" s="814"/>
      <c r="M68" s="814"/>
      <c r="N68" s="814"/>
      <c r="O68" s="814"/>
      <c r="P68" s="814"/>
      <c r="Q68" s="814"/>
      <c r="R68" s="815"/>
      <c r="S68" s="100"/>
      <c r="T68" s="100"/>
      <c r="U68" s="100"/>
      <c r="V68" s="100"/>
      <c r="W68" s="100"/>
      <c r="X68" s="100"/>
      <c r="Y68" s="100"/>
      <c r="Z68" s="100"/>
      <c r="AA68" s="100"/>
      <c r="AB68" s="100"/>
      <c r="AC68" s="100"/>
      <c r="AD68" s="100"/>
      <c r="AG68">
        <f t="shared" si="17"/>
        <v>0</v>
      </c>
      <c r="AH68">
        <f t="shared" si="18"/>
        <v>0</v>
      </c>
      <c r="AK68">
        <f t="shared" si="19"/>
        <v>0</v>
      </c>
      <c r="AL68">
        <f t="shared" si="20"/>
        <v>0</v>
      </c>
      <c r="AM68">
        <f t="shared" si="21"/>
        <v>0</v>
      </c>
      <c r="AN68">
        <f t="shared" si="22"/>
        <v>0</v>
      </c>
      <c r="AO68">
        <f t="shared" si="23"/>
        <v>0</v>
      </c>
      <c r="AP68">
        <f t="shared" si="24"/>
        <v>0</v>
      </c>
      <c r="AQ68">
        <f t="shared" si="25"/>
        <v>0</v>
      </c>
      <c r="AR68">
        <f t="shared" si="26"/>
        <v>0</v>
      </c>
      <c r="AS68">
        <f t="shared" si="27"/>
        <v>0</v>
      </c>
      <c r="AT68">
        <f t="shared" si="28"/>
        <v>0</v>
      </c>
      <c r="AU68">
        <f t="shared" si="29"/>
        <v>0</v>
      </c>
      <c r="AV68">
        <f t="shared" si="30"/>
        <v>0</v>
      </c>
      <c r="BF68">
        <f t="shared" si="31"/>
        <v>0</v>
      </c>
    </row>
    <row r="69" spans="1:58" ht="15" customHeight="1">
      <c r="A69" s="186"/>
      <c r="B69" s="57"/>
      <c r="C69" s="98" t="s">
        <v>2521</v>
      </c>
      <c r="D69" s="813" t="str">
        <f>IF(CNSIPEE_2024_M2_Secc1!D47="","",CNSIPEE_2024_M2_Secc1!D47)</f>
        <v/>
      </c>
      <c r="E69" s="814"/>
      <c r="F69" s="814"/>
      <c r="G69" s="814"/>
      <c r="H69" s="814"/>
      <c r="I69" s="814"/>
      <c r="J69" s="814"/>
      <c r="K69" s="814"/>
      <c r="L69" s="814"/>
      <c r="M69" s="814"/>
      <c r="N69" s="814"/>
      <c r="O69" s="814"/>
      <c r="P69" s="814"/>
      <c r="Q69" s="814"/>
      <c r="R69" s="815"/>
      <c r="S69" s="100"/>
      <c r="T69" s="100"/>
      <c r="U69" s="100"/>
      <c r="V69" s="100"/>
      <c r="W69" s="100"/>
      <c r="X69" s="100"/>
      <c r="Y69" s="100"/>
      <c r="Z69" s="100"/>
      <c r="AA69" s="100"/>
      <c r="AB69" s="100"/>
      <c r="AC69" s="100"/>
      <c r="AD69" s="100"/>
      <c r="AG69">
        <f t="shared" si="17"/>
        <v>0</v>
      </c>
      <c r="AH69">
        <f t="shared" si="18"/>
        <v>0</v>
      </c>
      <c r="AK69">
        <f t="shared" si="19"/>
        <v>0</v>
      </c>
      <c r="AL69">
        <f t="shared" si="20"/>
        <v>0</v>
      </c>
      <c r="AM69">
        <f t="shared" si="21"/>
        <v>0</v>
      </c>
      <c r="AN69">
        <f t="shared" si="22"/>
        <v>0</v>
      </c>
      <c r="AO69">
        <f t="shared" si="23"/>
        <v>0</v>
      </c>
      <c r="AP69">
        <f t="shared" si="24"/>
        <v>0</v>
      </c>
      <c r="AQ69">
        <f t="shared" si="25"/>
        <v>0</v>
      </c>
      <c r="AR69">
        <f t="shared" si="26"/>
        <v>0</v>
      </c>
      <c r="AS69">
        <f t="shared" si="27"/>
        <v>0</v>
      </c>
      <c r="AT69">
        <f t="shared" si="28"/>
        <v>0</v>
      </c>
      <c r="AU69">
        <f t="shared" si="29"/>
        <v>0</v>
      </c>
      <c r="AV69">
        <f t="shared" si="30"/>
        <v>0</v>
      </c>
      <c r="BF69">
        <f t="shared" si="31"/>
        <v>0</v>
      </c>
    </row>
    <row r="70" spans="1:58" ht="15" customHeight="1">
      <c r="A70" s="186"/>
      <c r="B70" s="57"/>
      <c r="C70" s="98" t="s">
        <v>2522</v>
      </c>
      <c r="D70" s="813" t="str">
        <f>IF(CNSIPEE_2024_M2_Secc1!D48="","",CNSIPEE_2024_M2_Secc1!D48)</f>
        <v/>
      </c>
      <c r="E70" s="814"/>
      <c r="F70" s="814"/>
      <c r="G70" s="814"/>
      <c r="H70" s="814"/>
      <c r="I70" s="814"/>
      <c r="J70" s="814"/>
      <c r="K70" s="814"/>
      <c r="L70" s="814"/>
      <c r="M70" s="814"/>
      <c r="N70" s="814"/>
      <c r="O70" s="814"/>
      <c r="P70" s="814"/>
      <c r="Q70" s="814"/>
      <c r="R70" s="815"/>
      <c r="S70" s="100"/>
      <c r="T70" s="100"/>
      <c r="U70" s="100"/>
      <c r="V70" s="100"/>
      <c r="W70" s="100"/>
      <c r="X70" s="100"/>
      <c r="Y70" s="100"/>
      <c r="Z70" s="100"/>
      <c r="AA70" s="100"/>
      <c r="AB70" s="100"/>
      <c r="AC70" s="100"/>
      <c r="AD70" s="100"/>
      <c r="AG70">
        <f t="shared" si="17"/>
        <v>0</v>
      </c>
      <c r="AH70">
        <f t="shared" si="18"/>
        <v>0</v>
      </c>
      <c r="AK70">
        <f t="shared" si="19"/>
        <v>0</v>
      </c>
      <c r="AL70">
        <f t="shared" si="20"/>
        <v>0</v>
      </c>
      <c r="AM70">
        <f t="shared" si="21"/>
        <v>0</v>
      </c>
      <c r="AN70">
        <f t="shared" si="22"/>
        <v>0</v>
      </c>
      <c r="AO70">
        <f t="shared" si="23"/>
        <v>0</v>
      </c>
      <c r="AP70">
        <f t="shared" si="24"/>
        <v>0</v>
      </c>
      <c r="AQ70">
        <f t="shared" si="25"/>
        <v>0</v>
      </c>
      <c r="AR70">
        <f t="shared" si="26"/>
        <v>0</v>
      </c>
      <c r="AS70">
        <f t="shared" si="27"/>
        <v>0</v>
      </c>
      <c r="AT70">
        <f t="shared" si="28"/>
        <v>0</v>
      </c>
      <c r="AU70">
        <f t="shared" si="29"/>
        <v>0</v>
      </c>
      <c r="AV70">
        <f t="shared" si="30"/>
        <v>0</v>
      </c>
      <c r="BF70">
        <f t="shared" si="31"/>
        <v>0</v>
      </c>
    </row>
    <row r="71" spans="1:58" ht="15" customHeight="1">
      <c r="A71" s="186"/>
      <c r="B71" s="57"/>
      <c r="C71" s="98" t="s">
        <v>2523</v>
      </c>
      <c r="D71" s="813" t="str">
        <f>IF(CNSIPEE_2024_M2_Secc1!D49="","",CNSIPEE_2024_M2_Secc1!D49)</f>
        <v/>
      </c>
      <c r="E71" s="814"/>
      <c r="F71" s="814"/>
      <c r="G71" s="814"/>
      <c r="H71" s="814"/>
      <c r="I71" s="814"/>
      <c r="J71" s="814"/>
      <c r="K71" s="814"/>
      <c r="L71" s="814"/>
      <c r="M71" s="814"/>
      <c r="N71" s="814"/>
      <c r="O71" s="814"/>
      <c r="P71" s="814"/>
      <c r="Q71" s="814"/>
      <c r="R71" s="815"/>
      <c r="S71" s="100"/>
      <c r="T71" s="100"/>
      <c r="U71" s="100"/>
      <c r="V71" s="100"/>
      <c r="W71" s="100"/>
      <c r="X71" s="100"/>
      <c r="Y71" s="100"/>
      <c r="Z71" s="100"/>
      <c r="AA71" s="100"/>
      <c r="AB71" s="100"/>
      <c r="AC71" s="100"/>
      <c r="AD71" s="100"/>
      <c r="AG71">
        <f>IF(OR($M47=0,$M47="NS",$M47="NA"),0,IF(OR(COUNTBLANK(D71:AD71)=14,COUNTBLANK(D71:AD71)=27),0,1))</f>
        <v>0</v>
      </c>
      <c r="AH71">
        <f t="shared" si="18"/>
        <v>0</v>
      </c>
      <c r="AK71">
        <f t="shared" si="19"/>
        <v>0</v>
      </c>
      <c r="AL71">
        <f t="shared" si="20"/>
        <v>0</v>
      </c>
      <c r="AM71">
        <f t="shared" si="21"/>
        <v>0</v>
      </c>
      <c r="AN71">
        <f t="shared" si="22"/>
        <v>0</v>
      </c>
      <c r="AO71">
        <f t="shared" si="23"/>
        <v>0</v>
      </c>
      <c r="AP71">
        <f t="shared" si="24"/>
        <v>0</v>
      </c>
      <c r="AQ71">
        <f t="shared" si="25"/>
        <v>0</v>
      </c>
      <c r="AR71">
        <f t="shared" si="26"/>
        <v>0</v>
      </c>
      <c r="AS71">
        <f t="shared" si="27"/>
        <v>0</v>
      </c>
      <c r="AT71">
        <f t="shared" si="28"/>
        <v>0</v>
      </c>
      <c r="AU71">
        <f t="shared" si="29"/>
        <v>0</v>
      </c>
      <c r="AV71">
        <f t="shared" si="30"/>
        <v>0</v>
      </c>
      <c r="BF71">
        <f t="shared" si="31"/>
        <v>0</v>
      </c>
    </row>
    <row r="72" spans="1:58" ht="15" customHeight="1">
      <c r="A72" s="186"/>
      <c r="B72" s="57"/>
      <c r="C72" s="70"/>
      <c r="D72" s="84"/>
      <c r="E72" s="84"/>
      <c r="F72" s="84"/>
      <c r="G72" s="84"/>
      <c r="H72" s="84"/>
      <c r="I72" s="84"/>
      <c r="J72" s="84"/>
      <c r="K72" s="84"/>
      <c r="L72" s="84"/>
      <c r="M72" s="84"/>
      <c r="N72" s="84"/>
      <c r="O72" s="84"/>
      <c r="P72" s="84"/>
      <c r="Q72" s="84"/>
      <c r="R72" s="117" t="s">
        <v>2649</v>
      </c>
      <c r="S72" s="124">
        <f t="shared" ref="S72:AD72" si="32">IF(AND(SUM(S64:S71)=0,COUNTIF(S64:S71,"NS")&gt;0),"NS",IF(AND(SUM(S64:S71)=0,COUNTIF(S64:S71,0)&gt;0),0,IF(AND(SUM(S64:S71)=0,COUNTIF(S64:S71,"NA")&gt;0),"NA",SUM(S64:S71))))</f>
        <v>0</v>
      </c>
      <c r="T72" s="124">
        <f t="shared" si="32"/>
        <v>0</v>
      </c>
      <c r="U72" s="124">
        <f t="shared" si="32"/>
        <v>0</v>
      </c>
      <c r="V72" s="124">
        <f t="shared" si="32"/>
        <v>0</v>
      </c>
      <c r="W72" s="124">
        <f t="shared" si="32"/>
        <v>0</v>
      </c>
      <c r="X72" s="124">
        <f t="shared" si="32"/>
        <v>0</v>
      </c>
      <c r="Y72" s="124">
        <f t="shared" si="32"/>
        <v>0</v>
      </c>
      <c r="Z72" s="124">
        <f t="shared" si="32"/>
        <v>0</v>
      </c>
      <c r="AA72" s="124">
        <f t="shared" si="32"/>
        <v>0</v>
      </c>
      <c r="AB72" s="124">
        <f t="shared" si="32"/>
        <v>0</v>
      </c>
      <c r="AC72" s="124">
        <f t="shared" si="32"/>
        <v>0</v>
      </c>
      <c r="AD72" s="124">
        <f t="shared" si="32"/>
        <v>0</v>
      </c>
      <c r="AG72" s="507">
        <f>SUM(AG64:AG71)</f>
        <v>0</v>
      </c>
      <c r="AH72" s="507">
        <f>SUM(AH64:AH71)</f>
        <v>0</v>
      </c>
      <c r="AK72">
        <f>SUM(AK64:AK71)</f>
        <v>0</v>
      </c>
      <c r="AM72">
        <f>SUM(AM64:AM71)</f>
        <v>0</v>
      </c>
      <c r="AN72">
        <f>SUM(AN64:AN71)</f>
        <v>0</v>
      </c>
      <c r="AP72">
        <f>SUM(AP64:AP71)</f>
        <v>0</v>
      </c>
      <c r="AQ72">
        <f>SUM(AQ64:AQ71)</f>
        <v>0</v>
      </c>
      <c r="AS72">
        <f>SUM(AS64:AS71)</f>
        <v>0</v>
      </c>
      <c r="AT72">
        <f>SUM(AT64:AT71)</f>
        <v>0</v>
      </c>
      <c r="AV72">
        <f>SUM(AV64:AV71)</f>
        <v>0</v>
      </c>
      <c r="BF72" s="506">
        <f>SUM(BF64:BF71)</f>
        <v>0</v>
      </c>
    </row>
    <row r="73" spans="1:58" ht="15" customHeight="1">
      <c r="A73" s="108"/>
      <c r="B73" s="38"/>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K73" t="s">
        <v>2650</v>
      </c>
      <c r="AL73" s="506">
        <f>SUM(AM72,AP72,AS72,AV72)</f>
        <v>0</v>
      </c>
      <c r="AM73" t="s">
        <v>2651</v>
      </c>
      <c r="AN73">
        <f>SUM(AK72,AN72,AQ72,AT72)</f>
        <v>0</v>
      </c>
    </row>
    <row r="74" spans="1:58" ht="24" customHeight="1">
      <c r="A74" s="108"/>
      <c r="B74" s="38"/>
      <c r="C74" s="754" t="s">
        <v>2611</v>
      </c>
      <c r="D74" s="754"/>
      <c r="E74" s="754"/>
      <c r="F74" s="754"/>
      <c r="G74" s="754"/>
      <c r="H74" s="754"/>
      <c r="I74" s="754"/>
      <c r="J74" s="754"/>
      <c r="K74" s="754"/>
      <c r="L74" s="754"/>
      <c r="M74" s="754"/>
      <c r="N74" s="754"/>
      <c r="O74" s="754"/>
      <c r="P74" s="754"/>
      <c r="Q74" s="754"/>
      <c r="R74" s="754"/>
      <c r="S74" s="754"/>
      <c r="T74" s="754"/>
      <c r="U74" s="754"/>
      <c r="V74" s="754"/>
      <c r="W74" s="754"/>
      <c r="X74" s="754"/>
      <c r="Y74" s="754"/>
      <c r="Z74" s="754"/>
      <c r="AA74" s="754"/>
      <c r="AB74" s="754"/>
      <c r="AC74" s="754"/>
      <c r="AD74" s="754"/>
      <c r="AK74" t="s">
        <v>2652</v>
      </c>
      <c r="AL74" s="507">
        <f>IF(AN73&gt;0,IF(SUM(S72)&gt;=SUM(V72,Y72,AB72),0,1),IF(SUM(S72)&lt;&gt;SUM(V72,Y72,AB72),1,0))</f>
        <v>0</v>
      </c>
      <c r="AM74" t="s">
        <v>2653</v>
      </c>
      <c r="AN74" s="507">
        <f>IF(AN73&gt;0,IF(SUM(T72)&gt;=SUM(W72,Z72,AC72),0,1),IF(SUM(T72)&lt;&gt;SUM(W72,Z72,AC72),1,0))</f>
        <v>0</v>
      </c>
      <c r="AO74" t="s">
        <v>2654</v>
      </c>
      <c r="AP74" s="507">
        <f>IF(AN73&gt;0,IF(SUM(U72)&gt;=SUM(X72,AA72,AD72),0,1),IF(SUM(U72)&lt;&gt;SUM(X72,AA72,AD72),1,0))</f>
        <v>0</v>
      </c>
    </row>
    <row r="75" spans="1:58" ht="60" customHeight="1">
      <c r="A75" s="108"/>
      <c r="B75" s="38"/>
      <c r="C75" s="851"/>
      <c r="D75" s="851"/>
      <c r="E75" s="851"/>
      <c r="F75" s="851"/>
      <c r="G75" s="851"/>
      <c r="H75" s="851"/>
      <c r="I75" s="851"/>
      <c r="J75" s="851"/>
      <c r="K75" s="851"/>
      <c r="L75" s="851"/>
      <c r="M75" s="851"/>
      <c r="N75" s="851"/>
      <c r="O75" s="851"/>
      <c r="P75" s="851"/>
      <c r="Q75" s="851"/>
      <c r="R75" s="851"/>
      <c r="S75" s="851"/>
      <c r="T75" s="851"/>
      <c r="U75" s="851"/>
      <c r="V75" s="851"/>
      <c r="W75" s="851"/>
      <c r="X75" s="851"/>
      <c r="Y75" s="851"/>
      <c r="Z75" s="851"/>
      <c r="AA75" s="851"/>
      <c r="AB75" s="851"/>
      <c r="AC75" s="851"/>
      <c r="AD75" s="851"/>
    </row>
    <row r="76" spans="1:58" ht="15" customHeight="1">
      <c r="A76" s="108"/>
      <c r="B76" s="794" t="str">
        <f>IF(AG72=0,"","Favor de ingresar toda la información requerida en la pregunta")</f>
        <v/>
      </c>
      <c r="C76" s="794"/>
      <c r="D76" s="794"/>
      <c r="E76" s="794"/>
      <c r="F76" s="794"/>
      <c r="G76" s="794"/>
      <c r="H76" s="794"/>
      <c r="I76" s="794"/>
      <c r="J76" s="794"/>
      <c r="K76" s="794"/>
      <c r="L76" s="794"/>
      <c r="M76" s="794"/>
      <c r="N76" s="794"/>
      <c r="O76" s="794"/>
      <c r="P76" s="794"/>
      <c r="Q76" s="794"/>
      <c r="R76" s="794"/>
      <c r="S76" s="794"/>
      <c r="T76" s="794"/>
      <c r="U76" s="794"/>
      <c r="V76" s="794"/>
      <c r="W76" s="794"/>
      <c r="X76" s="794"/>
      <c r="Y76" s="794"/>
      <c r="Z76" s="794"/>
      <c r="AA76" s="794"/>
      <c r="AB76" s="794"/>
      <c r="AC76" s="794"/>
      <c r="AD76" s="794"/>
      <c r="AE76" s="794"/>
    </row>
    <row r="77" spans="1:58" ht="15" customHeight="1">
      <c r="A77" s="176"/>
      <c r="B77" s="1087" t="str">
        <f>IF(COUNTIF(S64:AD71,"NS")&lt;&gt;0,"Alerta: debido a que cuenta con registros NS, debe proporcionar una justificación en el area de comentarios al final de la pregunta","")</f>
        <v/>
      </c>
      <c r="C77" s="1087"/>
      <c r="D77" s="1087"/>
      <c r="E77" s="1087"/>
      <c r="F77" s="1087"/>
      <c r="G77" s="1087"/>
      <c r="H77" s="1087"/>
      <c r="I77" s="1087"/>
      <c r="J77" s="1087"/>
      <c r="K77" s="1087"/>
      <c r="L77" s="1087"/>
      <c r="M77" s="1087"/>
      <c r="N77" s="1087"/>
      <c r="O77" s="1087"/>
      <c r="P77" s="1087"/>
      <c r="Q77" s="1087"/>
      <c r="R77" s="1087"/>
      <c r="S77" s="1087"/>
      <c r="T77" s="1087"/>
      <c r="U77" s="1087"/>
      <c r="V77" s="1087"/>
      <c r="W77" s="1087"/>
      <c r="X77" s="1087"/>
      <c r="Y77" s="1087"/>
      <c r="Z77" s="1087"/>
      <c r="AA77" s="1087"/>
      <c r="AB77" s="1087"/>
      <c r="AC77" s="1087"/>
      <c r="AD77" s="1087"/>
      <c r="AE77" s="1087"/>
    </row>
    <row r="78" spans="1:58" ht="15" customHeight="1">
      <c r="A78" s="176"/>
      <c r="B78" s="1003" t="str">
        <f>IF(AH72&gt;0,"Revise la información capturada, ya que tiene datos ingresados en celdas que están sombreadas","")</f>
        <v/>
      </c>
      <c r="C78" s="1003"/>
      <c r="D78" s="1003"/>
      <c r="E78" s="1003"/>
      <c r="F78" s="1003"/>
      <c r="G78" s="1003"/>
      <c r="H78" s="1003"/>
      <c r="I78" s="1003"/>
      <c r="J78" s="1003"/>
      <c r="K78" s="1003"/>
      <c r="L78" s="1003"/>
      <c r="M78" s="1003"/>
      <c r="N78" s="1003"/>
      <c r="O78" s="1003"/>
      <c r="P78" s="1003"/>
      <c r="Q78" s="1003"/>
      <c r="R78" s="1003"/>
      <c r="S78" s="1003"/>
      <c r="T78" s="1003"/>
      <c r="U78" s="1003"/>
      <c r="V78" s="1003"/>
      <c r="W78" s="1003"/>
      <c r="X78" s="1003"/>
      <c r="Y78" s="1003"/>
      <c r="Z78" s="1003"/>
      <c r="AA78" s="1003"/>
      <c r="AB78" s="1003"/>
      <c r="AC78" s="1003"/>
      <c r="AD78" s="1003"/>
      <c r="AE78" s="1003"/>
    </row>
    <row r="79" spans="1:58" ht="15" customHeight="1">
      <c r="A79" s="176"/>
      <c r="B79" s="1003" t="str">
        <f>IF(OR(AL73&gt;0,AL74&gt;0,AN74&gt;0,AP74&gt;0),"Favor de revisar la suma y consistencia de totales y/o subtotales por filas (numéricos y NS)","")</f>
        <v/>
      </c>
      <c r="C79" s="1003"/>
      <c r="D79" s="1003"/>
      <c r="E79" s="1003"/>
      <c r="F79" s="1003"/>
      <c r="G79" s="1003"/>
      <c r="H79" s="1003"/>
      <c r="I79" s="1003"/>
      <c r="J79" s="1003"/>
      <c r="K79" s="1003"/>
      <c r="L79" s="1003"/>
      <c r="M79" s="1003"/>
      <c r="N79" s="1003"/>
      <c r="O79" s="1003"/>
      <c r="P79" s="1003"/>
      <c r="Q79" s="1003"/>
      <c r="R79" s="1003"/>
      <c r="S79" s="1003"/>
      <c r="T79" s="1003"/>
      <c r="U79" s="1003"/>
      <c r="V79" s="1003"/>
      <c r="W79" s="1003"/>
      <c r="X79" s="1003"/>
      <c r="Y79" s="1003"/>
      <c r="Z79" s="1003"/>
      <c r="AA79" s="1003"/>
      <c r="AB79" s="1003"/>
      <c r="AC79" s="1003"/>
      <c r="AD79" s="1003"/>
      <c r="AE79" s="1003"/>
    </row>
    <row r="80" spans="1:58" ht="15" customHeight="1">
      <c r="A80" s="108"/>
      <c r="B80" s="1003" t="str">
        <f>IF(BF72=0,"","Las cantidades de Hombres y Mujeres por centro especializado debe corresponder con los datos reportados en la preg. 8.1")</f>
        <v/>
      </c>
      <c r="C80" s="1003"/>
      <c r="D80" s="1003"/>
      <c r="E80" s="1003"/>
      <c r="F80" s="1003"/>
      <c r="G80" s="1003"/>
      <c r="H80" s="1003"/>
      <c r="I80" s="1003"/>
      <c r="J80" s="1003"/>
      <c r="K80" s="1003"/>
      <c r="L80" s="1003"/>
      <c r="M80" s="1003"/>
      <c r="N80" s="1003"/>
      <c r="O80" s="1003"/>
      <c r="P80" s="1003"/>
      <c r="Q80" s="1003"/>
      <c r="R80" s="1003"/>
      <c r="S80" s="1003"/>
      <c r="T80" s="1003"/>
      <c r="U80" s="1003"/>
      <c r="V80" s="1003"/>
      <c r="W80" s="1003"/>
      <c r="X80" s="1003"/>
      <c r="Y80" s="1003"/>
      <c r="Z80" s="1003"/>
      <c r="AA80" s="1003"/>
      <c r="AB80" s="1003"/>
      <c r="AC80" s="1003"/>
      <c r="AD80" s="1003"/>
      <c r="AE80" s="1003"/>
    </row>
    <row r="81" spans="1:58" ht="15" customHeight="1">
      <c r="A81" s="108"/>
      <c r="B81" s="57"/>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row>
    <row r="82" spans="1:58" ht="24" customHeight="1">
      <c r="A82" s="108" t="s">
        <v>5171</v>
      </c>
      <c r="B82" s="829" t="s">
        <v>5172</v>
      </c>
      <c r="C82" s="829"/>
      <c r="D82" s="829"/>
      <c r="E82" s="829"/>
      <c r="F82" s="829"/>
      <c r="G82" s="829"/>
      <c r="H82" s="829"/>
      <c r="I82" s="829"/>
      <c r="J82" s="829"/>
      <c r="K82" s="829"/>
      <c r="L82" s="829"/>
      <c r="M82" s="829"/>
      <c r="N82" s="829"/>
      <c r="O82" s="829"/>
      <c r="P82" s="829"/>
      <c r="Q82" s="829"/>
      <c r="R82" s="829"/>
      <c r="S82" s="829"/>
      <c r="T82" s="829"/>
      <c r="U82" s="829"/>
      <c r="V82" s="829"/>
      <c r="W82" s="829"/>
      <c r="X82" s="829"/>
      <c r="Y82" s="829"/>
      <c r="Z82" s="829"/>
      <c r="AA82" s="829"/>
      <c r="AB82" s="829"/>
      <c r="AC82" s="829"/>
      <c r="AD82" s="829"/>
    </row>
    <row r="83" spans="1:58" ht="15" customHeight="1">
      <c r="A83" s="108"/>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row>
    <row r="84" spans="1:58" ht="15" customHeight="1">
      <c r="A84" s="108"/>
      <c r="B84" s="38"/>
      <c r="C84" s="75"/>
      <c r="D84" s="75"/>
      <c r="E84" s="75"/>
      <c r="F84" s="75"/>
      <c r="G84" s="75"/>
      <c r="H84" s="75"/>
      <c r="I84" s="75"/>
      <c r="J84" s="75"/>
      <c r="K84" s="75"/>
      <c r="L84" s="75"/>
      <c r="M84" s="75"/>
      <c r="N84" s="75"/>
      <c r="O84" s="75"/>
      <c r="P84" s="75"/>
      <c r="Q84" s="75"/>
      <c r="R84" s="75"/>
      <c r="S84" s="75"/>
      <c r="T84" s="75"/>
      <c r="U84" s="75"/>
      <c r="V84" s="75"/>
      <c r="W84" s="75"/>
      <c r="X84" s="75"/>
      <c r="Y84" s="75"/>
      <c r="Z84" s="75"/>
      <c r="AA84" s="873" t="s">
        <v>2664</v>
      </c>
      <c r="AB84" s="873"/>
      <c r="AC84" s="873"/>
      <c r="AD84" s="873"/>
    </row>
    <row r="85" spans="1:58" ht="36" customHeight="1">
      <c r="A85" s="49"/>
      <c r="B85" s="38"/>
      <c r="C85" s="797" t="s">
        <v>2581</v>
      </c>
      <c r="D85" s="798"/>
      <c r="E85" s="798"/>
      <c r="F85" s="798"/>
      <c r="G85" s="798"/>
      <c r="H85" s="798"/>
      <c r="I85" s="798"/>
      <c r="J85" s="798"/>
      <c r="K85" s="798"/>
      <c r="L85" s="798"/>
      <c r="M85" s="798"/>
      <c r="N85" s="798"/>
      <c r="O85" s="799"/>
      <c r="P85" s="739" t="s">
        <v>5173</v>
      </c>
      <c r="Q85" s="740"/>
      <c r="R85" s="740"/>
      <c r="S85" s="740"/>
      <c r="T85" s="740"/>
      <c r="U85" s="740"/>
      <c r="V85" s="740"/>
      <c r="W85" s="740"/>
      <c r="X85" s="740"/>
      <c r="Y85" s="740"/>
      <c r="Z85" s="740"/>
      <c r="AA85" s="740"/>
      <c r="AB85" s="740"/>
      <c r="AC85" s="740"/>
      <c r="AD85" s="741"/>
    </row>
    <row r="86" spans="1:58" ht="24" customHeight="1">
      <c r="A86" s="49"/>
      <c r="B86" s="38"/>
      <c r="C86" s="800"/>
      <c r="D86" s="801"/>
      <c r="E86" s="801"/>
      <c r="F86" s="801"/>
      <c r="G86" s="801"/>
      <c r="H86" s="801"/>
      <c r="I86" s="801"/>
      <c r="J86" s="801"/>
      <c r="K86" s="801"/>
      <c r="L86" s="801"/>
      <c r="M86" s="801"/>
      <c r="N86" s="801"/>
      <c r="O86" s="802"/>
      <c r="P86" s="874" t="s">
        <v>2628</v>
      </c>
      <c r="Q86" s="857" t="s">
        <v>2629</v>
      </c>
      <c r="R86" s="857" t="s">
        <v>2630</v>
      </c>
      <c r="S86" s="818" t="s">
        <v>4591</v>
      </c>
      <c r="T86" s="819"/>
      <c r="U86" s="820"/>
      <c r="V86" s="733" t="s">
        <v>4592</v>
      </c>
      <c r="W86" s="734"/>
      <c r="X86" s="734"/>
      <c r="Y86" s="734"/>
      <c r="Z86" s="734"/>
      <c r="AA86" s="734"/>
      <c r="AB86" s="734"/>
      <c r="AC86" s="734"/>
      <c r="AD86" s="735"/>
    </row>
    <row r="87" spans="1:58" ht="96" customHeight="1">
      <c r="A87" s="110"/>
      <c r="B87" s="57"/>
      <c r="C87" s="800"/>
      <c r="D87" s="801"/>
      <c r="E87" s="801"/>
      <c r="F87" s="801"/>
      <c r="G87" s="801"/>
      <c r="H87" s="801"/>
      <c r="I87" s="801"/>
      <c r="J87" s="801"/>
      <c r="K87" s="801"/>
      <c r="L87" s="801"/>
      <c r="M87" s="801"/>
      <c r="N87" s="801"/>
      <c r="O87" s="802"/>
      <c r="P87" s="874"/>
      <c r="Q87" s="857"/>
      <c r="R87" s="857"/>
      <c r="S87" s="824"/>
      <c r="T87" s="825"/>
      <c r="U87" s="826"/>
      <c r="V87" s="858" t="s">
        <v>5174</v>
      </c>
      <c r="W87" s="859"/>
      <c r="X87" s="860"/>
      <c r="Y87" s="857" t="s">
        <v>5175</v>
      </c>
      <c r="Z87" s="857"/>
      <c r="AA87" s="857"/>
      <c r="AB87" s="857" t="s">
        <v>5176</v>
      </c>
      <c r="AC87" s="857"/>
      <c r="AD87" s="857"/>
    </row>
    <row r="88" spans="1:58" ht="48" customHeight="1">
      <c r="A88" s="110"/>
      <c r="B88" s="57"/>
      <c r="C88" s="803"/>
      <c r="D88" s="804"/>
      <c r="E88" s="804"/>
      <c r="F88" s="804"/>
      <c r="G88" s="804"/>
      <c r="H88" s="804"/>
      <c r="I88" s="804"/>
      <c r="J88" s="804"/>
      <c r="K88" s="804"/>
      <c r="L88" s="804"/>
      <c r="M88" s="804"/>
      <c r="N88" s="804"/>
      <c r="O88" s="805"/>
      <c r="P88" s="874"/>
      <c r="Q88" s="857"/>
      <c r="R88" s="857"/>
      <c r="S88" s="127" t="s">
        <v>2635</v>
      </c>
      <c r="T88" s="128" t="s">
        <v>2629</v>
      </c>
      <c r="U88" s="128" t="s">
        <v>2630</v>
      </c>
      <c r="V88" s="127" t="s">
        <v>2635</v>
      </c>
      <c r="W88" s="128" t="s">
        <v>2629</v>
      </c>
      <c r="X88" s="128" t="s">
        <v>2630</v>
      </c>
      <c r="Y88" s="127" t="s">
        <v>2635</v>
      </c>
      <c r="Z88" s="128" t="s">
        <v>2629</v>
      </c>
      <c r="AA88" s="128" t="s">
        <v>2630</v>
      </c>
      <c r="AB88" s="127" t="s">
        <v>2635</v>
      </c>
      <c r="AC88" s="128" t="s">
        <v>2629</v>
      </c>
      <c r="AD88" s="128" t="s">
        <v>2630</v>
      </c>
      <c r="AG88" t="s">
        <v>2586</v>
      </c>
      <c r="AH88" t="s">
        <v>4581</v>
      </c>
      <c r="AK88" t="s">
        <v>4573</v>
      </c>
      <c r="AL88" t="s">
        <v>2638</v>
      </c>
      <c r="AM88" t="s">
        <v>2639</v>
      </c>
      <c r="AN88" t="s">
        <v>4574</v>
      </c>
      <c r="AO88" t="s">
        <v>2641</v>
      </c>
      <c r="AP88" t="s">
        <v>2642</v>
      </c>
      <c r="AQ88" t="s">
        <v>4575</v>
      </c>
      <c r="AR88" t="s">
        <v>2644</v>
      </c>
      <c r="AS88" t="s">
        <v>2645</v>
      </c>
      <c r="AT88" t="s">
        <v>4576</v>
      </c>
      <c r="AU88" t="s">
        <v>2647</v>
      </c>
      <c r="AV88" t="s">
        <v>2648</v>
      </c>
      <c r="AW88" t="s">
        <v>5177</v>
      </c>
      <c r="AX88" t="s">
        <v>2757</v>
      </c>
      <c r="AY88" t="s">
        <v>2758</v>
      </c>
      <c r="BF88" t="s">
        <v>4582</v>
      </c>
    </row>
    <row r="89" spans="1:58" ht="15" customHeight="1">
      <c r="A89" s="110"/>
      <c r="B89" s="57"/>
      <c r="C89" s="97" t="s">
        <v>2516</v>
      </c>
      <c r="D89" s="796" t="str">
        <f>IF(CNSIPEE_2024_M2_Secc1!D42="","",CNSIPEE_2024_M2_Secc1!D42)</f>
        <v/>
      </c>
      <c r="E89" s="796"/>
      <c r="F89" s="796"/>
      <c r="G89" s="796"/>
      <c r="H89" s="796"/>
      <c r="I89" s="796"/>
      <c r="J89" s="796"/>
      <c r="K89" s="796"/>
      <c r="L89" s="796"/>
      <c r="M89" s="796"/>
      <c r="N89" s="796"/>
      <c r="O89" s="796"/>
      <c r="P89" s="100"/>
      <c r="Q89" s="100"/>
      <c r="R89" s="100"/>
      <c r="S89" s="100"/>
      <c r="T89" s="100"/>
      <c r="U89" s="100"/>
      <c r="V89" s="100"/>
      <c r="W89" s="100"/>
      <c r="X89" s="100"/>
      <c r="Y89" s="100"/>
      <c r="Z89" s="100"/>
      <c r="AA89" s="100"/>
      <c r="AB89" s="100"/>
      <c r="AC89" s="100"/>
      <c r="AD89" s="100"/>
      <c r="AG89">
        <f>IF(OR($M40=0,$M40="NS",$M40="NA"),0,IF(OR(SUM(COUNTBLANK(D89:AD89),COUNTBLANK(V104:AD104))=11,SUM(COUNTBLANK(D89:AD89),COUNTBLANK(V104:AD104))=36),0,1))</f>
        <v>0</v>
      </c>
      <c r="AH89">
        <f>IF(OR($M40=0,$M40="NS",$M40="NA"),IF(SUM(COUNTBLANK(P89:AD89),COUNTBLANK(V104:AD104))=24,0,1),0)</f>
        <v>0</v>
      </c>
      <c r="AK89">
        <f t="shared" ref="AK89" si="33">COUNTIF(Q89:R89,"NS")</f>
        <v>0</v>
      </c>
      <c r="AL89">
        <f t="shared" ref="AL89" si="34">SUM(Q89:R89)</f>
        <v>0</v>
      </c>
      <c r="AM89">
        <f>IF(COUNTIF(P89:R89,"NA")=3,0,IF(COUNTA(P89:R89)=0,0,IF(OR(AND(P89=0,AK89&gt;0),AND(P89="ns",AL89&gt;0),AND(P89="ns",AK89=0,AL89=0)),1,IF(OR(AND(P89&gt;0,AK89=2),AND(P89="ns",AK89=2),AND(P89="ns",AL89=0,AK89&gt;0),P89=AL89),0,1))))</f>
        <v>0</v>
      </c>
      <c r="AN89">
        <f t="shared" ref="AN89" si="35">COUNTIF(T89:U89,"NS")</f>
        <v>0</v>
      </c>
      <c r="AO89">
        <f t="shared" ref="AO89" si="36">SUM(T89:U89)</f>
        <v>0</v>
      </c>
      <c r="AP89">
        <f t="shared" ref="AP89" si="37">IF(COUNTIF(S89:U89,"NA")=3,0,IF(COUNTA(S89:U89)=0,0,IF(OR(AND(S89=0,AN89&gt;0),AND(S89="ns",AO89&gt;0),AND(S89="ns",AN89=0,AO89=0)),1,IF(OR(AND(S89&gt;0,AN89=2),AND(S89="ns",AN89=2),AND(S89="ns",AO89=0,AN89&gt;0),S89=AO89),0,1))))</f>
        <v>0</v>
      </c>
      <c r="AQ89">
        <f t="shared" ref="AQ89" si="38">COUNTIF(W89:X89,"NS")</f>
        <v>0</v>
      </c>
      <c r="AR89">
        <f t="shared" ref="AR89" si="39">SUM(W89:X89)</f>
        <v>0</v>
      </c>
      <c r="AS89">
        <f t="shared" ref="AS89" si="40">IF(COUNTIF(V89:X89,"NA")=3,0,IF(COUNTA(V89:X89)=0,0,IF(OR(AND(V89=0,AQ89&gt;0),AND(V89="ns",AR89&gt;0),AND(V89="ns",AQ89=0,AR89=0)),1,IF(OR(AND(V89&gt;0,AQ89=2),AND(V89="ns",AQ89=2),AND(V89="ns",AR89=0,AQ89&gt;0),V89=AR89),0,1))))</f>
        <v>0</v>
      </c>
      <c r="AT89">
        <f t="shared" ref="AT89" si="41">COUNTIF(Z89:AA89,"NS")</f>
        <v>0</v>
      </c>
      <c r="AU89">
        <f t="shared" ref="AU89" si="42">SUM(Z89:AA89)</f>
        <v>0</v>
      </c>
      <c r="AV89">
        <f t="shared" ref="AV89" si="43">IF(COUNTIF(Y89:AA89,"NA")=3,0,IF(COUNTA(Y89:AA89)=0,0,IF(OR(AND(Y89=0,AT89&gt;0),AND(Y89="ns",AU89&gt;0),AND(Y89="ns",AT89=0,AU89=0)),1,IF(OR(AND(Y89&gt;0,AT89=2),AND(Y89="ns",AT89=2),AND(Y89="ns",AU89=0,AT89&gt;0),Y89=AU89),0,1))))</f>
        <v>0</v>
      </c>
      <c r="AW89">
        <f t="shared" ref="AW89" si="44">COUNTIF(AC89:AD89,"NS")</f>
        <v>0</v>
      </c>
      <c r="AX89">
        <f t="shared" ref="AX89" si="45">SUM(AC89:AD89)</f>
        <v>0</v>
      </c>
      <c r="AY89">
        <f t="shared" ref="AY89" si="46">IF(COUNTIF(AB89:AD89,"NA")=3,0,IF(COUNTA(AB89:AD89)=0,0,IF(OR(AND(AB89=0,AW89&gt;0),AND(AB89="ns",AX89&gt;0),AND(AB89="ns",AW89=0,AX89=0)),1,IF(OR(AND(AB89&gt;0,AW89=2),AND(AB89="ns",AW89=2),AND(AB89="ns",AX89=0,AW89&gt;0),AB89=AX89),0,1))))</f>
        <v>0</v>
      </c>
      <c r="BF89">
        <f>IF(OR($M40=0,$M40="NS",$M40="NA"),0,IF(AND(M40=P89,S40=Q89,Y40=R89),0,1))</f>
        <v>0</v>
      </c>
    </row>
    <row r="90" spans="1:58" ht="15" customHeight="1">
      <c r="A90" s="110"/>
      <c r="B90" s="57"/>
      <c r="C90" s="98" t="s">
        <v>2517</v>
      </c>
      <c r="D90" s="796" t="str">
        <f>IF(CNSIPEE_2024_M2_Secc1!D43="","",CNSIPEE_2024_M2_Secc1!D43)</f>
        <v/>
      </c>
      <c r="E90" s="796"/>
      <c r="F90" s="796"/>
      <c r="G90" s="796"/>
      <c r="H90" s="796"/>
      <c r="I90" s="796"/>
      <c r="J90" s="796"/>
      <c r="K90" s="796"/>
      <c r="L90" s="796"/>
      <c r="M90" s="796"/>
      <c r="N90" s="796"/>
      <c r="O90" s="796"/>
      <c r="P90" s="100"/>
      <c r="Q90" s="100"/>
      <c r="R90" s="100"/>
      <c r="S90" s="100"/>
      <c r="T90" s="100"/>
      <c r="U90" s="100"/>
      <c r="V90" s="100"/>
      <c r="W90" s="100"/>
      <c r="X90" s="100"/>
      <c r="Y90" s="100"/>
      <c r="Z90" s="100"/>
      <c r="AA90" s="100"/>
      <c r="AB90" s="100"/>
      <c r="AC90" s="100"/>
      <c r="AD90" s="100"/>
      <c r="AG90">
        <f t="shared" ref="AG90:AG96" si="47">IF(OR($M41=0,$M41="NS",$M41="NA"),0,IF(OR(SUM(COUNTBLANK(D90:AD90),COUNTBLANK(V105:AD105))=11,SUM(COUNTBLANK(D90:AD90),COUNTBLANK(V105:AD105))=36),0,1))</f>
        <v>0</v>
      </c>
      <c r="AH90">
        <f t="shared" ref="AH90:AH96" si="48">IF(OR($M41=0,$M41="NS",$M41="NA"),IF(SUM(COUNTBLANK(P90:AD90),COUNTBLANK(V105:AD105))=24,0,1),0)</f>
        <v>0</v>
      </c>
      <c r="AK90">
        <f t="shared" ref="AK90:AK96" si="49">COUNTIF(Q90:R90,"NS")</f>
        <v>0</v>
      </c>
      <c r="AL90">
        <f t="shared" ref="AL90:AL96" si="50">SUM(Q90:R90)</f>
        <v>0</v>
      </c>
      <c r="AM90">
        <f t="shared" ref="AM90:AM96" si="51">IF(COUNTIF(P90:R90,"NA")=3,0,IF(COUNTA(P90:R90)=0,0,IF(OR(AND(P90=0,AK90&gt;0),AND(P90="ns",AL90&gt;0),AND(P90="ns",AK90=0,AL90=0)),1,IF(OR(AND(P90&gt;0,AK90=2),AND(P90="ns",AK90=2),AND(P90="ns",AL90=0,AK90&gt;0),P90=AL90),0,1))))</f>
        <v>0</v>
      </c>
      <c r="AN90">
        <f t="shared" ref="AN90:AN96" si="52">COUNTIF(T90:U90,"NS")</f>
        <v>0</v>
      </c>
      <c r="AO90">
        <f t="shared" ref="AO90:AO96" si="53">SUM(T90:U90)</f>
        <v>0</v>
      </c>
      <c r="AP90">
        <f t="shared" ref="AP90:AP96" si="54">IF(COUNTIF(S90:U90,"NA")=3,0,IF(COUNTA(S90:U90)=0,0,IF(OR(AND(S90=0,AN90&gt;0),AND(S90="ns",AO90&gt;0),AND(S90="ns",AN90=0,AO90=0)),1,IF(OR(AND(S90&gt;0,AN90=2),AND(S90="ns",AN90=2),AND(S90="ns",AO90=0,AN90&gt;0),S90=AO90),0,1))))</f>
        <v>0</v>
      </c>
      <c r="AQ90">
        <f t="shared" ref="AQ90:AQ96" si="55">COUNTIF(W90:X90,"NS")</f>
        <v>0</v>
      </c>
      <c r="AR90">
        <f t="shared" ref="AR90:AR96" si="56">SUM(W90:X90)</f>
        <v>0</v>
      </c>
      <c r="AS90">
        <f t="shared" ref="AS90:AS96" si="57">IF(COUNTIF(V90:X90,"NA")=3,0,IF(COUNTA(V90:X90)=0,0,IF(OR(AND(V90=0,AQ90&gt;0),AND(V90="ns",AR90&gt;0),AND(V90="ns",AQ90=0,AR90=0)),1,IF(OR(AND(V90&gt;0,AQ90=2),AND(V90="ns",AQ90=2),AND(V90="ns",AR90=0,AQ90&gt;0),V90=AR90),0,1))))</f>
        <v>0</v>
      </c>
      <c r="AT90">
        <f t="shared" ref="AT90:AT96" si="58">COUNTIF(Z90:AA90,"NS")</f>
        <v>0</v>
      </c>
      <c r="AU90">
        <f t="shared" ref="AU90:AU96" si="59">SUM(Z90:AA90)</f>
        <v>0</v>
      </c>
      <c r="AV90">
        <f t="shared" ref="AV90:AV96" si="60">IF(COUNTIF(Y90:AA90,"NA")=3,0,IF(COUNTA(Y90:AA90)=0,0,IF(OR(AND(Y90=0,AT90&gt;0),AND(Y90="ns",AU90&gt;0),AND(Y90="ns",AT90=0,AU90=0)),1,IF(OR(AND(Y90&gt;0,AT90=2),AND(Y90="ns",AT90=2),AND(Y90="ns",AU90=0,AT90&gt;0),Y90=AU90),0,1))))</f>
        <v>0</v>
      </c>
      <c r="AW90">
        <f t="shared" ref="AW90:AW96" si="61">COUNTIF(AC90:AD90,"NS")</f>
        <v>0</v>
      </c>
      <c r="AX90">
        <f t="shared" ref="AX90:AX96" si="62">SUM(AC90:AD90)</f>
        <v>0</v>
      </c>
      <c r="AY90">
        <f t="shared" ref="AY90:AY96" si="63">IF(COUNTIF(AB90:AD90,"NA")=3,0,IF(COUNTA(AB90:AD90)=0,0,IF(OR(AND(AB90=0,AW90&gt;0),AND(AB90="ns",AX90&gt;0),AND(AB90="ns",AW90=0,AX90=0)),1,IF(OR(AND(AB90&gt;0,AW90=2),AND(AB90="ns",AW90=2),AND(AB90="ns",AX90=0,AW90&gt;0),AB90=AX90),0,1))))</f>
        <v>0</v>
      </c>
      <c r="BF90">
        <f t="shared" ref="BF90:BF96" si="64">IF(OR($M41=0,$M41="NS",$M41="NA"),0,IF(AND(M41=P90,S41=Q90,Y41=R90),0,1))</f>
        <v>0</v>
      </c>
    </row>
    <row r="91" spans="1:58" ht="15" customHeight="1">
      <c r="A91" s="110"/>
      <c r="B91" s="57"/>
      <c r="C91" s="98" t="s">
        <v>2518</v>
      </c>
      <c r="D91" s="796" t="str">
        <f>IF(CNSIPEE_2024_M2_Secc1!D44="","",CNSIPEE_2024_M2_Secc1!D44)</f>
        <v/>
      </c>
      <c r="E91" s="796"/>
      <c r="F91" s="796"/>
      <c r="G91" s="796"/>
      <c r="H91" s="796"/>
      <c r="I91" s="796"/>
      <c r="J91" s="796"/>
      <c r="K91" s="796"/>
      <c r="L91" s="796"/>
      <c r="M91" s="796"/>
      <c r="N91" s="796"/>
      <c r="O91" s="796"/>
      <c r="P91" s="100"/>
      <c r="Q91" s="100"/>
      <c r="R91" s="100"/>
      <c r="S91" s="100"/>
      <c r="T91" s="100"/>
      <c r="U91" s="100"/>
      <c r="V91" s="100"/>
      <c r="W91" s="100"/>
      <c r="X91" s="100"/>
      <c r="Y91" s="100"/>
      <c r="Z91" s="100"/>
      <c r="AA91" s="100"/>
      <c r="AB91" s="100"/>
      <c r="AC91" s="100"/>
      <c r="AD91" s="100"/>
      <c r="AG91">
        <f t="shared" si="47"/>
        <v>0</v>
      </c>
      <c r="AH91">
        <f t="shared" si="48"/>
        <v>0</v>
      </c>
      <c r="AK91">
        <f t="shared" si="49"/>
        <v>0</v>
      </c>
      <c r="AL91">
        <f t="shared" si="50"/>
        <v>0</v>
      </c>
      <c r="AM91">
        <f t="shared" si="51"/>
        <v>0</v>
      </c>
      <c r="AN91">
        <f t="shared" si="52"/>
        <v>0</v>
      </c>
      <c r="AO91">
        <f t="shared" si="53"/>
        <v>0</v>
      </c>
      <c r="AP91">
        <f t="shared" si="54"/>
        <v>0</v>
      </c>
      <c r="AQ91">
        <f t="shared" si="55"/>
        <v>0</v>
      </c>
      <c r="AR91">
        <f t="shared" si="56"/>
        <v>0</v>
      </c>
      <c r="AS91">
        <f t="shared" si="57"/>
        <v>0</v>
      </c>
      <c r="AT91">
        <f t="shared" si="58"/>
        <v>0</v>
      </c>
      <c r="AU91">
        <f t="shared" si="59"/>
        <v>0</v>
      </c>
      <c r="AV91">
        <f t="shared" si="60"/>
        <v>0</v>
      </c>
      <c r="AW91">
        <f t="shared" si="61"/>
        <v>0</v>
      </c>
      <c r="AX91">
        <f t="shared" si="62"/>
        <v>0</v>
      </c>
      <c r="AY91">
        <f t="shared" si="63"/>
        <v>0</v>
      </c>
      <c r="BF91">
        <f t="shared" si="64"/>
        <v>0</v>
      </c>
    </row>
    <row r="92" spans="1:58" ht="15" customHeight="1">
      <c r="A92" s="110"/>
      <c r="B92" s="57"/>
      <c r="C92" s="98" t="s">
        <v>2519</v>
      </c>
      <c r="D92" s="796" t="str">
        <f>IF(CNSIPEE_2024_M2_Secc1!D45="","",CNSIPEE_2024_M2_Secc1!D45)</f>
        <v/>
      </c>
      <c r="E92" s="796"/>
      <c r="F92" s="796"/>
      <c r="G92" s="796"/>
      <c r="H92" s="796"/>
      <c r="I92" s="796"/>
      <c r="J92" s="796"/>
      <c r="K92" s="796"/>
      <c r="L92" s="796"/>
      <c r="M92" s="796"/>
      <c r="N92" s="796"/>
      <c r="O92" s="796"/>
      <c r="P92" s="100"/>
      <c r="Q92" s="100"/>
      <c r="R92" s="100"/>
      <c r="S92" s="100"/>
      <c r="T92" s="100"/>
      <c r="U92" s="100"/>
      <c r="V92" s="100"/>
      <c r="W92" s="100"/>
      <c r="X92" s="100"/>
      <c r="Y92" s="100"/>
      <c r="Z92" s="100"/>
      <c r="AA92" s="100"/>
      <c r="AB92" s="100"/>
      <c r="AC92" s="100"/>
      <c r="AD92" s="100"/>
      <c r="AG92">
        <f t="shared" si="47"/>
        <v>0</v>
      </c>
      <c r="AH92">
        <f t="shared" si="48"/>
        <v>0</v>
      </c>
      <c r="AK92">
        <f t="shared" si="49"/>
        <v>0</v>
      </c>
      <c r="AL92">
        <f t="shared" si="50"/>
        <v>0</v>
      </c>
      <c r="AM92">
        <f t="shared" si="51"/>
        <v>0</v>
      </c>
      <c r="AN92">
        <f t="shared" si="52"/>
        <v>0</v>
      </c>
      <c r="AO92">
        <f t="shared" si="53"/>
        <v>0</v>
      </c>
      <c r="AP92">
        <f t="shared" si="54"/>
        <v>0</v>
      </c>
      <c r="AQ92">
        <f t="shared" si="55"/>
        <v>0</v>
      </c>
      <c r="AR92">
        <f t="shared" si="56"/>
        <v>0</v>
      </c>
      <c r="AS92">
        <f t="shared" si="57"/>
        <v>0</v>
      </c>
      <c r="AT92">
        <f t="shared" si="58"/>
        <v>0</v>
      </c>
      <c r="AU92">
        <f t="shared" si="59"/>
        <v>0</v>
      </c>
      <c r="AV92">
        <f t="shared" si="60"/>
        <v>0</v>
      </c>
      <c r="AW92">
        <f t="shared" si="61"/>
        <v>0</v>
      </c>
      <c r="AX92">
        <f t="shared" si="62"/>
        <v>0</v>
      </c>
      <c r="AY92">
        <f t="shared" si="63"/>
        <v>0</v>
      </c>
      <c r="BF92">
        <f t="shared" si="64"/>
        <v>0</v>
      </c>
    </row>
    <row r="93" spans="1:58" ht="15" customHeight="1">
      <c r="A93" s="110"/>
      <c r="B93" s="57"/>
      <c r="C93" s="98" t="s">
        <v>2520</v>
      </c>
      <c r="D93" s="796" t="str">
        <f>IF(CNSIPEE_2024_M2_Secc1!D46="","",CNSIPEE_2024_M2_Secc1!D46)</f>
        <v/>
      </c>
      <c r="E93" s="796"/>
      <c r="F93" s="796"/>
      <c r="G93" s="796"/>
      <c r="H93" s="796"/>
      <c r="I93" s="796"/>
      <c r="J93" s="796"/>
      <c r="K93" s="796"/>
      <c r="L93" s="796"/>
      <c r="M93" s="796"/>
      <c r="N93" s="796"/>
      <c r="O93" s="796"/>
      <c r="P93" s="100"/>
      <c r="Q93" s="100"/>
      <c r="R93" s="100"/>
      <c r="S93" s="100"/>
      <c r="T93" s="100"/>
      <c r="U93" s="100"/>
      <c r="V93" s="100"/>
      <c r="W93" s="100"/>
      <c r="X93" s="100"/>
      <c r="Y93" s="100"/>
      <c r="Z93" s="100"/>
      <c r="AA93" s="100"/>
      <c r="AB93" s="100"/>
      <c r="AC93" s="100"/>
      <c r="AD93" s="100"/>
      <c r="AG93">
        <f t="shared" si="47"/>
        <v>0</v>
      </c>
      <c r="AH93">
        <f t="shared" si="48"/>
        <v>0</v>
      </c>
      <c r="AK93">
        <f t="shared" si="49"/>
        <v>0</v>
      </c>
      <c r="AL93">
        <f t="shared" si="50"/>
        <v>0</v>
      </c>
      <c r="AM93">
        <f t="shared" si="51"/>
        <v>0</v>
      </c>
      <c r="AN93">
        <f t="shared" si="52"/>
        <v>0</v>
      </c>
      <c r="AO93">
        <f t="shared" si="53"/>
        <v>0</v>
      </c>
      <c r="AP93">
        <f t="shared" si="54"/>
        <v>0</v>
      </c>
      <c r="AQ93">
        <f t="shared" si="55"/>
        <v>0</v>
      </c>
      <c r="AR93">
        <f t="shared" si="56"/>
        <v>0</v>
      </c>
      <c r="AS93">
        <f t="shared" si="57"/>
        <v>0</v>
      </c>
      <c r="AT93">
        <f t="shared" si="58"/>
        <v>0</v>
      </c>
      <c r="AU93">
        <f t="shared" si="59"/>
        <v>0</v>
      </c>
      <c r="AV93">
        <f t="shared" si="60"/>
        <v>0</v>
      </c>
      <c r="AW93">
        <f t="shared" si="61"/>
        <v>0</v>
      </c>
      <c r="AX93">
        <f t="shared" si="62"/>
        <v>0</v>
      </c>
      <c r="AY93">
        <f t="shared" si="63"/>
        <v>0</v>
      </c>
      <c r="BF93">
        <f t="shared" si="64"/>
        <v>0</v>
      </c>
    </row>
    <row r="94" spans="1:58" ht="15" customHeight="1">
      <c r="A94" s="110"/>
      <c r="B94" s="57"/>
      <c r="C94" s="98" t="s">
        <v>2521</v>
      </c>
      <c r="D94" s="796" t="str">
        <f>IF(CNSIPEE_2024_M2_Secc1!D47="","",CNSIPEE_2024_M2_Secc1!D47)</f>
        <v/>
      </c>
      <c r="E94" s="796"/>
      <c r="F94" s="796"/>
      <c r="G94" s="796"/>
      <c r="H94" s="796"/>
      <c r="I94" s="796"/>
      <c r="J94" s="796"/>
      <c r="K94" s="796"/>
      <c r="L94" s="796"/>
      <c r="M94" s="796"/>
      <c r="N94" s="796"/>
      <c r="O94" s="796"/>
      <c r="P94" s="100"/>
      <c r="Q94" s="100"/>
      <c r="R94" s="100"/>
      <c r="S94" s="100"/>
      <c r="T94" s="100"/>
      <c r="U94" s="100"/>
      <c r="V94" s="100"/>
      <c r="W94" s="100"/>
      <c r="X94" s="100"/>
      <c r="Y94" s="100"/>
      <c r="Z94" s="100"/>
      <c r="AA94" s="100"/>
      <c r="AB94" s="100"/>
      <c r="AC94" s="100"/>
      <c r="AD94" s="100"/>
      <c r="AG94">
        <f t="shared" si="47"/>
        <v>0</v>
      </c>
      <c r="AH94">
        <f t="shared" si="48"/>
        <v>0</v>
      </c>
      <c r="AK94">
        <f t="shared" si="49"/>
        <v>0</v>
      </c>
      <c r="AL94">
        <f t="shared" si="50"/>
        <v>0</v>
      </c>
      <c r="AM94">
        <f t="shared" si="51"/>
        <v>0</v>
      </c>
      <c r="AN94">
        <f t="shared" si="52"/>
        <v>0</v>
      </c>
      <c r="AO94">
        <f t="shared" si="53"/>
        <v>0</v>
      </c>
      <c r="AP94">
        <f t="shared" si="54"/>
        <v>0</v>
      </c>
      <c r="AQ94">
        <f t="shared" si="55"/>
        <v>0</v>
      </c>
      <c r="AR94">
        <f t="shared" si="56"/>
        <v>0</v>
      </c>
      <c r="AS94">
        <f t="shared" si="57"/>
        <v>0</v>
      </c>
      <c r="AT94">
        <f t="shared" si="58"/>
        <v>0</v>
      </c>
      <c r="AU94">
        <f t="shared" si="59"/>
        <v>0</v>
      </c>
      <c r="AV94">
        <f t="shared" si="60"/>
        <v>0</v>
      </c>
      <c r="AW94">
        <f t="shared" si="61"/>
        <v>0</v>
      </c>
      <c r="AX94">
        <f t="shared" si="62"/>
        <v>0</v>
      </c>
      <c r="AY94">
        <f t="shared" si="63"/>
        <v>0</v>
      </c>
      <c r="BF94">
        <f t="shared" si="64"/>
        <v>0</v>
      </c>
    </row>
    <row r="95" spans="1:58" ht="15" customHeight="1">
      <c r="A95" s="110"/>
      <c r="B95" s="57"/>
      <c r="C95" s="98" t="s">
        <v>2522</v>
      </c>
      <c r="D95" s="796" t="str">
        <f>IF(CNSIPEE_2024_M2_Secc1!D48="","",CNSIPEE_2024_M2_Secc1!D48)</f>
        <v/>
      </c>
      <c r="E95" s="796"/>
      <c r="F95" s="796"/>
      <c r="G95" s="796"/>
      <c r="H95" s="796"/>
      <c r="I95" s="796"/>
      <c r="J95" s="796"/>
      <c r="K95" s="796"/>
      <c r="L95" s="796"/>
      <c r="M95" s="796"/>
      <c r="N95" s="796"/>
      <c r="O95" s="796"/>
      <c r="P95" s="100"/>
      <c r="Q95" s="100"/>
      <c r="R95" s="100"/>
      <c r="S95" s="100"/>
      <c r="T95" s="100"/>
      <c r="U95" s="100"/>
      <c r="V95" s="100"/>
      <c r="W95" s="100"/>
      <c r="X95" s="100"/>
      <c r="Y95" s="100"/>
      <c r="Z95" s="100"/>
      <c r="AA95" s="100"/>
      <c r="AB95" s="100"/>
      <c r="AC95" s="100"/>
      <c r="AD95" s="100"/>
      <c r="AG95">
        <f t="shared" si="47"/>
        <v>0</v>
      </c>
      <c r="AH95">
        <f t="shared" si="48"/>
        <v>0</v>
      </c>
      <c r="AK95">
        <f t="shared" si="49"/>
        <v>0</v>
      </c>
      <c r="AL95">
        <f t="shared" si="50"/>
        <v>0</v>
      </c>
      <c r="AM95">
        <f t="shared" si="51"/>
        <v>0</v>
      </c>
      <c r="AN95">
        <f t="shared" si="52"/>
        <v>0</v>
      </c>
      <c r="AO95">
        <f t="shared" si="53"/>
        <v>0</v>
      </c>
      <c r="AP95">
        <f t="shared" si="54"/>
        <v>0</v>
      </c>
      <c r="AQ95">
        <f t="shared" si="55"/>
        <v>0</v>
      </c>
      <c r="AR95">
        <f t="shared" si="56"/>
        <v>0</v>
      </c>
      <c r="AS95">
        <f t="shared" si="57"/>
        <v>0</v>
      </c>
      <c r="AT95">
        <f t="shared" si="58"/>
        <v>0</v>
      </c>
      <c r="AU95">
        <f t="shared" si="59"/>
        <v>0</v>
      </c>
      <c r="AV95">
        <f t="shared" si="60"/>
        <v>0</v>
      </c>
      <c r="AW95">
        <f t="shared" si="61"/>
        <v>0</v>
      </c>
      <c r="AX95">
        <f t="shared" si="62"/>
        <v>0</v>
      </c>
      <c r="AY95">
        <f t="shared" si="63"/>
        <v>0</v>
      </c>
      <c r="BF95">
        <f t="shared" si="64"/>
        <v>0</v>
      </c>
    </row>
    <row r="96" spans="1:58" ht="15" customHeight="1">
      <c r="A96" s="110"/>
      <c r="B96" s="57"/>
      <c r="C96" s="98" t="s">
        <v>2523</v>
      </c>
      <c r="D96" s="796" t="str">
        <f>IF(CNSIPEE_2024_M2_Secc1!D49="","",CNSIPEE_2024_M2_Secc1!D49)</f>
        <v/>
      </c>
      <c r="E96" s="796"/>
      <c r="F96" s="796"/>
      <c r="G96" s="796"/>
      <c r="H96" s="796"/>
      <c r="I96" s="796"/>
      <c r="J96" s="796"/>
      <c r="K96" s="796"/>
      <c r="L96" s="796"/>
      <c r="M96" s="796"/>
      <c r="N96" s="796"/>
      <c r="O96" s="796"/>
      <c r="P96" s="100"/>
      <c r="Q96" s="100"/>
      <c r="R96" s="100"/>
      <c r="S96" s="100"/>
      <c r="T96" s="100"/>
      <c r="U96" s="100"/>
      <c r="V96" s="100"/>
      <c r="W96" s="100"/>
      <c r="X96" s="100"/>
      <c r="Y96" s="100"/>
      <c r="Z96" s="100"/>
      <c r="AA96" s="100"/>
      <c r="AB96" s="100"/>
      <c r="AC96" s="100"/>
      <c r="AD96" s="100"/>
      <c r="AG96">
        <f t="shared" si="47"/>
        <v>0</v>
      </c>
      <c r="AH96">
        <f t="shared" si="48"/>
        <v>0</v>
      </c>
      <c r="AK96">
        <f t="shared" si="49"/>
        <v>0</v>
      </c>
      <c r="AL96">
        <f t="shared" si="50"/>
        <v>0</v>
      </c>
      <c r="AM96">
        <f t="shared" si="51"/>
        <v>0</v>
      </c>
      <c r="AN96">
        <f t="shared" si="52"/>
        <v>0</v>
      </c>
      <c r="AO96">
        <f t="shared" si="53"/>
        <v>0</v>
      </c>
      <c r="AP96">
        <f t="shared" si="54"/>
        <v>0</v>
      </c>
      <c r="AQ96">
        <f t="shared" si="55"/>
        <v>0</v>
      </c>
      <c r="AR96">
        <f t="shared" si="56"/>
        <v>0</v>
      </c>
      <c r="AS96">
        <f t="shared" si="57"/>
        <v>0</v>
      </c>
      <c r="AT96">
        <f t="shared" si="58"/>
        <v>0</v>
      </c>
      <c r="AU96">
        <f t="shared" si="59"/>
        <v>0</v>
      </c>
      <c r="AV96">
        <f t="shared" si="60"/>
        <v>0</v>
      </c>
      <c r="AW96">
        <f t="shared" si="61"/>
        <v>0</v>
      </c>
      <c r="AX96">
        <f t="shared" si="62"/>
        <v>0</v>
      </c>
      <c r="AY96">
        <f t="shared" si="63"/>
        <v>0</v>
      </c>
      <c r="BF96">
        <f t="shared" si="64"/>
        <v>0</v>
      </c>
    </row>
    <row r="97" spans="1:58" ht="15" customHeight="1">
      <c r="A97" s="49"/>
      <c r="B97" s="38"/>
      <c r="C97" s="38"/>
      <c r="D97" s="38"/>
      <c r="E97" s="38"/>
      <c r="F97" s="38"/>
      <c r="G97" s="38"/>
      <c r="H97" s="38"/>
      <c r="I97" s="38"/>
      <c r="J97" s="38"/>
      <c r="K97" s="38"/>
      <c r="L97" s="99"/>
      <c r="M97" s="104"/>
      <c r="N97" s="104"/>
      <c r="O97" s="99" t="s">
        <v>2649</v>
      </c>
      <c r="P97" s="124">
        <f t="shared" ref="P97:AD97" si="65">IF(AND(SUM(P89:P96)=0,COUNTIF(P89:P96,"NS")&gt;0),"NS",IF(AND(SUM(P89:P96)=0,COUNTIF(P89:P96,0)&gt;0),0,IF(AND(SUM(P89:P96)=0,COUNTIF(P89:P96,"NA")&gt;0),"NA",SUM(P89:P96))))</f>
        <v>0</v>
      </c>
      <c r="Q97" s="124">
        <f t="shared" si="65"/>
        <v>0</v>
      </c>
      <c r="R97" s="124">
        <f t="shared" si="65"/>
        <v>0</v>
      </c>
      <c r="S97" s="124">
        <f t="shared" si="65"/>
        <v>0</v>
      </c>
      <c r="T97" s="124">
        <f t="shared" si="65"/>
        <v>0</v>
      </c>
      <c r="U97" s="124">
        <f t="shared" si="65"/>
        <v>0</v>
      </c>
      <c r="V97" s="124">
        <f t="shared" si="65"/>
        <v>0</v>
      </c>
      <c r="W97" s="124">
        <f t="shared" si="65"/>
        <v>0</v>
      </c>
      <c r="X97" s="124">
        <f t="shared" si="65"/>
        <v>0</v>
      </c>
      <c r="Y97" s="124">
        <f t="shared" si="65"/>
        <v>0</v>
      </c>
      <c r="Z97" s="124">
        <f t="shared" si="65"/>
        <v>0</v>
      </c>
      <c r="AA97" s="124">
        <f t="shared" si="65"/>
        <v>0</v>
      </c>
      <c r="AB97" s="124">
        <f t="shared" si="65"/>
        <v>0</v>
      </c>
      <c r="AC97" s="124">
        <f t="shared" si="65"/>
        <v>0</v>
      </c>
      <c r="AD97" s="124">
        <f t="shared" si="65"/>
        <v>0</v>
      </c>
      <c r="AG97" s="507">
        <f>SUM(AG89:AG96)</f>
        <v>0</v>
      </c>
      <c r="AH97" s="507">
        <f>SUM(AH89:AH96)</f>
        <v>0</v>
      </c>
      <c r="AK97">
        <f>SUM(AK89:AK96)</f>
        <v>0</v>
      </c>
      <c r="AM97">
        <f>SUM(AM89:AM96)</f>
        <v>0</v>
      </c>
      <c r="AN97">
        <f>SUM(AN89:AN96)</f>
        <v>0</v>
      </c>
      <c r="AP97">
        <f>SUM(AP89:AP96)</f>
        <v>0</v>
      </c>
      <c r="AQ97">
        <f>SUM(AQ89:AQ96)</f>
        <v>0</v>
      </c>
      <c r="AS97">
        <f>SUM(AS89:AS96)</f>
        <v>0</v>
      </c>
      <c r="AT97">
        <f>SUM(AT89:AT96)</f>
        <v>0</v>
      </c>
      <c r="AV97">
        <f>SUM(AV89:AV96)</f>
        <v>0</v>
      </c>
      <c r="AW97">
        <f>SUM(AW89:AW96)</f>
        <v>0</v>
      </c>
      <c r="AY97">
        <f>SUM(AY89:AY96)</f>
        <v>0</v>
      </c>
      <c r="BF97" s="506">
        <f>SUM(BF89:BF96)</f>
        <v>0</v>
      </c>
    </row>
    <row r="98" spans="1:58" ht="15" customHeight="1">
      <c r="A98" s="49"/>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K98" t="s">
        <v>2650</v>
      </c>
      <c r="AL98" s="405">
        <f>SUM(AM97,AP97,AS97,AV97,AY97)</f>
        <v>0</v>
      </c>
      <c r="AM98" t="s">
        <v>2651</v>
      </c>
      <c r="AN98">
        <f>SUM(AK97,AN97,AQ97,AT97,AW97)</f>
        <v>0</v>
      </c>
    </row>
    <row r="99" spans="1:58" ht="15" customHeight="1">
      <c r="A99" s="49"/>
      <c r="B99" s="38"/>
      <c r="C99" s="75"/>
      <c r="D99" s="75"/>
      <c r="E99" s="75"/>
      <c r="F99" s="75"/>
      <c r="G99" s="75"/>
      <c r="H99" s="75"/>
      <c r="I99" s="75"/>
      <c r="J99" s="75"/>
      <c r="K99" s="75"/>
      <c r="L99" s="75"/>
      <c r="M99" s="75"/>
      <c r="N99" s="75"/>
      <c r="O99" s="75"/>
      <c r="P99" s="75"/>
      <c r="Q99" s="75"/>
      <c r="R99" s="75"/>
      <c r="S99" s="75"/>
      <c r="T99" s="75"/>
      <c r="U99" s="75"/>
      <c r="V99" s="75"/>
      <c r="W99" s="75"/>
      <c r="X99" s="75"/>
      <c r="Y99" s="75"/>
      <c r="Z99" s="75"/>
      <c r="AA99" s="873" t="s">
        <v>2668</v>
      </c>
      <c r="AB99" s="873"/>
      <c r="AC99" s="873"/>
      <c r="AD99" s="873"/>
      <c r="AK99" t="s">
        <v>2652</v>
      </c>
      <c r="AL99">
        <f>IF(AN98&gt;0,IF(SUM(P97)&gt;=SUM(S97,V97,Y97,AB97),0,1),IF(SUM(P97)&lt;&gt;SUM(S97,V97,Y97,AB97),1,0))</f>
        <v>0</v>
      </c>
      <c r="AM99" t="s">
        <v>2653</v>
      </c>
      <c r="AN99">
        <f>IF(AN98&gt;0,IF(SUM(Q97)&gt;=SUM(T97,W97,Z97,AC97),0,1),IF(SUM(Q97)&lt;&gt;SUM(T97,W97,Z97,AC97),1,0))</f>
        <v>0</v>
      </c>
      <c r="AO99" t="s">
        <v>2654</v>
      </c>
      <c r="AP99">
        <f>IF(AN98&gt;0,IF(SUM(R97)&gt;=SUM(U97,X97,AA97,AD97),0,1),IF(SUM(R97)&lt;&gt;SUM(U97,X97,AA97,AD97),1,0))</f>
        <v>0</v>
      </c>
    </row>
    <row r="100" spans="1:58" ht="36" customHeight="1">
      <c r="A100" s="49"/>
      <c r="B100" s="38"/>
      <c r="C100" s="797" t="s">
        <v>2581</v>
      </c>
      <c r="D100" s="798"/>
      <c r="E100" s="798"/>
      <c r="F100" s="798"/>
      <c r="G100" s="798"/>
      <c r="H100" s="798"/>
      <c r="I100" s="798"/>
      <c r="J100" s="798"/>
      <c r="K100" s="798"/>
      <c r="L100" s="798"/>
      <c r="M100" s="798"/>
      <c r="N100" s="798"/>
      <c r="O100" s="798"/>
      <c r="P100" s="798"/>
      <c r="Q100" s="798"/>
      <c r="R100" s="798"/>
      <c r="S100" s="798"/>
      <c r="T100" s="798"/>
      <c r="U100" s="799"/>
      <c r="V100" s="739" t="s">
        <v>5173</v>
      </c>
      <c r="W100" s="740"/>
      <c r="X100" s="740"/>
      <c r="Y100" s="740"/>
      <c r="Z100" s="740"/>
      <c r="AA100" s="740"/>
      <c r="AB100" s="740"/>
      <c r="AC100" s="740"/>
      <c r="AD100" s="741"/>
    </row>
    <row r="101" spans="1:58" ht="24" customHeight="1">
      <c r="A101" s="49"/>
      <c r="B101" s="38"/>
      <c r="C101" s="800"/>
      <c r="D101" s="801"/>
      <c r="E101" s="801"/>
      <c r="F101" s="801"/>
      <c r="G101" s="801"/>
      <c r="H101" s="801"/>
      <c r="I101" s="801"/>
      <c r="J101" s="801"/>
      <c r="K101" s="801"/>
      <c r="L101" s="801"/>
      <c r="M101" s="801"/>
      <c r="N101" s="801"/>
      <c r="O101" s="801"/>
      <c r="P101" s="801"/>
      <c r="Q101" s="801"/>
      <c r="R101" s="801"/>
      <c r="S101" s="801"/>
      <c r="T101" s="801"/>
      <c r="U101" s="802"/>
      <c r="V101" s="733" t="s">
        <v>4593</v>
      </c>
      <c r="W101" s="734"/>
      <c r="X101" s="734"/>
      <c r="Y101" s="734"/>
      <c r="Z101" s="734"/>
      <c r="AA101" s="734"/>
      <c r="AB101" s="734"/>
      <c r="AC101" s="734"/>
      <c r="AD101" s="735"/>
    </row>
    <row r="102" spans="1:58" ht="96" customHeight="1">
      <c r="A102" s="110"/>
      <c r="B102" s="57"/>
      <c r="C102" s="800"/>
      <c r="D102" s="801"/>
      <c r="E102" s="801"/>
      <c r="F102" s="801"/>
      <c r="G102" s="801"/>
      <c r="H102" s="801"/>
      <c r="I102" s="801"/>
      <c r="J102" s="801"/>
      <c r="K102" s="801"/>
      <c r="L102" s="801"/>
      <c r="M102" s="801"/>
      <c r="N102" s="801"/>
      <c r="O102" s="801"/>
      <c r="P102" s="801"/>
      <c r="Q102" s="801"/>
      <c r="R102" s="801"/>
      <c r="S102" s="801"/>
      <c r="T102" s="801"/>
      <c r="U102" s="802"/>
      <c r="V102" s="858" t="s">
        <v>5174</v>
      </c>
      <c r="W102" s="859"/>
      <c r="X102" s="860"/>
      <c r="Y102" s="857" t="s">
        <v>5175</v>
      </c>
      <c r="Z102" s="857"/>
      <c r="AA102" s="857"/>
      <c r="AB102" s="857" t="s">
        <v>5178</v>
      </c>
      <c r="AC102" s="857"/>
      <c r="AD102" s="857"/>
    </row>
    <row r="103" spans="1:58" ht="48" customHeight="1">
      <c r="A103" s="110"/>
      <c r="B103" s="57"/>
      <c r="C103" s="803"/>
      <c r="D103" s="804"/>
      <c r="E103" s="804"/>
      <c r="F103" s="804"/>
      <c r="G103" s="804"/>
      <c r="H103" s="804"/>
      <c r="I103" s="804"/>
      <c r="J103" s="804"/>
      <c r="K103" s="804"/>
      <c r="L103" s="804"/>
      <c r="M103" s="804"/>
      <c r="N103" s="804"/>
      <c r="O103" s="804"/>
      <c r="P103" s="804"/>
      <c r="Q103" s="804"/>
      <c r="R103" s="804"/>
      <c r="S103" s="804"/>
      <c r="T103" s="804"/>
      <c r="U103" s="805"/>
      <c r="V103" s="127" t="s">
        <v>2635</v>
      </c>
      <c r="W103" s="128" t="s">
        <v>2629</v>
      </c>
      <c r="X103" s="128" t="s">
        <v>2630</v>
      </c>
      <c r="Y103" s="127" t="s">
        <v>2635</v>
      </c>
      <c r="Z103" s="128" t="s">
        <v>2629</v>
      </c>
      <c r="AA103" s="128" t="s">
        <v>2630</v>
      </c>
      <c r="AB103" s="127" t="s">
        <v>2635</v>
      </c>
      <c r="AC103" s="128" t="s">
        <v>2629</v>
      </c>
      <c r="AD103" s="128" t="s">
        <v>2630</v>
      </c>
      <c r="AK103" t="s">
        <v>4573</v>
      </c>
      <c r="AL103" t="s">
        <v>2638</v>
      </c>
      <c r="AM103" t="s">
        <v>2639</v>
      </c>
      <c r="AN103" t="s">
        <v>4574</v>
      </c>
      <c r="AO103" t="s">
        <v>2641</v>
      </c>
      <c r="AP103" t="s">
        <v>2642</v>
      </c>
      <c r="AQ103" t="s">
        <v>4575</v>
      </c>
      <c r="AR103" t="s">
        <v>2644</v>
      </c>
      <c r="AS103" t="s">
        <v>2645</v>
      </c>
    </row>
    <row r="104" spans="1:58" ht="15" customHeight="1">
      <c r="A104" s="110"/>
      <c r="B104" s="57"/>
      <c r="C104" s="97" t="s">
        <v>2516</v>
      </c>
      <c r="D104" s="796" t="str">
        <f>IF(CNSIPEE_2024_M2_Secc1!D42="","",CNSIPEE_2024_M2_Secc1!D42)</f>
        <v/>
      </c>
      <c r="E104" s="796"/>
      <c r="F104" s="796"/>
      <c r="G104" s="796"/>
      <c r="H104" s="796"/>
      <c r="I104" s="796"/>
      <c r="J104" s="796"/>
      <c r="K104" s="796"/>
      <c r="L104" s="796"/>
      <c r="M104" s="796"/>
      <c r="N104" s="796"/>
      <c r="O104" s="796"/>
      <c r="P104" s="796"/>
      <c r="Q104" s="796"/>
      <c r="R104" s="796"/>
      <c r="S104" s="796"/>
      <c r="T104" s="796"/>
      <c r="U104" s="796"/>
      <c r="V104" s="100"/>
      <c r="W104" s="100"/>
      <c r="X104" s="100"/>
      <c r="Y104" s="100"/>
      <c r="Z104" s="100"/>
      <c r="AA104" s="100"/>
      <c r="AB104" s="100"/>
      <c r="AC104" s="100"/>
      <c r="AD104" s="100"/>
      <c r="AK104">
        <f t="shared" ref="AK104" si="66">COUNTIF(W104:X104,"NS")</f>
        <v>0</v>
      </c>
      <c r="AL104">
        <f t="shared" ref="AL104" si="67">SUM(W104:X104)</f>
        <v>0</v>
      </c>
      <c r="AM104">
        <f>IF(COUNTIF(V104:X104,"NA")=3,0,IF(COUNTA(V104:X104)=0,0,IF(OR(AND(V104=0,AK104&gt;0),AND(V104="ns",AL104&gt;0),AND(V104="ns",AK104=0,AL104=0)),1,IF(OR(AND(V104&gt;0,AK104=2),AND(V104="ns",AK104=2),AND(V104="ns",AL104=0,AK104&gt;0),V104=AL104),0,1))))</f>
        <v>0</v>
      </c>
      <c r="AN104">
        <f t="shared" ref="AN104" si="68">COUNTIF(Z104:AA104,"NS")</f>
        <v>0</v>
      </c>
      <c r="AO104">
        <f t="shared" ref="AO104" si="69">SUM(Z104:AA104)</f>
        <v>0</v>
      </c>
      <c r="AP104">
        <f t="shared" ref="AP104" si="70">IF(COUNTIF(Y104:AA104,"NA")=3,0,IF(COUNTA(Y104:AA104)=0,0,IF(OR(AND(Y104=0,AN104&gt;0),AND(Y104="ns",AO104&gt;0),AND(Y104="ns",AN104=0,AO104=0)),1,IF(OR(AND(Y104&gt;0,AN104=2),AND(Y104="ns",AN104=2),AND(Y104="ns",AO104=0,AN104&gt;0),Y104=AO104),0,1))))</f>
        <v>0</v>
      </c>
      <c r="AQ104">
        <f t="shared" ref="AQ104" si="71">COUNTIF(AC104:AD104,"NS")</f>
        <v>0</v>
      </c>
      <c r="AR104">
        <f t="shared" ref="AR104" si="72">SUM(AC104:AD104)</f>
        <v>0</v>
      </c>
      <c r="AS104">
        <f t="shared" ref="AS104" si="73">IF(COUNTIF(AB104:AD104,"NA")=3,0,IF(COUNTA(AB104:AD104)=0,0,IF(OR(AND(AB104=0,AQ104&gt;0),AND(AB104="ns",AR104&gt;0),AND(AB104="ns",AQ104=0,AR104=0)),1,IF(OR(AND(AB104&gt;0,AQ104=2),AND(AB104="ns",AQ104=2),AND(AB104="ns",AR104=0,AQ104&gt;0),AB104=AR104),0,1))))</f>
        <v>0</v>
      </c>
    </row>
    <row r="105" spans="1:58" ht="15" customHeight="1">
      <c r="A105" s="110"/>
      <c r="B105" s="57"/>
      <c r="C105" s="98" t="s">
        <v>2517</v>
      </c>
      <c r="D105" s="796" t="str">
        <f>IF(CNSIPEE_2024_M2_Secc1!D43="","",CNSIPEE_2024_M2_Secc1!D43)</f>
        <v/>
      </c>
      <c r="E105" s="796"/>
      <c r="F105" s="796"/>
      <c r="G105" s="796"/>
      <c r="H105" s="796"/>
      <c r="I105" s="796"/>
      <c r="J105" s="796"/>
      <c r="K105" s="796"/>
      <c r="L105" s="796"/>
      <c r="M105" s="796"/>
      <c r="N105" s="796"/>
      <c r="O105" s="796"/>
      <c r="P105" s="796"/>
      <c r="Q105" s="796"/>
      <c r="R105" s="796"/>
      <c r="S105" s="796"/>
      <c r="T105" s="796"/>
      <c r="U105" s="796"/>
      <c r="V105" s="100"/>
      <c r="W105" s="100"/>
      <c r="X105" s="100"/>
      <c r="Y105" s="100"/>
      <c r="Z105" s="100"/>
      <c r="AA105" s="100"/>
      <c r="AB105" s="100"/>
      <c r="AC105" s="100"/>
      <c r="AD105" s="100"/>
      <c r="AK105">
        <f t="shared" ref="AK105:AK111" si="74">COUNTIF(W105:X105,"NS")</f>
        <v>0</v>
      </c>
      <c r="AL105">
        <f t="shared" ref="AL105:AL111" si="75">SUM(W105:X105)</f>
        <v>0</v>
      </c>
      <c r="AM105">
        <f t="shared" ref="AM105:AM111" si="76">IF(COUNTIF(V105:X105,"NA")=3,0,IF(COUNTA(V105:X105)=0,0,IF(OR(AND(V105=0,AK105&gt;0),AND(V105="ns",AL105&gt;0),AND(V105="ns",AK105=0,AL105=0)),1,IF(OR(AND(V105&gt;0,AK105=2),AND(V105="ns",AK105=2),AND(V105="ns",AL105=0,AK105&gt;0),V105=AL105),0,1))))</f>
        <v>0</v>
      </c>
      <c r="AN105">
        <f t="shared" ref="AN105:AN111" si="77">COUNTIF(Z105:AA105,"NS")</f>
        <v>0</v>
      </c>
      <c r="AO105">
        <f t="shared" ref="AO105:AO111" si="78">SUM(Z105:AA105)</f>
        <v>0</v>
      </c>
      <c r="AP105">
        <f t="shared" ref="AP105:AP111" si="79">IF(COUNTIF(Y105:AA105,"NA")=3,0,IF(COUNTA(Y105:AA105)=0,0,IF(OR(AND(Y105=0,AN105&gt;0),AND(Y105="ns",AO105&gt;0),AND(Y105="ns",AN105=0,AO105=0)),1,IF(OR(AND(Y105&gt;0,AN105=2),AND(Y105="ns",AN105=2),AND(Y105="ns",AO105=0,AN105&gt;0),Y105=AO105),0,1))))</f>
        <v>0</v>
      </c>
      <c r="AQ105">
        <f t="shared" ref="AQ105:AQ111" si="80">COUNTIF(AC105:AD105,"NS")</f>
        <v>0</v>
      </c>
      <c r="AR105">
        <f t="shared" ref="AR105:AR111" si="81">SUM(AC105:AD105)</f>
        <v>0</v>
      </c>
      <c r="AS105">
        <f t="shared" ref="AS105:AS111" si="82">IF(COUNTIF(AB105:AD105,"NA")=3,0,IF(COUNTA(AB105:AD105)=0,0,IF(OR(AND(AB105=0,AQ105&gt;0),AND(AB105="ns",AR105&gt;0),AND(AB105="ns",AQ105=0,AR105=0)),1,IF(OR(AND(AB105&gt;0,AQ105=2),AND(AB105="ns",AQ105=2),AND(AB105="ns",AR105=0,AQ105&gt;0),AB105=AR105),0,1))))</f>
        <v>0</v>
      </c>
    </row>
    <row r="106" spans="1:58" ht="15" customHeight="1">
      <c r="A106" s="110"/>
      <c r="B106" s="57"/>
      <c r="C106" s="98" t="s">
        <v>2518</v>
      </c>
      <c r="D106" s="796" t="str">
        <f>IF(CNSIPEE_2024_M2_Secc1!D44="","",CNSIPEE_2024_M2_Secc1!D44)</f>
        <v/>
      </c>
      <c r="E106" s="796"/>
      <c r="F106" s="796"/>
      <c r="G106" s="796"/>
      <c r="H106" s="796"/>
      <c r="I106" s="796"/>
      <c r="J106" s="796"/>
      <c r="K106" s="796"/>
      <c r="L106" s="796"/>
      <c r="M106" s="796"/>
      <c r="N106" s="796"/>
      <c r="O106" s="796"/>
      <c r="P106" s="796"/>
      <c r="Q106" s="796"/>
      <c r="R106" s="796"/>
      <c r="S106" s="796"/>
      <c r="T106" s="796"/>
      <c r="U106" s="796"/>
      <c r="V106" s="100"/>
      <c r="W106" s="100"/>
      <c r="X106" s="100"/>
      <c r="Y106" s="100"/>
      <c r="Z106" s="100"/>
      <c r="AA106" s="100"/>
      <c r="AB106" s="100"/>
      <c r="AC106" s="100"/>
      <c r="AD106" s="100"/>
      <c r="AK106">
        <f t="shared" si="74"/>
        <v>0</v>
      </c>
      <c r="AL106">
        <f t="shared" si="75"/>
        <v>0</v>
      </c>
      <c r="AM106">
        <f t="shared" si="76"/>
        <v>0</v>
      </c>
      <c r="AN106">
        <f t="shared" si="77"/>
        <v>0</v>
      </c>
      <c r="AO106">
        <f t="shared" si="78"/>
        <v>0</v>
      </c>
      <c r="AP106">
        <f t="shared" si="79"/>
        <v>0</v>
      </c>
      <c r="AQ106">
        <f t="shared" si="80"/>
        <v>0</v>
      </c>
      <c r="AR106">
        <f t="shared" si="81"/>
        <v>0</v>
      </c>
      <c r="AS106">
        <f t="shared" si="82"/>
        <v>0</v>
      </c>
    </row>
    <row r="107" spans="1:58" ht="15" customHeight="1">
      <c r="A107" s="110"/>
      <c r="B107" s="57"/>
      <c r="C107" s="98" t="s">
        <v>2519</v>
      </c>
      <c r="D107" s="796" t="str">
        <f>IF(CNSIPEE_2024_M2_Secc1!D45="","",CNSIPEE_2024_M2_Secc1!D45)</f>
        <v/>
      </c>
      <c r="E107" s="796"/>
      <c r="F107" s="796"/>
      <c r="G107" s="796"/>
      <c r="H107" s="796"/>
      <c r="I107" s="796"/>
      <c r="J107" s="796"/>
      <c r="K107" s="796"/>
      <c r="L107" s="796"/>
      <c r="M107" s="796"/>
      <c r="N107" s="796"/>
      <c r="O107" s="796"/>
      <c r="P107" s="796"/>
      <c r="Q107" s="796"/>
      <c r="R107" s="796"/>
      <c r="S107" s="796"/>
      <c r="T107" s="796"/>
      <c r="U107" s="796"/>
      <c r="V107" s="100"/>
      <c r="W107" s="100"/>
      <c r="X107" s="100"/>
      <c r="Y107" s="100"/>
      <c r="Z107" s="100"/>
      <c r="AA107" s="100"/>
      <c r="AB107" s="100"/>
      <c r="AC107" s="100"/>
      <c r="AD107" s="100"/>
      <c r="AK107">
        <f t="shared" si="74"/>
        <v>0</v>
      </c>
      <c r="AL107">
        <f t="shared" si="75"/>
        <v>0</v>
      </c>
      <c r="AM107">
        <f t="shared" si="76"/>
        <v>0</v>
      </c>
      <c r="AN107">
        <f t="shared" si="77"/>
        <v>0</v>
      </c>
      <c r="AO107">
        <f t="shared" si="78"/>
        <v>0</v>
      </c>
      <c r="AP107">
        <f t="shared" si="79"/>
        <v>0</v>
      </c>
      <c r="AQ107">
        <f t="shared" si="80"/>
        <v>0</v>
      </c>
      <c r="AR107">
        <f t="shared" si="81"/>
        <v>0</v>
      </c>
      <c r="AS107">
        <f t="shared" si="82"/>
        <v>0</v>
      </c>
    </row>
    <row r="108" spans="1:58" ht="15" customHeight="1">
      <c r="A108" s="110"/>
      <c r="B108" s="57"/>
      <c r="C108" s="98" t="s">
        <v>2520</v>
      </c>
      <c r="D108" s="796" t="str">
        <f>IF(CNSIPEE_2024_M2_Secc1!D46="","",CNSIPEE_2024_M2_Secc1!D46)</f>
        <v/>
      </c>
      <c r="E108" s="796"/>
      <c r="F108" s="796"/>
      <c r="G108" s="796"/>
      <c r="H108" s="796"/>
      <c r="I108" s="796"/>
      <c r="J108" s="796"/>
      <c r="K108" s="796"/>
      <c r="L108" s="796"/>
      <c r="M108" s="796"/>
      <c r="N108" s="796"/>
      <c r="O108" s="796"/>
      <c r="P108" s="796"/>
      <c r="Q108" s="796"/>
      <c r="R108" s="796"/>
      <c r="S108" s="796"/>
      <c r="T108" s="796"/>
      <c r="U108" s="796"/>
      <c r="V108" s="100"/>
      <c r="W108" s="100"/>
      <c r="X108" s="100"/>
      <c r="Y108" s="100"/>
      <c r="Z108" s="100"/>
      <c r="AA108" s="100"/>
      <c r="AB108" s="100"/>
      <c r="AC108" s="100"/>
      <c r="AD108" s="100"/>
      <c r="AK108">
        <f t="shared" si="74"/>
        <v>0</v>
      </c>
      <c r="AL108">
        <f t="shared" si="75"/>
        <v>0</v>
      </c>
      <c r="AM108">
        <f t="shared" si="76"/>
        <v>0</v>
      </c>
      <c r="AN108">
        <f t="shared" si="77"/>
        <v>0</v>
      </c>
      <c r="AO108">
        <f t="shared" si="78"/>
        <v>0</v>
      </c>
      <c r="AP108">
        <f t="shared" si="79"/>
        <v>0</v>
      </c>
      <c r="AQ108">
        <f t="shared" si="80"/>
        <v>0</v>
      </c>
      <c r="AR108">
        <f t="shared" si="81"/>
        <v>0</v>
      </c>
      <c r="AS108">
        <f t="shared" si="82"/>
        <v>0</v>
      </c>
    </row>
    <row r="109" spans="1:58" ht="15" customHeight="1">
      <c r="A109" s="110"/>
      <c r="B109" s="57"/>
      <c r="C109" s="98" t="s">
        <v>2521</v>
      </c>
      <c r="D109" s="796" t="str">
        <f>IF(CNSIPEE_2024_M2_Secc1!D47="","",CNSIPEE_2024_M2_Secc1!D47)</f>
        <v/>
      </c>
      <c r="E109" s="796"/>
      <c r="F109" s="796"/>
      <c r="G109" s="796"/>
      <c r="H109" s="796"/>
      <c r="I109" s="796"/>
      <c r="J109" s="796"/>
      <c r="K109" s="796"/>
      <c r="L109" s="796"/>
      <c r="M109" s="796"/>
      <c r="N109" s="796"/>
      <c r="O109" s="796"/>
      <c r="P109" s="796"/>
      <c r="Q109" s="796"/>
      <c r="R109" s="796"/>
      <c r="S109" s="796"/>
      <c r="T109" s="796"/>
      <c r="U109" s="796"/>
      <c r="V109" s="100"/>
      <c r="W109" s="100"/>
      <c r="X109" s="100"/>
      <c r="Y109" s="100"/>
      <c r="Z109" s="100"/>
      <c r="AA109" s="100"/>
      <c r="AB109" s="100"/>
      <c r="AC109" s="100"/>
      <c r="AD109" s="100"/>
      <c r="AK109">
        <f t="shared" si="74"/>
        <v>0</v>
      </c>
      <c r="AL109">
        <f t="shared" si="75"/>
        <v>0</v>
      </c>
      <c r="AM109">
        <f t="shared" si="76"/>
        <v>0</v>
      </c>
      <c r="AN109">
        <f t="shared" si="77"/>
        <v>0</v>
      </c>
      <c r="AO109">
        <f t="shared" si="78"/>
        <v>0</v>
      </c>
      <c r="AP109">
        <f t="shared" si="79"/>
        <v>0</v>
      </c>
      <c r="AQ109">
        <f t="shared" si="80"/>
        <v>0</v>
      </c>
      <c r="AR109">
        <f t="shared" si="81"/>
        <v>0</v>
      </c>
      <c r="AS109">
        <f t="shared" si="82"/>
        <v>0</v>
      </c>
    </row>
    <row r="110" spans="1:58" ht="15" customHeight="1">
      <c r="A110" s="110"/>
      <c r="B110" s="57"/>
      <c r="C110" s="98" t="s">
        <v>2522</v>
      </c>
      <c r="D110" s="796" t="str">
        <f>IF(CNSIPEE_2024_M2_Secc1!D48="","",CNSIPEE_2024_M2_Secc1!D48)</f>
        <v/>
      </c>
      <c r="E110" s="796"/>
      <c r="F110" s="796"/>
      <c r="G110" s="796"/>
      <c r="H110" s="796"/>
      <c r="I110" s="796"/>
      <c r="J110" s="796"/>
      <c r="K110" s="796"/>
      <c r="L110" s="796"/>
      <c r="M110" s="796"/>
      <c r="N110" s="796"/>
      <c r="O110" s="796"/>
      <c r="P110" s="796"/>
      <c r="Q110" s="796"/>
      <c r="R110" s="796"/>
      <c r="S110" s="796"/>
      <c r="T110" s="796"/>
      <c r="U110" s="796"/>
      <c r="V110" s="100"/>
      <c r="W110" s="100"/>
      <c r="X110" s="100"/>
      <c r="Y110" s="100"/>
      <c r="Z110" s="100"/>
      <c r="AA110" s="100"/>
      <c r="AB110" s="100"/>
      <c r="AC110" s="100"/>
      <c r="AD110" s="100"/>
      <c r="AK110">
        <f t="shared" si="74"/>
        <v>0</v>
      </c>
      <c r="AL110">
        <f t="shared" si="75"/>
        <v>0</v>
      </c>
      <c r="AM110">
        <f t="shared" si="76"/>
        <v>0</v>
      </c>
      <c r="AN110">
        <f t="shared" si="77"/>
        <v>0</v>
      </c>
      <c r="AO110">
        <f t="shared" si="78"/>
        <v>0</v>
      </c>
      <c r="AP110">
        <f t="shared" si="79"/>
        <v>0</v>
      </c>
      <c r="AQ110">
        <f t="shared" si="80"/>
        <v>0</v>
      </c>
      <c r="AR110">
        <f t="shared" si="81"/>
        <v>0</v>
      </c>
      <c r="AS110">
        <f t="shared" si="82"/>
        <v>0</v>
      </c>
    </row>
    <row r="111" spans="1:58" ht="15" customHeight="1">
      <c r="A111" s="110"/>
      <c r="B111" s="57"/>
      <c r="C111" s="98" t="s">
        <v>2523</v>
      </c>
      <c r="D111" s="796" t="str">
        <f>IF(CNSIPEE_2024_M2_Secc1!D49="","",CNSIPEE_2024_M2_Secc1!D49)</f>
        <v/>
      </c>
      <c r="E111" s="796"/>
      <c r="F111" s="796"/>
      <c r="G111" s="796"/>
      <c r="H111" s="796"/>
      <c r="I111" s="796"/>
      <c r="J111" s="796"/>
      <c r="K111" s="796"/>
      <c r="L111" s="796"/>
      <c r="M111" s="796"/>
      <c r="N111" s="796"/>
      <c r="O111" s="796"/>
      <c r="P111" s="796"/>
      <c r="Q111" s="796"/>
      <c r="R111" s="796"/>
      <c r="S111" s="796"/>
      <c r="T111" s="796"/>
      <c r="U111" s="796"/>
      <c r="V111" s="100"/>
      <c r="W111" s="100"/>
      <c r="X111" s="100"/>
      <c r="Y111" s="100"/>
      <c r="Z111" s="100"/>
      <c r="AA111" s="100"/>
      <c r="AB111" s="100"/>
      <c r="AC111" s="100"/>
      <c r="AD111" s="100"/>
      <c r="AK111">
        <f t="shared" si="74"/>
        <v>0</v>
      </c>
      <c r="AL111">
        <f t="shared" si="75"/>
        <v>0</v>
      </c>
      <c r="AM111">
        <f t="shared" si="76"/>
        <v>0</v>
      </c>
      <c r="AN111">
        <f t="shared" si="77"/>
        <v>0</v>
      </c>
      <c r="AO111">
        <f t="shared" si="78"/>
        <v>0</v>
      </c>
      <c r="AP111">
        <f t="shared" si="79"/>
        <v>0</v>
      </c>
      <c r="AQ111">
        <f t="shared" si="80"/>
        <v>0</v>
      </c>
      <c r="AR111">
        <f t="shared" si="81"/>
        <v>0</v>
      </c>
      <c r="AS111">
        <f t="shared" si="82"/>
        <v>0</v>
      </c>
    </row>
    <row r="112" spans="1:58" ht="15" customHeight="1">
      <c r="A112" s="49"/>
      <c r="B112" s="38"/>
      <c r="C112" s="38"/>
      <c r="D112" s="38"/>
      <c r="E112" s="38"/>
      <c r="F112" s="38"/>
      <c r="G112" s="38"/>
      <c r="H112" s="38"/>
      <c r="I112" s="38"/>
      <c r="J112" s="38"/>
      <c r="K112" s="38"/>
      <c r="S112" s="104"/>
      <c r="T112" s="104"/>
      <c r="U112" s="104"/>
      <c r="V112" s="124">
        <f t="shared" ref="V112:AD112" si="83">IF(AND(SUM(V104:V111)=0,COUNTIF(V104:V111,"NS")&gt;0),"NS",IF(AND(SUM(V104:V111)=0,COUNTIF(V104:V111,0)&gt;0),0,IF(AND(SUM(V104:V111)=0,COUNTIF(V104:V111,"NA")&gt;0),"NA",SUM(V104:V111))))</f>
        <v>0</v>
      </c>
      <c r="W112" s="124">
        <f t="shared" si="83"/>
        <v>0</v>
      </c>
      <c r="X112" s="124">
        <f t="shared" si="83"/>
        <v>0</v>
      </c>
      <c r="Y112" s="124">
        <f t="shared" si="83"/>
        <v>0</v>
      </c>
      <c r="Z112" s="124">
        <f t="shared" si="83"/>
        <v>0</v>
      </c>
      <c r="AA112" s="124">
        <f t="shared" si="83"/>
        <v>0</v>
      </c>
      <c r="AB112" s="124">
        <f t="shared" si="83"/>
        <v>0</v>
      </c>
      <c r="AC112" s="124">
        <f t="shared" si="83"/>
        <v>0</v>
      </c>
      <c r="AD112" s="124">
        <f t="shared" si="83"/>
        <v>0</v>
      </c>
      <c r="AK112">
        <f>SUM(AK104:AK111)</f>
        <v>0</v>
      </c>
      <c r="AM112">
        <f>SUM(AM104:AM111)</f>
        <v>0</v>
      </c>
      <c r="AN112">
        <f>SUM(AN104:AN111)</f>
        <v>0</v>
      </c>
      <c r="AP112">
        <f>SUM(AP104:AP111)</f>
        <v>0</v>
      </c>
      <c r="AQ112">
        <f>SUM(AQ104:AQ111)</f>
        <v>0</v>
      </c>
      <c r="AS112">
        <f>SUM(AS104:AS111)</f>
        <v>0</v>
      </c>
    </row>
    <row r="113" spans="1:57" ht="15" customHeight="1">
      <c r="A113" s="10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K113" t="s">
        <v>2650</v>
      </c>
      <c r="AL113" s="405">
        <f>SUM(AM112,AP112,AS112)</f>
        <v>0</v>
      </c>
      <c r="AM113" t="s">
        <v>2651</v>
      </c>
      <c r="AN113">
        <f>SUM(AK112,AN112,AQ112)</f>
        <v>0</v>
      </c>
    </row>
    <row r="114" spans="1:57" ht="24" customHeight="1">
      <c r="A114" s="108"/>
      <c r="B114" s="38"/>
      <c r="C114" s="754" t="s">
        <v>2611</v>
      </c>
      <c r="D114" s="754"/>
      <c r="E114" s="754"/>
      <c r="F114" s="754"/>
      <c r="G114" s="754"/>
      <c r="H114" s="754"/>
      <c r="I114" s="754"/>
      <c r="J114" s="754"/>
      <c r="K114" s="754"/>
      <c r="L114" s="754"/>
      <c r="M114" s="754"/>
      <c r="N114" s="754"/>
      <c r="O114" s="754"/>
      <c r="P114" s="754"/>
      <c r="Q114" s="754"/>
      <c r="R114" s="754"/>
      <c r="S114" s="754"/>
      <c r="T114" s="754"/>
      <c r="U114" s="754"/>
      <c r="V114" s="754"/>
      <c r="W114" s="754"/>
      <c r="X114" s="754"/>
      <c r="Y114" s="754"/>
      <c r="Z114" s="754"/>
      <c r="AA114" s="754"/>
      <c r="AB114" s="754"/>
      <c r="AC114" s="754"/>
      <c r="AD114" s="754"/>
      <c r="AK114" t="s">
        <v>2652</v>
      </c>
      <c r="AL114">
        <f>IF(AN113&gt;0,IF(SUM(V112)&gt;=SUM(Y112,AB112),0,1),IF(SUM(V112)&lt;&gt;SUM(Y112,AB112),1,0))</f>
        <v>0</v>
      </c>
      <c r="AM114" t="s">
        <v>2653</v>
      </c>
      <c r="AN114">
        <f>IF(AN113&gt;0,IF(SUM(W112)&gt;=SUM(Z112,AC112),0,1),IF(SUM(W112)&lt;&gt;SUM(Z112,AC112),1,0))</f>
        <v>0</v>
      </c>
      <c r="AO114" t="s">
        <v>2654</v>
      </c>
      <c r="AP114">
        <f>IF(AN113&gt;0,IF(SUM(X112)&gt;=SUM(AA112,AD112),0,1),IF(SUM(X112)&lt;&gt;SUM(AA112,AD112),1,0))</f>
        <v>0</v>
      </c>
    </row>
    <row r="115" spans="1:57" ht="60" customHeight="1">
      <c r="A115" s="108"/>
      <c r="B115" s="38"/>
      <c r="C115" s="851"/>
      <c r="D115" s="851"/>
      <c r="E115" s="851"/>
      <c r="F115" s="851"/>
      <c r="G115" s="851"/>
      <c r="H115" s="851"/>
      <c r="I115" s="851"/>
      <c r="J115" s="851"/>
      <c r="K115" s="851"/>
      <c r="L115" s="851"/>
      <c r="M115" s="851"/>
      <c r="N115" s="851"/>
      <c r="O115" s="851"/>
      <c r="P115" s="851"/>
      <c r="Q115" s="851"/>
      <c r="R115" s="851"/>
      <c r="S115" s="851"/>
      <c r="T115" s="851"/>
      <c r="U115" s="851"/>
      <c r="V115" s="851"/>
      <c r="W115" s="851"/>
      <c r="X115" s="851"/>
      <c r="Y115" s="851"/>
      <c r="Z115" s="851"/>
      <c r="AA115" s="851"/>
      <c r="AB115" s="851"/>
      <c r="AC115" s="851"/>
      <c r="AD115" s="851"/>
      <c r="AK115" t="s">
        <v>5179</v>
      </c>
      <c r="AL115" s="506">
        <f>SUM(AL98,AL113)</f>
        <v>0</v>
      </c>
      <c r="AM115" t="s">
        <v>5180</v>
      </c>
      <c r="AN115">
        <f>SUM(AN98,AN113)</f>
        <v>0</v>
      </c>
    </row>
    <row r="116" spans="1:57" ht="15" customHeight="1">
      <c r="A116" s="108"/>
      <c r="B116" s="794" t="str">
        <f>IF(AG97=0,"","Favor de ingresar toda la información requerida en la pregunta")</f>
        <v/>
      </c>
      <c r="C116" s="794"/>
      <c r="D116" s="794"/>
      <c r="E116" s="794"/>
      <c r="F116" s="794"/>
      <c r="G116" s="794"/>
      <c r="H116" s="794"/>
      <c r="I116" s="794"/>
      <c r="J116" s="794"/>
      <c r="K116" s="794"/>
      <c r="L116" s="794"/>
      <c r="M116" s="794"/>
      <c r="N116" s="794"/>
      <c r="O116" s="794"/>
      <c r="P116" s="794"/>
      <c r="Q116" s="794"/>
      <c r="R116" s="794"/>
      <c r="S116" s="794"/>
      <c r="T116" s="794"/>
      <c r="U116" s="794"/>
      <c r="V116" s="794"/>
      <c r="W116" s="794"/>
      <c r="X116" s="794"/>
      <c r="Y116" s="794"/>
      <c r="Z116" s="794"/>
      <c r="AA116" s="794"/>
      <c r="AB116" s="794"/>
      <c r="AC116" s="794"/>
      <c r="AD116" s="794"/>
      <c r="AE116" s="794"/>
      <c r="AK116" t="s">
        <v>5181</v>
      </c>
      <c r="AL116" s="506">
        <f>IF(AN115&gt;0,IF(SUM(P97)&gt;=SUM(S97,V97,Y97,AB97,V112,Y112,AB112),0,1),IF(SUM(P97)&lt;&gt;SUM(S97,V97,Y97,AB97,V112,Y112,AB112),1,0))</f>
        <v>0</v>
      </c>
      <c r="AM116" t="s">
        <v>5182</v>
      </c>
      <c r="AN116" s="506">
        <f>IF(AN115&gt;0,IF(SUM(Q97)&gt;=SUM(T97,W97,Z97,AC97,W112,Z112,AC112),0,1),IF(SUM(Q97)&lt;&gt;SUM(T97,W97,Z97,AC97,W112,Z112,AC112),1,0))</f>
        <v>0</v>
      </c>
      <c r="AO116" t="s">
        <v>5183</v>
      </c>
      <c r="AP116" s="506">
        <f>IF(AN115&gt;0,IF(SUM(R97)&gt;=SUM(U97,X97,AA97,AD97,X112,AA112,AD112),0,1),IF(SUM(R97)&lt;&gt;SUM(U97,X97,AA97,AD97,X112,AA112,AD112),1,0))</f>
        <v>0</v>
      </c>
    </row>
    <row r="117" spans="1:57" ht="15" customHeight="1">
      <c r="A117" s="176"/>
      <c r="B117" s="1087" t="str">
        <f>IF(SUM(COUNTIF(P89:AD96,"NS"),COUNTIF(V104:AD111,"NS"))&lt;&gt;0,"Alerta: debido a que cuenta con registros NS, debe proporcionar una justificación en el area de comentarios al final de la pregunta","")</f>
        <v/>
      </c>
      <c r="C117" s="1087"/>
      <c r="D117" s="1087"/>
      <c r="E117" s="1087"/>
      <c r="F117" s="1087"/>
      <c r="G117" s="1087"/>
      <c r="H117" s="1087"/>
      <c r="I117" s="1087"/>
      <c r="J117" s="1087"/>
      <c r="K117" s="1087"/>
      <c r="L117" s="1087"/>
      <c r="M117" s="1087"/>
      <c r="N117" s="1087"/>
      <c r="O117" s="1087"/>
      <c r="P117" s="1087"/>
      <c r="Q117" s="1087"/>
      <c r="R117" s="1087"/>
      <c r="S117" s="1087"/>
      <c r="T117" s="1087"/>
      <c r="U117" s="1087"/>
      <c r="V117" s="1087"/>
      <c r="W117" s="1087"/>
      <c r="X117" s="1087"/>
      <c r="Y117" s="1087"/>
      <c r="Z117" s="1087"/>
      <c r="AA117" s="1087"/>
      <c r="AB117" s="1087"/>
      <c r="AC117" s="1087"/>
      <c r="AD117" s="1087"/>
      <c r="AE117" s="1087"/>
    </row>
    <row r="118" spans="1:57" ht="15" customHeight="1">
      <c r="A118" s="176"/>
      <c r="B118" s="1003" t="str">
        <f>IF(AH97&gt;0,"Revise la información capturada, ya que tiene datos ingresados en celdas que están sombreadas","")</f>
        <v/>
      </c>
      <c r="C118" s="1003"/>
      <c r="D118" s="1003"/>
      <c r="E118" s="1003"/>
      <c r="F118" s="1003"/>
      <c r="G118" s="1003"/>
      <c r="H118" s="1003"/>
      <c r="I118" s="1003"/>
      <c r="J118" s="1003"/>
      <c r="K118" s="1003"/>
      <c r="L118" s="1003"/>
      <c r="M118" s="1003"/>
      <c r="N118" s="1003"/>
      <c r="O118" s="1003"/>
      <c r="P118" s="1003"/>
      <c r="Q118" s="1003"/>
      <c r="R118" s="1003"/>
      <c r="S118" s="1003"/>
      <c r="T118" s="1003"/>
      <c r="U118" s="1003"/>
      <c r="V118" s="1003"/>
      <c r="W118" s="1003"/>
      <c r="X118" s="1003"/>
      <c r="Y118" s="1003"/>
      <c r="Z118" s="1003"/>
      <c r="AA118" s="1003"/>
      <c r="AB118" s="1003"/>
      <c r="AC118" s="1003"/>
      <c r="AD118" s="1003"/>
      <c r="AE118" s="1003"/>
    </row>
    <row r="119" spans="1:57" ht="15" customHeight="1">
      <c r="A119" s="176"/>
      <c r="B119" s="1003" t="str">
        <f>IF(OR(AL115&gt;0,AL116&gt;0,AN116&gt;0,AP116&gt;0),"Favor de revisar la suma y consistencia de totales y/o subtotales por filas (numéricos y NS)","")</f>
        <v/>
      </c>
      <c r="C119" s="1003"/>
      <c r="D119" s="1003"/>
      <c r="E119" s="1003"/>
      <c r="F119" s="1003"/>
      <c r="G119" s="1003"/>
      <c r="H119" s="1003"/>
      <c r="I119" s="1003"/>
      <c r="J119" s="1003"/>
      <c r="K119" s="1003"/>
      <c r="L119" s="1003"/>
      <c r="M119" s="1003"/>
      <c r="N119" s="1003"/>
      <c r="O119" s="1003"/>
      <c r="P119" s="1003"/>
      <c r="Q119" s="1003"/>
      <c r="R119" s="1003"/>
      <c r="S119" s="1003"/>
      <c r="T119" s="1003"/>
      <c r="U119" s="1003"/>
      <c r="V119" s="1003"/>
      <c r="W119" s="1003"/>
      <c r="X119" s="1003"/>
      <c r="Y119" s="1003"/>
      <c r="Z119" s="1003"/>
      <c r="AA119" s="1003"/>
      <c r="AB119" s="1003"/>
      <c r="AC119" s="1003"/>
      <c r="AD119" s="1003"/>
      <c r="AE119" s="1003"/>
    </row>
    <row r="120" spans="1:57" ht="15" customHeight="1">
      <c r="A120" s="108"/>
      <c r="B120" s="1003" t="str">
        <f>IF(BF97=0,"","Las cantidades de Hombres y Mujeres por centro especializado debe corresponder con los datos reportados en la preg. 8.1")</f>
        <v/>
      </c>
      <c r="C120" s="1003"/>
      <c r="D120" s="1003"/>
      <c r="E120" s="1003"/>
      <c r="F120" s="1003"/>
      <c r="G120" s="1003"/>
      <c r="H120" s="1003"/>
      <c r="I120" s="1003"/>
      <c r="J120" s="1003"/>
      <c r="K120" s="1003"/>
      <c r="L120" s="1003"/>
      <c r="M120" s="1003"/>
      <c r="N120" s="1003"/>
      <c r="O120" s="1003"/>
      <c r="P120" s="1003"/>
      <c r="Q120" s="1003"/>
      <c r="R120" s="1003"/>
      <c r="S120" s="1003"/>
      <c r="T120" s="1003"/>
      <c r="U120" s="1003"/>
      <c r="V120" s="1003"/>
      <c r="W120" s="1003"/>
      <c r="X120" s="1003"/>
      <c r="Y120" s="1003"/>
      <c r="Z120" s="1003"/>
      <c r="AA120" s="1003"/>
      <c r="AB120" s="1003"/>
      <c r="AC120" s="1003"/>
      <c r="AD120" s="1003"/>
      <c r="AE120" s="1003"/>
    </row>
    <row r="121" spans="1:57" ht="15" customHeight="1">
      <c r="A121" s="108"/>
      <c r="B121" s="57"/>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row>
    <row r="122" spans="1:57" ht="36" customHeight="1">
      <c r="A122" s="108" t="s">
        <v>5184</v>
      </c>
      <c r="B122" s="829" t="s">
        <v>5185</v>
      </c>
      <c r="C122" s="829"/>
      <c r="D122" s="829"/>
      <c r="E122" s="829"/>
      <c r="F122" s="829"/>
      <c r="G122" s="829"/>
      <c r="H122" s="829"/>
      <c r="I122" s="829"/>
      <c r="J122" s="829"/>
      <c r="K122" s="829"/>
      <c r="L122" s="829"/>
      <c r="M122" s="829"/>
      <c r="N122" s="829"/>
      <c r="O122" s="829"/>
      <c r="P122" s="829"/>
      <c r="Q122" s="829"/>
      <c r="R122" s="829"/>
      <c r="S122" s="829"/>
      <c r="T122" s="829"/>
      <c r="U122" s="829"/>
      <c r="V122" s="829"/>
      <c r="W122" s="829"/>
      <c r="X122" s="829"/>
      <c r="Y122" s="829"/>
      <c r="Z122" s="829"/>
      <c r="AA122" s="829"/>
      <c r="AB122" s="829"/>
      <c r="AC122" s="829"/>
      <c r="AD122" s="829"/>
    </row>
    <row r="123" spans="1:57" ht="24" customHeight="1">
      <c r="A123" s="49"/>
      <c r="B123" s="105"/>
      <c r="C123" s="754" t="s">
        <v>5186</v>
      </c>
      <c r="D123" s="754"/>
      <c r="E123" s="754"/>
      <c r="F123" s="754"/>
      <c r="G123" s="754"/>
      <c r="H123" s="754"/>
      <c r="I123" s="754"/>
      <c r="J123" s="754"/>
      <c r="K123" s="754"/>
      <c r="L123" s="754"/>
      <c r="M123" s="754"/>
      <c r="N123" s="754"/>
      <c r="O123" s="754"/>
      <c r="P123" s="754"/>
      <c r="Q123" s="754"/>
      <c r="R123" s="754"/>
      <c r="S123" s="754"/>
      <c r="T123" s="754"/>
      <c r="U123" s="754"/>
      <c r="V123" s="754"/>
      <c r="W123" s="754"/>
      <c r="X123" s="754"/>
      <c r="Y123" s="754"/>
      <c r="Z123" s="754"/>
      <c r="AA123" s="754"/>
      <c r="AB123" s="754"/>
      <c r="AC123" s="754"/>
      <c r="AD123" s="754"/>
    </row>
    <row r="124" spans="1:57" ht="36" customHeight="1">
      <c r="A124" s="110"/>
      <c r="B124" s="57"/>
      <c r="C124" s="830" t="s">
        <v>5187</v>
      </c>
      <c r="D124" s="830"/>
      <c r="E124" s="830"/>
      <c r="F124" s="830"/>
      <c r="G124" s="830"/>
      <c r="H124" s="830"/>
      <c r="I124" s="830"/>
      <c r="J124" s="830"/>
      <c r="K124" s="830"/>
      <c r="L124" s="830"/>
      <c r="M124" s="830"/>
      <c r="N124" s="830"/>
      <c r="O124" s="830"/>
      <c r="P124" s="830"/>
      <c r="Q124" s="830"/>
      <c r="R124" s="830"/>
      <c r="S124" s="830"/>
      <c r="T124" s="830"/>
      <c r="U124" s="830"/>
      <c r="V124" s="830"/>
      <c r="W124" s="830"/>
      <c r="X124" s="830"/>
      <c r="Y124" s="830"/>
      <c r="Z124" s="830"/>
      <c r="AA124" s="830"/>
      <c r="AB124" s="830"/>
      <c r="AC124" s="830"/>
      <c r="AD124" s="830"/>
    </row>
    <row r="125" spans="1:57" ht="15" customHeight="1">
      <c r="A125" s="186"/>
      <c r="B125" s="57"/>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row>
    <row r="126" spans="1:57" ht="24" customHeight="1">
      <c r="A126" s="108"/>
      <c r="B126" s="38"/>
      <c r="C126" s="732" t="s">
        <v>2581</v>
      </c>
      <c r="D126" s="732"/>
      <c r="E126" s="732"/>
      <c r="F126" s="732"/>
      <c r="G126" s="732"/>
      <c r="H126" s="732"/>
      <c r="I126" s="732"/>
      <c r="J126" s="732" t="s">
        <v>5188</v>
      </c>
      <c r="K126" s="732"/>
      <c r="L126" s="732"/>
      <c r="M126" s="732"/>
      <c r="N126" s="732"/>
      <c r="O126" s="732"/>
      <c r="P126" s="732"/>
      <c r="Q126" s="732"/>
      <c r="R126" s="732"/>
      <c r="S126" s="732"/>
      <c r="T126" s="732"/>
      <c r="U126" s="732"/>
      <c r="V126" s="732"/>
      <c r="W126" s="732"/>
      <c r="X126" s="732"/>
      <c r="Y126" s="732"/>
      <c r="Z126" s="732"/>
      <c r="AA126" s="732"/>
      <c r="AB126" s="732"/>
      <c r="AC126" s="732"/>
      <c r="AD126" s="732"/>
    </row>
    <row r="127" spans="1:57" ht="36" customHeight="1">
      <c r="A127" s="108"/>
      <c r="B127" s="38"/>
      <c r="C127" s="732"/>
      <c r="D127" s="732"/>
      <c r="E127" s="732"/>
      <c r="F127" s="732"/>
      <c r="G127" s="732"/>
      <c r="H127" s="732"/>
      <c r="I127" s="732"/>
      <c r="J127" s="887" t="s">
        <v>2628</v>
      </c>
      <c r="K127" s="889" t="s">
        <v>2629</v>
      </c>
      <c r="L127" s="889" t="s">
        <v>2630</v>
      </c>
      <c r="M127" s="736" t="s">
        <v>5189</v>
      </c>
      <c r="N127" s="736"/>
      <c r="O127" s="736"/>
      <c r="P127" s="736" t="s">
        <v>5190</v>
      </c>
      <c r="Q127" s="736"/>
      <c r="R127" s="736"/>
      <c r="S127" s="736" t="s">
        <v>5191</v>
      </c>
      <c r="T127" s="736"/>
      <c r="U127" s="736"/>
      <c r="V127" s="736" t="s">
        <v>5192</v>
      </c>
      <c r="W127" s="736"/>
      <c r="X127" s="736"/>
      <c r="Y127" s="736" t="s">
        <v>5193</v>
      </c>
      <c r="Z127" s="736"/>
      <c r="AA127" s="736"/>
      <c r="AB127" s="736" t="s">
        <v>201</v>
      </c>
      <c r="AC127" s="736"/>
      <c r="AD127" s="736"/>
    </row>
    <row r="128" spans="1:57" ht="48" customHeight="1">
      <c r="A128" s="108"/>
      <c r="B128" s="38"/>
      <c r="C128" s="732"/>
      <c r="D128" s="732"/>
      <c r="E128" s="732"/>
      <c r="F128" s="732"/>
      <c r="G128" s="732"/>
      <c r="H128" s="732"/>
      <c r="I128" s="732"/>
      <c r="J128" s="888"/>
      <c r="K128" s="890"/>
      <c r="L128" s="890"/>
      <c r="M128" s="127" t="s">
        <v>2635</v>
      </c>
      <c r="N128" s="128" t="s">
        <v>2629</v>
      </c>
      <c r="O128" s="128" t="s">
        <v>2630</v>
      </c>
      <c r="P128" s="127" t="s">
        <v>2635</v>
      </c>
      <c r="Q128" s="128" t="s">
        <v>2629</v>
      </c>
      <c r="R128" s="128" t="s">
        <v>2630</v>
      </c>
      <c r="S128" s="127" t="s">
        <v>2635</v>
      </c>
      <c r="T128" s="128" t="s">
        <v>2629</v>
      </c>
      <c r="U128" s="128" t="s">
        <v>2630</v>
      </c>
      <c r="V128" s="127" t="s">
        <v>2635</v>
      </c>
      <c r="W128" s="128" t="s">
        <v>2629</v>
      </c>
      <c r="X128" s="128" t="s">
        <v>2630</v>
      </c>
      <c r="Y128" s="127" t="s">
        <v>2635</v>
      </c>
      <c r="Z128" s="128" t="s">
        <v>2629</v>
      </c>
      <c r="AA128" s="128" t="s">
        <v>2630</v>
      </c>
      <c r="AB128" s="127" t="s">
        <v>2635</v>
      </c>
      <c r="AC128" s="128" t="s">
        <v>2629</v>
      </c>
      <c r="AD128" s="128" t="s">
        <v>2630</v>
      </c>
      <c r="AG128" t="s">
        <v>2586</v>
      </c>
      <c r="AH128" t="s">
        <v>4581</v>
      </c>
      <c r="AI128" t="s">
        <v>4582</v>
      </c>
      <c r="AK128" t="s">
        <v>4573</v>
      </c>
      <c r="AL128" t="s">
        <v>2638</v>
      </c>
      <c r="AM128" t="s">
        <v>2639</v>
      </c>
      <c r="AN128" t="s">
        <v>4574</v>
      </c>
      <c r="AO128" t="s">
        <v>2641</v>
      </c>
      <c r="AP128" t="s">
        <v>2642</v>
      </c>
      <c r="AQ128" t="s">
        <v>4575</v>
      </c>
      <c r="AR128" t="s">
        <v>2644</v>
      </c>
      <c r="AS128" t="s">
        <v>2645</v>
      </c>
      <c r="AT128" t="s">
        <v>4576</v>
      </c>
      <c r="AU128" t="s">
        <v>2647</v>
      </c>
      <c r="AV128" t="s">
        <v>2648</v>
      </c>
      <c r="AW128" t="s">
        <v>5177</v>
      </c>
      <c r="AX128" t="s">
        <v>2757</v>
      </c>
      <c r="AY128" t="s">
        <v>2758</v>
      </c>
      <c r="AZ128" t="s">
        <v>5194</v>
      </c>
      <c r="BA128" t="s">
        <v>2760</v>
      </c>
      <c r="BB128" t="s">
        <v>2761</v>
      </c>
      <c r="BC128" t="s">
        <v>5195</v>
      </c>
      <c r="BD128" t="s">
        <v>2763</v>
      </c>
      <c r="BE128" t="s">
        <v>2764</v>
      </c>
    </row>
    <row r="129" spans="1:57" ht="15" customHeight="1">
      <c r="A129" s="108"/>
      <c r="B129" s="38"/>
      <c r="C129" s="97" t="s">
        <v>2516</v>
      </c>
      <c r="D129" s="813" t="str">
        <f>IF(CNSIPEE_2024_M2_Secc1!D42="","",CNSIPEE_2024_M2_Secc1!D42)</f>
        <v/>
      </c>
      <c r="E129" s="814"/>
      <c r="F129" s="814"/>
      <c r="G129" s="814"/>
      <c r="H129" s="814"/>
      <c r="I129" s="814"/>
      <c r="J129" s="100"/>
      <c r="K129" s="100"/>
      <c r="L129" s="100"/>
      <c r="M129" s="100"/>
      <c r="N129" s="100"/>
      <c r="O129" s="100"/>
      <c r="P129" s="100"/>
      <c r="Q129" s="100"/>
      <c r="R129" s="100"/>
      <c r="S129" s="100"/>
      <c r="T129" s="100"/>
      <c r="U129" s="100"/>
      <c r="V129" s="100"/>
      <c r="W129" s="100"/>
      <c r="X129" s="100"/>
      <c r="Y129" s="100"/>
      <c r="Z129" s="100"/>
      <c r="AA129" s="100"/>
      <c r="AB129" s="100"/>
      <c r="AC129" s="100"/>
      <c r="AD129" s="100"/>
      <c r="AG129">
        <f>IF(OR($S89=0,$S89="NS",$S89="NA"),0,IF(OR(COUNTBLANK(D129:AD129)=5,COUNTBLANK(D129:AD129)=27),0,1))</f>
        <v>0</v>
      </c>
      <c r="AH129">
        <f>IF(OR($S89=0,$S89="NS",$S89="NA"),IF(COUNTBLANK(J129:AD129)=21,0,1),0)</f>
        <v>0</v>
      </c>
      <c r="AI129">
        <f>IF(OR($S89=0,$S89="NS",$S89="NA"),0,IF(AND(J129=S89,K129=T89,L129=U89),0,1))</f>
        <v>0</v>
      </c>
      <c r="AK129">
        <f t="shared" ref="AK129" si="84">COUNTIF(K129:L129,"NS")</f>
        <v>0</v>
      </c>
      <c r="AL129">
        <f t="shared" ref="AL129" si="85">SUM(K129:L129)</f>
        <v>0</v>
      </c>
      <c r="AM129">
        <f t="shared" ref="AM129" si="86">IF(COUNTIF(J129:L129,"NA")=3,0,IF(COUNTA(J129:L129)=0,0,IF(OR(AND(J129=0,AK129&gt;0),AND(J129="ns",AL129&gt;0),AND(J129="ns",AK129=0,AL129=0)),1,IF(OR(AND(J129&gt;0,AK129=2),AND(J129="ns",AK129=2),AND(J129="ns",AL129=0,AK129&gt;0),J129=AL129),0,1))))</f>
        <v>0</v>
      </c>
      <c r="AN129">
        <f t="shared" ref="AN129" si="87">COUNTIF(N129:O129,"NS")</f>
        <v>0</v>
      </c>
      <c r="AO129">
        <f t="shared" ref="AO129" si="88">SUM(N129:O129)</f>
        <v>0</v>
      </c>
      <c r="AP129">
        <f t="shared" ref="AP129" si="89">IF(COUNTIF(M129:O129,"NA")=3,0,IF(COUNTA(M129:O129)=0,0,IF(OR(AND(M129=0,AN129&gt;0),AND(M129="ns",AO129&gt;0),AND(M129="ns",AN129=0,AO129=0)),1,IF(OR(AND(M129&gt;0,AN129=2),AND(M129="ns",AN129=2),AND(M129="ns",AO129=0,AN129&gt;0),M129=AO129),0,1))))</f>
        <v>0</v>
      </c>
      <c r="AQ129">
        <f t="shared" ref="AQ129" si="90">COUNTIF(Q129:R129,"NS")</f>
        <v>0</v>
      </c>
      <c r="AR129">
        <f t="shared" ref="AR129" si="91">SUM(Q129:R129)</f>
        <v>0</v>
      </c>
      <c r="AS129">
        <f t="shared" ref="AS129" si="92">IF(COUNTIF(P129:R129,"NA")=3,0,IF(COUNTA(P129:R129)=0,0,IF(OR(AND(P129=0,AQ129&gt;0),AND(P129="ns",AR129&gt;0),AND(P129="ns",AQ129=0,AR129=0)),1,IF(OR(AND(P129&gt;0,AQ129=2),AND(P129="ns",AQ129=2),AND(P129="ns",AR129=0,AQ129&gt;0),P129=AR129),0,1))))</f>
        <v>0</v>
      </c>
      <c r="AT129">
        <f t="shared" ref="AT129" si="93">COUNTIF(T129:U129,"NS")</f>
        <v>0</v>
      </c>
      <c r="AU129">
        <f t="shared" ref="AU129" si="94">SUM(T129:U129)</f>
        <v>0</v>
      </c>
      <c r="AV129">
        <f t="shared" ref="AV129" si="95">IF(COUNTIF(S129:U129,"NA")=3,0,IF(COUNTA(S129:U129)=0,0,IF(OR(AND(S129=0,AT129&gt;0),AND(S129="ns",AU129&gt;0),AND(S129="ns",AT129=0,AU129=0)),1,IF(OR(AND(S129&gt;0,AT129=2),AND(S129="ns",AT129=2),AND(S129="ns",AU129=0,AT129&gt;0),S129=AU129),0,1))))</f>
        <v>0</v>
      </c>
      <c r="AW129">
        <f t="shared" ref="AW129" si="96">COUNTIF(W129:X129,"NS")</f>
        <v>0</v>
      </c>
      <c r="AX129">
        <f t="shared" ref="AX129" si="97">SUM(W129:X129)</f>
        <v>0</v>
      </c>
      <c r="AY129">
        <f t="shared" ref="AY129" si="98">IF(COUNTIF(V129:X129,"NA")=3,0,IF(COUNTA(V129:X129)=0,0,IF(OR(AND(V129=0,AW129&gt;0),AND(V129="ns",AX129&gt;0),AND(V129="ns",AW129=0,AX129=0)),1,IF(OR(AND(V129&gt;0,AW129=2),AND(V129="ns",AW129=2),AND(V129="ns",AX129=0,AW129&gt;0),V129=AX129),0,1))))</f>
        <v>0</v>
      </c>
      <c r="AZ129">
        <f t="shared" ref="AZ129" si="99">COUNTIF(Z129:AA129,"NS")</f>
        <v>0</v>
      </c>
      <c r="BA129">
        <f t="shared" ref="BA129" si="100">SUM(Z129:AA129)</f>
        <v>0</v>
      </c>
      <c r="BB129">
        <f t="shared" ref="BB129" si="101">IF(COUNTIF(Y129:AA129,"NA")=3,0,IF(COUNTA(Y129:AA129)=0,0,IF(OR(AND(Y129=0,AZ129&gt;0),AND(Y129="ns",BA129&gt;0),AND(Y129="ns",AZ129=0,BA129=0)),1,IF(OR(AND(Y129&gt;0,AZ129=2),AND(Y129="ns",AZ129=2),AND(Y129="ns",BA129=0,AZ129&gt;0),Y129=BA129),0,1))))</f>
        <v>0</v>
      </c>
      <c r="BC129">
        <f t="shared" ref="BC129" si="102">COUNTIF(AC129:AD129,"NS")</f>
        <v>0</v>
      </c>
      <c r="BD129">
        <f t="shared" ref="BD129" si="103">SUM(AC129:AD129)</f>
        <v>0</v>
      </c>
      <c r="BE129">
        <f t="shared" ref="BE129" si="104">IF(COUNTIF(AB129:AD129,"NA")=3,0,IF(COUNTA(AB129:AD129)=0,0,IF(OR(AND(AB129=0,BC129&gt;0),AND(AB129="ns",BD129&gt;0),AND(AB129="ns",BC129=0,BD129=0)),1,IF(OR(AND(AB129&gt;0,BC129=2),AND(AB129="ns",BC129=2),AND(AB129="ns",BD129=0,BC129&gt;0),AB129=BD129),0,1))))</f>
        <v>0</v>
      </c>
    </row>
    <row r="130" spans="1:57" ht="15" customHeight="1">
      <c r="A130" s="108"/>
      <c r="B130" s="38"/>
      <c r="C130" s="98" t="s">
        <v>2517</v>
      </c>
      <c r="D130" s="813" t="str">
        <f>IF(CNSIPEE_2024_M2_Secc1!D43="","",CNSIPEE_2024_M2_Secc1!D43)</f>
        <v/>
      </c>
      <c r="E130" s="814"/>
      <c r="F130" s="814"/>
      <c r="G130" s="814"/>
      <c r="H130" s="814"/>
      <c r="I130" s="814"/>
      <c r="J130" s="100"/>
      <c r="K130" s="100"/>
      <c r="L130" s="100"/>
      <c r="M130" s="100"/>
      <c r="N130" s="100"/>
      <c r="O130" s="100"/>
      <c r="P130" s="100"/>
      <c r="Q130" s="100"/>
      <c r="R130" s="100"/>
      <c r="S130" s="100"/>
      <c r="T130" s="100"/>
      <c r="U130" s="100"/>
      <c r="V130" s="100"/>
      <c r="W130" s="100"/>
      <c r="X130" s="100"/>
      <c r="Y130" s="100"/>
      <c r="Z130" s="100"/>
      <c r="AA130" s="100"/>
      <c r="AB130" s="100"/>
      <c r="AC130" s="100"/>
      <c r="AD130" s="100"/>
      <c r="AG130">
        <f t="shared" ref="AG130:AG136" si="105">IF(OR($S90=0,$S90="NS",$S90="NA"),0,IF(OR(COUNTBLANK(D130:AD130)=5,COUNTBLANK(D130:AD130)=27),0,1))</f>
        <v>0</v>
      </c>
      <c r="AH130">
        <f t="shared" ref="AH130:AH136" si="106">IF(OR($S90=0,$S90="NS",$S90="NA"),IF(COUNTBLANK(J130:AD130)=21,0,1),0)</f>
        <v>0</v>
      </c>
      <c r="AI130">
        <f t="shared" ref="AI130:AI136" si="107">IF(OR($S90=0,$S90="NS",$S90="NA"),0,IF(AND(J130=S90,K130=T90,L130=U90),0,1))</f>
        <v>0</v>
      </c>
      <c r="AK130">
        <f t="shared" ref="AK130:AK136" si="108">COUNTIF(K130:L130,"NS")</f>
        <v>0</v>
      </c>
      <c r="AL130">
        <f t="shared" ref="AL130:AL136" si="109">SUM(K130:L130)</f>
        <v>0</v>
      </c>
      <c r="AM130">
        <f t="shared" ref="AM130:AM136" si="110">IF(COUNTIF(J130:L130,"NA")=3,0,IF(COUNTA(J130:L130)=0,0,IF(OR(AND(J130=0,AK130&gt;0),AND(J130="ns",AL130&gt;0),AND(J130="ns",AK130=0,AL130=0)),1,IF(OR(AND(J130&gt;0,AK130=2),AND(J130="ns",AK130=2),AND(J130="ns",AL130=0,AK130&gt;0),J130=AL130),0,1))))</f>
        <v>0</v>
      </c>
      <c r="AN130">
        <f t="shared" ref="AN130:AN136" si="111">COUNTIF(N130:O130,"NS")</f>
        <v>0</v>
      </c>
      <c r="AO130">
        <f t="shared" ref="AO130:AO136" si="112">SUM(N130:O130)</f>
        <v>0</v>
      </c>
      <c r="AP130">
        <f t="shared" ref="AP130:AP136" si="113">IF(COUNTIF(M130:O130,"NA")=3,0,IF(COUNTA(M130:O130)=0,0,IF(OR(AND(M130=0,AN130&gt;0),AND(M130="ns",AO130&gt;0),AND(M130="ns",AN130=0,AO130=0)),1,IF(OR(AND(M130&gt;0,AN130=2),AND(M130="ns",AN130=2),AND(M130="ns",AO130=0,AN130&gt;0),M130=AO130),0,1))))</f>
        <v>0</v>
      </c>
      <c r="AQ130">
        <f t="shared" ref="AQ130:AQ136" si="114">COUNTIF(Q130:R130,"NS")</f>
        <v>0</v>
      </c>
      <c r="AR130">
        <f t="shared" ref="AR130:AR136" si="115">SUM(Q130:R130)</f>
        <v>0</v>
      </c>
      <c r="AS130">
        <f t="shared" ref="AS130:AS136" si="116">IF(COUNTIF(P130:R130,"NA")=3,0,IF(COUNTA(P130:R130)=0,0,IF(OR(AND(P130=0,AQ130&gt;0),AND(P130="ns",AR130&gt;0),AND(P130="ns",AQ130=0,AR130=0)),1,IF(OR(AND(P130&gt;0,AQ130=2),AND(P130="ns",AQ130=2),AND(P130="ns",AR130=0,AQ130&gt;0),P130=AR130),0,1))))</f>
        <v>0</v>
      </c>
      <c r="AT130">
        <f t="shared" ref="AT130:AT136" si="117">COUNTIF(T130:U130,"NS")</f>
        <v>0</v>
      </c>
      <c r="AU130">
        <f t="shared" ref="AU130:AU136" si="118">SUM(T130:U130)</f>
        <v>0</v>
      </c>
      <c r="AV130">
        <f t="shared" ref="AV130:AV136" si="119">IF(COUNTIF(S130:U130,"NA")=3,0,IF(COUNTA(S130:U130)=0,0,IF(OR(AND(S130=0,AT130&gt;0),AND(S130="ns",AU130&gt;0),AND(S130="ns",AT130=0,AU130=0)),1,IF(OR(AND(S130&gt;0,AT130=2),AND(S130="ns",AT130=2),AND(S130="ns",AU130=0,AT130&gt;0),S130=AU130),0,1))))</f>
        <v>0</v>
      </c>
      <c r="AW130">
        <f t="shared" ref="AW130:AW136" si="120">COUNTIF(W130:X130,"NS")</f>
        <v>0</v>
      </c>
      <c r="AX130">
        <f t="shared" ref="AX130:AX136" si="121">SUM(W130:X130)</f>
        <v>0</v>
      </c>
      <c r="AY130">
        <f t="shared" ref="AY130:AY136" si="122">IF(COUNTIF(V130:X130,"NA")=3,0,IF(COUNTA(V130:X130)=0,0,IF(OR(AND(V130=0,AW130&gt;0),AND(V130="ns",AX130&gt;0),AND(V130="ns",AW130=0,AX130=0)),1,IF(OR(AND(V130&gt;0,AW130=2),AND(V130="ns",AW130=2),AND(V130="ns",AX130=0,AW130&gt;0),V130=AX130),0,1))))</f>
        <v>0</v>
      </c>
      <c r="AZ130">
        <f t="shared" ref="AZ130:AZ136" si="123">COUNTIF(Z130:AA130,"NS")</f>
        <v>0</v>
      </c>
      <c r="BA130">
        <f t="shared" ref="BA130:BA136" si="124">SUM(Z130:AA130)</f>
        <v>0</v>
      </c>
      <c r="BB130">
        <f t="shared" ref="BB130:BB136" si="125">IF(COUNTIF(Y130:AA130,"NA")=3,0,IF(COUNTA(Y130:AA130)=0,0,IF(OR(AND(Y130=0,AZ130&gt;0),AND(Y130="ns",BA130&gt;0),AND(Y130="ns",AZ130=0,BA130=0)),1,IF(OR(AND(Y130&gt;0,AZ130=2),AND(Y130="ns",AZ130=2),AND(Y130="ns",BA130=0,AZ130&gt;0),Y130=BA130),0,1))))</f>
        <v>0</v>
      </c>
      <c r="BC130">
        <f t="shared" ref="BC130:BC136" si="126">COUNTIF(AC130:AD130,"NS")</f>
        <v>0</v>
      </c>
      <c r="BD130">
        <f t="shared" ref="BD130:BD136" si="127">SUM(AC130:AD130)</f>
        <v>0</v>
      </c>
      <c r="BE130">
        <f t="shared" ref="BE130:BE136" si="128">IF(COUNTIF(AB130:AD130,"NA")=3,0,IF(COUNTA(AB130:AD130)=0,0,IF(OR(AND(AB130=0,BC130&gt;0),AND(AB130="ns",BD130&gt;0),AND(AB130="ns",BC130=0,BD130=0)),1,IF(OR(AND(AB130&gt;0,BC130=2),AND(AB130="ns",BC130=2),AND(AB130="ns",BD130=0,BC130&gt;0),AB130=BD130),0,1))))</f>
        <v>0</v>
      </c>
    </row>
    <row r="131" spans="1:57" ht="15" customHeight="1">
      <c r="A131" s="108"/>
      <c r="B131" s="38"/>
      <c r="C131" s="98" t="s">
        <v>2518</v>
      </c>
      <c r="D131" s="813" t="str">
        <f>IF(CNSIPEE_2024_M2_Secc1!D44="","",CNSIPEE_2024_M2_Secc1!D44)</f>
        <v/>
      </c>
      <c r="E131" s="814"/>
      <c r="F131" s="814"/>
      <c r="G131" s="814"/>
      <c r="H131" s="814"/>
      <c r="I131" s="814"/>
      <c r="J131" s="100"/>
      <c r="K131" s="100"/>
      <c r="L131" s="100"/>
      <c r="M131" s="100"/>
      <c r="N131" s="100"/>
      <c r="O131" s="100"/>
      <c r="P131" s="100"/>
      <c r="Q131" s="100"/>
      <c r="R131" s="100"/>
      <c r="S131" s="100"/>
      <c r="T131" s="100"/>
      <c r="U131" s="100"/>
      <c r="V131" s="100"/>
      <c r="W131" s="100"/>
      <c r="X131" s="100"/>
      <c r="Y131" s="100"/>
      <c r="Z131" s="100"/>
      <c r="AA131" s="100"/>
      <c r="AB131" s="100"/>
      <c r="AC131" s="100"/>
      <c r="AD131" s="100"/>
      <c r="AG131">
        <f t="shared" si="105"/>
        <v>0</v>
      </c>
      <c r="AH131">
        <f t="shared" si="106"/>
        <v>0</v>
      </c>
      <c r="AI131">
        <f t="shared" si="107"/>
        <v>0</v>
      </c>
      <c r="AK131">
        <f t="shared" si="108"/>
        <v>0</v>
      </c>
      <c r="AL131">
        <f t="shared" si="109"/>
        <v>0</v>
      </c>
      <c r="AM131">
        <f t="shared" si="110"/>
        <v>0</v>
      </c>
      <c r="AN131">
        <f t="shared" si="111"/>
        <v>0</v>
      </c>
      <c r="AO131">
        <f t="shared" si="112"/>
        <v>0</v>
      </c>
      <c r="AP131">
        <f t="shared" si="113"/>
        <v>0</v>
      </c>
      <c r="AQ131">
        <f t="shared" si="114"/>
        <v>0</v>
      </c>
      <c r="AR131">
        <f t="shared" si="115"/>
        <v>0</v>
      </c>
      <c r="AS131">
        <f t="shared" si="116"/>
        <v>0</v>
      </c>
      <c r="AT131">
        <f t="shared" si="117"/>
        <v>0</v>
      </c>
      <c r="AU131">
        <f t="shared" si="118"/>
        <v>0</v>
      </c>
      <c r="AV131">
        <f t="shared" si="119"/>
        <v>0</v>
      </c>
      <c r="AW131">
        <f t="shared" si="120"/>
        <v>0</v>
      </c>
      <c r="AX131">
        <f t="shared" si="121"/>
        <v>0</v>
      </c>
      <c r="AY131">
        <f t="shared" si="122"/>
        <v>0</v>
      </c>
      <c r="AZ131">
        <f t="shared" si="123"/>
        <v>0</v>
      </c>
      <c r="BA131">
        <f t="shared" si="124"/>
        <v>0</v>
      </c>
      <c r="BB131">
        <f t="shared" si="125"/>
        <v>0</v>
      </c>
      <c r="BC131">
        <f t="shared" si="126"/>
        <v>0</v>
      </c>
      <c r="BD131">
        <f t="shared" si="127"/>
        <v>0</v>
      </c>
      <c r="BE131">
        <f t="shared" si="128"/>
        <v>0</v>
      </c>
    </row>
    <row r="132" spans="1:57" ht="15" customHeight="1">
      <c r="A132" s="108"/>
      <c r="B132" s="38"/>
      <c r="C132" s="98" t="s">
        <v>2519</v>
      </c>
      <c r="D132" s="813" t="str">
        <f>IF(CNSIPEE_2024_M2_Secc1!D45="","",CNSIPEE_2024_M2_Secc1!D45)</f>
        <v/>
      </c>
      <c r="E132" s="814"/>
      <c r="F132" s="814"/>
      <c r="G132" s="814"/>
      <c r="H132" s="814"/>
      <c r="I132" s="814"/>
      <c r="J132" s="100"/>
      <c r="K132" s="100"/>
      <c r="L132" s="100"/>
      <c r="M132" s="100"/>
      <c r="N132" s="100"/>
      <c r="O132" s="100"/>
      <c r="P132" s="100"/>
      <c r="Q132" s="100"/>
      <c r="R132" s="100"/>
      <c r="S132" s="100"/>
      <c r="T132" s="100"/>
      <c r="U132" s="100"/>
      <c r="V132" s="100"/>
      <c r="W132" s="100"/>
      <c r="X132" s="100"/>
      <c r="Y132" s="100"/>
      <c r="Z132" s="100"/>
      <c r="AA132" s="100"/>
      <c r="AB132" s="100"/>
      <c r="AC132" s="100"/>
      <c r="AD132" s="100"/>
      <c r="AG132">
        <f t="shared" si="105"/>
        <v>0</v>
      </c>
      <c r="AH132">
        <f t="shared" si="106"/>
        <v>0</v>
      </c>
      <c r="AI132">
        <f t="shared" si="107"/>
        <v>0</v>
      </c>
      <c r="AK132">
        <f t="shared" si="108"/>
        <v>0</v>
      </c>
      <c r="AL132">
        <f t="shared" si="109"/>
        <v>0</v>
      </c>
      <c r="AM132">
        <f t="shared" si="110"/>
        <v>0</v>
      </c>
      <c r="AN132">
        <f t="shared" si="111"/>
        <v>0</v>
      </c>
      <c r="AO132">
        <f t="shared" si="112"/>
        <v>0</v>
      </c>
      <c r="AP132">
        <f t="shared" si="113"/>
        <v>0</v>
      </c>
      <c r="AQ132">
        <f t="shared" si="114"/>
        <v>0</v>
      </c>
      <c r="AR132">
        <f t="shared" si="115"/>
        <v>0</v>
      </c>
      <c r="AS132">
        <f t="shared" si="116"/>
        <v>0</v>
      </c>
      <c r="AT132">
        <f t="shared" si="117"/>
        <v>0</v>
      </c>
      <c r="AU132">
        <f t="shared" si="118"/>
        <v>0</v>
      </c>
      <c r="AV132">
        <f t="shared" si="119"/>
        <v>0</v>
      </c>
      <c r="AW132">
        <f t="shared" si="120"/>
        <v>0</v>
      </c>
      <c r="AX132">
        <f t="shared" si="121"/>
        <v>0</v>
      </c>
      <c r="AY132">
        <f t="shared" si="122"/>
        <v>0</v>
      </c>
      <c r="AZ132">
        <f t="shared" si="123"/>
        <v>0</v>
      </c>
      <c r="BA132">
        <f t="shared" si="124"/>
        <v>0</v>
      </c>
      <c r="BB132">
        <f t="shared" si="125"/>
        <v>0</v>
      </c>
      <c r="BC132">
        <f t="shared" si="126"/>
        <v>0</v>
      </c>
      <c r="BD132">
        <f t="shared" si="127"/>
        <v>0</v>
      </c>
      <c r="BE132">
        <f t="shared" si="128"/>
        <v>0</v>
      </c>
    </row>
    <row r="133" spans="1:57" ht="15" customHeight="1">
      <c r="A133" s="176"/>
      <c r="B133" s="57"/>
      <c r="C133" s="98" t="s">
        <v>2520</v>
      </c>
      <c r="D133" s="813" t="str">
        <f>IF(CNSIPEE_2024_M2_Secc1!D46="","",CNSIPEE_2024_M2_Secc1!D46)</f>
        <v/>
      </c>
      <c r="E133" s="814"/>
      <c r="F133" s="814"/>
      <c r="G133" s="814"/>
      <c r="H133" s="814"/>
      <c r="I133" s="814"/>
      <c r="J133" s="100"/>
      <c r="K133" s="100"/>
      <c r="L133" s="100"/>
      <c r="M133" s="100"/>
      <c r="N133" s="100"/>
      <c r="O133" s="100"/>
      <c r="P133" s="100"/>
      <c r="Q133" s="100"/>
      <c r="R133" s="100"/>
      <c r="S133" s="100"/>
      <c r="T133" s="100"/>
      <c r="U133" s="100"/>
      <c r="V133" s="100"/>
      <c r="W133" s="100"/>
      <c r="X133" s="100"/>
      <c r="Y133" s="100"/>
      <c r="Z133" s="100"/>
      <c r="AA133" s="100"/>
      <c r="AB133" s="100"/>
      <c r="AC133" s="100"/>
      <c r="AD133" s="100"/>
      <c r="AG133">
        <f t="shared" si="105"/>
        <v>0</v>
      </c>
      <c r="AH133">
        <f t="shared" si="106"/>
        <v>0</v>
      </c>
      <c r="AI133">
        <f t="shared" si="107"/>
        <v>0</v>
      </c>
      <c r="AK133">
        <f t="shared" si="108"/>
        <v>0</v>
      </c>
      <c r="AL133">
        <f t="shared" si="109"/>
        <v>0</v>
      </c>
      <c r="AM133">
        <f t="shared" si="110"/>
        <v>0</v>
      </c>
      <c r="AN133">
        <f t="shared" si="111"/>
        <v>0</v>
      </c>
      <c r="AO133">
        <f t="shared" si="112"/>
        <v>0</v>
      </c>
      <c r="AP133">
        <f t="shared" si="113"/>
        <v>0</v>
      </c>
      <c r="AQ133">
        <f t="shared" si="114"/>
        <v>0</v>
      </c>
      <c r="AR133">
        <f t="shared" si="115"/>
        <v>0</v>
      </c>
      <c r="AS133">
        <f t="shared" si="116"/>
        <v>0</v>
      </c>
      <c r="AT133">
        <f t="shared" si="117"/>
        <v>0</v>
      </c>
      <c r="AU133">
        <f t="shared" si="118"/>
        <v>0</v>
      </c>
      <c r="AV133">
        <f t="shared" si="119"/>
        <v>0</v>
      </c>
      <c r="AW133">
        <f t="shared" si="120"/>
        <v>0</v>
      </c>
      <c r="AX133">
        <f t="shared" si="121"/>
        <v>0</v>
      </c>
      <c r="AY133">
        <f t="shared" si="122"/>
        <v>0</v>
      </c>
      <c r="AZ133">
        <f t="shared" si="123"/>
        <v>0</v>
      </c>
      <c r="BA133">
        <f t="shared" si="124"/>
        <v>0</v>
      </c>
      <c r="BB133">
        <f t="shared" si="125"/>
        <v>0</v>
      </c>
      <c r="BC133">
        <f t="shared" si="126"/>
        <v>0</v>
      </c>
      <c r="BD133">
        <f t="shared" si="127"/>
        <v>0</v>
      </c>
      <c r="BE133">
        <f t="shared" si="128"/>
        <v>0</v>
      </c>
    </row>
    <row r="134" spans="1:57" ht="15" customHeight="1">
      <c r="A134" s="176"/>
      <c r="B134" s="57"/>
      <c r="C134" s="98" t="s">
        <v>2521</v>
      </c>
      <c r="D134" s="813" t="str">
        <f>IF(CNSIPEE_2024_M2_Secc1!D47="","",CNSIPEE_2024_M2_Secc1!D47)</f>
        <v/>
      </c>
      <c r="E134" s="814"/>
      <c r="F134" s="814"/>
      <c r="G134" s="814"/>
      <c r="H134" s="814"/>
      <c r="I134" s="814"/>
      <c r="J134" s="100"/>
      <c r="K134" s="100"/>
      <c r="L134" s="100"/>
      <c r="M134" s="100"/>
      <c r="N134" s="100"/>
      <c r="O134" s="100"/>
      <c r="P134" s="100"/>
      <c r="Q134" s="100"/>
      <c r="R134" s="100"/>
      <c r="S134" s="100"/>
      <c r="T134" s="100"/>
      <c r="U134" s="100"/>
      <c r="V134" s="100"/>
      <c r="W134" s="100"/>
      <c r="X134" s="100"/>
      <c r="Y134" s="100"/>
      <c r="Z134" s="100"/>
      <c r="AA134" s="100"/>
      <c r="AB134" s="100"/>
      <c r="AC134" s="100"/>
      <c r="AD134" s="100"/>
      <c r="AG134">
        <f t="shared" si="105"/>
        <v>0</v>
      </c>
      <c r="AH134">
        <f t="shared" si="106"/>
        <v>0</v>
      </c>
      <c r="AI134">
        <f t="shared" si="107"/>
        <v>0</v>
      </c>
      <c r="AK134">
        <f t="shared" si="108"/>
        <v>0</v>
      </c>
      <c r="AL134">
        <f t="shared" si="109"/>
        <v>0</v>
      </c>
      <c r="AM134">
        <f t="shared" si="110"/>
        <v>0</v>
      </c>
      <c r="AN134">
        <f t="shared" si="111"/>
        <v>0</v>
      </c>
      <c r="AO134">
        <f t="shared" si="112"/>
        <v>0</v>
      </c>
      <c r="AP134">
        <f t="shared" si="113"/>
        <v>0</v>
      </c>
      <c r="AQ134">
        <f t="shared" si="114"/>
        <v>0</v>
      </c>
      <c r="AR134">
        <f t="shared" si="115"/>
        <v>0</v>
      </c>
      <c r="AS134">
        <f t="shared" si="116"/>
        <v>0</v>
      </c>
      <c r="AT134">
        <f t="shared" si="117"/>
        <v>0</v>
      </c>
      <c r="AU134">
        <f t="shared" si="118"/>
        <v>0</v>
      </c>
      <c r="AV134">
        <f t="shared" si="119"/>
        <v>0</v>
      </c>
      <c r="AW134">
        <f t="shared" si="120"/>
        <v>0</v>
      </c>
      <c r="AX134">
        <f t="shared" si="121"/>
        <v>0</v>
      </c>
      <c r="AY134">
        <f t="shared" si="122"/>
        <v>0</v>
      </c>
      <c r="AZ134">
        <f t="shared" si="123"/>
        <v>0</v>
      </c>
      <c r="BA134">
        <f t="shared" si="124"/>
        <v>0</v>
      </c>
      <c r="BB134">
        <f t="shared" si="125"/>
        <v>0</v>
      </c>
      <c r="BC134">
        <f t="shared" si="126"/>
        <v>0</v>
      </c>
      <c r="BD134">
        <f t="shared" si="127"/>
        <v>0</v>
      </c>
      <c r="BE134">
        <f t="shared" si="128"/>
        <v>0</v>
      </c>
    </row>
    <row r="135" spans="1:57" ht="15" customHeight="1">
      <c r="A135" s="176"/>
      <c r="B135" s="57"/>
      <c r="C135" s="98" t="s">
        <v>2522</v>
      </c>
      <c r="D135" s="813" t="str">
        <f>IF(CNSIPEE_2024_M2_Secc1!D48="","",CNSIPEE_2024_M2_Secc1!D48)</f>
        <v/>
      </c>
      <c r="E135" s="814"/>
      <c r="F135" s="814"/>
      <c r="G135" s="814"/>
      <c r="H135" s="814"/>
      <c r="I135" s="814"/>
      <c r="J135" s="100"/>
      <c r="K135" s="100"/>
      <c r="L135" s="100"/>
      <c r="M135" s="100"/>
      <c r="N135" s="100"/>
      <c r="O135" s="100"/>
      <c r="P135" s="100"/>
      <c r="Q135" s="100"/>
      <c r="R135" s="100"/>
      <c r="S135" s="100"/>
      <c r="T135" s="100"/>
      <c r="U135" s="100"/>
      <c r="V135" s="100"/>
      <c r="W135" s="100"/>
      <c r="X135" s="100"/>
      <c r="Y135" s="100"/>
      <c r="Z135" s="100"/>
      <c r="AA135" s="100"/>
      <c r="AB135" s="100"/>
      <c r="AC135" s="100"/>
      <c r="AD135" s="100"/>
      <c r="AG135">
        <f t="shared" si="105"/>
        <v>0</v>
      </c>
      <c r="AH135">
        <f t="shared" si="106"/>
        <v>0</v>
      </c>
      <c r="AI135">
        <f t="shared" si="107"/>
        <v>0</v>
      </c>
      <c r="AK135">
        <f t="shared" si="108"/>
        <v>0</v>
      </c>
      <c r="AL135">
        <f t="shared" si="109"/>
        <v>0</v>
      </c>
      <c r="AM135">
        <f t="shared" si="110"/>
        <v>0</v>
      </c>
      <c r="AN135">
        <f t="shared" si="111"/>
        <v>0</v>
      </c>
      <c r="AO135">
        <f t="shared" si="112"/>
        <v>0</v>
      </c>
      <c r="AP135">
        <f t="shared" si="113"/>
        <v>0</v>
      </c>
      <c r="AQ135">
        <f t="shared" si="114"/>
        <v>0</v>
      </c>
      <c r="AR135">
        <f t="shared" si="115"/>
        <v>0</v>
      </c>
      <c r="AS135">
        <f t="shared" si="116"/>
        <v>0</v>
      </c>
      <c r="AT135">
        <f t="shared" si="117"/>
        <v>0</v>
      </c>
      <c r="AU135">
        <f t="shared" si="118"/>
        <v>0</v>
      </c>
      <c r="AV135">
        <f t="shared" si="119"/>
        <v>0</v>
      </c>
      <c r="AW135">
        <f t="shared" si="120"/>
        <v>0</v>
      </c>
      <c r="AX135">
        <f t="shared" si="121"/>
        <v>0</v>
      </c>
      <c r="AY135">
        <f t="shared" si="122"/>
        <v>0</v>
      </c>
      <c r="AZ135">
        <f t="shared" si="123"/>
        <v>0</v>
      </c>
      <c r="BA135">
        <f t="shared" si="124"/>
        <v>0</v>
      </c>
      <c r="BB135">
        <f t="shared" si="125"/>
        <v>0</v>
      </c>
      <c r="BC135">
        <f t="shared" si="126"/>
        <v>0</v>
      </c>
      <c r="BD135">
        <f t="shared" si="127"/>
        <v>0</v>
      </c>
      <c r="BE135">
        <f t="shared" si="128"/>
        <v>0</v>
      </c>
    </row>
    <row r="136" spans="1:57" ht="15" customHeight="1">
      <c r="A136" s="176"/>
      <c r="B136" s="57"/>
      <c r="C136" s="98" t="s">
        <v>2523</v>
      </c>
      <c r="D136" s="813" t="str">
        <f>IF(CNSIPEE_2024_M2_Secc1!D49="","",CNSIPEE_2024_M2_Secc1!D49)</f>
        <v/>
      </c>
      <c r="E136" s="814"/>
      <c r="F136" s="814"/>
      <c r="G136" s="814"/>
      <c r="H136" s="814"/>
      <c r="I136" s="814"/>
      <c r="J136" s="100"/>
      <c r="K136" s="100"/>
      <c r="L136" s="100"/>
      <c r="M136" s="100"/>
      <c r="N136" s="100"/>
      <c r="O136" s="100"/>
      <c r="P136" s="100"/>
      <c r="Q136" s="100"/>
      <c r="R136" s="100"/>
      <c r="S136" s="100"/>
      <c r="T136" s="100"/>
      <c r="U136" s="100"/>
      <c r="V136" s="100"/>
      <c r="W136" s="100"/>
      <c r="X136" s="100"/>
      <c r="Y136" s="100"/>
      <c r="Z136" s="100"/>
      <c r="AA136" s="100"/>
      <c r="AB136" s="100"/>
      <c r="AC136" s="100"/>
      <c r="AD136" s="100"/>
      <c r="AG136">
        <f t="shared" si="105"/>
        <v>0</v>
      </c>
      <c r="AH136">
        <f t="shared" si="106"/>
        <v>0</v>
      </c>
      <c r="AI136">
        <f t="shared" si="107"/>
        <v>0</v>
      </c>
      <c r="AK136">
        <f t="shared" si="108"/>
        <v>0</v>
      </c>
      <c r="AL136">
        <f t="shared" si="109"/>
        <v>0</v>
      </c>
      <c r="AM136">
        <f t="shared" si="110"/>
        <v>0</v>
      </c>
      <c r="AN136">
        <f t="shared" si="111"/>
        <v>0</v>
      </c>
      <c r="AO136">
        <f t="shared" si="112"/>
        <v>0</v>
      </c>
      <c r="AP136">
        <f t="shared" si="113"/>
        <v>0</v>
      </c>
      <c r="AQ136">
        <f t="shared" si="114"/>
        <v>0</v>
      </c>
      <c r="AR136">
        <f t="shared" si="115"/>
        <v>0</v>
      </c>
      <c r="AS136">
        <f t="shared" si="116"/>
        <v>0</v>
      </c>
      <c r="AT136">
        <f t="shared" si="117"/>
        <v>0</v>
      </c>
      <c r="AU136">
        <f t="shared" si="118"/>
        <v>0</v>
      </c>
      <c r="AV136">
        <f t="shared" si="119"/>
        <v>0</v>
      </c>
      <c r="AW136">
        <f t="shared" si="120"/>
        <v>0</v>
      </c>
      <c r="AX136">
        <f t="shared" si="121"/>
        <v>0</v>
      </c>
      <c r="AY136">
        <f t="shared" si="122"/>
        <v>0</v>
      </c>
      <c r="AZ136">
        <f t="shared" si="123"/>
        <v>0</v>
      </c>
      <c r="BA136">
        <f t="shared" si="124"/>
        <v>0</v>
      </c>
      <c r="BB136">
        <f t="shared" si="125"/>
        <v>0</v>
      </c>
      <c r="BC136">
        <f t="shared" si="126"/>
        <v>0</v>
      </c>
      <c r="BD136">
        <f t="shared" si="127"/>
        <v>0</v>
      </c>
      <c r="BE136">
        <f t="shared" si="128"/>
        <v>0</v>
      </c>
    </row>
    <row r="137" spans="1:57" ht="15" customHeight="1">
      <c r="A137" s="108"/>
      <c r="B137" s="38"/>
      <c r="C137" s="38"/>
      <c r="D137" s="38"/>
      <c r="E137" s="38"/>
      <c r="F137" s="38"/>
      <c r="G137" s="38"/>
      <c r="H137" s="117"/>
      <c r="I137" s="99" t="s">
        <v>2649</v>
      </c>
      <c r="J137" s="124">
        <f t="shared" ref="J137:AD137" si="129">IF(AND(SUM(J129:J136)=0,COUNTIF(J129:J136,"NS")&gt;0),"NS",IF(AND(SUM(J129:J136)=0,COUNTIF(J129:J136,0)&gt;0),0,IF(AND(SUM(J129:J136)=0,COUNTIF(J129:J136,"NA")&gt;0),"NA",SUM(J129:J136))))</f>
        <v>0</v>
      </c>
      <c r="K137" s="124">
        <f t="shared" si="129"/>
        <v>0</v>
      </c>
      <c r="L137" s="124">
        <f t="shared" si="129"/>
        <v>0</v>
      </c>
      <c r="M137" s="124">
        <f t="shared" si="129"/>
        <v>0</v>
      </c>
      <c r="N137" s="124">
        <f t="shared" si="129"/>
        <v>0</v>
      </c>
      <c r="O137" s="124">
        <f t="shared" si="129"/>
        <v>0</v>
      </c>
      <c r="P137" s="124">
        <f t="shared" si="129"/>
        <v>0</v>
      </c>
      <c r="Q137" s="124">
        <f t="shared" si="129"/>
        <v>0</v>
      </c>
      <c r="R137" s="124">
        <f t="shared" si="129"/>
        <v>0</v>
      </c>
      <c r="S137" s="124">
        <f t="shared" si="129"/>
        <v>0</v>
      </c>
      <c r="T137" s="124">
        <f t="shared" si="129"/>
        <v>0</v>
      </c>
      <c r="U137" s="124">
        <f t="shared" si="129"/>
        <v>0</v>
      </c>
      <c r="V137" s="124">
        <f t="shared" si="129"/>
        <v>0</v>
      </c>
      <c r="W137" s="124">
        <f t="shared" si="129"/>
        <v>0</v>
      </c>
      <c r="X137" s="124">
        <f t="shared" si="129"/>
        <v>0</v>
      </c>
      <c r="Y137" s="124">
        <f t="shared" si="129"/>
        <v>0</v>
      </c>
      <c r="Z137" s="124">
        <f t="shared" si="129"/>
        <v>0</v>
      </c>
      <c r="AA137" s="124">
        <f t="shared" si="129"/>
        <v>0</v>
      </c>
      <c r="AB137" s="124">
        <f t="shared" si="129"/>
        <v>0</v>
      </c>
      <c r="AC137" s="124">
        <f t="shared" si="129"/>
        <v>0</v>
      </c>
      <c r="AD137" s="124">
        <f t="shared" si="129"/>
        <v>0</v>
      </c>
      <c r="AG137" s="507">
        <f>SUM(AG129:AG136)</f>
        <v>0</v>
      </c>
      <c r="AH137" s="507">
        <f>SUM(AH129:AH136)</f>
        <v>0</v>
      </c>
      <c r="AI137" s="507">
        <f>SUM(AI129:AI136)</f>
        <v>0</v>
      </c>
      <c r="AK137">
        <f>SUM(AK129:AK136)</f>
        <v>0</v>
      </c>
      <c r="AM137">
        <f>SUM(AM129:AM136)</f>
        <v>0</v>
      </c>
      <c r="AN137">
        <f>SUM(AN129:AN136)</f>
        <v>0</v>
      </c>
      <c r="AP137">
        <f>SUM(AP129:AP136)</f>
        <v>0</v>
      </c>
      <c r="AQ137">
        <f>SUM(AQ129:AQ136)</f>
        <v>0</v>
      </c>
      <c r="AS137">
        <f>SUM(AS129:AS136)</f>
        <v>0</v>
      </c>
      <c r="AT137">
        <f>SUM(AT129:AT136)</f>
        <v>0</v>
      </c>
      <c r="AV137">
        <f>SUM(AV129:AV136)</f>
        <v>0</v>
      </c>
      <c r="AW137">
        <f>SUM(AW129:AW136)</f>
        <v>0</v>
      </c>
      <c r="AY137">
        <f>SUM(AY129:AY136)</f>
        <v>0</v>
      </c>
      <c r="AZ137">
        <f>SUM(AZ129:AZ136)</f>
        <v>0</v>
      </c>
      <c r="BB137">
        <f>SUM(BB129:BB136)</f>
        <v>0</v>
      </c>
      <c r="BC137">
        <f>SUM(BC129:BC136)</f>
        <v>0</v>
      </c>
      <c r="BE137">
        <f>SUM(BE129:BE136)</f>
        <v>0</v>
      </c>
    </row>
    <row r="138" spans="1:57" ht="15" customHeight="1">
      <c r="A138" s="186"/>
      <c r="B138" s="57"/>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K138" t="s">
        <v>2650</v>
      </c>
      <c r="AL138" s="506">
        <f>SUM(AM137,AP137,AS137,AV137,AY137,BB137,BE137)</f>
        <v>0</v>
      </c>
      <c r="AM138" t="s">
        <v>2651</v>
      </c>
      <c r="AN138">
        <f>SUM(AK137,AN137,AQ137,AT137,AW137,AZ137,BC137)</f>
        <v>0</v>
      </c>
    </row>
    <row r="139" spans="1:57" ht="24" customHeight="1">
      <c r="A139" s="186"/>
      <c r="B139" s="57"/>
      <c r="C139" s="754" t="s">
        <v>2611</v>
      </c>
      <c r="D139" s="754"/>
      <c r="E139" s="754"/>
      <c r="F139" s="754"/>
      <c r="G139" s="754"/>
      <c r="H139" s="754"/>
      <c r="I139" s="754"/>
      <c r="J139" s="754"/>
      <c r="K139" s="754"/>
      <c r="L139" s="754"/>
      <c r="M139" s="754"/>
      <c r="N139" s="754"/>
      <c r="O139" s="754"/>
      <c r="P139" s="754"/>
      <c r="Q139" s="754"/>
      <c r="R139" s="754"/>
      <c r="S139" s="754"/>
      <c r="T139" s="754"/>
      <c r="U139" s="754"/>
      <c r="V139" s="754"/>
      <c r="W139" s="754"/>
      <c r="X139" s="754"/>
      <c r="Y139" s="754"/>
      <c r="Z139" s="754"/>
      <c r="AA139" s="754"/>
      <c r="AB139" s="754"/>
      <c r="AC139" s="754"/>
      <c r="AD139" s="754"/>
      <c r="AK139" t="s">
        <v>2652</v>
      </c>
      <c r="AL139" s="507">
        <f>IF(AN138&gt;0,IF(SUM(J137)&gt;=SUM(M137,P137,S137,V137,Y137,AB137),0,1),IF(SUM(J137)&lt;&gt;SUM(M137,P137,S137,V137,Y137,AB137),1,0))</f>
        <v>0</v>
      </c>
      <c r="AM139" t="s">
        <v>2653</v>
      </c>
      <c r="AN139" s="507">
        <f>IF(AN138&gt;0,IF(SUM(K137)&gt;=SUM(N137,Q137,T137,W137,Z137,AC137),0,1),IF(SUM(K137)&lt;&gt;SUM(N137,Q137,T137,W137,Z137,AC137),1,0))</f>
        <v>0</v>
      </c>
      <c r="AO139" t="s">
        <v>2654</v>
      </c>
      <c r="AP139" s="507">
        <f>IF(AN138&gt;0,IF(SUM(L137)&gt;=SUM(O137,R137,U137,X137,AA137,AD137),0,1),IF(SUM(L137)&lt;&gt;SUM(O137,R137,U137,X137,AA137,AD137),1,0))</f>
        <v>0</v>
      </c>
    </row>
    <row r="140" spans="1:57" ht="60" customHeight="1">
      <c r="A140" s="186"/>
      <c r="B140" s="57"/>
      <c r="C140" s="851"/>
      <c r="D140" s="851"/>
      <c r="E140" s="851"/>
      <c r="F140" s="851"/>
      <c r="G140" s="851"/>
      <c r="H140" s="851"/>
      <c r="I140" s="851"/>
      <c r="J140" s="851"/>
      <c r="K140" s="851"/>
      <c r="L140" s="851"/>
      <c r="M140" s="851"/>
      <c r="N140" s="851"/>
      <c r="O140" s="851"/>
      <c r="P140" s="851"/>
      <c r="Q140" s="851"/>
      <c r="R140" s="851"/>
      <c r="S140" s="851"/>
      <c r="T140" s="851"/>
      <c r="U140" s="851"/>
      <c r="V140" s="851"/>
      <c r="W140" s="851"/>
      <c r="X140" s="851"/>
      <c r="Y140" s="851"/>
      <c r="Z140" s="851"/>
      <c r="AA140" s="851"/>
      <c r="AB140" s="851"/>
      <c r="AC140" s="851"/>
      <c r="AD140" s="851"/>
    </row>
    <row r="141" spans="1:57" ht="15" customHeight="1">
      <c r="A141" s="186"/>
      <c r="B141" s="794" t="str">
        <f>IF(AG137=0,"","Favor de ingresar toda la información requerida en la pregunta")</f>
        <v/>
      </c>
      <c r="C141" s="794"/>
      <c r="D141" s="794"/>
      <c r="E141" s="794"/>
      <c r="F141" s="794"/>
      <c r="G141" s="794"/>
      <c r="H141" s="794"/>
      <c r="I141" s="794"/>
      <c r="J141" s="794"/>
      <c r="K141" s="794"/>
      <c r="L141" s="794"/>
      <c r="M141" s="794"/>
      <c r="N141" s="794"/>
      <c r="O141" s="794"/>
      <c r="P141" s="794"/>
      <c r="Q141" s="794"/>
      <c r="R141" s="794"/>
      <c r="S141" s="794"/>
      <c r="T141" s="794"/>
      <c r="U141" s="794"/>
      <c r="V141" s="794"/>
      <c r="W141" s="794"/>
      <c r="X141" s="794"/>
      <c r="Y141" s="794"/>
      <c r="Z141" s="794"/>
      <c r="AA141" s="794"/>
      <c r="AB141" s="794"/>
      <c r="AC141" s="794"/>
      <c r="AD141" s="794"/>
      <c r="AE141" s="794"/>
    </row>
    <row r="142" spans="1:57" ht="15" customHeight="1">
      <c r="A142" s="186"/>
      <c r="B142" s="1087" t="str">
        <f>IF(COUNTIF(J129:AD136,"NS")&lt;&gt;0,"Alerta: debido a que cuenta con registros NS, debe proporcionar una justificación en el area de comentarios al final de la pregunta","")</f>
        <v/>
      </c>
      <c r="C142" s="1087"/>
      <c r="D142" s="1087"/>
      <c r="E142" s="1087"/>
      <c r="F142" s="1087"/>
      <c r="G142" s="1087"/>
      <c r="H142" s="1087"/>
      <c r="I142" s="1087"/>
      <c r="J142" s="1087"/>
      <c r="K142" s="1087"/>
      <c r="L142" s="1087"/>
      <c r="M142" s="1087"/>
      <c r="N142" s="1087"/>
      <c r="O142" s="1087"/>
      <c r="P142" s="1087"/>
      <c r="Q142" s="1087"/>
      <c r="R142" s="1087"/>
      <c r="S142" s="1087"/>
      <c r="T142" s="1087"/>
      <c r="U142" s="1087"/>
      <c r="V142" s="1087"/>
      <c r="W142" s="1087"/>
      <c r="X142" s="1087"/>
      <c r="Y142" s="1087"/>
      <c r="Z142" s="1087"/>
      <c r="AA142" s="1087"/>
      <c r="AB142" s="1087"/>
      <c r="AC142" s="1087"/>
      <c r="AD142" s="1087"/>
      <c r="AE142" s="1087"/>
    </row>
    <row r="143" spans="1:57" ht="15" customHeight="1">
      <c r="A143" s="108"/>
      <c r="B143" s="1003" t="str">
        <f>IF(AH137&gt;0,"Revise la información capturada, ya que tiene datos ingresados en celdas que están sombreadas","")</f>
        <v/>
      </c>
      <c r="C143" s="1003"/>
      <c r="D143" s="1003"/>
      <c r="E143" s="1003"/>
      <c r="F143" s="1003"/>
      <c r="G143" s="1003"/>
      <c r="H143" s="1003"/>
      <c r="I143" s="1003"/>
      <c r="J143" s="1003"/>
      <c r="K143" s="1003"/>
      <c r="L143" s="1003"/>
      <c r="M143" s="1003"/>
      <c r="N143" s="1003"/>
      <c r="O143" s="1003"/>
      <c r="P143" s="1003"/>
      <c r="Q143" s="1003"/>
      <c r="R143" s="1003"/>
      <c r="S143" s="1003"/>
      <c r="T143" s="1003"/>
      <c r="U143" s="1003"/>
      <c r="V143" s="1003"/>
      <c r="W143" s="1003"/>
      <c r="X143" s="1003"/>
      <c r="Y143" s="1003"/>
      <c r="Z143" s="1003"/>
      <c r="AA143" s="1003"/>
      <c r="AB143" s="1003"/>
      <c r="AC143" s="1003"/>
      <c r="AD143" s="1003"/>
      <c r="AE143" s="1003"/>
    </row>
    <row r="144" spans="1:57" ht="15" customHeight="1">
      <c r="A144" s="108"/>
      <c r="B144" s="1003" t="str">
        <f>IF(OR(AL138&gt;0,AL139&gt;0,AN139&gt;0,AP139&gt;0),"Favor de revisar la suma y consistencia de totales y/o subtotales por filas (numéricos y NS)","")</f>
        <v/>
      </c>
      <c r="C144" s="1003"/>
      <c r="D144" s="1003"/>
      <c r="E144" s="1003"/>
      <c r="F144" s="1003"/>
      <c r="G144" s="1003"/>
      <c r="H144" s="1003"/>
      <c r="I144" s="1003"/>
      <c r="J144" s="1003"/>
      <c r="K144" s="1003"/>
      <c r="L144" s="1003"/>
      <c r="M144" s="1003"/>
      <c r="N144" s="1003"/>
      <c r="O144" s="1003"/>
      <c r="P144" s="1003"/>
      <c r="Q144" s="1003"/>
      <c r="R144" s="1003"/>
      <c r="S144" s="1003"/>
      <c r="T144" s="1003"/>
      <c r="U144" s="1003"/>
      <c r="V144" s="1003"/>
      <c r="W144" s="1003"/>
      <c r="X144" s="1003"/>
      <c r="Y144" s="1003"/>
      <c r="Z144" s="1003"/>
      <c r="AA144" s="1003"/>
      <c r="AB144" s="1003"/>
      <c r="AC144" s="1003"/>
      <c r="AD144" s="1003"/>
      <c r="AE144" s="1003"/>
    </row>
    <row r="145" spans="1:57" ht="15" customHeight="1">
      <c r="A145" s="108"/>
      <c r="B145" s="1003" t="str">
        <f>IF(AI137=0,"","Las cantidades de Hombres y Mujeres por centro especializado debe corresponder con los datos reportados en la preg. anterior")</f>
        <v/>
      </c>
      <c r="C145" s="1003"/>
      <c r="D145" s="1003"/>
      <c r="E145" s="1003"/>
      <c r="F145" s="1003"/>
      <c r="G145" s="1003"/>
      <c r="H145" s="1003"/>
      <c r="I145" s="1003"/>
      <c r="J145" s="1003"/>
      <c r="K145" s="1003"/>
      <c r="L145" s="1003"/>
      <c r="M145" s="1003"/>
      <c r="N145" s="1003"/>
      <c r="O145" s="1003"/>
      <c r="P145" s="1003"/>
      <c r="Q145" s="1003"/>
      <c r="R145" s="1003"/>
      <c r="S145" s="1003"/>
      <c r="T145" s="1003"/>
      <c r="U145" s="1003"/>
      <c r="V145" s="1003"/>
      <c r="W145" s="1003"/>
      <c r="X145" s="1003"/>
      <c r="Y145" s="1003"/>
      <c r="Z145" s="1003"/>
      <c r="AA145" s="1003"/>
      <c r="AB145" s="1003"/>
      <c r="AC145" s="1003"/>
      <c r="AD145" s="1003"/>
      <c r="AE145" s="1003"/>
    </row>
    <row r="146" spans="1:57" ht="15" customHeight="1">
      <c r="A146" s="186"/>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row>
    <row r="147" spans="1:57" ht="48" customHeight="1">
      <c r="A147" s="49" t="s">
        <v>5196</v>
      </c>
      <c r="B147" s="829" t="s">
        <v>5197</v>
      </c>
      <c r="C147" s="829"/>
      <c r="D147" s="829"/>
      <c r="E147" s="829"/>
      <c r="F147" s="829"/>
      <c r="G147" s="829"/>
      <c r="H147" s="829"/>
      <c r="I147" s="829"/>
      <c r="J147" s="829"/>
      <c r="K147" s="829"/>
      <c r="L147" s="829"/>
      <c r="M147" s="829"/>
      <c r="N147" s="829"/>
      <c r="O147" s="829"/>
      <c r="P147" s="829"/>
      <c r="Q147" s="829"/>
      <c r="R147" s="829"/>
      <c r="S147" s="829"/>
      <c r="T147" s="829"/>
      <c r="U147" s="829"/>
      <c r="V147" s="829"/>
      <c r="W147" s="829"/>
      <c r="X147" s="829"/>
      <c r="Y147" s="829"/>
      <c r="Z147" s="829"/>
      <c r="AA147" s="829"/>
      <c r="AB147" s="829"/>
      <c r="AC147" s="829"/>
      <c r="AD147" s="829"/>
    </row>
    <row r="148" spans="1:57" ht="24" customHeight="1">
      <c r="A148" s="49"/>
      <c r="B148" s="105"/>
      <c r="C148" s="754" t="s">
        <v>5198</v>
      </c>
      <c r="D148" s="754"/>
      <c r="E148" s="754"/>
      <c r="F148" s="754"/>
      <c r="G148" s="754"/>
      <c r="H148" s="754"/>
      <c r="I148" s="754"/>
      <c r="J148" s="754"/>
      <c r="K148" s="754"/>
      <c r="L148" s="754"/>
      <c r="M148" s="754"/>
      <c r="N148" s="754"/>
      <c r="O148" s="754"/>
      <c r="P148" s="754"/>
      <c r="Q148" s="754"/>
      <c r="R148" s="754"/>
      <c r="S148" s="754"/>
      <c r="T148" s="754"/>
      <c r="U148" s="754"/>
      <c r="V148" s="754"/>
      <c r="W148" s="754"/>
      <c r="X148" s="754"/>
      <c r="Y148" s="754"/>
      <c r="Z148" s="754"/>
      <c r="AA148" s="754"/>
      <c r="AB148" s="754"/>
      <c r="AC148" s="754"/>
      <c r="AD148" s="754"/>
    </row>
    <row r="149" spans="1:57" ht="36" customHeight="1">
      <c r="A149" s="49"/>
      <c r="B149" s="105"/>
      <c r="C149" s="754" t="s">
        <v>5199</v>
      </c>
      <c r="D149" s="754"/>
      <c r="E149" s="754"/>
      <c r="F149" s="754"/>
      <c r="G149" s="754"/>
      <c r="H149" s="754"/>
      <c r="I149" s="754"/>
      <c r="J149" s="754"/>
      <c r="K149" s="754"/>
      <c r="L149" s="754"/>
      <c r="M149" s="754"/>
      <c r="N149" s="754"/>
      <c r="O149" s="754"/>
      <c r="P149" s="754"/>
      <c r="Q149" s="754"/>
      <c r="R149" s="754"/>
      <c r="S149" s="754"/>
      <c r="T149" s="754"/>
      <c r="U149" s="754"/>
      <c r="V149" s="754"/>
      <c r="W149" s="754"/>
      <c r="X149" s="754"/>
      <c r="Y149" s="754"/>
      <c r="Z149" s="754"/>
      <c r="AA149" s="754"/>
      <c r="AB149" s="754"/>
      <c r="AC149" s="754"/>
      <c r="AD149" s="754"/>
    </row>
    <row r="150" spans="1:57" ht="24" customHeight="1">
      <c r="A150" s="110"/>
      <c r="B150" s="57"/>
      <c r="C150" s="830" t="s">
        <v>5200</v>
      </c>
      <c r="D150" s="830"/>
      <c r="E150" s="830"/>
      <c r="F150" s="830"/>
      <c r="G150" s="830"/>
      <c r="H150" s="830"/>
      <c r="I150" s="830"/>
      <c r="J150" s="830"/>
      <c r="K150" s="830"/>
      <c r="L150" s="830"/>
      <c r="M150" s="830"/>
      <c r="N150" s="830"/>
      <c r="O150" s="830"/>
      <c r="P150" s="830"/>
      <c r="Q150" s="830"/>
      <c r="R150" s="830"/>
      <c r="S150" s="830"/>
      <c r="T150" s="830"/>
      <c r="U150" s="830"/>
      <c r="V150" s="830"/>
      <c r="W150" s="830"/>
      <c r="X150" s="830"/>
      <c r="Y150" s="830"/>
      <c r="Z150" s="830"/>
      <c r="AA150" s="830"/>
      <c r="AB150" s="830"/>
      <c r="AC150" s="830"/>
      <c r="AD150" s="830"/>
    </row>
    <row r="151" spans="1:57" ht="36" customHeight="1">
      <c r="A151" s="110"/>
      <c r="B151" s="57"/>
      <c r="C151" s="830" t="s">
        <v>5201</v>
      </c>
      <c r="D151" s="830"/>
      <c r="E151" s="830"/>
      <c r="F151" s="830"/>
      <c r="G151" s="830"/>
      <c r="H151" s="830"/>
      <c r="I151" s="830"/>
      <c r="J151" s="830"/>
      <c r="K151" s="830"/>
      <c r="L151" s="830"/>
      <c r="M151" s="830"/>
      <c r="N151" s="830"/>
      <c r="O151" s="830"/>
      <c r="P151" s="830"/>
      <c r="Q151" s="830"/>
      <c r="R151" s="830"/>
      <c r="S151" s="830"/>
      <c r="T151" s="830"/>
      <c r="U151" s="830"/>
      <c r="V151" s="830"/>
      <c r="W151" s="830"/>
      <c r="X151" s="830"/>
      <c r="Y151" s="830"/>
      <c r="Z151" s="830"/>
      <c r="AA151" s="830"/>
      <c r="AB151" s="830"/>
      <c r="AC151" s="830"/>
      <c r="AD151" s="830"/>
    </row>
    <row r="152" spans="1:57" ht="15" customHeight="1">
      <c r="A152" s="10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row>
    <row r="153" spans="1:57" ht="15" customHeight="1">
      <c r="A153" s="96"/>
      <c r="B153" s="57"/>
      <c r="C153" s="45" t="s">
        <v>5202</v>
      </c>
      <c r="D153" s="86"/>
      <c r="E153" s="86"/>
      <c r="F153" s="86"/>
      <c r="G153" s="86"/>
      <c r="H153" s="86"/>
      <c r="I153" s="86"/>
      <c r="J153" s="86"/>
      <c r="K153" s="86"/>
      <c r="L153" s="86"/>
      <c r="M153" s="86"/>
      <c r="N153" s="86"/>
      <c r="O153" s="86"/>
      <c r="P153" s="86"/>
      <c r="Q153" s="86"/>
      <c r="R153" s="86"/>
      <c r="S153" s="86"/>
      <c r="T153" s="86"/>
      <c r="U153" s="86"/>
      <c r="V153" s="86"/>
      <c r="W153" s="86"/>
      <c r="X153" s="86"/>
      <c r="Y153" s="86"/>
      <c r="Z153" s="86"/>
      <c r="AA153" s="86"/>
      <c r="AB153" s="86"/>
      <c r="AC153" s="86"/>
      <c r="AD153" s="86"/>
    </row>
    <row r="154" spans="1:57" ht="15" customHeight="1">
      <c r="A154" s="10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row>
    <row r="155" spans="1:57" ht="15" customHeight="1">
      <c r="A155" s="49"/>
      <c r="B155" s="38"/>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c r="AA155" s="873" t="s">
        <v>2664</v>
      </c>
      <c r="AB155" s="873"/>
      <c r="AC155" s="873"/>
      <c r="AD155" s="873"/>
    </row>
    <row r="156" spans="1:57" ht="24" customHeight="1">
      <c r="A156" s="49"/>
      <c r="B156" s="38"/>
      <c r="C156" s="732" t="s">
        <v>2581</v>
      </c>
      <c r="D156" s="732"/>
      <c r="E156" s="732"/>
      <c r="F156" s="732"/>
      <c r="G156" s="732"/>
      <c r="H156" s="732"/>
      <c r="I156" s="732"/>
      <c r="J156" s="732"/>
      <c r="K156" s="732"/>
      <c r="L156" s="732"/>
      <c r="M156" s="739" t="s">
        <v>5203</v>
      </c>
      <c r="N156" s="740"/>
      <c r="O156" s="740"/>
      <c r="P156" s="740"/>
      <c r="Q156" s="740"/>
      <c r="R156" s="740"/>
      <c r="S156" s="740"/>
      <c r="T156" s="740"/>
      <c r="U156" s="740"/>
      <c r="V156" s="740"/>
      <c r="W156" s="740"/>
      <c r="X156" s="740"/>
      <c r="Y156" s="740"/>
      <c r="Z156" s="740"/>
      <c r="AA156" s="740"/>
      <c r="AB156" s="740"/>
      <c r="AC156" s="740"/>
      <c r="AD156" s="741"/>
    </row>
    <row r="157" spans="1:57" ht="48" customHeight="1">
      <c r="A157" s="49"/>
      <c r="B157" s="38"/>
      <c r="C157" s="732"/>
      <c r="D157" s="732"/>
      <c r="E157" s="732"/>
      <c r="F157" s="732"/>
      <c r="G157" s="732"/>
      <c r="H157" s="732"/>
      <c r="I157" s="732"/>
      <c r="J157" s="732"/>
      <c r="K157" s="732"/>
      <c r="L157" s="732"/>
      <c r="M157" s="887" t="s">
        <v>2628</v>
      </c>
      <c r="N157" s="889" t="s">
        <v>2629</v>
      </c>
      <c r="O157" s="889" t="s">
        <v>2630</v>
      </c>
      <c r="P157" s="736" t="s">
        <v>5204</v>
      </c>
      <c r="Q157" s="736"/>
      <c r="R157" s="736"/>
      <c r="S157" s="736" t="s">
        <v>5205</v>
      </c>
      <c r="T157" s="736"/>
      <c r="U157" s="736"/>
      <c r="V157" s="736" t="s">
        <v>5206</v>
      </c>
      <c r="W157" s="736"/>
      <c r="X157" s="736"/>
      <c r="Y157" s="736" t="s">
        <v>5207</v>
      </c>
      <c r="Z157" s="736"/>
      <c r="AA157" s="736"/>
      <c r="AB157" s="736" t="s">
        <v>5208</v>
      </c>
      <c r="AC157" s="736"/>
      <c r="AD157" s="736"/>
    </row>
    <row r="158" spans="1:57" ht="48" customHeight="1">
      <c r="A158" s="49"/>
      <c r="B158" s="38"/>
      <c r="C158" s="732"/>
      <c r="D158" s="732"/>
      <c r="E158" s="732"/>
      <c r="F158" s="732"/>
      <c r="G158" s="732"/>
      <c r="H158" s="732"/>
      <c r="I158" s="732"/>
      <c r="J158" s="732"/>
      <c r="K158" s="732"/>
      <c r="L158" s="732"/>
      <c r="M158" s="888"/>
      <c r="N158" s="890"/>
      <c r="O158" s="890"/>
      <c r="P158" s="127" t="s">
        <v>2635</v>
      </c>
      <c r="Q158" s="128" t="s">
        <v>2629</v>
      </c>
      <c r="R158" s="128" t="s">
        <v>2630</v>
      </c>
      <c r="S158" s="127" t="s">
        <v>2635</v>
      </c>
      <c r="T158" s="128" t="s">
        <v>2629</v>
      </c>
      <c r="U158" s="128" t="s">
        <v>2630</v>
      </c>
      <c r="V158" s="127" t="s">
        <v>2635</v>
      </c>
      <c r="W158" s="128" t="s">
        <v>2629</v>
      </c>
      <c r="X158" s="128" t="s">
        <v>2630</v>
      </c>
      <c r="Y158" s="127" t="s">
        <v>2635</v>
      </c>
      <c r="Z158" s="128" t="s">
        <v>2629</v>
      </c>
      <c r="AA158" s="128" t="s">
        <v>2630</v>
      </c>
      <c r="AB158" s="127" t="s">
        <v>2635</v>
      </c>
      <c r="AC158" s="128" t="s">
        <v>2629</v>
      </c>
      <c r="AD158" s="128" t="s">
        <v>2630</v>
      </c>
      <c r="AH158" t="s">
        <v>5209</v>
      </c>
      <c r="AI158" t="s">
        <v>5210</v>
      </c>
      <c r="AJ158" t="s">
        <v>5211</v>
      </c>
      <c r="AK158" t="s">
        <v>4573</v>
      </c>
      <c r="AL158" t="s">
        <v>2638</v>
      </c>
      <c r="AM158" t="s">
        <v>2639</v>
      </c>
      <c r="AN158" t="s">
        <v>4574</v>
      </c>
      <c r="AO158" t="s">
        <v>2641</v>
      </c>
      <c r="AP158" t="s">
        <v>2642</v>
      </c>
      <c r="AQ158" t="s">
        <v>4575</v>
      </c>
      <c r="AR158" t="s">
        <v>2644</v>
      </c>
      <c r="AS158" t="s">
        <v>2645</v>
      </c>
      <c r="AT158" t="s">
        <v>4576</v>
      </c>
      <c r="AU158" t="s">
        <v>2647</v>
      </c>
      <c r="AV158" t="s">
        <v>2648</v>
      </c>
      <c r="AW158" t="s">
        <v>5177</v>
      </c>
      <c r="AX158" t="s">
        <v>2757</v>
      </c>
      <c r="AY158" t="s">
        <v>2758</v>
      </c>
      <c r="AZ158" t="s">
        <v>5194</v>
      </c>
      <c r="BA158" t="s">
        <v>2760</v>
      </c>
      <c r="BB158" t="s">
        <v>2761</v>
      </c>
      <c r="BC158" t="s">
        <v>2586</v>
      </c>
      <c r="BD158" t="s">
        <v>4581</v>
      </c>
      <c r="BE158" t="s">
        <v>4582</v>
      </c>
    </row>
    <row r="159" spans="1:57" ht="15" customHeight="1">
      <c r="A159" s="49"/>
      <c r="B159" s="38"/>
      <c r="C159" s="97" t="s">
        <v>2516</v>
      </c>
      <c r="D159" s="813" t="str">
        <f>IF(CNSIPEE_2024_M2_Secc1!D42="","",CNSIPEE_2024_M2_Secc1!D42)</f>
        <v/>
      </c>
      <c r="E159" s="814"/>
      <c r="F159" s="814"/>
      <c r="G159" s="814"/>
      <c r="H159" s="814"/>
      <c r="I159" s="814"/>
      <c r="J159" s="814"/>
      <c r="K159" s="814"/>
      <c r="L159" s="815"/>
      <c r="M159" s="100"/>
      <c r="N159" s="100"/>
      <c r="O159" s="100"/>
      <c r="P159" s="100"/>
      <c r="Q159" s="100"/>
      <c r="R159" s="100"/>
      <c r="S159" s="100"/>
      <c r="T159" s="100"/>
      <c r="U159" s="100"/>
      <c r="V159" s="100"/>
      <c r="W159" s="100"/>
      <c r="X159" s="100"/>
      <c r="Y159" s="100"/>
      <c r="Z159" s="100"/>
      <c r="AA159" s="100"/>
      <c r="AB159" s="100"/>
      <c r="AC159" s="100"/>
      <c r="AD159" s="100"/>
      <c r="AH159">
        <f t="shared" ref="AH159:AJ166" si="130">IF(AND(SUM(V89,Y89,AB89)=0,SUM(COUNTIF(V89,"NS"),COUNTIF(Y89,"NS"),COUNTIF(AB89,"NS"))&gt;0),"NS",IF(AND(SUM(V89,Y89,AB89)=0,SUM(COUNTIF(V89,0),COUNTIF(Y89,0),COUNTIF(AB89,0))&gt;0),0,IF(AND(SUM(V89,Y89,AB89)=0,SUM(COUNTIF(V89,"NA"),COUNTIF(Y89,"NA"),COUNTIF(AB89,"NA"))&gt;0),"NA",SUM(V89,Y89,AB89))))</f>
        <v>0</v>
      </c>
      <c r="AI159">
        <f t="shared" si="130"/>
        <v>0</v>
      </c>
      <c r="AJ159">
        <f t="shared" si="130"/>
        <v>0</v>
      </c>
      <c r="AK159">
        <f>COUNTIF(N159:O159,"NS")</f>
        <v>0</v>
      </c>
      <c r="AL159">
        <f>SUM(N159:O159)</f>
        <v>0</v>
      </c>
      <c r="AM159">
        <f>IF(COUNTIF(M159:O159,"NA")=3,0,IF(COUNTA(M159:O159)=0,0,IF(OR(AND(M159=0,AK159&gt;0),AND(M159="ns",AL159&gt;0),AND(M159="ns",AK159=0,AL159=0)),1,IF(OR(AND(M159&gt;0,AK159=2),AND(M159="ns",AK159=2),AND(M159="ns",AL159=0,AK159&gt;0),M159=AL159),0,1))))</f>
        <v>0</v>
      </c>
      <c r="AN159">
        <f t="shared" ref="AN159" si="131">COUNTIF(Q159:R159,"NS")</f>
        <v>0</v>
      </c>
      <c r="AO159">
        <f t="shared" ref="AO159" si="132">SUM(Q159:R159)</f>
        <v>0</v>
      </c>
      <c r="AP159">
        <f t="shared" ref="AP159" si="133">IF(COUNTIF(P159:R159,"NA")=3,0,IF(COUNTA(P159:R159)=0,0,IF(OR(AND(P159=0,AN159&gt;0),AND(P159="ns",AO159&gt;0),AND(P159="ns",AN159=0,AO159=0)),1,IF(OR(AND(P159&gt;0,AN159=2),AND(P159="ns",AN159=2),AND(P159="ns",AO159=0,AN159&gt;0),P159=AO159),0,1))))</f>
        <v>0</v>
      </c>
      <c r="AQ159">
        <f t="shared" ref="AQ159" si="134">COUNTIF(T159:U159,"NS")</f>
        <v>0</v>
      </c>
      <c r="AR159">
        <f t="shared" ref="AR159" si="135">SUM(T159:U159)</f>
        <v>0</v>
      </c>
      <c r="AS159">
        <f t="shared" ref="AS159" si="136">IF(COUNTIF(S159:U159,"NA")=3,0,IF(COUNTA(S159:U159)=0,0,IF(OR(AND(S159=0,AQ159&gt;0),AND(S159="ns",AR159&gt;0),AND(S159="ns",AQ159=0,AR159=0)),1,IF(OR(AND(S159&gt;0,AQ159=2),AND(S159="ns",AQ159=2),AND(S159="ns",AR159=0,AQ159&gt;0),S159=AR159),0,1))))</f>
        <v>0</v>
      </c>
      <c r="AT159">
        <f t="shared" ref="AT159" si="137">COUNTIF(W159:X159,"NS")</f>
        <v>0</v>
      </c>
      <c r="AU159">
        <f t="shared" ref="AU159" si="138">SUM(W159:X159)</f>
        <v>0</v>
      </c>
      <c r="AV159">
        <f t="shared" ref="AV159" si="139">IF(COUNTIF(V159:X159,"NA")=3,0,IF(COUNTA(V159:X159)=0,0,IF(OR(AND(V159=0,AT159&gt;0),AND(V159="ns",AU159&gt;0),AND(V159="ns",AT159=0,AU159=0)),1,IF(OR(AND(V159&gt;0,AT159=2),AND(V159="ns",AT159=2),AND(V159="ns",AU159=0,AT159&gt;0),V159=AU159),0,1))))</f>
        <v>0</v>
      </c>
      <c r="AW159">
        <f t="shared" ref="AW159" si="140">COUNTIF(Z159:AA159,"NS")</f>
        <v>0</v>
      </c>
      <c r="AX159">
        <f t="shared" ref="AX159" si="141">SUM(Z159:AA159)</f>
        <v>0</v>
      </c>
      <c r="AY159">
        <f t="shared" ref="AY159" si="142">IF(COUNTIF(Y159:AA159,"NA")=3,0,IF(COUNTA(Y159:AA159)=0,0,IF(OR(AND(Y159=0,AW159&gt;0),AND(Y159="ns",AX159&gt;0),AND(Y159="ns",AW159=0,AX159=0)),1,IF(OR(AND(Y159&gt;0,AW159=2),AND(Y159="ns",AW159=2),AND(Y159="ns",AX159=0,AW159&gt;0),Y159=AX159),0,1))))</f>
        <v>0</v>
      </c>
      <c r="AZ159">
        <f t="shared" ref="AZ159" si="143">COUNTIF(AC159:AD159,"NS")</f>
        <v>0</v>
      </c>
      <c r="BA159">
        <f t="shared" ref="BA159" si="144">SUM(AC159:AD159)</f>
        <v>0</v>
      </c>
      <c r="BB159">
        <f t="shared" ref="BB159" si="145">IF(COUNTIF(AB159:AD159,"NA")=3,0,IF(COUNTA(AB159:AD159)=0,0,IF(OR(AND(AB159=0,AZ159&gt;0),AND(AB159="ns",BA159&gt;0),AND(AB159="ns",AZ159=0,BA159=0)),1,IF(OR(AND(AB159&gt;0,AZ159=2),AND(AB159="ns",AZ159=2),AND(AB159="ns",BA159=0,AZ159&gt;0),AB159=BA159),0,1))))</f>
        <v>0</v>
      </c>
      <c r="BC159">
        <f>IF(OR($AH159=0,$AH159="NS",$AH159="NA"),0,IF(OR(SUM(COUNTBLANK(D159:AD159),COUNTBLANK(J173:AD173))=8,SUM(COUNTBLANK(D159:AD159),COUNTBLANK(J173:AD173))=48),0,1))</f>
        <v>0</v>
      </c>
      <c r="BD159">
        <f>IF(OR($AH159=0,$AH159="NS",$AH159="NA"),IF(SUM(COUNTBLANK(M159:AD159),COUNTBLANK(J173:AD173))=39,0,1),0)</f>
        <v>0</v>
      </c>
      <c r="BE159">
        <f>IF(OR($AH159=0,$AH159="NS",$AH159="NA"),0,IF(AND(M159=AH159,N159=AI159,O159=AJ159),0,1))</f>
        <v>0</v>
      </c>
    </row>
    <row r="160" spans="1:57" ht="15" customHeight="1">
      <c r="A160" s="49"/>
      <c r="B160" s="38"/>
      <c r="C160" s="98" t="s">
        <v>2517</v>
      </c>
      <c r="D160" s="813" t="str">
        <f>IF(CNSIPEE_2024_M2_Secc1!D43="","",CNSIPEE_2024_M2_Secc1!D43)</f>
        <v/>
      </c>
      <c r="E160" s="814"/>
      <c r="F160" s="814"/>
      <c r="G160" s="814"/>
      <c r="H160" s="814"/>
      <c r="I160" s="814"/>
      <c r="J160" s="814"/>
      <c r="K160" s="814"/>
      <c r="L160" s="815"/>
      <c r="M160" s="100"/>
      <c r="N160" s="100"/>
      <c r="O160" s="100"/>
      <c r="P160" s="100"/>
      <c r="Q160" s="100"/>
      <c r="R160" s="100"/>
      <c r="S160" s="100"/>
      <c r="T160" s="100"/>
      <c r="U160" s="100"/>
      <c r="V160" s="100"/>
      <c r="W160" s="100"/>
      <c r="X160" s="100"/>
      <c r="Y160" s="100"/>
      <c r="Z160" s="100"/>
      <c r="AA160" s="100"/>
      <c r="AB160" s="100"/>
      <c r="AC160" s="100"/>
      <c r="AD160" s="100"/>
      <c r="AH160">
        <f t="shared" si="130"/>
        <v>0</v>
      </c>
      <c r="AI160">
        <f t="shared" si="130"/>
        <v>0</v>
      </c>
      <c r="AJ160">
        <f t="shared" si="130"/>
        <v>0</v>
      </c>
      <c r="AK160">
        <f t="shared" ref="AK160:AK166" si="146">COUNTIF(N160:O160,"NS")</f>
        <v>0</v>
      </c>
      <c r="AL160">
        <f t="shared" ref="AL160:AL166" si="147">SUM(N160:O160)</f>
        <v>0</v>
      </c>
      <c r="AM160">
        <f t="shared" ref="AM160:AM166" si="148">IF(COUNTIF(M160:O160,"NA")=3,0,IF(COUNTA(M160:O160)=0,0,IF(OR(AND(M160=0,AK160&gt;0),AND(M160="ns",AL160&gt;0),AND(M160="ns",AK160=0,AL160=0)),1,IF(OR(AND(M160&gt;0,AK160=2),AND(M160="ns",AK160=2),AND(M160="ns",AL160=0,AK160&gt;0),M160=AL160),0,1))))</f>
        <v>0</v>
      </c>
      <c r="AN160">
        <f t="shared" ref="AN160:AN166" si="149">COUNTIF(Q160:R160,"NS")</f>
        <v>0</v>
      </c>
      <c r="AO160">
        <f t="shared" ref="AO160:AO166" si="150">SUM(Q160:R160)</f>
        <v>0</v>
      </c>
      <c r="AP160">
        <f t="shared" ref="AP160:AP166" si="151">IF(COUNTIF(P160:R160,"NA")=3,0,IF(COUNTA(P160:R160)=0,0,IF(OR(AND(P160=0,AN160&gt;0),AND(P160="ns",AO160&gt;0),AND(P160="ns",AN160=0,AO160=0)),1,IF(OR(AND(P160&gt;0,AN160=2),AND(P160="ns",AN160=2),AND(P160="ns",AO160=0,AN160&gt;0),P160=AO160),0,1))))</f>
        <v>0</v>
      </c>
      <c r="AQ160">
        <f t="shared" ref="AQ160:AQ166" si="152">COUNTIF(T160:U160,"NS")</f>
        <v>0</v>
      </c>
      <c r="AR160">
        <f t="shared" ref="AR160:AR166" si="153">SUM(T160:U160)</f>
        <v>0</v>
      </c>
      <c r="AS160">
        <f t="shared" ref="AS160:AS166" si="154">IF(COUNTIF(S160:U160,"NA")=3,0,IF(COUNTA(S160:U160)=0,0,IF(OR(AND(S160=0,AQ160&gt;0),AND(S160="ns",AR160&gt;0),AND(S160="ns",AQ160=0,AR160=0)),1,IF(OR(AND(S160&gt;0,AQ160=2),AND(S160="ns",AQ160=2),AND(S160="ns",AR160=0,AQ160&gt;0),S160=AR160),0,1))))</f>
        <v>0</v>
      </c>
      <c r="AT160">
        <f t="shared" ref="AT160:AT166" si="155">COUNTIF(W160:X160,"NS")</f>
        <v>0</v>
      </c>
      <c r="AU160">
        <f t="shared" ref="AU160:AU166" si="156">SUM(W160:X160)</f>
        <v>0</v>
      </c>
      <c r="AV160">
        <f t="shared" ref="AV160:AV166" si="157">IF(COUNTIF(V160:X160,"NA")=3,0,IF(COUNTA(V160:X160)=0,0,IF(OR(AND(V160=0,AT160&gt;0),AND(V160="ns",AU160&gt;0),AND(V160="ns",AT160=0,AU160=0)),1,IF(OR(AND(V160&gt;0,AT160=2),AND(V160="ns",AT160=2),AND(V160="ns",AU160=0,AT160&gt;0),V160=AU160),0,1))))</f>
        <v>0</v>
      </c>
      <c r="AW160">
        <f t="shared" ref="AW160:AW166" si="158">COUNTIF(Z160:AA160,"NS")</f>
        <v>0</v>
      </c>
      <c r="AX160">
        <f t="shared" ref="AX160:AX166" si="159">SUM(Z160:AA160)</f>
        <v>0</v>
      </c>
      <c r="AY160">
        <f t="shared" ref="AY160:AY166" si="160">IF(COUNTIF(Y160:AA160,"NA")=3,0,IF(COUNTA(Y160:AA160)=0,0,IF(OR(AND(Y160=0,AW160&gt;0),AND(Y160="ns",AX160&gt;0),AND(Y160="ns",AW160=0,AX160=0)),1,IF(OR(AND(Y160&gt;0,AW160=2),AND(Y160="ns",AW160=2),AND(Y160="ns",AX160=0,AW160&gt;0),Y160=AX160),0,1))))</f>
        <v>0</v>
      </c>
      <c r="AZ160">
        <f t="shared" ref="AZ160:AZ166" si="161">COUNTIF(AC160:AD160,"NS")</f>
        <v>0</v>
      </c>
      <c r="BA160">
        <f t="shared" ref="BA160:BA166" si="162">SUM(AC160:AD160)</f>
        <v>0</v>
      </c>
      <c r="BB160">
        <f t="shared" ref="BB160:BB166" si="163">IF(COUNTIF(AB160:AD160,"NA")=3,0,IF(COUNTA(AB160:AD160)=0,0,IF(OR(AND(AB160=0,AZ160&gt;0),AND(AB160="ns",BA160&gt;0),AND(AB160="ns",AZ160=0,BA160=0)),1,IF(OR(AND(AB160&gt;0,AZ160=2),AND(AB160="ns",AZ160=2),AND(AB160="ns",BA160=0,AZ160&gt;0),AB160=BA160),0,1))))</f>
        <v>0</v>
      </c>
      <c r="BC160">
        <f t="shared" ref="BC160:BC166" si="164">IF(OR($AH160=0,$AH160="NS",$AH160="NA"),0,IF(OR(SUM(COUNTBLANK(D160:AD160),COUNTBLANK(J174:AD174))=8,SUM(COUNTBLANK(D160:AD160),COUNTBLANK(J174:AD174))=48),0,1))</f>
        <v>0</v>
      </c>
      <c r="BD160">
        <f t="shared" ref="BD160:BD166" si="165">IF(OR($AH160=0,$AH160="NS",$AH160="NA"),IF(SUM(COUNTBLANK(M160:AD160),COUNTBLANK(J174:AD174))=39,0,1),0)</f>
        <v>0</v>
      </c>
      <c r="BE160">
        <f t="shared" ref="BE160:BE166" si="166">IF(OR($AH160=0,$AH160="NS",$AH160="NA"),0,IF(AND(M160=AH160,N160=AI160,O160=AJ160),0,1))</f>
        <v>0</v>
      </c>
    </row>
    <row r="161" spans="1:57" ht="15" customHeight="1">
      <c r="A161" s="49"/>
      <c r="B161" s="38"/>
      <c r="C161" s="98" t="s">
        <v>2518</v>
      </c>
      <c r="D161" s="813" t="str">
        <f>IF(CNSIPEE_2024_M2_Secc1!D44="","",CNSIPEE_2024_M2_Secc1!D44)</f>
        <v/>
      </c>
      <c r="E161" s="814"/>
      <c r="F161" s="814"/>
      <c r="G161" s="814"/>
      <c r="H161" s="814"/>
      <c r="I161" s="814"/>
      <c r="J161" s="814"/>
      <c r="K161" s="814"/>
      <c r="L161" s="815"/>
      <c r="M161" s="100"/>
      <c r="N161" s="100"/>
      <c r="O161" s="100"/>
      <c r="P161" s="100"/>
      <c r="Q161" s="100"/>
      <c r="R161" s="100"/>
      <c r="S161" s="100"/>
      <c r="T161" s="100"/>
      <c r="U161" s="100"/>
      <c r="V161" s="100"/>
      <c r="W161" s="100"/>
      <c r="X161" s="100"/>
      <c r="Y161" s="100"/>
      <c r="Z161" s="100"/>
      <c r="AA161" s="100"/>
      <c r="AB161" s="100"/>
      <c r="AC161" s="100"/>
      <c r="AD161" s="100"/>
      <c r="AH161">
        <f t="shared" si="130"/>
        <v>0</v>
      </c>
      <c r="AI161">
        <f t="shared" si="130"/>
        <v>0</v>
      </c>
      <c r="AJ161">
        <f t="shared" si="130"/>
        <v>0</v>
      </c>
      <c r="AK161">
        <f t="shared" si="146"/>
        <v>0</v>
      </c>
      <c r="AL161">
        <f t="shared" si="147"/>
        <v>0</v>
      </c>
      <c r="AM161">
        <f t="shared" si="148"/>
        <v>0</v>
      </c>
      <c r="AN161">
        <f t="shared" si="149"/>
        <v>0</v>
      </c>
      <c r="AO161">
        <f t="shared" si="150"/>
        <v>0</v>
      </c>
      <c r="AP161">
        <f t="shared" si="151"/>
        <v>0</v>
      </c>
      <c r="AQ161">
        <f t="shared" si="152"/>
        <v>0</v>
      </c>
      <c r="AR161">
        <f t="shared" si="153"/>
        <v>0</v>
      </c>
      <c r="AS161">
        <f t="shared" si="154"/>
        <v>0</v>
      </c>
      <c r="AT161">
        <f t="shared" si="155"/>
        <v>0</v>
      </c>
      <c r="AU161">
        <f t="shared" si="156"/>
        <v>0</v>
      </c>
      <c r="AV161">
        <f t="shared" si="157"/>
        <v>0</v>
      </c>
      <c r="AW161">
        <f t="shared" si="158"/>
        <v>0</v>
      </c>
      <c r="AX161">
        <f t="shared" si="159"/>
        <v>0</v>
      </c>
      <c r="AY161">
        <f t="shared" si="160"/>
        <v>0</v>
      </c>
      <c r="AZ161">
        <f t="shared" si="161"/>
        <v>0</v>
      </c>
      <c r="BA161">
        <f t="shared" si="162"/>
        <v>0</v>
      </c>
      <c r="BB161">
        <f t="shared" si="163"/>
        <v>0</v>
      </c>
      <c r="BC161">
        <f t="shared" si="164"/>
        <v>0</v>
      </c>
      <c r="BD161">
        <f t="shared" si="165"/>
        <v>0</v>
      </c>
      <c r="BE161">
        <f t="shared" si="166"/>
        <v>0</v>
      </c>
    </row>
    <row r="162" spans="1:57" ht="15" customHeight="1">
      <c r="A162" s="49"/>
      <c r="B162" s="38"/>
      <c r="C162" s="98" t="s">
        <v>2519</v>
      </c>
      <c r="D162" s="813" t="str">
        <f>IF(CNSIPEE_2024_M2_Secc1!D45="","",CNSIPEE_2024_M2_Secc1!D45)</f>
        <v/>
      </c>
      <c r="E162" s="814"/>
      <c r="F162" s="814"/>
      <c r="G162" s="814"/>
      <c r="H162" s="814"/>
      <c r="I162" s="814"/>
      <c r="J162" s="814"/>
      <c r="K162" s="814"/>
      <c r="L162" s="815"/>
      <c r="M162" s="100"/>
      <c r="N162" s="100"/>
      <c r="O162" s="100"/>
      <c r="P162" s="100"/>
      <c r="Q162" s="100"/>
      <c r="R162" s="100"/>
      <c r="S162" s="100"/>
      <c r="T162" s="100"/>
      <c r="U162" s="100"/>
      <c r="V162" s="100"/>
      <c r="W162" s="100"/>
      <c r="X162" s="100"/>
      <c r="Y162" s="100"/>
      <c r="Z162" s="100"/>
      <c r="AA162" s="100"/>
      <c r="AB162" s="100"/>
      <c r="AC162" s="100"/>
      <c r="AD162" s="100"/>
      <c r="AH162">
        <f t="shared" si="130"/>
        <v>0</v>
      </c>
      <c r="AI162">
        <f t="shared" si="130"/>
        <v>0</v>
      </c>
      <c r="AJ162">
        <f t="shared" si="130"/>
        <v>0</v>
      </c>
      <c r="AK162">
        <f t="shared" si="146"/>
        <v>0</v>
      </c>
      <c r="AL162">
        <f t="shared" si="147"/>
        <v>0</v>
      </c>
      <c r="AM162">
        <f t="shared" si="148"/>
        <v>0</v>
      </c>
      <c r="AN162">
        <f t="shared" si="149"/>
        <v>0</v>
      </c>
      <c r="AO162">
        <f t="shared" si="150"/>
        <v>0</v>
      </c>
      <c r="AP162">
        <f t="shared" si="151"/>
        <v>0</v>
      </c>
      <c r="AQ162">
        <f t="shared" si="152"/>
        <v>0</v>
      </c>
      <c r="AR162">
        <f t="shared" si="153"/>
        <v>0</v>
      </c>
      <c r="AS162">
        <f t="shared" si="154"/>
        <v>0</v>
      </c>
      <c r="AT162">
        <f t="shared" si="155"/>
        <v>0</v>
      </c>
      <c r="AU162">
        <f t="shared" si="156"/>
        <v>0</v>
      </c>
      <c r="AV162">
        <f t="shared" si="157"/>
        <v>0</v>
      </c>
      <c r="AW162">
        <f t="shared" si="158"/>
        <v>0</v>
      </c>
      <c r="AX162">
        <f t="shared" si="159"/>
        <v>0</v>
      </c>
      <c r="AY162">
        <f t="shared" si="160"/>
        <v>0</v>
      </c>
      <c r="AZ162">
        <f t="shared" si="161"/>
        <v>0</v>
      </c>
      <c r="BA162">
        <f t="shared" si="162"/>
        <v>0</v>
      </c>
      <c r="BB162">
        <f t="shared" si="163"/>
        <v>0</v>
      </c>
      <c r="BC162">
        <f t="shared" si="164"/>
        <v>0</v>
      </c>
      <c r="BD162">
        <f t="shared" si="165"/>
        <v>0</v>
      </c>
      <c r="BE162">
        <f t="shared" si="166"/>
        <v>0</v>
      </c>
    </row>
    <row r="163" spans="1:57" ht="15" customHeight="1">
      <c r="A163" s="103"/>
      <c r="B163" s="57"/>
      <c r="C163" s="98" t="s">
        <v>2520</v>
      </c>
      <c r="D163" s="813" t="str">
        <f>IF(CNSIPEE_2024_M2_Secc1!D46="","",CNSIPEE_2024_M2_Secc1!D46)</f>
        <v/>
      </c>
      <c r="E163" s="814"/>
      <c r="F163" s="814"/>
      <c r="G163" s="814"/>
      <c r="H163" s="814"/>
      <c r="I163" s="814"/>
      <c r="J163" s="814"/>
      <c r="K163" s="814"/>
      <c r="L163" s="815"/>
      <c r="M163" s="100"/>
      <c r="N163" s="100"/>
      <c r="O163" s="100"/>
      <c r="P163" s="100"/>
      <c r="Q163" s="100"/>
      <c r="R163" s="100"/>
      <c r="S163" s="100"/>
      <c r="T163" s="100"/>
      <c r="U163" s="100"/>
      <c r="V163" s="100"/>
      <c r="W163" s="100"/>
      <c r="X163" s="100"/>
      <c r="Y163" s="100"/>
      <c r="Z163" s="100"/>
      <c r="AA163" s="100"/>
      <c r="AB163" s="100"/>
      <c r="AC163" s="100"/>
      <c r="AD163" s="100"/>
      <c r="AH163">
        <f t="shared" si="130"/>
        <v>0</v>
      </c>
      <c r="AI163">
        <f t="shared" si="130"/>
        <v>0</v>
      </c>
      <c r="AJ163">
        <f t="shared" si="130"/>
        <v>0</v>
      </c>
      <c r="AK163">
        <f t="shared" si="146"/>
        <v>0</v>
      </c>
      <c r="AL163">
        <f t="shared" si="147"/>
        <v>0</v>
      </c>
      <c r="AM163">
        <f t="shared" si="148"/>
        <v>0</v>
      </c>
      <c r="AN163">
        <f t="shared" si="149"/>
        <v>0</v>
      </c>
      <c r="AO163">
        <f t="shared" si="150"/>
        <v>0</v>
      </c>
      <c r="AP163">
        <f t="shared" si="151"/>
        <v>0</v>
      </c>
      <c r="AQ163">
        <f t="shared" si="152"/>
        <v>0</v>
      </c>
      <c r="AR163">
        <f t="shared" si="153"/>
        <v>0</v>
      </c>
      <c r="AS163">
        <f t="shared" si="154"/>
        <v>0</v>
      </c>
      <c r="AT163">
        <f t="shared" si="155"/>
        <v>0</v>
      </c>
      <c r="AU163">
        <f t="shared" si="156"/>
        <v>0</v>
      </c>
      <c r="AV163">
        <f t="shared" si="157"/>
        <v>0</v>
      </c>
      <c r="AW163">
        <f t="shared" si="158"/>
        <v>0</v>
      </c>
      <c r="AX163">
        <f t="shared" si="159"/>
        <v>0</v>
      </c>
      <c r="AY163">
        <f t="shared" si="160"/>
        <v>0</v>
      </c>
      <c r="AZ163">
        <f t="shared" si="161"/>
        <v>0</v>
      </c>
      <c r="BA163">
        <f t="shared" si="162"/>
        <v>0</v>
      </c>
      <c r="BB163">
        <f t="shared" si="163"/>
        <v>0</v>
      </c>
      <c r="BC163">
        <f t="shared" si="164"/>
        <v>0</v>
      </c>
      <c r="BD163">
        <f t="shared" si="165"/>
        <v>0</v>
      </c>
      <c r="BE163">
        <f t="shared" si="166"/>
        <v>0</v>
      </c>
    </row>
    <row r="164" spans="1:57" ht="15" customHeight="1">
      <c r="A164" s="103"/>
      <c r="B164" s="57"/>
      <c r="C164" s="98" t="s">
        <v>2521</v>
      </c>
      <c r="D164" s="813" t="str">
        <f>IF(CNSIPEE_2024_M2_Secc1!D47="","",CNSIPEE_2024_M2_Secc1!D47)</f>
        <v/>
      </c>
      <c r="E164" s="814"/>
      <c r="F164" s="814"/>
      <c r="G164" s="814"/>
      <c r="H164" s="814"/>
      <c r="I164" s="814"/>
      <c r="J164" s="814"/>
      <c r="K164" s="814"/>
      <c r="L164" s="815"/>
      <c r="M164" s="100"/>
      <c r="N164" s="100"/>
      <c r="O164" s="100"/>
      <c r="P164" s="100"/>
      <c r="Q164" s="100"/>
      <c r="R164" s="100"/>
      <c r="S164" s="100"/>
      <c r="T164" s="100"/>
      <c r="U164" s="100"/>
      <c r="V164" s="100"/>
      <c r="W164" s="100"/>
      <c r="X164" s="100"/>
      <c r="Y164" s="100"/>
      <c r="Z164" s="100"/>
      <c r="AA164" s="100"/>
      <c r="AB164" s="100"/>
      <c r="AC164" s="100"/>
      <c r="AD164" s="100"/>
      <c r="AH164">
        <f t="shared" si="130"/>
        <v>0</v>
      </c>
      <c r="AI164">
        <f t="shared" si="130"/>
        <v>0</v>
      </c>
      <c r="AJ164">
        <f t="shared" si="130"/>
        <v>0</v>
      </c>
      <c r="AK164">
        <f t="shared" si="146"/>
        <v>0</v>
      </c>
      <c r="AL164">
        <f t="shared" si="147"/>
        <v>0</v>
      </c>
      <c r="AM164">
        <f t="shared" si="148"/>
        <v>0</v>
      </c>
      <c r="AN164">
        <f t="shared" si="149"/>
        <v>0</v>
      </c>
      <c r="AO164">
        <f t="shared" si="150"/>
        <v>0</v>
      </c>
      <c r="AP164">
        <f t="shared" si="151"/>
        <v>0</v>
      </c>
      <c r="AQ164">
        <f t="shared" si="152"/>
        <v>0</v>
      </c>
      <c r="AR164">
        <f t="shared" si="153"/>
        <v>0</v>
      </c>
      <c r="AS164">
        <f t="shared" si="154"/>
        <v>0</v>
      </c>
      <c r="AT164">
        <f t="shared" si="155"/>
        <v>0</v>
      </c>
      <c r="AU164">
        <f t="shared" si="156"/>
        <v>0</v>
      </c>
      <c r="AV164">
        <f t="shared" si="157"/>
        <v>0</v>
      </c>
      <c r="AW164">
        <f t="shared" si="158"/>
        <v>0</v>
      </c>
      <c r="AX164">
        <f t="shared" si="159"/>
        <v>0</v>
      </c>
      <c r="AY164">
        <f t="shared" si="160"/>
        <v>0</v>
      </c>
      <c r="AZ164">
        <f t="shared" si="161"/>
        <v>0</v>
      </c>
      <c r="BA164">
        <f t="shared" si="162"/>
        <v>0</v>
      </c>
      <c r="BB164">
        <f t="shared" si="163"/>
        <v>0</v>
      </c>
      <c r="BC164">
        <f t="shared" si="164"/>
        <v>0</v>
      </c>
      <c r="BD164">
        <f t="shared" si="165"/>
        <v>0</v>
      </c>
      <c r="BE164">
        <f t="shared" si="166"/>
        <v>0</v>
      </c>
    </row>
    <row r="165" spans="1:57" ht="15" customHeight="1">
      <c r="A165" s="103"/>
      <c r="B165" s="57"/>
      <c r="C165" s="98" t="s">
        <v>2522</v>
      </c>
      <c r="D165" s="813" t="str">
        <f>IF(CNSIPEE_2024_M2_Secc1!D48="","",CNSIPEE_2024_M2_Secc1!D48)</f>
        <v/>
      </c>
      <c r="E165" s="814"/>
      <c r="F165" s="814"/>
      <c r="G165" s="814"/>
      <c r="H165" s="814"/>
      <c r="I165" s="814"/>
      <c r="J165" s="814"/>
      <c r="K165" s="814"/>
      <c r="L165" s="815"/>
      <c r="M165" s="100"/>
      <c r="N165" s="100"/>
      <c r="O165" s="100"/>
      <c r="P165" s="100"/>
      <c r="Q165" s="100"/>
      <c r="R165" s="100"/>
      <c r="S165" s="100"/>
      <c r="T165" s="100"/>
      <c r="U165" s="100"/>
      <c r="V165" s="100"/>
      <c r="W165" s="100"/>
      <c r="X165" s="100"/>
      <c r="Y165" s="100"/>
      <c r="Z165" s="100"/>
      <c r="AA165" s="100"/>
      <c r="AB165" s="100"/>
      <c r="AC165" s="100"/>
      <c r="AD165" s="100"/>
      <c r="AH165">
        <f t="shared" si="130"/>
        <v>0</v>
      </c>
      <c r="AI165">
        <f t="shared" si="130"/>
        <v>0</v>
      </c>
      <c r="AJ165">
        <f t="shared" si="130"/>
        <v>0</v>
      </c>
      <c r="AK165">
        <f t="shared" si="146"/>
        <v>0</v>
      </c>
      <c r="AL165">
        <f t="shared" si="147"/>
        <v>0</v>
      </c>
      <c r="AM165">
        <f t="shared" si="148"/>
        <v>0</v>
      </c>
      <c r="AN165">
        <f t="shared" si="149"/>
        <v>0</v>
      </c>
      <c r="AO165">
        <f t="shared" si="150"/>
        <v>0</v>
      </c>
      <c r="AP165">
        <f t="shared" si="151"/>
        <v>0</v>
      </c>
      <c r="AQ165">
        <f t="shared" si="152"/>
        <v>0</v>
      </c>
      <c r="AR165">
        <f t="shared" si="153"/>
        <v>0</v>
      </c>
      <c r="AS165">
        <f t="shared" si="154"/>
        <v>0</v>
      </c>
      <c r="AT165">
        <f t="shared" si="155"/>
        <v>0</v>
      </c>
      <c r="AU165">
        <f t="shared" si="156"/>
        <v>0</v>
      </c>
      <c r="AV165">
        <f t="shared" si="157"/>
        <v>0</v>
      </c>
      <c r="AW165">
        <f t="shared" si="158"/>
        <v>0</v>
      </c>
      <c r="AX165">
        <f t="shared" si="159"/>
        <v>0</v>
      </c>
      <c r="AY165">
        <f t="shared" si="160"/>
        <v>0</v>
      </c>
      <c r="AZ165">
        <f t="shared" si="161"/>
        <v>0</v>
      </c>
      <c r="BA165">
        <f t="shared" si="162"/>
        <v>0</v>
      </c>
      <c r="BB165">
        <f t="shared" si="163"/>
        <v>0</v>
      </c>
      <c r="BC165">
        <f t="shared" si="164"/>
        <v>0</v>
      </c>
      <c r="BD165">
        <f t="shared" si="165"/>
        <v>0</v>
      </c>
      <c r="BE165">
        <f t="shared" si="166"/>
        <v>0</v>
      </c>
    </row>
    <row r="166" spans="1:57" ht="15" customHeight="1">
      <c r="A166" s="103"/>
      <c r="B166" s="57"/>
      <c r="C166" s="98" t="s">
        <v>2523</v>
      </c>
      <c r="D166" s="813" t="str">
        <f>IF(CNSIPEE_2024_M2_Secc1!D49="","",CNSIPEE_2024_M2_Secc1!D49)</f>
        <v/>
      </c>
      <c r="E166" s="814"/>
      <c r="F166" s="814"/>
      <c r="G166" s="814"/>
      <c r="H166" s="814"/>
      <c r="I166" s="814"/>
      <c r="J166" s="814"/>
      <c r="K166" s="814"/>
      <c r="L166" s="815"/>
      <c r="M166" s="100"/>
      <c r="N166" s="100"/>
      <c r="O166" s="100"/>
      <c r="P166" s="100"/>
      <c r="Q166" s="100"/>
      <c r="R166" s="100"/>
      <c r="S166" s="100"/>
      <c r="T166" s="100"/>
      <c r="U166" s="100"/>
      <c r="V166" s="100"/>
      <c r="W166" s="100"/>
      <c r="X166" s="100"/>
      <c r="Y166" s="100"/>
      <c r="Z166" s="100"/>
      <c r="AA166" s="100"/>
      <c r="AB166" s="100"/>
      <c r="AC166" s="100"/>
      <c r="AD166" s="100"/>
      <c r="AH166">
        <f t="shared" si="130"/>
        <v>0</v>
      </c>
      <c r="AI166">
        <f t="shared" si="130"/>
        <v>0</v>
      </c>
      <c r="AJ166">
        <f t="shared" si="130"/>
        <v>0</v>
      </c>
      <c r="AK166">
        <f t="shared" si="146"/>
        <v>0</v>
      </c>
      <c r="AL166">
        <f t="shared" si="147"/>
        <v>0</v>
      </c>
      <c r="AM166">
        <f t="shared" si="148"/>
        <v>0</v>
      </c>
      <c r="AN166">
        <f t="shared" si="149"/>
        <v>0</v>
      </c>
      <c r="AO166">
        <f t="shared" si="150"/>
        <v>0</v>
      </c>
      <c r="AP166">
        <f t="shared" si="151"/>
        <v>0</v>
      </c>
      <c r="AQ166">
        <f t="shared" si="152"/>
        <v>0</v>
      </c>
      <c r="AR166">
        <f t="shared" si="153"/>
        <v>0</v>
      </c>
      <c r="AS166">
        <f t="shared" si="154"/>
        <v>0</v>
      </c>
      <c r="AT166">
        <f t="shared" si="155"/>
        <v>0</v>
      </c>
      <c r="AU166">
        <f t="shared" si="156"/>
        <v>0</v>
      </c>
      <c r="AV166">
        <f t="shared" si="157"/>
        <v>0</v>
      </c>
      <c r="AW166">
        <f t="shared" si="158"/>
        <v>0</v>
      </c>
      <c r="AX166">
        <f t="shared" si="159"/>
        <v>0</v>
      </c>
      <c r="AY166">
        <f t="shared" si="160"/>
        <v>0</v>
      </c>
      <c r="AZ166">
        <f t="shared" si="161"/>
        <v>0</v>
      </c>
      <c r="BA166">
        <f t="shared" si="162"/>
        <v>0</v>
      </c>
      <c r="BB166">
        <f t="shared" si="163"/>
        <v>0</v>
      </c>
      <c r="BC166">
        <f t="shared" si="164"/>
        <v>0</v>
      </c>
      <c r="BD166">
        <f t="shared" si="165"/>
        <v>0</v>
      </c>
      <c r="BE166">
        <f t="shared" si="166"/>
        <v>0</v>
      </c>
    </row>
    <row r="167" spans="1:57" ht="15" customHeight="1">
      <c r="A167" s="49"/>
      <c r="B167" s="38"/>
      <c r="C167" s="38"/>
      <c r="D167" s="38"/>
      <c r="E167" s="38"/>
      <c r="F167" s="38"/>
      <c r="G167" s="38"/>
      <c r="H167" s="117"/>
      <c r="L167" s="99" t="s">
        <v>2649</v>
      </c>
      <c r="M167" s="124">
        <f t="shared" ref="M167:AD167" si="167">IF(AND(SUM(M159:M166)=0,COUNTIF(M159:M166,"NS")&gt;0),"NS",IF(AND(SUM(M159:M166)=0,COUNTIF(M159:M166,0)&gt;0),0,IF(AND(SUM(M159:M166)=0,COUNTIF(M159:M166,"NA")&gt;0),"NA",SUM(M159:M166))))</f>
        <v>0</v>
      </c>
      <c r="N167" s="124">
        <f t="shared" si="167"/>
        <v>0</v>
      </c>
      <c r="O167" s="124">
        <f t="shared" si="167"/>
        <v>0</v>
      </c>
      <c r="P167" s="124">
        <f t="shared" si="167"/>
        <v>0</v>
      </c>
      <c r="Q167" s="124">
        <f t="shared" si="167"/>
        <v>0</v>
      </c>
      <c r="R167" s="124">
        <f t="shared" si="167"/>
        <v>0</v>
      </c>
      <c r="S167" s="124">
        <f t="shared" si="167"/>
        <v>0</v>
      </c>
      <c r="T167" s="124">
        <f t="shared" si="167"/>
        <v>0</v>
      </c>
      <c r="U167" s="124">
        <f t="shared" si="167"/>
        <v>0</v>
      </c>
      <c r="V167" s="124">
        <f t="shared" si="167"/>
        <v>0</v>
      </c>
      <c r="W167" s="124">
        <f t="shared" si="167"/>
        <v>0</v>
      </c>
      <c r="X167" s="124">
        <f t="shared" si="167"/>
        <v>0</v>
      </c>
      <c r="Y167" s="124">
        <f t="shared" si="167"/>
        <v>0</v>
      </c>
      <c r="Z167" s="124">
        <f t="shared" si="167"/>
        <v>0</v>
      </c>
      <c r="AA167" s="124">
        <f t="shared" si="167"/>
        <v>0</v>
      </c>
      <c r="AB167" s="124">
        <f t="shared" si="167"/>
        <v>0</v>
      </c>
      <c r="AC167" s="124">
        <f t="shared" si="167"/>
        <v>0</v>
      </c>
      <c r="AD167" s="124">
        <f t="shared" si="167"/>
        <v>0</v>
      </c>
      <c r="AK167">
        <f>SUM(AK159:AK166)</f>
        <v>0</v>
      </c>
      <c r="AM167">
        <f>SUM(AM159:AM166)</f>
        <v>0</v>
      </c>
      <c r="AN167">
        <f>SUM(AN159:AN166)</f>
        <v>0</v>
      </c>
      <c r="AP167">
        <f>SUM(AP159:AP166)</f>
        <v>0</v>
      </c>
      <c r="AQ167">
        <f>SUM(AQ159:AQ166)</f>
        <v>0</v>
      </c>
      <c r="AS167">
        <f>SUM(AS159:AS166)</f>
        <v>0</v>
      </c>
      <c r="AT167">
        <f>SUM(AT159:AT166)</f>
        <v>0</v>
      </c>
      <c r="AV167">
        <f>SUM(AV159:AV166)</f>
        <v>0</v>
      </c>
      <c r="AW167">
        <f>SUM(AW159:AW166)</f>
        <v>0</v>
      </c>
      <c r="AY167">
        <f>SUM(AY159:AY166)</f>
        <v>0</v>
      </c>
      <c r="AZ167">
        <f>SUM(AZ159:AZ166)</f>
        <v>0</v>
      </c>
      <c r="BB167">
        <f>SUM(BB159:BB166)</f>
        <v>0</v>
      </c>
      <c r="BC167" s="507">
        <f>SUM(BC159:BC166)</f>
        <v>0</v>
      </c>
      <c r="BD167" s="507">
        <f>SUM(BD159:BD166)</f>
        <v>0</v>
      </c>
      <c r="BE167" s="507">
        <f>SUM(BE159:BE166)</f>
        <v>0</v>
      </c>
    </row>
    <row r="168" spans="1:57" ht="15" customHeight="1">
      <c r="A168" s="49"/>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K168" t="s">
        <v>2650</v>
      </c>
      <c r="AL168" s="405">
        <f>SUM(AM167,AP167,AS167,AV167,AY167,BB167)</f>
        <v>0</v>
      </c>
      <c r="AM168" t="s">
        <v>2651</v>
      </c>
      <c r="AN168">
        <f>SUM(AK167,AN167,AQ167,AT167,AW167,AZ167)</f>
        <v>0</v>
      </c>
    </row>
    <row r="169" spans="1:57" ht="15" customHeight="1">
      <c r="A169" s="49"/>
      <c r="B169" s="38"/>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c r="AA169" s="873" t="s">
        <v>2668</v>
      </c>
      <c r="AB169" s="873"/>
      <c r="AC169" s="873"/>
      <c r="AD169" s="873"/>
      <c r="AK169" t="s">
        <v>2652</v>
      </c>
      <c r="AL169">
        <f>IF(AN168&gt;0,IF(SUM(M167)&gt;=SUM(P167,S167,V167,Y167,AB167),0,1),IF(SUM(M167)&lt;&gt;SUM(P167,S167,V167,Y167,AB167),1,0))</f>
        <v>0</v>
      </c>
      <c r="AM169" t="s">
        <v>2653</v>
      </c>
      <c r="AN169">
        <f>IF(AN168&gt;0,IF(SUM(N167)&gt;=SUM(Q167,T167,W167,Z167,AC167),0,1),IF(SUM(N167)&lt;&gt;SUM(Q167,T167,W167,Z167,AC167),1,0))</f>
        <v>0</v>
      </c>
      <c r="AO169" t="s">
        <v>2654</v>
      </c>
      <c r="AP169">
        <f>IF(AN168&gt;0,IF(SUM(O167)&gt;=SUM(R167,U167,X167,AA167,AD167),0,1),IF(SUM(O167)&lt;&gt;SUM(R167,U167,X167,AA167,AD167),1,0))</f>
        <v>0</v>
      </c>
    </row>
    <row r="170" spans="1:57" ht="24" customHeight="1">
      <c r="A170" s="49"/>
      <c r="B170" s="38"/>
      <c r="C170" s="797" t="s">
        <v>2581</v>
      </c>
      <c r="D170" s="798"/>
      <c r="E170" s="798"/>
      <c r="F170" s="798"/>
      <c r="G170" s="798"/>
      <c r="H170" s="798"/>
      <c r="I170" s="799"/>
      <c r="J170" s="739" t="s">
        <v>5203</v>
      </c>
      <c r="K170" s="740"/>
      <c r="L170" s="740"/>
      <c r="M170" s="740"/>
      <c r="N170" s="740"/>
      <c r="O170" s="740"/>
      <c r="P170" s="740"/>
      <c r="Q170" s="740"/>
      <c r="R170" s="740"/>
      <c r="S170" s="740"/>
      <c r="T170" s="740"/>
      <c r="U170" s="740"/>
      <c r="V170" s="740"/>
      <c r="W170" s="740"/>
      <c r="X170" s="740"/>
      <c r="Y170" s="740"/>
      <c r="Z170" s="740"/>
      <c r="AA170" s="740"/>
      <c r="AB170" s="740"/>
      <c r="AC170" s="740"/>
      <c r="AD170" s="741"/>
    </row>
    <row r="171" spans="1:57" ht="48" customHeight="1">
      <c r="A171" s="49"/>
      <c r="B171" s="38"/>
      <c r="C171" s="800"/>
      <c r="D171" s="801"/>
      <c r="E171" s="801"/>
      <c r="F171" s="801"/>
      <c r="G171" s="801"/>
      <c r="H171" s="801"/>
      <c r="I171" s="802"/>
      <c r="J171" s="736" t="s">
        <v>5212</v>
      </c>
      <c r="K171" s="736"/>
      <c r="L171" s="736"/>
      <c r="M171" s="736" t="s">
        <v>5213</v>
      </c>
      <c r="N171" s="736"/>
      <c r="O171" s="736"/>
      <c r="P171" s="736" t="s">
        <v>5214</v>
      </c>
      <c r="Q171" s="736"/>
      <c r="R171" s="736"/>
      <c r="S171" s="736" t="s">
        <v>5215</v>
      </c>
      <c r="T171" s="736"/>
      <c r="U171" s="736"/>
      <c r="V171" s="736" t="s">
        <v>5216</v>
      </c>
      <c r="W171" s="736"/>
      <c r="X171" s="736"/>
      <c r="Y171" s="736" t="s">
        <v>5217</v>
      </c>
      <c r="Z171" s="736"/>
      <c r="AA171" s="736"/>
      <c r="AB171" s="736" t="s">
        <v>201</v>
      </c>
      <c r="AC171" s="736"/>
      <c r="AD171" s="736"/>
    </row>
    <row r="172" spans="1:57" ht="48" customHeight="1">
      <c r="A172" s="49"/>
      <c r="B172" s="38"/>
      <c r="C172" s="803"/>
      <c r="D172" s="804"/>
      <c r="E172" s="804"/>
      <c r="F172" s="804"/>
      <c r="G172" s="804"/>
      <c r="H172" s="804"/>
      <c r="I172" s="805"/>
      <c r="J172" s="127" t="s">
        <v>2635</v>
      </c>
      <c r="K172" s="128" t="s">
        <v>2629</v>
      </c>
      <c r="L172" s="128" t="s">
        <v>2630</v>
      </c>
      <c r="M172" s="127" t="s">
        <v>2635</v>
      </c>
      <c r="N172" s="128" t="s">
        <v>2629</v>
      </c>
      <c r="O172" s="128" t="s">
        <v>2630</v>
      </c>
      <c r="P172" s="127" t="s">
        <v>2635</v>
      </c>
      <c r="Q172" s="128" t="s">
        <v>2629</v>
      </c>
      <c r="R172" s="128" t="s">
        <v>2630</v>
      </c>
      <c r="S172" s="127" t="s">
        <v>2635</v>
      </c>
      <c r="T172" s="128" t="s">
        <v>2629</v>
      </c>
      <c r="U172" s="128" t="s">
        <v>2630</v>
      </c>
      <c r="V172" s="127" t="s">
        <v>2635</v>
      </c>
      <c r="W172" s="128" t="s">
        <v>2629</v>
      </c>
      <c r="X172" s="128" t="s">
        <v>2630</v>
      </c>
      <c r="Y172" s="127" t="s">
        <v>2635</v>
      </c>
      <c r="Z172" s="128" t="s">
        <v>2629</v>
      </c>
      <c r="AA172" s="128" t="s">
        <v>2630</v>
      </c>
      <c r="AB172" s="127" t="s">
        <v>2635</v>
      </c>
      <c r="AC172" s="128" t="s">
        <v>2629</v>
      </c>
      <c r="AD172" s="128" t="s">
        <v>2630</v>
      </c>
      <c r="AK172" t="s">
        <v>4573</v>
      </c>
      <c r="AL172" t="s">
        <v>2638</v>
      </c>
      <c r="AM172" t="s">
        <v>2639</v>
      </c>
      <c r="AN172" t="s">
        <v>4574</v>
      </c>
      <c r="AO172" t="s">
        <v>2641</v>
      </c>
      <c r="AP172" t="s">
        <v>2642</v>
      </c>
      <c r="AQ172" t="s">
        <v>4575</v>
      </c>
      <c r="AR172" t="s">
        <v>2644</v>
      </c>
      <c r="AS172" t="s">
        <v>2645</v>
      </c>
      <c r="AT172" t="s">
        <v>4576</v>
      </c>
      <c r="AU172" t="s">
        <v>2647</v>
      </c>
      <c r="AV172" t="s">
        <v>2648</v>
      </c>
      <c r="AW172" t="s">
        <v>5177</v>
      </c>
      <c r="AX172" t="s">
        <v>2757</v>
      </c>
      <c r="AY172" t="s">
        <v>2758</v>
      </c>
      <c r="AZ172" t="s">
        <v>5194</v>
      </c>
      <c r="BA172" t="s">
        <v>2760</v>
      </c>
      <c r="BB172" t="s">
        <v>2761</v>
      </c>
      <c r="BC172" t="s">
        <v>5195</v>
      </c>
      <c r="BD172" t="s">
        <v>2763</v>
      </c>
      <c r="BE172" t="s">
        <v>2764</v>
      </c>
    </row>
    <row r="173" spans="1:57" ht="15" customHeight="1">
      <c r="A173" s="49"/>
      <c r="B173" s="38"/>
      <c r="C173" s="97" t="s">
        <v>2516</v>
      </c>
      <c r="D173" s="813" t="str">
        <f>IF(CNSIPEE_2024_M2_Secc1!D42="","",CNSIPEE_2024_M2_Secc1!D42)</f>
        <v/>
      </c>
      <c r="E173" s="814"/>
      <c r="F173" s="814"/>
      <c r="G173" s="814"/>
      <c r="H173" s="814"/>
      <c r="I173" s="814"/>
      <c r="J173" s="100"/>
      <c r="K173" s="100"/>
      <c r="L173" s="100"/>
      <c r="M173" s="100"/>
      <c r="N173" s="100"/>
      <c r="O173" s="100"/>
      <c r="P173" s="100"/>
      <c r="Q173" s="100"/>
      <c r="R173" s="100"/>
      <c r="S173" s="100"/>
      <c r="T173" s="100"/>
      <c r="U173" s="100"/>
      <c r="V173" s="100"/>
      <c r="W173" s="100"/>
      <c r="X173" s="100"/>
      <c r="Y173" s="100"/>
      <c r="Z173" s="100"/>
      <c r="AA173" s="100"/>
      <c r="AB173" s="100"/>
      <c r="AC173" s="100"/>
      <c r="AD173" s="100"/>
      <c r="AK173">
        <f t="shared" ref="AK173" si="168">COUNTIF(K173:L173,"NS")</f>
        <v>0</v>
      </c>
      <c r="AL173">
        <f t="shared" ref="AL173" si="169">SUM(K173:L173)</f>
        <v>0</v>
      </c>
      <c r="AM173">
        <f>IF(COUNTIF(J173:L173,"NA")=3,0,IF(COUNTA(J173:L173)=0,0,IF(OR(AND(J173=0,AK173&gt;0),AND(J173="ns",AL173&gt;0),AND(J173="ns",AK173=0,AL173=0)),1,IF(OR(AND(J173&gt;0,AK173=2),AND(J173="ns",AK173=2),AND(J173="ns",AL173=0,AK173&gt;0),J173=AL173),0,1))))</f>
        <v>0</v>
      </c>
      <c r="AN173">
        <f t="shared" ref="AN173" si="170">COUNTIF(N173:O173,"NS")</f>
        <v>0</v>
      </c>
      <c r="AO173">
        <f t="shared" ref="AO173" si="171">SUM(N173:O173)</f>
        <v>0</v>
      </c>
      <c r="AP173">
        <f t="shared" ref="AP173" si="172">IF(COUNTIF(M173:O173,"NA")=3,0,IF(COUNTA(M173:O173)=0,0,IF(OR(AND(M173=0,AN173&gt;0),AND(M173="ns",AO173&gt;0),AND(M173="ns",AN173=0,AO173=0)),1,IF(OR(AND(M173&gt;0,AN173=2),AND(M173="ns",AN173=2),AND(M173="ns",AO173=0,AN173&gt;0),M173=AO173),0,1))))</f>
        <v>0</v>
      </c>
      <c r="AQ173">
        <f t="shared" ref="AQ173" si="173">COUNTIF(Q173:R173,"NS")</f>
        <v>0</v>
      </c>
      <c r="AR173">
        <f t="shared" ref="AR173" si="174">SUM(Q173:R173)</f>
        <v>0</v>
      </c>
      <c r="AS173">
        <f t="shared" ref="AS173" si="175">IF(COUNTIF(P173:R173,"NA")=3,0,IF(COUNTA(P173:R173)=0,0,IF(OR(AND(P173=0,AQ173&gt;0),AND(P173="ns",AR173&gt;0),AND(P173="ns",AQ173=0,AR173=0)),1,IF(OR(AND(P173&gt;0,AQ173=2),AND(P173="ns",AQ173=2),AND(P173="ns",AR173=0,AQ173&gt;0),P173=AR173),0,1))))</f>
        <v>0</v>
      </c>
      <c r="AT173">
        <f t="shared" ref="AT173" si="176">COUNTIF(T173:U173,"NS")</f>
        <v>0</v>
      </c>
      <c r="AU173">
        <f t="shared" ref="AU173" si="177">SUM(T173:U173)</f>
        <v>0</v>
      </c>
      <c r="AV173">
        <f t="shared" ref="AV173" si="178">IF(COUNTIF(S173:U173,"NA")=3,0,IF(COUNTA(S173:U173)=0,0,IF(OR(AND(S173=0,AT173&gt;0),AND(S173="ns",AU173&gt;0),AND(S173="ns",AT173=0,AU173=0)),1,IF(OR(AND(S173&gt;0,AT173=2),AND(S173="ns",AT173=2),AND(S173="ns",AU173=0,AT173&gt;0),S173=AU173),0,1))))</f>
        <v>0</v>
      </c>
      <c r="AW173">
        <f t="shared" ref="AW173" si="179">COUNTIF(W173:X173,"NS")</f>
        <v>0</v>
      </c>
      <c r="AX173">
        <f t="shared" ref="AX173" si="180">SUM(W173:X173)</f>
        <v>0</v>
      </c>
      <c r="AY173">
        <f t="shared" ref="AY173" si="181">IF(COUNTIF(V173:X173,"NA")=3,0,IF(COUNTA(V173:X173)=0,0,IF(OR(AND(V173=0,AW173&gt;0),AND(V173="ns",AX173&gt;0),AND(V173="ns",AW173=0,AX173=0)),1,IF(OR(AND(V173&gt;0,AW173=2),AND(V173="ns",AW173=2),AND(V173="ns",AX173=0,AW173&gt;0),V173=AX173),0,1))))</f>
        <v>0</v>
      </c>
      <c r="AZ173">
        <f t="shared" ref="AZ173" si="182">COUNTIF(Z173:AA173,"NS")</f>
        <v>0</v>
      </c>
      <c r="BA173">
        <f t="shared" ref="BA173" si="183">SUM(Z173:AA173)</f>
        <v>0</v>
      </c>
      <c r="BB173">
        <f t="shared" ref="BB173" si="184">IF(COUNTIF(Y173:AA173,"NA")=3,0,IF(COUNTA(Y173:AA173)=0,0,IF(OR(AND(Y173=0,AZ173&gt;0),AND(Y173="ns",BA173&gt;0),AND(Y173="ns",AZ173=0,BA173=0)),1,IF(OR(AND(Y173&gt;0,AZ173=2),AND(Y173="ns",AZ173=2),AND(Y173="ns",BA173=0,AZ173&gt;0),Y173=BA173),0,1))))</f>
        <v>0</v>
      </c>
      <c r="BC173">
        <f t="shared" ref="BC173" si="185">COUNTIF(AC173:AD173,"NS")</f>
        <v>0</v>
      </c>
      <c r="BD173">
        <f t="shared" ref="BD173" si="186">SUM(AC173:AD173)</f>
        <v>0</v>
      </c>
      <c r="BE173">
        <f t="shared" ref="BE173" si="187">IF(COUNTIF(AB173:AD173,"NA")=3,0,IF(COUNTA(AB173:AD173)=0,0,IF(OR(AND(AB173=0,BC173&gt;0),AND(AB173="ns",BD173&gt;0),AND(AB173="ns",BC173=0,BD173=0)),1,IF(OR(AND(AB173&gt;0,BC173=2),AND(AB173="ns",BC173=2),AND(AB173="ns",BD173=0,BC173&gt;0),AB173=BD173),0,1))))</f>
        <v>0</v>
      </c>
    </row>
    <row r="174" spans="1:57" ht="15" customHeight="1">
      <c r="A174" s="49"/>
      <c r="B174" s="38"/>
      <c r="C174" s="98" t="s">
        <v>2517</v>
      </c>
      <c r="D174" s="813" t="str">
        <f>IF(CNSIPEE_2024_M2_Secc1!D43="","",CNSIPEE_2024_M2_Secc1!D43)</f>
        <v/>
      </c>
      <c r="E174" s="814"/>
      <c r="F174" s="814"/>
      <c r="G174" s="814"/>
      <c r="H174" s="814"/>
      <c r="I174" s="814"/>
      <c r="J174" s="100"/>
      <c r="K174" s="100"/>
      <c r="L174" s="100"/>
      <c r="M174" s="100"/>
      <c r="N174" s="100"/>
      <c r="O174" s="100"/>
      <c r="P174" s="100"/>
      <c r="Q174" s="100"/>
      <c r="R174" s="100"/>
      <c r="S174" s="100"/>
      <c r="T174" s="100"/>
      <c r="U174" s="100"/>
      <c r="V174" s="100"/>
      <c r="W174" s="100"/>
      <c r="X174" s="100"/>
      <c r="Y174" s="100"/>
      <c r="Z174" s="100"/>
      <c r="AA174" s="100"/>
      <c r="AB174" s="100"/>
      <c r="AC174" s="100"/>
      <c r="AD174" s="100"/>
      <c r="AK174">
        <f t="shared" ref="AK174:AK180" si="188">COUNTIF(K174:L174,"NS")</f>
        <v>0</v>
      </c>
      <c r="AL174">
        <f t="shared" ref="AL174:AL180" si="189">SUM(K174:L174)</f>
        <v>0</v>
      </c>
      <c r="AM174">
        <f t="shared" ref="AM174:AM180" si="190">IF(COUNTIF(J174:L174,"NA")=3,0,IF(COUNTA(J174:L174)=0,0,IF(OR(AND(J174=0,AK174&gt;0),AND(J174="ns",AL174&gt;0),AND(J174="ns",AK174=0,AL174=0)),1,IF(OR(AND(J174&gt;0,AK174=2),AND(J174="ns",AK174=2),AND(J174="ns",AL174=0,AK174&gt;0),J174=AL174),0,1))))</f>
        <v>0</v>
      </c>
      <c r="AN174">
        <f t="shared" ref="AN174:AN180" si="191">COUNTIF(N174:O174,"NS")</f>
        <v>0</v>
      </c>
      <c r="AO174">
        <f t="shared" ref="AO174:AO180" si="192">SUM(N174:O174)</f>
        <v>0</v>
      </c>
      <c r="AP174">
        <f t="shared" ref="AP174:AP180" si="193">IF(COUNTIF(M174:O174,"NA")=3,0,IF(COUNTA(M174:O174)=0,0,IF(OR(AND(M174=0,AN174&gt;0),AND(M174="ns",AO174&gt;0),AND(M174="ns",AN174=0,AO174=0)),1,IF(OR(AND(M174&gt;0,AN174=2),AND(M174="ns",AN174=2),AND(M174="ns",AO174=0,AN174&gt;0),M174=AO174),0,1))))</f>
        <v>0</v>
      </c>
      <c r="AQ174">
        <f t="shared" ref="AQ174:AQ180" si="194">COUNTIF(Q174:R174,"NS")</f>
        <v>0</v>
      </c>
      <c r="AR174">
        <f t="shared" ref="AR174:AR180" si="195">SUM(Q174:R174)</f>
        <v>0</v>
      </c>
      <c r="AS174">
        <f t="shared" ref="AS174:AS180" si="196">IF(COUNTIF(P174:R174,"NA")=3,0,IF(COUNTA(P174:R174)=0,0,IF(OR(AND(P174=0,AQ174&gt;0),AND(P174="ns",AR174&gt;0),AND(P174="ns",AQ174=0,AR174=0)),1,IF(OR(AND(P174&gt;0,AQ174=2),AND(P174="ns",AQ174=2),AND(P174="ns",AR174=0,AQ174&gt;0),P174=AR174),0,1))))</f>
        <v>0</v>
      </c>
      <c r="AT174">
        <f t="shared" ref="AT174:AT180" si="197">COUNTIF(T174:U174,"NS")</f>
        <v>0</v>
      </c>
      <c r="AU174">
        <f t="shared" ref="AU174:AU180" si="198">SUM(T174:U174)</f>
        <v>0</v>
      </c>
      <c r="AV174">
        <f t="shared" ref="AV174:AV180" si="199">IF(COUNTIF(S174:U174,"NA")=3,0,IF(COUNTA(S174:U174)=0,0,IF(OR(AND(S174=0,AT174&gt;0),AND(S174="ns",AU174&gt;0),AND(S174="ns",AT174=0,AU174=0)),1,IF(OR(AND(S174&gt;0,AT174=2),AND(S174="ns",AT174=2),AND(S174="ns",AU174=0,AT174&gt;0),S174=AU174),0,1))))</f>
        <v>0</v>
      </c>
      <c r="AW174">
        <f t="shared" ref="AW174:AW180" si="200">COUNTIF(W174:X174,"NS")</f>
        <v>0</v>
      </c>
      <c r="AX174">
        <f t="shared" ref="AX174:AX180" si="201">SUM(W174:X174)</f>
        <v>0</v>
      </c>
      <c r="AY174">
        <f t="shared" ref="AY174:AY180" si="202">IF(COUNTIF(V174:X174,"NA")=3,0,IF(COUNTA(V174:X174)=0,0,IF(OR(AND(V174=0,AW174&gt;0),AND(V174="ns",AX174&gt;0),AND(V174="ns",AW174=0,AX174=0)),1,IF(OR(AND(V174&gt;0,AW174=2),AND(V174="ns",AW174=2),AND(V174="ns",AX174=0,AW174&gt;0),V174=AX174),0,1))))</f>
        <v>0</v>
      </c>
      <c r="AZ174">
        <f t="shared" ref="AZ174:AZ180" si="203">COUNTIF(Z174:AA174,"NS")</f>
        <v>0</v>
      </c>
      <c r="BA174">
        <f t="shared" ref="BA174:BA180" si="204">SUM(Z174:AA174)</f>
        <v>0</v>
      </c>
      <c r="BB174">
        <f t="shared" ref="BB174:BB180" si="205">IF(COUNTIF(Y174:AA174,"NA")=3,0,IF(COUNTA(Y174:AA174)=0,0,IF(OR(AND(Y174=0,AZ174&gt;0),AND(Y174="ns",BA174&gt;0),AND(Y174="ns",AZ174=0,BA174=0)),1,IF(OR(AND(Y174&gt;0,AZ174=2),AND(Y174="ns",AZ174=2),AND(Y174="ns",BA174=0,AZ174&gt;0),Y174=BA174),0,1))))</f>
        <v>0</v>
      </c>
      <c r="BC174">
        <f t="shared" ref="BC174:BC180" si="206">COUNTIF(AC174:AD174,"NS")</f>
        <v>0</v>
      </c>
      <c r="BD174">
        <f t="shared" ref="BD174:BD180" si="207">SUM(AC174:AD174)</f>
        <v>0</v>
      </c>
      <c r="BE174">
        <f t="shared" ref="BE174:BE180" si="208">IF(COUNTIF(AB174:AD174,"NA")=3,0,IF(COUNTA(AB174:AD174)=0,0,IF(OR(AND(AB174=0,BC174&gt;0),AND(AB174="ns",BD174&gt;0),AND(AB174="ns",BC174=0,BD174=0)),1,IF(OR(AND(AB174&gt;0,BC174=2),AND(AB174="ns",BC174=2),AND(AB174="ns",BD174=0,BC174&gt;0),AB174=BD174),0,1))))</f>
        <v>0</v>
      </c>
    </row>
    <row r="175" spans="1:57" ht="15" customHeight="1">
      <c r="A175" s="49"/>
      <c r="B175" s="38"/>
      <c r="C175" s="98" t="s">
        <v>2518</v>
      </c>
      <c r="D175" s="813" t="str">
        <f>IF(CNSIPEE_2024_M2_Secc1!D44="","",CNSIPEE_2024_M2_Secc1!D44)</f>
        <v/>
      </c>
      <c r="E175" s="814"/>
      <c r="F175" s="814"/>
      <c r="G175" s="814"/>
      <c r="H175" s="814"/>
      <c r="I175" s="814"/>
      <c r="J175" s="100"/>
      <c r="K175" s="100"/>
      <c r="L175" s="100"/>
      <c r="M175" s="100"/>
      <c r="N175" s="100"/>
      <c r="O175" s="100"/>
      <c r="P175" s="100"/>
      <c r="Q175" s="100"/>
      <c r="R175" s="100"/>
      <c r="S175" s="100"/>
      <c r="T175" s="100"/>
      <c r="U175" s="100"/>
      <c r="V175" s="100"/>
      <c r="W175" s="100"/>
      <c r="X175" s="100"/>
      <c r="Y175" s="100"/>
      <c r="Z175" s="100"/>
      <c r="AA175" s="100"/>
      <c r="AB175" s="100"/>
      <c r="AC175" s="100"/>
      <c r="AD175" s="100"/>
      <c r="AK175">
        <f t="shared" si="188"/>
        <v>0</v>
      </c>
      <c r="AL175">
        <f t="shared" si="189"/>
        <v>0</v>
      </c>
      <c r="AM175">
        <f t="shared" si="190"/>
        <v>0</v>
      </c>
      <c r="AN175">
        <f t="shared" si="191"/>
        <v>0</v>
      </c>
      <c r="AO175">
        <f t="shared" si="192"/>
        <v>0</v>
      </c>
      <c r="AP175">
        <f t="shared" si="193"/>
        <v>0</v>
      </c>
      <c r="AQ175">
        <f t="shared" si="194"/>
        <v>0</v>
      </c>
      <c r="AR175">
        <f t="shared" si="195"/>
        <v>0</v>
      </c>
      <c r="AS175">
        <f t="shared" si="196"/>
        <v>0</v>
      </c>
      <c r="AT175">
        <f t="shared" si="197"/>
        <v>0</v>
      </c>
      <c r="AU175">
        <f t="shared" si="198"/>
        <v>0</v>
      </c>
      <c r="AV175">
        <f t="shared" si="199"/>
        <v>0</v>
      </c>
      <c r="AW175">
        <f t="shared" si="200"/>
        <v>0</v>
      </c>
      <c r="AX175">
        <f t="shared" si="201"/>
        <v>0</v>
      </c>
      <c r="AY175">
        <f t="shared" si="202"/>
        <v>0</v>
      </c>
      <c r="AZ175">
        <f t="shared" si="203"/>
        <v>0</v>
      </c>
      <c r="BA175">
        <f t="shared" si="204"/>
        <v>0</v>
      </c>
      <c r="BB175">
        <f t="shared" si="205"/>
        <v>0</v>
      </c>
      <c r="BC175">
        <f t="shared" si="206"/>
        <v>0</v>
      </c>
      <c r="BD175">
        <f t="shared" si="207"/>
        <v>0</v>
      </c>
      <c r="BE175">
        <f t="shared" si="208"/>
        <v>0</v>
      </c>
    </row>
    <row r="176" spans="1:57" ht="15" customHeight="1">
      <c r="A176" s="49"/>
      <c r="B176" s="38"/>
      <c r="C176" s="98" t="s">
        <v>2519</v>
      </c>
      <c r="D176" s="813" t="str">
        <f>IF(CNSIPEE_2024_M2_Secc1!D45="","",CNSIPEE_2024_M2_Secc1!D45)</f>
        <v/>
      </c>
      <c r="E176" s="814"/>
      <c r="F176" s="814"/>
      <c r="G176" s="814"/>
      <c r="H176" s="814"/>
      <c r="I176" s="814"/>
      <c r="J176" s="100"/>
      <c r="K176" s="100"/>
      <c r="L176" s="100"/>
      <c r="M176" s="100"/>
      <c r="N176" s="100"/>
      <c r="O176" s="100"/>
      <c r="P176" s="100"/>
      <c r="Q176" s="100"/>
      <c r="R176" s="100"/>
      <c r="S176" s="100"/>
      <c r="T176" s="100"/>
      <c r="U176" s="100"/>
      <c r="V176" s="100"/>
      <c r="W176" s="100"/>
      <c r="X176" s="100"/>
      <c r="Y176" s="100"/>
      <c r="Z176" s="100"/>
      <c r="AA176" s="100"/>
      <c r="AB176" s="100"/>
      <c r="AC176" s="100"/>
      <c r="AD176" s="100"/>
      <c r="AK176">
        <f t="shared" si="188"/>
        <v>0</v>
      </c>
      <c r="AL176">
        <f t="shared" si="189"/>
        <v>0</v>
      </c>
      <c r="AM176">
        <f t="shared" si="190"/>
        <v>0</v>
      </c>
      <c r="AN176">
        <f t="shared" si="191"/>
        <v>0</v>
      </c>
      <c r="AO176">
        <f t="shared" si="192"/>
        <v>0</v>
      </c>
      <c r="AP176">
        <f t="shared" si="193"/>
        <v>0</v>
      </c>
      <c r="AQ176">
        <f t="shared" si="194"/>
        <v>0</v>
      </c>
      <c r="AR176">
        <f t="shared" si="195"/>
        <v>0</v>
      </c>
      <c r="AS176">
        <f t="shared" si="196"/>
        <v>0</v>
      </c>
      <c r="AT176">
        <f t="shared" si="197"/>
        <v>0</v>
      </c>
      <c r="AU176">
        <f t="shared" si="198"/>
        <v>0</v>
      </c>
      <c r="AV176">
        <f t="shared" si="199"/>
        <v>0</v>
      </c>
      <c r="AW176">
        <f t="shared" si="200"/>
        <v>0</v>
      </c>
      <c r="AX176">
        <f t="shared" si="201"/>
        <v>0</v>
      </c>
      <c r="AY176">
        <f t="shared" si="202"/>
        <v>0</v>
      </c>
      <c r="AZ176">
        <f t="shared" si="203"/>
        <v>0</v>
      </c>
      <c r="BA176">
        <f t="shared" si="204"/>
        <v>0</v>
      </c>
      <c r="BB176">
        <f t="shared" si="205"/>
        <v>0</v>
      </c>
      <c r="BC176">
        <f t="shared" si="206"/>
        <v>0</v>
      </c>
      <c r="BD176">
        <f t="shared" si="207"/>
        <v>0</v>
      </c>
      <c r="BE176">
        <f t="shared" si="208"/>
        <v>0</v>
      </c>
    </row>
    <row r="177" spans="1:57" ht="15" customHeight="1">
      <c r="A177" s="103"/>
      <c r="B177" s="57"/>
      <c r="C177" s="98" t="s">
        <v>2520</v>
      </c>
      <c r="D177" s="813" t="str">
        <f>IF(CNSIPEE_2024_M2_Secc1!D46="","",CNSIPEE_2024_M2_Secc1!D46)</f>
        <v/>
      </c>
      <c r="E177" s="814"/>
      <c r="F177" s="814"/>
      <c r="G177" s="814"/>
      <c r="H177" s="814"/>
      <c r="I177" s="814"/>
      <c r="J177" s="100"/>
      <c r="K177" s="100"/>
      <c r="L177" s="100"/>
      <c r="M177" s="100"/>
      <c r="N177" s="100"/>
      <c r="O177" s="100"/>
      <c r="P177" s="100"/>
      <c r="Q177" s="100"/>
      <c r="R177" s="100"/>
      <c r="S177" s="100"/>
      <c r="T177" s="100"/>
      <c r="U177" s="100"/>
      <c r="V177" s="100"/>
      <c r="W177" s="100"/>
      <c r="X177" s="100"/>
      <c r="Y177" s="100"/>
      <c r="Z177" s="100"/>
      <c r="AA177" s="100"/>
      <c r="AB177" s="100"/>
      <c r="AC177" s="100"/>
      <c r="AD177" s="100"/>
      <c r="AK177">
        <f t="shared" si="188"/>
        <v>0</v>
      </c>
      <c r="AL177">
        <f t="shared" si="189"/>
        <v>0</v>
      </c>
      <c r="AM177">
        <f t="shared" si="190"/>
        <v>0</v>
      </c>
      <c r="AN177">
        <f t="shared" si="191"/>
        <v>0</v>
      </c>
      <c r="AO177">
        <f t="shared" si="192"/>
        <v>0</v>
      </c>
      <c r="AP177">
        <f t="shared" si="193"/>
        <v>0</v>
      </c>
      <c r="AQ177">
        <f t="shared" si="194"/>
        <v>0</v>
      </c>
      <c r="AR177">
        <f t="shared" si="195"/>
        <v>0</v>
      </c>
      <c r="AS177">
        <f t="shared" si="196"/>
        <v>0</v>
      </c>
      <c r="AT177">
        <f t="shared" si="197"/>
        <v>0</v>
      </c>
      <c r="AU177">
        <f t="shared" si="198"/>
        <v>0</v>
      </c>
      <c r="AV177">
        <f t="shared" si="199"/>
        <v>0</v>
      </c>
      <c r="AW177">
        <f t="shared" si="200"/>
        <v>0</v>
      </c>
      <c r="AX177">
        <f t="shared" si="201"/>
        <v>0</v>
      </c>
      <c r="AY177">
        <f t="shared" si="202"/>
        <v>0</v>
      </c>
      <c r="AZ177">
        <f t="shared" si="203"/>
        <v>0</v>
      </c>
      <c r="BA177">
        <f t="shared" si="204"/>
        <v>0</v>
      </c>
      <c r="BB177">
        <f t="shared" si="205"/>
        <v>0</v>
      </c>
      <c r="BC177">
        <f t="shared" si="206"/>
        <v>0</v>
      </c>
      <c r="BD177">
        <f t="shared" si="207"/>
        <v>0</v>
      </c>
      <c r="BE177">
        <f t="shared" si="208"/>
        <v>0</v>
      </c>
    </row>
    <row r="178" spans="1:57" ht="15" customHeight="1">
      <c r="A178" s="103"/>
      <c r="B178" s="57"/>
      <c r="C178" s="98" t="s">
        <v>2521</v>
      </c>
      <c r="D178" s="813" t="str">
        <f>IF(CNSIPEE_2024_M2_Secc1!D47="","",CNSIPEE_2024_M2_Secc1!D47)</f>
        <v/>
      </c>
      <c r="E178" s="814"/>
      <c r="F178" s="814"/>
      <c r="G178" s="814"/>
      <c r="H178" s="814"/>
      <c r="I178" s="814"/>
      <c r="J178" s="100"/>
      <c r="K178" s="100"/>
      <c r="L178" s="100"/>
      <c r="M178" s="100"/>
      <c r="N178" s="100"/>
      <c r="O178" s="100"/>
      <c r="P178" s="100"/>
      <c r="Q178" s="100"/>
      <c r="R178" s="100"/>
      <c r="S178" s="100"/>
      <c r="T178" s="100"/>
      <c r="U178" s="100"/>
      <c r="V178" s="100"/>
      <c r="W178" s="100"/>
      <c r="X178" s="100"/>
      <c r="Y178" s="100"/>
      <c r="Z178" s="100"/>
      <c r="AA178" s="100"/>
      <c r="AB178" s="100"/>
      <c r="AC178" s="100"/>
      <c r="AD178" s="100"/>
      <c r="AK178">
        <f t="shared" si="188"/>
        <v>0</v>
      </c>
      <c r="AL178">
        <f t="shared" si="189"/>
        <v>0</v>
      </c>
      <c r="AM178">
        <f t="shared" si="190"/>
        <v>0</v>
      </c>
      <c r="AN178">
        <f t="shared" si="191"/>
        <v>0</v>
      </c>
      <c r="AO178">
        <f t="shared" si="192"/>
        <v>0</v>
      </c>
      <c r="AP178">
        <f t="shared" si="193"/>
        <v>0</v>
      </c>
      <c r="AQ178">
        <f t="shared" si="194"/>
        <v>0</v>
      </c>
      <c r="AR178">
        <f t="shared" si="195"/>
        <v>0</v>
      </c>
      <c r="AS178">
        <f t="shared" si="196"/>
        <v>0</v>
      </c>
      <c r="AT178">
        <f t="shared" si="197"/>
        <v>0</v>
      </c>
      <c r="AU178">
        <f t="shared" si="198"/>
        <v>0</v>
      </c>
      <c r="AV178">
        <f t="shared" si="199"/>
        <v>0</v>
      </c>
      <c r="AW178">
        <f t="shared" si="200"/>
        <v>0</v>
      </c>
      <c r="AX178">
        <f t="shared" si="201"/>
        <v>0</v>
      </c>
      <c r="AY178">
        <f t="shared" si="202"/>
        <v>0</v>
      </c>
      <c r="AZ178">
        <f t="shared" si="203"/>
        <v>0</v>
      </c>
      <c r="BA178">
        <f t="shared" si="204"/>
        <v>0</v>
      </c>
      <c r="BB178">
        <f t="shared" si="205"/>
        <v>0</v>
      </c>
      <c r="BC178">
        <f t="shared" si="206"/>
        <v>0</v>
      </c>
      <c r="BD178">
        <f t="shared" si="207"/>
        <v>0</v>
      </c>
      <c r="BE178">
        <f t="shared" si="208"/>
        <v>0</v>
      </c>
    </row>
    <row r="179" spans="1:57" ht="15" customHeight="1">
      <c r="A179" s="103"/>
      <c r="B179" s="57"/>
      <c r="C179" s="98" t="s">
        <v>2522</v>
      </c>
      <c r="D179" s="813" t="str">
        <f>IF(CNSIPEE_2024_M2_Secc1!D48="","",CNSIPEE_2024_M2_Secc1!D48)</f>
        <v/>
      </c>
      <c r="E179" s="814"/>
      <c r="F179" s="814"/>
      <c r="G179" s="814"/>
      <c r="H179" s="814"/>
      <c r="I179" s="814"/>
      <c r="J179" s="100"/>
      <c r="K179" s="100"/>
      <c r="L179" s="100"/>
      <c r="M179" s="100"/>
      <c r="N179" s="100"/>
      <c r="O179" s="100"/>
      <c r="P179" s="100"/>
      <c r="Q179" s="100"/>
      <c r="R179" s="100"/>
      <c r="S179" s="100"/>
      <c r="T179" s="100"/>
      <c r="U179" s="100"/>
      <c r="V179" s="100"/>
      <c r="W179" s="100"/>
      <c r="X179" s="100"/>
      <c r="Y179" s="100"/>
      <c r="Z179" s="100"/>
      <c r="AA179" s="100"/>
      <c r="AB179" s="100"/>
      <c r="AC179" s="100"/>
      <c r="AD179" s="100"/>
      <c r="AK179">
        <f t="shared" si="188"/>
        <v>0</v>
      </c>
      <c r="AL179">
        <f t="shared" si="189"/>
        <v>0</v>
      </c>
      <c r="AM179">
        <f t="shared" si="190"/>
        <v>0</v>
      </c>
      <c r="AN179">
        <f t="shared" si="191"/>
        <v>0</v>
      </c>
      <c r="AO179">
        <f t="shared" si="192"/>
        <v>0</v>
      </c>
      <c r="AP179">
        <f t="shared" si="193"/>
        <v>0</v>
      </c>
      <c r="AQ179">
        <f t="shared" si="194"/>
        <v>0</v>
      </c>
      <c r="AR179">
        <f t="shared" si="195"/>
        <v>0</v>
      </c>
      <c r="AS179">
        <f t="shared" si="196"/>
        <v>0</v>
      </c>
      <c r="AT179">
        <f t="shared" si="197"/>
        <v>0</v>
      </c>
      <c r="AU179">
        <f t="shared" si="198"/>
        <v>0</v>
      </c>
      <c r="AV179">
        <f t="shared" si="199"/>
        <v>0</v>
      </c>
      <c r="AW179">
        <f t="shared" si="200"/>
        <v>0</v>
      </c>
      <c r="AX179">
        <f t="shared" si="201"/>
        <v>0</v>
      </c>
      <c r="AY179">
        <f t="shared" si="202"/>
        <v>0</v>
      </c>
      <c r="AZ179">
        <f t="shared" si="203"/>
        <v>0</v>
      </c>
      <c r="BA179">
        <f t="shared" si="204"/>
        <v>0</v>
      </c>
      <c r="BB179">
        <f t="shared" si="205"/>
        <v>0</v>
      </c>
      <c r="BC179">
        <f t="shared" si="206"/>
        <v>0</v>
      </c>
      <c r="BD179">
        <f t="shared" si="207"/>
        <v>0</v>
      </c>
      <c r="BE179">
        <f t="shared" si="208"/>
        <v>0</v>
      </c>
    </row>
    <row r="180" spans="1:57" ht="15" customHeight="1">
      <c r="A180" s="103"/>
      <c r="B180" s="57"/>
      <c r="C180" s="98" t="s">
        <v>2523</v>
      </c>
      <c r="D180" s="813" t="str">
        <f>IF(CNSIPEE_2024_M2_Secc1!D49="","",CNSIPEE_2024_M2_Secc1!D49)</f>
        <v/>
      </c>
      <c r="E180" s="814"/>
      <c r="F180" s="814"/>
      <c r="G180" s="814"/>
      <c r="H180" s="814"/>
      <c r="I180" s="814"/>
      <c r="J180" s="100"/>
      <c r="K180" s="100"/>
      <c r="L180" s="100"/>
      <c r="M180" s="100"/>
      <c r="N180" s="100"/>
      <c r="O180" s="100"/>
      <c r="P180" s="100"/>
      <c r="Q180" s="100"/>
      <c r="R180" s="100"/>
      <c r="S180" s="100"/>
      <c r="T180" s="100"/>
      <c r="U180" s="100"/>
      <c r="V180" s="100"/>
      <c r="W180" s="100"/>
      <c r="X180" s="100"/>
      <c r="Y180" s="100"/>
      <c r="Z180" s="100"/>
      <c r="AA180" s="100"/>
      <c r="AB180" s="100"/>
      <c r="AC180" s="100"/>
      <c r="AD180" s="100"/>
      <c r="AK180">
        <f t="shared" si="188"/>
        <v>0</v>
      </c>
      <c r="AL180">
        <f t="shared" si="189"/>
        <v>0</v>
      </c>
      <c r="AM180">
        <f t="shared" si="190"/>
        <v>0</v>
      </c>
      <c r="AN180">
        <f t="shared" si="191"/>
        <v>0</v>
      </c>
      <c r="AO180">
        <f t="shared" si="192"/>
        <v>0</v>
      </c>
      <c r="AP180">
        <f t="shared" si="193"/>
        <v>0</v>
      </c>
      <c r="AQ180">
        <f t="shared" si="194"/>
        <v>0</v>
      </c>
      <c r="AR180">
        <f t="shared" si="195"/>
        <v>0</v>
      </c>
      <c r="AS180">
        <f t="shared" si="196"/>
        <v>0</v>
      </c>
      <c r="AT180">
        <f t="shared" si="197"/>
        <v>0</v>
      </c>
      <c r="AU180">
        <f t="shared" si="198"/>
        <v>0</v>
      </c>
      <c r="AV180">
        <f t="shared" si="199"/>
        <v>0</v>
      </c>
      <c r="AW180">
        <f t="shared" si="200"/>
        <v>0</v>
      </c>
      <c r="AX180">
        <f t="shared" si="201"/>
        <v>0</v>
      </c>
      <c r="AY180">
        <f t="shared" si="202"/>
        <v>0</v>
      </c>
      <c r="AZ180">
        <f t="shared" si="203"/>
        <v>0</v>
      </c>
      <c r="BA180">
        <f t="shared" si="204"/>
        <v>0</v>
      </c>
      <c r="BB180">
        <f t="shared" si="205"/>
        <v>0</v>
      </c>
      <c r="BC180">
        <f t="shared" si="206"/>
        <v>0</v>
      </c>
      <c r="BD180">
        <f t="shared" si="207"/>
        <v>0</v>
      </c>
      <c r="BE180">
        <f t="shared" si="208"/>
        <v>0</v>
      </c>
    </row>
    <row r="181" spans="1:57" ht="15" customHeight="1">
      <c r="A181" s="49"/>
      <c r="B181" s="38"/>
      <c r="C181" s="38"/>
      <c r="D181" s="38"/>
      <c r="E181" s="38"/>
      <c r="F181" s="38"/>
      <c r="G181" s="38"/>
      <c r="H181" s="117"/>
      <c r="J181" s="124">
        <f t="shared" ref="J181:AD181" si="209">IF(AND(SUM(J173:J180)=0,COUNTIF(J173:J180,"NS")&gt;0),"NS",IF(AND(SUM(J173:J180)=0,COUNTIF(J173:J180,0)&gt;0),0,IF(AND(SUM(J173:J180)=0,COUNTIF(J173:J180,"NA")&gt;0),"NA",SUM(J173:J180))))</f>
        <v>0</v>
      </c>
      <c r="K181" s="124">
        <f t="shared" si="209"/>
        <v>0</v>
      </c>
      <c r="L181" s="124">
        <f t="shared" si="209"/>
        <v>0</v>
      </c>
      <c r="M181" s="124">
        <f t="shared" si="209"/>
        <v>0</v>
      </c>
      <c r="N181" s="124">
        <f t="shared" si="209"/>
        <v>0</v>
      </c>
      <c r="O181" s="124">
        <f t="shared" si="209"/>
        <v>0</v>
      </c>
      <c r="P181" s="124">
        <f t="shared" si="209"/>
        <v>0</v>
      </c>
      <c r="Q181" s="124">
        <f t="shared" si="209"/>
        <v>0</v>
      </c>
      <c r="R181" s="124">
        <f t="shared" si="209"/>
        <v>0</v>
      </c>
      <c r="S181" s="124">
        <f t="shared" si="209"/>
        <v>0</v>
      </c>
      <c r="T181" s="124">
        <f t="shared" si="209"/>
        <v>0</v>
      </c>
      <c r="U181" s="124">
        <f t="shared" si="209"/>
        <v>0</v>
      </c>
      <c r="V181" s="124">
        <f t="shared" si="209"/>
        <v>0</v>
      </c>
      <c r="W181" s="124">
        <f t="shared" si="209"/>
        <v>0</v>
      </c>
      <c r="X181" s="124">
        <f t="shared" si="209"/>
        <v>0</v>
      </c>
      <c r="Y181" s="124">
        <f t="shared" si="209"/>
        <v>0</v>
      </c>
      <c r="Z181" s="124">
        <f t="shared" si="209"/>
        <v>0</v>
      </c>
      <c r="AA181" s="124">
        <f t="shared" si="209"/>
        <v>0</v>
      </c>
      <c r="AB181" s="124">
        <f t="shared" si="209"/>
        <v>0</v>
      </c>
      <c r="AC181" s="124">
        <f t="shared" si="209"/>
        <v>0</v>
      </c>
      <c r="AD181" s="124">
        <f t="shared" si="209"/>
        <v>0</v>
      </c>
      <c r="AK181">
        <f>SUM(AK173:AK180)</f>
        <v>0</v>
      </c>
      <c r="AM181">
        <f>SUM(AM173:AM180)</f>
        <v>0</v>
      </c>
      <c r="AN181">
        <f>SUM(AN173:AN180)</f>
        <v>0</v>
      </c>
      <c r="AP181">
        <f>SUM(AP173:AP180)</f>
        <v>0</v>
      </c>
      <c r="AQ181">
        <f>SUM(AQ173:AQ180)</f>
        <v>0</v>
      </c>
      <c r="AS181">
        <f>SUM(AS173:AS180)</f>
        <v>0</v>
      </c>
      <c r="AT181">
        <f>SUM(AT173:AT180)</f>
        <v>0</v>
      </c>
      <c r="AV181">
        <f>SUM(AV173:AV180)</f>
        <v>0</v>
      </c>
      <c r="AW181">
        <f>SUM(AW173:AW180)</f>
        <v>0</v>
      </c>
      <c r="AY181">
        <f>SUM(AY173:AY180)</f>
        <v>0</v>
      </c>
      <c r="AZ181">
        <f>SUM(AZ173:AZ180)</f>
        <v>0</v>
      </c>
      <c r="BB181">
        <f>SUM(BB173:BB180)</f>
        <v>0</v>
      </c>
      <c r="BC181">
        <f>SUM(BC173:BC180)</f>
        <v>0</v>
      </c>
      <c r="BE181">
        <f>SUM(BE173:BE180)</f>
        <v>0</v>
      </c>
    </row>
    <row r="182" spans="1:57" ht="15" customHeight="1">
      <c r="A182" s="49"/>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K182" t="s">
        <v>2650</v>
      </c>
      <c r="AL182" s="405">
        <f>SUM(AM181,AP181,AS181,AV181,AY181,BB181,BE181)</f>
        <v>0</v>
      </c>
      <c r="AM182" t="s">
        <v>2651</v>
      </c>
      <c r="AN182">
        <f>SUM(AK181,AN181,AQ181,AT181,AW181,AZ181,BC181)</f>
        <v>0</v>
      </c>
    </row>
    <row r="183" spans="1:57" ht="24" customHeight="1">
      <c r="A183" s="49"/>
      <c r="B183" s="38"/>
      <c r="C183" s="754" t="s">
        <v>2611</v>
      </c>
      <c r="D183" s="754"/>
      <c r="E183" s="754"/>
      <c r="F183" s="754"/>
      <c r="G183" s="754"/>
      <c r="H183" s="754"/>
      <c r="I183" s="754"/>
      <c r="J183" s="754"/>
      <c r="K183" s="754"/>
      <c r="L183" s="754"/>
      <c r="M183" s="754"/>
      <c r="N183" s="754"/>
      <c r="O183" s="754"/>
      <c r="P183" s="754"/>
      <c r="Q183" s="754"/>
      <c r="R183" s="754"/>
      <c r="S183" s="754"/>
      <c r="T183" s="754"/>
      <c r="U183" s="754"/>
      <c r="V183" s="754"/>
      <c r="W183" s="754"/>
      <c r="X183" s="754"/>
      <c r="Y183" s="754"/>
      <c r="Z183" s="754"/>
      <c r="AA183" s="754"/>
      <c r="AB183" s="754"/>
      <c r="AC183" s="754"/>
      <c r="AD183" s="754"/>
      <c r="AK183" t="s">
        <v>2652</v>
      </c>
      <c r="AL183">
        <f>IF(AN182&gt;0,IF(SUM(J181)&gt;=SUM(M181,P181,S181,V181,Y181,AB181),0,1),IF(SUM(J181)&lt;&gt;SUM(M181,P181,S181,V181,Y181,AB181),1,0))</f>
        <v>0</v>
      </c>
      <c r="AM183" t="s">
        <v>2653</v>
      </c>
      <c r="AN183">
        <f>IF(AN182&gt;0,IF(SUM(K181)&gt;=SUM(N181,Q181,T181,W181,Z181,AC181),0,1),IF(SUM(K181)&lt;&gt;SUM(N181,Q181,T181,W181,Z181,AC181),1,0))</f>
        <v>0</v>
      </c>
      <c r="AO183" t="s">
        <v>2654</v>
      </c>
      <c r="AP183">
        <f>IF(AN182&gt;0,IF(SUM(L181)&gt;=SUM(O181,R181,U181,X181,AA181,AD181),0,1),IF(SUM(L181)&lt;&gt;SUM(O181,R181,U181,X181,AA181,AD181),1,0))</f>
        <v>0</v>
      </c>
    </row>
    <row r="184" spans="1:57" ht="60" customHeight="1">
      <c r="A184" s="49"/>
      <c r="B184" s="38"/>
      <c r="C184" s="851"/>
      <c r="D184" s="851"/>
      <c r="E184" s="851"/>
      <c r="F184" s="851"/>
      <c r="G184" s="851"/>
      <c r="H184" s="851"/>
      <c r="I184" s="851"/>
      <c r="J184" s="851"/>
      <c r="K184" s="851"/>
      <c r="L184" s="851"/>
      <c r="M184" s="851"/>
      <c r="N184" s="851"/>
      <c r="O184" s="851"/>
      <c r="P184" s="851"/>
      <c r="Q184" s="851"/>
      <c r="R184" s="851"/>
      <c r="S184" s="851"/>
      <c r="T184" s="851"/>
      <c r="U184" s="851"/>
      <c r="V184" s="851"/>
      <c r="W184" s="851"/>
      <c r="X184" s="851"/>
      <c r="Y184" s="851"/>
      <c r="Z184" s="851"/>
      <c r="AA184" s="851"/>
      <c r="AB184" s="851"/>
      <c r="AC184" s="851"/>
      <c r="AD184" s="851"/>
      <c r="AK184" t="s">
        <v>5218</v>
      </c>
      <c r="AL184" s="506">
        <f>SUM(AL168,AL182)</f>
        <v>0</v>
      </c>
      <c r="AM184" t="s">
        <v>5219</v>
      </c>
      <c r="AN184">
        <f>SUM(AN168,AN182)</f>
        <v>0</v>
      </c>
    </row>
    <row r="185" spans="1:57" ht="15" customHeight="1">
      <c r="A185" s="49"/>
      <c r="B185" s="794" t="str">
        <f>IF(BC167=0,"","Favor de ingresar toda la información requerida en la pregunta")</f>
        <v/>
      </c>
      <c r="C185" s="794"/>
      <c r="D185" s="794"/>
      <c r="E185" s="794"/>
      <c r="F185" s="794"/>
      <c r="G185" s="794"/>
      <c r="H185" s="794"/>
      <c r="I185" s="794"/>
      <c r="J185" s="794"/>
      <c r="K185" s="794"/>
      <c r="L185" s="794"/>
      <c r="M185" s="794"/>
      <c r="N185" s="794"/>
      <c r="O185" s="794"/>
      <c r="P185" s="794"/>
      <c r="Q185" s="794"/>
      <c r="R185" s="794"/>
      <c r="S185" s="794"/>
      <c r="T185" s="794"/>
      <c r="U185" s="794"/>
      <c r="V185" s="794"/>
      <c r="W185" s="794"/>
      <c r="X185" s="794"/>
      <c r="Y185" s="794"/>
      <c r="Z185" s="794"/>
      <c r="AA185" s="794"/>
      <c r="AB185" s="794"/>
      <c r="AC185" s="794"/>
      <c r="AD185" s="794"/>
      <c r="AE185" s="794"/>
      <c r="AK185" t="s">
        <v>5220</v>
      </c>
      <c r="AL185" s="506">
        <f>IF(AN184&gt;0,IF(SUM(M167)&gt;=SUM(P167,S167,V167,Y167,AB167,J181,M181,P181,S181,V181,Y181,AB181),0,1),IF(SUM(M167)&lt;&gt;SUM(P167,S167,V167,Y167,AB167,J181,M181,P181,S181,V181,Y181,AB181),1,0))</f>
        <v>0</v>
      </c>
      <c r="AM185" t="s">
        <v>5221</v>
      </c>
      <c r="AN185" s="506">
        <f>IF($AN$184&gt;0,IF(SUM(N167)&gt;=SUM(Q167,T167,W167,Z167,AC167,K181,N181,Q181,T181,W181,Z181,AC181),0,1),IF(SUM(N167)&lt;&gt;SUM(Q167,T167,W167,Z167,AC167,K181,N181,Q181,T181,W181,Z181,AC181),1,0))</f>
        <v>0</v>
      </c>
      <c r="AO185" t="s">
        <v>5222</v>
      </c>
      <c r="AP185" s="506">
        <f>IF($AN$184&gt;0,IF(SUM(O167)&gt;=SUM(R167,U167,X167,AA167,AD167,L181,O181,R181,U181,X181,AA181,AD181),0,1),IF(SUM(O167)&lt;&gt;SUM(R167,U167,X167,AA167,AD167,L181,O181,R181,U181,X181,AA181,AD181),1,0))</f>
        <v>0</v>
      </c>
    </row>
    <row r="186" spans="1:57" ht="15" customHeight="1">
      <c r="A186" s="108"/>
      <c r="B186" s="1087" t="str">
        <f>IF(SUM(COUNTIF(M159:AD166,"NS"),COUNTIF(J173:AD180,"NS"))&lt;&gt;0,"Alerta: debido a que cuenta con registros NS, debe proporcionar una justificación en el area de comentarios al final de la pregunta","")</f>
        <v/>
      </c>
      <c r="C186" s="1087"/>
      <c r="D186" s="1087"/>
      <c r="E186" s="1087"/>
      <c r="F186" s="1087"/>
      <c r="G186" s="1087"/>
      <c r="H186" s="1087"/>
      <c r="I186" s="1087"/>
      <c r="J186" s="1087"/>
      <c r="K186" s="1087"/>
      <c r="L186" s="1087"/>
      <c r="M186" s="1087"/>
      <c r="N186" s="1087"/>
      <c r="O186" s="1087"/>
      <c r="P186" s="1087"/>
      <c r="Q186" s="1087"/>
      <c r="R186" s="1087"/>
      <c r="S186" s="1087"/>
      <c r="T186" s="1087"/>
      <c r="U186" s="1087"/>
      <c r="V186" s="1087"/>
      <c r="W186" s="1087"/>
      <c r="X186" s="1087"/>
      <c r="Y186" s="1087"/>
      <c r="Z186" s="1087"/>
      <c r="AA186" s="1087"/>
      <c r="AB186" s="1087"/>
      <c r="AC186" s="1087"/>
      <c r="AD186" s="1087"/>
      <c r="AE186" s="1087"/>
    </row>
    <row r="187" spans="1:57" ht="15" customHeight="1">
      <c r="A187" s="108"/>
      <c r="B187" s="1003" t="str">
        <f>IF(BD167&gt;0,"Revise la información capturada, ya que tiene datos ingresados en celdas que están sombreadas","")</f>
        <v/>
      </c>
      <c r="C187" s="1003"/>
      <c r="D187" s="1003"/>
      <c r="E187" s="1003"/>
      <c r="F187" s="1003"/>
      <c r="G187" s="1003"/>
      <c r="H187" s="1003"/>
      <c r="I187" s="1003"/>
      <c r="J187" s="1003"/>
      <c r="K187" s="1003"/>
      <c r="L187" s="1003"/>
      <c r="M187" s="1003"/>
      <c r="N187" s="1003"/>
      <c r="O187" s="1003"/>
      <c r="P187" s="1003"/>
      <c r="Q187" s="1003"/>
      <c r="R187" s="1003"/>
      <c r="S187" s="1003"/>
      <c r="T187" s="1003"/>
      <c r="U187" s="1003"/>
      <c r="V187" s="1003"/>
      <c r="W187" s="1003"/>
      <c r="X187" s="1003"/>
      <c r="Y187" s="1003"/>
      <c r="Z187" s="1003"/>
      <c r="AA187" s="1003"/>
      <c r="AB187" s="1003"/>
      <c r="AC187" s="1003"/>
      <c r="AD187" s="1003"/>
      <c r="AE187" s="1003"/>
    </row>
    <row r="188" spans="1:57" ht="15" customHeight="1">
      <c r="A188" s="108"/>
      <c r="B188" s="1003" t="str">
        <f>IF(OR(AL184&gt;0,AL185&gt;0,AN185&gt;0,AP185&gt;0),"Favor de revisar la suma y consistencia de totales y/o subtotales por filas (numéricos y NS)","")</f>
        <v/>
      </c>
      <c r="C188" s="1003"/>
      <c r="D188" s="1003"/>
      <c r="E188" s="1003"/>
      <c r="F188" s="1003"/>
      <c r="G188" s="1003"/>
      <c r="H188" s="1003"/>
      <c r="I188" s="1003"/>
      <c r="J188" s="1003"/>
      <c r="K188" s="1003"/>
      <c r="L188" s="1003"/>
      <c r="M188" s="1003"/>
      <c r="N188" s="1003"/>
      <c r="O188" s="1003"/>
      <c r="P188" s="1003"/>
      <c r="Q188" s="1003"/>
      <c r="R188" s="1003"/>
      <c r="S188" s="1003"/>
      <c r="T188" s="1003"/>
      <c r="U188" s="1003"/>
      <c r="V188" s="1003"/>
      <c r="W188" s="1003"/>
      <c r="X188" s="1003"/>
      <c r="Y188" s="1003"/>
      <c r="Z188" s="1003"/>
      <c r="AA188" s="1003"/>
      <c r="AB188" s="1003"/>
      <c r="AC188" s="1003"/>
      <c r="AD188" s="1003"/>
      <c r="AE188" s="1003"/>
    </row>
    <row r="189" spans="1:57" ht="15" customHeight="1">
      <c r="A189" s="108"/>
      <c r="B189" s="1003" t="str">
        <f>IF(BE167=0,"","Las cantidades de Hombres y Mujeres por centro especializado debe corresponder con los datos reportados en la preg. 8.3")</f>
        <v/>
      </c>
      <c r="C189" s="1003"/>
      <c r="D189" s="1003"/>
      <c r="E189" s="1003"/>
      <c r="F189" s="1003"/>
      <c r="G189" s="1003"/>
      <c r="H189" s="1003"/>
      <c r="I189" s="1003"/>
      <c r="J189" s="1003"/>
      <c r="K189" s="1003"/>
      <c r="L189" s="1003"/>
      <c r="M189" s="1003"/>
      <c r="N189" s="1003"/>
      <c r="O189" s="1003"/>
      <c r="P189" s="1003"/>
      <c r="Q189" s="1003"/>
      <c r="R189" s="1003"/>
      <c r="S189" s="1003"/>
      <c r="T189" s="1003"/>
      <c r="U189" s="1003"/>
      <c r="V189" s="1003"/>
      <c r="W189" s="1003"/>
      <c r="X189" s="1003"/>
      <c r="Y189" s="1003"/>
      <c r="Z189" s="1003"/>
      <c r="AA189" s="1003"/>
      <c r="AB189" s="1003"/>
      <c r="AC189" s="1003"/>
      <c r="AD189" s="1003"/>
      <c r="AE189" s="1003"/>
    </row>
    <row r="190" spans="1:57" ht="15" customHeight="1">
      <c r="A190" s="10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row>
    <row r="191" spans="1:57" ht="15" customHeight="1">
      <c r="A191" s="96"/>
      <c r="B191" s="57"/>
      <c r="C191" s="45" t="s">
        <v>5223</v>
      </c>
      <c r="D191" s="86"/>
      <c r="E191" s="86"/>
      <c r="F191" s="86"/>
      <c r="G191" s="86"/>
      <c r="H191" s="86"/>
      <c r="I191" s="86"/>
      <c r="J191" s="86"/>
      <c r="K191" s="86"/>
      <c r="L191" s="86"/>
      <c r="M191" s="86"/>
      <c r="N191" s="86"/>
      <c r="O191" s="86"/>
      <c r="P191" s="86"/>
      <c r="Q191" s="86"/>
      <c r="R191" s="86"/>
      <c r="S191" s="86"/>
      <c r="T191" s="86"/>
      <c r="U191" s="86"/>
      <c r="V191" s="86"/>
      <c r="W191" s="86"/>
      <c r="X191" s="86"/>
      <c r="Y191" s="86"/>
      <c r="Z191" s="86"/>
      <c r="AA191" s="86"/>
      <c r="AB191" s="86"/>
      <c r="AC191" s="86"/>
      <c r="AD191" s="86"/>
    </row>
    <row r="192" spans="1:57" ht="15" customHeight="1">
      <c r="A192" s="10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row>
    <row r="193" spans="1:57" ht="15" customHeight="1">
      <c r="A193" s="49"/>
      <c r="B193" s="38"/>
      <c r="C193" s="75"/>
      <c r="D193" s="75"/>
      <c r="E193" s="75"/>
      <c r="F193" s="75"/>
      <c r="G193" s="75"/>
      <c r="H193" s="75"/>
      <c r="I193" s="75"/>
      <c r="J193" s="75"/>
      <c r="K193" s="75"/>
      <c r="L193" s="75"/>
      <c r="M193" s="75"/>
      <c r="N193" s="75"/>
      <c r="O193" s="75"/>
      <c r="P193" s="75"/>
      <c r="Q193" s="75"/>
      <c r="R193" s="75"/>
      <c r="S193" s="75"/>
      <c r="T193" s="75"/>
      <c r="U193" s="75"/>
      <c r="V193" s="75"/>
      <c r="W193" s="75"/>
      <c r="X193" s="75"/>
      <c r="Y193" s="75"/>
      <c r="Z193" s="75"/>
      <c r="AA193" s="873" t="s">
        <v>2664</v>
      </c>
      <c r="AB193" s="873"/>
      <c r="AC193" s="873"/>
      <c r="AD193" s="873"/>
    </row>
    <row r="194" spans="1:57" ht="36" customHeight="1">
      <c r="A194" s="49"/>
      <c r="B194" s="38"/>
      <c r="C194" s="732" t="s">
        <v>2581</v>
      </c>
      <c r="D194" s="732"/>
      <c r="E194" s="732"/>
      <c r="F194" s="732"/>
      <c r="G194" s="732"/>
      <c r="H194" s="732"/>
      <c r="I194" s="732"/>
      <c r="J194" s="732"/>
      <c r="K194" s="732"/>
      <c r="L194" s="732"/>
      <c r="M194" s="739" t="s">
        <v>5224</v>
      </c>
      <c r="N194" s="740"/>
      <c r="O194" s="740"/>
      <c r="P194" s="740"/>
      <c r="Q194" s="740"/>
      <c r="R194" s="740"/>
      <c r="S194" s="740"/>
      <c r="T194" s="740"/>
      <c r="U194" s="740"/>
      <c r="V194" s="740"/>
      <c r="W194" s="740"/>
      <c r="X194" s="740"/>
      <c r="Y194" s="740"/>
      <c r="Z194" s="740"/>
      <c r="AA194" s="740"/>
      <c r="AB194" s="740"/>
      <c r="AC194" s="740"/>
      <c r="AD194" s="741"/>
    </row>
    <row r="195" spans="1:57" ht="48" customHeight="1">
      <c r="A195" s="49"/>
      <c r="B195" s="38"/>
      <c r="C195" s="732"/>
      <c r="D195" s="732"/>
      <c r="E195" s="732"/>
      <c r="F195" s="732"/>
      <c r="G195" s="732"/>
      <c r="H195" s="732"/>
      <c r="I195" s="732"/>
      <c r="J195" s="732"/>
      <c r="K195" s="732"/>
      <c r="L195" s="732"/>
      <c r="M195" s="887" t="s">
        <v>2628</v>
      </c>
      <c r="N195" s="889" t="s">
        <v>2629</v>
      </c>
      <c r="O195" s="889" t="s">
        <v>2630</v>
      </c>
      <c r="P195" s="736" t="s">
        <v>5204</v>
      </c>
      <c r="Q195" s="736"/>
      <c r="R195" s="736"/>
      <c r="S195" s="736" t="s">
        <v>5205</v>
      </c>
      <c r="T195" s="736"/>
      <c r="U195" s="736"/>
      <c r="V195" s="736" t="s">
        <v>5206</v>
      </c>
      <c r="W195" s="736"/>
      <c r="X195" s="736"/>
      <c r="Y195" s="736" t="s">
        <v>5207</v>
      </c>
      <c r="Z195" s="736"/>
      <c r="AA195" s="736"/>
      <c r="AB195" s="736" t="s">
        <v>5208</v>
      </c>
      <c r="AC195" s="736"/>
      <c r="AD195" s="736"/>
    </row>
    <row r="196" spans="1:57" ht="48" customHeight="1">
      <c r="A196" s="49"/>
      <c r="B196" s="38"/>
      <c r="C196" s="732"/>
      <c r="D196" s="732"/>
      <c r="E196" s="732"/>
      <c r="F196" s="732"/>
      <c r="G196" s="732"/>
      <c r="H196" s="732"/>
      <c r="I196" s="732"/>
      <c r="J196" s="732"/>
      <c r="K196" s="732"/>
      <c r="L196" s="732"/>
      <c r="M196" s="888"/>
      <c r="N196" s="890"/>
      <c r="O196" s="890"/>
      <c r="P196" s="127" t="s">
        <v>2635</v>
      </c>
      <c r="Q196" s="128" t="s">
        <v>2629</v>
      </c>
      <c r="R196" s="128" t="s">
        <v>2630</v>
      </c>
      <c r="S196" s="127" t="s">
        <v>2635</v>
      </c>
      <c r="T196" s="128" t="s">
        <v>2629</v>
      </c>
      <c r="U196" s="128" t="s">
        <v>2630</v>
      </c>
      <c r="V196" s="127" t="s">
        <v>2635</v>
      </c>
      <c r="W196" s="128" t="s">
        <v>2629</v>
      </c>
      <c r="X196" s="128" t="s">
        <v>2630</v>
      </c>
      <c r="Y196" s="127" t="s">
        <v>2635</v>
      </c>
      <c r="Z196" s="128" t="s">
        <v>2629</v>
      </c>
      <c r="AA196" s="128" t="s">
        <v>2630</v>
      </c>
      <c r="AB196" s="127" t="s">
        <v>2635</v>
      </c>
      <c r="AC196" s="128" t="s">
        <v>2629</v>
      </c>
      <c r="AD196" s="128" t="s">
        <v>2630</v>
      </c>
      <c r="AH196" t="s">
        <v>5209</v>
      </c>
      <c r="AI196" t="s">
        <v>5210</v>
      </c>
      <c r="AJ196" t="s">
        <v>5211</v>
      </c>
      <c r="AK196" t="s">
        <v>4573</v>
      </c>
      <c r="AL196" t="s">
        <v>2638</v>
      </c>
      <c r="AM196" t="s">
        <v>2639</v>
      </c>
      <c r="AN196" t="s">
        <v>4574</v>
      </c>
      <c r="AO196" t="s">
        <v>2641</v>
      </c>
      <c r="AP196" t="s">
        <v>2642</v>
      </c>
      <c r="AQ196" t="s">
        <v>4575</v>
      </c>
      <c r="AR196" t="s">
        <v>2644</v>
      </c>
      <c r="AS196" t="s">
        <v>2645</v>
      </c>
      <c r="AT196" t="s">
        <v>4576</v>
      </c>
      <c r="AU196" t="s">
        <v>2647</v>
      </c>
      <c r="AV196" t="s">
        <v>2648</v>
      </c>
      <c r="AW196" t="s">
        <v>5177</v>
      </c>
      <c r="AX196" t="s">
        <v>2757</v>
      </c>
      <c r="AY196" t="s">
        <v>2758</v>
      </c>
      <c r="AZ196" t="s">
        <v>5194</v>
      </c>
      <c r="BA196" t="s">
        <v>2760</v>
      </c>
      <c r="BB196" t="s">
        <v>2761</v>
      </c>
      <c r="BC196" t="s">
        <v>2586</v>
      </c>
      <c r="BD196" t="s">
        <v>4581</v>
      </c>
      <c r="BE196" t="s">
        <v>4582</v>
      </c>
    </row>
    <row r="197" spans="1:57" ht="15" customHeight="1">
      <c r="A197" s="49"/>
      <c r="B197" s="38"/>
      <c r="C197" s="97" t="s">
        <v>2516</v>
      </c>
      <c r="D197" s="813" t="str">
        <f>IF(CNSIPEE_2024_M2_Secc1!D42="","",CNSIPEE_2024_M2_Secc1!D42)</f>
        <v/>
      </c>
      <c r="E197" s="814"/>
      <c r="F197" s="814"/>
      <c r="G197" s="814"/>
      <c r="H197" s="814"/>
      <c r="I197" s="814"/>
      <c r="J197" s="814"/>
      <c r="K197" s="814"/>
      <c r="L197" s="815"/>
      <c r="M197" s="100"/>
      <c r="N197" s="100"/>
      <c r="O197" s="100"/>
      <c r="P197" s="100"/>
      <c r="Q197" s="100"/>
      <c r="R197" s="100"/>
      <c r="S197" s="100"/>
      <c r="T197" s="100"/>
      <c r="U197" s="100"/>
      <c r="V197" s="100"/>
      <c r="W197" s="100"/>
      <c r="X197" s="100"/>
      <c r="Y197" s="100"/>
      <c r="Z197" s="100"/>
      <c r="AA197" s="100"/>
      <c r="AB197" s="100"/>
      <c r="AC197" s="100"/>
      <c r="AD197" s="100"/>
      <c r="AH197">
        <f>IF(AND(SUM(V104,Y104,AB104)=0,SUM(COUNTIF(V104,"NS"),COUNTIF(Y104,"NS"),COUNTIF(AB104,"NS"))&gt;0),"NS",IF(AND(SUM(V104,Y104,AB104)=0,SUM(COUNTIF(V104,0),COUNTIF(Y104,0),COUNTIF(AB104,0))&gt;0),0,IF(AND(SUM(V104,Y104,AB104)=0,SUM(COUNTIF(V104,"NA"),COUNTIF(Y104,"NA"),COUNTIF(AB104,"NA"))&gt;0),"NA",SUM(V104,Y104,AB104))))</f>
        <v>0</v>
      </c>
      <c r="AI197">
        <f>IF(AND(SUM(W104,Z104,AC104)=0,SUM(COUNTIF(W104,"NS"),COUNTIF(Z104,"NS"),COUNTIF(AC104,"NS"))&gt;0),"NS",IF(AND(SUM(W104,Z104,AC104)=0,SUM(COUNTIF(W104,0),COUNTIF(Z104,0),COUNTIF(AC104,0))&gt;0),0,IF(AND(SUM(W104,Z104,AC104)=0,SUM(COUNTIF(W104,"NA"),COUNTIF(Z104,"NA"),COUNTIF(AC104,"NA"))&gt;0),"NA",SUM(W104,Z104,AC104))))</f>
        <v>0</v>
      </c>
      <c r="AJ197">
        <f>IF(AND(SUM(X104,AA104,AD104)=0,SUM(COUNTIF(X104,"NS"),COUNTIF(AA104,"NS"),COUNTIF(AD104,"NS"))&gt;0),"NS",IF(AND(SUM(X104,AA104,AD104)=0,SUM(COUNTIF(X104,0),COUNTIF(AA104,0),COUNTIF(AD104,0))&gt;0),0,IF(AND(SUM(X104,AA104,AD104)=0,SUM(COUNTIF(X104,"NA"),COUNTIF(AA104,"NA"),COUNTIF(AD104,"NA"))&gt;0),"NA",SUM(X104,AA104,AD104))))</f>
        <v>0</v>
      </c>
      <c r="AK197">
        <f>COUNTIF(N197:O197,"NS")</f>
        <v>0</v>
      </c>
      <c r="AL197">
        <f>SUM(N197:O197)</f>
        <v>0</v>
      </c>
      <c r="AM197">
        <f>IF(COUNTIF(M197:O197,"NA")=3,0,IF(COUNTA(M197:O197)=0,0,IF(OR(AND(M197=0,AK197&gt;0),AND(M197="ns",AL197&gt;0),AND(M197="ns",AK197=0,AL197=0)),1,IF(OR(AND(M197&gt;0,AK197=2),AND(M197="ns",AK197=2),AND(M197="ns",AL197=0,AK197&gt;0),M197=AL197),0,1))))</f>
        <v>0</v>
      </c>
      <c r="AN197">
        <f t="shared" ref="AN197" si="210">COUNTIF(Q197:R197,"NS")</f>
        <v>0</v>
      </c>
      <c r="AO197">
        <f t="shared" ref="AO197" si="211">SUM(Q197:R197)</f>
        <v>0</v>
      </c>
      <c r="AP197">
        <f t="shared" ref="AP197" si="212">IF(COUNTIF(P197:R197,"NA")=3,0,IF(COUNTA(P197:R197)=0,0,IF(OR(AND(P197=0,AN197&gt;0),AND(P197="ns",AO197&gt;0),AND(P197="ns",AN197=0,AO197=0)),1,IF(OR(AND(P197&gt;0,AN197=2),AND(P197="ns",AN197=2),AND(P197="ns",AO197=0,AN197&gt;0),P197=AO197),0,1))))</f>
        <v>0</v>
      </c>
      <c r="AQ197">
        <f t="shared" ref="AQ197" si="213">COUNTIF(T197:U197,"NS")</f>
        <v>0</v>
      </c>
      <c r="AR197">
        <f t="shared" ref="AR197" si="214">SUM(T197:U197)</f>
        <v>0</v>
      </c>
      <c r="AS197">
        <f t="shared" ref="AS197" si="215">IF(COUNTIF(S197:U197,"NA")=3,0,IF(COUNTA(S197:U197)=0,0,IF(OR(AND(S197=0,AQ197&gt;0),AND(S197="ns",AR197&gt;0),AND(S197="ns",AQ197=0,AR197=0)),1,IF(OR(AND(S197&gt;0,AQ197=2),AND(S197="ns",AQ197=2),AND(S197="ns",AR197=0,AQ197&gt;0),S197=AR197),0,1))))</f>
        <v>0</v>
      </c>
      <c r="AT197">
        <f t="shared" ref="AT197" si="216">COUNTIF(W197:X197,"NS")</f>
        <v>0</v>
      </c>
      <c r="AU197">
        <f t="shared" ref="AU197" si="217">SUM(W197:X197)</f>
        <v>0</v>
      </c>
      <c r="AV197">
        <f t="shared" ref="AV197" si="218">IF(COUNTIF(V197:X197,"NA")=3,0,IF(COUNTA(V197:X197)=0,0,IF(OR(AND(V197=0,AT197&gt;0),AND(V197="ns",AU197&gt;0),AND(V197="ns",AT197=0,AU197=0)),1,IF(OR(AND(V197&gt;0,AT197=2),AND(V197="ns",AT197=2),AND(V197="ns",AU197=0,AT197&gt;0),V197=AU197),0,1))))</f>
        <v>0</v>
      </c>
      <c r="AW197">
        <f t="shared" ref="AW197" si="219">COUNTIF(Z197:AA197,"NS")</f>
        <v>0</v>
      </c>
      <c r="AX197">
        <f t="shared" ref="AX197" si="220">SUM(Z197:AA197)</f>
        <v>0</v>
      </c>
      <c r="AY197">
        <f t="shared" ref="AY197" si="221">IF(COUNTIF(Y197:AA197,"NA")=3,0,IF(COUNTA(Y197:AA197)=0,0,IF(OR(AND(Y197=0,AW197&gt;0),AND(Y197="ns",AX197&gt;0),AND(Y197="ns",AW197=0,AX197=0)),1,IF(OR(AND(Y197&gt;0,AW197=2),AND(Y197="ns",AW197=2),AND(Y197="ns",AX197=0,AW197&gt;0),Y197=AX197),0,1))))</f>
        <v>0</v>
      </c>
      <c r="AZ197">
        <f t="shared" ref="AZ197" si="222">COUNTIF(AC197:AD197,"NS")</f>
        <v>0</v>
      </c>
      <c r="BA197">
        <f t="shared" ref="BA197" si="223">SUM(AC197:AD197)</f>
        <v>0</v>
      </c>
      <c r="BB197">
        <f t="shared" ref="BB197" si="224">IF(COUNTIF(AB197:AD197,"NA")=3,0,IF(COUNTA(AB197:AD197)=0,0,IF(OR(AND(AB197=0,AZ197&gt;0),AND(AB197="ns",BA197&gt;0),AND(AB197="ns",AZ197=0,BA197=0)),1,IF(OR(AND(AB197&gt;0,AZ197=2),AND(AB197="ns",AZ197=2),AND(AB197="ns",BA197=0,AZ197&gt;0),AB197=BA197),0,1))))</f>
        <v>0</v>
      </c>
      <c r="BC197">
        <f>IF(OR($AH197=0,$AH197="NS",$AH197="NA"),0,IF(OR(SUM(COUNTBLANK(D197:AD197),COUNTBLANK(J211:AD211))=8,SUM(COUNTBLANK(D197:AD197),COUNTBLANK(J211:AD211))=48),0,1))</f>
        <v>0</v>
      </c>
      <c r="BD197">
        <f>IF(OR($AH197=0,$AH197="NS",$AH197="NA"),IF(SUM(COUNTBLANK(M197:AD197),COUNTBLANK(J211:AD211))=39,0,1),0)</f>
        <v>0</v>
      </c>
      <c r="BE197">
        <f>IF(OR($AH197=0,$AH197="NS",$AH197="NA"),0,IF(AND(M197=AH197,N197=AI197,O197=AJ197),0,1))</f>
        <v>0</v>
      </c>
    </row>
    <row r="198" spans="1:57" ht="15" customHeight="1">
      <c r="A198" s="49"/>
      <c r="B198" s="38"/>
      <c r="C198" s="98" t="s">
        <v>2517</v>
      </c>
      <c r="D198" s="813" t="str">
        <f>IF(CNSIPEE_2024_M2_Secc1!D43="","",CNSIPEE_2024_M2_Secc1!D43)</f>
        <v/>
      </c>
      <c r="E198" s="814"/>
      <c r="F198" s="814"/>
      <c r="G198" s="814"/>
      <c r="H198" s="814"/>
      <c r="I198" s="814"/>
      <c r="J198" s="814"/>
      <c r="K198" s="814"/>
      <c r="L198" s="815"/>
      <c r="M198" s="100"/>
      <c r="N198" s="100"/>
      <c r="O198" s="100"/>
      <c r="P198" s="100"/>
      <c r="Q198" s="100"/>
      <c r="R198" s="100"/>
      <c r="S198" s="100"/>
      <c r="T198" s="100"/>
      <c r="U198" s="100"/>
      <c r="V198" s="100"/>
      <c r="W198" s="100"/>
      <c r="X198" s="100"/>
      <c r="Y198" s="100"/>
      <c r="Z198" s="100"/>
      <c r="AA198" s="100"/>
      <c r="AB198" s="100"/>
      <c r="AC198" s="100"/>
      <c r="AD198" s="100"/>
      <c r="AH198">
        <f t="shared" ref="AH198:AH204" si="225">IF(AND(SUM(V105,Y105,AB105)=0,SUM(COUNTIF(V105,"NS"),COUNTIF(Y105,"NS"),COUNTIF(AB105,"NS"))&gt;0),"NS",IF(AND(SUM(V105,Y105,AB105)=0,SUM(COUNTIF(V105,0),COUNTIF(Y105,0),COUNTIF(AB105,0))&gt;0),0,IF(AND(SUM(V105,Y105,AB105)=0,SUM(COUNTIF(V105,"NA"),COUNTIF(Y105,"NA"),COUNTIF(AB105,"NA"))&gt;0),"NA",SUM(V105,Y105,AB105))))</f>
        <v>0</v>
      </c>
      <c r="AI198">
        <f t="shared" ref="AI198:AI204" si="226">IF(AND(SUM(W105,Z105,AC105)=0,SUM(COUNTIF(W105,"NS"),COUNTIF(Z105,"NS"),COUNTIF(AC105,"NS"))&gt;0),"NS",IF(AND(SUM(W105,Z105,AC105)=0,SUM(COUNTIF(W105,0),COUNTIF(Z105,0),COUNTIF(AC105,0))&gt;0),0,IF(AND(SUM(W105,Z105,AC105)=0,SUM(COUNTIF(W105,"NA"),COUNTIF(Z105,"NA"),COUNTIF(AC105,"NA"))&gt;0),"NA",SUM(W105,Z105,AC105))))</f>
        <v>0</v>
      </c>
      <c r="AJ198">
        <f t="shared" ref="AJ198:AJ204" si="227">IF(AND(SUM(X105,AA105,AD105)=0,SUM(COUNTIF(X105,"NS"),COUNTIF(AA105,"NS"),COUNTIF(AD105,"NS"))&gt;0),"NS",IF(AND(SUM(X105,AA105,AD105)=0,SUM(COUNTIF(X105,0),COUNTIF(AA105,0),COUNTIF(AD105,0))&gt;0),0,IF(AND(SUM(X105,AA105,AD105)=0,SUM(COUNTIF(X105,"NA"),COUNTIF(AA105,"NA"),COUNTIF(AD105,"NA"))&gt;0),"NA",SUM(X105,AA105,AD105))))</f>
        <v>0</v>
      </c>
      <c r="AK198">
        <f t="shared" ref="AK198:AK204" si="228">COUNTIF(N198:O198,"NS")</f>
        <v>0</v>
      </c>
      <c r="AL198">
        <f t="shared" ref="AL198:AL204" si="229">SUM(N198:O198)</f>
        <v>0</v>
      </c>
      <c r="AM198">
        <f t="shared" ref="AM198:AM204" si="230">IF(COUNTIF(M198:O198,"NA")=3,0,IF(COUNTA(M198:O198)=0,0,IF(OR(AND(M198=0,AK198&gt;0),AND(M198="ns",AL198&gt;0),AND(M198="ns",AK198=0,AL198=0)),1,IF(OR(AND(M198&gt;0,AK198=2),AND(M198="ns",AK198=2),AND(M198="ns",AL198=0,AK198&gt;0),M198=AL198),0,1))))</f>
        <v>0</v>
      </c>
      <c r="AN198">
        <f t="shared" ref="AN198:AN204" si="231">COUNTIF(Q198:R198,"NS")</f>
        <v>0</v>
      </c>
      <c r="AO198">
        <f t="shared" ref="AO198:AO204" si="232">SUM(Q198:R198)</f>
        <v>0</v>
      </c>
      <c r="AP198">
        <f t="shared" ref="AP198:AP204" si="233">IF(COUNTIF(P198:R198,"NA")=3,0,IF(COUNTA(P198:R198)=0,0,IF(OR(AND(P198=0,AN198&gt;0),AND(P198="ns",AO198&gt;0),AND(P198="ns",AN198=0,AO198=0)),1,IF(OR(AND(P198&gt;0,AN198=2),AND(P198="ns",AN198=2),AND(P198="ns",AO198=0,AN198&gt;0),P198=AO198),0,1))))</f>
        <v>0</v>
      </c>
      <c r="AQ198">
        <f t="shared" ref="AQ198:AQ204" si="234">COUNTIF(T198:U198,"NS")</f>
        <v>0</v>
      </c>
      <c r="AR198">
        <f t="shared" ref="AR198:AR204" si="235">SUM(T198:U198)</f>
        <v>0</v>
      </c>
      <c r="AS198">
        <f t="shared" ref="AS198:AS204" si="236">IF(COUNTIF(S198:U198,"NA")=3,0,IF(COUNTA(S198:U198)=0,0,IF(OR(AND(S198=0,AQ198&gt;0),AND(S198="ns",AR198&gt;0),AND(S198="ns",AQ198=0,AR198=0)),1,IF(OR(AND(S198&gt;0,AQ198=2),AND(S198="ns",AQ198=2),AND(S198="ns",AR198=0,AQ198&gt;0),S198=AR198),0,1))))</f>
        <v>0</v>
      </c>
      <c r="AT198">
        <f t="shared" ref="AT198:AT204" si="237">COUNTIF(W198:X198,"NS")</f>
        <v>0</v>
      </c>
      <c r="AU198">
        <f t="shared" ref="AU198:AU204" si="238">SUM(W198:X198)</f>
        <v>0</v>
      </c>
      <c r="AV198">
        <f t="shared" ref="AV198:AV204" si="239">IF(COUNTIF(V198:X198,"NA")=3,0,IF(COUNTA(V198:X198)=0,0,IF(OR(AND(V198=0,AT198&gt;0),AND(V198="ns",AU198&gt;0),AND(V198="ns",AT198=0,AU198=0)),1,IF(OR(AND(V198&gt;0,AT198=2),AND(V198="ns",AT198=2),AND(V198="ns",AU198=0,AT198&gt;0),V198=AU198),0,1))))</f>
        <v>0</v>
      </c>
      <c r="AW198">
        <f t="shared" ref="AW198:AW204" si="240">COUNTIF(Z198:AA198,"NS")</f>
        <v>0</v>
      </c>
      <c r="AX198">
        <f t="shared" ref="AX198:AX204" si="241">SUM(Z198:AA198)</f>
        <v>0</v>
      </c>
      <c r="AY198">
        <f t="shared" ref="AY198:AY204" si="242">IF(COUNTIF(Y198:AA198,"NA")=3,0,IF(COUNTA(Y198:AA198)=0,0,IF(OR(AND(Y198=0,AW198&gt;0),AND(Y198="ns",AX198&gt;0),AND(Y198="ns",AW198=0,AX198=0)),1,IF(OR(AND(Y198&gt;0,AW198=2),AND(Y198="ns",AW198=2),AND(Y198="ns",AX198=0,AW198&gt;0),Y198=AX198),0,1))))</f>
        <v>0</v>
      </c>
      <c r="AZ198">
        <f t="shared" ref="AZ198:AZ204" si="243">COUNTIF(AC198:AD198,"NS")</f>
        <v>0</v>
      </c>
      <c r="BA198">
        <f t="shared" ref="BA198:BA204" si="244">SUM(AC198:AD198)</f>
        <v>0</v>
      </c>
      <c r="BB198">
        <f t="shared" ref="BB198:BB204" si="245">IF(COUNTIF(AB198:AD198,"NA")=3,0,IF(COUNTA(AB198:AD198)=0,0,IF(OR(AND(AB198=0,AZ198&gt;0),AND(AB198="ns",BA198&gt;0),AND(AB198="ns",AZ198=0,BA198=0)),1,IF(OR(AND(AB198&gt;0,AZ198=2),AND(AB198="ns",AZ198=2),AND(AB198="ns",BA198=0,AZ198&gt;0),AB198=BA198),0,1))))</f>
        <v>0</v>
      </c>
      <c r="BC198">
        <f t="shared" ref="BC198:BC203" si="246">IF(OR($AH198=0,$AH198="NS",$AH198="NA"),0,IF(OR(SUM(COUNTBLANK(D198:AD198),COUNTBLANK(J212:AD212))=8,SUM(COUNTBLANK(D198:AD198),COUNTBLANK(J212:AD212))=48),0,1))</f>
        <v>0</v>
      </c>
      <c r="BD198">
        <f t="shared" ref="BD198:BD203" si="247">IF(OR($AH198=0,$AH198="NS",$AH198="NA"),IF(SUM(COUNTBLANK(M198:AD198),COUNTBLANK(J212:AD212))=39,0,1),0)</f>
        <v>0</v>
      </c>
      <c r="BE198">
        <f t="shared" ref="BE198:BE203" si="248">IF(OR($AH198=0,$AH198="NS",$AH198="NA"),0,IF(AND(M198=AH198,N198=AI198,O198=AJ198),0,1))</f>
        <v>0</v>
      </c>
    </row>
    <row r="199" spans="1:57" ht="15" customHeight="1">
      <c r="A199" s="49"/>
      <c r="B199" s="38"/>
      <c r="C199" s="98" t="s">
        <v>2518</v>
      </c>
      <c r="D199" s="813" t="str">
        <f>IF(CNSIPEE_2024_M2_Secc1!D44="","",CNSIPEE_2024_M2_Secc1!D44)</f>
        <v/>
      </c>
      <c r="E199" s="814"/>
      <c r="F199" s="814"/>
      <c r="G199" s="814"/>
      <c r="H199" s="814"/>
      <c r="I199" s="814"/>
      <c r="J199" s="814"/>
      <c r="K199" s="814"/>
      <c r="L199" s="815"/>
      <c r="M199" s="100"/>
      <c r="N199" s="100"/>
      <c r="O199" s="100"/>
      <c r="P199" s="100"/>
      <c r="Q199" s="100"/>
      <c r="R199" s="100"/>
      <c r="S199" s="100"/>
      <c r="T199" s="100"/>
      <c r="U199" s="100"/>
      <c r="V199" s="100"/>
      <c r="W199" s="100"/>
      <c r="X199" s="100"/>
      <c r="Y199" s="100"/>
      <c r="Z199" s="100"/>
      <c r="AA199" s="100"/>
      <c r="AB199" s="100"/>
      <c r="AC199" s="100"/>
      <c r="AD199" s="100"/>
      <c r="AH199">
        <f t="shared" si="225"/>
        <v>0</v>
      </c>
      <c r="AI199">
        <f t="shared" si="226"/>
        <v>0</v>
      </c>
      <c r="AJ199">
        <f t="shared" si="227"/>
        <v>0</v>
      </c>
      <c r="AK199">
        <f t="shared" si="228"/>
        <v>0</v>
      </c>
      <c r="AL199">
        <f t="shared" si="229"/>
        <v>0</v>
      </c>
      <c r="AM199">
        <f t="shared" si="230"/>
        <v>0</v>
      </c>
      <c r="AN199">
        <f t="shared" si="231"/>
        <v>0</v>
      </c>
      <c r="AO199">
        <f t="shared" si="232"/>
        <v>0</v>
      </c>
      <c r="AP199">
        <f t="shared" si="233"/>
        <v>0</v>
      </c>
      <c r="AQ199">
        <f t="shared" si="234"/>
        <v>0</v>
      </c>
      <c r="AR199">
        <f t="shared" si="235"/>
        <v>0</v>
      </c>
      <c r="AS199">
        <f t="shared" si="236"/>
        <v>0</v>
      </c>
      <c r="AT199">
        <f t="shared" si="237"/>
        <v>0</v>
      </c>
      <c r="AU199">
        <f t="shared" si="238"/>
        <v>0</v>
      </c>
      <c r="AV199">
        <f t="shared" si="239"/>
        <v>0</v>
      </c>
      <c r="AW199">
        <f t="shared" si="240"/>
        <v>0</v>
      </c>
      <c r="AX199">
        <f t="shared" si="241"/>
        <v>0</v>
      </c>
      <c r="AY199">
        <f t="shared" si="242"/>
        <v>0</v>
      </c>
      <c r="AZ199">
        <f t="shared" si="243"/>
        <v>0</v>
      </c>
      <c r="BA199">
        <f t="shared" si="244"/>
        <v>0</v>
      </c>
      <c r="BB199">
        <f t="shared" si="245"/>
        <v>0</v>
      </c>
      <c r="BC199">
        <f t="shared" si="246"/>
        <v>0</v>
      </c>
      <c r="BD199">
        <f t="shared" si="247"/>
        <v>0</v>
      </c>
      <c r="BE199">
        <f t="shared" si="248"/>
        <v>0</v>
      </c>
    </row>
    <row r="200" spans="1:57" ht="15" customHeight="1">
      <c r="A200" s="49"/>
      <c r="B200" s="38"/>
      <c r="C200" s="98" t="s">
        <v>2519</v>
      </c>
      <c r="D200" s="813" t="str">
        <f>IF(CNSIPEE_2024_M2_Secc1!D45="","",CNSIPEE_2024_M2_Secc1!D45)</f>
        <v/>
      </c>
      <c r="E200" s="814"/>
      <c r="F200" s="814"/>
      <c r="G200" s="814"/>
      <c r="H200" s="814"/>
      <c r="I200" s="814"/>
      <c r="J200" s="814"/>
      <c r="K200" s="814"/>
      <c r="L200" s="815"/>
      <c r="M200" s="100"/>
      <c r="N200" s="100"/>
      <c r="O200" s="100"/>
      <c r="P200" s="100"/>
      <c r="Q200" s="100"/>
      <c r="R200" s="100"/>
      <c r="S200" s="100"/>
      <c r="T200" s="100"/>
      <c r="U200" s="100"/>
      <c r="V200" s="100"/>
      <c r="W200" s="100"/>
      <c r="X200" s="100"/>
      <c r="Y200" s="100"/>
      <c r="Z200" s="100"/>
      <c r="AA200" s="100"/>
      <c r="AB200" s="100"/>
      <c r="AC200" s="100"/>
      <c r="AD200" s="100"/>
      <c r="AH200">
        <f t="shared" si="225"/>
        <v>0</v>
      </c>
      <c r="AI200">
        <f t="shared" si="226"/>
        <v>0</v>
      </c>
      <c r="AJ200">
        <f t="shared" si="227"/>
        <v>0</v>
      </c>
      <c r="AK200">
        <f t="shared" si="228"/>
        <v>0</v>
      </c>
      <c r="AL200">
        <f t="shared" si="229"/>
        <v>0</v>
      </c>
      <c r="AM200">
        <f t="shared" si="230"/>
        <v>0</v>
      </c>
      <c r="AN200">
        <f t="shared" si="231"/>
        <v>0</v>
      </c>
      <c r="AO200">
        <f t="shared" si="232"/>
        <v>0</v>
      </c>
      <c r="AP200">
        <f t="shared" si="233"/>
        <v>0</v>
      </c>
      <c r="AQ200">
        <f t="shared" si="234"/>
        <v>0</v>
      </c>
      <c r="AR200">
        <f t="shared" si="235"/>
        <v>0</v>
      </c>
      <c r="AS200">
        <f t="shared" si="236"/>
        <v>0</v>
      </c>
      <c r="AT200">
        <f t="shared" si="237"/>
        <v>0</v>
      </c>
      <c r="AU200">
        <f t="shared" si="238"/>
        <v>0</v>
      </c>
      <c r="AV200">
        <f t="shared" si="239"/>
        <v>0</v>
      </c>
      <c r="AW200">
        <f t="shared" si="240"/>
        <v>0</v>
      </c>
      <c r="AX200">
        <f t="shared" si="241"/>
        <v>0</v>
      </c>
      <c r="AY200">
        <f t="shared" si="242"/>
        <v>0</v>
      </c>
      <c r="AZ200">
        <f t="shared" si="243"/>
        <v>0</v>
      </c>
      <c r="BA200">
        <f t="shared" si="244"/>
        <v>0</v>
      </c>
      <c r="BB200">
        <f t="shared" si="245"/>
        <v>0</v>
      </c>
      <c r="BC200">
        <f t="shared" si="246"/>
        <v>0</v>
      </c>
      <c r="BD200">
        <f t="shared" si="247"/>
        <v>0</v>
      </c>
      <c r="BE200">
        <f t="shared" si="248"/>
        <v>0</v>
      </c>
    </row>
    <row r="201" spans="1:57" ht="15" customHeight="1">
      <c r="A201" s="103"/>
      <c r="B201" s="57"/>
      <c r="C201" s="98" t="s">
        <v>2520</v>
      </c>
      <c r="D201" s="813" t="str">
        <f>IF(CNSIPEE_2024_M2_Secc1!D46="","",CNSIPEE_2024_M2_Secc1!D46)</f>
        <v/>
      </c>
      <c r="E201" s="814"/>
      <c r="F201" s="814"/>
      <c r="G201" s="814"/>
      <c r="H201" s="814"/>
      <c r="I201" s="814"/>
      <c r="J201" s="814"/>
      <c r="K201" s="814"/>
      <c r="L201" s="815"/>
      <c r="M201" s="100"/>
      <c r="N201" s="100"/>
      <c r="O201" s="100"/>
      <c r="P201" s="100"/>
      <c r="Q201" s="100"/>
      <c r="R201" s="100"/>
      <c r="S201" s="100"/>
      <c r="T201" s="100"/>
      <c r="U201" s="100"/>
      <c r="V201" s="100"/>
      <c r="W201" s="100"/>
      <c r="X201" s="100"/>
      <c r="Y201" s="100"/>
      <c r="Z201" s="100"/>
      <c r="AA201" s="100"/>
      <c r="AB201" s="100"/>
      <c r="AC201" s="100"/>
      <c r="AD201" s="100"/>
      <c r="AH201">
        <f t="shared" si="225"/>
        <v>0</v>
      </c>
      <c r="AI201">
        <f t="shared" si="226"/>
        <v>0</v>
      </c>
      <c r="AJ201">
        <f t="shared" si="227"/>
        <v>0</v>
      </c>
      <c r="AK201">
        <f t="shared" si="228"/>
        <v>0</v>
      </c>
      <c r="AL201">
        <f t="shared" si="229"/>
        <v>0</v>
      </c>
      <c r="AM201">
        <f t="shared" si="230"/>
        <v>0</v>
      </c>
      <c r="AN201">
        <f t="shared" si="231"/>
        <v>0</v>
      </c>
      <c r="AO201">
        <f t="shared" si="232"/>
        <v>0</v>
      </c>
      <c r="AP201">
        <f t="shared" si="233"/>
        <v>0</v>
      </c>
      <c r="AQ201">
        <f t="shared" si="234"/>
        <v>0</v>
      </c>
      <c r="AR201">
        <f t="shared" si="235"/>
        <v>0</v>
      </c>
      <c r="AS201">
        <f t="shared" si="236"/>
        <v>0</v>
      </c>
      <c r="AT201">
        <f t="shared" si="237"/>
        <v>0</v>
      </c>
      <c r="AU201">
        <f t="shared" si="238"/>
        <v>0</v>
      </c>
      <c r="AV201">
        <f t="shared" si="239"/>
        <v>0</v>
      </c>
      <c r="AW201">
        <f t="shared" si="240"/>
        <v>0</v>
      </c>
      <c r="AX201">
        <f t="shared" si="241"/>
        <v>0</v>
      </c>
      <c r="AY201">
        <f t="shared" si="242"/>
        <v>0</v>
      </c>
      <c r="AZ201">
        <f t="shared" si="243"/>
        <v>0</v>
      </c>
      <c r="BA201">
        <f t="shared" si="244"/>
        <v>0</v>
      </c>
      <c r="BB201">
        <f t="shared" si="245"/>
        <v>0</v>
      </c>
      <c r="BC201">
        <f t="shared" si="246"/>
        <v>0</v>
      </c>
      <c r="BD201">
        <f t="shared" si="247"/>
        <v>0</v>
      </c>
      <c r="BE201">
        <f t="shared" si="248"/>
        <v>0</v>
      </c>
    </row>
    <row r="202" spans="1:57" ht="15" customHeight="1">
      <c r="A202" s="103"/>
      <c r="B202" s="57"/>
      <c r="C202" s="98" t="s">
        <v>2521</v>
      </c>
      <c r="D202" s="813" t="str">
        <f>IF(CNSIPEE_2024_M2_Secc1!D47="","",CNSIPEE_2024_M2_Secc1!D47)</f>
        <v/>
      </c>
      <c r="E202" s="814"/>
      <c r="F202" s="814"/>
      <c r="G202" s="814"/>
      <c r="H202" s="814"/>
      <c r="I202" s="814"/>
      <c r="J202" s="814"/>
      <c r="K202" s="814"/>
      <c r="L202" s="815"/>
      <c r="M202" s="100"/>
      <c r="N202" s="100"/>
      <c r="O202" s="100"/>
      <c r="P202" s="100"/>
      <c r="Q202" s="100"/>
      <c r="R202" s="100"/>
      <c r="S202" s="100"/>
      <c r="T202" s="100"/>
      <c r="U202" s="100"/>
      <c r="V202" s="100"/>
      <c r="W202" s="100"/>
      <c r="X202" s="100"/>
      <c r="Y202" s="100"/>
      <c r="Z202" s="100"/>
      <c r="AA202" s="100"/>
      <c r="AB202" s="100"/>
      <c r="AC202" s="100"/>
      <c r="AD202" s="100"/>
      <c r="AH202">
        <f t="shared" si="225"/>
        <v>0</v>
      </c>
      <c r="AI202">
        <f t="shared" si="226"/>
        <v>0</v>
      </c>
      <c r="AJ202">
        <f t="shared" si="227"/>
        <v>0</v>
      </c>
      <c r="AK202">
        <f t="shared" si="228"/>
        <v>0</v>
      </c>
      <c r="AL202">
        <f t="shared" si="229"/>
        <v>0</v>
      </c>
      <c r="AM202">
        <f t="shared" si="230"/>
        <v>0</v>
      </c>
      <c r="AN202">
        <f t="shared" si="231"/>
        <v>0</v>
      </c>
      <c r="AO202">
        <f t="shared" si="232"/>
        <v>0</v>
      </c>
      <c r="AP202">
        <f t="shared" si="233"/>
        <v>0</v>
      </c>
      <c r="AQ202">
        <f t="shared" si="234"/>
        <v>0</v>
      </c>
      <c r="AR202">
        <f t="shared" si="235"/>
        <v>0</v>
      </c>
      <c r="AS202">
        <f t="shared" si="236"/>
        <v>0</v>
      </c>
      <c r="AT202">
        <f t="shared" si="237"/>
        <v>0</v>
      </c>
      <c r="AU202">
        <f t="shared" si="238"/>
        <v>0</v>
      </c>
      <c r="AV202">
        <f t="shared" si="239"/>
        <v>0</v>
      </c>
      <c r="AW202">
        <f t="shared" si="240"/>
        <v>0</v>
      </c>
      <c r="AX202">
        <f t="shared" si="241"/>
        <v>0</v>
      </c>
      <c r="AY202">
        <f t="shared" si="242"/>
        <v>0</v>
      </c>
      <c r="AZ202">
        <f t="shared" si="243"/>
        <v>0</v>
      </c>
      <c r="BA202">
        <f t="shared" si="244"/>
        <v>0</v>
      </c>
      <c r="BB202">
        <f t="shared" si="245"/>
        <v>0</v>
      </c>
      <c r="BC202">
        <f t="shared" si="246"/>
        <v>0</v>
      </c>
      <c r="BD202">
        <f t="shared" si="247"/>
        <v>0</v>
      </c>
      <c r="BE202">
        <f t="shared" si="248"/>
        <v>0</v>
      </c>
    </row>
    <row r="203" spans="1:57" ht="15" customHeight="1">
      <c r="A203" s="103"/>
      <c r="B203" s="57"/>
      <c r="C203" s="98" t="s">
        <v>2522</v>
      </c>
      <c r="D203" s="813" t="str">
        <f>IF(CNSIPEE_2024_M2_Secc1!D48="","",CNSIPEE_2024_M2_Secc1!D48)</f>
        <v/>
      </c>
      <c r="E203" s="814"/>
      <c r="F203" s="814"/>
      <c r="G203" s="814"/>
      <c r="H203" s="814"/>
      <c r="I203" s="814"/>
      <c r="J203" s="814"/>
      <c r="K203" s="814"/>
      <c r="L203" s="815"/>
      <c r="M203" s="100"/>
      <c r="N203" s="100"/>
      <c r="O203" s="100"/>
      <c r="P203" s="100"/>
      <c r="Q203" s="100"/>
      <c r="R203" s="100"/>
      <c r="S203" s="100"/>
      <c r="T203" s="100"/>
      <c r="U203" s="100"/>
      <c r="V203" s="100"/>
      <c r="W203" s="100"/>
      <c r="X203" s="100"/>
      <c r="Y203" s="100"/>
      <c r="Z203" s="100"/>
      <c r="AA203" s="100"/>
      <c r="AB203" s="100"/>
      <c r="AC203" s="100"/>
      <c r="AD203" s="100"/>
      <c r="AH203">
        <f t="shared" si="225"/>
        <v>0</v>
      </c>
      <c r="AI203">
        <f t="shared" si="226"/>
        <v>0</v>
      </c>
      <c r="AJ203">
        <f t="shared" si="227"/>
        <v>0</v>
      </c>
      <c r="AK203">
        <f t="shared" si="228"/>
        <v>0</v>
      </c>
      <c r="AL203">
        <f t="shared" si="229"/>
        <v>0</v>
      </c>
      <c r="AM203">
        <f t="shared" si="230"/>
        <v>0</v>
      </c>
      <c r="AN203">
        <f t="shared" si="231"/>
        <v>0</v>
      </c>
      <c r="AO203">
        <f t="shared" si="232"/>
        <v>0</v>
      </c>
      <c r="AP203">
        <f t="shared" si="233"/>
        <v>0</v>
      </c>
      <c r="AQ203">
        <f t="shared" si="234"/>
        <v>0</v>
      </c>
      <c r="AR203">
        <f t="shared" si="235"/>
        <v>0</v>
      </c>
      <c r="AS203">
        <f t="shared" si="236"/>
        <v>0</v>
      </c>
      <c r="AT203">
        <f t="shared" si="237"/>
        <v>0</v>
      </c>
      <c r="AU203">
        <f t="shared" si="238"/>
        <v>0</v>
      </c>
      <c r="AV203">
        <f t="shared" si="239"/>
        <v>0</v>
      </c>
      <c r="AW203">
        <f t="shared" si="240"/>
        <v>0</v>
      </c>
      <c r="AX203">
        <f t="shared" si="241"/>
        <v>0</v>
      </c>
      <c r="AY203">
        <f t="shared" si="242"/>
        <v>0</v>
      </c>
      <c r="AZ203">
        <f t="shared" si="243"/>
        <v>0</v>
      </c>
      <c r="BA203">
        <f t="shared" si="244"/>
        <v>0</v>
      </c>
      <c r="BB203">
        <f t="shared" si="245"/>
        <v>0</v>
      </c>
      <c r="BC203">
        <f t="shared" si="246"/>
        <v>0</v>
      </c>
      <c r="BD203">
        <f t="shared" si="247"/>
        <v>0</v>
      </c>
      <c r="BE203">
        <f t="shared" si="248"/>
        <v>0</v>
      </c>
    </row>
    <row r="204" spans="1:57" ht="15" customHeight="1">
      <c r="A204" s="103"/>
      <c r="B204" s="57"/>
      <c r="C204" s="98" t="s">
        <v>2523</v>
      </c>
      <c r="D204" s="813" t="str">
        <f>IF(CNSIPEE_2024_M2_Secc1!D49="","",CNSIPEE_2024_M2_Secc1!D49)</f>
        <v/>
      </c>
      <c r="E204" s="814"/>
      <c r="F204" s="814"/>
      <c r="G204" s="814"/>
      <c r="H204" s="814"/>
      <c r="I204" s="814"/>
      <c r="J204" s="814"/>
      <c r="K204" s="814"/>
      <c r="L204" s="815"/>
      <c r="M204" s="100"/>
      <c r="N204" s="100"/>
      <c r="O204" s="100"/>
      <c r="P204" s="100"/>
      <c r="Q204" s="100"/>
      <c r="R204" s="100"/>
      <c r="S204" s="100"/>
      <c r="T204" s="100"/>
      <c r="U204" s="100"/>
      <c r="V204" s="100"/>
      <c r="W204" s="100"/>
      <c r="X204" s="100"/>
      <c r="Y204" s="100"/>
      <c r="Z204" s="100"/>
      <c r="AA204" s="100"/>
      <c r="AB204" s="100"/>
      <c r="AC204" s="100"/>
      <c r="AD204" s="100"/>
      <c r="AH204">
        <f t="shared" si="225"/>
        <v>0</v>
      </c>
      <c r="AI204">
        <f t="shared" si="226"/>
        <v>0</v>
      </c>
      <c r="AJ204">
        <f t="shared" si="227"/>
        <v>0</v>
      </c>
      <c r="AK204">
        <f t="shared" si="228"/>
        <v>0</v>
      </c>
      <c r="AL204">
        <f t="shared" si="229"/>
        <v>0</v>
      </c>
      <c r="AM204">
        <f t="shared" si="230"/>
        <v>0</v>
      </c>
      <c r="AN204">
        <f t="shared" si="231"/>
        <v>0</v>
      </c>
      <c r="AO204">
        <f t="shared" si="232"/>
        <v>0</v>
      </c>
      <c r="AP204">
        <f t="shared" si="233"/>
        <v>0</v>
      </c>
      <c r="AQ204">
        <f t="shared" si="234"/>
        <v>0</v>
      </c>
      <c r="AR204">
        <f t="shared" si="235"/>
        <v>0</v>
      </c>
      <c r="AS204">
        <f t="shared" si="236"/>
        <v>0</v>
      </c>
      <c r="AT204">
        <f t="shared" si="237"/>
        <v>0</v>
      </c>
      <c r="AU204">
        <f t="shared" si="238"/>
        <v>0</v>
      </c>
      <c r="AV204">
        <f t="shared" si="239"/>
        <v>0</v>
      </c>
      <c r="AW204">
        <f t="shared" si="240"/>
        <v>0</v>
      </c>
      <c r="AX204">
        <f t="shared" si="241"/>
        <v>0</v>
      </c>
      <c r="AY204">
        <f t="shared" si="242"/>
        <v>0</v>
      </c>
      <c r="AZ204">
        <f t="shared" si="243"/>
        <v>0</v>
      </c>
      <c r="BA204">
        <f t="shared" si="244"/>
        <v>0</v>
      </c>
      <c r="BB204">
        <f t="shared" si="245"/>
        <v>0</v>
      </c>
      <c r="BC204">
        <f>IF(OR($AH204=0,$AH204="NS",$AH204="NA"),0,IF(OR(SUM(COUNTBLANK(D204:AD204),COUNTBLANK(J218:AD218))=8,SUM(COUNTBLANK(D204:AD204),COUNTBLANK(J218:AD218))=48),0,1))</f>
        <v>0</v>
      </c>
      <c r="BD204">
        <f>IF(OR($AH204=0,$AH204="NS",$AH204="NA"),IF(SUM(COUNTBLANK(M204:AD204),COUNTBLANK(J218:AD218))=39,0,1),0)</f>
        <v>0</v>
      </c>
      <c r="BE204">
        <f>IF(OR($AH204=0,$AH204="NS",$AH204="NA"),0,IF(AND(M204=AH204,N204=AI204,O204=AJ204),0,1))</f>
        <v>0</v>
      </c>
    </row>
    <row r="205" spans="1:57" ht="15" customHeight="1">
      <c r="A205" s="49"/>
      <c r="B205" s="38"/>
      <c r="C205" s="38"/>
      <c r="D205" s="38"/>
      <c r="E205" s="38"/>
      <c r="F205" s="38"/>
      <c r="G205" s="38"/>
      <c r="H205" s="117"/>
      <c r="L205" s="99" t="s">
        <v>2649</v>
      </c>
      <c r="M205" s="124">
        <f t="shared" ref="M205:AD205" si="249">IF(AND(SUM(M197:M204)=0,COUNTIF(M197:M204,"NS")&gt;0),"NS",IF(AND(SUM(M197:M204)=0,COUNTIF(M197:M204,0)&gt;0),0,IF(AND(SUM(M197:M204)=0,COUNTIF(M197:M204,"NA")&gt;0),"NA",SUM(M197:M204))))</f>
        <v>0</v>
      </c>
      <c r="N205" s="124">
        <f t="shared" si="249"/>
        <v>0</v>
      </c>
      <c r="O205" s="124">
        <f t="shared" si="249"/>
        <v>0</v>
      </c>
      <c r="P205" s="124">
        <f t="shared" si="249"/>
        <v>0</v>
      </c>
      <c r="Q205" s="124">
        <f t="shared" si="249"/>
        <v>0</v>
      </c>
      <c r="R205" s="124">
        <f t="shared" si="249"/>
        <v>0</v>
      </c>
      <c r="S205" s="124">
        <f t="shared" si="249"/>
        <v>0</v>
      </c>
      <c r="T205" s="124">
        <f t="shared" si="249"/>
        <v>0</v>
      </c>
      <c r="U205" s="124">
        <f t="shared" si="249"/>
        <v>0</v>
      </c>
      <c r="V205" s="124">
        <f t="shared" si="249"/>
        <v>0</v>
      </c>
      <c r="W205" s="124">
        <f t="shared" si="249"/>
        <v>0</v>
      </c>
      <c r="X205" s="124">
        <f t="shared" si="249"/>
        <v>0</v>
      </c>
      <c r="Y205" s="124">
        <f t="shared" si="249"/>
        <v>0</v>
      </c>
      <c r="Z205" s="124">
        <f t="shared" si="249"/>
        <v>0</v>
      </c>
      <c r="AA205" s="124">
        <f t="shared" si="249"/>
        <v>0</v>
      </c>
      <c r="AB205" s="124">
        <f t="shared" si="249"/>
        <v>0</v>
      </c>
      <c r="AC205" s="124">
        <f t="shared" si="249"/>
        <v>0</v>
      </c>
      <c r="AD205" s="124">
        <f t="shared" si="249"/>
        <v>0</v>
      </c>
      <c r="AK205">
        <f>SUM(AK197:AK204)</f>
        <v>0</v>
      </c>
      <c r="AM205">
        <f>SUM(AM197:AM204)</f>
        <v>0</v>
      </c>
      <c r="AN205">
        <f>SUM(AN197:AN204)</f>
        <v>0</v>
      </c>
      <c r="AP205">
        <f>SUM(AP197:AP204)</f>
        <v>0</v>
      </c>
      <c r="AQ205">
        <f>SUM(AQ197:AQ204)</f>
        <v>0</v>
      </c>
      <c r="AS205">
        <f>SUM(AS197:AS204)</f>
        <v>0</v>
      </c>
      <c r="AT205">
        <f>SUM(AT197:AT204)</f>
        <v>0</v>
      </c>
      <c r="AV205">
        <f>SUM(AV197:AV204)</f>
        <v>0</v>
      </c>
      <c r="AW205">
        <f>SUM(AW197:AW204)</f>
        <v>0</v>
      </c>
      <c r="AY205">
        <f>SUM(AY197:AY204)</f>
        <v>0</v>
      </c>
      <c r="AZ205">
        <f>SUM(AZ197:AZ204)</f>
        <v>0</v>
      </c>
      <c r="BB205">
        <f>SUM(BB197:BB204)</f>
        <v>0</v>
      </c>
      <c r="BC205" s="507">
        <f>SUM(BC197:BC204)</f>
        <v>0</v>
      </c>
      <c r="BD205" s="507">
        <f>SUM(BD197:BD204)</f>
        <v>0</v>
      </c>
      <c r="BE205" s="507">
        <f>SUM(BE197:BE204)</f>
        <v>0</v>
      </c>
    </row>
    <row r="206" spans="1:57" ht="15" customHeight="1">
      <c r="A206" s="49"/>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K206" t="s">
        <v>2650</v>
      </c>
      <c r="AL206" s="405">
        <f>SUM(AM205,AP205,AS205,AV205,AY205,BB205)</f>
        <v>0</v>
      </c>
      <c r="AM206" t="s">
        <v>2651</v>
      </c>
      <c r="AN206">
        <f>SUM(AK205,AN205,AQ205,AT205,AW205,AZ205)</f>
        <v>0</v>
      </c>
    </row>
    <row r="207" spans="1:57" ht="15" customHeight="1">
      <c r="A207" s="49"/>
      <c r="B207" s="38"/>
      <c r="C207" s="75"/>
      <c r="D207" s="75"/>
      <c r="E207" s="75"/>
      <c r="F207" s="75"/>
      <c r="G207" s="75"/>
      <c r="H207" s="75"/>
      <c r="I207" s="75"/>
      <c r="J207" s="75"/>
      <c r="K207" s="75"/>
      <c r="L207" s="75"/>
      <c r="M207" s="75"/>
      <c r="N207" s="75"/>
      <c r="O207" s="75"/>
      <c r="P207" s="75"/>
      <c r="Q207" s="75"/>
      <c r="R207" s="75"/>
      <c r="S207" s="75"/>
      <c r="T207" s="75"/>
      <c r="U207" s="75"/>
      <c r="V207" s="75"/>
      <c r="W207" s="75"/>
      <c r="X207" s="75"/>
      <c r="Y207" s="75"/>
      <c r="Z207" s="75"/>
      <c r="AA207" s="873" t="s">
        <v>2668</v>
      </c>
      <c r="AB207" s="873"/>
      <c r="AC207" s="873"/>
      <c r="AD207" s="873"/>
      <c r="AK207" t="s">
        <v>2652</v>
      </c>
      <c r="AL207">
        <f>IF(AN206&gt;0,IF(SUM(M205)&gt;=SUM(P205,S205,V205,Y205,AB205),0,1),IF(SUM(M205)&lt;&gt;SUM(P205,S205,V205,Y205,AB205),1,0))</f>
        <v>0</v>
      </c>
      <c r="AM207" t="s">
        <v>2653</v>
      </c>
      <c r="AN207">
        <f>IF(AN206&gt;0,IF(SUM(N205)&gt;=SUM(Q205,T205,W205,Z205,AC205),0,1),IF(SUM(N205)&lt;&gt;SUM(Q205,T205,W205,Z205,AC205),1,0))</f>
        <v>0</v>
      </c>
      <c r="AO207" t="s">
        <v>2654</v>
      </c>
      <c r="AP207">
        <f>IF(AN206&gt;0,IF(SUM(O205)&gt;=SUM(R205,U205,X205,AA205,AD205),0,1),IF(SUM(O205)&lt;&gt;SUM(R205,U205,X205,AA205,AD205),1,0))</f>
        <v>0</v>
      </c>
    </row>
    <row r="208" spans="1:57" ht="36" customHeight="1">
      <c r="A208" s="49"/>
      <c r="B208" s="38"/>
      <c r="C208" s="797" t="s">
        <v>2581</v>
      </c>
      <c r="D208" s="798"/>
      <c r="E208" s="798"/>
      <c r="F208" s="798"/>
      <c r="G208" s="798"/>
      <c r="H208" s="798"/>
      <c r="I208" s="799"/>
      <c r="J208" s="739" t="s">
        <v>5224</v>
      </c>
      <c r="K208" s="740"/>
      <c r="L208" s="740"/>
      <c r="M208" s="740"/>
      <c r="N208" s="740"/>
      <c r="O208" s="740"/>
      <c r="P208" s="740"/>
      <c r="Q208" s="740"/>
      <c r="R208" s="740"/>
      <c r="S208" s="740"/>
      <c r="T208" s="740"/>
      <c r="U208" s="740"/>
      <c r="V208" s="740"/>
      <c r="W208" s="740"/>
      <c r="X208" s="740"/>
      <c r="Y208" s="740"/>
      <c r="Z208" s="740"/>
      <c r="AA208" s="740"/>
      <c r="AB208" s="740"/>
      <c r="AC208" s="740"/>
      <c r="AD208" s="741"/>
    </row>
    <row r="209" spans="1:57" ht="48" customHeight="1">
      <c r="A209" s="49"/>
      <c r="B209" s="38"/>
      <c r="C209" s="800"/>
      <c r="D209" s="801"/>
      <c r="E209" s="801"/>
      <c r="F209" s="801"/>
      <c r="G209" s="801"/>
      <c r="H209" s="801"/>
      <c r="I209" s="802"/>
      <c r="J209" s="736" t="s">
        <v>5212</v>
      </c>
      <c r="K209" s="736"/>
      <c r="L209" s="736"/>
      <c r="M209" s="736" t="s">
        <v>5213</v>
      </c>
      <c r="N209" s="736"/>
      <c r="O209" s="736"/>
      <c r="P209" s="736" t="s">
        <v>5214</v>
      </c>
      <c r="Q209" s="736"/>
      <c r="R209" s="736"/>
      <c r="S209" s="736" t="s">
        <v>5215</v>
      </c>
      <c r="T209" s="736"/>
      <c r="U209" s="736"/>
      <c r="V209" s="736" t="s">
        <v>5216</v>
      </c>
      <c r="W209" s="736"/>
      <c r="X209" s="736"/>
      <c r="Y209" s="736" t="s">
        <v>5217</v>
      </c>
      <c r="Z209" s="736"/>
      <c r="AA209" s="736"/>
      <c r="AB209" s="736" t="s">
        <v>201</v>
      </c>
      <c r="AC209" s="736"/>
      <c r="AD209" s="736"/>
    </row>
    <row r="210" spans="1:57" ht="48" customHeight="1">
      <c r="A210" s="49"/>
      <c r="B210" s="38"/>
      <c r="C210" s="803"/>
      <c r="D210" s="804"/>
      <c r="E210" s="804"/>
      <c r="F210" s="804"/>
      <c r="G210" s="804"/>
      <c r="H210" s="804"/>
      <c r="I210" s="805"/>
      <c r="J210" s="127" t="s">
        <v>2635</v>
      </c>
      <c r="K210" s="128" t="s">
        <v>2629</v>
      </c>
      <c r="L210" s="128" t="s">
        <v>2630</v>
      </c>
      <c r="M210" s="127" t="s">
        <v>2635</v>
      </c>
      <c r="N210" s="128" t="s">
        <v>2629</v>
      </c>
      <c r="O210" s="128" t="s">
        <v>2630</v>
      </c>
      <c r="P210" s="127" t="s">
        <v>2635</v>
      </c>
      <c r="Q210" s="128" t="s">
        <v>2629</v>
      </c>
      <c r="R210" s="128" t="s">
        <v>2630</v>
      </c>
      <c r="S210" s="127" t="s">
        <v>2635</v>
      </c>
      <c r="T210" s="128" t="s">
        <v>2629</v>
      </c>
      <c r="U210" s="128" t="s">
        <v>2630</v>
      </c>
      <c r="V210" s="127" t="s">
        <v>2635</v>
      </c>
      <c r="W210" s="128" t="s">
        <v>2629</v>
      </c>
      <c r="X210" s="128" t="s">
        <v>2630</v>
      </c>
      <c r="Y210" s="127" t="s">
        <v>2635</v>
      </c>
      <c r="Z210" s="128" t="s">
        <v>2629</v>
      </c>
      <c r="AA210" s="128" t="s">
        <v>2630</v>
      </c>
      <c r="AB210" s="127" t="s">
        <v>2635</v>
      </c>
      <c r="AC210" s="128" t="s">
        <v>2629</v>
      </c>
      <c r="AD210" s="128" t="s">
        <v>2630</v>
      </c>
      <c r="AK210" t="s">
        <v>4573</v>
      </c>
      <c r="AL210" t="s">
        <v>2638</v>
      </c>
      <c r="AM210" t="s">
        <v>2639</v>
      </c>
      <c r="AN210" t="s">
        <v>4574</v>
      </c>
      <c r="AO210" t="s">
        <v>2641</v>
      </c>
      <c r="AP210" t="s">
        <v>2642</v>
      </c>
      <c r="AQ210" t="s">
        <v>4575</v>
      </c>
      <c r="AR210" t="s">
        <v>2644</v>
      </c>
      <c r="AS210" t="s">
        <v>2645</v>
      </c>
      <c r="AT210" t="s">
        <v>4576</v>
      </c>
      <c r="AU210" t="s">
        <v>2647</v>
      </c>
      <c r="AV210" t="s">
        <v>2648</v>
      </c>
      <c r="AW210" t="s">
        <v>5177</v>
      </c>
      <c r="AX210" t="s">
        <v>2757</v>
      </c>
      <c r="AY210" t="s">
        <v>2758</v>
      </c>
      <c r="AZ210" t="s">
        <v>5194</v>
      </c>
      <c r="BA210" t="s">
        <v>2760</v>
      </c>
      <c r="BB210" t="s">
        <v>2761</v>
      </c>
      <c r="BC210" t="s">
        <v>5195</v>
      </c>
      <c r="BD210" t="s">
        <v>2763</v>
      </c>
      <c r="BE210" t="s">
        <v>2764</v>
      </c>
    </row>
    <row r="211" spans="1:57" ht="15" customHeight="1">
      <c r="A211" s="49"/>
      <c r="B211" s="38"/>
      <c r="C211" s="97" t="s">
        <v>2516</v>
      </c>
      <c r="D211" s="813" t="str">
        <f>IF(CNSIPEE_2024_M2_Secc1!D42="","",CNSIPEE_2024_M2_Secc1!D42)</f>
        <v/>
      </c>
      <c r="E211" s="814"/>
      <c r="F211" s="814"/>
      <c r="G211" s="814"/>
      <c r="H211" s="814"/>
      <c r="I211" s="814"/>
      <c r="J211" s="100"/>
      <c r="K211" s="100"/>
      <c r="L211" s="100"/>
      <c r="M211" s="100"/>
      <c r="N211" s="100"/>
      <c r="O211" s="100"/>
      <c r="P211" s="100"/>
      <c r="Q211" s="100"/>
      <c r="R211" s="100"/>
      <c r="S211" s="100"/>
      <c r="T211" s="100"/>
      <c r="U211" s="100"/>
      <c r="V211" s="100"/>
      <c r="W211" s="100"/>
      <c r="X211" s="100"/>
      <c r="Y211" s="100"/>
      <c r="Z211" s="100"/>
      <c r="AA211" s="100"/>
      <c r="AB211" s="100"/>
      <c r="AC211" s="100"/>
      <c r="AD211" s="100"/>
      <c r="AK211">
        <f t="shared" ref="AK211" si="250">COUNTIF(K211:L211,"NS")</f>
        <v>0</v>
      </c>
      <c r="AL211">
        <f t="shared" ref="AL211" si="251">SUM(K211:L211)</f>
        <v>0</v>
      </c>
      <c r="AM211">
        <f>IF(COUNTIF(J211:L211,"NA")=3,0,IF(COUNTA(J211:L211)=0,0,IF(OR(AND(J211=0,AK211&gt;0),AND(J211="ns",AL211&gt;0),AND(J211="ns",AK211=0,AL211=0)),1,IF(OR(AND(J211&gt;0,AK211=2),AND(J211="ns",AK211=2),AND(J211="ns",AL211=0,AK211&gt;0),J211=AL211),0,1))))</f>
        <v>0</v>
      </c>
      <c r="AN211">
        <f t="shared" ref="AN211" si="252">COUNTIF(N211:O211,"NS")</f>
        <v>0</v>
      </c>
      <c r="AO211">
        <f t="shared" ref="AO211" si="253">SUM(N211:O211)</f>
        <v>0</v>
      </c>
      <c r="AP211">
        <f t="shared" ref="AP211" si="254">IF(COUNTIF(M211:O211,"NA")=3,0,IF(COUNTA(M211:O211)=0,0,IF(OR(AND(M211=0,AN211&gt;0),AND(M211="ns",AO211&gt;0),AND(M211="ns",AN211=0,AO211=0)),1,IF(OR(AND(M211&gt;0,AN211=2),AND(M211="ns",AN211=2),AND(M211="ns",AO211=0,AN211&gt;0),M211=AO211),0,1))))</f>
        <v>0</v>
      </c>
      <c r="AQ211">
        <f t="shared" ref="AQ211" si="255">COUNTIF(Q211:R211,"NS")</f>
        <v>0</v>
      </c>
      <c r="AR211">
        <f t="shared" ref="AR211" si="256">SUM(Q211:R211)</f>
        <v>0</v>
      </c>
      <c r="AS211">
        <f t="shared" ref="AS211" si="257">IF(COUNTIF(P211:R211,"NA")=3,0,IF(COUNTA(P211:R211)=0,0,IF(OR(AND(P211=0,AQ211&gt;0),AND(P211="ns",AR211&gt;0),AND(P211="ns",AQ211=0,AR211=0)),1,IF(OR(AND(P211&gt;0,AQ211=2),AND(P211="ns",AQ211=2),AND(P211="ns",AR211=0,AQ211&gt;0),P211=AR211),0,1))))</f>
        <v>0</v>
      </c>
      <c r="AT211">
        <f t="shared" ref="AT211" si="258">COUNTIF(T211:U211,"NS")</f>
        <v>0</v>
      </c>
      <c r="AU211">
        <f t="shared" ref="AU211" si="259">SUM(T211:U211)</f>
        <v>0</v>
      </c>
      <c r="AV211">
        <f t="shared" ref="AV211" si="260">IF(COUNTIF(S211:U211,"NA")=3,0,IF(COUNTA(S211:U211)=0,0,IF(OR(AND(S211=0,AT211&gt;0),AND(S211="ns",AU211&gt;0),AND(S211="ns",AT211=0,AU211=0)),1,IF(OR(AND(S211&gt;0,AT211=2),AND(S211="ns",AT211=2),AND(S211="ns",AU211=0,AT211&gt;0),S211=AU211),0,1))))</f>
        <v>0</v>
      </c>
      <c r="AW211">
        <f t="shared" ref="AW211" si="261">COUNTIF(W211:X211,"NS")</f>
        <v>0</v>
      </c>
      <c r="AX211">
        <f t="shared" ref="AX211" si="262">SUM(W211:X211)</f>
        <v>0</v>
      </c>
      <c r="AY211">
        <f t="shared" ref="AY211" si="263">IF(COUNTIF(V211:X211,"NA")=3,0,IF(COUNTA(V211:X211)=0,0,IF(OR(AND(V211=0,AW211&gt;0),AND(V211="ns",AX211&gt;0),AND(V211="ns",AW211=0,AX211=0)),1,IF(OR(AND(V211&gt;0,AW211=2),AND(V211="ns",AW211=2),AND(V211="ns",AX211=0,AW211&gt;0),V211=AX211),0,1))))</f>
        <v>0</v>
      </c>
      <c r="AZ211">
        <f t="shared" ref="AZ211" si="264">COUNTIF(Z211:AA211,"NS")</f>
        <v>0</v>
      </c>
      <c r="BA211">
        <f t="shared" ref="BA211" si="265">SUM(Z211:AA211)</f>
        <v>0</v>
      </c>
      <c r="BB211">
        <f t="shared" ref="BB211" si="266">IF(COUNTIF(Y211:AA211,"NA")=3,0,IF(COUNTA(Y211:AA211)=0,0,IF(OR(AND(Y211=0,AZ211&gt;0),AND(Y211="ns",BA211&gt;0),AND(Y211="ns",AZ211=0,BA211=0)),1,IF(OR(AND(Y211&gt;0,AZ211=2),AND(Y211="ns",AZ211=2),AND(Y211="ns",BA211=0,AZ211&gt;0),Y211=BA211),0,1))))</f>
        <v>0</v>
      </c>
      <c r="BC211">
        <f t="shared" ref="BC211" si="267">COUNTIF(AC211:AD211,"NS")</f>
        <v>0</v>
      </c>
      <c r="BD211">
        <f t="shared" ref="BD211" si="268">SUM(AC211:AD211)</f>
        <v>0</v>
      </c>
      <c r="BE211">
        <f t="shared" ref="BE211" si="269">IF(COUNTIF(AB211:AD211,"NA")=3,0,IF(COUNTA(AB211:AD211)=0,0,IF(OR(AND(AB211=0,BC211&gt;0),AND(AB211="ns",BD211&gt;0),AND(AB211="ns",BC211=0,BD211=0)),1,IF(OR(AND(AB211&gt;0,BC211=2),AND(AB211="ns",BC211=2),AND(AB211="ns",BD211=0,BC211&gt;0),AB211=BD211),0,1))))</f>
        <v>0</v>
      </c>
    </row>
    <row r="212" spans="1:57" ht="15" customHeight="1">
      <c r="A212" s="49"/>
      <c r="B212" s="38"/>
      <c r="C212" s="98" t="s">
        <v>2517</v>
      </c>
      <c r="D212" s="813" t="str">
        <f>IF(CNSIPEE_2024_M2_Secc1!D43="","",CNSIPEE_2024_M2_Secc1!D43)</f>
        <v/>
      </c>
      <c r="E212" s="814"/>
      <c r="F212" s="814"/>
      <c r="G212" s="814"/>
      <c r="H212" s="814"/>
      <c r="I212" s="814"/>
      <c r="J212" s="100"/>
      <c r="K212" s="100"/>
      <c r="L212" s="100"/>
      <c r="M212" s="100"/>
      <c r="N212" s="100"/>
      <c r="O212" s="100"/>
      <c r="P212" s="100"/>
      <c r="Q212" s="100"/>
      <c r="R212" s="100"/>
      <c r="S212" s="100"/>
      <c r="T212" s="100"/>
      <c r="U212" s="100"/>
      <c r="V212" s="100"/>
      <c r="W212" s="100"/>
      <c r="X212" s="100"/>
      <c r="Y212" s="100"/>
      <c r="Z212" s="100"/>
      <c r="AA212" s="100"/>
      <c r="AB212" s="100"/>
      <c r="AC212" s="100"/>
      <c r="AD212" s="100"/>
      <c r="AK212">
        <f t="shared" ref="AK212:AK218" si="270">COUNTIF(K212:L212,"NS")</f>
        <v>0</v>
      </c>
      <c r="AL212">
        <f t="shared" ref="AL212:AL218" si="271">SUM(K212:L212)</f>
        <v>0</v>
      </c>
      <c r="AM212">
        <f t="shared" ref="AM212:AM218" si="272">IF(COUNTIF(J212:L212,"NA")=3,0,IF(COUNTA(J212:L212)=0,0,IF(OR(AND(J212=0,AK212&gt;0),AND(J212="ns",AL212&gt;0),AND(J212="ns",AK212=0,AL212=0)),1,IF(OR(AND(J212&gt;0,AK212=2),AND(J212="ns",AK212=2),AND(J212="ns",AL212=0,AK212&gt;0),J212=AL212),0,1))))</f>
        <v>0</v>
      </c>
      <c r="AN212">
        <f t="shared" ref="AN212:AN218" si="273">COUNTIF(N212:O212,"NS")</f>
        <v>0</v>
      </c>
      <c r="AO212">
        <f t="shared" ref="AO212:AO218" si="274">SUM(N212:O212)</f>
        <v>0</v>
      </c>
      <c r="AP212">
        <f t="shared" ref="AP212:AP218" si="275">IF(COUNTIF(M212:O212,"NA")=3,0,IF(COUNTA(M212:O212)=0,0,IF(OR(AND(M212=0,AN212&gt;0),AND(M212="ns",AO212&gt;0),AND(M212="ns",AN212=0,AO212=0)),1,IF(OR(AND(M212&gt;0,AN212=2),AND(M212="ns",AN212=2),AND(M212="ns",AO212=0,AN212&gt;0),M212=AO212),0,1))))</f>
        <v>0</v>
      </c>
      <c r="AQ212">
        <f t="shared" ref="AQ212:AQ218" si="276">COUNTIF(Q212:R212,"NS")</f>
        <v>0</v>
      </c>
      <c r="AR212">
        <f t="shared" ref="AR212:AR218" si="277">SUM(Q212:R212)</f>
        <v>0</v>
      </c>
      <c r="AS212">
        <f t="shared" ref="AS212:AS218" si="278">IF(COUNTIF(P212:R212,"NA")=3,0,IF(COUNTA(P212:R212)=0,0,IF(OR(AND(P212=0,AQ212&gt;0),AND(P212="ns",AR212&gt;0),AND(P212="ns",AQ212=0,AR212=0)),1,IF(OR(AND(P212&gt;0,AQ212=2),AND(P212="ns",AQ212=2),AND(P212="ns",AR212=0,AQ212&gt;0),P212=AR212),0,1))))</f>
        <v>0</v>
      </c>
      <c r="AT212">
        <f t="shared" ref="AT212:AT218" si="279">COUNTIF(T212:U212,"NS")</f>
        <v>0</v>
      </c>
      <c r="AU212">
        <f t="shared" ref="AU212:AU218" si="280">SUM(T212:U212)</f>
        <v>0</v>
      </c>
      <c r="AV212">
        <f t="shared" ref="AV212:AV218" si="281">IF(COUNTIF(S212:U212,"NA")=3,0,IF(COUNTA(S212:U212)=0,0,IF(OR(AND(S212=0,AT212&gt;0),AND(S212="ns",AU212&gt;0),AND(S212="ns",AT212=0,AU212=0)),1,IF(OR(AND(S212&gt;0,AT212=2),AND(S212="ns",AT212=2),AND(S212="ns",AU212=0,AT212&gt;0),S212=AU212),0,1))))</f>
        <v>0</v>
      </c>
      <c r="AW212">
        <f t="shared" ref="AW212:AW218" si="282">COUNTIF(W212:X212,"NS")</f>
        <v>0</v>
      </c>
      <c r="AX212">
        <f t="shared" ref="AX212:AX218" si="283">SUM(W212:X212)</f>
        <v>0</v>
      </c>
      <c r="AY212">
        <f t="shared" ref="AY212:AY218" si="284">IF(COUNTIF(V212:X212,"NA")=3,0,IF(COUNTA(V212:X212)=0,0,IF(OR(AND(V212=0,AW212&gt;0),AND(V212="ns",AX212&gt;0),AND(V212="ns",AW212=0,AX212=0)),1,IF(OR(AND(V212&gt;0,AW212=2),AND(V212="ns",AW212=2),AND(V212="ns",AX212=0,AW212&gt;0),V212=AX212),0,1))))</f>
        <v>0</v>
      </c>
      <c r="AZ212">
        <f t="shared" ref="AZ212:AZ218" si="285">COUNTIF(Z212:AA212,"NS")</f>
        <v>0</v>
      </c>
      <c r="BA212">
        <f t="shared" ref="BA212:BA218" si="286">SUM(Z212:AA212)</f>
        <v>0</v>
      </c>
      <c r="BB212">
        <f t="shared" ref="BB212:BB218" si="287">IF(COUNTIF(Y212:AA212,"NA")=3,0,IF(COUNTA(Y212:AA212)=0,0,IF(OR(AND(Y212=0,AZ212&gt;0),AND(Y212="ns",BA212&gt;0),AND(Y212="ns",AZ212=0,BA212=0)),1,IF(OR(AND(Y212&gt;0,AZ212=2),AND(Y212="ns",AZ212=2),AND(Y212="ns",BA212=0,AZ212&gt;0),Y212=BA212),0,1))))</f>
        <v>0</v>
      </c>
      <c r="BC212">
        <f t="shared" ref="BC212:BC218" si="288">COUNTIF(AC212:AD212,"NS")</f>
        <v>0</v>
      </c>
      <c r="BD212">
        <f t="shared" ref="BD212:BD218" si="289">SUM(AC212:AD212)</f>
        <v>0</v>
      </c>
      <c r="BE212">
        <f t="shared" ref="BE212:BE218" si="290">IF(COUNTIF(AB212:AD212,"NA")=3,0,IF(COUNTA(AB212:AD212)=0,0,IF(OR(AND(AB212=0,BC212&gt;0),AND(AB212="ns",BD212&gt;0),AND(AB212="ns",BC212=0,BD212=0)),1,IF(OR(AND(AB212&gt;0,BC212=2),AND(AB212="ns",BC212=2),AND(AB212="ns",BD212=0,BC212&gt;0),AB212=BD212),0,1))))</f>
        <v>0</v>
      </c>
    </row>
    <row r="213" spans="1:57" ht="15" customHeight="1">
      <c r="A213" s="49"/>
      <c r="B213" s="38"/>
      <c r="C213" s="98" t="s">
        <v>2518</v>
      </c>
      <c r="D213" s="813" t="str">
        <f>IF(CNSIPEE_2024_M2_Secc1!D44="","",CNSIPEE_2024_M2_Secc1!D44)</f>
        <v/>
      </c>
      <c r="E213" s="814"/>
      <c r="F213" s="814"/>
      <c r="G213" s="814"/>
      <c r="H213" s="814"/>
      <c r="I213" s="814"/>
      <c r="J213" s="100"/>
      <c r="K213" s="100"/>
      <c r="L213" s="100"/>
      <c r="M213" s="100"/>
      <c r="N213" s="100"/>
      <c r="O213" s="100"/>
      <c r="P213" s="100"/>
      <c r="Q213" s="100"/>
      <c r="R213" s="100"/>
      <c r="S213" s="100"/>
      <c r="T213" s="100"/>
      <c r="U213" s="100"/>
      <c r="V213" s="100"/>
      <c r="W213" s="100"/>
      <c r="X213" s="100"/>
      <c r="Y213" s="100"/>
      <c r="Z213" s="100"/>
      <c r="AA213" s="100"/>
      <c r="AB213" s="100"/>
      <c r="AC213" s="100"/>
      <c r="AD213" s="100"/>
      <c r="AK213">
        <f t="shared" si="270"/>
        <v>0</v>
      </c>
      <c r="AL213">
        <f t="shared" si="271"/>
        <v>0</v>
      </c>
      <c r="AM213">
        <f t="shared" si="272"/>
        <v>0</v>
      </c>
      <c r="AN213">
        <f t="shared" si="273"/>
        <v>0</v>
      </c>
      <c r="AO213">
        <f t="shared" si="274"/>
        <v>0</v>
      </c>
      <c r="AP213">
        <f t="shared" si="275"/>
        <v>0</v>
      </c>
      <c r="AQ213">
        <f t="shared" si="276"/>
        <v>0</v>
      </c>
      <c r="AR213">
        <f t="shared" si="277"/>
        <v>0</v>
      </c>
      <c r="AS213">
        <f t="shared" si="278"/>
        <v>0</v>
      </c>
      <c r="AT213">
        <f t="shared" si="279"/>
        <v>0</v>
      </c>
      <c r="AU213">
        <f t="shared" si="280"/>
        <v>0</v>
      </c>
      <c r="AV213">
        <f t="shared" si="281"/>
        <v>0</v>
      </c>
      <c r="AW213">
        <f t="shared" si="282"/>
        <v>0</v>
      </c>
      <c r="AX213">
        <f t="shared" si="283"/>
        <v>0</v>
      </c>
      <c r="AY213">
        <f t="shared" si="284"/>
        <v>0</v>
      </c>
      <c r="AZ213">
        <f t="shared" si="285"/>
        <v>0</v>
      </c>
      <c r="BA213">
        <f t="shared" si="286"/>
        <v>0</v>
      </c>
      <c r="BB213">
        <f t="shared" si="287"/>
        <v>0</v>
      </c>
      <c r="BC213">
        <f t="shared" si="288"/>
        <v>0</v>
      </c>
      <c r="BD213">
        <f t="shared" si="289"/>
        <v>0</v>
      </c>
      <c r="BE213">
        <f t="shared" si="290"/>
        <v>0</v>
      </c>
    </row>
    <row r="214" spans="1:57" ht="15" customHeight="1">
      <c r="A214" s="49"/>
      <c r="B214" s="38"/>
      <c r="C214" s="98" t="s">
        <v>2519</v>
      </c>
      <c r="D214" s="813" t="str">
        <f>IF(CNSIPEE_2024_M2_Secc1!D45="","",CNSIPEE_2024_M2_Secc1!D45)</f>
        <v/>
      </c>
      <c r="E214" s="814"/>
      <c r="F214" s="814"/>
      <c r="G214" s="814"/>
      <c r="H214" s="814"/>
      <c r="I214" s="814"/>
      <c r="J214" s="100"/>
      <c r="K214" s="100"/>
      <c r="L214" s="100"/>
      <c r="M214" s="100"/>
      <c r="N214" s="100"/>
      <c r="O214" s="100"/>
      <c r="P214" s="100"/>
      <c r="Q214" s="100"/>
      <c r="R214" s="100"/>
      <c r="S214" s="100"/>
      <c r="T214" s="100"/>
      <c r="U214" s="100"/>
      <c r="V214" s="100"/>
      <c r="W214" s="100"/>
      <c r="X214" s="100"/>
      <c r="Y214" s="100"/>
      <c r="Z214" s="100"/>
      <c r="AA214" s="100"/>
      <c r="AB214" s="100"/>
      <c r="AC214" s="100"/>
      <c r="AD214" s="100"/>
      <c r="AK214">
        <f t="shared" si="270"/>
        <v>0</v>
      </c>
      <c r="AL214">
        <f t="shared" si="271"/>
        <v>0</v>
      </c>
      <c r="AM214">
        <f t="shared" si="272"/>
        <v>0</v>
      </c>
      <c r="AN214">
        <f t="shared" si="273"/>
        <v>0</v>
      </c>
      <c r="AO214">
        <f t="shared" si="274"/>
        <v>0</v>
      </c>
      <c r="AP214">
        <f t="shared" si="275"/>
        <v>0</v>
      </c>
      <c r="AQ214">
        <f t="shared" si="276"/>
        <v>0</v>
      </c>
      <c r="AR214">
        <f t="shared" si="277"/>
        <v>0</v>
      </c>
      <c r="AS214">
        <f t="shared" si="278"/>
        <v>0</v>
      </c>
      <c r="AT214">
        <f t="shared" si="279"/>
        <v>0</v>
      </c>
      <c r="AU214">
        <f t="shared" si="280"/>
        <v>0</v>
      </c>
      <c r="AV214">
        <f t="shared" si="281"/>
        <v>0</v>
      </c>
      <c r="AW214">
        <f t="shared" si="282"/>
        <v>0</v>
      </c>
      <c r="AX214">
        <f t="shared" si="283"/>
        <v>0</v>
      </c>
      <c r="AY214">
        <f t="shared" si="284"/>
        <v>0</v>
      </c>
      <c r="AZ214">
        <f t="shared" si="285"/>
        <v>0</v>
      </c>
      <c r="BA214">
        <f t="shared" si="286"/>
        <v>0</v>
      </c>
      <c r="BB214">
        <f t="shared" si="287"/>
        <v>0</v>
      </c>
      <c r="BC214">
        <f t="shared" si="288"/>
        <v>0</v>
      </c>
      <c r="BD214">
        <f t="shared" si="289"/>
        <v>0</v>
      </c>
      <c r="BE214">
        <f t="shared" si="290"/>
        <v>0</v>
      </c>
    </row>
    <row r="215" spans="1:57" ht="15" customHeight="1">
      <c r="A215" s="103"/>
      <c r="B215" s="57"/>
      <c r="C215" s="98" t="s">
        <v>2520</v>
      </c>
      <c r="D215" s="813" t="str">
        <f>IF(CNSIPEE_2024_M2_Secc1!D46="","",CNSIPEE_2024_M2_Secc1!D46)</f>
        <v/>
      </c>
      <c r="E215" s="814"/>
      <c r="F215" s="814"/>
      <c r="G215" s="814"/>
      <c r="H215" s="814"/>
      <c r="I215" s="814"/>
      <c r="J215" s="100"/>
      <c r="K215" s="100"/>
      <c r="L215" s="100"/>
      <c r="M215" s="100"/>
      <c r="N215" s="100"/>
      <c r="O215" s="100"/>
      <c r="P215" s="100"/>
      <c r="Q215" s="100"/>
      <c r="R215" s="100"/>
      <c r="S215" s="100"/>
      <c r="T215" s="100"/>
      <c r="U215" s="100"/>
      <c r="V215" s="100"/>
      <c r="W215" s="100"/>
      <c r="X215" s="100"/>
      <c r="Y215" s="100"/>
      <c r="Z215" s="100"/>
      <c r="AA215" s="100"/>
      <c r="AB215" s="100"/>
      <c r="AC215" s="100"/>
      <c r="AD215" s="100"/>
      <c r="AK215">
        <f t="shared" si="270"/>
        <v>0</v>
      </c>
      <c r="AL215">
        <f t="shared" si="271"/>
        <v>0</v>
      </c>
      <c r="AM215">
        <f t="shared" si="272"/>
        <v>0</v>
      </c>
      <c r="AN215">
        <f t="shared" si="273"/>
        <v>0</v>
      </c>
      <c r="AO215">
        <f t="shared" si="274"/>
        <v>0</v>
      </c>
      <c r="AP215">
        <f t="shared" si="275"/>
        <v>0</v>
      </c>
      <c r="AQ215">
        <f t="shared" si="276"/>
        <v>0</v>
      </c>
      <c r="AR215">
        <f t="shared" si="277"/>
        <v>0</v>
      </c>
      <c r="AS215">
        <f t="shared" si="278"/>
        <v>0</v>
      </c>
      <c r="AT215">
        <f t="shared" si="279"/>
        <v>0</v>
      </c>
      <c r="AU215">
        <f t="shared" si="280"/>
        <v>0</v>
      </c>
      <c r="AV215">
        <f t="shared" si="281"/>
        <v>0</v>
      </c>
      <c r="AW215">
        <f t="shared" si="282"/>
        <v>0</v>
      </c>
      <c r="AX215">
        <f t="shared" si="283"/>
        <v>0</v>
      </c>
      <c r="AY215">
        <f t="shared" si="284"/>
        <v>0</v>
      </c>
      <c r="AZ215">
        <f t="shared" si="285"/>
        <v>0</v>
      </c>
      <c r="BA215">
        <f t="shared" si="286"/>
        <v>0</v>
      </c>
      <c r="BB215">
        <f t="shared" si="287"/>
        <v>0</v>
      </c>
      <c r="BC215">
        <f t="shared" si="288"/>
        <v>0</v>
      </c>
      <c r="BD215">
        <f t="shared" si="289"/>
        <v>0</v>
      </c>
      <c r="BE215">
        <f t="shared" si="290"/>
        <v>0</v>
      </c>
    </row>
    <row r="216" spans="1:57" ht="15" customHeight="1">
      <c r="A216" s="103"/>
      <c r="B216" s="57"/>
      <c r="C216" s="98" t="s">
        <v>2521</v>
      </c>
      <c r="D216" s="813" t="str">
        <f>IF(CNSIPEE_2024_M2_Secc1!D47="","",CNSIPEE_2024_M2_Secc1!D47)</f>
        <v/>
      </c>
      <c r="E216" s="814"/>
      <c r="F216" s="814"/>
      <c r="G216" s="814"/>
      <c r="H216" s="814"/>
      <c r="I216" s="814"/>
      <c r="J216" s="100"/>
      <c r="K216" s="100"/>
      <c r="L216" s="100"/>
      <c r="M216" s="100"/>
      <c r="N216" s="100"/>
      <c r="O216" s="100"/>
      <c r="P216" s="100"/>
      <c r="Q216" s="100"/>
      <c r="R216" s="100"/>
      <c r="S216" s="100"/>
      <c r="T216" s="100"/>
      <c r="U216" s="100"/>
      <c r="V216" s="100"/>
      <c r="W216" s="100"/>
      <c r="X216" s="100"/>
      <c r="Y216" s="100"/>
      <c r="Z216" s="100"/>
      <c r="AA216" s="100"/>
      <c r="AB216" s="100"/>
      <c r="AC216" s="100"/>
      <c r="AD216" s="100"/>
      <c r="AK216">
        <f t="shared" si="270"/>
        <v>0</v>
      </c>
      <c r="AL216">
        <f t="shared" si="271"/>
        <v>0</v>
      </c>
      <c r="AM216">
        <f t="shared" si="272"/>
        <v>0</v>
      </c>
      <c r="AN216">
        <f t="shared" si="273"/>
        <v>0</v>
      </c>
      <c r="AO216">
        <f t="shared" si="274"/>
        <v>0</v>
      </c>
      <c r="AP216">
        <f t="shared" si="275"/>
        <v>0</v>
      </c>
      <c r="AQ216">
        <f t="shared" si="276"/>
        <v>0</v>
      </c>
      <c r="AR216">
        <f t="shared" si="277"/>
        <v>0</v>
      </c>
      <c r="AS216">
        <f t="shared" si="278"/>
        <v>0</v>
      </c>
      <c r="AT216">
        <f t="shared" si="279"/>
        <v>0</v>
      </c>
      <c r="AU216">
        <f t="shared" si="280"/>
        <v>0</v>
      </c>
      <c r="AV216">
        <f t="shared" si="281"/>
        <v>0</v>
      </c>
      <c r="AW216">
        <f t="shared" si="282"/>
        <v>0</v>
      </c>
      <c r="AX216">
        <f t="shared" si="283"/>
        <v>0</v>
      </c>
      <c r="AY216">
        <f t="shared" si="284"/>
        <v>0</v>
      </c>
      <c r="AZ216">
        <f t="shared" si="285"/>
        <v>0</v>
      </c>
      <c r="BA216">
        <f t="shared" si="286"/>
        <v>0</v>
      </c>
      <c r="BB216">
        <f t="shared" si="287"/>
        <v>0</v>
      </c>
      <c r="BC216">
        <f t="shared" si="288"/>
        <v>0</v>
      </c>
      <c r="BD216">
        <f t="shared" si="289"/>
        <v>0</v>
      </c>
      <c r="BE216">
        <f t="shared" si="290"/>
        <v>0</v>
      </c>
    </row>
    <row r="217" spans="1:57" ht="15" customHeight="1">
      <c r="A217" s="103"/>
      <c r="B217" s="57"/>
      <c r="C217" s="98" t="s">
        <v>2522</v>
      </c>
      <c r="D217" s="813" t="str">
        <f>IF(CNSIPEE_2024_M2_Secc1!D48="","",CNSIPEE_2024_M2_Secc1!D48)</f>
        <v/>
      </c>
      <c r="E217" s="814"/>
      <c r="F217" s="814"/>
      <c r="G217" s="814"/>
      <c r="H217" s="814"/>
      <c r="I217" s="814"/>
      <c r="J217" s="100"/>
      <c r="K217" s="100"/>
      <c r="L217" s="100"/>
      <c r="M217" s="100"/>
      <c r="N217" s="100"/>
      <c r="O217" s="100"/>
      <c r="P217" s="100"/>
      <c r="Q217" s="100"/>
      <c r="R217" s="100"/>
      <c r="S217" s="100"/>
      <c r="T217" s="100"/>
      <c r="U217" s="100"/>
      <c r="V217" s="100"/>
      <c r="W217" s="100"/>
      <c r="X217" s="100"/>
      <c r="Y217" s="100"/>
      <c r="Z217" s="100"/>
      <c r="AA217" s="100"/>
      <c r="AB217" s="100"/>
      <c r="AC217" s="100"/>
      <c r="AD217" s="100"/>
      <c r="AK217">
        <f t="shared" si="270"/>
        <v>0</v>
      </c>
      <c r="AL217">
        <f t="shared" si="271"/>
        <v>0</v>
      </c>
      <c r="AM217">
        <f t="shared" si="272"/>
        <v>0</v>
      </c>
      <c r="AN217">
        <f t="shared" si="273"/>
        <v>0</v>
      </c>
      <c r="AO217">
        <f t="shared" si="274"/>
        <v>0</v>
      </c>
      <c r="AP217">
        <f t="shared" si="275"/>
        <v>0</v>
      </c>
      <c r="AQ217">
        <f t="shared" si="276"/>
        <v>0</v>
      </c>
      <c r="AR217">
        <f t="shared" si="277"/>
        <v>0</v>
      </c>
      <c r="AS217">
        <f t="shared" si="278"/>
        <v>0</v>
      </c>
      <c r="AT217">
        <f t="shared" si="279"/>
        <v>0</v>
      </c>
      <c r="AU217">
        <f t="shared" si="280"/>
        <v>0</v>
      </c>
      <c r="AV217">
        <f t="shared" si="281"/>
        <v>0</v>
      </c>
      <c r="AW217">
        <f t="shared" si="282"/>
        <v>0</v>
      </c>
      <c r="AX217">
        <f t="shared" si="283"/>
        <v>0</v>
      </c>
      <c r="AY217">
        <f t="shared" si="284"/>
        <v>0</v>
      </c>
      <c r="AZ217">
        <f t="shared" si="285"/>
        <v>0</v>
      </c>
      <c r="BA217">
        <f t="shared" si="286"/>
        <v>0</v>
      </c>
      <c r="BB217">
        <f t="shared" si="287"/>
        <v>0</v>
      </c>
      <c r="BC217">
        <f t="shared" si="288"/>
        <v>0</v>
      </c>
      <c r="BD217">
        <f t="shared" si="289"/>
        <v>0</v>
      </c>
      <c r="BE217">
        <f t="shared" si="290"/>
        <v>0</v>
      </c>
    </row>
    <row r="218" spans="1:57" ht="15" customHeight="1">
      <c r="A218" s="103"/>
      <c r="B218" s="57"/>
      <c r="C218" s="98" t="s">
        <v>2523</v>
      </c>
      <c r="D218" s="813" t="str">
        <f>IF(CNSIPEE_2024_M2_Secc1!D49="","",CNSIPEE_2024_M2_Secc1!D49)</f>
        <v/>
      </c>
      <c r="E218" s="814"/>
      <c r="F218" s="814"/>
      <c r="G218" s="814"/>
      <c r="H218" s="814"/>
      <c r="I218" s="814"/>
      <c r="J218" s="100"/>
      <c r="K218" s="100"/>
      <c r="L218" s="100"/>
      <c r="M218" s="100"/>
      <c r="N218" s="100"/>
      <c r="O218" s="100"/>
      <c r="P218" s="100"/>
      <c r="Q218" s="100"/>
      <c r="R218" s="100"/>
      <c r="S218" s="100"/>
      <c r="T218" s="100"/>
      <c r="U218" s="100"/>
      <c r="V218" s="100"/>
      <c r="W218" s="100"/>
      <c r="X218" s="100"/>
      <c r="Y218" s="100"/>
      <c r="Z218" s="100"/>
      <c r="AA218" s="100"/>
      <c r="AB218" s="100"/>
      <c r="AC218" s="100"/>
      <c r="AD218" s="100"/>
      <c r="AK218">
        <f t="shared" si="270"/>
        <v>0</v>
      </c>
      <c r="AL218">
        <f t="shared" si="271"/>
        <v>0</v>
      </c>
      <c r="AM218">
        <f t="shared" si="272"/>
        <v>0</v>
      </c>
      <c r="AN218">
        <f t="shared" si="273"/>
        <v>0</v>
      </c>
      <c r="AO218">
        <f t="shared" si="274"/>
        <v>0</v>
      </c>
      <c r="AP218">
        <f t="shared" si="275"/>
        <v>0</v>
      </c>
      <c r="AQ218">
        <f t="shared" si="276"/>
        <v>0</v>
      </c>
      <c r="AR218">
        <f t="shared" si="277"/>
        <v>0</v>
      </c>
      <c r="AS218">
        <f t="shared" si="278"/>
        <v>0</v>
      </c>
      <c r="AT218">
        <f t="shared" si="279"/>
        <v>0</v>
      </c>
      <c r="AU218">
        <f t="shared" si="280"/>
        <v>0</v>
      </c>
      <c r="AV218">
        <f t="shared" si="281"/>
        <v>0</v>
      </c>
      <c r="AW218">
        <f t="shared" si="282"/>
        <v>0</v>
      </c>
      <c r="AX218">
        <f t="shared" si="283"/>
        <v>0</v>
      </c>
      <c r="AY218">
        <f t="shared" si="284"/>
        <v>0</v>
      </c>
      <c r="AZ218">
        <f t="shared" si="285"/>
        <v>0</v>
      </c>
      <c r="BA218">
        <f t="shared" si="286"/>
        <v>0</v>
      </c>
      <c r="BB218">
        <f t="shared" si="287"/>
        <v>0</v>
      </c>
      <c r="BC218">
        <f t="shared" si="288"/>
        <v>0</v>
      </c>
      <c r="BD218">
        <f t="shared" si="289"/>
        <v>0</v>
      </c>
      <c r="BE218">
        <f t="shared" si="290"/>
        <v>0</v>
      </c>
    </row>
    <row r="219" spans="1:57" ht="15" customHeight="1">
      <c r="A219" s="49"/>
      <c r="B219" s="38"/>
      <c r="C219" s="38"/>
      <c r="D219" s="38"/>
      <c r="E219" s="38"/>
      <c r="F219" s="38"/>
      <c r="G219" s="38"/>
      <c r="H219" s="117"/>
      <c r="J219" s="124">
        <f t="shared" ref="J219:AD219" si="291">IF(AND(SUM(J211:J218)=0,COUNTIF(J211:J218,"NS")&gt;0),"NS",IF(AND(SUM(J211:J218)=0,COUNTIF(J211:J218,0)&gt;0),0,IF(AND(SUM(J211:J218)=0,COUNTIF(J211:J218,"NA")&gt;0),"NA",SUM(J211:J218))))</f>
        <v>0</v>
      </c>
      <c r="K219" s="124">
        <f t="shared" si="291"/>
        <v>0</v>
      </c>
      <c r="L219" s="124">
        <f t="shared" si="291"/>
        <v>0</v>
      </c>
      <c r="M219" s="124">
        <f t="shared" si="291"/>
        <v>0</v>
      </c>
      <c r="N219" s="124">
        <f t="shared" si="291"/>
        <v>0</v>
      </c>
      <c r="O219" s="124">
        <f t="shared" si="291"/>
        <v>0</v>
      </c>
      <c r="P219" s="124">
        <f t="shared" si="291"/>
        <v>0</v>
      </c>
      <c r="Q219" s="124">
        <f t="shared" si="291"/>
        <v>0</v>
      </c>
      <c r="R219" s="124">
        <f t="shared" si="291"/>
        <v>0</v>
      </c>
      <c r="S219" s="124">
        <f t="shared" si="291"/>
        <v>0</v>
      </c>
      <c r="T219" s="124">
        <f t="shared" si="291"/>
        <v>0</v>
      </c>
      <c r="U219" s="124">
        <f t="shared" si="291"/>
        <v>0</v>
      </c>
      <c r="V219" s="124">
        <f t="shared" si="291"/>
        <v>0</v>
      </c>
      <c r="W219" s="124">
        <f t="shared" si="291"/>
        <v>0</v>
      </c>
      <c r="X219" s="124">
        <f t="shared" si="291"/>
        <v>0</v>
      </c>
      <c r="Y219" s="124">
        <f t="shared" si="291"/>
        <v>0</v>
      </c>
      <c r="Z219" s="124">
        <f t="shared" si="291"/>
        <v>0</v>
      </c>
      <c r="AA219" s="124">
        <f t="shared" si="291"/>
        <v>0</v>
      </c>
      <c r="AB219" s="124">
        <f t="shared" si="291"/>
        <v>0</v>
      </c>
      <c r="AC219" s="124">
        <f t="shared" si="291"/>
        <v>0</v>
      </c>
      <c r="AD219" s="124">
        <f t="shared" si="291"/>
        <v>0</v>
      </c>
      <c r="AK219">
        <f>SUM(AK211:AK218)</f>
        <v>0</v>
      </c>
      <c r="AM219">
        <f>SUM(AM211:AM218)</f>
        <v>0</v>
      </c>
      <c r="AN219">
        <f>SUM(AN211:AN218)</f>
        <v>0</v>
      </c>
      <c r="AP219">
        <f>SUM(AP211:AP218)</f>
        <v>0</v>
      </c>
      <c r="AQ219">
        <f>SUM(AQ211:AQ218)</f>
        <v>0</v>
      </c>
      <c r="AS219">
        <f>SUM(AS211:AS218)</f>
        <v>0</v>
      </c>
      <c r="AT219">
        <f>SUM(AT211:AT218)</f>
        <v>0</v>
      </c>
      <c r="AV219">
        <f>SUM(AV211:AV218)</f>
        <v>0</v>
      </c>
      <c r="AW219">
        <f>SUM(AW211:AW218)</f>
        <v>0</v>
      </c>
      <c r="AY219">
        <f>SUM(AY211:AY218)</f>
        <v>0</v>
      </c>
      <c r="AZ219">
        <f>SUM(AZ211:AZ218)</f>
        <v>0</v>
      </c>
      <c r="BB219">
        <f>SUM(BB211:BB218)</f>
        <v>0</v>
      </c>
      <c r="BC219">
        <f>SUM(BC211:BC218)</f>
        <v>0</v>
      </c>
      <c r="BE219">
        <f>SUM(BE211:BE218)</f>
        <v>0</v>
      </c>
    </row>
    <row r="220" spans="1:57" ht="15" customHeight="1">
      <c r="A220" s="49"/>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c r="AA220" s="38"/>
      <c r="AB220" s="38"/>
      <c r="AC220" s="38"/>
      <c r="AD220" s="38"/>
      <c r="AK220" t="s">
        <v>2650</v>
      </c>
      <c r="AL220" s="405">
        <f>SUM(AM219,AP219,AS219,AV219,AY219,BB219,BE219)</f>
        <v>0</v>
      </c>
      <c r="AM220" t="s">
        <v>2651</v>
      </c>
      <c r="AN220">
        <f>SUM(AK219,AN219,AQ219,AT219,AW219,AZ219,BC219)</f>
        <v>0</v>
      </c>
    </row>
    <row r="221" spans="1:57" ht="24" customHeight="1">
      <c r="A221" s="108"/>
      <c r="B221" s="38"/>
      <c r="C221" s="754" t="s">
        <v>2611</v>
      </c>
      <c r="D221" s="754"/>
      <c r="E221" s="754"/>
      <c r="F221" s="754"/>
      <c r="G221" s="754"/>
      <c r="H221" s="754"/>
      <c r="I221" s="754"/>
      <c r="J221" s="754"/>
      <c r="K221" s="754"/>
      <c r="L221" s="754"/>
      <c r="M221" s="754"/>
      <c r="N221" s="754"/>
      <c r="O221" s="754"/>
      <c r="P221" s="754"/>
      <c r="Q221" s="754"/>
      <c r="R221" s="754"/>
      <c r="S221" s="754"/>
      <c r="T221" s="754"/>
      <c r="U221" s="754"/>
      <c r="V221" s="754"/>
      <c r="W221" s="754"/>
      <c r="X221" s="754"/>
      <c r="Y221" s="754"/>
      <c r="Z221" s="754"/>
      <c r="AA221" s="754"/>
      <c r="AB221" s="754"/>
      <c r="AC221" s="754"/>
      <c r="AD221" s="754"/>
      <c r="AK221" t="s">
        <v>2652</v>
      </c>
      <c r="AL221">
        <f>IF(AN220&gt;0,IF(SUM(J219)&gt;=SUM(M219,P219,S219,V219,Y219,AB219),0,1),IF(SUM(J219)&lt;&gt;SUM(M219,P219,S219,V219,Y219,AB219),1,0))</f>
        <v>0</v>
      </c>
      <c r="AM221" t="s">
        <v>2653</v>
      </c>
      <c r="AN221">
        <f>IF(AN220&gt;0,IF(SUM(K219)&gt;=SUM(N219,Q219,T219,W219,Z219,AC219),0,1),IF(SUM(K219)&lt;&gt;SUM(N219,Q219,T219,W219,Z219,AC219),1,0))</f>
        <v>0</v>
      </c>
      <c r="AO221" t="s">
        <v>2654</v>
      </c>
      <c r="AP221">
        <f>IF(AN220&gt;0,IF(SUM(L219)&gt;=SUM(O219,R219,U219,X219,AA219,AD219),0,1),IF(SUM(L219)&lt;&gt;SUM(O219,R219,U219,X219,AA219,AD219),1,0))</f>
        <v>0</v>
      </c>
    </row>
    <row r="222" spans="1:57" ht="60" customHeight="1">
      <c r="A222" s="108"/>
      <c r="B222" s="38"/>
      <c r="C222" s="851"/>
      <c r="D222" s="851"/>
      <c r="E222" s="851"/>
      <c r="F222" s="851"/>
      <c r="G222" s="851"/>
      <c r="H222" s="851"/>
      <c r="I222" s="851"/>
      <c r="J222" s="851"/>
      <c r="K222" s="851"/>
      <c r="L222" s="851"/>
      <c r="M222" s="851"/>
      <c r="N222" s="851"/>
      <c r="O222" s="851"/>
      <c r="P222" s="851"/>
      <c r="Q222" s="851"/>
      <c r="R222" s="851"/>
      <c r="S222" s="851"/>
      <c r="T222" s="851"/>
      <c r="U222" s="851"/>
      <c r="V222" s="851"/>
      <c r="W222" s="851"/>
      <c r="X222" s="851"/>
      <c r="Y222" s="851"/>
      <c r="Z222" s="851"/>
      <c r="AA222" s="851"/>
      <c r="AB222" s="851"/>
      <c r="AC222" s="851"/>
      <c r="AD222" s="851"/>
      <c r="AK222" t="s">
        <v>5218</v>
      </c>
      <c r="AL222" s="506">
        <f>SUM(AL206,AL220)</f>
        <v>0</v>
      </c>
      <c r="AM222" t="s">
        <v>5219</v>
      </c>
      <c r="AN222">
        <f>SUM(AN206,AN220)</f>
        <v>0</v>
      </c>
    </row>
    <row r="223" spans="1:57" ht="15" customHeight="1">
      <c r="A223" s="108"/>
      <c r="B223" s="794" t="str">
        <f>IF(BC205=0,"","Favor de ingresar toda la información requerida en la pregunta")</f>
        <v/>
      </c>
      <c r="C223" s="794"/>
      <c r="D223" s="794"/>
      <c r="E223" s="794"/>
      <c r="F223" s="794"/>
      <c r="G223" s="794"/>
      <c r="H223" s="794"/>
      <c r="I223" s="794"/>
      <c r="J223" s="794"/>
      <c r="K223" s="794"/>
      <c r="L223" s="794"/>
      <c r="M223" s="794"/>
      <c r="N223" s="794"/>
      <c r="O223" s="794"/>
      <c r="P223" s="794"/>
      <c r="Q223" s="794"/>
      <c r="R223" s="794"/>
      <c r="S223" s="794"/>
      <c r="T223" s="794"/>
      <c r="U223" s="794"/>
      <c r="V223" s="794"/>
      <c r="W223" s="794"/>
      <c r="X223" s="794"/>
      <c r="Y223" s="794"/>
      <c r="Z223" s="794"/>
      <c r="AA223" s="794"/>
      <c r="AB223" s="794"/>
      <c r="AC223" s="794"/>
      <c r="AD223" s="794"/>
      <c r="AE223" s="794"/>
      <c r="AK223" t="s">
        <v>5220</v>
      </c>
      <c r="AL223" s="506">
        <f>IF(AN222&gt;0,IF(SUM(M205)&gt;=SUM(P205,S205,V205,Y205,AB205,J219,M219,P219,S219,V219,Y219,AB219),0,1),IF(SUM(M205)&lt;&gt;SUM(P205,S205,V205,Y205,AB205,J219,M219,P219,S219,V219,Y219,AB219),1,0))</f>
        <v>0</v>
      </c>
      <c r="AM223" t="s">
        <v>5221</v>
      </c>
      <c r="AN223" s="506">
        <f>IF(AN222&gt;0,IF(SUM(N205)&gt;=SUM(Q205,T205,W205,Z205,AC205,K219,N219,Q219,T219,W219,Z219,AC219),0,1),IF(SUM(N205)&lt;&gt;SUM(Q205,T205,W205,Z205,AC205,K219,N219,Q219,T219,W219,Z219,AC219),1,0))</f>
        <v>0</v>
      </c>
      <c r="AO223" t="s">
        <v>5222</v>
      </c>
      <c r="AP223" s="506">
        <f>IF(AN222&gt;0,IF(SUM(O205)&gt;=SUM(R205,U205,X205,AA205,AD205,L219,O219,R219,U219,X219,AA219,AD219),0,1),IF(SUM(O205)&lt;&gt;SUM(R205,U205,X205,AA205,AD205,L219,O219,R219,U219,X219,AA219,AD219),1,0))</f>
        <v>0</v>
      </c>
    </row>
    <row r="224" spans="1:57" ht="15" customHeight="1">
      <c r="A224" s="108"/>
      <c r="B224" s="1087" t="str">
        <f>IF(SUM(COUNTIF(M197:AD204,"NS"),COUNTIF(J211:AD218,"NS"))&lt;&gt;0,"Alerta: debido a que cuenta con registros NS, debe proporcionar una justificación en el area de comentarios al final de la pregunta","")</f>
        <v/>
      </c>
      <c r="C224" s="1087"/>
      <c r="D224" s="1087"/>
      <c r="E224" s="1087"/>
      <c r="F224" s="1087"/>
      <c r="G224" s="1087"/>
      <c r="H224" s="1087"/>
      <c r="I224" s="1087"/>
      <c r="J224" s="1087"/>
      <c r="K224" s="1087"/>
      <c r="L224" s="1087"/>
      <c r="M224" s="1087"/>
      <c r="N224" s="1087"/>
      <c r="O224" s="1087"/>
      <c r="P224" s="1087"/>
      <c r="Q224" s="1087"/>
      <c r="R224" s="1087"/>
      <c r="S224" s="1087"/>
      <c r="T224" s="1087"/>
      <c r="U224" s="1087"/>
      <c r="V224" s="1087"/>
      <c r="W224" s="1087"/>
      <c r="X224" s="1087"/>
      <c r="Y224" s="1087"/>
      <c r="Z224" s="1087"/>
      <c r="AA224" s="1087"/>
      <c r="AB224" s="1087"/>
      <c r="AC224" s="1087"/>
      <c r="AD224" s="1087"/>
      <c r="AE224" s="1087"/>
    </row>
    <row r="225" spans="1:58" ht="15" customHeight="1">
      <c r="A225" s="108"/>
      <c r="B225" s="1003" t="str">
        <f>IF(BD205&gt;0,"Revise la información capturada, ya que tiene datos ingresados en celdas que están sombreadas","")</f>
        <v/>
      </c>
      <c r="C225" s="1003"/>
      <c r="D225" s="1003"/>
      <c r="E225" s="1003"/>
      <c r="F225" s="1003"/>
      <c r="G225" s="1003"/>
      <c r="H225" s="1003"/>
      <c r="I225" s="1003"/>
      <c r="J225" s="1003"/>
      <c r="K225" s="1003"/>
      <c r="L225" s="1003"/>
      <c r="M225" s="1003"/>
      <c r="N225" s="1003"/>
      <c r="O225" s="1003"/>
      <c r="P225" s="1003"/>
      <c r="Q225" s="1003"/>
      <c r="R225" s="1003"/>
      <c r="S225" s="1003"/>
      <c r="T225" s="1003"/>
      <c r="U225" s="1003"/>
      <c r="V225" s="1003"/>
      <c r="W225" s="1003"/>
      <c r="X225" s="1003"/>
      <c r="Y225" s="1003"/>
      <c r="Z225" s="1003"/>
      <c r="AA225" s="1003"/>
      <c r="AB225" s="1003"/>
      <c r="AC225" s="1003"/>
      <c r="AD225" s="1003"/>
      <c r="AE225" s="1003"/>
    </row>
    <row r="226" spans="1:58" ht="15" customHeight="1">
      <c r="A226" s="108"/>
      <c r="B226" s="1003" t="str">
        <f>IF(OR(AL222&gt;0,AL223&gt;0,AN223&gt;0,AP223&gt;0),"Favor de revisar la suma y consistencia de totales y/o subtotales por filas (numéricos y NS)","")</f>
        <v/>
      </c>
      <c r="C226" s="1003"/>
      <c r="D226" s="1003"/>
      <c r="E226" s="1003"/>
      <c r="F226" s="1003"/>
      <c r="G226" s="1003"/>
      <c r="H226" s="1003"/>
      <c r="I226" s="1003"/>
      <c r="J226" s="1003"/>
      <c r="K226" s="1003"/>
      <c r="L226" s="1003"/>
      <c r="M226" s="1003"/>
      <c r="N226" s="1003"/>
      <c r="O226" s="1003"/>
      <c r="P226" s="1003"/>
      <c r="Q226" s="1003"/>
      <c r="R226" s="1003"/>
      <c r="S226" s="1003"/>
      <c r="T226" s="1003"/>
      <c r="U226" s="1003"/>
      <c r="V226" s="1003"/>
      <c r="W226" s="1003"/>
      <c r="X226" s="1003"/>
      <c r="Y226" s="1003"/>
      <c r="Z226" s="1003"/>
      <c r="AA226" s="1003"/>
      <c r="AB226" s="1003"/>
      <c r="AC226" s="1003"/>
      <c r="AD226" s="1003"/>
      <c r="AE226" s="1003"/>
    </row>
    <row r="227" spans="1:58" ht="15" customHeight="1">
      <c r="A227" s="108"/>
      <c r="B227" s="1003" t="str">
        <f>IF(BE205=0,"","Las cantidades de Hombres y Mujeres por centro especializado debe corresponder con los datos reportados en la preg. 8.3")</f>
        <v/>
      </c>
      <c r="C227" s="1003"/>
      <c r="D227" s="1003"/>
      <c r="E227" s="1003"/>
      <c r="F227" s="1003"/>
      <c r="G227" s="1003"/>
      <c r="H227" s="1003"/>
      <c r="I227" s="1003"/>
      <c r="J227" s="1003"/>
      <c r="K227" s="1003"/>
      <c r="L227" s="1003"/>
      <c r="M227" s="1003"/>
      <c r="N227" s="1003"/>
      <c r="O227" s="1003"/>
      <c r="P227" s="1003"/>
      <c r="Q227" s="1003"/>
      <c r="R227" s="1003"/>
      <c r="S227" s="1003"/>
      <c r="T227" s="1003"/>
      <c r="U227" s="1003"/>
      <c r="V227" s="1003"/>
      <c r="W227" s="1003"/>
      <c r="X227" s="1003"/>
      <c r="Y227" s="1003"/>
      <c r="Z227" s="1003"/>
      <c r="AA227" s="1003"/>
      <c r="AB227" s="1003"/>
      <c r="AC227" s="1003"/>
      <c r="AD227" s="1003"/>
      <c r="AE227" s="1003"/>
    </row>
    <row r="228" spans="1:58" ht="15" customHeight="1">
      <c r="A228" s="10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c r="AA228" s="38"/>
      <c r="AB228" s="38"/>
      <c r="AC228" s="38"/>
      <c r="AD228" s="38"/>
    </row>
    <row r="229" spans="1:58" ht="24" customHeight="1">
      <c r="A229" s="49" t="s">
        <v>5225</v>
      </c>
      <c r="B229" s="829" t="s">
        <v>5226</v>
      </c>
      <c r="C229" s="829"/>
      <c r="D229" s="829"/>
      <c r="E229" s="829"/>
      <c r="F229" s="829"/>
      <c r="G229" s="829"/>
      <c r="H229" s="829"/>
      <c r="I229" s="829"/>
      <c r="J229" s="829"/>
      <c r="K229" s="829"/>
      <c r="L229" s="829"/>
      <c r="M229" s="829"/>
      <c r="N229" s="829"/>
      <c r="O229" s="829"/>
      <c r="P229" s="829"/>
      <c r="Q229" s="829"/>
      <c r="R229" s="829"/>
      <c r="S229" s="829"/>
      <c r="T229" s="829"/>
      <c r="U229" s="829"/>
      <c r="V229" s="829"/>
      <c r="W229" s="829"/>
      <c r="X229" s="829"/>
      <c r="Y229" s="829"/>
      <c r="Z229" s="829"/>
      <c r="AA229" s="829"/>
      <c r="AB229" s="829"/>
      <c r="AC229" s="829"/>
      <c r="AD229" s="829"/>
    </row>
    <row r="230" spans="1:58" ht="15" customHeight="1">
      <c r="A230" s="108"/>
      <c r="B230" s="38"/>
      <c r="C230" s="830" t="s">
        <v>5227</v>
      </c>
      <c r="D230" s="830"/>
      <c r="E230" s="830"/>
      <c r="F230" s="830"/>
      <c r="G230" s="830"/>
      <c r="H230" s="830"/>
      <c r="I230" s="830"/>
      <c r="J230" s="830"/>
      <c r="K230" s="830"/>
      <c r="L230" s="830"/>
      <c r="M230" s="830"/>
      <c r="N230" s="830"/>
      <c r="O230" s="830"/>
      <c r="P230" s="830"/>
      <c r="Q230" s="830"/>
      <c r="R230" s="830"/>
      <c r="S230" s="830"/>
      <c r="T230" s="830"/>
      <c r="U230" s="830"/>
      <c r="V230" s="830"/>
      <c r="W230" s="830"/>
      <c r="X230" s="830"/>
      <c r="Y230" s="830"/>
      <c r="Z230" s="830"/>
      <c r="AA230" s="830"/>
      <c r="AB230" s="830"/>
      <c r="AC230" s="830"/>
      <c r="AD230" s="830"/>
    </row>
    <row r="231" spans="1:58" ht="24" customHeight="1">
      <c r="A231" s="195"/>
      <c r="B231" s="38"/>
      <c r="C231" s="1129" t="s">
        <v>5228</v>
      </c>
      <c r="D231" s="1130"/>
      <c r="E231" s="1130"/>
      <c r="F231" s="1130"/>
      <c r="G231" s="1130"/>
      <c r="H231" s="1130"/>
      <c r="I231" s="1130"/>
      <c r="J231" s="1130"/>
      <c r="K231" s="1130"/>
      <c r="L231" s="1130"/>
      <c r="M231" s="1130"/>
      <c r="N231" s="1130"/>
      <c r="O231" s="1130"/>
      <c r="P231" s="1130"/>
      <c r="Q231" s="1130"/>
      <c r="R231" s="1130"/>
      <c r="S231" s="1130"/>
      <c r="T231" s="1130"/>
      <c r="U231" s="1130"/>
      <c r="V231" s="1130"/>
      <c r="W231" s="1130"/>
      <c r="X231" s="1130"/>
      <c r="Y231" s="1130"/>
      <c r="Z231" s="1130"/>
      <c r="AA231" s="1130"/>
      <c r="AB231" s="1130"/>
      <c r="AC231" s="1130"/>
      <c r="AD231" s="1130"/>
    </row>
    <row r="232" spans="1:58" ht="15" customHeight="1">
      <c r="A232" s="10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c r="AB232" s="38"/>
      <c r="AC232" s="38"/>
      <c r="AD232" s="38"/>
    </row>
    <row r="233" spans="1:58" ht="15" customHeight="1">
      <c r="A233" s="49"/>
      <c r="B233" s="38"/>
      <c r="C233" s="75"/>
      <c r="D233" s="75"/>
      <c r="E233" s="75"/>
      <c r="F233" s="75"/>
      <c r="G233" s="75"/>
      <c r="H233" s="75"/>
      <c r="I233" s="75"/>
      <c r="J233" s="75"/>
      <c r="K233" s="75"/>
      <c r="L233" s="75"/>
      <c r="M233" s="75"/>
      <c r="N233" s="75"/>
      <c r="O233" s="75"/>
      <c r="P233" s="75"/>
      <c r="Q233" s="75"/>
      <c r="R233" s="75"/>
      <c r="S233" s="75"/>
      <c r="T233" s="75"/>
      <c r="U233" s="75"/>
      <c r="V233" s="75"/>
      <c r="W233" s="75"/>
      <c r="X233" s="75"/>
      <c r="Y233" s="75"/>
      <c r="Z233" s="75"/>
      <c r="AA233" s="873" t="s">
        <v>2664</v>
      </c>
      <c r="AB233" s="873"/>
      <c r="AC233" s="873"/>
      <c r="AD233" s="873"/>
    </row>
    <row r="234" spans="1:58" ht="24" customHeight="1">
      <c r="A234" s="49"/>
      <c r="B234" s="38"/>
      <c r="C234" s="797" t="s">
        <v>2581</v>
      </c>
      <c r="D234" s="798"/>
      <c r="E234" s="798"/>
      <c r="F234" s="798"/>
      <c r="G234" s="798"/>
      <c r="H234" s="798"/>
      <c r="I234" s="798"/>
      <c r="J234" s="798"/>
      <c r="K234" s="798"/>
      <c r="L234" s="798"/>
      <c r="M234" s="798"/>
      <c r="N234" s="798"/>
      <c r="O234" s="798"/>
      <c r="P234" s="798"/>
      <c r="Q234" s="798"/>
      <c r="R234" s="799"/>
      <c r="S234" s="739" t="s">
        <v>5229</v>
      </c>
      <c r="T234" s="740"/>
      <c r="U234" s="740"/>
      <c r="V234" s="740"/>
      <c r="W234" s="740"/>
      <c r="X234" s="740"/>
      <c r="Y234" s="740"/>
      <c r="Z234" s="740"/>
      <c r="AA234" s="740"/>
      <c r="AB234" s="740"/>
      <c r="AC234" s="740"/>
      <c r="AD234" s="741"/>
    </row>
    <row r="235" spans="1:58" ht="24" customHeight="1">
      <c r="A235" s="49"/>
      <c r="B235" s="38"/>
      <c r="C235" s="800"/>
      <c r="D235" s="801"/>
      <c r="E235" s="801"/>
      <c r="F235" s="801"/>
      <c r="G235" s="801"/>
      <c r="H235" s="801"/>
      <c r="I235" s="801"/>
      <c r="J235" s="801"/>
      <c r="K235" s="801"/>
      <c r="L235" s="801"/>
      <c r="M235" s="801"/>
      <c r="N235" s="801"/>
      <c r="O235" s="801"/>
      <c r="P235" s="801"/>
      <c r="Q235" s="801"/>
      <c r="R235" s="802"/>
      <c r="S235" s="887" t="s">
        <v>2628</v>
      </c>
      <c r="T235" s="889" t="s">
        <v>2629</v>
      </c>
      <c r="U235" s="889" t="s">
        <v>2630</v>
      </c>
      <c r="V235" s="736" t="s">
        <v>4600</v>
      </c>
      <c r="W235" s="736"/>
      <c r="X235" s="736"/>
      <c r="Y235" s="736" t="s">
        <v>4601</v>
      </c>
      <c r="Z235" s="736"/>
      <c r="AA235" s="736"/>
      <c r="AB235" s="736" t="s">
        <v>4602</v>
      </c>
      <c r="AC235" s="736"/>
      <c r="AD235" s="736"/>
    </row>
    <row r="236" spans="1:58" ht="48" customHeight="1">
      <c r="A236" s="49"/>
      <c r="B236" s="38"/>
      <c r="C236" s="803"/>
      <c r="D236" s="804"/>
      <c r="E236" s="804"/>
      <c r="F236" s="804"/>
      <c r="G236" s="804"/>
      <c r="H236" s="804"/>
      <c r="I236" s="804"/>
      <c r="J236" s="804"/>
      <c r="K236" s="804"/>
      <c r="L236" s="804"/>
      <c r="M236" s="804"/>
      <c r="N236" s="804"/>
      <c r="O236" s="804"/>
      <c r="P236" s="804"/>
      <c r="Q236" s="804"/>
      <c r="R236" s="805"/>
      <c r="S236" s="888"/>
      <c r="T236" s="890"/>
      <c r="U236" s="890"/>
      <c r="V236" s="127" t="s">
        <v>2635</v>
      </c>
      <c r="W236" s="128" t="s">
        <v>2629</v>
      </c>
      <c r="X236" s="128" t="s">
        <v>2630</v>
      </c>
      <c r="Y236" s="127" t="s">
        <v>2635</v>
      </c>
      <c r="Z236" s="128" t="s">
        <v>2629</v>
      </c>
      <c r="AA236" s="128" t="s">
        <v>2630</v>
      </c>
      <c r="AB236" s="127" t="s">
        <v>2635</v>
      </c>
      <c r="AC236" s="128" t="s">
        <v>2629</v>
      </c>
      <c r="AD236" s="128" t="s">
        <v>2630</v>
      </c>
      <c r="AG236" t="s">
        <v>2586</v>
      </c>
      <c r="AH236" t="s">
        <v>4581</v>
      </c>
      <c r="AK236" t="s">
        <v>4573</v>
      </c>
      <c r="AL236" t="s">
        <v>2638</v>
      </c>
      <c r="AM236" t="s">
        <v>2639</v>
      </c>
      <c r="AN236" t="s">
        <v>4574</v>
      </c>
      <c r="AO236" t="s">
        <v>2641</v>
      </c>
      <c r="AP236" t="s">
        <v>2642</v>
      </c>
      <c r="AQ236" t="s">
        <v>4575</v>
      </c>
      <c r="AR236" t="s">
        <v>2644</v>
      </c>
      <c r="AS236" t="s">
        <v>2645</v>
      </c>
      <c r="AT236" t="s">
        <v>4576</v>
      </c>
      <c r="AU236" t="s">
        <v>2647</v>
      </c>
      <c r="AV236" t="s">
        <v>2648</v>
      </c>
      <c r="BF236" t="s">
        <v>4582</v>
      </c>
    </row>
    <row r="237" spans="1:58" ht="15" customHeight="1">
      <c r="A237" s="49"/>
      <c r="B237" s="38"/>
      <c r="C237" s="97" t="s">
        <v>2516</v>
      </c>
      <c r="D237" s="813" t="str">
        <f>IF(CNSIPEE_2024_M2_Secc1!D42="","",CNSIPEE_2024_M2_Secc1!D42)</f>
        <v/>
      </c>
      <c r="E237" s="814"/>
      <c r="F237" s="814"/>
      <c r="G237" s="814"/>
      <c r="H237" s="814"/>
      <c r="I237" s="814"/>
      <c r="J237" s="814"/>
      <c r="K237" s="814"/>
      <c r="L237" s="814"/>
      <c r="M237" s="814"/>
      <c r="N237" s="814"/>
      <c r="O237" s="814"/>
      <c r="P237" s="814"/>
      <c r="Q237" s="814"/>
      <c r="R237" s="815"/>
      <c r="S237" s="100"/>
      <c r="T237" s="100"/>
      <c r="U237" s="100"/>
      <c r="V237" s="100"/>
      <c r="W237" s="100"/>
      <c r="X237" s="100"/>
      <c r="Y237" s="100"/>
      <c r="Z237" s="100"/>
      <c r="AA237" s="100"/>
      <c r="AB237" s="100"/>
      <c r="AC237" s="100"/>
      <c r="AD237" s="100"/>
      <c r="AG237">
        <f>IF(OR($M40=0,$M40="NS",$M40="NA"),0,IF(OR(SUM(COUNTBLANK(D237:AD237),COUNTBLANK(P251:AD251))=14,SUM(COUNTBLANK(D237:AD237),COUNTBLANK(P251:AD251))=42),0,1))</f>
        <v>0</v>
      </c>
      <c r="AH237">
        <f>IF(OR($M40=0,$M40="NS",$M40="NA"),IF(SUM(COUNTBLANK(S237:AD237),COUNTBLANK(P251:AD251))=27,0,1),0)</f>
        <v>0</v>
      </c>
      <c r="AK237">
        <f t="shared" ref="AK237" si="292">COUNTIF(T237:U237,"NS")</f>
        <v>0</v>
      </c>
      <c r="AL237">
        <f t="shared" ref="AL237" si="293">SUM(T237:U237)</f>
        <v>0</v>
      </c>
      <c r="AM237">
        <f>IF(COUNTIF(S237:U237,"NA")=3,0,IF(COUNTA(S237:U237)=0,0,IF(OR(AND(S237=0,AK237&gt;0),AND(S237="ns",AL237&gt;0),AND(S237="ns",AK237=0,AL237=0)),1,IF(OR(AND(S237&gt;0,AK237=2),AND(S237="ns",AK237=2),AND(S237="ns",AL237=0,AK237&gt;0),S237=AL237),0,1))))</f>
        <v>0</v>
      </c>
      <c r="AN237">
        <f t="shared" ref="AN237" si="294">COUNTIF(W237:X237,"NS")</f>
        <v>0</v>
      </c>
      <c r="AO237">
        <f t="shared" ref="AO237" si="295">SUM(W237:X237)</f>
        <v>0</v>
      </c>
      <c r="AP237">
        <f t="shared" ref="AP237" si="296">IF(COUNTIF(V237:X237,"NA")=3,0,IF(COUNTA(V237:X237)=0,0,IF(OR(AND(V237=0,AN237&gt;0),AND(V237="ns",AO237&gt;0),AND(V237="ns",AN237=0,AO237=0)),1,IF(OR(AND(V237&gt;0,AN237=2),AND(V237="ns",AN237=2),AND(V237="ns",AO237=0,AN237&gt;0),V237=AO237),0,1))))</f>
        <v>0</v>
      </c>
      <c r="AQ237">
        <f t="shared" ref="AQ237" si="297">COUNTIF(Z237:AA237,"NS")</f>
        <v>0</v>
      </c>
      <c r="AR237">
        <f t="shared" ref="AR237" si="298">SUM(Z237:AA237)</f>
        <v>0</v>
      </c>
      <c r="AS237">
        <f t="shared" ref="AS237" si="299">IF(COUNTIF(Y237:AA237,"NA")=3,0,IF(COUNTA(Y237:AA237)=0,0,IF(OR(AND(Y237=0,AQ237&gt;0),AND(Y237="ns",AR237&gt;0),AND(Y237="ns",AQ237=0,AR237=0)),1,IF(OR(AND(Y237&gt;0,AQ237=2),AND(Y237="ns",AQ237=2),AND(Y237="ns",AR237=0,AQ237&gt;0),Y237=AR237),0,1))))</f>
        <v>0</v>
      </c>
      <c r="AT237">
        <f t="shared" ref="AT237" si="300">COUNTIF(AC237:AD237,"NS")</f>
        <v>0</v>
      </c>
      <c r="AU237">
        <f t="shared" ref="AU237" si="301">SUM(AC237:AD237)</f>
        <v>0</v>
      </c>
      <c r="AV237">
        <f t="shared" ref="AV237" si="302">IF(COUNTIF(AB237:AD237,"NA")=3,0,IF(COUNTA(AB237:AD237)=0,0,IF(OR(AND(AB237=0,AT237&gt;0),AND(AB237="ns",AU237&gt;0),AND(AB237="ns",AT237=0,AU237=0)),1,IF(OR(AND(AB237&gt;0,AT237=2),AND(AB237="ns",AT237=2),AND(AB237="ns",AU237=0,AT237&gt;0),AB237=AU237),0,1))))</f>
        <v>0</v>
      </c>
      <c r="BF237">
        <f>IF(OR($M40=0,$M40="NS",$M40="NA"),0,IF(AND(M40=S237,S40=T237,Y40=U237),0,1))</f>
        <v>0</v>
      </c>
    </row>
    <row r="238" spans="1:58" ht="15" customHeight="1">
      <c r="A238" s="49"/>
      <c r="B238" s="38"/>
      <c r="C238" s="98" t="s">
        <v>2517</v>
      </c>
      <c r="D238" s="813" t="str">
        <f>IF(CNSIPEE_2024_M2_Secc1!D43="","",CNSIPEE_2024_M2_Secc1!D43)</f>
        <v/>
      </c>
      <c r="E238" s="814"/>
      <c r="F238" s="814"/>
      <c r="G238" s="814"/>
      <c r="H238" s="814"/>
      <c r="I238" s="814"/>
      <c r="J238" s="814"/>
      <c r="K238" s="814"/>
      <c r="L238" s="814"/>
      <c r="M238" s="814"/>
      <c r="N238" s="814"/>
      <c r="O238" s="814"/>
      <c r="P238" s="814"/>
      <c r="Q238" s="814"/>
      <c r="R238" s="815"/>
      <c r="S238" s="100"/>
      <c r="T238" s="100"/>
      <c r="U238" s="100"/>
      <c r="V238" s="100"/>
      <c r="W238" s="100"/>
      <c r="X238" s="100"/>
      <c r="Y238" s="100"/>
      <c r="Z238" s="100"/>
      <c r="AA238" s="100"/>
      <c r="AB238" s="100"/>
      <c r="AC238" s="100"/>
      <c r="AD238" s="100"/>
      <c r="AG238">
        <f t="shared" ref="AG238:AG244" si="303">IF(OR($M41=0,$M41="NS",$M41="NA"),0,IF(OR(SUM(COUNTBLANK(D238:AD238),COUNTBLANK(P252:AD252))=14,SUM(COUNTBLANK(D238:AD238),COUNTBLANK(P252:AD252))=42),0,1))</f>
        <v>0</v>
      </c>
      <c r="AH238">
        <f t="shared" ref="AH238:AH244" si="304">IF(OR($M41=0,$M41="NS",$M41="NA"),IF(SUM(COUNTBLANK(S238:AD238),COUNTBLANK(P252:AD252))=27,0,1),0)</f>
        <v>0</v>
      </c>
      <c r="AK238">
        <f t="shared" ref="AK238:AK244" si="305">COUNTIF(T238:U238,"NS")</f>
        <v>0</v>
      </c>
      <c r="AL238">
        <f t="shared" ref="AL238:AL244" si="306">SUM(T238:U238)</f>
        <v>0</v>
      </c>
      <c r="AM238">
        <f t="shared" ref="AM238:AM244" si="307">IF(COUNTIF(S238:U238,"NA")=3,0,IF(COUNTA(S238:U238)=0,0,IF(OR(AND(S238=0,AK238&gt;0),AND(S238="ns",AL238&gt;0),AND(S238="ns",AK238=0,AL238=0)),1,IF(OR(AND(S238&gt;0,AK238=2),AND(S238="ns",AK238=2),AND(S238="ns",AL238=0,AK238&gt;0),S238=AL238),0,1))))</f>
        <v>0</v>
      </c>
      <c r="AN238">
        <f t="shared" ref="AN238:AN244" si="308">COUNTIF(W238:X238,"NS")</f>
        <v>0</v>
      </c>
      <c r="AO238">
        <f t="shared" ref="AO238:AO244" si="309">SUM(W238:X238)</f>
        <v>0</v>
      </c>
      <c r="AP238">
        <f t="shared" ref="AP238:AP244" si="310">IF(COUNTIF(V238:X238,"NA")=3,0,IF(COUNTA(V238:X238)=0,0,IF(OR(AND(V238=0,AN238&gt;0),AND(V238="ns",AO238&gt;0),AND(V238="ns",AN238=0,AO238=0)),1,IF(OR(AND(V238&gt;0,AN238=2),AND(V238="ns",AN238=2),AND(V238="ns",AO238=0,AN238&gt;0),V238=AO238),0,1))))</f>
        <v>0</v>
      </c>
      <c r="AQ238">
        <f t="shared" ref="AQ238:AQ244" si="311">COUNTIF(Z238:AA238,"NS")</f>
        <v>0</v>
      </c>
      <c r="AR238">
        <f t="shared" ref="AR238:AR244" si="312">SUM(Z238:AA238)</f>
        <v>0</v>
      </c>
      <c r="AS238">
        <f t="shared" ref="AS238:AS244" si="313">IF(COUNTIF(Y238:AA238,"NA")=3,0,IF(COUNTA(Y238:AA238)=0,0,IF(OR(AND(Y238=0,AQ238&gt;0),AND(Y238="ns",AR238&gt;0),AND(Y238="ns",AQ238=0,AR238=0)),1,IF(OR(AND(Y238&gt;0,AQ238=2),AND(Y238="ns",AQ238=2),AND(Y238="ns",AR238=0,AQ238&gt;0),Y238=AR238),0,1))))</f>
        <v>0</v>
      </c>
      <c r="AT238">
        <f t="shared" ref="AT238:AT244" si="314">COUNTIF(AC238:AD238,"NS")</f>
        <v>0</v>
      </c>
      <c r="AU238">
        <f t="shared" ref="AU238:AU244" si="315">SUM(AC238:AD238)</f>
        <v>0</v>
      </c>
      <c r="AV238">
        <f t="shared" ref="AV238:AV243" si="316">IF(COUNTIF(AB238:AD238,"NA")=3,0,IF(COUNTA(AB238:AD238)=0,0,IF(OR(AND(AB238=0,AT238&gt;0),AND(AB238="ns",AU238&gt;0),AND(AB238="ns",AT238=0,AU238=0)),1,IF(OR(AND(AB238&gt;0,AT238=2),AND(AB238="ns",AT238=2),AND(AB238="ns",AU238=0,AT238&gt;0),AB238=AU238),0,1))))</f>
        <v>0</v>
      </c>
      <c r="BF238">
        <f t="shared" ref="BF238:BF244" si="317">IF(OR($M41=0,$M41="NS",$M41="NA"),0,IF(AND(M41=S238,S41=T238,Y41=U238),0,1))</f>
        <v>0</v>
      </c>
    </row>
    <row r="239" spans="1:58" ht="15" customHeight="1">
      <c r="A239" s="49"/>
      <c r="B239" s="38"/>
      <c r="C239" s="98" t="s">
        <v>2518</v>
      </c>
      <c r="D239" s="813" t="str">
        <f>IF(CNSIPEE_2024_M2_Secc1!D44="","",CNSIPEE_2024_M2_Secc1!D44)</f>
        <v/>
      </c>
      <c r="E239" s="814"/>
      <c r="F239" s="814"/>
      <c r="G239" s="814"/>
      <c r="H239" s="814"/>
      <c r="I239" s="814"/>
      <c r="J239" s="814"/>
      <c r="K239" s="814"/>
      <c r="L239" s="814"/>
      <c r="M239" s="814"/>
      <c r="N239" s="814"/>
      <c r="O239" s="814"/>
      <c r="P239" s="814"/>
      <c r="Q239" s="814"/>
      <c r="R239" s="815"/>
      <c r="S239" s="100"/>
      <c r="T239" s="100"/>
      <c r="U239" s="100"/>
      <c r="V239" s="100"/>
      <c r="W239" s="100"/>
      <c r="X239" s="100"/>
      <c r="Y239" s="100"/>
      <c r="Z239" s="100"/>
      <c r="AA239" s="100"/>
      <c r="AB239" s="100"/>
      <c r="AC239" s="100"/>
      <c r="AD239" s="100"/>
      <c r="AG239">
        <f t="shared" si="303"/>
        <v>0</v>
      </c>
      <c r="AH239">
        <f t="shared" si="304"/>
        <v>0</v>
      </c>
      <c r="AK239">
        <f t="shared" si="305"/>
        <v>0</v>
      </c>
      <c r="AL239">
        <f t="shared" si="306"/>
        <v>0</v>
      </c>
      <c r="AM239">
        <f t="shared" si="307"/>
        <v>0</v>
      </c>
      <c r="AN239">
        <f t="shared" si="308"/>
        <v>0</v>
      </c>
      <c r="AO239">
        <f t="shared" si="309"/>
        <v>0</v>
      </c>
      <c r="AP239">
        <f t="shared" si="310"/>
        <v>0</v>
      </c>
      <c r="AQ239">
        <f t="shared" si="311"/>
        <v>0</v>
      </c>
      <c r="AR239">
        <f t="shared" si="312"/>
        <v>0</v>
      </c>
      <c r="AS239">
        <f t="shared" si="313"/>
        <v>0</v>
      </c>
      <c r="AT239">
        <f t="shared" si="314"/>
        <v>0</v>
      </c>
      <c r="AU239">
        <f t="shared" si="315"/>
        <v>0</v>
      </c>
      <c r="AV239">
        <f t="shared" si="316"/>
        <v>0</v>
      </c>
      <c r="BF239">
        <f t="shared" si="317"/>
        <v>0</v>
      </c>
    </row>
    <row r="240" spans="1:58" ht="15" customHeight="1">
      <c r="A240" s="49"/>
      <c r="B240" s="38"/>
      <c r="C240" s="98" t="s">
        <v>2519</v>
      </c>
      <c r="D240" s="813" t="str">
        <f>IF(CNSIPEE_2024_M2_Secc1!D45="","",CNSIPEE_2024_M2_Secc1!D45)</f>
        <v/>
      </c>
      <c r="E240" s="814"/>
      <c r="F240" s="814"/>
      <c r="G240" s="814"/>
      <c r="H240" s="814"/>
      <c r="I240" s="814"/>
      <c r="J240" s="814"/>
      <c r="K240" s="814"/>
      <c r="L240" s="814"/>
      <c r="M240" s="814"/>
      <c r="N240" s="814"/>
      <c r="O240" s="814"/>
      <c r="P240" s="814"/>
      <c r="Q240" s="814"/>
      <c r="R240" s="815"/>
      <c r="S240" s="100"/>
      <c r="T240" s="100"/>
      <c r="U240" s="100"/>
      <c r="V240" s="100"/>
      <c r="W240" s="100"/>
      <c r="X240" s="100"/>
      <c r="Y240" s="100"/>
      <c r="Z240" s="100"/>
      <c r="AA240" s="100"/>
      <c r="AB240" s="100"/>
      <c r="AC240" s="100"/>
      <c r="AD240" s="100"/>
      <c r="AG240">
        <f t="shared" si="303"/>
        <v>0</v>
      </c>
      <c r="AH240">
        <f t="shared" si="304"/>
        <v>0</v>
      </c>
      <c r="AK240">
        <f t="shared" si="305"/>
        <v>0</v>
      </c>
      <c r="AL240">
        <f t="shared" si="306"/>
        <v>0</v>
      </c>
      <c r="AM240">
        <f t="shared" si="307"/>
        <v>0</v>
      </c>
      <c r="AN240">
        <f t="shared" si="308"/>
        <v>0</v>
      </c>
      <c r="AO240">
        <f t="shared" si="309"/>
        <v>0</v>
      </c>
      <c r="AP240">
        <f t="shared" si="310"/>
        <v>0</v>
      </c>
      <c r="AQ240">
        <f t="shared" si="311"/>
        <v>0</v>
      </c>
      <c r="AR240">
        <f t="shared" si="312"/>
        <v>0</v>
      </c>
      <c r="AS240">
        <f t="shared" si="313"/>
        <v>0</v>
      </c>
      <c r="AT240">
        <f t="shared" si="314"/>
        <v>0</v>
      </c>
      <c r="AU240">
        <f t="shared" si="315"/>
        <v>0</v>
      </c>
      <c r="AV240">
        <f t="shared" si="316"/>
        <v>0</v>
      </c>
      <c r="BF240">
        <f t="shared" si="317"/>
        <v>0</v>
      </c>
    </row>
    <row r="241" spans="1:58" ht="15" customHeight="1">
      <c r="A241" s="103"/>
      <c r="B241" s="57"/>
      <c r="C241" s="98" t="s">
        <v>2520</v>
      </c>
      <c r="D241" s="813" t="str">
        <f>IF(CNSIPEE_2024_M2_Secc1!D46="","",CNSIPEE_2024_M2_Secc1!D46)</f>
        <v/>
      </c>
      <c r="E241" s="814"/>
      <c r="F241" s="814"/>
      <c r="G241" s="814"/>
      <c r="H241" s="814"/>
      <c r="I241" s="814"/>
      <c r="J241" s="814"/>
      <c r="K241" s="814"/>
      <c r="L241" s="814"/>
      <c r="M241" s="814"/>
      <c r="N241" s="814"/>
      <c r="O241" s="814"/>
      <c r="P241" s="814"/>
      <c r="Q241" s="814"/>
      <c r="R241" s="815"/>
      <c r="S241" s="100"/>
      <c r="T241" s="100"/>
      <c r="U241" s="100"/>
      <c r="V241" s="100"/>
      <c r="W241" s="100"/>
      <c r="X241" s="100"/>
      <c r="Y241" s="100"/>
      <c r="Z241" s="100"/>
      <c r="AA241" s="100"/>
      <c r="AB241" s="100"/>
      <c r="AC241" s="100"/>
      <c r="AD241" s="100"/>
      <c r="AG241">
        <f t="shared" si="303"/>
        <v>0</v>
      </c>
      <c r="AH241">
        <f t="shared" si="304"/>
        <v>0</v>
      </c>
      <c r="AK241">
        <f t="shared" si="305"/>
        <v>0</v>
      </c>
      <c r="AL241">
        <f t="shared" si="306"/>
        <v>0</v>
      </c>
      <c r="AM241">
        <f t="shared" si="307"/>
        <v>0</v>
      </c>
      <c r="AN241">
        <f t="shared" si="308"/>
        <v>0</v>
      </c>
      <c r="AO241">
        <f t="shared" si="309"/>
        <v>0</v>
      </c>
      <c r="AP241">
        <f t="shared" si="310"/>
        <v>0</v>
      </c>
      <c r="AQ241">
        <f t="shared" si="311"/>
        <v>0</v>
      </c>
      <c r="AR241">
        <f t="shared" si="312"/>
        <v>0</v>
      </c>
      <c r="AS241">
        <f t="shared" si="313"/>
        <v>0</v>
      </c>
      <c r="AT241">
        <f t="shared" si="314"/>
        <v>0</v>
      </c>
      <c r="AU241">
        <f t="shared" si="315"/>
        <v>0</v>
      </c>
      <c r="AV241">
        <f t="shared" si="316"/>
        <v>0</v>
      </c>
      <c r="BF241">
        <f t="shared" si="317"/>
        <v>0</v>
      </c>
    </row>
    <row r="242" spans="1:58" ht="15" customHeight="1">
      <c r="A242" s="103"/>
      <c r="B242" s="57"/>
      <c r="C242" s="98" t="s">
        <v>2521</v>
      </c>
      <c r="D242" s="813" t="str">
        <f>IF(CNSIPEE_2024_M2_Secc1!D47="","",CNSIPEE_2024_M2_Secc1!D47)</f>
        <v/>
      </c>
      <c r="E242" s="814"/>
      <c r="F242" s="814"/>
      <c r="G242" s="814"/>
      <c r="H242" s="814"/>
      <c r="I242" s="814"/>
      <c r="J242" s="814"/>
      <c r="K242" s="814"/>
      <c r="L242" s="814"/>
      <c r="M242" s="814"/>
      <c r="N242" s="814"/>
      <c r="O242" s="814"/>
      <c r="P242" s="814"/>
      <c r="Q242" s="814"/>
      <c r="R242" s="815"/>
      <c r="S242" s="100"/>
      <c r="T242" s="100"/>
      <c r="U242" s="100"/>
      <c r="V242" s="100"/>
      <c r="W242" s="100"/>
      <c r="X242" s="100"/>
      <c r="Y242" s="100"/>
      <c r="Z242" s="100"/>
      <c r="AA242" s="100"/>
      <c r="AB242" s="100"/>
      <c r="AC242" s="100"/>
      <c r="AD242" s="100"/>
      <c r="AG242">
        <f t="shared" si="303"/>
        <v>0</v>
      </c>
      <c r="AH242">
        <f t="shared" si="304"/>
        <v>0</v>
      </c>
      <c r="AK242">
        <f t="shared" si="305"/>
        <v>0</v>
      </c>
      <c r="AL242">
        <f t="shared" si="306"/>
        <v>0</v>
      </c>
      <c r="AM242">
        <f t="shared" si="307"/>
        <v>0</v>
      </c>
      <c r="AN242">
        <f t="shared" si="308"/>
        <v>0</v>
      </c>
      <c r="AO242">
        <f t="shared" si="309"/>
        <v>0</v>
      </c>
      <c r="AP242">
        <f t="shared" si="310"/>
        <v>0</v>
      </c>
      <c r="AQ242">
        <f t="shared" si="311"/>
        <v>0</v>
      </c>
      <c r="AR242">
        <f t="shared" si="312"/>
        <v>0</v>
      </c>
      <c r="AS242">
        <f t="shared" si="313"/>
        <v>0</v>
      </c>
      <c r="AT242">
        <f t="shared" si="314"/>
        <v>0</v>
      </c>
      <c r="AU242">
        <f t="shared" si="315"/>
        <v>0</v>
      </c>
      <c r="AV242">
        <f t="shared" si="316"/>
        <v>0</v>
      </c>
      <c r="BF242">
        <f t="shared" si="317"/>
        <v>0</v>
      </c>
    </row>
    <row r="243" spans="1:58" ht="15" customHeight="1">
      <c r="A243" s="103"/>
      <c r="B243" s="57"/>
      <c r="C243" s="98" t="s">
        <v>2522</v>
      </c>
      <c r="D243" s="813" t="str">
        <f>IF(CNSIPEE_2024_M2_Secc1!D48="","",CNSIPEE_2024_M2_Secc1!D48)</f>
        <v/>
      </c>
      <c r="E243" s="814"/>
      <c r="F243" s="814"/>
      <c r="G243" s="814"/>
      <c r="H243" s="814"/>
      <c r="I243" s="814"/>
      <c r="J243" s="814"/>
      <c r="K243" s="814"/>
      <c r="L243" s="814"/>
      <c r="M243" s="814"/>
      <c r="N243" s="814"/>
      <c r="O243" s="814"/>
      <c r="P243" s="814"/>
      <c r="Q243" s="814"/>
      <c r="R243" s="815"/>
      <c r="S243" s="100"/>
      <c r="T243" s="100"/>
      <c r="U243" s="100"/>
      <c r="V243" s="100"/>
      <c r="W243" s="100"/>
      <c r="X243" s="100"/>
      <c r="Y243" s="100"/>
      <c r="Z243" s="100"/>
      <c r="AA243" s="100"/>
      <c r="AB243" s="100"/>
      <c r="AC243" s="100"/>
      <c r="AD243" s="100"/>
      <c r="AG243">
        <f t="shared" si="303"/>
        <v>0</v>
      </c>
      <c r="AH243">
        <f t="shared" si="304"/>
        <v>0</v>
      </c>
      <c r="AK243">
        <f t="shared" si="305"/>
        <v>0</v>
      </c>
      <c r="AL243">
        <f t="shared" si="306"/>
        <v>0</v>
      </c>
      <c r="AM243">
        <f t="shared" si="307"/>
        <v>0</v>
      </c>
      <c r="AN243">
        <f t="shared" si="308"/>
        <v>0</v>
      </c>
      <c r="AO243">
        <f t="shared" si="309"/>
        <v>0</v>
      </c>
      <c r="AP243">
        <f t="shared" si="310"/>
        <v>0</v>
      </c>
      <c r="AQ243">
        <f t="shared" si="311"/>
        <v>0</v>
      </c>
      <c r="AR243">
        <f t="shared" si="312"/>
        <v>0</v>
      </c>
      <c r="AS243">
        <f t="shared" si="313"/>
        <v>0</v>
      </c>
      <c r="AT243">
        <f t="shared" si="314"/>
        <v>0</v>
      </c>
      <c r="AU243">
        <f t="shared" si="315"/>
        <v>0</v>
      </c>
      <c r="AV243">
        <f t="shared" si="316"/>
        <v>0</v>
      </c>
      <c r="BF243">
        <f t="shared" si="317"/>
        <v>0</v>
      </c>
    </row>
    <row r="244" spans="1:58" ht="15" customHeight="1">
      <c r="A244" s="103"/>
      <c r="B244" s="57"/>
      <c r="C244" s="98" t="s">
        <v>2523</v>
      </c>
      <c r="D244" s="813" t="str">
        <f>IF(CNSIPEE_2024_M2_Secc1!D49="","",CNSIPEE_2024_M2_Secc1!D49)</f>
        <v/>
      </c>
      <c r="E244" s="814"/>
      <c r="F244" s="814"/>
      <c r="G244" s="814"/>
      <c r="H244" s="814"/>
      <c r="I244" s="814"/>
      <c r="J244" s="814"/>
      <c r="K244" s="814"/>
      <c r="L244" s="814"/>
      <c r="M244" s="814"/>
      <c r="N244" s="814"/>
      <c r="O244" s="814"/>
      <c r="P244" s="814"/>
      <c r="Q244" s="814"/>
      <c r="R244" s="815"/>
      <c r="S244" s="100"/>
      <c r="T244" s="100"/>
      <c r="U244" s="100"/>
      <c r="V244" s="100"/>
      <c r="W244" s="100"/>
      <c r="X244" s="100"/>
      <c r="Y244" s="100"/>
      <c r="Z244" s="100"/>
      <c r="AA244" s="100"/>
      <c r="AB244" s="100"/>
      <c r="AC244" s="100"/>
      <c r="AD244" s="100"/>
      <c r="AG244">
        <f t="shared" si="303"/>
        <v>0</v>
      </c>
      <c r="AH244">
        <f t="shared" si="304"/>
        <v>0</v>
      </c>
      <c r="AK244">
        <f t="shared" si="305"/>
        <v>0</v>
      </c>
      <c r="AL244">
        <f t="shared" si="306"/>
        <v>0</v>
      </c>
      <c r="AM244">
        <f t="shared" si="307"/>
        <v>0</v>
      </c>
      <c r="AN244">
        <f t="shared" si="308"/>
        <v>0</v>
      </c>
      <c r="AO244">
        <f t="shared" si="309"/>
        <v>0</v>
      </c>
      <c r="AP244">
        <f t="shared" si="310"/>
        <v>0</v>
      </c>
      <c r="AQ244">
        <f t="shared" si="311"/>
        <v>0</v>
      </c>
      <c r="AR244">
        <f t="shared" si="312"/>
        <v>0</v>
      </c>
      <c r="AS244">
        <f t="shared" si="313"/>
        <v>0</v>
      </c>
      <c r="AT244">
        <f t="shared" si="314"/>
        <v>0</v>
      </c>
      <c r="AU244">
        <f t="shared" si="315"/>
        <v>0</v>
      </c>
      <c r="AV244">
        <f>IF(COUNTIF(AB244:AD244,"NA")=3,0,IF(COUNTA(AB244:AD244)=0,0,IF(OR(AND(AB244=0,AT244&gt;0),AND(AB244="ns",AU244&gt;0),AND(AB244="ns",AT244=0,AU244=0)),1,IF(OR(AND(AB244&gt;0,AT244=2),AND(AB244="ns",AT244=2),AND(AB244="ns",AU244=0,AT244&gt;0),AB244=AU244),0,1))))</f>
        <v>0</v>
      </c>
      <c r="BF244">
        <f t="shared" si="317"/>
        <v>0</v>
      </c>
    </row>
    <row r="245" spans="1:58" ht="15" customHeight="1">
      <c r="A245" s="49"/>
      <c r="B245" s="38"/>
      <c r="C245" s="38"/>
      <c r="D245" s="38"/>
      <c r="E245" s="38"/>
      <c r="F245" s="38"/>
      <c r="G245" s="38"/>
      <c r="H245" s="117"/>
      <c r="R245" s="117" t="s">
        <v>2649</v>
      </c>
      <c r="S245" s="124">
        <f t="shared" ref="S245:AD245" si="318">IF(AND(SUM(S237:S244)=0,COUNTIF(S237:S244,"NS")&gt;0),"NS",IF(AND(SUM(S237:S244)=0,COUNTIF(S237:S244,0)&gt;0),0,IF(AND(SUM(S237:S244)=0,COUNTIF(S237:S244,"NA")&gt;0),"NA",SUM(S237:S244))))</f>
        <v>0</v>
      </c>
      <c r="T245" s="124">
        <f t="shared" si="318"/>
        <v>0</v>
      </c>
      <c r="U245" s="124">
        <f t="shared" si="318"/>
        <v>0</v>
      </c>
      <c r="V245" s="124">
        <f t="shared" si="318"/>
        <v>0</v>
      </c>
      <c r="W245" s="124">
        <f t="shared" si="318"/>
        <v>0</v>
      </c>
      <c r="X245" s="124">
        <f t="shared" si="318"/>
        <v>0</v>
      </c>
      <c r="Y245" s="124">
        <f t="shared" si="318"/>
        <v>0</v>
      </c>
      <c r="Z245" s="124">
        <f t="shared" si="318"/>
        <v>0</v>
      </c>
      <c r="AA245" s="124">
        <f t="shared" si="318"/>
        <v>0</v>
      </c>
      <c r="AB245" s="124">
        <f t="shared" si="318"/>
        <v>0</v>
      </c>
      <c r="AC245" s="124">
        <f t="shared" si="318"/>
        <v>0</v>
      </c>
      <c r="AD245" s="124">
        <f t="shared" si="318"/>
        <v>0</v>
      </c>
      <c r="AG245" s="507">
        <f>SUM(AG237:AG244)</f>
        <v>0</v>
      </c>
      <c r="AH245" s="507">
        <f>SUM(AH237:AH244)</f>
        <v>0</v>
      </c>
      <c r="AK245">
        <f>SUM(AK237:AK244)</f>
        <v>0</v>
      </c>
      <c r="AM245">
        <f>SUM(AM237:AM244)</f>
        <v>0</v>
      </c>
      <c r="AN245">
        <f>SUM(AN237:AN244)</f>
        <v>0</v>
      </c>
      <c r="AP245">
        <f>SUM(AP237:AP244)</f>
        <v>0</v>
      </c>
      <c r="AQ245">
        <f>SUM(AQ237:AQ244)</f>
        <v>0</v>
      </c>
      <c r="AS245">
        <f>SUM(AS237:AS244)</f>
        <v>0</v>
      </c>
      <c r="AT245">
        <f>SUM(AT237:AT244)</f>
        <v>0</v>
      </c>
      <c r="AV245">
        <f>SUM(AV237:AV244)</f>
        <v>0</v>
      </c>
      <c r="BF245" s="506">
        <f>SUM(BF237:BF244)</f>
        <v>0</v>
      </c>
    </row>
    <row r="246" spans="1:58" ht="15" customHeight="1">
      <c r="A246" s="10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c r="AD246" s="38"/>
      <c r="AK246" t="s">
        <v>2650</v>
      </c>
      <c r="AL246" s="405">
        <f>SUM(AM245,AP245,AS245,AV245)</f>
        <v>0</v>
      </c>
      <c r="AM246" t="s">
        <v>2651</v>
      </c>
      <c r="AN246">
        <f>SUM(AK245,AN245,AQ245,AT245)</f>
        <v>0</v>
      </c>
    </row>
    <row r="247" spans="1:58" ht="15" customHeight="1">
      <c r="A247" s="49"/>
      <c r="B247" s="38"/>
      <c r="C247" s="75"/>
      <c r="D247" s="75"/>
      <c r="E247" s="75"/>
      <c r="F247" s="75"/>
      <c r="G247" s="75"/>
      <c r="H247" s="75"/>
      <c r="I247" s="75"/>
      <c r="J247" s="75"/>
      <c r="K247" s="75"/>
      <c r="L247" s="75"/>
      <c r="M247" s="75"/>
      <c r="N247" s="75"/>
      <c r="O247" s="75"/>
      <c r="P247" s="75"/>
      <c r="Q247" s="75"/>
      <c r="R247" s="75"/>
      <c r="S247" s="75"/>
      <c r="T247" s="75"/>
      <c r="U247" s="75"/>
      <c r="V247" s="75"/>
      <c r="W247" s="75"/>
      <c r="X247" s="75"/>
      <c r="Y247" s="75"/>
      <c r="Z247" s="75"/>
      <c r="AA247" s="873" t="s">
        <v>2668</v>
      </c>
      <c r="AB247" s="873"/>
      <c r="AC247" s="873"/>
      <c r="AD247" s="873"/>
      <c r="AK247" t="s">
        <v>2652</v>
      </c>
      <c r="AL247">
        <f>IF(AN246&gt;0,IF(SUM(S245)&gt;=SUM(V245,Y245,AB245),0,1),IF(SUM(S245)&lt;&gt;SUM(V245,Y245,AB245),1,0))</f>
        <v>0</v>
      </c>
      <c r="AM247" t="s">
        <v>2653</v>
      </c>
      <c r="AN247">
        <f>IF(AN246&gt;0,IF(SUM(T245)&gt;=SUM(W245,Z245,AC245),0,1),IF(SUM(T245)&lt;&gt;SUM(W245,Z245,AC245),1,0))</f>
        <v>0</v>
      </c>
      <c r="AO247" t="s">
        <v>2654</v>
      </c>
      <c r="AP247">
        <f>IF(AN246&gt;0,IF(SUM(U245)&gt;=SUM(X245,AA245,AD245),0,1),IF(SUM(U245)&lt;&gt;SUM(X245,AA245,AD245),1,0))</f>
        <v>0</v>
      </c>
    </row>
    <row r="248" spans="1:58" ht="24" customHeight="1">
      <c r="A248" s="49"/>
      <c r="B248" s="38"/>
      <c r="C248" s="797" t="s">
        <v>2581</v>
      </c>
      <c r="D248" s="798"/>
      <c r="E248" s="798"/>
      <c r="F248" s="798"/>
      <c r="G248" s="798"/>
      <c r="H248" s="798"/>
      <c r="I248" s="798"/>
      <c r="J248" s="798"/>
      <c r="K248" s="798"/>
      <c r="L248" s="798"/>
      <c r="M248" s="798"/>
      <c r="N248" s="798"/>
      <c r="O248" s="799"/>
      <c r="P248" s="739" t="s">
        <v>5229</v>
      </c>
      <c r="Q248" s="740"/>
      <c r="R248" s="740"/>
      <c r="S248" s="740"/>
      <c r="T248" s="740"/>
      <c r="U248" s="740"/>
      <c r="V248" s="740"/>
      <c r="W248" s="740"/>
      <c r="X248" s="740"/>
      <c r="Y248" s="740"/>
      <c r="Z248" s="740"/>
      <c r="AA248" s="740"/>
      <c r="AB248" s="740"/>
      <c r="AC248" s="740"/>
      <c r="AD248" s="741"/>
    </row>
    <row r="249" spans="1:58" ht="24" customHeight="1">
      <c r="A249" s="49"/>
      <c r="B249" s="38"/>
      <c r="C249" s="800"/>
      <c r="D249" s="801"/>
      <c r="E249" s="801"/>
      <c r="F249" s="801"/>
      <c r="G249" s="801"/>
      <c r="H249" s="801"/>
      <c r="I249" s="801"/>
      <c r="J249" s="801"/>
      <c r="K249" s="801"/>
      <c r="L249" s="801"/>
      <c r="M249" s="801"/>
      <c r="N249" s="801"/>
      <c r="O249" s="802"/>
      <c r="P249" s="736" t="s">
        <v>4603</v>
      </c>
      <c r="Q249" s="736"/>
      <c r="R249" s="736"/>
      <c r="S249" s="736" t="s">
        <v>4604</v>
      </c>
      <c r="T249" s="736"/>
      <c r="U249" s="736"/>
      <c r="V249" s="736" t="s">
        <v>4605</v>
      </c>
      <c r="W249" s="736"/>
      <c r="X249" s="733"/>
      <c r="Y249" s="736" t="s">
        <v>4606</v>
      </c>
      <c r="Z249" s="736"/>
      <c r="AA249" s="736"/>
      <c r="AB249" s="736" t="s">
        <v>201</v>
      </c>
      <c r="AC249" s="736"/>
      <c r="AD249" s="736"/>
    </row>
    <row r="250" spans="1:58" ht="48" customHeight="1">
      <c r="A250" s="49"/>
      <c r="B250" s="38"/>
      <c r="C250" s="803"/>
      <c r="D250" s="804"/>
      <c r="E250" s="804"/>
      <c r="F250" s="804"/>
      <c r="G250" s="804"/>
      <c r="H250" s="804"/>
      <c r="I250" s="804"/>
      <c r="J250" s="804"/>
      <c r="K250" s="804"/>
      <c r="L250" s="804"/>
      <c r="M250" s="804"/>
      <c r="N250" s="804"/>
      <c r="O250" s="805"/>
      <c r="P250" s="127" t="s">
        <v>2635</v>
      </c>
      <c r="Q250" s="128" t="s">
        <v>2629</v>
      </c>
      <c r="R250" s="128" t="s">
        <v>2630</v>
      </c>
      <c r="S250" s="127" t="s">
        <v>2635</v>
      </c>
      <c r="T250" s="128" t="s">
        <v>2629</v>
      </c>
      <c r="U250" s="128" t="s">
        <v>2630</v>
      </c>
      <c r="V250" s="127" t="s">
        <v>2635</v>
      </c>
      <c r="W250" s="128" t="s">
        <v>2629</v>
      </c>
      <c r="X250" s="128" t="s">
        <v>2630</v>
      </c>
      <c r="Y250" s="127" t="s">
        <v>2635</v>
      </c>
      <c r="Z250" s="128" t="s">
        <v>2629</v>
      </c>
      <c r="AA250" s="128" t="s">
        <v>2630</v>
      </c>
      <c r="AB250" s="127" t="s">
        <v>2635</v>
      </c>
      <c r="AC250" s="128" t="s">
        <v>2629</v>
      </c>
      <c r="AD250" s="128" t="s">
        <v>2630</v>
      </c>
      <c r="AK250" t="s">
        <v>4573</v>
      </c>
      <c r="AL250" t="s">
        <v>2638</v>
      </c>
      <c r="AM250" t="s">
        <v>2639</v>
      </c>
      <c r="AN250" t="s">
        <v>4574</v>
      </c>
      <c r="AO250" t="s">
        <v>2641</v>
      </c>
      <c r="AP250" t="s">
        <v>2642</v>
      </c>
      <c r="AQ250" t="s">
        <v>4575</v>
      </c>
      <c r="AR250" t="s">
        <v>2644</v>
      </c>
      <c r="AS250" t="s">
        <v>2645</v>
      </c>
      <c r="AT250" t="s">
        <v>4576</v>
      </c>
      <c r="AU250" t="s">
        <v>2647</v>
      </c>
      <c r="AV250" t="s">
        <v>2648</v>
      </c>
      <c r="AW250" t="s">
        <v>5177</v>
      </c>
      <c r="AX250" t="s">
        <v>2757</v>
      </c>
      <c r="AY250" t="s">
        <v>2758</v>
      </c>
    </row>
    <row r="251" spans="1:58" ht="15" customHeight="1">
      <c r="A251" s="49"/>
      <c r="B251" s="38"/>
      <c r="C251" s="97" t="s">
        <v>2516</v>
      </c>
      <c r="D251" s="813" t="str">
        <f>IF(CNSIPEE_2024_M2_Secc1!D42="","",CNSIPEE_2024_M2_Secc1!D42)</f>
        <v/>
      </c>
      <c r="E251" s="814"/>
      <c r="F251" s="814"/>
      <c r="G251" s="814"/>
      <c r="H251" s="814"/>
      <c r="I251" s="814"/>
      <c r="J251" s="814"/>
      <c r="K251" s="814"/>
      <c r="L251" s="814"/>
      <c r="M251" s="814"/>
      <c r="N251" s="814"/>
      <c r="O251" s="815"/>
      <c r="P251" s="100"/>
      <c r="Q251" s="100"/>
      <c r="R251" s="100"/>
      <c r="S251" s="100"/>
      <c r="T251" s="100"/>
      <c r="U251" s="100"/>
      <c r="V251" s="100"/>
      <c r="W251" s="100"/>
      <c r="X251" s="100"/>
      <c r="Y251" s="100"/>
      <c r="Z251" s="100"/>
      <c r="AA251" s="100"/>
      <c r="AB251" s="100"/>
      <c r="AC251" s="100"/>
      <c r="AD251" s="100"/>
      <c r="AK251">
        <f t="shared" ref="AK251" si="319">COUNTIF(Q251:R251,"NS")</f>
        <v>0</v>
      </c>
      <c r="AL251">
        <f t="shared" ref="AL251" si="320">SUM(Q251:R251)</f>
        <v>0</v>
      </c>
      <c r="AM251">
        <f>IF(COUNTIF(P251:R251,"NA")=3,0,IF(COUNTA(P251:R251)=0,0,IF(OR(AND(P251=0,AK251&gt;0),AND(P251="ns",AL251&gt;0),AND(P251="ns",AK251=0,AL251=0)),1,IF(OR(AND(P251&gt;0,AK251=2),AND(P251="ns",AK251=2),AND(P251="ns",AL251=0,AK251&gt;0),P251=AL251),0,1))))</f>
        <v>0</v>
      </c>
      <c r="AN251">
        <f t="shared" ref="AN251" si="321">COUNTIF(T251:U251,"NS")</f>
        <v>0</v>
      </c>
      <c r="AO251">
        <f t="shared" ref="AO251" si="322">SUM(T251:U251)</f>
        <v>0</v>
      </c>
      <c r="AP251">
        <f t="shared" ref="AP251" si="323">IF(COUNTIF(S251:U251,"NA")=3,0,IF(COUNTA(S251:U251)=0,0,IF(OR(AND(S251=0,AN251&gt;0),AND(S251="ns",AO251&gt;0),AND(S251="ns",AN251=0,AO251=0)),1,IF(OR(AND(S251&gt;0,AN251=2),AND(S251="ns",AN251=2),AND(S251="ns",AO251=0,AN251&gt;0),S251=AO251),0,1))))</f>
        <v>0</v>
      </c>
      <c r="AQ251">
        <f t="shared" ref="AQ251" si="324">COUNTIF(W251:X251,"NS")</f>
        <v>0</v>
      </c>
      <c r="AR251">
        <f t="shared" ref="AR251" si="325">SUM(W251:X251)</f>
        <v>0</v>
      </c>
      <c r="AS251">
        <f t="shared" ref="AS251" si="326">IF(COUNTIF(V251:X251,"NA")=3,0,IF(COUNTA(V251:X251)=0,0,IF(OR(AND(V251=0,AQ251&gt;0),AND(V251="ns",AR251&gt;0),AND(V251="ns",AQ251=0,AR251=0)),1,IF(OR(AND(V251&gt;0,AQ251=2),AND(V251="ns",AQ251=2),AND(V251="ns",AR251=0,AQ251&gt;0),V251=AR251),0,1))))</f>
        <v>0</v>
      </c>
      <c r="AT251">
        <f t="shared" ref="AT251" si="327">COUNTIF(Z251:AA251,"NS")</f>
        <v>0</v>
      </c>
      <c r="AU251">
        <f t="shared" ref="AU251" si="328">SUM(Z251:AA251)</f>
        <v>0</v>
      </c>
      <c r="AV251">
        <f t="shared" ref="AV251" si="329">IF(COUNTIF(Y251:AA251,"NA")=3,0,IF(COUNTA(Y251:AA251)=0,0,IF(OR(AND(Y251=0,AT251&gt;0),AND(Y251="ns",AU251&gt;0),AND(Y251="ns",AT251=0,AU251=0)),1,IF(OR(AND(Y251&gt;0,AT251=2),AND(Y251="ns",AT251=2),AND(Y251="ns",AU251=0,AT251&gt;0),Y251=AU251),0,1))))</f>
        <v>0</v>
      </c>
      <c r="AW251">
        <f t="shared" ref="AW251" si="330">COUNTIF(AC251:AD251,"NS")</f>
        <v>0</v>
      </c>
      <c r="AX251">
        <f t="shared" ref="AX251" si="331">SUM(AC251:AD251)</f>
        <v>0</v>
      </c>
      <c r="AY251">
        <f t="shared" ref="AY251" si="332">IF(COUNTIF(AB251:AD251,"NA")=3,0,IF(COUNTA(AB251:AD251)=0,0,IF(OR(AND(AB251=0,AW251&gt;0),AND(AB251="ns",AX251&gt;0),AND(AB251="ns",AW251=0,AX251=0)),1,IF(OR(AND(AB251&gt;0,AW251=2),AND(AB251="ns",AW251=2),AND(AB251="ns",AX251=0,AW251&gt;0),AB251=AX251),0,1))))</f>
        <v>0</v>
      </c>
    </row>
    <row r="252" spans="1:58" ht="15" customHeight="1">
      <c r="A252" s="49"/>
      <c r="B252" s="38"/>
      <c r="C252" s="98" t="s">
        <v>2517</v>
      </c>
      <c r="D252" s="813" t="str">
        <f>IF(CNSIPEE_2024_M2_Secc1!D43="","",CNSIPEE_2024_M2_Secc1!D43)</f>
        <v/>
      </c>
      <c r="E252" s="814"/>
      <c r="F252" s="814"/>
      <c r="G252" s="814"/>
      <c r="H252" s="814"/>
      <c r="I252" s="814"/>
      <c r="J252" s="814"/>
      <c r="K252" s="814"/>
      <c r="L252" s="814"/>
      <c r="M252" s="814"/>
      <c r="N252" s="814"/>
      <c r="O252" s="815"/>
      <c r="P252" s="100"/>
      <c r="Q252" s="100"/>
      <c r="R252" s="100"/>
      <c r="S252" s="100"/>
      <c r="T252" s="100"/>
      <c r="U252" s="100"/>
      <c r="V252" s="100"/>
      <c r="W252" s="100"/>
      <c r="X252" s="100"/>
      <c r="Y252" s="100"/>
      <c r="Z252" s="100"/>
      <c r="AA252" s="100"/>
      <c r="AB252" s="100"/>
      <c r="AC252" s="100"/>
      <c r="AD252" s="100"/>
      <c r="AK252">
        <f t="shared" ref="AK252:AK258" si="333">COUNTIF(Q252:R252,"NS")</f>
        <v>0</v>
      </c>
      <c r="AL252">
        <f t="shared" ref="AL252:AL258" si="334">SUM(Q252:R252)</f>
        <v>0</v>
      </c>
      <c r="AM252">
        <f t="shared" ref="AM252:AM258" si="335">IF(COUNTIF(P252:R252,"NA")=3,0,IF(COUNTA(P252:R252)=0,0,IF(OR(AND(P252=0,AK252&gt;0),AND(P252="ns",AL252&gt;0),AND(P252="ns",AK252=0,AL252=0)),1,IF(OR(AND(P252&gt;0,AK252=2),AND(P252="ns",AK252=2),AND(P252="ns",AL252=0,AK252&gt;0),P252=AL252),0,1))))</f>
        <v>0</v>
      </c>
      <c r="AN252">
        <f t="shared" ref="AN252:AN258" si="336">COUNTIF(T252:U252,"NS")</f>
        <v>0</v>
      </c>
      <c r="AO252">
        <f t="shared" ref="AO252:AO258" si="337">SUM(T252:U252)</f>
        <v>0</v>
      </c>
      <c r="AP252">
        <f t="shared" ref="AP252:AP258" si="338">IF(COUNTIF(S252:U252,"NA")=3,0,IF(COUNTA(S252:U252)=0,0,IF(OR(AND(S252=0,AN252&gt;0),AND(S252="ns",AO252&gt;0),AND(S252="ns",AN252=0,AO252=0)),1,IF(OR(AND(S252&gt;0,AN252=2),AND(S252="ns",AN252=2),AND(S252="ns",AO252=0,AN252&gt;0),S252=AO252),0,1))))</f>
        <v>0</v>
      </c>
      <c r="AQ252">
        <f t="shared" ref="AQ252:AQ258" si="339">COUNTIF(W252:X252,"NS")</f>
        <v>0</v>
      </c>
      <c r="AR252">
        <f t="shared" ref="AR252:AR258" si="340">SUM(W252:X252)</f>
        <v>0</v>
      </c>
      <c r="AS252">
        <f t="shared" ref="AS252:AS258" si="341">IF(COUNTIF(V252:X252,"NA")=3,0,IF(COUNTA(V252:X252)=0,0,IF(OR(AND(V252=0,AQ252&gt;0),AND(V252="ns",AR252&gt;0),AND(V252="ns",AQ252=0,AR252=0)),1,IF(OR(AND(V252&gt;0,AQ252=2),AND(V252="ns",AQ252=2),AND(V252="ns",AR252=0,AQ252&gt;0),V252=AR252),0,1))))</f>
        <v>0</v>
      </c>
      <c r="AT252">
        <f t="shared" ref="AT252:AT258" si="342">COUNTIF(Z252:AA252,"NS")</f>
        <v>0</v>
      </c>
      <c r="AU252">
        <f t="shared" ref="AU252:AU258" si="343">SUM(Z252:AA252)</f>
        <v>0</v>
      </c>
      <c r="AV252">
        <f t="shared" ref="AV252:AV258" si="344">IF(COUNTIF(Y252:AA252,"NA")=3,0,IF(COUNTA(Y252:AA252)=0,0,IF(OR(AND(Y252=0,AT252&gt;0),AND(Y252="ns",AU252&gt;0),AND(Y252="ns",AT252=0,AU252=0)),1,IF(OR(AND(Y252&gt;0,AT252=2),AND(Y252="ns",AT252=2),AND(Y252="ns",AU252=0,AT252&gt;0),Y252=AU252),0,1))))</f>
        <v>0</v>
      </c>
      <c r="AW252">
        <f t="shared" ref="AW252:AW258" si="345">COUNTIF(AC252:AD252,"NS")</f>
        <v>0</v>
      </c>
      <c r="AX252">
        <f t="shared" ref="AX252:AX258" si="346">SUM(AC252:AD252)</f>
        <v>0</v>
      </c>
      <c r="AY252">
        <f t="shared" ref="AY252:AY258" si="347">IF(COUNTIF(AB252:AD252,"NA")=3,0,IF(COUNTA(AB252:AD252)=0,0,IF(OR(AND(AB252=0,AW252&gt;0),AND(AB252="ns",AX252&gt;0),AND(AB252="ns",AW252=0,AX252=0)),1,IF(OR(AND(AB252&gt;0,AW252=2),AND(AB252="ns",AW252=2),AND(AB252="ns",AX252=0,AW252&gt;0),AB252=AX252),0,1))))</f>
        <v>0</v>
      </c>
    </row>
    <row r="253" spans="1:58" ht="15" customHeight="1">
      <c r="A253" s="49"/>
      <c r="B253" s="38"/>
      <c r="C253" s="98" t="s">
        <v>2518</v>
      </c>
      <c r="D253" s="813" t="str">
        <f>IF(CNSIPEE_2024_M2_Secc1!D44="","",CNSIPEE_2024_M2_Secc1!D44)</f>
        <v/>
      </c>
      <c r="E253" s="814"/>
      <c r="F253" s="814"/>
      <c r="G253" s="814"/>
      <c r="H253" s="814"/>
      <c r="I253" s="814"/>
      <c r="J253" s="814"/>
      <c r="K253" s="814"/>
      <c r="L253" s="814"/>
      <c r="M253" s="814"/>
      <c r="N253" s="814"/>
      <c r="O253" s="815"/>
      <c r="P253" s="100"/>
      <c r="Q253" s="100"/>
      <c r="R253" s="100"/>
      <c r="S253" s="100"/>
      <c r="T253" s="100"/>
      <c r="U253" s="100"/>
      <c r="V253" s="100"/>
      <c r="W253" s="100"/>
      <c r="X253" s="100"/>
      <c r="Y253" s="100"/>
      <c r="Z253" s="100"/>
      <c r="AA253" s="100"/>
      <c r="AB253" s="100"/>
      <c r="AC253" s="100"/>
      <c r="AD253" s="100"/>
      <c r="AK253">
        <f t="shared" si="333"/>
        <v>0</v>
      </c>
      <c r="AL253">
        <f t="shared" si="334"/>
        <v>0</v>
      </c>
      <c r="AM253">
        <f t="shared" si="335"/>
        <v>0</v>
      </c>
      <c r="AN253">
        <f t="shared" si="336"/>
        <v>0</v>
      </c>
      <c r="AO253">
        <f t="shared" si="337"/>
        <v>0</v>
      </c>
      <c r="AP253">
        <f t="shared" si="338"/>
        <v>0</v>
      </c>
      <c r="AQ253">
        <f t="shared" si="339"/>
        <v>0</v>
      </c>
      <c r="AR253">
        <f t="shared" si="340"/>
        <v>0</v>
      </c>
      <c r="AS253">
        <f t="shared" si="341"/>
        <v>0</v>
      </c>
      <c r="AT253">
        <f t="shared" si="342"/>
        <v>0</v>
      </c>
      <c r="AU253">
        <f t="shared" si="343"/>
        <v>0</v>
      </c>
      <c r="AV253">
        <f t="shared" si="344"/>
        <v>0</v>
      </c>
      <c r="AW253">
        <f t="shared" si="345"/>
        <v>0</v>
      </c>
      <c r="AX253">
        <f t="shared" si="346"/>
        <v>0</v>
      </c>
      <c r="AY253">
        <f t="shared" si="347"/>
        <v>0</v>
      </c>
    </row>
    <row r="254" spans="1:58" ht="15" customHeight="1">
      <c r="A254" s="49"/>
      <c r="B254" s="38"/>
      <c r="C254" s="98" t="s">
        <v>2519</v>
      </c>
      <c r="D254" s="813" t="str">
        <f>IF(CNSIPEE_2024_M2_Secc1!D45="","",CNSIPEE_2024_M2_Secc1!D45)</f>
        <v/>
      </c>
      <c r="E254" s="814"/>
      <c r="F254" s="814"/>
      <c r="G254" s="814"/>
      <c r="H254" s="814"/>
      <c r="I254" s="814"/>
      <c r="J254" s="814"/>
      <c r="K254" s="814"/>
      <c r="L254" s="814"/>
      <c r="M254" s="814"/>
      <c r="N254" s="814"/>
      <c r="O254" s="815"/>
      <c r="P254" s="100"/>
      <c r="Q254" s="100"/>
      <c r="R254" s="100"/>
      <c r="S254" s="100"/>
      <c r="T254" s="100"/>
      <c r="U254" s="100"/>
      <c r="V254" s="100"/>
      <c r="W254" s="100"/>
      <c r="X254" s="100"/>
      <c r="Y254" s="100"/>
      <c r="Z254" s="100"/>
      <c r="AA254" s="100"/>
      <c r="AB254" s="100"/>
      <c r="AC254" s="100"/>
      <c r="AD254" s="100"/>
      <c r="AK254">
        <f t="shared" si="333"/>
        <v>0</v>
      </c>
      <c r="AL254">
        <f t="shared" si="334"/>
        <v>0</v>
      </c>
      <c r="AM254">
        <f t="shared" si="335"/>
        <v>0</v>
      </c>
      <c r="AN254">
        <f t="shared" si="336"/>
        <v>0</v>
      </c>
      <c r="AO254">
        <f t="shared" si="337"/>
        <v>0</v>
      </c>
      <c r="AP254">
        <f t="shared" si="338"/>
        <v>0</v>
      </c>
      <c r="AQ254">
        <f t="shared" si="339"/>
        <v>0</v>
      </c>
      <c r="AR254">
        <f t="shared" si="340"/>
        <v>0</v>
      </c>
      <c r="AS254">
        <f t="shared" si="341"/>
        <v>0</v>
      </c>
      <c r="AT254">
        <f t="shared" si="342"/>
        <v>0</v>
      </c>
      <c r="AU254">
        <f t="shared" si="343"/>
        <v>0</v>
      </c>
      <c r="AV254">
        <f t="shared" si="344"/>
        <v>0</v>
      </c>
      <c r="AW254">
        <f t="shared" si="345"/>
        <v>0</v>
      </c>
      <c r="AX254">
        <f t="shared" si="346"/>
        <v>0</v>
      </c>
      <c r="AY254">
        <f t="shared" si="347"/>
        <v>0</v>
      </c>
    </row>
    <row r="255" spans="1:58" ht="15" customHeight="1">
      <c r="A255" s="103"/>
      <c r="B255" s="57"/>
      <c r="C255" s="98" t="s">
        <v>2520</v>
      </c>
      <c r="D255" s="813" t="str">
        <f>IF(CNSIPEE_2024_M2_Secc1!D46="","",CNSIPEE_2024_M2_Secc1!D46)</f>
        <v/>
      </c>
      <c r="E255" s="814"/>
      <c r="F255" s="814"/>
      <c r="G255" s="814"/>
      <c r="H255" s="814"/>
      <c r="I255" s="814"/>
      <c r="J255" s="814"/>
      <c r="K255" s="814"/>
      <c r="L255" s="814"/>
      <c r="M255" s="814"/>
      <c r="N255" s="814"/>
      <c r="O255" s="815"/>
      <c r="P255" s="100"/>
      <c r="Q255" s="100"/>
      <c r="R255" s="100"/>
      <c r="S255" s="100"/>
      <c r="T255" s="100"/>
      <c r="U255" s="100"/>
      <c r="V255" s="100"/>
      <c r="W255" s="100"/>
      <c r="X255" s="100"/>
      <c r="Y255" s="100"/>
      <c r="Z255" s="100"/>
      <c r="AA255" s="100"/>
      <c r="AB255" s="100"/>
      <c r="AC255" s="100"/>
      <c r="AD255" s="100"/>
      <c r="AK255">
        <f t="shared" si="333"/>
        <v>0</v>
      </c>
      <c r="AL255">
        <f t="shared" si="334"/>
        <v>0</v>
      </c>
      <c r="AM255">
        <f t="shared" si="335"/>
        <v>0</v>
      </c>
      <c r="AN255">
        <f t="shared" si="336"/>
        <v>0</v>
      </c>
      <c r="AO255">
        <f t="shared" si="337"/>
        <v>0</v>
      </c>
      <c r="AP255">
        <f t="shared" si="338"/>
        <v>0</v>
      </c>
      <c r="AQ255">
        <f t="shared" si="339"/>
        <v>0</v>
      </c>
      <c r="AR255">
        <f t="shared" si="340"/>
        <v>0</v>
      </c>
      <c r="AS255">
        <f t="shared" si="341"/>
        <v>0</v>
      </c>
      <c r="AT255">
        <f t="shared" si="342"/>
        <v>0</v>
      </c>
      <c r="AU255">
        <f t="shared" si="343"/>
        <v>0</v>
      </c>
      <c r="AV255">
        <f t="shared" si="344"/>
        <v>0</v>
      </c>
      <c r="AW255">
        <f t="shared" si="345"/>
        <v>0</v>
      </c>
      <c r="AX255">
        <f t="shared" si="346"/>
        <v>0</v>
      </c>
      <c r="AY255">
        <f t="shared" si="347"/>
        <v>0</v>
      </c>
    </row>
    <row r="256" spans="1:58" ht="15" customHeight="1">
      <c r="A256" s="103"/>
      <c r="B256" s="57"/>
      <c r="C256" s="98" t="s">
        <v>2521</v>
      </c>
      <c r="D256" s="813" t="str">
        <f>IF(CNSIPEE_2024_M2_Secc1!D47="","",CNSIPEE_2024_M2_Secc1!D47)</f>
        <v/>
      </c>
      <c r="E256" s="814"/>
      <c r="F256" s="814"/>
      <c r="G256" s="814"/>
      <c r="H256" s="814"/>
      <c r="I256" s="814"/>
      <c r="J256" s="814"/>
      <c r="K256" s="814"/>
      <c r="L256" s="814"/>
      <c r="M256" s="814"/>
      <c r="N256" s="814"/>
      <c r="O256" s="815"/>
      <c r="P256" s="100"/>
      <c r="Q256" s="100"/>
      <c r="R256" s="100"/>
      <c r="S256" s="100"/>
      <c r="T256" s="100"/>
      <c r="U256" s="100"/>
      <c r="V256" s="100"/>
      <c r="W256" s="100"/>
      <c r="X256" s="100"/>
      <c r="Y256" s="100"/>
      <c r="Z256" s="100"/>
      <c r="AA256" s="100"/>
      <c r="AB256" s="100"/>
      <c r="AC256" s="100"/>
      <c r="AD256" s="100"/>
      <c r="AK256">
        <f t="shared" si="333"/>
        <v>0</v>
      </c>
      <c r="AL256">
        <f t="shared" si="334"/>
        <v>0</v>
      </c>
      <c r="AM256">
        <f t="shared" si="335"/>
        <v>0</v>
      </c>
      <c r="AN256">
        <f t="shared" si="336"/>
        <v>0</v>
      </c>
      <c r="AO256">
        <f t="shared" si="337"/>
        <v>0</v>
      </c>
      <c r="AP256">
        <f t="shared" si="338"/>
        <v>0</v>
      </c>
      <c r="AQ256">
        <f t="shared" si="339"/>
        <v>0</v>
      </c>
      <c r="AR256">
        <f t="shared" si="340"/>
        <v>0</v>
      </c>
      <c r="AS256">
        <f t="shared" si="341"/>
        <v>0</v>
      </c>
      <c r="AT256">
        <f t="shared" si="342"/>
        <v>0</v>
      </c>
      <c r="AU256">
        <f t="shared" si="343"/>
        <v>0</v>
      </c>
      <c r="AV256">
        <f t="shared" si="344"/>
        <v>0</v>
      </c>
      <c r="AW256">
        <f t="shared" si="345"/>
        <v>0</v>
      </c>
      <c r="AX256">
        <f t="shared" si="346"/>
        <v>0</v>
      </c>
      <c r="AY256">
        <f t="shared" si="347"/>
        <v>0</v>
      </c>
    </row>
    <row r="257" spans="1:51" ht="15" customHeight="1">
      <c r="A257" s="103"/>
      <c r="B257" s="57"/>
      <c r="C257" s="98" t="s">
        <v>2522</v>
      </c>
      <c r="D257" s="813" t="str">
        <f>IF(CNSIPEE_2024_M2_Secc1!D48="","",CNSIPEE_2024_M2_Secc1!D48)</f>
        <v/>
      </c>
      <c r="E257" s="814"/>
      <c r="F257" s="814"/>
      <c r="G257" s="814"/>
      <c r="H257" s="814"/>
      <c r="I257" s="814"/>
      <c r="J257" s="814"/>
      <c r="K257" s="814"/>
      <c r="L257" s="814"/>
      <c r="M257" s="814"/>
      <c r="N257" s="814"/>
      <c r="O257" s="815"/>
      <c r="P257" s="100"/>
      <c r="Q257" s="100"/>
      <c r="R257" s="100"/>
      <c r="S257" s="100"/>
      <c r="T257" s="100"/>
      <c r="U257" s="100"/>
      <c r="V257" s="100"/>
      <c r="W257" s="100"/>
      <c r="X257" s="100"/>
      <c r="Y257" s="100"/>
      <c r="Z257" s="100"/>
      <c r="AA257" s="100"/>
      <c r="AB257" s="100"/>
      <c r="AC257" s="100"/>
      <c r="AD257" s="100"/>
      <c r="AK257">
        <f t="shared" si="333"/>
        <v>0</v>
      </c>
      <c r="AL257">
        <f t="shared" si="334"/>
        <v>0</v>
      </c>
      <c r="AM257">
        <f t="shared" si="335"/>
        <v>0</v>
      </c>
      <c r="AN257">
        <f t="shared" si="336"/>
        <v>0</v>
      </c>
      <c r="AO257">
        <f t="shared" si="337"/>
        <v>0</v>
      </c>
      <c r="AP257">
        <f t="shared" si="338"/>
        <v>0</v>
      </c>
      <c r="AQ257">
        <f t="shared" si="339"/>
        <v>0</v>
      </c>
      <c r="AR257">
        <f t="shared" si="340"/>
        <v>0</v>
      </c>
      <c r="AS257">
        <f t="shared" si="341"/>
        <v>0</v>
      </c>
      <c r="AT257">
        <f t="shared" si="342"/>
        <v>0</v>
      </c>
      <c r="AU257">
        <f t="shared" si="343"/>
        <v>0</v>
      </c>
      <c r="AV257">
        <f t="shared" si="344"/>
        <v>0</v>
      </c>
      <c r="AW257">
        <f t="shared" si="345"/>
        <v>0</v>
      </c>
      <c r="AX257">
        <f t="shared" si="346"/>
        <v>0</v>
      </c>
      <c r="AY257">
        <f t="shared" si="347"/>
        <v>0</v>
      </c>
    </row>
    <row r="258" spans="1:51" ht="15" customHeight="1">
      <c r="A258" s="103"/>
      <c r="B258" s="57"/>
      <c r="C258" s="98" t="s">
        <v>2523</v>
      </c>
      <c r="D258" s="813" t="str">
        <f>IF(CNSIPEE_2024_M2_Secc1!D49="","",CNSIPEE_2024_M2_Secc1!D49)</f>
        <v/>
      </c>
      <c r="E258" s="814"/>
      <c r="F258" s="814"/>
      <c r="G258" s="814"/>
      <c r="H258" s="814"/>
      <c r="I258" s="814"/>
      <c r="J258" s="814"/>
      <c r="K258" s="814"/>
      <c r="L258" s="814"/>
      <c r="M258" s="814"/>
      <c r="N258" s="814"/>
      <c r="O258" s="815"/>
      <c r="P258" s="100"/>
      <c r="Q258" s="100"/>
      <c r="R258" s="100"/>
      <c r="S258" s="100"/>
      <c r="T258" s="100"/>
      <c r="U258" s="100"/>
      <c r="V258" s="100"/>
      <c r="W258" s="100"/>
      <c r="X258" s="100"/>
      <c r="Y258" s="100"/>
      <c r="Z258" s="100"/>
      <c r="AA258" s="100"/>
      <c r="AB258" s="100"/>
      <c r="AC258" s="100"/>
      <c r="AD258" s="100"/>
      <c r="AK258">
        <f t="shared" si="333"/>
        <v>0</v>
      </c>
      <c r="AL258">
        <f t="shared" si="334"/>
        <v>0</v>
      </c>
      <c r="AM258">
        <f t="shared" si="335"/>
        <v>0</v>
      </c>
      <c r="AN258">
        <f t="shared" si="336"/>
        <v>0</v>
      </c>
      <c r="AO258">
        <f t="shared" si="337"/>
        <v>0</v>
      </c>
      <c r="AP258">
        <f t="shared" si="338"/>
        <v>0</v>
      </c>
      <c r="AQ258">
        <f t="shared" si="339"/>
        <v>0</v>
      </c>
      <c r="AR258">
        <f t="shared" si="340"/>
        <v>0</v>
      </c>
      <c r="AS258">
        <f t="shared" si="341"/>
        <v>0</v>
      </c>
      <c r="AT258">
        <f t="shared" si="342"/>
        <v>0</v>
      </c>
      <c r="AU258">
        <f t="shared" si="343"/>
        <v>0</v>
      </c>
      <c r="AV258">
        <f t="shared" si="344"/>
        <v>0</v>
      </c>
      <c r="AW258">
        <f t="shared" si="345"/>
        <v>0</v>
      </c>
      <c r="AX258">
        <f t="shared" si="346"/>
        <v>0</v>
      </c>
      <c r="AY258">
        <f t="shared" si="347"/>
        <v>0</v>
      </c>
    </row>
    <row r="259" spans="1:51" ht="15" customHeight="1">
      <c r="A259" s="49"/>
      <c r="B259" s="38"/>
      <c r="C259" s="38"/>
      <c r="D259" s="38"/>
      <c r="E259" s="38"/>
      <c r="F259" s="38"/>
      <c r="G259" s="38"/>
      <c r="H259" s="117"/>
      <c r="M259" s="104"/>
      <c r="N259" s="104"/>
      <c r="O259" s="104"/>
      <c r="P259" s="124">
        <f t="shared" ref="P259:AD259" si="348">IF(AND(SUM(P251:P258)=0,COUNTIF(P251:P258,"NS")&gt;0),"NS",IF(AND(SUM(P251:P258)=0,COUNTIF(P251:P258,0)&gt;0),0,IF(AND(SUM(P251:P258)=0,COUNTIF(P251:P258,"NA")&gt;0),"NA",SUM(P251:P258))))</f>
        <v>0</v>
      </c>
      <c r="Q259" s="124">
        <f t="shared" si="348"/>
        <v>0</v>
      </c>
      <c r="R259" s="124">
        <f t="shared" si="348"/>
        <v>0</v>
      </c>
      <c r="S259" s="124">
        <f t="shared" si="348"/>
        <v>0</v>
      </c>
      <c r="T259" s="124">
        <f t="shared" si="348"/>
        <v>0</v>
      </c>
      <c r="U259" s="124">
        <f t="shared" si="348"/>
        <v>0</v>
      </c>
      <c r="V259" s="124">
        <f t="shared" si="348"/>
        <v>0</v>
      </c>
      <c r="W259" s="124">
        <f t="shared" si="348"/>
        <v>0</v>
      </c>
      <c r="X259" s="124">
        <f t="shared" si="348"/>
        <v>0</v>
      </c>
      <c r="Y259" s="124">
        <f t="shared" si="348"/>
        <v>0</v>
      </c>
      <c r="Z259" s="124">
        <f t="shared" si="348"/>
        <v>0</v>
      </c>
      <c r="AA259" s="124">
        <f t="shared" si="348"/>
        <v>0</v>
      </c>
      <c r="AB259" s="124">
        <f t="shared" si="348"/>
        <v>0</v>
      </c>
      <c r="AC259" s="124">
        <f t="shared" si="348"/>
        <v>0</v>
      </c>
      <c r="AD259" s="124">
        <f t="shared" si="348"/>
        <v>0</v>
      </c>
      <c r="AK259">
        <f>SUM(AK251:AK258)</f>
        <v>0</v>
      </c>
      <c r="AM259">
        <f>SUM(AM251:AM258)</f>
        <v>0</v>
      </c>
      <c r="AN259">
        <f>SUM(AN251:AN258)</f>
        <v>0</v>
      </c>
      <c r="AP259">
        <f>SUM(AP251:AP258)</f>
        <v>0</v>
      </c>
      <c r="AQ259">
        <f>SUM(AQ251:AQ258)</f>
        <v>0</v>
      </c>
      <c r="AS259">
        <f>SUM(AS251:AS258)</f>
        <v>0</v>
      </c>
      <c r="AT259">
        <f>SUM(AT251:AT258)</f>
        <v>0</v>
      </c>
      <c r="AV259">
        <f>SUM(AV251:AV258)</f>
        <v>0</v>
      </c>
      <c r="AW259">
        <f>SUM(AW251:AW258)</f>
        <v>0</v>
      </c>
      <c r="AY259">
        <f>SUM(AY251:AY258)</f>
        <v>0</v>
      </c>
    </row>
    <row r="260" spans="1:51" ht="15" customHeight="1">
      <c r="A260" s="10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c r="AA260" s="38"/>
      <c r="AB260" s="38"/>
      <c r="AC260" s="38"/>
      <c r="AD260" s="38"/>
      <c r="AK260" t="s">
        <v>2650</v>
      </c>
      <c r="AL260" s="405">
        <f>SUM(AM259,AP259,AS259,AV259,AY259)</f>
        <v>0</v>
      </c>
      <c r="AM260" t="s">
        <v>2651</v>
      </c>
      <c r="AN260">
        <f>SUM(AK259,AN259,AQ259,AT259,AW259)</f>
        <v>0</v>
      </c>
    </row>
    <row r="261" spans="1:51" ht="24" customHeight="1">
      <c r="A261" s="108"/>
      <c r="B261" s="38"/>
      <c r="C261" s="754" t="s">
        <v>2611</v>
      </c>
      <c r="D261" s="754"/>
      <c r="E261" s="754"/>
      <c r="F261" s="754"/>
      <c r="G261" s="754"/>
      <c r="H261" s="754"/>
      <c r="I261" s="754"/>
      <c r="J261" s="754"/>
      <c r="K261" s="754"/>
      <c r="L261" s="754"/>
      <c r="M261" s="754"/>
      <c r="N261" s="754"/>
      <c r="O261" s="754"/>
      <c r="P261" s="754"/>
      <c r="Q261" s="754"/>
      <c r="R261" s="754"/>
      <c r="S261" s="754"/>
      <c r="T261" s="754"/>
      <c r="U261" s="754"/>
      <c r="V261" s="754"/>
      <c r="W261" s="754"/>
      <c r="X261" s="754"/>
      <c r="Y261" s="754"/>
      <c r="Z261" s="754"/>
      <c r="AA261" s="754"/>
      <c r="AB261" s="754"/>
      <c r="AC261" s="754"/>
      <c r="AD261" s="754"/>
      <c r="AK261" t="s">
        <v>2652</v>
      </c>
      <c r="AL261">
        <f>IF(AN260&gt;0,IF(SUM(P259)&gt;=SUM(S259,V259,Y259,AB259),0,1),IF(SUM(P259)&lt;&gt;SUM(S259,V259,Y259,AB259),1,0))</f>
        <v>0</v>
      </c>
      <c r="AM261" t="s">
        <v>2653</v>
      </c>
      <c r="AN261">
        <f>IF(AN260&gt;0,IF(SUM(Q259)&gt;=SUM(T259,W259,Z259,AC259),0,1),IF(SUM(Q259)&lt;&gt;SUM(T259,W259,Z259,AC259),1,0))</f>
        <v>0</v>
      </c>
      <c r="AO261" t="s">
        <v>2654</v>
      </c>
      <c r="AP261">
        <f>IF(AN260&gt;0,IF(SUM(R259)&gt;=SUM(U259,X259,AA259,AD259),0,1),IF(SUM(R259)&lt;&gt;SUM(U259,X259,AA259,AD259),1,0))</f>
        <v>0</v>
      </c>
    </row>
    <row r="262" spans="1:51" ht="60" customHeight="1">
      <c r="A262" s="108"/>
      <c r="B262" s="38"/>
      <c r="C262" s="851"/>
      <c r="D262" s="851"/>
      <c r="E262" s="851"/>
      <c r="F262" s="851"/>
      <c r="G262" s="851"/>
      <c r="H262" s="851"/>
      <c r="I262" s="851"/>
      <c r="J262" s="851"/>
      <c r="K262" s="851"/>
      <c r="L262" s="851"/>
      <c r="M262" s="851"/>
      <c r="N262" s="851"/>
      <c r="O262" s="851"/>
      <c r="P262" s="851"/>
      <c r="Q262" s="851"/>
      <c r="R262" s="851"/>
      <c r="S262" s="851"/>
      <c r="T262" s="851"/>
      <c r="U262" s="851"/>
      <c r="V262" s="851"/>
      <c r="W262" s="851"/>
      <c r="X262" s="851"/>
      <c r="Y262" s="851"/>
      <c r="Z262" s="851"/>
      <c r="AA262" s="851"/>
      <c r="AB262" s="851"/>
      <c r="AC262" s="851"/>
      <c r="AD262" s="851"/>
      <c r="AK262" t="s">
        <v>5179</v>
      </c>
      <c r="AL262" s="506">
        <f>SUM(AL246,AL260)</f>
        <v>0</v>
      </c>
      <c r="AM262" t="s">
        <v>5180</v>
      </c>
      <c r="AN262">
        <f>SUM(AN246,AN260)</f>
        <v>0</v>
      </c>
    </row>
    <row r="263" spans="1:51" ht="15" customHeight="1">
      <c r="A263" s="108"/>
      <c r="B263" s="794" t="str">
        <f>IF(AG245=0,"","Favor de ingresar toda la información requerida en la pregunta")</f>
        <v/>
      </c>
      <c r="C263" s="794"/>
      <c r="D263" s="794"/>
      <c r="E263" s="794"/>
      <c r="F263" s="794"/>
      <c r="G263" s="794"/>
      <c r="H263" s="794"/>
      <c r="I263" s="794"/>
      <c r="J263" s="794"/>
      <c r="K263" s="794"/>
      <c r="L263" s="794"/>
      <c r="M263" s="794"/>
      <c r="N263" s="794"/>
      <c r="O263" s="794"/>
      <c r="P263" s="794"/>
      <c r="Q263" s="794"/>
      <c r="R263" s="794"/>
      <c r="S263" s="794"/>
      <c r="T263" s="794"/>
      <c r="U263" s="794"/>
      <c r="V263" s="794"/>
      <c r="W263" s="794"/>
      <c r="X263" s="794"/>
      <c r="Y263" s="794"/>
      <c r="Z263" s="794"/>
      <c r="AA263" s="794"/>
      <c r="AB263" s="794"/>
      <c r="AC263" s="794"/>
      <c r="AD263" s="794"/>
      <c r="AE263" s="794"/>
      <c r="AK263" t="s">
        <v>5181</v>
      </c>
      <c r="AL263" s="506">
        <f>IF(AN262&gt;0,IF(SUM(S245)&gt;=SUM(V245,Y245,AB245,P259,S259,V259,Y259,AB259),0,1),IF(SUM(S245)&lt;&gt;SUM(V245,Y245,AB245,P259,S259,V259,Y259,AB259),1,0))</f>
        <v>0</v>
      </c>
      <c r="AM263" t="s">
        <v>5182</v>
      </c>
      <c r="AN263" s="506">
        <f>IF(AN262&gt;0,IF(SUM(T245)&gt;=SUM(W245,Z245,AC245,Q259,T259,W259,Z259,AC259),0,1),IF(SUM(T245)&lt;&gt;SUM(W245,Z245,AC245,Q259,T259,W259,Z259,AC259),1,0))</f>
        <v>0</v>
      </c>
      <c r="AO263" t="s">
        <v>5183</v>
      </c>
      <c r="AP263" s="506">
        <f>IF(AN262&gt;0,IF(SUM(U245)&gt;=SUM(X245,AA245,AD245,R259,U259,X259,AA259,AD259),0,1),IF(SUM(U245)&lt;&gt;SUM(X245,AA245,AD245,R259,U259,X259,AA259,AD259),1,0))</f>
        <v>0</v>
      </c>
    </row>
    <row r="264" spans="1:51" ht="15" customHeight="1">
      <c r="A264" s="176"/>
      <c r="B264" s="1087" t="str">
        <f>IF(SUM(COUNTIF(S237:AD244,"NS"),COUNTIF(P251:AD258,"NS"))&lt;&gt;0,"Alerta: debido a que cuenta con registros NS, debe proporcionar una justificación en el area de comentarios al final de la pregunta","")</f>
        <v/>
      </c>
      <c r="C264" s="1087"/>
      <c r="D264" s="1087"/>
      <c r="E264" s="1087"/>
      <c r="F264" s="1087"/>
      <c r="G264" s="1087"/>
      <c r="H264" s="1087"/>
      <c r="I264" s="1087"/>
      <c r="J264" s="1087"/>
      <c r="K264" s="1087"/>
      <c r="L264" s="1087"/>
      <c r="M264" s="1087"/>
      <c r="N264" s="1087"/>
      <c r="O264" s="1087"/>
      <c r="P264" s="1087"/>
      <c r="Q264" s="1087"/>
      <c r="R264" s="1087"/>
      <c r="S264" s="1087"/>
      <c r="T264" s="1087"/>
      <c r="U264" s="1087"/>
      <c r="V264" s="1087"/>
      <c r="W264" s="1087"/>
      <c r="X264" s="1087"/>
      <c r="Y264" s="1087"/>
      <c r="Z264" s="1087"/>
      <c r="AA264" s="1087"/>
      <c r="AB264" s="1087"/>
      <c r="AC264" s="1087"/>
      <c r="AD264" s="1087"/>
      <c r="AE264" s="1087"/>
    </row>
    <row r="265" spans="1:51" ht="15" customHeight="1">
      <c r="A265" s="176"/>
      <c r="B265" s="1003" t="str">
        <f>IF(AH245&gt;0,"Revise la información capturada, ya que tiene datos ingresados en celdas que están sombreadas","")</f>
        <v/>
      </c>
      <c r="C265" s="1003"/>
      <c r="D265" s="1003"/>
      <c r="E265" s="1003"/>
      <c r="F265" s="1003"/>
      <c r="G265" s="1003"/>
      <c r="H265" s="1003"/>
      <c r="I265" s="1003"/>
      <c r="J265" s="1003"/>
      <c r="K265" s="1003"/>
      <c r="L265" s="1003"/>
      <c r="M265" s="1003"/>
      <c r="N265" s="1003"/>
      <c r="O265" s="1003"/>
      <c r="P265" s="1003"/>
      <c r="Q265" s="1003"/>
      <c r="R265" s="1003"/>
      <c r="S265" s="1003"/>
      <c r="T265" s="1003"/>
      <c r="U265" s="1003"/>
      <c r="V265" s="1003"/>
      <c r="W265" s="1003"/>
      <c r="X265" s="1003"/>
      <c r="Y265" s="1003"/>
      <c r="Z265" s="1003"/>
      <c r="AA265" s="1003"/>
      <c r="AB265" s="1003"/>
      <c r="AC265" s="1003"/>
      <c r="AD265" s="1003"/>
      <c r="AE265" s="1003"/>
    </row>
    <row r="266" spans="1:51" ht="15" customHeight="1">
      <c r="A266" s="176"/>
      <c r="B266" s="1003" t="str">
        <f>IF(OR(AL262&gt;0,AL263&gt;0,AN263&gt;0,AP263&gt;0),"Favor de revisar la suma y consistencia de totales y/o subtotales por filas (numéricos y NS)","")</f>
        <v/>
      </c>
      <c r="C266" s="1003"/>
      <c r="D266" s="1003"/>
      <c r="E266" s="1003"/>
      <c r="F266" s="1003"/>
      <c r="G266" s="1003"/>
      <c r="H266" s="1003"/>
      <c r="I266" s="1003"/>
      <c r="J266" s="1003"/>
      <c r="K266" s="1003"/>
      <c r="L266" s="1003"/>
      <c r="M266" s="1003"/>
      <c r="N266" s="1003"/>
      <c r="O266" s="1003"/>
      <c r="P266" s="1003"/>
      <c r="Q266" s="1003"/>
      <c r="R266" s="1003"/>
      <c r="S266" s="1003"/>
      <c r="T266" s="1003"/>
      <c r="U266" s="1003"/>
      <c r="V266" s="1003"/>
      <c r="W266" s="1003"/>
      <c r="X266" s="1003"/>
      <c r="Y266" s="1003"/>
      <c r="Z266" s="1003"/>
      <c r="AA266" s="1003"/>
      <c r="AB266" s="1003"/>
      <c r="AC266" s="1003"/>
      <c r="AD266" s="1003"/>
      <c r="AE266" s="1003"/>
    </row>
    <row r="267" spans="1:51" ht="15" customHeight="1">
      <c r="A267" s="186"/>
      <c r="B267" s="1003" t="str">
        <f>IF(BF245=0,"","Las cantidades de Hombres y Mujeres por centro especializado debe corresponder con los datos reportados en la preg. 8.1")</f>
        <v/>
      </c>
      <c r="C267" s="1003"/>
      <c r="D267" s="1003"/>
      <c r="E267" s="1003"/>
      <c r="F267" s="1003"/>
      <c r="G267" s="1003"/>
      <c r="H267" s="1003"/>
      <c r="I267" s="1003"/>
      <c r="J267" s="1003"/>
      <c r="K267" s="1003"/>
      <c r="L267" s="1003"/>
      <c r="M267" s="1003"/>
      <c r="N267" s="1003"/>
      <c r="O267" s="1003"/>
      <c r="P267" s="1003"/>
      <c r="Q267" s="1003"/>
      <c r="R267" s="1003"/>
      <c r="S267" s="1003"/>
      <c r="T267" s="1003"/>
      <c r="U267" s="1003"/>
      <c r="V267" s="1003"/>
      <c r="W267" s="1003"/>
      <c r="X267" s="1003"/>
      <c r="Y267" s="1003"/>
      <c r="Z267" s="1003"/>
      <c r="AA267" s="1003"/>
      <c r="AB267" s="1003"/>
      <c r="AC267" s="1003"/>
      <c r="AD267" s="1003"/>
      <c r="AE267" s="1003"/>
    </row>
    <row r="268" spans="1:51" ht="15" customHeight="1">
      <c r="A268" s="186"/>
      <c r="B268" s="105"/>
      <c r="C268" s="105"/>
      <c r="D268" s="105"/>
      <c r="E268" s="105"/>
      <c r="F268" s="105"/>
      <c r="G268" s="105"/>
      <c r="H268" s="105"/>
      <c r="I268" s="105"/>
      <c r="J268" s="105"/>
      <c r="K268" s="105"/>
      <c r="L268" s="105"/>
      <c r="M268" s="105"/>
      <c r="N268" s="105"/>
      <c r="O268" s="105"/>
      <c r="P268" s="105"/>
      <c r="Q268" s="105"/>
      <c r="R268" s="105"/>
      <c r="S268" s="105"/>
      <c r="T268" s="105"/>
      <c r="U268" s="105"/>
      <c r="V268" s="105"/>
      <c r="W268" s="105"/>
      <c r="X268" s="105"/>
      <c r="Y268" s="105"/>
      <c r="Z268" s="105"/>
      <c r="AA268" s="105"/>
      <c r="AB268" s="105"/>
      <c r="AC268" s="105"/>
      <c r="AD268" s="105"/>
    </row>
    <row r="269" spans="1:51" ht="24" customHeight="1">
      <c r="A269" s="108" t="s">
        <v>5230</v>
      </c>
      <c r="B269" s="829" t="s">
        <v>5231</v>
      </c>
      <c r="C269" s="829"/>
      <c r="D269" s="829"/>
      <c r="E269" s="829"/>
      <c r="F269" s="829"/>
      <c r="G269" s="829"/>
      <c r="H269" s="829"/>
      <c r="I269" s="829"/>
      <c r="J269" s="829"/>
      <c r="K269" s="829"/>
      <c r="L269" s="829"/>
      <c r="M269" s="829"/>
      <c r="N269" s="829"/>
      <c r="O269" s="829"/>
      <c r="P269" s="829"/>
      <c r="Q269" s="829"/>
      <c r="R269" s="829"/>
      <c r="S269" s="829"/>
      <c r="T269" s="829"/>
      <c r="U269" s="829"/>
      <c r="V269" s="829"/>
      <c r="W269" s="829"/>
      <c r="X269" s="829"/>
      <c r="Y269" s="829"/>
      <c r="Z269" s="829"/>
      <c r="AA269" s="829"/>
      <c r="AB269" s="829"/>
      <c r="AC269" s="829"/>
      <c r="AD269" s="829"/>
    </row>
    <row r="270" spans="1:51" ht="24" customHeight="1">
      <c r="A270" s="108"/>
      <c r="B270" s="38"/>
      <c r="C270" s="830" t="s">
        <v>5232</v>
      </c>
      <c r="D270" s="830"/>
      <c r="E270" s="830"/>
      <c r="F270" s="830"/>
      <c r="G270" s="830"/>
      <c r="H270" s="830"/>
      <c r="I270" s="830"/>
      <c r="J270" s="830"/>
      <c r="K270" s="830"/>
      <c r="L270" s="830"/>
      <c r="M270" s="830"/>
      <c r="N270" s="830"/>
      <c r="O270" s="830"/>
      <c r="P270" s="830"/>
      <c r="Q270" s="830"/>
      <c r="R270" s="830"/>
      <c r="S270" s="830"/>
      <c r="T270" s="830"/>
      <c r="U270" s="830"/>
      <c r="V270" s="830"/>
      <c r="W270" s="830"/>
      <c r="X270" s="830"/>
      <c r="Y270" s="830"/>
      <c r="Z270" s="830"/>
      <c r="AA270" s="830"/>
      <c r="AB270" s="830"/>
      <c r="AC270" s="830"/>
      <c r="AD270" s="830"/>
    </row>
    <row r="271" spans="1:51" ht="15" customHeight="1">
      <c r="A271" s="10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c r="AA271" s="38"/>
      <c r="AB271" s="38"/>
      <c r="AC271" s="38"/>
      <c r="AD271" s="38"/>
    </row>
    <row r="272" spans="1:51" ht="15" customHeight="1">
      <c r="A272" s="108"/>
      <c r="B272" s="38"/>
      <c r="C272" s="880" t="s">
        <v>4610</v>
      </c>
      <c r="D272" s="880"/>
      <c r="E272" s="880"/>
      <c r="F272" s="880"/>
      <c r="G272" s="880"/>
      <c r="H272" s="880"/>
      <c r="I272" s="880"/>
      <c r="J272" s="880"/>
      <c r="K272" s="880"/>
      <c r="L272" s="880"/>
      <c r="M272" s="732" t="s">
        <v>5166</v>
      </c>
      <c r="N272" s="732"/>
      <c r="O272" s="732"/>
      <c r="P272" s="732"/>
      <c r="Q272" s="732"/>
      <c r="R272" s="732"/>
      <c r="S272" s="732"/>
      <c r="T272" s="732"/>
      <c r="U272" s="732"/>
      <c r="V272" s="732"/>
      <c r="W272" s="732"/>
      <c r="X272" s="732"/>
      <c r="Y272" s="732"/>
      <c r="Z272" s="732"/>
      <c r="AA272" s="732"/>
      <c r="AB272" s="732"/>
      <c r="AC272" s="732"/>
      <c r="AD272" s="732"/>
    </row>
    <row r="273" spans="1:37" ht="15" customHeight="1">
      <c r="A273" s="108"/>
      <c r="B273" s="38"/>
      <c r="C273" s="880"/>
      <c r="D273" s="880"/>
      <c r="E273" s="880"/>
      <c r="F273" s="880"/>
      <c r="G273" s="880"/>
      <c r="H273" s="880"/>
      <c r="I273" s="880"/>
      <c r="J273" s="880"/>
      <c r="K273" s="880"/>
      <c r="L273" s="880"/>
      <c r="M273" s="987" t="s">
        <v>2628</v>
      </c>
      <c r="N273" s="988"/>
      <c r="O273" s="988"/>
      <c r="P273" s="988"/>
      <c r="Q273" s="988"/>
      <c r="R273" s="988"/>
      <c r="S273" s="989" t="s">
        <v>2629</v>
      </c>
      <c r="T273" s="990"/>
      <c r="U273" s="990"/>
      <c r="V273" s="990"/>
      <c r="W273" s="990"/>
      <c r="X273" s="990"/>
      <c r="Y273" s="989" t="s">
        <v>2630</v>
      </c>
      <c r="Z273" s="990"/>
      <c r="AA273" s="990"/>
      <c r="AB273" s="990"/>
      <c r="AC273" s="990"/>
      <c r="AD273" s="990"/>
      <c r="AG273" t="s">
        <v>2586</v>
      </c>
      <c r="AH273" t="s">
        <v>4599</v>
      </c>
      <c r="AI273" t="s">
        <v>2590</v>
      </c>
      <c r="AJ273" t="s">
        <v>3163</v>
      </c>
      <c r="AK273" t="s">
        <v>4564</v>
      </c>
    </row>
    <row r="274" spans="1:37" ht="15" customHeight="1">
      <c r="A274" s="166"/>
      <c r="B274" s="57"/>
      <c r="C274" s="97" t="s">
        <v>2516</v>
      </c>
      <c r="D274" s="813" t="s">
        <v>3099</v>
      </c>
      <c r="E274" s="814"/>
      <c r="F274" s="814"/>
      <c r="G274" s="814"/>
      <c r="H274" s="814"/>
      <c r="I274" s="814"/>
      <c r="J274" s="814"/>
      <c r="K274" s="814"/>
      <c r="L274" s="815"/>
      <c r="M274" s="749"/>
      <c r="N274" s="749"/>
      <c r="O274" s="749"/>
      <c r="P274" s="749"/>
      <c r="Q274" s="749"/>
      <c r="R274" s="749"/>
      <c r="S274" s="749"/>
      <c r="T274" s="749"/>
      <c r="U274" s="749"/>
      <c r="V274" s="749"/>
      <c r="W274" s="749"/>
      <c r="X274" s="749"/>
      <c r="Y274" s="749"/>
      <c r="Z274" s="749"/>
      <c r="AA274" s="749"/>
      <c r="AB274" s="749"/>
      <c r="AC274" s="749"/>
      <c r="AD274" s="749"/>
      <c r="AG274" s="506">
        <f>IF(OR($M$48=0,$M$48="NS",$M$48="NA"),0,IF(COUNTA(M274:AD282)=27,0,1))</f>
        <v>0</v>
      </c>
      <c r="AH274" s="506">
        <f>IF(OR($M$48=0,$M$48="NS",$M$48="NA"),IF(COUNTA(M274:AD282)=0,0,1),0)</f>
        <v>0</v>
      </c>
      <c r="AI274">
        <f t="shared" ref="AI274" si="349">COUNTIF(S274:AD274,"NS")</f>
        <v>0</v>
      </c>
      <c r="AJ274">
        <f t="shared" ref="AJ274" si="350">SUM(S274:AD274)</f>
        <v>0</v>
      </c>
      <c r="AK274">
        <f>IF(COUNTIF(M274:AD274,"NA")=3,0,IF(COUNTA(M274:AD274)=0,0,IF(OR(AND(M274=0,AI274&gt;0),AND(M274="ns",AJ274&gt;0),AND(M274="ns",AI274=0,AJ274=0)),1,IF(OR(AND(M274&gt;0,AI274=2),AND(M274="ns",AI274=2),AND(M274="ns",AJ274=0,AI274&gt;0),M274=AJ274),0,1))))</f>
        <v>0</v>
      </c>
    </row>
    <row r="275" spans="1:37" ht="15" customHeight="1">
      <c r="A275" s="166"/>
      <c r="B275" s="57"/>
      <c r="C275" s="98" t="s">
        <v>2517</v>
      </c>
      <c r="D275" s="813" t="s">
        <v>3102</v>
      </c>
      <c r="E275" s="814"/>
      <c r="F275" s="814"/>
      <c r="G275" s="814"/>
      <c r="H275" s="814"/>
      <c r="I275" s="814"/>
      <c r="J275" s="814"/>
      <c r="K275" s="814"/>
      <c r="L275" s="815"/>
      <c r="M275" s="749"/>
      <c r="N275" s="749"/>
      <c r="O275" s="749"/>
      <c r="P275" s="749"/>
      <c r="Q275" s="749"/>
      <c r="R275" s="749"/>
      <c r="S275" s="749"/>
      <c r="T275" s="749"/>
      <c r="U275" s="749"/>
      <c r="V275" s="749"/>
      <c r="W275" s="749"/>
      <c r="X275" s="749"/>
      <c r="Y275" s="749"/>
      <c r="Z275" s="749"/>
      <c r="AA275" s="749"/>
      <c r="AB275" s="749"/>
      <c r="AC275" s="749"/>
      <c r="AD275" s="749"/>
      <c r="AI275">
        <f t="shared" ref="AI275:AI282" si="351">COUNTIF(S275:AD275,"NS")</f>
        <v>0</v>
      </c>
      <c r="AJ275">
        <f t="shared" ref="AJ275:AJ282" si="352">SUM(S275:AD275)</f>
        <v>0</v>
      </c>
      <c r="AK275">
        <f t="shared" ref="AK275:AK282" si="353">IF(COUNTIF(M275:AD275,"NA")=3,0,IF(COUNTA(M275:AD275)=0,0,IF(OR(AND(M275=0,AI275&gt;0),AND(M275="ns",AJ275&gt;0),AND(M275="ns",AI275=0,AJ275=0)),1,IF(OR(AND(M275&gt;0,AI275=2),AND(M275="ns",AI275=2),AND(M275="ns",AJ275=0,AI275&gt;0),M275=AJ275),0,1))))</f>
        <v>0</v>
      </c>
    </row>
    <row r="276" spans="1:37" ht="15" customHeight="1">
      <c r="A276" s="166"/>
      <c r="B276" s="57"/>
      <c r="C276" s="98" t="s">
        <v>2518</v>
      </c>
      <c r="D276" s="813" t="s">
        <v>3105</v>
      </c>
      <c r="E276" s="814"/>
      <c r="F276" s="814"/>
      <c r="G276" s="814"/>
      <c r="H276" s="814"/>
      <c r="I276" s="814"/>
      <c r="J276" s="814"/>
      <c r="K276" s="814"/>
      <c r="L276" s="815"/>
      <c r="M276" s="749"/>
      <c r="N276" s="749"/>
      <c r="O276" s="749"/>
      <c r="P276" s="749"/>
      <c r="Q276" s="749"/>
      <c r="R276" s="749"/>
      <c r="S276" s="749"/>
      <c r="T276" s="749"/>
      <c r="U276" s="749"/>
      <c r="V276" s="749"/>
      <c r="W276" s="749"/>
      <c r="X276" s="749"/>
      <c r="Y276" s="749"/>
      <c r="Z276" s="749"/>
      <c r="AA276" s="749"/>
      <c r="AB276" s="749"/>
      <c r="AC276" s="749"/>
      <c r="AD276" s="749"/>
      <c r="AI276">
        <f t="shared" si="351"/>
        <v>0</v>
      </c>
      <c r="AJ276">
        <f t="shared" si="352"/>
        <v>0</v>
      </c>
      <c r="AK276">
        <f t="shared" si="353"/>
        <v>0</v>
      </c>
    </row>
    <row r="277" spans="1:37" ht="15" customHeight="1">
      <c r="A277" s="166"/>
      <c r="B277" s="57"/>
      <c r="C277" s="98" t="s">
        <v>2519</v>
      </c>
      <c r="D277" s="813" t="s">
        <v>3108</v>
      </c>
      <c r="E277" s="814"/>
      <c r="F277" s="814"/>
      <c r="G277" s="814"/>
      <c r="H277" s="814"/>
      <c r="I277" s="814"/>
      <c r="J277" s="814"/>
      <c r="K277" s="814"/>
      <c r="L277" s="815"/>
      <c r="M277" s="749"/>
      <c r="N277" s="749"/>
      <c r="O277" s="749"/>
      <c r="P277" s="749"/>
      <c r="Q277" s="749"/>
      <c r="R277" s="749"/>
      <c r="S277" s="749"/>
      <c r="T277" s="749"/>
      <c r="U277" s="749"/>
      <c r="V277" s="749"/>
      <c r="W277" s="749"/>
      <c r="X277" s="749"/>
      <c r="Y277" s="749"/>
      <c r="Z277" s="749"/>
      <c r="AA277" s="749"/>
      <c r="AB277" s="749"/>
      <c r="AC277" s="749"/>
      <c r="AD277" s="749"/>
      <c r="AI277">
        <f t="shared" si="351"/>
        <v>0</v>
      </c>
      <c r="AJ277">
        <f t="shared" si="352"/>
        <v>0</v>
      </c>
      <c r="AK277">
        <f t="shared" si="353"/>
        <v>0</v>
      </c>
    </row>
    <row r="278" spans="1:37" ht="15" customHeight="1">
      <c r="A278" s="166"/>
      <c r="B278" s="57"/>
      <c r="C278" s="98" t="s">
        <v>2520</v>
      </c>
      <c r="D278" s="813" t="s">
        <v>3111</v>
      </c>
      <c r="E278" s="814"/>
      <c r="F278" s="814"/>
      <c r="G278" s="814"/>
      <c r="H278" s="814"/>
      <c r="I278" s="814"/>
      <c r="J278" s="814"/>
      <c r="K278" s="814"/>
      <c r="L278" s="815"/>
      <c r="M278" s="749"/>
      <c r="N278" s="749"/>
      <c r="O278" s="749"/>
      <c r="P278" s="749"/>
      <c r="Q278" s="749"/>
      <c r="R278" s="749"/>
      <c r="S278" s="749"/>
      <c r="T278" s="749"/>
      <c r="U278" s="749"/>
      <c r="V278" s="749"/>
      <c r="W278" s="749"/>
      <c r="X278" s="749"/>
      <c r="Y278" s="749"/>
      <c r="Z278" s="749"/>
      <c r="AA278" s="749"/>
      <c r="AB278" s="749"/>
      <c r="AC278" s="749"/>
      <c r="AD278" s="749"/>
      <c r="AI278">
        <f t="shared" si="351"/>
        <v>0</v>
      </c>
      <c r="AJ278">
        <f t="shared" si="352"/>
        <v>0</v>
      </c>
      <c r="AK278">
        <f t="shared" si="353"/>
        <v>0</v>
      </c>
    </row>
    <row r="279" spans="1:37" ht="15" customHeight="1">
      <c r="A279" s="166"/>
      <c r="B279" s="57"/>
      <c r="C279" s="98" t="s">
        <v>2521</v>
      </c>
      <c r="D279" s="813" t="s">
        <v>3114</v>
      </c>
      <c r="E279" s="814"/>
      <c r="F279" s="814"/>
      <c r="G279" s="814"/>
      <c r="H279" s="814"/>
      <c r="I279" s="814"/>
      <c r="J279" s="814"/>
      <c r="K279" s="814"/>
      <c r="L279" s="815"/>
      <c r="M279" s="749"/>
      <c r="N279" s="749"/>
      <c r="O279" s="749"/>
      <c r="P279" s="749"/>
      <c r="Q279" s="749"/>
      <c r="R279" s="749"/>
      <c r="S279" s="749"/>
      <c r="T279" s="749"/>
      <c r="U279" s="749"/>
      <c r="V279" s="749"/>
      <c r="W279" s="749"/>
      <c r="X279" s="749"/>
      <c r="Y279" s="749"/>
      <c r="Z279" s="749"/>
      <c r="AA279" s="749"/>
      <c r="AB279" s="749"/>
      <c r="AC279" s="749"/>
      <c r="AD279" s="749"/>
      <c r="AI279">
        <f t="shared" si="351"/>
        <v>0</v>
      </c>
      <c r="AJ279">
        <f t="shared" si="352"/>
        <v>0</v>
      </c>
      <c r="AK279">
        <f t="shared" si="353"/>
        <v>0</v>
      </c>
    </row>
    <row r="280" spans="1:37" ht="15" customHeight="1">
      <c r="A280" s="166"/>
      <c r="B280" s="57"/>
      <c r="C280" s="98" t="s">
        <v>2522</v>
      </c>
      <c r="D280" s="813" t="s">
        <v>3117</v>
      </c>
      <c r="E280" s="814"/>
      <c r="F280" s="814"/>
      <c r="G280" s="814"/>
      <c r="H280" s="814"/>
      <c r="I280" s="814"/>
      <c r="J280" s="814"/>
      <c r="K280" s="814"/>
      <c r="L280" s="815"/>
      <c r="M280" s="749"/>
      <c r="N280" s="749"/>
      <c r="O280" s="749"/>
      <c r="P280" s="749"/>
      <c r="Q280" s="749"/>
      <c r="R280" s="749"/>
      <c r="S280" s="749"/>
      <c r="T280" s="749"/>
      <c r="U280" s="749"/>
      <c r="V280" s="749"/>
      <c r="W280" s="749"/>
      <c r="X280" s="749"/>
      <c r="Y280" s="749"/>
      <c r="Z280" s="749"/>
      <c r="AA280" s="749"/>
      <c r="AB280" s="749"/>
      <c r="AC280" s="749"/>
      <c r="AD280" s="749"/>
      <c r="AI280">
        <f t="shared" si="351"/>
        <v>0</v>
      </c>
      <c r="AJ280">
        <f t="shared" si="352"/>
        <v>0</v>
      </c>
      <c r="AK280">
        <f t="shared" si="353"/>
        <v>0</v>
      </c>
    </row>
    <row r="281" spans="1:37" ht="15" customHeight="1">
      <c r="A281" s="166"/>
      <c r="B281" s="57"/>
      <c r="C281" s="98" t="s">
        <v>2523</v>
      </c>
      <c r="D281" s="813" t="s">
        <v>3120</v>
      </c>
      <c r="E281" s="814"/>
      <c r="F281" s="814"/>
      <c r="G281" s="814"/>
      <c r="H281" s="814"/>
      <c r="I281" s="814"/>
      <c r="J281" s="814"/>
      <c r="K281" s="814"/>
      <c r="L281" s="815"/>
      <c r="M281" s="749"/>
      <c r="N281" s="749"/>
      <c r="O281" s="749"/>
      <c r="P281" s="749"/>
      <c r="Q281" s="749"/>
      <c r="R281" s="749"/>
      <c r="S281" s="749"/>
      <c r="T281" s="749"/>
      <c r="U281" s="749"/>
      <c r="V281" s="749"/>
      <c r="W281" s="749"/>
      <c r="X281" s="749"/>
      <c r="Y281" s="749"/>
      <c r="Z281" s="749"/>
      <c r="AA281" s="749"/>
      <c r="AB281" s="749"/>
      <c r="AC281" s="749"/>
      <c r="AD281" s="749"/>
      <c r="AI281">
        <f t="shared" si="351"/>
        <v>0</v>
      </c>
      <c r="AJ281">
        <f t="shared" si="352"/>
        <v>0</v>
      </c>
      <c r="AK281">
        <f t="shared" si="353"/>
        <v>0</v>
      </c>
    </row>
    <row r="282" spans="1:37" ht="15" customHeight="1">
      <c r="A282" s="166"/>
      <c r="B282" s="57"/>
      <c r="C282" s="98" t="s">
        <v>2524</v>
      </c>
      <c r="D282" s="813" t="s">
        <v>201</v>
      </c>
      <c r="E282" s="814"/>
      <c r="F282" s="814"/>
      <c r="G282" s="814"/>
      <c r="H282" s="814"/>
      <c r="I282" s="814"/>
      <c r="J282" s="814"/>
      <c r="K282" s="814"/>
      <c r="L282" s="815"/>
      <c r="M282" s="749"/>
      <c r="N282" s="749"/>
      <c r="O282" s="749"/>
      <c r="P282" s="749"/>
      <c r="Q282" s="749"/>
      <c r="R282" s="749"/>
      <c r="S282" s="749"/>
      <c r="T282" s="749"/>
      <c r="U282" s="749"/>
      <c r="V282" s="749"/>
      <c r="W282" s="749"/>
      <c r="X282" s="749"/>
      <c r="Y282" s="749"/>
      <c r="Z282" s="749"/>
      <c r="AA282" s="749"/>
      <c r="AB282" s="749"/>
      <c r="AC282" s="749"/>
      <c r="AD282" s="749"/>
      <c r="AI282">
        <f t="shared" si="351"/>
        <v>0</v>
      </c>
      <c r="AJ282">
        <f t="shared" si="352"/>
        <v>0</v>
      </c>
      <c r="AK282">
        <f t="shared" si="353"/>
        <v>0</v>
      </c>
    </row>
    <row r="283" spans="1:37" ht="15" customHeight="1">
      <c r="A283" s="108"/>
      <c r="B283" s="38"/>
      <c r="C283" s="38"/>
      <c r="D283" s="38"/>
      <c r="E283" s="38"/>
      <c r="F283" s="38"/>
      <c r="G283" s="38"/>
      <c r="H283" s="38"/>
      <c r="I283" s="38"/>
      <c r="J283" s="38"/>
      <c r="K283" s="38"/>
      <c r="L283" s="117" t="s">
        <v>2649</v>
      </c>
      <c r="M283" s="736">
        <f>IF(AND(SUM(M274:M282)=0,COUNTIF(M274:M282,"NS")&gt;0),"NS",IF(AND(SUM(M274:M282)=0,COUNTIF(M274:M282,0)&gt;0),0,IF(AND(SUM(M274:M282)=0,COUNTIF(M274:M282,"NA")&gt;0),"NA",SUM(M274:M282))))</f>
        <v>0</v>
      </c>
      <c r="N283" s="736"/>
      <c r="O283" s="736"/>
      <c r="P283" s="736"/>
      <c r="Q283" s="736"/>
      <c r="R283" s="736"/>
      <c r="S283" s="736">
        <f t="shared" ref="S283" si="354">IF(AND(SUM(S274:S282)=0,COUNTIF(S274:S282,"NS")&gt;0),"NS",IF(AND(SUM(S274:S282)=0,COUNTIF(S274:S282,0)&gt;0),0,IF(AND(SUM(S274:S282)=0,COUNTIF(S274:S282,"NA")&gt;0),"NA",SUM(S274:S282))))</f>
        <v>0</v>
      </c>
      <c r="T283" s="736"/>
      <c r="U283" s="736"/>
      <c r="V283" s="736"/>
      <c r="W283" s="736"/>
      <c r="X283" s="736"/>
      <c r="Y283" s="736">
        <f>IF(AND(SUM(Y274:Y282)=0,COUNTIF(Y274:Y282,"NS")&gt;0),"NS",IF(AND(SUM(Y274:Y282)=0,COUNTIF(Y274:Y282,0)&gt;0),0,IF(AND(SUM(Y274:Y282)=0,COUNTIF(Y274:Y282,"NA")&gt;0),"NA",SUM(Y274:Y282))))</f>
        <v>0</v>
      </c>
      <c r="Z283" s="736"/>
      <c r="AA283" s="736"/>
      <c r="AB283" s="736"/>
      <c r="AC283" s="736"/>
      <c r="AD283" s="736"/>
      <c r="AK283" s="506">
        <f>SUM(AK274:AK282)</f>
        <v>0</v>
      </c>
    </row>
    <row r="284" spans="1:37" ht="15" customHeight="1">
      <c r="A284" s="10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c r="AA284" s="38"/>
      <c r="AB284" s="38"/>
      <c r="AC284" s="38"/>
      <c r="AD284" s="38"/>
    </row>
    <row r="285" spans="1:37" ht="24" customHeight="1">
      <c r="A285" s="108"/>
      <c r="B285" s="38"/>
      <c r="C285" s="754" t="s">
        <v>2611</v>
      </c>
      <c r="D285" s="754"/>
      <c r="E285" s="754"/>
      <c r="F285" s="754"/>
      <c r="G285" s="754"/>
      <c r="H285" s="754"/>
      <c r="I285" s="754"/>
      <c r="J285" s="754"/>
      <c r="K285" s="754"/>
      <c r="L285" s="754"/>
      <c r="M285" s="754"/>
      <c r="N285" s="754"/>
      <c r="O285" s="754"/>
      <c r="P285" s="754"/>
      <c r="Q285" s="754"/>
      <c r="R285" s="754"/>
      <c r="S285" s="754"/>
      <c r="T285" s="754"/>
      <c r="U285" s="754"/>
      <c r="V285" s="754"/>
      <c r="W285" s="754"/>
      <c r="X285" s="754"/>
      <c r="Y285" s="754"/>
      <c r="Z285" s="754"/>
      <c r="AA285" s="754"/>
      <c r="AB285" s="754"/>
      <c r="AC285" s="754"/>
      <c r="AD285" s="754"/>
    </row>
    <row r="286" spans="1:37" ht="60" customHeight="1">
      <c r="A286" s="108"/>
      <c r="B286" s="38"/>
      <c r="C286" s="851"/>
      <c r="D286" s="851"/>
      <c r="E286" s="851"/>
      <c r="F286" s="851"/>
      <c r="G286" s="851"/>
      <c r="H286" s="851"/>
      <c r="I286" s="851"/>
      <c r="J286" s="851"/>
      <c r="K286" s="851"/>
      <c r="L286" s="851"/>
      <c r="M286" s="851"/>
      <c r="N286" s="851"/>
      <c r="O286" s="851"/>
      <c r="P286" s="851"/>
      <c r="Q286" s="851"/>
      <c r="R286" s="851"/>
      <c r="S286" s="851"/>
      <c r="T286" s="851"/>
      <c r="U286" s="851"/>
      <c r="V286" s="851"/>
      <c r="W286" s="851"/>
      <c r="X286" s="851"/>
      <c r="Y286" s="851"/>
      <c r="Z286" s="851"/>
      <c r="AA286" s="851"/>
      <c r="AB286" s="851"/>
      <c r="AC286" s="851"/>
      <c r="AD286" s="851"/>
    </row>
    <row r="287" spans="1:37" ht="15" customHeight="1">
      <c r="A287" s="108"/>
      <c r="B287" s="794" t="str">
        <f>IF(AG274=0,"","Favor de ingresar toda la información requerida en la pregunta")</f>
        <v/>
      </c>
      <c r="C287" s="794"/>
      <c r="D287" s="794"/>
      <c r="E287" s="794"/>
      <c r="F287" s="794"/>
      <c r="G287" s="794"/>
      <c r="H287" s="794"/>
      <c r="I287" s="794"/>
      <c r="J287" s="794"/>
      <c r="K287" s="794"/>
      <c r="L287" s="794"/>
      <c r="M287" s="794"/>
      <c r="N287" s="794"/>
      <c r="O287" s="794"/>
      <c r="P287" s="794"/>
      <c r="Q287" s="794"/>
      <c r="R287" s="794"/>
      <c r="S287" s="794"/>
      <c r="T287" s="794"/>
      <c r="U287" s="794"/>
      <c r="V287" s="794"/>
      <c r="W287" s="794"/>
      <c r="X287" s="794"/>
      <c r="Y287" s="794"/>
      <c r="Z287" s="794"/>
      <c r="AA287" s="794"/>
      <c r="AB287" s="794"/>
      <c r="AC287" s="794"/>
      <c r="AD287" s="794"/>
      <c r="AE287" s="794"/>
    </row>
    <row r="288" spans="1:37" ht="15" customHeight="1">
      <c r="A288" s="176"/>
      <c r="B288" s="1087" t="str">
        <f>IF(OR($M48=0,$M48="NS",$M48="NA"),"",IF(COUNTIF(M274:AD282,"NS")&lt;&gt;0,"Alerta: debido a que cuenta con registros NS, debe proporcionar una justificación en el area de comentarios al final de la pregunta",""))</f>
        <v/>
      </c>
      <c r="C288" s="1087"/>
      <c r="D288" s="1087"/>
      <c r="E288" s="1087"/>
      <c r="F288" s="1087"/>
      <c r="G288" s="1087"/>
      <c r="H288" s="1087"/>
      <c r="I288" s="1087"/>
      <c r="J288" s="1087"/>
      <c r="K288" s="1087"/>
      <c r="L288" s="1087"/>
      <c r="M288" s="1087"/>
      <c r="N288" s="1087"/>
      <c r="O288" s="1087"/>
      <c r="P288" s="1087"/>
      <c r="Q288" s="1087"/>
      <c r="R288" s="1087"/>
      <c r="S288" s="1087"/>
      <c r="T288" s="1087"/>
      <c r="U288" s="1087"/>
      <c r="V288" s="1087"/>
      <c r="W288" s="1087"/>
      <c r="X288" s="1087"/>
      <c r="Y288" s="1087"/>
      <c r="Z288" s="1087"/>
      <c r="AA288" s="1087"/>
      <c r="AB288" s="1087"/>
      <c r="AC288" s="1087"/>
      <c r="AD288" s="1087"/>
      <c r="AE288" s="1087"/>
    </row>
    <row r="289" spans="1:37" ht="15" customHeight="1">
      <c r="A289" s="176"/>
      <c r="B289" s="1003" t="str">
        <f>IF(AH274&gt;0,"Revise la información capturada, ya que tiene datos ingresados en celdas que están sombreadas","")</f>
        <v/>
      </c>
      <c r="C289" s="1003"/>
      <c r="D289" s="1003"/>
      <c r="E289" s="1003"/>
      <c r="F289" s="1003"/>
      <c r="G289" s="1003"/>
      <c r="H289" s="1003"/>
      <c r="I289" s="1003"/>
      <c r="J289" s="1003"/>
      <c r="K289" s="1003"/>
      <c r="L289" s="1003"/>
      <c r="M289" s="1003"/>
      <c r="N289" s="1003"/>
      <c r="O289" s="1003"/>
      <c r="P289" s="1003"/>
      <c r="Q289" s="1003"/>
      <c r="R289" s="1003"/>
      <c r="S289" s="1003"/>
      <c r="T289" s="1003"/>
      <c r="U289" s="1003"/>
      <c r="V289" s="1003"/>
      <c r="W289" s="1003"/>
      <c r="X289" s="1003"/>
      <c r="Y289" s="1003"/>
      <c r="Z289" s="1003"/>
      <c r="AA289" s="1003"/>
      <c r="AB289" s="1003"/>
      <c r="AC289" s="1003"/>
      <c r="AD289" s="1003"/>
      <c r="AE289" s="1003"/>
    </row>
    <row r="290" spans="1:37" ht="15" customHeight="1">
      <c r="A290" s="176"/>
      <c r="B290" s="1003" t="str">
        <f>IF(OR($M48=0,$M48="NS",$M48="NA"),"",IF(AK283&gt;0,"Favor de revisar la suma y consistencia de totales y/o subtotales por filas (numéricos y NS)",""))</f>
        <v/>
      </c>
      <c r="C290" s="1003"/>
      <c r="D290" s="1003"/>
      <c r="E290" s="1003"/>
      <c r="F290" s="1003"/>
      <c r="G290" s="1003"/>
      <c r="H290" s="1003"/>
      <c r="I290" s="1003"/>
      <c r="J290" s="1003"/>
      <c r="K290" s="1003"/>
      <c r="L290" s="1003"/>
      <c r="M290" s="1003"/>
      <c r="N290" s="1003"/>
      <c r="O290" s="1003"/>
      <c r="P290" s="1003"/>
      <c r="Q290" s="1003"/>
      <c r="R290" s="1003"/>
      <c r="S290" s="1003"/>
      <c r="T290" s="1003"/>
      <c r="U290" s="1003"/>
      <c r="V290" s="1003"/>
      <c r="W290" s="1003"/>
      <c r="X290" s="1003"/>
      <c r="Y290" s="1003"/>
      <c r="Z290" s="1003"/>
      <c r="AA290" s="1003"/>
      <c r="AB290" s="1003"/>
      <c r="AC290" s="1003"/>
      <c r="AD290" s="1003"/>
      <c r="AE290" s="1003"/>
    </row>
    <row r="291" spans="1:37" ht="15" customHeight="1">
      <c r="A291" s="108"/>
      <c r="B291" s="1003" t="str">
        <f>IF(OR($M48=0,$M48="NS",$M48="NA"),"",IF(AND($M$48=M283,$S$48=S283,$Y$48=Y283),"","Las cantidades de Hombres y Mujeres debe corresponder con los datos reportados en la preg. 8.1"))</f>
        <v/>
      </c>
      <c r="C291" s="1003"/>
      <c r="D291" s="1003"/>
      <c r="E291" s="1003"/>
      <c r="F291" s="1003"/>
      <c r="G291" s="1003"/>
      <c r="H291" s="1003"/>
      <c r="I291" s="1003"/>
      <c r="J291" s="1003"/>
      <c r="K291" s="1003"/>
      <c r="L291" s="1003"/>
      <c r="M291" s="1003"/>
      <c r="N291" s="1003"/>
      <c r="O291" s="1003"/>
      <c r="P291" s="1003"/>
      <c r="Q291" s="1003"/>
      <c r="R291" s="1003"/>
      <c r="S291" s="1003"/>
      <c r="T291" s="1003"/>
      <c r="U291" s="1003"/>
      <c r="V291" s="1003"/>
      <c r="W291" s="1003"/>
      <c r="X291" s="1003"/>
      <c r="Y291" s="1003"/>
      <c r="Z291" s="1003"/>
      <c r="AA291" s="1003"/>
      <c r="AB291" s="1003"/>
      <c r="AC291" s="1003"/>
      <c r="AD291" s="1003"/>
      <c r="AE291" s="1003"/>
    </row>
    <row r="292" spans="1:37" ht="15" customHeight="1">
      <c r="A292" s="10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c r="AA292" s="38"/>
      <c r="AB292" s="38"/>
      <c r="AC292" s="38"/>
      <c r="AD292" s="38"/>
    </row>
    <row r="293" spans="1:37" ht="24" customHeight="1">
      <c r="A293" s="108" t="s">
        <v>5233</v>
      </c>
      <c r="B293" s="829" t="s">
        <v>5234</v>
      </c>
      <c r="C293" s="829"/>
      <c r="D293" s="829"/>
      <c r="E293" s="829"/>
      <c r="F293" s="829"/>
      <c r="G293" s="829"/>
      <c r="H293" s="829"/>
      <c r="I293" s="829"/>
      <c r="J293" s="829"/>
      <c r="K293" s="829"/>
      <c r="L293" s="829"/>
      <c r="M293" s="829"/>
      <c r="N293" s="829"/>
      <c r="O293" s="829"/>
      <c r="P293" s="829"/>
      <c r="Q293" s="829"/>
      <c r="R293" s="829"/>
      <c r="S293" s="829"/>
      <c r="T293" s="829"/>
      <c r="U293" s="829"/>
      <c r="V293" s="829"/>
      <c r="W293" s="829"/>
      <c r="X293" s="829"/>
      <c r="Y293" s="829"/>
      <c r="Z293" s="829"/>
      <c r="AA293" s="829"/>
      <c r="AB293" s="829"/>
      <c r="AC293" s="829"/>
      <c r="AD293" s="829"/>
    </row>
    <row r="294" spans="1:37" ht="15" customHeight="1">
      <c r="A294" s="10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c r="AA294" s="38"/>
      <c r="AB294" s="38"/>
      <c r="AC294" s="38"/>
      <c r="AD294" s="38"/>
    </row>
    <row r="295" spans="1:37" ht="15" customHeight="1">
      <c r="A295" s="108"/>
      <c r="B295" s="38"/>
      <c r="C295" s="880" t="s">
        <v>4613</v>
      </c>
      <c r="D295" s="880"/>
      <c r="E295" s="880"/>
      <c r="F295" s="880"/>
      <c r="G295" s="880"/>
      <c r="H295" s="880"/>
      <c r="I295" s="880"/>
      <c r="J295" s="880"/>
      <c r="K295" s="880"/>
      <c r="L295" s="880"/>
      <c r="M295" s="732" t="s">
        <v>5166</v>
      </c>
      <c r="N295" s="732"/>
      <c r="O295" s="732"/>
      <c r="P295" s="732"/>
      <c r="Q295" s="732"/>
      <c r="R295" s="732"/>
      <c r="S295" s="732"/>
      <c r="T295" s="732"/>
      <c r="U295" s="732"/>
      <c r="V295" s="732"/>
      <c r="W295" s="732"/>
      <c r="X295" s="732"/>
      <c r="Y295" s="732"/>
      <c r="Z295" s="732"/>
      <c r="AA295" s="732"/>
      <c r="AB295" s="732"/>
      <c r="AC295" s="732"/>
      <c r="AD295" s="732"/>
    </row>
    <row r="296" spans="1:37" ht="15" customHeight="1">
      <c r="A296" s="108"/>
      <c r="B296" s="38"/>
      <c r="C296" s="880"/>
      <c r="D296" s="880"/>
      <c r="E296" s="880"/>
      <c r="F296" s="880"/>
      <c r="G296" s="880"/>
      <c r="H296" s="880"/>
      <c r="I296" s="880"/>
      <c r="J296" s="880"/>
      <c r="K296" s="880"/>
      <c r="L296" s="880"/>
      <c r="M296" s="987" t="s">
        <v>2628</v>
      </c>
      <c r="N296" s="988"/>
      <c r="O296" s="988"/>
      <c r="P296" s="988"/>
      <c r="Q296" s="988"/>
      <c r="R296" s="988"/>
      <c r="S296" s="989" t="s">
        <v>2629</v>
      </c>
      <c r="T296" s="990"/>
      <c r="U296" s="990"/>
      <c r="V296" s="990"/>
      <c r="W296" s="990"/>
      <c r="X296" s="990"/>
      <c r="Y296" s="989" t="s">
        <v>2630</v>
      </c>
      <c r="Z296" s="990"/>
      <c r="AA296" s="990"/>
      <c r="AB296" s="990"/>
      <c r="AC296" s="990"/>
      <c r="AD296" s="990"/>
      <c r="AG296" t="s">
        <v>2586</v>
      </c>
      <c r="AH296" t="s">
        <v>4599</v>
      </c>
      <c r="AI296" t="s">
        <v>2590</v>
      </c>
      <c r="AJ296" t="s">
        <v>3163</v>
      </c>
      <c r="AK296" t="s">
        <v>4564</v>
      </c>
    </row>
    <row r="297" spans="1:37" ht="15" customHeight="1">
      <c r="A297" s="108"/>
      <c r="B297" s="38"/>
      <c r="C297" s="97" t="s">
        <v>2516</v>
      </c>
      <c r="D297" s="813" t="s">
        <v>4614</v>
      </c>
      <c r="E297" s="814"/>
      <c r="F297" s="814"/>
      <c r="G297" s="814"/>
      <c r="H297" s="814"/>
      <c r="I297" s="814"/>
      <c r="J297" s="814"/>
      <c r="K297" s="814"/>
      <c r="L297" s="815"/>
      <c r="M297" s="749"/>
      <c r="N297" s="749"/>
      <c r="O297" s="749"/>
      <c r="P297" s="749"/>
      <c r="Q297" s="749"/>
      <c r="R297" s="749"/>
      <c r="S297" s="749"/>
      <c r="T297" s="749"/>
      <c r="U297" s="749"/>
      <c r="V297" s="749"/>
      <c r="W297" s="749"/>
      <c r="X297" s="749"/>
      <c r="Y297" s="749"/>
      <c r="Z297" s="749"/>
      <c r="AA297" s="749"/>
      <c r="AB297" s="749"/>
      <c r="AC297" s="749"/>
      <c r="AD297" s="749"/>
      <c r="AG297" s="506">
        <f>IF(OR($M$48=0,$M$48="NS",$M$48="NA"),0,IF(COUNTBLANK(M297:AD316)=300,0,1))</f>
        <v>0</v>
      </c>
      <c r="AH297" s="506">
        <f>IF(OR($M$48=0,$M$48="NS",$M$48="NA"),IF(COUNTBLANK(M297:AD316)=360,0,1),0)</f>
        <v>0</v>
      </c>
      <c r="AI297">
        <f t="shared" ref="AI297" si="355">COUNTIF(S297:AD297,"NS")</f>
        <v>0</v>
      </c>
      <c r="AJ297">
        <f t="shared" ref="AJ297" si="356">SUM(S297:AD297)</f>
        <v>0</v>
      </c>
      <c r="AK297">
        <f>IF(COUNTIF(M297:AD297,"NA")=3,0,IF(COUNTA(M297:AD297)=0,0,IF(OR(AND(M297=0,AI297&gt;0),AND(M297="ns",AJ297&gt;0),AND(M297="ns",AI297=0,AJ297=0)),1,IF(OR(AND(M297&gt;0,AI297=2),AND(M297="ns",AI297=2),AND(M297="ns",AJ297=0,AI297&gt;0),M297=AJ297),0,1))))</f>
        <v>0</v>
      </c>
    </row>
    <row r="298" spans="1:37" ht="15" customHeight="1">
      <c r="A298" s="108"/>
      <c r="B298" s="38"/>
      <c r="C298" s="98" t="s">
        <v>2517</v>
      </c>
      <c r="D298" s="813" t="s">
        <v>4615</v>
      </c>
      <c r="E298" s="814"/>
      <c r="F298" s="814"/>
      <c r="G298" s="814"/>
      <c r="H298" s="814"/>
      <c r="I298" s="814"/>
      <c r="J298" s="814"/>
      <c r="K298" s="814"/>
      <c r="L298" s="815"/>
      <c r="M298" s="749"/>
      <c r="N298" s="749"/>
      <c r="O298" s="749"/>
      <c r="P298" s="749"/>
      <c r="Q298" s="749"/>
      <c r="R298" s="749"/>
      <c r="S298" s="749"/>
      <c r="T298" s="749"/>
      <c r="U298" s="749"/>
      <c r="V298" s="749"/>
      <c r="W298" s="749"/>
      <c r="X298" s="749"/>
      <c r="Y298" s="749"/>
      <c r="Z298" s="749"/>
      <c r="AA298" s="749"/>
      <c r="AB298" s="749"/>
      <c r="AC298" s="749"/>
      <c r="AD298" s="749"/>
      <c r="AI298">
        <f t="shared" ref="AI298:AI316" si="357">COUNTIF(S298:AD298,"NS")</f>
        <v>0</v>
      </c>
      <c r="AJ298">
        <f t="shared" ref="AJ298:AJ316" si="358">SUM(S298:AD298)</f>
        <v>0</v>
      </c>
      <c r="AK298">
        <f t="shared" ref="AK298:AK316" si="359">IF(COUNTIF(M298:AD298,"NA")=3,0,IF(COUNTA(M298:AD298)=0,0,IF(OR(AND(M298=0,AI298&gt;0),AND(M298="ns",AJ298&gt;0),AND(M298="ns",AI298=0,AJ298=0)),1,IF(OR(AND(M298&gt;0,AI298=2),AND(M298="ns",AI298=2),AND(M298="ns",AJ298=0,AI298&gt;0),M298=AJ298),0,1))))</f>
        <v>0</v>
      </c>
    </row>
    <row r="299" spans="1:37" ht="15" customHeight="1">
      <c r="A299" s="108"/>
      <c r="B299" s="38"/>
      <c r="C299" s="98" t="s">
        <v>2518</v>
      </c>
      <c r="D299" s="813" t="s">
        <v>4616</v>
      </c>
      <c r="E299" s="814"/>
      <c r="F299" s="814"/>
      <c r="G299" s="814"/>
      <c r="H299" s="814"/>
      <c r="I299" s="814"/>
      <c r="J299" s="814"/>
      <c r="K299" s="814"/>
      <c r="L299" s="815"/>
      <c r="M299" s="749"/>
      <c r="N299" s="749"/>
      <c r="O299" s="749"/>
      <c r="P299" s="749"/>
      <c r="Q299" s="749"/>
      <c r="R299" s="749"/>
      <c r="S299" s="749"/>
      <c r="T299" s="749"/>
      <c r="U299" s="749"/>
      <c r="V299" s="749"/>
      <c r="W299" s="749"/>
      <c r="X299" s="749"/>
      <c r="Y299" s="749"/>
      <c r="Z299" s="749"/>
      <c r="AA299" s="749"/>
      <c r="AB299" s="749"/>
      <c r="AC299" s="749"/>
      <c r="AD299" s="749"/>
      <c r="AI299">
        <f t="shared" si="357"/>
        <v>0</v>
      </c>
      <c r="AJ299">
        <f t="shared" si="358"/>
        <v>0</v>
      </c>
      <c r="AK299">
        <f t="shared" si="359"/>
        <v>0</v>
      </c>
    </row>
    <row r="300" spans="1:37" ht="15" customHeight="1">
      <c r="A300" s="108"/>
      <c r="B300" s="38"/>
      <c r="C300" s="98" t="s">
        <v>2519</v>
      </c>
      <c r="D300" s="813" t="s">
        <v>4617</v>
      </c>
      <c r="E300" s="814"/>
      <c r="F300" s="814"/>
      <c r="G300" s="814"/>
      <c r="H300" s="814"/>
      <c r="I300" s="814"/>
      <c r="J300" s="814"/>
      <c r="K300" s="814"/>
      <c r="L300" s="815"/>
      <c r="M300" s="749"/>
      <c r="N300" s="749"/>
      <c r="O300" s="749"/>
      <c r="P300" s="749"/>
      <c r="Q300" s="749"/>
      <c r="R300" s="749"/>
      <c r="S300" s="749"/>
      <c r="T300" s="749"/>
      <c r="U300" s="749"/>
      <c r="V300" s="749"/>
      <c r="W300" s="749"/>
      <c r="X300" s="749"/>
      <c r="Y300" s="749"/>
      <c r="Z300" s="749"/>
      <c r="AA300" s="749"/>
      <c r="AB300" s="749"/>
      <c r="AC300" s="749"/>
      <c r="AD300" s="749"/>
      <c r="AI300">
        <f t="shared" si="357"/>
        <v>0</v>
      </c>
      <c r="AJ300">
        <f t="shared" si="358"/>
        <v>0</v>
      </c>
      <c r="AK300">
        <f t="shared" si="359"/>
        <v>0</v>
      </c>
    </row>
    <row r="301" spans="1:37" ht="15" customHeight="1">
      <c r="A301" s="108"/>
      <c r="B301" s="38"/>
      <c r="C301" s="98" t="s">
        <v>2520</v>
      </c>
      <c r="D301" s="813" t="s">
        <v>4618</v>
      </c>
      <c r="E301" s="814"/>
      <c r="F301" s="814"/>
      <c r="G301" s="814"/>
      <c r="H301" s="814"/>
      <c r="I301" s="814"/>
      <c r="J301" s="814"/>
      <c r="K301" s="814"/>
      <c r="L301" s="815"/>
      <c r="M301" s="749"/>
      <c r="N301" s="749"/>
      <c r="O301" s="749"/>
      <c r="P301" s="749"/>
      <c r="Q301" s="749"/>
      <c r="R301" s="749"/>
      <c r="S301" s="749"/>
      <c r="T301" s="749"/>
      <c r="U301" s="749"/>
      <c r="V301" s="749"/>
      <c r="W301" s="749"/>
      <c r="X301" s="749"/>
      <c r="Y301" s="749"/>
      <c r="Z301" s="749"/>
      <c r="AA301" s="749"/>
      <c r="AB301" s="749"/>
      <c r="AC301" s="749"/>
      <c r="AD301" s="749"/>
      <c r="AI301">
        <f t="shared" si="357"/>
        <v>0</v>
      </c>
      <c r="AJ301">
        <f t="shared" si="358"/>
        <v>0</v>
      </c>
      <c r="AK301">
        <f t="shared" si="359"/>
        <v>0</v>
      </c>
    </row>
    <row r="302" spans="1:37" ht="15" customHeight="1">
      <c r="A302" s="108"/>
      <c r="B302" s="38"/>
      <c r="C302" s="98" t="s">
        <v>2521</v>
      </c>
      <c r="D302" s="813" t="s">
        <v>4619</v>
      </c>
      <c r="E302" s="814"/>
      <c r="F302" s="814"/>
      <c r="G302" s="814"/>
      <c r="H302" s="814"/>
      <c r="I302" s="814"/>
      <c r="J302" s="814"/>
      <c r="K302" s="814"/>
      <c r="L302" s="815"/>
      <c r="M302" s="749"/>
      <c r="N302" s="749"/>
      <c r="O302" s="749"/>
      <c r="P302" s="749"/>
      <c r="Q302" s="749"/>
      <c r="R302" s="749"/>
      <c r="S302" s="749"/>
      <c r="T302" s="749"/>
      <c r="U302" s="749"/>
      <c r="V302" s="749"/>
      <c r="W302" s="749"/>
      <c r="X302" s="749"/>
      <c r="Y302" s="749"/>
      <c r="Z302" s="749"/>
      <c r="AA302" s="749"/>
      <c r="AB302" s="749"/>
      <c r="AC302" s="749"/>
      <c r="AD302" s="749"/>
      <c r="AI302">
        <f t="shared" si="357"/>
        <v>0</v>
      </c>
      <c r="AJ302">
        <f t="shared" si="358"/>
        <v>0</v>
      </c>
      <c r="AK302">
        <f t="shared" si="359"/>
        <v>0</v>
      </c>
    </row>
    <row r="303" spans="1:37" ht="15" customHeight="1">
      <c r="A303" s="108"/>
      <c r="B303" s="38"/>
      <c r="C303" s="98" t="s">
        <v>2522</v>
      </c>
      <c r="D303" s="813" t="s">
        <v>4620</v>
      </c>
      <c r="E303" s="814"/>
      <c r="F303" s="814"/>
      <c r="G303" s="814"/>
      <c r="H303" s="814"/>
      <c r="I303" s="814"/>
      <c r="J303" s="814"/>
      <c r="K303" s="814"/>
      <c r="L303" s="815"/>
      <c r="M303" s="749"/>
      <c r="N303" s="749"/>
      <c r="O303" s="749"/>
      <c r="P303" s="749"/>
      <c r="Q303" s="749"/>
      <c r="R303" s="749"/>
      <c r="S303" s="749"/>
      <c r="T303" s="749"/>
      <c r="U303" s="749"/>
      <c r="V303" s="749"/>
      <c r="W303" s="749"/>
      <c r="X303" s="749"/>
      <c r="Y303" s="749"/>
      <c r="Z303" s="749"/>
      <c r="AA303" s="749"/>
      <c r="AB303" s="749"/>
      <c r="AC303" s="749"/>
      <c r="AD303" s="749"/>
      <c r="AI303">
        <f t="shared" si="357"/>
        <v>0</v>
      </c>
      <c r="AJ303">
        <f t="shared" si="358"/>
        <v>0</v>
      </c>
      <c r="AK303">
        <f t="shared" si="359"/>
        <v>0</v>
      </c>
    </row>
    <row r="304" spans="1:37" ht="15" customHeight="1">
      <c r="A304" s="108"/>
      <c r="B304" s="38"/>
      <c r="C304" s="98" t="s">
        <v>2523</v>
      </c>
      <c r="D304" s="813" t="s">
        <v>4621</v>
      </c>
      <c r="E304" s="814"/>
      <c r="F304" s="814"/>
      <c r="G304" s="814"/>
      <c r="H304" s="814"/>
      <c r="I304" s="814"/>
      <c r="J304" s="814"/>
      <c r="K304" s="814"/>
      <c r="L304" s="815"/>
      <c r="M304" s="749"/>
      <c r="N304" s="749"/>
      <c r="O304" s="749"/>
      <c r="P304" s="749"/>
      <c r="Q304" s="749"/>
      <c r="R304" s="749"/>
      <c r="S304" s="749"/>
      <c r="T304" s="749"/>
      <c r="U304" s="749"/>
      <c r="V304" s="749"/>
      <c r="W304" s="749"/>
      <c r="X304" s="749"/>
      <c r="Y304" s="749"/>
      <c r="Z304" s="749"/>
      <c r="AA304" s="749"/>
      <c r="AB304" s="749"/>
      <c r="AC304" s="749"/>
      <c r="AD304" s="749"/>
      <c r="AI304">
        <f t="shared" si="357"/>
        <v>0</v>
      </c>
      <c r="AJ304">
        <f t="shared" si="358"/>
        <v>0</v>
      </c>
      <c r="AK304">
        <f t="shared" si="359"/>
        <v>0</v>
      </c>
    </row>
    <row r="305" spans="1:37" ht="15" customHeight="1">
      <c r="A305" s="108"/>
      <c r="B305" s="38"/>
      <c r="C305" s="98" t="s">
        <v>2524</v>
      </c>
      <c r="D305" s="813" t="s">
        <v>4622</v>
      </c>
      <c r="E305" s="814"/>
      <c r="F305" s="814"/>
      <c r="G305" s="814"/>
      <c r="H305" s="814"/>
      <c r="I305" s="814"/>
      <c r="J305" s="814"/>
      <c r="K305" s="814"/>
      <c r="L305" s="815"/>
      <c r="M305" s="749"/>
      <c r="N305" s="749"/>
      <c r="O305" s="749"/>
      <c r="P305" s="749"/>
      <c r="Q305" s="749"/>
      <c r="R305" s="749"/>
      <c r="S305" s="749"/>
      <c r="T305" s="749"/>
      <c r="U305" s="749"/>
      <c r="V305" s="749"/>
      <c r="W305" s="749"/>
      <c r="X305" s="749"/>
      <c r="Y305" s="749"/>
      <c r="Z305" s="749"/>
      <c r="AA305" s="749"/>
      <c r="AB305" s="749"/>
      <c r="AC305" s="749"/>
      <c r="AD305" s="749"/>
      <c r="AI305">
        <f t="shared" si="357"/>
        <v>0</v>
      </c>
      <c r="AJ305">
        <f t="shared" si="358"/>
        <v>0</v>
      </c>
      <c r="AK305">
        <f t="shared" si="359"/>
        <v>0</v>
      </c>
    </row>
    <row r="306" spans="1:37" ht="15" customHeight="1">
      <c r="A306" s="186"/>
      <c r="B306" s="57"/>
      <c r="C306" s="98" t="s">
        <v>2525</v>
      </c>
      <c r="D306" s="813" t="s">
        <v>4623</v>
      </c>
      <c r="E306" s="814"/>
      <c r="F306" s="814"/>
      <c r="G306" s="814"/>
      <c r="H306" s="814"/>
      <c r="I306" s="814"/>
      <c r="J306" s="814"/>
      <c r="K306" s="814"/>
      <c r="L306" s="815"/>
      <c r="M306" s="749"/>
      <c r="N306" s="749"/>
      <c r="O306" s="749"/>
      <c r="P306" s="749"/>
      <c r="Q306" s="749"/>
      <c r="R306" s="749"/>
      <c r="S306" s="749"/>
      <c r="T306" s="749"/>
      <c r="U306" s="749"/>
      <c r="V306" s="749"/>
      <c r="W306" s="749"/>
      <c r="X306" s="749"/>
      <c r="Y306" s="749"/>
      <c r="Z306" s="749"/>
      <c r="AA306" s="749"/>
      <c r="AB306" s="749"/>
      <c r="AC306" s="749"/>
      <c r="AD306" s="749"/>
      <c r="AI306">
        <f t="shared" si="357"/>
        <v>0</v>
      </c>
      <c r="AJ306">
        <f t="shared" si="358"/>
        <v>0</v>
      </c>
      <c r="AK306">
        <f t="shared" si="359"/>
        <v>0</v>
      </c>
    </row>
    <row r="307" spans="1:37" ht="15" customHeight="1">
      <c r="A307" s="186"/>
      <c r="B307" s="57"/>
      <c r="C307" s="98" t="s">
        <v>2526</v>
      </c>
      <c r="D307" s="813" t="s">
        <v>4624</v>
      </c>
      <c r="E307" s="814"/>
      <c r="F307" s="814"/>
      <c r="G307" s="814"/>
      <c r="H307" s="814"/>
      <c r="I307" s="814"/>
      <c r="J307" s="814"/>
      <c r="K307" s="814"/>
      <c r="L307" s="815"/>
      <c r="M307" s="749"/>
      <c r="N307" s="749"/>
      <c r="O307" s="749"/>
      <c r="P307" s="749"/>
      <c r="Q307" s="749"/>
      <c r="R307" s="749"/>
      <c r="S307" s="749"/>
      <c r="T307" s="749"/>
      <c r="U307" s="749"/>
      <c r="V307" s="749"/>
      <c r="W307" s="749"/>
      <c r="X307" s="749"/>
      <c r="Y307" s="749"/>
      <c r="Z307" s="749"/>
      <c r="AA307" s="749"/>
      <c r="AB307" s="749"/>
      <c r="AC307" s="749"/>
      <c r="AD307" s="749"/>
      <c r="AI307">
        <f t="shared" si="357"/>
        <v>0</v>
      </c>
      <c r="AJ307">
        <f t="shared" si="358"/>
        <v>0</v>
      </c>
      <c r="AK307">
        <f t="shared" si="359"/>
        <v>0</v>
      </c>
    </row>
    <row r="308" spans="1:37" ht="15" customHeight="1">
      <c r="A308" s="186"/>
      <c r="B308" s="57"/>
      <c r="C308" s="98" t="s">
        <v>2527</v>
      </c>
      <c r="D308" s="813" t="s">
        <v>4625</v>
      </c>
      <c r="E308" s="814"/>
      <c r="F308" s="814"/>
      <c r="G308" s="814"/>
      <c r="H308" s="814"/>
      <c r="I308" s="814"/>
      <c r="J308" s="814"/>
      <c r="K308" s="814"/>
      <c r="L308" s="815"/>
      <c r="M308" s="749"/>
      <c r="N308" s="749"/>
      <c r="O308" s="749"/>
      <c r="P308" s="749"/>
      <c r="Q308" s="749"/>
      <c r="R308" s="749"/>
      <c r="S308" s="749"/>
      <c r="T308" s="749"/>
      <c r="U308" s="749"/>
      <c r="V308" s="749"/>
      <c r="W308" s="749"/>
      <c r="X308" s="749"/>
      <c r="Y308" s="749"/>
      <c r="Z308" s="749"/>
      <c r="AA308" s="749"/>
      <c r="AB308" s="749"/>
      <c r="AC308" s="749"/>
      <c r="AD308" s="749"/>
      <c r="AI308">
        <f t="shared" si="357"/>
        <v>0</v>
      </c>
      <c r="AJ308">
        <f t="shared" si="358"/>
        <v>0</v>
      </c>
      <c r="AK308">
        <f t="shared" si="359"/>
        <v>0</v>
      </c>
    </row>
    <row r="309" spans="1:37" ht="15" customHeight="1">
      <c r="A309" s="186"/>
      <c r="B309" s="57"/>
      <c r="C309" s="98" t="s">
        <v>2528</v>
      </c>
      <c r="D309" s="813" t="s">
        <v>4626</v>
      </c>
      <c r="E309" s="814"/>
      <c r="F309" s="814"/>
      <c r="G309" s="814"/>
      <c r="H309" s="814"/>
      <c r="I309" s="814"/>
      <c r="J309" s="814"/>
      <c r="K309" s="814"/>
      <c r="L309" s="815"/>
      <c r="M309" s="749"/>
      <c r="N309" s="749"/>
      <c r="O309" s="749"/>
      <c r="P309" s="749"/>
      <c r="Q309" s="749"/>
      <c r="R309" s="749"/>
      <c r="S309" s="749"/>
      <c r="T309" s="749"/>
      <c r="U309" s="749"/>
      <c r="V309" s="749"/>
      <c r="W309" s="749"/>
      <c r="X309" s="749"/>
      <c r="Y309" s="749"/>
      <c r="Z309" s="749"/>
      <c r="AA309" s="749"/>
      <c r="AB309" s="749"/>
      <c r="AC309" s="749"/>
      <c r="AD309" s="749"/>
      <c r="AI309">
        <f t="shared" si="357"/>
        <v>0</v>
      </c>
      <c r="AJ309">
        <f t="shared" si="358"/>
        <v>0</v>
      </c>
      <c r="AK309">
        <f t="shared" si="359"/>
        <v>0</v>
      </c>
    </row>
    <row r="310" spans="1:37" ht="24" customHeight="1">
      <c r="A310" s="186"/>
      <c r="B310" s="57"/>
      <c r="C310" s="98" t="s">
        <v>2529</v>
      </c>
      <c r="D310" s="813" t="s">
        <v>4627</v>
      </c>
      <c r="E310" s="814"/>
      <c r="F310" s="814"/>
      <c r="G310" s="814"/>
      <c r="H310" s="814"/>
      <c r="I310" s="814"/>
      <c r="J310" s="814"/>
      <c r="K310" s="814"/>
      <c r="L310" s="815"/>
      <c r="M310" s="749"/>
      <c r="N310" s="749"/>
      <c r="O310" s="749"/>
      <c r="P310" s="749"/>
      <c r="Q310" s="749"/>
      <c r="R310" s="749"/>
      <c r="S310" s="749"/>
      <c r="T310" s="749"/>
      <c r="U310" s="749"/>
      <c r="V310" s="749"/>
      <c r="W310" s="749"/>
      <c r="X310" s="749"/>
      <c r="Y310" s="749"/>
      <c r="Z310" s="749"/>
      <c r="AA310" s="749"/>
      <c r="AB310" s="749"/>
      <c r="AC310" s="749"/>
      <c r="AD310" s="749"/>
      <c r="AI310">
        <f t="shared" si="357"/>
        <v>0</v>
      </c>
      <c r="AJ310">
        <f t="shared" si="358"/>
        <v>0</v>
      </c>
      <c r="AK310">
        <f t="shared" si="359"/>
        <v>0</v>
      </c>
    </row>
    <row r="311" spans="1:37" ht="15" customHeight="1">
      <c r="A311" s="186"/>
      <c r="B311" s="57"/>
      <c r="C311" s="98" t="s">
        <v>2530</v>
      </c>
      <c r="D311" s="813" t="s">
        <v>4628</v>
      </c>
      <c r="E311" s="814"/>
      <c r="F311" s="814"/>
      <c r="G311" s="814"/>
      <c r="H311" s="814"/>
      <c r="I311" s="814"/>
      <c r="J311" s="814"/>
      <c r="K311" s="814"/>
      <c r="L311" s="815"/>
      <c r="M311" s="749"/>
      <c r="N311" s="749"/>
      <c r="O311" s="749"/>
      <c r="P311" s="749"/>
      <c r="Q311" s="749"/>
      <c r="R311" s="749"/>
      <c r="S311" s="749"/>
      <c r="T311" s="749"/>
      <c r="U311" s="749"/>
      <c r="V311" s="749"/>
      <c r="W311" s="749"/>
      <c r="X311" s="749"/>
      <c r="Y311" s="749"/>
      <c r="Z311" s="749"/>
      <c r="AA311" s="749"/>
      <c r="AB311" s="749"/>
      <c r="AC311" s="749"/>
      <c r="AD311" s="749"/>
      <c r="AI311">
        <f t="shared" si="357"/>
        <v>0</v>
      </c>
      <c r="AJ311">
        <f t="shared" si="358"/>
        <v>0</v>
      </c>
      <c r="AK311">
        <f t="shared" si="359"/>
        <v>0</v>
      </c>
    </row>
    <row r="312" spans="1:37" ht="15" customHeight="1">
      <c r="A312" s="186"/>
      <c r="B312" s="57"/>
      <c r="C312" s="98" t="s">
        <v>2531</v>
      </c>
      <c r="D312" s="813" t="s">
        <v>4629</v>
      </c>
      <c r="E312" s="814"/>
      <c r="F312" s="814"/>
      <c r="G312" s="814"/>
      <c r="H312" s="814"/>
      <c r="I312" s="814"/>
      <c r="J312" s="814"/>
      <c r="K312" s="814"/>
      <c r="L312" s="815"/>
      <c r="M312" s="749"/>
      <c r="N312" s="749"/>
      <c r="O312" s="749"/>
      <c r="P312" s="749"/>
      <c r="Q312" s="749"/>
      <c r="R312" s="749"/>
      <c r="S312" s="749"/>
      <c r="T312" s="749"/>
      <c r="U312" s="749"/>
      <c r="V312" s="749"/>
      <c r="W312" s="749"/>
      <c r="X312" s="749"/>
      <c r="Y312" s="749"/>
      <c r="Z312" s="749"/>
      <c r="AA312" s="749"/>
      <c r="AB312" s="749"/>
      <c r="AC312" s="749"/>
      <c r="AD312" s="749"/>
      <c r="AI312">
        <f t="shared" si="357"/>
        <v>0</v>
      </c>
      <c r="AJ312">
        <f t="shared" si="358"/>
        <v>0</v>
      </c>
      <c r="AK312">
        <f t="shared" si="359"/>
        <v>0</v>
      </c>
    </row>
    <row r="313" spans="1:37" ht="15" customHeight="1">
      <c r="A313" s="186"/>
      <c r="B313" s="57"/>
      <c r="C313" s="98" t="s">
        <v>2532</v>
      </c>
      <c r="D313" s="813" t="s">
        <v>4630</v>
      </c>
      <c r="E313" s="814"/>
      <c r="F313" s="814"/>
      <c r="G313" s="814"/>
      <c r="H313" s="814"/>
      <c r="I313" s="814"/>
      <c r="J313" s="814"/>
      <c r="K313" s="814"/>
      <c r="L313" s="815"/>
      <c r="M313" s="749"/>
      <c r="N313" s="749"/>
      <c r="O313" s="749"/>
      <c r="P313" s="749"/>
      <c r="Q313" s="749"/>
      <c r="R313" s="749"/>
      <c r="S313" s="749"/>
      <c r="T313" s="749"/>
      <c r="U313" s="749"/>
      <c r="V313" s="749"/>
      <c r="W313" s="749"/>
      <c r="X313" s="749"/>
      <c r="Y313" s="749"/>
      <c r="Z313" s="749"/>
      <c r="AA313" s="749"/>
      <c r="AB313" s="749"/>
      <c r="AC313" s="749"/>
      <c r="AD313" s="749"/>
      <c r="AI313">
        <f t="shared" si="357"/>
        <v>0</v>
      </c>
      <c r="AJ313">
        <f t="shared" si="358"/>
        <v>0</v>
      </c>
      <c r="AK313">
        <f t="shared" si="359"/>
        <v>0</v>
      </c>
    </row>
    <row r="314" spans="1:37" ht="15" customHeight="1">
      <c r="A314" s="186"/>
      <c r="B314" s="57"/>
      <c r="C314" s="98" t="s">
        <v>2533</v>
      </c>
      <c r="D314" s="813" t="s">
        <v>4631</v>
      </c>
      <c r="E314" s="814"/>
      <c r="F314" s="814"/>
      <c r="G314" s="814"/>
      <c r="H314" s="814"/>
      <c r="I314" s="814"/>
      <c r="J314" s="814"/>
      <c r="K314" s="814"/>
      <c r="L314" s="815"/>
      <c r="M314" s="749"/>
      <c r="N314" s="749"/>
      <c r="O314" s="749"/>
      <c r="P314" s="749"/>
      <c r="Q314" s="749"/>
      <c r="R314" s="749"/>
      <c r="S314" s="749"/>
      <c r="T314" s="749"/>
      <c r="U314" s="749"/>
      <c r="V314" s="749"/>
      <c r="W314" s="749"/>
      <c r="X314" s="749"/>
      <c r="Y314" s="749"/>
      <c r="Z314" s="749"/>
      <c r="AA314" s="749"/>
      <c r="AB314" s="749"/>
      <c r="AC314" s="749"/>
      <c r="AD314" s="749"/>
      <c r="AI314">
        <f t="shared" si="357"/>
        <v>0</v>
      </c>
      <c r="AJ314">
        <f t="shared" si="358"/>
        <v>0</v>
      </c>
      <c r="AK314">
        <f t="shared" si="359"/>
        <v>0</v>
      </c>
    </row>
    <row r="315" spans="1:37" ht="15" customHeight="1">
      <c r="A315" s="186"/>
      <c r="B315" s="57"/>
      <c r="C315" s="98" t="s">
        <v>2534</v>
      </c>
      <c r="D315" s="813" t="s">
        <v>4632</v>
      </c>
      <c r="E315" s="814"/>
      <c r="F315" s="814"/>
      <c r="G315" s="814"/>
      <c r="H315" s="814"/>
      <c r="I315" s="814"/>
      <c r="J315" s="814"/>
      <c r="K315" s="814"/>
      <c r="L315" s="815"/>
      <c r="M315" s="749"/>
      <c r="N315" s="749"/>
      <c r="O315" s="749"/>
      <c r="P315" s="749"/>
      <c r="Q315" s="749"/>
      <c r="R315" s="749"/>
      <c r="S315" s="749"/>
      <c r="T315" s="749"/>
      <c r="U315" s="749"/>
      <c r="V315" s="749"/>
      <c r="W315" s="749"/>
      <c r="X315" s="749"/>
      <c r="Y315" s="749"/>
      <c r="Z315" s="749"/>
      <c r="AA315" s="749"/>
      <c r="AB315" s="749"/>
      <c r="AC315" s="749"/>
      <c r="AD315" s="749"/>
      <c r="AI315">
        <f t="shared" si="357"/>
        <v>0</v>
      </c>
      <c r="AJ315">
        <f t="shared" si="358"/>
        <v>0</v>
      </c>
      <c r="AK315">
        <f t="shared" si="359"/>
        <v>0</v>
      </c>
    </row>
    <row r="316" spans="1:37" ht="15" customHeight="1">
      <c r="A316" s="186"/>
      <c r="B316" s="57"/>
      <c r="C316" s="98" t="s">
        <v>2535</v>
      </c>
      <c r="D316" s="813" t="s">
        <v>201</v>
      </c>
      <c r="E316" s="814"/>
      <c r="F316" s="814"/>
      <c r="G316" s="814"/>
      <c r="H316" s="814"/>
      <c r="I316" s="814"/>
      <c r="J316" s="814"/>
      <c r="K316" s="814"/>
      <c r="L316" s="815"/>
      <c r="M316" s="749"/>
      <c r="N316" s="749"/>
      <c r="O316" s="749"/>
      <c r="P316" s="749"/>
      <c r="Q316" s="749"/>
      <c r="R316" s="749"/>
      <c r="S316" s="749"/>
      <c r="T316" s="749"/>
      <c r="U316" s="749"/>
      <c r="V316" s="749"/>
      <c r="W316" s="749"/>
      <c r="X316" s="749"/>
      <c r="Y316" s="749"/>
      <c r="Z316" s="749"/>
      <c r="AA316" s="749"/>
      <c r="AB316" s="749"/>
      <c r="AC316" s="749"/>
      <c r="AD316" s="749"/>
      <c r="AI316">
        <f t="shared" si="357"/>
        <v>0</v>
      </c>
      <c r="AJ316">
        <f t="shared" si="358"/>
        <v>0</v>
      </c>
      <c r="AK316">
        <f t="shared" si="359"/>
        <v>0</v>
      </c>
    </row>
    <row r="317" spans="1:37" ht="15" customHeight="1">
      <c r="A317" s="186"/>
      <c r="B317" s="57"/>
      <c r="C317" s="38"/>
      <c r="D317" s="38"/>
      <c r="E317" s="38"/>
      <c r="F317" s="38"/>
      <c r="G317" s="38"/>
      <c r="H317" s="38"/>
      <c r="I317" s="38"/>
      <c r="J317" s="38"/>
      <c r="K317" s="38"/>
      <c r="L317" s="117" t="s">
        <v>2649</v>
      </c>
      <c r="M317" s="736">
        <f>IF(AND(SUM(M297:M316)=0,COUNTIF(M297:M316,"NS")&gt;0),"NS",IF(AND(SUM(M297:M316)=0,COUNTIF(M297:M316,0)&gt;0),0,IF(AND(SUM(M297:M316)=0,COUNTIF(M297:M316,"NA")&gt;0),"NA",SUM(M297:M316))))</f>
        <v>0</v>
      </c>
      <c r="N317" s="1085"/>
      <c r="O317" s="1085"/>
      <c r="P317" s="1085"/>
      <c r="Q317" s="1085"/>
      <c r="R317" s="1086"/>
      <c r="S317" s="736">
        <f>IF(AND(SUM(S297:S316)=0,COUNTIF(S297:S316,"NS")&gt;0),"NS",IF(AND(SUM(S297:S316)=0,COUNTIF(S297:S316,0)&gt;0),0,IF(AND(SUM(S297:S316)=0,COUNTIF(S297:S316,"NA")&gt;0),"NA",SUM(S297:S316))))</f>
        <v>0</v>
      </c>
      <c r="T317" s="1085"/>
      <c r="U317" s="1085"/>
      <c r="V317" s="1085"/>
      <c r="W317" s="1085"/>
      <c r="X317" s="1086"/>
      <c r="Y317" s="736">
        <f>IF(AND(SUM(Y297:Y316)=0,COUNTIF(Y297:Y316,"NS")&gt;0),"NS",IF(AND(SUM(Y297:Y316)=0,COUNTIF(Y297:Y316,0)&gt;0),0,IF(AND(SUM(Y297:Y316)=0,COUNTIF(Y297:Y316,"NA")&gt;0),"NA",SUM(Y297:Y316))))</f>
        <v>0</v>
      </c>
      <c r="Z317" s="1085"/>
      <c r="AA317" s="1085"/>
      <c r="AB317" s="1085"/>
      <c r="AC317" s="1085"/>
      <c r="AD317" s="1086"/>
      <c r="AI317">
        <f>SUM(AI297:AI316)</f>
        <v>0</v>
      </c>
      <c r="AK317" s="506">
        <f>SUM(AK297:AK316)</f>
        <v>0</v>
      </c>
    </row>
    <row r="318" spans="1:37" ht="15" customHeight="1">
      <c r="A318" s="186"/>
      <c r="B318" s="57"/>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row>
    <row r="319" spans="1:37" ht="24" customHeight="1">
      <c r="A319" s="186"/>
      <c r="B319" s="57"/>
      <c r="C319" s="830" t="s">
        <v>4633</v>
      </c>
      <c r="D319" s="1012"/>
      <c r="E319" s="1012"/>
      <c r="F319" s="1012"/>
      <c r="G319" s="1012"/>
      <c r="H319" s="1012"/>
      <c r="I319" s="1012"/>
      <c r="J319" s="1012"/>
      <c r="K319" s="1012"/>
      <c r="L319" s="1012"/>
      <c r="M319" s="1012"/>
      <c r="N319" s="1012"/>
      <c r="O319" s="1012"/>
      <c r="P319" s="1012"/>
      <c r="Q319" s="1012"/>
      <c r="R319" s="1012"/>
      <c r="S319" s="1012"/>
      <c r="T319" s="1012"/>
      <c r="U319" s="1012"/>
      <c r="V319" s="1012"/>
      <c r="W319" s="1012"/>
      <c r="X319" s="1012"/>
      <c r="Y319" s="1012"/>
      <c r="Z319" s="1012"/>
      <c r="AA319" s="1012"/>
      <c r="AB319" s="1012"/>
      <c r="AC319" s="1012"/>
      <c r="AD319" s="1012"/>
    </row>
    <row r="320" spans="1:37" ht="15" customHeight="1">
      <c r="A320" s="186"/>
      <c r="B320" s="57"/>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c r="AA320" s="38"/>
      <c r="AB320" s="38"/>
      <c r="AC320" s="38"/>
      <c r="AD320" s="38"/>
    </row>
    <row r="321" spans="1:37" ht="24" customHeight="1">
      <c r="A321" s="108"/>
      <c r="B321" s="38"/>
      <c r="C321" s="754" t="s">
        <v>2611</v>
      </c>
      <c r="D321" s="754"/>
      <c r="E321" s="754"/>
      <c r="F321" s="754"/>
      <c r="G321" s="754"/>
      <c r="H321" s="754"/>
      <c r="I321" s="754"/>
      <c r="J321" s="754"/>
      <c r="K321" s="754"/>
      <c r="L321" s="754"/>
      <c r="M321" s="754"/>
      <c r="N321" s="754"/>
      <c r="O321" s="754"/>
      <c r="P321" s="754"/>
      <c r="Q321" s="754"/>
      <c r="R321" s="754"/>
      <c r="S321" s="754"/>
      <c r="T321" s="754"/>
      <c r="U321" s="754"/>
      <c r="V321" s="754"/>
      <c r="W321" s="754"/>
      <c r="X321" s="754"/>
      <c r="Y321" s="754"/>
      <c r="Z321" s="754"/>
      <c r="AA321" s="754"/>
      <c r="AB321" s="754"/>
      <c r="AC321" s="754"/>
      <c r="AD321" s="754"/>
    </row>
    <row r="322" spans="1:37" ht="60" customHeight="1">
      <c r="A322" s="108"/>
      <c r="B322" s="38"/>
      <c r="C322" s="851"/>
      <c r="D322" s="851"/>
      <c r="E322" s="851"/>
      <c r="F322" s="851"/>
      <c r="G322" s="851"/>
      <c r="H322" s="851"/>
      <c r="I322" s="851"/>
      <c r="J322" s="851"/>
      <c r="K322" s="851"/>
      <c r="L322" s="851"/>
      <c r="M322" s="851"/>
      <c r="N322" s="851"/>
      <c r="O322" s="851"/>
      <c r="P322" s="851"/>
      <c r="Q322" s="851"/>
      <c r="R322" s="851"/>
      <c r="S322" s="851"/>
      <c r="T322" s="851"/>
      <c r="U322" s="851"/>
      <c r="V322" s="851"/>
      <c r="W322" s="851"/>
      <c r="X322" s="851"/>
      <c r="Y322" s="851"/>
      <c r="Z322" s="851"/>
      <c r="AA322" s="851"/>
      <c r="AB322" s="851"/>
      <c r="AC322" s="851"/>
      <c r="AD322" s="851"/>
    </row>
    <row r="323" spans="1:37" ht="15" customHeight="1">
      <c r="A323" s="108"/>
      <c r="B323" s="794" t="str">
        <f>IF(AG297=0,"","Favor de ingresar toda la información requerida en la pregunta")</f>
        <v/>
      </c>
      <c r="C323" s="794"/>
      <c r="D323" s="794"/>
      <c r="E323" s="794"/>
      <c r="F323" s="794"/>
      <c r="G323" s="794"/>
      <c r="H323" s="794"/>
      <c r="I323" s="794"/>
      <c r="J323" s="794"/>
      <c r="K323" s="794"/>
      <c r="L323" s="794"/>
      <c r="M323" s="794"/>
      <c r="N323" s="794"/>
      <c r="O323" s="794"/>
      <c r="P323" s="794"/>
      <c r="Q323" s="794"/>
      <c r="R323" s="794"/>
      <c r="S323" s="794"/>
      <c r="T323" s="794"/>
      <c r="U323" s="794"/>
      <c r="V323" s="794"/>
      <c r="W323" s="794"/>
      <c r="X323" s="794"/>
      <c r="Y323" s="794"/>
      <c r="Z323" s="794"/>
      <c r="AA323" s="794"/>
      <c r="AB323" s="794"/>
      <c r="AC323" s="794"/>
      <c r="AD323" s="794"/>
      <c r="AE323" s="794"/>
    </row>
    <row r="324" spans="1:37" ht="15" customHeight="1">
      <c r="A324" s="176"/>
      <c r="B324" s="1087" t="str">
        <f>IF(OR($M48=0,$M48="NS",$M48="NA"),"",IF(COUNTIF(M297:AD316,"NS")&lt;&gt;0,"Alerta: debido a que cuenta con registros NS, debe proporcionar una justificación en el area de comentarios al final de la pregunta",""))</f>
        <v/>
      </c>
      <c r="C324" s="1087"/>
      <c r="D324" s="1087"/>
      <c r="E324" s="1087"/>
      <c r="F324" s="1087"/>
      <c r="G324" s="1087"/>
      <c r="H324" s="1087"/>
      <c r="I324" s="1087"/>
      <c r="J324" s="1087"/>
      <c r="K324" s="1087"/>
      <c r="L324" s="1087"/>
      <c r="M324" s="1087"/>
      <c r="N324" s="1087"/>
      <c r="O324" s="1087"/>
      <c r="P324" s="1087"/>
      <c r="Q324" s="1087"/>
      <c r="R324" s="1087"/>
      <c r="S324" s="1087"/>
      <c r="T324" s="1087"/>
      <c r="U324" s="1087"/>
      <c r="V324" s="1087"/>
      <c r="W324" s="1087"/>
      <c r="X324" s="1087"/>
      <c r="Y324" s="1087"/>
      <c r="Z324" s="1087"/>
      <c r="AA324" s="1087"/>
      <c r="AB324" s="1087"/>
      <c r="AC324" s="1087"/>
      <c r="AD324" s="1087"/>
      <c r="AE324" s="1087"/>
    </row>
    <row r="325" spans="1:37" ht="15" customHeight="1">
      <c r="A325" s="176"/>
      <c r="B325" s="1003" t="str">
        <f>IF(AH297&gt;0,"Revise la información capturada, ya que tiene datos ingresados en celdas que están sombreadas","")</f>
        <v/>
      </c>
      <c r="C325" s="1003"/>
      <c r="D325" s="1003"/>
      <c r="E325" s="1003"/>
      <c r="F325" s="1003"/>
      <c r="G325" s="1003"/>
      <c r="H325" s="1003"/>
      <c r="I325" s="1003"/>
      <c r="J325" s="1003"/>
      <c r="K325" s="1003"/>
      <c r="L325" s="1003"/>
      <c r="M325" s="1003"/>
      <c r="N325" s="1003"/>
      <c r="O325" s="1003"/>
      <c r="P325" s="1003"/>
      <c r="Q325" s="1003"/>
      <c r="R325" s="1003"/>
      <c r="S325" s="1003"/>
      <c r="T325" s="1003"/>
      <c r="U325" s="1003"/>
      <c r="V325" s="1003"/>
      <c r="W325" s="1003"/>
      <c r="X325" s="1003"/>
      <c r="Y325" s="1003"/>
      <c r="Z325" s="1003"/>
      <c r="AA325" s="1003"/>
      <c r="AB325" s="1003"/>
      <c r="AC325" s="1003"/>
      <c r="AD325" s="1003"/>
      <c r="AE325" s="1003"/>
    </row>
    <row r="326" spans="1:37" ht="15" customHeight="1">
      <c r="A326" s="176"/>
      <c r="B326" s="1003" t="str">
        <f>IF(OR($M48=0,$M48="NS",$M48="NA"),"",IF(AK317&gt;0,"Favor de revisar la suma y consistencia de totales y/o subtotales por filas (numéricos y NS)",""))</f>
        <v/>
      </c>
      <c r="C326" s="1003"/>
      <c r="D326" s="1003"/>
      <c r="E326" s="1003"/>
      <c r="F326" s="1003"/>
      <c r="G326" s="1003"/>
      <c r="H326" s="1003"/>
      <c r="I326" s="1003"/>
      <c r="J326" s="1003"/>
      <c r="K326" s="1003"/>
      <c r="L326" s="1003"/>
      <c r="M326" s="1003"/>
      <c r="N326" s="1003"/>
      <c r="O326" s="1003"/>
      <c r="P326" s="1003"/>
      <c r="Q326" s="1003"/>
      <c r="R326" s="1003"/>
      <c r="S326" s="1003"/>
      <c r="T326" s="1003"/>
      <c r="U326" s="1003"/>
      <c r="V326" s="1003"/>
      <c r="W326" s="1003"/>
      <c r="X326" s="1003"/>
      <c r="Y326" s="1003"/>
      <c r="Z326" s="1003"/>
      <c r="AA326" s="1003"/>
      <c r="AB326" s="1003"/>
      <c r="AC326" s="1003"/>
      <c r="AD326" s="1003"/>
      <c r="AE326" s="1003"/>
    </row>
    <row r="327" spans="1:37" ht="15" customHeight="1">
      <c r="A327" s="186"/>
      <c r="B327" s="1003" t="str">
        <f>IF(OR($M48=0,$M48="NS",$M48="NA"),"",IF(AND($M$48=M317,$S$48=S317,$Y$48=Y317),"","Las cantidades de Hombres y Mujeres debe corresponder con los datos reportados en la preg. 8.1"))</f>
        <v/>
      </c>
      <c r="C327" s="1003"/>
      <c r="D327" s="1003"/>
      <c r="E327" s="1003"/>
      <c r="F327" s="1003"/>
      <c r="G327" s="1003"/>
      <c r="H327" s="1003"/>
      <c r="I327" s="1003"/>
      <c r="J327" s="1003"/>
      <c r="K327" s="1003"/>
      <c r="L327" s="1003"/>
      <c r="M327" s="1003"/>
      <c r="N327" s="1003"/>
      <c r="O327" s="1003"/>
      <c r="P327" s="1003"/>
      <c r="Q327" s="1003"/>
      <c r="R327" s="1003"/>
      <c r="S327" s="1003"/>
      <c r="T327" s="1003"/>
      <c r="U327" s="1003"/>
      <c r="V327" s="1003"/>
      <c r="W327" s="1003"/>
      <c r="X327" s="1003"/>
      <c r="Y327" s="1003"/>
      <c r="Z327" s="1003"/>
      <c r="AA327" s="1003"/>
      <c r="AB327" s="1003"/>
      <c r="AC327" s="1003"/>
      <c r="AD327" s="1003"/>
      <c r="AE327" s="1003"/>
    </row>
    <row r="328" spans="1:37" ht="15" customHeight="1">
      <c r="A328" s="10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c r="AA328" s="38"/>
      <c r="AB328" s="38"/>
      <c r="AC328" s="38"/>
      <c r="AD328" s="38"/>
    </row>
    <row r="329" spans="1:37" ht="24" customHeight="1">
      <c r="A329" s="108" t="s">
        <v>5235</v>
      </c>
      <c r="B329" s="829" t="s">
        <v>5236</v>
      </c>
      <c r="C329" s="829"/>
      <c r="D329" s="829"/>
      <c r="E329" s="829"/>
      <c r="F329" s="829"/>
      <c r="G329" s="829"/>
      <c r="H329" s="829"/>
      <c r="I329" s="829"/>
      <c r="J329" s="829"/>
      <c r="K329" s="829"/>
      <c r="L329" s="829"/>
      <c r="M329" s="829"/>
      <c r="N329" s="829"/>
      <c r="O329" s="829"/>
      <c r="P329" s="829"/>
      <c r="Q329" s="829"/>
      <c r="R329" s="829"/>
      <c r="S329" s="829"/>
      <c r="T329" s="829"/>
      <c r="U329" s="829"/>
      <c r="V329" s="829"/>
      <c r="W329" s="829"/>
      <c r="X329" s="829"/>
      <c r="Y329" s="829"/>
      <c r="Z329" s="829"/>
      <c r="AA329" s="829"/>
      <c r="AB329" s="829"/>
      <c r="AC329" s="829"/>
      <c r="AD329" s="829"/>
    </row>
    <row r="330" spans="1:37" ht="15" customHeight="1">
      <c r="A330" s="176"/>
      <c r="B330" s="57"/>
      <c r="C330" s="57"/>
      <c r="D330" s="57"/>
      <c r="E330" s="57"/>
      <c r="F330" s="57"/>
      <c r="G330" s="57"/>
      <c r="H330" s="57"/>
      <c r="I330" s="57"/>
      <c r="J330" s="57"/>
      <c r="K330" s="57"/>
      <c r="L330" s="57"/>
      <c r="M330" s="57"/>
      <c r="N330" s="57"/>
      <c r="O330" s="57"/>
      <c r="P330" s="57"/>
      <c r="Q330" s="57"/>
      <c r="R330" s="57"/>
      <c r="S330" s="57"/>
      <c r="T330" s="57"/>
      <c r="U330" s="57"/>
      <c r="V330" s="57"/>
      <c r="W330" s="57"/>
      <c r="X330" s="57"/>
      <c r="Y330" s="57"/>
      <c r="Z330" s="57"/>
      <c r="AA330" s="57"/>
      <c r="AB330" s="57"/>
      <c r="AC330" s="57"/>
      <c r="AD330" s="57"/>
    </row>
    <row r="331" spans="1:37" ht="15" customHeight="1">
      <c r="A331" s="108"/>
      <c r="B331" s="38"/>
      <c r="C331" s="880" t="s">
        <v>4636</v>
      </c>
      <c r="D331" s="880"/>
      <c r="E331" s="880"/>
      <c r="F331" s="880"/>
      <c r="G331" s="880"/>
      <c r="H331" s="880"/>
      <c r="I331" s="880"/>
      <c r="J331" s="880"/>
      <c r="K331" s="880"/>
      <c r="L331" s="880"/>
      <c r="M331" s="732" t="s">
        <v>5166</v>
      </c>
      <c r="N331" s="732"/>
      <c r="O331" s="732"/>
      <c r="P331" s="732"/>
      <c r="Q331" s="732"/>
      <c r="R331" s="732"/>
      <c r="S331" s="732"/>
      <c r="T331" s="732"/>
      <c r="U331" s="732"/>
      <c r="V331" s="732"/>
      <c r="W331" s="732"/>
      <c r="X331" s="732"/>
      <c r="Y331" s="732"/>
      <c r="Z331" s="732"/>
      <c r="AA331" s="732"/>
      <c r="AB331" s="732"/>
      <c r="AC331" s="732"/>
      <c r="AD331" s="732"/>
    </row>
    <row r="332" spans="1:37" ht="15" customHeight="1">
      <c r="A332" s="108"/>
      <c r="B332" s="38"/>
      <c r="C332" s="880"/>
      <c r="D332" s="880"/>
      <c r="E332" s="880"/>
      <c r="F332" s="880"/>
      <c r="G332" s="880"/>
      <c r="H332" s="880"/>
      <c r="I332" s="880"/>
      <c r="J332" s="880"/>
      <c r="K332" s="880"/>
      <c r="L332" s="880"/>
      <c r="M332" s="987" t="s">
        <v>2628</v>
      </c>
      <c r="N332" s="988"/>
      <c r="O332" s="988"/>
      <c r="P332" s="988"/>
      <c r="Q332" s="988"/>
      <c r="R332" s="988"/>
      <c r="S332" s="989" t="s">
        <v>2629</v>
      </c>
      <c r="T332" s="990"/>
      <c r="U332" s="990"/>
      <c r="V332" s="990"/>
      <c r="W332" s="990"/>
      <c r="X332" s="990"/>
      <c r="Y332" s="989" t="s">
        <v>2630</v>
      </c>
      <c r="Z332" s="990"/>
      <c r="AA332" s="990"/>
      <c r="AB332" s="990"/>
      <c r="AC332" s="990"/>
      <c r="AD332" s="990"/>
      <c r="AG332" t="s">
        <v>2586</v>
      </c>
      <c r="AH332" t="s">
        <v>4599</v>
      </c>
      <c r="AI332" t="s">
        <v>2590</v>
      </c>
      <c r="AJ332" t="s">
        <v>3163</v>
      </c>
      <c r="AK332" t="s">
        <v>4564</v>
      </c>
    </row>
    <row r="333" spans="1:37" ht="15" customHeight="1">
      <c r="A333" s="108"/>
      <c r="B333" s="38"/>
      <c r="C333" s="97" t="s">
        <v>2516</v>
      </c>
      <c r="D333" s="869" t="s">
        <v>4637</v>
      </c>
      <c r="E333" s="870"/>
      <c r="F333" s="870"/>
      <c r="G333" s="870"/>
      <c r="H333" s="870"/>
      <c r="I333" s="870"/>
      <c r="J333" s="870"/>
      <c r="K333" s="870"/>
      <c r="L333" s="871"/>
      <c r="M333" s="749"/>
      <c r="N333" s="749"/>
      <c r="O333" s="749"/>
      <c r="P333" s="749"/>
      <c r="Q333" s="749"/>
      <c r="R333" s="749"/>
      <c r="S333" s="749"/>
      <c r="T333" s="749"/>
      <c r="U333" s="749"/>
      <c r="V333" s="749"/>
      <c r="W333" s="749"/>
      <c r="X333" s="749"/>
      <c r="Y333" s="749"/>
      <c r="Z333" s="749"/>
      <c r="AA333" s="749"/>
      <c r="AB333" s="749"/>
      <c r="AC333" s="749"/>
      <c r="AD333" s="749"/>
      <c r="AG333" s="506">
        <f>IF(OR($M$48=0,$M$48="NS",$M$48="NA"),0,IF(COUNTBLANK(M333:AD335)=45,0,1))</f>
        <v>0</v>
      </c>
      <c r="AH333" s="506">
        <f>IF(OR($M$48=0,$M$48="NS",$M$48="NA"),IF(COUNTBLANK(M333:AD335)=54,0,1),0)</f>
        <v>0</v>
      </c>
      <c r="AI333">
        <f>COUNTIF(S333:AD333,"NS")</f>
        <v>0</v>
      </c>
      <c r="AJ333">
        <f>SUM(S333:AD333)</f>
        <v>0</v>
      </c>
      <c r="AK333">
        <f>IF(COUNTIF(M333:AD333,"NA")=3,0,IF(COUNTA(M333:AD333)=0,0,IF(OR(AND(M333=0,AI333&gt;0),AND(M333="ns",AJ333&gt;0),AND(M333="ns",AI333=0,AJ333=0)),1,IF(OR(AND(M333&gt;0,AI333=2),AND(M333="ns",AI333=2),AND(M333="ns",AJ333=0,AI333&gt;0),M333=AJ333),0,1))))</f>
        <v>0</v>
      </c>
    </row>
    <row r="334" spans="1:37" ht="15" customHeight="1">
      <c r="A334" s="108"/>
      <c r="B334" s="38"/>
      <c r="C334" s="98" t="s">
        <v>2517</v>
      </c>
      <c r="D334" s="869" t="s">
        <v>4638</v>
      </c>
      <c r="E334" s="870"/>
      <c r="F334" s="870"/>
      <c r="G334" s="870"/>
      <c r="H334" s="870"/>
      <c r="I334" s="870"/>
      <c r="J334" s="870"/>
      <c r="K334" s="870"/>
      <c r="L334" s="871"/>
      <c r="M334" s="749"/>
      <c r="N334" s="749"/>
      <c r="O334" s="749"/>
      <c r="P334" s="749"/>
      <c r="Q334" s="749"/>
      <c r="R334" s="749"/>
      <c r="S334" s="749"/>
      <c r="T334" s="749"/>
      <c r="U334" s="749"/>
      <c r="V334" s="749"/>
      <c r="W334" s="749"/>
      <c r="X334" s="749"/>
      <c r="Y334" s="749"/>
      <c r="Z334" s="749"/>
      <c r="AA334" s="749"/>
      <c r="AB334" s="749"/>
      <c r="AC334" s="749"/>
      <c r="AD334" s="749"/>
      <c r="AG334" s="57"/>
      <c r="AH334" s="57"/>
      <c r="AI334">
        <f t="shared" ref="AI334:AI335" si="360">COUNTIF(S334:AD334,"NS")</f>
        <v>0</v>
      </c>
      <c r="AJ334">
        <f t="shared" ref="AJ334:AJ335" si="361">SUM(S334:AD334)</f>
        <v>0</v>
      </c>
      <c r="AK334">
        <f t="shared" ref="AK334:AK335" si="362">IF(COUNTIF(M334:AD334,"NA")=3,0,IF(COUNTA(M334:AD334)=0,0,IF(OR(AND(M334=0,AI334&gt;0),AND(M334="ns",AJ334&gt;0),AND(M334="ns",AI334=0,AJ334=0)),1,IF(OR(AND(M334&gt;0,AI334=2),AND(M334="ns",AI334=2),AND(M334="ns",AJ334=0,AI334&gt;0),M334=AJ334),0,1))))</f>
        <v>0</v>
      </c>
    </row>
    <row r="335" spans="1:37" ht="15" customHeight="1">
      <c r="A335" s="176"/>
      <c r="B335" s="57"/>
      <c r="C335" s="98" t="s">
        <v>2518</v>
      </c>
      <c r="D335" s="1088" t="s">
        <v>201</v>
      </c>
      <c r="E335" s="1089"/>
      <c r="F335" s="1089"/>
      <c r="G335" s="1089"/>
      <c r="H335" s="1089"/>
      <c r="I335" s="1089"/>
      <c r="J335" s="1089"/>
      <c r="K335" s="1089"/>
      <c r="L335" s="1090"/>
      <c r="M335" s="749"/>
      <c r="N335" s="749"/>
      <c r="O335" s="749"/>
      <c r="P335" s="749"/>
      <c r="Q335" s="749"/>
      <c r="R335" s="749"/>
      <c r="S335" s="749"/>
      <c r="T335" s="749"/>
      <c r="U335" s="749"/>
      <c r="V335" s="749"/>
      <c r="W335" s="749"/>
      <c r="X335" s="749"/>
      <c r="Y335" s="749"/>
      <c r="Z335" s="749"/>
      <c r="AA335" s="749"/>
      <c r="AB335" s="749"/>
      <c r="AC335" s="749"/>
      <c r="AD335" s="749"/>
      <c r="AG335" s="57"/>
      <c r="AH335" s="57"/>
      <c r="AI335">
        <f t="shared" si="360"/>
        <v>0</v>
      </c>
      <c r="AJ335">
        <f t="shared" si="361"/>
        <v>0</v>
      </c>
      <c r="AK335">
        <f t="shared" si="362"/>
        <v>0</v>
      </c>
    </row>
    <row r="336" spans="1:37" ht="15" customHeight="1">
      <c r="A336" s="176"/>
      <c r="B336" s="57"/>
      <c r="C336" s="38"/>
      <c r="D336" s="38"/>
      <c r="E336" s="38"/>
      <c r="F336" s="38"/>
      <c r="G336" s="38"/>
      <c r="H336" s="38"/>
      <c r="I336" s="38"/>
      <c r="J336" s="38"/>
      <c r="K336" s="38"/>
      <c r="L336" s="117" t="s">
        <v>2649</v>
      </c>
      <c r="M336" s="736">
        <f>IF(AND(SUM(M333:M335)=0,COUNTIF(M333:M335,"NS")&gt;0),"NS",IF(AND(SUM(M333:M335)=0,COUNTIF(M333:M335,0)&gt;0),0,IF(AND(SUM(M333:M335)=0,COUNTIF(M333:M335,"NA")&gt;0),"NA",SUM(M333:M335))))</f>
        <v>0</v>
      </c>
      <c r="N336" s="1085"/>
      <c r="O336" s="1085"/>
      <c r="P336" s="1085"/>
      <c r="Q336" s="1085"/>
      <c r="R336" s="1086"/>
      <c r="S336" s="736">
        <f>IF(AND(SUM(S333:S335)=0,COUNTIF(S333:S335,"NS")&gt;0),"NS",IF(AND(SUM(S333:S335)=0,COUNTIF(S333:S335,0)&gt;0),0,IF(AND(SUM(S333:S335)=0,COUNTIF(S333:S335,"NA")&gt;0),"NA",SUM(S333:S335))))</f>
        <v>0</v>
      </c>
      <c r="T336" s="1085"/>
      <c r="U336" s="1085"/>
      <c r="V336" s="1085"/>
      <c r="W336" s="1085"/>
      <c r="X336" s="1086"/>
      <c r="Y336" s="736">
        <f>IF(AND(SUM(Y333:Y335)=0,COUNTIF(Y333:Y335,"NS")&gt;0),"NS",IF(AND(SUM(Y333:Y335)=0,COUNTIF(Y333:Y335,0)&gt;0),0,IF(AND(SUM(Y333:Y335)=0,COUNTIF(Y333:Y335,"NA")&gt;0),"NA",SUM(Y333:Y335))))</f>
        <v>0</v>
      </c>
      <c r="Z336" s="1085"/>
      <c r="AA336" s="1085"/>
      <c r="AB336" s="1085"/>
      <c r="AC336" s="1085"/>
      <c r="AD336" s="1086"/>
      <c r="AG336" s="57"/>
      <c r="AH336" s="57"/>
      <c r="AI336">
        <f>SUM(AI333:AI335)</f>
        <v>0</v>
      </c>
      <c r="AJ336" s="57"/>
      <c r="AK336" s="506">
        <f>SUM(AK333:AK335)</f>
        <v>0</v>
      </c>
    </row>
    <row r="337" spans="1:58" ht="15" customHeight="1">
      <c r="A337" s="176"/>
      <c r="B337" s="57"/>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c r="AA337" s="38"/>
      <c r="AB337" s="38"/>
      <c r="AC337" s="38"/>
      <c r="AD337" s="38"/>
    </row>
    <row r="338" spans="1:58" ht="24" customHeight="1">
      <c r="A338" s="108"/>
      <c r="B338" s="38"/>
      <c r="C338" s="754" t="s">
        <v>2611</v>
      </c>
      <c r="D338" s="754"/>
      <c r="E338" s="754"/>
      <c r="F338" s="754"/>
      <c r="G338" s="754"/>
      <c r="H338" s="754"/>
      <c r="I338" s="754"/>
      <c r="J338" s="754"/>
      <c r="K338" s="754"/>
      <c r="L338" s="754"/>
      <c r="M338" s="754"/>
      <c r="N338" s="754"/>
      <c r="O338" s="754"/>
      <c r="P338" s="754"/>
      <c r="Q338" s="754"/>
      <c r="R338" s="754"/>
      <c r="S338" s="754"/>
      <c r="T338" s="754"/>
      <c r="U338" s="754"/>
      <c r="V338" s="754"/>
      <c r="W338" s="754"/>
      <c r="X338" s="754"/>
      <c r="Y338" s="754"/>
      <c r="Z338" s="754"/>
      <c r="AA338" s="754"/>
      <c r="AB338" s="754"/>
      <c r="AC338" s="754"/>
      <c r="AD338" s="754"/>
    </row>
    <row r="339" spans="1:58" ht="60" customHeight="1">
      <c r="A339" s="108"/>
      <c r="B339" s="38"/>
      <c r="C339" s="851"/>
      <c r="D339" s="851"/>
      <c r="E339" s="851"/>
      <c r="F339" s="851"/>
      <c r="G339" s="851"/>
      <c r="H339" s="851"/>
      <c r="I339" s="851"/>
      <c r="J339" s="851"/>
      <c r="K339" s="851"/>
      <c r="L339" s="851"/>
      <c r="M339" s="851"/>
      <c r="N339" s="851"/>
      <c r="O339" s="851"/>
      <c r="P339" s="851"/>
      <c r="Q339" s="851"/>
      <c r="R339" s="851"/>
      <c r="S339" s="851"/>
      <c r="T339" s="851"/>
      <c r="U339" s="851"/>
      <c r="V339" s="851"/>
      <c r="W339" s="851"/>
      <c r="X339" s="851"/>
      <c r="Y339" s="851"/>
      <c r="Z339" s="851"/>
      <c r="AA339" s="851"/>
      <c r="AB339" s="851"/>
      <c r="AC339" s="851"/>
      <c r="AD339" s="851"/>
    </row>
    <row r="340" spans="1:58" ht="15" customHeight="1">
      <c r="A340" s="176"/>
      <c r="B340" s="794" t="str">
        <f>IF(AG333=0,"","Favor de ingresar toda la información requerida en la pregunta")</f>
        <v/>
      </c>
      <c r="C340" s="794"/>
      <c r="D340" s="794"/>
      <c r="E340" s="794"/>
      <c r="F340" s="794"/>
      <c r="G340" s="794"/>
      <c r="H340" s="794"/>
      <c r="I340" s="794"/>
      <c r="J340" s="794"/>
      <c r="K340" s="794"/>
      <c r="L340" s="794"/>
      <c r="M340" s="794"/>
      <c r="N340" s="794"/>
      <c r="O340" s="794"/>
      <c r="P340" s="794"/>
      <c r="Q340" s="794"/>
      <c r="R340" s="794"/>
      <c r="S340" s="794"/>
      <c r="T340" s="794"/>
      <c r="U340" s="794"/>
      <c r="V340" s="794"/>
      <c r="W340" s="794"/>
      <c r="X340" s="794"/>
      <c r="Y340" s="794"/>
      <c r="Z340" s="794"/>
      <c r="AA340" s="794"/>
      <c r="AB340" s="794"/>
      <c r="AC340" s="794"/>
      <c r="AD340" s="794"/>
      <c r="AE340" s="794"/>
    </row>
    <row r="341" spans="1:58" ht="15" customHeight="1">
      <c r="A341" s="176"/>
      <c r="B341" s="1087" t="str">
        <f>IF(OR($M48=0,$M48="NS",$M48="NA"),"",IF(COUNTIF(M333:AD335,"NS")&lt;&gt;0,"Alerta: debido a que cuenta con registros NS, debe proporcionar una justificación en el area de comentarios al final de la pregunta",""))</f>
        <v/>
      </c>
      <c r="C341" s="1087"/>
      <c r="D341" s="1087"/>
      <c r="E341" s="1087"/>
      <c r="F341" s="1087"/>
      <c r="G341" s="1087"/>
      <c r="H341" s="1087"/>
      <c r="I341" s="1087"/>
      <c r="J341" s="1087"/>
      <c r="K341" s="1087"/>
      <c r="L341" s="1087"/>
      <c r="M341" s="1087"/>
      <c r="N341" s="1087"/>
      <c r="O341" s="1087"/>
      <c r="P341" s="1087"/>
      <c r="Q341" s="1087"/>
      <c r="R341" s="1087"/>
      <c r="S341" s="1087"/>
      <c r="T341" s="1087"/>
      <c r="U341" s="1087"/>
      <c r="V341" s="1087"/>
      <c r="W341" s="1087"/>
      <c r="X341" s="1087"/>
      <c r="Y341" s="1087"/>
      <c r="Z341" s="1087"/>
      <c r="AA341" s="1087"/>
      <c r="AB341" s="1087"/>
      <c r="AC341" s="1087"/>
      <c r="AD341" s="1087"/>
      <c r="AE341" s="1087"/>
    </row>
    <row r="342" spans="1:58" ht="15" customHeight="1">
      <c r="A342" s="176"/>
      <c r="B342" s="1003" t="str">
        <f>IF(AH333&gt;0,"Revise la información capturada, ya que tiene datos ingresados en celdas que están sombreadas","")</f>
        <v/>
      </c>
      <c r="C342" s="1003"/>
      <c r="D342" s="1003"/>
      <c r="E342" s="1003"/>
      <c r="F342" s="1003"/>
      <c r="G342" s="1003"/>
      <c r="H342" s="1003"/>
      <c r="I342" s="1003"/>
      <c r="J342" s="1003"/>
      <c r="K342" s="1003"/>
      <c r="L342" s="1003"/>
      <c r="M342" s="1003"/>
      <c r="N342" s="1003"/>
      <c r="O342" s="1003"/>
      <c r="P342" s="1003"/>
      <c r="Q342" s="1003"/>
      <c r="R342" s="1003"/>
      <c r="S342" s="1003"/>
      <c r="T342" s="1003"/>
      <c r="U342" s="1003"/>
      <c r="V342" s="1003"/>
      <c r="W342" s="1003"/>
      <c r="X342" s="1003"/>
      <c r="Y342" s="1003"/>
      <c r="Z342" s="1003"/>
      <c r="AA342" s="1003"/>
      <c r="AB342" s="1003"/>
      <c r="AC342" s="1003"/>
      <c r="AD342" s="1003"/>
      <c r="AE342" s="1003"/>
    </row>
    <row r="343" spans="1:58" ht="15" customHeight="1">
      <c r="A343" s="176"/>
      <c r="B343" s="1003" t="str">
        <f>IF(OR($M48=0,$M48="NS",$M48="NA"),"",IF(AK336&gt;0,"Favor de revisar la suma y consistencia de totales y/o subtotales por filas (numéricos y NS)",""))</f>
        <v/>
      </c>
      <c r="C343" s="1003"/>
      <c r="D343" s="1003"/>
      <c r="E343" s="1003"/>
      <c r="F343" s="1003"/>
      <c r="G343" s="1003"/>
      <c r="H343" s="1003"/>
      <c r="I343" s="1003"/>
      <c r="J343" s="1003"/>
      <c r="K343" s="1003"/>
      <c r="L343" s="1003"/>
      <c r="M343" s="1003"/>
      <c r="N343" s="1003"/>
      <c r="O343" s="1003"/>
      <c r="P343" s="1003"/>
      <c r="Q343" s="1003"/>
      <c r="R343" s="1003"/>
      <c r="S343" s="1003"/>
      <c r="T343" s="1003"/>
      <c r="U343" s="1003"/>
      <c r="V343" s="1003"/>
      <c r="W343" s="1003"/>
      <c r="X343" s="1003"/>
      <c r="Y343" s="1003"/>
      <c r="Z343" s="1003"/>
      <c r="AA343" s="1003"/>
      <c r="AB343" s="1003"/>
      <c r="AC343" s="1003"/>
      <c r="AD343" s="1003"/>
      <c r="AE343" s="1003"/>
    </row>
    <row r="344" spans="1:58" ht="15" customHeight="1">
      <c r="A344" s="176"/>
      <c r="B344" s="1003" t="str">
        <f>IF(OR($M48=0,$M48="NS",$M48="NA"),"",IF(AND($M$48=M336,$S$48=S336,$Y$48=Y336),"","Las cantidades de Hombres y Mujeres debe corresponder con los datos reportados en la preg. 8.1"))</f>
        <v/>
      </c>
      <c r="C344" s="1003"/>
      <c r="D344" s="1003"/>
      <c r="E344" s="1003"/>
      <c r="F344" s="1003"/>
      <c r="G344" s="1003"/>
      <c r="H344" s="1003"/>
      <c r="I344" s="1003"/>
      <c r="J344" s="1003"/>
      <c r="K344" s="1003"/>
      <c r="L344" s="1003"/>
      <c r="M344" s="1003"/>
      <c r="N344" s="1003"/>
      <c r="O344" s="1003"/>
      <c r="P344" s="1003"/>
      <c r="Q344" s="1003"/>
      <c r="R344" s="1003"/>
      <c r="S344" s="1003"/>
      <c r="T344" s="1003"/>
      <c r="U344" s="1003"/>
      <c r="V344" s="1003"/>
      <c r="W344" s="1003"/>
      <c r="X344" s="1003"/>
      <c r="Y344" s="1003"/>
      <c r="Z344" s="1003"/>
      <c r="AA344" s="1003"/>
      <c r="AB344" s="1003"/>
      <c r="AC344" s="1003"/>
      <c r="AD344" s="1003"/>
      <c r="AE344" s="1003"/>
    </row>
    <row r="345" spans="1:58" ht="15" customHeight="1">
      <c r="A345" s="176"/>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c r="AA345" s="38"/>
      <c r="AB345" s="38"/>
      <c r="AC345" s="38"/>
      <c r="AD345" s="38"/>
    </row>
    <row r="346" spans="1:58" ht="24" customHeight="1">
      <c r="A346" s="108" t="s">
        <v>5237</v>
      </c>
      <c r="B346" s="829" t="s">
        <v>5238</v>
      </c>
      <c r="C346" s="829"/>
      <c r="D346" s="829"/>
      <c r="E346" s="829"/>
      <c r="F346" s="829"/>
      <c r="G346" s="829"/>
      <c r="H346" s="829"/>
      <c r="I346" s="829"/>
      <c r="J346" s="829"/>
      <c r="K346" s="829"/>
      <c r="L346" s="829"/>
      <c r="M346" s="829"/>
      <c r="N346" s="829"/>
      <c r="O346" s="829"/>
      <c r="P346" s="829"/>
      <c r="Q346" s="829"/>
      <c r="R346" s="829"/>
      <c r="S346" s="829"/>
      <c r="T346" s="829"/>
      <c r="U346" s="829"/>
      <c r="V346" s="829"/>
      <c r="W346" s="829"/>
      <c r="X346" s="829"/>
      <c r="Y346" s="829"/>
      <c r="Z346" s="829"/>
      <c r="AA346" s="829"/>
      <c r="AB346" s="829"/>
      <c r="AC346" s="829"/>
      <c r="AD346" s="829"/>
    </row>
    <row r="347" spans="1:58" ht="15" customHeight="1">
      <c r="A347" s="10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c r="AA347" s="38"/>
      <c r="AB347" s="38"/>
      <c r="AC347" s="38"/>
      <c r="AD347" s="38"/>
    </row>
    <row r="348" spans="1:58" ht="15" customHeight="1">
      <c r="A348" s="108"/>
      <c r="B348" s="38"/>
      <c r="C348" s="732" t="s">
        <v>2581</v>
      </c>
      <c r="D348" s="732"/>
      <c r="E348" s="732"/>
      <c r="F348" s="732"/>
      <c r="G348" s="732"/>
      <c r="H348" s="732"/>
      <c r="I348" s="732"/>
      <c r="J348" s="732" t="s">
        <v>5239</v>
      </c>
      <c r="K348" s="732"/>
      <c r="L348" s="732"/>
      <c r="M348" s="732"/>
      <c r="N348" s="732"/>
      <c r="O348" s="732"/>
      <c r="P348" s="732"/>
      <c r="Q348" s="732"/>
      <c r="R348" s="732"/>
      <c r="S348" s="732"/>
      <c r="T348" s="732"/>
      <c r="U348" s="732"/>
      <c r="V348" s="732"/>
      <c r="W348" s="732"/>
      <c r="X348" s="732"/>
      <c r="Y348" s="732"/>
      <c r="Z348" s="732"/>
      <c r="AA348" s="732"/>
      <c r="AB348" s="732"/>
      <c r="AC348" s="732"/>
      <c r="AD348" s="732"/>
    </row>
    <row r="349" spans="1:58" ht="24" customHeight="1">
      <c r="A349" s="108"/>
      <c r="B349" s="38"/>
      <c r="C349" s="732"/>
      <c r="D349" s="732"/>
      <c r="E349" s="732"/>
      <c r="F349" s="732"/>
      <c r="G349" s="732"/>
      <c r="H349" s="732"/>
      <c r="I349" s="732"/>
      <c r="J349" s="887" t="s">
        <v>2628</v>
      </c>
      <c r="K349" s="889" t="s">
        <v>2629</v>
      </c>
      <c r="L349" s="889" t="s">
        <v>2630</v>
      </c>
      <c r="M349" s="736" t="s">
        <v>5240</v>
      </c>
      <c r="N349" s="736"/>
      <c r="O349" s="736"/>
      <c r="P349" s="736" t="s">
        <v>3311</v>
      </c>
      <c r="Q349" s="736"/>
      <c r="R349" s="736"/>
      <c r="S349" s="736" t="s">
        <v>3312</v>
      </c>
      <c r="T349" s="736"/>
      <c r="U349" s="736"/>
      <c r="V349" s="736" t="s">
        <v>3313</v>
      </c>
      <c r="W349" s="736"/>
      <c r="X349" s="736"/>
      <c r="Y349" s="736" t="s">
        <v>3314</v>
      </c>
      <c r="Z349" s="736"/>
      <c r="AA349" s="736"/>
      <c r="AB349" s="736" t="s">
        <v>201</v>
      </c>
      <c r="AC349" s="736"/>
      <c r="AD349" s="736"/>
    </row>
    <row r="350" spans="1:58" ht="48" customHeight="1">
      <c r="A350" s="108"/>
      <c r="B350" s="38"/>
      <c r="C350" s="732"/>
      <c r="D350" s="732"/>
      <c r="E350" s="732"/>
      <c r="F350" s="732"/>
      <c r="G350" s="732"/>
      <c r="H350" s="732"/>
      <c r="I350" s="732"/>
      <c r="J350" s="888"/>
      <c r="K350" s="890"/>
      <c r="L350" s="890"/>
      <c r="M350" s="127" t="s">
        <v>2635</v>
      </c>
      <c r="N350" s="128" t="s">
        <v>2629</v>
      </c>
      <c r="O350" s="128" t="s">
        <v>2630</v>
      </c>
      <c r="P350" s="127" t="s">
        <v>2635</v>
      </c>
      <c r="Q350" s="128" t="s">
        <v>2629</v>
      </c>
      <c r="R350" s="128" t="s">
        <v>2630</v>
      </c>
      <c r="S350" s="127" t="s">
        <v>2635</v>
      </c>
      <c r="T350" s="128" t="s">
        <v>2629</v>
      </c>
      <c r="U350" s="128" t="s">
        <v>2630</v>
      </c>
      <c r="V350" s="127" t="s">
        <v>2635</v>
      </c>
      <c r="W350" s="128" t="s">
        <v>2629</v>
      </c>
      <c r="X350" s="128" t="s">
        <v>2630</v>
      </c>
      <c r="Y350" s="127" t="s">
        <v>2635</v>
      </c>
      <c r="Z350" s="128" t="s">
        <v>2629</v>
      </c>
      <c r="AA350" s="128" t="s">
        <v>2630</v>
      </c>
      <c r="AB350" s="127" t="s">
        <v>2635</v>
      </c>
      <c r="AC350" s="128" t="s">
        <v>2629</v>
      </c>
      <c r="AD350" s="128" t="s">
        <v>2630</v>
      </c>
      <c r="AG350" t="s">
        <v>2586</v>
      </c>
      <c r="AH350" t="s">
        <v>4581</v>
      </c>
      <c r="AK350" t="s">
        <v>4573</v>
      </c>
      <c r="AL350" t="s">
        <v>2638</v>
      </c>
      <c r="AM350" t="s">
        <v>2639</v>
      </c>
      <c r="AN350" t="s">
        <v>4574</v>
      </c>
      <c r="AO350" t="s">
        <v>2641</v>
      </c>
      <c r="AP350" t="s">
        <v>2642</v>
      </c>
      <c r="AQ350" t="s">
        <v>4575</v>
      </c>
      <c r="AR350" t="s">
        <v>2644</v>
      </c>
      <c r="AS350" t="s">
        <v>2645</v>
      </c>
      <c r="AT350" t="s">
        <v>4576</v>
      </c>
      <c r="AU350" t="s">
        <v>2647</v>
      </c>
      <c r="AV350" t="s">
        <v>2648</v>
      </c>
      <c r="AW350" t="s">
        <v>5177</v>
      </c>
      <c r="AX350" t="s">
        <v>2757</v>
      </c>
      <c r="AY350" t="s">
        <v>2758</v>
      </c>
      <c r="AZ350" t="s">
        <v>5194</v>
      </c>
      <c r="BA350" t="s">
        <v>2760</v>
      </c>
      <c r="BB350" t="s">
        <v>2761</v>
      </c>
      <c r="BC350" t="s">
        <v>5195</v>
      </c>
      <c r="BD350" t="s">
        <v>2763</v>
      </c>
      <c r="BE350" t="s">
        <v>2764</v>
      </c>
      <c r="BF350" t="s">
        <v>4582</v>
      </c>
    </row>
    <row r="351" spans="1:58" ht="15" customHeight="1">
      <c r="A351" s="108"/>
      <c r="B351" s="38"/>
      <c r="C351" s="97" t="s">
        <v>2516</v>
      </c>
      <c r="D351" s="813" t="str">
        <f>IF(CNSIPEE_2024_M2_Secc1!D42="","",CNSIPEE_2024_M2_Secc1!D42)</f>
        <v/>
      </c>
      <c r="E351" s="814"/>
      <c r="F351" s="814"/>
      <c r="G351" s="814"/>
      <c r="H351" s="814"/>
      <c r="I351" s="814"/>
      <c r="J351" s="100"/>
      <c r="K351" s="100"/>
      <c r="L351" s="100"/>
      <c r="M351" s="100"/>
      <c r="N351" s="100"/>
      <c r="O351" s="100"/>
      <c r="P351" s="100"/>
      <c r="Q351" s="100"/>
      <c r="R351" s="100"/>
      <c r="S351" s="100"/>
      <c r="T351" s="100"/>
      <c r="U351" s="100"/>
      <c r="V351" s="100"/>
      <c r="W351" s="100"/>
      <c r="X351" s="100"/>
      <c r="Y351" s="100"/>
      <c r="Z351" s="100"/>
      <c r="AA351" s="100"/>
      <c r="AB351" s="100"/>
      <c r="AC351" s="100"/>
      <c r="AD351" s="100"/>
      <c r="AG351">
        <f>IF(OR($M40=0,$M40="NS",$M40="NA"),0,IF(OR(COUNTBLANK(D351:AD351)=5,COUNTBLANK(D351:AD351)=27),0,1))</f>
        <v>0</v>
      </c>
      <c r="AH351">
        <f>IF(OR($M40=0,$M40="NS",$M40="NA"),IF(COUNTBLANK(J351:AD351)=21,0,1),0)</f>
        <v>0</v>
      </c>
      <c r="AK351">
        <f t="shared" ref="AK351" si="363">COUNTIF(K351:L351,"NS")</f>
        <v>0</v>
      </c>
      <c r="AL351">
        <f t="shared" ref="AL351" si="364">SUM(K351:L351)</f>
        <v>0</v>
      </c>
      <c r="AM351">
        <f>IF(COUNTIF(J351:L351,"NA")=3,0,IF(COUNTA(J351:L351)=0,0,IF(OR(AND(J351=0,AK351&gt;0),AND(J351="ns",AL351&gt;0),AND(J351="ns",AK351=0,AL351=0)),1,IF(OR(AND(J351&gt;0,AK351=2),AND(J351="ns",AK351=2),AND(J351="ns",AL351=0,AK351&gt;0),J351=AL351),0,1))))</f>
        <v>0</v>
      </c>
      <c r="AN351">
        <f t="shared" ref="AN351" si="365">COUNTIF(N351:O351,"NS")</f>
        <v>0</v>
      </c>
      <c r="AO351">
        <f t="shared" ref="AO351" si="366">SUM(N351:O351)</f>
        <v>0</v>
      </c>
      <c r="AP351">
        <f t="shared" ref="AP351" si="367">IF(COUNTIF(M351:O351,"NA")=3,0,IF(COUNTA(M351:O351)=0,0,IF(OR(AND(M351=0,AN351&gt;0),AND(M351="ns",AO351&gt;0),AND(M351="ns",AN351=0,AO351=0)),1,IF(OR(AND(M351&gt;0,AN351=2),AND(M351="ns",AN351=2),AND(M351="ns",AO351=0,AN351&gt;0),M351=AO351),0,1))))</f>
        <v>0</v>
      </c>
      <c r="AQ351">
        <f t="shared" ref="AQ351" si="368">COUNTIF(Q351:R351,"NS")</f>
        <v>0</v>
      </c>
      <c r="AR351">
        <f t="shared" ref="AR351" si="369">SUM(Q351:R351)</f>
        <v>0</v>
      </c>
      <c r="AS351">
        <f t="shared" ref="AS351" si="370">IF(COUNTIF(P351:R351,"NA")=3,0,IF(COUNTA(P351:R351)=0,0,IF(OR(AND(P351=0,AQ351&gt;0),AND(P351="ns",AR351&gt;0),AND(P351="ns",AQ351=0,AR351=0)),1,IF(OR(AND(P351&gt;0,AQ351=2),AND(P351="ns",AQ351=2),AND(P351="ns",AR351=0,AQ351&gt;0),P351=AR351),0,1))))</f>
        <v>0</v>
      </c>
      <c r="AT351">
        <f t="shared" ref="AT351" si="371">COUNTIF(T351:U351,"NS")</f>
        <v>0</v>
      </c>
      <c r="AU351">
        <f t="shared" ref="AU351" si="372">SUM(T351:U351)</f>
        <v>0</v>
      </c>
      <c r="AV351">
        <f t="shared" ref="AV351" si="373">IF(COUNTIF(S351:U351,"NA")=3,0,IF(COUNTA(S351:U351)=0,0,IF(OR(AND(S351=0,AT351&gt;0),AND(S351="ns",AU351&gt;0),AND(S351="ns",AT351=0,AU351=0)),1,IF(OR(AND(S351&gt;0,AT351=2),AND(S351="ns",AT351=2),AND(S351="ns",AU351=0,AT351&gt;0),S351=AU351),0,1))))</f>
        <v>0</v>
      </c>
      <c r="AW351">
        <f t="shared" ref="AW351" si="374">COUNTIF(W351:X351,"NS")</f>
        <v>0</v>
      </c>
      <c r="AX351">
        <f t="shared" ref="AX351" si="375">SUM(W351:X351)</f>
        <v>0</v>
      </c>
      <c r="AY351">
        <f t="shared" ref="AY351" si="376">IF(COUNTIF(V351:X351,"NA")=3,0,IF(COUNTA(V351:X351)=0,0,IF(OR(AND(V351=0,AW351&gt;0),AND(V351="ns",AX351&gt;0),AND(V351="ns",AW351=0,AX351=0)),1,IF(OR(AND(V351&gt;0,AW351=2),AND(V351="ns",AW351=2),AND(V351="ns",AX351=0,AW351&gt;0),V351=AX351),0,1))))</f>
        <v>0</v>
      </c>
      <c r="AZ351">
        <f t="shared" ref="AZ351" si="377">COUNTIF(Z351:AA351,"NS")</f>
        <v>0</v>
      </c>
      <c r="BA351">
        <f t="shared" ref="BA351" si="378">SUM(Z351:AA351)</f>
        <v>0</v>
      </c>
      <c r="BB351">
        <f t="shared" ref="BB351" si="379">IF(COUNTIF(Y351:AA351,"NA")=3,0,IF(COUNTA(Y351:AA351)=0,0,IF(OR(AND(Y351=0,AZ351&gt;0),AND(Y351="ns",BA351&gt;0),AND(Y351="ns",AZ351=0,BA351=0)),1,IF(OR(AND(Y351&gt;0,AZ351=2),AND(Y351="ns",AZ351=2),AND(Y351="ns",BA351=0,AZ351&gt;0),Y351=BA351),0,1))))</f>
        <v>0</v>
      </c>
      <c r="BC351">
        <f t="shared" ref="BC351" si="380">COUNTIF(AC351:AD351,"NS")</f>
        <v>0</v>
      </c>
      <c r="BD351">
        <f t="shared" ref="BD351" si="381">SUM(AC351:AD351)</f>
        <v>0</v>
      </c>
      <c r="BE351">
        <f t="shared" ref="BE351" si="382">IF(COUNTIF(AB351:AD351,"NA")=3,0,IF(COUNTA(AB351:AD351)=0,0,IF(OR(AND(AB351=0,BC351&gt;0),AND(AB351="ns",BD351&gt;0),AND(AB351="ns",BC351=0,BD351=0)),1,IF(OR(AND(AB351&gt;0,BC351=2),AND(AB351="ns",BC351=2),AND(AB351="ns",BD351=0,BC351&gt;0),AB351=BD351),0,1))))</f>
        <v>0</v>
      </c>
      <c r="BF351">
        <f>IF(OR($M40=0,$M40="NS",$M40="NA"),0,IF(AND(M40=J351,S40=K351,Y40=L351),0,1))</f>
        <v>0</v>
      </c>
    </row>
    <row r="352" spans="1:58" ht="15" customHeight="1">
      <c r="A352" s="108"/>
      <c r="B352" s="38"/>
      <c r="C352" s="98" t="s">
        <v>2517</v>
      </c>
      <c r="D352" s="813" t="str">
        <f>IF(CNSIPEE_2024_M2_Secc1!D43="","",CNSIPEE_2024_M2_Secc1!D43)</f>
        <v/>
      </c>
      <c r="E352" s="814"/>
      <c r="F352" s="814"/>
      <c r="G352" s="814"/>
      <c r="H352" s="814"/>
      <c r="I352" s="814"/>
      <c r="J352" s="100"/>
      <c r="K352" s="100"/>
      <c r="L352" s="100"/>
      <c r="M352" s="100"/>
      <c r="N352" s="100"/>
      <c r="O352" s="100"/>
      <c r="P352" s="100"/>
      <c r="Q352" s="100"/>
      <c r="R352" s="100"/>
      <c r="S352" s="100"/>
      <c r="T352" s="100"/>
      <c r="U352" s="100"/>
      <c r="V352" s="100"/>
      <c r="W352" s="100"/>
      <c r="X352" s="100"/>
      <c r="Y352" s="100"/>
      <c r="Z352" s="100"/>
      <c r="AA352" s="100"/>
      <c r="AB352" s="100"/>
      <c r="AC352" s="100"/>
      <c r="AD352" s="100"/>
      <c r="AG352">
        <f t="shared" ref="AG352:AG358" si="383">IF(OR($M41=0,$M41="NS",$M41="NA"),0,IF(OR(COUNTBLANK(D352:AD352)=5,COUNTBLANK(D352:AD352)=27),0,1))</f>
        <v>0</v>
      </c>
      <c r="AH352">
        <f t="shared" ref="AH352:AH358" si="384">IF(OR($M41=0,$M41="NS",$M41="NA"),IF(COUNTBLANK(J352:AD352)=21,0,1),0)</f>
        <v>0</v>
      </c>
      <c r="AK352">
        <f t="shared" ref="AK352:AK358" si="385">COUNTIF(K352:L352,"NS")</f>
        <v>0</v>
      </c>
      <c r="AL352">
        <f t="shared" ref="AL352:AL358" si="386">SUM(K352:L352)</f>
        <v>0</v>
      </c>
      <c r="AM352">
        <f t="shared" ref="AM352:AM358" si="387">IF(COUNTIF(J352:L352,"NA")=3,0,IF(COUNTA(J352:L352)=0,0,IF(OR(AND(J352=0,AK352&gt;0),AND(J352="ns",AL352&gt;0),AND(J352="ns",AK352=0,AL352=0)),1,IF(OR(AND(J352&gt;0,AK352=2),AND(J352="ns",AK352=2),AND(J352="ns",AL352=0,AK352&gt;0),J352=AL352),0,1))))</f>
        <v>0</v>
      </c>
      <c r="AN352">
        <f t="shared" ref="AN352:AN358" si="388">COUNTIF(N352:O352,"NS")</f>
        <v>0</v>
      </c>
      <c r="AO352">
        <f t="shared" ref="AO352:AO358" si="389">SUM(N352:O352)</f>
        <v>0</v>
      </c>
      <c r="AP352">
        <f t="shared" ref="AP352:AP358" si="390">IF(COUNTIF(M352:O352,"NA")=3,0,IF(COUNTA(M352:O352)=0,0,IF(OR(AND(M352=0,AN352&gt;0),AND(M352="ns",AO352&gt;0),AND(M352="ns",AN352=0,AO352=0)),1,IF(OR(AND(M352&gt;0,AN352=2),AND(M352="ns",AN352=2),AND(M352="ns",AO352=0,AN352&gt;0),M352=AO352),0,1))))</f>
        <v>0</v>
      </c>
      <c r="AQ352">
        <f t="shared" ref="AQ352:AQ358" si="391">COUNTIF(Q352:R352,"NS")</f>
        <v>0</v>
      </c>
      <c r="AR352">
        <f t="shared" ref="AR352:AR358" si="392">SUM(Q352:R352)</f>
        <v>0</v>
      </c>
      <c r="AS352">
        <f t="shared" ref="AS352:AS358" si="393">IF(COUNTIF(P352:R352,"NA")=3,0,IF(COUNTA(P352:R352)=0,0,IF(OR(AND(P352=0,AQ352&gt;0),AND(P352="ns",AR352&gt;0),AND(P352="ns",AQ352=0,AR352=0)),1,IF(OR(AND(P352&gt;0,AQ352=2),AND(P352="ns",AQ352=2),AND(P352="ns",AR352=0,AQ352&gt;0),P352=AR352),0,1))))</f>
        <v>0</v>
      </c>
      <c r="AT352">
        <f t="shared" ref="AT352:AT358" si="394">COUNTIF(T352:U352,"NS")</f>
        <v>0</v>
      </c>
      <c r="AU352">
        <f t="shared" ref="AU352:AU358" si="395">SUM(T352:U352)</f>
        <v>0</v>
      </c>
      <c r="AV352">
        <f t="shared" ref="AV352:AV358" si="396">IF(COUNTIF(S352:U352,"NA")=3,0,IF(COUNTA(S352:U352)=0,0,IF(OR(AND(S352=0,AT352&gt;0),AND(S352="ns",AU352&gt;0),AND(S352="ns",AT352=0,AU352=0)),1,IF(OR(AND(S352&gt;0,AT352=2),AND(S352="ns",AT352=2),AND(S352="ns",AU352=0,AT352&gt;0),S352=AU352),0,1))))</f>
        <v>0</v>
      </c>
      <c r="AW352">
        <f t="shared" ref="AW352:AW358" si="397">COUNTIF(W352:X352,"NS")</f>
        <v>0</v>
      </c>
      <c r="AX352">
        <f t="shared" ref="AX352:AX358" si="398">SUM(W352:X352)</f>
        <v>0</v>
      </c>
      <c r="AY352">
        <f t="shared" ref="AY352:AY358" si="399">IF(COUNTIF(V352:X352,"NA")=3,0,IF(COUNTA(V352:X352)=0,0,IF(OR(AND(V352=0,AW352&gt;0),AND(V352="ns",AX352&gt;0),AND(V352="ns",AW352=0,AX352=0)),1,IF(OR(AND(V352&gt;0,AW352=2),AND(V352="ns",AW352=2),AND(V352="ns",AX352=0,AW352&gt;0),V352=AX352),0,1))))</f>
        <v>0</v>
      </c>
      <c r="AZ352">
        <f t="shared" ref="AZ352:AZ358" si="400">COUNTIF(Z352:AA352,"NS")</f>
        <v>0</v>
      </c>
      <c r="BA352">
        <f t="shared" ref="BA352:BA358" si="401">SUM(Z352:AA352)</f>
        <v>0</v>
      </c>
      <c r="BB352">
        <f t="shared" ref="BB352:BB358" si="402">IF(COUNTIF(Y352:AA352,"NA")=3,0,IF(COUNTA(Y352:AA352)=0,0,IF(OR(AND(Y352=0,AZ352&gt;0),AND(Y352="ns",BA352&gt;0),AND(Y352="ns",AZ352=0,BA352=0)),1,IF(OR(AND(Y352&gt;0,AZ352=2),AND(Y352="ns",AZ352=2),AND(Y352="ns",BA352=0,AZ352&gt;0),Y352=BA352),0,1))))</f>
        <v>0</v>
      </c>
      <c r="BC352">
        <f t="shared" ref="BC352:BC358" si="403">COUNTIF(AC352:AD352,"NS")</f>
        <v>0</v>
      </c>
      <c r="BD352">
        <f t="shared" ref="BD352:BD358" si="404">SUM(AC352:AD352)</f>
        <v>0</v>
      </c>
      <c r="BE352">
        <f t="shared" ref="BE352:BE358" si="405">IF(COUNTIF(AB352:AD352,"NA")=3,0,IF(COUNTA(AB352:AD352)=0,0,IF(OR(AND(AB352=0,BC352&gt;0),AND(AB352="ns",BD352&gt;0),AND(AB352="ns",BC352=0,BD352=0)),1,IF(OR(AND(AB352&gt;0,BC352=2),AND(AB352="ns",BC352=2),AND(AB352="ns",BD352=0,BC352&gt;0),AB352=BD352),0,1))))</f>
        <v>0</v>
      </c>
      <c r="BF352">
        <f t="shared" ref="BF352:BF358" si="406">IF(OR($M41=0,$M41="NS",$M41="NA"),0,IF(AND(M41=J352,S41=K352,Y41=L352),0,1))</f>
        <v>0</v>
      </c>
    </row>
    <row r="353" spans="1:58" ht="15" customHeight="1">
      <c r="A353" s="108"/>
      <c r="B353" s="38"/>
      <c r="C353" s="98" t="s">
        <v>2518</v>
      </c>
      <c r="D353" s="813" t="str">
        <f>IF(CNSIPEE_2024_M2_Secc1!D44="","",CNSIPEE_2024_M2_Secc1!D44)</f>
        <v/>
      </c>
      <c r="E353" s="814"/>
      <c r="F353" s="814"/>
      <c r="G353" s="814"/>
      <c r="H353" s="814"/>
      <c r="I353" s="814"/>
      <c r="J353" s="100"/>
      <c r="K353" s="100"/>
      <c r="L353" s="100"/>
      <c r="M353" s="100"/>
      <c r="N353" s="100"/>
      <c r="O353" s="100"/>
      <c r="P353" s="100"/>
      <c r="Q353" s="100"/>
      <c r="R353" s="100"/>
      <c r="S353" s="100"/>
      <c r="T353" s="100"/>
      <c r="U353" s="100"/>
      <c r="V353" s="100"/>
      <c r="W353" s="100"/>
      <c r="X353" s="100"/>
      <c r="Y353" s="100"/>
      <c r="Z353" s="100"/>
      <c r="AA353" s="100"/>
      <c r="AB353" s="100"/>
      <c r="AC353" s="100"/>
      <c r="AD353" s="100"/>
      <c r="AG353">
        <f t="shared" si="383"/>
        <v>0</v>
      </c>
      <c r="AH353">
        <f t="shared" si="384"/>
        <v>0</v>
      </c>
      <c r="AK353">
        <f t="shared" si="385"/>
        <v>0</v>
      </c>
      <c r="AL353">
        <f t="shared" si="386"/>
        <v>0</v>
      </c>
      <c r="AM353">
        <f t="shared" si="387"/>
        <v>0</v>
      </c>
      <c r="AN353">
        <f t="shared" si="388"/>
        <v>0</v>
      </c>
      <c r="AO353">
        <f t="shared" si="389"/>
        <v>0</v>
      </c>
      <c r="AP353">
        <f t="shared" si="390"/>
        <v>0</v>
      </c>
      <c r="AQ353">
        <f t="shared" si="391"/>
        <v>0</v>
      </c>
      <c r="AR353">
        <f t="shared" si="392"/>
        <v>0</v>
      </c>
      <c r="AS353">
        <f t="shared" si="393"/>
        <v>0</v>
      </c>
      <c r="AT353">
        <f t="shared" si="394"/>
        <v>0</v>
      </c>
      <c r="AU353">
        <f t="shared" si="395"/>
        <v>0</v>
      </c>
      <c r="AV353">
        <f t="shared" si="396"/>
        <v>0</v>
      </c>
      <c r="AW353">
        <f t="shared" si="397"/>
        <v>0</v>
      </c>
      <c r="AX353">
        <f t="shared" si="398"/>
        <v>0</v>
      </c>
      <c r="AY353">
        <f t="shared" si="399"/>
        <v>0</v>
      </c>
      <c r="AZ353">
        <f t="shared" si="400"/>
        <v>0</v>
      </c>
      <c r="BA353">
        <f t="shared" si="401"/>
        <v>0</v>
      </c>
      <c r="BB353">
        <f t="shared" si="402"/>
        <v>0</v>
      </c>
      <c r="BC353">
        <f t="shared" si="403"/>
        <v>0</v>
      </c>
      <c r="BD353">
        <f t="shared" si="404"/>
        <v>0</v>
      </c>
      <c r="BE353">
        <f t="shared" si="405"/>
        <v>0</v>
      </c>
      <c r="BF353">
        <f t="shared" si="406"/>
        <v>0</v>
      </c>
    </row>
    <row r="354" spans="1:58" ht="15" customHeight="1">
      <c r="A354" s="108"/>
      <c r="B354" s="38"/>
      <c r="C354" s="98" t="s">
        <v>2519</v>
      </c>
      <c r="D354" s="813" t="str">
        <f>IF(CNSIPEE_2024_M2_Secc1!D45="","",CNSIPEE_2024_M2_Secc1!D45)</f>
        <v/>
      </c>
      <c r="E354" s="814"/>
      <c r="F354" s="814"/>
      <c r="G354" s="814"/>
      <c r="H354" s="814"/>
      <c r="I354" s="814"/>
      <c r="J354" s="100"/>
      <c r="K354" s="100"/>
      <c r="L354" s="100"/>
      <c r="M354" s="100"/>
      <c r="N354" s="100"/>
      <c r="O354" s="100"/>
      <c r="P354" s="100"/>
      <c r="Q354" s="100"/>
      <c r="R354" s="100"/>
      <c r="S354" s="100"/>
      <c r="T354" s="100"/>
      <c r="U354" s="100"/>
      <c r="V354" s="100"/>
      <c r="W354" s="100"/>
      <c r="X354" s="100"/>
      <c r="Y354" s="100"/>
      <c r="Z354" s="100"/>
      <c r="AA354" s="100"/>
      <c r="AB354" s="100"/>
      <c r="AC354" s="100"/>
      <c r="AD354" s="100"/>
      <c r="AG354">
        <f t="shared" si="383"/>
        <v>0</v>
      </c>
      <c r="AH354">
        <f t="shared" si="384"/>
        <v>0</v>
      </c>
      <c r="AK354">
        <f t="shared" si="385"/>
        <v>0</v>
      </c>
      <c r="AL354">
        <f t="shared" si="386"/>
        <v>0</v>
      </c>
      <c r="AM354">
        <f t="shared" si="387"/>
        <v>0</v>
      </c>
      <c r="AN354">
        <f t="shared" si="388"/>
        <v>0</v>
      </c>
      <c r="AO354">
        <f t="shared" si="389"/>
        <v>0</v>
      </c>
      <c r="AP354">
        <f t="shared" si="390"/>
        <v>0</v>
      </c>
      <c r="AQ354">
        <f t="shared" si="391"/>
        <v>0</v>
      </c>
      <c r="AR354">
        <f t="shared" si="392"/>
        <v>0</v>
      </c>
      <c r="AS354">
        <f t="shared" si="393"/>
        <v>0</v>
      </c>
      <c r="AT354">
        <f t="shared" si="394"/>
        <v>0</v>
      </c>
      <c r="AU354">
        <f t="shared" si="395"/>
        <v>0</v>
      </c>
      <c r="AV354">
        <f t="shared" si="396"/>
        <v>0</v>
      </c>
      <c r="AW354">
        <f t="shared" si="397"/>
        <v>0</v>
      </c>
      <c r="AX354">
        <f t="shared" si="398"/>
        <v>0</v>
      </c>
      <c r="AY354">
        <f t="shared" si="399"/>
        <v>0</v>
      </c>
      <c r="AZ354">
        <f t="shared" si="400"/>
        <v>0</v>
      </c>
      <c r="BA354">
        <f t="shared" si="401"/>
        <v>0</v>
      </c>
      <c r="BB354">
        <f t="shared" si="402"/>
        <v>0</v>
      </c>
      <c r="BC354">
        <f t="shared" si="403"/>
        <v>0</v>
      </c>
      <c r="BD354">
        <f t="shared" si="404"/>
        <v>0</v>
      </c>
      <c r="BE354">
        <f t="shared" si="405"/>
        <v>0</v>
      </c>
      <c r="BF354">
        <f t="shared" si="406"/>
        <v>0</v>
      </c>
    </row>
    <row r="355" spans="1:58" ht="15" customHeight="1">
      <c r="A355" s="176"/>
      <c r="B355" s="57"/>
      <c r="C355" s="98" t="s">
        <v>2520</v>
      </c>
      <c r="D355" s="813" t="str">
        <f>IF(CNSIPEE_2024_M2_Secc1!D46="","",CNSIPEE_2024_M2_Secc1!D46)</f>
        <v/>
      </c>
      <c r="E355" s="814"/>
      <c r="F355" s="814"/>
      <c r="G355" s="814"/>
      <c r="H355" s="814"/>
      <c r="I355" s="814"/>
      <c r="J355" s="100"/>
      <c r="K355" s="100"/>
      <c r="L355" s="100"/>
      <c r="M355" s="100"/>
      <c r="N355" s="100"/>
      <c r="O355" s="100"/>
      <c r="P355" s="100"/>
      <c r="Q355" s="100"/>
      <c r="R355" s="100"/>
      <c r="S355" s="100"/>
      <c r="T355" s="100"/>
      <c r="U355" s="100"/>
      <c r="V355" s="100"/>
      <c r="W355" s="100"/>
      <c r="X355" s="100"/>
      <c r="Y355" s="100"/>
      <c r="Z355" s="100"/>
      <c r="AA355" s="100"/>
      <c r="AB355" s="100"/>
      <c r="AC355" s="100"/>
      <c r="AD355" s="100"/>
      <c r="AG355">
        <f t="shared" si="383"/>
        <v>0</v>
      </c>
      <c r="AH355">
        <f t="shared" si="384"/>
        <v>0</v>
      </c>
      <c r="AK355">
        <f t="shared" si="385"/>
        <v>0</v>
      </c>
      <c r="AL355">
        <f t="shared" si="386"/>
        <v>0</v>
      </c>
      <c r="AM355">
        <f t="shared" si="387"/>
        <v>0</v>
      </c>
      <c r="AN355">
        <f t="shared" si="388"/>
        <v>0</v>
      </c>
      <c r="AO355">
        <f t="shared" si="389"/>
        <v>0</v>
      </c>
      <c r="AP355">
        <f t="shared" si="390"/>
        <v>0</v>
      </c>
      <c r="AQ355">
        <f t="shared" si="391"/>
        <v>0</v>
      </c>
      <c r="AR355">
        <f t="shared" si="392"/>
        <v>0</v>
      </c>
      <c r="AS355">
        <f t="shared" si="393"/>
        <v>0</v>
      </c>
      <c r="AT355">
        <f t="shared" si="394"/>
        <v>0</v>
      </c>
      <c r="AU355">
        <f t="shared" si="395"/>
        <v>0</v>
      </c>
      <c r="AV355">
        <f t="shared" si="396"/>
        <v>0</v>
      </c>
      <c r="AW355">
        <f t="shared" si="397"/>
        <v>0</v>
      </c>
      <c r="AX355">
        <f t="shared" si="398"/>
        <v>0</v>
      </c>
      <c r="AY355">
        <f t="shared" si="399"/>
        <v>0</v>
      </c>
      <c r="AZ355">
        <f t="shared" si="400"/>
        <v>0</v>
      </c>
      <c r="BA355">
        <f t="shared" si="401"/>
        <v>0</v>
      </c>
      <c r="BB355">
        <f t="shared" si="402"/>
        <v>0</v>
      </c>
      <c r="BC355">
        <f t="shared" si="403"/>
        <v>0</v>
      </c>
      <c r="BD355">
        <f t="shared" si="404"/>
        <v>0</v>
      </c>
      <c r="BE355">
        <f t="shared" si="405"/>
        <v>0</v>
      </c>
      <c r="BF355">
        <f t="shared" si="406"/>
        <v>0</v>
      </c>
    </row>
    <row r="356" spans="1:58" ht="15" customHeight="1">
      <c r="A356" s="176"/>
      <c r="B356" s="57"/>
      <c r="C356" s="98" t="s">
        <v>2521</v>
      </c>
      <c r="D356" s="813" t="str">
        <f>IF(CNSIPEE_2024_M2_Secc1!D47="","",CNSIPEE_2024_M2_Secc1!D47)</f>
        <v/>
      </c>
      <c r="E356" s="814"/>
      <c r="F356" s="814"/>
      <c r="G356" s="814"/>
      <c r="H356" s="814"/>
      <c r="I356" s="814"/>
      <c r="J356" s="100"/>
      <c r="K356" s="100"/>
      <c r="L356" s="100"/>
      <c r="M356" s="100"/>
      <c r="N356" s="100"/>
      <c r="O356" s="100"/>
      <c r="P356" s="100"/>
      <c r="Q356" s="100"/>
      <c r="R356" s="100"/>
      <c r="S356" s="100"/>
      <c r="T356" s="100"/>
      <c r="U356" s="100"/>
      <c r="V356" s="100"/>
      <c r="W356" s="100"/>
      <c r="X356" s="100"/>
      <c r="Y356" s="100"/>
      <c r="Z356" s="100"/>
      <c r="AA356" s="100"/>
      <c r="AB356" s="100"/>
      <c r="AC356" s="100"/>
      <c r="AD356" s="100"/>
      <c r="AG356">
        <f t="shared" si="383"/>
        <v>0</v>
      </c>
      <c r="AH356">
        <f t="shared" si="384"/>
        <v>0</v>
      </c>
      <c r="AK356">
        <f t="shared" si="385"/>
        <v>0</v>
      </c>
      <c r="AL356">
        <f t="shared" si="386"/>
        <v>0</v>
      </c>
      <c r="AM356">
        <f t="shared" si="387"/>
        <v>0</v>
      </c>
      <c r="AN356">
        <f t="shared" si="388"/>
        <v>0</v>
      </c>
      <c r="AO356">
        <f t="shared" si="389"/>
        <v>0</v>
      </c>
      <c r="AP356">
        <f t="shared" si="390"/>
        <v>0</v>
      </c>
      <c r="AQ356">
        <f t="shared" si="391"/>
        <v>0</v>
      </c>
      <c r="AR356">
        <f t="shared" si="392"/>
        <v>0</v>
      </c>
      <c r="AS356">
        <f t="shared" si="393"/>
        <v>0</v>
      </c>
      <c r="AT356">
        <f t="shared" si="394"/>
        <v>0</v>
      </c>
      <c r="AU356">
        <f t="shared" si="395"/>
        <v>0</v>
      </c>
      <c r="AV356">
        <f t="shared" si="396"/>
        <v>0</v>
      </c>
      <c r="AW356">
        <f t="shared" si="397"/>
        <v>0</v>
      </c>
      <c r="AX356">
        <f t="shared" si="398"/>
        <v>0</v>
      </c>
      <c r="AY356">
        <f t="shared" si="399"/>
        <v>0</v>
      </c>
      <c r="AZ356">
        <f t="shared" si="400"/>
        <v>0</v>
      </c>
      <c r="BA356">
        <f t="shared" si="401"/>
        <v>0</v>
      </c>
      <c r="BB356">
        <f t="shared" si="402"/>
        <v>0</v>
      </c>
      <c r="BC356">
        <f t="shared" si="403"/>
        <v>0</v>
      </c>
      <c r="BD356">
        <f t="shared" si="404"/>
        <v>0</v>
      </c>
      <c r="BE356">
        <f t="shared" si="405"/>
        <v>0</v>
      </c>
      <c r="BF356">
        <f t="shared" si="406"/>
        <v>0</v>
      </c>
    </row>
    <row r="357" spans="1:58" ht="15" customHeight="1">
      <c r="A357" s="176"/>
      <c r="B357" s="57"/>
      <c r="C357" s="98" t="s">
        <v>2522</v>
      </c>
      <c r="D357" s="813" t="str">
        <f>IF(CNSIPEE_2024_M2_Secc1!D48="","",CNSIPEE_2024_M2_Secc1!D48)</f>
        <v/>
      </c>
      <c r="E357" s="814"/>
      <c r="F357" s="814"/>
      <c r="G357" s="814"/>
      <c r="H357" s="814"/>
      <c r="I357" s="814"/>
      <c r="J357" s="100"/>
      <c r="K357" s="100"/>
      <c r="L357" s="100"/>
      <c r="M357" s="100"/>
      <c r="N357" s="100"/>
      <c r="O357" s="100"/>
      <c r="P357" s="100"/>
      <c r="Q357" s="100"/>
      <c r="R357" s="100"/>
      <c r="S357" s="100"/>
      <c r="T357" s="100"/>
      <c r="U357" s="100"/>
      <c r="V357" s="100"/>
      <c r="W357" s="100"/>
      <c r="X357" s="100"/>
      <c r="Y357" s="100"/>
      <c r="Z357" s="100"/>
      <c r="AA357" s="100"/>
      <c r="AB357" s="100"/>
      <c r="AC357" s="100"/>
      <c r="AD357" s="100"/>
      <c r="AG357">
        <f t="shared" si="383"/>
        <v>0</v>
      </c>
      <c r="AH357">
        <f t="shared" si="384"/>
        <v>0</v>
      </c>
      <c r="AK357">
        <f t="shared" si="385"/>
        <v>0</v>
      </c>
      <c r="AL357">
        <f t="shared" si="386"/>
        <v>0</v>
      </c>
      <c r="AM357">
        <f t="shared" si="387"/>
        <v>0</v>
      </c>
      <c r="AN357">
        <f t="shared" si="388"/>
        <v>0</v>
      </c>
      <c r="AO357">
        <f t="shared" si="389"/>
        <v>0</v>
      </c>
      <c r="AP357">
        <f t="shared" si="390"/>
        <v>0</v>
      </c>
      <c r="AQ357">
        <f t="shared" si="391"/>
        <v>0</v>
      </c>
      <c r="AR357">
        <f t="shared" si="392"/>
        <v>0</v>
      </c>
      <c r="AS357">
        <f t="shared" si="393"/>
        <v>0</v>
      </c>
      <c r="AT357">
        <f t="shared" si="394"/>
        <v>0</v>
      </c>
      <c r="AU357">
        <f t="shared" si="395"/>
        <v>0</v>
      </c>
      <c r="AV357">
        <f t="shared" si="396"/>
        <v>0</v>
      </c>
      <c r="AW357">
        <f t="shared" si="397"/>
        <v>0</v>
      </c>
      <c r="AX357">
        <f t="shared" si="398"/>
        <v>0</v>
      </c>
      <c r="AY357">
        <f t="shared" si="399"/>
        <v>0</v>
      </c>
      <c r="AZ357">
        <f t="shared" si="400"/>
        <v>0</v>
      </c>
      <c r="BA357">
        <f t="shared" si="401"/>
        <v>0</v>
      </c>
      <c r="BB357">
        <f t="shared" si="402"/>
        <v>0</v>
      </c>
      <c r="BC357">
        <f t="shared" si="403"/>
        <v>0</v>
      </c>
      <c r="BD357">
        <f t="shared" si="404"/>
        <v>0</v>
      </c>
      <c r="BE357">
        <f t="shared" si="405"/>
        <v>0</v>
      </c>
      <c r="BF357">
        <f t="shared" si="406"/>
        <v>0</v>
      </c>
    </row>
    <row r="358" spans="1:58" ht="15" customHeight="1">
      <c r="A358" s="176"/>
      <c r="B358" s="57"/>
      <c r="C358" s="98" t="s">
        <v>2523</v>
      </c>
      <c r="D358" s="813" t="str">
        <f>IF(CNSIPEE_2024_M2_Secc1!D49="","",CNSIPEE_2024_M2_Secc1!D49)</f>
        <v/>
      </c>
      <c r="E358" s="814"/>
      <c r="F358" s="814"/>
      <c r="G358" s="814"/>
      <c r="H358" s="814"/>
      <c r="I358" s="814"/>
      <c r="J358" s="100"/>
      <c r="K358" s="100"/>
      <c r="L358" s="100"/>
      <c r="M358" s="100"/>
      <c r="N358" s="100"/>
      <c r="O358" s="100"/>
      <c r="P358" s="100"/>
      <c r="Q358" s="100"/>
      <c r="R358" s="100"/>
      <c r="S358" s="100"/>
      <c r="T358" s="100"/>
      <c r="U358" s="100"/>
      <c r="V358" s="100"/>
      <c r="W358" s="100"/>
      <c r="X358" s="100"/>
      <c r="Y358" s="100"/>
      <c r="Z358" s="100"/>
      <c r="AA358" s="100"/>
      <c r="AB358" s="100"/>
      <c r="AC358" s="100"/>
      <c r="AD358" s="100"/>
      <c r="AG358">
        <f t="shared" si="383"/>
        <v>0</v>
      </c>
      <c r="AH358">
        <f t="shared" si="384"/>
        <v>0</v>
      </c>
      <c r="AK358">
        <f t="shared" si="385"/>
        <v>0</v>
      </c>
      <c r="AL358">
        <f t="shared" si="386"/>
        <v>0</v>
      </c>
      <c r="AM358">
        <f t="shared" si="387"/>
        <v>0</v>
      </c>
      <c r="AN358">
        <f t="shared" si="388"/>
        <v>0</v>
      </c>
      <c r="AO358">
        <f t="shared" si="389"/>
        <v>0</v>
      </c>
      <c r="AP358">
        <f t="shared" si="390"/>
        <v>0</v>
      </c>
      <c r="AQ358">
        <f t="shared" si="391"/>
        <v>0</v>
      </c>
      <c r="AR358">
        <f t="shared" si="392"/>
        <v>0</v>
      </c>
      <c r="AS358">
        <f t="shared" si="393"/>
        <v>0</v>
      </c>
      <c r="AT358">
        <f t="shared" si="394"/>
        <v>0</v>
      </c>
      <c r="AU358">
        <f t="shared" si="395"/>
        <v>0</v>
      </c>
      <c r="AV358">
        <f t="shared" si="396"/>
        <v>0</v>
      </c>
      <c r="AW358">
        <f t="shared" si="397"/>
        <v>0</v>
      </c>
      <c r="AX358">
        <f t="shared" si="398"/>
        <v>0</v>
      </c>
      <c r="AY358">
        <f t="shared" si="399"/>
        <v>0</v>
      </c>
      <c r="AZ358">
        <f t="shared" si="400"/>
        <v>0</v>
      </c>
      <c r="BA358">
        <f t="shared" si="401"/>
        <v>0</v>
      </c>
      <c r="BB358">
        <f t="shared" si="402"/>
        <v>0</v>
      </c>
      <c r="BC358">
        <f t="shared" si="403"/>
        <v>0</v>
      </c>
      <c r="BD358">
        <f t="shared" si="404"/>
        <v>0</v>
      </c>
      <c r="BE358">
        <f t="shared" si="405"/>
        <v>0</v>
      </c>
      <c r="BF358">
        <f t="shared" si="406"/>
        <v>0</v>
      </c>
    </row>
    <row r="359" spans="1:58" ht="15" customHeight="1">
      <c r="A359" s="108"/>
      <c r="B359" s="38"/>
      <c r="C359" s="38"/>
      <c r="D359" s="38"/>
      <c r="E359" s="38"/>
      <c r="F359" s="38"/>
      <c r="G359" s="38"/>
      <c r="H359" s="117"/>
      <c r="I359" s="117" t="s">
        <v>2649</v>
      </c>
      <c r="J359" s="124">
        <f t="shared" ref="J359:AD359" si="407">IF(AND(SUM(J351:J358)=0,COUNTIF(J351:J358,"NS")&gt;0),"NS",IF(AND(SUM(J351:J358)=0,COUNTIF(J351:J358,0)&gt;0),0,IF(AND(SUM(J351:J358)=0,COUNTIF(J351:J358,"NA")&gt;0),"NA",SUM(J351:J358))))</f>
        <v>0</v>
      </c>
      <c r="K359" s="124">
        <f t="shared" si="407"/>
        <v>0</v>
      </c>
      <c r="L359" s="124">
        <f t="shared" si="407"/>
        <v>0</v>
      </c>
      <c r="M359" s="124">
        <f t="shared" si="407"/>
        <v>0</v>
      </c>
      <c r="N359" s="124">
        <f t="shared" si="407"/>
        <v>0</v>
      </c>
      <c r="O359" s="124">
        <f t="shared" si="407"/>
        <v>0</v>
      </c>
      <c r="P359" s="124">
        <f t="shared" si="407"/>
        <v>0</v>
      </c>
      <c r="Q359" s="124">
        <f t="shared" si="407"/>
        <v>0</v>
      </c>
      <c r="R359" s="124">
        <f t="shared" si="407"/>
        <v>0</v>
      </c>
      <c r="S359" s="124">
        <f t="shared" si="407"/>
        <v>0</v>
      </c>
      <c r="T359" s="124">
        <f t="shared" si="407"/>
        <v>0</v>
      </c>
      <c r="U359" s="124">
        <f t="shared" si="407"/>
        <v>0</v>
      </c>
      <c r="V359" s="124">
        <f t="shared" si="407"/>
        <v>0</v>
      </c>
      <c r="W359" s="124">
        <f t="shared" si="407"/>
        <v>0</v>
      </c>
      <c r="X359" s="124">
        <f t="shared" si="407"/>
        <v>0</v>
      </c>
      <c r="Y359" s="124">
        <f t="shared" si="407"/>
        <v>0</v>
      </c>
      <c r="Z359" s="124">
        <f t="shared" si="407"/>
        <v>0</v>
      </c>
      <c r="AA359" s="124">
        <f t="shared" si="407"/>
        <v>0</v>
      </c>
      <c r="AB359" s="124">
        <f t="shared" si="407"/>
        <v>0</v>
      </c>
      <c r="AC359" s="124">
        <f t="shared" si="407"/>
        <v>0</v>
      </c>
      <c r="AD359" s="124">
        <f t="shared" si="407"/>
        <v>0</v>
      </c>
      <c r="AG359" s="507">
        <f>SUM(AG351:AG358)</f>
        <v>0</v>
      </c>
      <c r="AH359" s="507">
        <f>SUM(AH351:AH358)</f>
        <v>0</v>
      </c>
      <c r="AK359">
        <f>SUM(AK351:AK358)</f>
        <v>0</v>
      </c>
      <c r="AM359">
        <f>SUM(AM351:AM358)</f>
        <v>0</v>
      </c>
      <c r="AN359">
        <f>SUM(AN351:AN358)</f>
        <v>0</v>
      </c>
      <c r="AP359">
        <f>SUM(AP351:AP358)</f>
        <v>0</v>
      </c>
      <c r="AQ359">
        <f>SUM(AQ351:AQ358)</f>
        <v>0</v>
      </c>
      <c r="AS359">
        <f>SUM(AS351:AS358)</f>
        <v>0</v>
      </c>
      <c r="AT359">
        <f>SUM(AT351:AT358)</f>
        <v>0</v>
      </c>
      <c r="AV359">
        <f>SUM(AV351:AV358)</f>
        <v>0</v>
      </c>
      <c r="AW359">
        <f>SUM(AW351:AW358)</f>
        <v>0</v>
      </c>
      <c r="AY359">
        <f>SUM(AY351:AY358)</f>
        <v>0</v>
      </c>
      <c r="AZ359">
        <f>SUM(AZ351:AZ358)</f>
        <v>0</v>
      </c>
      <c r="BB359">
        <f>SUM(BB351:BB358)</f>
        <v>0</v>
      </c>
      <c r="BC359">
        <f>SUM(BC351:BC358)</f>
        <v>0</v>
      </c>
      <c r="BE359">
        <f>SUM(BE351:BE358)</f>
        <v>0</v>
      </c>
      <c r="BF359" s="506">
        <f>SUM(BF351:BF358)</f>
        <v>0</v>
      </c>
    </row>
    <row r="360" spans="1:58" ht="15" customHeight="1">
      <c r="A360" s="108"/>
      <c r="B360" s="38"/>
      <c r="C360" s="38"/>
      <c r="D360" s="38"/>
      <c r="E360" s="38"/>
      <c r="F360" s="38"/>
      <c r="G360" s="38"/>
      <c r="H360" s="38"/>
      <c r="I360" s="38"/>
      <c r="J360" s="38"/>
      <c r="K360" s="38"/>
      <c r="L360" s="117"/>
      <c r="M360" s="141"/>
      <c r="N360" s="141"/>
      <c r="O360" s="70"/>
      <c r="P360" s="70"/>
      <c r="Q360" s="70"/>
      <c r="R360" s="70"/>
      <c r="S360" s="141"/>
      <c r="T360" s="141"/>
      <c r="U360" s="70"/>
      <c r="V360" s="70"/>
      <c r="W360" s="141"/>
      <c r="X360" s="141"/>
      <c r="Y360" s="70"/>
      <c r="Z360" s="70"/>
      <c r="AA360" s="141"/>
      <c r="AB360" s="141"/>
      <c r="AC360" s="70"/>
      <c r="AD360" s="70"/>
      <c r="AK360" t="s">
        <v>2650</v>
      </c>
      <c r="AL360" s="506">
        <f>SUM(AM359,AP359,AS359,AV359,AY359,BB359,BE359)</f>
        <v>0</v>
      </c>
      <c r="AM360" t="s">
        <v>2651</v>
      </c>
      <c r="AN360">
        <f>SUM(AK359,AN359,AQ359,AT359,AW359,AZ359,BC359)</f>
        <v>0</v>
      </c>
    </row>
    <row r="361" spans="1:58" ht="24" customHeight="1">
      <c r="A361" s="108"/>
      <c r="B361" s="38"/>
      <c r="C361" s="754" t="s">
        <v>2611</v>
      </c>
      <c r="D361" s="754"/>
      <c r="E361" s="754"/>
      <c r="F361" s="754"/>
      <c r="G361" s="754"/>
      <c r="H361" s="754"/>
      <c r="I361" s="754"/>
      <c r="J361" s="754"/>
      <c r="K361" s="754"/>
      <c r="L361" s="754"/>
      <c r="M361" s="754"/>
      <c r="N361" s="754"/>
      <c r="O361" s="754"/>
      <c r="P361" s="754"/>
      <c r="Q361" s="754"/>
      <c r="R361" s="754"/>
      <c r="S361" s="754"/>
      <c r="T361" s="754"/>
      <c r="U361" s="754"/>
      <c r="V361" s="754"/>
      <c r="W361" s="754"/>
      <c r="X361" s="754"/>
      <c r="Y361" s="754"/>
      <c r="Z361" s="754"/>
      <c r="AA361" s="754"/>
      <c r="AB361" s="754"/>
      <c r="AC361" s="754"/>
      <c r="AD361" s="754"/>
      <c r="AK361" t="s">
        <v>2652</v>
      </c>
      <c r="AL361" s="507">
        <f>IF(AN360&gt;0,IF(SUM(J359)&gt;=SUM(M359,P359,S359,V359,Y359,AB359),0,1),IF(SUM(J359)&lt;&gt;SUM(M359,P359,S359,V359,Y359,AB359),1,0))</f>
        <v>0</v>
      </c>
      <c r="AM361" t="s">
        <v>2653</v>
      </c>
      <c r="AN361" s="507">
        <f>IF(AN360&gt;0,IF(SUM(K359)&gt;=SUM(N359,Q359,T359,W359,Z359,AC359),0,1),IF(SUM(K359)&lt;&gt;SUM(N359,Q359,T359,W359,Z359,AC359),1,0))</f>
        <v>0</v>
      </c>
      <c r="AO361" t="s">
        <v>2654</v>
      </c>
      <c r="AP361" s="507">
        <f>IF(AN360&gt;0,IF(SUM(L359)&gt;=SUM(O359,R359,U359,X359,AA359,AD359),0,1),IF(SUM(L359)&lt;&gt;SUM(O359,R359,U359,X359,AA359,AD359),1,0))</f>
        <v>0</v>
      </c>
    </row>
    <row r="362" spans="1:58" ht="60" customHeight="1">
      <c r="A362" s="108"/>
      <c r="B362" s="38"/>
      <c r="C362" s="851"/>
      <c r="D362" s="851"/>
      <c r="E362" s="851"/>
      <c r="F362" s="851"/>
      <c r="G362" s="851"/>
      <c r="H362" s="851"/>
      <c r="I362" s="851"/>
      <c r="J362" s="851"/>
      <c r="K362" s="851"/>
      <c r="L362" s="851"/>
      <c r="M362" s="851"/>
      <c r="N362" s="851"/>
      <c r="O362" s="851"/>
      <c r="P362" s="851"/>
      <c r="Q362" s="851"/>
      <c r="R362" s="851"/>
      <c r="S362" s="851"/>
      <c r="T362" s="851"/>
      <c r="U362" s="851"/>
      <c r="V362" s="851"/>
      <c r="W362" s="851"/>
      <c r="X362" s="851"/>
      <c r="Y362" s="851"/>
      <c r="Z362" s="851"/>
      <c r="AA362" s="851"/>
      <c r="AB362" s="851"/>
      <c r="AC362" s="851"/>
      <c r="AD362" s="851"/>
    </row>
    <row r="363" spans="1:58" ht="15" customHeight="1">
      <c r="A363" s="176"/>
      <c r="B363" s="794" t="str">
        <f>IF(AG359=0,"","Favor de ingresar toda la información requerida en la pregunta")</f>
        <v/>
      </c>
      <c r="C363" s="794"/>
      <c r="D363" s="794"/>
      <c r="E363" s="794"/>
      <c r="F363" s="794"/>
      <c r="G363" s="794"/>
      <c r="H363" s="794"/>
      <c r="I363" s="794"/>
      <c r="J363" s="794"/>
      <c r="K363" s="794"/>
      <c r="L363" s="794"/>
      <c r="M363" s="794"/>
      <c r="N363" s="794"/>
      <c r="O363" s="794"/>
      <c r="P363" s="794"/>
      <c r="Q363" s="794"/>
      <c r="R363" s="794"/>
      <c r="S363" s="794"/>
      <c r="T363" s="794"/>
      <c r="U363" s="794"/>
      <c r="V363" s="794"/>
      <c r="W363" s="794"/>
      <c r="X363" s="794"/>
      <c r="Y363" s="794"/>
      <c r="Z363" s="794"/>
      <c r="AA363" s="794"/>
      <c r="AB363" s="794"/>
      <c r="AC363" s="794"/>
      <c r="AD363" s="794"/>
      <c r="AE363" s="794"/>
    </row>
    <row r="364" spans="1:58" ht="15" customHeight="1">
      <c r="A364" s="176"/>
      <c r="B364" s="1087" t="str">
        <f>IF(COUNTIF(J351:AD358,"NS")&lt;&gt;0,"Alerta: debido a que cuenta con registros NS, debe proporcionar una justificación en el area de comentarios al final de la pregunta","")</f>
        <v/>
      </c>
      <c r="C364" s="1087"/>
      <c r="D364" s="1087"/>
      <c r="E364" s="1087"/>
      <c r="F364" s="1087"/>
      <c r="G364" s="1087"/>
      <c r="H364" s="1087"/>
      <c r="I364" s="1087"/>
      <c r="J364" s="1087"/>
      <c r="K364" s="1087"/>
      <c r="L364" s="1087"/>
      <c r="M364" s="1087"/>
      <c r="N364" s="1087"/>
      <c r="O364" s="1087"/>
      <c r="P364" s="1087"/>
      <c r="Q364" s="1087"/>
      <c r="R364" s="1087"/>
      <c r="S364" s="1087"/>
      <c r="T364" s="1087"/>
      <c r="U364" s="1087"/>
      <c r="V364" s="1087"/>
      <c r="W364" s="1087"/>
      <c r="X364" s="1087"/>
      <c r="Y364" s="1087"/>
      <c r="Z364" s="1087"/>
      <c r="AA364" s="1087"/>
      <c r="AB364" s="1087"/>
      <c r="AC364" s="1087"/>
      <c r="AD364" s="1087"/>
      <c r="AE364" s="1087"/>
    </row>
    <row r="365" spans="1:58" ht="15" customHeight="1">
      <c r="A365" s="176"/>
      <c r="B365" s="1003" t="str">
        <f>IF(AH359&gt;0,"Revise la información capturada, ya que tiene datos ingresados en celdas que están sombreadas","")</f>
        <v/>
      </c>
      <c r="C365" s="1003"/>
      <c r="D365" s="1003"/>
      <c r="E365" s="1003"/>
      <c r="F365" s="1003"/>
      <c r="G365" s="1003"/>
      <c r="H365" s="1003"/>
      <c r="I365" s="1003"/>
      <c r="J365" s="1003"/>
      <c r="K365" s="1003"/>
      <c r="L365" s="1003"/>
      <c r="M365" s="1003"/>
      <c r="N365" s="1003"/>
      <c r="O365" s="1003"/>
      <c r="P365" s="1003"/>
      <c r="Q365" s="1003"/>
      <c r="R365" s="1003"/>
      <c r="S365" s="1003"/>
      <c r="T365" s="1003"/>
      <c r="U365" s="1003"/>
      <c r="V365" s="1003"/>
      <c r="W365" s="1003"/>
      <c r="X365" s="1003"/>
      <c r="Y365" s="1003"/>
      <c r="Z365" s="1003"/>
      <c r="AA365" s="1003"/>
      <c r="AB365" s="1003"/>
      <c r="AC365" s="1003"/>
      <c r="AD365" s="1003"/>
      <c r="AE365" s="1003"/>
    </row>
    <row r="366" spans="1:58" ht="15" customHeight="1">
      <c r="A366" s="176"/>
      <c r="B366" s="1003" t="str">
        <f>IF(OR(AL360&gt;0,AL361&gt;0,AN361&gt;0,AP361&gt;0),"Favor de revisar la suma y consistencia de totales y/o subtotales por filas (numéricos y NS)","")</f>
        <v/>
      </c>
      <c r="C366" s="1003"/>
      <c r="D366" s="1003"/>
      <c r="E366" s="1003"/>
      <c r="F366" s="1003"/>
      <c r="G366" s="1003"/>
      <c r="H366" s="1003"/>
      <c r="I366" s="1003"/>
      <c r="J366" s="1003"/>
      <c r="K366" s="1003"/>
      <c r="L366" s="1003"/>
      <c r="M366" s="1003"/>
      <c r="N366" s="1003"/>
      <c r="O366" s="1003"/>
      <c r="P366" s="1003"/>
      <c r="Q366" s="1003"/>
      <c r="R366" s="1003"/>
      <c r="S366" s="1003"/>
      <c r="T366" s="1003"/>
      <c r="U366" s="1003"/>
      <c r="V366" s="1003"/>
      <c r="W366" s="1003"/>
      <c r="X366" s="1003"/>
      <c r="Y366" s="1003"/>
      <c r="Z366" s="1003"/>
      <c r="AA366" s="1003"/>
      <c r="AB366" s="1003"/>
      <c r="AC366" s="1003"/>
      <c r="AD366" s="1003"/>
      <c r="AE366" s="1003"/>
    </row>
    <row r="367" spans="1:58" ht="15" customHeight="1">
      <c r="A367" s="176"/>
      <c r="B367" s="1003" t="str">
        <f>IF(BF359=0,"","Las cantidades de Hombres y Mujeres por centro especializado debe corresponder con los datos reportados en la preg. 8.1")</f>
        <v/>
      </c>
      <c r="C367" s="1003"/>
      <c r="D367" s="1003"/>
      <c r="E367" s="1003"/>
      <c r="F367" s="1003"/>
      <c r="G367" s="1003"/>
      <c r="H367" s="1003"/>
      <c r="I367" s="1003"/>
      <c r="J367" s="1003"/>
      <c r="K367" s="1003"/>
      <c r="L367" s="1003"/>
      <c r="M367" s="1003"/>
      <c r="N367" s="1003"/>
      <c r="O367" s="1003"/>
      <c r="P367" s="1003"/>
      <c r="Q367" s="1003"/>
      <c r="R367" s="1003"/>
      <c r="S367" s="1003"/>
      <c r="T367" s="1003"/>
      <c r="U367" s="1003"/>
      <c r="V367" s="1003"/>
      <c r="W367" s="1003"/>
      <c r="X367" s="1003"/>
      <c r="Y367" s="1003"/>
      <c r="Z367" s="1003"/>
      <c r="AA367" s="1003"/>
      <c r="AB367" s="1003"/>
      <c r="AC367" s="1003"/>
      <c r="AD367" s="1003"/>
      <c r="AE367" s="1003"/>
    </row>
    <row r="368" spans="1:58" ht="15" customHeight="1">
      <c r="A368" s="176"/>
      <c r="B368" s="105"/>
      <c r="C368" s="105"/>
      <c r="D368" s="105"/>
      <c r="E368" s="105"/>
      <c r="F368" s="105"/>
      <c r="G368" s="105"/>
      <c r="H368" s="105"/>
      <c r="I368" s="105"/>
      <c r="J368" s="105"/>
      <c r="K368" s="105"/>
      <c r="L368" s="105"/>
      <c r="M368" s="105"/>
      <c r="N368" s="105"/>
      <c r="O368" s="105"/>
      <c r="P368" s="105"/>
      <c r="Q368" s="105"/>
      <c r="R368" s="105"/>
      <c r="S368" s="105"/>
      <c r="T368" s="105"/>
      <c r="U368" s="105"/>
      <c r="V368" s="105"/>
      <c r="W368" s="105"/>
      <c r="X368" s="105"/>
      <c r="Y368" s="105"/>
      <c r="Z368" s="105"/>
      <c r="AA368" s="105"/>
      <c r="AB368" s="105"/>
      <c r="AC368" s="105"/>
      <c r="AD368" s="105"/>
    </row>
    <row r="369" spans="1:58" ht="36" customHeight="1">
      <c r="A369" s="108" t="s">
        <v>5241</v>
      </c>
      <c r="B369" s="829" t="s">
        <v>5242</v>
      </c>
      <c r="C369" s="829"/>
      <c r="D369" s="829"/>
      <c r="E369" s="829"/>
      <c r="F369" s="829"/>
      <c r="G369" s="829"/>
      <c r="H369" s="829"/>
      <c r="I369" s="829"/>
      <c r="J369" s="829"/>
      <c r="K369" s="829"/>
      <c r="L369" s="829"/>
      <c r="M369" s="829"/>
      <c r="N369" s="829"/>
      <c r="O369" s="829"/>
      <c r="P369" s="829"/>
      <c r="Q369" s="829"/>
      <c r="R369" s="829"/>
      <c r="S369" s="829"/>
      <c r="T369" s="829"/>
      <c r="U369" s="829"/>
      <c r="V369" s="829"/>
      <c r="W369" s="829"/>
      <c r="X369" s="829"/>
      <c r="Y369" s="829"/>
      <c r="Z369" s="829"/>
      <c r="AA369" s="829"/>
      <c r="AB369" s="829"/>
      <c r="AC369" s="829"/>
      <c r="AD369" s="829"/>
    </row>
    <row r="370" spans="1:58" ht="15" customHeight="1">
      <c r="A370" s="108"/>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c r="AA370" s="38"/>
      <c r="AB370" s="38"/>
      <c r="AC370" s="38"/>
      <c r="AD370" s="38"/>
    </row>
    <row r="371" spans="1:58" ht="36" customHeight="1">
      <c r="A371" s="108"/>
      <c r="B371" s="38"/>
      <c r="C371" s="797" t="s">
        <v>2581</v>
      </c>
      <c r="D371" s="798"/>
      <c r="E371" s="798"/>
      <c r="F371" s="798"/>
      <c r="G371" s="798"/>
      <c r="H371" s="798"/>
      <c r="I371" s="798"/>
      <c r="J371" s="798"/>
      <c r="K371" s="798"/>
      <c r="L371" s="798"/>
      <c r="M371" s="798"/>
      <c r="N371" s="798"/>
      <c r="O371" s="798"/>
      <c r="P371" s="798"/>
      <c r="Q371" s="798"/>
      <c r="R371" s="799"/>
      <c r="S371" s="739" t="s">
        <v>5243</v>
      </c>
      <c r="T371" s="740"/>
      <c r="U371" s="740"/>
      <c r="V371" s="740"/>
      <c r="W371" s="740"/>
      <c r="X371" s="740"/>
      <c r="Y371" s="740"/>
      <c r="Z371" s="740"/>
      <c r="AA371" s="740"/>
      <c r="AB371" s="740"/>
      <c r="AC371" s="740"/>
      <c r="AD371" s="741"/>
    </row>
    <row r="372" spans="1:58" ht="24" customHeight="1">
      <c r="A372" s="108"/>
      <c r="B372" s="38"/>
      <c r="C372" s="800"/>
      <c r="D372" s="801"/>
      <c r="E372" s="801"/>
      <c r="F372" s="801"/>
      <c r="G372" s="801"/>
      <c r="H372" s="801"/>
      <c r="I372" s="801"/>
      <c r="J372" s="801"/>
      <c r="K372" s="801"/>
      <c r="L372" s="801"/>
      <c r="M372" s="801"/>
      <c r="N372" s="801"/>
      <c r="O372" s="801"/>
      <c r="P372" s="801"/>
      <c r="Q372" s="801"/>
      <c r="R372" s="802"/>
      <c r="S372" s="887" t="s">
        <v>2628</v>
      </c>
      <c r="T372" s="889" t="s">
        <v>2629</v>
      </c>
      <c r="U372" s="889" t="s">
        <v>2630</v>
      </c>
      <c r="V372" s="733" t="s">
        <v>3320</v>
      </c>
      <c r="W372" s="734"/>
      <c r="X372" s="735"/>
      <c r="Y372" s="733" t="s">
        <v>3321</v>
      </c>
      <c r="Z372" s="734"/>
      <c r="AA372" s="735"/>
      <c r="AB372" s="733" t="s">
        <v>201</v>
      </c>
      <c r="AC372" s="734"/>
      <c r="AD372" s="735"/>
    </row>
    <row r="373" spans="1:58" ht="48" customHeight="1">
      <c r="A373" s="108"/>
      <c r="B373" s="38"/>
      <c r="C373" s="803"/>
      <c r="D373" s="804"/>
      <c r="E373" s="804"/>
      <c r="F373" s="804"/>
      <c r="G373" s="804"/>
      <c r="H373" s="804"/>
      <c r="I373" s="804"/>
      <c r="J373" s="804"/>
      <c r="K373" s="804"/>
      <c r="L373" s="804"/>
      <c r="M373" s="804"/>
      <c r="N373" s="804"/>
      <c r="O373" s="804"/>
      <c r="P373" s="804"/>
      <c r="Q373" s="804"/>
      <c r="R373" s="805"/>
      <c r="S373" s="888"/>
      <c r="T373" s="890"/>
      <c r="U373" s="890"/>
      <c r="V373" s="171" t="s">
        <v>2635</v>
      </c>
      <c r="W373" s="128" t="s">
        <v>2629</v>
      </c>
      <c r="X373" s="128" t="s">
        <v>2630</v>
      </c>
      <c r="Y373" s="171" t="s">
        <v>2635</v>
      </c>
      <c r="Z373" s="128" t="s">
        <v>2629</v>
      </c>
      <c r="AA373" s="128" t="s">
        <v>2630</v>
      </c>
      <c r="AB373" s="171" t="s">
        <v>2635</v>
      </c>
      <c r="AC373" s="128" t="s">
        <v>2629</v>
      </c>
      <c r="AD373" s="128" t="s">
        <v>2630</v>
      </c>
      <c r="AG373" t="s">
        <v>2586</v>
      </c>
      <c r="AH373" t="s">
        <v>4581</v>
      </c>
      <c r="AK373" t="s">
        <v>4573</v>
      </c>
      <c r="AL373" t="s">
        <v>2638</v>
      </c>
      <c r="AM373" t="s">
        <v>2639</v>
      </c>
      <c r="AN373" t="s">
        <v>4574</v>
      </c>
      <c r="AO373" t="s">
        <v>2641</v>
      </c>
      <c r="AP373" t="s">
        <v>2642</v>
      </c>
      <c r="AQ373" t="s">
        <v>4575</v>
      </c>
      <c r="AR373" t="s">
        <v>2644</v>
      </c>
      <c r="AS373" t="s">
        <v>2645</v>
      </c>
      <c r="AT373" t="s">
        <v>4576</v>
      </c>
      <c r="AU373" t="s">
        <v>2647</v>
      </c>
      <c r="AV373" t="s">
        <v>2648</v>
      </c>
      <c r="BF373" t="s">
        <v>4582</v>
      </c>
    </row>
    <row r="374" spans="1:58" ht="15" customHeight="1">
      <c r="A374" s="108"/>
      <c r="B374" s="38"/>
      <c r="C374" s="97" t="s">
        <v>2516</v>
      </c>
      <c r="D374" s="813" t="str">
        <f>IF(CNSIPEE_2024_M2_Secc1!D42="","",CNSIPEE_2024_M2_Secc1!D42)</f>
        <v/>
      </c>
      <c r="E374" s="814"/>
      <c r="F374" s="814"/>
      <c r="G374" s="814"/>
      <c r="H374" s="814"/>
      <c r="I374" s="814"/>
      <c r="J374" s="814"/>
      <c r="K374" s="814"/>
      <c r="L374" s="814"/>
      <c r="M374" s="814"/>
      <c r="N374" s="814"/>
      <c r="O374" s="814"/>
      <c r="P374" s="814"/>
      <c r="Q374" s="814"/>
      <c r="R374" s="815"/>
      <c r="S374" s="100"/>
      <c r="T374" s="100"/>
      <c r="U374" s="100"/>
      <c r="V374" s="100"/>
      <c r="W374" s="100"/>
      <c r="X374" s="100"/>
      <c r="Y374" s="100"/>
      <c r="Z374" s="100"/>
      <c r="AA374" s="100"/>
      <c r="AB374" s="100"/>
      <c r="AC374" s="100"/>
      <c r="AD374" s="100"/>
      <c r="AG374">
        <f>IF(OR($M40=0,$M40="NS",$M40="NA"),0,IF(OR(COUNTBLANK(D374:AD374)=14,COUNTBLANK(D374:AD374)=27),0,1))</f>
        <v>0</v>
      </c>
      <c r="AH374">
        <f>IF(OR($M40=0,$M40="NS",$M40="NA"),IF(COUNTBLANK(S374:AD374)=12,0,1),0)</f>
        <v>0</v>
      </c>
      <c r="AK374">
        <f t="shared" ref="AK374" si="408">COUNTIF(T374:U374,"NS")</f>
        <v>0</v>
      </c>
      <c r="AL374">
        <f t="shared" ref="AL374" si="409">SUM(T374:U374)</f>
        <v>0</v>
      </c>
      <c r="AM374">
        <f>IF(COUNTIF(S374:U374,"NA")=3,0,IF(COUNTA(S374:U374)=0,0,IF(OR(AND(S374=0,AK374&gt;0),AND(S374="ns",AL374&gt;0),AND(S374="ns",AK374=0,AL374=0)),1,IF(OR(AND(S374&gt;0,AK374=2),AND(S374="ns",AK374=2),AND(S374="ns",AL374=0,AK374&gt;0),S374=AL374),0,1))))</f>
        <v>0</v>
      </c>
      <c r="AN374">
        <f t="shared" ref="AN374" si="410">COUNTIF(W374:X374,"NS")</f>
        <v>0</v>
      </c>
      <c r="AO374">
        <f t="shared" ref="AO374" si="411">SUM(W374:X374)</f>
        <v>0</v>
      </c>
      <c r="AP374">
        <f t="shared" ref="AP374" si="412">IF(COUNTIF(V374:X374,"NA")=3,0,IF(COUNTA(V374:X374)=0,0,IF(OR(AND(V374=0,AN374&gt;0),AND(V374="ns",AO374&gt;0),AND(V374="ns",AN374=0,AO374=0)),1,IF(OR(AND(V374&gt;0,AN374=2),AND(V374="ns",AN374=2),AND(V374="ns",AO374=0,AN374&gt;0),V374=AO374),0,1))))</f>
        <v>0</v>
      </c>
      <c r="AQ374">
        <f t="shared" ref="AQ374" si="413">COUNTIF(Z374:AA374,"NS")</f>
        <v>0</v>
      </c>
      <c r="AR374">
        <f t="shared" ref="AR374" si="414">SUM(Z374:AA374)</f>
        <v>0</v>
      </c>
      <c r="AS374">
        <f t="shared" ref="AS374" si="415">IF(COUNTIF(Y374:AA374,"NA")=3,0,IF(COUNTA(Y374:AA374)=0,0,IF(OR(AND(Y374=0,AQ374&gt;0),AND(Y374="ns",AR374&gt;0),AND(Y374="ns",AQ374=0,AR374=0)),1,IF(OR(AND(Y374&gt;0,AQ374=2),AND(Y374="ns",AQ374=2),AND(Y374="ns",AR374=0,AQ374&gt;0),Y374=AR374),0,1))))</f>
        <v>0</v>
      </c>
      <c r="AT374">
        <f t="shared" ref="AT374" si="416">COUNTIF(AC374:AD374,"NS")</f>
        <v>0</v>
      </c>
      <c r="AU374">
        <f t="shared" ref="AU374" si="417">SUM(AC374:AD374)</f>
        <v>0</v>
      </c>
      <c r="AV374">
        <f t="shared" ref="AV374" si="418">IF(COUNTIF(AB374:AD374,"NA")=3,0,IF(COUNTA(AB374:AD374)=0,0,IF(OR(AND(AB374=0,AT374&gt;0),AND(AB374="ns",AU374&gt;0),AND(AB374="ns",AT374=0,AU374=0)),1,IF(OR(AND(AB374&gt;0,AT374=2),AND(AB374="ns",AT374=2),AND(AB374="ns",AU374=0,AT374&gt;0),AB374=AU374),0,1))))</f>
        <v>0</v>
      </c>
      <c r="BF374">
        <f>IF(OR($M40=0,$M40="NS",$M40="NA"),0,IF(AND(M40=S374,S40=T374,Y40=U374),0,1))</f>
        <v>0</v>
      </c>
    </row>
    <row r="375" spans="1:58" ht="15" customHeight="1">
      <c r="A375" s="108"/>
      <c r="B375" s="38"/>
      <c r="C375" s="98" t="s">
        <v>2517</v>
      </c>
      <c r="D375" s="813" t="str">
        <f>IF(CNSIPEE_2024_M2_Secc1!D43="","",CNSIPEE_2024_M2_Secc1!D43)</f>
        <v/>
      </c>
      <c r="E375" s="814"/>
      <c r="F375" s="814"/>
      <c r="G375" s="814"/>
      <c r="H375" s="814"/>
      <c r="I375" s="814"/>
      <c r="J375" s="814"/>
      <c r="K375" s="814"/>
      <c r="L375" s="814"/>
      <c r="M375" s="814"/>
      <c r="N375" s="814"/>
      <c r="O375" s="814"/>
      <c r="P375" s="814"/>
      <c r="Q375" s="814"/>
      <c r="R375" s="815"/>
      <c r="S375" s="100"/>
      <c r="T375" s="100"/>
      <c r="U375" s="100"/>
      <c r="V375" s="100"/>
      <c r="W375" s="100"/>
      <c r="X375" s="100"/>
      <c r="Y375" s="100"/>
      <c r="Z375" s="100"/>
      <c r="AA375" s="100"/>
      <c r="AB375" s="100"/>
      <c r="AC375" s="100"/>
      <c r="AD375" s="100"/>
      <c r="AG375">
        <f t="shared" ref="AG375:AG381" si="419">IF(OR($M41=0,$M41="NS",$M41="NA"),0,IF(OR(COUNTBLANK(D375:AD375)=14,COUNTBLANK(D375:AD375)=27),0,1))</f>
        <v>0</v>
      </c>
      <c r="AH375">
        <f t="shared" ref="AH375:AH381" si="420">IF(OR($M41=0,$M41="NS",$M41="NA"),IF(COUNTBLANK(S375:AD375)=12,0,1),0)</f>
        <v>0</v>
      </c>
      <c r="AK375">
        <f t="shared" ref="AK375:AK381" si="421">COUNTIF(T375:U375,"NS")</f>
        <v>0</v>
      </c>
      <c r="AL375">
        <f t="shared" ref="AL375:AL381" si="422">SUM(T375:U375)</f>
        <v>0</v>
      </c>
      <c r="AM375">
        <f t="shared" ref="AM375:AM381" si="423">IF(COUNTIF(S375:U375,"NA")=3,0,IF(COUNTA(S375:U375)=0,0,IF(OR(AND(S375=0,AK375&gt;0),AND(S375="ns",AL375&gt;0),AND(S375="ns",AK375=0,AL375=0)),1,IF(OR(AND(S375&gt;0,AK375=2),AND(S375="ns",AK375=2),AND(S375="ns",AL375=0,AK375&gt;0),S375=AL375),0,1))))</f>
        <v>0</v>
      </c>
      <c r="AN375">
        <f t="shared" ref="AN375:AN381" si="424">COUNTIF(W375:X375,"NS")</f>
        <v>0</v>
      </c>
      <c r="AO375">
        <f t="shared" ref="AO375:AO381" si="425">SUM(W375:X375)</f>
        <v>0</v>
      </c>
      <c r="AP375">
        <f t="shared" ref="AP375:AP381" si="426">IF(COUNTIF(V375:X375,"NA")=3,0,IF(COUNTA(V375:X375)=0,0,IF(OR(AND(V375=0,AN375&gt;0),AND(V375="ns",AO375&gt;0),AND(V375="ns",AN375=0,AO375=0)),1,IF(OR(AND(V375&gt;0,AN375=2),AND(V375="ns",AN375=2),AND(V375="ns",AO375=0,AN375&gt;0),V375=AO375),0,1))))</f>
        <v>0</v>
      </c>
      <c r="AQ375">
        <f t="shared" ref="AQ375:AQ381" si="427">COUNTIF(Z375:AA375,"NS")</f>
        <v>0</v>
      </c>
      <c r="AR375">
        <f t="shared" ref="AR375:AR381" si="428">SUM(Z375:AA375)</f>
        <v>0</v>
      </c>
      <c r="AS375">
        <f t="shared" ref="AS375:AS381" si="429">IF(COUNTIF(Y375:AA375,"NA")=3,0,IF(COUNTA(Y375:AA375)=0,0,IF(OR(AND(Y375=0,AQ375&gt;0),AND(Y375="ns",AR375&gt;0),AND(Y375="ns",AQ375=0,AR375=0)),1,IF(OR(AND(Y375&gt;0,AQ375=2),AND(Y375="ns",AQ375=2),AND(Y375="ns",AR375=0,AQ375&gt;0),Y375=AR375),0,1))))</f>
        <v>0</v>
      </c>
      <c r="AT375">
        <f t="shared" ref="AT375:AT381" si="430">COUNTIF(AC375:AD375,"NS")</f>
        <v>0</v>
      </c>
      <c r="AU375">
        <f t="shared" ref="AU375:AU381" si="431">SUM(AC375:AD375)</f>
        <v>0</v>
      </c>
      <c r="AV375">
        <f t="shared" ref="AV375:AV381" si="432">IF(COUNTIF(AB375:AD375,"NA")=3,0,IF(COUNTA(AB375:AD375)=0,0,IF(OR(AND(AB375=0,AT375&gt;0),AND(AB375="ns",AU375&gt;0),AND(AB375="ns",AT375=0,AU375=0)),1,IF(OR(AND(AB375&gt;0,AT375=2),AND(AB375="ns",AT375=2),AND(AB375="ns",AU375=0,AT375&gt;0),AB375=AU375),0,1))))</f>
        <v>0</v>
      </c>
      <c r="BF375">
        <f t="shared" ref="BF375:BF381" si="433">IF(OR($M41=0,$M41="NS",$M41="NA"),0,IF(AND(M41=S375,S41=T375,Y41=U375),0,1))</f>
        <v>0</v>
      </c>
    </row>
    <row r="376" spans="1:58" ht="15" customHeight="1">
      <c r="A376" s="186"/>
      <c r="B376" s="57"/>
      <c r="C376" s="98" t="s">
        <v>2518</v>
      </c>
      <c r="D376" s="813" t="str">
        <f>IF(CNSIPEE_2024_M2_Secc1!D44="","",CNSIPEE_2024_M2_Secc1!D44)</f>
        <v/>
      </c>
      <c r="E376" s="814"/>
      <c r="F376" s="814"/>
      <c r="G376" s="814"/>
      <c r="H376" s="814"/>
      <c r="I376" s="814"/>
      <c r="J376" s="814"/>
      <c r="K376" s="814"/>
      <c r="L376" s="814"/>
      <c r="M376" s="814"/>
      <c r="N376" s="814"/>
      <c r="O376" s="814"/>
      <c r="P376" s="814"/>
      <c r="Q376" s="814"/>
      <c r="R376" s="815"/>
      <c r="S376" s="100"/>
      <c r="T376" s="100"/>
      <c r="U376" s="100"/>
      <c r="V376" s="100"/>
      <c r="W376" s="100"/>
      <c r="X376" s="100"/>
      <c r="Y376" s="100"/>
      <c r="Z376" s="100"/>
      <c r="AA376" s="100"/>
      <c r="AB376" s="100"/>
      <c r="AC376" s="100"/>
      <c r="AD376" s="100"/>
      <c r="AG376">
        <f t="shared" si="419"/>
        <v>0</v>
      </c>
      <c r="AH376">
        <f t="shared" si="420"/>
        <v>0</v>
      </c>
      <c r="AK376">
        <f t="shared" si="421"/>
        <v>0</v>
      </c>
      <c r="AL376">
        <f t="shared" si="422"/>
        <v>0</v>
      </c>
      <c r="AM376">
        <f t="shared" si="423"/>
        <v>0</v>
      </c>
      <c r="AN376">
        <f t="shared" si="424"/>
        <v>0</v>
      </c>
      <c r="AO376">
        <f t="shared" si="425"/>
        <v>0</v>
      </c>
      <c r="AP376">
        <f t="shared" si="426"/>
        <v>0</v>
      </c>
      <c r="AQ376">
        <f t="shared" si="427"/>
        <v>0</v>
      </c>
      <c r="AR376">
        <f t="shared" si="428"/>
        <v>0</v>
      </c>
      <c r="AS376">
        <f t="shared" si="429"/>
        <v>0</v>
      </c>
      <c r="AT376">
        <f t="shared" si="430"/>
        <v>0</v>
      </c>
      <c r="AU376">
        <f t="shared" si="431"/>
        <v>0</v>
      </c>
      <c r="AV376">
        <f t="shared" si="432"/>
        <v>0</v>
      </c>
      <c r="BF376">
        <f t="shared" si="433"/>
        <v>0</v>
      </c>
    </row>
    <row r="377" spans="1:58" ht="15" customHeight="1">
      <c r="A377" s="186"/>
      <c r="B377" s="57"/>
      <c r="C377" s="98" t="s">
        <v>2519</v>
      </c>
      <c r="D377" s="813" t="str">
        <f>IF(CNSIPEE_2024_M2_Secc1!D45="","",CNSIPEE_2024_M2_Secc1!D45)</f>
        <v/>
      </c>
      <c r="E377" s="814"/>
      <c r="F377" s="814"/>
      <c r="G377" s="814"/>
      <c r="H377" s="814"/>
      <c r="I377" s="814"/>
      <c r="J377" s="814"/>
      <c r="K377" s="814"/>
      <c r="L377" s="814"/>
      <c r="M377" s="814"/>
      <c r="N377" s="814"/>
      <c r="O377" s="814"/>
      <c r="P377" s="814"/>
      <c r="Q377" s="814"/>
      <c r="R377" s="815"/>
      <c r="S377" s="100"/>
      <c r="T377" s="100"/>
      <c r="U377" s="100"/>
      <c r="V377" s="100"/>
      <c r="W377" s="100"/>
      <c r="X377" s="100"/>
      <c r="Y377" s="100"/>
      <c r="Z377" s="100"/>
      <c r="AA377" s="100"/>
      <c r="AB377" s="100"/>
      <c r="AC377" s="100"/>
      <c r="AD377" s="100"/>
      <c r="AG377">
        <f t="shared" si="419"/>
        <v>0</v>
      </c>
      <c r="AH377">
        <f t="shared" si="420"/>
        <v>0</v>
      </c>
      <c r="AK377">
        <f t="shared" si="421"/>
        <v>0</v>
      </c>
      <c r="AL377">
        <f t="shared" si="422"/>
        <v>0</v>
      </c>
      <c r="AM377">
        <f t="shared" si="423"/>
        <v>0</v>
      </c>
      <c r="AN377">
        <f t="shared" si="424"/>
        <v>0</v>
      </c>
      <c r="AO377">
        <f t="shared" si="425"/>
        <v>0</v>
      </c>
      <c r="AP377">
        <f t="shared" si="426"/>
        <v>0</v>
      </c>
      <c r="AQ377">
        <f t="shared" si="427"/>
        <v>0</v>
      </c>
      <c r="AR377">
        <f t="shared" si="428"/>
        <v>0</v>
      </c>
      <c r="AS377">
        <f t="shared" si="429"/>
        <v>0</v>
      </c>
      <c r="AT377">
        <f t="shared" si="430"/>
        <v>0</v>
      </c>
      <c r="AU377">
        <f t="shared" si="431"/>
        <v>0</v>
      </c>
      <c r="AV377">
        <f t="shared" si="432"/>
        <v>0</v>
      </c>
      <c r="BF377">
        <f t="shared" si="433"/>
        <v>0</v>
      </c>
    </row>
    <row r="378" spans="1:58" ht="15" customHeight="1">
      <c r="A378" s="186"/>
      <c r="B378" s="57"/>
      <c r="C378" s="98" t="s">
        <v>2520</v>
      </c>
      <c r="D378" s="813" t="str">
        <f>IF(CNSIPEE_2024_M2_Secc1!D46="","",CNSIPEE_2024_M2_Secc1!D46)</f>
        <v/>
      </c>
      <c r="E378" s="814"/>
      <c r="F378" s="814"/>
      <c r="G378" s="814"/>
      <c r="H378" s="814"/>
      <c r="I378" s="814"/>
      <c r="J378" s="814"/>
      <c r="K378" s="814"/>
      <c r="L378" s="814"/>
      <c r="M378" s="814"/>
      <c r="N378" s="814"/>
      <c r="O378" s="814"/>
      <c r="P378" s="814"/>
      <c r="Q378" s="814"/>
      <c r="R378" s="815"/>
      <c r="S378" s="100"/>
      <c r="T378" s="100"/>
      <c r="U378" s="100"/>
      <c r="V378" s="100"/>
      <c r="W378" s="100"/>
      <c r="X378" s="100"/>
      <c r="Y378" s="100"/>
      <c r="Z378" s="100"/>
      <c r="AA378" s="100"/>
      <c r="AB378" s="100"/>
      <c r="AC378" s="100"/>
      <c r="AD378" s="100"/>
      <c r="AG378">
        <f t="shared" si="419"/>
        <v>0</v>
      </c>
      <c r="AH378">
        <f t="shared" si="420"/>
        <v>0</v>
      </c>
      <c r="AK378">
        <f t="shared" si="421"/>
        <v>0</v>
      </c>
      <c r="AL378">
        <f t="shared" si="422"/>
        <v>0</v>
      </c>
      <c r="AM378">
        <f t="shared" si="423"/>
        <v>0</v>
      </c>
      <c r="AN378">
        <f t="shared" si="424"/>
        <v>0</v>
      </c>
      <c r="AO378">
        <f t="shared" si="425"/>
        <v>0</v>
      </c>
      <c r="AP378">
        <f t="shared" si="426"/>
        <v>0</v>
      </c>
      <c r="AQ378">
        <f t="shared" si="427"/>
        <v>0</v>
      </c>
      <c r="AR378">
        <f t="shared" si="428"/>
        <v>0</v>
      </c>
      <c r="AS378">
        <f t="shared" si="429"/>
        <v>0</v>
      </c>
      <c r="AT378">
        <f t="shared" si="430"/>
        <v>0</v>
      </c>
      <c r="AU378">
        <f t="shared" si="431"/>
        <v>0</v>
      </c>
      <c r="AV378">
        <f t="shared" si="432"/>
        <v>0</v>
      </c>
      <c r="BF378">
        <f t="shared" si="433"/>
        <v>0</v>
      </c>
    </row>
    <row r="379" spans="1:58" ht="15" customHeight="1">
      <c r="A379" s="186"/>
      <c r="B379" s="57"/>
      <c r="C379" s="98" t="s">
        <v>2521</v>
      </c>
      <c r="D379" s="813" t="str">
        <f>IF(CNSIPEE_2024_M2_Secc1!D47="","",CNSIPEE_2024_M2_Secc1!D47)</f>
        <v/>
      </c>
      <c r="E379" s="814"/>
      <c r="F379" s="814"/>
      <c r="G379" s="814"/>
      <c r="H379" s="814"/>
      <c r="I379" s="814"/>
      <c r="J379" s="814"/>
      <c r="K379" s="814"/>
      <c r="L379" s="814"/>
      <c r="M379" s="814"/>
      <c r="N379" s="814"/>
      <c r="O379" s="814"/>
      <c r="P379" s="814"/>
      <c r="Q379" s="814"/>
      <c r="R379" s="815"/>
      <c r="S379" s="100"/>
      <c r="T379" s="100"/>
      <c r="U379" s="100"/>
      <c r="V379" s="100"/>
      <c r="W379" s="100"/>
      <c r="X379" s="100"/>
      <c r="Y379" s="100"/>
      <c r="Z379" s="100"/>
      <c r="AA379" s="100"/>
      <c r="AB379" s="100"/>
      <c r="AC379" s="100"/>
      <c r="AD379" s="100"/>
      <c r="AG379">
        <f t="shared" si="419"/>
        <v>0</v>
      </c>
      <c r="AH379">
        <f t="shared" si="420"/>
        <v>0</v>
      </c>
      <c r="AK379">
        <f t="shared" si="421"/>
        <v>0</v>
      </c>
      <c r="AL379">
        <f t="shared" si="422"/>
        <v>0</v>
      </c>
      <c r="AM379">
        <f t="shared" si="423"/>
        <v>0</v>
      </c>
      <c r="AN379">
        <f t="shared" si="424"/>
        <v>0</v>
      </c>
      <c r="AO379">
        <f t="shared" si="425"/>
        <v>0</v>
      </c>
      <c r="AP379">
        <f t="shared" si="426"/>
        <v>0</v>
      </c>
      <c r="AQ379">
        <f t="shared" si="427"/>
        <v>0</v>
      </c>
      <c r="AR379">
        <f t="shared" si="428"/>
        <v>0</v>
      </c>
      <c r="AS379">
        <f t="shared" si="429"/>
        <v>0</v>
      </c>
      <c r="AT379">
        <f t="shared" si="430"/>
        <v>0</v>
      </c>
      <c r="AU379">
        <f t="shared" si="431"/>
        <v>0</v>
      </c>
      <c r="AV379">
        <f t="shared" si="432"/>
        <v>0</v>
      </c>
      <c r="BF379">
        <f t="shared" si="433"/>
        <v>0</v>
      </c>
    </row>
    <row r="380" spans="1:58" ht="15" customHeight="1">
      <c r="A380" s="186"/>
      <c r="B380" s="57"/>
      <c r="C380" s="98" t="s">
        <v>2522</v>
      </c>
      <c r="D380" s="813" t="str">
        <f>IF(CNSIPEE_2024_M2_Secc1!D48="","",CNSIPEE_2024_M2_Secc1!D48)</f>
        <v/>
      </c>
      <c r="E380" s="814"/>
      <c r="F380" s="814"/>
      <c r="G380" s="814"/>
      <c r="H380" s="814"/>
      <c r="I380" s="814"/>
      <c r="J380" s="814"/>
      <c r="K380" s="814"/>
      <c r="L380" s="814"/>
      <c r="M380" s="814"/>
      <c r="N380" s="814"/>
      <c r="O380" s="814"/>
      <c r="P380" s="814"/>
      <c r="Q380" s="814"/>
      <c r="R380" s="815"/>
      <c r="S380" s="100"/>
      <c r="T380" s="100"/>
      <c r="U380" s="100"/>
      <c r="V380" s="100"/>
      <c r="W380" s="100"/>
      <c r="X380" s="100"/>
      <c r="Y380" s="100"/>
      <c r="Z380" s="100"/>
      <c r="AA380" s="100"/>
      <c r="AB380" s="100"/>
      <c r="AC380" s="100"/>
      <c r="AD380" s="100"/>
      <c r="AG380">
        <f t="shared" si="419"/>
        <v>0</v>
      </c>
      <c r="AH380">
        <f t="shared" si="420"/>
        <v>0</v>
      </c>
      <c r="AK380">
        <f t="shared" si="421"/>
        <v>0</v>
      </c>
      <c r="AL380">
        <f t="shared" si="422"/>
        <v>0</v>
      </c>
      <c r="AM380">
        <f t="shared" si="423"/>
        <v>0</v>
      </c>
      <c r="AN380">
        <f t="shared" si="424"/>
        <v>0</v>
      </c>
      <c r="AO380">
        <f t="shared" si="425"/>
        <v>0</v>
      </c>
      <c r="AP380">
        <f t="shared" si="426"/>
        <v>0</v>
      </c>
      <c r="AQ380">
        <f t="shared" si="427"/>
        <v>0</v>
      </c>
      <c r="AR380">
        <f t="shared" si="428"/>
        <v>0</v>
      </c>
      <c r="AS380">
        <f t="shared" si="429"/>
        <v>0</v>
      </c>
      <c r="AT380">
        <f t="shared" si="430"/>
        <v>0</v>
      </c>
      <c r="AU380">
        <f t="shared" si="431"/>
        <v>0</v>
      </c>
      <c r="AV380">
        <f t="shared" si="432"/>
        <v>0</v>
      </c>
      <c r="BF380">
        <f t="shared" si="433"/>
        <v>0</v>
      </c>
    </row>
    <row r="381" spans="1:58" ht="15" customHeight="1">
      <c r="A381" s="186"/>
      <c r="B381" s="57"/>
      <c r="C381" s="98" t="s">
        <v>2523</v>
      </c>
      <c r="D381" s="813" t="str">
        <f>IF(CNSIPEE_2024_M2_Secc1!D49="","",CNSIPEE_2024_M2_Secc1!D49)</f>
        <v/>
      </c>
      <c r="E381" s="814"/>
      <c r="F381" s="814"/>
      <c r="G381" s="814"/>
      <c r="H381" s="814"/>
      <c r="I381" s="814"/>
      <c r="J381" s="814"/>
      <c r="K381" s="814"/>
      <c r="L381" s="814"/>
      <c r="M381" s="814"/>
      <c r="N381" s="814"/>
      <c r="O381" s="814"/>
      <c r="P381" s="814"/>
      <c r="Q381" s="814"/>
      <c r="R381" s="815"/>
      <c r="S381" s="100"/>
      <c r="T381" s="100"/>
      <c r="U381" s="100"/>
      <c r="V381" s="100"/>
      <c r="W381" s="100"/>
      <c r="X381" s="100"/>
      <c r="Y381" s="100"/>
      <c r="Z381" s="100"/>
      <c r="AA381" s="100"/>
      <c r="AB381" s="100"/>
      <c r="AC381" s="100"/>
      <c r="AD381" s="100"/>
      <c r="AG381">
        <f t="shared" si="419"/>
        <v>0</v>
      </c>
      <c r="AH381">
        <f t="shared" si="420"/>
        <v>0</v>
      </c>
      <c r="AK381">
        <f t="shared" si="421"/>
        <v>0</v>
      </c>
      <c r="AL381">
        <f t="shared" si="422"/>
        <v>0</v>
      </c>
      <c r="AM381">
        <f t="shared" si="423"/>
        <v>0</v>
      </c>
      <c r="AN381">
        <f t="shared" si="424"/>
        <v>0</v>
      </c>
      <c r="AO381">
        <f t="shared" si="425"/>
        <v>0</v>
      </c>
      <c r="AP381">
        <f t="shared" si="426"/>
        <v>0</v>
      </c>
      <c r="AQ381">
        <f t="shared" si="427"/>
        <v>0</v>
      </c>
      <c r="AR381">
        <f t="shared" si="428"/>
        <v>0</v>
      </c>
      <c r="AS381">
        <f t="shared" si="429"/>
        <v>0</v>
      </c>
      <c r="AT381">
        <f t="shared" si="430"/>
        <v>0</v>
      </c>
      <c r="AU381">
        <f t="shared" si="431"/>
        <v>0</v>
      </c>
      <c r="AV381">
        <f t="shared" si="432"/>
        <v>0</v>
      </c>
      <c r="BF381">
        <f t="shared" si="433"/>
        <v>0</v>
      </c>
    </row>
    <row r="382" spans="1:58" ht="15" customHeight="1">
      <c r="A382" s="186"/>
      <c r="B382" s="57"/>
      <c r="C382" s="70"/>
      <c r="D382" s="84"/>
      <c r="E382" s="84"/>
      <c r="F382" s="84"/>
      <c r="G382" s="84"/>
      <c r="H382" s="84"/>
      <c r="I382" s="84"/>
      <c r="J382" s="84"/>
      <c r="K382" s="84"/>
      <c r="L382" s="84"/>
      <c r="M382" s="84"/>
      <c r="N382" s="84"/>
      <c r="O382" s="84"/>
      <c r="P382" s="84"/>
      <c r="Q382" s="84"/>
      <c r="R382" s="117" t="s">
        <v>2649</v>
      </c>
      <c r="S382" s="124">
        <f t="shared" ref="S382:AD382" si="434">IF(AND(SUM(S374:S381)=0,COUNTIF(S374:S381,"NS")&gt;0),"NS",IF(AND(SUM(S374:S381)=0,COUNTIF(S374:S381,0)&gt;0),0,IF(AND(SUM(S374:S381)=0,COUNTIF(S374:S381,"NA")&gt;0),"NA",SUM(S374:S381))))</f>
        <v>0</v>
      </c>
      <c r="T382" s="124">
        <f t="shared" si="434"/>
        <v>0</v>
      </c>
      <c r="U382" s="124">
        <f t="shared" si="434"/>
        <v>0</v>
      </c>
      <c r="V382" s="124">
        <f t="shared" si="434"/>
        <v>0</v>
      </c>
      <c r="W382" s="124">
        <f t="shared" si="434"/>
        <v>0</v>
      </c>
      <c r="X382" s="124">
        <f t="shared" si="434"/>
        <v>0</v>
      </c>
      <c r="Y382" s="124">
        <f t="shared" si="434"/>
        <v>0</v>
      </c>
      <c r="Z382" s="124">
        <f t="shared" si="434"/>
        <v>0</v>
      </c>
      <c r="AA382" s="124">
        <f t="shared" si="434"/>
        <v>0</v>
      </c>
      <c r="AB382" s="124">
        <f t="shared" si="434"/>
        <v>0</v>
      </c>
      <c r="AC382" s="124">
        <f t="shared" si="434"/>
        <v>0</v>
      </c>
      <c r="AD382" s="124">
        <f t="shared" si="434"/>
        <v>0</v>
      </c>
      <c r="AG382" s="507">
        <f>SUM(AG374:AG381)</f>
        <v>0</v>
      </c>
      <c r="AH382" s="507">
        <f>SUM(AH374:AH381)</f>
        <v>0</v>
      </c>
      <c r="AK382">
        <f>SUM(AK374:AK381)</f>
        <v>0</v>
      </c>
      <c r="AM382">
        <f>SUM(AM374:AM381)</f>
        <v>0</v>
      </c>
      <c r="AN382">
        <f>SUM(AN374:AN381)</f>
        <v>0</v>
      </c>
      <c r="AP382">
        <f>SUM(AP374:AP381)</f>
        <v>0</v>
      </c>
      <c r="AQ382">
        <f>SUM(AQ374:AQ381)</f>
        <v>0</v>
      </c>
      <c r="AS382">
        <f>SUM(AS374:AS381)</f>
        <v>0</v>
      </c>
      <c r="AT382">
        <f>SUM(AT374:AT381)</f>
        <v>0</v>
      </c>
      <c r="AV382">
        <f>SUM(AV374:AV381)</f>
        <v>0</v>
      </c>
      <c r="BF382" s="506">
        <f>SUM(BF374:BF381)</f>
        <v>0</v>
      </c>
    </row>
    <row r="383" spans="1:58" ht="15" customHeight="1">
      <c r="A383" s="108"/>
      <c r="B383" s="38"/>
      <c r="C383" s="38"/>
      <c r="D383" s="38"/>
      <c r="E383" s="38"/>
      <c r="F383" s="38"/>
      <c r="G383" s="38"/>
      <c r="H383" s="38"/>
      <c r="I383" s="38"/>
      <c r="J383" s="38"/>
      <c r="K383" s="38"/>
      <c r="L383" s="117"/>
      <c r="M383" s="141"/>
      <c r="N383" s="141"/>
      <c r="O383" s="70"/>
      <c r="P383" s="70"/>
      <c r="Q383" s="70"/>
      <c r="R383" s="70"/>
      <c r="S383" s="141"/>
      <c r="T383" s="141"/>
      <c r="U383" s="70"/>
      <c r="V383" s="70"/>
      <c r="W383" s="141"/>
      <c r="X383" s="141"/>
      <c r="Y383" s="70"/>
      <c r="Z383" s="70"/>
      <c r="AA383" s="141"/>
      <c r="AB383" s="141"/>
      <c r="AC383" s="70"/>
      <c r="AD383" s="70"/>
      <c r="AK383" t="s">
        <v>2650</v>
      </c>
      <c r="AL383" s="506">
        <f>SUM(AM382,AP382,AS382,AV382)</f>
        <v>0</v>
      </c>
      <c r="AM383" t="s">
        <v>2651</v>
      </c>
      <c r="AN383">
        <f>SUM(AK382,AN382,AQ382,AT382)</f>
        <v>0</v>
      </c>
    </row>
    <row r="384" spans="1:58" ht="24" customHeight="1">
      <c r="A384" s="108"/>
      <c r="B384" s="38"/>
      <c r="C384" s="754" t="s">
        <v>2611</v>
      </c>
      <c r="D384" s="754"/>
      <c r="E384" s="754"/>
      <c r="F384" s="754"/>
      <c r="G384" s="754"/>
      <c r="H384" s="754"/>
      <c r="I384" s="754"/>
      <c r="J384" s="754"/>
      <c r="K384" s="754"/>
      <c r="L384" s="754"/>
      <c r="M384" s="754"/>
      <c r="N384" s="754"/>
      <c r="O384" s="754"/>
      <c r="P384" s="754"/>
      <c r="Q384" s="754"/>
      <c r="R384" s="754"/>
      <c r="S384" s="754"/>
      <c r="T384" s="754"/>
      <c r="U384" s="754"/>
      <c r="V384" s="754"/>
      <c r="W384" s="754"/>
      <c r="X384" s="754"/>
      <c r="Y384" s="754"/>
      <c r="Z384" s="754"/>
      <c r="AA384" s="754"/>
      <c r="AB384" s="754"/>
      <c r="AC384" s="754"/>
      <c r="AD384" s="754"/>
      <c r="AK384" t="s">
        <v>2652</v>
      </c>
      <c r="AL384" s="507">
        <f>IF(AN383&gt;0,IF(SUM(S382)&gt;=SUM(V382,Y382,AB382),0,1),IF(SUM(S382)&lt;&gt;SUM(V382,Y382,AB382),1,0))</f>
        <v>0</v>
      </c>
      <c r="AM384" t="s">
        <v>2653</v>
      </c>
      <c r="AN384" s="507">
        <f>IF(AN383&gt;0,IF(SUM(T382)&gt;=SUM(W382,Z382,AC382),0,1),IF(SUM(T382)&lt;&gt;SUM(W382,Z382,AC382),1,0))</f>
        <v>0</v>
      </c>
      <c r="AO384" t="s">
        <v>2654</v>
      </c>
      <c r="AP384" s="507">
        <f>IF(AN383&gt;0,IF(SUM(U382)&gt;=SUM(X382,AA382,AD382),0,1),IF(SUM(U382)&lt;&gt;SUM(X382,AA382,AD382),1,0))</f>
        <v>0</v>
      </c>
    </row>
    <row r="385" spans="1:48" ht="60" customHeight="1">
      <c r="A385" s="108"/>
      <c r="B385" s="38"/>
      <c r="C385" s="851"/>
      <c r="D385" s="851"/>
      <c r="E385" s="851"/>
      <c r="F385" s="851"/>
      <c r="G385" s="851"/>
      <c r="H385" s="851"/>
      <c r="I385" s="851"/>
      <c r="J385" s="851"/>
      <c r="K385" s="851"/>
      <c r="L385" s="851"/>
      <c r="M385" s="851"/>
      <c r="N385" s="851"/>
      <c r="O385" s="851"/>
      <c r="P385" s="851"/>
      <c r="Q385" s="851"/>
      <c r="R385" s="851"/>
      <c r="S385" s="851"/>
      <c r="T385" s="851"/>
      <c r="U385" s="851"/>
      <c r="V385" s="851"/>
      <c r="W385" s="851"/>
      <c r="X385" s="851"/>
      <c r="Y385" s="851"/>
      <c r="Z385" s="851"/>
      <c r="AA385" s="851"/>
      <c r="AB385" s="851"/>
      <c r="AC385" s="851"/>
      <c r="AD385" s="851"/>
    </row>
    <row r="386" spans="1:48" ht="15" customHeight="1">
      <c r="A386" s="176"/>
      <c r="B386" s="794" t="str">
        <f>IF(AG382=0,"","Favor de ingresar toda la información requerida en la pregunta")</f>
        <v/>
      </c>
      <c r="C386" s="794"/>
      <c r="D386" s="794"/>
      <c r="E386" s="794"/>
      <c r="F386" s="794"/>
      <c r="G386" s="794"/>
      <c r="H386" s="794"/>
      <c r="I386" s="794"/>
      <c r="J386" s="794"/>
      <c r="K386" s="794"/>
      <c r="L386" s="794"/>
      <c r="M386" s="794"/>
      <c r="N386" s="794"/>
      <c r="O386" s="794"/>
      <c r="P386" s="794"/>
      <c r="Q386" s="794"/>
      <c r="R386" s="794"/>
      <c r="S386" s="794"/>
      <c r="T386" s="794"/>
      <c r="U386" s="794"/>
      <c r="V386" s="794"/>
      <c r="W386" s="794"/>
      <c r="X386" s="794"/>
      <c r="Y386" s="794"/>
      <c r="Z386" s="794"/>
      <c r="AA386" s="794"/>
      <c r="AB386" s="794"/>
      <c r="AC386" s="794"/>
      <c r="AD386" s="794"/>
      <c r="AE386" s="794"/>
    </row>
    <row r="387" spans="1:48" ht="15" customHeight="1">
      <c r="A387" s="176"/>
      <c r="B387" s="1087" t="str">
        <f>IF(COUNTIF(S374:AD381,"NS")&lt;&gt;0,"Alerta: debido a que cuenta con registros NS, debe proporcionar una justificación en el area de comentarios al final de la pregunta","")</f>
        <v/>
      </c>
      <c r="C387" s="1087"/>
      <c r="D387" s="1087"/>
      <c r="E387" s="1087"/>
      <c r="F387" s="1087"/>
      <c r="G387" s="1087"/>
      <c r="H387" s="1087"/>
      <c r="I387" s="1087"/>
      <c r="J387" s="1087"/>
      <c r="K387" s="1087"/>
      <c r="L387" s="1087"/>
      <c r="M387" s="1087"/>
      <c r="N387" s="1087"/>
      <c r="O387" s="1087"/>
      <c r="P387" s="1087"/>
      <c r="Q387" s="1087"/>
      <c r="R387" s="1087"/>
      <c r="S387" s="1087"/>
      <c r="T387" s="1087"/>
      <c r="U387" s="1087"/>
      <c r="V387" s="1087"/>
      <c r="W387" s="1087"/>
      <c r="X387" s="1087"/>
      <c r="Y387" s="1087"/>
      <c r="Z387" s="1087"/>
      <c r="AA387" s="1087"/>
      <c r="AB387" s="1087"/>
      <c r="AC387" s="1087"/>
      <c r="AD387" s="1087"/>
      <c r="AE387" s="1087"/>
    </row>
    <row r="388" spans="1:48" ht="15" customHeight="1">
      <c r="A388" s="176"/>
      <c r="B388" s="1003" t="str">
        <f>IF(AH382&gt;0,"Revise la información capturada, ya que tiene datos ingresados en celdas que están sombreadas","")</f>
        <v/>
      </c>
      <c r="C388" s="1003"/>
      <c r="D388" s="1003"/>
      <c r="E388" s="1003"/>
      <c r="F388" s="1003"/>
      <c r="G388" s="1003"/>
      <c r="H388" s="1003"/>
      <c r="I388" s="1003"/>
      <c r="J388" s="1003"/>
      <c r="K388" s="1003"/>
      <c r="L388" s="1003"/>
      <c r="M388" s="1003"/>
      <c r="N388" s="1003"/>
      <c r="O388" s="1003"/>
      <c r="P388" s="1003"/>
      <c r="Q388" s="1003"/>
      <c r="R388" s="1003"/>
      <c r="S388" s="1003"/>
      <c r="T388" s="1003"/>
      <c r="U388" s="1003"/>
      <c r="V388" s="1003"/>
      <c r="W388" s="1003"/>
      <c r="X388" s="1003"/>
      <c r="Y388" s="1003"/>
      <c r="Z388" s="1003"/>
      <c r="AA388" s="1003"/>
      <c r="AB388" s="1003"/>
      <c r="AC388" s="1003"/>
      <c r="AD388" s="1003"/>
      <c r="AE388" s="1003"/>
    </row>
    <row r="389" spans="1:48" ht="15" customHeight="1">
      <c r="A389" s="176"/>
      <c r="B389" s="1003" t="str">
        <f>IF(OR(AL383&gt;0,AL384&gt;0,AN384&gt;0,AP384&gt;0),"Favor de revisar la suma y consistencia de totales y/o subtotales por filas (numéricos y NS)","")</f>
        <v/>
      </c>
      <c r="C389" s="1003"/>
      <c r="D389" s="1003"/>
      <c r="E389" s="1003"/>
      <c r="F389" s="1003"/>
      <c r="G389" s="1003"/>
      <c r="H389" s="1003"/>
      <c r="I389" s="1003"/>
      <c r="J389" s="1003"/>
      <c r="K389" s="1003"/>
      <c r="L389" s="1003"/>
      <c r="M389" s="1003"/>
      <c r="N389" s="1003"/>
      <c r="O389" s="1003"/>
      <c r="P389" s="1003"/>
      <c r="Q389" s="1003"/>
      <c r="R389" s="1003"/>
      <c r="S389" s="1003"/>
      <c r="T389" s="1003"/>
      <c r="U389" s="1003"/>
      <c r="V389" s="1003"/>
      <c r="W389" s="1003"/>
      <c r="X389" s="1003"/>
      <c r="Y389" s="1003"/>
      <c r="Z389" s="1003"/>
      <c r="AA389" s="1003"/>
      <c r="AB389" s="1003"/>
      <c r="AC389" s="1003"/>
      <c r="AD389" s="1003"/>
      <c r="AE389" s="1003"/>
    </row>
    <row r="390" spans="1:48" ht="15" customHeight="1">
      <c r="A390" s="176"/>
      <c r="B390" s="1003" t="str">
        <f>IF(BF382=0,"","Las cantidades de Hombres y Mujeres por centro especializado debe corresponder con los datos reportados en la preg. 8.1")</f>
        <v/>
      </c>
      <c r="C390" s="1003"/>
      <c r="D390" s="1003"/>
      <c r="E390" s="1003"/>
      <c r="F390" s="1003"/>
      <c r="G390" s="1003"/>
      <c r="H390" s="1003"/>
      <c r="I390" s="1003"/>
      <c r="J390" s="1003"/>
      <c r="K390" s="1003"/>
      <c r="L390" s="1003"/>
      <c r="M390" s="1003"/>
      <c r="N390" s="1003"/>
      <c r="O390" s="1003"/>
      <c r="P390" s="1003"/>
      <c r="Q390" s="1003"/>
      <c r="R390" s="1003"/>
      <c r="S390" s="1003"/>
      <c r="T390" s="1003"/>
      <c r="U390" s="1003"/>
      <c r="V390" s="1003"/>
      <c r="W390" s="1003"/>
      <c r="X390" s="1003"/>
      <c r="Y390" s="1003"/>
      <c r="Z390" s="1003"/>
      <c r="AA390" s="1003"/>
      <c r="AB390" s="1003"/>
      <c r="AC390" s="1003"/>
      <c r="AD390" s="1003"/>
      <c r="AE390" s="1003"/>
    </row>
    <row r="391" spans="1:48" ht="15" customHeight="1">
      <c r="A391" s="176"/>
      <c r="B391" s="105"/>
      <c r="C391" s="105"/>
      <c r="D391" s="105"/>
      <c r="E391" s="105"/>
      <c r="F391" s="105"/>
      <c r="G391" s="105"/>
      <c r="H391" s="105"/>
      <c r="I391" s="105"/>
      <c r="J391" s="105"/>
      <c r="K391" s="105"/>
      <c r="L391" s="105"/>
      <c r="M391" s="105"/>
      <c r="N391" s="105"/>
      <c r="O391" s="105"/>
      <c r="P391" s="105"/>
      <c r="Q391" s="105"/>
      <c r="R391" s="105"/>
      <c r="S391" s="105"/>
      <c r="T391" s="105"/>
      <c r="U391" s="105"/>
      <c r="V391" s="105"/>
      <c r="W391" s="105"/>
      <c r="X391" s="105"/>
      <c r="Y391" s="105"/>
      <c r="Z391" s="105"/>
      <c r="AA391" s="105"/>
      <c r="AB391" s="105"/>
      <c r="AC391" s="105"/>
      <c r="AD391" s="105"/>
    </row>
    <row r="392" spans="1:48" ht="24" customHeight="1">
      <c r="A392" s="49" t="s">
        <v>5244</v>
      </c>
      <c r="B392" s="829" t="s">
        <v>5245</v>
      </c>
      <c r="C392" s="829"/>
      <c r="D392" s="829"/>
      <c r="E392" s="829"/>
      <c r="F392" s="829"/>
      <c r="G392" s="829"/>
      <c r="H392" s="829"/>
      <c r="I392" s="829"/>
      <c r="J392" s="829"/>
      <c r="K392" s="829"/>
      <c r="L392" s="829"/>
      <c r="M392" s="829"/>
      <c r="N392" s="829"/>
      <c r="O392" s="829"/>
      <c r="P392" s="829"/>
      <c r="Q392" s="829"/>
      <c r="R392" s="829"/>
      <c r="S392" s="829"/>
      <c r="T392" s="829"/>
      <c r="U392" s="829"/>
      <c r="V392" s="829"/>
      <c r="W392" s="829"/>
      <c r="X392" s="829"/>
      <c r="Y392" s="829"/>
      <c r="Z392" s="829"/>
      <c r="AA392" s="829"/>
      <c r="AB392" s="829"/>
      <c r="AC392" s="829"/>
      <c r="AD392" s="829"/>
    </row>
    <row r="393" spans="1:48" ht="24" customHeight="1">
      <c r="A393" s="49"/>
      <c r="B393" s="105"/>
      <c r="C393" s="754" t="s">
        <v>5246</v>
      </c>
      <c r="D393" s="754"/>
      <c r="E393" s="754"/>
      <c r="F393" s="754"/>
      <c r="G393" s="754"/>
      <c r="H393" s="754"/>
      <c r="I393" s="754"/>
      <c r="J393" s="754"/>
      <c r="K393" s="754"/>
      <c r="L393" s="754"/>
      <c r="M393" s="754"/>
      <c r="N393" s="754"/>
      <c r="O393" s="754"/>
      <c r="P393" s="754"/>
      <c r="Q393" s="754"/>
      <c r="R393" s="754"/>
      <c r="S393" s="754"/>
      <c r="T393" s="754"/>
      <c r="U393" s="754"/>
      <c r="V393" s="754"/>
      <c r="W393" s="754"/>
      <c r="X393" s="754"/>
      <c r="Y393" s="754"/>
      <c r="Z393" s="754"/>
      <c r="AA393" s="754"/>
      <c r="AB393" s="754"/>
      <c r="AC393" s="754"/>
      <c r="AD393" s="754"/>
    </row>
    <row r="394" spans="1:48" ht="15" customHeight="1">
      <c r="A394" s="49"/>
      <c r="B394" s="105"/>
      <c r="C394" s="881" t="s">
        <v>5247</v>
      </c>
      <c r="D394" s="881"/>
      <c r="E394" s="881"/>
      <c r="F394" s="881"/>
      <c r="G394" s="881"/>
      <c r="H394" s="881"/>
      <c r="I394" s="881"/>
      <c r="J394" s="881"/>
      <c r="K394" s="881"/>
      <c r="L394" s="881"/>
      <c r="M394" s="881"/>
      <c r="N394" s="881"/>
      <c r="O394" s="881"/>
      <c r="P394" s="881"/>
      <c r="Q394" s="881"/>
      <c r="R394" s="881"/>
      <c r="S394" s="881"/>
      <c r="T394" s="881"/>
      <c r="U394" s="881"/>
      <c r="V394" s="881"/>
      <c r="W394" s="881"/>
      <c r="X394" s="881"/>
      <c r="Y394" s="881"/>
      <c r="Z394" s="881"/>
      <c r="AA394" s="881"/>
      <c r="AB394" s="881"/>
      <c r="AC394" s="881"/>
      <c r="AD394" s="881"/>
    </row>
    <row r="395" spans="1:48" ht="24" customHeight="1">
      <c r="A395" s="49"/>
      <c r="B395" s="105"/>
      <c r="C395" s="830" t="s">
        <v>5248</v>
      </c>
      <c r="D395" s="830"/>
      <c r="E395" s="830"/>
      <c r="F395" s="830"/>
      <c r="G395" s="830"/>
      <c r="H395" s="830"/>
      <c r="I395" s="830"/>
      <c r="J395" s="830"/>
      <c r="K395" s="830"/>
      <c r="L395" s="830"/>
      <c r="M395" s="830"/>
      <c r="N395" s="830"/>
      <c r="O395" s="830"/>
      <c r="P395" s="830"/>
      <c r="Q395" s="830"/>
      <c r="R395" s="830"/>
      <c r="S395" s="830"/>
      <c r="T395" s="830"/>
      <c r="U395" s="830"/>
      <c r="V395" s="830"/>
      <c r="W395" s="830"/>
      <c r="X395" s="830"/>
      <c r="Y395" s="830"/>
      <c r="Z395" s="830"/>
      <c r="AA395" s="830"/>
      <c r="AB395" s="830"/>
      <c r="AC395" s="830"/>
      <c r="AD395" s="830"/>
    </row>
    <row r="396" spans="1:48" ht="24" customHeight="1">
      <c r="A396" s="108"/>
      <c r="B396" s="38"/>
      <c r="C396" s="830" t="s">
        <v>5249</v>
      </c>
      <c r="D396" s="830"/>
      <c r="E396" s="830"/>
      <c r="F396" s="830"/>
      <c r="G396" s="830"/>
      <c r="H396" s="830"/>
      <c r="I396" s="830"/>
      <c r="J396" s="830"/>
      <c r="K396" s="830"/>
      <c r="L396" s="830"/>
      <c r="M396" s="830"/>
      <c r="N396" s="830"/>
      <c r="O396" s="830"/>
      <c r="P396" s="830"/>
      <c r="Q396" s="830"/>
      <c r="R396" s="830"/>
      <c r="S396" s="830"/>
      <c r="T396" s="830"/>
      <c r="U396" s="830"/>
      <c r="V396" s="830"/>
      <c r="W396" s="830"/>
      <c r="X396" s="830"/>
      <c r="Y396" s="830"/>
      <c r="Z396" s="830"/>
      <c r="AA396" s="830"/>
      <c r="AB396" s="830"/>
      <c r="AC396" s="830"/>
      <c r="AD396" s="830"/>
    </row>
    <row r="397" spans="1:48" ht="15" customHeight="1">
      <c r="A397" s="108"/>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c r="AA397" s="38"/>
      <c r="AB397" s="38"/>
      <c r="AC397" s="38"/>
      <c r="AD397" s="38"/>
    </row>
    <row r="398" spans="1:48" ht="36" customHeight="1">
      <c r="A398" s="108"/>
      <c r="B398" s="38"/>
      <c r="C398" s="797" t="s">
        <v>2581</v>
      </c>
      <c r="D398" s="798"/>
      <c r="E398" s="798"/>
      <c r="F398" s="798"/>
      <c r="G398" s="798"/>
      <c r="H398" s="798"/>
      <c r="I398" s="798"/>
      <c r="J398" s="798"/>
      <c r="K398" s="798"/>
      <c r="L398" s="798"/>
      <c r="M398" s="798"/>
      <c r="N398" s="798"/>
      <c r="O398" s="798"/>
      <c r="P398" s="798"/>
      <c r="Q398" s="798"/>
      <c r="R398" s="799"/>
      <c r="S398" s="739" t="s">
        <v>5250</v>
      </c>
      <c r="T398" s="740"/>
      <c r="U398" s="740"/>
      <c r="V398" s="740"/>
      <c r="W398" s="740"/>
      <c r="X398" s="740"/>
      <c r="Y398" s="740"/>
      <c r="Z398" s="740"/>
      <c r="AA398" s="740"/>
      <c r="AB398" s="740"/>
      <c r="AC398" s="740"/>
      <c r="AD398" s="741"/>
    </row>
    <row r="399" spans="1:48" ht="24" customHeight="1">
      <c r="A399" s="108"/>
      <c r="B399" s="38"/>
      <c r="C399" s="800"/>
      <c r="D399" s="801"/>
      <c r="E399" s="801"/>
      <c r="F399" s="801"/>
      <c r="G399" s="801"/>
      <c r="H399" s="801"/>
      <c r="I399" s="801"/>
      <c r="J399" s="801"/>
      <c r="K399" s="801"/>
      <c r="L399" s="801"/>
      <c r="M399" s="801"/>
      <c r="N399" s="801"/>
      <c r="O399" s="801"/>
      <c r="P399" s="801"/>
      <c r="Q399" s="801"/>
      <c r="R399" s="802"/>
      <c r="S399" s="887" t="s">
        <v>2628</v>
      </c>
      <c r="T399" s="889" t="s">
        <v>2629</v>
      </c>
      <c r="U399" s="889" t="s">
        <v>2630</v>
      </c>
      <c r="V399" s="733" t="s">
        <v>5251</v>
      </c>
      <c r="W399" s="734"/>
      <c r="X399" s="735"/>
      <c r="Y399" s="733" t="s">
        <v>5252</v>
      </c>
      <c r="Z399" s="734"/>
      <c r="AA399" s="735"/>
      <c r="AB399" s="733" t="s">
        <v>201</v>
      </c>
      <c r="AC399" s="734"/>
      <c r="AD399" s="735"/>
    </row>
    <row r="400" spans="1:48" ht="48" customHeight="1">
      <c r="A400" s="108"/>
      <c r="B400" s="38"/>
      <c r="C400" s="803"/>
      <c r="D400" s="804"/>
      <c r="E400" s="804"/>
      <c r="F400" s="804"/>
      <c r="G400" s="804"/>
      <c r="H400" s="804"/>
      <c r="I400" s="804"/>
      <c r="J400" s="804"/>
      <c r="K400" s="804"/>
      <c r="L400" s="804"/>
      <c r="M400" s="804"/>
      <c r="N400" s="804"/>
      <c r="O400" s="804"/>
      <c r="P400" s="804"/>
      <c r="Q400" s="804"/>
      <c r="R400" s="805"/>
      <c r="S400" s="888"/>
      <c r="T400" s="890"/>
      <c r="U400" s="890"/>
      <c r="V400" s="171" t="s">
        <v>2635</v>
      </c>
      <c r="W400" s="128" t="s">
        <v>2629</v>
      </c>
      <c r="X400" s="128" t="s">
        <v>2630</v>
      </c>
      <c r="Y400" s="171" t="s">
        <v>2635</v>
      </c>
      <c r="Z400" s="128" t="s">
        <v>2629</v>
      </c>
      <c r="AA400" s="128" t="s">
        <v>2630</v>
      </c>
      <c r="AB400" s="171" t="s">
        <v>2635</v>
      </c>
      <c r="AC400" s="128" t="s">
        <v>2629</v>
      </c>
      <c r="AD400" s="128" t="s">
        <v>2630</v>
      </c>
      <c r="AG400" t="s">
        <v>2586</v>
      </c>
      <c r="AH400" t="s">
        <v>4581</v>
      </c>
      <c r="AI400"/>
      <c r="AJ400" t="s">
        <v>5253</v>
      </c>
      <c r="AK400" t="s">
        <v>4573</v>
      </c>
      <c r="AL400" t="s">
        <v>2638</v>
      </c>
      <c r="AM400" t="s">
        <v>2639</v>
      </c>
      <c r="AN400" t="s">
        <v>4574</v>
      </c>
      <c r="AO400" t="s">
        <v>2641</v>
      </c>
      <c r="AP400" t="s">
        <v>2642</v>
      </c>
      <c r="AQ400" t="s">
        <v>4575</v>
      </c>
      <c r="AR400" t="s">
        <v>2644</v>
      </c>
      <c r="AS400" t="s">
        <v>2645</v>
      </c>
      <c r="AT400" t="s">
        <v>4576</v>
      </c>
      <c r="AU400" t="s">
        <v>2647</v>
      </c>
      <c r="AV400" t="s">
        <v>2648</v>
      </c>
    </row>
    <row r="401" spans="1:48" ht="15" customHeight="1">
      <c r="A401" s="108"/>
      <c r="B401" s="38"/>
      <c r="C401" s="97" t="s">
        <v>2516</v>
      </c>
      <c r="D401" s="813" t="str">
        <f>IF(CNSIPEE_2024_M2_Secc1!D42="","",CNSIPEE_2024_M2_Secc1!D42)</f>
        <v/>
      </c>
      <c r="E401" s="814"/>
      <c r="F401" s="814"/>
      <c r="G401" s="814"/>
      <c r="H401" s="814"/>
      <c r="I401" s="814"/>
      <c r="J401" s="814"/>
      <c r="K401" s="814"/>
      <c r="L401" s="814"/>
      <c r="M401" s="814"/>
      <c r="N401" s="814"/>
      <c r="O401" s="814"/>
      <c r="P401" s="814"/>
      <c r="Q401" s="814"/>
      <c r="R401" s="815"/>
      <c r="S401" s="100"/>
      <c r="T401" s="100"/>
      <c r="U401" s="100"/>
      <c r="V401" s="100"/>
      <c r="W401" s="100"/>
      <c r="X401" s="100"/>
      <c r="Y401" s="100"/>
      <c r="Z401" s="100"/>
      <c r="AA401" s="100"/>
      <c r="AB401" s="100"/>
      <c r="AC401" s="100"/>
      <c r="AD401" s="100"/>
      <c r="AG401">
        <f>IF(OR($V374=0,$V374="NS",$V374="NA"),0,IF(OR(COUNTBLANK(D401:AD401)=14,COUNTBLANK(D401:AD401)=27),0,1))</f>
        <v>0</v>
      </c>
      <c r="AH401">
        <f>IF(OR($V374=0,$V374="NS",$V374="NA"),IF(COUNTBLANK(S401:AD401)=12,0,1),0)</f>
        <v>0</v>
      </c>
      <c r="AI401"/>
      <c r="AJ401" cm="1">
        <f t="array" ref="AJ401">IF(OR($V374=0,$V374="NS",$V374="NA"),0,IF(OR(S401={"NS","NA"},V374={"NS","NA"}),0,IF(S401&gt;=V374,0,1)))</f>
        <v>0</v>
      </c>
      <c r="AK401">
        <f t="shared" ref="AK401" si="435">COUNTIF(T401:U401,"NS")</f>
        <v>0</v>
      </c>
      <c r="AL401">
        <f t="shared" ref="AL401" si="436">SUM(T401:U401)</f>
        <v>0</v>
      </c>
      <c r="AM401">
        <f>IF(COUNTIF(S401:U401,"NA")=3,0,IF(COUNTA(S401:U401)=0,0,IF(OR(AND(S401=0,AK401&gt;0),AND(S401="ns",AL401&gt;0),AND(S401="ns",AK401=0,AL401=0)),1,IF(OR(AND(S401&gt;0,AK401=2),AND(S401="ns",AK401=2),AND(S401="ns",AL401=0,AK401&gt;0),S401=AL401),0,1))))</f>
        <v>0</v>
      </c>
      <c r="AN401">
        <f t="shared" ref="AN401" si="437">COUNTIF(W401:X401,"NS")</f>
        <v>0</v>
      </c>
      <c r="AO401">
        <f t="shared" ref="AO401" si="438">SUM(W401:X401)</f>
        <v>0</v>
      </c>
      <c r="AP401">
        <f t="shared" ref="AP401" si="439">IF(COUNTIF(V401:X401,"NA")=3,0,IF(COUNTA(V401:X401)=0,0,IF(OR(AND(V401=0,AN401&gt;0),AND(V401="ns",AO401&gt;0),AND(V401="ns",AN401=0,AO401=0)),1,IF(OR(AND(V401&gt;0,AN401=2),AND(V401="ns",AN401=2),AND(V401="ns",AO401=0,AN401&gt;0),V401=AO401),0,1))))</f>
        <v>0</v>
      </c>
      <c r="AQ401">
        <f t="shared" ref="AQ401" si="440">COUNTIF(Z401:AA401,"NS")</f>
        <v>0</v>
      </c>
      <c r="AR401">
        <f t="shared" ref="AR401" si="441">SUM(Z401:AA401)</f>
        <v>0</v>
      </c>
      <c r="AS401">
        <f t="shared" ref="AS401" si="442">IF(COUNTIF(Y401:AA401,"NA")=3,0,IF(COUNTA(Y401:AA401)=0,0,IF(OR(AND(Y401=0,AQ401&gt;0),AND(Y401="ns",AR401&gt;0),AND(Y401="ns",AQ401=0,AR401=0)),1,IF(OR(AND(Y401&gt;0,AQ401=2),AND(Y401="ns",AQ401=2),AND(Y401="ns",AR401=0,AQ401&gt;0),Y401=AR401),0,1))))</f>
        <v>0</v>
      </c>
      <c r="AT401">
        <f t="shared" ref="AT401" si="443">COUNTIF(AC401:AD401,"NS")</f>
        <v>0</v>
      </c>
      <c r="AU401">
        <f t="shared" ref="AU401" si="444">SUM(AC401:AD401)</f>
        <v>0</v>
      </c>
      <c r="AV401">
        <f t="shared" ref="AV401" si="445">IF(COUNTIF(AB401:AD401,"NA")=3,0,IF(COUNTA(AB401:AD401)=0,0,IF(OR(AND(AB401=0,AT401&gt;0),AND(AB401="ns",AU401&gt;0),AND(AB401="ns",AT401=0,AU401=0)),1,IF(OR(AND(AB401&gt;0,AT401=2),AND(AB401="ns",AT401=2),AND(AB401="ns",AU401=0,AT401&gt;0),AB401=AU401),0,1))))</f>
        <v>0</v>
      </c>
    </row>
    <row r="402" spans="1:48" ht="15" customHeight="1">
      <c r="A402" s="108"/>
      <c r="B402" s="38"/>
      <c r="C402" s="98" t="s">
        <v>2517</v>
      </c>
      <c r="D402" s="813" t="str">
        <f>IF(CNSIPEE_2024_M2_Secc1!D43="","",CNSIPEE_2024_M2_Secc1!D43)</f>
        <v/>
      </c>
      <c r="E402" s="814"/>
      <c r="F402" s="814"/>
      <c r="G402" s="814"/>
      <c r="H402" s="814"/>
      <c r="I402" s="814"/>
      <c r="J402" s="814"/>
      <c r="K402" s="814"/>
      <c r="L402" s="814"/>
      <c r="M402" s="814"/>
      <c r="N402" s="814"/>
      <c r="O402" s="814"/>
      <c r="P402" s="814"/>
      <c r="Q402" s="814"/>
      <c r="R402" s="815"/>
      <c r="S402" s="100"/>
      <c r="T402" s="100"/>
      <c r="U402" s="100"/>
      <c r="V402" s="100"/>
      <c r="W402" s="100"/>
      <c r="X402" s="100"/>
      <c r="Y402" s="100"/>
      <c r="Z402" s="100"/>
      <c r="AA402" s="100"/>
      <c r="AB402" s="100"/>
      <c r="AC402" s="100"/>
      <c r="AD402" s="100"/>
      <c r="AG402">
        <f t="shared" ref="AG402:AG408" si="446">IF(OR($V375=0,$V375="NS",$V375="NA"),0,IF(OR(COUNTBLANK(D402:AD402)=14,COUNTBLANK(D402:AD402)=27),0,1))</f>
        <v>0</v>
      </c>
      <c r="AH402">
        <f t="shared" ref="AH402:AH408" si="447">IF(OR($V375=0,$V375="NS",$V375="NA"),IF(COUNTBLANK(S402:AD402)=12,0,1),0)</f>
        <v>0</v>
      </c>
      <c r="AI402"/>
      <c r="AJ402" cm="1">
        <f t="array" ref="AJ402">IF(OR($V375=0,$V375="NS",$V375="NA"),0,IF(OR(S402={"NS","NA"},V375={"NS","NA"}),0,IF(S402&gt;=V375,0,1)))</f>
        <v>0</v>
      </c>
      <c r="AK402">
        <f t="shared" ref="AK402:AK408" si="448">COUNTIF(T402:U402,"NS")</f>
        <v>0</v>
      </c>
      <c r="AL402">
        <f t="shared" ref="AL402:AL408" si="449">SUM(T402:U402)</f>
        <v>0</v>
      </c>
      <c r="AM402">
        <f t="shared" ref="AM402:AM408" si="450">IF(COUNTIF(S402:U402,"NA")=3,0,IF(COUNTA(S402:U402)=0,0,IF(OR(AND(S402=0,AK402&gt;0),AND(S402="ns",AL402&gt;0),AND(S402="ns",AK402=0,AL402=0)),1,IF(OR(AND(S402&gt;0,AK402=2),AND(S402="ns",AK402=2),AND(S402="ns",AL402=0,AK402&gt;0),S402=AL402),0,1))))</f>
        <v>0</v>
      </c>
      <c r="AN402">
        <f t="shared" ref="AN402:AN408" si="451">COUNTIF(W402:X402,"NS")</f>
        <v>0</v>
      </c>
      <c r="AO402">
        <f t="shared" ref="AO402:AO408" si="452">SUM(W402:X402)</f>
        <v>0</v>
      </c>
      <c r="AP402">
        <f t="shared" ref="AP402:AP408" si="453">IF(COUNTIF(V402:X402,"NA")=3,0,IF(COUNTA(V402:X402)=0,0,IF(OR(AND(V402=0,AN402&gt;0),AND(V402="ns",AO402&gt;0),AND(V402="ns",AN402=0,AO402=0)),1,IF(OR(AND(V402&gt;0,AN402=2),AND(V402="ns",AN402=2),AND(V402="ns",AO402=0,AN402&gt;0),V402=AO402),0,1))))</f>
        <v>0</v>
      </c>
      <c r="AQ402">
        <f t="shared" ref="AQ402:AQ408" si="454">COUNTIF(Z402:AA402,"NS")</f>
        <v>0</v>
      </c>
      <c r="AR402">
        <f t="shared" ref="AR402:AR408" si="455">SUM(Z402:AA402)</f>
        <v>0</v>
      </c>
      <c r="AS402">
        <f t="shared" ref="AS402:AS408" si="456">IF(COUNTIF(Y402:AA402,"NA")=3,0,IF(COUNTA(Y402:AA402)=0,0,IF(OR(AND(Y402=0,AQ402&gt;0),AND(Y402="ns",AR402&gt;0),AND(Y402="ns",AQ402=0,AR402=0)),1,IF(OR(AND(Y402&gt;0,AQ402=2),AND(Y402="ns",AQ402=2),AND(Y402="ns",AR402=0,AQ402&gt;0),Y402=AR402),0,1))))</f>
        <v>0</v>
      </c>
      <c r="AT402">
        <f t="shared" ref="AT402:AT408" si="457">COUNTIF(AC402:AD402,"NS")</f>
        <v>0</v>
      </c>
      <c r="AU402">
        <f t="shared" ref="AU402:AU408" si="458">SUM(AC402:AD402)</f>
        <v>0</v>
      </c>
      <c r="AV402">
        <f t="shared" ref="AV402:AV408" si="459">IF(COUNTIF(AB402:AD402,"NA")=3,0,IF(COUNTA(AB402:AD402)=0,0,IF(OR(AND(AB402=0,AT402&gt;0),AND(AB402="ns",AU402&gt;0),AND(AB402="ns",AT402=0,AU402=0)),1,IF(OR(AND(AB402&gt;0,AT402=2),AND(AB402="ns",AT402=2),AND(AB402="ns",AU402=0,AT402&gt;0),AB402=AU402),0,1))))</f>
        <v>0</v>
      </c>
    </row>
    <row r="403" spans="1:48" ht="15" customHeight="1">
      <c r="A403" s="186"/>
      <c r="B403" s="57"/>
      <c r="C403" s="98" t="s">
        <v>2518</v>
      </c>
      <c r="D403" s="813" t="str">
        <f>IF(CNSIPEE_2024_M2_Secc1!D44="","",CNSIPEE_2024_M2_Secc1!D44)</f>
        <v/>
      </c>
      <c r="E403" s="814"/>
      <c r="F403" s="814"/>
      <c r="G403" s="814"/>
      <c r="H403" s="814"/>
      <c r="I403" s="814"/>
      <c r="J403" s="814"/>
      <c r="K403" s="814"/>
      <c r="L403" s="814"/>
      <c r="M403" s="814"/>
      <c r="N403" s="814"/>
      <c r="O403" s="814"/>
      <c r="P403" s="814"/>
      <c r="Q403" s="814"/>
      <c r="R403" s="815"/>
      <c r="S403" s="100"/>
      <c r="T403" s="100"/>
      <c r="U403" s="100"/>
      <c r="V403" s="100"/>
      <c r="W403" s="100"/>
      <c r="X403" s="100"/>
      <c r="Y403" s="100"/>
      <c r="Z403" s="100"/>
      <c r="AA403" s="100"/>
      <c r="AB403" s="100"/>
      <c r="AC403" s="100"/>
      <c r="AD403" s="100"/>
      <c r="AG403">
        <f t="shared" si="446"/>
        <v>0</v>
      </c>
      <c r="AH403">
        <f t="shared" si="447"/>
        <v>0</v>
      </c>
      <c r="AI403"/>
      <c r="AJ403" cm="1">
        <f t="array" ref="AJ403">IF(OR($V376=0,$V376="NS",$V376="NA"),0,IF(OR(S403={"NS","NA"},V376={"NS","NA"}),0,IF(S403&gt;=V376,0,1)))</f>
        <v>0</v>
      </c>
      <c r="AK403">
        <f t="shared" si="448"/>
        <v>0</v>
      </c>
      <c r="AL403">
        <f t="shared" si="449"/>
        <v>0</v>
      </c>
      <c r="AM403">
        <f t="shared" si="450"/>
        <v>0</v>
      </c>
      <c r="AN403">
        <f t="shared" si="451"/>
        <v>0</v>
      </c>
      <c r="AO403">
        <f t="shared" si="452"/>
        <v>0</v>
      </c>
      <c r="AP403">
        <f t="shared" si="453"/>
        <v>0</v>
      </c>
      <c r="AQ403">
        <f t="shared" si="454"/>
        <v>0</v>
      </c>
      <c r="AR403">
        <f t="shared" si="455"/>
        <v>0</v>
      </c>
      <c r="AS403">
        <f t="shared" si="456"/>
        <v>0</v>
      </c>
      <c r="AT403">
        <f t="shared" si="457"/>
        <v>0</v>
      </c>
      <c r="AU403">
        <f t="shared" si="458"/>
        <v>0</v>
      </c>
      <c r="AV403">
        <f t="shared" si="459"/>
        <v>0</v>
      </c>
    </row>
    <row r="404" spans="1:48" ht="15" customHeight="1">
      <c r="A404" s="186"/>
      <c r="B404" s="57"/>
      <c r="C404" s="98" t="s">
        <v>2519</v>
      </c>
      <c r="D404" s="813" t="str">
        <f>IF(CNSIPEE_2024_M2_Secc1!D45="","",CNSIPEE_2024_M2_Secc1!D45)</f>
        <v/>
      </c>
      <c r="E404" s="814"/>
      <c r="F404" s="814"/>
      <c r="G404" s="814"/>
      <c r="H404" s="814"/>
      <c r="I404" s="814"/>
      <c r="J404" s="814"/>
      <c r="K404" s="814"/>
      <c r="L404" s="814"/>
      <c r="M404" s="814"/>
      <c r="N404" s="814"/>
      <c r="O404" s="814"/>
      <c r="P404" s="814"/>
      <c r="Q404" s="814"/>
      <c r="R404" s="815"/>
      <c r="S404" s="100"/>
      <c r="T404" s="100"/>
      <c r="U404" s="100"/>
      <c r="V404" s="100"/>
      <c r="W404" s="100"/>
      <c r="X404" s="100"/>
      <c r="Y404" s="100"/>
      <c r="Z404" s="100"/>
      <c r="AA404" s="100"/>
      <c r="AB404" s="100"/>
      <c r="AC404" s="100"/>
      <c r="AD404" s="100"/>
      <c r="AG404">
        <f t="shared" si="446"/>
        <v>0</v>
      </c>
      <c r="AH404">
        <f t="shared" si="447"/>
        <v>0</v>
      </c>
      <c r="AI404"/>
      <c r="AJ404" cm="1">
        <f t="array" ref="AJ404">IF(OR($V377=0,$V377="NS",$V377="NA"),0,IF(OR(S404={"NS","NA"},V377={"NS","NA"}),0,IF(S404&gt;=V377,0,1)))</f>
        <v>0</v>
      </c>
      <c r="AK404">
        <f t="shared" si="448"/>
        <v>0</v>
      </c>
      <c r="AL404">
        <f t="shared" si="449"/>
        <v>0</v>
      </c>
      <c r="AM404">
        <f t="shared" si="450"/>
        <v>0</v>
      </c>
      <c r="AN404">
        <f t="shared" si="451"/>
        <v>0</v>
      </c>
      <c r="AO404">
        <f t="shared" si="452"/>
        <v>0</v>
      </c>
      <c r="AP404">
        <f t="shared" si="453"/>
        <v>0</v>
      </c>
      <c r="AQ404">
        <f t="shared" si="454"/>
        <v>0</v>
      </c>
      <c r="AR404">
        <f t="shared" si="455"/>
        <v>0</v>
      </c>
      <c r="AS404">
        <f t="shared" si="456"/>
        <v>0</v>
      </c>
      <c r="AT404">
        <f t="shared" si="457"/>
        <v>0</v>
      </c>
      <c r="AU404">
        <f t="shared" si="458"/>
        <v>0</v>
      </c>
      <c r="AV404">
        <f t="shared" si="459"/>
        <v>0</v>
      </c>
    </row>
    <row r="405" spans="1:48" ht="15" customHeight="1">
      <c r="A405" s="186"/>
      <c r="B405" s="57"/>
      <c r="C405" s="98" t="s">
        <v>2520</v>
      </c>
      <c r="D405" s="813" t="str">
        <f>IF(CNSIPEE_2024_M2_Secc1!D46="","",CNSIPEE_2024_M2_Secc1!D46)</f>
        <v/>
      </c>
      <c r="E405" s="814"/>
      <c r="F405" s="814"/>
      <c r="G405" s="814"/>
      <c r="H405" s="814"/>
      <c r="I405" s="814"/>
      <c r="J405" s="814"/>
      <c r="K405" s="814"/>
      <c r="L405" s="814"/>
      <c r="M405" s="814"/>
      <c r="N405" s="814"/>
      <c r="O405" s="814"/>
      <c r="P405" s="814"/>
      <c r="Q405" s="814"/>
      <c r="R405" s="815"/>
      <c r="S405" s="100"/>
      <c r="T405" s="100"/>
      <c r="U405" s="100"/>
      <c r="V405" s="100"/>
      <c r="W405" s="100"/>
      <c r="X405" s="100"/>
      <c r="Y405" s="100"/>
      <c r="Z405" s="100"/>
      <c r="AA405" s="100"/>
      <c r="AB405" s="100"/>
      <c r="AC405" s="100"/>
      <c r="AD405" s="100"/>
      <c r="AG405">
        <f t="shared" si="446"/>
        <v>0</v>
      </c>
      <c r="AH405">
        <f t="shared" si="447"/>
        <v>0</v>
      </c>
      <c r="AI405"/>
      <c r="AJ405" cm="1">
        <f t="array" ref="AJ405">IF(OR($V378=0,$V378="NS",$V378="NA"),0,IF(OR(S405={"NS","NA"},V378={"NS","NA"}),0,IF(S405&gt;=V378,0,1)))</f>
        <v>0</v>
      </c>
      <c r="AK405">
        <f t="shared" si="448"/>
        <v>0</v>
      </c>
      <c r="AL405">
        <f t="shared" si="449"/>
        <v>0</v>
      </c>
      <c r="AM405">
        <f t="shared" si="450"/>
        <v>0</v>
      </c>
      <c r="AN405">
        <f t="shared" si="451"/>
        <v>0</v>
      </c>
      <c r="AO405">
        <f t="shared" si="452"/>
        <v>0</v>
      </c>
      <c r="AP405">
        <f t="shared" si="453"/>
        <v>0</v>
      </c>
      <c r="AQ405">
        <f t="shared" si="454"/>
        <v>0</v>
      </c>
      <c r="AR405">
        <f t="shared" si="455"/>
        <v>0</v>
      </c>
      <c r="AS405">
        <f t="shared" si="456"/>
        <v>0</v>
      </c>
      <c r="AT405">
        <f t="shared" si="457"/>
        <v>0</v>
      </c>
      <c r="AU405">
        <f t="shared" si="458"/>
        <v>0</v>
      </c>
      <c r="AV405">
        <f t="shared" si="459"/>
        <v>0</v>
      </c>
    </row>
    <row r="406" spans="1:48" ht="15" customHeight="1">
      <c r="A406" s="186"/>
      <c r="B406" s="57"/>
      <c r="C406" s="98" t="s">
        <v>2521</v>
      </c>
      <c r="D406" s="813" t="str">
        <f>IF(CNSIPEE_2024_M2_Secc1!D47="","",CNSIPEE_2024_M2_Secc1!D47)</f>
        <v/>
      </c>
      <c r="E406" s="814"/>
      <c r="F406" s="814"/>
      <c r="G406" s="814"/>
      <c r="H406" s="814"/>
      <c r="I406" s="814"/>
      <c r="J406" s="814"/>
      <c r="K406" s="814"/>
      <c r="L406" s="814"/>
      <c r="M406" s="814"/>
      <c r="N406" s="814"/>
      <c r="O406" s="814"/>
      <c r="P406" s="814"/>
      <c r="Q406" s="814"/>
      <c r="R406" s="815"/>
      <c r="S406" s="100"/>
      <c r="T406" s="100"/>
      <c r="U406" s="100"/>
      <c r="V406" s="100"/>
      <c r="W406" s="100"/>
      <c r="X406" s="100"/>
      <c r="Y406" s="100"/>
      <c r="Z406" s="100"/>
      <c r="AA406" s="100"/>
      <c r="AB406" s="100"/>
      <c r="AC406" s="100"/>
      <c r="AD406" s="100"/>
      <c r="AG406">
        <f t="shared" si="446"/>
        <v>0</v>
      </c>
      <c r="AH406">
        <f t="shared" si="447"/>
        <v>0</v>
      </c>
      <c r="AI406"/>
      <c r="AJ406" cm="1">
        <f t="array" ref="AJ406">IF(OR($V379=0,$V379="NS",$V379="NA"),0,IF(OR(S406={"NS","NA"},V379={"NS","NA"}),0,IF(S406&gt;=V379,0,1)))</f>
        <v>0</v>
      </c>
      <c r="AK406">
        <f t="shared" si="448"/>
        <v>0</v>
      </c>
      <c r="AL406">
        <f t="shared" si="449"/>
        <v>0</v>
      </c>
      <c r="AM406">
        <f t="shared" si="450"/>
        <v>0</v>
      </c>
      <c r="AN406">
        <f t="shared" si="451"/>
        <v>0</v>
      </c>
      <c r="AO406">
        <f t="shared" si="452"/>
        <v>0</v>
      </c>
      <c r="AP406">
        <f t="shared" si="453"/>
        <v>0</v>
      </c>
      <c r="AQ406">
        <f t="shared" si="454"/>
        <v>0</v>
      </c>
      <c r="AR406">
        <f t="shared" si="455"/>
        <v>0</v>
      </c>
      <c r="AS406">
        <f t="shared" si="456"/>
        <v>0</v>
      </c>
      <c r="AT406">
        <f t="shared" si="457"/>
        <v>0</v>
      </c>
      <c r="AU406">
        <f t="shared" si="458"/>
        <v>0</v>
      </c>
      <c r="AV406">
        <f t="shared" si="459"/>
        <v>0</v>
      </c>
    </row>
    <row r="407" spans="1:48" ht="15" customHeight="1">
      <c r="A407" s="186"/>
      <c r="B407" s="57"/>
      <c r="C407" s="98" t="s">
        <v>2522</v>
      </c>
      <c r="D407" s="813" t="str">
        <f>IF(CNSIPEE_2024_M2_Secc1!D48="","",CNSIPEE_2024_M2_Secc1!D48)</f>
        <v/>
      </c>
      <c r="E407" s="814"/>
      <c r="F407" s="814"/>
      <c r="G407" s="814"/>
      <c r="H407" s="814"/>
      <c r="I407" s="814"/>
      <c r="J407" s="814"/>
      <c r="K407" s="814"/>
      <c r="L407" s="814"/>
      <c r="M407" s="814"/>
      <c r="N407" s="814"/>
      <c r="O407" s="814"/>
      <c r="P407" s="814"/>
      <c r="Q407" s="814"/>
      <c r="R407" s="815"/>
      <c r="S407" s="100"/>
      <c r="T407" s="100"/>
      <c r="U407" s="100"/>
      <c r="V407" s="100"/>
      <c r="W407" s="100"/>
      <c r="X407" s="100"/>
      <c r="Y407" s="100"/>
      <c r="Z407" s="100"/>
      <c r="AA407" s="100"/>
      <c r="AB407" s="100"/>
      <c r="AC407" s="100"/>
      <c r="AD407" s="100"/>
      <c r="AG407">
        <f t="shared" si="446"/>
        <v>0</v>
      </c>
      <c r="AH407">
        <f t="shared" si="447"/>
        <v>0</v>
      </c>
      <c r="AI407"/>
      <c r="AJ407" cm="1">
        <f t="array" ref="AJ407">IF(OR($V380=0,$V380="NS",$V380="NA"),0,IF(OR(S407={"NS","NA"},V380={"NS","NA"}),0,IF(S407&gt;=V380,0,1)))</f>
        <v>0</v>
      </c>
      <c r="AK407">
        <f t="shared" si="448"/>
        <v>0</v>
      </c>
      <c r="AL407">
        <f t="shared" si="449"/>
        <v>0</v>
      </c>
      <c r="AM407">
        <f t="shared" si="450"/>
        <v>0</v>
      </c>
      <c r="AN407">
        <f t="shared" si="451"/>
        <v>0</v>
      </c>
      <c r="AO407">
        <f t="shared" si="452"/>
        <v>0</v>
      </c>
      <c r="AP407">
        <f t="shared" si="453"/>
        <v>0</v>
      </c>
      <c r="AQ407">
        <f t="shared" si="454"/>
        <v>0</v>
      </c>
      <c r="AR407">
        <f t="shared" si="455"/>
        <v>0</v>
      </c>
      <c r="AS407">
        <f t="shared" si="456"/>
        <v>0</v>
      </c>
      <c r="AT407">
        <f t="shared" si="457"/>
        <v>0</v>
      </c>
      <c r="AU407">
        <f t="shared" si="458"/>
        <v>0</v>
      </c>
      <c r="AV407">
        <f t="shared" si="459"/>
        <v>0</v>
      </c>
    </row>
    <row r="408" spans="1:48" ht="15" customHeight="1">
      <c r="A408" s="186"/>
      <c r="B408" s="57"/>
      <c r="C408" s="98" t="s">
        <v>2523</v>
      </c>
      <c r="D408" s="813" t="str">
        <f>IF(CNSIPEE_2024_M2_Secc1!D49="","",CNSIPEE_2024_M2_Secc1!D49)</f>
        <v/>
      </c>
      <c r="E408" s="814"/>
      <c r="F408" s="814"/>
      <c r="G408" s="814"/>
      <c r="H408" s="814"/>
      <c r="I408" s="814"/>
      <c r="J408" s="814"/>
      <c r="K408" s="814"/>
      <c r="L408" s="814"/>
      <c r="M408" s="814"/>
      <c r="N408" s="814"/>
      <c r="O408" s="814"/>
      <c r="P408" s="814"/>
      <c r="Q408" s="814"/>
      <c r="R408" s="815"/>
      <c r="S408" s="100"/>
      <c r="T408" s="100"/>
      <c r="U408" s="100"/>
      <c r="V408" s="100"/>
      <c r="W408" s="100"/>
      <c r="X408" s="100"/>
      <c r="Y408" s="100"/>
      <c r="Z408" s="100"/>
      <c r="AA408" s="100"/>
      <c r="AB408" s="100"/>
      <c r="AC408" s="100"/>
      <c r="AD408" s="100"/>
      <c r="AG408">
        <f t="shared" si="446"/>
        <v>0</v>
      </c>
      <c r="AH408">
        <f t="shared" si="447"/>
        <v>0</v>
      </c>
      <c r="AI408"/>
      <c r="AJ408" cm="1">
        <f t="array" ref="AJ408">IF(OR($V381=0,$V381="NS",$V381="NA"),0,IF(OR(S408={"NS","NA"},V381={"NS","NA"}),0,IF(S408&gt;=V381,0,1)))</f>
        <v>0</v>
      </c>
      <c r="AK408">
        <f t="shared" si="448"/>
        <v>0</v>
      </c>
      <c r="AL408">
        <f t="shared" si="449"/>
        <v>0</v>
      </c>
      <c r="AM408">
        <f t="shared" si="450"/>
        <v>0</v>
      </c>
      <c r="AN408">
        <f t="shared" si="451"/>
        <v>0</v>
      </c>
      <c r="AO408">
        <f t="shared" si="452"/>
        <v>0</v>
      </c>
      <c r="AP408">
        <f t="shared" si="453"/>
        <v>0</v>
      </c>
      <c r="AQ408">
        <f t="shared" si="454"/>
        <v>0</v>
      </c>
      <c r="AR408">
        <f t="shared" si="455"/>
        <v>0</v>
      </c>
      <c r="AS408">
        <f t="shared" si="456"/>
        <v>0</v>
      </c>
      <c r="AT408">
        <f t="shared" si="457"/>
        <v>0</v>
      </c>
      <c r="AU408">
        <f t="shared" si="458"/>
        <v>0</v>
      </c>
      <c r="AV408">
        <f t="shared" si="459"/>
        <v>0</v>
      </c>
    </row>
    <row r="409" spans="1:48" ht="15" customHeight="1">
      <c r="A409" s="186"/>
      <c r="B409" s="57"/>
      <c r="C409" s="70"/>
      <c r="D409" s="84"/>
      <c r="E409" s="84"/>
      <c r="F409" s="84"/>
      <c r="G409" s="84"/>
      <c r="H409" s="84"/>
      <c r="I409" s="84"/>
      <c r="J409" s="84"/>
      <c r="K409" s="84"/>
      <c r="L409" s="84"/>
      <c r="M409" s="84"/>
      <c r="N409" s="84"/>
      <c r="O409" s="84"/>
      <c r="P409" s="84"/>
      <c r="Q409" s="84"/>
      <c r="R409" s="117" t="s">
        <v>2649</v>
      </c>
      <c r="S409" s="124">
        <f t="shared" ref="S409:AD409" si="460">IF(AND(SUM(S401:S408)=0,COUNTIF(S401:S408,"NS")&gt;0),"NS",IF(AND(SUM(S401:S408)=0,COUNTIF(S401:S408,0)&gt;0),0,IF(AND(SUM(S401:S408)=0,COUNTIF(S401:S408,"NA")&gt;0),"NA",SUM(S401:S408))))</f>
        <v>0</v>
      </c>
      <c r="T409" s="124">
        <f t="shared" si="460"/>
        <v>0</v>
      </c>
      <c r="U409" s="124">
        <f t="shared" si="460"/>
        <v>0</v>
      </c>
      <c r="V409" s="124">
        <f t="shared" si="460"/>
        <v>0</v>
      </c>
      <c r="W409" s="124">
        <f t="shared" si="460"/>
        <v>0</v>
      </c>
      <c r="X409" s="124">
        <f t="shared" si="460"/>
        <v>0</v>
      </c>
      <c r="Y409" s="124">
        <f t="shared" si="460"/>
        <v>0</v>
      </c>
      <c r="Z409" s="124">
        <f t="shared" si="460"/>
        <v>0</v>
      </c>
      <c r="AA409" s="124">
        <f t="shared" si="460"/>
        <v>0</v>
      </c>
      <c r="AB409" s="124">
        <f t="shared" si="460"/>
        <v>0</v>
      </c>
      <c r="AC409" s="124">
        <f t="shared" si="460"/>
        <v>0</v>
      </c>
      <c r="AD409" s="124">
        <f t="shared" si="460"/>
        <v>0</v>
      </c>
      <c r="AG409" s="507">
        <f>SUM(AG401:AG408)</f>
        <v>0</v>
      </c>
      <c r="AH409" s="507">
        <f>SUM(AH401:AH408)</f>
        <v>0</v>
      </c>
      <c r="AI409"/>
      <c r="AJ409" s="507">
        <f>SUM(AJ401:AJ408)</f>
        <v>0</v>
      </c>
      <c r="AK409">
        <f>SUM(AK401:AK408)</f>
        <v>0</v>
      </c>
      <c r="AM409">
        <f>SUM(AM401:AM408)</f>
        <v>0</v>
      </c>
      <c r="AN409">
        <f>SUM(AN401:AN408)</f>
        <v>0</v>
      </c>
      <c r="AP409">
        <f>SUM(AP401:AP408)</f>
        <v>0</v>
      </c>
      <c r="AQ409">
        <f>SUM(AQ401:AQ408)</f>
        <v>0</v>
      </c>
      <c r="AS409">
        <f>SUM(AS401:AS408)</f>
        <v>0</v>
      </c>
      <c r="AT409">
        <f>SUM(AT401:AT408)</f>
        <v>0</v>
      </c>
      <c r="AV409">
        <f>SUM(AV401:AV408)</f>
        <v>0</v>
      </c>
    </row>
    <row r="410" spans="1:48" ht="15" customHeight="1">
      <c r="A410" s="108"/>
      <c r="B410" s="38"/>
      <c r="C410" s="38"/>
      <c r="D410" s="38"/>
      <c r="E410" s="38"/>
      <c r="F410" s="38"/>
      <c r="G410" s="38"/>
      <c r="H410" s="38"/>
      <c r="I410" s="38"/>
      <c r="J410" s="38"/>
      <c r="K410" s="38"/>
      <c r="L410" s="117"/>
      <c r="M410" s="141"/>
      <c r="N410" s="141"/>
      <c r="O410" s="70"/>
      <c r="P410" s="70"/>
      <c r="Q410" s="70"/>
      <c r="R410" s="70"/>
      <c r="S410" s="141"/>
      <c r="T410" s="141"/>
      <c r="U410" s="70"/>
      <c r="V410" s="70"/>
      <c r="W410" s="141"/>
      <c r="X410" s="141"/>
      <c r="Y410" s="70"/>
      <c r="Z410" s="70"/>
      <c r="AA410" s="141"/>
      <c r="AB410" s="141"/>
      <c r="AC410" s="70"/>
      <c r="AD410" s="70"/>
      <c r="AK410" t="s">
        <v>2650</v>
      </c>
      <c r="AL410" s="506">
        <f>SUM(AM409,AP409,AS409,AV409)</f>
        <v>0</v>
      </c>
      <c r="AM410" t="s">
        <v>2651</v>
      </c>
      <c r="AN410">
        <f>SUM(AK409,AN409,AQ409,AT409)</f>
        <v>0</v>
      </c>
    </row>
    <row r="411" spans="1:48" ht="24" customHeight="1">
      <c r="A411" s="108"/>
      <c r="B411" s="38"/>
      <c r="C411" s="754" t="s">
        <v>2611</v>
      </c>
      <c r="D411" s="754"/>
      <c r="E411" s="754"/>
      <c r="F411" s="754"/>
      <c r="G411" s="754"/>
      <c r="H411" s="754"/>
      <c r="I411" s="754"/>
      <c r="J411" s="754"/>
      <c r="K411" s="754"/>
      <c r="L411" s="754"/>
      <c r="M411" s="754"/>
      <c r="N411" s="754"/>
      <c r="O411" s="754"/>
      <c r="P411" s="754"/>
      <c r="Q411" s="754"/>
      <c r="R411" s="754"/>
      <c r="S411" s="754"/>
      <c r="T411" s="754"/>
      <c r="U411" s="754"/>
      <c r="V411" s="754"/>
      <c r="W411" s="754"/>
      <c r="X411" s="754"/>
      <c r="Y411" s="754"/>
      <c r="Z411" s="754"/>
      <c r="AA411" s="754"/>
      <c r="AB411" s="754"/>
      <c r="AC411" s="754"/>
      <c r="AD411" s="754"/>
      <c r="AK411" t="s">
        <v>2652</v>
      </c>
      <c r="AL411" s="507">
        <f>IF(AN410&gt;0,IF(SUM(S409)&gt;=SUM(V409,Y409,AB409),0,1),IF(SUM(S409)&lt;&gt;SUM(V409,Y409,AB409),1,0))</f>
        <v>0</v>
      </c>
      <c r="AM411" t="s">
        <v>2653</v>
      </c>
      <c r="AN411" s="507">
        <f>IF(AN410&gt;0,IF(SUM(T409)&gt;=SUM(W409,Z409,AC409),0,1),IF(SUM(T409)&lt;&gt;SUM(W409,Z409,AC409),1,0))</f>
        <v>0</v>
      </c>
      <c r="AO411" t="s">
        <v>2654</v>
      </c>
      <c r="AP411" s="507">
        <f>IF(AN410&gt;0,IF(SUM(U409)&gt;=SUM(X409,AA409,AD409),0,1),IF(SUM(U409)&lt;&gt;SUM(X409,AA409,AD409),1,0))</f>
        <v>0</v>
      </c>
    </row>
    <row r="412" spans="1:48" ht="60" customHeight="1">
      <c r="A412" s="108"/>
      <c r="B412" s="38"/>
      <c r="C412" s="851"/>
      <c r="D412" s="851"/>
      <c r="E412" s="851"/>
      <c r="F412" s="851"/>
      <c r="G412" s="851"/>
      <c r="H412" s="851"/>
      <c r="I412" s="851"/>
      <c r="J412" s="851"/>
      <c r="K412" s="851"/>
      <c r="L412" s="851"/>
      <c r="M412" s="851"/>
      <c r="N412" s="851"/>
      <c r="O412" s="851"/>
      <c r="P412" s="851"/>
      <c r="Q412" s="851"/>
      <c r="R412" s="851"/>
      <c r="S412" s="851"/>
      <c r="T412" s="851"/>
      <c r="U412" s="851"/>
      <c r="V412" s="851"/>
      <c r="W412" s="851"/>
      <c r="X412" s="851"/>
      <c r="Y412" s="851"/>
      <c r="Z412" s="851"/>
      <c r="AA412" s="851"/>
      <c r="AB412" s="851"/>
      <c r="AC412" s="851"/>
      <c r="AD412" s="851"/>
    </row>
    <row r="413" spans="1:48" ht="15" customHeight="1">
      <c r="A413" s="176"/>
      <c r="B413" s="794" t="str">
        <f>IF(AG409=0,"","Favor de ingresar toda la información requerida en la pregunta")</f>
        <v/>
      </c>
      <c r="C413" s="794"/>
      <c r="D413" s="794"/>
      <c r="E413" s="794"/>
      <c r="F413" s="794"/>
      <c r="G413" s="794"/>
      <c r="H413" s="794"/>
      <c r="I413" s="794"/>
      <c r="J413" s="794"/>
      <c r="K413" s="794"/>
      <c r="L413" s="794"/>
      <c r="M413" s="794"/>
      <c r="N413" s="794"/>
      <c r="O413" s="794"/>
      <c r="P413" s="794"/>
      <c r="Q413" s="794"/>
      <c r="R413" s="794"/>
      <c r="S413" s="794"/>
      <c r="T413" s="794"/>
      <c r="U413" s="794"/>
      <c r="V413" s="794"/>
      <c r="W413" s="794"/>
      <c r="X413" s="794"/>
      <c r="Y413" s="794"/>
      <c r="Z413" s="794"/>
      <c r="AA413" s="794"/>
      <c r="AB413" s="794"/>
      <c r="AC413" s="794"/>
      <c r="AD413" s="794"/>
      <c r="AE413" s="794"/>
    </row>
    <row r="414" spans="1:48" ht="15" customHeight="1">
      <c r="A414" s="176"/>
      <c r="B414" s="1087" t="str">
        <f>IF(COUNTIF(S401:AD408,"NS")&lt;&gt;0,"Alerta: debido a que cuenta con registros NS, debe proporcionar una justificación en el area de comentarios al final de la pregunta","")</f>
        <v/>
      </c>
      <c r="C414" s="1087"/>
      <c r="D414" s="1087"/>
      <c r="E414" s="1087"/>
      <c r="F414" s="1087"/>
      <c r="G414" s="1087"/>
      <c r="H414" s="1087"/>
      <c r="I414" s="1087"/>
      <c r="J414" s="1087"/>
      <c r="K414" s="1087"/>
      <c r="L414" s="1087"/>
      <c r="M414" s="1087"/>
      <c r="N414" s="1087"/>
      <c r="O414" s="1087"/>
      <c r="P414" s="1087"/>
      <c r="Q414" s="1087"/>
      <c r="R414" s="1087"/>
      <c r="S414" s="1087"/>
      <c r="T414" s="1087"/>
      <c r="U414" s="1087"/>
      <c r="V414" s="1087"/>
      <c r="W414" s="1087"/>
      <c r="X414" s="1087"/>
      <c r="Y414" s="1087"/>
      <c r="Z414" s="1087"/>
      <c r="AA414" s="1087"/>
      <c r="AB414" s="1087"/>
      <c r="AC414" s="1087"/>
      <c r="AD414" s="1087"/>
      <c r="AE414" s="1087"/>
    </row>
    <row r="415" spans="1:48" ht="15" customHeight="1">
      <c r="A415" s="176"/>
      <c r="B415" s="1003" t="str">
        <f>IF(AH409&gt;0,"Revise la información capturada, ya que tiene datos ingresados en celdas que están sombreadas","")</f>
        <v/>
      </c>
      <c r="C415" s="1003"/>
      <c r="D415" s="1003"/>
      <c r="E415" s="1003"/>
      <c r="F415" s="1003"/>
      <c r="G415" s="1003"/>
      <c r="H415" s="1003"/>
      <c r="I415" s="1003"/>
      <c r="J415" s="1003"/>
      <c r="K415" s="1003"/>
      <c r="L415" s="1003"/>
      <c r="M415" s="1003"/>
      <c r="N415" s="1003"/>
      <c r="O415" s="1003"/>
      <c r="P415" s="1003"/>
      <c r="Q415" s="1003"/>
      <c r="R415" s="1003"/>
      <c r="S415" s="1003"/>
      <c r="T415" s="1003"/>
      <c r="U415" s="1003"/>
      <c r="V415" s="1003"/>
      <c r="W415" s="1003"/>
      <c r="X415" s="1003"/>
      <c r="Y415" s="1003"/>
      <c r="Z415" s="1003"/>
      <c r="AA415" s="1003"/>
      <c r="AB415" s="1003"/>
      <c r="AC415" s="1003"/>
      <c r="AD415" s="1003"/>
      <c r="AE415" s="1003"/>
    </row>
    <row r="416" spans="1:48" ht="15" customHeight="1">
      <c r="A416" s="176"/>
      <c r="B416" s="1003" t="str">
        <f>IF(OR(AL410&gt;0,AL411&gt;0,AN411&gt;0,AP411&gt;0),"Favor de revisar la suma y consistencia de totales y/o subtotales por filas (numéricos y NS)","")</f>
        <v/>
      </c>
      <c r="C416" s="1003"/>
      <c r="D416" s="1003"/>
      <c r="E416" s="1003"/>
      <c r="F416" s="1003"/>
      <c r="G416" s="1003"/>
      <c r="H416" s="1003"/>
      <c r="I416" s="1003"/>
      <c r="J416" s="1003"/>
      <c r="K416" s="1003"/>
      <c r="L416" s="1003"/>
      <c r="M416" s="1003"/>
      <c r="N416" s="1003"/>
      <c r="O416" s="1003"/>
      <c r="P416" s="1003"/>
      <c r="Q416" s="1003"/>
      <c r="R416" s="1003"/>
      <c r="S416" s="1003"/>
      <c r="T416" s="1003"/>
      <c r="U416" s="1003"/>
      <c r="V416" s="1003"/>
      <c r="W416" s="1003"/>
      <c r="X416" s="1003"/>
      <c r="Y416" s="1003"/>
      <c r="Z416" s="1003"/>
      <c r="AA416" s="1003"/>
      <c r="AB416" s="1003"/>
      <c r="AC416" s="1003"/>
      <c r="AD416" s="1003"/>
      <c r="AE416" s="1003"/>
    </row>
    <row r="417" spans="1:58" ht="15" customHeight="1">
      <c r="A417" s="176"/>
      <c r="B417" s="1003" t="str">
        <f>IF(AJ409=0,"","Las cantidades de Hombres y Mujeres por centro especializado debe ser igual o mayor a los datos reportados en la preg. anterior")</f>
        <v/>
      </c>
      <c r="C417" s="1003"/>
      <c r="D417" s="1003"/>
      <c r="E417" s="1003"/>
      <c r="F417" s="1003"/>
      <c r="G417" s="1003"/>
      <c r="H417" s="1003"/>
      <c r="I417" s="1003"/>
      <c r="J417" s="1003"/>
      <c r="K417" s="1003"/>
      <c r="L417" s="1003"/>
      <c r="M417" s="1003"/>
      <c r="N417" s="1003"/>
      <c r="O417" s="1003"/>
      <c r="P417" s="1003"/>
      <c r="Q417" s="1003"/>
      <c r="R417" s="1003"/>
      <c r="S417" s="1003"/>
      <c r="T417" s="1003"/>
      <c r="U417" s="1003"/>
      <c r="V417" s="1003"/>
      <c r="W417" s="1003"/>
      <c r="X417" s="1003"/>
      <c r="Y417" s="1003"/>
      <c r="Z417" s="1003"/>
      <c r="AA417" s="1003"/>
      <c r="AB417" s="1003"/>
      <c r="AC417" s="1003"/>
      <c r="AD417" s="1003"/>
      <c r="AE417" s="1003"/>
    </row>
    <row r="418" spans="1:58" ht="15" customHeight="1">
      <c r="A418" s="176"/>
      <c r="B418" s="57"/>
      <c r="C418" s="57"/>
      <c r="D418" s="57"/>
      <c r="E418" s="57"/>
      <c r="F418" s="57"/>
      <c r="G418" s="57"/>
      <c r="H418" s="57"/>
      <c r="I418" s="57"/>
      <c r="J418" s="57"/>
      <c r="K418" s="57"/>
      <c r="L418" s="57"/>
      <c r="M418" s="57"/>
      <c r="N418" s="57"/>
      <c r="O418" s="57"/>
      <c r="P418" s="57"/>
      <c r="Q418" s="57"/>
      <c r="R418" s="57"/>
      <c r="S418" s="57"/>
      <c r="T418" s="57"/>
      <c r="U418" s="57"/>
      <c r="V418" s="57"/>
      <c r="W418" s="57"/>
      <c r="X418" s="57"/>
      <c r="Y418" s="57"/>
      <c r="Z418" s="57"/>
      <c r="AA418" s="57"/>
      <c r="AB418" s="57"/>
      <c r="AC418" s="57"/>
      <c r="AD418" s="57"/>
      <c r="AE418"/>
    </row>
    <row r="419" spans="1:58" ht="36" customHeight="1">
      <c r="A419" s="108" t="s">
        <v>5254</v>
      </c>
      <c r="B419" s="829" t="s">
        <v>5255</v>
      </c>
      <c r="C419" s="829"/>
      <c r="D419" s="829"/>
      <c r="E419" s="829"/>
      <c r="F419" s="829"/>
      <c r="G419" s="829"/>
      <c r="H419" s="829"/>
      <c r="I419" s="829"/>
      <c r="J419" s="829"/>
      <c r="K419" s="829"/>
      <c r="L419" s="829"/>
      <c r="M419" s="829"/>
      <c r="N419" s="829"/>
      <c r="O419" s="829"/>
      <c r="P419" s="829"/>
      <c r="Q419" s="829"/>
      <c r="R419" s="829"/>
      <c r="S419" s="829"/>
      <c r="T419" s="829"/>
      <c r="U419" s="829"/>
      <c r="V419" s="829"/>
      <c r="W419" s="829"/>
      <c r="X419" s="829"/>
      <c r="Y419" s="829"/>
      <c r="Z419" s="829"/>
      <c r="AA419" s="829"/>
      <c r="AB419" s="829"/>
      <c r="AC419" s="829"/>
      <c r="AD419" s="829"/>
    </row>
    <row r="420" spans="1:58" ht="15" customHeight="1">
      <c r="A420" s="108"/>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c r="AA420" s="38"/>
      <c r="AB420" s="38"/>
      <c r="AC420" s="38"/>
      <c r="AD420" s="38"/>
    </row>
    <row r="421" spans="1:58" ht="36" customHeight="1">
      <c r="A421" s="108"/>
      <c r="B421" s="38"/>
      <c r="C421" s="797" t="s">
        <v>2581</v>
      </c>
      <c r="D421" s="798"/>
      <c r="E421" s="798"/>
      <c r="F421" s="798"/>
      <c r="G421" s="798"/>
      <c r="H421" s="798"/>
      <c r="I421" s="798"/>
      <c r="J421" s="798"/>
      <c r="K421" s="798"/>
      <c r="L421" s="798"/>
      <c r="M421" s="798"/>
      <c r="N421" s="798"/>
      <c r="O421" s="798"/>
      <c r="P421" s="798"/>
      <c r="Q421" s="798"/>
      <c r="R421" s="799"/>
      <c r="S421" s="739" t="s">
        <v>5256</v>
      </c>
      <c r="T421" s="740"/>
      <c r="U421" s="740"/>
      <c r="V421" s="740"/>
      <c r="W421" s="740"/>
      <c r="X421" s="740"/>
      <c r="Y421" s="740"/>
      <c r="Z421" s="740"/>
      <c r="AA421" s="740"/>
      <c r="AB421" s="740"/>
      <c r="AC421" s="740"/>
      <c r="AD421" s="741"/>
    </row>
    <row r="422" spans="1:58" ht="72" customHeight="1">
      <c r="A422" s="108"/>
      <c r="B422" s="38"/>
      <c r="C422" s="800"/>
      <c r="D422" s="801"/>
      <c r="E422" s="801"/>
      <c r="F422" s="801"/>
      <c r="G422" s="801"/>
      <c r="H422" s="801"/>
      <c r="I422" s="801"/>
      <c r="J422" s="801"/>
      <c r="K422" s="801"/>
      <c r="L422" s="801"/>
      <c r="M422" s="801"/>
      <c r="N422" s="801"/>
      <c r="O422" s="801"/>
      <c r="P422" s="801"/>
      <c r="Q422" s="801"/>
      <c r="R422" s="802"/>
      <c r="S422" s="887" t="s">
        <v>2628</v>
      </c>
      <c r="T422" s="889" t="s">
        <v>2629</v>
      </c>
      <c r="U422" s="889" t="s">
        <v>2630</v>
      </c>
      <c r="V422" s="858" t="s">
        <v>5257</v>
      </c>
      <c r="W422" s="859"/>
      <c r="X422" s="860"/>
      <c r="Y422" s="858" t="s">
        <v>5258</v>
      </c>
      <c r="Z422" s="859"/>
      <c r="AA422" s="860"/>
      <c r="AB422" s="858" t="s">
        <v>201</v>
      </c>
      <c r="AC422" s="859"/>
      <c r="AD422" s="860"/>
    </row>
    <row r="423" spans="1:58" ht="48" customHeight="1">
      <c r="A423" s="108"/>
      <c r="B423" s="38"/>
      <c r="C423" s="803"/>
      <c r="D423" s="804"/>
      <c r="E423" s="804"/>
      <c r="F423" s="804"/>
      <c r="G423" s="804"/>
      <c r="H423" s="804"/>
      <c r="I423" s="804"/>
      <c r="J423" s="804"/>
      <c r="K423" s="804"/>
      <c r="L423" s="804"/>
      <c r="M423" s="804"/>
      <c r="N423" s="804"/>
      <c r="O423" s="804"/>
      <c r="P423" s="804"/>
      <c r="Q423" s="804"/>
      <c r="R423" s="805"/>
      <c r="S423" s="888"/>
      <c r="T423" s="890"/>
      <c r="U423" s="890"/>
      <c r="V423" s="171" t="s">
        <v>2635</v>
      </c>
      <c r="W423" s="128" t="s">
        <v>2629</v>
      </c>
      <c r="X423" s="128" t="s">
        <v>2630</v>
      </c>
      <c r="Y423" s="171" t="s">
        <v>2635</v>
      </c>
      <c r="Z423" s="128" t="s">
        <v>2629</v>
      </c>
      <c r="AA423" s="128" t="s">
        <v>2630</v>
      </c>
      <c r="AB423" s="171" t="s">
        <v>2635</v>
      </c>
      <c r="AC423" s="128" t="s">
        <v>2629</v>
      </c>
      <c r="AD423" s="128" t="s">
        <v>2630</v>
      </c>
      <c r="AG423" t="s">
        <v>2586</v>
      </c>
      <c r="AH423" t="s">
        <v>4581</v>
      </c>
      <c r="AK423" t="s">
        <v>4573</v>
      </c>
      <c r="AL423" t="s">
        <v>2638</v>
      </c>
      <c r="AM423" t="s">
        <v>2639</v>
      </c>
      <c r="AN423" t="s">
        <v>4574</v>
      </c>
      <c r="AO423" t="s">
        <v>2641</v>
      </c>
      <c r="AP423" t="s">
        <v>2642</v>
      </c>
      <c r="AQ423" t="s">
        <v>4575</v>
      </c>
      <c r="AR423" t="s">
        <v>2644</v>
      </c>
      <c r="AS423" t="s">
        <v>2645</v>
      </c>
      <c r="AT423" t="s">
        <v>4576</v>
      </c>
      <c r="AU423" t="s">
        <v>2647</v>
      </c>
      <c r="AV423" t="s">
        <v>2648</v>
      </c>
      <c r="BF423" t="s">
        <v>4582</v>
      </c>
    </row>
    <row r="424" spans="1:58" ht="15" customHeight="1">
      <c r="A424" s="108"/>
      <c r="B424" s="38"/>
      <c r="C424" s="97" t="s">
        <v>2516</v>
      </c>
      <c r="D424" s="813" t="str">
        <f>IF(CNSIPEE_2024_M2_Secc1!D42="","",CNSIPEE_2024_M2_Secc1!D42)</f>
        <v/>
      </c>
      <c r="E424" s="814"/>
      <c r="F424" s="814"/>
      <c r="G424" s="814"/>
      <c r="H424" s="814"/>
      <c r="I424" s="814"/>
      <c r="J424" s="814"/>
      <c r="K424" s="814"/>
      <c r="L424" s="814"/>
      <c r="M424" s="814"/>
      <c r="N424" s="814"/>
      <c r="O424" s="814"/>
      <c r="P424" s="814"/>
      <c r="Q424" s="814"/>
      <c r="R424" s="815"/>
      <c r="S424" s="100"/>
      <c r="T424" s="100"/>
      <c r="U424" s="100"/>
      <c r="V424" s="100"/>
      <c r="W424" s="100"/>
      <c r="X424" s="100"/>
      <c r="Y424" s="100"/>
      <c r="Z424" s="100"/>
      <c r="AA424" s="100"/>
      <c r="AB424" s="100"/>
      <c r="AC424" s="100"/>
      <c r="AD424" s="100"/>
      <c r="AG424">
        <f>IF(OR($M40=0,$M40="NS",$M40="NA"),0,IF(OR(COUNTBLANK(D424:AD424)=14,COUNTBLANK(D424:AD424)=27),0,1))</f>
        <v>0</v>
      </c>
      <c r="AH424">
        <f>IF(OR($M40=0,$M40="NS",$M40="NA"),IF(COUNTBLANK(S424:AD424)=12,0,1),0)</f>
        <v>0</v>
      </c>
      <c r="AK424">
        <f t="shared" ref="AK424" si="461">COUNTIF(T424:U424,"NS")</f>
        <v>0</v>
      </c>
      <c r="AL424">
        <f t="shared" ref="AL424" si="462">SUM(T424:U424)</f>
        <v>0</v>
      </c>
      <c r="AM424">
        <f>IF(COUNTIF(S424:U424,"NA")=3,0,IF(COUNTA(S424:U424)=0,0,IF(OR(AND(S424=0,AK424&gt;0),AND(S424="ns",AL424&gt;0),AND(S424="ns",AK424=0,AL424=0)),1,IF(OR(AND(S424&gt;0,AK424=2),AND(S424="ns",AK424=2),AND(S424="ns",AL424=0,AK424&gt;0),S424=AL424),0,1))))</f>
        <v>0</v>
      </c>
      <c r="AN424">
        <f t="shared" ref="AN424" si="463">COUNTIF(W424:X424,"NS")</f>
        <v>0</v>
      </c>
      <c r="AO424">
        <f t="shared" ref="AO424" si="464">SUM(W424:X424)</f>
        <v>0</v>
      </c>
      <c r="AP424">
        <f t="shared" ref="AP424" si="465">IF(COUNTIF(V424:X424,"NA")=3,0,IF(COUNTA(V424:X424)=0,0,IF(OR(AND(V424=0,AN424&gt;0),AND(V424="ns",AO424&gt;0),AND(V424="ns",AN424=0,AO424=0)),1,IF(OR(AND(V424&gt;0,AN424=2),AND(V424="ns",AN424=2),AND(V424="ns",AO424=0,AN424&gt;0),V424=AO424),0,1))))</f>
        <v>0</v>
      </c>
      <c r="AQ424">
        <f t="shared" ref="AQ424" si="466">COUNTIF(Z424:AA424,"NS")</f>
        <v>0</v>
      </c>
      <c r="AR424">
        <f t="shared" ref="AR424" si="467">SUM(Z424:AA424)</f>
        <v>0</v>
      </c>
      <c r="AS424">
        <f t="shared" ref="AS424" si="468">IF(COUNTIF(Y424:AA424,"NA")=3,0,IF(COUNTA(Y424:AA424)=0,0,IF(OR(AND(Y424=0,AQ424&gt;0),AND(Y424="ns",AR424&gt;0),AND(Y424="ns",AQ424=0,AR424=0)),1,IF(OR(AND(Y424&gt;0,AQ424=2),AND(Y424="ns",AQ424=2),AND(Y424="ns",AR424=0,AQ424&gt;0),Y424=AR424),0,1))))</f>
        <v>0</v>
      </c>
      <c r="AT424">
        <f t="shared" ref="AT424" si="469">COUNTIF(AC424:AD424,"NS")</f>
        <v>0</v>
      </c>
      <c r="AU424">
        <f t="shared" ref="AU424" si="470">SUM(AC424:AD424)</f>
        <v>0</v>
      </c>
      <c r="AV424">
        <f t="shared" ref="AV424" si="471">IF(COUNTIF(AB424:AD424,"NA")=3,0,IF(COUNTA(AB424:AD424)=0,0,IF(OR(AND(AB424=0,AT424&gt;0),AND(AB424="ns",AU424&gt;0),AND(AB424="ns",AT424=0,AU424=0)),1,IF(OR(AND(AB424&gt;0,AT424=2),AND(AB424="ns",AT424=2),AND(AB424="ns",AU424=0,AT424&gt;0),AB424=AU424),0,1))))</f>
        <v>0</v>
      </c>
      <c r="BF424">
        <f>IF(OR($M40=0,$M40="NS",$M40="NA"),0,IF(AND(M40=S424,S40=T424,Y40=U424),0,1))</f>
        <v>0</v>
      </c>
    </row>
    <row r="425" spans="1:58" ht="15" customHeight="1">
      <c r="A425" s="108"/>
      <c r="B425" s="38"/>
      <c r="C425" s="98" t="s">
        <v>2517</v>
      </c>
      <c r="D425" s="813" t="str">
        <f>IF(CNSIPEE_2024_M2_Secc1!D43="","",CNSIPEE_2024_M2_Secc1!D43)</f>
        <v/>
      </c>
      <c r="E425" s="814"/>
      <c r="F425" s="814"/>
      <c r="G425" s="814"/>
      <c r="H425" s="814"/>
      <c r="I425" s="814"/>
      <c r="J425" s="814"/>
      <c r="K425" s="814"/>
      <c r="L425" s="814"/>
      <c r="M425" s="814"/>
      <c r="N425" s="814"/>
      <c r="O425" s="814"/>
      <c r="P425" s="814"/>
      <c r="Q425" s="814"/>
      <c r="R425" s="815"/>
      <c r="S425" s="100"/>
      <c r="T425" s="100"/>
      <c r="U425" s="100"/>
      <c r="V425" s="100"/>
      <c r="W425" s="100"/>
      <c r="X425" s="100"/>
      <c r="Y425" s="100"/>
      <c r="Z425" s="100"/>
      <c r="AA425" s="100"/>
      <c r="AB425" s="100"/>
      <c r="AC425" s="100"/>
      <c r="AD425" s="100"/>
      <c r="AG425">
        <f t="shared" ref="AG425:AG431" si="472">IF(OR($M41=0,$M41="NS",$M41="NA"),0,IF(OR(COUNTBLANK(D425:AD425)=14,COUNTBLANK(D425:AD425)=27),0,1))</f>
        <v>0</v>
      </c>
      <c r="AH425">
        <f t="shared" ref="AH425:AH431" si="473">IF(OR($M41=0,$M41="NS",$M41="NA"),IF(COUNTBLANK(S425:AD425)=12,0,1),0)</f>
        <v>0</v>
      </c>
      <c r="AK425">
        <f t="shared" ref="AK425:AK431" si="474">COUNTIF(T425:U425,"NS")</f>
        <v>0</v>
      </c>
      <c r="AL425">
        <f t="shared" ref="AL425:AL431" si="475">SUM(T425:U425)</f>
        <v>0</v>
      </c>
      <c r="AM425">
        <f t="shared" ref="AM425:AM431" si="476">IF(COUNTIF(S425:U425,"NA")=3,0,IF(COUNTA(S425:U425)=0,0,IF(OR(AND(S425=0,AK425&gt;0),AND(S425="ns",AL425&gt;0),AND(S425="ns",AK425=0,AL425=0)),1,IF(OR(AND(S425&gt;0,AK425=2),AND(S425="ns",AK425=2),AND(S425="ns",AL425=0,AK425&gt;0),S425=AL425),0,1))))</f>
        <v>0</v>
      </c>
      <c r="AN425">
        <f t="shared" ref="AN425:AN431" si="477">COUNTIF(W425:X425,"NS")</f>
        <v>0</v>
      </c>
      <c r="AO425">
        <f t="shared" ref="AO425:AO431" si="478">SUM(W425:X425)</f>
        <v>0</v>
      </c>
      <c r="AP425">
        <f t="shared" ref="AP425:AP431" si="479">IF(COUNTIF(V425:X425,"NA")=3,0,IF(COUNTA(V425:X425)=0,0,IF(OR(AND(V425=0,AN425&gt;0),AND(V425="ns",AO425&gt;0),AND(V425="ns",AN425=0,AO425=0)),1,IF(OR(AND(V425&gt;0,AN425=2),AND(V425="ns",AN425=2),AND(V425="ns",AO425=0,AN425&gt;0),V425=AO425),0,1))))</f>
        <v>0</v>
      </c>
      <c r="AQ425">
        <f t="shared" ref="AQ425:AQ431" si="480">COUNTIF(Z425:AA425,"NS")</f>
        <v>0</v>
      </c>
      <c r="AR425">
        <f t="shared" ref="AR425:AR431" si="481">SUM(Z425:AA425)</f>
        <v>0</v>
      </c>
      <c r="AS425">
        <f t="shared" ref="AS425:AS431" si="482">IF(COUNTIF(Y425:AA425,"NA")=3,0,IF(COUNTA(Y425:AA425)=0,0,IF(OR(AND(Y425=0,AQ425&gt;0),AND(Y425="ns",AR425&gt;0),AND(Y425="ns",AQ425=0,AR425=0)),1,IF(OR(AND(Y425&gt;0,AQ425=2),AND(Y425="ns",AQ425=2),AND(Y425="ns",AR425=0,AQ425&gt;0),Y425=AR425),0,1))))</f>
        <v>0</v>
      </c>
      <c r="AT425">
        <f t="shared" ref="AT425:AT431" si="483">COUNTIF(AC425:AD425,"NS")</f>
        <v>0</v>
      </c>
      <c r="AU425">
        <f t="shared" ref="AU425:AU431" si="484">SUM(AC425:AD425)</f>
        <v>0</v>
      </c>
      <c r="AV425">
        <f t="shared" ref="AV425:AV431" si="485">IF(COUNTIF(AB425:AD425,"NA")=3,0,IF(COUNTA(AB425:AD425)=0,0,IF(OR(AND(AB425=0,AT425&gt;0),AND(AB425="ns",AU425&gt;0),AND(AB425="ns",AT425=0,AU425=0)),1,IF(OR(AND(AB425&gt;0,AT425=2),AND(AB425="ns",AT425=2),AND(AB425="ns",AU425=0,AT425&gt;0),AB425=AU425),0,1))))</f>
        <v>0</v>
      </c>
      <c r="BF425">
        <f t="shared" ref="BF425:BF431" si="486">IF(OR($M41=0,$M41="NS",$M41="NA"),0,IF(AND(M41=S425,S41=T425,Y41=U425),0,1))</f>
        <v>0</v>
      </c>
    </row>
    <row r="426" spans="1:58" ht="15" customHeight="1">
      <c r="A426" s="186"/>
      <c r="B426" s="57"/>
      <c r="C426" s="98" t="s">
        <v>2518</v>
      </c>
      <c r="D426" s="813" t="str">
        <f>IF(CNSIPEE_2024_M2_Secc1!D44="","",CNSIPEE_2024_M2_Secc1!D44)</f>
        <v/>
      </c>
      <c r="E426" s="814"/>
      <c r="F426" s="814"/>
      <c r="G426" s="814"/>
      <c r="H426" s="814"/>
      <c r="I426" s="814"/>
      <c r="J426" s="814"/>
      <c r="K426" s="814"/>
      <c r="L426" s="814"/>
      <c r="M426" s="814"/>
      <c r="N426" s="814"/>
      <c r="O426" s="814"/>
      <c r="P426" s="814"/>
      <c r="Q426" s="814"/>
      <c r="R426" s="815"/>
      <c r="S426" s="100"/>
      <c r="T426" s="100"/>
      <c r="U426" s="100"/>
      <c r="V426" s="100"/>
      <c r="W426" s="100"/>
      <c r="X426" s="100"/>
      <c r="Y426" s="100"/>
      <c r="Z426" s="100"/>
      <c r="AA426" s="100"/>
      <c r="AB426" s="100"/>
      <c r="AC426" s="100"/>
      <c r="AD426" s="100"/>
      <c r="AG426">
        <f t="shared" si="472"/>
        <v>0</v>
      </c>
      <c r="AH426">
        <f t="shared" si="473"/>
        <v>0</v>
      </c>
      <c r="AK426">
        <f t="shared" si="474"/>
        <v>0</v>
      </c>
      <c r="AL426">
        <f t="shared" si="475"/>
        <v>0</v>
      </c>
      <c r="AM426">
        <f t="shared" si="476"/>
        <v>0</v>
      </c>
      <c r="AN426">
        <f t="shared" si="477"/>
        <v>0</v>
      </c>
      <c r="AO426">
        <f t="shared" si="478"/>
        <v>0</v>
      </c>
      <c r="AP426">
        <f t="shared" si="479"/>
        <v>0</v>
      </c>
      <c r="AQ426">
        <f t="shared" si="480"/>
        <v>0</v>
      </c>
      <c r="AR426">
        <f t="shared" si="481"/>
        <v>0</v>
      </c>
      <c r="AS426">
        <f t="shared" si="482"/>
        <v>0</v>
      </c>
      <c r="AT426">
        <f t="shared" si="483"/>
        <v>0</v>
      </c>
      <c r="AU426">
        <f t="shared" si="484"/>
        <v>0</v>
      </c>
      <c r="AV426">
        <f t="shared" si="485"/>
        <v>0</v>
      </c>
      <c r="BF426">
        <f t="shared" si="486"/>
        <v>0</v>
      </c>
    </row>
    <row r="427" spans="1:58" ht="15" customHeight="1">
      <c r="A427" s="186"/>
      <c r="B427" s="57"/>
      <c r="C427" s="98" t="s">
        <v>2519</v>
      </c>
      <c r="D427" s="813" t="str">
        <f>IF(CNSIPEE_2024_M2_Secc1!D45="","",CNSIPEE_2024_M2_Secc1!D45)</f>
        <v/>
      </c>
      <c r="E427" s="814"/>
      <c r="F427" s="814"/>
      <c r="G427" s="814"/>
      <c r="H427" s="814"/>
      <c r="I427" s="814"/>
      <c r="J427" s="814"/>
      <c r="K427" s="814"/>
      <c r="L427" s="814"/>
      <c r="M427" s="814"/>
      <c r="N427" s="814"/>
      <c r="O427" s="814"/>
      <c r="P427" s="814"/>
      <c r="Q427" s="814"/>
      <c r="R427" s="815"/>
      <c r="S427" s="100"/>
      <c r="T427" s="100"/>
      <c r="U427" s="100"/>
      <c r="V427" s="100"/>
      <c r="W427" s="100"/>
      <c r="X427" s="100"/>
      <c r="Y427" s="100"/>
      <c r="Z427" s="100"/>
      <c r="AA427" s="100"/>
      <c r="AB427" s="100"/>
      <c r="AC427" s="100"/>
      <c r="AD427" s="100"/>
      <c r="AG427">
        <f t="shared" si="472"/>
        <v>0</v>
      </c>
      <c r="AH427">
        <f t="shared" si="473"/>
        <v>0</v>
      </c>
      <c r="AK427">
        <f t="shared" si="474"/>
        <v>0</v>
      </c>
      <c r="AL427">
        <f t="shared" si="475"/>
        <v>0</v>
      </c>
      <c r="AM427">
        <f t="shared" si="476"/>
        <v>0</v>
      </c>
      <c r="AN427">
        <f t="shared" si="477"/>
        <v>0</v>
      </c>
      <c r="AO427">
        <f t="shared" si="478"/>
        <v>0</v>
      </c>
      <c r="AP427">
        <f t="shared" si="479"/>
        <v>0</v>
      </c>
      <c r="AQ427">
        <f t="shared" si="480"/>
        <v>0</v>
      </c>
      <c r="AR427">
        <f t="shared" si="481"/>
        <v>0</v>
      </c>
      <c r="AS427">
        <f t="shared" si="482"/>
        <v>0</v>
      </c>
      <c r="AT427">
        <f t="shared" si="483"/>
        <v>0</v>
      </c>
      <c r="AU427">
        <f t="shared" si="484"/>
        <v>0</v>
      </c>
      <c r="AV427">
        <f t="shared" si="485"/>
        <v>0</v>
      </c>
      <c r="BF427">
        <f t="shared" si="486"/>
        <v>0</v>
      </c>
    </row>
    <row r="428" spans="1:58" ht="15" customHeight="1">
      <c r="A428" s="186"/>
      <c r="B428" s="57"/>
      <c r="C428" s="98" t="s">
        <v>2520</v>
      </c>
      <c r="D428" s="813" t="str">
        <f>IF(CNSIPEE_2024_M2_Secc1!D46="","",CNSIPEE_2024_M2_Secc1!D46)</f>
        <v/>
      </c>
      <c r="E428" s="814"/>
      <c r="F428" s="814"/>
      <c r="G428" s="814"/>
      <c r="H428" s="814"/>
      <c r="I428" s="814"/>
      <c r="J428" s="814"/>
      <c r="K428" s="814"/>
      <c r="L428" s="814"/>
      <c r="M428" s="814"/>
      <c r="N428" s="814"/>
      <c r="O428" s="814"/>
      <c r="P428" s="814"/>
      <c r="Q428" s="814"/>
      <c r="R428" s="815"/>
      <c r="S428" s="100"/>
      <c r="T428" s="100"/>
      <c r="U428" s="100"/>
      <c r="V428" s="100"/>
      <c r="W428" s="100"/>
      <c r="X428" s="100"/>
      <c r="Y428" s="100"/>
      <c r="Z428" s="100"/>
      <c r="AA428" s="100"/>
      <c r="AB428" s="100"/>
      <c r="AC428" s="100"/>
      <c r="AD428" s="100"/>
      <c r="AG428">
        <f t="shared" si="472"/>
        <v>0</v>
      </c>
      <c r="AH428">
        <f t="shared" si="473"/>
        <v>0</v>
      </c>
      <c r="AK428">
        <f t="shared" si="474"/>
        <v>0</v>
      </c>
      <c r="AL428">
        <f t="shared" si="475"/>
        <v>0</v>
      </c>
      <c r="AM428">
        <f t="shared" si="476"/>
        <v>0</v>
      </c>
      <c r="AN428">
        <f t="shared" si="477"/>
        <v>0</v>
      </c>
      <c r="AO428">
        <f t="shared" si="478"/>
        <v>0</v>
      </c>
      <c r="AP428">
        <f t="shared" si="479"/>
        <v>0</v>
      </c>
      <c r="AQ428">
        <f t="shared" si="480"/>
        <v>0</v>
      </c>
      <c r="AR428">
        <f t="shared" si="481"/>
        <v>0</v>
      </c>
      <c r="AS428">
        <f t="shared" si="482"/>
        <v>0</v>
      </c>
      <c r="AT428">
        <f t="shared" si="483"/>
        <v>0</v>
      </c>
      <c r="AU428">
        <f t="shared" si="484"/>
        <v>0</v>
      </c>
      <c r="AV428">
        <f t="shared" si="485"/>
        <v>0</v>
      </c>
      <c r="BF428">
        <f t="shared" si="486"/>
        <v>0</v>
      </c>
    </row>
    <row r="429" spans="1:58" ht="15" customHeight="1">
      <c r="A429" s="186"/>
      <c r="B429" s="57"/>
      <c r="C429" s="98" t="s">
        <v>2521</v>
      </c>
      <c r="D429" s="813" t="str">
        <f>IF(CNSIPEE_2024_M2_Secc1!D47="","",CNSIPEE_2024_M2_Secc1!D47)</f>
        <v/>
      </c>
      <c r="E429" s="814"/>
      <c r="F429" s="814"/>
      <c r="G429" s="814"/>
      <c r="H429" s="814"/>
      <c r="I429" s="814"/>
      <c r="J429" s="814"/>
      <c r="K429" s="814"/>
      <c r="L429" s="814"/>
      <c r="M429" s="814"/>
      <c r="N429" s="814"/>
      <c r="O429" s="814"/>
      <c r="P429" s="814"/>
      <c r="Q429" s="814"/>
      <c r="R429" s="815"/>
      <c r="S429" s="100"/>
      <c r="T429" s="100"/>
      <c r="U429" s="100"/>
      <c r="V429" s="100"/>
      <c r="W429" s="100"/>
      <c r="X429" s="100"/>
      <c r="Y429" s="100"/>
      <c r="Z429" s="100"/>
      <c r="AA429" s="100"/>
      <c r="AB429" s="100"/>
      <c r="AC429" s="100"/>
      <c r="AD429" s="100"/>
      <c r="AG429">
        <f t="shared" si="472"/>
        <v>0</v>
      </c>
      <c r="AH429">
        <f t="shared" si="473"/>
        <v>0</v>
      </c>
      <c r="AK429">
        <f t="shared" si="474"/>
        <v>0</v>
      </c>
      <c r="AL429">
        <f t="shared" si="475"/>
        <v>0</v>
      </c>
      <c r="AM429">
        <f t="shared" si="476"/>
        <v>0</v>
      </c>
      <c r="AN429">
        <f t="shared" si="477"/>
        <v>0</v>
      </c>
      <c r="AO429">
        <f t="shared" si="478"/>
        <v>0</v>
      </c>
      <c r="AP429">
        <f t="shared" si="479"/>
        <v>0</v>
      </c>
      <c r="AQ429">
        <f t="shared" si="480"/>
        <v>0</v>
      </c>
      <c r="AR429">
        <f t="shared" si="481"/>
        <v>0</v>
      </c>
      <c r="AS429">
        <f t="shared" si="482"/>
        <v>0</v>
      </c>
      <c r="AT429">
        <f t="shared" si="483"/>
        <v>0</v>
      </c>
      <c r="AU429">
        <f t="shared" si="484"/>
        <v>0</v>
      </c>
      <c r="AV429">
        <f t="shared" si="485"/>
        <v>0</v>
      </c>
      <c r="BF429">
        <f t="shared" si="486"/>
        <v>0</v>
      </c>
    </row>
    <row r="430" spans="1:58" ht="15" customHeight="1">
      <c r="A430" s="186"/>
      <c r="B430" s="57"/>
      <c r="C430" s="98" t="s">
        <v>2522</v>
      </c>
      <c r="D430" s="813" t="str">
        <f>IF(CNSIPEE_2024_M2_Secc1!D48="","",CNSIPEE_2024_M2_Secc1!D48)</f>
        <v/>
      </c>
      <c r="E430" s="814"/>
      <c r="F430" s="814"/>
      <c r="G430" s="814"/>
      <c r="H430" s="814"/>
      <c r="I430" s="814"/>
      <c r="J430" s="814"/>
      <c r="K430" s="814"/>
      <c r="L430" s="814"/>
      <c r="M430" s="814"/>
      <c r="N430" s="814"/>
      <c r="O430" s="814"/>
      <c r="P430" s="814"/>
      <c r="Q430" s="814"/>
      <c r="R430" s="815"/>
      <c r="S430" s="100"/>
      <c r="T430" s="100"/>
      <c r="U430" s="100"/>
      <c r="V430" s="100"/>
      <c r="W430" s="100"/>
      <c r="X430" s="100"/>
      <c r="Y430" s="100"/>
      <c r="Z430" s="100"/>
      <c r="AA430" s="100"/>
      <c r="AB430" s="100"/>
      <c r="AC430" s="100"/>
      <c r="AD430" s="100"/>
      <c r="AG430">
        <f t="shared" si="472"/>
        <v>0</v>
      </c>
      <c r="AH430">
        <f t="shared" si="473"/>
        <v>0</v>
      </c>
      <c r="AK430">
        <f t="shared" si="474"/>
        <v>0</v>
      </c>
      <c r="AL430">
        <f t="shared" si="475"/>
        <v>0</v>
      </c>
      <c r="AM430">
        <f t="shared" si="476"/>
        <v>0</v>
      </c>
      <c r="AN430">
        <f t="shared" si="477"/>
        <v>0</v>
      </c>
      <c r="AO430">
        <f t="shared" si="478"/>
        <v>0</v>
      </c>
      <c r="AP430">
        <f t="shared" si="479"/>
        <v>0</v>
      </c>
      <c r="AQ430">
        <f t="shared" si="480"/>
        <v>0</v>
      </c>
      <c r="AR430">
        <f t="shared" si="481"/>
        <v>0</v>
      </c>
      <c r="AS430">
        <f t="shared" si="482"/>
        <v>0</v>
      </c>
      <c r="AT430">
        <f t="shared" si="483"/>
        <v>0</v>
      </c>
      <c r="AU430">
        <f t="shared" si="484"/>
        <v>0</v>
      </c>
      <c r="AV430">
        <f t="shared" si="485"/>
        <v>0</v>
      </c>
      <c r="BF430">
        <f t="shared" si="486"/>
        <v>0</v>
      </c>
    </row>
    <row r="431" spans="1:58" ht="15" customHeight="1">
      <c r="A431" s="186"/>
      <c r="B431" s="57"/>
      <c r="C431" s="98" t="s">
        <v>2523</v>
      </c>
      <c r="D431" s="813" t="str">
        <f>IF(CNSIPEE_2024_M2_Secc1!D49="","",CNSIPEE_2024_M2_Secc1!D49)</f>
        <v/>
      </c>
      <c r="E431" s="814"/>
      <c r="F431" s="814"/>
      <c r="G431" s="814"/>
      <c r="H431" s="814"/>
      <c r="I431" s="814"/>
      <c r="J431" s="814"/>
      <c r="K431" s="814"/>
      <c r="L431" s="814"/>
      <c r="M431" s="814"/>
      <c r="N431" s="814"/>
      <c r="O431" s="814"/>
      <c r="P431" s="814"/>
      <c r="Q431" s="814"/>
      <c r="R431" s="815"/>
      <c r="S431" s="100"/>
      <c r="T431" s="100"/>
      <c r="U431" s="100"/>
      <c r="V431" s="100"/>
      <c r="W431" s="100"/>
      <c r="X431" s="100"/>
      <c r="Y431" s="100"/>
      <c r="Z431" s="100"/>
      <c r="AA431" s="100"/>
      <c r="AB431" s="100"/>
      <c r="AC431" s="100"/>
      <c r="AD431" s="100"/>
      <c r="AG431">
        <f t="shared" si="472"/>
        <v>0</v>
      </c>
      <c r="AH431">
        <f t="shared" si="473"/>
        <v>0</v>
      </c>
      <c r="AK431">
        <f t="shared" si="474"/>
        <v>0</v>
      </c>
      <c r="AL431">
        <f t="shared" si="475"/>
        <v>0</v>
      </c>
      <c r="AM431">
        <f t="shared" si="476"/>
        <v>0</v>
      </c>
      <c r="AN431">
        <f t="shared" si="477"/>
        <v>0</v>
      </c>
      <c r="AO431">
        <f t="shared" si="478"/>
        <v>0</v>
      </c>
      <c r="AP431">
        <f t="shared" si="479"/>
        <v>0</v>
      </c>
      <c r="AQ431">
        <f t="shared" si="480"/>
        <v>0</v>
      </c>
      <c r="AR431">
        <f t="shared" si="481"/>
        <v>0</v>
      </c>
      <c r="AS431">
        <f t="shared" si="482"/>
        <v>0</v>
      </c>
      <c r="AT431">
        <f t="shared" si="483"/>
        <v>0</v>
      </c>
      <c r="AU431">
        <f t="shared" si="484"/>
        <v>0</v>
      </c>
      <c r="AV431">
        <f t="shared" si="485"/>
        <v>0</v>
      </c>
      <c r="BF431">
        <f t="shared" si="486"/>
        <v>0</v>
      </c>
    </row>
    <row r="432" spans="1:58" ht="15" customHeight="1">
      <c r="A432" s="186"/>
      <c r="B432" s="57"/>
      <c r="C432" s="70"/>
      <c r="D432" s="84"/>
      <c r="E432" s="84"/>
      <c r="F432" s="84"/>
      <c r="G432" s="84"/>
      <c r="H432" s="84"/>
      <c r="I432" s="84"/>
      <c r="J432" s="84"/>
      <c r="K432" s="84"/>
      <c r="L432" s="84"/>
      <c r="M432" s="84"/>
      <c r="N432" s="84"/>
      <c r="O432" s="84"/>
      <c r="P432" s="84"/>
      <c r="Q432" s="84"/>
      <c r="R432" s="117" t="s">
        <v>2649</v>
      </c>
      <c r="S432" s="124">
        <f t="shared" ref="S432:AD432" si="487">IF(AND(SUM(S424:S431)=0,COUNTIF(S424:S431,"NS")&gt;0),"NS",IF(AND(SUM(S424:S431)=0,COUNTIF(S424:S431,0)&gt;0),0,IF(AND(SUM(S424:S431)=0,COUNTIF(S424:S431,"NA")&gt;0),"NA",SUM(S424:S431))))</f>
        <v>0</v>
      </c>
      <c r="T432" s="124">
        <f t="shared" si="487"/>
        <v>0</v>
      </c>
      <c r="U432" s="124">
        <f t="shared" si="487"/>
        <v>0</v>
      </c>
      <c r="V432" s="124">
        <f t="shared" si="487"/>
        <v>0</v>
      </c>
      <c r="W432" s="124">
        <f t="shared" si="487"/>
        <v>0</v>
      </c>
      <c r="X432" s="124">
        <f t="shared" si="487"/>
        <v>0</v>
      </c>
      <c r="Y432" s="124">
        <f t="shared" si="487"/>
        <v>0</v>
      </c>
      <c r="Z432" s="124">
        <f t="shared" si="487"/>
        <v>0</v>
      </c>
      <c r="AA432" s="124">
        <f t="shared" si="487"/>
        <v>0</v>
      </c>
      <c r="AB432" s="124">
        <f t="shared" si="487"/>
        <v>0</v>
      </c>
      <c r="AC432" s="124">
        <f t="shared" si="487"/>
        <v>0</v>
      </c>
      <c r="AD432" s="124">
        <f t="shared" si="487"/>
        <v>0</v>
      </c>
      <c r="AG432" s="507">
        <f>SUM(AG424:AG431)</f>
        <v>0</v>
      </c>
      <c r="AH432" s="507">
        <f>SUM(AH424:AH431)</f>
        <v>0</v>
      </c>
      <c r="AK432">
        <f>SUM(AK424:AK431)</f>
        <v>0</v>
      </c>
      <c r="AM432">
        <f>SUM(AM424:AM431)</f>
        <v>0</v>
      </c>
      <c r="AN432">
        <f>SUM(AN424:AN431)</f>
        <v>0</v>
      </c>
      <c r="AP432">
        <f>SUM(AP424:AP431)</f>
        <v>0</v>
      </c>
      <c r="AQ432">
        <f>SUM(AQ424:AQ431)</f>
        <v>0</v>
      </c>
      <c r="AS432">
        <f>SUM(AS424:AS431)</f>
        <v>0</v>
      </c>
      <c r="AT432">
        <f>SUM(AT424:AT431)</f>
        <v>0</v>
      </c>
      <c r="AV432">
        <f>SUM(AV424:AV431)</f>
        <v>0</v>
      </c>
      <c r="BF432" s="506">
        <f>SUM(BF424:BF431)</f>
        <v>0</v>
      </c>
    </row>
    <row r="433" spans="1:58" ht="15" customHeight="1">
      <c r="A433" s="108"/>
      <c r="B433" s="38"/>
      <c r="C433" s="38"/>
      <c r="D433" s="38"/>
      <c r="E433" s="38"/>
      <c r="F433" s="38"/>
      <c r="G433" s="38"/>
      <c r="H433" s="38"/>
      <c r="I433" s="38"/>
      <c r="J433" s="38"/>
      <c r="K433" s="38"/>
      <c r="L433" s="117"/>
      <c r="M433" s="141"/>
      <c r="N433" s="141"/>
      <c r="O433" s="70"/>
      <c r="P433" s="70"/>
      <c r="Q433" s="70"/>
      <c r="R433" s="70"/>
      <c r="S433" s="141"/>
      <c r="T433" s="141"/>
      <c r="U433" s="70"/>
      <c r="V433" s="70"/>
      <c r="W433" s="141"/>
      <c r="X433" s="141"/>
      <c r="Y433" s="70"/>
      <c r="Z433" s="70"/>
      <c r="AA433" s="141"/>
      <c r="AB433" s="141"/>
      <c r="AC433" s="70"/>
      <c r="AD433" s="70"/>
      <c r="AK433" t="s">
        <v>2650</v>
      </c>
      <c r="AL433" s="506">
        <f>SUM(AM432,AP432,AS432,AV432)</f>
        <v>0</v>
      </c>
      <c r="AM433" t="s">
        <v>2651</v>
      </c>
      <c r="AN433">
        <f>SUM(AK432,AN432,AQ432,AT432)</f>
        <v>0</v>
      </c>
    </row>
    <row r="434" spans="1:58" ht="24" customHeight="1">
      <c r="A434" s="108"/>
      <c r="B434" s="38"/>
      <c r="C434" s="754" t="s">
        <v>2611</v>
      </c>
      <c r="D434" s="754"/>
      <c r="E434" s="754"/>
      <c r="F434" s="754"/>
      <c r="G434" s="754"/>
      <c r="H434" s="754"/>
      <c r="I434" s="754"/>
      <c r="J434" s="754"/>
      <c r="K434" s="754"/>
      <c r="L434" s="754"/>
      <c r="M434" s="754"/>
      <c r="N434" s="754"/>
      <c r="O434" s="754"/>
      <c r="P434" s="754"/>
      <c r="Q434" s="754"/>
      <c r="R434" s="754"/>
      <c r="S434" s="754"/>
      <c r="T434" s="754"/>
      <c r="U434" s="754"/>
      <c r="V434" s="754"/>
      <c r="W434" s="754"/>
      <c r="X434" s="754"/>
      <c r="Y434" s="754"/>
      <c r="Z434" s="754"/>
      <c r="AA434" s="754"/>
      <c r="AB434" s="754"/>
      <c r="AC434" s="754"/>
      <c r="AD434" s="754"/>
      <c r="AK434" t="s">
        <v>2652</v>
      </c>
      <c r="AL434" s="507">
        <f>IF(AN433&gt;0,IF(SUM(S432)&gt;=SUM(V432,Y432,AB432),0,1),IF(SUM(S432)&lt;&gt;SUM(V432,Y432,AB432),1,0))</f>
        <v>0</v>
      </c>
      <c r="AM434" t="s">
        <v>2653</v>
      </c>
      <c r="AN434" s="507">
        <f>IF(AN433&gt;0,IF(SUM(T432)&gt;=SUM(W432,Z432,AC432),0,1),IF(SUM(T432)&lt;&gt;SUM(W432,Z432,AC432),1,0))</f>
        <v>0</v>
      </c>
      <c r="AO434" t="s">
        <v>2654</v>
      </c>
      <c r="AP434" s="507">
        <f>IF(AN433&gt;0,IF(SUM(U432)&gt;=SUM(X432,AA432,AD432),0,1),IF(SUM(U432)&lt;&gt;SUM(X432,AA432,AD432),1,0))</f>
        <v>0</v>
      </c>
    </row>
    <row r="435" spans="1:58" ht="60" customHeight="1">
      <c r="A435" s="108"/>
      <c r="B435" s="38"/>
      <c r="C435" s="851"/>
      <c r="D435" s="851"/>
      <c r="E435" s="851"/>
      <c r="F435" s="851"/>
      <c r="G435" s="851"/>
      <c r="H435" s="851"/>
      <c r="I435" s="851"/>
      <c r="J435" s="851"/>
      <c r="K435" s="851"/>
      <c r="L435" s="851"/>
      <c r="M435" s="851"/>
      <c r="N435" s="851"/>
      <c r="O435" s="851"/>
      <c r="P435" s="851"/>
      <c r="Q435" s="851"/>
      <c r="R435" s="851"/>
      <c r="S435" s="851"/>
      <c r="T435" s="851"/>
      <c r="U435" s="851"/>
      <c r="V435" s="851"/>
      <c r="W435" s="851"/>
      <c r="X435" s="851"/>
      <c r="Y435" s="851"/>
      <c r="Z435" s="851"/>
      <c r="AA435" s="851"/>
      <c r="AB435" s="851"/>
      <c r="AC435" s="851"/>
      <c r="AD435" s="851"/>
    </row>
    <row r="436" spans="1:58" ht="15" customHeight="1">
      <c r="A436" s="176"/>
      <c r="B436" s="794" t="str">
        <f>IF(AG432=0,"","Favor de ingresar toda la información requerida en la pregunta")</f>
        <v/>
      </c>
      <c r="C436" s="794"/>
      <c r="D436" s="794"/>
      <c r="E436" s="794"/>
      <c r="F436" s="794"/>
      <c r="G436" s="794"/>
      <c r="H436" s="794"/>
      <c r="I436" s="794"/>
      <c r="J436" s="794"/>
      <c r="K436" s="794"/>
      <c r="L436" s="794"/>
      <c r="M436" s="794"/>
      <c r="N436" s="794"/>
      <c r="O436" s="794"/>
      <c r="P436" s="794"/>
      <c r="Q436" s="794"/>
      <c r="R436" s="794"/>
      <c r="S436" s="794"/>
      <c r="T436" s="794"/>
      <c r="U436" s="794"/>
      <c r="V436" s="794"/>
      <c r="W436" s="794"/>
      <c r="X436" s="794"/>
      <c r="Y436" s="794"/>
      <c r="Z436" s="794"/>
      <c r="AA436" s="794"/>
      <c r="AB436" s="794"/>
      <c r="AC436" s="794"/>
      <c r="AD436" s="794"/>
      <c r="AE436" s="794"/>
    </row>
    <row r="437" spans="1:58" ht="15" customHeight="1">
      <c r="A437" s="176"/>
      <c r="B437" s="1087" t="str">
        <f>IF(COUNTIF(S424:AD431,"NS")&lt;&gt;0,"Alerta: debido a que cuenta con registros NS, debe proporcionar una justificación en el area de comentarios al final de la pregunta","")</f>
        <v/>
      </c>
      <c r="C437" s="1087"/>
      <c r="D437" s="1087"/>
      <c r="E437" s="1087"/>
      <c r="F437" s="1087"/>
      <c r="G437" s="1087"/>
      <c r="H437" s="1087"/>
      <c r="I437" s="1087"/>
      <c r="J437" s="1087"/>
      <c r="K437" s="1087"/>
      <c r="L437" s="1087"/>
      <c r="M437" s="1087"/>
      <c r="N437" s="1087"/>
      <c r="O437" s="1087"/>
      <c r="P437" s="1087"/>
      <c r="Q437" s="1087"/>
      <c r="R437" s="1087"/>
      <c r="S437" s="1087"/>
      <c r="T437" s="1087"/>
      <c r="U437" s="1087"/>
      <c r="V437" s="1087"/>
      <c r="W437" s="1087"/>
      <c r="X437" s="1087"/>
      <c r="Y437" s="1087"/>
      <c r="Z437" s="1087"/>
      <c r="AA437" s="1087"/>
      <c r="AB437" s="1087"/>
      <c r="AC437" s="1087"/>
      <c r="AD437" s="1087"/>
      <c r="AE437" s="1087"/>
    </row>
    <row r="438" spans="1:58" ht="15" customHeight="1">
      <c r="A438" s="176"/>
      <c r="B438" s="1003" t="str">
        <f>IF(AH432&gt;0,"Revise la información capturada, ya que tiene datos ingresados en celdas que están sombreadas","")</f>
        <v/>
      </c>
      <c r="C438" s="1003"/>
      <c r="D438" s="1003"/>
      <c r="E438" s="1003"/>
      <c r="F438" s="1003"/>
      <c r="G438" s="1003"/>
      <c r="H438" s="1003"/>
      <c r="I438" s="1003"/>
      <c r="J438" s="1003"/>
      <c r="K438" s="1003"/>
      <c r="L438" s="1003"/>
      <c r="M438" s="1003"/>
      <c r="N438" s="1003"/>
      <c r="O438" s="1003"/>
      <c r="P438" s="1003"/>
      <c r="Q438" s="1003"/>
      <c r="R438" s="1003"/>
      <c r="S438" s="1003"/>
      <c r="T438" s="1003"/>
      <c r="U438" s="1003"/>
      <c r="V438" s="1003"/>
      <c r="W438" s="1003"/>
      <c r="X438" s="1003"/>
      <c r="Y438" s="1003"/>
      <c r="Z438" s="1003"/>
      <c r="AA438" s="1003"/>
      <c r="AB438" s="1003"/>
      <c r="AC438" s="1003"/>
      <c r="AD438" s="1003"/>
      <c r="AE438" s="1003"/>
    </row>
    <row r="439" spans="1:58" ht="15" customHeight="1">
      <c r="A439" s="176"/>
      <c r="B439" s="1003" t="str">
        <f>IF(OR(AL433&gt;0,AL434&gt;0,AN434&gt;0,AP434&gt;0),"Favor de revisar la suma y consistencia de totales y/o subtotales por filas (numéricos y NS)","")</f>
        <v/>
      </c>
      <c r="C439" s="1003"/>
      <c r="D439" s="1003"/>
      <c r="E439" s="1003"/>
      <c r="F439" s="1003"/>
      <c r="G439" s="1003"/>
      <c r="H439" s="1003"/>
      <c r="I439" s="1003"/>
      <c r="J439" s="1003"/>
      <c r="K439" s="1003"/>
      <c r="L439" s="1003"/>
      <c r="M439" s="1003"/>
      <c r="N439" s="1003"/>
      <c r="O439" s="1003"/>
      <c r="P439" s="1003"/>
      <c r="Q439" s="1003"/>
      <c r="R439" s="1003"/>
      <c r="S439" s="1003"/>
      <c r="T439" s="1003"/>
      <c r="U439" s="1003"/>
      <c r="V439" s="1003"/>
      <c r="W439" s="1003"/>
      <c r="X439" s="1003"/>
      <c r="Y439" s="1003"/>
      <c r="Z439" s="1003"/>
      <c r="AA439" s="1003"/>
      <c r="AB439" s="1003"/>
      <c r="AC439" s="1003"/>
      <c r="AD439" s="1003"/>
      <c r="AE439" s="1003"/>
    </row>
    <row r="440" spans="1:58" ht="15" customHeight="1">
      <c r="A440" s="176"/>
      <c r="B440" s="1003" t="str">
        <f>IF(BF432=0,"","Las cantidades de Hombres y Mujeres por centro especializado debe corresponder con los datos reportados en la preg. 8.1")</f>
        <v/>
      </c>
      <c r="C440" s="1003"/>
      <c r="D440" s="1003"/>
      <c r="E440" s="1003"/>
      <c r="F440" s="1003"/>
      <c r="G440" s="1003"/>
      <c r="H440" s="1003"/>
      <c r="I440" s="1003"/>
      <c r="J440" s="1003"/>
      <c r="K440" s="1003"/>
      <c r="L440" s="1003"/>
      <c r="M440" s="1003"/>
      <c r="N440" s="1003"/>
      <c r="O440" s="1003"/>
      <c r="P440" s="1003"/>
      <c r="Q440" s="1003"/>
      <c r="R440" s="1003"/>
      <c r="S440" s="1003"/>
      <c r="T440" s="1003"/>
      <c r="U440" s="1003"/>
      <c r="V440" s="1003"/>
      <c r="W440" s="1003"/>
      <c r="X440" s="1003"/>
      <c r="Y440" s="1003"/>
      <c r="Z440" s="1003"/>
      <c r="AA440" s="1003"/>
      <c r="AB440" s="1003"/>
      <c r="AC440" s="1003"/>
      <c r="AD440" s="1003"/>
      <c r="AE440" s="1003"/>
    </row>
    <row r="441" spans="1:58" ht="15" customHeight="1">
      <c r="A441" s="176"/>
      <c r="B441" s="105"/>
      <c r="C441" s="105"/>
      <c r="D441" s="105"/>
      <c r="E441" s="105"/>
      <c r="F441" s="105"/>
      <c r="G441" s="105"/>
      <c r="H441" s="105"/>
      <c r="I441" s="105"/>
      <c r="J441" s="105"/>
      <c r="K441" s="105"/>
      <c r="L441" s="105"/>
      <c r="M441" s="105"/>
      <c r="N441" s="105"/>
      <c r="O441" s="105"/>
      <c r="P441" s="105"/>
      <c r="Q441" s="105"/>
      <c r="R441" s="105"/>
      <c r="S441" s="105"/>
      <c r="T441" s="105"/>
      <c r="U441" s="105"/>
      <c r="V441" s="105"/>
      <c r="W441" s="105"/>
      <c r="X441" s="105"/>
      <c r="Y441" s="105"/>
      <c r="Z441" s="105"/>
      <c r="AA441" s="105"/>
      <c r="AB441" s="105"/>
      <c r="AC441" s="105"/>
      <c r="AD441" s="105"/>
    </row>
    <row r="442" spans="1:58" ht="36" customHeight="1">
      <c r="A442" s="108" t="s">
        <v>5259</v>
      </c>
      <c r="B442" s="829" t="s">
        <v>5260</v>
      </c>
      <c r="C442" s="829"/>
      <c r="D442" s="829"/>
      <c r="E442" s="829"/>
      <c r="F442" s="829"/>
      <c r="G442" s="829"/>
      <c r="H442" s="829"/>
      <c r="I442" s="829"/>
      <c r="J442" s="829"/>
      <c r="K442" s="829"/>
      <c r="L442" s="829"/>
      <c r="M442" s="829"/>
      <c r="N442" s="829"/>
      <c r="O442" s="829"/>
      <c r="P442" s="829"/>
      <c r="Q442" s="829"/>
      <c r="R442" s="829"/>
      <c r="S442" s="829"/>
      <c r="T442" s="829"/>
      <c r="U442" s="829"/>
      <c r="V442" s="829"/>
      <c r="W442" s="829"/>
      <c r="X442" s="829"/>
      <c r="Y442" s="829"/>
      <c r="Z442" s="829"/>
      <c r="AA442" s="829"/>
      <c r="AB442" s="829"/>
      <c r="AC442" s="829"/>
      <c r="AD442" s="829"/>
    </row>
    <row r="443" spans="1:58" ht="15" customHeight="1">
      <c r="A443" s="108"/>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c r="AA443" s="38"/>
      <c r="AB443" s="38"/>
      <c r="AC443" s="38"/>
      <c r="AD443" s="38"/>
    </row>
    <row r="444" spans="1:58" ht="36" customHeight="1">
      <c r="A444" s="108"/>
      <c r="B444" s="38"/>
      <c r="C444" s="732" t="s">
        <v>2581</v>
      </c>
      <c r="D444" s="732"/>
      <c r="E444" s="732"/>
      <c r="F444" s="732"/>
      <c r="G444" s="732"/>
      <c r="H444" s="732"/>
      <c r="I444" s="732"/>
      <c r="J444" s="732"/>
      <c r="K444" s="732"/>
      <c r="L444" s="732"/>
      <c r="M444" s="732"/>
      <c r="N444" s="732"/>
      <c r="O444" s="732"/>
      <c r="P444" s="732"/>
      <c r="Q444" s="732"/>
      <c r="R444" s="732"/>
      <c r="S444" s="739" t="s">
        <v>5261</v>
      </c>
      <c r="T444" s="740"/>
      <c r="U444" s="740"/>
      <c r="V444" s="740"/>
      <c r="W444" s="740"/>
      <c r="X444" s="740"/>
      <c r="Y444" s="740"/>
      <c r="Z444" s="740"/>
      <c r="AA444" s="740"/>
      <c r="AB444" s="740"/>
      <c r="AC444" s="740"/>
      <c r="AD444" s="741"/>
    </row>
    <row r="445" spans="1:58" ht="36" customHeight="1">
      <c r="A445" s="108"/>
      <c r="B445" s="38"/>
      <c r="C445" s="732"/>
      <c r="D445" s="732"/>
      <c r="E445" s="732"/>
      <c r="F445" s="732"/>
      <c r="G445" s="732"/>
      <c r="H445" s="732"/>
      <c r="I445" s="732"/>
      <c r="J445" s="732"/>
      <c r="K445" s="732"/>
      <c r="L445" s="732"/>
      <c r="M445" s="732"/>
      <c r="N445" s="732"/>
      <c r="O445" s="732"/>
      <c r="P445" s="732"/>
      <c r="Q445" s="732"/>
      <c r="R445" s="732"/>
      <c r="S445" s="874" t="s">
        <v>2628</v>
      </c>
      <c r="T445" s="857" t="s">
        <v>2629</v>
      </c>
      <c r="U445" s="857" t="s">
        <v>2630</v>
      </c>
      <c r="V445" s="736" t="s">
        <v>4659</v>
      </c>
      <c r="W445" s="736"/>
      <c r="X445" s="736"/>
      <c r="Y445" s="733" t="s">
        <v>4660</v>
      </c>
      <c r="Z445" s="734"/>
      <c r="AA445" s="735"/>
      <c r="AB445" s="736" t="s">
        <v>201</v>
      </c>
      <c r="AC445" s="736"/>
      <c r="AD445" s="736"/>
    </row>
    <row r="446" spans="1:58" ht="48" customHeight="1">
      <c r="A446" s="108"/>
      <c r="B446" s="38"/>
      <c r="C446" s="732"/>
      <c r="D446" s="732"/>
      <c r="E446" s="732"/>
      <c r="F446" s="732"/>
      <c r="G446" s="732"/>
      <c r="H446" s="732"/>
      <c r="I446" s="732"/>
      <c r="J446" s="732"/>
      <c r="K446" s="732"/>
      <c r="L446" s="732"/>
      <c r="M446" s="732"/>
      <c r="N446" s="732"/>
      <c r="O446" s="732"/>
      <c r="P446" s="732"/>
      <c r="Q446" s="732"/>
      <c r="R446" s="732"/>
      <c r="S446" s="874"/>
      <c r="T446" s="857"/>
      <c r="U446" s="857"/>
      <c r="V446" s="127" t="s">
        <v>2635</v>
      </c>
      <c r="W446" s="128" t="s">
        <v>2629</v>
      </c>
      <c r="X446" s="128" t="s">
        <v>2630</v>
      </c>
      <c r="Y446" s="127" t="s">
        <v>2635</v>
      </c>
      <c r="Z446" s="128" t="s">
        <v>2629</v>
      </c>
      <c r="AA446" s="128" t="s">
        <v>2630</v>
      </c>
      <c r="AB446" s="127" t="s">
        <v>2635</v>
      </c>
      <c r="AC446" s="128" t="s">
        <v>2629</v>
      </c>
      <c r="AD446" s="128" t="s">
        <v>2630</v>
      </c>
      <c r="AG446" t="s">
        <v>2586</v>
      </c>
      <c r="AH446" t="s">
        <v>4581</v>
      </c>
      <c r="AK446" t="s">
        <v>4573</v>
      </c>
      <c r="AL446" t="s">
        <v>2638</v>
      </c>
      <c r="AM446" t="s">
        <v>2639</v>
      </c>
      <c r="AN446" t="s">
        <v>4574</v>
      </c>
      <c r="AO446" t="s">
        <v>2641</v>
      </c>
      <c r="AP446" t="s">
        <v>2642</v>
      </c>
      <c r="AQ446" t="s">
        <v>4575</v>
      </c>
      <c r="AR446" t="s">
        <v>2644</v>
      </c>
      <c r="AS446" t="s">
        <v>2645</v>
      </c>
      <c r="AT446" t="s">
        <v>4576</v>
      </c>
      <c r="AU446" t="s">
        <v>2647</v>
      </c>
      <c r="AV446" t="s">
        <v>2648</v>
      </c>
      <c r="BF446" t="s">
        <v>4582</v>
      </c>
    </row>
    <row r="447" spans="1:58" ht="15" customHeight="1">
      <c r="A447" s="108"/>
      <c r="B447" s="38"/>
      <c r="C447" s="97" t="s">
        <v>2516</v>
      </c>
      <c r="D447" s="813" t="str">
        <f>IF(CNSIPEE_2024_M2_Secc1!D42="","",CNSIPEE_2024_M2_Secc1!D42)</f>
        <v/>
      </c>
      <c r="E447" s="814"/>
      <c r="F447" s="814"/>
      <c r="G447" s="814"/>
      <c r="H447" s="814"/>
      <c r="I447" s="814"/>
      <c r="J447" s="814"/>
      <c r="K447" s="814"/>
      <c r="L447" s="814"/>
      <c r="M447" s="814"/>
      <c r="N447" s="814"/>
      <c r="O447" s="814"/>
      <c r="P447" s="814"/>
      <c r="Q447" s="814"/>
      <c r="R447" s="815"/>
      <c r="S447" s="100"/>
      <c r="T447" s="100"/>
      <c r="U447" s="100"/>
      <c r="V447" s="100"/>
      <c r="W447" s="100"/>
      <c r="X447" s="100"/>
      <c r="Y447" s="100"/>
      <c r="Z447" s="100"/>
      <c r="AA447" s="100"/>
      <c r="AB447" s="100"/>
      <c r="AC447" s="100"/>
      <c r="AD447" s="100"/>
      <c r="AG447">
        <f>IF(OR($M40=0,$M40="NS",$M40="NA"),0,IF(OR(COUNTBLANK(D447:AD447)=14,COUNTBLANK(D447:AD447)=27),0,1))</f>
        <v>0</v>
      </c>
      <c r="AH447">
        <f>IF(OR($M40=0,$M40="NS",$M40="NA"),IF(COUNTBLANK(S447:AD447)=12,0,1),0)</f>
        <v>0</v>
      </c>
      <c r="AK447">
        <f t="shared" ref="AK447" si="488">COUNTIF(T447:U447,"NS")</f>
        <v>0</v>
      </c>
      <c r="AL447">
        <f t="shared" ref="AL447" si="489">SUM(T447:U447)</f>
        <v>0</v>
      </c>
      <c r="AM447">
        <f>IF(COUNTIF(S447:U447,"NA")=3,0,IF(COUNTA(S447:U447)=0,0,IF(OR(AND(S447=0,AK447&gt;0),AND(S447="ns",AL447&gt;0),AND(S447="ns",AK447=0,AL447=0)),1,IF(OR(AND(S447&gt;0,AK447=2),AND(S447="ns",AK447=2),AND(S447="ns",AL447=0,AK447&gt;0),S447=AL447),0,1))))</f>
        <v>0</v>
      </c>
      <c r="AN447">
        <f t="shared" ref="AN447" si="490">COUNTIF(W447:X447,"NS")</f>
        <v>0</v>
      </c>
      <c r="AO447">
        <f t="shared" ref="AO447" si="491">SUM(W447:X447)</f>
        <v>0</v>
      </c>
      <c r="AP447">
        <f t="shared" ref="AP447" si="492">IF(COUNTIF(V447:X447,"NA")=3,0,IF(COUNTA(V447:X447)=0,0,IF(OR(AND(V447=0,AN447&gt;0),AND(V447="ns",AO447&gt;0),AND(V447="ns",AN447=0,AO447=0)),1,IF(OR(AND(V447&gt;0,AN447=2),AND(V447="ns",AN447=2),AND(V447="ns",AO447=0,AN447&gt;0),V447=AO447),0,1))))</f>
        <v>0</v>
      </c>
      <c r="AQ447">
        <f t="shared" ref="AQ447" si="493">COUNTIF(Z447:AA447,"NS")</f>
        <v>0</v>
      </c>
      <c r="AR447">
        <f t="shared" ref="AR447" si="494">SUM(Z447:AA447)</f>
        <v>0</v>
      </c>
      <c r="AS447">
        <f t="shared" ref="AS447" si="495">IF(COUNTIF(Y447:AA447,"NA")=3,0,IF(COUNTA(Y447:AA447)=0,0,IF(OR(AND(Y447=0,AQ447&gt;0),AND(Y447="ns",AR447&gt;0),AND(Y447="ns",AQ447=0,AR447=0)),1,IF(OR(AND(Y447&gt;0,AQ447=2),AND(Y447="ns",AQ447=2),AND(Y447="ns",AR447=0,AQ447&gt;0),Y447=AR447),0,1))))</f>
        <v>0</v>
      </c>
      <c r="AT447">
        <f t="shared" ref="AT447" si="496">COUNTIF(AC447:AD447,"NS")</f>
        <v>0</v>
      </c>
      <c r="AU447">
        <f t="shared" ref="AU447" si="497">SUM(AC447:AD447)</f>
        <v>0</v>
      </c>
      <c r="AV447">
        <f t="shared" ref="AV447" si="498">IF(COUNTIF(AB447:AD447,"NA")=3,0,IF(COUNTA(AB447:AD447)=0,0,IF(OR(AND(AB447=0,AT447&gt;0),AND(AB447="ns",AU447&gt;0),AND(AB447="ns",AT447=0,AU447=0)),1,IF(OR(AND(AB447&gt;0,AT447=2),AND(AB447="ns",AT447=2),AND(AB447="ns",AU447=0,AT447&gt;0),AB447=AU447),0,1))))</f>
        <v>0</v>
      </c>
      <c r="BF447">
        <f>IF(OR($M40=0,$M40="NS",$M40="NA"),0,IF(AND(M40=S447,S40=T447,Y40=U447),0,1))</f>
        <v>0</v>
      </c>
    </row>
    <row r="448" spans="1:58" ht="15" customHeight="1">
      <c r="A448" s="108"/>
      <c r="B448" s="38"/>
      <c r="C448" s="98" t="s">
        <v>2517</v>
      </c>
      <c r="D448" s="813" t="str">
        <f>IF(CNSIPEE_2024_M2_Secc1!D43="","",CNSIPEE_2024_M2_Secc1!D43)</f>
        <v/>
      </c>
      <c r="E448" s="814"/>
      <c r="F448" s="814"/>
      <c r="G448" s="814"/>
      <c r="H448" s="814"/>
      <c r="I448" s="814"/>
      <c r="J448" s="814"/>
      <c r="K448" s="814"/>
      <c r="L448" s="814"/>
      <c r="M448" s="814"/>
      <c r="N448" s="814"/>
      <c r="O448" s="814"/>
      <c r="P448" s="814"/>
      <c r="Q448" s="814"/>
      <c r="R448" s="815"/>
      <c r="S448" s="100"/>
      <c r="T448" s="100"/>
      <c r="U448" s="100"/>
      <c r="V448" s="100"/>
      <c r="W448" s="100"/>
      <c r="X448" s="100"/>
      <c r="Y448" s="100"/>
      <c r="Z448" s="100"/>
      <c r="AA448" s="100"/>
      <c r="AB448" s="100"/>
      <c r="AC448" s="100"/>
      <c r="AD448" s="100"/>
      <c r="AG448">
        <f t="shared" ref="AG448:AG454" si="499">IF(OR($M41=0,$M41="NS",$M41="NA"),0,IF(OR(COUNTBLANK(D448:AD448)=14,COUNTBLANK(D448:AD448)=27),0,1))</f>
        <v>0</v>
      </c>
      <c r="AH448">
        <f t="shared" ref="AH448:AH454" si="500">IF(OR($M41=0,$M41="NS",$M41="NA"),IF(COUNTBLANK(S448:AD448)=12,0,1),0)</f>
        <v>0</v>
      </c>
      <c r="AK448">
        <f t="shared" ref="AK448:AK454" si="501">COUNTIF(T448:U448,"NS")</f>
        <v>0</v>
      </c>
      <c r="AL448">
        <f t="shared" ref="AL448:AL454" si="502">SUM(T448:U448)</f>
        <v>0</v>
      </c>
      <c r="AM448">
        <f t="shared" ref="AM448:AM454" si="503">IF(COUNTIF(S448:U448,"NA")=3,0,IF(COUNTA(S448:U448)=0,0,IF(OR(AND(S448=0,AK448&gt;0),AND(S448="ns",AL448&gt;0),AND(S448="ns",AK448=0,AL448=0)),1,IF(OR(AND(S448&gt;0,AK448=2),AND(S448="ns",AK448=2),AND(S448="ns",AL448=0,AK448&gt;0),S448=AL448),0,1))))</f>
        <v>0</v>
      </c>
      <c r="AN448">
        <f t="shared" ref="AN448:AN454" si="504">COUNTIF(W448:X448,"NS")</f>
        <v>0</v>
      </c>
      <c r="AO448">
        <f t="shared" ref="AO448:AO454" si="505">SUM(W448:X448)</f>
        <v>0</v>
      </c>
      <c r="AP448">
        <f t="shared" ref="AP448:AP454" si="506">IF(COUNTIF(V448:X448,"NA")=3,0,IF(COUNTA(V448:X448)=0,0,IF(OR(AND(V448=0,AN448&gt;0),AND(V448="ns",AO448&gt;0),AND(V448="ns",AN448=0,AO448=0)),1,IF(OR(AND(V448&gt;0,AN448=2),AND(V448="ns",AN448=2),AND(V448="ns",AO448=0,AN448&gt;0),V448=AO448),0,1))))</f>
        <v>0</v>
      </c>
      <c r="AQ448">
        <f t="shared" ref="AQ448:AQ454" si="507">COUNTIF(Z448:AA448,"NS")</f>
        <v>0</v>
      </c>
      <c r="AR448">
        <f t="shared" ref="AR448:AR454" si="508">SUM(Z448:AA448)</f>
        <v>0</v>
      </c>
      <c r="AS448">
        <f t="shared" ref="AS448:AS454" si="509">IF(COUNTIF(Y448:AA448,"NA")=3,0,IF(COUNTA(Y448:AA448)=0,0,IF(OR(AND(Y448=0,AQ448&gt;0),AND(Y448="ns",AR448&gt;0),AND(Y448="ns",AQ448=0,AR448=0)),1,IF(OR(AND(Y448&gt;0,AQ448=2),AND(Y448="ns",AQ448=2),AND(Y448="ns",AR448=0,AQ448&gt;0),Y448=AR448),0,1))))</f>
        <v>0</v>
      </c>
      <c r="AT448">
        <f t="shared" ref="AT448:AT454" si="510">COUNTIF(AC448:AD448,"NS")</f>
        <v>0</v>
      </c>
      <c r="AU448">
        <f t="shared" ref="AU448:AU454" si="511">SUM(AC448:AD448)</f>
        <v>0</v>
      </c>
      <c r="AV448">
        <f t="shared" ref="AV448:AV454" si="512">IF(COUNTIF(AB448:AD448,"NA")=3,0,IF(COUNTA(AB448:AD448)=0,0,IF(OR(AND(AB448=0,AT448&gt;0),AND(AB448="ns",AU448&gt;0),AND(AB448="ns",AT448=0,AU448=0)),1,IF(OR(AND(AB448&gt;0,AT448=2),AND(AB448="ns",AT448=2),AND(AB448="ns",AU448=0,AT448&gt;0),AB448=AU448),0,1))))</f>
        <v>0</v>
      </c>
      <c r="BF448">
        <f t="shared" ref="BF448:BF454" si="513">IF(OR($M41=0,$M41="NS",$M41="NA"),0,IF(AND(M41=S448,S41=T448,Y41=U448),0,1))</f>
        <v>0</v>
      </c>
    </row>
    <row r="449" spans="1:58" ht="15" customHeight="1">
      <c r="A449" s="108"/>
      <c r="B449" s="38"/>
      <c r="C449" s="98" t="s">
        <v>2518</v>
      </c>
      <c r="D449" s="813" t="str">
        <f>IF(CNSIPEE_2024_M2_Secc1!D44="","",CNSIPEE_2024_M2_Secc1!D44)</f>
        <v/>
      </c>
      <c r="E449" s="814"/>
      <c r="F449" s="814"/>
      <c r="G449" s="814"/>
      <c r="H449" s="814"/>
      <c r="I449" s="814"/>
      <c r="J449" s="814"/>
      <c r="K449" s="814"/>
      <c r="L449" s="814"/>
      <c r="M449" s="814"/>
      <c r="N449" s="814"/>
      <c r="O449" s="814"/>
      <c r="P449" s="814"/>
      <c r="Q449" s="814"/>
      <c r="R449" s="815"/>
      <c r="S449" s="100"/>
      <c r="T449" s="100"/>
      <c r="U449" s="100"/>
      <c r="V449" s="100"/>
      <c r="W449" s="100"/>
      <c r="X449" s="100"/>
      <c r="Y449" s="100"/>
      <c r="Z449" s="100"/>
      <c r="AA449" s="100"/>
      <c r="AB449" s="100"/>
      <c r="AC449" s="100"/>
      <c r="AD449" s="100"/>
      <c r="AG449">
        <f t="shared" si="499"/>
        <v>0</v>
      </c>
      <c r="AH449">
        <f t="shared" si="500"/>
        <v>0</v>
      </c>
      <c r="AK449">
        <f t="shared" si="501"/>
        <v>0</v>
      </c>
      <c r="AL449">
        <f t="shared" si="502"/>
        <v>0</v>
      </c>
      <c r="AM449">
        <f t="shared" si="503"/>
        <v>0</v>
      </c>
      <c r="AN449">
        <f t="shared" si="504"/>
        <v>0</v>
      </c>
      <c r="AO449">
        <f t="shared" si="505"/>
        <v>0</v>
      </c>
      <c r="AP449">
        <f t="shared" si="506"/>
        <v>0</v>
      </c>
      <c r="AQ449">
        <f t="shared" si="507"/>
        <v>0</v>
      </c>
      <c r="AR449">
        <f t="shared" si="508"/>
        <v>0</v>
      </c>
      <c r="AS449">
        <f t="shared" si="509"/>
        <v>0</v>
      </c>
      <c r="AT449">
        <f t="shared" si="510"/>
        <v>0</v>
      </c>
      <c r="AU449">
        <f t="shared" si="511"/>
        <v>0</v>
      </c>
      <c r="AV449">
        <f t="shared" si="512"/>
        <v>0</v>
      </c>
      <c r="BF449">
        <f t="shared" si="513"/>
        <v>0</v>
      </c>
    </row>
    <row r="450" spans="1:58" ht="15" customHeight="1">
      <c r="A450" s="108"/>
      <c r="B450" s="38"/>
      <c r="C450" s="98" t="s">
        <v>2519</v>
      </c>
      <c r="D450" s="813" t="str">
        <f>IF(CNSIPEE_2024_M2_Secc1!D45="","",CNSIPEE_2024_M2_Secc1!D45)</f>
        <v/>
      </c>
      <c r="E450" s="814"/>
      <c r="F450" s="814"/>
      <c r="G450" s="814"/>
      <c r="H450" s="814"/>
      <c r="I450" s="814"/>
      <c r="J450" s="814"/>
      <c r="K450" s="814"/>
      <c r="L450" s="814"/>
      <c r="M450" s="814"/>
      <c r="N450" s="814"/>
      <c r="O450" s="814"/>
      <c r="P450" s="814"/>
      <c r="Q450" s="814"/>
      <c r="R450" s="815"/>
      <c r="S450" s="100"/>
      <c r="T450" s="100"/>
      <c r="U450" s="100"/>
      <c r="V450" s="100"/>
      <c r="W450" s="100"/>
      <c r="X450" s="100"/>
      <c r="Y450" s="100"/>
      <c r="Z450" s="100"/>
      <c r="AA450" s="100"/>
      <c r="AB450" s="100"/>
      <c r="AC450" s="100"/>
      <c r="AD450" s="100"/>
      <c r="AG450">
        <f t="shared" si="499"/>
        <v>0</v>
      </c>
      <c r="AH450">
        <f t="shared" si="500"/>
        <v>0</v>
      </c>
      <c r="AK450">
        <f t="shared" si="501"/>
        <v>0</v>
      </c>
      <c r="AL450">
        <f t="shared" si="502"/>
        <v>0</v>
      </c>
      <c r="AM450">
        <f t="shared" si="503"/>
        <v>0</v>
      </c>
      <c r="AN450">
        <f t="shared" si="504"/>
        <v>0</v>
      </c>
      <c r="AO450">
        <f t="shared" si="505"/>
        <v>0</v>
      </c>
      <c r="AP450">
        <f t="shared" si="506"/>
        <v>0</v>
      </c>
      <c r="AQ450">
        <f t="shared" si="507"/>
        <v>0</v>
      </c>
      <c r="AR450">
        <f t="shared" si="508"/>
        <v>0</v>
      </c>
      <c r="AS450">
        <f t="shared" si="509"/>
        <v>0</v>
      </c>
      <c r="AT450">
        <f t="shared" si="510"/>
        <v>0</v>
      </c>
      <c r="AU450">
        <f t="shared" si="511"/>
        <v>0</v>
      </c>
      <c r="AV450">
        <f t="shared" si="512"/>
        <v>0</v>
      </c>
      <c r="BF450">
        <f t="shared" si="513"/>
        <v>0</v>
      </c>
    </row>
    <row r="451" spans="1:58" ht="15" customHeight="1">
      <c r="A451" s="176"/>
      <c r="B451" s="57"/>
      <c r="C451" s="98" t="s">
        <v>2520</v>
      </c>
      <c r="D451" s="813" t="str">
        <f>IF(CNSIPEE_2024_M2_Secc1!D46="","",CNSIPEE_2024_M2_Secc1!D46)</f>
        <v/>
      </c>
      <c r="E451" s="814"/>
      <c r="F451" s="814"/>
      <c r="G451" s="814"/>
      <c r="H451" s="814"/>
      <c r="I451" s="814"/>
      <c r="J451" s="814"/>
      <c r="K451" s="814"/>
      <c r="L451" s="814"/>
      <c r="M451" s="814"/>
      <c r="N451" s="814"/>
      <c r="O451" s="814"/>
      <c r="P451" s="814"/>
      <c r="Q451" s="814"/>
      <c r="R451" s="815"/>
      <c r="S451" s="100"/>
      <c r="T451" s="100"/>
      <c r="U451" s="100"/>
      <c r="V451" s="100"/>
      <c r="W451" s="100"/>
      <c r="X451" s="100"/>
      <c r="Y451" s="100"/>
      <c r="Z451" s="100"/>
      <c r="AA451" s="100"/>
      <c r="AB451" s="100"/>
      <c r="AC451" s="100"/>
      <c r="AD451" s="100"/>
      <c r="AG451">
        <f t="shared" si="499"/>
        <v>0</v>
      </c>
      <c r="AH451">
        <f t="shared" si="500"/>
        <v>0</v>
      </c>
      <c r="AK451">
        <f t="shared" si="501"/>
        <v>0</v>
      </c>
      <c r="AL451">
        <f t="shared" si="502"/>
        <v>0</v>
      </c>
      <c r="AM451">
        <f t="shared" si="503"/>
        <v>0</v>
      </c>
      <c r="AN451">
        <f t="shared" si="504"/>
        <v>0</v>
      </c>
      <c r="AO451">
        <f t="shared" si="505"/>
        <v>0</v>
      </c>
      <c r="AP451">
        <f t="shared" si="506"/>
        <v>0</v>
      </c>
      <c r="AQ451">
        <f t="shared" si="507"/>
        <v>0</v>
      </c>
      <c r="AR451">
        <f t="shared" si="508"/>
        <v>0</v>
      </c>
      <c r="AS451">
        <f t="shared" si="509"/>
        <v>0</v>
      </c>
      <c r="AT451">
        <f t="shared" si="510"/>
        <v>0</v>
      </c>
      <c r="AU451">
        <f t="shared" si="511"/>
        <v>0</v>
      </c>
      <c r="AV451">
        <f t="shared" si="512"/>
        <v>0</v>
      </c>
      <c r="BF451">
        <f t="shared" si="513"/>
        <v>0</v>
      </c>
    </row>
    <row r="452" spans="1:58" ht="15" customHeight="1">
      <c r="A452" s="176"/>
      <c r="B452" s="57"/>
      <c r="C452" s="98" t="s">
        <v>2521</v>
      </c>
      <c r="D452" s="813" t="str">
        <f>IF(CNSIPEE_2024_M2_Secc1!D47="","",CNSIPEE_2024_M2_Secc1!D47)</f>
        <v/>
      </c>
      <c r="E452" s="814"/>
      <c r="F452" s="814"/>
      <c r="G452" s="814"/>
      <c r="H452" s="814"/>
      <c r="I452" s="814"/>
      <c r="J452" s="814"/>
      <c r="K452" s="814"/>
      <c r="L452" s="814"/>
      <c r="M452" s="814"/>
      <c r="N452" s="814"/>
      <c r="O452" s="814"/>
      <c r="P452" s="814"/>
      <c r="Q452" s="814"/>
      <c r="R452" s="815"/>
      <c r="S452" s="100"/>
      <c r="T452" s="100"/>
      <c r="U452" s="100"/>
      <c r="V452" s="100"/>
      <c r="W452" s="100"/>
      <c r="X452" s="100"/>
      <c r="Y452" s="100"/>
      <c r="Z452" s="100"/>
      <c r="AA452" s="100"/>
      <c r="AB452" s="100"/>
      <c r="AC452" s="100"/>
      <c r="AD452" s="100"/>
      <c r="AG452">
        <f t="shared" si="499"/>
        <v>0</v>
      </c>
      <c r="AH452">
        <f t="shared" si="500"/>
        <v>0</v>
      </c>
      <c r="AK452">
        <f t="shared" si="501"/>
        <v>0</v>
      </c>
      <c r="AL452">
        <f t="shared" si="502"/>
        <v>0</v>
      </c>
      <c r="AM452">
        <f t="shared" si="503"/>
        <v>0</v>
      </c>
      <c r="AN452">
        <f t="shared" si="504"/>
        <v>0</v>
      </c>
      <c r="AO452">
        <f t="shared" si="505"/>
        <v>0</v>
      </c>
      <c r="AP452">
        <f t="shared" si="506"/>
        <v>0</v>
      </c>
      <c r="AQ452">
        <f t="shared" si="507"/>
        <v>0</v>
      </c>
      <c r="AR452">
        <f t="shared" si="508"/>
        <v>0</v>
      </c>
      <c r="AS452">
        <f t="shared" si="509"/>
        <v>0</v>
      </c>
      <c r="AT452">
        <f t="shared" si="510"/>
        <v>0</v>
      </c>
      <c r="AU452">
        <f t="shared" si="511"/>
        <v>0</v>
      </c>
      <c r="AV452">
        <f t="shared" si="512"/>
        <v>0</v>
      </c>
      <c r="BF452">
        <f t="shared" si="513"/>
        <v>0</v>
      </c>
    </row>
    <row r="453" spans="1:58" ht="15" customHeight="1">
      <c r="A453" s="176"/>
      <c r="B453" s="57"/>
      <c r="C453" s="98" t="s">
        <v>2522</v>
      </c>
      <c r="D453" s="813" t="str">
        <f>IF(CNSIPEE_2024_M2_Secc1!D48="","",CNSIPEE_2024_M2_Secc1!D48)</f>
        <v/>
      </c>
      <c r="E453" s="814"/>
      <c r="F453" s="814"/>
      <c r="G453" s="814"/>
      <c r="H453" s="814"/>
      <c r="I453" s="814"/>
      <c r="J453" s="814"/>
      <c r="K453" s="814"/>
      <c r="L453" s="814"/>
      <c r="M453" s="814"/>
      <c r="N453" s="814"/>
      <c r="O453" s="814"/>
      <c r="P453" s="814"/>
      <c r="Q453" s="814"/>
      <c r="R453" s="815"/>
      <c r="S453" s="100"/>
      <c r="T453" s="100"/>
      <c r="U453" s="100"/>
      <c r="V453" s="100"/>
      <c r="W453" s="100"/>
      <c r="X453" s="100"/>
      <c r="Y453" s="100"/>
      <c r="Z453" s="100"/>
      <c r="AA453" s="100"/>
      <c r="AB453" s="100"/>
      <c r="AC453" s="100"/>
      <c r="AD453" s="100"/>
      <c r="AG453">
        <f t="shared" si="499"/>
        <v>0</v>
      </c>
      <c r="AH453">
        <f t="shared" si="500"/>
        <v>0</v>
      </c>
      <c r="AK453">
        <f t="shared" si="501"/>
        <v>0</v>
      </c>
      <c r="AL453">
        <f t="shared" si="502"/>
        <v>0</v>
      </c>
      <c r="AM453">
        <f t="shared" si="503"/>
        <v>0</v>
      </c>
      <c r="AN453">
        <f t="shared" si="504"/>
        <v>0</v>
      </c>
      <c r="AO453">
        <f t="shared" si="505"/>
        <v>0</v>
      </c>
      <c r="AP453">
        <f t="shared" si="506"/>
        <v>0</v>
      </c>
      <c r="AQ453">
        <f t="shared" si="507"/>
        <v>0</v>
      </c>
      <c r="AR453">
        <f t="shared" si="508"/>
        <v>0</v>
      </c>
      <c r="AS453">
        <f t="shared" si="509"/>
        <v>0</v>
      </c>
      <c r="AT453">
        <f t="shared" si="510"/>
        <v>0</v>
      </c>
      <c r="AU453">
        <f t="shared" si="511"/>
        <v>0</v>
      </c>
      <c r="AV453">
        <f t="shared" si="512"/>
        <v>0</v>
      </c>
      <c r="BF453">
        <f t="shared" si="513"/>
        <v>0</v>
      </c>
    </row>
    <row r="454" spans="1:58" ht="15" customHeight="1">
      <c r="A454" s="176"/>
      <c r="B454" s="57"/>
      <c r="C454" s="98" t="s">
        <v>2523</v>
      </c>
      <c r="D454" s="813" t="str">
        <f>IF(CNSIPEE_2024_M2_Secc1!D49="","",CNSIPEE_2024_M2_Secc1!D49)</f>
        <v/>
      </c>
      <c r="E454" s="814"/>
      <c r="F454" s="814"/>
      <c r="G454" s="814"/>
      <c r="H454" s="814"/>
      <c r="I454" s="814"/>
      <c r="J454" s="814"/>
      <c r="K454" s="814"/>
      <c r="L454" s="814"/>
      <c r="M454" s="814"/>
      <c r="N454" s="814"/>
      <c r="O454" s="814"/>
      <c r="P454" s="814"/>
      <c r="Q454" s="814"/>
      <c r="R454" s="815"/>
      <c r="S454" s="100"/>
      <c r="T454" s="100"/>
      <c r="U454" s="100"/>
      <c r="V454" s="100"/>
      <c r="W454" s="100"/>
      <c r="X454" s="100"/>
      <c r="Y454" s="100"/>
      <c r="Z454" s="100"/>
      <c r="AA454" s="100"/>
      <c r="AB454" s="100"/>
      <c r="AC454" s="100"/>
      <c r="AD454" s="100"/>
      <c r="AG454">
        <f t="shared" si="499"/>
        <v>0</v>
      </c>
      <c r="AH454">
        <f t="shared" si="500"/>
        <v>0</v>
      </c>
      <c r="AK454">
        <f t="shared" si="501"/>
        <v>0</v>
      </c>
      <c r="AL454">
        <f t="shared" si="502"/>
        <v>0</v>
      </c>
      <c r="AM454">
        <f t="shared" si="503"/>
        <v>0</v>
      </c>
      <c r="AN454">
        <f t="shared" si="504"/>
        <v>0</v>
      </c>
      <c r="AO454">
        <f t="shared" si="505"/>
        <v>0</v>
      </c>
      <c r="AP454">
        <f t="shared" si="506"/>
        <v>0</v>
      </c>
      <c r="AQ454">
        <f t="shared" si="507"/>
        <v>0</v>
      </c>
      <c r="AR454">
        <f t="shared" si="508"/>
        <v>0</v>
      </c>
      <c r="AS454">
        <f t="shared" si="509"/>
        <v>0</v>
      </c>
      <c r="AT454">
        <f t="shared" si="510"/>
        <v>0</v>
      </c>
      <c r="AU454">
        <f t="shared" si="511"/>
        <v>0</v>
      </c>
      <c r="AV454">
        <f t="shared" si="512"/>
        <v>0</v>
      </c>
      <c r="BF454">
        <f t="shared" si="513"/>
        <v>0</v>
      </c>
    </row>
    <row r="455" spans="1:58" ht="15" customHeight="1">
      <c r="A455" s="176"/>
      <c r="B455" s="57"/>
      <c r="C455" s="70"/>
      <c r="D455" s="36"/>
      <c r="E455" s="36"/>
      <c r="F455" s="36"/>
      <c r="G455" s="36"/>
      <c r="H455" s="36"/>
      <c r="I455" s="36"/>
      <c r="J455" s="36"/>
      <c r="K455" s="36"/>
      <c r="L455" s="36"/>
      <c r="M455" s="36"/>
      <c r="N455" s="36"/>
      <c r="O455" s="36"/>
      <c r="P455" s="36"/>
      <c r="Q455" s="36"/>
      <c r="R455" s="117" t="s">
        <v>2649</v>
      </c>
      <c r="S455" s="124">
        <f t="shared" ref="S455:AD455" si="514">IF(AND(SUM(S447:S454)=0,COUNTIF(S447:S454,"NS")&gt;0),"NS",IF(AND(SUM(S447:S454)=0,COUNTIF(S447:S454,0)&gt;0),0,IF(AND(SUM(S447:S454)=0,COUNTIF(S447:S454,"NA")&gt;0),"NA",SUM(S447:S454))))</f>
        <v>0</v>
      </c>
      <c r="T455" s="124">
        <f t="shared" si="514"/>
        <v>0</v>
      </c>
      <c r="U455" s="124">
        <f t="shared" si="514"/>
        <v>0</v>
      </c>
      <c r="V455" s="124">
        <f t="shared" si="514"/>
        <v>0</v>
      </c>
      <c r="W455" s="124">
        <f t="shared" si="514"/>
        <v>0</v>
      </c>
      <c r="X455" s="124">
        <f t="shared" si="514"/>
        <v>0</v>
      </c>
      <c r="Y455" s="124">
        <f t="shared" si="514"/>
        <v>0</v>
      </c>
      <c r="Z455" s="124">
        <f t="shared" si="514"/>
        <v>0</v>
      </c>
      <c r="AA455" s="124">
        <f t="shared" si="514"/>
        <v>0</v>
      </c>
      <c r="AB455" s="124">
        <f t="shared" si="514"/>
        <v>0</v>
      </c>
      <c r="AC455" s="124">
        <f t="shared" si="514"/>
        <v>0</v>
      </c>
      <c r="AD455" s="124">
        <f t="shared" si="514"/>
        <v>0</v>
      </c>
      <c r="AG455" s="507">
        <f>SUM(AG447:AG454)</f>
        <v>0</v>
      </c>
      <c r="AH455" s="507">
        <f>SUM(AH447:AH454)</f>
        <v>0</v>
      </c>
      <c r="AK455">
        <f>SUM(AK447:AK454)</f>
        <v>0</v>
      </c>
      <c r="AM455">
        <f>SUM(AM447:AM454)</f>
        <v>0</v>
      </c>
      <c r="AN455">
        <f>SUM(AN447:AN454)</f>
        <v>0</v>
      </c>
      <c r="AP455">
        <f>SUM(AP447:AP454)</f>
        <v>0</v>
      </c>
      <c r="AQ455">
        <f>SUM(AQ447:AQ454)</f>
        <v>0</v>
      </c>
      <c r="AS455">
        <f>SUM(AS447:AS454)</f>
        <v>0</v>
      </c>
      <c r="AT455">
        <f>SUM(AT447:AT454)</f>
        <v>0</v>
      </c>
      <c r="AV455">
        <f>SUM(AV447:AV454)</f>
        <v>0</v>
      </c>
      <c r="BF455" s="506">
        <f>SUM(BF447:BF454)</f>
        <v>0</v>
      </c>
    </row>
    <row r="456" spans="1:58" ht="15" customHeight="1">
      <c r="A456" s="108"/>
      <c r="B456" s="38"/>
      <c r="C456" s="38"/>
      <c r="D456" s="38"/>
      <c r="E456" s="38"/>
      <c r="F456" s="38"/>
      <c r="G456" s="38"/>
      <c r="H456" s="38"/>
      <c r="I456" s="38"/>
      <c r="J456" s="38"/>
      <c r="K456" s="38"/>
      <c r="L456" s="117"/>
      <c r="M456" s="141"/>
      <c r="N456" s="141"/>
      <c r="O456" s="70"/>
      <c r="P456" s="70"/>
      <c r="Q456" s="70"/>
      <c r="R456" s="70"/>
      <c r="S456" s="141"/>
      <c r="T456" s="141"/>
      <c r="U456" s="70"/>
      <c r="V456" s="70"/>
      <c r="W456" s="141"/>
      <c r="X456" s="141"/>
      <c r="Y456" s="70"/>
      <c r="Z456" s="70"/>
      <c r="AA456" s="141"/>
      <c r="AB456" s="141"/>
      <c r="AC456" s="70"/>
      <c r="AD456" s="70"/>
      <c r="AG456" s="57"/>
      <c r="AH456" s="57"/>
      <c r="AI456" s="57"/>
      <c r="AJ456" s="57"/>
      <c r="AK456" t="s">
        <v>2650</v>
      </c>
      <c r="AL456" s="506">
        <f>SUM(AM455,AP455,AS455,AV455)</f>
        <v>0</v>
      </c>
      <c r="AM456" t="s">
        <v>2651</v>
      </c>
      <c r="AN456">
        <f>SUM(AK455,AN455,AQ455,AT455)</f>
        <v>0</v>
      </c>
      <c r="AO456" s="57"/>
      <c r="AP456" s="57"/>
      <c r="AQ456" s="57"/>
      <c r="AR456" s="57"/>
      <c r="AS456" s="57"/>
      <c r="AT456" s="57"/>
      <c r="AU456" s="57"/>
      <c r="AV456" s="57"/>
      <c r="AW456" s="57"/>
      <c r="AX456" s="57"/>
      <c r="AY456" s="57"/>
      <c r="AZ456" s="57"/>
      <c r="BA456" s="57"/>
      <c r="BB456" s="57"/>
      <c r="BC456" s="57"/>
      <c r="BD456" s="57"/>
      <c r="BE456" s="57"/>
      <c r="BF456" s="57"/>
    </row>
    <row r="457" spans="1:58" ht="24" customHeight="1">
      <c r="A457" s="108"/>
      <c r="B457" s="38"/>
      <c r="C457" s="754" t="s">
        <v>2611</v>
      </c>
      <c r="D457" s="754"/>
      <c r="E457" s="754"/>
      <c r="F457" s="754"/>
      <c r="G457" s="754"/>
      <c r="H457" s="754"/>
      <c r="I457" s="754"/>
      <c r="J457" s="754"/>
      <c r="K457" s="754"/>
      <c r="L457" s="754"/>
      <c r="M457" s="754"/>
      <c r="N457" s="754"/>
      <c r="O457" s="754"/>
      <c r="P457" s="754"/>
      <c r="Q457" s="754"/>
      <c r="R457" s="754"/>
      <c r="S457" s="754"/>
      <c r="T457" s="754"/>
      <c r="U457" s="754"/>
      <c r="V457" s="754"/>
      <c r="W457" s="754"/>
      <c r="X457" s="754"/>
      <c r="Y457" s="754"/>
      <c r="Z457" s="754"/>
      <c r="AA457" s="754"/>
      <c r="AB457" s="754"/>
      <c r="AC457" s="754"/>
      <c r="AD457" s="754"/>
      <c r="AG457" s="38"/>
      <c r="AH457" s="38"/>
      <c r="AI457" s="57"/>
      <c r="AJ457" s="57"/>
      <c r="AK457" t="s">
        <v>2652</v>
      </c>
      <c r="AL457" s="507">
        <f>IF(AN456&gt;0,IF(SUM(S455)&gt;=SUM(V455,Y455,AB455),0,1),IF(SUM(S455)&lt;&gt;SUM(V455,Y455,AB455),1,0))</f>
        <v>0</v>
      </c>
      <c r="AM457" t="s">
        <v>2653</v>
      </c>
      <c r="AN457" s="507">
        <f>IF(AN456&gt;0,IF(SUM(T455)&gt;=SUM(W455,Z455,AC455),0,1),IF(SUM(T455)&lt;&gt;SUM(W455,Z455,AC455),1,0))</f>
        <v>0</v>
      </c>
      <c r="AO457" t="s">
        <v>2654</v>
      </c>
      <c r="AP457" s="507">
        <f>IF(AN456&gt;0,IF(SUM(U455)&gt;=SUM(X455,AA455,AD455),0,1),IF(SUM(U455)&lt;&gt;SUM(X455,AA455,AD455),1,0))</f>
        <v>0</v>
      </c>
      <c r="AQ457" s="57"/>
      <c r="AR457" s="57"/>
      <c r="AS457" s="57"/>
      <c r="AT457" s="57"/>
      <c r="AU457" s="57"/>
      <c r="AV457" s="57"/>
      <c r="AW457" s="57"/>
      <c r="AX457" s="57"/>
      <c r="AY457" s="57"/>
      <c r="AZ457" s="57"/>
      <c r="BA457" s="57"/>
      <c r="BB457" s="57"/>
      <c r="BC457" s="57"/>
      <c r="BD457" s="57"/>
      <c r="BE457" s="57"/>
      <c r="BF457" s="57"/>
    </row>
    <row r="458" spans="1:58" ht="60" customHeight="1">
      <c r="A458" s="108"/>
      <c r="B458" s="38"/>
      <c r="C458" s="851"/>
      <c r="D458" s="851"/>
      <c r="E458" s="851"/>
      <c r="F458" s="851"/>
      <c r="G458" s="851"/>
      <c r="H458" s="851"/>
      <c r="I458" s="851"/>
      <c r="J458" s="851"/>
      <c r="K458" s="851"/>
      <c r="L458" s="851"/>
      <c r="M458" s="851"/>
      <c r="N458" s="851"/>
      <c r="O458" s="851"/>
      <c r="P458" s="851"/>
      <c r="Q458" s="851"/>
      <c r="R458" s="851"/>
      <c r="S458" s="851"/>
      <c r="T458" s="851"/>
      <c r="U458" s="851"/>
      <c r="V458" s="851"/>
      <c r="W458" s="851"/>
      <c r="X458" s="851"/>
      <c r="Y458" s="851"/>
      <c r="Z458" s="851"/>
      <c r="AA458" s="851"/>
      <c r="AB458" s="851"/>
      <c r="AC458" s="851"/>
      <c r="AD458" s="851"/>
    </row>
    <row r="459" spans="1:58" ht="15" customHeight="1">
      <c r="A459" s="176"/>
      <c r="B459" s="794" t="str">
        <f>IF(AG455=0,"","Favor de ingresar toda la información requerida en la pregunta")</f>
        <v/>
      </c>
      <c r="C459" s="794"/>
      <c r="D459" s="794"/>
      <c r="E459" s="794"/>
      <c r="F459" s="794"/>
      <c r="G459" s="794"/>
      <c r="H459" s="794"/>
      <c r="I459" s="794"/>
      <c r="J459" s="794"/>
      <c r="K459" s="794"/>
      <c r="L459" s="794"/>
      <c r="M459" s="794"/>
      <c r="N459" s="794"/>
      <c r="O459" s="794"/>
      <c r="P459" s="794"/>
      <c r="Q459" s="794"/>
      <c r="R459" s="794"/>
      <c r="S459" s="794"/>
      <c r="T459" s="794"/>
      <c r="U459" s="794"/>
      <c r="V459" s="794"/>
      <c r="W459" s="794"/>
      <c r="X459" s="794"/>
      <c r="Y459" s="794"/>
      <c r="Z459" s="794"/>
      <c r="AA459" s="794"/>
      <c r="AB459" s="794"/>
      <c r="AC459" s="794"/>
      <c r="AD459" s="794"/>
      <c r="AE459" s="794"/>
    </row>
    <row r="460" spans="1:58" ht="15" customHeight="1">
      <c r="A460" s="176"/>
      <c r="B460" s="1087" t="str">
        <f>IF(COUNTIF(S447:AD454,"NS")&lt;&gt;0,"Alerta: debido a que cuenta con registros NS, debe proporcionar una justificación en el area de comentarios al final de la pregunta","")</f>
        <v/>
      </c>
      <c r="C460" s="1087"/>
      <c r="D460" s="1087"/>
      <c r="E460" s="1087"/>
      <c r="F460" s="1087"/>
      <c r="G460" s="1087"/>
      <c r="H460" s="1087"/>
      <c r="I460" s="1087"/>
      <c r="J460" s="1087"/>
      <c r="K460" s="1087"/>
      <c r="L460" s="1087"/>
      <c r="M460" s="1087"/>
      <c r="N460" s="1087"/>
      <c r="O460" s="1087"/>
      <c r="P460" s="1087"/>
      <c r="Q460" s="1087"/>
      <c r="R460" s="1087"/>
      <c r="S460" s="1087"/>
      <c r="T460" s="1087"/>
      <c r="U460" s="1087"/>
      <c r="V460" s="1087"/>
      <c r="W460" s="1087"/>
      <c r="X460" s="1087"/>
      <c r="Y460" s="1087"/>
      <c r="Z460" s="1087"/>
      <c r="AA460" s="1087"/>
      <c r="AB460" s="1087"/>
      <c r="AC460" s="1087"/>
      <c r="AD460" s="1087"/>
      <c r="AE460" s="1087"/>
    </row>
    <row r="461" spans="1:58" ht="15" customHeight="1">
      <c r="A461" s="176"/>
      <c r="B461" s="1003" t="str">
        <f>IF(AH455&gt;0,"Revise la información capturada, ya que tiene datos ingresados en celdas que están sombreadas","")</f>
        <v/>
      </c>
      <c r="C461" s="1003"/>
      <c r="D461" s="1003"/>
      <c r="E461" s="1003"/>
      <c r="F461" s="1003"/>
      <c r="G461" s="1003"/>
      <c r="H461" s="1003"/>
      <c r="I461" s="1003"/>
      <c r="J461" s="1003"/>
      <c r="K461" s="1003"/>
      <c r="L461" s="1003"/>
      <c r="M461" s="1003"/>
      <c r="N461" s="1003"/>
      <c r="O461" s="1003"/>
      <c r="P461" s="1003"/>
      <c r="Q461" s="1003"/>
      <c r="R461" s="1003"/>
      <c r="S461" s="1003"/>
      <c r="T461" s="1003"/>
      <c r="U461" s="1003"/>
      <c r="V461" s="1003"/>
      <c r="W461" s="1003"/>
      <c r="X461" s="1003"/>
      <c r="Y461" s="1003"/>
      <c r="Z461" s="1003"/>
      <c r="AA461" s="1003"/>
      <c r="AB461" s="1003"/>
      <c r="AC461" s="1003"/>
      <c r="AD461" s="1003"/>
      <c r="AE461" s="1003"/>
    </row>
    <row r="462" spans="1:58" ht="15" customHeight="1">
      <c r="A462" s="176"/>
      <c r="B462" s="1003" t="str">
        <f>IF(OR(AL456&gt;0,AL457&gt;0,AN457&gt;0,AP457&gt;0),"Favor de revisar la suma y consistencia de totales y/o subtotales por filas (numéricos y NS)","")</f>
        <v/>
      </c>
      <c r="C462" s="1003"/>
      <c r="D462" s="1003"/>
      <c r="E462" s="1003"/>
      <c r="F462" s="1003"/>
      <c r="G462" s="1003"/>
      <c r="H462" s="1003"/>
      <c r="I462" s="1003"/>
      <c r="J462" s="1003"/>
      <c r="K462" s="1003"/>
      <c r="L462" s="1003"/>
      <c r="M462" s="1003"/>
      <c r="N462" s="1003"/>
      <c r="O462" s="1003"/>
      <c r="P462" s="1003"/>
      <c r="Q462" s="1003"/>
      <c r="R462" s="1003"/>
      <c r="S462" s="1003"/>
      <c r="T462" s="1003"/>
      <c r="U462" s="1003"/>
      <c r="V462" s="1003"/>
      <c r="W462" s="1003"/>
      <c r="X462" s="1003"/>
      <c r="Y462" s="1003"/>
      <c r="Z462" s="1003"/>
      <c r="AA462" s="1003"/>
      <c r="AB462" s="1003"/>
      <c r="AC462" s="1003"/>
      <c r="AD462" s="1003"/>
      <c r="AE462" s="1003"/>
    </row>
    <row r="463" spans="1:58" ht="15" customHeight="1">
      <c r="A463" s="176"/>
      <c r="B463" s="1003" t="str">
        <f>IF(BF455=0,"","Las cantidades de Hombres y Mujeres por centro especializado debe corresponder con los datos reportados en la preg. 8.1")</f>
        <v/>
      </c>
      <c r="C463" s="1003"/>
      <c r="D463" s="1003"/>
      <c r="E463" s="1003"/>
      <c r="F463" s="1003"/>
      <c r="G463" s="1003"/>
      <c r="H463" s="1003"/>
      <c r="I463" s="1003"/>
      <c r="J463" s="1003"/>
      <c r="K463" s="1003"/>
      <c r="L463" s="1003"/>
      <c r="M463" s="1003"/>
      <c r="N463" s="1003"/>
      <c r="O463" s="1003"/>
      <c r="P463" s="1003"/>
      <c r="Q463" s="1003"/>
      <c r="R463" s="1003"/>
      <c r="S463" s="1003"/>
      <c r="T463" s="1003"/>
      <c r="U463" s="1003"/>
      <c r="V463" s="1003"/>
      <c r="W463" s="1003"/>
      <c r="X463" s="1003"/>
      <c r="Y463" s="1003"/>
      <c r="Z463" s="1003"/>
      <c r="AA463" s="1003"/>
      <c r="AB463" s="1003"/>
      <c r="AC463" s="1003"/>
      <c r="AD463" s="1003"/>
      <c r="AE463" s="1003"/>
    </row>
    <row r="464" spans="1:58" ht="15" customHeight="1">
      <c r="A464" s="176"/>
      <c r="B464" s="105"/>
      <c r="C464" s="105"/>
      <c r="D464" s="105"/>
      <c r="E464" s="105"/>
      <c r="F464" s="105"/>
      <c r="G464" s="105"/>
      <c r="H464" s="105"/>
      <c r="I464" s="105"/>
      <c r="J464" s="105"/>
      <c r="K464" s="105"/>
      <c r="L464" s="105"/>
      <c r="M464" s="105"/>
      <c r="N464" s="105"/>
      <c r="O464" s="105"/>
      <c r="P464" s="105"/>
      <c r="Q464" s="105"/>
      <c r="R464" s="105"/>
      <c r="S464" s="105"/>
      <c r="T464" s="105"/>
      <c r="U464" s="105"/>
      <c r="V464" s="105"/>
      <c r="W464" s="105"/>
      <c r="X464" s="105"/>
      <c r="Y464" s="105"/>
      <c r="Z464" s="105"/>
      <c r="AA464" s="105"/>
      <c r="AB464" s="105"/>
      <c r="AC464" s="105"/>
      <c r="AD464" s="105"/>
    </row>
    <row r="465" spans="1:58" ht="36" customHeight="1">
      <c r="A465" s="108" t="s">
        <v>5262</v>
      </c>
      <c r="B465" s="829" t="s">
        <v>5263</v>
      </c>
      <c r="C465" s="829"/>
      <c r="D465" s="829"/>
      <c r="E465" s="829"/>
      <c r="F465" s="829"/>
      <c r="G465" s="829"/>
      <c r="H465" s="829"/>
      <c r="I465" s="829"/>
      <c r="J465" s="829"/>
      <c r="K465" s="829"/>
      <c r="L465" s="829"/>
      <c r="M465" s="829"/>
      <c r="N465" s="829"/>
      <c r="O465" s="829"/>
      <c r="P465" s="829"/>
      <c r="Q465" s="829"/>
      <c r="R465" s="829"/>
      <c r="S465" s="829"/>
      <c r="T465" s="829"/>
      <c r="U465" s="829"/>
      <c r="V465" s="829"/>
      <c r="W465" s="829"/>
      <c r="X465" s="829"/>
      <c r="Y465" s="829"/>
      <c r="Z465" s="829"/>
      <c r="AA465" s="829"/>
      <c r="AB465" s="829"/>
      <c r="AC465" s="829"/>
      <c r="AD465" s="829"/>
    </row>
    <row r="466" spans="1:58" ht="15" customHeight="1">
      <c r="A466" s="108"/>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c r="AA466" s="38"/>
      <c r="AB466" s="38"/>
      <c r="AC466" s="38"/>
      <c r="AD466" s="38"/>
    </row>
    <row r="467" spans="1:58" ht="36" customHeight="1">
      <c r="A467" s="108"/>
      <c r="B467" s="38"/>
      <c r="C467" s="968" t="s">
        <v>2581</v>
      </c>
      <c r="D467" s="969"/>
      <c r="E467" s="969"/>
      <c r="F467" s="969"/>
      <c r="G467" s="969"/>
      <c r="H467" s="969"/>
      <c r="I467" s="969"/>
      <c r="J467" s="969"/>
      <c r="K467" s="969"/>
      <c r="L467" s="969"/>
      <c r="M467" s="969"/>
      <c r="N467" s="969"/>
      <c r="O467" s="969"/>
      <c r="P467" s="969"/>
      <c r="Q467" s="969"/>
      <c r="R467" s="970"/>
      <c r="S467" s="739" t="s">
        <v>5264</v>
      </c>
      <c r="T467" s="740"/>
      <c r="U467" s="740"/>
      <c r="V467" s="740"/>
      <c r="W467" s="740"/>
      <c r="X467" s="740"/>
      <c r="Y467" s="740"/>
      <c r="Z467" s="740"/>
      <c r="AA467" s="740"/>
      <c r="AB467" s="740"/>
      <c r="AC467" s="740"/>
      <c r="AD467" s="741"/>
    </row>
    <row r="468" spans="1:58" ht="24" customHeight="1">
      <c r="A468" s="108"/>
      <c r="B468" s="38"/>
      <c r="C468" s="1100"/>
      <c r="D468" s="1101"/>
      <c r="E468" s="1101"/>
      <c r="F468" s="1101"/>
      <c r="G468" s="1101"/>
      <c r="H468" s="1101"/>
      <c r="I468" s="1101"/>
      <c r="J468" s="1101"/>
      <c r="K468" s="1101"/>
      <c r="L468" s="1101"/>
      <c r="M468" s="1101"/>
      <c r="N468" s="1101"/>
      <c r="O468" s="1101"/>
      <c r="P468" s="1101"/>
      <c r="Q468" s="1101"/>
      <c r="R468" s="1102"/>
      <c r="S468" s="887" t="s">
        <v>2628</v>
      </c>
      <c r="T468" s="889" t="s">
        <v>2629</v>
      </c>
      <c r="U468" s="889" t="s">
        <v>2630</v>
      </c>
      <c r="V468" s="733" t="s">
        <v>4664</v>
      </c>
      <c r="W468" s="734"/>
      <c r="X468" s="735"/>
      <c r="Y468" s="733" t="s">
        <v>4665</v>
      </c>
      <c r="Z468" s="734"/>
      <c r="AA468" s="735"/>
      <c r="AB468" s="733" t="s">
        <v>201</v>
      </c>
      <c r="AC468" s="734"/>
      <c r="AD468" s="735"/>
    </row>
    <row r="469" spans="1:58" ht="48" customHeight="1">
      <c r="A469" s="108"/>
      <c r="B469" s="38"/>
      <c r="C469" s="971"/>
      <c r="D469" s="972"/>
      <c r="E469" s="972"/>
      <c r="F469" s="972"/>
      <c r="G469" s="972"/>
      <c r="H469" s="972"/>
      <c r="I469" s="972"/>
      <c r="J469" s="972"/>
      <c r="K469" s="972"/>
      <c r="L469" s="972"/>
      <c r="M469" s="972"/>
      <c r="N469" s="972"/>
      <c r="O469" s="972"/>
      <c r="P469" s="972"/>
      <c r="Q469" s="972"/>
      <c r="R469" s="973"/>
      <c r="S469" s="888"/>
      <c r="T469" s="890"/>
      <c r="U469" s="890"/>
      <c r="V469" s="171" t="s">
        <v>2635</v>
      </c>
      <c r="W469" s="128" t="s">
        <v>2629</v>
      </c>
      <c r="X469" s="128" t="s">
        <v>2630</v>
      </c>
      <c r="Y469" s="171" t="s">
        <v>2635</v>
      </c>
      <c r="Z469" s="128" t="s">
        <v>2629</v>
      </c>
      <c r="AA469" s="128" t="s">
        <v>2630</v>
      </c>
      <c r="AB469" s="171" t="s">
        <v>2635</v>
      </c>
      <c r="AC469" s="128" t="s">
        <v>2629</v>
      </c>
      <c r="AD469" s="128" t="s">
        <v>2630</v>
      </c>
      <c r="AG469" t="s">
        <v>2586</v>
      </c>
      <c r="AH469" t="s">
        <v>4581</v>
      </c>
      <c r="AK469" t="s">
        <v>4573</v>
      </c>
      <c r="AL469" t="s">
        <v>2638</v>
      </c>
      <c r="AM469" t="s">
        <v>2639</v>
      </c>
      <c r="AN469" t="s">
        <v>4574</v>
      </c>
      <c r="AO469" t="s">
        <v>2641</v>
      </c>
      <c r="AP469" t="s">
        <v>2642</v>
      </c>
      <c r="AQ469" t="s">
        <v>4575</v>
      </c>
      <c r="AR469" t="s">
        <v>2644</v>
      </c>
      <c r="AS469" t="s">
        <v>2645</v>
      </c>
      <c r="AT469" t="s">
        <v>4576</v>
      </c>
      <c r="AU469" t="s">
        <v>2647</v>
      </c>
      <c r="AV469" t="s">
        <v>2648</v>
      </c>
      <c r="BF469" t="s">
        <v>4582</v>
      </c>
    </row>
    <row r="470" spans="1:58" ht="15" customHeight="1">
      <c r="A470" s="108"/>
      <c r="B470" s="38"/>
      <c r="C470" s="97" t="s">
        <v>2516</v>
      </c>
      <c r="D470" s="813" t="str">
        <f>IF(CNSIPEE_2024_M2_Secc1!D42="","",CNSIPEE_2024_M2_Secc1!D42)</f>
        <v/>
      </c>
      <c r="E470" s="814"/>
      <c r="F470" s="814"/>
      <c r="G470" s="814"/>
      <c r="H470" s="814"/>
      <c r="I470" s="814"/>
      <c r="J470" s="814"/>
      <c r="K470" s="814"/>
      <c r="L470" s="814"/>
      <c r="M470" s="814"/>
      <c r="N470" s="814"/>
      <c r="O470" s="814"/>
      <c r="P470" s="814"/>
      <c r="Q470" s="814"/>
      <c r="R470" s="815"/>
      <c r="S470" s="100"/>
      <c r="T470" s="100"/>
      <c r="U470" s="100"/>
      <c r="V470" s="100"/>
      <c r="W470" s="100"/>
      <c r="X470" s="100"/>
      <c r="Y470" s="100"/>
      <c r="Z470" s="100"/>
      <c r="AA470" s="100"/>
      <c r="AB470" s="100"/>
      <c r="AC470" s="100"/>
      <c r="AD470" s="100"/>
      <c r="AG470">
        <f>IF(OR($M40=0,$M40="NS",$M40="NA"),0,IF(OR(COUNTBLANK(D470:AD470)=14,COUNTBLANK(D470:AD470)=27),0,1))</f>
        <v>0</v>
      </c>
      <c r="AH470">
        <f>IF(OR($M40=0,$M40="NS",$M40="NA"),IF(COUNTBLANK(S470:AD470)=12,0,1),0)</f>
        <v>0</v>
      </c>
      <c r="AK470">
        <f t="shared" ref="AK470" si="515">COUNTIF(T470:U470,"NS")</f>
        <v>0</v>
      </c>
      <c r="AL470">
        <f t="shared" ref="AL470" si="516">SUM(T470:U470)</f>
        <v>0</v>
      </c>
      <c r="AM470">
        <f>IF(COUNTIF(S470:U470,"NA")=3,0,IF(COUNTA(S470:U470)=0,0,IF(OR(AND(S470=0,AK470&gt;0),AND(S470="ns",AL470&gt;0),AND(S470="ns",AK470=0,AL470=0)),1,IF(OR(AND(S470&gt;0,AK470=2),AND(S470="ns",AK470=2),AND(S470="ns",AL470=0,AK470&gt;0),S470=AL470),0,1))))</f>
        <v>0</v>
      </c>
      <c r="AN470">
        <f t="shared" ref="AN470" si="517">COUNTIF(W470:X470,"NS")</f>
        <v>0</v>
      </c>
      <c r="AO470">
        <f t="shared" ref="AO470" si="518">SUM(W470:X470)</f>
        <v>0</v>
      </c>
      <c r="AP470">
        <f t="shared" ref="AP470" si="519">IF(COUNTIF(V470:X470,"NA")=3,0,IF(COUNTA(V470:X470)=0,0,IF(OR(AND(V470=0,AN470&gt;0),AND(V470="ns",AO470&gt;0),AND(V470="ns",AN470=0,AO470=0)),1,IF(OR(AND(V470&gt;0,AN470=2),AND(V470="ns",AN470=2),AND(V470="ns",AO470=0,AN470&gt;0),V470=AO470),0,1))))</f>
        <v>0</v>
      </c>
      <c r="AQ470">
        <f t="shared" ref="AQ470" si="520">COUNTIF(Z470:AA470,"NS")</f>
        <v>0</v>
      </c>
      <c r="AR470">
        <f t="shared" ref="AR470" si="521">SUM(Z470:AA470)</f>
        <v>0</v>
      </c>
      <c r="AS470">
        <f t="shared" ref="AS470" si="522">IF(COUNTIF(Y470:AA470,"NA")=3,0,IF(COUNTA(Y470:AA470)=0,0,IF(OR(AND(Y470=0,AQ470&gt;0),AND(Y470="ns",AR470&gt;0),AND(Y470="ns",AQ470=0,AR470=0)),1,IF(OR(AND(Y470&gt;0,AQ470=2),AND(Y470="ns",AQ470=2),AND(Y470="ns",AR470=0,AQ470&gt;0),Y470=AR470),0,1))))</f>
        <v>0</v>
      </c>
      <c r="AT470">
        <f t="shared" ref="AT470" si="523">COUNTIF(AC470:AD470,"NS")</f>
        <v>0</v>
      </c>
      <c r="AU470">
        <f t="shared" ref="AU470" si="524">SUM(AC470:AD470)</f>
        <v>0</v>
      </c>
      <c r="AV470">
        <f t="shared" ref="AV470" si="525">IF(COUNTIF(AB470:AD470,"NA")=3,0,IF(COUNTA(AB470:AD470)=0,0,IF(OR(AND(AB470=0,AT470&gt;0),AND(AB470="ns",AU470&gt;0),AND(AB470="ns",AT470=0,AU470=0)),1,IF(OR(AND(AB470&gt;0,AT470=2),AND(AB470="ns",AT470=2),AND(AB470="ns",AU470=0,AT470&gt;0),AB470=AU470),0,1))))</f>
        <v>0</v>
      </c>
      <c r="BF470">
        <f>IF(OR($M40=0,$M40="NS",$M40="NA"),0,IF(AND(M40=S470,S40=T470,Y40=U470),0,1))</f>
        <v>0</v>
      </c>
    </row>
    <row r="471" spans="1:58" ht="15" customHeight="1">
      <c r="A471" s="108"/>
      <c r="B471" s="38"/>
      <c r="C471" s="98" t="s">
        <v>2517</v>
      </c>
      <c r="D471" s="813" t="str">
        <f>IF(CNSIPEE_2024_M2_Secc1!D43="","",CNSIPEE_2024_M2_Secc1!D43)</f>
        <v/>
      </c>
      <c r="E471" s="814"/>
      <c r="F471" s="814"/>
      <c r="G471" s="814"/>
      <c r="H471" s="814"/>
      <c r="I471" s="814"/>
      <c r="J471" s="814"/>
      <c r="K471" s="814"/>
      <c r="L471" s="814"/>
      <c r="M471" s="814"/>
      <c r="N471" s="814"/>
      <c r="O471" s="814"/>
      <c r="P471" s="814"/>
      <c r="Q471" s="814"/>
      <c r="R471" s="815"/>
      <c r="S471" s="100"/>
      <c r="T471" s="100"/>
      <c r="U471" s="100"/>
      <c r="V471" s="100"/>
      <c r="W471" s="100"/>
      <c r="X471" s="100"/>
      <c r="Y471" s="100"/>
      <c r="Z471" s="100"/>
      <c r="AA471" s="100"/>
      <c r="AB471" s="100"/>
      <c r="AC471" s="100"/>
      <c r="AD471" s="100"/>
      <c r="AG471">
        <f t="shared" ref="AG471:AG477" si="526">IF(OR($M41=0,$M41="NS",$M41="NA"),0,IF(OR(COUNTBLANK(D471:AD471)=14,COUNTBLANK(D471:AD471)=27),0,1))</f>
        <v>0</v>
      </c>
      <c r="AH471">
        <f t="shared" ref="AH471:AH477" si="527">IF(OR($M41=0,$M41="NS",$M41="NA"),IF(COUNTBLANK(S471:AD471)=12,0,1),0)</f>
        <v>0</v>
      </c>
      <c r="AK471">
        <f t="shared" ref="AK471:AK477" si="528">COUNTIF(T471:U471,"NS")</f>
        <v>0</v>
      </c>
      <c r="AL471">
        <f t="shared" ref="AL471:AL477" si="529">SUM(T471:U471)</f>
        <v>0</v>
      </c>
      <c r="AM471">
        <f t="shared" ref="AM471:AM477" si="530">IF(COUNTIF(S471:U471,"NA")=3,0,IF(COUNTA(S471:U471)=0,0,IF(OR(AND(S471=0,AK471&gt;0),AND(S471="ns",AL471&gt;0),AND(S471="ns",AK471=0,AL471=0)),1,IF(OR(AND(S471&gt;0,AK471=2),AND(S471="ns",AK471=2),AND(S471="ns",AL471=0,AK471&gt;0),S471=AL471),0,1))))</f>
        <v>0</v>
      </c>
      <c r="AN471">
        <f t="shared" ref="AN471:AN477" si="531">COUNTIF(W471:X471,"NS")</f>
        <v>0</v>
      </c>
      <c r="AO471">
        <f t="shared" ref="AO471:AO477" si="532">SUM(W471:X471)</f>
        <v>0</v>
      </c>
      <c r="AP471">
        <f t="shared" ref="AP471:AP477" si="533">IF(COUNTIF(V471:X471,"NA")=3,0,IF(COUNTA(V471:X471)=0,0,IF(OR(AND(V471=0,AN471&gt;0),AND(V471="ns",AO471&gt;0),AND(V471="ns",AN471=0,AO471=0)),1,IF(OR(AND(V471&gt;0,AN471=2),AND(V471="ns",AN471=2),AND(V471="ns",AO471=0,AN471&gt;0),V471=AO471),0,1))))</f>
        <v>0</v>
      </c>
      <c r="AQ471">
        <f t="shared" ref="AQ471:AQ477" si="534">COUNTIF(Z471:AA471,"NS")</f>
        <v>0</v>
      </c>
      <c r="AR471">
        <f t="shared" ref="AR471:AR477" si="535">SUM(Z471:AA471)</f>
        <v>0</v>
      </c>
      <c r="AS471">
        <f t="shared" ref="AS471:AS477" si="536">IF(COUNTIF(Y471:AA471,"NA")=3,0,IF(COUNTA(Y471:AA471)=0,0,IF(OR(AND(Y471=0,AQ471&gt;0),AND(Y471="ns",AR471&gt;0),AND(Y471="ns",AQ471=0,AR471=0)),1,IF(OR(AND(Y471&gt;0,AQ471=2),AND(Y471="ns",AQ471=2),AND(Y471="ns",AR471=0,AQ471&gt;0),Y471=AR471),0,1))))</f>
        <v>0</v>
      </c>
      <c r="AT471">
        <f t="shared" ref="AT471:AT477" si="537">COUNTIF(AC471:AD471,"NS")</f>
        <v>0</v>
      </c>
      <c r="AU471">
        <f t="shared" ref="AU471:AU477" si="538">SUM(AC471:AD471)</f>
        <v>0</v>
      </c>
      <c r="AV471">
        <f t="shared" ref="AV471:AV477" si="539">IF(COUNTIF(AB471:AD471,"NA")=3,0,IF(COUNTA(AB471:AD471)=0,0,IF(OR(AND(AB471=0,AT471&gt;0),AND(AB471="ns",AU471&gt;0),AND(AB471="ns",AT471=0,AU471=0)),1,IF(OR(AND(AB471&gt;0,AT471=2),AND(AB471="ns",AT471=2),AND(AB471="ns",AU471=0,AT471&gt;0),AB471=AU471),0,1))))</f>
        <v>0</v>
      </c>
      <c r="BF471">
        <f t="shared" ref="BF471:BF477" si="540">IF(OR($M41=0,$M41="NS",$M41="NA"),0,IF(AND(M41=S471,S41=T471,Y41=U471),0,1))</f>
        <v>0</v>
      </c>
    </row>
    <row r="472" spans="1:58" ht="15" customHeight="1">
      <c r="A472" s="186"/>
      <c r="B472" s="57"/>
      <c r="C472" s="98" t="s">
        <v>2518</v>
      </c>
      <c r="D472" s="813" t="str">
        <f>IF(CNSIPEE_2024_M2_Secc1!D44="","",CNSIPEE_2024_M2_Secc1!D44)</f>
        <v/>
      </c>
      <c r="E472" s="814"/>
      <c r="F472" s="814"/>
      <c r="G472" s="814"/>
      <c r="H472" s="814"/>
      <c r="I472" s="814"/>
      <c r="J472" s="814"/>
      <c r="K472" s="814"/>
      <c r="L472" s="814"/>
      <c r="M472" s="814"/>
      <c r="N472" s="814"/>
      <c r="O472" s="814"/>
      <c r="P472" s="814"/>
      <c r="Q472" s="814"/>
      <c r="R472" s="815"/>
      <c r="S472" s="100"/>
      <c r="T472" s="100"/>
      <c r="U472" s="100"/>
      <c r="V472" s="100"/>
      <c r="W472" s="100"/>
      <c r="X472" s="100"/>
      <c r="Y472" s="100"/>
      <c r="Z472" s="100"/>
      <c r="AA472" s="100"/>
      <c r="AB472" s="100"/>
      <c r="AC472" s="100"/>
      <c r="AD472" s="100"/>
      <c r="AG472">
        <f t="shared" si="526"/>
        <v>0</v>
      </c>
      <c r="AH472">
        <f t="shared" si="527"/>
        <v>0</v>
      </c>
      <c r="AK472">
        <f t="shared" si="528"/>
        <v>0</v>
      </c>
      <c r="AL472">
        <f t="shared" si="529"/>
        <v>0</v>
      </c>
      <c r="AM472">
        <f t="shared" si="530"/>
        <v>0</v>
      </c>
      <c r="AN472">
        <f t="shared" si="531"/>
        <v>0</v>
      </c>
      <c r="AO472">
        <f t="shared" si="532"/>
        <v>0</v>
      </c>
      <c r="AP472">
        <f t="shared" si="533"/>
        <v>0</v>
      </c>
      <c r="AQ472">
        <f t="shared" si="534"/>
        <v>0</v>
      </c>
      <c r="AR472">
        <f t="shared" si="535"/>
        <v>0</v>
      </c>
      <c r="AS472">
        <f t="shared" si="536"/>
        <v>0</v>
      </c>
      <c r="AT472">
        <f t="shared" si="537"/>
        <v>0</v>
      </c>
      <c r="AU472">
        <f t="shared" si="538"/>
        <v>0</v>
      </c>
      <c r="AV472">
        <f t="shared" si="539"/>
        <v>0</v>
      </c>
      <c r="BF472">
        <f t="shared" si="540"/>
        <v>0</v>
      </c>
    </row>
    <row r="473" spans="1:58" ht="15" customHeight="1">
      <c r="A473" s="186"/>
      <c r="B473" s="57"/>
      <c r="C473" s="98" t="s">
        <v>2519</v>
      </c>
      <c r="D473" s="813" t="str">
        <f>IF(CNSIPEE_2024_M2_Secc1!D45="","",CNSIPEE_2024_M2_Secc1!D45)</f>
        <v/>
      </c>
      <c r="E473" s="814"/>
      <c r="F473" s="814"/>
      <c r="G473" s="814"/>
      <c r="H473" s="814"/>
      <c r="I473" s="814"/>
      <c r="J473" s="814"/>
      <c r="K473" s="814"/>
      <c r="L473" s="814"/>
      <c r="M473" s="814"/>
      <c r="N473" s="814"/>
      <c r="O473" s="814"/>
      <c r="P473" s="814"/>
      <c r="Q473" s="814"/>
      <c r="R473" s="815"/>
      <c r="S473" s="100"/>
      <c r="T473" s="100"/>
      <c r="U473" s="100"/>
      <c r="V473" s="100"/>
      <c r="W473" s="100"/>
      <c r="X473" s="100"/>
      <c r="Y473" s="100"/>
      <c r="Z473" s="100"/>
      <c r="AA473" s="100"/>
      <c r="AB473" s="100"/>
      <c r="AC473" s="100"/>
      <c r="AD473" s="100"/>
      <c r="AG473">
        <f t="shared" si="526"/>
        <v>0</v>
      </c>
      <c r="AH473">
        <f t="shared" si="527"/>
        <v>0</v>
      </c>
      <c r="AK473">
        <f t="shared" si="528"/>
        <v>0</v>
      </c>
      <c r="AL473">
        <f t="shared" si="529"/>
        <v>0</v>
      </c>
      <c r="AM473">
        <f t="shared" si="530"/>
        <v>0</v>
      </c>
      <c r="AN473">
        <f t="shared" si="531"/>
        <v>0</v>
      </c>
      <c r="AO473">
        <f t="shared" si="532"/>
        <v>0</v>
      </c>
      <c r="AP473">
        <f t="shared" si="533"/>
        <v>0</v>
      </c>
      <c r="AQ473">
        <f t="shared" si="534"/>
        <v>0</v>
      </c>
      <c r="AR473">
        <f t="shared" si="535"/>
        <v>0</v>
      </c>
      <c r="AS473">
        <f t="shared" si="536"/>
        <v>0</v>
      </c>
      <c r="AT473">
        <f t="shared" si="537"/>
        <v>0</v>
      </c>
      <c r="AU473">
        <f t="shared" si="538"/>
        <v>0</v>
      </c>
      <c r="AV473">
        <f t="shared" si="539"/>
        <v>0</v>
      </c>
      <c r="BF473">
        <f t="shared" si="540"/>
        <v>0</v>
      </c>
    </row>
    <row r="474" spans="1:58" ht="15" customHeight="1">
      <c r="A474" s="186"/>
      <c r="B474" s="57"/>
      <c r="C474" s="98" t="s">
        <v>2520</v>
      </c>
      <c r="D474" s="813" t="str">
        <f>IF(CNSIPEE_2024_M2_Secc1!D46="","",CNSIPEE_2024_M2_Secc1!D46)</f>
        <v/>
      </c>
      <c r="E474" s="814"/>
      <c r="F474" s="814"/>
      <c r="G474" s="814"/>
      <c r="H474" s="814"/>
      <c r="I474" s="814"/>
      <c r="J474" s="814"/>
      <c r="K474" s="814"/>
      <c r="L474" s="814"/>
      <c r="M474" s="814"/>
      <c r="N474" s="814"/>
      <c r="O474" s="814"/>
      <c r="P474" s="814"/>
      <c r="Q474" s="814"/>
      <c r="R474" s="815"/>
      <c r="S474" s="100"/>
      <c r="T474" s="100"/>
      <c r="U474" s="100"/>
      <c r="V474" s="100"/>
      <c r="W474" s="100"/>
      <c r="X474" s="100"/>
      <c r="Y474" s="100"/>
      <c r="Z474" s="100"/>
      <c r="AA474" s="100"/>
      <c r="AB474" s="100"/>
      <c r="AC474" s="100"/>
      <c r="AD474" s="100"/>
      <c r="AG474">
        <f t="shared" si="526"/>
        <v>0</v>
      </c>
      <c r="AH474">
        <f t="shared" si="527"/>
        <v>0</v>
      </c>
      <c r="AK474">
        <f t="shared" si="528"/>
        <v>0</v>
      </c>
      <c r="AL474">
        <f t="shared" si="529"/>
        <v>0</v>
      </c>
      <c r="AM474">
        <f t="shared" si="530"/>
        <v>0</v>
      </c>
      <c r="AN474">
        <f t="shared" si="531"/>
        <v>0</v>
      </c>
      <c r="AO474">
        <f t="shared" si="532"/>
        <v>0</v>
      </c>
      <c r="AP474">
        <f t="shared" si="533"/>
        <v>0</v>
      </c>
      <c r="AQ474">
        <f t="shared" si="534"/>
        <v>0</v>
      </c>
      <c r="AR474">
        <f t="shared" si="535"/>
        <v>0</v>
      </c>
      <c r="AS474">
        <f t="shared" si="536"/>
        <v>0</v>
      </c>
      <c r="AT474">
        <f t="shared" si="537"/>
        <v>0</v>
      </c>
      <c r="AU474">
        <f t="shared" si="538"/>
        <v>0</v>
      </c>
      <c r="AV474">
        <f t="shared" si="539"/>
        <v>0</v>
      </c>
      <c r="BF474">
        <f t="shared" si="540"/>
        <v>0</v>
      </c>
    </row>
    <row r="475" spans="1:58" ht="15" customHeight="1">
      <c r="A475" s="186"/>
      <c r="B475" s="57"/>
      <c r="C475" s="98" t="s">
        <v>2521</v>
      </c>
      <c r="D475" s="813" t="str">
        <f>IF(CNSIPEE_2024_M2_Secc1!D47="","",CNSIPEE_2024_M2_Secc1!D47)</f>
        <v/>
      </c>
      <c r="E475" s="814"/>
      <c r="F475" s="814"/>
      <c r="G475" s="814"/>
      <c r="H475" s="814"/>
      <c r="I475" s="814"/>
      <c r="J475" s="814"/>
      <c r="K475" s="814"/>
      <c r="L475" s="814"/>
      <c r="M475" s="814"/>
      <c r="N475" s="814"/>
      <c r="O475" s="814"/>
      <c r="P475" s="814"/>
      <c r="Q475" s="814"/>
      <c r="R475" s="815"/>
      <c r="S475" s="100"/>
      <c r="T475" s="100"/>
      <c r="U475" s="100"/>
      <c r="V475" s="100"/>
      <c r="W475" s="100"/>
      <c r="X475" s="100"/>
      <c r="Y475" s="100"/>
      <c r="Z475" s="100"/>
      <c r="AA475" s="100"/>
      <c r="AB475" s="100"/>
      <c r="AC475" s="100"/>
      <c r="AD475" s="100"/>
      <c r="AG475">
        <f t="shared" si="526"/>
        <v>0</v>
      </c>
      <c r="AH475">
        <f t="shared" si="527"/>
        <v>0</v>
      </c>
      <c r="AK475">
        <f t="shared" si="528"/>
        <v>0</v>
      </c>
      <c r="AL475">
        <f t="shared" si="529"/>
        <v>0</v>
      </c>
      <c r="AM475">
        <f t="shared" si="530"/>
        <v>0</v>
      </c>
      <c r="AN475">
        <f t="shared" si="531"/>
        <v>0</v>
      </c>
      <c r="AO475">
        <f t="shared" si="532"/>
        <v>0</v>
      </c>
      <c r="AP475">
        <f t="shared" si="533"/>
        <v>0</v>
      </c>
      <c r="AQ475">
        <f t="shared" si="534"/>
        <v>0</v>
      </c>
      <c r="AR475">
        <f t="shared" si="535"/>
        <v>0</v>
      </c>
      <c r="AS475">
        <f t="shared" si="536"/>
        <v>0</v>
      </c>
      <c r="AT475">
        <f t="shared" si="537"/>
        <v>0</v>
      </c>
      <c r="AU475">
        <f t="shared" si="538"/>
        <v>0</v>
      </c>
      <c r="AV475">
        <f t="shared" si="539"/>
        <v>0</v>
      </c>
      <c r="BF475">
        <f t="shared" si="540"/>
        <v>0</v>
      </c>
    </row>
    <row r="476" spans="1:58" ht="15" customHeight="1">
      <c r="A476" s="186"/>
      <c r="B476" s="57"/>
      <c r="C476" s="98" t="s">
        <v>2522</v>
      </c>
      <c r="D476" s="813" t="str">
        <f>IF(CNSIPEE_2024_M2_Secc1!D48="","",CNSIPEE_2024_M2_Secc1!D48)</f>
        <v/>
      </c>
      <c r="E476" s="814"/>
      <c r="F476" s="814"/>
      <c r="G476" s="814"/>
      <c r="H476" s="814"/>
      <c r="I476" s="814"/>
      <c r="J476" s="814"/>
      <c r="K476" s="814"/>
      <c r="L476" s="814"/>
      <c r="M476" s="814"/>
      <c r="N476" s="814"/>
      <c r="O476" s="814"/>
      <c r="P476" s="814"/>
      <c r="Q476" s="814"/>
      <c r="R476" s="815"/>
      <c r="S476" s="100"/>
      <c r="T476" s="100"/>
      <c r="U476" s="100"/>
      <c r="V476" s="100"/>
      <c r="W476" s="100"/>
      <c r="X476" s="100"/>
      <c r="Y476" s="100"/>
      <c r="Z476" s="100"/>
      <c r="AA476" s="100"/>
      <c r="AB476" s="100"/>
      <c r="AC476" s="100"/>
      <c r="AD476" s="100"/>
      <c r="AG476">
        <f t="shared" si="526"/>
        <v>0</v>
      </c>
      <c r="AH476">
        <f t="shared" si="527"/>
        <v>0</v>
      </c>
      <c r="AK476">
        <f t="shared" si="528"/>
        <v>0</v>
      </c>
      <c r="AL476">
        <f t="shared" si="529"/>
        <v>0</v>
      </c>
      <c r="AM476">
        <f t="shared" si="530"/>
        <v>0</v>
      </c>
      <c r="AN476">
        <f t="shared" si="531"/>
        <v>0</v>
      </c>
      <c r="AO476">
        <f t="shared" si="532"/>
        <v>0</v>
      </c>
      <c r="AP476">
        <f t="shared" si="533"/>
        <v>0</v>
      </c>
      <c r="AQ476">
        <f t="shared" si="534"/>
        <v>0</v>
      </c>
      <c r="AR476">
        <f t="shared" si="535"/>
        <v>0</v>
      </c>
      <c r="AS476">
        <f t="shared" si="536"/>
        <v>0</v>
      </c>
      <c r="AT476">
        <f t="shared" si="537"/>
        <v>0</v>
      </c>
      <c r="AU476">
        <f t="shared" si="538"/>
        <v>0</v>
      </c>
      <c r="AV476">
        <f t="shared" si="539"/>
        <v>0</v>
      </c>
      <c r="BF476">
        <f t="shared" si="540"/>
        <v>0</v>
      </c>
    </row>
    <row r="477" spans="1:58" ht="15" customHeight="1">
      <c r="A477" s="186"/>
      <c r="B477" s="57"/>
      <c r="C477" s="98" t="s">
        <v>2523</v>
      </c>
      <c r="D477" s="813" t="str">
        <f>IF(CNSIPEE_2024_M2_Secc1!D49="","",CNSIPEE_2024_M2_Secc1!D49)</f>
        <v/>
      </c>
      <c r="E477" s="814"/>
      <c r="F477" s="814"/>
      <c r="G477" s="814"/>
      <c r="H477" s="814"/>
      <c r="I477" s="814"/>
      <c r="J477" s="814"/>
      <c r="K477" s="814"/>
      <c r="L477" s="814"/>
      <c r="M477" s="814"/>
      <c r="N477" s="814"/>
      <c r="O477" s="814"/>
      <c r="P477" s="814"/>
      <c r="Q477" s="814"/>
      <c r="R477" s="815"/>
      <c r="S477" s="100"/>
      <c r="T477" s="100"/>
      <c r="U477" s="100"/>
      <c r="V477" s="100"/>
      <c r="W477" s="100"/>
      <c r="X477" s="100"/>
      <c r="Y477" s="100"/>
      <c r="Z477" s="100"/>
      <c r="AA477" s="100"/>
      <c r="AB477" s="100"/>
      <c r="AC477" s="100"/>
      <c r="AD477" s="100"/>
      <c r="AG477">
        <f t="shared" si="526"/>
        <v>0</v>
      </c>
      <c r="AH477">
        <f t="shared" si="527"/>
        <v>0</v>
      </c>
      <c r="AK477">
        <f t="shared" si="528"/>
        <v>0</v>
      </c>
      <c r="AL477">
        <f t="shared" si="529"/>
        <v>0</v>
      </c>
      <c r="AM477">
        <f t="shared" si="530"/>
        <v>0</v>
      </c>
      <c r="AN477">
        <f t="shared" si="531"/>
        <v>0</v>
      </c>
      <c r="AO477">
        <f t="shared" si="532"/>
        <v>0</v>
      </c>
      <c r="AP477">
        <f t="shared" si="533"/>
        <v>0</v>
      </c>
      <c r="AQ477">
        <f t="shared" si="534"/>
        <v>0</v>
      </c>
      <c r="AR477">
        <f t="shared" si="535"/>
        <v>0</v>
      </c>
      <c r="AS477">
        <f t="shared" si="536"/>
        <v>0</v>
      </c>
      <c r="AT477">
        <f t="shared" si="537"/>
        <v>0</v>
      </c>
      <c r="AU477">
        <f t="shared" si="538"/>
        <v>0</v>
      </c>
      <c r="AV477">
        <f t="shared" si="539"/>
        <v>0</v>
      </c>
      <c r="BF477">
        <f t="shared" si="540"/>
        <v>0</v>
      </c>
    </row>
    <row r="478" spans="1:58" ht="15" customHeight="1">
      <c r="A478" s="186"/>
      <c r="B478" s="57"/>
      <c r="C478" s="70"/>
      <c r="D478" s="84"/>
      <c r="E478" s="84"/>
      <c r="F478" s="84"/>
      <c r="G478" s="84"/>
      <c r="H478" s="84"/>
      <c r="I478" s="84"/>
      <c r="J478" s="84"/>
      <c r="K478" s="84"/>
      <c r="L478" s="84"/>
      <c r="M478" s="84"/>
      <c r="N478" s="84"/>
      <c r="O478" s="84"/>
      <c r="P478" s="84"/>
      <c r="Q478" s="84"/>
      <c r="R478" s="117" t="s">
        <v>2649</v>
      </c>
      <c r="S478" s="124">
        <f t="shared" ref="S478:AD478" si="541">IF(AND(SUM(S470:S477)=0,COUNTIF(S470:S477,"NS")&gt;0),"NS",IF(AND(SUM(S470:S477)=0,COUNTIF(S470:S477,0)&gt;0),0,IF(AND(SUM(S470:S477)=0,COUNTIF(S470:S477,"NA")&gt;0),"NA",SUM(S470:S477))))</f>
        <v>0</v>
      </c>
      <c r="T478" s="124">
        <f t="shared" si="541"/>
        <v>0</v>
      </c>
      <c r="U478" s="124">
        <f t="shared" si="541"/>
        <v>0</v>
      </c>
      <c r="V478" s="124">
        <f t="shared" si="541"/>
        <v>0</v>
      </c>
      <c r="W478" s="124">
        <f t="shared" si="541"/>
        <v>0</v>
      </c>
      <c r="X478" s="124">
        <f t="shared" si="541"/>
        <v>0</v>
      </c>
      <c r="Y478" s="124">
        <f t="shared" si="541"/>
        <v>0</v>
      </c>
      <c r="Z478" s="124">
        <f t="shared" si="541"/>
        <v>0</v>
      </c>
      <c r="AA478" s="124">
        <f t="shared" si="541"/>
        <v>0</v>
      </c>
      <c r="AB478" s="124">
        <f t="shared" si="541"/>
        <v>0</v>
      </c>
      <c r="AC478" s="124">
        <f t="shared" si="541"/>
        <v>0</v>
      </c>
      <c r="AD478" s="124">
        <f t="shared" si="541"/>
        <v>0</v>
      </c>
      <c r="AG478" s="507">
        <f>SUM(AG470:AG477)</f>
        <v>0</v>
      </c>
      <c r="AH478" s="507">
        <f>SUM(AH470:AH477)</f>
        <v>0</v>
      </c>
      <c r="AK478">
        <f>SUM(AK470:AK477)</f>
        <v>0</v>
      </c>
      <c r="AM478">
        <f>SUM(AM470:AM477)</f>
        <v>0</v>
      </c>
      <c r="AN478">
        <f>SUM(AN470:AN477)</f>
        <v>0</v>
      </c>
      <c r="AP478">
        <f>SUM(AP470:AP477)</f>
        <v>0</v>
      </c>
      <c r="AQ478">
        <f>SUM(AQ470:AQ477)</f>
        <v>0</v>
      </c>
      <c r="AS478">
        <f>SUM(AS470:AS477)</f>
        <v>0</v>
      </c>
      <c r="AT478">
        <f>SUM(AT470:AT477)</f>
        <v>0</v>
      </c>
      <c r="AV478">
        <f>SUM(AV470:AV477)</f>
        <v>0</v>
      </c>
      <c r="BF478" s="506">
        <f>SUM(BF470:BF477)</f>
        <v>0</v>
      </c>
    </row>
    <row r="479" spans="1:58" ht="15" customHeight="1">
      <c r="A479" s="108"/>
      <c r="B479" s="38"/>
      <c r="C479" s="38"/>
      <c r="D479" s="38"/>
      <c r="E479" s="38"/>
      <c r="F479" s="38"/>
      <c r="G479" s="38"/>
      <c r="H479" s="38"/>
      <c r="I479" s="38"/>
      <c r="J479" s="38"/>
      <c r="K479" s="38"/>
      <c r="L479" s="117"/>
      <c r="M479" s="141"/>
      <c r="N479" s="141"/>
      <c r="O479" s="70"/>
      <c r="P479" s="70"/>
      <c r="Q479" s="70"/>
      <c r="R479" s="70"/>
      <c r="S479" s="141"/>
      <c r="T479" s="141"/>
      <c r="U479" s="70"/>
      <c r="V479" s="70"/>
      <c r="W479" s="141"/>
      <c r="X479" s="141"/>
      <c r="Y479" s="70"/>
      <c r="Z479" s="70"/>
      <c r="AA479" s="141"/>
      <c r="AB479" s="141"/>
      <c r="AC479" s="70"/>
      <c r="AD479" s="70"/>
      <c r="AG479" s="57"/>
      <c r="AH479" s="57"/>
      <c r="AI479" s="57"/>
      <c r="AJ479" s="57"/>
      <c r="AK479" t="s">
        <v>2650</v>
      </c>
      <c r="AL479" s="506">
        <f>SUM(AM478,AP478,AS478,AV478)</f>
        <v>0</v>
      </c>
      <c r="AM479" t="s">
        <v>2651</v>
      </c>
      <c r="AN479">
        <f>SUM(AK478,AN478,AQ478,AT478)</f>
        <v>0</v>
      </c>
      <c r="AO479" s="57"/>
      <c r="AP479" s="57"/>
      <c r="AQ479" s="57"/>
      <c r="AR479" s="57"/>
      <c r="AS479" s="57"/>
      <c r="AT479" s="57"/>
      <c r="AU479" s="57"/>
      <c r="AV479" s="57"/>
      <c r="AW479" s="57"/>
      <c r="AX479" s="57"/>
      <c r="AY479" s="57"/>
      <c r="AZ479" s="57"/>
      <c r="BA479" s="57"/>
      <c r="BB479" s="57"/>
      <c r="BC479" s="57"/>
      <c r="BD479" s="57"/>
      <c r="BE479" s="57"/>
      <c r="BF479" s="57"/>
    </row>
    <row r="480" spans="1:58" ht="24" customHeight="1">
      <c r="A480" s="108"/>
      <c r="B480" s="38"/>
      <c r="C480" s="754" t="s">
        <v>2611</v>
      </c>
      <c r="D480" s="754"/>
      <c r="E480" s="754"/>
      <c r="F480" s="754"/>
      <c r="G480" s="754"/>
      <c r="H480" s="754"/>
      <c r="I480" s="754"/>
      <c r="J480" s="754"/>
      <c r="K480" s="754"/>
      <c r="L480" s="754"/>
      <c r="M480" s="754"/>
      <c r="N480" s="754"/>
      <c r="O480" s="754"/>
      <c r="P480" s="754"/>
      <c r="Q480" s="754"/>
      <c r="R480" s="754"/>
      <c r="S480" s="754"/>
      <c r="T480" s="754"/>
      <c r="U480" s="754"/>
      <c r="V480" s="754"/>
      <c r="W480" s="754"/>
      <c r="X480" s="754"/>
      <c r="Y480" s="754"/>
      <c r="Z480" s="754"/>
      <c r="AA480" s="754"/>
      <c r="AB480" s="754"/>
      <c r="AC480" s="754"/>
      <c r="AD480" s="754"/>
      <c r="AG480" s="38"/>
      <c r="AH480" s="38"/>
      <c r="AI480" s="57"/>
      <c r="AJ480" s="57"/>
      <c r="AK480" t="s">
        <v>2652</v>
      </c>
      <c r="AL480" s="507">
        <f>IF(AN479&gt;0,IF(SUM(S478)&gt;=SUM(V478,Y478,AB478),0,1),IF(SUM(S478)&lt;&gt;SUM(V478,Y478,AB478),1,0))</f>
        <v>0</v>
      </c>
      <c r="AM480" t="s">
        <v>2653</v>
      </c>
      <c r="AN480" s="507">
        <f>IF(AN479&gt;0,IF(SUM(T478)&gt;=SUM(W478,Z478,AC478),0,1),IF(SUM(T478)&lt;&gt;SUM(W478,Z478,AC478),1,0))</f>
        <v>0</v>
      </c>
      <c r="AO480" t="s">
        <v>2654</v>
      </c>
      <c r="AP480" s="507">
        <f>IF(AN479&gt;0,IF(SUM(U478)&gt;=SUM(X478,AA478,AD478),0,1),IF(SUM(U478)&lt;&gt;SUM(X478,AA478,AD478),1,0))</f>
        <v>0</v>
      </c>
      <c r="AQ480" s="57"/>
      <c r="AR480" s="57"/>
      <c r="AS480" s="57"/>
      <c r="AT480" s="57"/>
      <c r="AU480" s="57"/>
      <c r="AV480" s="57"/>
      <c r="AW480" s="57"/>
      <c r="AX480" s="57"/>
      <c r="AY480" s="57"/>
      <c r="AZ480" s="57"/>
      <c r="BA480" s="57"/>
      <c r="BB480" s="57"/>
      <c r="BC480" s="57"/>
      <c r="BD480" s="57"/>
      <c r="BE480" s="57"/>
      <c r="BF480" s="57"/>
    </row>
    <row r="481" spans="1:58" ht="60" customHeight="1">
      <c r="A481" s="108"/>
      <c r="B481" s="38"/>
      <c r="C481" s="851"/>
      <c r="D481" s="851"/>
      <c r="E481" s="851"/>
      <c r="F481" s="851"/>
      <c r="G481" s="851"/>
      <c r="H481" s="851"/>
      <c r="I481" s="851"/>
      <c r="J481" s="851"/>
      <c r="K481" s="851"/>
      <c r="L481" s="851"/>
      <c r="M481" s="851"/>
      <c r="N481" s="851"/>
      <c r="O481" s="851"/>
      <c r="P481" s="851"/>
      <c r="Q481" s="851"/>
      <c r="R481" s="851"/>
      <c r="S481" s="851"/>
      <c r="T481" s="851"/>
      <c r="U481" s="851"/>
      <c r="V481" s="851"/>
      <c r="W481" s="851"/>
      <c r="X481" s="851"/>
      <c r="Y481" s="851"/>
      <c r="Z481" s="851"/>
      <c r="AA481" s="851"/>
      <c r="AB481" s="851"/>
      <c r="AC481" s="851"/>
      <c r="AD481" s="851"/>
    </row>
    <row r="482" spans="1:58" ht="15" customHeight="1">
      <c r="A482" s="176"/>
      <c r="B482" s="794" t="str">
        <f>IF(AG478=0,"","Favor de ingresar toda la información requerida en la pregunta")</f>
        <v/>
      </c>
      <c r="C482" s="794"/>
      <c r="D482" s="794"/>
      <c r="E482" s="794"/>
      <c r="F482" s="794"/>
      <c r="G482" s="794"/>
      <c r="H482" s="794"/>
      <c r="I482" s="794"/>
      <c r="J482" s="794"/>
      <c r="K482" s="794"/>
      <c r="L482" s="794"/>
      <c r="M482" s="794"/>
      <c r="N482" s="794"/>
      <c r="O482" s="794"/>
      <c r="P482" s="794"/>
      <c r="Q482" s="794"/>
      <c r="R482" s="794"/>
      <c r="S482" s="794"/>
      <c r="T482" s="794"/>
      <c r="U482" s="794"/>
      <c r="V482" s="794"/>
      <c r="W482" s="794"/>
      <c r="X482" s="794"/>
      <c r="Y482" s="794"/>
      <c r="Z482" s="794"/>
      <c r="AA482" s="794"/>
      <c r="AB482" s="794"/>
      <c r="AC482" s="794"/>
      <c r="AD482" s="794"/>
      <c r="AE482" s="794"/>
    </row>
    <row r="483" spans="1:58" ht="15" customHeight="1">
      <c r="A483" s="176"/>
      <c r="B483" s="1087" t="str">
        <f>IF(COUNTIF(S470:AD477,"NS")&lt;&gt;0,"Alerta: debido a que cuenta con registros NS, debe proporcionar una justificación en el area de comentarios al final de la pregunta","")</f>
        <v/>
      </c>
      <c r="C483" s="1087"/>
      <c r="D483" s="1087"/>
      <c r="E483" s="1087"/>
      <c r="F483" s="1087"/>
      <c r="G483" s="1087"/>
      <c r="H483" s="1087"/>
      <c r="I483" s="1087"/>
      <c r="J483" s="1087"/>
      <c r="K483" s="1087"/>
      <c r="L483" s="1087"/>
      <c r="M483" s="1087"/>
      <c r="N483" s="1087"/>
      <c r="O483" s="1087"/>
      <c r="P483" s="1087"/>
      <c r="Q483" s="1087"/>
      <c r="R483" s="1087"/>
      <c r="S483" s="1087"/>
      <c r="T483" s="1087"/>
      <c r="U483" s="1087"/>
      <c r="V483" s="1087"/>
      <c r="W483" s="1087"/>
      <c r="X483" s="1087"/>
      <c r="Y483" s="1087"/>
      <c r="Z483" s="1087"/>
      <c r="AA483" s="1087"/>
      <c r="AB483" s="1087"/>
      <c r="AC483" s="1087"/>
      <c r="AD483" s="1087"/>
      <c r="AE483" s="1087"/>
    </row>
    <row r="484" spans="1:58" ht="15" customHeight="1">
      <c r="A484" s="176"/>
      <c r="B484" s="1003" t="str">
        <f>IF(AH478&gt;0,"Revise la información capturada, ya que tiene datos ingresados en celdas que están sombreadas","")</f>
        <v/>
      </c>
      <c r="C484" s="1003"/>
      <c r="D484" s="1003"/>
      <c r="E484" s="1003"/>
      <c r="F484" s="1003"/>
      <c r="G484" s="1003"/>
      <c r="H484" s="1003"/>
      <c r="I484" s="1003"/>
      <c r="J484" s="1003"/>
      <c r="K484" s="1003"/>
      <c r="L484" s="1003"/>
      <c r="M484" s="1003"/>
      <c r="N484" s="1003"/>
      <c r="O484" s="1003"/>
      <c r="P484" s="1003"/>
      <c r="Q484" s="1003"/>
      <c r="R484" s="1003"/>
      <c r="S484" s="1003"/>
      <c r="T484" s="1003"/>
      <c r="U484" s="1003"/>
      <c r="V484" s="1003"/>
      <c r="W484" s="1003"/>
      <c r="X484" s="1003"/>
      <c r="Y484" s="1003"/>
      <c r="Z484" s="1003"/>
      <c r="AA484" s="1003"/>
      <c r="AB484" s="1003"/>
      <c r="AC484" s="1003"/>
      <c r="AD484" s="1003"/>
      <c r="AE484" s="1003"/>
    </row>
    <row r="485" spans="1:58" ht="15" customHeight="1">
      <c r="A485" s="176"/>
      <c r="B485" s="1003" t="str">
        <f>IF(OR(AL479&gt;0,AL480&gt;0,AN480&gt;0,AP480&gt;0),"Favor de revisar la suma y consistencia de totales y/o subtotales por filas (numéricos y NS)","")</f>
        <v/>
      </c>
      <c r="C485" s="1003"/>
      <c r="D485" s="1003"/>
      <c r="E485" s="1003"/>
      <c r="F485" s="1003"/>
      <c r="G485" s="1003"/>
      <c r="H485" s="1003"/>
      <c r="I485" s="1003"/>
      <c r="J485" s="1003"/>
      <c r="K485" s="1003"/>
      <c r="L485" s="1003"/>
      <c r="M485" s="1003"/>
      <c r="N485" s="1003"/>
      <c r="O485" s="1003"/>
      <c r="P485" s="1003"/>
      <c r="Q485" s="1003"/>
      <c r="R485" s="1003"/>
      <c r="S485" s="1003"/>
      <c r="T485" s="1003"/>
      <c r="U485" s="1003"/>
      <c r="V485" s="1003"/>
      <c r="W485" s="1003"/>
      <c r="X485" s="1003"/>
      <c r="Y485" s="1003"/>
      <c r="Z485" s="1003"/>
      <c r="AA485" s="1003"/>
      <c r="AB485" s="1003"/>
      <c r="AC485" s="1003"/>
      <c r="AD485" s="1003"/>
      <c r="AE485" s="1003"/>
    </row>
    <row r="486" spans="1:58" ht="15" customHeight="1">
      <c r="A486" s="176"/>
      <c r="B486" s="1003" t="str">
        <f>IF(BF478=0,"","Las cantidades de Hombres y Mujeres por centro especializado debe corresponder con los datos reportados en la preg. 8.1")</f>
        <v/>
      </c>
      <c r="C486" s="1003"/>
      <c r="D486" s="1003"/>
      <c r="E486" s="1003"/>
      <c r="F486" s="1003"/>
      <c r="G486" s="1003"/>
      <c r="H486" s="1003"/>
      <c r="I486" s="1003"/>
      <c r="J486" s="1003"/>
      <c r="K486" s="1003"/>
      <c r="L486" s="1003"/>
      <c r="M486" s="1003"/>
      <c r="N486" s="1003"/>
      <c r="O486" s="1003"/>
      <c r="P486" s="1003"/>
      <c r="Q486" s="1003"/>
      <c r="R486" s="1003"/>
      <c r="S486" s="1003"/>
      <c r="T486" s="1003"/>
      <c r="U486" s="1003"/>
      <c r="V486" s="1003"/>
      <c r="W486" s="1003"/>
      <c r="X486" s="1003"/>
      <c r="Y486" s="1003"/>
      <c r="Z486" s="1003"/>
      <c r="AA486" s="1003"/>
      <c r="AB486" s="1003"/>
      <c r="AC486" s="1003"/>
      <c r="AD486" s="1003"/>
      <c r="AE486" s="1003"/>
    </row>
    <row r="487" spans="1:58" ht="15" customHeight="1">
      <c r="A487" s="176"/>
      <c r="B487" s="105"/>
      <c r="C487" s="105"/>
      <c r="D487" s="105"/>
      <c r="E487" s="105"/>
      <c r="F487" s="105"/>
      <c r="G487" s="105"/>
      <c r="H487" s="105"/>
      <c r="I487" s="105"/>
      <c r="J487" s="105"/>
      <c r="K487" s="105"/>
      <c r="L487" s="105"/>
      <c r="M487" s="105"/>
      <c r="N487" s="105"/>
      <c r="O487" s="105"/>
      <c r="P487" s="105"/>
      <c r="Q487" s="105"/>
      <c r="R487" s="105"/>
      <c r="S487" s="105"/>
      <c r="T487" s="105"/>
      <c r="U487" s="105"/>
      <c r="V487" s="105"/>
      <c r="W487" s="105"/>
      <c r="X487" s="105"/>
      <c r="Y487" s="105"/>
      <c r="Z487" s="105"/>
      <c r="AA487" s="105"/>
      <c r="AB487" s="105"/>
      <c r="AC487" s="105"/>
      <c r="AD487" s="105"/>
    </row>
    <row r="488" spans="1:58" ht="36" customHeight="1">
      <c r="A488" s="49" t="s">
        <v>5265</v>
      </c>
      <c r="B488" s="829" t="s">
        <v>5266</v>
      </c>
      <c r="C488" s="829"/>
      <c r="D488" s="829"/>
      <c r="E488" s="829"/>
      <c r="F488" s="829"/>
      <c r="G488" s="829"/>
      <c r="H488" s="829"/>
      <c r="I488" s="829"/>
      <c r="J488" s="829"/>
      <c r="K488" s="829"/>
      <c r="L488" s="829"/>
      <c r="M488" s="829"/>
      <c r="N488" s="829"/>
      <c r="O488" s="829"/>
      <c r="P488" s="829"/>
      <c r="Q488" s="829"/>
      <c r="R488" s="829"/>
      <c r="S488" s="829"/>
      <c r="T488" s="829"/>
      <c r="U488" s="829"/>
      <c r="V488" s="829"/>
      <c r="W488" s="829"/>
      <c r="X488" s="829"/>
      <c r="Y488" s="829"/>
      <c r="Z488" s="829"/>
      <c r="AA488" s="829"/>
      <c r="AB488" s="829"/>
      <c r="AC488" s="829"/>
      <c r="AD488" s="829"/>
    </row>
    <row r="489" spans="1:58" ht="15" customHeight="1">
      <c r="A489" s="176"/>
      <c r="B489" s="57"/>
      <c r="C489" s="57"/>
      <c r="D489" s="57"/>
      <c r="E489" s="57"/>
      <c r="F489" s="57"/>
      <c r="G489" s="57"/>
      <c r="H489" s="57"/>
      <c r="I489" s="57"/>
      <c r="J489" s="57"/>
      <c r="K489" s="57"/>
      <c r="L489" s="57"/>
      <c r="M489" s="57"/>
      <c r="N489" s="57"/>
      <c r="O489" s="57"/>
      <c r="P489" s="57"/>
      <c r="Q489" s="57"/>
      <c r="R489" s="57"/>
      <c r="S489" s="57"/>
      <c r="T489" s="57"/>
      <c r="U489" s="57"/>
      <c r="V489" s="57"/>
      <c r="W489" s="57"/>
      <c r="X489" s="57"/>
      <c r="Y489" s="57"/>
      <c r="Z489" s="57"/>
      <c r="AA489" s="57"/>
      <c r="AB489" s="57"/>
      <c r="AC489" s="57"/>
      <c r="AD489" s="57"/>
    </row>
    <row r="490" spans="1:58" ht="36" customHeight="1">
      <c r="A490" s="108"/>
      <c r="B490" s="38"/>
      <c r="C490" s="797" t="s">
        <v>2581</v>
      </c>
      <c r="D490" s="798"/>
      <c r="E490" s="798"/>
      <c r="F490" s="798"/>
      <c r="G490" s="798"/>
      <c r="H490" s="798"/>
      <c r="I490" s="798"/>
      <c r="J490" s="798"/>
      <c r="K490" s="798"/>
      <c r="L490" s="798"/>
      <c r="M490" s="798"/>
      <c r="N490" s="798"/>
      <c r="O490" s="798"/>
      <c r="P490" s="798"/>
      <c r="Q490" s="798"/>
      <c r="R490" s="799"/>
      <c r="S490" s="739" t="s">
        <v>5267</v>
      </c>
      <c r="T490" s="740"/>
      <c r="U490" s="740"/>
      <c r="V490" s="740"/>
      <c r="W490" s="740"/>
      <c r="X490" s="740"/>
      <c r="Y490" s="740"/>
      <c r="Z490" s="740"/>
      <c r="AA490" s="740"/>
      <c r="AB490" s="740"/>
      <c r="AC490" s="740"/>
      <c r="AD490" s="741"/>
    </row>
    <row r="491" spans="1:58" ht="48" customHeight="1">
      <c r="A491" s="108"/>
      <c r="B491" s="38"/>
      <c r="C491" s="800"/>
      <c r="D491" s="801"/>
      <c r="E491" s="801"/>
      <c r="F491" s="801"/>
      <c r="G491" s="801"/>
      <c r="H491" s="801"/>
      <c r="I491" s="801"/>
      <c r="J491" s="801"/>
      <c r="K491" s="801"/>
      <c r="L491" s="801"/>
      <c r="M491" s="801"/>
      <c r="N491" s="801"/>
      <c r="O491" s="801"/>
      <c r="P491" s="801"/>
      <c r="Q491" s="801"/>
      <c r="R491" s="802"/>
      <c r="S491" s="887" t="s">
        <v>2628</v>
      </c>
      <c r="T491" s="889" t="s">
        <v>2629</v>
      </c>
      <c r="U491" s="889" t="s">
        <v>2630</v>
      </c>
      <c r="V491" s="733" t="s">
        <v>4669</v>
      </c>
      <c r="W491" s="734"/>
      <c r="X491" s="735"/>
      <c r="Y491" s="733" t="s">
        <v>4670</v>
      </c>
      <c r="Z491" s="734"/>
      <c r="AA491" s="735"/>
      <c r="AB491" s="733" t="s">
        <v>201</v>
      </c>
      <c r="AC491" s="734"/>
      <c r="AD491" s="735"/>
    </row>
    <row r="492" spans="1:58" ht="48" customHeight="1">
      <c r="A492" s="108"/>
      <c r="B492" s="38"/>
      <c r="C492" s="803"/>
      <c r="D492" s="804"/>
      <c r="E492" s="804"/>
      <c r="F492" s="804"/>
      <c r="G492" s="804"/>
      <c r="H492" s="804"/>
      <c r="I492" s="804"/>
      <c r="J492" s="804"/>
      <c r="K492" s="804"/>
      <c r="L492" s="804"/>
      <c r="M492" s="804"/>
      <c r="N492" s="804"/>
      <c r="O492" s="804"/>
      <c r="P492" s="804"/>
      <c r="Q492" s="804"/>
      <c r="R492" s="805"/>
      <c r="S492" s="888"/>
      <c r="T492" s="890"/>
      <c r="U492" s="890"/>
      <c r="V492" s="171" t="s">
        <v>2635</v>
      </c>
      <c r="W492" s="128" t="s">
        <v>2629</v>
      </c>
      <c r="X492" s="128" t="s">
        <v>2630</v>
      </c>
      <c r="Y492" s="171" t="s">
        <v>2635</v>
      </c>
      <c r="Z492" s="128" t="s">
        <v>2629</v>
      </c>
      <c r="AA492" s="128" t="s">
        <v>2630</v>
      </c>
      <c r="AB492" s="171" t="s">
        <v>2635</v>
      </c>
      <c r="AC492" s="128" t="s">
        <v>2629</v>
      </c>
      <c r="AD492" s="128" t="s">
        <v>2630</v>
      </c>
      <c r="AG492" t="s">
        <v>2586</v>
      </c>
      <c r="AH492" t="s">
        <v>4581</v>
      </c>
      <c r="AK492" t="s">
        <v>4573</v>
      </c>
      <c r="AL492" t="s">
        <v>2638</v>
      </c>
      <c r="AM492" t="s">
        <v>2639</v>
      </c>
      <c r="AN492" t="s">
        <v>4574</v>
      </c>
      <c r="AO492" t="s">
        <v>2641</v>
      </c>
      <c r="AP492" t="s">
        <v>2642</v>
      </c>
      <c r="AQ492" t="s">
        <v>4575</v>
      </c>
      <c r="AR492" t="s">
        <v>2644</v>
      </c>
      <c r="AS492" t="s">
        <v>2645</v>
      </c>
      <c r="AT492" t="s">
        <v>4576</v>
      </c>
      <c r="AU492" t="s">
        <v>2647</v>
      </c>
      <c r="AV492" t="s">
        <v>2648</v>
      </c>
      <c r="BF492" t="s">
        <v>4582</v>
      </c>
    </row>
    <row r="493" spans="1:58" ht="15" customHeight="1">
      <c r="A493" s="108"/>
      <c r="B493" s="38"/>
      <c r="C493" s="97" t="s">
        <v>2516</v>
      </c>
      <c r="D493" s="813" t="str">
        <f>IF(CNSIPEE_2024_M2_Secc1!D42="","",CNSIPEE_2024_M2_Secc1!D42)</f>
        <v/>
      </c>
      <c r="E493" s="814"/>
      <c r="F493" s="814"/>
      <c r="G493" s="814"/>
      <c r="H493" s="814"/>
      <c r="I493" s="814"/>
      <c r="J493" s="814"/>
      <c r="K493" s="814"/>
      <c r="L493" s="814"/>
      <c r="M493" s="814"/>
      <c r="N493" s="814"/>
      <c r="O493" s="814"/>
      <c r="P493" s="814"/>
      <c r="Q493" s="814"/>
      <c r="R493" s="815"/>
      <c r="S493" s="100"/>
      <c r="T493" s="100"/>
      <c r="U493" s="100"/>
      <c r="V493" s="100"/>
      <c r="W493" s="100"/>
      <c r="X493" s="100"/>
      <c r="Y493" s="100"/>
      <c r="Z493" s="100"/>
      <c r="AA493" s="100"/>
      <c r="AB493" s="100"/>
      <c r="AC493" s="100"/>
      <c r="AD493" s="100"/>
      <c r="AG493">
        <f>IF(OR($M40=0,$M40="NS",$M40="NA"),0,IF(OR(COUNTBLANK(D493:AD493)=14,COUNTBLANK(D493:AD493)=27),0,1))</f>
        <v>0</v>
      </c>
      <c r="AH493">
        <f>IF(OR($M40=0,$M40="NS",$M40="NA"),IF(COUNTBLANK(S493:AD493)=12,0,1),0)</f>
        <v>0</v>
      </c>
      <c r="AK493">
        <f t="shared" ref="AK493" si="542">COUNTIF(T493:U493,"NS")</f>
        <v>0</v>
      </c>
      <c r="AL493">
        <f t="shared" ref="AL493" si="543">SUM(T493:U493)</f>
        <v>0</v>
      </c>
      <c r="AM493">
        <f>IF(COUNTIF(S493:U493,"NA")=3,0,IF(COUNTA(S493:U493)=0,0,IF(OR(AND(S493=0,AK493&gt;0),AND(S493="ns",AL493&gt;0),AND(S493="ns",AK493=0,AL493=0)),1,IF(OR(AND(S493&gt;0,AK493=2),AND(S493="ns",AK493=2),AND(S493="ns",AL493=0,AK493&gt;0),S493=AL493),0,1))))</f>
        <v>0</v>
      </c>
      <c r="AN493">
        <f t="shared" ref="AN493" si="544">COUNTIF(W493:X493,"NS")</f>
        <v>0</v>
      </c>
      <c r="AO493">
        <f t="shared" ref="AO493" si="545">SUM(W493:X493)</f>
        <v>0</v>
      </c>
      <c r="AP493">
        <f t="shared" ref="AP493" si="546">IF(COUNTIF(V493:X493,"NA")=3,0,IF(COUNTA(V493:X493)=0,0,IF(OR(AND(V493=0,AN493&gt;0),AND(V493="ns",AO493&gt;0),AND(V493="ns",AN493=0,AO493=0)),1,IF(OR(AND(V493&gt;0,AN493=2),AND(V493="ns",AN493=2),AND(V493="ns",AO493=0,AN493&gt;0),V493=AO493),0,1))))</f>
        <v>0</v>
      </c>
      <c r="AQ493">
        <f t="shared" ref="AQ493" si="547">COUNTIF(Z493:AA493,"NS")</f>
        <v>0</v>
      </c>
      <c r="AR493">
        <f t="shared" ref="AR493" si="548">SUM(Z493:AA493)</f>
        <v>0</v>
      </c>
      <c r="AS493">
        <f t="shared" ref="AS493" si="549">IF(COUNTIF(Y493:AA493,"NA")=3,0,IF(COUNTA(Y493:AA493)=0,0,IF(OR(AND(Y493=0,AQ493&gt;0),AND(Y493="ns",AR493&gt;0),AND(Y493="ns",AQ493=0,AR493=0)),1,IF(OR(AND(Y493&gt;0,AQ493=2),AND(Y493="ns",AQ493=2),AND(Y493="ns",AR493=0,AQ493&gt;0),Y493=AR493),0,1))))</f>
        <v>0</v>
      </c>
      <c r="AT493">
        <f t="shared" ref="AT493" si="550">COUNTIF(AC493:AD493,"NS")</f>
        <v>0</v>
      </c>
      <c r="AU493">
        <f t="shared" ref="AU493" si="551">SUM(AC493:AD493)</f>
        <v>0</v>
      </c>
      <c r="AV493">
        <f t="shared" ref="AV493" si="552">IF(COUNTIF(AB493:AD493,"NA")=3,0,IF(COUNTA(AB493:AD493)=0,0,IF(OR(AND(AB493=0,AT493&gt;0),AND(AB493="ns",AU493&gt;0),AND(AB493="ns",AT493=0,AU493=0)),1,IF(OR(AND(AB493&gt;0,AT493=2),AND(AB493="ns",AT493=2),AND(AB493="ns",AU493=0,AT493&gt;0),AB493=AU493),0,1))))</f>
        <v>0</v>
      </c>
      <c r="BF493">
        <f>IF(OR($M40=0,$M40="NS",$M40="NA"),0,IF(AND(M40=S493,S40=T493,Y40=U493),0,1))</f>
        <v>0</v>
      </c>
    </row>
    <row r="494" spans="1:58" ht="15" customHeight="1">
      <c r="A494" s="108"/>
      <c r="B494" s="38"/>
      <c r="C494" s="98" t="s">
        <v>2517</v>
      </c>
      <c r="D494" s="813" t="str">
        <f>IF(CNSIPEE_2024_M2_Secc1!D43="","",CNSIPEE_2024_M2_Secc1!D43)</f>
        <v/>
      </c>
      <c r="E494" s="814"/>
      <c r="F494" s="814"/>
      <c r="G494" s="814"/>
      <c r="H494" s="814"/>
      <c r="I494" s="814"/>
      <c r="J494" s="814"/>
      <c r="K494" s="814"/>
      <c r="L494" s="814"/>
      <c r="M494" s="814"/>
      <c r="N494" s="814"/>
      <c r="O494" s="814"/>
      <c r="P494" s="814"/>
      <c r="Q494" s="814"/>
      <c r="R494" s="815"/>
      <c r="S494" s="100"/>
      <c r="T494" s="100"/>
      <c r="U494" s="100"/>
      <c r="V494" s="100"/>
      <c r="W494" s="100"/>
      <c r="X494" s="100"/>
      <c r="Y494" s="100"/>
      <c r="Z494" s="100"/>
      <c r="AA494" s="100"/>
      <c r="AB494" s="100"/>
      <c r="AC494" s="100"/>
      <c r="AD494" s="100"/>
      <c r="AG494">
        <f t="shared" ref="AG494:AG500" si="553">IF(OR($M41=0,$M41="NS",$M41="NA"),0,IF(OR(COUNTBLANK(D494:AD494)=14,COUNTBLANK(D494:AD494)=27),0,1))</f>
        <v>0</v>
      </c>
      <c r="AH494">
        <f>IF(OR($M41=0,$M41="NS",$M41="NA"),IF(COUNTBLANK(S494:AD494)=12,0,1),0)</f>
        <v>0</v>
      </c>
      <c r="AK494">
        <f t="shared" ref="AK494:AK500" si="554">COUNTIF(T494:U494,"NS")</f>
        <v>0</v>
      </c>
      <c r="AL494">
        <f t="shared" ref="AL494:AL500" si="555">SUM(T494:U494)</f>
        <v>0</v>
      </c>
      <c r="AM494">
        <f t="shared" ref="AM494:AM500" si="556">IF(COUNTIF(S494:U494,"NA")=3,0,IF(COUNTA(S494:U494)=0,0,IF(OR(AND(S494=0,AK494&gt;0),AND(S494="ns",AL494&gt;0),AND(S494="ns",AK494=0,AL494=0)),1,IF(OR(AND(S494&gt;0,AK494=2),AND(S494="ns",AK494=2),AND(S494="ns",AL494=0,AK494&gt;0),S494=AL494),0,1))))</f>
        <v>0</v>
      </c>
      <c r="AN494">
        <f t="shared" ref="AN494:AN500" si="557">COUNTIF(W494:X494,"NS")</f>
        <v>0</v>
      </c>
      <c r="AO494">
        <f t="shared" ref="AO494:AO500" si="558">SUM(W494:X494)</f>
        <v>0</v>
      </c>
      <c r="AP494">
        <f t="shared" ref="AP494:AP500" si="559">IF(COUNTIF(V494:X494,"NA")=3,0,IF(COUNTA(V494:X494)=0,0,IF(OR(AND(V494=0,AN494&gt;0),AND(V494="ns",AO494&gt;0),AND(V494="ns",AN494=0,AO494=0)),1,IF(OR(AND(V494&gt;0,AN494=2),AND(V494="ns",AN494=2),AND(V494="ns",AO494=0,AN494&gt;0),V494=AO494),0,1))))</f>
        <v>0</v>
      </c>
      <c r="AQ494">
        <f t="shared" ref="AQ494:AQ500" si="560">COUNTIF(Z494:AA494,"NS")</f>
        <v>0</v>
      </c>
      <c r="AR494">
        <f t="shared" ref="AR494:AR500" si="561">SUM(Z494:AA494)</f>
        <v>0</v>
      </c>
      <c r="AS494">
        <f t="shared" ref="AS494:AS500" si="562">IF(COUNTIF(Y494:AA494,"NA")=3,0,IF(COUNTA(Y494:AA494)=0,0,IF(OR(AND(Y494=0,AQ494&gt;0),AND(Y494="ns",AR494&gt;0),AND(Y494="ns",AQ494=0,AR494=0)),1,IF(OR(AND(Y494&gt;0,AQ494=2),AND(Y494="ns",AQ494=2),AND(Y494="ns",AR494=0,AQ494&gt;0),Y494=AR494),0,1))))</f>
        <v>0</v>
      </c>
      <c r="AT494">
        <f t="shared" ref="AT494:AT500" si="563">COUNTIF(AC494:AD494,"NS")</f>
        <v>0</v>
      </c>
      <c r="AU494">
        <f t="shared" ref="AU494:AU500" si="564">SUM(AC494:AD494)</f>
        <v>0</v>
      </c>
      <c r="AV494">
        <f t="shared" ref="AV494:AV500" si="565">IF(COUNTIF(AB494:AD494,"NA")=3,0,IF(COUNTA(AB494:AD494)=0,0,IF(OR(AND(AB494=0,AT494&gt;0),AND(AB494="ns",AU494&gt;0),AND(AB494="ns",AT494=0,AU494=0)),1,IF(OR(AND(AB494&gt;0,AT494=2),AND(AB494="ns",AT494=2),AND(AB494="ns",AU494=0,AT494&gt;0),AB494=AU494),0,1))))</f>
        <v>0</v>
      </c>
      <c r="BF494">
        <f t="shared" ref="BF494:BF500" si="566">IF(OR($M41=0,$M41="NS",$M41="NA"),0,IF(AND(M41=S494,S41=T494,Y41=U494),0,1))</f>
        <v>0</v>
      </c>
    </row>
    <row r="495" spans="1:58" ht="15" customHeight="1">
      <c r="A495" s="186"/>
      <c r="B495" s="57"/>
      <c r="C495" s="98" t="s">
        <v>2518</v>
      </c>
      <c r="D495" s="813" t="str">
        <f>IF(CNSIPEE_2024_M2_Secc1!D44="","",CNSIPEE_2024_M2_Secc1!D44)</f>
        <v/>
      </c>
      <c r="E495" s="814"/>
      <c r="F495" s="814"/>
      <c r="G495" s="814"/>
      <c r="H495" s="814"/>
      <c r="I495" s="814"/>
      <c r="J495" s="814"/>
      <c r="K495" s="814"/>
      <c r="L495" s="814"/>
      <c r="M495" s="814"/>
      <c r="N495" s="814"/>
      <c r="O495" s="814"/>
      <c r="P495" s="814"/>
      <c r="Q495" s="814"/>
      <c r="R495" s="815"/>
      <c r="S495" s="100"/>
      <c r="T495" s="100"/>
      <c r="U495" s="100"/>
      <c r="V495" s="100"/>
      <c r="W495" s="100"/>
      <c r="X495" s="100"/>
      <c r="Y495" s="100"/>
      <c r="Z495" s="100"/>
      <c r="AA495" s="100"/>
      <c r="AB495" s="100"/>
      <c r="AC495" s="100"/>
      <c r="AD495" s="100"/>
      <c r="AG495">
        <f t="shared" si="553"/>
        <v>0</v>
      </c>
      <c r="AH495">
        <f t="shared" ref="AH495:AH500" si="567">IF(OR($M42=0,$M42="NS",$M42="NA"),IF(COUNTBLANK(S495:AD495)=12,0,1),0)</f>
        <v>0</v>
      </c>
      <c r="AK495">
        <f t="shared" si="554"/>
        <v>0</v>
      </c>
      <c r="AL495">
        <f t="shared" si="555"/>
        <v>0</v>
      </c>
      <c r="AM495">
        <f t="shared" si="556"/>
        <v>0</v>
      </c>
      <c r="AN495">
        <f t="shared" si="557"/>
        <v>0</v>
      </c>
      <c r="AO495">
        <f t="shared" si="558"/>
        <v>0</v>
      </c>
      <c r="AP495">
        <f t="shared" si="559"/>
        <v>0</v>
      </c>
      <c r="AQ495">
        <f t="shared" si="560"/>
        <v>0</v>
      </c>
      <c r="AR495">
        <f t="shared" si="561"/>
        <v>0</v>
      </c>
      <c r="AS495">
        <f t="shared" si="562"/>
        <v>0</v>
      </c>
      <c r="AT495">
        <f t="shared" si="563"/>
        <v>0</v>
      </c>
      <c r="AU495">
        <f t="shared" si="564"/>
        <v>0</v>
      </c>
      <c r="AV495">
        <f t="shared" si="565"/>
        <v>0</v>
      </c>
      <c r="BF495">
        <f t="shared" si="566"/>
        <v>0</v>
      </c>
    </row>
    <row r="496" spans="1:58" ht="15" customHeight="1">
      <c r="A496" s="186"/>
      <c r="B496" s="57"/>
      <c r="C496" s="98" t="s">
        <v>2519</v>
      </c>
      <c r="D496" s="813" t="str">
        <f>IF(CNSIPEE_2024_M2_Secc1!D45="","",CNSIPEE_2024_M2_Secc1!D45)</f>
        <v/>
      </c>
      <c r="E496" s="814"/>
      <c r="F496" s="814"/>
      <c r="G496" s="814"/>
      <c r="H496" s="814"/>
      <c r="I496" s="814"/>
      <c r="J496" s="814"/>
      <c r="K496" s="814"/>
      <c r="L496" s="814"/>
      <c r="M496" s="814"/>
      <c r="N496" s="814"/>
      <c r="O496" s="814"/>
      <c r="P496" s="814"/>
      <c r="Q496" s="814"/>
      <c r="R496" s="815"/>
      <c r="S496" s="100"/>
      <c r="T496" s="100"/>
      <c r="U496" s="100"/>
      <c r="V496" s="100"/>
      <c r="W496" s="100"/>
      <c r="X496" s="100"/>
      <c r="Y496" s="100"/>
      <c r="Z496" s="100"/>
      <c r="AA496" s="100"/>
      <c r="AB496" s="100"/>
      <c r="AC496" s="100"/>
      <c r="AD496" s="100"/>
      <c r="AG496">
        <f t="shared" si="553"/>
        <v>0</v>
      </c>
      <c r="AH496">
        <f t="shared" si="567"/>
        <v>0</v>
      </c>
      <c r="AK496">
        <f t="shared" si="554"/>
        <v>0</v>
      </c>
      <c r="AL496">
        <f t="shared" si="555"/>
        <v>0</v>
      </c>
      <c r="AM496">
        <f t="shared" si="556"/>
        <v>0</v>
      </c>
      <c r="AN496">
        <f t="shared" si="557"/>
        <v>0</v>
      </c>
      <c r="AO496">
        <f t="shared" si="558"/>
        <v>0</v>
      </c>
      <c r="AP496">
        <f t="shared" si="559"/>
        <v>0</v>
      </c>
      <c r="AQ496">
        <f t="shared" si="560"/>
        <v>0</v>
      </c>
      <c r="AR496">
        <f t="shared" si="561"/>
        <v>0</v>
      </c>
      <c r="AS496">
        <f t="shared" si="562"/>
        <v>0</v>
      </c>
      <c r="AT496">
        <f t="shared" si="563"/>
        <v>0</v>
      </c>
      <c r="AU496">
        <f t="shared" si="564"/>
        <v>0</v>
      </c>
      <c r="AV496">
        <f t="shared" si="565"/>
        <v>0</v>
      </c>
      <c r="BF496">
        <f t="shared" si="566"/>
        <v>0</v>
      </c>
    </row>
    <row r="497" spans="1:58" ht="15" customHeight="1">
      <c r="A497" s="186"/>
      <c r="B497" s="57"/>
      <c r="C497" s="98" t="s">
        <v>2520</v>
      </c>
      <c r="D497" s="813" t="str">
        <f>IF(CNSIPEE_2024_M2_Secc1!D46="","",CNSIPEE_2024_M2_Secc1!D46)</f>
        <v/>
      </c>
      <c r="E497" s="814"/>
      <c r="F497" s="814"/>
      <c r="G497" s="814"/>
      <c r="H497" s="814"/>
      <c r="I497" s="814"/>
      <c r="J497" s="814"/>
      <c r="K497" s="814"/>
      <c r="L497" s="814"/>
      <c r="M497" s="814"/>
      <c r="N497" s="814"/>
      <c r="O497" s="814"/>
      <c r="P497" s="814"/>
      <c r="Q497" s="814"/>
      <c r="R497" s="815"/>
      <c r="S497" s="100"/>
      <c r="T497" s="100"/>
      <c r="U497" s="100"/>
      <c r="V497" s="100"/>
      <c r="W497" s="100"/>
      <c r="X497" s="100"/>
      <c r="Y497" s="100"/>
      <c r="Z497" s="100"/>
      <c r="AA497" s="100"/>
      <c r="AB497" s="100"/>
      <c r="AC497" s="100"/>
      <c r="AD497" s="100"/>
      <c r="AG497">
        <f t="shared" si="553"/>
        <v>0</v>
      </c>
      <c r="AH497">
        <f t="shared" si="567"/>
        <v>0</v>
      </c>
      <c r="AK497">
        <f t="shared" si="554"/>
        <v>0</v>
      </c>
      <c r="AL497">
        <f t="shared" si="555"/>
        <v>0</v>
      </c>
      <c r="AM497">
        <f t="shared" si="556"/>
        <v>0</v>
      </c>
      <c r="AN497">
        <f t="shared" si="557"/>
        <v>0</v>
      </c>
      <c r="AO497">
        <f t="shared" si="558"/>
        <v>0</v>
      </c>
      <c r="AP497">
        <f t="shared" si="559"/>
        <v>0</v>
      </c>
      <c r="AQ497">
        <f t="shared" si="560"/>
        <v>0</v>
      </c>
      <c r="AR497">
        <f t="shared" si="561"/>
        <v>0</v>
      </c>
      <c r="AS497">
        <f t="shared" si="562"/>
        <v>0</v>
      </c>
      <c r="AT497">
        <f t="shared" si="563"/>
        <v>0</v>
      </c>
      <c r="AU497">
        <f t="shared" si="564"/>
        <v>0</v>
      </c>
      <c r="AV497">
        <f t="shared" si="565"/>
        <v>0</v>
      </c>
      <c r="BF497">
        <f t="shared" si="566"/>
        <v>0</v>
      </c>
    </row>
    <row r="498" spans="1:58" ht="15" customHeight="1">
      <c r="A498" s="186"/>
      <c r="B498" s="57"/>
      <c r="C498" s="98" t="s">
        <v>2521</v>
      </c>
      <c r="D498" s="813" t="str">
        <f>IF(CNSIPEE_2024_M2_Secc1!D47="","",CNSIPEE_2024_M2_Secc1!D47)</f>
        <v/>
      </c>
      <c r="E498" s="814"/>
      <c r="F498" s="814"/>
      <c r="G498" s="814"/>
      <c r="H498" s="814"/>
      <c r="I498" s="814"/>
      <c r="J498" s="814"/>
      <c r="K498" s="814"/>
      <c r="L498" s="814"/>
      <c r="M498" s="814"/>
      <c r="N498" s="814"/>
      <c r="O498" s="814"/>
      <c r="P498" s="814"/>
      <c r="Q498" s="814"/>
      <c r="R498" s="815"/>
      <c r="S498" s="100"/>
      <c r="T498" s="100"/>
      <c r="U498" s="100"/>
      <c r="V498" s="100"/>
      <c r="W498" s="100"/>
      <c r="X498" s="100"/>
      <c r="Y498" s="100"/>
      <c r="Z498" s="100"/>
      <c r="AA498" s="100"/>
      <c r="AB498" s="100"/>
      <c r="AC498" s="100"/>
      <c r="AD498" s="100"/>
      <c r="AG498">
        <f t="shared" si="553"/>
        <v>0</v>
      </c>
      <c r="AH498">
        <f t="shared" si="567"/>
        <v>0</v>
      </c>
      <c r="AK498">
        <f t="shared" si="554"/>
        <v>0</v>
      </c>
      <c r="AL498">
        <f t="shared" si="555"/>
        <v>0</v>
      </c>
      <c r="AM498">
        <f t="shared" si="556"/>
        <v>0</v>
      </c>
      <c r="AN498">
        <f t="shared" si="557"/>
        <v>0</v>
      </c>
      <c r="AO498">
        <f t="shared" si="558"/>
        <v>0</v>
      </c>
      <c r="AP498">
        <f t="shared" si="559"/>
        <v>0</v>
      </c>
      <c r="AQ498">
        <f t="shared" si="560"/>
        <v>0</v>
      </c>
      <c r="AR498">
        <f t="shared" si="561"/>
        <v>0</v>
      </c>
      <c r="AS498">
        <f t="shared" si="562"/>
        <v>0</v>
      </c>
      <c r="AT498">
        <f t="shared" si="563"/>
        <v>0</v>
      </c>
      <c r="AU498">
        <f t="shared" si="564"/>
        <v>0</v>
      </c>
      <c r="AV498">
        <f t="shared" si="565"/>
        <v>0</v>
      </c>
      <c r="BF498">
        <f t="shared" si="566"/>
        <v>0</v>
      </c>
    </row>
    <row r="499" spans="1:58" ht="15" customHeight="1">
      <c r="A499" s="186"/>
      <c r="B499" s="57"/>
      <c r="C499" s="98" t="s">
        <v>2522</v>
      </c>
      <c r="D499" s="813" t="str">
        <f>IF(CNSIPEE_2024_M2_Secc1!D48="","",CNSIPEE_2024_M2_Secc1!D48)</f>
        <v/>
      </c>
      <c r="E499" s="814"/>
      <c r="F499" s="814"/>
      <c r="G499" s="814"/>
      <c r="H499" s="814"/>
      <c r="I499" s="814"/>
      <c r="J499" s="814"/>
      <c r="K499" s="814"/>
      <c r="L499" s="814"/>
      <c r="M499" s="814"/>
      <c r="N499" s="814"/>
      <c r="O499" s="814"/>
      <c r="P499" s="814"/>
      <c r="Q499" s="814"/>
      <c r="R499" s="815"/>
      <c r="S499" s="100"/>
      <c r="T499" s="100"/>
      <c r="U499" s="100"/>
      <c r="V499" s="100"/>
      <c r="W499" s="100"/>
      <c r="X499" s="100"/>
      <c r="Y499" s="100"/>
      <c r="Z499" s="100"/>
      <c r="AA499" s="100"/>
      <c r="AB499" s="100"/>
      <c r="AC499" s="100"/>
      <c r="AD499" s="100"/>
      <c r="AG499">
        <f t="shared" si="553"/>
        <v>0</v>
      </c>
      <c r="AH499">
        <f t="shared" si="567"/>
        <v>0</v>
      </c>
      <c r="AK499">
        <f t="shared" si="554"/>
        <v>0</v>
      </c>
      <c r="AL499">
        <f t="shared" si="555"/>
        <v>0</v>
      </c>
      <c r="AM499">
        <f t="shared" si="556"/>
        <v>0</v>
      </c>
      <c r="AN499">
        <f t="shared" si="557"/>
        <v>0</v>
      </c>
      <c r="AO499">
        <f t="shared" si="558"/>
        <v>0</v>
      </c>
      <c r="AP499">
        <f t="shared" si="559"/>
        <v>0</v>
      </c>
      <c r="AQ499">
        <f t="shared" si="560"/>
        <v>0</v>
      </c>
      <c r="AR499">
        <f t="shared" si="561"/>
        <v>0</v>
      </c>
      <c r="AS499">
        <f t="shared" si="562"/>
        <v>0</v>
      </c>
      <c r="AT499">
        <f t="shared" si="563"/>
        <v>0</v>
      </c>
      <c r="AU499">
        <f t="shared" si="564"/>
        <v>0</v>
      </c>
      <c r="AV499">
        <f t="shared" si="565"/>
        <v>0</v>
      </c>
      <c r="BF499">
        <f t="shared" si="566"/>
        <v>0</v>
      </c>
    </row>
    <row r="500" spans="1:58" ht="15" customHeight="1">
      <c r="A500" s="186"/>
      <c r="B500" s="57"/>
      <c r="C500" s="98" t="s">
        <v>2523</v>
      </c>
      <c r="D500" s="813" t="str">
        <f>IF(CNSIPEE_2024_M2_Secc1!D49="","",CNSIPEE_2024_M2_Secc1!D49)</f>
        <v/>
      </c>
      <c r="E500" s="814"/>
      <c r="F500" s="814"/>
      <c r="G500" s="814"/>
      <c r="H500" s="814"/>
      <c r="I500" s="814"/>
      <c r="J500" s="814"/>
      <c r="K500" s="814"/>
      <c r="L500" s="814"/>
      <c r="M500" s="814"/>
      <c r="N500" s="814"/>
      <c r="O500" s="814"/>
      <c r="P500" s="814"/>
      <c r="Q500" s="814"/>
      <c r="R500" s="815"/>
      <c r="S500" s="100"/>
      <c r="T500" s="100"/>
      <c r="U500" s="100"/>
      <c r="V500" s="100"/>
      <c r="W500" s="100"/>
      <c r="X500" s="100"/>
      <c r="Y500" s="100"/>
      <c r="Z500" s="100"/>
      <c r="AA500" s="100"/>
      <c r="AB500" s="100"/>
      <c r="AC500" s="100"/>
      <c r="AD500" s="100"/>
      <c r="AG500">
        <f t="shared" si="553"/>
        <v>0</v>
      </c>
      <c r="AH500">
        <f t="shared" si="567"/>
        <v>0</v>
      </c>
      <c r="AK500">
        <f t="shared" si="554"/>
        <v>0</v>
      </c>
      <c r="AL500">
        <f t="shared" si="555"/>
        <v>0</v>
      </c>
      <c r="AM500">
        <f t="shared" si="556"/>
        <v>0</v>
      </c>
      <c r="AN500">
        <f t="shared" si="557"/>
        <v>0</v>
      </c>
      <c r="AO500">
        <f t="shared" si="558"/>
        <v>0</v>
      </c>
      <c r="AP500">
        <f t="shared" si="559"/>
        <v>0</v>
      </c>
      <c r="AQ500">
        <f t="shared" si="560"/>
        <v>0</v>
      </c>
      <c r="AR500">
        <f t="shared" si="561"/>
        <v>0</v>
      </c>
      <c r="AS500">
        <f t="shared" si="562"/>
        <v>0</v>
      </c>
      <c r="AT500">
        <f t="shared" si="563"/>
        <v>0</v>
      </c>
      <c r="AU500">
        <f t="shared" si="564"/>
        <v>0</v>
      </c>
      <c r="AV500">
        <f t="shared" si="565"/>
        <v>0</v>
      </c>
      <c r="BF500">
        <f t="shared" si="566"/>
        <v>0</v>
      </c>
    </row>
    <row r="501" spans="1:58" ht="15" customHeight="1">
      <c r="A501" s="186"/>
      <c r="B501" s="57"/>
      <c r="C501" s="70"/>
      <c r="D501" s="84"/>
      <c r="E501" s="84"/>
      <c r="F501" s="84"/>
      <c r="G501" s="84"/>
      <c r="H501" s="84"/>
      <c r="I501" s="84"/>
      <c r="J501" s="84"/>
      <c r="K501" s="84"/>
      <c r="L501" s="84"/>
      <c r="M501" s="84"/>
      <c r="N501" s="84"/>
      <c r="O501" s="84"/>
      <c r="P501" s="84"/>
      <c r="Q501" s="84"/>
      <c r="R501" s="117" t="s">
        <v>2649</v>
      </c>
      <c r="S501" s="124">
        <f t="shared" ref="S501:AD501" si="568">IF(AND(SUM(S493:S500)=0,COUNTIF(S493:S500,"NS")&gt;0),"NS",IF(AND(SUM(S493:S500)=0,COUNTIF(S493:S500,0)&gt;0),0,IF(AND(SUM(S493:S500)=0,COUNTIF(S493:S500,"NA")&gt;0),"NA",SUM(S493:S500))))</f>
        <v>0</v>
      </c>
      <c r="T501" s="124">
        <f t="shared" si="568"/>
        <v>0</v>
      </c>
      <c r="U501" s="124">
        <f t="shared" si="568"/>
        <v>0</v>
      </c>
      <c r="V501" s="124">
        <f t="shared" si="568"/>
        <v>0</v>
      </c>
      <c r="W501" s="124">
        <f t="shared" si="568"/>
        <v>0</v>
      </c>
      <c r="X501" s="124">
        <f t="shared" si="568"/>
        <v>0</v>
      </c>
      <c r="Y501" s="124">
        <f t="shared" si="568"/>
        <v>0</v>
      </c>
      <c r="Z501" s="124">
        <f t="shared" si="568"/>
        <v>0</v>
      </c>
      <c r="AA501" s="124">
        <f t="shared" si="568"/>
        <v>0</v>
      </c>
      <c r="AB501" s="124">
        <f t="shared" si="568"/>
        <v>0</v>
      </c>
      <c r="AC501" s="124">
        <f t="shared" si="568"/>
        <v>0</v>
      </c>
      <c r="AD501" s="124">
        <f t="shared" si="568"/>
        <v>0</v>
      </c>
      <c r="AG501" s="507">
        <f>SUM(AG493:AG500)</f>
        <v>0</v>
      </c>
      <c r="AH501" s="507">
        <f>SUM(AH493:AH500)</f>
        <v>0</v>
      </c>
      <c r="AK501">
        <f>SUM(AK493:AK500)</f>
        <v>0</v>
      </c>
      <c r="AM501">
        <f>SUM(AM493:AM500)</f>
        <v>0</v>
      </c>
      <c r="AN501">
        <f>SUM(AN493:AN500)</f>
        <v>0</v>
      </c>
      <c r="AP501">
        <f>SUM(AP493:AP500)</f>
        <v>0</v>
      </c>
      <c r="AQ501">
        <f>SUM(AQ493:AQ500)</f>
        <v>0</v>
      </c>
      <c r="AS501">
        <f>SUM(AS493:AS500)</f>
        <v>0</v>
      </c>
      <c r="AT501">
        <f>SUM(AT493:AT500)</f>
        <v>0</v>
      </c>
      <c r="AV501">
        <f>SUM(AV493:AV500)</f>
        <v>0</v>
      </c>
      <c r="BF501" s="506">
        <f>SUM(BF493:BF500)</f>
        <v>0</v>
      </c>
    </row>
    <row r="502" spans="1:58" ht="15" customHeight="1">
      <c r="A502" s="108"/>
      <c r="B502" s="38"/>
      <c r="C502" s="38"/>
      <c r="D502" s="38"/>
      <c r="E502" s="38"/>
      <c r="F502" s="38"/>
      <c r="G502" s="38"/>
      <c r="H502" s="38"/>
      <c r="I502" s="38"/>
      <c r="J502" s="38"/>
      <c r="K502" s="38"/>
      <c r="L502" s="117"/>
      <c r="M502" s="141"/>
      <c r="N502" s="141"/>
      <c r="O502" s="70"/>
      <c r="P502" s="70"/>
      <c r="Q502" s="70"/>
      <c r="R502" s="70"/>
      <c r="S502" s="141"/>
      <c r="T502" s="141"/>
      <c r="U502" s="70"/>
      <c r="V502" s="70"/>
      <c r="W502" s="141"/>
      <c r="X502" s="141"/>
      <c r="Y502" s="70"/>
      <c r="Z502" s="70"/>
      <c r="AA502" s="141"/>
      <c r="AB502" s="141"/>
      <c r="AC502" s="70"/>
      <c r="AD502" s="70"/>
      <c r="AG502" s="57"/>
      <c r="AH502" s="57"/>
      <c r="AI502" s="57"/>
      <c r="AJ502" s="57"/>
      <c r="AK502" t="s">
        <v>2650</v>
      </c>
      <c r="AL502" s="506">
        <f>SUM(AM501,AP501,AS501,AV501)</f>
        <v>0</v>
      </c>
      <c r="AM502" t="s">
        <v>2651</v>
      </c>
      <c r="AN502">
        <f>SUM(AK501,AN501,AQ501,AT501)</f>
        <v>0</v>
      </c>
      <c r="AO502" s="57"/>
      <c r="AP502" s="57"/>
      <c r="AQ502" s="57"/>
      <c r="AR502" s="57"/>
      <c r="AS502" s="57"/>
      <c r="AT502" s="57"/>
      <c r="AU502" s="57"/>
      <c r="AV502" s="57"/>
      <c r="AW502" s="57"/>
      <c r="AX502" s="57"/>
      <c r="AY502" s="57"/>
      <c r="AZ502" s="57"/>
      <c r="BA502" s="57"/>
      <c r="BB502" s="57"/>
      <c r="BC502" s="57"/>
      <c r="BD502" s="57"/>
      <c r="BE502" s="57"/>
      <c r="BF502" s="57"/>
    </row>
    <row r="503" spans="1:58" ht="24" customHeight="1">
      <c r="A503" s="108"/>
      <c r="B503" s="38"/>
      <c r="C503" s="754" t="s">
        <v>2611</v>
      </c>
      <c r="D503" s="754"/>
      <c r="E503" s="754"/>
      <c r="F503" s="754"/>
      <c r="G503" s="754"/>
      <c r="H503" s="754"/>
      <c r="I503" s="754"/>
      <c r="J503" s="754"/>
      <c r="K503" s="754"/>
      <c r="L503" s="754"/>
      <c r="M503" s="754"/>
      <c r="N503" s="754"/>
      <c r="O503" s="754"/>
      <c r="P503" s="754"/>
      <c r="Q503" s="754"/>
      <c r="R503" s="754"/>
      <c r="S503" s="754"/>
      <c r="T503" s="754"/>
      <c r="U503" s="754"/>
      <c r="V503" s="754"/>
      <c r="W503" s="754"/>
      <c r="X503" s="754"/>
      <c r="Y503" s="754"/>
      <c r="Z503" s="754"/>
      <c r="AA503" s="754"/>
      <c r="AB503" s="754"/>
      <c r="AC503" s="754"/>
      <c r="AD503" s="754"/>
      <c r="AG503" s="38"/>
      <c r="AH503" s="38"/>
      <c r="AI503" s="57"/>
      <c r="AJ503" s="57"/>
      <c r="AK503" t="s">
        <v>2652</v>
      </c>
      <c r="AL503" s="507">
        <f>IF(AN502&gt;0,IF(SUM(S501)&gt;=SUM(V501,Y501,AB501),0,1),IF(SUM(S501)&lt;&gt;SUM(V501,Y501,AB501),1,0))</f>
        <v>0</v>
      </c>
      <c r="AM503" t="s">
        <v>2653</v>
      </c>
      <c r="AN503" s="507">
        <f>IF(AN502&gt;0,IF(SUM(T501)&gt;=SUM(W501,Z501,AC501),0,1),IF(SUM(T501)&lt;&gt;SUM(W501,Z501,AC501),1,0))</f>
        <v>0</v>
      </c>
      <c r="AO503" t="s">
        <v>2654</v>
      </c>
      <c r="AP503" s="507">
        <f>IF(AN502&gt;0,IF(SUM(U501)&gt;=SUM(X501,AA501,AD501),0,1),IF(SUM(U501)&lt;&gt;SUM(X501,AA501,AD501),1,0))</f>
        <v>0</v>
      </c>
      <c r="AQ503" s="57"/>
      <c r="AR503" s="57"/>
      <c r="AS503" s="57"/>
      <c r="AT503" s="57"/>
      <c r="AU503" s="57"/>
      <c r="AV503" s="57"/>
      <c r="AW503" s="57"/>
      <c r="AX503" s="57"/>
      <c r="AY503" s="57"/>
      <c r="AZ503" s="57"/>
      <c r="BA503" s="57"/>
      <c r="BB503" s="57"/>
      <c r="BC503" s="57"/>
      <c r="BD503" s="57"/>
      <c r="BE503" s="57"/>
      <c r="BF503" s="57"/>
    </row>
    <row r="504" spans="1:58" ht="60" customHeight="1">
      <c r="A504" s="108"/>
      <c r="B504" s="38"/>
      <c r="C504" s="851"/>
      <c r="D504" s="851"/>
      <c r="E504" s="851"/>
      <c r="F504" s="851"/>
      <c r="G504" s="851"/>
      <c r="H504" s="851"/>
      <c r="I504" s="851"/>
      <c r="J504" s="851"/>
      <c r="K504" s="851"/>
      <c r="L504" s="851"/>
      <c r="M504" s="851"/>
      <c r="N504" s="851"/>
      <c r="O504" s="851"/>
      <c r="P504" s="851"/>
      <c r="Q504" s="851"/>
      <c r="R504" s="851"/>
      <c r="S504" s="851"/>
      <c r="T504" s="851"/>
      <c r="U504" s="851"/>
      <c r="V504" s="851"/>
      <c r="W504" s="851"/>
      <c r="X504" s="851"/>
      <c r="Y504" s="851"/>
      <c r="Z504" s="851"/>
      <c r="AA504" s="851"/>
      <c r="AB504" s="851"/>
      <c r="AC504" s="851"/>
      <c r="AD504" s="851"/>
    </row>
    <row r="505" spans="1:58" ht="15" customHeight="1">
      <c r="A505" s="176"/>
      <c r="B505" s="794" t="str">
        <f>IF(AG501=0,"","Favor de ingresar toda la información requerida en la pregunta")</f>
        <v/>
      </c>
      <c r="C505" s="794"/>
      <c r="D505" s="794"/>
      <c r="E505" s="794"/>
      <c r="F505" s="794"/>
      <c r="G505" s="794"/>
      <c r="H505" s="794"/>
      <c r="I505" s="794"/>
      <c r="J505" s="794"/>
      <c r="K505" s="794"/>
      <c r="L505" s="794"/>
      <c r="M505" s="794"/>
      <c r="N505" s="794"/>
      <c r="O505" s="794"/>
      <c r="P505" s="794"/>
      <c r="Q505" s="794"/>
      <c r="R505" s="794"/>
      <c r="S505" s="794"/>
      <c r="T505" s="794"/>
      <c r="U505" s="794"/>
      <c r="V505" s="794"/>
      <c r="W505" s="794"/>
      <c r="X505" s="794"/>
      <c r="Y505" s="794"/>
      <c r="Z505" s="794"/>
      <c r="AA505" s="794"/>
      <c r="AB505" s="794"/>
      <c r="AC505" s="794"/>
      <c r="AD505" s="794"/>
      <c r="AE505" s="794"/>
    </row>
    <row r="506" spans="1:58" ht="15" customHeight="1">
      <c r="A506" s="176"/>
      <c r="B506" s="1087" t="str">
        <f>IF(COUNTIF(S493:AD500,"NS")&lt;&gt;0,"Alerta: debido a que cuenta con registros NS, debe proporcionar una justificación en el area de comentarios al final de la pregunta","")</f>
        <v/>
      </c>
      <c r="C506" s="1087"/>
      <c r="D506" s="1087"/>
      <c r="E506" s="1087"/>
      <c r="F506" s="1087"/>
      <c r="G506" s="1087"/>
      <c r="H506" s="1087"/>
      <c r="I506" s="1087"/>
      <c r="J506" s="1087"/>
      <c r="K506" s="1087"/>
      <c r="L506" s="1087"/>
      <c r="M506" s="1087"/>
      <c r="N506" s="1087"/>
      <c r="O506" s="1087"/>
      <c r="P506" s="1087"/>
      <c r="Q506" s="1087"/>
      <c r="R506" s="1087"/>
      <c r="S506" s="1087"/>
      <c r="T506" s="1087"/>
      <c r="U506" s="1087"/>
      <c r="V506" s="1087"/>
      <c r="W506" s="1087"/>
      <c r="X506" s="1087"/>
      <c r="Y506" s="1087"/>
      <c r="Z506" s="1087"/>
      <c r="AA506" s="1087"/>
      <c r="AB506" s="1087"/>
      <c r="AC506" s="1087"/>
      <c r="AD506" s="1087"/>
      <c r="AE506" s="1087"/>
    </row>
    <row r="507" spans="1:58" ht="15" customHeight="1">
      <c r="A507" s="176"/>
      <c r="B507" s="1003" t="str">
        <f>IF(AH501&gt;0,"Revise la información capturada, ya que tiene datos ingresados en celdas que están sombreadas","")</f>
        <v/>
      </c>
      <c r="C507" s="1003"/>
      <c r="D507" s="1003"/>
      <c r="E507" s="1003"/>
      <c r="F507" s="1003"/>
      <c r="G507" s="1003"/>
      <c r="H507" s="1003"/>
      <c r="I507" s="1003"/>
      <c r="J507" s="1003"/>
      <c r="K507" s="1003"/>
      <c r="L507" s="1003"/>
      <c r="M507" s="1003"/>
      <c r="N507" s="1003"/>
      <c r="O507" s="1003"/>
      <c r="P507" s="1003"/>
      <c r="Q507" s="1003"/>
      <c r="R507" s="1003"/>
      <c r="S507" s="1003"/>
      <c r="T507" s="1003"/>
      <c r="U507" s="1003"/>
      <c r="V507" s="1003"/>
      <c r="W507" s="1003"/>
      <c r="X507" s="1003"/>
      <c r="Y507" s="1003"/>
      <c r="Z507" s="1003"/>
      <c r="AA507" s="1003"/>
      <c r="AB507" s="1003"/>
      <c r="AC507" s="1003"/>
      <c r="AD507" s="1003"/>
      <c r="AE507" s="1003"/>
    </row>
    <row r="508" spans="1:58" ht="15" customHeight="1">
      <c r="A508" s="176"/>
      <c r="B508" s="1003" t="str">
        <f>IF(OR(AL502&gt;0,AL503&gt;0,AN503&gt;0,AP503&gt;0),"Favor de revisar la suma y consistencia de totales y/o subtotales por filas (numéricos y NS)","")</f>
        <v/>
      </c>
      <c r="C508" s="1003"/>
      <c r="D508" s="1003"/>
      <c r="E508" s="1003"/>
      <c r="F508" s="1003"/>
      <c r="G508" s="1003"/>
      <c r="H508" s="1003"/>
      <c r="I508" s="1003"/>
      <c r="J508" s="1003"/>
      <c r="K508" s="1003"/>
      <c r="L508" s="1003"/>
      <c r="M508" s="1003"/>
      <c r="N508" s="1003"/>
      <c r="O508" s="1003"/>
      <c r="P508" s="1003"/>
      <c r="Q508" s="1003"/>
      <c r="R508" s="1003"/>
      <c r="S508" s="1003"/>
      <c r="T508" s="1003"/>
      <c r="U508" s="1003"/>
      <c r="V508" s="1003"/>
      <c r="W508" s="1003"/>
      <c r="X508" s="1003"/>
      <c r="Y508" s="1003"/>
      <c r="Z508" s="1003"/>
      <c r="AA508" s="1003"/>
      <c r="AB508" s="1003"/>
      <c r="AC508" s="1003"/>
      <c r="AD508" s="1003"/>
      <c r="AE508" s="1003"/>
    </row>
    <row r="509" spans="1:58" ht="15" customHeight="1">
      <c r="A509" s="176"/>
      <c r="B509" s="1003" t="str">
        <f>IF(BF501=0,"","Las cantidades de Hombres y Mujeres por centro especializado debe corresponder con los datos reportados en la preg. 8.1")</f>
        <v/>
      </c>
      <c r="C509" s="1003"/>
      <c r="D509" s="1003"/>
      <c r="E509" s="1003"/>
      <c r="F509" s="1003"/>
      <c r="G509" s="1003"/>
      <c r="H509" s="1003"/>
      <c r="I509" s="1003"/>
      <c r="J509" s="1003"/>
      <c r="K509" s="1003"/>
      <c r="L509" s="1003"/>
      <c r="M509" s="1003"/>
      <c r="N509" s="1003"/>
      <c r="O509" s="1003"/>
      <c r="P509" s="1003"/>
      <c r="Q509" s="1003"/>
      <c r="R509" s="1003"/>
      <c r="S509" s="1003"/>
      <c r="T509" s="1003"/>
      <c r="U509" s="1003"/>
      <c r="V509" s="1003"/>
      <c r="W509" s="1003"/>
      <c r="X509" s="1003"/>
      <c r="Y509" s="1003"/>
      <c r="Z509" s="1003"/>
      <c r="AA509" s="1003"/>
      <c r="AB509" s="1003"/>
      <c r="AC509" s="1003"/>
      <c r="AD509" s="1003"/>
      <c r="AE509" s="1003"/>
    </row>
    <row r="510" spans="1:58" ht="15" customHeight="1">
      <c r="A510" s="176"/>
      <c r="B510" s="105"/>
      <c r="C510" s="105"/>
      <c r="D510" s="105"/>
      <c r="E510" s="105"/>
      <c r="F510" s="105"/>
      <c r="G510" s="105"/>
      <c r="H510" s="105"/>
      <c r="I510" s="105"/>
      <c r="J510" s="105"/>
      <c r="K510" s="105"/>
      <c r="L510" s="105"/>
      <c r="M510" s="105"/>
      <c r="N510" s="105"/>
      <c r="O510" s="105"/>
      <c r="P510" s="105"/>
      <c r="Q510" s="105"/>
      <c r="R510" s="105"/>
      <c r="S510" s="105"/>
      <c r="T510" s="105"/>
      <c r="U510" s="105"/>
      <c r="V510" s="105"/>
      <c r="W510" s="105"/>
      <c r="X510" s="105"/>
      <c r="Y510" s="105"/>
      <c r="Z510" s="105"/>
      <c r="AA510" s="105"/>
      <c r="AB510" s="105"/>
      <c r="AC510" s="105"/>
      <c r="AD510" s="105"/>
    </row>
    <row r="511" spans="1:58" ht="36" customHeight="1">
      <c r="A511" s="49" t="s">
        <v>5268</v>
      </c>
      <c r="B511" s="829" t="s">
        <v>5269</v>
      </c>
      <c r="C511" s="829"/>
      <c r="D511" s="829"/>
      <c r="E511" s="829"/>
      <c r="F511" s="829"/>
      <c r="G511" s="829"/>
      <c r="H511" s="829"/>
      <c r="I511" s="829"/>
      <c r="J511" s="829"/>
      <c r="K511" s="829"/>
      <c r="L511" s="829"/>
      <c r="M511" s="829"/>
      <c r="N511" s="829"/>
      <c r="O511" s="829"/>
      <c r="P511" s="829"/>
      <c r="Q511" s="829"/>
      <c r="R511" s="829"/>
      <c r="S511" s="829"/>
      <c r="T511" s="829"/>
      <c r="U511" s="829"/>
      <c r="V511" s="829"/>
      <c r="W511" s="829"/>
      <c r="X511" s="829"/>
      <c r="Y511" s="829"/>
      <c r="Z511" s="829"/>
      <c r="AA511" s="829"/>
      <c r="AB511" s="829"/>
      <c r="AC511" s="829"/>
      <c r="AD511" s="829"/>
    </row>
    <row r="512" spans="1:58" ht="24" customHeight="1">
      <c r="A512" s="49"/>
      <c r="B512" s="105"/>
      <c r="C512" s="754" t="s">
        <v>4673</v>
      </c>
      <c r="D512" s="754"/>
      <c r="E512" s="754"/>
      <c r="F512" s="754"/>
      <c r="G512" s="754"/>
      <c r="H512" s="754"/>
      <c r="I512" s="754"/>
      <c r="J512" s="754"/>
      <c r="K512" s="754"/>
      <c r="L512" s="754"/>
      <c r="M512" s="754"/>
      <c r="N512" s="754"/>
      <c r="O512" s="754"/>
      <c r="P512" s="754"/>
      <c r="Q512" s="754"/>
      <c r="R512" s="754"/>
      <c r="S512" s="754"/>
      <c r="T512" s="754"/>
      <c r="U512" s="754"/>
      <c r="V512" s="754"/>
      <c r="W512" s="754"/>
      <c r="X512" s="754"/>
      <c r="Y512" s="754"/>
      <c r="Z512" s="754"/>
      <c r="AA512" s="754"/>
      <c r="AB512" s="754"/>
      <c r="AC512" s="754"/>
      <c r="AD512" s="754"/>
    </row>
    <row r="513" spans="1:43" ht="24" customHeight="1">
      <c r="A513" s="50"/>
      <c r="B513" s="38"/>
      <c r="C513" s="754" t="s">
        <v>4674</v>
      </c>
      <c r="D513" s="754"/>
      <c r="E513" s="754"/>
      <c r="F513" s="754"/>
      <c r="G513" s="754"/>
      <c r="H513" s="754"/>
      <c r="I513" s="754"/>
      <c r="J513" s="754"/>
      <c r="K513" s="754"/>
      <c r="L513" s="754"/>
      <c r="M513" s="754"/>
      <c r="N513" s="754"/>
      <c r="O513" s="754"/>
      <c r="P513" s="754"/>
      <c r="Q513" s="754"/>
      <c r="R513" s="754"/>
      <c r="S513" s="754"/>
      <c r="T513" s="754"/>
      <c r="U513" s="754"/>
      <c r="V513" s="754"/>
      <c r="W513" s="754"/>
      <c r="X513" s="754"/>
      <c r="Y513" s="754"/>
      <c r="Z513" s="754"/>
      <c r="AA513" s="754"/>
      <c r="AB513" s="754"/>
      <c r="AC513" s="754"/>
      <c r="AD513" s="754"/>
    </row>
    <row r="514" spans="1:43" ht="36" customHeight="1">
      <c r="A514" s="49"/>
      <c r="B514" s="38"/>
      <c r="C514" s="754" t="s">
        <v>5270</v>
      </c>
      <c r="D514" s="754"/>
      <c r="E514" s="754"/>
      <c r="F514" s="754"/>
      <c r="G514" s="754"/>
      <c r="H514" s="754"/>
      <c r="I514" s="754"/>
      <c r="J514" s="754"/>
      <c r="K514" s="754"/>
      <c r="L514" s="754"/>
      <c r="M514" s="754"/>
      <c r="N514" s="754"/>
      <c r="O514" s="754"/>
      <c r="P514" s="754"/>
      <c r="Q514" s="754"/>
      <c r="R514" s="754"/>
      <c r="S514" s="754"/>
      <c r="T514" s="754"/>
      <c r="U514" s="754"/>
      <c r="V514" s="754"/>
      <c r="W514" s="754"/>
      <c r="X514" s="754"/>
      <c r="Y514" s="754"/>
      <c r="Z514" s="754"/>
      <c r="AA514" s="754"/>
      <c r="AB514" s="754"/>
      <c r="AC514" s="754"/>
      <c r="AD514" s="754"/>
    </row>
    <row r="515" spans="1:43" ht="48" customHeight="1">
      <c r="A515" s="50"/>
      <c r="B515" s="38"/>
      <c r="C515" s="754" t="s">
        <v>4676</v>
      </c>
      <c r="D515" s="754"/>
      <c r="E515" s="754"/>
      <c r="F515" s="754"/>
      <c r="G515" s="754"/>
      <c r="H515" s="754"/>
      <c r="I515" s="754"/>
      <c r="J515" s="754"/>
      <c r="K515" s="754"/>
      <c r="L515" s="754"/>
      <c r="M515" s="754"/>
      <c r="N515" s="754"/>
      <c r="O515" s="754"/>
      <c r="P515" s="754"/>
      <c r="Q515" s="754"/>
      <c r="R515" s="754"/>
      <c r="S515" s="754"/>
      <c r="T515" s="754"/>
      <c r="U515" s="754"/>
      <c r="V515" s="754"/>
      <c r="W515" s="754"/>
      <c r="X515" s="754"/>
      <c r="Y515" s="754"/>
      <c r="Z515" s="754"/>
      <c r="AA515" s="754"/>
      <c r="AB515" s="754"/>
      <c r="AC515" s="754"/>
      <c r="AD515" s="754"/>
    </row>
    <row r="516" spans="1:43" ht="24" customHeight="1">
      <c r="A516" s="49"/>
      <c r="B516" s="38"/>
      <c r="C516" s="754" t="s">
        <v>4677</v>
      </c>
      <c r="D516" s="754"/>
      <c r="E516" s="754"/>
      <c r="F516" s="754"/>
      <c r="G516" s="754"/>
      <c r="H516" s="754"/>
      <c r="I516" s="754"/>
      <c r="J516" s="754"/>
      <c r="K516" s="754"/>
      <c r="L516" s="754"/>
      <c r="M516" s="754"/>
      <c r="N516" s="754"/>
      <c r="O516" s="754"/>
      <c r="P516" s="754"/>
      <c r="Q516" s="754"/>
      <c r="R516" s="754"/>
      <c r="S516" s="754"/>
      <c r="T516" s="754"/>
      <c r="U516" s="754"/>
      <c r="V516" s="754"/>
      <c r="W516" s="754"/>
      <c r="X516" s="754"/>
      <c r="Y516" s="754"/>
      <c r="Z516" s="754"/>
      <c r="AA516" s="754"/>
      <c r="AB516" s="754"/>
      <c r="AC516" s="754"/>
      <c r="AD516" s="754"/>
    </row>
    <row r="517" spans="1:43" ht="15" customHeight="1">
      <c r="A517" s="108"/>
      <c r="B517" s="38"/>
      <c r="C517" s="75"/>
      <c r="D517" s="75"/>
      <c r="E517" s="75"/>
      <c r="F517" s="75"/>
      <c r="G517" s="75"/>
      <c r="H517" s="75"/>
      <c r="I517" s="75"/>
      <c r="J517" s="75"/>
      <c r="K517" s="75"/>
      <c r="L517" s="75"/>
      <c r="M517" s="75"/>
      <c r="N517" s="75"/>
      <c r="O517" s="75"/>
      <c r="P517" s="75"/>
      <c r="Q517" s="75"/>
      <c r="R517" s="75"/>
      <c r="S517" s="75"/>
      <c r="T517" s="75"/>
      <c r="U517" s="75"/>
      <c r="V517" s="75"/>
      <c r="W517" s="75"/>
      <c r="X517" s="75"/>
      <c r="Y517" s="75"/>
      <c r="Z517" s="75"/>
      <c r="AA517" s="75"/>
      <c r="AB517" s="75"/>
      <c r="AC517" s="75"/>
      <c r="AD517" s="75"/>
    </row>
    <row r="518" spans="1:43" ht="24" customHeight="1">
      <c r="A518" s="108"/>
      <c r="B518" s="38"/>
      <c r="C518" s="880" t="s">
        <v>4678</v>
      </c>
      <c r="D518" s="880"/>
      <c r="E518" s="880"/>
      <c r="F518" s="880"/>
      <c r="G518" s="880"/>
      <c r="H518" s="880"/>
      <c r="I518" s="880"/>
      <c r="J518" s="880"/>
      <c r="K518" s="880"/>
      <c r="L518" s="880"/>
      <c r="M518" s="739" t="s">
        <v>5271</v>
      </c>
      <c r="N518" s="740"/>
      <c r="O518" s="740"/>
      <c r="P518" s="740"/>
      <c r="Q518" s="740"/>
      <c r="R518" s="740"/>
      <c r="S518" s="740"/>
      <c r="T518" s="740"/>
      <c r="U518" s="740"/>
      <c r="V518" s="740"/>
      <c r="W518" s="740"/>
      <c r="X518" s="740"/>
      <c r="Y518" s="740"/>
      <c r="Z518" s="740"/>
      <c r="AA518" s="740"/>
      <c r="AB518" s="740"/>
      <c r="AC518" s="740"/>
      <c r="AD518" s="741"/>
    </row>
    <row r="519" spans="1:43" ht="15" customHeight="1">
      <c r="A519" s="176"/>
      <c r="B519" s="57"/>
      <c r="C519" s="880"/>
      <c r="D519" s="880"/>
      <c r="E519" s="880"/>
      <c r="F519" s="880"/>
      <c r="G519" s="880"/>
      <c r="H519" s="880"/>
      <c r="I519" s="880"/>
      <c r="J519" s="880"/>
      <c r="K519" s="880"/>
      <c r="L519" s="880"/>
      <c r="M519" s="987" t="s">
        <v>2628</v>
      </c>
      <c r="N519" s="988"/>
      <c r="O519" s="988"/>
      <c r="P519" s="988"/>
      <c r="Q519" s="988"/>
      <c r="R519" s="988"/>
      <c r="S519" s="989" t="s">
        <v>2629</v>
      </c>
      <c r="T519" s="990"/>
      <c r="U519" s="990"/>
      <c r="V519" s="990"/>
      <c r="W519" s="990"/>
      <c r="X519" s="990"/>
      <c r="Y519" s="989" t="s">
        <v>2630</v>
      </c>
      <c r="Z519" s="990"/>
      <c r="AA519" s="990"/>
      <c r="AB519" s="990"/>
      <c r="AC519" s="990"/>
      <c r="AD519" s="990"/>
      <c r="AG519" t="s">
        <v>2586</v>
      </c>
      <c r="AH519" t="s">
        <v>4599</v>
      </c>
      <c r="AI519" t="s">
        <v>2590</v>
      </c>
      <c r="AJ519" t="s">
        <v>3163</v>
      </c>
      <c r="AK519" t="s">
        <v>4564</v>
      </c>
      <c r="AL519" t="s">
        <v>4681</v>
      </c>
      <c r="AM519"/>
      <c r="AN519"/>
      <c r="AO519" t="s">
        <v>4682</v>
      </c>
      <c r="AP519"/>
      <c r="AQ519"/>
    </row>
    <row r="520" spans="1:43" ht="15" customHeight="1">
      <c r="A520" s="176"/>
      <c r="B520" s="57"/>
      <c r="C520" s="98" t="s">
        <v>2516</v>
      </c>
      <c r="D520" s="813" t="s">
        <v>4683</v>
      </c>
      <c r="E520" s="814"/>
      <c r="F520" s="814"/>
      <c r="G520" s="814"/>
      <c r="H520" s="814"/>
      <c r="I520" s="814"/>
      <c r="J520" s="814"/>
      <c r="K520" s="814"/>
      <c r="L520" s="815"/>
      <c r="M520" s="749"/>
      <c r="N520" s="749"/>
      <c r="O520" s="749"/>
      <c r="P520" s="749"/>
      <c r="Q520" s="749"/>
      <c r="R520" s="749"/>
      <c r="S520" s="749"/>
      <c r="T520" s="749"/>
      <c r="U520" s="749"/>
      <c r="V520" s="749"/>
      <c r="W520" s="749"/>
      <c r="X520" s="749"/>
      <c r="Y520" s="749"/>
      <c r="Z520" s="749"/>
      <c r="AA520" s="749"/>
      <c r="AB520" s="749"/>
      <c r="AC520" s="749"/>
      <c r="AD520" s="749"/>
      <c r="AG520" s="506">
        <f>IF(OR($V501=0,$V501="NS",$V501="NA"),0,IF(COUNTBLANK(M520:AD533)=210,0,1))</f>
        <v>0</v>
      </c>
      <c r="AH520" s="506">
        <f>IF(OR($V$501=0,$V$501="NS",$V$501="NA"),IF(COUNTBLANK(M520:AD533)=252,0,1),0)</f>
        <v>0</v>
      </c>
      <c r="AI520">
        <f t="shared" ref="AI520" si="569">COUNTIF(S520:AD520,"NS")</f>
        <v>0</v>
      </c>
      <c r="AJ520">
        <f t="shared" ref="AJ520" si="570">SUM(S520:AD520)</f>
        <v>0</v>
      </c>
      <c r="AK520">
        <f t="shared" ref="AK520" si="571">IF(COUNTIF(M520:AD520,"NA")=3,0,IF(COUNTA(M520:AD520)=0,0,IF(OR(AND(M520=0,AI520&gt;0),AND(M520="ns",AJ520&gt;0),AND(M520="ns",AI520=0,AJ520=0)),1,IF(OR(AND(M520&gt;0,AI520=2),AND(M520="ns",AI520=2),AND(M520="ns",AJ520=0,AI520&gt;0),M520=AJ520),0,1))))</f>
        <v>0</v>
      </c>
      <c r="AL520" cm="1">
        <f t="array" ref="AL520">IF(OR(M520={"NS","NA"},$V$501={"NS","NA"}),0,IF(M520&lt;=$V$501,0,1))</f>
        <v>0</v>
      </c>
      <c r="AM520" cm="1">
        <f t="array" ref="AM520">IF(OR(S520={"NS","NA"},$W$501={"NS","NA"}),0,IF(S520&lt;=$W$501,0,1))</f>
        <v>0</v>
      </c>
      <c r="AN520" cm="1">
        <f t="array" ref="AN520">IF(OR(Y520={"NS","NA"},$X$501={"NS","NA"}),0,IF(Y520&lt;=$X$501,0,1))</f>
        <v>0</v>
      </c>
      <c r="AO520" cm="1">
        <f t="array" ref="AO520">IF(OR(M534={"NS","NA"},$V$501={"NS","NA"}),0,IF(M534&gt;=$V$501,0,1))</f>
        <v>0</v>
      </c>
      <c r="AP520" cm="1">
        <f t="array" ref="AP520">IF(OR(S534={"NS","NA"},$W$501={"NS","NA"}),0,IF(S534&gt;=$W$501,0,1))</f>
        <v>0</v>
      </c>
      <c r="AQ520" cm="1">
        <f t="array" ref="AQ520">IF(OR(Y534={"NS","NA"},$X$501={"NS","NA"}),0,IF(Y534&gt;=$X$501,0,1))</f>
        <v>0</v>
      </c>
    </row>
    <row r="521" spans="1:43" ht="15" customHeight="1">
      <c r="A521" s="176"/>
      <c r="B521" s="57"/>
      <c r="C521" s="98" t="s">
        <v>2517</v>
      </c>
      <c r="D521" s="813" t="s">
        <v>4684</v>
      </c>
      <c r="E521" s="814"/>
      <c r="F521" s="814"/>
      <c r="G521" s="814"/>
      <c r="H521" s="814"/>
      <c r="I521" s="814"/>
      <c r="J521" s="814"/>
      <c r="K521" s="814"/>
      <c r="L521" s="815"/>
      <c r="M521" s="749"/>
      <c r="N521" s="749"/>
      <c r="O521" s="749"/>
      <c r="P521" s="749"/>
      <c r="Q521" s="749"/>
      <c r="R521" s="749"/>
      <c r="S521" s="749"/>
      <c r="T521" s="749"/>
      <c r="U521" s="749"/>
      <c r="V521" s="749"/>
      <c r="W521" s="749"/>
      <c r="X521" s="749"/>
      <c r="Y521" s="749"/>
      <c r="Z521" s="749"/>
      <c r="AA521" s="749"/>
      <c r="AB521" s="749"/>
      <c r="AC521" s="749"/>
      <c r="AD521" s="749"/>
      <c r="AG521" s="57"/>
      <c r="AH521" s="57"/>
      <c r="AI521">
        <f t="shared" ref="AI521:AI533" si="572">COUNTIF(S521:AD521,"NS")</f>
        <v>0</v>
      </c>
      <c r="AJ521">
        <f t="shared" ref="AJ521:AJ533" si="573">SUM(S521:AD521)</f>
        <v>0</v>
      </c>
      <c r="AK521">
        <f t="shared" ref="AK521:AK533" si="574">IF(COUNTIF(M521:AD521,"NA")=3,0,IF(COUNTA(M521:AD521)=0,0,IF(OR(AND(M521=0,AI521&gt;0),AND(M521="ns",AJ521&gt;0),AND(M521="ns",AI521=0,AJ521=0)),1,IF(OR(AND(M521&gt;0,AI521=2),AND(M521="ns",AI521=2),AND(M521="ns",AJ521=0,AI521&gt;0),M521=AJ521),0,1))))</f>
        <v>0</v>
      </c>
      <c r="AL521" cm="1">
        <f t="array" ref="AL521">IF(OR(M521={"NS","NA"},$V$501={"NS","NA"}),0,IF(M521&lt;=$V$501,0,1))</f>
        <v>0</v>
      </c>
      <c r="AM521" cm="1">
        <f t="array" ref="AM521">IF(OR(S521={"NS","NA"},$W$501={"NS","NA"}),0,IF(S521&lt;=$W$501,0,1))</f>
        <v>0</v>
      </c>
      <c r="AN521" cm="1">
        <f t="array" ref="AN521">IF(OR(Y521={"NS","NA"},$X$501={"NS","NA"}),0,IF(Y521&lt;=$X$501,0,1))</f>
        <v>0</v>
      </c>
      <c r="AQ521" s="506">
        <f>IF(OR($V$501=0,$V$501="NS",$V$501="NA"),0,SUM(AO520:AQ520))</f>
        <v>0</v>
      </c>
    </row>
    <row r="522" spans="1:43" ht="15" customHeight="1">
      <c r="A522" s="176"/>
      <c r="B522" s="57"/>
      <c r="C522" s="98" t="s">
        <v>2518</v>
      </c>
      <c r="D522" s="813" t="s">
        <v>4685</v>
      </c>
      <c r="E522" s="814"/>
      <c r="F522" s="814"/>
      <c r="G522" s="814"/>
      <c r="H522" s="814"/>
      <c r="I522" s="814"/>
      <c r="J522" s="814"/>
      <c r="K522" s="814"/>
      <c r="L522" s="815"/>
      <c r="M522" s="749"/>
      <c r="N522" s="749"/>
      <c r="O522" s="749"/>
      <c r="P522" s="749"/>
      <c r="Q522" s="749"/>
      <c r="R522" s="749"/>
      <c r="S522" s="749"/>
      <c r="T522" s="749"/>
      <c r="U522" s="749"/>
      <c r="V522" s="749"/>
      <c r="W522" s="749"/>
      <c r="X522" s="749"/>
      <c r="Y522" s="749"/>
      <c r="Z522" s="749"/>
      <c r="AA522" s="749"/>
      <c r="AB522" s="749"/>
      <c r="AC522" s="749"/>
      <c r="AD522" s="749"/>
      <c r="AG522" s="57"/>
      <c r="AH522" s="57"/>
      <c r="AI522">
        <f t="shared" si="572"/>
        <v>0</v>
      </c>
      <c r="AJ522">
        <f t="shared" si="573"/>
        <v>0</v>
      </c>
      <c r="AK522">
        <f t="shared" si="574"/>
        <v>0</v>
      </c>
      <c r="AL522" cm="1">
        <f t="array" ref="AL522">IF(OR(M522={"NS","NA"},$V$501={"NS","NA"}),0,IF(M522&lt;=$V$501,0,1))</f>
        <v>0</v>
      </c>
      <c r="AM522" cm="1">
        <f t="array" ref="AM522">IF(OR(S522={"NS","NA"},$W$501={"NS","NA"}),0,IF(S522&lt;=$W$501,0,1))</f>
        <v>0</v>
      </c>
      <c r="AN522" cm="1">
        <f t="array" ref="AN522">IF(OR(Y522={"NS","NA"},$X$501={"NS","NA"}),0,IF(Y522&lt;=$X$501,0,1))</f>
        <v>0</v>
      </c>
    </row>
    <row r="523" spans="1:43" ht="15" customHeight="1">
      <c r="A523" s="176"/>
      <c r="B523" s="57"/>
      <c r="C523" s="98" t="s">
        <v>2519</v>
      </c>
      <c r="D523" s="813" t="s">
        <v>4686</v>
      </c>
      <c r="E523" s="814"/>
      <c r="F523" s="814"/>
      <c r="G523" s="814"/>
      <c r="H523" s="814"/>
      <c r="I523" s="814"/>
      <c r="J523" s="814"/>
      <c r="K523" s="814"/>
      <c r="L523" s="815"/>
      <c r="M523" s="749"/>
      <c r="N523" s="749"/>
      <c r="O523" s="749"/>
      <c r="P523" s="749"/>
      <c r="Q523" s="749"/>
      <c r="R523" s="749"/>
      <c r="S523" s="749"/>
      <c r="T523" s="749"/>
      <c r="U523" s="749"/>
      <c r="V523" s="749"/>
      <c r="W523" s="749"/>
      <c r="X523" s="749"/>
      <c r="Y523" s="749"/>
      <c r="Z523" s="749"/>
      <c r="AA523" s="749"/>
      <c r="AB523" s="749"/>
      <c r="AC523" s="749"/>
      <c r="AD523" s="749"/>
      <c r="AG523" s="57"/>
      <c r="AH523" s="57"/>
      <c r="AI523">
        <f t="shared" si="572"/>
        <v>0</v>
      </c>
      <c r="AJ523">
        <f t="shared" si="573"/>
        <v>0</v>
      </c>
      <c r="AK523">
        <f t="shared" si="574"/>
        <v>0</v>
      </c>
      <c r="AL523" cm="1">
        <f t="array" ref="AL523">IF(OR(M523={"NS","NA"},$V$501={"NS","NA"}),0,IF(M523&lt;=$V$501,0,1))</f>
        <v>0</v>
      </c>
      <c r="AM523" cm="1">
        <f t="array" ref="AM523">IF(OR(S523={"NS","NA"},$W$501={"NS","NA"}),0,IF(S523&lt;=$W$501,0,1))</f>
        <v>0</v>
      </c>
      <c r="AN523" cm="1">
        <f t="array" ref="AN523">IF(OR(Y523={"NS","NA"},$X$501={"NS","NA"}),0,IF(Y523&lt;=$X$501,0,1))</f>
        <v>0</v>
      </c>
    </row>
    <row r="524" spans="1:43" ht="15" customHeight="1">
      <c r="A524" s="176"/>
      <c r="B524" s="57"/>
      <c r="C524" s="98" t="s">
        <v>2520</v>
      </c>
      <c r="D524" s="813" t="s">
        <v>4687</v>
      </c>
      <c r="E524" s="814"/>
      <c r="F524" s="814"/>
      <c r="G524" s="814"/>
      <c r="H524" s="814"/>
      <c r="I524" s="814"/>
      <c r="J524" s="814"/>
      <c r="K524" s="814"/>
      <c r="L524" s="815"/>
      <c r="M524" s="749"/>
      <c r="N524" s="749"/>
      <c r="O524" s="749"/>
      <c r="P524" s="749"/>
      <c r="Q524" s="749"/>
      <c r="R524" s="749"/>
      <c r="S524" s="749"/>
      <c r="T524" s="749"/>
      <c r="U524" s="749"/>
      <c r="V524" s="749"/>
      <c r="W524" s="749"/>
      <c r="X524" s="749"/>
      <c r="Y524" s="749"/>
      <c r="Z524" s="749"/>
      <c r="AA524" s="749"/>
      <c r="AB524" s="749"/>
      <c r="AC524" s="749"/>
      <c r="AD524" s="749"/>
      <c r="AG524" s="57"/>
      <c r="AH524" s="57"/>
      <c r="AI524">
        <f t="shared" si="572"/>
        <v>0</v>
      </c>
      <c r="AJ524">
        <f t="shared" si="573"/>
        <v>0</v>
      </c>
      <c r="AK524">
        <f t="shared" si="574"/>
        <v>0</v>
      </c>
      <c r="AL524" cm="1">
        <f t="array" ref="AL524">IF(OR(M524={"NS","NA"},$V$501={"NS","NA"}),0,IF(M524&lt;=$V$501,0,1))</f>
        <v>0</v>
      </c>
      <c r="AM524" cm="1">
        <f t="array" ref="AM524">IF(OR(S524={"NS","NA"},$W$501={"NS","NA"}),0,IF(S524&lt;=$W$501,0,1))</f>
        <v>0</v>
      </c>
      <c r="AN524" cm="1">
        <f t="array" ref="AN524">IF(OR(Y524={"NS","NA"},$X$501={"NS","NA"}),0,IF(Y524&lt;=$X$501,0,1))</f>
        <v>0</v>
      </c>
    </row>
    <row r="525" spans="1:43" ht="15" customHeight="1">
      <c r="A525" s="176"/>
      <c r="B525" s="57"/>
      <c r="C525" s="98" t="s">
        <v>2521</v>
      </c>
      <c r="D525" s="813" t="s">
        <v>4688</v>
      </c>
      <c r="E525" s="814"/>
      <c r="F525" s="814"/>
      <c r="G525" s="814"/>
      <c r="H525" s="814"/>
      <c r="I525" s="814"/>
      <c r="J525" s="814"/>
      <c r="K525" s="814"/>
      <c r="L525" s="815"/>
      <c r="M525" s="749"/>
      <c r="N525" s="749"/>
      <c r="O525" s="749"/>
      <c r="P525" s="749"/>
      <c r="Q525" s="749"/>
      <c r="R525" s="749"/>
      <c r="S525" s="749"/>
      <c r="T525" s="749"/>
      <c r="U525" s="749"/>
      <c r="V525" s="749"/>
      <c r="W525" s="749"/>
      <c r="X525" s="749"/>
      <c r="Y525" s="749"/>
      <c r="Z525" s="749"/>
      <c r="AA525" s="749"/>
      <c r="AB525" s="749"/>
      <c r="AC525" s="749"/>
      <c r="AD525" s="749"/>
      <c r="AG525" s="57"/>
      <c r="AH525" s="57"/>
      <c r="AI525">
        <f t="shared" si="572"/>
        <v>0</v>
      </c>
      <c r="AJ525">
        <f t="shared" si="573"/>
        <v>0</v>
      </c>
      <c r="AK525">
        <f t="shared" si="574"/>
        <v>0</v>
      </c>
      <c r="AL525" cm="1">
        <f t="array" ref="AL525">IF(OR(M525={"NS","NA"},$V$501={"NS","NA"}),0,IF(M525&lt;=$V$501,0,1))</f>
        <v>0</v>
      </c>
      <c r="AM525" cm="1">
        <f t="array" ref="AM525">IF(OR(S525={"NS","NA"},$W$501={"NS","NA"}),0,IF(S525&lt;=$W$501,0,1))</f>
        <v>0</v>
      </c>
      <c r="AN525" cm="1">
        <f t="array" ref="AN525">IF(OR(Y525={"NS","NA"},$X$501={"NS","NA"}),0,IF(Y525&lt;=$X$501,0,1))</f>
        <v>0</v>
      </c>
    </row>
    <row r="526" spans="1:43" ht="15" customHeight="1">
      <c r="A526" s="176"/>
      <c r="B526" s="57"/>
      <c r="C526" s="98" t="s">
        <v>2522</v>
      </c>
      <c r="D526" s="813" t="s">
        <v>4689</v>
      </c>
      <c r="E526" s="814"/>
      <c r="F526" s="814"/>
      <c r="G526" s="814"/>
      <c r="H526" s="814"/>
      <c r="I526" s="814"/>
      <c r="J526" s="814"/>
      <c r="K526" s="814"/>
      <c r="L526" s="815"/>
      <c r="M526" s="749"/>
      <c r="N526" s="749"/>
      <c r="O526" s="749"/>
      <c r="P526" s="749"/>
      <c r="Q526" s="749"/>
      <c r="R526" s="749"/>
      <c r="S526" s="749"/>
      <c r="T526" s="749"/>
      <c r="U526" s="749"/>
      <c r="V526" s="749"/>
      <c r="W526" s="749"/>
      <c r="X526" s="749"/>
      <c r="Y526" s="749"/>
      <c r="Z526" s="749"/>
      <c r="AA526" s="749"/>
      <c r="AB526" s="749"/>
      <c r="AC526" s="749"/>
      <c r="AD526" s="749"/>
      <c r="AG526" s="57"/>
      <c r="AH526" s="57"/>
      <c r="AI526">
        <f t="shared" si="572"/>
        <v>0</v>
      </c>
      <c r="AJ526">
        <f t="shared" si="573"/>
        <v>0</v>
      </c>
      <c r="AK526">
        <f t="shared" si="574"/>
        <v>0</v>
      </c>
      <c r="AL526" cm="1">
        <f t="array" ref="AL526">IF(OR(M526={"NS","NA"},$V$501={"NS","NA"}),0,IF(M526&lt;=$V$501,0,1))</f>
        <v>0</v>
      </c>
      <c r="AM526" cm="1">
        <f t="array" ref="AM526">IF(OR(S526={"NS","NA"},$W$501={"NS","NA"}),0,IF(S526&lt;=$W$501,0,1))</f>
        <v>0</v>
      </c>
      <c r="AN526" cm="1">
        <f t="array" ref="AN526">IF(OR(Y526={"NS","NA"},$X$501={"NS","NA"}),0,IF(Y526&lt;=$X$501,0,1))</f>
        <v>0</v>
      </c>
    </row>
    <row r="527" spans="1:43" ht="15" customHeight="1">
      <c r="A527" s="176"/>
      <c r="B527" s="57"/>
      <c r="C527" s="98" t="s">
        <v>2523</v>
      </c>
      <c r="D527" s="813" t="s">
        <v>4690</v>
      </c>
      <c r="E527" s="814"/>
      <c r="F527" s="814"/>
      <c r="G527" s="814"/>
      <c r="H527" s="814"/>
      <c r="I527" s="814"/>
      <c r="J527" s="814"/>
      <c r="K527" s="814"/>
      <c r="L527" s="815"/>
      <c r="M527" s="749"/>
      <c r="N527" s="749"/>
      <c r="O527" s="749"/>
      <c r="P527" s="749"/>
      <c r="Q527" s="749"/>
      <c r="R527" s="749"/>
      <c r="S527" s="749"/>
      <c r="T527" s="749"/>
      <c r="U527" s="749"/>
      <c r="V527" s="749"/>
      <c r="W527" s="749"/>
      <c r="X527" s="749"/>
      <c r="Y527" s="749"/>
      <c r="Z527" s="749"/>
      <c r="AA527" s="749"/>
      <c r="AB527" s="749"/>
      <c r="AC527" s="749"/>
      <c r="AD527" s="749"/>
      <c r="AG527" s="57"/>
      <c r="AH527" s="57"/>
      <c r="AI527">
        <f t="shared" si="572"/>
        <v>0</v>
      </c>
      <c r="AJ527">
        <f t="shared" si="573"/>
        <v>0</v>
      </c>
      <c r="AK527">
        <f t="shared" si="574"/>
        <v>0</v>
      </c>
      <c r="AL527" cm="1">
        <f t="array" ref="AL527">IF(OR(M527={"NS","NA"},$V$501={"NS","NA"}),0,IF(M527&lt;=$V$501,0,1))</f>
        <v>0</v>
      </c>
      <c r="AM527" cm="1">
        <f t="array" ref="AM527">IF(OR(S527={"NS","NA"},$W$501={"NS","NA"}),0,IF(S527&lt;=$W$501,0,1))</f>
        <v>0</v>
      </c>
      <c r="AN527" cm="1">
        <f t="array" ref="AN527">IF(OR(Y527={"NS","NA"},$X$501={"NS","NA"}),0,IF(Y527&lt;=$X$501,0,1))</f>
        <v>0</v>
      </c>
    </row>
    <row r="528" spans="1:43" ht="15" customHeight="1">
      <c r="A528" s="176"/>
      <c r="B528" s="57"/>
      <c r="C528" s="98" t="s">
        <v>2524</v>
      </c>
      <c r="D528" s="813" t="s">
        <v>3098</v>
      </c>
      <c r="E528" s="814"/>
      <c r="F528" s="814"/>
      <c r="G528" s="814"/>
      <c r="H528" s="814"/>
      <c r="I528" s="814"/>
      <c r="J528" s="814"/>
      <c r="K528" s="814"/>
      <c r="L528" s="815"/>
      <c r="M528" s="749"/>
      <c r="N528" s="749"/>
      <c r="O528" s="749"/>
      <c r="P528" s="749"/>
      <c r="Q528" s="749"/>
      <c r="R528" s="749"/>
      <c r="S528" s="749"/>
      <c r="T528" s="749"/>
      <c r="U528" s="749"/>
      <c r="V528" s="749"/>
      <c r="W528" s="749"/>
      <c r="X528" s="749"/>
      <c r="Y528" s="749"/>
      <c r="Z528" s="749"/>
      <c r="AA528" s="749"/>
      <c r="AB528" s="749"/>
      <c r="AC528" s="749"/>
      <c r="AD528" s="749"/>
      <c r="AG528" s="57"/>
      <c r="AH528" s="57"/>
      <c r="AI528">
        <f t="shared" si="572"/>
        <v>0</v>
      </c>
      <c r="AJ528">
        <f t="shared" si="573"/>
        <v>0</v>
      </c>
      <c r="AK528">
        <f t="shared" si="574"/>
        <v>0</v>
      </c>
      <c r="AL528" cm="1">
        <f t="array" ref="AL528">IF(OR(M528={"NS","NA"},$V$501={"NS","NA"}),0,IF(M528&lt;=$V$501,0,1))</f>
        <v>0</v>
      </c>
      <c r="AM528" cm="1">
        <f t="array" ref="AM528">IF(OR(S528={"NS","NA"},$W$501={"NS","NA"}),0,IF(S528&lt;=$W$501,0,1))</f>
        <v>0</v>
      </c>
      <c r="AN528" cm="1">
        <f t="array" ref="AN528">IF(OR(Y528={"NS","NA"},$X$501={"NS","NA"}),0,IF(Y528&lt;=$X$501,0,1))</f>
        <v>0</v>
      </c>
    </row>
    <row r="529" spans="1:40" ht="15" customHeight="1">
      <c r="A529" s="176"/>
      <c r="B529" s="57"/>
      <c r="C529" s="98" t="s">
        <v>2525</v>
      </c>
      <c r="D529" s="813" t="s">
        <v>4691</v>
      </c>
      <c r="E529" s="814"/>
      <c r="F529" s="814"/>
      <c r="G529" s="814"/>
      <c r="H529" s="814"/>
      <c r="I529" s="814"/>
      <c r="J529" s="814"/>
      <c r="K529" s="814"/>
      <c r="L529" s="815"/>
      <c r="M529" s="749"/>
      <c r="N529" s="749"/>
      <c r="O529" s="749"/>
      <c r="P529" s="749"/>
      <c r="Q529" s="749"/>
      <c r="R529" s="749"/>
      <c r="S529" s="749"/>
      <c r="T529" s="749"/>
      <c r="U529" s="749"/>
      <c r="V529" s="749"/>
      <c r="W529" s="749"/>
      <c r="X529" s="749"/>
      <c r="Y529" s="749"/>
      <c r="Z529" s="749"/>
      <c r="AA529" s="749"/>
      <c r="AB529" s="749"/>
      <c r="AC529" s="749"/>
      <c r="AD529" s="749"/>
      <c r="AG529" s="57"/>
      <c r="AH529" s="57"/>
      <c r="AI529">
        <f t="shared" si="572"/>
        <v>0</v>
      </c>
      <c r="AJ529">
        <f t="shared" si="573"/>
        <v>0</v>
      </c>
      <c r="AK529">
        <f t="shared" si="574"/>
        <v>0</v>
      </c>
      <c r="AL529" cm="1">
        <f t="array" ref="AL529">IF(OR(M529={"NS","NA"},$V$501={"NS","NA"}),0,IF(M529&lt;=$V$501,0,1))</f>
        <v>0</v>
      </c>
      <c r="AM529" cm="1">
        <f t="array" ref="AM529">IF(OR(S529={"NS","NA"},$W$501={"NS","NA"}),0,IF(S529&lt;=$W$501,0,1))</f>
        <v>0</v>
      </c>
      <c r="AN529" cm="1">
        <f t="array" ref="AN529">IF(OR(Y529={"NS","NA"},$X$501={"NS","NA"}),0,IF(Y529&lt;=$X$501,0,1))</f>
        <v>0</v>
      </c>
    </row>
    <row r="530" spans="1:40" ht="15" customHeight="1">
      <c r="A530" s="176"/>
      <c r="B530" s="57"/>
      <c r="C530" s="98" t="s">
        <v>2526</v>
      </c>
      <c r="D530" s="813" t="s">
        <v>4692</v>
      </c>
      <c r="E530" s="814"/>
      <c r="F530" s="814"/>
      <c r="G530" s="814"/>
      <c r="H530" s="814"/>
      <c r="I530" s="814"/>
      <c r="J530" s="814"/>
      <c r="K530" s="814"/>
      <c r="L530" s="815"/>
      <c r="M530" s="749"/>
      <c r="N530" s="749"/>
      <c r="O530" s="749"/>
      <c r="P530" s="749"/>
      <c r="Q530" s="749"/>
      <c r="R530" s="749"/>
      <c r="S530" s="749"/>
      <c r="T530" s="749"/>
      <c r="U530" s="749"/>
      <c r="V530" s="749"/>
      <c r="W530" s="749"/>
      <c r="X530" s="749"/>
      <c r="Y530" s="749"/>
      <c r="Z530" s="749"/>
      <c r="AA530" s="749"/>
      <c r="AB530" s="749"/>
      <c r="AC530" s="749"/>
      <c r="AD530" s="749"/>
      <c r="AG530" s="57"/>
      <c r="AH530" s="57"/>
      <c r="AI530">
        <f t="shared" si="572"/>
        <v>0</v>
      </c>
      <c r="AJ530">
        <f t="shared" si="573"/>
        <v>0</v>
      </c>
      <c r="AK530">
        <f t="shared" si="574"/>
        <v>0</v>
      </c>
      <c r="AL530" cm="1">
        <f t="array" ref="AL530">IF(OR(M530={"NS","NA"},$V$501={"NS","NA"}),0,IF(M530&lt;=$V$501,0,1))</f>
        <v>0</v>
      </c>
      <c r="AM530" cm="1">
        <f t="array" ref="AM530">IF(OR(S530={"NS","NA"},$W$501={"NS","NA"}),0,IF(S530&lt;=$W$501,0,1))</f>
        <v>0</v>
      </c>
      <c r="AN530" cm="1">
        <f t="array" ref="AN530">IF(OR(Y530={"NS","NA"},$X$501={"NS","NA"}),0,IF(Y530&lt;=$X$501,0,1))</f>
        <v>0</v>
      </c>
    </row>
    <row r="531" spans="1:40" ht="15" customHeight="1">
      <c r="A531" s="176"/>
      <c r="B531" s="57"/>
      <c r="C531" s="98" t="s">
        <v>2527</v>
      </c>
      <c r="D531" s="813" t="s">
        <v>4693</v>
      </c>
      <c r="E531" s="814"/>
      <c r="F531" s="814"/>
      <c r="G531" s="814"/>
      <c r="H531" s="814"/>
      <c r="I531" s="814"/>
      <c r="J531" s="814"/>
      <c r="K531" s="814"/>
      <c r="L531" s="815"/>
      <c r="M531" s="749"/>
      <c r="N531" s="749"/>
      <c r="O531" s="749"/>
      <c r="P531" s="749"/>
      <c r="Q531" s="749"/>
      <c r="R531" s="749"/>
      <c r="S531" s="749"/>
      <c r="T531" s="749"/>
      <c r="U531" s="749"/>
      <c r="V531" s="749"/>
      <c r="W531" s="749"/>
      <c r="X531" s="749"/>
      <c r="Y531" s="749"/>
      <c r="Z531" s="749"/>
      <c r="AA531" s="749"/>
      <c r="AB531" s="749"/>
      <c r="AC531" s="749"/>
      <c r="AD531" s="749"/>
      <c r="AG531" s="57"/>
      <c r="AH531" s="57"/>
      <c r="AI531">
        <f t="shared" si="572"/>
        <v>0</v>
      </c>
      <c r="AJ531">
        <f t="shared" si="573"/>
        <v>0</v>
      </c>
      <c r="AK531">
        <f t="shared" si="574"/>
        <v>0</v>
      </c>
      <c r="AL531" cm="1">
        <f t="array" ref="AL531">IF(OR(M531={"NS","NA"},$V$501={"NS","NA"}),0,IF(M531&lt;=$V$501,0,1))</f>
        <v>0</v>
      </c>
      <c r="AM531" cm="1">
        <f t="array" ref="AM531">IF(OR(S531={"NS","NA"},$W$501={"NS","NA"}),0,IF(S531&lt;=$W$501,0,1))</f>
        <v>0</v>
      </c>
      <c r="AN531" cm="1">
        <f t="array" ref="AN531">IF(OR(Y531={"NS","NA"},$X$501={"NS","NA"}),0,IF(Y531&lt;=$X$501,0,1))</f>
        <v>0</v>
      </c>
    </row>
    <row r="532" spans="1:40" ht="15" customHeight="1">
      <c r="A532" s="176"/>
      <c r="B532" s="57"/>
      <c r="C532" s="98" t="s">
        <v>2528</v>
      </c>
      <c r="D532" s="813" t="s">
        <v>4694</v>
      </c>
      <c r="E532" s="814"/>
      <c r="F532" s="814"/>
      <c r="G532" s="814"/>
      <c r="H532" s="814"/>
      <c r="I532" s="814"/>
      <c r="J532" s="814"/>
      <c r="K532" s="814"/>
      <c r="L532" s="815"/>
      <c r="M532" s="749"/>
      <c r="N532" s="749"/>
      <c r="O532" s="749"/>
      <c r="P532" s="749"/>
      <c r="Q532" s="749"/>
      <c r="R532" s="749"/>
      <c r="S532" s="749"/>
      <c r="T532" s="749"/>
      <c r="U532" s="749"/>
      <c r="V532" s="749"/>
      <c r="W532" s="749"/>
      <c r="X532" s="749"/>
      <c r="Y532" s="749"/>
      <c r="Z532" s="749"/>
      <c r="AA532" s="749"/>
      <c r="AB532" s="749"/>
      <c r="AC532" s="749"/>
      <c r="AD532" s="749"/>
      <c r="AG532" s="57"/>
      <c r="AH532" s="57"/>
      <c r="AI532">
        <f t="shared" si="572"/>
        <v>0</v>
      </c>
      <c r="AJ532">
        <f t="shared" si="573"/>
        <v>0</v>
      </c>
      <c r="AK532">
        <f t="shared" si="574"/>
        <v>0</v>
      </c>
      <c r="AL532" cm="1">
        <f t="array" ref="AL532">IF(OR(M532={"NS","NA"},$V$501={"NS","NA"}),0,IF(M532&lt;=$V$501,0,1))</f>
        <v>0</v>
      </c>
      <c r="AM532" cm="1">
        <f t="array" ref="AM532">IF(OR(S532={"NS","NA"},$W$501={"NS","NA"}),0,IF(S532&lt;=$W$501,0,1))</f>
        <v>0</v>
      </c>
      <c r="AN532" cm="1">
        <f t="array" ref="AN532">IF(OR(Y532={"NS","NA"},$X$501={"NS","NA"}),0,IF(Y532&lt;=$X$501,0,1))</f>
        <v>0</v>
      </c>
    </row>
    <row r="533" spans="1:40" ht="15" customHeight="1">
      <c r="A533" s="176"/>
      <c r="B533" s="57"/>
      <c r="C533" s="98" t="s">
        <v>2529</v>
      </c>
      <c r="D533" s="813" t="s">
        <v>201</v>
      </c>
      <c r="E533" s="814"/>
      <c r="F533" s="814"/>
      <c r="G533" s="814"/>
      <c r="H533" s="814"/>
      <c r="I533" s="814"/>
      <c r="J533" s="814"/>
      <c r="K533" s="814"/>
      <c r="L533" s="815"/>
      <c r="M533" s="749"/>
      <c r="N533" s="749"/>
      <c r="O533" s="749"/>
      <c r="P533" s="749"/>
      <c r="Q533" s="749"/>
      <c r="R533" s="749"/>
      <c r="S533" s="749"/>
      <c r="T533" s="749"/>
      <c r="U533" s="749"/>
      <c r="V533" s="749"/>
      <c r="W533" s="749"/>
      <c r="X533" s="749"/>
      <c r="Y533" s="749"/>
      <c r="Z533" s="749"/>
      <c r="AA533" s="749"/>
      <c r="AB533" s="749"/>
      <c r="AC533" s="749"/>
      <c r="AD533" s="749"/>
      <c r="AG533" s="57"/>
      <c r="AH533" s="57"/>
      <c r="AI533">
        <f t="shared" si="572"/>
        <v>0</v>
      </c>
      <c r="AJ533">
        <f t="shared" si="573"/>
        <v>0</v>
      </c>
      <c r="AK533">
        <f t="shared" si="574"/>
        <v>0</v>
      </c>
      <c r="AL533" cm="1">
        <f t="array" ref="AL533">IF(OR(M533={"NS","NA"},$V$501={"NS","NA"}),0,IF(M533&lt;=$V$501,0,1))</f>
        <v>0</v>
      </c>
      <c r="AM533" cm="1">
        <f t="array" ref="AM533">IF(OR(S533={"NS","NA"},$W$501={"NS","NA"}),0,IF(S533&lt;=$W$501,0,1))</f>
        <v>0</v>
      </c>
      <c r="AN533" cm="1">
        <f t="array" ref="AN533">IF(OR(Y533={"NS","NA"},$X$501={"NS","NA"}),0,IF(Y533&lt;=$X$501,0,1))</f>
        <v>0</v>
      </c>
    </row>
    <row r="534" spans="1:40" ht="15" customHeight="1">
      <c r="A534" s="108"/>
      <c r="B534" s="38"/>
      <c r="C534" s="38"/>
      <c r="D534" s="38"/>
      <c r="E534" s="38"/>
      <c r="F534" s="38"/>
      <c r="G534" s="38"/>
      <c r="H534" s="38"/>
      <c r="I534" s="38"/>
      <c r="J534" s="38"/>
      <c r="K534" s="38"/>
      <c r="L534" s="117" t="s">
        <v>2649</v>
      </c>
      <c r="M534" s="736">
        <f>IF(AND(SUM(M520:M533)=0,COUNTIF(M520:M533,"NS")&gt;0),"NS",IF(AND(SUM(M520:M533)=0,COUNTIF(M520:M533,0)&gt;0),0,IF(AND(SUM(M520:M533)=0,COUNTIF(M520:M533,"NA")&gt;0),"NA",SUM(M520:M533))))</f>
        <v>0</v>
      </c>
      <c r="N534" s="1085"/>
      <c r="O534" s="1085"/>
      <c r="P534" s="1085"/>
      <c r="Q534" s="1085"/>
      <c r="R534" s="1086"/>
      <c r="S534" s="736">
        <f>IF(AND(SUM(S520:S533)=0,COUNTIF(S520:S533,"NS")&gt;0),"NS",IF(AND(SUM(S520:S533)=0,COUNTIF(S520:S533,0)&gt;0),0,IF(AND(SUM(S520:S533)=0,COUNTIF(S520:S533,"NA")&gt;0),"NA",SUM(S520:S533))))</f>
        <v>0</v>
      </c>
      <c r="T534" s="1085"/>
      <c r="U534" s="1085"/>
      <c r="V534" s="1085"/>
      <c r="W534" s="1085"/>
      <c r="X534" s="1086"/>
      <c r="Y534" s="736">
        <f>IF(AND(SUM(Y520:Y533)=0,COUNTIF(Y520:Y533,"NS")&gt;0),"NS",IF(AND(SUM(Y520:Y533)=0,COUNTIF(Y520:Y533,0)&gt;0),0,IF(AND(SUM(Y520:Y533)=0,COUNTIF(Y520:Y533,"NA")&gt;0),"NA",SUM(Y520:Y533))))</f>
        <v>0</v>
      </c>
      <c r="Z534" s="1085"/>
      <c r="AA534" s="1085"/>
      <c r="AB534" s="1085"/>
      <c r="AC534" s="1085"/>
      <c r="AD534" s="1086"/>
      <c r="AG534" s="57"/>
      <c r="AH534" s="57"/>
      <c r="AI534">
        <f>SUM(AI520:AI533)</f>
        <v>0</v>
      </c>
      <c r="AJ534" s="57"/>
      <c r="AK534" s="506">
        <f>SUM(AK520:AK533)</f>
        <v>0</v>
      </c>
      <c r="AN534" s="506">
        <f>IF(OR($V$501=0,$V$501="NS",$V$501="NA"),0,SUM(AL520:AN533))</f>
        <v>0</v>
      </c>
    </row>
    <row r="535" spans="1:40" ht="15" customHeight="1">
      <c r="A535" s="108"/>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c r="AA535" s="38"/>
      <c r="AB535" s="38"/>
      <c r="AC535" s="38"/>
      <c r="AD535" s="38"/>
    </row>
    <row r="536" spans="1:40" ht="45" customHeight="1">
      <c r="A536" s="108"/>
      <c r="B536" s="38"/>
      <c r="C536" s="822" t="s">
        <v>4695</v>
      </c>
      <c r="D536" s="967"/>
      <c r="E536" s="967"/>
      <c r="F536" s="749"/>
      <c r="G536" s="749"/>
      <c r="H536" s="749"/>
      <c r="I536" s="749"/>
      <c r="J536" s="749"/>
      <c r="K536" s="749"/>
      <c r="L536" s="749"/>
      <c r="M536" s="749"/>
      <c r="N536" s="749"/>
      <c r="O536" s="749"/>
      <c r="P536" s="749"/>
      <c r="Q536" s="749"/>
      <c r="R536" s="749"/>
      <c r="S536" s="749"/>
      <c r="T536" s="749"/>
      <c r="U536" s="749"/>
      <c r="V536" s="749"/>
      <c r="W536" s="749"/>
      <c r="X536" s="749"/>
      <c r="Y536" s="749"/>
      <c r="Z536" s="749"/>
      <c r="AA536" s="749"/>
      <c r="AB536" s="749"/>
      <c r="AC536" s="749"/>
      <c r="AD536" s="749"/>
    </row>
    <row r="537" spans="1:40" ht="15" customHeight="1">
      <c r="A537" s="176"/>
      <c r="B537" s="1003" t="str">
        <f>IF(AND(M532&gt;0,M532&lt;&gt;"NA",M532&lt;&gt;"NS",F536=""),"Debido a que cuenta con un valor mayor a cero en el numeral 13, debe anotar el nombre de dicha(s) familia lingüística","")</f>
        <v/>
      </c>
      <c r="C537" s="1003"/>
      <c r="D537" s="1003"/>
      <c r="E537" s="1003"/>
      <c r="F537" s="1003"/>
      <c r="G537" s="1003"/>
      <c r="H537" s="1003"/>
      <c r="I537" s="1003"/>
      <c r="J537" s="1003"/>
      <c r="K537" s="1003"/>
      <c r="L537" s="1003"/>
      <c r="M537" s="1003"/>
      <c r="N537" s="1003"/>
      <c r="O537" s="1003"/>
      <c r="P537" s="1003"/>
      <c r="Q537" s="1003"/>
      <c r="R537" s="1003"/>
      <c r="S537" s="1003"/>
      <c r="T537" s="1003"/>
      <c r="U537" s="1003"/>
      <c r="V537" s="1003"/>
      <c r="W537" s="1003"/>
      <c r="X537" s="1003"/>
      <c r="Y537" s="1003"/>
      <c r="Z537" s="1003"/>
      <c r="AA537" s="1003"/>
      <c r="AB537" s="1003"/>
      <c r="AC537" s="1003"/>
      <c r="AD537" s="1003"/>
      <c r="AE537" s="1003"/>
    </row>
    <row r="538" spans="1:40" ht="24" customHeight="1">
      <c r="A538" s="108"/>
      <c r="B538" s="38"/>
      <c r="C538" s="754" t="s">
        <v>2611</v>
      </c>
      <c r="D538" s="754"/>
      <c r="E538" s="754"/>
      <c r="F538" s="754"/>
      <c r="G538" s="754"/>
      <c r="H538" s="754"/>
      <c r="I538" s="754"/>
      <c r="J538" s="754"/>
      <c r="K538" s="754"/>
      <c r="L538" s="754"/>
      <c r="M538" s="754"/>
      <c r="N538" s="754"/>
      <c r="O538" s="754"/>
      <c r="P538" s="754"/>
      <c r="Q538" s="754"/>
      <c r="R538" s="754"/>
      <c r="S538" s="754"/>
      <c r="T538" s="754"/>
      <c r="U538" s="754"/>
      <c r="V538" s="754"/>
      <c r="W538" s="754"/>
      <c r="X538" s="754"/>
      <c r="Y538" s="754"/>
      <c r="Z538" s="754"/>
      <c r="AA538" s="754"/>
      <c r="AB538" s="754"/>
      <c r="AC538" s="754"/>
      <c r="AD538" s="754"/>
    </row>
    <row r="539" spans="1:40" ht="60" customHeight="1">
      <c r="A539" s="108"/>
      <c r="B539" s="38"/>
      <c r="C539" s="851"/>
      <c r="D539" s="851"/>
      <c r="E539" s="851"/>
      <c r="F539" s="851"/>
      <c r="G539" s="851"/>
      <c r="H539" s="851"/>
      <c r="I539" s="851"/>
      <c r="J539" s="851"/>
      <c r="K539" s="851"/>
      <c r="L539" s="851"/>
      <c r="M539" s="851"/>
      <c r="N539" s="851"/>
      <c r="O539" s="851"/>
      <c r="P539" s="851"/>
      <c r="Q539" s="851"/>
      <c r="R539" s="851"/>
      <c r="S539" s="851"/>
      <c r="T539" s="851"/>
      <c r="U539" s="851"/>
      <c r="V539" s="851"/>
      <c r="W539" s="851"/>
      <c r="X539" s="851"/>
      <c r="Y539" s="851"/>
      <c r="Z539" s="851"/>
      <c r="AA539" s="851"/>
      <c r="AB539" s="851"/>
      <c r="AC539" s="851"/>
      <c r="AD539" s="851"/>
    </row>
    <row r="540" spans="1:40" ht="15" customHeight="1">
      <c r="A540" s="176"/>
      <c r="B540" s="794" t="str">
        <f>IF(AG520=0,"","Favor de ingresar toda la información requerida en la pregunta")</f>
        <v/>
      </c>
      <c r="C540" s="794"/>
      <c r="D540" s="794"/>
      <c r="E540" s="794"/>
      <c r="F540" s="794"/>
      <c r="G540" s="794"/>
      <c r="H540" s="794"/>
      <c r="I540" s="794"/>
      <c r="J540" s="794"/>
      <c r="K540" s="794"/>
      <c r="L540" s="794"/>
      <c r="M540" s="794"/>
      <c r="N540" s="794"/>
      <c r="O540" s="794"/>
      <c r="P540" s="794"/>
      <c r="Q540" s="794"/>
      <c r="R540" s="794"/>
      <c r="S540" s="794"/>
      <c r="T540" s="794"/>
      <c r="U540" s="794"/>
      <c r="V540" s="794"/>
      <c r="W540" s="794"/>
      <c r="X540" s="794"/>
      <c r="Y540" s="794"/>
      <c r="Z540" s="794"/>
      <c r="AA540" s="794"/>
      <c r="AB540" s="794"/>
      <c r="AC540" s="794"/>
      <c r="AD540" s="794"/>
      <c r="AE540" s="794"/>
    </row>
    <row r="541" spans="1:40" ht="15" customHeight="1">
      <c r="A541" s="176"/>
      <c r="B541" s="1087" t="str">
        <f>IF(OR($V$501=0,$V$501="NS",$V$501="NA"),"",IF(COUNTIF(M520:AD533,"NS")&lt;&gt;0,"Alerta: debido a que cuenta con registros NS, debe proporcionar una justificación en el area de comentarios al final de la pregunta",""))</f>
        <v/>
      </c>
      <c r="C541" s="1087"/>
      <c r="D541" s="1087"/>
      <c r="E541" s="1087"/>
      <c r="F541" s="1087"/>
      <c r="G541" s="1087"/>
      <c r="H541" s="1087"/>
      <c r="I541" s="1087"/>
      <c r="J541" s="1087"/>
      <c r="K541" s="1087"/>
      <c r="L541" s="1087"/>
      <c r="M541" s="1087"/>
      <c r="N541" s="1087"/>
      <c r="O541" s="1087"/>
      <c r="P541" s="1087"/>
      <c r="Q541" s="1087"/>
      <c r="R541" s="1087"/>
      <c r="S541" s="1087"/>
      <c r="T541" s="1087"/>
      <c r="U541" s="1087"/>
      <c r="V541" s="1087"/>
      <c r="W541" s="1087"/>
      <c r="X541" s="1087"/>
      <c r="Y541" s="1087"/>
      <c r="Z541" s="1087"/>
      <c r="AA541" s="1087"/>
      <c r="AB541" s="1087"/>
      <c r="AC541" s="1087"/>
      <c r="AD541" s="1087"/>
      <c r="AE541" s="1087"/>
    </row>
    <row r="542" spans="1:40" ht="15" customHeight="1">
      <c r="A542" s="185"/>
      <c r="B542" s="1003" t="str">
        <f>IF(AH520&gt;0,"Revise la información capturada, ya que tiene datos ingresados en celdas que están sombreadas","")</f>
        <v/>
      </c>
      <c r="C542" s="1003"/>
      <c r="D542" s="1003"/>
      <c r="E542" s="1003"/>
      <c r="F542" s="1003"/>
      <c r="G542" s="1003"/>
      <c r="H542" s="1003"/>
      <c r="I542" s="1003"/>
      <c r="J542" s="1003"/>
      <c r="K542" s="1003"/>
      <c r="L542" s="1003"/>
      <c r="M542" s="1003"/>
      <c r="N542" s="1003"/>
      <c r="O542" s="1003"/>
      <c r="P542" s="1003"/>
      <c r="Q542" s="1003"/>
      <c r="R542" s="1003"/>
      <c r="S542" s="1003"/>
      <c r="T542" s="1003"/>
      <c r="U542" s="1003"/>
      <c r="V542" s="1003"/>
      <c r="W542" s="1003"/>
      <c r="X542" s="1003"/>
      <c r="Y542" s="1003"/>
      <c r="Z542" s="1003"/>
      <c r="AA542" s="1003"/>
      <c r="AB542" s="1003"/>
      <c r="AC542" s="1003"/>
      <c r="AD542" s="1003"/>
      <c r="AE542" s="1003"/>
    </row>
    <row r="543" spans="1:40" ht="15" customHeight="1">
      <c r="A543" s="176"/>
      <c r="B543" s="1003" t="str">
        <f>IF(OR($V$501=0,$V$501="NS",$V$501="NA"),"",IF(AK534&gt;0,"Favor de revisar la suma y consistencia de totales y/o subtotales por filas (numéricos y NS)",""))</f>
        <v/>
      </c>
      <c r="C543" s="1003"/>
      <c r="D543" s="1003"/>
      <c r="E543" s="1003"/>
      <c r="F543" s="1003"/>
      <c r="G543" s="1003"/>
      <c r="H543" s="1003"/>
      <c r="I543" s="1003"/>
      <c r="J543" s="1003"/>
      <c r="K543" s="1003"/>
      <c r="L543" s="1003"/>
      <c r="M543" s="1003"/>
      <c r="N543" s="1003"/>
      <c r="O543" s="1003"/>
      <c r="P543" s="1003"/>
      <c r="Q543" s="1003"/>
      <c r="R543" s="1003"/>
      <c r="S543" s="1003"/>
      <c r="T543" s="1003"/>
      <c r="U543" s="1003"/>
      <c r="V543" s="1003"/>
      <c r="W543" s="1003"/>
      <c r="X543" s="1003"/>
      <c r="Y543" s="1003"/>
      <c r="Z543" s="1003"/>
      <c r="AA543" s="1003"/>
      <c r="AB543" s="1003"/>
      <c r="AC543" s="1003"/>
      <c r="AD543" s="1003"/>
      <c r="AE543" s="1003"/>
    </row>
    <row r="544" spans="1:40" ht="15" customHeight="1">
      <c r="A544" s="176"/>
      <c r="B544" s="794" t="str">
        <f>IF(AQ521&gt;0,"Favor de revisar la instrucción 3, debido a que no se cumplen con los criterios mencionados","")</f>
        <v/>
      </c>
      <c r="C544" s="794"/>
      <c r="D544" s="794"/>
      <c r="E544" s="794"/>
      <c r="F544" s="794"/>
      <c r="G544" s="794"/>
      <c r="H544" s="794"/>
      <c r="I544" s="794"/>
      <c r="J544" s="794"/>
      <c r="K544" s="794"/>
      <c r="L544" s="794"/>
      <c r="M544" s="794"/>
      <c r="N544" s="794"/>
      <c r="O544" s="794"/>
      <c r="P544" s="794"/>
      <c r="Q544" s="794"/>
      <c r="R544" s="794"/>
      <c r="S544" s="794"/>
      <c r="T544" s="794"/>
      <c r="U544" s="794"/>
      <c r="V544" s="794"/>
      <c r="W544" s="794"/>
      <c r="X544" s="794"/>
      <c r="Y544" s="794"/>
      <c r="Z544" s="794"/>
      <c r="AA544" s="794"/>
      <c r="AB544" s="794"/>
      <c r="AC544" s="794"/>
      <c r="AD544" s="794"/>
      <c r="AE544" s="794"/>
    </row>
    <row r="545" spans="1:58" ht="15" customHeight="1">
      <c r="A545" s="176"/>
      <c r="B545" s="795" t="str">
        <f>IF(AN534&gt;0,"Alerta: debe de proporcionar una justificación de acuerdo a lo establecido en la instrucción 4","")</f>
        <v/>
      </c>
      <c r="C545" s="795"/>
      <c r="D545" s="795"/>
      <c r="E545" s="795"/>
      <c r="F545" s="795"/>
      <c r="G545" s="795"/>
      <c r="H545" s="795"/>
      <c r="I545" s="795"/>
      <c r="J545" s="795"/>
      <c r="K545" s="795"/>
      <c r="L545" s="795"/>
      <c r="M545" s="795"/>
      <c r="N545" s="795"/>
      <c r="O545" s="795"/>
      <c r="P545" s="795"/>
      <c r="Q545" s="795"/>
      <c r="R545" s="795"/>
      <c r="S545" s="795"/>
      <c r="T545" s="795"/>
      <c r="U545" s="795"/>
      <c r="V545" s="795"/>
      <c r="W545" s="795"/>
      <c r="X545" s="795"/>
      <c r="Y545" s="795"/>
      <c r="Z545" s="795"/>
      <c r="AA545" s="795"/>
      <c r="AB545" s="795"/>
      <c r="AC545" s="795"/>
      <c r="AD545" s="795"/>
      <c r="AE545" s="795"/>
    </row>
    <row r="546" spans="1:58" ht="36" customHeight="1">
      <c r="A546" s="49" t="s">
        <v>5272</v>
      </c>
      <c r="B546" s="829" t="s">
        <v>5273</v>
      </c>
      <c r="C546" s="829"/>
      <c r="D546" s="829"/>
      <c r="E546" s="829"/>
      <c r="F546" s="829"/>
      <c r="G546" s="829"/>
      <c r="H546" s="829"/>
      <c r="I546" s="829"/>
      <c r="J546" s="829"/>
      <c r="K546" s="829"/>
      <c r="L546" s="829"/>
      <c r="M546" s="829"/>
      <c r="N546" s="829"/>
      <c r="O546" s="829"/>
      <c r="P546" s="829"/>
      <c r="Q546" s="829"/>
      <c r="R546" s="829"/>
      <c r="S546" s="829"/>
      <c r="T546" s="829"/>
      <c r="U546" s="829"/>
      <c r="V546" s="829"/>
      <c r="W546" s="829"/>
      <c r="X546" s="829"/>
      <c r="Y546" s="829"/>
      <c r="Z546" s="829"/>
      <c r="AA546" s="829"/>
      <c r="AB546" s="829"/>
      <c r="AC546" s="829"/>
      <c r="AD546" s="829"/>
    </row>
    <row r="547" spans="1:58" ht="15" customHeight="1">
      <c r="A547" s="176"/>
      <c r="B547" s="57"/>
      <c r="C547" s="57"/>
      <c r="D547" s="57"/>
      <c r="E547" s="57"/>
      <c r="F547" s="57"/>
      <c r="G547" s="57"/>
      <c r="H547" s="57"/>
      <c r="I547" s="57"/>
      <c r="J547" s="57"/>
      <c r="K547" s="57"/>
      <c r="L547" s="57"/>
      <c r="M547" s="57"/>
      <c r="N547" s="57"/>
      <c r="O547" s="57"/>
      <c r="P547" s="57"/>
      <c r="Q547" s="57"/>
      <c r="R547" s="57"/>
      <c r="S547" s="57"/>
      <c r="T547" s="57"/>
      <c r="U547" s="57"/>
      <c r="V547" s="57"/>
      <c r="W547" s="57"/>
      <c r="X547" s="57"/>
      <c r="Y547" s="57"/>
      <c r="Z547" s="57"/>
      <c r="AA547" s="57"/>
      <c r="AB547" s="57"/>
      <c r="AC547" s="57"/>
      <c r="AD547" s="57"/>
    </row>
    <row r="548" spans="1:58" ht="36" customHeight="1">
      <c r="A548" s="108"/>
      <c r="B548" s="38"/>
      <c r="C548" s="797" t="s">
        <v>2581</v>
      </c>
      <c r="D548" s="798"/>
      <c r="E548" s="798"/>
      <c r="F548" s="798"/>
      <c r="G548" s="798"/>
      <c r="H548" s="798"/>
      <c r="I548" s="798"/>
      <c r="J548" s="798"/>
      <c r="K548" s="798"/>
      <c r="L548" s="798"/>
      <c r="M548" s="798"/>
      <c r="N548" s="798"/>
      <c r="O548" s="798"/>
      <c r="P548" s="798"/>
      <c r="Q548" s="798"/>
      <c r="R548" s="799"/>
      <c r="S548" s="739" t="s">
        <v>5274</v>
      </c>
      <c r="T548" s="740"/>
      <c r="U548" s="740"/>
      <c r="V548" s="740"/>
      <c r="W548" s="740"/>
      <c r="X548" s="740"/>
      <c r="Y548" s="740"/>
      <c r="Z548" s="740"/>
      <c r="AA548" s="740"/>
      <c r="AB548" s="740"/>
      <c r="AC548" s="740"/>
      <c r="AD548" s="741"/>
    </row>
    <row r="549" spans="1:58" ht="48" customHeight="1">
      <c r="A549" s="108"/>
      <c r="B549" s="38"/>
      <c r="C549" s="800"/>
      <c r="D549" s="801"/>
      <c r="E549" s="801"/>
      <c r="F549" s="801"/>
      <c r="G549" s="801"/>
      <c r="H549" s="801"/>
      <c r="I549" s="801"/>
      <c r="J549" s="801"/>
      <c r="K549" s="801"/>
      <c r="L549" s="801"/>
      <c r="M549" s="801"/>
      <c r="N549" s="801"/>
      <c r="O549" s="801"/>
      <c r="P549" s="801"/>
      <c r="Q549" s="801"/>
      <c r="R549" s="802"/>
      <c r="S549" s="887" t="s">
        <v>2628</v>
      </c>
      <c r="T549" s="889" t="s">
        <v>2629</v>
      </c>
      <c r="U549" s="889" t="s">
        <v>2630</v>
      </c>
      <c r="V549" s="733" t="s">
        <v>4699</v>
      </c>
      <c r="W549" s="734"/>
      <c r="X549" s="735"/>
      <c r="Y549" s="733" t="s">
        <v>4700</v>
      </c>
      <c r="Z549" s="734"/>
      <c r="AA549" s="735"/>
      <c r="AB549" s="733" t="s">
        <v>201</v>
      </c>
      <c r="AC549" s="734"/>
      <c r="AD549" s="735"/>
    </row>
    <row r="550" spans="1:58" ht="48" customHeight="1">
      <c r="A550" s="108"/>
      <c r="B550" s="38"/>
      <c r="C550" s="803"/>
      <c r="D550" s="804"/>
      <c r="E550" s="804"/>
      <c r="F550" s="804"/>
      <c r="G550" s="804"/>
      <c r="H550" s="804"/>
      <c r="I550" s="804"/>
      <c r="J550" s="804"/>
      <c r="K550" s="804"/>
      <c r="L550" s="804"/>
      <c r="M550" s="804"/>
      <c r="N550" s="804"/>
      <c r="O550" s="804"/>
      <c r="P550" s="804"/>
      <c r="Q550" s="804"/>
      <c r="R550" s="805"/>
      <c r="S550" s="888"/>
      <c r="T550" s="890"/>
      <c r="U550" s="890"/>
      <c r="V550" s="171" t="s">
        <v>2635</v>
      </c>
      <c r="W550" s="128" t="s">
        <v>2629</v>
      </c>
      <c r="X550" s="128" t="s">
        <v>2630</v>
      </c>
      <c r="Y550" s="171" t="s">
        <v>2635</v>
      </c>
      <c r="Z550" s="128" t="s">
        <v>2629</v>
      </c>
      <c r="AA550" s="128" t="s">
        <v>2630</v>
      </c>
      <c r="AB550" s="171" t="s">
        <v>2635</v>
      </c>
      <c r="AC550" s="128" t="s">
        <v>2629</v>
      </c>
      <c r="AD550" s="128" t="s">
        <v>2630</v>
      </c>
      <c r="AG550" t="s">
        <v>2586</v>
      </c>
      <c r="AH550" t="s">
        <v>4581</v>
      </c>
      <c r="AK550" t="s">
        <v>4573</v>
      </c>
      <c r="AL550" t="s">
        <v>2638</v>
      </c>
      <c r="AM550" t="s">
        <v>2639</v>
      </c>
      <c r="AN550" t="s">
        <v>4574</v>
      </c>
      <c r="AO550" t="s">
        <v>2641</v>
      </c>
      <c r="AP550" t="s">
        <v>2642</v>
      </c>
      <c r="AQ550" t="s">
        <v>4575</v>
      </c>
      <c r="AR550" t="s">
        <v>2644</v>
      </c>
      <c r="AS550" t="s">
        <v>2645</v>
      </c>
      <c r="AT550" t="s">
        <v>4576</v>
      </c>
      <c r="AU550" t="s">
        <v>2647</v>
      </c>
      <c r="AV550" t="s">
        <v>2648</v>
      </c>
      <c r="BF550" t="s">
        <v>4582</v>
      </c>
    </row>
    <row r="551" spans="1:58" ht="15" customHeight="1">
      <c r="A551" s="108"/>
      <c r="B551" s="38"/>
      <c r="C551" s="97" t="s">
        <v>2516</v>
      </c>
      <c r="D551" s="813" t="str">
        <f>IF(CNSIPEE_2024_M2_Secc1!D42="","",CNSIPEE_2024_M2_Secc1!D42)</f>
        <v/>
      </c>
      <c r="E551" s="814"/>
      <c r="F551" s="814"/>
      <c r="G551" s="814"/>
      <c r="H551" s="814"/>
      <c r="I551" s="814"/>
      <c r="J551" s="814"/>
      <c r="K551" s="814"/>
      <c r="L551" s="814"/>
      <c r="M551" s="814"/>
      <c r="N551" s="814"/>
      <c r="O551" s="814"/>
      <c r="P551" s="814"/>
      <c r="Q551" s="814"/>
      <c r="R551" s="815"/>
      <c r="S551" s="100"/>
      <c r="T551" s="100"/>
      <c r="U551" s="100"/>
      <c r="V551" s="100"/>
      <c r="W551" s="100"/>
      <c r="X551" s="100"/>
      <c r="Y551" s="100"/>
      <c r="Z551" s="100"/>
      <c r="AA551" s="100"/>
      <c r="AB551" s="100"/>
      <c r="AC551" s="100"/>
      <c r="AD551" s="100"/>
      <c r="AG551">
        <f>IF(OR($M40=0,$M40="NS",$M40="NA"),0,IF(OR(COUNTBLANK(D551:AD551)=14,COUNTBLANK(D551:AD551)=27),0,1))</f>
        <v>0</v>
      </c>
      <c r="AH551">
        <f>IF(OR($M40=0,$M40="NS",$M40="NA"),IF(COUNTBLANK(S551:AD551)=12,0,1),0)</f>
        <v>0</v>
      </c>
      <c r="AK551">
        <f t="shared" ref="AK551" si="575">COUNTIF(T551:U551,"NS")</f>
        <v>0</v>
      </c>
      <c r="AL551">
        <f t="shared" ref="AL551" si="576">SUM(T551:U551)</f>
        <v>0</v>
      </c>
      <c r="AM551">
        <f>IF(COUNTIF(S551:U551,"NA")=3,0,IF(COUNTA(S551:U551)=0,0,IF(OR(AND(S551=0,AK551&gt;0),AND(S551="ns",AL551&gt;0),AND(S551="ns",AK551=0,AL551=0)),1,IF(OR(AND(S551&gt;0,AK551=2),AND(S551="ns",AK551=2),AND(S551="ns",AL551=0,AK551&gt;0),S551=AL551),0,1))))</f>
        <v>0</v>
      </c>
      <c r="AN551">
        <f t="shared" ref="AN551" si="577">COUNTIF(W551:X551,"NS")</f>
        <v>0</v>
      </c>
      <c r="AO551">
        <f t="shared" ref="AO551" si="578">SUM(W551:X551)</f>
        <v>0</v>
      </c>
      <c r="AP551">
        <f t="shared" ref="AP551" si="579">IF(COUNTIF(V551:X551,"NA")=3,0,IF(COUNTA(V551:X551)=0,0,IF(OR(AND(V551=0,AN551&gt;0),AND(V551="ns",AO551&gt;0),AND(V551="ns",AN551=0,AO551=0)),1,IF(OR(AND(V551&gt;0,AN551=2),AND(V551="ns",AN551=2),AND(V551="ns",AO551=0,AN551&gt;0),V551=AO551),0,1))))</f>
        <v>0</v>
      </c>
      <c r="AQ551">
        <f t="shared" ref="AQ551" si="580">COUNTIF(Z551:AA551,"NS")</f>
        <v>0</v>
      </c>
      <c r="AR551">
        <f t="shared" ref="AR551" si="581">SUM(Z551:AA551)</f>
        <v>0</v>
      </c>
      <c r="AS551">
        <f t="shared" ref="AS551" si="582">IF(COUNTIF(Y551:AA551,"NA")=3,0,IF(COUNTA(Y551:AA551)=0,0,IF(OR(AND(Y551=0,AQ551&gt;0),AND(Y551="ns",AR551&gt;0),AND(Y551="ns",AQ551=0,AR551=0)),1,IF(OR(AND(Y551&gt;0,AQ551=2),AND(Y551="ns",AQ551=2),AND(Y551="ns",AR551=0,AQ551&gt;0),Y551=AR551),0,1))))</f>
        <v>0</v>
      </c>
      <c r="AT551">
        <f t="shared" ref="AT551" si="583">COUNTIF(AC551:AD551,"NS")</f>
        <v>0</v>
      </c>
      <c r="AU551">
        <f t="shared" ref="AU551" si="584">SUM(AC551:AD551)</f>
        <v>0</v>
      </c>
      <c r="AV551">
        <f t="shared" ref="AV551" si="585">IF(COUNTIF(AB551:AD551,"NA")=3,0,IF(COUNTA(AB551:AD551)=0,0,IF(OR(AND(AB551=0,AT551&gt;0),AND(AB551="ns",AU551&gt;0),AND(AB551="ns",AT551=0,AU551=0)),1,IF(OR(AND(AB551&gt;0,AT551=2),AND(AB551="ns",AT551=2),AND(AB551="ns",AU551=0,AT551&gt;0),AB551=AU551),0,1))))</f>
        <v>0</v>
      </c>
      <c r="BF551">
        <f>IF(OR($M40=0,$M40="NS",$M40="NA"),0,IF(AND(M40=S551,S40=T551,Y40=U551),0,1))</f>
        <v>0</v>
      </c>
    </row>
    <row r="552" spans="1:58" ht="15" customHeight="1">
      <c r="A552" s="108"/>
      <c r="B552" s="38"/>
      <c r="C552" s="98" t="s">
        <v>2517</v>
      </c>
      <c r="D552" s="813" t="str">
        <f>IF(CNSIPEE_2024_M2_Secc1!D43="","",CNSIPEE_2024_M2_Secc1!D43)</f>
        <v/>
      </c>
      <c r="E552" s="814"/>
      <c r="F552" s="814"/>
      <c r="G552" s="814"/>
      <c r="H552" s="814"/>
      <c r="I552" s="814"/>
      <c r="J552" s="814"/>
      <c r="K552" s="814"/>
      <c r="L552" s="814"/>
      <c r="M552" s="814"/>
      <c r="N552" s="814"/>
      <c r="O552" s="814"/>
      <c r="P552" s="814"/>
      <c r="Q552" s="814"/>
      <c r="R552" s="815"/>
      <c r="S552" s="100"/>
      <c r="T552" s="100"/>
      <c r="U552" s="100"/>
      <c r="V552" s="100"/>
      <c r="W552" s="100"/>
      <c r="X552" s="100"/>
      <c r="Y552" s="100"/>
      <c r="Z552" s="100"/>
      <c r="AA552" s="100"/>
      <c r="AB552" s="100"/>
      <c r="AC552" s="100"/>
      <c r="AD552" s="100"/>
      <c r="AG552">
        <f t="shared" ref="AG552:AG558" si="586">IF(OR($M41=0,$M41="NS",$M41="NA"),0,IF(OR(COUNTBLANK(D552:AD552)=14,COUNTBLANK(D552:AD552)=27),0,1))</f>
        <v>0</v>
      </c>
      <c r="AH552">
        <f t="shared" ref="AH552:AH558" si="587">IF(OR($M41=0,$M41="NS",$M41="NA"),IF(COUNTBLANK(S552:AD552)=12,0,1),0)</f>
        <v>0</v>
      </c>
      <c r="AK552">
        <f t="shared" ref="AK552:AK558" si="588">COUNTIF(T552:U552,"NS")</f>
        <v>0</v>
      </c>
      <c r="AL552">
        <f t="shared" ref="AL552:AL558" si="589">SUM(T552:U552)</f>
        <v>0</v>
      </c>
      <c r="AM552">
        <f t="shared" ref="AM552:AM558" si="590">IF(COUNTIF(S552:U552,"NA")=3,0,IF(COUNTA(S552:U552)=0,0,IF(OR(AND(S552=0,AK552&gt;0),AND(S552="ns",AL552&gt;0),AND(S552="ns",AK552=0,AL552=0)),1,IF(OR(AND(S552&gt;0,AK552=2),AND(S552="ns",AK552=2),AND(S552="ns",AL552=0,AK552&gt;0),S552=AL552),0,1))))</f>
        <v>0</v>
      </c>
      <c r="AN552">
        <f t="shared" ref="AN552:AN558" si="591">COUNTIF(W552:X552,"NS")</f>
        <v>0</v>
      </c>
      <c r="AO552">
        <f t="shared" ref="AO552:AO558" si="592">SUM(W552:X552)</f>
        <v>0</v>
      </c>
      <c r="AP552">
        <f t="shared" ref="AP552:AP558" si="593">IF(COUNTIF(V552:X552,"NA")=3,0,IF(COUNTA(V552:X552)=0,0,IF(OR(AND(V552=0,AN552&gt;0),AND(V552="ns",AO552&gt;0),AND(V552="ns",AN552=0,AO552=0)),1,IF(OR(AND(V552&gt;0,AN552=2),AND(V552="ns",AN552=2),AND(V552="ns",AO552=0,AN552&gt;0),V552=AO552),0,1))))</f>
        <v>0</v>
      </c>
      <c r="AQ552">
        <f t="shared" ref="AQ552:AQ558" si="594">COUNTIF(Z552:AA552,"NS")</f>
        <v>0</v>
      </c>
      <c r="AR552">
        <f t="shared" ref="AR552:AR558" si="595">SUM(Z552:AA552)</f>
        <v>0</v>
      </c>
      <c r="AS552">
        <f t="shared" ref="AS552:AS558" si="596">IF(COUNTIF(Y552:AA552,"NA")=3,0,IF(COUNTA(Y552:AA552)=0,0,IF(OR(AND(Y552=0,AQ552&gt;0),AND(Y552="ns",AR552&gt;0),AND(Y552="ns",AQ552=0,AR552=0)),1,IF(OR(AND(Y552&gt;0,AQ552=2),AND(Y552="ns",AQ552=2),AND(Y552="ns",AR552=0,AQ552&gt;0),Y552=AR552),0,1))))</f>
        <v>0</v>
      </c>
      <c r="AT552">
        <f t="shared" ref="AT552:AT558" si="597">COUNTIF(AC552:AD552,"NS")</f>
        <v>0</v>
      </c>
      <c r="AU552">
        <f t="shared" ref="AU552:AU558" si="598">SUM(AC552:AD552)</f>
        <v>0</v>
      </c>
      <c r="AV552">
        <f t="shared" ref="AV552:AV558" si="599">IF(COUNTIF(AB552:AD552,"NA")=3,0,IF(COUNTA(AB552:AD552)=0,0,IF(OR(AND(AB552=0,AT552&gt;0),AND(AB552="ns",AU552&gt;0),AND(AB552="ns",AT552=0,AU552=0)),1,IF(OR(AND(AB552&gt;0,AT552=2),AND(AB552="ns",AT552=2),AND(AB552="ns",AU552=0,AT552&gt;0),AB552=AU552),0,1))))</f>
        <v>0</v>
      </c>
      <c r="BF552">
        <f t="shared" ref="BF552:BF557" si="600">IF(OR($M41=0,$M41="NS",$M41="NA"),0,IF(AND(M41=S552,S41=T552,Y41=U552),0,1))</f>
        <v>0</v>
      </c>
    </row>
    <row r="553" spans="1:58" ht="15" customHeight="1">
      <c r="A553" s="186"/>
      <c r="B553" s="57"/>
      <c r="C553" s="98" t="s">
        <v>2518</v>
      </c>
      <c r="D553" s="813" t="str">
        <f>IF(CNSIPEE_2024_M2_Secc1!D44="","",CNSIPEE_2024_M2_Secc1!D44)</f>
        <v/>
      </c>
      <c r="E553" s="814"/>
      <c r="F553" s="814"/>
      <c r="G553" s="814"/>
      <c r="H553" s="814"/>
      <c r="I553" s="814"/>
      <c r="J553" s="814"/>
      <c r="K553" s="814"/>
      <c r="L553" s="814"/>
      <c r="M553" s="814"/>
      <c r="N553" s="814"/>
      <c r="O553" s="814"/>
      <c r="P553" s="814"/>
      <c r="Q553" s="814"/>
      <c r="R553" s="815"/>
      <c r="S553" s="100"/>
      <c r="T553" s="100"/>
      <c r="U553" s="100"/>
      <c r="V553" s="100"/>
      <c r="W553" s="100"/>
      <c r="X553" s="100"/>
      <c r="Y553" s="100"/>
      <c r="Z553" s="100"/>
      <c r="AA553" s="100"/>
      <c r="AB553" s="100"/>
      <c r="AC553" s="100"/>
      <c r="AD553" s="100"/>
      <c r="AG553">
        <f t="shared" si="586"/>
        <v>0</v>
      </c>
      <c r="AH553">
        <f t="shared" si="587"/>
        <v>0</v>
      </c>
      <c r="AK553">
        <f t="shared" si="588"/>
        <v>0</v>
      </c>
      <c r="AL553">
        <f t="shared" si="589"/>
        <v>0</v>
      </c>
      <c r="AM553">
        <f t="shared" si="590"/>
        <v>0</v>
      </c>
      <c r="AN553">
        <f t="shared" si="591"/>
        <v>0</v>
      </c>
      <c r="AO553">
        <f t="shared" si="592"/>
        <v>0</v>
      </c>
      <c r="AP553">
        <f t="shared" si="593"/>
        <v>0</v>
      </c>
      <c r="AQ553">
        <f t="shared" si="594"/>
        <v>0</v>
      </c>
      <c r="AR553">
        <f t="shared" si="595"/>
        <v>0</v>
      </c>
      <c r="AS553">
        <f t="shared" si="596"/>
        <v>0</v>
      </c>
      <c r="AT553">
        <f t="shared" si="597"/>
        <v>0</v>
      </c>
      <c r="AU553">
        <f t="shared" si="598"/>
        <v>0</v>
      </c>
      <c r="AV553">
        <f t="shared" si="599"/>
        <v>0</v>
      </c>
      <c r="BF553">
        <f t="shared" si="600"/>
        <v>0</v>
      </c>
    </row>
    <row r="554" spans="1:58" ht="15" customHeight="1">
      <c r="A554" s="186"/>
      <c r="B554" s="57"/>
      <c r="C554" s="98" t="s">
        <v>2519</v>
      </c>
      <c r="D554" s="813" t="str">
        <f>IF(CNSIPEE_2024_M2_Secc1!D45="","",CNSIPEE_2024_M2_Secc1!D45)</f>
        <v/>
      </c>
      <c r="E554" s="814"/>
      <c r="F554" s="814"/>
      <c r="G554" s="814"/>
      <c r="H554" s="814"/>
      <c r="I554" s="814"/>
      <c r="J554" s="814"/>
      <c r="K554" s="814"/>
      <c r="L554" s="814"/>
      <c r="M554" s="814"/>
      <c r="N554" s="814"/>
      <c r="O554" s="814"/>
      <c r="P554" s="814"/>
      <c r="Q554" s="814"/>
      <c r="R554" s="815"/>
      <c r="S554" s="100"/>
      <c r="T554" s="100"/>
      <c r="U554" s="100"/>
      <c r="V554" s="100"/>
      <c r="W554" s="100"/>
      <c r="X554" s="100"/>
      <c r="Y554" s="100"/>
      <c r="Z554" s="100"/>
      <c r="AA554" s="100"/>
      <c r="AB554" s="100"/>
      <c r="AC554" s="100"/>
      <c r="AD554" s="100"/>
      <c r="AG554">
        <f t="shared" si="586"/>
        <v>0</v>
      </c>
      <c r="AH554">
        <f t="shared" si="587"/>
        <v>0</v>
      </c>
      <c r="AK554">
        <f t="shared" si="588"/>
        <v>0</v>
      </c>
      <c r="AL554">
        <f t="shared" si="589"/>
        <v>0</v>
      </c>
      <c r="AM554">
        <f t="shared" si="590"/>
        <v>0</v>
      </c>
      <c r="AN554">
        <f t="shared" si="591"/>
        <v>0</v>
      </c>
      <c r="AO554">
        <f t="shared" si="592"/>
        <v>0</v>
      </c>
      <c r="AP554">
        <f t="shared" si="593"/>
        <v>0</v>
      </c>
      <c r="AQ554">
        <f t="shared" si="594"/>
        <v>0</v>
      </c>
      <c r="AR554">
        <f t="shared" si="595"/>
        <v>0</v>
      </c>
      <c r="AS554">
        <f t="shared" si="596"/>
        <v>0</v>
      </c>
      <c r="AT554">
        <f t="shared" si="597"/>
        <v>0</v>
      </c>
      <c r="AU554">
        <f t="shared" si="598"/>
        <v>0</v>
      </c>
      <c r="AV554">
        <f t="shared" si="599"/>
        <v>0</v>
      </c>
      <c r="BF554">
        <f t="shared" si="600"/>
        <v>0</v>
      </c>
    </row>
    <row r="555" spans="1:58" ht="15" customHeight="1">
      <c r="A555" s="186"/>
      <c r="B555" s="57"/>
      <c r="C555" s="98" t="s">
        <v>2520</v>
      </c>
      <c r="D555" s="813" t="str">
        <f>IF(CNSIPEE_2024_M2_Secc1!D46="","",CNSIPEE_2024_M2_Secc1!D46)</f>
        <v/>
      </c>
      <c r="E555" s="814"/>
      <c r="F555" s="814"/>
      <c r="G555" s="814"/>
      <c r="H555" s="814"/>
      <c r="I555" s="814"/>
      <c r="J555" s="814"/>
      <c r="K555" s="814"/>
      <c r="L555" s="814"/>
      <c r="M555" s="814"/>
      <c r="N555" s="814"/>
      <c r="O555" s="814"/>
      <c r="P555" s="814"/>
      <c r="Q555" s="814"/>
      <c r="R555" s="815"/>
      <c r="S555" s="100"/>
      <c r="T555" s="100"/>
      <c r="U555" s="100"/>
      <c r="V555" s="100"/>
      <c r="W555" s="100"/>
      <c r="X555" s="100"/>
      <c r="Y555" s="100"/>
      <c r="Z555" s="100"/>
      <c r="AA555" s="100"/>
      <c r="AB555" s="100"/>
      <c r="AC555" s="100"/>
      <c r="AD555" s="100"/>
      <c r="AG555">
        <f t="shared" si="586"/>
        <v>0</v>
      </c>
      <c r="AH555">
        <f t="shared" si="587"/>
        <v>0</v>
      </c>
      <c r="AK555">
        <f t="shared" si="588"/>
        <v>0</v>
      </c>
      <c r="AL555">
        <f t="shared" si="589"/>
        <v>0</v>
      </c>
      <c r="AM555">
        <f t="shared" si="590"/>
        <v>0</v>
      </c>
      <c r="AN555">
        <f t="shared" si="591"/>
        <v>0</v>
      </c>
      <c r="AO555">
        <f t="shared" si="592"/>
        <v>0</v>
      </c>
      <c r="AP555">
        <f t="shared" si="593"/>
        <v>0</v>
      </c>
      <c r="AQ555">
        <f t="shared" si="594"/>
        <v>0</v>
      </c>
      <c r="AR555">
        <f t="shared" si="595"/>
        <v>0</v>
      </c>
      <c r="AS555">
        <f t="shared" si="596"/>
        <v>0</v>
      </c>
      <c r="AT555">
        <f t="shared" si="597"/>
        <v>0</v>
      </c>
      <c r="AU555">
        <f t="shared" si="598"/>
        <v>0</v>
      </c>
      <c r="AV555">
        <f t="shared" si="599"/>
        <v>0</v>
      </c>
      <c r="BF555">
        <f t="shared" si="600"/>
        <v>0</v>
      </c>
    </row>
    <row r="556" spans="1:58" ht="15" customHeight="1">
      <c r="A556" s="186"/>
      <c r="B556" s="57"/>
      <c r="C556" s="98" t="s">
        <v>2521</v>
      </c>
      <c r="D556" s="813" t="str">
        <f>IF(CNSIPEE_2024_M2_Secc1!D47="","",CNSIPEE_2024_M2_Secc1!D47)</f>
        <v/>
      </c>
      <c r="E556" s="814"/>
      <c r="F556" s="814"/>
      <c r="G556" s="814"/>
      <c r="H556" s="814"/>
      <c r="I556" s="814"/>
      <c r="J556" s="814"/>
      <c r="K556" s="814"/>
      <c r="L556" s="814"/>
      <c r="M556" s="814"/>
      <c r="N556" s="814"/>
      <c r="O556" s="814"/>
      <c r="P556" s="814"/>
      <c r="Q556" s="814"/>
      <c r="R556" s="815"/>
      <c r="S556" s="100"/>
      <c r="T556" s="100"/>
      <c r="U556" s="100"/>
      <c r="V556" s="100"/>
      <c r="W556" s="100"/>
      <c r="X556" s="100"/>
      <c r="Y556" s="100"/>
      <c r="Z556" s="100"/>
      <c r="AA556" s="100"/>
      <c r="AB556" s="100"/>
      <c r="AC556" s="100"/>
      <c r="AD556" s="100"/>
      <c r="AG556">
        <f t="shared" si="586"/>
        <v>0</v>
      </c>
      <c r="AH556">
        <f t="shared" si="587"/>
        <v>0</v>
      </c>
      <c r="AK556">
        <f t="shared" si="588"/>
        <v>0</v>
      </c>
      <c r="AL556">
        <f t="shared" si="589"/>
        <v>0</v>
      </c>
      <c r="AM556">
        <f t="shared" si="590"/>
        <v>0</v>
      </c>
      <c r="AN556">
        <f t="shared" si="591"/>
        <v>0</v>
      </c>
      <c r="AO556">
        <f t="shared" si="592"/>
        <v>0</v>
      </c>
      <c r="AP556">
        <f t="shared" si="593"/>
        <v>0</v>
      </c>
      <c r="AQ556">
        <f t="shared" si="594"/>
        <v>0</v>
      </c>
      <c r="AR556">
        <f t="shared" si="595"/>
        <v>0</v>
      </c>
      <c r="AS556">
        <f t="shared" si="596"/>
        <v>0</v>
      </c>
      <c r="AT556">
        <f t="shared" si="597"/>
        <v>0</v>
      </c>
      <c r="AU556">
        <f t="shared" si="598"/>
        <v>0</v>
      </c>
      <c r="AV556">
        <f t="shared" si="599"/>
        <v>0</v>
      </c>
      <c r="BF556">
        <f t="shared" si="600"/>
        <v>0</v>
      </c>
    </row>
    <row r="557" spans="1:58" ht="15" customHeight="1">
      <c r="A557" s="186"/>
      <c r="B557" s="57"/>
      <c r="C557" s="98" t="s">
        <v>2522</v>
      </c>
      <c r="D557" s="813" t="str">
        <f>IF(CNSIPEE_2024_M2_Secc1!D48="","",CNSIPEE_2024_M2_Secc1!D48)</f>
        <v/>
      </c>
      <c r="E557" s="814"/>
      <c r="F557" s="814"/>
      <c r="G557" s="814"/>
      <c r="H557" s="814"/>
      <c r="I557" s="814"/>
      <c r="J557" s="814"/>
      <c r="K557" s="814"/>
      <c r="L557" s="814"/>
      <c r="M557" s="814"/>
      <c r="N557" s="814"/>
      <c r="O557" s="814"/>
      <c r="P557" s="814"/>
      <c r="Q557" s="814"/>
      <c r="R557" s="815"/>
      <c r="S557" s="100"/>
      <c r="T557" s="100"/>
      <c r="U557" s="100"/>
      <c r="V557" s="100"/>
      <c r="W557" s="100"/>
      <c r="X557" s="100"/>
      <c r="Y557" s="100"/>
      <c r="Z557" s="100"/>
      <c r="AA557" s="100"/>
      <c r="AB557" s="100"/>
      <c r="AC557" s="100"/>
      <c r="AD557" s="100"/>
      <c r="AG557">
        <f t="shared" si="586"/>
        <v>0</v>
      </c>
      <c r="AH557">
        <f t="shared" si="587"/>
        <v>0</v>
      </c>
      <c r="AK557">
        <f t="shared" si="588"/>
        <v>0</v>
      </c>
      <c r="AL557">
        <f t="shared" si="589"/>
        <v>0</v>
      </c>
      <c r="AM557">
        <f t="shared" si="590"/>
        <v>0</v>
      </c>
      <c r="AN557">
        <f t="shared" si="591"/>
        <v>0</v>
      </c>
      <c r="AO557">
        <f t="shared" si="592"/>
        <v>0</v>
      </c>
      <c r="AP557">
        <f t="shared" si="593"/>
        <v>0</v>
      </c>
      <c r="AQ557">
        <f t="shared" si="594"/>
        <v>0</v>
      </c>
      <c r="AR557">
        <f t="shared" si="595"/>
        <v>0</v>
      </c>
      <c r="AS557">
        <f t="shared" si="596"/>
        <v>0</v>
      </c>
      <c r="AT557">
        <f t="shared" si="597"/>
        <v>0</v>
      </c>
      <c r="AU557">
        <f t="shared" si="598"/>
        <v>0</v>
      </c>
      <c r="AV557">
        <f t="shared" si="599"/>
        <v>0</v>
      </c>
      <c r="BF557">
        <f t="shared" si="600"/>
        <v>0</v>
      </c>
    </row>
    <row r="558" spans="1:58" ht="15" customHeight="1">
      <c r="A558" s="186"/>
      <c r="B558" s="57"/>
      <c r="C558" s="98" t="s">
        <v>2523</v>
      </c>
      <c r="D558" s="813" t="str">
        <f>IF(CNSIPEE_2024_M2_Secc1!D49="","",CNSIPEE_2024_M2_Secc1!D49)</f>
        <v/>
      </c>
      <c r="E558" s="814"/>
      <c r="F558" s="814"/>
      <c r="G558" s="814"/>
      <c r="H558" s="814"/>
      <c r="I558" s="814"/>
      <c r="J558" s="814"/>
      <c r="K558" s="814"/>
      <c r="L558" s="814"/>
      <c r="M558" s="814"/>
      <c r="N558" s="814"/>
      <c r="O558" s="814"/>
      <c r="P558" s="814"/>
      <c r="Q558" s="814"/>
      <c r="R558" s="815"/>
      <c r="S558" s="100"/>
      <c r="T558" s="100"/>
      <c r="U558" s="100"/>
      <c r="V558" s="100"/>
      <c r="W558" s="100"/>
      <c r="X558" s="100"/>
      <c r="Y558" s="100"/>
      <c r="Z558" s="100"/>
      <c r="AA558" s="100"/>
      <c r="AB558" s="100"/>
      <c r="AC558" s="100"/>
      <c r="AD558" s="100"/>
      <c r="AG558">
        <f t="shared" si="586"/>
        <v>0</v>
      </c>
      <c r="AH558">
        <f t="shared" si="587"/>
        <v>0</v>
      </c>
      <c r="AK558">
        <f t="shared" si="588"/>
        <v>0</v>
      </c>
      <c r="AL558">
        <f t="shared" si="589"/>
        <v>0</v>
      </c>
      <c r="AM558">
        <f t="shared" si="590"/>
        <v>0</v>
      </c>
      <c r="AN558">
        <f t="shared" si="591"/>
        <v>0</v>
      </c>
      <c r="AO558">
        <f t="shared" si="592"/>
        <v>0</v>
      </c>
      <c r="AP558">
        <f t="shared" si="593"/>
        <v>0</v>
      </c>
      <c r="AQ558">
        <f t="shared" si="594"/>
        <v>0</v>
      </c>
      <c r="AR558">
        <f t="shared" si="595"/>
        <v>0</v>
      </c>
      <c r="AS558">
        <f t="shared" si="596"/>
        <v>0</v>
      </c>
      <c r="AT558">
        <f t="shared" si="597"/>
        <v>0</v>
      </c>
      <c r="AU558">
        <f t="shared" si="598"/>
        <v>0</v>
      </c>
      <c r="AV558">
        <f t="shared" si="599"/>
        <v>0</v>
      </c>
      <c r="BF558">
        <f>IF(OR($M47=0,$M47="NS",$M47="NA"),0,IF(AND(M47=S558,S47=T558,Y47=U558),0,1))</f>
        <v>0</v>
      </c>
    </row>
    <row r="559" spans="1:58" ht="15" customHeight="1">
      <c r="A559" s="186"/>
      <c r="B559" s="57"/>
      <c r="C559" s="70"/>
      <c r="D559" s="84"/>
      <c r="E559" s="84"/>
      <c r="F559" s="84"/>
      <c r="G559" s="84"/>
      <c r="H559" s="84"/>
      <c r="I559" s="84"/>
      <c r="J559" s="84"/>
      <c r="K559" s="84"/>
      <c r="L559" s="84"/>
      <c r="M559" s="84"/>
      <c r="N559" s="84"/>
      <c r="O559" s="84"/>
      <c r="P559" s="84"/>
      <c r="Q559" s="84"/>
      <c r="R559" s="117" t="s">
        <v>2649</v>
      </c>
      <c r="S559" s="124">
        <f t="shared" ref="S559:AD559" si="601">IF(AND(SUM(S551:S558)=0,COUNTIF(S551:S558,"NS")&gt;0),"NS",IF(AND(SUM(S551:S558)=0,COUNTIF(S551:S558,0)&gt;0),0,IF(AND(SUM(S551:S558)=0,COUNTIF(S551:S558,"NA")&gt;0),"NA",SUM(S551:S558))))</f>
        <v>0</v>
      </c>
      <c r="T559" s="124">
        <f t="shared" si="601"/>
        <v>0</v>
      </c>
      <c r="U559" s="124">
        <f t="shared" si="601"/>
        <v>0</v>
      </c>
      <c r="V559" s="124">
        <f t="shared" si="601"/>
        <v>0</v>
      </c>
      <c r="W559" s="124">
        <f t="shared" si="601"/>
        <v>0</v>
      </c>
      <c r="X559" s="124">
        <f t="shared" si="601"/>
        <v>0</v>
      </c>
      <c r="Y559" s="124">
        <f t="shared" si="601"/>
        <v>0</v>
      </c>
      <c r="Z559" s="124">
        <f t="shared" si="601"/>
        <v>0</v>
      </c>
      <c r="AA559" s="124">
        <f t="shared" si="601"/>
        <v>0</v>
      </c>
      <c r="AB559" s="124">
        <f t="shared" si="601"/>
        <v>0</v>
      </c>
      <c r="AC559" s="124">
        <f t="shared" si="601"/>
        <v>0</v>
      </c>
      <c r="AD559" s="124">
        <f t="shared" si="601"/>
        <v>0</v>
      </c>
      <c r="AG559" s="507">
        <f>SUM(AG551:AG558)</f>
        <v>0</v>
      </c>
      <c r="AH559" s="507">
        <f>SUM(AH551:AH558)</f>
        <v>0</v>
      </c>
      <c r="AK559">
        <f>SUM(AK551:AK558)</f>
        <v>0</v>
      </c>
      <c r="AM559">
        <f>SUM(AM551:AM558)</f>
        <v>0</v>
      </c>
      <c r="AN559">
        <f>SUM(AN551:AN558)</f>
        <v>0</v>
      </c>
      <c r="AP559">
        <f>SUM(AP551:AP558)</f>
        <v>0</v>
      </c>
      <c r="AQ559">
        <f>SUM(AQ551:AQ558)</f>
        <v>0</v>
      </c>
      <c r="AS559">
        <f>SUM(AS551:AS558)</f>
        <v>0</v>
      </c>
      <c r="AT559">
        <f>SUM(AT551:AT558)</f>
        <v>0</v>
      </c>
      <c r="AV559">
        <f>SUM(AV551:AV558)</f>
        <v>0</v>
      </c>
      <c r="BF559" s="506">
        <f>SUM(BF551:BF558)</f>
        <v>0</v>
      </c>
    </row>
    <row r="560" spans="1:58" ht="15" customHeight="1">
      <c r="A560" s="108"/>
      <c r="B560" s="38"/>
      <c r="C560" s="38"/>
      <c r="D560" s="38"/>
      <c r="E560" s="38"/>
      <c r="F560" s="38"/>
      <c r="G560" s="38"/>
      <c r="H560" s="38"/>
      <c r="I560" s="38"/>
      <c r="J560" s="38"/>
      <c r="K560" s="38"/>
      <c r="L560" s="117"/>
      <c r="M560" s="141"/>
      <c r="N560" s="141"/>
      <c r="O560" s="70"/>
      <c r="P560" s="70"/>
      <c r="Q560" s="70"/>
      <c r="R560" s="70"/>
      <c r="S560" s="141"/>
      <c r="T560" s="141"/>
      <c r="U560" s="70"/>
      <c r="V560" s="70"/>
      <c r="W560" s="141"/>
      <c r="X560" s="141"/>
      <c r="Y560" s="70"/>
      <c r="Z560" s="70"/>
      <c r="AA560" s="141"/>
      <c r="AB560" s="141"/>
      <c r="AC560" s="70"/>
      <c r="AD560" s="70"/>
      <c r="AG560" s="57"/>
      <c r="AH560" s="57"/>
      <c r="AI560" s="57"/>
      <c r="AJ560" s="57"/>
      <c r="AK560" t="s">
        <v>2650</v>
      </c>
      <c r="AL560" s="506">
        <f>SUM(AM559,AP559,AS559,AV559)</f>
        <v>0</v>
      </c>
      <c r="AM560" t="s">
        <v>2651</v>
      </c>
      <c r="AN560">
        <f>SUM(AK559,AN559,AQ559,AT559)</f>
        <v>0</v>
      </c>
      <c r="AO560" s="57"/>
      <c r="AP560" s="57"/>
      <c r="AQ560" s="57"/>
      <c r="AR560" s="57"/>
      <c r="AS560" s="57"/>
      <c r="AT560" s="57"/>
      <c r="AU560" s="57"/>
      <c r="AV560" s="57"/>
      <c r="AW560" s="57"/>
      <c r="AX560" s="57"/>
      <c r="AY560" s="57"/>
      <c r="AZ560" s="57"/>
      <c r="BA560" s="57"/>
      <c r="BB560" s="57"/>
      <c r="BC560" s="57"/>
      <c r="BD560" s="57"/>
      <c r="BE560" s="57"/>
      <c r="BF560" s="57"/>
    </row>
    <row r="561" spans="1:58" ht="24" customHeight="1">
      <c r="A561" s="108"/>
      <c r="B561" s="38"/>
      <c r="C561" s="754" t="s">
        <v>2611</v>
      </c>
      <c r="D561" s="754"/>
      <c r="E561" s="754"/>
      <c r="F561" s="754"/>
      <c r="G561" s="754"/>
      <c r="H561" s="754"/>
      <c r="I561" s="754"/>
      <c r="J561" s="754"/>
      <c r="K561" s="754"/>
      <c r="L561" s="754"/>
      <c r="M561" s="754"/>
      <c r="N561" s="754"/>
      <c r="O561" s="754"/>
      <c r="P561" s="754"/>
      <c r="Q561" s="754"/>
      <c r="R561" s="754"/>
      <c r="S561" s="754"/>
      <c r="T561" s="754"/>
      <c r="U561" s="754"/>
      <c r="V561" s="754"/>
      <c r="W561" s="754"/>
      <c r="X561" s="754"/>
      <c r="Y561" s="754"/>
      <c r="Z561" s="754"/>
      <c r="AA561" s="754"/>
      <c r="AB561" s="754"/>
      <c r="AC561" s="754"/>
      <c r="AD561" s="754"/>
      <c r="AG561" s="38"/>
      <c r="AH561" s="38"/>
      <c r="AI561" s="57"/>
      <c r="AJ561" s="57"/>
      <c r="AK561" t="s">
        <v>2652</v>
      </c>
      <c r="AL561" s="507">
        <f>IF(AN560&gt;0,IF(SUM(S559)&gt;=SUM(V559,Y559,AB559),0,1),IF(SUM(S559)&lt;&gt;SUM(V559,Y559,AB559),1,0))</f>
        <v>0</v>
      </c>
      <c r="AM561" t="s">
        <v>2653</v>
      </c>
      <c r="AN561" s="507">
        <f>IF(AN560&gt;0,IF(SUM(T559)&gt;=SUM(W559,Z559,AC559),0,1),IF(SUM(T559)&lt;&gt;SUM(W559,Z559,AC559),1,0))</f>
        <v>0</v>
      </c>
      <c r="AO561" t="s">
        <v>2654</v>
      </c>
      <c r="AP561" s="507">
        <f>IF(AN560&gt;0,IF(SUM(U559)&gt;=SUM(X559,AA559,AD559),0,1),IF(SUM(U559)&lt;&gt;SUM(X559,AA559,AD559),1,0))</f>
        <v>0</v>
      </c>
      <c r="AQ561" s="57"/>
      <c r="AR561" s="57"/>
      <c r="AS561" s="57"/>
      <c r="AT561" s="57"/>
      <c r="AU561" s="57"/>
      <c r="AV561" s="57"/>
      <c r="AW561" s="57"/>
      <c r="AX561" s="57"/>
      <c r="AY561" s="57"/>
      <c r="AZ561" s="57"/>
      <c r="BA561" s="57"/>
      <c r="BB561" s="57"/>
      <c r="BC561" s="57"/>
      <c r="BD561" s="57"/>
      <c r="BE561" s="57"/>
      <c r="BF561" s="57"/>
    </row>
    <row r="562" spans="1:58" ht="60" customHeight="1">
      <c r="A562" s="108"/>
      <c r="B562" s="38"/>
      <c r="C562" s="851"/>
      <c r="D562" s="851"/>
      <c r="E562" s="851"/>
      <c r="F562" s="851"/>
      <c r="G562" s="851"/>
      <c r="H562" s="851"/>
      <c r="I562" s="851"/>
      <c r="J562" s="851"/>
      <c r="K562" s="851"/>
      <c r="L562" s="851"/>
      <c r="M562" s="851"/>
      <c r="N562" s="851"/>
      <c r="O562" s="851"/>
      <c r="P562" s="851"/>
      <c r="Q562" s="851"/>
      <c r="R562" s="851"/>
      <c r="S562" s="851"/>
      <c r="T562" s="851"/>
      <c r="U562" s="851"/>
      <c r="V562" s="851"/>
      <c r="W562" s="851"/>
      <c r="X562" s="851"/>
      <c r="Y562" s="851"/>
      <c r="Z562" s="851"/>
      <c r="AA562" s="851"/>
      <c r="AB562" s="851"/>
      <c r="AC562" s="851"/>
      <c r="AD562" s="851"/>
    </row>
    <row r="563" spans="1:58" ht="15" customHeight="1">
      <c r="A563" s="176"/>
      <c r="B563" s="794" t="str">
        <f>IF(AG559=0,"","Favor de ingresar toda la información requerida en la pregunta")</f>
        <v/>
      </c>
      <c r="C563" s="794"/>
      <c r="D563" s="794"/>
      <c r="E563" s="794"/>
      <c r="F563" s="794"/>
      <c r="G563" s="794"/>
      <c r="H563" s="794"/>
      <c r="I563" s="794"/>
      <c r="J563" s="794"/>
      <c r="K563" s="794"/>
      <c r="L563" s="794"/>
      <c r="M563" s="794"/>
      <c r="N563" s="794"/>
      <c r="O563" s="794"/>
      <c r="P563" s="794"/>
      <c r="Q563" s="794"/>
      <c r="R563" s="794"/>
      <c r="S563" s="794"/>
      <c r="T563" s="794"/>
      <c r="U563" s="794"/>
      <c r="V563" s="794"/>
      <c r="W563" s="794"/>
      <c r="X563" s="794"/>
      <c r="Y563" s="794"/>
      <c r="Z563" s="794"/>
      <c r="AA563" s="794"/>
      <c r="AB563" s="794"/>
      <c r="AC563" s="794"/>
      <c r="AD563" s="794"/>
      <c r="AE563" s="794"/>
    </row>
    <row r="564" spans="1:58" ht="15" customHeight="1">
      <c r="A564" s="176"/>
      <c r="B564" s="1087" t="str">
        <f>IF(COUNTIF(S551:AD558,"NS")&lt;&gt;0,"Alerta: debido a que cuenta con registros NS, debe proporcionar una justificación en el area de comentarios al final de la pregunta","")</f>
        <v/>
      </c>
      <c r="C564" s="1087"/>
      <c r="D564" s="1087"/>
      <c r="E564" s="1087"/>
      <c r="F564" s="1087"/>
      <c r="G564" s="1087"/>
      <c r="H564" s="1087"/>
      <c r="I564" s="1087"/>
      <c r="J564" s="1087"/>
      <c r="K564" s="1087"/>
      <c r="L564" s="1087"/>
      <c r="M564" s="1087"/>
      <c r="N564" s="1087"/>
      <c r="O564" s="1087"/>
      <c r="P564" s="1087"/>
      <c r="Q564" s="1087"/>
      <c r="R564" s="1087"/>
      <c r="S564" s="1087"/>
      <c r="T564" s="1087"/>
      <c r="U564" s="1087"/>
      <c r="V564" s="1087"/>
      <c r="W564" s="1087"/>
      <c r="X564" s="1087"/>
      <c r="Y564" s="1087"/>
      <c r="Z564" s="1087"/>
      <c r="AA564" s="1087"/>
      <c r="AB564" s="1087"/>
      <c r="AC564" s="1087"/>
      <c r="AD564" s="1087"/>
      <c r="AE564" s="1087"/>
    </row>
    <row r="565" spans="1:58" ht="15" customHeight="1">
      <c r="A565" s="176"/>
      <c r="B565" s="1003" t="str">
        <f>IF(AH559&gt;0,"Revise la información capturada, ya que tiene datos ingresados en celdas que están sombreadas","")</f>
        <v/>
      </c>
      <c r="C565" s="1003"/>
      <c r="D565" s="1003"/>
      <c r="E565" s="1003"/>
      <c r="F565" s="1003"/>
      <c r="G565" s="1003"/>
      <c r="H565" s="1003"/>
      <c r="I565" s="1003"/>
      <c r="J565" s="1003"/>
      <c r="K565" s="1003"/>
      <c r="L565" s="1003"/>
      <c r="M565" s="1003"/>
      <c r="N565" s="1003"/>
      <c r="O565" s="1003"/>
      <c r="P565" s="1003"/>
      <c r="Q565" s="1003"/>
      <c r="R565" s="1003"/>
      <c r="S565" s="1003"/>
      <c r="T565" s="1003"/>
      <c r="U565" s="1003"/>
      <c r="V565" s="1003"/>
      <c r="W565" s="1003"/>
      <c r="X565" s="1003"/>
      <c r="Y565" s="1003"/>
      <c r="Z565" s="1003"/>
      <c r="AA565" s="1003"/>
      <c r="AB565" s="1003"/>
      <c r="AC565" s="1003"/>
      <c r="AD565" s="1003"/>
      <c r="AE565" s="1003"/>
    </row>
    <row r="566" spans="1:58" ht="15" customHeight="1">
      <c r="A566" s="176"/>
      <c r="B566" s="1003" t="str">
        <f>IF(OR(AL560&gt;0,AL561&gt;0,AN561&gt;0,AP561&gt;0),"Favor de revisar la suma y consistencia de totales y/o subtotales por filas (numéricos y NS)","")</f>
        <v/>
      </c>
      <c r="C566" s="1003"/>
      <c r="D566" s="1003"/>
      <c r="E566" s="1003"/>
      <c r="F566" s="1003"/>
      <c r="G566" s="1003"/>
      <c r="H566" s="1003"/>
      <c r="I566" s="1003"/>
      <c r="J566" s="1003"/>
      <c r="K566" s="1003"/>
      <c r="L566" s="1003"/>
      <c r="M566" s="1003"/>
      <c r="N566" s="1003"/>
      <c r="O566" s="1003"/>
      <c r="P566" s="1003"/>
      <c r="Q566" s="1003"/>
      <c r="R566" s="1003"/>
      <c r="S566" s="1003"/>
      <c r="T566" s="1003"/>
      <c r="U566" s="1003"/>
      <c r="V566" s="1003"/>
      <c r="W566" s="1003"/>
      <c r="X566" s="1003"/>
      <c r="Y566" s="1003"/>
      <c r="Z566" s="1003"/>
      <c r="AA566" s="1003"/>
      <c r="AB566" s="1003"/>
      <c r="AC566" s="1003"/>
      <c r="AD566" s="1003"/>
      <c r="AE566" s="1003"/>
    </row>
    <row r="567" spans="1:58" ht="15" customHeight="1">
      <c r="A567" s="176"/>
      <c r="B567" s="1003" t="str">
        <f>IF(BF559=0,"","Las cantidades de Hombres y Mujeres por centro especializado debe corresponder con los datos reportados en la preg. 8.1")</f>
        <v/>
      </c>
      <c r="C567" s="1003"/>
      <c r="D567" s="1003"/>
      <c r="E567" s="1003"/>
      <c r="F567" s="1003"/>
      <c r="G567" s="1003"/>
      <c r="H567" s="1003"/>
      <c r="I567" s="1003"/>
      <c r="J567" s="1003"/>
      <c r="K567" s="1003"/>
      <c r="L567" s="1003"/>
      <c r="M567" s="1003"/>
      <c r="N567" s="1003"/>
      <c r="O567" s="1003"/>
      <c r="P567" s="1003"/>
      <c r="Q567" s="1003"/>
      <c r="R567" s="1003"/>
      <c r="S567" s="1003"/>
      <c r="T567" s="1003"/>
      <c r="U567" s="1003"/>
      <c r="V567" s="1003"/>
      <c r="W567" s="1003"/>
      <c r="X567" s="1003"/>
      <c r="Y567" s="1003"/>
      <c r="Z567" s="1003"/>
      <c r="AA567" s="1003"/>
      <c r="AB567" s="1003"/>
      <c r="AC567" s="1003"/>
      <c r="AD567" s="1003"/>
      <c r="AE567" s="1003"/>
    </row>
    <row r="568" spans="1:58" ht="15" customHeight="1">
      <c r="A568" s="176"/>
      <c r="B568" s="105"/>
      <c r="C568" s="105"/>
      <c r="D568" s="105"/>
      <c r="E568" s="105"/>
      <c r="F568" s="105"/>
      <c r="G568" s="105"/>
      <c r="H568" s="105"/>
      <c r="I568" s="105"/>
      <c r="J568" s="105"/>
      <c r="K568" s="105"/>
      <c r="L568" s="105"/>
      <c r="M568" s="105"/>
      <c r="N568" s="105"/>
      <c r="O568" s="105"/>
      <c r="P568" s="105"/>
      <c r="Q568" s="105"/>
      <c r="R568" s="105"/>
      <c r="S568" s="105"/>
      <c r="T568" s="105"/>
      <c r="U568" s="105"/>
      <c r="V568" s="105"/>
      <c r="W568" s="105"/>
      <c r="X568" s="105"/>
      <c r="Y568" s="105"/>
      <c r="Z568" s="105"/>
      <c r="AA568" s="105"/>
      <c r="AB568" s="105"/>
      <c r="AC568" s="105"/>
      <c r="AD568" s="105"/>
    </row>
    <row r="569" spans="1:58" ht="24" customHeight="1">
      <c r="A569" s="49" t="s">
        <v>5275</v>
      </c>
      <c r="B569" s="829" t="s">
        <v>5276</v>
      </c>
      <c r="C569" s="829"/>
      <c r="D569" s="829"/>
      <c r="E569" s="829"/>
      <c r="F569" s="829"/>
      <c r="G569" s="829"/>
      <c r="H569" s="829"/>
      <c r="I569" s="829"/>
      <c r="J569" s="829"/>
      <c r="K569" s="829"/>
      <c r="L569" s="829"/>
      <c r="M569" s="829"/>
      <c r="N569" s="829"/>
      <c r="O569" s="829"/>
      <c r="P569" s="829"/>
      <c r="Q569" s="829"/>
      <c r="R569" s="829"/>
      <c r="S569" s="829"/>
      <c r="T569" s="829"/>
      <c r="U569" s="829"/>
      <c r="V569" s="829"/>
      <c r="W569" s="829"/>
      <c r="X569" s="829"/>
      <c r="Y569" s="829"/>
      <c r="Z569" s="829"/>
      <c r="AA569" s="829"/>
      <c r="AB569" s="829"/>
      <c r="AC569" s="829"/>
      <c r="AD569" s="829"/>
    </row>
    <row r="570" spans="1:58" ht="24" customHeight="1">
      <c r="A570" s="49"/>
      <c r="B570" s="105"/>
      <c r="C570" s="754" t="s">
        <v>4703</v>
      </c>
      <c r="D570" s="754"/>
      <c r="E570" s="754"/>
      <c r="F570" s="754"/>
      <c r="G570" s="754"/>
      <c r="H570" s="754"/>
      <c r="I570" s="754"/>
      <c r="J570" s="754"/>
      <c r="K570" s="754"/>
      <c r="L570" s="754"/>
      <c r="M570" s="754"/>
      <c r="N570" s="754"/>
      <c r="O570" s="754"/>
      <c r="P570" s="754"/>
      <c r="Q570" s="754"/>
      <c r="R570" s="754"/>
      <c r="S570" s="754"/>
      <c r="T570" s="754"/>
      <c r="U570" s="754"/>
      <c r="V570" s="754"/>
      <c r="W570" s="754"/>
      <c r="X570" s="754"/>
      <c r="Y570" s="754"/>
      <c r="Z570" s="754"/>
      <c r="AA570" s="754"/>
      <c r="AB570" s="754"/>
      <c r="AC570" s="754"/>
      <c r="AD570" s="754"/>
    </row>
    <row r="571" spans="1:58" ht="24" customHeight="1">
      <c r="A571" s="49"/>
      <c r="B571" s="38"/>
      <c r="C571" s="754" t="s">
        <v>4704</v>
      </c>
      <c r="D571" s="754"/>
      <c r="E571" s="754"/>
      <c r="F571" s="754"/>
      <c r="G571" s="754"/>
      <c r="H571" s="754"/>
      <c r="I571" s="754"/>
      <c r="J571" s="754"/>
      <c r="K571" s="754"/>
      <c r="L571" s="754"/>
      <c r="M571" s="754"/>
      <c r="N571" s="754"/>
      <c r="O571" s="754"/>
      <c r="P571" s="754"/>
      <c r="Q571" s="754"/>
      <c r="R571" s="754"/>
      <c r="S571" s="754"/>
      <c r="T571" s="754"/>
      <c r="U571" s="754"/>
      <c r="V571" s="754"/>
      <c r="W571" s="754"/>
      <c r="X571" s="754"/>
      <c r="Y571" s="754"/>
      <c r="Z571" s="754"/>
      <c r="AA571" s="754"/>
      <c r="AB571" s="754"/>
      <c r="AC571" s="754"/>
      <c r="AD571" s="754"/>
    </row>
    <row r="572" spans="1:58" ht="15" customHeight="1">
      <c r="A572" s="10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c r="AA572" s="38"/>
      <c r="AB572" s="38"/>
      <c r="AC572" s="38"/>
      <c r="AD572" s="38"/>
    </row>
    <row r="573" spans="1:58" ht="24" customHeight="1">
      <c r="A573" s="108"/>
      <c r="B573" s="38"/>
      <c r="C573" s="732" t="s">
        <v>3259</v>
      </c>
      <c r="D573" s="880"/>
      <c r="E573" s="880"/>
      <c r="F573" s="880"/>
      <c r="G573" s="880"/>
      <c r="H573" s="880"/>
      <c r="I573" s="880"/>
      <c r="J573" s="880"/>
      <c r="K573" s="880"/>
      <c r="L573" s="880"/>
      <c r="M573" s="739" t="s">
        <v>5277</v>
      </c>
      <c r="N573" s="740"/>
      <c r="O573" s="740"/>
      <c r="P573" s="740"/>
      <c r="Q573" s="740"/>
      <c r="R573" s="740"/>
      <c r="S573" s="740"/>
      <c r="T573" s="740"/>
      <c r="U573" s="740"/>
      <c r="V573" s="740"/>
      <c r="W573" s="740"/>
      <c r="X573" s="740"/>
      <c r="Y573" s="740"/>
      <c r="Z573" s="740"/>
      <c r="AA573" s="740"/>
      <c r="AB573" s="740"/>
      <c r="AC573" s="740"/>
      <c r="AD573" s="741"/>
    </row>
    <row r="574" spans="1:58" ht="15" customHeight="1">
      <c r="A574" s="108"/>
      <c r="B574" s="38"/>
      <c r="C574" s="880"/>
      <c r="D574" s="880"/>
      <c r="E574" s="880"/>
      <c r="F574" s="880"/>
      <c r="G574" s="880"/>
      <c r="H574" s="880"/>
      <c r="I574" s="880"/>
      <c r="J574" s="880"/>
      <c r="K574" s="880"/>
      <c r="L574" s="880"/>
      <c r="M574" s="987" t="s">
        <v>2628</v>
      </c>
      <c r="N574" s="988"/>
      <c r="O574" s="988"/>
      <c r="P574" s="988"/>
      <c r="Q574" s="988"/>
      <c r="R574" s="988"/>
      <c r="S574" s="989" t="s">
        <v>2629</v>
      </c>
      <c r="T574" s="990"/>
      <c r="U574" s="990"/>
      <c r="V574" s="990"/>
      <c r="W574" s="990"/>
      <c r="X574" s="990"/>
      <c r="Y574" s="989" t="s">
        <v>2630</v>
      </c>
      <c r="Z574" s="990"/>
      <c r="AA574" s="990"/>
      <c r="AB574" s="990"/>
      <c r="AC574" s="990"/>
      <c r="AD574" s="990"/>
      <c r="AG574" t="s">
        <v>2586</v>
      </c>
      <c r="AH574" t="s">
        <v>4599</v>
      </c>
      <c r="AI574" t="s">
        <v>2590</v>
      </c>
      <c r="AJ574" t="s">
        <v>3163</v>
      </c>
      <c r="AK574" t="s">
        <v>4564</v>
      </c>
    </row>
    <row r="575" spans="1:58" ht="15" customHeight="1">
      <c r="A575" s="108"/>
      <c r="B575" s="38"/>
      <c r="C575" s="97" t="s">
        <v>2516</v>
      </c>
      <c r="D575" s="796" t="s">
        <v>3085</v>
      </c>
      <c r="E575" s="796"/>
      <c r="F575" s="796"/>
      <c r="G575" s="796"/>
      <c r="H575" s="796"/>
      <c r="I575" s="796"/>
      <c r="J575" s="796"/>
      <c r="K575" s="796"/>
      <c r="L575" s="796"/>
      <c r="M575" s="749"/>
      <c r="N575" s="749"/>
      <c r="O575" s="749"/>
      <c r="P575" s="749"/>
      <c r="Q575" s="749"/>
      <c r="R575" s="749"/>
      <c r="S575" s="749"/>
      <c r="T575" s="749"/>
      <c r="U575" s="749"/>
      <c r="V575" s="749"/>
      <c r="W575" s="749"/>
      <c r="X575" s="749"/>
      <c r="Y575" s="749"/>
      <c r="Z575" s="749"/>
      <c r="AA575" s="749"/>
      <c r="AB575" s="749"/>
      <c r="AC575" s="749"/>
      <c r="AD575" s="749"/>
      <c r="AG575" s="506">
        <f>IF(OR($V$559=0,$V$559="NS",$V$559="NA"),0,IF(COUNTBLANK(M575:AD599)=375,0,1))</f>
        <v>0</v>
      </c>
      <c r="AH575" s="506">
        <f>IF(OR($V$559=0,$V$559="NS",$V$559="NA"),IF(COUNTBLANK(M575:AD599)=450,0,1),0)</f>
        <v>0</v>
      </c>
      <c r="AI575">
        <f t="shared" ref="AI575:AI599" si="602">COUNTIF(S575:AD575,"NS")</f>
        <v>0</v>
      </c>
      <c r="AJ575">
        <f t="shared" ref="AJ575:AJ599" si="603">SUM(S575:AD575)</f>
        <v>0</v>
      </c>
      <c r="AK575">
        <f t="shared" ref="AK575:AK599" si="604">IF(COUNTIF(M575:AD575,"NA")=3,0,IF(COUNTA(M575:AD575)=0,0,IF(OR(AND(M575=0,AI575&gt;0),AND(M575="ns",AJ575&gt;0),AND(M575="ns",AI575=0,AJ575=0)),1,IF(OR(AND(M575&gt;0,AI575=2),AND(M575="ns",AI575=2),AND(M575="ns",AJ575=0,AI575&gt;0),M575=AJ575),0,1))))</f>
        <v>0</v>
      </c>
    </row>
    <row r="576" spans="1:58" ht="15" customHeight="1">
      <c r="A576" s="108"/>
      <c r="B576" s="38"/>
      <c r="C576" s="98" t="s">
        <v>2517</v>
      </c>
      <c r="D576" s="796" t="s">
        <v>3088</v>
      </c>
      <c r="E576" s="796"/>
      <c r="F576" s="796"/>
      <c r="G576" s="796"/>
      <c r="H576" s="796"/>
      <c r="I576" s="796"/>
      <c r="J576" s="796"/>
      <c r="K576" s="796"/>
      <c r="L576" s="796"/>
      <c r="M576" s="749"/>
      <c r="N576" s="749"/>
      <c r="O576" s="749"/>
      <c r="P576" s="749"/>
      <c r="Q576" s="749"/>
      <c r="R576" s="749"/>
      <c r="S576" s="749"/>
      <c r="T576" s="749"/>
      <c r="U576" s="749"/>
      <c r="V576" s="749"/>
      <c r="W576" s="749"/>
      <c r="X576" s="749"/>
      <c r="Y576" s="749"/>
      <c r="Z576" s="749"/>
      <c r="AA576" s="749"/>
      <c r="AB576" s="749"/>
      <c r="AC576" s="749"/>
      <c r="AD576" s="749"/>
      <c r="AG576" s="57"/>
      <c r="AH576" s="57"/>
      <c r="AI576">
        <f t="shared" si="602"/>
        <v>0</v>
      </c>
      <c r="AJ576">
        <f t="shared" si="603"/>
        <v>0</v>
      </c>
      <c r="AK576">
        <f t="shared" si="604"/>
        <v>0</v>
      </c>
    </row>
    <row r="577" spans="1:37" ht="15" customHeight="1">
      <c r="A577" s="108"/>
      <c r="B577" s="38"/>
      <c r="C577" s="98" t="s">
        <v>2518</v>
      </c>
      <c r="D577" s="796" t="s">
        <v>3091</v>
      </c>
      <c r="E577" s="796"/>
      <c r="F577" s="796"/>
      <c r="G577" s="796"/>
      <c r="H577" s="796"/>
      <c r="I577" s="796"/>
      <c r="J577" s="796"/>
      <c r="K577" s="796"/>
      <c r="L577" s="796"/>
      <c r="M577" s="749"/>
      <c r="N577" s="749"/>
      <c r="O577" s="749"/>
      <c r="P577" s="749"/>
      <c r="Q577" s="749"/>
      <c r="R577" s="749"/>
      <c r="S577" s="749"/>
      <c r="T577" s="749"/>
      <c r="U577" s="749"/>
      <c r="V577" s="749"/>
      <c r="W577" s="749"/>
      <c r="X577" s="749"/>
      <c r="Y577" s="749"/>
      <c r="Z577" s="749"/>
      <c r="AA577" s="749"/>
      <c r="AB577" s="749"/>
      <c r="AC577" s="749"/>
      <c r="AD577" s="749"/>
      <c r="AG577" s="57"/>
      <c r="AH577" s="57"/>
      <c r="AI577">
        <f t="shared" si="602"/>
        <v>0</v>
      </c>
      <c r="AJ577">
        <f t="shared" si="603"/>
        <v>0</v>
      </c>
      <c r="AK577">
        <f t="shared" si="604"/>
        <v>0</v>
      </c>
    </row>
    <row r="578" spans="1:37" ht="15" customHeight="1">
      <c r="A578" s="108"/>
      <c r="B578" s="38"/>
      <c r="C578" s="98" t="s">
        <v>2519</v>
      </c>
      <c r="D578" s="796" t="s">
        <v>3093</v>
      </c>
      <c r="E578" s="796"/>
      <c r="F578" s="796"/>
      <c r="G578" s="796"/>
      <c r="H578" s="796"/>
      <c r="I578" s="796"/>
      <c r="J578" s="796"/>
      <c r="K578" s="796"/>
      <c r="L578" s="796"/>
      <c r="M578" s="749"/>
      <c r="N578" s="749"/>
      <c r="O578" s="749"/>
      <c r="P578" s="749"/>
      <c r="Q578" s="749"/>
      <c r="R578" s="749"/>
      <c r="S578" s="749"/>
      <c r="T578" s="749"/>
      <c r="U578" s="749"/>
      <c r="V578" s="749"/>
      <c r="W578" s="749"/>
      <c r="X578" s="749"/>
      <c r="Y578" s="749"/>
      <c r="Z578" s="749"/>
      <c r="AA578" s="749"/>
      <c r="AB578" s="749"/>
      <c r="AC578" s="749"/>
      <c r="AD578" s="749"/>
      <c r="AG578" s="57"/>
      <c r="AH578" s="57"/>
      <c r="AI578">
        <f t="shared" si="602"/>
        <v>0</v>
      </c>
      <c r="AJ578">
        <f t="shared" si="603"/>
        <v>0</v>
      </c>
      <c r="AK578">
        <f t="shared" si="604"/>
        <v>0</v>
      </c>
    </row>
    <row r="579" spans="1:37" ht="15" customHeight="1">
      <c r="A579" s="108"/>
      <c r="B579" s="38"/>
      <c r="C579" s="98" t="s">
        <v>2520</v>
      </c>
      <c r="D579" s="796" t="s">
        <v>3095</v>
      </c>
      <c r="E579" s="796"/>
      <c r="F579" s="796"/>
      <c r="G579" s="796"/>
      <c r="H579" s="796"/>
      <c r="I579" s="796"/>
      <c r="J579" s="796"/>
      <c r="K579" s="796"/>
      <c r="L579" s="796"/>
      <c r="M579" s="749"/>
      <c r="N579" s="749"/>
      <c r="O579" s="749"/>
      <c r="P579" s="749"/>
      <c r="Q579" s="749"/>
      <c r="R579" s="749"/>
      <c r="S579" s="749"/>
      <c r="T579" s="749"/>
      <c r="U579" s="749"/>
      <c r="V579" s="749"/>
      <c r="W579" s="749"/>
      <c r="X579" s="749"/>
      <c r="Y579" s="749"/>
      <c r="Z579" s="749"/>
      <c r="AA579" s="749"/>
      <c r="AB579" s="749"/>
      <c r="AC579" s="749"/>
      <c r="AD579" s="749"/>
      <c r="AG579" s="57"/>
      <c r="AH579" s="57"/>
      <c r="AI579">
        <f t="shared" si="602"/>
        <v>0</v>
      </c>
      <c r="AJ579">
        <f t="shared" si="603"/>
        <v>0</v>
      </c>
      <c r="AK579">
        <f t="shared" si="604"/>
        <v>0</v>
      </c>
    </row>
    <row r="580" spans="1:37" ht="15" customHeight="1">
      <c r="A580" s="176"/>
      <c r="B580" s="57"/>
      <c r="C580" s="98" t="s">
        <v>2521</v>
      </c>
      <c r="D580" s="796" t="s">
        <v>3098</v>
      </c>
      <c r="E580" s="796"/>
      <c r="F580" s="796"/>
      <c r="G580" s="796"/>
      <c r="H580" s="796"/>
      <c r="I580" s="796"/>
      <c r="J580" s="796"/>
      <c r="K580" s="796"/>
      <c r="L580" s="796"/>
      <c r="M580" s="749"/>
      <c r="N580" s="749"/>
      <c r="O580" s="749"/>
      <c r="P580" s="749"/>
      <c r="Q580" s="749"/>
      <c r="R580" s="749"/>
      <c r="S580" s="749"/>
      <c r="T580" s="749"/>
      <c r="U580" s="749"/>
      <c r="V580" s="749"/>
      <c r="W580" s="749"/>
      <c r="X580" s="749"/>
      <c r="Y580" s="749"/>
      <c r="Z580" s="749"/>
      <c r="AA580" s="749"/>
      <c r="AB580" s="749"/>
      <c r="AC580" s="749"/>
      <c r="AD580" s="749"/>
      <c r="AG580" s="57"/>
      <c r="AH580" s="57"/>
      <c r="AI580">
        <f t="shared" si="602"/>
        <v>0</v>
      </c>
      <c r="AJ580">
        <f t="shared" si="603"/>
        <v>0</v>
      </c>
      <c r="AK580">
        <f t="shared" si="604"/>
        <v>0</v>
      </c>
    </row>
    <row r="581" spans="1:37" ht="15" customHeight="1">
      <c r="A581" s="176"/>
      <c r="B581" s="57"/>
      <c r="C581" s="98" t="s">
        <v>2522</v>
      </c>
      <c r="D581" s="796" t="s">
        <v>3101</v>
      </c>
      <c r="E581" s="796"/>
      <c r="F581" s="796"/>
      <c r="G581" s="796"/>
      <c r="H581" s="796"/>
      <c r="I581" s="796"/>
      <c r="J581" s="796"/>
      <c r="K581" s="796"/>
      <c r="L581" s="796"/>
      <c r="M581" s="749"/>
      <c r="N581" s="749"/>
      <c r="O581" s="749"/>
      <c r="P581" s="749"/>
      <c r="Q581" s="749"/>
      <c r="R581" s="749"/>
      <c r="S581" s="749"/>
      <c r="T581" s="749"/>
      <c r="U581" s="749"/>
      <c r="V581" s="749"/>
      <c r="W581" s="749"/>
      <c r="X581" s="749"/>
      <c r="Y581" s="749"/>
      <c r="Z581" s="749"/>
      <c r="AA581" s="749"/>
      <c r="AB581" s="749"/>
      <c r="AC581" s="749"/>
      <c r="AD581" s="749"/>
      <c r="AG581" s="57"/>
      <c r="AH581" s="57"/>
      <c r="AI581">
        <f t="shared" si="602"/>
        <v>0</v>
      </c>
      <c r="AJ581">
        <f t="shared" si="603"/>
        <v>0</v>
      </c>
      <c r="AK581">
        <f t="shared" si="604"/>
        <v>0</v>
      </c>
    </row>
    <row r="582" spans="1:37" ht="15" customHeight="1">
      <c r="A582" s="176"/>
      <c r="B582" s="57"/>
      <c r="C582" s="98" t="s">
        <v>2523</v>
      </c>
      <c r="D582" s="796" t="s">
        <v>3104</v>
      </c>
      <c r="E582" s="796"/>
      <c r="F582" s="796"/>
      <c r="G582" s="796"/>
      <c r="H582" s="796"/>
      <c r="I582" s="796"/>
      <c r="J582" s="796"/>
      <c r="K582" s="796"/>
      <c r="L582" s="796"/>
      <c r="M582" s="749"/>
      <c r="N582" s="749"/>
      <c r="O582" s="749"/>
      <c r="P582" s="749"/>
      <c r="Q582" s="749"/>
      <c r="R582" s="749"/>
      <c r="S582" s="749"/>
      <c r="T582" s="749"/>
      <c r="U582" s="749"/>
      <c r="V582" s="749"/>
      <c r="W582" s="749"/>
      <c r="X582" s="749"/>
      <c r="Y582" s="749"/>
      <c r="Z582" s="749"/>
      <c r="AA582" s="749"/>
      <c r="AB582" s="749"/>
      <c r="AC582" s="749"/>
      <c r="AD582" s="749"/>
      <c r="AG582" s="57"/>
      <c r="AH582" s="57"/>
      <c r="AI582">
        <f t="shared" si="602"/>
        <v>0</v>
      </c>
      <c r="AJ582">
        <f t="shared" si="603"/>
        <v>0</v>
      </c>
      <c r="AK582">
        <f t="shared" si="604"/>
        <v>0</v>
      </c>
    </row>
    <row r="583" spans="1:37" ht="15" customHeight="1">
      <c r="A583" s="176"/>
      <c r="B583" s="57"/>
      <c r="C583" s="98" t="s">
        <v>2524</v>
      </c>
      <c r="D583" s="796" t="s">
        <v>3107</v>
      </c>
      <c r="E583" s="796"/>
      <c r="F583" s="796"/>
      <c r="G583" s="796"/>
      <c r="H583" s="796"/>
      <c r="I583" s="796"/>
      <c r="J583" s="796"/>
      <c r="K583" s="796"/>
      <c r="L583" s="796"/>
      <c r="M583" s="749"/>
      <c r="N583" s="749"/>
      <c r="O583" s="749"/>
      <c r="P583" s="749"/>
      <c r="Q583" s="749"/>
      <c r="R583" s="749"/>
      <c r="S583" s="749"/>
      <c r="T583" s="749"/>
      <c r="U583" s="749"/>
      <c r="V583" s="749"/>
      <c r="W583" s="749"/>
      <c r="X583" s="749"/>
      <c r="Y583" s="749"/>
      <c r="Z583" s="749"/>
      <c r="AA583" s="749"/>
      <c r="AB583" s="749"/>
      <c r="AC583" s="749"/>
      <c r="AD583" s="749"/>
      <c r="AG583" s="57"/>
      <c r="AH583" s="57"/>
      <c r="AI583">
        <f t="shared" si="602"/>
        <v>0</v>
      </c>
      <c r="AJ583">
        <f t="shared" si="603"/>
        <v>0</v>
      </c>
      <c r="AK583">
        <f t="shared" si="604"/>
        <v>0</v>
      </c>
    </row>
    <row r="584" spans="1:37" ht="15" customHeight="1">
      <c r="A584" s="176"/>
      <c r="B584" s="57"/>
      <c r="C584" s="98" t="s">
        <v>2525</v>
      </c>
      <c r="D584" s="796" t="s">
        <v>3110</v>
      </c>
      <c r="E584" s="796"/>
      <c r="F584" s="796"/>
      <c r="G584" s="796"/>
      <c r="H584" s="796"/>
      <c r="I584" s="796"/>
      <c r="J584" s="796"/>
      <c r="K584" s="796"/>
      <c r="L584" s="796"/>
      <c r="M584" s="749"/>
      <c r="N584" s="749"/>
      <c r="O584" s="749"/>
      <c r="P584" s="749"/>
      <c r="Q584" s="749"/>
      <c r="R584" s="749"/>
      <c r="S584" s="749"/>
      <c r="T584" s="749"/>
      <c r="U584" s="749"/>
      <c r="V584" s="749"/>
      <c r="W584" s="749"/>
      <c r="X584" s="749"/>
      <c r="Y584" s="749"/>
      <c r="Z584" s="749"/>
      <c r="AA584" s="749"/>
      <c r="AB584" s="749"/>
      <c r="AC584" s="749"/>
      <c r="AD584" s="749"/>
      <c r="AG584" s="57"/>
      <c r="AH584" s="57"/>
      <c r="AI584">
        <f t="shared" si="602"/>
        <v>0</v>
      </c>
      <c r="AJ584">
        <f t="shared" si="603"/>
        <v>0</v>
      </c>
      <c r="AK584">
        <f t="shared" si="604"/>
        <v>0</v>
      </c>
    </row>
    <row r="585" spans="1:37" ht="15" customHeight="1">
      <c r="A585" s="176"/>
      <c r="B585" s="57"/>
      <c r="C585" s="98" t="s">
        <v>2526</v>
      </c>
      <c r="D585" s="796" t="s">
        <v>3113</v>
      </c>
      <c r="E585" s="796"/>
      <c r="F585" s="796"/>
      <c r="G585" s="796"/>
      <c r="H585" s="796"/>
      <c r="I585" s="796"/>
      <c r="J585" s="796"/>
      <c r="K585" s="796"/>
      <c r="L585" s="796"/>
      <c r="M585" s="749"/>
      <c r="N585" s="749"/>
      <c r="O585" s="749"/>
      <c r="P585" s="749"/>
      <c r="Q585" s="749"/>
      <c r="R585" s="749"/>
      <c r="S585" s="749"/>
      <c r="T585" s="749"/>
      <c r="U585" s="749"/>
      <c r="V585" s="749"/>
      <c r="W585" s="749"/>
      <c r="X585" s="749"/>
      <c r="Y585" s="749"/>
      <c r="Z585" s="749"/>
      <c r="AA585" s="749"/>
      <c r="AB585" s="749"/>
      <c r="AC585" s="749"/>
      <c r="AD585" s="749"/>
      <c r="AG585" s="57"/>
      <c r="AH585" s="57"/>
      <c r="AI585">
        <f t="shared" si="602"/>
        <v>0</v>
      </c>
      <c r="AJ585">
        <f t="shared" si="603"/>
        <v>0</v>
      </c>
      <c r="AK585">
        <f t="shared" si="604"/>
        <v>0</v>
      </c>
    </row>
    <row r="586" spans="1:37" ht="15" customHeight="1">
      <c r="A586" s="176"/>
      <c r="B586" s="57"/>
      <c r="C586" s="98" t="s">
        <v>2527</v>
      </c>
      <c r="D586" s="796" t="s">
        <v>3116</v>
      </c>
      <c r="E586" s="796"/>
      <c r="F586" s="796"/>
      <c r="G586" s="796"/>
      <c r="H586" s="796"/>
      <c r="I586" s="796"/>
      <c r="J586" s="796"/>
      <c r="K586" s="796"/>
      <c r="L586" s="796"/>
      <c r="M586" s="749"/>
      <c r="N586" s="749"/>
      <c r="O586" s="749"/>
      <c r="P586" s="749"/>
      <c r="Q586" s="749"/>
      <c r="R586" s="749"/>
      <c r="S586" s="749"/>
      <c r="T586" s="749"/>
      <c r="U586" s="749"/>
      <c r="V586" s="749"/>
      <c r="W586" s="749"/>
      <c r="X586" s="749"/>
      <c r="Y586" s="749"/>
      <c r="Z586" s="749"/>
      <c r="AA586" s="749"/>
      <c r="AB586" s="749"/>
      <c r="AC586" s="749"/>
      <c r="AD586" s="749"/>
      <c r="AG586" s="57"/>
      <c r="AH586" s="57"/>
      <c r="AI586">
        <f t="shared" si="602"/>
        <v>0</v>
      </c>
      <c r="AJ586">
        <f t="shared" si="603"/>
        <v>0</v>
      </c>
      <c r="AK586">
        <f t="shared" si="604"/>
        <v>0</v>
      </c>
    </row>
    <row r="587" spans="1:37" ht="15" customHeight="1">
      <c r="A587" s="176"/>
      <c r="B587" s="57"/>
      <c r="C587" s="98" t="s">
        <v>2528</v>
      </c>
      <c r="D587" s="796" t="s">
        <v>3119</v>
      </c>
      <c r="E587" s="796"/>
      <c r="F587" s="796"/>
      <c r="G587" s="796"/>
      <c r="H587" s="796"/>
      <c r="I587" s="796"/>
      <c r="J587" s="796"/>
      <c r="K587" s="796"/>
      <c r="L587" s="796"/>
      <c r="M587" s="749"/>
      <c r="N587" s="749"/>
      <c r="O587" s="749"/>
      <c r="P587" s="749"/>
      <c r="Q587" s="749"/>
      <c r="R587" s="749"/>
      <c r="S587" s="749"/>
      <c r="T587" s="749"/>
      <c r="U587" s="749"/>
      <c r="V587" s="749"/>
      <c r="W587" s="749"/>
      <c r="X587" s="749"/>
      <c r="Y587" s="749"/>
      <c r="Z587" s="749"/>
      <c r="AA587" s="749"/>
      <c r="AB587" s="749"/>
      <c r="AC587" s="749"/>
      <c r="AD587" s="749"/>
      <c r="AG587" s="57"/>
      <c r="AH587" s="57"/>
      <c r="AI587">
        <f t="shared" si="602"/>
        <v>0</v>
      </c>
      <c r="AJ587">
        <f t="shared" si="603"/>
        <v>0</v>
      </c>
      <c r="AK587">
        <f t="shared" si="604"/>
        <v>0</v>
      </c>
    </row>
    <row r="588" spans="1:37" ht="15" customHeight="1">
      <c r="A588" s="176"/>
      <c r="B588" s="57"/>
      <c r="C588" s="98" t="s">
        <v>2529</v>
      </c>
      <c r="D588" s="796" t="s">
        <v>3122</v>
      </c>
      <c r="E588" s="796"/>
      <c r="F588" s="796"/>
      <c r="G588" s="796"/>
      <c r="H588" s="796"/>
      <c r="I588" s="796"/>
      <c r="J588" s="796"/>
      <c r="K588" s="796"/>
      <c r="L588" s="796"/>
      <c r="M588" s="749"/>
      <c r="N588" s="749"/>
      <c r="O588" s="749"/>
      <c r="P588" s="749"/>
      <c r="Q588" s="749"/>
      <c r="R588" s="749"/>
      <c r="S588" s="749"/>
      <c r="T588" s="749"/>
      <c r="U588" s="749"/>
      <c r="V588" s="749"/>
      <c r="W588" s="749"/>
      <c r="X588" s="749"/>
      <c r="Y588" s="749"/>
      <c r="Z588" s="749"/>
      <c r="AA588" s="749"/>
      <c r="AB588" s="749"/>
      <c r="AC588" s="749"/>
      <c r="AD588" s="749"/>
      <c r="AG588" s="57"/>
      <c r="AH588" s="57"/>
      <c r="AI588">
        <f t="shared" si="602"/>
        <v>0</v>
      </c>
      <c r="AJ588">
        <f t="shared" si="603"/>
        <v>0</v>
      </c>
      <c r="AK588">
        <f t="shared" si="604"/>
        <v>0</v>
      </c>
    </row>
    <row r="589" spans="1:37" ht="15" customHeight="1">
      <c r="A589" s="176"/>
      <c r="B589" s="57"/>
      <c r="C589" s="98" t="s">
        <v>2530</v>
      </c>
      <c r="D589" s="796" t="s">
        <v>3124</v>
      </c>
      <c r="E589" s="796"/>
      <c r="F589" s="796"/>
      <c r="G589" s="796"/>
      <c r="H589" s="796"/>
      <c r="I589" s="796"/>
      <c r="J589" s="796"/>
      <c r="K589" s="796"/>
      <c r="L589" s="796"/>
      <c r="M589" s="749"/>
      <c r="N589" s="749"/>
      <c r="O589" s="749"/>
      <c r="P589" s="749"/>
      <c r="Q589" s="749"/>
      <c r="R589" s="749"/>
      <c r="S589" s="749"/>
      <c r="T589" s="749"/>
      <c r="U589" s="749"/>
      <c r="V589" s="749"/>
      <c r="W589" s="749"/>
      <c r="X589" s="749"/>
      <c r="Y589" s="749"/>
      <c r="Z589" s="749"/>
      <c r="AA589" s="749"/>
      <c r="AB589" s="749"/>
      <c r="AC589" s="749"/>
      <c r="AD589" s="749"/>
      <c r="AG589" s="57"/>
      <c r="AH589" s="57"/>
      <c r="AI589">
        <f t="shared" si="602"/>
        <v>0</v>
      </c>
      <c r="AJ589">
        <f t="shared" si="603"/>
        <v>0</v>
      </c>
      <c r="AK589">
        <f t="shared" si="604"/>
        <v>0</v>
      </c>
    </row>
    <row r="590" spans="1:37" ht="15" customHeight="1">
      <c r="A590" s="176"/>
      <c r="B590" s="57"/>
      <c r="C590" s="98" t="s">
        <v>2531</v>
      </c>
      <c r="D590" s="796" t="s">
        <v>3126</v>
      </c>
      <c r="E590" s="796"/>
      <c r="F590" s="796"/>
      <c r="G590" s="796"/>
      <c r="H590" s="796"/>
      <c r="I590" s="796"/>
      <c r="J590" s="796"/>
      <c r="K590" s="796"/>
      <c r="L590" s="796"/>
      <c r="M590" s="749"/>
      <c r="N590" s="749"/>
      <c r="O590" s="749"/>
      <c r="P590" s="749"/>
      <c r="Q590" s="749"/>
      <c r="R590" s="749"/>
      <c r="S590" s="749"/>
      <c r="T590" s="749"/>
      <c r="U590" s="749"/>
      <c r="V590" s="749"/>
      <c r="W590" s="749"/>
      <c r="X590" s="749"/>
      <c r="Y590" s="749"/>
      <c r="Z590" s="749"/>
      <c r="AA590" s="749"/>
      <c r="AB590" s="749"/>
      <c r="AC590" s="749"/>
      <c r="AD590" s="749"/>
      <c r="AG590" s="57"/>
      <c r="AH590" s="57"/>
      <c r="AI590">
        <f t="shared" si="602"/>
        <v>0</v>
      </c>
      <c r="AJ590">
        <f t="shared" si="603"/>
        <v>0</v>
      </c>
      <c r="AK590">
        <f t="shared" si="604"/>
        <v>0</v>
      </c>
    </row>
    <row r="591" spans="1:37" ht="15" customHeight="1">
      <c r="A591" s="176"/>
      <c r="B591" s="57"/>
      <c r="C591" s="98" t="s">
        <v>2532</v>
      </c>
      <c r="D591" s="796" t="s">
        <v>3129</v>
      </c>
      <c r="E591" s="796"/>
      <c r="F591" s="796"/>
      <c r="G591" s="796"/>
      <c r="H591" s="796"/>
      <c r="I591" s="796"/>
      <c r="J591" s="796"/>
      <c r="K591" s="796"/>
      <c r="L591" s="796"/>
      <c r="M591" s="749"/>
      <c r="N591" s="749"/>
      <c r="O591" s="749"/>
      <c r="P591" s="749"/>
      <c r="Q591" s="749"/>
      <c r="R591" s="749"/>
      <c r="S591" s="749"/>
      <c r="T591" s="749"/>
      <c r="U591" s="749"/>
      <c r="V591" s="749"/>
      <c r="W591" s="749"/>
      <c r="X591" s="749"/>
      <c r="Y591" s="749"/>
      <c r="Z591" s="749"/>
      <c r="AA591" s="749"/>
      <c r="AB591" s="749"/>
      <c r="AC591" s="749"/>
      <c r="AD591" s="749"/>
      <c r="AG591" s="57"/>
      <c r="AH591" s="57"/>
      <c r="AI591">
        <f t="shared" si="602"/>
        <v>0</v>
      </c>
      <c r="AJ591">
        <f t="shared" si="603"/>
        <v>0</v>
      </c>
      <c r="AK591">
        <f t="shared" si="604"/>
        <v>0</v>
      </c>
    </row>
    <row r="592" spans="1:37" ht="15" customHeight="1">
      <c r="A592" s="176"/>
      <c r="B592" s="57"/>
      <c r="C592" s="98" t="s">
        <v>2533</v>
      </c>
      <c r="D592" s="796" t="s">
        <v>3132</v>
      </c>
      <c r="E592" s="796"/>
      <c r="F592" s="796"/>
      <c r="G592" s="796"/>
      <c r="H592" s="796"/>
      <c r="I592" s="796"/>
      <c r="J592" s="796"/>
      <c r="K592" s="796"/>
      <c r="L592" s="796"/>
      <c r="M592" s="749"/>
      <c r="N592" s="749"/>
      <c r="O592" s="749"/>
      <c r="P592" s="749"/>
      <c r="Q592" s="749"/>
      <c r="R592" s="749"/>
      <c r="S592" s="749"/>
      <c r="T592" s="749"/>
      <c r="U592" s="749"/>
      <c r="V592" s="749"/>
      <c r="W592" s="749"/>
      <c r="X592" s="749"/>
      <c r="Y592" s="749"/>
      <c r="Z592" s="749"/>
      <c r="AA592" s="749"/>
      <c r="AB592" s="749"/>
      <c r="AC592" s="749"/>
      <c r="AD592" s="749"/>
      <c r="AG592" s="57"/>
      <c r="AH592" s="57"/>
      <c r="AI592">
        <f t="shared" si="602"/>
        <v>0</v>
      </c>
      <c r="AJ592">
        <f t="shared" si="603"/>
        <v>0</v>
      </c>
      <c r="AK592">
        <f t="shared" si="604"/>
        <v>0</v>
      </c>
    </row>
    <row r="593" spans="1:37" ht="15" customHeight="1">
      <c r="A593" s="176"/>
      <c r="B593" s="57"/>
      <c r="C593" s="98" t="s">
        <v>2534</v>
      </c>
      <c r="D593" s="796" t="s">
        <v>3135</v>
      </c>
      <c r="E593" s="796"/>
      <c r="F593" s="796"/>
      <c r="G593" s="796"/>
      <c r="H593" s="796"/>
      <c r="I593" s="796"/>
      <c r="J593" s="796"/>
      <c r="K593" s="796"/>
      <c r="L593" s="796"/>
      <c r="M593" s="749"/>
      <c r="N593" s="749"/>
      <c r="O593" s="749"/>
      <c r="P593" s="749"/>
      <c r="Q593" s="749"/>
      <c r="R593" s="749"/>
      <c r="S593" s="749"/>
      <c r="T593" s="749"/>
      <c r="U593" s="749"/>
      <c r="V593" s="749"/>
      <c r="W593" s="749"/>
      <c r="X593" s="749"/>
      <c r="Y593" s="749"/>
      <c r="Z593" s="749"/>
      <c r="AA593" s="749"/>
      <c r="AB593" s="749"/>
      <c r="AC593" s="749"/>
      <c r="AD593" s="749"/>
      <c r="AG593" s="57"/>
      <c r="AH593" s="57"/>
      <c r="AI593">
        <f t="shared" si="602"/>
        <v>0</v>
      </c>
      <c r="AJ593">
        <f t="shared" si="603"/>
        <v>0</v>
      </c>
      <c r="AK593">
        <f t="shared" si="604"/>
        <v>0</v>
      </c>
    </row>
    <row r="594" spans="1:37" ht="15" customHeight="1">
      <c r="A594" s="176"/>
      <c r="B594" s="57"/>
      <c r="C594" s="98" t="s">
        <v>2535</v>
      </c>
      <c r="D594" s="796" t="s">
        <v>3138</v>
      </c>
      <c r="E594" s="796"/>
      <c r="F594" s="796"/>
      <c r="G594" s="796"/>
      <c r="H594" s="796"/>
      <c r="I594" s="796"/>
      <c r="J594" s="796"/>
      <c r="K594" s="796"/>
      <c r="L594" s="796"/>
      <c r="M594" s="749"/>
      <c r="N594" s="749"/>
      <c r="O594" s="749"/>
      <c r="P594" s="749"/>
      <c r="Q594" s="749"/>
      <c r="R594" s="749"/>
      <c r="S594" s="749"/>
      <c r="T594" s="749"/>
      <c r="U594" s="749"/>
      <c r="V594" s="749"/>
      <c r="W594" s="749"/>
      <c r="X594" s="749"/>
      <c r="Y594" s="749"/>
      <c r="Z594" s="749"/>
      <c r="AA594" s="749"/>
      <c r="AB594" s="749"/>
      <c r="AC594" s="749"/>
      <c r="AD594" s="749"/>
      <c r="AG594" s="57"/>
      <c r="AH594" s="57"/>
      <c r="AI594">
        <f t="shared" si="602"/>
        <v>0</v>
      </c>
      <c r="AJ594">
        <f t="shared" si="603"/>
        <v>0</v>
      </c>
      <c r="AK594">
        <f t="shared" si="604"/>
        <v>0</v>
      </c>
    </row>
    <row r="595" spans="1:37" ht="15" customHeight="1">
      <c r="A595" s="176"/>
      <c r="B595" s="57"/>
      <c r="C595" s="98" t="s">
        <v>2536</v>
      </c>
      <c r="D595" s="796" t="s">
        <v>3141</v>
      </c>
      <c r="E595" s="796"/>
      <c r="F595" s="796"/>
      <c r="G595" s="796"/>
      <c r="H595" s="796"/>
      <c r="I595" s="796"/>
      <c r="J595" s="796"/>
      <c r="K595" s="796"/>
      <c r="L595" s="796"/>
      <c r="M595" s="749"/>
      <c r="N595" s="749"/>
      <c r="O595" s="749"/>
      <c r="P595" s="749"/>
      <c r="Q595" s="749"/>
      <c r="R595" s="749"/>
      <c r="S595" s="749"/>
      <c r="T595" s="749"/>
      <c r="U595" s="749"/>
      <c r="V595" s="749"/>
      <c r="W595" s="749"/>
      <c r="X595" s="749"/>
      <c r="Y595" s="749"/>
      <c r="Z595" s="749"/>
      <c r="AA595" s="749"/>
      <c r="AB595" s="749"/>
      <c r="AC595" s="749"/>
      <c r="AD595" s="749"/>
      <c r="AG595" s="57"/>
      <c r="AH595" s="57"/>
      <c r="AI595">
        <f t="shared" si="602"/>
        <v>0</v>
      </c>
      <c r="AJ595">
        <f t="shared" si="603"/>
        <v>0</v>
      </c>
      <c r="AK595">
        <f t="shared" si="604"/>
        <v>0</v>
      </c>
    </row>
    <row r="596" spans="1:37" ht="15" customHeight="1">
      <c r="A596" s="108"/>
      <c r="B596" s="38"/>
      <c r="C596" s="98" t="s">
        <v>2537</v>
      </c>
      <c r="D596" s="796" t="s">
        <v>3144</v>
      </c>
      <c r="E596" s="796"/>
      <c r="F596" s="796"/>
      <c r="G596" s="796"/>
      <c r="H596" s="796"/>
      <c r="I596" s="796"/>
      <c r="J596" s="796"/>
      <c r="K596" s="796"/>
      <c r="L596" s="796"/>
      <c r="M596" s="749"/>
      <c r="N596" s="749"/>
      <c r="O596" s="749"/>
      <c r="P596" s="749"/>
      <c r="Q596" s="749"/>
      <c r="R596" s="749"/>
      <c r="S596" s="749"/>
      <c r="T596" s="749"/>
      <c r="U596" s="749"/>
      <c r="V596" s="749"/>
      <c r="W596" s="749"/>
      <c r="X596" s="749"/>
      <c r="Y596" s="749"/>
      <c r="Z596" s="749"/>
      <c r="AA596" s="749"/>
      <c r="AB596" s="749"/>
      <c r="AC596" s="749"/>
      <c r="AD596" s="749"/>
      <c r="AG596" s="57"/>
      <c r="AH596" s="57"/>
      <c r="AI596">
        <f t="shared" si="602"/>
        <v>0</v>
      </c>
      <c r="AJ596">
        <f t="shared" si="603"/>
        <v>0</v>
      </c>
      <c r="AK596">
        <f t="shared" si="604"/>
        <v>0</v>
      </c>
    </row>
    <row r="597" spans="1:37" ht="15" customHeight="1">
      <c r="A597" s="108"/>
      <c r="B597" s="38"/>
      <c r="C597" s="98" t="s">
        <v>2538</v>
      </c>
      <c r="D597" s="796" t="s">
        <v>3146</v>
      </c>
      <c r="E597" s="796"/>
      <c r="F597" s="796"/>
      <c r="G597" s="796"/>
      <c r="H597" s="796"/>
      <c r="I597" s="796"/>
      <c r="J597" s="796"/>
      <c r="K597" s="796"/>
      <c r="L597" s="796"/>
      <c r="M597" s="749"/>
      <c r="N597" s="749"/>
      <c r="O597" s="749"/>
      <c r="P597" s="749"/>
      <c r="Q597" s="749"/>
      <c r="R597" s="749"/>
      <c r="S597" s="749"/>
      <c r="T597" s="749"/>
      <c r="U597" s="749"/>
      <c r="V597" s="749"/>
      <c r="W597" s="749"/>
      <c r="X597" s="749"/>
      <c r="Y597" s="749"/>
      <c r="Z597" s="749"/>
      <c r="AA597" s="749"/>
      <c r="AB597" s="749"/>
      <c r="AC597" s="749"/>
      <c r="AD597" s="749"/>
      <c r="AG597" s="57"/>
      <c r="AH597" s="57"/>
      <c r="AI597">
        <f t="shared" si="602"/>
        <v>0</v>
      </c>
      <c r="AJ597">
        <f t="shared" si="603"/>
        <v>0</v>
      </c>
      <c r="AK597">
        <f t="shared" si="604"/>
        <v>0</v>
      </c>
    </row>
    <row r="598" spans="1:37" ht="15" customHeight="1">
      <c r="A598" s="108"/>
      <c r="B598" s="38"/>
      <c r="C598" s="98" t="s">
        <v>2539</v>
      </c>
      <c r="D598" s="796" t="s">
        <v>3148</v>
      </c>
      <c r="E598" s="796"/>
      <c r="F598" s="796"/>
      <c r="G598" s="796"/>
      <c r="H598" s="796"/>
      <c r="I598" s="796"/>
      <c r="J598" s="796"/>
      <c r="K598" s="796"/>
      <c r="L598" s="796"/>
      <c r="M598" s="749"/>
      <c r="N598" s="749"/>
      <c r="O598" s="749"/>
      <c r="P598" s="749"/>
      <c r="Q598" s="749"/>
      <c r="R598" s="749"/>
      <c r="S598" s="749"/>
      <c r="T598" s="749"/>
      <c r="U598" s="749"/>
      <c r="V598" s="749"/>
      <c r="W598" s="749"/>
      <c r="X598" s="749"/>
      <c r="Y598" s="749"/>
      <c r="Z598" s="749"/>
      <c r="AA598" s="749"/>
      <c r="AB598" s="749"/>
      <c r="AC598" s="749"/>
      <c r="AD598" s="749"/>
      <c r="AG598" s="57"/>
      <c r="AH598" s="57"/>
      <c r="AI598">
        <f t="shared" si="602"/>
        <v>0</v>
      </c>
      <c r="AJ598">
        <f t="shared" si="603"/>
        <v>0</v>
      </c>
      <c r="AK598">
        <f t="shared" si="604"/>
        <v>0</v>
      </c>
    </row>
    <row r="599" spans="1:37" ht="15" customHeight="1">
      <c r="A599" s="108"/>
      <c r="B599" s="38"/>
      <c r="C599" s="98" t="s">
        <v>2540</v>
      </c>
      <c r="D599" s="796" t="s">
        <v>201</v>
      </c>
      <c r="E599" s="796"/>
      <c r="F599" s="796"/>
      <c r="G599" s="796"/>
      <c r="H599" s="796"/>
      <c r="I599" s="796"/>
      <c r="J599" s="796"/>
      <c r="K599" s="796"/>
      <c r="L599" s="796"/>
      <c r="M599" s="749"/>
      <c r="N599" s="749"/>
      <c r="O599" s="749"/>
      <c r="P599" s="749"/>
      <c r="Q599" s="749"/>
      <c r="R599" s="749"/>
      <c r="S599" s="749"/>
      <c r="T599" s="749"/>
      <c r="U599" s="749"/>
      <c r="V599" s="749"/>
      <c r="W599" s="749"/>
      <c r="X599" s="749"/>
      <c r="Y599" s="749"/>
      <c r="Z599" s="749"/>
      <c r="AA599" s="749"/>
      <c r="AB599" s="749"/>
      <c r="AC599" s="749"/>
      <c r="AD599" s="749"/>
      <c r="AG599" s="57"/>
      <c r="AH599" s="57"/>
      <c r="AI599">
        <f t="shared" si="602"/>
        <v>0</v>
      </c>
      <c r="AJ599">
        <f t="shared" si="603"/>
        <v>0</v>
      </c>
      <c r="AK599">
        <f t="shared" si="604"/>
        <v>0</v>
      </c>
    </row>
    <row r="600" spans="1:37" ht="15" customHeight="1">
      <c r="A600" s="108"/>
      <c r="B600" s="38"/>
      <c r="C600" s="38"/>
      <c r="D600" s="38"/>
      <c r="E600" s="38"/>
      <c r="F600" s="38"/>
      <c r="G600" s="38"/>
      <c r="H600" s="38"/>
      <c r="I600" s="38"/>
      <c r="J600" s="38"/>
      <c r="K600" s="38"/>
      <c r="L600" s="117" t="s">
        <v>2649</v>
      </c>
      <c r="M600" s="736">
        <f>IF(AND(SUM(M575:M599)=0,COUNTIF(M575:M599,"NS")&gt;0),"NS",IF(AND(SUM(M575:M599)=0,COUNTIF(M575:M599,0)&gt;0),0,IF(AND(SUM(M575:M599)=0,COUNTIF(M575:M599,"NA")&gt;0),"NA",SUM(M575:M599))))</f>
        <v>0</v>
      </c>
      <c r="N600" s="1085"/>
      <c r="O600" s="1085"/>
      <c r="P600" s="1085"/>
      <c r="Q600" s="1085"/>
      <c r="R600" s="1086"/>
      <c r="S600" s="736">
        <f>IF(AND(SUM(S575:S599)=0,COUNTIF(S575:S599,"NS")&gt;0),"NS",IF(AND(SUM(S575:S599)=0,COUNTIF(S575:S599,0)&gt;0),0,IF(AND(SUM(S575:S599)=0,COUNTIF(S575:S599,"NA")&gt;0),"NA",SUM(S575:S599))))</f>
        <v>0</v>
      </c>
      <c r="T600" s="1085"/>
      <c r="U600" s="1085"/>
      <c r="V600" s="1085"/>
      <c r="W600" s="1085"/>
      <c r="X600" s="1086"/>
      <c r="Y600" s="736">
        <f>IF(AND(SUM(Y575:Y599)=0,COUNTIF(Y575:Y599,"NS")&gt;0),"NS",IF(AND(SUM(Y575:Y599)=0,COUNTIF(Y575:Y599,0)&gt;0),0,IF(AND(SUM(Y575:Y599)=0,COUNTIF(Y575:Y599,"NA")&gt;0),"NA",SUM(Y575:Y599))))</f>
        <v>0</v>
      </c>
      <c r="Z600" s="1085"/>
      <c r="AA600" s="1085"/>
      <c r="AB600" s="1085"/>
      <c r="AC600" s="1085"/>
      <c r="AD600" s="1086"/>
      <c r="AG600" s="57"/>
      <c r="AH600" s="57"/>
      <c r="AI600">
        <f>SUM(AI575:AI599)</f>
        <v>0</v>
      </c>
      <c r="AK600" s="506">
        <f>SUM(AK575:AK599)</f>
        <v>0</v>
      </c>
    </row>
    <row r="601" spans="1:37" ht="15" customHeight="1">
      <c r="A601" s="176"/>
      <c r="B601" s="57"/>
      <c r="C601" s="57"/>
      <c r="D601" s="57"/>
      <c r="E601" s="57"/>
      <c r="F601" s="57"/>
      <c r="G601" s="57"/>
      <c r="H601" s="57"/>
      <c r="I601" s="57"/>
      <c r="J601" s="57"/>
      <c r="K601" s="57"/>
      <c r="L601" s="57"/>
      <c r="M601" s="57"/>
      <c r="N601" s="57"/>
      <c r="O601" s="57"/>
      <c r="P601" s="57"/>
      <c r="Q601" s="57"/>
      <c r="R601" s="57"/>
      <c r="S601" s="57"/>
      <c r="T601" s="57"/>
      <c r="U601" s="57"/>
      <c r="V601" s="57"/>
      <c r="W601" s="57"/>
      <c r="X601" s="57"/>
      <c r="Y601" s="57"/>
      <c r="Z601" s="57"/>
      <c r="AA601" s="57"/>
      <c r="AB601" s="57"/>
      <c r="AC601" s="57"/>
      <c r="AD601" s="57"/>
    </row>
    <row r="602" spans="1:37" ht="24" customHeight="1">
      <c r="A602" s="108"/>
      <c r="B602" s="38"/>
      <c r="C602" s="754" t="s">
        <v>2611</v>
      </c>
      <c r="D602" s="754"/>
      <c r="E602" s="754"/>
      <c r="F602" s="754"/>
      <c r="G602" s="754"/>
      <c r="H602" s="754"/>
      <c r="I602" s="754"/>
      <c r="J602" s="754"/>
      <c r="K602" s="754"/>
      <c r="L602" s="754"/>
      <c r="M602" s="754"/>
      <c r="N602" s="754"/>
      <c r="O602" s="754"/>
      <c r="P602" s="754"/>
      <c r="Q602" s="754"/>
      <c r="R602" s="754"/>
      <c r="S602" s="754"/>
      <c r="T602" s="754"/>
      <c r="U602" s="754"/>
      <c r="V602" s="754"/>
      <c r="W602" s="754"/>
      <c r="X602" s="754"/>
      <c r="Y602" s="754"/>
      <c r="Z602" s="754"/>
      <c r="AA602" s="754"/>
      <c r="AB602" s="754"/>
      <c r="AC602" s="754"/>
      <c r="AD602" s="754"/>
    </row>
    <row r="603" spans="1:37" ht="60" customHeight="1">
      <c r="A603" s="108"/>
      <c r="B603" s="38"/>
      <c r="C603" s="851"/>
      <c r="D603" s="851"/>
      <c r="E603" s="851"/>
      <c r="F603" s="851"/>
      <c r="G603" s="851"/>
      <c r="H603" s="851"/>
      <c r="I603" s="851"/>
      <c r="J603" s="851"/>
      <c r="K603" s="851"/>
      <c r="L603" s="851"/>
      <c r="M603" s="851"/>
      <c r="N603" s="851"/>
      <c r="O603" s="851"/>
      <c r="P603" s="851"/>
      <c r="Q603" s="851"/>
      <c r="R603" s="851"/>
      <c r="S603" s="851"/>
      <c r="T603" s="851"/>
      <c r="U603" s="851"/>
      <c r="V603" s="851"/>
      <c r="W603" s="851"/>
      <c r="X603" s="851"/>
      <c r="Y603" s="851"/>
      <c r="Z603" s="851"/>
      <c r="AA603" s="851"/>
      <c r="AB603" s="851"/>
      <c r="AC603" s="851"/>
      <c r="AD603" s="851"/>
    </row>
    <row r="604" spans="1:37" ht="15" customHeight="1">
      <c r="A604" s="176"/>
      <c r="B604" s="794" t="str">
        <f>IF(AG575=0,"","Favor de ingresar toda la información requerida en la pregunta")</f>
        <v/>
      </c>
      <c r="C604" s="794"/>
      <c r="D604" s="794"/>
      <c r="E604" s="794"/>
      <c r="F604" s="794"/>
      <c r="G604" s="794"/>
      <c r="H604" s="794"/>
      <c r="I604" s="794"/>
      <c r="J604" s="794"/>
      <c r="K604" s="794"/>
      <c r="L604" s="794"/>
      <c r="M604" s="794"/>
      <c r="N604" s="794"/>
      <c r="O604" s="794"/>
      <c r="P604" s="794"/>
      <c r="Q604" s="794"/>
      <c r="R604" s="794"/>
      <c r="S604" s="794"/>
      <c r="T604" s="794"/>
      <c r="U604" s="794"/>
      <c r="V604" s="794"/>
      <c r="W604" s="794"/>
      <c r="X604" s="794"/>
      <c r="Y604" s="794"/>
      <c r="Z604" s="794"/>
      <c r="AA604" s="794"/>
      <c r="AB604" s="794"/>
      <c r="AC604" s="794"/>
      <c r="AD604" s="794"/>
      <c r="AE604" s="794"/>
    </row>
    <row r="605" spans="1:37" ht="15" customHeight="1">
      <c r="A605" s="176"/>
      <c r="B605" s="1087" t="str">
        <f>IF(OR($V$559=0,$V$559="NS",$V$559="NA"),"",IF(COUNTIF(M575:AD599,"NS")&lt;&gt;0,"Alerta: debido a que cuenta con registros NS, debe proporcionar una justificación en el area de comentarios al final de la pregunta",""))</f>
        <v/>
      </c>
      <c r="C605" s="1087"/>
      <c r="D605" s="1087"/>
      <c r="E605" s="1087"/>
      <c r="F605" s="1087"/>
      <c r="G605" s="1087"/>
      <c r="H605" s="1087"/>
      <c r="I605" s="1087"/>
      <c r="J605" s="1087"/>
      <c r="K605" s="1087"/>
      <c r="L605" s="1087"/>
      <c r="M605" s="1087"/>
      <c r="N605" s="1087"/>
      <c r="O605" s="1087"/>
      <c r="P605" s="1087"/>
      <c r="Q605" s="1087"/>
      <c r="R605" s="1087"/>
      <c r="S605" s="1087"/>
      <c r="T605" s="1087"/>
      <c r="U605" s="1087"/>
      <c r="V605" s="1087"/>
      <c r="W605" s="1087"/>
      <c r="X605" s="1087"/>
      <c r="Y605" s="1087"/>
      <c r="Z605" s="1087"/>
      <c r="AA605" s="1087"/>
      <c r="AB605" s="1087"/>
      <c r="AC605" s="1087"/>
      <c r="AD605" s="1087"/>
      <c r="AE605" s="1087"/>
    </row>
    <row r="606" spans="1:37" ht="15" customHeight="1">
      <c r="A606" s="176"/>
      <c r="B606" s="1003" t="str">
        <f>IF(AH575&gt;0,"Revise la información capturada, ya que tiene datos ingresados en celdas que están sombreadas","")</f>
        <v/>
      </c>
      <c r="C606" s="1003"/>
      <c r="D606" s="1003"/>
      <c r="E606" s="1003"/>
      <c r="F606" s="1003"/>
      <c r="G606" s="1003"/>
      <c r="H606" s="1003"/>
      <c r="I606" s="1003"/>
      <c r="J606" s="1003"/>
      <c r="K606" s="1003"/>
      <c r="L606" s="1003"/>
      <c r="M606" s="1003"/>
      <c r="N606" s="1003"/>
      <c r="O606" s="1003"/>
      <c r="P606" s="1003"/>
      <c r="Q606" s="1003"/>
      <c r="R606" s="1003"/>
      <c r="S606" s="1003"/>
      <c r="T606" s="1003"/>
      <c r="U606" s="1003"/>
      <c r="V606" s="1003"/>
      <c r="W606" s="1003"/>
      <c r="X606" s="1003"/>
      <c r="Y606" s="1003"/>
      <c r="Z606" s="1003"/>
      <c r="AA606" s="1003"/>
      <c r="AB606" s="1003"/>
      <c r="AC606" s="1003"/>
      <c r="AD606" s="1003"/>
      <c r="AE606" s="1003"/>
    </row>
    <row r="607" spans="1:37" ht="15" customHeight="1">
      <c r="A607" s="176"/>
      <c r="B607" s="1003" t="str">
        <f>IF(OR($V$559=0,$V$559="NS",$V$559="NA"),"",IF(AK600&gt;0,"Favor de revisar la suma y consistencia de totales y/o subtotales por filas (numéricos y NS)",""))</f>
        <v/>
      </c>
      <c r="C607" s="1003"/>
      <c r="D607" s="1003"/>
      <c r="E607" s="1003"/>
      <c r="F607" s="1003"/>
      <c r="G607" s="1003"/>
      <c r="H607" s="1003"/>
      <c r="I607" s="1003"/>
      <c r="J607" s="1003"/>
      <c r="K607" s="1003"/>
      <c r="L607" s="1003"/>
      <c r="M607" s="1003"/>
      <c r="N607" s="1003"/>
      <c r="O607" s="1003"/>
      <c r="P607" s="1003"/>
      <c r="Q607" s="1003"/>
      <c r="R607" s="1003"/>
      <c r="S607" s="1003"/>
      <c r="T607" s="1003"/>
      <c r="U607" s="1003"/>
      <c r="V607" s="1003"/>
      <c r="W607" s="1003"/>
      <c r="X607" s="1003"/>
      <c r="Y607" s="1003"/>
      <c r="Z607" s="1003"/>
      <c r="AA607" s="1003"/>
      <c r="AB607" s="1003"/>
      <c r="AC607" s="1003"/>
      <c r="AD607" s="1003"/>
      <c r="AE607" s="1003"/>
    </row>
    <row r="608" spans="1:37" ht="15" customHeight="1">
      <c r="A608" s="176"/>
      <c r="B608" s="794" t="str">
        <f>IF(OR($V$559=0,$V$559="NS",$V$559="NA"),"",IF(AND(V559=M600,W559=S600,X559=Y600),"","Las cantidades de Hombres y Mujeres debe corresponder con los datos reportados en la preg. anterior"))</f>
        <v/>
      </c>
      <c r="C608" s="794"/>
      <c r="D608" s="794"/>
      <c r="E608" s="794"/>
      <c r="F608" s="794"/>
      <c r="G608" s="794"/>
      <c r="H608" s="794"/>
      <c r="I608" s="794"/>
      <c r="J608" s="794"/>
      <c r="K608" s="794"/>
      <c r="L608" s="794"/>
      <c r="M608" s="794"/>
      <c r="N608" s="794"/>
      <c r="O608" s="794"/>
      <c r="P608" s="794"/>
      <c r="Q608" s="794"/>
      <c r="R608" s="794"/>
      <c r="S608" s="794"/>
      <c r="T608" s="794"/>
      <c r="U608" s="794"/>
      <c r="V608" s="794"/>
      <c r="W608" s="794"/>
      <c r="X608" s="794"/>
      <c r="Y608" s="794"/>
      <c r="Z608" s="794"/>
      <c r="AA608" s="794"/>
      <c r="AB608" s="794"/>
      <c r="AC608" s="794"/>
      <c r="AD608" s="794"/>
      <c r="AE608" s="794"/>
    </row>
    <row r="609" spans="1:58" ht="15" customHeight="1">
      <c r="A609" s="176"/>
      <c r="B609" s="57"/>
      <c r="C609" s="57"/>
      <c r="D609" s="57"/>
      <c r="E609" s="57"/>
      <c r="F609" s="57"/>
      <c r="G609" s="57"/>
      <c r="H609" s="57"/>
      <c r="I609" s="57"/>
      <c r="J609" s="57"/>
      <c r="K609" s="57"/>
      <c r="L609" s="57"/>
      <c r="M609" s="57"/>
      <c r="N609" s="57"/>
      <c r="O609" s="57"/>
      <c r="P609" s="57"/>
      <c r="Q609" s="57"/>
      <c r="R609" s="57"/>
      <c r="S609" s="57"/>
      <c r="T609" s="57"/>
      <c r="U609" s="57"/>
      <c r="V609" s="57"/>
      <c r="W609" s="57"/>
      <c r="X609" s="57"/>
      <c r="Y609" s="57"/>
      <c r="Z609" s="57"/>
      <c r="AA609" s="57"/>
      <c r="AB609" s="57"/>
      <c r="AC609" s="57"/>
      <c r="AD609" s="57"/>
    </row>
    <row r="610" spans="1:58" ht="36" customHeight="1">
      <c r="A610" s="49" t="s">
        <v>5278</v>
      </c>
      <c r="B610" s="829" t="s">
        <v>5279</v>
      </c>
      <c r="C610" s="829"/>
      <c r="D610" s="829"/>
      <c r="E610" s="829"/>
      <c r="F610" s="829"/>
      <c r="G610" s="829"/>
      <c r="H610" s="829"/>
      <c r="I610" s="829"/>
      <c r="J610" s="829"/>
      <c r="K610" s="829"/>
      <c r="L610" s="829"/>
      <c r="M610" s="829"/>
      <c r="N610" s="829"/>
      <c r="O610" s="829"/>
      <c r="P610" s="829"/>
      <c r="Q610" s="829"/>
      <c r="R610" s="829"/>
      <c r="S610" s="829"/>
      <c r="T610" s="829"/>
      <c r="U610" s="829"/>
      <c r="V610" s="829"/>
      <c r="W610" s="829"/>
      <c r="X610" s="829"/>
      <c r="Y610" s="829"/>
      <c r="Z610" s="829"/>
      <c r="AA610" s="829"/>
      <c r="AB610" s="829"/>
      <c r="AC610" s="829"/>
      <c r="AD610" s="829"/>
    </row>
    <row r="611" spans="1:58" ht="15" customHeight="1">
      <c r="A611" s="176"/>
      <c r="B611" s="57"/>
      <c r="C611" s="57"/>
      <c r="D611" s="57"/>
      <c r="E611" s="57"/>
      <c r="F611" s="57"/>
      <c r="G611" s="57"/>
      <c r="H611" s="57"/>
      <c r="I611" s="57"/>
      <c r="J611" s="57"/>
      <c r="K611" s="57"/>
      <c r="L611" s="57"/>
      <c r="M611" s="57"/>
      <c r="N611" s="57"/>
      <c r="O611" s="57"/>
      <c r="P611" s="57"/>
      <c r="Q611" s="57"/>
      <c r="R611" s="57"/>
      <c r="S611" s="57"/>
      <c r="T611" s="57"/>
      <c r="U611" s="57"/>
      <c r="V611" s="57"/>
      <c r="W611" s="57"/>
      <c r="X611" s="57"/>
      <c r="Y611" s="57"/>
      <c r="Z611" s="57"/>
      <c r="AA611" s="57"/>
      <c r="AB611" s="57"/>
      <c r="AC611" s="57"/>
      <c r="AD611" s="57"/>
    </row>
    <row r="612" spans="1:58" ht="36" customHeight="1">
      <c r="A612" s="108"/>
      <c r="B612" s="38"/>
      <c r="C612" s="797" t="s">
        <v>2581</v>
      </c>
      <c r="D612" s="798"/>
      <c r="E612" s="798"/>
      <c r="F612" s="798"/>
      <c r="G612" s="798"/>
      <c r="H612" s="798"/>
      <c r="I612" s="798"/>
      <c r="J612" s="798"/>
      <c r="K612" s="798"/>
      <c r="L612" s="798"/>
      <c r="M612" s="798"/>
      <c r="N612" s="798"/>
      <c r="O612" s="798"/>
      <c r="P612" s="798"/>
      <c r="Q612" s="798"/>
      <c r="R612" s="799"/>
      <c r="S612" s="739" t="s">
        <v>5280</v>
      </c>
      <c r="T612" s="740"/>
      <c r="U612" s="740"/>
      <c r="V612" s="740"/>
      <c r="W612" s="740"/>
      <c r="X612" s="740"/>
      <c r="Y612" s="740"/>
      <c r="Z612" s="740"/>
      <c r="AA612" s="740"/>
      <c r="AB612" s="740"/>
      <c r="AC612" s="740"/>
      <c r="AD612" s="741"/>
    </row>
    <row r="613" spans="1:58" ht="72" customHeight="1">
      <c r="A613" s="108"/>
      <c r="B613" s="38"/>
      <c r="C613" s="800"/>
      <c r="D613" s="801"/>
      <c r="E613" s="801"/>
      <c r="F613" s="801"/>
      <c r="G613" s="801"/>
      <c r="H613" s="801"/>
      <c r="I613" s="801"/>
      <c r="J613" s="801"/>
      <c r="K613" s="801"/>
      <c r="L613" s="801"/>
      <c r="M613" s="801"/>
      <c r="N613" s="801"/>
      <c r="O613" s="801"/>
      <c r="P613" s="801"/>
      <c r="Q613" s="801"/>
      <c r="R613" s="802"/>
      <c r="S613" s="887" t="s">
        <v>2628</v>
      </c>
      <c r="T613" s="889" t="s">
        <v>2629</v>
      </c>
      <c r="U613" s="889" t="s">
        <v>2630</v>
      </c>
      <c r="V613" s="858" t="s">
        <v>5281</v>
      </c>
      <c r="W613" s="859"/>
      <c r="X613" s="860"/>
      <c r="Y613" s="858" t="s">
        <v>5282</v>
      </c>
      <c r="Z613" s="859"/>
      <c r="AA613" s="860"/>
      <c r="AB613" s="858" t="s">
        <v>201</v>
      </c>
      <c r="AC613" s="859"/>
      <c r="AD613" s="860"/>
    </row>
    <row r="614" spans="1:58" ht="48" customHeight="1">
      <c r="A614" s="108"/>
      <c r="B614" s="38"/>
      <c r="C614" s="803"/>
      <c r="D614" s="804"/>
      <c r="E614" s="804"/>
      <c r="F614" s="804"/>
      <c r="G614" s="804"/>
      <c r="H614" s="804"/>
      <c r="I614" s="804"/>
      <c r="J614" s="804"/>
      <c r="K614" s="804"/>
      <c r="L614" s="804"/>
      <c r="M614" s="804"/>
      <c r="N614" s="804"/>
      <c r="O614" s="804"/>
      <c r="P614" s="804"/>
      <c r="Q614" s="804"/>
      <c r="R614" s="805"/>
      <c r="S614" s="888"/>
      <c r="T614" s="890"/>
      <c r="U614" s="890"/>
      <c r="V614" s="171" t="s">
        <v>2635</v>
      </c>
      <c r="W614" s="128" t="s">
        <v>2629</v>
      </c>
      <c r="X614" s="128" t="s">
        <v>2630</v>
      </c>
      <c r="Y614" s="171" t="s">
        <v>2635</v>
      </c>
      <c r="Z614" s="128" t="s">
        <v>2629</v>
      </c>
      <c r="AA614" s="128" t="s">
        <v>2630</v>
      </c>
      <c r="AB614" s="171" t="s">
        <v>2635</v>
      </c>
      <c r="AC614" s="128" t="s">
        <v>2629</v>
      </c>
      <c r="AD614" s="128" t="s">
        <v>2630</v>
      </c>
      <c r="AG614" t="s">
        <v>2586</v>
      </c>
      <c r="AH614" t="s">
        <v>4581</v>
      </c>
      <c r="AK614" t="s">
        <v>4573</v>
      </c>
      <c r="AL614" t="s">
        <v>2638</v>
      </c>
      <c r="AM614" t="s">
        <v>2639</v>
      </c>
      <c r="AN614" t="s">
        <v>4574</v>
      </c>
      <c r="AO614" t="s">
        <v>2641</v>
      </c>
      <c r="AP614" t="s">
        <v>2642</v>
      </c>
      <c r="AQ614" t="s">
        <v>4575</v>
      </c>
      <c r="AR614" t="s">
        <v>2644</v>
      </c>
      <c r="AS614" t="s">
        <v>2645</v>
      </c>
      <c r="AT614" t="s">
        <v>4576</v>
      </c>
      <c r="AU614" t="s">
        <v>2647</v>
      </c>
      <c r="AV614" t="s">
        <v>2648</v>
      </c>
      <c r="BF614" t="s">
        <v>4582</v>
      </c>
    </row>
    <row r="615" spans="1:58" ht="15" customHeight="1">
      <c r="A615" s="108"/>
      <c r="B615" s="38"/>
      <c r="C615" s="97" t="s">
        <v>2516</v>
      </c>
      <c r="D615" s="813" t="str">
        <f>IF(CNSIPEE_2024_M2_Secc1!D42="","",CNSIPEE_2024_M2_Secc1!D42)</f>
        <v/>
      </c>
      <c r="E615" s="814"/>
      <c r="F615" s="814"/>
      <c r="G615" s="814"/>
      <c r="H615" s="814"/>
      <c r="I615" s="814"/>
      <c r="J615" s="814"/>
      <c r="K615" s="814"/>
      <c r="L615" s="814"/>
      <c r="M615" s="814"/>
      <c r="N615" s="814"/>
      <c r="O615" s="814"/>
      <c r="P615" s="814"/>
      <c r="Q615" s="814"/>
      <c r="R615" s="815"/>
      <c r="S615" s="100"/>
      <c r="T615" s="100"/>
      <c r="U615" s="100"/>
      <c r="V615" s="100"/>
      <c r="W615" s="100"/>
      <c r="X615" s="100"/>
      <c r="Y615" s="100"/>
      <c r="Z615" s="100"/>
      <c r="AA615" s="100"/>
      <c r="AB615" s="100"/>
      <c r="AC615" s="100"/>
      <c r="AD615" s="100"/>
      <c r="AG615">
        <f>IF(OR($M40=0,$M40="NS",$M40="NA"),0,IF(OR(COUNTBLANK(D615:AD615)=14,COUNTBLANK(D615:AD615)=27),0,1))</f>
        <v>0</v>
      </c>
      <c r="AH615">
        <f>IF(OR($M40=0,$M40="NS",$M40="NA"),IF(COUNTBLANK(S615:AD615)=12,0,1),0)</f>
        <v>0</v>
      </c>
      <c r="AK615">
        <f t="shared" ref="AK615" si="605">COUNTIF(T615:U615,"NS")</f>
        <v>0</v>
      </c>
      <c r="AL615">
        <f t="shared" ref="AL615" si="606">SUM(T615:U615)</f>
        <v>0</v>
      </c>
      <c r="AM615">
        <f>IF(COUNTIF(S615:U615,"NA")=3,0,IF(COUNTA(S615:U615)=0,0,IF(OR(AND(S615=0,AK615&gt;0),AND(S615="ns",AL615&gt;0),AND(S615="ns",AK615=0,AL615=0)),1,IF(OR(AND(S615&gt;0,AK615=2),AND(S615="ns",AK615=2),AND(S615="ns",AL615=0,AK615&gt;0),S615=AL615),0,1))))</f>
        <v>0</v>
      </c>
      <c r="AN615">
        <f t="shared" ref="AN615" si="607">COUNTIF(W615:X615,"NS")</f>
        <v>0</v>
      </c>
      <c r="AO615">
        <f t="shared" ref="AO615" si="608">SUM(W615:X615)</f>
        <v>0</v>
      </c>
      <c r="AP615">
        <f t="shared" ref="AP615" si="609">IF(COUNTIF(V615:X615,"NA")=3,0,IF(COUNTA(V615:X615)=0,0,IF(OR(AND(V615=0,AN615&gt;0),AND(V615="ns",AO615&gt;0),AND(V615="ns",AN615=0,AO615=0)),1,IF(OR(AND(V615&gt;0,AN615=2),AND(V615="ns",AN615=2),AND(V615="ns",AO615=0,AN615&gt;0),V615=AO615),0,1))))</f>
        <v>0</v>
      </c>
      <c r="AQ615">
        <f t="shared" ref="AQ615" si="610">COUNTIF(Z615:AA615,"NS")</f>
        <v>0</v>
      </c>
      <c r="AR615">
        <f t="shared" ref="AR615" si="611">SUM(Z615:AA615)</f>
        <v>0</v>
      </c>
      <c r="AS615">
        <f t="shared" ref="AS615" si="612">IF(COUNTIF(Y615:AA615,"NA")=3,0,IF(COUNTA(Y615:AA615)=0,0,IF(OR(AND(Y615=0,AQ615&gt;0),AND(Y615="ns",AR615&gt;0),AND(Y615="ns",AQ615=0,AR615=0)),1,IF(OR(AND(Y615&gt;0,AQ615=2),AND(Y615="ns",AQ615=2),AND(Y615="ns",AR615=0,AQ615&gt;0),Y615=AR615),0,1))))</f>
        <v>0</v>
      </c>
      <c r="AT615">
        <f t="shared" ref="AT615" si="613">COUNTIF(AC615:AD615,"NS")</f>
        <v>0</v>
      </c>
      <c r="AU615">
        <f t="shared" ref="AU615" si="614">SUM(AC615:AD615)</f>
        <v>0</v>
      </c>
      <c r="AV615">
        <f t="shared" ref="AV615" si="615">IF(COUNTIF(AB615:AD615,"NA")=3,0,IF(COUNTA(AB615:AD615)=0,0,IF(OR(AND(AB615=0,AT615&gt;0),AND(AB615="ns",AU615&gt;0),AND(AB615="ns",AT615=0,AU615=0)),1,IF(OR(AND(AB615&gt;0,AT615=2),AND(AB615="ns",AT615=2),AND(AB615="ns",AU615=0,AT615&gt;0),AB615=AU615),0,1))))</f>
        <v>0</v>
      </c>
      <c r="BF615">
        <f>IF(OR($M40=0,$M40="NS",$M40="NA"),0,IF(AND(M40=S615,S40=T615,Y40=U615),0,1))</f>
        <v>0</v>
      </c>
    </row>
    <row r="616" spans="1:58" ht="15" customHeight="1">
      <c r="A616" s="108"/>
      <c r="B616" s="38"/>
      <c r="C616" s="98" t="s">
        <v>2517</v>
      </c>
      <c r="D616" s="813" t="str">
        <f>IF(CNSIPEE_2024_M2_Secc1!D43="","",CNSIPEE_2024_M2_Secc1!D43)</f>
        <v/>
      </c>
      <c r="E616" s="814"/>
      <c r="F616" s="814"/>
      <c r="G616" s="814"/>
      <c r="H616" s="814"/>
      <c r="I616" s="814"/>
      <c r="J616" s="814"/>
      <c r="K616" s="814"/>
      <c r="L616" s="814"/>
      <c r="M616" s="814"/>
      <c r="N616" s="814"/>
      <c r="O616" s="814"/>
      <c r="P616" s="814"/>
      <c r="Q616" s="814"/>
      <c r="R616" s="815"/>
      <c r="S616" s="100"/>
      <c r="T616" s="100"/>
      <c r="U616" s="100"/>
      <c r="V616" s="100"/>
      <c r="W616" s="100"/>
      <c r="X616" s="100"/>
      <c r="Y616" s="100"/>
      <c r="Z616" s="100"/>
      <c r="AA616" s="100"/>
      <c r="AB616" s="100"/>
      <c r="AC616" s="100"/>
      <c r="AD616" s="100"/>
      <c r="AG616">
        <f t="shared" ref="AG616:AG622" si="616">IF(OR($M41=0,$M41="NS",$M41="NA"),0,IF(OR(COUNTBLANK(D616:AD616)=14,COUNTBLANK(D616:AD616)=27),0,1))</f>
        <v>0</v>
      </c>
      <c r="AH616">
        <f t="shared" ref="AH616:AH622" si="617">IF(OR($M41=0,$M41="NS",$M41="NA"),IF(COUNTBLANK(S616:AD616)=12,0,1),0)</f>
        <v>0</v>
      </c>
      <c r="AK616">
        <f t="shared" ref="AK616:AK622" si="618">COUNTIF(T616:U616,"NS")</f>
        <v>0</v>
      </c>
      <c r="AL616">
        <f t="shared" ref="AL616:AL622" si="619">SUM(T616:U616)</f>
        <v>0</v>
      </c>
      <c r="AM616">
        <f t="shared" ref="AM616:AM622" si="620">IF(COUNTIF(S616:U616,"NA")=3,0,IF(COUNTA(S616:U616)=0,0,IF(OR(AND(S616=0,AK616&gt;0),AND(S616="ns",AL616&gt;0),AND(S616="ns",AK616=0,AL616=0)),1,IF(OR(AND(S616&gt;0,AK616=2),AND(S616="ns",AK616=2),AND(S616="ns",AL616=0,AK616&gt;0),S616=AL616),0,1))))</f>
        <v>0</v>
      </c>
      <c r="AN616">
        <f t="shared" ref="AN616:AN622" si="621">COUNTIF(W616:X616,"NS")</f>
        <v>0</v>
      </c>
      <c r="AO616">
        <f t="shared" ref="AO616:AO622" si="622">SUM(W616:X616)</f>
        <v>0</v>
      </c>
      <c r="AP616">
        <f t="shared" ref="AP616:AP622" si="623">IF(COUNTIF(V616:X616,"NA")=3,0,IF(COUNTA(V616:X616)=0,0,IF(OR(AND(V616=0,AN616&gt;0),AND(V616="ns",AO616&gt;0),AND(V616="ns",AN616=0,AO616=0)),1,IF(OR(AND(V616&gt;0,AN616=2),AND(V616="ns",AN616=2),AND(V616="ns",AO616=0,AN616&gt;0),V616=AO616),0,1))))</f>
        <v>0</v>
      </c>
      <c r="AQ616">
        <f t="shared" ref="AQ616:AQ622" si="624">COUNTIF(Z616:AA616,"NS")</f>
        <v>0</v>
      </c>
      <c r="AR616">
        <f t="shared" ref="AR616:AR622" si="625">SUM(Z616:AA616)</f>
        <v>0</v>
      </c>
      <c r="AS616">
        <f t="shared" ref="AS616:AS622" si="626">IF(COUNTIF(Y616:AA616,"NA")=3,0,IF(COUNTA(Y616:AA616)=0,0,IF(OR(AND(Y616=0,AQ616&gt;0),AND(Y616="ns",AR616&gt;0),AND(Y616="ns",AQ616=0,AR616=0)),1,IF(OR(AND(Y616&gt;0,AQ616=2),AND(Y616="ns",AQ616=2),AND(Y616="ns",AR616=0,AQ616&gt;0),Y616=AR616),0,1))))</f>
        <v>0</v>
      </c>
      <c r="AT616">
        <f t="shared" ref="AT616:AT622" si="627">COUNTIF(AC616:AD616,"NS")</f>
        <v>0</v>
      </c>
      <c r="AU616">
        <f t="shared" ref="AU616:AU622" si="628">SUM(AC616:AD616)</f>
        <v>0</v>
      </c>
      <c r="AV616">
        <f t="shared" ref="AV616:AV622" si="629">IF(COUNTIF(AB616:AD616,"NA")=3,0,IF(COUNTA(AB616:AD616)=0,0,IF(OR(AND(AB616=0,AT616&gt;0),AND(AB616="ns",AU616&gt;0),AND(AB616="ns",AT616=0,AU616=0)),1,IF(OR(AND(AB616&gt;0,AT616=2),AND(AB616="ns",AT616=2),AND(AB616="ns",AU616=0,AT616&gt;0),AB616=AU616),0,1))))</f>
        <v>0</v>
      </c>
      <c r="BF616">
        <f t="shared" ref="BF616:BF622" si="630">IF(OR($M41=0,$M41="NS",$M41="NA"),0,IF(AND(M41=S616,S41=T616,Y41=U616),0,1))</f>
        <v>0</v>
      </c>
    </row>
    <row r="617" spans="1:58" ht="15" customHeight="1">
      <c r="A617" s="186"/>
      <c r="B617" s="57"/>
      <c r="C617" s="98" t="s">
        <v>2518</v>
      </c>
      <c r="D617" s="813" t="str">
        <f>IF(CNSIPEE_2024_M2_Secc1!D44="","",CNSIPEE_2024_M2_Secc1!D44)</f>
        <v/>
      </c>
      <c r="E617" s="814"/>
      <c r="F617" s="814"/>
      <c r="G617" s="814"/>
      <c r="H617" s="814"/>
      <c r="I617" s="814"/>
      <c r="J617" s="814"/>
      <c r="K617" s="814"/>
      <c r="L617" s="814"/>
      <c r="M617" s="814"/>
      <c r="N617" s="814"/>
      <c r="O617" s="814"/>
      <c r="P617" s="814"/>
      <c r="Q617" s="814"/>
      <c r="R617" s="815"/>
      <c r="S617" s="100"/>
      <c r="T617" s="100"/>
      <c r="U617" s="100"/>
      <c r="V617" s="100"/>
      <c r="W617" s="100"/>
      <c r="X617" s="100"/>
      <c r="Y617" s="100"/>
      <c r="Z617" s="100"/>
      <c r="AA617" s="100"/>
      <c r="AB617" s="100"/>
      <c r="AC617" s="100"/>
      <c r="AD617" s="100"/>
      <c r="AG617">
        <f t="shared" si="616"/>
        <v>0</v>
      </c>
      <c r="AH617">
        <f t="shared" si="617"/>
        <v>0</v>
      </c>
      <c r="AK617">
        <f t="shared" si="618"/>
        <v>0</v>
      </c>
      <c r="AL617">
        <f t="shared" si="619"/>
        <v>0</v>
      </c>
      <c r="AM617">
        <f t="shared" si="620"/>
        <v>0</v>
      </c>
      <c r="AN617">
        <f t="shared" si="621"/>
        <v>0</v>
      </c>
      <c r="AO617">
        <f t="shared" si="622"/>
        <v>0</v>
      </c>
      <c r="AP617">
        <f t="shared" si="623"/>
        <v>0</v>
      </c>
      <c r="AQ617">
        <f t="shared" si="624"/>
        <v>0</v>
      </c>
      <c r="AR617">
        <f t="shared" si="625"/>
        <v>0</v>
      </c>
      <c r="AS617">
        <f t="shared" si="626"/>
        <v>0</v>
      </c>
      <c r="AT617">
        <f t="shared" si="627"/>
        <v>0</v>
      </c>
      <c r="AU617">
        <f t="shared" si="628"/>
        <v>0</v>
      </c>
      <c r="AV617">
        <f t="shared" si="629"/>
        <v>0</v>
      </c>
      <c r="BF617">
        <f t="shared" si="630"/>
        <v>0</v>
      </c>
    </row>
    <row r="618" spans="1:58" ht="15" customHeight="1">
      <c r="A618" s="186"/>
      <c r="B618" s="57"/>
      <c r="C618" s="98" t="s">
        <v>2519</v>
      </c>
      <c r="D618" s="813" t="str">
        <f>IF(CNSIPEE_2024_M2_Secc1!D45="","",CNSIPEE_2024_M2_Secc1!D45)</f>
        <v/>
      </c>
      <c r="E618" s="814"/>
      <c r="F618" s="814"/>
      <c r="G618" s="814"/>
      <c r="H618" s="814"/>
      <c r="I618" s="814"/>
      <c r="J618" s="814"/>
      <c r="K618" s="814"/>
      <c r="L618" s="814"/>
      <c r="M618" s="814"/>
      <c r="N618" s="814"/>
      <c r="O618" s="814"/>
      <c r="P618" s="814"/>
      <c r="Q618" s="814"/>
      <c r="R618" s="815"/>
      <c r="S618" s="100"/>
      <c r="T618" s="100"/>
      <c r="U618" s="100"/>
      <c r="V618" s="100"/>
      <c r="W618" s="100"/>
      <c r="X618" s="100"/>
      <c r="Y618" s="100"/>
      <c r="Z618" s="100"/>
      <c r="AA618" s="100"/>
      <c r="AB618" s="100"/>
      <c r="AC618" s="100"/>
      <c r="AD618" s="100"/>
      <c r="AG618">
        <f t="shared" si="616"/>
        <v>0</v>
      </c>
      <c r="AH618">
        <f t="shared" si="617"/>
        <v>0</v>
      </c>
      <c r="AK618">
        <f t="shared" si="618"/>
        <v>0</v>
      </c>
      <c r="AL618">
        <f t="shared" si="619"/>
        <v>0</v>
      </c>
      <c r="AM618">
        <f t="shared" si="620"/>
        <v>0</v>
      </c>
      <c r="AN618">
        <f t="shared" si="621"/>
        <v>0</v>
      </c>
      <c r="AO618">
        <f t="shared" si="622"/>
        <v>0</v>
      </c>
      <c r="AP618">
        <f t="shared" si="623"/>
        <v>0</v>
      </c>
      <c r="AQ618">
        <f t="shared" si="624"/>
        <v>0</v>
      </c>
      <c r="AR618">
        <f t="shared" si="625"/>
        <v>0</v>
      </c>
      <c r="AS618">
        <f t="shared" si="626"/>
        <v>0</v>
      </c>
      <c r="AT618">
        <f t="shared" si="627"/>
        <v>0</v>
      </c>
      <c r="AU618">
        <f t="shared" si="628"/>
        <v>0</v>
      </c>
      <c r="AV618">
        <f t="shared" si="629"/>
        <v>0</v>
      </c>
      <c r="BF618">
        <f t="shared" si="630"/>
        <v>0</v>
      </c>
    </row>
    <row r="619" spans="1:58" ht="15" customHeight="1">
      <c r="A619" s="186"/>
      <c r="B619" s="57"/>
      <c r="C619" s="98" t="s">
        <v>2520</v>
      </c>
      <c r="D619" s="813" t="str">
        <f>IF(CNSIPEE_2024_M2_Secc1!D46="","",CNSIPEE_2024_M2_Secc1!D46)</f>
        <v/>
      </c>
      <c r="E619" s="814"/>
      <c r="F619" s="814"/>
      <c r="G619" s="814"/>
      <c r="H619" s="814"/>
      <c r="I619" s="814"/>
      <c r="J619" s="814"/>
      <c r="K619" s="814"/>
      <c r="L619" s="814"/>
      <c r="M619" s="814"/>
      <c r="N619" s="814"/>
      <c r="O619" s="814"/>
      <c r="P619" s="814"/>
      <c r="Q619" s="814"/>
      <c r="R619" s="815"/>
      <c r="S619" s="100"/>
      <c r="T619" s="100"/>
      <c r="U619" s="100"/>
      <c r="V619" s="100"/>
      <c r="W619" s="100"/>
      <c r="X619" s="100"/>
      <c r="Y619" s="100"/>
      <c r="Z619" s="100"/>
      <c r="AA619" s="100"/>
      <c r="AB619" s="100"/>
      <c r="AC619" s="100"/>
      <c r="AD619" s="100"/>
      <c r="AG619">
        <f t="shared" si="616"/>
        <v>0</v>
      </c>
      <c r="AH619">
        <f t="shared" si="617"/>
        <v>0</v>
      </c>
      <c r="AK619">
        <f t="shared" si="618"/>
        <v>0</v>
      </c>
      <c r="AL619">
        <f t="shared" si="619"/>
        <v>0</v>
      </c>
      <c r="AM619">
        <f t="shared" si="620"/>
        <v>0</v>
      </c>
      <c r="AN619">
        <f t="shared" si="621"/>
        <v>0</v>
      </c>
      <c r="AO619">
        <f t="shared" si="622"/>
        <v>0</v>
      </c>
      <c r="AP619">
        <f t="shared" si="623"/>
        <v>0</v>
      </c>
      <c r="AQ619">
        <f t="shared" si="624"/>
        <v>0</v>
      </c>
      <c r="AR619">
        <f t="shared" si="625"/>
        <v>0</v>
      </c>
      <c r="AS619">
        <f t="shared" si="626"/>
        <v>0</v>
      </c>
      <c r="AT619">
        <f t="shared" si="627"/>
        <v>0</v>
      </c>
      <c r="AU619">
        <f t="shared" si="628"/>
        <v>0</v>
      </c>
      <c r="AV619">
        <f t="shared" si="629"/>
        <v>0</v>
      </c>
      <c r="BF619">
        <f t="shared" si="630"/>
        <v>0</v>
      </c>
    </row>
    <row r="620" spans="1:58" ht="15" customHeight="1">
      <c r="A620" s="186"/>
      <c r="B620" s="57"/>
      <c r="C620" s="98" t="s">
        <v>2521</v>
      </c>
      <c r="D620" s="813" t="str">
        <f>IF(CNSIPEE_2024_M2_Secc1!D47="","",CNSIPEE_2024_M2_Secc1!D47)</f>
        <v/>
      </c>
      <c r="E620" s="814"/>
      <c r="F620" s="814"/>
      <c r="G620" s="814"/>
      <c r="H620" s="814"/>
      <c r="I620" s="814"/>
      <c r="J620" s="814"/>
      <c r="K620" s="814"/>
      <c r="L620" s="814"/>
      <c r="M620" s="814"/>
      <c r="N620" s="814"/>
      <c r="O620" s="814"/>
      <c r="P620" s="814"/>
      <c r="Q620" s="814"/>
      <c r="R620" s="815"/>
      <c r="S620" s="100"/>
      <c r="T620" s="100"/>
      <c r="U620" s="100"/>
      <c r="V620" s="100"/>
      <c r="W620" s="100"/>
      <c r="X620" s="100"/>
      <c r="Y620" s="100"/>
      <c r="Z620" s="100"/>
      <c r="AA620" s="100"/>
      <c r="AB620" s="100"/>
      <c r="AC620" s="100"/>
      <c r="AD620" s="100"/>
      <c r="AG620">
        <f t="shared" si="616"/>
        <v>0</v>
      </c>
      <c r="AH620">
        <f t="shared" si="617"/>
        <v>0</v>
      </c>
      <c r="AK620">
        <f t="shared" si="618"/>
        <v>0</v>
      </c>
      <c r="AL620">
        <f t="shared" si="619"/>
        <v>0</v>
      </c>
      <c r="AM620">
        <f t="shared" si="620"/>
        <v>0</v>
      </c>
      <c r="AN620">
        <f t="shared" si="621"/>
        <v>0</v>
      </c>
      <c r="AO620">
        <f t="shared" si="622"/>
        <v>0</v>
      </c>
      <c r="AP620">
        <f t="shared" si="623"/>
        <v>0</v>
      </c>
      <c r="AQ620">
        <f t="shared" si="624"/>
        <v>0</v>
      </c>
      <c r="AR620">
        <f t="shared" si="625"/>
        <v>0</v>
      </c>
      <c r="AS620">
        <f t="shared" si="626"/>
        <v>0</v>
      </c>
      <c r="AT620">
        <f t="shared" si="627"/>
        <v>0</v>
      </c>
      <c r="AU620">
        <f t="shared" si="628"/>
        <v>0</v>
      </c>
      <c r="AV620">
        <f t="shared" si="629"/>
        <v>0</v>
      </c>
      <c r="BF620">
        <f t="shared" si="630"/>
        <v>0</v>
      </c>
    </row>
    <row r="621" spans="1:58" ht="15" customHeight="1">
      <c r="A621" s="186"/>
      <c r="B621" s="57"/>
      <c r="C621" s="98" t="s">
        <v>2522</v>
      </c>
      <c r="D621" s="813" t="str">
        <f>IF(CNSIPEE_2024_M2_Secc1!D48="","",CNSIPEE_2024_M2_Secc1!D48)</f>
        <v/>
      </c>
      <c r="E621" s="814"/>
      <c r="F621" s="814"/>
      <c r="G621" s="814"/>
      <c r="H621" s="814"/>
      <c r="I621" s="814"/>
      <c r="J621" s="814"/>
      <c r="K621" s="814"/>
      <c r="L621" s="814"/>
      <c r="M621" s="814"/>
      <c r="N621" s="814"/>
      <c r="O621" s="814"/>
      <c r="P621" s="814"/>
      <c r="Q621" s="814"/>
      <c r="R621" s="815"/>
      <c r="S621" s="100"/>
      <c r="T621" s="100"/>
      <c r="U621" s="100"/>
      <c r="V621" s="100"/>
      <c r="W621" s="100"/>
      <c r="X621" s="100"/>
      <c r="Y621" s="100"/>
      <c r="Z621" s="100"/>
      <c r="AA621" s="100"/>
      <c r="AB621" s="100"/>
      <c r="AC621" s="100"/>
      <c r="AD621" s="100"/>
      <c r="AG621">
        <f t="shared" si="616"/>
        <v>0</v>
      </c>
      <c r="AH621">
        <f t="shared" si="617"/>
        <v>0</v>
      </c>
      <c r="AK621">
        <f t="shared" si="618"/>
        <v>0</v>
      </c>
      <c r="AL621">
        <f t="shared" si="619"/>
        <v>0</v>
      </c>
      <c r="AM621">
        <f t="shared" si="620"/>
        <v>0</v>
      </c>
      <c r="AN621">
        <f t="shared" si="621"/>
        <v>0</v>
      </c>
      <c r="AO621">
        <f t="shared" si="622"/>
        <v>0</v>
      </c>
      <c r="AP621">
        <f t="shared" si="623"/>
        <v>0</v>
      </c>
      <c r="AQ621">
        <f t="shared" si="624"/>
        <v>0</v>
      </c>
      <c r="AR621">
        <f t="shared" si="625"/>
        <v>0</v>
      </c>
      <c r="AS621">
        <f t="shared" si="626"/>
        <v>0</v>
      </c>
      <c r="AT621">
        <f t="shared" si="627"/>
        <v>0</v>
      </c>
      <c r="AU621">
        <f t="shared" si="628"/>
        <v>0</v>
      </c>
      <c r="AV621">
        <f t="shared" si="629"/>
        <v>0</v>
      </c>
      <c r="BF621">
        <f t="shared" si="630"/>
        <v>0</v>
      </c>
    </row>
    <row r="622" spans="1:58" ht="15" customHeight="1">
      <c r="A622" s="186"/>
      <c r="B622" s="57"/>
      <c r="C622" s="98" t="s">
        <v>2523</v>
      </c>
      <c r="D622" s="813" t="str">
        <f>IF(CNSIPEE_2024_M2_Secc1!D49="","",CNSIPEE_2024_M2_Secc1!D49)</f>
        <v/>
      </c>
      <c r="E622" s="814"/>
      <c r="F622" s="814"/>
      <c r="G622" s="814"/>
      <c r="H622" s="814"/>
      <c r="I622" s="814"/>
      <c r="J622" s="814"/>
      <c r="K622" s="814"/>
      <c r="L622" s="814"/>
      <c r="M622" s="814"/>
      <c r="N622" s="814"/>
      <c r="O622" s="814"/>
      <c r="P622" s="814"/>
      <c r="Q622" s="814"/>
      <c r="R622" s="815"/>
      <c r="S622" s="100"/>
      <c r="T622" s="100"/>
      <c r="U622" s="100"/>
      <c r="V622" s="100"/>
      <c r="W622" s="100"/>
      <c r="X622" s="100"/>
      <c r="Y622" s="100"/>
      <c r="Z622" s="100"/>
      <c r="AA622" s="100"/>
      <c r="AB622" s="100"/>
      <c r="AC622" s="100"/>
      <c r="AD622" s="100"/>
      <c r="AG622">
        <f t="shared" si="616"/>
        <v>0</v>
      </c>
      <c r="AH622">
        <f t="shared" si="617"/>
        <v>0</v>
      </c>
      <c r="AK622">
        <f t="shared" si="618"/>
        <v>0</v>
      </c>
      <c r="AL622">
        <f t="shared" si="619"/>
        <v>0</v>
      </c>
      <c r="AM622">
        <f t="shared" si="620"/>
        <v>0</v>
      </c>
      <c r="AN622">
        <f t="shared" si="621"/>
        <v>0</v>
      </c>
      <c r="AO622">
        <f t="shared" si="622"/>
        <v>0</v>
      </c>
      <c r="AP622">
        <f t="shared" si="623"/>
        <v>0</v>
      </c>
      <c r="AQ622">
        <f t="shared" si="624"/>
        <v>0</v>
      </c>
      <c r="AR622">
        <f t="shared" si="625"/>
        <v>0</v>
      </c>
      <c r="AS622">
        <f t="shared" si="626"/>
        <v>0</v>
      </c>
      <c r="AT622">
        <f t="shared" si="627"/>
        <v>0</v>
      </c>
      <c r="AU622">
        <f t="shared" si="628"/>
        <v>0</v>
      </c>
      <c r="AV622">
        <f t="shared" si="629"/>
        <v>0</v>
      </c>
      <c r="BF622">
        <f t="shared" si="630"/>
        <v>0</v>
      </c>
    </row>
    <row r="623" spans="1:58" ht="15" customHeight="1">
      <c r="A623" s="186"/>
      <c r="B623" s="57"/>
      <c r="C623" s="70"/>
      <c r="D623" s="84"/>
      <c r="E623" s="84"/>
      <c r="F623" s="84"/>
      <c r="G623" s="84"/>
      <c r="H623" s="84"/>
      <c r="I623" s="84"/>
      <c r="J623" s="84"/>
      <c r="K623" s="84"/>
      <c r="L623" s="84"/>
      <c r="M623" s="84"/>
      <c r="N623" s="84"/>
      <c r="O623" s="84"/>
      <c r="P623" s="84"/>
      <c r="Q623" s="84"/>
      <c r="R623" s="117" t="s">
        <v>2649</v>
      </c>
      <c r="S623" s="124">
        <f t="shared" ref="S623:AD623" si="631">IF(AND(SUM(S615:S622)=0,COUNTIF(S615:S622,"NS")&gt;0),"NS",IF(AND(SUM(S615:S622)=0,COUNTIF(S615:S622,0)&gt;0),0,IF(AND(SUM(S615:S622)=0,COUNTIF(S615:S622,"NA")&gt;0),"NA",SUM(S615:S622))))</f>
        <v>0</v>
      </c>
      <c r="T623" s="124">
        <f t="shared" si="631"/>
        <v>0</v>
      </c>
      <c r="U623" s="124">
        <f t="shared" si="631"/>
        <v>0</v>
      </c>
      <c r="V623" s="124">
        <f t="shared" si="631"/>
        <v>0</v>
      </c>
      <c r="W623" s="124">
        <f t="shared" si="631"/>
        <v>0</v>
      </c>
      <c r="X623" s="124">
        <f t="shared" si="631"/>
        <v>0</v>
      </c>
      <c r="Y623" s="124">
        <f t="shared" si="631"/>
        <v>0</v>
      </c>
      <c r="Z623" s="124">
        <f t="shared" si="631"/>
        <v>0</v>
      </c>
      <c r="AA623" s="124">
        <f t="shared" si="631"/>
        <v>0</v>
      </c>
      <c r="AB623" s="124">
        <f t="shared" si="631"/>
        <v>0</v>
      </c>
      <c r="AC623" s="124">
        <f t="shared" si="631"/>
        <v>0</v>
      </c>
      <c r="AD623" s="124">
        <f t="shared" si="631"/>
        <v>0</v>
      </c>
      <c r="AG623" s="507">
        <f>SUM(AG615:AG622)</f>
        <v>0</v>
      </c>
      <c r="AH623" s="507">
        <f>SUM(AH615:AH622)</f>
        <v>0</v>
      </c>
      <c r="AK623">
        <f>SUM(AK615:AK622)</f>
        <v>0</v>
      </c>
      <c r="AM623">
        <f>SUM(AM615:AM622)</f>
        <v>0</v>
      </c>
      <c r="AN623">
        <f>SUM(AN615:AN622)</f>
        <v>0</v>
      </c>
      <c r="AP623">
        <f>SUM(AP615:AP622)</f>
        <v>0</v>
      </c>
      <c r="AQ623">
        <f>SUM(AQ615:AQ622)</f>
        <v>0</v>
      </c>
      <c r="AS623">
        <f>SUM(AS615:AS622)</f>
        <v>0</v>
      </c>
      <c r="AT623">
        <f>SUM(AT615:AT622)</f>
        <v>0</v>
      </c>
      <c r="AV623">
        <f>SUM(AV615:AV622)</f>
        <v>0</v>
      </c>
      <c r="BF623" s="506">
        <f>SUM(BF615:BF622)</f>
        <v>0</v>
      </c>
    </row>
    <row r="624" spans="1:58" ht="15" customHeight="1">
      <c r="A624" s="108"/>
      <c r="B624" s="38"/>
      <c r="C624" s="38"/>
      <c r="D624" s="38"/>
      <c r="E624" s="38"/>
      <c r="F624" s="38"/>
      <c r="G624" s="38"/>
      <c r="H624" s="38"/>
      <c r="I624" s="38"/>
      <c r="J624" s="38"/>
      <c r="K624" s="38"/>
      <c r="L624" s="117"/>
      <c r="M624" s="141"/>
      <c r="N624" s="141"/>
      <c r="O624" s="70"/>
      <c r="P624" s="70"/>
      <c r="Q624" s="70"/>
      <c r="R624" s="70"/>
      <c r="S624" s="141"/>
      <c r="T624" s="141"/>
      <c r="U624" s="70"/>
      <c r="V624" s="70"/>
      <c r="W624" s="141"/>
      <c r="X624" s="141"/>
      <c r="Y624" s="70"/>
      <c r="Z624" s="70"/>
      <c r="AA624" s="141"/>
      <c r="AB624" s="141"/>
      <c r="AC624" s="70"/>
      <c r="AD624" s="70"/>
      <c r="AG624" s="57"/>
      <c r="AH624" s="57"/>
      <c r="AI624" s="57"/>
      <c r="AJ624" s="57"/>
      <c r="AK624" t="s">
        <v>2650</v>
      </c>
      <c r="AL624" s="506">
        <f>SUM(AM623,AP623,AS623,AV623)</f>
        <v>0</v>
      </c>
      <c r="AM624" t="s">
        <v>2651</v>
      </c>
      <c r="AN624">
        <f>SUM(AK623,AN623,AQ623,AT623)</f>
        <v>0</v>
      </c>
      <c r="AO624" s="57"/>
      <c r="AP624" s="57"/>
      <c r="AQ624" s="57"/>
      <c r="AR624" s="57"/>
      <c r="AS624" s="57"/>
      <c r="AT624" s="57"/>
      <c r="AU624" s="57"/>
      <c r="AV624" s="57"/>
      <c r="AW624" s="57"/>
      <c r="AX624" s="57"/>
      <c r="AY624" s="57"/>
      <c r="AZ624" s="57"/>
      <c r="BA624" s="57"/>
      <c r="BB624" s="57"/>
      <c r="BC624" s="57"/>
      <c r="BD624" s="57"/>
      <c r="BE624" s="57"/>
      <c r="BF624" s="57"/>
    </row>
    <row r="625" spans="1:58" ht="24" customHeight="1">
      <c r="A625" s="108"/>
      <c r="B625" s="38"/>
      <c r="C625" s="754" t="s">
        <v>2611</v>
      </c>
      <c r="D625" s="754"/>
      <c r="E625" s="754"/>
      <c r="F625" s="754"/>
      <c r="G625" s="754"/>
      <c r="H625" s="754"/>
      <c r="I625" s="754"/>
      <c r="J625" s="754"/>
      <c r="K625" s="754"/>
      <c r="L625" s="754"/>
      <c r="M625" s="754"/>
      <c r="N625" s="754"/>
      <c r="O625" s="754"/>
      <c r="P625" s="754"/>
      <c r="Q625" s="754"/>
      <c r="R625" s="754"/>
      <c r="S625" s="754"/>
      <c r="T625" s="754"/>
      <c r="U625" s="754"/>
      <c r="V625" s="754"/>
      <c r="W625" s="754"/>
      <c r="X625" s="754"/>
      <c r="Y625" s="754"/>
      <c r="Z625" s="754"/>
      <c r="AA625" s="754"/>
      <c r="AB625" s="754"/>
      <c r="AC625" s="754"/>
      <c r="AD625" s="754"/>
      <c r="AG625" s="38"/>
      <c r="AH625" s="38"/>
      <c r="AI625" s="57"/>
      <c r="AJ625" s="57"/>
      <c r="AK625" t="s">
        <v>2652</v>
      </c>
      <c r="AL625" s="507">
        <f>IF(AN624&gt;0,IF(SUM(S623)&gt;=SUM(V623,Y623,AB623),0,1),IF(SUM(S623)&lt;&gt;SUM(V623,Y623,AB623),1,0))</f>
        <v>0</v>
      </c>
      <c r="AM625" t="s">
        <v>2653</v>
      </c>
      <c r="AN625" s="507">
        <f>IF(AN624&gt;0,IF(SUM(T623)&gt;=SUM(W623,Z623,AC623),0,1),IF(SUM(T623)&lt;&gt;SUM(W623,Z623,AC623),1,0))</f>
        <v>0</v>
      </c>
      <c r="AO625" t="s">
        <v>2654</v>
      </c>
      <c r="AP625" s="507">
        <f>IF(AN624&gt;0,IF(SUM(U623)&gt;=SUM(X623,AA623,AD623),0,1),IF(SUM(U623)&lt;&gt;SUM(X623,AA623,AD623),1,0))</f>
        <v>0</v>
      </c>
      <c r="AQ625" s="57"/>
      <c r="AR625" s="57"/>
      <c r="AS625" s="57"/>
      <c r="AT625" s="57"/>
      <c r="AU625" s="57"/>
      <c r="AV625" s="57"/>
      <c r="AW625" s="57"/>
      <c r="AX625" s="57"/>
      <c r="AY625" s="57"/>
      <c r="AZ625" s="57"/>
      <c r="BA625" s="57"/>
      <c r="BB625" s="57"/>
      <c r="BC625" s="57"/>
      <c r="BD625" s="57"/>
      <c r="BE625" s="57"/>
      <c r="BF625" s="57"/>
    </row>
    <row r="626" spans="1:58" ht="60" customHeight="1">
      <c r="A626" s="108"/>
      <c r="B626" s="38"/>
      <c r="C626" s="851"/>
      <c r="D626" s="851"/>
      <c r="E626" s="851"/>
      <c r="F626" s="851"/>
      <c r="G626" s="851"/>
      <c r="H626" s="851"/>
      <c r="I626" s="851"/>
      <c r="J626" s="851"/>
      <c r="K626" s="851"/>
      <c r="L626" s="851"/>
      <c r="M626" s="851"/>
      <c r="N626" s="851"/>
      <c r="O626" s="851"/>
      <c r="P626" s="851"/>
      <c r="Q626" s="851"/>
      <c r="R626" s="851"/>
      <c r="S626" s="851"/>
      <c r="T626" s="851"/>
      <c r="U626" s="851"/>
      <c r="V626" s="851"/>
      <c r="W626" s="851"/>
      <c r="X626" s="851"/>
      <c r="Y626" s="851"/>
      <c r="Z626" s="851"/>
      <c r="AA626" s="851"/>
      <c r="AB626" s="851"/>
      <c r="AC626" s="851"/>
      <c r="AD626" s="851"/>
    </row>
    <row r="627" spans="1:58" ht="15" customHeight="1">
      <c r="A627" s="176"/>
      <c r="B627" s="794" t="str">
        <f>IF(AG623=0,"","Favor de ingresar toda la información requerida en la pregunta")</f>
        <v/>
      </c>
      <c r="C627" s="794"/>
      <c r="D627" s="794"/>
      <c r="E627" s="794"/>
      <c r="F627" s="794"/>
      <c r="G627" s="794"/>
      <c r="H627" s="794"/>
      <c r="I627" s="794"/>
      <c r="J627" s="794"/>
      <c r="K627" s="794"/>
      <c r="L627" s="794"/>
      <c r="M627" s="794"/>
      <c r="N627" s="794"/>
      <c r="O627" s="794"/>
      <c r="P627" s="794"/>
      <c r="Q627" s="794"/>
      <c r="R627" s="794"/>
      <c r="S627" s="794"/>
      <c r="T627" s="794"/>
      <c r="U627" s="794"/>
      <c r="V627" s="794"/>
      <c r="W627" s="794"/>
      <c r="X627" s="794"/>
      <c r="Y627" s="794"/>
      <c r="Z627" s="794"/>
      <c r="AA627" s="794"/>
      <c r="AB627" s="794"/>
      <c r="AC627" s="794"/>
      <c r="AD627" s="794"/>
      <c r="AE627" s="794"/>
    </row>
    <row r="628" spans="1:58" ht="15" customHeight="1">
      <c r="A628" s="176"/>
      <c r="B628" s="1087" t="str">
        <f>IF(COUNTIF(S615:AD622,"NS")&lt;&gt;0,"Alerta: debido a que cuenta con registros NS, debe proporcionar una justificación en el area de comentarios al final de la pregunta","")</f>
        <v/>
      </c>
      <c r="C628" s="1087"/>
      <c r="D628" s="1087"/>
      <c r="E628" s="1087"/>
      <c r="F628" s="1087"/>
      <c r="G628" s="1087"/>
      <c r="H628" s="1087"/>
      <c r="I628" s="1087"/>
      <c r="J628" s="1087"/>
      <c r="K628" s="1087"/>
      <c r="L628" s="1087"/>
      <c r="M628" s="1087"/>
      <c r="N628" s="1087"/>
      <c r="O628" s="1087"/>
      <c r="P628" s="1087"/>
      <c r="Q628" s="1087"/>
      <c r="R628" s="1087"/>
      <c r="S628" s="1087"/>
      <c r="T628" s="1087"/>
      <c r="U628" s="1087"/>
      <c r="V628" s="1087"/>
      <c r="W628" s="1087"/>
      <c r="X628" s="1087"/>
      <c r="Y628" s="1087"/>
      <c r="Z628" s="1087"/>
      <c r="AA628" s="1087"/>
      <c r="AB628" s="1087"/>
      <c r="AC628" s="1087"/>
      <c r="AD628" s="1087"/>
      <c r="AE628" s="1087"/>
    </row>
    <row r="629" spans="1:58" ht="15" customHeight="1">
      <c r="A629" s="176"/>
      <c r="B629" s="1003" t="str">
        <f>IF(AH623&gt;0,"Revise la información capturada, ya que tiene datos ingresados en celdas que están sombreadas","")</f>
        <v/>
      </c>
      <c r="C629" s="1003"/>
      <c r="D629" s="1003"/>
      <c r="E629" s="1003"/>
      <c r="F629" s="1003"/>
      <c r="G629" s="1003"/>
      <c r="H629" s="1003"/>
      <c r="I629" s="1003"/>
      <c r="J629" s="1003"/>
      <c r="K629" s="1003"/>
      <c r="L629" s="1003"/>
      <c r="M629" s="1003"/>
      <c r="N629" s="1003"/>
      <c r="O629" s="1003"/>
      <c r="P629" s="1003"/>
      <c r="Q629" s="1003"/>
      <c r="R629" s="1003"/>
      <c r="S629" s="1003"/>
      <c r="T629" s="1003"/>
      <c r="U629" s="1003"/>
      <c r="V629" s="1003"/>
      <c r="W629" s="1003"/>
      <c r="X629" s="1003"/>
      <c r="Y629" s="1003"/>
      <c r="Z629" s="1003"/>
      <c r="AA629" s="1003"/>
      <c r="AB629" s="1003"/>
      <c r="AC629" s="1003"/>
      <c r="AD629" s="1003"/>
      <c r="AE629" s="1003"/>
    </row>
    <row r="630" spans="1:58" ht="15" customHeight="1">
      <c r="A630" s="176"/>
      <c r="B630" s="1003" t="str">
        <f>IF(OR(AL624&gt;0,AL625&gt;0,AN625&gt;0,AP625&gt;0),"Favor de revisar la suma y consistencia de totales y/o subtotales por filas (numéricos y NS)","")</f>
        <v/>
      </c>
      <c r="C630" s="1003"/>
      <c r="D630" s="1003"/>
      <c r="E630" s="1003"/>
      <c r="F630" s="1003"/>
      <c r="G630" s="1003"/>
      <c r="H630" s="1003"/>
      <c r="I630" s="1003"/>
      <c r="J630" s="1003"/>
      <c r="K630" s="1003"/>
      <c r="L630" s="1003"/>
      <c r="M630" s="1003"/>
      <c r="N630" s="1003"/>
      <c r="O630" s="1003"/>
      <c r="P630" s="1003"/>
      <c r="Q630" s="1003"/>
      <c r="R630" s="1003"/>
      <c r="S630" s="1003"/>
      <c r="T630" s="1003"/>
      <c r="U630" s="1003"/>
      <c r="V630" s="1003"/>
      <c r="W630" s="1003"/>
      <c r="X630" s="1003"/>
      <c r="Y630" s="1003"/>
      <c r="Z630" s="1003"/>
      <c r="AA630" s="1003"/>
      <c r="AB630" s="1003"/>
      <c r="AC630" s="1003"/>
      <c r="AD630" s="1003"/>
      <c r="AE630" s="1003"/>
    </row>
    <row r="631" spans="1:58" ht="15" customHeight="1">
      <c r="A631" s="176"/>
      <c r="B631" s="1003" t="str">
        <f>IF(BF623=0,"","Las cantidades de Hombres y Mujeres por centro especializado debe corresponder con los datos reportados en la preg. 8.1")</f>
        <v/>
      </c>
      <c r="C631" s="1003"/>
      <c r="D631" s="1003"/>
      <c r="E631" s="1003"/>
      <c r="F631" s="1003"/>
      <c r="G631" s="1003"/>
      <c r="H631" s="1003"/>
      <c r="I631" s="1003"/>
      <c r="J631" s="1003"/>
      <c r="K631" s="1003"/>
      <c r="L631" s="1003"/>
      <c r="M631" s="1003"/>
      <c r="N631" s="1003"/>
      <c r="O631" s="1003"/>
      <c r="P631" s="1003"/>
      <c r="Q631" s="1003"/>
      <c r="R631" s="1003"/>
      <c r="S631" s="1003"/>
      <c r="T631" s="1003"/>
      <c r="U631" s="1003"/>
      <c r="V631" s="1003"/>
      <c r="W631" s="1003"/>
      <c r="X631" s="1003"/>
      <c r="Y631" s="1003"/>
      <c r="Z631" s="1003"/>
      <c r="AA631" s="1003"/>
      <c r="AB631" s="1003"/>
      <c r="AC631" s="1003"/>
      <c r="AD631" s="1003"/>
      <c r="AE631" s="1003"/>
    </row>
    <row r="632" spans="1:58" ht="15" customHeight="1">
      <c r="A632" s="176"/>
      <c r="B632" s="57"/>
      <c r="C632" s="57"/>
      <c r="D632" s="57"/>
      <c r="E632" s="57"/>
      <c r="F632" s="57"/>
      <c r="G632" s="57"/>
      <c r="H632" s="57"/>
      <c r="I632" s="57"/>
      <c r="J632" s="57"/>
      <c r="K632" s="57"/>
      <c r="L632" s="57"/>
      <c r="M632" s="57"/>
      <c r="N632" s="57"/>
      <c r="O632" s="57"/>
      <c r="P632" s="57"/>
      <c r="Q632" s="57"/>
      <c r="R632" s="57"/>
      <c r="S632" s="57"/>
      <c r="T632" s="57"/>
      <c r="U632" s="57"/>
      <c r="V632" s="57"/>
      <c r="W632" s="57"/>
      <c r="X632" s="57"/>
      <c r="Y632" s="57"/>
      <c r="Z632" s="57"/>
      <c r="AA632" s="57"/>
      <c r="AB632" s="57"/>
      <c r="AC632" s="57"/>
      <c r="AD632" s="57"/>
    </row>
    <row r="633" spans="1:58" ht="24" customHeight="1">
      <c r="A633" s="49" t="s">
        <v>5283</v>
      </c>
      <c r="B633" s="829" t="s">
        <v>5284</v>
      </c>
      <c r="C633" s="829"/>
      <c r="D633" s="829"/>
      <c r="E633" s="829"/>
      <c r="F633" s="829"/>
      <c r="G633" s="829"/>
      <c r="H633" s="829"/>
      <c r="I633" s="829"/>
      <c r="J633" s="829"/>
      <c r="K633" s="829"/>
      <c r="L633" s="829"/>
      <c r="M633" s="829"/>
      <c r="N633" s="829"/>
      <c r="O633" s="829"/>
      <c r="P633" s="829"/>
      <c r="Q633" s="829"/>
      <c r="R633" s="829"/>
      <c r="S633" s="829"/>
      <c r="T633" s="829"/>
      <c r="U633" s="829"/>
      <c r="V633" s="829"/>
      <c r="W633" s="829"/>
      <c r="X633" s="829"/>
      <c r="Y633" s="829"/>
      <c r="Z633" s="829"/>
      <c r="AA633" s="829"/>
      <c r="AB633" s="829"/>
      <c r="AC633" s="829"/>
      <c r="AD633" s="829"/>
    </row>
    <row r="634" spans="1:58" ht="24" customHeight="1">
      <c r="A634" s="49"/>
      <c r="B634" s="105"/>
      <c r="C634" s="754" t="s">
        <v>5285</v>
      </c>
      <c r="D634" s="754"/>
      <c r="E634" s="754"/>
      <c r="F634" s="754"/>
      <c r="G634" s="754"/>
      <c r="H634" s="754"/>
      <c r="I634" s="754"/>
      <c r="J634" s="754"/>
      <c r="K634" s="754"/>
      <c r="L634" s="754"/>
      <c r="M634" s="754"/>
      <c r="N634" s="754"/>
      <c r="O634" s="754"/>
      <c r="P634" s="754"/>
      <c r="Q634" s="754"/>
      <c r="R634" s="754"/>
      <c r="S634" s="754"/>
      <c r="T634" s="754"/>
      <c r="U634" s="754"/>
      <c r="V634" s="754"/>
      <c r="W634" s="754"/>
      <c r="X634" s="754"/>
      <c r="Y634" s="754"/>
      <c r="Z634" s="754"/>
      <c r="AA634" s="754"/>
      <c r="AB634" s="754"/>
      <c r="AC634" s="754"/>
      <c r="AD634" s="754"/>
    </row>
    <row r="635" spans="1:58" ht="36" customHeight="1">
      <c r="A635" s="142"/>
      <c r="B635" s="57"/>
      <c r="C635" s="830" t="s">
        <v>5286</v>
      </c>
      <c r="D635" s="830"/>
      <c r="E635" s="830"/>
      <c r="F635" s="830"/>
      <c r="G635" s="830"/>
      <c r="H635" s="830"/>
      <c r="I635" s="830"/>
      <c r="J635" s="830"/>
      <c r="K635" s="830"/>
      <c r="L635" s="830"/>
      <c r="M635" s="830"/>
      <c r="N635" s="830"/>
      <c r="O635" s="830"/>
      <c r="P635" s="830"/>
      <c r="Q635" s="830"/>
      <c r="R635" s="830"/>
      <c r="S635" s="830"/>
      <c r="T635" s="830"/>
      <c r="U635" s="830"/>
      <c r="V635" s="830"/>
      <c r="W635" s="830"/>
      <c r="X635" s="830"/>
      <c r="Y635" s="830"/>
      <c r="Z635" s="830"/>
      <c r="AA635" s="830"/>
      <c r="AB635" s="830"/>
      <c r="AC635" s="830"/>
      <c r="AD635" s="830"/>
    </row>
    <row r="636" spans="1:58" ht="36" customHeight="1">
      <c r="A636" s="142"/>
      <c r="B636" s="57"/>
      <c r="C636" s="754" t="s">
        <v>5287</v>
      </c>
      <c r="D636" s="754"/>
      <c r="E636" s="754"/>
      <c r="F636" s="754"/>
      <c r="G636" s="754"/>
      <c r="H636" s="754"/>
      <c r="I636" s="754"/>
      <c r="J636" s="754"/>
      <c r="K636" s="754"/>
      <c r="L636" s="754"/>
      <c r="M636" s="754"/>
      <c r="N636" s="754"/>
      <c r="O636" s="754"/>
      <c r="P636" s="754"/>
      <c r="Q636" s="754"/>
      <c r="R636" s="754"/>
      <c r="S636" s="754"/>
      <c r="T636" s="754"/>
      <c r="U636" s="754"/>
      <c r="V636" s="754"/>
      <c r="W636" s="754"/>
      <c r="X636" s="754"/>
      <c r="Y636" s="754"/>
      <c r="Z636" s="754"/>
      <c r="AA636" s="754"/>
      <c r="AB636" s="754"/>
      <c r="AC636" s="754"/>
      <c r="AD636" s="754"/>
    </row>
    <row r="637" spans="1:58" ht="15" customHeight="1">
      <c r="A637" s="176"/>
      <c r="B637" s="57"/>
      <c r="C637" s="57"/>
      <c r="D637" s="57"/>
      <c r="E637" s="57"/>
      <c r="F637" s="57"/>
      <c r="G637" s="57"/>
      <c r="H637" s="57"/>
      <c r="I637" s="57"/>
      <c r="J637" s="57"/>
      <c r="K637" s="57"/>
      <c r="L637" s="57"/>
      <c r="M637" s="57"/>
      <c r="N637" s="57"/>
      <c r="O637" s="57"/>
      <c r="P637" s="57"/>
      <c r="Q637" s="57"/>
      <c r="R637" s="57"/>
      <c r="S637" s="57"/>
      <c r="T637" s="57"/>
      <c r="U637" s="57"/>
      <c r="V637" s="57"/>
      <c r="W637" s="57"/>
      <c r="X637" s="57"/>
      <c r="Y637" s="57"/>
      <c r="Z637" s="57"/>
      <c r="AA637" s="57"/>
      <c r="AB637" s="57"/>
      <c r="AC637" s="57"/>
      <c r="AD637" s="57"/>
    </row>
    <row r="638" spans="1:58" ht="24" customHeight="1">
      <c r="A638" s="176"/>
      <c r="B638" s="57"/>
      <c r="C638" s="797" t="s">
        <v>5288</v>
      </c>
      <c r="D638" s="798"/>
      <c r="E638" s="798"/>
      <c r="F638" s="798"/>
      <c r="G638" s="798"/>
      <c r="H638" s="798"/>
      <c r="I638" s="798"/>
      <c r="J638" s="798"/>
      <c r="K638" s="798"/>
      <c r="L638" s="799"/>
      <c r="M638" s="732" t="s">
        <v>5289</v>
      </c>
      <c r="N638" s="732"/>
      <c r="O638" s="732"/>
      <c r="P638" s="732"/>
      <c r="Q638" s="732"/>
      <c r="R638" s="732"/>
      <c r="S638" s="732"/>
      <c r="T638" s="732"/>
      <c r="U638" s="732"/>
      <c r="V638" s="732"/>
      <c r="W638" s="732"/>
      <c r="X638" s="732"/>
      <c r="Y638" s="732"/>
      <c r="Z638" s="732"/>
      <c r="AA638" s="732"/>
      <c r="AB638" s="732"/>
      <c r="AC638" s="732"/>
      <c r="AD638" s="732"/>
    </row>
    <row r="639" spans="1:58" ht="15" customHeight="1">
      <c r="A639" s="176"/>
      <c r="B639" s="57"/>
      <c r="C639" s="803"/>
      <c r="D639" s="804"/>
      <c r="E639" s="804"/>
      <c r="F639" s="804"/>
      <c r="G639" s="804"/>
      <c r="H639" s="804"/>
      <c r="I639" s="804"/>
      <c r="J639" s="804"/>
      <c r="K639" s="804"/>
      <c r="L639" s="805"/>
      <c r="M639" s="987" t="s">
        <v>2628</v>
      </c>
      <c r="N639" s="988"/>
      <c r="O639" s="988"/>
      <c r="P639" s="988"/>
      <c r="Q639" s="988"/>
      <c r="R639" s="988"/>
      <c r="S639" s="989" t="s">
        <v>2629</v>
      </c>
      <c r="T639" s="990"/>
      <c r="U639" s="990"/>
      <c r="V639" s="990"/>
      <c r="W639" s="990"/>
      <c r="X639" s="990"/>
      <c r="Y639" s="989" t="s">
        <v>2630</v>
      </c>
      <c r="Z639" s="990"/>
      <c r="AA639" s="990"/>
      <c r="AB639" s="990"/>
      <c r="AC639" s="990"/>
      <c r="AD639" s="990"/>
      <c r="AG639" t="s">
        <v>2586</v>
      </c>
      <c r="AH639" t="s">
        <v>4599</v>
      </c>
      <c r="AI639" t="s">
        <v>2590</v>
      </c>
      <c r="AJ639" t="s">
        <v>3163</v>
      </c>
      <c r="AK639" t="s">
        <v>4564</v>
      </c>
      <c r="AL639" t="s">
        <v>5290</v>
      </c>
      <c r="AM639"/>
      <c r="AN639"/>
      <c r="AO639" t="s">
        <v>5291</v>
      </c>
      <c r="AP639"/>
      <c r="AQ639"/>
    </row>
    <row r="640" spans="1:58" ht="36" customHeight="1">
      <c r="A640" s="176"/>
      <c r="B640" s="57"/>
      <c r="C640" s="97" t="s">
        <v>2516</v>
      </c>
      <c r="D640" s="813" t="s">
        <v>5292</v>
      </c>
      <c r="E640" s="814"/>
      <c r="F640" s="814"/>
      <c r="G640" s="814"/>
      <c r="H640" s="814"/>
      <c r="I640" s="814"/>
      <c r="J640" s="814"/>
      <c r="K640" s="814"/>
      <c r="L640" s="815"/>
      <c r="M640" s="749"/>
      <c r="N640" s="749"/>
      <c r="O640" s="749"/>
      <c r="P640" s="749"/>
      <c r="Q640" s="749"/>
      <c r="R640" s="749"/>
      <c r="S640" s="749"/>
      <c r="T640" s="749"/>
      <c r="U640" s="749"/>
      <c r="V640" s="749"/>
      <c r="W640" s="749"/>
      <c r="X640" s="749"/>
      <c r="Y640" s="749"/>
      <c r="Z640" s="749"/>
      <c r="AA640" s="749"/>
      <c r="AB640" s="749"/>
      <c r="AC640" s="749"/>
      <c r="AD640" s="749"/>
      <c r="AG640" s="506">
        <f>IF(OR($V$623=0,$V$623="NS",$V$623="NA"),0,IF(COUNTBLANK(M640:AD649)=150,0,1))</f>
        <v>0</v>
      </c>
      <c r="AH640" s="506">
        <f>IF(OR($V$623=0,$V$623="NS",$V$623="NA"),IF(COUNTBLANK(M640:AD649)=180,0,1),0)</f>
        <v>0</v>
      </c>
      <c r="AI640">
        <f t="shared" ref="AI640:AI649" si="632">COUNTIF(S640:AD640,"NS")</f>
        <v>0</v>
      </c>
      <c r="AJ640">
        <f t="shared" ref="AJ640:AJ649" si="633">SUM(S640:AD640)</f>
        <v>0</v>
      </c>
      <c r="AK640">
        <f t="shared" ref="AK640:AK648" si="634">IF(COUNTIF(M640:AD640,"NA")=3,0,IF(COUNTA(M640:AD640)=0,0,IF(OR(AND(M640=0,AI640&gt;0),AND(M640="ns",AJ640&gt;0),AND(M640="ns",AI640=0,AJ640=0)),1,IF(OR(AND(M640&gt;0,AI640=2),AND(M640="ns",AI640=2),AND(M640="ns",AJ640=0,AI640&gt;0),M640=AJ640),0,1))))</f>
        <v>0</v>
      </c>
      <c r="AL640" cm="1">
        <f t="array" ref="AL640">IF(OR(M640={"NS","NA"},$V$623={"NS","NA"}),0,IF(M640&lt;=$V$623,0,1))</f>
        <v>0</v>
      </c>
      <c r="AM640" cm="1">
        <f t="array" ref="AM640">IF(OR(S640={"NS","NA"},$W$623={"NS","NA"}),0,IF(S640&lt;=$W$623,0,1))</f>
        <v>0</v>
      </c>
      <c r="AN640" cm="1">
        <f t="array" ref="AN640">IF(OR(Y640={"NS","NA"},$X$623={"NS","NA"}),0,IF(Y640&lt;=$X$623,0,1))</f>
        <v>0</v>
      </c>
      <c r="AO640" cm="1">
        <f t="array" ref="AO640">IF(OR(M650={"NS","NA"},$V$623={"NS","NA"}),0,IF(M650&gt;=$V$623,0,1))</f>
        <v>0</v>
      </c>
      <c r="AP640" cm="1">
        <f t="array" ref="AP640">IF(OR(S650={"NS","NA"},$W$623={"NS","NA"}),0,IF(S650&gt;=$W$623,0,1))</f>
        <v>0</v>
      </c>
      <c r="AQ640" cm="1">
        <f t="array" ref="AQ640">IF(OR(Y650={"NS","NA"},$X$623={"NS","NA"}),0,IF(Y650&gt;=$X$623,0,1))</f>
        <v>0</v>
      </c>
    </row>
    <row r="641" spans="1:43" ht="24" customHeight="1">
      <c r="A641" s="176"/>
      <c r="B641" s="57"/>
      <c r="C641" s="98" t="s">
        <v>2517</v>
      </c>
      <c r="D641" s="813" t="s">
        <v>5293</v>
      </c>
      <c r="E641" s="814"/>
      <c r="F641" s="814"/>
      <c r="G641" s="814"/>
      <c r="H641" s="814"/>
      <c r="I641" s="814"/>
      <c r="J641" s="814"/>
      <c r="K641" s="814"/>
      <c r="L641" s="815"/>
      <c r="M641" s="749"/>
      <c r="N641" s="749"/>
      <c r="O641" s="749"/>
      <c r="P641" s="749"/>
      <c r="Q641" s="749"/>
      <c r="R641" s="749"/>
      <c r="S641" s="749"/>
      <c r="T641" s="749"/>
      <c r="U641" s="749"/>
      <c r="V641" s="749"/>
      <c r="W641" s="749"/>
      <c r="X641" s="749"/>
      <c r="Y641" s="749"/>
      <c r="Z641" s="749"/>
      <c r="AA641" s="749"/>
      <c r="AB641" s="749"/>
      <c r="AC641" s="749"/>
      <c r="AD641" s="749"/>
      <c r="AG641" s="57"/>
      <c r="AH641" s="57"/>
      <c r="AI641">
        <f t="shared" si="632"/>
        <v>0</v>
      </c>
      <c r="AJ641">
        <f t="shared" si="633"/>
        <v>0</v>
      </c>
      <c r="AK641">
        <f t="shared" si="634"/>
        <v>0</v>
      </c>
      <c r="AL641" cm="1">
        <f t="array" ref="AL641">IF(OR(M641={"NS","NA"},$V$623={"NS","NA"}),0,IF(M641&lt;=$V$623,0,1))</f>
        <v>0</v>
      </c>
      <c r="AM641" cm="1">
        <f t="array" ref="AM641">IF(OR(S641={"NS","NA"},$W$623={"NS","NA"}),0,IF(S641&lt;=$W$623,0,1))</f>
        <v>0</v>
      </c>
      <c r="AN641" cm="1">
        <f t="array" ref="AN641">IF(OR(Y641={"NS","NA"},$X$623={"NS","NA"}),0,IF(Y641&lt;=$X$623,0,1))</f>
        <v>0</v>
      </c>
      <c r="AQ641" s="506">
        <f>IF(OR($V$623=0,$V$623="NS",$V$623="NA"),0,SUM(AO640:AQ640))</f>
        <v>0</v>
      </c>
    </row>
    <row r="642" spans="1:43" ht="24" customHeight="1">
      <c r="A642" s="176"/>
      <c r="B642" s="57"/>
      <c r="C642" s="98" t="s">
        <v>2518</v>
      </c>
      <c r="D642" s="813" t="s">
        <v>5294</v>
      </c>
      <c r="E642" s="814"/>
      <c r="F642" s="814"/>
      <c r="G642" s="814"/>
      <c r="H642" s="814"/>
      <c r="I642" s="814"/>
      <c r="J642" s="814"/>
      <c r="K642" s="814"/>
      <c r="L642" s="815"/>
      <c r="M642" s="749"/>
      <c r="N642" s="749"/>
      <c r="O642" s="749"/>
      <c r="P642" s="749"/>
      <c r="Q642" s="749"/>
      <c r="R642" s="749"/>
      <c r="S642" s="749"/>
      <c r="T642" s="749"/>
      <c r="U642" s="749"/>
      <c r="V642" s="749"/>
      <c r="W642" s="749"/>
      <c r="X642" s="749"/>
      <c r="Y642" s="749"/>
      <c r="Z642" s="749"/>
      <c r="AA642" s="749"/>
      <c r="AB642" s="749"/>
      <c r="AC642" s="749"/>
      <c r="AD642" s="749"/>
      <c r="AG642" s="57"/>
      <c r="AH642" s="57"/>
      <c r="AI642">
        <f t="shared" si="632"/>
        <v>0</v>
      </c>
      <c r="AJ642">
        <f t="shared" si="633"/>
        <v>0</v>
      </c>
      <c r="AK642">
        <f t="shared" si="634"/>
        <v>0</v>
      </c>
      <c r="AL642" cm="1">
        <f t="array" ref="AL642">IF(OR(M642={"NS","NA"},$V$623={"NS","NA"}),0,IF(M642&lt;=$V$623,0,1))</f>
        <v>0</v>
      </c>
      <c r="AM642" cm="1">
        <f t="array" ref="AM642">IF(OR(S642={"NS","NA"},$W$623={"NS","NA"}),0,IF(S642&lt;=$W$623,0,1))</f>
        <v>0</v>
      </c>
      <c r="AN642" cm="1">
        <f t="array" ref="AN642">IF(OR(Y642={"NS","NA"},$X$623={"NS","NA"}),0,IF(Y642&lt;=$X$623,0,1))</f>
        <v>0</v>
      </c>
    </row>
    <row r="643" spans="1:43" ht="48" customHeight="1">
      <c r="A643" s="176"/>
      <c r="B643" s="57"/>
      <c r="C643" s="98" t="s">
        <v>2519</v>
      </c>
      <c r="D643" s="813" t="s">
        <v>5295</v>
      </c>
      <c r="E643" s="814"/>
      <c r="F643" s="814"/>
      <c r="G643" s="814"/>
      <c r="H643" s="814"/>
      <c r="I643" s="814"/>
      <c r="J643" s="814"/>
      <c r="K643" s="814"/>
      <c r="L643" s="815"/>
      <c r="M643" s="749"/>
      <c r="N643" s="749"/>
      <c r="O643" s="749"/>
      <c r="P643" s="749"/>
      <c r="Q643" s="749"/>
      <c r="R643" s="749"/>
      <c r="S643" s="749"/>
      <c r="T643" s="749"/>
      <c r="U643" s="749"/>
      <c r="V643" s="749"/>
      <c r="W643" s="749"/>
      <c r="X643" s="749"/>
      <c r="Y643" s="749"/>
      <c r="Z643" s="749"/>
      <c r="AA643" s="749"/>
      <c r="AB643" s="749"/>
      <c r="AC643" s="749"/>
      <c r="AD643" s="749"/>
      <c r="AG643" s="57"/>
      <c r="AH643" s="57"/>
      <c r="AI643">
        <f t="shared" si="632"/>
        <v>0</v>
      </c>
      <c r="AJ643">
        <f t="shared" si="633"/>
        <v>0</v>
      </c>
      <c r="AK643">
        <f t="shared" si="634"/>
        <v>0</v>
      </c>
      <c r="AL643" cm="1">
        <f t="array" ref="AL643">IF(OR(M643={"NS","NA"},$V$623={"NS","NA"}),0,IF(M643&lt;=$V$623,0,1))</f>
        <v>0</v>
      </c>
      <c r="AM643" cm="1">
        <f t="array" ref="AM643">IF(OR(S643={"NS","NA"},$W$623={"NS","NA"}),0,IF(S643&lt;=$W$623,0,1))</f>
        <v>0</v>
      </c>
      <c r="AN643" cm="1">
        <f t="array" ref="AN643">IF(OR(Y643={"NS","NA"},$X$623={"NS","NA"}),0,IF(Y643&lt;=$X$623,0,1))</f>
        <v>0</v>
      </c>
    </row>
    <row r="644" spans="1:43" ht="24" customHeight="1">
      <c r="A644" s="176"/>
      <c r="B644" s="57"/>
      <c r="C644" s="98" t="s">
        <v>2520</v>
      </c>
      <c r="D644" s="813" t="s">
        <v>5296</v>
      </c>
      <c r="E644" s="814"/>
      <c r="F644" s="814"/>
      <c r="G644" s="814"/>
      <c r="H644" s="814"/>
      <c r="I644" s="814"/>
      <c r="J644" s="814"/>
      <c r="K644" s="814"/>
      <c r="L644" s="815"/>
      <c r="M644" s="749"/>
      <c r="N644" s="749"/>
      <c r="O644" s="749"/>
      <c r="P644" s="749"/>
      <c r="Q644" s="749"/>
      <c r="R644" s="749"/>
      <c r="S644" s="749"/>
      <c r="T644" s="749"/>
      <c r="U644" s="749"/>
      <c r="V644" s="749"/>
      <c r="W644" s="749"/>
      <c r="X644" s="749"/>
      <c r="Y644" s="749"/>
      <c r="Z644" s="749"/>
      <c r="AA644" s="749"/>
      <c r="AB644" s="749"/>
      <c r="AC644" s="749"/>
      <c r="AD644" s="749"/>
      <c r="AG644" s="57"/>
      <c r="AH644" s="57"/>
      <c r="AI644">
        <f t="shared" si="632"/>
        <v>0</v>
      </c>
      <c r="AJ644">
        <f t="shared" si="633"/>
        <v>0</v>
      </c>
      <c r="AK644">
        <f t="shared" si="634"/>
        <v>0</v>
      </c>
      <c r="AL644" cm="1">
        <f t="array" ref="AL644">IF(OR(M644={"NS","NA"},$V$623={"NS","NA"}),0,IF(M644&lt;=$V$623,0,1))</f>
        <v>0</v>
      </c>
      <c r="AM644" cm="1">
        <f t="array" ref="AM644">IF(OR(S644={"NS","NA"},$W$623={"NS","NA"}),0,IF(S644&lt;=$W$623,0,1))</f>
        <v>0</v>
      </c>
      <c r="AN644" cm="1">
        <f t="array" ref="AN644">IF(OR(Y644={"NS","NA"},$X$623={"NS","NA"}),0,IF(Y644&lt;=$X$623,0,1))</f>
        <v>0</v>
      </c>
    </row>
    <row r="645" spans="1:43" ht="36" customHeight="1">
      <c r="A645" s="176"/>
      <c r="B645" s="57"/>
      <c r="C645" s="98" t="s">
        <v>2521</v>
      </c>
      <c r="D645" s="813" t="s">
        <v>5297</v>
      </c>
      <c r="E645" s="814"/>
      <c r="F645" s="814"/>
      <c r="G645" s="814"/>
      <c r="H645" s="814"/>
      <c r="I645" s="814"/>
      <c r="J645" s="814"/>
      <c r="K645" s="814"/>
      <c r="L645" s="815"/>
      <c r="M645" s="749"/>
      <c r="N645" s="749"/>
      <c r="O645" s="749"/>
      <c r="P645" s="749"/>
      <c r="Q645" s="749"/>
      <c r="R645" s="749"/>
      <c r="S645" s="749"/>
      <c r="T645" s="749"/>
      <c r="U645" s="749"/>
      <c r="V645" s="749"/>
      <c r="W645" s="749"/>
      <c r="X645" s="749"/>
      <c r="Y645" s="749"/>
      <c r="Z645" s="749"/>
      <c r="AA645" s="749"/>
      <c r="AB645" s="749"/>
      <c r="AC645" s="749"/>
      <c r="AD645" s="749"/>
      <c r="AG645" s="57"/>
      <c r="AH645" s="57"/>
      <c r="AI645">
        <f t="shared" si="632"/>
        <v>0</v>
      </c>
      <c r="AJ645">
        <f t="shared" si="633"/>
        <v>0</v>
      </c>
      <c r="AK645">
        <f t="shared" si="634"/>
        <v>0</v>
      </c>
      <c r="AL645" cm="1">
        <f t="array" ref="AL645">IF(OR(M645={"NS","NA"},$V$623={"NS","NA"}),0,IF(M645&lt;=$V$623,0,1))</f>
        <v>0</v>
      </c>
      <c r="AM645" cm="1">
        <f t="array" ref="AM645">IF(OR(S645={"NS","NA"},$W$623={"NS","NA"}),0,IF(S645&lt;=$W$623,0,1))</f>
        <v>0</v>
      </c>
      <c r="AN645" cm="1">
        <f t="array" ref="AN645">IF(OR(Y645={"NS","NA"},$X$623={"NS","NA"}),0,IF(Y645&lt;=$X$623,0,1))</f>
        <v>0</v>
      </c>
    </row>
    <row r="646" spans="1:43" ht="24" customHeight="1">
      <c r="A646" s="176"/>
      <c r="B646" s="57"/>
      <c r="C646" s="98" t="s">
        <v>2522</v>
      </c>
      <c r="D646" s="813" t="s">
        <v>5298</v>
      </c>
      <c r="E646" s="814"/>
      <c r="F646" s="814"/>
      <c r="G646" s="814"/>
      <c r="H646" s="814"/>
      <c r="I646" s="814"/>
      <c r="J646" s="814"/>
      <c r="K646" s="814"/>
      <c r="L646" s="815"/>
      <c r="M646" s="749"/>
      <c r="N646" s="749"/>
      <c r="O646" s="749"/>
      <c r="P646" s="749"/>
      <c r="Q646" s="749"/>
      <c r="R646" s="749"/>
      <c r="S646" s="749"/>
      <c r="T646" s="749"/>
      <c r="U646" s="749"/>
      <c r="V646" s="749"/>
      <c r="W646" s="749"/>
      <c r="X646" s="749"/>
      <c r="Y646" s="749"/>
      <c r="Z646" s="749"/>
      <c r="AA646" s="749"/>
      <c r="AB646" s="749"/>
      <c r="AC646" s="749"/>
      <c r="AD646" s="749"/>
      <c r="AG646" s="57"/>
      <c r="AH646" s="57"/>
      <c r="AI646">
        <f t="shared" si="632"/>
        <v>0</v>
      </c>
      <c r="AJ646">
        <f t="shared" si="633"/>
        <v>0</v>
      </c>
      <c r="AK646">
        <f t="shared" si="634"/>
        <v>0</v>
      </c>
      <c r="AL646" cm="1">
        <f t="array" ref="AL646">IF(OR(M646={"NS","NA"},$V$623={"NS","NA"}),0,IF(M646&lt;=$V$623,0,1))</f>
        <v>0</v>
      </c>
      <c r="AM646" cm="1">
        <f t="array" ref="AM646">IF(OR(S646={"NS","NA"},$W$623={"NS","NA"}),0,IF(S646&lt;=$W$623,0,1))</f>
        <v>0</v>
      </c>
      <c r="AN646" cm="1">
        <f t="array" ref="AN646">IF(OR(Y646={"NS","NA"},$X$623={"NS","NA"}),0,IF(Y646&lt;=$X$623,0,1))</f>
        <v>0</v>
      </c>
    </row>
    <row r="647" spans="1:43" ht="48" customHeight="1">
      <c r="A647" s="176"/>
      <c r="B647" s="57"/>
      <c r="C647" s="98" t="s">
        <v>2523</v>
      </c>
      <c r="D647" s="813" t="s">
        <v>5299</v>
      </c>
      <c r="E647" s="814"/>
      <c r="F647" s="814"/>
      <c r="G647" s="814"/>
      <c r="H647" s="814"/>
      <c r="I647" s="814"/>
      <c r="J647" s="814"/>
      <c r="K647" s="814"/>
      <c r="L647" s="815"/>
      <c r="M647" s="749"/>
      <c r="N647" s="749"/>
      <c r="O647" s="749"/>
      <c r="P647" s="749"/>
      <c r="Q647" s="749"/>
      <c r="R647" s="749"/>
      <c r="S647" s="749"/>
      <c r="T647" s="749"/>
      <c r="U647" s="749"/>
      <c r="V647" s="749"/>
      <c r="W647" s="749"/>
      <c r="X647" s="749"/>
      <c r="Y647" s="749"/>
      <c r="Z647" s="749"/>
      <c r="AA647" s="749"/>
      <c r="AB647" s="749"/>
      <c r="AC647" s="749"/>
      <c r="AD647" s="749"/>
      <c r="AG647" s="57"/>
      <c r="AH647" s="57"/>
      <c r="AI647">
        <f t="shared" si="632"/>
        <v>0</v>
      </c>
      <c r="AJ647">
        <f t="shared" si="633"/>
        <v>0</v>
      </c>
      <c r="AK647">
        <f t="shared" si="634"/>
        <v>0</v>
      </c>
      <c r="AL647" cm="1">
        <f t="array" ref="AL647">IF(OR(M647={"NS","NA"},$V$623={"NS","NA"}),0,IF(M647&lt;=$V$623,0,1))</f>
        <v>0</v>
      </c>
      <c r="AM647" cm="1">
        <f t="array" ref="AM647">IF(OR(S647={"NS","NA"},$W$623={"NS","NA"}),0,IF(S647&lt;=$W$623,0,1))</f>
        <v>0</v>
      </c>
      <c r="AN647" cm="1">
        <f t="array" ref="AN647">IF(OR(Y647={"NS","NA"},$X$623={"NS","NA"}),0,IF(Y647&lt;=$X$623,0,1))</f>
        <v>0</v>
      </c>
    </row>
    <row r="648" spans="1:43" ht="15" customHeight="1">
      <c r="A648" s="176"/>
      <c r="B648" s="57"/>
      <c r="C648" s="98" t="s">
        <v>2524</v>
      </c>
      <c r="D648" s="813" t="s">
        <v>3758</v>
      </c>
      <c r="E648" s="814"/>
      <c r="F648" s="814"/>
      <c r="G648" s="814"/>
      <c r="H648" s="814"/>
      <c r="I648" s="814"/>
      <c r="J648" s="814"/>
      <c r="K648" s="814"/>
      <c r="L648" s="815"/>
      <c r="M648" s="749"/>
      <c r="N648" s="749"/>
      <c r="O648" s="749"/>
      <c r="P648" s="749"/>
      <c r="Q648" s="749"/>
      <c r="R648" s="749"/>
      <c r="S648" s="749"/>
      <c r="T648" s="749"/>
      <c r="U648" s="749"/>
      <c r="V648" s="749"/>
      <c r="W648" s="749"/>
      <c r="X648" s="749"/>
      <c r="Y648" s="749"/>
      <c r="Z648" s="749"/>
      <c r="AA648" s="749"/>
      <c r="AB648" s="749"/>
      <c r="AC648" s="749"/>
      <c r="AD648" s="749"/>
      <c r="AG648" s="57"/>
      <c r="AH648" s="57"/>
      <c r="AI648">
        <f t="shared" si="632"/>
        <v>0</v>
      </c>
      <c r="AJ648">
        <f t="shared" si="633"/>
        <v>0</v>
      </c>
      <c r="AK648">
        <f t="shared" si="634"/>
        <v>0</v>
      </c>
      <c r="AL648" cm="1">
        <f t="array" ref="AL648">IF(OR(M648={"NS","NA"},$V$623={"NS","NA"}),0,IF(M648&lt;=$V$623,0,1))</f>
        <v>0</v>
      </c>
      <c r="AM648" cm="1">
        <f t="array" ref="AM648">IF(OR(S648={"NS","NA"},$W$623={"NS","NA"}),0,IF(S648&lt;=$W$623,0,1))</f>
        <v>0</v>
      </c>
      <c r="AN648" cm="1">
        <f t="array" ref="AN648">IF(OR(Y648={"NS","NA"},$X$623={"NS","NA"}),0,IF(Y648&lt;=$X$623,0,1))</f>
        <v>0</v>
      </c>
    </row>
    <row r="649" spans="1:43" ht="15" customHeight="1">
      <c r="A649" s="176"/>
      <c r="B649" s="57"/>
      <c r="C649" s="98" t="s">
        <v>2525</v>
      </c>
      <c r="D649" s="813" t="s">
        <v>201</v>
      </c>
      <c r="E649" s="814"/>
      <c r="F649" s="814"/>
      <c r="G649" s="814"/>
      <c r="H649" s="814"/>
      <c r="I649" s="814"/>
      <c r="J649" s="814"/>
      <c r="K649" s="814"/>
      <c r="L649" s="815"/>
      <c r="M649" s="749"/>
      <c r="N649" s="749"/>
      <c r="O649" s="749"/>
      <c r="P649" s="749"/>
      <c r="Q649" s="749"/>
      <c r="R649" s="749"/>
      <c r="S649" s="749"/>
      <c r="T649" s="749"/>
      <c r="U649" s="749"/>
      <c r="V649" s="749"/>
      <c r="W649" s="749"/>
      <c r="X649" s="749"/>
      <c r="Y649" s="749"/>
      <c r="Z649" s="749"/>
      <c r="AA649" s="749"/>
      <c r="AB649" s="749"/>
      <c r="AC649" s="749"/>
      <c r="AD649" s="749"/>
      <c r="AG649" s="57"/>
      <c r="AH649" s="57"/>
      <c r="AI649">
        <f t="shared" si="632"/>
        <v>0</v>
      </c>
      <c r="AJ649">
        <f t="shared" si="633"/>
        <v>0</v>
      </c>
      <c r="AK649">
        <f>IF(COUNTIF(M649:AD649,"NA")=3,0,IF(COUNTA(M649:AD649)=0,0,IF(OR(AND(M649=0,AI649&gt;0),AND(M649="ns",AJ649&gt;0),AND(M649="ns",AI649=0,AJ649=0)),1,IF(OR(AND(M649&gt;0,AI649=2),AND(M649="ns",AI649=2),AND(M649="ns",AJ649=0,AI649&gt;0),M649=AJ649),0,1))))</f>
        <v>0</v>
      </c>
      <c r="AL649" cm="1">
        <f t="array" ref="AL649">IF(OR(M649={"NS","NA"},$V$623={"NS","NA"}),0,IF(M649&lt;=$V$623,0,1))</f>
        <v>0</v>
      </c>
      <c r="AM649" cm="1">
        <f t="array" ref="AM649">IF(OR(S649={"NS","NA"},$W$623={"NS","NA"}),0,IF(S649&lt;=$W$623,0,1))</f>
        <v>0</v>
      </c>
      <c r="AN649" cm="1">
        <f t="array" ref="AN649">IF(OR(Y649={"NS","NA"},$X$623={"NS","NA"}),0,IF(Y649&lt;=$X$623,0,1))</f>
        <v>0</v>
      </c>
    </row>
    <row r="650" spans="1:43" ht="15" customHeight="1">
      <c r="A650" s="176"/>
      <c r="B650" s="57"/>
      <c r="C650" s="38"/>
      <c r="D650" s="38"/>
      <c r="E650" s="38"/>
      <c r="F650" s="38"/>
      <c r="G650" s="38"/>
      <c r="H650" s="38"/>
      <c r="I650" s="38"/>
      <c r="J650" s="38"/>
      <c r="K650" s="38"/>
      <c r="L650" s="117" t="s">
        <v>2649</v>
      </c>
      <c r="M650" s="736">
        <f>IF(AND(SUM(M640:M649)=0,COUNTIF(M640:M649,"NS")&gt;0),"NS",IF(AND(SUM(M640:M649)=0,COUNTIF(M640:M649,0)&gt;0),0,IF(AND(SUM(M640:M649)=0,COUNTIF(M640:M649,"NA")&gt;0),"NA",SUM(M640:M649))))</f>
        <v>0</v>
      </c>
      <c r="N650" s="1085"/>
      <c r="O650" s="1085"/>
      <c r="P650" s="1085"/>
      <c r="Q650" s="1085"/>
      <c r="R650" s="1086"/>
      <c r="S650" s="736">
        <f>IF(AND(SUM(S640:S649)=0,COUNTIF(S640:S649,"NS")&gt;0),"NS",IF(AND(SUM(S640:S649)=0,COUNTIF(S640:S649,0)&gt;0),0,IF(AND(SUM(S640:S649)=0,COUNTIF(S640:S649,"NA")&gt;0),"NA",SUM(S640:S649))))</f>
        <v>0</v>
      </c>
      <c r="T650" s="1085"/>
      <c r="U650" s="1085"/>
      <c r="V650" s="1085"/>
      <c r="W650" s="1085"/>
      <c r="X650" s="1086"/>
      <c r="Y650" s="736">
        <f>IF(AND(SUM(Y640:Y649)=0,COUNTIF(Y640:Y649,"NS")&gt;0),"NS",IF(AND(SUM(Y640:Y649)=0,COUNTIF(Y640:Y649,0)&gt;0),0,IF(AND(SUM(Y640:Y649)=0,COUNTIF(Y640:Y649,"NA")&gt;0),"NA",SUM(Y640:Y649))))</f>
        <v>0</v>
      </c>
      <c r="Z650" s="1085"/>
      <c r="AA650" s="1085"/>
      <c r="AB650" s="1085"/>
      <c r="AC650" s="1085"/>
      <c r="AD650" s="1086"/>
      <c r="AG650" s="57"/>
      <c r="AH650" s="57"/>
      <c r="AI650"/>
      <c r="AJ650"/>
      <c r="AK650" s="506">
        <f>SUM(AK640:AK649)</f>
        <v>0</v>
      </c>
      <c r="AL650"/>
      <c r="AM650"/>
      <c r="AN650" s="506">
        <f>IF(OR($V$623=0,$V$623="NS",$V$623="NA"),0,SUM(AL640:AN649))</f>
        <v>0</v>
      </c>
    </row>
    <row r="651" spans="1:43" ht="15" customHeight="1">
      <c r="A651" s="176"/>
      <c r="B651" s="57"/>
      <c r="C651" s="57"/>
      <c r="D651" s="57"/>
      <c r="E651" s="57"/>
      <c r="F651" s="57"/>
      <c r="G651" s="57"/>
      <c r="H651" s="57"/>
      <c r="I651" s="57"/>
      <c r="J651" s="57"/>
      <c r="K651" s="57"/>
      <c r="L651" s="57"/>
      <c r="M651" s="57"/>
      <c r="N651" s="57"/>
      <c r="O651" s="57"/>
      <c r="P651" s="57"/>
      <c r="Q651" s="57"/>
      <c r="R651" s="57"/>
      <c r="S651" s="57"/>
      <c r="T651" s="57"/>
      <c r="U651" s="57"/>
      <c r="V651" s="57"/>
      <c r="W651" s="57"/>
      <c r="X651" s="57"/>
      <c r="Y651" s="57"/>
      <c r="Z651" s="57"/>
      <c r="AA651" s="57"/>
      <c r="AB651" s="57"/>
      <c r="AC651" s="57"/>
      <c r="AD651" s="57"/>
    </row>
    <row r="652" spans="1:43" ht="24" customHeight="1">
      <c r="A652" s="176"/>
      <c r="B652" s="57"/>
      <c r="C652" s="754" t="s">
        <v>2611</v>
      </c>
      <c r="D652" s="754"/>
      <c r="E652" s="754"/>
      <c r="F652" s="754"/>
      <c r="G652" s="754"/>
      <c r="H652" s="754"/>
      <c r="I652" s="754"/>
      <c r="J652" s="754"/>
      <c r="K652" s="754"/>
      <c r="L652" s="754"/>
      <c r="M652" s="754"/>
      <c r="N652" s="754"/>
      <c r="O652" s="754"/>
      <c r="P652" s="754"/>
      <c r="Q652" s="754"/>
      <c r="R652" s="754"/>
      <c r="S652" s="754"/>
      <c r="T652" s="754"/>
      <c r="U652" s="754"/>
      <c r="V652" s="754"/>
      <c r="W652" s="754"/>
      <c r="X652" s="754"/>
      <c r="Y652" s="754"/>
      <c r="Z652" s="754"/>
      <c r="AA652" s="754"/>
      <c r="AB652" s="754"/>
      <c r="AC652" s="754"/>
      <c r="AD652" s="754"/>
    </row>
    <row r="653" spans="1:43" ht="60" customHeight="1">
      <c r="A653" s="176"/>
      <c r="B653" s="57"/>
      <c r="C653" s="851"/>
      <c r="D653" s="851"/>
      <c r="E653" s="851"/>
      <c r="F653" s="851"/>
      <c r="G653" s="851"/>
      <c r="H653" s="851"/>
      <c r="I653" s="851"/>
      <c r="J653" s="851"/>
      <c r="K653" s="851"/>
      <c r="L653" s="851"/>
      <c r="M653" s="851"/>
      <c r="N653" s="851"/>
      <c r="O653" s="851"/>
      <c r="P653" s="851"/>
      <c r="Q653" s="851"/>
      <c r="R653" s="851"/>
      <c r="S653" s="851"/>
      <c r="T653" s="851"/>
      <c r="U653" s="851"/>
      <c r="V653" s="851"/>
      <c r="W653" s="851"/>
      <c r="X653" s="851"/>
      <c r="Y653" s="851"/>
      <c r="Z653" s="851"/>
      <c r="AA653" s="851"/>
      <c r="AB653" s="851"/>
      <c r="AC653" s="851"/>
      <c r="AD653" s="851"/>
    </row>
    <row r="654" spans="1:43" ht="15" customHeight="1">
      <c r="A654" s="176"/>
      <c r="B654" s="794" t="str">
        <f>IF(AG640=0,"","Favor de ingresar toda la información requerida en la pregunta")</f>
        <v/>
      </c>
      <c r="C654" s="794"/>
      <c r="D654" s="794"/>
      <c r="E654" s="794"/>
      <c r="F654" s="794"/>
      <c r="G654" s="794"/>
      <c r="H654" s="794"/>
      <c r="I654" s="794"/>
      <c r="J654" s="794"/>
      <c r="K654" s="794"/>
      <c r="L654" s="794"/>
      <c r="M654" s="794"/>
      <c r="N654" s="794"/>
      <c r="O654" s="794"/>
      <c r="P654" s="794"/>
      <c r="Q654" s="794"/>
      <c r="R654" s="794"/>
      <c r="S654" s="794"/>
      <c r="T654" s="794"/>
      <c r="U654" s="794"/>
      <c r="V654" s="794"/>
      <c r="W654" s="794"/>
      <c r="X654" s="794"/>
      <c r="Y654" s="794"/>
      <c r="Z654" s="794"/>
      <c r="AA654" s="794"/>
      <c r="AB654" s="794"/>
      <c r="AC654" s="794"/>
      <c r="AD654" s="794"/>
      <c r="AE654" s="794"/>
    </row>
    <row r="655" spans="1:43" ht="15" customHeight="1">
      <c r="A655" s="176"/>
      <c r="B655" s="1087" t="str">
        <f>IF(OR($V$623=0,$V$623="NS",$V$623="NA"),"",IF(COUNTIF(M640:AD649,"NS")&lt;&gt;0,"Alerta: debido a que cuenta con registros NS, debe proporcionar una justificación en el area de comentarios al final de la pregunta",""))</f>
        <v/>
      </c>
      <c r="C655" s="1087"/>
      <c r="D655" s="1087"/>
      <c r="E655" s="1087"/>
      <c r="F655" s="1087"/>
      <c r="G655" s="1087"/>
      <c r="H655" s="1087"/>
      <c r="I655" s="1087"/>
      <c r="J655" s="1087"/>
      <c r="K655" s="1087"/>
      <c r="L655" s="1087"/>
      <c r="M655" s="1087"/>
      <c r="N655" s="1087"/>
      <c r="O655" s="1087"/>
      <c r="P655" s="1087"/>
      <c r="Q655" s="1087"/>
      <c r="R655" s="1087"/>
      <c r="S655" s="1087"/>
      <c r="T655" s="1087"/>
      <c r="U655" s="1087"/>
      <c r="V655" s="1087"/>
      <c r="W655" s="1087"/>
      <c r="X655" s="1087"/>
      <c r="Y655" s="1087"/>
      <c r="Z655" s="1087"/>
      <c r="AA655" s="1087"/>
      <c r="AB655" s="1087"/>
      <c r="AC655" s="1087"/>
      <c r="AD655" s="1087"/>
      <c r="AE655" s="1087"/>
    </row>
    <row r="656" spans="1:43" ht="15" customHeight="1">
      <c r="A656" s="176"/>
      <c r="B656" s="1003" t="str">
        <f>IF(AH640&gt;0,"Revise la información capturada, ya que tiene datos ingresados en celdas que están sombreadas","")</f>
        <v/>
      </c>
      <c r="C656" s="1003"/>
      <c r="D656" s="1003"/>
      <c r="E656" s="1003"/>
      <c r="F656" s="1003"/>
      <c r="G656" s="1003"/>
      <c r="H656" s="1003"/>
      <c r="I656" s="1003"/>
      <c r="J656" s="1003"/>
      <c r="K656" s="1003"/>
      <c r="L656" s="1003"/>
      <c r="M656" s="1003"/>
      <c r="N656" s="1003"/>
      <c r="O656" s="1003"/>
      <c r="P656" s="1003"/>
      <c r="Q656" s="1003"/>
      <c r="R656" s="1003"/>
      <c r="S656" s="1003"/>
      <c r="T656" s="1003"/>
      <c r="U656" s="1003"/>
      <c r="V656" s="1003"/>
      <c r="W656" s="1003"/>
      <c r="X656" s="1003"/>
      <c r="Y656" s="1003"/>
      <c r="Z656" s="1003"/>
      <c r="AA656" s="1003"/>
      <c r="AB656" s="1003"/>
      <c r="AC656" s="1003"/>
      <c r="AD656" s="1003"/>
      <c r="AE656" s="1003"/>
    </row>
    <row r="657" spans="1:58" ht="15" customHeight="1">
      <c r="A657" s="176"/>
      <c r="B657" s="1003" t="str">
        <f>IF(OR($V$623=0,$V$623="NS",$V$623="NA"),"",IF(AK650&gt;0,"Favor de revisar la suma y consistencia de totales y/o subtotales por filas (numéricos y NS)",""))</f>
        <v/>
      </c>
      <c r="C657" s="1003"/>
      <c r="D657" s="1003"/>
      <c r="E657" s="1003"/>
      <c r="F657" s="1003"/>
      <c r="G657" s="1003"/>
      <c r="H657" s="1003"/>
      <c r="I657" s="1003"/>
      <c r="J657" s="1003"/>
      <c r="K657" s="1003"/>
      <c r="L657" s="1003"/>
      <c r="M657" s="1003"/>
      <c r="N657" s="1003"/>
      <c r="O657" s="1003"/>
      <c r="P657" s="1003"/>
      <c r="Q657" s="1003"/>
      <c r="R657" s="1003"/>
      <c r="S657" s="1003"/>
      <c r="T657" s="1003"/>
      <c r="U657" s="1003"/>
      <c r="V657" s="1003"/>
      <c r="W657" s="1003"/>
      <c r="X657" s="1003"/>
      <c r="Y657" s="1003"/>
      <c r="Z657" s="1003"/>
      <c r="AA657" s="1003"/>
      <c r="AB657" s="1003"/>
      <c r="AC657" s="1003"/>
      <c r="AD657" s="1003"/>
      <c r="AE657" s="1003"/>
    </row>
    <row r="658" spans="1:58" ht="15" customHeight="1">
      <c r="A658" s="176"/>
      <c r="B658" s="794" t="str">
        <f>IF(AQ641&gt;0,"Favor de revisar la instrucción 2, debido a que no se cumplen con los criterios mencionados","")</f>
        <v/>
      </c>
      <c r="C658" s="794"/>
      <c r="D658" s="794"/>
      <c r="E658" s="794"/>
      <c r="F658" s="794"/>
      <c r="G658" s="794"/>
      <c r="H658" s="794"/>
      <c r="I658" s="794"/>
      <c r="J658" s="794"/>
      <c r="K658" s="794"/>
      <c r="L658" s="794"/>
      <c r="M658" s="794"/>
      <c r="N658" s="794"/>
      <c r="O658" s="794"/>
      <c r="P658" s="794"/>
      <c r="Q658" s="794"/>
      <c r="R658" s="794"/>
      <c r="S658" s="794"/>
      <c r="T658" s="794"/>
      <c r="U658" s="794"/>
      <c r="V658" s="794"/>
      <c r="W658" s="794"/>
      <c r="X658" s="794"/>
      <c r="Y658" s="794"/>
      <c r="Z658" s="794"/>
      <c r="AA658" s="794"/>
      <c r="AB658" s="794"/>
      <c r="AC658" s="794"/>
      <c r="AD658" s="794"/>
      <c r="AE658" s="794"/>
    </row>
    <row r="659" spans="1:58" ht="15" customHeight="1">
      <c r="A659" s="176"/>
      <c r="B659" s="795" t="str">
        <f>IF(AN650&gt;0,"Alerta: debe de proporcionar una justificación de acuerdo a lo establecido en la instrucción 3","")</f>
        <v/>
      </c>
      <c r="C659" s="795"/>
      <c r="D659" s="795"/>
      <c r="E659" s="795"/>
      <c r="F659" s="795"/>
      <c r="G659" s="795"/>
      <c r="H659" s="795"/>
      <c r="I659" s="795"/>
      <c r="J659" s="795"/>
      <c r="K659" s="795"/>
      <c r="L659" s="795"/>
      <c r="M659" s="795"/>
      <c r="N659" s="795"/>
      <c r="O659" s="795"/>
      <c r="P659" s="795"/>
      <c r="Q659" s="795"/>
      <c r="R659" s="795"/>
      <c r="S659" s="795"/>
      <c r="T659" s="795"/>
      <c r="U659" s="795"/>
      <c r="V659" s="795"/>
      <c r="W659" s="795"/>
      <c r="X659" s="795"/>
      <c r="Y659" s="795"/>
      <c r="Z659" s="795"/>
      <c r="AA659" s="795"/>
      <c r="AB659" s="795"/>
      <c r="AC659" s="795"/>
      <c r="AD659" s="795"/>
      <c r="AE659" s="795"/>
    </row>
    <row r="660" spans="1:58" ht="36" customHeight="1">
      <c r="A660" s="49" t="s">
        <v>5300</v>
      </c>
      <c r="B660" s="829" t="s">
        <v>5301</v>
      </c>
      <c r="C660" s="829"/>
      <c r="D660" s="829"/>
      <c r="E660" s="829"/>
      <c r="F660" s="829"/>
      <c r="G660" s="829"/>
      <c r="H660" s="829"/>
      <c r="I660" s="829"/>
      <c r="J660" s="829"/>
      <c r="K660" s="829"/>
      <c r="L660" s="829"/>
      <c r="M660" s="829"/>
      <c r="N660" s="829"/>
      <c r="O660" s="829"/>
      <c r="P660" s="829"/>
      <c r="Q660" s="829"/>
      <c r="R660" s="829"/>
      <c r="S660" s="829"/>
      <c r="T660" s="829"/>
      <c r="U660" s="829"/>
      <c r="V660" s="829"/>
      <c r="W660" s="829"/>
      <c r="X660" s="829"/>
      <c r="Y660" s="829"/>
      <c r="Z660" s="829"/>
      <c r="AA660" s="829"/>
      <c r="AB660" s="829"/>
      <c r="AC660" s="829"/>
      <c r="AD660" s="829"/>
    </row>
    <row r="661" spans="1:58" ht="24" customHeight="1">
      <c r="A661" s="210"/>
      <c r="B661" s="38"/>
      <c r="C661" s="830" t="s">
        <v>5302</v>
      </c>
      <c r="D661" s="830"/>
      <c r="E661" s="830"/>
      <c r="F661" s="830"/>
      <c r="G661" s="830"/>
      <c r="H661" s="830"/>
      <c r="I661" s="830"/>
      <c r="J661" s="830"/>
      <c r="K661" s="830"/>
      <c r="L661" s="830"/>
      <c r="M661" s="830"/>
      <c r="N661" s="830"/>
      <c r="O661" s="830"/>
      <c r="P661" s="830"/>
      <c r="Q661" s="830"/>
      <c r="R661" s="830"/>
      <c r="S661" s="830"/>
      <c r="T661" s="830"/>
      <c r="U661" s="830"/>
      <c r="V661" s="830"/>
      <c r="W661" s="830"/>
      <c r="X661" s="830"/>
      <c r="Y661" s="830"/>
      <c r="Z661" s="830"/>
      <c r="AA661" s="830"/>
      <c r="AB661" s="830"/>
      <c r="AC661" s="830"/>
      <c r="AD661" s="830"/>
    </row>
    <row r="662" spans="1:58" ht="24" customHeight="1">
      <c r="A662" s="210"/>
      <c r="B662" s="57"/>
      <c r="C662" s="830" t="s">
        <v>5303</v>
      </c>
      <c r="D662" s="830"/>
      <c r="E662" s="830"/>
      <c r="F662" s="830"/>
      <c r="G662" s="830"/>
      <c r="H662" s="830"/>
      <c r="I662" s="830"/>
      <c r="J662" s="830"/>
      <c r="K662" s="830"/>
      <c r="L662" s="830"/>
      <c r="M662" s="830"/>
      <c r="N662" s="830"/>
      <c r="O662" s="830"/>
      <c r="P662" s="830"/>
      <c r="Q662" s="830"/>
      <c r="R662" s="830"/>
      <c r="S662" s="830"/>
      <c r="T662" s="830"/>
      <c r="U662" s="830"/>
      <c r="V662" s="830"/>
      <c r="W662" s="830"/>
      <c r="X662" s="830"/>
      <c r="Y662" s="830"/>
      <c r="Z662" s="830"/>
      <c r="AA662" s="830"/>
      <c r="AB662" s="830"/>
      <c r="AC662" s="830"/>
      <c r="AD662" s="830"/>
    </row>
    <row r="663" spans="1:58" ht="24" customHeight="1">
      <c r="A663" s="210"/>
      <c r="B663" s="57"/>
      <c r="C663" s="830" t="s">
        <v>5304</v>
      </c>
      <c r="D663" s="830"/>
      <c r="E663" s="830"/>
      <c r="F663" s="830"/>
      <c r="G663" s="830"/>
      <c r="H663" s="830"/>
      <c r="I663" s="830"/>
      <c r="J663" s="830"/>
      <c r="K663" s="830"/>
      <c r="L663" s="830"/>
      <c r="M663" s="830"/>
      <c r="N663" s="830"/>
      <c r="O663" s="830"/>
      <c r="P663" s="830"/>
      <c r="Q663" s="830"/>
      <c r="R663" s="830"/>
      <c r="S663" s="830"/>
      <c r="T663" s="830"/>
      <c r="U663" s="830"/>
      <c r="V663" s="830"/>
      <c r="W663" s="830"/>
      <c r="X663" s="830"/>
      <c r="Y663" s="830"/>
      <c r="Z663" s="830"/>
      <c r="AA663" s="830"/>
      <c r="AB663" s="830"/>
      <c r="AC663" s="830"/>
      <c r="AD663" s="830"/>
    </row>
    <row r="664" spans="1:58" ht="15" customHeight="1">
      <c r="A664" s="142"/>
      <c r="B664" s="57"/>
      <c r="C664" s="57"/>
      <c r="D664" s="57"/>
      <c r="E664" s="57"/>
      <c r="F664" s="57"/>
      <c r="G664" s="57"/>
      <c r="H664" s="57"/>
      <c r="I664" s="57"/>
      <c r="J664" s="57"/>
      <c r="K664" s="57"/>
      <c r="L664" s="57"/>
      <c r="M664" s="57"/>
      <c r="N664" s="57"/>
      <c r="O664" s="57"/>
      <c r="P664" s="57"/>
      <c r="Q664" s="57"/>
      <c r="R664" s="57"/>
      <c r="S664" s="57"/>
      <c r="T664" s="57"/>
      <c r="U664" s="57"/>
      <c r="V664" s="57"/>
      <c r="W664" s="57"/>
      <c r="X664" s="57"/>
      <c r="Y664" s="57"/>
      <c r="Z664" s="57"/>
      <c r="AA664" s="57"/>
      <c r="AB664" s="57"/>
      <c r="AC664" s="57"/>
      <c r="AD664" s="57"/>
    </row>
    <row r="665" spans="1:58" ht="24" customHeight="1">
      <c r="A665" s="50"/>
      <c r="B665" s="38"/>
      <c r="C665" s="968" t="s">
        <v>2581</v>
      </c>
      <c r="D665" s="969"/>
      <c r="E665" s="969"/>
      <c r="F665" s="969"/>
      <c r="G665" s="969"/>
      <c r="H665" s="969"/>
      <c r="I665" s="969"/>
      <c r="J665" s="969"/>
      <c r="K665" s="969"/>
      <c r="L665" s="970"/>
      <c r="M665" s="739" t="s">
        <v>5305</v>
      </c>
      <c r="N665" s="740"/>
      <c r="O665" s="740"/>
      <c r="P665" s="740"/>
      <c r="Q665" s="740"/>
      <c r="R665" s="740"/>
      <c r="S665" s="740"/>
      <c r="T665" s="740"/>
      <c r="U665" s="740"/>
      <c r="V665" s="740"/>
      <c r="W665" s="740"/>
      <c r="X665" s="740"/>
      <c r="Y665" s="740"/>
      <c r="Z665" s="740"/>
      <c r="AA665" s="740"/>
      <c r="AB665" s="740"/>
      <c r="AC665" s="740"/>
      <c r="AD665" s="741"/>
    </row>
    <row r="666" spans="1:58" ht="15" customHeight="1">
      <c r="A666" s="50"/>
      <c r="B666" s="38"/>
      <c r="C666" s="1100"/>
      <c r="D666" s="1101"/>
      <c r="E666" s="1101"/>
      <c r="F666" s="1101"/>
      <c r="G666" s="1101"/>
      <c r="H666" s="1101"/>
      <c r="I666" s="1101"/>
      <c r="J666" s="1101"/>
      <c r="K666" s="1101"/>
      <c r="L666" s="1102"/>
      <c r="M666" s="887" t="s">
        <v>2628</v>
      </c>
      <c r="N666" s="889" t="s">
        <v>2629</v>
      </c>
      <c r="O666" s="889" t="s">
        <v>2630</v>
      </c>
      <c r="P666" s="818" t="s">
        <v>5306</v>
      </c>
      <c r="Q666" s="798"/>
      <c r="R666" s="798"/>
      <c r="S666" s="798"/>
      <c r="T666" s="798"/>
      <c r="U666" s="798"/>
      <c r="V666" s="798"/>
      <c r="W666" s="798"/>
      <c r="X666" s="799"/>
      <c r="Y666" s="841" t="s">
        <v>5307</v>
      </c>
      <c r="Z666" s="950"/>
      <c r="AA666" s="842"/>
      <c r="AB666" s="841" t="s">
        <v>201</v>
      </c>
      <c r="AC666" s="950"/>
      <c r="AD666" s="842"/>
    </row>
    <row r="667" spans="1:58" ht="108" customHeight="1">
      <c r="A667" s="50"/>
      <c r="B667" s="38"/>
      <c r="C667" s="1100"/>
      <c r="D667" s="1101"/>
      <c r="E667" s="1101"/>
      <c r="F667" s="1101"/>
      <c r="G667" s="1101"/>
      <c r="H667" s="1101"/>
      <c r="I667" s="1101"/>
      <c r="J667" s="1101"/>
      <c r="K667" s="1101"/>
      <c r="L667" s="1102"/>
      <c r="M667" s="958"/>
      <c r="N667" s="959"/>
      <c r="O667" s="959"/>
      <c r="P667" s="857" t="s">
        <v>5308</v>
      </c>
      <c r="Q667" s="857"/>
      <c r="R667" s="857"/>
      <c r="S667" s="857" t="s">
        <v>5309</v>
      </c>
      <c r="T667" s="857"/>
      <c r="U667" s="857"/>
      <c r="V667" s="857" t="s">
        <v>5310</v>
      </c>
      <c r="W667" s="857"/>
      <c r="X667" s="857"/>
      <c r="Y667" s="845"/>
      <c r="Z667" s="952"/>
      <c r="AA667" s="846"/>
      <c r="AB667" s="845"/>
      <c r="AC667" s="952"/>
      <c r="AD667" s="846"/>
    </row>
    <row r="668" spans="1:58" ht="48" customHeight="1">
      <c r="A668" s="50"/>
      <c r="B668" s="38"/>
      <c r="C668" s="971"/>
      <c r="D668" s="972"/>
      <c r="E668" s="972"/>
      <c r="F668" s="972"/>
      <c r="G668" s="972"/>
      <c r="H668" s="972"/>
      <c r="I668" s="972"/>
      <c r="J668" s="972"/>
      <c r="K668" s="972"/>
      <c r="L668" s="973"/>
      <c r="M668" s="888"/>
      <c r="N668" s="890"/>
      <c r="O668" s="890"/>
      <c r="P668" s="127" t="s">
        <v>2635</v>
      </c>
      <c r="Q668" s="128" t="s">
        <v>2629</v>
      </c>
      <c r="R668" s="128" t="s">
        <v>2630</v>
      </c>
      <c r="S668" s="127" t="s">
        <v>2635</v>
      </c>
      <c r="T668" s="128" t="s">
        <v>2629</v>
      </c>
      <c r="U668" s="128" t="s">
        <v>2630</v>
      </c>
      <c r="V668" s="127" t="s">
        <v>2635</v>
      </c>
      <c r="W668" s="128" t="s">
        <v>2629</v>
      </c>
      <c r="X668" s="128" t="s">
        <v>2630</v>
      </c>
      <c r="Y668" s="127" t="s">
        <v>2635</v>
      </c>
      <c r="Z668" s="128" t="s">
        <v>2629</v>
      </c>
      <c r="AA668" s="128" t="s">
        <v>2630</v>
      </c>
      <c r="AB668" s="127" t="s">
        <v>2635</v>
      </c>
      <c r="AC668" s="128" t="s">
        <v>2629</v>
      </c>
      <c r="AD668" s="128" t="s">
        <v>2630</v>
      </c>
      <c r="AG668" t="s">
        <v>2586</v>
      </c>
      <c r="AH668" t="s">
        <v>4581</v>
      </c>
      <c r="AI668"/>
      <c r="AJ668"/>
      <c r="AK668" t="s">
        <v>4573</v>
      </c>
      <c r="AL668" t="s">
        <v>2638</v>
      </c>
      <c r="AM668" t="s">
        <v>2639</v>
      </c>
      <c r="AN668" t="s">
        <v>4574</v>
      </c>
      <c r="AO668" t="s">
        <v>2641</v>
      </c>
      <c r="AP668" t="s">
        <v>2642</v>
      </c>
      <c r="AQ668" t="s">
        <v>4575</v>
      </c>
      <c r="AR668" t="s">
        <v>2644</v>
      </c>
      <c r="AS668" t="s">
        <v>2645</v>
      </c>
      <c r="AT668" t="s">
        <v>4576</v>
      </c>
      <c r="AU668" t="s">
        <v>2647</v>
      </c>
      <c r="AV668" t="s">
        <v>2648</v>
      </c>
      <c r="AW668" t="s">
        <v>5177</v>
      </c>
      <c r="AX668" t="s">
        <v>2757</v>
      </c>
      <c r="AY668" t="s">
        <v>2758</v>
      </c>
      <c r="AZ668" t="s">
        <v>5194</v>
      </c>
      <c r="BA668" t="s">
        <v>2760</v>
      </c>
      <c r="BB668" t="s">
        <v>2761</v>
      </c>
      <c r="BC668"/>
      <c r="BD668"/>
      <c r="BE668"/>
      <c r="BF668" t="s">
        <v>4582</v>
      </c>
    </row>
    <row r="669" spans="1:58" ht="15" customHeight="1">
      <c r="A669" s="50"/>
      <c r="B669" s="38"/>
      <c r="C669" s="44" t="s">
        <v>2516</v>
      </c>
      <c r="D669" s="813" t="str">
        <f>IF(CNSIPEE_2024_M2_Secc1!D42="","",CNSIPEE_2024_M2_Secc1!D42)</f>
        <v/>
      </c>
      <c r="E669" s="814"/>
      <c r="F669" s="814"/>
      <c r="G669" s="814"/>
      <c r="H669" s="814"/>
      <c r="I669" s="814"/>
      <c r="J669" s="814"/>
      <c r="K669" s="814"/>
      <c r="L669" s="815"/>
      <c r="M669" s="100"/>
      <c r="N669" s="100"/>
      <c r="O669" s="100"/>
      <c r="P669" s="100"/>
      <c r="Q669" s="100"/>
      <c r="R669" s="100"/>
      <c r="S669" s="100"/>
      <c r="T669" s="100"/>
      <c r="U669" s="100"/>
      <c r="V669" s="100"/>
      <c r="W669" s="100"/>
      <c r="X669" s="100"/>
      <c r="Y669" s="100"/>
      <c r="Z669" s="100"/>
      <c r="AA669" s="100"/>
      <c r="AB669" s="100"/>
      <c r="AC669" s="100"/>
      <c r="AD669" s="100"/>
      <c r="AG669">
        <f>IF(OR($M40=0,$M40="NS",$M40="NA",COUNTBLANK(D669:AD669)=27),0,IF(COUNTBLANK(D669)=1,1,IF(COUNTA(M669:AD669)=18,0,1)))</f>
        <v>0</v>
      </c>
      <c r="AH669">
        <f>IF(OR($M40=0,$M40="NS",$M40="NA"),IF(COUNTA(M669:AD669)=0,0,1),0)</f>
        <v>0</v>
      </c>
      <c r="AI669"/>
      <c r="AJ669"/>
      <c r="AK669">
        <f t="shared" ref="AK669" si="635">COUNTIF(N669:O669,"NS")</f>
        <v>0</v>
      </c>
      <c r="AL669">
        <f t="shared" ref="AL669" si="636">SUM(N669:O669)</f>
        <v>0</v>
      </c>
      <c r="AM669">
        <f t="shared" ref="AM669" si="637">IF(COUNTIF(M669:O669,"NA")=3,0,IF(COUNTA(M669:O669)=0,0,IF(OR(AND(M669=0,AK669&gt;0),AND(M669="ns",AL669&gt;0),AND(M669="ns",AK669=0,AL669=0)),1,IF(OR(AND(M669&gt;0,AK669=2),AND(M669="ns",AK669=2),AND(M669="ns",AL669=0,AK669&gt;0),M669=AL669),0,1))))</f>
        <v>0</v>
      </c>
      <c r="AN669">
        <f t="shared" ref="AN669" si="638">COUNTIF(Q669:R669,"NS")</f>
        <v>0</v>
      </c>
      <c r="AO669">
        <f t="shared" ref="AO669" si="639">SUM(Q669:R669)</f>
        <v>0</v>
      </c>
      <c r="AP669">
        <f t="shared" ref="AP669" si="640">IF(COUNTIF(P669:R669,"NA")=3,0,IF(COUNTA(P669:R669)=0,0,IF(OR(AND(P669=0,AN669&gt;0),AND(P669="ns",AO669&gt;0),AND(P669="ns",AN669=0,AO669=0)),1,IF(OR(AND(P669&gt;0,AN669=2),AND(P669="ns",AN669=2),AND(P669="ns",AO669=0,AN669&gt;0),P669=AO669),0,1))))</f>
        <v>0</v>
      </c>
      <c r="AQ669">
        <f t="shared" ref="AQ669" si="641">COUNTIF(T669:U669,"NS")</f>
        <v>0</v>
      </c>
      <c r="AR669">
        <f t="shared" ref="AR669" si="642">SUM(T669:U669)</f>
        <v>0</v>
      </c>
      <c r="AS669">
        <f t="shared" ref="AS669" si="643">IF(COUNTIF(S669:U669,"NA")=3,0,IF(COUNTA(S669:U669)=0,0,IF(OR(AND(S669=0,AQ669&gt;0),AND(S669="ns",AR669&gt;0),AND(S669="ns",AQ669=0,AR669=0)),1,IF(OR(AND(S669&gt;0,AQ669=2),AND(S669="ns",AQ669=2),AND(S669="ns",AR669=0,AQ669&gt;0),S669=AR669),0,1))))</f>
        <v>0</v>
      </c>
      <c r="AT669">
        <f t="shared" ref="AT669" si="644">COUNTIF(W669:X669,"NS")</f>
        <v>0</v>
      </c>
      <c r="AU669">
        <f t="shared" ref="AU669" si="645">SUM(W669:X669)</f>
        <v>0</v>
      </c>
      <c r="AV669">
        <f t="shared" ref="AV669" si="646">IF(COUNTIF(V669:X669,"NA")=3,0,IF(COUNTA(V669:X669)=0,0,IF(OR(AND(V669=0,AT669&gt;0),AND(V669="ns",AU669&gt;0),AND(V669="ns",AT669=0,AU669=0)),1,IF(OR(AND(V669&gt;0,AT669=2),AND(V669="ns",AT669=2),AND(V669="ns",AU669=0,AT669&gt;0),V669=AU669),0,1))))</f>
        <v>0</v>
      </c>
      <c r="AW669">
        <f t="shared" ref="AW669" si="647">COUNTIF(Z669:AA669,"NS")</f>
        <v>0</v>
      </c>
      <c r="AX669">
        <f t="shared" ref="AX669" si="648">SUM(Z669:AA669)</f>
        <v>0</v>
      </c>
      <c r="AY669">
        <f t="shared" ref="AY669" si="649">IF(COUNTIF(Y669:AA669,"NA")=3,0,IF(COUNTA(Y669:AA669)=0,0,IF(OR(AND(Y669=0,AW669&gt;0),AND(Y669="ns",AX669&gt;0),AND(Y669="ns",AW669=0,AX669=0)),1,IF(OR(AND(Y669&gt;0,AW669=2),AND(Y669="ns",AW669=2),AND(Y669="ns",AX669=0,AW669&gt;0),Y669=AX669),0,1))))</f>
        <v>0</v>
      </c>
      <c r="AZ669">
        <f t="shared" ref="AZ669" si="650">COUNTIF(AC669:AD669,"NS")</f>
        <v>0</v>
      </c>
      <c r="BA669">
        <f t="shared" ref="BA669" si="651">SUM(AC669:AD669)</f>
        <v>0</v>
      </c>
      <c r="BB669">
        <f t="shared" ref="BB669" si="652">IF(COUNTIF(AB669:AD669,"NA")=3,0,IF(COUNTA(AB669:AD669)=0,0,IF(OR(AND(AB669=0,AZ669&gt;0),AND(AB669="ns",BA669&gt;0),AND(AB669="ns",AZ669=0,BA669=0)),1,IF(OR(AND(AB669&gt;0,AZ669=2),AND(AB669="ns",AZ669=2),AND(AB669="ns",BA669=0,AZ669&gt;0),AB669=BA669),0,1))))</f>
        <v>0</v>
      </c>
      <c r="BC669"/>
      <c r="BD669"/>
      <c r="BE669"/>
      <c r="BF669">
        <f>IF(OR($M40=0,$M40="NS",$M40="NA"),0,IF(AND(M40=M669,S40=N669,Y40=O669),0,1))</f>
        <v>0</v>
      </c>
    </row>
    <row r="670" spans="1:58" ht="15" customHeight="1">
      <c r="A670" s="50"/>
      <c r="B670" s="38"/>
      <c r="C670" s="97" t="s">
        <v>2517</v>
      </c>
      <c r="D670" s="813" t="str">
        <f>IF(CNSIPEE_2024_M2_Secc1!D43="","",CNSIPEE_2024_M2_Secc1!D43)</f>
        <v/>
      </c>
      <c r="E670" s="814"/>
      <c r="F670" s="814"/>
      <c r="G670" s="814"/>
      <c r="H670" s="814"/>
      <c r="I670" s="814"/>
      <c r="J670" s="814"/>
      <c r="K670" s="814"/>
      <c r="L670" s="815"/>
      <c r="M670" s="100"/>
      <c r="N670" s="100"/>
      <c r="O670" s="100"/>
      <c r="P670" s="100"/>
      <c r="Q670" s="100"/>
      <c r="R670" s="100"/>
      <c r="S670" s="100"/>
      <c r="T670" s="100"/>
      <c r="U670" s="100"/>
      <c r="V670" s="100"/>
      <c r="W670" s="100"/>
      <c r="X670" s="100"/>
      <c r="Y670" s="100"/>
      <c r="Z670" s="100"/>
      <c r="AA670" s="100"/>
      <c r="AB670" s="100"/>
      <c r="AC670" s="100"/>
      <c r="AD670" s="100"/>
      <c r="AG670">
        <f t="shared" ref="AG670:AG676" si="653">IF(OR($M41=0,$M41="NS",$M41="NA",COUNTBLANK(D670:AD670)=27),0,IF(COUNTBLANK(D670)=1,1,IF(COUNTA(M670:AD670)=18,0,1)))</f>
        <v>0</v>
      </c>
      <c r="AH670">
        <f t="shared" ref="AH670:AH676" si="654">IF(OR($M41=0,$M41="NS",$M41="NA"),IF(COUNTA(M670:AD670)=0,0,1),0)</f>
        <v>0</v>
      </c>
      <c r="AI670"/>
      <c r="AJ670"/>
      <c r="AK670">
        <f t="shared" ref="AK670:AK676" si="655">COUNTIF(N670:O670,"NS")</f>
        <v>0</v>
      </c>
      <c r="AL670">
        <f t="shared" ref="AL670:AL676" si="656">SUM(N670:O670)</f>
        <v>0</v>
      </c>
      <c r="AM670">
        <f t="shared" ref="AM670:AM676" si="657">IF(COUNTIF(M670:O670,"NA")=3,0,IF(COUNTA(M670:O670)=0,0,IF(OR(AND(M670=0,AK670&gt;0),AND(M670="ns",AL670&gt;0),AND(M670="ns",AK670=0,AL670=0)),1,IF(OR(AND(M670&gt;0,AK670=2),AND(M670="ns",AK670=2),AND(M670="ns",AL670=0,AK670&gt;0),M670=AL670),0,1))))</f>
        <v>0</v>
      </c>
      <c r="AN670">
        <f t="shared" ref="AN670:AN676" si="658">COUNTIF(Q670:R670,"NS")</f>
        <v>0</v>
      </c>
      <c r="AO670">
        <f t="shared" ref="AO670:AO676" si="659">SUM(Q670:R670)</f>
        <v>0</v>
      </c>
      <c r="AP670">
        <f t="shared" ref="AP670:AP676" si="660">IF(COUNTIF(P670:R670,"NA")=3,0,IF(COUNTA(P670:R670)=0,0,IF(OR(AND(P670=0,AN670&gt;0),AND(P670="ns",AO670&gt;0),AND(P670="ns",AN670=0,AO670=0)),1,IF(OR(AND(P670&gt;0,AN670=2),AND(P670="ns",AN670=2),AND(P670="ns",AO670=0,AN670&gt;0),P670=AO670),0,1))))</f>
        <v>0</v>
      </c>
      <c r="AQ670">
        <f t="shared" ref="AQ670:AQ676" si="661">COUNTIF(T670:U670,"NS")</f>
        <v>0</v>
      </c>
      <c r="AR670">
        <f t="shared" ref="AR670:AR676" si="662">SUM(T670:U670)</f>
        <v>0</v>
      </c>
      <c r="AS670">
        <f t="shared" ref="AS670:AS676" si="663">IF(COUNTIF(S670:U670,"NA")=3,0,IF(COUNTA(S670:U670)=0,0,IF(OR(AND(S670=0,AQ670&gt;0),AND(S670="ns",AR670&gt;0),AND(S670="ns",AQ670=0,AR670=0)),1,IF(OR(AND(S670&gt;0,AQ670=2),AND(S670="ns",AQ670=2),AND(S670="ns",AR670=0,AQ670&gt;0),S670=AR670),0,1))))</f>
        <v>0</v>
      </c>
      <c r="AT670">
        <f t="shared" ref="AT670:AT676" si="664">COUNTIF(W670:X670,"NS")</f>
        <v>0</v>
      </c>
      <c r="AU670">
        <f t="shared" ref="AU670:AU676" si="665">SUM(W670:X670)</f>
        <v>0</v>
      </c>
      <c r="AV670">
        <f t="shared" ref="AV670:AV676" si="666">IF(COUNTIF(V670:X670,"NA")=3,0,IF(COUNTA(V670:X670)=0,0,IF(OR(AND(V670=0,AT670&gt;0),AND(V670="ns",AU670&gt;0),AND(V670="ns",AT670=0,AU670=0)),1,IF(OR(AND(V670&gt;0,AT670=2),AND(V670="ns",AT670=2),AND(V670="ns",AU670=0,AT670&gt;0),V670=AU670),0,1))))</f>
        <v>0</v>
      </c>
      <c r="AW670">
        <f t="shared" ref="AW670:AW676" si="667">COUNTIF(Z670:AA670,"NS")</f>
        <v>0</v>
      </c>
      <c r="AX670">
        <f t="shared" ref="AX670:AX676" si="668">SUM(Z670:AA670)</f>
        <v>0</v>
      </c>
      <c r="AY670">
        <f t="shared" ref="AY670:AY676" si="669">IF(COUNTIF(Y670:AA670,"NA")=3,0,IF(COUNTA(Y670:AA670)=0,0,IF(OR(AND(Y670=0,AW670&gt;0),AND(Y670="ns",AX670&gt;0),AND(Y670="ns",AW670=0,AX670=0)),1,IF(OR(AND(Y670&gt;0,AW670=2),AND(Y670="ns",AW670=2),AND(Y670="ns",AX670=0,AW670&gt;0),Y670=AX670),0,1))))</f>
        <v>0</v>
      </c>
      <c r="AZ670">
        <f t="shared" ref="AZ670:AZ676" si="670">COUNTIF(AC670:AD670,"NS")</f>
        <v>0</v>
      </c>
      <c r="BA670">
        <f t="shared" ref="BA670:BA676" si="671">SUM(AC670:AD670)</f>
        <v>0</v>
      </c>
      <c r="BB670">
        <f t="shared" ref="BB670:BB676" si="672">IF(COUNTIF(AB670:AD670,"NA")=3,0,IF(COUNTA(AB670:AD670)=0,0,IF(OR(AND(AB670=0,AZ670&gt;0),AND(AB670="ns",BA670&gt;0),AND(AB670="ns",AZ670=0,BA670=0)),1,IF(OR(AND(AB670&gt;0,AZ670=2),AND(AB670="ns",AZ670=2),AND(AB670="ns",BA670=0,AZ670&gt;0),AB670=BA670),0,1))))</f>
        <v>0</v>
      </c>
      <c r="BC670"/>
      <c r="BD670"/>
      <c r="BE670"/>
      <c r="BF670">
        <f t="shared" ref="BF670:BF676" si="673">IF(OR($M41=0,$M41="NS",$M41="NA"),0,IF(AND(M41=M670,S41=N670,Y41=O670),0,1))</f>
        <v>0</v>
      </c>
    </row>
    <row r="671" spans="1:58" ht="15" customHeight="1">
      <c r="A671" s="166"/>
      <c r="B671" s="57"/>
      <c r="C671" s="98" t="s">
        <v>2518</v>
      </c>
      <c r="D671" s="813" t="str">
        <f>IF(CNSIPEE_2024_M2_Secc1!D44="","",CNSIPEE_2024_M2_Secc1!D44)</f>
        <v/>
      </c>
      <c r="E671" s="814"/>
      <c r="F671" s="814"/>
      <c r="G671" s="814"/>
      <c r="H671" s="814"/>
      <c r="I671" s="814"/>
      <c r="J671" s="814"/>
      <c r="K671" s="814"/>
      <c r="L671" s="815"/>
      <c r="M671" s="100"/>
      <c r="N671" s="100"/>
      <c r="O671" s="100"/>
      <c r="P671" s="100"/>
      <c r="Q671" s="100"/>
      <c r="R671" s="100"/>
      <c r="S671" s="100"/>
      <c r="T671" s="100"/>
      <c r="U671" s="100"/>
      <c r="V671" s="100"/>
      <c r="W671" s="100"/>
      <c r="X671" s="100"/>
      <c r="Y671" s="100"/>
      <c r="Z671" s="100"/>
      <c r="AA671" s="100"/>
      <c r="AB671" s="100"/>
      <c r="AC671" s="100"/>
      <c r="AD671" s="100"/>
      <c r="AG671">
        <f t="shared" si="653"/>
        <v>0</v>
      </c>
      <c r="AH671">
        <f t="shared" si="654"/>
        <v>0</v>
      </c>
      <c r="AI671"/>
      <c r="AJ671"/>
      <c r="AK671">
        <f t="shared" si="655"/>
        <v>0</v>
      </c>
      <c r="AL671">
        <f t="shared" si="656"/>
        <v>0</v>
      </c>
      <c r="AM671">
        <f t="shared" si="657"/>
        <v>0</v>
      </c>
      <c r="AN671">
        <f t="shared" si="658"/>
        <v>0</v>
      </c>
      <c r="AO671">
        <f t="shared" si="659"/>
        <v>0</v>
      </c>
      <c r="AP671">
        <f t="shared" si="660"/>
        <v>0</v>
      </c>
      <c r="AQ671">
        <f t="shared" si="661"/>
        <v>0</v>
      </c>
      <c r="AR671">
        <f t="shared" si="662"/>
        <v>0</v>
      </c>
      <c r="AS671">
        <f t="shared" si="663"/>
        <v>0</v>
      </c>
      <c r="AT671">
        <f t="shared" si="664"/>
        <v>0</v>
      </c>
      <c r="AU671">
        <f t="shared" si="665"/>
        <v>0</v>
      </c>
      <c r="AV671">
        <f t="shared" si="666"/>
        <v>0</v>
      </c>
      <c r="AW671">
        <f t="shared" si="667"/>
        <v>0</v>
      </c>
      <c r="AX671">
        <f t="shared" si="668"/>
        <v>0</v>
      </c>
      <c r="AY671">
        <f t="shared" si="669"/>
        <v>0</v>
      </c>
      <c r="AZ671">
        <f t="shared" si="670"/>
        <v>0</v>
      </c>
      <c r="BA671">
        <f t="shared" si="671"/>
        <v>0</v>
      </c>
      <c r="BB671">
        <f t="shared" si="672"/>
        <v>0</v>
      </c>
      <c r="BC671"/>
      <c r="BD671"/>
      <c r="BE671"/>
      <c r="BF671">
        <f t="shared" si="673"/>
        <v>0</v>
      </c>
    </row>
    <row r="672" spans="1:58" ht="15" customHeight="1">
      <c r="A672" s="166"/>
      <c r="B672" s="57"/>
      <c r="C672" s="98" t="s">
        <v>2519</v>
      </c>
      <c r="D672" s="813" t="str">
        <f>IF(CNSIPEE_2024_M2_Secc1!D45="","",CNSIPEE_2024_M2_Secc1!D45)</f>
        <v/>
      </c>
      <c r="E672" s="814"/>
      <c r="F672" s="814"/>
      <c r="G672" s="814"/>
      <c r="H672" s="814"/>
      <c r="I672" s="814"/>
      <c r="J672" s="814"/>
      <c r="K672" s="814"/>
      <c r="L672" s="815"/>
      <c r="M672" s="100"/>
      <c r="N672" s="100"/>
      <c r="O672" s="100"/>
      <c r="P672" s="100"/>
      <c r="Q672" s="100"/>
      <c r="R672" s="100"/>
      <c r="S672" s="100"/>
      <c r="T672" s="100"/>
      <c r="U672" s="100"/>
      <c r="V672" s="100"/>
      <c r="W672" s="100"/>
      <c r="X672" s="100"/>
      <c r="Y672" s="100"/>
      <c r="Z672" s="100"/>
      <c r="AA672" s="100"/>
      <c r="AB672" s="100"/>
      <c r="AC672" s="100"/>
      <c r="AD672" s="100"/>
      <c r="AG672">
        <f t="shared" si="653"/>
        <v>0</v>
      </c>
      <c r="AH672">
        <f t="shared" si="654"/>
        <v>0</v>
      </c>
      <c r="AI672"/>
      <c r="AJ672"/>
      <c r="AK672">
        <f t="shared" si="655"/>
        <v>0</v>
      </c>
      <c r="AL672">
        <f t="shared" si="656"/>
        <v>0</v>
      </c>
      <c r="AM672">
        <f t="shared" si="657"/>
        <v>0</v>
      </c>
      <c r="AN672">
        <f t="shared" si="658"/>
        <v>0</v>
      </c>
      <c r="AO672">
        <f t="shared" si="659"/>
        <v>0</v>
      </c>
      <c r="AP672">
        <f t="shared" si="660"/>
        <v>0</v>
      </c>
      <c r="AQ672">
        <f t="shared" si="661"/>
        <v>0</v>
      </c>
      <c r="AR672">
        <f t="shared" si="662"/>
        <v>0</v>
      </c>
      <c r="AS672">
        <f t="shared" si="663"/>
        <v>0</v>
      </c>
      <c r="AT672">
        <f t="shared" si="664"/>
        <v>0</v>
      </c>
      <c r="AU672">
        <f t="shared" si="665"/>
        <v>0</v>
      </c>
      <c r="AV672">
        <f t="shared" si="666"/>
        <v>0</v>
      </c>
      <c r="AW672">
        <f t="shared" si="667"/>
        <v>0</v>
      </c>
      <c r="AX672">
        <f t="shared" si="668"/>
        <v>0</v>
      </c>
      <c r="AY672">
        <f t="shared" si="669"/>
        <v>0</v>
      </c>
      <c r="AZ672">
        <f t="shared" si="670"/>
        <v>0</v>
      </c>
      <c r="BA672">
        <f t="shared" si="671"/>
        <v>0</v>
      </c>
      <c r="BB672">
        <f t="shared" si="672"/>
        <v>0</v>
      </c>
      <c r="BC672"/>
      <c r="BD672"/>
      <c r="BE672"/>
      <c r="BF672">
        <f t="shared" si="673"/>
        <v>0</v>
      </c>
    </row>
    <row r="673" spans="1:58" ht="15" customHeight="1">
      <c r="A673" s="166"/>
      <c r="B673" s="57"/>
      <c r="C673" s="98" t="s">
        <v>2520</v>
      </c>
      <c r="D673" s="813" t="str">
        <f>IF(CNSIPEE_2024_M2_Secc1!D46="","",CNSIPEE_2024_M2_Secc1!D46)</f>
        <v/>
      </c>
      <c r="E673" s="814"/>
      <c r="F673" s="814"/>
      <c r="G673" s="814"/>
      <c r="H673" s="814"/>
      <c r="I673" s="814"/>
      <c r="J673" s="814"/>
      <c r="K673" s="814"/>
      <c r="L673" s="815"/>
      <c r="M673" s="100"/>
      <c r="N673" s="100"/>
      <c r="O673" s="100"/>
      <c r="P673" s="100"/>
      <c r="Q673" s="100"/>
      <c r="R673" s="100"/>
      <c r="S673" s="100"/>
      <c r="T673" s="100"/>
      <c r="U673" s="100"/>
      <c r="V673" s="100"/>
      <c r="W673" s="100"/>
      <c r="X673" s="100"/>
      <c r="Y673" s="100"/>
      <c r="Z673" s="100"/>
      <c r="AA673" s="100"/>
      <c r="AB673" s="100"/>
      <c r="AC673" s="100"/>
      <c r="AD673" s="100"/>
      <c r="AG673">
        <f t="shared" si="653"/>
        <v>0</v>
      </c>
      <c r="AH673">
        <f t="shared" si="654"/>
        <v>0</v>
      </c>
      <c r="AI673"/>
      <c r="AJ673"/>
      <c r="AK673">
        <f t="shared" si="655"/>
        <v>0</v>
      </c>
      <c r="AL673">
        <f t="shared" si="656"/>
        <v>0</v>
      </c>
      <c r="AM673">
        <f t="shared" si="657"/>
        <v>0</v>
      </c>
      <c r="AN673">
        <f t="shared" si="658"/>
        <v>0</v>
      </c>
      <c r="AO673">
        <f t="shared" si="659"/>
        <v>0</v>
      </c>
      <c r="AP673">
        <f t="shared" si="660"/>
        <v>0</v>
      </c>
      <c r="AQ673">
        <f t="shared" si="661"/>
        <v>0</v>
      </c>
      <c r="AR673">
        <f t="shared" si="662"/>
        <v>0</v>
      </c>
      <c r="AS673">
        <f t="shared" si="663"/>
        <v>0</v>
      </c>
      <c r="AT673">
        <f t="shared" si="664"/>
        <v>0</v>
      </c>
      <c r="AU673">
        <f t="shared" si="665"/>
        <v>0</v>
      </c>
      <c r="AV673">
        <f t="shared" si="666"/>
        <v>0</v>
      </c>
      <c r="AW673">
        <f t="shared" si="667"/>
        <v>0</v>
      </c>
      <c r="AX673">
        <f t="shared" si="668"/>
        <v>0</v>
      </c>
      <c r="AY673">
        <f t="shared" si="669"/>
        <v>0</v>
      </c>
      <c r="AZ673">
        <f t="shared" si="670"/>
        <v>0</v>
      </c>
      <c r="BA673">
        <f t="shared" si="671"/>
        <v>0</v>
      </c>
      <c r="BB673">
        <f t="shared" si="672"/>
        <v>0</v>
      </c>
      <c r="BC673"/>
      <c r="BD673"/>
      <c r="BE673"/>
      <c r="BF673">
        <f t="shared" si="673"/>
        <v>0</v>
      </c>
    </row>
    <row r="674" spans="1:58" ht="15" customHeight="1">
      <c r="A674" s="166"/>
      <c r="B674" s="57"/>
      <c r="C674" s="98" t="s">
        <v>2521</v>
      </c>
      <c r="D674" s="813" t="str">
        <f>IF(CNSIPEE_2024_M2_Secc1!D47="","",CNSIPEE_2024_M2_Secc1!D47)</f>
        <v/>
      </c>
      <c r="E674" s="814"/>
      <c r="F674" s="814"/>
      <c r="G674" s="814"/>
      <c r="H674" s="814"/>
      <c r="I674" s="814"/>
      <c r="J674" s="814"/>
      <c r="K674" s="814"/>
      <c r="L674" s="815"/>
      <c r="M674" s="100"/>
      <c r="N674" s="100"/>
      <c r="O674" s="100"/>
      <c r="P674" s="100"/>
      <c r="Q674" s="100"/>
      <c r="R674" s="100"/>
      <c r="S674" s="100"/>
      <c r="T674" s="100"/>
      <c r="U674" s="100"/>
      <c r="V674" s="100"/>
      <c r="W674" s="100"/>
      <c r="X674" s="100"/>
      <c r="Y674" s="100"/>
      <c r="Z674" s="100"/>
      <c r="AA674" s="100"/>
      <c r="AB674" s="100"/>
      <c r="AC674" s="100"/>
      <c r="AD674" s="100"/>
      <c r="AG674">
        <f t="shared" si="653"/>
        <v>0</v>
      </c>
      <c r="AH674">
        <f t="shared" si="654"/>
        <v>0</v>
      </c>
      <c r="AI674"/>
      <c r="AJ674"/>
      <c r="AK674">
        <f t="shared" si="655"/>
        <v>0</v>
      </c>
      <c r="AL674">
        <f t="shared" si="656"/>
        <v>0</v>
      </c>
      <c r="AM674">
        <f t="shared" si="657"/>
        <v>0</v>
      </c>
      <c r="AN674">
        <f t="shared" si="658"/>
        <v>0</v>
      </c>
      <c r="AO674">
        <f t="shared" si="659"/>
        <v>0</v>
      </c>
      <c r="AP674">
        <f t="shared" si="660"/>
        <v>0</v>
      </c>
      <c r="AQ674">
        <f t="shared" si="661"/>
        <v>0</v>
      </c>
      <c r="AR674">
        <f t="shared" si="662"/>
        <v>0</v>
      </c>
      <c r="AS674">
        <f t="shared" si="663"/>
        <v>0</v>
      </c>
      <c r="AT674">
        <f t="shared" si="664"/>
        <v>0</v>
      </c>
      <c r="AU674">
        <f t="shared" si="665"/>
        <v>0</v>
      </c>
      <c r="AV674">
        <f t="shared" si="666"/>
        <v>0</v>
      </c>
      <c r="AW674">
        <f t="shared" si="667"/>
        <v>0</v>
      </c>
      <c r="AX674">
        <f t="shared" si="668"/>
        <v>0</v>
      </c>
      <c r="AY674">
        <f t="shared" si="669"/>
        <v>0</v>
      </c>
      <c r="AZ674">
        <f t="shared" si="670"/>
        <v>0</v>
      </c>
      <c r="BA674">
        <f t="shared" si="671"/>
        <v>0</v>
      </c>
      <c r="BB674">
        <f t="shared" si="672"/>
        <v>0</v>
      </c>
      <c r="BC674"/>
      <c r="BD674"/>
      <c r="BE674"/>
      <c r="BF674">
        <f t="shared" si="673"/>
        <v>0</v>
      </c>
    </row>
    <row r="675" spans="1:58" ht="15" customHeight="1">
      <c r="A675" s="166"/>
      <c r="B675" s="57"/>
      <c r="C675" s="98" t="s">
        <v>2522</v>
      </c>
      <c r="D675" s="813" t="str">
        <f>IF(CNSIPEE_2024_M2_Secc1!D48="","",CNSIPEE_2024_M2_Secc1!D48)</f>
        <v/>
      </c>
      <c r="E675" s="814"/>
      <c r="F675" s="814"/>
      <c r="G675" s="814"/>
      <c r="H675" s="814"/>
      <c r="I675" s="814"/>
      <c r="J675" s="814"/>
      <c r="K675" s="814"/>
      <c r="L675" s="815"/>
      <c r="M675" s="100"/>
      <c r="N675" s="100"/>
      <c r="O675" s="100"/>
      <c r="P675" s="100"/>
      <c r="Q675" s="100"/>
      <c r="R675" s="100"/>
      <c r="S675" s="100"/>
      <c r="T675" s="100"/>
      <c r="U675" s="100"/>
      <c r="V675" s="100"/>
      <c r="W675" s="100"/>
      <c r="X675" s="100"/>
      <c r="Y675" s="100"/>
      <c r="Z675" s="100"/>
      <c r="AA675" s="100"/>
      <c r="AB675" s="100"/>
      <c r="AC675" s="100"/>
      <c r="AD675" s="100"/>
      <c r="AG675">
        <f t="shared" si="653"/>
        <v>0</v>
      </c>
      <c r="AH675">
        <f t="shared" si="654"/>
        <v>0</v>
      </c>
      <c r="AI675"/>
      <c r="AJ675"/>
      <c r="AK675">
        <f t="shared" si="655"/>
        <v>0</v>
      </c>
      <c r="AL675">
        <f t="shared" si="656"/>
        <v>0</v>
      </c>
      <c r="AM675">
        <f t="shared" si="657"/>
        <v>0</v>
      </c>
      <c r="AN675">
        <f t="shared" si="658"/>
        <v>0</v>
      </c>
      <c r="AO675">
        <f t="shared" si="659"/>
        <v>0</v>
      </c>
      <c r="AP675">
        <f t="shared" si="660"/>
        <v>0</v>
      </c>
      <c r="AQ675">
        <f t="shared" si="661"/>
        <v>0</v>
      </c>
      <c r="AR675">
        <f t="shared" si="662"/>
        <v>0</v>
      </c>
      <c r="AS675">
        <f t="shared" si="663"/>
        <v>0</v>
      </c>
      <c r="AT675">
        <f t="shared" si="664"/>
        <v>0</v>
      </c>
      <c r="AU675">
        <f t="shared" si="665"/>
        <v>0</v>
      </c>
      <c r="AV675">
        <f t="shared" si="666"/>
        <v>0</v>
      </c>
      <c r="AW675">
        <f t="shared" si="667"/>
        <v>0</v>
      </c>
      <c r="AX675">
        <f t="shared" si="668"/>
        <v>0</v>
      </c>
      <c r="AY675">
        <f t="shared" si="669"/>
        <v>0</v>
      </c>
      <c r="AZ675">
        <f t="shared" si="670"/>
        <v>0</v>
      </c>
      <c r="BA675">
        <f t="shared" si="671"/>
        <v>0</v>
      </c>
      <c r="BB675">
        <f t="shared" si="672"/>
        <v>0</v>
      </c>
      <c r="BC675"/>
      <c r="BD675"/>
      <c r="BE675"/>
      <c r="BF675">
        <f t="shared" si="673"/>
        <v>0</v>
      </c>
    </row>
    <row r="676" spans="1:58" ht="15" customHeight="1">
      <c r="A676" s="166"/>
      <c r="B676" s="57"/>
      <c r="C676" s="98" t="s">
        <v>2523</v>
      </c>
      <c r="D676" s="813" t="str">
        <f>IF(CNSIPEE_2024_M2_Secc1!D49="","",CNSIPEE_2024_M2_Secc1!D49)</f>
        <v/>
      </c>
      <c r="E676" s="814"/>
      <c r="F676" s="814"/>
      <c r="G676" s="814"/>
      <c r="H676" s="814"/>
      <c r="I676" s="814"/>
      <c r="J676" s="814"/>
      <c r="K676" s="814"/>
      <c r="L676" s="815"/>
      <c r="M676" s="100"/>
      <c r="N676" s="100"/>
      <c r="O676" s="100"/>
      <c r="P676" s="100"/>
      <c r="Q676" s="100"/>
      <c r="R676" s="100"/>
      <c r="S676" s="100"/>
      <c r="T676" s="100"/>
      <c r="U676" s="100"/>
      <c r="V676" s="100"/>
      <c r="W676" s="100"/>
      <c r="X676" s="100"/>
      <c r="Y676" s="100"/>
      <c r="Z676" s="100"/>
      <c r="AA676" s="100"/>
      <c r="AB676" s="100"/>
      <c r="AC676" s="100"/>
      <c r="AD676" s="100"/>
      <c r="AG676">
        <f t="shared" si="653"/>
        <v>0</v>
      </c>
      <c r="AH676">
        <f t="shared" si="654"/>
        <v>0</v>
      </c>
      <c r="AI676"/>
      <c r="AJ676"/>
      <c r="AK676">
        <f t="shared" si="655"/>
        <v>0</v>
      </c>
      <c r="AL676">
        <f t="shared" si="656"/>
        <v>0</v>
      </c>
      <c r="AM676">
        <f t="shared" si="657"/>
        <v>0</v>
      </c>
      <c r="AN676">
        <f t="shared" si="658"/>
        <v>0</v>
      </c>
      <c r="AO676">
        <f t="shared" si="659"/>
        <v>0</v>
      </c>
      <c r="AP676">
        <f t="shared" si="660"/>
        <v>0</v>
      </c>
      <c r="AQ676">
        <f t="shared" si="661"/>
        <v>0</v>
      </c>
      <c r="AR676">
        <f t="shared" si="662"/>
        <v>0</v>
      </c>
      <c r="AS676">
        <f t="shared" si="663"/>
        <v>0</v>
      </c>
      <c r="AT676">
        <f t="shared" si="664"/>
        <v>0</v>
      </c>
      <c r="AU676">
        <f t="shared" si="665"/>
        <v>0</v>
      </c>
      <c r="AV676">
        <f t="shared" si="666"/>
        <v>0</v>
      </c>
      <c r="AW676">
        <f t="shared" si="667"/>
        <v>0</v>
      </c>
      <c r="AX676">
        <f t="shared" si="668"/>
        <v>0</v>
      </c>
      <c r="AY676">
        <f t="shared" si="669"/>
        <v>0</v>
      </c>
      <c r="AZ676">
        <f t="shared" si="670"/>
        <v>0</v>
      </c>
      <c r="BA676">
        <f t="shared" si="671"/>
        <v>0</v>
      </c>
      <c r="BB676">
        <f t="shared" si="672"/>
        <v>0</v>
      </c>
      <c r="BC676"/>
      <c r="BD676"/>
      <c r="BE676"/>
      <c r="BF676">
        <f t="shared" si="673"/>
        <v>0</v>
      </c>
    </row>
    <row r="677" spans="1:58" ht="15" customHeight="1">
      <c r="A677" s="50"/>
      <c r="B677" s="38"/>
      <c r="C677" s="38"/>
      <c r="D677" s="38"/>
      <c r="E677" s="38"/>
      <c r="F677" s="38"/>
      <c r="G677" s="38"/>
      <c r="H677" s="38"/>
      <c r="I677" s="38"/>
      <c r="J677" s="38"/>
      <c r="K677" s="38"/>
      <c r="L677" s="99" t="s">
        <v>2649</v>
      </c>
      <c r="M677" s="124">
        <f t="shared" ref="M677:AD677" si="674">IF(AND(SUM(M669:M676)=0,COUNTIF(M669:M676,"NS")&gt;0),"NS",IF(AND(SUM(M669:M676)=0,COUNTIF(M669:M676,0)&gt;0),0,IF(AND(SUM(M669:M676)=0,COUNTIF(M669:M676,"NA")&gt;0),"NA",SUM(M669:M676))))</f>
        <v>0</v>
      </c>
      <c r="N677" s="124">
        <f t="shared" si="674"/>
        <v>0</v>
      </c>
      <c r="O677" s="124">
        <f t="shared" si="674"/>
        <v>0</v>
      </c>
      <c r="P677" s="124">
        <f t="shared" si="674"/>
        <v>0</v>
      </c>
      <c r="Q677" s="124">
        <f t="shared" si="674"/>
        <v>0</v>
      </c>
      <c r="R677" s="124">
        <f t="shared" si="674"/>
        <v>0</v>
      </c>
      <c r="S677" s="124">
        <f t="shared" si="674"/>
        <v>0</v>
      </c>
      <c r="T677" s="124">
        <f t="shared" si="674"/>
        <v>0</v>
      </c>
      <c r="U677" s="124">
        <f t="shared" si="674"/>
        <v>0</v>
      </c>
      <c r="V677" s="124">
        <f t="shared" si="674"/>
        <v>0</v>
      </c>
      <c r="W677" s="124">
        <f t="shared" si="674"/>
        <v>0</v>
      </c>
      <c r="X677" s="124">
        <f t="shared" si="674"/>
        <v>0</v>
      </c>
      <c r="Y677" s="124">
        <f t="shared" si="674"/>
        <v>0</v>
      </c>
      <c r="Z677" s="124">
        <f t="shared" si="674"/>
        <v>0</v>
      </c>
      <c r="AA677" s="124">
        <f t="shared" si="674"/>
        <v>0</v>
      </c>
      <c r="AB677" s="124">
        <f t="shared" si="674"/>
        <v>0</v>
      </c>
      <c r="AC677" s="124">
        <f t="shared" si="674"/>
        <v>0</v>
      </c>
      <c r="AD677" s="124">
        <f t="shared" si="674"/>
        <v>0</v>
      </c>
      <c r="AG677" s="507">
        <f>SUM(AG669:AG676)</f>
        <v>0</v>
      </c>
      <c r="AH677" s="507">
        <f>SUM(AH669:AH676)</f>
        <v>0</v>
      </c>
      <c r="AJ677"/>
      <c r="AK677">
        <f>SUM(AK669:AK676)</f>
        <v>0</v>
      </c>
      <c r="AM677">
        <f>SUM(AM669:AM676)</f>
        <v>0</v>
      </c>
      <c r="AN677">
        <f>SUM(AN669:AN676)</f>
        <v>0</v>
      </c>
      <c r="AP677">
        <f>SUM(AP669:AP676)</f>
        <v>0</v>
      </c>
      <c r="AQ677">
        <f>SUM(AQ669:AQ676)</f>
        <v>0</v>
      </c>
      <c r="AS677">
        <f>SUM(AS669:AS676)</f>
        <v>0</v>
      </c>
      <c r="AT677">
        <f>SUM(AT669:AT676)</f>
        <v>0</v>
      </c>
      <c r="AV677">
        <f>SUM(AV669:AV676)</f>
        <v>0</v>
      </c>
      <c r="AW677">
        <f>SUM(AW669:AW676)</f>
        <v>0</v>
      </c>
      <c r="AY677">
        <f>SUM(AY669:AY676)</f>
        <v>0</v>
      </c>
      <c r="AZ677">
        <f>SUM(AZ669:AZ676)</f>
        <v>0</v>
      </c>
      <c r="BB677">
        <f>SUM(BB669:BB676)</f>
        <v>0</v>
      </c>
      <c r="BC677"/>
      <c r="BD677"/>
      <c r="BE677"/>
      <c r="BF677" s="506">
        <f>SUM(BF669:BF676)</f>
        <v>0</v>
      </c>
    </row>
    <row r="678" spans="1:58" ht="15" customHeight="1">
      <c r="A678" s="108"/>
      <c r="B678" s="38"/>
      <c r="C678" s="38"/>
      <c r="D678" s="38"/>
      <c r="E678" s="38"/>
      <c r="F678" s="38"/>
      <c r="G678" s="38"/>
      <c r="H678" s="38"/>
      <c r="I678" s="38"/>
      <c r="J678" s="38"/>
      <c r="K678" s="38"/>
      <c r="L678" s="117"/>
      <c r="M678" s="141"/>
      <c r="N678" s="141"/>
      <c r="O678" s="70"/>
      <c r="P678" s="70"/>
      <c r="Q678" s="70"/>
      <c r="R678" s="70"/>
      <c r="S678" s="141"/>
      <c r="T678" s="141"/>
      <c r="U678" s="70"/>
      <c r="V678" s="70"/>
      <c r="W678" s="141"/>
      <c r="X678" s="141"/>
      <c r="Y678" s="70"/>
      <c r="Z678" s="70"/>
      <c r="AA678" s="141"/>
      <c r="AB678" s="141"/>
      <c r="AC678" s="70"/>
      <c r="AD678" s="70"/>
      <c r="AG678"/>
      <c r="AH678"/>
      <c r="AI678"/>
      <c r="AJ678"/>
      <c r="AK678" t="s">
        <v>2650</v>
      </c>
      <c r="AL678" s="506">
        <f>SUM(AM677,AP677,AS677,AV677,AY677,BB677)</f>
        <v>0</v>
      </c>
      <c r="AM678" t="s">
        <v>2651</v>
      </c>
      <c r="AN678">
        <f>SUM(AK677,AN677,AQ677,AT677,AW677,AZ677)</f>
        <v>0</v>
      </c>
      <c r="BC678"/>
      <c r="BD678"/>
      <c r="BE678"/>
      <c r="BF678"/>
    </row>
    <row r="679" spans="1:58" ht="24" customHeight="1">
      <c r="A679" s="108"/>
      <c r="B679" s="38"/>
      <c r="C679" s="754" t="s">
        <v>2611</v>
      </c>
      <c r="D679" s="754"/>
      <c r="E679" s="754"/>
      <c r="F679" s="754"/>
      <c r="G679" s="754"/>
      <c r="H679" s="754"/>
      <c r="I679" s="754"/>
      <c r="J679" s="754"/>
      <c r="K679" s="754"/>
      <c r="L679" s="754"/>
      <c r="M679" s="754"/>
      <c r="N679" s="754"/>
      <c r="O679" s="754"/>
      <c r="P679" s="754"/>
      <c r="Q679" s="754"/>
      <c r="R679" s="754"/>
      <c r="S679" s="754"/>
      <c r="T679" s="754"/>
      <c r="U679" s="754"/>
      <c r="V679" s="754"/>
      <c r="W679" s="754"/>
      <c r="X679" s="754"/>
      <c r="Y679" s="754"/>
      <c r="Z679" s="754"/>
      <c r="AA679" s="754"/>
      <c r="AB679" s="754"/>
      <c r="AC679" s="754"/>
      <c r="AD679" s="754"/>
      <c r="AG679"/>
      <c r="AH679"/>
      <c r="AI679"/>
      <c r="AJ679"/>
      <c r="AK679" t="s">
        <v>2652</v>
      </c>
      <c r="AL679" s="506">
        <f>IF(AN678&gt;0,IF(SUM(M677)&gt;=SUM(P677,S677,V677,Y677,AB677),0,1),IF(SUM(M677)&lt;&gt;SUM(P677,S677,V677,Y677,AB677),1,0))</f>
        <v>0</v>
      </c>
      <c r="AM679" t="s">
        <v>2653</v>
      </c>
      <c r="AN679" s="506">
        <f>IF(AN678&gt;0,IF(SUM(N677)&gt;=SUM(Q677,T677,W677,Z677,AC677),0,1),IF(SUM(N677)&lt;&gt;SUM(Q677,T677,W677,Z677,AC677),1,0))</f>
        <v>0</v>
      </c>
      <c r="AO679" t="s">
        <v>2654</v>
      </c>
      <c r="AP679" s="506">
        <f>IF(AN678&gt;0,IF(SUM(O677)&gt;=SUM(R677,U677,X677,AA677,AD677),0,1),IF(SUM(O677)&lt;&gt;SUM(R677,U677,X677,AA677,AD677),1,0))</f>
        <v>0</v>
      </c>
      <c r="BC679"/>
      <c r="BD679"/>
      <c r="BE679"/>
      <c r="BF679"/>
    </row>
    <row r="680" spans="1:58" ht="60" customHeight="1">
      <c r="A680" s="108"/>
      <c r="B680" s="38"/>
      <c r="C680" s="851"/>
      <c r="D680" s="851"/>
      <c r="E680" s="851"/>
      <c r="F680" s="851"/>
      <c r="G680" s="851"/>
      <c r="H680" s="851"/>
      <c r="I680" s="851"/>
      <c r="J680" s="851"/>
      <c r="K680" s="851"/>
      <c r="L680" s="851"/>
      <c r="M680" s="851"/>
      <c r="N680" s="851"/>
      <c r="O680" s="851"/>
      <c r="P680" s="851"/>
      <c r="Q680" s="851"/>
      <c r="R680" s="851"/>
      <c r="S680" s="851"/>
      <c r="T680" s="851"/>
      <c r="U680" s="851"/>
      <c r="V680" s="851"/>
      <c r="W680" s="851"/>
      <c r="X680" s="851"/>
      <c r="Y680" s="851"/>
      <c r="Z680" s="851"/>
      <c r="AA680" s="851"/>
      <c r="AB680" s="851"/>
      <c r="AC680" s="851"/>
      <c r="AD680" s="851"/>
    </row>
    <row r="681" spans="1:58" ht="15" customHeight="1">
      <c r="A681" s="176"/>
      <c r="B681" s="794" t="str">
        <f>IF(AG677=0,"","Favor de ingresar toda la información requerida en la pregunta")</f>
        <v/>
      </c>
      <c r="C681" s="794"/>
      <c r="D681" s="794"/>
      <c r="E681" s="794"/>
      <c r="F681" s="794"/>
      <c r="G681" s="794"/>
      <c r="H681" s="794"/>
      <c r="I681" s="794"/>
      <c r="J681" s="794"/>
      <c r="K681" s="794"/>
      <c r="L681" s="794"/>
      <c r="M681" s="794"/>
      <c r="N681" s="794"/>
      <c r="O681" s="794"/>
      <c r="P681" s="794"/>
      <c r="Q681" s="794"/>
      <c r="R681" s="794"/>
      <c r="S681" s="794"/>
      <c r="T681" s="794"/>
      <c r="U681" s="794"/>
      <c r="V681" s="794"/>
      <c r="W681" s="794"/>
      <c r="X681" s="794"/>
      <c r="Y681" s="794"/>
      <c r="Z681" s="794"/>
      <c r="AA681" s="794"/>
      <c r="AB681" s="794"/>
      <c r="AC681" s="794"/>
      <c r="AD681" s="794"/>
      <c r="AE681" s="794"/>
    </row>
    <row r="682" spans="1:58" ht="15" customHeight="1">
      <c r="A682" s="176"/>
      <c r="B682" s="1087" t="str">
        <f>IF(COUNTIF(M669:AD676,"NS")&lt;&gt;0,"Alerta: debido a que cuenta con registros NS, debe proporcionar una justificación en el area de comentarios al final de la pregunta","")</f>
        <v/>
      </c>
      <c r="C682" s="1087"/>
      <c r="D682" s="1087"/>
      <c r="E682" s="1087"/>
      <c r="F682" s="1087"/>
      <c r="G682" s="1087"/>
      <c r="H682" s="1087"/>
      <c r="I682" s="1087"/>
      <c r="J682" s="1087"/>
      <c r="K682" s="1087"/>
      <c r="L682" s="1087"/>
      <c r="M682" s="1087"/>
      <c r="N682" s="1087"/>
      <c r="O682" s="1087"/>
      <c r="P682" s="1087"/>
      <c r="Q682" s="1087"/>
      <c r="R682" s="1087"/>
      <c r="S682" s="1087"/>
      <c r="T682" s="1087"/>
      <c r="U682" s="1087"/>
      <c r="V682" s="1087"/>
      <c r="W682" s="1087"/>
      <c r="X682" s="1087"/>
      <c r="Y682" s="1087"/>
      <c r="Z682" s="1087"/>
      <c r="AA682" s="1087"/>
      <c r="AB682" s="1087"/>
      <c r="AC682" s="1087"/>
      <c r="AD682" s="1087"/>
      <c r="AE682" s="1087"/>
    </row>
    <row r="683" spans="1:58" ht="15" customHeight="1">
      <c r="A683" s="176"/>
      <c r="B683" s="1003" t="str">
        <f>IF(AH677&gt;0,"Revise la información capturada, ya que tiene datos ingresados en celdas que están sombreadas","")</f>
        <v/>
      </c>
      <c r="C683" s="1003"/>
      <c r="D683" s="1003"/>
      <c r="E683" s="1003"/>
      <c r="F683" s="1003"/>
      <c r="G683" s="1003"/>
      <c r="H683" s="1003"/>
      <c r="I683" s="1003"/>
      <c r="J683" s="1003"/>
      <c r="K683" s="1003"/>
      <c r="L683" s="1003"/>
      <c r="M683" s="1003"/>
      <c r="N683" s="1003"/>
      <c r="O683" s="1003"/>
      <c r="P683" s="1003"/>
      <c r="Q683" s="1003"/>
      <c r="R683" s="1003"/>
      <c r="S683" s="1003"/>
      <c r="T683" s="1003"/>
      <c r="U683" s="1003"/>
      <c r="V683" s="1003"/>
      <c r="W683" s="1003"/>
      <c r="X683" s="1003"/>
      <c r="Y683" s="1003"/>
      <c r="Z683" s="1003"/>
      <c r="AA683" s="1003"/>
      <c r="AB683" s="1003"/>
      <c r="AC683" s="1003"/>
      <c r="AD683" s="1003"/>
      <c r="AE683" s="1003"/>
    </row>
    <row r="684" spans="1:58" ht="15" customHeight="1">
      <c r="A684" s="176"/>
      <c r="B684" s="1003" t="str">
        <f>IF(OR(AL678&gt;0,AL679&gt;0,AN679&gt;0,AP679&gt;0),"Favor de revisar la suma y consistencia de totales y/o subtotales por filas (numéricos y NS)","")</f>
        <v/>
      </c>
      <c r="C684" s="1003"/>
      <c r="D684" s="1003"/>
      <c r="E684" s="1003"/>
      <c r="F684" s="1003"/>
      <c r="G684" s="1003"/>
      <c r="H684" s="1003"/>
      <c r="I684" s="1003"/>
      <c r="J684" s="1003"/>
      <c r="K684" s="1003"/>
      <c r="L684" s="1003"/>
      <c r="M684" s="1003"/>
      <c r="N684" s="1003"/>
      <c r="O684" s="1003"/>
      <c r="P684" s="1003"/>
      <c r="Q684" s="1003"/>
      <c r="R684" s="1003"/>
      <c r="S684" s="1003"/>
      <c r="T684" s="1003"/>
      <c r="U684" s="1003"/>
      <c r="V684" s="1003"/>
      <c r="W684" s="1003"/>
      <c r="X684" s="1003"/>
      <c r="Y684" s="1003"/>
      <c r="Z684" s="1003"/>
      <c r="AA684" s="1003"/>
      <c r="AB684" s="1003"/>
      <c r="AC684" s="1003"/>
      <c r="AD684" s="1003"/>
      <c r="AE684" s="1003"/>
    </row>
    <row r="685" spans="1:58" ht="15" customHeight="1">
      <c r="A685" s="176"/>
      <c r="B685" s="1003" t="str">
        <f>IF(BF677=0,"","Las cantidades de Hombres y Mujeres por centro especializado debe corresponder con los datos reportados en la preg. 8.1")</f>
        <v/>
      </c>
      <c r="C685" s="1003"/>
      <c r="D685" s="1003"/>
      <c r="E685" s="1003"/>
      <c r="F685" s="1003"/>
      <c r="G685" s="1003"/>
      <c r="H685" s="1003"/>
      <c r="I685" s="1003"/>
      <c r="J685" s="1003"/>
      <c r="K685" s="1003"/>
      <c r="L685" s="1003"/>
      <c r="M685" s="1003"/>
      <c r="N685" s="1003"/>
      <c r="O685" s="1003"/>
      <c r="P685" s="1003"/>
      <c r="Q685" s="1003"/>
      <c r="R685" s="1003"/>
      <c r="S685" s="1003"/>
      <c r="T685" s="1003"/>
      <c r="U685" s="1003"/>
      <c r="V685" s="1003"/>
      <c r="W685" s="1003"/>
      <c r="X685" s="1003"/>
      <c r="Y685" s="1003"/>
      <c r="Z685" s="1003"/>
      <c r="AA685" s="1003"/>
      <c r="AB685" s="1003"/>
      <c r="AC685" s="1003"/>
      <c r="AD685" s="1003"/>
      <c r="AE685" s="1003"/>
    </row>
    <row r="686" spans="1:58" ht="15" customHeight="1">
      <c r="A686" s="176"/>
      <c r="B686" s="57"/>
      <c r="C686" s="57"/>
      <c r="D686" s="57"/>
      <c r="E686" s="57"/>
      <c r="F686" s="57"/>
      <c r="G686" s="57"/>
      <c r="H686" s="57"/>
      <c r="I686" s="57"/>
      <c r="J686" s="57"/>
      <c r="K686" s="57"/>
      <c r="L686" s="57"/>
      <c r="M686" s="57"/>
      <c r="N686" s="57"/>
      <c r="O686" s="57"/>
      <c r="P686" s="57"/>
      <c r="Q686" s="57"/>
      <c r="R686" s="57"/>
      <c r="S686" s="57"/>
      <c r="T686" s="57"/>
      <c r="U686" s="57"/>
      <c r="V686" s="57"/>
      <c r="W686" s="57"/>
      <c r="X686" s="57"/>
      <c r="Y686" s="57"/>
      <c r="Z686" s="57"/>
      <c r="AA686" s="57"/>
      <c r="AB686" s="57"/>
      <c r="AC686" s="57"/>
      <c r="AD686" s="57"/>
    </row>
    <row r="687" spans="1:58" ht="36" customHeight="1">
      <c r="A687" s="49" t="s">
        <v>5311</v>
      </c>
      <c r="B687" s="829" t="s">
        <v>5312</v>
      </c>
      <c r="C687" s="829"/>
      <c r="D687" s="829"/>
      <c r="E687" s="829"/>
      <c r="F687" s="829"/>
      <c r="G687" s="829"/>
      <c r="H687" s="829"/>
      <c r="I687" s="829"/>
      <c r="J687" s="829"/>
      <c r="K687" s="829"/>
      <c r="L687" s="829"/>
      <c r="M687" s="829"/>
      <c r="N687" s="829"/>
      <c r="O687" s="829"/>
      <c r="P687" s="829"/>
      <c r="Q687" s="829"/>
      <c r="R687" s="829"/>
      <c r="S687" s="829"/>
      <c r="T687" s="829"/>
      <c r="U687" s="829"/>
      <c r="V687" s="829"/>
      <c r="W687" s="829"/>
      <c r="X687" s="829"/>
      <c r="Y687" s="829"/>
      <c r="Z687" s="829"/>
      <c r="AA687" s="829"/>
      <c r="AB687" s="829"/>
      <c r="AC687" s="829"/>
      <c r="AD687" s="829"/>
    </row>
    <row r="688" spans="1:58" ht="24" customHeight="1">
      <c r="A688" s="49"/>
      <c r="B688" s="105"/>
      <c r="C688" s="754" t="s">
        <v>5313</v>
      </c>
      <c r="D688" s="754"/>
      <c r="E688" s="754"/>
      <c r="F688" s="754"/>
      <c r="G688" s="754"/>
      <c r="H688" s="754"/>
      <c r="I688" s="754"/>
      <c r="J688" s="754"/>
      <c r="K688" s="754"/>
      <c r="L688" s="754"/>
      <c r="M688" s="754"/>
      <c r="N688" s="754"/>
      <c r="O688" s="754"/>
      <c r="P688" s="754"/>
      <c r="Q688" s="754"/>
      <c r="R688" s="754"/>
      <c r="S688" s="754"/>
      <c r="T688" s="754"/>
      <c r="U688" s="754"/>
      <c r="V688" s="754"/>
      <c r="W688" s="754"/>
      <c r="X688" s="754"/>
      <c r="Y688" s="754"/>
      <c r="Z688" s="754"/>
      <c r="AA688" s="754"/>
      <c r="AB688" s="754"/>
      <c r="AC688" s="754"/>
      <c r="AD688" s="754"/>
    </row>
    <row r="689" spans="1:64" ht="36" customHeight="1">
      <c r="A689" s="142"/>
      <c r="B689" s="57"/>
      <c r="C689" s="830" t="s">
        <v>5314</v>
      </c>
      <c r="D689" s="830"/>
      <c r="E689" s="830"/>
      <c r="F689" s="830"/>
      <c r="G689" s="830"/>
      <c r="H689" s="830"/>
      <c r="I689" s="830"/>
      <c r="J689" s="830"/>
      <c r="K689" s="830"/>
      <c r="L689" s="830"/>
      <c r="M689" s="830"/>
      <c r="N689" s="830"/>
      <c r="O689" s="830"/>
      <c r="P689" s="830"/>
      <c r="Q689" s="830"/>
      <c r="R689" s="830"/>
      <c r="S689" s="830"/>
      <c r="T689" s="830"/>
      <c r="U689" s="830"/>
      <c r="V689" s="830"/>
      <c r="W689" s="830"/>
      <c r="X689" s="830"/>
      <c r="Y689" s="830"/>
      <c r="Z689" s="830"/>
      <c r="AA689" s="830"/>
      <c r="AB689" s="830"/>
      <c r="AC689" s="830"/>
      <c r="AD689" s="830"/>
    </row>
    <row r="690" spans="1:64" ht="48" customHeight="1">
      <c r="A690" s="142"/>
      <c r="B690" s="57"/>
      <c r="C690" s="754" t="s">
        <v>5315</v>
      </c>
      <c r="D690" s="754"/>
      <c r="E690" s="754"/>
      <c r="F690" s="754"/>
      <c r="G690" s="754"/>
      <c r="H690" s="754"/>
      <c r="I690" s="754"/>
      <c r="J690" s="754"/>
      <c r="K690" s="754"/>
      <c r="L690" s="754"/>
      <c r="M690" s="754"/>
      <c r="N690" s="754"/>
      <c r="O690" s="754"/>
      <c r="P690" s="754"/>
      <c r="Q690" s="754"/>
      <c r="R690" s="754"/>
      <c r="S690" s="754"/>
      <c r="T690" s="754"/>
      <c r="U690" s="754"/>
      <c r="V690" s="754"/>
      <c r="W690" s="754"/>
      <c r="X690" s="754"/>
      <c r="Y690" s="754"/>
      <c r="Z690" s="754"/>
      <c r="AA690" s="754"/>
      <c r="AB690" s="754"/>
      <c r="AC690" s="754"/>
      <c r="AD690" s="754"/>
    </row>
    <row r="691" spans="1:64" ht="15" customHeight="1">
      <c r="A691" s="142"/>
      <c r="B691" s="57"/>
      <c r="C691" s="57"/>
      <c r="D691" s="57"/>
      <c r="E691" s="57"/>
      <c r="F691" s="57"/>
      <c r="G691" s="57"/>
      <c r="H691" s="57"/>
      <c r="I691" s="57"/>
      <c r="J691" s="57"/>
      <c r="K691" s="57"/>
      <c r="L691" s="57"/>
      <c r="M691" s="57"/>
      <c r="N691" s="57"/>
      <c r="O691" s="57"/>
      <c r="P691" s="57"/>
      <c r="Q691" s="57"/>
      <c r="R691" s="57"/>
      <c r="S691" s="57"/>
      <c r="T691" s="57"/>
      <c r="U691" s="57"/>
      <c r="V691" s="57"/>
      <c r="W691" s="57"/>
      <c r="X691" s="57"/>
      <c r="Y691" s="57"/>
      <c r="Z691" s="57"/>
      <c r="AA691" s="57"/>
      <c r="AB691" s="57"/>
      <c r="AC691" s="57"/>
      <c r="AD691" s="57"/>
    </row>
    <row r="692" spans="1:64" ht="48" customHeight="1">
      <c r="A692" s="142"/>
      <c r="B692" s="57"/>
      <c r="C692" s="797" t="s">
        <v>5316</v>
      </c>
      <c r="D692" s="798"/>
      <c r="E692" s="798"/>
      <c r="F692" s="798"/>
      <c r="G692" s="798"/>
      <c r="H692" s="798"/>
      <c r="I692" s="798"/>
      <c r="J692" s="798"/>
      <c r="K692" s="798"/>
      <c r="L692" s="798"/>
      <c r="M692" s="798"/>
      <c r="N692" s="798"/>
      <c r="O692" s="798"/>
      <c r="P692" s="798"/>
      <c r="Q692" s="798"/>
      <c r="R692" s="798"/>
      <c r="S692" s="798"/>
      <c r="T692" s="798"/>
      <c r="U692" s="799"/>
      <c r="V692" s="739" t="s">
        <v>5317</v>
      </c>
      <c r="W692" s="740"/>
      <c r="X692" s="740"/>
      <c r="Y692" s="740"/>
      <c r="Z692" s="740"/>
      <c r="AA692" s="740"/>
      <c r="AB692" s="740"/>
      <c r="AC692" s="740"/>
      <c r="AD692" s="741"/>
    </row>
    <row r="693" spans="1:64" ht="108" customHeight="1">
      <c r="A693" s="142"/>
      <c r="B693" s="57"/>
      <c r="C693" s="800"/>
      <c r="D693" s="801"/>
      <c r="E693" s="801"/>
      <c r="F693" s="801"/>
      <c r="G693" s="801"/>
      <c r="H693" s="801"/>
      <c r="I693" s="801"/>
      <c r="J693" s="801"/>
      <c r="K693" s="801"/>
      <c r="L693" s="801"/>
      <c r="M693" s="801"/>
      <c r="N693" s="801"/>
      <c r="O693" s="801"/>
      <c r="P693" s="801"/>
      <c r="Q693" s="801"/>
      <c r="R693" s="801"/>
      <c r="S693" s="801"/>
      <c r="T693" s="801"/>
      <c r="U693" s="802"/>
      <c r="V693" s="858" t="s">
        <v>5308</v>
      </c>
      <c r="W693" s="859"/>
      <c r="X693" s="860"/>
      <c r="Y693" s="858" t="s">
        <v>5309</v>
      </c>
      <c r="Z693" s="859"/>
      <c r="AA693" s="860"/>
      <c r="AB693" s="858" t="s">
        <v>5310</v>
      </c>
      <c r="AC693" s="859"/>
      <c r="AD693" s="860"/>
    </row>
    <row r="694" spans="1:64" ht="48" customHeight="1">
      <c r="A694" s="142"/>
      <c r="B694" s="57"/>
      <c r="C694" s="803"/>
      <c r="D694" s="804"/>
      <c r="E694" s="804"/>
      <c r="F694" s="804"/>
      <c r="G694" s="804"/>
      <c r="H694" s="804"/>
      <c r="I694" s="804"/>
      <c r="J694" s="804"/>
      <c r="K694" s="804"/>
      <c r="L694" s="804"/>
      <c r="M694" s="804"/>
      <c r="N694" s="804"/>
      <c r="O694" s="804"/>
      <c r="P694" s="804"/>
      <c r="Q694" s="804"/>
      <c r="R694" s="804"/>
      <c r="S694" s="804"/>
      <c r="T694" s="804"/>
      <c r="U694" s="805"/>
      <c r="V694" s="198" t="s">
        <v>2628</v>
      </c>
      <c r="W694" s="128" t="s">
        <v>2629</v>
      </c>
      <c r="X694" s="128" t="s">
        <v>2630</v>
      </c>
      <c r="Y694" s="127" t="s">
        <v>2628</v>
      </c>
      <c r="Z694" s="128" t="s">
        <v>2629</v>
      </c>
      <c r="AA694" s="128" t="s">
        <v>2630</v>
      </c>
      <c r="AB694" s="127" t="s">
        <v>2628</v>
      </c>
      <c r="AC694" s="128" t="s">
        <v>2629</v>
      </c>
      <c r="AD694" s="128" t="s">
        <v>2630</v>
      </c>
      <c r="AG694" t="s">
        <v>2586</v>
      </c>
      <c r="AH694" t="s">
        <v>5318</v>
      </c>
      <c r="AI694" s="691" t="s">
        <v>5319</v>
      </c>
      <c r="AJ694" s="691" t="s">
        <v>5320</v>
      </c>
      <c r="AK694" t="s">
        <v>4573</v>
      </c>
      <c r="AL694" t="s">
        <v>2638</v>
      </c>
      <c r="AM694" t="s">
        <v>2639</v>
      </c>
      <c r="AN694" t="s">
        <v>4574</v>
      </c>
      <c r="AO694" t="s">
        <v>2641</v>
      </c>
      <c r="AP694" t="s">
        <v>2642</v>
      </c>
      <c r="AQ694" t="s">
        <v>4575</v>
      </c>
      <c r="AR694" t="s">
        <v>2644</v>
      </c>
      <c r="AS694" t="s">
        <v>2645</v>
      </c>
      <c r="AT694" t="s">
        <v>5291</v>
      </c>
      <c r="AU694"/>
      <c r="AV694"/>
      <c r="AW694"/>
      <c r="AX694"/>
      <c r="AY694"/>
      <c r="AZ694"/>
      <c r="BA694"/>
      <c r="BB694"/>
      <c r="BC694"/>
      <c r="BD694" t="s">
        <v>5290</v>
      </c>
      <c r="BE694"/>
      <c r="BF694"/>
      <c r="BG694"/>
      <c r="BH694"/>
      <c r="BI694"/>
      <c r="BJ694"/>
      <c r="BK694"/>
      <c r="BL694"/>
    </row>
    <row r="695" spans="1:64" ht="15" customHeight="1">
      <c r="A695" s="142"/>
      <c r="B695" s="57"/>
      <c r="C695" s="97" t="s">
        <v>2516</v>
      </c>
      <c r="D695" s="813" t="s">
        <v>5321</v>
      </c>
      <c r="E695" s="814"/>
      <c r="F695" s="814"/>
      <c r="G695" s="814"/>
      <c r="H695" s="814"/>
      <c r="I695" s="814"/>
      <c r="J695" s="814"/>
      <c r="K695" s="814"/>
      <c r="L695" s="814"/>
      <c r="M695" s="814"/>
      <c r="N695" s="814"/>
      <c r="O695" s="814"/>
      <c r="P695" s="814"/>
      <c r="Q695" s="814"/>
      <c r="R695" s="814"/>
      <c r="S695" s="814"/>
      <c r="T695" s="814"/>
      <c r="U695" s="815"/>
      <c r="V695" s="100"/>
      <c r="W695" s="100"/>
      <c r="X695" s="100"/>
      <c r="Y695" s="100"/>
      <c r="Z695" s="100"/>
      <c r="AA695" s="100"/>
      <c r="AB695" s="100"/>
      <c r="AC695" s="100"/>
      <c r="AD695" s="100"/>
      <c r="AG695" s="506">
        <f>IF(AI698&gt;0,IF(COUNTA(V695:AD705)&gt;=(99-AJ698),0,1),0)</f>
        <v>0</v>
      </c>
      <c r="AH695">
        <f>IF(OR($P$677=0,$P$677="NS",$P$677="NA"),IF(COUNTA(V695:X705)=0,0,1),0)</f>
        <v>0</v>
      </c>
      <c r="AI695">
        <f>IF(OR($P$677=0,$P$677="NS",$P$677="NA"),0,1)</f>
        <v>0</v>
      </c>
      <c r="AJ695">
        <f>IF(OR($P$677=0,$P$677="NS",$P$677="NA"),33,0)</f>
        <v>33</v>
      </c>
      <c r="AK695">
        <f t="shared" ref="AK695:AK705" si="675">COUNTIF(W695:X695,"NS")</f>
        <v>0</v>
      </c>
      <c r="AL695">
        <f t="shared" ref="AL695:AL705" si="676">SUM(W695:X695)</f>
        <v>0</v>
      </c>
      <c r="AM695">
        <f t="shared" ref="AM695:AM705" si="677">IF(COUNTIF(V695:X695,"NA")=3,0,IF(COUNTA(V695:X695)=0,0,IF(OR(AND(V695=0,AK695&gt;0),AND(V695="ns",AL695&gt;0),AND(V695="ns",AK695=0,AL695=0)),1,IF(OR(AND(V695&gt;0,AK695=2),AND(V695="ns",AK695=2),AND(V695="ns",AL695=0,AK695&gt;0),V695=AL695),0,1))))</f>
        <v>0</v>
      </c>
      <c r="AN695">
        <f t="shared" ref="AN695:AN705" si="678">COUNTIF(Z695:AA695,"NS")</f>
        <v>0</v>
      </c>
      <c r="AO695">
        <f t="shared" ref="AO695:AO705" si="679">SUM(Z695:AA695)</f>
        <v>0</v>
      </c>
      <c r="AP695">
        <f t="shared" ref="AP695:AP705" si="680">IF(COUNTIF(Y695:AA695,"NA")=3,0,IF(COUNTA(Y695:AA695)=0,0,IF(OR(AND(Y695=0,AN695&gt;0),AND(Y695="ns",AO695&gt;0),AND(Y695="ns",AN695=0,AO695=0)),1,IF(OR(AND(Y695&gt;0,AN695=2),AND(Y695="ns",AN695=2),AND(Y695="ns",AO695=0,AN695&gt;0),Y695=AO695),0,1))))</f>
        <v>0</v>
      </c>
      <c r="AQ695">
        <f t="shared" ref="AQ695:AQ705" si="681">COUNTIF(AC695:AD695,"NS")</f>
        <v>0</v>
      </c>
      <c r="AR695">
        <f t="shared" ref="AR695:AR705" si="682">SUM(AC695:AD695)</f>
        <v>0</v>
      </c>
      <c r="AS695">
        <f t="shared" ref="AS695:AS705" si="683">IF(COUNTIF(AB695:AD695,"NA")=3,0,IF(COUNTA(AB695:AD695)=0,0,IF(OR(AND(AB695=0,AQ695&gt;0),AND(AB695="ns",AR695&gt;0),AND(AB695="ns",AQ695=0,AR695=0)),1,IF(OR(AND(AB695&gt;0,AQ695=2),AND(AB695="ns",AQ695=2),AND(AB695="ns",AR695=0,AQ695&gt;0),AB695=AR695),0,1))))</f>
        <v>0</v>
      </c>
      <c r="AT695" cm="1">
        <f t="array" ref="AT695">IF(OR(V706={"NS","NA"},P677={"NS","NA"}),0,IF(V706&gt;=P677,0,1))</f>
        <v>0</v>
      </c>
      <c r="AU695" cm="1">
        <f t="array" ref="AU695">IF(OR(W706={"NS","NA"},Q677={"NS","NA"}),0,IF(W706&gt;=Q677,0,1))</f>
        <v>0</v>
      </c>
      <c r="AV695" cm="1">
        <f t="array" ref="AV695">IF(OR(X706={"NS","NA"},R677={"NS","NA"}),0,IF(X706&gt;=R677,0,1))</f>
        <v>0</v>
      </c>
      <c r="AW695" cm="1">
        <f t="array" ref="AW695">IF(OR(Y706={"NS","NA"},S677={"NS","NA"}),0,IF(Y706&gt;=S677,0,1))</f>
        <v>0</v>
      </c>
      <c r="AX695" cm="1">
        <f t="array" ref="AX695">IF(OR(Z706={"NS","NA"},T677={"NS","NA"}),0,IF(Z706&gt;=T677,0,1))</f>
        <v>0</v>
      </c>
      <c r="AY695" cm="1">
        <f t="array" ref="AY695">IF(OR(AA706={"NS","NA"},U677={"NS","NA"}),0,IF(AA706&gt;=U677,0,1))</f>
        <v>0</v>
      </c>
      <c r="AZ695" cm="1">
        <f t="array" ref="AZ695">IF(OR(AB706={"NS","NA"},V677={"NS","NA"}),0,IF(AB706&gt;=V677,0,1))</f>
        <v>0</v>
      </c>
      <c r="BA695" cm="1">
        <f t="array" ref="BA695">IF(OR(AC706={"NS","NA"},W677={"NS","NA"}),0,IF(AC706&gt;=W677,0,1))</f>
        <v>0</v>
      </c>
      <c r="BB695" cm="1">
        <f t="array" ref="BB695">IF(OR(AD706={"NS","NA"},X677={"NS","NA"}),0,IF(AD706&gt;=X677,0,1))</f>
        <v>0</v>
      </c>
      <c r="BC695" s="506">
        <f>SUM(AT695:BB695)</f>
        <v>0</v>
      </c>
      <c r="BD695" cm="1">
        <f t="array" ref="BD695">IF(OR(V695={"NS","NA"},$P$677={"NS","NA"}),0,IF(V695&lt;=$P$677,0,1))</f>
        <v>0</v>
      </c>
      <c r="BE695" cm="1">
        <f t="array" ref="BE695">IF(OR(W695={"NS","NA"},$Q$677={"NS","NA"}),0,IF(W695&lt;=$Q$677,0,1))</f>
        <v>0</v>
      </c>
      <c r="BF695" cm="1">
        <f t="array" ref="BF695">IF(OR(X695={"NS","NA"},$R$677={"NS","NA"}),0,IF(X695&lt;=$R$677,0,1))</f>
        <v>0</v>
      </c>
      <c r="BG695" cm="1">
        <f t="array" ref="BG695">IF(OR(Y695={"NS","NA"},$S$677={"NS","NA"}),0,IF(Y695&lt;=$S$677,0,1))</f>
        <v>0</v>
      </c>
      <c r="BH695" cm="1">
        <f t="array" ref="BH695">IF(OR(Z695={"NS","NA"},$T$677={"NS","NA"}),0,IF(Z695&lt;=$T$677,0,1))</f>
        <v>0</v>
      </c>
      <c r="BI695" cm="1">
        <f t="array" ref="BI695">IF(OR(AA695={"NS","NA"},$U$677={"NS","NA"}),0,IF(AA695&lt;=$U$677,0,1))</f>
        <v>0</v>
      </c>
      <c r="BJ695" cm="1">
        <f t="array" ref="BJ695">IF(OR(AB695={"NS","NA"},$V$677={"NS","NA"}),0,IF(AB695&lt;=$V$677,0,1))</f>
        <v>0</v>
      </c>
      <c r="BK695" cm="1">
        <f t="array" ref="BK695">IF(OR(AC695={"NS","NA"},$W$677={"NS","NA"}),0,IF(AC695&lt;=$W$677,0,1))</f>
        <v>0</v>
      </c>
      <c r="BL695" cm="1">
        <f t="array" ref="BL695">IF(OR(AD695={"NS","NA"},$X$677={"NS","NA"}),0,IF(AD695&lt;=$X$677,0,1))</f>
        <v>0</v>
      </c>
    </row>
    <row r="696" spans="1:64" ht="15" customHeight="1">
      <c r="A696" s="142"/>
      <c r="B696" s="57"/>
      <c r="C696" s="98" t="s">
        <v>2517</v>
      </c>
      <c r="D696" s="813" t="s">
        <v>5322</v>
      </c>
      <c r="E696" s="814"/>
      <c r="F696" s="814"/>
      <c r="G696" s="814"/>
      <c r="H696" s="814"/>
      <c r="I696" s="814"/>
      <c r="J696" s="814"/>
      <c r="K696" s="814"/>
      <c r="L696" s="814"/>
      <c r="M696" s="814"/>
      <c r="N696" s="814"/>
      <c r="O696" s="814"/>
      <c r="P696" s="814"/>
      <c r="Q696" s="814"/>
      <c r="R696" s="814"/>
      <c r="S696" s="814"/>
      <c r="T696" s="814"/>
      <c r="U696" s="815"/>
      <c r="V696" s="100"/>
      <c r="W696" s="100"/>
      <c r="X696" s="100"/>
      <c r="Y696" s="100"/>
      <c r="Z696" s="100"/>
      <c r="AA696" s="100"/>
      <c r="AB696" s="100"/>
      <c r="AC696" s="100"/>
      <c r="AD696" s="100"/>
      <c r="AG696"/>
      <c r="AH696">
        <f>IF(OR($S$677=0,$S$677="NS",$S$677="NA"),IF(COUNTA(Y695:AA705)=0,0,1),0)</f>
        <v>0</v>
      </c>
      <c r="AI696">
        <f>IF(OR($S$677=0,$S$677="NS",$S$677="NA"),0,1)</f>
        <v>0</v>
      </c>
      <c r="AJ696">
        <f>IF(OR($S$677=0,$S$677="NS",$S$677="NA"),33,0)</f>
        <v>33</v>
      </c>
      <c r="AK696">
        <f t="shared" si="675"/>
        <v>0</v>
      </c>
      <c r="AL696">
        <f t="shared" si="676"/>
        <v>0</v>
      </c>
      <c r="AM696">
        <f t="shared" si="677"/>
        <v>0</v>
      </c>
      <c r="AN696">
        <f t="shared" si="678"/>
        <v>0</v>
      </c>
      <c r="AO696">
        <f t="shared" si="679"/>
        <v>0</v>
      </c>
      <c r="AP696">
        <f t="shared" si="680"/>
        <v>0</v>
      </c>
      <c r="AQ696">
        <f t="shared" si="681"/>
        <v>0</v>
      </c>
      <c r="AR696">
        <f t="shared" si="682"/>
        <v>0</v>
      </c>
      <c r="AS696">
        <f t="shared" si="683"/>
        <v>0</v>
      </c>
      <c r="AT696"/>
      <c r="AU696"/>
      <c r="AV696"/>
      <c r="AW696"/>
      <c r="AX696"/>
      <c r="AY696"/>
      <c r="AZ696"/>
      <c r="BA696"/>
      <c r="BB696"/>
      <c r="BC696"/>
      <c r="BD696" cm="1">
        <f t="array" ref="BD696">IF(OR(V696={"NS","NA"},$P$677={"NS","NA"}),0,IF(V696&lt;=$P$677,0,1))</f>
        <v>0</v>
      </c>
      <c r="BE696" cm="1">
        <f t="array" ref="BE696">IF(OR(W696={"NS","NA"},$Q$677={"NS","NA"}),0,IF(W696&lt;=$Q$677,0,1))</f>
        <v>0</v>
      </c>
      <c r="BF696" cm="1">
        <f t="array" ref="BF696">IF(OR(X696={"NS","NA"},$R$677={"NS","NA"}),0,IF(X696&lt;=$R$677,0,1))</f>
        <v>0</v>
      </c>
      <c r="BG696" cm="1">
        <f t="array" ref="BG696">IF(OR(Y696={"NS","NA"},$S$677={"NS","NA"}),0,IF(Y696&lt;=$S$677,0,1))</f>
        <v>0</v>
      </c>
      <c r="BH696" cm="1">
        <f t="array" ref="BH696">IF(OR(Z696={"NS","NA"},$T$677={"NS","NA"}),0,IF(Z696&lt;=$T$677,0,1))</f>
        <v>0</v>
      </c>
      <c r="BI696" cm="1">
        <f t="array" ref="BI696">IF(OR(AA696={"NS","NA"},$U$677={"NS","NA"}),0,IF(AA696&lt;=$U$677,0,1))</f>
        <v>0</v>
      </c>
      <c r="BJ696" cm="1">
        <f t="array" ref="BJ696">IF(OR(AB696={"NS","NA"},$V$677={"NS","NA"}),0,IF(AB696&lt;=$V$677,0,1))</f>
        <v>0</v>
      </c>
      <c r="BK696" cm="1">
        <f t="array" ref="BK696">IF(OR(AC696={"NS","NA"},$W$677={"NS","NA"}),0,IF(AC696&lt;=$W$677,0,1))</f>
        <v>0</v>
      </c>
      <c r="BL696" cm="1">
        <f t="array" ref="BL696">IF(OR(AD696={"NS","NA"},$X$677={"NS","NA"}),0,IF(AD696&lt;=$X$677,0,1))</f>
        <v>0</v>
      </c>
    </row>
    <row r="697" spans="1:64" ht="15" customHeight="1">
      <c r="A697" s="142"/>
      <c r="B697" s="57"/>
      <c r="C697" s="98" t="s">
        <v>2518</v>
      </c>
      <c r="D697" s="813" t="s">
        <v>5323</v>
      </c>
      <c r="E697" s="814"/>
      <c r="F697" s="814"/>
      <c r="G697" s="814"/>
      <c r="H697" s="814"/>
      <c r="I697" s="814"/>
      <c r="J697" s="814"/>
      <c r="K697" s="814"/>
      <c r="L697" s="814"/>
      <c r="M697" s="814"/>
      <c r="N697" s="814"/>
      <c r="O697" s="814"/>
      <c r="P697" s="814"/>
      <c r="Q697" s="814"/>
      <c r="R697" s="814"/>
      <c r="S697" s="814"/>
      <c r="T697" s="814"/>
      <c r="U697" s="815"/>
      <c r="V697" s="100"/>
      <c r="W697" s="100"/>
      <c r="X697" s="100"/>
      <c r="Y697" s="100"/>
      <c r="Z697" s="100"/>
      <c r="AA697" s="100"/>
      <c r="AB697" s="100"/>
      <c r="AC697" s="100"/>
      <c r="AD697" s="100"/>
      <c r="AG697"/>
      <c r="AH697">
        <f>IF(OR($V$677=0,$V$677="NS",$V$677="NA"),IF(COUNTA(AB695:AD705)=0,0,1),0)</f>
        <v>0</v>
      </c>
      <c r="AI697">
        <f>IF(OR($V$677=0,$V$677="NS",$V$677="NA"),0,1)</f>
        <v>0</v>
      </c>
      <c r="AJ697">
        <f>IF(OR($V$677=0,$V$677="NS",$V$677="NA"),33,0)</f>
        <v>33</v>
      </c>
      <c r="AK697">
        <f t="shared" si="675"/>
        <v>0</v>
      </c>
      <c r="AL697">
        <f t="shared" si="676"/>
        <v>0</v>
      </c>
      <c r="AM697">
        <f t="shared" si="677"/>
        <v>0</v>
      </c>
      <c r="AN697">
        <f t="shared" si="678"/>
        <v>0</v>
      </c>
      <c r="AO697">
        <f t="shared" si="679"/>
        <v>0</v>
      </c>
      <c r="AP697">
        <f t="shared" si="680"/>
        <v>0</v>
      </c>
      <c r="AQ697">
        <f t="shared" si="681"/>
        <v>0</v>
      </c>
      <c r="AR697">
        <f t="shared" si="682"/>
        <v>0</v>
      </c>
      <c r="AS697">
        <f t="shared" si="683"/>
        <v>0</v>
      </c>
      <c r="AT697"/>
      <c r="AU697"/>
      <c r="AV697"/>
      <c r="AW697"/>
      <c r="AX697"/>
      <c r="AY697"/>
      <c r="AZ697"/>
      <c r="BA697"/>
      <c r="BB697"/>
      <c r="BC697"/>
      <c r="BD697" cm="1">
        <f t="array" ref="BD697">IF(OR(V697={"NS","NA"},$P$677={"NS","NA"}),0,IF(V697&lt;=$P$677,0,1))</f>
        <v>0</v>
      </c>
      <c r="BE697" cm="1">
        <f t="array" ref="BE697">IF(OR(W697={"NS","NA"},$Q$677={"NS","NA"}),0,IF(W697&lt;=$Q$677,0,1))</f>
        <v>0</v>
      </c>
      <c r="BF697" cm="1">
        <f t="array" ref="BF697">IF(OR(X697={"NS","NA"},$R$677={"NS","NA"}),0,IF(X697&lt;=$R$677,0,1))</f>
        <v>0</v>
      </c>
      <c r="BG697" cm="1">
        <f t="array" ref="BG697">IF(OR(Y697={"NS","NA"},$S$677={"NS","NA"}),0,IF(Y697&lt;=$S$677,0,1))</f>
        <v>0</v>
      </c>
      <c r="BH697" cm="1">
        <f t="array" ref="BH697">IF(OR(Z697={"NS","NA"},$T$677={"NS","NA"}),0,IF(Z697&lt;=$T$677,0,1))</f>
        <v>0</v>
      </c>
      <c r="BI697" cm="1">
        <f t="array" ref="BI697">IF(OR(AA697={"NS","NA"},$U$677={"NS","NA"}),0,IF(AA697&lt;=$U$677,0,1))</f>
        <v>0</v>
      </c>
      <c r="BJ697" cm="1">
        <f t="array" ref="BJ697">IF(OR(AB697={"NS","NA"},$V$677={"NS","NA"}),0,IF(AB697&lt;=$V$677,0,1))</f>
        <v>0</v>
      </c>
      <c r="BK697" cm="1">
        <f t="array" ref="BK697">IF(OR(AC697={"NS","NA"},$W$677={"NS","NA"}),0,IF(AC697&lt;=$W$677,0,1))</f>
        <v>0</v>
      </c>
      <c r="BL697" cm="1">
        <f t="array" ref="BL697">IF(OR(AD697={"NS","NA"},$X$677={"NS","NA"}),0,IF(AD697&lt;=$X$677,0,1))</f>
        <v>0</v>
      </c>
    </row>
    <row r="698" spans="1:64" ht="15" customHeight="1">
      <c r="A698" s="142"/>
      <c r="B698" s="57"/>
      <c r="C698" s="98" t="s">
        <v>2519</v>
      </c>
      <c r="D698" s="813" t="s">
        <v>5324</v>
      </c>
      <c r="E698" s="814"/>
      <c r="F698" s="814"/>
      <c r="G698" s="814"/>
      <c r="H698" s="814"/>
      <c r="I698" s="814"/>
      <c r="J698" s="814"/>
      <c r="K698" s="814"/>
      <c r="L698" s="814"/>
      <c r="M698" s="814"/>
      <c r="N698" s="814"/>
      <c r="O698" s="814"/>
      <c r="P698" s="814"/>
      <c r="Q698" s="814"/>
      <c r="R698" s="814"/>
      <c r="S698" s="814"/>
      <c r="T698" s="814"/>
      <c r="U698" s="815"/>
      <c r="V698" s="100"/>
      <c r="W698" s="100"/>
      <c r="X698" s="100"/>
      <c r="Y698" s="100"/>
      <c r="Z698" s="100"/>
      <c r="AA698" s="100"/>
      <c r="AB698" s="100"/>
      <c r="AC698" s="100"/>
      <c r="AD698" s="100"/>
      <c r="AG698"/>
      <c r="AH698" s="506">
        <f>SUM(AH695:AH697)</f>
        <v>0</v>
      </c>
      <c r="AI698" s="506">
        <f>SUM(AI695:AI697)</f>
        <v>0</v>
      </c>
      <c r="AJ698" s="506">
        <f>SUM(AJ695:AJ697)</f>
        <v>99</v>
      </c>
      <c r="AK698">
        <f t="shared" si="675"/>
        <v>0</v>
      </c>
      <c r="AL698">
        <f t="shared" si="676"/>
        <v>0</v>
      </c>
      <c r="AM698">
        <f t="shared" si="677"/>
        <v>0</v>
      </c>
      <c r="AN698">
        <f t="shared" si="678"/>
        <v>0</v>
      </c>
      <c r="AO698">
        <f t="shared" si="679"/>
        <v>0</v>
      </c>
      <c r="AP698">
        <f t="shared" si="680"/>
        <v>0</v>
      </c>
      <c r="AQ698">
        <f t="shared" si="681"/>
        <v>0</v>
      </c>
      <c r="AR698">
        <f t="shared" si="682"/>
        <v>0</v>
      </c>
      <c r="AS698">
        <f t="shared" si="683"/>
        <v>0</v>
      </c>
      <c r="AT698"/>
      <c r="AU698"/>
      <c r="AV698"/>
      <c r="AW698"/>
      <c r="AX698"/>
      <c r="AY698"/>
      <c r="AZ698"/>
      <c r="BA698"/>
      <c r="BB698"/>
      <c r="BC698"/>
      <c r="BD698" cm="1">
        <f t="array" ref="BD698">IF(OR(V698={"NS","NA"},$P$677={"NS","NA"}),0,IF(V698&lt;=$P$677,0,1))</f>
        <v>0</v>
      </c>
      <c r="BE698" cm="1">
        <f t="array" ref="BE698">IF(OR(W698={"NS","NA"},$Q$677={"NS","NA"}),0,IF(W698&lt;=$Q$677,0,1))</f>
        <v>0</v>
      </c>
      <c r="BF698" cm="1">
        <f t="array" ref="BF698">IF(OR(X698={"NS","NA"},$R$677={"NS","NA"}),0,IF(X698&lt;=$R$677,0,1))</f>
        <v>0</v>
      </c>
      <c r="BG698" cm="1">
        <f t="array" ref="BG698">IF(OR(Y698={"NS","NA"},$S$677={"NS","NA"}),0,IF(Y698&lt;=$S$677,0,1))</f>
        <v>0</v>
      </c>
      <c r="BH698" cm="1">
        <f t="array" ref="BH698">IF(OR(Z698={"NS","NA"},$T$677={"NS","NA"}),0,IF(Z698&lt;=$T$677,0,1))</f>
        <v>0</v>
      </c>
      <c r="BI698" cm="1">
        <f t="array" ref="BI698">IF(OR(AA698={"NS","NA"},$U$677={"NS","NA"}),0,IF(AA698&lt;=$U$677,0,1))</f>
        <v>0</v>
      </c>
      <c r="BJ698" cm="1">
        <f t="array" ref="BJ698">IF(OR(AB698={"NS","NA"},$V$677={"NS","NA"}),0,IF(AB698&lt;=$V$677,0,1))</f>
        <v>0</v>
      </c>
      <c r="BK698" cm="1">
        <f t="array" ref="BK698">IF(OR(AC698={"NS","NA"},$W$677={"NS","NA"}),0,IF(AC698&lt;=$W$677,0,1))</f>
        <v>0</v>
      </c>
      <c r="BL698" cm="1">
        <f t="array" ref="BL698">IF(OR(AD698={"NS","NA"},$X$677={"NS","NA"}),0,IF(AD698&lt;=$X$677,0,1))</f>
        <v>0</v>
      </c>
    </row>
    <row r="699" spans="1:64" ht="15.75" customHeight="1">
      <c r="A699" s="142"/>
      <c r="B699" s="57"/>
      <c r="C699" s="98" t="s">
        <v>2520</v>
      </c>
      <c r="D699" s="813" t="s">
        <v>5325</v>
      </c>
      <c r="E699" s="814"/>
      <c r="F699" s="814"/>
      <c r="G699" s="814"/>
      <c r="H699" s="814"/>
      <c r="I699" s="814"/>
      <c r="J699" s="814"/>
      <c r="K699" s="814"/>
      <c r="L699" s="814"/>
      <c r="M699" s="814"/>
      <c r="N699" s="814"/>
      <c r="O699" s="814"/>
      <c r="P699" s="814"/>
      <c r="Q699" s="814"/>
      <c r="R699" s="814"/>
      <c r="S699" s="814"/>
      <c r="T699" s="814"/>
      <c r="U699" s="815"/>
      <c r="V699" s="100"/>
      <c r="W699" s="100"/>
      <c r="X699" s="100"/>
      <c r="Y699" s="100"/>
      <c r="Z699" s="100"/>
      <c r="AA699" s="100"/>
      <c r="AB699" s="100"/>
      <c r="AC699" s="100"/>
      <c r="AD699" s="100"/>
      <c r="AG699"/>
      <c r="AH699"/>
      <c r="AI699"/>
      <c r="AJ699"/>
      <c r="AK699">
        <f t="shared" si="675"/>
        <v>0</v>
      </c>
      <c r="AL699">
        <f t="shared" si="676"/>
        <v>0</v>
      </c>
      <c r="AM699">
        <f t="shared" si="677"/>
        <v>0</v>
      </c>
      <c r="AN699">
        <f t="shared" si="678"/>
        <v>0</v>
      </c>
      <c r="AO699">
        <f t="shared" si="679"/>
        <v>0</v>
      </c>
      <c r="AP699">
        <f t="shared" si="680"/>
        <v>0</v>
      </c>
      <c r="AQ699">
        <f t="shared" si="681"/>
        <v>0</v>
      </c>
      <c r="AR699">
        <f t="shared" si="682"/>
        <v>0</v>
      </c>
      <c r="AS699">
        <f t="shared" si="683"/>
        <v>0</v>
      </c>
      <c r="AT699"/>
      <c r="AU699"/>
      <c r="AV699"/>
      <c r="AW699"/>
      <c r="AX699"/>
      <c r="AY699"/>
      <c r="AZ699"/>
      <c r="BA699"/>
      <c r="BB699"/>
      <c r="BC699"/>
      <c r="BD699" cm="1">
        <f t="array" ref="BD699">IF(OR(V699={"NS","NA"},$P$677={"NS","NA"}),0,IF(V699&lt;=$P$677,0,1))</f>
        <v>0</v>
      </c>
      <c r="BE699" cm="1">
        <f t="array" ref="BE699">IF(OR(W699={"NS","NA"},$Q$677={"NS","NA"}),0,IF(W699&lt;=$Q$677,0,1))</f>
        <v>0</v>
      </c>
      <c r="BF699" cm="1">
        <f t="array" ref="BF699">IF(OR(X699={"NS","NA"},$R$677={"NS","NA"}),0,IF(X699&lt;=$R$677,0,1))</f>
        <v>0</v>
      </c>
      <c r="BG699" cm="1">
        <f t="array" ref="BG699">IF(OR(Y699={"NS","NA"},$S$677={"NS","NA"}),0,IF(Y699&lt;=$S$677,0,1))</f>
        <v>0</v>
      </c>
      <c r="BH699" cm="1">
        <f t="array" ref="BH699">IF(OR(Z699={"NS","NA"},$T$677={"NS","NA"}),0,IF(Z699&lt;=$T$677,0,1))</f>
        <v>0</v>
      </c>
      <c r="BI699" cm="1">
        <f t="array" ref="BI699">IF(OR(AA699={"NS","NA"},$U$677={"NS","NA"}),0,IF(AA699&lt;=$U$677,0,1))</f>
        <v>0</v>
      </c>
      <c r="BJ699" cm="1">
        <f t="array" ref="BJ699">IF(OR(AB699={"NS","NA"},$V$677={"NS","NA"}),0,IF(AB699&lt;=$V$677,0,1))</f>
        <v>0</v>
      </c>
      <c r="BK699" cm="1">
        <f t="array" ref="BK699">IF(OR(AC699={"NS","NA"},$W$677={"NS","NA"}),0,IF(AC699&lt;=$W$677,0,1))</f>
        <v>0</v>
      </c>
      <c r="BL699" cm="1">
        <f t="array" ref="BL699">IF(OR(AD699={"NS","NA"},$X$677={"NS","NA"}),0,IF(AD699&lt;=$X$677,0,1))</f>
        <v>0</v>
      </c>
    </row>
    <row r="700" spans="1:64" ht="15" customHeight="1">
      <c r="A700" s="142"/>
      <c r="B700" s="57"/>
      <c r="C700" s="98" t="s">
        <v>2521</v>
      </c>
      <c r="D700" s="813" t="s">
        <v>5326</v>
      </c>
      <c r="E700" s="814"/>
      <c r="F700" s="814"/>
      <c r="G700" s="814"/>
      <c r="H700" s="814"/>
      <c r="I700" s="814"/>
      <c r="J700" s="814"/>
      <c r="K700" s="814"/>
      <c r="L700" s="814"/>
      <c r="M700" s="814"/>
      <c r="N700" s="814"/>
      <c r="O700" s="814"/>
      <c r="P700" s="814"/>
      <c r="Q700" s="814"/>
      <c r="R700" s="814"/>
      <c r="S700" s="814"/>
      <c r="T700" s="814"/>
      <c r="U700" s="815"/>
      <c r="V700" s="100"/>
      <c r="W700" s="100"/>
      <c r="X700" s="100"/>
      <c r="Y700" s="100"/>
      <c r="Z700" s="100"/>
      <c r="AA700" s="100"/>
      <c r="AB700" s="100"/>
      <c r="AC700" s="100"/>
      <c r="AD700" s="100"/>
      <c r="AG700"/>
      <c r="AH700"/>
      <c r="AI700"/>
      <c r="AJ700"/>
      <c r="AK700">
        <f t="shared" si="675"/>
        <v>0</v>
      </c>
      <c r="AL700">
        <f t="shared" si="676"/>
        <v>0</v>
      </c>
      <c r="AM700">
        <f t="shared" si="677"/>
        <v>0</v>
      </c>
      <c r="AN700">
        <f t="shared" si="678"/>
        <v>0</v>
      </c>
      <c r="AO700">
        <f t="shared" si="679"/>
        <v>0</v>
      </c>
      <c r="AP700">
        <f t="shared" si="680"/>
        <v>0</v>
      </c>
      <c r="AQ700">
        <f t="shared" si="681"/>
        <v>0</v>
      </c>
      <c r="AR700">
        <f t="shared" si="682"/>
        <v>0</v>
      </c>
      <c r="AS700">
        <f t="shared" si="683"/>
        <v>0</v>
      </c>
      <c r="AT700"/>
      <c r="AU700"/>
      <c r="AV700"/>
      <c r="AW700"/>
      <c r="AX700"/>
      <c r="AY700"/>
      <c r="AZ700"/>
      <c r="BA700"/>
      <c r="BB700"/>
      <c r="BC700"/>
      <c r="BD700" cm="1">
        <f t="array" ref="BD700">IF(OR(V700={"NS","NA"},$P$677={"NS","NA"}),0,IF(V700&lt;=$P$677,0,1))</f>
        <v>0</v>
      </c>
      <c r="BE700" cm="1">
        <f t="array" ref="BE700">IF(OR(W700={"NS","NA"},$Q$677={"NS","NA"}),0,IF(W700&lt;=$Q$677,0,1))</f>
        <v>0</v>
      </c>
      <c r="BF700" cm="1">
        <f t="array" ref="BF700">IF(OR(X700={"NS","NA"},$R$677={"NS","NA"}),0,IF(X700&lt;=$R$677,0,1))</f>
        <v>0</v>
      </c>
      <c r="BG700" cm="1">
        <f t="array" ref="BG700">IF(OR(Y700={"NS","NA"},$S$677={"NS","NA"}),0,IF(Y700&lt;=$S$677,0,1))</f>
        <v>0</v>
      </c>
      <c r="BH700" cm="1">
        <f t="array" ref="BH700">IF(OR(Z700={"NS","NA"},$T$677={"NS","NA"}),0,IF(Z700&lt;=$T$677,0,1))</f>
        <v>0</v>
      </c>
      <c r="BI700" cm="1">
        <f t="array" ref="BI700">IF(OR(AA700={"NS","NA"},$U$677={"NS","NA"}),0,IF(AA700&lt;=$U$677,0,1))</f>
        <v>0</v>
      </c>
      <c r="BJ700" cm="1">
        <f t="array" ref="BJ700">IF(OR(AB700={"NS","NA"},$V$677={"NS","NA"}),0,IF(AB700&lt;=$V$677,0,1))</f>
        <v>0</v>
      </c>
      <c r="BK700" cm="1">
        <f t="array" ref="BK700">IF(OR(AC700={"NS","NA"},$W$677={"NS","NA"}),0,IF(AC700&lt;=$W$677,0,1))</f>
        <v>0</v>
      </c>
      <c r="BL700" cm="1">
        <f t="array" ref="BL700">IF(OR(AD700={"NS","NA"},$X$677={"NS","NA"}),0,IF(AD700&lt;=$X$677,0,1))</f>
        <v>0</v>
      </c>
    </row>
    <row r="701" spans="1:64" ht="15" customHeight="1">
      <c r="A701" s="142"/>
      <c r="B701" s="57"/>
      <c r="C701" s="98" t="s">
        <v>2522</v>
      </c>
      <c r="D701" s="813" t="s">
        <v>5327</v>
      </c>
      <c r="E701" s="814"/>
      <c r="F701" s="814"/>
      <c r="G701" s="814"/>
      <c r="H701" s="814"/>
      <c r="I701" s="814"/>
      <c r="J701" s="814"/>
      <c r="K701" s="814"/>
      <c r="L701" s="814"/>
      <c r="M701" s="814"/>
      <c r="N701" s="814"/>
      <c r="O701" s="814"/>
      <c r="P701" s="814"/>
      <c r="Q701" s="814"/>
      <c r="R701" s="814"/>
      <c r="S701" s="814"/>
      <c r="T701" s="814"/>
      <c r="U701" s="815"/>
      <c r="V701" s="100"/>
      <c r="W701" s="100"/>
      <c r="X701" s="100"/>
      <c r="Y701" s="100"/>
      <c r="Z701" s="100"/>
      <c r="AA701" s="100"/>
      <c r="AB701" s="100"/>
      <c r="AC701" s="100"/>
      <c r="AD701" s="100"/>
      <c r="AG701"/>
      <c r="AH701"/>
      <c r="AI701"/>
      <c r="AJ701"/>
      <c r="AK701">
        <f t="shared" si="675"/>
        <v>0</v>
      </c>
      <c r="AL701">
        <f t="shared" si="676"/>
        <v>0</v>
      </c>
      <c r="AM701">
        <f t="shared" si="677"/>
        <v>0</v>
      </c>
      <c r="AN701">
        <f t="shared" si="678"/>
        <v>0</v>
      </c>
      <c r="AO701">
        <f t="shared" si="679"/>
        <v>0</v>
      </c>
      <c r="AP701">
        <f t="shared" si="680"/>
        <v>0</v>
      </c>
      <c r="AQ701">
        <f t="shared" si="681"/>
        <v>0</v>
      </c>
      <c r="AR701">
        <f t="shared" si="682"/>
        <v>0</v>
      </c>
      <c r="AS701">
        <f t="shared" si="683"/>
        <v>0</v>
      </c>
      <c r="AT701"/>
      <c r="AU701"/>
      <c r="AV701"/>
      <c r="AW701"/>
      <c r="AX701"/>
      <c r="AY701"/>
      <c r="AZ701"/>
      <c r="BA701"/>
      <c r="BB701"/>
      <c r="BC701"/>
      <c r="BD701" cm="1">
        <f t="array" ref="BD701">IF(OR(V701={"NS","NA"},$P$677={"NS","NA"}),0,IF(V701&lt;=$P$677,0,1))</f>
        <v>0</v>
      </c>
      <c r="BE701" cm="1">
        <f t="array" ref="BE701">IF(OR(W701={"NS","NA"},$Q$677={"NS","NA"}),0,IF(W701&lt;=$Q$677,0,1))</f>
        <v>0</v>
      </c>
      <c r="BF701" cm="1">
        <f t="array" ref="BF701">IF(OR(X701={"NS","NA"},$R$677={"NS","NA"}),0,IF(X701&lt;=$R$677,0,1))</f>
        <v>0</v>
      </c>
      <c r="BG701" cm="1">
        <f t="array" ref="BG701">IF(OR(Y701={"NS","NA"},$S$677={"NS","NA"}),0,IF(Y701&lt;=$S$677,0,1))</f>
        <v>0</v>
      </c>
      <c r="BH701" cm="1">
        <f t="array" ref="BH701">IF(OR(Z701={"NS","NA"},$T$677={"NS","NA"}),0,IF(Z701&lt;=$T$677,0,1))</f>
        <v>0</v>
      </c>
      <c r="BI701" cm="1">
        <f t="array" ref="BI701">IF(OR(AA701={"NS","NA"},$U$677={"NS","NA"}),0,IF(AA701&lt;=$U$677,0,1))</f>
        <v>0</v>
      </c>
      <c r="BJ701" cm="1">
        <f t="array" ref="BJ701">IF(OR(AB701={"NS","NA"},$V$677={"NS","NA"}),0,IF(AB701&lt;=$V$677,0,1))</f>
        <v>0</v>
      </c>
      <c r="BK701" cm="1">
        <f t="array" ref="BK701">IF(OR(AC701={"NS","NA"},$W$677={"NS","NA"}),0,IF(AC701&lt;=$W$677,0,1))</f>
        <v>0</v>
      </c>
      <c r="BL701" cm="1">
        <f t="array" ref="BL701">IF(OR(AD701={"NS","NA"},$X$677={"NS","NA"}),0,IF(AD701&lt;=$X$677,0,1))</f>
        <v>0</v>
      </c>
    </row>
    <row r="702" spans="1:64" ht="15" customHeight="1">
      <c r="A702" s="142"/>
      <c r="B702" s="57"/>
      <c r="C702" s="98" t="s">
        <v>2523</v>
      </c>
      <c r="D702" s="813" t="s">
        <v>5328</v>
      </c>
      <c r="E702" s="814"/>
      <c r="F702" s="814"/>
      <c r="G702" s="814"/>
      <c r="H702" s="814"/>
      <c r="I702" s="814"/>
      <c r="J702" s="814"/>
      <c r="K702" s="814"/>
      <c r="L702" s="814"/>
      <c r="M702" s="814"/>
      <c r="N702" s="814"/>
      <c r="O702" s="814"/>
      <c r="P702" s="814"/>
      <c r="Q702" s="814"/>
      <c r="R702" s="814"/>
      <c r="S702" s="814"/>
      <c r="T702" s="814"/>
      <c r="U702" s="815"/>
      <c r="V702" s="100"/>
      <c r="W702" s="100"/>
      <c r="X702" s="100"/>
      <c r="Y702" s="100"/>
      <c r="Z702" s="100"/>
      <c r="AA702" s="100"/>
      <c r="AB702" s="100"/>
      <c r="AC702" s="100"/>
      <c r="AD702" s="100"/>
      <c r="AG702"/>
      <c r="AH702"/>
      <c r="AI702"/>
      <c r="AJ702"/>
      <c r="AK702">
        <f t="shared" si="675"/>
        <v>0</v>
      </c>
      <c r="AL702">
        <f t="shared" si="676"/>
        <v>0</v>
      </c>
      <c r="AM702">
        <f t="shared" si="677"/>
        <v>0</v>
      </c>
      <c r="AN702">
        <f t="shared" si="678"/>
        <v>0</v>
      </c>
      <c r="AO702">
        <f t="shared" si="679"/>
        <v>0</v>
      </c>
      <c r="AP702">
        <f t="shared" si="680"/>
        <v>0</v>
      </c>
      <c r="AQ702">
        <f t="shared" si="681"/>
        <v>0</v>
      </c>
      <c r="AR702">
        <f t="shared" si="682"/>
        <v>0</v>
      </c>
      <c r="AS702">
        <f t="shared" si="683"/>
        <v>0</v>
      </c>
      <c r="AT702"/>
      <c r="AU702"/>
      <c r="AV702"/>
      <c r="AW702"/>
      <c r="AX702"/>
      <c r="AY702"/>
      <c r="AZ702"/>
      <c r="BA702"/>
      <c r="BB702"/>
      <c r="BC702"/>
      <c r="BD702" cm="1">
        <f t="array" ref="BD702">IF(OR(V702={"NS","NA"},$P$677={"NS","NA"}),0,IF(V702&lt;=$P$677,0,1))</f>
        <v>0</v>
      </c>
      <c r="BE702" cm="1">
        <f t="array" ref="BE702">IF(OR(W702={"NS","NA"},$Q$677={"NS","NA"}),0,IF(W702&lt;=$Q$677,0,1))</f>
        <v>0</v>
      </c>
      <c r="BF702" cm="1">
        <f t="array" ref="BF702">IF(OR(X702={"NS","NA"},$R$677={"NS","NA"}),0,IF(X702&lt;=$R$677,0,1))</f>
        <v>0</v>
      </c>
      <c r="BG702" cm="1">
        <f t="array" ref="BG702">IF(OR(Y702={"NS","NA"},$S$677={"NS","NA"}),0,IF(Y702&lt;=$S$677,0,1))</f>
        <v>0</v>
      </c>
      <c r="BH702" cm="1">
        <f t="array" ref="BH702">IF(OR(Z702={"NS","NA"},$T$677={"NS","NA"}),0,IF(Z702&lt;=$T$677,0,1))</f>
        <v>0</v>
      </c>
      <c r="BI702" cm="1">
        <f t="array" ref="BI702">IF(OR(AA702={"NS","NA"},$U$677={"NS","NA"}),0,IF(AA702&lt;=$U$677,0,1))</f>
        <v>0</v>
      </c>
      <c r="BJ702" cm="1">
        <f t="array" ref="BJ702">IF(OR(AB702={"NS","NA"},$V$677={"NS","NA"}),0,IF(AB702&lt;=$V$677,0,1))</f>
        <v>0</v>
      </c>
      <c r="BK702" cm="1">
        <f t="array" ref="BK702">IF(OR(AC702={"NS","NA"},$W$677={"NS","NA"}),0,IF(AC702&lt;=$W$677,0,1))</f>
        <v>0</v>
      </c>
      <c r="BL702" cm="1">
        <f t="array" ref="BL702">IF(OR(AD702={"NS","NA"},$X$677={"NS","NA"}),0,IF(AD702&lt;=$X$677,0,1))</f>
        <v>0</v>
      </c>
    </row>
    <row r="703" spans="1:64" ht="15" customHeight="1">
      <c r="A703" s="142"/>
      <c r="B703" s="57"/>
      <c r="C703" s="98" t="s">
        <v>2524</v>
      </c>
      <c r="D703" s="813" t="s">
        <v>5329</v>
      </c>
      <c r="E703" s="814"/>
      <c r="F703" s="814"/>
      <c r="G703" s="814"/>
      <c r="H703" s="814"/>
      <c r="I703" s="814"/>
      <c r="J703" s="814"/>
      <c r="K703" s="814"/>
      <c r="L703" s="814"/>
      <c r="M703" s="814"/>
      <c r="N703" s="814"/>
      <c r="O703" s="814"/>
      <c r="P703" s="814"/>
      <c r="Q703" s="814"/>
      <c r="R703" s="814"/>
      <c r="S703" s="814"/>
      <c r="T703" s="814"/>
      <c r="U703" s="815"/>
      <c r="V703" s="100"/>
      <c r="W703" s="100"/>
      <c r="X703" s="100"/>
      <c r="Y703" s="100"/>
      <c r="Z703" s="100"/>
      <c r="AA703" s="100"/>
      <c r="AB703" s="100"/>
      <c r="AC703" s="100"/>
      <c r="AD703" s="100"/>
      <c r="AG703"/>
      <c r="AH703"/>
      <c r="AI703"/>
      <c r="AJ703"/>
      <c r="AK703">
        <f t="shared" si="675"/>
        <v>0</v>
      </c>
      <c r="AL703">
        <f t="shared" si="676"/>
        <v>0</v>
      </c>
      <c r="AM703">
        <f t="shared" si="677"/>
        <v>0</v>
      </c>
      <c r="AN703">
        <f t="shared" si="678"/>
        <v>0</v>
      </c>
      <c r="AO703">
        <f t="shared" si="679"/>
        <v>0</v>
      </c>
      <c r="AP703">
        <f t="shared" si="680"/>
        <v>0</v>
      </c>
      <c r="AQ703">
        <f t="shared" si="681"/>
        <v>0</v>
      </c>
      <c r="AR703">
        <f t="shared" si="682"/>
        <v>0</v>
      </c>
      <c r="AS703">
        <f t="shared" si="683"/>
        <v>0</v>
      </c>
      <c r="AT703"/>
      <c r="AU703"/>
      <c r="AV703"/>
      <c r="AW703"/>
      <c r="AX703"/>
      <c r="AY703"/>
      <c r="AZ703"/>
      <c r="BA703"/>
      <c r="BB703"/>
      <c r="BC703"/>
      <c r="BD703" cm="1">
        <f t="array" ref="BD703">IF(OR(V703={"NS","NA"},$P$677={"NS","NA"}),0,IF(V703&lt;=$P$677,0,1))</f>
        <v>0</v>
      </c>
      <c r="BE703" cm="1">
        <f t="array" ref="BE703">IF(OR(W703={"NS","NA"},$Q$677={"NS","NA"}),0,IF(W703&lt;=$Q$677,0,1))</f>
        <v>0</v>
      </c>
      <c r="BF703" cm="1">
        <f t="array" ref="BF703">IF(OR(X703={"NS","NA"},$R$677={"NS","NA"}),0,IF(X703&lt;=$R$677,0,1))</f>
        <v>0</v>
      </c>
      <c r="BG703" cm="1">
        <f t="array" ref="BG703">IF(OR(Y703={"NS","NA"},$S$677={"NS","NA"}),0,IF(Y703&lt;=$S$677,0,1))</f>
        <v>0</v>
      </c>
      <c r="BH703" cm="1">
        <f t="array" ref="BH703">IF(OR(Z703={"NS","NA"},$T$677={"NS","NA"}),0,IF(Z703&lt;=$T$677,0,1))</f>
        <v>0</v>
      </c>
      <c r="BI703" cm="1">
        <f t="array" ref="BI703">IF(OR(AA703={"NS","NA"},$U$677={"NS","NA"}),0,IF(AA703&lt;=$U$677,0,1))</f>
        <v>0</v>
      </c>
      <c r="BJ703" cm="1">
        <f t="array" ref="BJ703">IF(OR(AB703={"NS","NA"},$V$677={"NS","NA"}),0,IF(AB703&lt;=$V$677,0,1))</f>
        <v>0</v>
      </c>
      <c r="BK703" cm="1">
        <f t="array" ref="BK703">IF(OR(AC703={"NS","NA"},$W$677={"NS","NA"}),0,IF(AC703&lt;=$W$677,0,1))</f>
        <v>0</v>
      </c>
      <c r="BL703" cm="1">
        <f t="array" ref="BL703">IF(OR(AD703={"NS","NA"},$X$677={"NS","NA"}),0,IF(AD703&lt;=$X$677,0,1))</f>
        <v>0</v>
      </c>
    </row>
    <row r="704" spans="1:64" ht="15" customHeight="1">
      <c r="A704" s="142"/>
      <c r="B704" s="57"/>
      <c r="C704" s="98" t="s">
        <v>2525</v>
      </c>
      <c r="D704" s="813" t="s">
        <v>3758</v>
      </c>
      <c r="E704" s="814"/>
      <c r="F704" s="814"/>
      <c r="G704" s="814"/>
      <c r="H704" s="814"/>
      <c r="I704" s="814"/>
      <c r="J704" s="814"/>
      <c r="K704" s="814"/>
      <c r="L704" s="814"/>
      <c r="M704" s="814"/>
      <c r="N704" s="814"/>
      <c r="O704" s="814"/>
      <c r="P704" s="814"/>
      <c r="Q704" s="814"/>
      <c r="R704" s="814"/>
      <c r="S704" s="814"/>
      <c r="T704" s="814"/>
      <c r="U704" s="815"/>
      <c r="V704" s="100"/>
      <c r="W704" s="100"/>
      <c r="X704" s="100"/>
      <c r="Y704" s="100"/>
      <c r="Z704" s="100"/>
      <c r="AA704" s="100"/>
      <c r="AB704" s="100"/>
      <c r="AC704" s="100"/>
      <c r="AD704" s="100"/>
      <c r="AG704"/>
      <c r="AH704"/>
      <c r="AI704"/>
      <c r="AJ704"/>
      <c r="AK704">
        <f t="shared" si="675"/>
        <v>0</v>
      </c>
      <c r="AL704">
        <f t="shared" si="676"/>
        <v>0</v>
      </c>
      <c r="AM704">
        <f t="shared" si="677"/>
        <v>0</v>
      </c>
      <c r="AN704">
        <f t="shared" si="678"/>
        <v>0</v>
      </c>
      <c r="AO704">
        <f t="shared" si="679"/>
        <v>0</v>
      </c>
      <c r="AP704">
        <f t="shared" si="680"/>
        <v>0</v>
      </c>
      <c r="AQ704">
        <f t="shared" si="681"/>
        <v>0</v>
      </c>
      <c r="AR704">
        <f t="shared" si="682"/>
        <v>0</v>
      </c>
      <c r="AS704">
        <f t="shared" si="683"/>
        <v>0</v>
      </c>
      <c r="AT704"/>
      <c r="AU704"/>
      <c r="AV704"/>
      <c r="AW704"/>
      <c r="AX704"/>
      <c r="AY704"/>
      <c r="AZ704"/>
      <c r="BA704"/>
      <c r="BB704"/>
      <c r="BC704"/>
      <c r="BD704" cm="1">
        <f t="array" ref="BD704">IF(OR(V704={"NS","NA"},$P$677={"NS","NA"}),0,IF(V704&lt;=$P$677,0,1))</f>
        <v>0</v>
      </c>
      <c r="BE704" cm="1">
        <f t="array" ref="BE704">IF(OR(W704={"NS","NA"},$Q$677={"NS","NA"}),0,IF(W704&lt;=$Q$677,0,1))</f>
        <v>0</v>
      </c>
      <c r="BF704" cm="1">
        <f t="array" ref="BF704">IF(OR(X704={"NS","NA"},$R$677={"NS","NA"}),0,IF(X704&lt;=$R$677,0,1))</f>
        <v>0</v>
      </c>
      <c r="BG704" cm="1">
        <f t="array" ref="BG704">IF(OR(Y704={"NS","NA"},$S$677={"NS","NA"}),0,IF(Y704&lt;=$S$677,0,1))</f>
        <v>0</v>
      </c>
      <c r="BH704" cm="1">
        <f t="array" ref="BH704">IF(OR(Z704={"NS","NA"},$T$677={"NS","NA"}),0,IF(Z704&lt;=$T$677,0,1))</f>
        <v>0</v>
      </c>
      <c r="BI704" cm="1">
        <f t="array" ref="BI704">IF(OR(AA704={"NS","NA"},$U$677={"NS","NA"}),0,IF(AA704&lt;=$U$677,0,1))</f>
        <v>0</v>
      </c>
      <c r="BJ704" cm="1">
        <f t="array" ref="BJ704">IF(OR(AB704={"NS","NA"},$V$677={"NS","NA"}),0,IF(AB704&lt;=$V$677,0,1))</f>
        <v>0</v>
      </c>
      <c r="BK704" cm="1">
        <f t="array" ref="BK704">IF(OR(AC704={"NS","NA"},$W$677={"NS","NA"}),0,IF(AC704&lt;=$W$677,0,1))</f>
        <v>0</v>
      </c>
      <c r="BL704" cm="1">
        <f t="array" ref="BL704">IF(OR(AD704={"NS","NA"},$X$677={"NS","NA"}),0,IF(AD704&lt;=$X$677,0,1))</f>
        <v>0</v>
      </c>
    </row>
    <row r="705" spans="1:64" ht="15" customHeight="1">
      <c r="A705" s="142"/>
      <c r="B705" s="57"/>
      <c r="C705" s="98" t="s">
        <v>2526</v>
      </c>
      <c r="D705" s="813" t="s">
        <v>201</v>
      </c>
      <c r="E705" s="814"/>
      <c r="F705" s="814"/>
      <c r="G705" s="814"/>
      <c r="H705" s="814"/>
      <c r="I705" s="814"/>
      <c r="J705" s="814"/>
      <c r="K705" s="814"/>
      <c r="L705" s="814"/>
      <c r="M705" s="814"/>
      <c r="N705" s="814"/>
      <c r="O705" s="814"/>
      <c r="P705" s="814"/>
      <c r="Q705" s="814"/>
      <c r="R705" s="814"/>
      <c r="S705" s="814"/>
      <c r="T705" s="814"/>
      <c r="U705" s="815"/>
      <c r="V705" s="100"/>
      <c r="W705" s="100"/>
      <c r="X705" s="100"/>
      <c r="Y705" s="100"/>
      <c r="Z705" s="100"/>
      <c r="AA705" s="100"/>
      <c r="AB705" s="100"/>
      <c r="AC705" s="100"/>
      <c r="AD705" s="100"/>
      <c r="AG705"/>
      <c r="AH705"/>
      <c r="AI705"/>
      <c r="AJ705"/>
      <c r="AK705">
        <f t="shared" si="675"/>
        <v>0</v>
      </c>
      <c r="AL705">
        <f t="shared" si="676"/>
        <v>0</v>
      </c>
      <c r="AM705">
        <f t="shared" si="677"/>
        <v>0</v>
      </c>
      <c r="AN705">
        <f t="shared" si="678"/>
        <v>0</v>
      </c>
      <c r="AO705">
        <f t="shared" si="679"/>
        <v>0</v>
      </c>
      <c r="AP705">
        <f t="shared" si="680"/>
        <v>0</v>
      </c>
      <c r="AQ705">
        <f t="shared" si="681"/>
        <v>0</v>
      </c>
      <c r="AR705">
        <f t="shared" si="682"/>
        <v>0</v>
      </c>
      <c r="AS705">
        <f t="shared" si="683"/>
        <v>0</v>
      </c>
      <c r="AT705"/>
      <c r="AU705"/>
      <c r="AV705"/>
      <c r="AW705"/>
      <c r="AX705"/>
      <c r="AY705"/>
      <c r="AZ705"/>
      <c r="BA705"/>
      <c r="BB705"/>
      <c r="BC705"/>
      <c r="BD705" cm="1">
        <f t="array" ref="BD705">IF(OR(V705={"NS","NA"},$P$677={"NS","NA"}),0,IF(V705&lt;=$P$677,0,1))</f>
        <v>0</v>
      </c>
      <c r="BE705" cm="1">
        <f t="array" ref="BE705">IF(OR(W705={"NS","NA"},$Q$677={"NS","NA"}),0,IF(W705&lt;=$Q$677,0,1))</f>
        <v>0</v>
      </c>
      <c r="BF705" cm="1">
        <f t="array" ref="BF705">IF(OR(X705={"NS","NA"},$R$677={"NS","NA"}),0,IF(X705&lt;=$R$677,0,1))</f>
        <v>0</v>
      </c>
      <c r="BG705" cm="1">
        <f t="array" ref="BG705">IF(OR(Y705={"NS","NA"},$S$677={"NS","NA"}),0,IF(Y705&lt;=$S$677,0,1))</f>
        <v>0</v>
      </c>
      <c r="BH705" cm="1">
        <f t="array" ref="BH705">IF(OR(Z705={"NS","NA"},$T$677={"NS","NA"}),0,IF(Z705&lt;=$T$677,0,1))</f>
        <v>0</v>
      </c>
      <c r="BI705" cm="1">
        <f t="array" ref="BI705">IF(OR(AA705={"NS","NA"},$U$677={"NS","NA"}),0,IF(AA705&lt;=$U$677,0,1))</f>
        <v>0</v>
      </c>
      <c r="BJ705" cm="1">
        <f t="array" ref="BJ705">IF(OR(AB705={"NS","NA"},$V$677={"NS","NA"}),0,IF(AB705&lt;=$V$677,0,1))</f>
        <v>0</v>
      </c>
      <c r="BK705" cm="1">
        <f t="array" ref="BK705">IF(OR(AC705={"NS","NA"},$W$677={"NS","NA"}),0,IF(AC705&lt;=$W$677,0,1))</f>
        <v>0</v>
      </c>
      <c r="BL705" cm="1">
        <f t="array" ref="BL705">IF(OR(AD705={"NS","NA"},$X$677={"NS","NA"}),0,IF(AD705&lt;=$X$677,0,1))</f>
        <v>0</v>
      </c>
    </row>
    <row r="706" spans="1:64" ht="15" customHeight="1">
      <c r="A706" s="142"/>
      <c r="B706" s="57"/>
      <c r="C706" s="38"/>
      <c r="D706" s="38"/>
      <c r="E706" s="38"/>
      <c r="F706" s="38"/>
      <c r="G706" s="38"/>
      <c r="H706" s="38"/>
      <c r="I706" s="38"/>
      <c r="J706" s="38"/>
      <c r="K706" s="38"/>
      <c r="L706" s="99"/>
      <c r="M706" s="51"/>
      <c r="N706" s="51"/>
      <c r="O706" s="51"/>
      <c r="P706" s="51"/>
      <c r="Q706" s="51"/>
      <c r="R706" s="51"/>
      <c r="S706" s="51"/>
      <c r="T706" s="51"/>
      <c r="U706" s="99" t="s">
        <v>2649</v>
      </c>
      <c r="V706" s="124">
        <f t="shared" ref="V706:AD706" si="684">IF(AND(SUM(V695:V705)=0,COUNTIF(V695:V705,"NS")&gt;0),"NS",IF(AND(SUM(V695:V705)=0,COUNTIF(V695:V705,0)&gt;0),0,IF(AND(SUM(V695:V705)=0,COUNTIF(V695:V705,"NA")&gt;0),"NA",SUM(V695:V705))))</f>
        <v>0</v>
      </c>
      <c r="W706" s="124">
        <f t="shared" si="684"/>
        <v>0</v>
      </c>
      <c r="X706" s="124">
        <f t="shared" si="684"/>
        <v>0</v>
      </c>
      <c r="Y706" s="124">
        <f t="shared" si="684"/>
        <v>0</v>
      </c>
      <c r="Z706" s="124">
        <f t="shared" si="684"/>
        <v>0</v>
      </c>
      <c r="AA706" s="124">
        <f t="shared" si="684"/>
        <v>0</v>
      </c>
      <c r="AB706" s="124">
        <f t="shared" si="684"/>
        <v>0</v>
      </c>
      <c r="AC706" s="124">
        <f t="shared" si="684"/>
        <v>0</v>
      </c>
      <c r="AD706" s="124">
        <f t="shared" si="684"/>
        <v>0</v>
      </c>
      <c r="AG706"/>
      <c r="AH706"/>
      <c r="AI706"/>
      <c r="AJ706"/>
      <c r="AK706"/>
      <c r="AL706"/>
      <c r="AM706" s="405">
        <f>SUM(AM695:AM705)</f>
        <v>0</v>
      </c>
      <c r="AN706"/>
      <c r="AO706"/>
      <c r="AP706" s="405">
        <f>SUM(AP695:AP705)</f>
        <v>0</v>
      </c>
      <c r="AQ706"/>
      <c r="AR706"/>
      <c r="AS706" s="405">
        <f>SUM(AS695:AS705)</f>
        <v>0</v>
      </c>
      <c r="AT706"/>
      <c r="AU706"/>
      <c r="AV706"/>
      <c r="AW706"/>
      <c r="AX706"/>
      <c r="AY706"/>
      <c r="AZ706"/>
      <c r="BA706"/>
      <c r="BB706"/>
      <c r="BC706"/>
      <c r="BD706"/>
      <c r="BE706"/>
      <c r="BF706"/>
      <c r="BG706"/>
      <c r="BH706"/>
      <c r="BI706"/>
      <c r="BJ706"/>
      <c r="BK706"/>
      <c r="BL706" s="506">
        <f>SUM(BD695:BL705)</f>
        <v>0</v>
      </c>
    </row>
    <row r="707" spans="1:64" ht="15" customHeight="1">
      <c r="A707" s="142"/>
      <c r="B707" s="57"/>
      <c r="C707" s="57"/>
      <c r="D707" s="57"/>
      <c r="E707" s="57"/>
      <c r="F707" s="57"/>
      <c r="G707" s="57"/>
      <c r="H707" s="57"/>
      <c r="I707" s="57"/>
      <c r="J707" s="57"/>
      <c r="K707" s="57"/>
      <c r="L707" s="57"/>
      <c r="M707" s="57"/>
      <c r="N707" s="57"/>
      <c r="O707" s="57"/>
      <c r="P707" s="57"/>
      <c r="Q707" s="57"/>
      <c r="R707" s="57"/>
      <c r="S707" s="57"/>
      <c r="T707" s="57"/>
      <c r="U707" s="57"/>
      <c r="V707" s="57"/>
      <c r="W707" s="57"/>
      <c r="X707" s="57"/>
      <c r="Y707" s="57"/>
      <c r="Z707" s="57"/>
      <c r="AA707" s="57"/>
      <c r="AB707" s="57"/>
      <c r="AC707" s="57"/>
      <c r="AD707" s="57"/>
      <c r="AG707"/>
      <c r="AH707"/>
      <c r="AI707"/>
      <c r="AJ707"/>
      <c r="AK707" t="s">
        <v>2650</v>
      </c>
      <c r="AL707" s="506">
        <f>SUM(AM706,AP706,AS706)</f>
        <v>0</v>
      </c>
      <c r="AM707"/>
      <c r="AN707"/>
      <c r="AO707"/>
      <c r="AP707"/>
      <c r="AQ707"/>
      <c r="AR707"/>
      <c r="AS707"/>
      <c r="AT707"/>
      <c r="AU707"/>
      <c r="AV707"/>
      <c r="AW707"/>
      <c r="AX707"/>
      <c r="AY707"/>
      <c r="AZ707"/>
      <c r="BA707"/>
      <c r="BB707"/>
      <c r="BC707"/>
      <c r="BD707"/>
      <c r="BE707"/>
      <c r="BF707"/>
      <c r="BG707"/>
      <c r="BH707"/>
      <c r="BI707"/>
      <c r="BJ707"/>
      <c r="BK707"/>
      <c r="BL707"/>
    </row>
    <row r="708" spans="1:64" ht="24" customHeight="1">
      <c r="A708" s="142"/>
      <c r="B708" s="57"/>
      <c r="C708" s="754" t="s">
        <v>2611</v>
      </c>
      <c r="D708" s="754"/>
      <c r="E708" s="754"/>
      <c r="F708" s="754"/>
      <c r="G708" s="754"/>
      <c r="H708" s="754"/>
      <c r="I708" s="754"/>
      <c r="J708" s="754"/>
      <c r="K708" s="754"/>
      <c r="L708" s="754"/>
      <c r="M708" s="754"/>
      <c r="N708" s="754"/>
      <c r="O708" s="754"/>
      <c r="P708" s="754"/>
      <c r="Q708" s="754"/>
      <c r="R708" s="754"/>
      <c r="S708" s="754"/>
      <c r="T708" s="754"/>
      <c r="U708" s="754"/>
      <c r="V708" s="754"/>
      <c r="W708" s="754"/>
      <c r="X708" s="754"/>
      <c r="Y708" s="754"/>
      <c r="Z708" s="754"/>
      <c r="AA708" s="754"/>
      <c r="AB708" s="754"/>
      <c r="AC708" s="754"/>
      <c r="AD708" s="754"/>
    </row>
    <row r="709" spans="1:64" ht="60" customHeight="1">
      <c r="A709" s="142"/>
      <c r="B709" s="57"/>
      <c r="C709" s="812"/>
      <c r="D709" s="812"/>
      <c r="E709" s="812"/>
      <c r="F709" s="812"/>
      <c r="G709" s="812"/>
      <c r="H709" s="812"/>
      <c r="I709" s="812"/>
      <c r="J709" s="812"/>
      <c r="K709" s="812"/>
      <c r="L709" s="812"/>
      <c r="M709" s="812"/>
      <c r="N709" s="812"/>
      <c r="O709" s="812"/>
      <c r="P709" s="812"/>
      <c r="Q709" s="812"/>
      <c r="R709" s="812"/>
      <c r="S709" s="812"/>
      <c r="T709" s="812"/>
      <c r="U709" s="812"/>
      <c r="V709" s="812"/>
      <c r="W709" s="812"/>
      <c r="X709" s="812"/>
      <c r="Y709" s="812"/>
      <c r="Z709" s="812"/>
      <c r="AA709" s="812"/>
      <c r="AB709" s="812"/>
      <c r="AC709" s="812"/>
      <c r="AD709" s="812"/>
    </row>
    <row r="710" spans="1:64" ht="15" customHeight="1">
      <c r="A710" s="142"/>
      <c r="B710" s="794" t="str">
        <f>IF(AG695=0,"","Favor de ingresar toda la información requerida en la pregunta")</f>
        <v/>
      </c>
      <c r="C710" s="794"/>
      <c r="D710" s="794"/>
      <c r="E710" s="794"/>
      <c r="F710" s="794"/>
      <c r="G710" s="794"/>
      <c r="H710" s="794"/>
      <c r="I710" s="794"/>
      <c r="J710" s="794"/>
      <c r="K710" s="794"/>
      <c r="L710" s="794"/>
      <c r="M710" s="794"/>
      <c r="N710" s="794"/>
      <c r="O710" s="794"/>
      <c r="P710" s="794"/>
      <c r="Q710" s="794"/>
      <c r="R710" s="794"/>
      <c r="S710" s="794"/>
      <c r="T710" s="794"/>
      <c r="U710" s="794"/>
      <c r="V710" s="794"/>
      <c r="W710" s="794"/>
      <c r="X710" s="794"/>
      <c r="Y710" s="794"/>
      <c r="Z710" s="794"/>
      <c r="AA710" s="794"/>
      <c r="AB710" s="794"/>
      <c r="AC710" s="794"/>
      <c r="AD710" s="794"/>
      <c r="AE710" s="794"/>
    </row>
    <row r="711" spans="1:64" ht="15" customHeight="1">
      <c r="A711" s="142"/>
      <c r="B711" s="1087" t="str">
        <f>IF(AJ698=99,"",IF(COUNTIF(V695:AD705,"NS")&lt;&gt;0,"Alerta: debido a que cuenta con registros NS, debe proporcionar una justificación en el area de comentarios al final de la pregunta",""))</f>
        <v/>
      </c>
      <c r="C711" s="1087"/>
      <c r="D711" s="1087"/>
      <c r="E711" s="1087"/>
      <c r="F711" s="1087"/>
      <c r="G711" s="1087"/>
      <c r="H711" s="1087"/>
      <c r="I711" s="1087"/>
      <c r="J711" s="1087"/>
      <c r="K711" s="1087"/>
      <c r="L711" s="1087"/>
      <c r="M711" s="1087"/>
      <c r="N711" s="1087"/>
      <c r="O711" s="1087"/>
      <c r="P711" s="1087"/>
      <c r="Q711" s="1087"/>
      <c r="R711" s="1087"/>
      <c r="S711" s="1087"/>
      <c r="T711" s="1087"/>
      <c r="U711" s="1087"/>
      <c r="V711" s="1087"/>
      <c r="W711" s="1087"/>
      <c r="X711" s="1087"/>
      <c r="Y711" s="1087"/>
      <c r="Z711" s="1087"/>
      <c r="AA711" s="1087"/>
      <c r="AB711" s="1087"/>
      <c r="AC711" s="1087"/>
      <c r="AD711" s="1087"/>
      <c r="AE711" s="1087"/>
    </row>
    <row r="712" spans="1:64" ht="15" customHeight="1">
      <c r="A712" s="142"/>
      <c r="B712" s="1003" t="str">
        <f>IF(AH698&gt;0,"Revise la información capturada, ya que tiene datos ingresados en celdas que están sombreadas","")</f>
        <v/>
      </c>
      <c r="C712" s="1003"/>
      <c r="D712" s="1003"/>
      <c r="E712" s="1003"/>
      <c r="F712" s="1003"/>
      <c r="G712" s="1003"/>
      <c r="H712" s="1003"/>
      <c r="I712" s="1003"/>
      <c r="J712" s="1003"/>
      <c r="K712" s="1003"/>
      <c r="L712" s="1003"/>
      <c r="M712" s="1003"/>
      <c r="N712" s="1003"/>
      <c r="O712" s="1003"/>
      <c r="P712" s="1003"/>
      <c r="Q712" s="1003"/>
      <c r="R712" s="1003"/>
      <c r="S712" s="1003"/>
      <c r="T712" s="1003"/>
      <c r="U712" s="1003"/>
      <c r="V712" s="1003"/>
      <c r="W712" s="1003"/>
      <c r="X712" s="1003"/>
      <c r="Y712" s="1003"/>
      <c r="Z712" s="1003"/>
      <c r="AA712" s="1003"/>
      <c r="AB712" s="1003"/>
      <c r="AC712" s="1003"/>
      <c r="AD712" s="1003"/>
      <c r="AE712" s="1003"/>
    </row>
    <row r="713" spans="1:64" ht="15" customHeight="1">
      <c r="A713" s="142"/>
      <c r="B713" s="1003" t="str">
        <f>IF(AJ698=99,"",IF(AL707&gt;0,"Favor de revisar la suma y consistencia de totales y/o subtotales por filas (numéricos y NS)",""))</f>
        <v/>
      </c>
      <c r="C713" s="1003"/>
      <c r="D713" s="1003"/>
      <c r="E713" s="1003"/>
      <c r="F713" s="1003"/>
      <c r="G713" s="1003"/>
      <c r="H713" s="1003"/>
      <c r="I713" s="1003"/>
      <c r="J713" s="1003"/>
      <c r="K713" s="1003"/>
      <c r="L713" s="1003"/>
      <c r="M713" s="1003"/>
      <c r="N713" s="1003"/>
      <c r="O713" s="1003"/>
      <c r="P713" s="1003"/>
      <c r="Q713" s="1003"/>
      <c r="R713" s="1003"/>
      <c r="S713" s="1003"/>
      <c r="T713" s="1003"/>
      <c r="U713" s="1003"/>
      <c r="V713" s="1003"/>
      <c r="W713" s="1003"/>
      <c r="X713" s="1003"/>
      <c r="Y713" s="1003"/>
      <c r="Z713" s="1003"/>
      <c r="AA713" s="1003"/>
      <c r="AB713" s="1003"/>
      <c r="AC713" s="1003"/>
      <c r="AD713" s="1003"/>
      <c r="AE713" s="1003"/>
    </row>
    <row r="714" spans="1:64" ht="15" customHeight="1">
      <c r="A714" s="142"/>
      <c r="B714" s="794" t="str">
        <f>IF(BC695&gt;0,"Favor de revisar la instrucción 2, debido a que no se cumplen con los criterios mencionados","")</f>
        <v/>
      </c>
      <c r="C714" s="794"/>
      <c r="D714" s="794"/>
      <c r="E714" s="794"/>
      <c r="F714" s="794"/>
      <c r="G714" s="794"/>
      <c r="H714" s="794"/>
      <c r="I714" s="794"/>
      <c r="J714" s="794"/>
      <c r="K714" s="794"/>
      <c r="L714" s="794"/>
      <c r="M714" s="794"/>
      <c r="N714" s="794"/>
      <c r="O714" s="794"/>
      <c r="P714" s="794"/>
      <c r="Q714" s="794"/>
      <c r="R714" s="794"/>
      <c r="S714" s="794"/>
      <c r="T714" s="794"/>
      <c r="U714" s="794"/>
      <c r="V714" s="794"/>
      <c r="W714" s="794"/>
      <c r="X714" s="794"/>
      <c r="Y714" s="794"/>
      <c r="Z714" s="794"/>
      <c r="AA714" s="794"/>
      <c r="AB714" s="794"/>
      <c r="AC714" s="794"/>
      <c r="AD714" s="794"/>
      <c r="AE714" s="794"/>
    </row>
    <row r="715" spans="1:64" ht="15" customHeight="1">
      <c r="A715" s="142"/>
      <c r="B715" s="795" t="str">
        <f>IF(BL706&gt;0,"Alerta: debe de proporcionar una justificación de acuerdo a lo establecido en la instrucción 3","")</f>
        <v/>
      </c>
      <c r="C715" s="795"/>
      <c r="D715" s="795"/>
      <c r="E715" s="795"/>
      <c r="F715" s="795"/>
      <c r="G715" s="795"/>
      <c r="H715" s="795"/>
      <c r="I715" s="795"/>
      <c r="J715" s="795"/>
      <c r="K715" s="795"/>
      <c r="L715" s="795"/>
      <c r="M715" s="795"/>
      <c r="N715" s="795"/>
      <c r="O715" s="795"/>
      <c r="P715" s="795"/>
      <c r="Q715" s="795"/>
      <c r="R715" s="795"/>
      <c r="S715" s="795"/>
      <c r="T715" s="795"/>
      <c r="U715" s="795"/>
      <c r="V715" s="795"/>
      <c r="W715" s="795"/>
      <c r="X715" s="795"/>
      <c r="Y715" s="795"/>
      <c r="Z715" s="795"/>
      <c r="AA715" s="795"/>
      <c r="AB715" s="795"/>
      <c r="AC715" s="795"/>
      <c r="AD715" s="795"/>
      <c r="AE715" s="795"/>
    </row>
    <row r="716" spans="1:64" ht="36" customHeight="1">
      <c r="A716" s="49" t="s">
        <v>5330</v>
      </c>
      <c r="B716" s="829" t="s">
        <v>5331</v>
      </c>
      <c r="C716" s="829"/>
      <c r="D716" s="829"/>
      <c r="E716" s="829"/>
      <c r="F716" s="829"/>
      <c r="G716" s="829"/>
      <c r="H716" s="829"/>
      <c r="I716" s="829"/>
      <c r="J716" s="829"/>
      <c r="K716" s="829"/>
      <c r="L716" s="829"/>
      <c r="M716" s="829"/>
      <c r="N716" s="829"/>
      <c r="O716" s="829"/>
      <c r="P716" s="829"/>
      <c r="Q716" s="829"/>
      <c r="R716" s="829"/>
      <c r="S716" s="829"/>
      <c r="T716" s="829"/>
      <c r="U716" s="829"/>
      <c r="V716" s="829"/>
      <c r="W716" s="829"/>
      <c r="X716" s="829"/>
      <c r="Y716" s="829"/>
      <c r="Z716" s="829"/>
      <c r="AA716" s="829"/>
      <c r="AB716" s="829"/>
      <c r="AC716" s="829"/>
      <c r="AD716" s="829"/>
    </row>
    <row r="717" spans="1:64" ht="15" customHeight="1">
      <c r="A717" s="176"/>
      <c r="B717" s="57"/>
      <c r="C717" s="57"/>
      <c r="D717" s="57"/>
      <c r="E717" s="57"/>
      <c r="F717" s="57"/>
      <c r="G717" s="57"/>
      <c r="H717" s="57"/>
      <c r="I717" s="57"/>
      <c r="J717" s="57"/>
      <c r="K717" s="57"/>
      <c r="L717" s="57"/>
      <c r="M717" s="57"/>
      <c r="N717" s="57"/>
      <c r="O717" s="57"/>
      <c r="P717" s="57"/>
      <c r="Q717" s="57"/>
      <c r="R717" s="57"/>
      <c r="S717" s="57"/>
      <c r="T717" s="57"/>
      <c r="U717" s="57"/>
      <c r="V717" s="57"/>
      <c r="W717" s="57"/>
      <c r="X717" s="57"/>
      <c r="Y717" s="57"/>
      <c r="Z717" s="57"/>
      <c r="AA717" s="57"/>
      <c r="AB717" s="57"/>
      <c r="AC717" s="57"/>
      <c r="AD717" s="57"/>
    </row>
    <row r="718" spans="1:64" ht="36" customHeight="1">
      <c r="A718" s="108"/>
      <c r="B718" s="38"/>
      <c r="C718" s="797" t="s">
        <v>2581</v>
      </c>
      <c r="D718" s="798"/>
      <c r="E718" s="798"/>
      <c r="F718" s="798"/>
      <c r="G718" s="798"/>
      <c r="H718" s="798"/>
      <c r="I718" s="798"/>
      <c r="J718" s="798"/>
      <c r="K718" s="798"/>
      <c r="L718" s="798"/>
      <c r="M718" s="798"/>
      <c r="N718" s="798"/>
      <c r="O718" s="798"/>
      <c r="P718" s="798"/>
      <c r="Q718" s="798"/>
      <c r="R718" s="799"/>
      <c r="S718" s="739" t="s">
        <v>5332</v>
      </c>
      <c r="T718" s="740"/>
      <c r="U718" s="740"/>
      <c r="V718" s="740"/>
      <c r="W718" s="740"/>
      <c r="X718" s="740"/>
      <c r="Y718" s="740"/>
      <c r="Z718" s="740"/>
      <c r="AA718" s="740"/>
      <c r="AB718" s="740"/>
      <c r="AC718" s="740"/>
      <c r="AD718" s="741"/>
    </row>
    <row r="719" spans="1:64" ht="48" customHeight="1">
      <c r="A719" s="108"/>
      <c r="B719" s="38"/>
      <c r="C719" s="800"/>
      <c r="D719" s="801"/>
      <c r="E719" s="801"/>
      <c r="F719" s="801"/>
      <c r="G719" s="801"/>
      <c r="H719" s="801"/>
      <c r="I719" s="801"/>
      <c r="J719" s="801"/>
      <c r="K719" s="801"/>
      <c r="L719" s="801"/>
      <c r="M719" s="801"/>
      <c r="N719" s="801"/>
      <c r="O719" s="801"/>
      <c r="P719" s="801"/>
      <c r="Q719" s="801"/>
      <c r="R719" s="802"/>
      <c r="S719" s="887" t="s">
        <v>2628</v>
      </c>
      <c r="T719" s="889" t="s">
        <v>2629</v>
      </c>
      <c r="U719" s="889" t="s">
        <v>2630</v>
      </c>
      <c r="V719" s="733" t="s">
        <v>5333</v>
      </c>
      <c r="W719" s="734"/>
      <c r="X719" s="735"/>
      <c r="Y719" s="733" t="s">
        <v>5334</v>
      </c>
      <c r="Z719" s="734"/>
      <c r="AA719" s="735"/>
      <c r="AB719" s="733" t="s">
        <v>201</v>
      </c>
      <c r="AC719" s="734"/>
      <c r="AD719" s="735"/>
    </row>
    <row r="720" spans="1:64" ht="48" customHeight="1">
      <c r="A720" s="108"/>
      <c r="B720" s="38"/>
      <c r="C720" s="803"/>
      <c r="D720" s="804"/>
      <c r="E720" s="804"/>
      <c r="F720" s="804"/>
      <c r="G720" s="804"/>
      <c r="H720" s="804"/>
      <c r="I720" s="804"/>
      <c r="J720" s="804"/>
      <c r="K720" s="804"/>
      <c r="L720" s="804"/>
      <c r="M720" s="804"/>
      <c r="N720" s="804"/>
      <c r="O720" s="804"/>
      <c r="P720" s="804"/>
      <c r="Q720" s="804"/>
      <c r="R720" s="805"/>
      <c r="S720" s="888"/>
      <c r="T720" s="890"/>
      <c r="U720" s="890"/>
      <c r="V720" s="171" t="s">
        <v>2635</v>
      </c>
      <c r="W720" s="128" t="s">
        <v>2629</v>
      </c>
      <c r="X720" s="128" t="s">
        <v>2630</v>
      </c>
      <c r="Y720" s="171" t="s">
        <v>2635</v>
      </c>
      <c r="Z720" s="128" t="s">
        <v>2629</v>
      </c>
      <c r="AA720" s="128" t="s">
        <v>2630</v>
      </c>
      <c r="AB720" s="171" t="s">
        <v>2635</v>
      </c>
      <c r="AC720" s="128" t="s">
        <v>2629</v>
      </c>
      <c r="AD720" s="128" t="s">
        <v>2630</v>
      </c>
      <c r="AG720" t="s">
        <v>2586</v>
      </c>
      <c r="AH720" t="s">
        <v>4581</v>
      </c>
      <c r="AK720" t="s">
        <v>4573</v>
      </c>
      <c r="AL720" t="s">
        <v>2638</v>
      </c>
      <c r="AM720" t="s">
        <v>2639</v>
      </c>
      <c r="AN720" t="s">
        <v>4574</v>
      </c>
      <c r="AO720" t="s">
        <v>2641</v>
      </c>
      <c r="AP720" t="s">
        <v>2642</v>
      </c>
      <c r="AQ720" t="s">
        <v>4575</v>
      </c>
      <c r="AR720" t="s">
        <v>2644</v>
      </c>
      <c r="AS720" t="s">
        <v>2645</v>
      </c>
      <c r="AT720" t="s">
        <v>4576</v>
      </c>
      <c r="AU720" t="s">
        <v>2647</v>
      </c>
      <c r="AV720" t="s">
        <v>2648</v>
      </c>
      <c r="BF720" t="s">
        <v>4582</v>
      </c>
    </row>
    <row r="721" spans="1:58" ht="15" customHeight="1">
      <c r="A721" s="108"/>
      <c r="B721" s="38"/>
      <c r="C721" s="97" t="s">
        <v>2516</v>
      </c>
      <c r="D721" s="813" t="str">
        <f>IF(CNSIPEE_2024_M2_Secc1!D42="","",CNSIPEE_2024_M2_Secc1!D42)</f>
        <v/>
      </c>
      <c r="E721" s="814"/>
      <c r="F721" s="814"/>
      <c r="G721" s="814"/>
      <c r="H721" s="814"/>
      <c r="I721" s="814"/>
      <c r="J721" s="814"/>
      <c r="K721" s="814"/>
      <c r="L721" s="814"/>
      <c r="M721" s="814"/>
      <c r="N721" s="814"/>
      <c r="O721" s="814"/>
      <c r="P721" s="814"/>
      <c r="Q721" s="814"/>
      <c r="R721" s="815"/>
      <c r="S721" s="100"/>
      <c r="T721" s="100"/>
      <c r="U721" s="100"/>
      <c r="V721" s="100"/>
      <c r="W721" s="100"/>
      <c r="X721" s="100"/>
      <c r="Y721" s="100"/>
      <c r="Z721" s="100"/>
      <c r="AA721" s="100"/>
      <c r="AB721" s="100"/>
      <c r="AC721" s="100"/>
      <c r="AD721" s="100"/>
      <c r="AG721">
        <f>IF(OR($M40=0,$M40="NS",$M40="NA"),0,IF(OR(COUNTBLANK(D721:AD721)=14,COUNTBLANK(D721:AD721)=27),0,1))</f>
        <v>0</v>
      </c>
      <c r="AH721">
        <f>IF(OR($M40=0,$M40="NS",$M40="NA"),IF(COUNTBLANK(S721:AD721)=12,0,1),0)</f>
        <v>0</v>
      </c>
      <c r="AK721">
        <f t="shared" ref="AK721" si="685">COUNTIF(T721:U721,"NS")</f>
        <v>0</v>
      </c>
      <c r="AL721">
        <f t="shared" ref="AL721" si="686">SUM(T721:U721)</f>
        <v>0</v>
      </c>
      <c r="AM721">
        <f t="shared" ref="AM721" si="687">IF(COUNTIF(S721:U721,"NA")=3,0,IF(COUNTA(S721:U721)=0,0,IF(OR(AND(S721=0,AK721&gt;0),AND(S721="ns",AL721&gt;0),AND(S721="ns",AK721=0,AL721=0)),1,IF(OR(AND(S721&gt;0,AK721=2),AND(S721="ns",AK721=2),AND(S721="ns",AL721=0,AK721&gt;0),S721=AL721),0,1))))</f>
        <v>0</v>
      </c>
      <c r="AN721">
        <f t="shared" ref="AN721" si="688">COUNTIF(W721:X721,"NS")</f>
        <v>0</v>
      </c>
      <c r="AO721">
        <f t="shared" ref="AO721" si="689">SUM(W721:X721)</f>
        <v>0</v>
      </c>
      <c r="AP721">
        <f t="shared" ref="AP721" si="690">IF(COUNTIF(V721:X721,"NA")=3,0,IF(COUNTA(V721:X721)=0,0,IF(OR(AND(V721=0,AN721&gt;0),AND(V721="ns",AO721&gt;0),AND(V721="ns",AN721=0,AO721=0)),1,IF(OR(AND(V721&gt;0,AN721=2),AND(V721="ns",AN721=2),AND(V721="ns",AO721=0,AN721&gt;0),V721=AO721),0,1))))</f>
        <v>0</v>
      </c>
      <c r="AQ721">
        <f t="shared" ref="AQ721" si="691">COUNTIF(Z721:AA721,"NS")</f>
        <v>0</v>
      </c>
      <c r="AR721">
        <f t="shared" ref="AR721" si="692">SUM(Z721:AA721)</f>
        <v>0</v>
      </c>
      <c r="AS721">
        <f t="shared" ref="AS721" si="693">IF(COUNTIF(Y721:AA721,"NA")=3,0,IF(COUNTA(Y721:AA721)=0,0,IF(OR(AND(Y721=0,AQ721&gt;0),AND(Y721="ns",AR721&gt;0),AND(Y721="ns",AQ721=0,AR721=0)),1,IF(OR(AND(Y721&gt;0,AQ721=2),AND(Y721="ns",AQ721=2),AND(Y721="ns",AR721=0,AQ721&gt;0),Y721=AR721),0,1))))</f>
        <v>0</v>
      </c>
      <c r="AT721">
        <f t="shared" ref="AT721" si="694">COUNTIF(AC721:AD721,"NS")</f>
        <v>0</v>
      </c>
      <c r="AU721">
        <f t="shared" ref="AU721" si="695">SUM(AC721:AD721)</f>
        <v>0</v>
      </c>
      <c r="AV721">
        <f t="shared" ref="AV721" si="696">IF(COUNTIF(AB721:AD721,"NA")=3,0,IF(COUNTA(AB721:AD721)=0,0,IF(OR(AND(AB721=0,AT721&gt;0),AND(AB721="ns",AU721&gt;0),AND(AB721="ns",AT721=0,AU721=0)),1,IF(OR(AND(AB721&gt;0,AT721=2),AND(AB721="ns",AT721=2),AND(AB721="ns",AU721=0,AT721&gt;0),AB721=AU721),0,1))))</f>
        <v>0</v>
      </c>
      <c r="BF721">
        <f>IF(OR($M40=0,$M40="NS",$M40="NA"),0,IF(AND(M40=S721,S40=T721,Y40=U721),0,1))</f>
        <v>0</v>
      </c>
    </row>
    <row r="722" spans="1:58" ht="15" customHeight="1">
      <c r="A722" s="108"/>
      <c r="B722" s="38"/>
      <c r="C722" s="98" t="s">
        <v>2517</v>
      </c>
      <c r="D722" s="813" t="str">
        <f>IF(CNSIPEE_2024_M2_Secc1!D43="","",CNSIPEE_2024_M2_Secc1!D43)</f>
        <v/>
      </c>
      <c r="E722" s="814"/>
      <c r="F722" s="814"/>
      <c r="G722" s="814"/>
      <c r="H722" s="814"/>
      <c r="I722" s="814"/>
      <c r="J722" s="814"/>
      <c r="K722" s="814"/>
      <c r="L722" s="814"/>
      <c r="M722" s="814"/>
      <c r="N722" s="814"/>
      <c r="O722" s="814"/>
      <c r="P722" s="814"/>
      <c r="Q722" s="814"/>
      <c r="R722" s="815"/>
      <c r="S722" s="100"/>
      <c r="T722" s="100"/>
      <c r="U722" s="100"/>
      <c r="V722" s="100"/>
      <c r="W722" s="100"/>
      <c r="X722" s="100"/>
      <c r="Y722" s="100"/>
      <c r="Z722" s="100"/>
      <c r="AA722" s="100"/>
      <c r="AB722" s="100"/>
      <c r="AC722" s="100"/>
      <c r="AD722" s="100"/>
      <c r="AG722">
        <f t="shared" ref="AG722:AG728" si="697">IF(OR($M41=0,$M41="NS",$M41="NA"),0,IF(OR(COUNTBLANK(D722:AD722)=14,COUNTBLANK(D722:AD722)=27),0,1))</f>
        <v>0</v>
      </c>
      <c r="AH722">
        <f t="shared" ref="AH722:AH728" si="698">IF(OR($M41=0,$M41="NS",$M41="NA"),IF(COUNTBLANK(S722:AD722)=12,0,1),0)</f>
        <v>0</v>
      </c>
      <c r="AK722">
        <f t="shared" ref="AK722:AK728" si="699">COUNTIF(T722:U722,"NS")</f>
        <v>0</v>
      </c>
      <c r="AL722">
        <f t="shared" ref="AL722:AL728" si="700">SUM(T722:U722)</f>
        <v>0</v>
      </c>
      <c r="AM722">
        <f t="shared" ref="AM722:AM728" si="701">IF(COUNTIF(S722:U722,"NA")=3,0,IF(COUNTA(S722:U722)=0,0,IF(OR(AND(S722=0,AK722&gt;0),AND(S722="ns",AL722&gt;0),AND(S722="ns",AK722=0,AL722=0)),1,IF(OR(AND(S722&gt;0,AK722=2),AND(S722="ns",AK722=2),AND(S722="ns",AL722=0,AK722&gt;0),S722=AL722),0,1))))</f>
        <v>0</v>
      </c>
      <c r="AN722">
        <f t="shared" ref="AN722:AN728" si="702">COUNTIF(W722:X722,"NS")</f>
        <v>0</v>
      </c>
      <c r="AO722">
        <f t="shared" ref="AO722:AO728" si="703">SUM(W722:X722)</f>
        <v>0</v>
      </c>
      <c r="AP722">
        <f t="shared" ref="AP722:AP728" si="704">IF(COUNTIF(V722:X722,"NA")=3,0,IF(COUNTA(V722:X722)=0,0,IF(OR(AND(V722=0,AN722&gt;0),AND(V722="ns",AO722&gt;0),AND(V722="ns",AN722=0,AO722=0)),1,IF(OR(AND(V722&gt;0,AN722=2),AND(V722="ns",AN722=2),AND(V722="ns",AO722=0,AN722&gt;0),V722=AO722),0,1))))</f>
        <v>0</v>
      </c>
      <c r="AQ722">
        <f t="shared" ref="AQ722:AQ728" si="705">COUNTIF(Z722:AA722,"NS")</f>
        <v>0</v>
      </c>
      <c r="AR722">
        <f t="shared" ref="AR722:AR728" si="706">SUM(Z722:AA722)</f>
        <v>0</v>
      </c>
      <c r="AS722">
        <f t="shared" ref="AS722:AS728" si="707">IF(COUNTIF(Y722:AA722,"NA")=3,0,IF(COUNTA(Y722:AA722)=0,0,IF(OR(AND(Y722=0,AQ722&gt;0),AND(Y722="ns",AR722&gt;0),AND(Y722="ns",AQ722=0,AR722=0)),1,IF(OR(AND(Y722&gt;0,AQ722=2),AND(Y722="ns",AQ722=2),AND(Y722="ns",AR722=0,AQ722&gt;0),Y722=AR722),0,1))))</f>
        <v>0</v>
      </c>
      <c r="AT722">
        <f t="shared" ref="AT722:AT728" si="708">COUNTIF(AC722:AD722,"NS")</f>
        <v>0</v>
      </c>
      <c r="AU722">
        <f t="shared" ref="AU722:AU728" si="709">SUM(AC722:AD722)</f>
        <v>0</v>
      </c>
      <c r="AV722">
        <f t="shared" ref="AV722:AV728" si="710">IF(COUNTIF(AB722:AD722,"NA")=3,0,IF(COUNTA(AB722:AD722)=0,0,IF(OR(AND(AB722=0,AT722&gt;0),AND(AB722="ns",AU722&gt;0),AND(AB722="ns",AT722=0,AU722=0)),1,IF(OR(AND(AB722&gt;0,AT722=2),AND(AB722="ns",AT722=2),AND(AB722="ns",AU722=0,AT722&gt;0),AB722=AU722),0,1))))</f>
        <v>0</v>
      </c>
      <c r="BF722">
        <f t="shared" ref="BF722:BF727" si="711">IF(OR($M41=0,$M41="NS",$M41="NA"),0,IF(AND(M41=S722,S41=T722,Y41=U722),0,1))</f>
        <v>0</v>
      </c>
    </row>
    <row r="723" spans="1:58" ht="15" customHeight="1">
      <c r="A723" s="186"/>
      <c r="B723" s="57"/>
      <c r="C723" s="98" t="s">
        <v>2518</v>
      </c>
      <c r="D723" s="813" t="str">
        <f>IF(CNSIPEE_2024_M2_Secc1!D44="","",CNSIPEE_2024_M2_Secc1!D44)</f>
        <v/>
      </c>
      <c r="E723" s="814"/>
      <c r="F723" s="814"/>
      <c r="G723" s="814"/>
      <c r="H723" s="814"/>
      <c r="I723" s="814"/>
      <c r="J723" s="814"/>
      <c r="K723" s="814"/>
      <c r="L723" s="814"/>
      <c r="M723" s="814"/>
      <c r="N723" s="814"/>
      <c r="O723" s="814"/>
      <c r="P723" s="814"/>
      <c r="Q723" s="814"/>
      <c r="R723" s="815"/>
      <c r="S723" s="100"/>
      <c r="T723" s="100"/>
      <c r="U723" s="100"/>
      <c r="V723" s="100"/>
      <c r="W723" s="100"/>
      <c r="X723" s="100"/>
      <c r="Y723" s="100"/>
      <c r="Z723" s="100"/>
      <c r="AA723" s="100"/>
      <c r="AB723" s="100"/>
      <c r="AC723" s="100"/>
      <c r="AD723" s="100"/>
      <c r="AG723">
        <f t="shared" si="697"/>
        <v>0</v>
      </c>
      <c r="AH723">
        <f t="shared" si="698"/>
        <v>0</v>
      </c>
      <c r="AK723">
        <f t="shared" si="699"/>
        <v>0</v>
      </c>
      <c r="AL723">
        <f t="shared" si="700"/>
        <v>0</v>
      </c>
      <c r="AM723">
        <f t="shared" si="701"/>
        <v>0</v>
      </c>
      <c r="AN723">
        <f t="shared" si="702"/>
        <v>0</v>
      </c>
      <c r="AO723">
        <f t="shared" si="703"/>
        <v>0</v>
      </c>
      <c r="AP723">
        <f t="shared" si="704"/>
        <v>0</v>
      </c>
      <c r="AQ723">
        <f t="shared" si="705"/>
        <v>0</v>
      </c>
      <c r="AR723">
        <f t="shared" si="706"/>
        <v>0</v>
      </c>
      <c r="AS723">
        <f t="shared" si="707"/>
        <v>0</v>
      </c>
      <c r="AT723">
        <f t="shared" si="708"/>
        <v>0</v>
      </c>
      <c r="AU723">
        <f t="shared" si="709"/>
        <v>0</v>
      </c>
      <c r="AV723">
        <f t="shared" si="710"/>
        <v>0</v>
      </c>
      <c r="BF723">
        <f t="shared" si="711"/>
        <v>0</v>
      </c>
    </row>
    <row r="724" spans="1:58" ht="15" customHeight="1">
      <c r="A724" s="186"/>
      <c r="B724" s="57"/>
      <c r="C724" s="98" t="s">
        <v>2519</v>
      </c>
      <c r="D724" s="813" t="str">
        <f>IF(CNSIPEE_2024_M2_Secc1!D45="","",CNSIPEE_2024_M2_Secc1!D45)</f>
        <v/>
      </c>
      <c r="E724" s="814"/>
      <c r="F724" s="814"/>
      <c r="G724" s="814"/>
      <c r="H724" s="814"/>
      <c r="I724" s="814"/>
      <c r="J724" s="814"/>
      <c r="K724" s="814"/>
      <c r="L724" s="814"/>
      <c r="M724" s="814"/>
      <c r="N724" s="814"/>
      <c r="O724" s="814"/>
      <c r="P724" s="814"/>
      <c r="Q724" s="814"/>
      <c r="R724" s="815"/>
      <c r="S724" s="100"/>
      <c r="T724" s="100"/>
      <c r="U724" s="100"/>
      <c r="V724" s="100"/>
      <c r="W724" s="100"/>
      <c r="X724" s="100"/>
      <c r="Y724" s="100"/>
      <c r="Z724" s="100"/>
      <c r="AA724" s="100"/>
      <c r="AB724" s="100"/>
      <c r="AC724" s="100"/>
      <c r="AD724" s="100"/>
      <c r="AG724">
        <f t="shared" si="697"/>
        <v>0</v>
      </c>
      <c r="AH724">
        <f t="shared" si="698"/>
        <v>0</v>
      </c>
      <c r="AK724">
        <f t="shared" si="699"/>
        <v>0</v>
      </c>
      <c r="AL724">
        <f t="shared" si="700"/>
        <v>0</v>
      </c>
      <c r="AM724">
        <f t="shared" si="701"/>
        <v>0</v>
      </c>
      <c r="AN724">
        <f t="shared" si="702"/>
        <v>0</v>
      </c>
      <c r="AO724">
        <f t="shared" si="703"/>
        <v>0</v>
      </c>
      <c r="AP724">
        <f t="shared" si="704"/>
        <v>0</v>
      </c>
      <c r="AQ724">
        <f t="shared" si="705"/>
        <v>0</v>
      </c>
      <c r="AR724">
        <f t="shared" si="706"/>
        <v>0</v>
      </c>
      <c r="AS724">
        <f t="shared" si="707"/>
        <v>0</v>
      </c>
      <c r="AT724">
        <f t="shared" si="708"/>
        <v>0</v>
      </c>
      <c r="AU724">
        <f t="shared" si="709"/>
        <v>0</v>
      </c>
      <c r="AV724">
        <f t="shared" si="710"/>
        <v>0</v>
      </c>
      <c r="BF724">
        <f t="shared" si="711"/>
        <v>0</v>
      </c>
    </row>
    <row r="725" spans="1:58" ht="15" customHeight="1">
      <c r="A725" s="186"/>
      <c r="B725" s="57"/>
      <c r="C725" s="98" t="s">
        <v>2520</v>
      </c>
      <c r="D725" s="813" t="str">
        <f>IF(CNSIPEE_2024_M2_Secc1!D46="","",CNSIPEE_2024_M2_Secc1!D46)</f>
        <v/>
      </c>
      <c r="E725" s="814"/>
      <c r="F725" s="814"/>
      <c r="G725" s="814"/>
      <c r="H725" s="814"/>
      <c r="I725" s="814"/>
      <c r="J725" s="814"/>
      <c r="K725" s="814"/>
      <c r="L725" s="814"/>
      <c r="M725" s="814"/>
      <c r="N725" s="814"/>
      <c r="O725" s="814"/>
      <c r="P725" s="814"/>
      <c r="Q725" s="814"/>
      <c r="R725" s="815"/>
      <c r="S725" s="100"/>
      <c r="T725" s="100"/>
      <c r="U725" s="100"/>
      <c r="V725" s="100"/>
      <c r="W725" s="100"/>
      <c r="X725" s="100"/>
      <c r="Y725" s="100"/>
      <c r="Z725" s="100"/>
      <c r="AA725" s="100"/>
      <c r="AB725" s="100"/>
      <c r="AC725" s="100"/>
      <c r="AD725" s="100"/>
      <c r="AG725">
        <f t="shared" si="697"/>
        <v>0</v>
      </c>
      <c r="AH725">
        <f t="shared" si="698"/>
        <v>0</v>
      </c>
      <c r="AK725">
        <f t="shared" si="699"/>
        <v>0</v>
      </c>
      <c r="AL725">
        <f t="shared" si="700"/>
        <v>0</v>
      </c>
      <c r="AM725">
        <f t="shared" si="701"/>
        <v>0</v>
      </c>
      <c r="AN725">
        <f t="shared" si="702"/>
        <v>0</v>
      </c>
      <c r="AO725">
        <f t="shared" si="703"/>
        <v>0</v>
      </c>
      <c r="AP725">
        <f t="shared" si="704"/>
        <v>0</v>
      </c>
      <c r="AQ725">
        <f t="shared" si="705"/>
        <v>0</v>
      </c>
      <c r="AR725">
        <f t="shared" si="706"/>
        <v>0</v>
      </c>
      <c r="AS725">
        <f t="shared" si="707"/>
        <v>0</v>
      </c>
      <c r="AT725">
        <f t="shared" si="708"/>
        <v>0</v>
      </c>
      <c r="AU725">
        <f t="shared" si="709"/>
        <v>0</v>
      </c>
      <c r="AV725">
        <f t="shared" si="710"/>
        <v>0</v>
      </c>
      <c r="BF725">
        <f t="shared" si="711"/>
        <v>0</v>
      </c>
    </row>
    <row r="726" spans="1:58" ht="15" customHeight="1">
      <c r="A726" s="186"/>
      <c r="B726" s="57"/>
      <c r="C726" s="98" t="s">
        <v>2521</v>
      </c>
      <c r="D726" s="813" t="str">
        <f>IF(CNSIPEE_2024_M2_Secc1!D47="","",CNSIPEE_2024_M2_Secc1!D47)</f>
        <v/>
      </c>
      <c r="E726" s="814"/>
      <c r="F726" s="814"/>
      <c r="G726" s="814"/>
      <c r="H726" s="814"/>
      <c r="I726" s="814"/>
      <c r="J726" s="814"/>
      <c r="K726" s="814"/>
      <c r="L726" s="814"/>
      <c r="M726" s="814"/>
      <c r="N726" s="814"/>
      <c r="O726" s="814"/>
      <c r="P726" s="814"/>
      <c r="Q726" s="814"/>
      <c r="R726" s="815"/>
      <c r="S726" s="100"/>
      <c r="T726" s="100"/>
      <c r="U726" s="100"/>
      <c r="V726" s="100"/>
      <c r="W726" s="100"/>
      <c r="X726" s="100"/>
      <c r="Y726" s="100"/>
      <c r="Z726" s="100"/>
      <c r="AA726" s="100"/>
      <c r="AB726" s="100"/>
      <c r="AC726" s="100"/>
      <c r="AD726" s="100"/>
      <c r="AG726">
        <f t="shared" si="697"/>
        <v>0</v>
      </c>
      <c r="AH726">
        <f t="shared" si="698"/>
        <v>0</v>
      </c>
      <c r="AK726">
        <f t="shared" si="699"/>
        <v>0</v>
      </c>
      <c r="AL726">
        <f t="shared" si="700"/>
        <v>0</v>
      </c>
      <c r="AM726">
        <f t="shared" si="701"/>
        <v>0</v>
      </c>
      <c r="AN726">
        <f t="shared" si="702"/>
        <v>0</v>
      </c>
      <c r="AO726">
        <f t="shared" si="703"/>
        <v>0</v>
      </c>
      <c r="AP726">
        <f t="shared" si="704"/>
        <v>0</v>
      </c>
      <c r="AQ726">
        <f t="shared" si="705"/>
        <v>0</v>
      </c>
      <c r="AR726">
        <f t="shared" si="706"/>
        <v>0</v>
      </c>
      <c r="AS726">
        <f t="shared" si="707"/>
        <v>0</v>
      </c>
      <c r="AT726">
        <f t="shared" si="708"/>
        <v>0</v>
      </c>
      <c r="AU726">
        <f t="shared" si="709"/>
        <v>0</v>
      </c>
      <c r="AV726">
        <f t="shared" si="710"/>
        <v>0</v>
      </c>
      <c r="BF726">
        <f t="shared" si="711"/>
        <v>0</v>
      </c>
    </row>
    <row r="727" spans="1:58" ht="15" customHeight="1">
      <c r="A727" s="186"/>
      <c r="B727" s="57"/>
      <c r="C727" s="98" t="s">
        <v>2522</v>
      </c>
      <c r="D727" s="813" t="str">
        <f>IF(CNSIPEE_2024_M2_Secc1!D48="","",CNSIPEE_2024_M2_Secc1!D48)</f>
        <v/>
      </c>
      <c r="E727" s="814"/>
      <c r="F727" s="814"/>
      <c r="G727" s="814"/>
      <c r="H727" s="814"/>
      <c r="I727" s="814"/>
      <c r="J727" s="814"/>
      <c r="K727" s="814"/>
      <c r="L727" s="814"/>
      <c r="M727" s="814"/>
      <c r="N727" s="814"/>
      <c r="O727" s="814"/>
      <c r="P727" s="814"/>
      <c r="Q727" s="814"/>
      <c r="R727" s="815"/>
      <c r="S727" s="100"/>
      <c r="T727" s="100"/>
      <c r="U727" s="100"/>
      <c r="V727" s="100"/>
      <c r="W727" s="100"/>
      <c r="X727" s="100"/>
      <c r="Y727" s="100"/>
      <c r="Z727" s="100"/>
      <c r="AA727" s="100"/>
      <c r="AB727" s="100"/>
      <c r="AC727" s="100"/>
      <c r="AD727" s="100"/>
      <c r="AG727">
        <f t="shared" si="697"/>
        <v>0</v>
      </c>
      <c r="AH727">
        <f t="shared" si="698"/>
        <v>0</v>
      </c>
      <c r="AK727">
        <f t="shared" si="699"/>
        <v>0</v>
      </c>
      <c r="AL727">
        <f t="shared" si="700"/>
        <v>0</v>
      </c>
      <c r="AM727">
        <f t="shared" si="701"/>
        <v>0</v>
      </c>
      <c r="AN727">
        <f t="shared" si="702"/>
        <v>0</v>
      </c>
      <c r="AO727">
        <f t="shared" si="703"/>
        <v>0</v>
      </c>
      <c r="AP727">
        <f t="shared" si="704"/>
        <v>0</v>
      </c>
      <c r="AQ727">
        <f t="shared" si="705"/>
        <v>0</v>
      </c>
      <c r="AR727">
        <f t="shared" si="706"/>
        <v>0</v>
      </c>
      <c r="AS727">
        <f t="shared" si="707"/>
        <v>0</v>
      </c>
      <c r="AT727">
        <f t="shared" si="708"/>
        <v>0</v>
      </c>
      <c r="AU727">
        <f t="shared" si="709"/>
        <v>0</v>
      </c>
      <c r="AV727">
        <f t="shared" si="710"/>
        <v>0</v>
      </c>
      <c r="BF727">
        <f t="shared" si="711"/>
        <v>0</v>
      </c>
    </row>
    <row r="728" spans="1:58" ht="15" customHeight="1">
      <c r="A728" s="186"/>
      <c r="B728" s="57"/>
      <c r="C728" s="98" t="s">
        <v>2523</v>
      </c>
      <c r="D728" s="813" t="str">
        <f>IF(CNSIPEE_2024_M2_Secc1!D49="","",CNSIPEE_2024_M2_Secc1!D49)</f>
        <v/>
      </c>
      <c r="E728" s="814"/>
      <c r="F728" s="814"/>
      <c r="G728" s="814"/>
      <c r="H728" s="814"/>
      <c r="I728" s="814"/>
      <c r="J728" s="814"/>
      <c r="K728" s="814"/>
      <c r="L728" s="814"/>
      <c r="M728" s="814"/>
      <c r="N728" s="814"/>
      <c r="O728" s="814"/>
      <c r="P728" s="814"/>
      <c r="Q728" s="814"/>
      <c r="R728" s="815"/>
      <c r="S728" s="100"/>
      <c r="T728" s="100"/>
      <c r="U728" s="100"/>
      <c r="V728" s="100"/>
      <c r="W728" s="100"/>
      <c r="X728" s="100"/>
      <c r="Y728" s="100"/>
      <c r="Z728" s="100"/>
      <c r="AA728" s="100"/>
      <c r="AB728" s="100"/>
      <c r="AC728" s="100"/>
      <c r="AD728" s="100"/>
      <c r="AG728">
        <f t="shared" si="697"/>
        <v>0</v>
      </c>
      <c r="AH728">
        <f t="shared" si="698"/>
        <v>0</v>
      </c>
      <c r="AK728">
        <f t="shared" si="699"/>
        <v>0</v>
      </c>
      <c r="AL728">
        <f t="shared" si="700"/>
        <v>0</v>
      </c>
      <c r="AM728">
        <f t="shared" si="701"/>
        <v>0</v>
      </c>
      <c r="AN728">
        <f t="shared" si="702"/>
        <v>0</v>
      </c>
      <c r="AO728">
        <f t="shared" si="703"/>
        <v>0</v>
      </c>
      <c r="AP728">
        <f t="shared" si="704"/>
        <v>0</v>
      </c>
      <c r="AQ728">
        <f t="shared" si="705"/>
        <v>0</v>
      </c>
      <c r="AR728">
        <f t="shared" si="706"/>
        <v>0</v>
      </c>
      <c r="AS728">
        <f t="shared" si="707"/>
        <v>0</v>
      </c>
      <c r="AT728">
        <f t="shared" si="708"/>
        <v>0</v>
      </c>
      <c r="AU728">
        <f t="shared" si="709"/>
        <v>0</v>
      </c>
      <c r="AV728">
        <f t="shared" si="710"/>
        <v>0</v>
      </c>
      <c r="BF728">
        <f>IF(OR($M47=0,$M47="NS",$M47="NA"),0,IF(AND(M47=S728,S47=T728,Y47=U728),0,1))</f>
        <v>0</v>
      </c>
    </row>
    <row r="729" spans="1:58" ht="15" customHeight="1">
      <c r="A729" s="186"/>
      <c r="B729" s="57"/>
      <c r="C729" s="70"/>
      <c r="D729" s="84"/>
      <c r="E729" s="84"/>
      <c r="F729" s="84"/>
      <c r="G729" s="84"/>
      <c r="H729" s="84"/>
      <c r="I729" s="84"/>
      <c r="J729" s="84"/>
      <c r="K729" s="84"/>
      <c r="L729" s="84"/>
      <c r="M729" s="84"/>
      <c r="N729" s="84"/>
      <c r="O729" s="84"/>
      <c r="P729" s="84"/>
      <c r="Q729" s="84"/>
      <c r="R729" s="117" t="s">
        <v>2649</v>
      </c>
      <c r="S729" s="124">
        <f t="shared" ref="S729:AD729" si="712">IF(AND(SUM(S721:S728)=0,COUNTIF(S721:S728,"NS")&gt;0),"NS",IF(AND(SUM(S721:S728)=0,COUNTIF(S721:S728,0)&gt;0),0,IF(AND(SUM(S721:S728)=0,COUNTIF(S721:S728,"NA")&gt;0),"NA",SUM(S721:S728))))</f>
        <v>0</v>
      </c>
      <c r="T729" s="124">
        <f t="shared" si="712"/>
        <v>0</v>
      </c>
      <c r="U729" s="124">
        <f t="shared" si="712"/>
        <v>0</v>
      </c>
      <c r="V729" s="124">
        <f t="shared" si="712"/>
        <v>0</v>
      </c>
      <c r="W729" s="124">
        <f t="shared" si="712"/>
        <v>0</v>
      </c>
      <c r="X729" s="124">
        <f t="shared" si="712"/>
        <v>0</v>
      </c>
      <c r="Y729" s="124">
        <f t="shared" si="712"/>
        <v>0</v>
      </c>
      <c r="Z729" s="124">
        <f t="shared" si="712"/>
        <v>0</v>
      </c>
      <c r="AA729" s="124">
        <f t="shared" si="712"/>
        <v>0</v>
      </c>
      <c r="AB729" s="124">
        <f t="shared" si="712"/>
        <v>0</v>
      </c>
      <c r="AC729" s="124">
        <f t="shared" si="712"/>
        <v>0</v>
      </c>
      <c r="AD729" s="124">
        <f t="shared" si="712"/>
        <v>0</v>
      </c>
      <c r="AG729" s="507">
        <f>SUM(AG721:AG728)</f>
        <v>0</v>
      </c>
      <c r="AH729" s="507">
        <f>SUM(AH721:AH728)</f>
        <v>0</v>
      </c>
      <c r="AK729">
        <f>SUM(AK721:AK728)</f>
        <v>0</v>
      </c>
      <c r="AM729">
        <f>SUM(AM721:AM728)</f>
        <v>0</v>
      </c>
      <c r="AN729">
        <f>SUM(AN721:AN728)</f>
        <v>0</v>
      </c>
      <c r="AP729">
        <f>SUM(AP721:AP728)</f>
        <v>0</v>
      </c>
      <c r="AQ729">
        <f>SUM(AQ721:AQ728)</f>
        <v>0</v>
      </c>
      <c r="AS729">
        <f>SUM(AS721:AS728)</f>
        <v>0</v>
      </c>
      <c r="AT729">
        <f>SUM(AT721:AT728)</f>
        <v>0</v>
      </c>
      <c r="AV729">
        <f>SUM(AV721:AV728)</f>
        <v>0</v>
      </c>
      <c r="BF729" s="506">
        <f>SUM(BF721:BF728)</f>
        <v>0</v>
      </c>
    </row>
    <row r="730" spans="1:58" ht="15" customHeight="1">
      <c r="A730" s="176"/>
      <c r="B730" s="57"/>
      <c r="C730" s="57"/>
      <c r="D730" s="57"/>
      <c r="E730" s="57"/>
      <c r="F730" s="57"/>
      <c r="G730" s="57"/>
      <c r="H730" s="57"/>
      <c r="I730" s="57"/>
      <c r="J730" s="57"/>
      <c r="K730" s="57"/>
      <c r="L730" s="57"/>
      <c r="M730" s="57"/>
      <c r="N730" s="57"/>
      <c r="O730" s="57"/>
      <c r="P730" s="57"/>
      <c r="Q730" s="57"/>
      <c r="R730" s="57"/>
      <c r="S730" s="57"/>
      <c r="T730" s="57"/>
      <c r="U730" s="57"/>
      <c r="V730" s="57"/>
      <c r="W730" s="57"/>
      <c r="X730" s="57"/>
      <c r="Y730" s="57"/>
      <c r="Z730" s="57"/>
      <c r="AA730" s="57"/>
      <c r="AB730" s="57"/>
      <c r="AC730" s="57"/>
      <c r="AD730" s="57"/>
      <c r="AK730" t="s">
        <v>2650</v>
      </c>
      <c r="AL730" s="506">
        <f>SUM(AM729,AP729,AS729,AV729)</f>
        <v>0</v>
      </c>
      <c r="AM730" t="s">
        <v>2651</v>
      </c>
      <c r="AN730">
        <f>SUM(AK729,AN729,AQ729,AT729)</f>
        <v>0</v>
      </c>
    </row>
    <row r="731" spans="1:58" ht="24" customHeight="1">
      <c r="A731" s="176"/>
      <c r="B731" s="57"/>
      <c r="C731" s="754" t="s">
        <v>2611</v>
      </c>
      <c r="D731" s="754"/>
      <c r="E731" s="754"/>
      <c r="F731" s="754"/>
      <c r="G731" s="754"/>
      <c r="H731" s="754"/>
      <c r="I731" s="754"/>
      <c r="J731" s="754"/>
      <c r="K731" s="754"/>
      <c r="L731" s="754"/>
      <c r="M731" s="754"/>
      <c r="N731" s="754"/>
      <c r="O731" s="754"/>
      <c r="P731" s="754"/>
      <c r="Q731" s="754"/>
      <c r="R731" s="754"/>
      <c r="S731" s="754"/>
      <c r="T731" s="754"/>
      <c r="U731" s="754"/>
      <c r="V731" s="754"/>
      <c r="W731" s="754"/>
      <c r="X731" s="754"/>
      <c r="Y731" s="754"/>
      <c r="Z731" s="754"/>
      <c r="AA731" s="754"/>
      <c r="AB731" s="754"/>
      <c r="AC731" s="754"/>
      <c r="AD731" s="754"/>
      <c r="AK731" t="s">
        <v>2652</v>
      </c>
      <c r="AL731" s="507">
        <f>IF(AN730&gt;0,IF(SUM(S729)&gt;=SUM(V729,Y729,AB729),0,1),IF(SUM(S729)&lt;&gt;SUM(V729,Y729,AB729),1,0))</f>
        <v>0</v>
      </c>
      <c r="AM731" t="s">
        <v>2653</v>
      </c>
      <c r="AN731" s="507">
        <f>IF(AN730&gt;0,IF(SUM(T729)&gt;=SUM(W729,Z729,AC729),0,1),IF(SUM(T729)&lt;&gt;SUM(W729,Z729,AC729),1,0))</f>
        <v>0</v>
      </c>
      <c r="AO731" t="s">
        <v>2654</v>
      </c>
      <c r="AP731" s="507">
        <f>IF(AN730&gt;0,IF(SUM(U729)&gt;=SUM(X729,AA729,AD729),0,1),IF(SUM(U729)&lt;&gt;SUM(X729,AA729,AD729),1,0))</f>
        <v>0</v>
      </c>
    </row>
    <row r="732" spans="1:58" ht="60" customHeight="1">
      <c r="A732" s="176"/>
      <c r="B732" s="57"/>
      <c r="C732" s="851"/>
      <c r="D732" s="851"/>
      <c r="E732" s="851"/>
      <c r="F732" s="851"/>
      <c r="G732" s="851"/>
      <c r="H732" s="851"/>
      <c r="I732" s="851"/>
      <c r="J732" s="851"/>
      <c r="K732" s="851"/>
      <c r="L732" s="851"/>
      <c r="M732" s="851"/>
      <c r="N732" s="851"/>
      <c r="O732" s="851"/>
      <c r="P732" s="851"/>
      <c r="Q732" s="851"/>
      <c r="R732" s="851"/>
      <c r="S732" s="851"/>
      <c r="T732" s="851"/>
      <c r="U732" s="851"/>
      <c r="V732" s="851"/>
      <c r="W732" s="851"/>
      <c r="X732" s="851"/>
      <c r="Y732" s="851"/>
      <c r="Z732" s="851"/>
      <c r="AA732" s="851"/>
      <c r="AB732" s="851"/>
      <c r="AC732" s="851"/>
      <c r="AD732" s="851"/>
    </row>
    <row r="733" spans="1:58" ht="15" customHeight="1">
      <c r="A733" s="176"/>
      <c r="B733" s="794" t="str">
        <f>IF(AG729=0,"","Favor de ingresar toda la información requerida en la pregunta")</f>
        <v/>
      </c>
      <c r="C733" s="794"/>
      <c r="D733" s="794"/>
      <c r="E733" s="794"/>
      <c r="F733" s="794"/>
      <c r="G733" s="794"/>
      <c r="H733" s="794"/>
      <c r="I733" s="794"/>
      <c r="J733" s="794"/>
      <c r="K733" s="794"/>
      <c r="L733" s="794"/>
      <c r="M733" s="794"/>
      <c r="N733" s="794"/>
      <c r="O733" s="794"/>
      <c r="P733" s="794"/>
      <c r="Q733" s="794"/>
      <c r="R733" s="794"/>
      <c r="S733" s="794"/>
      <c r="T733" s="794"/>
      <c r="U733" s="794"/>
      <c r="V733" s="794"/>
      <c r="W733" s="794"/>
      <c r="X733" s="794"/>
      <c r="Y733" s="794"/>
      <c r="Z733" s="794"/>
      <c r="AA733" s="794"/>
      <c r="AB733" s="794"/>
      <c r="AC733" s="794"/>
      <c r="AD733" s="794"/>
      <c r="AE733" s="794"/>
    </row>
    <row r="734" spans="1:58" ht="15" customHeight="1">
      <c r="A734" s="176"/>
      <c r="B734" s="1087" t="str">
        <f>IF(COUNTIF(S721:AD728,"NS")&lt;&gt;0,"Alerta: debido a que cuenta con registros NS, debe proporcionar una justificación en el area de comentarios al final de la pregunta","")</f>
        <v/>
      </c>
      <c r="C734" s="1087"/>
      <c r="D734" s="1087"/>
      <c r="E734" s="1087"/>
      <c r="F734" s="1087"/>
      <c r="G734" s="1087"/>
      <c r="H734" s="1087"/>
      <c r="I734" s="1087"/>
      <c r="J734" s="1087"/>
      <c r="K734" s="1087"/>
      <c r="L734" s="1087"/>
      <c r="M734" s="1087"/>
      <c r="N734" s="1087"/>
      <c r="O734" s="1087"/>
      <c r="P734" s="1087"/>
      <c r="Q734" s="1087"/>
      <c r="R734" s="1087"/>
      <c r="S734" s="1087"/>
      <c r="T734" s="1087"/>
      <c r="U734" s="1087"/>
      <c r="V734" s="1087"/>
      <c r="W734" s="1087"/>
      <c r="X734" s="1087"/>
      <c r="Y734" s="1087"/>
      <c r="Z734" s="1087"/>
      <c r="AA734" s="1087"/>
      <c r="AB734" s="1087"/>
      <c r="AC734" s="1087"/>
      <c r="AD734" s="1087"/>
      <c r="AE734" s="1087"/>
    </row>
    <row r="735" spans="1:58" ht="15" customHeight="1">
      <c r="A735" s="176"/>
      <c r="B735" s="1003" t="str">
        <f>IF(AH729&gt;0,"Revise la información capturada, ya que tiene datos ingresados en celdas que están sombreadas","")</f>
        <v/>
      </c>
      <c r="C735" s="1003"/>
      <c r="D735" s="1003"/>
      <c r="E735" s="1003"/>
      <c r="F735" s="1003"/>
      <c r="G735" s="1003"/>
      <c r="H735" s="1003"/>
      <c r="I735" s="1003"/>
      <c r="J735" s="1003"/>
      <c r="K735" s="1003"/>
      <c r="L735" s="1003"/>
      <c r="M735" s="1003"/>
      <c r="N735" s="1003"/>
      <c r="O735" s="1003"/>
      <c r="P735" s="1003"/>
      <c r="Q735" s="1003"/>
      <c r="R735" s="1003"/>
      <c r="S735" s="1003"/>
      <c r="T735" s="1003"/>
      <c r="U735" s="1003"/>
      <c r="V735" s="1003"/>
      <c r="W735" s="1003"/>
      <c r="X735" s="1003"/>
      <c r="Y735" s="1003"/>
      <c r="Z735" s="1003"/>
      <c r="AA735" s="1003"/>
      <c r="AB735" s="1003"/>
      <c r="AC735" s="1003"/>
      <c r="AD735" s="1003"/>
      <c r="AE735" s="1003"/>
    </row>
    <row r="736" spans="1:58" ht="15" customHeight="1">
      <c r="A736" s="176"/>
      <c r="B736" s="1003" t="str">
        <f>IF(OR(AL730&gt;0,AL731&gt;0,AN731&gt;0,AP731&gt;0),"Favor de revisar la suma y consistencia de totales y/o subtotales por filas (numéricos y NS)","")</f>
        <v/>
      </c>
      <c r="C736" s="1003"/>
      <c r="D736" s="1003"/>
      <c r="E736" s="1003"/>
      <c r="F736" s="1003"/>
      <c r="G736" s="1003"/>
      <c r="H736" s="1003"/>
      <c r="I736" s="1003"/>
      <c r="J736" s="1003"/>
      <c r="K736" s="1003"/>
      <c r="L736" s="1003"/>
      <c r="M736" s="1003"/>
      <c r="N736" s="1003"/>
      <c r="O736" s="1003"/>
      <c r="P736" s="1003"/>
      <c r="Q736" s="1003"/>
      <c r="R736" s="1003"/>
      <c r="S736" s="1003"/>
      <c r="T736" s="1003"/>
      <c r="U736" s="1003"/>
      <c r="V736" s="1003"/>
      <c r="W736" s="1003"/>
      <c r="X736" s="1003"/>
      <c r="Y736" s="1003"/>
      <c r="Z736" s="1003"/>
      <c r="AA736" s="1003"/>
      <c r="AB736" s="1003"/>
      <c r="AC736" s="1003"/>
      <c r="AD736" s="1003"/>
      <c r="AE736" s="1003"/>
    </row>
    <row r="737" spans="1:43" ht="15" customHeight="1">
      <c r="A737" s="176"/>
      <c r="B737" s="1003" t="str">
        <f>IF(BF729=0,"","Las cantidades de Hombres y Mujeres por centro especializado debe corresponder con los datos reportados en la preg. 8.1")</f>
        <v/>
      </c>
      <c r="C737" s="1003"/>
      <c r="D737" s="1003"/>
      <c r="E737" s="1003"/>
      <c r="F737" s="1003"/>
      <c r="G737" s="1003"/>
      <c r="H737" s="1003"/>
      <c r="I737" s="1003"/>
      <c r="J737" s="1003"/>
      <c r="K737" s="1003"/>
      <c r="L737" s="1003"/>
      <c r="M737" s="1003"/>
      <c r="N737" s="1003"/>
      <c r="O737" s="1003"/>
      <c r="P737" s="1003"/>
      <c r="Q737" s="1003"/>
      <c r="R737" s="1003"/>
      <c r="S737" s="1003"/>
      <c r="T737" s="1003"/>
      <c r="U737" s="1003"/>
      <c r="V737" s="1003"/>
      <c r="W737" s="1003"/>
      <c r="X737" s="1003"/>
      <c r="Y737" s="1003"/>
      <c r="Z737" s="1003"/>
      <c r="AA737" s="1003"/>
      <c r="AB737" s="1003"/>
      <c r="AC737" s="1003"/>
      <c r="AD737" s="1003"/>
      <c r="AE737" s="1003"/>
    </row>
    <row r="738" spans="1:43" ht="15" customHeight="1">
      <c r="A738" s="176"/>
      <c r="B738" s="57"/>
      <c r="C738" s="57"/>
      <c r="D738" s="57"/>
      <c r="E738" s="57"/>
      <c r="F738" s="57"/>
      <c r="G738" s="57"/>
      <c r="H738" s="57"/>
      <c r="I738" s="57"/>
      <c r="J738" s="57"/>
      <c r="K738" s="57"/>
      <c r="L738" s="57"/>
      <c r="M738" s="57"/>
      <c r="N738" s="57"/>
      <c r="O738" s="57"/>
      <c r="P738" s="57"/>
      <c r="Q738" s="57"/>
      <c r="R738" s="57"/>
      <c r="S738" s="57"/>
      <c r="T738" s="57"/>
      <c r="U738" s="57"/>
      <c r="V738" s="57"/>
      <c r="W738" s="57"/>
      <c r="X738" s="57"/>
      <c r="Y738" s="57"/>
      <c r="Z738" s="57"/>
      <c r="AA738" s="57"/>
      <c r="AB738" s="57"/>
      <c r="AC738" s="57"/>
      <c r="AD738" s="57"/>
    </row>
    <row r="739" spans="1:43" ht="36" customHeight="1">
      <c r="A739" s="49" t="s">
        <v>5335</v>
      </c>
      <c r="B739" s="829" t="s">
        <v>5336</v>
      </c>
      <c r="C739" s="829"/>
      <c r="D739" s="829"/>
      <c r="E739" s="829"/>
      <c r="F739" s="829"/>
      <c r="G739" s="829"/>
      <c r="H739" s="829"/>
      <c r="I739" s="829"/>
      <c r="J739" s="829"/>
      <c r="K739" s="829"/>
      <c r="L739" s="829"/>
      <c r="M739" s="829"/>
      <c r="N739" s="829"/>
      <c r="O739" s="829"/>
      <c r="P739" s="829"/>
      <c r="Q739" s="829"/>
      <c r="R739" s="829"/>
      <c r="S739" s="829"/>
      <c r="T739" s="829"/>
      <c r="U739" s="829"/>
      <c r="V739" s="829"/>
      <c r="W739" s="829"/>
      <c r="X739" s="829"/>
      <c r="Y739" s="829"/>
      <c r="Z739" s="829"/>
      <c r="AA739" s="829"/>
      <c r="AB739" s="829"/>
      <c r="AC739" s="829"/>
      <c r="AD739" s="829"/>
    </row>
    <row r="740" spans="1:43" ht="24" customHeight="1">
      <c r="A740" s="49"/>
      <c r="B740" s="105"/>
      <c r="C740" s="754" t="s">
        <v>5337</v>
      </c>
      <c r="D740" s="754"/>
      <c r="E740" s="754"/>
      <c r="F740" s="754"/>
      <c r="G740" s="754"/>
      <c r="H740" s="754"/>
      <c r="I740" s="754"/>
      <c r="J740" s="754"/>
      <c r="K740" s="754"/>
      <c r="L740" s="754"/>
      <c r="M740" s="754"/>
      <c r="N740" s="754"/>
      <c r="O740" s="754"/>
      <c r="P740" s="754"/>
      <c r="Q740" s="754"/>
      <c r="R740" s="754"/>
      <c r="S740" s="754"/>
      <c r="T740" s="754"/>
      <c r="U740" s="754"/>
      <c r="V740" s="754"/>
      <c r="W740" s="754"/>
      <c r="X740" s="754"/>
      <c r="Y740" s="754"/>
      <c r="Z740" s="754"/>
      <c r="AA740" s="754"/>
      <c r="AB740" s="754"/>
      <c r="AC740" s="754"/>
      <c r="AD740" s="754"/>
    </row>
    <row r="741" spans="1:43" ht="36" customHeight="1">
      <c r="A741" s="142"/>
      <c r="B741" s="57"/>
      <c r="C741" s="830" t="s">
        <v>5338</v>
      </c>
      <c r="D741" s="830"/>
      <c r="E741" s="830"/>
      <c r="F741" s="830"/>
      <c r="G741" s="830"/>
      <c r="H741" s="830"/>
      <c r="I741" s="830"/>
      <c r="J741" s="830"/>
      <c r="K741" s="830"/>
      <c r="L741" s="830"/>
      <c r="M741" s="830"/>
      <c r="N741" s="830"/>
      <c r="O741" s="830"/>
      <c r="P741" s="830"/>
      <c r="Q741" s="830"/>
      <c r="R741" s="830"/>
      <c r="S741" s="830"/>
      <c r="T741" s="830"/>
      <c r="U741" s="830"/>
      <c r="V741" s="830"/>
      <c r="W741" s="830"/>
      <c r="X741" s="830"/>
      <c r="Y741" s="830"/>
      <c r="Z741" s="830"/>
      <c r="AA741" s="830"/>
      <c r="AB741" s="830"/>
      <c r="AC741" s="830"/>
      <c r="AD741" s="830"/>
    </row>
    <row r="742" spans="1:43" ht="48" customHeight="1">
      <c r="A742" s="142"/>
      <c r="B742" s="57"/>
      <c r="C742" s="754" t="s">
        <v>5339</v>
      </c>
      <c r="D742" s="754"/>
      <c r="E742" s="754"/>
      <c r="F742" s="754"/>
      <c r="G742" s="754"/>
      <c r="H742" s="754"/>
      <c r="I742" s="754"/>
      <c r="J742" s="754"/>
      <c r="K742" s="754"/>
      <c r="L742" s="754"/>
      <c r="M742" s="754"/>
      <c r="N742" s="754"/>
      <c r="O742" s="754"/>
      <c r="P742" s="754"/>
      <c r="Q742" s="754"/>
      <c r="R742" s="754"/>
      <c r="S742" s="754"/>
      <c r="T742" s="754"/>
      <c r="U742" s="754"/>
      <c r="V742" s="754"/>
      <c r="W742" s="754"/>
      <c r="X742" s="754"/>
      <c r="Y742" s="754"/>
      <c r="Z742" s="754"/>
      <c r="AA742" s="754"/>
      <c r="AB742" s="754"/>
      <c r="AC742" s="754"/>
      <c r="AD742" s="754"/>
    </row>
    <row r="743" spans="1:43" ht="15" customHeight="1">
      <c r="A743" s="176"/>
      <c r="B743" s="57"/>
      <c r="C743" s="57"/>
      <c r="D743" s="57"/>
      <c r="E743" s="57"/>
      <c r="F743" s="57"/>
      <c r="G743" s="57"/>
      <c r="H743" s="57"/>
      <c r="I743" s="57"/>
      <c r="J743" s="57"/>
      <c r="K743" s="57"/>
      <c r="L743" s="57"/>
      <c r="M743" s="57"/>
      <c r="N743" s="57"/>
      <c r="O743" s="57"/>
      <c r="P743" s="57"/>
      <c r="Q743" s="57"/>
      <c r="R743" s="57"/>
      <c r="S743" s="57"/>
      <c r="T743" s="57"/>
      <c r="U743" s="57"/>
      <c r="V743" s="57"/>
      <c r="W743" s="57"/>
      <c r="X743" s="57"/>
      <c r="Y743" s="57"/>
      <c r="Z743" s="57"/>
      <c r="AA743" s="57"/>
      <c r="AB743" s="57"/>
      <c r="AC743" s="57"/>
      <c r="AD743" s="57"/>
    </row>
    <row r="744" spans="1:43" ht="24" customHeight="1">
      <c r="A744" s="176"/>
      <c r="B744" s="57"/>
      <c r="C744" s="797" t="s">
        <v>5340</v>
      </c>
      <c r="D744" s="798"/>
      <c r="E744" s="798"/>
      <c r="F744" s="798"/>
      <c r="G744" s="798"/>
      <c r="H744" s="798"/>
      <c r="I744" s="798"/>
      <c r="J744" s="798"/>
      <c r="K744" s="798"/>
      <c r="L744" s="799"/>
      <c r="M744" s="732" t="s">
        <v>5341</v>
      </c>
      <c r="N744" s="732"/>
      <c r="O744" s="732"/>
      <c r="P744" s="732"/>
      <c r="Q744" s="732"/>
      <c r="R744" s="732"/>
      <c r="S744" s="732"/>
      <c r="T744" s="732"/>
      <c r="U744" s="732"/>
      <c r="V744" s="732"/>
      <c r="W744" s="732"/>
      <c r="X744" s="732"/>
      <c r="Y744" s="732"/>
      <c r="Z744" s="732"/>
      <c r="AA744" s="732"/>
      <c r="AB744" s="732"/>
      <c r="AC744" s="732"/>
      <c r="AD744" s="732"/>
    </row>
    <row r="745" spans="1:43" ht="15" customHeight="1">
      <c r="A745" s="176"/>
      <c r="B745" s="57"/>
      <c r="C745" s="803"/>
      <c r="D745" s="804"/>
      <c r="E745" s="804"/>
      <c r="F745" s="804"/>
      <c r="G745" s="804"/>
      <c r="H745" s="804"/>
      <c r="I745" s="804"/>
      <c r="J745" s="804"/>
      <c r="K745" s="804"/>
      <c r="L745" s="805"/>
      <c r="M745" s="987" t="s">
        <v>2628</v>
      </c>
      <c r="N745" s="988"/>
      <c r="O745" s="988"/>
      <c r="P745" s="988"/>
      <c r="Q745" s="988"/>
      <c r="R745" s="988"/>
      <c r="S745" s="989" t="s">
        <v>2629</v>
      </c>
      <c r="T745" s="990"/>
      <c r="U745" s="990"/>
      <c r="V745" s="990"/>
      <c r="W745" s="990"/>
      <c r="X745" s="990"/>
      <c r="Y745" s="989" t="s">
        <v>2630</v>
      </c>
      <c r="Z745" s="990"/>
      <c r="AA745" s="990"/>
      <c r="AB745" s="990"/>
      <c r="AC745" s="990"/>
      <c r="AD745" s="990"/>
      <c r="AG745" t="s">
        <v>2586</v>
      </c>
      <c r="AH745" t="s">
        <v>4599</v>
      </c>
      <c r="AI745" t="s">
        <v>2590</v>
      </c>
      <c r="AJ745" t="s">
        <v>3163</v>
      </c>
      <c r="AK745" t="s">
        <v>4564</v>
      </c>
      <c r="AL745" t="s">
        <v>5290</v>
      </c>
      <c r="AM745"/>
      <c r="AN745"/>
      <c r="AO745" t="s">
        <v>5291</v>
      </c>
      <c r="AP745"/>
      <c r="AQ745"/>
    </row>
    <row r="746" spans="1:43" ht="15" customHeight="1">
      <c r="A746" s="176"/>
      <c r="B746" s="57"/>
      <c r="C746" s="44" t="s">
        <v>2516</v>
      </c>
      <c r="D746" s="813" t="s">
        <v>5342</v>
      </c>
      <c r="E746" s="814"/>
      <c r="F746" s="814"/>
      <c r="G746" s="814"/>
      <c r="H746" s="814"/>
      <c r="I746" s="814"/>
      <c r="J746" s="814"/>
      <c r="K746" s="814"/>
      <c r="L746" s="815"/>
      <c r="M746" s="749"/>
      <c r="N746" s="749"/>
      <c r="O746" s="749"/>
      <c r="P746" s="749"/>
      <c r="Q746" s="749"/>
      <c r="R746" s="749"/>
      <c r="S746" s="749"/>
      <c r="T746" s="749"/>
      <c r="U746" s="749"/>
      <c r="V746" s="749"/>
      <c r="W746" s="749"/>
      <c r="X746" s="749"/>
      <c r="Y746" s="749"/>
      <c r="Z746" s="749"/>
      <c r="AA746" s="749"/>
      <c r="AB746" s="749"/>
      <c r="AC746" s="749"/>
      <c r="AD746" s="749"/>
      <c r="AG746" s="506">
        <f>IF(OR($V$729=0,$V$729="NS",$V$729="NA"),0,IF(COUNTBLANK(M746:AD755)=150,0,1))</f>
        <v>0</v>
      </c>
      <c r="AH746" s="506">
        <f>IF(OR($V$729=0,$V$729="NS",$V$729="NA"),IF(COUNTBLANK(M746:AD755)=180,0,1),0)</f>
        <v>0</v>
      </c>
      <c r="AI746">
        <f t="shared" ref="AI746:AI755" si="713">COUNTIF(S746:AD746,"NS")</f>
        <v>0</v>
      </c>
      <c r="AJ746">
        <f t="shared" ref="AJ746:AJ755" si="714">SUM(S746:AD746)</f>
        <v>0</v>
      </c>
      <c r="AK746">
        <f t="shared" ref="AK746:AK755" si="715">IF(COUNTIF(M746:AD746,"NA")=3,0,IF(COUNTA(M746:AD746)=0,0,IF(OR(AND(M746=0,AI746&gt;0),AND(M746="ns",AJ746&gt;0),AND(M746="ns",AI746=0,AJ746=0)),1,IF(OR(AND(M746&gt;0,AI746=2),AND(M746="ns",AI746=2),AND(M746="ns",AJ746=0,AI746&gt;0),M746=AJ746),0,1))))</f>
        <v>0</v>
      </c>
      <c r="AL746" cm="1">
        <f t="array" ref="AL746">IF(OR(M746={"NS","NA"},$V$729={"NS","NA"}),0,IF(M746&lt;=$V$729,0,1))</f>
        <v>0</v>
      </c>
      <c r="AM746" cm="1">
        <f t="array" ref="AM746">IF(OR(S746={"NS","NA"},$W$729={"NS","NA"}),0,IF(S746&lt;=$W$729,0,1))</f>
        <v>0</v>
      </c>
      <c r="AN746" cm="1">
        <f t="array" ref="AN746">IF(OR(Y746={"NS","NA"},$X$729={"NS","NA"}),0,IF(Y746&lt;=$X$729,0,1))</f>
        <v>0</v>
      </c>
      <c r="AO746" cm="1">
        <f t="array" ref="AO746">IF(OR(M756={"NS","NA"},$V$729={"NS","NA"}),0,IF(M756&gt;=$V$729,0,1))</f>
        <v>0</v>
      </c>
      <c r="AP746" cm="1">
        <f t="array" ref="AP746">IF(OR(S756={"NS","NA"},$W$729={"NS","NA"}),0,IF(S756&gt;=$W$729,0,1))</f>
        <v>0</v>
      </c>
      <c r="AQ746" cm="1">
        <f t="array" ref="AQ746">IF(OR(Y756={"NS","NA"},$X$729={"NS","NA"}),0,IF(Y756&gt;=$X$729,0,1))</f>
        <v>0</v>
      </c>
    </row>
    <row r="747" spans="1:43" ht="15" customHeight="1">
      <c r="A747" s="176"/>
      <c r="B747" s="57"/>
      <c r="C747" s="199" t="s">
        <v>2517</v>
      </c>
      <c r="D747" s="813" t="s">
        <v>5343</v>
      </c>
      <c r="E747" s="814"/>
      <c r="F747" s="814"/>
      <c r="G747" s="814"/>
      <c r="H747" s="814"/>
      <c r="I747" s="814"/>
      <c r="J747" s="814"/>
      <c r="K747" s="814"/>
      <c r="L747" s="815"/>
      <c r="M747" s="749"/>
      <c r="N747" s="749"/>
      <c r="O747" s="749"/>
      <c r="P747" s="749"/>
      <c r="Q747" s="749"/>
      <c r="R747" s="749"/>
      <c r="S747" s="749"/>
      <c r="T747" s="749"/>
      <c r="U747" s="749"/>
      <c r="V747" s="749"/>
      <c r="W747" s="749"/>
      <c r="X747" s="749"/>
      <c r="Y747" s="749"/>
      <c r="Z747" s="749"/>
      <c r="AA747" s="749"/>
      <c r="AB747" s="749"/>
      <c r="AC747" s="749"/>
      <c r="AD747" s="749"/>
      <c r="AI747">
        <f t="shared" si="713"/>
        <v>0</v>
      </c>
      <c r="AJ747">
        <f t="shared" si="714"/>
        <v>0</v>
      </c>
      <c r="AK747">
        <f t="shared" si="715"/>
        <v>0</v>
      </c>
      <c r="AL747" cm="1">
        <f t="array" ref="AL747">IF(OR(M747={"NS","NA"},$V$729={"NS","NA"}),0,IF(M747&lt;=$V$729,0,1))</f>
        <v>0</v>
      </c>
      <c r="AM747" cm="1">
        <f t="array" ref="AM747">IF(OR(S747={"NS","NA"},$W$729={"NS","NA"}),0,IF(S747&lt;=$W$729,0,1))</f>
        <v>0</v>
      </c>
      <c r="AN747" cm="1">
        <f t="array" ref="AN747">IF(OR(Y747={"NS","NA"},$X$729={"NS","NA"}),0,IF(Y747&lt;=$X$729,0,1))</f>
        <v>0</v>
      </c>
      <c r="AQ747" s="506">
        <f>IF(OR($V$729=0,$V$729="NS",$V$729="NA"),0,SUM(AO746:AQ746))</f>
        <v>0</v>
      </c>
    </row>
    <row r="748" spans="1:43" ht="15" customHeight="1">
      <c r="A748" s="176"/>
      <c r="B748" s="57"/>
      <c r="C748" s="143" t="s">
        <v>2518</v>
      </c>
      <c r="D748" s="813" t="s">
        <v>5344</v>
      </c>
      <c r="E748" s="814"/>
      <c r="F748" s="814"/>
      <c r="G748" s="814"/>
      <c r="H748" s="814"/>
      <c r="I748" s="814"/>
      <c r="J748" s="814"/>
      <c r="K748" s="814"/>
      <c r="L748" s="815"/>
      <c r="M748" s="749"/>
      <c r="N748" s="749"/>
      <c r="O748" s="749"/>
      <c r="P748" s="749"/>
      <c r="Q748" s="749"/>
      <c r="R748" s="749"/>
      <c r="S748" s="749"/>
      <c r="T748" s="749"/>
      <c r="U748" s="749"/>
      <c r="V748" s="749"/>
      <c r="W748" s="749"/>
      <c r="X748" s="749"/>
      <c r="Y748" s="749"/>
      <c r="Z748" s="749"/>
      <c r="AA748" s="749"/>
      <c r="AB748" s="749"/>
      <c r="AC748" s="749"/>
      <c r="AD748" s="749"/>
      <c r="AI748">
        <f t="shared" si="713"/>
        <v>0</v>
      </c>
      <c r="AJ748">
        <f t="shared" si="714"/>
        <v>0</v>
      </c>
      <c r="AK748">
        <f t="shared" si="715"/>
        <v>0</v>
      </c>
      <c r="AL748" cm="1">
        <f t="array" ref="AL748">IF(OR(M748={"NS","NA"},$V$729={"NS","NA"}),0,IF(M748&lt;=$V$729,0,1))</f>
        <v>0</v>
      </c>
      <c r="AM748" cm="1">
        <f t="array" ref="AM748">IF(OR(S748={"NS","NA"},$W$729={"NS","NA"}),0,IF(S748&lt;=$W$729,0,1))</f>
        <v>0</v>
      </c>
      <c r="AN748" cm="1">
        <f t="array" ref="AN748">IF(OR(Y748={"NS","NA"},$X$729={"NS","NA"}),0,IF(Y748&lt;=$X$729,0,1))</f>
        <v>0</v>
      </c>
    </row>
    <row r="749" spans="1:43" ht="15" customHeight="1">
      <c r="A749" s="176"/>
      <c r="B749" s="57"/>
      <c r="C749" s="143" t="s">
        <v>2519</v>
      </c>
      <c r="D749" s="813" t="s">
        <v>5345</v>
      </c>
      <c r="E749" s="814"/>
      <c r="F749" s="814"/>
      <c r="G749" s="814"/>
      <c r="H749" s="814"/>
      <c r="I749" s="814"/>
      <c r="J749" s="814"/>
      <c r="K749" s="814"/>
      <c r="L749" s="815"/>
      <c r="M749" s="749"/>
      <c r="N749" s="749"/>
      <c r="O749" s="749"/>
      <c r="P749" s="749"/>
      <c r="Q749" s="749"/>
      <c r="R749" s="749"/>
      <c r="S749" s="749"/>
      <c r="T749" s="749"/>
      <c r="U749" s="749"/>
      <c r="V749" s="749"/>
      <c r="W749" s="749"/>
      <c r="X749" s="749"/>
      <c r="Y749" s="749"/>
      <c r="Z749" s="749"/>
      <c r="AA749" s="749"/>
      <c r="AB749" s="749"/>
      <c r="AC749" s="749"/>
      <c r="AD749" s="749"/>
      <c r="AI749">
        <f t="shared" si="713"/>
        <v>0</v>
      </c>
      <c r="AJ749">
        <f t="shared" si="714"/>
        <v>0</v>
      </c>
      <c r="AK749">
        <f t="shared" si="715"/>
        <v>0</v>
      </c>
      <c r="AL749" cm="1">
        <f t="array" ref="AL749">IF(OR(M749={"NS","NA"},$V$729={"NS","NA"}),0,IF(M749&lt;=$V$729,0,1))</f>
        <v>0</v>
      </c>
      <c r="AM749" cm="1">
        <f t="array" ref="AM749">IF(OR(S749={"NS","NA"},$W$729={"NS","NA"}),0,IF(S749&lt;=$W$729,0,1))</f>
        <v>0</v>
      </c>
      <c r="AN749" cm="1">
        <f t="array" ref="AN749">IF(OR(Y749={"NS","NA"},$X$729={"NS","NA"}),0,IF(Y749&lt;=$X$729,0,1))</f>
        <v>0</v>
      </c>
    </row>
    <row r="750" spans="1:43" ht="15" customHeight="1">
      <c r="A750" s="176"/>
      <c r="B750" s="57"/>
      <c r="C750" s="143" t="s">
        <v>2520</v>
      </c>
      <c r="D750" s="813" t="s">
        <v>5346</v>
      </c>
      <c r="E750" s="814"/>
      <c r="F750" s="814"/>
      <c r="G750" s="814"/>
      <c r="H750" s="814"/>
      <c r="I750" s="814"/>
      <c r="J750" s="814"/>
      <c r="K750" s="814"/>
      <c r="L750" s="815"/>
      <c r="M750" s="749"/>
      <c r="N750" s="749"/>
      <c r="O750" s="749"/>
      <c r="P750" s="749"/>
      <c r="Q750" s="749"/>
      <c r="R750" s="749"/>
      <c r="S750" s="749"/>
      <c r="T750" s="749"/>
      <c r="U750" s="749"/>
      <c r="V750" s="749"/>
      <c r="W750" s="749"/>
      <c r="X750" s="749"/>
      <c r="Y750" s="749"/>
      <c r="Z750" s="749"/>
      <c r="AA750" s="749"/>
      <c r="AB750" s="749"/>
      <c r="AC750" s="749"/>
      <c r="AD750" s="749"/>
      <c r="AI750">
        <f t="shared" si="713"/>
        <v>0</v>
      </c>
      <c r="AJ750">
        <f t="shared" si="714"/>
        <v>0</v>
      </c>
      <c r="AK750">
        <f t="shared" si="715"/>
        <v>0</v>
      </c>
      <c r="AL750" cm="1">
        <f t="array" ref="AL750">IF(OR(M750={"NS","NA"},$V$729={"NS","NA"}),0,IF(M750&lt;=$V$729,0,1))</f>
        <v>0</v>
      </c>
      <c r="AM750" cm="1">
        <f t="array" ref="AM750">IF(OR(S750={"NS","NA"},$W$729={"NS","NA"}),0,IF(S750&lt;=$W$729,0,1))</f>
        <v>0</v>
      </c>
      <c r="AN750" cm="1">
        <f t="array" ref="AN750">IF(OR(Y750={"NS","NA"},$X$729={"NS","NA"}),0,IF(Y750&lt;=$X$729,0,1))</f>
        <v>0</v>
      </c>
    </row>
    <row r="751" spans="1:43" ht="15" customHeight="1">
      <c r="A751" s="176"/>
      <c r="B751" s="57"/>
      <c r="C751" s="143" t="s">
        <v>2521</v>
      </c>
      <c r="D751" s="813" t="s">
        <v>5347</v>
      </c>
      <c r="E751" s="814"/>
      <c r="F751" s="814"/>
      <c r="G751" s="814"/>
      <c r="H751" s="814"/>
      <c r="I751" s="814"/>
      <c r="J751" s="814"/>
      <c r="K751" s="814"/>
      <c r="L751" s="815"/>
      <c r="M751" s="749"/>
      <c r="N751" s="749"/>
      <c r="O751" s="749"/>
      <c r="P751" s="749"/>
      <c r="Q751" s="749"/>
      <c r="R751" s="749"/>
      <c r="S751" s="749"/>
      <c r="T751" s="749"/>
      <c r="U751" s="749"/>
      <c r="V751" s="749"/>
      <c r="W751" s="749"/>
      <c r="X751" s="749"/>
      <c r="Y751" s="749"/>
      <c r="Z751" s="749"/>
      <c r="AA751" s="749"/>
      <c r="AB751" s="749"/>
      <c r="AC751" s="749"/>
      <c r="AD751" s="749"/>
      <c r="AI751">
        <f t="shared" si="713"/>
        <v>0</v>
      </c>
      <c r="AJ751">
        <f t="shared" si="714"/>
        <v>0</v>
      </c>
      <c r="AK751">
        <f t="shared" si="715"/>
        <v>0</v>
      </c>
      <c r="AL751" cm="1">
        <f t="array" ref="AL751">IF(OR(M751={"NS","NA"},$V$729={"NS","NA"}),0,IF(M751&lt;=$V$729,0,1))</f>
        <v>0</v>
      </c>
      <c r="AM751" cm="1">
        <f t="array" ref="AM751">IF(OR(S751={"NS","NA"},$W$729={"NS","NA"}),0,IF(S751&lt;=$W$729,0,1))</f>
        <v>0</v>
      </c>
      <c r="AN751" cm="1">
        <f t="array" ref="AN751">IF(OR(Y751={"NS","NA"},$X$729={"NS","NA"}),0,IF(Y751&lt;=$X$729,0,1))</f>
        <v>0</v>
      </c>
    </row>
    <row r="752" spans="1:43" ht="15" customHeight="1">
      <c r="A752" s="176"/>
      <c r="B752" s="57"/>
      <c r="C752" s="143" t="s">
        <v>2522</v>
      </c>
      <c r="D752" s="813" t="s">
        <v>5348</v>
      </c>
      <c r="E752" s="814"/>
      <c r="F752" s="814"/>
      <c r="G752" s="814"/>
      <c r="H752" s="814"/>
      <c r="I752" s="814"/>
      <c r="J752" s="814"/>
      <c r="K752" s="814"/>
      <c r="L752" s="815"/>
      <c r="M752" s="749"/>
      <c r="N752" s="749"/>
      <c r="O752" s="749"/>
      <c r="P752" s="749"/>
      <c r="Q752" s="749"/>
      <c r="R752" s="749"/>
      <c r="S752" s="749"/>
      <c r="T752" s="749"/>
      <c r="U752" s="749"/>
      <c r="V752" s="749"/>
      <c r="W752" s="749"/>
      <c r="X752" s="749"/>
      <c r="Y752" s="749"/>
      <c r="Z752" s="749"/>
      <c r="AA752" s="749"/>
      <c r="AB752" s="749"/>
      <c r="AC752" s="749"/>
      <c r="AD752" s="749"/>
      <c r="AI752">
        <f t="shared" si="713"/>
        <v>0</v>
      </c>
      <c r="AJ752">
        <f t="shared" si="714"/>
        <v>0</v>
      </c>
      <c r="AK752">
        <f t="shared" si="715"/>
        <v>0</v>
      </c>
      <c r="AL752" cm="1">
        <f t="array" ref="AL752">IF(OR(M752={"NS","NA"},$V$729={"NS","NA"}),0,IF(M752&lt;=$V$729,0,1))</f>
        <v>0</v>
      </c>
      <c r="AM752" cm="1">
        <f t="array" ref="AM752">IF(OR(S752={"NS","NA"},$W$729={"NS","NA"}),0,IF(S752&lt;=$W$729,0,1))</f>
        <v>0</v>
      </c>
      <c r="AN752" cm="1">
        <f t="array" ref="AN752">IF(OR(Y752={"NS","NA"},$X$729={"NS","NA"}),0,IF(Y752&lt;=$X$729,0,1))</f>
        <v>0</v>
      </c>
    </row>
    <row r="753" spans="1:40" ht="15" customHeight="1">
      <c r="A753" s="176"/>
      <c r="B753" s="57"/>
      <c r="C753" s="143" t="s">
        <v>2523</v>
      </c>
      <c r="D753" s="813" t="s">
        <v>5349</v>
      </c>
      <c r="E753" s="814"/>
      <c r="F753" s="814"/>
      <c r="G753" s="814"/>
      <c r="H753" s="814"/>
      <c r="I753" s="814"/>
      <c r="J753" s="814"/>
      <c r="K753" s="814"/>
      <c r="L753" s="815"/>
      <c r="M753" s="749"/>
      <c r="N753" s="749"/>
      <c r="O753" s="749"/>
      <c r="P753" s="749"/>
      <c r="Q753" s="749"/>
      <c r="R753" s="749"/>
      <c r="S753" s="749"/>
      <c r="T753" s="749"/>
      <c r="U753" s="749"/>
      <c r="V753" s="749"/>
      <c r="W753" s="749"/>
      <c r="X753" s="749"/>
      <c r="Y753" s="749"/>
      <c r="Z753" s="749"/>
      <c r="AA753" s="749"/>
      <c r="AB753" s="749"/>
      <c r="AC753" s="749"/>
      <c r="AD753" s="749"/>
      <c r="AI753">
        <f t="shared" si="713"/>
        <v>0</v>
      </c>
      <c r="AJ753">
        <f t="shared" si="714"/>
        <v>0</v>
      </c>
      <c r="AK753">
        <f t="shared" si="715"/>
        <v>0</v>
      </c>
      <c r="AL753" cm="1">
        <f t="array" ref="AL753">IF(OR(M753={"NS","NA"},$V$729={"NS","NA"}),0,IF(M753&lt;=$V$729,0,1))</f>
        <v>0</v>
      </c>
      <c r="AM753" cm="1">
        <f t="array" ref="AM753">IF(OR(S753={"NS","NA"},$W$729={"NS","NA"}),0,IF(S753&lt;=$W$729,0,1))</f>
        <v>0</v>
      </c>
      <c r="AN753" cm="1">
        <f t="array" ref="AN753">IF(OR(Y753={"NS","NA"},$X$729={"NS","NA"}),0,IF(Y753&lt;=$X$729,0,1))</f>
        <v>0</v>
      </c>
    </row>
    <row r="754" spans="1:40" ht="15" customHeight="1">
      <c r="A754" s="176"/>
      <c r="B754" s="57"/>
      <c r="C754" s="143" t="s">
        <v>2524</v>
      </c>
      <c r="D754" s="813" t="s">
        <v>3758</v>
      </c>
      <c r="E754" s="814"/>
      <c r="F754" s="814"/>
      <c r="G754" s="814"/>
      <c r="H754" s="814"/>
      <c r="I754" s="814"/>
      <c r="J754" s="814"/>
      <c r="K754" s="814"/>
      <c r="L754" s="815"/>
      <c r="M754" s="749"/>
      <c r="N754" s="749"/>
      <c r="O754" s="749"/>
      <c r="P754" s="749"/>
      <c r="Q754" s="749"/>
      <c r="R754" s="749"/>
      <c r="S754" s="749"/>
      <c r="T754" s="749"/>
      <c r="U754" s="749"/>
      <c r="V754" s="749"/>
      <c r="W754" s="749"/>
      <c r="X754" s="749"/>
      <c r="Y754" s="749"/>
      <c r="Z754" s="749"/>
      <c r="AA754" s="749"/>
      <c r="AB754" s="749"/>
      <c r="AC754" s="749"/>
      <c r="AD754" s="749"/>
      <c r="AI754">
        <f t="shared" si="713"/>
        <v>0</v>
      </c>
      <c r="AJ754">
        <f t="shared" si="714"/>
        <v>0</v>
      </c>
      <c r="AK754">
        <f t="shared" si="715"/>
        <v>0</v>
      </c>
      <c r="AL754" cm="1">
        <f t="array" ref="AL754">IF(OR(M754={"NS","NA"},$V$729={"NS","NA"}),0,IF(M754&lt;=$V$729,0,1))</f>
        <v>0</v>
      </c>
      <c r="AM754" cm="1">
        <f t="array" ref="AM754">IF(OR(S754={"NS","NA"},$W$729={"NS","NA"}),0,IF(S754&lt;=$W$729,0,1))</f>
        <v>0</v>
      </c>
      <c r="AN754" cm="1">
        <f t="array" ref="AN754">IF(OR(Y754={"NS","NA"},$X$729={"NS","NA"}),0,IF(Y754&lt;=$X$729,0,1))</f>
        <v>0</v>
      </c>
    </row>
    <row r="755" spans="1:40" ht="15" customHeight="1">
      <c r="A755" s="176"/>
      <c r="B755" s="57"/>
      <c r="C755" s="143" t="s">
        <v>2525</v>
      </c>
      <c r="D755" s="813" t="s">
        <v>201</v>
      </c>
      <c r="E755" s="814"/>
      <c r="F755" s="814"/>
      <c r="G755" s="814"/>
      <c r="H755" s="814"/>
      <c r="I755" s="814"/>
      <c r="J755" s="814"/>
      <c r="K755" s="814"/>
      <c r="L755" s="815"/>
      <c r="M755" s="749"/>
      <c r="N755" s="749"/>
      <c r="O755" s="749"/>
      <c r="P755" s="749"/>
      <c r="Q755" s="749"/>
      <c r="R755" s="749"/>
      <c r="S755" s="749"/>
      <c r="T755" s="749"/>
      <c r="U755" s="749"/>
      <c r="V755" s="749"/>
      <c r="W755" s="749"/>
      <c r="X755" s="749"/>
      <c r="Y755" s="749"/>
      <c r="Z755" s="749"/>
      <c r="AA755" s="749"/>
      <c r="AB755" s="749"/>
      <c r="AC755" s="749"/>
      <c r="AD755" s="749"/>
      <c r="AI755">
        <f t="shared" si="713"/>
        <v>0</v>
      </c>
      <c r="AJ755">
        <f t="shared" si="714"/>
        <v>0</v>
      </c>
      <c r="AK755">
        <f t="shared" si="715"/>
        <v>0</v>
      </c>
      <c r="AL755" cm="1">
        <f t="array" ref="AL755">IF(OR(M755={"NS","NA"},$V$729={"NS","NA"}),0,IF(M755&lt;=$V$729,0,1))</f>
        <v>0</v>
      </c>
      <c r="AM755" cm="1">
        <f t="array" ref="AM755">IF(OR(S755={"NS","NA"},$W$729={"NS","NA"}),0,IF(S755&lt;=$W$729,0,1))</f>
        <v>0</v>
      </c>
      <c r="AN755" cm="1">
        <f t="array" ref="AN755">IF(OR(Y755={"NS","NA"},$X$729={"NS","NA"}),0,IF(Y755&lt;=$X$729,0,1))</f>
        <v>0</v>
      </c>
    </row>
    <row r="756" spans="1:40" ht="15" customHeight="1">
      <c r="A756" s="176"/>
      <c r="B756" s="57"/>
      <c r="C756" s="57"/>
      <c r="D756" s="57"/>
      <c r="E756" s="57"/>
      <c r="F756" s="57"/>
      <c r="G756" s="57"/>
      <c r="H756" s="57"/>
      <c r="I756" s="57"/>
      <c r="J756" s="57"/>
      <c r="K756" s="57"/>
      <c r="L756" s="117" t="s">
        <v>2649</v>
      </c>
      <c r="M756" s="736">
        <f>IF(AND(SUM(M746:M755)=0,COUNTIF(M746:M755,"NS")&gt;0),"NS",IF(AND(SUM(M746:M755)=0,COUNTIF(M746:M755,0)&gt;0),0,IF(AND(SUM(M746:M755)=0,COUNTIF(M746:M755,"NA")&gt;0),"NA",SUM(M746:M755))))</f>
        <v>0</v>
      </c>
      <c r="N756" s="1085"/>
      <c r="O756" s="1085"/>
      <c r="P756" s="1085"/>
      <c r="Q756" s="1085"/>
      <c r="R756" s="1086"/>
      <c r="S756" s="736">
        <f>IF(AND(SUM(S746:S755)=0,COUNTIF(S746:S755,"NS")&gt;0),"NS",IF(AND(SUM(S746:S755)=0,COUNTIF(S746:S755,0)&gt;0),0,IF(AND(SUM(S746:S755)=0,COUNTIF(S746:S755,"NA")&gt;0),"NA",SUM(S746:S755))))</f>
        <v>0</v>
      </c>
      <c r="T756" s="1085"/>
      <c r="U756" s="1085"/>
      <c r="V756" s="1085"/>
      <c r="W756" s="1085"/>
      <c r="X756" s="1086"/>
      <c r="Y756" s="736">
        <f>IF(AND(SUM(Y746:Y755)=0,COUNTIF(Y746:Y755,"NS")&gt;0),"NS",IF(AND(SUM(Y746:Y755)=0,COUNTIF(Y746:Y755,0)&gt;0),0,IF(AND(SUM(Y746:Y755)=0,COUNTIF(Y746:Y755,"NA")&gt;0),"NA",SUM(Y746:Y755))))</f>
        <v>0</v>
      </c>
      <c r="Z756" s="1085"/>
      <c r="AA756" s="1085"/>
      <c r="AB756" s="1085"/>
      <c r="AC756" s="1085"/>
      <c r="AD756" s="1086"/>
      <c r="AI756"/>
      <c r="AJ756"/>
      <c r="AK756" s="506">
        <f>SUM(AK746:AK755)</f>
        <v>0</v>
      </c>
      <c r="AL756"/>
      <c r="AM756"/>
      <c r="AN756" s="506">
        <f>IF(OR($V$729=0,$V$729="NS",$V$729="NA"),0,SUM(AL746:AN755))</f>
        <v>0</v>
      </c>
    </row>
    <row r="757" spans="1:40" ht="15" customHeight="1">
      <c r="A757" s="176"/>
      <c r="B757" s="57"/>
      <c r="C757" s="57"/>
      <c r="D757" s="57"/>
      <c r="E757" s="57"/>
      <c r="F757" s="57"/>
      <c r="G757" s="57"/>
      <c r="H757" s="57"/>
      <c r="I757" s="57"/>
      <c r="J757" s="57"/>
      <c r="K757" s="57"/>
      <c r="L757" s="57"/>
      <c r="M757" s="57"/>
      <c r="N757" s="57"/>
      <c r="O757" s="57"/>
      <c r="P757" s="57"/>
      <c r="Q757" s="57"/>
      <c r="R757" s="57"/>
      <c r="S757" s="57"/>
      <c r="T757" s="57"/>
      <c r="U757" s="57"/>
      <c r="V757" s="57"/>
      <c r="W757" s="57"/>
      <c r="X757" s="57"/>
      <c r="Y757" s="57"/>
      <c r="Z757" s="57"/>
      <c r="AA757" s="57"/>
      <c r="AB757" s="57"/>
      <c r="AC757" s="57"/>
      <c r="AD757" s="57"/>
    </row>
    <row r="758" spans="1:40" ht="24" customHeight="1">
      <c r="A758" s="176"/>
      <c r="B758" s="57"/>
      <c r="C758" s="754" t="s">
        <v>2611</v>
      </c>
      <c r="D758" s="754"/>
      <c r="E758" s="754"/>
      <c r="F758" s="754"/>
      <c r="G758" s="754"/>
      <c r="H758" s="754"/>
      <c r="I758" s="754"/>
      <c r="J758" s="754"/>
      <c r="K758" s="754"/>
      <c r="L758" s="754"/>
      <c r="M758" s="754"/>
      <c r="N758" s="754"/>
      <c r="O758" s="754"/>
      <c r="P758" s="754"/>
      <c r="Q758" s="754"/>
      <c r="R758" s="754"/>
      <c r="S758" s="754"/>
      <c r="T758" s="754"/>
      <c r="U758" s="754"/>
      <c r="V758" s="754"/>
      <c r="W758" s="754"/>
      <c r="X758" s="754"/>
      <c r="Y758" s="754"/>
      <c r="Z758" s="754"/>
      <c r="AA758" s="754"/>
      <c r="AB758" s="754"/>
      <c r="AC758" s="754"/>
      <c r="AD758" s="754"/>
    </row>
    <row r="759" spans="1:40" ht="60" customHeight="1">
      <c r="A759" s="176"/>
      <c r="B759" s="57"/>
      <c r="C759" s="851"/>
      <c r="D759" s="851"/>
      <c r="E759" s="851"/>
      <c r="F759" s="851"/>
      <c r="G759" s="851"/>
      <c r="H759" s="851"/>
      <c r="I759" s="851"/>
      <c r="J759" s="851"/>
      <c r="K759" s="851"/>
      <c r="L759" s="851"/>
      <c r="M759" s="851"/>
      <c r="N759" s="851"/>
      <c r="O759" s="851"/>
      <c r="P759" s="851"/>
      <c r="Q759" s="851"/>
      <c r="R759" s="851"/>
      <c r="S759" s="851"/>
      <c r="T759" s="851"/>
      <c r="U759" s="851"/>
      <c r="V759" s="851"/>
      <c r="W759" s="851"/>
      <c r="X759" s="851"/>
      <c r="Y759" s="851"/>
      <c r="Z759" s="851"/>
      <c r="AA759" s="851"/>
      <c r="AB759" s="851"/>
      <c r="AC759" s="851"/>
      <c r="AD759" s="851"/>
    </row>
    <row r="760" spans="1:40" ht="15" customHeight="1">
      <c r="A760" s="176"/>
      <c r="B760" s="794" t="str">
        <f>IF(AG746=0,"","Favor de ingresar toda la información requerida en la pregunta")</f>
        <v/>
      </c>
      <c r="C760" s="794"/>
      <c r="D760" s="794"/>
      <c r="E760" s="794"/>
      <c r="F760" s="794"/>
      <c r="G760" s="794"/>
      <c r="H760" s="794"/>
      <c r="I760" s="794"/>
      <c r="J760" s="794"/>
      <c r="K760" s="794"/>
      <c r="L760" s="794"/>
      <c r="M760" s="794"/>
      <c r="N760" s="794"/>
      <c r="O760" s="794"/>
      <c r="P760" s="794"/>
      <c r="Q760" s="794"/>
      <c r="R760" s="794"/>
      <c r="S760" s="794"/>
      <c r="T760" s="794"/>
      <c r="U760" s="794"/>
      <c r="V760" s="794"/>
      <c r="W760" s="794"/>
      <c r="X760" s="794"/>
      <c r="Y760" s="794"/>
      <c r="Z760" s="794"/>
      <c r="AA760" s="794"/>
      <c r="AB760" s="794"/>
      <c r="AC760" s="794"/>
      <c r="AD760" s="794"/>
      <c r="AE760" s="794"/>
    </row>
    <row r="761" spans="1:40" ht="15" customHeight="1">
      <c r="A761" s="176"/>
      <c r="B761" s="1087" t="str">
        <f>IF(OR($V$729=0,$V$729="NS",$V$729="NA"),"",IF(COUNTIF(M746:AD755,"NS")&lt;&gt;0,"Alerta: debido a que cuenta con registros NS, debe proporcionar una justificación en el area de comentarios al final de la pregunta",""))</f>
        <v/>
      </c>
      <c r="C761" s="1087"/>
      <c r="D761" s="1087"/>
      <c r="E761" s="1087"/>
      <c r="F761" s="1087"/>
      <c r="G761" s="1087"/>
      <c r="H761" s="1087"/>
      <c r="I761" s="1087"/>
      <c r="J761" s="1087"/>
      <c r="K761" s="1087"/>
      <c r="L761" s="1087"/>
      <c r="M761" s="1087"/>
      <c r="N761" s="1087"/>
      <c r="O761" s="1087"/>
      <c r="P761" s="1087"/>
      <c r="Q761" s="1087"/>
      <c r="R761" s="1087"/>
      <c r="S761" s="1087"/>
      <c r="T761" s="1087"/>
      <c r="U761" s="1087"/>
      <c r="V761" s="1087"/>
      <c r="W761" s="1087"/>
      <c r="X761" s="1087"/>
      <c r="Y761" s="1087"/>
      <c r="Z761" s="1087"/>
      <c r="AA761" s="1087"/>
      <c r="AB761" s="1087"/>
      <c r="AC761" s="1087"/>
      <c r="AD761" s="1087"/>
      <c r="AE761" s="1087"/>
    </row>
    <row r="762" spans="1:40" ht="15" customHeight="1">
      <c r="A762" s="176"/>
      <c r="B762" s="1003" t="str">
        <f>IF(AH746&gt;0,"Revise la información capturada, ya que tiene datos ingresados en celdas que están sombreadas","")</f>
        <v/>
      </c>
      <c r="C762" s="1003"/>
      <c r="D762" s="1003"/>
      <c r="E762" s="1003"/>
      <c r="F762" s="1003"/>
      <c r="G762" s="1003"/>
      <c r="H762" s="1003"/>
      <c r="I762" s="1003"/>
      <c r="J762" s="1003"/>
      <c r="K762" s="1003"/>
      <c r="L762" s="1003"/>
      <c r="M762" s="1003"/>
      <c r="N762" s="1003"/>
      <c r="O762" s="1003"/>
      <c r="P762" s="1003"/>
      <c r="Q762" s="1003"/>
      <c r="R762" s="1003"/>
      <c r="S762" s="1003"/>
      <c r="T762" s="1003"/>
      <c r="U762" s="1003"/>
      <c r="V762" s="1003"/>
      <c r="W762" s="1003"/>
      <c r="X762" s="1003"/>
      <c r="Y762" s="1003"/>
      <c r="Z762" s="1003"/>
      <c r="AA762" s="1003"/>
      <c r="AB762" s="1003"/>
      <c r="AC762" s="1003"/>
      <c r="AD762" s="1003"/>
      <c r="AE762" s="1003"/>
    </row>
    <row r="763" spans="1:40" ht="15" customHeight="1">
      <c r="A763" s="176"/>
      <c r="B763" s="1003" t="str">
        <f>IF(OR($V$729=0,$V$729="NS",$V$729="NA"),"",IF(AK756&gt;0,"Favor de revisar la suma y consistencia de totales y/o subtotales por filas (numéricos y NS)",""))</f>
        <v/>
      </c>
      <c r="C763" s="1003"/>
      <c r="D763" s="1003"/>
      <c r="E763" s="1003"/>
      <c r="F763" s="1003"/>
      <c r="G763" s="1003"/>
      <c r="H763" s="1003"/>
      <c r="I763" s="1003"/>
      <c r="J763" s="1003"/>
      <c r="K763" s="1003"/>
      <c r="L763" s="1003"/>
      <c r="M763" s="1003"/>
      <c r="N763" s="1003"/>
      <c r="O763" s="1003"/>
      <c r="P763" s="1003"/>
      <c r="Q763" s="1003"/>
      <c r="R763" s="1003"/>
      <c r="S763" s="1003"/>
      <c r="T763" s="1003"/>
      <c r="U763" s="1003"/>
      <c r="V763" s="1003"/>
      <c r="W763" s="1003"/>
      <c r="X763" s="1003"/>
      <c r="Y763" s="1003"/>
      <c r="Z763" s="1003"/>
      <c r="AA763" s="1003"/>
      <c r="AB763" s="1003"/>
      <c r="AC763" s="1003"/>
      <c r="AD763" s="1003"/>
      <c r="AE763" s="1003"/>
    </row>
    <row r="764" spans="1:40" ht="15" customHeight="1">
      <c r="A764" s="176"/>
      <c r="B764" s="794" t="str">
        <f>IF(AQ747&gt;0,"Favor de revisar la instrucción 2, debido a que no se cumplen con los criterios mencionados","")</f>
        <v/>
      </c>
      <c r="C764" s="794"/>
      <c r="D764" s="794"/>
      <c r="E764" s="794"/>
      <c r="F764" s="794"/>
      <c r="G764" s="794"/>
      <c r="H764" s="794"/>
      <c r="I764" s="794"/>
      <c r="J764" s="794"/>
      <c r="K764" s="794"/>
      <c r="L764" s="794"/>
      <c r="M764" s="794"/>
      <c r="N764" s="794"/>
      <c r="O764" s="794"/>
      <c r="P764" s="794"/>
      <c r="Q764" s="794"/>
      <c r="R764" s="794"/>
      <c r="S764" s="794"/>
      <c r="T764" s="794"/>
      <c r="U764" s="794"/>
      <c r="V764" s="794"/>
      <c r="W764" s="794"/>
      <c r="X764" s="794"/>
      <c r="Y764" s="794"/>
      <c r="Z764" s="794"/>
      <c r="AA764" s="794"/>
      <c r="AB764" s="794"/>
      <c r="AC764" s="794"/>
      <c r="AD764" s="794"/>
      <c r="AE764" s="794"/>
    </row>
    <row r="765" spans="1:40" ht="15" customHeight="1">
      <c r="A765" s="176"/>
      <c r="B765" s="795" t="str">
        <f>IF(AN756&gt;0,"Alerta: debe de proporcionar una justificación de acuerdo a lo establecido en la instrucción 3","")</f>
        <v/>
      </c>
      <c r="C765" s="795"/>
      <c r="D765" s="795"/>
      <c r="E765" s="795"/>
      <c r="F765" s="795"/>
      <c r="G765" s="795"/>
      <c r="H765" s="795"/>
      <c r="I765" s="795"/>
      <c r="J765" s="795"/>
      <c r="K765" s="795"/>
      <c r="L765" s="795"/>
      <c r="M765" s="795"/>
      <c r="N765" s="795"/>
      <c r="O765" s="795"/>
      <c r="P765" s="795"/>
      <c r="Q765" s="795"/>
      <c r="R765" s="795"/>
      <c r="S765" s="795"/>
      <c r="T765" s="795"/>
      <c r="U765" s="795"/>
      <c r="V765" s="795"/>
      <c r="W765" s="795"/>
      <c r="X765" s="795"/>
      <c r="Y765" s="795"/>
      <c r="Z765" s="795"/>
      <c r="AA765" s="795"/>
      <c r="AB765" s="795"/>
      <c r="AC765" s="795"/>
      <c r="AD765" s="795"/>
      <c r="AE765" s="795"/>
    </row>
    <row r="766" spans="1:40" ht="36" customHeight="1">
      <c r="A766" s="49" t="s">
        <v>5350</v>
      </c>
      <c r="B766" s="829" t="s">
        <v>5351</v>
      </c>
      <c r="C766" s="829"/>
      <c r="D766" s="829"/>
      <c r="E766" s="829"/>
      <c r="F766" s="829"/>
      <c r="G766" s="829"/>
      <c r="H766" s="829"/>
      <c r="I766" s="829"/>
      <c r="J766" s="829"/>
      <c r="K766" s="829"/>
      <c r="L766" s="829"/>
      <c r="M766" s="829"/>
      <c r="N766" s="829"/>
      <c r="O766" s="829"/>
      <c r="P766" s="829"/>
      <c r="Q766" s="829"/>
      <c r="R766" s="829"/>
      <c r="S766" s="829"/>
      <c r="T766" s="829"/>
      <c r="U766" s="829"/>
      <c r="V766" s="829"/>
      <c r="W766" s="829"/>
      <c r="X766" s="829"/>
      <c r="Y766" s="829"/>
      <c r="Z766" s="829"/>
      <c r="AA766" s="829"/>
      <c r="AB766" s="829"/>
      <c r="AC766" s="829"/>
      <c r="AD766" s="829"/>
    </row>
    <row r="767" spans="1:40" ht="15" customHeight="1">
      <c r="A767" s="176"/>
      <c r="B767" s="57"/>
      <c r="C767" s="57"/>
      <c r="D767" s="57"/>
      <c r="E767" s="57"/>
      <c r="F767" s="57"/>
      <c r="G767" s="57"/>
      <c r="H767" s="57"/>
      <c r="I767" s="57"/>
      <c r="J767" s="57"/>
      <c r="K767" s="57"/>
      <c r="L767" s="57"/>
      <c r="M767" s="57"/>
      <c r="N767" s="57"/>
      <c r="O767" s="57"/>
      <c r="P767" s="57"/>
      <c r="Q767" s="57"/>
      <c r="R767" s="57"/>
      <c r="S767" s="57"/>
      <c r="T767" s="57"/>
      <c r="U767" s="57"/>
      <c r="V767" s="57"/>
      <c r="W767" s="57"/>
      <c r="X767" s="57"/>
      <c r="Y767" s="57"/>
      <c r="Z767" s="57"/>
      <c r="AA767" s="57"/>
      <c r="AB767" s="57"/>
      <c r="AC767" s="57"/>
      <c r="AD767" s="57"/>
    </row>
    <row r="768" spans="1:40" ht="36" customHeight="1">
      <c r="A768" s="108"/>
      <c r="B768" s="38"/>
      <c r="C768" s="797" t="s">
        <v>2581</v>
      </c>
      <c r="D768" s="798"/>
      <c r="E768" s="798"/>
      <c r="F768" s="798"/>
      <c r="G768" s="798"/>
      <c r="H768" s="798"/>
      <c r="I768" s="798"/>
      <c r="J768" s="798"/>
      <c r="K768" s="798"/>
      <c r="L768" s="798"/>
      <c r="M768" s="798"/>
      <c r="N768" s="798"/>
      <c r="O768" s="798"/>
      <c r="P768" s="798"/>
      <c r="Q768" s="798"/>
      <c r="R768" s="799"/>
      <c r="S768" s="739" t="s">
        <v>5352</v>
      </c>
      <c r="T768" s="740"/>
      <c r="U768" s="740"/>
      <c r="V768" s="740"/>
      <c r="W768" s="740"/>
      <c r="X768" s="740"/>
      <c r="Y768" s="740"/>
      <c r="Z768" s="740"/>
      <c r="AA768" s="740"/>
      <c r="AB768" s="740"/>
      <c r="AC768" s="740"/>
      <c r="AD768" s="741"/>
    </row>
    <row r="769" spans="1:58" ht="60" customHeight="1">
      <c r="A769" s="108"/>
      <c r="B769" s="38"/>
      <c r="C769" s="800"/>
      <c r="D769" s="801"/>
      <c r="E769" s="801"/>
      <c r="F769" s="801"/>
      <c r="G769" s="801"/>
      <c r="H769" s="801"/>
      <c r="I769" s="801"/>
      <c r="J769" s="801"/>
      <c r="K769" s="801"/>
      <c r="L769" s="801"/>
      <c r="M769" s="801"/>
      <c r="N769" s="801"/>
      <c r="O769" s="801"/>
      <c r="P769" s="801"/>
      <c r="Q769" s="801"/>
      <c r="R769" s="802"/>
      <c r="S769" s="887" t="s">
        <v>2628</v>
      </c>
      <c r="T769" s="889" t="s">
        <v>2629</v>
      </c>
      <c r="U769" s="889" t="s">
        <v>2630</v>
      </c>
      <c r="V769" s="733" t="s">
        <v>5353</v>
      </c>
      <c r="W769" s="734"/>
      <c r="X769" s="735"/>
      <c r="Y769" s="733" t="s">
        <v>5354</v>
      </c>
      <c r="Z769" s="734"/>
      <c r="AA769" s="735"/>
      <c r="AB769" s="733" t="s">
        <v>201</v>
      </c>
      <c r="AC769" s="734"/>
      <c r="AD769" s="735"/>
    </row>
    <row r="770" spans="1:58" ht="48" customHeight="1">
      <c r="A770" s="108"/>
      <c r="B770" s="38"/>
      <c r="C770" s="803"/>
      <c r="D770" s="804"/>
      <c r="E770" s="804"/>
      <c r="F770" s="804"/>
      <c r="G770" s="804"/>
      <c r="H770" s="804"/>
      <c r="I770" s="804"/>
      <c r="J770" s="804"/>
      <c r="K770" s="804"/>
      <c r="L770" s="804"/>
      <c r="M770" s="804"/>
      <c r="N770" s="804"/>
      <c r="O770" s="804"/>
      <c r="P770" s="804"/>
      <c r="Q770" s="804"/>
      <c r="R770" s="805"/>
      <c r="S770" s="888"/>
      <c r="T770" s="890"/>
      <c r="U770" s="890"/>
      <c r="V770" s="171" t="s">
        <v>2635</v>
      </c>
      <c r="W770" s="128" t="s">
        <v>2629</v>
      </c>
      <c r="X770" s="128" t="s">
        <v>2630</v>
      </c>
      <c r="Y770" s="171" t="s">
        <v>2635</v>
      </c>
      <c r="Z770" s="128" t="s">
        <v>2629</v>
      </c>
      <c r="AA770" s="128" t="s">
        <v>2630</v>
      </c>
      <c r="AB770" s="171" t="s">
        <v>2635</v>
      </c>
      <c r="AC770" s="128" t="s">
        <v>2629</v>
      </c>
      <c r="AD770" s="128" t="s">
        <v>2630</v>
      </c>
      <c r="AG770" t="s">
        <v>2586</v>
      </c>
      <c r="AH770" t="s">
        <v>4581</v>
      </c>
      <c r="AK770" t="s">
        <v>4573</v>
      </c>
      <c r="AL770" t="s">
        <v>2638</v>
      </c>
      <c r="AM770" t="s">
        <v>2639</v>
      </c>
      <c r="AN770" t="s">
        <v>4574</v>
      </c>
      <c r="AO770" t="s">
        <v>2641</v>
      </c>
      <c r="AP770" t="s">
        <v>2642</v>
      </c>
      <c r="AQ770" t="s">
        <v>4575</v>
      </c>
      <c r="AR770" t="s">
        <v>2644</v>
      </c>
      <c r="AS770" t="s">
        <v>2645</v>
      </c>
      <c r="AT770" t="s">
        <v>4576</v>
      </c>
      <c r="AU770" t="s">
        <v>2647</v>
      </c>
      <c r="AV770" t="s">
        <v>2648</v>
      </c>
      <c r="BF770" t="s">
        <v>4582</v>
      </c>
    </row>
    <row r="771" spans="1:58" ht="15" customHeight="1">
      <c r="A771" s="108"/>
      <c r="B771" s="38"/>
      <c r="C771" s="97" t="s">
        <v>2516</v>
      </c>
      <c r="D771" s="813" t="str">
        <f>IF(CNSIPEE_2024_M2_Secc1!D42="","",CNSIPEE_2024_M2_Secc1!D42)</f>
        <v/>
      </c>
      <c r="E771" s="814"/>
      <c r="F771" s="814"/>
      <c r="G771" s="814"/>
      <c r="H771" s="814"/>
      <c r="I771" s="814"/>
      <c r="J771" s="814"/>
      <c r="K771" s="814"/>
      <c r="L771" s="814"/>
      <c r="M771" s="814"/>
      <c r="N771" s="814"/>
      <c r="O771" s="814"/>
      <c r="P771" s="814"/>
      <c r="Q771" s="814"/>
      <c r="R771" s="815"/>
      <c r="S771" s="100"/>
      <c r="T771" s="100"/>
      <c r="U771" s="100"/>
      <c r="V771" s="100"/>
      <c r="W771" s="100"/>
      <c r="X771" s="100"/>
      <c r="Y771" s="100"/>
      <c r="Z771" s="100"/>
      <c r="AA771" s="100"/>
      <c r="AB771" s="100"/>
      <c r="AC771" s="100"/>
      <c r="AD771" s="100"/>
      <c r="AG771">
        <f>IF(OR($M40=0,$M40="NS",$M40="NA"),0,IF(OR(COUNTBLANK(D771:AD771)=14,COUNTBLANK(D771:AD771)=27),0,1))</f>
        <v>0</v>
      </c>
      <c r="AH771">
        <f>IF(OR($M40=0,$M40="NS",$M40="NA"),IF(COUNTBLANK(S771:AD771)=12,0,1),0)</f>
        <v>0</v>
      </c>
      <c r="AK771">
        <f t="shared" ref="AK771" si="716">COUNTIF(T771:U771,"NS")</f>
        <v>0</v>
      </c>
      <c r="AL771">
        <f t="shared" ref="AL771" si="717">SUM(T771:U771)</f>
        <v>0</v>
      </c>
      <c r="AM771">
        <f t="shared" ref="AM771" si="718">IF(COUNTIF(S771:U771,"NA")=3,0,IF(COUNTA(S771:U771)=0,0,IF(OR(AND(S771=0,AK771&gt;0),AND(S771="ns",AL771&gt;0),AND(S771="ns",AK771=0,AL771=0)),1,IF(OR(AND(S771&gt;0,AK771=2),AND(S771="ns",AK771=2),AND(S771="ns",AL771=0,AK771&gt;0),S771=AL771),0,1))))</f>
        <v>0</v>
      </c>
      <c r="AN771">
        <f t="shared" ref="AN771" si="719">COUNTIF(W771:X771,"NS")</f>
        <v>0</v>
      </c>
      <c r="AO771">
        <f t="shared" ref="AO771" si="720">SUM(W771:X771)</f>
        <v>0</v>
      </c>
      <c r="AP771">
        <f t="shared" ref="AP771" si="721">IF(COUNTIF(V771:X771,"NA")=3,0,IF(COUNTA(V771:X771)=0,0,IF(OR(AND(V771=0,AN771&gt;0),AND(V771="ns",AO771&gt;0),AND(V771="ns",AN771=0,AO771=0)),1,IF(OR(AND(V771&gt;0,AN771=2),AND(V771="ns",AN771=2),AND(V771="ns",AO771=0,AN771&gt;0),V771=AO771),0,1))))</f>
        <v>0</v>
      </c>
      <c r="AQ771">
        <f t="shared" ref="AQ771" si="722">COUNTIF(Z771:AA771,"NS")</f>
        <v>0</v>
      </c>
      <c r="AR771">
        <f t="shared" ref="AR771" si="723">SUM(Z771:AA771)</f>
        <v>0</v>
      </c>
      <c r="AS771">
        <f t="shared" ref="AS771" si="724">IF(COUNTIF(Y771:AA771,"NA")=3,0,IF(COUNTA(Y771:AA771)=0,0,IF(OR(AND(Y771=0,AQ771&gt;0),AND(Y771="ns",AR771&gt;0),AND(Y771="ns",AQ771=0,AR771=0)),1,IF(OR(AND(Y771&gt;0,AQ771=2),AND(Y771="ns",AQ771=2),AND(Y771="ns",AR771=0,AQ771&gt;0),Y771=AR771),0,1))))</f>
        <v>0</v>
      </c>
      <c r="AT771">
        <f t="shared" ref="AT771" si="725">COUNTIF(AC771:AD771,"NS")</f>
        <v>0</v>
      </c>
      <c r="AU771">
        <f t="shared" ref="AU771" si="726">SUM(AC771:AD771)</f>
        <v>0</v>
      </c>
      <c r="AV771">
        <f t="shared" ref="AV771" si="727">IF(COUNTIF(AB771:AD771,"NA")=3,0,IF(COUNTA(AB771:AD771)=0,0,IF(OR(AND(AB771=0,AT771&gt;0),AND(AB771="ns",AU771&gt;0),AND(AB771="ns",AT771=0,AU771=0)),1,IF(OR(AND(AB771&gt;0,AT771=2),AND(AB771="ns",AT771=2),AND(AB771="ns",AU771=0,AT771&gt;0),AB771=AU771),0,1))))</f>
        <v>0</v>
      </c>
      <c r="BF771">
        <f>IF(OR($M40=0,$M40="NS",$M40="NA"),0,IF(AND(M40=S771,S40=T771,Y40=U771),0,1))</f>
        <v>0</v>
      </c>
    </row>
    <row r="772" spans="1:58" ht="15" customHeight="1">
      <c r="A772" s="108"/>
      <c r="B772" s="38"/>
      <c r="C772" s="98" t="s">
        <v>2517</v>
      </c>
      <c r="D772" s="813" t="str">
        <f>IF(CNSIPEE_2024_M2_Secc1!D43="","",CNSIPEE_2024_M2_Secc1!D43)</f>
        <v/>
      </c>
      <c r="E772" s="814"/>
      <c r="F772" s="814"/>
      <c r="G772" s="814"/>
      <c r="H772" s="814"/>
      <c r="I772" s="814"/>
      <c r="J772" s="814"/>
      <c r="K772" s="814"/>
      <c r="L772" s="814"/>
      <c r="M772" s="814"/>
      <c r="N772" s="814"/>
      <c r="O772" s="814"/>
      <c r="P772" s="814"/>
      <c r="Q772" s="814"/>
      <c r="R772" s="815"/>
      <c r="S772" s="100"/>
      <c r="T772" s="100"/>
      <c r="U772" s="100"/>
      <c r="V772" s="100"/>
      <c r="W772" s="100"/>
      <c r="X772" s="100"/>
      <c r="Y772" s="100"/>
      <c r="Z772" s="100"/>
      <c r="AA772" s="100"/>
      <c r="AB772" s="100"/>
      <c r="AC772" s="100"/>
      <c r="AD772" s="100"/>
      <c r="AG772">
        <f t="shared" ref="AG772:AG778" si="728">IF(OR($M41=0,$M41="NS",$M41="NA"),0,IF(OR(COUNTBLANK(D772:AD772)=14,COUNTBLANK(D772:AD772)=27),0,1))</f>
        <v>0</v>
      </c>
      <c r="AH772">
        <f t="shared" ref="AH772:AH778" si="729">IF(OR($M41=0,$M41="NS",$M41="NA"),IF(COUNTBLANK(S772:AD772)=12,0,1),0)</f>
        <v>0</v>
      </c>
      <c r="AK772">
        <f t="shared" ref="AK772:AK778" si="730">COUNTIF(T772:U772,"NS")</f>
        <v>0</v>
      </c>
      <c r="AL772">
        <f t="shared" ref="AL772:AL778" si="731">SUM(T772:U772)</f>
        <v>0</v>
      </c>
      <c r="AM772">
        <f t="shared" ref="AM772:AM778" si="732">IF(COUNTIF(S772:U772,"NA")=3,0,IF(COUNTA(S772:U772)=0,0,IF(OR(AND(S772=0,AK772&gt;0),AND(S772="ns",AL772&gt;0),AND(S772="ns",AK772=0,AL772=0)),1,IF(OR(AND(S772&gt;0,AK772=2),AND(S772="ns",AK772=2),AND(S772="ns",AL772=0,AK772&gt;0),S772=AL772),0,1))))</f>
        <v>0</v>
      </c>
      <c r="AN772">
        <f t="shared" ref="AN772:AN778" si="733">COUNTIF(W772:X772,"NS")</f>
        <v>0</v>
      </c>
      <c r="AO772">
        <f t="shared" ref="AO772:AO778" si="734">SUM(W772:X772)</f>
        <v>0</v>
      </c>
      <c r="AP772">
        <f t="shared" ref="AP772:AP778" si="735">IF(COUNTIF(V772:X772,"NA")=3,0,IF(COUNTA(V772:X772)=0,0,IF(OR(AND(V772=0,AN772&gt;0),AND(V772="ns",AO772&gt;0),AND(V772="ns",AN772=0,AO772=0)),1,IF(OR(AND(V772&gt;0,AN772=2),AND(V772="ns",AN772=2),AND(V772="ns",AO772=0,AN772&gt;0),V772=AO772),0,1))))</f>
        <v>0</v>
      </c>
      <c r="AQ772">
        <f t="shared" ref="AQ772:AQ778" si="736">COUNTIF(Z772:AA772,"NS")</f>
        <v>0</v>
      </c>
      <c r="AR772">
        <f t="shared" ref="AR772:AR778" si="737">SUM(Z772:AA772)</f>
        <v>0</v>
      </c>
      <c r="AS772">
        <f t="shared" ref="AS772:AS778" si="738">IF(COUNTIF(Y772:AA772,"NA")=3,0,IF(COUNTA(Y772:AA772)=0,0,IF(OR(AND(Y772=0,AQ772&gt;0),AND(Y772="ns",AR772&gt;0),AND(Y772="ns",AQ772=0,AR772=0)),1,IF(OR(AND(Y772&gt;0,AQ772=2),AND(Y772="ns",AQ772=2),AND(Y772="ns",AR772=0,AQ772&gt;0),Y772=AR772),0,1))))</f>
        <v>0</v>
      </c>
      <c r="AT772">
        <f t="shared" ref="AT772:AT778" si="739">COUNTIF(AC772:AD772,"NS")</f>
        <v>0</v>
      </c>
      <c r="AU772">
        <f t="shared" ref="AU772:AU778" si="740">SUM(AC772:AD772)</f>
        <v>0</v>
      </c>
      <c r="AV772">
        <f t="shared" ref="AV772:AV778" si="741">IF(COUNTIF(AB772:AD772,"NA")=3,0,IF(COUNTA(AB772:AD772)=0,0,IF(OR(AND(AB772=0,AT772&gt;0),AND(AB772="ns",AU772&gt;0),AND(AB772="ns",AT772=0,AU772=0)),1,IF(OR(AND(AB772&gt;0,AT772=2),AND(AB772="ns",AT772=2),AND(AB772="ns",AU772=0,AT772&gt;0),AB772=AU772),0,1))))</f>
        <v>0</v>
      </c>
      <c r="BF772">
        <f t="shared" ref="BF772:BF778" si="742">IF(OR($M41=0,$M41="NS",$M41="NA"),0,IF(AND(M41=S772,S41=T772,Y41=U772),0,1))</f>
        <v>0</v>
      </c>
    </row>
    <row r="773" spans="1:58" ht="15" customHeight="1">
      <c r="A773" s="186"/>
      <c r="B773" s="57"/>
      <c r="C773" s="98" t="s">
        <v>2518</v>
      </c>
      <c r="D773" s="813" t="str">
        <f>IF(CNSIPEE_2024_M2_Secc1!D44="","",CNSIPEE_2024_M2_Secc1!D44)</f>
        <v/>
      </c>
      <c r="E773" s="814"/>
      <c r="F773" s="814"/>
      <c r="G773" s="814"/>
      <c r="H773" s="814"/>
      <c r="I773" s="814"/>
      <c r="J773" s="814"/>
      <c r="K773" s="814"/>
      <c r="L773" s="814"/>
      <c r="M773" s="814"/>
      <c r="N773" s="814"/>
      <c r="O773" s="814"/>
      <c r="P773" s="814"/>
      <c r="Q773" s="814"/>
      <c r="R773" s="815"/>
      <c r="S773" s="100"/>
      <c r="T773" s="100"/>
      <c r="U773" s="100"/>
      <c r="V773" s="100"/>
      <c r="W773" s="100"/>
      <c r="X773" s="100"/>
      <c r="Y773" s="100"/>
      <c r="Z773" s="100"/>
      <c r="AA773" s="100"/>
      <c r="AB773" s="100"/>
      <c r="AC773" s="100"/>
      <c r="AD773" s="100"/>
      <c r="AG773">
        <f t="shared" si="728"/>
        <v>0</v>
      </c>
      <c r="AH773">
        <f t="shared" si="729"/>
        <v>0</v>
      </c>
      <c r="AK773">
        <f t="shared" si="730"/>
        <v>0</v>
      </c>
      <c r="AL773">
        <f t="shared" si="731"/>
        <v>0</v>
      </c>
      <c r="AM773">
        <f t="shared" si="732"/>
        <v>0</v>
      </c>
      <c r="AN773">
        <f t="shared" si="733"/>
        <v>0</v>
      </c>
      <c r="AO773">
        <f t="shared" si="734"/>
        <v>0</v>
      </c>
      <c r="AP773">
        <f t="shared" si="735"/>
        <v>0</v>
      </c>
      <c r="AQ773">
        <f t="shared" si="736"/>
        <v>0</v>
      </c>
      <c r="AR773">
        <f t="shared" si="737"/>
        <v>0</v>
      </c>
      <c r="AS773">
        <f t="shared" si="738"/>
        <v>0</v>
      </c>
      <c r="AT773">
        <f t="shared" si="739"/>
        <v>0</v>
      </c>
      <c r="AU773">
        <f t="shared" si="740"/>
        <v>0</v>
      </c>
      <c r="AV773">
        <f t="shared" si="741"/>
        <v>0</v>
      </c>
      <c r="BF773">
        <f t="shared" si="742"/>
        <v>0</v>
      </c>
    </row>
    <row r="774" spans="1:58" ht="15" customHeight="1">
      <c r="A774" s="186"/>
      <c r="B774" s="57"/>
      <c r="C774" s="98" t="s">
        <v>2519</v>
      </c>
      <c r="D774" s="813" t="str">
        <f>IF(CNSIPEE_2024_M2_Secc1!D45="","",CNSIPEE_2024_M2_Secc1!D45)</f>
        <v/>
      </c>
      <c r="E774" s="814"/>
      <c r="F774" s="814"/>
      <c r="G774" s="814"/>
      <c r="H774" s="814"/>
      <c r="I774" s="814"/>
      <c r="J774" s="814"/>
      <c r="K774" s="814"/>
      <c r="L774" s="814"/>
      <c r="M774" s="814"/>
      <c r="N774" s="814"/>
      <c r="O774" s="814"/>
      <c r="P774" s="814"/>
      <c r="Q774" s="814"/>
      <c r="R774" s="815"/>
      <c r="S774" s="100"/>
      <c r="T774" s="100"/>
      <c r="U774" s="100"/>
      <c r="V774" s="100"/>
      <c r="W774" s="100"/>
      <c r="X774" s="100"/>
      <c r="Y774" s="100"/>
      <c r="Z774" s="100"/>
      <c r="AA774" s="100"/>
      <c r="AB774" s="100"/>
      <c r="AC774" s="100"/>
      <c r="AD774" s="100"/>
      <c r="AG774">
        <f t="shared" si="728"/>
        <v>0</v>
      </c>
      <c r="AH774">
        <f t="shared" si="729"/>
        <v>0</v>
      </c>
      <c r="AK774">
        <f t="shared" si="730"/>
        <v>0</v>
      </c>
      <c r="AL774">
        <f t="shared" si="731"/>
        <v>0</v>
      </c>
      <c r="AM774">
        <f t="shared" si="732"/>
        <v>0</v>
      </c>
      <c r="AN774">
        <f t="shared" si="733"/>
        <v>0</v>
      </c>
      <c r="AO774">
        <f t="shared" si="734"/>
        <v>0</v>
      </c>
      <c r="AP774">
        <f t="shared" si="735"/>
        <v>0</v>
      </c>
      <c r="AQ774">
        <f t="shared" si="736"/>
        <v>0</v>
      </c>
      <c r="AR774">
        <f t="shared" si="737"/>
        <v>0</v>
      </c>
      <c r="AS774">
        <f t="shared" si="738"/>
        <v>0</v>
      </c>
      <c r="AT774">
        <f t="shared" si="739"/>
        <v>0</v>
      </c>
      <c r="AU774">
        <f t="shared" si="740"/>
        <v>0</v>
      </c>
      <c r="AV774">
        <f t="shared" si="741"/>
        <v>0</v>
      </c>
      <c r="BF774">
        <f t="shared" si="742"/>
        <v>0</v>
      </c>
    </row>
    <row r="775" spans="1:58" ht="15" customHeight="1">
      <c r="A775" s="186"/>
      <c r="B775" s="57"/>
      <c r="C775" s="98" t="s">
        <v>2520</v>
      </c>
      <c r="D775" s="813" t="str">
        <f>IF(CNSIPEE_2024_M2_Secc1!D46="","",CNSIPEE_2024_M2_Secc1!D46)</f>
        <v/>
      </c>
      <c r="E775" s="814"/>
      <c r="F775" s="814"/>
      <c r="G775" s="814"/>
      <c r="H775" s="814"/>
      <c r="I775" s="814"/>
      <c r="J775" s="814"/>
      <c r="K775" s="814"/>
      <c r="L775" s="814"/>
      <c r="M775" s="814"/>
      <c r="N775" s="814"/>
      <c r="O775" s="814"/>
      <c r="P775" s="814"/>
      <c r="Q775" s="814"/>
      <c r="R775" s="815"/>
      <c r="S775" s="100"/>
      <c r="T775" s="100"/>
      <c r="U775" s="100"/>
      <c r="V775" s="100"/>
      <c r="W775" s="100"/>
      <c r="X775" s="100"/>
      <c r="Y775" s="100"/>
      <c r="Z775" s="100"/>
      <c r="AA775" s="100"/>
      <c r="AB775" s="100"/>
      <c r="AC775" s="100"/>
      <c r="AD775" s="100"/>
      <c r="AG775">
        <f t="shared" si="728"/>
        <v>0</v>
      </c>
      <c r="AH775">
        <f t="shared" si="729"/>
        <v>0</v>
      </c>
      <c r="AK775">
        <f t="shared" si="730"/>
        <v>0</v>
      </c>
      <c r="AL775">
        <f t="shared" si="731"/>
        <v>0</v>
      </c>
      <c r="AM775">
        <f t="shared" si="732"/>
        <v>0</v>
      </c>
      <c r="AN775">
        <f t="shared" si="733"/>
        <v>0</v>
      </c>
      <c r="AO775">
        <f t="shared" si="734"/>
        <v>0</v>
      </c>
      <c r="AP775">
        <f t="shared" si="735"/>
        <v>0</v>
      </c>
      <c r="AQ775">
        <f t="shared" si="736"/>
        <v>0</v>
      </c>
      <c r="AR775">
        <f t="shared" si="737"/>
        <v>0</v>
      </c>
      <c r="AS775">
        <f t="shared" si="738"/>
        <v>0</v>
      </c>
      <c r="AT775">
        <f t="shared" si="739"/>
        <v>0</v>
      </c>
      <c r="AU775">
        <f t="shared" si="740"/>
        <v>0</v>
      </c>
      <c r="AV775">
        <f t="shared" si="741"/>
        <v>0</v>
      </c>
      <c r="BF775">
        <f t="shared" si="742"/>
        <v>0</v>
      </c>
    </row>
    <row r="776" spans="1:58" ht="15" customHeight="1">
      <c r="A776" s="186"/>
      <c r="B776" s="57"/>
      <c r="C776" s="98" t="s">
        <v>2521</v>
      </c>
      <c r="D776" s="813" t="str">
        <f>IF(CNSIPEE_2024_M2_Secc1!D47="","",CNSIPEE_2024_M2_Secc1!D47)</f>
        <v/>
      </c>
      <c r="E776" s="814"/>
      <c r="F776" s="814"/>
      <c r="G776" s="814"/>
      <c r="H776" s="814"/>
      <c r="I776" s="814"/>
      <c r="J776" s="814"/>
      <c r="K776" s="814"/>
      <c r="L776" s="814"/>
      <c r="M776" s="814"/>
      <c r="N776" s="814"/>
      <c r="O776" s="814"/>
      <c r="P776" s="814"/>
      <c r="Q776" s="814"/>
      <c r="R776" s="815"/>
      <c r="S776" s="100"/>
      <c r="T776" s="100"/>
      <c r="U776" s="100"/>
      <c r="V776" s="100"/>
      <c r="W776" s="100"/>
      <c r="X776" s="100"/>
      <c r="Y776" s="100"/>
      <c r="Z776" s="100"/>
      <c r="AA776" s="100"/>
      <c r="AB776" s="100"/>
      <c r="AC776" s="100"/>
      <c r="AD776" s="100"/>
      <c r="AG776">
        <f t="shared" si="728"/>
        <v>0</v>
      </c>
      <c r="AH776">
        <f t="shared" si="729"/>
        <v>0</v>
      </c>
      <c r="AK776">
        <f t="shared" si="730"/>
        <v>0</v>
      </c>
      <c r="AL776">
        <f t="shared" si="731"/>
        <v>0</v>
      </c>
      <c r="AM776">
        <f t="shared" si="732"/>
        <v>0</v>
      </c>
      <c r="AN776">
        <f t="shared" si="733"/>
        <v>0</v>
      </c>
      <c r="AO776">
        <f t="shared" si="734"/>
        <v>0</v>
      </c>
      <c r="AP776">
        <f t="shared" si="735"/>
        <v>0</v>
      </c>
      <c r="AQ776">
        <f t="shared" si="736"/>
        <v>0</v>
      </c>
      <c r="AR776">
        <f t="shared" si="737"/>
        <v>0</v>
      </c>
      <c r="AS776">
        <f t="shared" si="738"/>
        <v>0</v>
      </c>
      <c r="AT776">
        <f t="shared" si="739"/>
        <v>0</v>
      </c>
      <c r="AU776">
        <f t="shared" si="740"/>
        <v>0</v>
      </c>
      <c r="AV776">
        <f t="shared" si="741"/>
        <v>0</v>
      </c>
      <c r="BF776">
        <f t="shared" si="742"/>
        <v>0</v>
      </c>
    </row>
    <row r="777" spans="1:58" ht="15" customHeight="1">
      <c r="A777" s="186"/>
      <c r="B777" s="57"/>
      <c r="C777" s="98" t="s">
        <v>2522</v>
      </c>
      <c r="D777" s="813" t="str">
        <f>IF(CNSIPEE_2024_M2_Secc1!D48="","",CNSIPEE_2024_M2_Secc1!D48)</f>
        <v/>
      </c>
      <c r="E777" s="814"/>
      <c r="F777" s="814"/>
      <c r="G777" s="814"/>
      <c r="H777" s="814"/>
      <c r="I777" s="814"/>
      <c r="J777" s="814"/>
      <c r="K777" s="814"/>
      <c r="L777" s="814"/>
      <c r="M777" s="814"/>
      <c r="N777" s="814"/>
      <c r="O777" s="814"/>
      <c r="P777" s="814"/>
      <c r="Q777" s="814"/>
      <c r="R777" s="815"/>
      <c r="S777" s="100"/>
      <c r="T777" s="100"/>
      <c r="U777" s="100"/>
      <c r="V777" s="100"/>
      <c r="W777" s="100"/>
      <c r="X777" s="100"/>
      <c r="Y777" s="100"/>
      <c r="Z777" s="100"/>
      <c r="AA777" s="100"/>
      <c r="AB777" s="100"/>
      <c r="AC777" s="100"/>
      <c r="AD777" s="100"/>
      <c r="AG777">
        <f t="shared" si="728"/>
        <v>0</v>
      </c>
      <c r="AH777">
        <f t="shared" si="729"/>
        <v>0</v>
      </c>
      <c r="AK777">
        <f t="shared" si="730"/>
        <v>0</v>
      </c>
      <c r="AL777">
        <f t="shared" si="731"/>
        <v>0</v>
      </c>
      <c r="AM777">
        <f t="shared" si="732"/>
        <v>0</v>
      </c>
      <c r="AN777">
        <f t="shared" si="733"/>
        <v>0</v>
      </c>
      <c r="AO777">
        <f t="shared" si="734"/>
        <v>0</v>
      </c>
      <c r="AP777">
        <f t="shared" si="735"/>
        <v>0</v>
      </c>
      <c r="AQ777">
        <f t="shared" si="736"/>
        <v>0</v>
      </c>
      <c r="AR777">
        <f t="shared" si="737"/>
        <v>0</v>
      </c>
      <c r="AS777">
        <f t="shared" si="738"/>
        <v>0</v>
      </c>
      <c r="AT777">
        <f t="shared" si="739"/>
        <v>0</v>
      </c>
      <c r="AU777">
        <f t="shared" si="740"/>
        <v>0</v>
      </c>
      <c r="AV777">
        <f t="shared" si="741"/>
        <v>0</v>
      </c>
      <c r="BF777">
        <f t="shared" si="742"/>
        <v>0</v>
      </c>
    </row>
    <row r="778" spans="1:58" ht="15" customHeight="1">
      <c r="A778" s="186"/>
      <c r="B778" s="57"/>
      <c r="C778" s="98" t="s">
        <v>2523</v>
      </c>
      <c r="D778" s="813" t="str">
        <f>IF(CNSIPEE_2024_M2_Secc1!D49="","",CNSIPEE_2024_M2_Secc1!D49)</f>
        <v/>
      </c>
      <c r="E778" s="814"/>
      <c r="F778" s="814"/>
      <c r="G778" s="814"/>
      <c r="H778" s="814"/>
      <c r="I778" s="814"/>
      <c r="J778" s="814"/>
      <c r="K778" s="814"/>
      <c r="L778" s="814"/>
      <c r="M778" s="814"/>
      <c r="N778" s="814"/>
      <c r="O778" s="814"/>
      <c r="P778" s="814"/>
      <c r="Q778" s="814"/>
      <c r="R778" s="815"/>
      <c r="S778" s="100"/>
      <c r="T778" s="100"/>
      <c r="U778" s="100"/>
      <c r="V778" s="100"/>
      <c r="W778" s="100"/>
      <c r="X778" s="100"/>
      <c r="Y778" s="100"/>
      <c r="Z778" s="100"/>
      <c r="AA778" s="100"/>
      <c r="AB778" s="100"/>
      <c r="AC778" s="100"/>
      <c r="AD778" s="100"/>
      <c r="AG778">
        <f t="shared" si="728"/>
        <v>0</v>
      </c>
      <c r="AH778">
        <f t="shared" si="729"/>
        <v>0</v>
      </c>
      <c r="AK778">
        <f t="shared" si="730"/>
        <v>0</v>
      </c>
      <c r="AL778">
        <f t="shared" si="731"/>
        <v>0</v>
      </c>
      <c r="AM778">
        <f t="shared" si="732"/>
        <v>0</v>
      </c>
      <c r="AN778">
        <f t="shared" si="733"/>
        <v>0</v>
      </c>
      <c r="AO778">
        <f t="shared" si="734"/>
        <v>0</v>
      </c>
      <c r="AP778">
        <f t="shared" si="735"/>
        <v>0</v>
      </c>
      <c r="AQ778">
        <f t="shared" si="736"/>
        <v>0</v>
      </c>
      <c r="AR778">
        <f t="shared" si="737"/>
        <v>0</v>
      </c>
      <c r="AS778">
        <f t="shared" si="738"/>
        <v>0</v>
      </c>
      <c r="AT778">
        <f t="shared" si="739"/>
        <v>0</v>
      </c>
      <c r="AU778">
        <f t="shared" si="740"/>
        <v>0</v>
      </c>
      <c r="AV778">
        <f t="shared" si="741"/>
        <v>0</v>
      </c>
      <c r="BF778">
        <f t="shared" si="742"/>
        <v>0</v>
      </c>
    </row>
    <row r="779" spans="1:58" ht="15" customHeight="1">
      <c r="A779" s="186"/>
      <c r="B779" s="57"/>
      <c r="C779" s="70"/>
      <c r="D779" s="84"/>
      <c r="E779" s="84"/>
      <c r="F779" s="84"/>
      <c r="G779" s="84"/>
      <c r="H779" s="84"/>
      <c r="I779" s="84"/>
      <c r="J779" s="84"/>
      <c r="K779" s="84"/>
      <c r="L779" s="84"/>
      <c r="M779" s="84"/>
      <c r="N779" s="84"/>
      <c r="O779" s="84"/>
      <c r="P779" s="84"/>
      <c r="Q779" s="84"/>
      <c r="R779" s="117" t="s">
        <v>2649</v>
      </c>
      <c r="S779" s="124">
        <f t="shared" ref="S779:AD779" si="743">IF(AND(SUM(S771:S778)=0,COUNTIF(S771:S778,"NS")&gt;0),"NS",IF(AND(SUM(S771:S778)=0,COUNTIF(S771:S778,0)&gt;0),0,IF(AND(SUM(S771:S778)=0,COUNTIF(S771:S778,"NA")&gt;0),"NA",SUM(S771:S778))))</f>
        <v>0</v>
      </c>
      <c r="T779" s="124">
        <f t="shared" si="743"/>
        <v>0</v>
      </c>
      <c r="U779" s="124">
        <f t="shared" si="743"/>
        <v>0</v>
      </c>
      <c r="V779" s="124">
        <f t="shared" si="743"/>
        <v>0</v>
      </c>
      <c r="W779" s="124">
        <f t="shared" si="743"/>
        <v>0</v>
      </c>
      <c r="X779" s="124">
        <f t="shared" si="743"/>
        <v>0</v>
      </c>
      <c r="Y779" s="124">
        <f t="shared" si="743"/>
        <v>0</v>
      </c>
      <c r="Z779" s="124">
        <f t="shared" si="743"/>
        <v>0</v>
      </c>
      <c r="AA779" s="124">
        <f t="shared" si="743"/>
        <v>0</v>
      </c>
      <c r="AB779" s="124">
        <f t="shared" si="743"/>
        <v>0</v>
      </c>
      <c r="AC779" s="124">
        <f t="shared" si="743"/>
        <v>0</v>
      </c>
      <c r="AD779" s="124">
        <f t="shared" si="743"/>
        <v>0</v>
      </c>
      <c r="AG779" s="507">
        <f>SUM(AG771:AG778)</f>
        <v>0</v>
      </c>
      <c r="AH779" s="507">
        <f>SUM(AH771:AH778)</f>
        <v>0</v>
      </c>
      <c r="AK779">
        <f>SUM(AK771:AK778)</f>
        <v>0</v>
      </c>
      <c r="AM779">
        <f>SUM(AM771:AM778)</f>
        <v>0</v>
      </c>
      <c r="AN779">
        <f>SUM(AN771:AN778)</f>
        <v>0</v>
      </c>
      <c r="AP779">
        <f>SUM(AP771:AP778)</f>
        <v>0</v>
      </c>
      <c r="AQ779">
        <f>SUM(AQ771:AQ778)</f>
        <v>0</v>
      </c>
      <c r="AS779">
        <f>SUM(AS771:AS778)</f>
        <v>0</v>
      </c>
      <c r="AT779">
        <f>SUM(AT771:AT778)</f>
        <v>0</v>
      </c>
      <c r="AV779">
        <f>SUM(AV771:AV778)</f>
        <v>0</v>
      </c>
      <c r="BF779" s="506">
        <f>SUM(BF771:BF778)</f>
        <v>0</v>
      </c>
    </row>
    <row r="780" spans="1:58" ht="15" customHeight="1">
      <c r="A780" s="176"/>
      <c r="B780" s="57"/>
      <c r="C780" s="57"/>
      <c r="D780" s="57"/>
      <c r="E780" s="57"/>
      <c r="F780" s="57"/>
      <c r="G780" s="57"/>
      <c r="H780" s="57"/>
      <c r="I780" s="57"/>
      <c r="J780" s="57"/>
      <c r="K780" s="57"/>
      <c r="L780" s="57"/>
      <c r="M780" s="57"/>
      <c r="N780" s="57"/>
      <c r="O780" s="57"/>
      <c r="P780" s="57"/>
      <c r="Q780" s="57"/>
      <c r="R780" s="57"/>
      <c r="S780" s="57"/>
      <c r="T780" s="57"/>
      <c r="U780" s="57"/>
      <c r="V780" s="57"/>
      <c r="W780" s="57"/>
      <c r="X780" s="57"/>
      <c r="Y780" s="57"/>
      <c r="Z780" s="57"/>
      <c r="AA780" s="57"/>
      <c r="AB780" s="57"/>
      <c r="AC780" s="57"/>
      <c r="AD780" s="57"/>
      <c r="AK780" t="s">
        <v>2650</v>
      </c>
      <c r="AL780" s="506">
        <f>SUM(AM779,AP779,AS779,AV779)</f>
        <v>0</v>
      </c>
      <c r="AM780" t="s">
        <v>2651</v>
      </c>
      <c r="AN780">
        <f>SUM(AK779,AN779,AQ779,AT779)</f>
        <v>0</v>
      </c>
    </row>
    <row r="781" spans="1:58" ht="24" customHeight="1">
      <c r="A781" s="176"/>
      <c r="B781" s="57"/>
      <c r="C781" s="754" t="s">
        <v>2611</v>
      </c>
      <c r="D781" s="754"/>
      <c r="E781" s="754"/>
      <c r="F781" s="754"/>
      <c r="G781" s="754"/>
      <c r="H781" s="754"/>
      <c r="I781" s="754"/>
      <c r="J781" s="754"/>
      <c r="K781" s="754"/>
      <c r="L781" s="754"/>
      <c r="M781" s="754"/>
      <c r="N781" s="754"/>
      <c r="O781" s="754"/>
      <c r="P781" s="754"/>
      <c r="Q781" s="754"/>
      <c r="R781" s="754"/>
      <c r="S781" s="754"/>
      <c r="T781" s="754"/>
      <c r="U781" s="754"/>
      <c r="V781" s="754"/>
      <c r="W781" s="754"/>
      <c r="X781" s="754"/>
      <c r="Y781" s="754"/>
      <c r="Z781" s="754"/>
      <c r="AA781" s="754"/>
      <c r="AB781" s="754"/>
      <c r="AC781" s="754"/>
      <c r="AD781" s="754"/>
      <c r="AK781" t="s">
        <v>2652</v>
      </c>
      <c r="AL781" s="507">
        <f>IF(AN780&gt;0,IF(SUM(S779)&gt;=SUM(V779,Y779,AB779),0,1),IF(SUM(S779)&lt;&gt;SUM(V779,Y779,AB779),1,0))</f>
        <v>0</v>
      </c>
      <c r="AM781" t="s">
        <v>2653</v>
      </c>
      <c r="AN781" s="507">
        <f>IF(AN780&gt;0,IF(SUM(T779)&gt;=SUM(W779,Z779,AC779),0,1),IF(SUM(T779)&lt;&gt;SUM(W779,Z779,AC779),1,0))</f>
        <v>0</v>
      </c>
      <c r="AO781" t="s">
        <v>2654</v>
      </c>
      <c r="AP781" s="507">
        <f>IF(AN780&gt;0,IF(SUM(U779)&gt;=SUM(X779,AA779,AD779),0,1),IF(SUM(U779)&lt;&gt;SUM(X779,AA779,AD779),1,0))</f>
        <v>0</v>
      </c>
    </row>
    <row r="782" spans="1:58" ht="60" customHeight="1">
      <c r="A782" s="176"/>
      <c r="B782" s="57"/>
      <c r="C782" s="851"/>
      <c r="D782" s="851"/>
      <c r="E782" s="851"/>
      <c r="F782" s="851"/>
      <c r="G782" s="851"/>
      <c r="H782" s="851"/>
      <c r="I782" s="851"/>
      <c r="J782" s="851"/>
      <c r="K782" s="851"/>
      <c r="L782" s="851"/>
      <c r="M782" s="851"/>
      <c r="N782" s="851"/>
      <c r="O782" s="851"/>
      <c r="P782" s="851"/>
      <c r="Q782" s="851"/>
      <c r="R782" s="851"/>
      <c r="S782" s="851"/>
      <c r="T782" s="851"/>
      <c r="U782" s="851"/>
      <c r="V782" s="851"/>
      <c r="W782" s="851"/>
      <c r="X782" s="851"/>
      <c r="Y782" s="851"/>
      <c r="Z782" s="851"/>
      <c r="AA782" s="851"/>
      <c r="AB782" s="851"/>
      <c r="AC782" s="851"/>
      <c r="AD782" s="851"/>
    </row>
    <row r="783" spans="1:58" ht="15" customHeight="1">
      <c r="A783" s="176"/>
      <c r="B783" s="794" t="str">
        <f>IF(AG779=0,"","Favor de ingresar toda la información requerida en la pregunta")</f>
        <v/>
      </c>
      <c r="C783" s="794"/>
      <c r="D783" s="794"/>
      <c r="E783" s="794"/>
      <c r="F783" s="794"/>
      <c r="G783" s="794"/>
      <c r="H783" s="794"/>
      <c r="I783" s="794"/>
      <c r="J783" s="794"/>
      <c r="K783" s="794"/>
      <c r="L783" s="794"/>
      <c r="M783" s="794"/>
      <c r="N783" s="794"/>
      <c r="O783" s="794"/>
      <c r="P783" s="794"/>
      <c r="Q783" s="794"/>
      <c r="R783" s="794"/>
      <c r="S783" s="794"/>
      <c r="T783" s="794"/>
      <c r="U783" s="794"/>
      <c r="V783" s="794"/>
      <c r="W783" s="794"/>
      <c r="X783" s="794"/>
      <c r="Y783" s="794"/>
      <c r="Z783" s="794"/>
      <c r="AA783" s="794"/>
      <c r="AB783" s="794"/>
      <c r="AC783" s="794"/>
      <c r="AD783" s="794"/>
      <c r="AE783" s="794"/>
    </row>
    <row r="784" spans="1:58" ht="15" customHeight="1">
      <c r="A784" s="176"/>
      <c r="B784" s="1087" t="str">
        <f>IF(COUNTIF(S771:AD778,"NS")&lt;&gt;0,"Alerta: debido a que cuenta con registros NS, debe proporcionar una justificación en el area de comentarios al final de la pregunta","")</f>
        <v/>
      </c>
      <c r="C784" s="1087"/>
      <c r="D784" s="1087"/>
      <c r="E784" s="1087"/>
      <c r="F784" s="1087"/>
      <c r="G784" s="1087"/>
      <c r="H784" s="1087"/>
      <c r="I784" s="1087"/>
      <c r="J784" s="1087"/>
      <c r="K784" s="1087"/>
      <c r="L784" s="1087"/>
      <c r="M784" s="1087"/>
      <c r="N784" s="1087"/>
      <c r="O784" s="1087"/>
      <c r="P784" s="1087"/>
      <c r="Q784" s="1087"/>
      <c r="R784" s="1087"/>
      <c r="S784" s="1087"/>
      <c r="T784" s="1087"/>
      <c r="U784" s="1087"/>
      <c r="V784" s="1087"/>
      <c r="W784" s="1087"/>
      <c r="X784" s="1087"/>
      <c r="Y784" s="1087"/>
      <c r="Z784" s="1087"/>
      <c r="AA784" s="1087"/>
      <c r="AB784" s="1087"/>
      <c r="AC784" s="1087"/>
      <c r="AD784" s="1087"/>
      <c r="AE784" s="1087"/>
    </row>
    <row r="785" spans="1:43" ht="15" customHeight="1">
      <c r="A785" s="176"/>
      <c r="B785" s="1003" t="str">
        <f>IF(AH779&gt;0,"Revise la información capturada, ya que tiene datos ingresados en celdas que están sombreadas","")</f>
        <v/>
      </c>
      <c r="C785" s="1003"/>
      <c r="D785" s="1003"/>
      <c r="E785" s="1003"/>
      <c r="F785" s="1003"/>
      <c r="G785" s="1003"/>
      <c r="H785" s="1003"/>
      <c r="I785" s="1003"/>
      <c r="J785" s="1003"/>
      <c r="K785" s="1003"/>
      <c r="L785" s="1003"/>
      <c r="M785" s="1003"/>
      <c r="N785" s="1003"/>
      <c r="O785" s="1003"/>
      <c r="P785" s="1003"/>
      <c r="Q785" s="1003"/>
      <c r="R785" s="1003"/>
      <c r="S785" s="1003"/>
      <c r="T785" s="1003"/>
      <c r="U785" s="1003"/>
      <c r="V785" s="1003"/>
      <c r="W785" s="1003"/>
      <c r="X785" s="1003"/>
      <c r="Y785" s="1003"/>
      <c r="Z785" s="1003"/>
      <c r="AA785" s="1003"/>
      <c r="AB785" s="1003"/>
      <c r="AC785" s="1003"/>
      <c r="AD785" s="1003"/>
      <c r="AE785" s="1003"/>
    </row>
    <row r="786" spans="1:43" ht="15" customHeight="1">
      <c r="A786" s="176"/>
      <c r="B786" s="1003" t="str">
        <f>IF(OR(AL780&gt;0,AL781&gt;0,AN781&gt;0,AP781&gt;0),"Favor de revisar la suma y consistencia de totales y/o subtotales por filas (numéricos y NS)","")</f>
        <v/>
      </c>
      <c r="C786" s="1003"/>
      <c r="D786" s="1003"/>
      <c r="E786" s="1003"/>
      <c r="F786" s="1003"/>
      <c r="G786" s="1003"/>
      <c r="H786" s="1003"/>
      <c r="I786" s="1003"/>
      <c r="J786" s="1003"/>
      <c r="K786" s="1003"/>
      <c r="L786" s="1003"/>
      <c r="M786" s="1003"/>
      <c r="N786" s="1003"/>
      <c r="O786" s="1003"/>
      <c r="P786" s="1003"/>
      <c r="Q786" s="1003"/>
      <c r="R786" s="1003"/>
      <c r="S786" s="1003"/>
      <c r="T786" s="1003"/>
      <c r="U786" s="1003"/>
      <c r="V786" s="1003"/>
      <c r="W786" s="1003"/>
      <c r="X786" s="1003"/>
      <c r="Y786" s="1003"/>
      <c r="Z786" s="1003"/>
      <c r="AA786" s="1003"/>
      <c r="AB786" s="1003"/>
      <c r="AC786" s="1003"/>
      <c r="AD786" s="1003"/>
      <c r="AE786" s="1003"/>
    </row>
    <row r="787" spans="1:43" ht="15" customHeight="1">
      <c r="A787" s="176"/>
      <c r="B787" s="1003" t="str">
        <f>IF(BF779=0,"","Las cantidades de Hombres y Mujeres por centro especializado debe corresponder con los datos reportados en la preg. 8.1")</f>
        <v/>
      </c>
      <c r="C787" s="1003"/>
      <c r="D787" s="1003"/>
      <c r="E787" s="1003"/>
      <c r="F787" s="1003"/>
      <c r="G787" s="1003"/>
      <c r="H787" s="1003"/>
      <c r="I787" s="1003"/>
      <c r="J787" s="1003"/>
      <c r="K787" s="1003"/>
      <c r="L787" s="1003"/>
      <c r="M787" s="1003"/>
      <c r="N787" s="1003"/>
      <c r="O787" s="1003"/>
      <c r="P787" s="1003"/>
      <c r="Q787" s="1003"/>
      <c r="R787" s="1003"/>
      <c r="S787" s="1003"/>
      <c r="T787" s="1003"/>
      <c r="U787" s="1003"/>
      <c r="V787" s="1003"/>
      <c r="W787" s="1003"/>
      <c r="X787" s="1003"/>
      <c r="Y787" s="1003"/>
      <c r="Z787" s="1003"/>
      <c r="AA787" s="1003"/>
      <c r="AB787" s="1003"/>
      <c r="AC787" s="1003"/>
      <c r="AD787" s="1003"/>
      <c r="AE787" s="1003"/>
    </row>
    <row r="788" spans="1:43" ht="15" customHeight="1">
      <c r="A788" s="176"/>
      <c r="B788" s="57"/>
      <c r="C788" s="57"/>
      <c r="D788" s="57"/>
      <c r="E788" s="57"/>
      <c r="F788" s="57"/>
      <c r="G788" s="57"/>
      <c r="H788" s="57"/>
      <c r="I788" s="57"/>
      <c r="J788" s="57"/>
      <c r="K788" s="57"/>
      <c r="L788" s="57"/>
      <c r="M788" s="57"/>
      <c r="N788" s="57"/>
      <c r="O788" s="57"/>
      <c r="P788" s="57"/>
      <c r="Q788" s="57"/>
      <c r="R788" s="57"/>
      <c r="S788" s="57"/>
      <c r="T788" s="57"/>
      <c r="U788" s="57"/>
      <c r="V788" s="57"/>
      <c r="W788" s="57"/>
      <c r="X788" s="57"/>
      <c r="Y788" s="57"/>
      <c r="Z788" s="57"/>
      <c r="AA788" s="57"/>
      <c r="AB788" s="57"/>
      <c r="AC788" s="57"/>
      <c r="AD788" s="57"/>
    </row>
    <row r="789" spans="1:43" ht="36" customHeight="1">
      <c r="A789" s="49" t="s">
        <v>5355</v>
      </c>
      <c r="B789" s="829" t="s">
        <v>5356</v>
      </c>
      <c r="C789" s="829"/>
      <c r="D789" s="829"/>
      <c r="E789" s="829"/>
      <c r="F789" s="829"/>
      <c r="G789" s="829"/>
      <c r="H789" s="829"/>
      <c r="I789" s="829"/>
      <c r="J789" s="829"/>
      <c r="K789" s="829"/>
      <c r="L789" s="829"/>
      <c r="M789" s="829"/>
      <c r="N789" s="829"/>
      <c r="O789" s="829"/>
      <c r="P789" s="829"/>
      <c r="Q789" s="829"/>
      <c r="R789" s="829"/>
      <c r="S789" s="829"/>
      <c r="T789" s="829"/>
      <c r="U789" s="829"/>
      <c r="V789" s="829"/>
      <c r="W789" s="829"/>
      <c r="X789" s="829"/>
      <c r="Y789" s="829"/>
      <c r="Z789" s="829"/>
      <c r="AA789" s="829"/>
      <c r="AB789" s="829"/>
      <c r="AC789" s="829"/>
      <c r="AD789" s="829"/>
    </row>
    <row r="790" spans="1:43" ht="24" customHeight="1">
      <c r="A790" s="49"/>
      <c r="B790" s="105"/>
      <c r="C790" s="754" t="s">
        <v>5357</v>
      </c>
      <c r="D790" s="754"/>
      <c r="E790" s="754"/>
      <c r="F790" s="754"/>
      <c r="G790" s="754"/>
      <c r="H790" s="754"/>
      <c r="I790" s="754"/>
      <c r="J790" s="754"/>
      <c r="K790" s="754"/>
      <c r="L790" s="754"/>
      <c r="M790" s="754"/>
      <c r="N790" s="754"/>
      <c r="O790" s="754"/>
      <c r="P790" s="754"/>
      <c r="Q790" s="754"/>
      <c r="R790" s="754"/>
      <c r="S790" s="754"/>
      <c r="T790" s="754"/>
      <c r="U790" s="754"/>
      <c r="V790" s="754"/>
      <c r="W790" s="754"/>
      <c r="X790" s="754"/>
      <c r="Y790" s="754"/>
      <c r="Z790" s="754"/>
      <c r="AA790" s="754"/>
      <c r="AB790" s="754"/>
      <c r="AC790" s="754"/>
      <c r="AD790" s="754"/>
    </row>
    <row r="791" spans="1:43" ht="48" customHeight="1">
      <c r="A791" s="142"/>
      <c r="B791" s="57"/>
      <c r="C791" s="830" t="s">
        <v>5358</v>
      </c>
      <c r="D791" s="830"/>
      <c r="E791" s="830"/>
      <c r="F791" s="830"/>
      <c r="G791" s="830"/>
      <c r="H791" s="830"/>
      <c r="I791" s="830"/>
      <c r="J791" s="830"/>
      <c r="K791" s="830"/>
      <c r="L791" s="830"/>
      <c r="M791" s="830"/>
      <c r="N791" s="830"/>
      <c r="O791" s="830"/>
      <c r="P791" s="830"/>
      <c r="Q791" s="830"/>
      <c r="R791" s="830"/>
      <c r="S791" s="830"/>
      <c r="T791" s="830"/>
      <c r="U791" s="830"/>
      <c r="V791" s="830"/>
      <c r="W791" s="830"/>
      <c r="X791" s="830"/>
      <c r="Y791" s="830"/>
      <c r="Z791" s="830"/>
      <c r="AA791" s="830"/>
      <c r="AB791" s="830"/>
      <c r="AC791" s="830"/>
      <c r="AD791" s="830"/>
    </row>
    <row r="792" spans="1:43" ht="48" customHeight="1">
      <c r="A792" s="142"/>
      <c r="B792" s="57"/>
      <c r="C792" s="754" t="s">
        <v>5359</v>
      </c>
      <c r="D792" s="754"/>
      <c r="E792" s="754"/>
      <c r="F792" s="754"/>
      <c r="G792" s="754"/>
      <c r="H792" s="754"/>
      <c r="I792" s="754"/>
      <c r="J792" s="754"/>
      <c r="K792" s="754"/>
      <c r="L792" s="754"/>
      <c r="M792" s="754"/>
      <c r="N792" s="754"/>
      <c r="O792" s="754"/>
      <c r="P792" s="754"/>
      <c r="Q792" s="754"/>
      <c r="R792" s="754"/>
      <c r="S792" s="754"/>
      <c r="T792" s="754"/>
      <c r="U792" s="754"/>
      <c r="V792" s="754"/>
      <c r="W792" s="754"/>
      <c r="X792" s="754"/>
      <c r="Y792" s="754"/>
      <c r="Z792" s="754"/>
      <c r="AA792" s="754"/>
      <c r="AB792" s="754"/>
      <c r="AC792" s="754"/>
      <c r="AD792" s="754"/>
    </row>
    <row r="793" spans="1:43" ht="15" customHeight="1">
      <c r="A793" s="176"/>
      <c r="B793" s="57"/>
      <c r="C793" s="57"/>
      <c r="D793" s="57"/>
      <c r="E793" s="57"/>
      <c r="F793" s="57"/>
      <c r="G793" s="57"/>
      <c r="H793" s="57"/>
      <c r="I793" s="57"/>
      <c r="J793" s="57"/>
      <c r="K793" s="57"/>
      <c r="L793" s="57"/>
      <c r="M793" s="57"/>
      <c r="N793" s="57"/>
      <c r="O793" s="57"/>
      <c r="P793" s="57"/>
      <c r="Q793" s="57"/>
      <c r="R793" s="57"/>
      <c r="S793" s="57"/>
      <c r="T793" s="57"/>
      <c r="U793" s="57"/>
      <c r="V793" s="57"/>
      <c r="W793" s="57"/>
      <c r="X793" s="57"/>
      <c r="Y793" s="57"/>
      <c r="Z793" s="57"/>
      <c r="AA793" s="57"/>
      <c r="AB793" s="57"/>
      <c r="AC793" s="57"/>
      <c r="AD793" s="57"/>
    </row>
    <row r="794" spans="1:43" ht="24" customHeight="1">
      <c r="A794" s="176"/>
      <c r="B794" s="57"/>
      <c r="C794" s="797" t="s">
        <v>5360</v>
      </c>
      <c r="D794" s="798"/>
      <c r="E794" s="798"/>
      <c r="F794" s="798"/>
      <c r="G794" s="798"/>
      <c r="H794" s="798"/>
      <c r="I794" s="798"/>
      <c r="J794" s="798"/>
      <c r="K794" s="798"/>
      <c r="L794" s="799"/>
      <c r="M794" s="732" t="s">
        <v>5361</v>
      </c>
      <c r="N794" s="732"/>
      <c r="O794" s="732"/>
      <c r="P794" s="732"/>
      <c r="Q794" s="732"/>
      <c r="R794" s="732"/>
      <c r="S794" s="732"/>
      <c r="T794" s="732"/>
      <c r="U794" s="732"/>
      <c r="V794" s="732"/>
      <c r="W794" s="732"/>
      <c r="X794" s="732"/>
      <c r="Y794" s="732"/>
      <c r="Z794" s="732"/>
      <c r="AA794" s="732"/>
      <c r="AB794" s="732"/>
      <c r="AC794" s="732"/>
      <c r="AD794" s="732"/>
    </row>
    <row r="795" spans="1:43">
      <c r="A795" s="176"/>
      <c r="B795" s="57"/>
      <c r="C795" s="803"/>
      <c r="D795" s="804"/>
      <c r="E795" s="804"/>
      <c r="F795" s="804"/>
      <c r="G795" s="804"/>
      <c r="H795" s="804"/>
      <c r="I795" s="804"/>
      <c r="J795" s="804"/>
      <c r="K795" s="804"/>
      <c r="L795" s="805"/>
      <c r="M795" s="987" t="s">
        <v>2628</v>
      </c>
      <c r="N795" s="988"/>
      <c r="O795" s="988"/>
      <c r="P795" s="988"/>
      <c r="Q795" s="988"/>
      <c r="R795" s="988"/>
      <c r="S795" s="989" t="s">
        <v>2629</v>
      </c>
      <c r="T795" s="990"/>
      <c r="U795" s="990"/>
      <c r="V795" s="990"/>
      <c r="W795" s="990"/>
      <c r="X795" s="990"/>
      <c r="Y795" s="989" t="s">
        <v>2630</v>
      </c>
      <c r="Z795" s="990"/>
      <c r="AA795" s="990"/>
      <c r="AB795" s="990"/>
      <c r="AC795" s="990"/>
      <c r="AD795" s="990"/>
      <c r="AG795" t="s">
        <v>2586</v>
      </c>
      <c r="AH795" t="s">
        <v>4599</v>
      </c>
      <c r="AI795" t="s">
        <v>2590</v>
      </c>
      <c r="AJ795" t="s">
        <v>3163</v>
      </c>
      <c r="AK795" t="s">
        <v>4564</v>
      </c>
      <c r="AL795" t="s">
        <v>5290</v>
      </c>
      <c r="AM795"/>
      <c r="AN795"/>
      <c r="AO795" t="s">
        <v>5291</v>
      </c>
      <c r="AP795"/>
      <c r="AQ795"/>
    </row>
    <row r="796" spans="1:43" ht="24" customHeight="1">
      <c r="A796" s="176"/>
      <c r="B796" s="57"/>
      <c r="C796" s="44" t="s">
        <v>2516</v>
      </c>
      <c r="D796" s="813" t="s">
        <v>5362</v>
      </c>
      <c r="E796" s="814"/>
      <c r="F796" s="814"/>
      <c r="G796" s="814"/>
      <c r="H796" s="814"/>
      <c r="I796" s="814"/>
      <c r="J796" s="814"/>
      <c r="K796" s="814"/>
      <c r="L796" s="815"/>
      <c r="M796" s="749"/>
      <c r="N796" s="749"/>
      <c r="O796" s="749"/>
      <c r="P796" s="749"/>
      <c r="Q796" s="749"/>
      <c r="R796" s="749"/>
      <c r="S796" s="749"/>
      <c r="T796" s="749"/>
      <c r="U796" s="749"/>
      <c r="V796" s="749"/>
      <c r="W796" s="749"/>
      <c r="X796" s="749"/>
      <c r="Y796" s="749"/>
      <c r="Z796" s="749"/>
      <c r="AA796" s="749"/>
      <c r="AB796" s="749"/>
      <c r="AC796" s="749"/>
      <c r="AD796" s="749"/>
      <c r="AG796" s="506">
        <f>IF(OR($V$779=0,$V$779="NS",$V$779="NA"),0,IF(COUNTBLANK(M796:AD805)=150,0,1))</f>
        <v>0</v>
      </c>
      <c r="AH796" s="506">
        <f>IF(OR($V$779=0,$V$779="NS",$V$779="NA"),IF(COUNTBLANK(M796:AD805)=180,0,1),0)</f>
        <v>0</v>
      </c>
      <c r="AI796">
        <f t="shared" ref="AI796:AI805" si="744">COUNTIF(S796:AD796,"NS")</f>
        <v>0</v>
      </c>
      <c r="AJ796">
        <f t="shared" ref="AJ796:AJ805" si="745">SUM(S796:AD796)</f>
        <v>0</v>
      </c>
      <c r="AK796">
        <f t="shared" ref="AK796:AK805" si="746">IF(COUNTIF(M796:AD796,"NA")=3,0,IF(COUNTA(M796:AD796)=0,0,IF(OR(AND(M796=0,AI796&gt;0),AND(M796="ns",AJ796&gt;0),AND(M796="ns",AI796=0,AJ796=0)),1,IF(OR(AND(M796&gt;0,AI796=2),AND(M796="ns",AI796=2),AND(M796="ns",AJ796=0,AI796&gt;0),M796=AJ796),0,1))))</f>
        <v>0</v>
      </c>
      <c r="AL796" cm="1">
        <f t="array" ref="AL796">IF(OR(M796={"NS","NA"},$V$779={"NS","NA"}),0,IF(M796&lt;=$V$779,0,1))</f>
        <v>0</v>
      </c>
      <c r="AM796" cm="1">
        <f t="array" ref="AM796">IF(OR(S796={"NS","NA"},$W$779={"NS","NA"}),0,IF(S796&lt;=$W$779,0,1))</f>
        <v>0</v>
      </c>
      <c r="AN796" cm="1">
        <f t="array" ref="AN796">IF(OR(Y796={"NS","NA"},$X$779={"NS","NA"}),0,IF(Y796&lt;=$X$779,0,1))</f>
        <v>0</v>
      </c>
      <c r="AO796" cm="1">
        <f t="array" ref="AO796">IF(OR(M806={"NS","NA"},$V$779={"NS","NA"}),0,IF(M806&gt;=$V$779,0,1))</f>
        <v>0</v>
      </c>
      <c r="AP796" cm="1">
        <f t="array" ref="AP796">IF(OR(S806={"NS","NA"},$W$779={"NS","NA"}),0,IF(S806&gt;=$W$779,0,1))</f>
        <v>0</v>
      </c>
      <c r="AQ796" cm="1">
        <f t="array" ref="AQ796">IF(OR(Y806={"NS","NA"},$X$779={"NS","NA"}),0,IF(Y806&gt;=$X$779,0,1))</f>
        <v>0</v>
      </c>
    </row>
    <row r="797" spans="1:43" ht="15" customHeight="1">
      <c r="A797" s="176"/>
      <c r="B797" s="57"/>
      <c r="C797" s="199" t="s">
        <v>2517</v>
      </c>
      <c r="D797" s="813" t="s">
        <v>5363</v>
      </c>
      <c r="E797" s="814"/>
      <c r="F797" s="814"/>
      <c r="G797" s="814"/>
      <c r="H797" s="814"/>
      <c r="I797" s="814"/>
      <c r="J797" s="814"/>
      <c r="K797" s="814"/>
      <c r="L797" s="815"/>
      <c r="M797" s="749"/>
      <c r="N797" s="749"/>
      <c r="O797" s="749"/>
      <c r="P797" s="749"/>
      <c r="Q797" s="749"/>
      <c r="R797" s="749"/>
      <c r="S797" s="749"/>
      <c r="T797" s="749"/>
      <c r="U797" s="749"/>
      <c r="V797" s="749"/>
      <c r="W797" s="749"/>
      <c r="X797" s="749"/>
      <c r="Y797" s="749"/>
      <c r="Z797" s="749"/>
      <c r="AA797" s="749"/>
      <c r="AB797" s="749"/>
      <c r="AC797" s="749"/>
      <c r="AD797" s="749"/>
      <c r="AI797">
        <f t="shared" si="744"/>
        <v>0</v>
      </c>
      <c r="AJ797">
        <f t="shared" si="745"/>
        <v>0</v>
      </c>
      <c r="AK797">
        <f t="shared" si="746"/>
        <v>0</v>
      </c>
      <c r="AL797" cm="1">
        <f t="array" ref="AL797">IF(OR(M797={"NS","NA"},$V$779={"NS","NA"}),0,IF(M797&lt;=$V$779,0,1))</f>
        <v>0</v>
      </c>
      <c r="AM797" cm="1">
        <f t="array" ref="AM797">IF(OR(S797={"NS","NA"},$W$779={"NS","NA"}),0,IF(S797&lt;=$W$779,0,1))</f>
        <v>0</v>
      </c>
      <c r="AN797" cm="1">
        <f t="array" ref="AN797">IF(OR(Y797={"NS","NA"},$X$779={"NS","NA"}),0,IF(Y797&lt;=$X$779,0,1))</f>
        <v>0</v>
      </c>
      <c r="AQ797" s="506">
        <f>IF(OR($V$779=0,$V$779="NS",$V$779="NA"),0,SUM(AO796:AQ796))</f>
        <v>0</v>
      </c>
    </row>
    <row r="798" spans="1:43" ht="15" customHeight="1">
      <c r="A798" s="176"/>
      <c r="B798" s="57"/>
      <c r="C798" s="143" t="s">
        <v>2518</v>
      </c>
      <c r="D798" s="813" t="s">
        <v>5364</v>
      </c>
      <c r="E798" s="814"/>
      <c r="F798" s="814"/>
      <c r="G798" s="814"/>
      <c r="H798" s="814"/>
      <c r="I798" s="814"/>
      <c r="J798" s="814"/>
      <c r="K798" s="814"/>
      <c r="L798" s="815"/>
      <c r="M798" s="749"/>
      <c r="N798" s="749"/>
      <c r="O798" s="749"/>
      <c r="P798" s="749"/>
      <c r="Q798" s="749"/>
      <c r="R798" s="749"/>
      <c r="S798" s="749"/>
      <c r="T798" s="749"/>
      <c r="U798" s="749"/>
      <c r="V798" s="749"/>
      <c r="W798" s="749"/>
      <c r="X798" s="749"/>
      <c r="Y798" s="749"/>
      <c r="Z798" s="749"/>
      <c r="AA798" s="749"/>
      <c r="AB798" s="749"/>
      <c r="AC798" s="749"/>
      <c r="AD798" s="749"/>
      <c r="AI798">
        <f t="shared" si="744"/>
        <v>0</v>
      </c>
      <c r="AJ798">
        <f t="shared" si="745"/>
        <v>0</v>
      </c>
      <c r="AK798">
        <f t="shared" si="746"/>
        <v>0</v>
      </c>
      <c r="AL798" cm="1">
        <f t="array" ref="AL798">IF(OR(M798={"NS","NA"},$V$779={"NS","NA"}),0,IF(M798&lt;=$V$779,0,1))</f>
        <v>0</v>
      </c>
      <c r="AM798" cm="1">
        <f t="array" ref="AM798">IF(OR(S798={"NS","NA"},$W$779={"NS","NA"}),0,IF(S798&lt;=$W$779,0,1))</f>
        <v>0</v>
      </c>
      <c r="AN798" cm="1">
        <f t="array" ref="AN798">IF(OR(Y798={"NS","NA"},$X$779={"NS","NA"}),0,IF(Y798&lt;=$X$779,0,1))</f>
        <v>0</v>
      </c>
    </row>
    <row r="799" spans="1:43" ht="15" customHeight="1">
      <c r="A799" s="176"/>
      <c r="B799" s="57"/>
      <c r="C799" s="143" t="s">
        <v>2519</v>
      </c>
      <c r="D799" s="813" t="s">
        <v>5365</v>
      </c>
      <c r="E799" s="814"/>
      <c r="F799" s="814"/>
      <c r="G799" s="814"/>
      <c r="H799" s="814"/>
      <c r="I799" s="814"/>
      <c r="J799" s="814"/>
      <c r="K799" s="814"/>
      <c r="L799" s="815"/>
      <c r="M799" s="749"/>
      <c r="N799" s="749"/>
      <c r="O799" s="749"/>
      <c r="P799" s="749"/>
      <c r="Q799" s="749"/>
      <c r="R799" s="749"/>
      <c r="S799" s="749"/>
      <c r="T799" s="749"/>
      <c r="U799" s="749"/>
      <c r="V799" s="749"/>
      <c r="W799" s="749"/>
      <c r="X799" s="749"/>
      <c r="Y799" s="749"/>
      <c r="Z799" s="749"/>
      <c r="AA799" s="749"/>
      <c r="AB799" s="749"/>
      <c r="AC799" s="749"/>
      <c r="AD799" s="749"/>
      <c r="AI799">
        <f t="shared" si="744"/>
        <v>0</v>
      </c>
      <c r="AJ799">
        <f t="shared" si="745"/>
        <v>0</v>
      </c>
      <c r="AK799">
        <f t="shared" si="746"/>
        <v>0</v>
      </c>
      <c r="AL799" cm="1">
        <f t="array" ref="AL799">IF(OR(M799={"NS","NA"},$V$779={"NS","NA"}),0,IF(M799&lt;=$V$779,0,1))</f>
        <v>0</v>
      </c>
      <c r="AM799" cm="1">
        <f t="array" ref="AM799">IF(OR(S799={"NS","NA"},$W$779={"NS","NA"}),0,IF(S799&lt;=$W$779,0,1))</f>
        <v>0</v>
      </c>
      <c r="AN799" cm="1">
        <f t="array" ref="AN799">IF(OR(Y799={"NS","NA"},$X$779={"NS","NA"}),0,IF(Y799&lt;=$X$779,0,1))</f>
        <v>0</v>
      </c>
    </row>
    <row r="800" spans="1:43" ht="24" customHeight="1">
      <c r="A800" s="176"/>
      <c r="B800" s="57"/>
      <c r="C800" s="143" t="s">
        <v>2520</v>
      </c>
      <c r="D800" s="813" t="s">
        <v>5366</v>
      </c>
      <c r="E800" s="814"/>
      <c r="F800" s="814"/>
      <c r="G800" s="814"/>
      <c r="H800" s="814"/>
      <c r="I800" s="814"/>
      <c r="J800" s="814"/>
      <c r="K800" s="814"/>
      <c r="L800" s="815"/>
      <c r="M800" s="749"/>
      <c r="N800" s="749"/>
      <c r="O800" s="749"/>
      <c r="P800" s="749"/>
      <c r="Q800" s="749"/>
      <c r="R800" s="749"/>
      <c r="S800" s="749"/>
      <c r="T800" s="749"/>
      <c r="U800" s="749"/>
      <c r="V800" s="749"/>
      <c r="W800" s="749"/>
      <c r="X800" s="749"/>
      <c r="Y800" s="749"/>
      <c r="Z800" s="749"/>
      <c r="AA800" s="749"/>
      <c r="AB800" s="749"/>
      <c r="AC800" s="749"/>
      <c r="AD800" s="749"/>
      <c r="AI800">
        <f t="shared" si="744"/>
        <v>0</v>
      </c>
      <c r="AJ800">
        <f t="shared" si="745"/>
        <v>0</v>
      </c>
      <c r="AK800">
        <f t="shared" si="746"/>
        <v>0</v>
      </c>
      <c r="AL800" cm="1">
        <f t="array" ref="AL800">IF(OR(M800={"NS","NA"},$V$779={"NS","NA"}),0,IF(M800&lt;=$V$779,0,1))</f>
        <v>0</v>
      </c>
      <c r="AM800" cm="1">
        <f t="array" ref="AM800">IF(OR(S800={"NS","NA"},$W$779={"NS","NA"}),0,IF(S800&lt;=$W$779,0,1))</f>
        <v>0</v>
      </c>
      <c r="AN800" cm="1">
        <f t="array" ref="AN800">IF(OR(Y800={"NS","NA"},$X$779={"NS","NA"}),0,IF(Y800&lt;=$X$779,0,1))</f>
        <v>0</v>
      </c>
    </row>
    <row r="801" spans="1:40" ht="24" customHeight="1">
      <c r="A801" s="176"/>
      <c r="B801" s="57"/>
      <c r="C801" s="143" t="s">
        <v>2521</v>
      </c>
      <c r="D801" s="813" t="s">
        <v>5367</v>
      </c>
      <c r="E801" s="814"/>
      <c r="F801" s="814"/>
      <c r="G801" s="814"/>
      <c r="H801" s="814"/>
      <c r="I801" s="814"/>
      <c r="J801" s="814"/>
      <c r="K801" s="814"/>
      <c r="L801" s="815"/>
      <c r="M801" s="749"/>
      <c r="N801" s="749"/>
      <c r="O801" s="749"/>
      <c r="P801" s="749"/>
      <c r="Q801" s="749"/>
      <c r="R801" s="749"/>
      <c r="S801" s="749"/>
      <c r="T801" s="749"/>
      <c r="U801" s="749"/>
      <c r="V801" s="749"/>
      <c r="W801" s="749"/>
      <c r="X801" s="749"/>
      <c r="Y801" s="749"/>
      <c r="Z801" s="749"/>
      <c r="AA801" s="749"/>
      <c r="AB801" s="749"/>
      <c r="AC801" s="749"/>
      <c r="AD801" s="749"/>
      <c r="AI801">
        <f t="shared" si="744"/>
        <v>0</v>
      </c>
      <c r="AJ801">
        <f t="shared" si="745"/>
        <v>0</v>
      </c>
      <c r="AK801">
        <f t="shared" si="746"/>
        <v>0</v>
      </c>
      <c r="AL801" cm="1">
        <f t="array" ref="AL801">IF(OR(M801={"NS","NA"},$V$779={"NS","NA"}),0,IF(M801&lt;=$V$779,0,1))</f>
        <v>0</v>
      </c>
      <c r="AM801" cm="1">
        <f t="array" ref="AM801">IF(OR(S801={"NS","NA"},$W$779={"NS","NA"}),0,IF(S801&lt;=$W$779,0,1))</f>
        <v>0</v>
      </c>
      <c r="AN801" cm="1">
        <f t="array" ref="AN801">IF(OR(Y801={"NS","NA"},$X$779={"NS","NA"}),0,IF(Y801&lt;=$X$779,0,1))</f>
        <v>0</v>
      </c>
    </row>
    <row r="802" spans="1:40" ht="15" customHeight="1">
      <c r="A802" s="176"/>
      <c r="B802" s="57"/>
      <c r="C802" s="143" t="s">
        <v>2522</v>
      </c>
      <c r="D802" s="813" t="s">
        <v>5368</v>
      </c>
      <c r="E802" s="814"/>
      <c r="F802" s="814"/>
      <c r="G802" s="814"/>
      <c r="H802" s="814"/>
      <c r="I802" s="814"/>
      <c r="J802" s="814"/>
      <c r="K802" s="814"/>
      <c r="L802" s="815"/>
      <c r="M802" s="749"/>
      <c r="N802" s="749"/>
      <c r="O802" s="749"/>
      <c r="P802" s="749"/>
      <c r="Q802" s="749"/>
      <c r="R802" s="749"/>
      <c r="S802" s="749"/>
      <c r="T802" s="749"/>
      <c r="U802" s="749"/>
      <c r="V802" s="749"/>
      <c r="W802" s="749"/>
      <c r="X802" s="749"/>
      <c r="Y802" s="749"/>
      <c r="Z802" s="749"/>
      <c r="AA802" s="749"/>
      <c r="AB802" s="749"/>
      <c r="AC802" s="749"/>
      <c r="AD802" s="749"/>
      <c r="AI802">
        <f t="shared" si="744"/>
        <v>0</v>
      </c>
      <c r="AJ802">
        <f t="shared" si="745"/>
        <v>0</v>
      </c>
      <c r="AK802">
        <f t="shared" si="746"/>
        <v>0</v>
      </c>
      <c r="AL802" cm="1">
        <f t="array" ref="AL802">IF(OR(M802={"NS","NA"},$V$779={"NS","NA"}),0,IF(M802&lt;=$V$779,0,1))</f>
        <v>0</v>
      </c>
      <c r="AM802" cm="1">
        <f t="array" ref="AM802">IF(OR(S802={"NS","NA"},$W$779={"NS","NA"}),0,IF(S802&lt;=$W$779,0,1))</f>
        <v>0</v>
      </c>
      <c r="AN802" cm="1">
        <f t="array" ref="AN802">IF(OR(Y802={"NS","NA"},$X$779={"NS","NA"}),0,IF(Y802&lt;=$X$779,0,1))</f>
        <v>0</v>
      </c>
    </row>
    <row r="803" spans="1:40" ht="24" customHeight="1">
      <c r="A803" s="176"/>
      <c r="B803" s="57"/>
      <c r="C803" s="143" t="s">
        <v>2523</v>
      </c>
      <c r="D803" s="813" t="s">
        <v>5369</v>
      </c>
      <c r="E803" s="814"/>
      <c r="F803" s="814"/>
      <c r="G803" s="814"/>
      <c r="H803" s="814"/>
      <c r="I803" s="814"/>
      <c r="J803" s="814"/>
      <c r="K803" s="814"/>
      <c r="L803" s="815"/>
      <c r="M803" s="749"/>
      <c r="N803" s="749"/>
      <c r="O803" s="749"/>
      <c r="P803" s="749"/>
      <c r="Q803" s="749"/>
      <c r="R803" s="749"/>
      <c r="S803" s="749"/>
      <c r="T803" s="749"/>
      <c r="U803" s="749"/>
      <c r="V803" s="749"/>
      <c r="W803" s="749"/>
      <c r="X803" s="749"/>
      <c r="Y803" s="749"/>
      <c r="Z803" s="749"/>
      <c r="AA803" s="749"/>
      <c r="AB803" s="749"/>
      <c r="AC803" s="749"/>
      <c r="AD803" s="749"/>
      <c r="AI803">
        <f t="shared" si="744"/>
        <v>0</v>
      </c>
      <c r="AJ803">
        <f t="shared" si="745"/>
        <v>0</v>
      </c>
      <c r="AK803">
        <f t="shared" si="746"/>
        <v>0</v>
      </c>
      <c r="AL803" cm="1">
        <f t="array" ref="AL803">IF(OR(M803={"NS","NA"},$V$779={"NS","NA"}),0,IF(M803&lt;=$V$779,0,1))</f>
        <v>0</v>
      </c>
      <c r="AM803" cm="1">
        <f t="array" ref="AM803">IF(OR(S803={"NS","NA"},$W$779={"NS","NA"}),0,IF(S803&lt;=$W$779,0,1))</f>
        <v>0</v>
      </c>
      <c r="AN803" cm="1">
        <f t="array" ref="AN803">IF(OR(Y803={"NS","NA"},$X$779={"NS","NA"}),0,IF(Y803&lt;=$X$779,0,1))</f>
        <v>0</v>
      </c>
    </row>
    <row r="804" spans="1:40" ht="15" customHeight="1">
      <c r="A804" s="176"/>
      <c r="B804" s="57"/>
      <c r="C804" s="143" t="s">
        <v>2524</v>
      </c>
      <c r="D804" s="813" t="s">
        <v>3758</v>
      </c>
      <c r="E804" s="814"/>
      <c r="F804" s="814"/>
      <c r="G804" s="814"/>
      <c r="H804" s="814"/>
      <c r="I804" s="814"/>
      <c r="J804" s="814"/>
      <c r="K804" s="814"/>
      <c r="L804" s="815"/>
      <c r="M804" s="749"/>
      <c r="N804" s="749"/>
      <c r="O804" s="749"/>
      <c r="P804" s="749"/>
      <c r="Q804" s="749"/>
      <c r="R804" s="749"/>
      <c r="S804" s="749"/>
      <c r="T804" s="749"/>
      <c r="U804" s="749"/>
      <c r="V804" s="749"/>
      <c r="W804" s="749"/>
      <c r="X804" s="749"/>
      <c r="Y804" s="749"/>
      <c r="Z804" s="749"/>
      <c r="AA804" s="749"/>
      <c r="AB804" s="749"/>
      <c r="AC804" s="749"/>
      <c r="AD804" s="749"/>
      <c r="AI804">
        <f t="shared" si="744"/>
        <v>0</v>
      </c>
      <c r="AJ804">
        <f t="shared" si="745"/>
        <v>0</v>
      </c>
      <c r="AK804">
        <f t="shared" si="746"/>
        <v>0</v>
      </c>
      <c r="AL804" cm="1">
        <f t="array" ref="AL804">IF(OR(M804={"NS","NA"},$V$779={"NS","NA"}),0,IF(M804&lt;=$V$779,0,1))</f>
        <v>0</v>
      </c>
      <c r="AM804" cm="1">
        <f t="array" ref="AM804">IF(OR(S804={"NS","NA"},$W$779={"NS","NA"}),0,IF(S804&lt;=$W$779,0,1))</f>
        <v>0</v>
      </c>
      <c r="AN804" cm="1">
        <f t="array" ref="AN804">IF(OR(Y804={"NS","NA"},$X$779={"NS","NA"}),0,IF(Y804&lt;=$X$779,0,1))</f>
        <v>0</v>
      </c>
    </row>
    <row r="805" spans="1:40" ht="15" customHeight="1">
      <c r="A805" s="176"/>
      <c r="B805" s="57"/>
      <c r="C805" s="143" t="s">
        <v>2525</v>
      </c>
      <c r="D805" s="813" t="s">
        <v>201</v>
      </c>
      <c r="E805" s="814"/>
      <c r="F805" s="814"/>
      <c r="G805" s="814"/>
      <c r="H805" s="814"/>
      <c r="I805" s="814"/>
      <c r="J805" s="814"/>
      <c r="K805" s="814"/>
      <c r="L805" s="815"/>
      <c r="M805" s="749"/>
      <c r="N805" s="749"/>
      <c r="O805" s="749"/>
      <c r="P805" s="749"/>
      <c r="Q805" s="749"/>
      <c r="R805" s="749"/>
      <c r="S805" s="749"/>
      <c r="T805" s="749"/>
      <c r="U805" s="749"/>
      <c r="V805" s="749"/>
      <c r="W805" s="749"/>
      <c r="X805" s="749"/>
      <c r="Y805" s="749"/>
      <c r="Z805" s="749"/>
      <c r="AA805" s="749"/>
      <c r="AB805" s="749"/>
      <c r="AC805" s="749"/>
      <c r="AD805" s="749"/>
      <c r="AI805">
        <f t="shared" si="744"/>
        <v>0</v>
      </c>
      <c r="AJ805">
        <f t="shared" si="745"/>
        <v>0</v>
      </c>
      <c r="AK805">
        <f t="shared" si="746"/>
        <v>0</v>
      </c>
      <c r="AL805" cm="1">
        <f t="array" ref="AL805">IF(OR(M805={"NS","NA"},$V$779={"NS","NA"}),0,IF(M805&lt;=$V$779,0,1))</f>
        <v>0</v>
      </c>
      <c r="AM805" cm="1">
        <f t="array" ref="AM805">IF(OR(S805={"NS","NA"},$W$779={"NS","NA"}),0,IF(S805&lt;=$W$779,0,1))</f>
        <v>0</v>
      </c>
      <c r="AN805" cm="1">
        <f t="array" ref="AN805">IF(OR(Y805={"NS","NA"},$X$779={"NS","NA"}),0,IF(Y805&lt;=$X$779,0,1))</f>
        <v>0</v>
      </c>
    </row>
    <row r="806" spans="1:40" ht="15" customHeight="1">
      <c r="A806" s="176"/>
      <c r="B806" s="57"/>
      <c r="C806" s="57"/>
      <c r="D806" s="57"/>
      <c r="E806" s="57"/>
      <c r="F806" s="57"/>
      <c r="G806" s="57"/>
      <c r="H806" s="57"/>
      <c r="I806" s="57"/>
      <c r="J806" s="57"/>
      <c r="K806" s="57"/>
      <c r="L806" s="117" t="s">
        <v>2649</v>
      </c>
      <c r="M806" s="736">
        <f>IF(AND(SUM(M796:M805)=0,COUNTIF(M796:M805,"NS")&gt;0),"NS",IF(AND(SUM(M796:M805)=0,COUNTIF(M796:M805,0)&gt;0),0,IF(AND(SUM(M796:M805)=0,COUNTIF(M796:M805,"NA")&gt;0),"NA",SUM(M796:M805))))</f>
        <v>0</v>
      </c>
      <c r="N806" s="1085"/>
      <c r="O806" s="1085"/>
      <c r="P806" s="1085"/>
      <c r="Q806" s="1085"/>
      <c r="R806" s="1086"/>
      <c r="S806" s="736">
        <f>IF(AND(SUM(S796:S805)=0,COUNTIF(S796:S805,"NS")&gt;0),"NS",IF(AND(SUM(S796:S805)=0,COUNTIF(S796:S805,0)&gt;0),0,IF(AND(SUM(S796:S805)=0,COUNTIF(S796:S805,"NA")&gt;0),"NA",SUM(S796:S805))))</f>
        <v>0</v>
      </c>
      <c r="T806" s="1085"/>
      <c r="U806" s="1085"/>
      <c r="V806" s="1085"/>
      <c r="W806" s="1085"/>
      <c r="X806" s="1086"/>
      <c r="Y806" s="736">
        <f>IF(AND(SUM(Y796:Y805)=0,COUNTIF(Y796:Y805,"NS")&gt;0),"NS",IF(AND(SUM(Y796:Y805)=0,COUNTIF(Y796:Y805,0)&gt;0),0,IF(AND(SUM(Y796:Y805)=0,COUNTIF(Y796:Y805,"NA")&gt;0),"NA",SUM(Y796:Y805))))</f>
        <v>0</v>
      </c>
      <c r="Z806" s="1085"/>
      <c r="AA806" s="1085"/>
      <c r="AB806" s="1085"/>
      <c r="AC806" s="1085"/>
      <c r="AD806" s="1086"/>
      <c r="AI806"/>
      <c r="AJ806"/>
      <c r="AK806" s="506">
        <f>SUM(AK796:AK805)</f>
        <v>0</v>
      </c>
      <c r="AL806"/>
      <c r="AM806"/>
      <c r="AN806" s="506">
        <f>IF(OR($V$779=0,$V$779="NS",$V$779="NA"),0,SUM(AL796:AN805))</f>
        <v>0</v>
      </c>
    </row>
    <row r="807" spans="1:40" ht="15" customHeight="1">
      <c r="A807" s="176"/>
      <c r="B807" s="57"/>
      <c r="C807" s="57"/>
      <c r="D807" s="57"/>
      <c r="E807" s="57"/>
      <c r="F807" s="57"/>
      <c r="G807" s="57"/>
      <c r="H807" s="57"/>
      <c r="I807" s="57"/>
      <c r="J807" s="57"/>
      <c r="K807" s="57"/>
      <c r="L807" s="57"/>
      <c r="M807" s="57"/>
      <c r="N807" s="57"/>
      <c r="O807" s="57"/>
      <c r="P807" s="57"/>
      <c r="Q807" s="57"/>
      <c r="R807" s="57"/>
      <c r="S807" s="57"/>
      <c r="T807" s="57"/>
      <c r="U807" s="57"/>
      <c r="V807" s="57"/>
      <c r="W807" s="57"/>
      <c r="X807" s="57"/>
      <c r="Y807" s="57"/>
      <c r="Z807" s="57"/>
      <c r="AA807" s="57"/>
      <c r="AB807" s="57"/>
      <c r="AC807" s="57"/>
      <c r="AD807" s="57"/>
    </row>
    <row r="808" spans="1:40" ht="24" customHeight="1">
      <c r="A808" s="176"/>
      <c r="B808" s="57"/>
      <c r="C808" s="754" t="s">
        <v>2611</v>
      </c>
      <c r="D808" s="754"/>
      <c r="E808" s="754"/>
      <c r="F808" s="754"/>
      <c r="G808" s="754"/>
      <c r="H808" s="754"/>
      <c r="I808" s="754"/>
      <c r="J808" s="754"/>
      <c r="K808" s="754"/>
      <c r="L808" s="754"/>
      <c r="M808" s="754"/>
      <c r="N808" s="754"/>
      <c r="O808" s="754"/>
      <c r="P808" s="754"/>
      <c r="Q808" s="754"/>
      <c r="R808" s="754"/>
      <c r="S808" s="754"/>
      <c r="T808" s="754"/>
      <c r="U808" s="754"/>
      <c r="V808" s="754"/>
      <c r="W808" s="754"/>
      <c r="X808" s="754"/>
      <c r="Y808" s="754"/>
      <c r="Z808" s="754"/>
      <c r="AA808" s="754"/>
      <c r="AB808" s="754"/>
      <c r="AC808" s="754"/>
      <c r="AD808" s="754"/>
    </row>
    <row r="809" spans="1:40" ht="60" customHeight="1">
      <c r="A809" s="176"/>
      <c r="B809" s="57"/>
      <c r="C809" s="851"/>
      <c r="D809" s="851"/>
      <c r="E809" s="851"/>
      <c r="F809" s="851"/>
      <c r="G809" s="851"/>
      <c r="H809" s="851"/>
      <c r="I809" s="851"/>
      <c r="J809" s="851"/>
      <c r="K809" s="851"/>
      <c r="L809" s="851"/>
      <c r="M809" s="851"/>
      <c r="N809" s="851"/>
      <c r="O809" s="851"/>
      <c r="P809" s="851"/>
      <c r="Q809" s="851"/>
      <c r="R809" s="851"/>
      <c r="S809" s="851"/>
      <c r="T809" s="851"/>
      <c r="U809" s="851"/>
      <c r="V809" s="851"/>
      <c r="W809" s="851"/>
      <c r="X809" s="851"/>
      <c r="Y809" s="851"/>
      <c r="Z809" s="851"/>
      <c r="AA809" s="851"/>
      <c r="AB809" s="851"/>
      <c r="AC809" s="851"/>
      <c r="AD809" s="851"/>
    </row>
    <row r="810" spans="1:40" ht="15" customHeight="1">
      <c r="A810" s="176"/>
      <c r="B810" s="794" t="str">
        <f>IF(AG796=0,"","Favor de ingresar toda la información requerida en la pregunta")</f>
        <v/>
      </c>
      <c r="C810" s="794"/>
      <c r="D810" s="794"/>
      <c r="E810" s="794"/>
      <c r="F810" s="794"/>
      <c r="G810" s="794"/>
      <c r="H810" s="794"/>
      <c r="I810" s="794"/>
      <c r="J810" s="794"/>
      <c r="K810" s="794"/>
      <c r="L810" s="794"/>
      <c r="M810" s="794"/>
      <c r="N810" s="794"/>
      <c r="O810" s="794"/>
      <c r="P810" s="794"/>
      <c r="Q810" s="794"/>
      <c r="R810" s="794"/>
      <c r="S810" s="794"/>
      <c r="T810" s="794"/>
      <c r="U810" s="794"/>
      <c r="V810" s="794"/>
      <c r="W810" s="794"/>
      <c r="X810" s="794"/>
      <c r="Y810" s="794"/>
      <c r="Z810" s="794"/>
      <c r="AA810" s="794"/>
      <c r="AB810" s="794"/>
      <c r="AC810" s="794"/>
      <c r="AD810" s="794"/>
      <c r="AE810" s="794"/>
    </row>
    <row r="811" spans="1:40" ht="15" customHeight="1">
      <c r="A811" s="176"/>
      <c r="B811" s="1087" t="str">
        <f>IF(OR($V$779=0,$V$779="NS",$V$779="NA"),"",IF(COUNTIF(M796:AD805,"NS")&lt;&gt;0,"Alerta: debido a que cuenta con registros NS, debe proporcionar una justificación en el area de comentarios al final de la pregunta",""))</f>
        <v/>
      </c>
      <c r="C811" s="1087"/>
      <c r="D811" s="1087"/>
      <c r="E811" s="1087"/>
      <c r="F811" s="1087"/>
      <c r="G811" s="1087"/>
      <c r="H811" s="1087"/>
      <c r="I811" s="1087"/>
      <c r="J811" s="1087"/>
      <c r="K811" s="1087"/>
      <c r="L811" s="1087"/>
      <c r="M811" s="1087"/>
      <c r="N811" s="1087"/>
      <c r="O811" s="1087"/>
      <c r="P811" s="1087"/>
      <c r="Q811" s="1087"/>
      <c r="R811" s="1087"/>
      <c r="S811" s="1087"/>
      <c r="T811" s="1087"/>
      <c r="U811" s="1087"/>
      <c r="V811" s="1087"/>
      <c r="W811" s="1087"/>
      <c r="X811" s="1087"/>
      <c r="Y811" s="1087"/>
      <c r="Z811" s="1087"/>
      <c r="AA811" s="1087"/>
      <c r="AB811" s="1087"/>
      <c r="AC811" s="1087"/>
      <c r="AD811" s="1087"/>
      <c r="AE811" s="1087"/>
    </row>
    <row r="812" spans="1:40" ht="15" customHeight="1">
      <c r="A812" s="176"/>
      <c r="B812" s="1003" t="str">
        <f>IF(AH796&gt;0,"Revise la información capturada, ya que tiene datos ingresados en celdas que están sombreadas","")</f>
        <v/>
      </c>
      <c r="C812" s="1003"/>
      <c r="D812" s="1003"/>
      <c r="E812" s="1003"/>
      <c r="F812" s="1003"/>
      <c r="G812" s="1003"/>
      <c r="H812" s="1003"/>
      <c r="I812" s="1003"/>
      <c r="J812" s="1003"/>
      <c r="K812" s="1003"/>
      <c r="L812" s="1003"/>
      <c r="M812" s="1003"/>
      <c r="N812" s="1003"/>
      <c r="O812" s="1003"/>
      <c r="P812" s="1003"/>
      <c r="Q812" s="1003"/>
      <c r="R812" s="1003"/>
      <c r="S812" s="1003"/>
      <c r="T812" s="1003"/>
      <c r="U812" s="1003"/>
      <c r="V812" s="1003"/>
      <c r="W812" s="1003"/>
      <c r="X812" s="1003"/>
      <c r="Y812" s="1003"/>
      <c r="Z812" s="1003"/>
      <c r="AA812" s="1003"/>
      <c r="AB812" s="1003"/>
      <c r="AC812" s="1003"/>
      <c r="AD812" s="1003"/>
      <c r="AE812" s="1003"/>
    </row>
    <row r="813" spans="1:40" ht="15" customHeight="1">
      <c r="A813" s="176"/>
      <c r="B813" s="1003" t="str">
        <f>IF(OR($V$779=0,$V$779="NS",$V$779="NA"),"",IF(AK806&gt;0,"Favor de revisar la suma y consistencia de totales y/o subtotales por filas (numéricos y NS)",""))</f>
        <v/>
      </c>
      <c r="C813" s="1003"/>
      <c r="D813" s="1003"/>
      <c r="E813" s="1003"/>
      <c r="F813" s="1003"/>
      <c r="G813" s="1003"/>
      <c r="H813" s="1003"/>
      <c r="I813" s="1003"/>
      <c r="J813" s="1003"/>
      <c r="K813" s="1003"/>
      <c r="L813" s="1003"/>
      <c r="M813" s="1003"/>
      <c r="N813" s="1003"/>
      <c r="O813" s="1003"/>
      <c r="P813" s="1003"/>
      <c r="Q813" s="1003"/>
      <c r="R813" s="1003"/>
      <c r="S813" s="1003"/>
      <c r="T813" s="1003"/>
      <c r="U813" s="1003"/>
      <c r="V813" s="1003"/>
      <c r="W813" s="1003"/>
      <c r="X813" s="1003"/>
      <c r="Y813" s="1003"/>
      <c r="Z813" s="1003"/>
      <c r="AA813" s="1003"/>
      <c r="AB813" s="1003"/>
      <c r="AC813" s="1003"/>
      <c r="AD813" s="1003"/>
      <c r="AE813" s="1003"/>
    </row>
    <row r="814" spans="1:40" ht="15" customHeight="1">
      <c r="A814" s="176"/>
      <c r="B814" s="794" t="str">
        <f>IF(AQ797&gt;0,"Favor de revisar la instrucción 2, debido a que no se cumplen con los criterios mencionados","")</f>
        <v/>
      </c>
      <c r="C814" s="794"/>
      <c r="D814" s="794"/>
      <c r="E814" s="794"/>
      <c r="F814" s="794"/>
      <c r="G814" s="794"/>
      <c r="H814" s="794"/>
      <c r="I814" s="794"/>
      <c r="J814" s="794"/>
      <c r="K814" s="794"/>
      <c r="L814" s="794"/>
      <c r="M814" s="794"/>
      <c r="N814" s="794"/>
      <c r="O814" s="794"/>
      <c r="P814" s="794"/>
      <c r="Q814" s="794"/>
      <c r="R814" s="794"/>
      <c r="S814" s="794"/>
      <c r="T814" s="794"/>
      <c r="U814" s="794"/>
      <c r="V814" s="794"/>
      <c r="W814" s="794"/>
      <c r="X814" s="794"/>
      <c r="Y814" s="794"/>
      <c r="Z814" s="794"/>
      <c r="AA814" s="794"/>
      <c r="AB814" s="794"/>
      <c r="AC814" s="794"/>
      <c r="AD814" s="794"/>
      <c r="AE814" s="794"/>
    </row>
    <row r="815" spans="1:40" ht="15" customHeight="1">
      <c r="A815" s="176"/>
      <c r="B815" s="795" t="str">
        <f>IF(AN806&gt;0,"Alerta: debe de proporcionar una justificación de acuerdo a lo establecido en la instrucción 3","")</f>
        <v/>
      </c>
      <c r="C815" s="795"/>
      <c r="D815" s="795"/>
      <c r="E815" s="795"/>
      <c r="F815" s="795"/>
      <c r="G815" s="795"/>
      <c r="H815" s="795"/>
      <c r="I815" s="795"/>
      <c r="J815" s="795"/>
      <c r="K815" s="795"/>
      <c r="L815" s="795"/>
      <c r="M815" s="795"/>
      <c r="N815" s="795"/>
      <c r="O815" s="795"/>
      <c r="P815" s="795"/>
      <c r="Q815" s="795"/>
      <c r="R815" s="795"/>
      <c r="S815" s="795"/>
      <c r="T815" s="795"/>
      <c r="U815" s="795"/>
      <c r="V815" s="795"/>
      <c r="W815" s="795"/>
      <c r="X815" s="795"/>
      <c r="Y815" s="795"/>
      <c r="Z815" s="795"/>
      <c r="AA815" s="795"/>
      <c r="AB815" s="795"/>
      <c r="AC815" s="795"/>
      <c r="AD815" s="795"/>
      <c r="AE815" s="795"/>
    </row>
    <row r="816" spans="1:40" ht="36" customHeight="1">
      <c r="A816" s="49" t="s">
        <v>5370</v>
      </c>
      <c r="B816" s="829" t="s">
        <v>5371</v>
      </c>
      <c r="C816" s="829"/>
      <c r="D816" s="829"/>
      <c r="E816" s="829"/>
      <c r="F816" s="829"/>
      <c r="G816" s="829"/>
      <c r="H816" s="829"/>
      <c r="I816" s="829"/>
      <c r="J816" s="829"/>
      <c r="K816" s="829"/>
      <c r="L816" s="829"/>
      <c r="M816" s="829"/>
      <c r="N816" s="829"/>
      <c r="O816" s="829"/>
      <c r="P816" s="829"/>
      <c r="Q816" s="829"/>
      <c r="R816" s="829"/>
      <c r="S816" s="829"/>
      <c r="T816" s="829"/>
      <c r="U816" s="829"/>
      <c r="V816" s="829"/>
      <c r="W816" s="829"/>
      <c r="X816" s="829"/>
      <c r="Y816" s="829"/>
      <c r="Z816" s="829"/>
      <c r="AA816" s="829"/>
      <c r="AB816" s="829"/>
      <c r="AC816" s="829"/>
      <c r="AD816" s="829"/>
    </row>
    <row r="817" spans="1:58" ht="15" customHeight="1">
      <c r="A817" s="176"/>
      <c r="B817" s="57"/>
      <c r="C817" s="57"/>
      <c r="D817" s="57"/>
      <c r="E817" s="57"/>
      <c r="F817" s="57"/>
      <c r="G817" s="57"/>
      <c r="H817" s="57"/>
      <c r="I817" s="57"/>
      <c r="J817" s="57"/>
      <c r="K817" s="57"/>
      <c r="L817" s="57"/>
      <c r="M817" s="57"/>
      <c r="N817" s="57"/>
      <c r="O817" s="57"/>
      <c r="P817" s="57"/>
      <c r="Q817" s="57"/>
      <c r="R817" s="57"/>
      <c r="S817" s="57"/>
      <c r="T817" s="57"/>
      <c r="U817" s="57"/>
      <c r="V817" s="57"/>
      <c r="W817" s="57"/>
      <c r="X817" s="57"/>
      <c r="Y817" s="57"/>
      <c r="Z817" s="57"/>
      <c r="AA817" s="57"/>
      <c r="AB817" s="57"/>
      <c r="AC817" s="57"/>
      <c r="AD817" s="57"/>
    </row>
    <row r="818" spans="1:58" ht="36" customHeight="1">
      <c r="A818" s="108"/>
      <c r="B818" s="38"/>
      <c r="C818" s="797" t="s">
        <v>2581</v>
      </c>
      <c r="D818" s="798"/>
      <c r="E818" s="798"/>
      <c r="F818" s="798"/>
      <c r="G818" s="798"/>
      <c r="H818" s="798"/>
      <c r="I818" s="798"/>
      <c r="J818" s="798"/>
      <c r="K818" s="798"/>
      <c r="L818" s="798"/>
      <c r="M818" s="798"/>
      <c r="N818" s="798"/>
      <c r="O818" s="798"/>
      <c r="P818" s="798"/>
      <c r="Q818" s="798"/>
      <c r="R818" s="799"/>
      <c r="S818" s="739" t="s">
        <v>5372</v>
      </c>
      <c r="T818" s="740"/>
      <c r="U818" s="740"/>
      <c r="V818" s="740"/>
      <c r="W818" s="740"/>
      <c r="X818" s="740"/>
      <c r="Y818" s="740"/>
      <c r="Z818" s="740"/>
      <c r="AA818" s="740"/>
      <c r="AB818" s="740"/>
      <c r="AC818" s="740"/>
      <c r="AD818" s="741"/>
    </row>
    <row r="819" spans="1:58" ht="48" customHeight="1">
      <c r="A819" s="108"/>
      <c r="B819" s="38"/>
      <c r="C819" s="800"/>
      <c r="D819" s="801"/>
      <c r="E819" s="801"/>
      <c r="F819" s="801"/>
      <c r="G819" s="801"/>
      <c r="H819" s="801"/>
      <c r="I819" s="801"/>
      <c r="J819" s="801"/>
      <c r="K819" s="801"/>
      <c r="L819" s="801"/>
      <c r="M819" s="801"/>
      <c r="N819" s="801"/>
      <c r="O819" s="801"/>
      <c r="P819" s="801"/>
      <c r="Q819" s="801"/>
      <c r="R819" s="802"/>
      <c r="S819" s="887" t="s">
        <v>2628</v>
      </c>
      <c r="T819" s="889" t="s">
        <v>2629</v>
      </c>
      <c r="U819" s="889" t="s">
        <v>2630</v>
      </c>
      <c r="V819" s="733" t="s">
        <v>5373</v>
      </c>
      <c r="W819" s="734"/>
      <c r="X819" s="735"/>
      <c r="Y819" s="733" t="s">
        <v>5374</v>
      </c>
      <c r="Z819" s="734"/>
      <c r="AA819" s="735"/>
      <c r="AB819" s="733" t="s">
        <v>201</v>
      </c>
      <c r="AC819" s="734"/>
      <c r="AD819" s="735"/>
    </row>
    <row r="820" spans="1:58" ht="48" customHeight="1">
      <c r="A820" s="108"/>
      <c r="B820" s="38"/>
      <c r="C820" s="803"/>
      <c r="D820" s="804"/>
      <c r="E820" s="804"/>
      <c r="F820" s="804"/>
      <c r="G820" s="804"/>
      <c r="H820" s="804"/>
      <c r="I820" s="804"/>
      <c r="J820" s="804"/>
      <c r="K820" s="804"/>
      <c r="L820" s="804"/>
      <c r="M820" s="804"/>
      <c r="N820" s="804"/>
      <c r="O820" s="804"/>
      <c r="P820" s="804"/>
      <c r="Q820" s="804"/>
      <c r="R820" s="805"/>
      <c r="S820" s="888"/>
      <c r="T820" s="890"/>
      <c r="U820" s="890"/>
      <c r="V820" s="171" t="s">
        <v>2635</v>
      </c>
      <c r="W820" s="128" t="s">
        <v>2629</v>
      </c>
      <c r="X820" s="128" t="s">
        <v>2630</v>
      </c>
      <c r="Y820" s="171" t="s">
        <v>2635</v>
      </c>
      <c r="Z820" s="128" t="s">
        <v>2629</v>
      </c>
      <c r="AA820" s="128" t="s">
        <v>2630</v>
      </c>
      <c r="AB820" s="171" t="s">
        <v>2635</v>
      </c>
      <c r="AC820" s="128" t="s">
        <v>2629</v>
      </c>
      <c r="AD820" s="128" t="s">
        <v>2630</v>
      </c>
      <c r="AG820" t="s">
        <v>2586</v>
      </c>
      <c r="AH820" t="s">
        <v>4581</v>
      </c>
      <c r="AK820" t="s">
        <v>4573</v>
      </c>
      <c r="AL820" t="s">
        <v>2638</v>
      </c>
      <c r="AM820" t="s">
        <v>2639</v>
      </c>
      <c r="AN820" t="s">
        <v>4574</v>
      </c>
      <c r="AO820" t="s">
        <v>2641</v>
      </c>
      <c r="AP820" t="s">
        <v>2642</v>
      </c>
      <c r="AQ820" t="s">
        <v>4575</v>
      </c>
      <c r="AR820" t="s">
        <v>2644</v>
      </c>
      <c r="AS820" t="s">
        <v>2645</v>
      </c>
      <c r="AT820" t="s">
        <v>4576</v>
      </c>
      <c r="AU820" t="s">
        <v>2647</v>
      </c>
      <c r="AV820" t="s">
        <v>2648</v>
      </c>
      <c r="BF820" t="s">
        <v>4582</v>
      </c>
    </row>
    <row r="821" spans="1:58" ht="15" customHeight="1">
      <c r="A821" s="108"/>
      <c r="B821" s="38"/>
      <c r="C821" s="97" t="s">
        <v>2516</v>
      </c>
      <c r="D821" s="813" t="str">
        <f>IF(CNSIPEE_2024_M2_Secc1!D42="","",CNSIPEE_2024_M2_Secc1!D42)</f>
        <v/>
      </c>
      <c r="E821" s="814"/>
      <c r="F821" s="814"/>
      <c r="G821" s="814"/>
      <c r="H821" s="814"/>
      <c r="I821" s="814"/>
      <c r="J821" s="814"/>
      <c r="K821" s="814"/>
      <c r="L821" s="814"/>
      <c r="M821" s="814"/>
      <c r="N821" s="814"/>
      <c r="O821" s="814"/>
      <c r="P821" s="814"/>
      <c r="Q821" s="814"/>
      <c r="R821" s="815"/>
      <c r="S821" s="100"/>
      <c r="T821" s="100"/>
      <c r="U821" s="100"/>
      <c r="V821" s="100"/>
      <c r="W821" s="100"/>
      <c r="X821" s="100"/>
      <c r="Y821" s="100"/>
      <c r="Z821" s="100"/>
      <c r="AA821" s="100"/>
      <c r="AB821" s="100"/>
      <c r="AC821" s="100"/>
      <c r="AD821" s="100"/>
      <c r="AG821">
        <f>IF(OR($M40=0,$M40="NS",$M40="NA"),0,IF(OR(COUNTBLANK(D821:AD821)=14,COUNTBLANK(D821:AD821)=27),0,1))</f>
        <v>0</v>
      </c>
      <c r="AH821">
        <f>IF(OR($M40=0,$M40="NS",$M40="NA"),IF(COUNTBLANK(S821:AD821)=12,0,1),0)</f>
        <v>0</v>
      </c>
      <c r="AK821">
        <f t="shared" ref="AK821" si="747">COUNTIF(T821:U821,"NS")</f>
        <v>0</v>
      </c>
      <c r="AL821">
        <f t="shared" ref="AL821" si="748">SUM(T821:U821)</f>
        <v>0</v>
      </c>
      <c r="AM821">
        <f t="shared" ref="AM821" si="749">IF(COUNTIF(S821:U821,"NA")=3,0,IF(COUNTA(S821:U821)=0,0,IF(OR(AND(S821=0,AK821&gt;0),AND(S821="ns",AL821&gt;0),AND(S821="ns",AK821=0,AL821=0)),1,IF(OR(AND(S821&gt;0,AK821=2),AND(S821="ns",AK821=2),AND(S821="ns",AL821=0,AK821&gt;0),S821=AL821),0,1))))</f>
        <v>0</v>
      </c>
      <c r="AN821">
        <f t="shared" ref="AN821" si="750">COUNTIF(W821:X821,"NS")</f>
        <v>0</v>
      </c>
      <c r="AO821">
        <f t="shared" ref="AO821" si="751">SUM(W821:X821)</f>
        <v>0</v>
      </c>
      <c r="AP821">
        <f t="shared" ref="AP821" si="752">IF(COUNTIF(V821:X821,"NA")=3,0,IF(COUNTA(V821:X821)=0,0,IF(OR(AND(V821=0,AN821&gt;0),AND(V821="ns",AO821&gt;0),AND(V821="ns",AN821=0,AO821=0)),1,IF(OR(AND(V821&gt;0,AN821=2),AND(V821="ns",AN821=2),AND(V821="ns",AO821=0,AN821&gt;0),V821=AO821),0,1))))</f>
        <v>0</v>
      </c>
      <c r="AQ821">
        <f t="shared" ref="AQ821" si="753">COUNTIF(Z821:AA821,"NS")</f>
        <v>0</v>
      </c>
      <c r="AR821">
        <f t="shared" ref="AR821" si="754">SUM(Z821:AA821)</f>
        <v>0</v>
      </c>
      <c r="AS821">
        <f t="shared" ref="AS821" si="755">IF(COUNTIF(Y821:AA821,"NA")=3,0,IF(COUNTA(Y821:AA821)=0,0,IF(OR(AND(Y821=0,AQ821&gt;0),AND(Y821="ns",AR821&gt;0),AND(Y821="ns",AQ821=0,AR821=0)),1,IF(OR(AND(Y821&gt;0,AQ821=2),AND(Y821="ns",AQ821=2),AND(Y821="ns",AR821=0,AQ821&gt;0),Y821=AR821),0,1))))</f>
        <v>0</v>
      </c>
      <c r="AT821">
        <f t="shared" ref="AT821" si="756">COUNTIF(AC821:AD821,"NS")</f>
        <v>0</v>
      </c>
      <c r="AU821">
        <f t="shared" ref="AU821" si="757">SUM(AC821:AD821)</f>
        <v>0</v>
      </c>
      <c r="AV821">
        <f t="shared" ref="AV821" si="758">IF(COUNTIF(AB821:AD821,"NA")=3,0,IF(COUNTA(AB821:AD821)=0,0,IF(OR(AND(AB821=0,AT821&gt;0),AND(AB821="ns",AU821&gt;0),AND(AB821="ns",AT821=0,AU821=0)),1,IF(OR(AND(AB821&gt;0,AT821=2),AND(AB821="ns",AT821=2),AND(AB821="ns",AU821=0,AT821&gt;0),AB821=AU821),0,1))))</f>
        <v>0</v>
      </c>
      <c r="BF821">
        <f>IF(OR($M40=0,$M40="NS",$M40="NA"),0,IF(AND(M40=S821,S40=T821,Y40=U821),0,1))</f>
        <v>0</v>
      </c>
    </row>
    <row r="822" spans="1:58" ht="15" customHeight="1">
      <c r="A822" s="108"/>
      <c r="B822" s="38"/>
      <c r="C822" s="98" t="s">
        <v>2517</v>
      </c>
      <c r="D822" s="813" t="str">
        <f>IF(CNSIPEE_2024_M2_Secc1!D43="","",CNSIPEE_2024_M2_Secc1!D43)</f>
        <v/>
      </c>
      <c r="E822" s="814"/>
      <c r="F822" s="814"/>
      <c r="G822" s="814"/>
      <c r="H822" s="814"/>
      <c r="I822" s="814"/>
      <c r="J822" s="814"/>
      <c r="K822" s="814"/>
      <c r="L822" s="814"/>
      <c r="M822" s="814"/>
      <c r="N822" s="814"/>
      <c r="O822" s="814"/>
      <c r="P822" s="814"/>
      <c r="Q822" s="814"/>
      <c r="R822" s="815"/>
      <c r="S822" s="100"/>
      <c r="T822" s="100"/>
      <c r="U822" s="100"/>
      <c r="V822" s="100"/>
      <c r="W822" s="100"/>
      <c r="X822" s="100"/>
      <c r="Y822" s="100"/>
      <c r="Z822" s="100"/>
      <c r="AA822" s="100"/>
      <c r="AB822" s="100"/>
      <c r="AC822" s="100"/>
      <c r="AD822" s="100"/>
      <c r="AG822">
        <f t="shared" ref="AG822:AG828" si="759">IF(OR($M41=0,$M41="NS",$M41="NA"),0,IF(OR(COUNTBLANK(D822:AD822)=14,COUNTBLANK(D822:AD822)=27),0,1))</f>
        <v>0</v>
      </c>
      <c r="AH822">
        <f t="shared" ref="AH822:AH828" si="760">IF(OR($M41=0,$M41="NS",$M41="NA"),IF(COUNTBLANK(S822:AD822)=12,0,1),0)</f>
        <v>0</v>
      </c>
      <c r="AK822">
        <f t="shared" ref="AK822:AK828" si="761">COUNTIF(T822:U822,"NS")</f>
        <v>0</v>
      </c>
      <c r="AL822">
        <f t="shared" ref="AL822:AL828" si="762">SUM(T822:U822)</f>
        <v>0</v>
      </c>
      <c r="AM822">
        <f t="shared" ref="AM822:AM828" si="763">IF(COUNTIF(S822:U822,"NA")=3,0,IF(COUNTA(S822:U822)=0,0,IF(OR(AND(S822=0,AK822&gt;0),AND(S822="ns",AL822&gt;0),AND(S822="ns",AK822=0,AL822=0)),1,IF(OR(AND(S822&gt;0,AK822=2),AND(S822="ns",AK822=2),AND(S822="ns",AL822=0,AK822&gt;0),S822=AL822),0,1))))</f>
        <v>0</v>
      </c>
      <c r="AN822">
        <f t="shared" ref="AN822:AN828" si="764">COUNTIF(W822:X822,"NS")</f>
        <v>0</v>
      </c>
      <c r="AO822">
        <f t="shared" ref="AO822:AO828" si="765">SUM(W822:X822)</f>
        <v>0</v>
      </c>
      <c r="AP822">
        <f t="shared" ref="AP822:AP828" si="766">IF(COUNTIF(V822:X822,"NA")=3,0,IF(COUNTA(V822:X822)=0,0,IF(OR(AND(V822=0,AN822&gt;0),AND(V822="ns",AO822&gt;0),AND(V822="ns",AN822=0,AO822=0)),1,IF(OR(AND(V822&gt;0,AN822=2),AND(V822="ns",AN822=2),AND(V822="ns",AO822=0,AN822&gt;0),V822=AO822),0,1))))</f>
        <v>0</v>
      </c>
      <c r="AQ822">
        <f t="shared" ref="AQ822:AQ828" si="767">COUNTIF(Z822:AA822,"NS")</f>
        <v>0</v>
      </c>
      <c r="AR822">
        <f t="shared" ref="AR822:AR828" si="768">SUM(Z822:AA822)</f>
        <v>0</v>
      </c>
      <c r="AS822">
        <f t="shared" ref="AS822:AS828" si="769">IF(COUNTIF(Y822:AA822,"NA")=3,0,IF(COUNTA(Y822:AA822)=0,0,IF(OR(AND(Y822=0,AQ822&gt;0),AND(Y822="ns",AR822&gt;0),AND(Y822="ns",AQ822=0,AR822=0)),1,IF(OR(AND(Y822&gt;0,AQ822=2),AND(Y822="ns",AQ822=2),AND(Y822="ns",AR822=0,AQ822&gt;0),Y822=AR822),0,1))))</f>
        <v>0</v>
      </c>
      <c r="AT822">
        <f t="shared" ref="AT822:AT828" si="770">COUNTIF(AC822:AD822,"NS")</f>
        <v>0</v>
      </c>
      <c r="AU822">
        <f t="shared" ref="AU822:AU828" si="771">SUM(AC822:AD822)</f>
        <v>0</v>
      </c>
      <c r="AV822">
        <f t="shared" ref="AV822:AV828" si="772">IF(COUNTIF(AB822:AD822,"NA")=3,0,IF(COUNTA(AB822:AD822)=0,0,IF(OR(AND(AB822=0,AT822&gt;0),AND(AB822="ns",AU822&gt;0),AND(AB822="ns",AT822=0,AU822=0)),1,IF(OR(AND(AB822&gt;0,AT822=2),AND(AB822="ns",AT822=2),AND(AB822="ns",AU822=0,AT822&gt;0),AB822=AU822),0,1))))</f>
        <v>0</v>
      </c>
      <c r="BF822">
        <f t="shared" ref="BF822:BF828" si="773">IF(OR($M41=0,$M41="NS",$M41="NA"),0,IF(AND(M41=S822,S41=T822,Y41=U822),0,1))</f>
        <v>0</v>
      </c>
    </row>
    <row r="823" spans="1:58" ht="15" customHeight="1">
      <c r="A823" s="186"/>
      <c r="B823" s="57"/>
      <c r="C823" s="98" t="s">
        <v>2518</v>
      </c>
      <c r="D823" s="813" t="str">
        <f>IF(CNSIPEE_2024_M2_Secc1!D44="","",CNSIPEE_2024_M2_Secc1!D44)</f>
        <v/>
      </c>
      <c r="E823" s="814"/>
      <c r="F823" s="814"/>
      <c r="G823" s="814"/>
      <c r="H823" s="814"/>
      <c r="I823" s="814"/>
      <c r="J823" s="814"/>
      <c r="K823" s="814"/>
      <c r="L823" s="814"/>
      <c r="M823" s="814"/>
      <c r="N823" s="814"/>
      <c r="O823" s="814"/>
      <c r="P823" s="814"/>
      <c r="Q823" s="814"/>
      <c r="R823" s="815"/>
      <c r="S823" s="100"/>
      <c r="T823" s="100"/>
      <c r="U823" s="100"/>
      <c r="V823" s="100"/>
      <c r="W823" s="100"/>
      <c r="X823" s="100"/>
      <c r="Y823" s="100"/>
      <c r="Z823" s="100"/>
      <c r="AA823" s="100"/>
      <c r="AB823" s="100"/>
      <c r="AC823" s="100"/>
      <c r="AD823" s="100"/>
      <c r="AG823">
        <f t="shared" si="759"/>
        <v>0</v>
      </c>
      <c r="AH823">
        <f t="shared" si="760"/>
        <v>0</v>
      </c>
      <c r="AK823">
        <f t="shared" si="761"/>
        <v>0</v>
      </c>
      <c r="AL823">
        <f t="shared" si="762"/>
        <v>0</v>
      </c>
      <c r="AM823">
        <f t="shared" si="763"/>
        <v>0</v>
      </c>
      <c r="AN823">
        <f t="shared" si="764"/>
        <v>0</v>
      </c>
      <c r="AO823">
        <f t="shared" si="765"/>
        <v>0</v>
      </c>
      <c r="AP823">
        <f t="shared" si="766"/>
        <v>0</v>
      </c>
      <c r="AQ823">
        <f t="shared" si="767"/>
        <v>0</v>
      </c>
      <c r="AR823">
        <f t="shared" si="768"/>
        <v>0</v>
      </c>
      <c r="AS823">
        <f t="shared" si="769"/>
        <v>0</v>
      </c>
      <c r="AT823">
        <f t="shared" si="770"/>
        <v>0</v>
      </c>
      <c r="AU823">
        <f t="shared" si="771"/>
        <v>0</v>
      </c>
      <c r="AV823">
        <f t="shared" si="772"/>
        <v>0</v>
      </c>
      <c r="BF823">
        <f t="shared" si="773"/>
        <v>0</v>
      </c>
    </row>
    <row r="824" spans="1:58" ht="15" customHeight="1">
      <c r="A824" s="186"/>
      <c r="B824" s="57"/>
      <c r="C824" s="98" t="s">
        <v>2519</v>
      </c>
      <c r="D824" s="813" t="str">
        <f>IF(CNSIPEE_2024_M2_Secc1!D45="","",CNSIPEE_2024_M2_Secc1!D45)</f>
        <v/>
      </c>
      <c r="E824" s="814"/>
      <c r="F824" s="814"/>
      <c r="G824" s="814"/>
      <c r="H824" s="814"/>
      <c r="I824" s="814"/>
      <c r="J824" s="814"/>
      <c r="K824" s="814"/>
      <c r="L824" s="814"/>
      <c r="M824" s="814"/>
      <c r="N824" s="814"/>
      <c r="O824" s="814"/>
      <c r="P824" s="814"/>
      <c r="Q824" s="814"/>
      <c r="R824" s="815"/>
      <c r="S824" s="100"/>
      <c r="T824" s="100"/>
      <c r="U824" s="100"/>
      <c r="V824" s="100"/>
      <c r="W824" s="100"/>
      <c r="X824" s="100"/>
      <c r="Y824" s="100"/>
      <c r="Z824" s="100"/>
      <c r="AA824" s="100"/>
      <c r="AB824" s="100"/>
      <c r="AC824" s="100"/>
      <c r="AD824" s="100"/>
      <c r="AG824">
        <f t="shared" si="759"/>
        <v>0</v>
      </c>
      <c r="AH824">
        <f t="shared" si="760"/>
        <v>0</v>
      </c>
      <c r="AK824">
        <f t="shared" si="761"/>
        <v>0</v>
      </c>
      <c r="AL824">
        <f t="shared" si="762"/>
        <v>0</v>
      </c>
      <c r="AM824">
        <f t="shared" si="763"/>
        <v>0</v>
      </c>
      <c r="AN824">
        <f t="shared" si="764"/>
        <v>0</v>
      </c>
      <c r="AO824">
        <f t="shared" si="765"/>
        <v>0</v>
      </c>
      <c r="AP824">
        <f t="shared" si="766"/>
        <v>0</v>
      </c>
      <c r="AQ824">
        <f t="shared" si="767"/>
        <v>0</v>
      </c>
      <c r="AR824">
        <f t="shared" si="768"/>
        <v>0</v>
      </c>
      <c r="AS824">
        <f t="shared" si="769"/>
        <v>0</v>
      </c>
      <c r="AT824">
        <f t="shared" si="770"/>
        <v>0</v>
      </c>
      <c r="AU824">
        <f t="shared" si="771"/>
        <v>0</v>
      </c>
      <c r="AV824">
        <f t="shared" si="772"/>
        <v>0</v>
      </c>
      <c r="BF824">
        <f t="shared" si="773"/>
        <v>0</v>
      </c>
    </row>
    <row r="825" spans="1:58" ht="15" customHeight="1">
      <c r="A825" s="186"/>
      <c r="B825" s="57"/>
      <c r="C825" s="98" t="s">
        <v>2520</v>
      </c>
      <c r="D825" s="813" t="str">
        <f>IF(CNSIPEE_2024_M2_Secc1!D46="","",CNSIPEE_2024_M2_Secc1!D46)</f>
        <v/>
      </c>
      <c r="E825" s="814"/>
      <c r="F825" s="814"/>
      <c r="G825" s="814"/>
      <c r="H825" s="814"/>
      <c r="I825" s="814"/>
      <c r="J825" s="814"/>
      <c r="K825" s="814"/>
      <c r="L825" s="814"/>
      <c r="M825" s="814"/>
      <c r="N825" s="814"/>
      <c r="O825" s="814"/>
      <c r="P825" s="814"/>
      <c r="Q825" s="814"/>
      <c r="R825" s="815"/>
      <c r="S825" s="100"/>
      <c r="T825" s="100"/>
      <c r="U825" s="100"/>
      <c r="V825" s="100"/>
      <c r="W825" s="100"/>
      <c r="X825" s="100"/>
      <c r="Y825" s="100"/>
      <c r="Z825" s="100"/>
      <c r="AA825" s="100"/>
      <c r="AB825" s="100"/>
      <c r="AC825" s="100"/>
      <c r="AD825" s="100"/>
      <c r="AG825">
        <f t="shared" si="759"/>
        <v>0</v>
      </c>
      <c r="AH825">
        <f t="shared" si="760"/>
        <v>0</v>
      </c>
      <c r="AK825">
        <f t="shared" si="761"/>
        <v>0</v>
      </c>
      <c r="AL825">
        <f t="shared" si="762"/>
        <v>0</v>
      </c>
      <c r="AM825">
        <f t="shared" si="763"/>
        <v>0</v>
      </c>
      <c r="AN825">
        <f t="shared" si="764"/>
        <v>0</v>
      </c>
      <c r="AO825">
        <f t="shared" si="765"/>
        <v>0</v>
      </c>
      <c r="AP825">
        <f t="shared" si="766"/>
        <v>0</v>
      </c>
      <c r="AQ825">
        <f t="shared" si="767"/>
        <v>0</v>
      </c>
      <c r="AR825">
        <f t="shared" si="768"/>
        <v>0</v>
      </c>
      <c r="AS825">
        <f t="shared" si="769"/>
        <v>0</v>
      </c>
      <c r="AT825">
        <f t="shared" si="770"/>
        <v>0</v>
      </c>
      <c r="AU825">
        <f t="shared" si="771"/>
        <v>0</v>
      </c>
      <c r="AV825">
        <f t="shared" si="772"/>
        <v>0</v>
      </c>
      <c r="BF825">
        <f t="shared" si="773"/>
        <v>0</v>
      </c>
    </row>
    <row r="826" spans="1:58" ht="15" customHeight="1">
      <c r="A826" s="186"/>
      <c r="B826" s="57"/>
      <c r="C826" s="98" t="s">
        <v>2521</v>
      </c>
      <c r="D826" s="813" t="str">
        <f>IF(CNSIPEE_2024_M2_Secc1!D47="","",CNSIPEE_2024_M2_Secc1!D47)</f>
        <v/>
      </c>
      <c r="E826" s="814"/>
      <c r="F826" s="814"/>
      <c r="G826" s="814"/>
      <c r="H826" s="814"/>
      <c r="I826" s="814"/>
      <c r="J826" s="814"/>
      <c r="K826" s="814"/>
      <c r="L826" s="814"/>
      <c r="M826" s="814"/>
      <c r="N826" s="814"/>
      <c r="O826" s="814"/>
      <c r="P826" s="814"/>
      <c r="Q826" s="814"/>
      <c r="R826" s="815"/>
      <c r="S826" s="100"/>
      <c r="T826" s="100"/>
      <c r="U826" s="100"/>
      <c r="V826" s="100"/>
      <c r="W826" s="100"/>
      <c r="X826" s="100"/>
      <c r="Y826" s="100"/>
      <c r="Z826" s="100"/>
      <c r="AA826" s="100"/>
      <c r="AB826" s="100"/>
      <c r="AC826" s="100"/>
      <c r="AD826" s="100"/>
      <c r="AG826">
        <f t="shared" si="759"/>
        <v>0</v>
      </c>
      <c r="AH826">
        <f t="shared" si="760"/>
        <v>0</v>
      </c>
      <c r="AK826">
        <f t="shared" si="761"/>
        <v>0</v>
      </c>
      <c r="AL826">
        <f t="shared" si="762"/>
        <v>0</v>
      </c>
      <c r="AM826">
        <f t="shared" si="763"/>
        <v>0</v>
      </c>
      <c r="AN826">
        <f t="shared" si="764"/>
        <v>0</v>
      </c>
      <c r="AO826">
        <f t="shared" si="765"/>
        <v>0</v>
      </c>
      <c r="AP826">
        <f t="shared" si="766"/>
        <v>0</v>
      </c>
      <c r="AQ826">
        <f t="shared" si="767"/>
        <v>0</v>
      </c>
      <c r="AR826">
        <f t="shared" si="768"/>
        <v>0</v>
      </c>
      <c r="AS826">
        <f t="shared" si="769"/>
        <v>0</v>
      </c>
      <c r="AT826">
        <f t="shared" si="770"/>
        <v>0</v>
      </c>
      <c r="AU826">
        <f t="shared" si="771"/>
        <v>0</v>
      </c>
      <c r="AV826">
        <f t="shared" si="772"/>
        <v>0</v>
      </c>
      <c r="BF826">
        <f t="shared" si="773"/>
        <v>0</v>
      </c>
    </row>
    <row r="827" spans="1:58" ht="15" customHeight="1">
      <c r="A827" s="186"/>
      <c r="B827" s="57"/>
      <c r="C827" s="98" t="s">
        <v>2522</v>
      </c>
      <c r="D827" s="813" t="str">
        <f>IF(CNSIPEE_2024_M2_Secc1!D48="","",CNSIPEE_2024_M2_Secc1!D48)</f>
        <v/>
      </c>
      <c r="E827" s="814"/>
      <c r="F827" s="814"/>
      <c r="G827" s="814"/>
      <c r="H827" s="814"/>
      <c r="I827" s="814"/>
      <c r="J827" s="814"/>
      <c r="K827" s="814"/>
      <c r="L827" s="814"/>
      <c r="M827" s="814"/>
      <c r="N827" s="814"/>
      <c r="O827" s="814"/>
      <c r="P827" s="814"/>
      <c r="Q827" s="814"/>
      <c r="R827" s="815"/>
      <c r="S827" s="100"/>
      <c r="T827" s="100"/>
      <c r="U827" s="100"/>
      <c r="V827" s="100"/>
      <c r="W827" s="100"/>
      <c r="X827" s="100"/>
      <c r="Y827" s="100"/>
      <c r="Z827" s="100"/>
      <c r="AA827" s="100"/>
      <c r="AB827" s="100"/>
      <c r="AC827" s="100"/>
      <c r="AD827" s="100"/>
      <c r="AG827">
        <f t="shared" si="759"/>
        <v>0</v>
      </c>
      <c r="AH827">
        <f t="shared" si="760"/>
        <v>0</v>
      </c>
      <c r="AK827">
        <f t="shared" si="761"/>
        <v>0</v>
      </c>
      <c r="AL827">
        <f t="shared" si="762"/>
        <v>0</v>
      </c>
      <c r="AM827">
        <f t="shared" si="763"/>
        <v>0</v>
      </c>
      <c r="AN827">
        <f t="shared" si="764"/>
        <v>0</v>
      </c>
      <c r="AO827">
        <f t="shared" si="765"/>
        <v>0</v>
      </c>
      <c r="AP827">
        <f t="shared" si="766"/>
        <v>0</v>
      </c>
      <c r="AQ827">
        <f t="shared" si="767"/>
        <v>0</v>
      </c>
      <c r="AR827">
        <f t="shared" si="768"/>
        <v>0</v>
      </c>
      <c r="AS827">
        <f t="shared" si="769"/>
        <v>0</v>
      </c>
      <c r="AT827">
        <f t="shared" si="770"/>
        <v>0</v>
      </c>
      <c r="AU827">
        <f t="shared" si="771"/>
        <v>0</v>
      </c>
      <c r="AV827">
        <f t="shared" si="772"/>
        <v>0</v>
      </c>
      <c r="BF827">
        <f t="shared" si="773"/>
        <v>0</v>
      </c>
    </row>
    <row r="828" spans="1:58" ht="15" customHeight="1">
      <c r="A828" s="186"/>
      <c r="B828" s="57"/>
      <c r="C828" s="98" t="s">
        <v>2523</v>
      </c>
      <c r="D828" s="813" t="str">
        <f>IF(CNSIPEE_2024_M2_Secc1!D49="","",CNSIPEE_2024_M2_Secc1!D49)</f>
        <v/>
      </c>
      <c r="E828" s="814"/>
      <c r="F828" s="814"/>
      <c r="G828" s="814"/>
      <c r="H828" s="814"/>
      <c r="I828" s="814"/>
      <c r="J828" s="814"/>
      <c r="K828" s="814"/>
      <c r="L828" s="814"/>
      <c r="M828" s="814"/>
      <c r="N828" s="814"/>
      <c r="O828" s="814"/>
      <c r="P828" s="814"/>
      <c r="Q828" s="814"/>
      <c r="R828" s="815"/>
      <c r="S828" s="100"/>
      <c r="T828" s="100"/>
      <c r="U828" s="100"/>
      <c r="V828" s="100"/>
      <c r="W828" s="100"/>
      <c r="X828" s="100"/>
      <c r="Y828" s="100"/>
      <c r="Z828" s="100"/>
      <c r="AA828" s="100"/>
      <c r="AB828" s="100"/>
      <c r="AC828" s="100"/>
      <c r="AD828" s="100"/>
      <c r="AG828">
        <f t="shared" si="759"/>
        <v>0</v>
      </c>
      <c r="AH828">
        <f t="shared" si="760"/>
        <v>0</v>
      </c>
      <c r="AK828">
        <f t="shared" si="761"/>
        <v>0</v>
      </c>
      <c r="AL828">
        <f t="shared" si="762"/>
        <v>0</v>
      </c>
      <c r="AM828">
        <f t="shared" si="763"/>
        <v>0</v>
      </c>
      <c r="AN828">
        <f t="shared" si="764"/>
        <v>0</v>
      </c>
      <c r="AO828">
        <f t="shared" si="765"/>
        <v>0</v>
      </c>
      <c r="AP828">
        <f t="shared" si="766"/>
        <v>0</v>
      </c>
      <c r="AQ828">
        <f t="shared" si="767"/>
        <v>0</v>
      </c>
      <c r="AR828">
        <f t="shared" si="768"/>
        <v>0</v>
      </c>
      <c r="AS828">
        <f t="shared" si="769"/>
        <v>0</v>
      </c>
      <c r="AT828">
        <f t="shared" si="770"/>
        <v>0</v>
      </c>
      <c r="AU828">
        <f t="shared" si="771"/>
        <v>0</v>
      </c>
      <c r="AV828">
        <f t="shared" si="772"/>
        <v>0</v>
      </c>
      <c r="BF828">
        <f t="shared" si="773"/>
        <v>0</v>
      </c>
    </row>
    <row r="829" spans="1:58" ht="15" customHeight="1">
      <c r="A829" s="186"/>
      <c r="B829" s="57"/>
      <c r="C829" s="70"/>
      <c r="D829" s="84"/>
      <c r="E829" s="84"/>
      <c r="F829" s="84"/>
      <c r="G829" s="84"/>
      <c r="H829" s="84"/>
      <c r="I829" s="84"/>
      <c r="J829" s="84"/>
      <c r="K829" s="84"/>
      <c r="L829" s="84"/>
      <c r="M829" s="84"/>
      <c r="N829" s="84"/>
      <c r="O829" s="84"/>
      <c r="P829" s="84"/>
      <c r="Q829" s="84"/>
      <c r="R829" s="117" t="s">
        <v>2649</v>
      </c>
      <c r="S829" s="124">
        <f t="shared" ref="S829:AD829" si="774">IF(AND(SUM(S821:S828)=0,COUNTIF(S821:S828,"NS")&gt;0),"NS",IF(AND(SUM(S821:S828)=0,COUNTIF(S821:S828,0)&gt;0),0,IF(AND(SUM(S821:S828)=0,COUNTIF(S821:S828,"NA")&gt;0),"NA",SUM(S821:S828))))</f>
        <v>0</v>
      </c>
      <c r="T829" s="124">
        <f t="shared" si="774"/>
        <v>0</v>
      </c>
      <c r="U829" s="124">
        <f t="shared" si="774"/>
        <v>0</v>
      </c>
      <c r="V829" s="124">
        <f t="shared" si="774"/>
        <v>0</v>
      </c>
      <c r="W829" s="124">
        <f t="shared" si="774"/>
        <v>0</v>
      </c>
      <c r="X829" s="124">
        <f t="shared" si="774"/>
        <v>0</v>
      </c>
      <c r="Y829" s="124">
        <f t="shared" si="774"/>
        <v>0</v>
      </c>
      <c r="Z829" s="124">
        <f t="shared" si="774"/>
        <v>0</v>
      </c>
      <c r="AA829" s="124">
        <f t="shared" si="774"/>
        <v>0</v>
      </c>
      <c r="AB829" s="124">
        <f t="shared" si="774"/>
        <v>0</v>
      </c>
      <c r="AC829" s="124">
        <f t="shared" si="774"/>
        <v>0</v>
      </c>
      <c r="AD829" s="124">
        <f t="shared" si="774"/>
        <v>0</v>
      </c>
      <c r="AG829" s="507">
        <f>SUM(AG821:AG828)</f>
        <v>0</v>
      </c>
      <c r="AH829" s="507">
        <f>SUM(AH821:AH828)</f>
        <v>0</v>
      </c>
      <c r="AK829">
        <f>SUM(AK821:AK828)</f>
        <v>0</v>
      </c>
      <c r="AM829">
        <f>SUM(AM821:AM828)</f>
        <v>0</v>
      </c>
      <c r="AN829">
        <f>SUM(AN821:AN828)</f>
        <v>0</v>
      </c>
      <c r="AP829">
        <f>SUM(AP821:AP828)</f>
        <v>0</v>
      </c>
      <c r="AQ829">
        <f>SUM(AQ821:AQ828)</f>
        <v>0</v>
      </c>
      <c r="AS829">
        <f>SUM(AS821:AS828)</f>
        <v>0</v>
      </c>
      <c r="AT829">
        <f>SUM(AT821:AT828)</f>
        <v>0</v>
      </c>
      <c r="AV829">
        <f>SUM(AV821:AV828)</f>
        <v>0</v>
      </c>
      <c r="BF829" s="506">
        <f>SUM(BF821:BF828)</f>
        <v>0</v>
      </c>
    </row>
    <row r="830" spans="1:58" ht="15" customHeight="1">
      <c r="A830" s="176"/>
      <c r="B830" s="57"/>
      <c r="C830" s="57"/>
      <c r="D830" s="57"/>
      <c r="E830" s="57"/>
      <c r="F830" s="57"/>
      <c r="G830" s="57"/>
      <c r="H830" s="57"/>
      <c r="I830" s="57"/>
      <c r="J830" s="57"/>
      <c r="K830" s="57"/>
      <c r="L830" s="57"/>
      <c r="M830" s="57"/>
      <c r="N830" s="57"/>
      <c r="O830" s="57"/>
      <c r="P830" s="57"/>
      <c r="Q830" s="57"/>
      <c r="R830" s="57"/>
      <c r="S830" s="57"/>
      <c r="T830" s="57"/>
      <c r="U830" s="57"/>
      <c r="V830" s="57"/>
      <c r="W830" s="57"/>
      <c r="X830" s="57"/>
      <c r="Y830" s="57"/>
      <c r="Z830" s="57"/>
      <c r="AA830" s="57"/>
      <c r="AB830" s="57"/>
      <c r="AC830" s="57"/>
      <c r="AD830" s="57"/>
      <c r="AG830" s="57"/>
      <c r="AH830" s="57"/>
      <c r="AI830" s="57"/>
      <c r="AJ830" s="57"/>
      <c r="AK830" t="s">
        <v>2650</v>
      </c>
      <c r="AL830" s="506">
        <f>SUM(AM829,AP829,AS829,AV829)</f>
        <v>0</v>
      </c>
      <c r="AM830" t="s">
        <v>2651</v>
      </c>
      <c r="AN830">
        <f>SUM(AK829,AN829,AQ829,AT829)</f>
        <v>0</v>
      </c>
      <c r="AO830" s="57"/>
      <c r="AP830" s="57"/>
      <c r="AQ830" s="57"/>
      <c r="AR830" s="57"/>
      <c r="AS830" s="57"/>
      <c r="AT830" s="57"/>
      <c r="AU830" s="57"/>
      <c r="AV830" s="57"/>
      <c r="AW830" s="57"/>
      <c r="AX830" s="57"/>
      <c r="AY830" s="57"/>
      <c r="AZ830" s="57"/>
      <c r="BA830" s="57"/>
      <c r="BB830" s="57"/>
      <c r="BC830" s="57"/>
      <c r="BD830" s="57"/>
      <c r="BE830" s="57"/>
      <c r="BF830" s="57"/>
    </row>
    <row r="831" spans="1:58" ht="24" customHeight="1">
      <c r="A831" s="176"/>
      <c r="B831" s="57"/>
      <c r="C831" s="754" t="s">
        <v>2611</v>
      </c>
      <c r="D831" s="754"/>
      <c r="E831" s="754"/>
      <c r="F831" s="754"/>
      <c r="G831" s="754"/>
      <c r="H831" s="754"/>
      <c r="I831" s="754"/>
      <c r="J831" s="754"/>
      <c r="K831" s="754"/>
      <c r="L831" s="754"/>
      <c r="M831" s="754"/>
      <c r="N831" s="754"/>
      <c r="O831" s="754"/>
      <c r="P831" s="754"/>
      <c r="Q831" s="754"/>
      <c r="R831" s="754"/>
      <c r="S831" s="754"/>
      <c r="T831" s="754"/>
      <c r="U831" s="754"/>
      <c r="V831" s="754"/>
      <c r="W831" s="754"/>
      <c r="X831" s="754"/>
      <c r="Y831" s="754"/>
      <c r="Z831" s="754"/>
      <c r="AA831" s="754"/>
      <c r="AB831" s="754"/>
      <c r="AC831" s="754"/>
      <c r="AD831" s="754"/>
      <c r="AG831" s="57"/>
      <c r="AH831" s="57"/>
      <c r="AI831" s="57"/>
      <c r="AJ831" s="57"/>
      <c r="AK831" t="s">
        <v>2652</v>
      </c>
      <c r="AL831" s="507">
        <f>IF(AN830&gt;0,IF(SUM(S829)&gt;=SUM(V829,Y829,AB829),0,1),IF(SUM(S829)&lt;&gt;SUM(V829,Y829,AB829),1,0))</f>
        <v>0</v>
      </c>
      <c r="AM831" t="s">
        <v>2653</v>
      </c>
      <c r="AN831" s="507">
        <f>IF(AN830&gt;0,IF(SUM(T829)&gt;=SUM(W829,Z829,AC829),0,1),IF(SUM(T829)&lt;&gt;SUM(W829,Z829,AC829),1,0))</f>
        <v>0</v>
      </c>
      <c r="AO831" t="s">
        <v>2654</v>
      </c>
      <c r="AP831" s="507">
        <f>IF(AN830&gt;0,IF(SUM(U829)&gt;=SUM(X829,AA829,AD829),0,1),IF(SUM(U829)&lt;&gt;SUM(X829,AA829,AD829),1,0))</f>
        <v>0</v>
      </c>
      <c r="AQ831" s="57"/>
      <c r="AR831" s="57"/>
      <c r="AS831" s="57"/>
      <c r="AT831" s="57"/>
      <c r="AU831" s="57"/>
      <c r="AV831" s="57"/>
      <c r="AW831" s="57"/>
      <c r="AX831" s="57"/>
      <c r="AY831" s="57"/>
      <c r="AZ831" s="57"/>
      <c r="BA831" s="57"/>
      <c r="BB831" s="57"/>
      <c r="BC831" s="57"/>
      <c r="BD831" s="57"/>
      <c r="BE831" s="57"/>
      <c r="BF831" s="57"/>
    </row>
    <row r="832" spans="1:58" ht="60" customHeight="1">
      <c r="A832" s="176"/>
      <c r="B832" s="57"/>
      <c r="C832" s="851"/>
      <c r="D832" s="851"/>
      <c r="E832" s="851"/>
      <c r="F832" s="851"/>
      <c r="G832" s="851"/>
      <c r="H832" s="851"/>
      <c r="I832" s="851"/>
      <c r="J832" s="851"/>
      <c r="K832" s="851"/>
      <c r="L832" s="851"/>
      <c r="M832" s="851"/>
      <c r="N832" s="851"/>
      <c r="O832" s="851"/>
      <c r="P832" s="851"/>
      <c r="Q832" s="851"/>
      <c r="R832" s="851"/>
      <c r="S832" s="851"/>
      <c r="T832" s="851"/>
      <c r="U832" s="851"/>
      <c r="V832" s="851"/>
      <c r="W832" s="851"/>
      <c r="X832" s="851"/>
      <c r="Y832" s="851"/>
      <c r="Z832" s="851"/>
      <c r="AA832" s="851"/>
      <c r="AB832" s="851"/>
      <c r="AC832" s="851"/>
      <c r="AD832" s="851"/>
    </row>
    <row r="833" spans="1:43" ht="15" customHeight="1">
      <c r="A833" s="176"/>
      <c r="B833" s="794" t="str">
        <f>IF(AG829=0,"","Favor de ingresar toda la información requerida en la pregunta")</f>
        <v/>
      </c>
      <c r="C833" s="794"/>
      <c r="D833" s="794"/>
      <c r="E833" s="794"/>
      <c r="F833" s="794"/>
      <c r="G833" s="794"/>
      <c r="H833" s="794"/>
      <c r="I833" s="794"/>
      <c r="J833" s="794"/>
      <c r="K833" s="794"/>
      <c r="L833" s="794"/>
      <c r="M833" s="794"/>
      <c r="N833" s="794"/>
      <c r="O833" s="794"/>
      <c r="P833" s="794"/>
      <c r="Q833" s="794"/>
      <c r="R833" s="794"/>
      <c r="S833" s="794"/>
      <c r="T833" s="794"/>
      <c r="U833" s="794"/>
      <c r="V833" s="794"/>
      <c r="W833" s="794"/>
      <c r="X833" s="794"/>
      <c r="Y833" s="794"/>
      <c r="Z833" s="794"/>
      <c r="AA833" s="794"/>
      <c r="AB833" s="794"/>
      <c r="AC833" s="794"/>
      <c r="AD833" s="794"/>
      <c r="AE833" s="794"/>
    </row>
    <row r="834" spans="1:43" ht="15" customHeight="1">
      <c r="A834" s="176"/>
      <c r="B834" s="1087" t="str">
        <f>IF(COUNTIF(S821:AD828,"NS")&lt;&gt;0,"Alerta: debido a que cuenta con registros NS, debe proporcionar una justificación en el area de comentarios al final de la pregunta","")</f>
        <v/>
      </c>
      <c r="C834" s="1087"/>
      <c r="D834" s="1087"/>
      <c r="E834" s="1087"/>
      <c r="F834" s="1087"/>
      <c r="G834" s="1087"/>
      <c r="H834" s="1087"/>
      <c r="I834" s="1087"/>
      <c r="J834" s="1087"/>
      <c r="K834" s="1087"/>
      <c r="L834" s="1087"/>
      <c r="M834" s="1087"/>
      <c r="N834" s="1087"/>
      <c r="O834" s="1087"/>
      <c r="P834" s="1087"/>
      <c r="Q834" s="1087"/>
      <c r="R834" s="1087"/>
      <c r="S834" s="1087"/>
      <c r="T834" s="1087"/>
      <c r="U834" s="1087"/>
      <c r="V834" s="1087"/>
      <c r="W834" s="1087"/>
      <c r="X834" s="1087"/>
      <c r="Y834" s="1087"/>
      <c r="Z834" s="1087"/>
      <c r="AA834" s="1087"/>
      <c r="AB834" s="1087"/>
      <c r="AC834" s="1087"/>
      <c r="AD834" s="1087"/>
      <c r="AE834" s="1087"/>
    </row>
    <row r="835" spans="1:43" ht="15" customHeight="1">
      <c r="A835" s="176"/>
      <c r="B835" s="1003" t="str">
        <f>IF(AH829&gt;0,"Revise la información capturada, ya que tiene datos ingresados en celdas que están sombreadas","")</f>
        <v/>
      </c>
      <c r="C835" s="1003"/>
      <c r="D835" s="1003"/>
      <c r="E835" s="1003"/>
      <c r="F835" s="1003"/>
      <c r="G835" s="1003"/>
      <c r="H835" s="1003"/>
      <c r="I835" s="1003"/>
      <c r="J835" s="1003"/>
      <c r="K835" s="1003"/>
      <c r="L835" s="1003"/>
      <c r="M835" s="1003"/>
      <c r="N835" s="1003"/>
      <c r="O835" s="1003"/>
      <c r="P835" s="1003"/>
      <c r="Q835" s="1003"/>
      <c r="R835" s="1003"/>
      <c r="S835" s="1003"/>
      <c r="T835" s="1003"/>
      <c r="U835" s="1003"/>
      <c r="V835" s="1003"/>
      <c r="W835" s="1003"/>
      <c r="X835" s="1003"/>
      <c r="Y835" s="1003"/>
      <c r="Z835" s="1003"/>
      <c r="AA835" s="1003"/>
      <c r="AB835" s="1003"/>
      <c r="AC835" s="1003"/>
      <c r="AD835" s="1003"/>
      <c r="AE835" s="1003"/>
    </row>
    <row r="836" spans="1:43" ht="15" customHeight="1">
      <c r="A836" s="176"/>
      <c r="B836" s="1003" t="str">
        <f>IF(OR(AL830&gt;0,AL831&gt;0,AN831&gt;0,AP831&gt;0),"Favor de revisar la suma y consistencia de totales y/o subtotales por filas (numéricos y NS)","")</f>
        <v/>
      </c>
      <c r="C836" s="1003"/>
      <c r="D836" s="1003"/>
      <c r="E836" s="1003"/>
      <c r="F836" s="1003"/>
      <c r="G836" s="1003"/>
      <c r="H836" s="1003"/>
      <c r="I836" s="1003"/>
      <c r="J836" s="1003"/>
      <c r="K836" s="1003"/>
      <c r="L836" s="1003"/>
      <c r="M836" s="1003"/>
      <c r="N836" s="1003"/>
      <c r="O836" s="1003"/>
      <c r="P836" s="1003"/>
      <c r="Q836" s="1003"/>
      <c r="R836" s="1003"/>
      <c r="S836" s="1003"/>
      <c r="T836" s="1003"/>
      <c r="U836" s="1003"/>
      <c r="V836" s="1003"/>
      <c r="W836" s="1003"/>
      <c r="X836" s="1003"/>
      <c r="Y836" s="1003"/>
      <c r="Z836" s="1003"/>
      <c r="AA836" s="1003"/>
      <c r="AB836" s="1003"/>
      <c r="AC836" s="1003"/>
      <c r="AD836" s="1003"/>
      <c r="AE836" s="1003"/>
    </row>
    <row r="837" spans="1:43" ht="15" customHeight="1">
      <c r="A837" s="176"/>
      <c r="B837" s="1003" t="str">
        <f>IF(BF829=0,"","Las cantidades de Hombres y Mujeres por centro especializado debe corresponder con los datos reportados en la preg. 8.1")</f>
        <v/>
      </c>
      <c r="C837" s="1003"/>
      <c r="D837" s="1003"/>
      <c r="E837" s="1003"/>
      <c r="F837" s="1003"/>
      <c r="G837" s="1003"/>
      <c r="H837" s="1003"/>
      <c r="I837" s="1003"/>
      <c r="J837" s="1003"/>
      <c r="K837" s="1003"/>
      <c r="L837" s="1003"/>
      <c r="M837" s="1003"/>
      <c r="N837" s="1003"/>
      <c r="O837" s="1003"/>
      <c r="P837" s="1003"/>
      <c r="Q837" s="1003"/>
      <c r="R837" s="1003"/>
      <c r="S837" s="1003"/>
      <c r="T837" s="1003"/>
      <c r="U837" s="1003"/>
      <c r="V837" s="1003"/>
      <c r="W837" s="1003"/>
      <c r="X837" s="1003"/>
      <c r="Y837" s="1003"/>
      <c r="Z837" s="1003"/>
      <c r="AA837" s="1003"/>
      <c r="AB837" s="1003"/>
      <c r="AC837" s="1003"/>
      <c r="AD837" s="1003"/>
      <c r="AE837" s="1003"/>
    </row>
    <row r="838" spans="1:43" ht="15" customHeight="1">
      <c r="A838" s="176"/>
      <c r="B838" s="57"/>
      <c r="C838" s="57"/>
      <c r="D838" s="57"/>
      <c r="E838" s="57"/>
      <c r="F838" s="57"/>
      <c r="G838" s="57"/>
      <c r="H838" s="57"/>
      <c r="I838" s="57"/>
      <c r="J838" s="57"/>
      <c r="K838" s="57"/>
      <c r="L838" s="57"/>
      <c r="M838" s="57"/>
      <c r="N838" s="57"/>
      <c r="O838" s="57"/>
      <c r="P838" s="57"/>
      <c r="Q838" s="57"/>
      <c r="R838" s="57"/>
      <c r="S838" s="57"/>
      <c r="T838" s="57"/>
      <c r="U838" s="57"/>
      <c r="V838" s="57"/>
      <c r="W838" s="57"/>
      <c r="X838" s="57"/>
      <c r="Y838" s="57"/>
      <c r="Z838" s="57"/>
      <c r="AA838" s="57"/>
      <c r="AB838" s="57"/>
      <c r="AC838" s="57"/>
      <c r="AD838" s="57"/>
    </row>
    <row r="839" spans="1:43" ht="36" customHeight="1">
      <c r="A839" s="49" t="s">
        <v>5375</v>
      </c>
      <c r="B839" s="829" t="s">
        <v>5376</v>
      </c>
      <c r="C839" s="829"/>
      <c r="D839" s="829"/>
      <c r="E839" s="829"/>
      <c r="F839" s="829"/>
      <c r="G839" s="829"/>
      <c r="H839" s="829"/>
      <c r="I839" s="829"/>
      <c r="J839" s="829"/>
      <c r="K839" s="829"/>
      <c r="L839" s="829"/>
      <c r="M839" s="829"/>
      <c r="N839" s="829"/>
      <c r="O839" s="829"/>
      <c r="P839" s="829"/>
      <c r="Q839" s="829"/>
      <c r="R839" s="829"/>
      <c r="S839" s="829"/>
      <c r="T839" s="829"/>
      <c r="U839" s="829"/>
      <c r="V839" s="829"/>
      <c r="W839" s="829"/>
      <c r="X839" s="829"/>
      <c r="Y839" s="829"/>
      <c r="Z839" s="829"/>
      <c r="AA839" s="829"/>
      <c r="AB839" s="829"/>
      <c r="AC839" s="829"/>
      <c r="AD839" s="829"/>
    </row>
    <row r="840" spans="1:43" ht="24" customHeight="1">
      <c r="A840" s="49"/>
      <c r="B840" s="105"/>
      <c r="C840" s="754" t="s">
        <v>5377</v>
      </c>
      <c r="D840" s="754"/>
      <c r="E840" s="754"/>
      <c r="F840" s="754"/>
      <c r="G840" s="754"/>
      <c r="H840" s="754"/>
      <c r="I840" s="754"/>
      <c r="J840" s="754"/>
      <c r="K840" s="754"/>
      <c r="L840" s="754"/>
      <c r="M840" s="754"/>
      <c r="N840" s="754"/>
      <c r="O840" s="754"/>
      <c r="P840" s="754"/>
      <c r="Q840" s="754"/>
      <c r="R840" s="754"/>
      <c r="S840" s="754"/>
      <c r="T840" s="754"/>
      <c r="U840" s="754"/>
      <c r="V840" s="754"/>
      <c r="W840" s="754"/>
      <c r="X840" s="754"/>
      <c r="Y840" s="754"/>
      <c r="Z840" s="754"/>
      <c r="AA840" s="754"/>
      <c r="AB840" s="754"/>
      <c r="AC840" s="754"/>
      <c r="AD840" s="754"/>
    </row>
    <row r="841" spans="1:43" ht="48" customHeight="1">
      <c r="A841" s="142"/>
      <c r="B841" s="57"/>
      <c r="C841" s="830" t="s">
        <v>5378</v>
      </c>
      <c r="D841" s="830"/>
      <c r="E841" s="830"/>
      <c r="F841" s="830"/>
      <c r="G841" s="830"/>
      <c r="H841" s="830"/>
      <c r="I841" s="830"/>
      <c r="J841" s="830"/>
      <c r="K841" s="830"/>
      <c r="L841" s="830"/>
      <c r="M841" s="830"/>
      <c r="N841" s="830"/>
      <c r="O841" s="830"/>
      <c r="P841" s="830"/>
      <c r="Q841" s="830"/>
      <c r="R841" s="830"/>
      <c r="S841" s="830"/>
      <c r="T841" s="830"/>
      <c r="U841" s="830"/>
      <c r="V841" s="830"/>
      <c r="W841" s="830"/>
      <c r="X841" s="830"/>
      <c r="Y841" s="830"/>
      <c r="Z841" s="830"/>
      <c r="AA841" s="830"/>
      <c r="AB841" s="830"/>
      <c r="AC841" s="830"/>
      <c r="AD841" s="830"/>
    </row>
    <row r="842" spans="1:43" ht="48" customHeight="1">
      <c r="A842" s="142"/>
      <c r="B842" s="57"/>
      <c r="C842" s="754" t="s">
        <v>5379</v>
      </c>
      <c r="D842" s="754"/>
      <c r="E842" s="754"/>
      <c r="F842" s="754"/>
      <c r="G842" s="754"/>
      <c r="H842" s="754"/>
      <c r="I842" s="754"/>
      <c r="J842" s="754"/>
      <c r="K842" s="754"/>
      <c r="L842" s="754"/>
      <c r="M842" s="754"/>
      <c r="N842" s="754"/>
      <c r="O842" s="754"/>
      <c r="P842" s="754"/>
      <c r="Q842" s="754"/>
      <c r="R842" s="754"/>
      <c r="S842" s="754"/>
      <c r="T842" s="754"/>
      <c r="U842" s="754"/>
      <c r="V842" s="754"/>
      <c r="W842" s="754"/>
      <c r="X842" s="754"/>
      <c r="Y842" s="754"/>
      <c r="Z842" s="754"/>
      <c r="AA842" s="754"/>
      <c r="AB842" s="754"/>
      <c r="AC842" s="754"/>
      <c r="AD842" s="754"/>
    </row>
    <row r="843" spans="1:43" ht="15" customHeight="1">
      <c r="A843" s="176"/>
      <c r="B843" s="57"/>
      <c r="C843" s="57"/>
      <c r="D843" s="57"/>
      <c r="E843" s="57"/>
      <c r="F843" s="57"/>
      <c r="G843" s="57"/>
      <c r="H843" s="57"/>
      <c r="I843" s="57"/>
      <c r="J843" s="57"/>
      <c r="K843" s="57"/>
      <c r="L843" s="57"/>
      <c r="M843" s="57"/>
      <c r="N843" s="57"/>
      <c r="O843" s="57"/>
      <c r="P843" s="57"/>
      <c r="Q843" s="57"/>
      <c r="R843" s="57"/>
      <c r="S843" s="57"/>
      <c r="T843" s="57"/>
      <c r="U843" s="57"/>
      <c r="V843" s="57"/>
      <c r="W843" s="57"/>
      <c r="X843" s="57"/>
      <c r="Y843" s="57"/>
      <c r="Z843" s="57"/>
      <c r="AA843" s="57"/>
      <c r="AB843" s="57"/>
      <c r="AC843" s="57"/>
      <c r="AD843" s="57"/>
    </row>
    <row r="844" spans="1:43" ht="24" customHeight="1">
      <c r="A844" s="176"/>
      <c r="B844" s="57"/>
      <c r="C844" s="797" t="s">
        <v>5380</v>
      </c>
      <c r="D844" s="798"/>
      <c r="E844" s="798"/>
      <c r="F844" s="798"/>
      <c r="G844" s="798"/>
      <c r="H844" s="798"/>
      <c r="I844" s="798"/>
      <c r="J844" s="798"/>
      <c r="K844" s="798"/>
      <c r="L844" s="799"/>
      <c r="M844" s="732" t="s">
        <v>5381</v>
      </c>
      <c r="N844" s="732"/>
      <c r="O844" s="732"/>
      <c r="P844" s="732"/>
      <c r="Q844" s="732"/>
      <c r="R844" s="732"/>
      <c r="S844" s="732"/>
      <c r="T844" s="732"/>
      <c r="U844" s="732"/>
      <c r="V844" s="732"/>
      <c r="W844" s="732"/>
      <c r="X844" s="732"/>
      <c r="Y844" s="732"/>
      <c r="Z844" s="732"/>
      <c r="AA844" s="732"/>
      <c r="AB844" s="732"/>
      <c r="AC844" s="732"/>
      <c r="AD844" s="732"/>
    </row>
    <row r="845" spans="1:43" ht="15" customHeight="1">
      <c r="A845" s="176"/>
      <c r="B845" s="57"/>
      <c r="C845" s="803"/>
      <c r="D845" s="804"/>
      <c r="E845" s="804"/>
      <c r="F845" s="804"/>
      <c r="G845" s="804"/>
      <c r="H845" s="804"/>
      <c r="I845" s="804"/>
      <c r="J845" s="804"/>
      <c r="K845" s="804"/>
      <c r="L845" s="805"/>
      <c r="M845" s="987" t="s">
        <v>2628</v>
      </c>
      <c r="N845" s="988"/>
      <c r="O845" s="988"/>
      <c r="P845" s="988"/>
      <c r="Q845" s="988"/>
      <c r="R845" s="988"/>
      <c r="S845" s="989" t="s">
        <v>2629</v>
      </c>
      <c r="T845" s="990"/>
      <c r="U845" s="990"/>
      <c r="V845" s="990"/>
      <c r="W845" s="990"/>
      <c r="X845" s="990"/>
      <c r="Y845" s="989" t="s">
        <v>2630</v>
      </c>
      <c r="Z845" s="990"/>
      <c r="AA845" s="990"/>
      <c r="AB845" s="990"/>
      <c r="AC845" s="990"/>
      <c r="AD845" s="990"/>
      <c r="AG845" t="s">
        <v>2586</v>
      </c>
      <c r="AH845" t="s">
        <v>4599</v>
      </c>
      <c r="AI845" t="s">
        <v>2590</v>
      </c>
      <c r="AJ845" t="s">
        <v>3163</v>
      </c>
      <c r="AK845" t="s">
        <v>4564</v>
      </c>
      <c r="AL845" t="s">
        <v>5290</v>
      </c>
      <c r="AM845"/>
      <c r="AN845"/>
      <c r="AO845" t="s">
        <v>5291</v>
      </c>
      <c r="AP845"/>
      <c r="AQ845"/>
    </row>
    <row r="846" spans="1:43" ht="15" customHeight="1">
      <c r="A846" s="176"/>
      <c r="B846" s="57"/>
      <c r="C846" s="97" t="s">
        <v>2516</v>
      </c>
      <c r="D846" s="813" t="s">
        <v>5382</v>
      </c>
      <c r="E846" s="814"/>
      <c r="F846" s="814"/>
      <c r="G846" s="814"/>
      <c r="H846" s="814"/>
      <c r="I846" s="814"/>
      <c r="J846" s="814"/>
      <c r="K846" s="814"/>
      <c r="L846" s="815"/>
      <c r="M846" s="749"/>
      <c r="N846" s="749"/>
      <c r="O846" s="749"/>
      <c r="P846" s="749"/>
      <c r="Q846" s="749"/>
      <c r="R846" s="749"/>
      <c r="S846" s="749"/>
      <c r="T846" s="749"/>
      <c r="U846" s="749"/>
      <c r="V846" s="749"/>
      <c r="W846" s="749"/>
      <c r="X846" s="749"/>
      <c r="Y846" s="749"/>
      <c r="Z846" s="749"/>
      <c r="AA846" s="749"/>
      <c r="AB846" s="749"/>
      <c r="AC846" s="749"/>
      <c r="AD846" s="749"/>
      <c r="AG846" s="506">
        <f>IF(OR($V$829=0,$V$829="NS",$V$829="NA"),0,IF(COUNTBLANK(M846:AD864)=285,0,1))</f>
        <v>0</v>
      </c>
      <c r="AH846" s="506">
        <f>IF(OR($V$829=0,$V$829="NS",$V$829="NA"),IF(COUNTBLANK(M846:AD864)=342,0,1),0)</f>
        <v>0</v>
      </c>
      <c r="AI846">
        <f t="shared" ref="AI846" si="775">COUNTIF(S846:AD846,"NS")</f>
        <v>0</v>
      </c>
      <c r="AJ846">
        <f t="shared" ref="AJ846" si="776">SUM(S846:AD846)</f>
        <v>0</v>
      </c>
      <c r="AK846">
        <f t="shared" ref="AK846" si="777">IF(COUNTIF(M846:AD846,"NA")=3,0,IF(COUNTA(M846:AD846)=0,0,IF(OR(AND(M846=0,AI846&gt;0),AND(M846="ns",AJ846&gt;0),AND(M846="ns",AI846=0,AJ846=0)),1,IF(OR(AND(M846&gt;0,AI846=2),AND(M846="ns",AI846=2),AND(M846="ns",AJ846=0,AI846&gt;0),M846=AJ846),0,1))))</f>
        <v>0</v>
      </c>
      <c r="AL846" cm="1">
        <f t="array" ref="AL846">IF(OR(M846={"NS","NA"},$V$829={"NS","NA"}),0,IF(M846&lt;=$V$829,0,1))</f>
        <v>0</v>
      </c>
      <c r="AM846" cm="1">
        <f t="array" ref="AM846">IF(OR(S846={"NS","NA"},$W$829={"NS","NA"}),0,IF(S846&lt;=$W$829,0,1))</f>
        <v>0</v>
      </c>
      <c r="AN846" cm="1">
        <f t="array" ref="AN846">IF(OR(Y846={"NS","NA"},$X$829={"NS","NA"}),0,IF(Y846&lt;=$X$829,0,1))</f>
        <v>0</v>
      </c>
      <c r="AO846" cm="1">
        <f t="array" ref="AO846">IF(OR(M865={"NS","NA"},$V$829={"NS","NA"}),0,IF(M865&gt;=$V$829,0,1))</f>
        <v>0</v>
      </c>
      <c r="AP846" cm="1">
        <f t="array" ref="AP846">IF(OR(S865={"NS","NA"},$W$829={"NS","NA"}),0,IF(S865&gt;=$W$829,0,1))</f>
        <v>0</v>
      </c>
      <c r="AQ846" cm="1">
        <f t="array" ref="AQ846">IF(OR(Y865={"NS","NA"},$X$829={"NS","NA"}),0,IF(Y865&gt;=$X$829,0,1))</f>
        <v>0</v>
      </c>
    </row>
    <row r="847" spans="1:43" ht="15" customHeight="1">
      <c r="A847" s="176"/>
      <c r="B847" s="57"/>
      <c r="C847" s="98" t="s">
        <v>2517</v>
      </c>
      <c r="D847" s="813" t="s">
        <v>5383</v>
      </c>
      <c r="E847" s="814"/>
      <c r="F847" s="814"/>
      <c r="G847" s="814"/>
      <c r="H847" s="814"/>
      <c r="I847" s="814"/>
      <c r="J847" s="814"/>
      <c r="K847" s="814"/>
      <c r="L847" s="815"/>
      <c r="M847" s="749"/>
      <c r="N847" s="749"/>
      <c r="O847" s="749"/>
      <c r="P847" s="749"/>
      <c r="Q847" s="749"/>
      <c r="R847" s="749"/>
      <c r="S847" s="749"/>
      <c r="T847" s="749"/>
      <c r="U847" s="749"/>
      <c r="V847" s="749"/>
      <c r="W847" s="749"/>
      <c r="X847" s="749"/>
      <c r="Y847" s="749"/>
      <c r="Z847" s="749"/>
      <c r="AA847" s="749"/>
      <c r="AB847" s="749"/>
      <c r="AC847" s="749"/>
      <c r="AD847" s="749"/>
      <c r="AI847">
        <f t="shared" ref="AI847:AI864" si="778">COUNTIF(S847:AD847,"NS")</f>
        <v>0</v>
      </c>
      <c r="AJ847">
        <f t="shared" ref="AJ847:AJ864" si="779">SUM(S847:AD847)</f>
        <v>0</v>
      </c>
      <c r="AK847">
        <f t="shared" ref="AK847:AK864" si="780">IF(COUNTIF(M847:AD847,"NA")=3,0,IF(COUNTA(M847:AD847)=0,0,IF(OR(AND(M847=0,AI847&gt;0),AND(M847="ns",AJ847&gt;0),AND(M847="ns",AI847=0,AJ847=0)),1,IF(OR(AND(M847&gt;0,AI847=2),AND(M847="ns",AI847=2),AND(M847="ns",AJ847=0,AI847&gt;0),M847=AJ847),0,1))))</f>
        <v>0</v>
      </c>
      <c r="AL847" cm="1">
        <f t="array" ref="AL847">IF(OR(M847={"NS","NA"},$V$829={"NS","NA"}),0,IF(M847&lt;=$V$829,0,1))</f>
        <v>0</v>
      </c>
      <c r="AM847" cm="1">
        <f t="array" ref="AM847">IF(OR(S847={"NS","NA"},$W$829={"NS","NA"}),0,IF(S847&lt;=$W$829,0,1))</f>
        <v>0</v>
      </c>
      <c r="AN847" cm="1">
        <f t="array" ref="AN847">IF(OR(Y847={"NS","NA"},$X$829={"NS","NA"}),0,IF(Y847&lt;=$X$829,0,1))</f>
        <v>0</v>
      </c>
      <c r="AQ847" s="506">
        <f>IF(OR($V$829=0,$V$829="NS",$V$829="NA"),0,SUM(AO846:AQ846))</f>
        <v>0</v>
      </c>
    </row>
    <row r="848" spans="1:43" ht="15" customHeight="1">
      <c r="A848" s="176"/>
      <c r="B848" s="57"/>
      <c r="C848" s="98" t="s">
        <v>2518</v>
      </c>
      <c r="D848" s="813" t="s">
        <v>5384</v>
      </c>
      <c r="E848" s="814"/>
      <c r="F848" s="814"/>
      <c r="G848" s="814"/>
      <c r="H848" s="814"/>
      <c r="I848" s="814"/>
      <c r="J848" s="814"/>
      <c r="K848" s="814"/>
      <c r="L848" s="815"/>
      <c r="M848" s="749"/>
      <c r="N848" s="749"/>
      <c r="O848" s="749"/>
      <c r="P848" s="749"/>
      <c r="Q848" s="749"/>
      <c r="R848" s="749"/>
      <c r="S848" s="749"/>
      <c r="T848" s="749"/>
      <c r="U848" s="749"/>
      <c r="V848" s="749"/>
      <c r="W848" s="749"/>
      <c r="X848" s="749"/>
      <c r="Y848" s="749"/>
      <c r="Z848" s="749"/>
      <c r="AA848" s="749"/>
      <c r="AB848" s="749"/>
      <c r="AC848" s="749"/>
      <c r="AD848" s="749"/>
      <c r="AI848">
        <f t="shared" si="778"/>
        <v>0</v>
      </c>
      <c r="AJ848">
        <f t="shared" si="779"/>
        <v>0</v>
      </c>
      <c r="AK848">
        <f t="shared" si="780"/>
        <v>0</v>
      </c>
      <c r="AL848" cm="1">
        <f t="array" ref="AL848">IF(OR(M848={"NS","NA"},$V$829={"NS","NA"}),0,IF(M848&lt;=$V$829,0,1))</f>
        <v>0</v>
      </c>
      <c r="AM848" cm="1">
        <f t="array" ref="AM848">IF(OR(S848={"NS","NA"},$W$829={"NS","NA"}),0,IF(S848&lt;=$W$829,0,1))</f>
        <v>0</v>
      </c>
      <c r="AN848" cm="1">
        <f t="array" ref="AN848">IF(OR(Y848={"NS","NA"},$X$829={"NS","NA"}),0,IF(Y848&lt;=$X$829,0,1))</f>
        <v>0</v>
      </c>
    </row>
    <row r="849" spans="1:43" ht="15" customHeight="1">
      <c r="A849" s="176"/>
      <c r="B849" s="57"/>
      <c r="C849" s="98" t="s">
        <v>2519</v>
      </c>
      <c r="D849" s="813" t="s">
        <v>5385</v>
      </c>
      <c r="E849" s="814"/>
      <c r="F849" s="814"/>
      <c r="G849" s="814"/>
      <c r="H849" s="814"/>
      <c r="I849" s="814"/>
      <c r="J849" s="814"/>
      <c r="K849" s="814"/>
      <c r="L849" s="815"/>
      <c r="M849" s="749"/>
      <c r="N849" s="749"/>
      <c r="O849" s="749"/>
      <c r="P849" s="749"/>
      <c r="Q849" s="749"/>
      <c r="R849" s="749"/>
      <c r="S849" s="749"/>
      <c r="T849" s="749"/>
      <c r="U849" s="749"/>
      <c r="V849" s="749"/>
      <c r="W849" s="749"/>
      <c r="X849" s="749"/>
      <c r="Y849" s="749"/>
      <c r="Z849" s="749"/>
      <c r="AA849" s="749"/>
      <c r="AB849" s="749"/>
      <c r="AC849" s="749"/>
      <c r="AD849" s="749"/>
      <c r="AI849">
        <f t="shared" si="778"/>
        <v>0</v>
      </c>
      <c r="AJ849">
        <f t="shared" si="779"/>
        <v>0</v>
      </c>
      <c r="AK849">
        <f t="shared" si="780"/>
        <v>0</v>
      </c>
      <c r="AL849" cm="1">
        <f t="array" ref="AL849">IF(OR(M849={"NS","NA"},$V$829={"NS","NA"}),0,IF(M849&lt;=$V$829,0,1))</f>
        <v>0</v>
      </c>
      <c r="AM849" cm="1">
        <f t="array" ref="AM849">IF(OR(S849={"NS","NA"},$W$829={"NS","NA"}),0,IF(S849&lt;=$W$829,0,1))</f>
        <v>0</v>
      </c>
      <c r="AN849" cm="1">
        <f t="array" ref="AN849">IF(OR(Y849={"NS","NA"},$X$829={"NS","NA"}),0,IF(Y849&lt;=$X$829,0,1))</f>
        <v>0</v>
      </c>
    </row>
    <row r="850" spans="1:43" ht="15" customHeight="1">
      <c r="A850" s="176"/>
      <c r="B850" s="57"/>
      <c r="C850" s="98" t="s">
        <v>2520</v>
      </c>
      <c r="D850" s="813" t="s">
        <v>5386</v>
      </c>
      <c r="E850" s="814"/>
      <c r="F850" s="814"/>
      <c r="G850" s="814"/>
      <c r="H850" s="814"/>
      <c r="I850" s="814"/>
      <c r="J850" s="814"/>
      <c r="K850" s="814"/>
      <c r="L850" s="815"/>
      <c r="M850" s="749"/>
      <c r="N850" s="749"/>
      <c r="O850" s="749"/>
      <c r="P850" s="749"/>
      <c r="Q850" s="749"/>
      <c r="R850" s="749"/>
      <c r="S850" s="749"/>
      <c r="T850" s="749"/>
      <c r="U850" s="749"/>
      <c r="V850" s="749"/>
      <c r="W850" s="749"/>
      <c r="X850" s="749"/>
      <c r="Y850" s="749"/>
      <c r="Z850" s="749"/>
      <c r="AA850" s="749"/>
      <c r="AB850" s="749"/>
      <c r="AC850" s="749"/>
      <c r="AD850" s="749"/>
      <c r="AI850">
        <f t="shared" si="778"/>
        <v>0</v>
      </c>
      <c r="AJ850">
        <f t="shared" si="779"/>
        <v>0</v>
      </c>
      <c r="AK850">
        <f t="shared" si="780"/>
        <v>0</v>
      </c>
      <c r="AL850" cm="1">
        <f t="array" ref="AL850">IF(OR(M850={"NS","NA"},$V$829={"NS","NA"}),0,IF(M850&lt;=$V$829,0,1))</f>
        <v>0</v>
      </c>
      <c r="AM850" cm="1">
        <f t="array" ref="AM850">IF(OR(S850={"NS","NA"},$W$829={"NS","NA"}),0,IF(S850&lt;=$W$829,0,1))</f>
        <v>0</v>
      </c>
      <c r="AN850" cm="1">
        <f t="array" ref="AN850">IF(OR(Y850={"NS","NA"},$X$829={"NS","NA"}),0,IF(Y850&lt;=$X$829,0,1))</f>
        <v>0</v>
      </c>
    </row>
    <row r="851" spans="1:43" ht="15" customHeight="1">
      <c r="A851" s="176"/>
      <c r="B851" s="57"/>
      <c r="C851" s="98" t="s">
        <v>2521</v>
      </c>
      <c r="D851" s="813" t="s">
        <v>5387</v>
      </c>
      <c r="E851" s="814"/>
      <c r="F851" s="814"/>
      <c r="G851" s="814"/>
      <c r="H851" s="814"/>
      <c r="I851" s="814"/>
      <c r="J851" s="814"/>
      <c r="K851" s="814"/>
      <c r="L851" s="815"/>
      <c r="M851" s="749"/>
      <c r="N851" s="749"/>
      <c r="O851" s="749"/>
      <c r="P851" s="749"/>
      <c r="Q851" s="749"/>
      <c r="R851" s="749"/>
      <c r="S851" s="749"/>
      <c r="T851" s="749"/>
      <c r="U851" s="749"/>
      <c r="V851" s="749"/>
      <c r="W851" s="749"/>
      <c r="X851" s="749"/>
      <c r="Y851" s="749"/>
      <c r="Z851" s="749"/>
      <c r="AA851" s="749"/>
      <c r="AB851" s="749"/>
      <c r="AC851" s="749"/>
      <c r="AD851" s="749"/>
      <c r="AI851">
        <f t="shared" si="778"/>
        <v>0</v>
      </c>
      <c r="AJ851">
        <f t="shared" si="779"/>
        <v>0</v>
      </c>
      <c r="AK851">
        <f t="shared" si="780"/>
        <v>0</v>
      </c>
      <c r="AL851" cm="1">
        <f t="array" ref="AL851">IF(OR(M851={"NS","NA"},$V$829={"NS","NA"}),0,IF(M851&lt;=$V$829,0,1))</f>
        <v>0</v>
      </c>
      <c r="AM851" cm="1">
        <f t="array" ref="AM851">IF(OR(S851={"NS","NA"},$W$829={"NS","NA"}),0,IF(S851&lt;=$W$829,0,1))</f>
        <v>0</v>
      </c>
      <c r="AN851" cm="1">
        <f t="array" ref="AN851">IF(OR(Y851={"NS","NA"},$X$829={"NS","NA"}),0,IF(Y851&lt;=$X$829,0,1))</f>
        <v>0</v>
      </c>
    </row>
    <row r="852" spans="1:43" ht="15" customHeight="1">
      <c r="A852" s="176"/>
      <c r="B852" s="57"/>
      <c r="C852" s="98" t="s">
        <v>2522</v>
      </c>
      <c r="D852" s="813" t="s">
        <v>5388</v>
      </c>
      <c r="E852" s="814"/>
      <c r="F852" s="814"/>
      <c r="G852" s="814"/>
      <c r="H852" s="814"/>
      <c r="I852" s="814"/>
      <c r="J852" s="814"/>
      <c r="K852" s="814"/>
      <c r="L852" s="815"/>
      <c r="M852" s="749"/>
      <c r="N852" s="749"/>
      <c r="O852" s="749"/>
      <c r="P852" s="749"/>
      <c r="Q852" s="749"/>
      <c r="R852" s="749"/>
      <c r="S852" s="749"/>
      <c r="T852" s="749"/>
      <c r="U852" s="749"/>
      <c r="V852" s="749"/>
      <c r="W852" s="749"/>
      <c r="X852" s="749"/>
      <c r="Y852" s="749"/>
      <c r="Z852" s="749"/>
      <c r="AA852" s="749"/>
      <c r="AB852" s="749"/>
      <c r="AC852" s="749"/>
      <c r="AD852" s="749"/>
      <c r="AI852">
        <f t="shared" si="778"/>
        <v>0</v>
      </c>
      <c r="AJ852">
        <f t="shared" si="779"/>
        <v>0</v>
      </c>
      <c r="AK852">
        <f t="shared" si="780"/>
        <v>0</v>
      </c>
      <c r="AL852" cm="1">
        <f t="array" ref="AL852">IF(OR(M852={"NS","NA"},$V$829={"NS","NA"}),0,IF(M852&lt;=$V$829,0,1))</f>
        <v>0</v>
      </c>
      <c r="AM852" cm="1">
        <f t="array" ref="AM852">IF(OR(S852={"NS","NA"},$W$829={"NS","NA"}),0,IF(S852&lt;=$W$829,0,1))</f>
        <v>0</v>
      </c>
      <c r="AN852" cm="1">
        <f t="array" ref="AN852">IF(OR(Y852={"NS","NA"},$X$829={"NS","NA"}),0,IF(Y852&lt;=$X$829,0,1))</f>
        <v>0</v>
      </c>
    </row>
    <row r="853" spans="1:43" ht="15" customHeight="1">
      <c r="A853" s="176"/>
      <c r="B853" s="57"/>
      <c r="C853" s="98" t="s">
        <v>2523</v>
      </c>
      <c r="D853" s="813" t="s">
        <v>5389</v>
      </c>
      <c r="E853" s="814"/>
      <c r="F853" s="814"/>
      <c r="G853" s="814"/>
      <c r="H853" s="814"/>
      <c r="I853" s="814"/>
      <c r="J853" s="814"/>
      <c r="K853" s="814"/>
      <c r="L853" s="815"/>
      <c r="M853" s="749"/>
      <c r="N853" s="749"/>
      <c r="O853" s="749"/>
      <c r="P853" s="749"/>
      <c r="Q853" s="749"/>
      <c r="R853" s="749"/>
      <c r="S853" s="749"/>
      <c r="T853" s="749"/>
      <c r="U853" s="749"/>
      <c r="V853" s="749"/>
      <c r="W853" s="749"/>
      <c r="X853" s="749"/>
      <c r="Y853" s="749"/>
      <c r="Z853" s="749"/>
      <c r="AA853" s="749"/>
      <c r="AB853" s="749"/>
      <c r="AC853" s="749"/>
      <c r="AD853" s="749"/>
      <c r="AI853">
        <f t="shared" si="778"/>
        <v>0</v>
      </c>
      <c r="AJ853">
        <f t="shared" si="779"/>
        <v>0</v>
      </c>
      <c r="AK853">
        <f t="shared" si="780"/>
        <v>0</v>
      </c>
      <c r="AL853" cm="1">
        <f t="array" ref="AL853">IF(OR(M853={"NS","NA"},$V$829={"NS","NA"}),0,IF(M853&lt;=$V$829,0,1))</f>
        <v>0</v>
      </c>
      <c r="AM853" cm="1">
        <f t="array" ref="AM853">IF(OR(S853={"NS","NA"},$W$829={"NS","NA"}),0,IF(S853&lt;=$W$829,0,1))</f>
        <v>0</v>
      </c>
      <c r="AN853" cm="1">
        <f t="array" ref="AN853">IF(OR(Y853={"NS","NA"},$X$829={"NS","NA"}),0,IF(Y853&lt;=$X$829,0,1))</f>
        <v>0</v>
      </c>
    </row>
    <row r="854" spans="1:43" ht="15" customHeight="1">
      <c r="A854" s="176"/>
      <c r="B854" s="57"/>
      <c r="C854" s="98" t="s">
        <v>2524</v>
      </c>
      <c r="D854" s="813" t="s">
        <v>5390</v>
      </c>
      <c r="E854" s="814"/>
      <c r="F854" s="814"/>
      <c r="G854" s="814"/>
      <c r="H854" s="814"/>
      <c r="I854" s="814"/>
      <c r="J854" s="814"/>
      <c r="K854" s="814"/>
      <c r="L854" s="815"/>
      <c r="M854" s="749"/>
      <c r="N854" s="749"/>
      <c r="O854" s="749"/>
      <c r="P854" s="749"/>
      <c r="Q854" s="749"/>
      <c r="R854" s="749"/>
      <c r="S854" s="749"/>
      <c r="T854" s="749"/>
      <c r="U854" s="749"/>
      <c r="V854" s="749"/>
      <c r="W854" s="749"/>
      <c r="X854" s="749"/>
      <c r="Y854" s="749"/>
      <c r="Z854" s="749"/>
      <c r="AA854" s="749"/>
      <c r="AB854" s="749"/>
      <c r="AC854" s="749"/>
      <c r="AD854" s="749"/>
      <c r="AI854">
        <f t="shared" si="778"/>
        <v>0</v>
      </c>
      <c r="AJ854">
        <f t="shared" si="779"/>
        <v>0</v>
      </c>
      <c r="AK854">
        <f t="shared" si="780"/>
        <v>0</v>
      </c>
      <c r="AL854" cm="1">
        <f t="array" ref="AL854">IF(OR(M854={"NS","NA"},$V$829={"NS","NA"}),0,IF(M854&lt;=$V$829,0,1))</f>
        <v>0</v>
      </c>
      <c r="AM854" cm="1">
        <f t="array" ref="AM854">IF(OR(S854={"NS","NA"},$W$829={"NS","NA"}),0,IF(S854&lt;=$W$829,0,1))</f>
        <v>0</v>
      </c>
      <c r="AN854" cm="1">
        <f t="array" ref="AN854">IF(OR(Y854={"NS","NA"},$X$829={"NS","NA"}),0,IF(Y854&lt;=$X$829,0,1))</f>
        <v>0</v>
      </c>
    </row>
    <row r="855" spans="1:43" ht="15" customHeight="1">
      <c r="A855" s="176"/>
      <c r="B855" s="57"/>
      <c r="C855" s="98" t="s">
        <v>2525</v>
      </c>
      <c r="D855" s="813" t="s">
        <v>5391</v>
      </c>
      <c r="E855" s="814"/>
      <c r="F855" s="814"/>
      <c r="G855" s="814"/>
      <c r="H855" s="814"/>
      <c r="I855" s="814"/>
      <c r="J855" s="814"/>
      <c r="K855" s="814"/>
      <c r="L855" s="815"/>
      <c r="M855" s="749"/>
      <c r="N855" s="749"/>
      <c r="O855" s="749"/>
      <c r="P855" s="749"/>
      <c r="Q855" s="749"/>
      <c r="R855" s="749"/>
      <c r="S855" s="749"/>
      <c r="T855" s="749"/>
      <c r="U855" s="749"/>
      <c r="V855" s="749"/>
      <c r="W855" s="749"/>
      <c r="X855" s="749"/>
      <c r="Y855" s="749"/>
      <c r="Z855" s="749"/>
      <c r="AA855" s="749"/>
      <c r="AB855" s="749"/>
      <c r="AC855" s="749"/>
      <c r="AD855" s="749"/>
      <c r="AI855">
        <f t="shared" si="778"/>
        <v>0</v>
      </c>
      <c r="AJ855">
        <f t="shared" si="779"/>
        <v>0</v>
      </c>
      <c r="AK855">
        <f t="shared" si="780"/>
        <v>0</v>
      </c>
      <c r="AL855" cm="1">
        <f t="array" ref="AL855">IF(OR(M855={"NS","NA"},$V$829={"NS","NA"}),0,IF(M855&lt;=$V$829,0,1))</f>
        <v>0</v>
      </c>
      <c r="AM855" cm="1">
        <f t="array" ref="AM855">IF(OR(S855={"NS","NA"},$W$829={"NS","NA"}),0,IF(S855&lt;=$W$829,0,1))</f>
        <v>0</v>
      </c>
      <c r="AN855" cm="1">
        <f t="array" ref="AN855">IF(OR(Y855={"NS","NA"},$X$829={"NS","NA"}),0,IF(Y855&lt;=$X$829,0,1))</f>
        <v>0</v>
      </c>
    </row>
    <row r="856" spans="1:43" ht="15" customHeight="1">
      <c r="A856" s="176"/>
      <c r="B856" s="57"/>
      <c r="C856" s="98" t="s">
        <v>2526</v>
      </c>
      <c r="D856" s="813" t="s">
        <v>5392</v>
      </c>
      <c r="E856" s="814"/>
      <c r="F856" s="814"/>
      <c r="G856" s="814"/>
      <c r="H856" s="814"/>
      <c r="I856" s="814"/>
      <c r="J856" s="814"/>
      <c r="K856" s="814"/>
      <c r="L856" s="815"/>
      <c r="M856" s="749"/>
      <c r="N856" s="749"/>
      <c r="O856" s="749"/>
      <c r="P856" s="749"/>
      <c r="Q856" s="749"/>
      <c r="R856" s="749"/>
      <c r="S856" s="749"/>
      <c r="T856" s="749"/>
      <c r="U856" s="749"/>
      <c r="V856" s="749"/>
      <c r="W856" s="749"/>
      <c r="X856" s="749"/>
      <c r="Y856" s="749"/>
      <c r="Z856" s="749"/>
      <c r="AA856" s="749"/>
      <c r="AB856" s="749"/>
      <c r="AC856" s="749"/>
      <c r="AD856" s="749"/>
      <c r="AI856">
        <f t="shared" si="778"/>
        <v>0</v>
      </c>
      <c r="AJ856">
        <f t="shared" si="779"/>
        <v>0</v>
      </c>
      <c r="AK856">
        <f t="shared" si="780"/>
        <v>0</v>
      </c>
      <c r="AL856" cm="1">
        <f t="array" ref="AL856">IF(OR(M856={"NS","NA"},$V$829={"NS","NA"}),0,IF(M856&lt;=$V$829,0,1))</f>
        <v>0</v>
      </c>
      <c r="AM856" cm="1">
        <f t="array" ref="AM856">IF(OR(S856={"NS","NA"},$W$829={"NS","NA"}),0,IF(S856&lt;=$W$829,0,1))</f>
        <v>0</v>
      </c>
      <c r="AN856" cm="1">
        <f t="array" ref="AN856">IF(OR(Y856={"NS","NA"},$X$829={"NS","NA"}),0,IF(Y856&lt;=$X$829,0,1))</f>
        <v>0</v>
      </c>
    </row>
    <row r="857" spans="1:43" ht="15" customHeight="1">
      <c r="A857" s="176"/>
      <c r="B857" s="57"/>
      <c r="C857" s="98" t="s">
        <v>2527</v>
      </c>
      <c r="D857" s="813" t="s">
        <v>5393</v>
      </c>
      <c r="E857" s="814"/>
      <c r="F857" s="814"/>
      <c r="G857" s="814"/>
      <c r="H857" s="814"/>
      <c r="I857" s="814"/>
      <c r="J857" s="814"/>
      <c r="K857" s="814"/>
      <c r="L857" s="815"/>
      <c r="M857" s="749"/>
      <c r="N857" s="749"/>
      <c r="O857" s="749"/>
      <c r="P857" s="749"/>
      <c r="Q857" s="749"/>
      <c r="R857" s="749"/>
      <c r="S857" s="749"/>
      <c r="T857" s="749"/>
      <c r="U857" s="749"/>
      <c r="V857" s="749"/>
      <c r="W857" s="749"/>
      <c r="X857" s="749"/>
      <c r="Y857" s="749"/>
      <c r="Z857" s="749"/>
      <c r="AA857" s="749"/>
      <c r="AB857" s="749"/>
      <c r="AC857" s="749"/>
      <c r="AD857" s="749"/>
      <c r="AI857">
        <f t="shared" si="778"/>
        <v>0</v>
      </c>
      <c r="AJ857">
        <f t="shared" si="779"/>
        <v>0</v>
      </c>
      <c r="AK857">
        <f t="shared" si="780"/>
        <v>0</v>
      </c>
      <c r="AL857" cm="1">
        <f t="array" ref="AL857">IF(OR(M857={"NS","NA"},$V$829={"NS","NA"}),0,IF(M857&lt;=$V$829,0,1))</f>
        <v>0</v>
      </c>
      <c r="AM857" cm="1">
        <f t="array" ref="AM857">IF(OR(S857={"NS","NA"},$W$829={"NS","NA"}),0,IF(S857&lt;=$W$829,0,1))</f>
        <v>0</v>
      </c>
      <c r="AN857" cm="1">
        <f t="array" ref="AN857">IF(OR(Y857={"NS","NA"},$X$829={"NS","NA"}),0,IF(Y857&lt;=$X$829,0,1))</f>
        <v>0</v>
      </c>
      <c r="AO857"/>
      <c r="AP857"/>
      <c r="AQ857"/>
    </row>
    <row r="858" spans="1:43" ht="15" customHeight="1">
      <c r="A858" s="176"/>
      <c r="B858" s="57"/>
      <c r="C858" s="98" t="s">
        <v>2528</v>
      </c>
      <c r="D858" s="813" t="s">
        <v>5394</v>
      </c>
      <c r="E858" s="814"/>
      <c r="F858" s="814"/>
      <c r="G858" s="814"/>
      <c r="H858" s="814"/>
      <c r="I858" s="814"/>
      <c r="J858" s="814"/>
      <c r="K858" s="814"/>
      <c r="L858" s="815"/>
      <c r="M858" s="749"/>
      <c r="N858" s="749"/>
      <c r="O858" s="749"/>
      <c r="P858" s="749"/>
      <c r="Q858" s="749"/>
      <c r="R858" s="749"/>
      <c r="S858" s="749"/>
      <c r="T858" s="749"/>
      <c r="U858" s="749"/>
      <c r="V858" s="749"/>
      <c r="W858" s="749"/>
      <c r="X858" s="749"/>
      <c r="Y858" s="749"/>
      <c r="Z858" s="749"/>
      <c r="AA858" s="749"/>
      <c r="AB858" s="749"/>
      <c r="AC858" s="749"/>
      <c r="AD858" s="749"/>
      <c r="AI858">
        <f t="shared" si="778"/>
        <v>0</v>
      </c>
      <c r="AJ858">
        <f t="shared" si="779"/>
        <v>0</v>
      </c>
      <c r="AK858">
        <f t="shared" si="780"/>
        <v>0</v>
      </c>
      <c r="AL858" cm="1">
        <f t="array" ref="AL858">IF(OR(M858={"NS","NA"},$V$829={"NS","NA"}),0,IF(M858&lt;=$V$829,0,1))</f>
        <v>0</v>
      </c>
      <c r="AM858" cm="1">
        <f t="array" ref="AM858">IF(OR(S858={"NS","NA"},$W$829={"NS","NA"}),0,IF(S858&lt;=$W$829,0,1))</f>
        <v>0</v>
      </c>
      <c r="AN858" cm="1">
        <f t="array" ref="AN858">IF(OR(Y858={"NS","NA"},$X$829={"NS","NA"}),0,IF(Y858&lt;=$X$829,0,1))</f>
        <v>0</v>
      </c>
      <c r="AO858"/>
      <c r="AP858"/>
      <c r="AQ858"/>
    </row>
    <row r="859" spans="1:43" ht="15" customHeight="1">
      <c r="A859" s="176"/>
      <c r="B859" s="57"/>
      <c r="C859" s="98" t="s">
        <v>2529</v>
      </c>
      <c r="D859" s="813" t="s">
        <v>5395</v>
      </c>
      <c r="E859" s="814"/>
      <c r="F859" s="814"/>
      <c r="G859" s="814"/>
      <c r="H859" s="814"/>
      <c r="I859" s="814"/>
      <c r="J859" s="814"/>
      <c r="K859" s="814"/>
      <c r="L859" s="815"/>
      <c r="M859" s="749"/>
      <c r="N859" s="749"/>
      <c r="O859" s="749"/>
      <c r="P859" s="749"/>
      <c r="Q859" s="749"/>
      <c r="R859" s="749"/>
      <c r="S859" s="749"/>
      <c r="T859" s="749"/>
      <c r="U859" s="749"/>
      <c r="V859" s="749"/>
      <c r="W859" s="749"/>
      <c r="X859" s="749"/>
      <c r="Y859" s="749"/>
      <c r="Z859" s="749"/>
      <c r="AA859" s="749"/>
      <c r="AB859" s="749"/>
      <c r="AC859" s="749"/>
      <c r="AD859" s="749"/>
      <c r="AI859">
        <f t="shared" si="778"/>
        <v>0</v>
      </c>
      <c r="AJ859">
        <f t="shared" si="779"/>
        <v>0</v>
      </c>
      <c r="AK859">
        <f t="shared" si="780"/>
        <v>0</v>
      </c>
      <c r="AL859" cm="1">
        <f t="array" ref="AL859">IF(OR(M859={"NS","NA"},$V$829={"NS","NA"}),0,IF(M859&lt;=$V$829,0,1))</f>
        <v>0</v>
      </c>
      <c r="AM859" cm="1">
        <f t="array" ref="AM859">IF(OR(S859={"NS","NA"},$W$829={"NS","NA"}),0,IF(S859&lt;=$W$829,0,1))</f>
        <v>0</v>
      </c>
      <c r="AN859" cm="1">
        <f t="array" ref="AN859">IF(OR(Y859={"NS","NA"},$X$829={"NS","NA"}),0,IF(Y859&lt;=$X$829,0,1))</f>
        <v>0</v>
      </c>
      <c r="AO859"/>
      <c r="AP859"/>
      <c r="AQ859"/>
    </row>
    <row r="860" spans="1:43" ht="15" customHeight="1">
      <c r="A860" s="176"/>
      <c r="B860" s="57"/>
      <c r="C860" s="98" t="s">
        <v>2530</v>
      </c>
      <c r="D860" s="813" t="s">
        <v>5396</v>
      </c>
      <c r="E860" s="814"/>
      <c r="F860" s="814"/>
      <c r="G860" s="814"/>
      <c r="H860" s="814"/>
      <c r="I860" s="814"/>
      <c r="J860" s="814"/>
      <c r="K860" s="814"/>
      <c r="L860" s="815"/>
      <c r="M860" s="749"/>
      <c r="N860" s="749"/>
      <c r="O860" s="749"/>
      <c r="P860" s="749"/>
      <c r="Q860" s="749"/>
      <c r="R860" s="749"/>
      <c r="S860" s="749"/>
      <c r="T860" s="749"/>
      <c r="U860" s="749"/>
      <c r="V860" s="749"/>
      <c r="W860" s="749"/>
      <c r="X860" s="749"/>
      <c r="Y860" s="749"/>
      <c r="Z860" s="749"/>
      <c r="AA860" s="749"/>
      <c r="AB860" s="749"/>
      <c r="AC860" s="749"/>
      <c r="AD860" s="749"/>
      <c r="AI860">
        <f t="shared" si="778"/>
        <v>0</v>
      </c>
      <c r="AJ860">
        <f t="shared" si="779"/>
        <v>0</v>
      </c>
      <c r="AK860">
        <f t="shared" si="780"/>
        <v>0</v>
      </c>
      <c r="AL860" cm="1">
        <f t="array" ref="AL860">IF(OR(M860={"NS","NA"},$V$829={"NS","NA"}),0,IF(M860&lt;=$V$829,0,1))</f>
        <v>0</v>
      </c>
      <c r="AM860" cm="1">
        <f t="array" ref="AM860">IF(OR(S860={"NS","NA"},$W$829={"NS","NA"}),0,IF(S860&lt;=$W$829,0,1))</f>
        <v>0</v>
      </c>
      <c r="AN860" cm="1">
        <f t="array" ref="AN860">IF(OR(Y860={"NS","NA"},$X$829={"NS","NA"}),0,IF(Y860&lt;=$X$829,0,1))</f>
        <v>0</v>
      </c>
      <c r="AO860"/>
      <c r="AP860"/>
      <c r="AQ860"/>
    </row>
    <row r="861" spans="1:43" ht="15" customHeight="1">
      <c r="A861" s="176"/>
      <c r="B861" s="57"/>
      <c r="C861" s="98" t="s">
        <v>2531</v>
      </c>
      <c r="D861" s="813" t="s">
        <v>5397</v>
      </c>
      <c r="E861" s="814"/>
      <c r="F861" s="814"/>
      <c r="G861" s="814"/>
      <c r="H861" s="814"/>
      <c r="I861" s="814"/>
      <c r="J861" s="814"/>
      <c r="K861" s="814"/>
      <c r="L861" s="815"/>
      <c r="M861" s="749"/>
      <c r="N861" s="749"/>
      <c r="O861" s="749"/>
      <c r="P861" s="749"/>
      <c r="Q861" s="749"/>
      <c r="R861" s="749"/>
      <c r="S861" s="749"/>
      <c r="T861" s="749"/>
      <c r="U861" s="749"/>
      <c r="V861" s="749"/>
      <c r="W861" s="749"/>
      <c r="X861" s="749"/>
      <c r="Y861" s="749"/>
      <c r="Z861" s="749"/>
      <c r="AA861" s="749"/>
      <c r="AB861" s="749"/>
      <c r="AC861" s="749"/>
      <c r="AD861" s="749"/>
      <c r="AI861">
        <f t="shared" si="778"/>
        <v>0</v>
      </c>
      <c r="AJ861">
        <f t="shared" si="779"/>
        <v>0</v>
      </c>
      <c r="AK861">
        <f t="shared" si="780"/>
        <v>0</v>
      </c>
      <c r="AL861" cm="1">
        <f t="array" ref="AL861">IF(OR(M861={"NS","NA"},$V$829={"NS","NA"}),0,IF(M861&lt;=$V$829,0,1))</f>
        <v>0</v>
      </c>
      <c r="AM861" cm="1">
        <f t="array" ref="AM861">IF(OR(S861={"NS","NA"},$W$829={"NS","NA"}),0,IF(S861&lt;=$W$829,0,1))</f>
        <v>0</v>
      </c>
      <c r="AN861" cm="1">
        <f t="array" ref="AN861">IF(OR(Y861={"NS","NA"},$X$829={"NS","NA"}),0,IF(Y861&lt;=$X$829,0,1))</f>
        <v>0</v>
      </c>
      <c r="AO861"/>
      <c r="AP861"/>
      <c r="AQ861"/>
    </row>
    <row r="862" spans="1:43" ht="15" customHeight="1">
      <c r="A862" s="176"/>
      <c r="B862" s="57"/>
      <c r="C862" s="98" t="s">
        <v>2532</v>
      </c>
      <c r="D862" s="813" t="s">
        <v>5398</v>
      </c>
      <c r="E862" s="814"/>
      <c r="F862" s="814"/>
      <c r="G862" s="814"/>
      <c r="H862" s="814"/>
      <c r="I862" s="814"/>
      <c r="J862" s="814"/>
      <c r="K862" s="814"/>
      <c r="L862" s="815"/>
      <c r="M862" s="749"/>
      <c r="N862" s="749"/>
      <c r="O862" s="749"/>
      <c r="P862" s="749"/>
      <c r="Q862" s="749"/>
      <c r="R862" s="749"/>
      <c r="S862" s="749"/>
      <c r="T862" s="749"/>
      <c r="U862" s="749"/>
      <c r="V862" s="749"/>
      <c r="W862" s="749"/>
      <c r="X862" s="749"/>
      <c r="Y862" s="749"/>
      <c r="Z862" s="749"/>
      <c r="AA862" s="749"/>
      <c r="AB862" s="749"/>
      <c r="AC862" s="749"/>
      <c r="AD862" s="749"/>
      <c r="AI862">
        <f t="shared" si="778"/>
        <v>0</v>
      </c>
      <c r="AJ862">
        <f t="shared" si="779"/>
        <v>0</v>
      </c>
      <c r="AK862">
        <f t="shared" si="780"/>
        <v>0</v>
      </c>
      <c r="AL862" cm="1">
        <f t="array" ref="AL862">IF(OR(M862={"NS","NA"},$V$829={"NS","NA"}),0,IF(M862&lt;=$V$829,0,1))</f>
        <v>0</v>
      </c>
      <c r="AM862" cm="1">
        <f t="array" ref="AM862">IF(OR(S862={"NS","NA"},$W$829={"NS","NA"}),0,IF(S862&lt;=$W$829,0,1))</f>
        <v>0</v>
      </c>
      <c r="AN862" cm="1">
        <f t="array" ref="AN862">IF(OR(Y862={"NS","NA"},$X$829={"NS","NA"}),0,IF(Y862&lt;=$X$829,0,1))</f>
        <v>0</v>
      </c>
      <c r="AO862"/>
      <c r="AP862"/>
      <c r="AQ862"/>
    </row>
    <row r="863" spans="1:43" ht="15" customHeight="1">
      <c r="A863" s="176"/>
      <c r="B863" s="57"/>
      <c r="C863" s="98" t="s">
        <v>2533</v>
      </c>
      <c r="D863" s="813" t="s">
        <v>3758</v>
      </c>
      <c r="E863" s="814"/>
      <c r="F863" s="814"/>
      <c r="G863" s="814"/>
      <c r="H863" s="814"/>
      <c r="I863" s="814"/>
      <c r="J863" s="814"/>
      <c r="K863" s="814"/>
      <c r="L863" s="815"/>
      <c r="M863" s="749"/>
      <c r="N863" s="749"/>
      <c r="O863" s="749"/>
      <c r="P863" s="749"/>
      <c r="Q863" s="749"/>
      <c r="R863" s="749"/>
      <c r="S863" s="749"/>
      <c r="T863" s="749"/>
      <c r="U863" s="749"/>
      <c r="V863" s="749"/>
      <c r="W863" s="749"/>
      <c r="X863" s="749"/>
      <c r="Y863" s="749"/>
      <c r="Z863" s="749"/>
      <c r="AA863" s="749"/>
      <c r="AB863" s="749"/>
      <c r="AC863" s="749"/>
      <c r="AD863" s="749"/>
      <c r="AI863">
        <f t="shared" si="778"/>
        <v>0</v>
      </c>
      <c r="AJ863">
        <f t="shared" si="779"/>
        <v>0</v>
      </c>
      <c r="AK863">
        <f t="shared" si="780"/>
        <v>0</v>
      </c>
      <c r="AL863" cm="1">
        <f t="array" ref="AL863">IF(OR(M863={"NS","NA"},$V$829={"NS","NA"}),0,IF(M863&lt;=$V$829,0,1))</f>
        <v>0</v>
      </c>
      <c r="AM863" cm="1">
        <f t="array" ref="AM863">IF(OR(S863={"NS","NA"},$W$829={"NS","NA"}),0,IF(S863&lt;=$W$829,0,1))</f>
        <v>0</v>
      </c>
      <c r="AN863" cm="1">
        <f t="array" ref="AN863">IF(OR(Y863={"NS","NA"},$X$829={"NS","NA"}),0,IF(Y863&lt;=$X$829,0,1))</f>
        <v>0</v>
      </c>
      <c r="AO863"/>
      <c r="AP863"/>
      <c r="AQ863"/>
    </row>
    <row r="864" spans="1:43" ht="15" customHeight="1">
      <c r="A864" s="176"/>
      <c r="B864" s="57"/>
      <c r="C864" s="98" t="s">
        <v>2534</v>
      </c>
      <c r="D864" s="813" t="s">
        <v>201</v>
      </c>
      <c r="E864" s="814"/>
      <c r="F864" s="814"/>
      <c r="G864" s="814"/>
      <c r="H864" s="814"/>
      <c r="I864" s="814"/>
      <c r="J864" s="814"/>
      <c r="K864" s="814"/>
      <c r="L864" s="815"/>
      <c r="M864" s="749"/>
      <c r="N864" s="749"/>
      <c r="O864" s="749"/>
      <c r="P864" s="749"/>
      <c r="Q864" s="749"/>
      <c r="R864" s="749"/>
      <c r="S864" s="749"/>
      <c r="T864" s="749"/>
      <c r="U864" s="749"/>
      <c r="V864" s="749"/>
      <c r="W864" s="749"/>
      <c r="X864" s="749"/>
      <c r="Y864" s="749"/>
      <c r="Z864" s="749"/>
      <c r="AA864" s="749"/>
      <c r="AB864" s="749"/>
      <c r="AC864" s="749"/>
      <c r="AD864" s="749"/>
      <c r="AI864">
        <f t="shared" si="778"/>
        <v>0</v>
      </c>
      <c r="AJ864">
        <f t="shared" si="779"/>
        <v>0</v>
      </c>
      <c r="AK864">
        <f t="shared" si="780"/>
        <v>0</v>
      </c>
      <c r="AL864" cm="1">
        <f t="array" ref="AL864">IF(OR(M864={"NS","NA"},$V$829={"NS","NA"}),0,IF(M864&lt;=$V$829,0,1))</f>
        <v>0</v>
      </c>
      <c r="AM864" cm="1">
        <f t="array" ref="AM864">IF(OR(S864={"NS","NA"},$W$829={"NS","NA"}),0,IF(S864&lt;=$W$829,0,1))</f>
        <v>0</v>
      </c>
      <c r="AN864" cm="1">
        <f t="array" ref="AN864">IF(OR(Y864={"NS","NA"},$X$829={"NS","NA"}),0,IF(Y864&lt;=$X$829,0,1))</f>
        <v>0</v>
      </c>
      <c r="AO864"/>
      <c r="AP864"/>
      <c r="AQ864"/>
    </row>
    <row r="865" spans="1:43" ht="15" customHeight="1">
      <c r="A865" s="176"/>
      <c r="B865" s="57"/>
      <c r="C865" s="57"/>
      <c r="D865" s="57"/>
      <c r="E865" s="57"/>
      <c r="F865" s="57"/>
      <c r="G865" s="57"/>
      <c r="H865" s="57"/>
      <c r="I865" s="57"/>
      <c r="J865" s="57"/>
      <c r="K865" s="57"/>
      <c r="L865" s="117" t="s">
        <v>2649</v>
      </c>
      <c r="M865" s="736">
        <f>IF(AND(SUM(M846:M864)=0,COUNTIF(M846:M864,"NS")&gt;0),"NS",IF(AND(SUM(M846:M864)=0,COUNTIF(M846:M864,0)&gt;0),0,IF(AND(SUM(M846:M864)=0,COUNTIF(M846:M864,"NA")&gt;0),"NA",SUM(M846:M864))))</f>
        <v>0</v>
      </c>
      <c r="N865" s="1085"/>
      <c r="O865" s="1085"/>
      <c r="P865" s="1085"/>
      <c r="Q865" s="1085"/>
      <c r="R865" s="1086"/>
      <c r="S865" s="736">
        <f>IF(AND(SUM(S846:S864)=0,COUNTIF(S846:S864,"NS")&gt;0),"NS",IF(AND(SUM(S846:S864)=0,COUNTIF(S846:S864,0)&gt;0),0,IF(AND(SUM(S846:S864)=0,COUNTIF(S846:S864,"NA")&gt;0),"NA",SUM(S846:S864))))</f>
        <v>0</v>
      </c>
      <c r="T865" s="1085"/>
      <c r="U865" s="1085"/>
      <c r="V865" s="1085"/>
      <c r="W865" s="1085"/>
      <c r="X865" s="1086"/>
      <c r="Y865" s="736">
        <f>IF(AND(SUM(Y846:Y864)=0,COUNTIF(Y846:Y864,"NS")&gt;0),"NS",IF(AND(SUM(Y846:Y864)=0,COUNTIF(Y846:Y864,0)&gt;0),0,IF(AND(SUM(Y846:Y864)=0,COUNTIF(Y846:Y864,"NA")&gt;0),"NA",SUM(Y846:Y864))))</f>
        <v>0</v>
      </c>
      <c r="Z865" s="1085"/>
      <c r="AA865" s="1085"/>
      <c r="AB865" s="1085"/>
      <c r="AC865" s="1085"/>
      <c r="AD865" s="1086"/>
      <c r="AI865"/>
      <c r="AJ865"/>
      <c r="AK865" s="506">
        <f>SUM(AK846:AK864)</f>
        <v>0</v>
      </c>
      <c r="AL865"/>
      <c r="AM865"/>
      <c r="AN865" s="506">
        <f>IF(OR($V$829=0,$V$829="NS",$V$829="NA"),0,SUM(AL846:AN864))</f>
        <v>0</v>
      </c>
      <c r="AO865"/>
      <c r="AP865"/>
      <c r="AQ865"/>
    </row>
    <row r="866" spans="1:43" ht="15" customHeight="1">
      <c r="A866" s="176"/>
      <c r="B866" s="57"/>
      <c r="C866" s="57"/>
      <c r="D866" s="57"/>
      <c r="E866" s="57"/>
      <c r="F866" s="57"/>
      <c r="G866" s="57"/>
      <c r="H866" s="57"/>
      <c r="I866" s="57"/>
      <c r="J866" s="57"/>
      <c r="K866" s="57"/>
      <c r="L866" s="57"/>
      <c r="M866" s="57"/>
      <c r="N866" s="57"/>
      <c r="O866" s="57"/>
      <c r="P866" s="57"/>
      <c r="Q866" s="57"/>
      <c r="R866" s="57"/>
      <c r="S866" s="57"/>
      <c r="T866" s="57"/>
      <c r="U866" s="57"/>
      <c r="V866" s="57"/>
      <c r="W866" s="57"/>
      <c r="X866" s="57"/>
      <c r="Y866" s="57"/>
      <c r="Z866" s="57"/>
      <c r="AA866" s="57"/>
      <c r="AB866" s="57"/>
      <c r="AC866" s="57"/>
      <c r="AD866" s="57"/>
    </row>
    <row r="867" spans="1:43" ht="24" customHeight="1">
      <c r="A867" s="176"/>
      <c r="B867" s="57"/>
      <c r="C867" s="754" t="s">
        <v>2611</v>
      </c>
      <c r="D867" s="754"/>
      <c r="E867" s="754"/>
      <c r="F867" s="754"/>
      <c r="G867" s="754"/>
      <c r="H867" s="754"/>
      <c r="I867" s="754"/>
      <c r="J867" s="754"/>
      <c r="K867" s="754"/>
      <c r="L867" s="754"/>
      <c r="M867" s="754"/>
      <c r="N867" s="754"/>
      <c r="O867" s="754"/>
      <c r="P867" s="754"/>
      <c r="Q867" s="754"/>
      <c r="R867" s="754"/>
      <c r="S867" s="754"/>
      <c r="T867" s="754"/>
      <c r="U867" s="754"/>
      <c r="V867" s="754"/>
      <c r="W867" s="754"/>
      <c r="X867" s="754"/>
      <c r="Y867" s="754"/>
      <c r="Z867" s="754"/>
      <c r="AA867" s="754"/>
      <c r="AB867" s="754"/>
      <c r="AC867" s="754"/>
      <c r="AD867" s="754"/>
    </row>
    <row r="868" spans="1:43" ht="60" customHeight="1">
      <c r="A868" s="176"/>
      <c r="B868" s="57"/>
      <c r="C868" s="851"/>
      <c r="D868" s="851"/>
      <c r="E868" s="851"/>
      <c r="F868" s="851"/>
      <c r="G868" s="851"/>
      <c r="H868" s="851"/>
      <c r="I868" s="851"/>
      <c r="J868" s="851"/>
      <c r="K868" s="851"/>
      <c r="L868" s="851"/>
      <c r="M868" s="851"/>
      <c r="N868" s="851"/>
      <c r="O868" s="851"/>
      <c r="P868" s="851"/>
      <c r="Q868" s="851"/>
      <c r="R868" s="851"/>
      <c r="S868" s="851"/>
      <c r="T868" s="851"/>
      <c r="U868" s="851"/>
      <c r="V868" s="851"/>
      <c r="W868" s="851"/>
      <c r="X868" s="851"/>
      <c r="Y868" s="851"/>
      <c r="Z868" s="851"/>
      <c r="AA868" s="851"/>
      <c r="AB868" s="851"/>
      <c r="AC868" s="851"/>
      <c r="AD868" s="851"/>
    </row>
    <row r="869" spans="1:43" ht="15" customHeight="1">
      <c r="A869" s="176"/>
      <c r="B869" s="794" t="str">
        <f>IF(AG846=0,"","Favor de ingresar toda la información requerida en la pregunta")</f>
        <v/>
      </c>
      <c r="C869" s="794"/>
      <c r="D869" s="794"/>
      <c r="E869" s="794"/>
      <c r="F869" s="794"/>
      <c r="G869" s="794"/>
      <c r="H869" s="794"/>
      <c r="I869" s="794"/>
      <c r="J869" s="794"/>
      <c r="K869" s="794"/>
      <c r="L869" s="794"/>
      <c r="M869" s="794"/>
      <c r="N869" s="794"/>
      <c r="O869" s="794"/>
      <c r="P869" s="794"/>
      <c r="Q869" s="794"/>
      <c r="R869" s="794"/>
      <c r="S869" s="794"/>
      <c r="T869" s="794"/>
      <c r="U869" s="794"/>
      <c r="V869" s="794"/>
      <c r="W869" s="794"/>
      <c r="X869" s="794"/>
      <c r="Y869" s="794"/>
      <c r="Z869" s="794"/>
      <c r="AA869" s="794"/>
      <c r="AB869" s="794"/>
      <c r="AC869" s="794"/>
      <c r="AD869" s="794"/>
      <c r="AE869" s="794"/>
    </row>
    <row r="870" spans="1:43" ht="15" customHeight="1">
      <c r="A870" s="176"/>
      <c r="B870" s="1087" t="str">
        <f>IF(OR($V$829=0,$V$829="NS",$V$829="NA"),"",IF(COUNTIF(M846:AD864,"NS")&lt;&gt;0,"Alerta: debido a que cuenta con registros NS, debe proporcionar una justificación en el area de comentarios al final de la pregunta",""))</f>
        <v/>
      </c>
      <c r="C870" s="1087"/>
      <c r="D870" s="1087"/>
      <c r="E870" s="1087"/>
      <c r="F870" s="1087"/>
      <c r="G870" s="1087"/>
      <c r="H870" s="1087"/>
      <c r="I870" s="1087"/>
      <c r="J870" s="1087"/>
      <c r="K870" s="1087"/>
      <c r="L870" s="1087"/>
      <c r="M870" s="1087"/>
      <c r="N870" s="1087"/>
      <c r="O870" s="1087"/>
      <c r="P870" s="1087"/>
      <c r="Q870" s="1087"/>
      <c r="R870" s="1087"/>
      <c r="S870" s="1087"/>
      <c r="T870" s="1087"/>
      <c r="U870" s="1087"/>
      <c r="V870" s="1087"/>
      <c r="W870" s="1087"/>
      <c r="X870" s="1087"/>
      <c r="Y870" s="1087"/>
      <c r="Z870" s="1087"/>
      <c r="AA870" s="1087"/>
      <c r="AB870" s="1087"/>
      <c r="AC870" s="1087"/>
      <c r="AD870" s="1087"/>
      <c r="AE870" s="1087"/>
    </row>
    <row r="871" spans="1:43" ht="15" customHeight="1">
      <c r="A871" s="176"/>
      <c r="B871" s="1003" t="str">
        <f>IF(AH846&gt;0,"Revise la información capturada, ya que tiene datos ingresados en celdas que están sombreadas","")</f>
        <v/>
      </c>
      <c r="C871" s="1003"/>
      <c r="D871" s="1003"/>
      <c r="E871" s="1003"/>
      <c r="F871" s="1003"/>
      <c r="G871" s="1003"/>
      <c r="H871" s="1003"/>
      <c r="I871" s="1003"/>
      <c r="J871" s="1003"/>
      <c r="K871" s="1003"/>
      <c r="L871" s="1003"/>
      <c r="M871" s="1003"/>
      <c r="N871" s="1003"/>
      <c r="O871" s="1003"/>
      <c r="P871" s="1003"/>
      <c r="Q871" s="1003"/>
      <c r="R871" s="1003"/>
      <c r="S871" s="1003"/>
      <c r="T871" s="1003"/>
      <c r="U871" s="1003"/>
      <c r="V871" s="1003"/>
      <c r="W871" s="1003"/>
      <c r="X871" s="1003"/>
      <c r="Y871" s="1003"/>
      <c r="Z871" s="1003"/>
      <c r="AA871" s="1003"/>
      <c r="AB871" s="1003"/>
      <c r="AC871" s="1003"/>
      <c r="AD871" s="1003"/>
      <c r="AE871" s="1003"/>
    </row>
    <row r="872" spans="1:43" ht="15" customHeight="1">
      <c r="A872" s="176"/>
      <c r="B872" s="1003" t="str">
        <f>IF(OR($V$829=0,$V$829="NS",$V$829="NA"),"",IF(AK865&gt;0,"Favor de revisar la suma y consistencia de totales y/o subtotales por filas (numéricos y NS)",""))</f>
        <v/>
      </c>
      <c r="C872" s="1003"/>
      <c r="D872" s="1003"/>
      <c r="E872" s="1003"/>
      <c r="F872" s="1003"/>
      <c r="G872" s="1003"/>
      <c r="H872" s="1003"/>
      <c r="I872" s="1003"/>
      <c r="J872" s="1003"/>
      <c r="K872" s="1003"/>
      <c r="L872" s="1003"/>
      <c r="M872" s="1003"/>
      <c r="N872" s="1003"/>
      <c r="O872" s="1003"/>
      <c r="P872" s="1003"/>
      <c r="Q872" s="1003"/>
      <c r="R872" s="1003"/>
      <c r="S872" s="1003"/>
      <c r="T872" s="1003"/>
      <c r="U872" s="1003"/>
      <c r="V872" s="1003"/>
      <c r="W872" s="1003"/>
      <c r="X872" s="1003"/>
      <c r="Y872" s="1003"/>
      <c r="Z872" s="1003"/>
      <c r="AA872" s="1003"/>
      <c r="AB872" s="1003"/>
      <c r="AC872" s="1003"/>
      <c r="AD872" s="1003"/>
      <c r="AE872" s="1003"/>
    </row>
    <row r="873" spans="1:43" ht="15" customHeight="1">
      <c r="A873" s="176"/>
      <c r="B873" s="794" t="str">
        <f>IF(AQ847&gt;0,"Favor de revisar la instrucción 2, debido a que no se cumplen con los criterios mencionados","")</f>
        <v/>
      </c>
      <c r="C873" s="794"/>
      <c r="D873" s="794"/>
      <c r="E873" s="794"/>
      <c r="F873" s="794"/>
      <c r="G873" s="794"/>
      <c r="H873" s="794"/>
      <c r="I873" s="794"/>
      <c r="J873" s="794"/>
      <c r="K873" s="794"/>
      <c r="L873" s="794"/>
      <c r="M873" s="794"/>
      <c r="N873" s="794"/>
      <c r="O873" s="794"/>
      <c r="P873" s="794"/>
      <c r="Q873" s="794"/>
      <c r="R873" s="794"/>
      <c r="S873" s="794"/>
      <c r="T873" s="794"/>
      <c r="U873" s="794"/>
      <c r="V873" s="794"/>
      <c r="W873" s="794"/>
      <c r="X873" s="794"/>
      <c r="Y873" s="794"/>
      <c r="Z873" s="794"/>
      <c r="AA873" s="794"/>
      <c r="AB873" s="794"/>
      <c r="AC873" s="794"/>
      <c r="AD873" s="794"/>
      <c r="AE873" s="794"/>
    </row>
    <row r="874" spans="1:43" ht="15.75" thickBot="1">
      <c r="A874" s="170"/>
      <c r="B874" s="795" t="str">
        <f>IF(AN865&gt;0,"Alerta: debe de proporcionar una justificación de acuerdo a lo establecido en la instrucción 3","")</f>
        <v/>
      </c>
      <c r="C874" s="795"/>
      <c r="D874" s="795"/>
      <c r="E874" s="795"/>
      <c r="F874" s="795"/>
      <c r="G874" s="795"/>
      <c r="H874" s="795"/>
      <c r="I874" s="795"/>
      <c r="J874" s="795"/>
      <c r="K874" s="795"/>
      <c r="L874" s="795"/>
      <c r="M874" s="795"/>
      <c r="N874" s="795"/>
      <c r="O874" s="795"/>
      <c r="P874" s="795"/>
      <c r="Q874" s="795"/>
      <c r="R874" s="795"/>
      <c r="S874" s="795"/>
      <c r="T874" s="795"/>
      <c r="U874" s="795"/>
      <c r="V874" s="795"/>
      <c r="W874" s="795"/>
      <c r="X874" s="795"/>
      <c r="Y874" s="795"/>
      <c r="Z874" s="795"/>
      <c r="AA874" s="795"/>
      <c r="AB874" s="795"/>
      <c r="AC874" s="795"/>
      <c r="AD874" s="795"/>
      <c r="AE874" s="795"/>
    </row>
    <row r="875" spans="1:43" customFormat="1" ht="15" customHeight="1" thickBot="1">
      <c r="A875" s="153" t="s">
        <v>2563</v>
      </c>
      <c r="B875" s="1081" t="s">
        <v>5399</v>
      </c>
      <c r="C875" s="1082"/>
      <c r="D875" s="1082"/>
      <c r="E875" s="1082"/>
      <c r="F875" s="1082"/>
      <c r="G875" s="1082"/>
      <c r="H875" s="1082"/>
      <c r="I875" s="1082"/>
      <c r="J875" s="1082"/>
      <c r="K875" s="1082"/>
      <c r="L875" s="1082"/>
      <c r="M875" s="1082"/>
      <c r="N875" s="1082"/>
      <c r="O875" s="1082"/>
      <c r="P875" s="1082"/>
      <c r="Q875" s="1082"/>
      <c r="R875" s="1082"/>
      <c r="S875" s="1082"/>
      <c r="T875" s="1082"/>
      <c r="U875" s="1082"/>
      <c r="V875" s="1082"/>
      <c r="W875" s="1082"/>
      <c r="X875" s="1082"/>
      <c r="Y875" s="1082"/>
      <c r="Z875" s="1082"/>
      <c r="AA875" s="1082"/>
      <c r="AB875" s="1082"/>
      <c r="AC875" s="1082"/>
      <c r="AD875" s="1083"/>
      <c r="AE875" s="3"/>
    </row>
    <row r="876" spans="1:43" ht="15" customHeight="1">
      <c r="A876" s="170"/>
      <c r="B876" s="946" t="s">
        <v>3157</v>
      </c>
      <c r="C876" s="867"/>
      <c r="D876" s="867"/>
      <c r="E876" s="867"/>
      <c r="F876" s="867"/>
      <c r="G876" s="867"/>
      <c r="H876" s="867"/>
      <c r="I876" s="867"/>
      <c r="J876" s="867"/>
      <c r="K876" s="867"/>
      <c r="L876" s="867"/>
      <c r="M876" s="867"/>
      <c r="N876" s="867"/>
      <c r="O876" s="867"/>
      <c r="P876" s="867"/>
      <c r="Q876" s="867"/>
      <c r="R876" s="867"/>
      <c r="S876" s="867"/>
      <c r="T876" s="867"/>
      <c r="U876" s="867"/>
      <c r="V876" s="867"/>
      <c r="W876" s="867"/>
      <c r="X876" s="867"/>
      <c r="Y876" s="867"/>
      <c r="Z876" s="867"/>
      <c r="AA876" s="867"/>
      <c r="AB876" s="867"/>
      <c r="AC876" s="867"/>
      <c r="AD876" s="947"/>
    </row>
    <row r="877" spans="1:43" ht="24" customHeight="1">
      <c r="A877" s="115"/>
      <c r="B877" s="182"/>
      <c r="C877" s="754" t="s">
        <v>4716</v>
      </c>
      <c r="D877" s="754"/>
      <c r="E877" s="754"/>
      <c r="F877" s="754"/>
      <c r="G877" s="754"/>
      <c r="H877" s="754"/>
      <c r="I877" s="754"/>
      <c r="J877" s="754"/>
      <c r="K877" s="754"/>
      <c r="L877" s="754"/>
      <c r="M877" s="754"/>
      <c r="N877" s="754"/>
      <c r="O877" s="754"/>
      <c r="P877" s="754"/>
      <c r="Q877" s="754"/>
      <c r="R877" s="754"/>
      <c r="S877" s="754"/>
      <c r="T877" s="754"/>
      <c r="U877" s="754"/>
      <c r="V877" s="754"/>
      <c r="W877" s="754"/>
      <c r="X877" s="754"/>
      <c r="Y877" s="754"/>
      <c r="Z877" s="754"/>
      <c r="AA877" s="754"/>
      <c r="AB877" s="754"/>
      <c r="AC877" s="754"/>
      <c r="AD877" s="755"/>
    </row>
    <row r="878" spans="1:43" ht="48" customHeight="1">
      <c r="A878" s="115"/>
      <c r="B878" s="181"/>
      <c r="C878" s="754" t="s">
        <v>5400</v>
      </c>
      <c r="D878" s="754"/>
      <c r="E878" s="754"/>
      <c r="F878" s="754"/>
      <c r="G878" s="754"/>
      <c r="H878" s="754"/>
      <c r="I878" s="754"/>
      <c r="J878" s="754"/>
      <c r="K878" s="754"/>
      <c r="L878" s="754"/>
      <c r="M878" s="754"/>
      <c r="N878" s="754"/>
      <c r="O878" s="754"/>
      <c r="P878" s="754"/>
      <c r="Q878" s="754"/>
      <c r="R878" s="754"/>
      <c r="S878" s="754"/>
      <c r="T878" s="754"/>
      <c r="U878" s="754"/>
      <c r="V878" s="754"/>
      <c r="W878" s="754"/>
      <c r="X878" s="754"/>
      <c r="Y878" s="754"/>
      <c r="Z878" s="754"/>
      <c r="AA878" s="754"/>
      <c r="AB878" s="754"/>
      <c r="AC878" s="754"/>
      <c r="AD878" s="755"/>
    </row>
    <row r="879" spans="1:43" ht="36" customHeight="1">
      <c r="A879" s="115"/>
      <c r="B879" s="181"/>
      <c r="C879" s="754" t="s">
        <v>5401</v>
      </c>
      <c r="D879" s="754"/>
      <c r="E879" s="754"/>
      <c r="F879" s="754"/>
      <c r="G879" s="754"/>
      <c r="H879" s="754"/>
      <c r="I879" s="754"/>
      <c r="J879" s="754"/>
      <c r="K879" s="754"/>
      <c r="L879" s="754"/>
      <c r="M879" s="754"/>
      <c r="N879" s="754"/>
      <c r="O879" s="754"/>
      <c r="P879" s="754"/>
      <c r="Q879" s="754"/>
      <c r="R879" s="754"/>
      <c r="S879" s="754"/>
      <c r="T879" s="754"/>
      <c r="U879" s="754"/>
      <c r="V879" s="754"/>
      <c r="W879" s="754"/>
      <c r="X879" s="754"/>
      <c r="Y879" s="754"/>
      <c r="Z879" s="754"/>
      <c r="AA879" s="754"/>
      <c r="AB879" s="754"/>
      <c r="AC879" s="754"/>
      <c r="AD879" s="755"/>
    </row>
    <row r="880" spans="1:43" ht="36" customHeight="1">
      <c r="A880" s="115"/>
      <c r="B880" s="181"/>
      <c r="C880" s="754" t="s">
        <v>5402</v>
      </c>
      <c r="D880" s="754"/>
      <c r="E880" s="754"/>
      <c r="F880" s="754"/>
      <c r="G880" s="754"/>
      <c r="H880" s="754"/>
      <c r="I880" s="754"/>
      <c r="J880" s="754"/>
      <c r="K880" s="754"/>
      <c r="L880" s="754"/>
      <c r="M880" s="754"/>
      <c r="N880" s="754"/>
      <c r="O880" s="754"/>
      <c r="P880" s="754"/>
      <c r="Q880" s="754"/>
      <c r="R880" s="754"/>
      <c r="S880" s="754"/>
      <c r="T880" s="754"/>
      <c r="U880" s="754"/>
      <c r="V880" s="754"/>
      <c r="W880" s="754"/>
      <c r="X880" s="754"/>
      <c r="Y880" s="754"/>
      <c r="Z880" s="754"/>
      <c r="AA880" s="754"/>
      <c r="AB880" s="754"/>
      <c r="AC880" s="754"/>
      <c r="AD880" s="755"/>
    </row>
    <row r="881" spans="1:57" ht="24" customHeight="1">
      <c r="A881" s="115"/>
      <c r="B881" s="181"/>
      <c r="C881" s="754" t="s">
        <v>5403</v>
      </c>
      <c r="D881" s="754"/>
      <c r="E881" s="754"/>
      <c r="F881" s="754"/>
      <c r="G881" s="754"/>
      <c r="H881" s="754"/>
      <c r="I881" s="754"/>
      <c r="J881" s="754"/>
      <c r="K881" s="754"/>
      <c r="L881" s="754"/>
      <c r="M881" s="754"/>
      <c r="N881" s="754"/>
      <c r="O881" s="754"/>
      <c r="P881" s="754"/>
      <c r="Q881" s="754"/>
      <c r="R881" s="754"/>
      <c r="S881" s="754"/>
      <c r="T881" s="754"/>
      <c r="U881" s="754"/>
      <c r="V881" s="754"/>
      <c r="W881" s="754"/>
      <c r="X881" s="754"/>
      <c r="Y881" s="754"/>
      <c r="Z881" s="754"/>
      <c r="AA881" s="754"/>
      <c r="AB881" s="754"/>
      <c r="AC881" s="754"/>
      <c r="AD881" s="755"/>
    </row>
    <row r="882" spans="1:57" ht="36" customHeight="1">
      <c r="A882" s="115"/>
      <c r="B882" s="182"/>
      <c r="C882" s="754" t="s">
        <v>5404</v>
      </c>
      <c r="D882" s="754"/>
      <c r="E882" s="754"/>
      <c r="F882" s="754"/>
      <c r="G882" s="754"/>
      <c r="H882" s="754"/>
      <c r="I882" s="754"/>
      <c r="J882" s="754"/>
      <c r="K882" s="754"/>
      <c r="L882" s="754"/>
      <c r="M882" s="754"/>
      <c r="N882" s="754"/>
      <c r="O882" s="754"/>
      <c r="P882" s="754"/>
      <c r="Q882" s="754"/>
      <c r="R882" s="754"/>
      <c r="S882" s="754"/>
      <c r="T882" s="754"/>
      <c r="U882" s="754"/>
      <c r="V882" s="754"/>
      <c r="W882" s="754"/>
      <c r="X882" s="754"/>
      <c r="Y882" s="754"/>
      <c r="Z882" s="754"/>
      <c r="AA882" s="754"/>
      <c r="AB882" s="754"/>
      <c r="AC882" s="754"/>
      <c r="AD882" s="755"/>
    </row>
    <row r="883" spans="1:57" ht="36" customHeight="1">
      <c r="A883" s="115"/>
      <c r="B883" s="183"/>
      <c r="C883" s="764" t="s">
        <v>5405</v>
      </c>
      <c r="D883" s="764"/>
      <c r="E883" s="764"/>
      <c r="F883" s="764"/>
      <c r="G883" s="764"/>
      <c r="H883" s="764"/>
      <c r="I883" s="764"/>
      <c r="J883" s="764"/>
      <c r="K883" s="764"/>
      <c r="L883" s="764"/>
      <c r="M883" s="764"/>
      <c r="N883" s="764"/>
      <c r="O883" s="764"/>
      <c r="P883" s="764"/>
      <c r="Q883" s="764"/>
      <c r="R883" s="764"/>
      <c r="S883" s="764"/>
      <c r="T883" s="764"/>
      <c r="U883" s="764"/>
      <c r="V883" s="764"/>
      <c r="W883" s="764"/>
      <c r="X883" s="764"/>
      <c r="Y883" s="764"/>
      <c r="Z883" s="764"/>
      <c r="AA883" s="764"/>
      <c r="AB883" s="764"/>
      <c r="AC883" s="764"/>
      <c r="AD883" s="765"/>
    </row>
    <row r="884" spans="1:57" ht="15" customHeight="1">
      <c r="A884" s="170"/>
    </row>
    <row r="885" spans="1:57" ht="24" customHeight="1">
      <c r="A885" s="49" t="s">
        <v>5406</v>
      </c>
      <c r="B885" s="829" t="s">
        <v>5407</v>
      </c>
      <c r="C885" s="829"/>
      <c r="D885" s="829"/>
      <c r="E885" s="829"/>
      <c r="F885" s="829"/>
      <c r="G885" s="829"/>
      <c r="H885" s="829"/>
      <c r="I885" s="829"/>
      <c r="J885" s="829"/>
      <c r="K885" s="829"/>
      <c r="L885" s="829"/>
      <c r="M885" s="829"/>
      <c r="N885" s="829"/>
      <c r="O885" s="829"/>
      <c r="P885" s="829"/>
      <c r="Q885" s="829"/>
      <c r="R885" s="829"/>
      <c r="S885" s="829"/>
      <c r="T885" s="829"/>
      <c r="U885" s="829"/>
      <c r="V885" s="829"/>
      <c r="W885" s="829"/>
      <c r="X885" s="829"/>
      <c r="Y885" s="829"/>
      <c r="Z885" s="829"/>
      <c r="AA885" s="829"/>
      <c r="AB885" s="829"/>
      <c r="AC885" s="829"/>
      <c r="AD885" s="829"/>
    </row>
    <row r="886" spans="1:57" ht="24" customHeight="1">
      <c r="A886" s="49"/>
      <c r="B886" s="105"/>
      <c r="C886" s="754" t="s">
        <v>5408</v>
      </c>
      <c r="D886" s="754"/>
      <c r="E886" s="754"/>
      <c r="F886" s="754"/>
      <c r="G886" s="754"/>
      <c r="H886" s="754"/>
      <c r="I886" s="754"/>
      <c r="J886" s="754"/>
      <c r="K886" s="754"/>
      <c r="L886" s="754"/>
      <c r="M886" s="754"/>
      <c r="N886" s="754"/>
      <c r="O886" s="754"/>
      <c r="P886" s="754"/>
      <c r="Q886" s="754"/>
      <c r="R886" s="754"/>
      <c r="S886" s="754"/>
      <c r="T886" s="754"/>
      <c r="U886" s="754"/>
      <c r="V886" s="754"/>
      <c r="W886" s="754"/>
      <c r="X886" s="754"/>
      <c r="Y886" s="754"/>
      <c r="Z886" s="754"/>
      <c r="AA886" s="754"/>
      <c r="AB886" s="754"/>
      <c r="AC886" s="754"/>
      <c r="AD886" s="754"/>
    </row>
    <row r="887" spans="1:57" ht="48" customHeight="1">
      <c r="A887" s="49"/>
      <c r="B887" s="105"/>
      <c r="C887" s="830" t="s">
        <v>5409</v>
      </c>
      <c r="D887" s="830"/>
      <c r="E887" s="830"/>
      <c r="F887" s="830"/>
      <c r="G887" s="830"/>
      <c r="H887" s="830"/>
      <c r="I887" s="830"/>
      <c r="J887" s="830"/>
      <c r="K887" s="830"/>
      <c r="L887" s="830"/>
      <c r="M887" s="830"/>
      <c r="N887" s="830"/>
      <c r="O887" s="830"/>
      <c r="P887" s="830"/>
      <c r="Q887" s="830"/>
      <c r="R887" s="830"/>
      <c r="S887" s="830"/>
      <c r="T887" s="830"/>
      <c r="U887" s="830"/>
      <c r="V887" s="830"/>
      <c r="W887" s="830"/>
      <c r="X887" s="830"/>
      <c r="Y887" s="830"/>
      <c r="Z887" s="830"/>
      <c r="AA887" s="830"/>
      <c r="AB887" s="830"/>
      <c r="AC887" s="830"/>
      <c r="AD887" s="830"/>
    </row>
    <row r="888" spans="1:57" ht="48" customHeight="1">
      <c r="A888" s="49"/>
      <c r="B888" s="38"/>
      <c r="C888" s="830" t="s">
        <v>5410</v>
      </c>
      <c r="D888" s="830"/>
      <c r="E888" s="830"/>
      <c r="F888" s="830"/>
      <c r="G888" s="830"/>
      <c r="H888" s="830"/>
      <c r="I888" s="830"/>
      <c r="J888" s="830"/>
      <c r="K888" s="830"/>
      <c r="L888" s="830"/>
      <c r="M888" s="830"/>
      <c r="N888" s="830"/>
      <c r="O888" s="830"/>
      <c r="P888" s="830"/>
      <c r="Q888" s="830"/>
      <c r="R888" s="830"/>
      <c r="S888" s="830"/>
      <c r="T888" s="830"/>
      <c r="U888" s="830"/>
      <c r="V888" s="830"/>
      <c r="W888" s="830"/>
      <c r="X888" s="830"/>
      <c r="Y888" s="830"/>
      <c r="Z888" s="830"/>
      <c r="AA888" s="830"/>
      <c r="AB888" s="830"/>
      <c r="AC888" s="830"/>
      <c r="AD888" s="830"/>
    </row>
    <row r="889" spans="1:57" ht="15" customHeight="1">
      <c r="A889" s="108"/>
      <c r="B889" s="38"/>
      <c r="C889" s="38"/>
      <c r="D889" s="38"/>
      <c r="E889" s="38"/>
      <c r="F889" s="38"/>
      <c r="G889" s="38"/>
      <c r="H889" s="38"/>
      <c r="I889" s="38"/>
      <c r="J889" s="38"/>
      <c r="K889" s="38"/>
      <c r="L889" s="38"/>
      <c r="M889" s="38"/>
      <c r="N889" s="38"/>
      <c r="O889" s="38"/>
      <c r="P889" s="38"/>
      <c r="Q889" s="38"/>
      <c r="R889" s="38"/>
      <c r="S889" s="38"/>
      <c r="T889" s="38"/>
      <c r="U889" s="38"/>
      <c r="V889" s="38"/>
      <c r="W889" s="38"/>
      <c r="X889" s="38"/>
      <c r="Y889" s="38"/>
      <c r="Z889" s="38"/>
      <c r="AA889" s="38"/>
      <c r="AB889" s="38"/>
      <c r="AC889" s="38"/>
      <c r="AD889" s="38"/>
    </row>
    <row r="890" spans="1:57" ht="15" customHeight="1">
      <c r="A890" s="49"/>
      <c r="B890" s="38"/>
      <c r="C890" s="75"/>
      <c r="D890" s="75"/>
      <c r="E890" s="75"/>
      <c r="F890" s="75"/>
      <c r="G890" s="75"/>
      <c r="H890" s="75"/>
      <c r="I890" s="75"/>
      <c r="J890" s="75"/>
      <c r="K890" s="75"/>
      <c r="L890" s="75"/>
      <c r="M890" s="75"/>
      <c r="N890" s="75"/>
      <c r="O890" s="75"/>
      <c r="P890" s="75"/>
      <c r="Q890" s="75"/>
      <c r="R890" s="75"/>
      <c r="S890" s="75"/>
      <c r="T890" s="75"/>
      <c r="U890" s="75"/>
      <c r="V890" s="75"/>
      <c r="W890" s="75"/>
      <c r="X890" s="75"/>
      <c r="Y890" s="75"/>
      <c r="Z890" s="75"/>
      <c r="AA890" s="873" t="s">
        <v>2664</v>
      </c>
      <c r="AB890" s="873"/>
      <c r="AC890" s="873"/>
      <c r="AD890" s="873"/>
    </row>
    <row r="891" spans="1:57" ht="48" customHeight="1">
      <c r="A891" s="49"/>
      <c r="B891" s="38"/>
      <c r="C891" s="797" t="s">
        <v>4728</v>
      </c>
      <c r="D891" s="798"/>
      <c r="E891" s="798"/>
      <c r="F891" s="798"/>
      <c r="G891" s="798"/>
      <c r="H891" s="798"/>
      <c r="I891" s="798"/>
      <c r="J891" s="798"/>
      <c r="K891" s="798"/>
      <c r="L891" s="798"/>
      <c r="M891" s="798"/>
      <c r="N891" s="798"/>
      <c r="O891" s="799"/>
      <c r="P891" s="739" t="s">
        <v>5411</v>
      </c>
      <c r="Q891" s="740"/>
      <c r="R891" s="740"/>
      <c r="S891" s="740"/>
      <c r="T891" s="740"/>
      <c r="U891" s="740"/>
      <c r="V891" s="740"/>
      <c r="W891" s="740"/>
      <c r="X891" s="740"/>
      <c r="Y891" s="740"/>
      <c r="Z891" s="740"/>
      <c r="AA891" s="740"/>
      <c r="AB891" s="740"/>
      <c r="AC891" s="740"/>
      <c r="AD891" s="741"/>
    </row>
    <row r="892" spans="1:57" ht="24" customHeight="1">
      <c r="A892" s="49"/>
      <c r="B892" s="38"/>
      <c r="C892" s="800"/>
      <c r="D892" s="801"/>
      <c r="E892" s="801"/>
      <c r="F892" s="801"/>
      <c r="G892" s="801"/>
      <c r="H892" s="801"/>
      <c r="I892" s="801"/>
      <c r="J892" s="801"/>
      <c r="K892" s="801"/>
      <c r="L892" s="801"/>
      <c r="M892" s="801"/>
      <c r="N892" s="801"/>
      <c r="O892" s="802"/>
      <c r="P892" s="874" t="s">
        <v>2628</v>
      </c>
      <c r="Q892" s="857" t="s">
        <v>2629</v>
      </c>
      <c r="R892" s="857" t="s">
        <v>2630</v>
      </c>
      <c r="S892" s="818" t="s">
        <v>4591</v>
      </c>
      <c r="T892" s="819"/>
      <c r="U892" s="820"/>
      <c r="V892" s="733" t="s">
        <v>4592</v>
      </c>
      <c r="W892" s="734"/>
      <c r="X892" s="734"/>
      <c r="Y892" s="734"/>
      <c r="Z892" s="734"/>
      <c r="AA892" s="734"/>
      <c r="AB892" s="734"/>
      <c r="AC892" s="734"/>
      <c r="AD892" s="735"/>
    </row>
    <row r="893" spans="1:57" ht="96" customHeight="1">
      <c r="A893" s="110"/>
      <c r="B893" s="57"/>
      <c r="C893" s="800"/>
      <c r="D893" s="801"/>
      <c r="E893" s="801"/>
      <c r="F893" s="801"/>
      <c r="G893" s="801"/>
      <c r="H893" s="801"/>
      <c r="I893" s="801"/>
      <c r="J893" s="801"/>
      <c r="K893" s="801"/>
      <c r="L893" s="801"/>
      <c r="M893" s="801"/>
      <c r="N893" s="801"/>
      <c r="O893" s="802"/>
      <c r="P893" s="874"/>
      <c r="Q893" s="857"/>
      <c r="R893" s="857"/>
      <c r="S893" s="824"/>
      <c r="T893" s="825"/>
      <c r="U893" s="826"/>
      <c r="V893" s="858" t="s">
        <v>5174</v>
      </c>
      <c r="W893" s="859"/>
      <c r="X893" s="860"/>
      <c r="Y893" s="857" t="s">
        <v>5175</v>
      </c>
      <c r="Z893" s="857"/>
      <c r="AA893" s="857"/>
      <c r="AB893" s="857" t="s">
        <v>5176</v>
      </c>
      <c r="AC893" s="857"/>
      <c r="AD893" s="857"/>
    </row>
    <row r="894" spans="1:57" ht="48" customHeight="1">
      <c r="A894" s="110"/>
      <c r="B894" s="57"/>
      <c r="C894" s="803"/>
      <c r="D894" s="804"/>
      <c r="E894" s="804"/>
      <c r="F894" s="804"/>
      <c r="G894" s="804"/>
      <c r="H894" s="804"/>
      <c r="I894" s="804"/>
      <c r="J894" s="804"/>
      <c r="K894" s="804"/>
      <c r="L894" s="804"/>
      <c r="M894" s="804"/>
      <c r="N894" s="804"/>
      <c r="O894" s="805"/>
      <c r="P894" s="874"/>
      <c r="Q894" s="857"/>
      <c r="R894" s="857"/>
      <c r="S894" s="127" t="s">
        <v>2635</v>
      </c>
      <c r="T894" s="128" t="s">
        <v>2629</v>
      </c>
      <c r="U894" s="128" t="s">
        <v>2630</v>
      </c>
      <c r="V894" s="127" t="s">
        <v>2635</v>
      </c>
      <c r="W894" s="128" t="s">
        <v>2629</v>
      </c>
      <c r="X894" s="128" t="s">
        <v>2630</v>
      </c>
      <c r="Y894" s="127" t="s">
        <v>2635</v>
      </c>
      <c r="Z894" s="128" t="s">
        <v>2629</v>
      </c>
      <c r="AA894" s="128" t="s">
        <v>2630</v>
      </c>
      <c r="AB894" s="127" t="s">
        <v>2635</v>
      </c>
      <c r="AC894" s="128" t="s">
        <v>2629</v>
      </c>
      <c r="AD894" s="128" t="s">
        <v>2630</v>
      </c>
      <c r="AG894" t="s">
        <v>2586</v>
      </c>
      <c r="AH894" t="s">
        <v>4599</v>
      </c>
      <c r="AK894" t="s">
        <v>4573</v>
      </c>
      <c r="AL894" t="s">
        <v>2638</v>
      </c>
      <c r="AM894" t="s">
        <v>2639</v>
      </c>
      <c r="AN894" t="s">
        <v>4574</v>
      </c>
      <c r="AO894" t="s">
        <v>2641</v>
      </c>
      <c r="AP894" t="s">
        <v>2642</v>
      </c>
      <c r="AQ894" t="s">
        <v>4575</v>
      </c>
      <c r="AR894" t="s">
        <v>2644</v>
      </c>
      <c r="AS894" t="s">
        <v>2645</v>
      </c>
      <c r="AT894" t="s">
        <v>4576</v>
      </c>
      <c r="AU894" t="s">
        <v>2647</v>
      </c>
      <c r="AV894" t="s">
        <v>2648</v>
      </c>
      <c r="AW894" t="s">
        <v>5177</v>
      </c>
      <c r="AX894" t="s">
        <v>2757</v>
      </c>
      <c r="AY894" t="s">
        <v>2758</v>
      </c>
      <c r="AZ894" t="s">
        <v>5291</v>
      </c>
      <c r="BA894"/>
      <c r="BB894"/>
      <c r="BC894" t="s">
        <v>5290</v>
      </c>
      <c r="BD894"/>
      <c r="BE894"/>
    </row>
    <row r="895" spans="1:57" ht="15" customHeight="1">
      <c r="A895" s="110"/>
      <c r="B895" s="57"/>
      <c r="C895" s="97" t="s">
        <v>2516</v>
      </c>
      <c r="D895" s="813" t="s">
        <v>4731</v>
      </c>
      <c r="E895" s="814"/>
      <c r="F895" s="814"/>
      <c r="G895" s="814"/>
      <c r="H895" s="814"/>
      <c r="I895" s="814"/>
      <c r="J895" s="814"/>
      <c r="K895" s="814"/>
      <c r="L895" s="814"/>
      <c r="M895" s="814"/>
      <c r="N895" s="814"/>
      <c r="O895" s="815"/>
      <c r="P895" s="100"/>
      <c r="Q895" s="100"/>
      <c r="R895" s="100"/>
      <c r="S895" s="100"/>
      <c r="T895" s="100"/>
      <c r="U895" s="100"/>
      <c r="V895" s="100"/>
      <c r="W895" s="100"/>
      <c r="X895" s="100"/>
      <c r="Y895" s="100"/>
      <c r="Z895" s="100"/>
      <c r="AA895" s="100"/>
      <c r="AB895" s="100"/>
      <c r="AC895" s="100"/>
      <c r="AD895" s="100"/>
      <c r="AG895" s="506">
        <f>IF(OR($M$48=0,$M$48="NS",$M$48="NA"),0,IF(COUNTA(P895:AD896,V904:AD905)=48,0,1))</f>
        <v>0</v>
      </c>
      <c r="AH895" s="506">
        <f>IF(OR($M$48=0,$M$48="NS",$M$48="NA"),IF(SUM(COUNTBLANK(P895:AD896),COUNTBLANK(V904:AD905))=48,0,1),0)</f>
        <v>0</v>
      </c>
      <c r="AK895">
        <f>COUNTIF(Q895:R895,"NS")</f>
        <v>0</v>
      </c>
      <c r="AL895">
        <f>SUM(Q895:R895)</f>
        <v>0</v>
      </c>
      <c r="AM895">
        <f>IF(COUNTIF(P895:R895,"NA")=3,0,IF(COUNTA(P895:R895)=0,0,IF(OR(AND(P895=0,AK895&gt;0),AND(P895="ns",AL895&gt;0),AND(P895="ns",AK895=0,AL895=0)),1,IF(OR(AND(P895&gt;0,AK895=2),AND(P895="ns",AK895=2),AND(P895="ns",AL895=0,AK895&gt;0),P895=AL895),0,1))))</f>
        <v>0</v>
      </c>
      <c r="AN895">
        <f>COUNTIF(T895:U895,"NS")</f>
        <v>0</v>
      </c>
      <c r="AO895">
        <f>SUM(T895:U895)</f>
        <v>0</v>
      </c>
      <c r="AP895">
        <f>IF(COUNTIF(S895:U895,"NA")=3,0,IF(COUNTA(S895:U895)=0,0,IF(OR(AND(S895=0,AN895&gt;0),AND(S895="ns",AO895&gt;0),AND(S895="ns",AN895=0,AO895=0)),1,IF(OR(AND(S895&gt;0,AN895=2),AND(S895="ns",AN895=2),AND(S895="ns",AO895=0,AN895&gt;0),S895=AO895),0,1))))</f>
        <v>0</v>
      </c>
      <c r="AQ895">
        <f>COUNTIF(W895:X895,"NS")</f>
        <v>0</v>
      </c>
      <c r="AR895">
        <f>SUM(W895:X895)</f>
        <v>0</v>
      </c>
      <c r="AS895">
        <f>IF(COUNTIF(V895:X895,"NA")=3,0,IF(COUNTA(V895:X895)=0,0,IF(OR(AND(V895=0,AQ895&gt;0),AND(V895="ns",AR895&gt;0),AND(V895="ns",AQ895=0,AR895=0)),1,IF(OR(AND(V895&gt;0,AQ895=2),AND(V895="ns",AQ895=2),AND(V895="ns",AR895=0,AQ895&gt;0),V895=AR895),0,1))))</f>
        <v>0</v>
      </c>
      <c r="AT895">
        <f>COUNTIF(Z895:AA895,"NS")</f>
        <v>0</v>
      </c>
      <c r="AU895">
        <f>SUM(Z895:AA895)</f>
        <v>0</v>
      </c>
      <c r="AV895">
        <f>IF(COUNTIF(Y895:AA895,"NA")=3,0,IF(COUNTA(Y895:AA895)=0,0,IF(OR(AND(Y895=0,AT895&gt;0),AND(Y895="ns",AU895&gt;0),AND(Y895="ns",AT895=0,AU895=0)),1,IF(OR(AND(Y895&gt;0,AT895=2),AND(Y895="ns",AT895=2),AND(Y895="ns",AU895=0,AT895&gt;0),Y895=AU895),0,1))))</f>
        <v>0</v>
      </c>
      <c r="AW895">
        <f>COUNTIF(AC895:AD895,"NS")</f>
        <v>0</v>
      </c>
      <c r="AX895">
        <f>SUM(AC895:AD895)</f>
        <v>0</v>
      </c>
      <c r="AY895">
        <f>IF(COUNTIF(AB895:AD895,"NA")=3,0,IF(COUNTA(AB895:AD895)=0,0,IF(OR(AND(AB895=0,AW895&gt;0),AND(AB895="ns",AX895&gt;0),AND(AB895="ns",AW895=0,AX895=0)),1,IF(OR(AND(AB895&gt;0,AW895=2),AND(AB895="ns",AW895=2),AND(AB895="ns",AX895=0,AW895&gt;0),AB895=AX895),0,1))))</f>
        <v>0</v>
      </c>
      <c r="AZ895" cm="1">
        <f t="array" ref="AZ895">IF(OR(P895={"NS","NA"},$V$72={"NS","NA"}),0,IF(P895&gt;=$V$72,0,1))</f>
        <v>0</v>
      </c>
      <c r="BA895" cm="1">
        <f t="array" ref="BA895">IF(OR(Q895={"NS","NA"},$W$72={"NS","NA"}),0,IF(Q895&gt;=$W$72,0,1))</f>
        <v>0</v>
      </c>
      <c r="BB895" cm="1">
        <f t="array" ref="BB895">IF(OR(R895={"NS","NA"},$X$72={"NS","NA"}),0,IF(R895&gt;=$X$72,0,1))</f>
        <v>0</v>
      </c>
      <c r="BC895" cm="1">
        <f t="array" ref="BC895">IF(OR(P897={"NS","NA"},P97={"NS","NA"}),0,IF(P897&gt;=P97,0,1))</f>
        <v>0</v>
      </c>
      <c r="BD895" cm="1">
        <f t="array" ref="BD895">IF(OR(Q897={"NS","NA"},Q97={"NS","NA"}),0,IF(Q897&gt;=Q97,0,1))</f>
        <v>0</v>
      </c>
      <c r="BE895" cm="1">
        <f t="array" ref="BE895">IF(OR(R897={"NS","NA"},R97={"NS","NA"}),0,IF(R897&gt;=R97,0,1))</f>
        <v>0</v>
      </c>
    </row>
    <row r="896" spans="1:57" ht="15" customHeight="1">
      <c r="A896" s="110"/>
      <c r="B896" s="57"/>
      <c r="C896" s="98" t="s">
        <v>2517</v>
      </c>
      <c r="D896" s="796" t="s">
        <v>4571</v>
      </c>
      <c r="E896" s="796"/>
      <c r="F896" s="796"/>
      <c r="G896" s="796"/>
      <c r="H896" s="796"/>
      <c r="I896" s="796"/>
      <c r="J896" s="796"/>
      <c r="K896" s="796"/>
      <c r="L896" s="796"/>
      <c r="M896" s="796"/>
      <c r="N896" s="796"/>
      <c r="O896" s="796"/>
      <c r="P896" s="100"/>
      <c r="Q896" s="100"/>
      <c r="R896" s="100"/>
      <c r="S896" s="100"/>
      <c r="T896" s="100"/>
      <c r="U896" s="100"/>
      <c r="V896" s="100"/>
      <c r="W896" s="100"/>
      <c r="X896" s="100"/>
      <c r="Y896" s="100"/>
      <c r="Z896" s="100"/>
      <c r="AA896" s="100"/>
      <c r="AB896" s="100"/>
      <c r="AC896" s="100"/>
      <c r="AD896" s="100"/>
      <c r="AK896">
        <f>COUNTIF(Q896:R896,"NS")</f>
        <v>0</v>
      </c>
      <c r="AL896">
        <f>SUM(Q896:R896)</f>
        <v>0</v>
      </c>
      <c r="AM896">
        <f>IF(COUNTIF(P896:R896,"NA")=3,0,IF(COUNTA(P896:R896)=0,0,IF(OR(AND(P896=0,AK896&gt;0),AND(P896="ns",AL896&gt;0),AND(P896="ns",AK896=0,AL896=0)),1,IF(OR(AND(P896&gt;0,AK896=2),AND(P896="ns",AK896=2),AND(P896="ns",AL896=0,AK896&gt;0),P896=AL896),0,1))))</f>
        <v>0</v>
      </c>
      <c r="AN896">
        <f>COUNTIF(T896:U896,"NS")</f>
        <v>0</v>
      </c>
      <c r="AO896">
        <f>SUM(T896:U896)</f>
        <v>0</v>
      </c>
      <c r="AP896">
        <f>IF(COUNTIF(S896:U896,"NA")=3,0,IF(COUNTA(S896:U896)=0,0,IF(OR(AND(S896=0,AN896&gt;0),AND(S896="ns",AO896&gt;0),AND(S896="ns",AN896=0,AO896=0)),1,IF(OR(AND(S896&gt;0,AN896=2),AND(S896="ns",AN896=2),AND(S896="ns",AO896=0,AN896&gt;0),S896=AO896),0,1))))</f>
        <v>0</v>
      </c>
      <c r="AQ896">
        <f>COUNTIF(W896:X896,"NS")</f>
        <v>0</v>
      </c>
      <c r="AR896">
        <f>SUM(W896:X896)</f>
        <v>0</v>
      </c>
      <c r="AS896">
        <f>IF(COUNTIF(V896:X896,"NA")=3,0,IF(COUNTA(V896:X896)=0,0,IF(OR(AND(V896=0,AQ896&gt;0),AND(V896="ns",AR896&gt;0),AND(V896="ns",AQ896=0,AR896=0)),1,IF(OR(AND(V896&gt;0,AQ896=2),AND(V896="ns",AQ896=2),AND(V896="ns",AR896=0,AQ896&gt;0),V896=AR896),0,1))))</f>
        <v>0</v>
      </c>
      <c r="AT896">
        <f>COUNTIF(Z896:AA896,"NS")</f>
        <v>0</v>
      </c>
      <c r="AU896">
        <f>SUM(Z896:AA896)</f>
        <v>0</v>
      </c>
      <c r="AV896">
        <f>IF(COUNTIF(Y896:AA896,"NA")=3,0,IF(COUNTA(Y896:AA896)=0,0,IF(OR(AND(Y896=0,AT896&gt;0),AND(Y896="ns",AU896&gt;0),AND(Y896="ns",AT896=0,AU896=0)),1,IF(OR(AND(Y896&gt;0,AT896=2),AND(Y896="ns",AT896=2),AND(Y896="ns",AU896=0,AT896&gt;0),Y896=AU896),0,1))))</f>
        <v>0</v>
      </c>
      <c r="AW896">
        <f>COUNTIF(AC896:AD896,"NS")</f>
        <v>0</v>
      </c>
      <c r="AX896">
        <f>SUM(AC896:AD896)</f>
        <v>0</v>
      </c>
      <c r="AY896">
        <f>IF(COUNTIF(AB896:AD896,"NA")=3,0,IF(COUNTA(AB896:AD896)=0,0,IF(OR(AND(AB896=0,AW896&gt;0),AND(AB896="ns",AX896&gt;0),AND(AB896="ns",AW896=0,AX896=0)),1,IF(OR(AND(AB896&gt;0,AW896=2),AND(AB896="ns",AW896=2),AND(AB896="ns",AX896=0,AW896&gt;0),AB896=AX896),0,1))))</f>
        <v>0</v>
      </c>
      <c r="AZ896" cm="1">
        <f t="array" ref="AZ896">IF(OR(P896={"NS","NA"},$Y$72={"NS","NA"}),0,IF(P896&gt;=$Y$72,0,1))</f>
        <v>0</v>
      </c>
      <c r="BA896" cm="1">
        <f t="array" ref="BA896">IF(OR(Q896={"NS","NA"},$Z$72={"NS","NA"}),0,IF(Q896&gt;=$Z$72,0,1))</f>
        <v>0</v>
      </c>
      <c r="BB896" cm="1">
        <f t="array" ref="BB896">IF(OR(R896={"NS","NA"},$AA$72={"NS","NA"}),0,IF(R896&gt;=$AA$72,0,1))</f>
        <v>0</v>
      </c>
      <c r="BC896" cm="1">
        <f t="array" ref="BC896">IF(OR(S897={"NS","NA"},S97={"NS","NA"}),0,IF(S897&gt;=S97,0,1))</f>
        <v>0</v>
      </c>
      <c r="BD896" cm="1">
        <f t="array" ref="BD896">IF(OR(T897={"NS","NA"},T97={"NS","NA"}),0,IF(T897&gt;=T97,0,1))</f>
        <v>0</v>
      </c>
      <c r="BE896" cm="1">
        <f t="array" ref="BE896">IF(OR(U897={"NS","NA"},U97={"NS","NA"}),0,IF(U897&gt;=U97,0,1))</f>
        <v>0</v>
      </c>
    </row>
    <row r="897" spans="1:57" ht="15" customHeight="1">
      <c r="A897" s="49"/>
      <c r="B897" s="38"/>
      <c r="C897" s="38"/>
      <c r="D897" s="38"/>
      <c r="E897" s="38"/>
      <c r="F897" s="38"/>
      <c r="G897" s="38"/>
      <c r="H897" s="38"/>
      <c r="I897" s="38"/>
      <c r="J897" s="38"/>
      <c r="K897" s="38"/>
      <c r="L897" s="117"/>
      <c r="M897" s="104"/>
      <c r="N897" s="104"/>
      <c r="O897" s="117" t="s">
        <v>2649</v>
      </c>
      <c r="P897" s="124">
        <f t="shared" ref="P897:AD897" si="781">IF(AND(SUM(P895:P896)=0,COUNTIF(P895:P896,"NS")&gt;0),"NS",IF(AND(SUM(P895:P896)=0,COUNTIF(P895:P896,0)&gt;0),0,IF(AND(SUM(P895:P896)=0,COUNTIF(P895:P896,"NA")&gt;0),"NA",SUM(P895:P896))))</f>
        <v>0</v>
      </c>
      <c r="Q897" s="124">
        <f t="shared" si="781"/>
        <v>0</v>
      </c>
      <c r="R897" s="124">
        <f t="shared" si="781"/>
        <v>0</v>
      </c>
      <c r="S897" s="124">
        <f t="shared" si="781"/>
        <v>0</v>
      </c>
      <c r="T897" s="124">
        <f t="shared" si="781"/>
        <v>0</v>
      </c>
      <c r="U897" s="124">
        <f t="shared" si="781"/>
        <v>0</v>
      </c>
      <c r="V897" s="124">
        <f t="shared" si="781"/>
        <v>0</v>
      </c>
      <c r="W897" s="124">
        <f t="shared" si="781"/>
        <v>0</v>
      </c>
      <c r="X897" s="124">
        <f t="shared" si="781"/>
        <v>0</v>
      </c>
      <c r="Y897" s="124">
        <f t="shared" si="781"/>
        <v>0</v>
      </c>
      <c r="Z897" s="124">
        <f t="shared" si="781"/>
        <v>0</v>
      </c>
      <c r="AA897" s="124">
        <f t="shared" si="781"/>
        <v>0</v>
      </c>
      <c r="AB897" s="124">
        <f t="shared" si="781"/>
        <v>0</v>
      </c>
      <c r="AC897" s="124">
        <f t="shared" si="781"/>
        <v>0</v>
      </c>
      <c r="AD897" s="124">
        <f t="shared" si="781"/>
        <v>0</v>
      </c>
      <c r="AK897">
        <f>SUM(AK895:AK896)</f>
        <v>0</v>
      </c>
      <c r="AM897">
        <f>SUM(AM895:AM896)</f>
        <v>0</v>
      </c>
      <c r="AN897">
        <f>SUM(AN895:AN896)</f>
        <v>0</v>
      </c>
      <c r="AP897">
        <f>SUM(AP895:AP896)</f>
        <v>0</v>
      </c>
      <c r="AQ897">
        <f>SUM(AQ895:AQ896)</f>
        <v>0</v>
      </c>
      <c r="AS897">
        <f>SUM(AS895:AS896)</f>
        <v>0</v>
      </c>
      <c r="AT897">
        <f>SUM(AT895:AT896)</f>
        <v>0</v>
      </c>
      <c r="AV897">
        <f>SUM(AV895:AV896)</f>
        <v>0</v>
      </c>
      <c r="AW897">
        <f>SUM(AW895:AW896)</f>
        <v>0</v>
      </c>
      <c r="AY897">
        <f>SUM(AY895:AY896)</f>
        <v>0</v>
      </c>
      <c r="AZ897" cm="1">
        <f t="array" ref="AZ897">IF(OR(P897={"NS","NA"},$S$72={"NS","NA"}),0,IF(P897&gt;=$S$72,0,1))</f>
        <v>0</v>
      </c>
      <c r="BA897" cm="1">
        <f t="array" ref="BA897">IF(OR(Q897={"NS","NA"},$T$72={"NS","NA"}),0,IF(Q897&gt;=$T$72,0,1))</f>
        <v>0</v>
      </c>
      <c r="BB897" cm="1">
        <f t="array" ref="BB897">IF(OR(R897={"NS","NA"},$U$72={"NS","NA"}),0,IF(R897&gt;=$U$72,0,1))</f>
        <v>0</v>
      </c>
      <c r="BC897" cm="1">
        <f t="array" ref="BC897">IF(OR(V897={"NS","NA"},V97={"NS","NA"}),0,IF(V897&gt;=V97,0,1))</f>
        <v>0</v>
      </c>
      <c r="BD897" cm="1">
        <f t="array" ref="BD897">IF(OR(W897={"NS","NA"},W97={"NS","NA"}),0,IF(W897&gt;=W97,0,1))</f>
        <v>0</v>
      </c>
      <c r="BE897" cm="1">
        <f t="array" ref="BE897">IF(OR(X897={"NS","NA"},X97={"NS","NA"}),0,IF(X897&gt;=X97,0,1))</f>
        <v>0</v>
      </c>
    </row>
    <row r="898" spans="1:57" ht="15" customHeight="1">
      <c r="A898" s="49"/>
      <c r="B898" s="38"/>
      <c r="C898" s="38"/>
      <c r="D898" s="38"/>
      <c r="E898" s="38"/>
      <c r="F898" s="38"/>
      <c r="G898" s="38"/>
      <c r="H898" s="38"/>
      <c r="I898" s="38"/>
      <c r="J898" s="38"/>
      <c r="K898" s="38"/>
      <c r="L898" s="38"/>
      <c r="M898" s="38"/>
      <c r="N898" s="38"/>
      <c r="O898" s="38"/>
      <c r="P898" s="38"/>
      <c r="Q898" s="38"/>
      <c r="R898" s="38"/>
      <c r="S898" s="38"/>
      <c r="T898" s="38"/>
      <c r="U898" s="38"/>
      <c r="V898" s="38"/>
      <c r="W898" s="38"/>
      <c r="X898" s="38"/>
      <c r="Y898" s="38"/>
      <c r="Z898" s="38"/>
      <c r="AA898" s="38"/>
      <c r="AB898" s="38"/>
      <c r="AC898" s="38"/>
      <c r="AD898" s="38"/>
      <c r="AK898" t="s">
        <v>2650</v>
      </c>
      <c r="AL898" s="427">
        <f>SUM(AM897,AP897,AS897,AV897,AY897)</f>
        <v>0</v>
      </c>
      <c r="AM898" t="s">
        <v>2651</v>
      </c>
      <c r="AN898" s="427">
        <f>SUM(AK897,AN897,AQ897,AT897,AW897)</f>
        <v>0</v>
      </c>
      <c r="BB898" s="680">
        <f>IF(OR($M$48=0,$M$48="NS",$M$48="NA"),0,SUM(AZ895:BB897))</f>
        <v>0</v>
      </c>
      <c r="BC898" cm="1">
        <f t="array" ref="BC898">IF(OR(Y897={"NS","NA"},Y97={"NS","NA"}),0,IF(Y897&gt;=Y97,0,1))</f>
        <v>0</v>
      </c>
      <c r="BD898" cm="1">
        <f t="array" ref="BD898">IF(OR(Z897={"NS","NA"},Z97={"NS","NA"}),0,IF(Z897&gt;=Z97,0,1))</f>
        <v>0</v>
      </c>
      <c r="BE898" cm="1">
        <f t="array" ref="BE898">IF(OR(AA897={"NS","NA"},AA97={"NS","NA"}),0,IF(AA897&gt;=AA97,0,1))</f>
        <v>0</v>
      </c>
    </row>
    <row r="899" spans="1:57" ht="15" customHeight="1">
      <c r="A899" s="49"/>
      <c r="B899" s="38"/>
      <c r="C899" s="75"/>
      <c r="D899" s="75"/>
      <c r="E899" s="75"/>
      <c r="F899" s="75"/>
      <c r="G899" s="75"/>
      <c r="H899" s="75"/>
      <c r="I899" s="75"/>
      <c r="J899" s="75"/>
      <c r="K899" s="75"/>
      <c r="L899" s="75"/>
      <c r="M899" s="75"/>
      <c r="N899" s="75"/>
      <c r="O899" s="75"/>
      <c r="P899" s="75"/>
      <c r="Q899" s="75"/>
      <c r="R899" s="75"/>
      <c r="S899" s="75"/>
      <c r="T899" s="75"/>
      <c r="U899" s="75"/>
      <c r="V899" s="75"/>
      <c r="W899" s="75"/>
      <c r="X899" s="75"/>
      <c r="Y899" s="75"/>
      <c r="Z899" s="75"/>
      <c r="AA899" s="873" t="s">
        <v>2668</v>
      </c>
      <c r="AB899" s="873"/>
      <c r="AC899" s="873"/>
      <c r="AD899" s="873"/>
      <c r="AK899" t="s">
        <v>2652</v>
      </c>
      <c r="AL899">
        <f>IF(AN898&gt;0,IF(SUM(P897)&gt;=SUM(S897,V897,Y897,AB897),0,1),IF(SUM(P897)&lt;&gt;SUM(S897,V897,Y897,AB897),1,0))</f>
        <v>0</v>
      </c>
      <c r="AM899" t="s">
        <v>2653</v>
      </c>
      <c r="AN899">
        <f>IF(AN898&gt;0,IF(SUM(Q897)&gt;=SUM(T897,W897,Z897,AC897),0,1),IF(SUM(Q897)&lt;&gt;SUM(T897,W897,Z897,AC897),1,0))</f>
        <v>0</v>
      </c>
      <c r="AO899" t="s">
        <v>2654</v>
      </c>
      <c r="AP899">
        <f>IF(AN898&gt;0,IF(SUM(R897)&gt;=SUM(U897,X897,AA897,AD897),0,1),IF(SUM(R897)&lt;&gt;SUM(U897,X897,AA897,AD897),1,0))</f>
        <v>0</v>
      </c>
      <c r="BC899" cm="1">
        <f t="array" ref="BC899">IF(OR(AB897={"NS","NA"},AB97={"NS","NA"}),0,IF(AB897&gt;=AB97,0,1))</f>
        <v>0</v>
      </c>
      <c r="BD899" cm="1">
        <f t="array" ref="BD899">IF(OR(AC897={"NS","NA"},AC97={"NS","NA"}),0,IF(AC897&gt;=AC97,0,1))</f>
        <v>0</v>
      </c>
      <c r="BE899" cm="1">
        <f t="array" ref="BE899">IF(OR(AD897={"NS","NA"},AD97={"NS","NA"}),0,IF(AD897&gt;=AD97,0,1))</f>
        <v>0</v>
      </c>
    </row>
    <row r="900" spans="1:57" ht="48" customHeight="1">
      <c r="A900" s="49"/>
      <c r="B900" s="38"/>
      <c r="C900" s="797" t="s">
        <v>4728</v>
      </c>
      <c r="D900" s="798"/>
      <c r="E900" s="798"/>
      <c r="F900" s="798"/>
      <c r="G900" s="798"/>
      <c r="H900" s="798"/>
      <c r="I900" s="798"/>
      <c r="J900" s="798"/>
      <c r="K900" s="798"/>
      <c r="L900" s="798"/>
      <c r="M900" s="798"/>
      <c r="N900" s="798"/>
      <c r="O900" s="798"/>
      <c r="P900" s="798"/>
      <c r="Q900" s="798"/>
      <c r="R900" s="798"/>
      <c r="S900" s="798"/>
      <c r="T900" s="798"/>
      <c r="U900" s="799"/>
      <c r="V900" s="739" t="s">
        <v>5411</v>
      </c>
      <c r="W900" s="740"/>
      <c r="X900" s="740"/>
      <c r="Y900" s="740"/>
      <c r="Z900" s="740"/>
      <c r="AA900" s="740"/>
      <c r="AB900" s="740"/>
      <c r="AC900" s="740"/>
      <c r="AD900" s="741"/>
      <c r="BC900" cm="1">
        <f t="array" ref="BC900">IF(OR(V906={"NS","NA"},V112={"NS","NA"}),0,IF(V906&gt;=V112,0,1))</f>
        <v>0</v>
      </c>
      <c r="BD900" cm="1">
        <f t="array" ref="BD900">IF(OR(W906={"NS","NA"},W112={"NS","NA"}),0,IF(W906&gt;=W112,0,1))</f>
        <v>0</v>
      </c>
      <c r="BE900" cm="1">
        <f t="array" ref="BE900">IF(OR(X906={"NS","NA"},X112={"NS","NA"}),0,IF(X906&gt;=X112,0,1))</f>
        <v>0</v>
      </c>
    </row>
    <row r="901" spans="1:57" ht="24" customHeight="1">
      <c r="A901" s="49"/>
      <c r="B901" s="38"/>
      <c r="C901" s="800"/>
      <c r="D901" s="801"/>
      <c r="E901" s="801"/>
      <c r="F901" s="801"/>
      <c r="G901" s="801"/>
      <c r="H901" s="801"/>
      <c r="I901" s="801"/>
      <c r="J901" s="801"/>
      <c r="K901" s="801"/>
      <c r="L901" s="801"/>
      <c r="M901" s="801"/>
      <c r="N901" s="801"/>
      <c r="O901" s="801"/>
      <c r="P901" s="801"/>
      <c r="Q901" s="801"/>
      <c r="R901" s="801"/>
      <c r="S901" s="801"/>
      <c r="T901" s="801"/>
      <c r="U901" s="802"/>
      <c r="V901" s="733" t="s">
        <v>4593</v>
      </c>
      <c r="W901" s="734"/>
      <c r="X901" s="734"/>
      <c r="Y901" s="734"/>
      <c r="Z901" s="734"/>
      <c r="AA901" s="734"/>
      <c r="AB901" s="734"/>
      <c r="AC901" s="734"/>
      <c r="AD901" s="735"/>
      <c r="BC901" cm="1">
        <f t="array" ref="BC901">IF(OR(Y906={"NS","NA"},Y112={"NS","NA"}),0,IF(Y906&gt;=Y112,0,1))</f>
        <v>0</v>
      </c>
      <c r="BD901" cm="1">
        <f t="array" ref="BD901">IF(OR(Z906={"NS","NA"},Z112={"NS","NA"}),0,IF(Z906&gt;=Z112,0,1))</f>
        <v>0</v>
      </c>
      <c r="BE901" cm="1">
        <f t="array" ref="BE901">IF(OR(AA906={"NS","NA"},AA112={"NS","NA"}),0,IF(AA906&gt;=AA112,0,1))</f>
        <v>0</v>
      </c>
    </row>
    <row r="902" spans="1:57" ht="96" customHeight="1">
      <c r="A902" s="110"/>
      <c r="B902" s="57"/>
      <c r="C902" s="800"/>
      <c r="D902" s="801"/>
      <c r="E902" s="801"/>
      <c r="F902" s="801"/>
      <c r="G902" s="801"/>
      <c r="H902" s="801"/>
      <c r="I902" s="801"/>
      <c r="J902" s="801"/>
      <c r="K902" s="801"/>
      <c r="L902" s="801"/>
      <c r="M902" s="801"/>
      <c r="N902" s="801"/>
      <c r="O902" s="801"/>
      <c r="P902" s="801"/>
      <c r="Q902" s="801"/>
      <c r="R902" s="801"/>
      <c r="S902" s="801"/>
      <c r="T902" s="801"/>
      <c r="U902" s="802"/>
      <c r="V902" s="858" t="s">
        <v>5174</v>
      </c>
      <c r="W902" s="859"/>
      <c r="X902" s="860"/>
      <c r="Y902" s="857" t="s">
        <v>5175</v>
      </c>
      <c r="Z902" s="857"/>
      <c r="AA902" s="857"/>
      <c r="AB902" s="857" t="s">
        <v>5178</v>
      </c>
      <c r="AC902" s="857"/>
      <c r="AD902" s="857"/>
      <c r="BC902" cm="1">
        <f t="array" ref="BC902">IF(OR(AB906={"NS","NA"},AB112={"NS","NA"}),0,IF(AB906&gt;=AB112,0,1))</f>
        <v>0</v>
      </c>
      <c r="BD902" cm="1">
        <f t="array" ref="BD902">IF(OR(AC906={"NS","NA"},AC112={"NS","NA"}),0,IF(AC906&gt;=AC112,0,1))</f>
        <v>0</v>
      </c>
      <c r="BE902" cm="1">
        <f t="array" ref="BE902">IF(OR(AD906={"NS","NA"},AD112={"NS","NA"}),0,IF(AD906&gt;=AD112,0,1))</f>
        <v>0</v>
      </c>
    </row>
    <row r="903" spans="1:57" ht="48" customHeight="1">
      <c r="A903" s="110"/>
      <c r="B903" s="57"/>
      <c r="C903" s="803"/>
      <c r="D903" s="804"/>
      <c r="E903" s="804"/>
      <c r="F903" s="804"/>
      <c r="G903" s="804"/>
      <c r="H903" s="804"/>
      <c r="I903" s="804"/>
      <c r="J903" s="804"/>
      <c r="K903" s="804"/>
      <c r="L903" s="804"/>
      <c r="M903" s="804"/>
      <c r="N903" s="804"/>
      <c r="O903" s="804"/>
      <c r="P903" s="804"/>
      <c r="Q903" s="804"/>
      <c r="R903" s="804"/>
      <c r="S903" s="804"/>
      <c r="T903" s="804"/>
      <c r="U903" s="805"/>
      <c r="V903" s="127" t="s">
        <v>2635</v>
      </c>
      <c r="W903" s="128" t="s">
        <v>2629</v>
      </c>
      <c r="X903" s="128" t="s">
        <v>2630</v>
      </c>
      <c r="Y903" s="127" t="s">
        <v>2635</v>
      </c>
      <c r="Z903" s="128" t="s">
        <v>2629</v>
      </c>
      <c r="AA903" s="128" t="s">
        <v>2630</v>
      </c>
      <c r="AB903" s="127" t="s">
        <v>2635</v>
      </c>
      <c r="AC903" s="128" t="s">
        <v>2629</v>
      </c>
      <c r="AD903" s="128" t="s">
        <v>2630</v>
      </c>
      <c r="AK903" t="s">
        <v>4573</v>
      </c>
      <c r="AL903" t="s">
        <v>2638</v>
      </c>
      <c r="AM903" t="s">
        <v>2639</v>
      </c>
      <c r="AN903" t="s">
        <v>4574</v>
      </c>
      <c r="AO903" t="s">
        <v>2641</v>
      </c>
      <c r="AP903" t="s">
        <v>2642</v>
      </c>
      <c r="AQ903" t="s">
        <v>4575</v>
      </c>
      <c r="AR903" t="s">
        <v>2644</v>
      </c>
      <c r="AS903" t="s">
        <v>2645</v>
      </c>
      <c r="BE903" s="506">
        <f>IF(OR($M$48=0,$M$48="NS",$M$48="NA"),0,SUM(BC895:BE902))</f>
        <v>0</v>
      </c>
    </row>
    <row r="904" spans="1:57" ht="15" customHeight="1">
      <c r="A904" s="110"/>
      <c r="B904" s="57"/>
      <c r="C904" s="97" t="s">
        <v>2516</v>
      </c>
      <c r="D904" s="813" t="s">
        <v>4731</v>
      </c>
      <c r="E904" s="814"/>
      <c r="F904" s="814"/>
      <c r="G904" s="814"/>
      <c r="H904" s="814"/>
      <c r="I904" s="814"/>
      <c r="J904" s="814"/>
      <c r="K904" s="814"/>
      <c r="L904" s="814"/>
      <c r="M904" s="814"/>
      <c r="N904" s="814"/>
      <c r="O904" s="814"/>
      <c r="P904" s="814"/>
      <c r="Q904" s="814"/>
      <c r="R904" s="814"/>
      <c r="S904" s="814"/>
      <c r="T904" s="814"/>
      <c r="U904" s="815"/>
      <c r="V904" s="100"/>
      <c r="W904" s="100"/>
      <c r="X904" s="100"/>
      <c r="Y904" s="100"/>
      <c r="Z904" s="100"/>
      <c r="AA904" s="100"/>
      <c r="AB904" s="100"/>
      <c r="AC904" s="100"/>
      <c r="AD904" s="100"/>
      <c r="AK904">
        <f>COUNTIF(W904:X904,"NS")</f>
        <v>0</v>
      </c>
      <c r="AL904">
        <f>SUM(W904:X904)</f>
        <v>0</v>
      </c>
      <c r="AM904">
        <f>IF(COUNTIF(V904:X904,"NA")=3,0,IF(COUNTA(V904:X904)=0,0,IF(OR(AND(V904=0,AK904&gt;0),AND(V904="ns",AL904&gt;0),AND(V904="ns",AK904=0,AL904=0)),1,IF(OR(AND(V904&gt;0,AK904=2),AND(V904="ns",AK904=2),AND(V904="ns",AL904=0,AK904&gt;0),V904=AL904),0,1))))</f>
        <v>0</v>
      </c>
      <c r="AN904">
        <f>COUNTIF(Z904:AA904,"NS")</f>
        <v>0</v>
      </c>
      <c r="AO904">
        <f>SUM(Z904:AA904)</f>
        <v>0</v>
      </c>
      <c r="AP904">
        <f>IF(COUNTIF(Y904:AA904,"NA")=3,0,IF(COUNTA(Y904:AA904)=0,0,IF(OR(AND(Y904=0,AN904&gt;0),AND(Y904="ns",AO904&gt;0),AND(Y904="ns",AN904=0,AO904=0)),1,IF(OR(AND(Y904&gt;0,AN904=2),AND(Y904="ns",AN904=2),AND(Y904="ns",AO904=0,AN904&gt;0),Y904=AO904),0,1))))</f>
        <v>0</v>
      </c>
      <c r="AQ904">
        <f>COUNTIF(AC904:AD904,"NS")</f>
        <v>0</v>
      </c>
      <c r="AR904">
        <f>SUM(AC904:AD904)</f>
        <v>0</v>
      </c>
      <c r="AS904">
        <f>IF(COUNTIF(AB904:AD904,"NA")=3,0,IF(COUNTA(AB904:AD904)=0,0,IF(OR(AND(AB904=0,AQ904&gt;0),AND(AB904="ns",AR904&gt;0),AND(AB904="ns",AQ904=0,AR904=0)),1,IF(OR(AND(AB904&gt;0,AQ904=2),AND(AB904="ns",AQ904=2),AND(AB904="ns",AR904=0,AQ904&gt;0),AB904=AR904),0,1))))</f>
        <v>0</v>
      </c>
    </row>
    <row r="905" spans="1:57" ht="15" customHeight="1">
      <c r="A905" s="110"/>
      <c r="B905" s="57"/>
      <c r="C905" s="98" t="s">
        <v>2517</v>
      </c>
      <c r="D905" s="813" t="s">
        <v>4571</v>
      </c>
      <c r="E905" s="814"/>
      <c r="F905" s="814"/>
      <c r="G905" s="814"/>
      <c r="H905" s="814"/>
      <c r="I905" s="814"/>
      <c r="J905" s="814"/>
      <c r="K905" s="814"/>
      <c r="L905" s="814"/>
      <c r="M905" s="814"/>
      <c r="N905" s="814"/>
      <c r="O905" s="814"/>
      <c r="P905" s="814"/>
      <c r="Q905" s="814"/>
      <c r="R905" s="814"/>
      <c r="S905" s="814"/>
      <c r="T905" s="814"/>
      <c r="U905" s="815"/>
      <c r="V905" s="100"/>
      <c r="W905" s="100"/>
      <c r="X905" s="100"/>
      <c r="Y905" s="100"/>
      <c r="Z905" s="100"/>
      <c r="AA905" s="100"/>
      <c r="AB905" s="100"/>
      <c r="AC905" s="100"/>
      <c r="AD905" s="100"/>
      <c r="AK905">
        <f>COUNTIF(W905:X905,"NS")</f>
        <v>0</v>
      </c>
      <c r="AL905">
        <f>SUM(W905:X905)</f>
        <v>0</v>
      </c>
      <c r="AM905">
        <f>IF(COUNTIF(V905:X905,"NA")=3,0,IF(COUNTA(V905:X905)=0,0,IF(OR(AND(V905=0,AK905&gt;0),AND(V905="ns",AL905&gt;0),AND(V905="ns",AK905=0,AL905=0)),1,IF(OR(AND(V905&gt;0,AK905=2),AND(V905="ns",AK905=2),AND(V905="ns",AL905=0,AK905&gt;0),V905=AL905),0,1))))</f>
        <v>0</v>
      </c>
      <c r="AN905">
        <f>COUNTIF(Z905:AA905,"NS")</f>
        <v>0</v>
      </c>
      <c r="AO905">
        <f>SUM(Z905:AA905)</f>
        <v>0</v>
      </c>
      <c r="AP905">
        <f>IF(COUNTIF(Y905:AA905,"NA")=3,0,IF(COUNTA(Y905:AA905)=0,0,IF(OR(AND(Y905=0,AN905&gt;0),AND(Y905="ns",AO905&gt;0),AND(Y905="ns",AN905=0,AO905=0)),1,IF(OR(AND(Y905&gt;0,AN905=2),AND(Y905="ns",AN905=2),AND(Y905="ns",AO905=0,AN905&gt;0),Y905=AO905),0,1))))</f>
        <v>0</v>
      </c>
      <c r="AQ905">
        <f>COUNTIF(AC905:AD905,"NS")</f>
        <v>0</v>
      </c>
      <c r="AR905">
        <f>SUM(AC905:AD905)</f>
        <v>0</v>
      </c>
      <c r="AS905">
        <f>IF(COUNTIF(AB905:AD905,"NA")=3,0,IF(COUNTA(AB905:AD905)=0,0,IF(OR(AND(AB905=0,AQ905&gt;0),AND(AB905="ns",AR905&gt;0),AND(AB905="ns",AQ905=0,AR905=0)),1,IF(OR(AND(AB905&gt;0,AQ905=2),AND(AB905="ns",AQ905=2),AND(AB905="ns",AR905=0,AQ905&gt;0),AB905=AR905),0,1))))</f>
        <v>0</v>
      </c>
    </row>
    <row r="906" spans="1:57" ht="15" customHeight="1">
      <c r="A906" s="110"/>
      <c r="B906" s="57"/>
      <c r="C906" s="70"/>
      <c r="D906" s="36"/>
      <c r="E906" s="36"/>
      <c r="F906" s="36"/>
      <c r="G906" s="36"/>
      <c r="H906" s="36"/>
      <c r="I906" s="36"/>
      <c r="J906" s="36"/>
      <c r="K906" s="36"/>
      <c r="L906" s="36"/>
      <c r="M906" s="36"/>
      <c r="N906" s="36"/>
      <c r="O906" s="36"/>
      <c r="P906" s="36"/>
      <c r="Q906" s="36"/>
      <c r="R906" s="36"/>
      <c r="S906" s="36"/>
      <c r="T906" s="36"/>
      <c r="U906" s="36"/>
      <c r="V906" s="124">
        <f t="shared" ref="V906:AD906" si="782">IF(AND(SUM(V904:V905)=0,COUNTIF(V904:V905,"NS")&gt;0),"NS",IF(AND(SUM(V904:V905)=0,COUNTIF(V904:V905,0)&gt;0),0,IF(AND(SUM(V904:V905)=0,COUNTIF(V904:V905,"NA")&gt;0),"NA",SUM(V904:V905))))</f>
        <v>0</v>
      </c>
      <c r="W906" s="124">
        <f t="shared" si="782"/>
        <v>0</v>
      </c>
      <c r="X906" s="124">
        <f t="shared" si="782"/>
        <v>0</v>
      </c>
      <c r="Y906" s="124">
        <f t="shared" si="782"/>
        <v>0</v>
      </c>
      <c r="Z906" s="124">
        <f t="shared" si="782"/>
        <v>0</v>
      </c>
      <c r="AA906" s="124">
        <f t="shared" si="782"/>
        <v>0</v>
      </c>
      <c r="AB906" s="124">
        <f t="shared" si="782"/>
        <v>0</v>
      </c>
      <c r="AC906" s="124">
        <f t="shared" si="782"/>
        <v>0</v>
      </c>
      <c r="AD906" s="124">
        <f t="shared" si="782"/>
        <v>0</v>
      </c>
      <c r="AK906">
        <f>SUM(AK904:AK905)</f>
        <v>0</v>
      </c>
      <c r="AM906">
        <f>SUM(AM904:AM905)</f>
        <v>0</v>
      </c>
      <c r="AN906">
        <f>SUM(AN904:AN905)</f>
        <v>0</v>
      </c>
      <c r="AP906">
        <f>SUM(AP904:AP905)</f>
        <v>0</v>
      </c>
      <c r="AQ906">
        <f>SUM(AQ904:AQ905)</f>
        <v>0</v>
      </c>
      <c r="AS906">
        <f>SUM(AS904:AS905)</f>
        <v>0</v>
      </c>
    </row>
    <row r="907" spans="1:57" ht="15" customHeight="1">
      <c r="A907" s="108"/>
      <c r="B907" s="38"/>
      <c r="C907" s="38"/>
      <c r="D907" s="38"/>
      <c r="E907" s="38"/>
      <c r="F907" s="38"/>
      <c r="G907" s="38"/>
      <c r="H907" s="38"/>
      <c r="I907" s="38"/>
      <c r="J907" s="38"/>
      <c r="K907" s="38"/>
      <c r="L907" s="38"/>
      <c r="M907" s="38"/>
      <c r="N907" s="38"/>
      <c r="O907" s="38"/>
      <c r="P907" s="38"/>
      <c r="Q907" s="38"/>
      <c r="R907" s="38"/>
      <c r="S907" s="38"/>
      <c r="T907" s="38"/>
      <c r="U907" s="38"/>
      <c r="V907" s="38"/>
      <c r="W907" s="38"/>
      <c r="X907" s="38"/>
      <c r="Y907" s="38"/>
      <c r="Z907" s="38"/>
      <c r="AA907" s="38"/>
      <c r="AB907" s="38"/>
      <c r="AC907" s="38"/>
      <c r="AD907" s="38"/>
      <c r="AK907" t="s">
        <v>2650</v>
      </c>
      <c r="AL907" s="427">
        <f>SUM(AM906,AP906,AS906)</f>
        <v>0</v>
      </c>
      <c r="AM907" t="s">
        <v>2651</v>
      </c>
      <c r="AN907" s="427">
        <f>SUM(AK906,AN906,AQ906)</f>
        <v>0</v>
      </c>
    </row>
    <row r="908" spans="1:57" ht="24" customHeight="1">
      <c r="A908" s="108"/>
      <c r="B908" s="38"/>
      <c r="C908" s="754" t="s">
        <v>2611</v>
      </c>
      <c r="D908" s="754"/>
      <c r="E908" s="754"/>
      <c r="F908" s="754"/>
      <c r="G908" s="754"/>
      <c r="H908" s="754"/>
      <c r="I908" s="754"/>
      <c r="J908" s="754"/>
      <c r="K908" s="754"/>
      <c r="L908" s="754"/>
      <c r="M908" s="754"/>
      <c r="N908" s="754"/>
      <c r="O908" s="754"/>
      <c r="P908" s="754"/>
      <c r="Q908" s="754"/>
      <c r="R908" s="754"/>
      <c r="S908" s="754"/>
      <c r="T908" s="754"/>
      <c r="U908" s="754"/>
      <c r="V908" s="754"/>
      <c r="W908" s="754"/>
      <c r="X908" s="754"/>
      <c r="Y908" s="754"/>
      <c r="Z908" s="754"/>
      <c r="AA908" s="754"/>
      <c r="AB908" s="754"/>
      <c r="AC908" s="754"/>
      <c r="AD908" s="754"/>
      <c r="AK908" t="s">
        <v>2652</v>
      </c>
      <c r="AL908">
        <f>IF(AN907&gt;0,IF(SUM(V906)&gt;=SUM(Y906,AB906),0,1),IF(SUM(V906)&lt;&gt;SUM(Y906,AB906),1,0))</f>
        <v>0</v>
      </c>
      <c r="AM908" t="s">
        <v>2653</v>
      </c>
      <c r="AN908">
        <f>IF(AN907&gt;0,IF(SUM(W906)&gt;=SUM(Z906,AC906),0,1),IF(SUM(W906)&lt;&gt;SUM(Z906,AC906),1,0))</f>
        <v>0</v>
      </c>
      <c r="AO908" t="s">
        <v>2654</v>
      </c>
      <c r="AP908">
        <f>IF(AN907&gt;0,IF(SUM(X906)&gt;=SUM(AA906,AD906),0,1),IF(SUM(X906)&lt;&gt;SUM(AA906,AD906),1,0))</f>
        <v>0</v>
      </c>
    </row>
    <row r="909" spans="1:57" ht="60" customHeight="1">
      <c r="A909" s="108"/>
      <c r="B909" s="38"/>
      <c r="C909" s="851"/>
      <c r="D909" s="851"/>
      <c r="E909" s="851"/>
      <c r="F909" s="851"/>
      <c r="G909" s="851"/>
      <c r="H909" s="851"/>
      <c r="I909" s="851"/>
      <c r="J909" s="851"/>
      <c r="K909" s="851"/>
      <c r="L909" s="851"/>
      <c r="M909" s="851"/>
      <c r="N909" s="851"/>
      <c r="O909" s="851"/>
      <c r="P909" s="851"/>
      <c r="Q909" s="851"/>
      <c r="R909" s="851"/>
      <c r="S909" s="851"/>
      <c r="T909" s="851"/>
      <c r="U909" s="851"/>
      <c r="V909" s="851"/>
      <c r="W909" s="851"/>
      <c r="X909" s="851"/>
      <c r="Y909" s="851"/>
      <c r="Z909" s="851"/>
      <c r="AA909" s="851"/>
      <c r="AB909" s="851"/>
      <c r="AC909" s="851"/>
      <c r="AD909" s="851"/>
      <c r="AK909" t="s">
        <v>5179</v>
      </c>
      <c r="AL909" s="507">
        <f>SUM(AL898,AL907)</f>
        <v>0</v>
      </c>
      <c r="AM909" t="s">
        <v>5180</v>
      </c>
      <c r="AN909">
        <f>SUM(AN898,AN907)</f>
        <v>0</v>
      </c>
    </row>
    <row r="910" spans="1:57" ht="15" customHeight="1">
      <c r="A910" s="108"/>
      <c r="B910" s="794" t="str">
        <f>IF(AG895=0,"","Favor de ingresar toda la información requerida en la pregunta")</f>
        <v/>
      </c>
      <c r="C910" s="794"/>
      <c r="D910" s="794"/>
      <c r="E910" s="794"/>
      <c r="F910" s="794"/>
      <c r="G910" s="794"/>
      <c r="H910" s="794"/>
      <c r="I910" s="794"/>
      <c r="J910" s="794"/>
      <c r="K910" s="794"/>
      <c r="L910" s="794"/>
      <c r="M910" s="794"/>
      <c r="N910" s="794"/>
      <c r="O910" s="794"/>
      <c r="P910" s="794"/>
      <c r="Q910" s="794"/>
      <c r="R910" s="794"/>
      <c r="S910" s="794"/>
      <c r="T910" s="794"/>
      <c r="U910" s="794"/>
      <c r="V910" s="794"/>
      <c r="W910" s="794"/>
      <c r="X910" s="794"/>
      <c r="Y910" s="794"/>
      <c r="Z910" s="794"/>
      <c r="AA910" s="794"/>
      <c r="AB910" s="794"/>
      <c r="AC910" s="794"/>
      <c r="AD910" s="794"/>
      <c r="AE910" s="794"/>
      <c r="AK910" t="s">
        <v>5181</v>
      </c>
      <c r="AL910" s="506">
        <f>IF(AN909&gt;0,IF(SUM(P897)&gt;=SUM(S897,V897,Y897,AB897,V906,Y906,AB906),0,1),IF(SUM(P897)&lt;&gt;SUM(S897,V897,Y897,AB897,V906,Y906,AB906),1,0))</f>
        <v>0</v>
      </c>
      <c r="AM910" t="s">
        <v>5182</v>
      </c>
      <c r="AN910" s="506">
        <f>IF(AN909&gt;0,IF(SUM(Q897)&gt;=SUM(T897,W897,Z897,AC897,W906,Z906,AC906),0,1),IF(SUM(Q897)&lt;&gt;SUM(T897,W897,Z897,AC897,W906,Z906,AC906),1,0))</f>
        <v>0</v>
      </c>
      <c r="AO910" t="s">
        <v>5183</v>
      </c>
      <c r="AP910" s="506">
        <f>IF(AN909&gt;0,IF(SUM(R897)&gt;=SUM(U897,X897,AA897,AD897,X906,AA906,AD906),0,1),IF(SUM(R897)&lt;&gt;SUM(U897,X897,AA897,AD897,X906,AA906,AD906),1,0))</f>
        <v>0</v>
      </c>
    </row>
    <row r="911" spans="1:57" ht="15" customHeight="1">
      <c r="A911" s="108"/>
      <c r="B911" s="1087" t="str">
        <f>IF(OR($M$48=0,$M$48="NS",$M$48="NA"),"",IF(SUM(COUNTIF(P895:AD896,"NS"),COUNTIF(V904:AD905,"NS"))&lt;&gt;0,"Alerta: debido a que cuenta con registros NS, debe proporcionar una justificación en el area de comentarios al final de la pregunta",""))</f>
        <v/>
      </c>
      <c r="C911" s="1087"/>
      <c r="D911" s="1087"/>
      <c r="E911" s="1087"/>
      <c r="F911" s="1087"/>
      <c r="G911" s="1087"/>
      <c r="H911" s="1087"/>
      <c r="I911" s="1087"/>
      <c r="J911" s="1087"/>
      <c r="K911" s="1087"/>
      <c r="L911" s="1087"/>
      <c r="M911" s="1087"/>
      <c r="N911" s="1087"/>
      <c r="O911" s="1087"/>
      <c r="P911" s="1087"/>
      <c r="Q911" s="1087"/>
      <c r="R911" s="1087"/>
      <c r="S911" s="1087"/>
      <c r="T911" s="1087"/>
      <c r="U911" s="1087"/>
      <c r="V911" s="1087"/>
      <c r="W911" s="1087"/>
      <c r="X911" s="1087"/>
      <c r="Y911" s="1087"/>
      <c r="Z911" s="1087"/>
      <c r="AA911" s="1087"/>
      <c r="AB911" s="1087"/>
      <c r="AC911" s="1087"/>
      <c r="AD911" s="1087"/>
      <c r="AE911" s="1087"/>
    </row>
    <row r="912" spans="1:57" ht="15" customHeight="1">
      <c r="A912" s="108"/>
      <c r="B912" s="1003" t="str">
        <f>IF(AH895&gt;0,"Revise la información capturada, ya que tiene datos ingresados en celdas que están sombreadas","")</f>
        <v/>
      </c>
      <c r="C912" s="1003"/>
      <c r="D912" s="1003"/>
      <c r="E912" s="1003"/>
      <c r="F912" s="1003"/>
      <c r="G912" s="1003"/>
      <c r="H912" s="1003"/>
      <c r="I912" s="1003"/>
      <c r="J912" s="1003"/>
      <c r="K912" s="1003"/>
      <c r="L912" s="1003"/>
      <c r="M912" s="1003"/>
      <c r="N912" s="1003"/>
      <c r="O912" s="1003"/>
      <c r="P912" s="1003"/>
      <c r="Q912" s="1003"/>
      <c r="R912" s="1003"/>
      <c r="S912" s="1003"/>
      <c r="T912" s="1003"/>
      <c r="U912" s="1003"/>
      <c r="V912" s="1003"/>
      <c r="W912" s="1003"/>
      <c r="X912" s="1003"/>
      <c r="Y912" s="1003"/>
      <c r="Z912" s="1003"/>
      <c r="AA912" s="1003"/>
      <c r="AB912" s="1003"/>
      <c r="AC912" s="1003"/>
      <c r="AD912" s="1003"/>
      <c r="AE912" s="1003"/>
    </row>
    <row r="913" spans="1:51" ht="15" customHeight="1">
      <c r="A913" s="108"/>
      <c r="B913" s="1003" t="str">
        <f>IF(OR($M$48=0,$M$48="NS",$M$48="NA"),"",IF(OR(AL909&gt;0,AL910&gt;0,AN910&gt;0,AP910&gt;0),"Favor de revisar la suma y consistencia de totales y/o subtotales por filas (numéricos y NS)",""))</f>
        <v/>
      </c>
      <c r="C913" s="1003"/>
      <c r="D913" s="1003"/>
      <c r="E913" s="1003"/>
      <c r="F913" s="1003"/>
      <c r="G913" s="1003"/>
      <c r="H913" s="1003"/>
      <c r="I913" s="1003"/>
      <c r="J913" s="1003"/>
      <c r="K913" s="1003"/>
      <c r="L913" s="1003"/>
      <c r="M913" s="1003"/>
      <c r="N913" s="1003"/>
      <c r="O913" s="1003"/>
      <c r="P913" s="1003"/>
      <c r="Q913" s="1003"/>
      <c r="R913" s="1003"/>
      <c r="S913" s="1003"/>
      <c r="T913" s="1003"/>
      <c r="U913" s="1003"/>
      <c r="V913" s="1003"/>
      <c r="W913" s="1003"/>
      <c r="X913" s="1003"/>
      <c r="Y913" s="1003"/>
      <c r="Z913" s="1003"/>
      <c r="AA913" s="1003"/>
      <c r="AB913" s="1003"/>
      <c r="AC913" s="1003"/>
      <c r="AD913" s="1003"/>
      <c r="AE913" s="1003"/>
    </row>
    <row r="914" spans="1:51" ht="15" customHeight="1">
      <c r="A914" s="108"/>
      <c r="B914" s="795" t="str">
        <f>IF(BB898&gt;0,"Alerta: debe de proporcionar una justificación de acuerdo a lo establecido en la instrucción 2","")</f>
        <v/>
      </c>
      <c r="C914" s="795"/>
      <c r="D914" s="795"/>
      <c r="E914" s="795"/>
      <c r="F914" s="795"/>
      <c r="G914" s="795"/>
      <c r="H914" s="795"/>
      <c r="I914" s="795"/>
      <c r="J914" s="795"/>
      <c r="K914" s="795"/>
      <c r="L914" s="795"/>
      <c r="M914" s="795"/>
      <c r="N914" s="795"/>
      <c r="O914" s="795"/>
      <c r="P914" s="795"/>
      <c r="Q914" s="795"/>
      <c r="R914" s="795"/>
      <c r="S914" s="795"/>
      <c r="T914" s="795"/>
      <c r="U914" s="795"/>
      <c r="V914" s="795"/>
      <c r="W914" s="795"/>
      <c r="X914" s="795"/>
      <c r="Y914" s="795"/>
      <c r="Z914" s="795"/>
      <c r="AA914" s="795"/>
      <c r="AB914" s="795"/>
      <c r="AC914" s="795"/>
      <c r="AD914" s="795"/>
      <c r="AE914" s="795"/>
    </row>
    <row r="915" spans="1:51" ht="15" customHeight="1">
      <c r="A915" s="108"/>
      <c r="B915" s="795" t="str">
        <f>IF(BE903&gt;0,"Alerta: debe de proporcionar una justificación de acuerdo a lo establecido en la instrucción 3","")</f>
        <v/>
      </c>
      <c r="C915" s="795"/>
      <c r="D915" s="795"/>
      <c r="E915" s="795"/>
      <c r="F915" s="795"/>
      <c r="G915" s="795"/>
      <c r="H915" s="795"/>
      <c r="I915" s="795"/>
      <c r="J915" s="795"/>
      <c r="K915" s="795"/>
      <c r="L915" s="795"/>
      <c r="M915" s="795"/>
      <c r="N915" s="795"/>
      <c r="O915" s="795"/>
      <c r="P915" s="795"/>
      <c r="Q915" s="795"/>
      <c r="R915" s="795"/>
      <c r="S915" s="795"/>
      <c r="T915" s="795"/>
      <c r="U915" s="795"/>
      <c r="V915" s="795"/>
      <c r="W915" s="795"/>
      <c r="X915" s="795"/>
      <c r="Y915" s="795"/>
      <c r="Z915" s="795"/>
      <c r="AA915" s="795"/>
      <c r="AB915" s="795"/>
      <c r="AC915" s="795"/>
      <c r="AD915" s="795"/>
      <c r="AE915" s="795"/>
    </row>
    <row r="916" spans="1:51" ht="24" customHeight="1">
      <c r="A916" s="49" t="s">
        <v>5412</v>
      </c>
      <c r="B916" s="829" t="s">
        <v>5413</v>
      </c>
      <c r="C916" s="829"/>
      <c r="D916" s="829"/>
      <c r="E916" s="829"/>
      <c r="F916" s="829"/>
      <c r="G916" s="829"/>
      <c r="H916" s="829"/>
      <c r="I916" s="829"/>
      <c r="J916" s="829"/>
      <c r="K916" s="829"/>
      <c r="L916" s="829"/>
      <c r="M916" s="829"/>
      <c r="N916" s="829"/>
      <c r="O916" s="829"/>
      <c r="P916" s="829"/>
      <c r="Q916" s="829"/>
      <c r="R916" s="829"/>
      <c r="S916" s="829"/>
      <c r="T916" s="829"/>
      <c r="U916" s="829"/>
      <c r="V916" s="829"/>
      <c r="W916" s="829"/>
      <c r="X916" s="829"/>
      <c r="Y916" s="829"/>
      <c r="Z916" s="829"/>
      <c r="AA916" s="829"/>
      <c r="AB916" s="829"/>
      <c r="AC916" s="829"/>
      <c r="AD916" s="829"/>
    </row>
    <row r="917" spans="1:51" ht="24" customHeight="1">
      <c r="A917" s="49"/>
      <c r="B917" s="105"/>
      <c r="C917" s="754" t="s">
        <v>4734</v>
      </c>
      <c r="D917" s="754"/>
      <c r="E917" s="754"/>
      <c r="F917" s="754"/>
      <c r="G917" s="754"/>
      <c r="H917" s="754"/>
      <c r="I917" s="754"/>
      <c r="J917" s="754"/>
      <c r="K917" s="754"/>
      <c r="L917" s="754"/>
      <c r="M917" s="754"/>
      <c r="N917" s="754"/>
      <c r="O917" s="754"/>
      <c r="P917" s="754"/>
      <c r="Q917" s="754"/>
      <c r="R917" s="754"/>
      <c r="S917" s="754"/>
      <c r="T917" s="754"/>
      <c r="U917" s="754"/>
      <c r="V917" s="754"/>
      <c r="W917" s="754"/>
      <c r="X917" s="754"/>
      <c r="Y917" s="754"/>
      <c r="Z917" s="754"/>
      <c r="AA917" s="754"/>
      <c r="AB917" s="754"/>
      <c r="AC917" s="754"/>
      <c r="AD917" s="754"/>
    </row>
    <row r="918" spans="1:51" ht="24" customHeight="1">
      <c r="A918" s="49"/>
      <c r="B918" s="38"/>
      <c r="C918" s="754" t="s">
        <v>5414</v>
      </c>
      <c r="D918" s="754"/>
      <c r="E918" s="754"/>
      <c r="F918" s="754"/>
      <c r="G918" s="754"/>
      <c r="H918" s="754"/>
      <c r="I918" s="754"/>
      <c r="J918" s="754"/>
      <c r="K918" s="754"/>
      <c r="L918" s="754"/>
      <c r="M918" s="754"/>
      <c r="N918" s="754"/>
      <c r="O918" s="754"/>
      <c r="P918" s="754"/>
      <c r="Q918" s="754"/>
      <c r="R918" s="754"/>
      <c r="S918" s="754"/>
      <c r="T918" s="754"/>
      <c r="U918" s="754"/>
      <c r="V918" s="754"/>
      <c r="W918" s="754"/>
      <c r="X918" s="754"/>
      <c r="Y918" s="754"/>
      <c r="Z918" s="754"/>
      <c r="AA918" s="754"/>
      <c r="AB918" s="754"/>
      <c r="AC918" s="754"/>
      <c r="AD918" s="754"/>
    </row>
    <row r="919" spans="1:51" ht="15" customHeight="1">
      <c r="A919" s="108"/>
      <c r="B919" s="38"/>
      <c r="C919" s="75"/>
      <c r="D919" s="75"/>
      <c r="E919" s="75"/>
      <c r="F919" s="75"/>
      <c r="G919" s="75"/>
      <c r="H919" s="75"/>
      <c r="I919" s="75"/>
      <c r="J919" s="75"/>
      <c r="K919" s="75"/>
      <c r="L919" s="75"/>
      <c r="M919" s="75"/>
      <c r="N919" s="75"/>
      <c r="O919" s="75"/>
      <c r="P919" s="75"/>
      <c r="Q919" s="75"/>
      <c r="R919" s="75"/>
      <c r="S919" s="75"/>
      <c r="T919" s="75"/>
      <c r="U919" s="75"/>
      <c r="V919" s="75"/>
      <c r="W919" s="75"/>
      <c r="X919" s="75"/>
      <c r="Y919" s="75"/>
      <c r="Z919" s="75"/>
      <c r="AA919" s="75"/>
      <c r="AB919" s="75"/>
      <c r="AC919" s="75"/>
      <c r="AD919" s="75"/>
    </row>
    <row r="920" spans="1:51" ht="15" customHeight="1">
      <c r="A920" s="49"/>
      <c r="B920" s="57"/>
      <c r="C920" s="86"/>
      <c r="D920" s="86"/>
      <c r="E920" s="86"/>
      <c r="F920" s="86"/>
      <c r="G920" s="86"/>
      <c r="H920" s="86"/>
      <c r="I920" s="86"/>
      <c r="J920" s="86"/>
      <c r="K920" s="86"/>
      <c r="L920" s="86"/>
      <c r="M920" s="86"/>
      <c r="N920" s="86"/>
      <c r="O920" s="86"/>
      <c r="P920" s="86"/>
      <c r="Q920" s="86"/>
      <c r="R920" s="86"/>
      <c r="S920" s="86"/>
      <c r="T920" s="86"/>
      <c r="U920" s="86"/>
      <c r="V920" s="86"/>
      <c r="W920" s="86"/>
      <c r="X920" s="86"/>
      <c r="Y920" s="86"/>
      <c r="Z920" s="86"/>
      <c r="AA920" s="873" t="s">
        <v>2664</v>
      </c>
      <c r="AB920" s="873"/>
      <c r="AC920" s="873"/>
      <c r="AD920" s="873"/>
    </row>
    <row r="921" spans="1:51" ht="60" customHeight="1">
      <c r="A921" s="49"/>
      <c r="B921" s="38"/>
      <c r="C921" s="797" t="s">
        <v>4736</v>
      </c>
      <c r="D921" s="798"/>
      <c r="E921" s="799"/>
      <c r="F921" s="797" t="s">
        <v>4737</v>
      </c>
      <c r="G921" s="799"/>
      <c r="H921" s="968" t="s">
        <v>4738</v>
      </c>
      <c r="I921" s="969"/>
      <c r="J921" s="969"/>
      <c r="K921" s="969"/>
      <c r="L921" s="969"/>
      <c r="M921" s="969"/>
      <c r="N921" s="969"/>
      <c r="O921" s="970"/>
      <c r="P921" s="739" t="s">
        <v>5415</v>
      </c>
      <c r="Q921" s="740"/>
      <c r="R921" s="740"/>
      <c r="S921" s="740"/>
      <c r="T921" s="740"/>
      <c r="U921" s="740"/>
      <c r="V921" s="740"/>
      <c r="W921" s="740"/>
      <c r="X921" s="740"/>
      <c r="Y921" s="740"/>
      <c r="Z921" s="740"/>
      <c r="AA921" s="740"/>
      <c r="AB921" s="740"/>
      <c r="AC921" s="740"/>
      <c r="AD921" s="741"/>
    </row>
    <row r="922" spans="1:51" ht="24" customHeight="1">
      <c r="A922" s="49"/>
      <c r="B922" s="38"/>
      <c r="C922" s="800"/>
      <c r="D922" s="801"/>
      <c r="E922" s="802"/>
      <c r="F922" s="800"/>
      <c r="G922" s="802"/>
      <c r="H922" s="1100"/>
      <c r="I922" s="1101"/>
      <c r="J922" s="1101"/>
      <c r="K922" s="1101"/>
      <c r="L922" s="1101"/>
      <c r="M922" s="1101"/>
      <c r="N922" s="1101"/>
      <c r="O922" s="1102"/>
      <c r="P922" s="887" t="s">
        <v>2628</v>
      </c>
      <c r="Q922" s="857" t="s">
        <v>2629</v>
      </c>
      <c r="R922" s="857" t="s">
        <v>2630</v>
      </c>
      <c r="S922" s="818" t="s">
        <v>4591</v>
      </c>
      <c r="T922" s="819"/>
      <c r="U922" s="820"/>
      <c r="V922" s="733" t="s">
        <v>4592</v>
      </c>
      <c r="W922" s="734"/>
      <c r="X922" s="734"/>
      <c r="Y922" s="734"/>
      <c r="Z922" s="734"/>
      <c r="AA922" s="734"/>
      <c r="AB922" s="734"/>
      <c r="AC922" s="734"/>
      <c r="AD922" s="735"/>
    </row>
    <row r="923" spans="1:51" ht="96" customHeight="1">
      <c r="A923" s="49"/>
      <c r="B923" s="38"/>
      <c r="C923" s="800"/>
      <c r="D923" s="801"/>
      <c r="E923" s="802"/>
      <c r="F923" s="800"/>
      <c r="G923" s="802"/>
      <c r="H923" s="1100"/>
      <c r="I923" s="1101"/>
      <c r="J923" s="1101"/>
      <c r="K923" s="1101"/>
      <c r="L923" s="1101"/>
      <c r="M923" s="1101"/>
      <c r="N923" s="1101"/>
      <c r="O923" s="1102"/>
      <c r="P923" s="958"/>
      <c r="Q923" s="857"/>
      <c r="R923" s="857"/>
      <c r="S923" s="824"/>
      <c r="T923" s="825"/>
      <c r="U923" s="826"/>
      <c r="V923" s="858" t="s">
        <v>5174</v>
      </c>
      <c r="W923" s="859"/>
      <c r="X923" s="860"/>
      <c r="Y923" s="857" t="s">
        <v>5175</v>
      </c>
      <c r="Z923" s="857"/>
      <c r="AA923" s="857"/>
      <c r="AB923" s="857" t="s">
        <v>5176</v>
      </c>
      <c r="AC923" s="857"/>
      <c r="AD923" s="857"/>
    </row>
    <row r="924" spans="1:51" ht="48" customHeight="1">
      <c r="A924" s="110"/>
      <c r="B924" s="57"/>
      <c r="C924" s="803"/>
      <c r="D924" s="804"/>
      <c r="E924" s="805"/>
      <c r="F924" s="803"/>
      <c r="G924" s="805"/>
      <c r="H924" s="971"/>
      <c r="I924" s="972"/>
      <c r="J924" s="972"/>
      <c r="K924" s="972"/>
      <c r="L924" s="972"/>
      <c r="M924" s="972"/>
      <c r="N924" s="972"/>
      <c r="O924" s="973"/>
      <c r="P924" s="888"/>
      <c r="Q924" s="857"/>
      <c r="R924" s="857"/>
      <c r="S924" s="127" t="s">
        <v>2635</v>
      </c>
      <c r="T924" s="128" t="s">
        <v>2629</v>
      </c>
      <c r="U924" s="128" t="s">
        <v>2630</v>
      </c>
      <c r="V924" s="127" t="s">
        <v>2635</v>
      </c>
      <c r="W924" s="128" t="s">
        <v>2629</v>
      </c>
      <c r="X924" s="128" t="s">
        <v>2630</v>
      </c>
      <c r="Y924" s="127" t="s">
        <v>2635</v>
      </c>
      <c r="Z924" s="128" t="s">
        <v>2629</v>
      </c>
      <c r="AA924" s="128" t="s">
        <v>2630</v>
      </c>
      <c r="AB924" s="127" t="s">
        <v>2635</v>
      </c>
      <c r="AC924" s="128" t="s">
        <v>2629</v>
      </c>
      <c r="AD924" s="128" t="s">
        <v>2630</v>
      </c>
      <c r="AF924" s="576" t="s">
        <v>4740</v>
      </c>
      <c r="AG924" t="s">
        <v>2586</v>
      </c>
      <c r="AH924" t="s">
        <v>4599</v>
      </c>
      <c r="AI924" t="s">
        <v>4741</v>
      </c>
      <c r="AJ924" t="s">
        <v>4742</v>
      </c>
      <c r="AK924" t="s">
        <v>4573</v>
      </c>
      <c r="AL924" t="s">
        <v>2638</v>
      </c>
      <c r="AM924" t="s">
        <v>2639</v>
      </c>
      <c r="AN924" t="s">
        <v>4574</v>
      </c>
      <c r="AO924" t="s">
        <v>2641</v>
      </c>
      <c r="AP924" t="s">
        <v>2642</v>
      </c>
      <c r="AQ924" t="s">
        <v>4575</v>
      </c>
      <c r="AR924" t="s">
        <v>2644</v>
      </c>
      <c r="AS924" t="s">
        <v>2645</v>
      </c>
      <c r="AT924" t="s">
        <v>4576</v>
      </c>
      <c r="AU924" t="s">
        <v>2647</v>
      </c>
      <c r="AV924" t="s">
        <v>2648</v>
      </c>
      <c r="AW924" t="s">
        <v>5177</v>
      </c>
      <c r="AX924" t="s">
        <v>2757</v>
      </c>
      <c r="AY924" t="s">
        <v>2758</v>
      </c>
    </row>
    <row r="925" spans="1:51" ht="15" customHeight="1">
      <c r="A925" s="110"/>
      <c r="B925" s="57"/>
      <c r="C925" s="1108" t="s">
        <v>4743</v>
      </c>
      <c r="D925" s="847" t="s">
        <v>5416</v>
      </c>
      <c r="E925" s="848"/>
      <c r="F925" s="1103" t="s">
        <v>4745</v>
      </c>
      <c r="G925" s="1103"/>
      <c r="H925" s="1104" t="s">
        <v>3875</v>
      </c>
      <c r="I925" s="1105"/>
      <c r="J925" s="1105"/>
      <c r="K925" s="1105"/>
      <c r="L925" s="1105"/>
      <c r="M925" s="1105"/>
      <c r="N925" s="1105"/>
      <c r="O925" s="1106"/>
      <c r="P925" s="100"/>
      <c r="Q925" s="100"/>
      <c r="R925" s="100"/>
      <c r="S925" s="100"/>
      <c r="T925" s="100"/>
      <c r="U925" s="100"/>
      <c r="V925" s="100"/>
      <c r="W925" s="100"/>
      <c r="X925" s="100"/>
      <c r="Y925" s="100"/>
      <c r="Z925" s="100"/>
      <c r="AA925" s="100"/>
      <c r="AB925" s="100"/>
      <c r="AC925" s="100"/>
      <c r="AD925" s="100"/>
      <c r="AF925"/>
      <c r="AG925">
        <f>IF(OR($P$895=0,$P$895="NS",$P$895="NA",P925="NA"),0,IF(SUM(COUNTBLANK(P925:AD925),COUNTBLANK(V1097:AD1097))=0,0,1))</f>
        <v>0</v>
      </c>
      <c r="AH925">
        <f t="shared" ref="AH925:AH988" si="783">IF(P925="NA",IF(SUM(COUNTBLANK(Q925:AD925),COUNTBLANK(V1097:AD1097))=23,0,1),0)</f>
        <v>0</v>
      </c>
      <c r="AI925">
        <f>IF(OR($P$895=0,$P$895="NS",$P$895="NA"),IF(SUM(COUNTBLANK(P925:AD1089),COUNTBLANK(V1097:AD1261))=3960,0,1),0)</f>
        <v>0</v>
      </c>
      <c r="AK925">
        <f t="shared" ref="AK925:AK988" si="784">COUNTIF(Q925:R925,"NS")</f>
        <v>0</v>
      </c>
      <c r="AL925">
        <f t="shared" ref="AL925:AL988" si="785">SUM(Q925:R925)</f>
        <v>0</v>
      </c>
      <c r="AM925">
        <f t="shared" ref="AM925:AM988" si="786">IF(COUNTIF(P925:R925,"NA")=3,0,IF(COUNTA(P925:R925)=0,0,IF(OR(AND(P925=0,AK925&gt;0),AND(P925="ns",AL925&gt;0),AND(P925="ns",AK925=0,AL925=0)),1,IF(OR(AND(P925&gt;0,AK925=2),AND(P925="ns",AK925=2),AND(P925="ns",AL925=0,AK925&gt;0),P925=AL925),0,1))))</f>
        <v>0</v>
      </c>
      <c r="AN925">
        <f t="shared" ref="AN925:AN988" si="787">COUNTIF(T925:U925,"NS")</f>
        <v>0</v>
      </c>
      <c r="AO925">
        <f t="shared" ref="AO925:AO988" si="788">SUM(T925:U925)</f>
        <v>0</v>
      </c>
      <c r="AP925">
        <f t="shared" ref="AP925:AP988" si="789">IF(COUNTIF(S925:U925,"NA")=3,0,IF(COUNTA(S925:U925)=0,0,IF(OR(AND(S925=0,AN925&gt;0),AND(S925="ns",AO925&gt;0),AND(S925="ns",AN925=0,AO925=0)),1,IF(OR(AND(S925&gt;0,AN925=2),AND(S925="ns",AN925=2),AND(S925="ns",AO925=0,AN925&gt;0),S925=AO925),0,1))))</f>
        <v>0</v>
      </c>
      <c r="AQ925">
        <f t="shared" ref="AQ925:AQ988" si="790">COUNTIF(W925:X925,"NS")</f>
        <v>0</v>
      </c>
      <c r="AR925">
        <f t="shared" ref="AR925:AR988" si="791">SUM(W925:X925)</f>
        <v>0</v>
      </c>
      <c r="AS925">
        <f t="shared" ref="AS925:AS988" si="792">IF(COUNTIF(V925:X925,"NA")=3,0,IF(COUNTA(V925:X925)=0,0,IF(OR(AND(V925=0,AQ925&gt;0),AND(V925="ns",AR925&gt;0),AND(V925="ns",AQ925=0,AR925=0)),1,IF(OR(AND(V925&gt;0,AQ925=2),AND(V925="ns",AQ925=2),AND(V925="ns",AR925=0,AQ925&gt;0),V925=AR925),0,1))))</f>
        <v>0</v>
      </c>
      <c r="AT925">
        <f t="shared" ref="AT925:AT988" si="793">COUNTIF(Z925:AA925,"NS")</f>
        <v>0</v>
      </c>
      <c r="AU925">
        <f t="shared" ref="AU925:AU988" si="794">SUM(Z925:AA925)</f>
        <v>0</v>
      </c>
      <c r="AV925">
        <f t="shared" ref="AV925:AV988" si="795">IF(COUNTIF(Y925:AA925,"NA")=3,0,IF(COUNTA(Y925:AA925)=0,0,IF(OR(AND(Y925=0,AT925&gt;0),AND(Y925="ns",AU925&gt;0),AND(Y925="ns",AT925=0,AU925=0)),1,IF(OR(AND(Y925&gt;0,AT925=2),AND(Y925="ns",AT925=2),AND(Y925="ns",AU925=0,AT925&gt;0),Y925=AU925),0,1))))</f>
        <v>0</v>
      </c>
      <c r="AW925">
        <f t="shared" ref="AW925:AW988" si="796">COUNTIF(AC925:AD925,"NS")</f>
        <v>0</v>
      </c>
      <c r="AX925">
        <f t="shared" ref="AX925:AX988" si="797">SUM(AC925:AD925)</f>
        <v>0</v>
      </c>
      <c r="AY925">
        <f t="shared" ref="AY925:AY988" si="798">IF(COUNTIF(AB925:AD925,"NA")=3,0,IF(COUNTA(AB925:AD925)=0,0,IF(OR(AND(AB925=0,AW925&gt;0),AND(AB925="ns",AX925&gt;0),AND(AB925="ns",AW925=0,AX925=0)),1,IF(OR(AND(AB925&gt;0,AW925=2),AND(AB925="ns",AW925=2),AND(AB925="ns",AX925=0,AW925&gt;0),AB925=AX925),0,1))))</f>
        <v>0</v>
      </c>
    </row>
    <row r="926" spans="1:51" ht="15" customHeight="1">
      <c r="A926" s="110"/>
      <c r="B926" s="57"/>
      <c r="C926" s="1109"/>
      <c r="D926" s="954"/>
      <c r="E926" s="956"/>
      <c r="F926" s="1103" t="s">
        <v>4746</v>
      </c>
      <c r="G926" s="1103"/>
      <c r="H926" s="1104" t="s">
        <v>4747</v>
      </c>
      <c r="I926" s="1105"/>
      <c r="J926" s="1105"/>
      <c r="K926" s="1105"/>
      <c r="L926" s="1105"/>
      <c r="M926" s="1105"/>
      <c r="N926" s="1105"/>
      <c r="O926" s="1106"/>
      <c r="P926" s="100"/>
      <c r="Q926" s="100"/>
      <c r="R926" s="100"/>
      <c r="S926" s="100"/>
      <c r="T926" s="100"/>
      <c r="U926" s="100"/>
      <c r="V926" s="100"/>
      <c r="W926" s="100"/>
      <c r="X926" s="100"/>
      <c r="Y926" s="100"/>
      <c r="Z926" s="100"/>
      <c r="AA926" s="100"/>
      <c r="AB926" s="100"/>
      <c r="AC926" s="100"/>
      <c r="AD926" s="100"/>
      <c r="AF926"/>
      <c r="AG926">
        <f t="shared" ref="AG926:AG989" si="799">IF(OR($P$895=0,$P$895="NS",$P$895="NA",P926="NA"),0,IF(SUM(COUNTBLANK(P926:AD926),COUNTBLANK(V1098:AD1098))=0,0,1))</f>
        <v>0</v>
      </c>
      <c r="AH926">
        <f t="shared" si="783"/>
        <v>0</v>
      </c>
      <c r="AK926">
        <f t="shared" si="784"/>
        <v>0</v>
      </c>
      <c r="AL926">
        <f t="shared" si="785"/>
        <v>0</v>
      </c>
      <c r="AM926">
        <f t="shared" si="786"/>
        <v>0</v>
      </c>
      <c r="AN926">
        <f t="shared" si="787"/>
        <v>0</v>
      </c>
      <c r="AO926">
        <f t="shared" si="788"/>
        <v>0</v>
      </c>
      <c r="AP926">
        <f t="shared" si="789"/>
        <v>0</v>
      </c>
      <c r="AQ926">
        <f t="shared" si="790"/>
        <v>0</v>
      </c>
      <c r="AR926">
        <f t="shared" si="791"/>
        <v>0</v>
      </c>
      <c r="AS926">
        <f t="shared" si="792"/>
        <v>0</v>
      </c>
      <c r="AT926">
        <f t="shared" si="793"/>
        <v>0</v>
      </c>
      <c r="AU926">
        <f t="shared" si="794"/>
        <v>0</v>
      </c>
      <c r="AV926">
        <f t="shared" si="795"/>
        <v>0</v>
      </c>
      <c r="AW926">
        <f t="shared" si="796"/>
        <v>0</v>
      </c>
      <c r="AX926">
        <f t="shared" si="797"/>
        <v>0</v>
      </c>
      <c r="AY926">
        <f t="shared" si="798"/>
        <v>0</v>
      </c>
    </row>
    <row r="927" spans="1:51" ht="15" customHeight="1">
      <c r="A927" s="110"/>
      <c r="B927" s="57"/>
      <c r="C927" s="1109"/>
      <c r="D927" s="954"/>
      <c r="E927" s="956"/>
      <c r="F927" s="1103" t="s">
        <v>4748</v>
      </c>
      <c r="G927" s="1103"/>
      <c r="H927" s="1104" t="s">
        <v>4749</v>
      </c>
      <c r="I927" s="1105"/>
      <c r="J927" s="1105"/>
      <c r="K927" s="1105"/>
      <c r="L927" s="1105"/>
      <c r="M927" s="1105"/>
      <c r="N927" s="1105"/>
      <c r="O927" s="1106"/>
      <c r="P927" s="100"/>
      <c r="Q927" s="100"/>
      <c r="R927" s="100"/>
      <c r="S927" s="100"/>
      <c r="T927" s="100"/>
      <c r="U927" s="100"/>
      <c r="V927" s="100"/>
      <c r="W927" s="100"/>
      <c r="X927" s="100"/>
      <c r="Y927" s="100"/>
      <c r="Z927" s="100"/>
      <c r="AA927" s="100"/>
      <c r="AB927" s="100"/>
      <c r="AC927" s="100"/>
      <c r="AD927" s="100"/>
      <c r="AF927"/>
      <c r="AG927">
        <f t="shared" si="799"/>
        <v>0</v>
      </c>
      <c r="AH927">
        <f t="shared" si="783"/>
        <v>0</v>
      </c>
      <c r="AK927">
        <f t="shared" si="784"/>
        <v>0</v>
      </c>
      <c r="AL927">
        <f t="shared" si="785"/>
        <v>0</v>
      </c>
      <c r="AM927">
        <f t="shared" si="786"/>
        <v>0</v>
      </c>
      <c r="AN927">
        <f t="shared" si="787"/>
        <v>0</v>
      </c>
      <c r="AO927">
        <f t="shared" si="788"/>
        <v>0</v>
      </c>
      <c r="AP927">
        <f t="shared" si="789"/>
        <v>0</v>
      </c>
      <c r="AQ927">
        <f t="shared" si="790"/>
        <v>0</v>
      </c>
      <c r="AR927">
        <f t="shared" si="791"/>
        <v>0</v>
      </c>
      <c r="AS927">
        <f t="shared" si="792"/>
        <v>0</v>
      </c>
      <c r="AT927">
        <f t="shared" si="793"/>
        <v>0</v>
      </c>
      <c r="AU927">
        <f t="shared" si="794"/>
        <v>0</v>
      </c>
      <c r="AV927">
        <f t="shared" si="795"/>
        <v>0</v>
      </c>
      <c r="AW927">
        <f t="shared" si="796"/>
        <v>0</v>
      </c>
      <c r="AX927">
        <f t="shared" si="797"/>
        <v>0</v>
      </c>
      <c r="AY927">
        <f t="shared" si="798"/>
        <v>0</v>
      </c>
    </row>
    <row r="928" spans="1:51" ht="15" customHeight="1">
      <c r="A928" s="110"/>
      <c r="B928" s="57"/>
      <c r="C928" s="1109"/>
      <c r="D928" s="954"/>
      <c r="E928" s="956"/>
      <c r="F928" s="1103" t="s">
        <v>4750</v>
      </c>
      <c r="G928" s="1103"/>
      <c r="H928" s="1104" t="s">
        <v>4751</v>
      </c>
      <c r="I928" s="1105"/>
      <c r="J928" s="1105"/>
      <c r="K928" s="1105"/>
      <c r="L928" s="1105"/>
      <c r="M928" s="1105"/>
      <c r="N928" s="1105"/>
      <c r="O928" s="1106"/>
      <c r="P928" s="100"/>
      <c r="Q928" s="100"/>
      <c r="R928" s="100"/>
      <c r="S928" s="100"/>
      <c r="T928" s="100"/>
      <c r="U928" s="100"/>
      <c r="V928" s="100"/>
      <c r="W928" s="100"/>
      <c r="X928" s="100"/>
      <c r="Y928" s="100"/>
      <c r="Z928" s="100"/>
      <c r="AA928" s="100"/>
      <c r="AB928" s="100"/>
      <c r="AC928" s="100"/>
      <c r="AD928" s="100"/>
      <c r="AF928"/>
      <c r="AG928">
        <f t="shared" si="799"/>
        <v>0</v>
      </c>
      <c r="AH928">
        <f t="shared" si="783"/>
        <v>0</v>
      </c>
      <c r="AK928">
        <f t="shared" si="784"/>
        <v>0</v>
      </c>
      <c r="AL928">
        <f t="shared" si="785"/>
        <v>0</v>
      </c>
      <c r="AM928">
        <f t="shared" si="786"/>
        <v>0</v>
      </c>
      <c r="AN928">
        <f t="shared" si="787"/>
        <v>0</v>
      </c>
      <c r="AO928">
        <f t="shared" si="788"/>
        <v>0</v>
      </c>
      <c r="AP928">
        <f t="shared" si="789"/>
        <v>0</v>
      </c>
      <c r="AQ928">
        <f t="shared" si="790"/>
        <v>0</v>
      </c>
      <c r="AR928">
        <f t="shared" si="791"/>
        <v>0</v>
      </c>
      <c r="AS928">
        <f t="shared" si="792"/>
        <v>0</v>
      </c>
      <c r="AT928">
        <f t="shared" si="793"/>
        <v>0</v>
      </c>
      <c r="AU928">
        <f t="shared" si="794"/>
        <v>0</v>
      </c>
      <c r="AV928">
        <f t="shared" si="795"/>
        <v>0</v>
      </c>
      <c r="AW928">
        <f t="shared" si="796"/>
        <v>0</v>
      </c>
      <c r="AX928">
        <f t="shared" si="797"/>
        <v>0</v>
      </c>
      <c r="AY928">
        <f t="shared" si="798"/>
        <v>0</v>
      </c>
    </row>
    <row r="929" spans="1:96" ht="24" customHeight="1">
      <c r="A929" s="110"/>
      <c r="B929" s="57"/>
      <c r="C929" s="1109"/>
      <c r="D929" s="954"/>
      <c r="E929" s="956"/>
      <c r="F929" s="1107" t="s">
        <v>4752</v>
      </c>
      <c r="G929" s="1107"/>
      <c r="H929" s="1104" t="s">
        <v>4753</v>
      </c>
      <c r="I929" s="1105"/>
      <c r="J929" s="1105"/>
      <c r="K929" s="1105"/>
      <c r="L929" s="1105"/>
      <c r="M929" s="1105"/>
      <c r="N929" s="1105"/>
      <c r="O929" s="1106"/>
      <c r="P929" s="100"/>
      <c r="Q929" s="100"/>
      <c r="R929" s="100"/>
      <c r="S929" s="100"/>
      <c r="T929" s="100"/>
      <c r="U929" s="100"/>
      <c r="V929" s="100"/>
      <c r="W929" s="100"/>
      <c r="X929" s="100"/>
      <c r="Y929" s="100"/>
      <c r="Z929" s="100"/>
      <c r="AA929" s="100"/>
      <c r="AB929" s="100"/>
      <c r="AC929" s="100"/>
      <c r="AD929" s="100"/>
      <c r="AF929"/>
      <c r="AG929">
        <f t="shared" si="799"/>
        <v>0</v>
      </c>
      <c r="AH929">
        <f t="shared" si="783"/>
        <v>0</v>
      </c>
      <c r="AJ929">
        <f>IF(OR(P929="NS",P929="NA",$P$895=0,$P$895="NS",$P$895="NA"),0,IF((P929*(IFERROR(100/SUM(P925:P929),0)))&gt;25,1,0))</f>
        <v>0</v>
      </c>
      <c r="AK929">
        <f t="shared" si="784"/>
        <v>0</v>
      </c>
      <c r="AL929">
        <f t="shared" si="785"/>
        <v>0</v>
      </c>
      <c r="AM929">
        <f t="shared" si="786"/>
        <v>0</v>
      </c>
      <c r="AN929">
        <f t="shared" si="787"/>
        <v>0</v>
      </c>
      <c r="AO929">
        <f t="shared" si="788"/>
        <v>0</v>
      </c>
      <c r="AP929">
        <f t="shared" si="789"/>
        <v>0</v>
      </c>
      <c r="AQ929">
        <f t="shared" si="790"/>
        <v>0</v>
      </c>
      <c r="AR929">
        <f t="shared" si="791"/>
        <v>0</v>
      </c>
      <c r="AS929">
        <f t="shared" si="792"/>
        <v>0</v>
      </c>
      <c r="AT929">
        <f t="shared" si="793"/>
        <v>0</v>
      </c>
      <c r="AU929">
        <f t="shared" si="794"/>
        <v>0</v>
      </c>
      <c r="AV929">
        <f t="shared" si="795"/>
        <v>0</v>
      </c>
      <c r="AW929">
        <f t="shared" si="796"/>
        <v>0</v>
      </c>
      <c r="AX929">
        <f t="shared" si="797"/>
        <v>0</v>
      </c>
      <c r="AY929">
        <f t="shared" si="798"/>
        <v>0</v>
      </c>
    </row>
    <row r="930" spans="1:96" ht="15" customHeight="1">
      <c r="A930" s="110"/>
      <c r="B930" s="57"/>
      <c r="C930" s="1108" t="s">
        <v>4754</v>
      </c>
      <c r="D930" s="847" t="s">
        <v>4755</v>
      </c>
      <c r="E930" s="848"/>
      <c r="F930" s="1103" t="s">
        <v>4756</v>
      </c>
      <c r="G930" s="1103"/>
      <c r="H930" s="1104" t="s">
        <v>4757</v>
      </c>
      <c r="I930" s="1105"/>
      <c r="J930" s="1105"/>
      <c r="K930" s="1105"/>
      <c r="L930" s="1105"/>
      <c r="M930" s="1105"/>
      <c r="N930" s="1105"/>
      <c r="O930" s="1106"/>
      <c r="P930" s="100"/>
      <c r="Q930" s="100"/>
      <c r="R930" s="100"/>
      <c r="S930" s="100"/>
      <c r="T930" s="100"/>
      <c r="U930" s="100"/>
      <c r="V930" s="100"/>
      <c r="W930" s="100"/>
      <c r="X930" s="100"/>
      <c r="Y930" s="100"/>
      <c r="Z930" s="100"/>
      <c r="AA930" s="100"/>
      <c r="AB930" s="100"/>
      <c r="AC930" s="100"/>
      <c r="AD930" s="100"/>
      <c r="AF930"/>
      <c r="AG930">
        <f t="shared" si="799"/>
        <v>0</v>
      </c>
      <c r="AH930">
        <f t="shared" si="783"/>
        <v>0</v>
      </c>
      <c r="AK930">
        <f t="shared" si="784"/>
        <v>0</v>
      </c>
      <c r="AL930">
        <f t="shared" si="785"/>
        <v>0</v>
      </c>
      <c r="AM930">
        <f t="shared" si="786"/>
        <v>0</v>
      </c>
      <c r="AN930">
        <f t="shared" si="787"/>
        <v>0</v>
      </c>
      <c r="AO930">
        <f t="shared" si="788"/>
        <v>0</v>
      </c>
      <c r="AP930">
        <f t="shared" si="789"/>
        <v>0</v>
      </c>
      <c r="AQ930">
        <f t="shared" si="790"/>
        <v>0</v>
      </c>
      <c r="AR930">
        <f t="shared" si="791"/>
        <v>0</v>
      </c>
      <c r="AS930">
        <f t="shared" si="792"/>
        <v>0</v>
      </c>
      <c r="AT930">
        <f t="shared" si="793"/>
        <v>0</v>
      </c>
      <c r="AU930">
        <f t="shared" si="794"/>
        <v>0</v>
      </c>
      <c r="AV930">
        <f t="shared" si="795"/>
        <v>0</v>
      </c>
      <c r="AW930">
        <f t="shared" si="796"/>
        <v>0</v>
      </c>
      <c r="AX930">
        <f t="shared" si="797"/>
        <v>0</v>
      </c>
      <c r="AY930">
        <f t="shared" si="798"/>
        <v>0</v>
      </c>
    </row>
    <row r="931" spans="1:96" ht="15" customHeight="1">
      <c r="A931" s="110"/>
      <c r="B931" s="57"/>
      <c r="C931" s="1109"/>
      <c r="D931" s="954"/>
      <c r="E931" s="956"/>
      <c r="F931" s="1103" t="s">
        <v>4758</v>
      </c>
      <c r="G931" s="1103"/>
      <c r="H931" s="1104" t="s">
        <v>4759</v>
      </c>
      <c r="I931" s="1105"/>
      <c r="J931" s="1105"/>
      <c r="K931" s="1105"/>
      <c r="L931" s="1105"/>
      <c r="M931" s="1105"/>
      <c r="N931" s="1105"/>
      <c r="O931" s="1106"/>
      <c r="P931" s="100"/>
      <c r="Q931" s="100"/>
      <c r="R931" s="100"/>
      <c r="S931" s="100"/>
      <c r="T931" s="100"/>
      <c r="U931" s="100"/>
      <c r="V931" s="100"/>
      <c r="W931" s="100"/>
      <c r="X931" s="100"/>
      <c r="Y931" s="100"/>
      <c r="Z931" s="100"/>
      <c r="AA931" s="100"/>
      <c r="AB931" s="100"/>
      <c r="AC931" s="100"/>
      <c r="AD931" s="100"/>
      <c r="AF931"/>
      <c r="AG931">
        <f t="shared" si="799"/>
        <v>0</v>
      </c>
      <c r="AH931">
        <f t="shared" si="783"/>
        <v>0</v>
      </c>
      <c r="AK931">
        <f t="shared" si="784"/>
        <v>0</v>
      </c>
      <c r="AL931">
        <f t="shared" si="785"/>
        <v>0</v>
      </c>
      <c r="AM931">
        <f t="shared" si="786"/>
        <v>0</v>
      </c>
      <c r="AN931">
        <f t="shared" si="787"/>
        <v>0</v>
      </c>
      <c r="AO931">
        <f t="shared" si="788"/>
        <v>0</v>
      </c>
      <c r="AP931">
        <f t="shared" si="789"/>
        <v>0</v>
      </c>
      <c r="AQ931">
        <f t="shared" si="790"/>
        <v>0</v>
      </c>
      <c r="AR931">
        <f t="shared" si="791"/>
        <v>0</v>
      </c>
      <c r="AS931">
        <f t="shared" si="792"/>
        <v>0</v>
      </c>
      <c r="AT931">
        <f t="shared" si="793"/>
        <v>0</v>
      </c>
      <c r="AU931">
        <f t="shared" si="794"/>
        <v>0</v>
      </c>
      <c r="AV931">
        <f t="shared" si="795"/>
        <v>0</v>
      </c>
      <c r="AW931">
        <f t="shared" si="796"/>
        <v>0</v>
      </c>
      <c r="AX931">
        <f t="shared" si="797"/>
        <v>0</v>
      </c>
      <c r="AY931">
        <f t="shared" si="798"/>
        <v>0</v>
      </c>
    </row>
    <row r="932" spans="1:96" ht="24" customHeight="1">
      <c r="A932" s="110"/>
      <c r="B932" s="57"/>
      <c r="C932" s="1109"/>
      <c r="D932" s="954"/>
      <c r="E932" s="956"/>
      <c r="F932" s="1103" t="s">
        <v>4760</v>
      </c>
      <c r="G932" s="1103"/>
      <c r="H932" s="1104" t="s">
        <v>4761</v>
      </c>
      <c r="I932" s="1105"/>
      <c r="J932" s="1105"/>
      <c r="K932" s="1105"/>
      <c r="L932" s="1105"/>
      <c r="M932" s="1105"/>
      <c r="N932" s="1105"/>
      <c r="O932" s="1106"/>
      <c r="P932" s="100"/>
      <c r="Q932" s="100"/>
      <c r="R932" s="100"/>
      <c r="S932" s="100"/>
      <c r="T932" s="100"/>
      <c r="U932" s="100"/>
      <c r="V932" s="100"/>
      <c r="W932" s="100"/>
      <c r="X932" s="100"/>
      <c r="Y932" s="100"/>
      <c r="Z932" s="100"/>
      <c r="AA932" s="100"/>
      <c r="AB932" s="100"/>
      <c r="AC932" s="100"/>
      <c r="AD932" s="100"/>
      <c r="AF932"/>
      <c r="AG932">
        <f t="shared" si="799"/>
        <v>0</v>
      </c>
      <c r="AH932">
        <f t="shared" si="783"/>
        <v>0</v>
      </c>
      <c r="AK932">
        <f t="shared" si="784"/>
        <v>0</v>
      </c>
      <c r="AL932">
        <f t="shared" si="785"/>
        <v>0</v>
      </c>
      <c r="AM932">
        <f t="shared" si="786"/>
        <v>0</v>
      </c>
      <c r="AN932">
        <f t="shared" si="787"/>
        <v>0</v>
      </c>
      <c r="AO932">
        <f t="shared" si="788"/>
        <v>0</v>
      </c>
      <c r="AP932">
        <f t="shared" si="789"/>
        <v>0</v>
      </c>
      <c r="AQ932">
        <f t="shared" si="790"/>
        <v>0</v>
      </c>
      <c r="AR932">
        <f t="shared" si="791"/>
        <v>0</v>
      </c>
      <c r="AS932">
        <f t="shared" si="792"/>
        <v>0</v>
      </c>
      <c r="AT932">
        <f t="shared" si="793"/>
        <v>0</v>
      </c>
      <c r="AU932">
        <f t="shared" si="794"/>
        <v>0</v>
      </c>
      <c r="AV932">
        <f t="shared" si="795"/>
        <v>0</v>
      </c>
      <c r="AW932">
        <f t="shared" si="796"/>
        <v>0</v>
      </c>
      <c r="AX932">
        <f t="shared" si="797"/>
        <v>0</v>
      </c>
      <c r="AY932">
        <f t="shared" si="798"/>
        <v>0</v>
      </c>
    </row>
    <row r="933" spans="1:96" ht="15" customHeight="1">
      <c r="A933" s="110"/>
      <c r="B933" s="57"/>
      <c r="C933" s="1109"/>
      <c r="D933" s="954"/>
      <c r="E933" s="956"/>
      <c r="F933" s="1103" t="s">
        <v>4762</v>
      </c>
      <c r="G933" s="1103"/>
      <c r="H933" s="1104" t="s">
        <v>4763</v>
      </c>
      <c r="I933" s="1105"/>
      <c r="J933" s="1105"/>
      <c r="K933" s="1105"/>
      <c r="L933" s="1105"/>
      <c r="M933" s="1105"/>
      <c r="N933" s="1105"/>
      <c r="O933" s="1106"/>
      <c r="P933" s="100"/>
      <c r="Q933" s="100"/>
      <c r="R933" s="100"/>
      <c r="S933" s="100"/>
      <c r="T933" s="100"/>
      <c r="U933" s="100"/>
      <c r="V933" s="100"/>
      <c r="W933" s="100"/>
      <c r="X933" s="100"/>
      <c r="Y933" s="100"/>
      <c r="Z933" s="100"/>
      <c r="AA933" s="100"/>
      <c r="AB933" s="100"/>
      <c r="AC933" s="100"/>
      <c r="AD933" s="100"/>
      <c r="AF933"/>
      <c r="AG933">
        <f t="shared" si="799"/>
        <v>0</v>
      </c>
      <c r="AH933">
        <f t="shared" si="783"/>
        <v>0</v>
      </c>
      <c r="AK933">
        <f t="shared" si="784"/>
        <v>0</v>
      </c>
      <c r="AL933">
        <f t="shared" si="785"/>
        <v>0</v>
      </c>
      <c r="AM933">
        <f t="shared" si="786"/>
        <v>0</v>
      </c>
      <c r="AN933">
        <f t="shared" si="787"/>
        <v>0</v>
      </c>
      <c r="AO933">
        <f t="shared" si="788"/>
        <v>0</v>
      </c>
      <c r="AP933">
        <f t="shared" si="789"/>
        <v>0</v>
      </c>
      <c r="AQ933">
        <f t="shared" si="790"/>
        <v>0</v>
      </c>
      <c r="AR933">
        <f t="shared" si="791"/>
        <v>0</v>
      </c>
      <c r="AS933">
        <f t="shared" si="792"/>
        <v>0</v>
      </c>
      <c r="AT933">
        <f t="shared" si="793"/>
        <v>0</v>
      </c>
      <c r="AU933">
        <f t="shared" si="794"/>
        <v>0</v>
      </c>
      <c r="AV933">
        <f t="shared" si="795"/>
        <v>0</v>
      </c>
      <c r="AW933">
        <f t="shared" si="796"/>
        <v>0</v>
      </c>
      <c r="AX933">
        <f t="shared" si="797"/>
        <v>0</v>
      </c>
      <c r="AY933">
        <f t="shared" si="798"/>
        <v>0</v>
      </c>
    </row>
    <row r="934" spans="1:96" ht="15" customHeight="1">
      <c r="A934" s="110"/>
      <c r="B934" s="57"/>
      <c r="C934" s="1109"/>
      <c r="D934" s="954"/>
      <c r="E934" s="956"/>
      <c r="F934" s="1103" t="s">
        <v>4764</v>
      </c>
      <c r="G934" s="1103"/>
      <c r="H934" s="1104" t="s">
        <v>4765</v>
      </c>
      <c r="I934" s="1105"/>
      <c r="J934" s="1105"/>
      <c r="K934" s="1105"/>
      <c r="L934" s="1105"/>
      <c r="M934" s="1105"/>
      <c r="N934" s="1105"/>
      <c r="O934" s="1106"/>
      <c r="P934" s="100"/>
      <c r="Q934" s="100"/>
      <c r="R934" s="100"/>
      <c r="S934" s="100"/>
      <c r="T934" s="100"/>
      <c r="U934" s="100"/>
      <c r="V934" s="100"/>
      <c r="W934" s="100"/>
      <c r="X934" s="100"/>
      <c r="Y934" s="100"/>
      <c r="Z934" s="100"/>
      <c r="AA934" s="100"/>
      <c r="AB934" s="100"/>
      <c r="AC934" s="100"/>
      <c r="AD934" s="100"/>
      <c r="AF934"/>
      <c r="AG934">
        <f t="shared" si="799"/>
        <v>0</v>
      </c>
      <c r="AH934">
        <f t="shared" si="783"/>
        <v>0</v>
      </c>
      <c r="AK934">
        <f t="shared" si="784"/>
        <v>0</v>
      </c>
      <c r="AL934">
        <f t="shared" si="785"/>
        <v>0</v>
      </c>
      <c r="AM934">
        <f t="shared" si="786"/>
        <v>0</v>
      </c>
      <c r="AN934">
        <f t="shared" si="787"/>
        <v>0</v>
      </c>
      <c r="AO934">
        <f t="shared" si="788"/>
        <v>0</v>
      </c>
      <c r="AP934">
        <f t="shared" si="789"/>
        <v>0</v>
      </c>
      <c r="AQ934">
        <f t="shared" si="790"/>
        <v>0</v>
      </c>
      <c r="AR934">
        <f t="shared" si="791"/>
        <v>0</v>
      </c>
      <c r="AS934">
        <f t="shared" si="792"/>
        <v>0</v>
      </c>
      <c r="AT934">
        <f t="shared" si="793"/>
        <v>0</v>
      </c>
      <c r="AU934">
        <f t="shared" si="794"/>
        <v>0</v>
      </c>
      <c r="AV934">
        <f t="shared" si="795"/>
        <v>0</v>
      </c>
      <c r="AW934">
        <f t="shared" si="796"/>
        <v>0</v>
      </c>
      <c r="AX934">
        <f t="shared" si="797"/>
        <v>0</v>
      </c>
      <c r="AY934">
        <f t="shared" si="798"/>
        <v>0</v>
      </c>
      <c r="AZ934" t="s">
        <v>4766</v>
      </c>
      <c r="BA934" t="s">
        <v>4767</v>
      </c>
      <c r="BB934" t="s">
        <v>4768</v>
      </c>
      <c r="BC934" t="s">
        <v>4769</v>
      </c>
      <c r="BD934" t="s">
        <v>4770</v>
      </c>
      <c r="BE934" t="s">
        <v>4771</v>
      </c>
      <c r="BF934" t="s">
        <v>4772</v>
      </c>
      <c r="BG934" t="s">
        <v>4773</v>
      </c>
      <c r="BH934" t="s">
        <v>4774</v>
      </c>
      <c r="BI934" t="s">
        <v>4775</v>
      </c>
      <c r="BJ934" t="s">
        <v>4776</v>
      </c>
      <c r="BK934" t="s">
        <v>4777</v>
      </c>
      <c r="BL934" t="s">
        <v>4778</v>
      </c>
      <c r="BM934" t="s">
        <v>4779</v>
      </c>
      <c r="BN934" t="s">
        <v>4780</v>
      </c>
      <c r="BO934" t="s">
        <v>4781</v>
      </c>
      <c r="BP934" t="s">
        <v>4782</v>
      </c>
      <c r="BQ934" t="s">
        <v>4783</v>
      </c>
      <c r="BR934" t="s">
        <v>4784</v>
      </c>
      <c r="BS934" t="s">
        <v>4785</v>
      </c>
      <c r="BT934" t="s">
        <v>4786</v>
      </c>
      <c r="BU934" t="s">
        <v>4787</v>
      </c>
      <c r="BV934" t="s">
        <v>4788</v>
      </c>
      <c r="BW934" t="s">
        <v>4789</v>
      </c>
      <c r="BX934" t="s">
        <v>4790</v>
      </c>
      <c r="BY934" t="s">
        <v>4791</v>
      </c>
      <c r="BZ934" t="s">
        <v>4792</v>
      </c>
      <c r="CA934" t="s">
        <v>4793</v>
      </c>
      <c r="CB934" t="s">
        <v>4794</v>
      </c>
      <c r="CC934" t="s">
        <v>4795</v>
      </c>
      <c r="CD934" t="s">
        <v>4796</v>
      </c>
      <c r="CE934" t="s">
        <v>4797</v>
      </c>
      <c r="CF934" t="s">
        <v>4798</v>
      </c>
      <c r="CG934" t="s">
        <v>4799</v>
      </c>
      <c r="CH934" t="s">
        <v>4800</v>
      </c>
      <c r="CI934" t="s">
        <v>4801</v>
      </c>
      <c r="CJ934" t="s">
        <v>4802</v>
      </c>
      <c r="CK934" t="s">
        <v>4803</v>
      </c>
      <c r="CL934" t="s">
        <v>4804</v>
      </c>
      <c r="CM934" t="s">
        <v>4805</v>
      </c>
      <c r="CN934" t="s">
        <v>4806</v>
      </c>
      <c r="CO934" t="s">
        <v>4807</v>
      </c>
      <c r="CP934" t="s">
        <v>4808</v>
      </c>
      <c r="CQ934" t="s">
        <v>4809</v>
      </c>
      <c r="CR934" t="s">
        <v>4810</v>
      </c>
    </row>
    <row r="935" spans="1:96" ht="15" customHeight="1">
      <c r="A935" s="110"/>
      <c r="B935" s="57"/>
      <c r="C935" s="1109"/>
      <c r="D935" s="954"/>
      <c r="E935" s="956"/>
      <c r="F935" s="1103" t="s">
        <v>4811</v>
      </c>
      <c r="G935" s="1103"/>
      <c r="H935" s="1104" t="s">
        <v>4812</v>
      </c>
      <c r="I935" s="1105"/>
      <c r="J935" s="1105"/>
      <c r="K935" s="1105"/>
      <c r="L935" s="1105"/>
      <c r="M935" s="1105"/>
      <c r="N935" s="1105"/>
      <c r="O935" s="1106"/>
      <c r="P935" s="100"/>
      <c r="Q935" s="100"/>
      <c r="R935" s="100"/>
      <c r="S935" s="100"/>
      <c r="T935" s="100"/>
      <c r="U935" s="100"/>
      <c r="V935" s="100"/>
      <c r="W935" s="100"/>
      <c r="X935" s="100"/>
      <c r="Y935" s="100"/>
      <c r="Z935" s="100"/>
      <c r="AA935" s="100"/>
      <c r="AB935" s="100"/>
      <c r="AC935" s="100"/>
      <c r="AD935" s="100"/>
      <c r="AF935">
        <f>IF(P935="NA",IF(AND(COUNTIF(P936:P941,"="&amp;$AF$934)=0,COUNTIF(P936:P941,"&lt;&gt;NA")&gt;0),1,0),IF(AND(COUNTIF(P936:P941,"="&amp;$AF$934)=0,COUNTIF(P936:P941,"NA")=COUNTIF(P936:P941,"&lt;&gt;"&amp;$AF$934)),1,0))</f>
        <v>0</v>
      </c>
      <c r="AG935">
        <f t="shared" si="799"/>
        <v>0</v>
      </c>
      <c r="AH935">
        <f t="shared" si="783"/>
        <v>0</v>
      </c>
      <c r="AK935">
        <f t="shared" si="784"/>
        <v>0</v>
      </c>
      <c r="AL935">
        <f t="shared" si="785"/>
        <v>0</v>
      </c>
      <c r="AM935">
        <f t="shared" si="786"/>
        <v>0</v>
      </c>
      <c r="AN935">
        <f t="shared" si="787"/>
        <v>0</v>
      </c>
      <c r="AO935">
        <f t="shared" si="788"/>
        <v>0</v>
      </c>
      <c r="AP935">
        <f t="shared" si="789"/>
        <v>0</v>
      </c>
      <c r="AQ935">
        <f t="shared" si="790"/>
        <v>0</v>
      </c>
      <c r="AR935">
        <f t="shared" si="791"/>
        <v>0</v>
      </c>
      <c r="AS935">
        <f t="shared" si="792"/>
        <v>0</v>
      </c>
      <c r="AT935">
        <f t="shared" si="793"/>
        <v>0</v>
      </c>
      <c r="AU935">
        <f t="shared" si="794"/>
        <v>0</v>
      </c>
      <c r="AV935">
        <f t="shared" si="795"/>
        <v>0</v>
      </c>
      <c r="AW935">
        <f t="shared" si="796"/>
        <v>0</v>
      </c>
      <c r="AX935">
        <f t="shared" si="797"/>
        <v>0</v>
      </c>
      <c r="AY935">
        <f t="shared" si="798"/>
        <v>0</v>
      </c>
      <c r="AZ935">
        <f>COUNTIF(P936:P941,"NS")</f>
        <v>0</v>
      </c>
      <c r="BA935">
        <f>SUM(P936:P941)</f>
        <v>0</v>
      </c>
      <c r="BB935">
        <f>IF(COUNTA(P935:P941)=0,0,IF(OR(AND(P935=0,AZ935&gt;0),AND(P935="ns",BA935&gt;0),AND(P935="ns",AZ935=0,BA935=0)),1,IF(OR(AND(AZ935&gt;=2,P935&gt;BA935),AND(P935="ns",BA935=0,AZ935&gt;0),P935=BA935),0,1)))</f>
        <v>0</v>
      </c>
      <c r="BC935">
        <f>COUNTIF(P947:P951,"NS")</f>
        <v>0</v>
      </c>
      <c r="BD935">
        <f>SUM(P947:P951)</f>
        <v>0</v>
      </c>
      <c r="BE935">
        <f>IF(COUNTA(P946:P951)=0,0,IF(OR(AND(P946=0,BC935&gt;0),AND(P946="ns",BD935&gt;0),AND(P946="ns",BC935=0,BD935=0)),1,IF(OR(AND(BC935&gt;=2,P946&gt;BD935),AND(P946="ns",BD935=0,BC935&gt;0),P946=BD935),0,1)))</f>
        <v>0</v>
      </c>
      <c r="BF935">
        <f>COUNTIF(P956:P973,"NS")</f>
        <v>0</v>
      </c>
      <c r="BG935">
        <f>SUM(P956:P973)</f>
        <v>0</v>
      </c>
      <c r="BH935">
        <f>IF(COUNTA(P955:P973)=0,0,IF(OR(AND(P955=0,BF935&gt;0),AND(P955="ns",BG935&gt;0),AND(P955="ns",BF935=0,BG935=0)),1,IF(OR(AND(BF935&gt;=2,P955&gt;BG935),AND(P955="ns",BG935=0,BF935&gt;0),P955=BG935),0,1)))</f>
        <v>0</v>
      </c>
      <c r="BI935">
        <f>COUNTIF(P975:P979,"NS")</f>
        <v>0</v>
      </c>
      <c r="BJ935">
        <f>SUM(P975:P979)</f>
        <v>0</v>
      </c>
      <c r="BK935">
        <f>IF(COUNTA(P974:P979)=0,0,IF(OR(AND(P974=0,BI935&gt;0),AND(P974="ns",BJ935&gt;0),AND(P974="ns",BI935=0,BJ935=0)),1,IF(OR(AND(BI935&gt;=2,P974&gt;BJ935),AND(P974="ns",BJ935=0,BI935&gt;0),P974=BJ935),0,1)))</f>
        <v>0</v>
      </c>
      <c r="BL935">
        <f>COUNTIF(P983:P985,"NS")</f>
        <v>0</v>
      </c>
      <c r="BM935">
        <f>SUM(P983:P985)</f>
        <v>0</v>
      </c>
      <c r="BN935">
        <f>IF(COUNTA(P982:P985)=0,0,IF(OR(AND(P982=0,BL935&gt;0),AND(P982="ns",BM935&gt;0),AND(P982="ns",BL935=0,BM935=0)),1,IF(OR(AND(BL935&gt;=2,P982&gt;BM935),AND(P982="ns",BM935=0,BL935&gt;0),P982=BM935),0,1)))</f>
        <v>0</v>
      </c>
      <c r="BO935">
        <f>COUNTIF(P993:P999,"NS")</f>
        <v>0</v>
      </c>
      <c r="BP935">
        <f>SUM(P993:P999)</f>
        <v>0</v>
      </c>
      <c r="BQ935">
        <f>IF(COUNTA(P992:P999)=0,0,IF(OR(AND(P992=0,BO935&gt;0),AND(P992="ns",BP935&gt;0),AND(P992="ns",BO935=0,BP935=0)),1,IF(OR(AND(BO935&gt;=2,P992&gt;BP935),AND(P992="ns",BP935=0,BO935&gt;0),P992=BP935),0,1)))</f>
        <v>0</v>
      </c>
      <c r="BR935">
        <f>COUNTIF(P1001:P1005,"NS")</f>
        <v>0</v>
      </c>
      <c r="BS935">
        <f>SUM(P1001:P1005)</f>
        <v>0</v>
      </c>
      <c r="BT935">
        <f>IF(COUNTA(P1000:P1005)=0,0,IF(OR(AND(P1000=0,BR935&gt;0),AND(P1000="ns",BS935&gt;0),AND(P1000="ns",BR935=0,BS935=0)),1,IF(OR(AND(BR935&gt;=2,P1000&gt;BS935),AND(P1000="ns",BS935=0,BR935&gt;0),P1000=BS935),0,1)))</f>
        <v>0</v>
      </c>
      <c r="BU935">
        <f>COUNTIF(P1011:P1016,"NS")</f>
        <v>0</v>
      </c>
      <c r="BV935">
        <f>SUM(P1011:P1016)</f>
        <v>0</v>
      </c>
      <c r="BW935">
        <f>IF(COUNTA(P1010:P1016)=0,0,IF(OR(AND(P1010=0,BU935&gt;0),AND(P1010="ns",BV935&gt;0),AND(P1010="ns",BU935=0,BV935=0)),1,IF(OR(AND(BU935&gt;=2,P1010&gt;BV935),AND(P1010="ns",BV935=0,BU935&gt;0),P1010=BV935),0,1)))</f>
        <v>0</v>
      </c>
      <c r="BX935">
        <f>COUNTIF(P1018:P1025,"NS")</f>
        <v>0</v>
      </c>
      <c r="BY935">
        <f>SUM(P1018:P1025)</f>
        <v>0</v>
      </c>
      <c r="BZ935">
        <f>IF(COUNTA(P1017:P1025)=0,0,IF(OR(AND(P1017=0,BX935&gt;0),AND(P1017="ns",BY935&gt;0),AND(P1017="ns",BX935=0,BY935=0)),1,IF(OR(AND(BX935&gt;=2,P1017&gt;BY935),AND(P1017="ns",BY935=0,BX935&gt;0),P1017=BY935),0,1)))</f>
        <v>0</v>
      </c>
      <c r="CA935">
        <f>COUNTIF(P1030:P1035,"NS")</f>
        <v>0</v>
      </c>
      <c r="CB935">
        <f>SUM(P1030:P1035)</f>
        <v>0</v>
      </c>
      <c r="CC935">
        <f>IF(COUNTA(P1029:P1035)=0,0,IF(OR(AND(P1029=0,CA935&gt;0),AND(P1029="ns",CB935&gt;0),AND(P1029="ns",CA935=0,CB935=0)),1,IF(OR(AND(CA935&gt;=2,P1029&gt;CB935),AND(P1029="ns",CB935=0,CA935&gt;0),P1029=CB935),0,1)))</f>
        <v>0</v>
      </c>
      <c r="CD935">
        <f>COUNTIF(P1040:P1048,"NS")</f>
        <v>0</v>
      </c>
      <c r="CE935">
        <f>SUM(P1040:P1048)</f>
        <v>0</v>
      </c>
      <c r="CF935">
        <f>IF(COUNTA(P1039:P1048)=0,0,IF(OR(AND(P1039=0,CD935&gt;0),AND(P1039="ns",CE935&gt;0),AND(P1039="ns",CD935=0,CE935=0)),1,IF(OR(AND(CD935&gt;=2,P1039&gt;CE935),AND(P1039="ns",CE935=0,CD935&gt;0),P1039=CE935),0,1)))</f>
        <v>0</v>
      </c>
      <c r="CG935">
        <f>COUNTIF(P1050:P1052,"NS")</f>
        <v>0</v>
      </c>
      <c r="CH935">
        <f>SUM(P1050:P1052)</f>
        <v>0</v>
      </c>
      <c r="CI935">
        <f>IF(COUNTA(P1049:P1052)=0,0,IF(OR(AND(P1049=0,CG935&gt;0),AND(P1049="ns",CH935&gt;0),AND(P1049="ns",CG935=0,CH935=0)),1,IF(OR(AND(CG935&gt;=2,P1049&gt;CH935),AND(P1049="ns",CH935=0,CG935&gt;0),P1049=CH935),0,1)))</f>
        <v>0</v>
      </c>
      <c r="CJ935">
        <f>COUNTIF(P1061:P1067,"NS")</f>
        <v>0</v>
      </c>
      <c r="CK935">
        <f>SUM(P1061:P1067)</f>
        <v>0</v>
      </c>
      <c r="CL935">
        <f>IF(COUNTA(P1060:P1067)=0,0,IF(OR(AND(P1060=0,CJ935&gt;0),AND(P1060="ns",CK935&gt;0),AND(P1060="ns",CJ935=0,CK935=0)),1,IF(OR(AND(CJ935&gt;=2,P1060&gt;CK935),AND(P1060="ns",CK935=0,CJ935&gt;0),P1060=CK935),0,1)))</f>
        <v>0</v>
      </c>
      <c r="CM935">
        <f>COUNTIF(P1070:P1072,"NS")</f>
        <v>0</v>
      </c>
      <c r="CN935">
        <f>SUM(P1070:P1072)</f>
        <v>0</v>
      </c>
      <c r="CO935">
        <f>IF(COUNTA(P1069:P1072)=0,0,IF(OR(AND(P1069=0,CM935&gt;0),AND(P1069="ns",CN935&gt;0),AND(P1069="ns",CM935=0,CN935=0)),1,IF(OR(AND(CM935&gt;=2,P1069&gt;CN935),AND(P1069="ns",CN935=0,CM935&gt;0),P1069=CN935),0,1)))</f>
        <v>0</v>
      </c>
      <c r="CP935">
        <f>COUNTIF(P1082:P1086,"NS")</f>
        <v>0</v>
      </c>
      <c r="CQ935">
        <f>SUM(P1082:P1086)</f>
        <v>0</v>
      </c>
      <c r="CR935">
        <f>IF(COUNTA(P1081:P1086)=0,0,IF(OR(AND(P1081=0,CP935&gt;0),AND(P1081="ns",CQ935&gt;0),AND(P1081="ns",CP935=0,CQ935=0)),1,IF(OR(AND(CP935&gt;=2,P1081&gt;CQ935),AND(P1081="ns",CQ935=0,CP935&gt;0),P1081=CQ935),0,1)))</f>
        <v>0</v>
      </c>
    </row>
    <row r="936" spans="1:96" ht="15" customHeight="1">
      <c r="A936" s="110"/>
      <c r="B936" s="57"/>
      <c r="C936" s="1109"/>
      <c r="D936" s="954"/>
      <c r="E936" s="956"/>
      <c r="F936" s="1110" t="s">
        <v>4813</v>
      </c>
      <c r="G936" s="1110"/>
      <c r="H936" s="177"/>
      <c r="I936" s="1115" t="s">
        <v>4814</v>
      </c>
      <c r="J936" s="1115"/>
      <c r="K936" s="1115"/>
      <c r="L936" s="1115"/>
      <c r="M936" s="1115"/>
      <c r="N936" s="1115"/>
      <c r="O936" s="1116"/>
      <c r="P936" s="100"/>
      <c r="Q936" s="100"/>
      <c r="R936" s="100"/>
      <c r="S936" s="100"/>
      <c r="T936" s="100"/>
      <c r="U936" s="100"/>
      <c r="V936" s="100"/>
      <c r="W936" s="100"/>
      <c r="X936" s="100"/>
      <c r="Y936" s="100"/>
      <c r="Z936" s="100"/>
      <c r="AA936" s="100"/>
      <c r="AB936" s="100"/>
      <c r="AC936" s="100"/>
      <c r="AD936" s="100"/>
      <c r="AF936"/>
      <c r="AG936">
        <f t="shared" si="799"/>
        <v>0</v>
      </c>
      <c r="AH936">
        <f t="shared" si="783"/>
        <v>0</v>
      </c>
      <c r="AK936">
        <f t="shared" si="784"/>
        <v>0</v>
      </c>
      <c r="AL936">
        <f t="shared" si="785"/>
        <v>0</v>
      </c>
      <c r="AM936">
        <f t="shared" si="786"/>
        <v>0</v>
      </c>
      <c r="AN936">
        <f t="shared" si="787"/>
        <v>0</v>
      </c>
      <c r="AO936">
        <f t="shared" si="788"/>
        <v>0</v>
      </c>
      <c r="AP936">
        <f t="shared" si="789"/>
        <v>0</v>
      </c>
      <c r="AQ936">
        <f t="shared" si="790"/>
        <v>0</v>
      </c>
      <c r="AR936">
        <f t="shared" si="791"/>
        <v>0</v>
      </c>
      <c r="AS936">
        <f t="shared" si="792"/>
        <v>0</v>
      </c>
      <c r="AT936">
        <f t="shared" si="793"/>
        <v>0</v>
      </c>
      <c r="AU936">
        <f t="shared" si="794"/>
        <v>0</v>
      </c>
      <c r="AV936">
        <f t="shared" si="795"/>
        <v>0</v>
      </c>
      <c r="AW936">
        <f t="shared" si="796"/>
        <v>0</v>
      </c>
      <c r="AX936">
        <f t="shared" si="797"/>
        <v>0</v>
      </c>
      <c r="AY936">
        <f t="shared" si="798"/>
        <v>0</v>
      </c>
      <c r="AZ936">
        <f>COUNTIF(Q936:Q941,"NS")</f>
        <v>0</v>
      </c>
      <c r="BA936">
        <f>SUM(Q936:Q941)</f>
        <v>0</v>
      </c>
      <c r="BB936">
        <f>IF(COUNTA(Q935:Q941)=0,0,IF(OR(AND(Q935=0,AZ936&gt;0),AND(Q935="ns",BA936&gt;0),AND(Q935="ns",AZ936=0,BA936=0)),1,IF(OR(AND(AZ936&gt;=2,Q935&gt;BA936),AND(Q935="ns",BA936=0,AZ936&gt;0),Q935=BA936),0,1)))</f>
        <v>0</v>
      </c>
      <c r="BC936">
        <f>COUNTIF(Q947:Q951,"NS")</f>
        <v>0</v>
      </c>
      <c r="BD936">
        <f>SUM(Q947:Q951)</f>
        <v>0</v>
      </c>
      <c r="BE936">
        <f>IF(COUNTA(Q946:Q951)=0,0,IF(OR(AND(Q946=0,BC936&gt;0),AND(Q946="ns",BD936&gt;0),AND(Q946="ns",BC936=0,BD936=0)),1,IF(OR(AND(BC936&gt;=2,Q946&gt;BD936),AND(Q946="ns",BD936=0,BC936&gt;0),Q946=BD936),0,1)))</f>
        <v>0</v>
      </c>
      <c r="BF936">
        <f>COUNTIF(Q956:Q973,"NS")</f>
        <v>0</v>
      </c>
      <c r="BG936">
        <f>SUM(Q956:Q973)</f>
        <v>0</v>
      </c>
      <c r="BH936">
        <f>IF(COUNTA(Q955:Q973)=0,0,IF(OR(AND(Q955=0,BF936&gt;0),AND(Q955="ns",BG936&gt;0),AND(Q955="ns",BF936=0,BG936=0)),1,IF(OR(AND(BF936&gt;=2,Q955&gt;BG936),AND(Q955="ns",BG936=0,BF936&gt;0),Q955=BG936),0,1)))</f>
        <v>0</v>
      </c>
      <c r="BI936">
        <f>COUNTIF(Q975:Q979,"NS")</f>
        <v>0</v>
      </c>
      <c r="BJ936">
        <f>SUM(Q975:Q979)</f>
        <v>0</v>
      </c>
      <c r="BK936">
        <f>IF(COUNTA(Q974:Q979)=0,0,IF(OR(AND(Q974=0,BI936&gt;0),AND(Q974="ns",BJ936&gt;0),AND(Q974="ns",BI936=0,BJ936=0)),1,IF(OR(AND(BI936&gt;=2,Q974&gt;BJ936),AND(Q974="ns",BJ936=0,BI936&gt;0),Q974=BJ936),0,1)))</f>
        <v>0</v>
      </c>
      <c r="BL936">
        <f>COUNTIF(Q983:Q985,"NS")</f>
        <v>0</v>
      </c>
      <c r="BM936">
        <f>SUM(Q983:Q985)</f>
        <v>0</v>
      </c>
      <c r="BN936">
        <f>IF(COUNTA(Q982:Q985)=0,0,IF(OR(AND(Q982=0,BL936&gt;0),AND(Q982="ns",BM936&gt;0),AND(Q982="ns",BL936=0,BM936=0)),1,IF(OR(AND(BL936&gt;=2,Q982&gt;BM936),AND(Q982="ns",BM936=0,BL936&gt;0),Q982=BM936),0,1)))</f>
        <v>0</v>
      </c>
      <c r="BO936">
        <f>COUNTIF(Q993:Q999,"NS")</f>
        <v>0</v>
      </c>
      <c r="BP936">
        <f>SUM(Q993:Q999)</f>
        <v>0</v>
      </c>
      <c r="BQ936">
        <f>IF(COUNTA(Q992:Q999)=0,0,IF(OR(AND(Q992=0,BO936&gt;0),AND(Q992="ns",BP936&gt;0),AND(Q992="ns",BO936=0,BP936=0)),1,IF(OR(AND(BO936&gt;=2,Q992&gt;BP936),AND(Q992="ns",BP936=0,BO936&gt;0),Q992=BP936),0,1)))</f>
        <v>0</v>
      </c>
      <c r="BR936">
        <f>COUNTIF(Q1001:Q1005,"NS")</f>
        <v>0</v>
      </c>
      <c r="BS936">
        <f>SUM(Q1001:Q1005)</f>
        <v>0</v>
      </c>
      <c r="BT936">
        <f>IF(COUNTA(Q1000:Q1005)=0,0,IF(OR(AND(Q1000=0,BR936&gt;0),AND(Q1000="ns",BS936&gt;0),AND(Q1000="ns",BR936=0,BS936=0)),1,IF(OR(AND(BR936&gt;=2,Q1000&gt;BS936),AND(Q1000="ns",BS936=0,BR936&gt;0),Q1000=BS936),0,1)))</f>
        <v>0</v>
      </c>
      <c r="BU936">
        <f>COUNTIF(Q1011:Q1016,"NS")</f>
        <v>0</v>
      </c>
      <c r="BV936">
        <f>SUM(Q1011:Q1016)</f>
        <v>0</v>
      </c>
      <c r="BW936">
        <f>IF(COUNTA(Q1010:Q1016)=0,0,IF(OR(AND(Q1010=0,BU936&gt;0),AND(Q1010="ns",BV936&gt;0),AND(Q1010="ns",BU936=0,BV936=0)),1,IF(OR(AND(BU936&gt;=2,Q1010&gt;BV936),AND(Q1010="ns",BV936=0,BU936&gt;0),Q1010=BV936),0,1)))</f>
        <v>0</v>
      </c>
      <c r="BX936">
        <f>COUNTIF(Q1018:Q1025,"NS")</f>
        <v>0</v>
      </c>
      <c r="BY936">
        <f>SUM(Q1018:Q1025)</f>
        <v>0</v>
      </c>
      <c r="BZ936">
        <f>IF(COUNTA(Q1017:Q1025)=0,0,IF(OR(AND(Q1017=0,BX936&gt;0),AND(Q1017="ns",BY936&gt;0),AND(Q1017="ns",BX936=0,BY936=0)),1,IF(OR(AND(BX936&gt;=2,Q1017&gt;BY936),AND(Q1017="ns",BY936=0,BX936&gt;0),Q1017=BY936),0,1)))</f>
        <v>0</v>
      </c>
      <c r="CA936">
        <f>COUNTIF(Q1030:Q1035,"NS")</f>
        <v>0</v>
      </c>
      <c r="CB936">
        <f>SUM(Q1030:Q1035)</f>
        <v>0</v>
      </c>
      <c r="CC936">
        <f>IF(COUNTA(Q1029:Q1035)=0,0,IF(OR(AND(Q1029=0,CA936&gt;0),AND(Q1029="ns",CB936&gt;0),AND(Q1029="ns",CA936=0,CB936=0)),1,IF(OR(AND(CA936&gt;=2,Q1029&gt;CB936),AND(Q1029="ns",CB936=0,CA936&gt;0),Q1029=CB936),0,1)))</f>
        <v>0</v>
      </c>
      <c r="CD936">
        <f>COUNTIF(Q1040:Q1048,"NS")</f>
        <v>0</v>
      </c>
      <c r="CE936">
        <f>SUM(Q1040:Q1048)</f>
        <v>0</v>
      </c>
      <c r="CF936">
        <f>IF(COUNTA(Q1039:Q1048)=0,0,IF(OR(AND(Q1039=0,CD936&gt;0),AND(Q1039="ns",CE936&gt;0),AND(Q1039="ns",CD936=0,CE936=0)),1,IF(OR(AND(CD936&gt;=2,Q1039&gt;CE936),AND(Q1039="ns",CE936=0,CD936&gt;0),Q1039=CE936),0,1)))</f>
        <v>0</v>
      </c>
      <c r="CG936">
        <f>COUNTIF(Q1050:Q1052,"NS")</f>
        <v>0</v>
      </c>
      <c r="CH936">
        <f>SUM(Q1050:Q1052)</f>
        <v>0</v>
      </c>
      <c r="CI936">
        <f>IF(COUNTA(Q1049:Q1052)=0,0,IF(OR(AND(Q1049=0,CG936&gt;0),AND(Q1049="ns",CH936&gt;0),AND(Q1049="ns",CG936=0,CH936=0)),1,IF(OR(AND(CG936&gt;=2,Q1049&gt;CH936),AND(Q1049="ns",CH936=0,CG936&gt;0),Q1049=CH936),0,1)))</f>
        <v>0</v>
      </c>
      <c r="CJ936">
        <f>COUNTIF(Q1061:Q1067,"NS")</f>
        <v>0</v>
      </c>
      <c r="CK936">
        <f>SUM(Q1061:Q1067)</f>
        <v>0</v>
      </c>
      <c r="CL936">
        <f>IF(COUNTA(Q1060:Q1067)=0,0,IF(OR(AND(Q1060=0,CJ936&gt;0),AND(Q1060="ns",CK936&gt;0),AND(Q1060="ns",CJ936=0,CK936=0)),1,IF(OR(AND(CJ936&gt;=2,Q1060&gt;CK936),AND(Q1060="ns",CK936=0,CJ936&gt;0),Q1060=CK936),0,1)))</f>
        <v>0</v>
      </c>
      <c r="CM936">
        <f>COUNTIF(Q1070:Q1072,"NS")</f>
        <v>0</v>
      </c>
      <c r="CN936">
        <f>SUM(Q1070:Q1072)</f>
        <v>0</v>
      </c>
      <c r="CO936">
        <f>IF(COUNTA(Q1069:Q1072)=0,0,IF(OR(AND(Q1069=0,CM936&gt;0),AND(Q1069="ns",CN936&gt;0),AND(Q1069="ns",CM936=0,CN936=0)),1,IF(OR(AND(CM936&gt;=2,Q1069&gt;CN936),AND(Q1069="ns",CN936=0,CM936&gt;0),Q1069=CN936),0,1)))</f>
        <v>0</v>
      </c>
      <c r="CP936">
        <f>COUNTIF(Q1082:Q1086,"NS")</f>
        <v>0</v>
      </c>
      <c r="CQ936">
        <f>SUM(Q1082:Q1086)</f>
        <v>0</v>
      </c>
      <c r="CR936">
        <f>IF(COUNTA(Q1081:Q1086)=0,0,IF(OR(AND(Q1081=0,CP936&gt;0),AND(Q1081="ns",CQ936&gt;0),AND(Q1081="ns",CP936=0,CQ936=0)),1,IF(OR(AND(CP936&gt;=2,Q1081&gt;CQ936),AND(Q1081="ns",CQ936=0,CP936&gt;0),Q1081=CQ936),0,1)))</f>
        <v>0</v>
      </c>
    </row>
    <row r="937" spans="1:96" ht="15" customHeight="1">
      <c r="A937" s="110"/>
      <c r="B937" s="57"/>
      <c r="C937" s="1109"/>
      <c r="D937" s="954"/>
      <c r="E937" s="956"/>
      <c r="F937" s="1110" t="s">
        <v>4815</v>
      </c>
      <c r="G937" s="1110"/>
      <c r="H937" s="178"/>
      <c r="I937" s="1111" t="s">
        <v>4816</v>
      </c>
      <c r="J937" s="1111"/>
      <c r="K937" s="1111"/>
      <c r="L937" s="1111"/>
      <c r="M937" s="1111"/>
      <c r="N937" s="1111"/>
      <c r="O937" s="1112"/>
      <c r="P937" s="100"/>
      <c r="Q937" s="100"/>
      <c r="R937" s="100"/>
      <c r="S937" s="100"/>
      <c r="T937" s="100"/>
      <c r="U937" s="100"/>
      <c r="V937" s="100"/>
      <c r="W937" s="100"/>
      <c r="X937" s="100"/>
      <c r="Y937" s="100"/>
      <c r="Z937" s="100"/>
      <c r="AA937" s="100"/>
      <c r="AB937" s="100"/>
      <c r="AC937" s="100"/>
      <c r="AD937" s="100"/>
      <c r="AF937"/>
      <c r="AG937">
        <f t="shared" si="799"/>
        <v>0</v>
      </c>
      <c r="AH937">
        <f t="shared" si="783"/>
        <v>0</v>
      </c>
      <c r="AK937">
        <f t="shared" si="784"/>
        <v>0</v>
      </c>
      <c r="AL937">
        <f t="shared" si="785"/>
        <v>0</v>
      </c>
      <c r="AM937">
        <f t="shared" si="786"/>
        <v>0</v>
      </c>
      <c r="AN937">
        <f t="shared" si="787"/>
        <v>0</v>
      </c>
      <c r="AO937">
        <f t="shared" si="788"/>
        <v>0</v>
      </c>
      <c r="AP937">
        <f t="shared" si="789"/>
        <v>0</v>
      </c>
      <c r="AQ937">
        <f t="shared" si="790"/>
        <v>0</v>
      </c>
      <c r="AR937">
        <f t="shared" si="791"/>
        <v>0</v>
      </c>
      <c r="AS937">
        <f t="shared" si="792"/>
        <v>0</v>
      </c>
      <c r="AT937">
        <f t="shared" si="793"/>
        <v>0</v>
      </c>
      <c r="AU937">
        <f t="shared" si="794"/>
        <v>0</v>
      </c>
      <c r="AV937">
        <f t="shared" si="795"/>
        <v>0</v>
      </c>
      <c r="AW937">
        <f t="shared" si="796"/>
        <v>0</v>
      </c>
      <c r="AX937">
        <f t="shared" si="797"/>
        <v>0</v>
      </c>
      <c r="AY937">
        <f t="shared" si="798"/>
        <v>0</v>
      </c>
      <c r="AZ937">
        <f>COUNTIF(R936:R941,"NS")</f>
        <v>0</v>
      </c>
      <c r="BA937">
        <f>SUM(R936:R941)</f>
        <v>0</v>
      </c>
      <c r="BB937">
        <f>IF(COUNTA(R935:R941)=0,0,IF(OR(AND(R935=0,AZ937&gt;0),AND(R935="ns",BA937&gt;0),AND(R935="ns",AZ937=0,BA937=0)),1,IF(OR(AND(AZ937&gt;=2,R935&gt;BA937),AND(R935="ns",BA937=0,AZ937&gt;0),R935=BA937),0,1)))</f>
        <v>0</v>
      </c>
      <c r="BC937">
        <f>COUNTIF(R947:R951,"NS")</f>
        <v>0</v>
      </c>
      <c r="BD937">
        <f>SUM(R947:R951)</f>
        <v>0</v>
      </c>
      <c r="BE937">
        <f>IF(COUNTA(R946:R951)=0,0,IF(OR(AND(R946=0,BC937&gt;0),AND(R946="ns",BD937&gt;0),AND(R946="ns",BC937=0,BD937=0)),1,IF(OR(AND(BC937&gt;=2,R946&gt;BD937),AND(R946="ns",BD937=0,BC937&gt;0),R946=BD937),0,1)))</f>
        <v>0</v>
      </c>
      <c r="BF937">
        <f>COUNTIF(R956:R973,"NS")</f>
        <v>0</v>
      </c>
      <c r="BG937">
        <f>SUM(R956:R973)</f>
        <v>0</v>
      </c>
      <c r="BH937">
        <f>IF(COUNTA(R955:R973)=0,0,IF(OR(AND(R955=0,BF937&gt;0),AND(R955="ns",BG937&gt;0),AND(R955="ns",BF937=0,BG937=0)),1,IF(OR(AND(BF937&gt;=2,R955&gt;BG937),AND(R955="ns",BG937=0,BF937&gt;0),R955=BG937),0,1)))</f>
        <v>0</v>
      </c>
      <c r="BI937">
        <f>COUNTIF(R975:R979,"NS")</f>
        <v>0</v>
      </c>
      <c r="BJ937">
        <f>SUM(R975:R979)</f>
        <v>0</v>
      </c>
      <c r="BK937">
        <f>IF(COUNTA(R974:R979)=0,0,IF(OR(AND(R974=0,BI937&gt;0),AND(R974="ns",BJ937&gt;0),AND(R974="ns",BI937=0,BJ937=0)),1,IF(OR(AND(BI937&gt;=2,R974&gt;BJ937),AND(R974="ns",BJ937=0,BI937&gt;0),R974=BJ937),0,1)))</f>
        <v>0</v>
      </c>
      <c r="BL937">
        <f>COUNTIF(R983:R985,"NS")</f>
        <v>0</v>
      </c>
      <c r="BM937">
        <f>SUM(R983:R985)</f>
        <v>0</v>
      </c>
      <c r="BN937">
        <f>IF(COUNTA(R982:R985)=0,0,IF(OR(AND(R982=0,BL937&gt;0),AND(R982="ns",BM937&gt;0),AND(R982="ns",BL937=0,BM937=0)),1,IF(OR(AND(BL937&gt;=2,R982&gt;BM937),AND(R982="ns",BM937=0,BL937&gt;0),R982=BM937),0,1)))</f>
        <v>0</v>
      </c>
      <c r="BO937">
        <f>COUNTIF(R993:R999,"NS")</f>
        <v>0</v>
      </c>
      <c r="BP937">
        <f>SUM(R993:R999)</f>
        <v>0</v>
      </c>
      <c r="BQ937">
        <f>IF(COUNTA(R992:R999)=0,0,IF(OR(AND(R992=0,BO937&gt;0),AND(R992="ns",BP937&gt;0),AND(R992="ns",BO937=0,BP937=0)),1,IF(OR(AND(BO937&gt;=2,R992&gt;BP937),AND(R992="ns",BP937=0,BO937&gt;0),R992=BP937),0,1)))</f>
        <v>0</v>
      </c>
      <c r="BR937">
        <f>COUNTIF(R1001:R1005,"NS")</f>
        <v>0</v>
      </c>
      <c r="BS937">
        <f>SUM(R1001:R1005)</f>
        <v>0</v>
      </c>
      <c r="BT937">
        <f>IF(COUNTA(R1000:R1005)=0,0,IF(OR(AND(R1000=0,BR937&gt;0),AND(R1000="ns",BS937&gt;0),AND(R1000="ns",BR937=0,BS937=0)),1,IF(OR(AND(BR937&gt;=2,R1000&gt;BS937),AND(R1000="ns",BS937=0,BR937&gt;0),R1000=BS937),0,1)))</f>
        <v>0</v>
      </c>
      <c r="BU937">
        <f>COUNTIF(R1011:R1016,"NS")</f>
        <v>0</v>
      </c>
      <c r="BV937">
        <f>SUM(R1011:R1016)</f>
        <v>0</v>
      </c>
      <c r="BW937">
        <f>IF(COUNTA(R1010:R1016)=0,0,IF(OR(AND(R1010=0,BU937&gt;0),AND(R1010="ns",BV937&gt;0),AND(R1010="ns",BU937=0,BV937=0)),1,IF(OR(AND(BU937&gt;=2,R1010&gt;BV937),AND(R1010="ns",BV937=0,BU937&gt;0),R1010=BV937),0,1)))</f>
        <v>0</v>
      </c>
      <c r="BX937">
        <f>COUNTIF(R1018:R1025,"NS")</f>
        <v>0</v>
      </c>
      <c r="BY937">
        <f>SUM(R1018:R1025)</f>
        <v>0</v>
      </c>
      <c r="BZ937">
        <f>IF(COUNTA(R1017:R1025)=0,0,IF(OR(AND(R1017=0,BX937&gt;0),AND(R1017="ns",BY937&gt;0),AND(R1017="ns",BX937=0,BY937=0)),1,IF(OR(AND(BX937&gt;=2,R1017&gt;BY937),AND(R1017="ns",BY937=0,BX937&gt;0),R1017=BY937),0,1)))</f>
        <v>0</v>
      </c>
      <c r="CA937">
        <f>COUNTIF(R1030:R1035,"NS")</f>
        <v>0</v>
      </c>
      <c r="CB937">
        <f>SUM(R1030:R1035)</f>
        <v>0</v>
      </c>
      <c r="CC937">
        <f>IF(COUNTA(R1029:R1035)=0,0,IF(OR(AND(R1029=0,CA937&gt;0),AND(R1029="ns",CB937&gt;0),AND(R1029="ns",CA937=0,CB937=0)),1,IF(OR(AND(CA937&gt;=2,R1029&gt;CB937),AND(R1029="ns",CB937=0,CA937&gt;0),R1029=CB937),0,1)))</f>
        <v>0</v>
      </c>
      <c r="CD937">
        <f>COUNTIF(R1040:R1048,"NS")</f>
        <v>0</v>
      </c>
      <c r="CE937">
        <f>SUM(R1040:R1048)</f>
        <v>0</v>
      </c>
      <c r="CF937">
        <f>IF(COUNTA(R1039:R1048)=0,0,IF(OR(AND(R1039=0,CD937&gt;0),AND(R1039="ns",CE937&gt;0),AND(R1039="ns",CD937=0,CE937=0)),1,IF(OR(AND(CD937&gt;=2,R1039&gt;CE937),AND(R1039="ns",CE937=0,CD937&gt;0),R1039=CE937),0,1)))</f>
        <v>0</v>
      </c>
      <c r="CG937">
        <f>COUNTIF(R1050:R1052,"NS")</f>
        <v>0</v>
      </c>
      <c r="CH937">
        <f>SUM(R1050:R1052)</f>
        <v>0</v>
      </c>
      <c r="CI937">
        <f>IF(COUNTA(R1049:R1052)=0,0,IF(OR(AND(R1049=0,CG937&gt;0),AND(R1049="ns",CH937&gt;0),AND(R1049="ns",CG937=0,CH937=0)),1,IF(OR(AND(CG937&gt;=2,R1049&gt;CH937),AND(R1049="ns",CH937=0,CG937&gt;0),R1049=CH937),0,1)))</f>
        <v>0</v>
      </c>
      <c r="CJ937">
        <f>COUNTIF(R1061:R1067,"NS")</f>
        <v>0</v>
      </c>
      <c r="CK937">
        <f>SUM(R1061:R1067)</f>
        <v>0</v>
      </c>
      <c r="CL937">
        <f>IF(COUNTA(R1060:R1067)=0,0,IF(OR(AND(R1060=0,CJ937&gt;0),AND(R1060="ns",CK937&gt;0),AND(R1060="ns",CJ937=0,CK937=0)),1,IF(OR(AND(CJ937&gt;=2,R1060&gt;CK937),AND(R1060="ns",CK937=0,CJ937&gt;0),R1060=CK937),0,1)))</f>
        <v>0</v>
      </c>
      <c r="CM937">
        <f>COUNTIF(R1070:R1072,"NS")</f>
        <v>0</v>
      </c>
      <c r="CN937">
        <f>SUM(R1070:R1072)</f>
        <v>0</v>
      </c>
      <c r="CO937">
        <f>IF(COUNTA(R1069:R1072)=0,0,IF(OR(AND(R1069=0,CM937&gt;0),AND(R1069="ns",CN937&gt;0),AND(R1069="ns",CM937=0,CN937=0)),1,IF(OR(AND(CM937&gt;=2,R1069&gt;CN937),AND(R1069="ns",CN937=0,CM937&gt;0),R1069=CN937),0,1)))</f>
        <v>0</v>
      </c>
      <c r="CP937">
        <f>COUNTIF(R1082:R1086,"NS")</f>
        <v>0</v>
      </c>
      <c r="CQ937">
        <f>SUM(R1082:R1086)</f>
        <v>0</v>
      </c>
      <c r="CR937">
        <f>IF(COUNTA(R1081:R1086)=0,0,IF(OR(AND(R1081=0,CP937&gt;0),AND(R1081="ns",CQ937&gt;0),AND(R1081="ns",CP937=0,CQ937=0)),1,IF(OR(AND(CP937&gt;=2,R1081&gt;CQ937),AND(R1081="ns",CQ937=0,CP937&gt;0),R1081=CQ937),0,1)))</f>
        <v>0</v>
      </c>
    </row>
    <row r="938" spans="1:96" ht="15" customHeight="1">
      <c r="A938" s="110"/>
      <c r="B938" s="57"/>
      <c r="C938" s="1109"/>
      <c r="D938" s="954"/>
      <c r="E938" s="956"/>
      <c r="F938" s="1110" t="s">
        <v>4817</v>
      </c>
      <c r="G938" s="1110"/>
      <c r="H938" s="178"/>
      <c r="I938" s="1111" t="s">
        <v>4818</v>
      </c>
      <c r="J938" s="1111"/>
      <c r="K938" s="1111"/>
      <c r="L938" s="1111"/>
      <c r="M938" s="1111"/>
      <c r="N938" s="1111"/>
      <c r="O938" s="1112"/>
      <c r="P938" s="100"/>
      <c r="Q938" s="100"/>
      <c r="R938" s="100"/>
      <c r="S938" s="100"/>
      <c r="T938" s="100"/>
      <c r="U938" s="100"/>
      <c r="V938" s="100"/>
      <c r="W938" s="100"/>
      <c r="X938" s="100"/>
      <c r="Y938" s="100"/>
      <c r="Z938" s="100"/>
      <c r="AA938" s="100"/>
      <c r="AB938" s="100"/>
      <c r="AC938" s="100"/>
      <c r="AD938" s="100"/>
      <c r="AF938"/>
      <c r="AG938">
        <f t="shared" si="799"/>
        <v>0</v>
      </c>
      <c r="AH938">
        <f t="shared" si="783"/>
        <v>0</v>
      </c>
      <c r="AK938">
        <f t="shared" si="784"/>
        <v>0</v>
      </c>
      <c r="AL938">
        <f t="shared" si="785"/>
        <v>0</v>
      </c>
      <c r="AM938">
        <f t="shared" si="786"/>
        <v>0</v>
      </c>
      <c r="AN938">
        <f t="shared" si="787"/>
        <v>0</v>
      </c>
      <c r="AO938">
        <f t="shared" si="788"/>
        <v>0</v>
      </c>
      <c r="AP938">
        <f t="shared" si="789"/>
        <v>0</v>
      </c>
      <c r="AQ938">
        <f t="shared" si="790"/>
        <v>0</v>
      </c>
      <c r="AR938">
        <f t="shared" si="791"/>
        <v>0</v>
      </c>
      <c r="AS938">
        <f t="shared" si="792"/>
        <v>0</v>
      </c>
      <c r="AT938">
        <f t="shared" si="793"/>
        <v>0</v>
      </c>
      <c r="AU938">
        <f t="shared" si="794"/>
        <v>0</v>
      </c>
      <c r="AV938">
        <f t="shared" si="795"/>
        <v>0</v>
      </c>
      <c r="AW938">
        <f t="shared" si="796"/>
        <v>0</v>
      </c>
      <c r="AX938">
        <f t="shared" si="797"/>
        <v>0</v>
      </c>
      <c r="AY938">
        <f t="shared" si="798"/>
        <v>0</v>
      </c>
      <c r="AZ938">
        <f>COUNTIF(S936:S941,"NS")</f>
        <v>0</v>
      </c>
      <c r="BA938">
        <f>SUM(S936:S941)</f>
        <v>0</v>
      </c>
      <c r="BB938">
        <f>IF(COUNTA(S935:S941)=0,0,IF(OR(AND(S935=0,AZ938&gt;0),AND(S935="ns",BA938&gt;0),AND(S935="ns",AZ938=0,BA938=0)),1,IF(OR(AND(AZ938&gt;=2,S935&gt;BA938),AND(S935="ns",BA938=0,AZ938&gt;0),S935=BA938),0,1)))</f>
        <v>0</v>
      </c>
      <c r="BC938">
        <f>COUNTIF(S947:S951,"NS")</f>
        <v>0</v>
      </c>
      <c r="BD938">
        <f>SUM(S947:S951)</f>
        <v>0</v>
      </c>
      <c r="BE938">
        <f>IF(COUNTA(S946:S951)=0,0,IF(OR(AND(S946=0,BC938&gt;0),AND(S946="ns",BD938&gt;0),AND(S946="ns",BC938=0,BD938=0)),1,IF(OR(AND(BC938&gt;=2,S946&gt;BD938),AND(S946="ns",BD938=0,BC938&gt;0),S946=BD938),0,1)))</f>
        <v>0</v>
      </c>
      <c r="BF938">
        <f>COUNTIF(S956:S973,"NS")</f>
        <v>0</v>
      </c>
      <c r="BG938">
        <f>SUM(S956:S973)</f>
        <v>0</v>
      </c>
      <c r="BH938">
        <f>IF(COUNTA(S955:S973)=0,0,IF(OR(AND(S955=0,BF938&gt;0),AND(S955="ns",BG938&gt;0),AND(S955="ns",BF938=0,BG938=0)),1,IF(OR(AND(BF938&gt;=2,S955&gt;BG938),AND(S955="ns",BG938=0,BF938&gt;0),S955=BG938),0,1)))</f>
        <v>0</v>
      </c>
      <c r="BI938">
        <f>COUNTIF(S975:S979,"NS")</f>
        <v>0</v>
      </c>
      <c r="BJ938">
        <f>SUM(S975:S979)</f>
        <v>0</v>
      </c>
      <c r="BK938">
        <f>IF(COUNTA(S974:S979)=0,0,IF(OR(AND(S974=0,BI938&gt;0),AND(S974="ns",BJ938&gt;0),AND(S974="ns",BI938=0,BJ938=0)),1,IF(OR(AND(BI938&gt;=2,S974&gt;BJ938),AND(S974="ns",BJ938=0,BI938&gt;0),S974=BJ938),0,1)))</f>
        <v>0</v>
      </c>
      <c r="BL938">
        <f>COUNTIF(S983:S985,"NS")</f>
        <v>0</v>
      </c>
      <c r="BM938">
        <f>SUM(S983:S985)</f>
        <v>0</v>
      </c>
      <c r="BN938">
        <f>IF(COUNTA(S982:S985)=0,0,IF(OR(AND(S982=0,BL938&gt;0),AND(S982="ns",BM938&gt;0),AND(S982="ns",BL938=0,BM938=0)),1,IF(OR(AND(BL938&gt;=2,S982&gt;BM938),AND(S982="ns",BM938=0,BL938&gt;0),S982=BM938),0,1)))</f>
        <v>0</v>
      </c>
      <c r="BO938">
        <f>COUNTIF(S993:S999,"NS")</f>
        <v>0</v>
      </c>
      <c r="BP938">
        <f>SUM(S993:S999)</f>
        <v>0</v>
      </c>
      <c r="BQ938">
        <f>IF(COUNTA(S992:S999)=0,0,IF(OR(AND(S992=0,BO938&gt;0),AND(S992="ns",BP938&gt;0),AND(S992="ns",BO938=0,BP938=0)),1,IF(OR(AND(BO938&gt;=2,S992&gt;BP938),AND(S992="ns",BP938=0,BO938&gt;0),S992=BP938),0,1)))</f>
        <v>0</v>
      </c>
      <c r="BR938">
        <f>COUNTIF(S1001:S1005,"NS")</f>
        <v>0</v>
      </c>
      <c r="BS938">
        <f>SUM(S1001:S1005)</f>
        <v>0</v>
      </c>
      <c r="BT938">
        <f>IF(COUNTA(S1000:S1005)=0,0,IF(OR(AND(S1000=0,BR938&gt;0),AND(S1000="ns",BS938&gt;0),AND(S1000="ns",BR938=0,BS938=0)),1,IF(OR(AND(BR938&gt;=2,S1000&gt;BS938),AND(S1000="ns",BS938=0,BR938&gt;0),S1000=BS938),0,1)))</f>
        <v>0</v>
      </c>
      <c r="BU938">
        <f>COUNTIF(S1011:S1016,"NS")</f>
        <v>0</v>
      </c>
      <c r="BV938">
        <f>SUM(S1011:S1016)</f>
        <v>0</v>
      </c>
      <c r="BW938">
        <f>IF(COUNTA(S1010:S1016)=0,0,IF(OR(AND(S1010=0,BU938&gt;0),AND(S1010="ns",BV938&gt;0),AND(S1010="ns",BU938=0,BV938=0)),1,IF(OR(AND(BU938&gt;=2,S1010&gt;BV938),AND(S1010="ns",BV938=0,BU938&gt;0),S1010=BV938),0,1)))</f>
        <v>0</v>
      </c>
      <c r="BX938">
        <f>COUNTIF(S1018:S1025,"NS")</f>
        <v>0</v>
      </c>
      <c r="BY938">
        <f>SUM(S1018:S1025)</f>
        <v>0</v>
      </c>
      <c r="BZ938">
        <f>IF(COUNTA(S1017:S1025)=0,0,IF(OR(AND(S1017=0,BX938&gt;0),AND(S1017="ns",BY938&gt;0),AND(S1017="ns",BX938=0,BY938=0)),1,IF(OR(AND(BX938&gt;=2,S1017&gt;BY938),AND(S1017="ns",BY938=0,BX938&gt;0),S1017=BY938),0,1)))</f>
        <v>0</v>
      </c>
      <c r="CA938">
        <f>COUNTIF(S1030:S1035,"NS")</f>
        <v>0</v>
      </c>
      <c r="CB938">
        <f>SUM(S1030:S1035)</f>
        <v>0</v>
      </c>
      <c r="CC938">
        <f>IF(COUNTA(S1029:S1035)=0,0,IF(OR(AND(S1029=0,CA938&gt;0),AND(S1029="ns",CB938&gt;0),AND(S1029="ns",CA938=0,CB938=0)),1,IF(OR(AND(CA938&gt;=2,S1029&gt;CB938),AND(S1029="ns",CB938=0,CA938&gt;0),S1029=CB938),0,1)))</f>
        <v>0</v>
      </c>
      <c r="CD938">
        <f>COUNTIF(S1040:S1048,"NS")</f>
        <v>0</v>
      </c>
      <c r="CE938">
        <f>SUM(S1040:S1048)</f>
        <v>0</v>
      </c>
      <c r="CF938">
        <f>IF(COUNTA(S1039:S1048)=0,0,IF(OR(AND(S1039=0,CD938&gt;0),AND(S1039="ns",CE938&gt;0),AND(S1039="ns",CD938=0,CE938=0)),1,IF(OR(AND(CD938&gt;=2,S1039&gt;CE938),AND(S1039="ns",CE938=0,CD938&gt;0),S1039=CE938),0,1)))</f>
        <v>0</v>
      </c>
      <c r="CG938">
        <f>COUNTIF(S1050:S1052,"NS")</f>
        <v>0</v>
      </c>
      <c r="CH938">
        <f>SUM(S1050:S1052)</f>
        <v>0</v>
      </c>
      <c r="CI938">
        <f>IF(COUNTA(S1049:S1052)=0,0,IF(OR(AND(S1049=0,CG938&gt;0),AND(S1049="ns",CH938&gt;0),AND(S1049="ns",CG938=0,CH938=0)),1,IF(OR(AND(CG938&gt;=2,S1049&gt;CH938),AND(S1049="ns",CH938=0,CG938&gt;0),S1049=CH938),0,1)))</f>
        <v>0</v>
      </c>
      <c r="CJ938">
        <f>COUNTIF(S1061:S1067,"NS")</f>
        <v>0</v>
      </c>
      <c r="CK938">
        <f>SUM(S1061:S1067)</f>
        <v>0</v>
      </c>
      <c r="CL938">
        <f>IF(COUNTA(S1060:S1067)=0,0,IF(OR(AND(S1060=0,CJ938&gt;0),AND(S1060="ns",CK938&gt;0),AND(S1060="ns",CJ938=0,CK938=0)),1,IF(OR(AND(CJ938&gt;=2,S1060&gt;CK938),AND(S1060="ns",CK938=0,CJ938&gt;0),S1060=CK938),0,1)))</f>
        <v>0</v>
      </c>
      <c r="CM938">
        <f>COUNTIF(S1070:S1072,"NS")</f>
        <v>0</v>
      </c>
      <c r="CN938">
        <f>SUM(S1070:S1072)</f>
        <v>0</v>
      </c>
      <c r="CO938">
        <f>IF(COUNTA(S1069:S1072)=0,0,IF(OR(AND(S1069=0,CM938&gt;0),AND(S1069="ns",CN938&gt;0),AND(S1069="ns",CM938=0,CN938=0)),1,IF(OR(AND(CM938&gt;=2,S1069&gt;CN938),AND(S1069="ns",CN938=0,CM938&gt;0),S1069=CN938),0,1)))</f>
        <v>0</v>
      </c>
      <c r="CP938">
        <f>COUNTIF(S1082:S1086,"NS")</f>
        <v>0</v>
      </c>
      <c r="CQ938">
        <f>SUM(S1082:S1086)</f>
        <v>0</v>
      </c>
      <c r="CR938">
        <f>IF(COUNTA(S1081:S1086)=0,0,IF(OR(AND(S1081=0,CP938&gt;0),AND(S1081="ns",CQ938&gt;0),AND(S1081="ns",CP938=0,CQ938=0)),1,IF(OR(AND(CP938&gt;=2,S1081&gt;CQ938),AND(S1081="ns",CQ938=0,CP938&gt;0),S1081=CQ938),0,1)))</f>
        <v>0</v>
      </c>
    </row>
    <row r="939" spans="1:96" ht="15" customHeight="1">
      <c r="A939" s="110"/>
      <c r="B939" s="57"/>
      <c r="C939" s="1109"/>
      <c r="D939" s="954"/>
      <c r="E939" s="956"/>
      <c r="F939" s="1110" t="s">
        <v>4819</v>
      </c>
      <c r="G939" s="1110"/>
      <c r="H939" s="178"/>
      <c r="I939" s="1111" t="s">
        <v>4820</v>
      </c>
      <c r="J939" s="1111"/>
      <c r="K939" s="1111"/>
      <c r="L939" s="1111"/>
      <c r="M939" s="1111"/>
      <c r="N939" s="1111"/>
      <c r="O939" s="1112"/>
      <c r="P939" s="100"/>
      <c r="Q939" s="100"/>
      <c r="R939" s="100"/>
      <c r="S939" s="100"/>
      <c r="T939" s="100"/>
      <c r="U939" s="100"/>
      <c r="V939" s="100"/>
      <c r="W939" s="100"/>
      <c r="X939" s="100"/>
      <c r="Y939" s="100"/>
      <c r="Z939" s="100"/>
      <c r="AA939" s="100"/>
      <c r="AB939" s="100"/>
      <c r="AC939" s="100"/>
      <c r="AD939" s="100"/>
      <c r="AF939"/>
      <c r="AG939">
        <f t="shared" si="799"/>
        <v>0</v>
      </c>
      <c r="AH939">
        <f t="shared" si="783"/>
        <v>0</v>
      </c>
      <c r="AK939">
        <f t="shared" si="784"/>
        <v>0</v>
      </c>
      <c r="AL939">
        <f t="shared" si="785"/>
        <v>0</v>
      </c>
      <c r="AM939">
        <f t="shared" si="786"/>
        <v>0</v>
      </c>
      <c r="AN939">
        <f t="shared" si="787"/>
        <v>0</v>
      </c>
      <c r="AO939">
        <f t="shared" si="788"/>
        <v>0</v>
      </c>
      <c r="AP939">
        <f t="shared" si="789"/>
        <v>0</v>
      </c>
      <c r="AQ939">
        <f t="shared" si="790"/>
        <v>0</v>
      </c>
      <c r="AR939">
        <f t="shared" si="791"/>
        <v>0</v>
      </c>
      <c r="AS939">
        <f t="shared" si="792"/>
        <v>0</v>
      </c>
      <c r="AT939">
        <f t="shared" si="793"/>
        <v>0</v>
      </c>
      <c r="AU939">
        <f t="shared" si="794"/>
        <v>0</v>
      </c>
      <c r="AV939">
        <f t="shared" si="795"/>
        <v>0</v>
      </c>
      <c r="AW939">
        <f t="shared" si="796"/>
        <v>0</v>
      </c>
      <c r="AX939">
        <f t="shared" si="797"/>
        <v>0</v>
      </c>
      <c r="AY939">
        <f t="shared" si="798"/>
        <v>0</v>
      </c>
      <c r="AZ939">
        <f>COUNTIF(T936:T941,"NS")</f>
        <v>0</v>
      </c>
      <c r="BA939">
        <f>SUM(T936:T941)</f>
        <v>0</v>
      </c>
      <c r="BB939">
        <f>IF(COUNTA(T935:T941)=0,0,IF(OR(AND(T935=0,AZ939&gt;0),AND(T935="ns",BA939&gt;0),AND(T935="ns",AZ939=0,BA939=0)),1,IF(OR(AND(AZ939&gt;=2,T935&gt;BA939),AND(T935="ns",BA939=0,AZ939&gt;0),T935=BA939),0,1)))</f>
        <v>0</v>
      </c>
      <c r="BC939">
        <f>COUNTIF(T947:T951,"NS")</f>
        <v>0</v>
      </c>
      <c r="BD939">
        <f>SUM(T947:T951)</f>
        <v>0</v>
      </c>
      <c r="BE939">
        <f>IF(COUNTA(T946:T951)=0,0,IF(OR(AND(T946=0,BC939&gt;0),AND(T946="ns",BD939&gt;0),AND(T946="ns",BC939=0,BD939=0)),1,IF(OR(AND(BC939&gt;=2,T946&gt;BD939),AND(T946="ns",BD939=0,BC939&gt;0),T946=BD939),0,1)))</f>
        <v>0</v>
      </c>
      <c r="BF939">
        <f>COUNTIF(T956:T973,"NS")</f>
        <v>0</v>
      </c>
      <c r="BG939">
        <f>SUM(T956:T973)</f>
        <v>0</v>
      </c>
      <c r="BH939">
        <f>IF(COUNTA(T955:T973)=0,0,IF(OR(AND(T955=0,BF939&gt;0),AND(T955="ns",BG939&gt;0),AND(T955="ns",BF939=0,BG939=0)),1,IF(OR(AND(BF939&gt;=2,T955&gt;BG939),AND(T955="ns",BG939=0,BF939&gt;0),T955=BG939),0,1)))</f>
        <v>0</v>
      </c>
      <c r="BI939">
        <f>COUNTIF(T975:T979,"NS")</f>
        <v>0</v>
      </c>
      <c r="BJ939">
        <f>SUM(T975:T979)</f>
        <v>0</v>
      </c>
      <c r="BK939">
        <f>IF(COUNTA(T974:T979)=0,0,IF(OR(AND(T974=0,BI939&gt;0),AND(T974="ns",BJ939&gt;0),AND(T974="ns",BI939=0,BJ939=0)),1,IF(OR(AND(BI939&gt;=2,T974&gt;BJ939),AND(T974="ns",BJ939=0,BI939&gt;0),T974=BJ939),0,1)))</f>
        <v>0</v>
      </c>
      <c r="BL939">
        <f>COUNTIF(T983:T985,"NS")</f>
        <v>0</v>
      </c>
      <c r="BM939">
        <f>SUM(T983:T985)</f>
        <v>0</v>
      </c>
      <c r="BN939">
        <f>IF(COUNTA(T982:T985)=0,0,IF(OR(AND(T982=0,BL939&gt;0),AND(T982="ns",BM939&gt;0),AND(T982="ns",BL939=0,BM939=0)),1,IF(OR(AND(BL939&gt;=2,T982&gt;BM939),AND(T982="ns",BM939=0,BL939&gt;0),T982=BM939),0,1)))</f>
        <v>0</v>
      </c>
      <c r="BO939">
        <f>COUNTIF(T993:T999,"NS")</f>
        <v>0</v>
      </c>
      <c r="BP939">
        <f>SUM(T993:T999)</f>
        <v>0</v>
      </c>
      <c r="BQ939">
        <f>IF(COUNTA(T992:T999)=0,0,IF(OR(AND(T992=0,BO939&gt;0),AND(T992="ns",BP939&gt;0),AND(T992="ns",BO939=0,BP939=0)),1,IF(OR(AND(BO939&gt;=2,T992&gt;BP939),AND(T992="ns",BP939=0,BO939&gt;0),T992=BP939),0,1)))</f>
        <v>0</v>
      </c>
      <c r="BR939">
        <f>COUNTIF(T1001:T1005,"NS")</f>
        <v>0</v>
      </c>
      <c r="BS939">
        <f>SUM(T1001:T1005)</f>
        <v>0</v>
      </c>
      <c r="BT939">
        <f>IF(COUNTA(T1000:T1005)=0,0,IF(OR(AND(T1000=0,BR939&gt;0),AND(T1000="ns",BS939&gt;0),AND(T1000="ns",BR939=0,BS939=0)),1,IF(OR(AND(BR939&gt;=2,T1000&gt;BS939),AND(T1000="ns",BS939=0,BR939&gt;0),T1000=BS939),0,1)))</f>
        <v>0</v>
      </c>
      <c r="BU939">
        <f>COUNTIF(T1011:T1016,"NS")</f>
        <v>0</v>
      </c>
      <c r="BV939">
        <f>SUM(T1011:T1016)</f>
        <v>0</v>
      </c>
      <c r="BW939">
        <f>IF(COUNTA(T1010:T1016)=0,0,IF(OR(AND(T1010=0,BU939&gt;0),AND(T1010="ns",BV939&gt;0),AND(T1010="ns",BU939=0,BV939=0)),1,IF(OR(AND(BU939&gt;=2,T1010&gt;BV939),AND(T1010="ns",BV939=0,BU939&gt;0),T1010=BV939),0,1)))</f>
        <v>0</v>
      </c>
      <c r="BX939">
        <f>COUNTIF(T1018:T1025,"NS")</f>
        <v>0</v>
      </c>
      <c r="BY939">
        <f>SUM(T1018:T1025)</f>
        <v>0</v>
      </c>
      <c r="BZ939">
        <f>IF(COUNTA(T1017:T1025)=0,0,IF(OR(AND(T1017=0,BX939&gt;0),AND(T1017="ns",BY939&gt;0),AND(T1017="ns",BX939=0,BY939=0)),1,IF(OR(AND(BX939&gt;=2,T1017&gt;BY939),AND(T1017="ns",BY939=0,BX939&gt;0),T1017=BY939),0,1)))</f>
        <v>0</v>
      </c>
      <c r="CA939">
        <f>COUNTIF(T1030:T1035,"NS")</f>
        <v>0</v>
      </c>
      <c r="CB939">
        <f>SUM(T1030:T1035)</f>
        <v>0</v>
      </c>
      <c r="CC939">
        <f>IF(COUNTA(T1029:T1035)=0,0,IF(OR(AND(T1029=0,CA939&gt;0),AND(T1029="ns",CB939&gt;0),AND(T1029="ns",CA939=0,CB939=0)),1,IF(OR(AND(CA939&gt;=2,T1029&gt;CB939),AND(T1029="ns",CB939=0,CA939&gt;0),T1029=CB939),0,1)))</f>
        <v>0</v>
      </c>
      <c r="CD939">
        <f>COUNTIF(T1040:T1048,"NS")</f>
        <v>0</v>
      </c>
      <c r="CE939">
        <f>SUM(T1040:T1048)</f>
        <v>0</v>
      </c>
      <c r="CF939">
        <f>IF(COUNTA(T1039:T1048)=0,0,IF(OR(AND(T1039=0,CD939&gt;0),AND(T1039="ns",CE939&gt;0),AND(T1039="ns",CD939=0,CE939=0)),1,IF(OR(AND(CD939&gt;=2,T1039&gt;CE939),AND(T1039="ns",CE939=0,CD939&gt;0),T1039=CE939),0,1)))</f>
        <v>0</v>
      </c>
      <c r="CG939">
        <f>COUNTIF(T1050:T1052,"NS")</f>
        <v>0</v>
      </c>
      <c r="CH939">
        <f>SUM(T1050:T1052)</f>
        <v>0</v>
      </c>
      <c r="CI939">
        <f>IF(COUNTA(T1049:T1052)=0,0,IF(OR(AND(T1049=0,CG939&gt;0),AND(T1049="ns",CH939&gt;0),AND(T1049="ns",CG939=0,CH939=0)),1,IF(OR(AND(CG939&gt;=2,T1049&gt;CH939),AND(T1049="ns",CH939=0,CG939&gt;0),T1049=CH939),0,1)))</f>
        <v>0</v>
      </c>
      <c r="CJ939">
        <f>COUNTIF(T1061:T1067,"NS")</f>
        <v>0</v>
      </c>
      <c r="CK939">
        <f>SUM(T1061:T1067)</f>
        <v>0</v>
      </c>
      <c r="CL939">
        <f>IF(COUNTA(T1060:T1067)=0,0,IF(OR(AND(T1060=0,CJ939&gt;0),AND(T1060="ns",CK939&gt;0),AND(T1060="ns",CJ939=0,CK939=0)),1,IF(OR(AND(CJ939&gt;=2,T1060&gt;CK939),AND(T1060="ns",CK939=0,CJ939&gt;0),T1060=CK939),0,1)))</f>
        <v>0</v>
      </c>
      <c r="CM939">
        <f>COUNTIF(T1070:T1072,"NS")</f>
        <v>0</v>
      </c>
      <c r="CN939">
        <f>SUM(T1070:T1072)</f>
        <v>0</v>
      </c>
      <c r="CO939">
        <f>IF(COUNTA(T1069:T1072)=0,0,IF(OR(AND(T1069=0,CM939&gt;0),AND(T1069="ns",CN939&gt;0),AND(T1069="ns",CM939=0,CN939=0)),1,IF(OR(AND(CM939&gt;=2,T1069&gt;CN939),AND(T1069="ns",CN939=0,CM939&gt;0),T1069=CN939),0,1)))</f>
        <v>0</v>
      </c>
      <c r="CP939">
        <f>COUNTIF(T1082:T1086,"NS")</f>
        <v>0</v>
      </c>
      <c r="CQ939">
        <f>SUM(T1082:T1086)</f>
        <v>0</v>
      </c>
      <c r="CR939">
        <f>IF(COUNTA(T1081:T1086)=0,0,IF(OR(AND(T1081=0,CP939&gt;0),AND(T1081="ns",CQ939&gt;0),AND(T1081="ns",CP939=0,CQ939=0)),1,IF(OR(AND(CP939&gt;=2,T1081&gt;CQ939),AND(T1081="ns",CQ939=0,CP939&gt;0),T1081=CQ939),0,1)))</f>
        <v>0</v>
      </c>
    </row>
    <row r="940" spans="1:96" ht="15" customHeight="1">
      <c r="A940" s="110"/>
      <c r="B940" s="57"/>
      <c r="C940" s="1109"/>
      <c r="D940" s="954"/>
      <c r="E940" s="956"/>
      <c r="F940" s="1110" t="s">
        <v>4821</v>
      </c>
      <c r="G940" s="1110"/>
      <c r="H940" s="178"/>
      <c r="I940" s="1111" t="s">
        <v>4822</v>
      </c>
      <c r="J940" s="1111"/>
      <c r="K940" s="1111"/>
      <c r="L940" s="1111"/>
      <c r="M940" s="1111"/>
      <c r="N940" s="1111"/>
      <c r="O940" s="1112"/>
      <c r="P940" s="100"/>
      <c r="Q940" s="100"/>
      <c r="R940" s="100"/>
      <c r="S940" s="100"/>
      <c r="T940" s="100"/>
      <c r="U940" s="100"/>
      <c r="V940" s="100"/>
      <c r="W940" s="100"/>
      <c r="X940" s="100"/>
      <c r="Y940" s="100"/>
      <c r="Z940" s="100"/>
      <c r="AA940" s="100"/>
      <c r="AB940" s="100"/>
      <c r="AC940" s="100"/>
      <c r="AD940" s="100"/>
      <c r="AF940"/>
      <c r="AG940">
        <f t="shared" si="799"/>
        <v>0</v>
      </c>
      <c r="AH940">
        <f t="shared" si="783"/>
        <v>0</v>
      </c>
      <c r="AK940">
        <f t="shared" si="784"/>
        <v>0</v>
      </c>
      <c r="AL940">
        <f t="shared" si="785"/>
        <v>0</v>
      </c>
      <c r="AM940">
        <f t="shared" si="786"/>
        <v>0</v>
      </c>
      <c r="AN940">
        <f t="shared" si="787"/>
        <v>0</v>
      </c>
      <c r="AO940">
        <f t="shared" si="788"/>
        <v>0</v>
      </c>
      <c r="AP940">
        <f t="shared" si="789"/>
        <v>0</v>
      </c>
      <c r="AQ940">
        <f t="shared" si="790"/>
        <v>0</v>
      </c>
      <c r="AR940">
        <f t="shared" si="791"/>
        <v>0</v>
      </c>
      <c r="AS940">
        <f t="shared" si="792"/>
        <v>0</v>
      </c>
      <c r="AT940">
        <f t="shared" si="793"/>
        <v>0</v>
      </c>
      <c r="AU940">
        <f t="shared" si="794"/>
        <v>0</v>
      </c>
      <c r="AV940">
        <f t="shared" si="795"/>
        <v>0</v>
      </c>
      <c r="AW940">
        <f t="shared" si="796"/>
        <v>0</v>
      </c>
      <c r="AX940">
        <f t="shared" si="797"/>
        <v>0</v>
      </c>
      <c r="AY940">
        <f t="shared" si="798"/>
        <v>0</v>
      </c>
      <c r="AZ940">
        <f>COUNTIF(U936:U941,"NS")</f>
        <v>0</v>
      </c>
      <c r="BA940">
        <f>SUM(U936:U941)</f>
        <v>0</v>
      </c>
      <c r="BB940">
        <f>IF(COUNTA(U935:U941)=0,0,IF(OR(AND(U935=0,AZ940&gt;0),AND(U935="ns",BA940&gt;0),AND(U935="ns",AZ940=0,BA940=0)),1,IF(OR(AND(AZ940&gt;=2,U935&gt;BA940),AND(U935="ns",BA940=0,AZ940&gt;0),U935=BA940),0,1)))</f>
        <v>0</v>
      </c>
      <c r="BC940">
        <f>COUNTIF(U947:U951,"NS")</f>
        <v>0</v>
      </c>
      <c r="BD940">
        <f>SUM(U947:U951)</f>
        <v>0</v>
      </c>
      <c r="BE940">
        <f>IF(COUNTA(U946:U951)=0,0,IF(OR(AND(U946=0,BC940&gt;0),AND(U946="ns",BD940&gt;0),AND(U946="ns",BC940=0,BD940=0)),1,IF(OR(AND(BC940&gt;=2,U946&gt;BD940),AND(U946="ns",BD940=0,BC940&gt;0),U946=BD940),0,1)))</f>
        <v>0</v>
      </c>
      <c r="BF940">
        <f>COUNTIF(U956:U973,"NS")</f>
        <v>0</v>
      </c>
      <c r="BG940">
        <f>SUM(U956:U973)</f>
        <v>0</v>
      </c>
      <c r="BH940">
        <f>IF(COUNTA(U955:U973)=0,0,IF(OR(AND(U955=0,BF940&gt;0),AND(U955="ns",BG940&gt;0),AND(U955="ns",BF940=0,BG940=0)),1,IF(OR(AND(BF940&gt;=2,U955&gt;BG940),AND(U955="ns",BG940=0,BF940&gt;0),U955=BG940),0,1)))</f>
        <v>0</v>
      </c>
      <c r="BI940">
        <f>COUNTIF(U975:U979,"NS")</f>
        <v>0</v>
      </c>
      <c r="BJ940">
        <f>SUM(U975:U979)</f>
        <v>0</v>
      </c>
      <c r="BK940">
        <f>IF(COUNTA(U974:U979)=0,0,IF(OR(AND(U974=0,BI940&gt;0),AND(U974="ns",BJ940&gt;0),AND(U974="ns",BI940=0,BJ940=0)),1,IF(OR(AND(BI940&gt;=2,U974&gt;BJ940),AND(U974="ns",BJ940=0,BI940&gt;0),U974=BJ940),0,1)))</f>
        <v>0</v>
      </c>
      <c r="BL940">
        <f>COUNTIF(U983:U985,"NS")</f>
        <v>0</v>
      </c>
      <c r="BM940">
        <f>SUM(U983:U985)</f>
        <v>0</v>
      </c>
      <c r="BN940">
        <f>IF(COUNTA(U982:U985)=0,0,IF(OR(AND(U982=0,BL940&gt;0),AND(U982="ns",BM940&gt;0),AND(U982="ns",BL940=0,BM940=0)),1,IF(OR(AND(BL940&gt;=2,U982&gt;BM940),AND(U982="ns",BM940=0,BL940&gt;0),U982=BM940),0,1)))</f>
        <v>0</v>
      </c>
      <c r="BO940">
        <f>COUNTIF(U993:U999,"NS")</f>
        <v>0</v>
      </c>
      <c r="BP940">
        <f>SUM(U993:U999)</f>
        <v>0</v>
      </c>
      <c r="BQ940">
        <f>IF(COUNTA(U992:U999)=0,0,IF(OR(AND(U992=0,BO940&gt;0),AND(U992="ns",BP940&gt;0),AND(U992="ns",BO940=0,BP940=0)),1,IF(OR(AND(BO940&gt;=2,U992&gt;BP940),AND(U992="ns",BP940=0,BO940&gt;0),U992=BP940),0,1)))</f>
        <v>0</v>
      </c>
      <c r="BR940">
        <f>COUNTIF(U1001:U1005,"NS")</f>
        <v>0</v>
      </c>
      <c r="BS940">
        <f>SUM(U1001:U1005)</f>
        <v>0</v>
      </c>
      <c r="BT940">
        <f>IF(COUNTA(U1000:U1005)=0,0,IF(OR(AND(U1000=0,BR940&gt;0),AND(U1000="ns",BS940&gt;0),AND(U1000="ns",BR940=0,BS940=0)),1,IF(OR(AND(BR940&gt;=2,U1000&gt;BS940),AND(U1000="ns",BS940=0,BR940&gt;0),U1000=BS940),0,1)))</f>
        <v>0</v>
      </c>
      <c r="BU940">
        <f>COUNTIF(U1011:U1016,"NS")</f>
        <v>0</v>
      </c>
      <c r="BV940">
        <f>SUM(U1011:U1016)</f>
        <v>0</v>
      </c>
      <c r="BW940">
        <f>IF(COUNTA(U1010:U1016)=0,0,IF(OR(AND(U1010=0,BU940&gt;0),AND(U1010="ns",BV940&gt;0),AND(U1010="ns",BU940=0,BV940=0)),1,IF(OR(AND(BU940&gt;=2,U1010&gt;BV940),AND(U1010="ns",BV940=0,BU940&gt;0),U1010=BV940),0,1)))</f>
        <v>0</v>
      </c>
      <c r="BX940">
        <f>COUNTIF(U1018:U1025,"NS")</f>
        <v>0</v>
      </c>
      <c r="BY940">
        <f>SUM(U1018:U1025)</f>
        <v>0</v>
      </c>
      <c r="BZ940">
        <f>IF(COUNTA(U1017:U1025)=0,0,IF(OR(AND(U1017=0,BX940&gt;0),AND(U1017="ns",BY940&gt;0),AND(U1017="ns",BX940=0,BY940=0)),1,IF(OR(AND(BX940&gt;=2,U1017&gt;BY940),AND(U1017="ns",BY940=0,BX940&gt;0),U1017=BY940),0,1)))</f>
        <v>0</v>
      </c>
      <c r="CA940">
        <f>COUNTIF(U1030:U1035,"NS")</f>
        <v>0</v>
      </c>
      <c r="CB940">
        <f>SUM(U1030:U1035)</f>
        <v>0</v>
      </c>
      <c r="CC940">
        <f>IF(COUNTA(U1029:U1035)=0,0,IF(OR(AND(U1029=0,CA940&gt;0),AND(U1029="ns",CB940&gt;0),AND(U1029="ns",CA940=0,CB940=0)),1,IF(OR(AND(CA940&gt;=2,U1029&gt;CB940),AND(U1029="ns",CB940=0,CA940&gt;0),U1029=CB940),0,1)))</f>
        <v>0</v>
      </c>
      <c r="CD940">
        <f>COUNTIF(U1040:U1048,"NS")</f>
        <v>0</v>
      </c>
      <c r="CE940">
        <f>SUM(U1040:U1048)</f>
        <v>0</v>
      </c>
      <c r="CF940">
        <f>IF(COUNTA(U1039:U1048)=0,0,IF(OR(AND(U1039=0,CD940&gt;0),AND(U1039="ns",CE940&gt;0),AND(U1039="ns",CD940=0,CE940=0)),1,IF(OR(AND(CD940&gt;=2,U1039&gt;CE940),AND(U1039="ns",CE940=0,CD940&gt;0),U1039=CE940),0,1)))</f>
        <v>0</v>
      </c>
      <c r="CG940">
        <f>COUNTIF(U1050:U1052,"NS")</f>
        <v>0</v>
      </c>
      <c r="CH940">
        <f>SUM(U1050:U1052)</f>
        <v>0</v>
      </c>
      <c r="CI940">
        <f>IF(COUNTA(U1049:U1052)=0,0,IF(OR(AND(U1049=0,CG940&gt;0),AND(U1049="ns",CH940&gt;0),AND(U1049="ns",CG940=0,CH940=0)),1,IF(OR(AND(CG940&gt;=2,U1049&gt;CH940),AND(U1049="ns",CH940=0,CG940&gt;0),U1049=CH940),0,1)))</f>
        <v>0</v>
      </c>
      <c r="CJ940">
        <f>COUNTIF(U1061:U1067,"NS")</f>
        <v>0</v>
      </c>
      <c r="CK940">
        <f>SUM(U1061:U1067)</f>
        <v>0</v>
      </c>
      <c r="CL940">
        <f>IF(COUNTA(U1060:U1067)=0,0,IF(OR(AND(U1060=0,CJ940&gt;0),AND(U1060="ns",CK940&gt;0),AND(U1060="ns",CJ940=0,CK940=0)),1,IF(OR(AND(CJ940&gt;=2,U1060&gt;CK940),AND(U1060="ns",CK940=0,CJ940&gt;0),U1060=CK940),0,1)))</f>
        <v>0</v>
      </c>
      <c r="CM940">
        <f>COUNTIF(U1070:U1072,"NS")</f>
        <v>0</v>
      </c>
      <c r="CN940">
        <f>SUM(U1070:U1072)</f>
        <v>0</v>
      </c>
      <c r="CO940">
        <f>IF(COUNTA(U1069:U1072)=0,0,IF(OR(AND(U1069=0,CM940&gt;0),AND(U1069="ns",CN940&gt;0),AND(U1069="ns",CM940=0,CN940=0)),1,IF(OR(AND(CM940&gt;=2,U1069&gt;CN940),AND(U1069="ns",CN940=0,CM940&gt;0),U1069=CN940),0,1)))</f>
        <v>0</v>
      </c>
      <c r="CP940">
        <f>COUNTIF(U1082:U1086,"NS")</f>
        <v>0</v>
      </c>
      <c r="CQ940">
        <f>SUM(U1082:U1086)</f>
        <v>0</v>
      </c>
      <c r="CR940">
        <f>IF(COUNTA(U1081:U1086)=0,0,IF(OR(AND(U1081=0,CP940&gt;0),AND(U1081="ns",CQ940&gt;0),AND(U1081="ns",CP940=0,CQ940=0)),1,IF(OR(AND(CP940&gt;=2,U1081&gt;CQ940),AND(U1081="ns",CQ940=0,CP940&gt;0),U1081=CQ940),0,1)))</f>
        <v>0</v>
      </c>
    </row>
    <row r="941" spans="1:96" ht="15" customHeight="1">
      <c r="A941" s="110"/>
      <c r="B941" s="57"/>
      <c r="C941" s="1109"/>
      <c r="D941" s="954"/>
      <c r="E941" s="956"/>
      <c r="F941" s="1110" t="s">
        <v>4823</v>
      </c>
      <c r="G941" s="1110"/>
      <c r="H941" s="179"/>
      <c r="I941" s="1111" t="s">
        <v>201</v>
      </c>
      <c r="J941" s="1111"/>
      <c r="K941" s="1111"/>
      <c r="L941" s="1111"/>
      <c r="M941" s="1111"/>
      <c r="N941" s="1111"/>
      <c r="O941" s="1112"/>
      <c r="P941" s="100"/>
      <c r="Q941" s="100"/>
      <c r="R941" s="100"/>
      <c r="S941" s="100"/>
      <c r="T941" s="100"/>
      <c r="U941" s="100"/>
      <c r="V941" s="100"/>
      <c r="W941" s="100"/>
      <c r="X941" s="100"/>
      <c r="Y941" s="100"/>
      <c r="Z941" s="100"/>
      <c r="AA941" s="100"/>
      <c r="AB941" s="100"/>
      <c r="AC941" s="100"/>
      <c r="AD941" s="100"/>
      <c r="AF941"/>
      <c r="AG941">
        <f t="shared" si="799"/>
        <v>0</v>
      </c>
      <c r="AH941">
        <f t="shared" si="783"/>
        <v>0</v>
      </c>
      <c r="AK941">
        <f t="shared" si="784"/>
        <v>0</v>
      </c>
      <c r="AL941">
        <f t="shared" si="785"/>
        <v>0</v>
      </c>
      <c r="AM941">
        <f t="shared" si="786"/>
        <v>0</v>
      </c>
      <c r="AN941">
        <f t="shared" si="787"/>
        <v>0</v>
      </c>
      <c r="AO941">
        <f t="shared" si="788"/>
        <v>0</v>
      </c>
      <c r="AP941">
        <f t="shared" si="789"/>
        <v>0</v>
      </c>
      <c r="AQ941">
        <f t="shared" si="790"/>
        <v>0</v>
      </c>
      <c r="AR941">
        <f t="shared" si="791"/>
        <v>0</v>
      </c>
      <c r="AS941">
        <f t="shared" si="792"/>
        <v>0</v>
      </c>
      <c r="AT941">
        <f t="shared" si="793"/>
        <v>0</v>
      </c>
      <c r="AU941">
        <f t="shared" si="794"/>
        <v>0</v>
      </c>
      <c r="AV941">
        <f t="shared" si="795"/>
        <v>0</v>
      </c>
      <c r="AW941">
        <f t="shared" si="796"/>
        <v>0</v>
      </c>
      <c r="AX941">
        <f t="shared" si="797"/>
        <v>0</v>
      </c>
      <c r="AY941">
        <f t="shared" si="798"/>
        <v>0</v>
      </c>
      <c r="AZ941">
        <f>COUNTIF(V936:V941,"NS")</f>
        <v>0</v>
      </c>
      <c r="BA941">
        <f>SUM(V936:V941)</f>
        <v>0</v>
      </c>
      <c r="BB941">
        <f>IF(COUNTA(V935:V941)=0,0,IF(OR(AND(V935=0,AZ941&gt;0),AND(V935="ns",BA941&gt;0),AND(V935="ns",AZ941=0,BA941=0)),1,IF(OR(AND(AZ941&gt;=2,V935&gt;BA941),AND(V935="ns",BA941=0,AZ941&gt;0),V935=BA941),0,1)))</f>
        <v>0</v>
      </c>
      <c r="BC941">
        <f>COUNTIF(V947:V951,"NS")</f>
        <v>0</v>
      </c>
      <c r="BD941">
        <f>SUM(V947:V951)</f>
        <v>0</v>
      </c>
      <c r="BE941">
        <f>IF(COUNTA(V946:V951)=0,0,IF(OR(AND(V946=0,BC941&gt;0),AND(V946="ns",BD941&gt;0),AND(V946="ns",BC941=0,BD941=0)),1,IF(OR(AND(BC941&gt;=2,V946&gt;BD941),AND(V946="ns",BD941=0,BC941&gt;0),V946=BD941),0,1)))</f>
        <v>0</v>
      </c>
      <c r="BF941">
        <f>COUNTIF(V956:V973,"NS")</f>
        <v>0</v>
      </c>
      <c r="BG941">
        <f>SUM(V956:V973)</f>
        <v>0</v>
      </c>
      <c r="BH941">
        <f>IF(COUNTA(V955:V973)=0,0,IF(OR(AND(V955=0,BF941&gt;0),AND(V955="ns",BG941&gt;0),AND(V955="ns",BF941=0,BG941=0)),1,IF(OR(AND(BF941&gt;=2,V955&gt;BG941),AND(V955="ns",BG941=0,BF941&gt;0),V955=BG941),0,1)))</f>
        <v>0</v>
      </c>
      <c r="BI941">
        <f>COUNTIF(V975:V979,"NS")</f>
        <v>0</v>
      </c>
      <c r="BJ941">
        <f>SUM(V975:V979)</f>
        <v>0</v>
      </c>
      <c r="BK941">
        <f>IF(COUNTA(V974:V979)=0,0,IF(OR(AND(V974=0,BI941&gt;0),AND(V974="ns",BJ941&gt;0),AND(V974="ns",BI941=0,BJ941=0)),1,IF(OR(AND(BI941&gt;=2,V974&gt;BJ941),AND(V974="ns",BJ941=0,BI941&gt;0),V974=BJ941),0,1)))</f>
        <v>0</v>
      </c>
      <c r="BL941">
        <f>COUNTIF(V983:V985,"NS")</f>
        <v>0</v>
      </c>
      <c r="BM941">
        <f>SUM(V983:V985)</f>
        <v>0</v>
      </c>
      <c r="BN941">
        <f>IF(COUNTA(V982:V985)=0,0,IF(OR(AND(V982=0,BL941&gt;0),AND(V982="ns",BM941&gt;0),AND(V982="ns",BL941=0,BM941=0)),1,IF(OR(AND(BL941&gt;=2,V982&gt;BM941),AND(V982="ns",BM941=0,BL941&gt;0),V982=BM941),0,1)))</f>
        <v>0</v>
      </c>
      <c r="BO941">
        <f>COUNTIF(V993:V999,"NS")</f>
        <v>0</v>
      </c>
      <c r="BP941">
        <f>SUM(V993:V999)</f>
        <v>0</v>
      </c>
      <c r="BQ941">
        <f>IF(COUNTA(V992:V999)=0,0,IF(OR(AND(V992=0,BO941&gt;0),AND(V992="ns",BP941&gt;0),AND(V992="ns",BO941=0,BP941=0)),1,IF(OR(AND(BO941&gt;=2,V992&gt;BP941),AND(V992="ns",BP941=0,BO941&gt;0),V992=BP941),0,1)))</f>
        <v>0</v>
      </c>
      <c r="BR941">
        <f>COUNTIF(V1001:V1005,"NS")</f>
        <v>0</v>
      </c>
      <c r="BS941">
        <f>SUM(V1001:V1005)</f>
        <v>0</v>
      </c>
      <c r="BT941">
        <f>IF(COUNTA(V1000:V1005)=0,0,IF(OR(AND(V1000=0,BR941&gt;0),AND(V1000="ns",BS941&gt;0),AND(V1000="ns",BR941=0,BS941=0)),1,IF(OR(AND(BR941&gt;=2,V1000&gt;BS941),AND(V1000="ns",BS941=0,BR941&gt;0),V1000=BS941),0,1)))</f>
        <v>0</v>
      </c>
      <c r="BU941">
        <f>COUNTIF(V1011:V1016,"NS")</f>
        <v>0</v>
      </c>
      <c r="BV941">
        <f>SUM(V1011:V1016)</f>
        <v>0</v>
      </c>
      <c r="BW941">
        <f>IF(COUNTA(V1010:V1016)=0,0,IF(OR(AND(V1010=0,BU941&gt;0),AND(V1010="ns",BV941&gt;0),AND(V1010="ns",BU941=0,BV941=0)),1,IF(OR(AND(BU941&gt;=2,V1010&gt;BV941),AND(V1010="ns",BV941=0,BU941&gt;0),V1010=BV941),0,1)))</f>
        <v>0</v>
      </c>
      <c r="BX941">
        <f>COUNTIF(V1018:V1025,"NS")</f>
        <v>0</v>
      </c>
      <c r="BY941">
        <f>SUM(V1018:V1025)</f>
        <v>0</v>
      </c>
      <c r="BZ941">
        <f>IF(COUNTA(V1017:V1025)=0,0,IF(OR(AND(V1017=0,BX941&gt;0),AND(V1017="ns",BY941&gt;0),AND(V1017="ns",BX941=0,BY941=0)),1,IF(OR(AND(BX941&gt;=2,V1017&gt;BY941),AND(V1017="ns",BY941=0,BX941&gt;0),V1017=BY941),0,1)))</f>
        <v>0</v>
      </c>
      <c r="CA941">
        <f>COUNTIF(V1030:V1035,"NS")</f>
        <v>0</v>
      </c>
      <c r="CB941">
        <f>SUM(V1030:V1035)</f>
        <v>0</v>
      </c>
      <c r="CC941">
        <f>IF(COUNTA(V1029:V1035)=0,0,IF(OR(AND(V1029=0,CA941&gt;0),AND(V1029="ns",CB941&gt;0),AND(V1029="ns",CA941=0,CB941=0)),1,IF(OR(AND(CA941&gt;=2,V1029&gt;CB941),AND(V1029="ns",CB941=0,CA941&gt;0),V1029=CB941),0,1)))</f>
        <v>0</v>
      </c>
      <c r="CD941">
        <f>COUNTIF(V1040:V1048,"NS")</f>
        <v>0</v>
      </c>
      <c r="CE941">
        <f>SUM(V1040:V1048)</f>
        <v>0</v>
      </c>
      <c r="CF941">
        <f>IF(COUNTA(V1039:V1048)=0,0,IF(OR(AND(V1039=0,CD941&gt;0),AND(V1039="ns",CE941&gt;0),AND(V1039="ns",CD941=0,CE941=0)),1,IF(OR(AND(CD941&gt;=2,V1039&gt;CE941),AND(V1039="ns",CE941=0,CD941&gt;0),V1039=CE941),0,1)))</f>
        <v>0</v>
      </c>
      <c r="CG941">
        <f>COUNTIF(V1050:V1052,"NS")</f>
        <v>0</v>
      </c>
      <c r="CH941">
        <f>SUM(V1050:V1052)</f>
        <v>0</v>
      </c>
      <c r="CI941">
        <f>IF(COUNTA(V1049:V1052)=0,0,IF(OR(AND(V1049=0,CG941&gt;0),AND(V1049="ns",CH941&gt;0),AND(V1049="ns",CG941=0,CH941=0)),1,IF(OR(AND(CG941&gt;=2,V1049&gt;CH941),AND(V1049="ns",CH941=0,CG941&gt;0),V1049=CH941),0,1)))</f>
        <v>0</v>
      </c>
      <c r="CJ941">
        <f>COUNTIF(V1061:V1067,"NS")</f>
        <v>0</v>
      </c>
      <c r="CK941">
        <f>SUM(V1061:V1067)</f>
        <v>0</v>
      </c>
      <c r="CL941">
        <f>IF(COUNTA(V1060:V1067)=0,0,IF(OR(AND(V1060=0,CJ941&gt;0),AND(V1060="ns",CK941&gt;0),AND(V1060="ns",CJ941=0,CK941=0)),1,IF(OR(AND(CJ941&gt;=2,V1060&gt;CK941),AND(V1060="ns",CK941=0,CJ941&gt;0),V1060=CK941),0,1)))</f>
        <v>0</v>
      </c>
      <c r="CM941">
        <f>COUNTIF(V1070:V1072,"NS")</f>
        <v>0</v>
      </c>
      <c r="CN941">
        <f>SUM(V1070:V1072)</f>
        <v>0</v>
      </c>
      <c r="CO941">
        <f>IF(COUNTA(V1069:V1072)=0,0,IF(OR(AND(V1069=0,CM941&gt;0),AND(V1069="ns",CN941&gt;0),AND(V1069="ns",CM941=0,CN941=0)),1,IF(OR(AND(CM941&gt;=2,V1069&gt;CN941),AND(V1069="ns",CN941=0,CM941&gt;0),V1069=CN941),0,1)))</f>
        <v>0</v>
      </c>
      <c r="CP941">
        <f>COUNTIF(V1082:V1086,"NS")</f>
        <v>0</v>
      </c>
      <c r="CQ941">
        <f>SUM(V1082:V1086)</f>
        <v>0</v>
      </c>
      <c r="CR941">
        <f>IF(COUNTA(V1081:V1086)=0,0,IF(OR(AND(V1081=0,CP941&gt;0),AND(V1081="ns",CQ941&gt;0),AND(V1081="ns",CP941=0,CQ941=0)),1,IF(OR(AND(CP941&gt;=2,V1081&gt;CQ941),AND(V1081="ns",CQ941=0,CP941&gt;0),V1081=CQ941),0,1)))</f>
        <v>0</v>
      </c>
    </row>
    <row r="942" spans="1:96" ht="24" customHeight="1">
      <c r="A942" s="110"/>
      <c r="B942" s="57"/>
      <c r="C942" s="1109"/>
      <c r="D942" s="954"/>
      <c r="E942" s="956"/>
      <c r="F942" s="1103" t="s">
        <v>4824</v>
      </c>
      <c r="G942" s="1103"/>
      <c r="H942" s="1104" t="s">
        <v>4825</v>
      </c>
      <c r="I942" s="1105"/>
      <c r="J942" s="1105"/>
      <c r="K942" s="1105"/>
      <c r="L942" s="1105"/>
      <c r="M942" s="1105"/>
      <c r="N942" s="1105"/>
      <c r="O942" s="1106"/>
      <c r="P942" s="100"/>
      <c r="Q942" s="100"/>
      <c r="R942" s="100"/>
      <c r="S942" s="100"/>
      <c r="T942" s="100"/>
      <c r="U942" s="100"/>
      <c r="V942" s="100"/>
      <c r="W942" s="100"/>
      <c r="X942" s="100"/>
      <c r="Y942" s="100"/>
      <c r="Z942" s="100"/>
      <c r="AA942" s="100"/>
      <c r="AB942" s="100"/>
      <c r="AC942" s="100"/>
      <c r="AD942" s="100"/>
      <c r="AF942"/>
      <c r="AG942">
        <f t="shared" si="799"/>
        <v>0</v>
      </c>
      <c r="AH942">
        <f t="shared" si="783"/>
        <v>0</v>
      </c>
      <c r="AJ942">
        <f>IF(OR(P942="NS",P942="NA",$P$895=0,$P$895="NS",$P$895="NA"),0,IF((P942*(IFERROR(100/SUM(P930:P942),0)))&gt;25,1,0))</f>
        <v>0</v>
      </c>
      <c r="AK942">
        <f t="shared" si="784"/>
        <v>0</v>
      </c>
      <c r="AL942">
        <f t="shared" si="785"/>
        <v>0</v>
      </c>
      <c r="AM942">
        <f t="shared" si="786"/>
        <v>0</v>
      </c>
      <c r="AN942">
        <f t="shared" si="787"/>
        <v>0</v>
      </c>
      <c r="AO942">
        <f t="shared" si="788"/>
        <v>0</v>
      </c>
      <c r="AP942">
        <f t="shared" si="789"/>
        <v>0</v>
      </c>
      <c r="AQ942">
        <f t="shared" si="790"/>
        <v>0</v>
      </c>
      <c r="AR942">
        <f t="shared" si="791"/>
        <v>0</v>
      </c>
      <c r="AS942">
        <f t="shared" si="792"/>
        <v>0</v>
      </c>
      <c r="AT942">
        <f t="shared" si="793"/>
        <v>0</v>
      </c>
      <c r="AU942">
        <f t="shared" si="794"/>
        <v>0</v>
      </c>
      <c r="AV942">
        <f t="shared" si="795"/>
        <v>0</v>
      </c>
      <c r="AW942">
        <f t="shared" si="796"/>
        <v>0</v>
      </c>
      <c r="AX942">
        <f t="shared" si="797"/>
        <v>0</v>
      </c>
      <c r="AY942">
        <f t="shared" si="798"/>
        <v>0</v>
      </c>
      <c r="AZ942">
        <f>COUNTIF(W936:W941,"NS")</f>
        <v>0</v>
      </c>
      <c r="BA942">
        <f>SUM(W936:W941)</f>
        <v>0</v>
      </c>
      <c r="BB942">
        <f>IF(COUNTA(W935:W941)=0,0,IF(OR(AND(W935=0,AZ942&gt;0),AND(W935="ns",BA942&gt;0),AND(W935="ns",AZ942=0,BA942=0)),1,IF(OR(AND(AZ942&gt;=2,W935&gt;BA942),AND(W935="ns",BA942=0,AZ942&gt;0),W935=BA942),0,1)))</f>
        <v>0</v>
      </c>
      <c r="BC942">
        <f>COUNTIF(W947:W951,"NS")</f>
        <v>0</v>
      </c>
      <c r="BD942">
        <f>SUM(W947:W951)</f>
        <v>0</v>
      </c>
      <c r="BE942">
        <f>IF(COUNTA(W946:W951)=0,0,IF(OR(AND(W946=0,BC942&gt;0),AND(W946="ns",BD942&gt;0),AND(W946="ns",BC942=0,BD942=0)),1,IF(OR(AND(BC942&gt;=2,W946&gt;BD942),AND(W946="ns",BD942=0,BC942&gt;0),W946=BD942),0,1)))</f>
        <v>0</v>
      </c>
      <c r="BF942">
        <f>COUNTIF(W956:W973,"NS")</f>
        <v>0</v>
      </c>
      <c r="BG942">
        <f>SUM(W956:W973)</f>
        <v>0</v>
      </c>
      <c r="BH942">
        <f>IF(COUNTA(W955:W973)=0,0,IF(OR(AND(W955=0,BF942&gt;0),AND(W955="ns",BG942&gt;0),AND(W955="ns",BF942=0,BG942=0)),1,IF(OR(AND(BF942&gt;=2,W955&gt;BG942),AND(W955="ns",BG942=0,BF942&gt;0),W955=BG942),0,1)))</f>
        <v>0</v>
      </c>
      <c r="BI942">
        <f>COUNTIF(W975:W979,"NS")</f>
        <v>0</v>
      </c>
      <c r="BJ942">
        <f>SUM(W975:W979)</f>
        <v>0</v>
      </c>
      <c r="BK942">
        <f>IF(COUNTA(W974:W979)=0,0,IF(OR(AND(W974=0,BI942&gt;0),AND(W974="ns",BJ942&gt;0),AND(W974="ns",BI942=0,BJ942=0)),1,IF(OR(AND(BI942&gt;=2,W974&gt;BJ942),AND(W974="ns",BJ942=0,BI942&gt;0),W974=BJ942),0,1)))</f>
        <v>0</v>
      </c>
      <c r="BL942">
        <f>COUNTIF(W983:W985,"NS")</f>
        <v>0</v>
      </c>
      <c r="BM942">
        <f>SUM(W983:W985)</f>
        <v>0</v>
      </c>
      <c r="BN942">
        <f>IF(COUNTA(W982:W985)=0,0,IF(OR(AND(W982=0,BL942&gt;0),AND(W982="ns",BM942&gt;0),AND(W982="ns",BL942=0,BM942=0)),1,IF(OR(AND(BL942&gt;=2,W982&gt;BM942),AND(W982="ns",BM942=0,BL942&gt;0),W982=BM942),0,1)))</f>
        <v>0</v>
      </c>
      <c r="BO942">
        <f>COUNTIF(W993:W999,"NS")</f>
        <v>0</v>
      </c>
      <c r="BP942">
        <f>SUM(W993:W999)</f>
        <v>0</v>
      </c>
      <c r="BQ942">
        <f>IF(COUNTA(W992:W999)=0,0,IF(OR(AND(W992=0,BO942&gt;0),AND(W992="ns",BP942&gt;0),AND(W992="ns",BO942=0,BP942=0)),1,IF(OR(AND(BO942&gt;=2,W992&gt;BP942),AND(W992="ns",BP942=0,BO942&gt;0),W992=BP942),0,1)))</f>
        <v>0</v>
      </c>
      <c r="BR942">
        <f>COUNTIF(W1001:W1005,"NS")</f>
        <v>0</v>
      </c>
      <c r="BS942">
        <f>SUM(W1001:W1005)</f>
        <v>0</v>
      </c>
      <c r="BT942">
        <f>IF(COUNTA(W1000:W1005)=0,0,IF(OR(AND(W1000=0,BR942&gt;0),AND(W1000="ns",BS942&gt;0),AND(W1000="ns",BR942=0,BS942=0)),1,IF(OR(AND(BR942&gt;=2,W1000&gt;BS942),AND(W1000="ns",BS942=0,BR942&gt;0),W1000=BS942),0,1)))</f>
        <v>0</v>
      </c>
      <c r="BU942">
        <f>COUNTIF(W1011:W1016,"NS")</f>
        <v>0</v>
      </c>
      <c r="BV942">
        <f>SUM(W1011:W1016)</f>
        <v>0</v>
      </c>
      <c r="BW942">
        <f>IF(COUNTA(W1010:W1016)=0,0,IF(OR(AND(W1010=0,BU942&gt;0),AND(W1010="ns",BV942&gt;0),AND(W1010="ns",BU942=0,BV942=0)),1,IF(OR(AND(BU942&gt;=2,W1010&gt;BV942),AND(W1010="ns",BV942=0,BU942&gt;0),W1010=BV942),0,1)))</f>
        <v>0</v>
      </c>
      <c r="BX942">
        <f>COUNTIF(W1018:W1025,"NS")</f>
        <v>0</v>
      </c>
      <c r="BY942">
        <f>SUM(W1018:W1025)</f>
        <v>0</v>
      </c>
      <c r="BZ942">
        <f>IF(COUNTA(W1017:W1025)=0,0,IF(OR(AND(W1017=0,BX942&gt;0),AND(W1017="ns",BY942&gt;0),AND(W1017="ns",BX942=0,BY942=0)),1,IF(OR(AND(BX942&gt;=2,W1017&gt;BY942),AND(W1017="ns",BY942=0,BX942&gt;0),W1017=BY942),0,1)))</f>
        <v>0</v>
      </c>
      <c r="CA942">
        <f>COUNTIF(W1030:W1035,"NS")</f>
        <v>0</v>
      </c>
      <c r="CB942">
        <f>SUM(W1030:W1035)</f>
        <v>0</v>
      </c>
      <c r="CC942">
        <f>IF(COUNTA(W1029:W1035)=0,0,IF(OR(AND(W1029=0,CA942&gt;0),AND(W1029="ns",CB942&gt;0),AND(W1029="ns",CA942=0,CB942=0)),1,IF(OR(AND(CA942&gt;=2,W1029&gt;CB942),AND(W1029="ns",CB942=0,CA942&gt;0),W1029=CB942),0,1)))</f>
        <v>0</v>
      </c>
      <c r="CD942">
        <f>COUNTIF(W1040:W1048,"NS")</f>
        <v>0</v>
      </c>
      <c r="CE942">
        <f>SUM(W1040:W1048)</f>
        <v>0</v>
      </c>
      <c r="CF942">
        <f>IF(COUNTA(W1039:W1048)=0,0,IF(OR(AND(W1039=0,CD942&gt;0),AND(W1039="ns",CE942&gt;0),AND(W1039="ns",CD942=0,CE942=0)),1,IF(OR(AND(CD942&gt;=2,W1039&gt;CE942),AND(W1039="ns",CE942=0,CD942&gt;0),W1039=CE942),0,1)))</f>
        <v>0</v>
      </c>
      <c r="CG942">
        <f>COUNTIF(W1050:W1052,"NS")</f>
        <v>0</v>
      </c>
      <c r="CH942">
        <f>SUM(W1050:W1052)</f>
        <v>0</v>
      </c>
      <c r="CI942">
        <f>IF(COUNTA(W1049:W1052)=0,0,IF(OR(AND(W1049=0,CG942&gt;0),AND(W1049="ns",CH942&gt;0),AND(W1049="ns",CG942=0,CH942=0)),1,IF(OR(AND(CG942&gt;=2,W1049&gt;CH942),AND(W1049="ns",CH942=0,CG942&gt;0),W1049=CH942),0,1)))</f>
        <v>0</v>
      </c>
      <c r="CJ942">
        <f>COUNTIF(W1061:W1067,"NS")</f>
        <v>0</v>
      </c>
      <c r="CK942">
        <f>SUM(W1061:W1067)</f>
        <v>0</v>
      </c>
      <c r="CL942">
        <f>IF(COUNTA(W1060:W1067)=0,0,IF(OR(AND(W1060=0,CJ942&gt;0),AND(W1060="ns",CK942&gt;0),AND(W1060="ns",CJ942=0,CK942=0)),1,IF(OR(AND(CJ942&gt;=2,W1060&gt;CK942),AND(W1060="ns",CK942=0,CJ942&gt;0),W1060=CK942),0,1)))</f>
        <v>0</v>
      </c>
      <c r="CM942">
        <f>COUNTIF(W1070:W1072,"NS")</f>
        <v>0</v>
      </c>
      <c r="CN942">
        <f>SUM(W1070:W1072)</f>
        <v>0</v>
      </c>
      <c r="CO942">
        <f>IF(COUNTA(W1069:W1072)=0,0,IF(OR(AND(W1069=0,CM942&gt;0),AND(W1069="ns",CN942&gt;0),AND(W1069="ns",CM942=0,CN942=0)),1,IF(OR(AND(CM942&gt;=2,W1069&gt;CN942),AND(W1069="ns",CN942=0,CM942&gt;0),W1069=CN942),0,1)))</f>
        <v>0</v>
      </c>
      <c r="CP942">
        <f>COUNTIF(W1082:W1086,"NS")</f>
        <v>0</v>
      </c>
      <c r="CQ942">
        <f>SUM(W1082:W1086)</f>
        <v>0</v>
      </c>
      <c r="CR942">
        <f>IF(COUNTA(W1081:W1086)=0,0,IF(OR(AND(W1081=0,CP942&gt;0),AND(W1081="ns",CQ942&gt;0),AND(W1081="ns",CP942=0,CQ942=0)),1,IF(OR(AND(CP942&gt;=2,W1081&gt;CQ942),AND(W1081="ns",CQ942=0,CP942&gt;0),W1081=CQ942),0,1)))</f>
        <v>0</v>
      </c>
    </row>
    <row r="943" spans="1:96" ht="15" customHeight="1">
      <c r="A943" s="110"/>
      <c r="B943" s="57"/>
      <c r="C943" s="1108" t="s">
        <v>4826</v>
      </c>
      <c r="D943" s="847" t="s">
        <v>4827</v>
      </c>
      <c r="E943" s="848"/>
      <c r="F943" s="1103" t="s">
        <v>4828</v>
      </c>
      <c r="G943" s="1103"/>
      <c r="H943" s="1104" t="s">
        <v>4829</v>
      </c>
      <c r="I943" s="1105"/>
      <c r="J943" s="1105"/>
      <c r="K943" s="1105"/>
      <c r="L943" s="1105"/>
      <c r="M943" s="1105"/>
      <c r="N943" s="1105"/>
      <c r="O943" s="1106"/>
      <c r="P943" s="100"/>
      <c r="Q943" s="100"/>
      <c r="R943" s="100"/>
      <c r="S943" s="100"/>
      <c r="T943" s="100"/>
      <c r="U943" s="100"/>
      <c r="V943" s="100"/>
      <c r="W943" s="100"/>
      <c r="X943" s="100"/>
      <c r="Y943" s="100"/>
      <c r="Z943" s="100"/>
      <c r="AA943" s="100"/>
      <c r="AB943" s="100"/>
      <c r="AC943" s="100"/>
      <c r="AD943" s="100"/>
      <c r="AF943"/>
      <c r="AG943">
        <f t="shared" si="799"/>
        <v>0</v>
      </c>
      <c r="AH943">
        <f t="shared" si="783"/>
        <v>0</v>
      </c>
      <c r="AK943">
        <f t="shared" si="784"/>
        <v>0</v>
      </c>
      <c r="AL943">
        <f t="shared" si="785"/>
        <v>0</v>
      </c>
      <c r="AM943">
        <f t="shared" si="786"/>
        <v>0</v>
      </c>
      <c r="AN943">
        <f t="shared" si="787"/>
        <v>0</v>
      </c>
      <c r="AO943">
        <f t="shared" si="788"/>
        <v>0</v>
      </c>
      <c r="AP943">
        <f t="shared" si="789"/>
        <v>0</v>
      </c>
      <c r="AQ943">
        <f t="shared" si="790"/>
        <v>0</v>
      </c>
      <c r="AR943">
        <f t="shared" si="791"/>
        <v>0</v>
      </c>
      <c r="AS943">
        <f t="shared" si="792"/>
        <v>0</v>
      </c>
      <c r="AT943">
        <f t="shared" si="793"/>
        <v>0</v>
      </c>
      <c r="AU943">
        <f t="shared" si="794"/>
        <v>0</v>
      </c>
      <c r="AV943">
        <f t="shared" si="795"/>
        <v>0</v>
      </c>
      <c r="AW943">
        <f t="shared" si="796"/>
        <v>0</v>
      </c>
      <c r="AX943">
        <f t="shared" si="797"/>
        <v>0</v>
      </c>
      <c r="AY943">
        <f t="shared" si="798"/>
        <v>0</v>
      </c>
      <c r="AZ943">
        <f>COUNTIF(X936:X941,"NS")</f>
        <v>0</v>
      </c>
      <c r="BA943">
        <f>SUM(X936:X941)</f>
        <v>0</v>
      </c>
      <c r="BB943">
        <f>IF(COUNTA(X935:X941)=0,0,IF(OR(AND(X935=0,AZ943&gt;0),AND(X935="ns",BA943&gt;0),AND(X935="ns",AZ943=0,BA943=0)),1,IF(OR(AND(AZ943&gt;=2,X935&gt;BA943),AND(X935="ns",BA943=0,AZ943&gt;0),X935=BA943),0,1)))</f>
        <v>0</v>
      </c>
      <c r="BC943">
        <f>COUNTIF(X947:X951,"NS")</f>
        <v>0</v>
      </c>
      <c r="BD943">
        <f>SUM(X947:X951)</f>
        <v>0</v>
      </c>
      <c r="BE943">
        <f>IF(COUNTA(X946:X951)=0,0,IF(OR(AND(X946=0,BC943&gt;0),AND(X946="ns",BD943&gt;0),AND(X946="ns",BC943=0,BD943=0)),1,IF(OR(AND(BC943&gt;=2,X946&gt;BD943),AND(X946="ns",BD943=0,BC943&gt;0),X946=BD943),0,1)))</f>
        <v>0</v>
      </c>
      <c r="BF943">
        <f>COUNTIF(X956:X973,"NS")</f>
        <v>0</v>
      </c>
      <c r="BG943">
        <f>SUM(X956:X973)</f>
        <v>0</v>
      </c>
      <c r="BH943">
        <f>IF(COUNTA(X955:X973)=0,0,IF(OR(AND(X955=0,BF943&gt;0),AND(X955="ns",BG943&gt;0),AND(X955="ns",BF943=0,BG943=0)),1,IF(OR(AND(BF943&gt;=2,X955&gt;BG943),AND(X955="ns",BG943=0,BF943&gt;0),X955=BG943),0,1)))</f>
        <v>0</v>
      </c>
      <c r="BI943">
        <f>COUNTIF(X975:X979,"NS")</f>
        <v>0</v>
      </c>
      <c r="BJ943">
        <f>SUM(X975:X979)</f>
        <v>0</v>
      </c>
      <c r="BK943">
        <f>IF(COUNTA(X974:X979)=0,0,IF(OR(AND(X974=0,BI943&gt;0),AND(X974="ns",BJ943&gt;0),AND(X974="ns",BI943=0,BJ943=0)),1,IF(OR(AND(BI943&gt;=2,X974&gt;BJ943),AND(X974="ns",BJ943=0,BI943&gt;0),X974=BJ943),0,1)))</f>
        <v>0</v>
      </c>
      <c r="BL943">
        <f>COUNTIF(X983:X985,"NS")</f>
        <v>0</v>
      </c>
      <c r="BM943">
        <f>SUM(X983:X985)</f>
        <v>0</v>
      </c>
      <c r="BN943">
        <f>IF(COUNTA(X982:X985)=0,0,IF(OR(AND(X982=0,BL943&gt;0),AND(X982="ns",BM943&gt;0),AND(X982="ns",BL943=0,BM943=0)),1,IF(OR(AND(BL943&gt;=2,X982&gt;BM943),AND(X982="ns",BM943=0,BL943&gt;0),X982=BM943),0,1)))</f>
        <v>0</v>
      </c>
      <c r="BO943">
        <f>COUNTIF(X993:X999,"NS")</f>
        <v>0</v>
      </c>
      <c r="BP943">
        <f>SUM(X993:X999)</f>
        <v>0</v>
      </c>
      <c r="BQ943">
        <f>IF(COUNTA(X992:X999)=0,0,IF(OR(AND(X992=0,BO943&gt;0),AND(X992="ns",BP943&gt;0),AND(X992="ns",BO943=0,BP943=0)),1,IF(OR(AND(BO943&gt;=2,X992&gt;BP943),AND(X992="ns",BP943=0,BO943&gt;0),X992=BP943),0,1)))</f>
        <v>0</v>
      </c>
      <c r="BR943">
        <f>COUNTIF(X1001:X1005,"NS")</f>
        <v>0</v>
      </c>
      <c r="BS943">
        <f>SUM(X1001:X1005)</f>
        <v>0</v>
      </c>
      <c r="BT943">
        <f>IF(COUNTA(X1000:X1005)=0,0,IF(OR(AND(X1000=0,BR943&gt;0),AND(X1000="ns",BS943&gt;0),AND(X1000="ns",BR943=0,BS943=0)),1,IF(OR(AND(BR943&gt;=2,X1000&gt;BS943),AND(X1000="ns",BS943=0,BR943&gt;0),X1000=BS943),0,1)))</f>
        <v>0</v>
      </c>
      <c r="BU943">
        <f>COUNTIF(X1011:X1016,"NS")</f>
        <v>0</v>
      </c>
      <c r="BV943">
        <f>SUM(X1011:X1016)</f>
        <v>0</v>
      </c>
      <c r="BW943">
        <f>IF(COUNTA(X1010:X1016)=0,0,IF(OR(AND(X1010=0,BU943&gt;0),AND(X1010="ns",BV943&gt;0),AND(X1010="ns",BU943=0,BV943=0)),1,IF(OR(AND(BU943&gt;=2,X1010&gt;BV943),AND(X1010="ns",BV943=0,BU943&gt;0),X1010=BV943),0,1)))</f>
        <v>0</v>
      </c>
      <c r="BX943">
        <f>COUNTIF(X1018:X1025,"NS")</f>
        <v>0</v>
      </c>
      <c r="BY943">
        <f>SUM(X1018:X1025)</f>
        <v>0</v>
      </c>
      <c r="BZ943">
        <f>IF(COUNTA(X1017:X1025)=0,0,IF(OR(AND(X1017=0,BX943&gt;0),AND(X1017="ns",BY943&gt;0),AND(X1017="ns",BX943=0,BY943=0)),1,IF(OR(AND(BX943&gt;=2,X1017&gt;BY943),AND(X1017="ns",BY943=0,BX943&gt;0),X1017=BY943),0,1)))</f>
        <v>0</v>
      </c>
      <c r="CA943">
        <f>COUNTIF(X1030:X1035,"NS")</f>
        <v>0</v>
      </c>
      <c r="CB943">
        <f>SUM(X1030:X1035)</f>
        <v>0</v>
      </c>
      <c r="CC943">
        <f>IF(COUNTA(X1029:X1035)=0,0,IF(OR(AND(X1029=0,CA943&gt;0),AND(X1029="ns",CB943&gt;0),AND(X1029="ns",CA943=0,CB943=0)),1,IF(OR(AND(CA943&gt;=2,X1029&gt;CB943),AND(X1029="ns",CB943=0,CA943&gt;0),X1029=CB943),0,1)))</f>
        <v>0</v>
      </c>
      <c r="CD943">
        <f>COUNTIF(X1040:X1048,"NS")</f>
        <v>0</v>
      </c>
      <c r="CE943">
        <f>SUM(X1040:X1048)</f>
        <v>0</v>
      </c>
      <c r="CF943">
        <f>IF(COUNTA(X1039:X1048)=0,0,IF(OR(AND(X1039=0,CD943&gt;0),AND(X1039="ns",CE943&gt;0),AND(X1039="ns",CD943=0,CE943=0)),1,IF(OR(AND(CD943&gt;=2,X1039&gt;CE943),AND(X1039="ns",CE943=0,CD943&gt;0),X1039=CE943),0,1)))</f>
        <v>0</v>
      </c>
      <c r="CG943">
        <f>COUNTIF(X1050:X1052,"NS")</f>
        <v>0</v>
      </c>
      <c r="CH943">
        <f>SUM(X1050:X1052)</f>
        <v>0</v>
      </c>
      <c r="CI943">
        <f>IF(COUNTA(X1049:X1052)=0,0,IF(OR(AND(X1049=0,CG943&gt;0),AND(X1049="ns",CH943&gt;0),AND(X1049="ns",CG943=0,CH943=0)),1,IF(OR(AND(CG943&gt;=2,X1049&gt;CH943),AND(X1049="ns",CH943=0,CG943&gt;0),X1049=CH943),0,1)))</f>
        <v>0</v>
      </c>
      <c r="CJ943">
        <f>COUNTIF(X1061:X1067,"NS")</f>
        <v>0</v>
      </c>
      <c r="CK943">
        <f>SUM(X1061:X1067)</f>
        <v>0</v>
      </c>
      <c r="CL943">
        <f>IF(COUNTA(X1060:X1067)=0,0,IF(OR(AND(X1060=0,CJ943&gt;0),AND(X1060="ns",CK943&gt;0),AND(X1060="ns",CJ943=0,CK943=0)),1,IF(OR(AND(CJ943&gt;=2,X1060&gt;CK943),AND(X1060="ns",CK943=0,CJ943&gt;0),X1060=CK943),0,1)))</f>
        <v>0</v>
      </c>
      <c r="CM943">
        <f>COUNTIF(X1070:X1072,"NS")</f>
        <v>0</v>
      </c>
      <c r="CN943">
        <f>SUM(X1070:X1072)</f>
        <v>0</v>
      </c>
      <c r="CO943">
        <f>IF(COUNTA(X1069:X1072)=0,0,IF(OR(AND(X1069=0,CM943&gt;0),AND(X1069="ns",CN943&gt;0),AND(X1069="ns",CM943=0,CN943=0)),1,IF(OR(AND(CM943&gt;=2,X1069&gt;CN943),AND(X1069="ns",CN943=0,CM943&gt;0),X1069=CN943),0,1)))</f>
        <v>0</v>
      </c>
      <c r="CP943">
        <f>COUNTIF(X1082:X1086,"NS")</f>
        <v>0</v>
      </c>
      <c r="CQ943">
        <f>SUM(X1082:X1086)</f>
        <v>0</v>
      </c>
      <c r="CR943">
        <f>IF(COUNTA(X1081:X1086)=0,0,IF(OR(AND(X1081=0,CP943&gt;0),AND(X1081="ns",CQ943&gt;0),AND(X1081="ns",CP943=0,CQ943=0)),1,IF(OR(AND(CP943&gt;=2,X1081&gt;CQ943),AND(X1081="ns",CQ943=0,CP943&gt;0),X1081=CQ943),0,1)))</f>
        <v>0</v>
      </c>
    </row>
    <row r="944" spans="1:96" ht="15" customHeight="1">
      <c r="A944" s="110"/>
      <c r="B944" s="57"/>
      <c r="C944" s="1109"/>
      <c r="D944" s="954"/>
      <c r="E944" s="956"/>
      <c r="F944" s="1103" t="s">
        <v>4830</v>
      </c>
      <c r="G944" s="1103"/>
      <c r="H944" s="1104" t="s">
        <v>4831</v>
      </c>
      <c r="I944" s="1105"/>
      <c r="J944" s="1105"/>
      <c r="K944" s="1105"/>
      <c r="L944" s="1105"/>
      <c r="M944" s="1105"/>
      <c r="N944" s="1105"/>
      <c r="O944" s="1106"/>
      <c r="P944" s="100"/>
      <c r="Q944" s="100"/>
      <c r="R944" s="100"/>
      <c r="S944" s="100"/>
      <c r="T944" s="100"/>
      <c r="U944" s="100"/>
      <c r="V944" s="100"/>
      <c r="W944" s="100"/>
      <c r="X944" s="100"/>
      <c r="Y944" s="100"/>
      <c r="Z944" s="100"/>
      <c r="AA944" s="100"/>
      <c r="AB944" s="100"/>
      <c r="AC944" s="100"/>
      <c r="AD944" s="100"/>
      <c r="AF944"/>
      <c r="AG944">
        <f t="shared" si="799"/>
        <v>0</v>
      </c>
      <c r="AH944">
        <f t="shared" si="783"/>
        <v>0</v>
      </c>
      <c r="AK944">
        <f t="shared" si="784"/>
        <v>0</v>
      </c>
      <c r="AL944">
        <f t="shared" si="785"/>
        <v>0</v>
      </c>
      <c r="AM944">
        <f t="shared" si="786"/>
        <v>0</v>
      </c>
      <c r="AN944">
        <f t="shared" si="787"/>
        <v>0</v>
      </c>
      <c r="AO944">
        <f t="shared" si="788"/>
        <v>0</v>
      </c>
      <c r="AP944">
        <f t="shared" si="789"/>
        <v>0</v>
      </c>
      <c r="AQ944">
        <f t="shared" si="790"/>
        <v>0</v>
      </c>
      <c r="AR944">
        <f t="shared" si="791"/>
        <v>0</v>
      </c>
      <c r="AS944">
        <f t="shared" si="792"/>
        <v>0</v>
      </c>
      <c r="AT944">
        <f t="shared" si="793"/>
        <v>0</v>
      </c>
      <c r="AU944">
        <f t="shared" si="794"/>
        <v>0</v>
      </c>
      <c r="AV944">
        <f t="shared" si="795"/>
        <v>0</v>
      </c>
      <c r="AW944">
        <f t="shared" si="796"/>
        <v>0</v>
      </c>
      <c r="AX944">
        <f t="shared" si="797"/>
        <v>0</v>
      </c>
      <c r="AY944">
        <f t="shared" si="798"/>
        <v>0</v>
      </c>
      <c r="AZ944">
        <f>COUNTIF(Y936:Y941,"NS")</f>
        <v>0</v>
      </c>
      <c r="BA944">
        <f>SUM(Y936:Y941)</f>
        <v>0</v>
      </c>
      <c r="BB944">
        <f>IF(COUNTA(Y935:Y941)=0,0,IF(OR(AND(Y935=0,AZ944&gt;0),AND(Y935="ns",BA944&gt;0),AND(Y935="ns",AZ944=0,BA944=0)),1,IF(OR(AND(AZ944&gt;=2,Y935&gt;BA944),AND(Y935="ns",BA944=0,AZ944&gt;0),Y935=BA944),0,1)))</f>
        <v>0</v>
      </c>
      <c r="BC944">
        <f>COUNTIF(Y947:Y951,"NS")</f>
        <v>0</v>
      </c>
      <c r="BD944">
        <f>SUM(Y947:Y951)</f>
        <v>0</v>
      </c>
      <c r="BE944">
        <f>IF(COUNTA(Y946:Y951)=0,0,IF(OR(AND(Y946=0,BC944&gt;0),AND(Y946="ns",BD944&gt;0),AND(Y946="ns",BC944=0,BD944=0)),1,IF(OR(AND(BC944&gt;=2,Y946&gt;BD944),AND(Y946="ns",BD944=0,BC944&gt;0),Y946=BD944),0,1)))</f>
        <v>0</v>
      </c>
      <c r="BF944">
        <f>COUNTIF(Y956:Y973,"NS")</f>
        <v>0</v>
      </c>
      <c r="BG944">
        <f>SUM(Y956:Y973)</f>
        <v>0</v>
      </c>
      <c r="BH944">
        <f>IF(COUNTA(Y955:Y973)=0,0,IF(OR(AND(Y955=0,BF944&gt;0),AND(Y955="ns",BG944&gt;0),AND(Y955="ns",BF944=0,BG944=0)),1,IF(OR(AND(BF944&gt;=2,Y955&gt;BG944),AND(Y955="ns",BG944=0,BF944&gt;0),Y955=BG944),0,1)))</f>
        <v>0</v>
      </c>
      <c r="BI944">
        <f>COUNTIF(Y975:Y979,"NS")</f>
        <v>0</v>
      </c>
      <c r="BJ944">
        <f>SUM(Y975:Y979)</f>
        <v>0</v>
      </c>
      <c r="BK944">
        <f>IF(COUNTA(Y974:Y979)=0,0,IF(OR(AND(Y974=0,BI944&gt;0),AND(Y974="ns",BJ944&gt;0),AND(Y974="ns",BI944=0,BJ944=0)),1,IF(OR(AND(BI944&gt;=2,Y974&gt;BJ944),AND(Y974="ns",BJ944=0,BI944&gt;0),Y974=BJ944),0,1)))</f>
        <v>0</v>
      </c>
      <c r="BL944">
        <f>COUNTIF(Y983:Y985,"NS")</f>
        <v>0</v>
      </c>
      <c r="BM944">
        <f>SUM(Y983:Y985)</f>
        <v>0</v>
      </c>
      <c r="BN944">
        <f>IF(COUNTA(Y982:Y985)=0,0,IF(OR(AND(Y982=0,BL944&gt;0),AND(Y982="ns",BM944&gt;0),AND(Y982="ns",BL944=0,BM944=0)),1,IF(OR(AND(BL944&gt;=2,Y982&gt;BM944),AND(Y982="ns",BM944=0,BL944&gt;0),Y982=BM944),0,1)))</f>
        <v>0</v>
      </c>
      <c r="BO944">
        <f>COUNTIF(Y993:Y999,"NS")</f>
        <v>0</v>
      </c>
      <c r="BP944">
        <f>SUM(Y993:Y999)</f>
        <v>0</v>
      </c>
      <c r="BQ944">
        <f>IF(COUNTA(Y992:Y999)=0,0,IF(OR(AND(Y992=0,BO944&gt;0),AND(Y992="ns",BP944&gt;0),AND(Y992="ns",BO944=0,BP944=0)),1,IF(OR(AND(BO944&gt;=2,Y992&gt;BP944),AND(Y992="ns",BP944=0,BO944&gt;0),Y992=BP944),0,1)))</f>
        <v>0</v>
      </c>
      <c r="BR944">
        <f>COUNTIF(Y1001:Y1005,"NS")</f>
        <v>0</v>
      </c>
      <c r="BS944">
        <f>SUM(Y1001:Y1005)</f>
        <v>0</v>
      </c>
      <c r="BT944">
        <f>IF(COUNTA(Y1000:Y1005)=0,0,IF(OR(AND(Y1000=0,BR944&gt;0),AND(Y1000="ns",BS944&gt;0),AND(Y1000="ns",BR944=0,BS944=0)),1,IF(OR(AND(BR944&gt;=2,Y1000&gt;BS944),AND(Y1000="ns",BS944=0,BR944&gt;0),Y1000=BS944),0,1)))</f>
        <v>0</v>
      </c>
      <c r="BU944">
        <f>COUNTIF(Y1011:Y1016,"NS")</f>
        <v>0</v>
      </c>
      <c r="BV944">
        <f>SUM(Y1011:Y1016)</f>
        <v>0</v>
      </c>
      <c r="BW944">
        <f>IF(COUNTA(Y1010:Y1016)=0,0,IF(OR(AND(Y1010=0,BU944&gt;0),AND(Y1010="ns",BV944&gt;0),AND(Y1010="ns",BU944=0,BV944=0)),1,IF(OR(AND(BU944&gt;=2,Y1010&gt;BV944),AND(Y1010="ns",BV944=0,BU944&gt;0),Y1010=BV944),0,1)))</f>
        <v>0</v>
      </c>
      <c r="BX944">
        <f>COUNTIF(Y1018:Y1025,"NS")</f>
        <v>0</v>
      </c>
      <c r="BY944">
        <f>SUM(Y1018:Y1025)</f>
        <v>0</v>
      </c>
      <c r="BZ944">
        <f>IF(COUNTA(Y1017:Y1025)=0,0,IF(OR(AND(Y1017=0,BX944&gt;0),AND(Y1017="ns",BY944&gt;0),AND(Y1017="ns",BX944=0,BY944=0)),1,IF(OR(AND(BX944&gt;=2,Y1017&gt;BY944),AND(Y1017="ns",BY944=0,BX944&gt;0),Y1017=BY944),0,1)))</f>
        <v>0</v>
      </c>
      <c r="CA944">
        <f>COUNTIF(Y1030:Y1035,"NS")</f>
        <v>0</v>
      </c>
      <c r="CB944">
        <f>SUM(Y1030:Y1035)</f>
        <v>0</v>
      </c>
      <c r="CC944">
        <f>IF(COUNTA(Y1029:Y1035)=0,0,IF(OR(AND(Y1029=0,CA944&gt;0),AND(Y1029="ns",CB944&gt;0),AND(Y1029="ns",CA944=0,CB944=0)),1,IF(OR(AND(CA944&gt;=2,Y1029&gt;CB944),AND(Y1029="ns",CB944=0,CA944&gt;0),Y1029=CB944),0,1)))</f>
        <v>0</v>
      </c>
      <c r="CD944">
        <f>COUNTIF(Y1040:Y1048,"NS")</f>
        <v>0</v>
      </c>
      <c r="CE944">
        <f>SUM(Y1040:Y1048)</f>
        <v>0</v>
      </c>
      <c r="CF944">
        <f>IF(COUNTA(Y1039:Y1048)=0,0,IF(OR(AND(Y1039=0,CD944&gt;0),AND(Y1039="ns",CE944&gt;0),AND(Y1039="ns",CD944=0,CE944=0)),1,IF(OR(AND(CD944&gt;=2,Y1039&gt;CE944),AND(Y1039="ns",CE944=0,CD944&gt;0),Y1039=CE944),0,1)))</f>
        <v>0</v>
      </c>
      <c r="CG944">
        <f>COUNTIF(Y1050:Y1052,"NS")</f>
        <v>0</v>
      </c>
      <c r="CH944">
        <f>SUM(Y1050:Y1052)</f>
        <v>0</v>
      </c>
      <c r="CI944">
        <f>IF(COUNTA(Y1049:Y1052)=0,0,IF(OR(AND(Y1049=0,CG944&gt;0),AND(Y1049="ns",CH944&gt;0),AND(Y1049="ns",CG944=0,CH944=0)),1,IF(OR(AND(CG944&gt;=2,Y1049&gt;CH944),AND(Y1049="ns",CH944=0,CG944&gt;0),Y1049=CH944),0,1)))</f>
        <v>0</v>
      </c>
      <c r="CJ944">
        <f>COUNTIF(Y1061:Y1067,"NS")</f>
        <v>0</v>
      </c>
      <c r="CK944">
        <f>SUM(Y1061:Y1067)</f>
        <v>0</v>
      </c>
      <c r="CL944">
        <f>IF(COUNTA(Y1060:Y1067)=0,0,IF(OR(AND(Y1060=0,CJ944&gt;0),AND(Y1060="ns",CK944&gt;0),AND(Y1060="ns",CJ944=0,CK944=0)),1,IF(OR(AND(CJ944&gt;=2,Y1060&gt;CK944),AND(Y1060="ns",CK944=0,CJ944&gt;0),Y1060=CK944),0,1)))</f>
        <v>0</v>
      </c>
      <c r="CM944">
        <f>COUNTIF(Y1070:Y1072,"NS")</f>
        <v>0</v>
      </c>
      <c r="CN944">
        <f>SUM(Y1070:Y1072)</f>
        <v>0</v>
      </c>
      <c r="CO944">
        <f>IF(COUNTA(Y1069:Y1072)=0,0,IF(OR(AND(Y1069=0,CM944&gt;0),AND(Y1069="ns",CN944&gt;0),AND(Y1069="ns",CM944=0,CN944=0)),1,IF(OR(AND(CM944&gt;=2,Y1069&gt;CN944),AND(Y1069="ns",CN944=0,CM944&gt;0),Y1069=CN944),0,1)))</f>
        <v>0</v>
      </c>
      <c r="CP944">
        <f>COUNTIF(Y1082:Y1086,"NS")</f>
        <v>0</v>
      </c>
      <c r="CQ944">
        <f>SUM(Y1082:Y1086)</f>
        <v>0</v>
      </c>
      <c r="CR944">
        <f>IF(COUNTA(Y1081:Y1086)=0,0,IF(OR(AND(Y1081=0,CP944&gt;0),AND(Y1081="ns",CQ944&gt;0),AND(Y1081="ns",CP944=0,CQ944=0)),1,IF(OR(AND(CP944&gt;=2,Y1081&gt;CQ944),AND(Y1081="ns",CQ944=0,CP944&gt;0),Y1081=CQ944),0,1)))</f>
        <v>0</v>
      </c>
    </row>
    <row r="945" spans="1:96" ht="15" customHeight="1">
      <c r="A945" s="110"/>
      <c r="B945" s="57"/>
      <c r="C945" s="1109"/>
      <c r="D945" s="954"/>
      <c r="E945" s="956"/>
      <c r="F945" s="1103" t="s">
        <v>4832</v>
      </c>
      <c r="G945" s="1103"/>
      <c r="H945" s="1104" t="s">
        <v>4833</v>
      </c>
      <c r="I945" s="1105"/>
      <c r="J945" s="1105"/>
      <c r="K945" s="1105"/>
      <c r="L945" s="1105"/>
      <c r="M945" s="1105"/>
      <c r="N945" s="1105"/>
      <c r="O945" s="1106"/>
      <c r="P945" s="100"/>
      <c r="Q945" s="100"/>
      <c r="R945" s="100"/>
      <c r="S945" s="100"/>
      <c r="T945" s="100"/>
      <c r="U945" s="100"/>
      <c r="V945" s="100"/>
      <c r="W945" s="100"/>
      <c r="X945" s="100"/>
      <c r="Y945" s="100"/>
      <c r="Z945" s="100"/>
      <c r="AA945" s="100"/>
      <c r="AB945" s="100"/>
      <c r="AC945" s="100"/>
      <c r="AD945" s="100"/>
      <c r="AF945"/>
      <c r="AG945">
        <f t="shared" si="799"/>
        <v>0</v>
      </c>
      <c r="AH945">
        <f t="shared" si="783"/>
        <v>0</v>
      </c>
      <c r="AK945">
        <f t="shared" si="784"/>
        <v>0</v>
      </c>
      <c r="AL945">
        <f t="shared" si="785"/>
        <v>0</v>
      </c>
      <c r="AM945">
        <f t="shared" si="786"/>
        <v>0</v>
      </c>
      <c r="AN945">
        <f t="shared" si="787"/>
        <v>0</v>
      </c>
      <c r="AO945">
        <f t="shared" si="788"/>
        <v>0</v>
      </c>
      <c r="AP945">
        <f t="shared" si="789"/>
        <v>0</v>
      </c>
      <c r="AQ945">
        <f t="shared" si="790"/>
        <v>0</v>
      </c>
      <c r="AR945">
        <f t="shared" si="791"/>
        <v>0</v>
      </c>
      <c r="AS945">
        <f t="shared" si="792"/>
        <v>0</v>
      </c>
      <c r="AT945">
        <f t="shared" si="793"/>
        <v>0</v>
      </c>
      <c r="AU945">
        <f t="shared" si="794"/>
        <v>0</v>
      </c>
      <c r="AV945">
        <f t="shared" si="795"/>
        <v>0</v>
      </c>
      <c r="AW945">
        <f t="shared" si="796"/>
        <v>0</v>
      </c>
      <c r="AX945">
        <f t="shared" si="797"/>
        <v>0</v>
      </c>
      <c r="AY945">
        <f t="shared" si="798"/>
        <v>0</v>
      </c>
      <c r="AZ945">
        <f>COUNTIF(Z936:Z941,"NS")</f>
        <v>0</v>
      </c>
      <c r="BA945">
        <f>SUM(Z936:Z941)</f>
        <v>0</v>
      </c>
      <c r="BB945">
        <f>IF(COUNTA(Z935:Z941)=0,0,IF(OR(AND(Z935=0,AZ945&gt;0),AND(Z935="ns",BA945&gt;0),AND(Z935="ns",AZ945=0,BA945=0)),1,IF(OR(AND(AZ945&gt;=2,Z935&gt;BA945),AND(Z935="ns",BA945=0,AZ945&gt;0),Z935=BA945),0,1)))</f>
        <v>0</v>
      </c>
      <c r="BC945">
        <f>COUNTIF(Z947:Z951,"NS")</f>
        <v>0</v>
      </c>
      <c r="BD945">
        <f>SUM(Z947:Z951)</f>
        <v>0</v>
      </c>
      <c r="BE945">
        <f>IF(COUNTA(Z946:Z951)=0,0,IF(OR(AND(Z946=0,BC945&gt;0),AND(Z946="ns",BD945&gt;0),AND(Z946="ns",BC945=0,BD945=0)),1,IF(OR(AND(BC945&gt;=2,Z946&gt;BD945),AND(Z946="ns",BD945=0,BC945&gt;0),Z946=BD945),0,1)))</f>
        <v>0</v>
      </c>
      <c r="BF945">
        <f>COUNTIF(Z956:Z973,"NS")</f>
        <v>0</v>
      </c>
      <c r="BG945">
        <f>SUM(Z956:Z973)</f>
        <v>0</v>
      </c>
      <c r="BH945">
        <f>IF(COUNTA(Z955:Z973)=0,0,IF(OR(AND(Z955=0,BF945&gt;0),AND(Z955="ns",BG945&gt;0),AND(Z955="ns",BF945=0,BG945=0)),1,IF(OR(AND(BF945&gt;=2,Z955&gt;BG945),AND(Z955="ns",BG945=0,BF945&gt;0),Z955=BG945),0,1)))</f>
        <v>0</v>
      </c>
      <c r="BI945">
        <f>COUNTIF(Z975:Z979,"NS")</f>
        <v>0</v>
      </c>
      <c r="BJ945">
        <f>SUM(Z975:Z979)</f>
        <v>0</v>
      </c>
      <c r="BK945">
        <f>IF(COUNTA(Z974:Z979)=0,0,IF(OR(AND(Z974=0,BI945&gt;0),AND(Z974="ns",BJ945&gt;0),AND(Z974="ns",BI945=0,BJ945=0)),1,IF(OR(AND(BI945&gt;=2,Z974&gt;BJ945),AND(Z974="ns",BJ945=0,BI945&gt;0),Z974=BJ945),0,1)))</f>
        <v>0</v>
      </c>
      <c r="BL945">
        <f>COUNTIF(Z983:Z985,"NS")</f>
        <v>0</v>
      </c>
      <c r="BM945">
        <f>SUM(Z983:Z985)</f>
        <v>0</v>
      </c>
      <c r="BN945">
        <f>IF(COUNTA(Z982:Z985)=0,0,IF(OR(AND(Z982=0,BL945&gt;0),AND(Z982="ns",BM945&gt;0),AND(Z982="ns",BL945=0,BM945=0)),1,IF(OR(AND(BL945&gt;=2,Z982&gt;BM945),AND(Z982="ns",BM945=0,BL945&gt;0),Z982=BM945),0,1)))</f>
        <v>0</v>
      </c>
      <c r="BO945">
        <f>COUNTIF(Z993:Z999,"NS")</f>
        <v>0</v>
      </c>
      <c r="BP945">
        <f>SUM(Z993:Z999)</f>
        <v>0</v>
      </c>
      <c r="BQ945">
        <f>IF(COUNTA(Z992:Z999)=0,0,IF(OR(AND(Z992=0,BO945&gt;0),AND(Z992="ns",BP945&gt;0),AND(Z992="ns",BO945=0,BP945=0)),1,IF(OR(AND(BO945&gt;=2,Z992&gt;BP945),AND(Z992="ns",BP945=0,BO945&gt;0),Z992=BP945),0,1)))</f>
        <v>0</v>
      </c>
      <c r="BR945">
        <f>COUNTIF(Z1001:Z1005,"NS")</f>
        <v>0</v>
      </c>
      <c r="BS945">
        <f>SUM(Z1001:Z1005)</f>
        <v>0</v>
      </c>
      <c r="BT945">
        <f>IF(COUNTA(Z1000:Z1005)=0,0,IF(OR(AND(Z1000=0,BR945&gt;0),AND(Z1000="ns",BS945&gt;0),AND(Z1000="ns",BR945=0,BS945=0)),1,IF(OR(AND(BR945&gt;=2,Z1000&gt;BS945),AND(Z1000="ns",BS945=0,BR945&gt;0),Z1000=BS945),0,1)))</f>
        <v>0</v>
      </c>
      <c r="BU945">
        <f>COUNTIF(Z1011:Z1016,"NS")</f>
        <v>0</v>
      </c>
      <c r="BV945">
        <f>SUM(Z1011:Z1016)</f>
        <v>0</v>
      </c>
      <c r="BW945">
        <f>IF(COUNTA(Z1010:Z1016)=0,0,IF(OR(AND(Z1010=0,BU945&gt;0),AND(Z1010="ns",BV945&gt;0),AND(Z1010="ns",BU945=0,BV945=0)),1,IF(OR(AND(BU945&gt;=2,Z1010&gt;BV945),AND(Z1010="ns",BV945=0,BU945&gt;0),Z1010=BV945),0,1)))</f>
        <v>0</v>
      </c>
      <c r="BX945">
        <f>COUNTIF(Z1018:Z1025,"NS")</f>
        <v>0</v>
      </c>
      <c r="BY945">
        <f>SUM(Z1018:Z1025)</f>
        <v>0</v>
      </c>
      <c r="BZ945">
        <f>IF(COUNTA(Z1017:Z1025)=0,0,IF(OR(AND(Z1017=0,BX945&gt;0),AND(Z1017="ns",BY945&gt;0),AND(Z1017="ns",BX945=0,BY945=0)),1,IF(OR(AND(BX945&gt;=2,Z1017&gt;BY945),AND(Z1017="ns",BY945=0,BX945&gt;0),Z1017=BY945),0,1)))</f>
        <v>0</v>
      </c>
      <c r="CA945">
        <f>COUNTIF(Z1030:Z1035,"NS")</f>
        <v>0</v>
      </c>
      <c r="CB945">
        <f>SUM(Z1030:Z1035)</f>
        <v>0</v>
      </c>
      <c r="CC945">
        <f>IF(COUNTA(Z1029:Z1035)=0,0,IF(OR(AND(Z1029=0,CA945&gt;0),AND(Z1029="ns",CB945&gt;0),AND(Z1029="ns",CA945=0,CB945=0)),1,IF(OR(AND(CA945&gt;=2,Z1029&gt;CB945),AND(Z1029="ns",CB945=0,CA945&gt;0),Z1029=CB945),0,1)))</f>
        <v>0</v>
      </c>
      <c r="CD945">
        <f>COUNTIF(Z1040:Z1048,"NS")</f>
        <v>0</v>
      </c>
      <c r="CE945">
        <f>SUM(Z1040:Z1048)</f>
        <v>0</v>
      </c>
      <c r="CF945">
        <f>IF(COUNTA(Z1039:Z1048)=0,0,IF(OR(AND(Z1039=0,CD945&gt;0),AND(Z1039="ns",CE945&gt;0),AND(Z1039="ns",CD945=0,CE945=0)),1,IF(OR(AND(CD945&gt;=2,Z1039&gt;CE945),AND(Z1039="ns",CE945=0,CD945&gt;0),Z1039=CE945),0,1)))</f>
        <v>0</v>
      </c>
      <c r="CG945">
        <f>COUNTIF(Z1050:Z1052,"NS")</f>
        <v>0</v>
      </c>
      <c r="CH945">
        <f>SUM(Z1050:Z1052)</f>
        <v>0</v>
      </c>
      <c r="CI945">
        <f>IF(COUNTA(Z1049:Z1052)=0,0,IF(OR(AND(Z1049=0,CG945&gt;0),AND(Z1049="ns",CH945&gt;0),AND(Z1049="ns",CG945=0,CH945=0)),1,IF(OR(AND(CG945&gt;=2,Z1049&gt;CH945),AND(Z1049="ns",CH945=0,CG945&gt;0),Z1049=CH945),0,1)))</f>
        <v>0</v>
      </c>
      <c r="CJ945">
        <f>COUNTIF(Z1061:Z1067,"NS")</f>
        <v>0</v>
      </c>
      <c r="CK945">
        <f>SUM(Z1061:Z1067)</f>
        <v>0</v>
      </c>
      <c r="CL945">
        <f>IF(COUNTA(Z1060:Z1067)=0,0,IF(OR(AND(Z1060=0,CJ945&gt;0),AND(Z1060="ns",CK945&gt;0),AND(Z1060="ns",CJ945=0,CK945=0)),1,IF(OR(AND(CJ945&gt;=2,Z1060&gt;CK945),AND(Z1060="ns",CK945=0,CJ945&gt;0),Z1060=CK945),0,1)))</f>
        <v>0</v>
      </c>
      <c r="CM945">
        <f>COUNTIF(Z1070:Z1072,"NS")</f>
        <v>0</v>
      </c>
      <c r="CN945">
        <f>SUM(Z1070:Z1072)</f>
        <v>0</v>
      </c>
      <c r="CO945">
        <f>IF(COUNTA(Z1069:Z1072)=0,0,IF(OR(AND(Z1069=0,CM945&gt;0),AND(Z1069="ns",CN945&gt;0),AND(Z1069="ns",CM945=0,CN945=0)),1,IF(OR(AND(CM945&gt;=2,Z1069&gt;CN945),AND(Z1069="ns",CN945=0,CM945&gt;0),Z1069=CN945),0,1)))</f>
        <v>0</v>
      </c>
      <c r="CP945">
        <f>COUNTIF(Z1082:Z1086,"NS")</f>
        <v>0</v>
      </c>
      <c r="CQ945">
        <f>SUM(Z1082:Z1086)</f>
        <v>0</v>
      </c>
      <c r="CR945">
        <f>IF(COUNTA(Z1081:Z1086)=0,0,IF(OR(AND(Z1081=0,CP945&gt;0),AND(Z1081="ns",CQ945&gt;0),AND(Z1081="ns",CP945=0,CQ945=0)),1,IF(OR(AND(CP945&gt;=2,Z1081&gt;CQ945),AND(Z1081="ns",CQ945=0,CP945&gt;0),Z1081=CQ945),0,1)))</f>
        <v>0</v>
      </c>
    </row>
    <row r="946" spans="1:96" ht="15" customHeight="1">
      <c r="A946" s="110"/>
      <c r="B946" s="57"/>
      <c r="C946" s="1109"/>
      <c r="D946" s="954"/>
      <c r="E946" s="956"/>
      <c r="F946" s="1103" t="s">
        <v>4834</v>
      </c>
      <c r="G946" s="1103"/>
      <c r="H946" s="1104" t="s">
        <v>4835</v>
      </c>
      <c r="I946" s="1105"/>
      <c r="J946" s="1105"/>
      <c r="K946" s="1105"/>
      <c r="L946" s="1105"/>
      <c r="M946" s="1105"/>
      <c r="N946" s="1105"/>
      <c r="O946" s="1106"/>
      <c r="P946" s="100"/>
      <c r="Q946" s="100"/>
      <c r="R946" s="100"/>
      <c r="S946" s="100"/>
      <c r="T946" s="100"/>
      <c r="U946" s="100"/>
      <c r="V946" s="100"/>
      <c r="W946" s="100"/>
      <c r="X946" s="100"/>
      <c r="Y946" s="100"/>
      <c r="Z946" s="100"/>
      <c r="AA946" s="100"/>
      <c r="AB946" s="100"/>
      <c r="AC946" s="100"/>
      <c r="AD946" s="100"/>
      <c r="AF946">
        <f>IF(P946="NA",IF(AND(COUNTIF(P947:P951,"="&amp;$AF$934)=0,COUNTIF(P947:P951,"&lt;&gt;NA")&gt;0),1,0),IF(AND(COUNTIF(P947:P951,"="&amp;$AF$934)=0,COUNTIF(P947:P951,"NA")=COUNTIF(P947:P951,"&lt;&gt;"&amp;$AF$934)),1,0))</f>
        <v>0</v>
      </c>
      <c r="AG946">
        <f t="shared" si="799"/>
        <v>0</v>
      </c>
      <c r="AH946">
        <f t="shared" si="783"/>
        <v>0</v>
      </c>
      <c r="AK946">
        <f t="shared" si="784"/>
        <v>0</v>
      </c>
      <c r="AL946">
        <f t="shared" si="785"/>
        <v>0</v>
      </c>
      <c r="AM946">
        <f t="shared" si="786"/>
        <v>0</v>
      </c>
      <c r="AN946">
        <f t="shared" si="787"/>
        <v>0</v>
      </c>
      <c r="AO946">
        <f t="shared" si="788"/>
        <v>0</v>
      </c>
      <c r="AP946">
        <f t="shared" si="789"/>
        <v>0</v>
      </c>
      <c r="AQ946">
        <f t="shared" si="790"/>
        <v>0</v>
      </c>
      <c r="AR946">
        <f t="shared" si="791"/>
        <v>0</v>
      </c>
      <c r="AS946">
        <f t="shared" si="792"/>
        <v>0</v>
      </c>
      <c r="AT946">
        <f t="shared" si="793"/>
        <v>0</v>
      </c>
      <c r="AU946">
        <f t="shared" si="794"/>
        <v>0</v>
      </c>
      <c r="AV946">
        <f t="shared" si="795"/>
        <v>0</v>
      </c>
      <c r="AW946">
        <f t="shared" si="796"/>
        <v>0</v>
      </c>
      <c r="AX946">
        <f t="shared" si="797"/>
        <v>0</v>
      </c>
      <c r="AY946">
        <f t="shared" si="798"/>
        <v>0</v>
      </c>
      <c r="AZ946">
        <f>COUNTIF(AA936:AA941,"NS")</f>
        <v>0</v>
      </c>
      <c r="BA946">
        <f>SUM(AA936:AA941)</f>
        <v>0</v>
      </c>
      <c r="BB946">
        <f>IF(COUNTA(AA935:AA941)=0,0,IF(OR(AND(AA935=0,AZ946&gt;0),AND(AA935="ns",BA946&gt;0),AND(AA935="ns",AZ946=0,BA946=0)),1,IF(OR(AND(AZ946&gt;=2,AA935&gt;BA946),AND(AA935="ns",BA946=0,AZ946&gt;0),AA935=BA946),0,1)))</f>
        <v>0</v>
      </c>
      <c r="BC946">
        <f>COUNTIF(AA947:AA951,"NS")</f>
        <v>0</v>
      </c>
      <c r="BD946">
        <f>SUM(AA947:AA951)</f>
        <v>0</v>
      </c>
      <c r="BE946">
        <f>IF(COUNTA(AA946:AA951)=0,0,IF(OR(AND(AA946=0,BC946&gt;0),AND(AA946="ns",BD946&gt;0),AND(AA946="ns",BC946=0,BD946=0)),1,IF(OR(AND(BC946&gt;=2,AA946&gt;BD946),AND(AA946="ns",BD946=0,BC946&gt;0),AA946=BD946),0,1)))</f>
        <v>0</v>
      </c>
      <c r="BF946">
        <f>COUNTIF(AA956:AA973,"NS")</f>
        <v>0</v>
      </c>
      <c r="BG946">
        <f>SUM(AA956:AA973)</f>
        <v>0</v>
      </c>
      <c r="BH946">
        <f>IF(COUNTA(AA955:AA973)=0,0,IF(OR(AND(AA955=0,BF946&gt;0),AND(AA955="ns",BG946&gt;0),AND(AA955="ns",BF946=0,BG946=0)),1,IF(OR(AND(BF946&gt;=2,AA955&gt;BG946),AND(AA955="ns",BG946=0,BF946&gt;0),AA955=BG946),0,1)))</f>
        <v>0</v>
      </c>
      <c r="BI946">
        <f>COUNTIF(AA975:AA979,"NS")</f>
        <v>0</v>
      </c>
      <c r="BJ946">
        <f>SUM(AA975:AA979)</f>
        <v>0</v>
      </c>
      <c r="BK946">
        <f>IF(COUNTA(AA974:AA979)=0,0,IF(OR(AND(AA974=0,BI946&gt;0),AND(AA974="ns",BJ946&gt;0),AND(AA974="ns",BI946=0,BJ946=0)),1,IF(OR(AND(BI946&gt;=2,AA974&gt;BJ946),AND(AA974="ns",BJ946=0,BI946&gt;0),AA974=BJ946),0,1)))</f>
        <v>0</v>
      </c>
      <c r="BL946">
        <f>COUNTIF(AA983:AA985,"NS")</f>
        <v>0</v>
      </c>
      <c r="BM946">
        <f>SUM(AA983:AA985)</f>
        <v>0</v>
      </c>
      <c r="BN946">
        <f>IF(COUNTA(AA982:AA985)=0,0,IF(OR(AND(AA982=0,BL946&gt;0),AND(AA982="ns",BM946&gt;0),AND(AA982="ns",BL946=0,BM946=0)),1,IF(OR(AND(BL946&gt;=2,AA982&gt;BM946),AND(AA982="ns",BM946=0,BL946&gt;0),AA982=BM946),0,1)))</f>
        <v>0</v>
      </c>
      <c r="BO946">
        <f>COUNTIF(AA993:AA999,"NS")</f>
        <v>0</v>
      </c>
      <c r="BP946">
        <f>SUM(AA993:AA999)</f>
        <v>0</v>
      </c>
      <c r="BQ946">
        <f>IF(COUNTA(AA992:AA999)=0,0,IF(OR(AND(AA992=0,BO946&gt;0),AND(AA992="ns",BP946&gt;0),AND(AA992="ns",BO946=0,BP946=0)),1,IF(OR(AND(BO946&gt;=2,AA992&gt;BP946),AND(AA992="ns",BP946=0,BO946&gt;0),AA992=BP946),0,1)))</f>
        <v>0</v>
      </c>
      <c r="BR946">
        <f>COUNTIF(AA1001:AA1005,"NS")</f>
        <v>0</v>
      </c>
      <c r="BS946">
        <f>SUM(AA1001:AA1005)</f>
        <v>0</v>
      </c>
      <c r="BT946">
        <f>IF(COUNTA(AA1000:AA1005)=0,0,IF(OR(AND(AA1000=0,BR946&gt;0),AND(AA1000="ns",BS946&gt;0),AND(AA1000="ns",BR946=0,BS946=0)),1,IF(OR(AND(BR946&gt;=2,AA1000&gt;BS946),AND(AA1000="ns",BS946=0,BR946&gt;0),AA1000=BS946),0,1)))</f>
        <v>0</v>
      </c>
      <c r="BU946">
        <f>COUNTIF(AA1011:AA1016,"NS")</f>
        <v>0</v>
      </c>
      <c r="BV946">
        <f>SUM(AA1011:AA1016)</f>
        <v>0</v>
      </c>
      <c r="BW946">
        <f>IF(COUNTA(AA1010:AA1016)=0,0,IF(OR(AND(AA1010=0,BU946&gt;0),AND(AA1010="ns",BV946&gt;0),AND(AA1010="ns",BU946=0,BV946=0)),1,IF(OR(AND(BU946&gt;=2,AA1010&gt;BV946),AND(AA1010="ns",BV946=0,BU946&gt;0),AA1010=BV946),0,1)))</f>
        <v>0</v>
      </c>
      <c r="BX946">
        <f>COUNTIF(AA1018:AA1025,"NS")</f>
        <v>0</v>
      </c>
      <c r="BY946">
        <f>SUM(AA1018:AA1025)</f>
        <v>0</v>
      </c>
      <c r="BZ946">
        <f>IF(COUNTA(AA1017:AA1025)=0,0,IF(OR(AND(AA1017=0,BX946&gt;0),AND(AA1017="ns",BY946&gt;0),AND(AA1017="ns",BX946=0,BY946=0)),1,IF(OR(AND(BX946&gt;=2,AA1017&gt;BY946),AND(AA1017="ns",BY946=0,BX946&gt;0),AA1017=BY946),0,1)))</f>
        <v>0</v>
      </c>
      <c r="CA946">
        <f>COUNTIF(AA1030:AA1035,"NS")</f>
        <v>0</v>
      </c>
      <c r="CB946">
        <f>SUM(AA1030:AA1035)</f>
        <v>0</v>
      </c>
      <c r="CC946">
        <f>IF(COUNTA(AA1029:AA1035)=0,0,IF(OR(AND(AA1029=0,CA946&gt;0),AND(AA1029="ns",CB946&gt;0),AND(AA1029="ns",CA946=0,CB946=0)),1,IF(OR(AND(CA946&gt;=2,AA1029&gt;CB946),AND(AA1029="ns",CB946=0,CA946&gt;0),AA1029=CB946),0,1)))</f>
        <v>0</v>
      </c>
      <c r="CD946">
        <f>COUNTIF(AA1040:AA1048,"NS")</f>
        <v>0</v>
      </c>
      <c r="CE946">
        <f>SUM(AA1040:AA1048)</f>
        <v>0</v>
      </c>
      <c r="CF946">
        <f>IF(COUNTA(AA1039:AA1048)=0,0,IF(OR(AND(AA1039=0,CD946&gt;0),AND(AA1039="ns",CE946&gt;0),AND(AA1039="ns",CD946=0,CE946=0)),1,IF(OR(AND(CD946&gt;=2,AA1039&gt;CE946),AND(AA1039="ns",CE946=0,CD946&gt;0),AA1039=CE946),0,1)))</f>
        <v>0</v>
      </c>
      <c r="CG946">
        <f>COUNTIF(AA1050:AA1052,"NS")</f>
        <v>0</v>
      </c>
      <c r="CH946">
        <f>SUM(AA1050:AA1052)</f>
        <v>0</v>
      </c>
      <c r="CI946">
        <f>IF(COUNTA(AA1049:AA1052)=0,0,IF(OR(AND(AA1049=0,CG946&gt;0),AND(AA1049="ns",CH946&gt;0),AND(AA1049="ns",CG946=0,CH946=0)),1,IF(OR(AND(CG946&gt;=2,AA1049&gt;CH946),AND(AA1049="ns",CH946=0,CG946&gt;0),AA1049=CH946),0,1)))</f>
        <v>0</v>
      </c>
      <c r="CJ946">
        <f>COUNTIF(AA1061:AA1067,"NS")</f>
        <v>0</v>
      </c>
      <c r="CK946">
        <f>SUM(AA1061:AA1067)</f>
        <v>0</v>
      </c>
      <c r="CL946">
        <f>IF(COUNTA(AA1060:AA1067)=0,0,IF(OR(AND(AA1060=0,CJ946&gt;0),AND(AA1060="ns",CK946&gt;0),AND(AA1060="ns",CJ946=0,CK946=0)),1,IF(OR(AND(CJ946&gt;=2,AA1060&gt;CK946),AND(AA1060="ns",CK946=0,CJ946&gt;0),AA1060=CK946),0,1)))</f>
        <v>0</v>
      </c>
      <c r="CM946">
        <f>COUNTIF(AA1070:AA1072,"NS")</f>
        <v>0</v>
      </c>
      <c r="CN946">
        <f>SUM(AA1070:AA1072)</f>
        <v>0</v>
      </c>
      <c r="CO946">
        <f>IF(COUNTA(AA1069:AA1072)=0,0,IF(OR(AND(AA1069=0,CM946&gt;0),AND(AA1069="ns",CN946&gt;0),AND(AA1069="ns",CM946=0,CN946=0)),1,IF(OR(AND(CM946&gt;=2,AA1069&gt;CN946),AND(AA1069="ns",CN946=0,CM946&gt;0),AA1069=CN946),0,1)))</f>
        <v>0</v>
      </c>
      <c r="CP946">
        <f>COUNTIF(AA1082:AA1086,"NS")</f>
        <v>0</v>
      </c>
      <c r="CQ946">
        <f>SUM(AA1082:AA1086)</f>
        <v>0</v>
      </c>
      <c r="CR946">
        <f>IF(COUNTA(AA1081:AA1086)=0,0,IF(OR(AND(AA1081=0,CP946&gt;0),AND(AA1081="ns",CQ946&gt;0),AND(AA1081="ns",CP946=0,CQ946=0)),1,IF(OR(AND(CP946&gt;=2,AA1081&gt;CQ946),AND(AA1081="ns",CQ946=0,CP946&gt;0),AA1081=CQ946),0,1)))</f>
        <v>0</v>
      </c>
    </row>
    <row r="947" spans="1:96" ht="15" customHeight="1">
      <c r="A947" s="110"/>
      <c r="B947" s="57"/>
      <c r="C947" s="1109"/>
      <c r="D947" s="954"/>
      <c r="E947" s="956"/>
      <c r="F947" s="1110" t="s">
        <v>4837</v>
      </c>
      <c r="G947" s="1110"/>
      <c r="H947" s="178"/>
      <c r="I947" s="1111" t="s">
        <v>4838</v>
      </c>
      <c r="J947" s="1111"/>
      <c r="K947" s="1111"/>
      <c r="L947" s="1111"/>
      <c r="M947" s="1111"/>
      <c r="N947" s="1111"/>
      <c r="O947" s="1112"/>
      <c r="P947" s="100"/>
      <c r="Q947" s="100"/>
      <c r="R947" s="100"/>
      <c r="S947" s="100"/>
      <c r="T947" s="100"/>
      <c r="U947" s="100"/>
      <c r="V947" s="100"/>
      <c r="W947" s="100"/>
      <c r="X947" s="100"/>
      <c r="Y947" s="100"/>
      <c r="Z947" s="100"/>
      <c r="AA947" s="100"/>
      <c r="AB947" s="100"/>
      <c r="AC947" s="100"/>
      <c r="AD947" s="100"/>
      <c r="AF947"/>
      <c r="AG947">
        <f t="shared" si="799"/>
        <v>0</v>
      </c>
      <c r="AH947">
        <f t="shared" si="783"/>
        <v>0</v>
      </c>
      <c r="AK947">
        <f t="shared" si="784"/>
        <v>0</v>
      </c>
      <c r="AL947">
        <f t="shared" si="785"/>
        <v>0</v>
      </c>
      <c r="AM947">
        <f t="shared" si="786"/>
        <v>0</v>
      </c>
      <c r="AN947">
        <f t="shared" si="787"/>
        <v>0</v>
      </c>
      <c r="AO947">
        <f t="shared" si="788"/>
        <v>0</v>
      </c>
      <c r="AP947">
        <f t="shared" si="789"/>
        <v>0</v>
      </c>
      <c r="AQ947">
        <f t="shared" si="790"/>
        <v>0</v>
      </c>
      <c r="AR947">
        <f t="shared" si="791"/>
        <v>0</v>
      </c>
      <c r="AS947">
        <f t="shared" si="792"/>
        <v>0</v>
      </c>
      <c r="AT947">
        <f t="shared" si="793"/>
        <v>0</v>
      </c>
      <c r="AU947">
        <f t="shared" si="794"/>
        <v>0</v>
      </c>
      <c r="AV947">
        <f t="shared" si="795"/>
        <v>0</v>
      </c>
      <c r="AW947">
        <f t="shared" si="796"/>
        <v>0</v>
      </c>
      <c r="AX947">
        <f t="shared" si="797"/>
        <v>0</v>
      </c>
      <c r="AY947">
        <f t="shared" si="798"/>
        <v>0</v>
      </c>
      <c r="AZ947">
        <f>COUNTIF(AB936:AB941,"NS")</f>
        <v>0</v>
      </c>
      <c r="BA947">
        <f>SUM(AB936:AB941)</f>
        <v>0</v>
      </c>
      <c r="BB947">
        <f>IF(COUNTA(AB935:AB941)=0,0,IF(OR(AND(AB935=0,AZ947&gt;0),AND(AB935="ns",BA947&gt;0),AND(AB935="ns",AZ947=0,BA947=0)),1,IF(OR(AND(AZ947&gt;=2,AB935&gt;BA947),AND(AB935="ns",BA947=0,AZ947&gt;0),AB935=BA947),0,1)))</f>
        <v>0</v>
      </c>
      <c r="BC947">
        <f>COUNTIF(AB947:AB951,"NS")</f>
        <v>0</v>
      </c>
      <c r="BD947">
        <f>SUM(AB947:AB951)</f>
        <v>0</v>
      </c>
      <c r="BE947">
        <f>IF(COUNTA(AB946:AB951)=0,0,IF(OR(AND(AB946=0,BC947&gt;0),AND(AB946="ns",BD947&gt;0),AND(AB946="ns",BC947=0,BD947=0)),1,IF(OR(AND(BC947&gt;=2,AB946&gt;BD947),AND(AB946="ns",BD947=0,BC947&gt;0),AB946=BD947),0,1)))</f>
        <v>0</v>
      </c>
      <c r="BF947">
        <f>COUNTIF(AB956:AB973,"NS")</f>
        <v>0</v>
      </c>
      <c r="BG947">
        <f>SUM(AB956:AB973)</f>
        <v>0</v>
      </c>
      <c r="BH947">
        <f>IF(COUNTA(AB955:AB973)=0,0,IF(OR(AND(AB955=0,BF947&gt;0),AND(AB955="ns",BG947&gt;0),AND(AB955="ns",BF947=0,BG947=0)),1,IF(OR(AND(BF947&gt;=2,AB955&gt;BG947),AND(AB955="ns",BG947=0,BF947&gt;0),AB955=BG947),0,1)))</f>
        <v>0</v>
      </c>
      <c r="BI947">
        <f>COUNTIF(AB975:AB979,"NS")</f>
        <v>0</v>
      </c>
      <c r="BJ947">
        <f>SUM(AB975:AB979)</f>
        <v>0</v>
      </c>
      <c r="BK947">
        <f>IF(COUNTA(AB974:AB979)=0,0,IF(OR(AND(AB974=0,BI947&gt;0),AND(AB974="ns",BJ947&gt;0),AND(AB974="ns",BI947=0,BJ947=0)),1,IF(OR(AND(BI947&gt;=2,AB974&gt;BJ947),AND(AB974="ns",BJ947=0,BI947&gt;0),AB974=BJ947),0,1)))</f>
        <v>0</v>
      </c>
      <c r="BL947">
        <f>COUNTIF(AB983:AB985,"NS")</f>
        <v>0</v>
      </c>
      <c r="BM947">
        <f>SUM(AB983:AB985)</f>
        <v>0</v>
      </c>
      <c r="BN947">
        <f>IF(COUNTA(AB982:AB985)=0,0,IF(OR(AND(AB982=0,BL947&gt;0),AND(AB982="ns",BM947&gt;0),AND(AB982="ns",BL947=0,BM947=0)),1,IF(OR(AND(BL947&gt;=2,AB982&gt;BM947),AND(AB982="ns",BM947=0,BL947&gt;0),AB982=BM947),0,1)))</f>
        <v>0</v>
      </c>
      <c r="BO947">
        <f>COUNTIF(AB993:AB999,"NS")</f>
        <v>0</v>
      </c>
      <c r="BP947">
        <f>SUM(AB993:AB999)</f>
        <v>0</v>
      </c>
      <c r="BQ947">
        <f>IF(COUNTA(AB992:AB999)=0,0,IF(OR(AND(AB992=0,BO947&gt;0),AND(AB992="ns",BP947&gt;0),AND(AB992="ns",BO947=0,BP947=0)),1,IF(OR(AND(BO947&gt;=2,AB992&gt;BP947),AND(AB992="ns",BP947=0,BO947&gt;0),AB992=BP947),0,1)))</f>
        <v>0</v>
      </c>
      <c r="BR947">
        <f>COUNTIF(AB1001:AB1005,"NS")</f>
        <v>0</v>
      </c>
      <c r="BS947">
        <f>SUM(AB1001:AB1005)</f>
        <v>0</v>
      </c>
      <c r="BT947">
        <f>IF(COUNTA(AB1000:AB1005)=0,0,IF(OR(AND(AB1000=0,BR947&gt;0),AND(AB1000="ns",BS947&gt;0),AND(AB1000="ns",BR947=0,BS947=0)),1,IF(OR(AND(BR947&gt;=2,AB1000&gt;BS947),AND(AB1000="ns",BS947=0,BR947&gt;0),AB1000=BS947),0,1)))</f>
        <v>0</v>
      </c>
      <c r="BU947">
        <f>COUNTIF(AB1011:AB1016,"NS")</f>
        <v>0</v>
      </c>
      <c r="BV947">
        <f>SUM(AB1011:AB1016)</f>
        <v>0</v>
      </c>
      <c r="BW947">
        <f>IF(COUNTA(AB1010:AB1016)=0,0,IF(OR(AND(AB1010=0,BU947&gt;0),AND(AB1010="ns",BV947&gt;0),AND(AB1010="ns",BU947=0,BV947=0)),1,IF(OR(AND(BU947&gt;=2,AB1010&gt;BV947),AND(AB1010="ns",BV947=0,BU947&gt;0),AB1010=BV947),0,1)))</f>
        <v>0</v>
      </c>
      <c r="BX947">
        <f>COUNTIF(AB1018:AB1025,"NS")</f>
        <v>0</v>
      </c>
      <c r="BY947">
        <f>SUM(AB1018:AB1025)</f>
        <v>0</v>
      </c>
      <c r="BZ947">
        <f>IF(COUNTA(AB1017:AB1025)=0,0,IF(OR(AND(AB1017=0,BX947&gt;0),AND(AB1017="ns",BY947&gt;0),AND(AB1017="ns",BX947=0,BY947=0)),1,IF(OR(AND(BX947&gt;=2,AB1017&gt;BY947),AND(AB1017="ns",BY947=0,BX947&gt;0),AB1017=BY947),0,1)))</f>
        <v>0</v>
      </c>
      <c r="CA947">
        <f>COUNTIF(AB1030:AB1035,"NS")</f>
        <v>0</v>
      </c>
      <c r="CB947">
        <f>SUM(AB1030:AB1035)</f>
        <v>0</v>
      </c>
      <c r="CC947">
        <f>IF(COUNTA(AB1029:AB1035)=0,0,IF(OR(AND(AB1029=0,CA947&gt;0),AND(AB1029="ns",CB947&gt;0),AND(AB1029="ns",CA947=0,CB947=0)),1,IF(OR(AND(CA947&gt;=2,AB1029&gt;CB947),AND(AB1029="ns",CB947=0,CA947&gt;0),AB1029=CB947),0,1)))</f>
        <v>0</v>
      </c>
      <c r="CD947">
        <f>COUNTIF(AB1040:AB1048,"NS")</f>
        <v>0</v>
      </c>
      <c r="CE947">
        <f>SUM(AB1040:AB1048)</f>
        <v>0</v>
      </c>
      <c r="CF947">
        <f>IF(COUNTA(AB1039:AB1048)=0,0,IF(OR(AND(AB1039=0,CD947&gt;0),AND(AB1039="ns",CE947&gt;0),AND(AB1039="ns",CD947=0,CE947=0)),1,IF(OR(AND(CD947&gt;=2,AB1039&gt;CE947),AND(AB1039="ns",CE947=0,CD947&gt;0),AB1039=CE947),0,1)))</f>
        <v>0</v>
      </c>
      <c r="CG947">
        <f>COUNTIF(AB1050:AB1052,"NS")</f>
        <v>0</v>
      </c>
      <c r="CH947">
        <f>SUM(AB1050:AB1052)</f>
        <v>0</v>
      </c>
      <c r="CI947">
        <f>IF(COUNTA(AB1049:AB1052)=0,0,IF(OR(AND(AB1049=0,CG947&gt;0),AND(AB1049="ns",CH947&gt;0),AND(AB1049="ns",CG947=0,CH947=0)),1,IF(OR(AND(CG947&gt;=2,AB1049&gt;CH947),AND(AB1049="ns",CH947=0,CG947&gt;0),AB1049=CH947),0,1)))</f>
        <v>0</v>
      </c>
      <c r="CJ947">
        <f>COUNTIF(AB1061:AB1067,"NS")</f>
        <v>0</v>
      </c>
      <c r="CK947">
        <f>SUM(AB1061:AB1067)</f>
        <v>0</v>
      </c>
      <c r="CL947">
        <f>IF(COUNTA(AB1060:AB1067)=0,0,IF(OR(AND(AB1060=0,CJ947&gt;0),AND(AB1060="ns",CK947&gt;0),AND(AB1060="ns",CJ947=0,CK947=0)),1,IF(OR(AND(CJ947&gt;=2,AB1060&gt;CK947),AND(AB1060="ns",CK947=0,CJ947&gt;0),AB1060=CK947),0,1)))</f>
        <v>0</v>
      </c>
      <c r="CM947">
        <f>COUNTIF(AB1070:AB1072,"NS")</f>
        <v>0</v>
      </c>
      <c r="CN947">
        <f>SUM(AB1070:AB1072)</f>
        <v>0</v>
      </c>
      <c r="CO947">
        <f>IF(COUNTA(AB1069:AB1072)=0,0,IF(OR(AND(AB1069=0,CM947&gt;0),AND(AB1069="ns",CN947&gt;0),AND(AB1069="ns",CM947=0,CN947=0)),1,IF(OR(AND(CM947&gt;=2,AB1069&gt;CN947),AND(AB1069="ns",CN947=0,CM947&gt;0),AB1069=CN947),0,1)))</f>
        <v>0</v>
      </c>
      <c r="CP947">
        <f>COUNTIF(AB1082:AB1086,"NS")</f>
        <v>0</v>
      </c>
      <c r="CQ947">
        <f>SUM(AB1082:AB1086)</f>
        <v>0</v>
      </c>
      <c r="CR947">
        <f>IF(COUNTA(AB1081:AB1086)=0,0,IF(OR(AND(AB1081=0,CP947&gt;0),AND(AB1081="ns",CQ947&gt;0),AND(AB1081="ns",CP947=0,CQ947=0)),1,IF(OR(AND(CP947&gt;=2,AB1081&gt;CQ947),AND(AB1081="ns",CQ947=0,CP947&gt;0),AB1081=CQ947),0,1)))</f>
        <v>0</v>
      </c>
    </row>
    <row r="948" spans="1:96" ht="48" customHeight="1">
      <c r="A948" s="110"/>
      <c r="B948" s="57"/>
      <c r="C948" s="1109"/>
      <c r="D948" s="954"/>
      <c r="E948" s="956"/>
      <c r="F948" s="1110" t="s">
        <v>4839</v>
      </c>
      <c r="G948" s="1110"/>
      <c r="H948" s="178"/>
      <c r="I948" s="1111" t="s">
        <v>4840</v>
      </c>
      <c r="J948" s="1111"/>
      <c r="K948" s="1111"/>
      <c r="L948" s="1111"/>
      <c r="M948" s="1111"/>
      <c r="N948" s="1111"/>
      <c r="O948" s="1112"/>
      <c r="P948" s="100"/>
      <c r="Q948" s="100"/>
      <c r="R948" s="100"/>
      <c r="S948" s="100"/>
      <c r="T948" s="100"/>
      <c r="U948" s="100"/>
      <c r="V948" s="100"/>
      <c r="W948" s="100"/>
      <c r="X948" s="100"/>
      <c r="Y948" s="100"/>
      <c r="Z948" s="100"/>
      <c r="AA948" s="100"/>
      <c r="AB948" s="100"/>
      <c r="AC948" s="100"/>
      <c r="AD948" s="100"/>
      <c r="AF948"/>
      <c r="AG948">
        <f t="shared" si="799"/>
        <v>0</v>
      </c>
      <c r="AH948">
        <f t="shared" si="783"/>
        <v>0</v>
      </c>
      <c r="AK948">
        <f t="shared" si="784"/>
        <v>0</v>
      </c>
      <c r="AL948">
        <f t="shared" si="785"/>
        <v>0</v>
      </c>
      <c r="AM948">
        <f t="shared" si="786"/>
        <v>0</v>
      </c>
      <c r="AN948">
        <f t="shared" si="787"/>
        <v>0</v>
      </c>
      <c r="AO948">
        <f t="shared" si="788"/>
        <v>0</v>
      </c>
      <c r="AP948">
        <f t="shared" si="789"/>
        <v>0</v>
      </c>
      <c r="AQ948">
        <f t="shared" si="790"/>
        <v>0</v>
      </c>
      <c r="AR948">
        <f t="shared" si="791"/>
        <v>0</v>
      </c>
      <c r="AS948">
        <f t="shared" si="792"/>
        <v>0</v>
      </c>
      <c r="AT948">
        <f t="shared" si="793"/>
        <v>0</v>
      </c>
      <c r="AU948">
        <f t="shared" si="794"/>
        <v>0</v>
      </c>
      <c r="AV948">
        <f t="shared" si="795"/>
        <v>0</v>
      </c>
      <c r="AW948">
        <f t="shared" si="796"/>
        <v>0</v>
      </c>
      <c r="AX948">
        <f t="shared" si="797"/>
        <v>0</v>
      </c>
      <c r="AY948">
        <f t="shared" si="798"/>
        <v>0</v>
      </c>
      <c r="AZ948">
        <f>COUNTIF(AC936:AC941,"NS")</f>
        <v>0</v>
      </c>
      <c r="BA948">
        <f>SUM(AC936:AC941)</f>
        <v>0</v>
      </c>
      <c r="BB948">
        <f>IF(COUNTA(AC935:AC941)=0,0,IF(OR(AND(AC935=0,AZ948&gt;0),AND(AC935="ns",BA948&gt;0),AND(AC935="ns",AZ948=0,BA948=0)),1,IF(OR(AND(AZ948&gt;=2,AC935&gt;BA948),AND(AC935="ns",BA948=0,AZ948&gt;0),AC935=BA948),0,1)))</f>
        <v>0</v>
      </c>
      <c r="BC948">
        <f>COUNTIF(AC947:AC951,"NS")</f>
        <v>0</v>
      </c>
      <c r="BD948">
        <f>SUM(AC947:AC951)</f>
        <v>0</v>
      </c>
      <c r="BE948">
        <f>IF(COUNTA(AC946:AC951)=0,0,IF(OR(AND(AC946=0,BC948&gt;0),AND(AC946="ns",BD948&gt;0),AND(AC946="ns",BC948=0,BD948=0)),1,IF(OR(AND(BC948&gt;=2,AC946&gt;BD948),AND(AC946="ns",BD948=0,BC948&gt;0),AC946=BD948),0,1)))</f>
        <v>0</v>
      </c>
      <c r="BF948">
        <f>COUNTIF(AC956:AC973,"NS")</f>
        <v>0</v>
      </c>
      <c r="BG948">
        <f>SUM(AC956:AC973)</f>
        <v>0</v>
      </c>
      <c r="BH948">
        <f>IF(COUNTA(AC955:AC973)=0,0,IF(OR(AND(AC955=0,BF948&gt;0),AND(AC955="ns",BG948&gt;0),AND(AC955="ns",BF948=0,BG948=0)),1,IF(OR(AND(BF948&gt;=2,AC955&gt;BG948),AND(AC955="ns",BG948=0,BF948&gt;0),AC955=BG948),0,1)))</f>
        <v>0</v>
      </c>
      <c r="BI948">
        <f>COUNTIF(AC975:AC979,"NS")</f>
        <v>0</v>
      </c>
      <c r="BJ948">
        <f>SUM(AC975:AC979)</f>
        <v>0</v>
      </c>
      <c r="BK948">
        <f>IF(COUNTA(AC974:AC979)=0,0,IF(OR(AND(AC974=0,BI948&gt;0),AND(AC974="ns",BJ948&gt;0),AND(AC974="ns",BI948=0,BJ948=0)),1,IF(OR(AND(BI948&gt;=2,AC974&gt;BJ948),AND(AC974="ns",BJ948=0,BI948&gt;0),AC974=BJ948),0,1)))</f>
        <v>0</v>
      </c>
      <c r="BL948">
        <f>COUNTIF(AC983:AC985,"NS")</f>
        <v>0</v>
      </c>
      <c r="BM948">
        <f>SUM(AC983:AC985)</f>
        <v>0</v>
      </c>
      <c r="BN948">
        <f>IF(COUNTA(AC982:AC985)=0,0,IF(OR(AND(AC982=0,BL948&gt;0),AND(AC982="ns",BM948&gt;0),AND(AC982="ns",BL948=0,BM948=0)),1,IF(OR(AND(BL948&gt;=2,AC982&gt;BM948),AND(AC982="ns",BM948=0,BL948&gt;0),AC982=BM948),0,1)))</f>
        <v>0</v>
      </c>
      <c r="BO948">
        <f>COUNTIF(AC993:AC999,"NS")</f>
        <v>0</v>
      </c>
      <c r="BP948">
        <f>SUM(AC993:AC999)</f>
        <v>0</v>
      </c>
      <c r="BQ948">
        <f>IF(COUNTA(AC992:AC999)=0,0,IF(OR(AND(AC992=0,BO948&gt;0),AND(AC992="ns",BP948&gt;0),AND(AC992="ns",BO948=0,BP948=0)),1,IF(OR(AND(BO948&gt;=2,AC992&gt;BP948),AND(AC992="ns",BP948=0,BO948&gt;0),AC992=BP948),0,1)))</f>
        <v>0</v>
      </c>
      <c r="BR948">
        <f>COUNTIF(AC1001:AC1005,"NS")</f>
        <v>0</v>
      </c>
      <c r="BS948">
        <f>SUM(AC1001:AC1005)</f>
        <v>0</v>
      </c>
      <c r="BT948">
        <f>IF(COUNTA(AC1000:AC1005)=0,0,IF(OR(AND(AC1000=0,BR948&gt;0),AND(AC1000="ns",BS948&gt;0),AND(AC1000="ns",BR948=0,BS948=0)),1,IF(OR(AND(BR948&gt;=2,AC1000&gt;BS948),AND(AC1000="ns",BS948=0,BR948&gt;0),AC1000=BS948),0,1)))</f>
        <v>0</v>
      </c>
      <c r="BU948">
        <f>COUNTIF(AC1011:AC1016,"NS")</f>
        <v>0</v>
      </c>
      <c r="BV948">
        <f>SUM(AC1011:AC1016)</f>
        <v>0</v>
      </c>
      <c r="BW948">
        <f>IF(COUNTA(AC1010:AC1016)=0,0,IF(OR(AND(AC1010=0,BU948&gt;0),AND(AC1010="ns",BV948&gt;0),AND(AC1010="ns",BU948=0,BV948=0)),1,IF(OR(AND(BU948&gt;=2,AC1010&gt;BV948),AND(AC1010="ns",BV948=0,BU948&gt;0),AC1010=BV948),0,1)))</f>
        <v>0</v>
      </c>
      <c r="BX948">
        <f>COUNTIF(AC1018:AC1025,"NS")</f>
        <v>0</v>
      </c>
      <c r="BY948">
        <f>SUM(AC1018:AC1025)</f>
        <v>0</v>
      </c>
      <c r="BZ948">
        <f>IF(COUNTA(AC1017:AC1025)=0,0,IF(OR(AND(AC1017=0,BX948&gt;0),AND(AC1017="ns",BY948&gt;0),AND(AC1017="ns",BX948=0,BY948=0)),1,IF(OR(AND(BX948&gt;=2,AC1017&gt;BY948),AND(AC1017="ns",BY948=0,BX948&gt;0),AC1017=BY948),0,1)))</f>
        <v>0</v>
      </c>
      <c r="CA948">
        <f>COUNTIF(AC1030:AC1035,"NS")</f>
        <v>0</v>
      </c>
      <c r="CB948">
        <f>SUM(AC1030:AC1035)</f>
        <v>0</v>
      </c>
      <c r="CC948">
        <f>IF(COUNTA(AC1029:AC1035)=0,0,IF(OR(AND(AC1029=0,CA948&gt;0),AND(AC1029="ns",CB948&gt;0),AND(AC1029="ns",CA948=0,CB948=0)),1,IF(OR(AND(CA948&gt;=2,AC1029&gt;CB948),AND(AC1029="ns",CB948=0,CA948&gt;0),AC1029=CB948),0,1)))</f>
        <v>0</v>
      </c>
      <c r="CD948">
        <f>COUNTIF(AC1040:AC1048,"NS")</f>
        <v>0</v>
      </c>
      <c r="CE948">
        <f>SUM(AC1040:AC1048)</f>
        <v>0</v>
      </c>
      <c r="CF948">
        <f>IF(COUNTA(AC1039:AC1048)=0,0,IF(OR(AND(AC1039=0,CD948&gt;0),AND(AC1039="ns",CE948&gt;0),AND(AC1039="ns",CD948=0,CE948=0)),1,IF(OR(AND(CD948&gt;=2,AC1039&gt;CE948),AND(AC1039="ns",CE948=0,CD948&gt;0),AC1039=CE948),0,1)))</f>
        <v>0</v>
      </c>
      <c r="CG948">
        <f>COUNTIF(AC1050:AC1052,"NS")</f>
        <v>0</v>
      </c>
      <c r="CH948">
        <f>SUM(AC1050:AC1052)</f>
        <v>0</v>
      </c>
      <c r="CI948">
        <f>IF(COUNTA(AC1049:AC1052)=0,0,IF(OR(AND(AC1049=0,CG948&gt;0),AND(AC1049="ns",CH948&gt;0),AND(AC1049="ns",CG948=0,CH948=0)),1,IF(OR(AND(CG948&gt;=2,AC1049&gt;CH948),AND(AC1049="ns",CH948=0,CG948&gt;0),AC1049=CH948),0,1)))</f>
        <v>0</v>
      </c>
      <c r="CJ948">
        <f>COUNTIF(AC1061:AC1067,"NS")</f>
        <v>0</v>
      </c>
      <c r="CK948">
        <f>SUM(AC1061:AC1067)</f>
        <v>0</v>
      </c>
      <c r="CL948">
        <f>IF(COUNTA(AC1060:AC1067)=0,0,IF(OR(AND(AC1060=0,CJ948&gt;0),AND(AC1060="ns",CK948&gt;0),AND(AC1060="ns",CJ948=0,CK948=0)),1,IF(OR(AND(CJ948&gt;=2,AC1060&gt;CK948),AND(AC1060="ns",CK948=0,CJ948&gt;0),AC1060=CK948),0,1)))</f>
        <v>0</v>
      </c>
      <c r="CM948">
        <f>COUNTIF(AC1070:AC1072,"NS")</f>
        <v>0</v>
      </c>
      <c r="CN948">
        <f>SUM(AC1070:AC1072)</f>
        <v>0</v>
      </c>
      <c r="CO948">
        <f>IF(COUNTA(AC1069:AC1072)=0,0,IF(OR(AND(AC1069=0,CM948&gt;0),AND(AC1069="ns",CN948&gt;0),AND(AC1069="ns",CM948=0,CN948=0)),1,IF(OR(AND(CM948&gt;=2,AC1069&gt;CN948),AND(AC1069="ns",CN948=0,CM948&gt;0),AC1069=CN948),0,1)))</f>
        <v>0</v>
      </c>
      <c r="CP948">
        <f>COUNTIF(AC1082:AC1086,"NS")</f>
        <v>0</v>
      </c>
      <c r="CQ948">
        <f>SUM(AC1082:AC1086)</f>
        <v>0</v>
      </c>
      <c r="CR948">
        <f>IF(COUNTA(AC1081:AC1086)=0,0,IF(OR(AND(AC1081=0,CP948&gt;0),AND(AC1081="ns",CQ948&gt;0),AND(AC1081="ns",CP948=0,CQ948=0)),1,IF(OR(AND(CP948&gt;=2,AC1081&gt;CQ948),AND(AC1081="ns",CQ948=0,CP948&gt;0),AC1081=CQ948),0,1)))</f>
        <v>0</v>
      </c>
    </row>
    <row r="949" spans="1:96" ht="24" customHeight="1">
      <c r="A949" s="110"/>
      <c r="B949" s="57"/>
      <c r="C949" s="1109"/>
      <c r="D949" s="954"/>
      <c r="E949" s="956"/>
      <c r="F949" s="1110" t="s">
        <v>4841</v>
      </c>
      <c r="G949" s="1110"/>
      <c r="H949" s="178"/>
      <c r="I949" s="1111" t="s">
        <v>4842</v>
      </c>
      <c r="J949" s="1111"/>
      <c r="K949" s="1111"/>
      <c r="L949" s="1111"/>
      <c r="M949" s="1111"/>
      <c r="N949" s="1111"/>
      <c r="O949" s="1112"/>
      <c r="P949" s="100"/>
      <c r="Q949" s="100"/>
      <c r="R949" s="100"/>
      <c r="S949" s="100"/>
      <c r="T949" s="100"/>
      <c r="U949" s="100"/>
      <c r="V949" s="100"/>
      <c r="W949" s="100"/>
      <c r="X949" s="100"/>
      <c r="Y949" s="100"/>
      <c r="Z949" s="100"/>
      <c r="AA949" s="100"/>
      <c r="AB949" s="100"/>
      <c r="AC949" s="100"/>
      <c r="AD949" s="100"/>
      <c r="AF949"/>
      <c r="AG949">
        <f t="shared" si="799"/>
        <v>0</v>
      </c>
      <c r="AH949">
        <f t="shared" si="783"/>
        <v>0</v>
      </c>
      <c r="AK949">
        <f t="shared" si="784"/>
        <v>0</v>
      </c>
      <c r="AL949">
        <f t="shared" si="785"/>
        <v>0</v>
      </c>
      <c r="AM949">
        <f t="shared" si="786"/>
        <v>0</v>
      </c>
      <c r="AN949">
        <f t="shared" si="787"/>
        <v>0</v>
      </c>
      <c r="AO949">
        <f t="shared" si="788"/>
        <v>0</v>
      </c>
      <c r="AP949">
        <f t="shared" si="789"/>
        <v>0</v>
      </c>
      <c r="AQ949">
        <f t="shared" si="790"/>
        <v>0</v>
      </c>
      <c r="AR949">
        <f t="shared" si="791"/>
        <v>0</v>
      </c>
      <c r="AS949">
        <f t="shared" si="792"/>
        <v>0</v>
      </c>
      <c r="AT949">
        <f t="shared" si="793"/>
        <v>0</v>
      </c>
      <c r="AU949">
        <f t="shared" si="794"/>
        <v>0</v>
      </c>
      <c r="AV949">
        <f t="shared" si="795"/>
        <v>0</v>
      </c>
      <c r="AW949">
        <f t="shared" si="796"/>
        <v>0</v>
      </c>
      <c r="AX949">
        <f t="shared" si="797"/>
        <v>0</v>
      </c>
      <c r="AY949">
        <f t="shared" si="798"/>
        <v>0</v>
      </c>
      <c r="AZ949">
        <f>COUNTIF(AD936:AD941,"NS")</f>
        <v>0</v>
      </c>
      <c r="BA949">
        <f>SUM(AD936:AD941)</f>
        <v>0</v>
      </c>
      <c r="BB949">
        <f>IF(COUNTA(AD935:AD941)=0,0,IF(OR(AND(AD935=0,AZ949&gt;0),AND(AD935="ns",BA949&gt;0),AND(AD935="ns",AZ949=0,BA949=0)),1,IF(OR(AND(AZ949&gt;=2,AD935&gt;BA949),AND(AD935="ns",BA949=0,AZ949&gt;0),AD935=BA949),0,1)))</f>
        <v>0</v>
      </c>
      <c r="BC949">
        <f>COUNTIF(AD947:AD951,"NS")</f>
        <v>0</v>
      </c>
      <c r="BD949">
        <f>SUM(AD947:AD951)</f>
        <v>0</v>
      </c>
      <c r="BE949">
        <f>IF(COUNTA(AD946:AD951)=0,0,IF(OR(AND(AD946=0,BC949&gt;0),AND(AD946="ns",BD949&gt;0),AND(AD946="ns",BC949=0,BD949=0)),1,IF(OR(AND(BC949&gt;=2,AD946&gt;BD949),AND(AD946="ns",BD949=0,BC949&gt;0),AD946=BD949),0,1)))</f>
        <v>0</v>
      </c>
      <c r="BF949">
        <f>COUNTIF(AD956:AD973,"NS")</f>
        <v>0</v>
      </c>
      <c r="BG949">
        <f>SUM(AD956:AD973)</f>
        <v>0</v>
      </c>
      <c r="BH949">
        <f>IF(COUNTA(AD955:AD973)=0,0,IF(OR(AND(AD955=0,BF949&gt;0),AND(AD955="ns",BG949&gt;0),AND(AD955="ns",BF949=0,BG949=0)),1,IF(OR(AND(BF949&gt;=2,AD955&gt;BG949),AND(AD955="ns",BG949=0,BF949&gt;0),AD955=BG949),0,1)))</f>
        <v>0</v>
      </c>
      <c r="BI949">
        <f>COUNTIF(AD975:AD979,"NS")</f>
        <v>0</v>
      </c>
      <c r="BJ949">
        <f>SUM(AD975:AD979)</f>
        <v>0</v>
      </c>
      <c r="BK949">
        <f>IF(COUNTA(AD974:AD979)=0,0,IF(OR(AND(AD974=0,BI949&gt;0),AND(AD974="ns",BJ949&gt;0),AND(AD974="ns",BI949=0,BJ949=0)),1,IF(OR(AND(BI949&gt;=2,AD974&gt;BJ949),AND(AD974="ns",BJ949=0,BI949&gt;0),AD974=BJ949),0,1)))</f>
        <v>0</v>
      </c>
      <c r="BL949">
        <f>COUNTIF(AD983:AD985,"NS")</f>
        <v>0</v>
      </c>
      <c r="BM949">
        <f>SUM(AD983:AD985)</f>
        <v>0</v>
      </c>
      <c r="BN949">
        <f>IF(COUNTA(AD982:AD985)=0,0,IF(OR(AND(AD982=0,BL949&gt;0),AND(AD982="ns",BM949&gt;0),AND(AD982="ns",BL949=0,BM949=0)),1,IF(OR(AND(BL949&gt;=2,AD982&gt;BM949),AND(AD982="ns",BM949=0,BL949&gt;0),AD982=BM949),0,1)))</f>
        <v>0</v>
      </c>
      <c r="BO949">
        <f>COUNTIF(AD993:AD999,"NS")</f>
        <v>0</v>
      </c>
      <c r="BP949">
        <f>SUM(AD993:AD999)</f>
        <v>0</v>
      </c>
      <c r="BQ949">
        <f>IF(COUNTA(AD992:AD999)=0,0,IF(OR(AND(AD992=0,BO949&gt;0),AND(AD992="ns",BP949&gt;0),AND(AD992="ns",BO949=0,BP949=0)),1,IF(OR(AND(BO949&gt;=2,AD992&gt;BP949),AND(AD992="ns",BP949=0,BO949&gt;0),AD992=BP949),0,1)))</f>
        <v>0</v>
      </c>
      <c r="BR949">
        <f>COUNTIF(AD1001:AD1005,"NS")</f>
        <v>0</v>
      </c>
      <c r="BS949">
        <f>SUM(AD1001:AD1005)</f>
        <v>0</v>
      </c>
      <c r="BT949">
        <f>IF(COUNTA(AD1000:AD1005)=0,0,IF(OR(AND(AD1000=0,BR949&gt;0),AND(AD1000="ns",BS949&gt;0),AND(AD1000="ns",BR949=0,BS949=0)),1,IF(OR(AND(BR949&gt;=2,AD1000&gt;BS949),AND(AD1000="ns",BS949=0,BR949&gt;0),AD1000=BS949),0,1)))</f>
        <v>0</v>
      </c>
      <c r="BU949">
        <f>COUNTIF(AD1011:AD1016,"NS")</f>
        <v>0</v>
      </c>
      <c r="BV949">
        <f>SUM(AD1011:AD1016)</f>
        <v>0</v>
      </c>
      <c r="BW949">
        <f>IF(COUNTA(AD1010:AD1016)=0,0,IF(OR(AND(AD1010=0,BU949&gt;0),AND(AD1010="ns",BV949&gt;0),AND(AD1010="ns",BU949=0,BV949=0)),1,IF(OR(AND(BU949&gt;=2,AD1010&gt;BV949),AND(AD1010="ns",BV949=0,BU949&gt;0),AD1010=BV949),0,1)))</f>
        <v>0</v>
      </c>
      <c r="BX949">
        <f>COUNTIF(AD1018:AD1025,"NS")</f>
        <v>0</v>
      </c>
      <c r="BY949">
        <f>SUM(AD1018:AD1025)</f>
        <v>0</v>
      </c>
      <c r="BZ949">
        <f>IF(COUNTA(AD1017:AD1025)=0,0,IF(OR(AND(AD1017=0,BX949&gt;0),AND(AD1017="ns",BY949&gt;0),AND(AD1017="ns",BX949=0,BY949=0)),1,IF(OR(AND(BX949&gt;=2,AD1017&gt;BY949),AND(AD1017="ns",BY949=0,BX949&gt;0),AD1017=BY949),0,1)))</f>
        <v>0</v>
      </c>
      <c r="CA949">
        <f>COUNTIF(AD1030:AD1035,"NS")</f>
        <v>0</v>
      </c>
      <c r="CB949">
        <f>SUM(AD1030:AD1035)</f>
        <v>0</v>
      </c>
      <c r="CC949">
        <f>IF(COUNTA(AD1029:AD1035)=0,0,IF(OR(AND(AD1029=0,CA949&gt;0),AND(AD1029="ns",CB949&gt;0),AND(AD1029="ns",CA949=0,CB949=0)),1,IF(OR(AND(CA949&gt;=2,AD1029&gt;CB949),AND(AD1029="ns",CB949=0,CA949&gt;0),AD1029=CB949),0,1)))</f>
        <v>0</v>
      </c>
      <c r="CD949">
        <f>COUNTIF(AD1040:AD1048,"NS")</f>
        <v>0</v>
      </c>
      <c r="CE949">
        <f>SUM(AD1040:AD1048)</f>
        <v>0</v>
      </c>
      <c r="CF949">
        <f>IF(COUNTA(AD1039:AD1048)=0,0,IF(OR(AND(AD1039=0,CD949&gt;0),AND(AD1039="ns",CE949&gt;0),AND(AD1039="ns",CD949=0,CE949=0)),1,IF(OR(AND(CD949&gt;=2,AD1039&gt;CE949),AND(AD1039="ns",CE949=0,CD949&gt;0),AD1039=CE949),0,1)))</f>
        <v>0</v>
      </c>
      <c r="CG949">
        <f>COUNTIF(AD1050:AD1052,"NS")</f>
        <v>0</v>
      </c>
      <c r="CH949">
        <f>SUM(AD1050:AD1052)</f>
        <v>0</v>
      </c>
      <c r="CI949">
        <f>IF(COUNTA(AD1049:AD1052)=0,0,IF(OR(AND(AD1049=0,CG949&gt;0),AND(AD1049="ns",CH949&gt;0),AND(AD1049="ns",CG949=0,CH949=0)),1,IF(OR(AND(CG949&gt;=2,AD1049&gt;CH949),AND(AD1049="ns",CH949=0,CG949&gt;0),AD1049=CH949),0,1)))</f>
        <v>0</v>
      </c>
      <c r="CJ949">
        <f>COUNTIF(AD1061:AD1067,"NS")</f>
        <v>0</v>
      </c>
      <c r="CK949">
        <f>SUM(AD1061:AD1067)</f>
        <v>0</v>
      </c>
      <c r="CL949">
        <f>IF(COUNTA(AD1060:AD1067)=0,0,IF(OR(AND(AD1060=0,CJ949&gt;0),AND(AD1060="ns",CK949&gt;0),AND(AD1060="ns",CJ949=0,CK949=0)),1,IF(OR(AND(CJ949&gt;=2,AD1060&gt;CK949),AND(AD1060="ns",CK949=0,CJ949&gt;0),AD1060=CK949),0,1)))</f>
        <v>0</v>
      </c>
      <c r="CM949">
        <f>COUNTIF(AD1070:AD1072,"NS")</f>
        <v>0</v>
      </c>
      <c r="CN949">
        <f>SUM(AD1070:AD1072)</f>
        <v>0</v>
      </c>
      <c r="CO949">
        <f>IF(COUNTA(AD1069:AD1072)=0,0,IF(OR(AND(AD1069=0,CM949&gt;0),AND(AD1069="ns",CN949&gt;0),AND(AD1069="ns",CM949=0,CN949=0)),1,IF(OR(AND(CM949&gt;=2,AD1069&gt;CN949),AND(AD1069="ns",CN949=0,CM949&gt;0),AD1069=CN949),0,1)))</f>
        <v>0</v>
      </c>
      <c r="CP949">
        <f>COUNTIF(AD1082:AD1086,"NS")</f>
        <v>0</v>
      </c>
      <c r="CQ949">
        <f>SUM(AD1082:AD1086)</f>
        <v>0</v>
      </c>
      <c r="CR949">
        <f>IF(COUNTA(AD1081:AD1086)=0,0,IF(OR(AND(AD1081=0,CP949&gt;0),AND(AD1081="ns",CQ949&gt;0),AND(AD1081="ns",CP949=0,CQ949=0)),1,IF(OR(AND(CP949&gt;=2,AD1081&gt;CQ949),AND(AD1081="ns",CQ949=0,CP949&gt;0),AD1081=CQ949),0,1)))</f>
        <v>0</v>
      </c>
    </row>
    <row r="950" spans="1:96" ht="15" customHeight="1">
      <c r="A950" s="110"/>
      <c r="B950" s="57"/>
      <c r="C950" s="1109"/>
      <c r="D950" s="954"/>
      <c r="E950" s="956"/>
      <c r="F950" s="1110" t="s">
        <v>4843</v>
      </c>
      <c r="G950" s="1110"/>
      <c r="H950" s="178"/>
      <c r="I950" s="1111" t="s">
        <v>4844</v>
      </c>
      <c r="J950" s="1111"/>
      <c r="K950" s="1111"/>
      <c r="L950" s="1111"/>
      <c r="M950" s="1111"/>
      <c r="N950" s="1111"/>
      <c r="O950" s="1112"/>
      <c r="P950" s="100"/>
      <c r="Q950" s="100"/>
      <c r="R950" s="100"/>
      <c r="S950" s="100"/>
      <c r="T950" s="100"/>
      <c r="U950" s="100"/>
      <c r="V950" s="100"/>
      <c r="W950" s="100"/>
      <c r="X950" s="100"/>
      <c r="Y950" s="100"/>
      <c r="Z950" s="100"/>
      <c r="AA950" s="100"/>
      <c r="AB950" s="100"/>
      <c r="AC950" s="100"/>
      <c r="AD950" s="100"/>
      <c r="AF950"/>
      <c r="AG950">
        <f t="shared" si="799"/>
        <v>0</v>
      </c>
      <c r="AH950">
        <f t="shared" si="783"/>
        <v>0</v>
      </c>
      <c r="AK950">
        <f t="shared" si="784"/>
        <v>0</v>
      </c>
      <c r="AL950">
        <f t="shared" si="785"/>
        <v>0</v>
      </c>
      <c r="AM950">
        <f t="shared" si="786"/>
        <v>0</v>
      </c>
      <c r="AN950">
        <f t="shared" si="787"/>
        <v>0</v>
      </c>
      <c r="AO950">
        <f t="shared" si="788"/>
        <v>0</v>
      </c>
      <c r="AP950">
        <f t="shared" si="789"/>
        <v>0</v>
      </c>
      <c r="AQ950">
        <f t="shared" si="790"/>
        <v>0</v>
      </c>
      <c r="AR950">
        <f t="shared" si="791"/>
        <v>0</v>
      </c>
      <c r="AS950">
        <f t="shared" si="792"/>
        <v>0</v>
      </c>
      <c r="AT950">
        <f t="shared" si="793"/>
        <v>0</v>
      </c>
      <c r="AU950">
        <f t="shared" si="794"/>
        <v>0</v>
      </c>
      <c r="AV950">
        <f t="shared" si="795"/>
        <v>0</v>
      </c>
      <c r="AW950">
        <f t="shared" si="796"/>
        <v>0</v>
      </c>
      <c r="AX950">
        <f t="shared" si="797"/>
        <v>0</v>
      </c>
      <c r="AY950">
        <f t="shared" si="798"/>
        <v>0</v>
      </c>
      <c r="AZ950">
        <f>SUM(AZ935:AZ949)</f>
        <v>0</v>
      </c>
      <c r="BB950">
        <f>SUM(BB935:BB949)</f>
        <v>0</v>
      </c>
      <c r="BC950">
        <f>SUM(BC935:BC949)</f>
        <v>0</v>
      </c>
      <c r="BE950">
        <f>SUM(BE935:BE949)</f>
        <v>0</v>
      </c>
      <c r="BF950">
        <f>SUM(BF935:BF949)</f>
        <v>0</v>
      </c>
      <c r="BH950">
        <f>SUM(BH935:BH949)</f>
        <v>0</v>
      </c>
      <c r="BI950">
        <f>SUM(BI935:BI949)</f>
        <v>0</v>
      </c>
      <c r="BK950">
        <f>SUM(BK935:BK949)</f>
        <v>0</v>
      </c>
      <c r="BL950">
        <f>SUM(BL935:BL949)</f>
        <v>0</v>
      </c>
      <c r="BN950">
        <f>SUM(BN935:BN949)</f>
        <v>0</v>
      </c>
      <c r="BO950">
        <f>SUM(BO935:BO949)</f>
        <v>0</v>
      </c>
      <c r="BQ950">
        <f>SUM(BQ935:BQ949)</f>
        <v>0</v>
      </c>
      <c r="BR950">
        <f>SUM(BR935:BR949)</f>
        <v>0</v>
      </c>
      <c r="BT950">
        <f>SUM(BT935:BT949)</f>
        <v>0</v>
      </c>
      <c r="BU950">
        <f>SUM(BU935:BU949)</f>
        <v>0</v>
      </c>
      <c r="BW950">
        <f>SUM(BW935:BW949)</f>
        <v>0</v>
      </c>
      <c r="BX950">
        <f>SUM(BX935:BX949)</f>
        <v>0</v>
      </c>
      <c r="BZ950">
        <f>SUM(BZ935:BZ949)</f>
        <v>0</v>
      </c>
      <c r="CA950">
        <f>SUM(CA935:CA949)</f>
        <v>0</v>
      </c>
      <c r="CC950">
        <f>SUM(CC935:CC949)</f>
        <v>0</v>
      </c>
      <c r="CD950">
        <f>SUM(CD935:CD949)</f>
        <v>0</v>
      </c>
      <c r="CF950">
        <f>SUM(CF935:CF949)</f>
        <v>0</v>
      </c>
      <c r="CG950">
        <f>SUM(CG935:CG949)</f>
        <v>0</v>
      </c>
      <c r="CI950">
        <f>SUM(CI935:CI949)</f>
        <v>0</v>
      </c>
      <c r="CJ950">
        <f>SUM(CJ935:CJ949)</f>
        <v>0</v>
      </c>
      <c r="CL950">
        <f>SUM(CL935:CL949)</f>
        <v>0</v>
      </c>
      <c r="CM950">
        <f>SUM(CM935:CM949)</f>
        <v>0</v>
      </c>
      <c r="CO950">
        <f>SUM(CO935:CO949)</f>
        <v>0</v>
      </c>
      <c r="CP950">
        <f>SUM(CP935:CP949)</f>
        <v>0</v>
      </c>
      <c r="CR950">
        <f>SUM(CR935:CR949)</f>
        <v>0</v>
      </c>
    </row>
    <row r="951" spans="1:96" ht="15" customHeight="1">
      <c r="A951" s="110"/>
      <c r="B951" s="57"/>
      <c r="C951" s="1109"/>
      <c r="D951" s="954"/>
      <c r="E951" s="956"/>
      <c r="F951" s="1110" t="s">
        <v>4845</v>
      </c>
      <c r="G951" s="1110"/>
      <c r="H951" s="178"/>
      <c r="I951" s="1111" t="s">
        <v>201</v>
      </c>
      <c r="J951" s="1111"/>
      <c r="K951" s="1111"/>
      <c r="L951" s="1111"/>
      <c r="M951" s="1111"/>
      <c r="N951" s="1111"/>
      <c r="O951" s="1112"/>
      <c r="P951" s="100"/>
      <c r="Q951" s="100"/>
      <c r="R951" s="100"/>
      <c r="S951" s="100"/>
      <c r="T951" s="100"/>
      <c r="U951" s="100"/>
      <c r="V951" s="100"/>
      <c r="W951" s="100"/>
      <c r="X951" s="100"/>
      <c r="Y951" s="100"/>
      <c r="Z951" s="100"/>
      <c r="AA951" s="100"/>
      <c r="AB951" s="100"/>
      <c r="AC951" s="100"/>
      <c r="AD951" s="100"/>
      <c r="AF951"/>
      <c r="AG951">
        <f t="shared" si="799"/>
        <v>0</v>
      </c>
      <c r="AH951">
        <f t="shared" si="783"/>
        <v>0</v>
      </c>
      <c r="AK951">
        <f t="shared" si="784"/>
        <v>0</v>
      </c>
      <c r="AL951">
        <f t="shared" si="785"/>
        <v>0</v>
      </c>
      <c r="AM951">
        <f t="shared" si="786"/>
        <v>0</v>
      </c>
      <c r="AN951">
        <f t="shared" si="787"/>
        <v>0</v>
      </c>
      <c r="AO951">
        <f t="shared" si="788"/>
        <v>0</v>
      </c>
      <c r="AP951">
        <f t="shared" si="789"/>
        <v>0</v>
      </c>
      <c r="AQ951">
        <f t="shared" si="790"/>
        <v>0</v>
      </c>
      <c r="AR951">
        <f t="shared" si="791"/>
        <v>0</v>
      </c>
      <c r="AS951">
        <f t="shared" si="792"/>
        <v>0</v>
      </c>
      <c r="AT951">
        <f t="shared" si="793"/>
        <v>0</v>
      </c>
      <c r="AU951">
        <f t="shared" si="794"/>
        <v>0</v>
      </c>
      <c r="AV951">
        <f t="shared" si="795"/>
        <v>0</v>
      </c>
      <c r="AW951">
        <f t="shared" si="796"/>
        <v>0</v>
      </c>
      <c r="AX951">
        <f t="shared" si="797"/>
        <v>0</v>
      </c>
      <c r="AY951">
        <f t="shared" si="798"/>
        <v>0</v>
      </c>
      <c r="CR951" s="467">
        <f>SUM(BB950,BE950,BH950,BK950,BN950,BQ950,BT950,BW950,BZ950,CC950,CF950,CI950,CL950,CO950,CR950)</f>
        <v>0</v>
      </c>
    </row>
    <row r="952" spans="1:96" ht="15" customHeight="1">
      <c r="A952" s="110"/>
      <c r="B952" s="57"/>
      <c r="C952" s="1109"/>
      <c r="D952" s="954"/>
      <c r="E952" s="956"/>
      <c r="F952" s="1103" t="s">
        <v>4846</v>
      </c>
      <c r="G952" s="1103"/>
      <c r="H952" s="1104" t="s">
        <v>4847</v>
      </c>
      <c r="I952" s="1105"/>
      <c r="J952" s="1105"/>
      <c r="K952" s="1105"/>
      <c r="L952" s="1105"/>
      <c r="M952" s="1105"/>
      <c r="N952" s="1105"/>
      <c r="O952" s="1106"/>
      <c r="P952" s="100"/>
      <c r="Q952" s="100"/>
      <c r="R952" s="100"/>
      <c r="S952" s="100"/>
      <c r="T952" s="100"/>
      <c r="U952" s="100"/>
      <c r="V952" s="100"/>
      <c r="W952" s="100"/>
      <c r="X952" s="100"/>
      <c r="Y952" s="100"/>
      <c r="Z952" s="100"/>
      <c r="AA952" s="100"/>
      <c r="AB952" s="100"/>
      <c r="AC952" s="100"/>
      <c r="AD952" s="100"/>
      <c r="AF952"/>
      <c r="AG952">
        <f t="shared" si="799"/>
        <v>0</v>
      </c>
      <c r="AH952">
        <f t="shared" si="783"/>
        <v>0</v>
      </c>
      <c r="AK952">
        <f t="shared" si="784"/>
        <v>0</v>
      </c>
      <c r="AL952">
        <f t="shared" si="785"/>
        <v>0</v>
      </c>
      <c r="AM952">
        <f t="shared" si="786"/>
        <v>0</v>
      </c>
      <c r="AN952">
        <f t="shared" si="787"/>
        <v>0</v>
      </c>
      <c r="AO952">
        <f t="shared" si="788"/>
        <v>0</v>
      </c>
      <c r="AP952">
        <f t="shared" si="789"/>
        <v>0</v>
      </c>
      <c r="AQ952">
        <f t="shared" si="790"/>
        <v>0</v>
      </c>
      <c r="AR952">
        <f t="shared" si="791"/>
        <v>0</v>
      </c>
      <c r="AS952">
        <f t="shared" si="792"/>
        <v>0</v>
      </c>
      <c r="AT952">
        <f t="shared" si="793"/>
        <v>0</v>
      </c>
      <c r="AU952">
        <f t="shared" si="794"/>
        <v>0</v>
      </c>
      <c r="AV952">
        <f t="shared" si="795"/>
        <v>0</v>
      </c>
      <c r="AW952">
        <f t="shared" si="796"/>
        <v>0</v>
      </c>
      <c r="AX952">
        <f t="shared" si="797"/>
        <v>0</v>
      </c>
      <c r="AY952">
        <f t="shared" si="798"/>
        <v>0</v>
      </c>
    </row>
    <row r="953" spans="1:96" ht="15" customHeight="1">
      <c r="A953" s="110"/>
      <c r="B953" s="57"/>
      <c r="C953" s="1109"/>
      <c r="D953" s="954"/>
      <c r="E953" s="956"/>
      <c r="F953" s="1103" t="s">
        <v>4848</v>
      </c>
      <c r="G953" s="1103"/>
      <c r="H953" s="1104" t="s">
        <v>4849</v>
      </c>
      <c r="I953" s="1105"/>
      <c r="J953" s="1105"/>
      <c r="K953" s="1105"/>
      <c r="L953" s="1105"/>
      <c r="M953" s="1105"/>
      <c r="N953" s="1105"/>
      <c r="O953" s="1106"/>
      <c r="P953" s="100"/>
      <c r="Q953" s="100"/>
      <c r="R953" s="100"/>
      <c r="S953" s="100"/>
      <c r="T953" s="100"/>
      <c r="U953" s="100"/>
      <c r="V953" s="100"/>
      <c r="W953" s="100"/>
      <c r="X953" s="100"/>
      <c r="Y953" s="100"/>
      <c r="Z953" s="100"/>
      <c r="AA953" s="100"/>
      <c r="AB953" s="100"/>
      <c r="AC953" s="100"/>
      <c r="AD953" s="100"/>
      <c r="AF953"/>
      <c r="AG953">
        <f t="shared" si="799"/>
        <v>0</v>
      </c>
      <c r="AH953">
        <f t="shared" si="783"/>
        <v>0</v>
      </c>
      <c r="AK953">
        <f t="shared" si="784"/>
        <v>0</v>
      </c>
      <c r="AL953">
        <f t="shared" si="785"/>
        <v>0</v>
      </c>
      <c r="AM953">
        <f t="shared" si="786"/>
        <v>0</v>
      </c>
      <c r="AN953">
        <f t="shared" si="787"/>
        <v>0</v>
      </c>
      <c r="AO953">
        <f t="shared" si="788"/>
        <v>0</v>
      </c>
      <c r="AP953">
        <f t="shared" si="789"/>
        <v>0</v>
      </c>
      <c r="AQ953">
        <f t="shared" si="790"/>
        <v>0</v>
      </c>
      <c r="AR953">
        <f t="shared" si="791"/>
        <v>0</v>
      </c>
      <c r="AS953">
        <f t="shared" si="792"/>
        <v>0</v>
      </c>
      <c r="AT953">
        <f t="shared" si="793"/>
        <v>0</v>
      </c>
      <c r="AU953">
        <f t="shared" si="794"/>
        <v>0</v>
      </c>
      <c r="AV953">
        <f t="shared" si="795"/>
        <v>0</v>
      </c>
      <c r="AW953">
        <f t="shared" si="796"/>
        <v>0</v>
      </c>
      <c r="AX953">
        <f t="shared" si="797"/>
        <v>0</v>
      </c>
      <c r="AY953">
        <f t="shared" si="798"/>
        <v>0</v>
      </c>
    </row>
    <row r="954" spans="1:96" ht="24" customHeight="1">
      <c r="A954" s="110"/>
      <c r="B954" s="57"/>
      <c r="C954" s="1109"/>
      <c r="D954" s="954"/>
      <c r="E954" s="956"/>
      <c r="F954" s="1103" t="s">
        <v>4850</v>
      </c>
      <c r="G954" s="1103"/>
      <c r="H954" s="1104" t="s">
        <v>4851</v>
      </c>
      <c r="I954" s="1105"/>
      <c r="J954" s="1105"/>
      <c r="K954" s="1105"/>
      <c r="L954" s="1105"/>
      <c r="M954" s="1105"/>
      <c r="N954" s="1105"/>
      <c r="O954" s="1106"/>
      <c r="P954" s="100"/>
      <c r="Q954" s="100"/>
      <c r="R954" s="100"/>
      <c r="S954" s="100"/>
      <c r="T954" s="100"/>
      <c r="U954" s="100"/>
      <c r="V954" s="100"/>
      <c r="W954" s="100"/>
      <c r="X954" s="100"/>
      <c r="Y954" s="100"/>
      <c r="Z954" s="100"/>
      <c r="AA954" s="100"/>
      <c r="AB954" s="100"/>
      <c r="AC954" s="100"/>
      <c r="AD954" s="100"/>
      <c r="AF954"/>
      <c r="AG954">
        <f t="shared" si="799"/>
        <v>0</v>
      </c>
      <c r="AH954">
        <f t="shared" si="783"/>
        <v>0</v>
      </c>
      <c r="AJ954">
        <f>IF(OR(P954="NS",P954="NA",$P$895=0,$P$895="NS",$P$895="NA"),0,IF((P954*(IFERROR(100/SUM(P943:P954),0)))&gt;25,1,0))</f>
        <v>0</v>
      </c>
      <c r="AK954">
        <f t="shared" si="784"/>
        <v>0</v>
      </c>
      <c r="AL954">
        <f t="shared" si="785"/>
        <v>0</v>
      </c>
      <c r="AM954">
        <f t="shared" si="786"/>
        <v>0</v>
      </c>
      <c r="AN954">
        <f t="shared" si="787"/>
        <v>0</v>
      </c>
      <c r="AO954">
        <f t="shared" si="788"/>
        <v>0</v>
      </c>
      <c r="AP954">
        <f t="shared" si="789"/>
        <v>0</v>
      </c>
      <c r="AQ954">
        <f t="shared" si="790"/>
        <v>0</v>
      </c>
      <c r="AR954">
        <f t="shared" si="791"/>
        <v>0</v>
      </c>
      <c r="AS954">
        <f t="shared" si="792"/>
        <v>0</v>
      </c>
      <c r="AT954">
        <f t="shared" si="793"/>
        <v>0</v>
      </c>
      <c r="AU954">
        <f t="shared" si="794"/>
        <v>0</v>
      </c>
      <c r="AV954">
        <f t="shared" si="795"/>
        <v>0</v>
      </c>
      <c r="AW954">
        <f t="shared" si="796"/>
        <v>0</v>
      </c>
      <c r="AX954">
        <f t="shared" si="797"/>
        <v>0</v>
      </c>
      <c r="AY954">
        <f t="shared" si="798"/>
        <v>0</v>
      </c>
    </row>
    <row r="955" spans="1:96" ht="15" customHeight="1">
      <c r="A955" s="110"/>
      <c r="B955" s="57"/>
      <c r="C955" s="1108" t="s">
        <v>4852</v>
      </c>
      <c r="D955" s="847" t="s">
        <v>4853</v>
      </c>
      <c r="E955" s="848"/>
      <c r="F955" s="1103" t="s">
        <v>4854</v>
      </c>
      <c r="G955" s="1103"/>
      <c r="H955" s="1104" t="s">
        <v>4855</v>
      </c>
      <c r="I955" s="1105"/>
      <c r="J955" s="1105"/>
      <c r="K955" s="1105"/>
      <c r="L955" s="1105"/>
      <c r="M955" s="1105"/>
      <c r="N955" s="1105"/>
      <c r="O955" s="1106"/>
      <c r="P955" s="100"/>
      <c r="Q955" s="100"/>
      <c r="R955" s="100"/>
      <c r="S955" s="100"/>
      <c r="T955" s="100"/>
      <c r="U955" s="100"/>
      <c r="V955" s="100"/>
      <c r="W955" s="100"/>
      <c r="X955" s="100"/>
      <c r="Y955" s="100"/>
      <c r="Z955" s="100"/>
      <c r="AA955" s="100"/>
      <c r="AB955" s="100"/>
      <c r="AC955" s="100"/>
      <c r="AD955" s="100"/>
      <c r="AF955">
        <f>IF(P955="NA",IF(AND(COUNTIF(P956:P973,"="&amp;$AF$934)=0,COUNTIF(P956:P973,"&lt;&gt;NA")&gt;0),1,0),IF(AND(COUNTIF(P956:P973,"="&amp;$AF$934)=0,COUNTIF(P956:P973,"NA")=COUNTIF(P956:P973,"&lt;&gt;"&amp;$AF$934)),1,0))</f>
        <v>0</v>
      </c>
      <c r="AG955">
        <f t="shared" si="799"/>
        <v>0</v>
      </c>
      <c r="AH955">
        <f t="shared" si="783"/>
        <v>0</v>
      </c>
      <c r="AK955">
        <f t="shared" si="784"/>
        <v>0</v>
      </c>
      <c r="AL955">
        <f t="shared" si="785"/>
        <v>0</v>
      </c>
      <c r="AM955">
        <f t="shared" si="786"/>
        <v>0</v>
      </c>
      <c r="AN955">
        <f t="shared" si="787"/>
        <v>0</v>
      </c>
      <c r="AO955">
        <f t="shared" si="788"/>
        <v>0</v>
      </c>
      <c r="AP955">
        <f t="shared" si="789"/>
        <v>0</v>
      </c>
      <c r="AQ955">
        <f t="shared" si="790"/>
        <v>0</v>
      </c>
      <c r="AR955">
        <f t="shared" si="791"/>
        <v>0</v>
      </c>
      <c r="AS955">
        <f t="shared" si="792"/>
        <v>0</v>
      </c>
      <c r="AT955">
        <f t="shared" si="793"/>
        <v>0</v>
      </c>
      <c r="AU955">
        <f t="shared" si="794"/>
        <v>0</v>
      </c>
      <c r="AV955">
        <f t="shared" si="795"/>
        <v>0</v>
      </c>
      <c r="AW955">
        <f t="shared" si="796"/>
        <v>0</v>
      </c>
      <c r="AX955">
        <f t="shared" si="797"/>
        <v>0</v>
      </c>
      <c r="AY955">
        <f t="shared" si="798"/>
        <v>0</v>
      </c>
    </row>
    <row r="956" spans="1:96" ht="15" customHeight="1">
      <c r="A956" s="110"/>
      <c r="B956" s="57"/>
      <c r="C956" s="1109"/>
      <c r="D956" s="954"/>
      <c r="E956" s="956"/>
      <c r="F956" s="1110" t="s">
        <v>4856</v>
      </c>
      <c r="G956" s="1110"/>
      <c r="H956" s="178"/>
      <c r="I956" s="1111" t="s">
        <v>4857</v>
      </c>
      <c r="J956" s="1111"/>
      <c r="K956" s="1111"/>
      <c r="L956" s="1111"/>
      <c r="M956" s="1111"/>
      <c r="N956" s="1111"/>
      <c r="O956" s="1112"/>
      <c r="P956" s="100"/>
      <c r="Q956" s="100"/>
      <c r="R956" s="100"/>
      <c r="S956" s="100"/>
      <c r="T956" s="100"/>
      <c r="U956" s="100"/>
      <c r="V956" s="100"/>
      <c r="W956" s="100"/>
      <c r="X956" s="100"/>
      <c r="Y956" s="100"/>
      <c r="Z956" s="100"/>
      <c r="AA956" s="100"/>
      <c r="AB956" s="100"/>
      <c r="AC956" s="100"/>
      <c r="AD956" s="100"/>
      <c r="AF956"/>
      <c r="AG956">
        <f t="shared" si="799"/>
        <v>0</v>
      </c>
      <c r="AH956">
        <f t="shared" si="783"/>
        <v>0</v>
      </c>
      <c r="AK956">
        <f t="shared" si="784"/>
        <v>0</v>
      </c>
      <c r="AL956">
        <f t="shared" si="785"/>
        <v>0</v>
      </c>
      <c r="AM956">
        <f t="shared" si="786"/>
        <v>0</v>
      </c>
      <c r="AN956">
        <f t="shared" si="787"/>
        <v>0</v>
      </c>
      <c r="AO956">
        <f t="shared" si="788"/>
        <v>0</v>
      </c>
      <c r="AP956">
        <f t="shared" si="789"/>
        <v>0</v>
      </c>
      <c r="AQ956">
        <f t="shared" si="790"/>
        <v>0</v>
      </c>
      <c r="AR956">
        <f t="shared" si="791"/>
        <v>0</v>
      </c>
      <c r="AS956">
        <f t="shared" si="792"/>
        <v>0</v>
      </c>
      <c r="AT956">
        <f t="shared" si="793"/>
        <v>0</v>
      </c>
      <c r="AU956">
        <f t="shared" si="794"/>
        <v>0</v>
      </c>
      <c r="AV956">
        <f t="shared" si="795"/>
        <v>0</v>
      </c>
      <c r="AW956">
        <f t="shared" si="796"/>
        <v>0</v>
      </c>
      <c r="AX956">
        <f t="shared" si="797"/>
        <v>0</v>
      </c>
      <c r="AY956">
        <f t="shared" si="798"/>
        <v>0</v>
      </c>
    </row>
    <row r="957" spans="1:96" ht="15" customHeight="1">
      <c r="A957" s="110"/>
      <c r="B957" s="57"/>
      <c r="C957" s="1109"/>
      <c r="D957" s="954"/>
      <c r="E957" s="956"/>
      <c r="F957" s="1110" t="s">
        <v>4858</v>
      </c>
      <c r="G957" s="1110"/>
      <c r="H957" s="178"/>
      <c r="I957" s="1111" t="s">
        <v>4859</v>
      </c>
      <c r="J957" s="1111"/>
      <c r="K957" s="1111"/>
      <c r="L957" s="1111"/>
      <c r="M957" s="1111"/>
      <c r="N957" s="1111"/>
      <c r="O957" s="1112"/>
      <c r="P957" s="100"/>
      <c r="Q957" s="100"/>
      <c r="R957" s="100"/>
      <c r="S957" s="100"/>
      <c r="T957" s="100"/>
      <c r="U957" s="100"/>
      <c r="V957" s="100"/>
      <c r="W957" s="100"/>
      <c r="X957" s="100"/>
      <c r="Y957" s="100"/>
      <c r="Z957" s="100"/>
      <c r="AA957" s="100"/>
      <c r="AB957" s="100"/>
      <c r="AC957" s="100"/>
      <c r="AD957" s="100"/>
      <c r="AF957"/>
      <c r="AG957">
        <f t="shared" si="799"/>
        <v>0</v>
      </c>
      <c r="AH957">
        <f t="shared" si="783"/>
        <v>0</v>
      </c>
      <c r="AK957">
        <f t="shared" si="784"/>
        <v>0</v>
      </c>
      <c r="AL957">
        <f t="shared" si="785"/>
        <v>0</v>
      </c>
      <c r="AM957">
        <f t="shared" si="786"/>
        <v>0</v>
      </c>
      <c r="AN957">
        <f t="shared" si="787"/>
        <v>0</v>
      </c>
      <c r="AO957">
        <f t="shared" si="788"/>
        <v>0</v>
      </c>
      <c r="AP957">
        <f t="shared" si="789"/>
        <v>0</v>
      </c>
      <c r="AQ957">
        <f t="shared" si="790"/>
        <v>0</v>
      </c>
      <c r="AR957">
        <f t="shared" si="791"/>
        <v>0</v>
      </c>
      <c r="AS957">
        <f t="shared" si="792"/>
        <v>0</v>
      </c>
      <c r="AT957">
        <f t="shared" si="793"/>
        <v>0</v>
      </c>
      <c r="AU957">
        <f t="shared" si="794"/>
        <v>0</v>
      </c>
      <c r="AV957">
        <f t="shared" si="795"/>
        <v>0</v>
      </c>
      <c r="AW957">
        <f t="shared" si="796"/>
        <v>0</v>
      </c>
      <c r="AX957">
        <f t="shared" si="797"/>
        <v>0</v>
      </c>
      <c r="AY957">
        <f t="shared" si="798"/>
        <v>0</v>
      </c>
    </row>
    <row r="958" spans="1:96" ht="15" customHeight="1">
      <c r="A958" s="110"/>
      <c r="B958" s="57"/>
      <c r="C958" s="1109"/>
      <c r="D958" s="954"/>
      <c r="E958" s="956"/>
      <c r="F958" s="1110" t="s">
        <v>4860</v>
      </c>
      <c r="G958" s="1110"/>
      <c r="H958" s="178"/>
      <c r="I958" s="1111" t="s">
        <v>4861</v>
      </c>
      <c r="J958" s="1111"/>
      <c r="K958" s="1111"/>
      <c r="L958" s="1111"/>
      <c r="M958" s="1111"/>
      <c r="N958" s="1111"/>
      <c r="O958" s="1112"/>
      <c r="P958" s="100"/>
      <c r="Q958" s="100"/>
      <c r="R958" s="100"/>
      <c r="S958" s="100"/>
      <c r="T958" s="100"/>
      <c r="U958" s="100"/>
      <c r="V958" s="100"/>
      <c r="W958" s="100"/>
      <c r="X958" s="100"/>
      <c r="Y958" s="100"/>
      <c r="Z958" s="100"/>
      <c r="AA958" s="100"/>
      <c r="AB958" s="100"/>
      <c r="AC958" s="100"/>
      <c r="AD958" s="100"/>
      <c r="AF958"/>
      <c r="AG958">
        <f t="shared" si="799"/>
        <v>0</v>
      </c>
      <c r="AH958">
        <f t="shared" si="783"/>
        <v>0</v>
      </c>
      <c r="AK958">
        <f t="shared" si="784"/>
        <v>0</v>
      </c>
      <c r="AL958">
        <f t="shared" si="785"/>
        <v>0</v>
      </c>
      <c r="AM958">
        <f t="shared" si="786"/>
        <v>0</v>
      </c>
      <c r="AN958">
        <f t="shared" si="787"/>
        <v>0</v>
      </c>
      <c r="AO958">
        <f t="shared" si="788"/>
        <v>0</v>
      </c>
      <c r="AP958">
        <f t="shared" si="789"/>
        <v>0</v>
      </c>
      <c r="AQ958">
        <f t="shared" si="790"/>
        <v>0</v>
      </c>
      <c r="AR958">
        <f t="shared" si="791"/>
        <v>0</v>
      </c>
      <c r="AS958">
        <f t="shared" si="792"/>
        <v>0</v>
      </c>
      <c r="AT958">
        <f t="shared" si="793"/>
        <v>0</v>
      </c>
      <c r="AU958">
        <f t="shared" si="794"/>
        <v>0</v>
      </c>
      <c r="AV958">
        <f t="shared" si="795"/>
        <v>0</v>
      </c>
      <c r="AW958">
        <f t="shared" si="796"/>
        <v>0</v>
      </c>
      <c r="AX958">
        <f t="shared" si="797"/>
        <v>0</v>
      </c>
      <c r="AY958">
        <f t="shared" si="798"/>
        <v>0</v>
      </c>
    </row>
    <row r="959" spans="1:96" ht="15" customHeight="1">
      <c r="A959" s="110"/>
      <c r="B959" s="57"/>
      <c r="C959" s="1109"/>
      <c r="D959" s="954"/>
      <c r="E959" s="956"/>
      <c r="F959" s="1110" t="s">
        <v>4862</v>
      </c>
      <c r="G959" s="1110"/>
      <c r="H959" s="178"/>
      <c r="I959" s="1111" t="s">
        <v>4863</v>
      </c>
      <c r="J959" s="1111"/>
      <c r="K959" s="1111"/>
      <c r="L959" s="1111"/>
      <c r="M959" s="1111"/>
      <c r="N959" s="1111"/>
      <c r="O959" s="1112"/>
      <c r="P959" s="100"/>
      <c r="Q959" s="100"/>
      <c r="R959" s="100"/>
      <c r="S959" s="100"/>
      <c r="T959" s="100"/>
      <c r="U959" s="100"/>
      <c r="V959" s="100"/>
      <c r="W959" s="100"/>
      <c r="X959" s="100"/>
      <c r="Y959" s="100"/>
      <c r="Z959" s="100"/>
      <c r="AA959" s="100"/>
      <c r="AB959" s="100"/>
      <c r="AC959" s="100"/>
      <c r="AD959" s="100"/>
      <c r="AF959"/>
      <c r="AG959">
        <f t="shared" si="799"/>
        <v>0</v>
      </c>
      <c r="AH959">
        <f t="shared" si="783"/>
        <v>0</v>
      </c>
      <c r="AK959">
        <f t="shared" si="784"/>
        <v>0</v>
      </c>
      <c r="AL959">
        <f t="shared" si="785"/>
        <v>0</v>
      </c>
      <c r="AM959">
        <f t="shared" si="786"/>
        <v>0</v>
      </c>
      <c r="AN959">
        <f t="shared" si="787"/>
        <v>0</v>
      </c>
      <c r="AO959">
        <f t="shared" si="788"/>
        <v>0</v>
      </c>
      <c r="AP959">
        <f t="shared" si="789"/>
        <v>0</v>
      </c>
      <c r="AQ959">
        <f t="shared" si="790"/>
        <v>0</v>
      </c>
      <c r="AR959">
        <f t="shared" si="791"/>
        <v>0</v>
      </c>
      <c r="AS959">
        <f t="shared" si="792"/>
        <v>0</v>
      </c>
      <c r="AT959">
        <f t="shared" si="793"/>
        <v>0</v>
      </c>
      <c r="AU959">
        <f t="shared" si="794"/>
        <v>0</v>
      </c>
      <c r="AV959">
        <f t="shared" si="795"/>
        <v>0</v>
      </c>
      <c r="AW959">
        <f t="shared" si="796"/>
        <v>0</v>
      </c>
      <c r="AX959">
        <f t="shared" si="797"/>
        <v>0</v>
      </c>
      <c r="AY959">
        <f t="shared" si="798"/>
        <v>0</v>
      </c>
    </row>
    <row r="960" spans="1:96" ht="15" customHeight="1">
      <c r="A960" s="110"/>
      <c r="B960" s="57"/>
      <c r="C960" s="1109"/>
      <c r="D960" s="954"/>
      <c r="E960" s="956"/>
      <c r="F960" s="1110" t="s">
        <v>4864</v>
      </c>
      <c r="G960" s="1110"/>
      <c r="H960" s="178"/>
      <c r="I960" s="1111" t="s">
        <v>4865</v>
      </c>
      <c r="J960" s="1111"/>
      <c r="K960" s="1111"/>
      <c r="L960" s="1111"/>
      <c r="M960" s="1111"/>
      <c r="N960" s="1111"/>
      <c r="O960" s="1112"/>
      <c r="P960" s="100"/>
      <c r="Q960" s="100"/>
      <c r="R960" s="100"/>
      <c r="S960" s="100"/>
      <c r="T960" s="100"/>
      <c r="U960" s="100"/>
      <c r="V960" s="100"/>
      <c r="W960" s="100"/>
      <c r="X960" s="100"/>
      <c r="Y960" s="100"/>
      <c r="Z960" s="100"/>
      <c r="AA960" s="100"/>
      <c r="AB960" s="100"/>
      <c r="AC960" s="100"/>
      <c r="AD960" s="100"/>
      <c r="AF960"/>
      <c r="AG960">
        <f t="shared" si="799"/>
        <v>0</v>
      </c>
      <c r="AH960">
        <f t="shared" si="783"/>
        <v>0</v>
      </c>
      <c r="AK960">
        <f t="shared" si="784"/>
        <v>0</v>
      </c>
      <c r="AL960">
        <f t="shared" si="785"/>
        <v>0</v>
      </c>
      <c r="AM960">
        <f t="shared" si="786"/>
        <v>0</v>
      </c>
      <c r="AN960">
        <f t="shared" si="787"/>
        <v>0</v>
      </c>
      <c r="AO960">
        <f t="shared" si="788"/>
        <v>0</v>
      </c>
      <c r="AP960">
        <f t="shared" si="789"/>
        <v>0</v>
      </c>
      <c r="AQ960">
        <f t="shared" si="790"/>
        <v>0</v>
      </c>
      <c r="AR960">
        <f t="shared" si="791"/>
        <v>0</v>
      </c>
      <c r="AS960">
        <f t="shared" si="792"/>
        <v>0</v>
      </c>
      <c r="AT960">
        <f t="shared" si="793"/>
        <v>0</v>
      </c>
      <c r="AU960">
        <f t="shared" si="794"/>
        <v>0</v>
      </c>
      <c r="AV960">
        <f t="shared" si="795"/>
        <v>0</v>
      </c>
      <c r="AW960">
        <f t="shared" si="796"/>
        <v>0</v>
      </c>
      <c r="AX960">
        <f t="shared" si="797"/>
        <v>0</v>
      </c>
      <c r="AY960">
        <f t="shared" si="798"/>
        <v>0</v>
      </c>
    </row>
    <row r="961" spans="1:51" ht="24" customHeight="1">
      <c r="A961" s="110"/>
      <c r="B961" s="57"/>
      <c r="C961" s="1109"/>
      <c r="D961" s="954"/>
      <c r="E961" s="956"/>
      <c r="F961" s="1110" t="s">
        <v>4866</v>
      </c>
      <c r="G961" s="1110"/>
      <c r="H961" s="178"/>
      <c r="I961" s="1111" t="s">
        <v>4867</v>
      </c>
      <c r="J961" s="1111"/>
      <c r="K961" s="1111"/>
      <c r="L961" s="1111"/>
      <c r="M961" s="1111"/>
      <c r="N961" s="1111"/>
      <c r="O961" s="1112"/>
      <c r="P961" s="100"/>
      <c r="Q961" s="100"/>
      <c r="R961" s="100"/>
      <c r="S961" s="100"/>
      <c r="T961" s="100"/>
      <c r="U961" s="100"/>
      <c r="V961" s="100"/>
      <c r="W961" s="100"/>
      <c r="X961" s="100"/>
      <c r="Y961" s="100"/>
      <c r="Z961" s="100"/>
      <c r="AA961" s="100"/>
      <c r="AB961" s="100"/>
      <c r="AC961" s="100"/>
      <c r="AD961" s="100"/>
      <c r="AF961"/>
      <c r="AG961">
        <f t="shared" si="799"/>
        <v>0</v>
      </c>
      <c r="AH961">
        <f t="shared" si="783"/>
        <v>0</v>
      </c>
      <c r="AK961">
        <f t="shared" si="784"/>
        <v>0</v>
      </c>
      <c r="AL961">
        <f t="shared" si="785"/>
        <v>0</v>
      </c>
      <c r="AM961">
        <f t="shared" si="786"/>
        <v>0</v>
      </c>
      <c r="AN961">
        <f t="shared" si="787"/>
        <v>0</v>
      </c>
      <c r="AO961">
        <f t="shared" si="788"/>
        <v>0</v>
      </c>
      <c r="AP961">
        <f t="shared" si="789"/>
        <v>0</v>
      </c>
      <c r="AQ961">
        <f t="shared" si="790"/>
        <v>0</v>
      </c>
      <c r="AR961">
        <f t="shared" si="791"/>
        <v>0</v>
      </c>
      <c r="AS961">
        <f t="shared" si="792"/>
        <v>0</v>
      </c>
      <c r="AT961">
        <f t="shared" si="793"/>
        <v>0</v>
      </c>
      <c r="AU961">
        <f t="shared" si="794"/>
        <v>0</v>
      </c>
      <c r="AV961">
        <f t="shared" si="795"/>
        <v>0</v>
      </c>
      <c r="AW961">
        <f t="shared" si="796"/>
        <v>0</v>
      </c>
      <c r="AX961">
        <f t="shared" si="797"/>
        <v>0</v>
      </c>
      <c r="AY961">
        <f t="shared" si="798"/>
        <v>0</v>
      </c>
    </row>
    <row r="962" spans="1:51" ht="15" customHeight="1">
      <c r="A962" s="110"/>
      <c r="B962" s="57"/>
      <c r="C962" s="1109"/>
      <c r="D962" s="954"/>
      <c r="E962" s="956"/>
      <c r="F962" s="1110" t="s">
        <v>4868</v>
      </c>
      <c r="G962" s="1110"/>
      <c r="H962" s="178"/>
      <c r="I962" s="1111" t="s">
        <v>4869</v>
      </c>
      <c r="J962" s="1111"/>
      <c r="K962" s="1111"/>
      <c r="L962" s="1111"/>
      <c r="M962" s="1111"/>
      <c r="N962" s="1111"/>
      <c r="O962" s="1112"/>
      <c r="P962" s="100"/>
      <c r="Q962" s="100"/>
      <c r="R962" s="100"/>
      <c r="S962" s="100"/>
      <c r="T962" s="100"/>
      <c r="U962" s="100"/>
      <c r="V962" s="100"/>
      <c r="W962" s="100"/>
      <c r="X962" s="100"/>
      <c r="Y962" s="100"/>
      <c r="Z962" s="100"/>
      <c r="AA962" s="100"/>
      <c r="AB962" s="100"/>
      <c r="AC962" s="100"/>
      <c r="AD962" s="100"/>
      <c r="AF962"/>
      <c r="AG962">
        <f t="shared" si="799"/>
        <v>0</v>
      </c>
      <c r="AH962">
        <f t="shared" si="783"/>
        <v>0</v>
      </c>
      <c r="AK962">
        <f t="shared" si="784"/>
        <v>0</v>
      </c>
      <c r="AL962">
        <f t="shared" si="785"/>
        <v>0</v>
      </c>
      <c r="AM962">
        <f t="shared" si="786"/>
        <v>0</v>
      </c>
      <c r="AN962">
        <f t="shared" si="787"/>
        <v>0</v>
      </c>
      <c r="AO962">
        <f t="shared" si="788"/>
        <v>0</v>
      </c>
      <c r="AP962">
        <f t="shared" si="789"/>
        <v>0</v>
      </c>
      <c r="AQ962">
        <f t="shared" si="790"/>
        <v>0</v>
      </c>
      <c r="AR962">
        <f t="shared" si="791"/>
        <v>0</v>
      </c>
      <c r="AS962">
        <f t="shared" si="792"/>
        <v>0</v>
      </c>
      <c r="AT962">
        <f t="shared" si="793"/>
        <v>0</v>
      </c>
      <c r="AU962">
        <f t="shared" si="794"/>
        <v>0</v>
      </c>
      <c r="AV962">
        <f t="shared" si="795"/>
        <v>0</v>
      </c>
      <c r="AW962">
        <f t="shared" si="796"/>
        <v>0</v>
      </c>
      <c r="AX962">
        <f t="shared" si="797"/>
        <v>0</v>
      </c>
      <c r="AY962">
        <f t="shared" si="798"/>
        <v>0</v>
      </c>
    </row>
    <row r="963" spans="1:51" ht="15" customHeight="1">
      <c r="A963" s="110"/>
      <c r="B963" s="57"/>
      <c r="C963" s="1109"/>
      <c r="D963" s="954"/>
      <c r="E963" s="956"/>
      <c r="F963" s="1110" t="s">
        <v>4870</v>
      </c>
      <c r="G963" s="1110"/>
      <c r="H963" s="178"/>
      <c r="I963" s="1111" t="s">
        <v>4871</v>
      </c>
      <c r="J963" s="1111"/>
      <c r="K963" s="1111"/>
      <c r="L963" s="1111"/>
      <c r="M963" s="1111"/>
      <c r="N963" s="1111"/>
      <c r="O963" s="1112"/>
      <c r="P963" s="100"/>
      <c r="Q963" s="100"/>
      <c r="R963" s="100"/>
      <c r="S963" s="100"/>
      <c r="T963" s="100"/>
      <c r="U963" s="100"/>
      <c r="V963" s="100"/>
      <c r="W963" s="100"/>
      <c r="X963" s="100"/>
      <c r="Y963" s="100"/>
      <c r="Z963" s="100"/>
      <c r="AA963" s="100"/>
      <c r="AB963" s="100"/>
      <c r="AC963" s="100"/>
      <c r="AD963" s="100"/>
      <c r="AF963"/>
      <c r="AG963">
        <f t="shared" si="799"/>
        <v>0</v>
      </c>
      <c r="AH963">
        <f t="shared" si="783"/>
        <v>0</v>
      </c>
      <c r="AK963">
        <f t="shared" si="784"/>
        <v>0</v>
      </c>
      <c r="AL963">
        <f t="shared" si="785"/>
        <v>0</v>
      </c>
      <c r="AM963">
        <f t="shared" si="786"/>
        <v>0</v>
      </c>
      <c r="AN963">
        <f t="shared" si="787"/>
        <v>0</v>
      </c>
      <c r="AO963">
        <f t="shared" si="788"/>
        <v>0</v>
      </c>
      <c r="AP963">
        <f t="shared" si="789"/>
        <v>0</v>
      </c>
      <c r="AQ963">
        <f t="shared" si="790"/>
        <v>0</v>
      </c>
      <c r="AR963">
        <f t="shared" si="791"/>
        <v>0</v>
      </c>
      <c r="AS963">
        <f t="shared" si="792"/>
        <v>0</v>
      </c>
      <c r="AT963">
        <f t="shared" si="793"/>
        <v>0</v>
      </c>
      <c r="AU963">
        <f t="shared" si="794"/>
        <v>0</v>
      </c>
      <c r="AV963">
        <f t="shared" si="795"/>
        <v>0</v>
      </c>
      <c r="AW963">
        <f t="shared" si="796"/>
        <v>0</v>
      </c>
      <c r="AX963">
        <f t="shared" si="797"/>
        <v>0</v>
      </c>
      <c r="AY963">
        <f t="shared" si="798"/>
        <v>0</v>
      </c>
    </row>
    <row r="964" spans="1:51" ht="15" customHeight="1">
      <c r="A964" s="110"/>
      <c r="B964" s="57"/>
      <c r="C964" s="1109"/>
      <c r="D964" s="954"/>
      <c r="E964" s="956"/>
      <c r="F964" s="1110" t="s">
        <v>4872</v>
      </c>
      <c r="G964" s="1110"/>
      <c r="H964" s="178"/>
      <c r="I964" s="1111" t="s">
        <v>4873</v>
      </c>
      <c r="J964" s="1111"/>
      <c r="K964" s="1111"/>
      <c r="L964" s="1111"/>
      <c r="M964" s="1111"/>
      <c r="N964" s="1111"/>
      <c r="O964" s="1112"/>
      <c r="P964" s="100"/>
      <c r="Q964" s="100"/>
      <c r="R964" s="100"/>
      <c r="S964" s="100"/>
      <c r="T964" s="100"/>
      <c r="U964" s="100"/>
      <c r="V964" s="100"/>
      <c r="W964" s="100"/>
      <c r="X964" s="100"/>
      <c r="Y964" s="100"/>
      <c r="Z964" s="100"/>
      <c r="AA964" s="100"/>
      <c r="AB964" s="100"/>
      <c r="AC964" s="100"/>
      <c r="AD964" s="100"/>
      <c r="AF964"/>
      <c r="AG964">
        <f t="shared" si="799"/>
        <v>0</v>
      </c>
      <c r="AH964">
        <f t="shared" si="783"/>
        <v>0</v>
      </c>
      <c r="AK964">
        <f t="shared" si="784"/>
        <v>0</v>
      </c>
      <c r="AL964">
        <f t="shared" si="785"/>
        <v>0</v>
      </c>
      <c r="AM964">
        <f t="shared" si="786"/>
        <v>0</v>
      </c>
      <c r="AN964">
        <f t="shared" si="787"/>
        <v>0</v>
      </c>
      <c r="AO964">
        <f t="shared" si="788"/>
        <v>0</v>
      </c>
      <c r="AP964">
        <f t="shared" si="789"/>
        <v>0</v>
      </c>
      <c r="AQ964">
        <f t="shared" si="790"/>
        <v>0</v>
      </c>
      <c r="AR964">
        <f t="shared" si="791"/>
        <v>0</v>
      </c>
      <c r="AS964">
        <f t="shared" si="792"/>
        <v>0</v>
      </c>
      <c r="AT964">
        <f t="shared" si="793"/>
        <v>0</v>
      </c>
      <c r="AU964">
        <f t="shared" si="794"/>
        <v>0</v>
      </c>
      <c r="AV964">
        <f t="shared" si="795"/>
        <v>0</v>
      </c>
      <c r="AW964">
        <f t="shared" si="796"/>
        <v>0</v>
      </c>
      <c r="AX964">
        <f t="shared" si="797"/>
        <v>0</v>
      </c>
      <c r="AY964">
        <f t="shared" si="798"/>
        <v>0</v>
      </c>
    </row>
    <row r="965" spans="1:51" ht="15" customHeight="1">
      <c r="A965" s="110"/>
      <c r="B965" s="57"/>
      <c r="C965" s="1109"/>
      <c r="D965" s="954"/>
      <c r="E965" s="956"/>
      <c r="F965" s="1110" t="s">
        <v>4874</v>
      </c>
      <c r="G965" s="1110"/>
      <c r="H965" s="178"/>
      <c r="I965" s="1111" t="s">
        <v>4875</v>
      </c>
      <c r="J965" s="1111"/>
      <c r="K965" s="1111"/>
      <c r="L965" s="1111"/>
      <c r="M965" s="1111"/>
      <c r="N965" s="1111"/>
      <c r="O965" s="1112"/>
      <c r="P965" s="100"/>
      <c r="Q965" s="100"/>
      <c r="R965" s="100"/>
      <c r="S965" s="100"/>
      <c r="T965" s="100"/>
      <c r="U965" s="100"/>
      <c r="V965" s="100"/>
      <c r="W965" s="100"/>
      <c r="X965" s="100"/>
      <c r="Y965" s="100"/>
      <c r="Z965" s="100"/>
      <c r="AA965" s="100"/>
      <c r="AB965" s="100"/>
      <c r="AC965" s="100"/>
      <c r="AD965" s="100"/>
      <c r="AF965"/>
      <c r="AG965">
        <f t="shared" si="799"/>
        <v>0</v>
      </c>
      <c r="AH965">
        <f t="shared" si="783"/>
        <v>0</v>
      </c>
      <c r="AK965">
        <f t="shared" si="784"/>
        <v>0</v>
      </c>
      <c r="AL965">
        <f t="shared" si="785"/>
        <v>0</v>
      </c>
      <c r="AM965">
        <f t="shared" si="786"/>
        <v>0</v>
      </c>
      <c r="AN965">
        <f t="shared" si="787"/>
        <v>0</v>
      </c>
      <c r="AO965">
        <f t="shared" si="788"/>
        <v>0</v>
      </c>
      <c r="AP965">
        <f t="shared" si="789"/>
        <v>0</v>
      </c>
      <c r="AQ965">
        <f t="shared" si="790"/>
        <v>0</v>
      </c>
      <c r="AR965">
        <f t="shared" si="791"/>
        <v>0</v>
      </c>
      <c r="AS965">
        <f t="shared" si="792"/>
        <v>0</v>
      </c>
      <c r="AT965">
        <f t="shared" si="793"/>
        <v>0</v>
      </c>
      <c r="AU965">
        <f t="shared" si="794"/>
        <v>0</v>
      </c>
      <c r="AV965">
        <f t="shared" si="795"/>
        <v>0</v>
      </c>
      <c r="AW965">
        <f t="shared" si="796"/>
        <v>0</v>
      </c>
      <c r="AX965">
        <f t="shared" si="797"/>
        <v>0</v>
      </c>
      <c r="AY965">
        <f t="shared" si="798"/>
        <v>0</v>
      </c>
    </row>
    <row r="966" spans="1:51" ht="15" customHeight="1">
      <c r="A966" s="110"/>
      <c r="B966" s="57"/>
      <c r="C966" s="1109"/>
      <c r="D966" s="954"/>
      <c r="E966" s="956"/>
      <c r="F966" s="1110" t="s">
        <v>4876</v>
      </c>
      <c r="G966" s="1110"/>
      <c r="H966" s="178"/>
      <c r="I966" s="1111" t="s">
        <v>4877</v>
      </c>
      <c r="J966" s="1111"/>
      <c r="K966" s="1111"/>
      <c r="L966" s="1111"/>
      <c r="M966" s="1111"/>
      <c r="N966" s="1111"/>
      <c r="O966" s="1112"/>
      <c r="P966" s="100"/>
      <c r="Q966" s="100"/>
      <c r="R966" s="100"/>
      <c r="S966" s="100"/>
      <c r="T966" s="100"/>
      <c r="U966" s="100"/>
      <c r="V966" s="100"/>
      <c r="W966" s="100"/>
      <c r="X966" s="100"/>
      <c r="Y966" s="100"/>
      <c r="Z966" s="100"/>
      <c r="AA966" s="100"/>
      <c r="AB966" s="100"/>
      <c r="AC966" s="100"/>
      <c r="AD966" s="100"/>
      <c r="AF966"/>
      <c r="AG966">
        <f t="shared" si="799"/>
        <v>0</v>
      </c>
      <c r="AH966">
        <f t="shared" si="783"/>
        <v>0</v>
      </c>
      <c r="AK966">
        <f t="shared" si="784"/>
        <v>0</v>
      </c>
      <c r="AL966">
        <f t="shared" si="785"/>
        <v>0</v>
      </c>
      <c r="AM966">
        <f t="shared" si="786"/>
        <v>0</v>
      </c>
      <c r="AN966">
        <f t="shared" si="787"/>
        <v>0</v>
      </c>
      <c r="AO966">
        <f t="shared" si="788"/>
        <v>0</v>
      </c>
      <c r="AP966">
        <f t="shared" si="789"/>
        <v>0</v>
      </c>
      <c r="AQ966">
        <f t="shared" si="790"/>
        <v>0</v>
      </c>
      <c r="AR966">
        <f t="shared" si="791"/>
        <v>0</v>
      </c>
      <c r="AS966">
        <f t="shared" si="792"/>
        <v>0</v>
      </c>
      <c r="AT966">
        <f t="shared" si="793"/>
        <v>0</v>
      </c>
      <c r="AU966">
        <f t="shared" si="794"/>
        <v>0</v>
      </c>
      <c r="AV966">
        <f t="shared" si="795"/>
        <v>0</v>
      </c>
      <c r="AW966">
        <f t="shared" si="796"/>
        <v>0</v>
      </c>
      <c r="AX966">
        <f t="shared" si="797"/>
        <v>0</v>
      </c>
      <c r="AY966">
        <f t="shared" si="798"/>
        <v>0</v>
      </c>
    </row>
    <row r="967" spans="1:51" ht="15" customHeight="1">
      <c r="A967" s="110"/>
      <c r="B967" s="57"/>
      <c r="C967" s="1109"/>
      <c r="D967" s="954"/>
      <c r="E967" s="956"/>
      <c r="F967" s="1110" t="s">
        <v>4878</v>
      </c>
      <c r="G967" s="1110"/>
      <c r="H967" s="178"/>
      <c r="I967" s="1111" t="s">
        <v>4879</v>
      </c>
      <c r="J967" s="1111"/>
      <c r="K967" s="1111"/>
      <c r="L967" s="1111"/>
      <c r="M967" s="1111"/>
      <c r="N967" s="1111"/>
      <c r="O967" s="1112"/>
      <c r="P967" s="100"/>
      <c r="Q967" s="100"/>
      <c r="R967" s="100"/>
      <c r="S967" s="100"/>
      <c r="T967" s="100"/>
      <c r="U967" s="100"/>
      <c r="V967" s="100"/>
      <c r="W967" s="100"/>
      <c r="X967" s="100"/>
      <c r="Y967" s="100"/>
      <c r="Z967" s="100"/>
      <c r="AA967" s="100"/>
      <c r="AB967" s="100"/>
      <c r="AC967" s="100"/>
      <c r="AD967" s="100"/>
      <c r="AF967"/>
      <c r="AG967">
        <f t="shared" si="799"/>
        <v>0</v>
      </c>
      <c r="AH967">
        <f t="shared" si="783"/>
        <v>0</v>
      </c>
      <c r="AK967">
        <f t="shared" si="784"/>
        <v>0</v>
      </c>
      <c r="AL967">
        <f t="shared" si="785"/>
        <v>0</v>
      </c>
      <c r="AM967">
        <f t="shared" si="786"/>
        <v>0</v>
      </c>
      <c r="AN967">
        <f t="shared" si="787"/>
        <v>0</v>
      </c>
      <c r="AO967">
        <f t="shared" si="788"/>
        <v>0</v>
      </c>
      <c r="AP967">
        <f t="shared" si="789"/>
        <v>0</v>
      </c>
      <c r="AQ967">
        <f t="shared" si="790"/>
        <v>0</v>
      </c>
      <c r="AR967">
        <f t="shared" si="791"/>
        <v>0</v>
      </c>
      <c r="AS967">
        <f t="shared" si="792"/>
        <v>0</v>
      </c>
      <c r="AT967">
        <f t="shared" si="793"/>
        <v>0</v>
      </c>
      <c r="AU967">
        <f t="shared" si="794"/>
        <v>0</v>
      </c>
      <c r="AV967">
        <f t="shared" si="795"/>
        <v>0</v>
      </c>
      <c r="AW967">
        <f t="shared" si="796"/>
        <v>0</v>
      </c>
      <c r="AX967">
        <f t="shared" si="797"/>
        <v>0</v>
      </c>
      <c r="AY967">
        <f t="shared" si="798"/>
        <v>0</v>
      </c>
    </row>
    <row r="968" spans="1:51" ht="15" customHeight="1">
      <c r="A968" s="110"/>
      <c r="B968" s="57"/>
      <c r="C968" s="1109"/>
      <c r="D968" s="954"/>
      <c r="E968" s="956"/>
      <c r="F968" s="1110" t="s">
        <v>4880</v>
      </c>
      <c r="G968" s="1110"/>
      <c r="H968" s="178"/>
      <c r="I968" s="1111" t="s">
        <v>4881</v>
      </c>
      <c r="J968" s="1111"/>
      <c r="K968" s="1111"/>
      <c r="L968" s="1111"/>
      <c r="M968" s="1111"/>
      <c r="N968" s="1111"/>
      <c r="O968" s="1112"/>
      <c r="P968" s="100"/>
      <c r="Q968" s="100"/>
      <c r="R968" s="100"/>
      <c r="S968" s="100"/>
      <c r="T968" s="100"/>
      <c r="U968" s="100"/>
      <c r="V968" s="100"/>
      <c r="W968" s="100"/>
      <c r="X968" s="100"/>
      <c r="Y968" s="100"/>
      <c r="Z968" s="100"/>
      <c r="AA968" s="100"/>
      <c r="AB968" s="100"/>
      <c r="AC968" s="100"/>
      <c r="AD968" s="100"/>
      <c r="AF968"/>
      <c r="AG968">
        <f t="shared" si="799"/>
        <v>0</v>
      </c>
      <c r="AH968">
        <f t="shared" si="783"/>
        <v>0</v>
      </c>
      <c r="AK968">
        <f t="shared" si="784"/>
        <v>0</v>
      </c>
      <c r="AL968">
        <f t="shared" si="785"/>
        <v>0</v>
      </c>
      <c r="AM968">
        <f t="shared" si="786"/>
        <v>0</v>
      </c>
      <c r="AN968">
        <f t="shared" si="787"/>
        <v>0</v>
      </c>
      <c r="AO968">
        <f t="shared" si="788"/>
        <v>0</v>
      </c>
      <c r="AP968">
        <f t="shared" si="789"/>
        <v>0</v>
      </c>
      <c r="AQ968">
        <f t="shared" si="790"/>
        <v>0</v>
      </c>
      <c r="AR968">
        <f t="shared" si="791"/>
        <v>0</v>
      </c>
      <c r="AS968">
        <f t="shared" si="792"/>
        <v>0</v>
      </c>
      <c r="AT968">
        <f t="shared" si="793"/>
        <v>0</v>
      </c>
      <c r="AU968">
        <f t="shared" si="794"/>
        <v>0</v>
      </c>
      <c r="AV968">
        <f t="shared" si="795"/>
        <v>0</v>
      </c>
      <c r="AW968">
        <f t="shared" si="796"/>
        <v>0</v>
      </c>
      <c r="AX968">
        <f t="shared" si="797"/>
        <v>0</v>
      </c>
      <c r="AY968">
        <f t="shared" si="798"/>
        <v>0</v>
      </c>
    </row>
    <row r="969" spans="1:51" ht="15" customHeight="1">
      <c r="A969" s="110"/>
      <c r="B969" s="57"/>
      <c r="C969" s="1109"/>
      <c r="D969" s="954"/>
      <c r="E969" s="956"/>
      <c r="F969" s="1110" t="s">
        <v>4882</v>
      </c>
      <c r="G969" s="1110"/>
      <c r="H969" s="178"/>
      <c r="I969" s="1111" t="s">
        <v>4883</v>
      </c>
      <c r="J969" s="1111"/>
      <c r="K969" s="1111"/>
      <c r="L969" s="1111"/>
      <c r="M969" s="1111"/>
      <c r="N969" s="1111"/>
      <c r="O969" s="1112"/>
      <c r="P969" s="100"/>
      <c r="Q969" s="100"/>
      <c r="R969" s="100"/>
      <c r="S969" s="100"/>
      <c r="T969" s="100"/>
      <c r="U969" s="100"/>
      <c r="V969" s="100"/>
      <c r="W969" s="100"/>
      <c r="X969" s="100"/>
      <c r="Y969" s="100"/>
      <c r="Z969" s="100"/>
      <c r="AA969" s="100"/>
      <c r="AB969" s="100"/>
      <c r="AC969" s="100"/>
      <c r="AD969" s="100"/>
      <c r="AF969"/>
      <c r="AG969">
        <f t="shared" si="799"/>
        <v>0</v>
      </c>
      <c r="AH969">
        <f t="shared" si="783"/>
        <v>0</v>
      </c>
      <c r="AK969">
        <f t="shared" si="784"/>
        <v>0</v>
      </c>
      <c r="AL969">
        <f t="shared" si="785"/>
        <v>0</v>
      </c>
      <c r="AM969">
        <f t="shared" si="786"/>
        <v>0</v>
      </c>
      <c r="AN969">
        <f t="shared" si="787"/>
        <v>0</v>
      </c>
      <c r="AO969">
        <f t="shared" si="788"/>
        <v>0</v>
      </c>
      <c r="AP969">
        <f t="shared" si="789"/>
        <v>0</v>
      </c>
      <c r="AQ969">
        <f t="shared" si="790"/>
        <v>0</v>
      </c>
      <c r="AR969">
        <f t="shared" si="791"/>
        <v>0</v>
      </c>
      <c r="AS969">
        <f t="shared" si="792"/>
        <v>0</v>
      </c>
      <c r="AT969">
        <f t="shared" si="793"/>
        <v>0</v>
      </c>
      <c r="AU969">
        <f t="shared" si="794"/>
        <v>0</v>
      </c>
      <c r="AV969">
        <f t="shared" si="795"/>
        <v>0</v>
      </c>
      <c r="AW969">
        <f t="shared" si="796"/>
        <v>0</v>
      </c>
      <c r="AX969">
        <f t="shared" si="797"/>
        <v>0</v>
      </c>
      <c r="AY969">
        <f t="shared" si="798"/>
        <v>0</v>
      </c>
    </row>
    <row r="970" spans="1:51" ht="15" customHeight="1">
      <c r="A970" s="110"/>
      <c r="B970" s="57"/>
      <c r="C970" s="1109"/>
      <c r="D970" s="954"/>
      <c r="E970" s="956"/>
      <c r="F970" s="1110" t="s">
        <v>4884</v>
      </c>
      <c r="G970" s="1110"/>
      <c r="H970" s="178"/>
      <c r="I970" s="1111" t="s">
        <v>4885</v>
      </c>
      <c r="J970" s="1111"/>
      <c r="K970" s="1111"/>
      <c r="L970" s="1111"/>
      <c r="M970" s="1111"/>
      <c r="N970" s="1111"/>
      <c r="O970" s="1112"/>
      <c r="P970" s="100"/>
      <c r="Q970" s="100"/>
      <c r="R970" s="100"/>
      <c r="S970" s="100"/>
      <c r="T970" s="100"/>
      <c r="U970" s="100"/>
      <c r="V970" s="100"/>
      <c r="W970" s="100"/>
      <c r="X970" s="100"/>
      <c r="Y970" s="100"/>
      <c r="Z970" s="100"/>
      <c r="AA970" s="100"/>
      <c r="AB970" s="100"/>
      <c r="AC970" s="100"/>
      <c r="AD970" s="100"/>
      <c r="AF970"/>
      <c r="AG970">
        <f t="shared" si="799"/>
        <v>0</v>
      </c>
      <c r="AH970">
        <f t="shared" si="783"/>
        <v>0</v>
      </c>
      <c r="AK970">
        <f t="shared" si="784"/>
        <v>0</v>
      </c>
      <c r="AL970">
        <f t="shared" si="785"/>
        <v>0</v>
      </c>
      <c r="AM970">
        <f t="shared" si="786"/>
        <v>0</v>
      </c>
      <c r="AN970">
        <f t="shared" si="787"/>
        <v>0</v>
      </c>
      <c r="AO970">
        <f t="shared" si="788"/>
        <v>0</v>
      </c>
      <c r="AP970">
        <f t="shared" si="789"/>
        <v>0</v>
      </c>
      <c r="AQ970">
        <f t="shared" si="790"/>
        <v>0</v>
      </c>
      <c r="AR970">
        <f t="shared" si="791"/>
        <v>0</v>
      </c>
      <c r="AS970">
        <f t="shared" si="792"/>
        <v>0</v>
      </c>
      <c r="AT970">
        <f t="shared" si="793"/>
        <v>0</v>
      </c>
      <c r="AU970">
        <f t="shared" si="794"/>
        <v>0</v>
      </c>
      <c r="AV970">
        <f t="shared" si="795"/>
        <v>0</v>
      </c>
      <c r="AW970">
        <f t="shared" si="796"/>
        <v>0</v>
      </c>
      <c r="AX970">
        <f t="shared" si="797"/>
        <v>0</v>
      </c>
      <c r="AY970">
        <f t="shared" si="798"/>
        <v>0</v>
      </c>
    </row>
    <row r="971" spans="1:51" ht="15" customHeight="1">
      <c r="A971" s="110"/>
      <c r="B971" s="57"/>
      <c r="C971" s="1109"/>
      <c r="D971" s="954"/>
      <c r="E971" s="956"/>
      <c r="F971" s="1110" t="s">
        <v>4886</v>
      </c>
      <c r="G971" s="1110"/>
      <c r="H971" s="178"/>
      <c r="I971" s="1111" t="s">
        <v>4887</v>
      </c>
      <c r="J971" s="1111"/>
      <c r="K971" s="1111"/>
      <c r="L971" s="1111"/>
      <c r="M971" s="1111"/>
      <c r="N971" s="1111"/>
      <c r="O971" s="1112"/>
      <c r="P971" s="100"/>
      <c r="Q971" s="100"/>
      <c r="R971" s="100"/>
      <c r="S971" s="100"/>
      <c r="T971" s="100"/>
      <c r="U971" s="100"/>
      <c r="V971" s="100"/>
      <c r="W971" s="100"/>
      <c r="X971" s="100"/>
      <c r="Y971" s="100"/>
      <c r="Z971" s="100"/>
      <c r="AA971" s="100"/>
      <c r="AB971" s="100"/>
      <c r="AC971" s="100"/>
      <c r="AD971" s="100"/>
      <c r="AF971"/>
      <c r="AG971">
        <f t="shared" si="799"/>
        <v>0</v>
      </c>
      <c r="AH971">
        <f t="shared" si="783"/>
        <v>0</v>
      </c>
      <c r="AK971">
        <f t="shared" si="784"/>
        <v>0</v>
      </c>
      <c r="AL971">
        <f t="shared" si="785"/>
        <v>0</v>
      </c>
      <c r="AM971">
        <f t="shared" si="786"/>
        <v>0</v>
      </c>
      <c r="AN971">
        <f t="shared" si="787"/>
        <v>0</v>
      </c>
      <c r="AO971">
        <f t="shared" si="788"/>
        <v>0</v>
      </c>
      <c r="AP971">
        <f t="shared" si="789"/>
        <v>0</v>
      </c>
      <c r="AQ971">
        <f t="shared" si="790"/>
        <v>0</v>
      </c>
      <c r="AR971">
        <f t="shared" si="791"/>
        <v>0</v>
      </c>
      <c r="AS971">
        <f t="shared" si="792"/>
        <v>0</v>
      </c>
      <c r="AT971">
        <f t="shared" si="793"/>
        <v>0</v>
      </c>
      <c r="AU971">
        <f t="shared" si="794"/>
        <v>0</v>
      </c>
      <c r="AV971">
        <f t="shared" si="795"/>
        <v>0</v>
      </c>
      <c r="AW971">
        <f t="shared" si="796"/>
        <v>0</v>
      </c>
      <c r="AX971">
        <f t="shared" si="797"/>
        <v>0</v>
      </c>
      <c r="AY971">
        <f t="shared" si="798"/>
        <v>0</v>
      </c>
    </row>
    <row r="972" spans="1:51" ht="15" customHeight="1">
      <c r="A972" s="110"/>
      <c r="B972" s="57"/>
      <c r="C972" s="1109"/>
      <c r="D972" s="954"/>
      <c r="E972" s="956"/>
      <c r="F972" s="1110" t="s">
        <v>4888</v>
      </c>
      <c r="G972" s="1110"/>
      <c r="H972" s="178"/>
      <c r="I972" s="1111" t="s">
        <v>4889</v>
      </c>
      <c r="J972" s="1111"/>
      <c r="K972" s="1111"/>
      <c r="L972" s="1111"/>
      <c r="M972" s="1111"/>
      <c r="N972" s="1111"/>
      <c r="O972" s="1112"/>
      <c r="P972" s="100"/>
      <c r="Q972" s="100"/>
      <c r="R972" s="100"/>
      <c r="S972" s="100"/>
      <c r="T972" s="100"/>
      <c r="U972" s="100"/>
      <c r="V972" s="100"/>
      <c r="W972" s="100"/>
      <c r="X972" s="100"/>
      <c r="Y972" s="100"/>
      <c r="Z972" s="100"/>
      <c r="AA972" s="100"/>
      <c r="AB972" s="100"/>
      <c r="AC972" s="100"/>
      <c r="AD972" s="100"/>
      <c r="AF972"/>
      <c r="AG972">
        <f t="shared" si="799"/>
        <v>0</v>
      </c>
      <c r="AH972">
        <f t="shared" si="783"/>
        <v>0</v>
      </c>
      <c r="AK972">
        <f t="shared" si="784"/>
        <v>0</v>
      </c>
      <c r="AL972">
        <f t="shared" si="785"/>
        <v>0</v>
      </c>
      <c r="AM972">
        <f t="shared" si="786"/>
        <v>0</v>
      </c>
      <c r="AN972">
        <f t="shared" si="787"/>
        <v>0</v>
      </c>
      <c r="AO972">
        <f t="shared" si="788"/>
        <v>0</v>
      </c>
      <c r="AP972">
        <f t="shared" si="789"/>
        <v>0</v>
      </c>
      <c r="AQ972">
        <f t="shared" si="790"/>
        <v>0</v>
      </c>
      <c r="AR972">
        <f t="shared" si="791"/>
        <v>0</v>
      </c>
      <c r="AS972">
        <f t="shared" si="792"/>
        <v>0</v>
      </c>
      <c r="AT972">
        <f t="shared" si="793"/>
        <v>0</v>
      </c>
      <c r="AU972">
        <f t="shared" si="794"/>
        <v>0</v>
      </c>
      <c r="AV972">
        <f t="shared" si="795"/>
        <v>0</v>
      </c>
      <c r="AW972">
        <f t="shared" si="796"/>
        <v>0</v>
      </c>
      <c r="AX972">
        <f t="shared" si="797"/>
        <v>0</v>
      </c>
      <c r="AY972">
        <f t="shared" si="798"/>
        <v>0</v>
      </c>
    </row>
    <row r="973" spans="1:51" ht="15" customHeight="1">
      <c r="A973" s="110"/>
      <c r="B973" s="57"/>
      <c r="C973" s="1109"/>
      <c r="D973" s="954"/>
      <c r="E973" s="956"/>
      <c r="F973" s="1110" t="s">
        <v>4890</v>
      </c>
      <c r="G973" s="1110"/>
      <c r="H973" s="178"/>
      <c r="I973" s="1111" t="s">
        <v>201</v>
      </c>
      <c r="J973" s="1111"/>
      <c r="K973" s="1111"/>
      <c r="L973" s="1111"/>
      <c r="M973" s="1111"/>
      <c r="N973" s="1111"/>
      <c r="O973" s="1112"/>
      <c r="P973" s="100"/>
      <c r="Q973" s="100"/>
      <c r="R973" s="100"/>
      <c r="S973" s="100"/>
      <c r="T973" s="100"/>
      <c r="U973" s="100"/>
      <c r="V973" s="100"/>
      <c r="W973" s="100"/>
      <c r="X973" s="100"/>
      <c r="Y973" s="100"/>
      <c r="Z973" s="100"/>
      <c r="AA973" s="100"/>
      <c r="AB973" s="100"/>
      <c r="AC973" s="100"/>
      <c r="AD973" s="100"/>
      <c r="AF973"/>
      <c r="AG973">
        <f t="shared" si="799"/>
        <v>0</v>
      </c>
      <c r="AH973">
        <f t="shared" si="783"/>
        <v>0</v>
      </c>
      <c r="AK973">
        <f t="shared" si="784"/>
        <v>0</v>
      </c>
      <c r="AL973">
        <f t="shared" si="785"/>
        <v>0</v>
      </c>
      <c r="AM973">
        <f t="shared" si="786"/>
        <v>0</v>
      </c>
      <c r="AN973">
        <f t="shared" si="787"/>
        <v>0</v>
      </c>
      <c r="AO973">
        <f t="shared" si="788"/>
        <v>0</v>
      </c>
      <c r="AP973">
        <f t="shared" si="789"/>
        <v>0</v>
      </c>
      <c r="AQ973">
        <f t="shared" si="790"/>
        <v>0</v>
      </c>
      <c r="AR973">
        <f t="shared" si="791"/>
        <v>0</v>
      </c>
      <c r="AS973">
        <f t="shared" si="792"/>
        <v>0</v>
      </c>
      <c r="AT973">
        <f t="shared" si="793"/>
        <v>0</v>
      </c>
      <c r="AU973">
        <f t="shared" si="794"/>
        <v>0</v>
      </c>
      <c r="AV973">
        <f t="shared" si="795"/>
        <v>0</v>
      </c>
      <c r="AW973">
        <f t="shared" si="796"/>
        <v>0</v>
      </c>
      <c r="AX973">
        <f t="shared" si="797"/>
        <v>0</v>
      </c>
      <c r="AY973">
        <f t="shared" si="798"/>
        <v>0</v>
      </c>
    </row>
    <row r="974" spans="1:51" ht="24" customHeight="1">
      <c r="A974" s="110"/>
      <c r="B974" s="57"/>
      <c r="C974" s="1109"/>
      <c r="D974" s="954"/>
      <c r="E974" s="956"/>
      <c r="F974" s="1103" t="s">
        <v>4891</v>
      </c>
      <c r="G974" s="1103"/>
      <c r="H974" s="1104" t="s">
        <v>4892</v>
      </c>
      <c r="I974" s="1105"/>
      <c r="J974" s="1105"/>
      <c r="K974" s="1105"/>
      <c r="L974" s="1105"/>
      <c r="M974" s="1105"/>
      <c r="N974" s="1105"/>
      <c r="O974" s="1106"/>
      <c r="P974" s="100"/>
      <c r="Q974" s="100"/>
      <c r="R974" s="100"/>
      <c r="S974" s="100"/>
      <c r="T974" s="100"/>
      <c r="U974" s="100"/>
      <c r="V974" s="100"/>
      <c r="W974" s="100"/>
      <c r="X974" s="100"/>
      <c r="Y974" s="100"/>
      <c r="Z974" s="100"/>
      <c r="AA974" s="100"/>
      <c r="AB974" s="100"/>
      <c r="AC974" s="100"/>
      <c r="AD974" s="100"/>
      <c r="AF974">
        <f>IF(P974="NA",IF(AND(COUNTIF(P975:P979,"="&amp;$AF$934)=0,COUNTIF(P975:P979,"&lt;&gt;NA")&gt;0),1,0),IF(AND(COUNTIF(P975:P979,"="&amp;$AF$934)=0,COUNTIF(P975:P979,"NA")=COUNTIF(P975:P979,"&lt;&gt;"&amp;$AF$934)),1,0))</f>
        <v>0</v>
      </c>
      <c r="AG974">
        <f t="shared" si="799"/>
        <v>0</v>
      </c>
      <c r="AH974">
        <f t="shared" si="783"/>
        <v>0</v>
      </c>
      <c r="AK974">
        <f t="shared" si="784"/>
        <v>0</v>
      </c>
      <c r="AL974">
        <f t="shared" si="785"/>
        <v>0</v>
      </c>
      <c r="AM974">
        <f t="shared" si="786"/>
        <v>0</v>
      </c>
      <c r="AN974">
        <f t="shared" si="787"/>
        <v>0</v>
      </c>
      <c r="AO974">
        <f t="shared" si="788"/>
        <v>0</v>
      </c>
      <c r="AP974">
        <f t="shared" si="789"/>
        <v>0</v>
      </c>
      <c r="AQ974">
        <f t="shared" si="790"/>
        <v>0</v>
      </c>
      <c r="AR974">
        <f t="shared" si="791"/>
        <v>0</v>
      </c>
      <c r="AS974">
        <f t="shared" si="792"/>
        <v>0</v>
      </c>
      <c r="AT974">
        <f t="shared" si="793"/>
        <v>0</v>
      </c>
      <c r="AU974">
        <f t="shared" si="794"/>
        <v>0</v>
      </c>
      <c r="AV974">
        <f t="shared" si="795"/>
        <v>0</v>
      </c>
      <c r="AW974">
        <f t="shared" si="796"/>
        <v>0</v>
      </c>
      <c r="AX974">
        <f t="shared" si="797"/>
        <v>0</v>
      </c>
      <c r="AY974">
        <f t="shared" si="798"/>
        <v>0</v>
      </c>
    </row>
    <row r="975" spans="1:51" ht="24" customHeight="1">
      <c r="A975" s="110"/>
      <c r="B975" s="57"/>
      <c r="C975" s="1109"/>
      <c r="D975" s="954"/>
      <c r="E975" s="956"/>
      <c r="F975" s="1110" t="s">
        <v>4893</v>
      </c>
      <c r="G975" s="1110"/>
      <c r="H975" s="178"/>
      <c r="I975" s="1111" t="s">
        <v>4894</v>
      </c>
      <c r="J975" s="1111"/>
      <c r="K975" s="1111"/>
      <c r="L975" s="1111"/>
      <c r="M975" s="1111"/>
      <c r="N975" s="1111"/>
      <c r="O975" s="1112"/>
      <c r="P975" s="100"/>
      <c r="Q975" s="100"/>
      <c r="R975" s="100"/>
      <c r="S975" s="100"/>
      <c r="T975" s="100"/>
      <c r="U975" s="100"/>
      <c r="V975" s="100"/>
      <c r="W975" s="100"/>
      <c r="X975" s="100"/>
      <c r="Y975" s="100"/>
      <c r="Z975" s="100"/>
      <c r="AA975" s="100"/>
      <c r="AB975" s="100"/>
      <c r="AC975" s="100"/>
      <c r="AD975" s="100"/>
      <c r="AF975"/>
      <c r="AG975">
        <f t="shared" si="799"/>
        <v>0</v>
      </c>
      <c r="AH975">
        <f t="shared" si="783"/>
        <v>0</v>
      </c>
      <c r="AK975">
        <f t="shared" si="784"/>
        <v>0</v>
      </c>
      <c r="AL975">
        <f t="shared" si="785"/>
        <v>0</v>
      </c>
      <c r="AM975">
        <f t="shared" si="786"/>
        <v>0</v>
      </c>
      <c r="AN975">
        <f t="shared" si="787"/>
        <v>0</v>
      </c>
      <c r="AO975">
        <f t="shared" si="788"/>
        <v>0</v>
      </c>
      <c r="AP975">
        <f t="shared" si="789"/>
        <v>0</v>
      </c>
      <c r="AQ975">
        <f t="shared" si="790"/>
        <v>0</v>
      </c>
      <c r="AR975">
        <f t="shared" si="791"/>
        <v>0</v>
      </c>
      <c r="AS975">
        <f t="shared" si="792"/>
        <v>0</v>
      </c>
      <c r="AT975">
        <f t="shared" si="793"/>
        <v>0</v>
      </c>
      <c r="AU975">
        <f t="shared" si="794"/>
        <v>0</v>
      </c>
      <c r="AV975">
        <f t="shared" si="795"/>
        <v>0</v>
      </c>
      <c r="AW975">
        <f t="shared" si="796"/>
        <v>0</v>
      </c>
      <c r="AX975">
        <f t="shared" si="797"/>
        <v>0</v>
      </c>
      <c r="AY975">
        <f t="shared" si="798"/>
        <v>0</v>
      </c>
    </row>
    <row r="976" spans="1:51" ht="24" customHeight="1">
      <c r="A976" s="110"/>
      <c r="B976" s="57"/>
      <c r="C976" s="1109"/>
      <c r="D976" s="954"/>
      <c r="E976" s="956"/>
      <c r="F976" s="1110" t="s">
        <v>4895</v>
      </c>
      <c r="G976" s="1110"/>
      <c r="H976" s="178"/>
      <c r="I976" s="1111" t="s">
        <v>4896</v>
      </c>
      <c r="J976" s="1111"/>
      <c r="K976" s="1111"/>
      <c r="L976" s="1111"/>
      <c r="M976" s="1111"/>
      <c r="N976" s="1111"/>
      <c r="O976" s="1112"/>
      <c r="P976" s="100"/>
      <c r="Q976" s="100"/>
      <c r="R976" s="100"/>
      <c r="S976" s="100"/>
      <c r="T976" s="100"/>
      <c r="U976" s="100"/>
      <c r="V976" s="100"/>
      <c r="W976" s="100"/>
      <c r="X976" s="100"/>
      <c r="Y976" s="100"/>
      <c r="Z976" s="100"/>
      <c r="AA976" s="100"/>
      <c r="AB976" s="100"/>
      <c r="AC976" s="100"/>
      <c r="AD976" s="100"/>
      <c r="AF976"/>
      <c r="AG976">
        <f t="shared" si="799"/>
        <v>0</v>
      </c>
      <c r="AH976">
        <f t="shared" si="783"/>
        <v>0</v>
      </c>
      <c r="AK976">
        <f t="shared" si="784"/>
        <v>0</v>
      </c>
      <c r="AL976">
        <f t="shared" si="785"/>
        <v>0</v>
      </c>
      <c r="AM976">
        <f t="shared" si="786"/>
        <v>0</v>
      </c>
      <c r="AN976">
        <f t="shared" si="787"/>
        <v>0</v>
      </c>
      <c r="AO976">
        <f t="shared" si="788"/>
        <v>0</v>
      </c>
      <c r="AP976">
        <f t="shared" si="789"/>
        <v>0</v>
      </c>
      <c r="AQ976">
        <f t="shared" si="790"/>
        <v>0</v>
      </c>
      <c r="AR976">
        <f t="shared" si="791"/>
        <v>0</v>
      </c>
      <c r="AS976">
        <f t="shared" si="792"/>
        <v>0</v>
      </c>
      <c r="AT976">
        <f t="shared" si="793"/>
        <v>0</v>
      </c>
      <c r="AU976">
        <f t="shared" si="794"/>
        <v>0</v>
      </c>
      <c r="AV976">
        <f t="shared" si="795"/>
        <v>0</v>
      </c>
      <c r="AW976">
        <f t="shared" si="796"/>
        <v>0</v>
      </c>
      <c r="AX976">
        <f t="shared" si="797"/>
        <v>0</v>
      </c>
      <c r="AY976">
        <f t="shared" si="798"/>
        <v>0</v>
      </c>
    </row>
    <row r="977" spans="1:51" ht="24" customHeight="1">
      <c r="A977" s="110"/>
      <c r="B977" s="57"/>
      <c r="C977" s="1109"/>
      <c r="D977" s="954"/>
      <c r="E977" s="956"/>
      <c r="F977" s="1110" t="s">
        <v>4897</v>
      </c>
      <c r="G977" s="1110"/>
      <c r="H977" s="178"/>
      <c r="I977" s="1111" t="s">
        <v>4898</v>
      </c>
      <c r="J977" s="1111"/>
      <c r="K977" s="1111"/>
      <c r="L977" s="1111"/>
      <c r="M977" s="1111"/>
      <c r="N977" s="1111"/>
      <c r="O977" s="1112"/>
      <c r="P977" s="100"/>
      <c r="Q977" s="100"/>
      <c r="R977" s="100"/>
      <c r="S977" s="100"/>
      <c r="T977" s="100"/>
      <c r="U977" s="100"/>
      <c r="V977" s="100"/>
      <c r="W977" s="100"/>
      <c r="X977" s="100"/>
      <c r="Y977" s="100"/>
      <c r="Z977" s="100"/>
      <c r="AA977" s="100"/>
      <c r="AB977" s="100"/>
      <c r="AC977" s="100"/>
      <c r="AD977" s="100"/>
      <c r="AF977"/>
      <c r="AG977">
        <f t="shared" si="799"/>
        <v>0</v>
      </c>
      <c r="AH977">
        <f t="shared" si="783"/>
        <v>0</v>
      </c>
      <c r="AK977">
        <f t="shared" si="784"/>
        <v>0</v>
      </c>
      <c r="AL977">
        <f t="shared" si="785"/>
        <v>0</v>
      </c>
      <c r="AM977">
        <f t="shared" si="786"/>
        <v>0</v>
      </c>
      <c r="AN977">
        <f t="shared" si="787"/>
        <v>0</v>
      </c>
      <c r="AO977">
        <f t="shared" si="788"/>
        <v>0</v>
      </c>
      <c r="AP977">
        <f t="shared" si="789"/>
        <v>0</v>
      </c>
      <c r="AQ977">
        <f t="shared" si="790"/>
        <v>0</v>
      </c>
      <c r="AR977">
        <f t="shared" si="791"/>
        <v>0</v>
      </c>
      <c r="AS977">
        <f t="shared" si="792"/>
        <v>0</v>
      </c>
      <c r="AT977">
        <f t="shared" si="793"/>
        <v>0</v>
      </c>
      <c r="AU977">
        <f t="shared" si="794"/>
        <v>0</v>
      </c>
      <c r="AV977">
        <f t="shared" si="795"/>
        <v>0</v>
      </c>
      <c r="AW977">
        <f t="shared" si="796"/>
        <v>0</v>
      </c>
      <c r="AX977">
        <f t="shared" si="797"/>
        <v>0</v>
      </c>
      <c r="AY977">
        <f t="shared" si="798"/>
        <v>0</v>
      </c>
    </row>
    <row r="978" spans="1:51" ht="24" customHeight="1">
      <c r="A978" s="110"/>
      <c r="B978" s="57"/>
      <c r="C978" s="1109"/>
      <c r="D978" s="954"/>
      <c r="E978" s="956"/>
      <c r="F978" s="1110" t="s">
        <v>4899</v>
      </c>
      <c r="G978" s="1110"/>
      <c r="H978" s="178"/>
      <c r="I978" s="1111" t="s">
        <v>4900</v>
      </c>
      <c r="J978" s="1111"/>
      <c r="K978" s="1111"/>
      <c r="L978" s="1111"/>
      <c r="M978" s="1111"/>
      <c r="N978" s="1111"/>
      <c r="O978" s="1112"/>
      <c r="P978" s="100"/>
      <c r="Q978" s="100"/>
      <c r="R978" s="100"/>
      <c r="S978" s="100"/>
      <c r="T978" s="100"/>
      <c r="U978" s="100"/>
      <c r="V978" s="100"/>
      <c r="W978" s="100"/>
      <c r="X978" s="100"/>
      <c r="Y978" s="100"/>
      <c r="Z978" s="100"/>
      <c r="AA978" s="100"/>
      <c r="AB978" s="100"/>
      <c r="AC978" s="100"/>
      <c r="AD978" s="100"/>
      <c r="AF978"/>
      <c r="AG978">
        <f t="shared" si="799"/>
        <v>0</v>
      </c>
      <c r="AH978">
        <f t="shared" si="783"/>
        <v>0</v>
      </c>
      <c r="AK978">
        <f t="shared" si="784"/>
        <v>0</v>
      </c>
      <c r="AL978">
        <f t="shared" si="785"/>
        <v>0</v>
      </c>
      <c r="AM978">
        <f t="shared" si="786"/>
        <v>0</v>
      </c>
      <c r="AN978">
        <f t="shared" si="787"/>
        <v>0</v>
      </c>
      <c r="AO978">
        <f t="shared" si="788"/>
        <v>0</v>
      </c>
      <c r="AP978">
        <f t="shared" si="789"/>
        <v>0</v>
      </c>
      <c r="AQ978">
        <f t="shared" si="790"/>
        <v>0</v>
      </c>
      <c r="AR978">
        <f t="shared" si="791"/>
        <v>0</v>
      </c>
      <c r="AS978">
        <f t="shared" si="792"/>
        <v>0</v>
      </c>
      <c r="AT978">
        <f t="shared" si="793"/>
        <v>0</v>
      </c>
      <c r="AU978">
        <f t="shared" si="794"/>
        <v>0</v>
      </c>
      <c r="AV978">
        <f t="shared" si="795"/>
        <v>0</v>
      </c>
      <c r="AW978">
        <f t="shared" si="796"/>
        <v>0</v>
      </c>
      <c r="AX978">
        <f t="shared" si="797"/>
        <v>0</v>
      </c>
      <c r="AY978">
        <f t="shared" si="798"/>
        <v>0</v>
      </c>
    </row>
    <row r="979" spans="1:51" ht="15" customHeight="1">
      <c r="A979" s="110"/>
      <c r="B979" s="57"/>
      <c r="C979" s="1109"/>
      <c r="D979" s="954"/>
      <c r="E979" s="956"/>
      <c r="F979" s="1110" t="s">
        <v>4901</v>
      </c>
      <c r="G979" s="1110"/>
      <c r="H979" s="178"/>
      <c r="I979" s="1111" t="s">
        <v>201</v>
      </c>
      <c r="J979" s="1111"/>
      <c r="K979" s="1111"/>
      <c r="L979" s="1111"/>
      <c r="M979" s="1111"/>
      <c r="N979" s="1111"/>
      <c r="O979" s="1112"/>
      <c r="P979" s="100"/>
      <c r="Q979" s="100"/>
      <c r="R979" s="100"/>
      <c r="S979" s="100"/>
      <c r="T979" s="100"/>
      <c r="U979" s="100"/>
      <c r="V979" s="100"/>
      <c r="W979" s="100"/>
      <c r="X979" s="100"/>
      <c r="Y979" s="100"/>
      <c r="Z979" s="100"/>
      <c r="AA979" s="100"/>
      <c r="AB979" s="100"/>
      <c r="AC979" s="100"/>
      <c r="AD979" s="100"/>
      <c r="AF979"/>
      <c r="AG979">
        <f t="shared" si="799"/>
        <v>0</v>
      </c>
      <c r="AH979">
        <f t="shared" si="783"/>
        <v>0</v>
      </c>
      <c r="AK979">
        <f t="shared" si="784"/>
        <v>0</v>
      </c>
      <c r="AL979">
        <f t="shared" si="785"/>
        <v>0</v>
      </c>
      <c r="AM979">
        <f t="shared" si="786"/>
        <v>0</v>
      </c>
      <c r="AN979">
        <f t="shared" si="787"/>
        <v>0</v>
      </c>
      <c r="AO979">
        <f t="shared" si="788"/>
        <v>0</v>
      </c>
      <c r="AP979">
        <f t="shared" si="789"/>
        <v>0</v>
      </c>
      <c r="AQ979">
        <f t="shared" si="790"/>
        <v>0</v>
      </c>
      <c r="AR979">
        <f t="shared" si="791"/>
        <v>0</v>
      </c>
      <c r="AS979">
        <f t="shared" si="792"/>
        <v>0</v>
      </c>
      <c r="AT979">
        <f t="shared" si="793"/>
        <v>0</v>
      </c>
      <c r="AU979">
        <f t="shared" si="794"/>
        <v>0</v>
      </c>
      <c r="AV979">
        <f t="shared" si="795"/>
        <v>0</v>
      </c>
      <c r="AW979">
        <f t="shared" si="796"/>
        <v>0</v>
      </c>
      <c r="AX979">
        <f t="shared" si="797"/>
        <v>0</v>
      </c>
      <c r="AY979">
        <f t="shared" si="798"/>
        <v>0</v>
      </c>
    </row>
    <row r="980" spans="1:51" ht="15" customHeight="1">
      <c r="A980" s="110"/>
      <c r="B980" s="57"/>
      <c r="C980" s="1109"/>
      <c r="D980" s="954"/>
      <c r="E980" s="956"/>
      <c r="F980" s="1103" t="s">
        <v>4902</v>
      </c>
      <c r="G980" s="1103"/>
      <c r="H980" s="1104" t="s">
        <v>4903</v>
      </c>
      <c r="I980" s="1105"/>
      <c r="J980" s="1105"/>
      <c r="K980" s="1105"/>
      <c r="L980" s="1105"/>
      <c r="M980" s="1105"/>
      <c r="N980" s="1105"/>
      <c r="O980" s="1106"/>
      <c r="P980" s="100"/>
      <c r="Q980" s="100"/>
      <c r="R980" s="100"/>
      <c r="S980" s="100"/>
      <c r="T980" s="100"/>
      <c r="U980" s="100"/>
      <c r="V980" s="100"/>
      <c r="W980" s="100"/>
      <c r="X980" s="100"/>
      <c r="Y980" s="100"/>
      <c r="Z980" s="100"/>
      <c r="AA980" s="100"/>
      <c r="AB980" s="100"/>
      <c r="AC980" s="100"/>
      <c r="AD980" s="100"/>
      <c r="AF980"/>
      <c r="AG980">
        <f t="shared" si="799"/>
        <v>0</v>
      </c>
      <c r="AH980">
        <f t="shared" si="783"/>
        <v>0</v>
      </c>
      <c r="AK980">
        <f t="shared" si="784"/>
        <v>0</v>
      </c>
      <c r="AL980">
        <f t="shared" si="785"/>
        <v>0</v>
      </c>
      <c r="AM980">
        <f t="shared" si="786"/>
        <v>0</v>
      </c>
      <c r="AN980">
        <f t="shared" si="787"/>
        <v>0</v>
      </c>
      <c r="AO980">
        <f t="shared" si="788"/>
        <v>0</v>
      </c>
      <c r="AP980">
        <f t="shared" si="789"/>
        <v>0</v>
      </c>
      <c r="AQ980">
        <f t="shared" si="790"/>
        <v>0</v>
      </c>
      <c r="AR980">
        <f t="shared" si="791"/>
        <v>0</v>
      </c>
      <c r="AS980">
        <f t="shared" si="792"/>
        <v>0</v>
      </c>
      <c r="AT980">
        <f t="shared" si="793"/>
        <v>0</v>
      </c>
      <c r="AU980">
        <f t="shared" si="794"/>
        <v>0</v>
      </c>
      <c r="AV980">
        <f t="shared" si="795"/>
        <v>0</v>
      </c>
      <c r="AW980">
        <f t="shared" si="796"/>
        <v>0</v>
      </c>
      <c r="AX980">
        <f t="shared" si="797"/>
        <v>0</v>
      </c>
      <c r="AY980">
        <f t="shared" si="798"/>
        <v>0</v>
      </c>
    </row>
    <row r="981" spans="1:51" ht="15" customHeight="1">
      <c r="A981" s="110"/>
      <c r="B981" s="57"/>
      <c r="C981" s="1109"/>
      <c r="D981" s="954"/>
      <c r="E981" s="956"/>
      <c r="F981" s="1103" t="s">
        <v>4904</v>
      </c>
      <c r="G981" s="1103"/>
      <c r="H981" s="1104" t="s">
        <v>4905</v>
      </c>
      <c r="I981" s="1105"/>
      <c r="J981" s="1105"/>
      <c r="K981" s="1105"/>
      <c r="L981" s="1105"/>
      <c r="M981" s="1105"/>
      <c r="N981" s="1105"/>
      <c r="O981" s="1106"/>
      <c r="P981" s="100"/>
      <c r="Q981" s="100"/>
      <c r="R981" s="100"/>
      <c r="S981" s="100"/>
      <c r="T981" s="100"/>
      <c r="U981" s="100"/>
      <c r="V981" s="100"/>
      <c r="W981" s="100"/>
      <c r="X981" s="100"/>
      <c r="Y981" s="100"/>
      <c r="Z981" s="100"/>
      <c r="AA981" s="100"/>
      <c r="AB981" s="100"/>
      <c r="AC981" s="100"/>
      <c r="AD981" s="100"/>
      <c r="AF981"/>
      <c r="AG981">
        <f t="shared" si="799"/>
        <v>0</v>
      </c>
      <c r="AH981">
        <f t="shared" si="783"/>
        <v>0</v>
      </c>
      <c r="AK981">
        <f t="shared" si="784"/>
        <v>0</v>
      </c>
      <c r="AL981">
        <f t="shared" si="785"/>
        <v>0</v>
      </c>
      <c r="AM981">
        <f t="shared" si="786"/>
        <v>0</v>
      </c>
      <c r="AN981">
        <f t="shared" si="787"/>
        <v>0</v>
      </c>
      <c r="AO981">
        <f t="shared" si="788"/>
        <v>0</v>
      </c>
      <c r="AP981">
        <f t="shared" si="789"/>
        <v>0</v>
      </c>
      <c r="AQ981">
        <f t="shared" si="790"/>
        <v>0</v>
      </c>
      <c r="AR981">
        <f t="shared" si="791"/>
        <v>0</v>
      </c>
      <c r="AS981">
        <f t="shared" si="792"/>
        <v>0</v>
      </c>
      <c r="AT981">
        <f t="shared" si="793"/>
        <v>0</v>
      </c>
      <c r="AU981">
        <f t="shared" si="794"/>
        <v>0</v>
      </c>
      <c r="AV981">
        <f t="shared" si="795"/>
        <v>0</v>
      </c>
      <c r="AW981">
        <f t="shared" si="796"/>
        <v>0</v>
      </c>
      <c r="AX981">
        <f t="shared" si="797"/>
        <v>0</v>
      </c>
      <c r="AY981">
        <f t="shared" si="798"/>
        <v>0</v>
      </c>
    </row>
    <row r="982" spans="1:51" ht="15" customHeight="1">
      <c r="A982" s="110"/>
      <c r="B982" s="57"/>
      <c r="C982" s="1109"/>
      <c r="D982" s="954"/>
      <c r="E982" s="956"/>
      <c r="F982" s="1103" t="s">
        <v>4906</v>
      </c>
      <c r="G982" s="1103"/>
      <c r="H982" s="1104" t="s">
        <v>4907</v>
      </c>
      <c r="I982" s="1105"/>
      <c r="J982" s="1105"/>
      <c r="K982" s="1105"/>
      <c r="L982" s="1105"/>
      <c r="M982" s="1105"/>
      <c r="N982" s="1105"/>
      <c r="O982" s="1106"/>
      <c r="P982" s="100"/>
      <c r="Q982" s="100"/>
      <c r="R982" s="100"/>
      <c r="S982" s="100"/>
      <c r="T982" s="100"/>
      <c r="U982" s="100"/>
      <c r="V982" s="100"/>
      <c r="W982" s="100"/>
      <c r="X982" s="100"/>
      <c r="Y982" s="100"/>
      <c r="Z982" s="100"/>
      <c r="AA982" s="100"/>
      <c r="AB982" s="100"/>
      <c r="AC982" s="100"/>
      <c r="AD982" s="100"/>
      <c r="AF982">
        <f>IF(P982="NA",IF(AND(COUNTIF(P983:P985,"="&amp;$AF$934)=0,COUNTIF(P983:P985,"&lt;&gt;NA")&gt;0),1,0),IF(AND(COUNTIF(P983:P985,"="&amp;$AF$934)=0,COUNTIF(P983:P985,"NA")=COUNTIF(P983:P985,"&lt;&gt;"&amp;$AF$934)),1,0))</f>
        <v>0</v>
      </c>
      <c r="AG982">
        <f t="shared" si="799"/>
        <v>0</v>
      </c>
      <c r="AH982">
        <f t="shared" si="783"/>
        <v>0</v>
      </c>
      <c r="AK982">
        <f t="shared" si="784"/>
        <v>0</v>
      </c>
      <c r="AL982">
        <f t="shared" si="785"/>
        <v>0</v>
      </c>
      <c r="AM982">
        <f t="shared" si="786"/>
        <v>0</v>
      </c>
      <c r="AN982">
        <f t="shared" si="787"/>
        <v>0</v>
      </c>
      <c r="AO982">
        <f t="shared" si="788"/>
        <v>0</v>
      </c>
      <c r="AP982">
        <f t="shared" si="789"/>
        <v>0</v>
      </c>
      <c r="AQ982">
        <f t="shared" si="790"/>
        <v>0</v>
      </c>
      <c r="AR982">
        <f t="shared" si="791"/>
        <v>0</v>
      </c>
      <c r="AS982">
        <f t="shared" si="792"/>
        <v>0</v>
      </c>
      <c r="AT982">
        <f t="shared" si="793"/>
        <v>0</v>
      </c>
      <c r="AU982">
        <f t="shared" si="794"/>
        <v>0</v>
      </c>
      <c r="AV982">
        <f t="shared" si="795"/>
        <v>0</v>
      </c>
      <c r="AW982">
        <f t="shared" si="796"/>
        <v>0</v>
      </c>
      <c r="AX982">
        <f t="shared" si="797"/>
        <v>0</v>
      </c>
      <c r="AY982">
        <f t="shared" si="798"/>
        <v>0</v>
      </c>
    </row>
    <row r="983" spans="1:51" ht="36" customHeight="1">
      <c r="A983" s="110"/>
      <c r="B983" s="57"/>
      <c r="C983" s="1109"/>
      <c r="D983" s="954"/>
      <c r="E983" s="956"/>
      <c r="F983" s="1110" t="s">
        <v>4908</v>
      </c>
      <c r="G983" s="1110"/>
      <c r="H983" s="178"/>
      <c r="I983" s="1111" t="s">
        <v>4909</v>
      </c>
      <c r="J983" s="1111"/>
      <c r="K983" s="1111"/>
      <c r="L983" s="1111"/>
      <c r="M983" s="1111"/>
      <c r="N983" s="1111"/>
      <c r="O983" s="1112"/>
      <c r="P983" s="100"/>
      <c r="Q983" s="100"/>
      <c r="R983" s="100"/>
      <c r="S983" s="100"/>
      <c r="T983" s="100"/>
      <c r="U983" s="100"/>
      <c r="V983" s="100"/>
      <c r="W983" s="100"/>
      <c r="X983" s="100"/>
      <c r="Y983" s="100"/>
      <c r="Z983" s="100"/>
      <c r="AA983" s="100"/>
      <c r="AB983" s="100"/>
      <c r="AC983" s="100"/>
      <c r="AD983" s="100"/>
      <c r="AF983"/>
      <c r="AG983">
        <f t="shared" si="799"/>
        <v>0</v>
      </c>
      <c r="AH983">
        <f t="shared" si="783"/>
        <v>0</v>
      </c>
      <c r="AK983">
        <f t="shared" si="784"/>
        <v>0</v>
      </c>
      <c r="AL983">
        <f t="shared" si="785"/>
        <v>0</v>
      </c>
      <c r="AM983">
        <f t="shared" si="786"/>
        <v>0</v>
      </c>
      <c r="AN983">
        <f t="shared" si="787"/>
        <v>0</v>
      </c>
      <c r="AO983">
        <f t="shared" si="788"/>
        <v>0</v>
      </c>
      <c r="AP983">
        <f t="shared" si="789"/>
        <v>0</v>
      </c>
      <c r="AQ983">
        <f t="shared" si="790"/>
        <v>0</v>
      </c>
      <c r="AR983">
        <f t="shared" si="791"/>
        <v>0</v>
      </c>
      <c r="AS983">
        <f t="shared" si="792"/>
        <v>0</v>
      </c>
      <c r="AT983">
        <f t="shared" si="793"/>
        <v>0</v>
      </c>
      <c r="AU983">
        <f t="shared" si="794"/>
        <v>0</v>
      </c>
      <c r="AV983">
        <f t="shared" si="795"/>
        <v>0</v>
      </c>
      <c r="AW983">
        <f t="shared" si="796"/>
        <v>0</v>
      </c>
      <c r="AX983">
        <f t="shared" si="797"/>
        <v>0</v>
      </c>
      <c r="AY983">
        <f t="shared" si="798"/>
        <v>0</v>
      </c>
    </row>
    <row r="984" spans="1:51" ht="15" customHeight="1">
      <c r="A984" s="110"/>
      <c r="B984" s="57"/>
      <c r="C984" s="1109"/>
      <c r="D984" s="954"/>
      <c r="E984" s="956"/>
      <c r="F984" s="1110" t="s">
        <v>4910</v>
      </c>
      <c r="G984" s="1110"/>
      <c r="H984" s="178"/>
      <c r="I984" s="1111" t="s">
        <v>4911</v>
      </c>
      <c r="J984" s="1111"/>
      <c r="K984" s="1111"/>
      <c r="L984" s="1111"/>
      <c r="M984" s="1111"/>
      <c r="N984" s="1111"/>
      <c r="O984" s="1112"/>
      <c r="P984" s="100"/>
      <c r="Q984" s="100"/>
      <c r="R984" s="100"/>
      <c r="S984" s="100"/>
      <c r="T984" s="100"/>
      <c r="U984" s="100"/>
      <c r="V984" s="100"/>
      <c r="W984" s="100"/>
      <c r="X984" s="100"/>
      <c r="Y984" s="100"/>
      <c r="Z984" s="100"/>
      <c r="AA984" s="100"/>
      <c r="AB984" s="100"/>
      <c r="AC984" s="100"/>
      <c r="AD984" s="100"/>
      <c r="AF984"/>
      <c r="AG984">
        <f t="shared" si="799"/>
        <v>0</v>
      </c>
      <c r="AH984">
        <f t="shared" si="783"/>
        <v>0</v>
      </c>
      <c r="AK984">
        <f t="shared" si="784"/>
        <v>0</v>
      </c>
      <c r="AL984">
        <f t="shared" si="785"/>
        <v>0</v>
      </c>
      <c r="AM984">
        <f t="shared" si="786"/>
        <v>0</v>
      </c>
      <c r="AN984">
        <f t="shared" si="787"/>
        <v>0</v>
      </c>
      <c r="AO984">
        <f t="shared" si="788"/>
        <v>0</v>
      </c>
      <c r="AP984">
        <f t="shared" si="789"/>
        <v>0</v>
      </c>
      <c r="AQ984">
        <f t="shared" si="790"/>
        <v>0</v>
      </c>
      <c r="AR984">
        <f t="shared" si="791"/>
        <v>0</v>
      </c>
      <c r="AS984">
        <f t="shared" si="792"/>
        <v>0</v>
      </c>
      <c r="AT984">
        <f t="shared" si="793"/>
        <v>0</v>
      </c>
      <c r="AU984">
        <f t="shared" si="794"/>
        <v>0</v>
      </c>
      <c r="AV984">
        <f t="shared" si="795"/>
        <v>0</v>
      </c>
      <c r="AW984">
        <f t="shared" si="796"/>
        <v>0</v>
      </c>
      <c r="AX984">
        <f t="shared" si="797"/>
        <v>0</v>
      </c>
      <c r="AY984">
        <f t="shared" si="798"/>
        <v>0</v>
      </c>
    </row>
    <row r="985" spans="1:51" ht="15" customHeight="1">
      <c r="A985" s="110"/>
      <c r="B985" s="57"/>
      <c r="C985" s="1109"/>
      <c r="D985" s="954"/>
      <c r="E985" s="956"/>
      <c r="F985" s="1110" t="s">
        <v>4912</v>
      </c>
      <c r="G985" s="1110"/>
      <c r="H985" s="178"/>
      <c r="I985" s="1111" t="s">
        <v>201</v>
      </c>
      <c r="J985" s="1111"/>
      <c r="K985" s="1111"/>
      <c r="L985" s="1111"/>
      <c r="M985" s="1111"/>
      <c r="N985" s="1111"/>
      <c r="O985" s="1112"/>
      <c r="P985" s="100"/>
      <c r="Q985" s="100"/>
      <c r="R985" s="100"/>
      <c r="S985" s="100"/>
      <c r="T985" s="100"/>
      <c r="U985" s="100"/>
      <c r="V985" s="100"/>
      <c r="W985" s="100"/>
      <c r="X985" s="100"/>
      <c r="Y985" s="100"/>
      <c r="Z985" s="100"/>
      <c r="AA985" s="100"/>
      <c r="AB985" s="100"/>
      <c r="AC985" s="100"/>
      <c r="AD985" s="100"/>
      <c r="AF985"/>
      <c r="AG985">
        <f t="shared" si="799"/>
        <v>0</v>
      </c>
      <c r="AH985">
        <f t="shared" si="783"/>
        <v>0</v>
      </c>
      <c r="AK985">
        <f t="shared" si="784"/>
        <v>0</v>
      </c>
      <c r="AL985">
        <f t="shared" si="785"/>
        <v>0</v>
      </c>
      <c r="AM985">
        <f t="shared" si="786"/>
        <v>0</v>
      </c>
      <c r="AN985">
        <f t="shared" si="787"/>
        <v>0</v>
      </c>
      <c r="AO985">
        <f t="shared" si="788"/>
        <v>0</v>
      </c>
      <c r="AP985">
        <f t="shared" si="789"/>
        <v>0</v>
      </c>
      <c r="AQ985">
        <f t="shared" si="790"/>
        <v>0</v>
      </c>
      <c r="AR985">
        <f t="shared" si="791"/>
        <v>0</v>
      </c>
      <c r="AS985">
        <f t="shared" si="792"/>
        <v>0</v>
      </c>
      <c r="AT985">
        <f t="shared" si="793"/>
        <v>0</v>
      </c>
      <c r="AU985">
        <f t="shared" si="794"/>
        <v>0</v>
      </c>
      <c r="AV985">
        <f t="shared" si="795"/>
        <v>0</v>
      </c>
      <c r="AW985">
        <f t="shared" si="796"/>
        <v>0</v>
      </c>
      <c r="AX985">
        <f t="shared" si="797"/>
        <v>0</v>
      </c>
      <c r="AY985">
        <f t="shared" si="798"/>
        <v>0</v>
      </c>
    </row>
    <row r="986" spans="1:51" ht="15" customHeight="1">
      <c r="A986" s="110"/>
      <c r="B986" s="57"/>
      <c r="C986" s="1109"/>
      <c r="D986" s="954"/>
      <c r="E986" s="956"/>
      <c r="F986" s="1103" t="s">
        <v>4913</v>
      </c>
      <c r="G986" s="1103"/>
      <c r="H986" s="1104" t="s">
        <v>4914</v>
      </c>
      <c r="I986" s="1105"/>
      <c r="J986" s="1105"/>
      <c r="K986" s="1105"/>
      <c r="L986" s="1105"/>
      <c r="M986" s="1105"/>
      <c r="N986" s="1105"/>
      <c r="O986" s="1106"/>
      <c r="P986" s="100"/>
      <c r="Q986" s="100"/>
      <c r="R986" s="100"/>
      <c r="S986" s="100"/>
      <c r="T986" s="100"/>
      <c r="U986" s="100"/>
      <c r="V986" s="100"/>
      <c r="W986" s="100"/>
      <c r="X986" s="100"/>
      <c r="Y986" s="100"/>
      <c r="Z986" s="100"/>
      <c r="AA986" s="100"/>
      <c r="AB986" s="100"/>
      <c r="AC986" s="100"/>
      <c r="AD986" s="100"/>
      <c r="AF986"/>
      <c r="AG986">
        <f t="shared" si="799"/>
        <v>0</v>
      </c>
      <c r="AH986">
        <f t="shared" si="783"/>
        <v>0</v>
      </c>
      <c r="AK986">
        <f t="shared" si="784"/>
        <v>0</v>
      </c>
      <c r="AL986">
        <f t="shared" si="785"/>
        <v>0</v>
      </c>
      <c r="AM986">
        <f t="shared" si="786"/>
        <v>0</v>
      </c>
      <c r="AN986">
        <f t="shared" si="787"/>
        <v>0</v>
      </c>
      <c r="AO986">
        <f t="shared" si="788"/>
        <v>0</v>
      </c>
      <c r="AP986">
        <f t="shared" si="789"/>
        <v>0</v>
      </c>
      <c r="AQ986">
        <f t="shared" si="790"/>
        <v>0</v>
      </c>
      <c r="AR986">
        <f t="shared" si="791"/>
        <v>0</v>
      </c>
      <c r="AS986">
        <f t="shared" si="792"/>
        <v>0</v>
      </c>
      <c r="AT986">
        <f t="shared" si="793"/>
        <v>0</v>
      </c>
      <c r="AU986">
        <f t="shared" si="794"/>
        <v>0</v>
      </c>
      <c r="AV986">
        <f t="shared" si="795"/>
        <v>0</v>
      </c>
      <c r="AW986">
        <f t="shared" si="796"/>
        <v>0</v>
      </c>
      <c r="AX986">
        <f t="shared" si="797"/>
        <v>0</v>
      </c>
      <c r="AY986">
        <f t="shared" si="798"/>
        <v>0</v>
      </c>
    </row>
    <row r="987" spans="1:51" ht="15" customHeight="1">
      <c r="A987" s="110"/>
      <c r="B987" s="57"/>
      <c r="C987" s="1109"/>
      <c r="D987" s="954"/>
      <c r="E987" s="956"/>
      <c r="F987" s="1103" t="s">
        <v>4915</v>
      </c>
      <c r="G987" s="1103"/>
      <c r="H987" s="1104" t="s">
        <v>4916</v>
      </c>
      <c r="I987" s="1105"/>
      <c r="J987" s="1105"/>
      <c r="K987" s="1105"/>
      <c r="L987" s="1105"/>
      <c r="M987" s="1105"/>
      <c r="N987" s="1105"/>
      <c r="O987" s="1106"/>
      <c r="P987" s="100"/>
      <c r="Q987" s="100"/>
      <c r="R987" s="100"/>
      <c r="S987" s="100"/>
      <c r="T987" s="100"/>
      <c r="U987" s="100"/>
      <c r="V987" s="100"/>
      <c r="W987" s="100"/>
      <c r="X987" s="100"/>
      <c r="Y987" s="100"/>
      <c r="Z987" s="100"/>
      <c r="AA987" s="100"/>
      <c r="AB987" s="100"/>
      <c r="AC987" s="100"/>
      <c r="AD987" s="100"/>
      <c r="AF987"/>
      <c r="AG987">
        <f t="shared" si="799"/>
        <v>0</v>
      </c>
      <c r="AH987">
        <f t="shared" si="783"/>
        <v>0</v>
      </c>
      <c r="AK987">
        <f t="shared" si="784"/>
        <v>0</v>
      </c>
      <c r="AL987">
        <f t="shared" si="785"/>
        <v>0</v>
      </c>
      <c r="AM987">
        <f t="shared" si="786"/>
        <v>0</v>
      </c>
      <c r="AN987">
        <f t="shared" si="787"/>
        <v>0</v>
      </c>
      <c r="AO987">
        <f t="shared" si="788"/>
        <v>0</v>
      </c>
      <c r="AP987">
        <f t="shared" si="789"/>
        <v>0</v>
      </c>
      <c r="AQ987">
        <f t="shared" si="790"/>
        <v>0</v>
      </c>
      <c r="AR987">
        <f t="shared" si="791"/>
        <v>0</v>
      </c>
      <c r="AS987">
        <f t="shared" si="792"/>
        <v>0</v>
      </c>
      <c r="AT987">
        <f t="shared" si="793"/>
        <v>0</v>
      </c>
      <c r="AU987">
        <f t="shared" si="794"/>
        <v>0</v>
      </c>
      <c r="AV987">
        <f t="shared" si="795"/>
        <v>0</v>
      </c>
      <c r="AW987">
        <f t="shared" si="796"/>
        <v>0</v>
      </c>
      <c r="AX987">
        <f t="shared" si="797"/>
        <v>0</v>
      </c>
      <c r="AY987">
        <f t="shared" si="798"/>
        <v>0</v>
      </c>
    </row>
    <row r="988" spans="1:51" ht="24" customHeight="1">
      <c r="A988" s="110"/>
      <c r="B988" s="57"/>
      <c r="C988" s="1109"/>
      <c r="D988" s="954"/>
      <c r="E988" s="956"/>
      <c r="F988" s="1103" t="s">
        <v>4917</v>
      </c>
      <c r="G988" s="1103"/>
      <c r="H988" s="1104" t="s">
        <v>4918</v>
      </c>
      <c r="I988" s="1105"/>
      <c r="J988" s="1105"/>
      <c r="K988" s="1105"/>
      <c r="L988" s="1105"/>
      <c r="M988" s="1105"/>
      <c r="N988" s="1105"/>
      <c r="O988" s="1106"/>
      <c r="P988" s="100"/>
      <c r="Q988" s="100"/>
      <c r="R988" s="100"/>
      <c r="S988" s="100"/>
      <c r="T988" s="100"/>
      <c r="U988" s="100"/>
      <c r="V988" s="100"/>
      <c r="W988" s="100"/>
      <c r="X988" s="100"/>
      <c r="Y988" s="100"/>
      <c r="Z988" s="100"/>
      <c r="AA988" s="100"/>
      <c r="AB988" s="100"/>
      <c r="AC988" s="100"/>
      <c r="AD988" s="100"/>
      <c r="AF988"/>
      <c r="AG988">
        <f t="shared" si="799"/>
        <v>0</v>
      </c>
      <c r="AH988">
        <f t="shared" si="783"/>
        <v>0</v>
      </c>
      <c r="AJ988">
        <f>IF(OR(P988="NS",P988="NA",$P$895=0,$P$895="NS",$P$895="NA"),0,IF((P988*(IFERROR(100/SUM(P955:P988),0)))&gt;25,1,0))</f>
        <v>0</v>
      </c>
      <c r="AK988">
        <f t="shared" si="784"/>
        <v>0</v>
      </c>
      <c r="AL988">
        <f t="shared" si="785"/>
        <v>0</v>
      </c>
      <c r="AM988">
        <f t="shared" si="786"/>
        <v>0</v>
      </c>
      <c r="AN988">
        <f t="shared" si="787"/>
        <v>0</v>
      </c>
      <c r="AO988">
        <f t="shared" si="788"/>
        <v>0</v>
      </c>
      <c r="AP988">
        <f t="shared" si="789"/>
        <v>0</v>
      </c>
      <c r="AQ988">
        <f t="shared" si="790"/>
        <v>0</v>
      </c>
      <c r="AR988">
        <f t="shared" si="791"/>
        <v>0</v>
      </c>
      <c r="AS988">
        <f t="shared" si="792"/>
        <v>0</v>
      </c>
      <c r="AT988">
        <f t="shared" si="793"/>
        <v>0</v>
      </c>
      <c r="AU988">
        <f t="shared" si="794"/>
        <v>0</v>
      </c>
      <c r="AV988">
        <f t="shared" si="795"/>
        <v>0</v>
      </c>
      <c r="AW988">
        <f t="shared" si="796"/>
        <v>0</v>
      </c>
      <c r="AX988">
        <f t="shared" si="797"/>
        <v>0</v>
      </c>
      <c r="AY988">
        <f t="shared" si="798"/>
        <v>0</v>
      </c>
    </row>
    <row r="989" spans="1:51" ht="15" customHeight="1">
      <c r="A989" s="110"/>
      <c r="B989" s="57"/>
      <c r="C989" s="1108" t="s">
        <v>4919</v>
      </c>
      <c r="D989" s="847" t="s">
        <v>4920</v>
      </c>
      <c r="E989" s="848"/>
      <c r="F989" s="1103" t="s">
        <v>4921</v>
      </c>
      <c r="G989" s="1103"/>
      <c r="H989" s="1104" t="s">
        <v>4922</v>
      </c>
      <c r="I989" s="1105"/>
      <c r="J989" s="1105"/>
      <c r="K989" s="1105"/>
      <c r="L989" s="1105"/>
      <c r="M989" s="1105"/>
      <c r="N989" s="1105"/>
      <c r="O989" s="1106"/>
      <c r="P989" s="710"/>
      <c r="Q989" s="100"/>
      <c r="R989" s="100"/>
      <c r="S989" s="100"/>
      <c r="T989" s="100"/>
      <c r="U989" s="100"/>
      <c r="V989" s="100"/>
      <c r="W989" s="100"/>
      <c r="X989" s="100"/>
      <c r="Y989" s="100"/>
      <c r="Z989" s="100"/>
      <c r="AA989" s="100"/>
      <c r="AB989" s="100"/>
      <c r="AC989" s="100"/>
      <c r="AD989" s="100"/>
      <c r="AF989"/>
      <c r="AG989">
        <f t="shared" si="799"/>
        <v>0</v>
      </c>
      <c r="AH989">
        <f t="shared" ref="AH989:AH1052" si="800">IF(P989="NA",IF(SUM(COUNTBLANK(Q989:AD989),COUNTBLANK(V1161:AD1161))=23,0,1),0)</f>
        <v>0</v>
      </c>
      <c r="AK989">
        <f t="shared" ref="AK989:AK1052" si="801">COUNTIF(Q989:R989,"NS")</f>
        <v>0</v>
      </c>
      <c r="AL989">
        <f t="shared" ref="AL989:AL1052" si="802">SUM(Q989:R989)</f>
        <v>0</v>
      </c>
      <c r="AM989">
        <f t="shared" ref="AM989:AM1052" si="803">IF(COUNTIF(P989:R989,"NA")=3,0,IF(COUNTA(P989:R989)=0,0,IF(OR(AND(P989=0,AK989&gt;0),AND(P989="ns",AL989&gt;0),AND(P989="ns",AK989=0,AL989=0)),1,IF(OR(AND(P989&gt;0,AK989=2),AND(P989="ns",AK989=2),AND(P989="ns",AL989=0,AK989&gt;0),P989=AL989),0,1))))</f>
        <v>0</v>
      </c>
      <c r="AN989">
        <f t="shared" ref="AN989:AN1052" si="804">COUNTIF(T989:U989,"NS")</f>
        <v>0</v>
      </c>
      <c r="AO989">
        <f t="shared" ref="AO989:AO1052" si="805">SUM(T989:U989)</f>
        <v>0</v>
      </c>
      <c r="AP989">
        <f t="shared" ref="AP989:AP1052" si="806">IF(COUNTIF(S989:U989,"NA")=3,0,IF(COUNTA(S989:U989)=0,0,IF(OR(AND(S989=0,AN989&gt;0),AND(S989="ns",AO989&gt;0),AND(S989="ns",AN989=0,AO989=0)),1,IF(OR(AND(S989&gt;0,AN989=2),AND(S989="ns",AN989=2),AND(S989="ns",AO989=0,AN989&gt;0),S989=AO989),0,1))))</f>
        <v>0</v>
      </c>
      <c r="AQ989">
        <f t="shared" ref="AQ989:AQ1052" si="807">COUNTIF(W989:X989,"NS")</f>
        <v>0</v>
      </c>
      <c r="AR989">
        <f t="shared" ref="AR989:AR1052" si="808">SUM(W989:X989)</f>
        <v>0</v>
      </c>
      <c r="AS989">
        <f t="shared" ref="AS989:AS1052" si="809">IF(COUNTIF(V989:X989,"NA")=3,0,IF(COUNTA(V989:X989)=0,0,IF(OR(AND(V989=0,AQ989&gt;0),AND(V989="ns",AR989&gt;0),AND(V989="ns",AQ989=0,AR989=0)),1,IF(OR(AND(V989&gt;0,AQ989=2),AND(V989="ns",AQ989=2),AND(V989="ns",AR989=0,AQ989&gt;0),V989=AR989),0,1))))</f>
        <v>0</v>
      </c>
      <c r="AT989">
        <f t="shared" ref="AT989:AT1052" si="810">COUNTIF(Z989:AA989,"NS")</f>
        <v>0</v>
      </c>
      <c r="AU989">
        <f t="shared" ref="AU989:AU1052" si="811">SUM(Z989:AA989)</f>
        <v>0</v>
      </c>
      <c r="AV989">
        <f t="shared" ref="AV989:AV1052" si="812">IF(COUNTIF(Y989:AA989,"NA")=3,0,IF(COUNTA(Y989:AA989)=0,0,IF(OR(AND(Y989=0,AT989&gt;0),AND(Y989="ns",AU989&gt;0),AND(Y989="ns",AT989=0,AU989=0)),1,IF(OR(AND(Y989&gt;0,AT989=2),AND(Y989="ns",AT989=2),AND(Y989="ns",AU989=0,AT989&gt;0),Y989=AU989),0,1))))</f>
        <v>0</v>
      </c>
      <c r="AW989">
        <f t="shared" ref="AW989:AW1052" si="813">COUNTIF(AC989:AD989,"NS")</f>
        <v>0</v>
      </c>
      <c r="AX989">
        <f t="shared" ref="AX989:AX1052" si="814">SUM(AC989:AD989)</f>
        <v>0</v>
      </c>
      <c r="AY989">
        <f t="shared" ref="AY989:AY1052" si="815">IF(COUNTIF(AB989:AD989,"NA")=3,0,IF(COUNTA(AB989:AD989)=0,0,IF(OR(AND(AB989=0,AW989&gt;0),AND(AB989="ns",AX989&gt;0),AND(AB989="ns",AW989=0,AX989=0)),1,IF(OR(AND(AB989&gt;0,AW989=2),AND(AB989="ns",AW989=2),AND(AB989="ns",AX989=0,AW989&gt;0),AB989=AX989),0,1))))</f>
        <v>0</v>
      </c>
    </row>
    <row r="990" spans="1:51" ht="15" customHeight="1">
      <c r="A990" s="110"/>
      <c r="B990" s="57"/>
      <c r="C990" s="1109"/>
      <c r="D990" s="954"/>
      <c r="E990" s="956"/>
      <c r="F990" s="1103" t="s">
        <v>4923</v>
      </c>
      <c r="G990" s="1103"/>
      <c r="H990" s="1104" t="s">
        <v>4924</v>
      </c>
      <c r="I990" s="1105"/>
      <c r="J990" s="1105"/>
      <c r="K990" s="1105"/>
      <c r="L990" s="1105"/>
      <c r="M990" s="1105"/>
      <c r="N990" s="1105"/>
      <c r="O990" s="1106"/>
      <c r="P990" s="710"/>
      <c r="Q990" s="100"/>
      <c r="R990" s="100"/>
      <c r="S990" s="100"/>
      <c r="T990" s="100"/>
      <c r="U990" s="100"/>
      <c r="V990" s="100"/>
      <c r="W990" s="100"/>
      <c r="X990" s="100"/>
      <c r="Y990" s="100"/>
      <c r="Z990" s="100"/>
      <c r="AA990" s="100"/>
      <c r="AB990" s="100"/>
      <c r="AC990" s="100"/>
      <c r="AD990" s="100"/>
      <c r="AF990"/>
      <c r="AG990">
        <f t="shared" ref="AG990:AG1053" si="816">IF(OR($P$895=0,$P$895="NS",$P$895="NA",P990="NA"),0,IF(SUM(COUNTBLANK(P990:AD990),COUNTBLANK(V1162:AD1162))=0,0,1))</f>
        <v>0</v>
      </c>
      <c r="AH990">
        <f t="shared" si="800"/>
        <v>0</v>
      </c>
      <c r="AK990">
        <f t="shared" si="801"/>
        <v>0</v>
      </c>
      <c r="AL990">
        <f t="shared" si="802"/>
        <v>0</v>
      </c>
      <c r="AM990">
        <f t="shared" si="803"/>
        <v>0</v>
      </c>
      <c r="AN990">
        <f t="shared" si="804"/>
        <v>0</v>
      </c>
      <c r="AO990">
        <f t="shared" si="805"/>
        <v>0</v>
      </c>
      <c r="AP990">
        <f t="shared" si="806"/>
        <v>0</v>
      </c>
      <c r="AQ990">
        <f t="shared" si="807"/>
        <v>0</v>
      </c>
      <c r="AR990">
        <f t="shared" si="808"/>
        <v>0</v>
      </c>
      <c r="AS990">
        <f t="shared" si="809"/>
        <v>0</v>
      </c>
      <c r="AT990">
        <f t="shared" si="810"/>
        <v>0</v>
      </c>
      <c r="AU990">
        <f t="shared" si="811"/>
        <v>0</v>
      </c>
      <c r="AV990">
        <f t="shared" si="812"/>
        <v>0</v>
      </c>
      <c r="AW990">
        <f t="shared" si="813"/>
        <v>0</v>
      </c>
      <c r="AX990">
        <f t="shared" si="814"/>
        <v>0</v>
      </c>
      <c r="AY990">
        <f t="shared" si="815"/>
        <v>0</v>
      </c>
    </row>
    <row r="991" spans="1:51" ht="15" customHeight="1">
      <c r="A991" s="110"/>
      <c r="B991" s="57"/>
      <c r="C991" s="1109"/>
      <c r="D991" s="954"/>
      <c r="E991" s="956"/>
      <c r="F991" s="1103" t="s">
        <v>4925</v>
      </c>
      <c r="G991" s="1103"/>
      <c r="H991" s="1104" t="s">
        <v>4926</v>
      </c>
      <c r="I991" s="1105"/>
      <c r="J991" s="1105"/>
      <c r="K991" s="1105"/>
      <c r="L991" s="1105"/>
      <c r="M991" s="1105"/>
      <c r="N991" s="1105"/>
      <c r="O991" s="1106"/>
      <c r="P991" s="710"/>
      <c r="Q991" s="100"/>
      <c r="R991" s="100"/>
      <c r="S991" s="100"/>
      <c r="T991" s="100"/>
      <c r="U991" s="100"/>
      <c r="V991" s="100"/>
      <c r="W991" s="100"/>
      <c r="X991" s="100"/>
      <c r="Y991" s="100"/>
      <c r="Z991" s="100"/>
      <c r="AA991" s="100"/>
      <c r="AB991" s="100"/>
      <c r="AC991" s="100"/>
      <c r="AD991" s="100"/>
      <c r="AF991"/>
      <c r="AG991">
        <f t="shared" si="816"/>
        <v>0</v>
      </c>
      <c r="AH991">
        <f t="shared" si="800"/>
        <v>0</v>
      </c>
      <c r="AJ991">
        <f>IF(OR(P991="NS",P991="NA",$P$895=0,$P$895="NS",$P$895="NA"),0,IF((P991*(IFERROR(100/SUM(P989:P991),0)))&gt;25,1,0))</f>
        <v>0</v>
      </c>
      <c r="AK991">
        <f t="shared" si="801"/>
        <v>0</v>
      </c>
      <c r="AL991">
        <f t="shared" si="802"/>
        <v>0</v>
      </c>
      <c r="AM991">
        <f t="shared" si="803"/>
        <v>0</v>
      </c>
      <c r="AN991">
        <f t="shared" si="804"/>
        <v>0</v>
      </c>
      <c r="AO991">
        <f t="shared" si="805"/>
        <v>0</v>
      </c>
      <c r="AP991">
        <f t="shared" si="806"/>
        <v>0</v>
      </c>
      <c r="AQ991">
        <f t="shared" si="807"/>
        <v>0</v>
      </c>
      <c r="AR991">
        <f t="shared" si="808"/>
        <v>0</v>
      </c>
      <c r="AS991">
        <f t="shared" si="809"/>
        <v>0</v>
      </c>
      <c r="AT991">
        <f t="shared" si="810"/>
        <v>0</v>
      </c>
      <c r="AU991">
        <f t="shared" si="811"/>
        <v>0</v>
      </c>
      <c r="AV991">
        <f t="shared" si="812"/>
        <v>0</v>
      </c>
      <c r="AW991">
        <f t="shared" si="813"/>
        <v>0</v>
      </c>
      <c r="AX991">
        <f t="shared" si="814"/>
        <v>0</v>
      </c>
      <c r="AY991">
        <f t="shared" si="815"/>
        <v>0</v>
      </c>
    </row>
    <row r="992" spans="1:51" ht="24" customHeight="1">
      <c r="A992" s="110"/>
      <c r="B992" s="57"/>
      <c r="C992" s="1108" t="s">
        <v>4927</v>
      </c>
      <c r="D992" s="847" t="s">
        <v>5417</v>
      </c>
      <c r="E992" s="848"/>
      <c r="F992" s="1103" t="s">
        <v>4929</v>
      </c>
      <c r="G992" s="1103"/>
      <c r="H992" s="1104" t="s">
        <v>4930</v>
      </c>
      <c r="I992" s="1105"/>
      <c r="J992" s="1105"/>
      <c r="K992" s="1105"/>
      <c r="L992" s="1105"/>
      <c r="M992" s="1105"/>
      <c r="N992" s="1105"/>
      <c r="O992" s="1106"/>
      <c r="P992" s="710"/>
      <c r="Q992" s="100"/>
      <c r="R992" s="100"/>
      <c r="S992" s="100"/>
      <c r="T992" s="100"/>
      <c r="U992" s="100"/>
      <c r="V992" s="100"/>
      <c r="W992" s="100"/>
      <c r="X992" s="100"/>
      <c r="Y992" s="100"/>
      <c r="Z992" s="100"/>
      <c r="AA992" s="100"/>
      <c r="AB992" s="100"/>
      <c r="AC992" s="100"/>
      <c r="AD992" s="100"/>
      <c r="AF992">
        <f>IF(P992="NA",IF(AND(COUNTIF(P993:P999,"="&amp;$AF$934)=0,COUNTIF(P993:P999,"&lt;&gt;NA")&gt;0),1,0),IF(AND(COUNTIF(P993:P999,"="&amp;$AF$934)=0,COUNTIF(P993:P999,"NA")=COUNTIF(P993:P999,"&lt;&gt;"&amp;$AF$934)),1,0))</f>
        <v>0</v>
      </c>
      <c r="AG992">
        <f t="shared" si="816"/>
        <v>0</v>
      </c>
      <c r="AH992">
        <f t="shared" si="800"/>
        <v>0</v>
      </c>
      <c r="AK992">
        <f t="shared" si="801"/>
        <v>0</v>
      </c>
      <c r="AL992">
        <f t="shared" si="802"/>
        <v>0</v>
      </c>
      <c r="AM992">
        <f t="shared" si="803"/>
        <v>0</v>
      </c>
      <c r="AN992">
        <f t="shared" si="804"/>
        <v>0</v>
      </c>
      <c r="AO992">
        <f t="shared" si="805"/>
        <v>0</v>
      </c>
      <c r="AP992">
        <f t="shared" si="806"/>
        <v>0</v>
      </c>
      <c r="AQ992">
        <f t="shared" si="807"/>
        <v>0</v>
      </c>
      <c r="AR992">
        <f t="shared" si="808"/>
        <v>0</v>
      </c>
      <c r="AS992">
        <f t="shared" si="809"/>
        <v>0</v>
      </c>
      <c r="AT992">
        <f t="shared" si="810"/>
        <v>0</v>
      </c>
      <c r="AU992">
        <f t="shared" si="811"/>
        <v>0</v>
      </c>
      <c r="AV992">
        <f t="shared" si="812"/>
        <v>0</v>
      </c>
      <c r="AW992">
        <f t="shared" si="813"/>
        <v>0</v>
      </c>
      <c r="AX992">
        <f t="shared" si="814"/>
        <v>0</v>
      </c>
      <c r="AY992">
        <f t="shared" si="815"/>
        <v>0</v>
      </c>
    </row>
    <row r="993" spans="1:51" ht="15" customHeight="1">
      <c r="A993" s="110"/>
      <c r="B993" s="57"/>
      <c r="C993" s="1109"/>
      <c r="D993" s="954"/>
      <c r="E993" s="956"/>
      <c r="F993" s="1110" t="s">
        <v>4931</v>
      </c>
      <c r="G993" s="1110"/>
      <c r="H993" s="178"/>
      <c r="I993" s="1111" t="s">
        <v>4932</v>
      </c>
      <c r="J993" s="1111"/>
      <c r="K993" s="1111"/>
      <c r="L993" s="1111"/>
      <c r="M993" s="1111"/>
      <c r="N993" s="1111"/>
      <c r="O993" s="1112"/>
      <c r="P993" s="100"/>
      <c r="Q993" s="100"/>
      <c r="R993" s="100"/>
      <c r="S993" s="100"/>
      <c r="T993" s="100"/>
      <c r="U993" s="100"/>
      <c r="V993" s="100"/>
      <c r="W993" s="100"/>
      <c r="X993" s="100"/>
      <c r="Y993" s="100"/>
      <c r="Z993" s="100"/>
      <c r="AA993" s="100"/>
      <c r="AB993" s="100"/>
      <c r="AC993" s="100"/>
      <c r="AD993" s="100"/>
      <c r="AF993"/>
      <c r="AG993">
        <f t="shared" si="816"/>
        <v>0</v>
      </c>
      <c r="AH993">
        <f t="shared" si="800"/>
        <v>0</v>
      </c>
      <c r="AK993">
        <f t="shared" si="801"/>
        <v>0</v>
      </c>
      <c r="AL993">
        <f t="shared" si="802"/>
        <v>0</v>
      </c>
      <c r="AM993">
        <f t="shared" si="803"/>
        <v>0</v>
      </c>
      <c r="AN993">
        <f t="shared" si="804"/>
        <v>0</v>
      </c>
      <c r="AO993">
        <f t="shared" si="805"/>
        <v>0</v>
      </c>
      <c r="AP993">
        <f t="shared" si="806"/>
        <v>0</v>
      </c>
      <c r="AQ993">
        <f t="shared" si="807"/>
        <v>0</v>
      </c>
      <c r="AR993">
        <f t="shared" si="808"/>
        <v>0</v>
      </c>
      <c r="AS993">
        <f t="shared" si="809"/>
        <v>0</v>
      </c>
      <c r="AT993">
        <f t="shared" si="810"/>
        <v>0</v>
      </c>
      <c r="AU993">
        <f t="shared" si="811"/>
        <v>0</v>
      </c>
      <c r="AV993">
        <f t="shared" si="812"/>
        <v>0</v>
      </c>
      <c r="AW993">
        <f t="shared" si="813"/>
        <v>0</v>
      </c>
      <c r="AX993">
        <f t="shared" si="814"/>
        <v>0</v>
      </c>
      <c r="AY993">
        <f t="shared" si="815"/>
        <v>0</v>
      </c>
    </row>
    <row r="994" spans="1:51" ht="24" customHeight="1">
      <c r="A994" s="110"/>
      <c r="B994" s="57"/>
      <c r="C994" s="1109"/>
      <c r="D994" s="954"/>
      <c r="E994" s="956"/>
      <c r="F994" s="1110" t="s">
        <v>4933</v>
      </c>
      <c r="G994" s="1110"/>
      <c r="H994" s="178"/>
      <c r="I994" s="1111" t="s">
        <v>4934</v>
      </c>
      <c r="J994" s="1111"/>
      <c r="K994" s="1111"/>
      <c r="L994" s="1111"/>
      <c r="M994" s="1111"/>
      <c r="N994" s="1111"/>
      <c r="O994" s="1112"/>
      <c r="P994" s="100"/>
      <c r="Q994" s="100"/>
      <c r="R994" s="100"/>
      <c r="S994" s="100"/>
      <c r="T994" s="100"/>
      <c r="U994" s="100"/>
      <c r="V994" s="100"/>
      <c r="W994" s="100"/>
      <c r="X994" s="100"/>
      <c r="Y994" s="100"/>
      <c r="Z994" s="100"/>
      <c r="AA994" s="100"/>
      <c r="AB994" s="100"/>
      <c r="AC994" s="100"/>
      <c r="AD994" s="100"/>
      <c r="AF994"/>
      <c r="AG994">
        <f t="shared" si="816"/>
        <v>0</v>
      </c>
      <c r="AH994">
        <f t="shared" si="800"/>
        <v>0</v>
      </c>
      <c r="AK994">
        <f t="shared" si="801"/>
        <v>0</v>
      </c>
      <c r="AL994">
        <f t="shared" si="802"/>
        <v>0</v>
      </c>
      <c r="AM994">
        <f t="shared" si="803"/>
        <v>0</v>
      </c>
      <c r="AN994">
        <f t="shared" si="804"/>
        <v>0</v>
      </c>
      <c r="AO994">
        <f t="shared" si="805"/>
        <v>0</v>
      </c>
      <c r="AP994">
        <f t="shared" si="806"/>
        <v>0</v>
      </c>
      <c r="AQ994">
        <f t="shared" si="807"/>
        <v>0</v>
      </c>
      <c r="AR994">
        <f t="shared" si="808"/>
        <v>0</v>
      </c>
      <c r="AS994">
        <f t="shared" si="809"/>
        <v>0</v>
      </c>
      <c r="AT994">
        <f t="shared" si="810"/>
        <v>0</v>
      </c>
      <c r="AU994">
        <f t="shared" si="811"/>
        <v>0</v>
      </c>
      <c r="AV994">
        <f t="shared" si="812"/>
        <v>0</v>
      </c>
      <c r="AW994">
        <f t="shared" si="813"/>
        <v>0</v>
      </c>
      <c r="AX994">
        <f t="shared" si="814"/>
        <v>0</v>
      </c>
      <c r="AY994">
        <f t="shared" si="815"/>
        <v>0</v>
      </c>
    </row>
    <row r="995" spans="1:51" ht="15" customHeight="1">
      <c r="A995" s="110"/>
      <c r="B995" s="57"/>
      <c r="C995" s="1109"/>
      <c r="D995" s="954"/>
      <c r="E995" s="956"/>
      <c r="F995" s="1110" t="s">
        <v>4935</v>
      </c>
      <c r="G995" s="1110"/>
      <c r="H995" s="178"/>
      <c r="I995" s="1111" t="s">
        <v>4936</v>
      </c>
      <c r="J995" s="1111"/>
      <c r="K995" s="1111"/>
      <c r="L995" s="1111"/>
      <c r="M995" s="1111"/>
      <c r="N995" s="1111"/>
      <c r="O995" s="1112"/>
      <c r="P995" s="100"/>
      <c r="Q995" s="100"/>
      <c r="R995" s="100"/>
      <c r="S995" s="100"/>
      <c r="T995" s="100"/>
      <c r="U995" s="100"/>
      <c r="V995" s="100"/>
      <c r="W995" s="100"/>
      <c r="X995" s="100"/>
      <c r="Y995" s="100"/>
      <c r="Z995" s="100"/>
      <c r="AA995" s="100"/>
      <c r="AB995" s="100"/>
      <c r="AC995" s="100"/>
      <c r="AD995" s="100"/>
      <c r="AF995"/>
      <c r="AG995">
        <f t="shared" si="816"/>
        <v>0</v>
      </c>
      <c r="AH995">
        <f t="shared" si="800"/>
        <v>0</v>
      </c>
      <c r="AK995">
        <f t="shared" si="801"/>
        <v>0</v>
      </c>
      <c r="AL995">
        <f t="shared" si="802"/>
        <v>0</v>
      </c>
      <c r="AM995">
        <f t="shared" si="803"/>
        <v>0</v>
      </c>
      <c r="AN995">
        <f t="shared" si="804"/>
        <v>0</v>
      </c>
      <c r="AO995">
        <f t="shared" si="805"/>
        <v>0</v>
      </c>
      <c r="AP995">
        <f t="shared" si="806"/>
        <v>0</v>
      </c>
      <c r="AQ995">
        <f t="shared" si="807"/>
        <v>0</v>
      </c>
      <c r="AR995">
        <f t="shared" si="808"/>
        <v>0</v>
      </c>
      <c r="AS995">
        <f t="shared" si="809"/>
        <v>0</v>
      </c>
      <c r="AT995">
        <f t="shared" si="810"/>
        <v>0</v>
      </c>
      <c r="AU995">
        <f t="shared" si="811"/>
        <v>0</v>
      </c>
      <c r="AV995">
        <f t="shared" si="812"/>
        <v>0</v>
      </c>
      <c r="AW995">
        <f t="shared" si="813"/>
        <v>0</v>
      </c>
      <c r="AX995">
        <f t="shared" si="814"/>
        <v>0</v>
      </c>
      <c r="AY995">
        <f t="shared" si="815"/>
        <v>0</v>
      </c>
    </row>
    <row r="996" spans="1:51" ht="15" customHeight="1">
      <c r="A996" s="110"/>
      <c r="B996" s="57"/>
      <c r="C996" s="1109"/>
      <c r="D996" s="954"/>
      <c r="E996" s="956"/>
      <c r="F996" s="1110" t="s">
        <v>4937</v>
      </c>
      <c r="G996" s="1110"/>
      <c r="H996" s="178"/>
      <c r="I996" s="1111" t="s">
        <v>4938</v>
      </c>
      <c r="J996" s="1111"/>
      <c r="K996" s="1111"/>
      <c r="L996" s="1111"/>
      <c r="M996" s="1111"/>
      <c r="N996" s="1111"/>
      <c r="O996" s="1112"/>
      <c r="P996" s="100"/>
      <c r="Q996" s="100"/>
      <c r="R996" s="100"/>
      <c r="S996" s="100"/>
      <c r="T996" s="100"/>
      <c r="U996" s="100"/>
      <c r="V996" s="100"/>
      <c r="W996" s="100"/>
      <c r="X996" s="100"/>
      <c r="Y996" s="100"/>
      <c r="Z996" s="100"/>
      <c r="AA996" s="100"/>
      <c r="AB996" s="100"/>
      <c r="AC996" s="100"/>
      <c r="AD996" s="100"/>
      <c r="AF996"/>
      <c r="AG996">
        <f t="shared" si="816"/>
        <v>0</v>
      </c>
      <c r="AH996">
        <f t="shared" si="800"/>
        <v>0</v>
      </c>
      <c r="AK996">
        <f t="shared" si="801"/>
        <v>0</v>
      </c>
      <c r="AL996">
        <f t="shared" si="802"/>
        <v>0</v>
      </c>
      <c r="AM996">
        <f t="shared" si="803"/>
        <v>0</v>
      </c>
      <c r="AN996">
        <f t="shared" si="804"/>
        <v>0</v>
      </c>
      <c r="AO996">
        <f t="shared" si="805"/>
        <v>0</v>
      </c>
      <c r="AP996">
        <f t="shared" si="806"/>
        <v>0</v>
      </c>
      <c r="AQ996">
        <f t="shared" si="807"/>
        <v>0</v>
      </c>
      <c r="AR996">
        <f t="shared" si="808"/>
        <v>0</v>
      </c>
      <c r="AS996">
        <f t="shared" si="809"/>
        <v>0</v>
      </c>
      <c r="AT996">
        <f t="shared" si="810"/>
        <v>0</v>
      </c>
      <c r="AU996">
        <f t="shared" si="811"/>
        <v>0</v>
      </c>
      <c r="AV996">
        <f t="shared" si="812"/>
        <v>0</v>
      </c>
      <c r="AW996">
        <f t="shared" si="813"/>
        <v>0</v>
      </c>
      <c r="AX996">
        <f t="shared" si="814"/>
        <v>0</v>
      </c>
      <c r="AY996">
        <f t="shared" si="815"/>
        <v>0</v>
      </c>
    </row>
    <row r="997" spans="1:51" ht="15" customHeight="1">
      <c r="A997" s="110"/>
      <c r="B997" s="57"/>
      <c r="C997" s="1109"/>
      <c r="D997" s="954"/>
      <c r="E997" s="956"/>
      <c r="F997" s="1110" t="s">
        <v>4939</v>
      </c>
      <c r="G997" s="1110"/>
      <c r="H997" s="178"/>
      <c r="I997" s="1111" t="s">
        <v>4940</v>
      </c>
      <c r="J997" s="1111"/>
      <c r="K997" s="1111"/>
      <c r="L997" s="1111"/>
      <c r="M997" s="1111"/>
      <c r="N997" s="1111"/>
      <c r="O997" s="1112"/>
      <c r="P997" s="100"/>
      <c r="Q997" s="100"/>
      <c r="R997" s="100"/>
      <c r="S997" s="100"/>
      <c r="T997" s="100"/>
      <c r="U997" s="100"/>
      <c r="V997" s="100"/>
      <c r="W997" s="100"/>
      <c r="X997" s="100"/>
      <c r="Y997" s="100"/>
      <c r="Z997" s="100"/>
      <c r="AA997" s="100"/>
      <c r="AB997" s="100"/>
      <c r="AC997" s="100"/>
      <c r="AD997" s="100"/>
      <c r="AF997"/>
      <c r="AG997">
        <f t="shared" si="816"/>
        <v>0</v>
      </c>
      <c r="AH997">
        <f t="shared" si="800"/>
        <v>0</v>
      </c>
      <c r="AK997">
        <f t="shared" si="801"/>
        <v>0</v>
      </c>
      <c r="AL997">
        <f t="shared" si="802"/>
        <v>0</v>
      </c>
      <c r="AM997">
        <f t="shared" si="803"/>
        <v>0</v>
      </c>
      <c r="AN997">
        <f t="shared" si="804"/>
        <v>0</v>
      </c>
      <c r="AO997">
        <f t="shared" si="805"/>
        <v>0</v>
      </c>
      <c r="AP997">
        <f t="shared" si="806"/>
        <v>0</v>
      </c>
      <c r="AQ997">
        <f t="shared" si="807"/>
        <v>0</v>
      </c>
      <c r="AR997">
        <f t="shared" si="808"/>
        <v>0</v>
      </c>
      <c r="AS997">
        <f t="shared" si="809"/>
        <v>0</v>
      </c>
      <c r="AT997">
        <f t="shared" si="810"/>
        <v>0</v>
      </c>
      <c r="AU997">
        <f t="shared" si="811"/>
        <v>0</v>
      </c>
      <c r="AV997">
        <f t="shared" si="812"/>
        <v>0</v>
      </c>
      <c r="AW997">
        <f t="shared" si="813"/>
        <v>0</v>
      </c>
      <c r="AX997">
        <f t="shared" si="814"/>
        <v>0</v>
      </c>
      <c r="AY997">
        <f t="shared" si="815"/>
        <v>0</v>
      </c>
    </row>
    <row r="998" spans="1:51" ht="24" customHeight="1">
      <c r="A998" s="110"/>
      <c r="B998" s="57"/>
      <c r="C998" s="1109"/>
      <c r="D998" s="954"/>
      <c r="E998" s="956"/>
      <c r="F998" s="1110" t="s">
        <v>4941</v>
      </c>
      <c r="G998" s="1110"/>
      <c r="H998" s="178"/>
      <c r="I998" s="1111" t="s">
        <v>4942</v>
      </c>
      <c r="J998" s="1111"/>
      <c r="K998" s="1111"/>
      <c r="L998" s="1111"/>
      <c r="M998" s="1111"/>
      <c r="N998" s="1111"/>
      <c r="O998" s="1112"/>
      <c r="P998" s="100"/>
      <c r="Q998" s="100"/>
      <c r="R998" s="100"/>
      <c r="S998" s="100"/>
      <c r="T998" s="100"/>
      <c r="U998" s="100"/>
      <c r="V998" s="100"/>
      <c r="W998" s="100"/>
      <c r="X998" s="100"/>
      <c r="Y998" s="100"/>
      <c r="Z998" s="100"/>
      <c r="AA998" s="100"/>
      <c r="AB998" s="100"/>
      <c r="AC998" s="100"/>
      <c r="AD998" s="100"/>
      <c r="AF998"/>
      <c r="AG998">
        <f t="shared" si="816"/>
        <v>0</v>
      </c>
      <c r="AH998">
        <f t="shared" si="800"/>
        <v>0</v>
      </c>
      <c r="AK998">
        <f t="shared" si="801"/>
        <v>0</v>
      </c>
      <c r="AL998">
        <f t="shared" si="802"/>
        <v>0</v>
      </c>
      <c r="AM998">
        <f t="shared" si="803"/>
        <v>0</v>
      </c>
      <c r="AN998">
        <f t="shared" si="804"/>
        <v>0</v>
      </c>
      <c r="AO998">
        <f t="shared" si="805"/>
        <v>0</v>
      </c>
      <c r="AP998">
        <f t="shared" si="806"/>
        <v>0</v>
      </c>
      <c r="AQ998">
        <f t="shared" si="807"/>
        <v>0</v>
      </c>
      <c r="AR998">
        <f t="shared" si="808"/>
        <v>0</v>
      </c>
      <c r="AS998">
        <f t="shared" si="809"/>
        <v>0</v>
      </c>
      <c r="AT998">
        <f t="shared" si="810"/>
        <v>0</v>
      </c>
      <c r="AU998">
        <f t="shared" si="811"/>
        <v>0</v>
      </c>
      <c r="AV998">
        <f t="shared" si="812"/>
        <v>0</v>
      </c>
      <c r="AW998">
        <f t="shared" si="813"/>
        <v>0</v>
      </c>
      <c r="AX998">
        <f t="shared" si="814"/>
        <v>0</v>
      </c>
      <c r="AY998">
        <f t="shared" si="815"/>
        <v>0</v>
      </c>
    </row>
    <row r="999" spans="1:51" ht="15" customHeight="1">
      <c r="A999" s="110"/>
      <c r="B999" s="57"/>
      <c r="C999" s="1109"/>
      <c r="D999" s="954"/>
      <c r="E999" s="956"/>
      <c r="F999" s="1110" t="s">
        <v>4943</v>
      </c>
      <c r="G999" s="1110"/>
      <c r="H999" s="178"/>
      <c r="I999" s="1111" t="s">
        <v>201</v>
      </c>
      <c r="J999" s="1111"/>
      <c r="K999" s="1111"/>
      <c r="L999" s="1111"/>
      <c r="M999" s="1111"/>
      <c r="N999" s="1111"/>
      <c r="O999" s="1112"/>
      <c r="P999" s="100"/>
      <c r="Q999" s="100"/>
      <c r="R999" s="100"/>
      <c r="S999" s="100"/>
      <c r="T999" s="100"/>
      <c r="U999" s="100"/>
      <c r="V999" s="100"/>
      <c r="W999" s="100"/>
      <c r="X999" s="100"/>
      <c r="Y999" s="100"/>
      <c r="Z999" s="100"/>
      <c r="AA999" s="100"/>
      <c r="AB999" s="100"/>
      <c r="AC999" s="100"/>
      <c r="AD999" s="100"/>
      <c r="AF999"/>
      <c r="AG999">
        <f t="shared" si="816"/>
        <v>0</v>
      </c>
      <c r="AH999">
        <f t="shared" si="800"/>
        <v>0</v>
      </c>
      <c r="AK999">
        <f t="shared" si="801"/>
        <v>0</v>
      </c>
      <c r="AL999">
        <f t="shared" si="802"/>
        <v>0</v>
      </c>
      <c r="AM999">
        <f t="shared" si="803"/>
        <v>0</v>
      </c>
      <c r="AN999">
        <f t="shared" si="804"/>
        <v>0</v>
      </c>
      <c r="AO999">
        <f t="shared" si="805"/>
        <v>0</v>
      </c>
      <c r="AP999">
        <f t="shared" si="806"/>
        <v>0</v>
      </c>
      <c r="AQ999">
        <f t="shared" si="807"/>
        <v>0</v>
      </c>
      <c r="AR999">
        <f t="shared" si="808"/>
        <v>0</v>
      </c>
      <c r="AS999">
        <f t="shared" si="809"/>
        <v>0</v>
      </c>
      <c r="AT999">
        <f t="shared" si="810"/>
        <v>0</v>
      </c>
      <c r="AU999">
        <f t="shared" si="811"/>
        <v>0</v>
      </c>
      <c r="AV999">
        <f t="shared" si="812"/>
        <v>0</v>
      </c>
      <c r="AW999">
        <f t="shared" si="813"/>
        <v>0</v>
      </c>
      <c r="AX999">
        <f t="shared" si="814"/>
        <v>0</v>
      </c>
      <c r="AY999">
        <f t="shared" si="815"/>
        <v>0</v>
      </c>
    </row>
    <row r="1000" spans="1:51" ht="15" customHeight="1">
      <c r="A1000" s="110"/>
      <c r="B1000" s="57"/>
      <c r="C1000" s="1109"/>
      <c r="D1000" s="954"/>
      <c r="E1000" s="956"/>
      <c r="F1000" s="1117" t="s">
        <v>4944</v>
      </c>
      <c r="G1000" s="1118"/>
      <c r="H1000" s="1104" t="s">
        <v>4945</v>
      </c>
      <c r="I1000" s="1105"/>
      <c r="J1000" s="1105"/>
      <c r="K1000" s="1105"/>
      <c r="L1000" s="1105"/>
      <c r="M1000" s="1105"/>
      <c r="N1000" s="1105"/>
      <c r="O1000" s="1106"/>
      <c r="P1000" s="100"/>
      <c r="Q1000" s="100"/>
      <c r="R1000" s="100"/>
      <c r="S1000" s="100"/>
      <c r="T1000" s="100"/>
      <c r="U1000" s="100"/>
      <c r="V1000" s="100"/>
      <c r="W1000" s="100"/>
      <c r="X1000" s="100"/>
      <c r="Y1000" s="100"/>
      <c r="Z1000" s="100"/>
      <c r="AA1000" s="100"/>
      <c r="AB1000" s="100"/>
      <c r="AC1000" s="100"/>
      <c r="AD1000" s="100"/>
      <c r="AF1000">
        <f>IF(P1000="NA",IF(AND(COUNTIF(P1001:P1005,"="&amp;$AF$934)=0,COUNTIF(P1001:P1005,"&lt;&gt;NA")&gt;0),1,0),IF(AND(COUNTIF(P1001:P1005,"="&amp;$AF$934)=0,COUNTIF(P1001:P1005,"NA")=COUNTIF(P1001:P1005,"&lt;&gt;"&amp;$AF$934)),1,0))</f>
        <v>0</v>
      </c>
      <c r="AG1000">
        <f t="shared" si="816"/>
        <v>0</v>
      </c>
      <c r="AH1000">
        <f t="shared" si="800"/>
        <v>0</v>
      </c>
      <c r="AK1000">
        <f t="shared" si="801"/>
        <v>0</v>
      </c>
      <c r="AL1000">
        <f t="shared" si="802"/>
        <v>0</v>
      </c>
      <c r="AM1000">
        <f t="shared" si="803"/>
        <v>0</v>
      </c>
      <c r="AN1000">
        <f t="shared" si="804"/>
        <v>0</v>
      </c>
      <c r="AO1000">
        <f t="shared" si="805"/>
        <v>0</v>
      </c>
      <c r="AP1000">
        <f t="shared" si="806"/>
        <v>0</v>
      </c>
      <c r="AQ1000">
        <f t="shared" si="807"/>
        <v>0</v>
      </c>
      <c r="AR1000">
        <f t="shared" si="808"/>
        <v>0</v>
      </c>
      <c r="AS1000">
        <f t="shared" si="809"/>
        <v>0</v>
      </c>
      <c r="AT1000">
        <f t="shared" si="810"/>
        <v>0</v>
      </c>
      <c r="AU1000">
        <f t="shared" si="811"/>
        <v>0</v>
      </c>
      <c r="AV1000">
        <f t="shared" si="812"/>
        <v>0</v>
      </c>
      <c r="AW1000">
        <f t="shared" si="813"/>
        <v>0</v>
      </c>
      <c r="AX1000">
        <f t="shared" si="814"/>
        <v>0</v>
      </c>
      <c r="AY1000">
        <f t="shared" si="815"/>
        <v>0</v>
      </c>
    </row>
    <row r="1001" spans="1:51" ht="24" customHeight="1">
      <c r="A1001" s="110"/>
      <c r="B1001" s="57"/>
      <c r="C1001" s="1109"/>
      <c r="D1001" s="954"/>
      <c r="E1001" s="956"/>
      <c r="F1001" s="1119" t="s">
        <v>4946</v>
      </c>
      <c r="G1001" s="1120"/>
      <c r="H1001" s="178"/>
      <c r="I1001" s="1111" t="s">
        <v>4947</v>
      </c>
      <c r="J1001" s="1111"/>
      <c r="K1001" s="1111"/>
      <c r="L1001" s="1111"/>
      <c r="M1001" s="1111"/>
      <c r="N1001" s="1111"/>
      <c r="O1001" s="1112"/>
      <c r="P1001" s="100"/>
      <c r="Q1001" s="100"/>
      <c r="R1001" s="100"/>
      <c r="S1001" s="100"/>
      <c r="T1001" s="100"/>
      <c r="U1001" s="100"/>
      <c r="V1001" s="100"/>
      <c r="W1001" s="100"/>
      <c r="X1001" s="100"/>
      <c r="Y1001" s="100"/>
      <c r="Z1001" s="100"/>
      <c r="AA1001" s="100"/>
      <c r="AB1001" s="100"/>
      <c r="AC1001" s="100"/>
      <c r="AD1001" s="100"/>
      <c r="AF1001"/>
      <c r="AG1001">
        <f t="shared" si="816"/>
        <v>0</v>
      </c>
      <c r="AH1001">
        <f t="shared" si="800"/>
        <v>0</v>
      </c>
      <c r="AK1001">
        <f t="shared" si="801"/>
        <v>0</v>
      </c>
      <c r="AL1001">
        <f t="shared" si="802"/>
        <v>0</v>
      </c>
      <c r="AM1001">
        <f t="shared" si="803"/>
        <v>0</v>
      </c>
      <c r="AN1001">
        <f t="shared" si="804"/>
        <v>0</v>
      </c>
      <c r="AO1001">
        <f t="shared" si="805"/>
        <v>0</v>
      </c>
      <c r="AP1001">
        <f t="shared" si="806"/>
        <v>0</v>
      </c>
      <c r="AQ1001">
        <f t="shared" si="807"/>
        <v>0</v>
      </c>
      <c r="AR1001">
        <f t="shared" si="808"/>
        <v>0</v>
      </c>
      <c r="AS1001">
        <f t="shared" si="809"/>
        <v>0</v>
      </c>
      <c r="AT1001">
        <f t="shared" si="810"/>
        <v>0</v>
      </c>
      <c r="AU1001">
        <f t="shared" si="811"/>
        <v>0</v>
      </c>
      <c r="AV1001">
        <f t="shared" si="812"/>
        <v>0</v>
      </c>
      <c r="AW1001">
        <f t="shared" si="813"/>
        <v>0</v>
      </c>
      <c r="AX1001">
        <f t="shared" si="814"/>
        <v>0</v>
      </c>
      <c r="AY1001">
        <f t="shared" si="815"/>
        <v>0</v>
      </c>
    </row>
    <row r="1002" spans="1:51" ht="24" customHeight="1">
      <c r="A1002" s="110"/>
      <c r="B1002" s="57"/>
      <c r="C1002" s="1109"/>
      <c r="D1002" s="954"/>
      <c r="E1002" s="956"/>
      <c r="F1002" s="1119" t="s">
        <v>4948</v>
      </c>
      <c r="G1002" s="1120"/>
      <c r="H1002" s="178"/>
      <c r="I1002" s="1111" t="s">
        <v>4949</v>
      </c>
      <c r="J1002" s="1111"/>
      <c r="K1002" s="1111"/>
      <c r="L1002" s="1111"/>
      <c r="M1002" s="1111"/>
      <c r="N1002" s="1111"/>
      <c r="O1002" s="1112"/>
      <c r="P1002" s="100"/>
      <c r="Q1002" s="100"/>
      <c r="R1002" s="100"/>
      <c r="S1002" s="100"/>
      <c r="T1002" s="100"/>
      <c r="U1002" s="100"/>
      <c r="V1002" s="100"/>
      <c r="W1002" s="100"/>
      <c r="X1002" s="100"/>
      <c r="Y1002" s="100"/>
      <c r="Z1002" s="100"/>
      <c r="AA1002" s="100"/>
      <c r="AB1002" s="100"/>
      <c r="AC1002" s="100"/>
      <c r="AD1002" s="100"/>
      <c r="AF1002"/>
      <c r="AG1002">
        <f t="shared" si="816"/>
        <v>0</v>
      </c>
      <c r="AH1002">
        <f t="shared" si="800"/>
        <v>0</v>
      </c>
      <c r="AK1002">
        <f t="shared" si="801"/>
        <v>0</v>
      </c>
      <c r="AL1002">
        <f t="shared" si="802"/>
        <v>0</v>
      </c>
      <c r="AM1002">
        <f t="shared" si="803"/>
        <v>0</v>
      </c>
      <c r="AN1002">
        <f t="shared" si="804"/>
        <v>0</v>
      </c>
      <c r="AO1002">
        <f t="shared" si="805"/>
        <v>0</v>
      </c>
      <c r="AP1002">
        <f t="shared" si="806"/>
        <v>0</v>
      </c>
      <c r="AQ1002">
        <f t="shared" si="807"/>
        <v>0</v>
      </c>
      <c r="AR1002">
        <f t="shared" si="808"/>
        <v>0</v>
      </c>
      <c r="AS1002">
        <f t="shared" si="809"/>
        <v>0</v>
      </c>
      <c r="AT1002">
        <f t="shared" si="810"/>
        <v>0</v>
      </c>
      <c r="AU1002">
        <f t="shared" si="811"/>
        <v>0</v>
      </c>
      <c r="AV1002">
        <f t="shared" si="812"/>
        <v>0</v>
      </c>
      <c r="AW1002">
        <f t="shared" si="813"/>
        <v>0</v>
      </c>
      <c r="AX1002">
        <f t="shared" si="814"/>
        <v>0</v>
      </c>
      <c r="AY1002">
        <f t="shared" si="815"/>
        <v>0</v>
      </c>
    </row>
    <row r="1003" spans="1:51" ht="24" customHeight="1">
      <c r="A1003" s="110"/>
      <c r="B1003" s="57"/>
      <c r="C1003" s="1109"/>
      <c r="D1003" s="954"/>
      <c r="E1003" s="956"/>
      <c r="F1003" s="1119" t="s">
        <v>4950</v>
      </c>
      <c r="G1003" s="1120"/>
      <c r="H1003" s="178"/>
      <c r="I1003" s="1111" t="s">
        <v>4951</v>
      </c>
      <c r="J1003" s="1111"/>
      <c r="K1003" s="1111"/>
      <c r="L1003" s="1111"/>
      <c r="M1003" s="1111"/>
      <c r="N1003" s="1111"/>
      <c r="O1003" s="1112"/>
      <c r="P1003" s="100"/>
      <c r="Q1003" s="100"/>
      <c r="R1003" s="100"/>
      <c r="S1003" s="100"/>
      <c r="T1003" s="100"/>
      <c r="U1003" s="100"/>
      <c r="V1003" s="100"/>
      <c r="W1003" s="100"/>
      <c r="X1003" s="100"/>
      <c r="Y1003" s="100"/>
      <c r="Z1003" s="100"/>
      <c r="AA1003" s="100"/>
      <c r="AB1003" s="100"/>
      <c r="AC1003" s="100"/>
      <c r="AD1003" s="100"/>
      <c r="AF1003"/>
      <c r="AG1003">
        <f t="shared" si="816"/>
        <v>0</v>
      </c>
      <c r="AH1003">
        <f t="shared" si="800"/>
        <v>0</v>
      </c>
      <c r="AK1003">
        <f t="shared" si="801"/>
        <v>0</v>
      </c>
      <c r="AL1003">
        <f t="shared" si="802"/>
        <v>0</v>
      </c>
      <c r="AM1003">
        <f t="shared" si="803"/>
        <v>0</v>
      </c>
      <c r="AN1003">
        <f t="shared" si="804"/>
        <v>0</v>
      </c>
      <c r="AO1003">
        <f t="shared" si="805"/>
        <v>0</v>
      </c>
      <c r="AP1003">
        <f t="shared" si="806"/>
        <v>0</v>
      </c>
      <c r="AQ1003">
        <f t="shared" si="807"/>
        <v>0</v>
      </c>
      <c r="AR1003">
        <f t="shared" si="808"/>
        <v>0</v>
      </c>
      <c r="AS1003">
        <f t="shared" si="809"/>
        <v>0</v>
      </c>
      <c r="AT1003">
        <f t="shared" si="810"/>
        <v>0</v>
      </c>
      <c r="AU1003">
        <f t="shared" si="811"/>
        <v>0</v>
      </c>
      <c r="AV1003">
        <f t="shared" si="812"/>
        <v>0</v>
      </c>
      <c r="AW1003">
        <f t="shared" si="813"/>
        <v>0</v>
      </c>
      <c r="AX1003">
        <f t="shared" si="814"/>
        <v>0</v>
      </c>
      <c r="AY1003">
        <f t="shared" si="815"/>
        <v>0</v>
      </c>
    </row>
    <row r="1004" spans="1:51" ht="15" customHeight="1">
      <c r="A1004" s="110"/>
      <c r="B1004" s="57"/>
      <c r="C1004" s="1109"/>
      <c r="D1004" s="954"/>
      <c r="E1004" s="956"/>
      <c r="F1004" s="1119" t="s">
        <v>4952</v>
      </c>
      <c r="G1004" s="1120"/>
      <c r="H1004" s="178"/>
      <c r="I1004" s="1111" t="s">
        <v>4953</v>
      </c>
      <c r="J1004" s="1111"/>
      <c r="K1004" s="1111"/>
      <c r="L1004" s="1111"/>
      <c r="M1004" s="1111"/>
      <c r="N1004" s="1111"/>
      <c r="O1004" s="1112"/>
      <c r="P1004" s="100"/>
      <c r="Q1004" s="100"/>
      <c r="R1004" s="100"/>
      <c r="S1004" s="100"/>
      <c r="T1004" s="100"/>
      <c r="U1004" s="100"/>
      <c r="V1004" s="100"/>
      <c r="W1004" s="100"/>
      <c r="X1004" s="100"/>
      <c r="Y1004" s="100"/>
      <c r="Z1004" s="100"/>
      <c r="AA1004" s="100"/>
      <c r="AB1004" s="100"/>
      <c r="AC1004" s="100"/>
      <c r="AD1004" s="100"/>
      <c r="AF1004"/>
      <c r="AG1004">
        <f t="shared" si="816"/>
        <v>0</v>
      </c>
      <c r="AH1004">
        <f t="shared" si="800"/>
        <v>0</v>
      </c>
      <c r="AK1004">
        <f t="shared" si="801"/>
        <v>0</v>
      </c>
      <c r="AL1004">
        <f t="shared" si="802"/>
        <v>0</v>
      </c>
      <c r="AM1004">
        <f t="shared" si="803"/>
        <v>0</v>
      </c>
      <c r="AN1004">
        <f t="shared" si="804"/>
        <v>0</v>
      </c>
      <c r="AO1004">
        <f t="shared" si="805"/>
        <v>0</v>
      </c>
      <c r="AP1004">
        <f t="shared" si="806"/>
        <v>0</v>
      </c>
      <c r="AQ1004">
        <f t="shared" si="807"/>
        <v>0</v>
      </c>
      <c r="AR1004">
        <f t="shared" si="808"/>
        <v>0</v>
      </c>
      <c r="AS1004">
        <f t="shared" si="809"/>
        <v>0</v>
      </c>
      <c r="AT1004">
        <f t="shared" si="810"/>
        <v>0</v>
      </c>
      <c r="AU1004">
        <f t="shared" si="811"/>
        <v>0</v>
      </c>
      <c r="AV1004">
        <f t="shared" si="812"/>
        <v>0</v>
      </c>
      <c r="AW1004">
        <f t="shared" si="813"/>
        <v>0</v>
      </c>
      <c r="AX1004">
        <f t="shared" si="814"/>
        <v>0</v>
      </c>
      <c r="AY1004">
        <f t="shared" si="815"/>
        <v>0</v>
      </c>
    </row>
    <row r="1005" spans="1:51" ht="15" customHeight="1">
      <c r="A1005" s="110"/>
      <c r="B1005" s="57"/>
      <c r="C1005" s="1109"/>
      <c r="D1005" s="954"/>
      <c r="E1005" s="956"/>
      <c r="F1005" s="1119" t="s">
        <v>4954</v>
      </c>
      <c r="G1005" s="1120"/>
      <c r="H1005" s="178"/>
      <c r="I1005" s="1111" t="s">
        <v>201</v>
      </c>
      <c r="J1005" s="1111"/>
      <c r="K1005" s="1111"/>
      <c r="L1005" s="1111"/>
      <c r="M1005" s="1111"/>
      <c r="N1005" s="1111"/>
      <c r="O1005" s="1112"/>
      <c r="P1005" s="100"/>
      <c r="Q1005" s="100"/>
      <c r="R1005" s="100"/>
      <c r="S1005" s="100"/>
      <c r="T1005" s="100"/>
      <c r="U1005" s="100"/>
      <c r="V1005" s="100"/>
      <c r="W1005" s="100"/>
      <c r="X1005" s="100"/>
      <c r="Y1005" s="100"/>
      <c r="Z1005" s="100"/>
      <c r="AA1005" s="100"/>
      <c r="AB1005" s="100"/>
      <c r="AC1005" s="100"/>
      <c r="AD1005" s="100"/>
      <c r="AF1005"/>
      <c r="AG1005">
        <f t="shared" si="816"/>
        <v>0</v>
      </c>
      <c r="AH1005">
        <f t="shared" si="800"/>
        <v>0</v>
      </c>
      <c r="AK1005">
        <f t="shared" si="801"/>
        <v>0</v>
      </c>
      <c r="AL1005">
        <f t="shared" si="802"/>
        <v>0</v>
      </c>
      <c r="AM1005">
        <f t="shared" si="803"/>
        <v>0</v>
      </c>
      <c r="AN1005">
        <f t="shared" si="804"/>
        <v>0</v>
      </c>
      <c r="AO1005">
        <f t="shared" si="805"/>
        <v>0</v>
      </c>
      <c r="AP1005">
        <f t="shared" si="806"/>
        <v>0</v>
      </c>
      <c r="AQ1005">
        <f t="shared" si="807"/>
        <v>0</v>
      </c>
      <c r="AR1005">
        <f t="shared" si="808"/>
        <v>0</v>
      </c>
      <c r="AS1005">
        <f t="shared" si="809"/>
        <v>0</v>
      </c>
      <c r="AT1005">
        <f t="shared" si="810"/>
        <v>0</v>
      </c>
      <c r="AU1005">
        <f t="shared" si="811"/>
        <v>0</v>
      </c>
      <c r="AV1005">
        <f t="shared" si="812"/>
        <v>0</v>
      </c>
      <c r="AW1005">
        <f t="shared" si="813"/>
        <v>0</v>
      </c>
      <c r="AX1005">
        <f t="shared" si="814"/>
        <v>0</v>
      </c>
      <c r="AY1005">
        <f t="shared" si="815"/>
        <v>0</v>
      </c>
    </row>
    <row r="1006" spans="1:51" ht="24" customHeight="1">
      <c r="A1006" s="110"/>
      <c r="B1006" s="57"/>
      <c r="C1006" s="1109"/>
      <c r="D1006" s="954"/>
      <c r="E1006" s="956"/>
      <c r="F1006" s="1103" t="s">
        <v>4955</v>
      </c>
      <c r="G1006" s="1103"/>
      <c r="H1006" s="1104" t="s">
        <v>4956</v>
      </c>
      <c r="I1006" s="1105"/>
      <c r="J1006" s="1105"/>
      <c r="K1006" s="1105"/>
      <c r="L1006" s="1105"/>
      <c r="M1006" s="1105"/>
      <c r="N1006" s="1105"/>
      <c r="O1006" s="1106"/>
      <c r="P1006" s="100"/>
      <c r="Q1006" s="100"/>
      <c r="R1006" s="100"/>
      <c r="S1006" s="100"/>
      <c r="T1006" s="100"/>
      <c r="U1006" s="100"/>
      <c r="V1006" s="100"/>
      <c r="W1006" s="100"/>
      <c r="X1006" s="100"/>
      <c r="Y1006" s="100"/>
      <c r="Z1006" s="100"/>
      <c r="AA1006" s="100"/>
      <c r="AB1006" s="100"/>
      <c r="AC1006" s="100"/>
      <c r="AD1006" s="100"/>
      <c r="AF1006"/>
      <c r="AG1006">
        <f t="shared" si="816"/>
        <v>0</v>
      </c>
      <c r="AH1006">
        <f t="shared" si="800"/>
        <v>0</v>
      </c>
      <c r="AK1006">
        <f t="shared" si="801"/>
        <v>0</v>
      </c>
      <c r="AL1006">
        <f t="shared" si="802"/>
        <v>0</v>
      </c>
      <c r="AM1006">
        <f t="shared" si="803"/>
        <v>0</v>
      </c>
      <c r="AN1006">
        <f t="shared" si="804"/>
        <v>0</v>
      </c>
      <c r="AO1006">
        <f t="shared" si="805"/>
        <v>0</v>
      </c>
      <c r="AP1006">
        <f t="shared" si="806"/>
        <v>0</v>
      </c>
      <c r="AQ1006">
        <f t="shared" si="807"/>
        <v>0</v>
      </c>
      <c r="AR1006">
        <f t="shared" si="808"/>
        <v>0</v>
      </c>
      <c r="AS1006">
        <f t="shared" si="809"/>
        <v>0</v>
      </c>
      <c r="AT1006">
        <f t="shared" si="810"/>
        <v>0</v>
      </c>
      <c r="AU1006">
        <f t="shared" si="811"/>
        <v>0</v>
      </c>
      <c r="AV1006">
        <f t="shared" si="812"/>
        <v>0</v>
      </c>
      <c r="AW1006">
        <f t="shared" si="813"/>
        <v>0</v>
      </c>
      <c r="AX1006">
        <f t="shared" si="814"/>
        <v>0</v>
      </c>
      <c r="AY1006">
        <f t="shared" si="815"/>
        <v>0</v>
      </c>
    </row>
    <row r="1007" spans="1:51" ht="15" customHeight="1">
      <c r="A1007" s="110"/>
      <c r="B1007" s="57"/>
      <c r="C1007" s="1109"/>
      <c r="D1007" s="954"/>
      <c r="E1007" s="956"/>
      <c r="F1007" s="1103" t="s">
        <v>4957</v>
      </c>
      <c r="G1007" s="1103"/>
      <c r="H1007" s="1104" t="s">
        <v>4958</v>
      </c>
      <c r="I1007" s="1105"/>
      <c r="J1007" s="1105"/>
      <c r="K1007" s="1105"/>
      <c r="L1007" s="1105"/>
      <c r="M1007" s="1105"/>
      <c r="N1007" s="1105"/>
      <c r="O1007" s="1106"/>
      <c r="P1007" s="100"/>
      <c r="Q1007" s="100"/>
      <c r="R1007" s="100"/>
      <c r="S1007" s="100"/>
      <c r="T1007" s="100"/>
      <c r="U1007" s="100"/>
      <c r="V1007" s="100"/>
      <c r="W1007" s="100"/>
      <c r="X1007" s="100"/>
      <c r="Y1007" s="100"/>
      <c r="Z1007" s="100"/>
      <c r="AA1007" s="100"/>
      <c r="AB1007" s="100"/>
      <c r="AC1007" s="100"/>
      <c r="AD1007" s="100"/>
      <c r="AF1007"/>
      <c r="AG1007">
        <f t="shared" si="816"/>
        <v>0</v>
      </c>
      <c r="AH1007">
        <f t="shared" si="800"/>
        <v>0</v>
      </c>
      <c r="AK1007">
        <f t="shared" si="801"/>
        <v>0</v>
      </c>
      <c r="AL1007">
        <f t="shared" si="802"/>
        <v>0</v>
      </c>
      <c r="AM1007">
        <f t="shared" si="803"/>
        <v>0</v>
      </c>
      <c r="AN1007">
        <f t="shared" si="804"/>
        <v>0</v>
      </c>
      <c r="AO1007">
        <f t="shared" si="805"/>
        <v>0</v>
      </c>
      <c r="AP1007">
        <f t="shared" si="806"/>
        <v>0</v>
      </c>
      <c r="AQ1007">
        <f t="shared" si="807"/>
        <v>0</v>
      </c>
      <c r="AR1007">
        <f t="shared" si="808"/>
        <v>0</v>
      </c>
      <c r="AS1007">
        <f t="shared" si="809"/>
        <v>0</v>
      </c>
      <c r="AT1007">
        <f t="shared" si="810"/>
        <v>0</v>
      </c>
      <c r="AU1007">
        <f t="shared" si="811"/>
        <v>0</v>
      </c>
      <c r="AV1007">
        <f t="shared" si="812"/>
        <v>0</v>
      </c>
      <c r="AW1007">
        <f t="shared" si="813"/>
        <v>0</v>
      </c>
      <c r="AX1007">
        <f t="shared" si="814"/>
        <v>0</v>
      </c>
      <c r="AY1007">
        <f t="shared" si="815"/>
        <v>0</v>
      </c>
    </row>
    <row r="1008" spans="1:51" ht="15" customHeight="1">
      <c r="A1008" s="110"/>
      <c r="B1008" s="57"/>
      <c r="C1008" s="1109"/>
      <c r="D1008" s="954"/>
      <c r="E1008" s="956"/>
      <c r="F1008" s="1103" t="s">
        <v>4959</v>
      </c>
      <c r="G1008" s="1103"/>
      <c r="H1008" s="1104" t="s">
        <v>4960</v>
      </c>
      <c r="I1008" s="1105"/>
      <c r="J1008" s="1105"/>
      <c r="K1008" s="1105"/>
      <c r="L1008" s="1105"/>
      <c r="M1008" s="1105"/>
      <c r="N1008" s="1105"/>
      <c r="O1008" s="1106"/>
      <c r="P1008" s="100"/>
      <c r="Q1008" s="100"/>
      <c r="R1008" s="100"/>
      <c r="S1008" s="100"/>
      <c r="T1008" s="100"/>
      <c r="U1008" s="100"/>
      <c r="V1008" s="100"/>
      <c r="W1008" s="100"/>
      <c r="X1008" s="100"/>
      <c r="Y1008" s="100"/>
      <c r="Z1008" s="100"/>
      <c r="AA1008" s="100"/>
      <c r="AB1008" s="100"/>
      <c r="AC1008" s="100"/>
      <c r="AD1008" s="100"/>
      <c r="AF1008"/>
      <c r="AG1008">
        <f t="shared" si="816"/>
        <v>0</v>
      </c>
      <c r="AH1008">
        <f t="shared" si="800"/>
        <v>0</v>
      </c>
      <c r="AK1008">
        <f t="shared" si="801"/>
        <v>0</v>
      </c>
      <c r="AL1008">
        <f t="shared" si="802"/>
        <v>0</v>
      </c>
      <c r="AM1008">
        <f t="shared" si="803"/>
        <v>0</v>
      </c>
      <c r="AN1008">
        <f t="shared" si="804"/>
        <v>0</v>
      </c>
      <c r="AO1008">
        <f t="shared" si="805"/>
        <v>0</v>
      </c>
      <c r="AP1008">
        <f t="shared" si="806"/>
        <v>0</v>
      </c>
      <c r="AQ1008">
        <f t="shared" si="807"/>
        <v>0</v>
      </c>
      <c r="AR1008">
        <f t="shared" si="808"/>
        <v>0</v>
      </c>
      <c r="AS1008">
        <f t="shared" si="809"/>
        <v>0</v>
      </c>
      <c r="AT1008">
        <f t="shared" si="810"/>
        <v>0</v>
      </c>
      <c r="AU1008">
        <f t="shared" si="811"/>
        <v>0</v>
      </c>
      <c r="AV1008">
        <f t="shared" si="812"/>
        <v>0</v>
      </c>
      <c r="AW1008">
        <f t="shared" si="813"/>
        <v>0</v>
      </c>
      <c r="AX1008">
        <f t="shared" si="814"/>
        <v>0</v>
      </c>
      <c r="AY1008">
        <f t="shared" si="815"/>
        <v>0</v>
      </c>
    </row>
    <row r="1009" spans="1:51" ht="15" customHeight="1">
      <c r="A1009" s="110"/>
      <c r="B1009" s="57"/>
      <c r="C1009" s="1109"/>
      <c r="D1009" s="954"/>
      <c r="E1009" s="956"/>
      <c r="F1009" s="1103" t="s">
        <v>4961</v>
      </c>
      <c r="G1009" s="1103"/>
      <c r="H1009" s="1104" t="s">
        <v>4962</v>
      </c>
      <c r="I1009" s="1105"/>
      <c r="J1009" s="1105"/>
      <c r="K1009" s="1105"/>
      <c r="L1009" s="1105"/>
      <c r="M1009" s="1105"/>
      <c r="N1009" s="1105"/>
      <c r="O1009" s="1106"/>
      <c r="P1009" s="100"/>
      <c r="Q1009" s="100"/>
      <c r="R1009" s="100"/>
      <c r="S1009" s="100"/>
      <c r="T1009" s="100"/>
      <c r="U1009" s="100"/>
      <c r="V1009" s="100"/>
      <c r="W1009" s="100"/>
      <c r="X1009" s="100"/>
      <c r="Y1009" s="100"/>
      <c r="Z1009" s="100"/>
      <c r="AA1009" s="100"/>
      <c r="AB1009" s="100"/>
      <c r="AC1009" s="100"/>
      <c r="AD1009" s="100"/>
      <c r="AF1009"/>
      <c r="AG1009">
        <f t="shared" si="816"/>
        <v>0</v>
      </c>
      <c r="AH1009">
        <f t="shared" si="800"/>
        <v>0</v>
      </c>
      <c r="AJ1009">
        <f>IF(OR(P1009="NS",P1009="NA",$P$895=0,$P$895="NS",$P$895="NA"),0,IF((P1009*(IFERROR(100/SUM(P992:P1009),0)))&gt;25,1,0))</f>
        <v>0</v>
      </c>
      <c r="AK1009">
        <f t="shared" si="801"/>
        <v>0</v>
      </c>
      <c r="AL1009">
        <f t="shared" si="802"/>
        <v>0</v>
      </c>
      <c r="AM1009">
        <f t="shared" si="803"/>
        <v>0</v>
      </c>
      <c r="AN1009">
        <f t="shared" si="804"/>
        <v>0</v>
      </c>
      <c r="AO1009">
        <f t="shared" si="805"/>
        <v>0</v>
      </c>
      <c r="AP1009">
        <f t="shared" si="806"/>
        <v>0</v>
      </c>
      <c r="AQ1009">
        <f t="shared" si="807"/>
        <v>0</v>
      </c>
      <c r="AR1009">
        <f t="shared" si="808"/>
        <v>0</v>
      </c>
      <c r="AS1009">
        <f t="shared" si="809"/>
        <v>0</v>
      </c>
      <c r="AT1009">
        <f t="shared" si="810"/>
        <v>0</v>
      </c>
      <c r="AU1009">
        <f t="shared" si="811"/>
        <v>0</v>
      </c>
      <c r="AV1009">
        <f t="shared" si="812"/>
        <v>0</v>
      </c>
      <c r="AW1009">
        <f t="shared" si="813"/>
        <v>0</v>
      </c>
      <c r="AX1009">
        <f t="shared" si="814"/>
        <v>0</v>
      </c>
      <c r="AY1009">
        <f t="shared" si="815"/>
        <v>0</v>
      </c>
    </row>
    <row r="1010" spans="1:51" ht="36" customHeight="1">
      <c r="A1010" s="110"/>
      <c r="B1010" s="57"/>
      <c r="C1010" s="1108" t="s">
        <v>4963</v>
      </c>
      <c r="D1010" s="847" t="s">
        <v>4964</v>
      </c>
      <c r="E1010" s="848"/>
      <c r="F1010" s="1103" t="s">
        <v>4965</v>
      </c>
      <c r="G1010" s="1103"/>
      <c r="H1010" s="1104" t="s">
        <v>4966</v>
      </c>
      <c r="I1010" s="1105"/>
      <c r="J1010" s="1105"/>
      <c r="K1010" s="1105"/>
      <c r="L1010" s="1105"/>
      <c r="M1010" s="1105"/>
      <c r="N1010" s="1105"/>
      <c r="O1010" s="1106"/>
      <c r="P1010" s="100"/>
      <c r="Q1010" s="100"/>
      <c r="R1010" s="100"/>
      <c r="S1010" s="100"/>
      <c r="T1010" s="100"/>
      <c r="U1010" s="100"/>
      <c r="V1010" s="100"/>
      <c r="W1010" s="100"/>
      <c r="X1010" s="100"/>
      <c r="Y1010" s="100"/>
      <c r="Z1010" s="100"/>
      <c r="AA1010" s="100"/>
      <c r="AB1010" s="100"/>
      <c r="AC1010" s="100"/>
      <c r="AD1010" s="100"/>
      <c r="AF1010">
        <f>IF(P1010="NA",IF(AND(COUNTIF(P1011:P1016,"="&amp;$AF$934)=0,COUNTIF(P1011:P1016,"&lt;&gt;NA")&gt;0),1,0),IF(AND(COUNTIF(P1011:P1016,"="&amp;$AF$934)=0,COUNTIF(P1011:P1016,"NA")=COUNTIF(P1011:P1016,"&lt;&gt;"&amp;$AF$934)),1,0))</f>
        <v>0</v>
      </c>
      <c r="AG1010">
        <f t="shared" si="816"/>
        <v>0</v>
      </c>
      <c r="AH1010">
        <f t="shared" si="800"/>
        <v>0</v>
      </c>
      <c r="AK1010">
        <f t="shared" si="801"/>
        <v>0</v>
      </c>
      <c r="AL1010">
        <f t="shared" si="802"/>
        <v>0</v>
      </c>
      <c r="AM1010">
        <f t="shared" si="803"/>
        <v>0</v>
      </c>
      <c r="AN1010">
        <f t="shared" si="804"/>
        <v>0</v>
      </c>
      <c r="AO1010">
        <f t="shared" si="805"/>
        <v>0</v>
      </c>
      <c r="AP1010">
        <f t="shared" si="806"/>
        <v>0</v>
      </c>
      <c r="AQ1010">
        <f t="shared" si="807"/>
        <v>0</v>
      </c>
      <c r="AR1010">
        <f t="shared" si="808"/>
        <v>0</v>
      </c>
      <c r="AS1010">
        <f t="shared" si="809"/>
        <v>0</v>
      </c>
      <c r="AT1010">
        <f t="shared" si="810"/>
        <v>0</v>
      </c>
      <c r="AU1010">
        <f t="shared" si="811"/>
        <v>0</v>
      </c>
      <c r="AV1010">
        <f t="shared" si="812"/>
        <v>0</v>
      </c>
      <c r="AW1010">
        <f t="shared" si="813"/>
        <v>0</v>
      </c>
      <c r="AX1010">
        <f t="shared" si="814"/>
        <v>0</v>
      </c>
      <c r="AY1010">
        <f t="shared" si="815"/>
        <v>0</v>
      </c>
    </row>
    <row r="1011" spans="1:51" ht="15" customHeight="1">
      <c r="A1011" s="110"/>
      <c r="B1011" s="57"/>
      <c r="C1011" s="1109"/>
      <c r="D1011" s="954"/>
      <c r="E1011" s="956"/>
      <c r="F1011" s="1110" t="s">
        <v>4967</v>
      </c>
      <c r="G1011" s="1110"/>
      <c r="H1011" s="178"/>
      <c r="I1011" s="1111" t="s">
        <v>4968</v>
      </c>
      <c r="J1011" s="1111"/>
      <c r="K1011" s="1111"/>
      <c r="L1011" s="1111"/>
      <c r="M1011" s="1111"/>
      <c r="N1011" s="1111"/>
      <c r="O1011" s="1112"/>
      <c r="P1011" s="100"/>
      <c r="Q1011" s="100"/>
      <c r="R1011" s="100"/>
      <c r="S1011" s="100"/>
      <c r="T1011" s="100"/>
      <c r="U1011" s="100"/>
      <c r="V1011" s="100"/>
      <c r="W1011" s="100"/>
      <c r="X1011" s="100"/>
      <c r="Y1011" s="100"/>
      <c r="Z1011" s="100"/>
      <c r="AA1011" s="100"/>
      <c r="AB1011" s="100"/>
      <c r="AC1011" s="100"/>
      <c r="AD1011" s="100"/>
      <c r="AF1011"/>
      <c r="AG1011">
        <f t="shared" si="816"/>
        <v>0</v>
      </c>
      <c r="AH1011">
        <f t="shared" si="800"/>
        <v>0</v>
      </c>
      <c r="AK1011">
        <f t="shared" si="801"/>
        <v>0</v>
      </c>
      <c r="AL1011">
        <f t="shared" si="802"/>
        <v>0</v>
      </c>
      <c r="AM1011">
        <f t="shared" si="803"/>
        <v>0</v>
      </c>
      <c r="AN1011">
        <f t="shared" si="804"/>
        <v>0</v>
      </c>
      <c r="AO1011">
        <f t="shared" si="805"/>
        <v>0</v>
      </c>
      <c r="AP1011">
        <f t="shared" si="806"/>
        <v>0</v>
      </c>
      <c r="AQ1011">
        <f t="shared" si="807"/>
        <v>0</v>
      </c>
      <c r="AR1011">
        <f t="shared" si="808"/>
        <v>0</v>
      </c>
      <c r="AS1011">
        <f t="shared" si="809"/>
        <v>0</v>
      </c>
      <c r="AT1011">
        <f t="shared" si="810"/>
        <v>0</v>
      </c>
      <c r="AU1011">
        <f t="shared" si="811"/>
        <v>0</v>
      </c>
      <c r="AV1011">
        <f t="shared" si="812"/>
        <v>0</v>
      </c>
      <c r="AW1011">
        <f t="shared" si="813"/>
        <v>0</v>
      </c>
      <c r="AX1011">
        <f t="shared" si="814"/>
        <v>0</v>
      </c>
      <c r="AY1011">
        <f t="shared" si="815"/>
        <v>0</v>
      </c>
    </row>
    <row r="1012" spans="1:51" ht="24" customHeight="1">
      <c r="A1012" s="110"/>
      <c r="B1012" s="57"/>
      <c r="C1012" s="1109"/>
      <c r="D1012" s="954"/>
      <c r="E1012" s="956"/>
      <c r="F1012" s="1110" t="s">
        <v>4969</v>
      </c>
      <c r="G1012" s="1110"/>
      <c r="H1012" s="178"/>
      <c r="I1012" s="1111" t="s">
        <v>4970</v>
      </c>
      <c r="J1012" s="1111"/>
      <c r="K1012" s="1111"/>
      <c r="L1012" s="1111"/>
      <c r="M1012" s="1111"/>
      <c r="N1012" s="1111"/>
      <c r="O1012" s="1112"/>
      <c r="P1012" s="100"/>
      <c r="Q1012" s="100"/>
      <c r="R1012" s="100"/>
      <c r="S1012" s="100"/>
      <c r="T1012" s="100"/>
      <c r="U1012" s="100"/>
      <c r="V1012" s="100"/>
      <c r="W1012" s="100"/>
      <c r="X1012" s="100"/>
      <c r="Y1012" s="100"/>
      <c r="Z1012" s="100"/>
      <c r="AA1012" s="100"/>
      <c r="AB1012" s="100"/>
      <c r="AC1012" s="100"/>
      <c r="AD1012" s="100"/>
      <c r="AF1012"/>
      <c r="AG1012">
        <f t="shared" si="816"/>
        <v>0</v>
      </c>
      <c r="AH1012">
        <f t="shared" si="800"/>
        <v>0</v>
      </c>
      <c r="AK1012">
        <f t="shared" si="801"/>
        <v>0</v>
      </c>
      <c r="AL1012">
        <f t="shared" si="802"/>
        <v>0</v>
      </c>
      <c r="AM1012">
        <f t="shared" si="803"/>
        <v>0</v>
      </c>
      <c r="AN1012">
        <f t="shared" si="804"/>
        <v>0</v>
      </c>
      <c r="AO1012">
        <f t="shared" si="805"/>
        <v>0</v>
      </c>
      <c r="AP1012">
        <f t="shared" si="806"/>
        <v>0</v>
      </c>
      <c r="AQ1012">
        <f t="shared" si="807"/>
        <v>0</v>
      </c>
      <c r="AR1012">
        <f t="shared" si="808"/>
        <v>0</v>
      </c>
      <c r="AS1012">
        <f t="shared" si="809"/>
        <v>0</v>
      </c>
      <c r="AT1012">
        <f t="shared" si="810"/>
        <v>0</v>
      </c>
      <c r="AU1012">
        <f t="shared" si="811"/>
        <v>0</v>
      </c>
      <c r="AV1012">
        <f t="shared" si="812"/>
        <v>0</v>
      </c>
      <c r="AW1012">
        <f t="shared" si="813"/>
        <v>0</v>
      </c>
      <c r="AX1012">
        <f t="shared" si="814"/>
        <v>0</v>
      </c>
      <c r="AY1012">
        <f t="shared" si="815"/>
        <v>0</v>
      </c>
    </row>
    <row r="1013" spans="1:51" ht="15" customHeight="1">
      <c r="A1013" s="110"/>
      <c r="B1013" s="57"/>
      <c r="C1013" s="1109"/>
      <c r="D1013" s="954"/>
      <c r="E1013" s="956"/>
      <c r="F1013" s="1110" t="s">
        <v>4971</v>
      </c>
      <c r="G1013" s="1110"/>
      <c r="H1013" s="178"/>
      <c r="I1013" s="1111" t="s">
        <v>4972</v>
      </c>
      <c r="J1013" s="1111"/>
      <c r="K1013" s="1111"/>
      <c r="L1013" s="1111"/>
      <c r="M1013" s="1111"/>
      <c r="N1013" s="1111"/>
      <c r="O1013" s="1112"/>
      <c r="P1013" s="100"/>
      <c r="Q1013" s="100"/>
      <c r="R1013" s="100"/>
      <c r="S1013" s="100"/>
      <c r="T1013" s="100"/>
      <c r="U1013" s="100"/>
      <c r="V1013" s="100"/>
      <c r="W1013" s="100"/>
      <c r="X1013" s="100"/>
      <c r="Y1013" s="100"/>
      <c r="Z1013" s="100"/>
      <c r="AA1013" s="100"/>
      <c r="AB1013" s="100"/>
      <c r="AC1013" s="100"/>
      <c r="AD1013" s="100"/>
      <c r="AF1013"/>
      <c r="AG1013">
        <f t="shared" si="816"/>
        <v>0</v>
      </c>
      <c r="AH1013">
        <f t="shared" si="800"/>
        <v>0</v>
      </c>
      <c r="AK1013">
        <f t="shared" si="801"/>
        <v>0</v>
      </c>
      <c r="AL1013">
        <f t="shared" si="802"/>
        <v>0</v>
      </c>
      <c r="AM1013">
        <f t="shared" si="803"/>
        <v>0</v>
      </c>
      <c r="AN1013">
        <f t="shared" si="804"/>
        <v>0</v>
      </c>
      <c r="AO1013">
        <f t="shared" si="805"/>
        <v>0</v>
      </c>
      <c r="AP1013">
        <f t="shared" si="806"/>
        <v>0</v>
      </c>
      <c r="AQ1013">
        <f t="shared" si="807"/>
        <v>0</v>
      </c>
      <c r="AR1013">
        <f t="shared" si="808"/>
        <v>0</v>
      </c>
      <c r="AS1013">
        <f t="shared" si="809"/>
        <v>0</v>
      </c>
      <c r="AT1013">
        <f t="shared" si="810"/>
        <v>0</v>
      </c>
      <c r="AU1013">
        <f t="shared" si="811"/>
        <v>0</v>
      </c>
      <c r="AV1013">
        <f t="shared" si="812"/>
        <v>0</v>
      </c>
      <c r="AW1013">
        <f t="shared" si="813"/>
        <v>0</v>
      </c>
      <c r="AX1013">
        <f t="shared" si="814"/>
        <v>0</v>
      </c>
      <c r="AY1013">
        <f t="shared" si="815"/>
        <v>0</v>
      </c>
    </row>
    <row r="1014" spans="1:51" ht="15" customHeight="1">
      <c r="A1014" s="110"/>
      <c r="B1014" s="57"/>
      <c r="C1014" s="1109"/>
      <c r="D1014" s="954"/>
      <c r="E1014" s="956"/>
      <c r="F1014" s="1110" t="s">
        <v>4973</v>
      </c>
      <c r="G1014" s="1110"/>
      <c r="H1014" s="178"/>
      <c r="I1014" s="1111" t="s">
        <v>4974</v>
      </c>
      <c r="J1014" s="1111"/>
      <c r="K1014" s="1111"/>
      <c r="L1014" s="1111"/>
      <c r="M1014" s="1111"/>
      <c r="N1014" s="1111"/>
      <c r="O1014" s="1112"/>
      <c r="P1014" s="100"/>
      <c r="Q1014" s="100"/>
      <c r="R1014" s="100"/>
      <c r="S1014" s="100"/>
      <c r="T1014" s="100"/>
      <c r="U1014" s="100"/>
      <c r="V1014" s="100"/>
      <c r="W1014" s="100"/>
      <c r="X1014" s="100"/>
      <c r="Y1014" s="100"/>
      <c r="Z1014" s="100"/>
      <c r="AA1014" s="100"/>
      <c r="AB1014" s="100"/>
      <c r="AC1014" s="100"/>
      <c r="AD1014" s="100"/>
      <c r="AF1014"/>
      <c r="AG1014">
        <f t="shared" si="816"/>
        <v>0</v>
      </c>
      <c r="AH1014">
        <f t="shared" si="800"/>
        <v>0</v>
      </c>
      <c r="AK1014">
        <f t="shared" si="801"/>
        <v>0</v>
      </c>
      <c r="AL1014">
        <f t="shared" si="802"/>
        <v>0</v>
      </c>
      <c r="AM1014">
        <f t="shared" si="803"/>
        <v>0</v>
      </c>
      <c r="AN1014">
        <f t="shared" si="804"/>
        <v>0</v>
      </c>
      <c r="AO1014">
        <f t="shared" si="805"/>
        <v>0</v>
      </c>
      <c r="AP1014">
        <f t="shared" si="806"/>
        <v>0</v>
      </c>
      <c r="AQ1014">
        <f t="shared" si="807"/>
        <v>0</v>
      </c>
      <c r="AR1014">
        <f t="shared" si="808"/>
        <v>0</v>
      </c>
      <c r="AS1014">
        <f t="shared" si="809"/>
        <v>0</v>
      </c>
      <c r="AT1014">
        <f t="shared" si="810"/>
        <v>0</v>
      </c>
      <c r="AU1014">
        <f t="shared" si="811"/>
        <v>0</v>
      </c>
      <c r="AV1014">
        <f t="shared" si="812"/>
        <v>0</v>
      </c>
      <c r="AW1014">
        <f t="shared" si="813"/>
        <v>0</v>
      </c>
      <c r="AX1014">
        <f t="shared" si="814"/>
        <v>0</v>
      </c>
      <c r="AY1014">
        <f t="shared" si="815"/>
        <v>0</v>
      </c>
    </row>
    <row r="1015" spans="1:51" ht="36" customHeight="1">
      <c r="A1015" s="110"/>
      <c r="B1015" s="57"/>
      <c r="C1015" s="1109"/>
      <c r="D1015" s="954"/>
      <c r="E1015" s="956"/>
      <c r="F1015" s="1110" t="s">
        <v>4975</v>
      </c>
      <c r="G1015" s="1110"/>
      <c r="H1015" s="178"/>
      <c r="I1015" s="1111" t="s">
        <v>4976</v>
      </c>
      <c r="J1015" s="1111"/>
      <c r="K1015" s="1111"/>
      <c r="L1015" s="1111"/>
      <c r="M1015" s="1111"/>
      <c r="N1015" s="1111"/>
      <c r="O1015" s="1112"/>
      <c r="P1015" s="100"/>
      <c r="Q1015" s="100"/>
      <c r="R1015" s="100"/>
      <c r="S1015" s="100"/>
      <c r="T1015" s="100"/>
      <c r="U1015" s="100"/>
      <c r="V1015" s="100"/>
      <c r="W1015" s="100"/>
      <c r="X1015" s="100"/>
      <c r="Y1015" s="100"/>
      <c r="Z1015" s="100"/>
      <c r="AA1015" s="100"/>
      <c r="AB1015" s="100"/>
      <c r="AC1015" s="100"/>
      <c r="AD1015" s="100"/>
      <c r="AF1015"/>
      <c r="AG1015">
        <f t="shared" si="816"/>
        <v>0</v>
      </c>
      <c r="AH1015">
        <f t="shared" si="800"/>
        <v>0</v>
      </c>
      <c r="AK1015">
        <f t="shared" si="801"/>
        <v>0</v>
      </c>
      <c r="AL1015">
        <f t="shared" si="802"/>
        <v>0</v>
      </c>
      <c r="AM1015">
        <f t="shared" si="803"/>
        <v>0</v>
      </c>
      <c r="AN1015">
        <f t="shared" si="804"/>
        <v>0</v>
      </c>
      <c r="AO1015">
        <f t="shared" si="805"/>
        <v>0</v>
      </c>
      <c r="AP1015">
        <f t="shared" si="806"/>
        <v>0</v>
      </c>
      <c r="AQ1015">
        <f t="shared" si="807"/>
        <v>0</v>
      </c>
      <c r="AR1015">
        <f t="shared" si="808"/>
        <v>0</v>
      </c>
      <c r="AS1015">
        <f t="shared" si="809"/>
        <v>0</v>
      </c>
      <c r="AT1015">
        <f t="shared" si="810"/>
        <v>0</v>
      </c>
      <c r="AU1015">
        <f t="shared" si="811"/>
        <v>0</v>
      </c>
      <c r="AV1015">
        <f t="shared" si="812"/>
        <v>0</v>
      </c>
      <c r="AW1015">
        <f t="shared" si="813"/>
        <v>0</v>
      </c>
      <c r="AX1015">
        <f t="shared" si="814"/>
        <v>0</v>
      </c>
      <c r="AY1015">
        <f t="shared" si="815"/>
        <v>0</v>
      </c>
    </row>
    <row r="1016" spans="1:51" ht="15" customHeight="1">
      <c r="A1016" s="110"/>
      <c r="B1016" s="57"/>
      <c r="C1016" s="1109"/>
      <c r="D1016" s="954"/>
      <c r="E1016" s="956"/>
      <c r="F1016" s="1110" t="s">
        <v>4977</v>
      </c>
      <c r="G1016" s="1110"/>
      <c r="H1016" s="178"/>
      <c r="I1016" s="1111" t="s">
        <v>201</v>
      </c>
      <c r="J1016" s="1111"/>
      <c r="K1016" s="1111"/>
      <c r="L1016" s="1111"/>
      <c r="M1016" s="1111"/>
      <c r="N1016" s="1111"/>
      <c r="O1016" s="1112"/>
      <c r="P1016" s="100"/>
      <c r="Q1016" s="100"/>
      <c r="R1016" s="100"/>
      <c r="S1016" s="100"/>
      <c r="T1016" s="100"/>
      <c r="U1016" s="100"/>
      <c r="V1016" s="100"/>
      <c r="W1016" s="100"/>
      <c r="X1016" s="100"/>
      <c r="Y1016" s="100"/>
      <c r="Z1016" s="100"/>
      <c r="AA1016" s="100"/>
      <c r="AB1016" s="100"/>
      <c r="AC1016" s="100"/>
      <c r="AD1016" s="100"/>
      <c r="AF1016"/>
      <c r="AG1016">
        <f t="shared" si="816"/>
        <v>0</v>
      </c>
      <c r="AH1016">
        <f t="shared" si="800"/>
        <v>0</v>
      </c>
      <c r="AK1016">
        <f t="shared" si="801"/>
        <v>0</v>
      </c>
      <c r="AL1016">
        <f t="shared" si="802"/>
        <v>0</v>
      </c>
      <c r="AM1016">
        <f t="shared" si="803"/>
        <v>0</v>
      </c>
      <c r="AN1016">
        <f t="shared" si="804"/>
        <v>0</v>
      </c>
      <c r="AO1016">
        <f t="shared" si="805"/>
        <v>0</v>
      </c>
      <c r="AP1016">
        <f t="shared" si="806"/>
        <v>0</v>
      </c>
      <c r="AQ1016">
        <f t="shared" si="807"/>
        <v>0</v>
      </c>
      <c r="AR1016">
        <f t="shared" si="808"/>
        <v>0</v>
      </c>
      <c r="AS1016">
        <f t="shared" si="809"/>
        <v>0</v>
      </c>
      <c r="AT1016">
        <f t="shared" si="810"/>
        <v>0</v>
      </c>
      <c r="AU1016">
        <f t="shared" si="811"/>
        <v>0</v>
      </c>
      <c r="AV1016">
        <f t="shared" si="812"/>
        <v>0</v>
      </c>
      <c r="AW1016">
        <f t="shared" si="813"/>
        <v>0</v>
      </c>
      <c r="AX1016">
        <f t="shared" si="814"/>
        <v>0</v>
      </c>
      <c r="AY1016">
        <f t="shared" si="815"/>
        <v>0</v>
      </c>
    </row>
    <row r="1017" spans="1:51" ht="24" customHeight="1">
      <c r="A1017" s="110"/>
      <c r="B1017" s="57"/>
      <c r="C1017" s="1109"/>
      <c r="D1017" s="954"/>
      <c r="E1017" s="956"/>
      <c r="F1017" s="1103" t="s">
        <v>4978</v>
      </c>
      <c r="G1017" s="1103"/>
      <c r="H1017" s="1104" t="s">
        <v>4979</v>
      </c>
      <c r="I1017" s="1105"/>
      <c r="J1017" s="1105"/>
      <c r="K1017" s="1105"/>
      <c r="L1017" s="1105"/>
      <c r="M1017" s="1105"/>
      <c r="N1017" s="1105"/>
      <c r="O1017" s="1106"/>
      <c r="P1017" s="100"/>
      <c r="Q1017" s="100"/>
      <c r="R1017" s="100"/>
      <c r="S1017" s="100"/>
      <c r="T1017" s="100"/>
      <c r="U1017" s="100"/>
      <c r="V1017" s="100"/>
      <c r="W1017" s="100"/>
      <c r="X1017" s="100"/>
      <c r="Y1017" s="100"/>
      <c r="Z1017" s="100"/>
      <c r="AA1017" s="100"/>
      <c r="AB1017" s="100"/>
      <c r="AC1017" s="100"/>
      <c r="AD1017" s="100"/>
      <c r="AF1017">
        <f>IF(P1017="NA",IF(AND(COUNTIF(P1018:P1025,"="&amp;$AF$934)=0,COUNTIF(P1018:P1025,"&lt;&gt;NA")&gt;0),1,0),IF(AND(COUNTIF(P1018:P1025,"="&amp;$AF$934)=0,COUNTIF(P1018:P1025,"NA")=COUNTIF(P1018:P1025,"&lt;&gt;"&amp;$AF$934)),1,0))</f>
        <v>0</v>
      </c>
      <c r="AG1017">
        <f t="shared" si="816"/>
        <v>0</v>
      </c>
      <c r="AH1017">
        <f t="shared" si="800"/>
        <v>0</v>
      </c>
      <c r="AK1017">
        <f t="shared" si="801"/>
        <v>0</v>
      </c>
      <c r="AL1017">
        <f t="shared" si="802"/>
        <v>0</v>
      </c>
      <c r="AM1017">
        <f t="shared" si="803"/>
        <v>0</v>
      </c>
      <c r="AN1017">
        <f t="shared" si="804"/>
        <v>0</v>
      </c>
      <c r="AO1017">
        <f t="shared" si="805"/>
        <v>0</v>
      </c>
      <c r="AP1017">
        <f t="shared" si="806"/>
        <v>0</v>
      </c>
      <c r="AQ1017">
        <f t="shared" si="807"/>
        <v>0</v>
      </c>
      <c r="AR1017">
        <f t="shared" si="808"/>
        <v>0</v>
      </c>
      <c r="AS1017">
        <f t="shared" si="809"/>
        <v>0</v>
      </c>
      <c r="AT1017">
        <f t="shared" si="810"/>
        <v>0</v>
      </c>
      <c r="AU1017">
        <f t="shared" si="811"/>
        <v>0</v>
      </c>
      <c r="AV1017">
        <f t="shared" si="812"/>
        <v>0</v>
      </c>
      <c r="AW1017">
        <f t="shared" si="813"/>
        <v>0</v>
      </c>
      <c r="AX1017">
        <f t="shared" si="814"/>
        <v>0</v>
      </c>
      <c r="AY1017">
        <f t="shared" si="815"/>
        <v>0</v>
      </c>
    </row>
    <row r="1018" spans="1:51" ht="15" customHeight="1">
      <c r="A1018" s="110"/>
      <c r="B1018" s="57"/>
      <c r="C1018" s="1109"/>
      <c r="D1018" s="954"/>
      <c r="E1018" s="956"/>
      <c r="F1018" s="1110" t="s">
        <v>4980</v>
      </c>
      <c r="G1018" s="1110"/>
      <c r="H1018" s="178"/>
      <c r="I1018" s="1111" t="s">
        <v>4981</v>
      </c>
      <c r="J1018" s="1111"/>
      <c r="K1018" s="1111"/>
      <c r="L1018" s="1111"/>
      <c r="M1018" s="1111"/>
      <c r="N1018" s="1111"/>
      <c r="O1018" s="1112"/>
      <c r="P1018" s="100"/>
      <c r="Q1018" s="100"/>
      <c r="R1018" s="100"/>
      <c r="S1018" s="100"/>
      <c r="T1018" s="100"/>
      <c r="U1018" s="100"/>
      <c r="V1018" s="100"/>
      <c r="W1018" s="100"/>
      <c r="X1018" s="100"/>
      <c r="Y1018" s="100"/>
      <c r="Z1018" s="100"/>
      <c r="AA1018" s="100"/>
      <c r="AB1018" s="100"/>
      <c r="AC1018" s="100"/>
      <c r="AD1018" s="100"/>
      <c r="AF1018"/>
      <c r="AG1018">
        <f t="shared" si="816"/>
        <v>0</v>
      </c>
      <c r="AH1018">
        <f t="shared" si="800"/>
        <v>0</v>
      </c>
      <c r="AK1018">
        <f t="shared" si="801"/>
        <v>0</v>
      </c>
      <c r="AL1018">
        <f t="shared" si="802"/>
        <v>0</v>
      </c>
      <c r="AM1018">
        <f t="shared" si="803"/>
        <v>0</v>
      </c>
      <c r="AN1018">
        <f t="shared" si="804"/>
        <v>0</v>
      </c>
      <c r="AO1018">
        <f t="shared" si="805"/>
        <v>0</v>
      </c>
      <c r="AP1018">
        <f t="shared" si="806"/>
        <v>0</v>
      </c>
      <c r="AQ1018">
        <f t="shared" si="807"/>
        <v>0</v>
      </c>
      <c r="AR1018">
        <f t="shared" si="808"/>
        <v>0</v>
      </c>
      <c r="AS1018">
        <f t="shared" si="809"/>
        <v>0</v>
      </c>
      <c r="AT1018">
        <f t="shared" si="810"/>
        <v>0</v>
      </c>
      <c r="AU1018">
        <f t="shared" si="811"/>
        <v>0</v>
      </c>
      <c r="AV1018">
        <f t="shared" si="812"/>
        <v>0</v>
      </c>
      <c r="AW1018">
        <f t="shared" si="813"/>
        <v>0</v>
      </c>
      <c r="AX1018">
        <f t="shared" si="814"/>
        <v>0</v>
      </c>
      <c r="AY1018">
        <f t="shared" si="815"/>
        <v>0</v>
      </c>
    </row>
    <row r="1019" spans="1:51" ht="15" customHeight="1">
      <c r="A1019" s="110"/>
      <c r="B1019" s="57"/>
      <c r="C1019" s="1109"/>
      <c r="D1019" s="954"/>
      <c r="E1019" s="956"/>
      <c r="F1019" s="1110" t="s">
        <v>4982</v>
      </c>
      <c r="G1019" s="1110"/>
      <c r="H1019" s="178"/>
      <c r="I1019" s="1111" t="s">
        <v>4983</v>
      </c>
      <c r="J1019" s="1111"/>
      <c r="K1019" s="1111"/>
      <c r="L1019" s="1111"/>
      <c r="M1019" s="1111"/>
      <c r="N1019" s="1111"/>
      <c r="O1019" s="1112"/>
      <c r="P1019" s="100"/>
      <c r="Q1019" s="100"/>
      <c r="R1019" s="100"/>
      <c r="S1019" s="100"/>
      <c r="T1019" s="100"/>
      <c r="U1019" s="100"/>
      <c r="V1019" s="100"/>
      <c r="W1019" s="100"/>
      <c r="X1019" s="100"/>
      <c r="Y1019" s="100"/>
      <c r="Z1019" s="100"/>
      <c r="AA1019" s="100"/>
      <c r="AB1019" s="100"/>
      <c r="AC1019" s="100"/>
      <c r="AD1019" s="100"/>
      <c r="AF1019"/>
      <c r="AG1019">
        <f t="shared" si="816"/>
        <v>0</v>
      </c>
      <c r="AH1019">
        <f t="shared" si="800"/>
        <v>0</v>
      </c>
      <c r="AK1019">
        <f t="shared" si="801"/>
        <v>0</v>
      </c>
      <c r="AL1019">
        <f t="shared" si="802"/>
        <v>0</v>
      </c>
      <c r="AM1019">
        <f t="shared" si="803"/>
        <v>0</v>
      </c>
      <c r="AN1019">
        <f t="shared" si="804"/>
        <v>0</v>
      </c>
      <c r="AO1019">
        <f t="shared" si="805"/>
        <v>0</v>
      </c>
      <c r="AP1019">
        <f t="shared" si="806"/>
        <v>0</v>
      </c>
      <c r="AQ1019">
        <f t="shared" si="807"/>
        <v>0</v>
      </c>
      <c r="AR1019">
        <f t="shared" si="808"/>
        <v>0</v>
      </c>
      <c r="AS1019">
        <f t="shared" si="809"/>
        <v>0</v>
      </c>
      <c r="AT1019">
        <f t="shared" si="810"/>
        <v>0</v>
      </c>
      <c r="AU1019">
        <f t="shared" si="811"/>
        <v>0</v>
      </c>
      <c r="AV1019">
        <f t="shared" si="812"/>
        <v>0</v>
      </c>
      <c r="AW1019">
        <f t="shared" si="813"/>
        <v>0</v>
      </c>
      <c r="AX1019">
        <f t="shared" si="814"/>
        <v>0</v>
      </c>
      <c r="AY1019">
        <f t="shared" si="815"/>
        <v>0</v>
      </c>
    </row>
    <row r="1020" spans="1:51" ht="15" customHeight="1">
      <c r="A1020" s="110"/>
      <c r="B1020" s="57"/>
      <c r="C1020" s="1109"/>
      <c r="D1020" s="954"/>
      <c r="E1020" s="956"/>
      <c r="F1020" s="1110" t="s">
        <v>4984</v>
      </c>
      <c r="G1020" s="1110"/>
      <c r="H1020" s="178"/>
      <c r="I1020" s="1111" t="s">
        <v>4985</v>
      </c>
      <c r="J1020" s="1111"/>
      <c r="K1020" s="1111"/>
      <c r="L1020" s="1111"/>
      <c r="M1020" s="1111"/>
      <c r="N1020" s="1111"/>
      <c r="O1020" s="1112"/>
      <c r="P1020" s="100"/>
      <c r="Q1020" s="100"/>
      <c r="R1020" s="100"/>
      <c r="S1020" s="100"/>
      <c r="T1020" s="100"/>
      <c r="U1020" s="100"/>
      <c r="V1020" s="100"/>
      <c r="W1020" s="100"/>
      <c r="X1020" s="100"/>
      <c r="Y1020" s="100"/>
      <c r="Z1020" s="100"/>
      <c r="AA1020" s="100"/>
      <c r="AB1020" s="100"/>
      <c r="AC1020" s="100"/>
      <c r="AD1020" s="100"/>
      <c r="AF1020"/>
      <c r="AG1020">
        <f t="shared" si="816"/>
        <v>0</v>
      </c>
      <c r="AH1020">
        <f t="shared" si="800"/>
        <v>0</v>
      </c>
      <c r="AK1020">
        <f t="shared" si="801"/>
        <v>0</v>
      </c>
      <c r="AL1020">
        <f t="shared" si="802"/>
        <v>0</v>
      </c>
      <c r="AM1020">
        <f t="shared" si="803"/>
        <v>0</v>
      </c>
      <c r="AN1020">
        <f t="shared" si="804"/>
        <v>0</v>
      </c>
      <c r="AO1020">
        <f t="shared" si="805"/>
        <v>0</v>
      </c>
      <c r="AP1020">
        <f t="shared" si="806"/>
        <v>0</v>
      </c>
      <c r="AQ1020">
        <f t="shared" si="807"/>
        <v>0</v>
      </c>
      <c r="AR1020">
        <f t="shared" si="808"/>
        <v>0</v>
      </c>
      <c r="AS1020">
        <f t="shared" si="809"/>
        <v>0</v>
      </c>
      <c r="AT1020">
        <f t="shared" si="810"/>
        <v>0</v>
      </c>
      <c r="AU1020">
        <f t="shared" si="811"/>
        <v>0</v>
      </c>
      <c r="AV1020">
        <f t="shared" si="812"/>
        <v>0</v>
      </c>
      <c r="AW1020">
        <f t="shared" si="813"/>
        <v>0</v>
      </c>
      <c r="AX1020">
        <f t="shared" si="814"/>
        <v>0</v>
      </c>
      <c r="AY1020">
        <f t="shared" si="815"/>
        <v>0</v>
      </c>
    </row>
    <row r="1021" spans="1:51" ht="15" customHeight="1">
      <c r="A1021" s="110"/>
      <c r="B1021" s="57"/>
      <c r="C1021" s="1109"/>
      <c r="D1021" s="954"/>
      <c r="E1021" s="956"/>
      <c r="F1021" s="1110" t="s">
        <v>4986</v>
      </c>
      <c r="G1021" s="1110"/>
      <c r="H1021" s="178"/>
      <c r="I1021" s="1111" t="s">
        <v>4987</v>
      </c>
      <c r="J1021" s="1111"/>
      <c r="K1021" s="1111"/>
      <c r="L1021" s="1111"/>
      <c r="M1021" s="1111"/>
      <c r="N1021" s="1111"/>
      <c r="O1021" s="1112"/>
      <c r="P1021" s="100"/>
      <c r="Q1021" s="100"/>
      <c r="R1021" s="100"/>
      <c r="S1021" s="100"/>
      <c r="T1021" s="100"/>
      <c r="U1021" s="100"/>
      <c r="V1021" s="100"/>
      <c r="W1021" s="100"/>
      <c r="X1021" s="100"/>
      <c r="Y1021" s="100"/>
      <c r="Z1021" s="100"/>
      <c r="AA1021" s="100"/>
      <c r="AB1021" s="100"/>
      <c r="AC1021" s="100"/>
      <c r="AD1021" s="100"/>
      <c r="AF1021"/>
      <c r="AG1021">
        <f t="shared" si="816"/>
        <v>0</v>
      </c>
      <c r="AH1021">
        <f t="shared" si="800"/>
        <v>0</v>
      </c>
      <c r="AK1021">
        <f t="shared" si="801"/>
        <v>0</v>
      </c>
      <c r="AL1021">
        <f t="shared" si="802"/>
        <v>0</v>
      </c>
      <c r="AM1021">
        <f t="shared" si="803"/>
        <v>0</v>
      </c>
      <c r="AN1021">
        <f t="shared" si="804"/>
        <v>0</v>
      </c>
      <c r="AO1021">
        <f t="shared" si="805"/>
        <v>0</v>
      </c>
      <c r="AP1021">
        <f t="shared" si="806"/>
        <v>0</v>
      </c>
      <c r="AQ1021">
        <f t="shared" si="807"/>
        <v>0</v>
      </c>
      <c r="AR1021">
        <f t="shared" si="808"/>
        <v>0</v>
      </c>
      <c r="AS1021">
        <f t="shared" si="809"/>
        <v>0</v>
      </c>
      <c r="AT1021">
        <f t="shared" si="810"/>
        <v>0</v>
      </c>
      <c r="AU1021">
        <f t="shared" si="811"/>
        <v>0</v>
      </c>
      <c r="AV1021">
        <f t="shared" si="812"/>
        <v>0</v>
      </c>
      <c r="AW1021">
        <f t="shared" si="813"/>
        <v>0</v>
      </c>
      <c r="AX1021">
        <f t="shared" si="814"/>
        <v>0</v>
      </c>
      <c r="AY1021">
        <f t="shared" si="815"/>
        <v>0</v>
      </c>
    </row>
    <row r="1022" spans="1:51" ht="15" customHeight="1">
      <c r="A1022" s="110"/>
      <c r="B1022" s="57"/>
      <c r="C1022" s="1109"/>
      <c r="D1022" s="954"/>
      <c r="E1022" s="956"/>
      <c r="F1022" s="1110" t="s">
        <v>4988</v>
      </c>
      <c r="G1022" s="1110"/>
      <c r="H1022" s="178"/>
      <c r="I1022" s="1111" t="s">
        <v>4989</v>
      </c>
      <c r="J1022" s="1111"/>
      <c r="K1022" s="1111"/>
      <c r="L1022" s="1111"/>
      <c r="M1022" s="1111"/>
      <c r="N1022" s="1111"/>
      <c r="O1022" s="1112"/>
      <c r="P1022" s="100"/>
      <c r="Q1022" s="100"/>
      <c r="R1022" s="100"/>
      <c r="S1022" s="100"/>
      <c r="T1022" s="100"/>
      <c r="U1022" s="100"/>
      <c r="V1022" s="100"/>
      <c r="W1022" s="100"/>
      <c r="X1022" s="100"/>
      <c r="Y1022" s="100"/>
      <c r="Z1022" s="100"/>
      <c r="AA1022" s="100"/>
      <c r="AB1022" s="100"/>
      <c r="AC1022" s="100"/>
      <c r="AD1022" s="100"/>
      <c r="AF1022"/>
      <c r="AG1022">
        <f t="shared" si="816"/>
        <v>0</v>
      </c>
      <c r="AH1022">
        <f t="shared" si="800"/>
        <v>0</v>
      </c>
      <c r="AK1022">
        <f t="shared" si="801"/>
        <v>0</v>
      </c>
      <c r="AL1022">
        <f t="shared" si="802"/>
        <v>0</v>
      </c>
      <c r="AM1022">
        <f t="shared" si="803"/>
        <v>0</v>
      </c>
      <c r="AN1022">
        <f t="shared" si="804"/>
        <v>0</v>
      </c>
      <c r="AO1022">
        <f t="shared" si="805"/>
        <v>0</v>
      </c>
      <c r="AP1022">
        <f t="shared" si="806"/>
        <v>0</v>
      </c>
      <c r="AQ1022">
        <f t="shared" si="807"/>
        <v>0</v>
      </c>
      <c r="AR1022">
        <f t="shared" si="808"/>
        <v>0</v>
      </c>
      <c r="AS1022">
        <f t="shared" si="809"/>
        <v>0</v>
      </c>
      <c r="AT1022">
        <f t="shared" si="810"/>
        <v>0</v>
      </c>
      <c r="AU1022">
        <f t="shared" si="811"/>
        <v>0</v>
      </c>
      <c r="AV1022">
        <f t="shared" si="812"/>
        <v>0</v>
      </c>
      <c r="AW1022">
        <f t="shared" si="813"/>
        <v>0</v>
      </c>
      <c r="AX1022">
        <f t="shared" si="814"/>
        <v>0</v>
      </c>
      <c r="AY1022">
        <f t="shared" si="815"/>
        <v>0</v>
      </c>
    </row>
    <row r="1023" spans="1:51" ht="15" customHeight="1">
      <c r="A1023" s="110"/>
      <c r="B1023" s="57"/>
      <c r="C1023" s="1109"/>
      <c r="D1023" s="954"/>
      <c r="E1023" s="956"/>
      <c r="F1023" s="1110" t="s">
        <v>4990</v>
      </c>
      <c r="G1023" s="1110"/>
      <c r="H1023" s="178"/>
      <c r="I1023" s="1111" t="s">
        <v>4991</v>
      </c>
      <c r="J1023" s="1111"/>
      <c r="K1023" s="1111"/>
      <c r="L1023" s="1111"/>
      <c r="M1023" s="1111"/>
      <c r="N1023" s="1111"/>
      <c r="O1023" s="1112"/>
      <c r="P1023" s="100"/>
      <c r="Q1023" s="100"/>
      <c r="R1023" s="100"/>
      <c r="S1023" s="100"/>
      <c r="T1023" s="100"/>
      <c r="U1023" s="100"/>
      <c r="V1023" s="100"/>
      <c r="W1023" s="100"/>
      <c r="X1023" s="100"/>
      <c r="Y1023" s="100"/>
      <c r="Z1023" s="100"/>
      <c r="AA1023" s="100"/>
      <c r="AB1023" s="100"/>
      <c r="AC1023" s="100"/>
      <c r="AD1023" s="100"/>
      <c r="AF1023"/>
      <c r="AG1023">
        <f t="shared" si="816"/>
        <v>0</v>
      </c>
      <c r="AH1023">
        <f t="shared" si="800"/>
        <v>0</v>
      </c>
      <c r="AK1023">
        <f t="shared" si="801"/>
        <v>0</v>
      </c>
      <c r="AL1023">
        <f t="shared" si="802"/>
        <v>0</v>
      </c>
      <c r="AM1023">
        <f t="shared" si="803"/>
        <v>0</v>
      </c>
      <c r="AN1023">
        <f t="shared" si="804"/>
        <v>0</v>
      </c>
      <c r="AO1023">
        <f t="shared" si="805"/>
        <v>0</v>
      </c>
      <c r="AP1023">
        <f t="shared" si="806"/>
        <v>0</v>
      </c>
      <c r="AQ1023">
        <f t="shared" si="807"/>
        <v>0</v>
      </c>
      <c r="AR1023">
        <f t="shared" si="808"/>
        <v>0</v>
      </c>
      <c r="AS1023">
        <f t="shared" si="809"/>
        <v>0</v>
      </c>
      <c r="AT1023">
        <f t="shared" si="810"/>
        <v>0</v>
      </c>
      <c r="AU1023">
        <f t="shared" si="811"/>
        <v>0</v>
      </c>
      <c r="AV1023">
        <f t="shared" si="812"/>
        <v>0</v>
      </c>
      <c r="AW1023">
        <f t="shared" si="813"/>
        <v>0</v>
      </c>
      <c r="AX1023">
        <f t="shared" si="814"/>
        <v>0</v>
      </c>
      <c r="AY1023">
        <f t="shared" si="815"/>
        <v>0</v>
      </c>
    </row>
    <row r="1024" spans="1:51" ht="24" customHeight="1">
      <c r="A1024" s="110"/>
      <c r="B1024" s="57"/>
      <c r="C1024" s="1109"/>
      <c r="D1024" s="954"/>
      <c r="E1024" s="956"/>
      <c r="F1024" s="1110" t="s">
        <v>4992</v>
      </c>
      <c r="G1024" s="1110"/>
      <c r="H1024" s="178"/>
      <c r="I1024" s="1111" t="s">
        <v>4993</v>
      </c>
      <c r="J1024" s="1111"/>
      <c r="K1024" s="1111"/>
      <c r="L1024" s="1111"/>
      <c r="M1024" s="1111"/>
      <c r="N1024" s="1111"/>
      <c r="O1024" s="1112"/>
      <c r="P1024" s="100"/>
      <c r="Q1024" s="100"/>
      <c r="R1024" s="100"/>
      <c r="S1024" s="100"/>
      <c r="T1024" s="100"/>
      <c r="U1024" s="100"/>
      <c r="V1024" s="100"/>
      <c r="W1024" s="100"/>
      <c r="X1024" s="100"/>
      <c r="Y1024" s="100"/>
      <c r="Z1024" s="100"/>
      <c r="AA1024" s="100"/>
      <c r="AB1024" s="100"/>
      <c r="AC1024" s="100"/>
      <c r="AD1024" s="100"/>
      <c r="AF1024"/>
      <c r="AG1024">
        <f t="shared" si="816"/>
        <v>0</v>
      </c>
      <c r="AH1024">
        <f t="shared" si="800"/>
        <v>0</v>
      </c>
      <c r="AK1024">
        <f t="shared" si="801"/>
        <v>0</v>
      </c>
      <c r="AL1024">
        <f t="shared" si="802"/>
        <v>0</v>
      </c>
      <c r="AM1024">
        <f t="shared" si="803"/>
        <v>0</v>
      </c>
      <c r="AN1024">
        <f t="shared" si="804"/>
        <v>0</v>
      </c>
      <c r="AO1024">
        <f t="shared" si="805"/>
        <v>0</v>
      </c>
      <c r="AP1024">
        <f t="shared" si="806"/>
        <v>0</v>
      </c>
      <c r="AQ1024">
        <f t="shared" si="807"/>
        <v>0</v>
      </c>
      <c r="AR1024">
        <f t="shared" si="808"/>
        <v>0</v>
      </c>
      <c r="AS1024">
        <f t="shared" si="809"/>
        <v>0</v>
      </c>
      <c r="AT1024">
        <f t="shared" si="810"/>
        <v>0</v>
      </c>
      <c r="AU1024">
        <f t="shared" si="811"/>
        <v>0</v>
      </c>
      <c r="AV1024">
        <f t="shared" si="812"/>
        <v>0</v>
      </c>
      <c r="AW1024">
        <f t="shared" si="813"/>
        <v>0</v>
      </c>
      <c r="AX1024">
        <f t="shared" si="814"/>
        <v>0</v>
      </c>
      <c r="AY1024">
        <f t="shared" si="815"/>
        <v>0</v>
      </c>
    </row>
    <row r="1025" spans="1:51" ht="15" customHeight="1">
      <c r="A1025" s="110"/>
      <c r="B1025" s="57"/>
      <c r="C1025" s="1109"/>
      <c r="D1025" s="954"/>
      <c r="E1025" s="956"/>
      <c r="F1025" s="1110" t="s">
        <v>4994</v>
      </c>
      <c r="G1025" s="1110"/>
      <c r="H1025" s="178"/>
      <c r="I1025" s="1111" t="s">
        <v>201</v>
      </c>
      <c r="J1025" s="1111"/>
      <c r="K1025" s="1111"/>
      <c r="L1025" s="1111"/>
      <c r="M1025" s="1111"/>
      <c r="N1025" s="1111"/>
      <c r="O1025" s="1112"/>
      <c r="P1025" s="100"/>
      <c r="Q1025" s="100"/>
      <c r="R1025" s="100"/>
      <c r="S1025" s="100"/>
      <c r="T1025" s="100"/>
      <c r="U1025" s="100"/>
      <c r="V1025" s="100"/>
      <c r="W1025" s="100"/>
      <c r="X1025" s="100"/>
      <c r="Y1025" s="100"/>
      <c r="Z1025" s="100"/>
      <c r="AA1025" s="100"/>
      <c r="AB1025" s="100"/>
      <c r="AC1025" s="100"/>
      <c r="AD1025" s="100"/>
      <c r="AF1025"/>
      <c r="AG1025">
        <f t="shared" si="816"/>
        <v>0</v>
      </c>
      <c r="AH1025">
        <f t="shared" si="800"/>
        <v>0</v>
      </c>
      <c r="AK1025">
        <f t="shared" si="801"/>
        <v>0</v>
      </c>
      <c r="AL1025">
        <f t="shared" si="802"/>
        <v>0</v>
      </c>
      <c r="AM1025">
        <f t="shared" si="803"/>
        <v>0</v>
      </c>
      <c r="AN1025">
        <f t="shared" si="804"/>
        <v>0</v>
      </c>
      <c r="AO1025">
        <f t="shared" si="805"/>
        <v>0</v>
      </c>
      <c r="AP1025">
        <f t="shared" si="806"/>
        <v>0</v>
      </c>
      <c r="AQ1025">
        <f t="shared" si="807"/>
        <v>0</v>
      </c>
      <c r="AR1025">
        <f t="shared" si="808"/>
        <v>0</v>
      </c>
      <c r="AS1025">
        <f t="shared" si="809"/>
        <v>0</v>
      </c>
      <c r="AT1025">
        <f t="shared" si="810"/>
        <v>0</v>
      </c>
      <c r="AU1025">
        <f t="shared" si="811"/>
        <v>0</v>
      </c>
      <c r="AV1025">
        <f t="shared" si="812"/>
        <v>0</v>
      </c>
      <c r="AW1025">
        <f t="shared" si="813"/>
        <v>0</v>
      </c>
      <c r="AX1025">
        <f t="shared" si="814"/>
        <v>0</v>
      </c>
      <c r="AY1025">
        <f t="shared" si="815"/>
        <v>0</v>
      </c>
    </row>
    <row r="1026" spans="1:51" ht="15" customHeight="1">
      <c r="A1026" s="110"/>
      <c r="B1026" s="57"/>
      <c r="C1026" s="1109"/>
      <c r="D1026" s="954"/>
      <c r="E1026" s="956"/>
      <c r="F1026" s="1103" t="s">
        <v>4995</v>
      </c>
      <c r="G1026" s="1103"/>
      <c r="H1026" s="1104" t="s">
        <v>4996</v>
      </c>
      <c r="I1026" s="1105"/>
      <c r="J1026" s="1105"/>
      <c r="K1026" s="1105"/>
      <c r="L1026" s="1105"/>
      <c r="M1026" s="1105"/>
      <c r="N1026" s="1105"/>
      <c r="O1026" s="1106"/>
      <c r="P1026" s="100"/>
      <c r="Q1026" s="100"/>
      <c r="R1026" s="100"/>
      <c r="S1026" s="100"/>
      <c r="T1026" s="100"/>
      <c r="U1026" s="100"/>
      <c r="V1026" s="100"/>
      <c r="W1026" s="100"/>
      <c r="X1026" s="100"/>
      <c r="Y1026" s="100"/>
      <c r="Z1026" s="100"/>
      <c r="AA1026" s="100"/>
      <c r="AB1026" s="100"/>
      <c r="AC1026" s="100"/>
      <c r="AD1026" s="100"/>
      <c r="AF1026"/>
      <c r="AG1026">
        <f t="shared" si="816"/>
        <v>0</v>
      </c>
      <c r="AH1026">
        <f t="shared" si="800"/>
        <v>0</v>
      </c>
      <c r="AK1026">
        <f t="shared" si="801"/>
        <v>0</v>
      </c>
      <c r="AL1026">
        <f t="shared" si="802"/>
        <v>0</v>
      </c>
      <c r="AM1026">
        <f t="shared" si="803"/>
        <v>0</v>
      </c>
      <c r="AN1026">
        <f t="shared" si="804"/>
        <v>0</v>
      </c>
      <c r="AO1026">
        <f t="shared" si="805"/>
        <v>0</v>
      </c>
      <c r="AP1026">
        <f t="shared" si="806"/>
        <v>0</v>
      </c>
      <c r="AQ1026">
        <f t="shared" si="807"/>
        <v>0</v>
      </c>
      <c r="AR1026">
        <f t="shared" si="808"/>
        <v>0</v>
      </c>
      <c r="AS1026">
        <f t="shared" si="809"/>
        <v>0</v>
      </c>
      <c r="AT1026">
        <f t="shared" si="810"/>
        <v>0</v>
      </c>
      <c r="AU1026">
        <f t="shared" si="811"/>
        <v>0</v>
      </c>
      <c r="AV1026">
        <f t="shared" si="812"/>
        <v>0</v>
      </c>
      <c r="AW1026">
        <f t="shared" si="813"/>
        <v>0</v>
      </c>
      <c r="AX1026">
        <f t="shared" si="814"/>
        <v>0</v>
      </c>
      <c r="AY1026">
        <f t="shared" si="815"/>
        <v>0</v>
      </c>
    </row>
    <row r="1027" spans="1:51" ht="24" customHeight="1">
      <c r="A1027" s="110"/>
      <c r="B1027" s="57"/>
      <c r="C1027" s="1109"/>
      <c r="D1027" s="954"/>
      <c r="E1027" s="956"/>
      <c r="F1027" s="1103" t="s">
        <v>4997</v>
      </c>
      <c r="G1027" s="1103"/>
      <c r="H1027" s="1104" t="s">
        <v>4998</v>
      </c>
      <c r="I1027" s="1105"/>
      <c r="J1027" s="1105"/>
      <c r="K1027" s="1105"/>
      <c r="L1027" s="1105"/>
      <c r="M1027" s="1105"/>
      <c r="N1027" s="1105"/>
      <c r="O1027" s="1106"/>
      <c r="P1027" s="100"/>
      <c r="Q1027" s="100"/>
      <c r="R1027" s="100"/>
      <c r="S1027" s="100"/>
      <c r="T1027" s="100"/>
      <c r="U1027" s="100"/>
      <c r="V1027" s="100"/>
      <c r="W1027" s="100"/>
      <c r="X1027" s="100"/>
      <c r="Y1027" s="100"/>
      <c r="Z1027" s="100"/>
      <c r="AA1027" s="100"/>
      <c r="AB1027" s="100"/>
      <c r="AC1027" s="100"/>
      <c r="AD1027" s="100"/>
      <c r="AF1027"/>
      <c r="AG1027">
        <f t="shared" si="816"/>
        <v>0</v>
      </c>
      <c r="AH1027">
        <f t="shared" si="800"/>
        <v>0</v>
      </c>
      <c r="AK1027">
        <f t="shared" si="801"/>
        <v>0</v>
      </c>
      <c r="AL1027">
        <f t="shared" si="802"/>
        <v>0</v>
      </c>
      <c r="AM1027">
        <f t="shared" si="803"/>
        <v>0</v>
      </c>
      <c r="AN1027">
        <f t="shared" si="804"/>
        <v>0</v>
      </c>
      <c r="AO1027">
        <f t="shared" si="805"/>
        <v>0</v>
      </c>
      <c r="AP1027">
        <f t="shared" si="806"/>
        <v>0</v>
      </c>
      <c r="AQ1027">
        <f t="shared" si="807"/>
        <v>0</v>
      </c>
      <c r="AR1027">
        <f t="shared" si="808"/>
        <v>0</v>
      </c>
      <c r="AS1027">
        <f t="shared" si="809"/>
        <v>0</v>
      </c>
      <c r="AT1027">
        <f t="shared" si="810"/>
        <v>0</v>
      </c>
      <c r="AU1027">
        <f t="shared" si="811"/>
        <v>0</v>
      </c>
      <c r="AV1027">
        <f t="shared" si="812"/>
        <v>0</v>
      </c>
      <c r="AW1027">
        <f t="shared" si="813"/>
        <v>0</v>
      </c>
      <c r="AX1027">
        <f t="shared" si="814"/>
        <v>0</v>
      </c>
      <c r="AY1027">
        <f t="shared" si="815"/>
        <v>0</v>
      </c>
    </row>
    <row r="1028" spans="1:51" ht="15" customHeight="1">
      <c r="A1028" s="110"/>
      <c r="B1028" s="57"/>
      <c r="C1028" s="1109"/>
      <c r="D1028" s="954"/>
      <c r="E1028" s="956"/>
      <c r="F1028" s="1103" t="s">
        <v>4999</v>
      </c>
      <c r="G1028" s="1103"/>
      <c r="H1028" s="1104" t="s">
        <v>5000</v>
      </c>
      <c r="I1028" s="1105"/>
      <c r="J1028" s="1105"/>
      <c r="K1028" s="1105"/>
      <c r="L1028" s="1105"/>
      <c r="M1028" s="1105"/>
      <c r="N1028" s="1105"/>
      <c r="O1028" s="1106"/>
      <c r="P1028" s="100"/>
      <c r="Q1028" s="100"/>
      <c r="R1028" s="100"/>
      <c r="S1028" s="100"/>
      <c r="T1028" s="100"/>
      <c r="U1028" s="100"/>
      <c r="V1028" s="100"/>
      <c r="W1028" s="100"/>
      <c r="X1028" s="100"/>
      <c r="Y1028" s="100"/>
      <c r="Z1028" s="100"/>
      <c r="AA1028" s="100"/>
      <c r="AB1028" s="100"/>
      <c r="AC1028" s="100"/>
      <c r="AD1028" s="100"/>
      <c r="AF1028"/>
      <c r="AG1028">
        <f t="shared" si="816"/>
        <v>0</v>
      </c>
      <c r="AH1028">
        <f t="shared" si="800"/>
        <v>0</v>
      </c>
      <c r="AK1028">
        <f t="shared" si="801"/>
        <v>0</v>
      </c>
      <c r="AL1028">
        <f t="shared" si="802"/>
        <v>0</v>
      </c>
      <c r="AM1028">
        <f t="shared" si="803"/>
        <v>0</v>
      </c>
      <c r="AN1028">
        <f t="shared" si="804"/>
        <v>0</v>
      </c>
      <c r="AO1028">
        <f t="shared" si="805"/>
        <v>0</v>
      </c>
      <c r="AP1028">
        <f t="shared" si="806"/>
        <v>0</v>
      </c>
      <c r="AQ1028">
        <f t="shared" si="807"/>
        <v>0</v>
      </c>
      <c r="AR1028">
        <f t="shared" si="808"/>
        <v>0</v>
      </c>
      <c r="AS1028">
        <f t="shared" si="809"/>
        <v>0</v>
      </c>
      <c r="AT1028">
        <f t="shared" si="810"/>
        <v>0</v>
      </c>
      <c r="AU1028">
        <f t="shared" si="811"/>
        <v>0</v>
      </c>
      <c r="AV1028">
        <f t="shared" si="812"/>
        <v>0</v>
      </c>
      <c r="AW1028">
        <f t="shared" si="813"/>
        <v>0</v>
      </c>
      <c r="AX1028">
        <f t="shared" si="814"/>
        <v>0</v>
      </c>
      <c r="AY1028">
        <f t="shared" si="815"/>
        <v>0</v>
      </c>
    </row>
    <row r="1029" spans="1:51" ht="24" customHeight="1">
      <c r="A1029" s="110"/>
      <c r="B1029" s="57"/>
      <c r="C1029" s="1109"/>
      <c r="D1029" s="954"/>
      <c r="E1029" s="956"/>
      <c r="F1029" s="1103" t="s">
        <v>5001</v>
      </c>
      <c r="G1029" s="1103"/>
      <c r="H1029" s="1104" t="s">
        <v>5002</v>
      </c>
      <c r="I1029" s="1105"/>
      <c r="J1029" s="1105"/>
      <c r="K1029" s="1105"/>
      <c r="L1029" s="1105"/>
      <c r="M1029" s="1105"/>
      <c r="N1029" s="1105"/>
      <c r="O1029" s="1106"/>
      <c r="P1029" s="100"/>
      <c r="Q1029" s="100"/>
      <c r="R1029" s="100"/>
      <c r="S1029" s="100"/>
      <c r="T1029" s="100"/>
      <c r="U1029" s="100"/>
      <c r="V1029" s="100"/>
      <c r="W1029" s="100"/>
      <c r="X1029" s="100"/>
      <c r="Y1029" s="100"/>
      <c r="Z1029" s="100"/>
      <c r="AA1029" s="100"/>
      <c r="AB1029" s="100"/>
      <c r="AC1029" s="100"/>
      <c r="AD1029" s="100"/>
      <c r="AF1029">
        <f>IF(P1029="NA",IF(AND(COUNTIF(P1030:P1035,"="&amp;$AF$934)=0,COUNTIF(P1030:P1035,"&lt;&gt;NA")&gt;0),1,0),IF(AND(COUNTIF(P1030:P1035,"="&amp;$AF$934)=0,COUNTIF(P1030:P1035,"NA")=COUNTIF(P1030:P1035,"&lt;&gt;"&amp;$AF$934)),1,0))</f>
        <v>0</v>
      </c>
      <c r="AG1029">
        <f t="shared" si="816"/>
        <v>0</v>
      </c>
      <c r="AH1029">
        <f t="shared" si="800"/>
        <v>0</v>
      </c>
      <c r="AK1029">
        <f t="shared" si="801"/>
        <v>0</v>
      </c>
      <c r="AL1029">
        <f t="shared" si="802"/>
        <v>0</v>
      </c>
      <c r="AM1029">
        <f t="shared" si="803"/>
        <v>0</v>
      </c>
      <c r="AN1029">
        <f t="shared" si="804"/>
        <v>0</v>
      </c>
      <c r="AO1029">
        <f t="shared" si="805"/>
        <v>0</v>
      </c>
      <c r="AP1029">
        <f t="shared" si="806"/>
        <v>0</v>
      </c>
      <c r="AQ1029">
        <f t="shared" si="807"/>
        <v>0</v>
      </c>
      <c r="AR1029">
        <f t="shared" si="808"/>
        <v>0</v>
      </c>
      <c r="AS1029">
        <f t="shared" si="809"/>
        <v>0</v>
      </c>
      <c r="AT1029">
        <f t="shared" si="810"/>
        <v>0</v>
      </c>
      <c r="AU1029">
        <f t="shared" si="811"/>
        <v>0</v>
      </c>
      <c r="AV1029">
        <f t="shared" si="812"/>
        <v>0</v>
      </c>
      <c r="AW1029">
        <f t="shared" si="813"/>
        <v>0</v>
      </c>
      <c r="AX1029">
        <f t="shared" si="814"/>
        <v>0</v>
      </c>
      <c r="AY1029">
        <f t="shared" si="815"/>
        <v>0</v>
      </c>
    </row>
    <row r="1030" spans="1:51" ht="15" customHeight="1">
      <c r="A1030" s="110"/>
      <c r="B1030" s="57"/>
      <c r="C1030" s="1109"/>
      <c r="D1030" s="954"/>
      <c r="E1030" s="956"/>
      <c r="F1030" s="1110" t="s">
        <v>5003</v>
      </c>
      <c r="G1030" s="1110"/>
      <c r="H1030" s="178"/>
      <c r="I1030" s="1111" t="s">
        <v>5004</v>
      </c>
      <c r="J1030" s="1111"/>
      <c r="K1030" s="1111"/>
      <c r="L1030" s="1111"/>
      <c r="M1030" s="1111"/>
      <c r="N1030" s="1111"/>
      <c r="O1030" s="1112"/>
      <c r="P1030" s="100"/>
      <c r="Q1030" s="100"/>
      <c r="R1030" s="100"/>
      <c r="S1030" s="100"/>
      <c r="T1030" s="100"/>
      <c r="U1030" s="100"/>
      <c r="V1030" s="100"/>
      <c r="W1030" s="100"/>
      <c r="X1030" s="100"/>
      <c r="Y1030" s="100"/>
      <c r="Z1030" s="100"/>
      <c r="AA1030" s="100"/>
      <c r="AB1030" s="100"/>
      <c r="AC1030" s="100"/>
      <c r="AD1030" s="100"/>
      <c r="AF1030"/>
      <c r="AG1030">
        <f t="shared" si="816"/>
        <v>0</v>
      </c>
      <c r="AH1030">
        <f t="shared" si="800"/>
        <v>0</v>
      </c>
      <c r="AK1030">
        <f t="shared" si="801"/>
        <v>0</v>
      </c>
      <c r="AL1030">
        <f t="shared" si="802"/>
        <v>0</v>
      </c>
      <c r="AM1030">
        <f t="shared" si="803"/>
        <v>0</v>
      </c>
      <c r="AN1030">
        <f t="shared" si="804"/>
        <v>0</v>
      </c>
      <c r="AO1030">
        <f t="shared" si="805"/>
        <v>0</v>
      </c>
      <c r="AP1030">
        <f t="shared" si="806"/>
        <v>0</v>
      </c>
      <c r="AQ1030">
        <f t="shared" si="807"/>
        <v>0</v>
      </c>
      <c r="AR1030">
        <f t="shared" si="808"/>
        <v>0</v>
      </c>
      <c r="AS1030">
        <f t="shared" si="809"/>
        <v>0</v>
      </c>
      <c r="AT1030">
        <f t="shared" si="810"/>
        <v>0</v>
      </c>
      <c r="AU1030">
        <f t="shared" si="811"/>
        <v>0</v>
      </c>
      <c r="AV1030">
        <f t="shared" si="812"/>
        <v>0</v>
      </c>
      <c r="AW1030">
        <f t="shared" si="813"/>
        <v>0</v>
      </c>
      <c r="AX1030">
        <f t="shared" si="814"/>
        <v>0</v>
      </c>
      <c r="AY1030">
        <f t="shared" si="815"/>
        <v>0</v>
      </c>
    </row>
    <row r="1031" spans="1:51" ht="24" customHeight="1">
      <c r="A1031" s="110"/>
      <c r="B1031" s="57"/>
      <c r="C1031" s="1109"/>
      <c r="D1031" s="954"/>
      <c r="E1031" s="956"/>
      <c r="F1031" s="1110" t="s">
        <v>5005</v>
      </c>
      <c r="G1031" s="1110"/>
      <c r="H1031" s="178"/>
      <c r="I1031" s="1111" t="s">
        <v>5006</v>
      </c>
      <c r="J1031" s="1111"/>
      <c r="K1031" s="1111"/>
      <c r="L1031" s="1111"/>
      <c r="M1031" s="1111"/>
      <c r="N1031" s="1111"/>
      <c r="O1031" s="1112"/>
      <c r="P1031" s="100"/>
      <c r="Q1031" s="100"/>
      <c r="R1031" s="100"/>
      <c r="S1031" s="100"/>
      <c r="T1031" s="100"/>
      <c r="U1031" s="100"/>
      <c r="V1031" s="100"/>
      <c r="W1031" s="100"/>
      <c r="X1031" s="100"/>
      <c r="Y1031" s="100"/>
      <c r="Z1031" s="100"/>
      <c r="AA1031" s="100"/>
      <c r="AB1031" s="100"/>
      <c r="AC1031" s="100"/>
      <c r="AD1031" s="100"/>
      <c r="AF1031"/>
      <c r="AG1031">
        <f t="shared" si="816"/>
        <v>0</v>
      </c>
      <c r="AH1031">
        <f t="shared" si="800"/>
        <v>0</v>
      </c>
      <c r="AK1031">
        <f t="shared" si="801"/>
        <v>0</v>
      </c>
      <c r="AL1031">
        <f t="shared" si="802"/>
        <v>0</v>
      </c>
      <c r="AM1031">
        <f t="shared" si="803"/>
        <v>0</v>
      </c>
      <c r="AN1031">
        <f t="shared" si="804"/>
        <v>0</v>
      </c>
      <c r="AO1031">
        <f t="shared" si="805"/>
        <v>0</v>
      </c>
      <c r="AP1031">
        <f t="shared" si="806"/>
        <v>0</v>
      </c>
      <c r="AQ1031">
        <f t="shared" si="807"/>
        <v>0</v>
      </c>
      <c r="AR1031">
        <f t="shared" si="808"/>
        <v>0</v>
      </c>
      <c r="AS1031">
        <f t="shared" si="809"/>
        <v>0</v>
      </c>
      <c r="AT1031">
        <f t="shared" si="810"/>
        <v>0</v>
      </c>
      <c r="AU1031">
        <f t="shared" si="811"/>
        <v>0</v>
      </c>
      <c r="AV1031">
        <f t="shared" si="812"/>
        <v>0</v>
      </c>
      <c r="AW1031">
        <f t="shared" si="813"/>
        <v>0</v>
      </c>
      <c r="AX1031">
        <f t="shared" si="814"/>
        <v>0</v>
      </c>
      <c r="AY1031">
        <f t="shared" si="815"/>
        <v>0</v>
      </c>
    </row>
    <row r="1032" spans="1:51" ht="15" customHeight="1">
      <c r="A1032" s="110"/>
      <c r="B1032" s="57"/>
      <c r="C1032" s="1109"/>
      <c r="D1032" s="954"/>
      <c r="E1032" s="956"/>
      <c r="F1032" s="1110" t="s">
        <v>5007</v>
      </c>
      <c r="G1032" s="1110"/>
      <c r="H1032" s="178"/>
      <c r="I1032" s="1111" t="s">
        <v>5008</v>
      </c>
      <c r="J1032" s="1111"/>
      <c r="K1032" s="1111"/>
      <c r="L1032" s="1111"/>
      <c r="M1032" s="1111"/>
      <c r="N1032" s="1111"/>
      <c r="O1032" s="1112"/>
      <c r="P1032" s="100"/>
      <c r="Q1032" s="100"/>
      <c r="R1032" s="100"/>
      <c r="S1032" s="100"/>
      <c r="T1032" s="100"/>
      <c r="U1032" s="100"/>
      <c r="V1032" s="100"/>
      <c r="W1032" s="100"/>
      <c r="X1032" s="100"/>
      <c r="Y1032" s="100"/>
      <c r="Z1032" s="100"/>
      <c r="AA1032" s="100"/>
      <c r="AB1032" s="100"/>
      <c r="AC1032" s="100"/>
      <c r="AD1032" s="100"/>
      <c r="AF1032"/>
      <c r="AG1032">
        <f t="shared" si="816"/>
        <v>0</v>
      </c>
      <c r="AH1032">
        <f t="shared" si="800"/>
        <v>0</v>
      </c>
      <c r="AK1032">
        <f t="shared" si="801"/>
        <v>0</v>
      </c>
      <c r="AL1032">
        <f t="shared" si="802"/>
        <v>0</v>
      </c>
      <c r="AM1032">
        <f t="shared" si="803"/>
        <v>0</v>
      </c>
      <c r="AN1032">
        <f t="shared" si="804"/>
        <v>0</v>
      </c>
      <c r="AO1032">
        <f t="shared" si="805"/>
        <v>0</v>
      </c>
      <c r="AP1032">
        <f t="shared" si="806"/>
        <v>0</v>
      </c>
      <c r="AQ1032">
        <f t="shared" si="807"/>
        <v>0</v>
      </c>
      <c r="AR1032">
        <f t="shared" si="808"/>
        <v>0</v>
      </c>
      <c r="AS1032">
        <f t="shared" si="809"/>
        <v>0</v>
      </c>
      <c r="AT1032">
        <f t="shared" si="810"/>
        <v>0</v>
      </c>
      <c r="AU1032">
        <f t="shared" si="811"/>
        <v>0</v>
      </c>
      <c r="AV1032">
        <f t="shared" si="812"/>
        <v>0</v>
      </c>
      <c r="AW1032">
        <f t="shared" si="813"/>
        <v>0</v>
      </c>
      <c r="AX1032">
        <f t="shared" si="814"/>
        <v>0</v>
      </c>
      <c r="AY1032">
        <f t="shared" si="815"/>
        <v>0</v>
      </c>
    </row>
    <row r="1033" spans="1:51" ht="24" customHeight="1">
      <c r="A1033" s="110"/>
      <c r="B1033" s="57"/>
      <c r="C1033" s="1109"/>
      <c r="D1033" s="954"/>
      <c r="E1033" s="956"/>
      <c r="F1033" s="1110" t="s">
        <v>5009</v>
      </c>
      <c r="G1033" s="1110"/>
      <c r="H1033" s="178"/>
      <c r="I1033" s="1111" t="s">
        <v>5010</v>
      </c>
      <c r="J1033" s="1111"/>
      <c r="K1033" s="1111"/>
      <c r="L1033" s="1111"/>
      <c r="M1033" s="1111"/>
      <c r="N1033" s="1111"/>
      <c r="O1033" s="1112"/>
      <c r="P1033" s="100"/>
      <c r="Q1033" s="100"/>
      <c r="R1033" s="100"/>
      <c r="S1033" s="100"/>
      <c r="T1033" s="100"/>
      <c r="U1033" s="100"/>
      <c r="V1033" s="100"/>
      <c r="W1033" s="100"/>
      <c r="X1033" s="100"/>
      <c r="Y1033" s="100"/>
      <c r="Z1033" s="100"/>
      <c r="AA1033" s="100"/>
      <c r="AB1033" s="100"/>
      <c r="AC1033" s="100"/>
      <c r="AD1033" s="100"/>
      <c r="AF1033"/>
      <c r="AG1033">
        <f t="shared" si="816"/>
        <v>0</v>
      </c>
      <c r="AH1033">
        <f t="shared" si="800"/>
        <v>0</v>
      </c>
      <c r="AK1033">
        <f t="shared" si="801"/>
        <v>0</v>
      </c>
      <c r="AL1033">
        <f t="shared" si="802"/>
        <v>0</v>
      </c>
      <c r="AM1033">
        <f t="shared" si="803"/>
        <v>0</v>
      </c>
      <c r="AN1033">
        <f t="shared" si="804"/>
        <v>0</v>
      </c>
      <c r="AO1033">
        <f t="shared" si="805"/>
        <v>0</v>
      </c>
      <c r="AP1033">
        <f t="shared" si="806"/>
        <v>0</v>
      </c>
      <c r="AQ1033">
        <f t="shared" si="807"/>
        <v>0</v>
      </c>
      <c r="AR1033">
        <f t="shared" si="808"/>
        <v>0</v>
      </c>
      <c r="AS1033">
        <f t="shared" si="809"/>
        <v>0</v>
      </c>
      <c r="AT1033">
        <f t="shared" si="810"/>
        <v>0</v>
      </c>
      <c r="AU1033">
        <f t="shared" si="811"/>
        <v>0</v>
      </c>
      <c r="AV1033">
        <f t="shared" si="812"/>
        <v>0</v>
      </c>
      <c r="AW1033">
        <f t="shared" si="813"/>
        <v>0</v>
      </c>
      <c r="AX1033">
        <f t="shared" si="814"/>
        <v>0</v>
      </c>
      <c r="AY1033">
        <f t="shared" si="815"/>
        <v>0</v>
      </c>
    </row>
    <row r="1034" spans="1:51" ht="36" customHeight="1">
      <c r="A1034" s="110"/>
      <c r="B1034" s="57"/>
      <c r="C1034" s="1109"/>
      <c r="D1034" s="954"/>
      <c r="E1034" s="956"/>
      <c r="F1034" s="1110" t="s">
        <v>5011</v>
      </c>
      <c r="G1034" s="1110"/>
      <c r="H1034" s="178"/>
      <c r="I1034" s="1111" t="s">
        <v>5012</v>
      </c>
      <c r="J1034" s="1111"/>
      <c r="K1034" s="1111"/>
      <c r="L1034" s="1111"/>
      <c r="M1034" s="1111"/>
      <c r="N1034" s="1111"/>
      <c r="O1034" s="1112"/>
      <c r="P1034" s="100"/>
      <c r="Q1034" s="100"/>
      <c r="R1034" s="100"/>
      <c r="S1034" s="100"/>
      <c r="T1034" s="100"/>
      <c r="U1034" s="100"/>
      <c r="V1034" s="100"/>
      <c r="W1034" s="100"/>
      <c r="X1034" s="100"/>
      <c r="Y1034" s="100"/>
      <c r="Z1034" s="100"/>
      <c r="AA1034" s="100"/>
      <c r="AB1034" s="100"/>
      <c r="AC1034" s="100"/>
      <c r="AD1034" s="100"/>
      <c r="AF1034"/>
      <c r="AG1034">
        <f t="shared" si="816"/>
        <v>0</v>
      </c>
      <c r="AH1034">
        <f t="shared" si="800"/>
        <v>0</v>
      </c>
      <c r="AK1034">
        <f t="shared" si="801"/>
        <v>0</v>
      </c>
      <c r="AL1034">
        <f t="shared" si="802"/>
        <v>0</v>
      </c>
      <c r="AM1034">
        <f t="shared" si="803"/>
        <v>0</v>
      </c>
      <c r="AN1034">
        <f t="shared" si="804"/>
        <v>0</v>
      </c>
      <c r="AO1034">
        <f t="shared" si="805"/>
        <v>0</v>
      </c>
      <c r="AP1034">
        <f t="shared" si="806"/>
        <v>0</v>
      </c>
      <c r="AQ1034">
        <f t="shared" si="807"/>
        <v>0</v>
      </c>
      <c r="AR1034">
        <f t="shared" si="808"/>
        <v>0</v>
      </c>
      <c r="AS1034">
        <f t="shared" si="809"/>
        <v>0</v>
      </c>
      <c r="AT1034">
        <f t="shared" si="810"/>
        <v>0</v>
      </c>
      <c r="AU1034">
        <f t="shared" si="811"/>
        <v>0</v>
      </c>
      <c r="AV1034">
        <f t="shared" si="812"/>
        <v>0</v>
      </c>
      <c r="AW1034">
        <f t="shared" si="813"/>
        <v>0</v>
      </c>
      <c r="AX1034">
        <f t="shared" si="814"/>
        <v>0</v>
      </c>
      <c r="AY1034">
        <f t="shared" si="815"/>
        <v>0</v>
      </c>
    </row>
    <row r="1035" spans="1:51" ht="15" customHeight="1">
      <c r="A1035" s="110"/>
      <c r="B1035" s="57"/>
      <c r="C1035" s="1109"/>
      <c r="D1035" s="954"/>
      <c r="E1035" s="956"/>
      <c r="F1035" s="1110" t="s">
        <v>5418</v>
      </c>
      <c r="G1035" s="1110"/>
      <c r="H1035" s="178"/>
      <c r="I1035" s="1111" t="s">
        <v>201</v>
      </c>
      <c r="J1035" s="1111"/>
      <c r="K1035" s="1111"/>
      <c r="L1035" s="1111"/>
      <c r="M1035" s="1111"/>
      <c r="N1035" s="1111"/>
      <c r="O1035" s="1112"/>
      <c r="P1035" s="100"/>
      <c r="Q1035" s="100"/>
      <c r="R1035" s="100"/>
      <c r="S1035" s="100"/>
      <c r="T1035" s="100"/>
      <c r="U1035" s="100"/>
      <c r="V1035" s="100"/>
      <c r="W1035" s="100"/>
      <c r="X1035" s="100"/>
      <c r="Y1035" s="100"/>
      <c r="Z1035" s="100"/>
      <c r="AA1035" s="100"/>
      <c r="AB1035" s="100"/>
      <c r="AC1035" s="100"/>
      <c r="AD1035" s="100"/>
      <c r="AF1035"/>
      <c r="AG1035">
        <f t="shared" si="816"/>
        <v>0</v>
      </c>
      <c r="AH1035">
        <f t="shared" si="800"/>
        <v>0</v>
      </c>
      <c r="AK1035">
        <f t="shared" si="801"/>
        <v>0</v>
      </c>
      <c r="AL1035">
        <f t="shared" si="802"/>
        <v>0</v>
      </c>
      <c r="AM1035">
        <f t="shared" si="803"/>
        <v>0</v>
      </c>
      <c r="AN1035">
        <f t="shared" si="804"/>
        <v>0</v>
      </c>
      <c r="AO1035">
        <f t="shared" si="805"/>
        <v>0</v>
      </c>
      <c r="AP1035">
        <f t="shared" si="806"/>
        <v>0</v>
      </c>
      <c r="AQ1035">
        <f t="shared" si="807"/>
        <v>0</v>
      </c>
      <c r="AR1035">
        <f t="shared" si="808"/>
        <v>0</v>
      </c>
      <c r="AS1035">
        <f t="shared" si="809"/>
        <v>0</v>
      </c>
      <c r="AT1035">
        <f t="shared" si="810"/>
        <v>0</v>
      </c>
      <c r="AU1035">
        <f t="shared" si="811"/>
        <v>0</v>
      </c>
      <c r="AV1035">
        <f t="shared" si="812"/>
        <v>0</v>
      </c>
      <c r="AW1035">
        <f t="shared" si="813"/>
        <v>0</v>
      </c>
      <c r="AX1035">
        <f t="shared" si="814"/>
        <v>0</v>
      </c>
      <c r="AY1035">
        <f t="shared" si="815"/>
        <v>0</v>
      </c>
    </row>
    <row r="1036" spans="1:51" ht="15" customHeight="1">
      <c r="A1036" s="110"/>
      <c r="B1036" s="57"/>
      <c r="C1036" s="1109"/>
      <c r="D1036" s="954"/>
      <c r="E1036" s="956"/>
      <c r="F1036" s="1103" t="s">
        <v>5014</v>
      </c>
      <c r="G1036" s="1103"/>
      <c r="H1036" s="1104" t="s">
        <v>5015</v>
      </c>
      <c r="I1036" s="1105"/>
      <c r="J1036" s="1105"/>
      <c r="K1036" s="1105"/>
      <c r="L1036" s="1105"/>
      <c r="M1036" s="1105"/>
      <c r="N1036" s="1105"/>
      <c r="O1036" s="1106"/>
      <c r="P1036" s="100"/>
      <c r="Q1036" s="100"/>
      <c r="R1036" s="100"/>
      <c r="S1036" s="100"/>
      <c r="T1036" s="100"/>
      <c r="U1036" s="100"/>
      <c r="V1036" s="100"/>
      <c r="W1036" s="100"/>
      <c r="X1036" s="100"/>
      <c r="Y1036" s="100"/>
      <c r="Z1036" s="100"/>
      <c r="AA1036" s="100"/>
      <c r="AB1036" s="100"/>
      <c r="AC1036" s="100"/>
      <c r="AD1036" s="100"/>
      <c r="AF1036"/>
      <c r="AG1036">
        <f t="shared" si="816"/>
        <v>0</v>
      </c>
      <c r="AH1036">
        <f t="shared" si="800"/>
        <v>0</v>
      </c>
      <c r="AK1036">
        <f t="shared" si="801"/>
        <v>0</v>
      </c>
      <c r="AL1036">
        <f t="shared" si="802"/>
        <v>0</v>
      </c>
      <c r="AM1036">
        <f t="shared" si="803"/>
        <v>0</v>
      </c>
      <c r="AN1036">
        <f t="shared" si="804"/>
        <v>0</v>
      </c>
      <c r="AO1036">
        <f t="shared" si="805"/>
        <v>0</v>
      </c>
      <c r="AP1036">
        <f t="shared" si="806"/>
        <v>0</v>
      </c>
      <c r="AQ1036">
        <f t="shared" si="807"/>
        <v>0</v>
      </c>
      <c r="AR1036">
        <f t="shared" si="808"/>
        <v>0</v>
      </c>
      <c r="AS1036">
        <f t="shared" si="809"/>
        <v>0</v>
      </c>
      <c r="AT1036">
        <f t="shared" si="810"/>
        <v>0</v>
      </c>
      <c r="AU1036">
        <f t="shared" si="811"/>
        <v>0</v>
      </c>
      <c r="AV1036">
        <f t="shared" si="812"/>
        <v>0</v>
      </c>
      <c r="AW1036">
        <f t="shared" si="813"/>
        <v>0</v>
      </c>
      <c r="AX1036">
        <f t="shared" si="814"/>
        <v>0</v>
      </c>
      <c r="AY1036">
        <f t="shared" si="815"/>
        <v>0</v>
      </c>
    </row>
    <row r="1037" spans="1:51" ht="15" customHeight="1">
      <c r="A1037" s="110"/>
      <c r="B1037" s="57"/>
      <c r="C1037" s="1109"/>
      <c r="D1037" s="954"/>
      <c r="E1037" s="956"/>
      <c r="F1037" s="1103" t="s">
        <v>5016</v>
      </c>
      <c r="G1037" s="1103"/>
      <c r="H1037" s="1104" t="s">
        <v>5017</v>
      </c>
      <c r="I1037" s="1105"/>
      <c r="J1037" s="1105"/>
      <c r="K1037" s="1105"/>
      <c r="L1037" s="1105"/>
      <c r="M1037" s="1105"/>
      <c r="N1037" s="1105"/>
      <c r="O1037" s="1106"/>
      <c r="P1037" s="100"/>
      <c r="Q1037" s="100"/>
      <c r="R1037" s="100"/>
      <c r="S1037" s="100"/>
      <c r="T1037" s="100"/>
      <c r="U1037" s="100"/>
      <c r="V1037" s="100"/>
      <c r="W1037" s="100"/>
      <c r="X1037" s="100"/>
      <c r="Y1037" s="100"/>
      <c r="Z1037" s="100"/>
      <c r="AA1037" s="100"/>
      <c r="AB1037" s="100"/>
      <c r="AC1037" s="100"/>
      <c r="AD1037" s="100"/>
      <c r="AF1037"/>
      <c r="AG1037">
        <f t="shared" si="816"/>
        <v>0</v>
      </c>
      <c r="AH1037">
        <f t="shared" si="800"/>
        <v>0</v>
      </c>
      <c r="AK1037">
        <f t="shared" si="801"/>
        <v>0</v>
      </c>
      <c r="AL1037">
        <f t="shared" si="802"/>
        <v>0</v>
      </c>
      <c r="AM1037">
        <f t="shared" si="803"/>
        <v>0</v>
      </c>
      <c r="AN1037">
        <f t="shared" si="804"/>
        <v>0</v>
      </c>
      <c r="AO1037">
        <f t="shared" si="805"/>
        <v>0</v>
      </c>
      <c r="AP1037">
        <f t="shared" si="806"/>
        <v>0</v>
      </c>
      <c r="AQ1037">
        <f t="shared" si="807"/>
        <v>0</v>
      </c>
      <c r="AR1037">
        <f t="shared" si="808"/>
        <v>0</v>
      </c>
      <c r="AS1037">
        <f t="shared" si="809"/>
        <v>0</v>
      </c>
      <c r="AT1037">
        <f t="shared" si="810"/>
        <v>0</v>
      </c>
      <c r="AU1037">
        <f t="shared" si="811"/>
        <v>0</v>
      </c>
      <c r="AV1037">
        <f t="shared" si="812"/>
        <v>0</v>
      </c>
      <c r="AW1037">
        <f t="shared" si="813"/>
        <v>0</v>
      </c>
      <c r="AX1037">
        <f t="shared" si="814"/>
        <v>0</v>
      </c>
      <c r="AY1037">
        <f t="shared" si="815"/>
        <v>0</v>
      </c>
    </row>
    <row r="1038" spans="1:51" ht="24" customHeight="1">
      <c r="A1038" s="110"/>
      <c r="B1038" s="57"/>
      <c r="C1038" s="1109"/>
      <c r="D1038" s="954"/>
      <c r="E1038" s="956"/>
      <c r="F1038" s="1103" t="s">
        <v>5018</v>
      </c>
      <c r="G1038" s="1103"/>
      <c r="H1038" s="1104" t="s">
        <v>5019</v>
      </c>
      <c r="I1038" s="1105"/>
      <c r="J1038" s="1105"/>
      <c r="K1038" s="1105"/>
      <c r="L1038" s="1105"/>
      <c r="M1038" s="1105"/>
      <c r="N1038" s="1105"/>
      <c r="O1038" s="1106"/>
      <c r="P1038" s="100"/>
      <c r="Q1038" s="100"/>
      <c r="R1038" s="100"/>
      <c r="S1038" s="100"/>
      <c r="T1038" s="100"/>
      <c r="U1038" s="100"/>
      <c r="V1038" s="100"/>
      <c r="W1038" s="100"/>
      <c r="X1038" s="100"/>
      <c r="Y1038" s="100"/>
      <c r="Z1038" s="100"/>
      <c r="AA1038" s="100"/>
      <c r="AB1038" s="100"/>
      <c r="AC1038" s="100"/>
      <c r="AD1038" s="100"/>
      <c r="AF1038"/>
      <c r="AG1038">
        <f t="shared" si="816"/>
        <v>0</v>
      </c>
      <c r="AH1038">
        <f t="shared" si="800"/>
        <v>0</v>
      </c>
      <c r="AJ1038">
        <f>IF(OR(P1038="NS",P1038="NA",$P$895=0,$P$895="NS",$P$895="NA"),0,IF((P1038*(IFERROR(100/SUM(P1010:P1038),0)))&gt;25,1,0))</f>
        <v>0</v>
      </c>
      <c r="AK1038">
        <f t="shared" si="801"/>
        <v>0</v>
      </c>
      <c r="AL1038">
        <f t="shared" si="802"/>
        <v>0</v>
      </c>
      <c r="AM1038">
        <f t="shared" si="803"/>
        <v>0</v>
      </c>
      <c r="AN1038">
        <f t="shared" si="804"/>
        <v>0</v>
      </c>
      <c r="AO1038">
        <f t="shared" si="805"/>
        <v>0</v>
      </c>
      <c r="AP1038">
        <f t="shared" si="806"/>
        <v>0</v>
      </c>
      <c r="AQ1038">
        <f t="shared" si="807"/>
        <v>0</v>
      </c>
      <c r="AR1038">
        <f t="shared" si="808"/>
        <v>0</v>
      </c>
      <c r="AS1038">
        <f t="shared" si="809"/>
        <v>0</v>
      </c>
      <c r="AT1038">
        <f t="shared" si="810"/>
        <v>0</v>
      </c>
      <c r="AU1038">
        <f t="shared" si="811"/>
        <v>0</v>
      </c>
      <c r="AV1038">
        <f t="shared" si="812"/>
        <v>0</v>
      </c>
      <c r="AW1038">
        <f t="shared" si="813"/>
        <v>0</v>
      </c>
      <c r="AX1038">
        <f t="shared" si="814"/>
        <v>0</v>
      </c>
      <c r="AY1038">
        <f t="shared" si="815"/>
        <v>0</v>
      </c>
    </row>
    <row r="1039" spans="1:51" ht="15" customHeight="1">
      <c r="A1039" s="110"/>
      <c r="B1039" s="57"/>
      <c r="C1039" s="732" t="s">
        <v>5020</v>
      </c>
      <c r="D1039" s="874" t="s">
        <v>5021</v>
      </c>
      <c r="E1039" s="874"/>
      <c r="F1039" s="1103" t="s">
        <v>5022</v>
      </c>
      <c r="G1039" s="1103"/>
      <c r="H1039" s="1104" t="s">
        <v>5023</v>
      </c>
      <c r="I1039" s="1105"/>
      <c r="J1039" s="1105"/>
      <c r="K1039" s="1105"/>
      <c r="L1039" s="1105"/>
      <c r="M1039" s="1105"/>
      <c r="N1039" s="1105"/>
      <c r="O1039" s="1106"/>
      <c r="P1039" s="100"/>
      <c r="Q1039" s="100"/>
      <c r="R1039" s="100"/>
      <c r="S1039" s="100"/>
      <c r="T1039" s="100"/>
      <c r="U1039" s="100"/>
      <c r="V1039" s="100"/>
      <c r="W1039" s="100"/>
      <c r="X1039" s="100"/>
      <c r="Y1039" s="100"/>
      <c r="Z1039" s="100"/>
      <c r="AA1039" s="100"/>
      <c r="AB1039" s="100"/>
      <c r="AC1039" s="100"/>
      <c r="AD1039" s="100"/>
      <c r="AF1039">
        <f>IF(P1039="NA",IF(AND(COUNTIF(P1040:P1048,"="&amp;$AF$934)=0,COUNTIF(P1040:P1048,"&lt;&gt;NA")&gt;0),1,0),IF(AND(COUNTIF(P1040:P1048,"="&amp;$AF$934)=0,COUNTIF(P1040:P1048,"NA")=COUNTIF(P1040:P1048,"&lt;&gt;"&amp;$AF$934)),1,0))</f>
        <v>0</v>
      </c>
      <c r="AG1039">
        <f t="shared" si="816"/>
        <v>0</v>
      </c>
      <c r="AH1039">
        <f t="shared" si="800"/>
        <v>0</v>
      </c>
      <c r="AK1039">
        <f t="shared" si="801"/>
        <v>0</v>
      </c>
      <c r="AL1039">
        <f t="shared" si="802"/>
        <v>0</v>
      </c>
      <c r="AM1039">
        <f t="shared" si="803"/>
        <v>0</v>
      </c>
      <c r="AN1039">
        <f t="shared" si="804"/>
        <v>0</v>
      </c>
      <c r="AO1039">
        <f t="shared" si="805"/>
        <v>0</v>
      </c>
      <c r="AP1039">
        <f t="shared" si="806"/>
        <v>0</v>
      </c>
      <c r="AQ1039">
        <f t="shared" si="807"/>
        <v>0</v>
      </c>
      <c r="AR1039">
        <f t="shared" si="808"/>
        <v>0</v>
      </c>
      <c r="AS1039">
        <f t="shared" si="809"/>
        <v>0</v>
      </c>
      <c r="AT1039">
        <f t="shared" si="810"/>
        <v>0</v>
      </c>
      <c r="AU1039">
        <f t="shared" si="811"/>
        <v>0</v>
      </c>
      <c r="AV1039">
        <f t="shared" si="812"/>
        <v>0</v>
      </c>
      <c r="AW1039">
        <f t="shared" si="813"/>
        <v>0</v>
      </c>
      <c r="AX1039">
        <f t="shared" si="814"/>
        <v>0</v>
      </c>
      <c r="AY1039">
        <f t="shared" si="815"/>
        <v>0</v>
      </c>
    </row>
    <row r="1040" spans="1:51" ht="24" customHeight="1">
      <c r="A1040" s="110"/>
      <c r="B1040" s="57"/>
      <c r="C1040" s="732"/>
      <c r="D1040" s="874"/>
      <c r="E1040" s="874"/>
      <c r="F1040" s="1110" t="s">
        <v>5024</v>
      </c>
      <c r="G1040" s="1110"/>
      <c r="H1040" s="178"/>
      <c r="I1040" s="1111" t="s">
        <v>5025</v>
      </c>
      <c r="J1040" s="1111"/>
      <c r="K1040" s="1111"/>
      <c r="L1040" s="1111"/>
      <c r="M1040" s="1111"/>
      <c r="N1040" s="1111"/>
      <c r="O1040" s="1112"/>
      <c r="P1040" s="100"/>
      <c r="Q1040" s="100"/>
      <c r="R1040" s="100"/>
      <c r="S1040" s="100"/>
      <c r="T1040" s="100"/>
      <c r="U1040" s="100"/>
      <c r="V1040" s="100"/>
      <c r="W1040" s="100"/>
      <c r="X1040" s="100"/>
      <c r="Y1040" s="100"/>
      <c r="Z1040" s="100"/>
      <c r="AA1040" s="100"/>
      <c r="AB1040" s="100"/>
      <c r="AC1040" s="100"/>
      <c r="AD1040" s="100"/>
      <c r="AF1040"/>
      <c r="AG1040">
        <f t="shared" si="816"/>
        <v>0</v>
      </c>
      <c r="AH1040">
        <f t="shared" si="800"/>
        <v>0</v>
      </c>
      <c r="AK1040">
        <f t="shared" si="801"/>
        <v>0</v>
      </c>
      <c r="AL1040">
        <f t="shared" si="802"/>
        <v>0</v>
      </c>
      <c r="AM1040">
        <f t="shared" si="803"/>
        <v>0</v>
      </c>
      <c r="AN1040">
        <f t="shared" si="804"/>
        <v>0</v>
      </c>
      <c r="AO1040">
        <f t="shared" si="805"/>
        <v>0</v>
      </c>
      <c r="AP1040">
        <f t="shared" si="806"/>
        <v>0</v>
      </c>
      <c r="AQ1040">
        <f t="shared" si="807"/>
        <v>0</v>
      </c>
      <c r="AR1040">
        <f t="shared" si="808"/>
        <v>0</v>
      </c>
      <c r="AS1040">
        <f t="shared" si="809"/>
        <v>0</v>
      </c>
      <c r="AT1040">
        <f t="shared" si="810"/>
        <v>0</v>
      </c>
      <c r="AU1040">
        <f t="shared" si="811"/>
        <v>0</v>
      </c>
      <c r="AV1040">
        <f t="shared" si="812"/>
        <v>0</v>
      </c>
      <c r="AW1040">
        <f t="shared" si="813"/>
        <v>0</v>
      </c>
      <c r="AX1040">
        <f t="shared" si="814"/>
        <v>0</v>
      </c>
      <c r="AY1040">
        <f t="shared" si="815"/>
        <v>0</v>
      </c>
    </row>
    <row r="1041" spans="1:51" ht="15" customHeight="1">
      <c r="A1041" s="110"/>
      <c r="B1041" s="57"/>
      <c r="C1041" s="732"/>
      <c r="D1041" s="874"/>
      <c r="E1041" s="874"/>
      <c r="F1041" s="1110" t="s">
        <v>5026</v>
      </c>
      <c r="G1041" s="1110"/>
      <c r="H1041" s="178"/>
      <c r="I1041" s="1111" t="s">
        <v>5027</v>
      </c>
      <c r="J1041" s="1111"/>
      <c r="K1041" s="1111"/>
      <c r="L1041" s="1111"/>
      <c r="M1041" s="1111"/>
      <c r="N1041" s="1111"/>
      <c r="O1041" s="1112"/>
      <c r="P1041" s="100"/>
      <c r="Q1041" s="100"/>
      <c r="R1041" s="100"/>
      <c r="S1041" s="100"/>
      <c r="T1041" s="100"/>
      <c r="U1041" s="100"/>
      <c r="V1041" s="100"/>
      <c r="W1041" s="100"/>
      <c r="X1041" s="100"/>
      <c r="Y1041" s="100"/>
      <c r="Z1041" s="100"/>
      <c r="AA1041" s="100"/>
      <c r="AB1041" s="100"/>
      <c r="AC1041" s="100"/>
      <c r="AD1041" s="100"/>
      <c r="AF1041"/>
      <c r="AG1041">
        <f t="shared" si="816"/>
        <v>0</v>
      </c>
      <c r="AH1041">
        <f t="shared" si="800"/>
        <v>0</v>
      </c>
      <c r="AK1041">
        <f t="shared" si="801"/>
        <v>0</v>
      </c>
      <c r="AL1041">
        <f t="shared" si="802"/>
        <v>0</v>
      </c>
      <c r="AM1041">
        <f t="shared" si="803"/>
        <v>0</v>
      </c>
      <c r="AN1041">
        <f t="shared" si="804"/>
        <v>0</v>
      </c>
      <c r="AO1041">
        <f t="shared" si="805"/>
        <v>0</v>
      </c>
      <c r="AP1041">
        <f t="shared" si="806"/>
        <v>0</v>
      </c>
      <c r="AQ1041">
        <f t="shared" si="807"/>
        <v>0</v>
      </c>
      <c r="AR1041">
        <f t="shared" si="808"/>
        <v>0</v>
      </c>
      <c r="AS1041">
        <f t="shared" si="809"/>
        <v>0</v>
      </c>
      <c r="AT1041">
        <f t="shared" si="810"/>
        <v>0</v>
      </c>
      <c r="AU1041">
        <f t="shared" si="811"/>
        <v>0</v>
      </c>
      <c r="AV1041">
        <f t="shared" si="812"/>
        <v>0</v>
      </c>
      <c r="AW1041">
        <f t="shared" si="813"/>
        <v>0</v>
      </c>
      <c r="AX1041">
        <f t="shared" si="814"/>
        <v>0</v>
      </c>
      <c r="AY1041">
        <f t="shared" si="815"/>
        <v>0</v>
      </c>
    </row>
    <row r="1042" spans="1:51" ht="15" customHeight="1">
      <c r="A1042" s="110"/>
      <c r="B1042" s="57"/>
      <c r="C1042" s="732"/>
      <c r="D1042" s="874"/>
      <c r="E1042" s="874"/>
      <c r="F1042" s="1110" t="s">
        <v>5028</v>
      </c>
      <c r="G1042" s="1110"/>
      <c r="H1042" s="178"/>
      <c r="I1042" s="1111" t="s">
        <v>5029</v>
      </c>
      <c r="J1042" s="1111"/>
      <c r="K1042" s="1111"/>
      <c r="L1042" s="1111"/>
      <c r="M1042" s="1111"/>
      <c r="N1042" s="1111"/>
      <c r="O1042" s="1112"/>
      <c r="P1042" s="100"/>
      <c r="Q1042" s="100"/>
      <c r="R1042" s="100"/>
      <c r="S1042" s="100"/>
      <c r="T1042" s="100"/>
      <c r="U1042" s="100"/>
      <c r="V1042" s="100"/>
      <c r="W1042" s="100"/>
      <c r="X1042" s="100"/>
      <c r="Y1042" s="100"/>
      <c r="Z1042" s="100"/>
      <c r="AA1042" s="100"/>
      <c r="AB1042" s="100"/>
      <c r="AC1042" s="100"/>
      <c r="AD1042" s="100"/>
      <c r="AF1042"/>
      <c r="AG1042">
        <f t="shared" si="816"/>
        <v>0</v>
      </c>
      <c r="AH1042">
        <f t="shared" si="800"/>
        <v>0</v>
      </c>
      <c r="AK1042">
        <f t="shared" si="801"/>
        <v>0</v>
      </c>
      <c r="AL1042">
        <f t="shared" si="802"/>
        <v>0</v>
      </c>
      <c r="AM1042">
        <f t="shared" si="803"/>
        <v>0</v>
      </c>
      <c r="AN1042">
        <f t="shared" si="804"/>
        <v>0</v>
      </c>
      <c r="AO1042">
        <f t="shared" si="805"/>
        <v>0</v>
      </c>
      <c r="AP1042">
        <f t="shared" si="806"/>
        <v>0</v>
      </c>
      <c r="AQ1042">
        <f t="shared" si="807"/>
        <v>0</v>
      </c>
      <c r="AR1042">
        <f t="shared" si="808"/>
        <v>0</v>
      </c>
      <c r="AS1042">
        <f t="shared" si="809"/>
        <v>0</v>
      </c>
      <c r="AT1042">
        <f t="shared" si="810"/>
        <v>0</v>
      </c>
      <c r="AU1042">
        <f t="shared" si="811"/>
        <v>0</v>
      </c>
      <c r="AV1042">
        <f t="shared" si="812"/>
        <v>0</v>
      </c>
      <c r="AW1042">
        <f t="shared" si="813"/>
        <v>0</v>
      </c>
      <c r="AX1042">
        <f t="shared" si="814"/>
        <v>0</v>
      </c>
      <c r="AY1042">
        <f t="shared" si="815"/>
        <v>0</v>
      </c>
    </row>
    <row r="1043" spans="1:51" ht="15" customHeight="1">
      <c r="A1043" s="110"/>
      <c r="B1043" s="57"/>
      <c r="C1043" s="732"/>
      <c r="D1043" s="874"/>
      <c r="E1043" s="874"/>
      <c r="F1043" s="1110" t="s">
        <v>5030</v>
      </c>
      <c r="G1043" s="1110"/>
      <c r="H1043" s="178"/>
      <c r="I1043" s="1111" t="s">
        <v>5031</v>
      </c>
      <c r="J1043" s="1111"/>
      <c r="K1043" s="1111"/>
      <c r="L1043" s="1111"/>
      <c r="M1043" s="1111"/>
      <c r="N1043" s="1111"/>
      <c r="O1043" s="1112"/>
      <c r="P1043" s="100"/>
      <c r="Q1043" s="100"/>
      <c r="R1043" s="100"/>
      <c r="S1043" s="100"/>
      <c r="T1043" s="100"/>
      <c r="U1043" s="100"/>
      <c r="V1043" s="100"/>
      <c r="W1043" s="100"/>
      <c r="X1043" s="100"/>
      <c r="Y1043" s="100"/>
      <c r="Z1043" s="100"/>
      <c r="AA1043" s="100"/>
      <c r="AB1043" s="100"/>
      <c r="AC1043" s="100"/>
      <c r="AD1043" s="100"/>
      <c r="AF1043"/>
      <c r="AG1043">
        <f t="shared" si="816"/>
        <v>0</v>
      </c>
      <c r="AH1043">
        <f t="shared" si="800"/>
        <v>0</v>
      </c>
      <c r="AK1043">
        <f t="shared" si="801"/>
        <v>0</v>
      </c>
      <c r="AL1043">
        <f t="shared" si="802"/>
        <v>0</v>
      </c>
      <c r="AM1043">
        <f t="shared" si="803"/>
        <v>0</v>
      </c>
      <c r="AN1043">
        <f t="shared" si="804"/>
        <v>0</v>
      </c>
      <c r="AO1043">
        <f t="shared" si="805"/>
        <v>0</v>
      </c>
      <c r="AP1043">
        <f t="shared" si="806"/>
        <v>0</v>
      </c>
      <c r="AQ1043">
        <f t="shared" si="807"/>
        <v>0</v>
      </c>
      <c r="AR1043">
        <f t="shared" si="808"/>
        <v>0</v>
      </c>
      <c r="AS1043">
        <f t="shared" si="809"/>
        <v>0</v>
      </c>
      <c r="AT1043">
        <f t="shared" si="810"/>
        <v>0</v>
      </c>
      <c r="AU1043">
        <f t="shared" si="811"/>
        <v>0</v>
      </c>
      <c r="AV1043">
        <f t="shared" si="812"/>
        <v>0</v>
      </c>
      <c r="AW1043">
        <f t="shared" si="813"/>
        <v>0</v>
      </c>
      <c r="AX1043">
        <f t="shared" si="814"/>
        <v>0</v>
      </c>
      <c r="AY1043">
        <f t="shared" si="815"/>
        <v>0</v>
      </c>
    </row>
    <row r="1044" spans="1:51" ht="15" customHeight="1">
      <c r="A1044" s="110"/>
      <c r="B1044" s="57"/>
      <c r="C1044" s="732"/>
      <c r="D1044" s="874"/>
      <c r="E1044" s="874"/>
      <c r="F1044" s="1110" t="s">
        <v>5032</v>
      </c>
      <c r="G1044" s="1110"/>
      <c r="H1044" s="178"/>
      <c r="I1044" s="1111" t="s">
        <v>5033</v>
      </c>
      <c r="J1044" s="1111"/>
      <c r="K1044" s="1111"/>
      <c r="L1044" s="1111"/>
      <c r="M1044" s="1111"/>
      <c r="N1044" s="1111"/>
      <c r="O1044" s="1112"/>
      <c r="P1044" s="100"/>
      <c r="Q1044" s="100"/>
      <c r="R1044" s="100"/>
      <c r="S1044" s="100"/>
      <c r="T1044" s="100"/>
      <c r="U1044" s="100"/>
      <c r="V1044" s="100"/>
      <c r="W1044" s="100"/>
      <c r="X1044" s="100"/>
      <c r="Y1044" s="100"/>
      <c r="Z1044" s="100"/>
      <c r="AA1044" s="100"/>
      <c r="AB1044" s="100"/>
      <c r="AC1044" s="100"/>
      <c r="AD1044" s="100"/>
      <c r="AF1044"/>
      <c r="AG1044">
        <f t="shared" si="816"/>
        <v>0</v>
      </c>
      <c r="AH1044">
        <f t="shared" si="800"/>
        <v>0</v>
      </c>
      <c r="AK1044">
        <f t="shared" si="801"/>
        <v>0</v>
      </c>
      <c r="AL1044">
        <f t="shared" si="802"/>
        <v>0</v>
      </c>
      <c r="AM1044">
        <f t="shared" si="803"/>
        <v>0</v>
      </c>
      <c r="AN1044">
        <f t="shared" si="804"/>
        <v>0</v>
      </c>
      <c r="AO1044">
        <f t="shared" si="805"/>
        <v>0</v>
      </c>
      <c r="AP1044">
        <f t="shared" si="806"/>
        <v>0</v>
      </c>
      <c r="AQ1044">
        <f t="shared" si="807"/>
        <v>0</v>
      </c>
      <c r="AR1044">
        <f t="shared" si="808"/>
        <v>0</v>
      </c>
      <c r="AS1044">
        <f t="shared" si="809"/>
        <v>0</v>
      </c>
      <c r="AT1044">
        <f t="shared" si="810"/>
        <v>0</v>
      </c>
      <c r="AU1044">
        <f t="shared" si="811"/>
        <v>0</v>
      </c>
      <c r="AV1044">
        <f t="shared" si="812"/>
        <v>0</v>
      </c>
      <c r="AW1044">
        <f t="shared" si="813"/>
        <v>0</v>
      </c>
      <c r="AX1044">
        <f t="shared" si="814"/>
        <v>0</v>
      </c>
      <c r="AY1044">
        <f t="shared" si="815"/>
        <v>0</v>
      </c>
    </row>
    <row r="1045" spans="1:51" ht="15" customHeight="1">
      <c r="A1045" s="110"/>
      <c r="B1045" s="57"/>
      <c r="C1045" s="732"/>
      <c r="D1045" s="874"/>
      <c r="E1045" s="874"/>
      <c r="F1045" s="1110" t="s">
        <v>5034</v>
      </c>
      <c r="G1045" s="1110"/>
      <c r="H1045" s="178"/>
      <c r="I1045" s="1111" t="s">
        <v>5035</v>
      </c>
      <c r="J1045" s="1111"/>
      <c r="K1045" s="1111"/>
      <c r="L1045" s="1111"/>
      <c r="M1045" s="1111"/>
      <c r="N1045" s="1111"/>
      <c r="O1045" s="1112"/>
      <c r="P1045" s="100"/>
      <c r="Q1045" s="100"/>
      <c r="R1045" s="100"/>
      <c r="S1045" s="100"/>
      <c r="T1045" s="100"/>
      <c r="U1045" s="100"/>
      <c r="V1045" s="100"/>
      <c r="W1045" s="100"/>
      <c r="X1045" s="100"/>
      <c r="Y1045" s="100"/>
      <c r="Z1045" s="100"/>
      <c r="AA1045" s="100"/>
      <c r="AB1045" s="100"/>
      <c r="AC1045" s="100"/>
      <c r="AD1045" s="100"/>
      <c r="AF1045"/>
      <c r="AG1045">
        <f t="shared" si="816"/>
        <v>0</v>
      </c>
      <c r="AH1045">
        <f t="shared" si="800"/>
        <v>0</v>
      </c>
      <c r="AK1045">
        <f t="shared" si="801"/>
        <v>0</v>
      </c>
      <c r="AL1045">
        <f t="shared" si="802"/>
        <v>0</v>
      </c>
      <c r="AM1045">
        <f t="shared" si="803"/>
        <v>0</v>
      </c>
      <c r="AN1045">
        <f t="shared" si="804"/>
        <v>0</v>
      </c>
      <c r="AO1045">
        <f t="shared" si="805"/>
        <v>0</v>
      </c>
      <c r="AP1045">
        <f t="shared" si="806"/>
        <v>0</v>
      </c>
      <c r="AQ1045">
        <f t="shared" si="807"/>
        <v>0</v>
      </c>
      <c r="AR1045">
        <f t="shared" si="808"/>
        <v>0</v>
      </c>
      <c r="AS1045">
        <f t="shared" si="809"/>
        <v>0</v>
      </c>
      <c r="AT1045">
        <f t="shared" si="810"/>
        <v>0</v>
      </c>
      <c r="AU1045">
        <f t="shared" si="811"/>
        <v>0</v>
      </c>
      <c r="AV1045">
        <f t="shared" si="812"/>
        <v>0</v>
      </c>
      <c r="AW1045">
        <f t="shared" si="813"/>
        <v>0</v>
      </c>
      <c r="AX1045">
        <f t="shared" si="814"/>
        <v>0</v>
      </c>
      <c r="AY1045">
        <f t="shared" si="815"/>
        <v>0</v>
      </c>
    </row>
    <row r="1046" spans="1:51" ht="15" customHeight="1">
      <c r="A1046" s="110"/>
      <c r="B1046" s="57"/>
      <c r="C1046" s="732"/>
      <c r="D1046" s="874"/>
      <c r="E1046" s="874"/>
      <c r="F1046" s="1110" t="s">
        <v>5036</v>
      </c>
      <c r="G1046" s="1110"/>
      <c r="H1046" s="178"/>
      <c r="I1046" s="1111" t="s">
        <v>5037</v>
      </c>
      <c r="J1046" s="1111"/>
      <c r="K1046" s="1111"/>
      <c r="L1046" s="1111"/>
      <c r="M1046" s="1111"/>
      <c r="N1046" s="1111"/>
      <c r="O1046" s="1112"/>
      <c r="P1046" s="100"/>
      <c r="Q1046" s="100"/>
      <c r="R1046" s="100"/>
      <c r="S1046" s="100"/>
      <c r="T1046" s="100"/>
      <c r="U1046" s="100"/>
      <c r="V1046" s="100"/>
      <c r="W1046" s="100"/>
      <c r="X1046" s="100"/>
      <c r="Y1046" s="100"/>
      <c r="Z1046" s="100"/>
      <c r="AA1046" s="100"/>
      <c r="AB1046" s="100"/>
      <c r="AC1046" s="100"/>
      <c r="AD1046" s="100"/>
      <c r="AF1046"/>
      <c r="AG1046">
        <f t="shared" si="816"/>
        <v>0</v>
      </c>
      <c r="AH1046">
        <f t="shared" si="800"/>
        <v>0</v>
      </c>
      <c r="AK1046">
        <f t="shared" si="801"/>
        <v>0</v>
      </c>
      <c r="AL1046">
        <f t="shared" si="802"/>
        <v>0</v>
      </c>
      <c r="AM1046">
        <f t="shared" si="803"/>
        <v>0</v>
      </c>
      <c r="AN1046">
        <f t="shared" si="804"/>
        <v>0</v>
      </c>
      <c r="AO1046">
        <f t="shared" si="805"/>
        <v>0</v>
      </c>
      <c r="AP1046">
        <f t="shared" si="806"/>
        <v>0</v>
      </c>
      <c r="AQ1046">
        <f t="shared" si="807"/>
        <v>0</v>
      </c>
      <c r="AR1046">
        <f t="shared" si="808"/>
        <v>0</v>
      </c>
      <c r="AS1046">
        <f t="shared" si="809"/>
        <v>0</v>
      </c>
      <c r="AT1046">
        <f t="shared" si="810"/>
        <v>0</v>
      </c>
      <c r="AU1046">
        <f t="shared" si="811"/>
        <v>0</v>
      </c>
      <c r="AV1046">
        <f t="shared" si="812"/>
        <v>0</v>
      </c>
      <c r="AW1046">
        <f t="shared" si="813"/>
        <v>0</v>
      </c>
      <c r="AX1046">
        <f t="shared" si="814"/>
        <v>0</v>
      </c>
      <c r="AY1046">
        <f t="shared" si="815"/>
        <v>0</v>
      </c>
    </row>
    <row r="1047" spans="1:51" ht="24" customHeight="1">
      <c r="A1047" s="110"/>
      <c r="B1047" s="57"/>
      <c r="C1047" s="732"/>
      <c r="D1047" s="874"/>
      <c r="E1047" s="874"/>
      <c r="F1047" s="1110" t="s">
        <v>5038</v>
      </c>
      <c r="G1047" s="1110"/>
      <c r="H1047" s="178"/>
      <c r="I1047" s="1111" t="s">
        <v>5039</v>
      </c>
      <c r="J1047" s="1111"/>
      <c r="K1047" s="1111"/>
      <c r="L1047" s="1111"/>
      <c r="M1047" s="1111"/>
      <c r="N1047" s="1111"/>
      <c r="O1047" s="1112"/>
      <c r="P1047" s="100"/>
      <c r="Q1047" s="100"/>
      <c r="R1047" s="100"/>
      <c r="S1047" s="100"/>
      <c r="T1047" s="100"/>
      <c r="U1047" s="100"/>
      <c r="V1047" s="100"/>
      <c r="W1047" s="100"/>
      <c r="X1047" s="100"/>
      <c r="Y1047" s="100"/>
      <c r="Z1047" s="100"/>
      <c r="AA1047" s="100"/>
      <c r="AB1047" s="100"/>
      <c r="AC1047" s="100"/>
      <c r="AD1047" s="100"/>
      <c r="AF1047"/>
      <c r="AG1047">
        <f t="shared" si="816"/>
        <v>0</v>
      </c>
      <c r="AH1047">
        <f t="shared" si="800"/>
        <v>0</v>
      </c>
      <c r="AK1047">
        <f t="shared" si="801"/>
        <v>0</v>
      </c>
      <c r="AL1047">
        <f t="shared" si="802"/>
        <v>0</v>
      </c>
      <c r="AM1047">
        <f t="shared" si="803"/>
        <v>0</v>
      </c>
      <c r="AN1047">
        <f t="shared" si="804"/>
        <v>0</v>
      </c>
      <c r="AO1047">
        <f t="shared" si="805"/>
        <v>0</v>
      </c>
      <c r="AP1047">
        <f t="shared" si="806"/>
        <v>0</v>
      </c>
      <c r="AQ1047">
        <f t="shared" si="807"/>
        <v>0</v>
      </c>
      <c r="AR1047">
        <f t="shared" si="808"/>
        <v>0</v>
      </c>
      <c r="AS1047">
        <f t="shared" si="809"/>
        <v>0</v>
      </c>
      <c r="AT1047">
        <f t="shared" si="810"/>
        <v>0</v>
      </c>
      <c r="AU1047">
        <f t="shared" si="811"/>
        <v>0</v>
      </c>
      <c r="AV1047">
        <f t="shared" si="812"/>
        <v>0</v>
      </c>
      <c r="AW1047">
        <f t="shared" si="813"/>
        <v>0</v>
      </c>
      <c r="AX1047">
        <f t="shared" si="814"/>
        <v>0</v>
      </c>
      <c r="AY1047">
        <f t="shared" si="815"/>
        <v>0</v>
      </c>
    </row>
    <row r="1048" spans="1:51" ht="15" customHeight="1">
      <c r="A1048" s="110"/>
      <c r="B1048" s="57"/>
      <c r="C1048" s="732"/>
      <c r="D1048" s="874"/>
      <c r="E1048" s="874"/>
      <c r="F1048" s="1110" t="s">
        <v>5040</v>
      </c>
      <c r="G1048" s="1110"/>
      <c r="H1048" s="178"/>
      <c r="I1048" s="1111" t="s">
        <v>201</v>
      </c>
      <c r="J1048" s="1111"/>
      <c r="K1048" s="1111"/>
      <c r="L1048" s="1111"/>
      <c r="M1048" s="1111"/>
      <c r="N1048" s="1111"/>
      <c r="O1048" s="1112"/>
      <c r="P1048" s="100"/>
      <c r="Q1048" s="100"/>
      <c r="R1048" s="100"/>
      <c r="S1048" s="100"/>
      <c r="T1048" s="100"/>
      <c r="U1048" s="100"/>
      <c r="V1048" s="100"/>
      <c r="W1048" s="100"/>
      <c r="X1048" s="100"/>
      <c r="Y1048" s="100"/>
      <c r="Z1048" s="100"/>
      <c r="AA1048" s="100"/>
      <c r="AB1048" s="100"/>
      <c r="AC1048" s="100"/>
      <c r="AD1048" s="100"/>
      <c r="AF1048"/>
      <c r="AG1048">
        <f t="shared" si="816"/>
        <v>0</v>
      </c>
      <c r="AH1048">
        <f t="shared" si="800"/>
        <v>0</v>
      </c>
      <c r="AK1048">
        <f t="shared" si="801"/>
        <v>0</v>
      </c>
      <c r="AL1048">
        <f t="shared" si="802"/>
        <v>0</v>
      </c>
      <c r="AM1048">
        <f t="shared" si="803"/>
        <v>0</v>
      </c>
      <c r="AN1048">
        <f t="shared" si="804"/>
        <v>0</v>
      </c>
      <c r="AO1048">
        <f t="shared" si="805"/>
        <v>0</v>
      </c>
      <c r="AP1048">
        <f t="shared" si="806"/>
        <v>0</v>
      </c>
      <c r="AQ1048">
        <f t="shared" si="807"/>
        <v>0</v>
      </c>
      <c r="AR1048">
        <f t="shared" si="808"/>
        <v>0</v>
      </c>
      <c r="AS1048">
        <f t="shared" si="809"/>
        <v>0</v>
      </c>
      <c r="AT1048">
        <f t="shared" si="810"/>
        <v>0</v>
      </c>
      <c r="AU1048">
        <f t="shared" si="811"/>
        <v>0</v>
      </c>
      <c r="AV1048">
        <f t="shared" si="812"/>
        <v>0</v>
      </c>
      <c r="AW1048">
        <f t="shared" si="813"/>
        <v>0</v>
      </c>
      <c r="AX1048">
        <f t="shared" si="814"/>
        <v>0</v>
      </c>
      <c r="AY1048">
        <f t="shared" si="815"/>
        <v>0</v>
      </c>
    </row>
    <row r="1049" spans="1:51" ht="15" customHeight="1">
      <c r="A1049" s="110"/>
      <c r="B1049" s="57"/>
      <c r="C1049" s="732"/>
      <c r="D1049" s="874"/>
      <c r="E1049" s="874"/>
      <c r="F1049" s="1103" t="s">
        <v>5041</v>
      </c>
      <c r="G1049" s="1103"/>
      <c r="H1049" s="1104" t="s">
        <v>5042</v>
      </c>
      <c r="I1049" s="1105"/>
      <c r="J1049" s="1105"/>
      <c r="K1049" s="1105"/>
      <c r="L1049" s="1105"/>
      <c r="M1049" s="1105"/>
      <c r="N1049" s="1105"/>
      <c r="O1049" s="1106"/>
      <c r="P1049" s="100"/>
      <c r="Q1049" s="100"/>
      <c r="R1049" s="100"/>
      <c r="S1049" s="100"/>
      <c r="T1049" s="100"/>
      <c r="U1049" s="100"/>
      <c r="V1049" s="100"/>
      <c r="W1049" s="100"/>
      <c r="X1049" s="100"/>
      <c r="Y1049" s="100"/>
      <c r="Z1049" s="100"/>
      <c r="AA1049" s="100"/>
      <c r="AB1049" s="100"/>
      <c r="AC1049" s="100"/>
      <c r="AD1049" s="100"/>
      <c r="AF1049">
        <f>IF(P1049="NA",IF(AND(COUNTIF(P1050:P1052,"="&amp;$AF$934)=0,COUNTIF(P1050:P1052,"&lt;&gt;NA")&gt;0),1,0),IF(AND(COUNTIF(P1050:P1052,"="&amp;$AF$934)=0,COUNTIF(P1050:P1052,"NA")=COUNTIF(P1050:P1052,"&lt;&gt;"&amp;$AF$934)),1,0))</f>
        <v>0</v>
      </c>
      <c r="AG1049">
        <f t="shared" si="816"/>
        <v>0</v>
      </c>
      <c r="AH1049">
        <f t="shared" si="800"/>
        <v>0</v>
      </c>
      <c r="AK1049">
        <f t="shared" si="801"/>
        <v>0</v>
      </c>
      <c r="AL1049">
        <f t="shared" si="802"/>
        <v>0</v>
      </c>
      <c r="AM1049">
        <f t="shared" si="803"/>
        <v>0</v>
      </c>
      <c r="AN1049">
        <f t="shared" si="804"/>
        <v>0</v>
      </c>
      <c r="AO1049">
        <f t="shared" si="805"/>
        <v>0</v>
      </c>
      <c r="AP1049">
        <f t="shared" si="806"/>
        <v>0</v>
      </c>
      <c r="AQ1049">
        <f t="shared" si="807"/>
        <v>0</v>
      </c>
      <c r="AR1049">
        <f t="shared" si="808"/>
        <v>0</v>
      </c>
      <c r="AS1049">
        <f t="shared" si="809"/>
        <v>0</v>
      </c>
      <c r="AT1049">
        <f t="shared" si="810"/>
        <v>0</v>
      </c>
      <c r="AU1049">
        <f t="shared" si="811"/>
        <v>0</v>
      </c>
      <c r="AV1049">
        <f t="shared" si="812"/>
        <v>0</v>
      </c>
      <c r="AW1049">
        <f t="shared" si="813"/>
        <v>0</v>
      </c>
      <c r="AX1049">
        <f t="shared" si="814"/>
        <v>0</v>
      </c>
      <c r="AY1049">
        <f t="shared" si="815"/>
        <v>0</v>
      </c>
    </row>
    <row r="1050" spans="1:51" ht="15" customHeight="1">
      <c r="A1050" s="110"/>
      <c r="B1050" s="57"/>
      <c r="C1050" s="732"/>
      <c r="D1050" s="874"/>
      <c r="E1050" s="874"/>
      <c r="F1050" s="1119" t="s">
        <v>5043</v>
      </c>
      <c r="G1050" s="1120"/>
      <c r="H1050" s="178"/>
      <c r="I1050" s="1111" t="s">
        <v>5044</v>
      </c>
      <c r="J1050" s="1111"/>
      <c r="K1050" s="1111"/>
      <c r="L1050" s="1111"/>
      <c r="M1050" s="1111"/>
      <c r="N1050" s="1111"/>
      <c r="O1050" s="1112"/>
      <c r="P1050" s="100"/>
      <c r="Q1050" s="100"/>
      <c r="R1050" s="100"/>
      <c r="S1050" s="100"/>
      <c r="T1050" s="100"/>
      <c r="U1050" s="100"/>
      <c r="V1050" s="100"/>
      <c r="W1050" s="100"/>
      <c r="X1050" s="100"/>
      <c r="Y1050" s="100"/>
      <c r="Z1050" s="100"/>
      <c r="AA1050" s="100"/>
      <c r="AB1050" s="100"/>
      <c r="AC1050" s="100"/>
      <c r="AD1050" s="100"/>
      <c r="AF1050"/>
      <c r="AG1050">
        <f t="shared" si="816"/>
        <v>0</v>
      </c>
      <c r="AH1050">
        <f t="shared" si="800"/>
        <v>0</v>
      </c>
      <c r="AK1050">
        <f t="shared" si="801"/>
        <v>0</v>
      </c>
      <c r="AL1050">
        <f t="shared" si="802"/>
        <v>0</v>
      </c>
      <c r="AM1050">
        <f t="shared" si="803"/>
        <v>0</v>
      </c>
      <c r="AN1050">
        <f t="shared" si="804"/>
        <v>0</v>
      </c>
      <c r="AO1050">
        <f t="shared" si="805"/>
        <v>0</v>
      </c>
      <c r="AP1050">
        <f t="shared" si="806"/>
        <v>0</v>
      </c>
      <c r="AQ1050">
        <f t="shared" si="807"/>
        <v>0</v>
      </c>
      <c r="AR1050">
        <f t="shared" si="808"/>
        <v>0</v>
      </c>
      <c r="AS1050">
        <f t="shared" si="809"/>
        <v>0</v>
      </c>
      <c r="AT1050">
        <f t="shared" si="810"/>
        <v>0</v>
      </c>
      <c r="AU1050">
        <f t="shared" si="811"/>
        <v>0</v>
      </c>
      <c r="AV1050">
        <f t="shared" si="812"/>
        <v>0</v>
      </c>
      <c r="AW1050">
        <f t="shared" si="813"/>
        <v>0</v>
      </c>
      <c r="AX1050">
        <f t="shared" si="814"/>
        <v>0</v>
      </c>
      <c r="AY1050">
        <f t="shared" si="815"/>
        <v>0</v>
      </c>
    </row>
    <row r="1051" spans="1:51" ht="24" customHeight="1">
      <c r="A1051" s="110"/>
      <c r="B1051" s="57"/>
      <c r="C1051" s="732"/>
      <c r="D1051" s="874"/>
      <c r="E1051" s="874"/>
      <c r="F1051" s="1119" t="s">
        <v>5045</v>
      </c>
      <c r="G1051" s="1120"/>
      <c r="H1051" s="178"/>
      <c r="I1051" s="1111" t="s">
        <v>5046</v>
      </c>
      <c r="J1051" s="1111"/>
      <c r="K1051" s="1111"/>
      <c r="L1051" s="1111"/>
      <c r="M1051" s="1111"/>
      <c r="N1051" s="1111"/>
      <c r="O1051" s="1112"/>
      <c r="P1051" s="100"/>
      <c r="Q1051" s="100"/>
      <c r="R1051" s="100"/>
      <c r="S1051" s="100"/>
      <c r="T1051" s="100"/>
      <c r="U1051" s="100"/>
      <c r="V1051" s="100"/>
      <c r="W1051" s="100"/>
      <c r="X1051" s="100"/>
      <c r="Y1051" s="100"/>
      <c r="Z1051" s="100"/>
      <c r="AA1051" s="100"/>
      <c r="AB1051" s="100"/>
      <c r="AC1051" s="100"/>
      <c r="AD1051" s="100"/>
      <c r="AF1051"/>
      <c r="AG1051">
        <f t="shared" si="816"/>
        <v>0</v>
      </c>
      <c r="AH1051">
        <f t="shared" si="800"/>
        <v>0</v>
      </c>
      <c r="AK1051">
        <f t="shared" si="801"/>
        <v>0</v>
      </c>
      <c r="AL1051">
        <f t="shared" si="802"/>
        <v>0</v>
      </c>
      <c r="AM1051">
        <f t="shared" si="803"/>
        <v>0</v>
      </c>
      <c r="AN1051">
        <f t="shared" si="804"/>
        <v>0</v>
      </c>
      <c r="AO1051">
        <f t="shared" si="805"/>
        <v>0</v>
      </c>
      <c r="AP1051">
        <f t="shared" si="806"/>
        <v>0</v>
      </c>
      <c r="AQ1051">
        <f t="shared" si="807"/>
        <v>0</v>
      </c>
      <c r="AR1051">
        <f t="shared" si="808"/>
        <v>0</v>
      </c>
      <c r="AS1051">
        <f t="shared" si="809"/>
        <v>0</v>
      </c>
      <c r="AT1051">
        <f t="shared" si="810"/>
        <v>0</v>
      </c>
      <c r="AU1051">
        <f t="shared" si="811"/>
        <v>0</v>
      </c>
      <c r="AV1051">
        <f t="shared" si="812"/>
        <v>0</v>
      </c>
      <c r="AW1051">
        <f t="shared" si="813"/>
        <v>0</v>
      </c>
      <c r="AX1051">
        <f t="shared" si="814"/>
        <v>0</v>
      </c>
      <c r="AY1051">
        <f t="shared" si="815"/>
        <v>0</v>
      </c>
    </row>
    <row r="1052" spans="1:51" ht="15" customHeight="1">
      <c r="A1052" s="110"/>
      <c r="B1052" s="57"/>
      <c r="C1052" s="732"/>
      <c r="D1052" s="874"/>
      <c r="E1052" s="874"/>
      <c r="F1052" s="1119" t="s">
        <v>5047</v>
      </c>
      <c r="G1052" s="1120"/>
      <c r="H1052" s="178"/>
      <c r="I1052" s="1111" t="s">
        <v>201</v>
      </c>
      <c r="J1052" s="1111"/>
      <c r="K1052" s="1111"/>
      <c r="L1052" s="1111"/>
      <c r="M1052" s="1111"/>
      <c r="N1052" s="1111"/>
      <c r="O1052" s="1112"/>
      <c r="P1052" s="100"/>
      <c r="Q1052" s="100"/>
      <c r="R1052" s="100"/>
      <c r="S1052" s="100"/>
      <c r="T1052" s="100"/>
      <c r="U1052" s="100"/>
      <c r="V1052" s="100"/>
      <c r="W1052" s="100"/>
      <c r="X1052" s="100"/>
      <c r="Y1052" s="100"/>
      <c r="Z1052" s="100"/>
      <c r="AA1052" s="100"/>
      <c r="AB1052" s="100"/>
      <c r="AC1052" s="100"/>
      <c r="AD1052" s="100"/>
      <c r="AF1052"/>
      <c r="AG1052">
        <f t="shared" si="816"/>
        <v>0</v>
      </c>
      <c r="AH1052">
        <f t="shared" si="800"/>
        <v>0</v>
      </c>
      <c r="AK1052">
        <f t="shared" si="801"/>
        <v>0</v>
      </c>
      <c r="AL1052">
        <f t="shared" si="802"/>
        <v>0</v>
      </c>
      <c r="AM1052">
        <f t="shared" si="803"/>
        <v>0</v>
      </c>
      <c r="AN1052">
        <f t="shared" si="804"/>
        <v>0</v>
      </c>
      <c r="AO1052">
        <f t="shared" si="805"/>
        <v>0</v>
      </c>
      <c r="AP1052">
        <f t="shared" si="806"/>
        <v>0</v>
      </c>
      <c r="AQ1052">
        <f t="shared" si="807"/>
        <v>0</v>
      </c>
      <c r="AR1052">
        <f t="shared" si="808"/>
        <v>0</v>
      </c>
      <c r="AS1052">
        <f t="shared" si="809"/>
        <v>0</v>
      </c>
      <c r="AT1052">
        <f t="shared" si="810"/>
        <v>0</v>
      </c>
      <c r="AU1052">
        <f t="shared" si="811"/>
        <v>0</v>
      </c>
      <c r="AV1052">
        <f t="shared" si="812"/>
        <v>0</v>
      </c>
      <c r="AW1052">
        <f t="shared" si="813"/>
        <v>0</v>
      </c>
      <c r="AX1052">
        <f t="shared" si="814"/>
        <v>0</v>
      </c>
      <c r="AY1052">
        <f t="shared" si="815"/>
        <v>0</v>
      </c>
    </row>
    <row r="1053" spans="1:51" ht="15" customHeight="1">
      <c r="A1053" s="110"/>
      <c r="B1053" s="57"/>
      <c r="C1053" s="732"/>
      <c r="D1053" s="874"/>
      <c r="E1053" s="874"/>
      <c r="F1053" s="1103" t="s">
        <v>5048</v>
      </c>
      <c r="G1053" s="1103"/>
      <c r="H1053" s="1104" t="s">
        <v>5049</v>
      </c>
      <c r="I1053" s="1105"/>
      <c r="J1053" s="1105"/>
      <c r="K1053" s="1105"/>
      <c r="L1053" s="1105"/>
      <c r="M1053" s="1105"/>
      <c r="N1053" s="1105"/>
      <c r="O1053" s="1106"/>
      <c r="P1053" s="100"/>
      <c r="Q1053" s="100"/>
      <c r="R1053" s="100"/>
      <c r="S1053" s="100"/>
      <c r="T1053" s="100"/>
      <c r="U1053" s="100"/>
      <c r="V1053" s="100"/>
      <c r="W1053" s="100"/>
      <c r="X1053" s="100"/>
      <c r="Y1053" s="100"/>
      <c r="Z1053" s="100"/>
      <c r="AA1053" s="100"/>
      <c r="AB1053" s="100"/>
      <c r="AC1053" s="100"/>
      <c r="AD1053" s="100"/>
      <c r="AF1053"/>
      <c r="AG1053">
        <f t="shared" si="816"/>
        <v>0</v>
      </c>
      <c r="AH1053">
        <f t="shared" ref="AH1053:AH1089" si="817">IF(P1053="NA",IF(SUM(COUNTBLANK(Q1053:AD1053),COUNTBLANK(V1225:AD1225))=23,0,1),0)</f>
        <v>0</v>
      </c>
      <c r="AK1053">
        <f t="shared" ref="AK1053:AK1089" si="818">COUNTIF(Q1053:R1053,"NS")</f>
        <v>0</v>
      </c>
      <c r="AL1053">
        <f t="shared" ref="AL1053:AL1089" si="819">SUM(Q1053:R1053)</f>
        <v>0</v>
      </c>
      <c r="AM1053">
        <f t="shared" ref="AM1053:AM1089" si="820">IF(COUNTIF(P1053:R1053,"NA")=3,0,IF(COUNTA(P1053:R1053)=0,0,IF(OR(AND(P1053=0,AK1053&gt;0),AND(P1053="ns",AL1053&gt;0),AND(P1053="ns",AK1053=0,AL1053=0)),1,IF(OR(AND(P1053&gt;0,AK1053=2),AND(P1053="ns",AK1053=2),AND(P1053="ns",AL1053=0,AK1053&gt;0),P1053=AL1053),0,1))))</f>
        <v>0</v>
      </c>
      <c r="AN1053">
        <f t="shared" ref="AN1053:AN1089" si="821">COUNTIF(T1053:U1053,"NS")</f>
        <v>0</v>
      </c>
      <c r="AO1053">
        <f t="shared" ref="AO1053:AO1089" si="822">SUM(T1053:U1053)</f>
        <v>0</v>
      </c>
      <c r="AP1053">
        <f t="shared" ref="AP1053:AP1089" si="823">IF(COUNTIF(S1053:U1053,"NA")=3,0,IF(COUNTA(S1053:U1053)=0,0,IF(OR(AND(S1053=0,AN1053&gt;0),AND(S1053="ns",AO1053&gt;0),AND(S1053="ns",AN1053=0,AO1053=0)),1,IF(OR(AND(S1053&gt;0,AN1053=2),AND(S1053="ns",AN1053=2),AND(S1053="ns",AO1053=0,AN1053&gt;0),S1053=AO1053),0,1))))</f>
        <v>0</v>
      </c>
      <c r="AQ1053">
        <f t="shared" ref="AQ1053:AQ1089" si="824">COUNTIF(W1053:X1053,"NS")</f>
        <v>0</v>
      </c>
      <c r="AR1053">
        <f t="shared" ref="AR1053:AR1089" si="825">SUM(W1053:X1053)</f>
        <v>0</v>
      </c>
      <c r="AS1053">
        <f t="shared" ref="AS1053:AS1089" si="826">IF(COUNTIF(V1053:X1053,"NA")=3,0,IF(COUNTA(V1053:X1053)=0,0,IF(OR(AND(V1053=0,AQ1053&gt;0),AND(V1053="ns",AR1053&gt;0),AND(V1053="ns",AQ1053=0,AR1053=0)),1,IF(OR(AND(V1053&gt;0,AQ1053=2),AND(V1053="ns",AQ1053=2),AND(V1053="ns",AR1053=0,AQ1053&gt;0),V1053=AR1053),0,1))))</f>
        <v>0</v>
      </c>
      <c r="AT1053">
        <f t="shared" ref="AT1053:AT1089" si="827">COUNTIF(Z1053:AA1053,"NS")</f>
        <v>0</v>
      </c>
      <c r="AU1053">
        <f t="shared" ref="AU1053:AU1089" si="828">SUM(Z1053:AA1053)</f>
        <v>0</v>
      </c>
      <c r="AV1053">
        <f t="shared" ref="AV1053:AV1089" si="829">IF(COUNTIF(Y1053:AA1053,"NA")=3,0,IF(COUNTA(Y1053:AA1053)=0,0,IF(OR(AND(Y1053=0,AT1053&gt;0),AND(Y1053="ns",AU1053&gt;0),AND(Y1053="ns",AT1053=0,AU1053=0)),1,IF(OR(AND(Y1053&gt;0,AT1053=2),AND(Y1053="ns",AT1053=2),AND(Y1053="ns",AU1053=0,AT1053&gt;0),Y1053=AU1053),0,1))))</f>
        <v>0</v>
      </c>
      <c r="AW1053">
        <f t="shared" ref="AW1053:AW1089" si="830">COUNTIF(AC1053:AD1053,"NS")</f>
        <v>0</v>
      </c>
      <c r="AX1053">
        <f t="shared" ref="AX1053:AX1089" si="831">SUM(AC1053:AD1053)</f>
        <v>0</v>
      </c>
      <c r="AY1053">
        <f t="shared" ref="AY1053:AY1089" si="832">IF(COUNTIF(AB1053:AD1053,"NA")=3,0,IF(COUNTA(AB1053:AD1053)=0,0,IF(OR(AND(AB1053=0,AW1053&gt;0),AND(AB1053="ns",AX1053&gt;0),AND(AB1053="ns",AW1053=0,AX1053=0)),1,IF(OR(AND(AB1053&gt;0,AW1053=2),AND(AB1053="ns",AW1053=2),AND(AB1053="ns",AX1053=0,AW1053&gt;0),AB1053=AX1053),0,1))))</f>
        <v>0</v>
      </c>
    </row>
    <row r="1054" spans="1:51" ht="15" customHeight="1">
      <c r="A1054" s="110"/>
      <c r="B1054" s="57"/>
      <c r="C1054" s="732"/>
      <c r="D1054" s="874"/>
      <c r="E1054" s="874"/>
      <c r="F1054" s="1103" t="s">
        <v>5050</v>
      </c>
      <c r="G1054" s="1103"/>
      <c r="H1054" s="1104" t="s">
        <v>5051</v>
      </c>
      <c r="I1054" s="1105"/>
      <c r="J1054" s="1105"/>
      <c r="K1054" s="1105"/>
      <c r="L1054" s="1105"/>
      <c r="M1054" s="1105"/>
      <c r="N1054" s="1105"/>
      <c r="O1054" s="1106"/>
      <c r="P1054" s="100"/>
      <c r="Q1054" s="100"/>
      <c r="R1054" s="100"/>
      <c r="S1054" s="100"/>
      <c r="T1054" s="100"/>
      <c r="U1054" s="100"/>
      <c r="V1054" s="100"/>
      <c r="W1054" s="100"/>
      <c r="X1054" s="100"/>
      <c r="Y1054" s="100"/>
      <c r="Z1054" s="100"/>
      <c r="AA1054" s="100"/>
      <c r="AB1054" s="100"/>
      <c r="AC1054" s="100"/>
      <c r="AD1054" s="100"/>
      <c r="AF1054"/>
      <c r="AG1054">
        <f t="shared" ref="AG1054:AG1089" si="833">IF(OR($P$895=0,$P$895="NS",$P$895="NA",P1054="NA"),0,IF(SUM(COUNTBLANK(P1054:AD1054),COUNTBLANK(V1226:AD1226))=0,0,1))</f>
        <v>0</v>
      </c>
      <c r="AH1054">
        <f t="shared" si="817"/>
        <v>0</v>
      </c>
      <c r="AK1054">
        <f t="shared" si="818"/>
        <v>0</v>
      </c>
      <c r="AL1054">
        <f t="shared" si="819"/>
        <v>0</v>
      </c>
      <c r="AM1054">
        <f t="shared" si="820"/>
        <v>0</v>
      </c>
      <c r="AN1054">
        <f t="shared" si="821"/>
        <v>0</v>
      </c>
      <c r="AO1054">
        <f t="shared" si="822"/>
        <v>0</v>
      </c>
      <c r="AP1054">
        <f t="shared" si="823"/>
        <v>0</v>
      </c>
      <c r="AQ1054">
        <f t="shared" si="824"/>
        <v>0</v>
      </c>
      <c r="AR1054">
        <f t="shared" si="825"/>
        <v>0</v>
      </c>
      <c r="AS1054">
        <f t="shared" si="826"/>
        <v>0</v>
      </c>
      <c r="AT1054">
        <f t="shared" si="827"/>
        <v>0</v>
      </c>
      <c r="AU1054">
        <f t="shared" si="828"/>
        <v>0</v>
      </c>
      <c r="AV1054">
        <f t="shared" si="829"/>
        <v>0</v>
      </c>
      <c r="AW1054">
        <f t="shared" si="830"/>
        <v>0</v>
      </c>
      <c r="AX1054">
        <f t="shared" si="831"/>
        <v>0</v>
      </c>
      <c r="AY1054">
        <f t="shared" si="832"/>
        <v>0</v>
      </c>
    </row>
    <row r="1055" spans="1:51" ht="24" customHeight="1">
      <c r="A1055" s="110"/>
      <c r="B1055" s="57"/>
      <c r="C1055" s="732"/>
      <c r="D1055" s="874"/>
      <c r="E1055" s="874"/>
      <c r="F1055" s="1103" t="s">
        <v>5052</v>
      </c>
      <c r="G1055" s="1103"/>
      <c r="H1055" s="1104" t="s">
        <v>5053</v>
      </c>
      <c r="I1055" s="1105"/>
      <c r="J1055" s="1105"/>
      <c r="K1055" s="1105"/>
      <c r="L1055" s="1105"/>
      <c r="M1055" s="1105"/>
      <c r="N1055" s="1105"/>
      <c r="O1055" s="1106"/>
      <c r="P1055" s="100"/>
      <c r="Q1055" s="100"/>
      <c r="R1055" s="100"/>
      <c r="S1055" s="100"/>
      <c r="T1055" s="100"/>
      <c r="U1055" s="100"/>
      <c r="V1055" s="100"/>
      <c r="W1055" s="100"/>
      <c r="X1055" s="100"/>
      <c r="Y1055" s="100"/>
      <c r="Z1055" s="100"/>
      <c r="AA1055" s="100"/>
      <c r="AB1055" s="100"/>
      <c r="AC1055" s="100"/>
      <c r="AD1055" s="100"/>
      <c r="AF1055"/>
      <c r="AG1055">
        <f t="shared" si="833"/>
        <v>0</v>
      </c>
      <c r="AH1055">
        <f t="shared" si="817"/>
        <v>0</v>
      </c>
      <c r="AJ1055">
        <f>IF(OR(P1055="NS",P1055="NA",$P$895=0,$P$895="NS",$P$895="NA"),0,IF((P1055*(IFERROR(100/SUM(P1039:P1055),0)))&gt;25,1,0))</f>
        <v>0</v>
      </c>
      <c r="AK1055">
        <f t="shared" si="818"/>
        <v>0</v>
      </c>
      <c r="AL1055">
        <f t="shared" si="819"/>
        <v>0</v>
      </c>
      <c r="AM1055">
        <f t="shared" si="820"/>
        <v>0</v>
      </c>
      <c r="AN1055">
        <f t="shared" si="821"/>
        <v>0</v>
      </c>
      <c r="AO1055">
        <f t="shared" si="822"/>
        <v>0</v>
      </c>
      <c r="AP1055">
        <f t="shared" si="823"/>
        <v>0</v>
      </c>
      <c r="AQ1055">
        <f t="shared" si="824"/>
        <v>0</v>
      </c>
      <c r="AR1055">
        <f t="shared" si="825"/>
        <v>0</v>
      </c>
      <c r="AS1055">
        <f t="shared" si="826"/>
        <v>0</v>
      </c>
      <c r="AT1055">
        <f t="shared" si="827"/>
        <v>0</v>
      </c>
      <c r="AU1055">
        <f t="shared" si="828"/>
        <v>0</v>
      </c>
      <c r="AV1055">
        <f t="shared" si="829"/>
        <v>0</v>
      </c>
      <c r="AW1055">
        <f t="shared" si="830"/>
        <v>0</v>
      </c>
      <c r="AX1055">
        <f t="shared" si="831"/>
        <v>0</v>
      </c>
      <c r="AY1055">
        <f t="shared" si="832"/>
        <v>0</v>
      </c>
    </row>
    <row r="1056" spans="1:51" ht="15" customHeight="1">
      <c r="A1056" s="110"/>
      <c r="B1056" s="57"/>
      <c r="C1056" s="1108" t="s">
        <v>5054</v>
      </c>
      <c r="D1056" s="874" t="s">
        <v>5055</v>
      </c>
      <c r="E1056" s="874"/>
      <c r="F1056" s="1103" t="s">
        <v>5056</v>
      </c>
      <c r="G1056" s="1103"/>
      <c r="H1056" s="1104" t="s">
        <v>5057</v>
      </c>
      <c r="I1056" s="1105"/>
      <c r="J1056" s="1105"/>
      <c r="K1056" s="1105"/>
      <c r="L1056" s="1105"/>
      <c r="M1056" s="1105"/>
      <c r="N1056" s="1105"/>
      <c r="O1056" s="1106"/>
      <c r="P1056" s="100"/>
      <c r="Q1056" s="100"/>
      <c r="R1056" s="100"/>
      <c r="S1056" s="100"/>
      <c r="T1056" s="100"/>
      <c r="U1056" s="100"/>
      <c r="V1056" s="100"/>
      <c r="W1056" s="100"/>
      <c r="X1056" s="100"/>
      <c r="Y1056" s="100"/>
      <c r="Z1056" s="100"/>
      <c r="AA1056" s="100"/>
      <c r="AB1056" s="100"/>
      <c r="AC1056" s="100"/>
      <c r="AD1056" s="100"/>
      <c r="AF1056"/>
      <c r="AG1056">
        <f t="shared" si="833"/>
        <v>0</v>
      </c>
      <c r="AH1056">
        <f t="shared" si="817"/>
        <v>0</v>
      </c>
      <c r="AK1056">
        <f t="shared" si="818"/>
        <v>0</v>
      </c>
      <c r="AL1056">
        <f t="shared" si="819"/>
        <v>0</v>
      </c>
      <c r="AM1056">
        <f t="shared" si="820"/>
        <v>0</v>
      </c>
      <c r="AN1056">
        <f t="shared" si="821"/>
        <v>0</v>
      </c>
      <c r="AO1056">
        <f t="shared" si="822"/>
        <v>0</v>
      </c>
      <c r="AP1056">
        <f t="shared" si="823"/>
        <v>0</v>
      </c>
      <c r="AQ1056">
        <f t="shared" si="824"/>
        <v>0</v>
      </c>
      <c r="AR1056">
        <f t="shared" si="825"/>
        <v>0</v>
      </c>
      <c r="AS1056">
        <f t="shared" si="826"/>
        <v>0</v>
      </c>
      <c r="AT1056">
        <f t="shared" si="827"/>
        <v>0</v>
      </c>
      <c r="AU1056">
        <f t="shared" si="828"/>
        <v>0</v>
      </c>
      <c r="AV1056">
        <f t="shared" si="829"/>
        <v>0</v>
      </c>
      <c r="AW1056">
        <f t="shared" si="830"/>
        <v>0</v>
      </c>
      <c r="AX1056">
        <f t="shared" si="831"/>
        <v>0</v>
      </c>
      <c r="AY1056">
        <f t="shared" si="832"/>
        <v>0</v>
      </c>
    </row>
    <row r="1057" spans="1:51" ht="15" customHeight="1">
      <c r="A1057" s="110"/>
      <c r="B1057" s="57"/>
      <c r="C1057" s="1109"/>
      <c r="D1057" s="874"/>
      <c r="E1057" s="874"/>
      <c r="F1057" s="1103" t="s">
        <v>5058</v>
      </c>
      <c r="G1057" s="1103"/>
      <c r="H1057" s="1104" t="s">
        <v>5059</v>
      </c>
      <c r="I1057" s="1105"/>
      <c r="J1057" s="1105"/>
      <c r="K1057" s="1105"/>
      <c r="L1057" s="1105"/>
      <c r="M1057" s="1105"/>
      <c r="N1057" s="1105"/>
      <c r="O1057" s="1106"/>
      <c r="P1057" s="100"/>
      <c r="Q1057" s="100"/>
      <c r="R1057" s="100"/>
      <c r="S1057" s="100"/>
      <c r="T1057" s="100"/>
      <c r="U1057" s="100"/>
      <c r="V1057" s="100"/>
      <c r="W1057" s="100"/>
      <c r="X1057" s="100"/>
      <c r="Y1057" s="100"/>
      <c r="Z1057" s="100"/>
      <c r="AA1057" s="100"/>
      <c r="AB1057" s="100"/>
      <c r="AC1057" s="100"/>
      <c r="AD1057" s="100"/>
      <c r="AF1057"/>
      <c r="AG1057">
        <f t="shared" si="833"/>
        <v>0</v>
      </c>
      <c r="AH1057">
        <f t="shared" si="817"/>
        <v>0</v>
      </c>
      <c r="AK1057">
        <f t="shared" si="818"/>
        <v>0</v>
      </c>
      <c r="AL1057">
        <f t="shared" si="819"/>
        <v>0</v>
      </c>
      <c r="AM1057">
        <f t="shared" si="820"/>
        <v>0</v>
      </c>
      <c r="AN1057">
        <f t="shared" si="821"/>
        <v>0</v>
      </c>
      <c r="AO1057">
        <f t="shared" si="822"/>
        <v>0</v>
      </c>
      <c r="AP1057">
        <f t="shared" si="823"/>
        <v>0</v>
      </c>
      <c r="AQ1057">
        <f t="shared" si="824"/>
        <v>0</v>
      </c>
      <c r="AR1057">
        <f t="shared" si="825"/>
        <v>0</v>
      </c>
      <c r="AS1057">
        <f t="shared" si="826"/>
        <v>0</v>
      </c>
      <c r="AT1057">
        <f t="shared" si="827"/>
        <v>0</v>
      </c>
      <c r="AU1057">
        <f t="shared" si="828"/>
        <v>0</v>
      </c>
      <c r="AV1057">
        <f t="shared" si="829"/>
        <v>0</v>
      </c>
      <c r="AW1057">
        <f t="shared" si="830"/>
        <v>0</v>
      </c>
      <c r="AX1057">
        <f t="shared" si="831"/>
        <v>0</v>
      </c>
      <c r="AY1057">
        <f t="shared" si="832"/>
        <v>0</v>
      </c>
    </row>
    <row r="1058" spans="1:51" ht="15" customHeight="1">
      <c r="A1058" s="110"/>
      <c r="B1058" s="57"/>
      <c r="C1058" s="1109"/>
      <c r="D1058" s="874"/>
      <c r="E1058" s="874"/>
      <c r="F1058" s="1103" t="s">
        <v>5060</v>
      </c>
      <c r="G1058" s="1103"/>
      <c r="H1058" s="1104" t="s">
        <v>5061</v>
      </c>
      <c r="I1058" s="1105"/>
      <c r="J1058" s="1105"/>
      <c r="K1058" s="1105"/>
      <c r="L1058" s="1105"/>
      <c r="M1058" s="1105"/>
      <c r="N1058" s="1105"/>
      <c r="O1058" s="1106"/>
      <c r="P1058" s="100"/>
      <c r="Q1058" s="100"/>
      <c r="R1058" s="100"/>
      <c r="S1058" s="100"/>
      <c r="T1058" s="100"/>
      <c r="U1058" s="100"/>
      <c r="V1058" s="100"/>
      <c r="W1058" s="100"/>
      <c r="X1058" s="100"/>
      <c r="Y1058" s="100"/>
      <c r="Z1058" s="100"/>
      <c r="AA1058" s="100"/>
      <c r="AB1058" s="100"/>
      <c r="AC1058" s="100"/>
      <c r="AD1058" s="100"/>
      <c r="AF1058"/>
      <c r="AG1058">
        <f t="shared" si="833"/>
        <v>0</v>
      </c>
      <c r="AH1058">
        <f t="shared" si="817"/>
        <v>0</v>
      </c>
      <c r="AK1058">
        <f t="shared" si="818"/>
        <v>0</v>
      </c>
      <c r="AL1058">
        <f t="shared" si="819"/>
        <v>0</v>
      </c>
      <c r="AM1058">
        <f t="shared" si="820"/>
        <v>0</v>
      </c>
      <c r="AN1058">
        <f t="shared" si="821"/>
        <v>0</v>
      </c>
      <c r="AO1058">
        <f t="shared" si="822"/>
        <v>0</v>
      </c>
      <c r="AP1058">
        <f t="shared" si="823"/>
        <v>0</v>
      </c>
      <c r="AQ1058">
        <f t="shared" si="824"/>
        <v>0</v>
      </c>
      <c r="AR1058">
        <f t="shared" si="825"/>
        <v>0</v>
      </c>
      <c r="AS1058">
        <f t="shared" si="826"/>
        <v>0</v>
      </c>
      <c r="AT1058">
        <f t="shared" si="827"/>
        <v>0</v>
      </c>
      <c r="AU1058">
        <f t="shared" si="828"/>
        <v>0</v>
      </c>
      <c r="AV1058">
        <f t="shared" si="829"/>
        <v>0</v>
      </c>
      <c r="AW1058">
        <f t="shared" si="830"/>
        <v>0</v>
      </c>
      <c r="AX1058">
        <f t="shared" si="831"/>
        <v>0</v>
      </c>
      <c r="AY1058">
        <f t="shared" si="832"/>
        <v>0</v>
      </c>
    </row>
    <row r="1059" spans="1:51" ht="15" customHeight="1">
      <c r="A1059" s="110"/>
      <c r="B1059" s="57"/>
      <c r="C1059" s="1109"/>
      <c r="D1059" s="874"/>
      <c r="E1059" s="874"/>
      <c r="F1059" s="1103" t="s">
        <v>5062</v>
      </c>
      <c r="G1059" s="1103"/>
      <c r="H1059" s="1104" t="s">
        <v>5063</v>
      </c>
      <c r="I1059" s="1105"/>
      <c r="J1059" s="1105"/>
      <c r="K1059" s="1105"/>
      <c r="L1059" s="1105"/>
      <c r="M1059" s="1105"/>
      <c r="N1059" s="1105"/>
      <c r="O1059" s="1106"/>
      <c r="P1059" s="100"/>
      <c r="Q1059" s="100"/>
      <c r="R1059" s="100"/>
      <c r="S1059" s="100"/>
      <c r="T1059" s="100"/>
      <c r="U1059" s="100"/>
      <c r="V1059" s="100"/>
      <c r="W1059" s="100"/>
      <c r="X1059" s="100"/>
      <c r="Y1059" s="100"/>
      <c r="Z1059" s="100"/>
      <c r="AA1059" s="100"/>
      <c r="AB1059" s="100"/>
      <c r="AC1059" s="100"/>
      <c r="AD1059" s="100"/>
      <c r="AF1059"/>
      <c r="AG1059">
        <f t="shared" si="833"/>
        <v>0</v>
      </c>
      <c r="AH1059">
        <f t="shared" si="817"/>
        <v>0</v>
      </c>
      <c r="AK1059">
        <f t="shared" si="818"/>
        <v>0</v>
      </c>
      <c r="AL1059">
        <f t="shared" si="819"/>
        <v>0</v>
      </c>
      <c r="AM1059">
        <f t="shared" si="820"/>
        <v>0</v>
      </c>
      <c r="AN1059">
        <f t="shared" si="821"/>
        <v>0</v>
      </c>
      <c r="AO1059">
        <f t="shared" si="822"/>
        <v>0</v>
      </c>
      <c r="AP1059">
        <f t="shared" si="823"/>
        <v>0</v>
      </c>
      <c r="AQ1059">
        <f t="shared" si="824"/>
        <v>0</v>
      </c>
      <c r="AR1059">
        <f t="shared" si="825"/>
        <v>0</v>
      </c>
      <c r="AS1059">
        <f t="shared" si="826"/>
        <v>0</v>
      </c>
      <c r="AT1059">
        <f t="shared" si="827"/>
        <v>0</v>
      </c>
      <c r="AU1059">
        <f t="shared" si="828"/>
        <v>0</v>
      </c>
      <c r="AV1059">
        <f t="shared" si="829"/>
        <v>0</v>
      </c>
      <c r="AW1059">
        <f t="shared" si="830"/>
        <v>0</v>
      </c>
      <c r="AX1059">
        <f t="shared" si="831"/>
        <v>0</v>
      </c>
      <c r="AY1059">
        <f t="shared" si="832"/>
        <v>0</v>
      </c>
    </row>
    <row r="1060" spans="1:51" ht="24" customHeight="1">
      <c r="A1060" s="110"/>
      <c r="B1060" s="57"/>
      <c r="C1060" s="1109"/>
      <c r="D1060" s="874"/>
      <c r="E1060" s="874"/>
      <c r="F1060" s="1103" t="s">
        <v>5064</v>
      </c>
      <c r="G1060" s="1103"/>
      <c r="H1060" s="1104" t="s">
        <v>5065</v>
      </c>
      <c r="I1060" s="1105"/>
      <c r="J1060" s="1105"/>
      <c r="K1060" s="1105"/>
      <c r="L1060" s="1105"/>
      <c r="M1060" s="1105"/>
      <c r="N1060" s="1105"/>
      <c r="O1060" s="1106"/>
      <c r="P1060" s="100"/>
      <c r="Q1060" s="100"/>
      <c r="R1060" s="100"/>
      <c r="S1060" s="100"/>
      <c r="T1060" s="100"/>
      <c r="U1060" s="100"/>
      <c r="V1060" s="100"/>
      <c r="W1060" s="100"/>
      <c r="X1060" s="100"/>
      <c r="Y1060" s="100"/>
      <c r="Z1060" s="100"/>
      <c r="AA1060" s="100"/>
      <c r="AB1060" s="100"/>
      <c r="AC1060" s="100"/>
      <c r="AD1060" s="100"/>
      <c r="AF1060">
        <f>IF(P1060="NA",IF(AND(COUNTIF(P1061:P1067,"="&amp;$AF$934)=0,COUNTIF(P1061:P1067,"&lt;&gt;NA")&gt;0),1,0),IF(AND(COUNTIF(P1061:P1067,"="&amp;$AF$934)=0,COUNTIF(P1061:P1067,"NA")=COUNTIF(P1061:P1067,"&lt;&gt;"&amp;$AF$934)),1,0))</f>
        <v>0</v>
      </c>
      <c r="AG1060">
        <f t="shared" si="833"/>
        <v>0</v>
      </c>
      <c r="AH1060">
        <f t="shared" si="817"/>
        <v>0</v>
      </c>
      <c r="AK1060">
        <f t="shared" si="818"/>
        <v>0</v>
      </c>
      <c r="AL1060">
        <f t="shared" si="819"/>
        <v>0</v>
      </c>
      <c r="AM1060">
        <f t="shared" si="820"/>
        <v>0</v>
      </c>
      <c r="AN1060">
        <f t="shared" si="821"/>
        <v>0</v>
      </c>
      <c r="AO1060">
        <f t="shared" si="822"/>
        <v>0</v>
      </c>
      <c r="AP1060">
        <f t="shared" si="823"/>
        <v>0</v>
      </c>
      <c r="AQ1060">
        <f t="shared" si="824"/>
        <v>0</v>
      </c>
      <c r="AR1060">
        <f t="shared" si="825"/>
        <v>0</v>
      </c>
      <c r="AS1060">
        <f t="shared" si="826"/>
        <v>0</v>
      </c>
      <c r="AT1060">
        <f t="shared" si="827"/>
        <v>0</v>
      </c>
      <c r="AU1060">
        <f t="shared" si="828"/>
        <v>0</v>
      </c>
      <c r="AV1060">
        <f t="shared" si="829"/>
        <v>0</v>
      </c>
      <c r="AW1060">
        <f t="shared" si="830"/>
        <v>0</v>
      </c>
      <c r="AX1060">
        <f t="shared" si="831"/>
        <v>0</v>
      </c>
      <c r="AY1060">
        <f t="shared" si="832"/>
        <v>0</v>
      </c>
    </row>
    <row r="1061" spans="1:51" ht="36" customHeight="1">
      <c r="A1061" s="110"/>
      <c r="B1061" s="57"/>
      <c r="C1061" s="1109"/>
      <c r="D1061" s="874"/>
      <c r="E1061" s="874"/>
      <c r="F1061" s="1119" t="s">
        <v>5066</v>
      </c>
      <c r="G1061" s="1120"/>
      <c r="H1061" s="178"/>
      <c r="I1061" s="1111" t="s">
        <v>5067</v>
      </c>
      <c r="J1061" s="1111"/>
      <c r="K1061" s="1111"/>
      <c r="L1061" s="1111"/>
      <c r="M1061" s="1111"/>
      <c r="N1061" s="1111"/>
      <c r="O1061" s="1112"/>
      <c r="P1061" s="100"/>
      <c r="Q1061" s="100"/>
      <c r="R1061" s="100"/>
      <c r="S1061" s="100"/>
      <c r="T1061" s="100"/>
      <c r="U1061" s="100"/>
      <c r="V1061" s="100"/>
      <c r="W1061" s="100"/>
      <c r="X1061" s="100"/>
      <c r="Y1061" s="100"/>
      <c r="Z1061" s="100"/>
      <c r="AA1061" s="100"/>
      <c r="AB1061" s="100"/>
      <c r="AC1061" s="100"/>
      <c r="AD1061" s="100"/>
      <c r="AF1061"/>
      <c r="AG1061">
        <f t="shared" si="833"/>
        <v>0</v>
      </c>
      <c r="AH1061">
        <f t="shared" si="817"/>
        <v>0</v>
      </c>
      <c r="AK1061">
        <f t="shared" si="818"/>
        <v>0</v>
      </c>
      <c r="AL1061">
        <f t="shared" si="819"/>
        <v>0</v>
      </c>
      <c r="AM1061">
        <f t="shared" si="820"/>
        <v>0</v>
      </c>
      <c r="AN1061">
        <f t="shared" si="821"/>
        <v>0</v>
      </c>
      <c r="AO1061">
        <f t="shared" si="822"/>
        <v>0</v>
      </c>
      <c r="AP1061">
        <f t="shared" si="823"/>
        <v>0</v>
      </c>
      <c r="AQ1061">
        <f t="shared" si="824"/>
        <v>0</v>
      </c>
      <c r="AR1061">
        <f t="shared" si="825"/>
        <v>0</v>
      </c>
      <c r="AS1061">
        <f t="shared" si="826"/>
        <v>0</v>
      </c>
      <c r="AT1061">
        <f t="shared" si="827"/>
        <v>0</v>
      </c>
      <c r="AU1061">
        <f t="shared" si="828"/>
        <v>0</v>
      </c>
      <c r="AV1061">
        <f t="shared" si="829"/>
        <v>0</v>
      </c>
      <c r="AW1061">
        <f t="shared" si="830"/>
        <v>0</v>
      </c>
      <c r="AX1061">
        <f t="shared" si="831"/>
        <v>0</v>
      </c>
      <c r="AY1061">
        <f t="shared" si="832"/>
        <v>0</v>
      </c>
    </row>
    <row r="1062" spans="1:51" ht="36" customHeight="1">
      <c r="A1062" s="110"/>
      <c r="B1062" s="57"/>
      <c r="C1062" s="1109"/>
      <c r="D1062" s="874"/>
      <c r="E1062" s="874"/>
      <c r="F1062" s="1110" t="s">
        <v>5068</v>
      </c>
      <c r="G1062" s="1110"/>
      <c r="H1062" s="178"/>
      <c r="I1062" s="1111" t="s">
        <v>5069</v>
      </c>
      <c r="J1062" s="1111"/>
      <c r="K1062" s="1111"/>
      <c r="L1062" s="1111"/>
      <c r="M1062" s="1111"/>
      <c r="N1062" s="1111"/>
      <c r="O1062" s="1112"/>
      <c r="P1062" s="100"/>
      <c r="Q1062" s="100"/>
      <c r="R1062" s="100"/>
      <c r="S1062" s="100"/>
      <c r="T1062" s="100"/>
      <c r="U1062" s="100"/>
      <c r="V1062" s="100"/>
      <c r="W1062" s="100"/>
      <c r="X1062" s="100"/>
      <c r="Y1062" s="100"/>
      <c r="Z1062" s="100"/>
      <c r="AA1062" s="100"/>
      <c r="AB1062" s="100"/>
      <c r="AC1062" s="100"/>
      <c r="AD1062" s="100"/>
      <c r="AF1062"/>
      <c r="AG1062">
        <f t="shared" si="833"/>
        <v>0</v>
      </c>
      <c r="AH1062">
        <f t="shared" si="817"/>
        <v>0</v>
      </c>
      <c r="AK1062">
        <f t="shared" si="818"/>
        <v>0</v>
      </c>
      <c r="AL1062">
        <f t="shared" si="819"/>
        <v>0</v>
      </c>
      <c r="AM1062">
        <f t="shared" si="820"/>
        <v>0</v>
      </c>
      <c r="AN1062">
        <f t="shared" si="821"/>
        <v>0</v>
      </c>
      <c r="AO1062">
        <f t="shared" si="822"/>
        <v>0</v>
      </c>
      <c r="AP1062">
        <f t="shared" si="823"/>
        <v>0</v>
      </c>
      <c r="AQ1062">
        <f t="shared" si="824"/>
        <v>0</v>
      </c>
      <c r="AR1062">
        <f t="shared" si="825"/>
        <v>0</v>
      </c>
      <c r="AS1062">
        <f t="shared" si="826"/>
        <v>0</v>
      </c>
      <c r="AT1062">
        <f t="shared" si="827"/>
        <v>0</v>
      </c>
      <c r="AU1062">
        <f t="shared" si="828"/>
        <v>0</v>
      </c>
      <c r="AV1062">
        <f t="shared" si="829"/>
        <v>0</v>
      </c>
      <c r="AW1062">
        <f t="shared" si="830"/>
        <v>0</v>
      </c>
      <c r="AX1062">
        <f t="shared" si="831"/>
        <v>0</v>
      </c>
      <c r="AY1062">
        <f t="shared" si="832"/>
        <v>0</v>
      </c>
    </row>
    <row r="1063" spans="1:51" ht="48" customHeight="1">
      <c r="A1063" s="170"/>
      <c r="C1063" s="1109"/>
      <c r="D1063" s="874"/>
      <c r="E1063" s="874"/>
      <c r="F1063" s="1110" t="s">
        <v>5070</v>
      </c>
      <c r="G1063" s="1110"/>
      <c r="H1063" s="178"/>
      <c r="I1063" s="1111" t="s">
        <v>5071</v>
      </c>
      <c r="J1063" s="1111"/>
      <c r="K1063" s="1111"/>
      <c r="L1063" s="1111"/>
      <c r="M1063" s="1111"/>
      <c r="N1063" s="1111"/>
      <c r="O1063" s="1112"/>
      <c r="P1063" s="100"/>
      <c r="Q1063" s="100"/>
      <c r="R1063" s="100"/>
      <c r="S1063" s="100"/>
      <c r="T1063" s="100"/>
      <c r="U1063" s="100"/>
      <c r="V1063" s="100"/>
      <c r="W1063" s="100"/>
      <c r="X1063" s="100"/>
      <c r="Y1063" s="100"/>
      <c r="Z1063" s="100"/>
      <c r="AA1063" s="100"/>
      <c r="AB1063" s="100"/>
      <c r="AC1063" s="100"/>
      <c r="AD1063" s="100"/>
      <c r="AF1063"/>
      <c r="AG1063">
        <f t="shared" si="833"/>
        <v>0</v>
      </c>
      <c r="AH1063">
        <f t="shared" si="817"/>
        <v>0</v>
      </c>
      <c r="AK1063">
        <f t="shared" si="818"/>
        <v>0</v>
      </c>
      <c r="AL1063">
        <f t="shared" si="819"/>
        <v>0</v>
      </c>
      <c r="AM1063">
        <f t="shared" si="820"/>
        <v>0</v>
      </c>
      <c r="AN1063">
        <f t="shared" si="821"/>
        <v>0</v>
      </c>
      <c r="AO1063">
        <f t="shared" si="822"/>
        <v>0</v>
      </c>
      <c r="AP1063">
        <f t="shared" si="823"/>
        <v>0</v>
      </c>
      <c r="AQ1063">
        <f t="shared" si="824"/>
        <v>0</v>
      </c>
      <c r="AR1063">
        <f t="shared" si="825"/>
        <v>0</v>
      </c>
      <c r="AS1063">
        <f t="shared" si="826"/>
        <v>0</v>
      </c>
      <c r="AT1063">
        <f t="shared" si="827"/>
        <v>0</v>
      </c>
      <c r="AU1063">
        <f t="shared" si="828"/>
        <v>0</v>
      </c>
      <c r="AV1063">
        <f t="shared" si="829"/>
        <v>0</v>
      </c>
      <c r="AW1063">
        <f t="shared" si="830"/>
        <v>0</v>
      </c>
      <c r="AX1063">
        <f t="shared" si="831"/>
        <v>0</v>
      </c>
      <c r="AY1063">
        <f t="shared" si="832"/>
        <v>0</v>
      </c>
    </row>
    <row r="1064" spans="1:51" ht="24" customHeight="1">
      <c r="A1064" s="170"/>
      <c r="C1064" s="1109"/>
      <c r="D1064" s="874"/>
      <c r="E1064" s="874"/>
      <c r="F1064" s="1110" t="s">
        <v>5072</v>
      </c>
      <c r="G1064" s="1110"/>
      <c r="H1064" s="178"/>
      <c r="I1064" s="1111" t="s">
        <v>5073</v>
      </c>
      <c r="J1064" s="1111"/>
      <c r="K1064" s="1111"/>
      <c r="L1064" s="1111"/>
      <c r="M1064" s="1111"/>
      <c r="N1064" s="1111"/>
      <c r="O1064" s="1112"/>
      <c r="P1064" s="100"/>
      <c r="Q1064" s="100"/>
      <c r="R1064" s="100"/>
      <c r="S1064" s="100"/>
      <c r="T1064" s="100"/>
      <c r="U1064" s="100"/>
      <c r="V1064" s="100"/>
      <c r="W1064" s="100"/>
      <c r="X1064" s="100"/>
      <c r="Y1064" s="100"/>
      <c r="Z1064" s="100"/>
      <c r="AA1064" s="100"/>
      <c r="AB1064" s="100"/>
      <c r="AC1064" s="100"/>
      <c r="AD1064" s="100"/>
      <c r="AF1064"/>
      <c r="AG1064">
        <f t="shared" si="833"/>
        <v>0</v>
      </c>
      <c r="AH1064">
        <f t="shared" si="817"/>
        <v>0</v>
      </c>
      <c r="AK1064">
        <f t="shared" si="818"/>
        <v>0</v>
      </c>
      <c r="AL1064">
        <f t="shared" si="819"/>
        <v>0</v>
      </c>
      <c r="AM1064">
        <f t="shared" si="820"/>
        <v>0</v>
      </c>
      <c r="AN1064">
        <f t="shared" si="821"/>
        <v>0</v>
      </c>
      <c r="AO1064">
        <f t="shared" si="822"/>
        <v>0</v>
      </c>
      <c r="AP1064">
        <f t="shared" si="823"/>
        <v>0</v>
      </c>
      <c r="AQ1064">
        <f t="shared" si="824"/>
        <v>0</v>
      </c>
      <c r="AR1064">
        <f t="shared" si="825"/>
        <v>0</v>
      </c>
      <c r="AS1064">
        <f t="shared" si="826"/>
        <v>0</v>
      </c>
      <c r="AT1064">
        <f t="shared" si="827"/>
        <v>0</v>
      </c>
      <c r="AU1064">
        <f t="shared" si="828"/>
        <v>0</v>
      </c>
      <c r="AV1064">
        <f t="shared" si="829"/>
        <v>0</v>
      </c>
      <c r="AW1064">
        <f t="shared" si="830"/>
        <v>0</v>
      </c>
      <c r="AX1064">
        <f t="shared" si="831"/>
        <v>0</v>
      </c>
      <c r="AY1064">
        <f t="shared" si="832"/>
        <v>0</v>
      </c>
    </row>
    <row r="1065" spans="1:51" ht="24" customHeight="1">
      <c r="A1065" s="170"/>
      <c r="C1065" s="1109"/>
      <c r="D1065" s="874"/>
      <c r="E1065" s="874"/>
      <c r="F1065" s="1110" t="s">
        <v>5074</v>
      </c>
      <c r="G1065" s="1110"/>
      <c r="H1065" s="178"/>
      <c r="I1065" s="1111" t="s">
        <v>5075</v>
      </c>
      <c r="J1065" s="1111"/>
      <c r="K1065" s="1111"/>
      <c r="L1065" s="1111"/>
      <c r="M1065" s="1111"/>
      <c r="N1065" s="1111"/>
      <c r="O1065" s="1112"/>
      <c r="P1065" s="100"/>
      <c r="Q1065" s="100"/>
      <c r="R1065" s="100"/>
      <c r="S1065" s="100"/>
      <c r="T1065" s="100"/>
      <c r="U1065" s="100"/>
      <c r="V1065" s="100"/>
      <c r="W1065" s="100"/>
      <c r="X1065" s="100"/>
      <c r="Y1065" s="100"/>
      <c r="Z1065" s="100"/>
      <c r="AA1065" s="100"/>
      <c r="AB1065" s="100"/>
      <c r="AC1065" s="100"/>
      <c r="AD1065" s="100"/>
      <c r="AF1065"/>
      <c r="AG1065">
        <f t="shared" si="833"/>
        <v>0</v>
      </c>
      <c r="AH1065">
        <f t="shared" si="817"/>
        <v>0</v>
      </c>
      <c r="AK1065">
        <f t="shared" si="818"/>
        <v>0</v>
      </c>
      <c r="AL1065">
        <f t="shared" si="819"/>
        <v>0</v>
      </c>
      <c r="AM1065">
        <f t="shared" si="820"/>
        <v>0</v>
      </c>
      <c r="AN1065">
        <f t="shared" si="821"/>
        <v>0</v>
      </c>
      <c r="AO1065">
        <f t="shared" si="822"/>
        <v>0</v>
      </c>
      <c r="AP1065">
        <f t="shared" si="823"/>
        <v>0</v>
      </c>
      <c r="AQ1065">
        <f t="shared" si="824"/>
        <v>0</v>
      </c>
      <c r="AR1065">
        <f t="shared" si="825"/>
        <v>0</v>
      </c>
      <c r="AS1065">
        <f t="shared" si="826"/>
        <v>0</v>
      </c>
      <c r="AT1065">
        <f t="shared" si="827"/>
        <v>0</v>
      </c>
      <c r="AU1065">
        <f t="shared" si="828"/>
        <v>0</v>
      </c>
      <c r="AV1065">
        <f t="shared" si="829"/>
        <v>0</v>
      </c>
      <c r="AW1065">
        <f t="shared" si="830"/>
        <v>0</v>
      </c>
      <c r="AX1065">
        <f t="shared" si="831"/>
        <v>0</v>
      </c>
      <c r="AY1065">
        <f t="shared" si="832"/>
        <v>0</v>
      </c>
    </row>
    <row r="1066" spans="1:51" ht="36" customHeight="1">
      <c r="A1066" s="170"/>
      <c r="C1066" s="1109"/>
      <c r="D1066" s="874"/>
      <c r="E1066" s="874"/>
      <c r="F1066" s="1110" t="s">
        <v>5076</v>
      </c>
      <c r="G1066" s="1110"/>
      <c r="H1066" s="178"/>
      <c r="I1066" s="1111" t="s">
        <v>5077</v>
      </c>
      <c r="J1066" s="1111"/>
      <c r="K1066" s="1111"/>
      <c r="L1066" s="1111"/>
      <c r="M1066" s="1111"/>
      <c r="N1066" s="1111"/>
      <c r="O1066" s="1112"/>
      <c r="P1066" s="100"/>
      <c r="Q1066" s="100"/>
      <c r="R1066" s="100"/>
      <c r="S1066" s="100"/>
      <c r="T1066" s="100"/>
      <c r="U1066" s="100"/>
      <c r="V1066" s="100"/>
      <c r="W1066" s="100"/>
      <c r="X1066" s="100"/>
      <c r="Y1066" s="100"/>
      <c r="Z1066" s="100"/>
      <c r="AA1066" s="100"/>
      <c r="AB1066" s="100"/>
      <c r="AC1066" s="100"/>
      <c r="AD1066" s="100"/>
      <c r="AF1066"/>
      <c r="AG1066">
        <f t="shared" si="833"/>
        <v>0</v>
      </c>
      <c r="AH1066">
        <f t="shared" si="817"/>
        <v>0</v>
      </c>
      <c r="AK1066">
        <f t="shared" si="818"/>
        <v>0</v>
      </c>
      <c r="AL1066">
        <f t="shared" si="819"/>
        <v>0</v>
      </c>
      <c r="AM1066">
        <f t="shared" si="820"/>
        <v>0</v>
      </c>
      <c r="AN1066">
        <f t="shared" si="821"/>
        <v>0</v>
      </c>
      <c r="AO1066">
        <f t="shared" si="822"/>
        <v>0</v>
      </c>
      <c r="AP1066">
        <f t="shared" si="823"/>
        <v>0</v>
      </c>
      <c r="AQ1066">
        <f t="shared" si="824"/>
        <v>0</v>
      </c>
      <c r="AR1066">
        <f t="shared" si="825"/>
        <v>0</v>
      </c>
      <c r="AS1066">
        <f t="shared" si="826"/>
        <v>0</v>
      </c>
      <c r="AT1066">
        <f t="shared" si="827"/>
        <v>0</v>
      </c>
      <c r="AU1066">
        <f t="shared" si="828"/>
        <v>0</v>
      </c>
      <c r="AV1066">
        <f t="shared" si="829"/>
        <v>0</v>
      </c>
      <c r="AW1066">
        <f t="shared" si="830"/>
        <v>0</v>
      </c>
      <c r="AX1066">
        <f t="shared" si="831"/>
        <v>0</v>
      </c>
      <c r="AY1066">
        <f t="shared" si="832"/>
        <v>0</v>
      </c>
    </row>
    <row r="1067" spans="1:51">
      <c r="A1067" s="170"/>
      <c r="C1067" s="1109"/>
      <c r="D1067" s="874"/>
      <c r="E1067" s="874"/>
      <c r="F1067" s="1110" t="s">
        <v>5078</v>
      </c>
      <c r="G1067" s="1110"/>
      <c r="H1067" s="178"/>
      <c r="I1067" s="1111" t="s">
        <v>201</v>
      </c>
      <c r="J1067" s="1111"/>
      <c r="K1067" s="1111"/>
      <c r="L1067" s="1111"/>
      <c r="M1067" s="1111"/>
      <c r="N1067" s="1111"/>
      <c r="O1067" s="1112"/>
      <c r="P1067" s="100"/>
      <c r="Q1067" s="100"/>
      <c r="R1067" s="100"/>
      <c r="S1067" s="100"/>
      <c r="T1067" s="100"/>
      <c r="U1067" s="100"/>
      <c r="V1067" s="100"/>
      <c r="W1067" s="100"/>
      <c r="X1067" s="100"/>
      <c r="Y1067" s="100"/>
      <c r="Z1067" s="100"/>
      <c r="AA1067" s="100"/>
      <c r="AB1067" s="100"/>
      <c r="AC1067" s="100"/>
      <c r="AD1067" s="100"/>
      <c r="AF1067"/>
      <c r="AG1067">
        <f t="shared" si="833"/>
        <v>0</v>
      </c>
      <c r="AH1067">
        <f t="shared" si="817"/>
        <v>0</v>
      </c>
      <c r="AK1067">
        <f t="shared" si="818"/>
        <v>0</v>
      </c>
      <c r="AL1067">
        <f t="shared" si="819"/>
        <v>0</v>
      </c>
      <c r="AM1067">
        <f t="shared" si="820"/>
        <v>0</v>
      </c>
      <c r="AN1067">
        <f t="shared" si="821"/>
        <v>0</v>
      </c>
      <c r="AO1067">
        <f t="shared" si="822"/>
        <v>0</v>
      </c>
      <c r="AP1067">
        <f t="shared" si="823"/>
        <v>0</v>
      </c>
      <c r="AQ1067">
        <f t="shared" si="824"/>
        <v>0</v>
      </c>
      <c r="AR1067">
        <f t="shared" si="825"/>
        <v>0</v>
      </c>
      <c r="AS1067">
        <f t="shared" si="826"/>
        <v>0</v>
      </c>
      <c r="AT1067">
        <f t="shared" si="827"/>
        <v>0</v>
      </c>
      <c r="AU1067">
        <f t="shared" si="828"/>
        <v>0</v>
      </c>
      <c r="AV1067">
        <f t="shared" si="829"/>
        <v>0</v>
      </c>
      <c r="AW1067">
        <f t="shared" si="830"/>
        <v>0</v>
      </c>
      <c r="AX1067">
        <f t="shared" si="831"/>
        <v>0</v>
      </c>
      <c r="AY1067">
        <f t="shared" si="832"/>
        <v>0</v>
      </c>
    </row>
    <row r="1068" spans="1:51" ht="24" customHeight="1">
      <c r="A1068" s="170"/>
      <c r="C1068" s="1109"/>
      <c r="D1068" s="874"/>
      <c r="E1068" s="874"/>
      <c r="F1068" s="1103" t="s">
        <v>5079</v>
      </c>
      <c r="G1068" s="1103"/>
      <c r="H1068" s="1104" t="s">
        <v>5080</v>
      </c>
      <c r="I1068" s="1105"/>
      <c r="J1068" s="1105"/>
      <c r="K1068" s="1105"/>
      <c r="L1068" s="1105"/>
      <c r="M1068" s="1105"/>
      <c r="N1068" s="1105"/>
      <c r="O1068" s="1106"/>
      <c r="P1068" s="100"/>
      <c r="Q1068" s="100"/>
      <c r="R1068" s="100"/>
      <c r="S1068" s="100"/>
      <c r="T1068" s="100"/>
      <c r="U1068" s="100"/>
      <c r="V1068" s="100"/>
      <c r="W1068" s="100"/>
      <c r="X1068" s="100"/>
      <c r="Y1068" s="100"/>
      <c r="Z1068" s="100"/>
      <c r="AA1068" s="100"/>
      <c r="AB1068" s="100"/>
      <c r="AC1068" s="100"/>
      <c r="AD1068" s="100"/>
      <c r="AF1068"/>
      <c r="AG1068">
        <f t="shared" si="833"/>
        <v>0</v>
      </c>
      <c r="AH1068">
        <f t="shared" si="817"/>
        <v>0</v>
      </c>
      <c r="AK1068">
        <f t="shared" si="818"/>
        <v>0</v>
      </c>
      <c r="AL1068">
        <f t="shared" si="819"/>
        <v>0</v>
      </c>
      <c r="AM1068">
        <f t="shared" si="820"/>
        <v>0</v>
      </c>
      <c r="AN1068">
        <f t="shared" si="821"/>
        <v>0</v>
      </c>
      <c r="AO1068">
        <f t="shared" si="822"/>
        <v>0</v>
      </c>
      <c r="AP1068">
        <f t="shared" si="823"/>
        <v>0</v>
      </c>
      <c r="AQ1068">
        <f t="shared" si="824"/>
        <v>0</v>
      </c>
      <c r="AR1068">
        <f t="shared" si="825"/>
        <v>0</v>
      </c>
      <c r="AS1068">
        <f t="shared" si="826"/>
        <v>0</v>
      </c>
      <c r="AT1068">
        <f t="shared" si="827"/>
        <v>0</v>
      </c>
      <c r="AU1068">
        <f t="shared" si="828"/>
        <v>0</v>
      </c>
      <c r="AV1068">
        <f t="shared" si="829"/>
        <v>0</v>
      </c>
      <c r="AW1068">
        <f t="shared" si="830"/>
        <v>0</v>
      </c>
      <c r="AX1068">
        <f t="shared" si="831"/>
        <v>0</v>
      </c>
      <c r="AY1068">
        <f t="shared" si="832"/>
        <v>0</v>
      </c>
    </row>
    <row r="1069" spans="1:51" ht="15" customHeight="1">
      <c r="A1069" s="170"/>
      <c r="C1069" s="1109"/>
      <c r="D1069" s="874"/>
      <c r="E1069" s="874"/>
      <c r="F1069" s="1103" t="s">
        <v>5081</v>
      </c>
      <c r="G1069" s="1103"/>
      <c r="H1069" s="1104" t="s">
        <v>5082</v>
      </c>
      <c r="I1069" s="1105"/>
      <c r="J1069" s="1105"/>
      <c r="K1069" s="1105"/>
      <c r="L1069" s="1105"/>
      <c r="M1069" s="1105"/>
      <c r="N1069" s="1105"/>
      <c r="O1069" s="1106"/>
      <c r="P1069" s="100"/>
      <c r="Q1069" s="100"/>
      <c r="R1069" s="100"/>
      <c r="S1069" s="100"/>
      <c r="T1069" s="100"/>
      <c r="U1069" s="100"/>
      <c r="V1069" s="100"/>
      <c r="W1069" s="100"/>
      <c r="X1069" s="100"/>
      <c r="Y1069" s="100"/>
      <c r="Z1069" s="100"/>
      <c r="AA1069" s="100"/>
      <c r="AB1069" s="100"/>
      <c r="AC1069" s="100"/>
      <c r="AD1069" s="100"/>
      <c r="AF1069">
        <f>IF(P1069="NA",IF(AND(COUNTIF(P1070:P1072,"="&amp;$AF$934)=0,COUNTIF(P1070:P1072,"&lt;&gt;NA")&gt;0),1,0),IF(AND(COUNTIF(P1070:P1072,"="&amp;$AF$934)=0,COUNTIF(P1070:P1072,"NA")=COUNTIF(P1070:P1072,"&lt;&gt;"&amp;$AF$934)),1,0))</f>
        <v>0</v>
      </c>
      <c r="AG1069">
        <f t="shared" si="833"/>
        <v>0</v>
      </c>
      <c r="AH1069">
        <f t="shared" si="817"/>
        <v>0</v>
      </c>
      <c r="AK1069">
        <f t="shared" si="818"/>
        <v>0</v>
      </c>
      <c r="AL1069">
        <f t="shared" si="819"/>
        <v>0</v>
      </c>
      <c r="AM1069">
        <f t="shared" si="820"/>
        <v>0</v>
      </c>
      <c r="AN1069">
        <f t="shared" si="821"/>
        <v>0</v>
      </c>
      <c r="AO1069">
        <f t="shared" si="822"/>
        <v>0</v>
      </c>
      <c r="AP1069">
        <f t="shared" si="823"/>
        <v>0</v>
      </c>
      <c r="AQ1069">
        <f t="shared" si="824"/>
        <v>0</v>
      </c>
      <c r="AR1069">
        <f t="shared" si="825"/>
        <v>0</v>
      </c>
      <c r="AS1069">
        <f t="shared" si="826"/>
        <v>0</v>
      </c>
      <c r="AT1069">
        <f t="shared" si="827"/>
        <v>0</v>
      </c>
      <c r="AU1069">
        <f t="shared" si="828"/>
        <v>0</v>
      </c>
      <c r="AV1069">
        <f t="shared" si="829"/>
        <v>0</v>
      </c>
      <c r="AW1069">
        <f t="shared" si="830"/>
        <v>0</v>
      </c>
      <c r="AX1069">
        <f t="shared" si="831"/>
        <v>0</v>
      </c>
      <c r="AY1069">
        <f t="shared" si="832"/>
        <v>0</v>
      </c>
    </row>
    <row r="1070" spans="1:51" ht="15" customHeight="1">
      <c r="A1070" s="170"/>
      <c r="C1070" s="1109"/>
      <c r="D1070" s="874"/>
      <c r="E1070" s="874"/>
      <c r="F1070" s="1110" t="s">
        <v>5083</v>
      </c>
      <c r="G1070" s="1110"/>
      <c r="H1070" s="178"/>
      <c r="I1070" s="1111" t="s">
        <v>5084</v>
      </c>
      <c r="J1070" s="1111"/>
      <c r="K1070" s="1111"/>
      <c r="L1070" s="1111"/>
      <c r="M1070" s="1111"/>
      <c r="N1070" s="1111"/>
      <c r="O1070" s="1112"/>
      <c r="P1070" s="100"/>
      <c r="Q1070" s="100"/>
      <c r="R1070" s="100"/>
      <c r="S1070" s="100"/>
      <c r="T1070" s="100"/>
      <c r="U1070" s="100"/>
      <c r="V1070" s="100"/>
      <c r="W1070" s="100"/>
      <c r="X1070" s="100"/>
      <c r="Y1070" s="100"/>
      <c r="Z1070" s="100"/>
      <c r="AA1070" s="100"/>
      <c r="AB1070" s="100"/>
      <c r="AC1070" s="100"/>
      <c r="AD1070" s="100"/>
      <c r="AF1070"/>
      <c r="AG1070">
        <f t="shared" si="833"/>
        <v>0</v>
      </c>
      <c r="AH1070">
        <f t="shared" si="817"/>
        <v>0</v>
      </c>
      <c r="AK1070">
        <f t="shared" si="818"/>
        <v>0</v>
      </c>
      <c r="AL1070">
        <f t="shared" si="819"/>
        <v>0</v>
      </c>
      <c r="AM1070">
        <f t="shared" si="820"/>
        <v>0</v>
      </c>
      <c r="AN1070">
        <f t="shared" si="821"/>
        <v>0</v>
      </c>
      <c r="AO1070">
        <f t="shared" si="822"/>
        <v>0</v>
      </c>
      <c r="AP1070">
        <f t="shared" si="823"/>
        <v>0</v>
      </c>
      <c r="AQ1070">
        <f t="shared" si="824"/>
        <v>0</v>
      </c>
      <c r="AR1070">
        <f t="shared" si="825"/>
        <v>0</v>
      </c>
      <c r="AS1070">
        <f t="shared" si="826"/>
        <v>0</v>
      </c>
      <c r="AT1070">
        <f t="shared" si="827"/>
        <v>0</v>
      </c>
      <c r="AU1070">
        <f t="shared" si="828"/>
        <v>0</v>
      </c>
      <c r="AV1070">
        <f t="shared" si="829"/>
        <v>0</v>
      </c>
      <c r="AW1070">
        <f t="shared" si="830"/>
        <v>0</v>
      </c>
      <c r="AX1070">
        <f t="shared" si="831"/>
        <v>0</v>
      </c>
      <c r="AY1070">
        <f t="shared" si="832"/>
        <v>0</v>
      </c>
    </row>
    <row r="1071" spans="1:51" ht="24" customHeight="1">
      <c r="A1071" s="170"/>
      <c r="C1071" s="1109"/>
      <c r="D1071" s="874"/>
      <c r="E1071" s="874"/>
      <c r="F1071" s="1110" t="s">
        <v>5085</v>
      </c>
      <c r="G1071" s="1110"/>
      <c r="H1071" s="178"/>
      <c r="I1071" s="1111" t="s">
        <v>5086</v>
      </c>
      <c r="J1071" s="1111"/>
      <c r="K1071" s="1111"/>
      <c r="L1071" s="1111"/>
      <c r="M1071" s="1111"/>
      <c r="N1071" s="1111"/>
      <c r="O1071" s="1112"/>
      <c r="P1071" s="100"/>
      <c r="Q1071" s="100"/>
      <c r="R1071" s="100"/>
      <c r="S1071" s="100"/>
      <c r="T1071" s="100"/>
      <c r="U1071" s="100"/>
      <c r="V1071" s="100"/>
      <c r="W1071" s="100"/>
      <c r="X1071" s="100"/>
      <c r="Y1071" s="100"/>
      <c r="Z1071" s="100"/>
      <c r="AA1071" s="100"/>
      <c r="AB1071" s="100"/>
      <c r="AC1071" s="100"/>
      <c r="AD1071" s="100"/>
      <c r="AF1071"/>
      <c r="AG1071">
        <f t="shared" si="833"/>
        <v>0</v>
      </c>
      <c r="AH1071">
        <f t="shared" si="817"/>
        <v>0</v>
      </c>
      <c r="AK1071">
        <f t="shared" si="818"/>
        <v>0</v>
      </c>
      <c r="AL1071">
        <f t="shared" si="819"/>
        <v>0</v>
      </c>
      <c r="AM1071">
        <f t="shared" si="820"/>
        <v>0</v>
      </c>
      <c r="AN1071">
        <f t="shared" si="821"/>
        <v>0</v>
      </c>
      <c r="AO1071">
        <f t="shared" si="822"/>
        <v>0</v>
      </c>
      <c r="AP1071">
        <f t="shared" si="823"/>
        <v>0</v>
      </c>
      <c r="AQ1071">
        <f t="shared" si="824"/>
        <v>0</v>
      </c>
      <c r="AR1071">
        <f t="shared" si="825"/>
        <v>0</v>
      </c>
      <c r="AS1071">
        <f t="shared" si="826"/>
        <v>0</v>
      </c>
      <c r="AT1071">
        <f t="shared" si="827"/>
        <v>0</v>
      </c>
      <c r="AU1071">
        <f t="shared" si="828"/>
        <v>0</v>
      </c>
      <c r="AV1071">
        <f t="shared" si="829"/>
        <v>0</v>
      </c>
      <c r="AW1071">
        <f t="shared" si="830"/>
        <v>0</v>
      </c>
      <c r="AX1071">
        <f t="shared" si="831"/>
        <v>0</v>
      </c>
      <c r="AY1071">
        <f t="shared" si="832"/>
        <v>0</v>
      </c>
    </row>
    <row r="1072" spans="1:51" ht="15" customHeight="1">
      <c r="A1072" s="170"/>
      <c r="C1072" s="1109"/>
      <c r="D1072" s="874"/>
      <c r="E1072" s="874"/>
      <c r="F1072" s="1110" t="s">
        <v>5087</v>
      </c>
      <c r="G1072" s="1110"/>
      <c r="H1072" s="178"/>
      <c r="I1072" s="1111" t="s">
        <v>201</v>
      </c>
      <c r="J1072" s="1111"/>
      <c r="K1072" s="1111"/>
      <c r="L1072" s="1111"/>
      <c r="M1072" s="1111"/>
      <c r="N1072" s="1111"/>
      <c r="O1072" s="1112"/>
      <c r="P1072" s="100"/>
      <c r="Q1072" s="100"/>
      <c r="R1072" s="100"/>
      <c r="S1072" s="100"/>
      <c r="T1072" s="100"/>
      <c r="U1072" s="100"/>
      <c r="V1072" s="100"/>
      <c r="W1072" s="100"/>
      <c r="X1072" s="100"/>
      <c r="Y1072" s="100"/>
      <c r="Z1072" s="100"/>
      <c r="AA1072" s="100"/>
      <c r="AB1072" s="100"/>
      <c r="AC1072" s="100"/>
      <c r="AD1072" s="100"/>
      <c r="AF1072"/>
      <c r="AG1072">
        <f t="shared" si="833"/>
        <v>0</v>
      </c>
      <c r="AH1072">
        <f t="shared" si="817"/>
        <v>0</v>
      </c>
      <c r="AK1072">
        <f t="shared" si="818"/>
        <v>0</v>
      </c>
      <c r="AL1072">
        <f t="shared" si="819"/>
        <v>0</v>
      </c>
      <c r="AM1072">
        <f t="shared" si="820"/>
        <v>0</v>
      </c>
      <c r="AN1072">
        <f t="shared" si="821"/>
        <v>0</v>
      </c>
      <c r="AO1072">
        <f t="shared" si="822"/>
        <v>0</v>
      </c>
      <c r="AP1072">
        <f t="shared" si="823"/>
        <v>0</v>
      </c>
      <c r="AQ1072">
        <f t="shared" si="824"/>
        <v>0</v>
      </c>
      <c r="AR1072">
        <f t="shared" si="825"/>
        <v>0</v>
      </c>
      <c r="AS1072">
        <f t="shared" si="826"/>
        <v>0</v>
      </c>
      <c r="AT1072">
        <f t="shared" si="827"/>
        <v>0</v>
      </c>
      <c r="AU1072">
        <f t="shared" si="828"/>
        <v>0</v>
      </c>
      <c r="AV1072">
        <f t="shared" si="829"/>
        <v>0</v>
      </c>
      <c r="AW1072">
        <f t="shared" si="830"/>
        <v>0</v>
      </c>
      <c r="AX1072">
        <f t="shared" si="831"/>
        <v>0</v>
      </c>
      <c r="AY1072">
        <f t="shared" si="832"/>
        <v>0</v>
      </c>
    </row>
    <row r="1073" spans="1:51" ht="15" customHeight="1">
      <c r="A1073" s="170"/>
      <c r="C1073" s="1109"/>
      <c r="D1073" s="874"/>
      <c r="E1073" s="874"/>
      <c r="F1073" s="1103" t="s">
        <v>5088</v>
      </c>
      <c r="G1073" s="1103"/>
      <c r="H1073" s="1104" t="s">
        <v>5089</v>
      </c>
      <c r="I1073" s="1105"/>
      <c r="J1073" s="1105"/>
      <c r="K1073" s="1105"/>
      <c r="L1073" s="1105"/>
      <c r="M1073" s="1105"/>
      <c r="N1073" s="1105"/>
      <c r="O1073" s="1106"/>
      <c r="P1073" s="100"/>
      <c r="Q1073" s="100"/>
      <c r="R1073" s="100"/>
      <c r="S1073" s="100"/>
      <c r="T1073" s="100"/>
      <c r="U1073" s="100"/>
      <c r="V1073" s="100"/>
      <c r="W1073" s="100"/>
      <c r="X1073" s="100"/>
      <c r="Y1073" s="100"/>
      <c r="Z1073" s="100"/>
      <c r="AA1073" s="100"/>
      <c r="AB1073" s="100"/>
      <c r="AC1073" s="100"/>
      <c r="AD1073" s="100"/>
      <c r="AF1073"/>
      <c r="AG1073">
        <f t="shared" si="833"/>
        <v>0</v>
      </c>
      <c r="AH1073">
        <f t="shared" si="817"/>
        <v>0</v>
      </c>
      <c r="AK1073">
        <f t="shared" si="818"/>
        <v>0</v>
      </c>
      <c r="AL1073">
        <f t="shared" si="819"/>
        <v>0</v>
      </c>
      <c r="AM1073">
        <f t="shared" si="820"/>
        <v>0</v>
      </c>
      <c r="AN1073">
        <f t="shared" si="821"/>
        <v>0</v>
      </c>
      <c r="AO1073">
        <f t="shared" si="822"/>
        <v>0</v>
      </c>
      <c r="AP1073">
        <f t="shared" si="823"/>
        <v>0</v>
      </c>
      <c r="AQ1073">
        <f t="shared" si="824"/>
        <v>0</v>
      </c>
      <c r="AR1073">
        <f t="shared" si="825"/>
        <v>0</v>
      </c>
      <c r="AS1073">
        <f t="shared" si="826"/>
        <v>0</v>
      </c>
      <c r="AT1073">
        <f t="shared" si="827"/>
        <v>0</v>
      </c>
      <c r="AU1073">
        <f t="shared" si="828"/>
        <v>0</v>
      </c>
      <c r="AV1073">
        <f t="shared" si="829"/>
        <v>0</v>
      </c>
      <c r="AW1073">
        <f t="shared" si="830"/>
        <v>0</v>
      </c>
      <c r="AX1073">
        <f t="shared" si="831"/>
        <v>0</v>
      </c>
      <c r="AY1073">
        <f t="shared" si="832"/>
        <v>0</v>
      </c>
    </row>
    <row r="1074" spans="1:51" ht="24" customHeight="1">
      <c r="A1074" s="170"/>
      <c r="C1074" s="1109"/>
      <c r="D1074" s="874"/>
      <c r="E1074" s="874"/>
      <c r="F1074" s="1103" t="s">
        <v>5090</v>
      </c>
      <c r="G1074" s="1103"/>
      <c r="H1074" s="1104" t="s">
        <v>5091</v>
      </c>
      <c r="I1074" s="1105"/>
      <c r="J1074" s="1105"/>
      <c r="K1074" s="1105"/>
      <c r="L1074" s="1105"/>
      <c r="M1074" s="1105"/>
      <c r="N1074" s="1105"/>
      <c r="O1074" s="1106"/>
      <c r="P1074" s="100"/>
      <c r="Q1074" s="100"/>
      <c r="R1074" s="100"/>
      <c r="S1074" s="100"/>
      <c r="T1074" s="100"/>
      <c r="U1074" s="100"/>
      <c r="V1074" s="100"/>
      <c r="W1074" s="100"/>
      <c r="X1074" s="100"/>
      <c r="Y1074" s="100"/>
      <c r="Z1074" s="100"/>
      <c r="AA1074" s="100"/>
      <c r="AB1074" s="100"/>
      <c r="AC1074" s="100"/>
      <c r="AD1074" s="100"/>
      <c r="AF1074"/>
      <c r="AG1074">
        <f t="shared" si="833"/>
        <v>0</v>
      </c>
      <c r="AH1074">
        <f t="shared" si="817"/>
        <v>0</v>
      </c>
      <c r="AK1074">
        <f t="shared" si="818"/>
        <v>0</v>
      </c>
      <c r="AL1074">
        <f t="shared" si="819"/>
        <v>0</v>
      </c>
      <c r="AM1074">
        <f t="shared" si="820"/>
        <v>0</v>
      </c>
      <c r="AN1074">
        <f t="shared" si="821"/>
        <v>0</v>
      </c>
      <c r="AO1074">
        <f t="shared" si="822"/>
        <v>0</v>
      </c>
      <c r="AP1074">
        <f t="shared" si="823"/>
        <v>0</v>
      </c>
      <c r="AQ1074">
        <f t="shared" si="824"/>
        <v>0</v>
      </c>
      <c r="AR1074">
        <f t="shared" si="825"/>
        <v>0</v>
      </c>
      <c r="AS1074">
        <f t="shared" si="826"/>
        <v>0</v>
      </c>
      <c r="AT1074">
        <f t="shared" si="827"/>
        <v>0</v>
      </c>
      <c r="AU1074">
        <f t="shared" si="828"/>
        <v>0</v>
      </c>
      <c r="AV1074">
        <f t="shared" si="829"/>
        <v>0</v>
      </c>
      <c r="AW1074">
        <f t="shared" si="830"/>
        <v>0</v>
      </c>
      <c r="AX1074">
        <f t="shared" si="831"/>
        <v>0</v>
      </c>
      <c r="AY1074">
        <f t="shared" si="832"/>
        <v>0</v>
      </c>
    </row>
    <row r="1075" spans="1:51" ht="15" customHeight="1">
      <c r="A1075" s="170"/>
      <c r="C1075" s="1109"/>
      <c r="D1075" s="874"/>
      <c r="E1075" s="874"/>
      <c r="F1075" s="1103" t="s">
        <v>5092</v>
      </c>
      <c r="G1075" s="1103"/>
      <c r="H1075" s="1104" t="s">
        <v>5093</v>
      </c>
      <c r="I1075" s="1105"/>
      <c r="J1075" s="1105"/>
      <c r="K1075" s="1105"/>
      <c r="L1075" s="1105"/>
      <c r="M1075" s="1105"/>
      <c r="N1075" s="1105"/>
      <c r="O1075" s="1106"/>
      <c r="P1075" s="100"/>
      <c r="Q1075" s="100"/>
      <c r="R1075" s="100"/>
      <c r="S1075" s="100"/>
      <c r="T1075" s="100"/>
      <c r="U1075" s="100"/>
      <c r="V1075" s="100"/>
      <c r="W1075" s="100"/>
      <c r="X1075" s="100"/>
      <c r="Y1075" s="100"/>
      <c r="Z1075" s="100"/>
      <c r="AA1075" s="100"/>
      <c r="AB1075" s="100"/>
      <c r="AC1075" s="100"/>
      <c r="AD1075" s="100"/>
      <c r="AF1075"/>
      <c r="AG1075">
        <f t="shared" si="833"/>
        <v>0</v>
      </c>
      <c r="AH1075">
        <f t="shared" si="817"/>
        <v>0</v>
      </c>
      <c r="AK1075">
        <f t="shared" si="818"/>
        <v>0</v>
      </c>
      <c r="AL1075">
        <f t="shared" si="819"/>
        <v>0</v>
      </c>
      <c r="AM1075">
        <f t="shared" si="820"/>
        <v>0</v>
      </c>
      <c r="AN1075">
        <f t="shared" si="821"/>
        <v>0</v>
      </c>
      <c r="AO1075">
        <f t="shared" si="822"/>
        <v>0</v>
      </c>
      <c r="AP1075">
        <f t="shared" si="823"/>
        <v>0</v>
      </c>
      <c r="AQ1075">
        <f t="shared" si="824"/>
        <v>0</v>
      </c>
      <c r="AR1075">
        <f t="shared" si="825"/>
        <v>0</v>
      </c>
      <c r="AS1075">
        <f t="shared" si="826"/>
        <v>0</v>
      </c>
      <c r="AT1075">
        <f t="shared" si="827"/>
        <v>0</v>
      </c>
      <c r="AU1075">
        <f t="shared" si="828"/>
        <v>0</v>
      </c>
      <c r="AV1075">
        <f t="shared" si="829"/>
        <v>0</v>
      </c>
      <c r="AW1075">
        <f t="shared" si="830"/>
        <v>0</v>
      </c>
      <c r="AX1075">
        <f t="shared" si="831"/>
        <v>0</v>
      </c>
      <c r="AY1075">
        <f t="shared" si="832"/>
        <v>0</v>
      </c>
    </row>
    <row r="1076" spans="1:51" ht="24" customHeight="1">
      <c r="A1076" s="170"/>
      <c r="C1076" s="1109"/>
      <c r="D1076" s="874"/>
      <c r="E1076" s="874"/>
      <c r="F1076" s="1103" t="s">
        <v>5094</v>
      </c>
      <c r="G1076" s="1103"/>
      <c r="H1076" s="1104" t="s">
        <v>5095</v>
      </c>
      <c r="I1076" s="1105"/>
      <c r="J1076" s="1105"/>
      <c r="K1076" s="1105"/>
      <c r="L1076" s="1105"/>
      <c r="M1076" s="1105"/>
      <c r="N1076" s="1105"/>
      <c r="O1076" s="1106"/>
      <c r="P1076" s="100"/>
      <c r="Q1076" s="100"/>
      <c r="R1076" s="100"/>
      <c r="S1076" s="100"/>
      <c r="T1076" s="100"/>
      <c r="U1076" s="100"/>
      <c r="V1076" s="100"/>
      <c r="W1076" s="100"/>
      <c r="X1076" s="100"/>
      <c r="Y1076" s="100"/>
      <c r="Z1076" s="100"/>
      <c r="AA1076" s="100"/>
      <c r="AB1076" s="100"/>
      <c r="AC1076" s="100"/>
      <c r="AD1076" s="100"/>
      <c r="AF1076"/>
      <c r="AG1076">
        <f t="shared" si="833"/>
        <v>0</v>
      </c>
      <c r="AH1076">
        <f t="shared" si="817"/>
        <v>0</v>
      </c>
      <c r="AK1076">
        <f t="shared" si="818"/>
        <v>0</v>
      </c>
      <c r="AL1076">
        <f t="shared" si="819"/>
        <v>0</v>
      </c>
      <c r="AM1076">
        <f t="shared" si="820"/>
        <v>0</v>
      </c>
      <c r="AN1076">
        <f t="shared" si="821"/>
        <v>0</v>
      </c>
      <c r="AO1076">
        <f t="shared" si="822"/>
        <v>0</v>
      </c>
      <c r="AP1076">
        <f t="shared" si="823"/>
        <v>0</v>
      </c>
      <c r="AQ1076">
        <f t="shared" si="824"/>
        <v>0</v>
      </c>
      <c r="AR1076">
        <f t="shared" si="825"/>
        <v>0</v>
      </c>
      <c r="AS1076">
        <f t="shared" si="826"/>
        <v>0</v>
      </c>
      <c r="AT1076">
        <f t="shared" si="827"/>
        <v>0</v>
      </c>
      <c r="AU1076">
        <f t="shared" si="828"/>
        <v>0</v>
      </c>
      <c r="AV1076">
        <f t="shared" si="829"/>
        <v>0</v>
      </c>
      <c r="AW1076">
        <f t="shared" si="830"/>
        <v>0</v>
      </c>
      <c r="AX1076">
        <f t="shared" si="831"/>
        <v>0</v>
      </c>
      <c r="AY1076">
        <f t="shared" si="832"/>
        <v>0</v>
      </c>
    </row>
    <row r="1077" spans="1:51" ht="15" customHeight="1">
      <c r="A1077" s="170"/>
      <c r="C1077" s="1109"/>
      <c r="D1077" s="874"/>
      <c r="E1077" s="874"/>
      <c r="F1077" s="1103" t="s">
        <v>5096</v>
      </c>
      <c r="G1077" s="1103"/>
      <c r="H1077" s="1104" t="s">
        <v>5097</v>
      </c>
      <c r="I1077" s="1105"/>
      <c r="J1077" s="1105"/>
      <c r="K1077" s="1105"/>
      <c r="L1077" s="1105"/>
      <c r="M1077" s="1105"/>
      <c r="N1077" s="1105"/>
      <c r="O1077" s="1106"/>
      <c r="P1077" s="100"/>
      <c r="Q1077" s="100"/>
      <c r="R1077" s="100"/>
      <c r="S1077" s="100"/>
      <c r="T1077" s="100"/>
      <c r="U1077" s="100"/>
      <c r="V1077" s="100"/>
      <c r="W1077" s="100"/>
      <c r="X1077" s="100"/>
      <c r="Y1077" s="100"/>
      <c r="Z1077" s="100"/>
      <c r="AA1077" s="100"/>
      <c r="AB1077" s="100"/>
      <c r="AC1077" s="100"/>
      <c r="AD1077" s="100"/>
      <c r="AF1077"/>
      <c r="AG1077">
        <f t="shared" si="833"/>
        <v>0</v>
      </c>
      <c r="AH1077">
        <f t="shared" si="817"/>
        <v>0</v>
      </c>
      <c r="AK1077">
        <f t="shared" si="818"/>
        <v>0</v>
      </c>
      <c r="AL1077">
        <f t="shared" si="819"/>
        <v>0</v>
      </c>
      <c r="AM1077">
        <f t="shared" si="820"/>
        <v>0</v>
      </c>
      <c r="AN1077">
        <f t="shared" si="821"/>
        <v>0</v>
      </c>
      <c r="AO1077">
        <f t="shared" si="822"/>
        <v>0</v>
      </c>
      <c r="AP1077">
        <f t="shared" si="823"/>
        <v>0</v>
      </c>
      <c r="AQ1077">
        <f t="shared" si="824"/>
        <v>0</v>
      </c>
      <c r="AR1077">
        <f t="shared" si="825"/>
        <v>0</v>
      </c>
      <c r="AS1077">
        <f t="shared" si="826"/>
        <v>0</v>
      </c>
      <c r="AT1077">
        <f t="shared" si="827"/>
        <v>0</v>
      </c>
      <c r="AU1077">
        <f t="shared" si="828"/>
        <v>0</v>
      </c>
      <c r="AV1077">
        <f t="shared" si="829"/>
        <v>0</v>
      </c>
      <c r="AW1077">
        <f t="shared" si="830"/>
        <v>0</v>
      </c>
      <c r="AX1077">
        <f t="shared" si="831"/>
        <v>0</v>
      </c>
      <c r="AY1077">
        <f t="shared" si="832"/>
        <v>0</v>
      </c>
    </row>
    <row r="1078" spans="1:51" ht="24" customHeight="1">
      <c r="A1078" s="170"/>
      <c r="C1078" s="1109"/>
      <c r="D1078" s="874"/>
      <c r="E1078" s="874"/>
      <c r="F1078" s="1103" t="s">
        <v>5098</v>
      </c>
      <c r="G1078" s="1103"/>
      <c r="H1078" s="1104" t="s">
        <v>5099</v>
      </c>
      <c r="I1078" s="1105"/>
      <c r="J1078" s="1105"/>
      <c r="K1078" s="1105"/>
      <c r="L1078" s="1105"/>
      <c r="M1078" s="1105"/>
      <c r="N1078" s="1105"/>
      <c r="O1078" s="1106"/>
      <c r="P1078" s="100"/>
      <c r="Q1078" s="100"/>
      <c r="R1078" s="100"/>
      <c r="S1078" s="100"/>
      <c r="T1078" s="100"/>
      <c r="U1078" s="100"/>
      <c r="V1078" s="100"/>
      <c r="W1078" s="100"/>
      <c r="X1078" s="100"/>
      <c r="Y1078" s="100"/>
      <c r="Z1078" s="100"/>
      <c r="AA1078" s="100"/>
      <c r="AB1078" s="100"/>
      <c r="AC1078" s="100"/>
      <c r="AD1078" s="100"/>
      <c r="AF1078"/>
      <c r="AG1078">
        <f t="shared" si="833"/>
        <v>0</v>
      </c>
      <c r="AH1078">
        <f t="shared" si="817"/>
        <v>0</v>
      </c>
      <c r="AK1078">
        <f t="shared" si="818"/>
        <v>0</v>
      </c>
      <c r="AL1078">
        <f t="shared" si="819"/>
        <v>0</v>
      </c>
      <c r="AM1078">
        <f t="shared" si="820"/>
        <v>0</v>
      </c>
      <c r="AN1078">
        <f t="shared" si="821"/>
        <v>0</v>
      </c>
      <c r="AO1078">
        <f t="shared" si="822"/>
        <v>0</v>
      </c>
      <c r="AP1078">
        <f t="shared" si="823"/>
        <v>0</v>
      </c>
      <c r="AQ1078">
        <f t="shared" si="824"/>
        <v>0</v>
      </c>
      <c r="AR1078">
        <f t="shared" si="825"/>
        <v>0</v>
      </c>
      <c r="AS1078">
        <f t="shared" si="826"/>
        <v>0</v>
      </c>
      <c r="AT1078">
        <f t="shared" si="827"/>
        <v>0</v>
      </c>
      <c r="AU1078">
        <f t="shared" si="828"/>
        <v>0</v>
      </c>
      <c r="AV1078">
        <f t="shared" si="829"/>
        <v>0</v>
      </c>
      <c r="AW1078">
        <f t="shared" si="830"/>
        <v>0</v>
      </c>
      <c r="AX1078">
        <f t="shared" si="831"/>
        <v>0</v>
      </c>
      <c r="AY1078">
        <f t="shared" si="832"/>
        <v>0</v>
      </c>
    </row>
    <row r="1079" spans="1:51" ht="15" customHeight="1">
      <c r="A1079" s="170"/>
      <c r="C1079" s="1109"/>
      <c r="D1079" s="874"/>
      <c r="E1079" s="874"/>
      <c r="F1079" s="1103" t="s">
        <v>5100</v>
      </c>
      <c r="G1079" s="1103"/>
      <c r="H1079" s="1104" t="s">
        <v>5101</v>
      </c>
      <c r="I1079" s="1105"/>
      <c r="J1079" s="1105"/>
      <c r="K1079" s="1105"/>
      <c r="L1079" s="1105"/>
      <c r="M1079" s="1105"/>
      <c r="N1079" s="1105"/>
      <c r="O1079" s="1106"/>
      <c r="P1079" s="100"/>
      <c r="Q1079" s="100"/>
      <c r="R1079" s="100"/>
      <c r="S1079" s="100"/>
      <c r="T1079" s="100"/>
      <c r="U1079" s="100"/>
      <c r="V1079" s="100"/>
      <c r="W1079" s="100"/>
      <c r="X1079" s="100"/>
      <c r="Y1079" s="100"/>
      <c r="Z1079" s="100"/>
      <c r="AA1079" s="100"/>
      <c r="AB1079" s="100"/>
      <c r="AC1079" s="100"/>
      <c r="AD1079" s="100"/>
      <c r="AF1079"/>
      <c r="AG1079">
        <f t="shared" si="833"/>
        <v>0</v>
      </c>
      <c r="AH1079">
        <f t="shared" si="817"/>
        <v>0</v>
      </c>
      <c r="AK1079">
        <f t="shared" si="818"/>
        <v>0</v>
      </c>
      <c r="AL1079">
        <f t="shared" si="819"/>
        <v>0</v>
      </c>
      <c r="AM1079">
        <f t="shared" si="820"/>
        <v>0</v>
      </c>
      <c r="AN1079">
        <f t="shared" si="821"/>
        <v>0</v>
      </c>
      <c r="AO1079">
        <f t="shared" si="822"/>
        <v>0</v>
      </c>
      <c r="AP1079">
        <f t="shared" si="823"/>
        <v>0</v>
      </c>
      <c r="AQ1079">
        <f t="shared" si="824"/>
        <v>0</v>
      </c>
      <c r="AR1079">
        <f t="shared" si="825"/>
        <v>0</v>
      </c>
      <c r="AS1079">
        <f t="shared" si="826"/>
        <v>0</v>
      </c>
      <c r="AT1079">
        <f t="shared" si="827"/>
        <v>0</v>
      </c>
      <c r="AU1079">
        <f t="shared" si="828"/>
        <v>0</v>
      </c>
      <c r="AV1079">
        <f t="shared" si="829"/>
        <v>0</v>
      </c>
      <c r="AW1079">
        <f t="shared" si="830"/>
        <v>0</v>
      </c>
      <c r="AX1079">
        <f t="shared" si="831"/>
        <v>0</v>
      </c>
      <c r="AY1079">
        <f t="shared" si="832"/>
        <v>0</v>
      </c>
    </row>
    <row r="1080" spans="1:51" ht="15" customHeight="1">
      <c r="A1080" s="170"/>
      <c r="C1080" s="1109"/>
      <c r="D1080" s="874"/>
      <c r="E1080" s="874"/>
      <c r="F1080" s="1103" t="s">
        <v>5102</v>
      </c>
      <c r="G1080" s="1103"/>
      <c r="H1080" s="1104" t="s">
        <v>5103</v>
      </c>
      <c r="I1080" s="1105"/>
      <c r="J1080" s="1105"/>
      <c r="K1080" s="1105"/>
      <c r="L1080" s="1105"/>
      <c r="M1080" s="1105"/>
      <c r="N1080" s="1105"/>
      <c r="O1080" s="1106"/>
      <c r="P1080" s="100"/>
      <c r="Q1080" s="100"/>
      <c r="R1080" s="100"/>
      <c r="S1080" s="100"/>
      <c r="T1080" s="100"/>
      <c r="U1080" s="100"/>
      <c r="V1080" s="100"/>
      <c r="W1080" s="100"/>
      <c r="X1080" s="100"/>
      <c r="Y1080" s="100"/>
      <c r="Z1080" s="100"/>
      <c r="AA1080" s="100"/>
      <c r="AB1080" s="100"/>
      <c r="AC1080" s="100"/>
      <c r="AD1080" s="100"/>
      <c r="AF1080"/>
      <c r="AG1080">
        <f t="shared" si="833"/>
        <v>0</v>
      </c>
      <c r="AH1080">
        <f t="shared" si="817"/>
        <v>0</v>
      </c>
      <c r="AK1080">
        <f t="shared" si="818"/>
        <v>0</v>
      </c>
      <c r="AL1080">
        <f t="shared" si="819"/>
        <v>0</v>
      </c>
      <c r="AM1080">
        <f t="shared" si="820"/>
        <v>0</v>
      </c>
      <c r="AN1080">
        <f t="shared" si="821"/>
        <v>0</v>
      </c>
      <c r="AO1080">
        <f t="shared" si="822"/>
        <v>0</v>
      </c>
      <c r="AP1080">
        <f t="shared" si="823"/>
        <v>0</v>
      </c>
      <c r="AQ1080">
        <f t="shared" si="824"/>
        <v>0</v>
      </c>
      <c r="AR1080">
        <f t="shared" si="825"/>
        <v>0</v>
      </c>
      <c r="AS1080">
        <f t="shared" si="826"/>
        <v>0</v>
      </c>
      <c r="AT1080">
        <f t="shared" si="827"/>
        <v>0</v>
      </c>
      <c r="AU1080">
        <f t="shared" si="828"/>
        <v>0</v>
      </c>
      <c r="AV1080">
        <f t="shared" si="829"/>
        <v>0</v>
      </c>
      <c r="AW1080">
        <f t="shared" si="830"/>
        <v>0</v>
      </c>
      <c r="AX1080">
        <f t="shared" si="831"/>
        <v>0</v>
      </c>
      <c r="AY1080">
        <f t="shared" si="832"/>
        <v>0</v>
      </c>
    </row>
    <row r="1081" spans="1:51" ht="24" customHeight="1">
      <c r="A1081" s="170"/>
      <c r="C1081" s="1109"/>
      <c r="D1081" s="874"/>
      <c r="E1081" s="874"/>
      <c r="F1081" s="1103" t="s">
        <v>5104</v>
      </c>
      <c r="G1081" s="1103"/>
      <c r="H1081" s="1104" t="s">
        <v>5105</v>
      </c>
      <c r="I1081" s="1105"/>
      <c r="J1081" s="1105"/>
      <c r="K1081" s="1105"/>
      <c r="L1081" s="1105"/>
      <c r="M1081" s="1105"/>
      <c r="N1081" s="1105"/>
      <c r="O1081" s="1106"/>
      <c r="P1081" s="100"/>
      <c r="Q1081" s="100"/>
      <c r="R1081" s="100"/>
      <c r="S1081" s="100"/>
      <c r="T1081" s="100"/>
      <c r="U1081" s="100"/>
      <c r="V1081" s="100"/>
      <c r="W1081" s="100"/>
      <c r="X1081" s="100"/>
      <c r="Y1081" s="100"/>
      <c r="Z1081" s="100"/>
      <c r="AA1081" s="100"/>
      <c r="AB1081" s="100"/>
      <c r="AC1081" s="100"/>
      <c r="AD1081" s="100"/>
      <c r="AF1081">
        <f>IF(P1081="NA",IF(AND(COUNTIF(P1082:P1086,"="&amp;$AF$934)=0,COUNTIF(P1082:P1086,"&lt;&gt;NA")&gt;0),1,0),IF(AND(COUNTIF(P1082:P1086,"="&amp;$AF$934)=0,COUNTIF(P1082:P1086,"NA")=COUNTIF(P1082:P1086,"&lt;&gt;"&amp;$AF$934)),1,0))</f>
        <v>0</v>
      </c>
      <c r="AG1081">
        <f t="shared" si="833"/>
        <v>0</v>
      </c>
      <c r="AH1081">
        <f t="shared" si="817"/>
        <v>0</v>
      </c>
      <c r="AK1081">
        <f t="shared" si="818"/>
        <v>0</v>
      </c>
      <c r="AL1081">
        <f t="shared" si="819"/>
        <v>0</v>
      </c>
      <c r="AM1081">
        <f t="shared" si="820"/>
        <v>0</v>
      </c>
      <c r="AN1081">
        <f t="shared" si="821"/>
        <v>0</v>
      </c>
      <c r="AO1081">
        <f t="shared" si="822"/>
        <v>0</v>
      </c>
      <c r="AP1081">
        <f t="shared" si="823"/>
        <v>0</v>
      </c>
      <c r="AQ1081">
        <f t="shared" si="824"/>
        <v>0</v>
      </c>
      <c r="AR1081">
        <f t="shared" si="825"/>
        <v>0</v>
      </c>
      <c r="AS1081">
        <f t="shared" si="826"/>
        <v>0</v>
      </c>
      <c r="AT1081">
        <f t="shared" si="827"/>
        <v>0</v>
      </c>
      <c r="AU1081">
        <f t="shared" si="828"/>
        <v>0</v>
      </c>
      <c r="AV1081">
        <f t="shared" si="829"/>
        <v>0</v>
      </c>
      <c r="AW1081">
        <f t="shared" si="830"/>
        <v>0</v>
      </c>
      <c r="AX1081">
        <f t="shared" si="831"/>
        <v>0</v>
      </c>
      <c r="AY1081">
        <f t="shared" si="832"/>
        <v>0</v>
      </c>
    </row>
    <row r="1082" spans="1:51" ht="24" customHeight="1">
      <c r="A1082" s="170"/>
      <c r="C1082" s="1109"/>
      <c r="D1082" s="874"/>
      <c r="E1082" s="874"/>
      <c r="F1082" s="1119" t="s">
        <v>5106</v>
      </c>
      <c r="G1082" s="1120"/>
      <c r="H1082" s="178"/>
      <c r="I1082" s="1111" t="s">
        <v>5107</v>
      </c>
      <c r="J1082" s="1111"/>
      <c r="K1082" s="1111"/>
      <c r="L1082" s="1111"/>
      <c r="M1082" s="1111"/>
      <c r="N1082" s="1111"/>
      <c r="O1082" s="1112"/>
      <c r="P1082" s="100"/>
      <c r="Q1082" s="100"/>
      <c r="R1082" s="100"/>
      <c r="S1082" s="100"/>
      <c r="T1082" s="100"/>
      <c r="U1082" s="100"/>
      <c r="V1082" s="100"/>
      <c r="W1082" s="100"/>
      <c r="X1082" s="100"/>
      <c r="Y1082" s="100"/>
      <c r="Z1082" s="100"/>
      <c r="AA1082" s="100"/>
      <c r="AB1082" s="100"/>
      <c r="AC1082" s="100"/>
      <c r="AD1082" s="100"/>
      <c r="AF1082"/>
      <c r="AG1082">
        <f t="shared" si="833"/>
        <v>0</v>
      </c>
      <c r="AH1082">
        <f t="shared" si="817"/>
        <v>0</v>
      </c>
      <c r="AK1082">
        <f t="shared" si="818"/>
        <v>0</v>
      </c>
      <c r="AL1082">
        <f t="shared" si="819"/>
        <v>0</v>
      </c>
      <c r="AM1082">
        <f t="shared" si="820"/>
        <v>0</v>
      </c>
      <c r="AN1082">
        <f t="shared" si="821"/>
        <v>0</v>
      </c>
      <c r="AO1082">
        <f t="shared" si="822"/>
        <v>0</v>
      </c>
      <c r="AP1082">
        <f t="shared" si="823"/>
        <v>0</v>
      </c>
      <c r="AQ1082">
        <f t="shared" si="824"/>
        <v>0</v>
      </c>
      <c r="AR1082">
        <f t="shared" si="825"/>
        <v>0</v>
      </c>
      <c r="AS1082">
        <f t="shared" si="826"/>
        <v>0</v>
      </c>
      <c r="AT1082">
        <f t="shared" si="827"/>
        <v>0</v>
      </c>
      <c r="AU1082">
        <f t="shared" si="828"/>
        <v>0</v>
      </c>
      <c r="AV1082">
        <f t="shared" si="829"/>
        <v>0</v>
      </c>
      <c r="AW1082">
        <f t="shared" si="830"/>
        <v>0</v>
      </c>
      <c r="AX1082">
        <f t="shared" si="831"/>
        <v>0</v>
      </c>
      <c r="AY1082">
        <f t="shared" si="832"/>
        <v>0</v>
      </c>
    </row>
    <row r="1083" spans="1:51" ht="15" customHeight="1">
      <c r="A1083" s="170"/>
      <c r="C1083" s="1109"/>
      <c r="D1083" s="874"/>
      <c r="E1083" s="874"/>
      <c r="F1083" s="1119" t="s">
        <v>5108</v>
      </c>
      <c r="G1083" s="1120"/>
      <c r="H1083" s="178"/>
      <c r="I1083" s="1111" t="s">
        <v>5109</v>
      </c>
      <c r="J1083" s="1111"/>
      <c r="K1083" s="1111"/>
      <c r="L1083" s="1111"/>
      <c r="M1083" s="1111"/>
      <c r="N1083" s="1111"/>
      <c r="O1083" s="1112"/>
      <c r="P1083" s="100"/>
      <c r="Q1083" s="100"/>
      <c r="R1083" s="100"/>
      <c r="S1083" s="100"/>
      <c r="T1083" s="100"/>
      <c r="U1083" s="100"/>
      <c r="V1083" s="100"/>
      <c r="W1083" s="100"/>
      <c r="X1083" s="100"/>
      <c r="Y1083" s="100"/>
      <c r="Z1083" s="100"/>
      <c r="AA1083" s="100"/>
      <c r="AB1083" s="100"/>
      <c r="AC1083" s="100"/>
      <c r="AD1083" s="100"/>
      <c r="AF1083"/>
      <c r="AG1083">
        <f t="shared" si="833"/>
        <v>0</v>
      </c>
      <c r="AH1083">
        <f t="shared" si="817"/>
        <v>0</v>
      </c>
      <c r="AK1083">
        <f t="shared" si="818"/>
        <v>0</v>
      </c>
      <c r="AL1083">
        <f t="shared" si="819"/>
        <v>0</v>
      </c>
      <c r="AM1083">
        <f t="shared" si="820"/>
        <v>0</v>
      </c>
      <c r="AN1083">
        <f t="shared" si="821"/>
        <v>0</v>
      </c>
      <c r="AO1083">
        <f t="shared" si="822"/>
        <v>0</v>
      </c>
      <c r="AP1083">
        <f t="shared" si="823"/>
        <v>0</v>
      </c>
      <c r="AQ1083">
        <f t="shared" si="824"/>
        <v>0</v>
      </c>
      <c r="AR1083">
        <f t="shared" si="825"/>
        <v>0</v>
      </c>
      <c r="AS1083">
        <f t="shared" si="826"/>
        <v>0</v>
      </c>
      <c r="AT1083">
        <f t="shared" si="827"/>
        <v>0</v>
      </c>
      <c r="AU1083">
        <f t="shared" si="828"/>
        <v>0</v>
      </c>
      <c r="AV1083">
        <f t="shared" si="829"/>
        <v>0</v>
      </c>
      <c r="AW1083">
        <f t="shared" si="830"/>
        <v>0</v>
      </c>
      <c r="AX1083">
        <f t="shared" si="831"/>
        <v>0</v>
      </c>
      <c r="AY1083">
        <f t="shared" si="832"/>
        <v>0</v>
      </c>
    </row>
    <row r="1084" spans="1:51" ht="24" customHeight="1">
      <c r="A1084" s="170"/>
      <c r="C1084" s="1109"/>
      <c r="D1084" s="874"/>
      <c r="E1084" s="874"/>
      <c r="F1084" s="1119" t="s">
        <v>5110</v>
      </c>
      <c r="G1084" s="1120"/>
      <c r="H1084" s="178"/>
      <c r="I1084" s="1111" t="s">
        <v>5111</v>
      </c>
      <c r="J1084" s="1111"/>
      <c r="K1084" s="1111"/>
      <c r="L1084" s="1111"/>
      <c r="M1084" s="1111"/>
      <c r="N1084" s="1111"/>
      <c r="O1084" s="1112"/>
      <c r="P1084" s="100"/>
      <c r="Q1084" s="100"/>
      <c r="R1084" s="100"/>
      <c r="S1084" s="100"/>
      <c r="T1084" s="100"/>
      <c r="U1084" s="100"/>
      <c r="V1084" s="100"/>
      <c r="W1084" s="100"/>
      <c r="X1084" s="100"/>
      <c r="Y1084" s="100"/>
      <c r="Z1084" s="100"/>
      <c r="AA1084" s="100"/>
      <c r="AB1084" s="100"/>
      <c r="AC1084" s="100"/>
      <c r="AD1084" s="100"/>
      <c r="AF1084"/>
      <c r="AG1084">
        <f t="shared" si="833"/>
        <v>0</v>
      </c>
      <c r="AH1084">
        <f t="shared" si="817"/>
        <v>0</v>
      </c>
      <c r="AK1084">
        <f t="shared" si="818"/>
        <v>0</v>
      </c>
      <c r="AL1084">
        <f t="shared" si="819"/>
        <v>0</v>
      </c>
      <c r="AM1084">
        <f t="shared" si="820"/>
        <v>0</v>
      </c>
      <c r="AN1084">
        <f t="shared" si="821"/>
        <v>0</v>
      </c>
      <c r="AO1084">
        <f t="shared" si="822"/>
        <v>0</v>
      </c>
      <c r="AP1084">
        <f t="shared" si="823"/>
        <v>0</v>
      </c>
      <c r="AQ1084">
        <f t="shared" si="824"/>
        <v>0</v>
      </c>
      <c r="AR1084">
        <f t="shared" si="825"/>
        <v>0</v>
      </c>
      <c r="AS1084">
        <f t="shared" si="826"/>
        <v>0</v>
      </c>
      <c r="AT1084">
        <f t="shared" si="827"/>
        <v>0</v>
      </c>
      <c r="AU1084">
        <f t="shared" si="828"/>
        <v>0</v>
      </c>
      <c r="AV1084">
        <f t="shared" si="829"/>
        <v>0</v>
      </c>
      <c r="AW1084">
        <f t="shared" si="830"/>
        <v>0</v>
      </c>
      <c r="AX1084">
        <f t="shared" si="831"/>
        <v>0</v>
      </c>
      <c r="AY1084">
        <f t="shared" si="832"/>
        <v>0</v>
      </c>
    </row>
    <row r="1085" spans="1:51" ht="36" customHeight="1">
      <c r="A1085" s="170"/>
      <c r="C1085" s="1109"/>
      <c r="D1085" s="874"/>
      <c r="E1085" s="874"/>
      <c r="F1085" s="1119" t="s">
        <v>5112</v>
      </c>
      <c r="G1085" s="1120"/>
      <c r="H1085" s="178"/>
      <c r="I1085" s="1111" t="s">
        <v>5113</v>
      </c>
      <c r="J1085" s="1111"/>
      <c r="K1085" s="1111"/>
      <c r="L1085" s="1111"/>
      <c r="M1085" s="1111"/>
      <c r="N1085" s="1111"/>
      <c r="O1085" s="1112"/>
      <c r="P1085" s="100"/>
      <c r="Q1085" s="100"/>
      <c r="R1085" s="100"/>
      <c r="S1085" s="100"/>
      <c r="T1085" s="100"/>
      <c r="U1085" s="100"/>
      <c r="V1085" s="100"/>
      <c r="W1085" s="100"/>
      <c r="X1085" s="100"/>
      <c r="Y1085" s="100"/>
      <c r="Z1085" s="100"/>
      <c r="AA1085" s="100"/>
      <c r="AB1085" s="100"/>
      <c r="AC1085" s="100"/>
      <c r="AD1085" s="100"/>
      <c r="AF1085"/>
      <c r="AG1085">
        <f t="shared" si="833"/>
        <v>0</v>
      </c>
      <c r="AH1085">
        <f t="shared" si="817"/>
        <v>0</v>
      </c>
      <c r="AK1085">
        <f t="shared" si="818"/>
        <v>0</v>
      </c>
      <c r="AL1085">
        <f t="shared" si="819"/>
        <v>0</v>
      </c>
      <c r="AM1085">
        <f t="shared" si="820"/>
        <v>0</v>
      </c>
      <c r="AN1085">
        <f t="shared" si="821"/>
        <v>0</v>
      </c>
      <c r="AO1085">
        <f t="shared" si="822"/>
        <v>0</v>
      </c>
      <c r="AP1085">
        <f t="shared" si="823"/>
        <v>0</v>
      </c>
      <c r="AQ1085">
        <f t="shared" si="824"/>
        <v>0</v>
      </c>
      <c r="AR1085">
        <f t="shared" si="825"/>
        <v>0</v>
      </c>
      <c r="AS1085">
        <f t="shared" si="826"/>
        <v>0</v>
      </c>
      <c r="AT1085">
        <f t="shared" si="827"/>
        <v>0</v>
      </c>
      <c r="AU1085">
        <f t="shared" si="828"/>
        <v>0</v>
      </c>
      <c r="AV1085">
        <f t="shared" si="829"/>
        <v>0</v>
      </c>
      <c r="AW1085">
        <f t="shared" si="830"/>
        <v>0</v>
      </c>
      <c r="AX1085">
        <f t="shared" si="831"/>
        <v>0</v>
      </c>
      <c r="AY1085">
        <f t="shared" si="832"/>
        <v>0</v>
      </c>
    </row>
    <row r="1086" spans="1:51" ht="15" customHeight="1">
      <c r="A1086" s="170"/>
      <c r="C1086" s="1109"/>
      <c r="D1086" s="874"/>
      <c r="E1086" s="874"/>
      <c r="F1086" s="1119" t="s">
        <v>5114</v>
      </c>
      <c r="G1086" s="1120"/>
      <c r="H1086" s="178"/>
      <c r="I1086" s="1111" t="s">
        <v>201</v>
      </c>
      <c r="J1086" s="1111"/>
      <c r="K1086" s="1111"/>
      <c r="L1086" s="1111"/>
      <c r="M1086" s="1111"/>
      <c r="N1086" s="1111"/>
      <c r="O1086" s="1112"/>
      <c r="P1086" s="100"/>
      <c r="Q1086" s="100"/>
      <c r="R1086" s="100"/>
      <c r="S1086" s="100"/>
      <c r="T1086" s="100"/>
      <c r="U1086" s="100"/>
      <c r="V1086" s="100"/>
      <c r="W1086" s="100"/>
      <c r="X1086" s="100"/>
      <c r="Y1086" s="100"/>
      <c r="Z1086" s="100"/>
      <c r="AA1086" s="100"/>
      <c r="AB1086" s="100"/>
      <c r="AC1086" s="100"/>
      <c r="AD1086" s="100"/>
      <c r="AF1086"/>
      <c r="AG1086">
        <f t="shared" si="833"/>
        <v>0</v>
      </c>
      <c r="AH1086">
        <f t="shared" si="817"/>
        <v>0</v>
      </c>
      <c r="AK1086">
        <f t="shared" si="818"/>
        <v>0</v>
      </c>
      <c r="AL1086">
        <f t="shared" si="819"/>
        <v>0</v>
      </c>
      <c r="AM1086">
        <f t="shared" si="820"/>
        <v>0</v>
      </c>
      <c r="AN1086">
        <f t="shared" si="821"/>
        <v>0</v>
      </c>
      <c r="AO1086">
        <f t="shared" si="822"/>
        <v>0</v>
      </c>
      <c r="AP1086">
        <f t="shared" si="823"/>
        <v>0</v>
      </c>
      <c r="AQ1086">
        <f t="shared" si="824"/>
        <v>0</v>
      </c>
      <c r="AR1086">
        <f t="shared" si="825"/>
        <v>0</v>
      </c>
      <c r="AS1086">
        <f t="shared" si="826"/>
        <v>0</v>
      </c>
      <c r="AT1086">
        <f t="shared" si="827"/>
        <v>0</v>
      </c>
      <c r="AU1086">
        <f t="shared" si="828"/>
        <v>0</v>
      </c>
      <c r="AV1086">
        <f t="shared" si="829"/>
        <v>0</v>
      </c>
      <c r="AW1086">
        <f t="shared" si="830"/>
        <v>0</v>
      </c>
      <c r="AX1086">
        <f t="shared" si="831"/>
        <v>0</v>
      </c>
      <c r="AY1086">
        <f t="shared" si="832"/>
        <v>0</v>
      </c>
    </row>
    <row r="1087" spans="1:51" ht="24" customHeight="1">
      <c r="A1087" s="170"/>
      <c r="C1087" s="1109"/>
      <c r="D1087" s="874"/>
      <c r="E1087" s="874"/>
      <c r="F1087" s="1103" t="s">
        <v>5115</v>
      </c>
      <c r="G1087" s="1103"/>
      <c r="H1087" s="1104" t="s">
        <v>5116</v>
      </c>
      <c r="I1087" s="1105"/>
      <c r="J1087" s="1105"/>
      <c r="K1087" s="1105"/>
      <c r="L1087" s="1105"/>
      <c r="M1087" s="1105"/>
      <c r="N1087" s="1105"/>
      <c r="O1087" s="1106"/>
      <c r="P1087" s="100"/>
      <c r="Q1087" s="100"/>
      <c r="R1087" s="100"/>
      <c r="S1087" s="100"/>
      <c r="T1087" s="100"/>
      <c r="U1087" s="100"/>
      <c r="V1087" s="100"/>
      <c r="W1087" s="100"/>
      <c r="X1087" s="100"/>
      <c r="Y1087" s="100"/>
      <c r="Z1087" s="100"/>
      <c r="AA1087" s="100"/>
      <c r="AB1087" s="100"/>
      <c r="AC1087" s="100"/>
      <c r="AD1087" s="100"/>
      <c r="AF1087"/>
      <c r="AG1087">
        <f t="shared" si="833"/>
        <v>0</v>
      </c>
      <c r="AH1087">
        <f t="shared" si="817"/>
        <v>0</v>
      </c>
      <c r="AK1087">
        <f t="shared" si="818"/>
        <v>0</v>
      </c>
      <c r="AL1087">
        <f t="shared" si="819"/>
        <v>0</v>
      </c>
      <c r="AM1087">
        <f t="shared" si="820"/>
        <v>0</v>
      </c>
      <c r="AN1087">
        <f t="shared" si="821"/>
        <v>0</v>
      </c>
      <c r="AO1087">
        <f t="shared" si="822"/>
        <v>0</v>
      </c>
      <c r="AP1087">
        <f t="shared" si="823"/>
        <v>0</v>
      </c>
      <c r="AQ1087">
        <f t="shared" si="824"/>
        <v>0</v>
      </c>
      <c r="AR1087">
        <f t="shared" si="825"/>
        <v>0</v>
      </c>
      <c r="AS1087">
        <f t="shared" si="826"/>
        <v>0</v>
      </c>
      <c r="AT1087">
        <f t="shared" si="827"/>
        <v>0</v>
      </c>
      <c r="AU1087">
        <f t="shared" si="828"/>
        <v>0</v>
      </c>
      <c r="AV1087">
        <f t="shared" si="829"/>
        <v>0</v>
      </c>
      <c r="AW1087">
        <f t="shared" si="830"/>
        <v>0</v>
      </c>
      <c r="AX1087">
        <f t="shared" si="831"/>
        <v>0</v>
      </c>
      <c r="AY1087">
        <f t="shared" si="832"/>
        <v>0</v>
      </c>
    </row>
    <row r="1088" spans="1:51" ht="15" customHeight="1">
      <c r="A1088" s="170"/>
      <c r="C1088" s="1109"/>
      <c r="D1088" s="874"/>
      <c r="E1088" s="874"/>
      <c r="F1088" s="1103" t="s">
        <v>5117</v>
      </c>
      <c r="G1088" s="1103"/>
      <c r="H1088" s="1104" t="s">
        <v>5118</v>
      </c>
      <c r="I1088" s="1105"/>
      <c r="J1088" s="1105"/>
      <c r="K1088" s="1105"/>
      <c r="L1088" s="1105"/>
      <c r="M1088" s="1105"/>
      <c r="N1088" s="1105"/>
      <c r="O1088" s="1106"/>
      <c r="P1088" s="100"/>
      <c r="Q1088" s="100"/>
      <c r="R1088" s="100"/>
      <c r="S1088" s="100"/>
      <c r="T1088" s="100"/>
      <c r="U1088" s="100"/>
      <c r="V1088" s="100"/>
      <c r="W1088" s="100"/>
      <c r="X1088" s="100"/>
      <c r="Y1088" s="100"/>
      <c r="Z1088" s="100"/>
      <c r="AA1088" s="100"/>
      <c r="AB1088" s="100"/>
      <c r="AC1088" s="100"/>
      <c r="AD1088" s="100"/>
      <c r="AF1088"/>
      <c r="AG1088">
        <f t="shared" si="833"/>
        <v>0</v>
      </c>
      <c r="AH1088">
        <f t="shared" si="817"/>
        <v>0</v>
      </c>
      <c r="AJ1088">
        <f>IF(OR(P1088="NS",P1088="NA",$P$895=0,$P$895="NS",$P$895="NA"),0,IF((P1088*(IFERROR(100/SUM(P1056:P1088),0)))&gt;25,1,0))</f>
        <v>0</v>
      </c>
      <c r="AK1088">
        <f t="shared" si="818"/>
        <v>0</v>
      </c>
      <c r="AL1088">
        <f t="shared" si="819"/>
        <v>0</v>
      </c>
      <c r="AM1088">
        <f t="shared" si="820"/>
        <v>0</v>
      </c>
      <c r="AN1088">
        <f t="shared" si="821"/>
        <v>0</v>
      </c>
      <c r="AO1088">
        <f t="shared" si="822"/>
        <v>0</v>
      </c>
      <c r="AP1088">
        <f t="shared" si="823"/>
        <v>0</v>
      </c>
      <c r="AQ1088">
        <f t="shared" si="824"/>
        <v>0</v>
      </c>
      <c r="AR1088">
        <f t="shared" si="825"/>
        <v>0</v>
      </c>
      <c r="AS1088">
        <f t="shared" si="826"/>
        <v>0</v>
      </c>
      <c r="AT1088">
        <f t="shared" si="827"/>
        <v>0</v>
      </c>
      <c r="AU1088">
        <f t="shared" si="828"/>
        <v>0</v>
      </c>
      <c r="AV1088">
        <f t="shared" si="829"/>
        <v>0</v>
      </c>
      <c r="AW1088">
        <f t="shared" si="830"/>
        <v>0</v>
      </c>
      <c r="AX1088">
        <f t="shared" si="831"/>
        <v>0</v>
      </c>
      <c r="AY1088">
        <f t="shared" si="832"/>
        <v>0</v>
      </c>
    </row>
    <row r="1089" spans="1:51" ht="15" customHeight="1">
      <c r="A1089" s="49"/>
      <c r="B1089" s="38"/>
      <c r="C1089" s="739" t="s">
        <v>5119</v>
      </c>
      <c r="D1089" s="740"/>
      <c r="E1089" s="740"/>
      <c r="F1089" s="740"/>
      <c r="G1089" s="741"/>
      <c r="H1089" s="1104" t="s">
        <v>201</v>
      </c>
      <c r="I1089" s="1105"/>
      <c r="J1089" s="1105"/>
      <c r="K1089" s="1105"/>
      <c r="L1089" s="1105"/>
      <c r="M1089" s="1105"/>
      <c r="N1089" s="1105"/>
      <c r="O1089" s="1106"/>
      <c r="P1089" s="100"/>
      <c r="Q1089" s="100"/>
      <c r="R1089" s="100"/>
      <c r="S1089" s="100"/>
      <c r="T1089" s="100"/>
      <c r="U1089" s="100"/>
      <c r="V1089" s="100"/>
      <c r="W1089" s="100"/>
      <c r="X1089" s="100"/>
      <c r="Y1089" s="100"/>
      <c r="Z1089" s="100"/>
      <c r="AA1089" s="100"/>
      <c r="AB1089" s="100"/>
      <c r="AC1089" s="100"/>
      <c r="AD1089" s="100"/>
      <c r="AF1089"/>
      <c r="AG1089">
        <f t="shared" si="833"/>
        <v>0</v>
      </c>
      <c r="AH1089">
        <f t="shared" si="817"/>
        <v>0</v>
      </c>
      <c r="AK1089">
        <f t="shared" si="818"/>
        <v>0</v>
      </c>
      <c r="AL1089">
        <f t="shared" si="819"/>
        <v>0</v>
      </c>
      <c r="AM1089">
        <f t="shared" si="820"/>
        <v>0</v>
      </c>
      <c r="AN1089">
        <f t="shared" si="821"/>
        <v>0</v>
      </c>
      <c r="AO1089">
        <f t="shared" si="822"/>
        <v>0</v>
      </c>
      <c r="AP1089">
        <f t="shared" si="823"/>
        <v>0</v>
      </c>
      <c r="AQ1089">
        <f t="shared" si="824"/>
        <v>0</v>
      </c>
      <c r="AR1089">
        <f t="shared" si="825"/>
        <v>0</v>
      </c>
      <c r="AS1089">
        <f t="shared" si="826"/>
        <v>0</v>
      </c>
      <c r="AT1089">
        <f t="shared" si="827"/>
        <v>0</v>
      </c>
      <c r="AU1089">
        <f t="shared" si="828"/>
        <v>0</v>
      </c>
      <c r="AV1089">
        <f t="shared" si="829"/>
        <v>0</v>
      </c>
      <c r="AW1089">
        <f t="shared" si="830"/>
        <v>0</v>
      </c>
      <c r="AX1089">
        <f t="shared" si="831"/>
        <v>0</v>
      </c>
      <c r="AY1089">
        <f t="shared" si="832"/>
        <v>0</v>
      </c>
    </row>
    <row r="1090" spans="1:51" ht="15" customHeight="1">
      <c r="A1090" s="49"/>
      <c r="B1090" s="38"/>
      <c r="C1090" s="38"/>
      <c r="D1090" s="38"/>
      <c r="E1090" s="38"/>
      <c r="F1090" s="38"/>
      <c r="G1090" s="38"/>
      <c r="H1090" s="38"/>
      <c r="I1090" s="38"/>
      <c r="J1090" s="38"/>
      <c r="K1090" s="38"/>
      <c r="L1090" s="117"/>
      <c r="M1090" s="104"/>
      <c r="N1090" s="104"/>
      <c r="O1090" s="99" t="s">
        <v>2649</v>
      </c>
      <c r="P1090" s="524">
        <f t="shared" ref="P1090:AD1090" si="834">IF(COUNTIF(P925:P1089,"NA")=165,"NA",IF(AND(SUM(COUNTIF(P925:P935,"NS"),COUNTIF(P942:P946,"NS"),COUNTIF(P952:P955,"NS"),COUNTIF(P974,"NS"),COUNTIF(P980:P982,"NS"),COUNTIF(P986:P992,"NS"),COUNTIF(P1000,"NS"),COUNTIF(P1006:P1010,"NS"),COUNTIF(P1017,"NS"),COUNTIF(P1026:P1029,"NS"),COUNTIF(P1036:P1039,"NS"),COUNTIF(P1049,"NS"),COUNTIF(P1053:P1060,"NS"),COUNTIF(P1068:P1069,"NS"),COUNTIF(P1073:P1081,"NS"),COUNTIF(P1087:P1089,"NS"))&gt;0,SUM(P925:P935,P942:P946,P952:P955,P974,P980:P982,P986:P992,P1000,P1006:P1010,P1017,P1026:P1029,P1036:P1039,P1049,P1053:P1060,P1068:P1069,P1073:P1081,P1087:P1089)=0),"NS",SUM(P925:P935,P942:P946,P952:P955,P974,P980:P982,P986:P992,P1000,P1006:P1010,P1017,P1026:P1029,P1036:P1039,P1049,P1053:P1060,P1068:P1069,P1073:P1081,P1087:P1089)))</f>
        <v>0</v>
      </c>
      <c r="Q1090" s="524">
        <f t="shared" si="834"/>
        <v>0</v>
      </c>
      <c r="R1090" s="524">
        <f t="shared" si="834"/>
        <v>0</v>
      </c>
      <c r="S1090" s="524">
        <f t="shared" si="834"/>
        <v>0</v>
      </c>
      <c r="T1090" s="524">
        <f t="shared" si="834"/>
        <v>0</v>
      </c>
      <c r="U1090" s="524">
        <f t="shared" si="834"/>
        <v>0</v>
      </c>
      <c r="V1090" s="524">
        <f t="shared" si="834"/>
        <v>0</v>
      </c>
      <c r="W1090" s="524">
        <f t="shared" si="834"/>
        <v>0</v>
      </c>
      <c r="X1090" s="524">
        <f t="shared" si="834"/>
        <v>0</v>
      </c>
      <c r="Y1090" s="524">
        <f t="shared" si="834"/>
        <v>0</v>
      </c>
      <c r="Z1090" s="524">
        <f t="shared" si="834"/>
        <v>0</v>
      </c>
      <c r="AA1090" s="524">
        <f t="shared" si="834"/>
        <v>0</v>
      </c>
      <c r="AB1090" s="524">
        <f t="shared" si="834"/>
        <v>0</v>
      </c>
      <c r="AC1090" s="524">
        <f t="shared" si="834"/>
        <v>0</v>
      </c>
      <c r="AD1090" s="124">
        <f t="shared" si="834"/>
        <v>0</v>
      </c>
      <c r="AF1090" s="506">
        <f>SUM(AF1081,AF1069,AF1060,AF1049,AF1039,AF1029,AF1017,AF1010,AF1000,AF992,AF982,AF974,AF955,AF946,AF935)</f>
        <v>0</v>
      </c>
      <c r="AG1090" s="507">
        <f>SUM(AG925:AG1089)</f>
        <v>0</v>
      </c>
      <c r="AH1090" s="507">
        <f>SUM(AH925:AH1089,AI925)</f>
        <v>0</v>
      </c>
      <c r="AJ1090" s="507">
        <f>SUM(AJ1088,AJ1055,AJ1038,AJ1009,AJ991,AJ988,AJ954,AJ942,AJ929)</f>
        <v>0</v>
      </c>
      <c r="AK1090">
        <f>SUM(AK925:AK1089)</f>
        <v>0</v>
      </c>
      <c r="AM1090">
        <f>SUM(AM925:AM1089)</f>
        <v>0</v>
      </c>
      <c r="AN1090">
        <f>SUM(AN925:AN1089)</f>
        <v>0</v>
      </c>
      <c r="AP1090">
        <f>SUM(AP925:AP1089)</f>
        <v>0</v>
      </c>
      <c r="AQ1090">
        <f>SUM(AQ925:AQ1089)</f>
        <v>0</v>
      </c>
      <c r="AS1090">
        <f>SUM(AS925:AS1089)</f>
        <v>0</v>
      </c>
      <c r="AT1090">
        <f>SUM(AT925:AT1089)</f>
        <v>0</v>
      </c>
      <c r="AV1090">
        <f>SUM(AV925:AV1089)</f>
        <v>0</v>
      </c>
      <c r="AW1090">
        <f>SUM(AW925:AW1089)</f>
        <v>0</v>
      </c>
      <c r="AY1090">
        <f>SUM(AY925:AY1089)</f>
        <v>0</v>
      </c>
    </row>
    <row r="1091" spans="1:51">
      <c r="A1091" s="170"/>
      <c r="AF1091"/>
      <c r="AK1091" t="s">
        <v>2650</v>
      </c>
      <c r="AL1091" s="427">
        <f>SUM(AM1090,AP1090,AS1090,AV1090,AY1090)</f>
        <v>0</v>
      </c>
      <c r="AM1091" t="s">
        <v>2651</v>
      </c>
      <c r="AN1091" s="427">
        <f>SUM(AK1090,AN1090,AQ1090,AT1090,AW1090)</f>
        <v>0</v>
      </c>
    </row>
    <row r="1092" spans="1:51" ht="15" customHeight="1">
      <c r="A1092" s="49"/>
      <c r="B1092" s="38"/>
      <c r="C1092" s="75"/>
      <c r="D1092" s="75"/>
      <c r="E1092" s="75"/>
      <c r="F1092" s="75"/>
      <c r="G1092" s="75"/>
      <c r="H1092" s="75"/>
      <c r="I1092" s="75"/>
      <c r="J1092" s="75"/>
      <c r="K1092" s="75"/>
      <c r="L1092" s="75"/>
      <c r="M1092" s="75"/>
      <c r="N1092" s="75"/>
      <c r="O1092" s="75"/>
      <c r="P1092" s="75"/>
      <c r="Q1092" s="75"/>
      <c r="R1092" s="75"/>
      <c r="S1092" s="75"/>
      <c r="T1092" s="75"/>
      <c r="U1092" s="75"/>
      <c r="V1092" s="75"/>
      <c r="W1092" s="75"/>
      <c r="X1092" s="75"/>
      <c r="Y1092" s="75"/>
      <c r="Z1092" s="75"/>
      <c r="AA1092" s="873" t="s">
        <v>2668</v>
      </c>
      <c r="AB1092" s="873"/>
      <c r="AC1092" s="873"/>
      <c r="AD1092" s="873"/>
      <c r="AF1092"/>
      <c r="AK1092" t="s">
        <v>2652</v>
      </c>
      <c r="AL1092">
        <f>IF(AN1091&gt;0,IF(SUM(P1090)&gt;=SUM(S1090,V1090,Y1090,AB1090),0,1),IF(SUM(P1090)&lt;&gt;SUM(S1090,V1090,Y1090,AB1090),1,0))</f>
        <v>0</v>
      </c>
      <c r="AM1092" t="s">
        <v>2653</v>
      </c>
      <c r="AN1092">
        <f>IF(AN1091&gt;0,IF(SUM(Q1090)&gt;=SUM(T1090,W1090,Z1090,AC1090),0,1),IF(SUM(Q1090)&lt;&gt;SUM(T1090,W1090,Z1090,AC1090),1,0))</f>
        <v>0</v>
      </c>
      <c r="AO1092" t="s">
        <v>2654</v>
      </c>
      <c r="AP1092">
        <f>IF(AN1091&gt;0,IF(SUM(R1090)&gt;=SUM(U1090,X1090,AA1090,AD1090),0,1),IF(SUM(R1090)&lt;&gt;SUM(U1090,X1090,AA1090,AD1090),1,0))</f>
        <v>0</v>
      </c>
    </row>
    <row r="1093" spans="1:51" ht="60" customHeight="1">
      <c r="A1093" s="49"/>
      <c r="B1093" s="38"/>
      <c r="C1093" s="732" t="s">
        <v>4736</v>
      </c>
      <c r="D1093" s="732"/>
      <c r="E1093" s="732"/>
      <c r="F1093" s="732"/>
      <c r="G1093" s="732" t="s">
        <v>4737</v>
      </c>
      <c r="H1093" s="732"/>
      <c r="I1093" s="880" t="s">
        <v>4738</v>
      </c>
      <c r="J1093" s="880"/>
      <c r="K1093" s="880"/>
      <c r="L1093" s="880"/>
      <c r="M1093" s="880"/>
      <c r="N1093" s="880"/>
      <c r="O1093" s="880"/>
      <c r="P1093" s="880"/>
      <c r="Q1093" s="880"/>
      <c r="R1093" s="880"/>
      <c r="S1093" s="880"/>
      <c r="T1093" s="880"/>
      <c r="U1093" s="880"/>
      <c r="V1093" s="732" t="s">
        <v>5415</v>
      </c>
      <c r="W1093" s="732"/>
      <c r="X1093" s="732"/>
      <c r="Y1093" s="732"/>
      <c r="Z1093" s="732"/>
      <c r="AA1093" s="732"/>
      <c r="AB1093" s="732"/>
      <c r="AC1093" s="732"/>
      <c r="AD1093" s="732"/>
      <c r="AF1093"/>
    </row>
    <row r="1094" spans="1:51" ht="24" customHeight="1">
      <c r="A1094" s="49"/>
      <c r="B1094" s="38"/>
      <c r="C1094" s="732"/>
      <c r="D1094" s="732"/>
      <c r="E1094" s="732"/>
      <c r="F1094" s="732"/>
      <c r="G1094" s="732"/>
      <c r="H1094" s="732"/>
      <c r="I1094" s="880"/>
      <c r="J1094" s="880"/>
      <c r="K1094" s="880"/>
      <c r="L1094" s="880"/>
      <c r="M1094" s="880"/>
      <c r="N1094" s="880"/>
      <c r="O1094" s="880"/>
      <c r="P1094" s="880"/>
      <c r="Q1094" s="880"/>
      <c r="R1094" s="880"/>
      <c r="S1094" s="880"/>
      <c r="T1094" s="880"/>
      <c r="U1094" s="880"/>
      <c r="V1094" s="736" t="s">
        <v>4593</v>
      </c>
      <c r="W1094" s="736"/>
      <c r="X1094" s="736"/>
      <c r="Y1094" s="736"/>
      <c r="Z1094" s="736"/>
      <c r="AA1094" s="736"/>
      <c r="AB1094" s="736"/>
      <c r="AC1094" s="736"/>
      <c r="AD1094" s="736"/>
      <c r="AF1094"/>
    </row>
    <row r="1095" spans="1:51" ht="96" customHeight="1">
      <c r="A1095" s="49"/>
      <c r="B1095" s="38"/>
      <c r="C1095" s="732"/>
      <c r="D1095" s="732"/>
      <c r="E1095" s="732"/>
      <c r="F1095" s="732"/>
      <c r="G1095" s="732"/>
      <c r="H1095" s="732"/>
      <c r="I1095" s="880"/>
      <c r="J1095" s="880"/>
      <c r="K1095" s="880"/>
      <c r="L1095" s="880"/>
      <c r="M1095" s="880"/>
      <c r="N1095" s="880"/>
      <c r="O1095" s="880"/>
      <c r="P1095" s="880"/>
      <c r="Q1095" s="880"/>
      <c r="R1095" s="880"/>
      <c r="S1095" s="880"/>
      <c r="T1095" s="880"/>
      <c r="U1095" s="880"/>
      <c r="V1095" s="858" t="s">
        <v>5174</v>
      </c>
      <c r="W1095" s="859"/>
      <c r="X1095" s="860"/>
      <c r="Y1095" s="857" t="s">
        <v>5175</v>
      </c>
      <c r="Z1095" s="857"/>
      <c r="AA1095" s="857"/>
      <c r="AB1095" s="857" t="s">
        <v>5178</v>
      </c>
      <c r="AC1095" s="857"/>
      <c r="AD1095" s="857"/>
      <c r="AF1095"/>
    </row>
    <row r="1096" spans="1:51" ht="48" customHeight="1">
      <c r="A1096" s="49"/>
      <c r="B1096" s="38"/>
      <c r="C1096" s="732"/>
      <c r="D1096" s="732"/>
      <c r="E1096" s="732"/>
      <c r="F1096" s="732"/>
      <c r="G1096" s="732"/>
      <c r="H1096" s="732"/>
      <c r="I1096" s="880"/>
      <c r="J1096" s="880"/>
      <c r="K1096" s="880"/>
      <c r="L1096" s="880"/>
      <c r="M1096" s="880"/>
      <c r="N1096" s="880"/>
      <c r="O1096" s="880"/>
      <c r="P1096" s="880"/>
      <c r="Q1096" s="880"/>
      <c r="R1096" s="880"/>
      <c r="S1096" s="880"/>
      <c r="T1096" s="880"/>
      <c r="U1096" s="880"/>
      <c r="V1096" s="127" t="s">
        <v>2635</v>
      </c>
      <c r="W1096" s="128" t="s">
        <v>2629</v>
      </c>
      <c r="X1096" s="128" t="s">
        <v>2630</v>
      </c>
      <c r="Y1096" s="127" t="s">
        <v>2635</v>
      </c>
      <c r="Z1096" s="128" t="s">
        <v>2629</v>
      </c>
      <c r="AA1096" s="128" t="s">
        <v>2630</v>
      </c>
      <c r="AB1096" s="127" t="s">
        <v>2635</v>
      </c>
      <c r="AC1096" s="128" t="s">
        <v>2629</v>
      </c>
      <c r="AD1096" s="128" t="s">
        <v>2630</v>
      </c>
      <c r="AF1096"/>
      <c r="AK1096" t="s">
        <v>4573</v>
      </c>
      <c r="AL1096" t="s">
        <v>2638</v>
      </c>
      <c r="AM1096" t="s">
        <v>2639</v>
      </c>
      <c r="AN1096" t="s">
        <v>4574</v>
      </c>
      <c r="AO1096" t="s">
        <v>2641</v>
      </c>
      <c r="AP1096" t="s">
        <v>2642</v>
      </c>
      <c r="AQ1096" t="s">
        <v>4575</v>
      </c>
      <c r="AR1096" t="s">
        <v>2644</v>
      </c>
      <c r="AS1096" t="s">
        <v>2645</v>
      </c>
    </row>
    <row r="1097" spans="1:51" ht="15" customHeight="1">
      <c r="A1097" s="49"/>
      <c r="B1097" s="38"/>
      <c r="C1097" s="1108" t="s">
        <v>4743</v>
      </c>
      <c r="D1097" s="847" t="s">
        <v>4744</v>
      </c>
      <c r="E1097" s="953"/>
      <c r="F1097" s="848"/>
      <c r="G1097" s="1117" t="s">
        <v>4745</v>
      </c>
      <c r="H1097" s="1118"/>
      <c r="I1097" s="1104" t="s">
        <v>3875</v>
      </c>
      <c r="J1097" s="1105"/>
      <c r="K1097" s="1105"/>
      <c r="L1097" s="1105"/>
      <c r="M1097" s="1105"/>
      <c r="N1097" s="1105"/>
      <c r="O1097" s="1105"/>
      <c r="P1097" s="1105"/>
      <c r="Q1097" s="1105"/>
      <c r="R1097" s="1105"/>
      <c r="S1097" s="1105"/>
      <c r="T1097" s="1105"/>
      <c r="U1097" s="1106"/>
      <c r="V1097" s="100"/>
      <c r="W1097" s="100"/>
      <c r="X1097" s="100"/>
      <c r="Y1097" s="100"/>
      <c r="Z1097" s="100"/>
      <c r="AA1097" s="100"/>
      <c r="AB1097" s="100"/>
      <c r="AC1097" s="100"/>
      <c r="AD1097" s="100"/>
      <c r="AF1097"/>
      <c r="AK1097">
        <f t="shared" ref="AK1097:AK1160" si="835">COUNTIF(W1097:X1097,"NS")</f>
        <v>0</v>
      </c>
      <c r="AL1097">
        <f t="shared" ref="AL1097:AL1160" si="836">SUM(W1097:X1097)</f>
        <v>0</v>
      </c>
      <c r="AM1097">
        <f t="shared" ref="AM1097:AM1160" si="837">IF(COUNTIF(V1097:X1097,"NA")=3,0,IF(COUNTA(V1097:X1097)=0,0,IF(OR(AND(V1097=0,AK1097&gt;0),AND(V1097="ns",AL1097&gt;0),AND(V1097="ns",AK1097=0,AL1097=0)),1,IF(OR(AND(V1097&gt;0,AK1097=2),AND(V1097="ns",AK1097=2),AND(V1097="ns",AL1097=0,AK1097&gt;0),V1097=AL1097),0,1))))</f>
        <v>0</v>
      </c>
      <c r="AN1097">
        <f t="shared" ref="AN1097:AN1160" si="838">COUNTIF(Z1097:AA1097,"NS")</f>
        <v>0</v>
      </c>
      <c r="AO1097">
        <f t="shared" ref="AO1097:AO1160" si="839">SUM(Z1097:AA1097)</f>
        <v>0</v>
      </c>
      <c r="AP1097">
        <f t="shared" ref="AP1097:AP1160" si="840">IF(COUNTIF(Y1097:AA1097,"NA")=3,0,IF(COUNTA(Y1097:AA1097)=0,0,IF(OR(AND(Y1097=0,AN1097&gt;0),AND(Y1097="ns",AO1097&gt;0),AND(Y1097="ns",AN1097=0,AO1097=0)),1,IF(OR(AND(Y1097&gt;0,AN1097=2),AND(Y1097="ns",AN1097=2),AND(Y1097="ns",AO1097=0,AN1097&gt;0),Y1097=AO1097),0,1))))</f>
        <v>0</v>
      </c>
      <c r="AQ1097">
        <f t="shared" ref="AQ1097:AQ1160" si="841">COUNTIF(AC1097:AD1097,"NS")</f>
        <v>0</v>
      </c>
      <c r="AR1097">
        <f t="shared" ref="AR1097:AR1160" si="842">SUM(AC1097:AD1097)</f>
        <v>0</v>
      </c>
      <c r="AS1097">
        <f t="shared" ref="AS1097:AS1160" si="843">IF(COUNTIF(AB1097:AD1097,"NA")=3,0,IF(COUNTA(AB1097:AD1097)=0,0,IF(OR(AND(AB1097=0,AQ1097&gt;0),AND(AB1097="ns",AR1097&gt;0),AND(AB1097="ns",AQ1097=0,AR1097=0)),1,IF(OR(AND(AB1097&gt;0,AQ1097=2),AND(AB1097="ns",AQ1097=2),AND(AB1097="ns",AR1097=0,AQ1097&gt;0),AB1097=AR1097),0,1))))</f>
        <v>0</v>
      </c>
    </row>
    <row r="1098" spans="1:51" ht="15" customHeight="1">
      <c r="A1098" s="49"/>
      <c r="B1098" s="38"/>
      <c r="C1098" s="1109"/>
      <c r="D1098" s="954"/>
      <c r="E1098" s="955"/>
      <c r="F1098" s="956"/>
      <c r="G1098" s="1117" t="s">
        <v>4746</v>
      </c>
      <c r="H1098" s="1118"/>
      <c r="I1098" s="1104" t="s">
        <v>4747</v>
      </c>
      <c r="J1098" s="1105"/>
      <c r="K1098" s="1105"/>
      <c r="L1098" s="1105"/>
      <c r="M1098" s="1105"/>
      <c r="N1098" s="1105"/>
      <c r="O1098" s="1105"/>
      <c r="P1098" s="1105"/>
      <c r="Q1098" s="1105"/>
      <c r="R1098" s="1105"/>
      <c r="S1098" s="1105"/>
      <c r="T1098" s="1105"/>
      <c r="U1098" s="1106"/>
      <c r="V1098" s="100"/>
      <c r="W1098" s="100"/>
      <c r="X1098" s="100"/>
      <c r="Y1098" s="100"/>
      <c r="Z1098" s="100"/>
      <c r="AA1098" s="100"/>
      <c r="AB1098" s="100"/>
      <c r="AC1098" s="100"/>
      <c r="AD1098" s="100"/>
      <c r="AF1098"/>
      <c r="AK1098">
        <f t="shared" si="835"/>
        <v>0</v>
      </c>
      <c r="AL1098">
        <f t="shared" si="836"/>
        <v>0</v>
      </c>
      <c r="AM1098">
        <f t="shared" si="837"/>
        <v>0</v>
      </c>
      <c r="AN1098">
        <f t="shared" si="838"/>
        <v>0</v>
      </c>
      <c r="AO1098">
        <f t="shared" si="839"/>
        <v>0</v>
      </c>
      <c r="AP1098">
        <f t="shared" si="840"/>
        <v>0</v>
      </c>
      <c r="AQ1098">
        <f t="shared" si="841"/>
        <v>0</v>
      </c>
      <c r="AR1098">
        <f t="shared" si="842"/>
        <v>0</v>
      </c>
      <c r="AS1098">
        <f t="shared" si="843"/>
        <v>0</v>
      </c>
    </row>
    <row r="1099" spans="1:51" ht="15" customHeight="1">
      <c r="A1099" s="49"/>
      <c r="B1099" s="38"/>
      <c r="C1099" s="1109"/>
      <c r="D1099" s="954"/>
      <c r="E1099" s="955"/>
      <c r="F1099" s="956"/>
      <c r="G1099" s="1117" t="s">
        <v>4748</v>
      </c>
      <c r="H1099" s="1118"/>
      <c r="I1099" s="1104" t="s">
        <v>4749</v>
      </c>
      <c r="J1099" s="1105"/>
      <c r="K1099" s="1105"/>
      <c r="L1099" s="1105"/>
      <c r="M1099" s="1105"/>
      <c r="N1099" s="1105"/>
      <c r="O1099" s="1105"/>
      <c r="P1099" s="1105"/>
      <c r="Q1099" s="1105"/>
      <c r="R1099" s="1105"/>
      <c r="S1099" s="1105"/>
      <c r="T1099" s="1105"/>
      <c r="U1099" s="1106"/>
      <c r="V1099" s="100"/>
      <c r="W1099" s="100"/>
      <c r="X1099" s="100"/>
      <c r="Y1099" s="100"/>
      <c r="Z1099" s="100"/>
      <c r="AA1099" s="100"/>
      <c r="AB1099" s="100"/>
      <c r="AC1099" s="100"/>
      <c r="AD1099" s="100"/>
      <c r="AF1099"/>
      <c r="AK1099">
        <f t="shared" si="835"/>
        <v>0</v>
      </c>
      <c r="AL1099">
        <f t="shared" si="836"/>
        <v>0</v>
      </c>
      <c r="AM1099">
        <f t="shared" si="837"/>
        <v>0</v>
      </c>
      <c r="AN1099">
        <f t="shared" si="838"/>
        <v>0</v>
      </c>
      <c r="AO1099">
        <f t="shared" si="839"/>
        <v>0</v>
      </c>
      <c r="AP1099">
        <f t="shared" si="840"/>
        <v>0</v>
      </c>
      <c r="AQ1099">
        <f t="shared" si="841"/>
        <v>0</v>
      </c>
      <c r="AR1099">
        <f t="shared" si="842"/>
        <v>0</v>
      </c>
      <c r="AS1099">
        <f t="shared" si="843"/>
        <v>0</v>
      </c>
    </row>
    <row r="1100" spans="1:51" ht="15" customHeight="1">
      <c r="A1100" s="49"/>
      <c r="B1100" s="38"/>
      <c r="C1100" s="1109"/>
      <c r="D1100" s="954"/>
      <c r="E1100" s="955"/>
      <c r="F1100" s="956"/>
      <c r="G1100" s="1117" t="s">
        <v>4750</v>
      </c>
      <c r="H1100" s="1118"/>
      <c r="I1100" s="1104" t="s">
        <v>4751</v>
      </c>
      <c r="J1100" s="1105"/>
      <c r="K1100" s="1105"/>
      <c r="L1100" s="1105"/>
      <c r="M1100" s="1105"/>
      <c r="N1100" s="1105"/>
      <c r="O1100" s="1105"/>
      <c r="P1100" s="1105"/>
      <c r="Q1100" s="1105"/>
      <c r="R1100" s="1105"/>
      <c r="S1100" s="1105"/>
      <c r="T1100" s="1105"/>
      <c r="U1100" s="1106"/>
      <c r="V1100" s="100"/>
      <c r="W1100" s="100"/>
      <c r="X1100" s="100"/>
      <c r="Y1100" s="100"/>
      <c r="Z1100" s="100"/>
      <c r="AA1100" s="100"/>
      <c r="AB1100" s="100"/>
      <c r="AC1100" s="100"/>
      <c r="AD1100" s="100"/>
      <c r="AF1100"/>
      <c r="AK1100">
        <f t="shared" si="835"/>
        <v>0</v>
      </c>
      <c r="AL1100">
        <f t="shared" si="836"/>
        <v>0</v>
      </c>
      <c r="AM1100">
        <f t="shared" si="837"/>
        <v>0</v>
      </c>
      <c r="AN1100">
        <f t="shared" si="838"/>
        <v>0</v>
      </c>
      <c r="AO1100">
        <f t="shared" si="839"/>
        <v>0</v>
      </c>
      <c r="AP1100">
        <f t="shared" si="840"/>
        <v>0</v>
      </c>
      <c r="AQ1100">
        <f t="shared" si="841"/>
        <v>0</v>
      </c>
      <c r="AR1100">
        <f t="shared" si="842"/>
        <v>0</v>
      </c>
      <c r="AS1100">
        <f t="shared" si="843"/>
        <v>0</v>
      </c>
    </row>
    <row r="1101" spans="1:51" ht="15" customHeight="1">
      <c r="A1101" s="49"/>
      <c r="B1101" s="38"/>
      <c r="C1101" s="1109"/>
      <c r="D1101" s="954"/>
      <c r="E1101" s="955"/>
      <c r="F1101" s="956"/>
      <c r="G1101" s="1117" t="s">
        <v>4752</v>
      </c>
      <c r="H1101" s="1118"/>
      <c r="I1101" s="1104" t="s">
        <v>4753</v>
      </c>
      <c r="J1101" s="1105"/>
      <c r="K1101" s="1105"/>
      <c r="L1101" s="1105"/>
      <c r="M1101" s="1105"/>
      <c r="N1101" s="1105"/>
      <c r="O1101" s="1105"/>
      <c r="P1101" s="1105"/>
      <c r="Q1101" s="1105"/>
      <c r="R1101" s="1105"/>
      <c r="S1101" s="1105"/>
      <c r="T1101" s="1105"/>
      <c r="U1101" s="1106"/>
      <c r="V1101" s="100"/>
      <c r="W1101" s="100"/>
      <c r="X1101" s="100"/>
      <c r="Y1101" s="100"/>
      <c r="Z1101" s="100"/>
      <c r="AA1101" s="100"/>
      <c r="AB1101" s="100"/>
      <c r="AC1101" s="100"/>
      <c r="AD1101" s="100"/>
      <c r="AF1101"/>
      <c r="AK1101">
        <f t="shared" si="835"/>
        <v>0</v>
      </c>
      <c r="AL1101">
        <f t="shared" si="836"/>
        <v>0</v>
      </c>
      <c r="AM1101">
        <f t="shared" si="837"/>
        <v>0</v>
      </c>
      <c r="AN1101">
        <f t="shared" si="838"/>
        <v>0</v>
      </c>
      <c r="AO1101">
        <f t="shared" si="839"/>
        <v>0</v>
      </c>
      <c r="AP1101">
        <f t="shared" si="840"/>
        <v>0</v>
      </c>
      <c r="AQ1101">
        <f t="shared" si="841"/>
        <v>0</v>
      </c>
      <c r="AR1101">
        <f t="shared" si="842"/>
        <v>0</v>
      </c>
      <c r="AS1101">
        <f t="shared" si="843"/>
        <v>0</v>
      </c>
    </row>
    <row r="1102" spans="1:51" ht="15" customHeight="1">
      <c r="A1102" s="49"/>
      <c r="B1102" s="38"/>
      <c r="C1102" s="1108" t="s">
        <v>4754</v>
      </c>
      <c r="D1102" s="847" t="s">
        <v>4755</v>
      </c>
      <c r="E1102" s="953"/>
      <c r="F1102" s="953"/>
      <c r="G1102" s="1117" t="s">
        <v>4756</v>
      </c>
      <c r="H1102" s="1118"/>
      <c r="I1102" s="1104" t="s">
        <v>4757</v>
      </c>
      <c r="J1102" s="1105"/>
      <c r="K1102" s="1105"/>
      <c r="L1102" s="1105"/>
      <c r="M1102" s="1105"/>
      <c r="N1102" s="1105"/>
      <c r="O1102" s="1105"/>
      <c r="P1102" s="1105"/>
      <c r="Q1102" s="1105"/>
      <c r="R1102" s="1105"/>
      <c r="S1102" s="1105"/>
      <c r="T1102" s="1105"/>
      <c r="U1102" s="1106"/>
      <c r="V1102" s="100"/>
      <c r="W1102" s="100"/>
      <c r="X1102" s="100"/>
      <c r="Y1102" s="100"/>
      <c r="Z1102" s="100"/>
      <c r="AA1102" s="100"/>
      <c r="AB1102" s="100"/>
      <c r="AC1102" s="100"/>
      <c r="AD1102" s="100"/>
      <c r="AF1102"/>
      <c r="AK1102">
        <f t="shared" si="835"/>
        <v>0</v>
      </c>
      <c r="AL1102">
        <f t="shared" si="836"/>
        <v>0</v>
      </c>
      <c r="AM1102">
        <f t="shared" si="837"/>
        <v>0</v>
      </c>
      <c r="AN1102">
        <f t="shared" si="838"/>
        <v>0</v>
      </c>
      <c r="AO1102">
        <f t="shared" si="839"/>
        <v>0</v>
      </c>
      <c r="AP1102">
        <f t="shared" si="840"/>
        <v>0</v>
      </c>
      <c r="AQ1102">
        <f t="shared" si="841"/>
        <v>0</v>
      </c>
      <c r="AR1102">
        <f t="shared" si="842"/>
        <v>0</v>
      </c>
      <c r="AS1102">
        <f t="shared" si="843"/>
        <v>0</v>
      </c>
    </row>
    <row r="1103" spans="1:51" ht="15" customHeight="1">
      <c r="A1103" s="103"/>
      <c r="B1103" s="57"/>
      <c r="C1103" s="1109"/>
      <c r="D1103" s="954"/>
      <c r="E1103" s="955"/>
      <c r="F1103" s="955"/>
      <c r="G1103" s="1117" t="s">
        <v>4758</v>
      </c>
      <c r="H1103" s="1118"/>
      <c r="I1103" s="1104" t="s">
        <v>4759</v>
      </c>
      <c r="J1103" s="1105"/>
      <c r="K1103" s="1105"/>
      <c r="L1103" s="1105"/>
      <c r="M1103" s="1105"/>
      <c r="N1103" s="1105"/>
      <c r="O1103" s="1105"/>
      <c r="P1103" s="1105"/>
      <c r="Q1103" s="1105"/>
      <c r="R1103" s="1105"/>
      <c r="S1103" s="1105"/>
      <c r="T1103" s="1105"/>
      <c r="U1103" s="1106"/>
      <c r="V1103" s="100"/>
      <c r="W1103" s="100"/>
      <c r="X1103" s="100"/>
      <c r="Y1103" s="100"/>
      <c r="Z1103" s="100"/>
      <c r="AA1103" s="100"/>
      <c r="AB1103" s="100"/>
      <c r="AC1103" s="100"/>
      <c r="AD1103" s="100"/>
      <c r="AF1103"/>
      <c r="AK1103">
        <f t="shared" si="835"/>
        <v>0</v>
      </c>
      <c r="AL1103">
        <f t="shared" si="836"/>
        <v>0</v>
      </c>
      <c r="AM1103">
        <f t="shared" si="837"/>
        <v>0</v>
      </c>
      <c r="AN1103">
        <f t="shared" si="838"/>
        <v>0</v>
      </c>
      <c r="AO1103">
        <f t="shared" si="839"/>
        <v>0</v>
      </c>
      <c r="AP1103">
        <f t="shared" si="840"/>
        <v>0</v>
      </c>
      <c r="AQ1103">
        <f t="shared" si="841"/>
        <v>0</v>
      </c>
      <c r="AR1103">
        <f t="shared" si="842"/>
        <v>0</v>
      </c>
      <c r="AS1103">
        <f t="shared" si="843"/>
        <v>0</v>
      </c>
    </row>
    <row r="1104" spans="1:51" ht="15" customHeight="1">
      <c r="A1104" s="103"/>
      <c r="B1104" s="57"/>
      <c r="C1104" s="1109"/>
      <c r="D1104" s="954"/>
      <c r="E1104" s="955"/>
      <c r="F1104" s="955"/>
      <c r="G1104" s="1117" t="s">
        <v>4760</v>
      </c>
      <c r="H1104" s="1118"/>
      <c r="I1104" s="1104" t="s">
        <v>4761</v>
      </c>
      <c r="J1104" s="1105"/>
      <c r="K1104" s="1105"/>
      <c r="L1104" s="1105"/>
      <c r="M1104" s="1105"/>
      <c r="N1104" s="1105"/>
      <c r="O1104" s="1105"/>
      <c r="P1104" s="1105"/>
      <c r="Q1104" s="1105"/>
      <c r="R1104" s="1105"/>
      <c r="S1104" s="1105"/>
      <c r="T1104" s="1105"/>
      <c r="U1104" s="1106"/>
      <c r="V1104" s="100"/>
      <c r="W1104" s="100"/>
      <c r="X1104" s="100"/>
      <c r="Y1104" s="100"/>
      <c r="Z1104" s="100"/>
      <c r="AA1104" s="100"/>
      <c r="AB1104" s="100"/>
      <c r="AC1104" s="100"/>
      <c r="AD1104" s="100"/>
      <c r="AF1104"/>
      <c r="AK1104">
        <f t="shared" si="835"/>
        <v>0</v>
      </c>
      <c r="AL1104">
        <f t="shared" si="836"/>
        <v>0</v>
      </c>
      <c r="AM1104">
        <f t="shared" si="837"/>
        <v>0</v>
      </c>
      <c r="AN1104">
        <f t="shared" si="838"/>
        <v>0</v>
      </c>
      <c r="AO1104">
        <f t="shared" si="839"/>
        <v>0</v>
      </c>
      <c r="AP1104">
        <f t="shared" si="840"/>
        <v>0</v>
      </c>
      <c r="AQ1104">
        <f t="shared" si="841"/>
        <v>0</v>
      </c>
      <c r="AR1104">
        <f t="shared" si="842"/>
        <v>0</v>
      </c>
      <c r="AS1104">
        <f t="shared" si="843"/>
        <v>0</v>
      </c>
    </row>
    <row r="1105" spans="1:90" ht="15" customHeight="1">
      <c r="A1105" s="103"/>
      <c r="B1105" s="57"/>
      <c r="C1105" s="1109"/>
      <c r="D1105" s="954"/>
      <c r="E1105" s="955"/>
      <c r="F1105" s="955"/>
      <c r="G1105" s="1117" t="s">
        <v>4762</v>
      </c>
      <c r="H1105" s="1118"/>
      <c r="I1105" s="1104" t="s">
        <v>4763</v>
      </c>
      <c r="J1105" s="1105"/>
      <c r="K1105" s="1105"/>
      <c r="L1105" s="1105"/>
      <c r="M1105" s="1105"/>
      <c r="N1105" s="1105"/>
      <c r="O1105" s="1105"/>
      <c r="P1105" s="1105"/>
      <c r="Q1105" s="1105"/>
      <c r="R1105" s="1105"/>
      <c r="S1105" s="1105"/>
      <c r="T1105" s="1105"/>
      <c r="U1105" s="1106"/>
      <c r="V1105" s="100"/>
      <c r="W1105" s="100"/>
      <c r="X1105" s="100"/>
      <c r="Y1105" s="100"/>
      <c r="Z1105" s="100"/>
      <c r="AA1105" s="100"/>
      <c r="AB1105" s="100"/>
      <c r="AC1105" s="100"/>
      <c r="AD1105" s="100"/>
      <c r="AF1105"/>
      <c r="AK1105">
        <f t="shared" si="835"/>
        <v>0</v>
      </c>
      <c r="AL1105">
        <f t="shared" si="836"/>
        <v>0</v>
      </c>
      <c r="AM1105">
        <f t="shared" si="837"/>
        <v>0</v>
      </c>
      <c r="AN1105">
        <f t="shared" si="838"/>
        <v>0</v>
      </c>
      <c r="AO1105">
        <f t="shared" si="839"/>
        <v>0</v>
      </c>
      <c r="AP1105">
        <f t="shared" si="840"/>
        <v>0</v>
      </c>
      <c r="AQ1105">
        <f t="shared" si="841"/>
        <v>0</v>
      </c>
      <c r="AR1105">
        <f t="shared" si="842"/>
        <v>0</v>
      </c>
      <c r="AS1105">
        <f t="shared" si="843"/>
        <v>0</v>
      </c>
    </row>
    <row r="1106" spans="1:90" ht="15" customHeight="1">
      <c r="A1106" s="103"/>
      <c r="B1106" s="57"/>
      <c r="C1106" s="1109"/>
      <c r="D1106" s="954"/>
      <c r="E1106" s="955"/>
      <c r="F1106" s="955"/>
      <c r="G1106" s="1117" t="s">
        <v>4764</v>
      </c>
      <c r="H1106" s="1118"/>
      <c r="I1106" s="1104" t="s">
        <v>4765</v>
      </c>
      <c r="J1106" s="1105"/>
      <c r="K1106" s="1105"/>
      <c r="L1106" s="1105"/>
      <c r="M1106" s="1105"/>
      <c r="N1106" s="1105"/>
      <c r="O1106" s="1105"/>
      <c r="P1106" s="1105"/>
      <c r="Q1106" s="1105"/>
      <c r="R1106" s="1105"/>
      <c r="S1106" s="1105"/>
      <c r="T1106" s="1105"/>
      <c r="U1106" s="1106"/>
      <c r="V1106" s="100"/>
      <c r="W1106" s="100"/>
      <c r="X1106" s="100"/>
      <c r="Y1106" s="100"/>
      <c r="Z1106" s="100"/>
      <c r="AA1106" s="100"/>
      <c r="AB1106" s="100"/>
      <c r="AC1106" s="100"/>
      <c r="AD1106" s="100"/>
      <c r="AF1106"/>
      <c r="AK1106">
        <f t="shared" si="835"/>
        <v>0</v>
      </c>
      <c r="AL1106">
        <f t="shared" si="836"/>
        <v>0</v>
      </c>
      <c r="AM1106">
        <f t="shared" si="837"/>
        <v>0</v>
      </c>
      <c r="AN1106">
        <f t="shared" si="838"/>
        <v>0</v>
      </c>
      <c r="AO1106">
        <f t="shared" si="839"/>
        <v>0</v>
      </c>
      <c r="AP1106">
        <f t="shared" si="840"/>
        <v>0</v>
      </c>
      <c r="AQ1106">
        <f t="shared" si="841"/>
        <v>0</v>
      </c>
      <c r="AR1106">
        <f t="shared" si="842"/>
        <v>0</v>
      </c>
      <c r="AS1106">
        <f t="shared" si="843"/>
        <v>0</v>
      </c>
      <c r="AT1106" t="s">
        <v>4766</v>
      </c>
      <c r="AU1106" t="s">
        <v>4767</v>
      </c>
      <c r="AV1106" t="s">
        <v>4768</v>
      </c>
      <c r="AW1106" t="s">
        <v>4769</v>
      </c>
      <c r="AX1106" t="s">
        <v>4770</v>
      </c>
      <c r="AY1106" t="s">
        <v>4771</v>
      </c>
      <c r="AZ1106" t="s">
        <v>4772</v>
      </c>
      <c r="BA1106" t="s">
        <v>4773</v>
      </c>
      <c r="BB1106" t="s">
        <v>4774</v>
      </c>
      <c r="BC1106" t="s">
        <v>4775</v>
      </c>
      <c r="BD1106" t="s">
        <v>4776</v>
      </c>
      <c r="BE1106" t="s">
        <v>4777</v>
      </c>
      <c r="BF1106" t="s">
        <v>4778</v>
      </c>
      <c r="BG1106" t="s">
        <v>4779</v>
      </c>
      <c r="BH1106" t="s">
        <v>4780</v>
      </c>
      <c r="BI1106" t="s">
        <v>4781</v>
      </c>
      <c r="BJ1106" t="s">
        <v>4782</v>
      </c>
      <c r="BK1106" t="s">
        <v>4783</v>
      </c>
      <c r="BL1106" t="s">
        <v>4784</v>
      </c>
      <c r="BM1106" t="s">
        <v>4785</v>
      </c>
      <c r="BN1106" t="s">
        <v>4786</v>
      </c>
      <c r="BO1106" t="s">
        <v>4787</v>
      </c>
      <c r="BP1106" t="s">
        <v>4788</v>
      </c>
      <c r="BQ1106" t="s">
        <v>4789</v>
      </c>
      <c r="BR1106" t="s">
        <v>4790</v>
      </c>
      <c r="BS1106" t="s">
        <v>4791</v>
      </c>
      <c r="BT1106" t="s">
        <v>4792</v>
      </c>
      <c r="BU1106" t="s">
        <v>4793</v>
      </c>
      <c r="BV1106" t="s">
        <v>4794</v>
      </c>
      <c r="BW1106" t="s">
        <v>4795</v>
      </c>
      <c r="BX1106" t="s">
        <v>4796</v>
      </c>
      <c r="BY1106" t="s">
        <v>4797</v>
      </c>
      <c r="BZ1106" t="s">
        <v>4798</v>
      </c>
      <c r="CA1106" t="s">
        <v>4799</v>
      </c>
      <c r="CB1106" t="s">
        <v>4800</v>
      </c>
      <c r="CC1106" t="s">
        <v>4801</v>
      </c>
      <c r="CD1106" t="s">
        <v>4802</v>
      </c>
      <c r="CE1106" t="s">
        <v>4803</v>
      </c>
      <c r="CF1106" t="s">
        <v>4804</v>
      </c>
      <c r="CG1106" t="s">
        <v>4805</v>
      </c>
      <c r="CH1106" t="s">
        <v>4806</v>
      </c>
      <c r="CI1106" t="s">
        <v>4807</v>
      </c>
      <c r="CJ1106" t="s">
        <v>4808</v>
      </c>
      <c r="CK1106" t="s">
        <v>4809</v>
      </c>
      <c r="CL1106" t="s">
        <v>4810</v>
      </c>
    </row>
    <row r="1107" spans="1:90" ht="15" customHeight="1">
      <c r="A1107" s="103"/>
      <c r="B1107" s="57"/>
      <c r="C1107" s="1109"/>
      <c r="D1107" s="954"/>
      <c r="E1107" s="955"/>
      <c r="F1107" s="955"/>
      <c r="G1107" s="1117" t="s">
        <v>4811</v>
      </c>
      <c r="H1107" s="1118"/>
      <c r="I1107" s="1104" t="s">
        <v>4812</v>
      </c>
      <c r="J1107" s="1105"/>
      <c r="K1107" s="1105"/>
      <c r="L1107" s="1105"/>
      <c r="M1107" s="1105"/>
      <c r="N1107" s="1105"/>
      <c r="O1107" s="1105"/>
      <c r="P1107" s="1105"/>
      <c r="Q1107" s="1105"/>
      <c r="R1107" s="1105"/>
      <c r="S1107" s="1105"/>
      <c r="T1107" s="1105"/>
      <c r="U1107" s="1106"/>
      <c r="V1107" s="100"/>
      <c r="W1107" s="100"/>
      <c r="X1107" s="100"/>
      <c r="Y1107" s="100"/>
      <c r="Z1107" s="100"/>
      <c r="AA1107" s="100"/>
      <c r="AB1107" s="100"/>
      <c r="AC1107" s="100"/>
      <c r="AD1107" s="100"/>
      <c r="AF1107"/>
      <c r="AK1107">
        <f t="shared" si="835"/>
        <v>0</v>
      </c>
      <c r="AL1107">
        <f t="shared" si="836"/>
        <v>0</v>
      </c>
      <c r="AM1107">
        <f t="shared" si="837"/>
        <v>0</v>
      </c>
      <c r="AN1107">
        <f t="shared" si="838"/>
        <v>0</v>
      </c>
      <c r="AO1107">
        <f t="shared" si="839"/>
        <v>0</v>
      </c>
      <c r="AP1107">
        <f t="shared" si="840"/>
        <v>0</v>
      </c>
      <c r="AQ1107">
        <f t="shared" si="841"/>
        <v>0</v>
      </c>
      <c r="AR1107">
        <f t="shared" si="842"/>
        <v>0</v>
      </c>
      <c r="AS1107">
        <f t="shared" si="843"/>
        <v>0</v>
      </c>
      <c r="AT1107">
        <f>COUNTIF(V1108:V1113,"NS")</f>
        <v>0</v>
      </c>
      <c r="AU1107">
        <f>SUM(V1108:V1113)</f>
        <v>0</v>
      </c>
      <c r="AV1107">
        <f>IF(COUNTA(V1107:V1113)=0,0,IF(OR(AND(V1107=0,AT1107&gt;0),AND(V1107="ns",AU1107&gt;0),AND(V1107="ns",AT1107=0,AU1107=0)),1,IF(OR(AND(AT1107&gt;=2,V1107&gt;AU1107),AND(V1107="ns",AU1107=0,AT1107&gt;0),V1107=AU1107),0,1)))</f>
        <v>0</v>
      </c>
      <c r="AW1107">
        <f>COUNTIF(V1119:V1123,"NS")</f>
        <v>0</v>
      </c>
      <c r="AX1107">
        <f>SUM(V1119:V1123)</f>
        <v>0</v>
      </c>
      <c r="AY1107">
        <f>IF(COUNTA(V1118:V1123)=0,0,IF(OR(AND(V1118=0,AW1107&gt;0),AND(V1118="ns",AX1107&gt;0),AND(V1118="ns",AW1107=0,AX1107=0)),1,IF(OR(AND(AW1107&gt;=2,V1118&gt;AX1107),AND(V1118="ns",AX1107=0,AW1107&gt;0),V1118=AX1107),0,1)))</f>
        <v>0</v>
      </c>
      <c r="AZ1107">
        <f>COUNTIF(V1128:V1145,"NS")</f>
        <v>0</v>
      </c>
      <c r="BA1107">
        <f>SUM(V1128:V1145)</f>
        <v>0</v>
      </c>
      <c r="BB1107">
        <f>IF(COUNTA(V1127:V1145)=0,0,IF(OR(AND(V1127=0,AZ1107&gt;0),AND(V1127="ns",BA1107&gt;0),AND(V1127="ns",AZ1107=0,BA1107=0)),1,IF(OR(AND(AZ1107&gt;=2,V1127&gt;BA1107),AND(V1127="ns",BA1107=0,AZ1107&gt;0),V1127=BA1107),0,1)))</f>
        <v>0</v>
      </c>
      <c r="BC1107">
        <f>COUNTIF(V1147:V1151,"NS")</f>
        <v>0</v>
      </c>
      <c r="BD1107">
        <f>SUM(V1147:V1151)</f>
        <v>0</v>
      </c>
      <c r="BE1107">
        <f>IF(COUNTA(V1146:V1151)=0,0,IF(OR(AND(V1146=0,BC1107&gt;0),AND(V1146="ns",BD1107&gt;0),AND(V1146="ns",BC1107=0,BD1107=0)),1,IF(OR(AND(BC1107&gt;=2,V1146&gt;BD1107),AND(V1146="ns",BD1107=0,BC1107&gt;0),V1146=BD1107),0,1)))</f>
        <v>0</v>
      </c>
      <c r="BF1107">
        <f>COUNTIF(V1155:V1157,"NS")</f>
        <v>0</v>
      </c>
      <c r="BG1107">
        <f>SUM(V1155:V1157)</f>
        <v>0</v>
      </c>
      <c r="BH1107">
        <f>IF(COUNTA(V1154:V1157)=0,0,IF(OR(AND(V1154=0,BF1107&gt;0),AND(V1154="ns",BG1107&gt;0),AND(V1154="ns",BF1107=0,BG1107=0)),1,IF(OR(AND(BF1107&gt;=2,V1154&gt;BG1107),AND(V1154="ns",BG1107=0,BF1107&gt;0),V1154=BG1107),0,1)))</f>
        <v>0</v>
      </c>
      <c r="BI1107">
        <f>COUNTIF(V1165:V1171,"NS")</f>
        <v>0</v>
      </c>
      <c r="BJ1107">
        <f>SUM(V1165:V1171)</f>
        <v>0</v>
      </c>
      <c r="BK1107">
        <f>IF(COUNTA(V1164:V1171)=0,0,IF(OR(AND(V1164=0,BI1107&gt;0),AND(V1164="ns",BJ1107&gt;0),AND(V1164="ns",BI1107=0,BJ1107=0)),1,IF(OR(AND(BI1107&gt;=2,V1164&gt;BJ1107),AND(V1164="ns",BJ1107=0,BI1107&gt;0),V1164=BJ1107),0,1)))</f>
        <v>0</v>
      </c>
      <c r="BL1107">
        <f>COUNTIF(V1173:V1177,"NS")</f>
        <v>0</v>
      </c>
      <c r="BM1107">
        <f>SUM(V1173:V1177)</f>
        <v>0</v>
      </c>
      <c r="BN1107">
        <f>IF(COUNTA(V1172:V1177)=0,0,IF(OR(AND(V1172=0,BL1107&gt;0),AND(V1172="ns",BM1107&gt;0),AND(V1172="ns",BL1107=0,BM1107=0)),1,IF(OR(AND(BL1107&gt;=2,V1172&gt;BM1107),AND(V1172="ns",BM1107=0,BL1107&gt;0),V1172=BM1107),0,1)))</f>
        <v>0</v>
      </c>
      <c r="BO1107">
        <f>COUNTIF(V1183:V1188,"NS")</f>
        <v>0</v>
      </c>
      <c r="BP1107">
        <f>SUM(V1183:V1188)</f>
        <v>0</v>
      </c>
      <c r="BQ1107">
        <f>IF(COUNTA(V1182:V1188)=0,0,IF(OR(AND(V1182=0,BO1107&gt;0),AND(V1182="ns",BP1107&gt;0),AND(V1182="ns",BO1107=0,BP1107=0)),1,IF(OR(AND(BO1107&gt;=2,V1182&gt;BP1107),AND(V1182="ns",BP1107=0,BO1107&gt;0),V1182=BP1107),0,1)))</f>
        <v>0</v>
      </c>
      <c r="BR1107">
        <f>COUNTIF(V1190:V1197,"NS")</f>
        <v>0</v>
      </c>
      <c r="BS1107">
        <f>SUM(V1190:V1197)</f>
        <v>0</v>
      </c>
      <c r="BT1107">
        <f>IF(COUNTA(V1189:V1197)=0,0,IF(OR(AND(V1189=0,BR1107&gt;0),AND(V1189="ns",BS1107&gt;0),AND(V1189="ns",BR1107=0,BS1107=0)),1,IF(OR(AND(BR1107&gt;=2,V1189&gt;BS1107),AND(V1189="ns",BS1107=0,BR1107&gt;0),V1189=BS1107),0,1)))</f>
        <v>0</v>
      </c>
      <c r="BU1107">
        <f>COUNTIF(V1202:V1207,"NS")</f>
        <v>0</v>
      </c>
      <c r="BV1107">
        <f>SUM(V1202:V1207)</f>
        <v>0</v>
      </c>
      <c r="BW1107">
        <f>IF(COUNTA(V1201:V1207)=0,0,IF(OR(AND(V1201=0,BU1107&gt;0),AND(V1201="ns",BV1107&gt;0),AND(V1201="ns",BU1107=0,BV1107=0)),1,IF(OR(AND(BU1107&gt;=2,V1201&gt;BV1107),AND(V1201="ns",BV1107=0,BU1107&gt;0),V1201=BV1107),0,1)))</f>
        <v>0</v>
      </c>
      <c r="BX1107">
        <f>COUNTIF(V1212:V1220,"NS")</f>
        <v>0</v>
      </c>
      <c r="BY1107">
        <f>SUM(V1212:V1220)</f>
        <v>0</v>
      </c>
      <c r="BZ1107">
        <f>IF(COUNTA(V1211:V1220)=0,0,IF(OR(AND(V1211=0,BX1107&gt;0),AND(V1211="ns",BY1107&gt;0),AND(V1211="ns",BX1107=0,BY1107=0)),1,IF(OR(AND(BX1107&gt;=2,V1211&gt;BY1107),AND(V1211="ns",BY1107=0,BX1107&gt;0),V1211=BY1107),0,1)))</f>
        <v>0</v>
      </c>
      <c r="CA1107">
        <f>COUNTIF(V1222:V1224,"NS")</f>
        <v>0</v>
      </c>
      <c r="CB1107">
        <f>SUM(V1222:V1224)</f>
        <v>0</v>
      </c>
      <c r="CC1107">
        <f>IF(COUNTA(V1221:V1224)=0,0,IF(OR(AND(V1221=0,CA1107&gt;0),AND(V1221="ns",CB1107&gt;0),AND(V1221="ns",CA1107=0,CB1107=0)),1,IF(OR(AND(CA1107&gt;=2,V1221&gt;CB1107),AND(V1221="ns",CB1107=0,CA1107&gt;0),V1221=CB1107),0,1)))</f>
        <v>0</v>
      </c>
      <c r="CD1107">
        <f>COUNTIF(V1233:V1239,"NS")</f>
        <v>0</v>
      </c>
      <c r="CE1107">
        <f>SUM(V1233:V1239)</f>
        <v>0</v>
      </c>
      <c r="CF1107">
        <f>IF(COUNTA(V1232:V1239)=0,0,IF(OR(AND(V1232=0,CD1107&gt;0),AND(V1232="ns",CE1107&gt;0),AND(V1232="ns",CD1107=0,CE1107=0)),1,IF(OR(AND(CD1107&gt;=2,V1232&gt;CE1107),AND(V1232="ns",CE1107=0,CD1107&gt;0),V1232=CE1107),0,1)))</f>
        <v>0</v>
      </c>
      <c r="CG1107">
        <f>COUNTIF(V1242:V1244,"NS")</f>
        <v>0</v>
      </c>
      <c r="CH1107">
        <f>SUM(V1242:V1244)</f>
        <v>0</v>
      </c>
      <c r="CI1107">
        <f>IF(COUNTA(V1241:V1244)=0,0,IF(OR(AND(V1241=0,CG1107&gt;0),AND(V1241="ns",CH1107&gt;0),AND(V1241="ns",CG1107=0,CH1107=0)),1,IF(OR(AND(CG1107&gt;=2,V1241&gt;CH1107),AND(V1241="ns",CH1107=0,CG1107&gt;0),V1241=CH1107),0,1)))</f>
        <v>0</v>
      </c>
      <c r="CJ1107">
        <f>COUNTIF(V1254:V1258,"NS")</f>
        <v>0</v>
      </c>
      <c r="CK1107">
        <f>SUM(V1254:V1258)</f>
        <v>0</v>
      </c>
      <c r="CL1107">
        <f>IF(COUNTA(V1253:V1258)=0,0,IF(OR(AND(V1253=0,CJ1107&gt;0),AND(V1253="ns",CK1107&gt;0),AND(V1253="ns",CJ1107=0,CK1107=0)),1,IF(OR(AND(CJ1107&gt;=2,V1253&gt;CK1107),AND(V1253="ns",CK1107=0,CJ1107&gt;0),V1253=CK1107),0,1)))</f>
        <v>0</v>
      </c>
    </row>
    <row r="1108" spans="1:90" ht="15" customHeight="1">
      <c r="A1108" s="103"/>
      <c r="B1108" s="57"/>
      <c r="C1108" s="1109"/>
      <c r="D1108" s="954"/>
      <c r="E1108" s="955"/>
      <c r="F1108" s="955"/>
      <c r="G1108" s="1119" t="s">
        <v>4813</v>
      </c>
      <c r="H1108" s="1120"/>
      <c r="I1108" s="177"/>
      <c r="J1108" s="1115" t="s">
        <v>4814</v>
      </c>
      <c r="K1108" s="1115"/>
      <c r="L1108" s="1115"/>
      <c r="M1108" s="1115"/>
      <c r="N1108" s="1115"/>
      <c r="O1108" s="1115"/>
      <c r="P1108" s="1115"/>
      <c r="Q1108" s="1115"/>
      <c r="R1108" s="1115"/>
      <c r="S1108" s="1115"/>
      <c r="T1108" s="1115"/>
      <c r="U1108" s="1116"/>
      <c r="V1108" s="100"/>
      <c r="W1108" s="100"/>
      <c r="X1108" s="100"/>
      <c r="Y1108" s="100"/>
      <c r="Z1108" s="100"/>
      <c r="AA1108" s="100"/>
      <c r="AB1108" s="100"/>
      <c r="AC1108" s="100"/>
      <c r="AD1108" s="100"/>
      <c r="AF1108"/>
      <c r="AK1108">
        <f t="shared" si="835"/>
        <v>0</v>
      </c>
      <c r="AL1108">
        <f t="shared" si="836"/>
        <v>0</v>
      </c>
      <c r="AM1108">
        <f t="shared" si="837"/>
        <v>0</v>
      </c>
      <c r="AN1108">
        <f t="shared" si="838"/>
        <v>0</v>
      </c>
      <c r="AO1108">
        <f t="shared" si="839"/>
        <v>0</v>
      </c>
      <c r="AP1108">
        <f t="shared" si="840"/>
        <v>0</v>
      </c>
      <c r="AQ1108">
        <f t="shared" si="841"/>
        <v>0</v>
      </c>
      <c r="AR1108">
        <f t="shared" si="842"/>
        <v>0</v>
      </c>
      <c r="AS1108">
        <f t="shared" si="843"/>
        <v>0</v>
      </c>
      <c r="AT1108">
        <f>COUNTIF(W1108:W1113,"NS")</f>
        <v>0</v>
      </c>
      <c r="AU1108">
        <f>SUM(W1108:W1113)</f>
        <v>0</v>
      </c>
      <c r="AV1108">
        <f>IF(COUNTA(W1107:W1113)=0,0,IF(OR(AND(W1107=0,AT1108&gt;0),AND(W1107="ns",AU1108&gt;0),AND(W1107="ns",AT1108=0,AU1108=0)),1,IF(OR(AND(AT1108&gt;=2,W1107&gt;AU1108),AND(W1107="ns",AU1108=0,AT1108&gt;0),W1107=AU1108),0,1)))</f>
        <v>0</v>
      </c>
      <c r="AW1108">
        <f>COUNTIF(W1119:W1123,"NS")</f>
        <v>0</v>
      </c>
      <c r="AX1108">
        <f>SUM(W1119:W1123)</f>
        <v>0</v>
      </c>
      <c r="AY1108">
        <f>IF(COUNTA(W1118:W1123)=0,0,IF(OR(AND(W1118=0,AW1108&gt;0),AND(W1118="ns",AX1108&gt;0),AND(W1118="ns",AW1108=0,AX1108=0)),1,IF(OR(AND(AW1108&gt;=2,W1118&gt;AX1108),AND(W1118="ns",AX1108=0,AW1108&gt;0),W1118=AX1108),0,1)))</f>
        <v>0</v>
      </c>
      <c r="AZ1108">
        <f>COUNTIF(W1128:W1145,"NS")</f>
        <v>0</v>
      </c>
      <c r="BA1108">
        <f>SUM(W1128:W1145)</f>
        <v>0</v>
      </c>
      <c r="BB1108">
        <f>IF(COUNTA(W1127:W1145)=0,0,IF(OR(AND(W1127=0,AZ1108&gt;0),AND(W1127="ns",BA1108&gt;0),AND(W1127="ns",AZ1108=0,BA1108=0)),1,IF(OR(AND(AZ1108&gt;=2,W1127&gt;BA1108),AND(W1127="ns",BA1108=0,AZ1108&gt;0),W1127=BA1108),0,1)))</f>
        <v>0</v>
      </c>
      <c r="BC1108">
        <f>COUNTIF(W1147:W1151,"NS")</f>
        <v>0</v>
      </c>
      <c r="BD1108">
        <f>SUM(W1147:W1151)</f>
        <v>0</v>
      </c>
      <c r="BE1108">
        <f>IF(COUNTA(W1146:W1151)=0,0,IF(OR(AND(W1146=0,BC1108&gt;0),AND(W1146="ns",BD1108&gt;0),AND(W1146="ns",BC1108=0,BD1108=0)),1,IF(OR(AND(BC1108&gt;=2,W1146&gt;BD1108),AND(W1146="ns",BD1108=0,BC1108&gt;0),W1146=BD1108),0,1)))</f>
        <v>0</v>
      </c>
      <c r="BF1108">
        <f>COUNTIF(W1155:W1157,"NS")</f>
        <v>0</v>
      </c>
      <c r="BG1108">
        <f>SUM(W1155:W1157)</f>
        <v>0</v>
      </c>
      <c r="BH1108">
        <f>IF(COUNTA(W1154:W1157)=0,0,IF(OR(AND(W1154=0,BF1108&gt;0),AND(W1154="ns",BG1108&gt;0),AND(W1154="ns",BF1108=0,BG1108=0)),1,IF(OR(AND(BF1108&gt;=2,W1154&gt;BG1108),AND(W1154="ns",BG1108=0,BF1108&gt;0),W1154=BG1108),0,1)))</f>
        <v>0</v>
      </c>
      <c r="BI1108">
        <f>COUNTIF(W1165:W1171,"NS")</f>
        <v>0</v>
      </c>
      <c r="BJ1108">
        <f>SUM(W1165:W1171)</f>
        <v>0</v>
      </c>
      <c r="BK1108">
        <f>IF(COUNTA(W1164:W1171)=0,0,IF(OR(AND(W1164=0,BI1108&gt;0),AND(W1164="ns",BJ1108&gt;0),AND(W1164="ns",BI1108=0,BJ1108=0)),1,IF(OR(AND(BI1108&gt;=2,W1164&gt;BJ1108),AND(W1164="ns",BJ1108=0,BI1108&gt;0),W1164=BJ1108),0,1)))</f>
        <v>0</v>
      </c>
      <c r="BL1108">
        <f>COUNTIF(W1173:W1177,"NS")</f>
        <v>0</v>
      </c>
      <c r="BM1108">
        <f>SUM(W1173:W1177)</f>
        <v>0</v>
      </c>
      <c r="BN1108">
        <f>IF(COUNTA(W1172:W1177)=0,0,IF(OR(AND(W1172=0,BL1108&gt;0),AND(W1172="ns",BM1108&gt;0),AND(W1172="ns",BL1108=0,BM1108=0)),1,IF(OR(AND(BL1108&gt;=2,W1172&gt;BM1108),AND(W1172="ns",BM1108=0,BL1108&gt;0),W1172=BM1108),0,1)))</f>
        <v>0</v>
      </c>
      <c r="BO1108">
        <f>COUNTIF(W1183:W1188,"NS")</f>
        <v>0</v>
      </c>
      <c r="BP1108">
        <f>SUM(W1183:W1188)</f>
        <v>0</v>
      </c>
      <c r="BQ1108">
        <f>IF(COUNTA(W1182:W1188)=0,0,IF(OR(AND(W1182=0,BO1108&gt;0),AND(W1182="ns",BP1108&gt;0),AND(W1182="ns",BO1108=0,BP1108=0)),1,IF(OR(AND(BO1108&gt;=2,W1182&gt;BP1108),AND(W1182="ns",BP1108=0,BO1108&gt;0),W1182=BP1108),0,1)))</f>
        <v>0</v>
      </c>
      <c r="BR1108">
        <f>COUNTIF(W1190:W1197,"NS")</f>
        <v>0</v>
      </c>
      <c r="BS1108">
        <f>SUM(W1190:W1197)</f>
        <v>0</v>
      </c>
      <c r="BT1108">
        <f>IF(COUNTA(W1189:W1197)=0,0,IF(OR(AND(W1189=0,BR1108&gt;0),AND(W1189="ns",BS1108&gt;0),AND(W1189="ns",BR1108=0,BS1108=0)),1,IF(OR(AND(BR1108&gt;=2,W1189&gt;BS1108),AND(W1189="ns",BS1108=0,BR1108&gt;0),W1189=BS1108),0,1)))</f>
        <v>0</v>
      </c>
      <c r="BU1108">
        <f>COUNTIF(W1202:W1207,"NS")</f>
        <v>0</v>
      </c>
      <c r="BV1108">
        <f>SUM(W1202:W1207)</f>
        <v>0</v>
      </c>
      <c r="BW1108">
        <f>IF(COUNTA(W1201:W1207)=0,0,IF(OR(AND(W1201=0,BU1108&gt;0),AND(W1201="ns",BV1108&gt;0),AND(W1201="ns",BU1108=0,BV1108=0)),1,IF(OR(AND(BU1108&gt;=2,W1201&gt;BV1108),AND(W1201="ns",BV1108=0,BU1108&gt;0),W1201=BV1108),0,1)))</f>
        <v>0</v>
      </c>
      <c r="BX1108">
        <f>COUNTIF(W1212:W1220,"NS")</f>
        <v>0</v>
      </c>
      <c r="BY1108">
        <f>SUM(W1212:W1220)</f>
        <v>0</v>
      </c>
      <c r="BZ1108">
        <f>IF(COUNTA(W1211:W1220)=0,0,IF(OR(AND(W1211=0,BX1108&gt;0),AND(W1211="ns",BY1108&gt;0),AND(W1211="ns",BX1108=0,BY1108=0)),1,IF(OR(AND(BX1108&gt;=2,W1211&gt;BY1108),AND(W1211="ns",BY1108=0,BX1108&gt;0),W1211=BY1108),0,1)))</f>
        <v>0</v>
      </c>
      <c r="CA1108">
        <f>COUNTIF(W1222:W1224,"NS")</f>
        <v>0</v>
      </c>
      <c r="CB1108">
        <f>SUM(W1222:W1224)</f>
        <v>0</v>
      </c>
      <c r="CC1108">
        <f>IF(COUNTA(W1221:W1224)=0,0,IF(OR(AND(W1221=0,CA1108&gt;0),AND(W1221="ns",CB1108&gt;0),AND(W1221="ns",CA1108=0,CB1108=0)),1,IF(OR(AND(CA1108&gt;=2,W1221&gt;CB1108),AND(W1221="ns",CB1108=0,CA1108&gt;0),W1221=CB1108),0,1)))</f>
        <v>0</v>
      </c>
      <c r="CD1108">
        <f>COUNTIF(W1233:W1239,"NS")</f>
        <v>0</v>
      </c>
      <c r="CE1108">
        <f>SUM(W1233:W1239)</f>
        <v>0</v>
      </c>
      <c r="CF1108">
        <f>IF(COUNTA(W1232:W1239)=0,0,IF(OR(AND(W1232=0,CD1108&gt;0),AND(W1232="ns",CE1108&gt;0),AND(W1232="ns",CD1108=0,CE1108=0)),1,IF(OR(AND(CD1108&gt;=2,W1232&gt;CE1108),AND(W1232="ns",CE1108=0,CD1108&gt;0),W1232=CE1108),0,1)))</f>
        <v>0</v>
      </c>
      <c r="CG1108">
        <f>COUNTIF(W1242:W1244,"NS")</f>
        <v>0</v>
      </c>
      <c r="CH1108">
        <f>SUM(W1242:W1244)</f>
        <v>0</v>
      </c>
      <c r="CI1108">
        <f>IF(COUNTA(W1241:W1244)=0,0,IF(OR(AND(W1241=0,CG1108&gt;0),AND(W1241="ns",CH1108&gt;0),AND(W1241="ns",CG1108=0,CH1108=0)),1,IF(OR(AND(CG1108&gt;=2,W1241&gt;CH1108),AND(W1241="ns",CH1108=0,CG1108&gt;0),W1241=CH1108),0,1)))</f>
        <v>0</v>
      </c>
      <c r="CJ1108">
        <f>COUNTIF(W1254:W1258,"NS")</f>
        <v>0</v>
      </c>
      <c r="CK1108">
        <f>SUM(W1254:W1258)</f>
        <v>0</v>
      </c>
      <c r="CL1108">
        <f>IF(COUNTA(W1253:W1258)=0,0,IF(OR(AND(W1253=0,CJ1108&gt;0),AND(W1253="ns",CK1108&gt;0),AND(W1253="ns",CJ1108=0,CK1108=0)),1,IF(OR(AND(CJ1108&gt;=2,W1253&gt;CK1108),AND(W1253="ns",CK1108=0,CJ1108&gt;0),W1253=CK1108),0,1)))</f>
        <v>0</v>
      </c>
    </row>
    <row r="1109" spans="1:90" ht="15" customHeight="1">
      <c r="A1109" s="103"/>
      <c r="B1109" s="57"/>
      <c r="C1109" s="1109"/>
      <c r="D1109" s="954"/>
      <c r="E1109" s="955"/>
      <c r="F1109" s="955"/>
      <c r="G1109" s="1119" t="s">
        <v>4815</v>
      </c>
      <c r="H1109" s="1120"/>
      <c r="I1109" s="178"/>
      <c r="J1109" s="1111" t="s">
        <v>4816</v>
      </c>
      <c r="K1109" s="1111"/>
      <c r="L1109" s="1111"/>
      <c r="M1109" s="1111"/>
      <c r="N1109" s="1111"/>
      <c r="O1109" s="1111"/>
      <c r="P1109" s="1111"/>
      <c r="Q1109" s="1111"/>
      <c r="R1109" s="1111"/>
      <c r="S1109" s="1111"/>
      <c r="T1109" s="1111"/>
      <c r="U1109" s="1112"/>
      <c r="V1109" s="100"/>
      <c r="W1109" s="100"/>
      <c r="X1109" s="100"/>
      <c r="Y1109" s="100"/>
      <c r="Z1109" s="100"/>
      <c r="AA1109" s="100"/>
      <c r="AB1109" s="100"/>
      <c r="AC1109" s="100"/>
      <c r="AD1109" s="100"/>
      <c r="AF1109"/>
      <c r="AK1109">
        <f t="shared" si="835"/>
        <v>0</v>
      </c>
      <c r="AL1109">
        <f t="shared" si="836"/>
        <v>0</v>
      </c>
      <c r="AM1109">
        <f t="shared" si="837"/>
        <v>0</v>
      </c>
      <c r="AN1109">
        <f t="shared" si="838"/>
        <v>0</v>
      </c>
      <c r="AO1109">
        <f t="shared" si="839"/>
        <v>0</v>
      </c>
      <c r="AP1109">
        <f t="shared" si="840"/>
        <v>0</v>
      </c>
      <c r="AQ1109">
        <f t="shared" si="841"/>
        <v>0</v>
      </c>
      <c r="AR1109">
        <f t="shared" si="842"/>
        <v>0</v>
      </c>
      <c r="AS1109">
        <f t="shared" si="843"/>
        <v>0</v>
      </c>
      <c r="AT1109">
        <f>COUNTIF(X1108:X1113,"NS")</f>
        <v>0</v>
      </c>
      <c r="AU1109">
        <f>SUM(X1108:X1113)</f>
        <v>0</v>
      </c>
      <c r="AV1109">
        <f>IF(COUNTA(X1107:X1113)=0,0,IF(OR(AND(X1107=0,AT1109&gt;0),AND(X1107="ns",AU1109&gt;0),AND(X1107="ns",AT1109=0,AU1109=0)),1,IF(OR(AND(AT1109&gt;=2,X1107&gt;AU1109),AND(X1107="ns",AU1109=0,AT1109&gt;0),X1107=AU1109),0,1)))</f>
        <v>0</v>
      </c>
      <c r="AW1109">
        <f>COUNTIF(X1119:X1123,"NS")</f>
        <v>0</v>
      </c>
      <c r="AX1109">
        <f>SUM(X1119:X1123)</f>
        <v>0</v>
      </c>
      <c r="AY1109">
        <f>IF(COUNTA(X1118:X1123)=0,0,IF(OR(AND(X1118=0,AW1109&gt;0),AND(X1118="ns",AX1109&gt;0),AND(X1118="ns",AW1109=0,AX1109=0)),1,IF(OR(AND(AW1109&gt;=2,X1118&gt;AX1109),AND(X1118="ns",AX1109=0,AW1109&gt;0),X1118=AX1109),0,1)))</f>
        <v>0</v>
      </c>
      <c r="AZ1109">
        <f>COUNTIF(X1128:X1145,"NS")</f>
        <v>0</v>
      </c>
      <c r="BA1109">
        <f>SUM(X1128:X1145)</f>
        <v>0</v>
      </c>
      <c r="BB1109">
        <f>IF(COUNTA(X1127:X1145)=0,0,IF(OR(AND(X1127=0,AZ1109&gt;0),AND(X1127="ns",BA1109&gt;0),AND(X1127="ns",AZ1109=0,BA1109=0)),1,IF(OR(AND(AZ1109&gt;=2,X1127&gt;BA1109),AND(X1127="ns",BA1109=0,AZ1109&gt;0),X1127=BA1109),0,1)))</f>
        <v>0</v>
      </c>
      <c r="BC1109">
        <f>COUNTIF(X1147:X1151,"NS")</f>
        <v>0</v>
      </c>
      <c r="BD1109">
        <f>SUM(X1147:X1151)</f>
        <v>0</v>
      </c>
      <c r="BE1109">
        <f>IF(COUNTA(X1146:X1151)=0,0,IF(OR(AND(X1146=0,BC1109&gt;0),AND(X1146="ns",BD1109&gt;0),AND(X1146="ns",BC1109=0,BD1109=0)),1,IF(OR(AND(BC1109&gt;=2,X1146&gt;BD1109),AND(X1146="ns",BD1109=0,BC1109&gt;0),X1146=BD1109),0,1)))</f>
        <v>0</v>
      </c>
      <c r="BF1109">
        <f>COUNTIF(X1155:X1157,"NS")</f>
        <v>0</v>
      </c>
      <c r="BG1109">
        <f>SUM(X1155:X1157)</f>
        <v>0</v>
      </c>
      <c r="BH1109">
        <f>IF(COUNTA(X1154:X1157)=0,0,IF(OR(AND(X1154=0,BF1109&gt;0),AND(X1154="ns",BG1109&gt;0),AND(X1154="ns",BF1109=0,BG1109=0)),1,IF(OR(AND(BF1109&gt;=2,X1154&gt;BG1109),AND(X1154="ns",BG1109=0,BF1109&gt;0),X1154=BG1109),0,1)))</f>
        <v>0</v>
      </c>
      <c r="BI1109">
        <f>COUNTIF(X1165:X1171,"NS")</f>
        <v>0</v>
      </c>
      <c r="BJ1109">
        <f>SUM(X1165:X1171)</f>
        <v>0</v>
      </c>
      <c r="BK1109">
        <f>IF(COUNTA(X1164:X1171)=0,0,IF(OR(AND(X1164=0,BI1109&gt;0),AND(X1164="ns",BJ1109&gt;0),AND(X1164="ns",BI1109=0,BJ1109=0)),1,IF(OR(AND(BI1109&gt;=2,X1164&gt;BJ1109),AND(X1164="ns",BJ1109=0,BI1109&gt;0),X1164=BJ1109),0,1)))</f>
        <v>0</v>
      </c>
      <c r="BL1109">
        <f>COUNTIF(X1173:X1177,"NS")</f>
        <v>0</v>
      </c>
      <c r="BM1109">
        <f>SUM(X1173:X1177)</f>
        <v>0</v>
      </c>
      <c r="BN1109">
        <f>IF(COUNTA(X1172:X1177)=0,0,IF(OR(AND(X1172=0,BL1109&gt;0),AND(X1172="ns",BM1109&gt;0),AND(X1172="ns",BL1109=0,BM1109=0)),1,IF(OR(AND(BL1109&gt;=2,X1172&gt;BM1109),AND(X1172="ns",BM1109=0,BL1109&gt;0),X1172=BM1109),0,1)))</f>
        <v>0</v>
      </c>
      <c r="BO1109">
        <f>COUNTIF(X1183:X1188,"NS")</f>
        <v>0</v>
      </c>
      <c r="BP1109">
        <f>SUM(X1183:X1188)</f>
        <v>0</v>
      </c>
      <c r="BQ1109">
        <f>IF(COUNTA(X1182:X1188)=0,0,IF(OR(AND(X1182=0,BO1109&gt;0),AND(X1182="ns",BP1109&gt;0),AND(X1182="ns",BO1109=0,BP1109=0)),1,IF(OR(AND(BO1109&gt;=2,X1182&gt;BP1109),AND(X1182="ns",BP1109=0,BO1109&gt;0),X1182=BP1109),0,1)))</f>
        <v>0</v>
      </c>
      <c r="BR1109">
        <f>COUNTIF(X1190:X1197,"NS")</f>
        <v>0</v>
      </c>
      <c r="BS1109">
        <f>SUM(X1190:X1197)</f>
        <v>0</v>
      </c>
      <c r="BT1109">
        <f>IF(COUNTA(X1189:X1197)=0,0,IF(OR(AND(X1189=0,BR1109&gt;0),AND(X1189="ns",BS1109&gt;0),AND(X1189="ns",BR1109=0,BS1109=0)),1,IF(OR(AND(BR1109&gt;=2,X1189&gt;BS1109),AND(X1189="ns",BS1109=0,BR1109&gt;0),X1189=BS1109),0,1)))</f>
        <v>0</v>
      </c>
      <c r="BU1109">
        <f>COUNTIF(X1202:X1207,"NS")</f>
        <v>0</v>
      </c>
      <c r="BV1109">
        <f>SUM(X1202:X1207)</f>
        <v>0</v>
      </c>
      <c r="BW1109">
        <f>IF(COUNTA(X1201:X1207)=0,0,IF(OR(AND(X1201=0,BU1109&gt;0),AND(X1201="ns",BV1109&gt;0),AND(X1201="ns",BU1109=0,BV1109=0)),1,IF(OR(AND(BU1109&gt;=2,X1201&gt;BV1109),AND(X1201="ns",BV1109=0,BU1109&gt;0),X1201=BV1109),0,1)))</f>
        <v>0</v>
      </c>
      <c r="BX1109">
        <f>COUNTIF(X1212:X1220,"NS")</f>
        <v>0</v>
      </c>
      <c r="BY1109">
        <f>SUM(X1212:X1220)</f>
        <v>0</v>
      </c>
      <c r="BZ1109">
        <f>IF(COUNTA(X1211:X1220)=0,0,IF(OR(AND(X1211=0,BX1109&gt;0),AND(X1211="ns",BY1109&gt;0),AND(X1211="ns",BX1109=0,BY1109=0)),1,IF(OR(AND(BX1109&gt;=2,X1211&gt;BY1109),AND(X1211="ns",BY1109=0,BX1109&gt;0),X1211=BY1109),0,1)))</f>
        <v>0</v>
      </c>
      <c r="CA1109">
        <f>COUNTIF(X1222:X1224,"NS")</f>
        <v>0</v>
      </c>
      <c r="CB1109">
        <f>SUM(X1222:X1224)</f>
        <v>0</v>
      </c>
      <c r="CC1109">
        <f>IF(COUNTA(X1221:X1224)=0,0,IF(OR(AND(X1221=0,CA1109&gt;0),AND(X1221="ns",CB1109&gt;0),AND(X1221="ns",CA1109=0,CB1109=0)),1,IF(OR(AND(CA1109&gt;=2,X1221&gt;CB1109),AND(X1221="ns",CB1109=0,CA1109&gt;0),X1221=CB1109),0,1)))</f>
        <v>0</v>
      </c>
      <c r="CD1109">
        <f>COUNTIF(X1233:X1239,"NS")</f>
        <v>0</v>
      </c>
      <c r="CE1109">
        <f>SUM(X1233:X1239)</f>
        <v>0</v>
      </c>
      <c r="CF1109">
        <f>IF(COUNTA(X1232:X1239)=0,0,IF(OR(AND(X1232=0,CD1109&gt;0),AND(X1232="ns",CE1109&gt;0),AND(X1232="ns",CD1109=0,CE1109=0)),1,IF(OR(AND(CD1109&gt;=2,X1232&gt;CE1109),AND(X1232="ns",CE1109=0,CD1109&gt;0),X1232=CE1109),0,1)))</f>
        <v>0</v>
      </c>
      <c r="CG1109">
        <f>COUNTIF(X1242:X1244,"NS")</f>
        <v>0</v>
      </c>
      <c r="CH1109">
        <f>SUM(X1242:X1244)</f>
        <v>0</v>
      </c>
      <c r="CI1109">
        <f>IF(COUNTA(X1241:X1244)=0,0,IF(OR(AND(X1241=0,CG1109&gt;0),AND(X1241="ns",CH1109&gt;0),AND(X1241="ns",CG1109=0,CH1109=0)),1,IF(OR(AND(CG1109&gt;=2,X1241&gt;CH1109),AND(X1241="ns",CH1109=0,CG1109&gt;0),X1241=CH1109),0,1)))</f>
        <v>0</v>
      </c>
      <c r="CJ1109">
        <f>COUNTIF(X1254:X1258,"NS")</f>
        <v>0</v>
      </c>
      <c r="CK1109">
        <f>SUM(X1254:X1258)</f>
        <v>0</v>
      </c>
      <c r="CL1109">
        <f>IF(COUNTA(X1253:X1258)=0,0,IF(OR(AND(X1253=0,CJ1109&gt;0),AND(X1253="ns",CK1109&gt;0),AND(X1253="ns",CJ1109=0,CK1109=0)),1,IF(OR(AND(CJ1109&gt;=2,X1253&gt;CK1109),AND(X1253="ns",CK1109=0,CJ1109&gt;0),X1253=CK1109),0,1)))</f>
        <v>0</v>
      </c>
    </row>
    <row r="1110" spans="1:90" ht="15" customHeight="1">
      <c r="A1110" s="103"/>
      <c r="B1110" s="57"/>
      <c r="C1110" s="1109"/>
      <c r="D1110" s="954"/>
      <c r="E1110" s="955"/>
      <c r="F1110" s="955"/>
      <c r="G1110" s="1119" t="s">
        <v>4817</v>
      </c>
      <c r="H1110" s="1120"/>
      <c r="I1110" s="178"/>
      <c r="J1110" s="1111" t="s">
        <v>4818</v>
      </c>
      <c r="K1110" s="1111"/>
      <c r="L1110" s="1111"/>
      <c r="M1110" s="1111"/>
      <c r="N1110" s="1111"/>
      <c r="O1110" s="1111"/>
      <c r="P1110" s="1111"/>
      <c r="Q1110" s="1111"/>
      <c r="R1110" s="1111"/>
      <c r="S1110" s="1111"/>
      <c r="T1110" s="1111"/>
      <c r="U1110" s="1112"/>
      <c r="V1110" s="100"/>
      <c r="W1110" s="100"/>
      <c r="X1110" s="100"/>
      <c r="Y1110" s="100"/>
      <c r="Z1110" s="100"/>
      <c r="AA1110" s="100"/>
      <c r="AB1110" s="100"/>
      <c r="AC1110" s="100"/>
      <c r="AD1110" s="100"/>
      <c r="AF1110"/>
      <c r="AK1110">
        <f t="shared" si="835"/>
        <v>0</v>
      </c>
      <c r="AL1110">
        <f t="shared" si="836"/>
        <v>0</v>
      </c>
      <c r="AM1110">
        <f t="shared" si="837"/>
        <v>0</v>
      </c>
      <c r="AN1110">
        <f t="shared" si="838"/>
        <v>0</v>
      </c>
      <c r="AO1110">
        <f t="shared" si="839"/>
        <v>0</v>
      </c>
      <c r="AP1110">
        <f t="shared" si="840"/>
        <v>0</v>
      </c>
      <c r="AQ1110">
        <f t="shared" si="841"/>
        <v>0</v>
      </c>
      <c r="AR1110">
        <f t="shared" si="842"/>
        <v>0</v>
      </c>
      <c r="AS1110">
        <f t="shared" si="843"/>
        <v>0</v>
      </c>
      <c r="AT1110">
        <f>COUNTIF(Y1108:Y1113,"NS")</f>
        <v>0</v>
      </c>
      <c r="AU1110">
        <f>SUM(Y1108:Y1113)</f>
        <v>0</v>
      </c>
      <c r="AV1110">
        <f>IF(COUNTA(Y1107:Y1113)=0,0,IF(OR(AND(Y1107=0,AT1110&gt;0),AND(Y1107="ns",AU1110&gt;0),AND(Y1107="ns",AT1110=0,AU1110=0)),1,IF(OR(AND(AT1110&gt;=2,Y1107&gt;AU1110),AND(Y1107="ns",AU1110=0,AT1110&gt;0),Y1107=AU1110),0,1)))</f>
        <v>0</v>
      </c>
      <c r="AW1110">
        <f>COUNTIF(Y1119:Y1123,"NS")</f>
        <v>0</v>
      </c>
      <c r="AX1110">
        <f>SUM(Y1119:Y1123)</f>
        <v>0</v>
      </c>
      <c r="AY1110">
        <f>IF(COUNTA(Y1118:Y1123)=0,0,IF(OR(AND(Y1118=0,AW1110&gt;0),AND(Y1118="ns",AX1110&gt;0),AND(Y1118="ns",AW1110=0,AX1110=0)),1,IF(OR(AND(AW1110&gt;=2,Y1118&gt;AX1110),AND(Y1118="ns",AX1110=0,AW1110&gt;0),Y1118=AX1110),0,1)))</f>
        <v>0</v>
      </c>
      <c r="AZ1110">
        <f>COUNTIF(Y1128:Y1145,"NS")</f>
        <v>0</v>
      </c>
      <c r="BA1110">
        <f>SUM(Y1128:Y1145)</f>
        <v>0</v>
      </c>
      <c r="BB1110">
        <f>IF(COUNTA(Y1127:Y1145)=0,0,IF(OR(AND(Y1127=0,AZ1110&gt;0),AND(Y1127="ns",BA1110&gt;0),AND(Y1127="ns",AZ1110=0,BA1110=0)),1,IF(OR(AND(AZ1110&gt;=2,Y1127&gt;BA1110),AND(Y1127="ns",BA1110=0,AZ1110&gt;0),Y1127=BA1110),0,1)))</f>
        <v>0</v>
      </c>
      <c r="BC1110">
        <f>COUNTIF(Y1147:Y1151,"NS")</f>
        <v>0</v>
      </c>
      <c r="BD1110">
        <f>SUM(Y1147:Y1151)</f>
        <v>0</v>
      </c>
      <c r="BE1110">
        <f>IF(COUNTA(Y1146:Y1151)=0,0,IF(OR(AND(Y1146=0,BC1110&gt;0),AND(Y1146="ns",BD1110&gt;0),AND(Y1146="ns",BC1110=0,BD1110=0)),1,IF(OR(AND(BC1110&gt;=2,Y1146&gt;BD1110),AND(Y1146="ns",BD1110=0,BC1110&gt;0),Y1146=BD1110),0,1)))</f>
        <v>0</v>
      </c>
      <c r="BF1110">
        <f>COUNTIF(Y1155:Y1157,"NS")</f>
        <v>0</v>
      </c>
      <c r="BG1110">
        <f>SUM(Y1155:Y1157)</f>
        <v>0</v>
      </c>
      <c r="BH1110">
        <f>IF(COUNTA(Y1154:Y1157)=0,0,IF(OR(AND(Y1154=0,BF1110&gt;0),AND(Y1154="ns",BG1110&gt;0),AND(Y1154="ns",BF1110=0,BG1110=0)),1,IF(OR(AND(BF1110&gt;=2,Y1154&gt;BG1110),AND(Y1154="ns",BG1110=0,BF1110&gt;0),Y1154=BG1110),0,1)))</f>
        <v>0</v>
      </c>
      <c r="BI1110">
        <f>COUNTIF(Y1165:Y1171,"NS")</f>
        <v>0</v>
      </c>
      <c r="BJ1110">
        <f>SUM(Y1165:Y1171)</f>
        <v>0</v>
      </c>
      <c r="BK1110">
        <f>IF(COUNTA(Y1164:Y1171)=0,0,IF(OR(AND(Y1164=0,BI1110&gt;0),AND(Y1164="ns",BJ1110&gt;0),AND(Y1164="ns",BI1110=0,BJ1110=0)),1,IF(OR(AND(BI1110&gt;=2,Y1164&gt;BJ1110),AND(Y1164="ns",BJ1110=0,BI1110&gt;0),Y1164=BJ1110),0,1)))</f>
        <v>0</v>
      </c>
      <c r="BL1110">
        <f>COUNTIF(Y1173:Y1177,"NS")</f>
        <v>0</v>
      </c>
      <c r="BM1110">
        <f>SUM(Y1173:Y1177)</f>
        <v>0</v>
      </c>
      <c r="BN1110">
        <f>IF(COUNTA(Y1172:Y1177)=0,0,IF(OR(AND(Y1172=0,BL1110&gt;0),AND(Y1172="ns",BM1110&gt;0),AND(Y1172="ns",BL1110=0,BM1110=0)),1,IF(OR(AND(BL1110&gt;=2,Y1172&gt;BM1110),AND(Y1172="ns",BM1110=0,BL1110&gt;0),Y1172=BM1110),0,1)))</f>
        <v>0</v>
      </c>
      <c r="BO1110">
        <f>COUNTIF(Y1183:Y1188,"NS")</f>
        <v>0</v>
      </c>
      <c r="BP1110">
        <f>SUM(Y1183:Y1188)</f>
        <v>0</v>
      </c>
      <c r="BQ1110">
        <f>IF(COUNTA(Y1182:Y1188)=0,0,IF(OR(AND(Y1182=0,BO1110&gt;0),AND(Y1182="ns",BP1110&gt;0),AND(Y1182="ns",BO1110=0,BP1110=0)),1,IF(OR(AND(BO1110&gt;=2,Y1182&gt;BP1110),AND(Y1182="ns",BP1110=0,BO1110&gt;0),Y1182=BP1110),0,1)))</f>
        <v>0</v>
      </c>
      <c r="BR1110">
        <f>COUNTIF(Y1190:Y1197,"NS")</f>
        <v>0</v>
      </c>
      <c r="BS1110">
        <f>SUM(Y1190:Y1197)</f>
        <v>0</v>
      </c>
      <c r="BT1110">
        <f>IF(COUNTA(Y1189:Y1197)=0,0,IF(OR(AND(Y1189=0,BR1110&gt;0),AND(Y1189="ns",BS1110&gt;0),AND(Y1189="ns",BR1110=0,BS1110=0)),1,IF(OR(AND(BR1110&gt;=2,Y1189&gt;BS1110),AND(Y1189="ns",BS1110=0,BR1110&gt;0),Y1189=BS1110),0,1)))</f>
        <v>0</v>
      </c>
      <c r="BU1110">
        <f>COUNTIF(Y1202:Y1207,"NS")</f>
        <v>0</v>
      </c>
      <c r="BV1110">
        <f>SUM(Y1202:Y1207)</f>
        <v>0</v>
      </c>
      <c r="BW1110">
        <f>IF(COUNTA(Y1201:Y1207)=0,0,IF(OR(AND(Y1201=0,BU1110&gt;0),AND(Y1201="ns",BV1110&gt;0),AND(Y1201="ns",BU1110=0,BV1110=0)),1,IF(OR(AND(BU1110&gt;=2,Y1201&gt;BV1110),AND(Y1201="ns",BV1110=0,BU1110&gt;0),Y1201=BV1110),0,1)))</f>
        <v>0</v>
      </c>
      <c r="BX1110">
        <f>COUNTIF(Y1212:Y1220,"NS")</f>
        <v>0</v>
      </c>
      <c r="BY1110">
        <f>SUM(Y1212:Y1220)</f>
        <v>0</v>
      </c>
      <c r="BZ1110">
        <f>IF(COUNTA(Y1211:Y1220)=0,0,IF(OR(AND(Y1211=0,BX1110&gt;0),AND(Y1211="ns",BY1110&gt;0),AND(Y1211="ns",BX1110=0,BY1110=0)),1,IF(OR(AND(BX1110&gt;=2,Y1211&gt;BY1110),AND(Y1211="ns",BY1110=0,BX1110&gt;0),Y1211=BY1110),0,1)))</f>
        <v>0</v>
      </c>
      <c r="CA1110">
        <f>COUNTIF(Y1222:Y1224,"NS")</f>
        <v>0</v>
      </c>
      <c r="CB1110">
        <f>SUM(Y1222:Y1224)</f>
        <v>0</v>
      </c>
      <c r="CC1110">
        <f>IF(COUNTA(Y1221:Y1224)=0,0,IF(OR(AND(Y1221=0,CA1110&gt;0),AND(Y1221="ns",CB1110&gt;0),AND(Y1221="ns",CA1110=0,CB1110=0)),1,IF(OR(AND(CA1110&gt;=2,Y1221&gt;CB1110),AND(Y1221="ns",CB1110=0,CA1110&gt;0),Y1221=CB1110),0,1)))</f>
        <v>0</v>
      </c>
      <c r="CD1110">
        <f>COUNTIF(Y1233:Y1239,"NS")</f>
        <v>0</v>
      </c>
      <c r="CE1110">
        <f>SUM(Y1233:Y1239)</f>
        <v>0</v>
      </c>
      <c r="CF1110">
        <f>IF(COUNTA(Y1232:Y1239)=0,0,IF(OR(AND(Y1232=0,CD1110&gt;0),AND(Y1232="ns",CE1110&gt;0),AND(Y1232="ns",CD1110=0,CE1110=0)),1,IF(OR(AND(CD1110&gt;=2,Y1232&gt;CE1110),AND(Y1232="ns",CE1110=0,CD1110&gt;0),Y1232=CE1110),0,1)))</f>
        <v>0</v>
      </c>
      <c r="CG1110">
        <f>COUNTIF(Y1242:Y1244,"NS")</f>
        <v>0</v>
      </c>
      <c r="CH1110">
        <f>SUM(Y1242:Y1244)</f>
        <v>0</v>
      </c>
      <c r="CI1110">
        <f>IF(COUNTA(Y1241:Y1244)=0,0,IF(OR(AND(Y1241=0,CG1110&gt;0),AND(Y1241="ns",CH1110&gt;0),AND(Y1241="ns",CG1110=0,CH1110=0)),1,IF(OR(AND(CG1110&gt;=2,Y1241&gt;CH1110),AND(Y1241="ns",CH1110=0,CG1110&gt;0),Y1241=CH1110),0,1)))</f>
        <v>0</v>
      </c>
      <c r="CJ1110">
        <f>COUNTIF(Y1254:Y1258,"NS")</f>
        <v>0</v>
      </c>
      <c r="CK1110">
        <f>SUM(Y1254:Y1258)</f>
        <v>0</v>
      </c>
      <c r="CL1110">
        <f>IF(COUNTA(Y1253:Y1258)=0,0,IF(OR(AND(Y1253=0,CJ1110&gt;0),AND(Y1253="ns",CK1110&gt;0),AND(Y1253="ns",CJ1110=0,CK1110=0)),1,IF(OR(AND(CJ1110&gt;=2,Y1253&gt;CK1110),AND(Y1253="ns",CK1110=0,CJ1110&gt;0),Y1253=CK1110),0,1)))</f>
        <v>0</v>
      </c>
    </row>
    <row r="1111" spans="1:90" ht="15" customHeight="1">
      <c r="A1111" s="103"/>
      <c r="B1111" s="57"/>
      <c r="C1111" s="1109"/>
      <c r="D1111" s="954"/>
      <c r="E1111" s="955"/>
      <c r="F1111" s="955"/>
      <c r="G1111" s="1119" t="s">
        <v>4819</v>
      </c>
      <c r="H1111" s="1120"/>
      <c r="I1111" s="178"/>
      <c r="J1111" s="1111" t="s">
        <v>4820</v>
      </c>
      <c r="K1111" s="1111"/>
      <c r="L1111" s="1111"/>
      <c r="M1111" s="1111"/>
      <c r="N1111" s="1111"/>
      <c r="O1111" s="1111"/>
      <c r="P1111" s="1111"/>
      <c r="Q1111" s="1111"/>
      <c r="R1111" s="1111"/>
      <c r="S1111" s="1111"/>
      <c r="T1111" s="1111"/>
      <c r="U1111" s="1112"/>
      <c r="V1111" s="100"/>
      <c r="W1111" s="100"/>
      <c r="X1111" s="100"/>
      <c r="Y1111" s="100"/>
      <c r="Z1111" s="100"/>
      <c r="AA1111" s="100"/>
      <c r="AB1111" s="100"/>
      <c r="AC1111" s="100"/>
      <c r="AD1111" s="100"/>
      <c r="AF1111"/>
      <c r="AK1111">
        <f t="shared" si="835"/>
        <v>0</v>
      </c>
      <c r="AL1111">
        <f t="shared" si="836"/>
        <v>0</v>
      </c>
      <c r="AM1111">
        <f t="shared" si="837"/>
        <v>0</v>
      </c>
      <c r="AN1111">
        <f t="shared" si="838"/>
        <v>0</v>
      </c>
      <c r="AO1111">
        <f t="shared" si="839"/>
        <v>0</v>
      </c>
      <c r="AP1111">
        <f t="shared" si="840"/>
        <v>0</v>
      </c>
      <c r="AQ1111">
        <f t="shared" si="841"/>
        <v>0</v>
      </c>
      <c r="AR1111">
        <f t="shared" si="842"/>
        <v>0</v>
      </c>
      <c r="AS1111">
        <f t="shared" si="843"/>
        <v>0</v>
      </c>
      <c r="AT1111">
        <f>COUNTIF(Z1108:Z1113,"NS")</f>
        <v>0</v>
      </c>
      <c r="AU1111">
        <f>SUM(Z1108:Z1113)</f>
        <v>0</v>
      </c>
      <c r="AV1111">
        <f>IF(COUNTA(Z1107:Z1113)=0,0,IF(OR(AND(Z1107=0,AT1111&gt;0),AND(Z1107="ns",AU1111&gt;0),AND(Z1107="ns",AT1111=0,AU1111=0)),1,IF(OR(AND(AT1111&gt;=2,Z1107&gt;AU1111),AND(Z1107="ns",AU1111=0,AT1111&gt;0),Z1107=AU1111),0,1)))</f>
        <v>0</v>
      </c>
      <c r="AW1111">
        <f>COUNTIF(Z1119:Z1123,"NS")</f>
        <v>0</v>
      </c>
      <c r="AX1111">
        <f>SUM(Z1119:Z1123)</f>
        <v>0</v>
      </c>
      <c r="AY1111">
        <f>IF(COUNTA(Z1118:Z1123)=0,0,IF(OR(AND(Z1118=0,AW1111&gt;0),AND(Z1118="ns",AX1111&gt;0),AND(Z1118="ns",AW1111=0,AX1111=0)),1,IF(OR(AND(AW1111&gt;=2,Z1118&gt;AX1111),AND(Z1118="ns",AX1111=0,AW1111&gt;0),Z1118=AX1111),0,1)))</f>
        <v>0</v>
      </c>
      <c r="AZ1111">
        <f>COUNTIF(Z1128:Z1145,"NS")</f>
        <v>0</v>
      </c>
      <c r="BA1111">
        <f>SUM(Z1128:Z1145)</f>
        <v>0</v>
      </c>
      <c r="BB1111">
        <f>IF(COUNTA(Z1127:Z1145)=0,0,IF(OR(AND(Z1127=0,AZ1111&gt;0),AND(Z1127="ns",BA1111&gt;0),AND(Z1127="ns",AZ1111=0,BA1111=0)),1,IF(OR(AND(AZ1111&gt;=2,Z1127&gt;BA1111),AND(Z1127="ns",BA1111=0,AZ1111&gt;0),Z1127=BA1111),0,1)))</f>
        <v>0</v>
      </c>
      <c r="BC1111">
        <f>COUNTIF(Z1147:Z1151,"NS")</f>
        <v>0</v>
      </c>
      <c r="BD1111">
        <f>SUM(Z1147:Z1151)</f>
        <v>0</v>
      </c>
      <c r="BE1111">
        <f>IF(COUNTA(Z1146:Z1151)=0,0,IF(OR(AND(Z1146=0,BC1111&gt;0),AND(Z1146="ns",BD1111&gt;0),AND(Z1146="ns",BC1111=0,BD1111=0)),1,IF(OR(AND(BC1111&gt;=2,Z1146&gt;BD1111),AND(Z1146="ns",BD1111=0,BC1111&gt;0),Z1146=BD1111),0,1)))</f>
        <v>0</v>
      </c>
      <c r="BF1111">
        <f>COUNTIF(Z1155:Z1157,"NS")</f>
        <v>0</v>
      </c>
      <c r="BG1111">
        <f>SUM(Z1155:Z1157)</f>
        <v>0</v>
      </c>
      <c r="BH1111">
        <f>IF(COUNTA(Z1154:Z1157)=0,0,IF(OR(AND(Z1154=0,BF1111&gt;0),AND(Z1154="ns",BG1111&gt;0),AND(Z1154="ns",BF1111=0,BG1111=0)),1,IF(OR(AND(BF1111&gt;=2,Z1154&gt;BG1111),AND(Z1154="ns",BG1111=0,BF1111&gt;0),Z1154=BG1111),0,1)))</f>
        <v>0</v>
      </c>
      <c r="BI1111">
        <f>COUNTIF(Z1165:Z1171,"NS")</f>
        <v>0</v>
      </c>
      <c r="BJ1111">
        <f>SUM(Z1165:Z1171)</f>
        <v>0</v>
      </c>
      <c r="BK1111">
        <f>IF(COUNTA(Z1164:Z1171)=0,0,IF(OR(AND(Z1164=0,BI1111&gt;0),AND(Z1164="ns",BJ1111&gt;0),AND(Z1164="ns",BI1111=0,BJ1111=0)),1,IF(OR(AND(BI1111&gt;=2,Z1164&gt;BJ1111),AND(Z1164="ns",BJ1111=0,BI1111&gt;0),Z1164=BJ1111),0,1)))</f>
        <v>0</v>
      </c>
      <c r="BL1111">
        <f>COUNTIF(Z1173:Z1177,"NS")</f>
        <v>0</v>
      </c>
      <c r="BM1111">
        <f>SUM(Z1173:Z1177)</f>
        <v>0</v>
      </c>
      <c r="BN1111">
        <f>IF(COUNTA(Z1172:Z1177)=0,0,IF(OR(AND(Z1172=0,BL1111&gt;0),AND(Z1172="ns",BM1111&gt;0),AND(Z1172="ns",BL1111=0,BM1111=0)),1,IF(OR(AND(BL1111&gt;=2,Z1172&gt;BM1111),AND(Z1172="ns",BM1111=0,BL1111&gt;0),Z1172=BM1111),0,1)))</f>
        <v>0</v>
      </c>
      <c r="BO1111">
        <f>COUNTIF(Z1183:Z1188,"NS")</f>
        <v>0</v>
      </c>
      <c r="BP1111">
        <f>SUM(Z1183:Z1188)</f>
        <v>0</v>
      </c>
      <c r="BQ1111">
        <f>IF(COUNTA(Z1182:Z1188)=0,0,IF(OR(AND(Z1182=0,BO1111&gt;0),AND(Z1182="ns",BP1111&gt;0),AND(Z1182="ns",BO1111=0,BP1111=0)),1,IF(OR(AND(BO1111&gt;=2,Z1182&gt;BP1111),AND(Z1182="ns",BP1111=0,BO1111&gt;0),Z1182=BP1111),0,1)))</f>
        <v>0</v>
      </c>
      <c r="BR1111">
        <f>COUNTIF(Z1190:Z1197,"NS")</f>
        <v>0</v>
      </c>
      <c r="BS1111">
        <f>SUM(Z1190:Z1197)</f>
        <v>0</v>
      </c>
      <c r="BT1111">
        <f>IF(COUNTA(Z1189:Z1197)=0,0,IF(OR(AND(Z1189=0,BR1111&gt;0),AND(Z1189="ns",BS1111&gt;0),AND(Z1189="ns",BR1111=0,BS1111=0)),1,IF(OR(AND(BR1111&gt;=2,Z1189&gt;BS1111),AND(Z1189="ns",BS1111=0,BR1111&gt;0),Z1189=BS1111),0,1)))</f>
        <v>0</v>
      </c>
      <c r="BU1111">
        <f>COUNTIF(Z1202:Z1207,"NS")</f>
        <v>0</v>
      </c>
      <c r="BV1111">
        <f>SUM(Z1202:Z1207)</f>
        <v>0</v>
      </c>
      <c r="BW1111">
        <f>IF(COUNTA(Z1201:Z1207)=0,0,IF(OR(AND(Z1201=0,BU1111&gt;0),AND(Z1201="ns",BV1111&gt;0),AND(Z1201="ns",BU1111=0,BV1111=0)),1,IF(OR(AND(BU1111&gt;=2,Z1201&gt;BV1111),AND(Z1201="ns",BV1111=0,BU1111&gt;0),Z1201=BV1111),0,1)))</f>
        <v>0</v>
      </c>
      <c r="BX1111">
        <f>COUNTIF(Z1212:Z1220,"NS")</f>
        <v>0</v>
      </c>
      <c r="BY1111">
        <f>SUM(Z1212:Z1220)</f>
        <v>0</v>
      </c>
      <c r="BZ1111">
        <f>IF(COUNTA(Z1211:Z1220)=0,0,IF(OR(AND(Z1211=0,BX1111&gt;0),AND(Z1211="ns",BY1111&gt;0),AND(Z1211="ns",BX1111=0,BY1111=0)),1,IF(OR(AND(BX1111&gt;=2,Z1211&gt;BY1111),AND(Z1211="ns",BY1111=0,BX1111&gt;0),Z1211=BY1111),0,1)))</f>
        <v>0</v>
      </c>
      <c r="CA1111">
        <f>COUNTIF(Z1222:Z1224,"NS")</f>
        <v>0</v>
      </c>
      <c r="CB1111">
        <f>SUM(Z1222:Z1224)</f>
        <v>0</v>
      </c>
      <c r="CC1111">
        <f>IF(COUNTA(Z1221:Z1224)=0,0,IF(OR(AND(Z1221=0,CA1111&gt;0),AND(Z1221="ns",CB1111&gt;0),AND(Z1221="ns",CA1111=0,CB1111=0)),1,IF(OR(AND(CA1111&gt;=2,Z1221&gt;CB1111),AND(Z1221="ns",CB1111=0,CA1111&gt;0),Z1221=CB1111),0,1)))</f>
        <v>0</v>
      </c>
      <c r="CD1111">
        <f>COUNTIF(Z1233:Z1239,"NS")</f>
        <v>0</v>
      </c>
      <c r="CE1111">
        <f>SUM(Z1233:Z1239)</f>
        <v>0</v>
      </c>
      <c r="CF1111">
        <f>IF(COUNTA(Z1232:Z1239)=0,0,IF(OR(AND(Z1232=0,CD1111&gt;0),AND(Z1232="ns",CE1111&gt;0),AND(Z1232="ns",CD1111=0,CE1111=0)),1,IF(OR(AND(CD1111&gt;=2,Z1232&gt;CE1111),AND(Z1232="ns",CE1111=0,CD1111&gt;0),Z1232=CE1111),0,1)))</f>
        <v>0</v>
      </c>
      <c r="CG1111">
        <f>COUNTIF(Z1242:Z1244,"NS")</f>
        <v>0</v>
      </c>
      <c r="CH1111">
        <f>SUM(Z1242:Z1244)</f>
        <v>0</v>
      </c>
      <c r="CI1111">
        <f>IF(COUNTA(Z1241:Z1244)=0,0,IF(OR(AND(Z1241=0,CG1111&gt;0),AND(Z1241="ns",CH1111&gt;0),AND(Z1241="ns",CG1111=0,CH1111=0)),1,IF(OR(AND(CG1111&gt;=2,Z1241&gt;CH1111),AND(Z1241="ns",CH1111=0,CG1111&gt;0),Z1241=CH1111),0,1)))</f>
        <v>0</v>
      </c>
      <c r="CJ1111">
        <f>COUNTIF(Z1254:Z1258,"NS")</f>
        <v>0</v>
      </c>
      <c r="CK1111">
        <f>SUM(Z1254:Z1258)</f>
        <v>0</v>
      </c>
      <c r="CL1111">
        <f>IF(COUNTA(Z1253:Z1258)=0,0,IF(OR(AND(Z1253=0,CJ1111&gt;0),AND(Z1253="ns",CK1111&gt;0),AND(Z1253="ns",CJ1111=0,CK1111=0)),1,IF(OR(AND(CJ1111&gt;=2,Z1253&gt;CK1111),AND(Z1253="ns",CK1111=0,CJ1111&gt;0),Z1253=CK1111),0,1)))</f>
        <v>0</v>
      </c>
    </row>
    <row r="1112" spans="1:90" ht="15" customHeight="1">
      <c r="A1112" s="103"/>
      <c r="B1112" s="57"/>
      <c r="C1112" s="1109"/>
      <c r="D1112" s="954"/>
      <c r="E1112" s="955"/>
      <c r="F1112" s="955"/>
      <c r="G1112" s="1119" t="s">
        <v>4821</v>
      </c>
      <c r="H1112" s="1120"/>
      <c r="I1112" s="178"/>
      <c r="J1112" s="1111" t="s">
        <v>4822</v>
      </c>
      <c r="K1112" s="1111"/>
      <c r="L1112" s="1111"/>
      <c r="M1112" s="1111"/>
      <c r="N1112" s="1111"/>
      <c r="O1112" s="1111"/>
      <c r="P1112" s="1111"/>
      <c r="Q1112" s="1111"/>
      <c r="R1112" s="1111"/>
      <c r="S1112" s="1111"/>
      <c r="T1112" s="1111"/>
      <c r="U1112" s="1112"/>
      <c r="V1112" s="100"/>
      <c r="W1112" s="100"/>
      <c r="X1112" s="100"/>
      <c r="Y1112" s="100"/>
      <c r="Z1112" s="100"/>
      <c r="AA1112" s="100"/>
      <c r="AB1112" s="100"/>
      <c r="AC1112" s="100"/>
      <c r="AD1112" s="100"/>
      <c r="AF1112"/>
      <c r="AK1112">
        <f t="shared" si="835"/>
        <v>0</v>
      </c>
      <c r="AL1112">
        <f t="shared" si="836"/>
        <v>0</v>
      </c>
      <c r="AM1112">
        <f t="shared" si="837"/>
        <v>0</v>
      </c>
      <c r="AN1112">
        <f t="shared" si="838"/>
        <v>0</v>
      </c>
      <c r="AO1112">
        <f t="shared" si="839"/>
        <v>0</v>
      </c>
      <c r="AP1112">
        <f t="shared" si="840"/>
        <v>0</v>
      </c>
      <c r="AQ1112">
        <f t="shared" si="841"/>
        <v>0</v>
      </c>
      <c r="AR1112">
        <f t="shared" si="842"/>
        <v>0</v>
      </c>
      <c r="AS1112">
        <f t="shared" si="843"/>
        <v>0</v>
      </c>
      <c r="AT1112">
        <f>COUNTIF(AA1108:AA1113,"NS")</f>
        <v>0</v>
      </c>
      <c r="AU1112">
        <f>SUM(AA1108:AA1113)</f>
        <v>0</v>
      </c>
      <c r="AV1112">
        <f>IF(COUNTA(AA1107:AA1113)=0,0,IF(OR(AND(AA1107=0,AT1112&gt;0),AND(AA1107="ns",AU1112&gt;0),AND(AA1107="ns",AT1112=0,AU1112=0)),1,IF(OR(AND(AT1112&gt;=2,AA1107&gt;AU1112),AND(AA1107="ns",AU1112=0,AT1112&gt;0),AA1107=AU1112),0,1)))</f>
        <v>0</v>
      </c>
      <c r="AW1112">
        <f>COUNTIF(AA1119:AA1123,"NS")</f>
        <v>0</v>
      </c>
      <c r="AX1112">
        <f>SUM(AA1119:AA1123)</f>
        <v>0</v>
      </c>
      <c r="AY1112">
        <f>IF(COUNTA(AA1118:AA1123)=0,0,IF(OR(AND(AA1118=0,AW1112&gt;0),AND(AA1118="ns",AX1112&gt;0),AND(AA1118="ns",AW1112=0,AX1112=0)),1,IF(OR(AND(AW1112&gt;=2,AA1118&gt;AX1112),AND(AA1118="ns",AX1112=0,AW1112&gt;0),AA1118=AX1112),0,1)))</f>
        <v>0</v>
      </c>
      <c r="AZ1112">
        <f>COUNTIF(AA1128:AA1145,"NS")</f>
        <v>0</v>
      </c>
      <c r="BA1112">
        <f>SUM(AA1128:AA1145)</f>
        <v>0</v>
      </c>
      <c r="BB1112">
        <f>IF(COUNTA(AA1127:AA1145)=0,0,IF(OR(AND(AA1127=0,AZ1112&gt;0),AND(AA1127="ns",BA1112&gt;0),AND(AA1127="ns",AZ1112=0,BA1112=0)),1,IF(OR(AND(AZ1112&gt;=2,AA1127&gt;BA1112),AND(AA1127="ns",BA1112=0,AZ1112&gt;0),AA1127=BA1112),0,1)))</f>
        <v>0</v>
      </c>
      <c r="BC1112">
        <f>COUNTIF(AA1147:AA1151,"NS")</f>
        <v>0</v>
      </c>
      <c r="BD1112">
        <f>SUM(AA1147:AA1151)</f>
        <v>0</v>
      </c>
      <c r="BE1112">
        <f>IF(COUNTA(AA1146:AA1151)=0,0,IF(OR(AND(AA1146=0,BC1112&gt;0),AND(AA1146="ns",BD1112&gt;0),AND(AA1146="ns",BC1112=0,BD1112=0)),1,IF(OR(AND(BC1112&gt;=2,AA1146&gt;BD1112),AND(AA1146="ns",BD1112=0,BC1112&gt;0),AA1146=BD1112),0,1)))</f>
        <v>0</v>
      </c>
      <c r="BF1112">
        <f>COUNTIF(AA1155:AA1157,"NS")</f>
        <v>0</v>
      </c>
      <c r="BG1112">
        <f>SUM(AA1155:AA1157)</f>
        <v>0</v>
      </c>
      <c r="BH1112">
        <f>IF(COUNTA(AA1154:AA1157)=0,0,IF(OR(AND(AA1154=0,BF1112&gt;0),AND(AA1154="ns",BG1112&gt;0),AND(AA1154="ns",BF1112=0,BG1112=0)),1,IF(OR(AND(BF1112&gt;=2,AA1154&gt;BG1112),AND(AA1154="ns",BG1112=0,BF1112&gt;0),AA1154=BG1112),0,1)))</f>
        <v>0</v>
      </c>
      <c r="BI1112">
        <f>COUNTIF(AA1165:AA1171,"NS")</f>
        <v>0</v>
      </c>
      <c r="BJ1112">
        <f>SUM(AA1165:AA1171)</f>
        <v>0</v>
      </c>
      <c r="BK1112">
        <f>IF(COUNTA(AA1164:AA1171)=0,0,IF(OR(AND(AA1164=0,BI1112&gt;0),AND(AA1164="ns",BJ1112&gt;0),AND(AA1164="ns",BI1112=0,BJ1112=0)),1,IF(OR(AND(BI1112&gt;=2,AA1164&gt;BJ1112),AND(AA1164="ns",BJ1112=0,BI1112&gt;0),AA1164=BJ1112),0,1)))</f>
        <v>0</v>
      </c>
      <c r="BL1112">
        <f>COUNTIF(AA1173:AA1177,"NS")</f>
        <v>0</v>
      </c>
      <c r="BM1112">
        <f>SUM(AA1173:AA1177)</f>
        <v>0</v>
      </c>
      <c r="BN1112">
        <f>IF(COUNTA(AA1172:AA1177)=0,0,IF(OR(AND(AA1172=0,BL1112&gt;0),AND(AA1172="ns",BM1112&gt;0),AND(AA1172="ns",BL1112=0,BM1112=0)),1,IF(OR(AND(BL1112&gt;=2,AA1172&gt;BM1112),AND(AA1172="ns",BM1112=0,BL1112&gt;0),AA1172=BM1112),0,1)))</f>
        <v>0</v>
      </c>
      <c r="BO1112">
        <f>COUNTIF(AA1183:AA1188,"NS")</f>
        <v>0</v>
      </c>
      <c r="BP1112">
        <f>SUM(AA1183:AA1188)</f>
        <v>0</v>
      </c>
      <c r="BQ1112">
        <f>IF(COUNTA(AA1182:AA1188)=0,0,IF(OR(AND(AA1182=0,BO1112&gt;0),AND(AA1182="ns",BP1112&gt;0),AND(AA1182="ns",BO1112=0,BP1112=0)),1,IF(OR(AND(BO1112&gt;=2,AA1182&gt;BP1112),AND(AA1182="ns",BP1112=0,BO1112&gt;0),AA1182=BP1112),0,1)))</f>
        <v>0</v>
      </c>
      <c r="BR1112">
        <f>COUNTIF(AA1190:AA1197,"NS")</f>
        <v>0</v>
      </c>
      <c r="BS1112">
        <f>SUM(AA1190:AA1197)</f>
        <v>0</v>
      </c>
      <c r="BT1112">
        <f>IF(COUNTA(AA1189:AA1197)=0,0,IF(OR(AND(AA1189=0,BR1112&gt;0),AND(AA1189="ns",BS1112&gt;0),AND(AA1189="ns",BR1112=0,BS1112=0)),1,IF(OR(AND(BR1112&gt;=2,AA1189&gt;BS1112),AND(AA1189="ns",BS1112=0,BR1112&gt;0),AA1189=BS1112),0,1)))</f>
        <v>0</v>
      </c>
      <c r="BU1112">
        <f>COUNTIF(AA1202:AA1207,"NS")</f>
        <v>0</v>
      </c>
      <c r="BV1112">
        <f>SUM(AA1202:AA1207)</f>
        <v>0</v>
      </c>
      <c r="BW1112">
        <f>IF(COUNTA(AA1201:AA1207)=0,0,IF(OR(AND(AA1201=0,BU1112&gt;0),AND(AA1201="ns",BV1112&gt;0),AND(AA1201="ns",BU1112=0,BV1112=0)),1,IF(OR(AND(BU1112&gt;=2,AA1201&gt;BV1112),AND(AA1201="ns",BV1112=0,BU1112&gt;0),AA1201=BV1112),0,1)))</f>
        <v>0</v>
      </c>
      <c r="BX1112">
        <f>COUNTIF(AA1212:AA1220,"NS")</f>
        <v>0</v>
      </c>
      <c r="BY1112">
        <f>SUM(AA1212:AA1220)</f>
        <v>0</v>
      </c>
      <c r="BZ1112">
        <f>IF(COUNTA(AA1211:AA1220)=0,0,IF(OR(AND(AA1211=0,BX1112&gt;0),AND(AA1211="ns",BY1112&gt;0),AND(AA1211="ns",BX1112=0,BY1112=0)),1,IF(OR(AND(BX1112&gt;=2,AA1211&gt;BY1112),AND(AA1211="ns",BY1112=0,BX1112&gt;0),AA1211=BY1112),0,1)))</f>
        <v>0</v>
      </c>
      <c r="CA1112">
        <f>COUNTIF(AA1222:AA1224,"NS")</f>
        <v>0</v>
      </c>
      <c r="CB1112">
        <f>SUM(AA1222:AA1224)</f>
        <v>0</v>
      </c>
      <c r="CC1112">
        <f>IF(COUNTA(AA1221:AA1224)=0,0,IF(OR(AND(AA1221=0,CA1112&gt;0),AND(AA1221="ns",CB1112&gt;0),AND(AA1221="ns",CA1112=0,CB1112=0)),1,IF(OR(AND(CA1112&gt;=2,AA1221&gt;CB1112),AND(AA1221="ns",CB1112=0,CA1112&gt;0),AA1221=CB1112),0,1)))</f>
        <v>0</v>
      </c>
      <c r="CD1112">
        <f>COUNTIF(AA1233:AA1239,"NS")</f>
        <v>0</v>
      </c>
      <c r="CE1112">
        <f>SUM(AA1233:AA1239)</f>
        <v>0</v>
      </c>
      <c r="CF1112">
        <f>IF(COUNTA(AA1232:AA1239)=0,0,IF(OR(AND(AA1232=0,CD1112&gt;0),AND(AA1232="ns",CE1112&gt;0),AND(AA1232="ns",CD1112=0,CE1112=0)),1,IF(OR(AND(CD1112&gt;=2,AA1232&gt;CE1112),AND(AA1232="ns",CE1112=0,CD1112&gt;0),AA1232=CE1112),0,1)))</f>
        <v>0</v>
      </c>
      <c r="CG1112">
        <f>COUNTIF(AA1242:AA1244,"NS")</f>
        <v>0</v>
      </c>
      <c r="CH1112">
        <f>SUM(AA1242:AA1244)</f>
        <v>0</v>
      </c>
      <c r="CI1112">
        <f>IF(COUNTA(AA1241:AA1244)=0,0,IF(OR(AND(AA1241=0,CG1112&gt;0),AND(AA1241="ns",CH1112&gt;0),AND(AA1241="ns",CG1112=0,CH1112=0)),1,IF(OR(AND(CG1112&gt;=2,AA1241&gt;CH1112),AND(AA1241="ns",CH1112=0,CG1112&gt;0),AA1241=CH1112),0,1)))</f>
        <v>0</v>
      </c>
      <c r="CJ1112">
        <f>COUNTIF(AA1254:AA1258,"NS")</f>
        <v>0</v>
      </c>
      <c r="CK1112">
        <f>SUM(AA1254:AA1258)</f>
        <v>0</v>
      </c>
      <c r="CL1112">
        <f>IF(COUNTA(AA1253:AA1258)=0,0,IF(OR(AND(AA1253=0,CJ1112&gt;0),AND(AA1253="ns",CK1112&gt;0),AND(AA1253="ns",CJ1112=0,CK1112=0)),1,IF(OR(AND(CJ1112&gt;=2,AA1253&gt;CK1112),AND(AA1253="ns",CK1112=0,CJ1112&gt;0),AA1253=CK1112),0,1)))</f>
        <v>0</v>
      </c>
    </row>
    <row r="1113" spans="1:90" ht="15" customHeight="1">
      <c r="A1113" s="103"/>
      <c r="B1113" s="57"/>
      <c r="C1113" s="1109"/>
      <c r="D1113" s="954"/>
      <c r="E1113" s="955"/>
      <c r="F1113" s="955"/>
      <c r="G1113" s="1119" t="s">
        <v>4823</v>
      </c>
      <c r="H1113" s="1120"/>
      <c r="I1113" s="179"/>
      <c r="J1113" s="1113" t="s">
        <v>201</v>
      </c>
      <c r="K1113" s="1113"/>
      <c r="L1113" s="1113"/>
      <c r="M1113" s="1113"/>
      <c r="N1113" s="1113"/>
      <c r="O1113" s="1113"/>
      <c r="P1113" s="1113"/>
      <c r="Q1113" s="1113"/>
      <c r="R1113" s="1113"/>
      <c r="S1113" s="1113"/>
      <c r="T1113" s="1113"/>
      <c r="U1113" s="1114"/>
      <c r="V1113" s="100"/>
      <c r="W1113" s="100"/>
      <c r="X1113" s="100"/>
      <c r="Y1113" s="100"/>
      <c r="Z1113" s="100"/>
      <c r="AA1113" s="100"/>
      <c r="AB1113" s="100"/>
      <c r="AC1113" s="100"/>
      <c r="AD1113" s="100"/>
      <c r="AF1113"/>
      <c r="AK1113">
        <f t="shared" si="835"/>
        <v>0</v>
      </c>
      <c r="AL1113">
        <f t="shared" si="836"/>
        <v>0</v>
      </c>
      <c r="AM1113">
        <f t="shared" si="837"/>
        <v>0</v>
      </c>
      <c r="AN1113">
        <f t="shared" si="838"/>
        <v>0</v>
      </c>
      <c r="AO1113">
        <f t="shared" si="839"/>
        <v>0</v>
      </c>
      <c r="AP1113">
        <f t="shared" si="840"/>
        <v>0</v>
      </c>
      <c r="AQ1113">
        <f t="shared" si="841"/>
        <v>0</v>
      </c>
      <c r="AR1113">
        <f t="shared" si="842"/>
        <v>0</v>
      </c>
      <c r="AS1113">
        <f t="shared" si="843"/>
        <v>0</v>
      </c>
      <c r="AT1113">
        <f>COUNTIF(AB1108:AB1113,"NS")</f>
        <v>0</v>
      </c>
      <c r="AU1113">
        <f>SUM(AB1108:AB1113)</f>
        <v>0</v>
      </c>
      <c r="AV1113">
        <f>IF(COUNTA(AB1107:AB1113)=0,0,IF(OR(AND(AB1107=0,AT1113&gt;0),AND(AB1107="ns",AU1113&gt;0),AND(AB1107="ns",AT1113=0,AU1113=0)),1,IF(OR(AND(AT1113&gt;=2,AB1107&gt;AU1113),AND(AB1107="ns",AU1113=0,AT1113&gt;0),AB1107=AU1113),0,1)))</f>
        <v>0</v>
      </c>
      <c r="AW1113">
        <f>COUNTIF(AB1119:AB1123,"NS")</f>
        <v>0</v>
      </c>
      <c r="AX1113">
        <f>SUM(AB1119:AB1123)</f>
        <v>0</v>
      </c>
      <c r="AY1113">
        <f>IF(COUNTA(AB1118:AB1123)=0,0,IF(OR(AND(AB1118=0,AW1113&gt;0),AND(AB1118="ns",AX1113&gt;0),AND(AB1118="ns",AW1113=0,AX1113=0)),1,IF(OR(AND(AW1113&gt;=2,AB1118&gt;AX1113),AND(AB1118="ns",AX1113=0,AW1113&gt;0),AB1118=AX1113),0,1)))</f>
        <v>0</v>
      </c>
      <c r="AZ1113">
        <f>COUNTIF(AB1128:AB1145,"NS")</f>
        <v>0</v>
      </c>
      <c r="BA1113">
        <f>SUM(AB1128:AB1145)</f>
        <v>0</v>
      </c>
      <c r="BB1113">
        <f>IF(COUNTA(AB1127:AB1145)=0,0,IF(OR(AND(AB1127=0,AZ1113&gt;0),AND(AB1127="ns",BA1113&gt;0),AND(AB1127="ns",AZ1113=0,BA1113=0)),1,IF(OR(AND(AZ1113&gt;=2,AB1127&gt;BA1113),AND(AB1127="ns",BA1113=0,AZ1113&gt;0),AB1127=BA1113),0,1)))</f>
        <v>0</v>
      </c>
      <c r="BC1113">
        <f>COUNTIF(AB1147:AB1151,"NS")</f>
        <v>0</v>
      </c>
      <c r="BD1113">
        <f>SUM(AB1147:AB1151)</f>
        <v>0</v>
      </c>
      <c r="BE1113">
        <f>IF(COUNTA(AB1146:AB1151)=0,0,IF(OR(AND(AB1146=0,BC1113&gt;0),AND(AB1146="ns",BD1113&gt;0),AND(AB1146="ns",BC1113=0,BD1113=0)),1,IF(OR(AND(BC1113&gt;=2,AB1146&gt;BD1113),AND(AB1146="ns",BD1113=0,BC1113&gt;0),AB1146=BD1113),0,1)))</f>
        <v>0</v>
      </c>
      <c r="BF1113">
        <f>COUNTIF(AB1155:AB1157,"NS")</f>
        <v>0</v>
      </c>
      <c r="BG1113">
        <f>SUM(AB1155:AB1157)</f>
        <v>0</v>
      </c>
      <c r="BH1113">
        <f>IF(COUNTA(AB1154:AB1157)=0,0,IF(OR(AND(AB1154=0,BF1113&gt;0),AND(AB1154="ns",BG1113&gt;0),AND(AB1154="ns",BF1113=0,BG1113=0)),1,IF(OR(AND(BF1113&gt;=2,AB1154&gt;BG1113),AND(AB1154="ns",BG1113=0,BF1113&gt;0),AB1154=BG1113),0,1)))</f>
        <v>0</v>
      </c>
      <c r="BI1113">
        <f>COUNTIF(AB1165:AB1171,"NS")</f>
        <v>0</v>
      </c>
      <c r="BJ1113">
        <f>SUM(AB1165:AB1171)</f>
        <v>0</v>
      </c>
      <c r="BK1113">
        <f>IF(COUNTA(AB1164:AB1171)=0,0,IF(OR(AND(AB1164=0,BI1113&gt;0),AND(AB1164="ns",BJ1113&gt;0),AND(AB1164="ns",BI1113=0,BJ1113=0)),1,IF(OR(AND(BI1113&gt;=2,AB1164&gt;BJ1113),AND(AB1164="ns",BJ1113=0,BI1113&gt;0),AB1164=BJ1113),0,1)))</f>
        <v>0</v>
      </c>
      <c r="BL1113">
        <f>COUNTIF(AB1173:AB1177,"NS")</f>
        <v>0</v>
      </c>
      <c r="BM1113">
        <f>SUM(AB1173:AB1177)</f>
        <v>0</v>
      </c>
      <c r="BN1113">
        <f>IF(COUNTA(AB1172:AB1177)=0,0,IF(OR(AND(AB1172=0,BL1113&gt;0),AND(AB1172="ns",BM1113&gt;0),AND(AB1172="ns",BL1113=0,BM1113=0)),1,IF(OR(AND(BL1113&gt;=2,AB1172&gt;BM1113),AND(AB1172="ns",BM1113=0,BL1113&gt;0),AB1172=BM1113),0,1)))</f>
        <v>0</v>
      </c>
      <c r="BO1113">
        <f>COUNTIF(AB1183:AB1188,"NS")</f>
        <v>0</v>
      </c>
      <c r="BP1113">
        <f>SUM(AB1183:AB1188)</f>
        <v>0</v>
      </c>
      <c r="BQ1113">
        <f>IF(COUNTA(AB1182:AB1188)=0,0,IF(OR(AND(AB1182=0,BO1113&gt;0),AND(AB1182="ns",BP1113&gt;0),AND(AB1182="ns",BO1113=0,BP1113=0)),1,IF(OR(AND(BO1113&gt;=2,AB1182&gt;BP1113),AND(AB1182="ns",BP1113=0,BO1113&gt;0),AB1182=BP1113),0,1)))</f>
        <v>0</v>
      </c>
      <c r="BR1113">
        <f>COUNTIF(AB1190:AB1197,"NS")</f>
        <v>0</v>
      </c>
      <c r="BS1113">
        <f>SUM(AB1190:AB1197)</f>
        <v>0</v>
      </c>
      <c r="BT1113">
        <f>IF(COUNTA(AB1189:AB1197)=0,0,IF(OR(AND(AB1189=0,BR1113&gt;0),AND(AB1189="ns",BS1113&gt;0),AND(AB1189="ns",BR1113=0,BS1113=0)),1,IF(OR(AND(BR1113&gt;=2,AB1189&gt;BS1113),AND(AB1189="ns",BS1113=0,BR1113&gt;0),AB1189=BS1113),0,1)))</f>
        <v>0</v>
      </c>
      <c r="BU1113">
        <f>COUNTIF(AB1202:AB1207,"NS")</f>
        <v>0</v>
      </c>
      <c r="BV1113">
        <f>SUM(AB1202:AB1207)</f>
        <v>0</v>
      </c>
      <c r="BW1113">
        <f>IF(COUNTA(AB1201:AB1207)=0,0,IF(OR(AND(AB1201=0,BU1113&gt;0),AND(AB1201="ns",BV1113&gt;0),AND(AB1201="ns",BU1113=0,BV1113=0)),1,IF(OR(AND(BU1113&gt;=2,AB1201&gt;BV1113),AND(AB1201="ns",BV1113=0,BU1113&gt;0),AB1201=BV1113),0,1)))</f>
        <v>0</v>
      </c>
      <c r="BX1113">
        <f>COUNTIF(AB1212:AB1220,"NS")</f>
        <v>0</v>
      </c>
      <c r="BY1113">
        <f>SUM(AB1212:AB1220)</f>
        <v>0</v>
      </c>
      <c r="BZ1113">
        <f>IF(COUNTA(AB1211:AB1220)=0,0,IF(OR(AND(AB1211=0,BX1113&gt;0),AND(AB1211="ns",BY1113&gt;0),AND(AB1211="ns",BX1113=0,BY1113=0)),1,IF(OR(AND(BX1113&gt;=2,AB1211&gt;BY1113),AND(AB1211="ns",BY1113=0,BX1113&gt;0),AB1211=BY1113),0,1)))</f>
        <v>0</v>
      </c>
      <c r="CA1113">
        <f>COUNTIF(AB1222:AB1224,"NS")</f>
        <v>0</v>
      </c>
      <c r="CB1113">
        <f>SUM(AB1222:AB1224)</f>
        <v>0</v>
      </c>
      <c r="CC1113">
        <f>IF(COUNTA(AB1221:AB1224)=0,0,IF(OR(AND(AB1221=0,CA1113&gt;0),AND(AB1221="ns",CB1113&gt;0),AND(AB1221="ns",CA1113=0,CB1113=0)),1,IF(OR(AND(CA1113&gt;=2,AB1221&gt;CB1113),AND(AB1221="ns",CB1113=0,CA1113&gt;0),AB1221=CB1113),0,1)))</f>
        <v>0</v>
      </c>
      <c r="CD1113">
        <f>COUNTIF(AB1233:AB1239,"NS")</f>
        <v>0</v>
      </c>
      <c r="CE1113">
        <f>SUM(AB1233:AB1239)</f>
        <v>0</v>
      </c>
      <c r="CF1113">
        <f>IF(COUNTA(AB1232:AB1239)=0,0,IF(OR(AND(AB1232=0,CD1113&gt;0),AND(AB1232="ns",CE1113&gt;0),AND(AB1232="ns",CD1113=0,CE1113=0)),1,IF(OR(AND(CD1113&gt;=2,AB1232&gt;CE1113),AND(AB1232="ns",CE1113=0,CD1113&gt;0),AB1232=CE1113),0,1)))</f>
        <v>0</v>
      </c>
      <c r="CG1113">
        <f>COUNTIF(AB1242:AB1244,"NS")</f>
        <v>0</v>
      </c>
      <c r="CH1113">
        <f>SUM(AB1242:AB1244)</f>
        <v>0</v>
      </c>
      <c r="CI1113">
        <f>IF(COUNTA(AB1241:AB1244)=0,0,IF(OR(AND(AB1241=0,CG1113&gt;0),AND(AB1241="ns",CH1113&gt;0),AND(AB1241="ns",CG1113=0,CH1113=0)),1,IF(OR(AND(CG1113&gt;=2,AB1241&gt;CH1113),AND(AB1241="ns",CH1113=0,CG1113&gt;0),AB1241=CH1113),0,1)))</f>
        <v>0</v>
      </c>
      <c r="CJ1113">
        <f>COUNTIF(AB1254:AB1258,"NS")</f>
        <v>0</v>
      </c>
      <c r="CK1113">
        <f>SUM(AB1254:AB1258)</f>
        <v>0</v>
      </c>
      <c r="CL1113">
        <f>IF(COUNTA(AB1253:AB1258)=0,0,IF(OR(AND(AB1253=0,CJ1113&gt;0),AND(AB1253="ns",CK1113&gt;0),AND(AB1253="ns",CJ1113=0,CK1113=0)),1,IF(OR(AND(CJ1113&gt;=2,AB1253&gt;CK1113),AND(AB1253="ns",CK1113=0,CJ1113&gt;0),AB1253=CK1113),0,1)))</f>
        <v>0</v>
      </c>
    </row>
    <row r="1114" spans="1:90" ht="15" customHeight="1">
      <c r="A1114" s="103"/>
      <c r="B1114" s="57"/>
      <c r="C1114" s="1109"/>
      <c r="D1114" s="954"/>
      <c r="E1114" s="955"/>
      <c r="F1114" s="955"/>
      <c r="G1114" s="1117" t="s">
        <v>4824</v>
      </c>
      <c r="H1114" s="1118"/>
      <c r="I1114" s="1104" t="s">
        <v>4825</v>
      </c>
      <c r="J1114" s="1105"/>
      <c r="K1114" s="1105"/>
      <c r="L1114" s="1105"/>
      <c r="M1114" s="1105"/>
      <c r="N1114" s="1105"/>
      <c r="O1114" s="1105"/>
      <c r="P1114" s="1105"/>
      <c r="Q1114" s="1105"/>
      <c r="R1114" s="1105"/>
      <c r="S1114" s="1105"/>
      <c r="T1114" s="1105"/>
      <c r="U1114" s="1106"/>
      <c r="V1114" s="100"/>
      <c r="W1114" s="100"/>
      <c r="X1114" s="100"/>
      <c r="Y1114" s="100"/>
      <c r="Z1114" s="100"/>
      <c r="AA1114" s="100"/>
      <c r="AB1114" s="100"/>
      <c r="AC1114" s="100"/>
      <c r="AD1114" s="100"/>
      <c r="AF1114"/>
      <c r="AK1114">
        <f t="shared" si="835"/>
        <v>0</v>
      </c>
      <c r="AL1114">
        <f t="shared" si="836"/>
        <v>0</v>
      </c>
      <c r="AM1114">
        <f t="shared" si="837"/>
        <v>0</v>
      </c>
      <c r="AN1114">
        <f t="shared" si="838"/>
        <v>0</v>
      </c>
      <c r="AO1114">
        <f t="shared" si="839"/>
        <v>0</v>
      </c>
      <c r="AP1114">
        <f t="shared" si="840"/>
        <v>0</v>
      </c>
      <c r="AQ1114">
        <f t="shared" si="841"/>
        <v>0</v>
      </c>
      <c r="AR1114">
        <f t="shared" si="842"/>
        <v>0</v>
      </c>
      <c r="AS1114">
        <f t="shared" si="843"/>
        <v>0</v>
      </c>
      <c r="AT1114">
        <f>COUNTIF(AC1108:AC1113,"NS")</f>
        <v>0</v>
      </c>
      <c r="AU1114">
        <f>SUM(AC1108:AC1113)</f>
        <v>0</v>
      </c>
      <c r="AV1114">
        <f>IF(COUNTA(AC1107:AC1113)=0,0,IF(OR(AND(AC1107=0,AT1114&gt;0),AND(AC1107="ns",AU1114&gt;0),AND(AC1107="ns",AT1114=0,AU1114=0)),1,IF(OR(AND(AT1114&gt;=2,AC1107&gt;AU1114),AND(AC1107="ns",AU1114=0,AT1114&gt;0),AC1107=AU1114),0,1)))</f>
        <v>0</v>
      </c>
      <c r="AW1114">
        <f>COUNTIF(AC1119:AC1123,"NS")</f>
        <v>0</v>
      </c>
      <c r="AX1114">
        <f>SUM(AC1119:AC1123)</f>
        <v>0</v>
      </c>
      <c r="AY1114">
        <f>IF(COUNTA(AC1118:AC1123)=0,0,IF(OR(AND(AC1118=0,AW1114&gt;0),AND(AC1118="ns",AX1114&gt;0),AND(AC1118="ns",AW1114=0,AX1114=0)),1,IF(OR(AND(AW1114&gt;=2,AC1118&gt;AX1114),AND(AC1118="ns",AX1114=0,AW1114&gt;0),AC1118=AX1114),0,1)))</f>
        <v>0</v>
      </c>
      <c r="AZ1114">
        <f>COUNTIF(AC1128:AC1145,"NS")</f>
        <v>0</v>
      </c>
      <c r="BA1114">
        <f>SUM(AC1128:AC1145)</f>
        <v>0</v>
      </c>
      <c r="BB1114">
        <f>IF(COUNTA(AC1127:AC1145)=0,0,IF(OR(AND(AC1127=0,AZ1114&gt;0),AND(AC1127="ns",BA1114&gt;0),AND(AC1127="ns",AZ1114=0,BA1114=0)),1,IF(OR(AND(AZ1114&gt;=2,AC1127&gt;BA1114),AND(AC1127="ns",BA1114=0,AZ1114&gt;0),AC1127=BA1114),0,1)))</f>
        <v>0</v>
      </c>
      <c r="BC1114">
        <f>COUNTIF(AC1147:AC1151,"NS")</f>
        <v>0</v>
      </c>
      <c r="BD1114">
        <f>SUM(AC1147:AC1151)</f>
        <v>0</v>
      </c>
      <c r="BE1114">
        <f>IF(COUNTA(AC1146:AC1151)=0,0,IF(OR(AND(AC1146=0,BC1114&gt;0),AND(AC1146="ns",BD1114&gt;0),AND(AC1146="ns",BC1114=0,BD1114=0)),1,IF(OR(AND(BC1114&gt;=2,AC1146&gt;BD1114),AND(AC1146="ns",BD1114=0,BC1114&gt;0),AC1146=BD1114),0,1)))</f>
        <v>0</v>
      </c>
      <c r="BF1114">
        <f>COUNTIF(AC1155:AC1157,"NS")</f>
        <v>0</v>
      </c>
      <c r="BG1114">
        <f>SUM(AC1155:AC1157)</f>
        <v>0</v>
      </c>
      <c r="BH1114">
        <f>IF(COUNTA(AC1154:AC1157)=0,0,IF(OR(AND(AC1154=0,BF1114&gt;0),AND(AC1154="ns",BG1114&gt;0),AND(AC1154="ns",BF1114=0,BG1114=0)),1,IF(OR(AND(BF1114&gt;=2,AC1154&gt;BG1114),AND(AC1154="ns",BG1114=0,BF1114&gt;0),AC1154=BG1114),0,1)))</f>
        <v>0</v>
      </c>
      <c r="BI1114">
        <f>COUNTIF(AC1165:AC1171,"NS")</f>
        <v>0</v>
      </c>
      <c r="BJ1114">
        <f>SUM(AC1165:AC1171)</f>
        <v>0</v>
      </c>
      <c r="BK1114">
        <f>IF(COUNTA(AC1164:AC1171)=0,0,IF(OR(AND(AC1164=0,BI1114&gt;0),AND(AC1164="ns",BJ1114&gt;0),AND(AC1164="ns",BI1114=0,BJ1114=0)),1,IF(OR(AND(BI1114&gt;=2,AC1164&gt;BJ1114),AND(AC1164="ns",BJ1114=0,BI1114&gt;0),AC1164=BJ1114),0,1)))</f>
        <v>0</v>
      </c>
      <c r="BL1114">
        <f>COUNTIF(AC1173:AC1177,"NS")</f>
        <v>0</v>
      </c>
      <c r="BM1114">
        <f>SUM(AC1173:AC1177)</f>
        <v>0</v>
      </c>
      <c r="BN1114">
        <f>IF(COUNTA(AC1172:AC1177)=0,0,IF(OR(AND(AC1172=0,BL1114&gt;0),AND(AC1172="ns",BM1114&gt;0),AND(AC1172="ns",BL1114=0,BM1114=0)),1,IF(OR(AND(BL1114&gt;=2,AC1172&gt;BM1114),AND(AC1172="ns",BM1114=0,BL1114&gt;0),AC1172=BM1114),0,1)))</f>
        <v>0</v>
      </c>
      <c r="BO1114">
        <f>COUNTIF(AC1183:AC1188,"NS")</f>
        <v>0</v>
      </c>
      <c r="BP1114">
        <f>SUM(AC1183:AC1188)</f>
        <v>0</v>
      </c>
      <c r="BQ1114">
        <f>IF(COUNTA(AC1182:AC1188)=0,0,IF(OR(AND(AC1182=0,BO1114&gt;0),AND(AC1182="ns",BP1114&gt;0),AND(AC1182="ns",BO1114=0,BP1114=0)),1,IF(OR(AND(BO1114&gt;=2,AC1182&gt;BP1114),AND(AC1182="ns",BP1114=0,BO1114&gt;0),AC1182=BP1114),0,1)))</f>
        <v>0</v>
      </c>
      <c r="BR1114">
        <f>COUNTIF(AC1190:AC1197,"NS")</f>
        <v>0</v>
      </c>
      <c r="BS1114">
        <f>SUM(AC1190:AC1197)</f>
        <v>0</v>
      </c>
      <c r="BT1114">
        <f>IF(COUNTA(AC1189:AC1197)=0,0,IF(OR(AND(AC1189=0,BR1114&gt;0),AND(AC1189="ns",BS1114&gt;0),AND(AC1189="ns",BR1114=0,BS1114=0)),1,IF(OR(AND(BR1114&gt;=2,AC1189&gt;BS1114),AND(AC1189="ns",BS1114=0,BR1114&gt;0),AC1189=BS1114),0,1)))</f>
        <v>0</v>
      </c>
      <c r="BU1114">
        <f>COUNTIF(AC1202:AC1207,"NS")</f>
        <v>0</v>
      </c>
      <c r="BV1114">
        <f>SUM(AC1202:AC1207)</f>
        <v>0</v>
      </c>
      <c r="BW1114">
        <f>IF(COUNTA(AC1201:AC1207)=0,0,IF(OR(AND(AC1201=0,BU1114&gt;0),AND(AC1201="ns",BV1114&gt;0),AND(AC1201="ns",BU1114=0,BV1114=0)),1,IF(OR(AND(BU1114&gt;=2,AC1201&gt;BV1114),AND(AC1201="ns",BV1114=0,BU1114&gt;0),AC1201=BV1114),0,1)))</f>
        <v>0</v>
      </c>
      <c r="BX1114">
        <f>COUNTIF(AC1212:AC1220,"NS")</f>
        <v>0</v>
      </c>
      <c r="BY1114">
        <f>SUM(AC1212:AC1220)</f>
        <v>0</v>
      </c>
      <c r="BZ1114">
        <f>IF(COUNTA(AC1211:AC1220)=0,0,IF(OR(AND(AC1211=0,BX1114&gt;0),AND(AC1211="ns",BY1114&gt;0),AND(AC1211="ns",BX1114=0,BY1114=0)),1,IF(OR(AND(BX1114&gt;=2,AC1211&gt;BY1114),AND(AC1211="ns",BY1114=0,BX1114&gt;0),AC1211=BY1114),0,1)))</f>
        <v>0</v>
      </c>
      <c r="CA1114">
        <f>COUNTIF(AC1222:AC1224,"NS")</f>
        <v>0</v>
      </c>
      <c r="CB1114">
        <f>SUM(AC1222:AC1224)</f>
        <v>0</v>
      </c>
      <c r="CC1114">
        <f>IF(COUNTA(AC1221:AC1224)=0,0,IF(OR(AND(AC1221=0,CA1114&gt;0),AND(AC1221="ns",CB1114&gt;0),AND(AC1221="ns",CA1114=0,CB1114=0)),1,IF(OR(AND(CA1114&gt;=2,AC1221&gt;CB1114),AND(AC1221="ns",CB1114=0,CA1114&gt;0),AC1221=CB1114),0,1)))</f>
        <v>0</v>
      </c>
      <c r="CD1114">
        <f>COUNTIF(AC1233:AC1239,"NS")</f>
        <v>0</v>
      </c>
      <c r="CE1114">
        <f>SUM(AC1233:AC1239)</f>
        <v>0</v>
      </c>
      <c r="CF1114">
        <f>IF(COUNTA(AC1232:AC1239)=0,0,IF(OR(AND(AC1232=0,CD1114&gt;0),AND(AC1232="ns",CE1114&gt;0),AND(AC1232="ns",CD1114=0,CE1114=0)),1,IF(OR(AND(CD1114&gt;=2,AC1232&gt;CE1114),AND(AC1232="ns",CE1114=0,CD1114&gt;0),AC1232=CE1114),0,1)))</f>
        <v>0</v>
      </c>
      <c r="CG1114">
        <f>COUNTIF(AC1242:AC1244,"NS")</f>
        <v>0</v>
      </c>
      <c r="CH1114">
        <f>SUM(AC1242:AC1244)</f>
        <v>0</v>
      </c>
      <c r="CI1114">
        <f>IF(COUNTA(AC1241:AC1244)=0,0,IF(OR(AND(AC1241=0,CG1114&gt;0),AND(AC1241="ns",CH1114&gt;0),AND(AC1241="ns",CG1114=0,CH1114=0)),1,IF(OR(AND(CG1114&gt;=2,AC1241&gt;CH1114),AND(AC1241="ns",CH1114=0,CG1114&gt;0),AC1241=CH1114),0,1)))</f>
        <v>0</v>
      </c>
      <c r="CJ1114">
        <f>COUNTIF(AC1254:AC1258,"NS")</f>
        <v>0</v>
      </c>
      <c r="CK1114">
        <f>SUM(AC1254:AC1258)</f>
        <v>0</v>
      </c>
      <c r="CL1114">
        <f>IF(COUNTA(AC1253:AC1258)=0,0,IF(OR(AND(AC1253=0,CJ1114&gt;0),AND(AC1253="ns",CK1114&gt;0),AND(AC1253="ns",CJ1114=0,CK1114=0)),1,IF(OR(AND(CJ1114&gt;=2,AC1253&gt;CK1114),AND(AC1253="ns",CK1114=0,CJ1114&gt;0),AC1253=CK1114),0,1)))</f>
        <v>0</v>
      </c>
    </row>
    <row r="1115" spans="1:90" ht="15" customHeight="1">
      <c r="A1115" s="103"/>
      <c r="B1115" s="57"/>
      <c r="C1115" s="1108" t="s">
        <v>4826</v>
      </c>
      <c r="D1115" s="847" t="s">
        <v>4827</v>
      </c>
      <c r="E1115" s="953"/>
      <c r="F1115" s="848"/>
      <c r="G1115" s="1117" t="s">
        <v>4828</v>
      </c>
      <c r="H1115" s="1118"/>
      <c r="I1115" s="1104" t="s">
        <v>4829</v>
      </c>
      <c r="J1115" s="1105"/>
      <c r="K1115" s="1105"/>
      <c r="L1115" s="1105"/>
      <c r="M1115" s="1105"/>
      <c r="N1115" s="1105"/>
      <c r="O1115" s="1105"/>
      <c r="P1115" s="1105"/>
      <c r="Q1115" s="1105"/>
      <c r="R1115" s="1105"/>
      <c r="S1115" s="1105"/>
      <c r="T1115" s="1105"/>
      <c r="U1115" s="1106"/>
      <c r="V1115" s="100"/>
      <c r="W1115" s="100"/>
      <c r="X1115" s="100"/>
      <c r="Y1115" s="100"/>
      <c r="Z1115" s="100"/>
      <c r="AA1115" s="100"/>
      <c r="AB1115" s="100"/>
      <c r="AC1115" s="100"/>
      <c r="AD1115" s="100"/>
      <c r="AF1115"/>
      <c r="AK1115">
        <f t="shared" si="835"/>
        <v>0</v>
      </c>
      <c r="AL1115">
        <f t="shared" si="836"/>
        <v>0</v>
      </c>
      <c r="AM1115">
        <f t="shared" si="837"/>
        <v>0</v>
      </c>
      <c r="AN1115">
        <f t="shared" si="838"/>
        <v>0</v>
      </c>
      <c r="AO1115">
        <f t="shared" si="839"/>
        <v>0</v>
      </c>
      <c r="AP1115">
        <f t="shared" si="840"/>
        <v>0</v>
      </c>
      <c r="AQ1115">
        <f t="shared" si="841"/>
        <v>0</v>
      </c>
      <c r="AR1115">
        <f t="shared" si="842"/>
        <v>0</v>
      </c>
      <c r="AS1115">
        <f t="shared" si="843"/>
        <v>0</v>
      </c>
      <c r="AT1115">
        <f>COUNTIF(AD1108:AD1113,"NS")</f>
        <v>0</v>
      </c>
      <c r="AU1115">
        <f>SUM(AD1108:AD1113)</f>
        <v>0</v>
      </c>
      <c r="AV1115">
        <f>IF(COUNTA(AD1107:AD1113)=0,0,IF(OR(AND(AD1107=0,AT1115&gt;0),AND(AD1107="ns",AU1115&gt;0),AND(AD1107="ns",AT1115=0,AU1115=0)),1,IF(OR(AND(AT1115&gt;=2,AD1107&gt;AU1115),AND(AD1107="ns",AU1115=0,AT1115&gt;0),AD1107=AU1115),0,1)))</f>
        <v>0</v>
      </c>
      <c r="AW1115">
        <f>COUNTIF(AD1119:AD1123,"NS")</f>
        <v>0</v>
      </c>
      <c r="AX1115">
        <f>SUM(AD1119:AD1123)</f>
        <v>0</v>
      </c>
      <c r="AY1115">
        <f>IF(COUNTA(AD1118:AD1123)=0,0,IF(OR(AND(AD1118=0,AW1115&gt;0),AND(AD1118="ns",AX1115&gt;0),AND(AD1118="ns",AW1115=0,AX1115=0)),1,IF(OR(AND(AW1115&gt;=2,AD1118&gt;AX1115),AND(AD1118="ns",AX1115=0,AW1115&gt;0),AD1118=AX1115),0,1)))</f>
        <v>0</v>
      </c>
      <c r="AZ1115">
        <f>COUNTIF(AD1128:AD1145,"NS")</f>
        <v>0</v>
      </c>
      <c r="BA1115">
        <f>SUM(AD1128:AD1145)</f>
        <v>0</v>
      </c>
      <c r="BB1115">
        <f>IF(COUNTA(AD1127:AD1145)=0,0,IF(OR(AND(AD1127=0,AZ1115&gt;0),AND(AD1127="ns",BA1115&gt;0),AND(AD1127="ns",AZ1115=0,BA1115=0)),1,IF(OR(AND(AZ1115&gt;=2,AD1127&gt;BA1115),AND(AD1127="ns",BA1115=0,AZ1115&gt;0),AD1127=BA1115),0,1)))</f>
        <v>0</v>
      </c>
      <c r="BC1115">
        <f>COUNTIF(AD1147:AD1151,"NS")</f>
        <v>0</v>
      </c>
      <c r="BD1115">
        <f>SUM(AD1147:AD1151)</f>
        <v>0</v>
      </c>
      <c r="BE1115">
        <f>IF(COUNTA(AD1146:AD1151)=0,0,IF(OR(AND(AD1146=0,BC1115&gt;0),AND(AD1146="ns",BD1115&gt;0),AND(AD1146="ns",BC1115=0,BD1115=0)),1,IF(OR(AND(BC1115&gt;=2,AD1146&gt;BD1115),AND(AD1146="ns",BD1115=0,BC1115&gt;0),AD1146=BD1115),0,1)))</f>
        <v>0</v>
      </c>
      <c r="BF1115">
        <f>COUNTIF(AD1155:AD1157,"NS")</f>
        <v>0</v>
      </c>
      <c r="BG1115">
        <f>SUM(AD1155:AD1157)</f>
        <v>0</v>
      </c>
      <c r="BH1115">
        <f>IF(COUNTA(AD1154:AD1157)=0,0,IF(OR(AND(AD1154=0,BF1115&gt;0),AND(AD1154="ns",BG1115&gt;0),AND(AD1154="ns",BF1115=0,BG1115=0)),1,IF(OR(AND(BF1115&gt;=2,AD1154&gt;BG1115),AND(AD1154="ns",BG1115=0,BF1115&gt;0),AD1154=BG1115),0,1)))</f>
        <v>0</v>
      </c>
      <c r="BI1115">
        <f>COUNTIF(AD1165:AD1171,"NS")</f>
        <v>0</v>
      </c>
      <c r="BJ1115">
        <f>SUM(AD1165:AD1171)</f>
        <v>0</v>
      </c>
      <c r="BK1115">
        <f>IF(COUNTA(AD1164:AD1171)=0,0,IF(OR(AND(AD1164=0,BI1115&gt;0),AND(AD1164="ns",BJ1115&gt;0),AND(AD1164="ns",BI1115=0,BJ1115=0)),1,IF(OR(AND(BI1115&gt;=2,AD1164&gt;BJ1115),AND(AD1164="ns",BJ1115=0,BI1115&gt;0),AD1164=BJ1115),0,1)))</f>
        <v>0</v>
      </c>
      <c r="BL1115">
        <f>COUNTIF(AD1173:AD1177,"NS")</f>
        <v>0</v>
      </c>
      <c r="BM1115">
        <f>SUM(AD1173:AD1177)</f>
        <v>0</v>
      </c>
      <c r="BN1115">
        <f>IF(COUNTA(AD1172:AD1177)=0,0,IF(OR(AND(AD1172=0,BL1115&gt;0),AND(AD1172="ns",BM1115&gt;0),AND(AD1172="ns",BL1115=0,BM1115=0)),1,IF(OR(AND(BL1115&gt;=2,AD1172&gt;BM1115),AND(AD1172="ns",BM1115=0,BL1115&gt;0),AD1172=BM1115),0,1)))</f>
        <v>0</v>
      </c>
      <c r="BO1115">
        <f>COUNTIF(AD1183:AD1188,"NS")</f>
        <v>0</v>
      </c>
      <c r="BP1115">
        <f>SUM(AD1183:AD1188)</f>
        <v>0</v>
      </c>
      <c r="BQ1115">
        <f>IF(COUNTA(AD1182:AD1188)=0,0,IF(OR(AND(AD1182=0,BO1115&gt;0),AND(AD1182="ns",BP1115&gt;0),AND(AD1182="ns",BO1115=0,BP1115=0)),1,IF(OR(AND(BO1115&gt;=2,AD1182&gt;BP1115),AND(AD1182="ns",BP1115=0,BO1115&gt;0),AD1182=BP1115),0,1)))</f>
        <v>0</v>
      </c>
      <c r="BR1115">
        <f>COUNTIF(AD1190:AD1197,"NS")</f>
        <v>0</v>
      </c>
      <c r="BS1115">
        <f>SUM(AD1190:AD1197)</f>
        <v>0</v>
      </c>
      <c r="BT1115">
        <f>IF(COUNTA(AD1189:AD1197)=0,0,IF(OR(AND(AD1189=0,BR1115&gt;0),AND(AD1189="ns",BS1115&gt;0),AND(AD1189="ns",BR1115=0,BS1115=0)),1,IF(OR(AND(BR1115&gt;=2,AD1189&gt;BS1115),AND(AD1189="ns",BS1115=0,BR1115&gt;0),AD1189=BS1115),0,1)))</f>
        <v>0</v>
      </c>
      <c r="BU1115">
        <f>COUNTIF(AD1202:AD1207,"NS")</f>
        <v>0</v>
      </c>
      <c r="BV1115">
        <f>SUM(AD1202:AD1207)</f>
        <v>0</v>
      </c>
      <c r="BW1115">
        <f>IF(COUNTA(AD1201:AD1207)=0,0,IF(OR(AND(AD1201=0,BU1115&gt;0),AND(AD1201="ns",BV1115&gt;0),AND(AD1201="ns",BU1115=0,BV1115=0)),1,IF(OR(AND(BU1115&gt;=2,AD1201&gt;BV1115),AND(AD1201="ns",BV1115=0,BU1115&gt;0),AD1201=BV1115),0,1)))</f>
        <v>0</v>
      </c>
      <c r="BX1115">
        <f>COUNTIF(AD1212:AD1220,"NS")</f>
        <v>0</v>
      </c>
      <c r="BY1115">
        <f>SUM(AD1212:AD1220)</f>
        <v>0</v>
      </c>
      <c r="BZ1115">
        <f>IF(COUNTA(AD1211:AD1220)=0,0,IF(OR(AND(AD1211=0,BX1115&gt;0),AND(AD1211="ns",BY1115&gt;0),AND(AD1211="ns",BX1115=0,BY1115=0)),1,IF(OR(AND(BX1115&gt;=2,AD1211&gt;BY1115),AND(AD1211="ns",BY1115=0,BX1115&gt;0),AD1211=BY1115),0,1)))</f>
        <v>0</v>
      </c>
      <c r="CA1115">
        <f>COUNTIF(AD1222:AD1224,"NS")</f>
        <v>0</v>
      </c>
      <c r="CB1115">
        <f>SUM(AD1222:AD1224)</f>
        <v>0</v>
      </c>
      <c r="CC1115">
        <f>IF(COUNTA(AD1221:AD1224)=0,0,IF(OR(AND(AD1221=0,CA1115&gt;0),AND(AD1221="ns",CB1115&gt;0),AND(AD1221="ns",CA1115=0,CB1115=0)),1,IF(OR(AND(CA1115&gt;=2,AD1221&gt;CB1115),AND(AD1221="ns",CB1115=0,CA1115&gt;0),AD1221=CB1115),0,1)))</f>
        <v>0</v>
      </c>
      <c r="CD1115">
        <f>COUNTIF(AD1233:AD1239,"NS")</f>
        <v>0</v>
      </c>
      <c r="CE1115">
        <f>SUM(AD1233:AD1239)</f>
        <v>0</v>
      </c>
      <c r="CF1115">
        <f>IF(COUNTA(AD1232:AD1239)=0,0,IF(OR(AND(AD1232=0,CD1115&gt;0),AND(AD1232="ns",CE1115&gt;0),AND(AD1232="ns",CD1115=0,CE1115=0)),1,IF(OR(AND(CD1115&gt;=2,AD1232&gt;CE1115),AND(AD1232="ns",CE1115=0,CD1115&gt;0),AD1232=CE1115),0,1)))</f>
        <v>0</v>
      </c>
      <c r="CG1115">
        <f>COUNTIF(AD1242:AD1244,"NS")</f>
        <v>0</v>
      </c>
      <c r="CH1115">
        <f>SUM(AD1242:AD1244)</f>
        <v>0</v>
      </c>
      <c r="CI1115">
        <f>IF(COUNTA(AD1241:AD1244)=0,0,IF(OR(AND(AD1241=0,CG1115&gt;0),AND(AD1241="ns",CH1115&gt;0),AND(AD1241="ns",CG1115=0,CH1115=0)),1,IF(OR(AND(CG1115&gt;=2,AD1241&gt;CH1115),AND(AD1241="ns",CH1115=0,CG1115&gt;0),AD1241=CH1115),0,1)))</f>
        <v>0</v>
      </c>
      <c r="CJ1115">
        <f>COUNTIF(AD1254:AD1258,"NS")</f>
        <v>0</v>
      </c>
      <c r="CK1115">
        <f>SUM(AD1254:AD1258)</f>
        <v>0</v>
      </c>
      <c r="CL1115">
        <f>IF(COUNTA(AD1253:AD1258)=0,0,IF(OR(AND(AD1253=0,CJ1115&gt;0),AND(AD1253="ns",CK1115&gt;0),AND(AD1253="ns",CJ1115=0,CK1115=0)),1,IF(OR(AND(CJ1115&gt;=2,AD1253&gt;CK1115),AND(AD1253="ns",CK1115=0,CJ1115&gt;0),AD1253=CK1115),0,1)))</f>
        <v>0</v>
      </c>
    </row>
    <row r="1116" spans="1:90" ht="15" customHeight="1">
      <c r="A1116" s="103"/>
      <c r="B1116" s="57"/>
      <c r="C1116" s="1109"/>
      <c r="D1116" s="954"/>
      <c r="E1116" s="955"/>
      <c r="F1116" s="956"/>
      <c r="G1116" s="1117" t="s">
        <v>4830</v>
      </c>
      <c r="H1116" s="1118"/>
      <c r="I1116" s="1104" t="s">
        <v>4831</v>
      </c>
      <c r="J1116" s="1105"/>
      <c r="K1116" s="1105"/>
      <c r="L1116" s="1105"/>
      <c r="M1116" s="1105"/>
      <c r="N1116" s="1105"/>
      <c r="O1116" s="1105"/>
      <c r="P1116" s="1105"/>
      <c r="Q1116" s="1105"/>
      <c r="R1116" s="1105"/>
      <c r="S1116" s="1105"/>
      <c r="T1116" s="1105"/>
      <c r="U1116" s="1106"/>
      <c r="V1116" s="100"/>
      <c r="W1116" s="100"/>
      <c r="X1116" s="100"/>
      <c r="Y1116" s="100"/>
      <c r="Z1116" s="100"/>
      <c r="AA1116" s="100"/>
      <c r="AB1116" s="100"/>
      <c r="AC1116" s="100"/>
      <c r="AD1116" s="100"/>
      <c r="AF1116"/>
      <c r="AK1116">
        <f t="shared" si="835"/>
        <v>0</v>
      </c>
      <c r="AL1116">
        <f t="shared" si="836"/>
        <v>0</v>
      </c>
      <c r="AM1116">
        <f t="shared" si="837"/>
        <v>0</v>
      </c>
      <c r="AN1116">
        <f t="shared" si="838"/>
        <v>0</v>
      </c>
      <c r="AO1116">
        <f t="shared" si="839"/>
        <v>0</v>
      </c>
      <c r="AP1116">
        <f t="shared" si="840"/>
        <v>0</v>
      </c>
      <c r="AQ1116">
        <f t="shared" si="841"/>
        <v>0</v>
      </c>
      <c r="AR1116">
        <f t="shared" si="842"/>
        <v>0</v>
      </c>
      <c r="AS1116">
        <f t="shared" si="843"/>
        <v>0</v>
      </c>
      <c r="AT1116">
        <f>SUM(AT1107:AT1115)</f>
        <v>0</v>
      </c>
      <c r="AV1116">
        <f>SUM(AV1107:AV1115)</f>
        <v>0</v>
      </c>
      <c r="AW1116">
        <f>SUM(AW1107:AW1115)</f>
        <v>0</v>
      </c>
      <c r="AY1116">
        <f>SUM(AY1107:AY1115)</f>
        <v>0</v>
      </c>
      <c r="AZ1116">
        <f>SUM(AZ1107:AZ1115)</f>
        <v>0</v>
      </c>
      <c r="BB1116">
        <f>SUM(BB1107:BB1115)</f>
        <v>0</v>
      </c>
      <c r="BC1116">
        <f>SUM(BC1107:BC1115)</f>
        <v>0</v>
      </c>
      <c r="BE1116">
        <f>SUM(BE1107:BE1115)</f>
        <v>0</v>
      </c>
      <c r="BF1116">
        <f>SUM(BF1107:BF1115)</f>
        <v>0</v>
      </c>
      <c r="BH1116">
        <f>SUM(BH1107:BH1115)</f>
        <v>0</v>
      </c>
      <c r="BI1116">
        <f>SUM(BI1107:BI1115)</f>
        <v>0</v>
      </c>
      <c r="BK1116">
        <f>SUM(BK1107:BK1115)</f>
        <v>0</v>
      </c>
      <c r="BL1116">
        <f>SUM(BL1107:BL1115)</f>
        <v>0</v>
      </c>
      <c r="BN1116">
        <f>SUM(BN1107:BN1115)</f>
        <v>0</v>
      </c>
      <c r="BO1116">
        <f>SUM(BO1107:BO1115)</f>
        <v>0</v>
      </c>
      <c r="BQ1116">
        <f>SUM(BQ1107:BQ1115)</f>
        <v>0</v>
      </c>
      <c r="BR1116">
        <f>SUM(BR1107:BR1115)</f>
        <v>0</v>
      </c>
      <c r="BT1116">
        <f>SUM(BT1107:BT1115)</f>
        <v>0</v>
      </c>
      <c r="BU1116">
        <f>SUM(BU1107:BU1115)</f>
        <v>0</v>
      </c>
      <c r="BW1116">
        <f>SUM(BW1107:BW1115)</f>
        <v>0</v>
      </c>
      <c r="BX1116">
        <f>SUM(BX1107:BX1115)</f>
        <v>0</v>
      </c>
      <c r="BZ1116">
        <f>SUM(BZ1107:BZ1115)</f>
        <v>0</v>
      </c>
      <c r="CA1116">
        <f>SUM(CA1107:CA1115)</f>
        <v>0</v>
      </c>
      <c r="CC1116">
        <f>SUM(CC1107:CC1115)</f>
        <v>0</v>
      </c>
      <c r="CD1116">
        <f>SUM(CD1107:CD1115)</f>
        <v>0</v>
      </c>
      <c r="CF1116">
        <f>SUM(CF1107:CF1115)</f>
        <v>0</v>
      </c>
      <c r="CG1116">
        <f>SUM(CG1107:CG1115)</f>
        <v>0</v>
      </c>
      <c r="CI1116">
        <f>SUM(CI1107:CI1115)</f>
        <v>0</v>
      </c>
      <c r="CJ1116">
        <f>SUM(CJ1107:CJ1115)</f>
        <v>0</v>
      </c>
      <c r="CL1116">
        <f>SUM(CL1107:CL1115)</f>
        <v>0</v>
      </c>
    </row>
    <row r="1117" spans="1:90" ht="15" customHeight="1">
      <c r="A1117" s="103"/>
      <c r="B1117" s="57"/>
      <c r="C1117" s="1109"/>
      <c r="D1117" s="954"/>
      <c r="E1117" s="955"/>
      <c r="F1117" s="956"/>
      <c r="G1117" s="1117" t="s">
        <v>4832</v>
      </c>
      <c r="H1117" s="1118"/>
      <c r="I1117" s="1104" t="s">
        <v>4833</v>
      </c>
      <c r="J1117" s="1105"/>
      <c r="K1117" s="1105"/>
      <c r="L1117" s="1105"/>
      <c r="M1117" s="1105"/>
      <c r="N1117" s="1105"/>
      <c r="O1117" s="1105"/>
      <c r="P1117" s="1105"/>
      <c r="Q1117" s="1105"/>
      <c r="R1117" s="1105"/>
      <c r="S1117" s="1105"/>
      <c r="T1117" s="1105"/>
      <c r="U1117" s="1106"/>
      <c r="V1117" s="100"/>
      <c r="W1117" s="100"/>
      <c r="X1117" s="100"/>
      <c r="Y1117" s="100"/>
      <c r="Z1117" s="100"/>
      <c r="AA1117" s="100"/>
      <c r="AB1117" s="100"/>
      <c r="AC1117" s="100"/>
      <c r="AD1117" s="100"/>
      <c r="AF1117"/>
      <c r="AK1117">
        <f t="shared" si="835"/>
        <v>0</v>
      </c>
      <c r="AL1117">
        <f t="shared" si="836"/>
        <v>0</v>
      </c>
      <c r="AM1117">
        <f t="shared" si="837"/>
        <v>0</v>
      </c>
      <c r="AN1117">
        <f t="shared" si="838"/>
        <v>0</v>
      </c>
      <c r="AO1117">
        <f t="shared" si="839"/>
        <v>0</v>
      </c>
      <c r="AP1117">
        <f t="shared" si="840"/>
        <v>0</v>
      </c>
      <c r="AQ1117">
        <f t="shared" si="841"/>
        <v>0</v>
      </c>
      <c r="AR1117">
        <f t="shared" si="842"/>
        <v>0</v>
      </c>
      <c r="AS1117">
        <f t="shared" si="843"/>
        <v>0</v>
      </c>
      <c r="CL1117" s="405">
        <f>SUM(AV1116,AY1116,BB1116,BE1116,BH1116,BK1116,BN1116,BQ1116,BT1116,BW1116,BZ1116,CC1116,CF1116,CI1116,CL1116)</f>
        <v>0</v>
      </c>
    </row>
    <row r="1118" spans="1:90" ht="15" customHeight="1">
      <c r="A1118" s="103"/>
      <c r="B1118" s="57"/>
      <c r="C1118" s="1109"/>
      <c r="D1118" s="954"/>
      <c r="E1118" s="955"/>
      <c r="F1118" s="956"/>
      <c r="G1118" s="1117" t="s">
        <v>4834</v>
      </c>
      <c r="H1118" s="1118"/>
      <c r="I1118" s="1104" t="s">
        <v>4835</v>
      </c>
      <c r="J1118" s="1105"/>
      <c r="K1118" s="1105"/>
      <c r="L1118" s="1105"/>
      <c r="M1118" s="1105"/>
      <c r="N1118" s="1105"/>
      <c r="O1118" s="1105"/>
      <c r="P1118" s="1105"/>
      <c r="Q1118" s="1105"/>
      <c r="R1118" s="1105"/>
      <c r="S1118" s="1105"/>
      <c r="T1118" s="1105"/>
      <c r="U1118" s="1106"/>
      <c r="V1118" s="100"/>
      <c r="W1118" s="100"/>
      <c r="X1118" s="100"/>
      <c r="Y1118" s="100"/>
      <c r="Z1118" s="100"/>
      <c r="AA1118" s="100"/>
      <c r="AB1118" s="100"/>
      <c r="AC1118" s="100"/>
      <c r="AD1118" s="100"/>
      <c r="AF1118"/>
      <c r="AK1118">
        <f t="shared" si="835"/>
        <v>0</v>
      </c>
      <c r="AL1118">
        <f t="shared" si="836"/>
        <v>0</v>
      </c>
      <c r="AM1118">
        <f t="shared" si="837"/>
        <v>0</v>
      </c>
      <c r="AN1118">
        <f t="shared" si="838"/>
        <v>0</v>
      </c>
      <c r="AO1118">
        <f t="shared" si="839"/>
        <v>0</v>
      </c>
      <c r="AP1118">
        <f t="shared" si="840"/>
        <v>0</v>
      </c>
      <c r="AQ1118">
        <f t="shared" si="841"/>
        <v>0</v>
      </c>
      <c r="AR1118">
        <f t="shared" si="842"/>
        <v>0</v>
      </c>
      <c r="AS1118">
        <f t="shared" si="843"/>
        <v>0</v>
      </c>
      <c r="CL1118" s="701">
        <f>SUM(CR951,CL1117)</f>
        <v>0</v>
      </c>
    </row>
    <row r="1119" spans="1:90" ht="15" customHeight="1">
      <c r="A1119" s="103"/>
      <c r="B1119" s="57"/>
      <c r="C1119" s="1109"/>
      <c r="D1119" s="954"/>
      <c r="E1119" s="955"/>
      <c r="F1119" s="956"/>
      <c r="G1119" s="1119" t="s">
        <v>4837</v>
      </c>
      <c r="H1119" s="1120"/>
      <c r="I1119" s="177"/>
      <c r="J1119" s="1115" t="s">
        <v>4838</v>
      </c>
      <c r="K1119" s="1115"/>
      <c r="L1119" s="1115"/>
      <c r="M1119" s="1115"/>
      <c r="N1119" s="1115"/>
      <c r="O1119" s="1115"/>
      <c r="P1119" s="1115"/>
      <c r="Q1119" s="1115"/>
      <c r="R1119" s="1115"/>
      <c r="S1119" s="1115"/>
      <c r="T1119" s="1115"/>
      <c r="U1119" s="1116"/>
      <c r="V1119" s="100"/>
      <c r="W1119" s="100"/>
      <c r="X1119" s="100"/>
      <c r="Y1119" s="100"/>
      <c r="Z1119" s="100"/>
      <c r="AA1119" s="100"/>
      <c r="AB1119" s="100"/>
      <c r="AC1119" s="100"/>
      <c r="AD1119" s="100"/>
      <c r="AF1119"/>
      <c r="AK1119">
        <f t="shared" si="835"/>
        <v>0</v>
      </c>
      <c r="AL1119">
        <f t="shared" si="836"/>
        <v>0</v>
      </c>
      <c r="AM1119">
        <f t="shared" si="837"/>
        <v>0</v>
      </c>
      <c r="AN1119">
        <f t="shared" si="838"/>
        <v>0</v>
      </c>
      <c r="AO1119">
        <f t="shared" si="839"/>
        <v>0</v>
      </c>
      <c r="AP1119">
        <f t="shared" si="840"/>
        <v>0</v>
      </c>
      <c r="AQ1119">
        <f t="shared" si="841"/>
        <v>0</v>
      </c>
      <c r="AR1119">
        <f t="shared" si="842"/>
        <v>0</v>
      </c>
      <c r="AS1119">
        <f t="shared" si="843"/>
        <v>0</v>
      </c>
      <c r="CK1119" t="s">
        <v>4836</v>
      </c>
      <c r="CL1119" s="506">
        <f>CL1118-SUM(COUNTIF(P935,"NA"),COUNTIF(P946,"NA"),COUNTIF(P955,"NA"),COUNTIF(P974,"NA"),COUNTIF(P982,"NA"),COUNTIF(P992,"NA"),COUNTIF(P1000,"NA"),COUNTIF(P1010,"NA"),COUNTIF(P1017,"NA"),COUNTIF(P1029,"NA"),COUNTIF(P1039,"NA"),COUNTIF(P1049,"NA"),COUNTIF(P1060,"NA"),COUNTIF(P1069,"NA"),COUNTIF(P1081,"NA"))</f>
        <v>0</v>
      </c>
    </row>
    <row r="1120" spans="1:90" ht="36" customHeight="1">
      <c r="A1120" s="103"/>
      <c r="B1120" s="57"/>
      <c r="C1120" s="1109"/>
      <c r="D1120" s="954"/>
      <c r="E1120" s="955"/>
      <c r="F1120" s="956"/>
      <c r="G1120" s="1119" t="s">
        <v>4839</v>
      </c>
      <c r="H1120" s="1120"/>
      <c r="I1120" s="178"/>
      <c r="J1120" s="1111" t="s">
        <v>4840</v>
      </c>
      <c r="K1120" s="1111"/>
      <c r="L1120" s="1111"/>
      <c r="M1120" s="1111"/>
      <c r="N1120" s="1111"/>
      <c r="O1120" s="1111"/>
      <c r="P1120" s="1111"/>
      <c r="Q1120" s="1111"/>
      <c r="R1120" s="1111"/>
      <c r="S1120" s="1111"/>
      <c r="T1120" s="1111"/>
      <c r="U1120" s="1112"/>
      <c r="V1120" s="100"/>
      <c r="W1120" s="100"/>
      <c r="X1120" s="100"/>
      <c r="Y1120" s="100"/>
      <c r="Z1120" s="100"/>
      <c r="AA1120" s="100"/>
      <c r="AB1120" s="100"/>
      <c r="AC1120" s="100"/>
      <c r="AD1120" s="100"/>
      <c r="AF1120"/>
      <c r="AK1120">
        <f t="shared" si="835"/>
        <v>0</v>
      </c>
      <c r="AL1120">
        <f t="shared" si="836"/>
        <v>0</v>
      </c>
      <c r="AM1120">
        <f t="shared" si="837"/>
        <v>0</v>
      </c>
      <c r="AN1120">
        <f t="shared" si="838"/>
        <v>0</v>
      </c>
      <c r="AO1120">
        <f t="shared" si="839"/>
        <v>0</v>
      </c>
      <c r="AP1120">
        <f t="shared" si="840"/>
        <v>0</v>
      </c>
      <c r="AQ1120">
        <f t="shared" si="841"/>
        <v>0</v>
      </c>
      <c r="AR1120">
        <f t="shared" si="842"/>
        <v>0</v>
      </c>
      <c r="AS1120">
        <f t="shared" si="843"/>
        <v>0</v>
      </c>
    </row>
    <row r="1121" spans="1:45" ht="15" customHeight="1">
      <c r="A1121" s="103"/>
      <c r="B1121" s="57"/>
      <c r="C1121" s="1109"/>
      <c r="D1121" s="954"/>
      <c r="E1121" s="955"/>
      <c r="F1121" s="956"/>
      <c r="G1121" s="1119" t="s">
        <v>4841</v>
      </c>
      <c r="H1121" s="1120"/>
      <c r="I1121" s="178"/>
      <c r="J1121" s="1111" t="s">
        <v>4842</v>
      </c>
      <c r="K1121" s="1111"/>
      <c r="L1121" s="1111"/>
      <c r="M1121" s="1111"/>
      <c r="N1121" s="1111"/>
      <c r="O1121" s="1111"/>
      <c r="P1121" s="1111"/>
      <c r="Q1121" s="1111"/>
      <c r="R1121" s="1111"/>
      <c r="S1121" s="1111"/>
      <c r="T1121" s="1111"/>
      <c r="U1121" s="1112"/>
      <c r="V1121" s="100"/>
      <c r="W1121" s="100"/>
      <c r="X1121" s="100"/>
      <c r="Y1121" s="100"/>
      <c r="Z1121" s="100"/>
      <c r="AA1121" s="100"/>
      <c r="AB1121" s="100"/>
      <c r="AC1121" s="100"/>
      <c r="AD1121" s="100"/>
      <c r="AF1121"/>
      <c r="AK1121">
        <f t="shared" si="835"/>
        <v>0</v>
      </c>
      <c r="AL1121">
        <f t="shared" si="836"/>
        <v>0</v>
      </c>
      <c r="AM1121">
        <f t="shared" si="837"/>
        <v>0</v>
      </c>
      <c r="AN1121">
        <f t="shared" si="838"/>
        <v>0</v>
      </c>
      <c r="AO1121">
        <f t="shared" si="839"/>
        <v>0</v>
      </c>
      <c r="AP1121">
        <f t="shared" si="840"/>
        <v>0</v>
      </c>
      <c r="AQ1121">
        <f t="shared" si="841"/>
        <v>0</v>
      </c>
      <c r="AR1121">
        <f t="shared" si="842"/>
        <v>0</v>
      </c>
      <c r="AS1121">
        <f t="shared" si="843"/>
        <v>0</v>
      </c>
    </row>
    <row r="1122" spans="1:45" ht="15" customHeight="1">
      <c r="A1122" s="103"/>
      <c r="B1122" s="57"/>
      <c r="C1122" s="1109"/>
      <c r="D1122" s="954"/>
      <c r="E1122" s="955"/>
      <c r="F1122" s="956"/>
      <c r="G1122" s="1119" t="s">
        <v>4843</v>
      </c>
      <c r="H1122" s="1120"/>
      <c r="I1122" s="178"/>
      <c r="J1122" s="1111" t="s">
        <v>4844</v>
      </c>
      <c r="K1122" s="1111"/>
      <c r="L1122" s="1111"/>
      <c r="M1122" s="1111"/>
      <c r="N1122" s="1111"/>
      <c r="O1122" s="1111"/>
      <c r="P1122" s="1111"/>
      <c r="Q1122" s="1111"/>
      <c r="R1122" s="1111"/>
      <c r="S1122" s="1111"/>
      <c r="T1122" s="1111"/>
      <c r="U1122" s="1112"/>
      <c r="V1122" s="100"/>
      <c r="W1122" s="100"/>
      <c r="X1122" s="100"/>
      <c r="Y1122" s="100"/>
      <c r="Z1122" s="100"/>
      <c r="AA1122" s="100"/>
      <c r="AB1122" s="100"/>
      <c r="AC1122" s="100"/>
      <c r="AD1122" s="100"/>
      <c r="AF1122"/>
      <c r="AK1122">
        <f t="shared" si="835"/>
        <v>0</v>
      </c>
      <c r="AL1122">
        <f t="shared" si="836"/>
        <v>0</v>
      </c>
      <c r="AM1122">
        <f t="shared" si="837"/>
        <v>0</v>
      </c>
      <c r="AN1122">
        <f t="shared" si="838"/>
        <v>0</v>
      </c>
      <c r="AO1122">
        <f t="shared" si="839"/>
        <v>0</v>
      </c>
      <c r="AP1122">
        <f t="shared" si="840"/>
        <v>0</v>
      </c>
      <c r="AQ1122">
        <f t="shared" si="841"/>
        <v>0</v>
      </c>
      <c r="AR1122">
        <f t="shared" si="842"/>
        <v>0</v>
      </c>
      <c r="AS1122">
        <f t="shared" si="843"/>
        <v>0</v>
      </c>
    </row>
    <row r="1123" spans="1:45" ht="15" customHeight="1">
      <c r="A1123" s="103"/>
      <c r="B1123" s="57"/>
      <c r="C1123" s="1109"/>
      <c r="D1123" s="954"/>
      <c r="E1123" s="955"/>
      <c r="F1123" s="956"/>
      <c r="G1123" s="1119" t="s">
        <v>4845</v>
      </c>
      <c r="H1123" s="1120"/>
      <c r="I1123" s="179"/>
      <c r="J1123" s="1113" t="s">
        <v>201</v>
      </c>
      <c r="K1123" s="1113"/>
      <c r="L1123" s="1113"/>
      <c r="M1123" s="1113"/>
      <c r="N1123" s="1113"/>
      <c r="O1123" s="1113"/>
      <c r="P1123" s="1113"/>
      <c r="Q1123" s="1113"/>
      <c r="R1123" s="1113"/>
      <c r="S1123" s="1113"/>
      <c r="T1123" s="1113"/>
      <c r="U1123" s="1114"/>
      <c r="V1123" s="100"/>
      <c r="W1123" s="100"/>
      <c r="X1123" s="100"/>
      <c r="Y1123" s="100"/>
      <c r="Z1123" s="100"/>
      <c r="AA1123" s="100"/>
      <c r="AB1123" s="100"/>
      <c r="AC1123" s="100"/>
      <c r="AD1123" s="100"/>
      <c r="AF1123"/>
      <c r="AK1123">
        <f t="shared" si="835"/>
        <v>0</v>
      </c>
      <c r="AL1123">
        <f t="shared" si="836"/>
        <v>0</v>
      </c>
      <c r="AM1123">
        <f t="shared" si="837"/>
        <v>0</v>
      </c>
      <c r="AN1123">
        <f t="shared" si="838"/>
        <v>0</v>
      </c>
      <c r="AO1123">
        <f t="shared" si="839"/>
        <v>0</v>
      </c>
      <c r="AP1123">
        <f t="shared" si="840"/>
        <v>0</v>
      </c>
      <c r="AQ1123">
        <f t="shared" si="841"/>
        <v>0</v>
      </c>
      <c r="AR1123">
        <f t="shared" si="842"/>
        <v>0</v>
      </c>
      <c r="AS1123">
        <f t="shared" si="843"/>
        <v>0</v>
      </c>
    </row>
    <row r="1124" spans="1:45" ht="15" customHeight="1">
      <c r="A1124" s="103"/>
      <c r="B1124" s="57"/>
      <c r="C1124" s="1109"/>
      <c r="D1124" s="954"/>
      <c r="E1124" s="955"/>
      <c r="F1124" s="956"/>
      <c r="G1124" s="1117" t="s">
        <v>4846</v>
      </c>
      <c r="H1124" s="1118"/>
      <c r="I1124" s="1104" t="s">
        <v>4847</v>
      </c>
      <c r="J1124" s="1105"/>
      <c r="K1124" s="1105"/>
      <c r="L1124" s="1105"/>
      <c r="M1124" s="1105"/>
      <c r="N1124" s="1105"/>
      <c r="O1124" s="1105"/>
      <c r="P1124" s="1105"/>
      <c r="Q1124" s="1105"/>
      <c r="R1124" s="1105"/>
      <c r="S1124" s="1105"/>
      <c r="T1124" s="1105"/>
      <c r="U1124" s="1106"/>
      <c r="V1124" s="100"/>
      <c r="W1124" s="100"/>
      <c r="X1124" s="100"/>
      <c r="Y1124" s="100"/>
      <c r="Z1124" s="100"/>
      <c r="AA1124" s="100"/>
      <c r="AB1124" s="100"/>
      <c r="AC1124" s="100"/>
      <c r="AD1124" s="100"/>
      <c r="AF1124"/>
      <c r="AK1124">
        <f t="shared" si="835"/>
        <v>0</v>
      </c>
      <c r="AL1124">
        <f t="shared" si="836"/>
        <v>0</v>
      </c>
      <c r="AM1124">
        <f t="shared" si="837"/>
        <v>0</v>
      </c>
      <c r="AN1124">
        <f t="shared" si="838"/>
        <v>0</v>
      </c>
      <c r="AO1124">
        <f t="shared" si="839"/>
        <v>0</v>
      </c>
      <c r="AP1124">
        <f t="shared" si="840"/>
        <v>0</v>
      </c>
      <c r="AQ1124">
        <f t="shared" si="841"/>
        <v>0</v>
      </c>
      <c r="AR1124">
        <f t="shared" si="842"/>
        <v>0</v>
      </c>
      <c r="AS1124">
        <f t="shared" si="843"/>
        <v>0</v>
      </c>
    </row>
    <row r="1125" spans="1:45" ht="15" customHeight="1">
      <c r="A1125" s="103"/>
      <c r="B1125" s="57"/>
      <c r="C1125" s="1109"/>
      <c r="D1125" s="954"/>
      <c r="E1125" s="955"/>
      <c r="F1125" s="956"/>
      <c r="G1125" s="1117" t="s">
        <v>4848</v>
      </c>
      <c r="H1125" s="1118"/>
      <c r="I1125" s="1104" t="s">
        <v>4849</v>
      </c>
      <c r="J1125" s="1105"/>
      <c r="K1125" s="1105"/>
      <c r="L1125" s="1105"/>
      <c r="M1125" s="1105"/>
      <c r="N1125" s="1105"/>
      <c r="O1125" s="1105"/>
      <c r="P1125" s="1105"/>
      <c r="Q1125" s="1105"/>
      <c r="R1125" s="1105"/>
      <c r="S1125" s="1105"/>
      <c r="T1125" s="1105"/>
      <c r="U1125" s="1106"/>
      <c r="V1125" s="100"/>
      <c r="W1125" s="100"/>
      <c r="X1125" s="100"/>
      <c r="Y1125" s="100"/>
      <c r="Z1125" s="100"/>
      <c r="AA1125" s="100"/>
      <c r="AB1125" s="100"/>
      <c r="AC1125" s="100"/>
      <c r="AD1125" s="100"/>
      <c r="AF1125"/>
      <c r="AK1125">
        <f t="shared" si="835"/>
        <v>0</v>
      </c>
      <c r="AL1125">
        <f t="shared" si="836"/>
        <v>0</v>
      </c>
      <c r="AM1125">
        <f t="shared" si="837"/>
        <v>0</v>
      </c>
      <c r="AN1125">
        <f t="shared" si="838"/>
        <v>0</v>
      </c>
      <c r="AO1125">
        <f t="shared" si="839"/>
        <v>0</v>
      </c>
      <c r="AP1125">
        <f t="shared" si="840"/>
        <v>0</v>
      </c>
      <c r="AQ1125">
        <f t="shared" si="841"/>
        <v>0</v>
      </c>
      <c r="AR1125">
        <f t="shared" si="842"/>
        <v>0</v>
      </c>
      <c r="AS1125">
        <f t="shared" si="843"/>
        <v>0</v>
      </c>
    </row>
    <row r="1126" spans="1:45" ht="15" customHeight="1">
      <c r="A1126" s="103"/>
      <c r="B1126" s="57"/>
      <c r="C1126" s="1109"/>
      <c r="D1126" s="954"/>
      <c r="E1126" s="955"/>
      <c r="F1126" s="956"/>
      <c r="G1126" s="1117" t="s">
        <v>4850</v>
      </c>
      <c r="H1126" s="1118"/>
      <c r="I1126" s="1104" t="s">
        <v>4851</v>
      </c>
      <c r="J1126" s="1105"/>
      <c r="K1126" s="1105"/>
      <c r="L1126" s="1105"/>
      <c r="M1126" s="1105"/>
      <c r="N1126" s="1105"/>
      <c r="O1126" s="1105"/>
      <c r="P1126" s="1105"/>
      <c r="Q1126" s="1105"/>
      <c r="R1126" s="1105"/>
      <c r="S1126" s="1105"/>
      <c r="T1126" s="1105"/>
      <c r="U1126" s="1106"/>
      <c r="V1126" s="100"/>
      <c r="W1126" s="100"/>
      <c r="X1126" s="100"/>
      <c r="Y1126" s="100"/>
      <c r="Z1126" s="100"/>
      <c r="AA1126" s="100"/>
      <c r="AB1126" s="100"/>
      <c r="AC1126" s="100"/>
      <c r="AD1126" s="100"/>
      <c r="AF1126"/>
      <c r="AK1126">
        <f t="shared" si="835"/>
        <v>0</v>
      </c>
      <c r="AL1126">
        <f t="shared" si="836"/>
        <v>0</v>
      </c>
      <c r="AM1126">
        <f t="shared" si="837"/>
        <v>0</v>
      </c>
      <c r="AN1126">
        <f t="shared" si="838"/>
        <v>0</v>
      </c>
      <c r="AO1126">
        <f t="shared" si="839"/>
        <v>0</v>
      </c>
      <c r="AP1126">
        <f t="shared" si="840"/>
        <v>0</v>
      </c>
      <c r="AQ1126">
        <f t="shared" si="841"/>
        <v>0</v>
      </c>
      <c r="AR1126">
        <f t="shared" si="842"/>
        <v>0</v>
      </c>
      <c r="AS1126">
        <f t="shared" si="843"/>
        <v>0</v>
      </c>
    </row>
    <row r="1127" spans="1:45" ht="15" customHeight="1">
      <c r="A1127" s="103"/>
      <c r="B1127" s="57"/>
      <c r="C1127" s="1108" t="s">
        <v>4852</v>
      </c>
      <c r="D1127" s="847" t="s">
        <v>4853</v>
      </c>
      <c r="E1127" s="953"/>
      <c r="F1127" s="848"/>
      <c r="G1127" s="1117" t="s">
        <v>4854</v>
      </c>
      <c r="H1127" s="1118"/>
      <c r="I1127" s="1104" t="s">
        <v>4855</v>
      </c>
      <c r="J1127" s="1105"/>
      <c r="K1127" s="1105"/>
      <c r="L1127" s="1105"/>
      <c r="M1127" s="1105"/>
      <c r="N1127" s="1105"/>
      <c r="O1127" s="1105"/>
      <c r="P1127" s="1105"/>
      <c r="Q1127" s="1105"/>
      <c r="R1127" s="1105"/>
      <c r="S1127" s="1105"/>
      <c r="T1127" s="1105"/>
      <c r="U1127" s="1106"/>
      <c r="V1127" s="100"/>
      <c r="W1127" s="100"/>
      <c r="X1127" s="100"/>
      <c r="Y1127" s="100"/>
      <c r="Z1127" s="100"/>
      <c r="AA1127" s="100"/>
      <c r="AB1127" s="100"/>
      <c r="AC1127" s="100"/>
      <c r="AD1127" s="100"/>
      <c r="AF1127"/>
      <c r="AK1127">
        <f t="shared" si="835"/>
        <v>0</v>
      </c>
      <c r="AL1127">
        <f t="shared" si="836"/>
        <v>0</v>
      </c>
      <c r="AM1127">
        <f t="shared" si="837"/>
        <v>0</v>
      </c>
      <c r="AN1127">
        <f t="shared" si="838"/>
        <v>0</v>
      </c>
      <c r="AO1127">
        <f t="shared" si="839"/>
        <v>0</v>
      </c>
      <c r="AP1127">
        <f t="shared" si="840"/>
        <v>0</v>
      </c>
      <c r="AQ1127">
        <f t="shared" si="841"/>
        <v>0</v>
      </c>
      <c r="AR1127">
        <f t="shared" si="842"/>
        <v>0</v>
      </c>
      <c r="AS1127">
        <f t="shared" si="843"/>
        <v>0</v>
      </c>
    </row>
    <row r="1128" spans="1:45" ht="15" customHeight="1">
      <c r="A1128" s="103"/>
      <c r="B1128" s="57"/>
      <c r="C1128" s="1109"/>
      <c r="D1128" s="954"/>
      <c r="E1128" s="955"/>
      <c r="F1128" s="956"/>
      <c r="G1128" s="1119" t="s">
        <v>4856</v>
      </c>
      <c r="H1128" s="1120"/>
      <c r="I1128" s="177"/>
      <c r="J1128" s="1115" t="s">
        <v>4857</v>
      </c>
      <c r="K1128" s="1115"/>
      <c r="L1128" s="1115"/>
      <c r="M1128" s="1115"/>
      <c r="N1128" s="1115"/>
      <c r="O1128" s="1115"/>
      <c r="P1128" s="1115"/>
      <c r="Q1128" s="1115"/>
      <c r="R1128" s="1115"/>
      <c r="S1128" s="1115"/>
      <c r="T1128" s="1115"/>
      <c r="U1128" s="1116"/>
      <c r="V1128" s="100"/>
      <c r="W1128" s="100"/>
      <c r="X1128" s="100"/>
      <c r="Y1128" s="100"/>
      <c r="Z1128" s="100"/>
      <c r="AA1128" s="100"/>
      <c r="AB1128" s="100"/>
      <c r="AC1128" s="100"/>
      <c r="AD1128" s="100"/>
      <c r="AF1128"/>
      <c r="AK1128">
        <f t="shared" si="835"/>
        <v>0</v>
      </c>
      <c r="AL1128">
        <f t="shared" si="836"/>
        <v>0</v>
      </c>
      <c r="AM1128">
        <f t="shared" si="837"/>
        <v>0</v>
      </c>
      <c r="AN1128">
        <f t="shared" si="838"/>
        <v>0</v>
      </c>
      <c r="AO1128">
        <f t="shared" si="839"/>
        <v>0</v>
      </c>
      <c r="AP1128">
        <f t="shared" si="840"/>
        <v>0</v>
      </c>
      <c r="AQ1128">
        <f t="shared" si="841"/>
        <v>0</v>
      </c>
      <c r="AR1128">
        <f t="shared" si="842"/>
        <v>0</v>
      </c>
      <c r="AS1128">
        <f t="shared" si="843"/>
        <v>0</v>
      </c>
    </row>
    <row r="1129" spans="1:45" ht="15" customHeight="1">
      <c r="A1129" s="103"/>
      <c r="B1129" s="57"/>
      <c r="C1129" s="1109"/>
      <c r="D1129" s="954"/>
      <c r="E1129" s="955"/>
      <c r="F1129" s="956"/>
      <c r="G1129" s="1119" t="s">
        <v>4858</v>
      </c>
      <c r="H1129" s="1120"/>
      <c r="I1129" s="178"/>
      <c r="J1129" s="1111" t="s">
        <v>4859</v>
      </c>
      <c r="K1129" s="1111"/>
      <c r="L1129" s="1111"/>
      <c r="M1129" s="1111"/>
      <c r="N1129" s="1111"/>
      <c r="O1129" s="1111"/>
      <c r="P1129" s="1111"/>
      <c r="Q1129" s="1111"/>
      <c r="R1129" s="1111"/>
      <c r="S1129" s="1111"/>
      <c r="T1129" s="1111"/>
      <c r="U1129" s="1112"/>
      <c r="V1129" s="100"/>
      <c r="W1129" s="100"/>
      <c r="X1129" s="100"/>
      <c r="Y1129" s="100"/>
      <c r="Z1129" s="100"/>
      <c r="AA1129" s="100"/>
      <c r="AB1129" s="100"/>
      <c r="AC1129" s="100"/>
      <c r="AD1129" s="100"/>
      <c r="AF1129"/>
      <c r="AK1129">
        <f t="shared" si="835"/>
        <v>0</v>
      </c>
      <c r="AL1129">
        <f t="shared" si="836"/>
        <v>0</v>
      </c>
      <c r="AM1129">
        <f t="shared" si="837"/>
        <v>0</v>
      </c>
      <c r="AN1129">
        <f t="shared" si="838"/>
        <v>0</v>
      </c>
      <c r="AO1129">
        <f t="shared" si="839"/>
        <v>0</v>
      </c>
      <c r="AP1129">
        <f t="shared" si="840"/>
        <v>0</v>
      </c>
      <c r="AQ1129">
        <f t="shared" si="841"/>
        <v>0</v>
      </c>
      <c r="AR1129">
        <f t="shared" si="842"/>
        <v>0</v>
      </c>
      <c r="AS1129">
        <f t="shared" si="843"/>
        <v>0</v>
      </c>
    </row>
    <row r="1130" spans="1:45" ht="15" customHeight="1">
      <c r="A1130" s="103"/>
      <c r="B1130" s="57"/>
      <c r="C1130" s="1109"/>
      <c r="D1130" s="954"/>
      <c r="E1130" s="955"/>
      <c r="F1130" s="956"/>
      <c r="G1130" s="1119" t="s">
        <v>4860</v>
      </c>
      <c r="H1130" s="1120"/>
      <c r="I1130" s="178"/>
      <c r="J1130" s="1111" t="s">
        <v>4861</v>
      </c>
      <c r="K1130" s="1111"/>
      <c r="L1130" s="1111"/>
      <c r="M1130" s="1111"/>
      <c r="N1130" s="1111"/>
      <c r="O1130" s="1111"/>
      <c r="P1130" s="1111"/>
      <c r="Q1130" s="1111"/>
      <c r="R1130" s="1111"/>
      <c r="S1130" s="1111"/>
      <c r="T1130" s="1111"/>
      <c r="U1130" s="1112"/>
      <c r="V1130" s="100"/>
      <c r="W1130" s="100"/>
      <c r="X1130" s="100"/>
      <c r="Y1130" s="100"/>
      <c r="Z1130" s="100"/>
      <c r="AA1130" s="100"/>
      <c r="AB1130" s="100"/>
      <c r="AC1130" s="100"/>
      <c r="AD1130" s="100"/>
      <c r="AF1130"/>
      <c r="AK1130">
        <f t="shared" si="835"/>
        <v>0</v>
      </c>
      <c r="AL1130">
        <f t="shared" si="836"/>
        <v>0</v>
      </c>
      <c r="AM1130">
        <f t="shared" si="837"/>
        <v>0</v>
      </c>
      <c r="AN1130">
        <f t="shared" si="838"/>
        <v>0</v>
      </c>
      <c r="AO1130">
        <f t="shared" si="839"/>
        <v>0</v>
      </c>
      <c r="AP1130">
        <f t="shared" si="840"/>
        <v>0</v>
      </c>
      <c r="AQ1130">
        <f t="shared" si="841"/>
        <v>0</v>
      </c>
      <c r="AR1130">
        <f t="shared" si="842"/>
        <v>0</v>
      </c>
      <c r="AS1130">
        <f t="shared" si="843"/>
        <v>0</v>
      </c>
    </row>
    <row r="1131" spans="1:45" ht="15" customHeight="1">
      <c r="A1131" s="103"/>
      <c r="B1131" s="57"/>
      <c r="C1131" s="1109"/>
      <c r="D1131" s="954"/>
      <c r="E1131" s="955"/>
      <c r="F1131" s="956"/>
      <c r="G1131" s="1119" t="s">
        <v>4862</v>
      </c>
      <c r="H1131" s="1120"/>
      <c r="I1131" s="178"/>
      <c r="J1131" s="1111" t="s">
        <v>4863</v>
      </c>
      <c r="K1131" s="1111"/>
      <c r="L1131" s="1111"/>
      <c r="M1131" s="1111"/>
      <c r="N1131" s="1111"/>
      <c r="O1131" s="1111"/>
      <c r="P1131" s="1111"/>
      <c r="Q1131" s="1111"/>
      <c r="R1131" s="1111"/>
      <c r="S1131" s="1111"/>
      <c r="T1131" s="1111"/>
      <c r="U1131" s="1112"/>
      <c r="V1131" s="100"/>
      <c r="W1131" s="100"/>
      <c r="X1131" s="100"/>
      <c r="Y1131" s="100"/>
      <c r="Z1131" s="100"/>
      <c r="AA1131" s="100"/>
      <c r="AB1131" s="100"/>
      <c r="AC1131" s="100"/>
      <c r="AD1131" s="100"/>
      <c r="AF1131"/>
      <c r="AK1131">
        <f t="shared" si="835"/>
        <v>0</v>
      </c>
      <c r="AL1131">
        <f t="shared" si="836"/>
        <v>0</v>
      </c>
      <c r="AM1131">
        <f t="shared" si="837"/>
        <v>0</v>
      </c>
      <c r="AN1131">
        <f t="shared" si="838"/>
        <v>0</v>
      </c>
      <c r="AO1131">
        <f t="shared" si="839"/>
        <v>0</v>
      </c>
      <c r="AP1131">
        <f t="shared" si="840"/>
        <v>0</v>
      </c>
      <c r="AQ1131">
        <f t="shared" si="841"/>
        <v>0</v>
      </c>
      <c r="AR1131">
        <f t="shared" si="842"/>
        <v>0</v>
      </c>
      <c r="AS1131">
        <f t="shared" si="843"/>
        <v>0</v>
      </c>
    </row>
    <row r="1132" spans="1:45" ht="15" customHeight="1">
      <c r="A1132" s="103"/>
      <c r="B1132" s="57"/>
      <c r="C1132" s="1109"/>
      <c r="D1132" s="954"/>
      <c r="E1132" s="955"/>
      <c r="F1132" s="956"/>
      <c r="G1132" s="1119" t="s">
        <v>4864</v>
      </c>
      <c r="H1132" s="1120"/>
      <c r="I1132" s="178"/>
      <c r="J1132" s="1111" t="s">
        <v>4865</v>
      </c>
      <c r="K1132" s="1111"/>
      <c r="L1132" s="1111"/>
      <c r="M1132" s="1111"/>
      <c r="N1132" s="1111"/>
      <c r="O1132" s="1111"/>
      <c r="P1132" s="1111"/>
      <c r="Q1132" s="1111"/>
      <c r="R1132" s="1111"/>
      <c r="S1132" s="1111"/>
      <c r="T1132" s="1111"/>
      <c r="U1132" s="1112"/>
      <c r="V1132" s="100"/>
      <c r="W1132" s="100"/>
      <c r="X1132" s="100"/>
      <c r="Y1132" s="100"/>
      <c r="Z1132" s="100"/>
      <c r="AA1132" s="100"/>
      <c r="AB1132" s="100"/>
      <c r="AC1132" s="100"/>
      <c r="AD1132" s="100"/>
      <c r="AF1132"/>
      <c r="AK1132">
        <f t="shared" si="835"/>
        <v>0</v>
      </c>
      <c r="AL1132">
        <f t="shared" si="836"/>
        <v>0</v>
      </c>
      <c r="AM1132">
        <f t="shared" si="837"/>
        <v>0</v>
      </c>
      <c r="AN1132">
        <f t="shared" si="838"/>
        <v>0</v>
      </c>
      <c r="AO1132">
        <f t="shared" si="839"/>
        <v>0</v>
      </c>
      <c r="AP1132">
        <f t="shared" si="840"/>
        <v>0</v>
      </c>
      <c r="AQ1132">
        <f t="shared" si="841"/>
        <v>0</v>
      </c>
      <c r="AR1132">
        <f t="shared" si="842"/>
        <v>0</v>
      </c>
      <c r="AS1132">
        <f t="shared" si="843"/>
        <v>0</v>
      </c>
    </row>
    <row r="1133" spans="1:45" ht="15" customHeight="1">
      <c r="A1133" s="103"/>
      <c r="B1133" s="57"/>
      <c r="C1133" s="1109"/>
      <c r="D1133" s="954"/>
      <c r="E1133" s="955"/>
      <c r="F1133" s="956"/>
      <c r="G1133" s="1119" t="s">
        <v>4866</v>
      </c>
      <c r="H1133" s="1120"/>
      <c r="I1133" s="178"/>
      <c r="J1133" s="1111" t="s">
        <v>4867</v>
      </c>
      <c r="K1133" s="1111"/>
      <c r="L1133" s="1111"/>
      <c r="M1133" s="1111"/>
      <c r="N1133" s="1111"/>
      <c r="O1133" s="1111"/>
      <c r="P1133" s="1111"/>
      <c r="Q1133" s="1111"/>
      <c r="R1133" s="1111"/>
      <c r="S1133" s="1111"/>
      <c r="T1133" s="1111"/>
      <c r="U1133" s="1112"/>
      <c r="V1133" s="100"/>
      <c r="W1133" s="100"/>
      <c r="X1133" s="100"/>
      <c r="Y1133" s="100"/>
      <c r="Z1133" s="100"/>
      <c r="AA1133" s="100"/>
      <c r="AB1133" s="100"/>
      <c r="AC1133" s="100"/>
      <c r="AD1133" s="100"/>
      <c r="AF1133"/>
      <c r="AK1133">
        <f t="shared" si="835"/>
        <v>0</v>
      </c>
      <c r="AL1133">
        <f t="shared" si="836"/>
        <v>0</v>
      </c>
      <c r="AM1133">
        <f t="shared" si="837"/>
        <v>0</v>
      </c>
      <c r="AN1133">
        <f t="shared" si="838"/>
        <v>0</v>
      </c>
      <c r="AO1133">
        <f t="shared" si="839"/>
        <v>0</v>
      </c>
      <c r="AP1133">
        <f t="shared" si="840"/>
        <v>0</v>
      </c>
      <c r="AQ1133">
        <f t="shared" si="841"/>
        <v>0</v>
      </c>
      <c r="AR1133">
        <f t="shared" si="842"/>
        <v>0</v>
      </c>
      <c r="AS1133">
        <f t="shared" si="843"/>
        <v>0</v>
      </c>
    </row>
    <row r="1134" spans="1:45" ht="15" customHeight="1">
      <c r="A1134" s="103"/>
      <c r="B1134" s="57"/>
      <c r="C1134" s="1109"/>
      <c r="D1134" s="954"/>
      <c r="E1134" s="955"/>
      <c r="F1134" s="956"/>
      <c r="G1134" s="1119" t="s">
        <v>4868</v>
      </c>
      <c r="H1134" s="1120"/>
      <c r="I1134" s="178"/>
      <c r="J1134" s="1111" t="s">
        <v>4869</v>
      </c>
      <c r="K1134" s="1111"/>
      <c r="L1134" s="1111"/>
      <c r="M1134" s="1111"/>
      <c r="N1134" s="1111"/>
      <c r="O1134" s="1111"/>
      <c r="P1134" s="1111"/>
      <c r="Q1134" s="1111"/>
      <c r="R1134" s="1111"/>
      <c r="S1134" s="1111"/>
      <c r="T1134" s="1111"/>
      <c r="U1134" s="1112"/>
      <c r="V1134" s="100"/>
      <c r="W1134" s="100"/>
      <c r="X1134" s="100"/>
      <c r="Y1134" s="100"/>
      <c r="Z1134" s="100"/>
      <c r="AA1134" s="100"/>
      <c r="AB1134" s="100"/>
      <c r="AC1134" s="100"/>
      <c r="AD1134" s="100"/>
      <c r="AF1134"/>
      <c r="AK1134">
        <f t="shared" si="835"/>
        <v>0</v>
      </c>
      <c r="AL1134">
        <f t="shared" si="836"/>
        <v>0</v>
      </c>
      <c r="AM1134">
        <f t="shared" si="837"/>
        <v>0</v>
      </c>
      <c r="AN1134">
        <f t="shared" si="838"/>
        <v>0</v>
      </c>
      <c r="AO1134">
        <f t="shared" si="839"/>
        <v>0</v>
      </c>
      <c r="AP1134">
        <f t="shared" si="840"/>
        <v>0</v>
      </c>
      <c r="AQ1134">
        <f t="shared" si="841"/>
        <v>0</v>
      </c>
      <c r="AR1134">
        <f t="shared" si="842"/>
        <v>0</v>
      </c>
      <c r="AS1134">
        <f t="shared" si="843"/>
        <v>0</v>
      </c>
    </row>
    <row r="1135" spans="1:45" ht="15" customHeight="1">
      <c r="A1135" s="103"/>
      <c r="B1135" s="57"/>
      <c r="C1135" s="1109"/>
      <c r="D1135" s="954"/>
      <c r="E1135" s="955"/>
      <c r="F1135" s="956"/>
      <c r="G1135" s="1119" t="s">
        <v>4870</v>
      </c>
      <c r="H1135" s="1120"/>
      <c r="I1135" s="178"/>
      <c r="J1135" s="1111" t="s">
        <v>4871</v>
      </c>
      <c r="K1135" s="1111"/>
      <c r="L1135" s="1111"/>
      <c r="M1135" s="1111"/>
      <c r="N1135" s="1111"/>
      <c r="O1135" s="1111"/>
      <c r="P1135" s="1111"/>
      <c r="Q1135" s="1111"/>
      <c r="R1135" s="1111"/>
      <c r="S1135" s="1111"/>
      <c r="T1135" s="1111"/>
      <c r="U1135" s="1112"/>
      <c r="V1135" s="100"/>
      <c r="W1135" s="100"/>
      <c r="X1135" s="100"/>
      <c r="Y1135" s="100"/>
      <c r="Z1135" s="100"/>
      <c r="AA1135" s="100"/>
      <c r="AB1135" s="100"/>
      <c r="AC1135" s="100"/>
      <c r="AD1135" s="100"/>
      <c r="AF1135"/>
      <c r="AK1135">
        <f t="shared" si="835"/>
        <v>0</v>
      </c>
      <c r="AL1135">
        <f t="shared" si="836"/>
        <v>0</v>
      </c>
      <c r="AM1135">
        <f t="shared" si="837"/>
        <v>0</v>
      </c>
      <c r="AN1135">
        <f t="shared" si="838"/>
        <v>0</v>
      </c>
      <c r="AO1135">
        <f t="shared" si="839"/>
        <v>0</v>
      </c>
      <c r="AP1135">
        <f t="shared" si="840"/>
        <v>0</v>
      </c>
      <c r="AQ1135">
        <f t="shared" si="841"/>
        <v>0</v>
      </c>
      <c r="AR1135">
        <f t="shared" si="842"/>
        <v>0</v>
      </c>
      <c r="AS1135">
        <f t="shared" si="843"/>
        <v>0</v>
      </c>
    </row>
    <row r="1136" spans="1:45" ht="15" customHeight="1">
      <c r="A1136" s="103"/>
      <c r="B1136" s="57"/>
      <c r="C1136" s="1109"/>
      <c r="D1136" s="954"/>
      <c r="E1136" s="955"/>
      <c r="F1136" s="956"/>
      <c r="G1136" s="1119" t="s">
        <v>4872</v>
      </c>
      <c r="H1136" s="1120"/>
      <c r="I1136" s="178"/>
      <c r="J1136" s="1111" t="s">
        <v>4873</v>
      </c>
      <c r="K1136" s="1111"/>
      <c r="L1136" s="1111"/>
      <c r="M1136" s="1111"/>
      <c r="N1136" s="1111"/>
      <c r="O1136" s="1111"/>
      <c r="P1136" s="1111"/>
      <c r="Q1136" s="1111"/>
      <c r="R1136" s="1111"/>
      <c r="S1136" s="1111"/>
      <c r="T1136" s="1111"/>
      <c r="U1136" s="1112"/>
      <c r="V1136" s="100"/>
      <c r="W1136" s="100"/>
      <c r="X1136" s="100"/>
      <c r="Y1136" s="100"/>
      <c r="Z1136" s="100"/>
      <c r="AA1136" s="100"/>
      <c r="AB1136" s="100"/>
      <c r="AC1136" s="100"/>
      <c r="AD1136" s="100"/>
      <c r="AF1136"/>
      <c r="AK1136">
        <f t="shared" si="835"/>
        <v>0</v>
      </c>
      <c r="AL1136">
        <f t="shared" si="836"/>
        <v>0</v>
      </c>
      <c r="AM1136">
        <f t="shared" si="837"/>
        <v>0</v>
      </c>
      <c r="AN1136">
        <f t="shared" si="838"/>
        <v>0</v>
      </c>
      <c r="AO1136">
        <f t="shared" si="839"/>
        <v>0</v>
      </c>
      <c r="AP1136">
        <f t="shared" si="840"/>
        <v>0</v>
      </c>
      <c r="AQ1136">
        <f t="shared" si="841"/>
        <v>0</v>
      </c>
      <c r="AR1136">
        <f t="shared" si="842"/>
        <v>0</v>
      </c>
      <c r="AS1136">
        <f t="shared" si="843"/>
        <v>0</v>
      </c>
    </row>
    <row r="1137" spans="1:45" ht="15" customHeight="1">
      <c r="A1137" s="103"/>
      <c r="B1137" s="57"/>
      <c r="C1137" s="1109"/>
      <c r="D1137" s="954"/>
      <c r="E1137" s="955"/>
      <c r="F1137" s="956"/>
      <c r="G1137" s="1119" t="s">
        <v>4874</v>
      </c>
      <c r="H1137" s="1120"/>
      <c r="I1137" s="178"/>
      <c r="J1137" s="1111" t="s">
        <v>4875</v>
      </c>
      <c r="K1137" s="1111"/>
      <c r="L1137" s="1111"/>
      <c r="M1137" s="1111"/>
      <c r="N1137" s="1111"/>
      <c r="O1137" s="1111"/>
      <c r="P1137" s="1111"/>
      <c r="Q1137" s="1111"/>
      <c r="R1137" s="1111"/>
      <c r="S1137" s="1111"/>
      <c r="T1137" s="1111"/>
      <c r="U1137" s="1112"/>
      <c r="V1137" s="100"/>
      <c r="W1137" s="100"/>
      <c r="X1137" s="100"/>
      <c r="Y1137" s="100"/>
      <c r="Z1137" s="100"/>
      <c r="AA1137" s="100"/>
      <c r="AB1137" s="100"/>
      <c r="AC1137" s="100"/>
      <c r="AD1137" s="100"/>
      <c r="AF1137"/>
      <c r="AK1137">
        <f t="shared" si="835"/>
        <v>0</v>
      </c>
      <c r="AL1137">
        <f t="shared" si="836"/>
        <v>0</v>
      </c>
      <c r="AM1137">
        <f t="shared" si="837"/>
        <v>0</v>
      </c>
      <c r="AN1137">
        <f t="shared" si="838"/>
        <v>0</v>
      </c>
      <c r="AO1137">
        <f t="shared" si="839"/>
        <v>0</v>
      </c>
      <c r="AP1137">
        <f t="shared" si="840"/>
        <v>0</v>
      </c>
      <c r="AQ1137">
        <f t="shared" si="841"/>
        <v>0</v>
      </c>
      <c r="AR1137">
        <f t="shared" si="842"/>
        <v>0</v>
      </c>
      <c r="AS1137">
        <f t="shared" si="843"/>
        <v>0</v>
      </c>
    </row>
    <row r="1138" spans="1:45" ht="15" customHeight="1">
      <c r="A1138" s="103"/>
      <c r="B1138" s="57"/>
      <c r="C1138" s="1109"/>
      <c r="D1138" s="954"/>
      <c r="E1138" s="955"/>
      <c r="F1138" s="956"/>
      <c r="G1138" s="1119" t="s">
        <v>4876</v>
      </c>
      <c r="H1138" s="1120"/>
      <c r="I1138" s="178"/>
      <c r="J1138" s="1111" t="s">
        <v>4877</v>
      </c>
      <c r="K1138" s="1111"/>
      <c r="L1138" s="1111"/>
      <c r="M1138" s="1111"/>
      <c r="N1138" s="1111"/>
      <c r="O1138" s="1111"/>
      <c r="P1138" s="1111"/>
      <c r="Q1138" s="1111"/>
      <c r="R1138" s="1111"/>
      <c r="S1138" s="1111"/>
      <c r="T1138" s="1111"/>
      <c r="U1138" s="1112"/>
      <c r="V1138" s="100"/>
      <c r="W1138" s="100"/>
      <c r="X1138" s="100"/>
      <c r="Y1138" s="100"/>
      <c r="Z1138" s="100"/>
      <c r="AA1138" s="100"/>
      <c r="AB1138" s="100"/>
      <c r="AC1138" s="100"/>
      <c r="AD1138" s="100"/>
      <c r="AF1138"/>
      <c r="AK1138">
        <f t="shared" si="835"/>
        <v>0</v>
      </c>
      <c r="AL1138">
        <f t="shared" si="836"/>
        <v>0</v>
      </c>
      <c r="AM1138">
        <f t="shared" si="837"/>
        <v>0</v>
      </c>
      <c r="AN1138">
        <f t="shared" si="838"/>
        <v>0</v>
      </c>
      <c r="AO1138">
        <f t="shared" si="839"/>
        <v>0</v>
      </c>
      <c r="AP1138">
        <f t="shared" si="840"/>
        <v>0</v>
      </c>
      <c r="AQ1138">
        <f t="shared" si="841"/>
        <v>0</v>
      </c>
      <c r="AR1138">
        <f t="shared" si="842"/>
        <v>0</v>
      </c>
      <c r="AS1138">
        <f t="shared" si="843"/>
        <v>0</v>
      </c>
    </row>
    <row r="1139" spans="1:45" ht="15" customHeight="1">
      <c r="A1139" s="103"/>
      <c r="B1139" s="57"/>
      <c r="C1139" s="1109"/>
      <c r="D1139" s="954"/>
      <c r="E1139" s="955"/>
      <c r="F1139" s="956"/>
      <c r="G1139" s="1119" t="s">
        <v>4878</v>
      </c>
      <c r="H1139" s="1120"/>
      <c r="I1139" s="178"/>
      <c r="J1139" s="1111" t="s">
        <v>4879</v>
      </c>
      <c r="K1139" s="1111"/>
      <c r="L1139" s="1111"/>
      <c r="M1139" s="1111"/>
      <c r="N1139" s="1111"/>
      <c r="O1139" s="1111"/>
      <c r="P1139" s="1111"/>
      <c r="Q1139" s="1111"/>
      <c r="R1139" s="1111"/>
      <c r="S1139" s="1111"/>
      <c r="T1139" s="1111"/>
      <c r="U1139" s="1112"/>
      <c r="V1139" s="100"/>
      <c r="W1139" s="100"/>
      <c r="X1139" s="100"/>
      <c r="Y1139" s="100"/>
      <c r="Z1139" s="100"/>
      <c r="AA1139" s="100"/>
      <c r="AB1139" s="100"/>
      <c r="AC1139" s="100"/>
      <c r="AD1139" s="100"/>
      <c r="AF1139"/>
      <c r="AK1139">
        <f t="shared" si="835"/>
        <v>0</v>
      </c>
      <c r="AL1139">
        <f t="shared" si="836"/>
        <v>0</v>
      </c>
      <c r="AM1139">
        <f t="shared" si="837"/>
        <v>0</v>
      </c>
      <c r="AN1139">
        <f t="shared" si="838"/>
        <v>0</v>
      </c>
      <c r="AO1139">
        <f t="shared" si="839"/>
        <v>0</v>
      </c>
      <c r="AP1139">
        <f t="shared" si="840"/>
        <v>0</v>
      </c>
      <c r="AQ1139">
        <f t="shared" si="841"/>
        <v>0</v>
      </c>
      <c r="AR1139">
        <f t="shared" si="842"/>
        <v>0</v>
      </c>
      <c r="AS1139">
        <f t="shared" si="843"/>
        <v>0</v>
      </c>
    </row>
    <row r="1140" spans="1:45" ht="15" customHeight="1">
      <c r="A1140" s="103"/>
      <c r="B1140" s="57"/>
      <c r="C1140" s="1109"/>
      <c r="D1140" s="954"/>
      <c r="E1140" s="955"/>
      <c r="F1140" s="956"/>
      <c r="G1140" s="1119" t="s">
        <v>4880</v>
      </c>
      <c r="H1140" s="1120"/>
      <c r="I1140" s="178"/>
      <c r="J1140" s="1111" t="s">
        <v>4881</v>
      </c>
      <c r="K1140" s="1111"/>
      <c r="L1140" s="1111"/>
      <c r="M1140" s="1111"/>
      <c r="N1140" s="1111"/>
      <c r="O1140" s="1111"/>
      <c r="P1140" s="1111"/>
      <c r="Q1140" s="1111"/>
      <c r="R1140" s="1111"/>
      <c r="S1140" s="1111"/>
      <c r="T1140" s="1111"/>
      <c r="U1140" s="1112"/>
      <c r="V1140" s="100"/>
      <c r="W1140" s="100"/>
      <c r="X1140" s="100"/>
      <c r="Y1140" s="100"/>
      <c r="Z1140" s="100"/>
      <c r="AA1140" s="100"/>
      <c r="AB1140" s="100"/>
      <c r="AC1140" s="100"/>
      <c r="AD1140" s="100"/>
      <c r="AF1140"/>
      <c r="AK1140">
        <f t="shared" si="835"/>
        <v>0</v>
      </c>
      <c r="AL1140">
        <f t="shared" si="836"/>
        <v>0</v>
      </c>
      <c r="AM1140">
        <f t="shared" si="837"/>
        <v>0</v>
      </c>
      <c r="AN1140">
        <f t="shared" si="838"/>
        <v>0</v>
      </c>
      <c r="AO1140">
        <f t="shared" si="839"/>
        <v>0</v>
      </c>
      <c r="AP1140">
        <f t="shared" si="840"/>
        <v>0</v>
      </c>
      <c r="AQ1140">
        <f t="shared" si="841"/>
        <v>0</v>
      </c>
      <c r="AR1140">
        <f t="shared" si="842"/>
        <v>0</v>
      </c>
      <c r="AS1140">
        <f t="shared" si="843"/>
        <v>0</v>
      </c>
    </row>
    <row r="1141" spans="1:45" ht="15" customHeight="1">
      <c r="A1141" s="103"/>
      <c r="B1141" s="57"/>
      <c r="C1141" s="1109"/>
      <c r="D1141" s="954"/>
      <c r="E1141" s="955"/>
      <c r="F1141" s="956"/>
      <c r="G1141" s="1119" t="s">
        <v>4882</v>
      </c>
      <c r="H1141" s="1120"/>
      <c r="I1141" s="178"/>
      <c r="J1141" s="1111" t="s">
        <v>4883</v>
      </c>
      <c r="K1141" s="1111"/>
      <c r="L1141" s="1111"/>
      <c r="M1141" s="1111"/>
      <c r="N1141" s="1111"/>
      <c r="O1141" s="1111"/>
      <c r="P1141" s="1111"/>
      <c r="Q1141" s="1111"/>
      <c r="R1141" s="1111"/>
      <c r="S1141" s="1111"/>
      <c r="T1141" s="1111"/>
      <c r="U1141" s="1112"/>
      <c r="V1141" s="100"/>
      <c r="W1141" s="100"/>
      <c r="X1141" s="100"/>
      <c r="Y1141" s="100"/>
      <c r="Z1141" s="100"/>
      <c r="AA1141" s="100"/>
      <c r="AB1141" s="100"/>
      <c r="AC1141" s="100"/>
      <c r="AD1141" s="100"/>
      <c r="AF1141"/>
      <c r="AK1141">
        <f t="shared" si="835"/>
        <v>0</v>
      </c>
      <c r="AL1141">
        <f t="shared" si="836"/>
        <v>0</v>
      </c>
      <c r="AM1141">
        <f t="shared" si="837"/>
        <v>0</v>
      </c>
      <c r="AN1141">
        <f t="shared" si="838"/>
        <v>0</v>
      </c>
      <c r="AO1141">
        <f t="shared" si="839"/>
        <v>0</v>
      </c>
      <c r="AP1141">
        <f t="shared" si="840"/>
        <v>0</v>
      </c>
      <c r="AQ1141">
        <f t="shared" si="841"/>
        <v>0</v>
      </c>
      <c r="AR1141">
        <f t="shared" si="842"/>
        <v>0</v>
      </c>
      <c r="AS1141">
        <f t="shared" si="843"/>
        <v>0</v>
      </c>
    </row>
    <row r="1142" spans="1:45" ht="15" customHeight="1">
      <c r="A1142" s="103"/>
      <c r="B1142" s="57"/>
      <c r="C1142" s="1109"/>
      <c r="D1142" s="954"/>
      <c r="E1142" s="955"/>
      <c r="F1142" s="956"/>
      <c r="G1142" s="1119" t="s">
        <v>4884</v>
      </c>
      <c r="H1142" s="1120"/>
      <c r="I1142" s="178"/>
      <c r="J1142" s="1111" t="s">
        <v>4885</v>
      </c>
      <c r="K1142" s="1111"/>
      <c r="L1142" s="1111"/>
      <c r="M1142" s="1111"/>
      <c r="N1142" s="1111"/>
      <c r="O1142" s="1111"/>
      <c r="P1142" s="1111"/>
      <c r="Q1142" s="1111"/>
      <c r="R1142" s="1111"/>
      <c r="S1142" s="1111"/>
      <c r="T1142" s="1111"/>
      <c r="U1142" s="1112"/>
      <c r="V1142" s="100"/>
      <c r="W1142" s="100"/>
      <c r="X1142" s="100"/>
      <c r="Y1142" s="100"/>
      <c r="Z1142" s="100"/>
      <c r="AA1142" s="100"/>
      <c r="AB1142" s="100"/>
      <c r="AC1142" s="100"/>
      <c r="AD1142" s="100"/>
      <c r="AF1142"/>
      <c r="AK1142">
        <f t="shared" si="835"/>
        <v>0</v>
      </c>
      <c r="AL1142">
        <f t="shared" si="836"/>
        <v>0</v>
      </c>
      <c r="AM1142">
        <f t="shared" si="837"/>
        <v>0</v>
      </c>
      <c r="AN1142">
        <f t="shared" si="838"/>
        <v>0</v>
      </c>
      <c r="AO1142">
        <f t="shared" si="839"/>
        <v>0</v>
      </c>
      <c r="AP1142">
        <f t="shared" si="840"/>
        <v>0</v>
      </c>
      <c r="AQ1142">
        <f t="shared" si="841"/>
        <v>0</v>
      </c>
      <c r="AR1142">
        <f t="shared" si="842"/>
        <v>0</v>
      </c>
      <c r="AS1142">
        <f t="shared" si="843"/>
        <v>0</v>
      </c>
    </row>
    <row r="1143" spans="1:45" ht="15" customHeight="1">
      <c r="A1143" s="103"/>
      <c r="B1143" s="57"/>
      <c r="C1143" s="1109"/>
      <c r="D1143" s="954"/>
      <c r="E1143" s="955"/>
      <c r="F1143" s="956"/>
      <c r="G1143" s="1119" t="s">
        <v>4886</v>
      </c>
      <c r="H1143" s="1120"/>
      <c r="I1143" s="178"/>
      <c r="J1143" s="1111" t="s">
        <v>4887</v>
      </c>
      <c r="K1143" s="1111"/>
      <c r="L1143" s="1111"/>
      <c r="M1143" s="1111"/>
      <c r="N1143" s="1111"/>
      <c r="O1143" s="1111"/>
      <c r="P1143" s="1111"/>
      <c r="Q1143" s="1111"/>
      <c r="R1143" s="1111"/>
      <c r="S1143" s="1111"/>
      <c r="T1143" s="1111"/>
      <c r="U1143" s="1112"/>
      <c r="V1143" s="100"/>
      <c r="W1143" s="100"/>
      <c r="X1143" s="100"/>
      <c r="Y1143" s="100"/>
      <c r="Z1143" s="100"/>
      <c r="AA1143" s="100"/>
      <c r="AB1143" s="100"/>
      <c r="AC1143" s="100"/>
      <c r="AD1143" s="100"/>
      <c r="AF1143"/>
      <c r="AK1143">
        <f t="shared" si="835"/>
        <v>0</v>
      </c>
      <c r="AL1143">
        <f t="shared" si="836"/>
        <v>0</v>
      </c>
      <c r="AM1143">
        <f t="shared" si="837"/>
        <v>0</v>
      </c>
      <c r="AN1143">
        <f t="shared" si="838"/>
        <v>0</v>
      </c>
      <c r="AO1143">
        <f t="shared" si="839"/>
        <v>0</v>
      </c>
      <c r="AP1143">
        <f t="shared" si="840"/>
        <v>0</v>
      </c>
      <c r="AQ1143">
        <f t="shared" si="841"/>
        <v>0</v>
      </c>
      <c r="AR1143">
        <f t="shared" si="842"/>
        <v>0</v>
      </c>
      <c r="AS1143">
        <f t="shared" si="843"/>
        <v>0</v>
      </c>
    </row>
    <row r="1144" spans="1:45" ht="15" customHeight="1">
      <c r="A1144" s="103"/>
      <c r="B1144" s="57"/>
      <c r="C1144" s="1109"/>
      <c r="D1144" s="954"/>
      <c r="E1144" s="955"/>
      <c r="F1144" s="956"/>
      <c r="G1144" s="1119" t="s">
        <v>4888</v>
      </c>
      <c r="H1144" s="1120"/>
      <c r="I1144" s="178"/>
      <c r="J1144" s="1111" t="s">
        <v>4889</v>
      </c>
      <c r="K1144" s="1111"/>
      <c r="L1144" s="1111"/>
      <c r="M1144" s="1111"/>
      <c r="N1144" s="1111"/>
      <c r="O1144" s="1111"/>
      <c r="P1144" s="1111"/>
      <c r="Q1144" s="1111"/>
      <c r="R1144" s="1111"/>
      <c r="S1144" s="1111"/>
      <c r="T1144" s="1111"/>
      <c r="U1144" s="1112"/>
      <c r="V1144" s="100"/>
      <c r="W1144" s="100"/>
      <c r="X1144" s="100"/>
      <c r="Y1144" s="100"/>
      <c r="Z1144" s="100"/>
      <c r="AA1144" s="100"/>
      <c r="AB1144" s="100"/>
      <c r="AC1144" s="100"/>
      <c r="AD1144" s="100"/>
      <c r="AF1144"/>
      <c r="AK1144">
        <f t="shared" si="835"/>
        <v>0</v>
      </c>
      <c r="AL1144">
        <f t="shared" si="836"/>
        <v>0</v>
      </c>
      <c r="AM1144">
        <f t="shared" si="837"/>
        <v>0</v>
      </c>
      <c r="AN1144">
        <f t="shared" si="838"/>
        <v>0</v>
      </c>
      <c r="AO1144">
        <f t="shared" si="839"/>
        <v>0</v>
      </c>
      <c r="AP1144">
        <f t="shared" si="840"/>
        <v>0</v>
      </c>
      <c r="AQ1144">
        <f t="shared" si="841"/>
        <v>0</v>
      </c>
      <c r="AR1144">
        <f t="shared" si="842"/>
        <v>0</v>
      </c>
      <c r="AS1144">
        <f t="shared" si="843"/>
        <v>0</v>
      </c>
    </row>
    <row r="1145" spans="1:45" ht="15" customHeight="1">
      <c r="A1145" s="103"/>
      <c r="B1145" s="57"/>
      <c r="C1145" s="1109"/>
      <c r="D1145" s="954"/>
      <c r="E1145" s="955"/>
      <c r="F1145" s="956"/>
      <c r="G1145" s="1119" t="s">
        <v>4890</v>
      </c>
      <c r="H1145" s="1120"/>
      <c r="I1145" s="179"/>
      <c r="J1145" s="1113" t="s">
        <v>201</v>
      </c>
      <c r="K1145" s="1113"/>
      <c r="L1145" s="1113"/>
      <c r="M1145" s="1113"/>
      <c r="N1145" s="1113"/>
      <c r="O1145" s="1113"/>
      <c r="P1145" s="1113"/>
      <c r="Q1145" s="1113"/>
      <c r="R1145" s="1113"/>
      <c r="S1145" s="1113"/>
      <c r="T1145" s="1113"/>
      <c r="U1145" s="1114"/>
      <c r="V1145" s="100"/>
      <c r="W1145" s="100"/>
      <c r="X1145" s="100"/>
      <c r="Y1145" s="100"/>
      <c r="Z1145" s="100"/>
      <c r="AA1145" s="100"/>
      <c r="AB1145" s="100"/>
      <c r="AC1145" s="100"/>
      <c r="AD1145" s="100"/>
      <c r="AF1145"/>
      <c r="AK1145">
        <f t="shared" si="835"/>
        <v>0</v>
      </c>
      <c r="AL1145">
        <f t="shared" si="836"/>
        <v>0</v>
      </c>
      <c r="AM1145">
        <f t="shared" si="837"/>
        <v>0</v>
      </c>
      <c r="AN1145">
        <f t="shared" si="838"/>
        <v>0</v>
      </c>
      <c r="AO1145">
        <f t="shared" si="839"/>
        <v>0</v>
      </c>
      <c r="AP1145">
        <f t="shared" si="840"/>
        <v>0</v>
      </c>
      <c r="AQ1145">
        <f t="shared" si="841"/>
        <v>0</v>
      </c>
      <c r="AR1145">
        <f t="shared" si="842"/>
        <v>0</v>
      </c>
      <c r="AS1145">
        <f t="shared" si="843"/>
        <v>0</v>
      </c>
    </row>
    <row r="1146" spans="1:45" ht="15" customHeight="1">
      <c r="A1146" s="103"/>
      <c r="B1146" s="57"/>
      <c r="C1146" s="1109"/>
      <c r="D1146" s="954"/>
      <c r="E1146" s="955"/>
      <c r="F1146" s="956"/>
      <c r="G1146" s="1117" t="s">
        <v>4891</v>
      </c>
      <c r="H1146" s="1118"/>
      <c r="I1146" s="1104" t="s">
        <v>4892</v>
      </c>
      <c r="J1146" s="1105"/>
      <c r="K1146" s="1105"/>
      <c r="L1146" s="1105"/>
      <c r="M1146" s="1105"/>
      <c r="N1146" s="1105"/>
      <c r="O1146" s="1105"/>
      <c r="P1146" s="1105"/>
      <c r="Q1146" s="1105"/>
      <c r="R1146" s="1105"/>
      <c r="S1146" s="1105"/>
      <c r="T1146" s="1105"/>
      <c r="U1146" s="1106"/>
      <c r="V1146" s="100"/>
      <c r="W1146" s="100"/>
      <c r="X1146" s="100"/>
      <c r="Y1146" s="100"/>
      <c r="Z1146" s="100"/>
      <c r="AA1146" s="100"/>
      <c r="AB1146" s="100"/>
      <c r="AC1146" s="100"/>
      <c r="AD1146" s="100"/>
      <c r="AF1146"/>
      <c r="AK1146">
        <f t="shared" si="835"/>
        <v>0</v>
      </c>
      <c r="AL1146">
        <f t="shared" si="836"/>
        <v>0</v>
      </c>
      <c r="AM1146">
        <f t="shared" si="837"/>
        <v>0</v>
      </c>
      <c r="AN1146">
        <f t="shared" si="838"/>
        <v>0</v>
      </c>
      <c r="AO1146">
        <f t="shared" si="839"/>
        <v>0</v>
      </c>
      <c r="AP1146">
        <f t="shared" si="840"/>
        <v>0</v>
      </c>
      <c r="AQ1146">
        <f t="shared" si="841"/>
        <v>0</v>
      </c>
      <c r="AR1146">
        <f t="shared" si="842"/>
        <v>0</v>
      </c>
      <c r="AS1146">
        <f t="shared" si="843"/>
        <v>0</v>
      </c>
    </row>
    <row r="1147" spans="1:45" ht="15" customHeight="1">
      <c r="A1147" s="103"/>
      <c r="B1147" s="57"/>
      <c r="C1147" s="1109"/>
      <c r="D1147" s="954"/>
      <c r="E1147" s="955"/>
      <c r="F1147" s="956"/>
      <c r="G1147" s="1119" t="s">
        <v>4893</v>
      </c>
      <c r="H1147" s="1120"/>
      <c r="I1147" s="177"/>
      <c r="J1147" s="1115" t="s">
        <v>4894</v>
      </c>
      <c r="K1147" s="1115"/>
      <c r="L1147" s="1115"/>
      <c r="M1147" s="1115"/>
      <c r="N1147" s="1115"/>
      <c r="O1147" s="1115"/>
      <c r="P1147" s="1115"/>
      <c r="Q1147" s="1115"/>
      <c r="R1147" s="1115"/>
      <c r="S1147" s="1115"/>
      <c r="T1147" s="1115"/>
      <c r="U1147" s="1116"/>
      <c r="V1147" s="100"/>
      <c r="W1147" s="100"/>
      <c r="X1147" s="100"/>
      <c r="Y1147" s="100"/>
      <c r="Z1147" s="100"/>
      <c r="AA1147" s="100"/>
      <c r="AB1147" s="100"/>
      <c r="AC1147" s="100"/>
      <c r="AD1147" s="100"/>
      <c r="AF1147"/>
      <c r="AK1147">
        <f t="shared" si="835"/>
        <v>0</v>
      </c>
      <c r="AL1147">
        <f t="shared" si="836"/>
        <v>0</v>
      </c>
      <c r="AM1147">
        <f t="shared" si="837"/>
        <v>0</v>
      </c>
      <c r="AN1147">
        <f t="shared" si="838"/>
        <v>0</v>
      </c>
      <c r="AO1147">
        <f t="shared" si="839"/>
        <v>0</v>
      </c>
      <c r="AP1147">
        <f t="shared" si="840"/>
        <v>0</v>
      </c>
      <c r="AQ1147">
        <f t="shared" si="841"/>
        <v>0</v>
      </c>
      <c r="AR1147">
        <f t="shared" si="842"/>
        <v>0</v>
      </c>
      <c r="AS1147">
        <f t="shared" si="843"/>
        <v>0</v>
      </c>
    </row>
    <row r="1148" spans="1:45" ht="15" customHeight="1">
      <c r="A1148" s="103"/>
      <c r="B1148" s="57"/>
      <c r="C1148" s="1109"/>
      <c r="D1148" s="954"/>
      <c r="E1148" s="955"/>
      <c r="F1148" s="956"/>
      <c r="G1148" s="1119" t="s">
        <v>4895</v>
      </c>
      <c r="H1148" s="1120"/>
      <c r="I1148" s="178"/>
      <c r="J1148" s="1111" t="s">
        <v>4896</v>
      </c>
      <c r="K1148" s="1111"/>
      <c r="L1148" s="1111"/>
      <c r="M1148" s="1111"/>
      <c r="N1148" s="1111"/>
      <c r="O1148" s="1111"/>
      <c r="P1148" s="1111"/>
      <c r="Q1148" s="1111"/>
      <c r="R1148" s="1111"/>
      <c r="S1148" s="1111"/>
      <c r="T1148" s="1111"/>
      <c r="U1148" s="1112"/>
      <c r="V1148" s="100"/>
      <c r="W1148" s="100"/>
      <c r="X1148" s="100"/>
      <c r="Y1148" s="100"/>
      <c r="Z1148" s="100"/>
      <c r="AA1148" s="100"/>
      <c r="AB1148" s="100"/>
      <c r="AC1148" s="100"/>
      <c r="AD1148" s="100"/>
      <c r="AF1148"/>
      <c r="AK1148">
        <f t="shared" si="835"/>
        <v>0</v>
      </c>
      <c r="AL1148">
        <f t="shared" si="836"/>
        <v>0</v>
      </c>
      <c r="AM1148">
        <f t="shared" si="837"/>
        <v>0</v>
      </c>
      <c r="AN1148">
        <f t="shared" si="838"/>
        <v>0</v>
      </c>
      <c r="AO1148">
        <f t="shared" si="839"/>
        <v>0</v>
      </c>
      <c r="AP1148">
        <f t="shared" si="840"/>
        <v>0</v>
      </c>
      <c r="AQ1148">
        <f t="shared" si="841"/>
        <v>0</v>
      </c>
      <c r="AR1148">
        <f t="shared" si="842"/>
        <v>0</v>
      </c>
      <c r="AS1148">
        <f t="shared" si="843"/>
        <v>0</v>
      </c>
    </row>
    <row r="1149" spans="1:45" ht="15" customHeight="1">
      <c r="A1149" s="103"/>
      <c r="B1149" s="57"/>
      <c r="C1149" s="1109"/>
      <c r="D1149" s="954"/>
      <c r="E1149" s="955"/>
      <c r="F1149" s="956"/>
      <c r="G1149" s="1119" t="s">
        <v>4897</v>
      </c>
      <c r="H1149" s="1120"/>
      <c r="I1149" s="178"/>
      <c r="J1149" s="1111" t="s">
        <v>4898</v>
      </c>
      <c r="K1149" s="1111"/>
      <c r="L1149" s="1111"/>
      <c r="M1149" s="1111"/>
      <c r="N1149" s="1111"/>
      <c r="O1149" s="1111"/>
      <c r="P1149" s="1111"/>
      <c r="Q1149" s="1111"/>
      <c r="R1149" s="1111"/>
      <c r="S1149" s="1111"/>
      <c r="T1149" s="1111"/>
      <c r="U1149" s="1112"/>
      <c r="V1149" s="100"/>
      <c r="W1149" s="100"/>
      <c r="X1149" s="100"/>
      <c r="Y1149" s="100"/>
      <c r="Z1149" s="100"/>
      <c r="AA1149" s="100"/>
      <c r="AB1149" s="100"/>
      <c r="AC1149" s="100"/>
      <c r="AD1149" s="100"/>
      <c r="AF1149"/>
      <c r="AK1149">
        <f t="shared" si="835"/>
        <v>0</v>
      </c>
      <c r="AL1149">
        <f t="shared" si="836"/>
        <v>0</v>
      </c>
      <c r="AM1149">
        <f t="shared" si="837"/>
        <v>0</v>
      </c>
      <c r="AN1149">
        <f t="shared" si="838"/>
        <v>0</v>
      </c>
      <c r="AO1149">
        <f t="shared" si="839"/>
        <v>0</v>
      </c>
      <c r="AP1149">
        <f t="shared" si="840"/>
        <v>0</v>
      </c>
      <c r="AQ1149">
        <f t="shared" si="841"/>
        <v>0</v>
      </c>
      <c r="AR1149">
        <f t="shared" si="842"/>
        <v>0</v>
      </c>
      <c r="AS1149">
        <f t="shared" si="843"/>
        <v>0</v>
      </c>
    </row>
    <row r="1150" spans="1:45" ht="15" customHeight="1">
      <c r="A1150" s="103"/>
      <c r="B1150" s="57"/>
      <c r="C1150" s="1109"/>
      <c r="D1150" s="954"/>
      <c r="E1150" s="955"/>
      <c r="F1150" s="956"/>
      <c r="G1150" s="1119" t="s">
        <v>4899</v>
      </c>
      <c r="H1150" s="1120"/>
      <c r="I1150" s="178"/>
      <c r="J1150" s="1111" t="s">
        <v>4900</v>
      </c>
      <c r="K1150" s="1111"/>
      <c r="L1150" s="1111"/>
      <c r="M1150" s="1111"/>
      <c r="N1150" s="1111"/>
      <c r="O1150" s="1111"/>
      <c r="P1150" s="1111"/>
      <c r="Q1150" s="1111"/>
      <c r="R1150" s="1111"/>
      <c r="S1150" s="1111"/>
      <c r="T1150" s="1111"/>
      <c r="U1150" s="1112"/>
      <c r="V1150" s="100"/>
      <c r="W1150" s="100"/>
      <c r="X1150" s="100"/>
      <c r="Y1150" s="100"/>
      <c r="Z1150" s="100"/>
      <c r="AA1150" s="100"/>
      <c r="AB1150" s="100"/>
      <c r="AC1150" s="100"/>
      <c r="AD1150" s="100"/>
      <c r="AF1150"/>
      <c r="AK1150">
        <f t="shared" si="835"/>
        <v>0</v>
      </c>
      <c r="AL1150">
        <f t="shared" si="836"/>
        <v>0</v>
      </c>
      <c r="AM1150">
        <f t="shared" si="837"/>
        <v>0</v>
      </c>
      <c r="AN1150">
        <f t="shared" si="838"/>
        <v>0</v>
      </c>
      <c r="AO1150">
        <f t="shared" si="839"/>
        <v>0</v>
      </c>
      <c r="AP1150">
        <f t="shared" si="840"/>
        <v>0</v>
      </c>
      <c r="AQ1150">
        <f t="shared" si="841"/>
        <v>0</v>
      </c>
      <c r="AR1150">
        <f t="shared" si="842"/>
        <v>0</v>
      </c>
      <c r="AS1150">
        <f t="shared" si="843"/>
        <v>0</v>
      </c>
    </row>
    <row r="1151" spans="1:45" ht="15" customHeight="1">
      <c r="A1151" s="103"/>
      <c r="B1151" s="57"/>
      <c r="C1151" s="1109"/>
      <c r="D1151" s="954"/>
      <c r="E1151" s="955"/>
      <c r="F1151" s="956"/>
      <c r="G1151" s="1119" t="s">
        <v>4901</v>
      </c>
      <c r="H1151" s="1120"/>
      <c r="I1151" s="179"/>
      <c r="J1151" s="1113" t="s">
        <v>201</v>
      </c>
      <c r="K1151" s="1113"/>
      <c r="L1151" s="1113"/>
      <c r="M1151" s="1113"/>
      <c r="N1151" s="1113"/>
      <c r="O1151" s="1113"/>
      <c r="P1151" s="1113"/>
      <c r="Q1151" s="1113"/>
      <c r="R1151" s="1113"/>
      <c r="S1151" s="1113"/>
      <c r="T1151" s="1113"/>
      <c r="U1151" s="1114"/>
      <c r="V1151" s="100"/>
      <c r="W1151" s="100"/>
      <c r="X1151" s="100"/>
      <c r="Y1151" s="100"/>
      <c r="Z1151" s="100"/>
      <c r="AA1151" s="100"/>
      <c r="AB1151" s="100"/>
      <c r="AC1151" s="100"/>
      <c r="AD1151" s="100"/>
      <c r="AF1151"/>
      <c r="AK1151">
        <f t="shared" si="835"/>
        <v>0</v>
      </c>
      <c r="AL1151">
        <f t="shared" si="836"/>
        <v>0</v>
      </c>
      <c r="AM1151">
        <f t="shared" si="837"/>
        <v>0</v>
      </c>
      <c r="AN1151">
        <f t="shared" si="838"/>
        <v>0</v>
      </c>
      <c r="AO1151">
        <f t="shared" si="839"/>
        <v>0</v>
      </c>
      <c r="AP1151">
        <f t="shared" si="840"/>
        <v>0</v>
      </c>
      <c r="AQ1151">
        <f t="shared" si="841"/>
        <v>0</v>
      </c>
      <c r="AR1151">
        <f t="shared" si="842"/>
        <v>0</v>
      </c>
      <c r="AS1151">
        <f t="shared" si="843"/>
        <v>0</v>
      </c>
    </row>
    <row r="1152" spans="1:45" ht="15" customHeight="1">
      <c r="A1152" s="103"/>
      <c r="B1152" s="57"/>
      <c r="C1152" s="1109"/>
      <c r="D1152" s="954"/>
      <c r="E1152" s="955"/>
      <c r="F1152" s="956"/>
      <c r="G1152" s="1117" t="s">
        <v>4902</v>
      </c>
      <c r="H1152" s="1118"/>
      <c r="I1152" s="1104" t="s">
        <v>4903</v>
      </c>
      <c r="J1152" s="1105"/>
      <c r="K1152" s="1105"/>
      <c r="L1152" s="1105"/>
      <c r="M1152" s="1105"/>
      <c r="N1152" s="1105"/>
      <c r="O1152" s="1105"/>
      <c r="P1152" s="1105"/>
      <c r="Q1152" s="1105"/>
      <c r="R1152" s="1105"/>
      <c r="S1152" s="1105"/>
      <c r="T1152" s="1105"/>
      <c r="U1152" s="1106"/>
      <c r="V1152" s="100"/>
      <c r="W1152" s="100"/>
      <c r="X1152" s="100"/>
      <c r="Y1152" s="100"/>
      <c r="Z1152" s="100"/>
      <c r="AA1152" s="100"/>
      <c r="AB1152" s="100"/>
      <c r="AC1152" s="100"/>
      <c r="AD1152" s="100"/>
      <c r="AF1152"/>
      <c r="AK1152">
        <f t="shared" si="835"/>
        <v>0</v>
      </c>
      <c r="AL1152">
        <f t="shared" si="836"/>
        <v>0</v>
      </c>
      <c r="AM1152">
        <f t="shared" si="837"/>
        <v>0</v>
      </c>
      <c r="AN1152">
        <f t="shared" si="838"/>
        <v>0</v>
      </c>
      <c r="AO1152">
        <f t="shared" si="839"/>
        <v>0</v>
      </c>
      <c r="AP1152">
        <f t="shared" si="840"/>
        <v>0</v>
      </c>
      <c r="AQ1152">
        <f t="shared" si="841"/>
        <v>0</v>
      </c>
      <c r="AR1152">
        <f t="shared" si="842"/>
        <v>0</v>
      </c>
      <c r="AS1152">
        <f t="shared" si="843"/>
        <v>0</v>
      </c>
    </row>
    <row r="1153" spans="1:45" ht="15" customHeight="1">
      <c r="A1153" s="103"/>
      <c r="B1153" s="57"/>
      <c r="C1153" s="1109"/>
      <c r="D1153" s="954"/>
      <c r="E1153" s="955"/>
      <c r="F1153" s="956"/>
      <c r="G1153" s="1117" t="s">
        <v>4904</v>
      </c>
      <c r="H1153" s="1118"/>
      <c r="I1153" s="1104" t="s">
        <v>4905</v>
      </c>
      <c r="J1153" s="1105"/>
      <c r="K1153" s="1105"/>
      <c r="L1153" s="1105"/>
      <c r="M1153" s="1105"/>
      <c r="N1153" s="1105"/>
      <c r="O1153" s="1105"/>
      <c r="P1153" s="1105"/>
      <c r="Q1153" s="1105"/>
      <c r="R1153" s="1105"/>
      <c r="S1153" s="1105"/>
      <c r="T1153" s="1105"/>
      <c r="U1153" s="1106"/>
      <c r="V1153" s="100"/>
      <c r="W1153" s="100"/>
      <c r="X1153" s="100"/>
      <c r="Y1153" s="100"/>
      <c r="Z1153" s="100"/>
      <c r="AA1153" s="100"/>
      <c r="AB1153" s="100"/>
      <c r="AC1153" s="100"/>
      <c r="AD1153" s="100"/>
      <c r="AF1153"/>
      <c r="AK1153">
        <f t="shared" si="835"/>
        <v>0</v>
      </c>
      <c r="AL1153">
        <f t="shared" si="836"/>
        <v>0</v>
      </c>
      <c r="AM1153">
        <f t="shared" si="837"/>
        <v>0</v>
      </c>
      <c r="AN1153">
        <f t="shared" si="838"/>
        <v>0</v>
      </c>
      <c r="AO1153">
        <f t="shared" si="839"/>
        <v>0</v>
      </c>
      <c r="AP1153">
        <f t="shared" si="840"/>
        <v>0</v>
      </c>
      <c r="AQ1153">
        <f t="shared" si="841"/>
        <v>0</v>
      </c>
      <c r="AR1153">
        <f t="shared" si="842"/>
        <v>0</v>
      </c>
      <c r="AS1153">
        <f t="shared" si="843"/>
        <v>0</v>
      </c>
    </row>
    <row r="1154" spans="1:45" ht="15" customHeight="1">
      <c r="A1154" s="103"/>
      <c r="B1154" s="57"/>
      <c r="C1154" s="1109"/>
      <c r="D1154" s="954"/>
      <c r="E1154" s="955"/>
      <c r="F1154" s="956"/>
      <c r="G1154" s="1117" t="s">
        <v>4906</v>
      </c>
      <c r="H1154" s="1118"/>
      <c r="I1154" s="1104" t="s">
        <v>4907</v>
      </c>
      <c r="J1154" s="1105"/>
      <c r="K1154" s="1105"/>
      <c r="L1154" s="1105"/>
      <c r="M1154" s="1105"/>
      <c r="N1154" s="1105"/>
      <c r="O1154" s="1105"/>
      <c r="P1154" s="1105"/>
      <c r="Q1154" s="1105"/>
      <c r="R1154" s="1105"/>
      <c r="S1154" s="1105"/>
      <c r="T1154" s="1105"/>
      <c r="U1154" s="1106"/>
      <c r="V1154" s="100"/>
      <c r="W1154" s="100"/>
      <c r="X1154" s="100"/>
      <c r="Y1154" s="100"/>
      <c r="Z1154" s="100"/>
      <c r="AA1154" s="100"/>
      <c r="AB1154" s="100"/>
      <c r="AC1154" s="100"/>
      <c r="AD1154" s="100"/>
      <c r="AF1154"/>
      <c r="AK1154">
        <f t="shared" si="835"/>
        <v>0</v>
      </c>
      <c r="AL1154">
        <f t="shared" si="836"/>
        <v>0</v>
      </c>
      <c r="AM1154">
        <f t="shared" si="837"/>
        <v>0</v>
      </c>
      <c r="AN1154">
        <f t="shared" si="838"/>
        <v>0</v>
      </c>
      <c r="AO1154">
        <f t="shared" si="839"/>
        <v>0</v>
      </c>
      <c r="AP1154">
        <f t="shared" si="840"/>
        <v>0</v>
      </c>
      <c r="AQ1154">
        <f t="shared" si="841"/>
        <v>0</v>
      </c>
      <c r="AR1154">
        <f t="shared" si="842"/>
        <v>0</v>
      </c>
      <c r="AS1154">
        <f t="shared" si="843"/>
        <v>0</v>
      </c>
    </row>
    <row r="1155" spans="1:45" ht="24" customHeight="1">
      <c r="A1155" s="103"/>
      <c r="B1155" s="57"/>
      <c r="C1155" s="1109"/>
      <c r="D1155" s="954"/>
      <c r="E1155" s="955"/>
      <c r="F1155" s="956"/>
      <c r="G1155" s="1119" t="s">
        <v>4908</v>
      </c>
      <c r="H1155" s="1120"/>
      <c r="I1155" s="177"/>
      <c r="J1155" s="1115" t="s">
        <v>4909</v>
      </c>
      <c r="K1155" s="1115"/>
      <c r="L1155" s="1115"/>
      <c r="M1155" s="1115"/>
      <c r="N1155" s="1115"/>
      <c r="O1155" s="1115"/>
      <c r="P1155" s="1115"/>
      <c r="Q1155" s="1115"/>
      <c r="R1155" s="1115"/>
      <c r="S1155" s="1115"/>
      <c r="T1155" s="1115"/>
      <c r="U1155" s="1116"/>
      <c r="V1155" s="100"/>
      <c r="W1155" s="100"/>
      <c r="X1155" s="100"/>
      <c r="Y1155" s="100"/>
      <c r="Z1155" s="100"/>
      <c r="AA1155" s="100"/>
      <c r="AB1155" s="100"/>
      <c r="AC1155" s="100"/>
      <c r="AD1155" s="100"/>
      <c r="AF1155"/>
      <c r="AK1155">
        <f t="shared" si="835"/>
        <v>0</v>
      </c>
      <c r="AL1155">
        <f t="shared" si="836"/>
        <v>0</v>
      </c>
      <c r="AM1155">
        <f t="shared" si="837"/>
        <v>0</v>
      </c>
      <c r="AN1155">
        <f t="shared" si="838"/>
        <v>0</v>
      </c>
      <c r="AO1155">
        <f t="shared" si="839"/>
        <v>0</v>
      </c>
      <c r="AP1155">
        <f t="shared" si="840"/>
        <v>0</v>
      </c>
      <c r="AQ1155">
        <f t="shared" si="841"/>
        <v>0</v>
      </c>
      <c r="AR1155">
        <f t="shared" si="842"/>
        <v>0</v>
      </c>
      <c r="AS1155">
        <f t="shared" si="843"/>
        <v>0</v>
      </c>
    </row>
    <row r="1156" spans="1:45" ht="15" customHeight="1">
      <c r="A1156" s="103"/>
      <c r="B1156" s="57"/>
      <c r="C1156" s="1109"/>
      <c r="D1156" s="954"/>
      <c r="E1156" s="955"/>
      <c r="F1156" s="956"/>
      <c r="G1156" s="1119" t="s">
        <v>4910</v>
      </c>
      <c r="H1156" s="1120"/>
      <c r="I1156" s="178"/>
      <c r="J1156" s="1111" t="s">
        <v>4911</v>
      </c>
      <c r="K1156" s="1111"/>
      <c r="L1156" s="1111"/>
      <c r="M1156" s="1111"/>
      <c r="N1156" s="1111"/>
      <c r="O1156" s="1111"/>
      <c r="P1156" s="1111"/>
      <c r="Q1156" s="1111"/>
      <c r="R1156" s="1111"/>
      <c r="S1156" s="1111"/>
      <c r="T1156" s="1111"/>
      <c r="U1156" s="1112"/>
      <c r="V1156" s="100"/>
      <c r="W1156" s="100"/>
      <c r="X1156" s="100"/>
      <c r="Y1156" s="100"/>
      <c r="Z1156" s="100"/>
      <c r="AA1156" s="100"/>
      <c r="AB1156" s="100"/>
      <c r="AC1156" s="100"/>
      <c r="AD1156" s="100"/>
      <c r="AF1156"/>
      <c r="AK1156">
        <f t="shared" si="835"/>
        <v>0</v>
      </c>
      <c r="AL1156">
        <f t="shared" si="836"/>
        <v>0</v>
      </c>
      <c r="AM1156">
        <f t="shared" si="837"/>
        <v>0</v>
      </c>
      <c r="AN1156">
        <f t="shared" si="838"/>
        <v>0</v>
      </c>
      <c r="AO1156">
        <f t="shared" si="839"/>
        <v>0</v>
      </c>
      <c r="AP1156">
        <f t="shared" si="840"/>
        <v>0</v>
      </c>
      <c r="AQ1156">
        <f t="shared" si="841"/>
        <v>0</v>
      </c>
      <c r="AR1156">
        <f t="shared" si="842"/>
        <v>0</v>
      </c>
      <c r="AS1156">
        <f t="shared" si="843"/>
        <v>0</v>
      </c>
    </row>
    <row r="1157" spans="1:45" ht="15" customHeight="1">
      <c r="A1157" s="103"/>
      <c r="B1157" s="57"/>
      <c r="C1157" s="1109"/>
      <c r="D1157" s="954"/>
      <c r="E1157" s="955"/>
      <c r="F1157" s="956"/>
      <c r="G1157" s="1119" t="s">
        <v>4912</v>
      </c>
      <c r="H1157" s="1120"/>
      <c r="I1157" s="179"/>
      <c r="J1157" s="1113" t="s">
        <v>201</v>
      </c>
      <c r="K1157" s="1113"/>
      <c r="L1157" s="1113"/>
      <c r="M1157" s="1113"/>
      <c r="N1157" s="1113"/>
      <c r="O1157" s="1113"/>
      <c r="P1157" s="1113"/>
      <c r="Q1157" s="1113"/>
      <c r="R1157" s="1113"/>
      <c r="S1157" s="1113"/>
      <c r="T1157" s="1113"/>
      <c r="U1157" s="1114"/>
      <c r="V1157" s="100"/>
      <c r="W1157" s="100"/>
      <c r="X1157" s="100"/>
      <c r="Y1157" s="100"/>
      <c r="Z1157" s="100"/>
      <c r="AA1157" s="100"/>
      <c r="AB1157" s="100"/>
      <c r="AC1157" s="100"/>
      <c r="AD1157" s="100"/>
      <c r="AF1157"/>
      <c r="AK1157">
        <f t="shared" si="835"/>
        <v>0</v>
      </c>
      <c r="AL1157">
        <f t="shared" si="836"/>
        <v>0</v>
      </c>
      <c r="AM1157">
        <f t="shared" si="837"/>
        <v>0</v>
      </c>
      <c r="AN1157">
        <f t="shared" si="838"/>
        <v>0</v>
      </c>
      <c r="AO1157">
        <f t="shared" si="839"/>
        <v>0</v>
      </c>
      <c r="AP1157">
        <f t="shared" si="840"/>
        <v>0</v>
      </c>
      <c r="AQ1157">
        <f t="shared" si="841"/>
        <v>0</v>
      </c>
      <c r="AR1157">
        <f t="shared" si="842"/>
        <v>0</v>
      </c>
      <c r="AS1157">
        <f t="shared" si="843"/>
        <v>0</v>
      </c>
    </row>
    <row r="1158" spans="1:45" ht="15" customHeight="1">
      <c r="A1158" s="103"/>
      <c r="B1158" s="57"/>
      <c r="C1158" s="1109"/>
      <c r="D1158" s="954"/>
      <c r="E1158" s="955"/>
      <c r="F1158" s="956"/>
      <c r="G1158" s="1117" t="s">
        <v>4913</v>
      </c>
      <c r="H1158" s="1118"/>
      <c r="I1158" s="1104" t="s">
        <v>4914</v>
      </c>
      <c r="J1158" s="1105"/>
      <c r="K1158" s="1105"/>
      <c r="L1158" s="1105"/>
      <c r="M1158" s="1105"/>
      <c r="N1158" s="1105"/>
      <c r="O1158" s="1105"/>
      <c r="P1158" s="1105"/>
      <c r="Q1158" s="1105"/>
      <c r="R1158" s="1105"/>
      <c r="S1158" s="1105"/>
      <c r="T1158" s="1105"/>
      <c r="U1158" s="1106"/>
      <c r="V1158" s="100"/>
      <c r="W1158" s="100"/>
      <c r="X1158" s="100"/>
      <c r="Y1158" s="100"/>
      <c r="Z1158" s="100"/>
      <c r="AA1158" s="100"/>
      <c r="AB1158" s="100"/>
      <c r="AC1158" s="100"/>
      <c r="AD1158" s="100"/>
      <c r="AF1158"/>
      <c r="AK1158">
        <f t="shared" si="835"/>
        <v>0</v>
      </c>
      <c r="AL1158">
        <f t="shared" si="836"/>
        <v>0</v>
      </c>
      <c r="AM1158">
        <f t="shared" si="837"/>
        <v>0</v>
      </c>
      <c r="AN1158">
        <f t="shared" si="838"/>
        <v>0</v>
      </c>
      <c r="AO1158">
        <f t="shared" si="839"/>
        <v>0</v>
      </c>
      <c r="AP1158">
        <f t="shared" si="840"/>
        <v>0</v>
      </c>
      <c r="AQ1158">
        <f t="shared" si="841"/>
        <v>0</v>
      </c>
      <c r="AR1158">
        <f t="shared" si="842"/>
        <v>0</v>
      </c>
      <c r="AS1158">
        <f t="shared" si="843"/>
        <v>0</v>
      </c>
    </row>
    <row r="1159" spans="1:45" ht="15" customHeight="1">
      <c r="A1159" s="103"/>
      <c r="B1159" s="57"/>
      <c r="C1159" s="1109"/>
      <c r="D1159" s="954"/>
      <c r="E1159" s="955"/>
      <c r="F1159" s="956"/>
      <c r="G1159" s="1117" t="s">
        <v>4915</v>
      </c>
      <c r="H1159" s="1118"/>
      <c r="I1159" s="1104" t="s">
        <v>4916</v>
      </c>
      <c r="J1159" s="1105"/>
      <c r="K1159" s="1105"/>
      <c r="L1159" s="1105"/>
      <c r="M1159" s="1105"/>
      <c r="N1159" s="1105"/>
      <c r="O1159" s="1105"/>
      <c r="P1159" s="1105"/>
      <c r="Q1159" s="1105"/>
      <c r="R1159" s="1105"/>
      <c r="S1159" s="1105"/>
      <c r="T1159" s="1105"/>
      <c r="U1159" s="1106"/>
      <c r="V1159" s="100"/>
      <c r="W1159" s="100"/>
      <c r="X1159" s="100"/>
      <c r="Y1159" s="100"/>
      <c r="Z1159" s="100"/>
      <c r="AA1159" s="100"/>
      <c r="AB1159" s="100"/>
      <c r="AC1159" s="100"/>
      <c r="AD1159" s="100"/>
      <c r="AF1159"/>
      <c r="AK1159">
        <f t="shared" si="835"/>
        <v>0</v>
      </c>
      <c r="AL1159">
        <f t="shared" si="836"/>
        <v>0</v>
      </c>
      <c r="AM1159">
        <f t="shared" si="837"/>
        <v>0</v>
      </c>
      <c r="AN1159">
        <f t="shared" si="838"/>
        <v>0</v>
      </c>
      <c r="AO1159">
        <f t="shared" si="839"/>
        <v>0</v>
      </c>
      <c r="AP1159">
        <f t="shared" si="840"/>
        <v>0</v>
      </c>
      <c r="AQ1159">
        <f t="shared" si="841"/>
        <v>0</v>
      </c>
      <c r="AR1159">
        <f t="shared" si="842"/>
        <v>0</v>
      </c>
      <c r="AS1159">
        <f t="shared" si="843"/>
        <v>0</v>
      </c>
    </row>
    <row r="1160" spans="1:45" ht="15" customHeight="1">
      <c r="A1160" s="103"/>
      <c r="B1160" s="57"/>
      <c r="C1160" s="1109"/>
      <c r="D1160" s="954"/>
      <c r="E1160" s="955"/>
      <c r="F1160" s="956"/>
      <c r="G1160" s="1117" t="s">
        <v>4917</v>
      </c>
      <c r="H1160" s="1118"/>
      <c r="I1160" s="1104" t="s">
        <v>4918</v>
      </c>
      <c r="J1160" s="1105"/>
      <c r="K1160" s="1105"/>
      <c r="L1160" s="1105"/>
      <c r="M1160" s="1105"/>
      <c r="N1160" s="1105"/>
      <c r="O1160" s="1105"/>
      <c r="P1160" s="1105"/>
      <c r="Q1160" s="1105"/>
      <c r="R1160" s="1105"/>
      <c r="S1160" s="1105"/>
      <c r="T1160" s="1105"/>
      <c r="U1160" s="1106"/>
      <c r="V1160" s="100"/>
      <c r="W1160" s="100"/>
      <c r="X1160" s="100"/>
      <c r="Y1160" s="100"/>
      <c r="Z1160" s="100"/>
      <c r="AA1160" s="100"/>
      <c r="AB1160" s="100"/>
      <c r="AC1160" s="100"/>
      <c r="AD1160" s="100"/>
      <c r="AF1160"/>
      <c r="AK1160">
        <f t="shared" si="835"/>
        <v>0</v>
      </c>
      <c r="AL1160">
        <f t="shared" si="836"/>
        <v>0</v>
      </c>
      <c r="AM1160">
        <f t="shared" si="837"/>
        <v>0</v>
      </c>
      <c r="AN1160">
        <f t="shared" si="838"/>
        <v>0</v>
      </c>
      <c r="AO1160">
        <f t="shared" si="839"/>
        <v>0</v>
      </c>
      <c r="AP1160">
        <f t="shared" si="840"/>
        <v>0</v>
      </c>
      <c r="AQ1160">
        <f t="shared" si="841"/>
        <v>0</v>
      </c>
      <c r="AR1160">
        <f t="shared" si="842"/>
        <v>0</v>
      </c>
      <c r="AS1160">
        <f t="shared" si="843"/>
        <v>0</v>
      </c>
    </row>
    <row r="1161" spans="1:45" ht="15" customHeight="1">
      <c r="A1161" s="103"/>
      <c r="B1161" s="57"/>
      <c r="C1161" s="1108" t="s">
        <v>4919</v>
      </c>
      <c r="D1161" s="847" t="s">
        <v>4920</v>
      </c>
      <c r="E1161" s="953"/>
      <c r="F1161" s="848"/>
      <c r="G1161" s="1117" t="s">
        <v>4921</v>
      </c>
      <c r="H1161" s="1118"/>
      <c r="I1161" s="1104" t="s">
        <v>4922</v>
      </c>
      <c r="J1161" s="1105"/>
      <c r="K1161" s="1105"/>
      <c r="L1161" s="1105"/>
      <c r="M1161" s="1105"/>
      <c r="N1161" s="1105"/>
      <c r="O1161" s="1105"/>
      <c r="P1161" s="1105"/>
      <c r="Q1161" s="1105"/>
      <c r="R1161" s="1105"/>
      <c r="S1161" s="1105"/>
      <c r="T1161" s="1105"/>
      <c r="U1161" s="1106"/>
      <c r="V1161" s="100"/>
      <c r="W1161" s="100"/>
      <c r="X1161" s="100"/>
      <c r="Y1161" s="100"/>
      <c r="Z1161" s="100"/>
      <c r="AA1161" s="100"/>
      <c r="AB1161" s="100"/>
      <c r="AC1161" s="100"/>
      <c r="AD1161" s="100"/>
      <c r="AF1161"/>
      <c r="AK1161">
        <f t="shared" ref="AK1161:AK1224" si="844">COUNTIF(W1161:X1161,"NS")</f>
        <v>0</v>
      </c>
      <c r="AL1161">
        <f t="shared" ref="AL1161:AL1224" si="845">SUM(W1161:X1161)</f>
        <v>0</v>
      </c>
      <c r="AM1161">
        <f t="shared" ref="AM1161:AM1224" si="846">IF(COUNTIF(V1161:X1161,"NA")=3,0,IF(COUNTA(V1161:X1161)=0,0,IF(OR(AND(V1161=0,AK1161&gt;0),AND(V1161="ns",AL1161&gt;0),AND(V1161="ns",AK1161=0,AL1161=0)),1,IF(OR(AND(V1161&gt;0,AK1161=2),AND(V1161="ns",AK1161=2),AND(V1161="ns",AL1161=0,AK1161&gt;0),V1161=AL1161),0,1))))</f>
        <v>0</v>
      </c>
      <c r="AN1161">
        <f t="shared" ref="AN1161:AN1224" si="847">COUNTIF(Z1161:AA1161,"NS")</f>
        <v>0</v>
      </c>
      <c r="AO1161">
        <f t="shared" ref="AO1161:AO1224" si="848">SUM(Z1161:AA1161)</f>
        <v>0</v>
      </c>
      <c r="AP1161">
        <f t="shared" ref="AP1161:AP1224" si="849">IF(COUNTIF(Y1161:AA1161,"NA")=3,0,IF(COUNTA(Y1161:AA1161)=0,0,IF(OR(AND(Y1161=0,AN1161&gt;0),AND(Y1161="ns",AO1161&gt;0),AND(Y1161="ns",AN1161=0,AO1161=0)),1,IF(OR(AND(Y1161&gt;0,AN1161=2),AND(Y1161="ns",AN1161=2),AND(Y1161="ns",AO1161=0,AN1161&gt;0),Y1161=AO1161),0,1))))</f>
        <v>0</v>
      </c>
      <c r="AQ1161">
        <f t="shared" ref="AQ1161:AQ1224" si="850">COUNTIF(AC1161:AD1161,"NS")</f>
        <v>0</v>
      </c>
      <c r="AR1161">
        <f t="shared" ref="AR1161:AR1224" si="851">SUM(AC1161:AD1161)</f>
        <v>0</v>
      </c>
      <c r="AS1161">
        <f t="shared" ref="AS1161:AS1224" si="852">IF(COUNTIF(AB1161:AD1161,"NA")=3,0,IF(COUNTA(AB1161:AD1161)=0,0,IF(OR(AND(AB1161=0,AQ1161&gt;0),AND(AB1161="ns",AR1161&gt;0),AND(AB1161="ns",AQ1161=0,AR1161=0)),1,IF(OR(AND(AB1161&gt;0,AQ1161=2),AND(AB1161="ns",AQ1161=2),AND(AB1161="ns",AR1161=0,AQ1161&gt;0),AB1161=AR1161),0,1))))</f>
        <v>0</v>
      </c>
    </row>
    <row r="1162" spans="1:45" ht="15" customHeight="1">
      <c r="A1162" s="103"/>
      <c r="B1162" s="57"/>
      <c r="C1162" s="1109"/>
      <c r="D1162" s="954"/>
      <c r="E1162" s="955"/>
      <c r="F1162" s="956"/>
      <c r="G1162" s="1117" t="s">
        <v>4923</v>
      </c>
      <c r="H1162" s="1118"/>
      <c r="I1162" s="1104" t="s">
        <v>4924</v>
      </c>
      <c r="J1162" s="1105"/>
      <c r="K1162" s="1105"/>
      <c r="L1162" s="1105"/>
      <c r="M1162" s="1105"/>
      <c r="N1162" s="1105"/>
      <c r="O1162" s="1105"/>
      <c r="P1162" s="1105"/>
      <c r="Q1162" s="1105"/>
      <c r="R1162" s="1105"/>
      <c r="S1162" s="1105"/>
      <c r="T1162" s="1105"/>
      <c r="U1162" s="1106"/>
      <c r="V1162" s="100"/>
      <c r="W1162" s="100"/>
      <c r="X1162" s="100"/>
      <c r="Y1162" s="100"/>
      <c r="Z1162" s="100"/>
      <c r="AA1162" s="100"/>
      <c r="AB1162" s="100"/>
      <c r="AC1162" s="100"/>
      <c r="AD1162" s="100"/>
      <c r="AF1162"/>
      <c r="AK1162">
        <f t="shared" si="844"/>
        <v>0</v>
      </c>
      <c r="AL1162">
        <f t="shared" si="845"/>
        <v>0</v>
      </c>
      <c r="AM1162">
        <f t="shared" si="846"/>
        <v>0</v>
      </c>
      <c r="AN1162">
        <f t="shared" si="847"/>
        <v>0</v>
      </c>
      <c r="AO1162">
        <f t="shared" si="848"/>
        <v>0</v>
      </c>
      <c r="AP1162">
        <f t="shared" si="849"/>
        <v>0</v>
      </c>
      <c r="AQ1162">
        <f t="shared" si="850"/>
        <v>0</v>
      </c>
      <c r="AR1162">
        <f t="shared" si="851"/>
        <v>0</v>
      </c>
      <c r="AS1162">
        <f t="shared" si="852"/>
        <v>0</v>
      </c>
    </row>
    <row r="1163" spans="1:45" ht="15" customHeight="1">
      <c r="A1163" s="103"/>
      <c r="B1163" s="57"/>
      <c r="C1163" s="1109"/>
      <c r="D1163" s="954"/>
      <c r="E1163" s="955"/>
      <c r="F1163" s="956"/>
      <c r="G1163" s="1117" t="s">
        <v>4925</v>
      </c>
      <c r="H1163" s="1118"/>
      <c r="I1163" s="1104" t="s">
        <v>4926</v>
      </c>
      <c r="J1163" s="1105"/>
      <c r="K1163" s="1105"/>
      <c r="L1163" s="1105"/>
      <c r="M1163" s="1105"/>
      <c r="N1163" s="1105"/>
      <c r="O1163" s="1105"/>
      <c r="P1163" s="1105"/>
      <c r="Q1163" s="1105"/>
      <c r="R1163" s="1105"/>
      <c r="S1163" s="1105"/>
      <c r="T1163" s="1105"/>
      <c r="U1163" s="1106"/>
      <c r="V1163" s="100"/>
      <c r="W1163" s="100"/>
      <c r="X1163" s="100"/>
      <c r="Y1163" s="100"/>
      <c r="Z1163" s="100"/>
      <c r="AA1163" s="100"/>
      <c r="AB1163" s="100"/>
      <c r="AC1163" s="100"/>
      <c r="AD1163" s="100"/>
      <c r="AF1163"/>
      <c r="AK1163">
        <f t="shared" si="844"/>
        <v>0</v>
      </c>
      <c r="AL1163">
        <f t="shared" si="845"/>
        <v>0</v>
      </c>
      <c r="AM1163">
        <f t="shared" si="846"/>
        <v>0</v>
      </c>
      <c r="AN1163">
        <f t="shared" si="847"/>
        <v>0</v>
      </c>
      <c r="AO1163">
        <f t="shared" si="848"/>
        <v>0</v>
      </c>
      <c r="AP1163">
        <f t="shared" si="849"/>
        <v>0</v>
      </c>
      <c r="AQ1163">
        <f t="shared" si="850"/>
        <v>0</v>
      </c>
      <c r="AR1163">
        <f t="shared" si="851"/>
        <v>0</v>
      </c>
      <c r="AS1163">
        <f t="shared" si="852"/>
        <v>0</v>
      </c>
    </row>
    <row r="1164" spans="1:45" ht="15" customHeight="1">
      <c r="A1164" s="103"/>
      <c r="B1164" s="57"/>
      <c r="C1164" s="1108" t="s">
        <v>4927</v>
      </c>
      <c r="D1164" s="847" t="s">
        <v>4928</v>
      </c>
      <c r="E1164" s="953"/>
      <c r="F1164" s="848"/>
      <c r="G1164" s="1117" t="s">
        <v>4929</v>
      </c>
      <c r="H1164" s="1118"/>
      <c r="I1164" s="1104" t="s">
        <v>4930</v>
      </c>
      <c r="J1164" s="1105"/>
      <c r="K1164" s="1105"/>
      <c r="L1164" s="1105"/>
      <c r="M1164" s="1105"/>
      <c r="N1164" s="1105"/>
      <c r="O1164" s="1105"/>
      <c r="P1164" s="1105"/>
      <c r="Q1164" s="1105"/>
      <c r="R1164" s="1105"/>
      <c r="S1164" s="1105"/>
      <c r="T1164" s="1105"/>
      <c r="U1164" s="1106"/>
      <c r="V1164" s="100"/>
      <c r="W1164" s="100"/>
      <c r="X1164" s="100"/>
      <c r="Y1164" s="100"/>
      <c r="Z1164" s="100"/>
      <c r="AA1164" s="100"/>
      <c r="AB1164" s="100"/>
      <c r="AC1164" s="100"/>
      <c r="AD1164" s="100"/>
      <c r="AF1164"/>
      <c r="AK1164">
        <f t="shared" si="844"/>
        <v>0</v>
      </c>
      <c r="AL1164">
        <f t="shared" si="845"/>
        <v>0</v>
      </c>
      <c r="AM1164">
        <f t="shared" si="846"/>
        <v>0</v>
      </c>
      <c r="AN1164">
        <f t="shared" si="847"/>
        <v>0</v>
      </c>
      <c r="AO1164">
        <f t="shared" si="848"/>
        <v>0</v>
      </c>
      <c r="AP1164">
        <f t="shared" si="849"/>
        <v>0</v>
      </c>
      <c r="AQ1164">
        <f t="shared" si="850"/>
        <v>0</v>
      </c>
      <c r="AR1164">
        <f t="shared" si="851"/>
        <v>0</v>
      </c>
      <c r="AS1164">
        <f t="shared" si="852"/>
        <v>0</v>
      </c>
    </row>
    <row r="1165" spans="1:45" ht="15" customHeight="1">
      <c r="A1165" s="103"/>
      <c r="B1165" s="57"/>
      <c r="C1165" s="1109"/>
      <c r="D1165" s="954"/>
      <c r="E1165" s="955"/>
      <c r="F1165" s="956"/>
      <c r="G1165" s="1119" t="s">
        <v>4931</v>
      </c>
      <c r="H1165" s="1120"/>
      <c r="I1165" s="177"/>
      <c r="J1165" s="1115" t="s">
        <v>4932</v>
      </c>
      <c r="K1165" s="1115"/>
      <c r="L1165" s="1115"/>
      <c r="M1165" s="1115"/>
      <c r="N1165" s="1115"/>
      <c r="O1165" s="1115"/>
      <c r="P1165" s="1115"/>
      <c r="Q1165" s="1115"/>
      <c r="R1165" s="1115"/>
      <c r="S1165" s="1115"/>
      <c r="T1165" s="1115"/>
      <c r="U1165" s="1116"/>
      <c r="V1165" s="100"/>
      <c r="W1165" s="100"/>
      <c r="X1165" s="100"/>
      <c r="Y1165" s="100"/>
      <c r="Z1165" s="100"/>
      <c r="AA1165" s="100"/>
      <c r="AB1165" s="100"/>
      <c r="AC1165" s="100"/>
      <c r="AD1165" s="100"/>
      <c r="AF1165"/>
      <c r="AK1165">
        <f t="shared" si="844"/>
        <v>0</v>
      </c>
      <c r="AL1165">
        <f t="shared" si="845"/>
        <v>0</v>
      </c>
      <c r="AM1165">
        <f t="shared" si="846"/>
        <v>0</v>
      </c>
      <c r="AN1165">
        <f t="shared" si="847"/>
        <v>0</v>
      </c>
      <c r="AO1165">
        <f t="shared" si="848"/>
        <v>0</v>
      </c>
      <c r="AP1165">
        <f t="shared" si="849"/>
        <v>0</v>
      </c>
      <c r="AQ1165">
        <f t="shared" si="850"/>
        <v>0</v>
      </c>
      <c r="AR1165">
        <f t="shared" si="851"/>
        <v>0</v>
      </c>
      <c r="AS1165">
        <f t="shared" si="852"/>
        <v>0</v>
      </c>
    </row>
    <row r="1166" spans="1:45" ht="15" customHeight="1">
      <c r="A1166" s="103"/>
      <c r="B1166" s="57"/>
      <c r="C1166" s="1109"/>
      <c r="D1166" s="954"/>
      <c r="E1166" s="955"/>
      <c r="F1166" s="956"/>
      <c r="G1166" s="1119" t="s">
        <v>4933</v>
      </c>
      <c r="H1166" s="1120"/>
      <c r="I1166" s="178"/>
      <c r="J1166" s="1111" t="s">
        <v>4934</v>
      </c>
      <c r="K1166" s="1111"/>
      <c r="L1166" s="1111"/>
      <c r="M1166" s="1111"/>
      <c r="N1166" s="1111"/>
      <c r="O1166" s="1111"/>
      <c r="P1166" s="1111"/>
      <c r="Q1166" s="1111"/>
      <c r="R1166" s="1111"/>
      <c r="S1166" s="1111"/>
      <c r="T1166" s="1111"/>
      <c r="U1166" s="1112"/>
      <c r="V1166" s="100"/>
      <c r="W1166" s="100"/>
      <c r="X1166" s="100"/>
      <c r="Y1166" s="100"/>
      <c r="Z1166" s="100"/>
      <c r="AA1166" s="100"/>
      <c r="AB1166" s="100"/>
      <c r="AC1166" s="100"/>
      <c r="AD1166" s="100"/>
      <c r="AF1166"/>
      <c r="AK1166">
        <f t="shared" si="844"/>
        <v>0</v>
      </c>
      <c r="AL1166">
        <f t="shared" si="845"/>
        <v>0</v>
      </c>
      <c r="AM1166">
        <f t="shared" si="846"/>
        <v>0</v>
      </c>
      <c r="AN1166">
        <f t="shared" si="847"/>
        <v>0</v>
      </c>
      <c r="AO1166">
        <f t="shared" si="848"/>
        <v>0</v>
      </c>
      <c r="AP1166">
        <f t="shared" si="849"/>
        <v>0</v>
      </c>
      <c r="AQ1166">
        <f t="shared" si="850"/>
        <v>0</v>
      </c>
      <c r="AR1166">
        <f t="shared" si="851"/>
        <v>0</v>
      </c>
      <c r="AS1166">
        <f t="shared" si="852"/>
        <v>0</v>
      </c>
    </row>
    <row r="1167" spans="1:45" ht="15" customHeight="1">
      <c r="A1167" s="103"/>
      <c r="B1167" s="57"/>
      <c r="C1167" s="1109"/>
      <c r="D1167" s="954"/>
      <c r="E1167" s="955"/>
      <c r="F1167" s="956"/>
      <c r="G1167" s="1119" t="s">
        <v>4935</v>
      </c>
      <c r="H1167" s="1120"/>
      <c r="I1167" s="178"/>
      <c r="J1167" s="1111" t="s">
        <v>4936</v>
      </c>
      <c r="K1167" s="1111"/>
      <c r="L1167" s="1111"/>
      <c r="M1167" s="1111"/>
      <c r="N1167" s="1111"/>
      <c r="O1167" s="1111"/>
      <c r="P1167" s="1111"/>
      <c r="Q1167" s="1111"/>
      <c r="R1167" s="1111"/>
      <c r="S1167" s="1111"/>
      <c r="T1167" s="1111"/>
      <c r="U1167" s="1112"/>
      <c r="V1167" s="100"/>
      <c r="W1167" s="100"/>
      <c r="X1167" s="100"/>
      <c r="Y1167" s="100"/>
      <c r="Z1167" s="100"/>
      <c r="AA1167" s="100"/>
      <c r="AB1167" s="100"/>
      <c r="AC1167" s="100"/>
      <c r="AD1167" s="100"/>
      <c r="AF1167"/>
      <c r="AK1167">
        <f t="shared" si="844"/>
        <v>0</v>
      </c>
      <c r="AL1167">
        <f t="shared" si="845"/>
        <v>0</v>
      </c>
      <c r="AM1167">
        <f t="shared" si="846"/>
        <v>0</v>
      </c>
      <c r="AN1167">
        <f t="shared" si="847"/>
        <v>0</v>
      </c>
      <c r="AO1167">
        <f t="shared" si="848"/>
        <v>0</v>
      </c>
      <c r="AP1167">
        <f t="shared" si="849"/>
        <v>0</v>
      </c>
      <c r="AQ1167">
        <f t="shared" si="850"/>
        <v>0</v>
      </c>
      <c r="AR1167">
        <f t="shared" si="851"/>
        <v>0</v>
      </c>
      <c r="AS1167">
        <f t="shared" si="852"/>
        <v>0</v>
      </c>
    </row>
    <row r="1168" spans="1:45" ht="15" customHeight="1">
      <c r="A1168" s="103"/>
      <c r="B1168" s="57"/>
      <c r="C1168" s="1109"/>
      <c r="D1168" s="954"/>
      <c r="E1168" s="955"/>
      <c r="F1168" s="956"/>
      <c r="G1168" s="1119" t="s">
        <v>4937</v>
      </c>
      <c r="H1168" s="1120"/>
      <c r="I1168" s="178"/>
      <c r="J1168" s="1111" t="s">
        <v>4938</v>
      </c>
      <c r="K1168" s="1111"/>
      <c r="L1168" s="1111"/>
      <c r="M1168" s="1111"/>
      <c r="N1168" s="1111"/>
      <c r="O1168" s="1111"/>
      <c r="P1168" s="1111"/>
      <c r="Q1168" s="1111"/>
      <c r="R1168" s="1111"/>
      <c r="S1168" s="1111"/>
      <c r="T1168" s="1111"/>
      <c r="U1168" s="1112"/>
      <c r="V1168" s="100"/>
      <c r="W1168" s="100"/>
      <c r="X1168" s="100"/>
      <c r="Y1168" s="100"/>
      <c r="Z1168" s="100"/>
      <c r="AA1168" s="100"/>
      <c r="AB1168" s="100"/>
      <c r="AC1168" s="100"/>
      <c r="AD1168" s="100"/>
      <c r="AF1168"/>
      <c r="AK1168">
        <f t="shared" si="844"/>
        <v>0</v>
      </c>
      <c r="AL1168">
        <f t="shared" si="845"/>
        <v>0</v>
      </c>
      <c r="AM1168">
        <f t="shared" si="846"/>
        <v>0</v>
      </c>
      <c r="AN1168">
        <f t="shared" si="847"/>
        <v>0</v>
      </c>
      <c r="AO1168">
        <f t="shared" si="848"/>
        <v>0</v>
      </c>
      <c r="AP1168">
        <f t="shared" si="849"/>
        <v>0</v>
      </c>
      <c r="AQ1168">
        <f t="shared" si="850"/>
        <v>0</v>
      </c>
      <c r="AR1168">
        <f t="shared" si="851"/>
        <v>0</v>
      </c>
      <c r="AS1168">
        <f t="shared" si="852"/>
        <v>0</v>
      </c>
    </row>
    <row r="1169" spans="1:45" ht="15" customHeight="1">
      <c r="A1169" s="103"/>
      <c r="B1169" s="57"/>
      <c r="C1169" s="1109"/>
      <c r="D1169" s="954"/>
      <c r="E1169" s="955"/>
      <c r="F1169" s="956"/>
      <c r="G1169" s="1119" t="s">
        <v>4939</v>
      </c>
      <c r="H1169" s="1120"/>
      <c r="I1169" s="178"/>
      <c r="J1169" s="1111" t="s">
        <v>4940</v>
      </c>
      <c r="K1169" s="1111"/>
      <c r="L1169" s="1111"/>
      <c r="M1169" s="1111"/>
      <c r="N1169" s="1111"/>
      <c r="O1169" s="1111"/>
      <c r="P1169" s="1111"/>
      <c r="Q1169" s="1111"/>
      <c r="R1169" s="1111"/>
      <c r="S1169" s="1111"/>
      <c r="T1169" s="1111"/>
      <c r="U1169" s="1112"/>
      <c r="V1169" s="100"/>
      <c r="W1169" s="100"/>
      <c r="X1169" s="100"/>
      <c r="Y1169" s="100"/>
      <c r="Z1169" s="100"/>
      <c r="AA1169" s="100"/>
      <c r="AB1169" s="100"/>
      <c r="AC1169" s="100"/>
      <c r="AD1169" s="100"/>
      <c r="AF1169"/>
      <c r="AK1169">
        <f t="shared" si="844"/>
        <v>0</v>
      </c>
      <c r="AL1169">
        <f t="shared" si="845"/>
        <v>0</v>
      </c>
      <c r="AM1169">
        <f t="shared" si="846"/>
        <v>0</v>
      </c>
      <c r="AN1169">
        <f t="shared" si="847"/>
        <v>0</v>
      </c>
      <c r="AO1169">
        <f t="shared" si="848"/>
        <v>0</v>
      </c>
      <c r="AP1169">
        <f t="shared" si="849"/>
        <v>0</v>
      </c>
      <c r="AQ1169">
        <f t="shared" si="850"/>
        <v>0</v>
      </c>
      <c r="AR1169">
        <f t="shared" si="851"/>
        <v>0</v>
      </c>
      <c r="AS1169">
        <f t="shared" si="852"/>
        <v>0</v>
      </c>
    </row>
    <row r="1170" spans="1:45" ht="15" customHeight="1">
      <c r="A1170" s="103"/>
      <c r="B1170" s="57"/>
      <c r="C1170" s="1109"/>
      <c r="D1170" s="954"/>
      <c r="E1170" s="955"/>
      <c r="F1170" s="956"/>
      <c r="G1170" s="1119" t="s">
        <v>4941</v>
      </c>
      <c r="H1170" s="1120"/>
      <c r="I1170" s="178"/>
      <c r="J1170" s="1111" t="s">
        <v>4942</v>
      </c>
      <c r="K1170" s="1111"/>
      <c r="L1170" s="1111"/>
      <c r="M1170" s="1111"/>
      <c r="N1170" s="1111"/>
      <c r="O1170" s="1111"/>
      <c r="P1170" s="1111"/>
      <c r="Q1170" s="1111"/>
      <c r="R1170" s="1111"/>
      <c r="S1170" s="1111"/>
      <c r="T1170" s="1111"/>
      <c r="U1170" s="1112"/>
      <c r="V1170" s="100"/>
      <c r="W1170" s="100"/>
      <c r="X1170" s="100"/>
      <c r="Y1170" s="100"/>
      <c r="Z1170" s="100"/>
      <c r="AA1170" s="100"/>
      <c r="AB1170" s="100"/>
      <c r="AC1170" s="100"/>
      <c r="AD1170" s="100"/>
      <c r="AF1170"/>
      <c r="AK1170">
        <f t="shared" si="844"/>
        <v>0</v>
      </c>
      <c r="AL1170">
        <f t="shared" si="845"/>
        <v>0</v>
      </c>
      <c r="AM1170">
        <f t="shared" si="846"/>
        <v>0</v>
      </c>
      <c r="AN1170">
        <f t="shared" si="847"/>
        <v>0</v>
      </c>
      <c r="AO1170">
        <f t="shared" si="848"/>
        <v>0</v>
      </c>
      <c r="AP1170">
        <f t="shared" si="849"/>
        <v>0</v>
      </c>
      <c r="AQ1170">
        <f t="shared" si="850"/>
        <v>0</v>
      </c>
      <c r="AR1170">
        <f t="shared" si="851"/>
        <v>0</v>
      </c>
      <c r="AS1170">
        <f t="shared" si="852"/>
        <v>0</v>
      </c>
    </row>
    <row r="1171" spans="1:45" ht="15" customHeight="1">
      <c r="A1171" s="103"/>
      <c r="B1171" s="57"/>
      <c r="C1171" s="1109"/>
      <c r="D1171" s="954"/>
      <c r="E1171" s="955"/>
      <c r="F1171" s="956"/>
      <c r="G1171" s="1119" t="s">
        <v>4943</v>
      </c>
      <c r="H1171" s="1120"/>
      <c r="I1171" s="179"/>
      <c r="J1171" s="1113" t="s">
        <v>201</v>
      </c>
      <c r="K1171" s="1113"/>
      <c r="L1171" s="1113"/>
      <c r="M1171" s="1113"/>
      <c r="N1171" s="1113"/>
      <c r="O1171" s="1113"/>
      <c r="P1171" s="1113"/>
      <c r="Q1171" s="1113"/>
      <c r="R1171" s="1113"/>
      <c r="S1171" s="1113"/>
      <c r="T1171" s="1113"/>
      <c r="U1171" s="1114"/>
      <c r="V1171" s="100"/>
      <c r="W1171" s="100"/>
      <c r="X1171" s="100"/>
      <c r="Y1171" s="100"/>
      <c r="Z1171" s="100"/>
      <c r="AA1171" s="100"/>
      <c r="AB1171" s="100"/>
      <c r="AC1171" s="100"/>
      <c r="AD1171" s="100"/>
      <c r="AF1171"/>
      <c r="AK1171">
        <f t="shared" si="844"/>
        <v>0</v>
      </c>
      <c r="AL1171">
        <f t="shared" si="845"/>
        <v>0</v>
      </c>
      <c r="AM1171">
        <f t="shared" si="846"/>
        <v>0</v>
      </c>
      <c r="AN1171">
        <f t="shared" si="847"/>
        <v>0</v>
      </c>
      <c r="AO1171">
        <f t="shared" si="848"/>
        <v>0</v>
      </c>
      <c r="AP1171">
        <f t="shared" si="849"/>
        <v>0</v>
      </c>
      <c r="AQ1171">
        <f t="shared" si="850"/>
        <v>0</v>
      </c>
      <c r="AR1171">
        <f t="shared" si="851"/>
        <v>0</v>
      </c>
      <c r="AS1171">
        <f t="shared" si="852"/>
        <v>0</v>
      </c>
    </row>
    <row r="1172" spans="1:45" ht="15" customHeight="1">
      <c r="A1172" s="103"/>
      <c r="B1172" s="57"/>
      <c r="C1172" s="1109"/>
      <c r="D1172" s="954"/>
      <c r="E1172" s="955"/>
      <c r="F1172" s="956"/>
      <c r="G1172" s="1117" t="s">
        <v>4944</v>
      </c>
      <c r="H1172" s="1118"/>
      <c r="I1172" s="1104" t="s">
        <v>4945</v>
      </c>
      <c r="J1172" s="1105"/>
      <c r="K1172" s="1105"/>
      <c r="L1172" s="1105"/>
      <c r="M1172" s="1105"/>
      <c r="N1172" s="1105"/>
      <c r="O1172" s="1105"/>
      <c r="P1172" s="1105"/>
      <c r="Q1172" s="1105"/>
      <c r="R1172" s="1105"/>
      <c r="S1172" s="1105"/>
      <c r="T1172" s="1105"/>
      <c r="U1172" s="1106"/>
      <c r="V1172" s="100"/>
      <c r="W1172" s="100"/>
      <c r="X1172" s="100"/>
      <c r="Y1172" s="100"/>
      <c r="Z1172" s="100"/>
      <c r="AA1172" s="100"/>
      <c r="AB1172" s="100"/>
      <c r="AC1172" s="100"/>
      <c r="AD1172" s="100"/>
      <c r="AF1172"/>
      <c r="AK1172">
        <f t="shared" si="844"/>
        <v>0</v>
      </c>
      <c r="AL1172">
        <f t="shared" si="845"/>
        <v>0</v>
      </c>
      <c r="AM1172">
        <f t="shared" si="846"/>
        <v>0</v>
      </c>
      <c r="AN1172">
        <f t="shared" si="847"/>
        <v>0</v>
      </c>
      <c r="AO1172">
        <f t="shared" si="848"/>
        <v>0</v>
      </c>
      <c r="AP1172">
        <f t="shared" si="849"/>
        <v>0</v>
      </c>
      <c r="AQ1172">
        <f t="shared" si="850"/>
        <v>0</v>
      </c>
      <c r="AR1172">
        <f t="shared" si="851"/>
        <v>0</v>
      </c>
      <c r="AS1172">
        <f t="shared" si="852"/>
        <v>0</v>
      </c>
    </row>
    <row r="1173" spans="1:45" ht="15" customHeight="1">
      <c r="A1173" s="103"/>
      <c r="B1173" s="57"/>
      <c r="C1173" s="1109"/>
      <c r="D1173" s="954"/>
      <c r="E1173" s="955"/>
      <c r="F1173" s="956"/>
      <c r="G1173" s="1119" t="s">
        <v>4946</v>
      </c>
      <c r="H1173" s="1120"/>
      <c r="I1173" s="177"/>
      <c r="J1173" s="1115" t="s">
        <v>4947</v>
      </c>
      <c r="K1173" s="1115"/>
      <c r="L1173" s="1115"/>
      <c r="M1173" s="1115"/>
      <c r="N1173" s="1115"/>
      <c r="O1173" s="1115"/>
      <c r="P1173" s="1115"/>
      <c r="Q1173" s="1115"/>
      <c r="R1173" s="1115"/>
      <c r="S1173" s="1115"/>
      <c r="T1173" s="1115"/>
      <c r="U1173" s="1116"/>
      <c r="V1173" s="100"/>
      <c r="W1173" s="100"/>
      <c r="X1173" s="100"/>
      <c r="Y1173" s="100"/>
      <c r="Z1173" s="100"/>
      <c r="AA1173" s="100"/>
      <c r="AB1173" s="100"/>
      <c r="AC1173" s="100"/>
      <c r="AD1173" s="100"/>
      <c r="AF1173"/>
      <c r="AK1173">
        <f t="shared" si="844"/>
        <v>0</v>
      </c>
      <c r="AL1173">
        <f t="shared" si="845"/>
        <v>0</v>
      </c>
      <c r="AM1173">
        <f t="shared" si="846"/>
        <v>0</v>
      </c>
      <c r="AN1173">
        <f t="shared" si="847"/>
        <v>0</v>
      </c>
      <c r="AO1173">
        <f t="shared" si="848"/>
        <v>0</v>
      </c>
      <c r="AP1173">
        <f t="shared" si="849"/>
        <v>0</v>
      </c>
      <c r="AQ1173">
        <f t="shared" si="850"/>
        <v>0</v>
      </c>
      <c r="AR1173">
        <f t="shared" si="851"/>
        <v>0</v>
      </c>
      <c r="AS1173">
        <f t="shared" si="852"/>
        <v>0</v>
      </c>
    </row>
    <row r="1174" spans="1:45" ht="15" customHeight="1">
      <c r="A1174" s="103"/>
      <c r="B1174" s="57"/>
      <c r="C1174" s="1109"/>
      <c r="D1174" s="954"/>
      <c r="E1174" s="955"/>
      <c r="F1174" s="956"/>
      <c r="G1174" s="1119" t="s">
        <v>4948</v>
      </c>
      <c r="H1174" s="1120"/>
      <c r="I1174" s="178"/>
      <c r="J1174" s="1111" t="s">
        <v>4949</v>
      </c>
      <c r="K1174" s="1111"/>
      <c r="L1174" s="1111"/>
      <c r="M1174" s="1111"/>
      <c r="N1174" s="1111"/>
      <c r="O1174" s="1111"/>
      <c r="P1174" s="1111"/>
      <c r="Q1174" s="1111"/>
      <c r="R1174" s="1111"/>
      <c r="S1174" s="1111"/>
      <c r="T1174" s="1111"/>
      <c r="U1174" s="1112"/>
      <c r="V1174" s="100"/>
      <c r="W1174" s="100"/>
      <c r="X1174" s="100"/>
      <c r="Y1174" s="100"/>
      <c r="Z1174" s="100"/>
      <c r="AA1174" s="100"/>
      <c r="AB1174" s="100"/>
      <c r="AC1174" s="100"/>
      <c r="AD1174" s="100"/>
      <c r="AF1174"/>
      <c r="AK1174">
        <f t="shared" si="844"/>
        <v>0</v>
      </c>
      <c r="AL1174">
        <f t="shared" si="845"/>
        <v>0</v>
      </c>
      <c r="AM1174">
        <f t="shared" si="846"/>
        <v>0</v>
      </c>
      <c r="AN1174">
        <f t="shared" si="847"/>
        <v>0</v>
      </c>
      <c r="AO1174">
        <f t="shared" si="848"/>
        <v>0</v>
      </c>
      <c r="AP1174">
        <f t="shared" si="849"/>
        <v>0</v>
      </c>
      <c r="AQ1174">
        <f t="shared" si="850"/>
        <v>0</v>
      </c>
      <c r="AR1174">
        <f t="shared" si="851"/>
        <v>0</v>
      </c>
      <c r="AS1174">
        <f t="shared" si="852"/>
        <v>0</v>
      </c>
    </row>
    <row r="1175" spans="1:45" ht="15" customHeight="1">
      <c r="A1175" s="103"/>
      <c r="B1175" s="57"/>
      <c r="C1175" s="1109"/>
      <c r="D1175" s="954"/>
      <c r="E1175" s="955"/>
      <c r="F1175" s="956"/>
      <c r="G1175" s="1119" t="s">
        <v>4950</v>
      </c>
      <c r="H1175" s="1120"/>
      <c r="I1175" s="178"/>
      <c r="J1175" s="1111" t="s">
        <v>4951</v>
      </c>
      <c r="K1175" s="1111"/>
      <c r="L1175" s="1111"/>
      <c r="M1175" s="1111"/>
      <c r="N1175" s="1111"/>
      <c r="O1175" s="1111"/>
      <c r="P1175" s="1111"/>
      <c r="Q1175" s="1111"/>
      <c r="R1175" s="1111"/>
      <c r="S1175" s="1111"/>
      <c r="T1175" s="1111"/>
      <c r="U1175" s="1112"/>
      <c r="V1175" s="100"/>
      <c r="W1175" s="100"/>
      <c r="X1175" s="100"/>
      <c r="Y1175" s="100"/>
      <c r="Z1175" s="100"/>
      <c r="AA1175" s="100"/>
      <c r="AB1175" s="100"/>
      <c r="AC1175" s="100"/>
      <c r="AD1175" s="100"/>
      <c r="AF1175"/>
      <c r="AK1175">
        <f t="shared" si="844"/>
        <v>0</v>
      </c>
      <c r="AL1175">
        <f t="shared" si="845"/>
        <v>0</v>
      </c>
      <c r="AM1175">
        <f t="shared" si="846"/>
        <v>0</v>
      </c>
      <c r="AN1175">
        <f t="shared" si="847"/>
        <v>0</v>
      </c>
      <c r="AO1175">
        <f t="shared" si="848"/>
        <v>0</v>
      </c>
      <c r="AP1175">
        <f t="shared" si="849"/>
        <v>0</v>
      </c>
      <c r="AQ1175">
        <f t="shared" si="850"/>
        <v>0</v>
      </c>
      <c r="AR1175">
        <f t="shared" si="851"/>
        <v>0</v>
      </c>
      <c r="AS1175">
        <f t="shared" si="852"/>
        <v>0</v>
      </c>
    </row>
    <row r="1176" spans="1:45" ht="15" customHeight="1">
      <c r="A1176" s="103"/>
      <c r="B1176" s="57"/>
      <c r="C1176" s="1109"/>
      <c r="D1176" s="954"/>
      <c r="E1176" s="955"/>
      <c r="F1176" s="956"/>
      <c r="G1176" s="1119" t="s">
        <v>4952</v>
      </c>
      <c r="H1176" s="1120"/>
      <c r="I1176" s="178"/>
      <c r="J1176" s="1111" t="s">
        <v>4953</v>
      </c>
      <c r="K1176" s="1111"/>
      <c r="L1176" s="1111"/>
      <c r="M1176" s="1111"/>
      <c r="N1176" s="1111"/>
      <c r="O1176" s="1111"/>
      <c r="P1176" s="1111"/>
      <c r="Q1176" s="1111"/>
      <c r="R1176" s="1111"/>
      <c r="S1176" s="1111"/>
      <c r="T1176" s="1111"/>
      <c r="U1176" s="1112"/>
      <c r="V1176" s="100"/>
      <c r="W1176" s="100"/>
      <c r="X1176" s="100"/>
      <c r="Y1176" s="100"/>
      <c r="Z1176" s="100"/>
      <c r="AA1176" s="100"/>
      <c r="AB1176" s="100"/>
      <c r="AC1176" s="100"/>
      <c r="AD1176" s="100"/>
      <c r="AF1176"/>
      <c r="AK1176">
        <f t="shared" si="844"/>
        <v>0</v>
      </c>
      <c r="AL1176">
        <f t="shared" si="845"/>
        <v>0</v>
      </c>
      <c r="AM1176">
        <f t="shared" si="846"/>
        <v>0</v>
      </c>
      <c r="AN1176">
        <f t="shared" si="847"/>
        <v>0</v>
      </c>
      <c r="AO1176">
        <f t="shared" si="848"/>
        <v>0</v>
      </c>
      <c r="AP1176">
        <f t="shared" si="849"/>
        <v>0</v>
      </c>
      <c r="AQ1176">
        <f t="shared" si="850"/>
        <v>0</v>
      </c>
      <c r="AR1176">
        <f t="shared" si="851"/>
        <v>0</v>
      </c>
      <c r="AS1176">
        <f t="shared" si="852"/>
        <v>0</v>
      </c>
    </row>
    <row r="1177" spans="1:45" ht="15" customHeight="1">
      <c r="A1177" s="103"/>
      <c r="B1177" s="57"/>
      <c r="C1177" s="1109"/>
      <c r="D1177" s="954"/>
      <c r="E1177" s="955"/>
      <c r="F1177" s="956"/>
      <c r="G1177" s="1119" t="s">
        <v>4954</v>
      </c>
      <c r="H1177" s="1120"/>
      <c r="I1177" s="179"/>
      <c r="J1177" s="1113" t="s">
        <v>201</v>
      </c>
      <c r="K1177" s="1113"/>
      <c r="L1177" s="1113"/>
      <c r="M1177" s="1113"/>
      <c r="N1177" s="1113"/>
      <c r="O1177" s="1113"/>
      <c r="P1177" s="1113"/>
      <c r="Q1177" s="1113"/>
      <c r="R1177" s="1113"/>
      <c r="S1177" s="1113"/>
      <c r="T1177" s="1113"/>
      <c r="U1177" s="1114"/>
      <c r="V1177" s="100"/>
      <c r="W1177" s="100"/>
      <c r="X1177" s="100"/>
      <c r="Y1177" s="100"/>
      <c r="Z1177" s="100"/>
      <c r="AA1177" s="100"/>
      <c r="AB1177" s="100"/>
      <c r="AC1177" s="100"/>
      <c r="AD1177" s="100"/>
      <c r="AF1177"/>
      <c r="AK1177">
        <f t="shared" si="844"/>
        <v>0</v>
      </c>
      <c r="AL1177">
        <f t="shared" si="845"/>
        <v>0</v>
      </c>
      <c r="AM1177">
        <f t="shared" si="846"/>
        <v>0</v>
      </c>
      <c r="AN1177">
        <f t="shared" si="847"/>
        <v>0</v>
      </c>
      <c r="AO1177">
        <f t="shared" si="848"/>
        <v>0</v>
      </c>
      <c r="AP1177">
        <f t="shared" si="849"/>
        <v>0</v>
      </c>
      <c r="AQ1177">
        <f t="shared" si="850"/>
        <v>0</v>
      </c>
      <c r="AR1177">
        <f t="shared" si="851"/>
        <v>0</v>
      </c>
      <c r="AS1177">
        <f t="shared" si="852"/>
        <v>0</v>
      </c>
    </row>
    <row r="1178" spans="1:45" ht="24" customHeight="1">
      <c r="A1178" s="103"/>
      <c r="B1178" s="57"/>
      <c r="C1178" s="1109"/>
      <c r="D1178" s="954"/>
      <c r="E1178" s="955"/>
      <c r="F1178" s="956"/>
      <c r="G1178" s="1117" t="s">
        <v>4955</v>
      </c>
      <c r="H1178" s="1118"/>
      <c r="I1178" s="1104" t="s">
        <v>4956</v>
      </c>
      <c r="J1178" s="1105"/>
      <c r="K1178" s="1105"/>
      <c r="L1178" s="1105"/>
      <c r="M1178" s="1105"/>
      <c r="N1178" s="1105"/>
      <c r="O1178" s="1105"/>
      <c r="P1178" s="1105"/>
      <c r="Q1178" s="1105"/>
      <c r="R1178" s="1105"/>
      <c r="S1178" s="1105"/>
      <c r="T1178" s="1105"/>
      <c r="U1178" s="1106"/>
      <c r="V1178" s="100"/>
      <c r="W1178" s="100"/>
      <c r="X1178" s="100"/>
      <c r="Y1178" s="100"/>
      <c r="Z1178" s="100"/>
      <c r="AA1178" s="100"/>
      <c r="AB1178" s="100"/>
      <c r="AC1178" s="100"/>
      <c r="AD1178" s="100"/>
      <c r="AF1178"/>
      <c r="AK1178">
        <f t="shared" si="844"/>
        <v>0</v>
      </c>
      <c r="AL1178">
        <f t="shared" si="845"/>
        <v>0</v>
      </c>
      <c r="AM1178">
        <f t="shared" si="846"/>
        <v>0</v>
      </c>
      <c r="AN1178">
        <f t="shared" si="847"/>
        <v>0</v>
      </c>
      <c r="AO1178">
        <f t="shared" si="848"/>
        <v>0</v>
      </c>
      <c r="AP1178">
        <f t="shared" si="849"/>
        <v>0</v>
      </c>
      <c r="AQ1178">
        <f t="shared" si="850"/>
        <v>0</v>
      </c>
      <c r="AR1178">
        <f t="shared" si="851"/>
        <v>0</v>
      </c>
      <c r="AS1178">
        <f t="shared" si="852"/>
        <v>0</v>
      </c>
    </row>
    <row r="1179" spans="1:45" ht="15" customHeight="1">
      <c r="A1179" s="103"/>
      <c r="B1179" s="57"/>
      <c r="C1179" s="1109"/>
      <c r="D1179" s="954"/>
      <c r="E1179" s="955"/>
      <c r="F1179" s="956"/>
      <c r="G1179" s="1117" t="s">
        <v>4957</v>
      </c>
      <c r="H1179" s="1118"/>
      <c r="I1179" s="1104" t="s">
        <v>4958</v>
      </c>
      <c r="J1179" s="1105"/>
      <c r="K1179" s="1105"/>
      <c r="L1179" s="1105"/>
      <c r="M1179" s="1105"/>
      <c r="N1179" s="1105"/>
      <c r="O1179" s="1105"/>
      <c r="P1179" s="1105"/>
      <c r="Q1179" s="1105"/>
      <c r="R1179" s="1105"/>
      <c r="S1179" s="1105"/>
      <c r="T1179" s="1105"/>
      <c r="U1179" s="1106"/>
      <c r="V1179" s="100"/>
      <c r="W1179" s="100"/>
      <c r="X1179" s="100"/>
      <c r="Y1179" s="100"/>
      <c r="Z1179" s="100"/>
      <c r="AA1179" s="100"/>
      <c r="AB1179" s="100"/>
      <c r="AC1179" s="100"/>
      <c r="AD1179" s="100"/>
      <c r="AF1179"/>
      <c r="AK1179">
        <f t="shared" si="844"/>
        <v>0</v>
      </c>
      <c r="AL1179">
        <f t="shared" si="845"/>
        <v>0</v>
      </c>
      <c r="AM1179">
        <f t="shared" si="846"/>
        <v>0</v>
      </c>
      <c r="AN1179">
        <f t="shared" si="847"/>
        <v>0</v>
      </c>
      <c r="AO1179">
        <f t="shared" si="848"/>
        <v>0</v>
      </c>
      <c r="AP1179">
        <f t="shared" si="849"/>
        <v>0</v>
      </c>
      <c r="AQ1179">
        <f t="shared" si="850"/>
        <v>0</v>
      </c>
      <c r="AR1179">
        <f t="shared" si="851"/>
        <v>0</v>
      </c>
      <c r="AS1179">
        <f t="shared" si="852"/>
        <v>0</v>
      </c>
    </row>
    <row r="1180" spans="1:45" ht="15" customHeight="1">
      <c r="A1180" s="103"/>
      <c r="B1180" s="57"/>
      <c r="C1180" s="1109"/>
      <c r="D1180" s="954"/>
      <c r="E1180" s="955"/>
      <c r="F1180" s="956"/>
      <c r="G1180" s="1117" t="s">
        <v>4959</v>
      </c>
      <c r="H1180" s="1118"/>
      <c r="I1180" s="1104" t="s">
        <v>4960</v>
      </c>
      <c r="J1180" s="1105"/>
      <c r="K1180" s="1105"/>
      <c r="L1180" s="1105"/>
      <c r="M1180" s="1105"/>
      <c r="N1180" s="1105"/>
      <c r="O1180" s="1105"/>
      <c r="P1180" s="1105"/>
      <c r="Q1180" s="1105"/>
      <c r="R1180" s="1105"/>
      <c r="S1180" s="1105"/>
      <c r="T1180" s="1105"/>
      <c r="U1180" s="1106"/>
      <c r="V1180" s="100"/>
      <c r="W1180" s="100"/>
      <c r="X1180" s="100"/>
      <c r="Y1180" s="100"/>
      <c r="Z1180" s="100"/>
      <c r="AA1180" s="100"/>
      <c r="AB1180" s="100"/>
      <c r="AC1180" s="100"/>
      <c r="AD1180" s="100"/>
      <c r="AF1180"/>
      <c r="AK1180">
        <f t="shared" si="844"/>
        <v>0</v>
      </c>
      <c r="AL1180">
        <f t="shared" si="845"/>
        <v>0</v>
      </c>
      <c r="AM1180">
        <f t="shared" si="846"/>
        <v>0</v>
      </c>
      <c r="AN1180">
        <f t="shared" si="847"/>
        <v>0</v>
      </c>
      <c r="AO1180">
        <f t="shared" si="848"/>
        <v>0</v>
      </c>
      <c r="AP1180">
        <f t="shared" si="849"/>
        <v>0</v>
      </c>
      <c r="AQ1180">
        <f t="shared" si="850"/>
        <v>0</v>
      </c>
      <c r="AR1180">
        <f t="shared" si="851"/>
        <v>0</v>
      </c>
      <c r="AS1180">
        <f t="shared" si="852"/>
        <v>0</v>
      </c>
    </row>
    <row r="1181" spans="1:45" ht="15" customHeight="1">
      <c r="A1181" s="103"/>
      <c r="B1181" s="57"/>
      <c r="C1181" s="1109"/>
      <c r="D1181" s="954"/>
      <c r="E1181" s="955"/>
      <c r="F1181" s="956"/>
      <c r="G1181" s="1117" t="s">
        <v>4961</v>
      </c>
      <c r="H1181" s="1118"/>
      <c r="I1181" s="1104" t="s">
        <v>4962</v>
      </c>
      <c r="J1181" s="1105"/>
      <c r="K1181" s="1105"/>
      <c r="L1181" s="1105"/>
      <c r="M1181" s="1105"/>
      <c r="N1181" s="1105"/>
      <c r="O1181" s="1105"/>
      <c r="P1181" s="1105"/>
      <c r="Q1181" s="1105"/>
      <c r="R1181" s="1105"/>
      <c r="S1181" s="1105"/>
      <c r="T1181" s="1105"/>
      <c r="U1181" s="1106"/>
      <c r="V1181" s="100"/>
      <c r="W1181" s="100"/>
      <c r="X1181" s="100"/>
      <c r="Y1181" s="100"/>
      <c r="Z1181" s="100"/>
      <c r="AA1181" s="100"/>
      <c r="AB1181" s="100"/>
      <c r="AC1181" s="100"/>
      <c r="AD1181" s="100"/>
      <c r="AF1181"/>
      <c r="AK1181">
        <f t="shared" si="844"/>
        <v>0</v>
      </c>
      <c r="AL1181">
        <f t="shared" si="845"/>
        <v>0</v>
      </c>
      <c r="AM1181">
        <f t="shared" si="846"/>
        <v>0</v>
      </c>
      <c r="AN1181">
        <f t="shared" si="847"/>
        <v>0</v>
      </c>
      <c r="AO1181">
        <f t="shared" si="848"/>
        <v>0</v>
      </c>
      <c r="AP1181">
        <f t="shared" si="849"/>
        <v>0</v>
      </c>
      <c r="AQ1181">
        <f t="shared" si="850"/>
        <v>0</v>
      </c>
      <c r="AR1181">
        <f t="shared" si="851"/>
        <v>0</v>
      </c>
      <c r="AS1181">
        <f t="shared" si="852"/>
        <v>0</v>
      </c>
    </row>
    <row r="1182" spans="1:45" ht="24" customHeight="1">
      <c r="A1182" s="103"/>
      <c r="B1182" s="57"/>
      <c r="C1182" s="1108" t="s">
        <v>4963</v>
      </c>
      <c r="D1182" s="847" t="s">
        <v>4964</v>
      </c>
      <c r="E1182" s="953"/>
      <c r="F1182" s="848"/>
      <c r="G1182" s="1117" t="s">
        <v>4965</v>
      </c>
      <c r="H1182" s="1118"/>
      <c r="I1182" s="1104" t="s">
        <v>4966</v>
      </c>
      <c r="J1182" s="1105"/>
      <c r="K1182" s="1105"/>
      <c r="L1182" s="1105"/>
      <c r="M1182" s="1105"/>
      <c r="N1182" s="1105"/>
      <c r="O1182" s="1105"/>
      <c r="P1182" s="1105"/>
      <c r="Q1182" s="1105"/>
      <c r="R1182" s="1105"/>
      <c r="S1182" s="1105"/>
      <c r="T1182" s="1105"/>
      <c r="U1182" s="1106"/>
      <c r="V1182" s="100"/>
      <c r="W1182" s="100"/>
      <c r="X1182" s="100"/>
      <c r="Y1182" s="100"/>
      <c r="Z1182" s="100"/>
      <c r="AA1182" s="100"/>
      <c r="AB1182" s="100"/>
      <c r="AC1182" s="100"/>
      <c r="AD1182" s="100"/>
      <c r="AF1182"/>
      <c r="AK1182">
        <f t="shared" si="844"/>
        <v>0</v>
      </c>
      <c r="AL1182">
        <f t="shared" si="845"/>
        <v>0</v>
      </c>
      <c r="AM1182">
        <f t="shared" si="846"/>
        <v>0</v>
      </c>
      <c r="AN1182">
        <f t="shared" si="847"/>
        <v>0</v>
      </c>
      <c r="AO1182">
        <f t="shared" si="848"/>
        <v>0</v>
      </c>
      <c r="AP1182">
        <f t="shared" si="849"/>
        <v>0</v>
      </c>
      <c r="AQ1182">
        <f t="shared" si="850"/>
        <v>0</v>
      </c>
      <c r="AR1182">
        <f t="shared" si="851"/>
        <v>0</v>
      </c>
      <c r="AS1182">
        <f t="shared" si="852"/>
        <v>0</v>
      </c>
    </row>
    <row r="1183" spans="1:45" ht="15" customHeight="1">
      <c r="A1183" s="103"/>
      <c r="B1183" s="57"/>
      <c r="C1183" s="1109"/>
      <c r="D1183" s="954"/>
      <c r="E1183" s="955"/>
      <c r="F1183" s="956"/>
      <c r="G1183" s="1119" t="s">
        <v>4967</v>
      </c>
      <c r="H1183" s="1120"/>
      <c r="I1183" s="177"/>
      <c r="J1183" s="1115" t="s">
        <v>4968</v>
      </c>
      <c r="K1183" s="1115"/>
      <c r="L1183" s="1115"/>
      <c r="M1183" s="1115"/>
      <c r="N1183" s="1115"/>
      <c r="O1183" s="1115"/>
      <c r="P1183" s="1115"/>
      <c r="Q1183" s="1115"/>
      <c r="R1183" s="1115"/>
      <c r="S1183" s="1115"/>
      <c r="T1183" s="1115"/>
      <c r="U1183" s="1116"/>
      <c r="V1183" s="100"/>
      <c r="W1183" s="100"/>
      <c r="X1183" s="100"/>
      <c r="Y1183" s="100"/>
      <c r="Z1183" s="100"/>
      <c r="AA1183" s="100"/>
      <c r="AB1183" s="100"/>
      <c r="AC1183" s="100"/>
      <c r="AD1183" s="100"/>
      <c r="AF1183"/>
      <c r="AK1183">
        <f t="shared" si="844"/>
        <v>0</v>
      </c>
      <c r="AL1183">
        <f t="shared" si="845"/>
        <v>0</v>
      </c>
      <c r="AM1183">
        <f t="shared" si="846"/>
        <v>0</v>
      </c>
      <c r="AN1183">
        <f t="shared" si="847"/>
        <v>0</v>
      </c>
      <c r="AO1183">
        <f t="shared" si="848"/>
        <v>0</v>
      </c>
      <c r="AP1183">
        <f t="shared" si="849"/>
        <v>0</v>
      </c>
      <c r="AQ1183">
        <f t="shared" si="850"/>
        <v>0</v>
      </c>
      <c r="AR1183">
        <f t="shared" si="851"/>
        <v>0</v>
      </c>
      <c r="AS1183">
        <f t="shared" si="852"/>
        <v>0</v>
      </c>
    </row>
    <row r="1184" spans="1:45" ht="15" customHeight="1">
      <c r="A1184" s="103"/>
      <c r="B1184" s="57"/>
      <c r="C1184" s="1109"/>
      <c r="D1184" s="954"/>
      <c r="E1184" s="955"/>
      <c r="F1184" s="956"/>
      <c r="G1184" s="1119" t="s">
        <v>4969</v>
      </c>
      <c r="H1184" s="1120"/>
      <c r="I1184" s="178"/>
      <c r="J1184" s="1111" t="s">
        <v>4970</v>
      </c>
      <c r="K1184" s="1111"/>
      <c r="L1184" s="1111"/>
      <c r="M1184" s="1111"/>
      <c r="N1184" s="1111"/>
      <c r="O1184" s="1111"/>
      <c r="P1184" s="1111"/>
      <c r="Q1184" s="1111"/>
      <c r="R1184" s="1111"/>
      <c r="S1184" s="1111"/>
      <c r="T1184" s="1111"/>
      <c r="U1184" s="1112"/>
      <c r="V1184" s="100"/>
      <c r="W1184" s="100"/>
      <c r="X1184" s="100"/>
      <c r="Y1184" s="100"/>
      <c r="Z1184" s="100"/>
      <c r="AA1184" s="100"/>
      <c r="AB1184" s="100"/>
      <c r="AC1184" s="100"/>
      <c r="AD1184" s="100"/>
      <c r="AF1184"/>
      <c r="AK1184">
        <f t="shared" si="844"/>
        <v>0</v>
      </c>
      <c r="AL1184">
        <f t="shared" si="845"/>
        <v>0</v>
      </c>
      <c r="AM1184">
        <f t="shared" si="846"/>
        <v>0</v>
      </c>
      <c r="AN1184">
        <f t="shared" si="847"/>
        <v>0</v>
      </c>
      <c r="AO1184">
        <f t="shared" si="848"/>
        <v>0</v>
      </c>
      <c r="AP1184">
        <f t="shared" si="849"/>
        <v>0</v>
      </c>
      <c r="AQ1184">
        <f t="shared" si="850"/>
        <v>0</v>
      </c>
      <c r="AR1184">
        <f t="shared" si="851"/>
        <v>0</v>
      </c>
      <c r="AS1184">
        <f t="shared" si="852"/>
        <v>0</v>
      </c>
    </row>
    <row r="1185" spans="1:45" ht="15" customHeight="1">
      <c r="A1185" s="103"/>
      <c r="B1185" s="57"/>
      <c r="C1185" s="1109"/>
      <c r="D1185" s="954"/>
      <c r="E1185" s="955"/>
      <c r="F1185" s="956"/>
      <c r="G1185" s="1119" t="s">
        <v>4971</v>
      </c>
      <c r="H1185" s="1120"/>
      <c r="I1185" s="178"/>
      <c r="J1185" s="1111" t="s">
        <v>4972</v>
      </c>
      <c r="K1185" s="1111"/>
      <c r="L1185" s="1111"/>
      <c r="M1185" s="1111"/>
      <c r="N1185" s="1111"/>
      <c r="O1185" s="1111"/>
      <c r="P1185" s="1111"/>
      <c r="Q1185" s="1111"/>
      <c r="R1185" s="1111"/>
      <c r="S1185" s="1111"/>
      <c r="T1185" s="1111"/>
      <c r="U1185" s="1112"/>
      <c r="V1185" s="100"/>
      <c r="W1185" s="100"/>
      <c r="X1185" s="100"/>
      <c r="Y1185" s="100"/>
      <c r="Z1185" s="100"/>
      <c r="AA1185" s="100"/>
      <c r="AB1185" s="100"/>
      <c r="AC1185" s="100"/>
      <c r="AD1185" s="100"/>
      <c r="AF1185"/>
      <c r="AK1185">
        <f t="shared" si="844"/>
        <v>0</v>
      </c>
      <c r="AL1185">
        <f t="shared" si="845"/>
        <v>0</v>
      </c>
      <c r="AM1185">
        <f t="shared" si="846"/>
        <v>0</v>
      </c>
      <c r="AN1185">
        <f t="shared" si="847"/>
        <v>0</v>
      </c>
      <c r="AO1185">
        <f t="shared" si="848"/>
        <v>0</v>
      </c>
      <c r="AP1185">
        <f t="shared" si="849"/>
        <v>0</v>
      </c>
      <c r="AQ1185">
        <f t="shared" si="850"/>
        <v>0</v>
      </c>
      <c r="AR1185">
        <f t="shared" si="851"/>
        <v>0</v>
      </c>
      <c r="AS1185">
        <f t="shared" si="852"/>
        <v>0</v>
      </c>
    </row>
    <row r="1186" spans="1:45" ht="15" customHeight="1">
      <c r="A1186" s="103"/>
      <c r="B1186" s="57"/>
      <c r="C1186" s="1109"/>
      <c r="D1186" s="954"/>
      <c r="E1186" s="955"/>
      <c r="F1186" s="956"/>
      <c r="G1186" s="1119" t="s">
        <v>4973</v>
      </c>
      <c r="H1186" s="1120"/>
      <c r="I1186" s="178"/>
      <c r="J1186" s="1111" t="s">
        <v>4974</v>
      </c>
      <c r="K1186" s="1111"/>
      <c r="L1186" s="1111"/>
      <c r="M1186" s="1111"/>
      <c r="N1186" s="1111"/>
      <c r="O1186" s="1111"/>
      <c r="P1186" s="1111"/>
      <c r="Q1186" s="1111"/>
      <c r="R1186" s="1111"/>
      <c r="S1186" s="1111"/>
      <c r="T1186" s="1111"/>
      <c r="U1186" s="1112"/>
      <c r="V1186" s="100"/>
      <c r="W1186" s="100"/>
      <c r="X1186" s="100"/>
      <c r="Y1186" s="100"/>
      <c r="Z1186" s="100"/>
      <c r="AA1186" s="100"/>
      <c r="AB1186" s="100"/>
      <c r="AC1186" s="100"/>
      <c r="AD1186" s="100"/>
      <c r="AF1186"/>
      <c r="AK1186">
        <f t="shared" si="844"/>
        <v>0</v>
      </c>
      <c r="AL1186">
        <f t="shared" si="845"/>
        <v>0</v>
      </c>
      <c r="AM1186">
        <f t="shared" si="846"/>
        <v>0</v>
      </c>
      <c r="AN1186">
        <f t="shared" si="847"/>
        <v>0</v>
      </c>
      <c r="AO1186">
        <f t="shared" si="848"/>
        <v>0</v>
      </c>
      <c r="AP1186">
        <f t="shared" si="849"/>
        <v>0</v>
      </c>
      <c r="AQ1186">
        <f t="shared" si="850"/>
        <v>0</v>
      </c>
      <c r="AR1186">
        <f t="shared" si="851"/>
        <v>0</v>
      </c>
      <c r="AS1186">
        <f t="shared" si="852"/>
        <v>0</v>
      </c>
    </row>
    <row r="1187" spans="1:45" ht="24" customHeight="1">
      <c r="A1187" s="103"/>
      <c r="B1187" s="57"/>
      <c r="C1187" s="1109"/>
      <c r="D1187" s="954"/>
      <c r="E1187" s="955"/>
      <c r="F1187" s="956"/>
      <c r="G1187" s="1119" t="s">
        <v>4975</v>
      </c>
      <c r="H1187" s="1120"/>
      <c r="I1187" s="178"/>
      <c r="J1187" s="1111" t="s">
        <v>4976</v>
      </c>
      <c r="K1187" s="1111"/>
      <c r="L1187" s="1111"/>
      <c r="M1187" s="1111"/>
      <c r="N1187" s="1111"/>
      <c r="O1187" s="1111"/>
      <c r="P1187" s="1111"/>
      <c r="Q1187" s="1111"/>
      <c r="R1187" s="1111"/>
      <c r="S1187" s="1111"/>
      <c r="T1187" s="1111"/>
      <c r="U1187" s="1112"/>
      <c r="V1187" s="100"/>
      <c r="W1187" s="100"/>
      <c r="X1187" s="100"/>
      <c r="Y1187" s="100"/>
      <c r="Z1187" s="100"/>
      <c r="AA1187" s="100"/>
      <c r="AB1187" s="100"/>
      <c r="AC1187" s="100"/>
      <c r="AD1187" s="100"/>
      <c r="AF1187"/>
      <c r="AK1187">
        <f t="shared" si="844"/>
        <v>0</v>
      </c>
      <c r="AL1187">
        <f t="shared" si="845"/>
        <v>0</v>
      </c>
      <c r="AM1187">
        <f t="shared" si="846"/>
        <v>0</v>
      </c>
      <c r="AN1187">
        <f t="shared" si="847"/>
        <v>0</v>
      </c>
      <c r="AO1187">
        <f t="shared" si="848"/>
        <v>0</v>
      </c>
      <c r="AP1187">
        <f t="shared" si="849"/>
        <v>0</v>
      </c>
      <c r="AQ1187">
        <f t="shared" si="850"/>
        <v>0</v>
      </c>
      <c r="AR1187">
        <f t="shared" si="851"/>
        <v>0</v>
      </c>
      <c r="AS1187">
        <f t="shared" si="852"/>
        <v>0</v>
      </c>
    </row>
    <row r="1188" spans="1:45" ht="15" customHeight="1">
      <c r="A1188" s="103"/>
      <c r="B1188" s="57"/>
      <c r="C1188" s="1109"/>
      <c r="D1188" s="954"/>
      <c r="E1188" s="955"/>
      <c r="F1188" s="956"/>
      <c r="G1188" s="1119" t="s">
        <v>4977</v>
      </c>
      <c r="H1188" s="1120"/>
      <c r="I1188" s="179"/>
      <c r="J1188" s="1113" t="s">
        <v>201</v>
      </c>
      <c r="K1188" s="1113"/>
      <c r="L1188" s="1113"/>
      <c r="M1188" s="1113"/>
      <c r="N1188" s="1113"/>
      <c r="O1188" s="1113"/>
      <c r="P1188" s="1113"/>
      <c r="Q1188" s="1113"/>
      <c r="R1188" s="1113"/>
      <c r="S1188" s="1113"/>
      <c r="T1188" s="1113"/>
      <c r="U1188" s="1114"/>
      <c r="V1188" s="100"/>
      <c r="W1188" s="100"/>
      <c r="X1188" s="100"/>
      <c r="Y1188" s="100"/>
      <c r="Z1188" s="100"/>
      <c r="AA1188" s="100"/>
      <c r="AB1188" s="100"/>
      <c r="AC1188" s="100"/>
      <c r="AD1188" s="100"/>
      <c r="AF1188"/>
      <c r="AK1188">
        <f t="shared" si="844"/>
        <v>0</v>
      </c>
      <c r="AL1188">
        <f t="shared" si="845"/>
        <v>0</v>
      </c>
      <c r="AM1188">
        <f t="shared" si="846"/>
        <v>0</v>
      </c>
      <c r="AN1188">
        <f t="shared" si="847"/>
        <v>0</v>
      </c>
      <c r="AO1188">
        <f t="shared" si="848"/>
        <v>0</v>
      </c>
      <c r="AP1188">
        <f t="shared" si="849"/>
        <v>0</v>
      </c>
      <c r="AQ1188">
        <f t="shared" si="850"/>
        <v>0</v>
      </c>
      <c r="AR1188">
        <f t="shared" si="851"/>
        <v>0</v>
      </c>
      <c r="AS1188">
        <f t="shared" si="852"/>
        <v>0</v>
      </c>
    </row>
    <row r="1189" spans="1:45" ht="15" customHeight="1">
      <c r="A1189" s="103"/>
      <c r="B1189" s="57"/>
      <c r="C1189" s="1109"/>
      <c r="D1189" s="954"/>
      <c r="E1189" s="955"/>
      <c r="F1189" s="956"/>
      <c r="G1189" s="1117" t="s">
        <v>4978</v>
      </c>
      <c r="H1189" s="1118"/>
      <c r="I1189" s="1104" t="s">
        <v>4979</v>
      </c>
      <c r="J1189" s="1105"/>
      <c r="K1189" s="1105"/>
      <c r="L1189" s="1105"/>
      <c r="M1189" s="1105"/>
      <c r="N1189" s="1105"/>
      <c r="O1189" s="1105"/>
      <c r="P1189" s="1105"/>
      <c r="Q1189" s="1105"/>
      <c r="R1189" s="1105"/>
      <c r="S1189" s="1105"/>
      <c r="T1189" s="1105"/>
      <c r="U1189" s="1106"/>
      <c r="V1189" s="100"/>
      <c r="W1189" s="100"/>
      <c r="X1189" s="100"/>
      <c r="Y1189" s="100"/>
      <c r="Z1189" s="100"/>
      <c r="AA1189" s="100"/>
      <c r="AB1189" s="100"/>
      <c r="AC1189" s="100"/>
      <c r="AD1189" s="100"/>
      <c r="AF1189"/>
      <c r="AK1189">
        <f t="shared" si="844"/>
        <v>0</v>
      </c>
      <c r="AL1189">
        <f t="shared" si="845"/>
        <v>0</v>
      </c>
      <c r="AM1189">
        <f t="shared" si="846"/>
        <v>0</v>
      </c>
      <c r="AN1189">
        <f t="shared" si="847"/>
        <v>0</v>
      </c>
      <c r="AO1189">
        <f t="shared" si="848"/>
        <v>0</v>
      </c>
      <c r="AP1189">
        <f t="shared" si="849"/>
        <v>0</v>
      </c>
      <c r="AQ1189">
        <f t="shared" si="850"/>
        <v>0</v>
      </c>
      <c r="AR1189">
        <f t="shared" si="851"/>
        <v>0</v>
      </c>
      <c r="AS1189">
        <f t="shared" si="852"/>
        <v>0</v>
      </c>
    </row>
    <row r="1190" spans="1:45" ht="15" customHeight="1">
      <c r="A1190" s="103"/>
      <c r="B1190" s="57"/>
      <c r="C1190" s="1109"/>
      <c r="D1190" s="954"/>
      <c r="E1190" s="955"/>
      <c r="F1190" s="956"/>
      <c r="G1190" s="1119" t="s">
        <v>4980</v>
      </c>
      <c r="H1190" s="1120"/>
      <c r="I1190" s="177"/>
      <c r="J1190" s="1115" t="s">
        <v>4981</v>
      </c>
      <c r="K1190" s="1115"/>
      <c r="L1190" s="1115"/>
      <c r="M1190" s="1115"/>
      <c r="N1190" s="1115"/>
      <c r="O1190" s="1115"/>
      <c r="P1190" s="1115"/>
      <c r="Q1190" s="1115"/>
      <c r="R1190" s="1115"/>
      <c r="S1190" s="1115"/>
      <c r="T1190" s="1115"/>
      <c r="U1190" s="1116"/>
      <c r="V1190" s="100"/>
      <c r="W1190" s="100"/>
      <c r="X1190" s="100"/>
      <c r="Y1190" s="100"/>
      <c r="Z1190" s="100"/>
      <c r="AA1190" s="100"/>
      <c r="AB1190" s="100"/>
      <c r="AC1190" s="100"/>
      <c r="AD1190" s="100"/>
      <c r="AF1190"/>
      <c r="AK1190">
        <f t="shared" si="844"/>
        <v>0</v>
      </c>
      <c r="AL1190">
        <f t="shared" si="845"/>
        <v>0</v>
      </c>
      <c r="AM1190">
        <f t="shared" si="846"/>
        <v>0</v>
      </c>
      <c r="AN1190">
        <f t="shared" si="847"/>
        <v>0</v>
      </c>
      <c r="AO1190">
        <f t="shared" si="848"/>
        <v>0</v>
      </c>
      <c r="AP1190">
        <f t="shared" si="849"/>
        <v>0</v>
      </c>
      <c r="AQ1190">
        <f t="shared" si="850"/>
        <v>0</v>
      </c>
      <c r="AR1190">
        <f t="shared" si="851"/>
        <v>0</v>
      </c>
      <c r="AS1190">
        <f t="shared" si="852"/>
        <v>0</v>
      </c>
    </row>
    <row r="1191" spans="1:45" ht="15" customHeight="1">
      <c r="A1191" s="103"/>
      <c r="B1191" s="57"/>
      <c r="C1191" s="1109"/>
      <c r="D1191" s="954"/>
      <c r="E1191" s="955"/>
      <c r="F1191" s="956"/>
      <c r="G1191" s="1119" t="s">
        <v>4982</v>
      </c>
      <c r="H1191" s="1120"/>
      <c r="I1191" s="178"/>
      <c r="J1191" s="1111" t="s">
        <v>4983</v>
      </c>
      <c r="K1191" s="1111"/>
      <c r="L1191" s="1111"/>
      <c r="M1191" s="1111"/>
      <c r="N1191" s="1111"/>
      <c r="O1191" s="1111"/>
      <c r="P1191" s="1111"/>
      <c r="Q1191" s="1111"/>
      <c r="R1191" s="1111"/>
      <c r="S1191" s="1111"/>
      <c r="T1191" s="1111"/>
      <c r="U1191" s="1112"/>
      <c r="V1191" s="100"/>
      <c r="W1191" s="100"/>
      <c r="X1191" s="100"/>
      <c r="Y1191" s="100"/>
      <c r="Z1191" s="100"/>
      <c r="AA1191" s="100"/>
      <c r="AB1191" s="100"/>
      <c r="AC1191" s="100"/>
      <c r="AD1191" s="100"/>
      <c r="AF1191"/>
      <c r="AK1191">
        <f t="shared" si="844"/>
        <v>0</v>
      </c>
      <c r="AL1191">
        <f t="shared" si="845"/>
        <v>0</v>
      </c>
      <c r="AM1191">
        <f t="shared" si="846"/>
        <v>0</v>
      </c>
      <c r="AN1191">
        <f t="shared" si="847"/>
        <v>0</v>
      </c>
      <c r="AO1191">
        <f t="shared" si="848"/>
        <v>0</v>
      </c>
      <c r="AP1191">
        <f t="shared" si="849"/>
        <v>0</v>
      </c>
      <c r="AQ1191">
        <f t="shared" si="850"/>
        <v>0</v>
      </c>
      <c r="AR1191">
        <f t="shared" si="851"/>
        <v>0</v>
      </c>
      <c r="AS1191">
        <f t="shared" si="852"/>
        <v>0</v>
      </c>
    </row>
    <row r="1192" spans="1:45" ht="15" customHeight="1">
      <c r="A1192" s="103"/>
      <c r="B1192" s="57"/>
      <c r="C1192" s="1109"/>
      <c r="D1192" s="954"/>
      <c r="E1192" s="955"/>
      <c r="F1192" s="956"/>
      <c r="G1192" s="1119" t="s">
        <v>4984</v>
      </c>
      <c r="H1192" s="1120"/>
      <c r="I1192" s="178"/>
      <c r="J1192" s="1111" t="s">
        <v>4985</v>
      </c>
      <c r="K1192" s="1111"/>
      <c r="L1192" s="1111"/>
      <c r="M1192" s="1111"/>
      <c r="N1192" s="1111"/>
      <c r="O1192" s="1111"/>
      <c r="P1192" s="1111"/>
      <c r="Q1192" s="1111"/>
      <c r="R1192" s="1111"/>
      <c r="S1192" s="1111"/>
      <c r="T1192" s="1111"/>
      <c r="U1192" s="1112"/>
      <c r="V1192" s="100"/>
      <c r="W1192" s="100"/>
      <c r="X1192" s="100"/>
      <c r="Y1192" s="100"/>
      <c r="Z1192" s="100"/>
      <c r="AA1192" s="100"/>
      <c r="AB1192" s="100"/>
      <c r="AC1192" s="100"/>
      <c r="AD1192" s="100"/>
      <c r="AF1192"/>
      <c r="AK1192">
        <f t="shared" si="844"/>
        <v>0</v>
      </c>
      <c r="AL1192">
        <f t="shared" si="845"/>
        <v>0</v>
      </c>
      <c r="AM1192">
        <f t="shared" si="846"/>
        <v>0</v>
      </c>
      <c r="AN1192">
        <f t="shared" si="847"/>
        <v>0</v>
      </c>
      <c r="AO1192">
        <f t="shared" si="848"/>
        <v>0</v>
      </c>
      <c r="AP1192">
        <f t="shared" si="849"/>
        <v>0</v>
      </c>
      <c r="AQ1192">
        <f t="shared" si="850"/>
        <v>0</v>
      </c>
      <c r="AR1192">
        <f t="shared" si="851"/>
        <v>0</v>
      </c>
      <c r="AS1192">
        <f t="shared" si="852"/>
        <v>0</v>
      </c>
    </row>
    <row r="1193" spans="1:45" ht="15" customHeight="1">
      <c r="A1193" s="103"/>
      <c r="B1193" s="57"/>
      <c r="C1193" s="1109"/>
      <c r="D1193" s="954"/>
      <c r="E1193" s="955"/>
      <c r="F1193" s="956"/>
      <c r="G1193" s="1119" t="s">
        <v>4986</v>
      </c>
      <c r="H1193" s="1120"/>
      <c r="I1193" s="178"/>
      <c r="J1193" s="1111" t="s">
        <v>4987</v>
      </c>
      <c r="K1193" s="1111"/>
      <c r="L1193" s="1111"/>
      <c r="M1193" s="1111"/>
      <c r="N1193" s="1111"/>
      <c r="O1193" s="1111"/>
      <c r="P1193" s="1111"/>
      <c r="Q1193" s="1111"/>
      <c r="R1193" s="1111"/>
      <c r="S1193" s="1111"/>
      <c r="T1193" s="1111"/>
      <c r="U1193" s="1112"/>
      <c r="V1193" s="100"/>
      <c r="W1193" s="100"/>
      <c r="X1193" s="100"/>
      <c r="Y1193" s="100"/>
      <c r="Z1193" s="100"/>
      <c r="AA1193" s="100"/>
      <c r="AB1193" s="100"/>
      <c r="AC1193" s="100"/>
      <c r="AD1193" s="100"/>
      <c r="AF1193"/>
      <c r="AK1193">
        <f t="shared" si="844"/>
        <v>0</v>
      </c>
      <c r="AL1193">
        <f t="shared" si="845"/>
        <v>0</v>
      </c>
      <c r="AM1193">
        <f t="shared" si="846"/>
        <v>0</v>
      </c>
      <c r="AN1193">
        <f t="shared" si="847"/>
        <v>0</v>
      </c>
      <c r="AO1193">
        <f t="shared" si="848"/>
        <v>0</v>
      </c>
      <c r="AP1193">
        <f t="shared" si="849"/>
        <v>0</v>
      </c>
      <c r="AQ1193">
        <f t="shared" si="850"/>
        <v>0</v>
      </c>
      <c r="AR1193">
        <f t="shared" si="851"/>
        <v>0</v>
      </c>
      <c r="AS1193">
        <f t="shared" si="852"/>
        <v>0</v>
      </c>
    </row>
    <row r="1194" spans="1:45" ht="15" customHeight="1">
      <c r="A1194" s="103"/>
      <c r="B1194" s="57"/>
      <c r="C1194" s="1109"/>
      <c r="D1194" s="954"/>
      <c r="E1194" s="955"/>
      <c r="F1194" s="956"/>
      <c r="G1194" s="1119" t="s">
        <v>4988</v>
      </c>
      <c r="H1194" s="1120"/>
      <c r="I1194" s="178"/>
      <c r="J1194" s="1111" t="s">
        <v>4989</v>
      </c>
      <c r="K1194" s="1111"/>
      <c r="L1194" s="1111"/>
      <c r="M1194" s="1111"/>
      <c r="N1194" s="1111"/>
      <c r="O1194" s="1111"/>
      <c r="P1194" s="1111"/>
      <c r="Q1194" s="1111"/>
      <c r="R1194" s="1111"/>
      <c r="S1194" s="1111"/>
      <c r="T1194" s="1111"/>
      <c r="U1194" s="1112"/>
      <c r="V1194" s="100"/>
      <c r="W1194" s="100"/>
      <c r="X1194" s="100"/>
      <c r="Y1194" s="100"/>
      <c r="Z1194" s="100"/>
      <c r="AA1194" s="100"/>
      <c r="AB1194" s="100"/>
      <c r="AC1194" s="100"/>
      <c r="AD1194" s="100"/>
      <c r="AF1194"/>
      <c r="AK1194">
        <f t="shared" si="844"/>
        <v>0</v>
      </c>
      <c r="AL1194">
        <f t="shared" si="845"/>
        <v>0</v>
      </c>
      <c r="AM1194">
        <f t="shared" si="846"/>
        <v>0</v>
      </c>
      <c r="AN1194">
        <f t="shared" si="847"/>
        <v>0</v>
      </c>
      <c r="AO1194">
        <f t="shared" si="848"/>
        <v>0</v>
      </c>
      <c r="AP1194">
        <f t="shared" si="849"/>
        <v>0</v>
      </c>
      <c r="AQ1194">
        <f t="shared" si="850"/>
        <v>0</v>
      </c>
      <c r="AR1194">
        <f t="shared" si="851"/>
        <v>0</v>
      </c>
      <c r="AS1194">
        <f t="shared" si="852"/>
        <v>0</v>
      </c>
    </row>
    <row r="1195" spans="1:45" ht="15" customHeight="1">
      <c r="A1195" s="103"/>
      <c r="B1195" s="57"/>
      <c r="C1195" s="1109"/>
      <c r="D1195" s="954"/>
      <c r="E1195" s="955"/>
      <c r="F1195" s="956"/>
      <c r="G1195" s="1119" t="s">
        <v>4990</v>
      </c>
      <c r="H1195" s="1120"/>
      <c r="I1195" s="178"/>
      <c r="J1195" s="1111" t="s">
        <v>4991</v>
      </c>
      <c r="K1195" s="1111"/>
      <c r="L1195" s="1111"/>
      <c r="M1195" s="1111"/>
      <c r="N1195" s="1111"/>
      <c r="O1195" s="1111"/>
      <c r="P1195" s="1111"/>
      <c r="Q1195" s="1111"/>
      <c r="R1195" s="1111"/>
      <c r="S1195" s="1111"/>
      <c r="T1195" s="1111"/>
      <c r="U1195" s="1112"/>
      <c r="V1195" s="100"/>
      <c r="W1195" s="100"/>
      <c r="X1195" s="100"/>
      <c r="Y1195" s="100"/>
      <c r="Z1195" s="100"/>
      <c r="AA1195" s="100"/>
      <c r="AB1195" s="100"/>
      <c r="AC1195" s="100"/>
      <c r="AD1195" s="100"/>
      <c r="AF1195"/>
      <c r="AK1195">
        <f t="shared" si="844"/>
        <v>0</v>
      </c>
      <c r="AL1195">
        <f t="shared" si="845"/>
        <v>0</v>
      </c>
      <c r="AM1195">
        <f t="shared" si="846"/>
        <v>0</v>
      </c>
      <c r="AN1195">
        <f t="shared" si="847"/>
        <v>0</v>
      </c>
      <c r="AO1195">
        <f t="shared" si="848"/>
        <v>0</v>
      </c>
      <c r="AP1195">
        <f t="shared" si="849"/>
        <v>0</v>
      </c>
      <c r="AQ1195">
        <f t="shared" si="850"/>
        <v>0</v>
      </c>
      <c r="AR1195">
        <f t="shared" si="851"/>
        <v>0</v>
      </c>
      <c r="AS1195">
        <f t="shared" si="852"/>
        <v>0</v>
      </c>
    </row>
    <row r="1196" spans="1:45" ht="24" customHeight="1">
      <c r="A1196" s="103"/>
      <c r="B1196" s="57"/>
      <c r="C1196" s="1109"/>
      <c r="D1196" s="954"/>
      <c r="E1196" s="955"/>
      <c r="F1196" s="956"/>
      <c r="G1196" s="1119" t="s">
        <v>4992</v>
      </c>
      <c r="H1196" s="1120"/>
      <c r="I1196" s="178"/>
      <c r="J1196" s="1111" t="s">
        <v>4993</v>
      </c>
      <c r="K1196" s="1111"/>
      <c r="L1196" s="1111"/>
      <c r="M1196" s="1111"/>
      <c r="N1196" s="1111"/>
      <c r="O1196" s="1111"/>
      <c r="P1196" s="1111"/>
      <c r="Q1196" s="1111"/>
      <c r="R1196" s="1111"/>
      <c r="S1196" s="1111"/>
      <c r="T1196" s="1111"/>
      <c r="U1196" s="1112"/>
      <c r="V1196" s="100"/>
      <c r="W1196" s="100"/>
      <c r="X1196" s="100"/>
      <c r="Y1196" s="100"/>
      <c r="Z1196" s="100"/>
      <c r="AA1196" s="100"/>
      <c r="AB1196" s="100"/>
      <c r="AC1196" s="100"/>
      <c r="AD1196" s="100"/>
      <c r="AF1196"/>
      <c r="AK1196">
        <f t="shared" si="844"/>
        <v>0</v>
      </c>
      <c r="AL1196">
        <f t="shared" si="845"/>
        <v>0</v>
      </c>
      <c r="AM1196">
        <f t="shared" si="846"/>
        <v>0</v>
      </c>
      <c r="AN1196">
        <f t="shared" si="847"/>
        <v>0</v>
      </c>
      <c r="AO1196">
        <f t="shared" si="848"/>
        <v>0</v>
      </c>
      <c r="AP1196">
        <f t="shared" si="849"/>
        <v>0</v>
      </c>
      <c r="AQ1196">
        <f t="shared" si="850"/>
        <v>0</v>
      </c>
      <c r="AR1196">
        <f t="shared" si="851"/>
        <v>0</v>
      </c>
      <c r="AS1196">
        <f t="shared" si="852"/>
        <v>0</v>
      </c>
    </row>
    <row r="1197" spans="1:45" ht="15" customHeight="1">
      <c r="A1197" s="103"/>
      <c r="B1197" s="57"/>
      <c r="C1197" s="1109"/>
      <c r="D1197" s="954"/>
      <c r="E1197" s="955"/>
      <c r="F1197" s="956"/>
      <c r="G1197" s="1119" t="s">
        <v>4994</v>
      </c>
      <c r="H1197" s="1120"/>
      <c r="I1197" s="179"/>
      <c r="J1197" s="1113" t="s">
        <v>201</v>
      </c>
      <c r="K1197" s="1113"/>
      <c r="L1197" s="1113"/>
      <c r="M1197" s="1113"/>
      <c r="N1197" s="1113"/>
      <c r="O1197" s="1113"/>
      <c r="P1197" s="1113"/>
      <c r="Q1197" s="1113"/>
      <c r="R1197" s="1113"/>
      <c r="S1197" s="1113"/>
      <c r="T1197" s="1113"/>
      <c r="U1197" s="1114"/>
      <c r="V1197" s="100"/>
      <c r="W1197" s="100"/>
      <c r="X1197" s="100"/>
      <c r="Y1197" s="100"/>
      <c r="Z1197" s="100"/>
      <c r="AA1197" s="100"/>
      <c r="AB1197" s="100"/>
      <c r="AC1197" s="100"/>
      <c r="AD1197" s="100"/>
      <c r="AF1197"/>
      <c r="AK1197">
        <f t="shared" si="844"/>
        <v>0</v>
      </c>
      <c r="AL1197">
        <f t="shared" si="845"/>
        <v>0</v>
      </c>
      <c r="AM1197">
        <f t="shared" si="846"/>
        <v>0</v>
      </c>
      <c r="AN1197">
        <f t="shared" si="847"/>
        <v>0</v>
      </c>
      <c r="AO1197">
        <f t="shared" si="848"/>
        <v>0</v>
      </c>
      <c r="AP1197">
        <f t="shared" si="849"/>
        <v>0</v>
      </c>
      <c r="AQ1197">
        <f t="shared" si="850"/>
        <v>0</v>
      </c>
      <c r="AR1197">
        <f t="shared" si="851"/>
        <v>0</v>
      </c>
      <c r="AS1197">
        <f t="shared" si="852"/>
        <v>0</v>
      </c>
    </row>
    <row r="1198" spans="1:45" ht="15" customHeight="1">
      <c r="A1198" s="103"/>
      <c r="B1198" s="57"/>
      <c r="C1198" s="1109"/>
      <c r="D1198" s="954"/>
      <c r="E1198" s="955"/>
      <c r="F1198" s="956"/>
      <c r="G1198" s="1117" t="s">
        <v>4995</v>
      </c>
      <c r="H1198" s="1118"/>
      <c r="I1198" s="1104" t="s">
        <v>4996</v>
      </c>
      <c r="J1198" s="1105"/>
      <c r="K1198" s="1105"/>
      <c r="L1198" s="1105"/>
      <c r="M1198" s="1105"/>
      <c r="N1198" s="1105"/>
      <c r="O1198" s="1105"/>
      <c r="P1198" s="1105"/>
      <c r="Q1198" s="1105"/>
      <c r="R1198" s="1105"/>
      <c r="S1198" s="1105"/>
      <c r="T1198" s="1105"/>
      <c r="U1198" s="1106"/>
      <c r="V1198" s="100"/>
      <c r="W1198" s="100"/>
      <c r="X1198" s="100"/>
      <c r="Y1198" s="100"/>
      <c r="Z1198" s="100"/>
      <c r="AA1198" s="100"/>
      <c r="AB1198" s="100"/>
      <c r="AC1198" s="100"/>
      <c r="AD1198" s="100"/>
      <c r="AF1198"/>
      <c r="AK1198">
        <f t="shared" si="844"/>
        <v>0</v>
      </c>
      <c r="AL1198">
        <f t="shared" si="845"/>
        <v>0</v>
      </c>
      <c r="AM1198">
        <f t="shared" si="846"/>
        <v>0</v>
      </c>
      <c r="AN1198">
        <f t="shared" si="847"/>
        <v>0</v>
      </c>
      <c r="AO1198">
        <f t="shared" si="848"/>
        <v>0</v>
      </c>
      <c r="AP1198">
        <f t="shared" si="849"/>
        <v>0</v>
      </c>
      <c r="AQ1198">
        <f t="shared" si="850"/>
        <v>0</v>
      </c>
      <c r="AR1198">
        <f t="shared" si="851"/>
        <v>0</v>
      </c>
      <c r="AS1198">
        <f t="shared" si="852"/>
        <v>0</v>
      </c>
    </row>
    <row r="1199" spans="1:45" ht="15" customHeight="1">
      <c r="A1199" s="103"/>
      <c r="B1199" s="57"/>
      <c r="C1199" s="1109"/>
      <c r="D1199" s="954"/>
      <c r="E1199" s="955"/>
      <c r="F1199" s="956"/>
      <c r="G1199" s="1117" t="s">
        <v>4997</v>
      </c>
      <c r="H1199" s="1118"/>
      <c r="I1199" s="1104" t="s">
        <v>4998</v>
      </c>
      <c r="J1199" s="1105"/>
      <c r="K1199" s="1105"/>
      <c r="L1199" s="1105"/>
      <c r="M1199" s="1105"/>
      <c r="N1199" s="1105"/>
      <c r="O1199" s="1105"/>
      <c r="P1199" s="1105"/>
      <c r="Q1199" s="1105"/>
      <c r="R1199" s="1105"/>
      <c r="S1199" s="1105"/>
      <c r="T1199" s="1105"/>
      <c r="U1199" s="1106"/>
      <c r="V1199" s="100"/>
      <c r="W1199" s="100"/>
      <c r="X1199" s="100"/>
      <c r="Y1199" s="100"/>
      <c r="Z1199" s="100"/>
      <c r="AA1199" s="100"/>
      <c r="AB1199" s="100"/>
      <c r="AC1199" s="100"/>
      <c r="AD1199" s="100"/>
      <c r="AF1199"/>
      <c r="AK1199">
        <f t="shared" si="844"/>
        <v>0</v>
      </c>
      <c r="AL1199">
        <f t="shared" si="845"/>
        <v>0</v>
      </c>
      <c r="AM1199">
        <f t="shared" si="846"/>
        <v>0</v>
      </c>
      <c r="AN1199">
        <f t="shared" si="847"/>
        <v>0</v>
      </c>
      <c r="AO1199">
        <f t="shared" si="848"/>
        <v>0</v>
      </c>
      <c r="AP1199">
        <f t="shared" si="849"/>
        <v>0</v>
      </c>
      <c r="AQ1199">
        <f t="shared" si="850"/>
        <v>0</v>
      </c>
      <c r="AR1199">
        <f t="shared" si="851"/>
        <v>0</v>
      </c>
      <c r="AS1199">
        <f t="shared" si="852"/>
        <v>0</v>
      </c>
    </row>
    <row r="1200" spans="1:45" ht="15" customHeight="1">
      <c r="A1200" s="103"/>
      <c r="B1200" s="57"/>
      <c r="C1200" s="1109"/>
      <c r="D1200" s="954"/>
      <c r="E1200" s="955"/>
      <c r="F1200" s="956"/>
      <c r="G1200" s="1117" t="s">
        <v>4999</v>
      </c>
      <c r="H1200" s="1118"/>
      <c r="I1200" s="1104" t="s">
        <v>5000</v>
      </c>
      <c r="J1200" s="1105"/>
      <c r="K1200" s="1105"/>
      <c r="L1200" s="1105"/>
      <c r="M1200" s="1105"/>
      <c r="N1200" s="1105"/>
      <c r="O1200" s="1105"/>
      <c r="P1200" s="1105"/>
      <c r="Q1200" s="1105"/>
      <c r="R1200" s="1105"/>
      <c r="S1200" s="1105"/>
      <c r="T1200" s="1105"/>
      <c r="U1200" s="1106"/>
      <c r="V1200" s="100"/>
      <c r="W1200" s="100"/>
      <c r="X1200" s="100"/>
      <c r="Y1200" s="100"/>
      <c r="Z1200" s="100"/>
      <c r="AA1200" s="100"/>
      <c r="AB1200" s="100"/>
      <c r="AC1200" s="100"/>
      <c r="AD1200" s="100"/>
      <c r="AF1200"/>
      <c r="AK1200">
        <f t="shared" si="844"/>
        <v>0</v>
      </c>
      <c r="AL1200">
        <f t="shared" si="845"/>
        <v>0</v>
      </c>
      <c r="AM1200">
        <f t="shared" si="846"/>
        <v>0</v>
      </c>
      <c r="AN1200">
        <f t="shared" si="847"/>
        <v>0</v>
      </c>
      <c r="AO1200">
        <f t="shared" si="848"/>
        <v>0</v>
      </c>
      <c r="AP1200">
        <f t="shared" si="849"/>
        <v>0</v>
      </c>
      <c r="AQ1200">
        <f t="shared" si="850"/>
        <v>0</v>
      </c>
      <c r="AR1200">
        <f t="shared" si="851"/>
        <v>0</v>
      </c>
      <c r="AS1200">
        <f t="shared" si="852"/>
        <v>0</v>
      </c>
    </row>
    <row r="1201" spans="1:45" ht="24" customHeight="1">
      <c r="A1201" s="103"/>
      <c r="B1201" s="57"/>
      <c r="C1201" s="1109"/>
      <c r="D1201" s="954"/>
      <c r="E1201" s="955"/>
      <c r="F1201" s="956"/>
      <c r="G1201" s="1117" t="s">
        <v>5001</v>
      </c>
      <c r="H1201" s="1118"/>
      <c r="I1201" s="1104" t="s">
        <v>5002</v>
      </c>
      <c r="J1201" s="1105"/>
      <c r="K1201" s="1105"/>
      <c r="L1201" s="1105"/>
      <c r="M1201" s="1105"/>
      <c r="N1201" s="1105"/>
      <c r="O1201" s="1105"/>
      <c r="P1201" s="1105"/>
      <c r="Q1201" s="1105"/>
      <c r="R1201" s="1105"/>
      <c r="S1201" s="1105"/>
      <c r="T1201" s="1105"/>
      <c r="U1201" s="1106"/>
      <c r="V1201" s="100"/>
      <c r="W1201" s="100"/>
      <c r="X1201" s="100"/>
      <c r="Y1201" s="100"/>
      <c r="Z1201" s="100"/>
      <c r="AA1201" s="100"/>
      <c r="AB1201" s="100"/>
      <c r="AC1201" s="100"/>
      <c r="AD1201" s="100"/>
      <c r="AF1201"/>
      <c r="AK1201">
        <f t="shared" si="844"/>
        <v>0</v>
      </c>
      <c r="AL1201">
        <f t="shared" si="845"/>
        <v>0</v>
      </c>
      <c r="AM1201">
        <f t="shared" si="846"/>
        <v>0</v>
      </c>
      <c r="AN1201">
        <f t="shared" si="847"/>
        <v>0</v>
      </c>
      <c r="AO1201">
        <f t="shared" si="848"/>
        <v>0</v>
      </c>
      <c r="AP1201">
        <f t="shared" si="849"/>
        <v>0</v>
      </c>
      <c r="AQ1201">
        <f t="shared" si="850"/>
        <v>0</v>
      </c>
      <c r="AR1201">
        <f t="shared" si="851"/>
        <v>0</v>
      </c>
      <c r="AS1201">
        <f t="shared" si="852"/>
        <v>0</v>
      </c>
    </row>
    <row r="1202" spans="1:45" ht="15" customHeight="1">
      <c r="A1202" s="103"/>
      <c r="B1202" s="57"/>
      <c r="C1202" s="1109"/>
      <c r="D1202" s="954"/>
      <c r="E1202" s="955"/>
      <c r="F1202" s="956"/>
      <c r="G1202" s="1119" t="s">
        <v>5003</v>
      </c>
      <c r="H1202" s="1120"/>
      <c r="I1202" s="177"/>
      <c r="J1202" s="1115" t="s">
        <v>5004</v>
      </c>
      <c r="K1202" s="1115"/>
      <c r="L1202" s="1115"/>
      <c r="M1202" s="1115"/>
      <c r="N1202" s="1115"/>
      <c r="O1202" s="1115"/>
      <c r="P1202" s="1115"/>
      <c r="Q1202" s="1115"/>
      <c r="R1202" s="1115"/>
      <c r="S1202" s="1115"/>
      <c r="T1202" s="1115"/>
      <c r="U1202" s="1116"/>
      <c r="V1202" s="100"/>
      <c r="W1202" s="100"/>
      <c r="X1202" s="100"/>
      <c r="Y1202" s="100"/>
      <c r="Z1202" s="100"/>
      <c r="AA1202" s="100"/>
      <c r="AB1202" s="100"/>
      <c r="AC1202" s="100"/>
      <c r="AD1202" s="100"/>
      <c r="AF1202"/>
      <c r="AK1202">
        <f t="shared" si="844"/>
        <v>0</v>
      </c>
      <c r="AL1202">
        <f t="shared" si="845"/>
        <v>0</v>
      </c>
      <c r="AM1202">
        <f t="shared" si="846"/>
        <v>0</v>
      </c>
      <c r="AN1202">
        <f t="shared" si="847"/>
        <v>0</v>
      </c>
      <c r="AO1202">
        <f t="shared" si="848"/>
        <v>0</v>
      </c>
      <c r="AP1202">
        <f t="shared" si="849"/>
        <v>0</v>
      </c>
      <c r="AQ1202">
        <f t="shared" si="850"/>
        <v>0</v>
      </c>
      <c r="AR1202">
        <f t="shared" si="851"/>
        <v>0</v>
      </c>
      <c r="AS1202">
        <f t="shared" si="852"/>
        <v>0</v>
      </c>
    </row>
    <row r="1203" spans="1:45" ht="15" customHeight="1">
      <c r="A1203" s="103"/>
      <c r="B1203" s="57"/>
      <c r="C1203" s="1109"/>
      <c r="D1203" s="954"/>
      <c r="E1203" s="955"/>
      <c r="F1203" s="956"/>
      <c r="G1203" s="1119" t="s">
        <v>5005</v>
      </c>
      <c r="H1203" s="1120"/>
      <c r="I1203" s="178"/>
      <c r="J1203" s="1111" t="s">
        <v>5006</v>
      </c>
      <c r="K1203" s="1111"/>
      <c r="L1203" s="1111"/>
      <c r="M1203" s="1111"/>
      <c r="N1203" s="1111"/>
      <c r="O1203" s="1111"/>
      <c r="P1203" s="1111"/>
      <c r="Q1203" s="1111"/>
      <c r="R1203" s="1111"/>
      <c r="S1203" s="1111"/>
      <c r="T1203" s="1111"/>
      <c r="U1203" s="1112"/>
      <c r="V1203" s="100"/>
      <c r="W1203" s="100"/>
      <c r="X1203" s="100"/>
      <c r="Y1203" s="100"/>
      <c r="Z1203" s="100"/>
      <c r="AA1203" s="100"/>
      <c r="AB1203" s="100"/>
      <c r="AC1203" s="100"/>
      <c r="AD1203" s="100"/>
      <c r="AF1203"/>
      <c r="AK1203">
        <f t="shared" si="844"/>
        <v>0</v>
      </c>
      <c r="AL1203">
        <f t="shared" si="845"/>
        <v>0</v>
      </c>
      <c r="AM1203">
        <f t="shared" si="846"/>
        <v>0</v>
      </c>
      <c r="AN1203">
        <f t="shared" si="847"/>
        <v>0</v>
      </c>
      <c r="AO1203">
        <f t="shared" si="848"/>
        <v>0</v>
      </c>
      <c r="AP1203">
        <f t="shared" si="849"/>
        <v>0</v>
      </c>
      <c r="AQ1203">
        <f t="shared" si="850"/>
        <v>0</v>
      </c>
      <c r="AR1203">
        <f t="shared" si="851"/>
        <v>0</v>
      </c>
      <c r="AS1203">
        <f t="shared" si="852"/>
        <v>0</v>
      </c>
    </row>
    <row r="1204" spans="1:45" ht="15" customHeight="1">
      <c r="A1204" s="103"/>
      <c r="B1204" s="57"/>
      <c r="C1204" s="1109"/>
      <c r="D1204" s="954"/>
      <c r="E1204" s="955"/>
      <c r="F1204" s="956"/>
      <c r="G1204" s="1119" t="s">
        <v>5007</v>
      </c>
      <c r="H1204" s="1120"/>
      <c r="I1204" s="178"/>
      <c r="J1204" s="1111" t="s">
        <v>5008</v>
      </c>
      <c r="K1204" s="1111"/>
      <c r="L1204" s="1111"/>
      <c r="M1204" s="1111"/>
      <c r="N1204" s="1111"/>
      <c r="O1204" s="1111"/>
      <c r="P1204" s="1111"/>
      <c r="Q1204" s="1111"/>
      <c r="R1204" s="1111"/>
      <c r="S1204" s="1111"/>
      <c r="T1204" s="1111"/>
      <c r="U1204" s="1112"/>
      <c r="V1204" s="100"/>
      <c r="W1204" s="100"/>
      <c r="X1204" s="100"/>
      <c r="Y1204" s="100"/>
      <c r="Z1204" s="100"/>
      <c r="AA1204" s="100"/>
      <c r="AB1204" s="100"/>
      <c r="AC1204" s="100"/>
      <c r="AD1204" s="100"/>
      <c r="AF1204"/>
      <c r="AK1204">
        <f t="shared" si="844"/>
        <v>0</v>
      </c>
      <c r="AL1204">
        <f t="shared" si="845"/>
        <v>0</v>
      </c>
      <c r="AM1204">
        <f t="shared" si="846"/>
        <v>0</v>
      </c>
      <c r="AN1204">
        <f t="shared" si="847"/>
        <v>0</v>
      </c>
      <c r="AO1204">
        <f t="shared" si="848"/>
        <v>0</v>
      </c>
      <c r="AP1204">
        <f t="shared" si="849"/>
        <v>0</v>
      </c>
      <c r="AQ1204">
        <f t="shared" si="850"/>
        <v>0</v>
      </c>
      <c r="AR1204">
        <f t="shared" si="851"/>
        <v>0</v>
      </c>
      <c r="AS1204">
        <f t="shared" si="852"/>
        <v>0</v>
      </c>
    </row>
    <row r="1205" spans="1:45" ht="24" customHeight="1">
      <c r="A1205" s="103"/>
      <c r="B1205" s="57"/>
      <c r="C1205" s="1109"/>
      <c r="D1205" s="954"/>
      <c r="E1205" s="955"/>
      <c r="F1205" s="956"/>
      <c r="G1205" s="1119" t="s">
        <v>5009</v>
      </c>
      <c r="H1205" s="1120"/>
      <c r="I1205" s="178"/>
      <c r="J1205" s="1111" t="s">
        <v>5010</v>
      </c>
      <c r="K1205" s="1111"/>
      <c r="L1205" s="1111"/>
      <c r="M1205" s="1111"/>
      <c r="N1205" s="1111"/>
      <c r="O1205" s="1111"/>
      <c r="P1205" s="1111"/>
      <c r="Q1205" s="1111"/>
      <c r="R1205" s="1111"/>
      <c r="S1205" s="1111"/>
      <c r="T1205" s="1111"/>
      <c r="U1205" s="1112"/>
      <c r="V1205" s="100"/>
      <c r="W1205" s="100"/>
      <c r="X1205" s="100"/>
      <c r="Y1205" s="100"/>
      <c r="Z1205" s="100"/>
      <c r="AA1205" s="100"/>
      <c r="AB1205" s="100"/>
      <c r="AC1205" s="100"/>
      <c r="AD1205" s="100"/>
      <c r="AF1205"/>
      <c r="AK1205">
        <f t="shared" si="844"/>
        <v>0</v>
      </c>
      <c r="AL1205">
        <f t="shared" si="845"/>
        <v>0</v>
      </c>
      <c r="AM1205">
        <f t="shared" si="846"/>
        <v>0</v>
      </c>
      <c r="AN1205">
        <f t="shared" si="847"/>
        <v>0</v>
      </c>
      <c r="AO1205">
        <f t="shared" si="848"/>
        <v>0</v>
      </c>
      <c r="AP1205">
        <f t="shared" si="849"/>
        <v>0</v>
      </c>
      <c r="AQ1205">
        <f t="shared" si="850"/>
        <v>0</v>
      </c>
      <c r="AR1205">
        <f t="shared" si="851"/>
        <v>0</v>
      </c>
      <c r="AS1205">
        <f t="shared" si="852"/>
        <v>0</v>
      </c>
    </row>
    <row r="1206" spans="1:45" ht="24" customHeight="1">
      <c r="A1206" s="103"/>
      <c r="B1206" s="57"/>
      <c r="C1206" s="1109"/>
      <c r="D1206" s="954"/>
      <c r="E1206" s="955"/>
      <c r="F1206" s="956"/>
      <c r="G1206" s="1119" t="s">
        <v>5011</v>
      </c>
      <c r="H1206" s="1120"/>
      <c r="I1206" s="178"/>
      <c r="J1206" s="1111" t="s">
        <v>5012</v>
      </c>
      <c r="K1206" s="1111"/>
      <c r="L1206" s="1111"/>
      <c r="M1206" s="1111"/>
      <c r="N1206" s="1111"/>
      <c r="O1206" s="1111"/>
      <c r="P1206" s="1111"/>
      <c r="Q1206" s="1111"/>
      <c r="R1206" s="1111"/>
      <c r="S1206" s="1111"/>
      <c r="T1206" s="1111"/>
      <c r="U1206" s="1112"/>
      <c r="V1206" s="100"/>
      <c r="W1206" s="100"/>
      <c r="X1206" s="100"/>
      <c r="Y1206" s="100"/>
      <c r="Z1206" s="100"/>
      <c r="AA1206" s="100"/>
      <c r="AB1206" s="100"/>
      <c r="AC1206" s="100"/>
      <c r="AD1206" s="100"/>
      <c r="AF1206"/>
      <c r="AK1206">
        <f t="shared" si="844"/>
        <v>0</v>
      </c>
      <c r="AL1206">
        <f t="shared" si="845"/>
        <v>0</v>
      </c>
      <c r="AM1206">
        <f t="shared" si="846"/>
        <v>0</v>
      </c>
      <c r="AN1206">
        <f t="shared" si="847"/>
        <v>0</v>
      </c>
      <c r="AO1206">
        <f t="shared" si="848"/>
        <v>0</v>
      </c>
      <c r="AP1206">
        <f t="shared" si="849"/>
        <v>0</v>
      </c>
      <c r="AQ1206">
        <f t="shared" si="850"/>
        <v>0</v>
      </c>
      <c r="AR1206">
        <f t="shared" si="851"/>
        <v>0</v>
      </c>
      <c r="AS1206">
        <f t="shared" si="852"/>
        <v>0</v>
      </c>
    </row>
    <row r="1207" spans="1:45" ht="15" customHeight="1">
      <c r="A1207" s="103"/>
      <c r="B1207" s="57"/>
      <c r="C1207" s="1109"/>
      <c r="D1207" s="954"/>
      <c r="E1207" s="955"/>
      <c r="F1207" s="956"/>
      <c r="G1207" s="1119" t="s">
        <v>5013</v>
      </c>
      <c r="H1207" s="1120"/>
      <c r="I1207" s="179"/>
      <c r="J1207" s="1113" t="s">
        <v>201</v>
      </c>
      <c r="K1207" s="1113"/>
      <c r="L1207" s="1113"/>
      <c r="M1207" s="1113"/>
      <c r="N1207" s="1113"/>
      <c r="O1207" s="1113"/>
      <c r="P1207" s="1113"/>
      <c r="Q1207" s="1113"/>
      <c r="R1207" s="1113"/>
      <c r="S1207" s="1113"/>
      <c r="T1207" s="1113"/>
      <c r="U1207" s="1114"/>
      <c r="V1207" s="100"/>
      <c r="W1207" s="100"/>
      <c r="X1207" s="100"/>
      <c r="Y1207" s="100"/>
      <c r="Z1207" s="100"/>
      <c r="AA1207" s="100"/>
      <c r="AB1207" s="100"/>
      <c r="AC1207" s="100"/>
      <c r="AD1207" s="100"/>
      <c r="AF1207"/>
      <c r="AK1207">
        <f t="shared" si="844"/>
        <v>0</v>
      </c>
      <c r="AL1207">
        <f t="shared" si="845"/>
        <v>0</v>
      </c>
      <c r="AM1207">
        <f t="shared" si="846"/>
        <v>0</v>
      </c>
      <c r="AN1207">
        <f t="shared" si="847"/>
        <v>0</v>
      </c>
      <c r="AO1207">
        <f t="shared" si="848"/>
        <v>0</v>
      </c>
      <c r="AP1207">
        <f t="shared" si="849"/>
        <v>0</v>
      </c>
      <c r="AQ1207">
        <f t="shared" si="850"/>
        <v>0</v>
      </c>
      <c r="AR1207">
        <f t="shared" si="851"/>
        <v>0</v>
      </c>
      <c r="AS1207">
        <f t="shared" si="852"/>
        <v>0</v>
      </c>
    </row>
    <row r="1208" spans="1:45" ht="15" customHeight="1">
      <c r="A1208" s="103"/>
      <c r="B1208" s="57"/>
      <c r="C1208" s="1109"/>
      <c r="D1208" s="954"/>
      <c r="E1208" s="955"/>
      <c r="F1208" s="956"/>
      <c r="G1208" s="1117" t="s">
        <v>5014</v>
      </c>
      <c r="H1208" s="1118"/>
      <c r="I1208" s="1104" t="s">
        <v>5015</v>
      </c>
      <c r="J1208" s="1105"/>
      <c r="K1208" s="1105"/>
      <c r="L1208" s="1105"/>
      <c r="M1208" s="1105"/>
      <c r="N1208" s="1105"/>
      <c r="O1208" s="1105"/>
      <c r="P1208" s="1105"/>
      <c r="Q1208" s="1105"/>
      <c r="R1208" s="1105"/>
      <c r="S1208" s="1105"/>
      <c r="T1208" s="1105"/>
      <c r="U1208" s="1106"/>
      <c r="V1208" s="100"/>
      <c r="W1208" s="100"/>
      <c r="X1208" s="100"/>
      <c r="Y1208" s="100"/>
      <c r="Z1208" s="100"/>
      <c r="AA1208" s="100"/>
      <c r="AB1208" s="100"/>
      <c r="AC1208" s="100"/>
      <c r="AD1208" s="100"/>
      <c r="AF1208"/>
      <c r="AK1208">
        <f t="shared" si="844"/>
        <v>0</v>
      </c>
      <c r="AL1208">
        <f t="shared" si="845"/>
        <v>0</v>
      </c>
      <c r="AM1208">
        <f t="shared" si="846"/>
        <v>0</v>
      </c>
      <c r="AN1208">
        <f t="shared" si="847"/>
        <v>0</v>
      </c>
      <c r="AO1208">
        <f t="shared" si="848"/>
        <v>0</v>
      </c>
      <c r="AP1208">
        <f t="shared" si="849"/>
        <v>0</v>
      </c>
      <c r="AQ1208">
        <f t="shared" si="850"/>
        <v>0</v>
      </c>
      <c r="AR1208">
        <f t="shared" si="851"/>
        <v>0</v>
      </c>
      <c r="AS1208">
        <f t="shared" si="852"/>
        <v>0</v>
      </c>
    </row>
    <row r="1209" spans="1:45" ht="15" customHeight="1">
      <c r="A1209" s="103"/>
      <c r="B1209" s="57"/>
      <c r="C1209" s="1109"/>
      <c r="D1209" s="954"/>
      <c r="E1209" s="955"/>
      <c r="F1209" s="956"/>
      <c r="G1209" s="1117" t="s">
        <v>5016</v>
      </c>
      <c r="H1209" s="1118"/>
      <c r="I1209" s="1104" t="s">
        <v>5017</v>
      </c>
      <c r="J1209" s="1105"/>
      <c r="K1209" s="1105"/>
      <c r="L1209" s="1105"/>
      <c r="M1209" s="1105"/>
      <c r="N1209" s="1105"/>
      <c r="O1209" s="1105"/>
      <c r="P1209" s="1105"/>
      <c r="Q1209" s="1105"/>
      <c r="R1209" s="1105"/>
      <c r="S1209" s="1105"/>
      <c r="T1209" s="1105"/>
      <c r="U1209" s="1106"/>
      <c r="V1209" s="100"/>
      <c r="W1209" s="100"/>
      <c r="X1209" s="100"/>
      <c r="Y1209" s="100"/>
      <c r="Z1209" s="100"/>
      <c r="AA1209" s="100"/>
      <c r="AB1209" s="100"/>
      <c r="AC1209" s="100"/>
      <c r="AD1209" s="100"/>
      <c r="AF1209"/>
      <c r="AK1209">
        <f t="shared" si="844"/>
        <v>0</v>
      </c>
      <c r="AL1209">
        <f t="shared" si="845"/>
        <v>0</v>
      </c>
      <c r="AM1209">
        <f t="shared" si="846"/>
        <v>0</v>
      </c>
      <c r="AN1209">
        <f t="shared" si="847"/>
        <v>0</v>
      </c>
      <c r="AO1209">
        <f t="shared" si="848"/>
        <v>0</v>
      </c>
      <c r="AP1209">
        <f t="shared" si="849"/>
        <v>0</v>
      </c>
      <c r="AQ1209">
        <f t="shared" si="850"/>
        <v>0</v>
      </c>
      <c r="AR1209">
        <f t="shared" si="851"/>
        <v>0</v>
      </c>
      <c r="AS1209">
        <f t="shared" si="852"/>
        <v>0</v>
      </c>
    </row>
    <row r="1210" spans="1:45" ht="15" customHeight="1">
      <c r="A1210" s="103"/>
      <c r="B1210" s="57"/>
      <c r="C1210" s="1109"/>
      <c r="D1210" s="954"/>
      <c r="E1210" s="955"/>
      <c r="F1210" s="956"/>
      <c r="G1210" s="1117" t="s">
        <v>5018</v>
      </c>
      <c r="H1210" s="1118"/>
      <c r="I1210" s="1104" t="s">
        <v>5019</v>
      </c>
      <c r="J1210" s="1105"/>
      <c r="K1210" s="1105"/>
      <c r="L1210" s="1105"/>
      <c r="M1210" s="1105"/>
      <c r="N1210" s="1105"/>
      <c r="O1210" s="1105"/>
      <c r="P1210" s="1105"/>
      <c r="Q1210" s="1105"/>
      <c r="R1210" s="1105"/>
      <c r="S1210" s="1105"/>
      <c r="T1210" s="1105"/>
      <c r="U1210" s="1106"/>
      <c r="V1210" s="100"/>
      <c r="W1210" s="100"/>
      <c r="X1210" s="100"/>
      <c r="Y1210" s="100"/>
      <c r="Z1210" s="100"/>
      <c r="AA1210" s="100"/>
      <c r="AB1210" s="100"/>
      <c r="AC1210" s="100"/>
      <c r="AD1210" s="100"/>
      <c r="AF1210"/>
      <c r="AK1210">
        <f t="shared" si="844"/>
        <v>0</v>
      </c>
      <c r="AL1210">
        <f t="shared" si="845"/>
        <v>0</v>
      </c>
      <c r="AM1210">
        <f t="shared" si="846"/>
        <v>0</v>
      </c>
      <c r="AN1210">
        <f t="shared" si="847"/>
        <v>0</v>
      </c>
      <c r="AO1210">
        <f t="shared" si="848"/>
        <v>0</v>
      </c>
      <c r="AP1210">
        <f t="shared" si="849"/>
        <v>0</v>
      </c>
      <c r="AQ1210">
        <f t="shared" si="850"/>
        <v>0</v>
      </c>
      <c r="AR1210">
        <f t="shared" si="851"/>
        <v>0</v>
      </c>
      <c r="AS1210">
        <f t="shared" si="852"/>
        <v>0</v>
      </c>
    </row>
    <row r="1211" spans="1:45" ht="15" customHeight="1">
      <c r="A1211" s="103"/>
      <c r="B1211" s="57"/>
      <c r="C1211" s="1108" t="s">
        <v>5020</v>
      </c>
      <c r="D1211" s="847" t="s">
        <v>5021</v>
      </c>
      <c r="E1211" s="953"/>
      <c r="F1211" s="848"/>
      <c r="G1211" s="1117" t="s">
        <v>5022</v>
      </c>
      <c r="H1211" s="1118"/>
      <c r="I1211" s="1104" t="s">
        <v>5023</v>
      </c>
      <c r="J1211" s="1105"/>
      <c r="K1211" s="1105"/>
      <c r="L1211" s="1105"/>
      <c r="M1211" s="1105"/>
      <c r="N1211" s="1105"/>
      <c r="O1211" s="1105"/>
      <c r="P1211" s="1105"/>
      <c r="Q1211" s="1105"/>
      <c r="R1211" s="1105"/>
      <c r="S1211" s="1105"/>
      <c r="T1211" s="1105"/>
      <c r="U1211" s="1106"/>
      <c r="V1211" s="100"/>
      <c r="W1211" s="100"/>
      <c r="X1211" s="100"/>
      <c r="Y1211" s="100"/>
      <c r="Z1211" s="100"/>
      <c r="AA1211" s="100"/>
      <c r="AB1211" s="100"/>
      <c r="AC1211" s="100"/>
      <c r="AD1211" s="100"/>
      <c r="AF1211"/>
      <c r="AK1211">
        <f t="shared" si="844"/>
        <v>0</v>
      </c>
      <c r="AL1211">
        <f t="shared" si="845"/>
        <v>0</v>
      </c>
      <c r="AM1211">
        <f t="shared" si="846"/>
        <v>0</v>
      </c>
      <c r="AN1211">
        <f t="shared" si="847"/>
        <v>0</v>
      </c>
      <c r="AO1211">
        <f t="shared" si="848"/>
        <v>0</v>
      </c>
      <c r="AP1211">
        <f t="shared" si="849"/>
        <v>0</v>
      </c>
      <c r="AQ1211">
        <f t="shared" si="850"/>
        <v>0</v>
      </c>
      <c r="AR1211">
        <f t="shared" si="851"/>
        <v>0</v>
      </c>
      <c r="AS1211">
        <f t="shared" si="852"/>
        <v>0</v>
      </c>
    </row>
    <row r="1212" spans="1:45" ht="15" customHeight="1">
      <c r="A1212" s="103"/>
      <c r="B1212" s="57"/>
      <c r="C1212" s="1109"/>
      <c r="D1212" s="954"/>
      <c r="E1212" s="955"/>
      <c r="F1212" s="956"/>
      <c r="G1212" s="1119" t="s">
        <v>5024</v>
      </c>
      <c r="H1212" s="1120"/>
      <c r="I1212" s="177"/>
      <c r="J1212" s="1115" t="s">
        <v>5025</v>
      </c>
      <c r="K1212" s="1115"/>
      <c r="L1212" s="1115"/>
      <c r="M1212" s="1115"/>
      <c r="N1212" s="1115"/>
      <c r="O1212" s="1115"/>
      <c r="P1212" s="1115"/>
      <c r="Q1212" s="1115"/>
      <c r="R1212" s="1115"/>
      <c r="S1212" s="1115"/>
      <c r="T1212" s="1115"/>
      <c r="U1212" s="1116"/>
      <c r="V1212" s="100"/>
      <c r="W1212" s="100"/>
      <c r="X1212" s="100"/>
      <c r="Y1212" s="100"/>
      <c r="Z1212" s="100"/>
      <c r="AA1212" s="100"/>
      <c r="AB1212" s="100"/>
      <c r="AC1212" s="100"/>
      <c r="AD1212" s="100"/>
      <c r="AF1212"/>
      <c r="AK1212">
        <f t="shared" si="844"/>
        <v>0</v>
      </c>
      <c r="AL1212">
        <f t="shared" si="845"/>
        <v>0</v>
      </c>
      <c r="AM1212">
        <f t="shared" si="846"/>
        <v>0</v>
      </c>
      <c r="AN1212">
        <f t="shared" si="847"/>
        <v>0</v>
      </c>
      <c r="AO1212">
        <f t="shared" si="848"/>
        <v>0</v>
      </c>
      <c r="AP1212">
        <f t="shared" si="849"/>
        <v>0</v>
      </c>
      <c r="AQ1212">
        <f t="shared" si="850"/>
        <v>0</v>
      </c>
      <c r="AR1212">
        <f t="shared" si="851"/>
        <v>0</v>
      </c>
      <c r="AS1212">
        <f t="shared" si="852"/>
        <v>0</v>
      </c>
    </row>
    <row r="1213" spans="1:45" ht="15" customHeight="1">
      <c r="A1213" s="103"/>
      <c r="B1213" s="57"/>
      <c r="C1213" s="1109"/>
      <c r="D1213" s="954"/>
      <c r="E1213" s="955"/>
      <c r="F1213" s="956"/>
      <c r="G1213" s="1119" t="s">
        <v>5026</v>
      </c>
      <c r="H1213" s="1120"/>
      <c r="I1213" s="178"/>
      <c r="J1213" s="1111" t="s">
        <v>5027</v>
      </c>
      <c r="K1213" s="1111"/>
      <c r="L1213" s="1111"/>
      <c r="M1213" s="1111"/>
      <c r="N1213" s="1111"/>
      <c r="O1213" s="1111"/>
      <c r="P1213" s="1111"/>
      <c r="Q1213" s="1111"/>
      <c r="R1213" s="1111"/>
      <c r="S1213" s="1111"/>
      <c r="T1213" s="1111"/>
      <c r="U1213" s="1112"/>
      <c r="V1213" s="100"/>
      <c r="W1213" s="100"/>
      <c r="X1213" s="100"/>
      <c r="Y1213" s="100"/>
      <c r="Z1213" s="100"/>
      <c r="AA1213" s="100"/>
      <c r="AB1213" s="100"/>
      <c r="AC1213" s="100"/>
      <c r="AD1213" s="100"/>
      <c r="AF1213"/>
      <c r="AK1213">
        <f t="shared" si="844"/>
        <v>0</v>
      </c>
      <c r="AL1213">
        <f t="shared" si="845"/>
        <v>0</v>
      </c>
      <c r="AM1213">
        <f t="shared" si="846"/>
        <v>0</v>
      </c>
      <c r="AN1213">
        <f t="shared" si="847"/>
        <v>0</v>
      </c>
      <c r="AO1213">
        <f t="shared" si="848"/>
        <v>0</v>
      </c>
      <c r="AP1213">
        <f t="shared" si="849"/>
        <v>0</v>
      </c>
      <c r="AQ1213">
        <f t="shared" si="850"/>
        <v>0</v>
      </c>
      <c r="AR1213">
        <f t="shared" si="851"/>
        <v>0</v>
      </c>
      <c r="AS1213">
        <f t="shared" si="852"/>
        <v>0</v>
      </c>
    </row>
    <row r="1214" spans="1:45" ht="15" customHeight="1">
      <c r="A1214" s="103"/>
      <c r="B1214" s="57"/>
      <c r="C1214" s="1109"/>
      <c r="D1214" s="954"/>
      <c r="E1214" s="955"/>
      <c r="F1214" s="956"/>
      <c r="G1214" s="1119" t="s">
        <v>5028</v>
      </c>
      <c r="H1214" s="1120"/>
      <c r="I1214" s="178"/>
      <c r="J1214" s="1111" t="s">
        <v>5029</v>
      </c>
      <c r="K1214" s="1111"/>
      <c r="L1214" s="1111"/>
      <c r="M1214" s="1111"/>
      <c r="N1214" s="1111"/>
      <c r="O1214" s="1111"/>
      <c r="P1214" s="1111"/>
      <c r="Q1214" s="1111"/>
      <c r="R1214" s="1111"/>
      <c r="S1214" s="1111"/>
      <c r="T1214" s="1111"/>
      <c r="U1214" s="1112"/>
      <c r="V1214" s="100"/>
      <c r="W1214" s="100"/>
      <c r="X1214" s="100"/>
      <c r="Y1214" s="100"/>
      <c r="Z1214" s="100"/>
      <c r="AA1214" s="100"/>
      <c r="AB1214" s="100"/>
      <c r="AC1214" s="100"/>
      <c r="AD1214" s="100"/>
      <c r="AF1214"/>
      <c r="AK1214">
        <f t="shared" si="844"/>
        <v>0</v>
      </c>
      <c r="AL1214">
        <f t="shared" si="845"/>
        <v>0</v>
      </c>
      <c r="AM1214">
        <f t="shared" si="846"/>
        <v>0</v>
      </c>
      <c r="AN1214">
        <f t="shared" si="847"/>
        <v>0</v>
      </c>
      <c r="AO1214">
        <f t="shared" si="848"/>
        <v>0</v>
      </c>
      <c r="AP1214">
        <f t="shared" si="849"/>
        <v>0</v>
      </c>
      <c r="AQ1214">
        <f t="shared" si="850"/>
        <v>0</v>
      </c>
      <c r="AR1214">
        <f t="shared" si="851"/>
        <v>0</v>
      </c>
      <c r="AS1214">
        <f t="shared" si="852"/>
        <v>0</v>
      </c>
    </row>
    <row r="1215" spans="1:45" ht="15" customHeight="1">
      <c r="A1215" s="103"/>
      <c r="B1215" s="57"/>
      <c r="C1215" s="1109"/>
      <c r="D1215" s="954"/>
      <c r="E1215" s="955"/>
      <c r="F1215" s="956"/>
      <c r="G1215" s="1119" t="s">
        <v>5030</v>
      </c>
      <c r="H1215" s="1120"/>
      <c r="I1215" s="178"/>
      <c r="J1215" s="1111" t="s">
        <v>5031</v>
      </c>
      <c r="K1215" s="1111"/>
      <c r="L1215" s="1111"/>
      <c r="M1215" s="1111"/>
      <c r="N1215" s="1111"/>
      <c r="O1215" s="1111"/>
      <c r="P1215" s="1111"/>
      <c r="Q1215" s="1111"/>
      <c r="R1215" s="1111"/>
      <c r="S1215" s="1111"/>
      <c r="T1215" s="1111"/>
      <c r="U1215" s="1112"/>
      <c r="V1215" s="100"/>
      <c r="W1215" s="100"/>
      <c r="X1215" s="100"/>
      <c r="Y1215" s="100"/>
      <c r="Z1215" s="100"/>
      <c r="AA1215" s="100"/>
      <c r="AB1215" s="100"/>
      <c r="AC1215" s="100"/>
      <c r="AD1215" s="100"/>
      <c r="AF1215"/>
      <c r="AK1215">
        <f t="shared" si="844"/>
        <v>0</v>
      </c>
      <c r="AL1215">
        <f t="shared" si="845"/>
        <v>0</v>
      </c>
      <c r="AM1215">
        <f t="shared" si="846"/>
        <v>0</v>
      </c>
      <c r="AN1215">
        <f t="shared" si="847"/>
        <v>0</v>
      </c>
      <c r="AO1215">
        <f t="shared" si="848"/>
        <v>0</v>
      </c>
      <c r="AP1215">
        <f t="shared" si="849"/>
        <v>0</v>
      </c>
      <c r="AQ1215">
        <f t="shared" si="850"/>
        <v>0</v>
      </c>
      <c r="AR1215">
        <f t="shared" si="851"/>
        <v>0</v>
      </c>
      <c r="AS1215">
        <f t="shared" si="852"/>
        <v>0</v>
      </c>
    </row>
    <row r="1216" spans="1:45" ht="15" customHeight="1">
      <c r="A1216" s="103"/>
      <c r="B1216" s="57"/>
      <c r="C1216" s="1109"/>
      <c r="D1216" s="954"/>
      <c r="E1216" s="955"/>
      <c r="F1216" s="956"/>
      <c r="G1216" s="1119" t="s">
        <v>5032</v>
      </c>
      <c r="H1216" s="1120"/>
      <c r="I1216" s="178"/>
      <c r="J1216" s="1111" t="s">
        <v>5033</v>
      </c>
      <c r="K1216" s="1111"/>
      <c r="L1216" s="1111"/>
      <c r="M1216" s="1111"/>
      <c r="N1216" s="1111"/>
      <c r="O1216" s="1111"/>
      <c r="P1216" s="1111"/>
      <c r="Q1216" s="1111"/>
      <c r="R1216" s="1111"/>
      <c r="S1216" s="1111"/>
      <c r="T1216" s="1111"/>
      <c r="U1216" s="1112"/>
      <c r="V1216" s="100"/>
      <c r="W1216" s="100"/>
      <c r="X1216" s="100"/>
      <c r="Y1216" s="100"/>
      <c r="Z1216" s="100"/>
      <c r="AA1216" s="100"/>
      <c r="AB1216" s="100"/>
      <c r="AC1216" s="100"/>
      <c r="AD1216" s="100"/>
      <c r="AF1216"/>
      <c r="AK1216">
        <f t="shared" si="844"/>
        <v>0</v>
      </c>
      <c r="AL1216">
        <f t="shared" si="845"/>
        <v>0</v>
      </c>
      <c r="AM1216">
        <f t="shared" si="846"/>
        <v>0</v>
      </c>
      <c r="AN1216">
        <f t="shared" si="847"/>
        <v>0</v>
      </c>
      <c r="AO1216">
        <f t="shared" si="848"/>
        <v>0</v>
      </c>
      <c r="AP1216">
        <f t="shared" si="849"/>
        <v>0</v>
      </c>
      <c r="AQ1216">
        <f t="shared" si="850"/>
        <v>0</v>
      </c>
      <c r="AR1216">
        <f t="shared" si="851"/>
        <v>0</v>
      </c>
      <c r="AS1216">
        <f t="shared" si="852"/>
        <v>0</v>
      </c>
    </row>
    <row r="1217" spans="1:45" ht="15" customHeight="1">
      <c r="A1217" s="103"/>
      <c r="B1217" s="57"/>
      <c r="C1217" s="1109"/>
      <c r="D1217" s="954"/>
      <c r="E1217" s="955"/>
      <c r="F1217" s="956"/>
      <c r="G1217" s="1119" t="s">
        <v>5034</v>
      </c>
      <c r="H1217" s="1120"/>
      <c r="I1217" s="178"/>
      <c r="J1217" s="1111" t="s">
        <v>5035</v>
      </c>
      <c r="K1217" s="1111"/>
      <c r="L1217" s="1111"/>
      <c r="M1217" s="1111"/>
      <c r="N1217" s="1111"/>
      <c r="O1217" s="1111"/>
      <c r="P1217" s="1111"/>
      <c r="Q1217" s="1111"/>
      <c r="R1217" s="1111"/>
      <c r="S1217" s="1111"/>
      <c r="T1217" s="1111"/>
      <c r="U1217" s="1112"/>
      <c r="V1217" s="100"/>
      <c r="W1217" s="100"/>
      <c r="X1217" s="100"/>
      <c r="Y1217" s="100"/>
      <c r="Z1217" s="100"/>
      <c r="AA1217" s="100"/>
      <c r="AB1217" s="100"/>
      <c r="AC1217" s="100"/>
      <c r="AD1217" s="100"/>
      <c r="AF1217"/>
      <c r="AK1217">
        <f t="shared" si="844"/>
        <v>0</v>
      </c>
      <c r="AL1217">
        <f t="shared" si="845"/>
        <v>0</v>
      </c>
      <c r="AM1217">
        <f t="shared" si="846"/>
        <v>0</v>
      </c>
      <c r="AN1217">
        <f t="shared" si="847"/>
        <v>0</v>
      </c>
      <c r="AO1217">
        <f t="shared" si="848"/>
        <v>0</v>
      </c>
      <c r="AP1217">
        <f t="shared" si="849"/>
        <v>0</v>
      </c>
      <c r="AQ1217">
        <f t="shared" si="850"/>
        <v>0</v>
      </c>
      <c r="AR1217">
        <f t="shared" si="851"/>
        <v>0</v>
      </c>
      <c r="AS1217">
        <f t="shared" si="852"/>
        <v>0</v>
      </c>
    </row>
    <row r="1218" spans="1:45" ht="15" customHeight="1">
      <c r="A1218" s="103"/>
      <c r="B1218" s="57"/>
      <c r="C1218" s="1109"/>
      <c r="D1218" s="954"/>
      <c r="E1218" s="955"/>
      <c r="F1218" s="956"/>
      <c r="G1218" s="1119" t="s">
        <v>5036</v>
      </c>
      <c r="H1218" s="1120"/>
      <c r="I1218" s="178"/>
      <c r="J1218" s="1111" t="s">
        <v>5037</v>
      </c>
      <c r="K1218" s="1111"/>
      <c r="L1218" s="1111"/>
      <c r="M1218" s="1111"/>
      <c r="N1218" s="1111"/>
      <c r="O1218" s="1111"/>
      <c r="P1218" s="1111"/>
      <c r="Q1218" s="1111"/>
      <c r="R1218" s="1111"/>
      <c r="S1218" s="1111"/>
      <c r="T1218" s="1111"/>
      <c r="U1218" s="1112"/>
      <c r="V1218" s="100"/>
      <c r="W1218" s="100"/>
      <c r="X1218" s="100"/>
      <c r="Y1218" s="100"/>
      <c r="Z1218" s="100"/>
      <c r="AA1218" s="100"/>
      <c r="AB1218" s="100"/>
      <c r="AC1218" s="100"/>
      <c r="AD1218" s="100"/>
      <c r="AF1218"/>
      <c r="AK1218">
        <f t="shared" si="844"/>
        <v>0</v>
      </c>
      <c r="AL1218">
        <f t="shared" si="845"/>
        <v>0</v>
      </c>
      <c r="AM1218">
        <f t="shared" si="846"/>
        <v>0</v>
      </c>
      <c r="AN1218">
        <f t="shared" si="847"/>
        <v>0</v>
      </c>
      <c r="AO1218">
        <f t="shared" si="848"/>
        <v>0</v>
      </c>
      <c r="AP1218">
        <f t="shared" si="849"/>
        <v>0</v>
      </c>
      <c r="AQ1218">
        <f t="shared" si="850"/>
        <v>0</v>
      </c>
      <c r="AR1218">
        <f t="shared" si="851"/>
        <v>0</v>
      </c>
      <c r="AS1218">
        <f t="shared" si="852"/>
        <v>0</v>
      </c>
    </row>
    <row r="1219" spans="1:45" ht="15" customHeight="1">
      <c r="A1219" s="103"/>
      <c r="B1219" s="57"/>
      <c r="C1219" s="1109"/>
      <c r="D1219" s="954"/>
      <c r="E1219" s="955"/>
      <c r="F1219" s="956"/>
      <c r="G1219" s="1119" t="s">
        <v>5038</v>
      </c>
      <c r="H1219" s="1120"/>
      <c r="I1219" s="178"/>
      <c r="J1219" s="1111" t="s">
        <v>5039</v>
      </c>
      <c r="K1219" s="1111"/>
      <c r="L1219" s="1111"/>
      <c r="M1219" s="1111"/>
      <c r="N1219" s="1111"/>
      <c r="O1219" s="1111"/>
      <c r="P1219" s="1111"/>
      <c r="Q1219" s="1111"/>
      <c r="R1219" s="1111"/>
      <c r="S1219" s="1111"/>
      <c r="T1219" s="1111"/>
      <c r="U1219" s="1112"/>
      <c r="V1219" s="100"/>
      <c r="W1219" s="100"/>
      <c r="X1219" s="100"/>
      <c r="Y1219" s="100"/>
      <c r="Z1219" s="100"/>
      <c r="AA1219" s="100"/>
      <c r="AB1219" s="100"/>
      <c r="AC1219" s="100"/>
      <c r="AD1219" s="100"/>
      <c r="AF1219"/>
      <c r="AK1219">
        <f t="shared" si="844"/>
        <v>0</v>
      </c>
      <c r="AL1219">
        <f t="shared" si="845"/>
        <v>0</v>
      </c>
      <c r="AM1219">
        <f t="shared" si="846"/>
        <v>0</v>
      </c>
      <c r="AN1219">
        <f t="shared" si="847"/>
        <v>0</v>
      </c>
      <c r="AO1219">
        <f t="shared" si="848"/>
        <v>0</v>
      </c>
      <c r="AP1219">
        <f t="shared" si="849"/>
        <v>0</v>
      </c>
      <c r="AQ1219">
        <f t="shared" si="850"/>
        <v>0</v>
      </c>
      <c r="AR1219">
        <f t="shared" si="851"/>
        <v>0</v>
      </c>
      <c r="AS1219">
        <f t="shared" si="852"/>
        <v>0</v>
      </c>
    </row>
    <row r="1220" spans="1:45" ht="15" customHeight="1">
      <c r="A1220" s="103"/>
      <c r="B1220" s="57"/>
      <c r="C1220" s="1109"/>
      <c r="D1220" s="954"/>
      <c r="E1220" s="955"/>
      <c r="F1220" s="956"/>
      <c r="G1220" s="1119" t="s">
        <v>5040</v>
      </c>
      <c r="H1220" s="1120"/>
      <c r="I1220" s="179"/>
      <c r="J1220" s="1113" t="s">
        <v>201</v>
      </c>
      <c r="K1220" s="1113"/>
      <c r="L1220" s="1113"/>
      <c r="M1220" s="1113"/>
      <c r="N1220" s="1113"/>
      <c r="O1220" s="1113"/>
      <c r="P1220" s="1113"/>
      <c r="Q1220" s="1113"/>
      <c r="R1220" s="1113"/>
      <c r="S1220" s="1113"/>
      <c r="T1220" s="1113"/>
      <c r="U1220" s="1114"/>
      <c r="V1220" s="100"/>
      <c r="W1220" s="100"/>
      <c r="X1220" s="100"/>
      <c r="Y1220" s="100"/>
      <c r="Z1220" s="100"/>
      <c r="AA1220" s="100"/>
      <c r="AB1220" s="100"/>
      <c r="AC1220" s="100"/>
      <c r="AD1220" s="100"/>
      <c r="AF1220"/>
      <c r="AK1220">
        <f t="shared" si="844"/>
        <v>0</v>
      </c>
      <c r="AL1220">
        <f t="shared" si="845"/>
        <v>0</v>
      </c>
      <c r="AM1220">
        <f t="shared" si="846"/>
        <v>0</v>
      </c>
      <c r="AN1220">
        <f t="shared" si="847"/>
        <v>0</v>
      </c>
      <c r="AO1220">
        <f t="shared" si="848"/>
        <v>0</v>
      </c>
      <c r="AP1220">
        <f t="shared" si="849"/>
        <v>0</v>
      </c>
      <c r="AQ1220">
        <f t="shared" si="850"/>
        <v>0</v>
      </c>
      <c r="AR1220">
        <f t="shared" si="851"/>
        <v>0</v>
      </c>
      <c r="AS1220">
        <f t="shared" si="852"/>
        <v>0</v>
      </c>
    </row>
    <row r="1221" spans="1:45" ht="15" customHeight="1">
      <c r="A1221" s="103"/>
      <c r="B1221" s="57"/>
      <c r="C1221" s="1109"/>
      <c r="D1221" s="954"/>
      <c r="E1221" s="955"/>
      <c r="F1221" s="956"/>
      <c r="G1221" s="1117" t="s">
        <v>5041</v>
      </c>
      <c r="H1221" s="1118"/>
      <c r="I1221" s="1104" t="s">
        <v>5042</v>
      </c>
      <c r="J1221" s="1105"/>
      <c r="K1221" s="1105"/>
      <c r="L1221" s="1105"/>
      <c r="M1221" s="1105"/>
      <c r="N1221" s="1105"/>
      <c r="O1221" s="1105"/>
      <c r="P1221" s="1105"/>
      <c r="Q1221" s="1105"/>
      <c r="R1221" s="1105"/>
      <c r="S1221" s="1105"/>
      <c r="T1221" s="1105"/>
      <c r="U1221" s="1106"/>
      <c r="V1221" s="100"/>
      <c r="W1221" s="100"/>
      <c r="X1221" s="100"/>
      <c r="Y1221" s="100"/>
      <c r="Z1221" s="100"/>
      <c r="AA1221" s="100"/>
      <c r="AB1221" s="100"/>
      <c r="AC1221" s="100"/>
      <c r="AD1221" s="100"/>
      <c r="AF1221"/>
      <c r="AK1221">
        <f t="shared" si="844"/>
        <v>0</v>
      </c>
      <c r="AL1221">
        <f t="shared" si="845"/>
        <v>0</v>
      </c>
      <c r="AM1221">
        <f t="shared" si="846"/>
        <v>0</v>
      </c>
      <c r="AN1221">
        <f t="shared" si="847"/>
        <v>0</v>
      </c>
      <c r="AO1221">
        <f t="shared" si="848"/>
        <v>0</v>
      </c>
      <c r="AP1221">
        <f t="shared" si="849"/>
        <v>0</v>
      </c>
      <c r="AQ1221">
        <f t="shared" si="850"/>
        <v>0</v>
      </c>
      <c r="AR1221">
        <f t="shared" si="851"/>
        <v>0</v>
      </c>
      <c r="AS1221">
        <f t="shared" si="852"/>
        <v>0</v>
      </c>
    </row>
    <row r="1222" spans="1:45" ht="15" customHeight="1">
      <c r="A1222" s="103"/>
      <c r="B1222" s="57"/>
      <c r="C1222" s="1109"/>
      <c r="D1222" s="954"/>
      <c r="E1222" s="955"/>
      <c r="F1222" s="956"/>
      <c r="G1222" s="1119" t="s">
        <v>5043</v>
      </c>
      <c r="H1222" s="1120"/>
      <c r="I1222" s="177"/>
      <c r="J1222" s="1115" t="s">
        <v>5044</v>
      </c>
      <c r="K1222" s="1115"/>
      <c r="L1222" s="1115"/>
      <c r="M1222" s="1115"/>
      <c r="N1222" s="1115"/>
      <c r="O1222" s="1115"/>
      <c r="P1222" s="1115"/>
      <c r="Q1222" s="1115"/>
      <c r="R1222" s="1115"/>
      <c r="S1222" s="1115"/>
      <c r="T1222" s="1115"/>
      <c r="U1222" s="1116"/>
      <c r="V1222" s="100"/>
      <c r="W1222" s="100"/>
      <c r="X1222" s="100"/>
      <c r="Y1222" s="100"/>
      <c r="Z1222" s="100"/>
      <c r="AA1222" s="100"/>
      <c r="AB1222" s="100"/>
      <c r="AC1222" s="100"/>
      <c r="AD1222" s="100"/>
      <c r="AF1222"/>
      <c r="AK1222">
        <f t="shared" si="844"/>
        <v>0</v>
      </c>
      <c r="AL1222">
        <f t="shared" si="845"/>
        <v>0</v>
      </c>
      <c r="AM1222">
        <f t="shared" si="846"/>
        <v>0</v>
      </c>
      <c r="AN1222">
        <f t="shared" si="847"/>
        <v>0</v>
      </c>
      <c r="AO1222">
        <f t="shared" si="848"/>
        <v>0</v>
      </c>
      <c r="AP1222">
        <f t="shared" si="849"/>
        <v>0</v>
      </c>
      <c r="AQ1222">
        <f t="shared" si="850"/>
        <v>0</v>
      </c>
      <c r="AR1222">
        <f t="shared" si="851"/>
        <v>0</v>
      </c>
      <c r="AS1222">
        <f t="shared" si="852"/>
        <v>0</v>
      </c>
    </row>
    <row r="1223" spans="1:45" ht="15" customHeight="1">
      <c r="A1223" s="103"/>
      <c r="B1223" s="57"/>
      <c r="C1223" s="1109"/>
      <c r="D1223" s="954"/>
      <c r="E1223" s="955"/>
      <c r="F1223" s="956"/>
      <c r="G1223" s="1119" t="s">
        <v>5045</v>
      </c>
      <c r="H1223" s="1120"/>
      <c r="I1223" s="178"/>
      <c r="J1223" s="1111" t="s">
        <v>5046</v>
      </c>
      <c r="K1223" s="1111"/>
      <c r="L1223" s="1111"/>
      <c r="M1223" s="1111"/>
      <c r="N1223" s="1111"/>
      <c r="O1223" s="1111"/>
      <c r="P1223" s="1111"/>
      <c r="Q1223" s="1111"/>
      <c r="R1223" s="1111"/>
      <c r="S1223" s="1111"/>
      <c r="T1223" s="1111"/>
      <c r="U1223" s="1112"/>
      <c r="V1223" s="100"/>
      <c r="W1223" s="100"/>
      <c r="X1223" s="100"/>
      <c r="Y1223" s="100"/>
      <c r="Z1223" s="100"/>
      <c r="AA1223" s="100"/>
      <c r="AB1223" s="100"/>
      <c r="AC1223" s="100"/>
      <c r="AD1223" s="100"/>
      <c r="AF1223"/>
      <c r="AK1223">
        <f t="shared" si="844"/>
        <v>0</v>
      </c>
      <c r="AL1223">
        <f t="shared" si="845"/>
        <v>0</v>
      </c>
      <c r="AM1223">
        <f t="shared" si="846"/>
        <v>0</v>
      </c>
      <c r="AN1223">
        <f t="shared" si="847"/>
        <v>0</v>
      </c>
      <c r="AO1223">
        <f t="shared" si="848"/>
        <v>0</v>
      </c>
      <c r="AP1223">
        <f t="shared" si="849"/>
        <v>0</v>
      </c>
      <c r="AQ1223">
        <f t="shared" si="850"/>
        <v>0</v>
      </c>
      <c r="AR1223">
        <f t="shared" si="851"/>
        <v>0</v>
      </c>
      <c r="AS1223">
        <f t="shared" si="852"/>
        <v>0</v>
      </c>
    </row>
    <row r="1224" spans="1:45" ht="15" customHeight="1">
      <c r="A1224" s="103"/>
      <c r="B1224" s="57"/>
      <c r="C1224" s="1109"/>
      <c r="D1224" s="954"/>
      <c r="E1224" s="955"/>
      <c r="F1224" s="956"/>
      <c r="G1224" s="1119" t="s">
        <v>5047</v>
      </c>
      <c r="H1224" s="1120"/>
      <c r="I1224" s="179"/>
      <c r="J1224" s="1113" t="s">
        <v>201</v>
      </c>
      <c r="K1224" s="1113"/>
      <c r="L1224" s="1113"/>
      <c r="M1224" s="1113"/>
      <c r="N1224" s="1113"/>
      <c r="O1224" s="1113"/>
      <c r="P1224" s="1113"/>
      <c r="Q1224" s="1113"/>
      <c r="R1224" s="1113"/>
      <c r="S1224" s="1113"/>
      <c r="T1224" s="1113"/>
      <c r="U1224" s="1114"/>
      <c r="V1224" s="100"/>
      <c r="W1224" s="100"/>
      <c r="X1224" s="100"/>
      <c r="Y1224" s="100"/>
      <c r="Z1224" s="100"/>
      <c r="AA1224" s="100"/>
      <c r="AB1224" s="100"/>
      <c r="AC1224" s="100"/>
      <c r="AD1224" s="100"/>
      <c r="AF1224"/>
      <c r="AK1224">
        <f t="shared" si="844"/>
        <v>0</v>
      </c>
      <c r="AL1224">
        <f t="shared" si="845"/>
        <v>0</v>
      </c>
      <c r="AM1224">
        <f t="shared" si="846"/>
        <v>0</v>
      </c>
      <c r="AN1224">
        <f t="shared" si="847"/>
        <v>0</v>
      </c>
      <c r="AO1224">
        <f t="shared" si="848"/>
        <v>0</v>
      </c>
      <c r="AP1224">
        <f t="shared" si="849"/>
        <v>0</v>
      </c>
      <c r="AQ1224">
        <f t="shared" si="850"/>
        <v>0</v>
      </c>
      <c r="AR1224">
        <f t="shared" si="851"/>
        <v>0</v>
      </c>
      <c r="AS1224">
        <f t="shared" si="852"/>
        <v>0</v>
      </c>
    </row>
    <row r="1225" spans="1:45" ht="15" customHeight="1">
      <c r="A1225" s="103"/>
      <c r="B1225" s="57"/>
      <c r="C1225" s="1109"/>
      <c r="D1225" s="954"/>
      <c r="E1225" s="955"/>
      <c r="F1225" s="956"/>
      <c r="G1225" s="1117" t="s">
        <v>5048</v>
      </c>
      <c r="H1225" s="1118"/>
      <c r="I1225" s="1104" t="s">
        <v>5049</v>
      </c>
      <c r="J1225" s="1105"/>
      <c r="K1225" s="1105"/>
      <c r="L1225" s="1105"/>
      <c r="M1225" s="1105"/>
      <c r="N1225" s="1105"/>
      <c r="O1225" s="1105"/>
      <c r="P1225" s="1105"/>
      <c r="Q1225" s="1105"/>
      <c r="R1225" s="1105"/>
      <c r="S1225" s="1105"/>
      <c r="T1225" s="1105"/>
      <c r="U1225" s="1106"/>
      <c r="V1225" s="100"/>
      <c r="W1225" s="100"/>
      <c r="X1225" s="100"/>
      <c r="Y1225" s="100"/>
      <c r="Z1225" s="100"/>
      <c r="AA1225" s="100"/>
      <c r="AB1225" s="100"/>
      <c r="AC1225" s="100"/>
      <c r="AD1225" s="100"/>
      <c r="AF1225"/>
      <c r="AK1225">
        <f t="shared" ref="AK1225:AK1261" si="853">COUNTIF(W1225:X1225,"NS")</f>
        <v>0</v>
      </c>
      <c r="AL1225">
        <f t="shared" ref="AL1225:AL1261" si="854">SUM(W1225:X1225)</f>
        <v>0</v>
      </c>
      <c r="AM1225">
        <f t="shared" ref="AM1225:AM1261" si="855">IF(COUNTIF(V1225:X1225,"NA")=3,0,IF(COUNTA(V1225:X1225)=0,0,IF(OR(AND(V1225=0,AK1225&gt;0),AND(V1225="ns",AL1225&gt;0),AND(V1225="ns",AK1225=0,AL1225=0)),1,IF(OR(AND(V1225&gt;0,AK1225=2),AND(V1225="ns",AK1225=2),AND(V1225="ns",AL1225=0,AK1225&gt;0),V1225=AL1225),0,1))))</f>
        <v>0</v>
      </c>
      <c r="AN1225">
        <f t="shared" ref="AN1225:AN1261" si="856">COUNTIF(Z1225:AA1225,"NS")</f>
        <v>0</v>
      </c>
      <c r="AO1225">
        <f t="shared" ref="AO1225:AO1261" si="857">SUM(Z1225:AA1225)</f>
        <v>0</v>
      </c>
      <c r="AP1225">
        <f t="shared" ref="AP1225:AP1261" si="858">IF(COUNTIF(Y1225:AA1225,"NA")=3,0,IF(COUNTA(Y1225:AA1225)=0,0,IF(OR(AND(Y1225=0,AN1225&gt;0),AND(Y1225="ns",AO1225&gt;0),AND(Y1225="ns",AN1225=0,AO1225=0)),1,IF(OR(AND(Y1225&gt;0,AN1225=2),AND(Y1225="ns",AN1225=2),AND(Y1225="ns",AO1225=0,AN1225&gt;0),Y1225=AO1225),0,1))))</f>
        <v>0</v>
      </c>
      <c r="AQ1225">
        <f t="shared" ref="AQ1225:AQ1261" si="859">COUNTIF(AC1225:AD1225,"NS")</f>
        <v>0</v>
      </c>
      <c r="AR1225">
        <f t="shared" ref="AR1225:AR1261" si="860">SUM(AC1225:AD1225)</f>
        <v>0</v>
      </c>
      <c r="AS1225">
        <f t="shared" ref="AS1225:AS1261" si="861">IF(COUNTIF(AB1225:AD1225,"NA")=3,0,IF(COUNTA(AB1225:AD1225)=0,0,IF(OR(AND(AB1225=0,AQ1225&gt;0),AND(AB1225="ns",AR1225&gt;0),AND(AB1225="ns",AQ1225=0,AR1225=0)),1,IF(OR(AND(AB1225&gt;0,AQ1225=2),AND(AB1225="ns",AQ1225=2),AND(AB1225="ns",AR1225=0,AQ1225&gt;0),AB1225=AR1225),0,1))))</f>
        <v>0</v>
      </c>
    </row>
    <row r="1226" spans="1:45" ht="15" customHeight="1">
      <c r="A1226" s="103"/>
      <c r="B1226" s="57"/>
      <c r="C1226" s="1109"/>
      <c r="D1226" s="954"/>
      <c r="E1226" s="955"/>
      <c r="F1226" s="956"/>
      <c r="G1226" s="1117" t="s">
        <v>5050</v>
      </c>
      <c r="H1226" s="1118"/>
      <c r="I1226" s="1104" t="s">
        <v>5051</v>
      </c>
      <c r="J1226" s="1105"/>
      <c r="K1226" s="1105"/>
      <c r="L1226" s="1105"/>
      <c r="M1226" s="1105"/>
      <c r="N1226" s="1105"/>
      <c r="O1226" s="1105"/>
      <c r="P1226" s="1105"/>
      <c r="Q1226" s="1105"/>
      <c r="R1226" s="1105"/>
      <c r="S1226" s="1105"/>
      <c r="T1226" s="1105"/>
      <c r="U1226" s="1106"/>
      <c r="V1226" s="100"/>
      <c r="W1226" s="100"/>
      <c r="X1226" s="100"/>
      <c r="Y1226" s="100"/>
      <c r="Z1226" s="100"/>
      <c r="AA1226" s="100"/>
      <c r="AB1226" s="100"/>
      <c r="AC1226" s="100"/>
      <c r="AD1226" s="100"/>
      <c r="AF1226"/>
      <c r="AK1226">
        <f t="shared" si="853"/>
        <v>0</v>
      </c>
      <c r="AL1226">
        <f t="shared" si="854"/>
        <v>0</v>
      </c>
      <c r="AM1226">
        <f t="shared" si="855"/>
        <v>0</v>
      </c>
      <c r="AN1226">
        <f t="shared" si="856"/>
        <v>0</v>
      </c>
      <c r="AO1226">
        <f t="shared" si="857"/>
        <v>0</v>
      </c>
      <c r="AP1226">
        <f t="shared" si="858"/>
        <v>0</v>
      </c>
      <c r="AQ1226">
        <f t="shared" si="859"/>
        <v>0</v>
      </c>
      <c r="AR1226">
        <f t="shared" si="860"/>
        <v>0</v>
      </c>
      <c r="AS1226">
        <f t="shared" si="861"/>
        <v>0</v>
      </c>
    </row>
    <row r="1227" spans="1:45" ht="15" customHeight="1">
      <c r="A1227" s="103"/>
      <c r="B1227" s="57"/>
      <c r="C1227" s="1109"/>
      <c r="D1227" s="954"/>
      <c r="E1227" s="955"/>
      <c r="F1227" s="956"/>
      <c r="G1227" s="1117" t="s">
        <v>5052</v>
      </c>
      <c r="H1227" s="1118"/>
      <c r="I1227" s="1104" t="s">
        <v>5053</v>
      </c>
      <c r="J1227" s="1105"/>
      <c r="K1227" s="1105"/>
      <c r="L1227" s="1105"/>
      <c r="M1227" s="1105"/>
      <c r="N1227" s="1105"/>
      <c r="O1227" s="1105"/>
      <c r="P1227" s="1105"/>
      <c r="Q1227" s="1105"/>
      <c r="R1227" s="1105"/>
      <c r="S1227" s="1105"/>
      <c r="T1227" s="1105"/>
      <c r="U1227" s="1106"/>
      <c r="V1227" s="100"/>
      <c r="W1227" s="100"/>
      <c r="X1227" s="100"/>
      <c r="Y1227" s="100"/>
      <c r="Z1227" s="100"/>
      <c r="AA1227" s="100"/>
      <c r="AB1227" s="100"/>
      <c r="AC1227" s="100"/>
      <c r="AD1227" s="100"/>
      <c r="AF1227"/>
      <c r="AK1227">
        <f t="shared" si="853"/>
        <v>0</v>
      </c>
      <c r="AL1227">
        <f t="shared" si="854"/>
        <v>0</v>
      </c>
      <c r="AM1227">
        <f t="shared" si="855"/>
        <v>0</v>
      </c>
      <c r="AN1227">
        <f t="shared" si="856"/>
        <v>0</v>
      </c>
      <c r="AO1227">
        <f t="shared" si="857"/>
        <v>0</v>
      </c>
      <c r="AP1227">
        <f t="shared" si="858"/>
        <v>0</v>
      </c>
      <c r="AQ1227">
        <f t="shared" si="859"/>
        <v>0</v>
      </c>
      <c r="AR1227">
        <f t="shared" si="860"/>
        <v>0</v>
      </c>
      <c r="AS1227">
        <f t="shared" si="861"/>
        <v>0</v>
      </c>
    </row>
    <row r="1228" spans="1:45" ht="15" customHeight="1">
      <c r="A1228" s="103"/>
      <c r="B1228" s="57"/>
      <c r="C1228" s="1108" t="s">
        <v>5054</v>
      </c>
      <c r="D1228" s="847" t="s">
        <v>5055</v>
      </c>
      <c r="E1228" s="953"/>
      <c r="F1228" s="848"/>
      <c r="G1228" s="1117" t="s">
        <v>5056</v>
      </c>
      <c r="H1228" s="1118"/>
      <c r="I1228" s="1104" t="s">
        <v>5057</v>
      </c>
      <c r="J1228" s="1105"/>
      <c r="K1228" s="1105"/>
      <c r="L1228" s="1105"/>
      <c r="M1228" s="1105"/>
      <c r="N1228" s="1105"/>
      <c r="O1228" s="1105"/>
      <c r="P1228" s="1105"/>
      <c r="Q1228" s="1105"/>
      <c r="R1228" s="1105"/>
      <c r="S1228" s="1105"/>
      <c r="T1228" s="1105"/>
      <c r="U1228" s="1106"/>
      <c r="V1228" s="100"/>
      <c r="W1228" s="100"/>
      <c r="X1228" s="100"/>
      <c r="Y1228" s="100"/>
      <c r="Z1228" s="100"/>
      <c r="AA1228" s="100"/>
      <c r="AB1228" s="100"/>
      <c r="AC1228" s="100"/>
      <c r="AD1228" s="100"/>
      <c r="AF1228"/>
      <c r="AK1228">
        <f t="shared" si="853"/>
        <v>0</v>
      </c>
      <c r="AL1228">
        <f t="shared" si="854"/>
        <v>0</v>
      </c>
      <c r="AM1228">
        <f t="shared" si="855"/>
        <v>0</v>
      </c>
      <c r="AN1228">
        <f t="shared" si="856"/>
        <v>0</v>
      </c>
      <c r="AO1228">
        <f t="shared" si="857"/>
        <v>0</v>
      </c>
      <c r="AP1228">
        <f t="shared" si="858"/>
        <v>0</v>
      </c>
      <c r="AQ1228">
        <f t="shared" si="859"/>
        <v>0</v>
      </c>
      <c r="AR1228">
        <f t="shared" si="860"/>
        <v>0</v>
      </c>
      <c r="AS1228">
        <f t="shared" si="861"/>
        <v>0</v>
      </c>
    </row>
    <row r="1229" spans="1:45" ht="15" customHeight="1">
      <c r="A1229" s="103"/>
      <c r="B1229" s="57"/>
      <c r="C1229" s="1109"/>
      <c r="D1229" s="954"/>
      <c r="E1229" s="955"/>
      <c r="F1229" s="956"/>
      <c r="G1229" s="1117" t="s">
        <v>5058</v>
      </c>
      <c r="H1229" s="1118"/>
      <c r="I1229" s="1104" t="s">
        <v>5059</v>
      </c>
      <c r="J1229" s="1105"/>
      <c r="K1229" s="1105"/>
      <c r="L1229" s="1105"/>
      <c r="M1229" s="1105"/>
      <c r="N1229" s="1105"/>
      <c r="O1229" s="1105"/>
      <c r="P1229" s="1105"/>
      <c r="Q1229" s="1105"/>
      <c r="R1229" s="1105"/>
      <c r="S1229" s="1105"/>
      <c r="T1229" s="1105"/>
      <c r="U1229" s="1106"/>
      <c r="V1229" s="100"/>
      <c r="W1229" s="100"/>
      <c r="X1229" s="100"/>
      <c r="Y1229" s="100"/>
      <c r="Z1229" s="100"/>
      <c r="AA1229" s="100"/>
      <c r="AB1229" s="100"/>
      <c r="AC1229" s="100"/>
      <c r="AD1229" s="100"/>
      <c r="AF1229"/>
      <c r="AK1229">
        <f t="shared" si="853"/>
        <v>0</v>
      </c>
      <c r="AL1229">
        <f t="shared" si="854"/>
        <v>0</v>
      </c>
      <c r="AM1229">
        <f t="shared" si="855"/>
        <v>0</v>
      </c>
      <c r="AN1229">
        <f t="shared" si="856"/>
        <v>0</v>
      </c>
      <c r="AO1229">
        <f t="shared" si="857"/>
        <v>0</v>
      </c>
      <c r="AP1229">
        <f t="shared" si="858"/>
        <v>0</v>
      </c>
      <c r="AQ1229">
        <f t="shared" si="859"/>
        <v>0</v>
      </c>
      <c r="AR1229">
        <f t="shared" si="860"/>
        <v>0</v>
      </c>
      <c r="AS1229">
        <f t="shared" si="861"/>
        <v>0</v>
      </c>
    </row>
    <row r="1230" spans="1:45" ht="15" customHeight="1">
      <c r="A1230" s="103"/>
      <c r="B1230" s="57"/>
      <c r="C1230" s="1109"/>
      <c r="D1230" s="954"/>
      <c r="E1230" s="955"/>
      <c r="F1230" s="956"/>
      <c r="G1230" s="1117" t="s">
        <v>5060</v>
      </c>
      <c r="H1230" s="1118"/>
      <c r="I1230" s="1104" t="s">
        <v>5061</v>
      </c>
      <c r="J1230" s="1105"/>
      <c r="K1230" s="1105"/>
      <c r="L1230" s="1105"/>
      <c r="M1230" s="1105"/>
      <c r="N1230" s="1105"/>
      <c r="O1230" s="1105"/>
      <c r="P1230" s="1105"/>
      <c r="Q1230" s="1105"/>
      <c r="R1230" s="1105"/>
      <c r="S1230" s="1105"/>
      <c r="T1230" s="1105"/>
      <c r="U1230" s="1106"/>
      <c r="V1230" s="100"/>
      <c r="W1230" s="100"/>
      <c r="X1230" s="100"/>
      <c r="Y1230" s="100"/>
      <c r="Z1230" s="100"/>
      <c r="AA1230" s="100"/>
      <c r="AB1230" s="100"/>
      <c r="AC1230" s="100"/>
      <c r="AD1230" s="100"/>
      <c r="AF1230"/>
      <c r="AK1230">
        <f t="shared" si="853"/>
        <v>0</v>
      </c>
      <c r="AL1230">
        <f t="shared" si="854"/>
        <v>0</v>
      </c>
      <c r="AM1230">
        <f t="shared" si="855"/>
        <v>0</v>
      </c>
      <c r="AN1230">
        <f t="shared" si="856"/>
        <v>0</v>
      </c>
      <c r="AO1230">
        <f t="shared" si="857"/>
        <v>0</v>
      </c>
      <c r="AP1230">
        <f t="shared" si="858"/>
        <v>0</v>
      </c>
      <c r="AQ1230">
        <f t="shared" si="859"/>
        <v>0</v>
      </c>
      <c r="AR1230">
        <f t="shared" si="860"/>
        <v>0</v>
      </c>
      <c r="AS1230">
        <f t="shared" si="861"/>
        <v>0</v>
      </c>
    </row>
    <row r="1231" spans="1:45" ht="15" customHeight="1">
      <c r="A1231" s="103"/>
      <c r="B1231" s="57"/>
      <c r="C1231" s="1109"/>
      <c r="D1231" s="954"/>
      <c r="E1231" s="955"/>
      <c r="F1231" s="956"/>
      <c r="G1231" s="1117" t="s">
        <v>5062</v>
      </c>
      <c r="H1231" s="1118"/>
      <c r="I1231" s="1104" t="s">
        <v>5063</v>
      </c>
      <c r="J1231" s="1105"/>
      <c r="K1231" s="1105"/>
      <c r="L1231" s="1105"/>
      <c r="M1231" s="1105"/>
      <c r="N1231" s="1105"/>
      <c r="O1231" s="1105"/>
      <c r="P1231" s="1105"/>
      <c r="Q1231" s="1105"/>
      <c r="R1231" s="1105"/>
      <c r="S1231" s="1105"/>
      <c r="T1231" s="1105"/>
      <c r="U1231" s="1106"/>
      <c r="V1231" s="100"/>
      <c r="W1231" s="100"/>
      <c r="X1231" s="100"/>
      <c r="Y1231" s="100"/>
      <c r="Z1231" s="100"/>
      <c r="AA1231" s="100"/>
      <c r="AB1231" s="100"/>
      <c r="AC1231" s="100"/>
      <c r="AD1231" s="100"/>
      <c r="AF1231"/>
      <c r="AK1231">
        <f t="shared" si="853"/>
        <v>0</v>
      </c>
      <c r="AL1231">
        <f t="shared" si="854"/>
        <v>0</v>
      </c>
      <c r="AM1231">
        <f t="shared" si="855"/>
        <v>0</v>
      </c>
      <c r="AN1231">
        <f t="shared" si="856"/>
        <v>0</v>
      </c>
      <c r="AO1231">
        <f t="shared" si="857"/>
        <v>0</v>
      </c>
      <c r="AP1231">
        <f t="shared" si="858"/>
        <v>0</v>
      </c>
      <c r="AQ1231">
        <f t="shared" si="859"/>
        <v>0</v>
      </c>
      <c r="AR1231">
        <f t="shared" si="860"/>
        <v>0</v>
      </c>
      <c r="AS1231">
        <f t="shared" si="861"/>
        <v>0</v>
      </c>
    </row>
    <row r="1232" spans="1:45" ht="24" customHeight="1">
      <c r="A1232" s="103"/>
      <c r="B1232" s="57"/>
      <c r="C1232" s="1109"/>
      <c r="D1232" s="954"/>
      <c r="E1232" s="955"/>
      <c r="F1232" s="956"/>
      <c r="G1232" s="1117" t="s">
        <v>5064</v>
      </c>
      <c r="H1232" s="1118"/>
      <c r="I1232" s="1104" t="s">
        <v>5065</v>
      </c>
      <c r="J1232" s="1105"/>
      <c r="K1232" s="1105"/>
      <c r="L1232" s="1105"/>
      <c r="M1232" s="1105"/>
      <c r="N1232" s="1105"/>
      <c r="O1232" s="1105"/>
      <c r="P1232" s="1105"/>
      <c r="Q1232" s="1105"/>
      <c r="R1232" s="1105"/>
      <c r="S1232" s="1105"/>
      <c r="T1232" s="1105"/>
      <c r="U1232" s="1106"/>
      <c r="V1232" s="100"/>
      <c r="W1232" s="100"/>
      <c r="X1232" s="100"/>
      <c r="Y1232" s="100"/>
      <c r="Z1232" s="100"/>
      <c r="AA1232" s="100"/>
      <c r="AB1232" s="100"/>
      <c r="AC1232" s="100"/>
      <c r="AD1232" s="100"/>
      <c r="AF1232"/>
      <c r="AK1232">
        <f t="shared" si="853"/>
        <v>0</v>
      </c>
      <c r="AL1232">
        <f t="shared" si="854"/>
        <v>0</v>
      </c>
      <c r="AM1232">
        <f t="shared" si="855"/>
        <v>0</v>
      </c>
      <c r="AN1232">
        <f t="shared" si="856"/>
        <v>0</v>
      </c>
      <c r="AO1232">
        <f t="shared" si="857"/>
        <v>0</v>
      </c>
      <c r="AP1232">
        <f t="shared" si="858"/>
        <v>0</v>
      </c>
      <c r="AQ1232">
        <f t="shared" si="859"/>
        <v>0</v>
      </c>
      <c r="AR1232">
        <f t="shared" si="860"/>
        <v>0</v>
      </c>
      <c r="AS1232">
        <f t="shared" si="861"/>
        <v>0</v>
      </c>
    </row>
    <row r="1233" spans="1:45" ht="24" customHeight="1">
      <c r="A1233" s="103"/>
      <c r="B1233" s="57"/>
      <c r="C1233" s="1109"/>
      <c r="D1233" s="954"/>
      <c r="E1233" s="955"/>
      <c r="F1233" s="956"/>
      <c r="G1233" s="1119" t="s">
        <v>5066</v>
      </c>
      <c r="H1233" s="1120"/>
      <c r="I1233" s="177"/>
      <c r="J1233" s="1115" t="s">
        <v>5067</v>
      </c>
      <c r="K1233" s="1115"/>
      <c r="L1233" s="1115"/>
      <c r="M1233" s="1115"/>
      <c r="N1233" s="1115"/>
      <c r="O1233" s="1115"/>
      <c r="P1233" s="1115"/>
      <c r="Q1233" s="1115"/>
      <c r="R1233" s="1115"/>
      <c r="S1233" s="1115"/>
      <c r="T1233" s="1115"/>
      <c r="U1233" s="1116"/>
      <c r="V1233" s="100"/>
      <c r="W1233" s="100"/>
      <c r="X1233" s="100"/>
      <c r="Y1233" s="100"/>
      <c r="Z1233" s="100"/>
      <c r="AA1233" s="100"/>
      <c r="AB1233" s="100"/>
      <c r="AC1233" s="100"/>
      <c r="AD1233" s="100"/>
      <c r="AF1233"/>
      <c r="AK1233">
        <f t="shared" si="853"/>
        <v>0</v>
      </c>
      <c r="AL1233">
        <f t="shared" si="854"/>
        <v>0</v>
      </c>
      <c r="AM1233">
        <f t="shared" si="855"/>
        <v>0</v>
      </c>
      <c r="AN1233">
        <f t="shared" si="856"/>
        <v>0</v>
      </c>
      <c r="AO1233">
        <f t="shared" si="857"/>
        <v>0</v>
      </c>
      <c r="AP1233">
        <f t="shared" si="858"/>
        <v>0</v>
      </c>
      <c r="AQ1233">
        <f t="shared" si="859"/>
        <v>0</v>
      </c>
      <c r="AR1233">
        <f t="shared" si="860"/>
        <v>0</v>
      </c>
      <c r="AS1233">
        <f t="shared" si="861"/>
        <v>0</v>
      </c>
    </row>
    <row r="1234" spans="1:45" ht="24" customHeight="1">
      <c r="A1234" s="103"/>
      <c r="B1234" s="57"/>
      <c r="C1234" s="1109"/>
      <c r="D1234" s="954"/>
      <c r="E1234" s="955"/>
      <c r="F1234" s="956"/>
      <c r="G1234" s="1119" t="s">
        <v>5068</v>
      </c>
      <c r="H1234" s="1120"/>
      <c r="I1234" s="178"/>
      <c r="J1234" s="1111" t="s">
        <v>5069</v>
      </c>
      <c r="K1234" s="1111"/>
      <c r="L1234" s="1111"/>
      <c r="M1234" s="1111"/>
      <c r="N1234" s="1111"/>
      <c r="O1234" s="1111"/>
      <c r="P1234" s="1111"/>
      <c r="Q1234" s="1111"/>
      <c r="R1234" s="1111"/>
      <c r="S1234" s="1111"/>
      <c r="T1234" s="1111"/>
      <c r="U1234" s="1112"/>
      <c r="V1234" s="100"/>
      <c r="W1234" s="100"/>
      <c r="X1234" s="100"/>
      <c r="Y1234" s="100"/>
      <c r="Z1234" s="100"/>
      <c r="AA1234" s="100"/>
      <c r="AB1234" s="100"/>
      <c r="AC1234" s="100"/>
      <c r="AD1234" s="100"/>
      <c r="AF1234"/>
      <c r="AK1234">
        <f t="shared" si="853"/>
        <v>0</v>
      </c>
      <c r="AL1234">
        <f t="shared" si="854"/>
        <v>0</v>
      </c>
      <c r="AM1234">
        <f t="shared" si="855"/>
        <v>0</v>
      </c>
      <c r="AN1234">
        <f t="shared" si="856"/>
        <v>0</v>
      </c>
      <c r="AO1234">
        <f t="shared" si="857"/>
        <v>0</v>
      </c>
      <c r="AP1234">
        <f t="shared" si="858"/>
        <v>0</v>
      </c>
      <c r="AQ1234">
        <f t="shared" si="859"/>
        <v>0</v>
      </c>
      <c r="AR1234">
        <f t="shared" si="860"/>
        <v>0</v>
      </c>
      <c r="AS1234">
        <f t="shared" si="861"/>
        <v>0</v>
      </c>
    </row>
    <row r="1235" spans="1:45" ht="24" customHeight="1">
      <c r="A1235" s="103"/>
      <c r="B1235" s="57"/>
      <c r="C1235" s="1109"/>
      <c r="D1235" s="954"/>
      <c r="E1235" s="955"/>
      <c r="F1235" s="956"/>
      <c r="G1235" s="1119" t="s">
        <v>5070</v>
      </c>
      <c r="H1235" s="1120"/>
      <c r="I1235" s="178"/>
      <c r="J1235" s="1111" t="s">
        <v>5071</v>
      </c>
      <c r="K1235" s="1111"/>
      <c r="L1235" s="1111"/>
      <c r="M1235" s="1111"/>
      <c r="N1235" s="1111"/>
      <c r="O1235" s="1111"/>
      <c r="P1235" s="1111"/>
      <c r="Q1235" s="1111"/>
      <c r="R1235" s="1111"/>
      <c r="S1235" s="1111"/>
      <c r="T1235" s="1111"/>
      <c r="U1235" s="1112"/>
      <c r="V1235" s="100"/>
      <c r="W1235" s="100"/>
      <c r="X1235" s="100"/>
      <c r="Y1235" s="100"/>
      <c r="Z1235" s="100"/>
      <c r="AA1235" s="100"/>
      <c r="AB1235" s="100"/>
      <c r="AC1235" s="100"/>
      <c r="AD1235" s="100"/>
      <c r="AF1235"/>
      <c r="AK1235">
        <f t="shared" si="853"/>
        <v>0</v>
      </c>
      <c r="AL1235">
        <f t="shared" si="854"/>
        <v>0</v>
      </c>
      <c r="AM1235">
        <f t="shared" si="855"/>
        <v>0</v>
      </c>
      <c r="AN1235">
        <f t="shared" si="856"/>
        <v>0</v>
      </c>
      <c r="AO1235">
        <f t="shared" si="857"/>
        <v>0</v>
      </c>
      <c r="AP1235">
        <f t="shared" si="858"/>
        <v>0</v>
      </c>
      <c r="AQ1235">
        <f t="shared" si="859"/>
        <v>0</v>
      </c>
      <c r="AR1235">
        <f t="shared" si="860"/>
        <v>0</v>
      </c>
      <c r="AS1235">
        <f t="shared" si="861"/>
        <v>0</v>
      </c>
    </row>
    <row r="1236" spans="1:45" ht="15" customHeight="1">
      <c r="A1236" s="103"/>
      <c r="B1236" s="57"/>
      <c r="C1236" s="1109"/>
      <c r="D1236" s="954"/>
      <c r="E1236" s="955"/>
      <c r="F1236" s="956"/>
      <c r="G1236" s="1119" t="s">
        <v>5072</v>
      </c>
      <c r="H1236" s="1120"/>
      <c r="I1236" s="178"/>
      <c r="J1236" s="1111" t="s">
        <v>5073</v>
      </c>
      <c r="K1236" s="1111"/>
      <c r="L1236" s="1111"/>
      <c r="M1236" s="1111"/>
      <c r="N1236" s="1111"/>
      <c r="O1236" s="1111"/>
      <c r="P1236" s="1111"/>
      <c r="Q1236" s="1111"/>
      <c r="R1236" s="1111"/>
      <c r="S1236" s="1111"/>
      <c r="T1236" s="1111"/>
      <c r="U1236" s="1112"/>
      <c r="V1236" s="100"/>
      <c r="W1236" s="100"/>
      <c r="X1236" s="100"/>
      <c r="Y1236" s="100"/>
      <c r="Z1236" s="100"/>
      <c r="AA1236" s="100"/>
      <c r="AB1236" s="100"/>
      <c r="AC1236" s="100"/>
      <c r="AD1236" s="100"/>
      <c r="AF1236"/>
      <c r="AK1236">
        <f t="shared" si="853"/>
        <v>0</v>
      </c>
      <c r="AL1236">
        <f t="shared" si="854"/>
        <v>0</v>
      </c>
      <c r="AM1236">
        <f t="shared" si="855"/>
        <v>0</v>
      </c>
      <c r="AN1236">
        <f t="shared" si="856"/>
        <v>0</v>
      </c>
      <c r="AO1236">
        <f t="shared" si="857"/>
        <v>0</v>
      </c>
      <c r="AP1236">
        <f t="shared" si="858"/>
        <v>0</v>
      </c>
      <c r="AQ1236">
        <f t="shared" si="859"/>
        <v>0</v>
      </c>
      <c r="AR1236">
        <f t="shared" si="860"/>
        <v>0</v>
      </c>
      <c r="AS1236">
        <f t="shared" si="861"/>
        <v>0</v>
      </c>
    </row>
    <row r="1237" spans="1:45" ht="15" customHeight="1">
      <c r="A1237" s="103"/>
      <c r="B1237" s="57"/>
      <c r="C1237" s="1109"/>
      <c r="D1237" s="954"/>
      <c r="E1237" s="955"/>
      <c r="F1237" s="956"/>
      <c r="G1237" s="1119" t="s">
        <v>5074</v>
      </c>
      <c r="H1237" s="1120"/>
      <c r="I1237" s="178"/>
      <c r="J1237" s="1111" t="s">
        <v>5075</v>
      </c>
      <c r="K1237" s="1111"/>
      <c r="L1237" s="1111"/>
      <c r="M1237" s="1111"/>
      <c r="N1237" s="1111"/>
      <c r="O1237" s="1111"/>
      <c r="P1237" s="1111"/>
      <c r="Q1237" s="1111"/>
      <c r="R1237" s="1111"/>
      <c r="S1237" s="1111"/>
      <c r="T1237" s="1111"/>
      <c r="U1237" s="1112"/>
      <c r="V1237" s="100"/>
      <c r="W1237" s="100"/>
      <c r="X1237" s="100"/>
      <c r="Y1237" s="100"/>
      <c r="Z1237" s="100"/>
      <c r="AA1237" s="100"/>
      <c r="AB1237" s="100"/>
      <c r="AC1237" s="100"/>
      <c r="AD1237" s="100"/>
      <c r="AF1237"/>
      <c r="AK1237">
        <f t="shared" si="853"/>
        <v>0</v>
      </c>
      <c r="AL1237">
        <f t="shared" si="854"/>
        <v>0</v>
      </c>
      <c r="AM1237">
        <f t="shared" si="855"/>
        <v>0</v>
      </c>
      <c r="AN1237">
        <f t="shared" si="856"/>
        <v>0</v>
      </c>
      <c r="AO1237">
        <f t="shared" si="857"/>
        <v>0</v>
      </c>
      <c r="AP1237">
        <f t="shared" si="858"/>
        <v>0</v>
      </c>
      <c r="AQ1237">
        <f t="shared" si="859"/>
        <v>0</v>
      </c>
      <c r="AR1237">
        <f t="shared" si="860"/>
        <v>0</v>
      </c>
      <c r="AS1237">
        <f t="shared" si="861"/>
        <v>0</v>
      </c>
    </row>
    <row r="1238" spans="1:45" ht="24" customHeight="1">
      <c r="A1238" s="103"/>
      <c r="B1238" s="57"/>
      <c r="C1238" s="1109"/>
      <c r="D1238" s="954"/>
      <c r="E1238" s="955"/>
      <c r="F1238" s="956"/>
      <c r="G1238" s="1119" t="s">
        <v>5076</v>
      </c>
      <c r="H1238" s="1120"/>
      <c r="I1238" s="178"/>
      <c r="J1238" s="1111" t="s">
        <v>5077</v>
      </c>
      <c r="K1238" s="1111"/>
      <c r="L1238" s="1111"/>
      <c r="M1238" s="1111"/>
      <c r="N1238" s="1111"/>
      <c r="O1238" s="1111"/>
      <c r="P1238" s="1111"/>
      <c r="Q1238" s="1111"/>
      <c r="R1238" s="1111"/>
      <c r="S1238" s="1111"/>
      <c r="T1238" s="1111"/>
      <c r="U1238" s="1112"/>
      <c r="V1238" s="100"/>
      <c r="W1238" s="100"/>
      <c r="X1238" s="100"/>
      <c r="Y1238" s="100"/>
      <c r="Z1238" s="100"/>
      <c r="AA1238" s="100"/>
      <c r="AB1238" s="100"/>
      <c r="AC1238" s="100"/>
      <c r="AD1238" s="100"/>
      <c r="AF1238"/>
      <c r="AK1238">
        <f t="shared" si="853"/>
        <v>0</v>
      </c>
      <c r="AL1238">
        <f t="shared" si="854"/>
        <v>0</v>
      </c>
      <c r="AM1238">
        <f t="shared" si="855"/>
        <v>0</v>
      </c>
      <c r="AN1238">
        <f t="shared" si="856"/>
        <v>0</v>
      </c>
      <c r="AO1238">
        <f t="shared" si="857"/>
        <v>0</v>
      </c>
      <c r="AP1238">
        <f t="shared" si="858"/>
        <v>0</v>
      </c>
      <c r="AQ1238">
        <f t="shared" si="859"/>
        <v>0</v>
      </c>
      <c r="AR1238">
        <f t="shared" si="860"/>
        <v>0</v>
      </c>
      <c r="AS1238">
        <f t="shared" si="861"/>
        <v>0</v>
      </c>
    </row>
    <row r="1239" spans="1:45" ht="15" customHeight="1">
      <c r="A1239" s="103"/>
      <c r="B1239" s="57"/>
      <c r="C1239" s="1109"/>
      <c r="D1239" s="954"/>
      <c r="E1239" s="955"/>
      <c r="F1239" s="956"/>
      <c r="G1239" s="1119" t="s">
        <v>5078</v>
      </c>
      <c r="H1239" s="1120"/>
      <c r="I1239" s="179"/>
      <c r="J1239" s="1113" t="s">
        <v>201</v>
      </c>
      <c r="K1239" s="1113"/>
      <c r="L1239" s="1113"/>
      <c r="M1239" s="1113"/>
      <c r="N1239" s="1113"/>
      <c r="O1239" s="1113"/>
      <c r="P1239" s="1113"/>
      <c r="Q1239" s="1113"/>
      <c r="R1239" s="1113"/>
      <c r="S1239" s="1113"/>
      <c r="T1239" s="1113"/>
      <c r="U1239" s="1114"/>
      <c r="V1239" s="100"/>
      <c r="W1239" s="100"/>
      <c r="X1239" s="100"/>
      <c r="Y1239" s="100"/>
      <c r="Z1239" s="100"/>
      <c r="AA1239" s="100"/>
      <c r="AB1239" s="100"/>
      <c r="AC1239" s="100"/>
      <c r="AD1239" s="100"/>
      <c r="AF1239"/>
      <c r="AK1239">
        <f t="shared" si="853"/>
        <v>0</v>
      </c>
      <c r="AL1239">
        <f t="shared" si="854"/>
        <v>0</v>
      </c>
      <c r="AM1239">
        <f t="shared" si="855"/>
        <v>0</v>
      </c>
      <c r="AN1239">
        <f t="shared" si="856"/>
        <v>0</v>
      </c>
      <c r="AO1239">
        <f t="shared" si="857"/>
        <v>0</v>
      </c>
      <c r="AP1239">
        <f t="shared" si="858"/>
        <v>0</v>
      </c>
      <c r="AQ1239">
        <f t="shared" si="859"/>
        <v>0</v>
      </c>
      <c r="AR1239">
        <f t="shared" si="860"/>
        <v>0</v>
      </c>
      <c r="AS1239">
        <f t="shared" si="861"/>
        <v>0</v>
      </c>
    </row>
    <row r="1240" spans="1:45" ht="15" customHeight="1">
      <c r="A1240" s="103"/>
      <c r="B1240" s="57"/>
      <c r="C1240" s="1109"/>
      <c r="D1240" s="954"/>
      <c r="E1240" s="955"/>
      <c r="F1240" s="956"/>
      <c r="G1240" s="1117" t="s">
        <v>5079</v>
      </c>
      <c r="H1240" s="1118"/>
      <c r="I1240" s="1104" t="s">
        <v>5080</v>
      </c>
      <c r="J1240" s="1105"/>
      <c r="K1240" s="1105"/>
      <c r="L1240" s="1105"/>
      <c r="M1240" s="1105"/>
      <c r="N1240" s="1105"/>
      <c r="O1240" s="1105"/>
      <c r="P1240" s="1105"/>
      <c r="Q1240" s="1105"/>
      <c r="R1240" s="1105"/>
      <c r="S1240" s="1105"/>
      <c r="T1240" s="1105"/>
      <c r="U1240" s="1106"/>
      <c r="V1240" s="100"/>
      <c r="W1240" s="100"/>
      <c r="X1240" s="100"/>
      <c r="Y1240" s="100"/>
      <c r="Z1240" s="100"/>
      <c r="AA1240" s="100"/>
      <c r="AB1240" s="100"/>
      <c r="AC1240" s="100"/>
      <c r="AD1240" s="100"/>
      <c r="AF1240"/>
      <c r="AK1240">
        <f t="shared" si="853"/>
        <v>0</v>
      </c>
      <c r="AL1240">
        <f t="shared" si="854"/>
        <v>0</v>
      </c>
      <c r="AM1240">
        <f t="shared" si="855"/>
        <v>0</v>
      </c>
      <c r="AN1240">
        <f t="shared" si="856"/>
        <v>0</v>
      </c>
      <c r="AO1240">
        <f t="shared" si="857"/>
        <v>0</v>
      </c>
      <c r="AP1240">
        <f t="shared" si="858"/>
        <v>0</v>
      </c>
      <c r="AQ1240">
        <f t="shared" si="859"/>
        <v>0</v>
      </c>
      <c r="AR1240">
        <f t="shared" si="860"/>
        <v>0</v>
      </c>
      <c r="AS1240">
        <f t="shared" si="861"/>
        <v>0</v>
      </c>
    </row>
    <row r="1241" spans="1:45" ht="15" customHeight="1">
      <c r="A1241" s="103"/>
      <c r="B1241" s="57"/>
      <c r="C1241" s="1109"/>
      <c r="D1241" s="954"/>
      <c r="E1241" s="955"/>
      <c r="F1241" s="956"/>
      <c r="G1241" s="1117" t="s">
        <v>5081</v>
      </c>
      <c r="H1241" s="1118"/>
      <c r="I1241" s="1104" t="s">
        <v>5082</v>
      </c>
      <c r="J1241" s="1105"/>
      <c r="K1241" s="1105"/>
      <c r="L1241" s="1105"/>
      <c r="M1241" s="1105"/>
      <c r="N1241" s="1105"/>
      <c r="O1241" s="1105"/>
      <c r="P1241" s="1105"/>
      <c r="Q1241" s="1105"/>
      <c r="R1241" s="1105"/>
      <c r="S1241" s="1105"/>
      <c r="T1241" s="1105"/>
      <c r="U1241" s="1106"/>
      <c r="V1241" s="100"/>
      <c r="W1241" s="100"/>
      <c r="X1241" s="100"/>
      <c r="Y1241" s="100"/>
      <c r="Z1241" s="100"/>
      <c r="AA1241" s="100"/>
      <c r="AB1241" s="100"/>
      <c r="AC1241" s="100"/>
      <c r="AD1241" s="100"/>
      <c r="AF1241"/>
      <c r="AK1241">
        <f t="shared" si="853"/>
        <v>0</v>
      </c>
      <c r="AL1241">
        <f t="shared" si="854"/>
        <v>0</v>
      </c>
      <c r="AM1241">
        <f t="shared" si="855"/>
        <v>0</v>
      </c>
      <c r="AN1241">
        <f t="shared" si="856"/>
        <v>0</v>
      </c>
      <c r="AO1241">
        <f t="shared" si="857"/>
        <v>0</v>
      </c>
      <c r="AP1241">
        <f t="shared" si="858"/>
        <v>0</v>
      </c>
      <c r="AQ1241">
        <f t="shared" si="859"/>
        <v>0</v>
      </c>
      <c r="AR1241">
        <f t="shared" si="860"/>
        <v>0</v>
      </c>
      <c r="AS1241">
        <f t="shared" si="861"/>
        <v>0</v>
      </c>
    </row>
    <row r="1242" spans="1:45" ht="15" customHeight="1">
      <c r="A1242" s="103"/>
      <c r="B1242" s="57"/>
      <c r="C1242" s="1109"/>
      <c r="D1242" s="954"/>
      <c r="E1242" s="955"/>
      <c r="F1242" s="956"/>
      <c r="G1242" s="1119" t="s">
        <v>5083</v>
      </c>
      <c r="H1242" s="1120"/>
      <c r="I1242" s="177"/>
      <c r="J1242" s="1115" t="s">
        <v>5084</v>
      </c>
      <c r="K1242" s="1115"/>
      <c r="L1242" s="1115"/>
      <c r="M1242" s="1115"/>
      <c r="N1242" s="1115"/>
      <c r="O1242" s="1115"/>
      <c r="P1242" s="1115"/>
      <c r="Q1242" s="1115"/>
      <c r="R1242" s="1115"/>
      <c r="S1242" s="1115"/>
      <c r="T1242" s="1115"/>
      <c r="U1242" s="1116"/>
      <c r="V1242" s="100"/>
      <c r="W1242" s="100"/>
      <c r="X1242" s="100"/>
      <c r="Y1242" s="100"/>
      <c r="Z1242" s="100"/>
      <c r="AA1242" s="100"/>
      <c r="AB1242" s="100"/>
      <c r="AC1242" s="100"/>
      <c r="AD1242" s="100"/>
      <c r="AF1242"/>
      <c r="AK1242">
        <f t="shared" si="853"/>
        <v>0</v>
      </c>
      <c r="AL1242">
        <f t="shared" si="854"/>
        <v>0</v>
      </c>
      <c r="AM1242">
        <f t="shared" si="855"/>
        <v>0</v>
      </c>
      <c r="AN1242">
        <f t="shared" si="856"/>
        <v>0</v>
      </c>
      <c r="AO1242">
        <f t="shared" si="857"/>
        <v>0</v>
      </c>
      <c r="AP1242">
        <f t="shared" si="858"/>
        <v>0</v>
      </c>
      <c r="AQ1242">
        <f t="shared" si="859"/>
        <v>0</v>
      </c>
      <c r="AR1242">
        <f t="shared" si="860"/>
        <v>0</v>
      </c>
      <c r="AS1242">
        <f t="shared" si="861"/>
        <v>0</v>
      </c>
    </row>
    <row r="1243" spans="1:45" ht="15" customHeight="1">
      <c r="A1243" s="103"/>
      <c r="B1243" s="57"/>
      <c r="C1243" s="1109"/>
      <c r="D1243" s="954"/>
      <c r="E1243" s="955"/>
      <c r="F1243" s="956"/>
      <c r="G1243" s="1119" t="s">
        <v>5085</v>
      </c>
      <c r="H1243" s="1120"/>
      <c r="I1243" s="178"/>
      <c r="J1243" s="1111" t="s">
        <v>5086</v>
      </c>
      <c r="K1243" s="1111"/>
      <c r="L1243" s="1111"/>
      <c r="M1243" s="1111"/>
      <c r="N1243" s="1111"/>
      <c r="O1243" s="1111"/>
      <c r="P1243" s="1111"/>
      <c r="Q1243" s="1111"/>
      <c r="R1243" s="1111"/>
      <c r="S1243" s="1111"/>
      <c r="T1243" s="1111"/>
      <c r="U1243" s="1112"/>
      <c r="V1243" s="100"/>
      <c r="W1243" s="100"/>
      <c r="X1243" s="100"/>
      <c r="Y1243" s="100"/>
      <c r="Z1243" s="100"/>
      <c r="AA1243" s="100"/>
      <c r="AB1243" s="100"/>
      <c r="AC1243" s="100"/>
      <c r="AD1243" s="100"/>
      <c r="AF1243"/>
      <c r="AK1243">
        <f t="shared" si="853"/>
        <v>0</v>
      </c>
      <c r="AL1243">
        <f t="shared" si="854"/>
        <v>0</v>
      </c>
      <c r="AM1243">
        <f t="shared" si="855"/>
        <v>0</v>
      </c>
      <c r="AN1243">
        <f t="shared" si="856"/>
        <v>0</v>
      </c>
      <c r="AO1243">
        <f t="shared" si="857"/>
        <v>0</v>
      </c>
      <c r="AP1243">
        <f t="shared" si="858"/>
        <v>0</v>
      </c>
      <c r="AQ1243">
        <f t="shared" si="859"/>
        <v>0</v>
      </c>
      <c r="AR1243">
        <f t="shared" si="860"/>
        <v>0</v>
      </c>
      <c r="AS1243">
        <f t="shared" si="861"/>
        <v>0</v>
      </c>
    </row>
    <row r="1244" spans="1:45" ht="15" customHeight="1">
      <c r="A1244" s="103"/>
      <c r="B1244" s="57"/>
      <c r="C1244" s="1109"/>
      <c r="D1244" s="954"/>
      <c r="E1244" s="955"/>
      <c r="F1244" s="956"/>
      <c r="G1244" s="1119" t="s">
        <v>5087</v>
      </c>
      <c r="H1244" s="1120"/>
      <c r="I1244" s="179"/>
      <c r="J1244" s="1113" t="s">
        <v>201</v>
      </c>
      <c r="K1244" s="1113"/>
      <c r="L1244" s="1113"/>
      <c r="M1244" s="1113"/>
      <c r="N1244" s="1113"/>
      <c r="O1244" s="1113"/>
      <c r="P1244" s="1113"/>
      <c r="Q1244" s="1113"/>
      <c r="R1244" s="1113"/>
      <c r="S1244" s="1113"/>
      <c r="T1244" s="1113"/>
      <c r="U1244" s="1114"/>
      <c r="V1244" s="100"/>
      <c r="W1244" s="100"/>
      <c r="X1244" s="100"/>
      <c r="Y1244" s="100"/>
      <c r="Z1244" s="100"/>
      <c r="AA1244" s="100"/>
      <c r="AB1244" s="100"/>
      <c r="AC1244" s="100"/>
      <c r="AD1244" s="100"/>
      <c r="AF1244"/>
      <c r="AK1244">
        <f t="shared" si="853"/>
        <v>0</v>
      </c>
      <c r="AL1244">
        <f t="shared" si="854"/>
        <v>0</v>
      </c>
      <c r="AM1244">
        <f t="shared" si="855"/>
        <v>0</v>
      </c>
      <c r="AN1244">
        <f t="shared" si="856"/>
        <v>0</v>
      </c>
      <c r="AO1244">
        <f t="shared" si="857"/>
        <v>0</v>
      </c>
      <c r="AP1244">
        <f t="shared" si="858"/>
        <v>0</v>
      </c>
      <c r="AQ1244">
        <f t="shared" si="859"/>
        <v>0</v>
      </c>
      <c r="AR1244">
        <f t="shared" si="860"/>
        <v>0</v>
      </c>
      <c r="AS1244">
        <f t="shared" si="861"/>
        <v>0</v>
      </c>
    </row>
    <row r="1245" spans="1:45" ht="15" customHeight="1">
      <c r="A1245" s="103"/>
      <c r="B1245" s="57"/>
      <c r="C1245" s="1109"/>
      <c r="D1245" s="954"/>
      <c r="E1245" s="955"/>
      <c r="F1245" s="956"/>
      <c r="G1245" s="1117" t="s">
        <v>5088</v>
      </c>
      <c r="H1245" s="1118"/>
      <c r="I1245" s="1104" t="s">
        <v>5089</v>
      </c>
      <c r="J1245" s="1105"/>
      <c r="K1245" s="1105"/>
      <c r="L1245" s="1105"/>
      <c r="M1245" s="1105"/>
      <c r="N1245" s="1105"/>
      <c r="O1245" s="1105"/>
      <c r="P1245" s="1105"/>
      <c r="Q1245" s="1105"/>
      <c r="R1245" s="1105"/>
      <c r="S1245" s="1105"/>
      <c r="T1245" s="1105"/>
      <c r="U1245" s="1106"/>
      <c r="V1245" s="100"/>
      <c r="W1245" s="100"/>
      <c r="X1245" s="100"/>
      <c r="Y1245" s="100"/>
      <c r="Z1245" s="100"/>
      <c r="AA1245" s="100"/>
      <c r="AB1245" s="100"/>
      <c r="AC1245" s="100"/>
      <c r="AD1245" s="100"/>
      <c r="AF1245"/>
      <c r="AK1245">
        <f t="shared" si="853"/>
        <v>0</v>
      </c>
      <c r="AL1245">
        <f t="shared" si="854"/>
        <v>0</v>
      </c>
      <c r="AM1245">
        <f t="shared" si="855"/>
        <v>0</v>
      </c>
      <c r="AN1245">
        <f t="shared" si="856"/>
        <v>0</v>
      </c>
      <c r="AO1245">
        <f t="shared" si="857"/>
        <v>0</v>
      </c>
      <c r="AP1245">
        <f t="shared" si="858"/>
        <v>0</v>
      </c>
      <c r="AQ1245">
        <f t="shared" si="859"/>
        <v>0</v>
      </c>
      <c r="AR1245">
        <f t="shared" si="860"/>
        <v>0</v>
      </c>
      <c r="AS1245">
        <f t="shared" si="861"/>
        <v>0</v>
      </c>
    </row>
    <row r="1246" spans="1:45" ht="24" customHeight="1">
      <c r="A1246" s="103"/>
      <c r="B1246" s="57"/>
      <c r="C1246" s="1109"/>
      <c r="D1246" s="954"/>
      <c r="E1246" s="955"/>
      <c r="F1246" s="956"/>
      <c r="G1246" s="1117" t="s">
        <v>5090</v>
      </c>
      <c r="H1246" s="1118"/>
      <c r="I1246" s="1104" t="s">
        <v>5091</v>
      </c>
      <c r="J1246" s="1105"/>
      <c r="K1246" s="1105"/>
      <c r="L1246" s="1105"/>
      <c r="M1246" s="1105"/>
      <c r="N1246" s="1105"/>
      <c r="O1246" s="1105"/>
      <c r="P1246" s="1105"/>
      <c r="Q1246" s="1105"/>
      <c r="R1246" s="1105"/>
      <c r="S1246" s="1105"/>
      <c r="T1246" s="1105"/>
      <c r="U1246" s="1106"/>
      <c r="V1246" s="100"/>
      <c r="W1246" s="100"/>
      <c r="X1246" s="100"/>
      <c r="Y1246" s="100"/>
      <c r="Z1246" s="100"/>
      <c r="AA1246" s="100"/>
      <c r="AB1246" s="100"/>
      <c r="AC1246" s="100"/>
      <c r="AD1246" s="100"/>
      <c r="AF1246"/>
      <c r="AK1246">
        <f t="shared" si="853"/>
        <v>0</v>
      </c>
      <c r="AL1246">
        <f t="shared" si="854"/>
        <v>0</v>
      </c>
      <c r="AM1246">
        <f t="shared" si="855"/>
        <v>0</v>
      </c>
      <c r="AN1246">
        <f t="shared" si="856"/>
        <v>0</v>
      </c>
      <c r="AO1246">
        <f t="shared" si="857"/>
        <v>0</v>
      </c>
      <c r="AP1246">
        <f t="shared" si="858"/>
        <v>0</v>
      </c>
      <c r="AQ1246">
        <f t="shared" si="859"/>
        <v>0</v>
      </c>
      <c r="AR1246">
        <f t="shared" si="860"/>
        <v>0</v>
      </c>
      <c r="AS1246">
        <f t="shared" si="861"/>
        <v>0</v>
      </c>
    </row>
    <row r="1247" spans="1:45" ht="15" customHeight="1">
      <c r="A1247" s="103"/>
      <c r="B1247" s="57"/>
      <c r="C1247" s="1109"/>
      <c r="D1247" s="954"/>
      <c r="E1247" s="955"/>
      <c r="F1247" s="956"/>
      <c r="G1247" s="1117" t="s">
        <v>5092</v>
      </c>
      <c r="H1247" s="1118"/>
      <c r="I1247" s="1104" t="s">
        <v>5093</v>
      </c>
      <c r="J1247" s="1105"/>
      <c r="K1247" s="1105"/>
      <c r="L1247" s="1105"/>
      <c r="M1247" s="1105"/>
      <c r="N1247" s="1105"/>
      <c r="O1247" s="1105"/>
      <c r="P1247" s="1105"/>
      <c r="Q1247" s="1105"/>
      <c r="R1247" s="1105"/>
      <c r="S1247" s="1105"/>
      <c r="T1247" s="1105"/>
      <c r="U1247" s="1106"/>
      <c r="V1247" s="100"/>
      <c r="W1247" s="100"/>
      <c r="X1247" s="100"/>
      <c r="Y1247" s="100"/>
      <c r="Z1247" s="100"/>
      <c r="AA1247" s="100"/>
      <c r="AB1247" s="100"/>
      <c r="AC1247" s="100"/>
      <c r="AD1247" s="100"/>
      <c r="AF1247"/>
      <c r="AK1247">
        <f t="shared" si="853"/>
        <v>0</v>
      </c>
      <c r="AL1247">
        <f t="shared" si="854"/>
        <v>0</v>
      </c>
      <c r="AM1247">
        <f t="shared" si="855"/>
        <v>0</v>
      </c>
      <c r="AN1247">
        <f t="shared" si="856"/>
        <v>0</v>
      </c>
      <c r="AO1247">
        <f t="shared" si="857"/>
        <v>0</v>
      </c>
      <c r="AP1247">
        <f t="shared" si="858"/>
        <v>0</v>
      </c>
      <c r="AQ1247">
        <f t="shared" si="859"/>
        <v>0</v>
      </c>
      <c r="AR1247">
        <f t="shared" si="860"/>
        <v>0</v>
      </c>
      <c r="AS1247">
        <f t="shared" si="861"/>
        <v>0</v>
      </c>
    </row>
    <row r="1248" spans="1:45" ht="15" customHeight="1">
      <c r="A1248" s="103"/>
      <c r="B1248" s="57"/>
      <c r="C1248" s="1109"/>
      <c r="D1248" s="954"/>
      <c r="E1248" s="955"/>
      <c r="F1248" s="956"/>
      <c r="G1248" s="1117" t="s">
        <v>5094</v>
      </c>
      <c r="H1248" s="1118"/>
      <c r="I1248" s="1104" t="s">
        <v>5095</v>
      </c>
      <c r="J1248" s="1105"/>
      <c r="K1248" s="1105"/>
      <c r="L1248" s="1105"/>
      <c r="M1248" s="1105"/>
      <c r="N1248" s="1105"/>
      <c r="O1248" s="1105"/>
      <c r="P1248" s="1105"/>
      <c r="Q1248" s="1105"/>
      <c r="R1248" s="1105"/>
      <c r="S1248" s="1105"/>
      <c r="T1248" s="1105"/>
      <c r="U1248" s="1106"/>
      <c r="V1248" s="100"/>
      <c r="W1248" s="100"/>
      <c r="X1248" s="100"/>
      <c r="Y1248" s="100"/>
      <c r="Z1248" s="100"/>
      <c r="AA1248" s="100"/>
      <c r="AB1248" s="100"/>
      <c r="AC1248" s="100"/>
      <c r="AD1248" s="100"/>
      <c r="AF1248"/>
      <c r="AK1248">
        <f t="shared" si="853"/>
        <v>0</v>
      </c>
      <c r="AL1248">
        <f t="shared" si="854"/>
        <v>0</v>
      </c>
      <c r="AM1248">
        <f t="shared" si="855"/>
        <v>0</v>
      </c>
      <c r="AN1248">
        <f t="shared" si="856"/>
        <v>0</v>
      </c>
      <c r="AO1248">
        <f t="shared" si="857"/>
        <v>0</v>
      </c>
      <c r="AP1248">
        <f t="shared" si="858"/>
        <v>0</v>
      </c>
      <c r="AQ1248">
        <f t="shared" si="859"/>
        <v>0</v>
      </c>
      <c r="AR1248">
        <f t="shared" si="860"/>
        <v>0</v>
      </c>
      <c r="AS1248">
        <f t="shared" si="861"/>
        <v>0</v>
      </c>
    </row>
    <row r="1249" spans="1:45" ht="15" customHeight="1">
      <c r="A1249" s="103"/>
      <c r="B1249" s="57"/>
      <c r="C1249" s="1109"/>
      <c r="D1249" s="954"/>
      <c r="E1249" s="955"/>
      <c r="F1249" s="956"/>
      <c r="G1249" s="1117" t="s">
        <v>5096</v>
      </c>
      <c r="H1249" s="1118"/>
      <c r="I1249" s="1104" t="s">
        <v>5097</v>
      </c>
      <c r="J1249" s="1105"/>
      <c r="K1249" s="1105"/>
      <c r="L1249" s="1105"/>
      <c r="M1249" s="1105"/>
      <c r="N1249" s="1105"/>
      <c r="O1249" s="1105"/>
      <c r="P1249" s="1105"/>
      <c r="Q1249" s="1105"/>
      <c r="R1249" s="1105"/>
      <c r="S1249" s="1105"/>
      <c r="T1249" s="1105"/>
      <c r="U1249" s="1106"/>
      <c r="V1249" s="100"/>
      <c r="W1249" s="100"/>
      <c r="X1249" s="100"/>
      <c r="Y1249" s="100"/>
      <c r="Z1249" s="100"/>
      <c r="AA1249" s="100"/>
      <c r="AB1249" s="100"/>
      <c r="AC1249" s="100"/>
      <c r="AD1249" s="100"/>
      <c r="AF1249"/>
      <c r="AK1249">
        <f t="shared" si="853"/>
        <v>0</v>
      </c>
      <c r="AL1249">
        <f t="shared" si="854"/>
        <v>0</v>
      </c>
      <c r="AM1249">
        <f t="shared" si="855"/>
        <v>0</v>
      </c>
      <c r="AN1249">
        <f t="shared" si="856"/>
        <v>0</v>
      </c>
      <c r="AO1249">
        <f t="shared" si="857"/>
        <v>0</v>
      </c>
      <c r="AP1249">
        <f t="shared" si="858"/>
        <v>0</v>
      </c>
      <c r="AQ1249">
        <f t="shared" si="859"/>
        <v>0</v>
      </c>
      <c r="AR1249">
        <f t="shared" si="860"/>
        <v>0</v>
      </c>
      <c r="AS1249">
        <f t="shared" si="861"/>
        <v>0</v>
      </c>
    </row>
    <row r="1250" spans="1:45" ht="15" customHeight="1">
      <c r="A1250" s="103"/>
      <c r="B1250" s="57"/>
      <c r="C1250" s="1109"/>
      <c r="D1250" s="954"/>
      <c r="E1250" s="955"/>
      <c r="F1250" s="956"/>
      <c r="G1250" s="1117" t="s">
        <v>5098</v>
      </c>
      <c r="H1250" s="1118"/>
      <c r="I1250" s="1104" t="s">
        <v>5099</v>
      </c>
      <c r="J1250" s="1105"/>
      <c r="K1250" s="1105"/>
      <c r="L1250" s="1105"/>
      <c r="M1250" s="1105"/>
      <c r="N1250" s="1105"/>
      <c r="O1250" s="1105"/>
      <c r="P1250" s="1105"/>
      <c r="Q1250" s="1105"/>
      <c r="R1250" s="1105"/>
      <c r="S1250" s="1105"/>
      <c r="T1250" s="1105"/>
      <c r="U1250" s="1106"/>
      <c r="V1250" s="100"/>
      <c r="W1250" s="100"/>
      <c r="X1250" s="100"/>
      <c r="Y1250" s="100"/>
      <c r="Z1250" s="100"/>
      <c r="AA1250" s="100"/>
      <c r="AB1250" s="100"/>
      <c r="AC1250" s="100"/>
      <c r="AD1250" s="100"/>
      <c r="AF1250"/>
      <c r="AK1250">
        <f t="shared" si="853"/>
        <v>0</v>
      </c>
      <c r="AL1250">
        <f t="shared" si="854"/>
        <v>0</v>
      </c>
      <c r="AM1250">
        <f t="shared" si="855"/>
        <v>0</v>
      </c>
      <c r="AN1250">
        <f t="shared" si="856"/>
        <v>0</v>
      </c>
      <c r="AO1250">
        <f t="shared" si="857"/>
        <v>0</v>
      </c>
      <c r="AP1250">
        <f t="shared" si="858"/>
        <v>0</v>
      </c>
      <c r="AQ1250">
        <f t="shared" si="859"/>
        <v>0</v>
      </c>
      <c r="AR1250">
        <f t="shared" si="860"/>
        <v>0</v>
      </c>
      <c r="AS1250">
        <f t="shared" si="861"/>
        <v>0</v>
      </c>
    </row>
    <row r="1251" spans="1:45" ht="15" customHeight="1">
      <c r="A1251" s="103"/>
      <c r="B1251" s="57"/>
      <c r="C1251" s="1109"/>
      <c r="D1251" s="954"/>
      <c r="E1251" s="955"/>
      <c r="F1251" s="956"/>
      <c r="G1251" s="1117" t="s">
        <v>5100</v>
      </c>
      <c r="H1251" s="1118"/>
      <c r="I1251" s="1104" t="s">
        <v>5101</v>
      </c>
      <c r="J1251" s="1105"/>
      <c r="K1251" s="1105"/>
      <c r="L1251" s="1105"/>
      <c r="M1251" s="1105"/>
      <c r="N1251" s="1105"/>
      <c r="O1251" s="1105"/>
      <c r="P1251" s="1105"/>
      <c r="Q1251" s="1105"/>
      <c r="R1251" s="1105"/>
      <c r="S1251" s="1105"/>
      <c r="T1251" s="1105"/>
      <c r="U1251" s="1106"/>
      <c r="V1251" s="100"/>
      <c r="W1251" s="100"/>
      <c r="X1251" s="100"/>
      <c r="Y1251" s="100"/>
      <c r="Z1251" s="100"/>
      <c r="AA1251" s="100"/>
      <c r="AB1251" s="100"/>
      <c r="AC1251" s="100"/>
      <c r="AD1251" s="100"/>
      <c r="AF1251"/>
      <c r="AK1251">
        <f t="shared" si="853"/>
        <v>0</v>
      </c>
      <c r="AL1251">
        <f t="shared" si="854"/>
        <v>0</v>
      </c>
      <c r="AM1251">
        <f t="shared" si="855"/>
        <v>0</v>
      </c>
      <c r="AN1251">
        <f t="shared" si="856"/>
        <v>0</v>
      </c>
      <c r="AO1251">
        <f t="shared" si="857"/>
        <v>0</v>
      </c>
      <c r="AP1251">
        <f t="shared" si="858"/>
        <v>0</v>
      </c>
      <c r="AQ1251">
        <f t="shared" si="859"/>
        <v>0</v>
      </c>
      <c r="AR1251">
        <f t="shared" si="860"/>
        <v>0</v>
      </c>
      <c r="AS1251">
        <f t="shared" si="861"/>
        <v>0</v>
      </c>
    </row>
    <row r="1252" spans="1:45" ht="15" customHeight="1">
      <c r="A1252" s="103"/>
      <c r="B1252" s="57"/>
      <c r="C1252" s="1109"/>
      <c r="D1252" s="954"/>
      <c r="E1252" s="955"/>
      <c r="F1252" s="956"/>
      <c r="G1252" s="1117" t="s">
        <v>5102</v>
      </c>
      <c r="H1252" s="1118"/>
      <c r="I1252" s="1104" t="s">
        <v>5103</v>
      </c>
      <c r="J1252" s="1105"/>
      <c r="K1252" s="1105"/>
      <c r="L1252" s="1105"/>
      <c r="M1252" s="1105"/>
      <c r="N1252" s="1105"/>
      <c r="O1252" s="1105"/>
      <c r="P1252" s="1105"/>
      <c r="Q1252" s="1105"/>
      <c r="R1252" s="1105"/>
      <c r="S1252" s="1105"/>
      <c r="T1252" s="1105"/>
      <c r="U1252" s="1106"/>
      <c r="V1252" s="100"/>
      <c r="W1252" s="100"/>
      <c r="X1252" s="100"/>
      <c r="Y1252" s="100"/>
      <c r="Z1252" s="100"/>
      <c r="AA1252" s="100"/>
      <c r="AB1252" s="100"/>
      <c r="AC1252" s="100"/>
      <c r="AD1252" s="100"/>
      <c r="AF1252"/>
      <c r="AK1252">
        <f t="shared" si="853"/>
        <v>0</v>
      </c>
      <c r="AL1252">
        <f t="shared" si="854"/>
        <v>0</v>
      </c>
      <c r="AM1252">
        <f t="shared" si="855"/>
        <v>0</v>
      </c>
      <c r="AN1252">
        <f t="shared" si="856"/>
        <v>0</v>
      </c>
      <c r="AO1252">
        <f t="shared" si="857"/>
        <v>0</v>
      </c>
      <c r="AP1252">
        <f t="shared" si="858"/>
        <v>0</v>
      </c>
      <c r="AQ1252">
        <f t="shared" si="859"/>
        <v>0</v>
      </c>
      <c r="AR1252">
        <f t="shared" si="860"/>
        <v>0</v>
      </c>
      <c r="AS1252">
        <f t="shared" si="861"/>
        <v>0</v>
      </c>
    </row>
    <row r="1253" spans="1:45" ht="24" customHeight="1">
      <c r="A1253" s="103"/>
      <c r="B1253" s="57"/>
      <c r="C1253" s="1109"/>
      <c r="D1253" s="954"/>
      <c r="E1253" s="955"/>
      <c r="F1253" s="956"/>
      <c r="G1253" s="1117" t="s">
        <v>5104</v>
      </c>
      <c r="H1253" s="1118"/>
      <c r="I1253" s="1104" t="s">
        <v>5105</v>
      </c>
      <c r="J1253" s="1105"/>
      <c r="K1253" s="1105"/>
      <c r="L1253" s="1105"/>
      <c r="M1253" s="1105"/>
      <c r="N1253" s="1105"/>
      <c r="O1253" s="1105"/>
      <c r="P1253" s="1105"/>
      <c r="Q1253" s="1105"/>
      <c r="R1253" s="1105"/>
      <c r="S1253" s="1105"/>
      <c r="T1253" s="1105"/>
      <c r="U1253" s="1106"/>
      <c r="V1253" s="100"/>
      <c r="W1253" s="100"/>
      <c r="X1253" s="100"/>
      <c r="Y1253" s="100"/>
      <c r="Z1253" s="100"/>
      <c r="AA1253" s="100"/>
      <c r="AB1253" s="100"/>
      <c r="AC1253" s="100"/>
      <c r="AD1253" s="100"/>
      <c r="AF1253"/>
      <c r="AK1253">
        <f t="shared" si="853"/>
        <v>0</v>
      </c>
      <c r="AL1253">
        <f t="shared" si="854"/>
        <v>0</v>
      </c>
      <c r="AM1253">
        <f t="shared" si="855"/>
        <v>0</v>
      </c>
      <c r="AN1253">
        <f t="shared" si="856"/>
        <v>0</v>
      </c>
      <c r="AO1253">
        <f t="shared" si="857"/>
        <v>0</v>
      </c>
      <c r="AP1253">
        <f t="shared" si="858"/>
        <v>0</v>
      </c>
      <c r="AQ1253">
        <f t="shared" si="859"/>
        <v>0</v>
      </c>
      <c r="AR1253">
        <f t="shared" si="860"/>
        <v>0</v>
      </c>
      <c r="AS1253">
        <f t="shared" si="861"/>
        <v>0</v>
      </c>
    </row>
    <row r="1254" spans="1:45" ht="15" customHeight="1">
      <c r="A1254" s="103"/>
      <c r="B1254" s="57"/>
      <c r="C1254" s="1109"/>
      <c r="D1254" s="954"/>
      <c r="E1254" s="955"/>
      <c r="F1254" s="956"/>
      <c r="G1254" s="1119" t="s">
        <v>5106</v>
      </c>
      <c r="H1254" s="1120"/>
      <c r="I1254" s="177"/>
      <c r="J1254" s="1115" t="s">
        <v>5107</v>
      </c>
      <c r="K1254" s="1115"/>
      <c r="L1254" s="1115"/>
      <c r="M1254" s="1115"/>
      <c r="N1254" s="1115"/>
      <c r="O1254" s="1115"/>
      <c r="P1254" s="1115"/>
      <c r="Q1254" s="1115"/>
      <c r="R1254" s="1115"/>
      <c r="S1254" s="1115"/>
      <c r="T1254" s="1115"/>
      <c r="U1254" s="1116"/>
      <c r="V1254" s="100"/>
      <c r="W1254" s="100"/>
      <c r="X1254" s="100"/>
      <c r="Y1254" s="100"/>
      <c r="Z1254" s="100"/>
      <c r="AA1254" s="100"/>
      <c r="AB1254" s="100"/>
      <c r="AC1254" s="100"/>
      <c r="AD1254" s="100"/>
      <c r="AF1254"/>
      <c r="AK1254">
        <f t="shared" si="853"/>
        <v>0</v>
      </c>
      <c r="AL1254">
        <f t="shared" si="854"/>
        <v>0</v>
      </c>
      <c r="AM1254">
        <f t="shared" si="855"/>
        <v>0</v>
      </c>
      <c r="AN1254">
        <f t="shared" si="856"/>
        <v>0</v>
      </c>
      <c r="AO1254">
        <f t="shared" si="857"/>
        <v>0</v>
      </c>
      <c r="AP1254">
        <f t="shared" si="858"/>
        <v>0</v>
      </c>
      <c r="AQ1254">
        <f t="shared" si="859"/>
        <v>0</v>
      </c>
      <c r="AR1254">
        <f t="shared" si="860"/>
        <v>0</v>
      </c>
      <c r="AS1254">
        <f t="shared" si="861"/>
        <v>0</v>
      </c>
    </row>
    <row r="1255" spans="1:45" ht="15" customHeight="1">
      <c r="A1255" s="103"/>
      <c r="B1255" s="57"/>
      <c r="C1255" s="1109"/>
      <c r="D1255" s="954"/>
      <c r="E1255" s="955"/>
      <c r="F1255" s="956"/>
      <c r="G1255" s="1119" t="s">
        <v>5108</v>
      </c>
      <c r="H1255" s="1120"/>
      <c r="I1255" s="178"/>
      <c r="J1255" s="1111" t="s">
        <v>5109</v>
      </c>
      <c r="K1255" s="1111"/>
      <c r="L1255" s="1111"/>
      <c r="M1255" s="1111"/>
      <c r="N1255" s="1111"/>
      <c r="O1255" s="1111"/>
      <c r="P1255" s="1111"/>
      <c r="Q1255" s="1111"/>
      <c r="R1255" s="1111"/>
      <c r="S1255" s="1111"/>
      <c r="T1255" s="1111"/>
      <c r="U1255" s="1112"/>
      <c r="V1255" s="100"/>
      <c r="W1255" s="100"/>
      <c r="X1255" s="100"/>
      <c r="Y1255" s="100"/>
      <c r="Z1255" s="100"/>
      <c r="AA1255" s="100"/>
      <c r="AB1255" s="100"/>
      <c r="AC1255" s="100"/>
      <c r="AD1255" s="100"/>
      <c r="AF1255"/>
      <c r="AK1255">
        <f t="shared" si="853"/>
        <v>0</v>
      </c>
      <c r="AL1255">
        <f t="shared" si="854"/>
        <v>0</v>
      </c>
      <c r="AM1255">
        <f t="shared" si="855"/>
        <v>0</v>
      </c>
      <c r="AN1255">
        <f t="shared" si="856"/>
        <v>0</v>
      </c>
      <c r="AO1255">
        <f t="shared" si="857"/>
        <v>0</v>
      </c>
      <c r="AP1255">
        <f t="shared" si="858"/>
        <v>0</v>
      </c>
      <c r="AQ1255">
        <f t="shared" si="859"/>
        <v>0</v>
      </c>
      <c r="AR1255">
        <f t="shared" si="860"/>
        <v>0</v>
      </c>
      <c r="AS1255">
        <f t="shared" si="861"/>
        <v>0</v>
      </c>
    </row>
    <row r="1256" spans="1:45" ht="24" customHeight="1">
      <c r="A1256" s="103"/>
      <c r="B1256" s="57"/>
      <c r="C1256" s="1109"/>
      <c r="D1256" s="954"/>
      <c r="E1256" s="955"/>
      <c r="F1256" s="956"/>
      <c r="G1256" s="1119" t="s">
        <v>5110</v>
      </c>
      <c r="H1256" s="1120"/>
      <c r="I1256" s="178"/>
      <c r="J1256" s="1111" t="s">
        <v>5111</v>
      </c>
      <c r="K1256" s="1111"/>
      <c r="L1256" s="1111"/>
      <c r="M1256" s="1111"/>
      <c r="N1256" s="1111"/>
      <c r="O1256" s="1111"/>
      <c r="P1256" s="1111"/>
      <c r="Q1256" s="1111"/>
      <c r="R1256" s="1111"/>
      <c r="S1256" s="1111"/>
      <c r="T1256" s="1111"/>
      <c r="U1256" s="1112"/>
      <c r="V1256" s="100"/>
      <c r="W1256" s="100"/>
      <c r="X1256" s="100"/>
      <c r="Y1256" s="100"/>
      <c r="Z1256" s="100"/>
      <c r="AA1256" s="100"/>
      <c r="AB1256" s="100"/>
      <c r="AC1256" s="100"/>
      <c r="AD1256" s="100"/>
      <c r="AF1256"/>
      <c r="AK1256">
        <f t="shared" si="853"/>
        <v>0</v>
      </c>
      <c r="AL1256">
        <f t="shared" si="854"/>
        <v>0</v>
      </c>
      <c r="AM1256">
        <f t="shared" si="855"/>
        <v>0</v>
      </c>
      <c r="AN1256">
        <f t="shared" si="856"/>
        <v>0</v>
      </c>
      <c r="AO1256">
        <f t="shared" si="857"/>
        <v>0</v>
      </c>
      <c r="AP1256">
        <f t="shared" si="858"/>
        <v>0</v>
      </c>
      <c r="AQ1256">
        <f t="shared" si="859"/>
        <v>0</v>
      </c>
      <c r="AR1256">
        <f t="shared" si="860"/>
        <v>0</v>
      </c>
      <c r="AS1256">
        <f t="shared" si="861"/>
        <v>0</v>
      </c>
    </row>
    <row r="1257" spans="1:45" ht="24" customHeight="1">
      <c r="A1257" s="103"/>
      <c r="B1257" s="57"/>
      <c r="C1257" s="1109"/>
      <c r="D1257" s="954"/>
      <c r="E1257" s="955"/>
      <c r="F1257" s="956"/>
      <c r="G1257" s="1119" t="s">
        <v>5112</v>
      </c>
      <c r="H1257" s="1120"/>
      <c r="I1257" s="178"/>
      <c r="J1257" s="1111" t="s">
        <v>5113</v>
      </c>
      <c r="K1257" s="1111"/>
      <c r="L1257" s="1111"/>
      <c r="M1257" s="1111"/>
      <c r="N1257" s="1111"/>
      <c r="O1257" s="1111"/>
      <c r="P1257" s="1111"/>
      <c r="Q1257" s="1111"/>
      <c r="R1257" s="1111"/>
      <c r="S1257" s="1111"/>
      <c r="T1257" s="1111"/>
      <c r="U1257" s="1112"/>
      <c r="V1257" s="100"/>
      <c r="W1257" s="100"/>
      <c r="X1257" s="100"/>
      <c r="Y1257" s="100"/>
      <c r="Z1257" s="100"/>
      <c r="AA1257" s="100"/>
      <c r="AB1257" s="100"/>
      <c r="AC1257" s="100"/>
      <c r="AD1257" s="100"/>
      <c r="AF1257"/>
      <c r="AK1257">
        <f t="shared" si="853"/>
        <v>0</v>
      </c>
      <c r="AL1257">
        <f t="shared" si="854"/>
        <v>0</v>
      </c>
      <c r="AM1257">
        <f t="shared" si="855"/>
        <v>0</v>
      </c>
      <c r="AN1257">
        <f t="shared" si="856"/>
        <v>0</v>
      </c>
      <c r="AO1257">
        <f t="shared" si="857"/>
        <v>0</v>
      </c>
      <c r="AP1257">
        <f t="shared" si="858"/>
        <v>0</v>
      </c>
      <c r="AQ1257">
        <f t="shared" si="859"/>
        <v>0</v>
      </c>
      <c r="AR1257">
        <f t="shared" si="860"/>
        <v>0</v>
      </c>
      <c r="AS1257">
        <f t="shared" si="861"/>
        <v>0</v>
      </c>
    </row>
    <row r="1258" spans="1:45" ht="15" customHeight="1">
      <c r="A1258" s="103"/>
      <c r="B1258" s="57"/>
      <c r="C1258" s="1109"/>
      <c r="D1258" s="954"/>
      <c r="E1258" s="955"/>
      <c r="F1258" s="956"/>
      <c r="G1258" s="1119" t="s">
        <v>5114</v>
      </c>
      <c r="H1258" s="1120"/>
      <c r="I1258" s="179"/>
      <c r="J1258" s="1113" t="s">
        <v>201</v>
      </c>
      <c r="K1258" s="1113"/>
      <c r="L1258" s="1113"/>
      <c r="M1258" s="1113"/>
      <c r="N1258" s="1113"/>
      <c r="O1258" s="1113"/>
      <c r="P1258" s="1113"/>
      <c r="Q1258" s="1113"/>
      <c r="R1258" s="1113"/>
      <c r="S1258" s="1113"/>
      <c r="T1258" s="1113"/>
      <c r="U1258" s="1114"/>
      <c r="V1258" s="100"/>
      <c r="W1258" s="100"/>
      <c r="X1258" s="100"/>
      <c r="Y1258" s="100"/>
      <c r="Z1258" s="100"/>
      <c r="AA1258" s="100"/>
      <c r="AB1258" s="100"/>
      <c r="AC1258" s="100"/>
      <c r="AD1258" s="100"/>
      <c r="AF1258"/>
      <c r="AK1258">
        <f t="shared" si="853"/>
        <v>0</v>
      </c>
      <c r="AL1258">
        <f t="shared" si="854"/>
        <v>0</v>
      </c>
      <c r="AM1258">
        <f t="shared" si="855"/>
        <v>0</v>
      </c>
      <c r="AN1258">
        <f t="shared" si="856"/>
        <v>0</v>
      </c>
      <c r="AO1258">
        <f t="shared" si="857"/>
        <v>0</v>
      </c>
      <c r="AP1258">
        <f t="shared" si="858"/>
        <v>0</v>
      </c>
      <c r="AQ1258">
        <f t="shared" si="859"/>
        <v>0</v>
      </c>
      <c r="AR1258">
        <f t="shared" si="860"/>
        <v>0</v>
      </c>
      <c r="AS1258">
        <f t="shared" si="861"/>
        <v>0</v>
      </c>
    </row>
    <row r="1259" spans="1:45" ht="15" customHeight="1">
      <c r="A1259" s="103"/>
      <c r="B1259" s="57"/>
      <c r="C1259" s="1109"/>
      <c r="D1259" s="954"/>
      <c r="E1259" s="955"/>
      <c r="F1259" s="956"/>
      <c r="G1259" s="1117" t="s">
        <v>5115</v>
      </c>
      <c r="H1259" s="1118"/>
      <c r="I1259" s="1104" t="s">
        <v>5116</v>
      </c>
      <c r="J1259" s="1105"/>
      <c r="K1259" s="1105"/>
      <c r="L1259" s="1105"/>
      <c r="M1259" s="1105"/>
      <c r="N1259" s="1105"/>
      <c r="O1259" s="1105"/>
      <c r="P1259" s="1105"/>
      <c r="Q1259" s="1105"/>
      <c r="R1259" s="1105"/>
      <c r="S1259" s="1105"/>
      <c r="T1259" s="1105"/>
      <c r="U1259" s="1106"/>
      <c r="V1259" s="100"/>
      <c r="W1259" s="100"/>
      <c r="X1259" s="100"/>
      <c r="Y1259" s="100"/>
      <c r="Z1259" s="100"/>
      <c r="AA1259" s="100"/>
      <c r="AB1259" s="100"/>
      <c r="AC1259" s="100"/>
      <c r="AD1259" s="100"/>
      <c r="AF1259"/>
      <c r="AK1259">
        <f t="shared" si="853"/>
        <v>0</v>
      </c>
      <c r="AL1259">
        <f t="shared" si="854"/>
        <v>0</v>
      </c>
      <c r="AM1259">
        <f t="shared" si="855"/>
        <v>0</v>
      </c>
      <c r="AN1259">
        <f t="shared" si="856"/>
        <v>0</v>
      </c>
      <c r="AO1259">
        <f t="shared" si="857"/>
        <v>0</v>
      </c>
      <c r="AP1259">
        <f t="shared" si="858"/>
        <v>0</v>
      </c>
      <c r="AQ1259">
        <f t="shared" si="859"/>
        <v>0</v>
      </c>
      <c r="AR1259">
        <f t="shared" si="860"/>
        <v>0</v>
      </c>
      <c r="AS1259">
        <f t="shared" si="861"/>
        <v>0</v>
      </c>
    </row>
    <row r="1260" spans="1:45" ht="15" customHeight="1">
      <c r="A1260" s="103"/>
      <c r="B1260" s="57"/>
      <c r="C1260" s="1109"/>
      <c r="D1260" s="954"/>
      <c r="E1260" s="955"/>
      <c r="F1260" s="956"/>
      <c r="G1260" s="1117" t="s">
        <v>5117</v>
      </c>
      <c r="H1260" s="1118"/>
      <c r="I1260" s="1104" t="s">
        <v>5118</v>
      </c>
      <c r="J1260" s="1105"/>
      <c r="K1260" s="1105"/>
      <c r="L1260" s="1105"/>
      <c r="M1260" s="1105"/>
      <c r="N1260" s="1105"/>
      <c r="O1260" s="1105"/>
      <c r="P1260" s="1105"/>
      <c r="Q1260" s="1105"/>
      <c r="R1260" s="1105"/>
      <c r="S1260" s="1105"/>
      <c r="T1260" s="1105"/>
      <c r="U1260" s="1106"/>
      <c r="V1260" s="100"/>
      <c r="W1260" s="100"/>
      <c r="X1260" s="100"/>
      <c r="Y1260" s="100"/>
      <c r="Z1260" s="100"/>
      <c r="AA1260" s="100"/>
      <c r="AB1260" s="100"/>
      <c r="AC1260" s="100"/>
      <c r="AD1260" s="100"/>
      <c r="AF1260"/>
      <c r="AK1260">
        <f t="shared" si="853"/>
        <v>0</v>
      </c>
      <c r="AL1260">
        <f t="shared" si="854"/>
        <v>0</v>
      </c>
      <c r="AM1260">
        <f t="shared" si="855"/>
        <v>0</v>
      </c>
      <c r="AN1260">
        <f t="shared" si="856"/>
        <v>0</v>
      </c>
      <c r="AO1260">
        <f t="shared" si="857"/>
        <v>0</v>
      </c>
      <c r="AP1260">
        <f t="shared" si="858"/>
        <v>0</v>
      </c>
      <c r="AQ1260">
        <f t="shared" si="859"/>
        <v>0</v>
      </c>
      <c r="AR1260">
        <f t="shared" si="860"/>
        <v>0</v>
      </c>
      <c r="AS1260">
        <f t="shared" si="861"/>
        <v>0</v>
      </c>
    </row>
    <row r="1261" spans="1:45" ht="15" customHeight="1">
      <c r="A1261" s="103"/>
      <c r="B1261" s="57"/>
      <c r="C1261" s="732" t="s">
        <v>5119</v>
      </c>
      <c r="D1261" s="732"/>
      <c r="E1261" s="732"/>
      <c r="F1261" s="732"/>
      <c r="G1261" s="732"/>
      <c r="H1261" s="732"/>
      <c r="I1261" s="1131" t="s">
        <v>2631</v>
      </c>
      <c r="J1261" s="1131"/>
      <c r="K1261" s="1131"/>
      <c r="L1261" s="1131"/>
      <c r="M1261" s="1131"/>
      <c r="N1261" s="1131"/>
      <c r="O1261" s="1131"/>
      <c r="P1261" s="1131"/>
      <c r="Q1261" s="1131"/>
      <c r="R1261" s="1131"/>
      <c r="S1261" s="1131"/>
      <c r="T1261" s="1131"/>
      <c r="U1261" s="1131"/>
      <c r="V1261" s="100"/>
      <c r="W1261" s="100"/>
      <c r="X1261" s="100"/>
      <c r="Y1261" s="100"/>
      <c r="Z1261" s="100"/>
      <c r="AA1261" s="100"/>
      <c r="AB1261" s="100"/>
      <c r="AC1261" s="100"/>
      <c r="AD1261" s="100"/>
      <c r="AF1261"/>
      <c r="AK1261">
        <f t="shared" si="853"/>
        <v>0</v>
      </c>
      <c r="AL1261">
        <f t="shared" si="854"/>
        <v>0</v>
      </c>
      <c r="AM1261">
        <f t="shared" si="855"/>
        <v>0</v>
      </c>
      <c r="AN1261">
        <f t="shared" si="856"/>
        <v>0</v>
      </c>
      <c r="AO1261">
        <f t="shared" si="857"/>
        <v>0</v>
      </c>
      <c r="AP1261">
        <f t="shared" si="858"/>
        <v>0</v>
      </c>
      <c r="AQ1261">
        <f t="shared" si="859"/>
        <v>0</v>
      </c>
      <c r="AR1261">
        <f t="shared" si="860"/>
        <v>0</v>
      </c>
      <c r="AS1261">
        <f t="shared" si="861"/>
        <v>0</v>
      </c>
    </row>
    <row r="1262" spans="1:45" ht="15" customHeight="1">
      <c r="A1262" s="103"/>
      <c r="B1262" s="57"/>
      <c r="C1262" s="38"/>
      <c r="D1262" s="38"/>
      <c r="E1262" s="38"/>
      <c r="F1262" s="38"/>
      <c r="G1262" s="38"/>
      <c r="H1262" s="38"/>
      <c r="I1262" s="38"/>
      <c r="J1262" s="38"/>
      <c r="K1262" s="38"/>
      <c r="L1262" s="38"/>
      <c r="M1262" s="38"/>
      <c r="N1262" s="38"/>
      <c r="O1262" s="38"/>
      <c r="P1262" s="38"/>
      <c r="Q1262" s="38"/>
      <c r="R1262" s="117"/>
      <c r="S1262" s="104"/>
      <c r="T1262" s="104"/>
      <c r="U1262" s="104"/>
      <c r="V1262" s="524">
        <f t="shared" ref="V1262:AD1262" si="862">IF(COUNTIF(V1097:V1261,"NA")=165,"NA",IF(AND(SUM(COUNTIF(V1097:V1107,"NS"),COUNTIF(V1114:V1118,"NS"),COUNTIF(V1124:V1127,"NS"),COUNTIF(V1146,"NS"),COUNTIF(V1152:V1154,"NS"),COUNTIF(V1158:V1164,"NS"),COUNTIF(V1172,"NS"),COUNTIF(V1178:V1182,"NS"),COUNTIF(V1189,"NS"),COUNTIF(V1198:V1201,"NS"),COUNTIF(V1208:V1211,"NS"),COUNTIF(V1221,"NS"),COUNTIF(V1225:V1232,"NS"),COUNTIF(V1240:V1241,"NS"),COUNTIF(V1245:V1253,"NS"),COUNTIF(V1259:V1261,"NS"))&gt;0,SUM(V1097:V1107,V1114:V1118,V1124:V1127,V1146,V1152:V1154,V1158:V1164,V1172,V1178:V1182,V1189,V1198:V1201,V1208:V1211,V1221,V1225:V1232,V1240:V1241,V1245:V1253,V1259:V1261)=0),"NS",SUM(V1097:V1107,V1114:V1118,V1124:V1127,V1146,V1152:V1154,V1158:V1164,V1172,V1178:V1182,V1189,V1198:V1201,V1208:V1211,V1221,V1225:V1232,V1240:V1241,V1245:V1253,V1259:V1261)))</f>
        <v>0</v>
      </c>
      <c r="W1262" s="524">
        <f t="shared" si="862"/>
        <v>0</v>
      </c>
      <c r="X1262" s="524">
        <f t="shared" si="862"/>
        <v>0</v>
      </c>
      <c r="Y1262" s="524">
        <f t="shared" si="862"/>
        <v>0</v>
      </c>
      <c r="Z1262" s="524">
        <f t="shared" si="862"/>
        <v>0</v>
      </c>
      <c r="AA1262" s="524">
        <f t="shared" si="862"/>
        <v>0</v>
      </c>
      <c r="AB1262" s="524">
        <f t="shared" si="862"/>
        <v>0</v>
      </c>
      <c r="AC1262" s="524">
        <f t="shared" si="862"/>
        <v>0</v>
      </c>
      <c r="AD1262" s="124">
        <f t="shared" si="862"/>
        <v>0</v>
      </c>
      <c r="AF1262"/>
      <c r="AK1262">
        <f>SUM(AK1097:AK1261)</f>
        <v>0</v>
      </c>
      <c r="AM1262">
        <f>SUM(AM1097:AM1261)</f>
        <v>0</v>
      </c>
      <c r="AN1262">
        <f>SUM(AN1097:AN1261)</f>
        <v>0</v>
      </c>
      <c r="AP1262">
        <f>SUM(AP1097:AP1261)</f>
        <v>0</v>
      </c>
      <c r="AQ1262">
        <f>SUM(AQ1097:AQ1261)</f>
        <v>0</v>
      </c>
      <c r="AS1262">
        <f>SUM(AS1097:AS1261)</f>
        <v>0</v>
      </c>
    </row>
    <row r="1263" spans="1:45" ht="15" customHeight="1">
      <c r="A1263" s="108"/>
      <c r="B1263" s="1087" t="str">
        <f>IF(AND(OR(AND(P974&gt;0,ISNONTEXT(P974)),AND(P975&gt;0,ISNONTEXT(P975)),AND(P976&gt;0,ISNONTEXT(P976)),AND(P977&gt;0,ISNONTEXT(P977)),AND(P978&gt;0,ISNONTEXT(P978)),AND(P979&gt;0,ISNONTEXT(P979)),AND(P1017&gt;0,ISNONTEXT(P1017)),AND(P1018&gt;0,ISNONTEXT(P1018)),AND(P1019&gt;0,ISNONTEXT(P1019)),AND(P1020&gt;0,ISNONTEXT(P1020)),AND(P1021&gt;0,ISNONTEXT(P1021)),AND(P1022&gt;0,ISNONTEXT(P1022)),AND(P1023&gt;0,ISNONTEXT(P1023)),AND(P1024&gt;0,ISNONTEXT(P1024)),AND(P1025&gt;0,ISNONTEXT(P1025)),AND(P1028&gt;0,ISNONTEXT(P1028)),AND(P1029&gt;0,ISNONTEXT(P1029)),AND(P1030&gt;0,ISNONTEXT(P1030)),AND(P1031&gt;0,ISNONTEXT(P1031)),AND(P1032&gt;0,ISNONTEXT(P1032)),AND(P1033&gt;0,ISNONTEXT(P1033)),AND(P1034&gt;0,ISNONTEXT(P1034)),AND(P1035&gt;0,ISNONTEXT(P1035)),AND(P1050&gt;0,ISNONTEXT(P1050)),AND(P1069&gt;0,ISNONTEXT(P1069)),AND(P1070&gt;0,ISNONTEXT(P1070)),AND(P1071&gt;0,ISNONTEXT(P1071)),AND(P1072&gt;0,ISNONTEXT(P1072)))),"Alerta: debido a que cuenta con registros del fuero federal mayores a cero, proporcione una justificación en el área de comentarios","")</f>
        <v/>
      </c>
      <c r="C1263" s="1087"/>
      <c r="D1263" s="1087"/>
      <c r="E1263" s="1087"/>
      <c r="F1263" s="1087"/>
      <c r="G1263" s="1087"/>
      <c r="H1263" s="1087"/>
      <c r="I1263" s="1087"/>
      <c r="J1263" s="1087"/>
      <c r="K1263" s="1087"/>
      <c r="L1263" s="1087"/>
      <c r="M1263" s="1087"/>
      <c r="N1263" s="1087"/>
      <c r="O1263" s="1087"/>
      <c r="P1263" s="1087"/>
      <c r="Q1263" s="1087"/>
      <c r="R1263" s="1087"/>
      <c r="S1263" s="1087"/>
      <c r="T1263" s="1087"/>
      <c r="U1263" s="1087"/>
      <c r="V1263" s="1087"/>
      <c r="W1263" s="1087"/>
      <c r="X1263" s="1087"/>
      <c r="Y1263" s="1087"/>
      <c r="Z1263" s="1087"/>
      <c r="AA1263" s="1087"/>
      <c r="AB1263" s="1087"/>
      <c r="AC1263" s="1087"/>
      <c r="AD1263" s="1087"/>
      <c r="AE1263" s="1087"/>
      <c r="AF1263"/>
      <c r="AK1263" t="s">
        <v>2650</v>
      </c>
      <c r="AL1263" s="427">
        <f>SUM(AM1262,AP1262,AS1262)</f>
        <v>0</v>
      </c>
      <c r="AM1263" t="s">
        <v>2651</v>
      </c>
      <c r="AN1263" s="427">
        <f>SUM(AK1262,AN1262,AQ1262)</f>
        <v>0</v>
      </c>
    </row>
    <row r="1264" spans="1:45" ht="24" customHeight="1">
      <c r="A1264" s="108"/>
      <c r="B1264" s="38"/>
      <c r="C1264" s="754" t="s">
        <v>2611</v>
      </c>
      <c r="D1264" s="754"/>
      <c r="E1264" s="754"/>
      <c r="F1264" s="754"/>
      <c r="G1264" s="754"/>
      <c r="H1264" s="754"/>
      <c r="I1264" s="754"/>
      <c r="J1264" s="754"/>
      <c r="K1264" s="754"/>
      <c r="L1264" s="754"/>
      <c r="M1264" s="754"/>
      <c r="N1264" s="754"/>
      <c r="O1264" s="754"/>
      <c r="P1264" s="754"/>
      <c r="Q1264" s="754"/>
      <c r="R1264" s="754"/>
      <c r="S1264" s="754"/>
      <c r="T1264" s="754"/>
      <c r="U1264" s="754"/>
      <c r="V1264" s="754"/>
      <c r="W1264" s="754"/>
      <c r="X1264" s="754"/>
      <c r="Y1264" s="754"/>
      <c r="Z1264" s="754"/>
      <c r="AA1264" s="754"/>
      <c r="AB1264" s="754"/>
      <c r="AC1264" s="754"/>
      <c r="AD1264" s="754"/>
      <c r="AF1264"/>
      <c r="AK1264" t="s">
        <v>2652</v>
      </c>
      <c r="AL1264">
        <f>IF(AN1263&gt;0,IF(SUM(V1262)&gt;=SUM(Y1262,AB1262),0,1),IF(SUM(V1262)&lt;&gt;SUM(Y1262,AB1262),1,0))</f>
        <v>0</v>
      </c>
      <c r="AM1264" t="s">
        <v>2653</v>
      </c>
      <c r="AN1264">
        <f>IF(AN1263&gt;0,IF(SUM(W1262)&gt;=SUM(Z1262,AC1262),0,1),IF(SUM(W1262)&lt;&gt;SUM(Z1262,AC1262),1,0))</f>
        <v>0</v>
      </c>
      <c r="AO1264" t="s">
        <v>2654</v>
      </c>
      <c r="AP1264">
        <f>IF(AN1263&gt;0,IF(SUM(X1262)&gt;=SUM(AA1262,AD1262),0,1),IF(SUM(X1262)&lt;&gt;SUM(AA1262,AD1262),1,0))</f>
        <v>0</v>
      </c>
    </row>
    <row r="1265" spans="1:96" ht="60" customHeight="1">
      <c r="A1265" s="108"/>
      <c r="B1265" s="38"/>
      <c r="C1265" s="851"/>
      <c r="D1265" s="851"/>
      <c r="E1265" s="851"/>
      <c r="F1265" s="851"/>
      <c r="G1265" s="851"/>
      <c r="H1265" s="851"/>
      <c r="I1265" s="851"/>
      <c r="J1265" s="851"/>
      <c r="K1265" s="851"/>
      <c r="L1265" s="851"/>
      <c r="M1265" s="851"/>
      <c r="N1265" s="851"/>
      <c r="O1265" s="851"/>
      <c r="P1265" s="851"/>
      <c r="Q1265" s="851"/>
      <c r="R1265" s="851"/>
      <c r="S1265" s="851"/>
      <c r="T1265" s="851"/>
      <c r="U1265" s="851"/>
      <c r="V1265" s="851"/>
      <c r="W1265" s="851"/>
      <c r="X1265" s="851"/>
      <c r="Y1265" s="851"/>
      <c r="Z1265" s="851"/>
      <c r="AA1265" s="851"/>
      <c r="AB1265" s="851"/>
      <c r="AC1265" s="851"/>
      <c r="AD1265" s="851"/>
      <c r="AF1265"/>
      <c r="AK1265" t="s">
        <v>5179</v>
      </c>
      <c r="AL1265" s="463">
        <f>SUM(AL1091,AL1263)</f>
        <v>0</v>
      </c>
      <c r="AM1265" t="s">
        <v>5180</v>
      </c>
      <c r="AN1265" s="463">
        <f>SUM(AN1091,AN1263)</f>
        <v>0</v>
      </c>
    </row>
    <row r="1266" spans="1:96" ht="15" customHeight="1">
      <c r="A1266" s="108"/>
      <c r="B1266" s="1003" t="str">
        <f>IF(AG1090=0,"","Favor de ingresar toda la información requerida en la pregunta")</f>
        <v/>
      </c>
      <c r="C1266" s="1003"/>
      <c r="D1266" s="1003"/>
      <c r="E1266" s="1003"/>
      <c r="F1266" s="1003"/>
      <c r="G1266" s="1003"/>
      <c r="H1266" s="1003"/>
      <c r="I1266" s="1003"/>
      <c r="J1266" s="1003"/>
      <c r="K1266" s="1003"/>
      <c r="L1266" s="1003"/>
      <c r="M1266" s="1003"/>
      <c r="N1266" s="1003"/>
      <c r="O1266" s="1003"/>
      <c r="P1266" s="1003"/>
      <c r="Q1266" s="1003"/>
      <c r="R1266" s="1003"/>
      <c r="S1266" s="1003"/>
      <c r="T1266" s="1003"/>
      <c r="U1266" s="1003"/>
      <c r="V1266" s="1003"/>
      <c r="W1266" s="1003"/>
      <c r="X1266" s="1003"/>
      <c r="Y1266" s="1003"/>
      <c r="Z1266" s="1003"/>
      <c r="AA1266" s="1003"/>
      <c r="AB1266" s="1003"/>
      <c r="AC1266" s="1003"/>
      <c r="AD1266" s="1003"/>
      <c r="AE1266" s="1003"/>
      <c r="AF1266"/>
      <c r="AK1266" t="s">
        <v>5181</v>
      </c>
      <c r="AL1266" s="506">
        <f>IF(AN1265&gt;0,IF(SUM(P1090)&gt;=SUM(S1090,V1090,Y1090,AB1090,V1262,Y1262,AB1262),0,1),IF(SUM(P1090)&lt;&gt;SUM(S1090,V1090,Y1090,AB1090,V1262,Y1262,AB1262),1,0))</f>
        <v>0</v>
      </c>
      <c r="AM1266" t="s">
        <v>5182</v>
      </c>
      <c r="AN1266" s="506">
        <f>IF(AN1265&gt;0,IF(SUM(Q1090)&gt;=SUM(T1090,W1090,Z1090,AC1090,W1262,Z1262,AC1262),0,1),IF(SUM(Q1090)&lt;&gt;SUM(T1090,W1090,Z1090,AC1090,W1262,Z1262,AC1262),1,0))</f>
        <v>0</v>
      </c>
      <c r="AO1266" t="s">
        <v>5183</v>
      </c>
      <c r="AP1266" s="506">
        <f>IF(AN1265&gt;0,IF(SUM(R1090)&gt;=SUM(U1090,X1090,AA1090,AD1090,X1262,AA1262,AD1262),0,1),IF(SUM(R1090)&lt;&gt;SUM(U1090,X1090,AA1090,AD1090,X1262,AA1262,AD1262),1,0))</f>
        <v>0</v>
      </c>
    </row>
    <row r="1267" spans="1:96" ht="15" customHeight="1">
      <c r="A1267" s="108"/>
      <c r="B1267" s="1087" t="str">
        <f>IF(OR($P$895=0,$P$895="NS",$P$895="NA"),"",IF(SUM(COUNTIF(P925:AD1089,"NS"),COUNTIF(V1097:AD1261,"NS"))&lt;&gt;0,"Alerta: debido a que cuenta con registros NS, debe proporcionar una justificación en el area de comentarios al final de la pregunta",""))</f>
        <v/>
      </c>
      <c r="C1267" s="1087"/>
      <c r="D1267" s="1087"/>
      <c r="E1267" s="1087"/>
      <c r="F1267" s="1087"/>
      <c r="G1267" s="1087"/>
      <c r="H1267" s="1087"/>
      <c r="I1267" s="1087"/>
      <c r="J1267" s="1087"/>
      <c r="K1267" s="1087"/>
      <c r="L1267" s="1087"/>
      <c r="M1267" s="1087"/>
      <c r="N1267" s="1087"/>
      <c r="O1267" s="1087"/>
      <c r="P1267" s="1087"/>
      <c r="Q1267" s="1087"/>
      <c r="R1267" s="1087"/>
      <c r="S1267" s="1087"/>
      <c r="T1267" s="1087"/>
      <c r="U1267" s="1087"/>
      <c r="V1267" s="1087"/>
      <c r="W1267" s="1087"/>
      <c r="X1267" s="1087"/>
      <c r="Y1267" s="1087"/>
      <c r="Z1267" s="1087"/>
      <c r="AA1267" s="1087"/>
      <c r="AB1267" s="1087"/>
      <c r="AC1267" s="1087"/>
      <c r="AD1267" s="1087"/>
      <c r="AE1267" s="1087"/>
      <c r="AF1267"/>
      <c r="AK1267" t="s">
        <v>4836</v>
      </c>
      <c r="AL1267" s="506">
        <f>AL1265-COUNTIF(P925:P1089,"NA")</f>
        <v>0</v>
      </c>
    </row>
    <row r="1268" spans="1:96" ht="15" customHeight="1">
      <c r="A1268" s="108"/>
      <c r="B1268" s="1003" t="str">
        <f>IF(AH1090=0,"","Revise la información capturada, ya que tiene datos ingresados en celdas que están sombreadas")</f>
        <v/>
      </c>
      <c r="C1268" s="1003"/>
      <c r="D1268" s="1003"/>
      <c r="E1268" s="1003"/>
      <c r="F1268" s="1003"/>
      <c r="G1268" s="1003"/>
      <c r="H1268" s="1003"/>
      <c r="I1268" s="1003"/>
      <c r="J1268" s="1003"/>
      <c r="K1268" s="1003"/>
      <c r="L1268" s="1003"/>
      <c r="M1268" s="1003"/>
      <c r="N1268" s="1003"/>
      <c r="O1268" s="1003"/>
      <c r="P1268" s="1003"/>
      <c r="Q1268" s="1003"/>
      <c r="R1268" s="1003"/>
      <c r="S1268" s="1003"/>
      <c r="T1268" s="1003"/>
      <c r="U1268" s="1003"/>
      <c r="V1268" s="1003"/>
      <c r="W1268" s="1003"/>
      <c r="X1268" s="1003"/>
      <c r="Y1268" s="1003"/>
      <c r="Z1268" s="1003"/>
      <c r="AA1268" s="1003"/>
      <c r="AB1268" s="1003"/>
      <c r="AC1268" s="1003"/>
      <c r="AD1268" s="1003"/>
      <c r="AE1268" s="1003"/>
      <c r="AF1268"/>
      <c r="AG1268"/>
      <c r="AH1268"/>
      <c r="AI1268"/>
      <c r="AJ1268"/>
      <c r="AK1268"/>
      <c r="AL1268"/>
      <c r="AM1268"/>
      <c r="AN1268"/>
      <c r="AO1268"/>
      <c r="AP1268"/>
      <c r="AQ1268"/>
      <c r="AR1268"/>
      <c r="AS1268"/>
      <c r="AT1268"/>
      <c r="AU1268"/>
      <c r="AV1268"/>
      <c r="AW1268"/>
      <c r="AX1268"/>
      <c r="AY1268"/>
      <c r="AZ1268"/>
      <c r="BA1268"/>
      <c r="BB1268"/>
      <c r="BC1268"/>
      <c r="BD1268"/>
      <c r="BE1268"/>
      <c r="BF1268"/>
      <c r="BG1268"/>
      <c r="BH1268"/>
      <c r="BI1268"/>
      <c r="BJ1268"/>
      <c r="BK1268"/>
      <c r="BL1268"/>
      <c r="BM1268"/>
      <c r="BN1268"/>
      <c r="BO1268"/>
      <c r="BP1268"/>
      <c r="BQ1268"/>
      <c r="BR1268"/>
      <c r="BS1268"/>
      <c r="BT1268"/>
      <c r="BU1268"/>
      <c r="BV1268"/>
      <c r="BW1268"/>
      <c r="BX1268"/>
      <c r="BY1268"/>
      <c r="BZ1268"/>
      <c r="CA1268"/>
      <c r="CB1268"/>
      <c r="CC1268"/>
      <c r="CD1268"/>
      <c r="CE1268"/>
      <c r="CF1268"/>
      <c r="CG1268"/>
      <c r="CH1268"/>
      <c r="CI1268"/>
      <c r="CJ1268"/>
      <c r="CK1268"/>
      <c r="CL1268"/>
      <c r="CM1268"/>
      <c r="CN1268"/>
      <c r="CO1268"/>
      <c r="CP1268"/>
      <c r="CQ1268"/>
      <c r="CR1268"/>
    </row>
    <row r="1269" spans="1:96" ht="15" customHeight="1">
      <c r="A1269" s="108"/>
      <c r="B1269" s="1003" t="str">
        <f>IF(OR($P$895=0,$P$895="NS",$P$895="NA"),"",IF(OR(AL1267&gt;=1,AL1266&gt;=1,AN1266&gt;=1,AP1266&gt;=1),"Favor de revisar la suma y consistencia de totales y/o subtotales por filas (numéricos y NS)",IF(CL1119&gt;0,"Favor de revisar la suma y consistencia de totales y/o subtotales de las desagregaciones de los tipos específicos","")))</f>
        <v/>
      </c>
      <c r="C1269" s="1003"/>
      <c r="D1269" s="1003"/>
      <c r="E1269" s="1003"/>
      <c r="F1269" s="1003"/>
      <c r="G1269" s="1003"/>
      <c r="H1269" s="1003"/>
      <c r="I1269" s="1003"/>
      <c r="J1269" s="1003"/>
      <c r="K1269" s="1003"/>
      <c r="L1269" s="1003"/>
      <c r="M1269" s="1003"/>
      <c r="N1269" s="1003"/>
      <c r="O1269" s="1003"/>
      <c r="P1269" s="1003"/>
      <c r="Q1269" s="1003"/>
      <c r="R1269" s="1003"/>
      <c r="S1269" s="1003"/>
      <c r="T1269" s="1003"/>
      <c r="U1269" s="1003"/>
      <c r="V1269" s="1003"/>
      <c r="W1269" s="1003"/>
      <c r="X1269" s="1003"/>
      <c r="Y1269" s="1003"/>
      <c r="Z1269" s="1003"/>
      <c r="AA1269" s="1003"/>
      <c r="AB1269" s="1003"/>
      <c r="AC1269" s="1003"/>
      <c r="AD1269" s="1003"/>
      <c r="AE1269" s="1003"/>
    </row>
    <row r="1270" spans="1:96" ht="15" customHeight="1">
      <c r="A1270" s="108"/>
      <c r="B1270" s="1003" t="str">
        <f>IF(OR($P$895=0,$P$895="NS",$P$895="NA"),"",IF(AND(P1090=P895,Q1090=Q895,R1090=R895,S1090=S895,T1090=T895,U1090=U895,V1090=V895,W1090=W895,X1090=X895,Y1090=Y895,Z1090=Z895,AA1090=AA895,AB1090=AB895,AC1090=AC895,AD1090=AD895,V1262=V904,W1262=W904,X1262=X904,Y1262=Y904,Z1262=Z904,AA1262=AA904,AB1262=AB904,AC1262=AC904,AD1262=AD904),IF(AF1090&gt;0,"Debido a que reportó NA para cierto delito, también anote NA en sus respectivos tipos específicos",""),"Las cantidades de Hombres y Mujeres debe corresponder con los datos reportados en la preg. anterior del numeral 1"))</f>
        <v/>
      </c>
      <c r="C1270" s="1003"/>
      <c r="D1270" s="1003"/>
      <c r="E1270" s="1003"/>
      <c r="F1270" s="1003"/>
      <c r="G1270" s="1003"/>
      <c r="H1270" s="1003"/>
      <c r="I1270" s="1003"/>
      <c r="J1270" s="1003"/>
      <c r="K1270" s="1003"/>
      <c r="L1270" s="1003"/>
      <c r="M1270" s="1003"/>
      <c r="N1270" s="1003"/>
      <c r="O1270" s="1003"/>
      <c r="P1270" s="1003"/>
      <c r="Q1270" s="1003"/>
      <c r="R1270" s="1003"/>
      <c r="S1270" s="1003"/>
      <c r="T1270" s="1003"/>
      <c r="U1270" s="1003"/>
      <c r="V1270" s="1003"/>
      <c r="W1270" s="1003"/>
      <c r="X1270" s="1003"/>
      <c r="Y1270" s="1003"/>
      <c r="Z1270" s="1003"/>
      <c r="AA1270" s="1003"/>
      <c r="AB1270" s="1003"/>
      <c r="AC1270" s="1003"/>
      <c r="AD1270" s="1003"/>
      <c r="AE1270" s="1003"/>
    </row>
    <row r="1271" spans="1:96" ht="15" customHeight="1">
      <c r="A1271" s="108"/>
      <c r="B1271" s="1087" t="str">
        <f>IF(AJ1090&gt;0,"Alerta: si el total en Otros delitos es mayor al 25% por bien jurídico, anote el n. de los delitos en la casilla al final de la pregunta","")</f>
        <v/>
      </c>
      <c r="C1271" s="1087"/>
      <c r="D1271" s="1087"/>
      <c r="E1271" s="1087"/>
      <c r="F1271" s="1087"/>
      <c r="G1271" s="1087"/>
      <c r="H1271" s="1087"/>
      <c r="I1271" s="1087"/>
      <c r="J1271" s="1087"/>
      <c r="K1271" s="1087"/>
      <c r="L1271" s="1087"/>
      <c r="M1271" s="1087"/>
      <c r="N1271" s="1087"/>
      <c r="O1271" s="1087"/>
      <c r="P1271" s="1087"/>
      <c r="Q1271" s="1087"/>
      <c r="R1271" s="1087"/>
      <c r="S1271" s="1087"/>
      <c r="T1271" s="1087"/>
      <c r="U1271" s="1087"/>
      <c r="V1271" s="1087"/>
      <c r="W1271" s="1087"/>
      <c r="X1271" s="1087"/>
      <c r="Y1271" s="1087"/>
      <c r="Z1271" s="1087"/>
      <c r="AA1271" s="1087"/>
      <c r="AB1271" s="1087"/>
      <c r="AC1271" s="1087"/>
      <c r="AD1271" s="1087"/>
      <c r="AE1271" s="1087"/>
    </row>
    <row r="1272" spans="1:96" ht="24" customHeight="1">
      <c r="A1272" s="49" t="s">
        <v>5419</v>
      </c>
      <c r="B1272" s="829" t="s">
        <v>5420</v>
      </c>
      <c r="C1272" s="829"/>
      <c r="D1272" s="829"/>
      <c r="E1272" s="829"/>
      <c r="F1272" s="829"/>
      <c r="G1272" s="829"/>
      <c r="H1272" s="829"/>
      <c r="I1272" s="829"/>
      <c r="J1272" s="829"/>
      <c r="K1272" s="829"/>
      <c r="L1272" s="829"/>
      <c r="M1272" s="829"/>
      <c r="N1272" s="829"/>
      <c r="O1272" s="829"/>
      <c r="P1272" s="829"/>
      <c r="Q1272" s="829"/>
      <c r="R1272" s="829"/>
      <c r="S1272" s="829"/>
      <c r="T1272" s="829"/>
      <c r="U1272" s="829"/>
      <c r="V1272" s="829"/>
      <c r="W1272" s="829"/>
      <c r="X1272" s="829"/>
      <c r="Y1272" s="829"/>
      <c r="Z1272" s="829"/>
      <c r="AA1272" s="829"/>
      <c r="AB1272" s="829"/>
      <c r="AC1272" s="829"/>
      <c r="AD1272" s="829"/>
    </row>
    <row r="1273" spans="1:96" ht="24" customHeight="1">
      <c r="A1273" s="49"/>
      <c r="B1273" s="105"/>
      <c r="C1273" s="754" t="s">
        <v>5421</v>
      </c>
      <c r="D1273" s="754"/>
      <c r="E1273" s="754"/>
      <c r="F1273" s="754"/>
      <c r="G1273" s="754"/>
      <c r="H1273" s="754"/>
      <c r="I1273" s="754"/>
      <c r="J1273" s="754"/>
      <c r="K1273" s="754"/>
      <c r="L1273" s="754"/>
      <c r="M1273" s="754"/>
      <c r="N1273" s="754"/>
      <c r="O1273" s="754"/>
      <c r="P1273" s="754"/>
      <c r="Q1273" s="754"/>
      <c r="R1273" s="754"/>
      <c r="S1273" s="754"/>
      <c r="T1273" s="754"/>
      <c r="U1273" s="754"/>
      <c r="V1273" s="754"/>
      <c r="W1273" s="754"/>
      <c r="X1273" s="754"/>
      <c r="Y1273" s="754"/>
      <c r="Z1273" s="754"/>
      <c r="AA1273" s="754"/>
      <c r="AB1273" s="754"/>
      <c r="AC1273" s="754"/>
      <c r="AD1273" s="754"/>
    </row>
    <row r="1274" spans="1:96" ht="24" customHeight="1">
      <c r="A1274" s="49"/>
      <c r="B1274" s="38"/>
      <c r="C1274" s="754" t="s">
        <v>5422</v>
      </c>
      <c r="D1274" s="754"/>
      <c r="E1274" s="754"/>
      <c r="F1274" s="754"/>
      <c r="G1274" s="754"/>
      <c r="H1274" s="754"/>
      <c r="I1274" s="754"/>
      <c r="J1274" s="754"/>
      <c r="K1274" s="754"/>
      <c r="L1274" s="754"/>
      <c r="M1274" s="754"/>
      <c r="N1274" s="754"/>
      <c r="O1274" s="754"/>
      <c r="P1274" s="754"/>
      <c r="Q1274" s="754"/>
      <c r="R1274" s="754"/>
      <c r="S1274" s="754"/>
      <c r="T1274" s="754"/>
      <c r="U1274" s="754"/>
      <c r="V1274" s="754"/>
      <c r="W1274" s="754"/>
      <c r="X1274" s="754"/>
      <c r="Y1274" s="754"/>
      <c r="Z1274" s="754"/>
      <c r="AA1274" s="754"/>
      <c r="AB1274" s="754"/>
      <c r="AC1274" s="754"/>
      <c r="AD1274" s="754"/>
    </row>
    <row r="1275" spans="1:96" ht="15" customHeight="1">
      <c r="A1275" s="108"/>
      <c r="B1275" s="38"/>
      <c r="C1275" s="75"/>
      <c r="D1275" s="75"/>
      <c r="E1275" s="75"/>
      <c r="F1275" s="75"/>
      <c r="G1275" s="75"/>
      <c r="H1275" s="75"/>
      <c r="I1275" s="75"/>
      <c r="J1275" s="75"/>
      <c r="K1275" s="75"/>
      <c r="L1275" s="75"/>
      <c r="M1275" s="75"/>
      <c r="N1275" s="75"/>
      <c r="O1275" s="75"/>
      <c r="P1275" s="75"/>
      <c r="Q1275" s="75"/>
      <c r="R1275" s="75"/>
      <c r="S1275" s="75"/>
      <c r="T1275" s="75"/>
      <c r="U1275" s="75"/>
      <c r="V1275" s="75"/>
      <c r="W1275" s="75"/>
      <c r="X1275" s="75"/>
      <c r="Y1275" s="75"/>
      <c r="Z1275" s="75"/>
      <c r="AA1275" s="75"/>
      <c r="AB1275" s="75"/>
      <c r="AC1275" s="75"/>
      <c r="AD1275" s="75"/>
    </row>
    <row r="1276" spans="1:96" ht="15" customHeight="1">
      <c r="A1276" s="49"/>
      <c r="B1276" s="57"/>
      <c r="C1276" s="86"/>
      <c r="D1276" s="86"/>
      <c r="E1276" s="86"/>
      <c r="F1276" s="86"/>
      <c r="G1276" s="86"/>
      <c r="H1276" s="86"/>
      <c r="I1276" s="86"/>
      <c r="J1276" s="86"/>
      <c r="K1276" s="86"/>
      <c r="L1276" s="86"/>
      <c r="M1276" s="86"/>
      <c r="N1276" s="86"/>
      <c r="O1276" s="86"/>
      <c r="P1276" s="86"/>
      <c r="Q1276" s="86"/>
      <c r="R1276" s="86"/>
      <c r="S1276" s="86"/>
      <c r="T1276" s="86"/>
      <c r="U1276" s="86"/>
      <c r="V1276" s="86"/>
      <c r="W1276" s="86"/>
      <c r="X1276" s="86"/>
      <c r="Y1276" s="86"/>
      <c r="Z1276" s="86"/>
      <c r="AA1276" s="873" t="s">
        <v>2664</v>
      </c>
      <c r="AB1276" s="873"/>
      <c r="AC1276" s="873"/>
      <c r="AD1276" s="873"/>
    </row>
    <row r="1277" spans="1:96" ht="60" customHeight="1">
      <c r="A1277" s="49"/>
      <c r="B1277" s="38"/>
      <c r="C1277" s="797" t="s">
        <v>4736</v>
      </c>
      <c r="D1277" s="798"/>
      <c r="E1277" s="799"/>
      <c r="F1277" s="797" t="s">
        <v>4737</v>
      </c>
      <c r="G1277" s="799"/>
      <c r="H1277" s="968" t="s">
        <v>4738</v>
      </c>
      <c r="I1277" s="969"/>
      <c r="J1277" s="969"/>
      <c r="K1277" s="969"/>
      <c r="L1277" s="969"/>
      <c r="M1277" s="969"/>
      <c r="N1277" s="969"/>
      <c r="O1277" s="970"/>
      <c r="P1277" s="739" t="s">
        <v>5423</v>
      </c>
      <c r="Q1277" s="740"/>
      <c r="R1277" s="740"/>
      <c r="S1277" s="740"/>
      <c r="T1277" s="740"/>
      <c r="U1277" s="740"/>
      <c r="V1277" s="740"/>
      <c r="W1277" s="740"/>
      <c r="X1277" s="740"/>
      <c r="Y1277" s="740"/>
      <c r="Z1277" s="740"/>
      <c r="AA1277" s="740"/>
      <c r="AB1277" s="740"/>
      <c r="AC1277" s="740"/>
      <c r="AD1277" s="741"/>
    </row>
    <row r="1278" spans="1:96" ht="24" customHeight="1">
      <c r="A1278" s="49"/>
      <c r="B1278" s="38"/>
      <c r="C1278" s="800"/>
      <c r="D1278" s="801"/>
      <c r="E1278" s="802"/>
      <c r="F1278" s="800"/>
      <c r="G1278" s="802"/>
      <c r="H1278" s="1100"/>
      <c r="I1278" s="1101"/>
      <c r="J1278" s="1101"/>
      <c r="K1278" s="1101"/>
      <c r="L1278" s="1101"/>
      <c r="M1278" s="1101"/>
      <c r="N1278" s="1101"/>
      <c r="O1278" s="1102"/>
      <c r="P1278" s="887" t="s">
        <v>2628</v>
      </c>
      <c r="Q1278" s="857" t="s">
        <v>2629</v>
      </c>
      <c r="R1278" s="857" t="s">
        <v>2630</v>
      </c>
      <c r="S1278" s="818" t="s">
        <v>4591</v>
      </c>
      <c r="T1278" s="819"/>
      <c r="U1278" s="820"/>
      <c r="V1278" s="733" t="s">
        <v>4592</v>
      </c>
      <c r="W1278" s="734"/>
      <c r="X1278" s="734"/>
      <c r="Y1278" s="734"/>
      <c r="Z1278" s="734"/>
      <c r="AA1278" s="734"/>
      <c r="AB1278" s="734"/>
      <c r="AC1278" s="734"/>
      <c r="AD1278" s="735"/>
    </row>
    <row r="1279" spans="1:96" ht="96" customHeight="1">
      <c r="A1279" s="49"/>
      <c r="B1279" s="38"/>
      <c r="C1279" s="800"/>
      <c r="D1279" s="801"/>
      <c r="E1279" s="802"/>
      <c r="F1279" s="800"/>
      <c r="G1279" s="802"/>
      <c r="H1279" s="1100"/>
      <c r="I1279" s="1101"/>
      <c r="J1279" s="1101"/>
      <c r="K1279" s="1101"/>
      <c r="L1279" s="1101"/>
      <c r="M1279" s="1101"/>
      <c r="N1279" s="1101"/>
      <c r="O1279" s="1102"/>
      <c r="P1279" s="958"/>
      <c r="Q1279" s="857"/>
      <c r="R1279" s="857"/>
      <c r="S1279" s="824"/>
      <c r="T1279" s="825"/>
      <c r="U1279" s="826"/>
      <c r="V1279" s="858" t="s">
        <v>5174</v>
      </c>
      <c r="W1279" s="859"/>
      <c r="X1279" s="860"/>
      <c r="Y1279" s="857" t="s">
        <v>5175</v>
      </c>
      <c r="Z1279" s="857"/>
      <c r="AA1279" s="857"/>
      <c r="AB1279" s="857" t="s">
        <v>5176</v>
      </c>
      <c r="AC1279" s="857"/>
      <c r="AD1279" s="857"/>
    </row>
    <row r="1280" spans="1:96" ht="48" customHeight="1">
      <c r="A1280" s="110"/>
      <c r="B1280" s="57"/>
      <c r="C1280" s="803"/>
      <c r="D1280" s="804"/>
      <c r="E1280" s="805"/>
      <c r="F1280" s="803"/>
      <c r="G1280" s="805"/>
      <c r="H1280" s="971"/>
      <c r="I1280" s="972"/>
      <c r="J1280" s="972"/>
      <c r="K1280" s="972"/>
      <c r="L1280" s="972"/>
      <c r="M1280" s="972"/>
      <c r="N1280" s="972"/>
      <c r="O1280" s="973"/>
      <c r="P1280" s="888"/>
      <c r="Q1280" s="857"/>
      <c r="R1280" s="857"/>
      <c r="S1280" s="127" t="s">
        <v>2635</v>
      </c>
      <c r="T1280" s="128" t="s">
        <v>2629</v>
      </c>
      <c r="U1280" s="128" t="s">
        <v>2630</v>
      </c>
      <c r="V1280" s="127" t="s">
        <v>2635</v>
      </c>
      <c r="W1280" s="128" t="s">
        <v>2629</v>
      </c>
      <c r="X1280" s="128" t="s">
        <v>2630</v>
      </c>
      <c r="Y1280" s="127" t="s">
        <v>2635</v>
      </c>
      <c r="Z1280" s="128" t="s">
        <v>2629</v>
      </c>
      <c r="AA1280" s="128" t="s">
        <v>2630</v>
      </c>
      <c r="AB1280" s="127" t="s">
        <v>2635</v>
      </c>
      <c r="AC1280" s="128" t="s">
        <v>2629</v>
      </c>
      <c r="AD1280" s="128" t="s">
        <v>2630</v>
      </c>
      <c r="AF1280" s="576" t="s">
        <v>4740</v>
      </c>
      <c r="AG1280" t="s">
        <v>2586</v>
      </c>
      <c r="AH1280" t="s">
        <v>4599</v>
      </c>
      <c r="AI1280" t="s">
        <v>4741</v>
      </c>
      <c r="AJ1280" t="s">
        <v>4742</v>
      </c>
      <c r="AK1280" t="s">
        <v>4573</v>
      </c>
      <c r="AL1280" t="s">
        <v>2638</v>
      </c>
      <c r="AM1280" t="s">
        <v>2639</v>
      </c>
      <c r="AN1280" t="s">
        <v>4574</v>
      </c>
      <c r="AO1280" t="s">
        <v>2641</v>
      </c>
      <c r="AP1280" t="s">
        <v>2642</v>
      </c>
      <c r="AQ1280" t="s">
        <v>4575</v>
      </c>
      <c r="AR1280" t="s">
        <v>2644</v>
      </c>
      <c r="AS1280" t="s">
        <v>2645</v>
      </c>
      <c r="AT1280" t="s">
        <v>4576</v>
      </c>
      <c r="AU1280" t="s">
        <v>2647</v>
      </c>
      <c r="AV1280" t="s">
        <v>2648</v>
      </c>
      <c r="AW1280" t="s">
        <v>5177</v>
      </c>
      <c r="AX1280" t="s">
        <v>2757</v>
      </c>
      <c r="AY1280" t="s">
        <v>2758</v>
      </c>
    </row>
    <row r="1281" spans="1:96" ht="15" customHeight="1">
      <c r="A1281" s="110"/>
      <c r="B1281" s="57"/>
      <c r="C1281" s="1108" t="s">
        <v>4743</v>
      </c>
      <c r="D1281" s="847" t="s">
        <v>5416</v>
      </c>
      <c r="E1281" s="848"/>
      <c r="F1281" s="1103" t="s">
        <v>4745</v>
      </c>
      <c r="G1281" s="1103"/>
      <c r="H1281" s="1104" t="s">
        <v>3875</v>
      </c>
      <c r="I1281" s="1105"/>
      <c r="J1281" s="1105"/>
      <c r="K1281" s="1105"/>
      <c r="L1281" s="1105"/>
      <c r="M1281" s="1105"/>
      <c r="N1281" s="1105"/>
      <c r="O1281" s="1106"/>
      <c r="P1281" s="100"/>
      <c r="Q1281" s="100"/>
      <c r="R1281" s="100"/>
      <c r="S1281" s="100"/>
      <c r="T1281" s="100"/>
      <c r="U1281" s="100"/>
      <c r="V1281" s="100"/>
      <c r="W1281" s="100"/>
      <c r="X1281" s="100"/>
      <c r="Y1281" s="100"/>
      <c r="Z1281" s="100"/>
      <c r="AA1281" s="100"/>
      <c r="AB1281" s="100"/>
      <c r="AC1281" s="100"/>
      <c r="AD1281" s="100"/>
      <c r="AF1281"/>
      <c r="AG1281">
        <f>IF(OR($P$896=0,$P$896="NS",$P$896="NA",P1281="NA"),0,IF(SUM(COUNTBLANK(P1281:AD1281),COUNTBLANK(V1453:AD1453))=0,0,1))</f>
        <v>0</v>
      </c>
      <c r="AH1281">
        <f t="shared" ref="AH1281:AH1344" si="863">IF(P1281="NA",IF(SUM(COUNTBLANK(Q1281:AD1281),COUNTBLANK(V1453:AD1453))=23,0,1),0)</f>
        <v>0</v>
      </c>
      <c r="AI1281">
        <f>IF(OR($P$896=0,$P$896="NS",$P$896="NA"),IF(SUM(COUNTBLANK(P1281:AD1445),COUNTBLANK(V1453:AD1617))=3960,0,1),0)</f>
        <v>0</v>
      </c>
      <c r="AK1281">
        <f t="shared" ref="AK1281:AK1344" si="864">COUNTIF(Q1281:R1281,"NS")</f>
        <v>0</v>
      </c>
      <c r="AL1281">
        <f t="shared" ref="AL1281:AL1344" si="865">SUM(Q1281:R1281)</f>
        <v>0</v>
      </c>
      <c r="AM1281">
        <f t="shared" ref="AM1281:AM1344" si="866">IF(COUNTIF(P1281:R1281,"NA")=3,0,IF(COUNTA(P1281:R1281)=0,0,IF(OR(AND(P1281=0,AK1281&gt;0),AND(P1281="ns",AL1281&gt;0),AND(P1281="ns",AK1281=0,AL1281=0)),1,IF(OR(AND(P1281&gt;0,AK1281=2),AND(P1281="ns",AK1281=2),AND(P1281="ns",AL1281=0,AK1281&gt;0),P1281=AL1281),0,1))))</f>
        <v>0</v>
      </c>
      <c r="AN1281">
        <f t="shared" ref="AN1281:AN1344" si="867">COUNTIF(T1281:U1281,"NS")</f>
        <v>0</v>
      </c>
      <c r="AO1281">
        <f t="shared" ref="AO1281:AO1344" si="868">SUM(T1281:U1281)</f>
        <v>0</v>
      </c>
      <c r="AP1281">
        <f t="shared" ref="AP1281:AP1344" si="869">IF(COUNTIF(S1281:U1281,"NA")=3,0,IF(COUNTA(S1281:U1281)=0,0,IF(OR(AND(S1281=0,AN1281&gt;0),AND(S1281="ns",AO1281&gt;0),AND(S1281="ns",AN1281=0,AO1281=0)),1,IF(OR(AND(S1281&gt;0,AN1281=2),AND(S1281="ns",AN1281=2),AND(S1281="ns",AO1281=0,AN1281&gt;0),S1281=AO1281),0,1))))</f>
        <v>0</v>
      </c>
      <c r="AQ1281">
        <f t="shared" ref="AQ1281:AQ1344" si="870">COUNTIF(W1281:X1281,"NS")</f>
        <v>0</v>
      </c>
      <c r="AR1281">
        <f t="shared" ref="AR1281:AR1344" si="871">SUM(W1281:X1281)</f>
        <v>0</v>
      </c>
      <c r="AS1281">
        <f t="shared" ref="AS1281:AS1344" si="872">IF(COUNTIF(V1281:X1281,"NA")=3,0,IF(COUNTA(V1281:X1281)=0,0,IF(OR(AND(V1281=0,AQ1281&gt;0),AND(V1281="ns",AR1281&gt;0),AND(V1281="ns",AQ1281=0,AR1281=0)),1,IF(OR(AND(V1281&gt;0,AQ1281=2),AND(V1281="ns",AQ1281=2),AND(V1281="ns",AR1281=0,AQ1281&gt;0),V1281=AR1281),0,1))))</f>
        <v>0</v>
      </c>
      <c r="AT1281">
        <f t="shared" ref="AT1281:AT1344" si="873">COUNTIF(Z1281:AA1281,"NS")</f>
        <v>0</v>
      </c>
      <c r="AU1281">
        <f t="shared" ref="AU1281:AU1344" si="874">SUM(Z1281:AA1281)</f>
        <v>0</v>
      </c>
      <c r="AV1281">
        <f t="shared" ref="AV1281:AV1344" si="875">IF(COUNTIF(Y1281:AA1281,"NA")=3,0,IF(COUNTA(Y1281:AA1281)=0,0,IF(OR(AND(Y1281=0,AT1281&gt;0),AND(Y1281="ns",AU1281&gt;0),AND(Y1281="ns",AT1281=0,AU1281=0)),1,IF(OR(AND(Y1281&gt;0,AT1281=2),AND(Y1281="ns",AT1281=2),AND(Y1281="ns",AU1281=0,AT1281&gt;0),Y1281=AU1281),0,1))))</f>
        <v>0</v>
      </c>
      <c r="AW1281">
        <f t="shared" ref="AW1281:AW1344" si="876">COUNTIF(AC1281:AD1281,"NS")</f>
        <v>0</v>
      </c>
      <c r="AX1281">
        <f t="shared" ref="AX1281:AX1344" si="877">SUM(AC1281:AD1281)</f>
        <v>0</v>
      </c>
      <c r="AY1281">
        <f t="shared" ref="AY1281:AY1344" si="878">IF(COUNTIF(AB1281:AD1281,"NA")=3,0,IF(COUNTA(AB1281:AD1281)=0,0,IF(OR(AND(AB1281=0,AW1281&gt;0),AND(AB1281="ns",AX1281&gt;0),AND(AB1281="ns",AW1281=0,AX1281=0)),1,IF(OR(AND(AB1281&gt;0,AW1281=2),AND(AB1281="ns",AW1281=2),AND(AB1281="ns",AX1281=0,AW1281&gt;0),AB1281=AX1281),0,1))))</f>
        <v>0</v>
      </c>
    </row>
    <row r="1282" spans="1:96" ht="15" customHeight="1">
      <c r="A1282" s="110"/>
      <c r="B1282" s="57"/>
      <c r="C1282" s="1109"/>
      <c r="D1282" s="954"/>
      <c r="E1282" s="956"/>
      <c r="F1282" s="1103" t="s">
        <v>4746</v>
      </c>
      <c r="G1282" s="1103"/>
      <c r="H1282" s="1104" t="s">
        <v>4747</v>
      </c>
      <c r="I1282" s="1105"/>
      <c r="J1282" s="1105"/>
      <c r="K1282" s="1105"/>
      <c r="L1282" s="1105"/>
      <c r="M1282" s="1105"/>
      <c r="N1282" s="1105"/>
      <c r="O1282" s="1106"/>
      <c r="P1282" s="100"/>
      <c r="Q1282" s="100"/>
      <c r="R1282" s="100"/>
      <c r="S1282" s="100"/>
      <c r="T1282" s="100"/>
      <c r="U1282" s="100"/>
      <c r="V1282" s="100"/>
      <c r="W1282" s="100"/>
      <c r="X1282" s="100"/>
      <c r="Y1282" s="100"/>
      <c r="Z1282" s="100"/>
      <c r="AA1282" s="100"/>
      <c r="AB1282" s="100"/>
      <c r="AC1282" s="100"/>
      <c r="AD1282" s="100"/>
      <c r="AF1282"/>
      <c r="AG1282">
        <f t="shared" ref="AG1282:AG1345" si="879">IF(OR($P$896=0,$P$896="NS",$P$896="NA",P1282="NA"),0,IF(SUM(COUNTBLANK(P1282:AD1282),COUNTBLANK(V1454:AD1454))=0,0,1))</f>
        <v>0</v>
      </c>
      <c r="AH1282">
        <f t="shared" si="863"/>
        <v>0</v>
      </c>
      <c r="AK1282">
        <f t="shared" si="864"/>
        <v>0</v>
      </c>
      <c r="AL1282">
        <f t="shared" si="865"/>
        <v>0</v>
      </c>
      <c r="AM1282">
        <f t="shared" si="866"/>
        <v>0</v>
      </c>
      <c r="AN1282">
        <f t="shared" si="867"/>
        <v>0</v>
      </c>
      <c r="AO1282">
        <f t="shared" si="868"/>
        <v>0</v>
      </c>
      <c r="AP1282">
        <f t="shared" si="869"/>
        <v>0</v>
      </c>
      <c r="AQ1282">
        <f t="shared" si="870"/>
        <v>0</v>
      </c>
      <c r="AR1282">
        <f t="shared" si="871"/>
        <v>0</v>
      </c>
      <c r="AS1282">
        <f t="shared" si="872"/>
        <v>0</v>
      </c>
      <c r="AT1282">
        <f t="shared" si="873"/>
        <v>0</v>
      </c>
      <c r="AU1282">
        <f t="shared" si="874"/>
        <v>0</v>
      </c>
      <c r="AV1282">
        <f t="shared" si="875"/>
        <v>0</v>
      </c>
      <c r="AW1282">
        <f t="shared" si="876"/>
        <v>0</v>
      </c>
      <c r="AX1282">
        <f t="shared" si="877"/>
        <v>0</v>
      </c>
      <c r="AY1282">
        <f t="shared" si="878"/>
        <v>0</v>
      </c>
    </row>
    <row r="1283" spans="1:96" ht="15" customHeight="1">
      <c r="A1283" s="110"/>
      <c r="B1283" s="57"/>
      <c r="C1283" s="1109"/>
      <c r="D1283" s="954"/>
      <c r="E1283" s="956"/>
      <c r="F1283" s="1103" t="s">
        <v>4748</v>
      </c>
      <c r="G1283" s="1103"/>
      <c r="H1283" s="1104" t="s">
        <v>4749</v>
      </c>
      <c r="I1283" s="1105"/>
      <c r="J1283" s="1105"/>
      <c r="K1283" s="1105"/>
      <c r="L1283" s="1105"/>
      <c r="M1283" s="1105"/>
      <c r="N1283" s="1105"/>
      <c r="O1283" s="1106"/>
      <c r="P1283" s="100"/>
      <c r="Q1283" s="100"/>
      <c r="R1283" s="100"/>
      <c r="S1283" s="100"/>
      <c r="T1283" s="100"/>
      <c r="U1283" s="100"/>
      <c r="V1283" s="100"/>
      <c r="W1283" s="100"/>
      <c r="X1283" s="100"/>
      <c r="Y1283" s="100"/>
      <c r="Z1283" s="100"/>
      <c r="AA1283" s="100"/>
      <c r="AB1283" s="100"/>
      <c r="AC1283" s="100"/>
      <c r="AD1283" s="100"/>
      <c r="AF1283"/>
      <c r="AG1283">
        <f t="shared" si="879"/>
        <v>0</v>
      </c>
      <c r="AH1283">
        <f t="shared" si="863"/>
        <v>0</v>
      </c>
      <c r="AK1283">
        <f t="shared" si="864"/>
        <v>0</v>
      </c>
      <c r="AL1283">
        <f t="shared" si="865"/>
        <v>0</v>
      </c>
      <c r="AM1283">
        <f t="shared" si="866"/>
        <v>0</v>
      </c>
      <c r="AN1283">
        <f t="shared" si="867"/>
        <v>0</v>
      </c>
      <c r="AO1283">
        <f t="shared" si="868"/>
        <v>0</v>
      </c>
      <c r="AP1283">
        <f t="shared" si="869"/>
        <v>0</v>
      </c>
      <c r="AQ1283">
        <f t="shared" si="870"/>
        <v>0</v>
      </c>
      <c r="AR1283">
        <f t="shared" si="871"/>
        <v>0</v>
      </c>
      <c r="AS1283">
        <f t="shared" si="872"/>
        <v>0</v>
      </c>
      <c r="AT1283">
        <f t="shared" si="873"/>
        <v>0</v>
      </c>
      <c r="AU1283">
        <f t="shared" si="874"/>
        <v>0</v>
      </c>
      <c r="AV1283">
        <f t="shared" si="875"/>
        <v>0</v>
      </c>
      <c r="AW1283">
        <f t="shared" si="876"/>
        <v>0</v>
      </c>
      <c r="AX1283">
        <f t="shared" si="877"/>
        <v>0</v>
      </c>
      <c r="AY1283">
        <f t="shared" si="878"/>
        <v>0</v>
      </c>
    </row>
    <row r="1284" spans="1:96" ht="15" customHeight="1">
      <c r="A1284" s="110"/>
      <c r="B1284" s="57"/>
      <c r="C1284" s="1109"/>
      <c r="D1284" s="954"/>
      <c r="E1284" s="956"/>
      <c r="F1284" s="1103" t="s">
        <v>4750</v>
      </c>
      <c r="G1284" s="1103"/>
      <c r="H1284" s="1104" t="s">
        <v>4751</v>
      </c>
      <c r="I1284" s="1105"/>
      <c r="J1284" s="1105"/>
      <c r="K1284" s="1105"/>
      <c r="L1284" s="1105"/>
      <c r="M1284" s="1105"/>
      <c r="N1284" s="1105"/>
      <c r="O1284" s="1106"/>
      <c r="P1284" s="100"/>
      <c r="Q1284" s="100"/>
      <c r="R1284" s="100"/>
      <c r="S1284" s="100"/>
      <c r="T1284" s="100"/>
      <c r="U1284" s="100"/>
      <c r="V1284" s="100"/>
      <c r="W1284" s="100"/>
      <c r="X1284" s="100"/>
      <c r="Y1284" s="100"/>
      <c r="Z1284" s="100"/>
      <c r="AA1284" s="100"/>
      <c r="AB1284" s="100"/>
      <c r="AC1284" s="100"/>
      <c r="AD1284" s="100"/>
      <c r="AF1284"/>
      <c r="AG1284">
        <f t="shared" si="879"/>
        <v>0</v>
      </c>
      <c r="AH1284">
        <f t="shared" si="863"/>
        <v>0</v>
      </c>
      <c r="AK1284">
        <f t="shared" si="864"/>
        <v>0</v>
      </c>
      <c r="AL1284">
        <f t="shared" si="865"/>
        <v>0</v>
      </c>
      <c r="AM1284">
        <f t="shared" si="866"/>
        <v>0</v>
      </c>
      <c r="AN1284">
        <f t="shared" si="867"/>
        <v>0</v>
      </c>
      <c r="AO1284">
        <f t="shared" si="868"/>
        <v>0</v>
      </c>
      <c r="AP1284">
        <f t="shared" si="869"/>
        <v>0</v>
      </c>
      <c r="AQ1284">
        <f t="shared" si="870"/>
        <v>0</v>
      </c>
      <c r="AR1284">
        <f t="shared" si="871"/>
        <v>0</v>
      </c>
      <c r="AS1284">
        <f t="shared" si="872"/>
        <v>0</v>
      </c>
      <c r="AT1284">
        <f t="shared" si="873"/>
        <v>0</v>
      </c>
      <c r="AU1284">
        <f t="shared" si="874"/>
        <v>0</v>
      </c>
      <c r="AV1284">
        <f t="shared" si="875"/>
        <v>0</v>
      </c>
      <c r="AW1284">
        <f t="shared" si="876"/>
        <v>0</v>
      </c>
      <c r="AX1284">
        <f t="shared" si="877"/>
        <v>0</v>
      </c>
      <c r="AY1284">
        <f t="shared" si="878"/>
        <v>0</v>
      </c>
    </row>
    <row r="1285" spans="1:96" ht="24" customHeight="1">
      <c r="A1285" s="110"/>
      <c r="B1285" s="57"/>
      <c r="C1285" s="1109"/>
      <c r="D1285" s="954"/>
      <c r="E1285" s="956"/>
      <c r="F1285" s="1107" t="s">
        <v>4752</v>
      </c>
      <c r="G1285" s="1107"/>
      <c r="H1285" s="1104" t="s">
        <v>4753</v>
      </c>
      <c r="I1285" s="1105"/>
      <c r="J1285" s="1105"/>
      <c r="K1285" s="1105"/>
      <c r="L1285" s="1105"/>
      <c r="M1285" s="1105"/>
      <c r="N1285" s="1105"/>
      <c r="O1285" s="1106"/>
      <c r="P1285" s="100"/>
      <c r="Q1285" s="100"/>
      <c r="R1285" s="100"/>
      <c r="S1285" s="100"/>
      <c r="T1285" s="100"/>
      <c r="U1285" s="100"/>
      <c r="V1285" s="100"/>
      <c r="W1285" s="100"/>
      <c r="X1285" s="100"/>
      <c r="Y1285" s="100"/>
      <c r="Z1285" s="100"/>
      <c r="AA1285" s="100"/>
      <c r="AB1285" s="100"/>
      <c r="AC1285" s="100"/>
      <c r="AD1285" s="100"/>
      <c r="AF1285"/>
      <c r="AG1285">
        <f t="shared" si="879"/>
        <v>0</v>
      </c>
      <c r="AH1285">
        <f t="shared" si="863"/>
        <v>0</v>
      </c>
      <c r="AJ1285">
        <f>IF(OR(P1285="NS",P1285="NA",$P$896=0,$P$896="NS",$P$896="NA"),0,IF((P1285*(IFERROR(100/SUM(P1281:P1285),0)))&gt;25,1,0))</f>
        <v>0</v>
      </c>
      <c r="AK1285">
        <f t="shared" si="864"/>
        <v>0</v>
      </c>
      <c r="AL1285">
        <f t="shared" si="865"/>
        <v>0</v>
      </c>
      <c r="AM1285">
        <f t="shared" si="866"/>
        <v>0</v>
      </c>
      <c r="AN1285">
        <f t="shared" si="867"/>
        <v>0</v>
      </c>
      <c r="AO1285">
        <f t="shared" si="868"/>
        <v>0</v>
      </c>
      <c r="AP1285">
        <f t="shared" si="869"/>
        <v>0</v>
      </c>
      <c r="AQ1285">
        <f t="shared" si="870"/>
        <v>0</v>
      </c>
      <c r="AR1285">
        <f t="shared" si="871"/>
        <v>0</v>
      </c>
      <c r="AS1285">
        <f t="shared" si="872"/>
        <v>0</v>
      </c>
      <c r="AT1285">
        <f t="shared" si="873"/>
        <v>0</v>
      </c>
      <c r="AU1285">
        <f t="shared" si="874"/>
        <v>0</v>
      </c>
      <c r="AV1285">
        <f t="shared" si="875"/>
        <v>0</v>
      </c>
      <c r="AW1285">
        <f t="shared" si="876"/>
        <v>0</v>
      </c>
      <c r="AX1285">
        <f t="shared" si="877"/>
        <v>0</v>
      </c>
      <c r="AY1285">
        <f t="shared" si="878"/>
        <v>0</v>
      </c>
    </row>
    <row r="1286" spans="1:96" ht="15" customHeight="1">
      <c r="A1286" s="110"/>
      <c r="B1286" s="57"/>
      <c r="C1286" s="1108" t="s">
        <v>4754</v>
      </c>
      <c r="D1286" s="847" t="s">
        <v>4755</v>
      </c>
      <c r="E1286" s="848"/>
      <c r="F1286" s="1103" t="s">
        <v>4756</v>
      </c>
      <c r="G1286" s="1103"/>
      <c r="H1286" s="1104" t="s">
        <v>4757</v>
      </c>
      <c r="I1286" s="1105"/>
      <c r="J1286" s="1105"/>
      <c r="K1286" s="1105"/>
      <c r="L1286" s="1105"/>
      <c r="M1286" s="1105"/>
      <c r="N1286" s="1105"/>
      <c r="O1286" s="1106"/>
      <c r="P1286" s="100"/>
      <c r="Q1286" s="100"/>
      <c r="R1286" s="100"/>
      <c r="S1286" s="100"/>
      <c r="T1286" s="100"/>
      <c r="U1286" s="100"/>
      <c r="V1286" s="100"/>
      <c r="W1286" s="100"/>
      <c r="X1286" s="100"/>
      <c r="Y1286" s="100"/>
      <c r="Z1286" s="100"/>
      <c r="AA1286" s="100"/>
      <c r="AB1286" s="100"/>
      <c r="AC1286" s="100"/>
      <c r="AD1286" s="100"/>
      <c r="AF1286"/>
      <c r="AG1286">
        <f t="shared" si="879"/>
        <v>0</v>
      </c>
      <c r="AH1286">
        <f t="shared" si="863"/>
        <v>0</v>
      </c>
      <c r="AK1286">
        <f t="shared" si="864"/>
        <v>0</v>
      </c>
      <c r="AL1286">
        <f t="shared" si="865"/>
        <v>0</v>
      </c>
      <c r="AM1286">
        <f t="shared" si="866"/>
        <v>0</v>
      </c>
      <c r="AN1286">
        <f t="shared" si="867"/>
        <v>0</v>
      </c>
      <c r="AO1286">
        <f t="shared" si="868"/>
        <v>0</v>
      </c>
      <c r="AP1286">
        <f t="shared" si="869"/>
        <v>0</v>
      </c>
      <c r="AQ1286">
        <f t="shared" si="870"/>
        <v>0</v>
      </c>
      <c r="AR1286">
        <f t="shared" si="871"/>
        <v>0</v>
      </c>
      <c r="AS1286">
        <f t="shared" si="872"/>
        <v>0</v>
      </c>
      <c r="AT1286">
        <f t="shared" si="873"/>
        <v>0</v>
      </c>
      <c r="AU1286">
        <f t="shared" si="874"/>
        <v>0</v>
      </c>
      <c r="AV1286">
        <f t="shared" si="875"/>
        <v>0</v>
      </c>
      <c r="AW1286">
        <f t="shared" si="876"/>
        <v>0</v>
      </c>
      <c r="AX1286">
        <f t="shared" si="877"/>
        <v>0</v>
      </c>
      <c r="AY1286">
        <f t="shared" si="878"/>
        <v>0</v>
      </c>
    </row>
    <row r="1287" spans="1:96" ht="15" customHeight="1">
      <c r="A1287" s="110"/>
      <c r="B1287" s="57"/>
      <c r="C1287" s="1109"/>
      <c r="D1287" s="954"/>
      <c r="E1287" s="956"/>
      <c r="F1287" s="1103" t="s">
        <v>4758</v>
      </c>
      <c r="G1287" s="1103"/>
      <c r="H1287" s="1104" t="s">
        <v>4759</v>
      </c>
      <c r="I1287" s="1105"/>
      <c r="J1287" s="1105"/>
      <c r="K1287" s="1105"/>
      <c r="L1287" s="1105"/>
      <c r="M1287" s="1105"/>
      <c r="N1287" s="1105"/>
      <c r="O1287" s="1106"/>
      <c r="P1287" s="100"/>
      <c r="Q1287" s="100"/>
      <c r="R1287" s="100"/>
      <c r="S1287" s="100"/>
      <c r="T1287" s="100"/>
      <c r="U1287" s="100"/>
      <c r="V1287" s="100"/>
      <c r="W1287" s="100"/>
      <c r="X1287" s="100"/>
      <c r="Y1287" s="100"/>
      <c r="Z1287" s="100"/>
      <c r="AA1287" s="100"/>
      <c r="AB1287" s="100"/>
      <c r="AC1287" s="100"/>
      <c r="AD1287" s="100"/>
      <c r="AF1287"/>
      <c r="AG1287">
        <f t="shared" si="879"/>
        <v>0</v>
      </c>
      <c r="AH1287">
        <f t="shared" si="863"/>
        <v>0</v>
      </c>
      <c r="AK1287">
        <f t="shared" si="864"/>
        <v>0</v>
      </c>
      <c r="AL1287">
        <f t="shared" si="865"/>
        <v>0</v>
      </c>
      <c r="AM1287">
        <f t="shared" si="866"/>
        <v>0</v>
      </c>
      <c r="AN1287">
        <f t="shared" si="867"/>
        <v>0</v>
      </c>
      <c r="AO1287">
        <f t="shared" si="868"/>
        <v>0</v>
      </c>
      <c r="AP1287">
        <f t="shared" si="869"/>
        <v>0</v>
      </c>
      <c r="AQ1287">
        <f t="shared" si="870"/>
        <v>0</v>
      </c>
      <c r="AR1287">
        <f t="shared" si="871"/>
        <v>0</v>
      </c>
      <c r="AS1287">
        <f t="shared" si="872"/>
        <v>0</v>
      </c>
      <c r="AT1287">
        <f t="shared" si="873"/>
        <v>0</v>
      </c>
      <c r="AU1287">
        <f t="shared" si="874"/>
        <v>0</v>
      </c>
      <c r="AV1287">
        <f t="shared" si="875"/>
        <v>0</v>
      </c>
      <c r="AW1287">
        <f t="shared" si="876"/>
        <v>0</v>
      </c>
      <c r="AX1287">
        <f t="shared" si="877"/>
        <v>0</v>
      </c>
      <c r="AY1287">
        <f t="shared" si="878"/>
        <v>0</v>
      </c>
    </row>
    <row r="1288" spans="1:96" ht="24" customHeight="1">
      <c r="A1288" s="110"/>
      <c r="B1288" s="57"/>
      <c r="C1288" s="1109"/>
      <c r="D1288" s="954"/>
      <c r="E1288" s="956"/>
      <c r="F1288" s="1103" t="s">
        <v>4760</v>
      </c>
      <c r="G1288" s="1103"/>
      <c r="H1288" s="1104" t="s">
        <v>4761</v>
      </c>
      <c r="I1288" s="1105"/>
      <c r="J1288" s="1105"/>
      <c r="K1288" s="1105"/>
      <c r="L1288" s="1105"/>
      <c r="M1288" s="1105"/>
      <c r="N1288" s="1105"/>
      <c r="O1288" s="1106"/>
      <c r="P1288" s="100"/>
      <c r="Q1288" s="100"/>
      <c r="R1288" s="100"/>
      <c r="S1288" s="100"/>
      <c r="T1288" s="100"/>
      <c r="U1288" s="100"/>
      <c r="V1288" s="100"/>
      <c r="W1288" s="100"/>
      <c r="X1288" s="100"/>
      <c r="Y1288" s="100"/>
      <c r="Z1288" s="100"/>
      <c r="AA1288" s="100"/>
      <c r="AB1288" s="100"/>
      <c r="AC1288" s="100"/>
      <c r="AD1288" s="100"/>
      <c r="AF1288"/>
      <c r="AG1288">
        <f t="shared" si="879"/>
        <v>0</v>
      </c>
      <c r="AH1288">
        <f t="shared" si="863"/>
        <v>0</v>
      </c>
      <c r="AK1288">
        <f t="shared" si="864"/>
        <v>0</v>
      </c>
      <c r="AL1288">
        <f t="shared" si="865"/>
        <v>0</v>
      </c>
      <c r="AM1288">
        <f t="shared" si="866"/>
        <v>0</v>
      </c>
      <c r="AN1288">
        <f t="shared" si="867"/>
        <v>0</v>
      </c>
      <c r="AO1288">
        <f t="shared" si="868"/>
        <v>0</v>
      </c>
      <c r="AP1288">
        <f t="shared" si="869"/>
        <v>0</v>
      </c>
      <c r="AQ1288">
        <f t="shared" si="870"/>
        <v>0</v>
      </c>
      <c r="AR1288">
        <f t="shared" si="871"/>
        <v>0</v>
      </c>
      <c r="AS1288">
        <f t="shared" si="872"/>
        <v>0</v>
      </c>
      <c r="AT1288">
        <f t="shared" si="873"/>
        <v>0</v>
      </c>
      <c r="AU1288">
        <f t="shared" si="874"/>
        <v>0</v>
      </c>
      <c r="AV1288">
        <f t="shared" si="875"/>
        <v>0</v>
      </c>
      <c r="AW1288">
        <f t="shared" si="876"/>
        <v>0</v>
      </c>
      <c r="AX1288">
        <f t="shared" si="877"/>
        <v>0</v>
      </c>
      <c r="AY1288">
        <f t="shared" si="878"/>
        <v>0</v>
      </c>
    </row>
    <row r="1289" spans="1:96" ht="15" customHeight="1">
      <c r="A1289" s="110"/>
      <c r="B1289" s="57"/>
      <c r="C1289" s="1109"/>
      <c r="D1289" s="954"/>
      <c r="E1289" s="956"/>
      <c r="F1289" s="1103" t="s">
        <v>4762</v>
      </c>
      <c r="G1289" s="1103"/>
      <c r="H1289" s="1104" t="s">
        <v>4763</v>
      </c>
      <c r="I1289" s="1105"/>
      <c r="J1289" s="1105"/>
      <c r="K1289" s="1105"/>
      <c r="L1289" s="1105"/>
      <c r="M1289" s="1105"/>
      <c r="N1289" s="1105"/>
      <c r="O1289" s="1106"/>
      <c r="P1289" s="100"/>
      <c r="Q1289" s="100"/>
      <c r="R1289" s="100"/>
      <c r="S1289" s="100"/>
      <c r="T1289" s="100"/>
      <c r="U1289" s="100"/>
      <c r="V1289" s="100"/>
      <c r="W1289" s="100"/>
      <c r="X1289" s="100"/>
      <c r="Y1289" s="100"/>
      <c r="Z1289" s="100"/>
      <c r="AA1289" s="100"/>
      <c r="AB1289" s="100"/>
      <c r="AC1289" s="100"/>
      <c r="AD1289" s="100"/>
      <c r="AF1289"/>
      <c r="AG1289">
        <f t="shared" si="879"/>
        <v>0</v>
      </c>
      <c r="AH1289">
        <f t="shared" si="863"/>
        <v>0</v>
      </c>
      <c r="AK1289">
        <f t="shared" si="864"/>
        <v>0</v>
      </c>
      <c r="AL1289">
        <f t="shared" si="865"/>
        <v>0</v>
      </c>
      <c r="AM1289">
        <f t="shared" si="866"/>
        <v>0</v>
      </c>
      <c r="AN1289">
        <f t="shared" si="867"/>
        <v>0</v>
      </c>
      <c r="AO1289">
        <f t="shared" si="868"/>
        <v>0</v>
      </c>
      <c r="AP1289">
        <f t="shared" si="869"/>
        <v>0</v>
      </c>
      <c r="AQ1289">
        <f t="shared" si="870"/>
        <v>0</v>
      </c>
      <c r="AR1289">
        <f t="shared" si="871"/>
        <v>0</v>
      </c>
      <c r="AS1289">
        <f t="shared" si="872"/>
        <v>0</v>
      </c>
      <c r="AT1289">
        <f t="shared" si="873"/>
        <v>0</v>
      </c>
      <c r="AU1289">
        <f t="shared" si="874"/>
        <v>0</v>
      </c>
      <c r="AV1289">
        <f t="shared" si="875"/>
        <v>0</v>
      </c>
      <c r="AW1289">
        <f t="shared" si="876"/>
        <v>0</v>
      </c>
      <c r="AX1289">
        <f t="shared" si="877"/>
        <v>0</v>
      </c>
      <c r="AY1289">
        <f t="shared" si="878"/>
        <v>0</v>
      </c>
    </row>
    <row r="1290" spans="1:96" ht="15" customHeight="1">
      <c r="A1290" s="110"/>
      <c r="B1290" s="57"/>
      <c r="C1290" s="1109"/>
      <c r="D1290" s="954"/>
      <c r="E1290" s="956"/>
      <c r="F1290" s="1103" t="s">
        <v>4764</v>
      </c>
      <c r="G1290" s="1103"/>
      <c r="H1290" s="1104" t="s">
        <v>4765</v>
      </c>
      <c r="I1290" s="1105"/>
      <c r="J1290" s="1105"/>
      <c r="K1290" s="1105"/>
      <c r="L1290" s="1105"/>
      <c r="M1290" s="1105"/>
      <c r="N1290" s="1105"/>
      <c r="O1290" s="1106"/>
      <c r="P1290" s="100"/>
      <c r="Q1290" s="100"/>
      <c r="R1290" s="100"/>
      <c r="S1290" s="100"/>
      <c r="T1290" s="100"/>
      <c r="U1290" s="100"/>
      <c r="V1290" s="100"/>
      <c r="W1290" s="100"/>
      <c r="X1290" s="100"/>
      <c r="Y1290" s="100"/>
      <c r="Z1290" s="100"/>
      <c r="AA1290" s="100"/>
      <c r="AB1290" s="100"/>
      <c r="AC1290" s="100"/>
      <c r="AD1290" s="100"/>
      <c r="AF1290"/>
      <c r="AG1290">
        <f t="shared" si="879"/>
        <v>0</v>
      </c>
      <c r="AH1290">
        <f t="shared" si="863"/>
        <v>0</v>
      </c>
      <c r="AK1290">
        <f t="shared" si="864"/>
        <v>0</v>
      </c>
      <c r="AL1290">
        <f t="shared" si="865"/>
        <v>0</v>
      </c>
      <c r="AM1290">
        <f t="shared" si="866"/>
        <v>0</v>
      </c>
      <c r="AN1290">
        <f t="shared" si="867"/>
        <v>0</v>
      </c>
      <c r="AO1290">
        <f t="shared" si="868"/>
        <v>0</v>
      </c>
      <c r="AP1290">
        <f t="shared" si="869"/>
        <v>0</v>
      </c>
      <c r="AQ1290">
        <f t="shared" si="870"/>
        <v>0</v>
      </c>
      <c r="AR1290">
        <f t="shared" si="871"/>
        <v>0</v>
      </c>
      <c r="AS1290">
        <f t="shared" si="872"/>
        <v>0</v>
      </c>
      <c r="AT1290">
        <f t="shared" si="873"/>
        <v>0</v>
      </c>
      <c r="AU1290">
        <f t="shared" si="874"/>
        <v>0</v>
      </c>
      <c r="AV1290">
        <f t="shared" si="875"/>
        <v>0</v>
      </c>
      <c r="AW1290">
        <f t="shared" si="876"/>
        <v>0</v>
      </c>
      <c r="AX1290">
        <f t="shared" si="877"/>
        <v>0</v>
      </c>
      <c r="AY1290">
        <f t="shared" si="878"/>
        <v>0</v>
      </c>
      <c r="AZ1290" t="s">
        <v>4766</v>
      </c>
      <c r="BA1290" t="s">
        <v>4767</v>
      </c>
      <c r="BB1290" t="s">
        <v>4768</v>
      </c>
      <c r="BC1290" t="s">
        <v>4769</v>
      </c>
      <c r="BD1290" t="s">
        <v>4770</v>
      </c>
      <c r="BE1290" t="s">
        <v>4771</v>
      </c>
      <c r="BF1290" t="s">
        <v>4772</v>
      </c>
      <c r="BG1290" t="s">
        <v>4773</v>
      </c>
      <c r="BH1290" t="s">
        <v>4774</v>
      </c>
      <c r="BI1290" t="s">
        <v>4775</v>
      </c>
      <c r="BJ1290" t="s">
        <v>4776</v>
      </c>
      <c r="BK1290" t="s">
        <v>4777</v>
      </c>
      <c r="BL1290" t="s">
        <v>4778</v>
      </c>
      <c r="BM1290" t="s">
        <v>4779</v>
      </c>
      <c r="BN1290" t="s">
        <v>4780</v>
      </c>
      <c r="BO1290" t="s">
        <v>4781</v>
      </c>
      <c r="BP1290" t="s">
        <v>4782</v>
      </c>
      <c r="BQ1290" t="s">
        <v>4783</v>
      </c>
      <c r="BR1290" t="s">
        <v>4784</v>
      </c>
      <c r="BS1290" t="s">
        <v>4785</v>
      </c>
      <c r="BT1290" t="s">
        <v>4786</v>
      </c>
      <c r="BU1290" t="s">
        <v>4787</v>
      </c>
      <c r="BV1290" t="s">
        <v>4788</v>
      </c>
      <c r="BW1290" t="s">
        <v>4789</v>
      </c>
      <c r="BX1290" t="s">
        <v>4790</v>
      </c>
      <c r="BY1290" t="s">
        <v>4791</v>
      </c>
      <c r="BZ1290" t="s">
        <v>4792</v>
      </c>
      <c r="CA1290" t="s">
        <v>4793</v>
      </c>
      <c r="CB1290" t="s">
        <v>4794</v>
      </c>
      <c r="CC1290" t="s">
        <v>4795</v>
      </c>
      <c r="CD1290" t="s">
        <v>4796</v>
      </c>
      <c r="CE1290" t="s">
        <v>4797</v>
      </c>
      <c r="CF1290" t="s">
        <v>4798</v>
      </c>
      <c r="CG1290" t="s">
        <v>4799</v>
      </c>
      <c r="CH1290" t="s">
        <v>4800</v>
      </c>
      <c r="CI1290" t="s">
        <v>4801</v>
      </c>
      <c r="CJ1290" t="s">
        <v>4802</v>
      </c>
      <c r="CK1290" t="s">
        <v>4803</v>
      </c>
      <c r="CL1290" t="s">
        <v>4804</v>
      </c>
      <c r="CM1290" t="s">
        <v>4805</v>
      </c>
      <c r="CN1290" t="s">
        <v>4806</v>
      </c>
      <c r="CO1290" t="s">
        <v>4807</v>
      </c>
      <c r="CP1290" t="s">
        <v>4808</v>
      </c>
      <c r="CQ1290" t="s">
        <v>4809</v>
      </c>
      <c r="CR1290" t="s">
        <v>4810</v>
      </c>
    </row>
    <row r="1291" spans="1:96" ht="15" customHeight="1">
      <c r="A1291" s="110"/>
      <c r="B1291" s="57"/>
      <c r="C1291" s="1109"/>
      <c r="D1291" s="954"/>
      <c r="E1291" s="956"/>
      <c r="F1291" s="1103" t="s">
        <v>4811</v>
      </c>
      <c r="G1291" s="1103"/>
      <c r="H1291" s="1104" t="s">
        <v>4812</v>
      </c>
      <c r="I1291" s="1105"/>
      <c r="J1291" s="1105"/>
      <c r="K1291" s="1105"/>
      <c r="L1291" s="1105"/>
      <c r="M1291" s="1105"/>
      <c r="N1291" s="1105"/>
      <c r="O1291" s="1106"/>
      <c r="P1291" s="100"/>
      <c r="Q1291" s="100"/>
      <c r="R1291" s="100"/>
      <c r="S1291" s="100"/>
      <c r="T1291" s="100"/>
      <c r="U1291" s="100"/>
      <c r="V1291" s="100"/>
      <c r="W1291" s="100"/>
      <c r="X1291" s="100"/>
      <c r="Y1291" s="100"/>
      <c r="Z1291" s="100"/>
      <c r="AA1291" s="100"/>
      <c r="AB1291" s="100"/>
      <c r="AC1291" s="100"/>
      <c r="AD1291" s="100"/>
      <c r="AF1291">
        <f>IF(P1291="NA",IF(AND(COUNTIF(P1292:P1297,"="&amp;$AF$934)=0,COUNTIF(P1292:P1297,"&lt;&gt;NA")&gt;0),1,0),IF(AND(COUNTIF(P1292:P1297,"="&amp;$AF$934)=0,COUNTIF(P1292:P1297,"NA")=COUNTIF(P1292:P1297,"&lt;&gt;"&amp;$AF$934)),1,0))</f>
        <v>0</v>
      </c>
      <c r="AG1291">
        <f t="shared" si="879"/>
        <v>0</v>
      </c>
      <c r="AH1291">
        <f t="shared" si="863"/>
        <v>0</v>
      </c>
      <c r="AK1291">
        <f t="shared" si="864"/>
        <v>0</v>
      </c>
      <c r="AL1291">
        <f t="shared" si="865"/>
        <v>0</v>
      </c>
      <c r="AM1291">
        <f t="shared" si="866"/>
        <v>0</v>
      </c>
      <c r="AN1291">
        <f t="shared" si="867"/>
        <v>0</v>
      </c>
      <c r="AO1291">
        <f t="shared" si="868"/>
        <v>0</v>
      </c>
      <c r="AP1291">
        <f t="shared" si="869"/>
        <v>0</v>
      </c>
      <c r="AQ1291">
        <f t="shared" si="870"/>
        <v>0</v>
      </c>
      <c r="AR1291">
        <f t="shared" si="871"/>
        <v>0</v>
      </c>
      <c r="AS1291">
        <f t="shared" si="872"/>
        <v>0</v>
      </c>
      <c r="AT1291">
        <f t="shared" si="873"/>
        <v>0</v>
      </c>
      <c r="AU1291">
        <f t="shared" si="874"/>
        <v>0</v>
      </c>
      <c r="AV1291">
        <f t="shared" si="875"/>
        <v>0</v>
      </c>
      <c r="AW1291">
        <f t="shared" si="876"/>
        <v>0</v>
      </c>
      <c r="AX1291">
        <f t="shared" si="877"/>
        <v>0</v>
      </c>
      <c r="AY1291">
        <f t="shared" si="878"/>
        <v>0</v>
      </c>
      <c r="AZ1291">
        <f>COUNTIF(P1292:P1297,"NS")</f>
        <v>0</v>
      </c>
      <c r="BA1291">
        <f>SUM(P1292:P1297)</f>
        <v>0</v>
      </c>
      <c r="BB1291">
        <f>IF(COUNTA(P1291:P1297)=0,0,IF(OR(AND(P1291=0,AZ1291&gt;0),AND(P1291="ns",BA1291&gt;0),AND(P1291="ns",AZ1291=0,BA1291=0)),1,IF(OR(AND(AZ1291&gt;=2,P1291&gt;BA1291),AND(P1291="ns",BA1291=0,AZ1291&gt;0),P1291=BA1291),0,1)))</f>
        <v>0</v>
      </c>
      <c r="BC1291">
        <f>COUNTIF(P1303:P1307,"NS")</f>
        <v>0</v>
      </c>
      <c r="BD1291">
        <f>SUM(P1303:P1307)</f>
        <v>0</v>
      </c>
      <c r="BE1291">
        <f>IF(COUNTA(P1302:P1307)=0,0,IF(OR(AND(P1302=0,BC1291&gt;0),AND(P1302="ns",BD1291&gt;0),AND(P1302="ns",BC1291=0,BD1291=0)),1,IF(OR(AND(BC1291&gt;=2,P1302&gt;BD1291),AND(P1302="ns",BD1291=0,BC1291&gt;0),P1302=BD1291),0,1)))</f>
        <v>0</v>
      </c>
      <c r="BF1291">
        <f>COUNTIF(P1312:P1329,"NS")</f>
        <v>0</v>
      </c>
      <c r="BG1291">
        <f>SUM(P1312:P1329)</f>
        <v>0</v>
      </c>
      <c r="BH1291">
        <f>IF(COUNTA(P1311:P1329)=0,0,IF(OR(AND(P1311=0,BF1291&gt;0),AND(P1311="ns",BG1291&gt;0),AND(P1311="ns",BF1291=0,BG1291=0)),1,IF(OR(AND(BF1291&gt;=2,P1311&gt;BG1291),AND(P1311="ns",BG1291=0,BF1291&gt;0),P1311=BG1291),0,1)))</f>
        <v>0</v>
      </c>
      <c r="BI1291">
        <f>COUNTIF(P1331:P1335,"NS")</f>
        <v>0</v>
      </c>
      <c r="BJ1291">
        <f>SUM(P1331:P1335)</f>
        <v>0</v>
      </c>
      <c r="BK1291">
        <f>IF(COUNTA(P1330:P1335)=0,0,IF(OR(AND(P1330=0,BI1291&gt;0),AND(P1330="ns",BJ1291&gt;0),AND(P1330="ns",BI1291=0,BJ1291=0)),1,IF(OR(AND(BI1291&gt;=2,P1330&gt;BJ1291),AND(P1330="ns",BJ1291=0,BI1291&gt;0),P1330=BJ1291),0,1)))</f>
        <v>0</v>
      </c>
      <c r="BL1291">
        <f>COUNTIF(P1339:P1341,"NS")</f>
        <v>0</v>
      </c>
      <c r="BM1291">
        <f>SUM(P1339:P1341)</f>
        <v>0</v>
      </c>
      <c r="BN1291">
        <f>IF(COUNTA(P1338:P1341)=0,0,IF(OR(AND(P1338=0,BL1291&gt;0),AND(P1338="ns",BM1291&gt;0),AND(P1338="ns",BL1291=0,BM1291=0)),1,IF(OR(AND(BL1291&gt;=2,P1338&gt;BM1291),AND(P1338="ns",BM1291=0,BL1291&gt;0),P1338=BM1291),0,1)))</f>
        <v>0</v>
      </c>
      <c r="BO1291">
        <f>COUNTIF(P1349:P1355,"NS")</f>
        <v>0</v>
      </c>
      <c r="BP1291">
        <f>SUM(P1349:P1355)</f>
        <v>0</v>
      </c>
      <c r="BQ1291">
        <f>IF(COUNTA(P1348:P1355)=0,0,IF(OR(AND(P1348=0,BO1291&gt;0),AND(P1348="ns",BP1291&gt;0),AND(P1348="ns",BO1291=0,BP1291=0)),1,IF(OR(AND(BO1291&gt;=2,P1348&gt;BP1291),AND(P1348="ns",BP1291=0,BO1291&gt;0),P1348=BP1291),0,1)))</f>
        <v>0</v>
      </c>
      <c r="BR1291">
        <f>COUNTIF(P1357:P1361,"NS")</f>
        <v>0</v>
      </c>
      <c r="BS1291">
        <f>SUM(P1357:P1361)</f>
        <v>0</v>
      </c>
      <c r="BT1291">
        <f>IF(COUNTA(P1356:P1361)=0,0,IF(OR(AND(P1356=0,BR1291&gt;0),AND(P1356="ns",BS1291&gt;0),AND(P1356="ns",BR1291=0,BS1291=0)),1,IF(OR(AND(BR1291&gt;=2,P1356&gt;BS1291),AND(P1356="ns",BS1291=0,BR1291&gt;0),P1356=BS1291),0,1)))</f>
        <v>0</v>
      </c>
      <c r="BU1291">
        <f>COUNTIF(P1367:P1372,"NS")</f>
        <v>0</v>
      </c>
      <c r="BV1291">
        <f>SUM(P1367:P1372)</f>
        <v>0</v>
      </c>
      <c r="BW1291">
        <f>IF(COUNTA(P1366:P1372)=0,0,IF(OR(AND(P1366=0,BU1291&gt;0),AND(P1366="ns",BV1291&gt;0),AND(P1366="ns",BU1291=0,BV1291=0)),1,IF(OR(AND(BU1291&gt;=2,P1366&gt;BV1291),AND(P1366="ns",BV1291=0,BU1291&gt;0),P1366=BV1291),0,1)))</f>
        <v>0</v>
      </c>
      <c r="BX1291">
        <f>COUNTIF(P1374:P1381,"NS")</f>
        <v>0</v>
      </c>
      <c r="BY1291">
        <f>SUM(P1374:P1381)</f>
        <v>0</v>
      </c>
      <c r="BZ1291">
        <f>IF(COUNTA(P1373:P1381)=0,0,IF(OR(AND(P1373=0,BX1291&gt;0),AND(P1373="ns",BY1291&gt;0),AND(P1373="ns",BX1291=0,BY1291=0)),1,IF(OR(AND(BX1291&gt;=2,P1373&gt;BY1291),AND(P1373="ns",BY1291=0,BX1291&gt;0),P1373=BY1291),0,1)))</f>
        <v>0</v>
      </c>
      <c r="CA1291">
        <f>COUNTIF(P1386:P1391,"NS")</f>
        <v>0</v>
      </c>
      <c r="CB1291">
        <f>SUM(P1386:P1391)</f>
        <v>0</v>
      </c>
      <c r="CC1291">
        <f>IF(COUNTA(P1385:P1391)=0,0,IF(OR(AND(P1385=0,CA1291&gt;0),AND(P1385="ns",CB1291&gt;0),AND(P1385="ns",CA1291=0,CB1291=0)),1,IF(OR(AND(CA1291&gt;=2,P1385&gt;CB1291),AND(P1385="ns",CB1291=0,CA1291&gt;0),P1385=CB1291),0,1)))</f>
        <v>0</v>
      </c>
      <c r="CD1291">
        <f>COUNTIF(P1396:P1404,"NS")</f>
        <v>0</v>
      </c>
      <c r="CE1291">
        <f>SUM(P1396:P1404)</f>
        <v>0</v>
      </c>
      <c r="CF1291">
        <f>IF(COUNTA(P1395:P1404)=0,0,IF(OR(AND(P1395=0,CD1291&gt;0),AND(P1395="ns",CE1291&gt;0),AND(P1395="ns",CD1291=0,CE1291=0)),1,IF(OR(AND(CD1291&gt;=2,P1395&gt;CE1291),AND(P1395="ns",CE1291=0,CD1291&gt;0),P1395=CE1291),0,1)))</f>
        <v>0</v>
      </c>
      <c r="CG1291">
        <f>COUNTIF(P1406:P1408,"NS")</f>
        <v>0</v>
      </c>
      <c r="CH1291">
        <f>SUM(P1406:P1408)</f>
        <v>0</v>
      </c>
      <c r="CI1291">
        <f>IF(COUNTA(P1405:P1408)=0,0,IF(OR(AND(P1405=0,CG1291&gt;0),AND(P1405="ns",CH1291&gt;0),AND(P1405="ns",CG1291=0,CH1291=0)),1,IF(OR(AND(CG1291&gt;=2,P1405&gt;CH1291),AND(P1405="ns",CH1291=0,CG1291&gt;0),P1405=CH1291),0,1)))</f>
        <v>0</v>
      </c>
      <c r="CJ1291">
        <f>COUNTIF(P1417:P1423,"NS")</f>
        <v>0</v>
      </c>
      <c r="CK1291">
        <f>SUM(P1417:P1423)</f>
        <v>0</v>
      </c>
      <c r="CL1291">
        <f>IF(COUNTA(P1416:P1423)=0,0,IF(OR(AND(P1416=0,CJ1291&gt;0),AND(P1416="ns",CK1291&gt;0),AND(P1416="ns",CJ1291=0,CK1291=0)),1,IF(OR(AND(CJ1291&gt;=2,P1416&gt;CK1291),AND(P1416="ns",CK1291=0,CJ1291&gt;0),P1416=CK1291),0,1)))</f>
        <v>0</v>
      </c>
      <c r="CM1291">
        <f>COUNTIF(P1426:P1428,"NS")</f>
        <v>0</v>
      </c>
      <c r="CN1291">
        <f>SUM(P1426:P1428)</f>
        <v>0</v>
      </c>
      <c r="CO1291">
        <f>IF(COUNTA(P1425:P1428)=0,0,IF(OR(AND(P1425=0,CM1291&gt;0),AND(P1425="ns",CN1291&gt;0),AND(P1425="ns",CM1291=0,CN1291=0)),1,IF(OR(AND(CM1291&gt;=2,P1425&gt;CN1291),AND(P1425="ns",CN1291=0,CM1291&gt;0),P1425=CN1291),0,1)))</f>
        <v>0</v>
      </c>
      <c r="CP1291">
        <f>COUNTIF(P1438:P1442,"NS")</f>
        <v>0</v>
      </c>
      <c r="CQ1291">
        <f>SUM(P1438:P1442)</f>
        <v>0</v>
      </c>
      <c r="CR1291">
        <f>IF(COUNTA(P1437:P1442)=0,0,IF(OR(AND(P1437=0,CP1291&gt;0),AND(P1437="ns",CQ1291&gt;0),AND(P1437="ns",CP1291=0,CQ1291=0)),1,IF(OR(AND(CP1291&gt;=2,P1437&gt;CQ1291),AND(P1437="ns",CQ1291=0,CP1291&gt;0),P1437=CQ1291),0,1)))</f>
        <v>0</v>
      </c>
    </row>
    <row r="1292" spans="1:96" ht="15" customHeight="1">
      <c r="A1292" s="110"/>
      <c r="B1292" s="57"/>
      <c r="C1292" s="1109"/>
      <c r="D1292" s="954"/>
      <c r="E1292" s="956"/>
      <c r="F1292" s="1110" t="s">
        <v>4813</v>
      </c>
      <c r="G1292" s="1110"/>
      <c r="H1292" s="177"/>
      <c r="I1292" s="1115" t="s">
        <v>4814</v>
      </c>
      <c r="J1292" s="1115"/>
      <c r="K1292" s="1115"/>
      <c r="L1292" s="1115"/>
      <c r="M1292" s="1115"/>
      <c r="N1292" s="1115"/>
      <c r="O1292" s="1116"/>
      <c r="P1292" s="100"/>
      <c r="Q1292" s="100"/>
      <c r="R1292" s="100"/>
      <c r="S1292" s="100"/>
      <c r="T1292" s="100"/>
      <c r="U1292" s="100"/>
      <c r="V1292" s="100"/>
      <c r="W1292" s="100"/>
      <c r="X1292" s="100"/>
      <c r="Y1292" s="100"/>
      <c r="Z1292" s="100"/>
      <c r="AA1292" s="100"/>
      <c r="AB1292" s="100"/>
      <c r="AC1292" s="100"/>
      <c r="AD1292" s="100"/>
      <c r="AF1292"/>
      <c r="AG1292">
        <f t="shared" si="879"/>
        <v>0</v>
      </c>
      <c r="AH1292">
        <f t="shared" si="863"/>
        <v>0</v>
      </c>
      <c r="AK1292">
        <f t="shared" si="864"/>
        <v>0</v>
      </c>
      <c r="AL1292">
        <f t="shared" si="865"/>
        <v>0</v>
      </c>
      <c r="AM1292">
        <f t="shared" si="866"/>
        <v>0</v>
      </c>
      <c r="AN1292">
        <f t="shared" si="867"/>
        <v>0</v>
      </c>
      <c r="AO1292">
        <f t="shared" si="868"/>
        <v>0</v>
      </c>
      <c r="AP1292">
        <f t="shared" si="869"/>
        <v>0</v>
      </c>
      <c r="AQ1292">
        <f t="shared" si="870"/>
        <v>0</v>
      </c>
      <c r="AR1292">
        <f t="shared" si="871"/>
        <v>0</v>
      </c>
      <c r="AS1292">
        <f t="shared" si="872"/>
        <v>0</v>
      </c>
      <c r="AT1292">
        <f t="shared" si="873"/>
        <v>0</v>
      </c>
      <c r="AU1292">
        <f t="shared" si="874"/>
        <v>0</v>
      </c>
      <c r="AV1292">
        <f t="shared" si="875"/>
        <v>0</v>
      </c>
      <c r="AW1292">
        <f t="shared" si="876"/>
        <v>0</v>
      </c>
      <c r="AX1292">
        <f t="shared" si="877"/>
        <v>0</v>
      </c>
      <c r="AY1292">
        <f t="shared" si="878"/>
        <v>0</v>
      </c>
      <c r="AZ1292">
        <f>COUNTIF(Q1292:Q1297,"NS")</f>
        <v>0</v>
      </c>
      <c r="BA1292">
        <f>SUM(Q1292:Q1297)</f>
        <v>0</v>
      </c>
      <c r="BB1292">
        <f>IF(COUNTA(Q1291:Q1297)=0,0,IF(OR(AND(Q1291=0,AZ1292&gt;0),AND(Q1291="ns",BA1292&gt;0),AND(Q1291="ns",AZ1292=0,BA1292=0)),1,IF(OR(AND(AZ1292&gt;=2,Q1291&gt;BA1292),AND(Q1291="ns",BA1292=0,AZ1292&gt;0),Q1291=BA1292),0,1)))</f>
        <v>0</v>
      </c>
      <c r="BC1292">
        <f>COUNTIF(Q1303:Q1307,"NS")</f>
        <v>0</v>
      </c>
      <c r="BD1292">
        <f>SUM(Q1303:Q1307)</f>
        <v>0</v>
      </c>
      <c r="BE1292">
        <f>IF(COUNTA(Q1302:Q1307)=0,0,IF(OR(AND(Q1302=0,BC1292&gt;0),AND(Q1302="ns",BD1292&gt;0),AND(Q1302="ns",BC1292=0,BD1292=0)),1,IF(OR(AND(BC1292&gt;=2,Q1302&gt;BD1292),AND(Q1302="ns",BD1292=0,BC1292&gt;0),Q1302=BD1292),0,1)))</f>
        <v>0</v>
      </c>
      <c r="BF1292">
        <f>COUNTIF(Q1312:Q1329,"NS")</f>
        <v>0</v>
      </c>
      <c r="BG1292">
        <f>SUM(Q1312:Q1329)</f>
        <v>0</v>
      </c>
      <c r="BH1292">
        <f>IF(COUNTA(Q1311:Q1329)=0,0,IF(OR(AND(Q1311=0,BF1292&gt;0),AND(Q1311="ns",BG1292&gt;0),AND(Q1311="ns",BF1292=0,BG1292=0)),1,IF(OR(AND(BF1292&gt;=2,Q1311&gt;BG1292),AND(Q1311="ns",BG1292=0,BF1292&gt;0),Q1311=BG1292),0,1)))</f>
        <v>0</v>
      </c>
      <c r="BI1292">
        <f>COUNTIF(Q1331:Q1335,"NS")</f>
        <v>0</v>
      </c>
      <c r="BJ1292">
        <f>SUM(Q1331:Q1335)</f>
        <v>0</v>
      </c>
      <c r="BK1292">
        <f>IF(COUNTA(Q1330:Q1335)=0,0,IF(OR(AND(Q1330=0,BI1292&gt;0),AND(Q1330="ns",BJ1292&gt;0),AND(Q1330="ns",BI1292=0,BJ1292=0)),1,IF(OR(AND(BI1292&gt;=2,Q1330&gt;BJ1292),AND(Q1330="ns",BJ1292=0,BI1292&gt;0),Q1330=BJ1292),0,1)))</f>
        <v>0</v>
      </c>
      <c r="BL1292">
        <f>COUNTIF(Q1339:Q1341,"NS")</f>
        <v>0</v>
      </c>
      <c r="BM1292">
        <f>SUM(Q1339:Q1341)</f>
        <v>0</v>
      </c>
      <c r="BN1292">
        <f>IF(COUNTA(Q1338:Q1341)=0,0,IF(OR(AND(Q1338=0,BL1292&gt;0),AND(Q1338="ns",BM1292&gt;0),AND(Q1338="ns",BL1292=0,BM1292=0)),1,IF(OR(AND(BL1292&gt;=2,Q1338&gt;BM1292),AND(Q1338="ns",BM1292=0,BL1292&gt;0),Q1338=BM1292),0,1)))</f>
        <v>0</v>
      </c>
      <c r="BO1292">
        <f>COUNTIF(Q1349:Q1355,"NS")</f>
        <v>0</v>
      </c>
      <c r="BP1292">
        <f>SUM(Q1349:Q1355)</f>
        <v>0</v>
      </c>
      <c r="BQ1292">
        <f>IF(COUNTA(Q1348:Q1355)=0,0,IF(OR(AND(Q1348=0,BO1292&gt;0),AND(Q1348="ns",BP1292&gt;0),AND(Q1348="ns",BO1292=0,BP1292=0)),1,IF(OR(AND(BO1292&gt;=2,Q1348&gt;BP1292),AND(Q1348="ns",BP1292=0,BO1292&gt;0),Q1348=BP1292),0,1)))</f>
        <v>0</v>
      </c>
      <c r="BR1292">
        <f>COUNTIF(Q1357:Q1361,"NS")</f>
        <v>0</v>
      </c>
      <c r="BS1292">
        <f>SUM(Q1357:Q1361)</f>
        <v>0</v>
      </c>
      <c r="BT1292">
        <f>IF(COUNTA(Q1356:Q1361)=0,0,IF(OR(AND(Q1356=0,BR1292&gt;0),AND(Q1356="ns",BS1292&gt;0),AND(Q1356="ns",BR1292=0,BS1292=0)),1,IF(OR(AND(BR1292&gt;=2,Q1356&gt;BS1292),AND(Q1356="ns",BS1292=0,BR1292&gt;0),Q1356=BS1292),0,1)))</f>
        <v>0</v>
      </c>
      <c r="BU1292">
        <f>COUNTIF(Q1367:Q1372,"NS")</f>
        <v>0</v>
      </c>
      <c r="BV1292">
        <f>SUM(Q1367:Q1372)</f>
        <v>0</v>
      </c>
      <c r="BW1292">
        <f>IF(COUNTA(Q1366:Q1372)=0,0,IF(OR(AND(Q1366=0,BU1292&gt;0),AND(Q1366="ns",BV1292&gt;0),AND(Q1366="ns",BU1292=0,BV1292=0)),1,IF(OR(AND(BU1292&gt;=2,Q1366&gt;BV1292),AND(Q1366="ns",BV1292=0,BU1292&gt;0),Q1366=BV1292),0,1)))</f>
        <v>0</v>
      </c>
      <c r="BX1292">
        <f>COUNTIF(Q1374:Q1381,"NS")</f>
        <v>0</v>
      </c>
      <c r="BY1292">
        <f>SUM(Q1374:Q1381)</f>
        <v>0</v>
      </c>
      <c r="BZ1292">
        <f>IF(COUNTA(Q1373:Q1381)=0,0,IF(OR(AND(Q1373=0,BX1292&gt;0),AND(Q1373="ns",BY1292&gt;0),AND(Q1373="ns",BX1292=0,BY1292=0)),1,IF(OR(AND(BX1292&gt;=2,Q1373&gt;BY1292),AND(Q1373="ns",BY1292=0,BX1292&gt;0),Q1373=BY1292),0,1)))</f>
        <v>0</v>
      </c>
      <c r="CA1292">
        <f>COUNTIF(Q1386:Q1391,"NS")</f>
        <v>0</v>
      </c>
      <c r="CB1292">
        <f>SUM(Q1386:Q1391)</f>
        <v>0</v>
      </c>
      <c r="CC1292">
        <f>IF(COUNTA(Q1385:Q1391)=0,0,IF(OR(AND(Q1385=0,CA1292&gt;0),AND(Q1385="ns",CB1292&gt;0),AND(Q1385="ns",CA1292=0,CB1292=0)),1,IF(OR(AND(CA1292&gt;=2,Q1385&gt;CB1292),AND(Q1385="ns",CB1292=0,CA1292&gt;0),Q1385=CB1292),0,1)))</f>
        <v>0</v>
      </c>
      <c r="CD1292">
        <f>COUNTIF(Q1396:Q1404,"NS")</f>
        <v>0</v>
      </c>
      <c r="CE1292">
        <f>SUM(Q1396:Q1404)</f>
        <v>0</v>
      </c>
      <c r="CF1292">
        <f>IF(COUNTA(Q1395:Q1404)=0,0,IF(OR(AND(Q1395=0,CD1292&gt;0),AND(Q1395="ns",CE1292&gt;0),AND(Q1395="ns",CD1292=0,CE1292=0)),1,IF(OR(AND(CD1292&gt;=2,Q1395&gt;CE1292),AND(Q1395="ns",CE1292=0,CD1292&gt;0),Q1395=CE1292),0,1)))</f>
        <v>0</v>
      </c>
      <c r="CG1292">
        <f>COUNTIF(Q1406:Q1408,"NS")</f>
        <v>0</v>
      </c>
      <c r="CH1292">
        <f>SUM(Q1406:Q1408)</f>
        <v>0</v>
      </c>
      <c r="CI1292">
        <f>IF(COUNTA(Q1405:Q1408)=0,0,IF(OR(AND(Q1405=0,CG1292&gt;0),AND(Q1405="ns",CH1292&gt;0),AND(Q1405="ns",CG1292=0,CH1292=0)),1,IF(OR(AND(CG1292&gt;=2,Q1405&gt;CH1292),AND(Q1405="ns",CH1292=0,CG1292&gt;0),Q1405=CH1292),0,1)))</f>
        <v>0</v>
      </c>
      <c r="CJ1292">
        <f>COUNTIF(Q1417:Q1423,"NS")</f>
        <v>0</v>
      </c>
      <c r="CK1292">
        <f>SUM(Q1417:Q1423)</f>
        <v>0</v>
      </c>
      <c r="CL1292">
        <f>IF(COUNTA(Q1416:Q1423)=0,0,IF(OR(AND(Q1416=0,CJ1292&gt;0),AND(Q1416="ns",CK1292&gt;0),AND(Q1416="ns",CJ1292=0,CK1292=0)),1,IF(OR(AND(CJ1292&gt;=2,Q1416&gt;CK1292),AND(Q1416="ns",CK1292=0,CJ1292&gt;0),Q1416=CK1292),0,1)))</f>
        <v>0</v>
      </c>
      <c r="CM1292">
        <f>COUNTIF(Q1426:Q1428,"NS")</f>
        <v>0</v>
      </c>
      <c r="CN1292">
        <f>SUM(Q1426:Q1428)</f>
        <v>0</v>
      </c>
      <c r="CO1292">
        <f>IF(COUNTA(Q1425:Q1428)=0,0,IF(OR(AND(Q1425=0,CM1292&gt;0),AND(Q1425="ns",CN1292&gt;0),AND(Q1425="ns",CM1292=0,CN1292=0)),1,IF(OR(AND(CM1292&gt;=2,Q1425&gt;CN1292),AND(Q1425="ns",CN1292=0,CM1292&gt;0),Q1425=CN1292),0,1)))</f>
        <v>0</v>
      </c>
      <c r="CP1292">
        <f>COUNTIF(Q1438:Q1442,"NS")</f>
        <v>0</v>
      </c>
      <c r="CQ1292">
        <f>SUM(Q1438:Q1442)</f>
        <v>0</v>
      </c>
      <c r="CR1292">
        <f>IF(COUNTA(Q1437:Q1442)=0,0,IF(OR(AND(Q1437=0,CP1292&gt;0),AND(Q1437="ns",CQ1292&gt;0),AND(Q1437="ns",CP1292=0,CQ1292=0)),1,IF(OR(AND(CP1292&gt;=2,Q1437&gt;CQ1292),AND(Q1437="ns",CQ1292=0,CP1292&gt;0),Q1437=CQ1292),0,1)))</f>
        <v>0</v>
      </c>
    </row>
    <row r="1293" spans="1:96" ht="15" customHeight="1">
      <c r="A1293" s="110"/>
      <c r="B1293" s="57"/>
      <c r="C1293" s="1109"/>
      <c r="D1293" s="954"/>
      <c r="E1293" s="956"/>
      <c r="F1293" s="1110" t="s">
        <v>4815</v>
      </c>
      <c r="G1293" s="1110"/>
      <c r="H1293" s="178"/>
      <c r="I1293" s="1111" t="s">
        <v>4816</v>
      </c>
      <c r="J1293" s="1111"/>
      <c r="K1293" s="1111"/>
      <c r="L1293" s="1111"/>
      <c r="M1293" s="1111"/>
      <c r="N1293" s="1111"/>
      <c r="O1293" s="1112"/>
      <c r="P1293" s="100"/>
      <c r="Q1293" s="100"/>
      <c r="R1293" s="100"/>
      <c r="S1293" s="100"/>
      <c r="T1293" s="100"/>
      <c r="U1293" s="100"/>
      <c r="V1293" s="100"/>
      <c r="W1293" s="100"/>
      <c r="X1293" s="100"/>
      <c r="Y1293" s="100"/>
      <c r="Z1293" s="100"/>
      <c r="AA1293" s="100"/>
      <c r="AB1293" s="100"/>
      <c r="AC1293" s="100"/>
      <c r="AD1293" s="100"/>
      <c r="AF1293"/>
      <c r="AG1293">
        <f t="shared" si="879"/>
        <v>0</v>
      </c>
      <c r="AH1293">
        <f t="shared" si="863"/>
        <v>0</v>
      </c>
      <c r="AK1293">
        <f t="shared" si="864"/>
        <v>0</v>
      </c>
      <c r="AL1293">
        <f t="shared" si="865"/>
        <v>0</v>
      </c>
      <c r="AM1293">
        <f t="shared" si="866"/>
        <v>0</v>
      </c>
      <c r="AN1293">
        <f t="shared" si="867"/>
        <v>0</v>
      </c>
      <c r="AO1293">
        <f t="shared" si="868"/>
        <v>0</v>
      </c>
      <c r="AP1293">
        <f t="shared" si="869"/>
        <v>0</v>
      </c>
      <c r="AQ1293">
        <f t="shared" si="870"/>
        <v>0</v>
      </c>
      <c r="AR1293">
        <f t="shared" si="871"/>
        <v>0</v>
      </c>
      <c r="AS1293">
        <f t="shared" si="872"/>
        <v>0</v>
      </c>
      <c r="AT1293">
        <f t="shared" si="873"/>
        <v>0</v>
      </c>
      <c r="AU1293">
        <f t="shared" si="874"/>
        <v>0</v>
      </c>
      <c r="AV1293">
        <f t="shared" si="875"/>
        <v>0</v>
      </c>
      <c r="AW1293">
        <f t="shared" si="876"/>
        <v>0</v>
      </c>
      <c r="AX1293">
        <f t="shared" si="877"/>
        <v>0</v>
      </c>
      <c r="AY1293">
        <f t="shared" si="878"/>
        <v>0</v>
      </c>
      <c r="AZ1293">
        <f>COUNTIF(R1292:R1297,"NS")</f>
        <v>0</v>
      </c>
      <c r="BA1293">
        <f>SUM(R1292:R1297)</f>
        <v>0</v>
      </c>
      <c r="BB1293">
        <f>IF(COUNTA(R1291:R1297)=0,0,IF(OR(AND(R1291=0,AZ1293&gt;0),AND(R1291="ns",BA1293&gt;0),AND(R1291="ns",AZ1293=0,BA1293=0)),1,IF(OR(AND(AZ1293&gt;=2,R1291&gt;BA1293),AND(R1291="ns",BA1293=0,AZ1293&gt;0),R1291=BA1293),0,1)))</f>
        <v>0</v>
      </c>
      <c r="BC1293">
        <f>COUNTIF(R1303:R1307,"NS")</f>
        <v>0</v>
      </c>
      <c r="BD1293">
        <f>SUM(R1303:R1307)</f>
        <v>0</v>
      </c>
      <c r="BE1293">
        <f>IF(COUNTA(R1302:R1307)=0,0,IF(OR(AND(R1302=0,BC1293&gt;0),AND(R1302="ns",BD1293&gt;0),AND(R1302="ns",BC1293=0,BD1293=0)),1,IF(OR(AND(BC1293&gt;=2,R1302&gt;BD1293),AND(R1302="ns",BD1293=0,BC1293&gt;0),R1302=BD1293),0,1)))</f>
        <v>0</v>
      </c>
      <c r="BF1293">
        <f>COUNTIF(R1312:R1329,"NS")</f>
        <v>0</v>
      </c>
      <c r="BG1293">
        <f>SUM(R1312:R1329)</f>
        <v>0</v>
      </c>
      <c r="BH1293">
        <f>IF(COUNTA(R1311:R1329)=0,0,IF(OR(AND(R1311=0,BF1293&gt;0),AND(R1311="ns",BG1293&gt;0),AND(R1311="ns",BF1293=0,BG1293=0)),1,IF(OR(AND(BF1293&gt;=2,R1311&gt;BG1293),AND(R1311="ns",BG1293=0,BF1293&gt;0),R1311=BG1293),0,1)))</f>
        <v>0</v>
      </c>
      <c r="BI1293">
        <f>COUNTIF(R1331:R1335,"NS")</f>
        <v>0</v>
      </c>
      <c r="BJ1293">
        <f>SUM(R1331:R1335)</f>
        <v>0</v>
      </c>
      <c r="BK1293">
        <f>IF(COUNTA(R1330:R1335)=0,0,IF(OR(AND(R1330=0,BI1293&gt;0),AND(R1330="ns",BJ1293&gt;0),AND(R1330="ns",BI1293=0,BJ1293=0)),1,IF(OR(AND(BI1293&gt;=2,R1330&gt;BJ1293),AND(R1330="ns",BJ1293=0,BI1293&gt;0),R1330=BJ1293),0,1)))</f>
        <v>0</v>
      </c>
      <c r="BL1293">
        <f>COUNTIF(R1339:R1341,"NS")</f>
        <v>0</v>
      </c>
      <c r="BM1293">
        <f>SUM(R1339:R1341)</f>
        <v>0</v>
      </c>
      <c r="BN1293">
        <f>IF(COUNTA(R1338:R1341)=0,0,IF(OR(AND(R1338=0,BL1293&gt;0),AND(R1338="ns",BM1293&gt;0),AND(R1338="ns",BL1293=0,BM1293=0)),1,IF(OR(AND(BL1293&gt;=2,R1338&gt;BM1293),AND(R1338="ns",BM1293=0,BL1293&gt;0),R1338=BM1293),0,1)))</f>
        <v>0</v>
      </c>
      <c r="BO1293">
        <f>COUNTIF(R1349:R1355,"NS")</f>
        <v>0</v>
      </c>
      <c r="BP1293">
        <f>SUM(R1349:R1355)</f>
        <v>0</v>
      </c>
      <c r="BQ1293">
        <f>IF(COUNTA(R1348:R1355)=0,0,IF(OR(AND(R1348=0,BO1293&gt;0),AND(R1348="ns",BP1293&gt;0),AND(R1348="ns",BO1293=0,BP1293=0)),1,IF(OR(AND(BO1293&gt;=2,R1348&gt;BP1293),AND(R1348="ns",BP1293=0,BO1293&gt;0),R1348=BP1293),0,1)))</f>
        <v>0</v>
      </c>
      <c r="BR1293">
        <f>COUNTIF(R1357:R1361,"NS")</f>
        <v>0</v>
      </c>
      <c r="BS1293">
        <f>SUM(R1357:R1361)</f>
        <v>0</v>
      </c>
      <c r="BT1293">
        <f>IF(COUNTA(R1356:R1361)=0,0,IF(OR(AND(R1356=0,BR1293&gt;0),AND(R1356="ns",BS1293&gt;0),AND(R1356="ns",BR1293=0,BS1293=0)),1,IF(OR(AND(BR1293&gt;=2,R1356&gt;BS1293),AND(R1356="ns",BS1293=0,BR1293&gt;0),R1356=BS1293),0,1)))</f>
        <v>0</v>
      </c>
      <c r="BU1293">
        <f>COUNTIF(R1367:R1372,"NS")</f>
        <v>0</v>
      </c>
      <c r="BV1293">
        <f>SUM(R1367:R1372)</f>
        <v>0</v>
      </c>
      <c r="BW1293">
        <f>IF(COUNTA(R1366:R1372)=0,0,IF(OR(AND(R1366=0,BU1293&gt;0),AND(R1366="ns",BV1293&gt;0),AND(R1366="ns",BU1293=0,BV1293=0)),1,IF(OR(AND(BU1293&gt;=2,R1366&gt;BV1293),AND(R1366="ns",BV1293=0,BU1293&gt;0),R1366=BV1293),0,1)))</f>
        <v>0</v>
      </c>
      <c r="BX1293">
        <f>COUNTIF(R1374:R1381,"NS")</f>
        <v>0</v>
      </c>
      <c r="BY1293">
        <f>SUM(R1374:R1381)</f>
        <v>0</v>
      </c>
      <c r="BZ1293">
        <f>IF(COUNTA(R1373:R1381)=0,0,IF(OR(AND(R1373=0,BX1293&gt;0),AND(R1373="ns",BY1293&gt;0),AND(R1373="ns",BX1293=0,BY1293=0)),1,IF(OR(AND(BX1293&gt;=2,R1373&gt;BY1293),AND(R1373="ns",BY1293=0,BX1293&gt;0),R1373=BY1293),0,1)))</f>
        <v>0</v>
      </c>
      <c r="CA1293">
        <f>COUNTIF(R1386:R1391,"NS")</f>
        <v>0</v>
      </c>
      <c r="CB1293">
        <f>SUM(R1386:R1391)</f>
        <v>0</v>
      </c>
      <c r="CC1293">
        <f>IF(COUNTA(R1385:R1391)=0,0,IF(OR(AND(R1385=0,CA1293&gt;0),AND(R1385="ns",CB1293&gt;0),AND(R1385="ns",CA1293=0,CB1293=0)),1,IF(OR(AND(CA1293&gt;=2,R1385&gt;CB1293),AND(R1385="ns",CB1293=0,CA1293&gt;0),R1385=CB1293),0,1)))</f>
        <v>0</v>
      </c>
      <c r="CD1293">
        <f>COUNTIF(R1396:R1404,"NS")</f>
        <v>0</v>
      </c>
      <c r="CE1293">
        <f>SUM(R1396:R1404)</f>
        <v>0</v>
      </c>
      <c r="CF1293">
        <f>IF(COUNTA(R1395:R1404)=0,0,IF(OR(AND(R1395=0,CD1293&gt;0),AND(R1395="ns",CE1293&gt;0),AND(R1395="ns",CD1293=0,CE1293=0)),1,IF(OR(AND(CD1293&gt;=2,R1395&gt;CE1293),AND(R1395="ns",CE1293=0,CD1293&gt;0),R1395=CE1293),0,1)))</f>
        <v>0</v>
      </c>
      <c r="CG1293">
        <f>COUNTIF(R1406:R1408,"NS")</f>
        <v>0</v>
      </c>
      <c r="CH1293">
        <f>SUM(R1406:R1408)</f>
        <v>0</v>
      </c>
      <c r="CI1293">
        <f>IF(COUNTA(R1405:R1408)=0,0,IF(OR(AND(R1405=0,CG1293&gt;0),AND(R1405="ns",CH1293&gt;0),AND(R1405="ns",CG1293=0,CH1293=0)),1,IF(OR(AND(CG1293&gt;=2,R1405&gt;CH1293),AND(R1405="ns",CH1293=0,CG1293&gt;0),R1405=CH1293),0,1)))</f>
        <v>0</v>
      </c>
      <c r="CJ1293">
        <f>COUNTIF(R1417:R1423,"NS")</f>
        <v>0</v>
      </c>
      <c r="CK1293">
        <f>SUM(R1417:R1423)</f>
        <v>0</v>
      </c>
      <c r="CL1293">
        <f>IF(COUNTA(R1416:R1423)=0,0,IF(OR(AND(R1416=0,CJ1293&gt;0),AND(R1416="ns",CK1293&gt;0),AND(R1416="ns",CJ1293=0,CK1293=0)),1,IF(OR(AND(CJ1293&gt;=2,R1416&gt;CK1293),AND(R1416="ns",CK1293=0,CJ1293&gt;0),R1416=CK1293),0,1)))</f>
        <v>0</v>
      </c>
      <c r="CM1293">
        <f>COUNTIF(R1426:R1428,"NS")</f>
        <v>0</v>
      </c>
      <c r="CN1293">
        <f>SUM(R1426:R1428)</f>
        <v>0</v>
      </c>
      <c r="CO1293">
        <f>IF(COUNTA(R1425:R1428)=0,0,IF(OR(AND(R1425=0,CM1293&gt;0),AND(R1425="ns",CN1293&gt;0),AND(R1425="ns",CM1293=0,CN1293=0)),1,IF(OR(AND(CM1293&gt;=2,R1425&gt;CN1293),AND(R1425="ns",CN1293=0,CM1293&gt;0),R1425=CN1293),0,1)))</f>
        <v>0</v>
      </c>
      <c r="CP1293">
        <f>COUNTIF(R1438:R1442,"NS")</f>
        <v>0</v>
      </c>
      <c r="CQ1293">
        <f>SUM(R1438:R1442)</f>
        <v>0</v>
      </c>
      <c r="CR1293">
        <f>IF(COUNTA(R1437:R1442)=0,0,IF(OR(AND(R1437=0,CP1293&gt;0),AND(R1437="ns",CQ1293&gt;0),AND(R1437="ns",CP1293=0,CQ1293=0)),1,IF(OR(AND(CP1293&gt;=2,R1437&gt;CQ1293),AND(R1437="ns",CQ1293=0,CP1293&gt;0),R1437=CQ1293),0,1)))</f>
        <v>0</v>
      </c>
    </row>
    <row r="1294" spans="1:96" ht="15" customHeight="1">
      <c r="A1294" s="110"/>
      <c r="B1294" s="57"/>
      <c r="C1294" s="1109"/>
      <c r="D1294" s="954"/>
      <c r="E1294" s="956"/>
      <c r="F1294" s="1110" t="s">
        <v>4817</v>
      </c>
      <c r="G1294" s="1110"/>
      <c r="H1294" s="178"/>
      <c r="I1294" s="1111" t="s">
        <v>4818</v>
      </c>
      <c r="J1294" s="1111"/>
      <c r="K1294" s="1111"/>
      <c r="L1294" s="1111"/>
      <c r="M1294" s="1111"/>
      <c r="N1294" s="1111"/>
      <c r="O1294" s="1112"/>
      <c r="P1294" s="100"/>
      <c r="Q1294" s="100"/>
      <c r="R1294" s="100"/>
      <c r="S1294" s="100"/>
      <c r="T1294" s="100"/>
      <c r="U1294" s="100"/>
      <c r="V1294" s="100"/>
      <c r="W1294" s="100"/>
      <c r="X1294" s="100"/>
      <c r="Y1294" s="100"/>
      <c r="Z1294" s="100"/>
      <c r="AA1294" s="100"/>
      <c r="AB1294" s="100"/>
      <c r="AC1294" s="100"/>
      <c r="AD1294" s="100"/>
      <c r="AF1294"/>
      <c r="AG1294">
        <f t="shared" si="879"/>
        <v>0</v>
      </c>
      <c r="AH1294">
        <f t="shared" si="863"/>
        <v>0</v>
      </c>
      <c r="AK1294">
        <f t="shared" si="864"/>
        <v>0</v>
      </c>
      <c r="AL1294">
        <f t="shared" si="865"/>
        <v>0</v>
      </c>
      <c r="AM1294">
        <f t="shared" si="866"/>
        <v>0</v>
      </c>
      <c r="AN1294">
        <f t="shared" si="867"/>
        <v>0</v>
      </c>
      <c r="AO1294">
        <f t="shared" si="868"/>
        <v>0</v>
      </c>
      <c r="AP1294">
        <f t="shared" si="869"/>
        <v>0</v>
      </c>
      <c r="AQ1294">
        <f t="shared" si="870"/>
        <v>0</v>
      </c>
      <c r="AR1294">
        <f t="shared" si="871"/>
        <v>0</v>
      </c>
      <c r="AS1294">
        <f t="shared" si="872"/>
        <v>0</v>
      </c>
      <c r="AT1294">
        <f t="shared" si="873"/>
        <v>0</v>
      </c>
      <c r="AU1294">
        <f t="shared" si="874"/>
        <v>0</v>
      </c>
      <c r="AV1294">
        <f t="shared" si="875"/>
        <v>0</v>
      </c>
      <c r="AW1294">
        <f t="shared" si="876"/>
        <v>0</v>
      </c>
      <c r="AX1294">
        <f t="shared" si="877"/>
        <v>0</v>
      </c>
      <c r="AY1294">
        <f t="shared" si="878"/>
        <v>0</v>
      </c>
      <c r="AZ1294">
        <f>COUNTIF(S1292:S1297,"NS")</f>
        <v>0</v>
      </c>
      <c r="BA1294">
        <f>SUM(S1292:S1297)</f>
        <v>0</v>
      </c>
      <c r="BB1294">
        <f>IF(COUNTA(S1291:S1297)=0,0,IF(OR(AND(S1291=0,AZ1294&gt;0),AND(S1291="ns",BA1294&gt;0),AND(S1291="ns",AZ1294=0,BA1294=0)),1,IF(OR(AND(AZ1294&gt;=2,S1291&gt;BA1294),AND(S1291="ns",BA1294=0,AZ1294&gt;0),S1291=BA1294),0,1)))</f>
        <v>0</v>
      </c>
      <c r="BC1294">
        <f>COUNTIF(S1303:S1307,"NS")</f>
        <v>0</v>
      </c>
      <c r="BD1294">
        <f>SUM(S1303:S1307)</f>
        <v>0</v>
      </c>
      <c r="BE1294">
        <f>IF(COUNTA(S1302:S1307)=0,0,IF(OR(AND(S1302=0,BC1294&gt;0),AND(S1302="ns",BD1294&gt;0),AND(S1302="ns",BC1294=0,BD1294=0)),1,IF(OR(AND(BC1294&gt;=2,S1302&gt;BD1294),AND(S1302="ns",BD1294=0,BC1294&gt;0),S1302=BD1294),0,1)))</f>
        <v>0</v>
      </c>
      <c r="BF1294">
        <f>COUNTIF(S1312:S1329,"NS")</f>
        <v>0</v>
      </c>
      <c r="BG1294">
        <f>SUM(S1312:S1329)</f>
        <v>0</v>
      </c>
      <c r="BH1294">
        <f>IF(COUNTA(S1311:S1329)=0,0,IF(OR(AND(S1311=0,BF1294&gt;0),AND(S1311="ns",BG1294&gt;0),AND(S1311="ns",BF1294=0,BG1294=0)),1,IF(OR(AND(BF1294&gt;=2,S1311&gt;BG1294),AND(S1311="ns",BG1294=0,BF1294&gt;0),S1311=BG1294),0,1)))</f>
        <v>0</v>
      </c>
      <c r="BI1294">
        <f>COUNTIF(S1331:S1335,"NS")</f>
        <v>0</v>
      </c>
      <c r="BJ1294">
        <f>SUM(S1331:S1335)</f>
        <v>0</v>
      </c>
      <c r="BK1294">
        <f>IF(COUNTA(S1330:S1335)=0,0,IF(OR(AND(S1330=0,BI1294&gt;0),AND(S1330="ns",BJ1294&gt;0),AND(S1330="ns",BI1294=0,BJ1294=0)),1,IF(OR(AND(BI1294&gt;=2,S1330&gt;BJ1294),AND(S1330="ns",BJ1294=0,BI1294&gt;0),S1330=BJ1294),0,1)))</f>
        <v>0</v>
      </c>
      <c r="BL1294">
        <f>COUNTIF(S1339:S1341,"NS")</f>
        <v>0</v>
      </c>
      <c r="BM1294">
        <f>SUM(S1339:S1341)</f>
        <v>0</v>
      </c>
      <c r="BN1294">
        <f>IF(COUNTA(S1338:S1341)=0,0,IF(OR(AND(S1338=0,BL1294&gt;0),AND(S1338="ns",BM1294&gt;0),AND(S1338="ns",BL1294=0,BM1294=0)),1,IF(OR(AND(BL1294&gt;=2,S1338&gt;BM1294),AND(S1338="ns",BM1294=0,BL1294&gt;0),S1338=BM1294),0,1)))</f>
        <v>0</v>
      </c>
      <c r="BO1294">
        <f>COUNTIF(S1349:S1355,"NS")</f>
        <v>0</v>
      </c>
      <c r="BP1294">
        <f>SUM(S1349:S1355)</f>
        <v>0</v>
      </c>
      <c r="BQ1294">
        <f>IF(COUNTA(S1348:S1355)=0,0,IF(OR(AND(S1348=0,BO1294&gt;0),AND(S1348="ns",BP1294&gt;0),AND(S1348="ns",BO1294=0,BP1294=0)),1,IF(OR(AND(BO1294&gt;=2,S1348&gt;BP1294),AND(S1348="ns",BP1294=0,BO1294&gt;0),S1348=BP1294),0,1)))</f>
        <v>0</v>
      </c>
      <c r="BR1294">
        <f>COUNTIF(S1357:S1361,"NS")</f>
        <v>0</v>
      </c>
      <c r="BS1294">
        <f>SUM(S1357:S1361)</f>
        <v>0</v>
      </c>
      <c r="BT1294">
        <f>IF(COUNTA(S1356:S1361)=0,0,IF(OR(AND(S1356=0,BR1294&gt;0),AND(S1356="ns",BS1294&gt;0),AND(S1356="ns",BR1294=0,BS1294=0)),1,IF(OR(AND(BR1294&gt;=2,S1356&gt;BS1294),AND(S1356="ns",BS1294=0,BR1294&gt;0),S1356=BS1294),0,1)))</f>
        <v>0</v>
      </c>
      <c r="BU1294">
        <f>COUNTIF(S1367:S1372,"NS")</f>
        <v>0</v>
      </c>
      <c r="BV1294">
        <f>SUM(S1367:S1372)</f>
        <v>0</v>
      </c>
      <c r="BW1294">
        <f>IF(COUNTA(S1366:S1372)=0,0,IF(OR(AND(S1366=0,BU1294&gt;0),AND(S1366="ns",BV1294&gt;0),AND(S1366="ns",BU1294=0,BV1294=0)),1,IF(OR(AND(BU1294&gt;=2,S1366&gt;BV1294),AND(S1366="ns",BV1294=0,BU1294&gt;0),S1366=BV1294),0,1)))</f>
        <v>0</v>
      </c>
      <c r="BX1294">
        <f>COUNTIF(S1374:S1381,"NS")</f>
        <v>0</v>
      </c>
      <c r="BY1294">
        <f>SUM(S1374:S1381)</f>
        <v>0</v>
      </c>
      <c r="BZ1294">
        <f>IF(COUNTA(S1373:S1381)=0,0,IF(OR(AND(S1373=0,BX1294&gt;0),AND(S1373="ns",BY1294&gt;0),AND(S1373="ns",BX1294=0,BY1294=0)),1,IF(OR(AND(BX1294&gt;=2,S1373&gt;BY1294),AND(S1373="ns",BY1294=0,BX1294&gt;0),S1373=BY1294),0,1)))</f>
        <v>0</v>
      </c>
      <c r="CA1294">
        <f>COUNTIF(S1386:S1391,"NS")</f>
        <v>0</v>
      </c>
      <c r="CB1294">
        <f>SUM(S1386:S1391)</f>
        <v>0</v>
      </c>
      <c r="CC1294">
        <f>IF(COUNTA(S1385:S1391)=0,0,IF(OR(AND(S1385=0,CA1294&gt;0),AND(S1385="ns",CB1294&gt;0),AND(S1385="ns",CA1294=0,CB1294=0)),1,IF(OR(AND(CA1294&gt;=2,S1385&gt;CB1294),AND(S1385="ns",CB1294=0,CA1294&gt;0),S1385=CB1294),0,1)))</f>
        <v>0</v>
      </c>
      <c r="CD1294">
        <f>COUNTIF(S1396:S1404,"NS")</f>
        <v>0</v>
      </c>
      <c r="CE1294">
        <f>SUM(S1396:S1404)</f>
        <v>0</v>
      </c>
      <c r="CF1294">
        <f>IF(COUNTA(S1395:S1404)=0,0,IF(OR(AND(S1395=0,CD1294&gt;0),AND(S1395="ns",CE1294&gt;0),AND(S1395="ns",CD1294=0,CE1294=0)),1,IF(OR(AND(CD1294&gt;=2,S1395&gt;CE1294),AND(S1395="ns",CE1294=0,CD1294&gt;0),S1395=CE1294),0,1)))</f>
        <v>0</v>
      </c>
      <c r="CG1294">
        <f>COUNTIF(S1406:S1408,"NS")</f>
        <v>0</v>
      </c>
      <c r="CH1294">
        <f>SUM(S1406:S1408)</f>
        <v>0</v>
      </c>
      <c r="CI1294">
        <f>IF(COUNTA(S1405:S1408)=0,0,IF(OR(AND(S1405=0,CG1294&gt;0),AND(S1405="ns",CH1294&gt;0),AND(S1405="ns",CG1294=0,CH1294=0)),1,IF(OR(AND(CG1294&gt;=2,S1405&gt;CH1294),AND(S1405="ns",CH1294=0,CG1294&gt;0),S1405=CH1294),0,1)))</f>
        <v>0</v>
      </c>
      <c r="CJ1294">
        <f>COUNTIF(S1417:S1423,"NS")</f>
        <v>0</v>
      </c>
      <c r="CK1294">
        <f>SUM(S1417:S1423)</f>
        <v>0</v>
      </c>
      <c r="CL1294">
        <f>IF(COUNTA(S1416:S1423)=0,0,IF(OR(AND(S1416=0,CJ1294&gt;0),AND(S1416="ns",CK1294&gt;0),AND(S1416="ns",CJ1294=0,CK1294=0)),1,IF(OR(AND(CJ1294&gt;=2,S1416&gt;CK1294),AND(S1416="ns",CK1294=0,CJ1294&gt;0),S1416=CK1294),0,1)))</f>
        <v>0</v>
      </c>
      <c r="CM1294">
        <f>COUNTIF(S1426:S1428,"NS")</f>
        <v>0</v>
      </c>
      <c r="CN1294">
        <f>SUM(S1426:S1428)</f>
        <v>0</v>
      </c>
      <c r="CO1294">
        <f>IF(COUNTA(S1425:S1428)=0,0,IF(OR(AND(S1425=0,CM1294&gt;0),AND(S1425="ns",CN1294&gt;0),AND(S1425="ns",CM1294=0,CN1294=0)),1,IF(OR(AND(CM1294&gt;=2,S1425&gt;CN1294),AND(S1425="ns",CN1294=0,CM1294&gt;0),S1425=CN1294),0,1)))</f>
        <v>0</v>
      </c>
      <c r="CP1294">
        <f>COUNTIF(S1438:S1442,"NS")</f>
        <v>0</v>
      </c>
      <c r="CQ1294">
        <f>SUM(S1438:S1442)</f>
        <v>0</v>
      </c>
      <c r="CR1294">
        <f>IF(COUNTA(S1437:S1442)=0,0,IF(OR(AND(S1437=0,CP1294&gt;0),AND(S1437="ns",CQ1294&gt;0),AND(S1437="ns",CP1294=0,CQ1294=0)),1,IF(OR(AND(CP1294&gt;=2,S1437&gt;CQ1294),AND(S1437="ns",CQ1294=0,CP1294&gt;0),S1437=CQ1294),0,1)))</f>
        <v>0</v>
      </c>
    </row>
    <row r="1295" spans="1:96" ht="15" customHeight="1">
      <c r="A1295" s="110"/>
      <c r="B1295" s="57"/>
      <c r="C1295" s="1109"/>
      <c r="D1295" s="954"/>
      <c r="E1295" s="956"/>
      <c r="F1295" s="1110" t="s">
        <v>4819</v>
      </c>
      <c r="G1295" s="1110"/>
      <c r="H1295" s="178"/>
      <c r="I1295" s="1111" t="s">
        <v>4820</v>
      </c>
      <c r="J1295" s="1111"/>
      <c r="K1295" s="1111"/>
      <c r="L1295" s="1111"/>
      <c r="M1295" s="1111"/>
      <c r="N1295" s="1111"/>
      <c r="O1295" s="1112"/>
      <c r="P1295" s="100"/>
      <c r="Q1295" s="100"/>
      <c r="R1295" s="100"/>
      <c r="S1295" s="100"/>
      <c r="T1295" s="100"/>
      <c r="U1295" s="100"/>
      <c r="V1295" s="100"/>
      <c r="W1295" s="100"/>
      <c r="X1295" s="100"/>
      <c r="Y1295" s="100"/>
      <c r="Z1295" s="100"/>
      <c r="AA1295" s="100"/>
      <c r="AB1295" s="100"/>
      <c r="AC1295" s="100"/>
      <c r="AD1295" s="100"/>
      <c r="AF1295"/>
      <c r="AG1295">
        <f t="shared" si="879"/>
        <v>0</v>
      </c>
      <c r="AH1295">
        <f t="shared" si="863"/>
        <v>0</v>
      </c>
      <c r="AK1295">
        <f t="shared" si="864"/>
        <v>0</v>
      </c>
      <c r="AL1295">
        <f t="shared" si="865"/>
        <v>0</v>
      </c>
      <c r="AM1295">
        <f t="shared" si="866"/>
        <v>0</v>
      </c>
      <c r="AN1295">
        <f t="shared" si="867"/>
        <v>0</v>
      </c>
      <c r="AO1295">
        <f t="shared" si="868"/>
        <v>0</v>
      </c>
      <c r="AP1295">
        <f t="shared" si="869"/>
        <v>0</v>
      </c>
      <c r="AQ1295">
        <f t="shared" si="870"/>
        <v>0</v>
      </c>
      <c r="AR1295">
        <f t="shared" si="871"/>
        <v>0</v>
      </c>
      <c r="AS1295">
        <f t="shared" si="872"/>
        <v>0</v>
      </c>
      <c r="AT1295">
        <f t="shared" si="873"/>
        <v>0</v>
      </c>
      <c r="AU1295">
        <f t="shared" si="874"/>
        <v>0</v>
      </c>
      <c r="AV1295">
        <f t="shared" si="875"/>
        <v>0</v>
      </c>
      <c r="AW1295">
        <f t="shared" si="876"/>
        <v>0</v>
      </c>
      <c r="AX1295">
        <f t="shared" si="877"/>
        <v>0</v>
      </c>
      <c r="AY1295">
        <f t="shared" si="878"/>
        <v>0</v>
      </c>
      <c r="AZ1295">
        <f>COUNTIF(T1292:T1297,"NS")</f>
        <v>0</v>
      </c>
      <c r="BA1295">
        <f>SUM(T1292:T1297)</f>
        <v>0</v>
      </c>
      <c r="BB1295">
        <f>IF(COUNTA(T1291:T1297)=0,0,IF(OR(AND(T1291=0,AZ1295&gt;0),AND(T1291="ns",BA1295&gt;0),AND(T1291="ns",AZ1295=0,BA1295=0)),1,IF(OR(AND(AZ1295&gt;=2,T1291&gt;BA1295),AND(T1291="ns",BA1295=0,AZ1295&gt;0),T1291=BA1295),0,1)))</f>
        <v>0</v>
      </c>
      <c r="BC1295">
        <f>COUNTIF(T1303:T1307,"NS")</f>
        <v>0</v>
      </c>
      <c r="BD1295">
        <f>SUM(T1303:T1307)</f>
        <v>0</v>
      </c>
      <c r="BE1295">
        <f>IF(COUNTA(T1302:T1307)=0,0,IF(OR(AND(T1302=0,BC1295&gt;0),AND(T1302="ns",BD1295&gt;0),AND(T1302="ns",BC1295=0,BD1295=0)),1,IF(OR(AND(BC1295&gt;=2,T1302&gt;BD1295),AND(T1302="ns",BD1295=0,BC1295&gt;0),T1302=BD1295),0,1)))</f>
        <v>0</v>
      </c>
      <c r="BF1295">
        <f>COUNTIF(T1312:T1329,"NS")</f>
        <v>0</v>
      </c>
      <c r="BG1295">
        <f>SUM(T1312:T1329)</f>
        <v>0</v>
      </c>
      <c r="BH1295">
        <f>IF(COUNTA(T1311:T1329)=0,0,IF(OR(AND(T1311=0,BF1295&gt;0),AND(T1311="ns",BG1295&gt;0),AND(T1311="ns",BF1295=0,BG1295=0)),1,IF(OR(AND(BF1295&gt;=2,T1311&gt;BG1295),AND(T1311="ns",BG1295=0,BF1295&gt;0),T1311=BG1295),0,1)))</f>
        <v>0</v>
      </c>
      <c r="BI1295">
        <f>COUNTIF(T1331:T1335,"NS")</f>
        <v>0</v>
      </c>
      <c r="BJ1295">
        <f>SUM(T1331:T1335)</f>
        <v>0</v>
      </c>
      <c r="BK1295">
        <f>IF(COUNTA(T1330:T1335)=0,0,IF(OR(AND(T1330=0,BI1295&gt;0),AND(T1330="ns",BJ1295&gt;0),AND(T1330="ns",BI1295=0,BJ1295=0)),1,IF(OR(AND(BI1295&gt;=2,T1330&gt;BJ1295),AND(T1330="ns",BJ1295=0,BI1295&gt;0),T1330=BJ1295),0,1)))</f>
        <v>0</v>
      </c>
      <c r="BL1295">
        <f>COUNTIF(T1339:T1341,"NS")</f>
        <v>0</v>
      </c>
      <c r="BM1295">
        <f>SUM(T1339:T1341)</f>
        <v>0</v>
      </c>
      <c r="BN1295">
        <f>IF(COUNTA(T1338:T1341)=0,0,IF(OR(AND(T1338=0,BL1295&gt;0),AND(T1338="ns",BM1295&gt;0),AND(T1338="ns",BL1295=0,BM1295=0)),1,IF(OR(AND(BL1295&gt;=2,T1338&gt;BM1295),AND(T1338="ns",BM1295=0,BL1295&gt;0),T1338=BM1295),0,1)))</f>
        <v>0</v>
      </c>
      <c r="BO1295">
        <f>COUNTIF(T1349:T1355,"NS")</f>
        <v>0</v>
      </c>
      <c r="BP1295">
        <f>SUM(T1349:T1355)</f>
        <v>0</v>
      </c>
      <c r="BQ1295">
        <f>IF(COUNTA(T1348:T1355)=0,0,IF(OR(AND(T1348=0,BO1295&gt;0),AND(T1348="ns",BP1295&gt;0),AND(T1348="ns",BO1295=0,BP1295=0)),1,IF(OR(AND(BO1295&gt;=2,T1348&gt;BP1295),AND(T1348="ns",BP1295=0,BO1295&gt;0),T1348=BP1295),0,1)))</f>
        <v>0</v>
      </c>
      <c r="BR1295">
        <f>COUNTIF(T1357:T1361,"NS")</f>
        <v>0</v>
      </c>
      <c r="BS1295">
        <f>SUM(T1357:T1361)</f>
        <v>0</v>
      </c>
      <c r="BT1295">
        <f>IF(COUNTA(T1356:T1361)=0,0,IF(OR(AND(T1356=0,BR1295&gt;0),AND(T1356="ns",BS1295&gt;0),AND(T1356="ns",BR1295=0,BS1295=0)),1,IF(OR(AND(BR1295&gt;=2,T1356&gt;BS1295),AND(T1356="ns",BS1295=0,BR1295&gt;0),T1356=BS1295),0,1)))</f>
        <v>0</v>
      </c>
      <c r="BU1295">
        <f>COUNTIF(T1367:T1372,"NS")</f>
        <v>0</v>
      </c>
      <c r="BV1295">
        <f>SUM(T1367:T1372)</f>
        <v>0</v>
      </c>
      <c r="BW1295">
        <f>IF(COUNTA(T1366:T1372)=0,0,IF(OR(AND(T1366=0,BU1295&gt;0),AND(T1366="ns",BV1295&gt;0),AND(T1366="ns",BU1295=0,BV1295=0)),1,IF(OR(AND(BU1295&gt;=2,T1366&gt;BV1295),AND(T1366="ns",BV1295=0,BU1295&gt;0),T1366=BV1295),0,1)))</f>
        <v>0</v>
      </c>
      <c r="BX1295">
        <f>COUNTIF(T1374:T1381,"NS")</f>
        <v>0</v>
      </c>
      <c r="BY1295">
        <f>SUM(T1374:T1381)</f>
        <v>0</v>
      </c>
      <c r="BZ1295">
        <f>IF(COUNTA(T1373:T1381)=0,0,IF(OR(AND(T1373=0,BX1295&gt;0),AND(T1373="ns",BY1295&gt;0),AND(T1373="ns",BX1295=0,BY1295=0)),1,IF(OR(AND(BX1295&gt;=2,T1373&gt;BY1295),AND(T1373="ns",BY1295=0,BX1295&gt;0),T1373=BY1295),0,1)))</f>
        <v>0</v>
      </c>
      <c r="CA1295">
        <f>COUNTIF(T1386:T1391,"NS")</f>
        <v>0</v>
      </c>
      <c r="CB1295">
        <f>SUM(T1386:T1391)</f>
        <v>0</v>
      </c>
      <c r="CC1295">
        <f>IF(COUNTA(T1385:T1391)=0,0,IF(OR(AND(T1385=0,CA1295&gt;0),AND(T1385="ns",CB1295&gt;0),AND(T1385="ns",CA1295=0,CB1295=0)),1,IF(OR(AND(CA1295&gt;=2,T1385&gt;CB1295),AND(T1385="ns",CB1295=0,CA1295&gt;0),T1385=CB1295),0,1)))</f>
        <v>0</v>
      </c>
      <c r="CD1295">
        <f>COUNTIF(T1396:T1404,"NS")</f>
        <v>0</v>
      </c>
      <c r="CE1295">
        <f>SUM(T1396:T1404)</f>
        <v>0</v>
      </c>
      <c r="CF1295">
        <f>IF(COUNTA(T1395:T1404)=0,0,IF(OR(AND(T1395=0,CD1295&gt;0),AND(T1395="ns",CE1295&gt;0),AND(T1395="ns",CD1295=0,CE1295=0)),1,IF(OR(AND(CD1295&gt;=2,T1395&gt;CE1295),AND(T1395="ns",CE1295=0,CD1295&gt;0),T1395=CE1295),0,1)))</f>
        <v>0</v>
      </c>
      <c r="CG1295">
        <f>COUNTIF(T1406:T1408,"NS")</f>
        <v>0</v>
      </c>
      <c r="CH1295">
        <f>SUM(T1406:T1408)</f>
        <v>0</v>
      </c>
      <c r="CI1295">
        <f>IF(COUNTA(T1405:T1408)=0,0,IF(OR(AND(T1405=0,CG1295&gt;0),AND(T1405="ns",CH1295&gt;0),AND(T1405="ns",CG1295=0,CH1295=0)),1,IF(OR(AND(CG1295&gt;=2,T1405&gt;CH1295),AND(T1405="ns",CH1295=0,CG1295&gt;0),T1405=CH1295),0,1)))</f>
        <v>0</v>
      </c>
      <c r="CJ1295">
        <f>COUNTIF(T1417:T1423,"NS")</f>
        <v>0</v>
      </c>
      <c r="CK1295">
        <f>SUM(T1417:T1423)</f>
        <v>0</v>
      </c>
      <c r="CL1295">
        <f>IF(COUNTA(T1416:T1423)=0,0,IF(OR(AND(T1416=0,CJ1295&gt;0),AND(T1416="ns",CK1295&gt;0),AND(T1416="ns",CJ1295=0,CK1295=0)),1,IF(OR(AND(CJ1295&gt;=2,T1416&gt;CK1295),AND(T1416="ns",CK1295=0,CJ1295&gt;0),T1416=CK1295),0,1)))</f>
        <v>0</v>
      </c>
      <c r="CM1295">
        <f>COUNTIF(T1426:T1428,"NS")</f>
        <v>0</v>
      </c>
      <c r="CN1295">
        <f>SUM(T1426:T1428)</f>
        <v>0</v>
      </c>
      <c r="CO1295">
        <f>IF(COUNTA(T1425:T1428)=0,0,IF(OR(AND(T1425=0,CM1295&gt;0),AND(T1425="ns",CN1295&gt;0),AND(T1425="ns",CM1295=0,CN1295=0)),1,IF(OR(AND(CM1295&gt;=2,T1425&gt;CN1295),AND(T1425="ns",CN1295=0,CM1295&gt;0),T1425=CN1295),0,1)))</f>
        <v>0</v>
      </c>
      <c r="CP1295">
        <f>COUNTIF(T1438:T1442,"NS")</f>
        <v>0</v>
      </c>
      <c r="CQ1295">
        <f>SUM(T1438:T1442)</f>
        <v>0</v>
      </c>
      <c r="CR1295">
        <f>IF(COUNTA(T1437:T1442)=0,0,IF(OR(AND(T1437=0,CP1295&gt;0),AND(T1437="ns",CQ1295&gt;0),AND(T1437="ns",CP1295=0,CQ1295=0)),1,IF(OR(AND(CP1295&gt;=2,T1437&gt;CQ1295),AND(T1437="ns",CQ1295=0,CP1295&gt;0),T1437=CQ1295),0,1)))</f>
        <v>0</v>
      </c>
    </row>
    <row r="1296" spans="1:96" ht="15" customHeight="1">
      <c r="A1296" s="110"/>
      <c r="B1296" s="57"/>
      <c r="C1296" s="1109"/>
      <c r="D1296" s="954"/>
      <c r="E1296" s="956"/>
      <c r="F1296" s="1110" t="s">
        <v>4821</v>
      </c>
      <c r="G1296" s="1110"/>
      <c r="H1296" s="178"/>
      <c r="I1296" s="1111" t="s">
        <v>4822</v>
      </c>
      <c r="J1296" s="1111"/>
      <c r="K1296" s="1111"/>
      <c r="L1296" s="1111"/>
      <c r="M1296" s="1111"/>
      <c r="N1296" s="1111"/>
      <c r="O1296" s="1112"/>
      <c r="P1296" s="100"/>
      <c r="Q1296" s="100"/>
      <c r="R1296" s="100"/>
      <c r="S1296" s="100"/>
      <c r="T1296" s="100"/>
      <c r="U1296" s="100"/>
      <c r="V1296" s="100"/>
      <c r="W1296" s="100"/>
      <c r="X1296" s="100"/>
      <c r="Y1296" s="100"/>
      <c r="Z1296" s="100"/>
      <c r="AA1296" s="100"/>
      <c r="AB1296" s="100"/>
      <c r="AC1296" s="100"/>
      <c r="AD1296" s="100"/>
      <c r="AF1296"/>
      <c r="AG1296">
        <f t="shared" si="879"/>
        <v>0</v>
      </c>
      <c r="AH1296">
        <f t="shared" si="863"/>
        <v>0</v>
      </c>
      <c r="AK1296">
        <f t="shared" si="864"/>
        <v>0</v>
      </c>
      <c r="AL1296">
        <f t="shared" si="865"/>
        <v>0</v>
      </c>
      <c r="AM1296">
        <f t="shared" si="866"/>
        <v>0</v>
      </c>
      <c r="AN1296">
        <f t="shared" si="867"/>
        <v>0</v>
      </c>
      <c r="AO1296">
        <f t="shared" si="868"/>
        <v>0</v>
      </c>
      <c r="AP1296">
        <f t="shared" si="869"/>
        <v>0</v>
      </c>
      <c r="AQ1296">
        <f t="shared" si="870"/>
        <v>0</v>
      </c>
      <c r="AR1296">
        <f t="shared" si="871"/>
        <v>0</v>
      </c>
      <c r="AS1296">
        <f t="shared" si="872"/>
        <v>0</v>
      </c>
      <c r="AT1296">
        <f t="shared" si="873"/>
        <v>0</v>
      </c>
      <c r="AU1296">
        <f t="shared" si="874"/>
        <v>0</v>
      </c>
      <c r="AV1296">
        <f t="shared" si="875"/>
        <v>0</v>
      </c>
      <c r="AW1296">
        <f t="shared" si="876"/>
        <v>0</v>
      </c>
      <c r="AX1296">
        <f t="shared" si="877"/>
        <v>0</v>
      </c>
      <c r="AY1296">
        <f t="shared" si="878"/>
        <v>0</v>
      </c>
      <c r="AZ1296">
        <f>COUNTIF(U1292:U1297,"NS")</f>
        <v>0</v>
      </c>
      <c r="BA1296">
        <f>SUM(U1292:U1297)</f>
        <v>0</v>
      </c>
      <c r="BB1296">
        <f>IF(COUNTA(U1291:U1297)=0,0,IF(OR(AND(U1291=0,AZ1296&gt;0),AND(U1291="ns",BA1296&gt;0),AND(U1291="ns",AZ1296=0,BA1296=0)),1,IF(OR(AND(AZ1296&gt;=2,U1291&gt;BA1296),AND(U1291="ns",BA1296=0,AZ1296&gt;0),U1291=BA1296),0,1)))</f>
        <v>0</v>
      </c>
      <c r="BC1296">
        <f>COUNTIF(U1303:U1307,"NS")</f>
        <v>0</v>
      </c>
      <c r="BD1296">
        <f>SUM(U1303:U1307)</f>
        <v>0</v>
      </c>
      <c r="BE1296">
        <f>IF(COUNTA(U1302:U1307)=0,0,IF(OR(AND(U1302=0,BC1296&gt;0),AND(U1302="ns",BD1296&gt;0),AND(U1302="ns",BC1296=0,BD1296=0)),1,IF(OR(AND(BC1296&gt;=2,U1302&gt;BD1296),AND(U1302="ns",BD1296=0,BC1296&gt;0),U1302=BD1296),0,1)))</f>
        <v>0</v>
      </c>
      <c r="BF1296">
        <f>COUNTIF(U1312:U1329,"NS")</f>
        <v>0</v>
      </c>
      <c r="BG1296">
        <f>SUM(U1312:U1329)</f>
        <v>0</v>
      </c>
      <c r="BH1296">
        <f>IF(COUNTA(U1311:U1329)=0,0,IF(OR(AND(U1311=0,BF1296&gt;0),AND(U1311="ns",BG1296&gt;0),AND(U1311="ns",BF1296=0,BG1296=0)),1,IF(OR(AND(BF1296&gt;=2,U1311&gt;BG1296),AND(U1311="ns",BG1296=0,BF1296&gt;0),U1311=BG1296),0,1)))</f>
        <v>0</v>
      </c>
      <c r="BI1296">
        <f>COUNTIF(U1331:U1335,"NS")</f>
        <v>0</v>
      </c>
      <c r="BJ1296">
        <f>SUM(U1331:U1335)</f>
        <v>0</v>
      </c>
      <c r="BK1296">
        <f>IF(COUNTA(U1330:U1335)=0,0,IF(OR(AND(U1330=0,BI1296&gt;0),AND(U1330="ns",BJ1296&gt;0),AND(U1330="ns",BI1296=0,BJ1296=0)),1,IF(OR(AND(BI1296&gt;=2,U1330&gt;BJ1296),AND(U1330="ns",BJ1296=0,BI1296&gt;0),U1330=BJ1296),0,1)))</f>
        <v>0</v>
      </c>
      <c r="BL1296">
        <f>COUNTIF(U1339:U1341,"NS")</f>
        <v>0</v>
      </c>
      <c r="BM1296">
        <f>SUM(U1339:U1341)</f>
        <v>0</v>
      </c>
      <c r="BN1296">
        <f>IF(COUNTA(U1338:U1341)=0,0,IF(OR(AND(U1338=0,BL1296&gt;0),AND(U1338="ns",BM1296&gt;0),AND(U1338="ns",BL1296=0,BM1296=0)),1,IF(OR(AND(BL1296&gt;=2,U1338&gt;BM1296),AND(U1338="ns",BM1296=0,BL1296&gt;0),U1338=BM1296),0,1)))</f>
        <v>0</v>
      </c>
      <c r="BO1296">
        <f>COUNTIF(U1349:U1355,"NS")</f>
        <v>0</v>
      </c>
      <c r="BP1296">
        <f>SUM(U1349:U1355)</f>
        <v>0</v>
      </c>
      <c r="BQ1296">
        <f>IF(COUNTA(U1348:U1355)=0,0,IF(OR(AND(U1348=0,BO1296&gt;0),AND(U1348="ns",BP1296&gt;0),AND(U1348="ns",BO1296=0,BP1296=0)),1,IF(OR(AND(BO1296&gt;=2,U1348&gt;BP1296),AND(U1348="ns",BP1296=0,BO1296&gt;0),U1348=BP1296),0,1)))</f>
        <v>0</v>
      </c>
      <c r="BR1296">
        <f>COUNTIF(U1357:U1361,"NS")</f>
        <v>0</v>
      </c>
      <c r="BS1296">
        <f>SUM(U1357:U1361)</f>
        <v>0</v>
      </c>
      <c r="BT1296">
        <f>IF(COUNTA(U1356:U1361)=0,0,IF(OR(AND(U1356=0,BR1296&gt;0),AND(U1356="ns",BS1296&gt;0),AND(U1356="ns",BR1296=0,BS1296=0)),1,IF(OR(AND(BR1296&gt;=2,U1356&gt;BS1296),AND(U1356="ns",BS1296=0,BR1296&gt;0),U1356=BS1296),0,1)))</f>
        <v>0</v>
      </c>
      <c r="BU1296">
        <f>COUNTIF(U1367:U1372,"NS")</f>
        <v>0</v>
      </c>
      <c r="BV1296">
        <f>SUM(U1367:U1372)</f>
        <v>0</v>
      </c>
      <c r="BW1296">
        <f>IF(COUNTA(U1366:U1372)=0,0,IF(OR(AND(U1366=0,BU1296&gt;0),AND(U1366="ns",BV1296&gt;0),AND(U1366="ns",BU1296=0,BV1296=0)),1,IF(OR(AND(BU1296&gt;=2,U1366&gt;BV1296),AND(U1366="ns",BV1296=0,BU1296&gt;0),U1366=BV1296),0,1)))</f>
        <v>0</v>
      </c>
      <c r="BX1296">
        <f>COUNTIF(U1374:U1381,"NS")</f>
        <v>0</v>
      </c>
      <c r="BY1296">
        <f>SUM(U1374:U1381)</f>
        <v>0</v>
      </c>
      <c r="BZ1296">
        <f>IF(COUNTA(U1373:U1381)=0,0,IF(OR(AND(U1373=0,BX1296&gt;0),AND(U1373="ns",BY1296&gt;0),AND(U1373="ns",BX1296=0,BY1296=0)),1,IF(OR(AND(BX1296&gt;=2,U1373&gt;BY1296),AND(U1373="ns",BY1296=0,BX1296&gt;0),U1373=BY1296),0,1)))</f>
        <v>0</v>
      </c>
      <c r="CA1296">
        <f>COUNTIF(U1386:U1391,"NS")</f>
        <v>0</v>
      </c>
      <c r="CB1296">
        <f>SUM(U1386:U1391)</f>
        <v>0</v>
      </c>
      <c r="CC1296">
        <f>IF(COUNTA(U1385:U1391)=0,0,IF(OR(AND(U1385=0,CA1296&gt;0),AND(U1385="ns",CB1296&gt;0),AND(U1385="ns",CA1296=0,CB1296=0)),1,IF(OR(AND(CA1296&gt;=2,U1385&gt;CB1296),AND(U1385="ns",CB1296=0,CA1296&gt;0),U1385=CB1296),0,1)))</f>
        <v>0</v>
      </c>
      <c r="CD1296">
        <f>COUNTIF(U1396:U1404,"NS")</f>
        <v>0</v>
      </c>
      <c r="CE1296">
        <f>SUM(U1396:U1404)</f>
        <v>0</v>
      </c>
      <c r="CF1296">
        <f>IF(COUNTA(U1395:U1404)=0,0,IF(OR(AND(U1395=0,CD1296&gt;0),AND(U1395="ns",CE1296&gt;0),AND(U1395="ns",CD1296=0,CE1296=0)),1,IF(OR(AND(CD1296&gt;=2,U1395&gt;CE1296),AND(U1395="ns",CE1296=0,CD1296&gt;0),U1395=CE1296),0,1)))</f>
        <v>0</v>
      </c>
      <c r="CG1296">
        <f>COUNTIF(U1406:U1408,"NS")</f>
        <v>0</v>
      </c>
      <c r="CH1296">
        <f>SUM(U1406:U1408)</f>
        <v>0</v>
      </c>
      <c r="CI1296">
        <f>IF(COUNTA(U1405:U1408)=0,0,IF(OR(AND(U1405=0,CG1296&gt;0),AND(U1405="ns",CH1296&gt;0),AND(U1405="ns",CG1296=0,CH1296=0)),1,IF(OR(AND(CG1296&gt;=2,U1405&gt;CH1296),AND(U1405="ns",CH1296=0,CG1296&gt;0),U1405=CH1296),0,1)))</f>
        <v>0</v>
      </c>
      <c r="CJ1296">
        <f>COUNTIF(U1417:U1423,"NS")</f>
        <v>0</v>
      </c>
      <c r="CK1296">
        <f>SUM(U1417:U1423)</f>
        <v>0</v>
      </c>
      <c r="CL1296">
        <f>IF(COUNTA(U1416:U1423)=0,0,IF(OR(AND(U1416=0,CJ1296&gt;0),AND(U1416="ns",CK1296&gt;0),AND(U1416="ns",CJ1296=0,CK1296=0)),1,IF(OR(AND(CJ1296&gt;=2,U1416&gt;CK1296),AND(U1416="ns",CK1296=0,CJ1296&gt;0),U1416=CK1296),0,1)))</f>
        <v>0</v>
      </c>
      <c r="CM1296">
        <f>COUNTIF(U1426:U1428,"NS")</f>
        <v>0</v>
      </c>
      <c r="CN1296">
        <f>SUM(U1426:U1428)</f>
        <v>0</v>
      </c>
      <c r="CO1296">
        <f>IF(COUNTA(U1425:U1428)=0,0,IF(OR(AND(U1425=0,CM1296&gt;0),AND(U1425="ns",CN1296&gt;0),AND(U1425="ns",CM1296=0,CN1296=0)),1,IF(OR(AND(CM1296&gt;=2,U1425&gt;CN1296),AND(U1425="ns",CN1296=0,CM1296&gt;0),U1425=CN1296),0,1)))</f>
        <v>0</v>
      </c>
      <c r="CP1296">
        <f>COUNTIF(U1438:U1442,"NS")</f>
        <v>0</v>
      </c>
      <c r="CQ1296">
        <f>SUM(U1438:U1442)</f>
        <v>0</v>
      </c>
      <c r="CR1296">
        <f>IF(COUNTA(U1437:U1442)=0,0,IF(OR(AND(U1437=0,CP1296&gt;0),AND(U1437="ns",CQ1296&gt;0),AND(U1437="ns",CP1296=0,CQ1296=0)),1,IF(OR(AND(CP1296&gt;=2,U1437&gt;CQ1296),AND(U1437="ns",CQ1296=0,CP1296&gt;0),U1437=CQ1296),0,1)))</f>
        <v>0</v>
      </c>
    </row>
    <row r="1297" spans="1:96" ht="15" customHeight="1">
      <c r="A1297" s="110"/>
      <c r="B1297" s="57"/>
      <c r="C1297" s="1109"/>
      <c r="D1297" s="954"/>
      <c r="E1297" s="956"/>
      <c r="F1297" s="1110" t="s">
        <v>4823</v>
      </c>
      <c r="G1297" s="1110"/>
      <c r="H1297" s="179"/>
      <c r="I1297" s="1111" t="s">
        <v>201</v>
      </c>
      <c r="J1297" s="1111"/>
      <c r="K1297" s="1111"/>
      <c r="L1297" s="1111"/>
      <c r="M1297" s="1111"/>
      <c r="N1297" s="1111"/>
      <c r="O1297" s="1112"/>
      <c r="P1297" s="100"/>
      <c r="Q1297" s="100"/>
      <c r="R1297" s="100"/>
      <c r="S1297" s="100"/>
      <c r="T1297" s="100"/>
      <c r="U1297" s="100"/>
      <c r="V1297" s="100"/>
      <c r="W1297" s="100"/>
      <c r="X1297" s="100"/>
      <c r="Y1297" s="100"/>
      <c r="Z1297" s="100"/>
      <c r="AA1297" s="100"/>
      <c r="AB1297" s="100"/>
      <c r="AC1297" s="100"/>
      <c r="AD1297" s="100"/>
      <c r="AF1297"/>
      <c r="AG1297">
        <f t="shared" si="879"/>
        <v>0</v>
      </c>
      <c r="AH1297">
        <f t="shared" si="863"/>
        <v>0</v>
      </c>
      <c r="AK1297">
        <f t="shared" si="864"/>
        <v>0</v>
      </c>
      <c r="AL1297">
        <f t="shared" si="865"/>
        <v>0</v>
      </c>
      <c r="AM1297">
        <f t="shared" si="866"/>
        <v>0</v>
      </c>
      <c r="AN1297">
        <f t="shared" si="867"/>
        <v>0</v>
      </c>
      <c r="AO1297">
        <f t="shared" si="868"/>
        <v>0</v>
      </c>
      <c r="AP1297">
        <f t="shared" si="869"/>
        <v>0</v>
      </c>
      <c r="AQ1297">
        <f t="shared" si="870"/>
        <v>0</v>
      </c>
      <c r="AR1297">
        <f t="shared" si="871"/>
        <v>0</v>
      </c>
      <c r="AS1297">
        <f t="shared" si="872"/>
        <v>0</v>
      </c>
      <c r="AT1297">
        <f t="shared" si="873"/>
        <v>0</v>
      </c>
      <c r="AU1297">
        <f t="shared" si="874"/>
        <v>0</v>
      </c>
      <c r="AV1297">
        <f t="shared" si="875"/>
        <v>0</v>
      </c>
      <c r="AW1297">
        <f t="shared" si="876"/>
        <v>0</v>
      </c>
      <c r="AX1297">
        <f t="shared" si="877"/>
        <v>0</v>
      </c>
      <c r="AY1297">
        <f t="shared" si="878"/>
        <v>0</v>
      </c>
      <c r="AZ1297">
        <f>COUNTIF(V1292:V1297,"NS")</f>
        <v>0</v>
      </c>
      <c r="BA1297">
        <f>SUM(V1292:V1297)</f>
        <v>0</v>
      </c>
      <c r="BB1297">
        <f>IF(COUNTA(V1291:V1297)=0,0,IF(OR(AND(V1291=0,AZ1297&gt;0),AND(V1291="ns",BA1297&gt;0),AND(V1291="ns",AZ1297=0,BA1297=0)),1,IF(OR(AND(AZ1297&gt;=2,V1291&gt;BA1297),AND(V1291="ns",BA1297=0,AZ1297&gt;0),V1291=BA1297),0,1)))</f>
        <v>0</v>
      </c>
      <c r="BC1297">
        <f>COUNTIF(V1303:V1307,"NS")</f>
        <v>0</v>
      </c>
      <c r="BD1297">
        <f>SUM(V1303:V1307)</f>
        <v>0</v>
      </c>
      <c r="BE1297">
        <f>IF(COUNTA(V1302:V1307)=0,0,IF(OR(AND(V1302=0,BC1297&gt;0),AND(V1302="ns",BD1297&gt;0),AND(V1302="ns",BC1297=0,BD1297=0)),1,IF(OR(AND(BC1297&gt;=2,V1302&gt;BD1297),AND(V1302="ns",BD1297=0,BC1297&gt;0),V1302=BD1297),0,1)))</f>
        <v>0</v>
      </c>
      <c r="BF1297">
        <f>COUNTIF(V1312:V1329,"NS")</f>
        <v>0</v>
      </c>
      <c r="BG1297">
        <f>SUM(V1312:V1329)</f>
        <v>0</v>
      </c>
      <c r="BH1297">
        <f>IF(COUNTA(V1311:V1329)=0,0,IF(OR(AND(V1311=0,BF1297&gt;0),AND(V1311="ns",BG1297&gt;0),AND(V1311="ns",BF1297=0,BG1297=0)),1,IF(OR(AND(BF1297&gt;=2,V1311&gt;BG1297),AND(V1311="ns",BG1297=0,BF1297&gt;0),V1311=BG1297),0,1)))</f>
        <v>0</v>
      </c>
      <c r="BI1297">
        <f>COUNTIF(V1331:V1335,"NS")</f>
        <v>0</v>
      </c>
      <c r="BJ1297">
        <f>SUM(V1331:V1335)</f>
        <v>0</v>
      </c>
      <c r="BK1297">
        <f>IF(COUNTA(V1330:V1335)=0,0,IF(OR(AND(V1330=0,BI1297&gt;0),AND(V1330="ns",BJ1297&gt;0),AND(V1330="ns",BI1297=0,BJ1297=0)),1,IF(OR(AND(BI1297&gt;=2,V1330&gt;BJ1297),AND(V1330="ns",BJ1297=0,BI1297&gt;0),V1330=BJ1297),0,1)))</f>
        <v>0</v>
      </c>
      <c r="BL1297">
        <f>COUNTIF(V1339:V1341,"NS")</f>
        <v>0</v>
      </c>
      <c r="BM1297">
        <f>SUM(V1339:V1341)</f>
        <v>0</v>
      </c>
      <c r="BN1297">
        <f>IF(COUNTA(V1338:V1341)=0,0,IF(OR(AND(V1338=0,BL1297&gt;0),AND(V1338="ns",BM1297&gt;0),AND(V1338="ns",BL1297=0,BM1297=0)),1,IF(OR(AND(BL1297&gt;=2,V1338&gt;BM1297),AND(V1338="ns",BM1297=0,BL1297&gt;0),V1338=BM1297),0,1)))</f>
        <v>0</v>
      </c>
      <c r="BO1297">
        <f>COUNTIF(V1349:V1355,"NS")</f>
        <v>0</v>
      </c>
      <c r="BP1297">
        <f>SUM(V1349:V1355)</f>
        <v>0</v>
      </c>
      <c r="BQ1297">
        <f>IF(COUNTA(V1348:V1355)=0,0,IF(OR(AND(V1348=0,BO1297&gt;0),AND(V1348="ns",BP1297&gt;0),AND(V1348="ns",BO1297=0,BP1297=0)),1,IF(OR(AND(BO1297&gt;=2,V1348&gt;BP1297),AND(V1348="ns",BP1297=0,BO1297&gt;0),V1348=BP1297),0,1)))</f>
        <v>0</v>
      </c>
      <c r="BR1297">
        <f>COUNTIF(V1357:V1361,"NS")</f>
        <v>0</v>
      </c>
      <c r="BS1297">
        <f>SUM(V1357:V1361)</f>
        <v>0</v>
      </c>
      <c r="BT1297">
        <f>IF(COUNTA(V1356:V1361)=0,0,IF(OR(AND(V1356=0,BR1297&gt;0),AND(V1356="ns",BS1297&gt;0),AND(V1356="ns",BR1297=0,BS1297=0)),1,IF(OR(AND(BR1297&gt;=2,V1356&gt;BS1297),AND(V1356="ns",BS1297=0,BR1297&gt;0),V1356=BS1297),0,1)))</f>
        <v>0</v>
      </c>
      <c r="BU1297">
        <f>COUNTIF(V1367:V1372,"NS")</f>
        <v>0</v>
      </c>
      <c r="BV1297">
        <f>SUM(V1367:V1372)</f>
        <v>0</v>
      </c>
      <c r="BW1297">
        <f>IF(COUNTA(V1366:V1372)=0,0,IF(OR(AND(V1366=0,BU1297&gt;0),AND(V1366="ns",BV1297&gt;0),AND(V1366="ns",BU1297=0,BV1297=0)),1,IF(OR(AND(BU1297&gt;=2,V1366&gt;BV1297),AND(V1366="ns",BV1297=0,BU1297&gt;0),V1366=BV1297),0,1)))</f>
        <v>0</v>
      </c>
      <c r="BX1297">
        <f>COUNTIF(V1374:V1381,"NS")</f>
        <v>0</v>
      </c>
      <c r="BY1297">
        <f>SUM(V1374:V1381)</f>
        <v>0</v>
      </c>
      <c r="BZ1297">
        <f>IF(COUNTA(V1373:V1381)=0,0,IF(OR(AND(V1373=0,BX1297&gt;0),AND(V1373="ns",BY1297&gt;0),AND(V1373="ns",BX1297=0,BY1297=0)),1,IF(OR(AND(BX1297&gt;=2,V1373&gt;BY1297),AND(V1373="ns",BY1297=0,BX1297&gt;0),V1373=BY1297),0,1)))</f>
        <v>0</v>
      </c>
      <c r="CA1297">
        <f>COUNTIF(V1386:V1391,"NS")</f>
        <v>0</v>
      </c>
      <c r="CB1297">
        <f>SUM(V1386:V1391)</f>
        <v>0</v>
      </c>
      <c r="CC1297">
        <f>IF(COUNTA(V1385:V1391)=0,0,IF(OR(AND(V1385=0,CA1297&gt;0),AND(V1385="ns",CB1297&gt;0),AND(V1385="ns",CA1297=0,CB1297=0)),1,IF(OR(AND(CA1297&gt;=2,V1385&gt;CB1297),AND(V1385="ns",CB1297=0,CA1297&gt;0),V1385=CB1297),0,1)))</f>
        <v>0</v>
      </c>
      <c r="CD1297">
        <f>COUNTIF(V1396:V1404,"NS")</f>
        <v>0</v>
      </c>
      <c r="CE1297">
        <f>SUM(V1396:V1404)</f>
        <v>0</v>
      </c>
      <c r="CF1297">
        <f>IF(COUNTA(V1395:V1404)=0,0,IF(OR(AND(V1395=0,CD1297&gt;0),AND(V1395="ns",CE1297&gt;0),AND(V1395="ns",CD1297=0,CE1297=0)),1,IF(OR(AND(CD1297&gt;=2,V1395&gt;CE1297),AND(V1395="ns",CE1297=0,CD1297&gt;0),V1395=CE1297),0,1)))</f>
        <v>0</v>
      </c>
      <c r="CG1297">
        <f>COUNTIF(V1406:V1408,"NS")</f>
        <v>0</v>
      </c>
      <c r="CH1297">
        <f>SUM(V1406:V1408)</f>
        <v>0</v>
      </c>
      <c r="CI1297">
        <f>IF(COUNTA(V1405:V1408)=0,0,IF(OR(AND(V1405=0,CG1297&gt;0),AND(V1405="ns",CH1297&gt;0),AND(V1405="ns",CG1297=0,CH1297=0)),1,IF(OR(AND(CG1297&gt;=2,V1405&gt;CH1297),AND(V1405="ns",CH1297=0,CG1297&gt;0),V1405=CH1297),0,1)))</f>
        <v>0</v>
      </c>
      <c r="CJ1297">
        <f>COUNTIF(V1417:V1423,"NS")</f>
        <v>0</v>
      </c>
      <c r="CK1297">
        <f>SUM(V1417:V1423)</f>
        <v>0</v>
      </c>
      <c r="CL1297">
        <f>IF(COUNTA(V1416:V1423)=0,0,IF(OR(AND(V1416=0,CJ1297&gt;0),AND(V1416="ns",CK1297&gt;0),AND(V1416="ns",CJ1297=0,CK1297=0)),1,IF(OR(AND(CJ1297&gt;=2,V1416&gt;CK1297),AND(V1416="ns",CK1297=0,CJ1297&gt;0),V1416=CK1297),0,1)))</f>
        <v>0</v>
      </c>
      <c r="CM1297">
        <f>COUNTIF(V1426:V1428,"NS")</f>
        <v>0</v>
      </c>
      <c r="CN1297">
        <f>SUM(V1426:V1428)</f>
        <v>0</v>
      </c>
      <c r="CO1297">
        <f>IF(COUNTA(V1425:V1428)=0,0,IF(OR(AND(V1425=0,CM1297&gt;0),AND(V1425="ns",CN1297&gt;0),AND(V1425="ns",CM1297=0,CN1297=0)),1,IF(OR(AND(CM1297&gt;=2,V1425&gt;CN1297),AND(V1425="ns",CN1297=0,CM1297&gt;0),V1425=CN1297),0,1)))</f>
        <v>0</v>
      </c>
      <c r="CP1297">
        <f>COUNTIF(V1438:V1442,"NS")</f>
        <v>0</v>
      </c>
      <c r="CQ1297">
        <f>SUM(V1438:V1442)</f>
        <v>0</v>
      </c>
      <c r="CR1297">
        <f>IF(COUNTA(V1437:V1442)=0,0,IF(OR(AND(V1437=0,CP1297&gt;0),AND(V1437="ns",CQ1297&gt;0),AND(V1437="ns",CP1297=0,CQ1297=0)),1,IF(OR(AND(CP1297&gt;=2,V1437&gt;CQ1297),AND(V1437="ns",CQ1297=0,CP1297&gt;0),V1437=CQ1297),0,1)))</f>
        <v>0</v>
      </c>
    </row>
    <row r="1298" spans="1:96" ht="24" customHeight="1">
      <c r="A1298" s="110"/>
      <c r="B1298" s="57"/>
      <c r="C1298" s="1109"/>
      <c r="D1298" s="954"/>
      <c r="E1298" s="956"/>
      <c r="F1298" s="1103" t="s">
        <v>4824</v>
      </c>
      <c r="G1298" s="1103"/>
      <c r="H1298" s="1104" t="s">
        <v>4825</v>
      </c>
      <c r="I1298" s="1105"/>
      <c r="J1298" s="1105"/>
      <c r="K1298" s="1105"/>
      <c r="L1298" s="1105"/>
      <c r="M1298" s="1105"/>
      <c r="N1298" s="1105"/>
      <c r="O1298" s="1106"/>
      <c r="P1298" s="100"/>
      <c r="Q1298" s="100"/>
      <c r="R1298" s="100"/>
      <c r="S1298" s="100"/>
      <c r="T1298" s="100"/>
      <c r="U1298" s="100"/>
      <c r="V1298" s="100"/>
      <c r="W1298" s="100"/>
      <c r="X1298" s="100"/>
      <c r="Y1298" s="100"/>
      <c r="Z1298" s="100"/>
      <c r="AA1298" s="100"/>
      <c r="AB1298" s="100"/>
      <c r="AC1298" s="100"/>
      <c r="AD1298" s="100"/>
      <c r="AF1298"/>
      <c r="AG1298">
        <f t="shared" si="879"/>
        <v>0</v>
      </c>
      <c r="AH1298">
        <f t="shared" si="863"/>
        <v>0</v>
      </c>
      <c r="AJ1298">
        <f>IF(OR(P1298="NS",P1298="NA",$P$896=0,$P$896="NS",$P$896="NA"),0,IF((P1298*(IFERROR(100/SUM(P1286:P1298),0)))&gt;25,1,0))</f>
        <v>0</v>
      </c>
      <c r="AK1298">
        <f t="shared" si="864"/>
        <v>0</v>
      </c>
      <c r="AL1298">
        <f t="shared" si="865"/>
        <v>0</v>
      </c>
      <c r="AM1298">
        <f t="shared" si="866"/>
        <v>0</v>
      </c>
      <c r="AN1298">
        <f t="shared" si="867"/>
        <v>0</v>
      </c>
      <c r="AO1298">
        <f t="shared" si="868"/>
        <v>0</v>
      </c>
      <c r="AP1298">
        <f t="shared" si="869"/>
        <v>0</v>
      </c>
      <c r="AQ1298">
        <f t="shared" si="870"/>
        <v>0</v>
      </c>
      <c r="AR1298">
        <f t="shared" si="871"/>
        <v>0</v>
      </c>
      <c r="AS1298">
        <f t="shared" si="872"/>
        <v>0</v>
      </c>
      <c r="AT1298">
        <f t="shared" si="873"/>
        <v>0</v>
      </c>
      <c r="AU1298">
        <f t="shared" si="874"/>
        <v>0</v>
      </c>
      <c r="AV1298">
        <f t="shared" si="875"/>
        <v>0</v>
      </c>
      <c r="AW1298">
        <f t="shared" si="876"/>
        <v>0</v>
      </c>
      <c r="AX1298">
        <f t="shared" si="877"/>
        <v>0</v>
      </c>
      <c r="AY1298">
        <f t="shared" si="878"/>
        <v>0</v>
      </c>
      <c r="AZ1298">
        <f>COUNTIF(W1292:W1297,"NS")</f>
        <v>0</v>
      </c>
      <c r="BA1298">
        <f>SUM(W1292:W1297)</f>
        <v>0</v>
      </c>
      <c r="BB1298">
        <f>IF(COUNTA(W1291:W1297)=0,0,IF(OR(AND(W1291=0,AZ1298&gt;0),AND(W1291="ns",BA1298&gt;0),AND(W1291="ns",AZ1298=0,BA1298=0)),1,IF(OR(AND(AZ1298&gt;=2,W1291&gt;BA1298),AND(W1291="ns",BA1298=0,AZ1298&gt;0),W1291=BA1298),0,1)))</f>
        <v>0</v>
      </c>
      <c r="BC1298">
        <f>COUNTIF(W1303:W1307,"NS")</f>
        <v>0</v>
      </c>
      <c r="BD1298">
        <f>SUM(W1303:W1307)</f>
        <v>0</v>
      </c>
      <c r="BE1298">
        <f>IF(COUNTA(W1302:W1307)=0,0,IF(OR(AND(W1302=0,BC1298&gt;0),AND(W1302="ns",BD1298&gt;0),AND(W1302="ns",BC1298=0,BD1298=0)),1,IF(OR(AND(BC1298&gt;=2,W1302&gt;BD1298),AND(W1302="ns",BD1298=0,BC1298&gt;0),W1302=BD1298),0,1)))</f>
        <v>0</v>
      </c>
      <c r="BF1298">
        <f>COUNTIF(W1312:W1329,"NS")</f>
        <v>0</v>
      </c>
      <c r="BG1298">
        <f>SUM(W1312:W1329)</f>
        <v>0</v>
      </c>
      <c r="BH1298">
        <f>IF(COUNTA(W1311:W1329)=0,0,IF(OR(AND(W1311=0,BF1298&gt;0),AND(W1311="ns",BG1298&gt;0),AND(W1311="ns",BF1298=0,BG1298=0)),1,IF(OR(AND(BF1298&gt;=2,W1311&gt;BG1298),AND(W1311="ns",BG1298=0,BF1298&gt;0),W1311=BG1298),0,1)))</f>
        <v>0</v>
      </c>
      <c r="BI1298">
        <f>COUNTIF(W1331:W1335,"NS")</f>
        <v>0</v>
      </c>
      <c r="BJ1298">
        <f>SUM(W1331:W1335)</f>
        <v>0</v>
      </c>
      <c r="BK1298">
        <f>IF(COUNTA(W1330:W1335)=0,0,IF(OR(AND(W1330=0,BI1298&gt;0),AND(W1330="ns",BJ1298&gt;0),AND(W1330="ns",BI1298=0,BJ1298=0)),1,IF(OR(AND(BI1298&gt;=2,W1330&gt;BJ1298),AND(W1330="ns",BJ1298=0,BI1298&gt;0),W1330=BJ1298),0,1)))</f>
        <v>0</v>
      </c>
      <c r="BL1298">
        <f>COUNTIF(W1339:W1341,"NS")</f>
        <v>0</v>
      </c>
      <c r="BM1298">
        <f>SUM(W1339:W1341)</f>
        <v>0</v>
      </c>
      <c r="BN1298">
        <f>IF(COUNTA(W1338:W1341)=0,0,IF(OR(AND(W1338=0,BL1298&gt;0),AND(W1338="ns",BM1298&gt;0),AND(W1338="ns",BL1298=0,BM1298=0)),1,IF(OR(AND(BL1298&gt;=2,W1338&gt;BM1298),AND(W1338="ns",BM1298=0,BL1298&gt;0),W1338=BM1298),0,1)))</f>
        <v>0</v>
      </c>
      <c r="BO1298">
        <f>COUNTIF(W1349:W1355,"NS")</f>
        <v>0</v>
      </c>
      <c r="BP1298">
        <f>SUM(W1349:W1355)</f>
        <v>0</v>
      </c>
      <c r="BQ1298">
        <f>IF(COUNTA(W1348:W1355)=0,0,IF(OR(AND(W1348=0,BO1298&gt;0),AND(W1348="ns",BP1298&gt;0),AND(W1348="ns",BO1298=0,BP1298=0)),1,IF(OR(AND(BO1298&gt;=2,W1348&gt;BP1298),AND(W1348="ns",BP1298=0,BO1298&gt;0),W1348=BP1298),0,1)))</f>
        <v>0</v>
      </c>
      <c r="BR1298">
        <f>COUNTIF(W1357:W1361,"NS")</f>
        <v>0</v>
      </c>
      <c r="BS1298">
        <f>SUM(W1357:W1361)</f>
        <v>0</v>
      </c>
      <c r="BT1298">
        <f>IF(COUNTA(W1356:W1361)=0,0,IF(OR(AND(W1356=0,BR1298&gt;0),AND(W1356="ns",BS1298&gt;0),AND(W1356="ns",BR1298=0,BS1298=0)),1,IF(OR(AND(BR1298&gt;=2,W1356&gt;BS1298),AND(W1356="ns",BS1298=0,BR1298&gt;0),W1356=BS1298),0,1)))</f>
        <v>0</v>
      </c>
      <c r="BU1298">
        <f>COUNTIF(W1367:W1372,"NS")</f>
        <v>0</v>
      </c>
      <c r="BV1298">
        <f>SUM(W1367:W1372)</f>
        <v>0</v>
      </c>
      <c r="BW1298">
        <f>IF(COUNTA(W1366:W1372)=0,0,IF(OR(AND(W1366=0,BU1298&gt;0),AND(W1366="ns",BV1298&gt;0),AND(W1366="ns",BU1298=0,BV1298=0)),1,IF(OR(AND(BU1298&gt;=2,W1366&gt;BV1298),AND(W1366="ns",BV1298=0,BU1298&gt;0),W1366=BV1298),0,1)))</f>
        <v>0</v>
      </c>
      <c r="BX1298">
        <f>COUNTIF(W1374:W1381,"NS")</f>
        <v>0</v>
      </c>
      <c r="BY1298">
        <f>SUM(W1374:W1381)</f>
        <v>0</v>
      </c>
      <c r="BZ1298">
        <f>IF(COUNTA(W1373:W1381)=0,0,IF(OR(AND(W1373=0,BX1298&gt;0),AND(W1373="ns",BY1298&gt;0),AND(W1373="ns",BX1298=0,BY1298=0)),1,IF(OR(AND(BX1298&gt;=2,W1373&gt;BY1298),AND(W1373="ns",BY1298=0,BX1298&gt;0),W1373=BY1298),0,1)))</f>
        <v>0</v>
      </c>
      <c r="CA1298">
        <f>COUNTIF(W1386:W1391,"NS")</f>
        <v>0</v>
      </c>
      <c r="CB1298">
        <f>SUM(W1386:W1391)</f>
        <v>0</v>
      </c>
      <c r="CC1298">
        <f>IF(COUNTA(W1385:W1391)=0,0,IF(OR(AND(W1385=0,CA1298&gt;0),AND(W1385="ns",CB1298&gt;0),AND(W1385="ns",CA1298=0,CB1298=0)),1,IF(OR(AND(CA1298&gt;=2,W1385&gt;CB1298),AND(W1385="ns",CB1298=0,CA1298&gt;0),W1385=CB1298),0,1)))</f>
        <v>0</v>
      </c>
      <c r="CD1298">
        <f>COUNTIF(W1396:W1404,"NS")</f>
        <v>0</v>
      </c>
      <c r="CE1298">
        <f>SUM(W1396:W1404)</f>
        <v>0</v>
      </c>
      <c r="CF1298">
        <f>IF(COUNTA(W1395:W1404)=0,0,IF(OR(AND(W1395=0,CD1298&gt;0),AND(W1395="ns",CE1298&gt;0),AND(W1395="ns",CD1298=0,CE1298=0)),1,IF(OR(AND(CD1298&gt;=2,W1395&gt;CE1298),AND(W1395="ns",CE1298=0,CD1298&gt;0),W1395=CE1298),0,1)))</f>
        <v>0</v>
      </c>
      <c r="CG1298">
        <f>COUNTIF(W1406:W1408,"NS")</f>
        <v>0</v>
      </c>
      <c r="CH1298">
        <f>SUM(W1406:W1408)</f>
        <v>0</v>
      </c>
      <c r="CI1298">
        <f>IF(COUNTA(W1405:W1408)=0,0,IF(OR(AND(W1405=0,CG1298&gt;0),AND(W1405="ns",CH1298&gt;0),AND(W1405="ns",CG1298=0,CH1298=0)),1,IF(OR(AND(CG1298&gt;=2,W1405&gt;CH1298),AND(W1405="ns",CH1298=0,CG1298&gt;0),W1405=CH1298),0,1)))</f>
        <v>0</v>
      </c>
      <c r="CJ1298">
        <f>COUNTIF(W1417:W1423,"NS")</f>
        <v>0</v>
      </c>
      <c r="CK1298">
        <f>SUM(W1417:W1423)</f>
        <v>0</v>
      </c>
      <c r="CL1298">
        <f>IF(COUNTA(W1416:W1423)=0,0,IF(OR(AND(W1416=0,CJ1298&gt;0),AND(W1416="ns",CK1298&gt;0),AND(W1416="ns",CJ1298=0,CK1298=0)),1,IF(OR(AND(CJ1298&gt;=2,W1416&gt;CK1298),AND(W1416="ns",CK1298=0,CJ1298&gt;0),W1416=CK1298),0,1)))</f>
        <v>0</v>
      </c>
      <c r="CM1298">
        <f>COUNTIF(W1426:W1428,"NS")</f>
        <v>0</v>
      </c>
      <c r="CN1298">
        <f>SUM(W1426:W1428)</f>
        <v>0</v>
      </c>
      <c r="CO1298">
        <f>IF(COUNTA(W1425:W1428)=0,0,IF(OR(AND(W1425=0,CM1298&gt;0),AND(W1425="ns",CN1298&gt;0),AND(W1425="ns",CM1298=0,CN1298=0)),1,IF(OR(AND(CM1298&gt;=2,W1425&gt;CN1298),AND(W1425="ns",CN1298=0,CM1298&gt;0),W1425=CN1298),0,1)))</f>
        <v>0</v>
      </c>
      <c r="CP1298">
        <f>COUNTIF(W1438:W1442,"NS")</f>
        <v>0</v>
      </c>
      <c r="CQ1298">
        <f>SUM(W1438:W1442)</f>
        <v>0</v>
      </c>
      <c r="CR1298">
        <f>IF(COUNTA(W1437:W1442)=0,0,IF(OR(AND(W1437=0,CP1298&gt;0),AND(W1437="ns",CQ1298&gt;0),AND(W1437="ns",CP1298=0,CQ1298=0)),1,IF(OR(AND(CP1298&gt;=2,W1437&gt;CQ1298),AND(W1437="ns",CQ1298=0,CP1298&gt;0),W1437=CQ1298),0,1)))</f>
        <v>0</v>
      </c>
    </row>
    <row r="1299" spans="1:96" ht="15" customHeight="1">
      <c r="A1299" s="110"/>
      <c r="B1299" s="57"/>
      <c r="C1299" s="1108" t="s">
        <v>4826</v>
      </c>
      <c r="D1299" s="847" t="s">
        <v>4827</v>
      </c>
      <c r="E1299" s="848"/>
      <c r="F1299" s="1103" t="s">
        <v>4828</v>
      </c>
      <c r="G1299" s="1103"/>
      <c r="H1299" s="1104" t="s">
        <v>4829</v>
      </c>
      <c r="I1299" s="1105"/>
      <c r="J1299" s="1105"/>
      <c r="K1299" s="1105"/>
      <c r="L1299" s="1105"/>
      <c r="M1299" s="1105"/>
      <c r="N1299" s="1105"/>
      <c r="O1299" s="1106"/>
      <c r="P1299" s="100"/>
      <c r="Q1299" s="100"/>
      <c r="R1299" s="100"/>
      <c r="S1299" s="100"/>
      <c r="T1299" s="100"/>
      <c r="U1299" s="100"/>
      <c r="V1299" s="100"/>
      <c r="W1299" s="100"/>
      <c r="X1299" s="100"/>
      <c r="Y1299" s="100"/>
      <c r="Z1299" s="100"/>
      <c r="AA1299" s="100"/>
      <c r="AB1299" s="100"/>
      <c r="AC1299" s="100"/>
      <c r="AD1299" s="100"/>
      <c r="AF1299"/>
      <c r="AG1299">
        <f t="shared" si="879"/>
        <v>0</v>
      </c>
      <c r="AH1299">
        <f t="shared" si="863"/>
        <v>0</v>
      </c>
      <c r="AK1299">
        <f t="shared" si="864"/>
        <v>0</v>
      </c>
      <c r="AL1299">
        <f t="shared" si="865"/>
        <v>0</v>
      </c>
      <c r="AM1299">
        <f t="shared" si="866"/>
        <v>0</v>
      </c>
      <c r="AN1299">
        <f t="shared" si="867"/>
        <v>0</v>
      </c>
      <c r="AO1299">
        <f t="shared" si="868"/>
        <v>0</v>
      </c>
      <c r="AP1299">
        <f t="shared" si="869"/>
        <v>0</v>
      </c>
      <c r="AQ1299">
        <f t="shared" si="870"/>
        <v>0</v>
      </c>
      <c r="AR1299">
        <f t="shared" si="871"/>
        <v>0</v>
      </c>
      <c r="AS1299">
        <f t="shared" si="872"/>
        <v>0</v>
      </c>
      <c r="AT1299">
        <f t="shared" si="873"/>
        <v>0</v>
      </c>
      <c r="AU1299">
        <f t="shared" si="874"/>
        <v>0</v>
      </c>
      <c r="AV1299">
        <f t="shared" si="875"/>
        <v>0</v>
      </c>
      <c r="AW1299">
        <f t="shared" si="876"/>
        <v>0</v>
      </c>
      <c r="AX1299">
        <f t="shared" si="877"/>
        <v>0</v>
      </c>
      <c r="AY1299">
        <f t="shared" si="878"/>
        <v>0</v>
      </c>
      <c r="AZ1299">
        <f>COUNTIF(X1292:X1297,"NS")</f>
        <v>0</v>
      </c>
      <c r="BA1299">
        <f>SUM(X1292:X1297)</f>
        <v>0</v>
      </c>
      <c r="BB1299">
        <f>IF(COUNTA(X1291:X1297)=0,0,IF(OR(AND(X1291=0,AZ1299&gt;0),AND(X1291="ns",BA1299&gt;0),AND(X1291="ns",AZ1299=0,BA1299=0)),1,IF(OR(AND(AZ1299&gt;=2,X1291&gt;BA1299),AND(X1291="ns",BA1299=0,AZ1299&gt;0),X1291=BA1299),0,1)))</f>
        <v>0</v>
      </c>
      <c r="BC1299">
        <f>COUNTIF(X1303:X1307,"NS")</f>
        <v>0</v>
      </c>
      <c r="BD1299">
        <f>SUM(X1303:X1307)</f>
        <v>0</v>
      </c>
      <c r="BE1299">
        <f>IF(COUNTA(X1302:X1307)=0,0,IF(OR(AND(X1302=0,BC1299&gt;0),AND(X1302="ns",BD1299&gt;0),AND(X1302="ns",BC1299=0,BD1299=0)),1,IF(OR(AND(BC1299&gt;=2,X1302&gt;BD1299),AND(X1302="ns",BD1299=0,BC1299&gt;0),X1302=BD1299),0,1)))</f>
        <v>0</v>
      </c>
      <c r="BF1299">
        <f>COUNTIF(X1312:X1329,"NS")</f>
        <v>0</v>
      </c>
      <c r="BG1299">
        <f>SUM(X1312:X1329)</f>
        <v>0</v>
      </c>
      <c r="BH1299">
        <f>IF(COUNTA(X1311:X1329)=0,0,IF(OR(AND(X1311=0,BF1299&gt;0),AND(X1311="ns",BG1299&gt;0),AND(X1311="ns",BF1299=0,BG1299=0)),1,IF(OR(AND(BF1299&gt;=2,X1311&gt;BG1299),AND(X1311="ns",BG1299=0,BF1299&gt;0),X1311=BG1299),0,1)))</f>
        <v>0</v>
      </c>
      <c r="BI1299">
        <f>COUNTIF(X1331:X1335,"NS")</f>
        <v>0</v>
      </c>
      <c r="BJ1299">
        <f>SUM(X1331:X1335)</f>
        <v>0</v>
      </c>
      <c r="BK1299">
        <f>IF(COUNTA(X1330:X1335)=0,0,IF(OR(AND(X1330=0,BI1299&gt;0),AND(X1330="ns",BJ1299&gt;0),AND(X1330="ns",BI1299=0,BJ1299=0)),1,IF(OR(AND(BI1299&gt;=2,X1330&gt;BJ1299),AND(X1330="ns",BJ1299=0,BI1299&gt;0),X1330=BJ1299),0,1)))</f>
        <v>0</v>
      </c>
      <c r="BL1299">
        <f>COUNTIF(X1339:X1341,"NS")</f>
        <v>0</v>
      </c>
      <c r="BM1299">
        <f>SUM(X1339:X1341)</f>
        <v>0</v>
      </c>
      <c r="BN1299">
        <f>IF(COUNTA(X1338:X1341)=0,0,IF(OR(AND(X1338=0,BL1299&gt;0),AND(X1338="ns",BM1299&gt;0),AND(X1338="ns",BL1299=0,BM1299=0)),1,IF(OR(AND(BL1299&gt;=2,X1338&gt;BM1299),AND(X1338="ns",BM1299=0,BL1299&gt;0),X1338=BM1299),0,1)))</f>
        <v>0</v>
      </c>
      <c r="BO1299">
        <f>COUNTIF(X1349:X1355,"NS")</f>
        <v>0</v>
      </c>
      <c r="BP1299">
        <f>SUM(X1349:X1355)</f>
        <v>0</v>
      </c>
      <c r="BQ1299">
        <f>IF(COUNTA(X1348:X1355)=0,0,IF(OR(AND(X1348=0,BO1299&gt;0),AND(X1348="ns",BP1299&gt;0),AND(X1348="ns",BO1299=0,BP1299=0)),1,IF(OR(AND(BO1299&gt;=2,X1348&gt;BP1299),AND(X1348="ns",BP1299=0,BO1299&gt;0),X1348=BP1299),0,1)))</f>
        <v>0</v>
      </c>
      <c r="BR1299">
        <f>COUNTIF(X1357:X1361,"NS")</f>
        <v>0</v>
      </c>
      <c r="BS1299">
        <f>SUM(X1357:X1361)</f>
        <v>0</v>
      </c>
      <c r="BT1299">
        <f>IF(COUNTA(X1356:X1361)=0,0,IF(OR(AND(X1356=0,BR1299&gt;0),AND(X1356="ns",BS1299&gt;0),AND(X1356="ns",BR1299=0,BS1299=0)),1,IF(OR(AND(BR1299&gt;=2,X1356&gt;BS1299),AND(X1356="ns",BS1299=0,BR1299&gt;0),X1356=BS1299),0,1)))</f>
        <v>0</v>
      </c>
      <c r="BU1299">
        <f>COUNTIF(X1367:X1372,"NS")</f>
        <v>0</v>
      </c>
      <c r="BV1299">
        <f>SUM(X1367:X1372)</f>
        <v>0</v>
      </c>
      <c r="BW1299">
        <f>IF(COUNTA(X1366:X1372)=0,0,IF(OR(AND(X1366=0,BU1299&gt;0),AND(X1366="ns",BV1299&gt;0),AND(X1366="ns",BU1299=0,BV1299=0)),1,IF(OR(AND(BU1299&gt;=2,X1366&gt;BV1299),AND(X1366="ns",BV1299=0,BU1299&gt;0),X1366=BV1299),0,1)))</f>
        <v>0</v>
      </c>
      <c r="BX1299">
        <f>COUNTIF(X1374:X1381,"NS")</f>
        <v>0</v>
      </c>
      <c r="BY1299">
        <f>SUM(X1374:X1381)</f>
        <v>0</v>
      </c>
      <c r="BZ1299">
        <f>IF(COUNTA(X1373:X1381)=0,0,IF(OR(AND(X1373=0,BX1299&gt;0),AND(X1373="ns",BY1299&gt;0),AND(X1373="ns",BX1299=0,BY1299=0)),1,IF(OR(AND(BX1299&gt;=2,X1373&gt;BY1299),AND(X1373="ns",BY1299=0,BX1299&gt;0),X1373=BY1299),0,1)))</f>
        <v>0</v>
      </c>
      <c r="CA1299">
        <f>COUNTIF(X1386:X1391,"NS")</f>
        <v>0</v>
      </c>
      <c r="CB1299">
        <f>SUM(X1386:X1391)</f>
        <v>0</v>
      </c>
      <c r="CC1299">
        <f>IF(COUNTA(X1385:X1391)=0,0,IF(OR(AND(X1385=0,CA1299&gt;0),AND(X1385="ns",CB1299&gt;0),AND(X1385="ns",CA1299=0,CB1299=0)),1,IF(OR(AND(CA1299&gt;=2,X1385&gt;CB1299),AND(X1385="ns",CB1299=0,CA1299&gt;0),X1385=CB1299),0,1)))</f>
        <v>0</v>
      </c>
      <c r="CD1299">
        <f>COUNTIF(X1396:X1404,"NS")</f>
        <v>0</v>
      </c>
      <c r="CE1299">
        <f>SUM(X1396:X1404)</f>
        <v>0</v>
      </c>
      <c r="CF1299">
        <f>IF(COUNTA(X1395:X1404)=0,0,IF(OR(AND(X1395=0,CD1299&gt;0),AND(X1395="ns",CE1299&gt;0),AND(X1395="ns",CD1299=0,CE1299=0)),1,IF(OR(AND(CD1299&gt;=2,X1395&gt;CE1299),AND(X1395="ns",CE1299=0,CD1299&gt;0),X1395=CE1299),0,1)))</f>
        <v>0</v>
      </c>
      <c r="CG1299">
        <f>COUNTIF(X1406:X1408,"NS")</f>
        <v>0</v>
      </c>
      <c r="CH1299">
        <f>SUM(X1406:X1408)</f>
        <v>0</v>
      </c>
      <c r="CI1299">
        <f>IF(COUNTA(X1405:X1408)=0,0,IF(OR(AND(X1405=0,CG1299&gt;0),AND(X1405="ns",CH1299&gt;0),AND(X1405="ns",CG1299=0,CH1299=0)),1,IF(OR(AND(CG1299&gt;=2,X1405&gt;CH1299),AND(X1405="ns",CH1299=0,CG1299&gt;0),X1405=CH1299),0,1)))</f>
        <v>0</v>
      </c>
      <c r="CJ1299">
        <f>COUNTIF(X1417:X1423,"NS")</f>
        <v>0</v>
      </c>
      <c r="CK1299">
        <f>SUM(X1417:X1423)</f>
        <v>0</v>
      </c>
      <c r="CL1299">
        <f>IF(COUNTA(X1416:X1423)=0,0,IF(OR(AND(X1416=0,CJ1299&gt;0),AND(X1416="ns",CK1299&gt;0),AND(X1416="ns",CJ1299=0,CK1299=0)),1,IF(OR(AND(CJ1299&gt;=2,X1416&gt;CK1299),AND(X1416="ns",CK1299=0,CJ1299&gt;0),X1416=CK1299),0,1)))</f>
        <v>0</v>
      </c>
      <c r="CM1299">
        <f>COUNTIF(X1426:X1428,"NS")</f>
        <v>0</v>
      </c>
      <c r="CN1299">
        <f>SUM(X1426:X1428)</f>
        <v>0</v>
      </c>
      <c r="CO1299">
        <f>IF(COUNTA(X1425:X1428)=0,0,IF(OR(AND(X1425=0,CM1299&gt;0),AND(X1425="ns",CN1299&gt;0),AND(X1425="ns",CM1299=0,CN1299=0)),1,IF(OR(AND(CM1299&gt;=2,X1425&gt;CN1299),AND(X1425="ns",CN1299=0,CM1299&gt;0),X1425=CN1299),0,1)))</f>
        <v>0</v>
      </c>
      <c r="CP1299">
        <f>COUNTIF(X1438:X1442,"NS")</f>
        <v>0</v>
      </c>
      <c r="CQ1299">
        <f>SUM(X1438:X1442)</f>
        <v>0</v>
      </c>
      <c r="CR1299">
        <f>IF(COUNTA(X1437:X1442)=0,0,IF(OR(AND(X1437=0,CP1299&gt;0),AND(X1437="ns",CQ1299&gt;0),AND(X1437="ns",CP1299=0,CQ1299=0)),1,IF(OR(AND(CP1299&gt;=2,X1437&gt;CQ1299),AND(X1437="ns",CQ1299=0,CP1299&gt;0),X1437=CQ1299),0,1)))</f>
        <v>0</v>
      </c>
    </row>
    <row r="1300" spans="1:96" ht="15" customHeight="1">
      <c r="A1300" s="110"/>
      <c r="B1300" s="57"/>
      <c r="C1300" s="1109"/>
      <c r="D1300" s="954"/>
      <c r="E1300" s="956"/>
      <c r="F1300" s="1103" t="s">
        <v>4830</v>
      </c>
      <c r="G1300" s="1103"/>
      <c r="H1300" s="1104" t="s">
        <v>4831</v>
      </c>
      <c r="I1300" s="1105"/>
      <c r="J1300" s="1105"/>
      <c r="K1300" s="1105"/>
      <c r="L1300" s="1105"/>
      <c r="M1300" s="1105"/>
      <c r="N1300" s="1105"/>
      <c r="O1300" s="1106"/>
      <c r="P1300" s="100"/>
      <c r="Q1300" s="100"/>
      <c r="R1300" s="100"/>
      <c r="S1300" s="100"/>
      <c r="T1300" s="100"/>
      <c r="U1300" s="100"/>
      <c r="V1300" s="100"/>
      <c r="W1300" s="100"/>
      <c r="X1300" s="100"/>
      <c r="Y1300" s="100"/>
      <c r="Z1300" s="100"/>
      <c r="AA1300" s="100"/>
      <c r="AB1300" s="100"/>
      <c r="AC1300" s="100"/>
      <c r="AD1300" s="100"/>
      <c r="AF1300"/>
      <c r="AG1300">
        <f t="shared" si="879"/>
        <v>0</v>
      </c>
      <c r="AH1300">
        <f t="shared" si="863"/>
        <v>0</v>
      </c>
      <c r="AK1300">
        <f t="shared" si="864"/>
        <v>0</v>
      </c>
      <c r="AL1300">
        <f t="shared" si="865"/>
        <v>0</v>
      </c>
      <c r="AM1300">
        <f t="shared" si="866"/>
        <v>0</v>
      </c>
      <c r="AN1300">
        <f t="shared" si="867"/>
        <v>0</v>
      </c>
      <c r="AO1300">
        <f t="shared" si="868"/>
        <v>0</v>
      </c>
      <c r="AP1300">
        <f t="shared" si="869"/>
        <v>0</v>
      </c>
      <c r="AQ1300">
        <f t="shared" si="870"/>
        <v>0</v>
      </c>
      <c r="AR1300">
        <f t="shared" si="871"/>
        <v>0</v>
      </c>
      <c r="AS1300">
        <f t="shared" si="872"/>
        <v>0</v>
      </c>
      <c r="AT1300">
        <f t="shared" si="873"/>
        <v>0</v>
      </c>
      <c r="AU1300">
        <f t="shared" si="874"/>
        <v>0</v>
      </c>
      <c r="AV1300">
        <f t="shared" si="875"/>
        <v>0</v>
      </c>
      <c r="AW1300">
        <f t="shared" si="876"/>
        <v>0</v>
      </c>
      <c r="AX1300">
        <f t="shared" si="877"/>
        <v>0</v>
      </c>
      <c r="AY1300">
        <f t="shared" si="878"/>
        <v>0</v>
      </c>
      <c r="AZ1300">
        <f>COUNTIF(Y1292:Y1297,"NS")</f>
        <v>0</v>
      </c>
      <c r="BA1300">
        <f>SUM(Y1292:Y1297)</f>
        <v>0</v>
      </c>
      <c r="BB1300">
        <f>IF(COUNTA(Y1291:Y1297)=0,0,IF(OR(AND(Y1291=0,AZ1300&gt;0),AND(Y1291="ns",BA1300&gt;0),AND(Y1291="ns",AZ1300=0,BA1300=0)),1,IF(OR(AND(AZ1300&gt;=2,Y1291&gt;BA1300),AND(Y1291="ns",BA1300=0,AZ1300&gt;0),Y1291=BA1300),0,1)))</f>
        <v>0</v>
      </c>
      <c r="BC1300">
        <f>COUNTIF(Y1303:Y1307,"NS")</f>
        <v>0</v>
      </c>
      <c r="BD1300">
        <f>SUM(Y1303:Y1307)</f>
        <v>0</v>
      </c>
      <c r="BE1300">
        <f>IF(COUNTA(Y1302:Y1307)=0,0,IF(OR(AND(Y1302=0,BC1300&gt;0),AND(Y1302="ns",BD1300&gt;0),AND(Y1302="ns",BC1300=0,BD1300=0)),1,IF(OR(AND(BC1300&gt;=2,Y1302&gt;BD1300),AND(Y1302="ns",BD1300=0,BC1300&gt;0),Y1302=BD1300),0,1)))</f>
        <v>0</v>
      </c>
      <c r="BF1300">
        <f>COUNTIF(Y1312:Y1329,"NS")</f>
        <v>0</v>
      </c>
      <c r="BG1300">
        <f>SUM(Y1312:Y1329)</f>
        <v>0</v>
      </c>
      <c r="BH1300">
        <f>IF(COUNTA(Y1311:Y1329)=0,0,IF(OR(AND(Y1311=0,BF1300&gt;0),AND(Y1311="ns",BG1300&gt;0),AND(Y1311="ns",BF1300=0,BG1300=0)),1,IF(OR(AND(BF1300&gt;=2,Y1311&gt;BG1300),AND(Y1311="ns",BG1300=0,BF1300&gt;0),Y1311=BG1300),0,1)))</f>
        <v>0</v>
      </c>
      <c r="BI1300">
        <f>COUNTIF(Y1331:Y1335,"NS")</f>
        <v>0</v>
      </c>
      <c r="BJ1300">
        <f>SUM(Y1331:Y1335)</f>
        <v>0</v>
      </c>
      <c r="BK1300">
        <f>IF(COUNTA(Y1330:Y1335)=0,0,IF(OR(AND(Y1330=0,BI1300&gt;0),AND(Y1330="ns",BJ1300&gt;0),AND(Y1330="ns",BI1300=0,BJ1300=0)),1,IF(OR(AND(BI1300&gt;=2,Y1330&gt;BJ1300),AND(Y1330="ns",BJ1300=0,BI1300&gt;0),Y1330=BJ1300),0,1)))</f>
        <v>0</v>
      </c>
      <c r="BL1300">
        <f>COUNTIF(Y1339:Y1341,"NS")</f>
        <v>0</v>
      </c>
      <c r="BM1300">
        <f>SUM(Y1339:Y1341)</f>
        <v>0</v>
      </c>
      <c r="BN1300">
        <f>IF(COUNTA(Y1338:Y1341)=0,0,IF(OR(AND(Y1338=0,BL1300&gt;0),AND(Y1338="ns",BM1300&gt;0),AND(Y1338="ns",BL1300=0,BM1300=0)),1,IF(OR(AND(BL1300&gt;=2,Y1338&gt;BM1300),AND(Y1338="ns",BM1300=0,BL1300&gt;0),Y1338=BM1300),0,1)))</f>
        <v>0</v>
      </c>
      <c r="BO1300">
        <f>COUNTIF(Y1349:Y1355,"NS")</f>
        <v>0</v>
      </c>
      <c r="BP1300">
        <f>SUM(Y1349:Y1355)</f>
        <v>0</v>
      </c>
      <c r="BQ1300">
        <f>IF(COUNTA(Y1348:Y1355)=0,0,IF(OR(AND(Y1348=0,BO1300&gt;0),AND(Y1348="ns",BP1300&gt;0),AND(Y1348="ns",BO1300=0,BP1300=0)),1,IF(OR(AND(BO1300&gt;=2,Y1348&gt;BP1300),AND(Y1348="ns",BP1300=0,BO1300&gt;0),Y1348=BP1300),0,1)))</f>
        <v>0</v>
      </c>
      <c r="BR1300">
        <f>COUNTIF(Y1357:Y1361,"NS")</f>
        <v>0</v>
      </c>
      <c r="BS1300">
        <f>SUM(Y1357:Y1361)</f>
        <v>0</v>
      </c>
      <c r="BT1300">
        <f>IF(COUNTA(Y1356:Y1361)=0,0,IF(OR(AND(Y1356=0,BR1300&gt;0),AND(Y1356="ns",BS1300&gt;0),AND(Y1356="ns",BR1300=0,BS1300=0)),1,IF(OR(AND(BR1300&gt;=2,Y1356&gt;BS1300),AND(Y1356="ns",BS1300=0,BR1300&gt;0),Y1356=BS1300),0,1)))</f>
        <v>0</v>
      </c>
      <c r="BU1300">
        <f>COUNTIF(Y1367:Y1372,"NS")</f>
        <v>0</v>
      </c>
      <c r="BV1300">
        <f>SUM(Y1367:Y1372)</f>
        <v>0</v>
      </c>
      <c r="BW1300">
        <f>IF(COUNTA(Y1366:Y1372)=0,0,IF(OR(AND(Y1366=0,BU1300&gt;0),AND(Y1366="ns",BV1300&gt;0),AND(Y1366="ns",BU1300=0,BV1300=0)),1,IF(OR(AND(BU1300&gt;=2,Y1366&gt;BV1300),AND(Y1366="ns",BV1300=0,BU1300&gt;0),Y1366=BV1300),0,1)))</f>
        <v>0</v>
      </c>
      <c r="BX1300">
        <f>COUNTIF(Y1374:Y1381,"NS")</f>
        <v>0</v>
      </c>
      <c r="BY1300">
        <f>SUM(Y1374:Y1381)</f>
        <v>0</v>
      </c>
      <c r="BZ1300">
        <f>IF(COUNTA(Y1373:Y1381)=0,0,IF(OR(AND(Y1373=0,BX1300&gt;0),AND(Y1373="ns",BY1300&gt;0),AND(Y1373="ns",BX1300=0,BY1300=0)),1,IF(OR(AND(BX1300&gt;=2,Y1373&gt;BY1300),AND(Y1373="ns",BY1300=0,BX1300&gt;0),Y1373=BY1300),0,1)))</f>
        <v>0</v>
      </c>
      <c r="CA1300">
        <f>COUNTIF(Y1386:Y1391,"NS")</f>
        <v>0</v>
      </c>
      <c r="CB1300">
        <f>SUM(Y1386:Y1391)</f>
        <v>0</v>
      </c>
      <c r="CC1300">
        <f>IF(COUNTA(Y1385:Y1391)=0,0,IF(OR(AND(Y1385=0,CA1300&gt;0),AND(Y1385="ns",CB1300&gt;0),AND(Y1385="ns",CA1300=0,CB1300=0)),1,IF(OR(AND(CA1300&gt;=2,Y1385&gt;CB1300),AND(Y1385="ns",CB1300=0,CA1300&gt;0),Y1385=CB1300),0,1)))</f>
        <v>0</v>
      </c>
      <c r="CD1300">
        <f>COUNTIF(Y1396:Y1404,"NS")</f>
        <v>0</v>
      </c>
      <c r="CE1300">
        <f>SUM(Y1396:Y1404)</f>
        <v>0</v>
      </c>
      <c r="CF1300">
        <f>IF(COUNTA(Y1395:Y1404)=0,0,IF(OR(AND(Y1395=0,CD1300&gt;0),AND(Y1395="ns",CE1300&gt;0),AND(Y1395="ns",CD1300=0,CE1300=0)),1,IF(OR(AND(CD1300&gt;=2,Y1395&gt;CE1300),AND(Y1395="ns",CE1300=0,CD1300&gt;0),Y1395=CE1300),0,1)))</f>
        <v>0</v>
      </c>
      <c r="CG1300">
        <f>COUNTIF(Y1406:Y1408,"NS")</f>
        <v>0</v>
      </c>
      <c r="CH1300">
        <f>SUM(Y1406:Y1408)</f>
        <v>0</v>
      </c>
      <c r="CI1300">
        <f>IF(COUNTA(Y1405:Y1408)=0,0,IF(OR(AND(Y1405=0,CG1300&gt;0),AND(Y1405="ns",CH1300&gt;0),AND(Y1405="ns",CG1300=0,CH1300=0)),1,IF(OR(AND(CG1300&gt;=2,Y1405&gt;CH1300),AND(Y1405="ns",CH1300=0,CG1300&gt;0),Y1405=CH1300),0,1)))</f>
        <v>0</v>
      </c>
      <c r="CJ1300">
        <f>COUNTIF(Y1417:Y1423,"NS")</f>
        <v>0</v>
      </c>
      <c r="CK1300">
        <f>SUM(Y1417:Y1423)</f>
        <v>0</v>
      </c>
      <c r="CL1300">
        <f>IF(COUNTA(Y1416:Y1423)=0,0,IF(OR(AND(Y1416=0,CJ1300&gt;0),AND(Y1416="ns",CK1300&gt;0),AND(Y1416="ns",CJ1300=0,CK1300=0)),1,IF(OR(AND(CJ1300&gt;=2,Y1416&gt;CK1300),AND(Y1416="ns",CK1300=0,CJ1300&gt;0),Y1416=CK1300),0,1)))</f>
        <v>0</v>
      </c>
      <c r="CM1300">
        <f>COUNTIF(Y1426:Y1428,"NS")</f>
        <v>0</v>
      </c>
      <c r="CN1300">
        <f>SUM(Y1426:Y1428)</f>
        <v>0</v>
      </c>
      <c r="CO1300">
        <f>IF(COUNTA(Y1425:Y1428)=0,0,IF(OR(AND(Y1425=0,CM1300&gt;0),AND(Y1425="ns",CN1300&gt;0),AND(Y1425="ns",CM1300=0,CN1300=0)),1,IF(OR(AND(CM1300&gt;=2,Y1425&gt;CN1300),AND(Y1425="ns",CN1300=0,CM1300&gt;0),Y1425=CN1300),0,1)))</f>
        <v>0</v>
      </c>
      <c r="CP1300">
        <f>COUNTIF(Y1438:Y1442,"NS")</f>
        <v>0</v>
      </c>
      <c r="CQ1300">
        <f>SUM(Y1438:Y1442)</f>
        <v>0</v>
      </c>
      <c r="CR1300">
        <f>IF(COUNTA(Y1437:Y1442)=0,0,IF(OR(AND(Y1437=0,CP1300&gt;0),AND(Y1437="ns",CQ1300&gt;0),AND(Y1437="ns",CP1300=0,CQ1300=0)),1,IF(OR(AND(CP1300&gt;=2,Y1437&gt;CQ1300),AND(Y1437="ns",CQ1300=0,CP1300&gt;0),Y1437=CQ1300),0,1)))</f>
        <v>0</v>
      </c>
    </row>
    <row r="1301" spans="1:96" ht="15" customHeight="1">
      <c r="A1301" s="110"/>
      <c r="B1301" s="57"/>
      <c r="C1301" s="1109"/>
      <c r="D1301" s="954"/>
      <c r="E1301" s="956"/>
      <c r="F1301" s="1103" t="s">
        <v>4832</v>
      </c>
      <c r="G1301" s="1103"/>
      <c r="H1301" s="1104" t="s">
        <v>4833</v>
      </c>
      <c r="I1301" s="1105"/>
      <c r="J1301" s="1105"/>
      <c r="K1301" s="1105"/>
      <c r="L1301" s="1105"/>
      <c r="M1301" s="1105"/>
      <c r="N1301" s="1105"/>
      <c r="O1301" s="1106"/>
      <c r="P1301" s="100"/>
      <c r="Q1301" s="100"/>
      <c r="R1301" s="100"/>
      <c r="S1301" s="100"/>
      <c r="T1301" s="100"/>
      <c r="U1301" s="100"/>
      <c r="V1301" s="100"/>
      <c r="W1301" s="100"/>
      <c r="X1301" s="100"/>
      <c r="Y1301" s="100"/>
      <c r="Z1301" s="100"/>
      <c r="AA1301" s="100"/>
      <c r="AB1301" s="100"/>
      <c r="AC1301" s="100"/>
      <c r="AD1301" s="100"/>
      <c r="AF1301"/>
      <c r="AG1301">
        <f t="shared" si="879"/>
        <v>0</v>
      </c>
      <c r="AH1301">
        <f t="shared" si="863"/>
        <v>0</v>
      </c>
      <c r="AK1301">
        <f t="shared" si="864"/>
        <v>0</v>
      </c>
      <c r="AL1301">
        <f t="shared" si="865"/>
        <v>0</v>
      </c>
      <c r="AM1301">
        <f t="shared" si="866"/>
        <v>0</v>
      </c>
      <c r="AN1301">
        <f t="shared" si="867"/>
        <v>0</v>
      </c>
      <c r="AO1301">
        <f t="shared" si="868"/>
        <v>0</v>
      </c>
      <c r="AP1301">
        <f t="shared" si="869"/>
        <v>0</v>
      </c>
      <c r="AQ1301">
        <f t="shared" si="870"/>
        <v>0</v>
      </c>
      <c r="AR1301">
        <f t="shared" si="871"/>
        <v>0</v>
      </c>
      <c r="AS1301">
        <f t="shared" si="872"/>
        <v>0</v>
      </c>
      <c r="AT1301">
        <f t="shared" si="873"/>
        <v>0</v>
      </c>
      <c r="AU1301">
        <f t="shared" si="874"/>
        <v>0</v>
      </c>
      <c r="AV1301">
        <f t="shared" si="875"/>
        <v>0</v>
      </c>
      <c r="AW1301">
        <f t="shared" si="876"/>
        <v>0</v>
      </c>
      <c r="AX1301">
        <f t="shared" si="877"/>
        <v>0</v>
      </c>
      <c r="AY1301">
        <f t="shared" si="878"/>
        <v>0</v>
      </c>
      <c r="AZ1301">
        <f>COUNTIF(Z1292:Z1297,"NS")</f>
        <v>0</v>
      </c>
      <c r="BA1301">
        <f>SUM(Z1292:Z1297)</f>
        <v>0</v>
      </c>
      <c r="BB1301">
        <f>IF(COUNTA(Z1291:Z1297)=0,0,IF(OR(AND(Z1291=0,AZ1301&gt;0),AND(Z1291="ns",BA1301&gt;0),AND(Z1291="ns",AZ1301=0,BA1301=0)),1,IF(OR(AND(AZ1301&gt;=2,Z1291&gt;BA1301),AND(Z1291="ns",BA1301=0,AZ1301&gt;0),Z1291=BA1301),0,1)))</f>
        <v>0</v>
      </c>
      <c r="BC1301">
        <f>COUNTIF(Z1303:Z1307,"NS")</f>
        <v>0</v>
      </c>
      <c r="BD1301">
        <f>SUM(Z1303:Z1307)</f>
        <v>0</v>
      </c>
      <c r="BE1301">
        <f>IF(COUNTA(Z1302:Z1307)=0,0,IF(OR(AND(Z1302=0,BC1301&gt;0),AND(Z1302="ns",BD1301&gt;0),AND(Z1302="ns",BC1301=0,BD1301=0)),1,IF(OR(AND(BC1301&gt;=2,Z1302&gt;BD1301),AND(Z1302="ns",BD1301=0,BC1301&gt;0),Z1302=BD1301),0,1)))</f>
        <v>0</v>
      </c>
      <c r="BF1301">
        <f>COUNTIF(Z1312:Z1329,"NS")</f>
        <v>0</v>
      </c>
      <c r="BG1301">
        <f>SUM(Z1312:Z1329)</f>
        <v>0</v>
      </c>
      <c r="BH1301">
        <f>IF(COUNTA(Z1311:Z1329)=0,0,IF(OR(AND(Z1311=0,BF1301&gt;0),AND(Z1311="ns",BG1301&gt;0),AND(Z1311="ns",BF1301=0,BG1301=0)),1,IF(OR(AND(BF1301&gt;=2,Z1311&gt;BG1301),AND(Z1311="ns",BG1301=0,BF1301&gt;0),Z1311=BG1301),0,1)))</f>
        <v>0</v>
      </c>
      <c r="BI1301">
        <f>COUNTIF(Z1331:Z1335,"NS")</f>
        <v>0</v>
      </c>
      <c r="BJ1301">
        <f>SUM(Z1331:Z1335)</f>
        <v>0</v>
      </c>
      <c r="BK1301">
        <f>IF(COUNTA(Z1330:Z1335)=0,0,IF(OR(AND(Z1330=0,BI1301&gt;0),AND(Z1330="ns",BJ1301&gt;0),AND(Z1330="ns",BI1301=0,BJ1301=0)),1,IF(OR(AND(BI1301&gt;=2,Z1330&gt;BJ1301),AND(Z1330="ns",BJ1301=0,BI1301&gt;0),Z1330=BJ1301),0,1)))</f>
        <v>0</v>
      </c>
      <c r="BL1301">
        <f>COUNTIF(Z1339:Z1341,"NS")</f>
        <v>0</v>
      </c>
      <c r="BM1301">
        <f>SUM(Z1339:Z1341)</f>
        <v>0</v>
      </c>
      <c r="BN1301">
        <f>IF(COUNTA(Z1338:Z1341)=0,0,IF(OR(AND(Z1338=0,BL1301&gt;0),AND(Z1338="ns",BM1301&gt;0),AND(Z1338="ns",BL1301=0,BM1301=0)),1,IF(OR(AND(BL1301&gt;=2,Z1338&gt;BM1301),AND(Z1338="ns",BM1301=0,BL1301&gt;0),Z1338=BM1301),0,1)))</f>
        <v>0</v>
      </c>
      <c r="BO1301">
        <f>COUNTIF(Z1349:Z1355,"NS")</f>
        <v>0</v>
      </c>
      <c r="BP1301">
        <f>SUM(Z1349:Z1355)</f>
        <v>0</v>
      </c>
      <c r="BQ1301">
        <f>IF(COUNTA(Z1348:Z1355)=0,0,IF(OR(AND(Z1348=0,BO1301&gt;0),AND(Z1348="ns",BP1301&gt;0),AND(Z1348="ns",BO1301=0,BP1301=0)),1,IF(OR(AND(BO1301&gt;=2,Z1348&gt;BP1301),AND(Z1348="ns",BP1301=0,BO1301&gt;0),Z1348=BP1301),0,1)))</f>
        <v>0</v>
      </c>
      <c r="BR1301">
        <f>COUNTIF(Z1357:Z1361,"NS")</f>
        <v>0</v>
      </c>
      <c r="BS1301">
        <f>SUM(Z1357:Z1361)</f>
        <v>0</v>
      </c>
      <c r="BT1301">
        <f>IF(COUNTA(Z1356:Z1361)=0,0,IF(OR(AND(Z1356=0,BR1301&gt;0),AND(Z1356="ns",BS1301&gt;0),AND(Z1356="ns",BR1301=0,BS1301=0)),1,IF(OR(AND(BR1301&gt;=2,Z1356&gt;BS1301),AND(Z1356="ns",BS1301=0,BR1301&gt;0),Z1356=BS1301),0,1)))</f>
        <v>0</v>
      </c>
      <c r="BU1301">
        <f>COUNTIF(Z1367:Z1372,"NS")</f>
        <v>0</v>
      </c>
      <c r="BV1301">
        <f>SUM(Z1367:Z1372)</f>
        <v>0</v>
      </c>
      <c r="BW1301">
        <f>IF(COUNTA(Z1366:Z1372)=0,0,IF(OR(AND(Z1366=0,BU1301&gt;0),AND(Z1366="ns",BV1301&gt;0),AND(Z1366="ns",BU1301=0,BV1301=0)),1,IF(OR(AND(BU1301&gt;=2,Z1366&gt;BV1301),AND(Z1366="ns",BV1301=0,BU1301&gt;0),Z1366=BV1301),0,1)))</f>
        <v>0</v>
      </c>
      <c r="BX1301">
        <f>COUNTIF(Z1374:Z1381,"NS")</f>
        <v>0</v>
      </c>
      <c r="BY1301">
        <f>SUM(Z1374:Z1381)</f>
        <v>0</v>
      </c>
      <c r="BZ1301">
        <f>IF(COUNTA(Z1373:Z1381)=0,0,IF(OR(AND(Z1373=0,BX1301&gt;0),AND(Z1373="ns",BY1301&gt;0),AND(Z1373="ns",BX1301=0,BY1301=0)),1,IF(OR(AND(BX1301&gt;=2,Z1373&gt;BY1301),AND(Z1373="ns",BY1301=0,BX1301&gt;0),Z1373=BY1301),0,1)))</f>
        <v>0</v>
      </c>
      <c r="CA1301">
        <f>COUNTIF(Z1386:Z1391,"NS")</f>
        <v>0</v>
      </c>
      <c r="CB1301">
        <f>SUM(Z1386:Z1391)</f>
        <v>0</v>
      </c>
      <c r="CC1301">
        <f>IF(COUNTA(Z1385:Z1391)=0,0,IF(OR(AND(Z1385=0,CA1301&gt;0),AND(Z1385="ns",CB1301&gt;0),AND(Z1385="ns",CA1301=0,CB1301=0)),1,IF(OR(AND(CA1301&gt;=2,Z1385&gt;CB1301),AND(Z1385="ns",CB1301=0,CA1301&gt;0),Z1385=CB1301),0,1)))</f>
        <v>0</v>
      </c>
      <c r="CD1301">
        <f>COUNTIF(Z1396:Z1404,"NS")</f>
        <v>0</v>
      </c>
      <c r="CE1301">
        <f>SUM(Z1396:Z1404)</f>
        <v>0</v>
      </c>
      <c r="CF1301">
        <f>IF(COUNTA(Z1395:Z1404)=0,0,IF(OR(AND(Z1395=0,CD1301&gt;0),AND(Z1395="ns",CE1301&gt;0),AND(Z1395="ns",CD1301=0,CE1301=0)),1,IF(OR(AND(CD1301&gt;=2,Z1395&gt;CE1301),AND(Z1395="ns",CE1301=0,CD1301&gt;0),Z1395=CE1301),0,1)))</f>
        <v>0</v>
      </c>
      <c r="CG1301">
        <f>COUNTIF(Z1406:Z1408,"NS")</f>
        <v>0</v>
      </c>
      <c r="CH1301">
        <f>SUM(Z1406:Z1408)</f>
        <v>0</v>
      </c>
      <c r="CI1301">
        <f>IF(COUNTA(Z1405:Z1408)=0,0,IF(OR(AND(Z1405=0,CG1301&gt;0),AND(Z1405="ns",CH1301&gt;0),AND(Z1405="ns",CG1301=0,CH1301=0)),1,IF(OR(AND(CG1301&gt;=2,Z1405&gt;CH1301),AND(Z1405="ns",CH1301=0,CG1301&gt;0),Z1405=CH1301),0,1)))</f>
        <v>0</v>
      </c>
      <c r="CJ1301">
        <f>COUNTIF(Z1417:Z1423,"NS")</f>
        <v>0</v>
      </c>
      <c r="CK1301">
        <f>SUM(Z1417:Z1423)</f>
        <v>0</v>
      </c>
      <c r="CL1301">
        <f>IF(COUNTA(Z1416:Z1423)=0,0,IF(OR(AND(Z1416=0,CJ1301&gt;0),AND(Z1416="ns",CK1301&gt;0),AND(Z1416="ns",CJ1301=0,CK1301=0)),1,IF(OR(AND(CJ1301&gt;=2,Z1416&gt;CK1301),AND(Z1416="ns",CK1301=0,CJ1301&gt;0),Z1416=CK1301),0,1)))</f>
        <v>0</v>
      </c>
      <c r="CM1301">
        <f>COUNTIF(Z1426:Z1428,"NS")</f>
        <v>0</v>
      </c>
      <c r="CN1301">
        <f>SUM(Z1426:Z1428)</f>
        <v>0</v>
      </c>
      <c r="CO1301">
        <f>IF(COUNTA(Z1425:Z1428)=0,0,IF(OR(AND(Z1425=0,CM1301&gt;0),AND(Z1425="ns",CN1301&gt;0),AND(Z1425="ns",CM1301=0,CN1301=0)),1,IF(OR(AND(CM1301&gt;=2,Z1425&gt;CN1301),AND(Z1425="ns",CN1301=0,CM1301&gt;0),Z1425=CN1301),0,1)))</f>
        <v>0</v>
      </c>
      <c r="CP1301">
        <f>COUNTIF(Z1438:Z1442,"NS")</f>
        <v>0</v>
      </c>
      <c r="CQ1301">
        <f>SUM(Z1438:Z1442)</f>
        <v>0</v>
      </c>
      <c r="CR1301">
        <f>IF(COUNTA(Z1437:Z1442)=0,0,IF(OR(AND(Z1437=0,CP1301&gt;0),AND(Z1437="ns",CQ1301&gt;0),AND(Z1437="ns",CP1301=0,CQ1301=0)),1,IF(OR(AND(CP1301&gt;=2,Z1437&gt;CQ1301),AND(Z1437="ns",CQ1301=0,CP1301&gt;0),Z1437=CQ1301),0,1)))</f>
        <v>0</v>
      </c>
    </row>
    <row r="1302" spans="1:96" ht="15" customHeight="1">
      <c r="A1302" s="110"/>
      <c r="B1302" s="57"/>
      <c r="C1302" s="1109"/>
      <c r="D1302" s="954"/>
      <c r="E1302" s="956"/>
      <c r="F1302" s="1103" t="s">
        <v>4834</v>
      </c>
      <c r="G1302" s="1103"/>
      <c r="H1302" s="1104" t="s">
        <v>4835</v>
      </c>
      <c r="I1302" s="1105"/>
      <c r="J1302" s="1105"/>
      <c r="K1302" s="1105"/>
      <c r="L1302" s="1105"/>
      <c r="M1302" s="1105"/>
      <c r="N1302" s="1105"/>
      <c r="O1302" s="1106"/>
      <c r="P1302" s="100"/>
      <c r="Q1302" s="100"/>
      <c r="R1302" s="100"/>
      <c r="S1302" s="100"/>
      <c r="T1302" s="100"/>
      <c r="U1302" s="100"/>
      <c r="V1302" s="100"/>
      <c r="W1302" s="100"/>
      <c r="X1302" s="100"/>
      <c r="Y1302" s="100"/>
      <c r="Z1302" s="100"/>
      <c r="AA1302" s="100"/>
      <c r="AB1302" s="100"/>
      <c r="AC1302" s="100"/>
      <c r="AD1302" s="100"/>
      <c r="AF1302">
        <f>IF(P1302="NA",IF(AND(COUNTIF(P1303:P1307,"="&amp;$AF$934)=0,COUNTIF(P1303:P1307,"&lt;&gt;NA")&gt;0),1,0),IF(AND(COUNTIF(P1303:P1307,"="&amp;$AF$934)=0,COUNTIF(P1303:P1307,"NA")=COUNTIF(P1303:P1307,"&lt;&gt;"&amp;$AF$934)),1,0))</f>
        <v>0</v>
      </c>
      <c r="AG1302">
        <f t="shared" si="879"/>
        <v>0</v>
      </c>
      <c r="AH1302">
        <f t="shared" si="863"/>
        <v>0</v>
      </c>
      <c r="AK1302">
        <f t="shared" si="864"/>
        <v>0</v>
      </c>
      <c r="AL1302">
        <f t="shared" si="865"/>
        <v>0</v>
      </c>
      <c r="AM1302">
        <f t="shared" si="866"/>
        <v>0</v>
      </c>
      <c r="AN1302">
        <f t="shared" si="867"/>
        <v>0</v>
      </c>
      <c r="AO1302">
        <f t="shared" si="868"/>
        <v>0</v>
      </c>
      <c r="AP1302">
        <f t="shared" si="869"/>
        <v>0</v>
      </c>
      <c r="AQ1302">
        <f t="shared" si="870"/>
        <v>0</v>
      </c>
      <c r="AR1302">
        <f t="shared" si="871"/>
        <v>0</v>
      </c>
      <c r="AS1302">
        <f t="shared" si="872"/>
        <v>0</v>
      </c>
      <c r="AT1302">
        <f t="shared" si="873"/>
        <v>0</v>
      </c>
      <c r="AU1302">
        <f t="shared" si="874"/>
        <v>0</v>
      </c>
      <c r="AV1302">
        <f t="shared" si="875"/>
        <v>0</v>
      </c>
      <c r="AW1302">
        <f t="shared" si="876"/>
        <v>0</v>
      </c>
      <c r="AX1302">
        <f t="shared" si="877"/>
        <v>0</v>
      </c>
      <c r="AY1302">
        <f t="shared" si="878"/>
        <v>0</v>
      </c>
      <c r="AZ1302">
        <f>COUNTIF(AA1292:AA1297,"NS")</f>
        <v>0</v>
      </c>
      <c r="BA1302">
        <f>SUM(AA1292:AA1297)</f>
        <v>0</v>
      </c>
      <c r="BB1302">
        <f>IF(COUNTA(AA1291:AA1297)=0,0,IF(OR(AND(AA1291=0,AZ1302&gt;0),AND(AA1291="ns",BA1302&gt;0),AND(AA1291="ns",AZ1302=0,BA1302=0)),1,IF(OR(AND(AZ1302&gt;=2,AA1291&gt;BA1302),AND(AA1291="ns",BA1302=0,AZ1302&gt;0),AA1291=BA1302),0,1)))</f>
        <v>0</v>
      </c>
      <c r="BC1302">
        <f>COUNTIF(AA1303:AA1307,"NS")</f>
        <v>0</v>
      </c>
      <c r="BD1302">
        <f>SUM(AA1303:AA1307)</f>
        <v>0</v>
      </c>
      <c r="BE1302">
        <f>IF(COUNTA(AA1302:AA1307)=0,0,IF(OR(AND(AA1302=0,BC1302&gt;0),AND(AA1302="ns",BD1302&gt;0),AND(AA1302="ns",BC1302=0,BD1302=0)),1,IF(OR(AND(BC1302&gt;=2,AA1302&gt;BD1302),AND(AA1302="ns",BD1302=0,BC1302&gt;0),AA1302=BD1302),0,1)))</f>
        <v>0</v>
      </c>
      <c r="BF1302">
        <f>COUNTIF(AA1312:AA1329,"NS")</f>
        <v>0</v>
      </c>
      <c r="BG1302">
        <f>SUM(AA1312:AA1329)</f>
        <v>0</v>
      </c>
      <c r="BH1302">
        <f>IF(COUNTA(AA1311:AA1329)=0,0,IF(OR(AND(AA1311=0,BF1302&gt;0),AND(AA1311="ns",BG1302&gt;0),AND(AA1311="ns",BF1302=0,BG1302=0)),1,IF(OR(AND(BF1302&gt;=2,AA1311&gt;BG1302),AND(AA1311="ns",BG1302=0,BF1302&gt;0),AA1311=BG1302),0,1)))</f>
        <v>0</v>
      </c>
      <c r="BI1302">
        <f>COUNTIF(AA1331:AA1335,"NS")</f>
        <v>0</v>
      </c>
      <c r="BJ1302">
        <f>SUM(AA1331:AA1335)</f>
        <v>0</v>
      </c>
      <c r="BK1302">
        <f>IF(COUNTA(AA1330:AA1335)=0,0,IF(OR(AND(AA1330=0,BI1302&gt;0),AND(AA1330="ns",BJ1302&gt;0),AND(AA1330="ns",BI1302=0,BJ1302=0)),1,IF(OR(AND(BI1302&gt;=2,AA1330&gt;BJ1302),AND(AA1330="ns",BJ1302=0,BI1302&gt;0),AA1330=BJ1302),0,1)))</f>
        <v>0</v>
      </c>
      <c r="BL1302">
        <f>COUNTIF(AA1339:AA1341,"NS")</f>
        <v>0</v>
      </c>
      <c r="BM1302">
        <f>SUM(AA1339:AA1341)</f>
        <v>0</v>
      </c>
      <c r="BN1302">
        <f>IF(COUNTA(AA1338:AA1341)=0,0,IF(OR(AND(AA1338=0,BL1302&gt;0),AND(AA1338="ns",BM1302&gt;0),AND(AA1338="ns",BL1302=0,BM1302=0)),1,IF(OR(AND(BL1302&gt;=2,AA1338&gt;BM1302),AND(AA1338="ns",BM1302=0,BL1302&gt;0),AA1338=BM1302),0,1)))</f>
        <v>0</v>
      </c>
      <c r="BO1302">
        <f>COUNTIF(AA1349:AA1355,"NS")</f>
        <v>0</v>
      </c>
      <c r="BP1302">
        <f>SUM(AA1349:AA1355)</f>
        <v>0</v>
      </c>
      <c r="BQ1302">
        <f>IF(COUNTA(AA1348:AA1355)=0,0,IF(OR(AND(AA1348=0,BO1302&gt;0),AND(AA1348="ns",BP1302&gt;0),AND(AA1348="ns",BO1302=0,BP1302=0)),1,IF(OR(AND(BO1302&gt;=2,AA1348&gt;BP1302),AND(AA1348="ns",BP1302=0,BO1302&gt;0),AA1348=BP1302),0,1)))</f>
        <v>0</v>
      </c>
      <c r="BR1302">
        <f>COUNTIF(AA1357:AA1361,"NS")</f>
        <v>0</v>
      </c>
      <c r="BS1302">
        <f>SUM(AA1357:AA1361)</f>
        <v>0</v>
      </c>
      <c r="BT1302">
        <f>IF(COUNTA(AA1356:AA1361)=0,0,IF(OR(AND(AA1356=0,BR1302&gt;0),AND(AA1356="ns",BS1302&gt;0),AND(AA1356="ns",BR1302=0,BS1302=0)),1,IF(OR(AND(BR1302&gt;=2,AA1356&gt;BS1302),AND(AA1356="ns",BS1302=0,BR1302&gt;0),AA1356=BS1302),0,1)))</f>
        <v>0</v>
      </c>
      <c r="BU1302">
        <f>COUNTIF(AA1367:AA1372,"NS")</f>
        <v>0</v>
      </c>
      <c r="BV1302">
        <f>SUM(AA1367:AA1372)</f>
        <v>0</v>
      </c>
      <c r="BW1302">
        <f>IF(COUNTA(AA1366:AA1372)=0,0,IF(OR(AND(AA1366=0,BU1302&gt;0),AND(AA1366="ns",BV1302&gt;0),AND(AA1366="ns",BU1302=0,BV1302=0)),1,IF(OR(AND(BU1302&gt;=2,AA1366&gt;BV1302),AND(AA1366="ns",BV1302=0,BU1302&gt;0),AA1366=BV1302),0,1)))</f>
        <v>0</v>
      </c>
      <c r="BX1302">
        <f>COUNTIF(AA1374:AA1381,"NS")</f>
        <v>0</v>
      </c>
      <c r="BY1302">
        <f>SUM(AA1374:AA1381)</f>
        <v>0</v>
      </c>
      <c r="BZ1302">
        <f>IF(COUNTA(AA1373:AA1381)=0,0,IF(OR(AND(AA1373=0,BX1302&gt;0),AND(AA1373="ns",BY1302&gt;0),AND(AA1373="ns",BX1302=0,BY1302=0)),1,IF(OR(AND(BX1302&gt;=2,AA1373&gt;BY1302),AND(AA1373="ns",BY1302=0,BX1302&gt;0),AA1373=BY1302),0,1)))</f>
        <v>0</v>
      </c>
      <c r="CA1302">
        <f>COUNTIF(AA1386:AA1391,"NS")</f>
        <v>0</v>
      </c>
      <c r="CB1302">
        <f>SUM(AA1386:AA1391)</f>
        <v>0</v>
      </c>
      <c r="CC1302">
        <f>IF(COUNTA(AA1385:AA1391)=0,0,IF(OR(AND(AA1385=0,CA1302&gt;0),AND(AA1385="ns",CB1302&gt;0),AND(AA1385="ns",CA1302=0,CB1302=0)),1,IF(OR(AND(CA1302&gt;=2,AA1385&gt;CB1302),AND(AA1385="ns",CB1302=0,CA1302&gt;0),AA1385=CB1302),0,1)))</f>
        <v>0</v>
      </c>
      <c r="CD1302">
        <f>COUNTIF(AA1396:AA1404,"NS")</f>
        <v>0</v>
      </c>
      <c r="CE1302">
        <f>SUM(AA1396:AA1404)</f>
        <v>0</v>
      </c>
      <c r="CF1302">
        <f>IF(COUNTA(AA1395:AA1404)=0,0,IF(OR(AND(AA1395=0,CD1302&gt;0),AND(AA1395="ns",CE1302&gt;0),AND(AA1395="ns",CD1302=0,CE1302=0)),1,IF(OR(AND(CD1302&gt;=2,AA1395&gt;CE1302),AND(AA1395="ns",CE1302=0,CD1302&gt;0),AA1395=CE1302),0,1)))</f>
        <v>0</v>
      </c>
      <c r="CG1302">
        <f>COUNTIF(AA1406:AA1408,"NS")</f>
        <v>0</v>
      </c>
      <c r="CH1302">
        <f>SUM(AA1406:AA1408)</f>
        <v>0</v>
      </c>
      <c r="CI1302">
        <f>IF(COUNTA(AA1405:AA1408)=0,0,IF(OR(AND(AA1405=0,CG1302&gt;0),AND(AA1405="ns",CH1302&gt;0),AND(AA1405="ns",CG1302=0,CH1302=0)),1,IF(OR(AND(CG1302&gt;=2,AA1405&gt;CH1302),AND(AA1405="ns",CH1302=0,CG1302&gt;0),AA1405=CH1302),0,1)))</f>
        <v>0</v>
      </c>
      <c r="CJ1302">
        <f>COUNTIF(AA1417:AA1423,"NS")</f>
        <v>0</v>
      </c>
      <c r="CK1302">
        <f>SUM(AA1417:AA1423)</f>
        <v>0</v>
      </c>
      <c r="CL1302">
        <f>IF(COUNTA(AA1416:AA1423)=0,0,IF(OR(AND(AA1416=0,CJ1302&gt;0),AND(AA1416="ns",CK1302&gt;0),AND(AA1416="ns",CJ1302=0,CK1302=0)),1,IF(OR(AND(CJ1302&gt;=2,AA1416&gt;CK1302),AND(AA1416="ns",CK1302=0,CJ1302&gt;0),AA1416=CK1302),0,1)))</f>
        <v>0</v>
      </c>
      <c r="CM1302">
        <f>COUNTIF(AA1426:AA1428,"NS")</f>
        <v>0</v>
      </c>
      <c r="CN1302">
        <f>SUM(AA1426:AA1428)</f>
        <v>0</v>
      </c>
      <c r="CO1302">
        <f>IF(COUNTA(AA1425:AA1428)=0,0,IF(OR(AND(AA1425=0,CM1302&gt;0),AND(AA1425="ns",CN1302&gt;0),AND(AA1425="ns",CM1302=0,CN1302=0)),1,IF(OR(AND(CM1302&gt;=2,AA1425&gt;CN1302),AND(AA1425="ns",CN1302=0,CM1302&gt;0),AA1425=CN1302),0,1)))</f>
        <v>0</v>
      </c>
      <c r="CP1302">
        <f>COUNTIF(AA1438:AA1442,"NS")</f>
        <v>0</v>
      </c>
      <c r="CQ1302">
        <f>SUM(AA1438:AA1442)</f>
        <v>0</v>
      </c>
      <c r="CR1302">
        <f>IF(COUNTA(AA1437:AA1442)=0,0,IF(OR(AND(AA1437=0,CP1302&gt;0),AND(AA1437="ns",CQ1302&gt;0),AND(AA1437="ns",CP1302=0,CQ1302=0)),1,IF(OR(AND(CP1302&gt;=2,AA1437&gt;CQ1302),AND(AA1437="ns",CQ1302=0,CP1302&gt;0),AA1437=CQ1302),0,1)))</f>
        <v>0</v>
      </c>
    </row>
    <row r="1303" spans="1:96" ht="15" customHeight="1">
      <c r="A1303" s="110"/>
      <c r="B1303" s="57"/>
      <c r="C1303" s="1109"/>
      <c r="D1303" s="954"/>
      <c r="E1303" s="956"/>
      <c r="F1303" s="1110" t="s">
        <v>4837</v>
      </c>
      <c r="G1303" s="1110"/>
      <c r="H1303" s="178"/>
      <c r="I1303" s="1111" t="s">
        <v>4838</v>
      </c>
      <c r="J1303" s="1111"/>
      <c r="K1303" s="1111"/>
      <c r="L1303" s="1111"/>
      <c r="M1303" s="1111"/>
      <c r="N1303" s="1111"/>
      <c r="O1303" s="1112"/>
      <c r="P1303" s="100"/>
      <c r="Q1303" s="100"/>
      <c r="R1303" s="100"/>
      <c r="S1303" s="100"/>
      <c r="T1303" s="100"/>
      <c r="U1303" s="100"/>
      <c r="V1303" s="100"/>
      <c r="W1303" s="100"/>
      <c r="X1303" s="100"/>
      <c r="Y1303" s="100"/>
      <c r="Z1303" s="100"/>
      <c r="AA1303" s="100"/>
      <c r="AB1303" s="100"/>
      <c r="AC1303" s="100"/>
      <c r="AD1303" s="100"/>
      <c r="AF1303"/>
      <c r="AG1303">
        <f t="shared" si="879"/>
        <v>0</v>
      </c>
      <c r="AH1303">
        <f t="shared" si="863"/>
        <v>0</v>
      </c>
      <c r="AK1303">
        <f t="shared" si="864"/>
        <v>0</v>
      </c>
      <c r="AL1303">
        <f t="shared" si="865"/>
        <v>0</v>
      </c>
      <c r="AM1303">
        <f t="shared" si="866"/>
        <v>0</v>
      </c>
      <c r="AN1303">
        <f t="shared" si="867"/>
        <v>0</v>
      </c>
      <c r="AO1303">
        <f t="shared" si="868"/>
        <v>0</v>
      </c>
      <c r="AP1303">
        <f t="shared" si="869"/>
        <v>0</v>
      </c>
      <c r="AQ1303">
        <f t="shared" si="870"/>
        <v>0</v>
      </c>
      <c r="AR1303">
        <f t="shared" si="871"/>
        <v>0</v>
      </c>
      <c r="AS1303">
        <f t="shared" si="872"/>
        <v>0</v>
      </c>
      <c r="AT1303">
        <f t="shared" si="873"/>
        <v>0</v>
      </c>
      <c r="AU1303">
        <f t="shared" si="874"/>
        <v>0</v>
      </c>
      <c r="AV1303">
        <f t="shared" si="875"/>
        <v>0</v>
      </c>
      <c r="AW1303">
        <f t="shared" si="876"/>
        <v>0</v>
      </c>
      <c r="AX1303">
        <f t="shared" si="877"/>
        <v>0</v>
      </c>
      <c r="AY1303">
        <f t="shared" si="878"/>
        <v>0</v>
      </c>
      <c r="AZ1303">
        <f>COUNTIF(AB1292:AB1297,"NS")</f>
        <v>0</v>
      </c>
      <c r="BA1303">
        <f>SUM(AB1292:AB1297)</f>
        <v>0</v>
      </c>
      <c r="BB1303">
        <f>IF(COUNTA(AB1291:AB1297)=0,0,IF(OR(AND(AB1291=0,AZ1303&gt;0),AND(AB1291="ns",BA1303&gt;0),AND(AB1291="ns",AZ1303=0,BA1303=0)),1,IF(OR(AND(AZ1303&gt;=2,AB1291&gt;BA1303),AND(AB1291="ns",BA1303=0,AZ1303&gt;0),AB1291=BA1303),0,1)))</f>
        <v>0</v>
      </c>
      <c r="BC1303">
        <f>COUNTIF(AB1303:AB1307,"NS")</f>
        <v>0</v>
      </c>
      <c r="BD1303">
        <f>SUM(AB1303:AB1307)</f>
        <v>0</v>
      </c>
      <c r="BE1303">
        <f>IF(COUNTA(AB1302:AB1307)=0,0,IF(OR(AND(AB1302=0,BC1303&gt;0),AND(AB1302="ns",BD1303&gt;0),AND(AB1302="ns",BC1303=0,BD1303=0)),1,IF(OR(AND(BC1303&gt;=2,AB1302&gt;BD1303),AND(AB1302="ns",BD1303=0,BC1303&gt;0),AB1302=BD1303),0,1)))</f>
        <v>0</v>
      </c>
      <c r="BF1303">
        <f>COUNTIF(AB1312:AB1329,"NS")</f>
        <v>0</v>
      </c>
      <c r="BG1303">
        <f>SUM(AB1312:AB1329)</f>
        <v>0</v>
      </c>
      <c r="BH1303">
        <f>IF(COUNTA(AB1311:AB1329)=0,0,IF(OR(AND(AB1311=0,BF1303&gt;0),AND(AB1311="ns",BG1303&gt;0),AND(AB1311="ns",BF1303=0,BG1303=0)),1,IF(OR(AND(BF1303&gt;=2,AB1311&gt;BG1303),AND(AB1311="ns",BG1303=0,BF1303&gt;0),AB1311=BG1303),0,1)))</f>
        <v>0</v>
      </c>
      <c r="BI1303">
        <f>COUNTIF(AB1331:AB1335,"NS")</f>
        <v>0</v>
      </c>
      <c r="BJ1303">
        <f>SUM(AB1331:AB1335)</f>
        <v>0</v>
      </c>
      <c r="BK1303">
        <f>IF(COUNTA(AB1330:AB1335)=0,0,IF(OR(AND(AB1330=0,BI1303&gt;0),AND(AB1330="ns",BJ1303&gt;0),AND(AB1330="ns",BI1303=0,BJ1303=0)),1,IF(OR(AND(BI1303&gt;=2,AB1330&gt;BJ1303),AND(AB1330="ns",BJ1303=0,BI1303&gt;0),AB1330=BJ1303),0,1)))</f>
        <v>0</v>
      </c>
      <c r="BL1303">
        <f>COUNTIF(AB1339:AB1341,"NS")</f>
        <v>0</v>
      </c>
      <c r="BM1303">
        <f>SUM(AB1339:AB1341)</f>
        <v>0</v>
      </c>
      <c r="BN1303">
        <f>IF(COUNTA(AB1338:AB1341)=0,0,IF(OR(AND(AB1338=0,BL1303&gt;0),AND(AB1338="ns",BM1303&gt;0),AND(AB1338="ns",BL1303=0,BM1303=0)),1,IF(OR(AND(BL1303&gt;=2,AB1338&gt;BM1303),AND(AB1338="ns",BM1303=0,BL1303&gt;0),AB1338=BM1303),0,1)))</f>
        <v>0</v>
      </c>
      <c r="BO1303">
        <f>COUNTIF(AB1349:AB1355,"NS")</f>
        <v>0</v>
      </c>
      <c r="BP1303">
        <f>SUM(AB1349:AB1355)</f>
        <v>0</v>
      </c>
      <c r="BQ1303">
        <f>IF(COUNTA(AB1348:AB1355)=0,0,IF(OR(AND(AB1348=0,BO1303&gt;0),AND(AB1348="ns",BP1303&gt;0),AND(AB1348="ns",BO1303=0,BP1303=0)),1,IF(OR(AND(BO1303&gt;=2,AB1348&gt;BP1303),AND(AB1348="ns",BP1303=0,BO1303&gt;0),AB1348=BP1303),0,1)))</f>
        <v>0</v>
      </c>
      <c r="BR1303">
        <f>COUNTIF(AB1357:AB1361,"NS")</f>
        <v>0</v>
      </c>
      <c r="BS1303">
        <f>SUM(AB1357:AB1361)</f>
        <v>0</v>
      </c>
      <c r="BT1303">
        <f>IF(COUNTA(AB1356:AB1361)=0,0,IF(OR(AND(AB1356=0,BR1303&gt;0),AND(AB1356="ns",BS1303&gt;0),AND(AB1356="ns",BR1303=0,BS1303=0)),1,IF(OR(AND(BR1303&gt;=2,AB1356&gt;BS1303),AND(AB1356="ns",BS1303=0,BR1303&gt;0),AB1356=BS1303),0,1)))</f>
        <v>0</v>
      </c>
      <c r="BU1303">
        <f>COUNTIF(AB1367:AB1372,"NS")</f>
        <v>0</v>
      </c>
      <c r="BV1303">
        <f>SUM(AB1367:AB1372)</f>
        <v>0</v>
      </c>
      <c r="BW1303">
        <f>IF(COUNTA(AB1366:AB1372)=0,0,IF(OR(AND(AB1366=0,BU1303&gt;0),AND(AB1366="ns",BV1303&gt;0),AND(AB1366="ns",BU1303=0,BV1303=0)),1,IF(OR(AND(BU1303&gt;=2,AB1366&gt;BV1303),AND(AB1366="ns",BV1303=0,BU1303&gt;0),AB1366=BV1303),0,1)))</f>
        <v>0</v>
      </c>
      <c r="BX1303">
        <f>COUNTIF(AB1374:AB1381,"NS")</f>
        <v>0</v>
      </c>
      <c r="BY1303">
        <f>SUM(AB1374:AB1381)</f>
        <v>0</v>
      </c>
      <c r="BZ1303">
        <f>IF(COUNTA(AB1373:AB1381)=0,0,IF(OR(AND(AB1373=0,BX1303&gt;0),AND(AB1373="ns",BY1303&gt;0),AND(AB1373="ns",BX1303=0,BY1303=0)),1,IF(OR(AND(BX1303&gt;=2,AB1373&gt;BY1303),AND(AB1373="ns",BY1303=0,BX1303&gt;0),AB1373=BY1303),0,1)))</f>
        <v>0</v>
      </c>
      <c r="CA1303">
        <f>COUNTIF(AB1386:AB1391,"NS")</f>
        <v>0</v>
      </c>
      <c r="CB1303">
        <f>SUM(AB1386:AB1391)</f>
        <v>0</v>
      </c>
      <c r="CC1303">
        <f>IF(COUNTA(AB1385:AB1391)=0,0,IF(OR(AND(AB1385=0,CA1303&gt;0),AND(AB1385="ns",CB1303&gt;0),AND(AB1385="ns",CA1303=0,CB1303=0)),1,IF(OR(AND(CA1303&gt;=2,AB1385&gt;CB1303),AND(AB1385="ns",CB1303=0,CA1303&gt;0),AB1385=CB1303),0,1)))</f>
        <v>0</v>
      </c>
      <c r="CD1303">
        <f>COUNTIF(AB1396:AB1404,"NS")</f>
        <v>0</v>
      </c>
      <c r="CE1303">
        <f>SUM(AB1396:AB1404)</f>
        <v>0</v>
      </c>
      <c r="CF1303">
        <f>IF(COUNTA(AB1395:AB1404)=0,0,IF(OR(AND(AB1395=0,CD1303&gt;0),AND(AB1395="ns",CE1303&gt;0),AND(AB1395="ns",CD1303=0,CE1303=0)),1,IF(OR(AND(CD1303&gt;=2,AB1395&gt;CE1303),AND(AB1395="ns",CE1303=0,CD1303&gt;0),AB1395=CE1303),0,1)))</f>
        <v>0</v>
      </c>
      <c r="CG1303">
        <f>COUNTIF(AB1406:AB1408,"NS")</f>
        <v>0</v>
      </c>
      <c r="CH1303">
        <f>SUM(AB1406:AB1408)</f>
        <v>0</v>
      </c>
      <c r="CI1303">
        <f>IF(COUNTA(AB1405:AB1408)=0,0,IF(OR(AND(AB1405=0,CG1303&gt;0),AND(AB1405="ns",CH1303&gt;0),AND(AB1405="ns",CG1303=0,CH1303=0)),1,IF(OR(AND(CG1303&gt;=2,AB1405&gt;CH1303),AND(AB1405="ns",CH1303=0,CG1303&gt;0),AB1405=CH1303),0,1)))</f>
        <v>0</v>
      </c>
      <c r="CJ1303">
        <f>COUNTIF(AB1417:AB1423,"NS")</f>
        <v>0</v>
      </c>
      <c r="CK1303">
        <f>SUM(AB1417:AB1423)</f>
        <v>0</v>
      </c>
      <c r="CL1303">
        <f>IF(COUNTA(AB1416:AB1423)=0,0,IF(OR(AND(AB1416=0,CJ1303&gt;0),AND(AB1416="ns",CK1303&gt;0),AND(AB1416="ns",CJ1303=0,CK1303=0)),1,IF(OR(AND(CJ1303&gt;=2,AB1416&gt;CK1303),AND(AB1416="ns",CK1303=0,CJ1303&gt;0),AB1416=CK1303),0,1)))</f>
        <v>0</v>
      </c>
      <c r="CM1303">
        <f>COUNTIF(AB1426:AB1428,"NS")</f>
        <v>0</v>
      </c>
      <c r="CN1303">
        <f>SUM(AB1426:AB1428)</f>
        <v>0</v>
      </c>
      <c r="CO1303">
        <f>IF(COUNTA(AB1425:AB1428)=0,0,IF(OR(AND(AB1425=0,CM1303&gt;0),AND(AB1425="ns",CN1303&gt;0),AND(AB1425="ns",CM1303=0,CN1303=0)),1,IF(OR(AND(CM1303&gt;=2,AB1425&gt;CN1303),AND(AB1425="ns",CN1303=0,CM1303&gt;0),AB1425=CN1303),0,1)))</f>
        <v>0</v>
      </c>
      <c r="CP1303">
        <f>COUNTIF(AB1438:AB1442,"NS")</f>
        <v>0</v>
      </c>
      <c r="CQ1303">
        <f>SUM(AB1438:AB1442)</f>
        <v>0</v>
      </c>
      <c r="CR1303">
        <f>IF(COUNTA(AB1437:AB1442)=0,0,IF(OR(AND(AB1437=0,CP1303&gt;0),AND(AB1437="ns",CQ1303&gt;0),AND(AB1437="ns",CP1303=0,CQ1303=0)),1,IF(OR(AND(CP1303&gt;=2,AB1437&gt;CQ1303),AND(AB1437="ns",CQ1303=0,CP1303&gt;0),AB1437=CQ1303),0,1)))</f>
        <v>0</v>
      </c>
    </row>
    <row r="1304" spans="1:96" ht="48" customHeight="1">
      <c r="A1304" s="110"/>
      <c r="B1304" s="57"/>
      <c r="C1304" s="1109"/>
      <c r="D1304" s="954"/>
      <c r="E1304" s="956"/>
      <c r="F1304" s="1110" t="s">
        <v>4839</v>
      </c>
      <c r="G1304" s="1110"/>
      <c r="H1304" s="178"/>
      <c r="I1304" s="1111" t="s">
        <v>4840</v>
      </c>
      <c r="J1304" s="1111"/>
      <c r="K1304" s="1111"/>
      <c r="L1304" s="1111"/>
      <c r="M1304" s="1111"/>
      <c r="N1304" s="1111"/>
      <c r="O1304" s="1112"/>
      <c r="P1304" s="100"/>
      <c r="Q1304" s="100"/>
      <c r="R1304" s="100"/>
      <c r="S1304" s="100"/>
      <c r="T1304" s="100"/>
      <c r="U1304" s="100"/>
      <c r="V1304" s="100"/>
      <c r="W1304" s="100"/>
      <c r="X1304" s="100"/>
      <c r="Y1304" s="100"/>
      <c r="Z1304" s="100"/>
      <c r="AA1304" s="100"/>
      <c r="AB1304" s="100"/>
      <c r="AC1304" s="100"/>
      <c r="AD1304" s="100"/>
      <c r="AF1304"/>
      <c r="AG1304">
        <f t="shared" si="879"/>
        <v>0</v>
      </c>
      <c r="AH1304">
        <f t="shared" si="863"/>
        <v>0</v>
      </c>
      <c r="AK1304">
        <f t="shared" si="864"/>
        <v>0</v>
      </c>
      <c r="AL1304">
        <f t="shared" si="865"/>
        <v>0</v>
      </c>
      <c r="AM1304">
        <f t="shared" si="866"/>
        <v>0</v>
      </c>
      <c r="AN1304">
        <f t="shared" si="867"/>
        <v>0</v>
      </c>
      <c r="AO1304">
        <f t="shared" si="868"/>
        <v>0</v>
      </c>
      <c r="AP1304">
        <f t="shared" si="869"/>
        <v>0</v>
      </c>
      <c r="AQ1304">
        <f t="shared" si="870"/>
        <v>0</v>
      </c>
      <c r="AR1304">
        <f t="shared" si="871"/>
        <v>0</v>
      </c>
      <c r="AS1304">
        <f t="shared" si="872"/>
        <v>0</v>
      </c>
      <c r="AT1304">
        <f t="shared" si="873"/>
        <v>0</v>
      </c>
      <c r="AU1304">
        <f t="shared" si="874"/>
        <v>0</v>
      </c>
      <c r="AV1304">
        <f t="shared" si="875"/>
        <v>0</v>
      </c>
      <c r="AW1304">
        <f t="shared" si="876"/>
        <v>0</v>
      </c>
      <c r="AX1304">
        <f t="shared" si="877"/>
        <v>0</v>
      </c>
      <c r="AY1304">
        <f t="shared" si="878"/>
        <v>0</v>
      </c>
      <c r="AZ1304">
        <f>COUNTIF(AC1292:AC1297,"NS")</f>
        <v>0</v>
      </c>
      <c r="BA1304">
        <f>SUM(AC1292:AC1297)</f>
        <v>0</v>
      </c>
      <c r="BB1304">
        <f>IF(COUNTA(AC1291:AC1297)=0,0,IF(OR(AND(AC1291=0,AZ1304&gt;0),AND(AC1291="ns",BA1304&gt;0),AND(AC1291="ns",AZ1304=0,BA1304=0)),1,IF(OR(AND(AZ1304&gt;=2,AC1291&gt;BA1304),AND(AC1291="ns",BA1304=0,AZ1304&gt;0),AC1291=BA1304),0,1)))</f>
        <v>0</v>
      </c>
      <c r="BC1304">
        <f>COUNTIF(AC1303:AC1307,"NS")</f>
        <v>0</v>
      </c>
      <c r="BD1304">
        <f>SUM(AC1303:AC1307)</f>
        <v>0</v>
      </c>
      <c r="BE1304">
        <f>IF(COUNTA(AC1302:AC1307)=0,0,IF(OR(AND(AC1302=0,BC1304&gt;0),AND(AC1302="ns",BD1304&gt;0),AND(AC1302="ns",BC1304=0,BD1304=0)),1,IF(OR(AND(BC1304&gt;=2,AC1302&gt;BD1304),AND(AC1302="ns",BD1304=0,BC1304&gt;0),AC1302=BD1304),0,1)))</f>
        <v>0</v>
      </c>
      <c r="BF1304">
        <f>COUNTIF(AC1312:AC1329,"NS")</f>
        <v>0</v>
      </c>
      <c r="BG1304">
        <f>SUM(AC1312:AC1329)</f>
        <v>0</v>
      </c>
      <c r="BH1304">
        <f>IF(COUNTA(AC1311:AC1329)=0,0,IF(OR(AND(AC1311=0,BF1304&gt;0),AND(AC1311="ns",BG1304&gt;0),AND(AC1311="ns",BF1304=0,BG1304=0)),1,IF(OR(AND(BF1304&gt;=2,AC1311&gt;BG1304),AND(AC1311="ns",BG1304=0,BF1304&gt;0),AC1311=BG1304),0,1)))</f>
        <v>0</v>
      </c>
      <c r="BI1304">
        <f>COUNTIF(AC1331:AC1335,"NS")</f>
        <v>0</v>
      </c>
      <c r="BJ1304">
        <f>SUM(AC1331:AC1335)</f>
        <v>0</v>
      </c>
      <c r="BK1304">
        <f>IF(COUNTA(AC1330:AC1335)=0,0,IF(OR(AND(AC1330=0,BI1304&gt;0),AND(AC1330="ns",BJ1304&gt;0),AND(AC1330="ns",BI1304=0,BJ1304=0)),1,IF(OR(AND(BI1304&gt;=2,AC1330&gt;BJ1304),AND(AC1330="ns",BJ1304=0,BI1304&gt;0),AC1330=BJ1304),0,1)))</f>
        <v>0</v>
      </c>
      <c r="BL1304">
        <f>COUNTIF(AC1339:AC1341,"NS")</f>
        <v>0</v>
      </c>
      <c r="BM1304">
        <f>SUM(AC1339:AC1341)</f>
        <v>0</v>
      </c>
      <c r="BN1304">
        <f>IF(COUNTA(AC1338:AC1341)=0,0,IF(OR(AND(AC1338=0,BL1304&gt;0),AND(AC1338="ns",BM1304&gt;0),AND(AC1338="ns",BL1304=0,BM1304=0)),1,IF(OR(AND(BL1304&gt;=2,AC1338&gt;BM1304),AND(AC1338="ns",BM1304=0,BL1304&gt;0),AC1338=BM1304),0,1)))</f>
        <v>0</v>
      </c>
      <c r="BO1304">
        <f>COUNTIF(AC1349:AC1355,"NS")</f>
        <v>0</v>
      </c>
      <c r="BP1304">
        <f>SUM(AC1349:AC1355)</f>
        <v>0</v>
      </c>
      <c r="BQ1304">
        <f>IF(COUNTA(AC1348:AC1355)=0,0,IF(OR(AND(AC1348=0,BO1304&gt;0),AND(AC1348="ns",BP1304&gt;0),AND(AC1348="ns",BO1304=0,BP1304=0)),1,IF(OR(AND(BO1304&gt;=2,AC1348&gt;BP1304),AND(AC1348="ns",BP1304=0,BO1304&gt;0),AC1348=BP1304),0,1)))</f>
        <v>0</v>
      </c>
      <c r="BR1304">
        <f>COUNTIF(AC1357:AC1361,"NS")</f>
        <v>0</v>
      </c>
      <c r="BS1304">
        <f>SUM(AC1357:AC1361)</f>
        <v>0</v>
      </c>
      <c r="BT1304">
        <f>IF(COUNTA(AC1356:AC1361)=0,0,IF(OR(AND(AC1356=0,BR1304&gt;0),AND(AC1356="ns",BS1304&gt;0),AND(AC1356="ns",BR1304=0,BS1304=0)),1,IF(OR(AND(BR1304&gt;=2,AC1356&gt;BS1304),AND(AC1356="ns",BS1304=0,BR1304&gt;0),AC1356=BS1304),0,1)))</f>
        <v>0</v>
      </c>
      <c r="BU1304">
        <f>COUNTIF(AC1367:AC1372,"NS")</f>
        <v>0</v>
      </c>
      <c r="BV1304">
        <f>SUM(AC1367:AC1372)</f>
        <v>0</v>
      </c>
      <c r="BW1304">
        <f>IF(COUNTA(AC1366:AC1372)=0,0,IF(OR(AND(AC1366=0,BU1304&gt;0),AND(AC1366="ns",BV1304&gt;0),AND(AC1366="ns",BU1304=0,BV1304=0)),1,IF(OR(AND(BU1304&gt;=2,AC1366&gt;BV1304),AND(AC1366="ns",BV1304=0,BU1304&gt;0),AC1366=BV1304),0,1)))</f>
        <v>0</v>
      </c>
      <c r="BX1304">
        <f>COUNTIF(AC1374:AC1381,"NS")</f>
        <v>0</v>
      </c>
      <c r="BY1304">
        <f>SUM(AC1374:AC1381)</f>
        <v>0</v>
      </c>
      <c r="BZ1304">
        <f>IF(COUNTA(AC1373:AC1381)=0,0,IF(OR(AND(AC1373=0,BX1304&gt;0),AND(AC1373="ns",BY1304&gt;0),AND(AC1373="ns",BX1304=0,BY1304=0)),1,IF(OR(AND(BX1304&gt;=2,AC1373&gt;BY1304),AND(AC1373="ns",BY1304=0,BX1304&gt;0),AC1373=BY1304),0,1)))</f>
        <v>0</v>
      </c>
      <c r="CA1304">
        <f>COUNTIF(AC1386:AC1391,"NS")</f>
        <v>0</v>
      </c>
      <c r="CB1304">
        <f>SUM(AC1386:AC1391)</f>
        <v>0</v>
      </c>
      <c r="CC1304">
        <f>IF(COUNTA(AC1385:AC1391)=0,0,IF(OR(AND(AC1385=0,CA1304&gt;0),AND(AC1385="ns",CB1304&gt;0),AND(AC1385="ns",CA1304=0,CB1304=0)),1,IF(OR(AND(CA1304&gt;=2,AC1385&gt;CB1304),AND(AC1385="ns",CB1304=0,CA1304&gt;0),AC1385=CB1304),0,1)))</f>
        <v>0</v>
      </c>
      <c r="CD1304">
        <f>COUNTIF(AC1396:AC1404,"NS")</f>
        <v>0</v>
      </c>
      <c r="CE1304">
        <f>SUM(AC1396:AC1404)</f>
        <v>0</v>
      </c>
      <c r="CF1304">
        <f>IF(COUNTA(AC1395:AC1404)=0,0,IF(OR(AND(AC1395=0,CD1304&gt;0),AND(AC1395="ns",CE1304&gt;0),AND(AC1395="ns",CD1304=0,CE1304=0)),1,IF(OR(AND(CD1304&gt;=2,AC1395&gt;CE1304),AND(AC1395="ns",CE1304=0,CD1304&gt;0),AC1395=CE1304),0,1)))</f>
        <v>0</v>
      </c>
      <c r="CG1304">
        <f>COUNTIF(AC1406:AC1408,"NS")</f>
        <v>0</v>
      </c>
      <c r="CH1304">
        <f>SUM(AC1406:AC1408)</f>
        <v>0</v>
      </c>
      <c r="CI1304">
        <f>IF(COUNTA(AC1405:AC1408)=0,0,IF(OR(AND(AC1405=0,CG1304&gt;0),AND(AC1405="ns",CH1304&gt;0),AND(AC1405="ns",CG1304=0,CH1304=0)),1,IF(OR(AND(CG1304&gt;=2,AC1405&gt;CH1304),AND(AC1405="ns",CH1304=0,CG1304&gt;0),AC1405=CH1304),0,1)))</f>
        <v>0</v>
      </c>
      <c r="CJ1304">
        <f>COUNTIF(AC1417:AC1423,"NS")</f>
        <v>0</v>
      </c>
      <c r="CK1304">
        <f>SUM(AC1417:AC1423)</f>
        <v>0</v>
      </c>
      <c r="CL1304">
        <f>IF(COUNTA(AC1416:AC1423)=0,0,IF(OR(AND(AC1416=0,CJ1304&gt;0),AND(AC1416="ns",CK1304&gt;0),AND(AC1416="ns",CJ1304=0,CK1304=0)),1,IF(OR(AND(CJ1304&gt;=2,AC1416&gt;CK1304),AND(AC1416="ns",CK1304=0,CJ1304&gt;0),AC1416=CK1304),0,1)))</f>
        <v>0</v>
      </c>
      <c r="CM1304">
        <f>COUNTIF(AC1426:AC1428,"NS")</f>
        <v>0</v>
      </c>
      <c r="CN1304">
        <f>SUM(AC1426:AC1428)</f>
        <v>0</v>
      </c>
      <c r="CO1304">
        <f>IF(COUNTA(AC1425:AC1428)=0,0,IF(OR(AND(AC1425=0,CM1304&gt;0),AND(AC1425="ns",CN1304&gt;0),AND(AC1425="ns",CM1304=0,CN1304=0)),1,IF(OR(AND(CM1304&gt;=2,AC1425&gt;CN1304),AND(AC1425="ns",CN1304=0,CM1304&gt;0),AC1425=CN1304),0,1)))</f>
        <v>0</v>
      </c>
      <c r="CP1304">
        <f>COUNTIF(AC1438:AC1442,"NS")</f>
        <v>0</v>
      </c>
      <c r="CQ1304">
        <f>SUM(AC1438:AC1442)</f>
        <v>0</v>
      </c>
      <c r="CR1304">
        <f>IF(COUNTA(AC1437:AC1442)=0,0,IF(OR(AND(AC1437=0,CP1304&gt;0),AND(AC1437="ns",CQ1304&gt;0),AND(AC1437="ns",CP1304=0,CQ1304=0)),1,IF(OR(AND(CP1304&gt;=2,AC1437&gt;CQ1304),AND(AC1437="ns",CQ1304=0,CP1304&gt;0),AC1437=CQ1304),0,1)))</f>
        <v>0</v>
      </c>
    </row>
    <row r="1305" spans="1:96" ht="24" customHeight="1">
      <c r="A1305" s="110"/>
      <c r="B1305" s="57"/>
      <c r="C1305" s="1109"/>
      <c r="D1305" s="954"/>
      <c r="E1305" s="956"/>
      <c r="F1305" s="1110" t="s">
        <v>4841</v>
      </c>
      <c r="G1305" s="1110"/>
      <c r="H1305" s="178"/>
      <c r="I1305" s="1111" t="s">
        <v>4842</v>
      </c>
      <c r="J1305" s="1111"/>
      <c r="K1305" s="1111"/>
      <c r="L1305" s="1111"/>
      <c r="M1305" s="1111"/>
      <c r="N1305" s="1111"/>
      <c r="O1305" s="1112"/>
      <c r="P1305" s="100"/>
      <c r="Q1305" s="100"/>
      <c r="R1305" s="100"/>
      <c r="S1305" s="100"/>
      <c r="T1305" s="100"/>
      <c r="U1305" s="100"/>
      <c r="V1305" s="100"/>
      <c r="W1305" s="100"/>
      <c r="X1305" s="100"/>
      <c r="Y1305" s="100"/>
      <c r="Z1305" s="100"/>
      <c r="AA1305" s="100"/>
      <c r="AB1305" s="100"/>
      <c r="AC1305" s="100"/>
      <c r="AD1305" s="100"/>
      <c r="AF1305"/>
      <c r="AG1305">
        <f t="shared" si="879"/>
        <v>0</v>
      </c>
      <c r="AH1305">
        <f t="shared" si="863"/>
        <v>0</v>
      </c>
      <c r="AK1305">
        <f t="shared" si="864"/>
        <v>0</v>
      </c>
      <c r="AL1305">
        <f t="shared" si="865"/>
        <v>0</v>
      </c>
      <c r="AM1305">
        <f t="shared" si="866"/>
        <v>0</v>
      </c>
      <c r="AN1305">
        <f t="shared" si="867"/>
        <v>0</v>
      </c>
      <c r="AO1305">
        <f t="shared" si="868"/>
        <v>0</v>
      </c>
      <c r="AP1305">
        <f t="shared" si="869"/>
        <v>0</v>
      </c>
      <c r="AQ1305">
        <f t="shared" si="870"/>
        <v>0</v>
      </c>
      <c r="AR1305">
        <f t="shared" si="871"/>
        <v>0</v>
      </c>
      <c r="AS1305">
        <f t="shared" si="872"/>
        <v>0</v>
      </c>
      <c r="AT1305">
        <f t="shared" si="873"/>
        <v>0</v>
      </c>
      <c r="AU1305">
        <f t="shared" si="874"/>
        <v>0</v>
      </c>
      <c r="AV1305">
        <f t="shared" si="875"/>
        <v>0</v>
      </c>
      <c r="AW1305">
        <f t="shared" si="876"/>
        <v>0</v>
      </c>
      <c r="AX1305">
        <f t="shared" si="877"/>
        <v>0</v>
      </c>
      <c r="AY1305">
        <f t="shared" si="878"/>
        <v>0</v>
      </c>
      <c r="AZ1305">
        <f>COUNTIF(AD1292:AD1297,"NS")</f>
        <v>0</v>
      </c>
      <c r="BA1305">
        <f>SUM(AD1292:AD1297)</f>
        <v>0</v>
      </c>
      <c r="BB1305">
        <f>IF(COUNTA(AD1291:AD1297)=0,0,IF(OR(AND(AD1291=0,AZ1305&gt;0),AND(AD1291="ns",BA1305&gt;0),AND(AD1291="ns",AZ1305=0,BA1305=0)),1,IF(OR(AND(AZ1305&gt;=2,AD1291&gt;BA1305),AND(AD1291="ns",BA1305=0,AZ1305&gt;0),AD1291=BA1305),0,1)))</f>
        <v>0</v>
      </c>
      <c r="BC1305">
        <f>COUNTIF(AD1303:AD1307,"NS")</f>
        <v>0</v>
      </c>
      <c r="BD1305">
        <f>SUM(AD1303:AD1307)</f>
        <v>0</v>
      </c>
      <c r="BE1305">
        <f>IF(COUNTA(AD1302:AD1307)=0,0,IF(OR(AND(AD1302=0,BC1305&gt;0),AND(AD1302="ns",BD1305&gt;0),AND(AD1302="ns",BC1305=0,BD1305=0)),1,IF(OR(AND(BC1305&gt;=2,AD1302&gt;BD1305),AND(AD1302="ns",BD1305=0,BC1305&gt;0),AD1302=BD1305),0,1)))</f>
        <v>0</v>
      </c>
      <c r="BF1305">
        <f>COUNTIF(AD1312:AD1329,"NS")</f>
        <v>0</v>
      </c>
      <c r="BG1305">
        <f>SUM(AD1312:AD1329)</f>
        <v>0</v>
      </c>
      <c r="BH1305">
        <f>IF(COUNTA(AD1311:AD1329)=0,0,IF(OR(AND(AD1311=0,BF1305&gt;0),AND(AD1311="ns",BG1305&gt;0),AND(AD1311="ns",BF1305=0,BG1305=0)),1,IF(OR(AND(BF1305&gt;=2,AD1311&gt;BG1305),AND(AD1311="ns",BG1305=0,BF1305&gt;0),AD1311=BG1305),0,1)))</f>
        <v>0</v>
      </c>
      <c r="BI1305">
        <f>COUNTIF(AD1331:AD1335,"NS")</f>
        <v>0</v>
      </c>
      <c r="BJ1305">
        <f>SUM(AD1331:AD1335)</f>
        <v>0</v>
      </c>
      <c r="BK1305">
        <f>IF(COUNTA(AD1330:AD1335)=0,0,IF(OR(AND(AD1330=0,BI1305&gt;0),AND(AD1330="ns",BJ1305&gt;0),AND(AD1330="ns",BI1305=0,BJ1305=0)),1,IF(OR(AND(BI1305&gt;=2,AD1330&gt;BJ1305),AND(AD1330="ns",BJ1305=0,BI1305&gt;0),AD1330=BJ1305),0,1)))</f>
        <v>0</v>
      </c>
      <c r="BL1305">
        <f>COUNTIF(AD1339:AD1341,"NS")</f>
        <v>0</v>
      </c>
      <c r="BM1305">
        <f>SUM(AD1339:AD1341)</f>
        <v>0</v>
      </c>
      <c r="BN1305">
        <f>IF(COUNTA(AD1338:AD1341)=0,0,IF(OR(AND(AD1338=0,BL1305&gt;0),AND(AD1338="ns",BM1305&gt;0),AND(AD1338="ns",BL1305=0,BM1305=0)),1,IF(OR(AND(BL1305&gt;=2,AD1338&gt;BM1305),AND(AD1338="ns",BM1305=0,BL1305&gt;0),AD1338=BM1305),0,1)))</f>
        <v>0</v>
      </c>
      <c r="BO1305">
        <f>COUNTIF(AD1349:AD1355,"NS")</f>
        <v>0</v>
      </c>
      <c r="BP1305">
        <f>SUM(AD1349:AD1355)</f>
        <v>0</v>
      </c>
      <c r="BQ1305">
        <f>IF(COUNTA(AD1348:AD1355)=0,0,IF(OR(AND(AD1348=0,BO1305&gt;0),AND(AD1348="ns",BP1305&gt;0),AND(AD1348="ns",BO1305=0,BP1305=0)),1,IF(OR(AND(BO1305&gt;=2,AD1348&gt;BP1305),AND(AD1348="ns",BP1305=0,BO1305&gt;0),AD1348=BP1305),0,1)))</f>
        <v>0</v>
      </c>
      <c r="BR1305">
        <f>COUNTIF(AD1357:AD1361,"NS")</f>
        <v>0</v>
      </c>
      <c r="BS1305">
        <f>SUM(AD1357:AD1361)</f>
        <v>0</v>
      </c>
      <c r="BT1305">
        <f>IF(COUNTA(AD1356:AD1361)=0,0,IF(OR(AND(AD1356=0,BR1305&gt;0),AND(AD1356="ns",BS1305&gt;0),AND(AD1356="ns",BR1305=0,BS1305=0)),1,IF(OR(AND(BR1305&gt;=2,AD1356&gt;BS1305),AND(AD1356="ns",BS1305=0,BR1305&gt;0),AD1356=BS1305),0,1)))</f>
        <v>0</v>
      </c>
      <c r="BU1305">
        <f>COUNTIF(AD1367:AD1372,"NS")</f>
        <v>0</v>
      </c>
      <c r="BV1305">
        <f>SUM(AD1367:AD1372)</f>
        <v>0</v>
      </c>
      <c r="BW1305">
        <f>IF(COUNTA(AD1366:AD1372)=0,0,IF(OR(AND(AD1366=0,BU1305&gt;0),AND(AD1366="ns",BV1305&gt;0),AND(AD1366="ns",BU1305=0,BV1305=0)),1,IF(OR(AND(BU1305&gt;=2,AD1366&gt;BV1305),AND(AD1366="ns",BV1305=0,BU1305&gt;0),AD1366=BV1305),0,1)))</f>
        <v>0</v>
      </c>
      <c r="BX1305">
        <f>COUNTIF(AD1374:AD1381,"NS")</f>
        <v>0</v>
      </c>
      <c r="BY1305">
        <f>SUM(AD1374:AD1381)</f>
        <v>0</v>
      </c>
      <c r="BZ1305">
        <f>IF(COUNTA(AD1373:AD1381)=0,0,IF(OR(AND(AD1373=0,BX1305&gt;0),AND(AD1373="ns",BY1305&gt;0),AND(AD1373="ns",BX1305=0,BY1305=0)),1,IF(OR(AND(BX1305&gt;=2,AD1373&gt;BY1305),AND(AD1373="ns",BY1305=0,BX1305&gt;0),AD1373=BY1305),0,1)))</f>
        <v>0</v>
      </c>
      <c r="CA1305">
        <f>COUNTIF(AD1386:AD1391,"NS")</f>
        <v>0</v>
      </c>
      <c r="CB1305">
        <f>SUM(AD1386:AD1391)</f>
        <v>0</v>
      </c>
      <c r="CC1305">
        <f>IF(COUNTA(AD1385:AD1391)=0,0,IF(OR(AND(AD1385=0,CA1305&gt;0),AND(AD1385="ns",CB1305&gt;0),AND(AD1385="ns",CA1305=0,CB1305=0)),1,IF(OR(AND(CA1305&gt;=2,AD1385&gt;CB1305),AND(AD1385="ns",CB1305=0,CA1305&gt;0),AD1385=CB1305),0,1)))</f>
        <v>0</v>
      </c>
      <c r="CD1305">
        <f>COUNTIF(AD1396:AD1404,"NS")</f>
        <v>0</v>
      </c>
      <c r="CE1305">
        <f>SUM(AD1396:AD1404)</f>
        <v>0</v>
      </c>
      <c r="CF1305">
        <f>IF(COUNTA(AD1395:AD1404)=0,0,IF(OR(AND(AD1395=0,CD1305&gt;0),AND(AD1395="ns",CE1305&gt;0),AND(AD1395="ns",CD1305=0,CE1305=0)),1,IF(OR(AND(CD1305&gt;=2,AD1395&gt;CE1305),AND(AD1395="ns",CE1305=0,CD1305&gt;0),AD1395=CE1305),0,1)))</f>
        <v>0</v>
      </c>
      <c r="CG1305">
        <f>COUNTIF(AD1406:AD1408,"NS")</f>
        <v>0</v>
      </c>
      <c r="CH1305">
        <f>SUM(AD1406:AD1408)</f>
        <v>0</v>
      </c>
      <c r="CI1305">
        <f>IF(COUNTA(AD1405:AD1408)=0,0,IF(OR(AND(AD1405=0,CG1305&gt;0),AND(AD1405="ns",CH1305&gt;0),AND(AD1405="ns",CG1305=0,CH1305=0)),1,IF(OR(AND(CG1305&gt;=2,AD1405&gt;CH1305),AND(AD1405="ns",CH1305=0,CG1305&gt;0),AD1405=CH1305),0,1)))</f>
        <v>0</v>
      </c>
      <c r="CJ1305">
        <f>COUNTIF(AD1417:AD1423,"NS")</f>
        <v>0</v>
      </c>
      <c r="CK1305">
        <f>SUM(AD1417:AD1423)</f>
        <v>0</v>
      </c>
      <c r="CL1305">
        <f>IF(COUNTA(AD1416:AD1423)=0,0,IF(OR(AND(AD1416=0,CJ1305&gt;0),AND(AD1416="ns",CK1305&gt;0),AND(AD1416="ns",CJ1305=0,CK1305=0)),1,IF(OR(AND(CJ1305&gt;=2,AD1416&gt;CK1305),AND(AD1416="ns",CK1305=0,CJ1305&gt;0),AD1416=CK1305),0,1)))</f>
        <v>0</v>
      </c>
      <c r="CM1305">
        <f>COUNTIF(AD1426:AD1428,"NS")</f>
        <v>0</v>
      </c>
      <c r="CN1305">
        <f>SUM(AD1426:AD1428)</f>
        <v>0</v>
      </c>
      <c r="CO1305">
        <f>IF(COUNTA(AD1425:AD1428)=0,0,IF(OR(AND(AD1425=0,CM1305&gt;0),AND(AD1425="ns",CN1305&gt;0),AND(AD1425="ns",CM1305=0,CN1305=0)),1,IF(OR(AND(CM1305&gt;=2,AD1425&gt;CN1305),AND(AD1425="ns",CN1305=0,CM1305&gt;0),AD1425=CN1305),0,1)))</f>
        <v>0</v>
      </c>
      <c r="CP1305">
        <f>COUNTIF(AD1438:AD1442,"NS")</f>
        <v>0</v>
      </c>
      <c r="CQ1305">
        <f>SUM(AD1438:AD1442)</f>
        <v>0</v>
      </c>
      <c r="CR1305">
        <f>IF(COUNTA(AD1437:AD1442)=0,0,IF(OR(AND(AD1437=0,CP1305&gt;0),AND(AD1437="ns",CQ1305&gt;0),AND(AD1437="ns",CP1305=0,CQ1305=0)),1,IF(OR(AND(CP1305&gt;=2,AD1437&gt;CQ1305),AND(AD1437="ns",CQ1305=0,CP1305&gt;0),AD1437=CQ1305),0,1)))</f>
        <v>0</v>
      </c>
    </row>
    <row r="1306" spans="1:96" ht="15" customHeight="1">
      <c r="A1306" s="110"/>
      <c r="B1306" s="57"/>
      <c r="C1306" s="1109"/>
      <c r="D1306" s="954"/>
      <c r="E1306" s="956"/>
      <c r="F1306" s="1110" t="s">
        <v>4843</v>
      </c>
      <c r="G1306" s="1110"/>
      <c r="H1306" s="178"/>
      <c r="I1306" s="1111" t="s">
        <v>4844</v>
      </c>
      <c r="J1306" s="1111"/>
      <c r="K1306" s="1111"/>
      <c r="L1306" s="1111"/>
      <c r="M1306" s="1111"/>
      <c r="N1306" s="1111"/>
      <c r="O1306" s="1112"/>
      <c r="P1306" s="100"/>
      <c r="Q1306" s="100"/>
      <c r="R1306" s="100"/>
      <c r="S1306" s="100"/>
      <c r="T1306" s="100"/>
      <c r="U1306" s="100"/>
      <c r="V1306" s="100"/>
      <c r="W1306" s="100"/>
      <c r="X1306" s="100"/>
      <c r="Y1306" s="100"/>
      <c r="Z1306" s="100"/>
      <c r="AA1306" s="100"/>
      <c r="AB1306" s="100"/>
      <c r="AC1306" s="100"/>
      <c r="AD1306" s="100"/>
      <c r="AF1306"/>
      <c r="AG1306">
        <f t="shared" si="879"/>
        <v>0</v>
      </c>
      <c r="AH1306">
        <f t="shared" si="863"/>
        <v>0</v>
      </c>
      <c r="AK1306">
        <f t="shared" si="864"/>
        <v>0</v>
      </c>
      <c r="AL1306">
        <f t="shared" si="865"/>
        <v>0</v>
      </c>
      <c r="AM1306">
        <f t="shared" si="866"/>
        <v>0</v>
      </c>
      <c r="AN1306">
        <f t="shared" si="867"/>
        <v>0</v>
      </c>
      <c r="AO1306">
        <f t="shared" si="868"/>
        <v>0</v>
      </c>
      <c r="AP1306">
        <f t="shared" si="869"/>
        <v>0</v>
      </c>
      <c r="AQ1306">
        <f t="shared" si="870"/>
        <v>0</v>
      </c>
      <c r="AR1306">
        <f t="shared" si="871"/>
        <v>0</v>
      </c>
      <c r="AS1306">
        <f t="shared" si="872"/>
        <v>0</v>
      </c>
      <c r="AT1306">
        <f t="shared" si="873"/>
        <v>0</v>
      </c>
      <c r="AU1306">
        <f t="shared" si="874"/>
        <v>0</v>
      </c>
      <c r="AV1306">
        <f t="shared" si="875"/>
        <v>0</v>
      </c>
      <c r="AW1306">
        <f t="shared" si="876"/>
        <v>0</v>
      </c>
      <c r="AX1306">
        <f t="shared" si="877"/>
        <v>0</v>
      </c>
      <c r="AY1306">
        <f t="shared" si="878"/>
        <v>0</v>
      </c>
      <c r="AZ1306">
        <f>SUM(AZ1291:AZ1305)</f>
        <v>0</v>
      </c>
      <c r="BB1306">
        <f>SUM(BB1291:BB1305)</f>
        <v>0</v>
      </c>
      <c r="BC1306">
        <f>SUM(BC1291:BC1305)</f>
        <v>0</v>
      </c>
      <c r="BE1306">
        <f>SUM(BE1291:BE1305)</f>
        <v>0</v>
      </c>
      <c r="BF1306">
        <f>SUM(BF1291:BF1305)</f>
        <v>0</v>
      </c>
      <c r="BH1306">
        <f>SUM(BH1291:BH1305)</f>
        <v>0</v>
      </c>
      <c r="BI1306">
        <f>SUM(BI1291:BI1305)</f>
        <v>0</v>
      </c>
      <c r="BK1306">
        <f>SUM(BK1291:BK1305)</f>
        <v>0</v>
      </c>
      <c r="BL1306">
        <f>SUM(BL1291:BL1305)</f>
        <v>0</v>
      </c>
      <c r="BN1306">
        <f>SUM(BN1291:BN1305)</f>
        <v>0</v>
      </c>
      <c r="BO1306">
        <f>SUM(BO1291:BO1305)</f>
        <v>0</v>
      </c>
      <c r="BQ1306">
        <f>SUM(BQ1291:BQ1305)</f>
        <v>0</v>
      </c>
      <c r="BR1306">
        <f>SUM(BR1291:BR1305)</f>
        <v>0</v>
      </c>
      <c r="BT1306">
        <f>SUM(BT1291:BT1305)</f>
        <v>0</v>
      </c>
      <c r="BU1306">
        <f>SUM(BU1291:BU1305)</f>
        <v>0</v>
      </c>
      <c r="BW1306">
        <f>SUM(BW1291:BW1305)</f>
        <v>0</v>
      </c>
      <c r="BX1306">
        <f>SUM(BX1291:BX1305)</f>
        <v>0</v>
      </c>
      <c r="BZ1306">
        <f>SUM(BZ1291:BZ1305)</f>
        <v>0</v>
      </c>
      <c r="CA1306">
        <f>SUM(CA1291:CA1305)</f>
        <v>0</v>
      </c>
      <c r="CC1306">
        <f>SUM(CC1291:CC1305)</f>
        <v>0</v>
      </c>
      <c r="CD1306">
        <f>SUM(CD1291:CD1305)</f>
        <v>0</v>
      </c>
      <c r="CF1306">
        <f>SUM(CF1291:CF1305)</f>
        <v>0</v>
      </c>
      <c r="CG1306">
        <f>SUM(CG1291:CG1305)</f>
        <v>0</v>
      </c>
      <c r="CI1306">
        <f>SUM(CI1291:CI1305)</f>
        <v>0</v>
      </c>
      <c r="CJ1306">
        <f>SUM(CJ1291:CJ1305)</f>
        <v>0</v>
      </c>
      <c r="CL1306">
        <f>SUM(CL1291:CL1305)</f>
        <v>0</v>
      </c>
      <c r="CM1306">
        <f>SUM(CM1291:CM1305)</f>
        <v>0</v>
      </c>
      <c r="CO1306">
        <f>SUM(CO1291:CO1305)</f>
        <v>0</v>
      </c>
      <c r="CP1306">
        <f>SUM(CP1291:CP1305)</f>
        <v>0</v>
      </c>
      <c r="CR1306">
        <f>SUM(CR1291:CR1305)</f>
        <v>0</v>
      </c>
    </row>
    <row r="1307" spans="1:96" ht="15" customHeight="1">
      <c r="A1307" s="110"/>
      <c r="B1307" s="57"/>
      <c r="C1307" s="1109"/>
      <c r="D1307" s="954"/>
      <c r="E1307" s="956"/>
      <c r="F1307" s="1110" t="s">
        <v>4845</v>
      </c>
      <c r="G1307" s="1110"/>
      <c r="H1307" s="178"/>
      <c r="I1307" s="1111" t="s">
        <v>201</v>
      </c>
      <c r="J1307" s="1111"/>
      <c r="K1307" s="1111"/>
      <c r="L1307" s="1111"/>
      <c r="M1307" s="1111"/>
      <c r="N1307" s="1111"/>
      <c r="O1307" s="1112"/>
      <c r="P1307" s="100"/>
      <c r="Q1307" s="100"/>
      <c r="R1307" s="100"/>
      <c r="S1307" s="100"/>
      <c r="T1307" s="100"/>
      <c r="U1307" s="100"/>
      <c r="V1307" s="100"/>
      <c r="W1307" s="100"/>
      <c r="X1307" s="100"/>
      <c r="Y1307" s="100"/>
      <c r="Z1307" s="100"/>
      <c r="AA1307" s="100"/>
      <c r="AB1307" s="100"/>
      <c r="AC1307" s="100"/>
      <c r="AD1307" s="100"/>
      <c r="AF1307"/>
      <c r="AG1307">
        <f t="shared" si="879"/>
        <v>0</v>
      </c>
      <c r="AH1307">
        <f t="shared" si="863"/>
        <v>0</v>
      </c>
      <c r="AK1307">
        <f t="shared" si="864"/>
        <v>0</v>
      </c>
      <c r="AL1307">
        <f t="shared" si="865"/>
        <v>0</v>
      </c>
      <c r="AM1307">
        <f t="shared" si="866"/>
        <v>0</v>
      </c>
      <c r="AN1307">
        <f t="shared" si="867"/>
        <v>0</v>
      </c>
      <c r="AO1307">
        <f t="shared" si="868"/>
        <v>0</v>
      </c>
      <c r="AP1307">
        <f t="shared" si="869"/>
        <v>0</v>
      </c>
      <c r="AQ1307">
        <f t="shared" si="870"/>
        <v>0</v>
      </c>
      <c r="AR1307">
        <f t="shared" si="871"/>
        <v>0</v>
      </c>
      <c r="AS1307">
        <f t="shared" si="872"/>
        <v>0</v>
      </c>
      <c r="AT1307">
        <f t="shared" si="873"/>
        <v>0</v>
      </c>
      <c r="AU1307">
        <f t="shared" si="874"/>
        <v>0</v>
      </c>
      <c r="AV1307">
        <f t="shared" si="875"/>
        <v>0</v>
      </c>
      <c r="AW1307">
        <f t="shared" si="876"/>
        <v>0</v>
      </c>
      <c r="AX1307">
        <f t="shared" si="877"/>
        <v>0</v>
      </c>
      <c r="AY1307">
        <f t="shared" si="878"/>
        <v>0</v>
      </c>
      <c r="CR1307" s="467">
        <f>SUM(BB1306,BE1306,BH1306,BK1306,BN1306,BQ1306,BT1306,BW1306,BZ1306,CC1306,CF1306,CI1306,CL1306,CO1306,CR1306)</f>
        <v>0</v>
      </c>
    </row>
    <row r="1308" spans="1:96" ht="15" customHeight="1">
      <c r="A1308" s="110"/>
      <c r="B1308" s="57"/>
      <c r="C1308" s="1109"/>
      <c r="D1308" s="954"/>
      <c r="E1308" s="956"/>
      <c r="F1308" s="1103" t="s">
        <v>4846</v>
      </c>
      <c r="G1308" s="1103"/>
      <c r="H1308" s="1104" t="s">
        <v>4847</v>
      </c>
      <c r="I1308" s="1105"/>
      <c r="J1308" s="1105"/>
      <c r="K1308" s="1105"/>
      <c r="L1308" s="1105"/>
      <c r="M1308" s="1105"/>
      <c r="N1308" s="1105"/>
      <c r="O1308" s="1106"/>
      <c r="P1308" s="100"/>
      <c r="Q1308" s="100"/>
      <c r="R1308" s="100"/>
      <c r="S1308" s="100"/>
      <c r="T1308" s="100"/>
      <c r="U1308" s="100"/>
      <c r="V1308" s="100"/>
      <c r="W1308" s="100"/>
      <c r="X1308" s="100"/>
      <c r="Y1308" s="100"/>
      <c r="Z1308" s="100"/>
      <c r="AA1308" s="100"/>
      <c r="AB1308" s="100"/>
      <c r="AC1308" s="100"/>
      <c r="AD1308" s="100"/>
      <c r="AF1308"/>
      <c r="AG1308">
        <f t="shared" si="879"/>
        <v>0</v>
      </c>
      <c r="AH1308">
        <f t="shared" si="863"/>
        <v>0</v>
      </c>
      <c r="AK1308">
        <f t="shared" si="864"/>
        <v>0</v>
      </c>
      <c r="AL1308">
        <f t="shared" si="865"/>
        <v>0</v>
      </c>
      <c r="AM1308">
        <f t="shared" si="866"/>
        <v>0</v>
      </c>
      <c r="AN1308">
        <f t="shared" si="867"/>
        <v>0</v>
      </c>
      <c r="AO1308">
        <f t="shared" si="868"/>
        <v>0</v>
      </c>
      <c r="AP1308">
        <f t="shared" si="869"/>
        <v>0</v>
      </c>
      <c r="AQ1308">
        <f t="shared" si="870"/>
        <v>0</v>
      </c>
      <c r="AR1308">
        <f t="shared" si="871"/>
        <v>0</v>
      </c>
      <c r="AS1308">
        <f t="shared" si="872"/>
        <v>0</v>
      </c>
      <c r="AT1308">
        <f t="shared" si="873"/>
        <v>0</v>
      </c>
      <c r="AU1308">
        <f t="shared" si="874"/>
        <v>0</v>
      </c>
      <c r="AV1308">
        <f t="shared" si="875"/>
        <v>0</v>
      </c>
      <c r="AW1308">
        <f t="shared" si="876"/>
        <v>0</v>
      </c>
      <c r="AX1308">
        <f t="shared" si="877"/>
        <v>0</v>
      </c>
      <c r="AY1308">
        <f t="shared" si="878"/>
        <v>0</v>
      </c>
    </row>
    <row r="1309" spans="1:96" ht="15" customHeight="1">
      <c r="A1309" s="110"/>
      <c r="B1309" s="57"/>
      <c r="C1309" s="1109"/>
      <c r="D1309" s="954"/>
      <c r="E1309" s="956"/>
      <c r="F1309" s="1103" t="s">
        <v>4848</v>
      </c>
      <c r="G1309" s="1103"/>
      <c r="H1309" s="1104" t="s">
        <v>4849</v>
      </c>
      <c r="I1309" s="1105"/>
      <c r="J1309" s="1105"/>
      <c r="K1309" s="1105"/>
      <c r="L1309" s="1105"/>
      <c r="M1309" s="1105"/>
      <c r="N1309" s="1105"/>
      <c r="O1309" s="1106"/>
      <c r="P1309" s="100"/>
      <c r="Q1309" s="100"/>
      <c r="R1309" s="100"/>
      <c r="S1309" s="100"/>
      <c r="T1309" s="100"/>
      <c r="U1309" s="100"/>
      <c r="V1309" s="100"/>
      <c r="W1309" s="100"/>
      <c r="X1309" s="100"/>
      <c r="Y1309" s="100"/>
      <c r="Z1309" s="100"/>
      <c r="AA1309" s="100"/>
      <c r="AB1309" s="100"/>
      <c r="AC1309" s="100"/>
      <c r="AD1309" s="100"/>
      <c r="AF1309"/>
      <c r="AG1309">
        <f t="shared" si="879"/>
        <v>0</v>
      </c>
      <c r="AH1309">
        <f t="shared" si="863"/>
        <v>0</v>
      </c>
      <c r="AK1309">
        <f t="shared" si="864"/>
        <v>0</v>
      </c>
      <c r="AL1309">
        <f t="shared" si="865"/>
        <v>0</v>
      </c>
      <c r="AM1309">
        <f t="shared" si="866"/>
        <v>0</v>
      </c>
      <c r="AN1309">
        <f t="shared" si="867"/>
        <v>0</v>
      </c>
      <c r="AO1309">
        <f t="shared" si="868"/>
        <v>0</v>
      </c>
      <c r="AP1309">
        <f t="shared" si="869"/>
        <v>0</v>
      </c>
      <c r="AQ1309">
        <f t="shared" si="870"/>
        <v>0</v>
      </c>
      <c r="AR1309">
        <f t="shared" si="871"/>
        <v>0</v>
      </c>
      <c r="AS1309">
        <f t="shared" si="872"/>
        <v>0</v>
      </c>
      <c r="AT1309">
        <f t="shared" si="873"/>
        <v>0</v>
      </c>
      <c r="AU1309">
        <f t="shared" si="874"/>
        <v>0</v>
      </c>
      <c r="AV1309">
        <f t="shared" si="875"/>
        <v>0</v>
      </c>
      <c r="AW1309">
        <f t="shared" si="876"/>
        <v>0</v>
      </c>
      <c r="AX1309">
        <f t="shared" si="877"/>
        <v>0</v>
      </c>
      <c r="AY1309">
        <f t="shared" si="878"/>
        <v>0</v>
      </c>
    </row>
    <row r="1310" spans="1:96" ht="24" customHeight="1">
      <c r="A1310" s="110"/>
      <c r="B1310" s="57"/>
      <c r="C1310" s="1109"/>
      <c r="D1310" s="954"/>
      <c r="E1310" s="956"/>
      <c r="F1310" s="1103" t="s">
        <v>4850</v>
      </c>
      <c r="G1310" s="1103"/>
      <c r="H1310" s="1104" t="s">
        <v>4851</v>
      </c>
      <c r="I1310" s="1105"/>
      <c r="J1310" s="1105"/>
      <c r="K1310" s="1105"/>
      <c r="L1310" s="1105"/>
      <c r="M1310" s="1105"/>
      <c r="N1310" s="1105"/>
      <c r="O1310" s="1106"/>
      <c r="P1310" s="100"/>
      <c r="Q1310" s="100"/>
      <c r="R1310" s="100"/>
      <c r="S1310" s="100"/>
      <c r="T1310" s="100"/>
      <c r="U1310" s="100"/>
      <c r="V1310" s="100"/>
      <c r="W1310" s="100"/>
      <c r="X1310" s="100"/>
      <c r="Y1310" s="100"/>
      <c r="Z1310" s="100"/>
      <c r="AA1310" s="100"/>
      <c r="AB1310" s="100"/>
      <c r="AC1310" s="100"/>
      <c r="AD1310" s="100"/>
      <c r="AF1310"/>
      <c r="AG1310">
        <f t="shared" si="879"/>
        <v>0</v>
      </c>
      <c r="AH1310">
        <f t="shared" si="863"/>
        <v>0</v>
      </c>
      <c r="AJ1310">
        <f>IF(OR(P1310="NS",P1310="NA",$P$896=0,$P$896="NS",$P$896="NA"),0,IF((P1310*(IFERROR(100/SUM(P1299:P1310),0)))&gt;25,1,0))</f>
        <v>0</v>
      </c>
      <c r="AK1310">
        <f t="shared" si="864"/>
        <v>0</v>
      </c>
      <c r="AL1310">
        <f t="shared" si="865"/>
        <v>0</v>
      </c>
      <c r="AM1310">
        <f t="shared" si="866"/>
        <v>0</v>
      </c>
      <c r="AN1310">
        <f t="shared" si="867"/>
        <v>0</v>
      </c>
      <c r="AO1310">
        <f t="shared" si="868"/>
        <v>0</v>
      </c>
      <c r="AP1310">
        <f t="shared" si="869"/>
        <v>0</v>
      </c>
      <c r="AQ1310">
        <f t="shared" si="870"/>
        <v>0</v>
      </c>
      <c r="AR1310">
        <f t="shared" si="871"/>
        <v>0</v>
      </c>
      <c r="AS1310">
        <f t="shared" si="872"/>
        <v>0</v>
      </c>
      <c r="AT1310">
        <f t="shared" si="873"/>
        <v>0</v>
      </c>
      <c r="AU1310">
        <f t="shared" si="874"/>
        <v>0</v>
      </c>
      <c r="AV1310">
        <f t="shared" si="875"/>
        <v>0</v>
      </c>
      <c r="AW1310">
        <f t="shared" si="876"/>
        <v>0</v>
      </c>
      <c r="AX1310">
        <f t="shared" si="877"/>
        <v>0</v>
      </c>
      <c r="AY1310">
        <f t="shared" si="878"/>
        <v>0</v>
      </c>
    </row>
    <row r="1311" spans="1:96" ht="15" customHeight="1">
      <c r="A1311" s="110"/>
      <c r="B1311" s="57"/>
      <c r="C1311" s="1108" t="s">
        <v>4852</v>
      </c>
      <c r="D1311" s="847" t="s">
        <v>4853</v>
      </c>
      <c r="E1311" s="848"/>
      <c r="F1311" s="1103" t="s">
        <v>4854</v>
      </c>
      <c r="G1311" s="1103"/>
      <c r="H1311" s="1104" t="s">
        <v>4855</v>
      </c>
      <c r="I1311" s="1105"/>
      <c r="J1311" s="1105"/>
      <c r="K1311" s="1105"/>
      <c r="L1311" s="1105"/>
      <c r="M1311" s="1105"/>
      <c r="N1311" s="1105"/>
      <c r="O1311" s="1106"/>
      <c r="P1311" s="100"/>
      <c r="Q1311" s="100"/>
      <c r="R1311" s="100"/>
      <c r="S1311" s="100"/>
      <c r="T1311" s="100"/>
      <c r="U1311" s="100"/>
      <c r="V1311" s="100"/>
      <c r="W1311" s="100"/>
      <c r="X1311" s="100"/>
      <c r="Y1311" s="100"/>
      <c r="Z1311" s="100"/>
      <c r="AA1311" s="100"/>
      <c r="AB1311" s="100"/>
      <c r="AC1311" s="100"/>
      <c r="AD1311" s="100"/>
      <c r="AF1311">
        <f>IF(P1311="NA",IF(AND(COUNTIF(P1312:P1329,"="&amp;$AF$934)=0,COUNTIF(P1312:P1329,"&lt;&gt;NA")&gt;0),1,0),IF(AND(COUNTIF(P1312:P1329,"="&amp;$AF$934)=0,COUNTIF(P1312:P1329,"NA")=COUNTIF(P1312:P1329,"&lt;&gt;"&amp;$AF$934)),1,0))</f>
        <v>0</v>
      </c>
      <c r="AG1311">
        <f t="shared" si="879"/>
        <v>0</v>
      </c>
      <c r="AH1311">
        <f t="shared" si="863"/>
        <v>0</v>
      </c>
      <c r="AK1311">
        <f t="shared" si="864"/>
        <v>0</v>
      </c>
      <c r="AL1311">
        <f t="shared" si="865"/>
        <v>0</v>
      </c>
      <c r="AM1311">
        <f t="shared" si="866"/>
        <v>0</v>
      </c>
      <c r="AN1311">
        <f t="shared" si="867"/>
        <v>0</v>
      </c>
      <c r="AO1311">
        <f t="shared" si="868"/>
        <v>0</v>
      </c>
      <c r="AP1311">
        <f t="shared" si="869"/>
        <v>0</v>
      </c>
      <c r="AQ1311">
        <f t="shared" si="870"/>
        <v>0</v>
      </c>
      <c r="AR1311">
        <f t="shared" si="871"/>
        <v>0</v>
      </c>
      <c r="AS1311">
        <f t="shared" si="872"/>
        <v>0</v>
      </c>
      <c r="AT1311">
        <f t="shared" si="873"/>
        <v>0</v>
      </c>
      <c r="AU1311">
        <f t="shared" si="874"/>
        <v>0</v>
      </c>
      <c r="AV1311">
        <f t="shared" si="875"/>
        <v>0</v>
      </c>
      <c r="AW1311">
        <f t="shared" si="876"/>
        <v>0</v>
      </c>
      <c r="AX1311">
        <f t="shared" si="877"/>
        <v>0</v>
      </c>
      <c r="AY1311">
        <f t="shared" si="878"/>
        <v>0</v>
      </c>
    </row>
    <row r="1312" spans="1:96" ht="15" customHeight="1">
      <c r="A1312" s="110"/>
      <c r="B1312" s="57"/>
      <c r="C1312" s="1109"/>
      <c r="D1312" s="954"/>
      <c r="E1312" s="956"/>
      <c r="F1312" s="1110" t="s">
        <v>4856</v>
      </c>
      <c r="G1312" s="1110"/>
      <c r="H1312" s="178"/>
      <c r="I1312" s="1111" t="s">
        <v>4857</v>
      </c>
      <c r="J1312" s="1111"/>
      <c r="K1312" s="1111"/>
      <c r="L1312" s="1111"/>
      <c r="M1312" s="1111"/>
      <c r="N1312" s="1111"/>
      <c r="O1312" s="1112"/>
      <c r="P1312" s="100"/>
      <c r="Q1312" s="100"/>
      <c r="R1312" s="100"/>
      <c r="S1312" s="100"/>
      <c r="T1312" s="100"/>
      <c r="U1312" s="100"/>
      <c r="V1312" s="100"/>
      <c r="W1312" s="100"/>
      <c r="X1312" s="100"/>
      <c r="Y1312" s="100"/>
      <c r="Z1312" s="100"/>
      <c r="AA1312" s="100"/>
      <c r="AB1312" s="100"/>
      <c r="AC1312" s="100"/>
      <c r="AD1312" s="100"/>
      <c r="AF1312"/>
      <c r="AG1312">
        <f t="shared" si="879"/>
        <v>0</v>
      </c>
      <c r="AH1312">
        <f t="shared" si="863"/>
        <v>0</v>
      </c>
      <c r="AK1312">
        <f t="shared" si="864"/>
        <v>0</v>
      </c>
      <c r="AL1312">
        <f t="shared" si="865"/>
        <v>0</v>
      </c>
      <c r="AM1312">
        <f t="shared" si="866"/>
        <v>0</v>
      </c>
      <c r="AN1312">
        <f t="shared" si="867"/>
        <v>0</v>
      </c>
      <c r="AO1312">
        <f t="shared" si="868"/>
        <v>0</v>
      </c>
      <c r="AP1312">
        <f t="shared" si="869"/>
        <v>0</v>
      </c>
      <c r="AQ1312">
        <f t="shared" si="870"/>
        <v>0</v>
      </c>
      <c r="AR1312">
        <f t="shared" si="871"/>
        <v>0</v>
      </c>
      <c r="AS1312">
        <f t="shared" si="872"/>
        <v>0</v>
      </c>
      <c r="AT1312">
        <f t="shared" si="873"/>
        <v>0</v>
      </c>
      <c r="AU1312">
        <f t="shared" si="874"/>
        <v>0</v>
      </c>
      <c r="AV1312">
        <f t="shared" si="875"/>
        <v>0</v>
      </c>
      <c r="AW1312">
        <f t="shared" si="876"/>
        <v>0</v>
      </c>
      <c r="AX1312">
        <f t="shared" si="877"/>
        <v>0</v>
      </c>
      <c r="AY1312">
        <f t="shared" si="878"/>
        <v>0</v>
      </c>
    </row>
    <row r="1313" spans="1:51" ht="15" customHeight="1">
      <c r="A1313" s="110"/>
      <c r="B1313" s="57"/>
      <c r="C1313" s="1109"/>
      <c r="D1313" s="954"/>
      <c r="E1313" s="956"/>
      <c r="F1313" s="1110" t="s">
        <v>4858</v>
      </c>
      <c r="G1313" s="1110"/>
      <c r="H1313" s="178"/>
      <c r="I1313" s="1111" t="s">
        <v>4859</v>
      </c>
      <c r="J1313" s="1111"/>
      <c r="K1313" s="1111"/>
      <c r="L1313" s="1111"/>
      <c r="M1313" s="1111"/>
      <c r="N1313" s="1111"/>
      <c r="O1313" s="1112"/>
      <c r="P1313" s="100"/>
      <c r="Q1313" s="100"/>
      <c r="R1313" s="100"/>
      <c r="S1313" s="100"/>
      <c r="T1313" s="100"/>
      <c r="U1313" s="100"/>
      <c r="V1313" s="100"/>
      <c r="W1313" s="100"/>
      <c r="X1313" s="100"/>
      <c r="Y1313" s="100"/>
      <c r="Z1313" s="100"/>
      <c r="AA1313" s="100"/>
      <c r="AB1313" s="100"/>
      <c r="AC1313" s="100"/>
      <c r="AD1313" s="100"/>
      <c r="AF1313"/>
      <c r="AG1313">
        <f t="shared" si="879"/>
        <v>0</v>
      </c>
      <c r="AH1313">
        <f t="shared" si="863"/>
        <v>0</v>
      </c>
      <c r="AK1313">
        <f t="shared" si="864"/>
        <v>0</v>
      </c>
      <c r="AL1313">
        <f t="shared" si="865"/>
        <v>0</v>
      </c>
      <c r="AM1313">
        <f t="shared" si="866"/>
        <v>0</v>
      </c>
      <c r="AN1313">
        <f t="shared" si="867"/>
        <v>0</v>
      </c>
      <c r="AO1313">
        <f t="shared" si="868"/>
        <v>0</v>
      </c>
      <c r="AP1313">
        <f t="shared" si="869"/>
        <v>0</v>
      </c>
      <c r="AQ1313">
        <f t="shared" si="870"/>
        <v>0</v>
      </c>
      <c r="AR1313">
        <f t="shared" si="871"/>
        <v>0</v>
      </c>
      <c r="AS1313">
        <f t="shared" si="872"/>
        <v>0</v>
      </c>
      <c r="AT1313">
        <f t="shared" si="873"/>
        <v>0</v>
      </c>
      <c r="AU1313">
        <f t="shared" si="874"/>
        <v>0</v>
      </c>
      <c r="AV1313">
        <f t="shared" si="875"/>
        <v>0</v>
      </c>
      <c r="AW1313">
        <f t="shared" si="876"/>
        <v>0</v>
      </c>
      <c r="AX1313">
        <f t="shared" si="877"/>
        <v>0</v>
      </c>
      <c r="AY1313">
        <f t="shared" si="878"/>
        <v>0</v>
      </c>
    </row>
    <row r="1314" spans="1:51" ht="15" customHeight="1">
      <c r="A1314" s="110"/>
      <c r="B1314" s="57"/>
      <c r="C1314" s="1109"/>
      <c r="D1314" s="954"/>
      <c r="E1314" s="956"/>
      <c r="F1314" s="1110" t="s">
        <v>4860</v>
      </c>
      <c r="G1314" s="1110"/>
      <c r="H1314" s="178"/>
      <c r="I1314" s="1111" t="s">
        <v>4861</v>
      </c>
      <c r="J1314" s="1111"/>
      <c r="K1314" s="1111"/>
      <c r="L1314" s="1111"/>
      <c r="M1314" s="1111"/>
      <c r="N1314" s="1111"/>
      <c r="O1314" s="1112"/>
      <c r="P1314" s="100"/>
      <c r="Q1314" s="100"/>
      <c r="R1314" s="100"/>
      <c r="S1314" s="100"/>
      <c r="T1314" s="100"/>
      <c r="U1314" s="100"/>
      <c r="V1314" s="100"/>
      <c r="W1314" s="100"/>
      <c r="X1314" s="100"/>
      <c r="Y1314" s="100"/>
      <c r="Z1314" s="100"/>
      <c r="AA1314" s="100"/>
      <c r="AB1314" s="100"/>
      <c r="AC1314" s="100"/>
      <c r="AD1314" s="100"/>
      <c r="AF1314"/>
      <c r="AG1314">
        <f t="shared" si="879"/>
        <v>0</v>
      </c>
      <c r="AH1314">
        <f t="shared" si="863"/>
        <v>0</v>
      </c>
      <c r="AK1314">
        <f t="shared" si="864"/>
        <v>0</v>
      </c>
      <c r="AL1314">
        <f t="shared" si="865"/>
        <v>0</v>
      </c>
      <c r="AM1314">
        <f t="shared" si="866"/>
        <v>0</v>
      </c>
      <c r="AN1314">
        <f t="shared" si="867"/>
        <v>0</v>
      </c>
      <c r="AO1314">
        <f t="shared" si="868"/>
        <v>0</v>
      </c>
      <c r="AP1314">
        <f t="shared" si="869"/>
        <v>0</v>
      </c>
      <c r="AQ1314">
        <f t="shared" si="870"/>
        <v>0</v>
      </c>
      <c r="AR1314">
        <f t="shared" si="871"/>
        <v>0</v>
      </c>
      <c r="AS1314">
        <f t="shared" si="872"/>
        <v>0</v>
      </c>
      <c r="AT1314">
        <f t="shared" si="873"/>
        <v>0</v>
      </c>
      <c r="AU1314">
        <f t="shared" si="874"/>
        <v>0</v>
      </c>
      <c r="AV1314">
        <f t="shared" si="875"/>
        <v>0</v>
      </c>
      <c r="AW1314">
        <f t="shared" si="876"/>
        <v>0</v>
      </c>
      <c r="AX1314">
        <f t="shared" si="877"/>
        <v>0</v>
      </c>
      <c r="AY1314">
        <f t="shared" si="878"/>
        <v>0</v>
      </c>
    </row>
    <row r="1315" spans="1:51" ht="15" customHeight="1">
      <c r="A1315" s="110"/>
      <c r="B1315" s="57"/>
      <c r="C1315" s="1109"/>
      <c r="D1315" s="954"/>
      <c r="E1315" s="956"/>
      <c r="F1315" s="1110" t="s">
        <v>4862</v>
      </c>
      <c r="G1315" s="1110"/>
      <c r="H1315" s="178"/>
      <c r="I1315" s="1111" t="s">
        <v>4863</v>
      </c>
      <c r="J1315" s="1111"/>
      <c r="K1315" s="1111"/>
      <c r="L1315" s="1111"/>
      <c r="M1315" s="1111"/>
      <c r="N1315" s="1111"/>
      <c r="O1315" s="1112"/>
      <c r="P1315" s="100"/>
      <c r="Q1315" s="100"/>
      <c r="R1315" s="100"/>
      <c r="S1315" s="100"/>
      <c r="T1315" s="100"/>
      <c r="U1315" s="100"/>
      <c r="V1315" s="100"/>
      <c r="W1315" s="100"/>
      <c r="X1315" s="100"/>
      <c r="Y1315" s="100"/>
      <c r="Z1315" s="100"/>
      <c r="AA1315" s="100"/>
      <c r="AB1315" s="100"/>
      <c r="AC1315" s="100"/>
      <c r="AD1315" s="100"/>
      <c r="AF1315"/>
      <c r="AG1315">
        <f t="shared" si="879"/>
        <v>0</v>
      </c>
      <c r="AH1315">
        <f t="shared" si="863"/>
        <v>0</v>
      </c>
      <c r="AK1315">
        <f t="shared" si="864"/>
        <v>0</v>
      </c>
      <c r="AL1315">
        <f t="shared" si="865"/>
        <v>0</v>
      </c>
      <c r="AM1315">
        <f t="shared" si="866"/>
        <v>0</v>
      </c>
      <c r="AN1315">
        <f t="shared" si="867"/>
        <v>0</v>
      </c>
      <c r="AO1315">
        <f t="shared" si="868"/>
        <v>0</v>
      </c>
      <c r="AP1315">
        <f t="shared" si="869"/>
        <v>0</v>
      </c>
      <c r="AQ1315">
        <f t="shared" si="870"/>
        <v>0</v>
      </c>
      <c r="AR1315">
        <f t="shared" si="871"/>
        <v>0</v>
      </c>
      <c r="AS1315">
        <f t="shared" si="872"/>
        <v>0</v>
      </c>
      <c r="AT1315">
        <f t="shared" si="873"/>
        <v>0</v>
      </c>
      <c r="AU1315">
        <f t="shared" si="874"/>
        <v>0</v>
      </c>
      <c r="AV1315">
        <f t="shared" si="875"/>
        <v>0</v>
      </c>
      <c r="AW1315">
        <f t="shared" si="876"/>
        <v>0</v>
      </c>
      <c r="AX1315">
        <f t="shared" si="877"/>
        <v>0</v>
      </c>
      <c r="AY1315">
        <f t="shared" si="878"/>
        <v>0</v>
      </c>
    </row>
    <row r="1316" spans="1:51" ht="15" customHeight="1">
      <c r="A1316" s="110"/>
      <c r="B1316" s="57"/>
      <c r="C1316" s="1109"/>
      <c r="D1316" s="954"/>
      <c r="E1316" s="956"/>
      <c r="F1316" s="1110" t="s">
        <v>4864</v>
      </c>
      <c r="G1316" s="1110"/>
      <c r="H1316" s="178"/>
      <c r="I1316" s="1111" t="s">
        <v>4865</v>
      </c>
      <c r="J1316" s="1111"/>
      <c r="K1316" s="1111"/>
      <c r="L1316" s="1111"/>
      <c r="M1316" s="1111"/>
      <c r="N1316" s="1111"/>
      <c r="O1316" s="1112"/>
      <c r="P1316" s="100"/>
      <c r="Q1316" s="100"/>
      <c r="R1316" s="100"/>
      <c r="S1316" s="100"/>
      <c r="T1316" s="100"/>
      <c r="U1316" s="100"/>
      <c r="V1316" s="100"/>
      <c r="W1316" s="100"/>
      <c r="X1316" s="100"/>
      <c r="Y1316" s="100"/>
      <c r="Z1316" s="100"/>
      <c r="AA1316" s="100"/>
      <c r="AB1316" s="100"/>
      <c r="AC1316" s="100"/>
      <c r="AD1316" s="100"/>
      <c r="AF1316"/>
      <c r="AG1316">
        <f t="shared" si="879"/>
        <v>0</v>
      </c>
      <c r="AH1316">
        <f t="shared" si="863"/>
        <v>0</v>
      </c>
      <c r="AK1316">
        <f t="shared" si="864"/>
        <v>0</v>
      </c>
      <c r="AL1316">
        <f t="shared" si="865"/>
        <v>0</v>
      </c>
      <c r="AM1316">
        <f t="shared" si="866"/>
        <v>0</v>
      </c>
      <c r="AN1316">
        <f t="shared" si="867"/>
        <v>0</v>
      </c>
      <c r="AO1316">
        <f t="shared" si="868"/>
        <v>0</v>
      </c>
      <c r="AP1316">
        <f t="shared" si="869"/>
        <v>0</v>
      </c>
      <c r="AQ1316">
        <f t="shared" si="870"/>
        <v>0</v>
      </c>
      <c r="AR1316">
        <f t="shared" si="871"/>
        <v>0</v>
      </c>
      <c r="AS1316">
        <f t="shared" si="872"/>
        <v>0</v>
      </c>
      <c r="AT1316">
        <f t="shared" si="873"/>
        <v>0</v>
      </c>
      <c r="AU1316">
        <f t="shared" si="874"/>
        <v>0</v>
      </c>
      <c r="AV1316">
        <f t="shared" si="875"/>
        <v>0</v>
      </c>
      <c r="AW1316">
        <f t="shared" si="876"/>
        <v>0</v>
      </c>
      <c r="AX1316">
        <f t="shared" si="877"/>
        <v>0</v>
      </c>
      <c r="AY1316">
        <f t="shared" si="878"/>
        <v>0</v>
      </c>
    </row>
    <row r="1317" spans="1:51" ht="24" customHeight="1">
      <c r="A1317" s="110"/>
      <c r="B1317" s="57"/>
      <c r="C1317" s="1109"/>
      <c r="D1317" s="954"/>
      <c r="E1317" s="956"/>
      <c r="F1317" s="1110" t="s">
        <v>4866</v>
      </c>
      <c r="G1317" s="1110"/>
      <c r="H1317" s="178"/>
      <c r="I1317" s="1111" t="s">
        <v>4867</v>
      </c>
      <c r="J1317" s="1111"/>
      <c r="K1317" s="1111"/>
      <c r="L1317" s="1111"/>
      <c r="M1317" s="1111"/>
      <c r="N1317" s="1111"/>
      <c r="O1317" s="1112"/>
      <c r="P1317" s="100"/>
      <c r="Q1317" s="100"/>
      <c r="R1317" s="100"/>
      <c r="S1317" s="100"/>
      <c r="T1317" s="100"/>
      <c r="U1317" s="100"/>
      <c r="V1317" s="100"/>
      <c r="W1317" s="100"/>
      <c r="X1317" s="100"/>
      <c r="Y1317" s="100"/>
      <c r="Z1317" s="100"/>
      <c r="AA1317" s="100"/>
      <c r="AB1317" s="100"/>
      <c r="AC1317" s="100"/>
      <c r="AD1317" s="100"/>
      <c r="AF1317"/>
      <c r="AG1317">
        <f t="shared" si="879"/>
        <v>0</v>
      </c>
      <c r="AH1317">
        <f t="shared" si="863"/>
        <v>0</v>
      </c>
      <c r="AK1317">
        <f t="shared" si="864"/>
        <v>0</v>
      </c>
      <c r="AL1317">
        <f t="shared" si="865"/>
        <v>0</v>
      </c>
      <c r="AM1317">
        <f t="shared" si="866"/>
        <v>0</v>
      </c>
      <c r="AN1317">
        <f t="shared" si="867"/>
        <v>0</v>
      </c>
      <c r="AO1317">
        <f t="shared" si="868"/>
        <v>0</v>
      </c>
      <c r="AP1317">
        <f t="shared" si="869"/>
        <v>0</v>
      </c>
      <c r="AQ1317">
        <f t="shared" si="870"/>
        <v>0</v>
      </c>
      <c r="AR1317">
        <f t="shared" si="871"/>
        <v>0</v>
      </c>
      <c r="AS1317">
        <f t="shared" si="872"/>
        <v>0</v>
      </c>
      <c r="AT1317">
        <f t="shared" si="873"/>
        <v>0</v>
      </c>
      <c r="AU1317">
        <f t="shared" si="874"/>
        <v>0</v>
      </c>
      <c r="AV1317">
        <f t="shared" si="875"/>
        <v>0</v>
      </c>
      <c r="AW1317">
        <f t="shared" si="876"/>
        <v>0</v>
      </c>
      <c r="AX1317">
        <f t="shared" si="877"/>
        <v>0</v>
      </c>
      <c r="AY1317">
        <f t="shared" si="878"/>
        <v>0</v>
      </c>
    </row>
    <row r="1318" spans="1:51" ht="15" customHeight="1">
      <c r="A1318" s="110"/>
      <c r="B1318" s="57"/>
      <c r="C1318" s="1109"/>
      <c r="D1318" s="954"/>
      <c r="E1318" s="956"/>
      <c r="F1318" s="1110" t="s">
        <v>4868</v>
      </c>
      <c r="G1318" s="1110"/>
      <c r="H1318" s="178"/>
      <c r="I1318" s="1111" t="s">
        <v>4869</v>
      </c>
      <c r="J1318" s="1111"/>
      <c r="K1318" s="1111"/>
      <c r="L1318" s="1111"/>
      <c r="M1318" s="1111"/>
      <c r="N1318" s="1111"/>
      <c r="O1318" s="1112"/>
      <c r="P1318" s="100"/>
      <c r="Q1318" s="100"/>
      <c r="R1318" s="100"/>
      <c r="S1318" s="100"/>
      <c r="T1318" s="100"/>
      <c r="U1318" s="100"/>
      <c r="V1318" s="100"/>
      <c r="W1318" s="100"/>
      <c r="X1318" s="100"/>
      <c r="Y1318" s="100"/>
      <c r="Z1318" s="100"/>
      <c r="AA1318" s="100"/>
      <c r="AB1318" s="100"/>
      <c r="AC1318" s="100"/>
      <c r="AD1318" s="100"/>
      <c r="AF1318"/>
      <c r="AG1318">
        <f t="shared" si="879"/>
        <v>0</v>
      </c>
      <c r="AH1318">
        <f t="shared" si="863"/>
        <v>0</v>
      </c>
      <c r="AK1318">
        <f t="shared" si="864"/>
        <v>0</v>
      </c>
      <c r="AL1318">
        <f t="shared" si="865"/>
        <v>0</v>
      </c>
      <c r="AM1318">
        <f t="shared" si="866"/>
        <v>0</v>
      </c>
      <c r="AN1318">
        <f t="shared" si="867"/>
        <v>0</v>
      </c>
      <c r="AO1318">
        <f t="shared" si="868"/>
        <v>0</v>
      </c>
      <c r="AP1318">
        <f t="shared" si="869"/>
        <v>0</v>
      </c>
      <c r="AQ1318">
        <f t="shared" si="870"/>
        <v>0</v>
      </c>
      <c r="AR1318">
        <f t="shared" si="871"/>
        <v>0</v>
      </c>
      <c r="AS1318">
        <f t="shared" si="872"/>
        <v>0</v>
      </c>
      <c r="AT1318">
        <f t="shared" si="873"/>
        <v>0</v>
      </c>
      <c r="AU1318">
        <f t="shared" si="874"/>
        <v>0</v>
      </c>
      <c r="AV1318">
        <f t="shared" si="875"/>
        <v>0</v>
      </c>
      <c r="AW1318">
        <f t="shared" si="876"/>
        <v>0</v>
      </c>
      <c r="AX1318">
        <f t="shared" si="877"/>
        <v>0</v>
      </c>
      <c r="AY1318">
        <f t="shared" si="878"/>
        <v>0</v>
      </c>
    </row>
    <row r="1319" spans="1:51" ht="15" customHeight="1">
      <c r="A1319" s="110"/>
      <c r="B1319" s="57"/>
      <c r="C1319" s="1109"/>
      <c r="D1319" s="954"/>
      <c r="E1319" s="956"/>
      <c r="F1319" s="1110" t="s">
        <v>4870</v>
      </c>
      <c r="G1319" s="1110"/>
      <c r="H1319" s="178"/>
      <c r="I1319" s="1111" t="s">
        <v>4871</v>
      </c>
      <c r="J1319" s="1111"/>
      <c r="K1319" s="1111"/>
      <c r="L1319" s="1111"/>
      <c r="M1319" s="1111"/>
      <c r="N1319" s="1111"/>
      <c r="O1319" s="1112"/>
      <c r="P1319" s="100"/>
      <c r="Q1319" s="100"/>
      <c r="R1319" s="100"/>
      <c r="S1319" s="100"/>
      <c r="T1319" s="100"/>
      <c r="U1319" s="100"/>
      <c r="V1319" s="100"/>
      <c r="W1319" s="100"/>
      <c r="X1319" s="100"/>
      <c r="Y1319" s="100"/>
      <c r="Z1319" s="100"/>
      <c r="AA1319" s="100"/>
      <c r="AB1319" s="100"/>
      <c r="AC1319" s="100"/>
      <c r="AD1319" s="100"/>
      <c r="AF1319"/>
      <c r="AG1319">
        <f t="shared" si="879"/>
        <v>0</v>
      </c>
      <c r="AH1319">
        <f t="shared" si="863"/>
        <v>0</v>
      </c>
      <c r="AK1319">
        <f t="shared" si="864"/>
        <v>0</v>
      </c>
      <c r="AL1319">
        <f t="shared" si="865"/>
        <v>0</v>
      </c>
      <c r="AM1319">
        <f t="shared" si="866"/>
        <v>0</v>
      </c>
      <c r="AN1319">
        <f t="shared" si="867"/>
        <v>0</v>
      </c>
      <c r="AO1319">
        <f t="shared" si="868"/>
        <v>0</v>
      </c>
      <c r="AP1319">
        <f t="shared" si="869"/>
        <v>0</v>
      </c>
      <c r="AQ1319">
        <f t="shared" si="870"/>
        <v>0</v>
      </c>
      <c r="AR1319">
        <f t="shared" si="871"/>
        <v>0</v>
      </c>
      <c r="AS1319">
        <f t="shared" si="872"/>
        <v>0</v>
      </c>
      <c r="AT1319">
        <f t="shared" si="873"/>
        <v>0</v>
      </c>
      <c r="AU1319">
        <f t="shared" si="874"/>
        <v>0</v>
      </c>
      <c r="AV1319">
        <f t="shared" si="875"/>
        <v>0</v>
      </c>
      <c r="AW1319">
        <f t="shared" si="876"/>
        <v>0</v>
      </c>
      <c r="AX1319">
        <f t="shared" si="877"/>
        <v>0</v>
      </c>
      <c r="AY1319">
        <f t="shared" si="878"/>
        <v>0</v>
      </c>
    </row>
    <row r="1320" spans="1:51" ht="15" customHeight="1">
      <c r="A1320" s="110"/>
      <c r="B1320" s="57"/>
      <c r="C1320" s="1109"/>
      <c r="D1320" s="954"/>
      <c r="E1320" s="956"/>
      <c r="F1320" s="1110" t="s">
        <v>4872</v>
      </c>
      <c r="G1320" s="1110"/>
      <c r="H1320" s="178"/>
      <c r="I1320" s="1111" t="s">
        <v>4873</v>
      </c>
      <c r="J1320" s="1111"/>
      <c r="K1320" s="1111"/>
      <c r="L1320" s="1111"/>
      <c r="M1320" s="1111"/>
      <c r="N1320" s="1111"/>
      <c r="O1320" s="1112"/>
      <c r="P1320" s="100"/>
      <c r="Q1320" s="100"/>
      <c r="R1320" s="100"/>
      <c r="S1320" s="100"/>
      <c r="T1320" s="100"/>
      <c r="U1320" s="100"/>
      <c r="V1320" s="100"/>
      <c r="W1320" s="100"/>
      <c r="X1320" s="100"/>
      <c r="Y1320" s="100"/>
      <c r="Z1320" s="100"/>
      <c r="AA1320" s="100"/>
      <c r="AB1320" s="100"/>
      <c r="AC1320" s="100"/>
      <c r="AD1320" s="100"/>
      <c r="AF1320"/>
      <c r="AG1320">
        <f t="shared" si="879"/>
        <v>0</v>
      </c>
      <c r="AH1320">
        <f t="shared" si="863"/>
        <v>0</v>
      </c>
      <c r="AK1320">
        <f t="shared" si="864"/>
        <v>0</v>
      </c>
      <c r="AL1320">
        <f t="shared" si="865"/>
        <v>0</v>
      </c>
      <c r="AM1320">
        <f t="shared" si="866"/>
        <v>0</v>
      </c>
      <c r="AN1320">
        <f t="shared" si="867"/>
        <v>0</v>
      </c>
      <c r="AO1320">
        <f t="shared" si="868"/>
        <v>0</v>
      </c>
      <c r="AP1320">
        <f t="shared" si="869"/>
        <v>0</v>
      </c>
      <c r="AQ1320">
        <f t="shared" si="870"/>
        <v>0</v>
      </c>
      <c r="AR1320">
        <f t="shared" si="871"/>
        <v>0</v>
      </c>
      <c r="AS1320">
        <f t="shared" si="872"/>
        <v>0</v>
      </c>
      <c r="AT1320">
        <f t="shared" si="873"/>
        <v>0</v>
      </c>
      <c r="AU1320">
        <f t="shared" si="874"/>
        <v>0</v>
      </c>
      <c r="AV1320">
        <f t="shared" si="875"/>
        <v>0</v>
      </c>
      <c r="AW1320">
        <f t="shared" si="876"/>
        <v>0</v>
      </c>
      <c r="AX1320">
        <f t="shared" si="877"/>
        <v>0</v>
      </c>
      <c r="AY1320">
        <f t="shared" si="878"/>
        <v>0</v>
      </c>
    </row>
    <row r="1321" spans="1:51" ht="15" customHeight="1">
      <c r="A1321" s="110"/>
      <c r="B1321" s="57"/>
      <c r="C1321" s="1109"/>
      <c r="D1321" s="954"/>
      <c r="E1321" s="956"/>
      <c r="F1321" s="1110" t="s">
        <v>4874</v>
      </c>
      <c r="G1321" s="1110"/>
      <c r="H1321" s="178"/>
      <c r="I1321" s="1111" t="s">
        <v>4875</v>
      </c>
      <c r="J1321" s="1111"/>
      <c r="K1321" s="1111"/>
      <c r="L1321" s="1111"/>
      <c r="M1321" s="1111"/>
      <c r="N1321" s="1111"/>
      <c r="O1321" s="1112"/>
      <c r="P1321" s="100"/>
      <c r="Q1321" s="100"/>
      <c r="R1321" s="100"/>
      <c r="S1321" s="100"/>
      <c r="T1321" s="100"/>
      <c r="U1321" s="100"/>
      <c r="V1321" s="100"/>
      <c r="W1321" s="100"/>
      <c r="X1321" s="100"/>
      <c r="Y1321" s="100"/>
      <c r="Z1321" s="100"/>
      <c r="AA1321" s="100"/>
      <c r="AB1321" s="100"/>
      <c r="AC1321" s="100"/>
      <c r="AD1321" s="100"/>
      <c r="AF1321"/>
      <c r="AG1321">
        <f t="shared" si="879"/>
        <v>0</v>
      </c>
      <c r="AH1321">
        <f t="shared" si="863"/>
        <v>0</v>
      </c>
      <c r="AK1321">
        <f t="shared" si="864"/>
        <v>0</v>
      </c>
      <c r="AL1321">
        <f t="shared" si="865"/>
        <v>0</v>
      </c>
      <c r="AM1321">
        <f t="shared" si="866"/>
        <v>0</v>
      </c>
      <c r="AN1321">
        <f t="shared" si="867"/>
        <v>0</v>
      </c>
      <c r="AO1321">
        <f t="shared" si="868"/>
        <v>0</v>
      </c>
      <c r="AP1321">
        <f t="shared" si="869"/>
        <v>0</v>
      </c>
      <c r="AQ1321">
        <f t="shared" si="870"/>
        <v>0</v>
      </c>
      <c r="AR1321">
        <f t="shared" si="871"/>
        <v>0</v>
      </c>
      <c r="AS1321">
        <f t="shared" si="872"/>
        <v>0</v>
      </c>
      <c r="AT1321">
        <f t="shared" si="873"/>
        <v>0</v>
      </c>
      <c r="AU1321">
        <f t="shared" si="874"/>
        <v>0</v>
      </c>
      <c r="AV1321">
        <f t="shared" si="875"/>
        <v>0</v>
      </c>
      <c r="AW1321">
        <f t="shared" si="876"/>
        <v>0</v>
      </c>
      <c r="AX1321">
        <f t="shared" si="877"/>
        <v>0</v>
      </c>
      <c r="AY1321">
        <f t="shared" si="878"/>
        <v>0</v>
      </c>
    </row>
    <row r="1322" spans="1:51" ht="15" customHeight="1">
      <c r="A1322" s="110"/>
      <c r="B1322" s="57"/>
      <c r="C1322" s="1109"/>
      <c r="D1322" s="954"/>
      <c r="E1322" s="956"/>
      <c r="F1322" s="1110" t="s">
        <v>4876</v>
      </c>
      <c r="G1322" s="1110"/>
      <c r="H1322" s="178"/>
      <c r="I1322" s="1111" t="s">
        <v>4877</v>
      </c>
      <c r="J1322" s="1111"/>
      <c r="K1322" s="1111"/>
      <c r="L1322" s="1111"/>
      <c r="M1322" s="1111"/>
      <c r="N1322" s="1111"/>
      <c r="O1322" s="1112"/>
      <c r="P1322" s="100"/>
      <c r="Q1322" s="100"/>
      <c r="R1322" s="100"/>
      <c r="S1322" s="100"/>
      <c r="T1322" s="100"/>
      <c r="U1322" s="100"/>
      <c r="V1322" s="100"/>
      <c r="W1322" s="100"/>
      <c r="X1322" s="100"/>
      <c r="Y1322" s="100"/>
      <c r="Z1322" s="100"/>
      <c r="AA1322" s="100"/>
      <c r="AB1322" s="100"/>
      <c r="AC1322" s="100"/>
      <c r="AD1322" s="100"/>
      <c r="AF1322"/>
      <c r="AG1322">
        <f t="shared" si="879"/>
        <v>0</v>
      </c>
      <c r="AH1322">
        <f t="shared" si="863"/>
        <v>0</v>
      </c>
      <c r="AK1322">
        <f t="shared" si="864"/>
        <v>0</v>
      </c>
      <c r="AL1322">
        <f t="shared" si="865"/>
        <v>0</v>
      </c>
      <c r="AM1322">
        <f t="shared" si="866"/>
        <v>0</v>
      </c>
      <c r="AN1322">
        <f t="shared" si="867"/>
        <v>0</v>
      </c>
      <c r="AO1322">
        <f t="shared" si="868"/>
        <v>0</v>
      </c>
      <c r="AP1322">
        <f t="shared" si="869"/>
        <v>0</v>
      </c>
      <c r="AQ1322">
        <f t="shared" si="870"/>
        <v>0</v>
      </c>
      <c r="AR1322">
        <f t="shared" si="871"/>
        <v>0</v>
      </c>
      <c r="AS1322">
        <f t="shared" si="872"/>
        <v>0</v>
      </c>
      <c r="AT1322">
        <f t="shared" si="873"/>
        <v>0</v>
      </c>
      <c r="AU1322">
        <f t="shared" si="874"/>
        <v>0</v>
      </c>
      <c r="AV1322">
        <f t="shared" si="875"/>
        <v>0</v>
      </c>
      <c r="AW1322">
        <f t="shared" si="876"/>
        <v>0</v>
      </c>
      <c r="AX1322">
        <f t="shared" si="877"/>
        <v>0</v>
      </c>
      <c r="AY1322">
        <f t="shared" si="878"/>
        <v>0</v>
      </c>
    </row>
    <row r="1323" spans="1:51" ht="15" customHeight="1">
      <c r="A1323" s="110"/>
      <c r="B1323" s="57"/>
      <c r="C1323" s="1109"/>
      <c r="D1323" s="954"/>
      <c r="E1323" s="956"/>
      <c r="F1323" s="1110" t="s">
        <v>4878</v>
      </c>
      <c r="G1323" s="1110"/>
      <c r="H1323" s="178"/>
      <c r="I1323" s="1111" t="s">
        <v>4879</v>
      </c>
      <c r="J1323" s="1111"/>
      <c r="K1323" s="1111"/>
      <c r="L1323" s="1111"/>
      <c r="M1323" s="1111"/>
      <c r="N1323" s="1111"/>
      <c r="O1323" s="1112"/>
      <c r="P1323" s="100"/>
      <c r="Q1323" s="100"/>
      <c r="R1323" s="100"/>
      <c r="S1323" s="100"/>
      <c r="T1323" s="100"/>
      <c r="U1323" s="100"/>
      <c r="V1323" s="100"/>
      <c r="W1323" s="100"/>
      <c r="X1323" s="100"/>
      <c r="Y1323" s="100"/>
      <c r="Z1323" s="100"/>
      <c r="AA1323" s="100"/>
      <c r="AB1323" s="100"/>
      <c r="AC1323" s="100"/>
      <c r="AD1323" s="100"/>
      <c r="AF1323"/>
      <c r="AG1323">
        <f t="shared" si="879"/>
        <v>0</v>
      </c>
      <c r="AH1323">
        <f t="shared" si="863"/>
        <v>0</v>
      </c>
      <c r="AK1323">
        <f t="shared" si="864"/>
        <v>0</v>
      </c>
      <c r="AL1323">
        <f t="shared" si="865"/>
        <v>0</v>
      </c>
      <c r="AM1323">
        <f t="shared" si="866"/>
        <v>0</v>
      </c>
      <c r="AN1323">
        <f t="shared" si="867"/>
        <v>0</v>
      </c>
      <c r="AO1323">
        <f t="shared" si="868"/>
        <v>0</v>
      </c>
      <c r="AP1323">
        <f t="shared" si="869"/>
        <v>0</v>
      </c>
      <c r="AQ1323">
        <f t="shared" si="870"/>
        <v>0</v>
      </c>
      <c r="AR1323">
        <f t="shared" si="871"/>
        <v>0</v>
      </c>
      <c r="AS1323">
        <f t="shared" si="872"/>
        <v>0</v>
      </c>
      <c r="AT1323">
        <f t="shared" si="873"/>
        <v>0</v>
      </c>
      <c r="AU1323">
        <f t="shared" si="874"/>
        <v>0</v>
      </c>
      <c r="AV1323">
        <f t="shared" si="875"/>
        <v>0</v>
      </c>
      <c r="AW1323">
        <f t="shared" si="876"/>
        <v>0</v>
      </c>
      <c r="AX1323">
        <f t="shared" si="877"/>
        <v>0</v>
      </c>
      <c r="AY1323">
        <f t="shared" si="878"/>
        <v>0</v>
      </c>
    </row>
    <row r="1324" spans="1:51" ht="15" customHeight="1">
      <c r="A1324" s="110"/>
      <c r="B1324" s="57"/>
      <c r="C1324" s="1109"/>
      <c r="D1324" s="954"/>
      <c r="E1324" s="956"/>
      <c r="F1324" s="1110" t="s">
        <v>4880</v>
      </c>
      <c r="G1324" s="1110"/>
      <c r="H1324" s="178"/>
      <c r="I1324" s="1111" t="s">
        <v>4881</v>
      </c>
      <c r="J1324" s="1111"/>
      <c r="K1324" s="1111"/>
      <c r="L1324" s="1111"/>
      <c r="M1324" s="1111"/>
      <c r="N1324" s="1111"/>
      <c r="O1324" s="1112"/>
      <c r="P1324" s="100"/>
      <c r="Q1324" s="100"/>
      <c r="R1324" s="100"/>
      <c r="S1324" s="100"/>
      <c r="T1324" s="100"/>
      <c r="U1324" s="100"/>
      <c r="V1324" s="100"/>
      <c r="W1324" s="100"/>
      <c r="X1324" s="100"/>
      <c r="Y1324" s="100"/>
      <c r="Z1324" s="100"/>
      <c r="AA1324" s="100"/>
      <c r="AB1324" s="100"/>
      <c r="AC1324" s="100"/>
      <c r="AD1324" s="100"/>
      <c r="AF1324"/>
      <c r="AG1324">
        <f t="shared" si="879"/>
        <v>0</v>
      </c>
      <c r="AH1324">
        <f t="shared" si="863"/>
        <v>0</v>
      </c>
      <c r="AK1324">
        <f t="shared" si="864"/>
        <v>0</v>
      </c>
      <c r="AL1324">
        <f t="shared" si="865"/>
        <v>0</v>
      </c>
      <c r="AM1324">
        <f t="shared" si="866"/>
        <v>0</v>
      </c>
      <c r="AN1324">
        <f t="shared" si="867"/>
        <v>0</v>
      </c>
      <c r="AO1324">
        <f t="shared" si="868"/>
        <v>0</v>
      </c>
      <c r="AP1324">
        <f t="shared" si="869"/>
        <v>0</v>
      </c>
      <c r="AQ1324">
        <f t="shared" si="870"/>
        <v>0</v>
      </c>
      <c r="AR1324">
        <f t="shared" si="871"/>
        <v>0</v>
      </c>
      <c r="AS1324">
        <f t="shared" si="872"/>
        <v>0</v>
      </c>
      <c r="AT1324">
        <f t="shared" si="873"/>
        <v>0</v>
      </c>
      <c r="AU1324">
        <f t="shared" si="874"/>
        <v>0</v>
      </c>
      <c r="AV1324">
        <f t="shared" si="875"/>
        <v>0</v>
      </c>
      <c r="AW1324">
        <f t="shared" si="876"/>
        <v>0</v>
      </c>
      <c r="AX1324">
        <f t="shared" si="877"/>
        <v>0</v>
      </c>
      <c r="AY1324">
        <f t="shared" si="878"/>
        <v>0</v>
      </c>
    </row>
    <row r="1325" spans="1:51" ht="15" customHeight="1">
      <c r="A1325" s="110"/>
      <c r="B1325" s="57"/>
      <c r="C1325" s="1109"/>
      <c r="D1325" s="954"/>
      <c r="E1325" s="956"/>
      <c r="F1325" s="1110" t="s">
        <v>4882</v>
      </c>
      <c r="G1325" s="1110"/>
      <c r="H1325" s="178"/>
      <c r="I1325" s="1111" t="s">
        <v>4883</v>
      </c>
      <c r="J1325" s="1111"/>
      <c r="K1325" s="1111"/>
      <c r="L1325" s="1111"/>
      <c r="M1325" s="1111"/>
      <c r="N1325" s="1111"/>
      <c r="O1325" s="1112"/>
      <c r="P1325" s="100"/>
      <c r="Q1325" s="100"/>
      <c r="R1325" s="100"/>
      <c r="S1325" s="100"/>
      <c r="T1325" s="100"/>
      <c r="U1325" s="100"/>
      <c r="V1325" s="100"/>
      <c r="W1325" s="100"/>
      <c r="X1325" s="100"/>
      <c r="Y1325" s="100"/>
      <c r="Z1325" s="100"/>
      <c r="AA1325" s="100"/>
      <c r="AB1325" s="100"/>
      <c r="AC1325" s="100"/>
      <c r="AD1325" s="100"/>
      <c r="AF1325"/>
      <c r="AG1325">
        <f t="shared" si="879"/>
        <v>0</v>
      </c>
      <c r="AH1325">
        <f t="shared" si="863"/>
        <v>0</v>
      </c>
      <c r="AK1325">
        <f t="shared" si="864"/>
        <v>0</v>
      </c>
      <c r="AL1325">
        <f t="shared" si="865"/>
        <v>0</v>
      </c>
      <c r="AM1325">
        <f t="shared" si="866"/>
        <v>0</v>
      </c>
      <c r="AN1325">
        <f t="shared" si="867"/>
        <v>0</v>
      </c>
      <c r="AO1325">
        <f t="shared" si="868"/>
        <v>0</v>
      </c>
      <c r="AP1325">
        <f t="shared" si="869"/>
        <v>0</v>
      </c>
      <c r="AQ1325">
        <f t="shared" si="870"/>
        <v>0</v>
      </c>
      <c r="AR1325">
        <f t="shared" si="871"/>
        <v>0</v>
      </c>
      <c r="AS1325">
        <f t="shared" si="872"/>
        <v>0</v>
      </c>
      <c r="AT1325">
        <f t="shared" si="873"/>
        <v>0</v>
      </c>
      <c r="AU1325">
        <f t="shared" si="874"/>
        <v>0</v>
      </c>
      <c r="AV1325">
        <f t="shared" si="875"/>
        <v>0</v>
      </c>
      <c r="AW1325">
        <f t="shared" si="876"/>
        <v>0</v>
      </c>
      <c r="AX1325">
        <f t="shared" si="877"/>
        <v>0</v>
      </c>
      <c r="AY1325">
        <f t="shared" si="878"/>
        <v>0</v>
      </c>
    </row>
    <row r="1326" spans="1:51" ht="15" customHeight="1">
      <c r="A1326" s="110"/>
      <c r="B1326" s="57"/>
      <c r="C1326" s="1109"/>
      <c r="D1326" s="954"/>
      <c r="E1326" s="956"/>
      <c r="F1326" s="1110" t="s">
        <v>4884</v>
      </c>
      <c r="G1326" s="1110"/>
      <c r="H1326" s="178"/>
      <c r="I1326" s="1111" t="s">
        <v>4885</v>
      </c>
      <c r="J1326" s="1111"/>
      <c r="K1326" s="1111"/>
      <c r="L1326" s="1111"/>
      <c r="M1326" s="1111"/>
      <c r="N1326" s="1111"/>
      <c r="O1326" s="1112"/>
      <c r="P1326" s="100"/>
      <c r="Q1326" s="100"/>
      <c r="R1326" s="100"/>
      <c r="S1326" s="100"/>
      <c r="T1326" s="100"/>
      <c r="U1326" s="100"/>
      <c r="V1326" s="100"/>
      <c r="W1326" s="100"/>
      <c r="X1326" s="100"/>
      <c r="Y1326" s="100"/>
      <c r="Z1326" s="100"/>
      <c r="AA1326" s="100"/>
      <c r="AB1326" s="100"/>
      <c r="AC1326" s="100"/>
      <c r="AD1326" s="100"/>
      <c r="AF1326"/>
      <c r="AG1326">
        <f t="shared" si="879"/>
        <v>0</v>
      </c>
      <c r="AH1326">
        <f t="shared" si="863"/>
        <v>0</v>
      </c>
      <c r="AK1326">
        <f t="shared" si="864"/>
        <v>0</v>
      </c>
      <c r="AL1326">
        <f t="shared" si="865"/>
        <v>0</v>
      </c>
      <c r="AM1326">
        <f t="shared" si="866"/>
        <v>0</v>
      </c>
      <c r="AN1326">
        <f t="shared" si="867"/>
        <v>0</v>
      </c>
      <c r="AO1326">
        <f t="shared" si="868"/>
        <v>0</v>
      </c>
      <c r="AP1326">
        <f t="shared" si="869"/>
        <v>0</v>
      </c>
      <c r="AQ1326">
        <f t="shared" si="870"/>
        <v>0</v>
      </c>
      <c r="AR1326">
        <f t="shared" si="871"/>
        <v>0</v>
      </c>
      <c r="AS1326">
        <f t="shared" si="872"/>
        <v>0</v>
      </c>
      <c r="AT1326">
        <f t="shared" si="873"/>
        <v>0</v>
      </c>
      <c r="AU1326">
        <f t="shared" si="874"/>
        <v>0</v>
      </c>
      <c r="AV1326">
        <f t="shared" si="875"/>
        <v>0</v>
      </c>
      <c r="AW1326">
        <f t="shared" si="876"/>
        <v>0</v>
      </c>
      <c r="AX1326">
        <f t="shared" si="877"/>
        <v>0</v>
      </c>
      <c r="AY1326">
        <f t="shared" si="878"/>
        <v>0</v>
      </c>
    </row>
    <row r="1327" spans="1:51" ht="15" customHeight="1">
      <c r="A1327" s="110"/>
      <c r="B1327" s="57"/>
      <c r="C1327" s="1109"/>
      <c r="D1327" s="954"/>
      <c r="E1327" s="956"/>
      <c r="F1327" s="1110" t="s">
        <v>4886</v>
      </c>
      <c r="G1327" s="1110"/>
      <c r="H1327" s="178"/>
      <c r="I1327" s="1111" t="s">
        <v>4887</v>
      </c>
      <c r="J1327" s="1111"/>
      <c r="K1327" s="1111"/>
      <c r="L1327" s="1111"/>
      <c r="M1327" s="1111"/>
      <c r="N1327" s="1111"/>
      <c r="O1327" s="1112"/>
      <c r="P1327" s="100"/>
      <c r="Q1327" s="100"/>
      <c r="R1327" s="100"/>
      <c r="S1327" s="100"/>
      <c r="T1327" s="100"/>
      <c r="U1327" s="100"/>
      <c r="V1327" s="100"/>
      <c r="W1327" s="100"/>
      <c r="X1327" s="100"/>
      <c r="Y1327" s="100"/>
      <c r="Z1327" s="100"/>
      <c r="AA1327" s="100"/>
      <c r="AB1327" s="100"/>
      <c r="AC1327" s="100"/>
      <c r="AD1327" s="100"/>
      <c r="AF1327"/>
      <c r="AG1327">
        <f t="shared" si="879"/>
        <v>0</v>
      </c>
      <c r="AH1327">
        <f t="shared" si="863"/>
        <v>0</v>
      </c>
      <c r="AK1327">
        <f t="shared" si="864"/>
        <v>0</v>
      </c>
      <c r="AL1327">
        <f t="shared" si="865"/>
        <v>0</v>
      </c>
      <c r="AM1327">
        <f t="shared" si="866"/>
        <v>0</v>
      </c>
      <c r="AN1327">
        <f t="shared" si="867"/>
        <v>0</v>
      </c>
      <c r="AO1327">
        <f t="shared" si="868"/>
        <v>0</v>
      </c>
      <c r="AP1327">
        <f t="shared" si="869"/>
        <v>0</v>
      </c>
      <c r="AQ1327">
        <f t="shared" si="870"/>
        <v>0</v>
      </c>
      <c r="AR1327">
        <f t="shared" si="871"/>
        <v>0</v>
      </c>
      <c r="AS1327">
        <f t="shared" si="872"/>
        <v>0</v>
      </c>
      <c r="AT1327">
        <f t="shared" si="873"/>
        <v>0</v>
      </c>
      <c r="AU1327">
        <f t="shared" si="874"/>
        <v>0</v>
      </c>
      <c r="AV1327">
        <f t="shared" si="875"/>
        <v>0</v>
      </c>
      <c r="AW1327">
        <f t="shared" si="876"/>
        <v>0</v>
      </c>
      <c r="AX1327">
        <f t="shared" si="877"/>
        <v>0</v>
      </c>
      <c r="AY1327">
        <f t="shared" si="878"/>
        <v>0</v>
      </c>
    </row>
    <row r="1328" spans="1:51" ht="15" customHeight="1">
      <c r="A1328" s="110"/>
      <c r="B1328" s="57"/>
      <c r="C1328" s="1109"/>
      <c r="D1328" s="954"/>
      <c r="E1328" s="956"/>
      <c r="F1328" s="1110" t="s">
        <v>4888</v>
      </c>
      <c r="G1328" s="1110"/>
      <c r="H1328" s="178"/>
      <c r="I1328" s="1111" t="s">
        <v>4889</v>
      </c>
      <c r="J1328" s="1111"/>
      <c r="K1328" s="1111"/>
      <c r="L1328" s="1111"/>
      <c r="M1328" s="1111"/>
      <c r="N1328" s="1111"/>
      <c r="O1328" s="1112"/>
      <c r="P1328" s="100"/>
      <c r="Q1328" s="100"/>
      <c r="R1328" s="100"/>
      <c r="S1328" s="100"/>
      <c r="T1328" s="100"/>
      <c r="U1328" s="100"/>
      <c r="V1328" s="100"/>
      <c r="W1328" s="100"/>
      <c r="X1328" s="100"/>
      <c r="Y1328" s="100"/>
      <c r="Z1328" s="100"/>
      <c r="AA1328" s="100"/>
      <c r="AB1328" s="100"/>
      <c r="AC1328" s="100"/>
      <c r="AD1328" s="100"/>
      <c r="AF1328"/>
      <c r="AG1328">
        <f t="shared" si="879"/>
        <v>0</v>
      </c>
      <c r="AH1328">
        <f t="shared" si="863"/>
        <v>0</v>
      </c>
      <c r="AK1328">
        <f t="shared" si="864"/>
        <v>0</v>
      </c>
      <c r="AL1328">
        <f t="shared" si="865"/>
        <v>0</v>
      </c>
      <c r="AM1328">
        <f t="shared" si="866"/>
        <v>0</v>
      </c>
      <c r="AN1328">
        <f t="shared" si="867"/>
        <v>0</v>
      </c>
      <c r="AO1328">
        <f t="shared" si="868"/>
        <v>0</v>
      </c>
      <c r="AP1328">
        <f t="shared" si="869"/>
        <v>0</v>
      </c>
      <c r="AQ1328">
        <f t="shared" si="870"/>
        <v>0</v>
      </c>
      <c r="AR1328">
        <f t="shared" si="871"/>
        <v>0</v>
      </c>
      <c r="AS1328">
        <f t="shared" si="872"/>
        <v>0</v>
      </c>
      <c r="AT1328">
        <f t="shared" si="873"/>
        <v>0</v>
      </c>
      <c r="AU1328">
        <f t="shared" si="874"/>
        <v>0</v>
      </c>
      <c r="AV1328">
        <f t="shared" si="875"/>
        <v>0</v>
      </c>
      <c r="AW1328">
        <f t="shared" si="876"/>
        <v>0</v>
      </c>
      <c r="AX1328">
        <f t="shared" si="877"/>
        <v>0</v>
      </c>
      <c r="AY1328">
        <f t="shared" si="878"/>
        <v>0</v>
      </c>
    </row>
    <row r="1329" spans="1:51" ht="15" customHeight="1">
      <c r="A1329" s="110"/>
      <c r="B1329" s="57"/>
      <c r="C1329" s="1109"/>
      <c r="D1329" s="954"/>
      <c r="E1329" s="956"/>
      <c r="F1329" s="1110" t="s">
        <v>4890</v>
      </c>
      <c r="G1329" s="1110"/>
      <c r="H1329" s="178"/>
      <c r="I1329" s="1111" t="s">
        <v>201</v>
      </c>
      <c r="J1329" s="1111"/>
      <c r="K1329" s="1111"/>
      <c r="L1329" s="1111"/>
      <c r="M1329" s="1111"/>
      <c r="N1329" s="1111"/>
      <c r="O1329" s="1112"/>
      <c r="P1329" s="100"/>
      <c r="Q1329" s="100"/>
      <c r="R1329" s="100"/>
      <c r="S1329" s="100"/>
      <c r="T1329" s="100"/>
      <c r="U1329" s="100"/>
      <c r="V1329" s="100"/>
      <c r="W1329" s="100"/>
      <c r="X1329" s="100"/>
      <c r="Y1329" s="100"/>
      <c r="Z1329" s="100"/>
      <c r="AA1329" s="100"/>
      <c r="AB1329" s="100"/>
      <c r="AC1329" s="100"/>
      <c r="AD1329" s="100"/>
      <c r="AF1329"/>
      <c r="AG1329">
        <f t="shared" si="879"/>
        <v>0</v>
      </c>
      <c r="AH1329">
        <f t="shared" si="863"/>
        <v>0</v>
      </c>
      <c r="AK1329">
        <f t="shared" si="864"/>
        <v>0</v>
      </c>
      <c r="AL1329">
        <f t="shared" si="865"/>
        <v>0</v>
      </c>
      <c r="AM1329">
        <f t="shared" si="866"/>
        <v>0</v>
      </c>
      <c r="AN1329">
        <f t="shared" si="867"/>
        <v>0</v>
      </c>
      <c r="AO1329">
        <f t="shared" si="868"/>
        <v>0</v>
      </c>
      <c r="AP1329">
        <f t="shared" si="869"/>
        <v>0</v>
      </c>
      <c r="AQ1329">
        <f t="shared" si="870"/>
        <v>0</v>
      </c>
      <c r="AR1329">
        <f t="shared" si="871"/>
        <v>0</v>
      </c>
      <c r="AS1329">
        <f t="shared" si="872"/>
        <v>0</v>
      </c>
      <c r="AT1329">
        <f t="shared" si="873"/>
        <v>0</v>
      </c>
      <c r="AU1329">
        <f t="shared" si="874"/>
        <v>0</v>
      </c>
      <c r="AV1329">
        <f t="shared" si="875"/>
        <v>0</v>
      </c>
      <c r="AW1329">
        <f t="shared" si="876"/>
        <v>0</v>
      </c>
      <c r="AX1329">
        <f t="shared" si="877"/>
        <v>0</v>
      </c>
      <c r="AY1329">
        <f t="shared" si="878"/>
        <v>0</v>
      </c>
    </row>
    <row r="1330" spans="1:51" ht="24" customHeight="1">
      <c r="A1330" s="110"/>
      <c r="B1330" s="57"/>
      <c r="C1330" s="1109"/>
      <c r="D1330" s="954"/>
      <c r="E1330" s="956"/>
      <c r="F1330" s="1103" t="s">
        <v>4891</v>
      </c>
      <c r="G1330" s="1103"/>
      <c r="H1330" s="1104" t="s">
        <v>4892</v>
      </c>
      <c r="I1330" s="1105"/>
      <c r="J1330" s="1105"/>
      <c r="K1330" s="1105"/>
      <c r="L1330" s="1105"/>
      <c r="M1330" s="1105"/>
      <c r="N1330" s="1105"/>
      <c r="O1330" s="1106"/>
      <c r="P1330" s="100"/>
      <c r="Q1330" s="100"/>
      <c r="R1330" s="100"/>
      <c r="S1330" s="100"/>
      <c r="T1330" s="100"/>
      <c r="U1330" s="100"/>
      <c r="V1330" s="100"/>
      <c r="W1330" s="100"/>
      <c r="X1330" s="100"/>
      <c r="Y1330" s="100"/>
      <c r="Z1330" s="100"/>
      <c r="AA1330" s="100"/>
      <c r="AB1330" s="100"/>
      <c r="AC1330" s="100"/>
      <c r="AD1330" s="100"/>
      <c r="AF1330">
        <f>IF(P1330="NA",IF(AND(COUNTIF(P1331:P1335,"="&amp;$AF$934)=0,COUNTIF(P1331:P1335,"&lt;&gt;NA")&gt;0),1,0),IF(AND(COUNTIF(P1331:P1335,"="&amp;$AF$934)=0,COUNTIF(P1331:P1335,"NA")=COUNTIF(P1331:P1335,"&lt;&gt;"&amp;$AF$934)),1,0))</f>
        <v>0</v>
      </c>
      <c r="AG1330">
        <f t="shared" si="879"/>
        <v>0</v>
      </c>
      <c r="AH1330">
        <f t="shared" si="863"/>
        <v>0</v>
      </c>
      <c r="AK1330">
        <f t="shared" si="864"/>
        <v>0</v>
      </c>
      <c r="AL1330">
        <f t="shared" si="865"/>
        <v>0</v>
      </c>
      <c r="AM1330">
        <f t="shared" si="866"/>
        <v>0</v>
      </c>
      <c r="AN1330">
        <f t="shared" si="867"/>
        <v>0</v>
      </c>
      <c r="AO1330">
        <f t="shared" si="868"/>
        <v>0</v>
      </c>
      <c r="AP1330">
        <f t="shared" si="869"/>
        <v>0</v>
      </c>
      <c r="AQ1330">
        <f t="shared" si="870"/>
        <v>0</v>
      </c>
      <c r="AR1330">
        <f t="shared" si="871"/>
        <v>0</v>
      </c>
      <c r="AS1330">
        <f t="shared" si="872"/>
        <v>0</v>
      </c>
      <c r="AT1330">
        <f t="shared" si="873"/>
        <v>0</v>
      </c>
      <c r="AU1330">
        <f t="shared" si="874"/>
        <v>0</v>
      </c>
      <c r="AV1330">
        <f t="shared" si="875"/>
        <v>0</v>
      </c>
      <c r="AW1330">
        <f t="shared" si="876"/>
        <v>0</v>
      </c>
      <c r="AX1330">
        <f t="shared" si="877"/>
        <v>0</v>
      </c>
      <c r="AY1330">
        <f t="shared" si="878"/>
        <v>0</v>
      </c>
    </row>
    <row r="1331" spans="1:51" ht="24" customHeight="1">
      <c r="A1331" s="110"/>
      <c r="B1331" s="57"/>
      <c r="C1331" s="1109"/>
      <c r="D1331" s="954"/>
      <c r="E1331" s="956"/>
      <c r="F1331" s="1110" t="s">
        <v>4893</v>
      </c>
      <c r="G1331" s="1110"/>
      <c r="H1331" s="178"/>
      <c r="I1331" s="1111" t="s">
        <v>4894</v>
      </c>
      <c r="J1331" s="1111"/>
      <c r="K1331" s="1111"/>
      <c r="L1331" s="1111"/>
      <c r="M1331" s="1111"/>
      <c r="N1331" s="1111"/>
      <c r="O1331" s="1112"/>
      <c r="P1331" s="100"/>
      <c r="Q1331" s="100"/>
      <c r="R1331" s="100"/>
      <c r="S1331" s="100"/>
      <c r="T1331" s="100"/>
      <c r="U1331" s="100"/>
      <c r="V1331" s="100"/>
      <c r="W1331" s="100"/>
      <c r="X1331" s="100"/>
      <c r="Y1331" s="100"/>
      <c r="Z1331" s="100"/>
      <c r="AA1331" s="100"/>
      <c r="AB1331" s="100"/>
      <c r="AC1331" s="100"/>
      <c r="AD1331" s="100"/>
      <c r="AF1331"/>
      <c r="AG1331">
        <f t="shared" si="879"/>
        <v>0</v>
      </c>
      <c r="AH1331">
        <f t="shared" si="863"/>
        <v>0</v>
      </c>
      <c r="AK1331">
        <f t="shared" si="864"/>
        <v>0</v>
      </c>
      <c r="AL1331">
        <f t="shared" si="865"/>
        <v>0</v>
      </c>
      <c r="AM1331">
        <f t="shared" si="866"/>
        <v>0</v>
      </c>
      <c r="AN1331">
        <f t="shared" si="867"/>
        <v>0</v>
      </c>
      <c r="AO1331">
        <f t="shared" si="868"/>
        <v>0</v>
      </c>
      <c r="AP1331">
        <f t="shared" si="869"/>
        <v>0</v>
      </c>
      <c r="AQ1331">
        <f t="shared" si="870"/>
        <v>0</v>
      </c>
      <c r="AR1331">
        <f t="shared" si="871"/>
        <v>0</v>
      </c>
      <c r="AS1331">
        <f t="shared" si="872"/>
        <v>0</v>
      </c>
      <c r="AT1331">
        <f t="shared" si="873"/>
        <v>0</v>
      </c>
      <c r="AU1331">
        <f t="shared" si="874"/>
        <v>0</v>
      </c>
      <c r="AV1331">
        <f t="shared" si="875"/>
        <v>0</v>
      </c>
      <c r="AW1331">
        <f t="shared" si="876"/>
        <v>0</v>
      </c>
      <c r="AX1331">
        <f t="shared" si="877"/>
        <v>0</v>
      </c>
      <c r="AY1331">
        <f t="shared" si="878"/>
        <v>0</v>
      </c>
    </row>
    <row r="1332" spans="1:51" ht="24" customHeight="1">
      <c r="A1332" s="110"/>
      <c r="B1332" s="57"/>
      <c r="C1332" s="1109"/>
      <c r="D1332" s="954"/>
      <c r="E1332" s="956"/>
      <c r="F1332" s="1110" t="s">
        <v>4895</v>
      </c>
      <c r="G1332" s="1110"/>
      <c r="H1332" s="178"/>
      <c r="I1332" s="1111" t="s">
        <v>4896</v>
      </c>
      <c r="J1332" s="1111"/>
      <c r="K1332" s="1111"/>
      <c r="L1332" s="1111"/>
      <c r="M1332" s="1111"/>
      <c r="N1332" s="1111"/>
      <c r="O1332" s="1112"/>
      <c r="P1332" s="100"/>
      <c r="Q1332" s="100"/>
      <c r="R1332" s="100"/>
      <c r="S1332" s="100"/>
      <c r="T1332" s="100"/>
      <c r="U1332" s="100"/>
      <c r="V1332" s="100"/>
      <c r="W1332" s="100"/>
      <c r="X1332" s="100"/>
      <c r="Y1332" s="100"/>
      <c r="Z1332" s="100"/>
      <c r="AA1332" s="100"/>
      <c r="AB1332" s="100"/>
      <c r="AC1332" s="100"/>
      <c r="AD1332" s="100"/>
      <c r="AF1332"/>
      <c r="AG1332">
        <f t="shared" si="879"/>
        <v>0</v>
      </c>
      <c r="AH1332">
        <f t="shared" si="863"/>
        <v>0</v>
      </c>
      <c r="AK1332">
        <f t="shared" si="864"/>
        <v>0</v>
      </c>
      <c r="AL1332">
        <f t="shared" si="865"/>
        <v>0</v>
      </c>
      <c r="AM1332">
        <f t="shared" si="866"/>
        <v>0</v>
      </c>
      <c r="AN1332">
        <f t="shared" si="867"/>
        <v>0</v>
      </c>
      <c r="AO1332">
        <f t="shared" si="868"/>
        <v>0</v>
      </c>
      <c r="AP1332">
        <f t="shared" si="869"/>
        <v>0</v>
      </c>
      <c r="AQ1332">
        <f t="shared" si="870"/>
        <v>0</v>
      </c>
      <c r="AR1332">
        <f t="shared" si="871"/>
        <v>0</v>
      </c>
      <c r="AS1332">
        <f t="shared" si="872"/>
        <v>0</v>
      </c>
      <c r="AT1332">
        <f t="shared" si="873"/>
        <v>0</v>
      </c>
      <c r="AU1332">
        <f t="shared" si="874"/>
        <v>0</v>
      </c>
      <c r="AV1332">
        <f t="shared" si="875"/>
        <v>0</v>
      </c>
      <c r="AW1332">
        <f t="shared" si="876"/>
        <v>0</v>
      </c>
      <c r="AX1332">
        <f t="shared" si="877"/>
        <v>0</v>
      </c>
      <c r="AY1332">
        <f t="shared" si="878"/>
        <v>0</v>
      </c>
    </row>
    <row r="1333" spans="1:51" ht="24" customHeight="1">
      <c r="A1333" s="110"/>
      <c r="B1333" s="57"/>
      <c r="C1333" s="1109"/>
      <c r="D1333" s="954"/>
      <c r="E1333" s="956"/>
      <c r="F1333" s="1110" t="s">
        <v>4897</v>
      </c>
      <c r="G1333" s="1110"/>
      <c r="H1333" s="178"/>
      <c r="I1333" s="1111" t="s">
        <v>4898</v>
      </c>
      <c r="J1333" s="1111"/>
      <c r="K1333" s="1111"/>
      <c r="L1333" s="1111"/>
      <c r="M1333" s="1111"/>
      <c r="N1333" s="1111"/>
      <c r="O1333" s="1112"/>
      <c r="P1333" s="100"/>
      <c r="Q1333" s="100"/>
      <c r="R1333" s="100"/>
      <c r="S1333" s="100"/>
      <c r="T1333" s="100"/>
      <c r="U1333" s="100"/>
      <c r="V1333" s="100"/>
      <c r="W1333" s="100"/>
      <c r="X1333" s="100"/>
      <c r="Y1333" s="100"/>
      <c r="Z1333" s="100"/>
      <c r="AA1333" s="100"/>
      <c r="AB1333" s="100"/>
      <c r="AC1333" s="100"/>
      <c r="AD1333" s="100"/>
      <c r="AF1333"/>
      <c r="AG1333">
        <f t="shared" si="879"/>
        <v>0</v>
      </c>
      <c r="AH1333">
        <f t="shared" si="863"/>
        <v>0</v>
      </c>
      <c r="AK1333">
        <f t="shared" si="864"/>
        <v>0</v>
      </c>
      <c r="AL1333">
        <f t="shared" si="865"/>
        <v>0</v>
      </c>
      <c r="AM1333">
        <f t="shared" si="866"/>
        <v>0</v>
      </c>
      <c r="AN1333">
        <f t="shared" si="867"/>
        <v>0</v>
      </c>
      <c r="AO1333">
        <f t="shared" si="868"/>
        <v>0</v>
      </c>
      <c r="AP1333">
        <f t="shared" si="869"/>
        <v>0</v>
      </c>
      <c r="AQ1333">
        <f t="shared" si="870"/>
        <v>0</v>
      </c>
      <c r="AR1333">
        <f t="shared" si="871"/>
        <v>0</v>
      </c>
      <c r="AS1333">
        <f t="shared" si="872"/>
        <v>0</v>
      </c>
      <c r="AT1333">
        <f t="shared" si="873"/>
        <v>0</v>
      </c>
      <c r="AU1333">
        <f t="shared" si="874"/>
        <v>0</v>
      </c>
      <c r="AV1333">
        <f t="shared" si="875"/>
        <v>0</v>
      </c>
      <c r="AW1333">
        <f t="shared" si="876"/>
        <v>0</v>
      </c>
      <c r="AX1333">
        <f t="shared" si="877"/>
        <v>0</v>
      </c>
      <c r="AY1333">
        <f t="shared" si="878"/>
        <v>0</v>
      </c>
    </row>
    <row r="1334" spans="1:51" ht="24" customHeight="1">
      <c r="A1334" s="110"/>
      <c r="B1334" s="57"/>
      <c r="C1334" s="1109"/>
      <c r="D1334" s="954"/>
      <c r="E1334" s="956"/>
      <c r="F1334" s="1110" t="s">
        <v>4899</v>
      </c>
      <c r="G1334" s="1110"/>
      <c r="H1334" s="178"/>
      <c r="I1334" s="1111" t="s">
        <v>4900</v>
      </c>
      <c r="J1334" s="1111"/>
      <c r="K1334" s="1111"/>
      <c r="L1334" s="1111"/>
      <c r="M1334" s="1111"/>
      <c r="N1334" s="1111"/>
      <c r="O1334" s="1112"/>
      <c r="P1334" s="100"/>
      <c r="Q1334" s="100"/>
      <c r="R1334" s="100"/>
      <c r="S1334" s="100"/>
      <c r="T1334" s="100"/>
      <c r="U1334" s="100"/>
      <c r="V1334" s="100"/>
      <c r="W1334" s="100"/>
      <c r="X1334" s="100"/>
      <c r="Y1334" s="100"/>
      <c r="Z1334" s="100"/>
      <c r="AA1334" s="100"/>
      <c r="AB1334" s="100"/>
      <c r="AC1334" s="100"/>
      <c r="AD1334" s="100"/>
      <c r="AF1334"/>
      <c r="AG1334">
        <f t="shared" si="879"/>
        <v>0</v>
      </c>
      <c r="AH1334">
        <f t="shared" si="863"/>
        <v>0</v>
      </c>
      <c r="AK1334">
        <f t="shared" si="864"/>
        <v>0</v>
      </c>
      <c r="AL1334">
        <f t="shared" si="865"/>
        <v>0</v>
      </c>
      <c r="AM1334">
        <f t="shared" si="866"/>
        <v>0</v>
      </c>
      <c r="AN1334">
        <f t="shared" si="867"/>
        <v>0</v>
      </c>
      <c r="AO1334">
        <f t="shared" si="868"/>
        <v>0</v>
      </c>
      <c r="AP1334">
        <f t="shared" si="869"/>
        <v>0</v>
      </c>
      <c r="AQ1334">
        <f t="shared" si="870"/>
        <v>0</v>
      </c>
      <c r="AR1334">
        <f t="shared" si="871"/>
        <v>0</v>
      </c>
      <c r="AS1334">
        <f t="shared" si="872"/>
        <v>0</v>
      </c>
      <c r="AT1334">
        <f t="shared" si="873"/>
        <v>0</v>
      </c>
      <c r="AU1334">
        <f t="shared" si="874"/>
        <v>0</v>
      </c>
      <c r="AV1334">
        <f t="shared" si="875"/>
        <v>0</v>
      </c>
      <c r="AW1334">
        <f t="shared" si="876"/>
        <v>0</v>
      </c>
      <c r="AX1334">
        <f t="shared" si="877"/>
        <v>0</v>
      </c>
      <c r="AY1334">
        <f t="shared" si="878"/>
        <v>0</v>
      </c>
    </row>
    <row r="1335" spans="1:51" ht="15" customHeight="1">
      <c r="A1335" s="110"/>
      <c r="B1335" s="57"/>
      <c r="C1335" s="1109"/>
      <c r="D1335" s="954"/>
      <c r="E1335" s="956"/>
      <c r="F1335" s="1110" t="s">
        <v>4901</v>
      </c>
      <c r="G1335" s="1110"/>
      <c r="H1335" s="178"/>
      <c r="I1335" s="1111" t="s">
        <v>201</v>
      </c>
      <c r="J1335" s="1111"/>
      <c r="K1335" s="1111"/>
      <c r="L1335" s="1111"/>
      <c r="M1335" s="1111"/>
      <c r="N1335" s="1111"/>
      <c r="O1335" s="1112"/>
      <c r="P1335" s="100"/>
      <c r="Q1335" s="100"/>
      <c r="R1335" s="100"/>
      <c r="S1335" s="100"/>
      <c r="T1335" s="100"/>
      <c r="U1335" s="100"/>
      <c r="V1335" s="100"/>
      <c r="W1335" s="100"/>
      <c r="X1335" s="100"/>
      <c r="Y1335" s="100"/>
      <c r="Z1335" s="100"/>
      <c r="AA1335" s="100"/>
      <c r="AB1335" s="100"/>
      <c r="AC1335" s="100"/>
      <c r="AD1335" s="100"/>
      <c r="AF1335"/>
      <c r="AG1335">
        <f t="shared" si="879"/>
        <v>0</v>
      </c>
      <c r="AH1335">
        <f t="shared" si="863"/>
        <v>0</v>
      </c>
      <c r="AK1335">
        <f t="shared" si="864"/>
        <v>0</v>
      </c>
      <c r="AL1335">
        <f t="shared" si="865"/>
        <v>0</v>
      </c>
      <c r="AM1335">
        <f t="shared" si="866"/>
        <v>0</v>
      </c>
      <c r="AN1335">
        <f t="shared" si="867"/>
        <v>0</v>
      </c>
      <c r="AO1335">
        <f t="shared" si="868"/>
        <v>0</v>
      </c>
      <c r="AP1335">
        <f t="shared" si="869"/>
        <v>0</v>
      </c>
      <c r="AQ1335">
        <f t="shared" si="870"/>
        <v>0</v>
      </c>
      <c r="AR1335">
        <f t="shared" si="871"/>
        <v>0</v>
      </c>
      <c r="AS1335">
        <f t="shared" si="872"/>
        <v>0</v>
      </c>
      <c r="AT1335">
        <f t="shared" si="873"/>
        <v>0</v>
      </c>
      <c r="AU1335">
        <f t="shared" si="874"/>
        <v>0</v>
      </c>
      <c r="AV1335">
        <f t="shared" si="875"/>
        <v>0</v>
      </c>
      <c r="AW1335">
        <f t="shared" si="876"/>
        <v>0</v>
      </c>
      <c r="AX1335">
        <f t="shared" si="877"/>
        <v>0</v>
      </c>
      <c r="AY1335">
        <f t="shared" si="878"/>
        <v>0</v>
      </c>
    </row>
    <row r="1336" spans="1:51" ht="15" customHeight="1">
      <c r="A1336" s="110"/>
      <c r="B1336" s="57"/>
      <c r="C1336" s="1109"/>
      <c r="D1336" s="954"/>
      <c r="E1336" s="956"/>
      <c r="F1336" s="1103" t="s">
        <v>4902</v>
      </c>
      <c r="G1336" s="1103"/>
      <c r="H1336" s="1104" t="s">
        <v>4903</v>
      </c>
      <c r="I1336" s="1105"/>
      <c r="J1336" s="1105"/>
      <c r="K1336" s="1105"/>
      <c r="L1336" s="1105"/>
      <c r="M1336" s="1105"/>
      <c r="N1336" s="1105"/>
      <c r="O1336" s="1106"/>
      <c r="P1336" s="100"/>
      <c r="Q1336" s="100"/>
      <c r="R1336" s="100"/>
      <c r="S1336" s="100"/>
      <c r="T1336" s="100"/>
      <c r="U1336" s="100"/>
      <c r="V1336" s="100"/>
      <c r="W1336" s="100"/>
      <c r="X1336" s="100"/>
      <c r="Y1336" s="100"/>
      <c r="Z1336" s="100"/>
      <c r="AA1336" s="100"/>
      <c r="AB1336" s="100"/>
      <c r="AC1336" s="100"/>
      <c r="AD1336" s="100"/>
      <c r="AF1336"/>
      <c r="AG1336">
        <f t="shared" si="879"/>
        <v>0</v>
      </c>
      <c r="AH1336">
        <f t="shared" si="863"/>
        <v>0</v>
      </c>
      <c r="AK1336">
        <f t="shared" si="864"/>
        <v>0</v>
      </c>
      <c r="AL1336">
        <f t="shared" si="865"/>
        <v>0</v>
      </c>
      <c r="AM1336">
        <f t="shared" si="866"/>
        <v>0</v>
      </c>
      <c r="AN1336">
        <f t="shared" si="867"/>
        <v>0</v>
      </c>
      <c r="AO1336">
        <f t="shared" si="868"/>
        <v>0</v>
      </c>
      <c r="AP1336">
        <f t="shared" si="869"/>
        <v>0</v>
      </c>
      <c r="AQ1336">
        <f t="shared" si="870"/>
        <v>0</v>
      </c>
      <c r="AR1336">
        <f t="shared" si="871"/>
        <v>0</v>
      </c>
      <c r="AS1336">
        <f t="shared" si="872"/>
        <v>0</v>
      </c>
      <c r="AT1336">
        <f t="shared" si="873"/>
        <v>0</v>
      </c>
      <c r="AU1336">
        <f t="shared" si="874"/>
        <v>0</v>
      </c>
      <c r="AV1336">
        <f t="shared" si="875"/>
        <v>0</v>
      </c>
      <c r="AW1336">
        <f t="shared" si="876"/>
        <v>0</v>
      </c>
      <c r="AX1336">
        <f t="shared" si="877"/>
        <v>0</v>
      </c>
      <c r="AY1336">
        <f t="shared" si="878"/>
        <v>0</v>
      </c>
    </row>
    <row r="1337" spans="1:51" ht="15" customHeight="1">
      <c r="A1337" s="110"/>
      <c r="B1337" s="57"/>
      <c r="C1337" s="1109"/>
      <c r="D1337" s="954"/>
      <c r="E1337" s="956"/>
      <c r="F1337" s="1103" t="s">
        <v>4904</v>
      </c>
      <c r="G1337" s="1103"/>
      <c r="H1337" s="1104" t="s">
        <v>4905</v>
      </c>
      <c r="I1337" s="1105"/>
      <c r="J1337" s="1105"/>
      <c r="K1337" s="1105"/>
      <c r="L1337" s="1105"/>
      <c r="M1337" s="1105"/>
      <c r="N1337" s="1105"/>
      <c r="O1337" s="1106"/>
      <c r="P1337" s="100"/>
      <c r="Q1337" s="100"/>
      <c r="R1337" s="100"/>
      <c r="S1337" s="100"/>
      <c r="T1337" s="100"/>
      <c r="U1337" s="100"/>
      <c r="V1337" s="100"/>
      <c r="W1337" s="100"/>
      <c r="X1337" s="100"/>
      <c r="Y1337" s="100"/>
      <c r="Z1337" s="100"/>
      <c r="AA1337" s="100"/>
      <c r="AB1337" s="100"/>
      <c r="AC1337" s="100"/>
      <c r="AD1337" s="100"/>
      <c r="AF1337"/>
      <c r="AG1337">
        <f t="shared" si="879"/>
        <v>0</v>
      </c>
      <c r="AH1337">
        <f t="shared" si="863"/>
        <v>0</v>
      </c>
      <c r="AK1337">
        <f t="shared" si="864"/>
        <v>0</v>
      </c>
      <c r="AL1337">
        <f t="shared" si="865"/>
        <v>0</v>
      </c>
      <c r="AM1337">
        <f t="shared" si="866"/>
        <v>0</v>
      </c>
      <c r="AN1337">
        <f t="shared" si="867"/>
        <v>0</v>
      </c>
      <c r="AO1337">
        <f t="shared" si="868"/>
        <v>0</v>
      </c>
      <c r="AP1337">
        <f t="shared" si="869"/>
        <v>0</v>
      </c>
      <c r="AQ1337">
        <f t="shared" si="870"/>
        <v>0</v>
      </c>
      <c r="AR1337">
        <f t="shared" si="871"/>
        <v>0</v>
      </c>
      <c r="AS1337">
        <f t="shared" si="872"/>
        <v>0</v>
      </c>
      <c r="AT1337">
        <f t="shared" si="873"/>
        <v>0</v>
      </c>
      <c r="AU1337">
        <f t="shared" si="874"/>
        <v>0</v>
      </c>
      <c r="AV1337">
        <f t="shared" si="875"/>
        <v>0</v>
      </c>
      <c r="AW1337">
        <f t="shared" si="876"/>
        <v>0</v>
      </c>
      <c r="AX1337">
        <f t="shared" si="877"/>
        <v>0</v>
      </c>
      <c r="AY1337">
        <f t="shared" si="878"/>
        <v>0</v>
      </c>
    </row>
    <row r="1338" spans="1:51" ht="15" customHeight="1">
      <c r="A1338" s="110"/>
      <c r="B1338" s="57"/>
      <c r="C1338" s="1109"/>
      <c r="D1338" s="954"/>
      <c r="E1338" s="956"/>
      <c r="F1338" s="1103" t="s">
        <v>4906</v>
      </c>
      <c r="G1338" s="1103"/>
      <c r="H1338" s="1104" t="s">
        <v>4907</v>
      </c>
      <c r="I1338" s="1105"/>
      <c r="J1338" s="1105"/>
      <c r="K1338" s="1105"/>
      <c r="L1338" s="1105"/>
      <c r="M1338" s="1105"/>
      <c r="N1338" s="1105"/>
      <c r="O1338" s="1106"/>
      <c r="P1338" s="100"/>
      <c r="Q1338" s="100"/>
      <c r="R1338" s="100"/>
      <c r="S1338" s="100"/>
      <c r="T1338" s="100"/>
      <c r="U1338" s="100"/>
      <c r="V1338" s="100"/>
      <c r="W1338" s="100"/>
      <c r="X1338" s="100"/>
      <c r="Y1338" s="100"/>
      <c r="Z1338" s="100"/>
      <c r="AA1338" s="100"/>
      <c r="AB1338" s="100"/>
      <c r="AC1338" s="100"/>
      <c r="AD1338" s="100"/>
      <c r="AF1338">
        <f>IF(P1338="NA",IF(AND(COUNTIF(P1339:P1341,"="&amp;$AF$934)=0,COUNTIF(P1339:P1341,"&lt;&gt;NA")&gt;0),1,0),IF(AND(COUNTIF(P1339:P1341,"="&amp;$AF$934)=0,COUNTIF(P1339:P1341,"NA")=COUNTIF(P1339:P1341,"&lt;&gt;"&amp;$AF$934)),1,0))</f>
        <v>0</v>
      </c>
      <c r="AG1338">
        <f t="shared" si="879"/>
        <v>0</v>
      </c>
      <c r="AH1338">
        <f t="shared" si="863"/>
        <v>0</v>
      </c>
      <c r="AK1338">
        <f t="shared" si="864"/>
        <v>0</v>
      </c>
      <c r="AL1338">
        <f t="shared" si="865"/>
        <v>0</v>
      </c>
      <c r="AM1338">
        <f t="shared" si="866"/>
        <v>0</v>
      </c>
      <c r="AN1338">
        <f t="shared" si="867"/>
        <v>0</v>
      </c>
      <c r="AO1338">
        <f t="shared" si="868"/>
        <v>0</v>
      </c>
      <c r="AP1338">
        <f t="shared" si="869"/>
        <v>0</v>
      </c>
      <c r="AQ1338">
        <f t="shared" si="870"/>
        <v>0</v>
      </c>
      <c r="AR1338">
        <f t="shared" si="871"/>
        <v>0</v>
      </c>
      <c r="AS1338">
        <f t="shared" si="872"/>
        <v>0</v>
      </c>
      <c r="AT1338">
        <f t="shared" si="873"/>
        <v>0</v>
      </c>
      <c r="AU1338">
        <f t="shared" si="874"/>
        <v>0</v>
      </c>
      <c r="AV1338">
        <f t="shared" si="875"/>
        <v>0</v>
      </c>
      <c r="AW1338">
        <f t="shared" si="876"/>
        <v>0</v>
      </c>
      <c r="AX1338">
        <f t="shared" si="877"/>
        <v>0</v>
      </c>
      <c r="AY1338">
        <f t="shared" si="878"/>
        <v>0</v>
      </c>
    </row>
    <row r="1339" spans="1:51" ht="36" customHeight="1">
      <c r="A1339" s="110"/>
      <c r="B1339" s="57"/>
      <c r="C1339" s="1109"/>
      <c r="D1339" s="954"/>
      <c r="E1339" s="956"/>
      <c r="F1339" s="1110" t="s">
        <v>4908</v>
      </c>
      <c r="G1339" s="1110"/>
      <c r="H1339" s="178"/>
      <c r="I1339" s="1111" t="s">
        <v>4909</v>
      </c>
      <c r="J1339" s="1111"/>
      <c r="K1339" s="1111"/>
      <c r="L1339" s="1111"/>
      <c r="M1339" s="1111"/>
      <c r="N1339" s="1111"/>
      <c r="O1339" s="1112"/>
      <c r="P1339" s="100"/>
      <c r="Q1339" s="100"/>
      <c r="R1339" s="100"/>
      <c r="S1339" s="100"/>
      <c r="T1339" s="100"/>
      <c r="U1339" s="100"/>
      <c r="V1339" s="100"/>
      <c r="W1339" s="100"/>
      <c r="X1339" s="100"/>
      <c r="Y1339" s="100"/>
      <c r="Z1339" s="100"/>
      <c r="AA1339" s="100"/>
      <c r="AB1339" s="100"/>
      <c r="AC1339" s="100"/>
      <c r="AD1339" s="100"/>
      <c r="AF1339"/>
      <c r="AG1339">
        <f t="shared" si="879"/>
        <v>0</v>
      </c>
      <c r="AH1339">
        <f t="shared" si="863"/>
        <v>0</v>
      </c>
      <c r="AK1339">
        <f t="shared" si="864"/>
        <v>0</v>
      </c>
      <c r="AL1339">
        <f t="shared" si="865"/>
        <v>0</v>
      </c>
      <c r="AM1339">
        <f t="shared" si="866"/>
        <v>0</v>
      </c>
      <c r="AN1339">
        <f t="shared" si="867"/>
        <v>0</v>
      </c>
      <c r="AO1339">
        <f t="shared" si="868"/>
        <v>0</v>
      </c>
      <c r="AP1339">
        <f t="shared" si="869"/>
        <v>0</v>
      </c>
      <c r="AQ1339">
        <f t="shared" si="870"/>
        <v>0</v>
      </c>
      <c r="AR1339">
        <f t="shared" si="871"/>
        <v>0</v>
      </c>
      <c r="AS1339">
        <f t="shared" si="872"/>
        <v>0</v>
      </c>
      <c r="AT1339">
        <f t="shared" si="873"/>
        <v>0</v>
      </c>
      <c r="AU1339">
        <f t="shared" si="874"/>
        <v>0</v>
      </c>
      <c r="AV1339">
        <f t="shared" si="875"/>
        <v>0</v>
      </c>
      <c r="AW1339">
        <f t="shared" si="876"/>
        <v>0</v>
      </c>
      <c r="AX1339">
        <f t="shared" si="877"/>
        <v>0</v>
      </c>
      <c r="AY1339">
        <f t="shared" si="878"/>
        <v>0</v>
      </c>
    </row>
    <row r="1340" spans="1:51" ht="15" customHeight="1">
      <c r="A1340" s="110"/>
      <c r="B1340" s="57"/>
      <c r="C1340" s="1109"/>
      <c r="D1340" s="954"/>
      <c r="E1340" s="956"/>
      <c r="F1340" s="1110" t="s">
        <v>4910</v>
      </c>
      <c r="G1340" s="1110"/>
      <c r="H1340" s="178"/>
      <c r="I1340" s="1111" t="s">
        <v>4911</v>
      </c>
      <c r="J1340" s="1111"/>
      <c r="K1340" s="1111"/>
      <c r="L1340" s="1111"/>
      <c r="M1340" s="1111"/>
      <c r="N1340" s="1111"/>
      <c r="O1340" s="1112"/>
      <c r="P1340" s="100"/>
      <c r="Q1340" s="100"/>
      <c r="R1340" s="100"/>
      <c r="S1340" s="100"/>
      <c r="T1340" s="100"/>
      <c r="U1340" s="100"/>
      <c r="V1340" s="100"/>
      <c r="W1340" s="100"/>
      <c r="X1340" s="100"/>
      <c r="Y1340" s="100"/>
      <c r="Z1340" s="100"/>
      <c r="AA1340" s="100"/>
      <c r="AB1340" s="100"/>
      <c r="AC1340" s="100"/>
      <c r="AD1340" s="100"/>
      <c r="AF1340"/>
      <c r="AG1340">
        <f t="shared" si="879"/>
        <v>0</v>
      </c>
      <c r="AH1340">
        <f t="shared" si="863"/>
        <v>0</v>
      </c>
      <c r="AK1340">
        <f t="shared" si="864"/>
        <v>0</v>
      </c>
      <c r="AL1340">
        <f t="shared" si="865"/>
        <v>0</v>
      </c>
      <c r="AM1340">
        <f t="shared" si="866"/>
        <v>0</v>
      </c>
      <c r="AN1340">
        <f t="shared" si="867"/>
        <v>0</v>
      </c>
      <c r="AO1340">
        <f t="shared" si="868"/>
        <v>0</v>
      </c>
      <c r="AP1340">
        <f t="shared" si="869"/>
        <v>0</v>
      </c>
      <c r="AQ1340">
        <f t="shared" si="870"/>
        <v>0</v>
      </c>
      <c r="AR1340">
        <f t="shared" si="871"/>
        <v>0</v>
      </c>
      <c r="AS1340">
        <f t="shared" si="872"/>
        <v>0</v>
      </c>
      <c r="AT1340">
        <f t="shared" si="873"/>
        <v>0</v>
      </c>
      <c r="AU1340">
        <f t="shared" si="874"/>
        <v>0</v>
      </c>
      <c r="AV1340">
        <f t="shared" si="875"/>
        <v>0</v>
      </c>
      <c r="AW1340">
        <f t="shared" si="876"/>
        <v>0</v>
      </c>
      <c r="AX1340">
        <f t="shared" si="877"/>
        <v>0</v>
      </c>
      <c r="AY1340">
        <f t="shared" si="878"/>
        <v>0</v>
      </c>
    </row>
    <row r="1341" spans="1:51" ht="15" customHeight="1">
      <c r="A1341" s="110"/>
      <c r="B1341" s="57"/>
      <c r="C1341" s="1109"/>
      <c r="D1341" s="954"/>
      <c r="E1341" s="956"/>
      <c r="F1341" s="1110" t="s">
        <v>4912</v>
      </c>
      <c r="G1341" s="1110"/>
      <c r="H1341" s="178"/>
      <c r="I1341" s="1111" t="s">
        <v>201</v>
      </c>
      <c r="J1341" s="1111"/>
      <c r="K1341" s="1111"/>
      <c r="L1341" s="1111"/>
      <c r="M1341" s="1111"/>
      <c r="N1341" s="1111"/>
      <c r="O1341" s="1112"/>
      <c r="P1341" s="100"/>
      <c r="Q1341" s="100"/>
      <c r="R1341" s="100"/>
      <c r="S1341" s="100"/>
      <c r="T1341" s="100"/>
      <c r="U1341" s="100"/>
      <c r="V1341" s="100"/>
      <c r="W1341" s="100"/>
      <c r="X1341" s="100"/>
      <c r="Y1341" s="100"/>
      <c r="Z1341" s="100"/>
      <c r="AA1341" s="100"/>
      <c r="AB1341" s="100"/>
      <c r="AC1341" s="100"/>
      <c r="AD1341" s="100"/>
      <c r="AF1341"/>
      <c r="AG1341">
        <f t="shared" si="879"/>
        <v>0</v>
      </c>
      <c r="AH1341">
        <f t="shared" si="863"/>
        <v>0</v>
      </c>
      <c r="AK1341">
        <f t="shared" si="864"/>
        <v>0</v>
      </c>
      <c r="AL1341">
        <f t="shared" si="865"/>
        <v>0</v>
      </c>
      <c r="AM1341">
        <f t="shared" si="866"/>
        <v>0</v>
      </c>
      <c r="AN1341">
        <f t="shared" si="867"/>
        <v>0</v>
      </c>
      <c r="AO1341">
        <f t="shared" si="868"/>
        <v>0</v>
      </c>
      <c r="AP1341">
        <f t="shared" si="869"/>
        <v>0</v>
      </c>
      <c r="AQ1341">
        <f t="shared" si="870"/>
        <v>0</v>
      </c>
      <c r="AR1341">
        <f t="shared" si="871"/>
        <v>0</v>
      </c>
      <c r="AS1341">
        <f t="shared" si="872"/>
        <v>0</v>
      </c>
      <c r="AT1341">
        <f t="shared" si="873"/>
        <v>0</v>
      </c>
      <c r="AU1341">
        <f t="shared" si="874"/>
        <v>0</v>
      </c>
      <c r="AV1341">
        <f t="shared" si="875"/>
        <v>0</v>
      </c>
      <c r="AW1341">
        <f t="shared" si="876"/>
        <v>0</v>
      </c>
      <c r="AX1341">
        <f t="shared" si="877"/>
        <v>0</v>
      </c>
      <c r="AY1341">
        <f t="shared" si="878"/>
        <v>0</v>
      </c>
    </row>
    <row r="1342" spans="1:51" ht="15" customHeight="1">
      <c r="A1342" s="110"/>
      <c r="B1342" s="57"/>
      <c r="C1342" s="1109"/>
      <c r="D1342" s="954"/>
      <c r="E1342" s="956"/>
      <c r="F1342" s="1103" t="s">
        <v>4913</v>
      </c>
      <c r="G1342" s="1103"/>
      <c r="H1342" s="1104" t="s">
        <v>4914</v>
      </c>
      <c r="I1342" s="1105"/>
      <c r="J1342" s="1105"/>
      <c r="K1342" s="1105"/>
      <c r="L1342" s="1105"/>
      <c r="M1342" s="1105"/>
      <c r="N1342" s="1105"/>
      <c r="O1342" s="1106"/>
      <c r="P1342" s="100"/>
      <c r="Q1342" s="100"/>
      <c r="R1342" s="100"/>
      <c r="S1342" s="100"/>
      <c r="T1342" s="100"/>
      <c r="U1342" s="100"/>
      <c r="V1342" s="100"/>
      <c r="W1342" s="100"/>
      <c r="X1342" s="100"/>
      <c r="Y1342" s="100"/>
      <c r="Z1342" s="100"/>
      <c r="AA1342" s="100"/>
      <c r="AB1342" s="100"/>
      <c r="AC1342" s="100"/>
      <c r="AD1342" s="100"/>
      <c r="AF1342"/>
      <c r="AG1342">
        <f t="shared" si="879"/>
        <v>0</v>
      </c>
      <c r="AH1342">
        <f t="shared" si="863"/>
        <v>0</v>
      </c>
      <c r="AK1342">
        <f t="shared" si="864"/>
        <v>0</v>
      </c>
      <c r="AL1342">
        <f t="shared" si="865"/>
        <v>0</v>
      </c>
      <c r="AM1342">
        <f t="shared" si="866"/>
        <v>0</v>
      </c>
      <c r="AN1342">
        <f t="shared" si="867"/>
        <v>0</v>
      </c>
      <c r="AO1342">
        <f t="shared" si="868"/>
        <v>0</v>
      </c>
      <c r="AP1342">
        <f t="shared" si="869"/>
        <v>0</v>
      </c>
      <c r="AQ1342">
        <f t="shared" si="870"/>
        <v>0</v>
      </c>
      <c r="AR1342">
        <f t="shared" si="871"/>
        <v>0</v>
      </c>
      <c r="AS1342">
        <f t="shared" si="872"/>
        <v>0</v>
      </c>
      <c r="AT1342">
        <f t="shared" si="873"/>
        <v>0</v>
      </c>
      <c r="AU1342">
        <f t="shared" si="874"/>
        <v>0</v>
      </c>
      <c r="AV1342">
        <f t="shared" si="875"/>
        <v>0</v>
      </c>
      <c r="AW1342">
        <f t="shared" si="876"/>
        <v>0</v>
      </c>
      <c r="AX1342">
        <f t="shared" si="877"/>
        <v>0</v>
      </c>
      <c r="AY1342">
        <f t="shared" si="878"/>
        <v>0</v>
      </c>
    </row>
    <row r="1343" spans="1:51" ht="15" customHeight="1">
      <c r="A1343" s="110"/>
      <c r="B1343" s="57"/>
      <c r="C1343" s="1109"/>
      <c r="D1343" s="954"/>
      <c r="E1343" s="956"/>
      <c r="F1343" s="1103" t="s">
        <v>4915</v>
      </c>
      <c r="G1343" s="1103"/>
      <c r="H1343" s="1104" t="s">
        <v>4916</v>
      </c>
      <c r="I1343" s="1105"/>
      <c r="J1343" s="1105"/>
      <c r="K1343" s="1105"/>
      <c r="L1343" s="1105"/>
      <c r="M1343" s="1105"/>
      <c r="N1343" s="1105"/>
      <c r="O1343" s="1106"/>
      <c r="P1343" s="100"/>
      <c r="Q1343" s="100"/>
      <c r="R1343" s="100"/>
      <c r="S1343" s="100"/>
      <c r="T1343" s="100"/>
      <c r="U1343" s="100"/>
      <c r="V1343" s="100"/>
      <c r="W1343" s="100"/>
      <c r="X1343" s="100"/>
      <c r="Y1343" s="100"/>
      <c r="Z1343" s="100"/>
      <c r="AA1343" s="100"/>
      <c r="AB1343" s="100"/>
      <c r="AC1343" s="100"/>
      <c r="AD1343" s="100"/>
      <c r="AF1343"/>
      <c r="AG1343">
        <f t="shared" si="879"/>
        <v>0</v>
      </c>
      <c r="AH1343">
        <f t="shared" si="863"/>
        <v>0</v>
      </c>
      <c r="AK1343">
        <f t="shared" si="864"/>
        <v>0</v>
      </c>
      <c r="AL1343">
        <f t="shared" si="865"/>
        <v>0</v>
      </c>
      <c r="AM1343">
        <f t="shared" si="866"/>
        <v>0</v>
      </c>
      <c r="AN1343">
        <f t="shared" si="867"/>
        <v>0</v>
      </c>
      <c r="AO1343">
        <f t="shared" si="868"/>
        <v>0</v>
      </c>
      <c r="AP1343">
        <f t="shared" si="869"/>
        <v>0</v>
      </c>
      <c r="AQ1343">
        <f t="shared" si="870"/>
        <v>0</v>
      </c>
      <c r="AR1343">
        <f t="shared" si="871"/>
        <v>0</v>
      </c>
      <c r="AS1343">
        <f t="shared" si="872"/>
        <v>0</v>
      </c>
      <c r="AT1343">
        <f t="shared" si="873"/>
        <v>0</v>
      </c>
      <c r="AU1343">
        <f t="shared" si="874"/>
        <v>0</v>
      </c>
      <c r="AV1343">
        <f t="shared" si="875"/>
        <v>0</v>
      </c>
      <c r="AW1343">
        <f t="shared" si="876"/>
        <v>0</v>
      </c>
      <c r="AX1343">
        <f t="shared" si="877"/>
        <v>0</v>
      </c>
      <c r="AY1343">
        <f t="shared" si="878"/>
        <v>0</v>
      </c>
    </row>
    <row r="1344" spans="1:51" ht="24" customHeight="1">
      <c r="A1344" s="110"/>
      <c r="B1344" s="57"/>
      <c r="C1344" s="1109"/>
      <c r="D1344" s="954"/>
      <c r="E1344" s="956"/>
      <c r="F1344" s="1103" t="s">
        <v>4917</v>
      </c>
      <c r="G1344" s="1103"/>
      <c r="H1344" s="1104" t="s">
        <v>4918</v>
      </c>
      <c r="I1344" s="1105"/>
      <c r="J1344" s="1105"/>
      <c r="K1344" s="1105"/>
      <c r="L1344" s="1105"/>
      <c r="M1344" s="1105"/>
      <c r="N1344" s="1105"/>
      <c r="O1344" s="1106"/>
      <c r="P1344" s="100"/>
      <c r="Q1344" s="100"/>
      <c r="R1344" s="100"/>
      <c r="S1344" s="100"/>
      <c r="T1344" s="100"/>
      <c r="U1344" s="100"/>
      <c r="V1344" s="100"/>
      <c r="W1344" s="100"/>
      <c r="X1344" s="100"/>
      <c r="Y1344" s="100"/>
      <c r="Z1344" s="100"/>
      <c r="AA1344" s="100"/>
      <c r="AB1344" s="100"/>
      <c r="AC1344" s="100"/>
      <c r="AD1344" s="100"/>
      <c r="AF1344"/>
      <c r="AG1344">
        <f t="shared" si="879"/>
        <v>0</v>
      </c>
      <c r="AH1344">
        <f t="shared" si="863"/>
        <v>0</v>
      </c>
      <c r="AJ1344">
        <f>IF(OR(P1344="NS",P1344="NA",$P$896=0,$P$896="NS",$P$896="NA"),0,IF((P1344*(IFERROR(100/SUM(P1311:P1344),0)))&gt;25,1,0))</f>
        <v>0</v>
      </c>
      <c r="AK1344">
        <f t="shared" si="864"/>
        <v>0</v>
      </c>
      <c r="AL1344">
        <f t="shared" si="865"/>
        <v>0</v>
      </c>
      <c r="AM1344">
        <f t="shared" si="866"/>
        <v>0</v>
      </c>
      <c r="AN1344">
        <f t="shared" si="867"/>
        <v>0</v>
      </c>
      <c r="AO1344">
        <f t="shared" si="868"/>
        <v>0</v>
      </c>
      <c r="AP1344">
        <f t="shared" si="869"/>
        <v>0</v>
      </c>
      <c r="AQ1344">
        <f t="shared" si="870"/>
        <v>0</v>
      </c>
      <c r="AR1344">
        <f t="shared" si="871"/>
        <v>0</v>
      </c>
      <c r="AS1344">
        <f t="shared" si="872"/>
        <v>0</v>
      </c>
      <c r="AT1344">
        <f t="shared" si="873"/>
        <v>0</v>
      </c>
      <c r="AU1344">
        <f t="shared" si="874"/>
        <v>0</v>
      </c>
      <c r="AV1344">
        <f t="shared" si="875"/>
        <v>0</v>
      </c>
      <c r="AW1344">
        <f t="shared" si="876"/>
        <v>0</v>
      </c>
      <c r="AX1344">
        <f t="shared" si="877"/>
        <v>0</v>
      </c>
      <c r="AY1344">
        <f t="shared" si="878"/>
        <v>0</v>
      </c>
    </row>
    <row r="1345" spans="1:51" ht="15" customHeight="1">
      <c r="A1345" s="110"/>
      <c r="B1345" s="57"/>
      <c r="C1345" s="1108" t="s">
        <v>4919</v>
      </c>
      <c r="D1345" s="847" t="s">
        <v>4920</v>
      </c>
      <c r="E1345" s="848"/>
      <c r="F1345" s="1103" t="s">
        <v>4921</v>
      </c>
      <c r="G1345" s="1103"/>
      <c r="H1345" s="1104" t="s">
        <v>4922</v>
      </c>
      <c r="I1345" s="1105"/>
      <c r="J1345" s="1105"/>
      <c r="K1345" s="1105"/>
      <c r="L1345" s="1105"/>
      <c r="M1345" s="1105"/>
      <c r="N1345" s="1105"/>
      <c r="O1345" s="1106"/>
      <c r="P1345" s="710"/>
      <c r="Q1345" s="100"/>
      <c r="R1345" s="100"/>
      <c r="S1345" s="100"/>
      <c r="T1345" s="100"/>
      <c r="U1345" s="100"/>
      <c r="V1345" s="100"/>
      <c r="W1345" s="100"/>
      <c r="X1345" s="100"/>
      <c r="Y1345" s="100"/>
      <c r="Z1345" s="100"/>
      <c r="AA1345" s="100"/>
      <c r="AB1345" s="100"/>
      <c r="AC1345" s="100"/>
      <c r="AD1345" s="100"/>
      <c r="AF1345"/>
      <c r="AG1345">
        <f t="shared" si="879"/>
        <v>0</v>
      </c>
      <c r="AH1345">
        <f t="shared" ref="AH1345:AH1408" si="880">IF(P1345="NA",IF(SUM(COUNTBLANK(Q1345:AD1345),COUNTBLANK(V1517:AD1517))=23,0,1),0)</f>
        <v>0</v>
      </c>
      <c r="AK1345">
        <f t="shared" ref="AK1345:AK1408" si="881">COUNTIF(Q1345:R1345,"NS")</f>
        <v>0</v>
      </c>
      <c r="AL1345">
        <f t="shared" ref="AL1345:AL1408" si="882">SUM(Q1345:R1345)</f>
        <v>0</v>
      </c>
      <c r="AM1345">
        <f t="shared" ref="AM1345:AM1408" si="883">IF(COUNTIF(P1345:R1345,"NA")=3,0,IF(COUNTA(P1345:R1345)=0,0,IF(OR(AND(P1345=0,AK1345&gt;0),AND(P1345="ns",AL1345&gt;0),AND(P1345="ns",AK1345=0,AL1345=0)),1,IF(OR(AND(P1345&gt;0,AK1345=2),AND(P1345="ns",AK1345=2),AND(P1345="ns",AL1345=0,AK1345&gt;0),P1345=AL1345),0,1))))</f>
        <v>0</v>
      </c>
      <c r="AN1345">
        <f t="shared" ref="AN1345:AN1408" si="884">COUNTIF(T1345:U1345,"NS")</f>
        <v>0</v>
      </c>
      <c r="AO1345">
        <f t="shared" ref="AO1345:AO1408" si="885">SUM(T1345:U1345)</f>
        <v>0</v>
      </c>
      <c r="AP1345">
        <f t="shared" ref="AP1345:AP1408" si="886">IF(COUNTIF(S1345:U1345,"NA")=3,0,IF(COUNTA(S1345:U1345)=0,0,IF(OR(AND(S1345=0,AN1345&gt;0),AND(S1345="ns",AO1345&gt;0),AND(S1345="ns",AN1345=0,AO1345=0)),1,IF(OR(AND(S1345&gt;0,AN1345=2),AND(S1345="ns",AN1345=2),AND(S1345="ns",AO1345=0,AN1345&gt;0),S1345=AO1345),0,1))))</f>
        <v>0</v>
      </c>
      <c r="AQ1345">
        <f t="shared" ref="AQ1345:AQ1408" si="887">COUNTIF(W1345:X1345,"NS")</f>
        <v>0</v>
      </c>
      <c r="AR1345">
        <f t="shared" ref="AR1345:AR1408" si="888">SUM(W1345:X1345)</f>
        <v>0</v>
      </c>
      <c r="AS1345">
        <f t="shared" ref="AS1345:AS1408" si="889">IF(COUNTIF(V1345:X1345,"NA")=3,0,IF(COUNTA(V1345:X1345)=0,0,IF(OR(AND(V1345=0,AQ1345&gt;0),AND(V1345="ns",AR1345&gt;0),AND(V1345="ns",AQ1345=0,AR1345=0)),1,IF(OR(AND(V1345&gt;0,AQ1345=2),AND(V1345="ns",AQ1345=2),AND(V1345="ns",AR1345=0,AQ1345&gt;0),V1345=AR1345),0,1))))</f>
        <v>0</v>
      </c>
      <c r="AT1345">
        <f t="shared" ref="AT1345:AT1408" si="890">COUNTIF(Z1345:AA1345,"NS")</f>
        <v>0</v>
      </c>
      <c r="AU1345">
        <f t="shared" ref="AU1345:AU1408" si="891">SUM(Z1345:AA1345)</f>
        <v>0</v>
      </c>
      <c r="AV1345">
        <f t="shared" ref="AV1345:AV1408" si="892">IF(COUNTIF(Y1345:AA1345,"NA")=3,0,IF(COUNTA(Y1345:AA1345)=0,0,IF(OR(AND(Y1345=0,AT1345&gt;0),AND(Y1345="ns",AU1345&gt;0),AND(Y1345="ns",AT1345=0,AU1345=0)),1,IF(OR(AND(Y1345&gt;0,AT1345=2),AND(Y1345="ns",AT1345=2),AND(Y1345="ns",AU1345=0,AT1345&gt;0),Y1345=AU1345),0,1))))</f>
        <v>0</v>
      </c>
      <c r="AW1345">
        <f t="shared" ref="AW1345:AW1408" si="893">COUNTIF(AC1345:AD1345,"NS")</f>
        <v>0</v>
      </c>
      <c r="AX1345">
        <f t="shared" ref="AX1345:AX1408" si="894">SUM(AC1345:AD1345)</f>
        <v>0</v>
      </c>
      <c r="AY1345">
        <f t="shared" ref="AY1345:AY1408" si="895">IF(COUNTIF(AB1345:AD1345,"NA")=3,0,IF(COUNTA(AB1345:AD1345)=0,0,IF(OR(AND(AB1345=0,AW1345&gt;0),AND(AB1345="ns",AX1345&gt;0),AND(AB1345="ns",AW1345=0,AX1345=0)),1,IF(OR(AND(AB1345&gt;0,AW1345=2),AND(AB1345="ns",AW1345=2),AND(AB1345="ns",AX1345=0,AW1345&gt;0),AB1345=AX1345),0,1))))</f>
        <v>0</v>
      </c>
    </row>
    <row r="1346" spans="1:51" ht="15" customHeight="1">
      <c r="A1346" s="110"/>
      <c r="B1346" s="57"/>
      <c r="C1346" s="1109"/>
      <c r="D1346" s="954"/>
      <c r="E1346" s="956"/>
      <c r="F1346" s="1103" t="s">
        <v>4923</v>
      </c>
      <c r="G1346" s="1103"/>
      <c r="H1346" s="1104" t="s">
        <v>4924</v>
      </c>
      <c r="I1346" s="1105"/>
      <c r="J1346" s="1105"/>
      <c r="K1346" s="1105"/>
      <c r="L1346" s="1105"/>
      <c r="M1346" s="1105"/>
      <c r="N1346" s="1105"/>
      <c r="O1346" s="1106"/>
      <c r="P1346" s="710"/>
      <c r="Q1346" s="100"/>
      <c r="R1346" s="100"/>
      <c r="S1346" s="100"/>
      <c r="T1346" s="100"/>
      <c r="U1346" s="100"/>
      <c r="V1346" s="100"/>
      <c r="W1346" s="100"/>
      <c r="X1346" s="100"/>
      <c r="Y1346" s="100"/>
      <c r="Z1346" s="100"/>
      <c r="AA1346" s="100"/>
      <c r="AB1346" s="100"/>
      <c r="AC1346" s="100"/>
      <c r="AD1346" s="100"/>
      <c r="AF1346"/>
      <c r="AG1346">
        <f t="shared" ref="AG1346:AG1409" si="896">IF(OR($P$896=0,$P$896="NS",$P$896="NA",P1346="NA"),0,IF(SUM(COUNTBLANK(P1346:AD1346),COUNTBLANK(V1518:AD1518))=0,0,1))</f>
        <v>0</v>
      </c>
      <c r="AH1346">
        <f t="shared" si="880"/>
        <v>0</v>
      </c>
      <c r="AK1346">
        <f t="shared" si="881"/>
        <v>0</v>
      </c>
      <c r="AL1346">
        <f t="shared" si="882"/>
        <v>0</v>
      </c>
      <c r="AM1346">
        <f t="shared" si="883"/>
        <v>0</v>
      </c>
      <c r="AN1346">
        <f t="shared" si="884"/>
        <v>0</v>
      </c>
      <c r="AO1346">
        <f t="shared" si="885"/>
        <v>0</v>
      </c>
      <c r="AP1346">
        <f t="shared" si="886"/>
        <v>0</v>
      </c>
      <c r="AQ1346">
        <f t="shared" si="887"/>
        <v>0</v>
      </c>
      <c r="AR1346">
        <f t="shared" si="888"/>
        <v>0</v>
      </c>
      <c r="AS1346">
        <f t="shared" si="889"/>
        <v>0</v>
      </c>
      <c r="AT1346">
        <f t="shared" si="890"/>
        <v>0</v>
      </c>
      <c r="AU1346">
        <f t="shared" si="891"/>
        <v>0</v>
      </c>
      <c r="AV1346">
        <f t="shared" si="892"/>
        <v>0</v>
      </c>
      <c r="AW1346">
        <f t="shared" si="893"/>
        <v>0</v>
      </c>
      <c r="AX1346">
        <f t="shared" si="894"/>
        <v>0</v>
      </c>
      <c r="AY1346">
        <f t="shared" si="895"/>
        <v>0</v>
      </c>
    </row>
    <row r="1347" spans="1:51" ht="15" customHeight="1">
      <c r="A1347" s="110"/>
      <c r="B1347" s="57"/>
      <c r="C1347" s="1109"/>
      <c r="D1347" s="954"/>
      <c r="E1347" s="956"/>
      <c r="F1347" s="1103" t="s">
        <v>4925</v>
      </c>
      <c r="G1347" s="1103"/>
      <c r="H1347" s="1104" t="s">
        <v>4926</v>
      </c>
      <c r="I1347" s="1105"/>
      <c r="J1347" s="1105"/>
      <c r="K1347" s="1105"/>
      <c r="L1347" s="1105"/>
      <c r="M1347" s="1105"/>
      <c r="N1347" s="1105"/>
      <c r="O1347" s="1106"/>
      <c r="P1347" s="710"/>
      <c r="Q1347" s="100"/>
      <c r="R1347" s="100"/>
      <c r="S1347" s="100"/>
      <c r="T1347" s="100"/>
      <c r="U1347" s="100"/>
      <c r="V1347" s="100"/>
      <c r="W1347" s="100"/>
      <c r="X1347" s="100"/>
      <c r="Y1347" s="100"/>
      <c r="Z1347" s="100"/>
      <c r="AA1347" s="100"/>
      <c r="AB1347" s="100"/>
      <c r="AC1347" s="100"/>
      <c r="AD1347" s="100"/>
      <c r="AF1347"/>
      <c r="AG1347">
        <f t="shared" si="896"/>
        <v>0</v>
      </c>
      <c r="AH1347">
        <f t="shared" si="880"/>
        <v>0</v>
      </c>
      <c r="AJ1347">
        <f>IF(OR(P1347="NS",P1347="NA",$P$896=0,$P$896="NS",$P$896="NA"),0,IF((P1347*(IFERROR(100/SUM(P1345:P1347),0)))&gt;25,1,0))</f>
        <v>0</v>
      </c>
      <c r="AK1347">
        <f t="shared" si="881"/>
        <v>0</v>
      </c>
      <c r="AL1347">
        <f t="shared" si="882"/>
        <v>0</v>
      </c>
      <c r="AM1347">
        <f t="shared" si="883"/>
        <v>0</v>
      </c>
      <c r="AN1347">
        <f t="shared" si="884"/>
        <v>0</v>
      </c>
      <c r="AO1347">
        <f t="shared" si="885"/>
        <v>0</v>
      </c>
      <c r="AP1347">
        <f t="shared" si="886"/>
        <v>0</v>
      </c>
      <c r="AQ1347">
        <f t="shared" si="887"/>
        <v>0</v>
      </c>
      <c r="AR1347">
        <f t="shared" si="888"/>
        <v>0</v>
      </c>
      <c r="AS1347">
        <f t="shared" si="889"/>
        <v>0</v>
      </c>
      <c r="AT1347">
        <f t="shared" si="890"/>
        <v>0</v>
      </c>
      <c r="AU1347">
        <f t="shared" si="891"/>
        <v>0</v>
      </c>
      <c r="AV1347">
        <f t="shared" si="892"/>
        <v>0</v>
      </c>
      <c r="AW1347">
        <f t="shared" si="893"/>
        <v>0</v>
      </c>
      <c r="AX1347">
        <f t="shared" si="894"/>
        <v>0</v>
      </c>
      <c r="AY1347">
        <f t="shared" si="895"/>
        <v>0</v>
      </c>
    </row>
    <row r="1348" spans="1:51" ht="24" customHeight="1">
      <c r="A1348" s="110"/>
      <c r="B1348" s="57"/>
      <c r="C1348" s="1108" t="s">
        <v>4927</v>
      </c>
      <c r="D1348" s="847" t="s">
        <v>5417</v>
      </c>
      <c r="E1348" s="848"/>
      <c r="F1348" s="1103" t="s">
        <v>4929</v>
      </c>
      <c r="G1348" s="1103"/>
      <c r="H1348" s="1104" t="s">
        <v>4930</v>
      </c>
      <c r="I1348" s="1105"/>
      <c r="J1348" s="1105"/>
      <c r="K1348" s="1105"/>
      <c r="L1348" s="1105"/>
      <c r="M1348" s="1105"/>
      <c r="N1348" s="1105"/>
      <c r="O1348" s="1106"/>
      <c r="P1348" s="710"/>
      <c r="Q1348" s="100"/>
      <c r="R1348" s="100"/>
      <c r="S1348" s="100"/>
      <c r="T1348" s="100"/>
      <c r="U1348" s="100"/>
      <c r="V1348" s="100"/>
      <c r="W1348" s="100"/>
      <c r="X1348" s="100"/>
      <c r="Y1348" s="100"/>
      <c r="Z1348" s="100"/>
      <c r="AA1348" s="100"/>
      <c r="AB1348" s="100"/>
      <c r="AC1348" s="100"/>
      <c r="AD1348" s="100"/>
      <c r="AF1348">
        <f>IF(P1348="NA",IF(AND(COUNTIF(P1349:P1355,"="&amp;$AF$934)=0,COUNTIF(P1349:P1355,"&lt;&gt;NA")&gt;0),1,0),IF(AND(COUNTIF(P1349:P1355,"="&amp;$AF$934)=0,COUNTIF(P1349:P1355,"NA")=COUNTIF(P1349:P1355,"&lt;&gt;"&amp;$AF$934)),1,0))</f>
        <v>0</v>
      </c>
      <c r="AG1348">
        <f t="shared" si="896"/>
        <v>0</v>
      </c>
      <c r="AH1348">
        <f t="shared" si="880"/>
        <v>0</v>
      </c>
      <c r="AK1348">
        <f t="shared" si="881"/>
        <v>0</v>
      </c>
      <c r="AL1348">
        <f t="shared" si="882"/>
        <v>0</v>
      </c>
      <c r="AM1348">
        <f t="shared" si="883"/>
        <v>0</v>
      </c>
      <c r="AN1348">
        <f t="shared" si="884"/>
        <v>0</v>
      </c>
      <c r="AO1348">
        <f t="shared" si="885"/>
        <v>0</v>
      </c>
      <c r="AP1348">
        <f t="shared" si="886"/>
        <v>0</v>
      </c>
      <c r="AQ1348">
        <f t="shared" si="887"/>
        <v>0</v>
      </c>
      <c r="AR1348">
        <f t="shared" si="888"/>
        <v>0</v>
      </c>
      <c r="AS1348">
        <f t="shared" si="889"/>
        <v>0</v>
      </c>
      <c r="AT1348">
        <f t="shared" si="890"/>
        <v>0</v>
      </c>
      <c r="AU1348">
        <f t="shared" si="891"/>
        <v>0</v>
      </c>
      <c r="AV1348">
        <f t="shared" si="892"/>
        <v>0</v>
      </c>
      <c r="AW1348">
        <f t="shared" si="893"/>
        <v>0</v>
      </c>
      <c r="AX1348">
        <f t="shared" si="894"/>
        <v>0</v>
      </c>
      <c r="AY1348">
        <f t="shared" si="895"/>
        <v>0</v>
      </c>
    </row>
    <row r="1349" spans="1:51" ht="15" customHeight="1">
      <c r="A1349" s="110"/>
      <c r="B1349" s="57"/>
      <c r="C1349" s="1109"/>
      <c r="D1349" s="954"/>
      <c r="E1349" s="956"/>
      <c r="F1349" s="1110" t="s">
        <v>4931</v>
      </c>
      <c r="G1349" s="1110"/>
      <c r="H1349" s="178"/>
      <c r="I1349" s="1111" t="s">
        <v>4932</v>
      </c>
      <c r="J1349" s="1111"/>
      <c r="K1349" s="1111"/>
      <c r="L1349" s="1111"/>
      <c r="M1349" s="1111"/>
      <c r="N1349" s="1111"/>
      <c r="O1349" s="1112"/>
      <c r="P1349" s="100"/>
      <c r="Q1349" s="100"/>
      <c r="R1349" s="100"/>
      <c r="S1349" s="100"/>
      <c r="T1349" s="100"/>
      <c r="U1349" s="100"/>
      <c r="V1349" s="100"/>
      <c r="W1349" s="100"/>
      <c r="X1349" s="100"/>
      <c r="Y1349" s="100"/>
      <c r="Z1349" s="100"/>
      <c r="AA1349" s="100"/>
      <c r="AB1349" s="100"/>
      <c r="AC1349" s="100"/>
      <c r="AD1349" s="100"/>
      <c r="AF1349"/>
      <c r="AG1349">
        <f t="shared" si="896"/>
        <v>0</v>
      </c>
      <c r="AH1349">
        <f t="shared" si="880"/>
        <v>0</v>
      </c>
      <c r="AK1349">
        <f t="shared" si="881"/>
        <v>0</v>
      </c>
      <c r="AL1349">
        <f t="shared" si="882"/>
        <v>0</v>
      </c>
      <c r="AM1349">
        <f t="shared" si="883"/>
        <v>0</v>
      </c>
      <c r="AN1349">
        <f t="shared" si="884"/>
        <v>0</v>
      </c>
      <c r="AO1349">
        <f t="shared" si="885"/>
        <v>0</v>
      </c>
      <c r="AP1349">
        <f t="shared" si="886"/>
        <v>0</v>
      </c>
      <c r="AQ1349">
        <f t="shared" si="887"/>
        <v>0</v>
      </c>
      <c r="AR1349">
        <f t="shared" si="888"/>
        <v>0</v>
      </c>
      <c r="AS1349">
        <f t="shared" si="889"/>
        <v>0</v>
      </c>
      <c r="AT1349">
        <f t="shared" si="890"/>
        <v>0</v>
      </c>
      <c r="AU1349">
        <f t="shared" si="891"/>
        <v>0</v>
      </c>
      <c r="AV1349">
        <f t="shared" si="892"/>
        <v>0</v>
      </c>
      <c r="AW1349">
        <f t="shared" si="893"/>
        <v>0</v>
      </c>
      <c r="AX1349">
        <f t="shared" si="894"/>
        <v>0</v>
      </c>
      <c r="AY1349">
        <f t="shared" si="895"/>
        <v>0</v>
      </c>
    </row>
    <row r="1350" spans="1:51" ht="24" customHeight="1">
      <c r="A1350" s="110"/>
      <c r="B1350" s="57"/>
      <c r="C1350" s="1109"/>
      <c r="D1350" s="954"/>
      <c r="E1350" s="956"/>
      <c r="F1350" s="1110" t="s">
        <v>4933</v>
      </c>
      <c r="G1350" s="1110"/>
      <c r="H1350" s="178"/>
      <c r="I1350" s="1111" t="s">
        <v>4934</v>
      </c>
      <c r="J1350" s="1111"/>
      <c r="K1350" s="1111"/>
      <c r="L1350" s="1111"/>
      <c r="M1350" s="1111"/>
      <c r="N1350" s="1111"/>
      <c r="O1350" s="1112"/>
      <c r="P1350" s="100"/>
      <c r="Q1350" s="100"/>
      <c r="R1350" s="100"/>
      <c r="S1350" s="100"/>
      <c r="T1350" s="100"/>
      <c r="U1350" s="100"/>
      <c r="V1350" s="100"/>
      <c r="W1350" s="100"/>
      <c r="X1350" s="100"/>
      <c r="Y1350" s="100"/>
      <c r="Z1350" s="100"/>
      <c r="AA1350" s="100"/>
      <c r="AB1350" s="100"/>
      <c r="AC1350" s="100"/>
      <c r="AD1350" s="100"/>
      <c r="AF1350"/>
      <c r="AG1350">
        <f t="shared" si="896"/>
        <v>0</v>
      </c>
      <c r="AH1350">
        <f t="shared" si="880"/>
        <v>0</v>
      </c>
      <c r="AK1350">
        <f t="shared" si="881"/>
        <v>0</v>
      </c>
      <c r="AL1350">
        <f t="shared" si="882"/>
        <v>0</v>
      </c>
      <c r="AM1350">
        <f t="shared" si="883"/>
        <v>0</v>
      </c>
      <c r="AN1350">
        <f t="shared" si="884"/>
        <v>0</v>
      </c>
      <c r="AO1350">
        <f t="shared" si="885"/>
        <v>0</v>
      </c>
      <c r="AP1350">
        <f t="shared" si="886"/>
        <v>0</v>
      </c>
      <c r="AQ1350">
        <f t="shared" si="887"/>
        <v>0</v>
      </c>
      <c r="AR1350">
        <f t="shared" si="888"/>
        <v>0</v>
      </c>
      <c r="AS1350">
        <f t="shared" si="889"/>
        <v>0</v>
      </c>
      <c r="AT1350">
        <f t="shared" si="890"/>
        <v>0</v>
      </c>
      <c r="AU1350">
        <f t="shared" si="891"/>
        <v>0</v>
      </c>
      <c r="AV1350">
        <f t="shared" si="892"/>
        <v>0</v>
      </c>
      <c r="AW1350">
        <f t="shared" si="893"/>
        <v>0</v>
      </c>
      <c r="AX1350">
        <f t="shared" si="894"/>
        <v>0</v>
      </c>
      <c r="AY1350">
        <f t="shared" si="895"/>
        <v>0</v>
      </c>
    </row>
    <row r="1351" spans="1:51" ht="15" customHeight="1">
      <c r="A1351" s="110"/>
      <c r="B1351" s="57"/>
      <c r="C1351" s="1109"/>
      <c r="D1351" s="954"/>
      <c r="E1351" s="956"/>
      <c r="F1351" s="1110" t="s">
        <v>4935</v>
      </c>
      <c r="G1351" s="1110"/>
      <c r="H1351" s="178"/>
      <c r="I1351" s="1111" t="s">
        <v>4936</v>
      </c>
      <c r="J1351" s="1111"/>
      <c r="K1351" s="1111"/>
      <c r="L1351" s="1111"/>
      <c r="M1351" s="1111"/>
      <c r="N1351" s="1111"/>
      <c r="O1351" s="1112"/>
      <c r="P1351" s="100"/>
      <c r="Q1351" s="100"/>
      <c r="R1351" s="100"/>
      <c r="S1351" s="100"/>
      <c r="T1351" s="100"/>
      <c r="U1351" s="100"/>
      <c r="V1351" s="100"/>
      <c r="W1351" s="100"/>
      <c r="X1351" s="100"/>
      <c r="Y1351" s="100"/>
      <c r="Z1351" s="100"/>
      <c r="AA1351" s="100"/>
      <c r="AB1351" s="100"/>
      <c r="AC1351" s="100"/>
      <c r="AD1351" s="100"/>
      <c r="AF1351"/>
      <c r="AG1351">
        <f t="shared" si="896"/>
        <v>0</v>
      </c>
      <c r="AH1351">
        <f t="shared" si="880"/>
        <v>0</v>
      </c>
      <c r="AK1351">
        <f t="shared" si="881"/>
        <v>0</v>
      </c>
      <c r="AL1351">
        <f t="shared" si="882"/>
        <v>0</v>
      </c>
      <c r="AM1351">
        <f t="shared" si="883"/>
        <v>0</v>
      </c>
      <c r="AN1351">
        <f t="shared" si="884"/>
        <v>0</v>
      </c>
      <c r="AO1351">
        <f t="shared" si="885"/>
        <v>0</v>
      </c>
      <c r="AP1351">
        <f t="shared" si="886"/>
        <v>0</v>
      </c>
      <c r="AQ1351">
        <f t="shared" si="887"/>
        <v>0</v>
      </c>
      <c r="AR1351">
        <f t="shared" si="888"/>
        <v>0</v>
      </c>
      <c r="AS1351">
        <f t="shared" si="889"/>
        <v>0</v>
      </c>
      <c r="AT1351">
        <f t="shared" si="890"/>
        <v>0</v>
      </c>
      <c r="AU1351">
        <f t="shared" si="891"/>
        <v>0</v>
      </c>
      <c r="AV1351">
        <f t="shared" si="892"/>
        <v>0</v>
      </c>
      <c r="AW1351">
        <f t="shared" si="893"/>
        <v>0</v>
      </c>
      <c r="AX1351">
        <f t="shared" si="894"/>
        <v>0</v>
      </c>
      <c r="AY1351">
        <f t="shared" si="895"/>
        <v>0</v>
      </c>
    </row>
    <row r="1352" spans="1:51" ht="15" customHeight="1">
      <c r="A1352" s="110"/>
      <c r="B1352" s="57"/>
      <c r="C1352" s="1109"/>
      <c r="D1352" s="954"/>
      <c r="E1352" s="956"/>
      <c r="F1352" s="1110" t="s">
        <v>4937</v>
      </c>
      <c r="G1352" s="1110"/>
      <c r="H1352" s="178"/>
      <c r="I1352" s="1111" t="s">
        <v>4938</v>
      </c>
      <c r="J1352" s="1111"/>
      <c r="K1352" s="1111"/>
      <c r="L1352" s="1111"/>
      <c r="M1352" s="1111"/>
      <c r="N1352" s="1111"/>
      <c r="O1352" s="1112"/>
      <c r="P1352" s="100"/>
      <c r="Q1352" s="100"/>
      <c r="R1352" s="100"/>
      <c r="S1352" s="100"/>
      <c r="T1352" s="100"/>
      <c r="U1352" s="100"/>
      <c r="V1352" s="100"/>
      <c r="W1352" s="100"/>
      <c r="X1352" s="100"/>
      <c r="Y1352" s="100"/>
      <c r="Z1352" s="100"/>
      <c r="AA1352" s="100"/>
      <c r="AB1352" s="100"/>
      <c r="AC1352" s="100"/>
      <c r="AD1352" s="100"/>
      <c r="AF1352"/>
      <c r="AG1352">
        <f t="shared" si="896"/>
        <v>0</v>
      </c>
      <c r="AH1352">
        <f t="shared" si="880"/>
        <v>0</v>
      </c>
      <c r="AK1352">
        <f t="shared" si="881"/>
        <v>0</v>
      </c>
      <c r="AL1352">
        <f t="shared" si="882"/>
        <v>0</v>
      </c>
      <c r="AM1352">
        <f t="shared" si="883"/>
        <v>0</v>
      </c>
      <c r="AN1352">
        <f t="shared" si="884"/>
        <v>0</v>
      </c>
      <c r="AO1352">
        <f t="shared" si="885"/>
        <v>0</v>
      </c>
      <c r="AP1352">
        <f t="shared" si="886"/>
        <v>0</v>
      </c>
      <c r="AQ1352">
        <f t="shared" si="887"/>
        <v>0</v>
      </c>
      <c r="AR1352">
        <f t="shared" si="888"/>
        <v>0</v>
      </c>
      <c r="AS1352">
        <f t="shared" si="889"/>
        <v>0</v>
      </c>
      <c r="AT1352">
        <f t="shared" si="890"/>
        <v>0</v>
      </c>
      <c r="AU1352">
        <f t="shared" si="891"/>
        <v>0</v>
      </c>
      <c r="AV1352">
        <f t="shared" si="892"/>
        <v>0</v>
      </c>
      <c r="AW1352">
        <f t="shared" si="893"/>
        <v>0</v>
      </c>
      <c r="AX1352">
        <f t="shared" si="894"/>
        <v>0</v>
      </c>
      <c r="AY1352">
        <f t="shared" si="895"/>
        <v>0</v>
      </c>
    </row>
    <row r="1353" spans="1:51" ht="15" customHeight="1">
      <c r="A1353" s="110"/>
      <c r="B1353" s="57"/>
      <c r="C1353" s="1109"/>
      <c r="D1353" s="954"/>
      <c r="E1353" s="956"/>
      <c r="F1353" s="1110" t="s">
        <v>4939</v>
      </c>
      <c r="G1353" s="1110"/>
      <c r="H1353" s="178"/>
      <c r="I1353" s="1111" t="s">
        <v>4940</v>
      </c>
      <c r="J1353" s="1111"/>
      <c r="K1353" s="1111"/>
      <c r="L1353" s="1111"/>
      <c r="M1353" s="1111"/>
      <c r="N1353" s="1111"/>
      <c r="O1353" s="1112"/>
      <c r="P1353" s="100"/>
      <c r="Q1353" s="100"/>
      <c r="R1353" s="100"/>
      <c r="S1353" s="100"/>
      <c r="T1353" s="100"/>
      <c r="U1353" s="100"/>
      <c r="V1353" s="100"/>
      <c r="W1353" s="100"/>
      <c r="X1353" s="100"/>
      <c r="Y1353" s="100"/>
      <c r="Z1353" s="100"/>
      <c r="AA1353" s="100"/>
      <c r="AB1353" s="100"/>
      <c r="AC1353" s="100"/>
      <c r="AD1353" s="100"/>
      <c r="AF1353"/>
      <c r="AG1353">
        <f t="shared" si="896"/>
        <v>0</v>
      </c>
      <c r="AH1353">
        <f t="shared" si="880"/>
        <v>0</v>
      </c>
      <c r="AK1353">
        <f t="shared" si="881"/>
        <v>0</v>
      </c>
      <c r="AL1353">
        <f t="shared" si="882"/>
        <v>0</v>
      </c>
      <c r="AM1353">
        <f t="shared" si="883"/>
        <v>0</v>
      </c>
      <c r="AN1353">
        <f t="shared" si="884"/>
        <v>0</v>
      </c>
      <c r="AO1353">
        <f t="shared" si="885"/>
        <v>0</v>
      </c>
      <c r="AP1353">
        <f t="shared" si="886"/>
        <v>0</v>
      </c>
      <c r="AQ1353">
        <f t="shared" si="887"/>
        <v>0</v>
      </c>
      <c r="AR1353">
        <f t="shared" si="888"/>
        <v>0</v>
      </c>
      <c r="AS1353">
        <f t="shared" si="889"/>
        <v>0</v>
      </c>
      <c r="AT1353">
        <f t="shared" si="890"/>
        <v>0</v>
      </c>
      <c r="AU1353">
        <f t="shared" si="891"/>
        <v>0</v>
      </c>
      <c r="AV1353">
        <f t="shared" si="892"/>
        <v>0</v>
      </c>
      <c r="AW1353">
        <f t="shared" si="893"/>
        <v>0</v>
      </c>
      <c r="AX1353">
        <f t="shared" si="894"/>
        <v>0</v>
      </c>
      <c r="AY1353">
        <f t="shared" si="895"/>
        <v>0</v>
      </c>
    </row>
    <row r="1354" spans="1:51" ht="24" customHeight="1">
      <c r="A1354" s="110"/>
      <c r="B1354" s="57"/>
      <c r="C1354" s="1109"/>
      <c r="D1354" s="954"/>
      <c r="E1354" s="956"/>
      <c r="F1354" s="1110" t="s">
        <v>4941</v>
      </c>
      <c r="G1354" s="1110"/>
      <c r="H1354" s="178"/>
      <c r="I1354" s="1111" t="s">
        <v>4942</v>
      </c>
      <c r="J1354" s="1111"/>
      <c r="K1354" s="1111"/>
      <c r="L1354" s="1111"/>
      <c r="M1354" s="1111"/>
      <c r="N1354" s="1111"/>
      <c r="O1354" s="1112"/>
      <c r="P1354" s="100"/>
      <c r="Q1354" s="100"/>
      <c r="R1354" s="100"/>
      <c r="S1354" s="100"/>
      <c r="T1354" s="100"/>
      <c r="U1354" s="100"/>
      <c r="V1354" s="100"/>
      <c r="W1354" s="100"/>
      <c r="X1354" s="100"/>
      <c r="Y1354" s="100"/>
      <c r="Z1354" s="100"/>
      <c r="AA1354" s="100"/>
      <c r="AB1354" s="100"/>
      <c r="AC1354" s="100"/>
      <c r="AD1354" s="100"/>
      <c r="AF1354"/>
      <c r="AG1354">
        <f t="shared" si="896"/>
        <v>0</v>
      </c>
      <c r="AH1354">
        <f t="shared" si="880"/>
        <v>0</v>
      </c>
      <c r="AK1354">
        <f t="shared" si="881"/>
        <v>0</v>
      </c>
      <c r="AL1354">
        <f t="shared" si="882"/>
        <v>0</v>
      </c>
      <c r="AM1354">
        <f t="shared" si="883"/>
        <v>0</v>
      </c>
      <c r="AN1354">
        <f t="shared" si="884"/>
        <v>0</v>
      </c>
      <c r="AO1354">
        <f t="shared" si="885"/>
        <v>0</v>
      </c>
      <c r="AP1354">
        <f t="shared" si="886"/>
        <v>0</v>
      </c>
      <c r="AQ1354">
        <f t="shared" si="887"/>
        <v>0</v>
      </c>
      <c r="AR1354">
        <f t="shared" si="888"/>
        <v>0</v>
      </c>
      <c r="AS1354">
        <f t="shared" si="889"/>
        <v>0</v>
      </c>
      <c r="AT1354">
        <f t="shared" si="890"/>
        <v>0</v>
      </c>
      <c r="AU1354">
        <f t="shared" si="891"/>
        <v>0</v>
      </c>
      <c r="AV1354">
        <f t="shared" si="892"/>
        <v>0</v>
      </c>
      <c r="AW1354">
        <f t="shared" si="893"/>
        <v>0</v>
      </c>
      <c r="AX1354">
        <f t="shared" si="894"/>
        <v>0</v>
      </c>
      <c r="AY1354">
        <f t="shared" si="895"/>
        <v>0</v>
      </c>
    </row>
    <row r="1355" spans="1:51" ht="15" customHeight="1">
      <c r="A1355" s="110"/>
      <c r="B1355" s="57"/>
      <c r="C1355" s="1109"/>
      <c r="D1355" s="954"/>
      <c r="E1355" s="956"/>
      <c r="F1355" s="1110" t="s">
        <v>4943</v>
      </c>
      <c r="G1355" s="1110"/>
      <c r="H1355" s="178"/>
      <c r="I1355" s="1111" t="s">
        <v>201</v>
      </c>
      <c r="J1355" s="1111"/>
      <c r="K1355" s="1111"/>
      <c r="L1355" s="1111"/>
      <c r="M1355" s="1111"/>
      <c r="N1355" s="1111"/>
      <c r="O1355" s="1112"/>
      <c r="P1355" s="100"/>
      <c r="Q1355" s="100"/>
      <c r="R1355" s="100"/>
      <c r="S1355" s="100"/>
      <c r="T1355" s="100"/>
      <c r="U1355" s="100"/>
      <c r="V1355" s="100"/>
      <c r="W1355" s="100"/>
      <c r="X1355" s="100"/>
      <c r="Y1355" s="100"/>
      <c r="Z1355" s="100"/>
      <c r="AA1355" s="100"/>
      <c r="AB1355" s="100"/>
      <c r="AC1355" s="100"/>
      <c r="AD1355" s="100"/>
      <c r="AF1355"/>
      <c r="AG1355">
        <f t="shared" si="896"/>
        <v>0</v>
      </c>
      <c r="AH1355">
        <f t="shared" si="880"/>
        <v>0</v>
      </c>
      <c r="AK1355">
        <f t="shared" si="881"/>
        <v>0</v>
      </c>
      <c r="AL1355">
        <f t="shared" si="882"/>
        <v>0</v>
      </c>
      <c r="AM1355">
        <f t="shared" si="883"/>
        <v>0</v>
      </c>
      <c r="AN1355">
        <f t="shared" si="884"/>
        <v>0</v>
      </c>
      <c r="AO1355">
        <f t="shared" si="885"/>
        <v>0</v>
      </c>
      <c r="AP1355">
        <f t="shared" si="886"/>
        <v>0</v>
      </c>
      <c r="AQ1355">
        <f t="shared" si="887"/>
        <v>0</v>
      </c>
      <c r="AR1355">
        <f t="shared" si="888"/>
        <v>0</v>
      </c>
      <c r="AS1355">
        <f t="shared" si="889"/>
        <v>0</v>
      </c>
      <c r="AT1355">
        <f t="shared" si="890"/>
        <v>0</v>
      </c>
      <c r="AU1355">
        <f t="shared" si="891"/>
        <v>0</v>
      </c>
      <c r="AV1355">
        <f t="shared" si="892"/>
        <v>0</v>
      </c>
      <c r="AW1355">
        <f t="shared" si="893"/>
        <v>0</v>
      </c>
      <c r="AX1355">
        <f t="shared" si="894"/>
        <v>0</v>
      </c>
      <c r="AY1355">
        <f t="shared" si="895"/>
        <v>0</v>
      </c>
    </row>
    <row r="1356" spans="1:51" ht="15" customHeight="1">
      <c r="A1356" s="110"/>
      <c r="B1356" s="57"/>
      <c r="C1356" s="1109"/>
      <c r="D1356" s="954"/>
      <c r="E1356" s="956"/>
      <c r="F1356" s="1117" t="s">
        <v>4944</v>
      </c>
      <c r="G1356" s="1118"/>
      <c r="H1356" s="1104" t="s">
        <v>4945</v>
      </c>
      <c r="I1356" s="1105"/>
      <c r="J1356" s="1105"/>
      <c r="K1356" s="1105"/>
      <c r="L1356" s="1105"/>
      <c r="M1356" s="1105"/>
      <c r="N1356" s="1105"/>
      <c r="O1356" s="1106"/>
      <c r="P1356" s="100"/>
      <c r="Q1356" s="100"/>
      <c r="R1356" s="100"/>
      <c r="S1356" s="100"/>
      <c r="T1356" s="100"/>
      <c r="U1356" s="100"/>
      <c r="V1356" s="100"/>
      <c r="W1356" s="100"/>
      <c r="X1356" s="100"/>
      <c r="Y1356" s="100"/>
      <c r="Z1356" s="100"/>
      <c r="AA1356" s="100"/>
      <c r="AB1356" s="100"/>
      <c r="AC1356" s="100"/>
      <c r="AD1356" s="100"/>
      <c r="AF1356">
        <f>IF(P1356="NA",IF(AND(COUNTIF(P1357:P1361,"="&amp;$AF$934)=0,COUNTIF(P1357:P1361,"&lt;&gt;NA")&gt;0),1,0),IF(AND(COUNTIF(P1357:P1361,"="&amp;$AF$934)=0,COUNTIF(P1357:P1361,"NA")=COUNTIF(P1357:P1361,"&lt;&gt;"&amp;$AF$934)),1,0))</f>
        <v>0</v>
      </c>
      <c r="AG1356">
        <f t="shared" si="896"/>
        <v>0</v>
      </c>
      <c r="AH1356">
        <f t="shared" si="880"/>
        <v>0</v>
      </c>
      <c r="AK1356">
        <f t="shared" si="881"/>
        <v>0</v>
      </c>
      <c r="AL1356">
        <f t="shared" si="882"/>
        <v>0</v>
      </c>
      <c r="AM1356">
        <f t="shared" si="883"/>
        <v>0</v>
      </c>
      <c r="AN1356">
        <f t="shared" si="884"/>
        <v>0</v>
      </c>
      <c r="AO1356">
        <f t="shared" si="885"/>
        <v>0</v>
      </c>
      <c r="AP1356">
        <f t="shared" si="886"/>
        <v>0</v>
      </c>
      <c r="AQ1356">
        <f t="shared" si="887"/>
        <v>0</v>
      </c>
      <c r="AR1356">
        <f t="shared" si="888"/>
        <v>0</v>
      </c>
      <c r="AS1356">
        <f t="shared" si="889"/>
        <v>0</v>
      </c>
      <c r="AT1356">
        <f t="shared" si="890"/>
        <v>0</v>
      </c>
      <c r="AU1356">
        <f t="shared" si="891"/>
        <v>0</v>
      </c>
      <c r="AV1356">
        <f t="shared" si="892"/>
        <v>0</v>
      </c>
      <c r="AW1356">
        <f t="shared" si="893"/>
        <v>0</v>
      </c>
      <c r="AX1356">
        <f t="shared" si="894"/>
        <v>0</v>
      </c>
      <c r="AY1356">
        <f t="shared" si="895"/>
        <v>0</v>
      </c>
    </row>
    <row r="1357" spans="1:51" ht="24" customHeight="1">
      <c r="A1357" s="110"/>
      <c r="B1357" s="57"/>
      <c r="C1357" s="1109"/>
      <c r="D1357" s="954"/>
      <c r="E1357" s="956"/>
      <c r="F1357" s="1119" t="s">
        <v>4946</v>
      </c>
      <c r="G1357" s="1120"/>
      <c r="H1357" s="178"/>
      <c r="I1357" s="1111" t="s">
        <v>4947</v>
      </c>
      <c r="J1357" s="1111"/>
      <c r="K1357" s="1111"/>
      <c r="L1357" s="1111"/>
      <c r="M1357" s="1111"/>
      <c r="N1357" s="1111"/>
      <c r="O1357" s="1112"/>
      <c r="P1357" s="100"/>
      <c r="Q1357" s="100"/>
      <c r="R1357" s="100"/>
      <c r="S1357" s="100"/>
      <c r="T1357" s="100"/>
      <c r="U1357" s="100"/>
      <c r="V1357" s="100"/>
      <c r="W1357" s="100"/>
      <c r="X1357" s="100"/>
      <c r="Y1357" s="100"/>
      <c r="Z1357" s="100"/>
      <c r="AA1357" s="100"/>
      <c r="AB1357" s="100"/>
      <c r="AC1357" s="100"/>
      <c r="AD1357" s="100"/>
      <c r="AF1357"/>
      <c r="AG1357">
        <f t="shared" si="896"/>
        <v>0</v>
      </c>
      <c r="AH1357">
        <f t="shared" si="880"/>
        <v>0</v>
      </c>
      <c r="AK1357">
        <f t="shared" si="881"/>
        <v>0</v>
      </c>
      <c r="AL1357">
        <f t="shared" si="882"/>
        <v>0</v>
      </c>
      <c r="AM1357">
        <f t="shared" si="883"/>
        <v>0</v>
      </c>
      <c r="AN1357">
        <f t="shared" si="884"/>
        <v>0</v>
      </c>
      <c r="AO1357">
        <f t="shared" si="885"/>
        <v>0</v>
      </c>
      <c r="AP1357">
        <f t="shared" si="886"/>
        <v>0</v>
      </c>
      <c r="AQ1357">
        <f t="shared" si="887"/>
        <v>0</v>
      </c>
      <c r="AR1357">
        <f t="shared" si="888"/>
        <v>0</v>
      </c>
      <c r="AS1357">
        <f t="shared" si="889"/>
        <v>0</v>
      </c>
      <c r="AT1357">
        <f t="shared" si="890"/>
        <v>0</v>
      </c>
      <c r="AU1357">
        <f t="shared" si="891"/>
        <v>0</v>
      </c>
      <c r="AV1357">
        <f t="shared" si="892"/>
        <v>0</v>
      </c>
      <c r="AW1357">
        <f t="shared" si="893"/>
        <v>0</v>
      </c>
      <c r="AX1357">
        <f t="shared" si="894"/>
        <v>0</v>
      </c>
      <c r="AY1357">
        <f t="shared" si="895"/>
        <v>0</v>
      </c>
    </row>
    <row r="1358" spans="1:51" ht="24" customHeight="1">
      <c r="A1358" s="110"/>
      <c r="B1358" s="57"/>
      <c r="C1358" s="1109"/>
      <c r="D1358" s="954"/>
      <c r="E1358" s="956"/>
      <c r="F1358" s="1119" t="s">
        <v>4948</v>
      </c>
      <c r="G1358" s="1120"/>
      <c r="H1358" s="178"/>
      <c r="I1358" s="1111" t="s">
        <v>4949</v>
      </c>
      <c r="J1358" s="1111"/>
      <c r="K1358" s="1111"/>
      <c r="L1358" s="1111"/>
      <c r="M1358" s="1111"/>
      <c r="N1358" s="1111"/>
      <c r="O1358" s="1112"/>
      <c r="P1358" s="100"/>
      <c r="Q1358" s="100"/>
      <c r="R1358" s="100"/>
      <c r="S1358" s="100"/>
      <c r="T1358" s="100"/>
      <c r="U1358" s="100"/>
      <c r="V1358" s="100"/>
      <c r="W1358" s="100"/>
      <c r="X1358" s="100"/>
      <c r="Y1358" s="100"/>
      <c r="Z1358" s="100"/>
      <c r="AA1358" s="100"/>
      <c r="AB1358" s="100"/>
      <c r="AC1358" s="100"/>
      <c r="AD1358" s="100"/>
      <c r="AF1358"/>
      <c r="AG1358">
        <f t="shared" si="896"/>
        <v>0</v>
      </c>
      <c r="AH1358">
        <f t="shared" si="880"/>
        <v>0</v>
      </c>
      <c r="AK1358">
        <f t="shared" si="881"/>
        <v>0</v>
      </c>
      <c r="AL1358">
        <f t="shared" si="882"/>
        <v>0</v>
      </c>
      <c r="AM1358">
        <f t="shared" si="883"/>
        <v>0</v>
      </c>
      <c r="AN1358">
        <f t="shared" si="884"/>
        <v>0</v>
      </c>
      <c r="AO1358">
        <f t="shared" si="885"/>
        <v>0</v>
      </c>
      <c r="AP1358">
        <f t="shared" si="886"/>
        <v>0</v>
      </c>
      <c r="AQ1358">
        <f t="shared" si="887"/>
        <v>0</v>
      </c>
      <c r="AR1358">
        <f t="shared" si="888"/>
        <v>0</v>
      </c>
      <c r="AS1358">
        <f t="shared" si="889"/>
        <v>0</v>
      </c>
      <c r="AT1358">
        <f t="shared" si="890"/>
        <v>0</v>
      </c>
      <c r="AU1358">
        <f t="shared" si="891"/>
        <v>0</v>
      </c>
      <c r="AV1358">
        <f t="shared" si="892"/>
        <v>0</v>
      </c>
      <c r="AW1358">
        <f t="shared" si="893"/>
        <v>0</v>
      </c>
      <c r="AX1358">
        <f t="shared" si="894"/>
        <v>0</v>
      </c>
      <c r="AY1358">
        <f t="shared" si="895"/>
        <v>0</v>
      </c>
    </row>
    <row r="1359" spans="1:51" ht="24" customHeight="1">
      <c r="A1359" s="110"/>
      <c r="B1359" s="57"/>
      <c r="C1359" s="1109"/>
      <c r="D1359" s="954"/>
      <c r="E1359" s="956"/>
      <c r="F1359" s="1119" t="s">
        <v>4950</v>
      </c>
      <c r="G1359" s="1120"/>
      <c r="H1359" s="178"/>
      <c r="I1359" s="1111" t="s">
        <v>4951</v>
      </c>
      <c r="J1359" s="1111"/>
      <c r="K1359" s="1111"/>
      <c r="L1359" s="1111"/>
      <c r="M1359" s="1111"/>
      <c r="N1359" s="1111"/>
      <c r="O1359" s="1112"/>
      <c r="P1359" s="100"/>
      <c r="Q1359" s="100"/>
      <c r="R1359" s="100"/>
      <c r="S1359" s="100"/>
      <c r="T1359" s="100"/>
      <c r="U1359" s="100"/>
      <c r="V1359" s="100"/>
      <c r="W1359" s="100"/>
      <c r="X1359" s="100"/>
      <c r="Y1359" s="100"/>
      <c r="Z1359" s="100"/>
      <c r="AA1359" s="100"/>
      <c r="AB1359" s="100"/>
      <c r="AC1359" s="100"/>
      <c r="AD1359" s="100"/>
      <c r="AF1359"/>
      <c r="AG1359">
        <f t="shared" si="896"/>
        <v>0</v>
      </c>
      <c r="AH1359">
        <f t="shared" si="880"/>
        <v>0</v>
      </c>
      <c r="AK1359">
        <f t="shared" si="881"/>
        <v>0</v>
      </c>
      <c r="AL1359">
        <f t="shared" si="882"/>
        <v>0</v>
      </c>
      <c r="AM1359">
        <f t="shared" si="883"/>
        <v>0</v>
      </c>
      <c r="AN1359">
        <f t="shared" si="884"/>
        <v>0</v>
      </c>
      <c r="AO1359">
        <f t="shared" si="885"/>
        <v>0</v>
      </c>
      <c r="AP1359">
        <f t="shared" si="886"/>
        <v>0</v>
      </c>
      <c r="AQ1359">
        <f t="shared" si="887"/>
        <v>0</v>
      </c>
      <c r="AR1359">
        <f t="shared" si="888"/>
        <v>0</v>
      </c>
      <c r="AS1359">
        <f t="shared" si="889"/>
        <v>0</v>
      </c>
      <c r="AT1359">
        <f t="shared" si="890"/>
        <v>0</v>
      </c>
      <c r="AU1359">
        <f t="shared" si="891"/>
        <v>0</v>
      </c>
      <c r="AV1359">
        <f t="shared" si="892"/>
        <v>0</v>
      </c>
      <c r="AW1359">
        <f t="shared" si="893"/>
        <v>0</v>
      </c>
      <c r="AX1359">
        <f t="shared" si="894"/>
        <v>0</v>
      </c>
      <c r="AY1359">
        <f t="shared" si="895"/>
        <v>0</v>
      </c>
    </row>
    <row r="1360" spans="1:51" ht="15" customHeight="1">
      <c r="A1360" s="110"/>
      <c r="B1360" s="57"/>
      <c r="C1360" s="1109"/>
      <c r="D1360" s="954"/>
      <c r="E1360" s="956"/>
      <c r="F1360" s="1119" t="s">
        <v>4952</v>
      </c>
      <c r="G1360" s="1120"/>
      <c r="H1360" s="178"/>
      <c r="I1360" s="1111" t="s">
        <v>4953</v>
      </c>
      <c r="J1360" s="1111"/>
      <c r="K1360" s="1111"/>
      <c r="L1360" s="1111"/>
      <c r="M1360" s="1111"/>
      <c r="N1360" s="1111"/>
      <c r="O1360" s="1112"/>
      <c r="P1360" s="100"/>
      <c r="Q1360" s="100"/>
      <c r="R1360" s="100"/>
      <c r="S1360" s="100"/>
      <c r="T1360" s="100"/>
      <c r="U1360" s="100"/>
      <c r="V1360" s="100"/>
      <c r="W1360" s="100"/>
      <c r="X1360" s="100"/>
      <c r="Y1360" s="100"/>
      <c r="Z1360" s="100"/>
      <c r="AA1360" s="100"/>
      <c r="AB1360" s="100"/>
      <c r="AC1360" s="100"/>
      <c r="AD1360" s="100"/>
      <c r="AF1360"/>
      <c r="AG1360">
        <f t="shared" si="896"/>
        <v>0</v>
      </c>
      <c r="AH1360">
        <f t="shared" si="880"/>
        <v>0</v>
      </c>
      <c r="AK1360">
        <f t="shared" si="881"/>
        <v>0</v>
      </c>
      <c r="AL1360">
        <f t="shared" si="882"/>
        <v>0</v>
      </c>
      <c r="AM1360">
        <f t="shared" si="883"/>
        <v>0</v>
      </c>
      <c r="AN1360">
        <f t="shared" si="884"/>
        <v>0</v>
      </c>
      <c r="AO1360">
        <f t="shared" si="885"/>
        <v>0</v>
      </c>
      <c r="AP1360">
        <f t="shared" si="886"/>
        <v>0</v>
      </c>
      <c r="AQ1360">
        <f t="shared" si="887"/>
        <v>0</v>
      </c>
      <c r="AR1360">
        <f t="shared" si="888"/>
        <v>0</v>
      </c>
      <c r="AS1360">
        <f t="shared" si="889"/>
        <v>0</v>
      </c>
      <c r="AT1360">
        <f t="shared" si="890"/>
        <v>0</v>
      </c>
      <c r="AU1360">
        <f t="shared" si="891"/>
        <v>0</v>
      </c>
      <c r="AV1360">
        <f t="shared" si="892"/>
        <v>0</v>
      </c>
      <c r="AW1360">
        <f t="shared" si="893"/>
        <v>0</v>
      </c>
      <c r="AX1360">
        <f t="shared" si="894"/>
        <v>0</v>
      </c>
      <c r="AY1360">
        <f t="shared" si="895"/>
        <v>0</v>
      </c>
    </row>
    <row r="1361" spans="1:51" ht="15" customHeight="1">
      <c r="A1361" s="110"/>
      <c r="B1361" s="57"/>
      <c r="C1361" s="1109"/>
      <c r="D1361" s="954"/>
      <c r="E1361" s="956"/>
      <c r="F1361" s="1119" t="s">
        <v>4954</v>
      </c>
      <c r="G1361" s="1120"/>
      <c r="H1361" s="178"/>
      <c r="I1361" s="1111" t="s">
        <v>201</v>
      </c>
      <c r="J1361" s="1111"/>
      <c r="K1361" s="1111"/>
      <c r="L1361" s="1111"/>
      <c r="M1361" s="1111"/>
      <c r="N1361" s="1111"/>
      <c r="O1361" s="1112"/>
      <c r="P1361" s="100"/>
      <c r="Q1361" s="100"/>
      <c r="R1361" s="100"/>
      <c r="S1361" s="100"/>
      <c r="T1361" s="100"/>
      <c r="U1361" s="100"/>
      <c r="V1361" s="100"/>
      <c r="W1361" s="100"/>
      <c r="X1361" s="100"/>
      <c r="Y1361" s="100"/>
      <c r="Z1361" s="100"/>
      <c r="AA1361" s="100"/>
      <c r="AB1361" s="100"/>
      <c r="AC1361" s="100"/>
      <c r="AD1361" s="100"/>
      <c r="AF1361"/>
      <c r="AG1361">
        <f t="shared" si="896"/>
        <v>0</v>
      </c>
      <c r="AH1361">
        <f t="shared" si="880"/>
        <v>0</v>
      </c>
      <c r="AK1361">
        <f t="shared" si="881"/>
        <v>0</v>
      </c>
      <c r="AL1361">
        <f t="shared" si="882"/>
        <v>0</v>
      </c>
      <c r="AM1361">
        <f t="shared" si="883"/>
        <v>0</v>
      </c>
      <c r="AN1361">
        <f t="shared" si="884"/>
        <v>0</v>
      </c>
      <c r="AO1361">
        <f t="shared" si="885"/>
        <v>0</v>
      </c>
      <c r="AP1361">
        <f t="shared" si="886"/>
        <v>0</v>
      </c>
      <c r="AQ1361">
        <f t="shared" si="887"/>
        <v>0</v>
      </c>
      <c r="AR1361">
        <f t="shared" si="888"/>
        <v>0</v>
      </c>
      <c r="AS1361">
        <f t="shared" si="889"/>
        <v>0</v>
      </c>
      <c r="AT1361">
        <f t="shared" si="890"/>
        <v>0</v>
      </c>
      <c r="AU1361">
        <f t="shared" si="891"/>
        <v>0</v>
      </c>
      <c r="AV1361">
        <f t="shared" si="892"/>
        <v>0</v>
      </c>
      <c r="AW1361">
        <f t="shared" si="893"/>
        <v>0</v>
      </c>
      <c r="AX1361">
        <f t="shared" si="894"/>
        <v>0</v>
      </c>
      <c r="AY1361">
        <f t="shared" si="895"/>
        <v>0</v>
      </c>
    </row>
    <row r="1362" spans="1:51" ht="24" customHeight="1">
      <c r="A1362" s="110"/>
      <c r="B1362" s="57"/>
      <c r="C1362" s="1109"/>
      <c r="D1362" s="954"/>
      <c r="E1362" s="956"/>
      <c r="F1362" s="1103" t="s">
        <v>4955</v>
      </c>
      <c r="G1362" s="1103"/>
      <c r="H1362" s="1104" t="s">
        <v>4956</v>
      </c>
      <c r="I1362" s="1105"/>
      <c r="J1362" s="1105"/>
      <c r="K1362" s="1105"/>
      <c r="L1362" s="1105"/>
      <c r="M1362" s="1105"/>
      <c r="N1362" s="1105"/>
      <c r="O1362" s="1106"/>
      <c r="P1362" s="100"/>
      <c r="Q1362" s="100"/>
      <c r="R1362" s="100"/>
      <c r="S1362" s="100"/>
      <c r="T1362" s="100"/>
      <c r="U1362" s="100"/>
      <c r="V1362" s="100"/>
      <c r="W1362" s="100"/>
      <c r="X1362" s="100"/>
      <c r="Y1362" s="100"/>
      <c r="Z1362" s="100"/>
      <c r="AA1362" s="100"/>
      <c r="AB1362" s="100"/>
      <c r="AC1362" s="100"/>
      <c r="AD1362" s="100"/>
      <c r="AF1362"/>
      <c r="AG1362">
        <f t="shared" si="896"/>
        <v>0</v>
      </c>
      <c r="AH1362">
        <f t="shared" si="880"/>
        <v>0</v>
      </c>
      <c r="AK1362">
        <f t="shared" si="881"/>
        <v>0</v>
      </c>
      <c r="AL1362">
        <f t="shared" si="882"/>
        <v>0</v>
      </c>
      <c r="AM1362">
        <f t="shared" si="883"/>
        <v>0</v>
      </c>
      <c r="AN1362">
        <f t="shared" si="884"/>
        <v>0</v>
      </c>
      <c r="AO1362">
        <f t="shared" si="885"/>
        <v>0</v>
      </c>
      <c r="AP1362">
        <f t="shared" si="886"/>
        <v>0</v>
      </c>
      <c r="AQ1362">
        <f t="shared" si="887"/>
        <v>0</v>
      </c>
      <c r="AR1362">
        <f t="shared" si="888"/>
        <v>0</v>
      </c>
      <c r="AS1362">
        <f t="shared" si="889"/>
        <v>0</v>
      </c>
      <c r="AT1362">
        <f t="shared" si="890"/>
        <v>0</v>
      </c>
      <c r="AU1362">
        <f t="shared" si="891"/>
        <v>0</v>
      </c>
      <c r="AV1362">
        <f t="shared" si="892"/>
        <v>0</v>
      </c>
      <c r="AW1362">
        <f t="shared" si="893"/>
        <v>0</v>
      </c>
      <c r="AX1362">
        <f t="shared" si="894"/>
        <v>0</v>
      </c>
      <c r="AY1362">
        <f t="shared" si="895"/>
        <v>0</v>
      </c>
    </row>
    <row r="1363" spans="1:51" ht="15" customHeight="1">
      <c r="A1363" s="110"/>
      <c r="B1363" s="57"/>
      <c r="C1363" s="1109"/>
      <c r="D1363" s="954"/>
      <c r="E1363" s="956"/>
      <c r="F1363" s="1103" t="s">
        <v>4957</v>
      </c>
      <c r="G1363" s="1103"/>
      <c r="H1363" s="1104" t="s">
        <v>4958</v>
      </c>
      <c r="I1363" s="1105"/>
      <c r="J1363" s="1105"/>
      <c r="K1363" s="1105"/>
      <c r="L1363" s="1105"/>
      <c r="M1363" s="1105"/>
      <c r="N1363" s="1105"/>
      <c r="O1363" s="1106"/>
      <c r="P1363" s="100"/>
      <c r="Q1363" s="100"/>
      <c r="R1363" s="100"/>
      <c r="S1363" s="100"/>
      <c r="T1363" s="100"/>
      <c r="U1363" s="100"/>
      <c r="V1363" s="100"/>
      <c r="W1363" s="100"/>
      <c r="X1363" s="100"/>
      <c r="Y1363" s="100"/>
      <c r="Z1363" s="100"/>
      <c r="AA1363" s="100"/>
      <c r="AB1363" s="100"/>
      <c r="AC1363" s="100"/>
      <c r="AD1363" s="100"/>
      <c r="AF1363"/>
      <c r="AG1363">
        <f t="shared" si="896"/>
        <v>0</v>
      </c>
      <c r="AH1363">
        <f t="shared" si="880"/>
        <v>0</v>
      </c>
      <c r="AK1363">
        <f t="shared" si="881"/>
        <v>0</v>
      </c>
      <c r="AL1363">
        <f t="shared" si="882"/>
        <v>0</v>
      </c>
      <c r="AM1363">
        <f t="shared" si="883"/>
        <v>0</v>
      </c>
      <c r="AN1363">
        <f t="shared" si="884"/>
        <v>0</v>
      </c>
      <c r="AO1363">
        <f t="shared" si="885"/>
        <v>0</v>
      </c>
      <c r="AP1363">
        <f t="shared" si="886"/>
        <v>0</v>
      </c>
      <c r="AQ1363">
        <f t="shared" si="887"/>
        <v>0</v>
      </c>
      <c r="AR1363">
        <f t="shared" si="888"/>
        <v>0</v>
      </c>
      <c r="AS1363">
        <f t="shared" si="889"/>
        <v>0</v>
      </c>
      <c r="AT1363">
        <f t="shared" si="890"/>
        <v>0</v>
      </c>
      <c r="AU1363">
        <f t="shared" si="891"/>
        <v>0</v>
      </c>
      <c r="AV1363">
        <f t="shared" si="892"/>
        <v>0</v>
      </c>
      <c r="AW1363">
        <f t="shared" si="893"/>
        <v>0</v>
      </c>
      <c r="AX1363">
        <f t="shared" si="894"/>
        <v>0</v>
      </c>
      <c r="AY1363">
        <f t="shared" si="895"/>
        <v>0</v>
      </c>
    </row>
    <row r="1364" spans="1:51" ht="15" customHeight="1">
      <c r="A1364" s="110"/>
      <c r="B1364" s="57"/>
      <c r="C1364" s="1109"/>
      <c r="D1364" s="954"/>
      <c r="E1364" s="956"/>
      <c r="F1364" s="1103" t="s">
        <v>4959</v>
      </c>
      <c r="G1364" s="1103"/>
      <c r="H1364" s="1104" t="s">
        <v>4960</v>
      </c>
      <c r="I1364" s="1105"/>
      <c r="J1364" s="1105"/>
      <c r="K1364" s="1105"/>
      <c r="L1364" s="1105"/>
      <c r="M1364" s="1105"/>
      <c r="N1364" s="1105"/>
      <c r="O1364" s="1106"/>
      <c r="P1364" s="100"/>
      <c r="Q1364" s="100"/>
      <c r="R1364" s="100"/>
      <c r="S1364" s="100"/>
      <c r="T1364" s="100"/>
      <c r="U1364" s="100"/>
      <c r="V1364" s="100"/>
      <c r="W1364" s="100"/>
      <c r="X1364" s="100"/>
      <c r="Y1364" s="100"/>
      <c r="Z1364" s="100"/>
      <c r="AA1364" s="100"/>
      <c r="AB1364" s="100"/>
      <c r="AC1364" s="100"/>
      <c r="AD1364" s="100"/>
      <c r="AF1364"/>
      <c r="AG1364">
        <f t="shared" si="896"/>
        <v>0</v>
      </c>
      <c r="AH1364">
        <f t="shared" si="880"/>
        <v>0</v>
      </c>
      <c r="AK1364">
        <f t="shared" si="881"/>
        <v>0</v>
      </c>
      <c r="AL1364">
        <f t="shared" si="882"/>
        <v>0</v>
      </c>
      <c r="AM1364">
        <f t="shared" si="883"/>
        <v>0</v>
      </c>
      <c r="AN1364">
        <f t="shared" si="884"/>
        <v>0</v>
      </c>
      <c r="AO1364">
        <f t="shared" si="885"/>
        <v>0</v>
      </c>
      <c r="AP1364">
        <f t="shared" si="886"/>
        <v>0</v>
      </c>
      <c r="AQ1364">
        <f t="shared" si="887"/>
        <v>0</v>
      </c>
      <c r="AR1364">
        <f t="shared" si="888"/>
        <v>0</v>
      </c>
      <c r="AS1364">
        <f t="shared" si="889"/>
        <v>0</v>
      </c>
      <c r="AT1364">
        <f t="shared" si="890"/>
        <v>0</v>
      </c>
      <c r="AU1364">
        <f t="shared" si="891"/>
        <v>0</v>
      </c>
      <c r="AV1364">
        <f t="shared" si="892"/>
        <v>0</v>
      </c>
      <c r="AW1364">
        <f t="shared" si="893"/>
        <v>0</v>
      </c>
      <c r="AX1364">
        <f t="shared" si="894"/>
        <v>0</v>
      </c>
      <c r="AY1364">
        <f t="shared" si="895"/>
        <v>0</v>
      </c>
    </row>
    <row r="1365" spans="1:51" ht="15" customHeight="1">
      <c r="A1365" s="110"/>
      <c r="B1365" s="57"/>
      <c r="C1365" s="1109"/>
      <c r="D1365" s="954"/>
      <c r="E1365" s="956"/>
      <c r="F1365" s="1103" t="s">
        <v>4961</v>
      </c>
      <c r="G1365" s="1103"/>
      <c r="H1365" s="1104" t="s">
        <v>4962</v>
      </c>
      <c r="I1365" s="1105"/>
      <c r="J1365" s="1105"/>
      <c r="K1365" s="1105"/>
      <c r="L1365" s="1105"/>
      <c r="M1365" s="1105"/>
      <c r="N1365" s="1105"/>
      <c r="O1365" s="1106"/>
      <c r="P1365" s="100"/>
      <c r="Q1365" s="100"/>
      <c r="R1365" s="100"/>
      <c r="S1365" s="100"/>
      <c r="T1365" s="100"/>
      <c r="U1365" s="100"/>
      <c r="V1365" s="100"/>
      <c r="W1365" s="100"/>
      <c r="X1365" s="100"/>
      <c r="Y1365" s="100"/>
      <c r="Z1365" s="100"/>
      <c r="AA1365" s="100"/>
      <c r="AB1365" s="100"/>
      <c r="AC1365" s="100"/>
      <c r="AD1365" s="100"/>
      <c r="AF1365"/>
      <c r="AG1365">
        <f t="shared" si="896"/>
        <v>0</v>
      </c>
      <c r="AH1365">
        <f t="shared" si="880"/>
        <v>0</v>
      </c>
      <c r="AJ1365">
        <f>IF(OR(P1365="NS",P1365="NA",$P$896=0,$P$896="NS",$P$896="NA"),0,IF((P1365*(IFERROR(100/SUM(P1348:P1365),0)))&gt;25,1,0))</f>
        <v>0</v>
      </c>
      <c r="AK1365">
        <f t="shared" si="881"/>
        <v>0</v>
      </c>
      <c r="AL1365">
        <f t="shared" si="882"/>
        <v>0</v>
      </c>
      <c r="AM1365">
        <f t="shared" si="883"/>
        <v>0</v>
      </c>
      <c r="AN1365">
        <f t="shared" si="884"/>
        <v>0</v>
      </c>
      <c r="AO1365">
        <f t="shared" si="885"/>
        <v>0</v>
      </c>
      <c r="AP1365">
        <f t="shared" si="886"/>
        <v>0</v>
      </c>
      <c r="AQ1365">
        <f t="shared" si="887"/>
        <v>0</v>
      </c>
      <c r="AR1365">
        <f t="shared" si="888"/>
        <v>0</v>
      </c>
      <c r="AS1365">
        <f t="shared" si="889"/>
        <v>0</v>
      </c>
      <c r="AT1365">
        <f t="shared" si="890"/>
        <v>0</v>
      </c>
      <c r="AU1365">
        <f t="shared" si="891"/>
        <v>0</v>
      </c>
      <c r="AV1365">
        <f t="shared" si="892"/>
        <v>0</v>
      </c>
      <c r="AW1365">
        <f t="shared" si="893"/>
        <v>0</v>
      </c>
      <c r="AX1365">
        <f t="shared" si="894"/>
        <v>0</v>
      </c>
      <c r="AY1365">
        <f t="shared" si="895"/>
        <v>0</v>
      </c>
    </row>
    <row r="1366" spans="1:51" ht="36" customHeight="1">
      <c r="A1366" s="110"/>
      <c r="B1366" s="57"/>
      <c r="C1366" s="1108" t="s">
        <v>4963</v>
      </c>
      <c r="D1366" s="847" t="s">
        <v>4964</v>
      </c>
      <c r="E1366" s="848"/>
      <c r="F1366" s="1103" t="s">
        <v>4965</v>
      </c>
      <c r="G1366" s="1103"/>
      <c r="H1366" s="1104" t="s">
        <v>4966</v>
      </c>
      <c r="I1366" s="1105"/>
      <c r="J1366" s="1105"/>
      <c r="K1366" s="1105"/>
      <c r="L1366" s="1105"/>
      <c r="M1366" s="1105"/>
      <c r="N1366" s="1105"/>
      <c r="O1366" s="1106"/>
      <c r="P1366" s="100"/>
      <c r="Q1366" s="100"/>
      <c r="R1366" s="100"/>
      <c r="S1366" s="100"/>
      <c r="T1366" s="100"/>
      <c r="U1366" s="100"/>
      <c r="V1366" s="100"/>
      <c r="W1366" s="100"/>
      <c r="X1366" s="100"/>
      <c r="Y1366" s="100"/>
      <c r="Z1366" s="100"/>
      <c r="AA1366" s="100"/>
      <c r="AB1366" s="100"/>
      <c r="AC1366" s="100"/>
      <c r="AD1366" s="100"/>
      <c r="AF1366">
        <f>IF(P1366="NA",IF(AND(COUNTIF(P1367:P1372,"="&amp;$AF$934)=0,COUNTIF(P1367:P1372,"&lt;&gt;NA")&gt;0),1,0),IF(AND(COUNTIF(P1367:P1372,"="&amp;$AF$934)=0,COUNTIF(P1367:P1372,"NA")=COUNTIF(P1367:P1372,"&lt;&gt;"&amp;$AF$934)),1,0))</f>
        <v>0</v>
      </c>
      <c r="AG1366">
        <f t="shared" si="896"/>
        <v>0</v>
      </c>
      <c r="AH1366">
        <f t="shared" si="880"/>
        <v>0</v>
      </c>
      <c r="AK1366">
        <f t="shared" si="881"/>
        <v>0</v>
      </c>
      <c r="AL1366">
        <f t="shared" si="882"/>
        <v>0</v>
      </c>
      <c r="AM1366">
        <f t="shared" si="883"/>
        <v>0</v>
      </c>
      <c r="AN1366">
        <f t="shared" si="884"/>
        <v>0</v>
      </c>
      <c r="AO1366">
        <f t="shared" si="885"/>
        <v>0</v>
      </c>
      <c r="AP1366">
        <f t="shared" si="886"/>
        <v>0</v>
      </c>
      <c r="AQ1366">
        <f t="shared" si="887"/>
        <v>0</v>
      </c>
      <c r="AR1366">
        <f t="shared" si="888"/>
        <v>0</v>
      </c>
      <c r="AS1366">
        <f t="shared" si="889"/>
        <v>0</v>
      </c>
      <c r="AT1366">
        <f t="shared" si="890"/>
        <v>0</v>
      </c>
      <c r="AU1366">
        <f t="shared" si="891"/>
        <v>0</v>
      </c>
      <c r="AV1366">
        <f t="shared" si="892"/>
        <v>0</v>
      </c>
      <c r="AW1366">
        <f t="shared" si="893"/>
        <v>0</v>
      </c>
      <c r="AX1366">
        <f t="shared" si="894"/>
        <v>0</v>
      </c>
      <c r="AY1366">
        <f t="shared" si="895"/>
        <v>0</v>
      </c>
    </row>
    <row r="1367" spans="1:51" ht="15" customHeight="1">
      <c r="A1367" s="110"/>
      <c r="B1367" s="57"/>
      <c r="C1367" s="1109"/>
      <c r="D1367" s="954"/>
      <c r="E1367" s="956"/>
      <c r="F1367" s="1110" t="s">
        <v>4967</v>
      </c>
      <c r="G1367" s="1110"/>
      <c r="H1367" s="178"/>
      <c r="I1367" s="1111" t="s">
        <v>4968</v>
      </c>
      <c r="J1367" s="1111"/>
      <c r="K1367" s="1111"/>
      <c r="L1367" s="1111"/>
      <c r="M1367" s="1111"/>
      <c r="N1367" s="1111"/>
      <c r="O1367" s="1112"/>
      <c r="P1367" s="100"/>
      <c r="Q1367" s="100"/>
      <c r="R1367" s="100"/>
      <c r="S1367" s="100"/>
      <c r="T1367" s="100"/>
      <c r="U1367" s="100"/>
      <c r="V1367" s="100"/>
      <c r="W1367" s="100"/>
      <c r="X1367" s="100"/>
      <c r="Y1367" s="100"/>
      <c r="Z1367" s="100"/>
      <c r="AA1367" s="100"/>
      <c r="AB1367" s="100"/>
      <c r="AC1367" s="100"/>
      <c r="AD1367" s="100"/>
      <c r="AF1367"/>
      <c r="AG1367">
        <f t="shared" si="896"/>
        <v>0</v>
      </c>
      <c r="AH1367">
        <f t="shared" si="880"/>
        <v>0</v>
      </c>
      <c r="AK1367">
        <f t="shared" si="881"/>
        <v>0</v>
      </c>
      <c r="AL1367">
        <f t="shared" si="882"/>
        <v>0</v>
      </c>
      <c r="AM1367">
        <f t="shared" si="883"/>
        <v>0</v>
      </c>
      <c r="AN1367">
        <f t="shared" si="884"/>
        <v>0</v>
      </c>
      <c r="AO1367">
        <f t="shared" si="885"/>
        <v>0</v>
      </c>
      <c r="AP1367">
        <f t="shared" si="886"/>
        <v>0</v>
      </c>
      <c r="AQ1367">
        <f t="shared" si="887"/>
        <v>0</v>
      </c>
      <c r="AR1367">
        <f t="shared" si="888"/>
        <v>0</v>
      </c>
      <c r="AS1367">
        <f t="shared" si="889"/>
        <v>0</v>
      </c>
      <c r="AT1367">
        <f t="shared" si="890"/>
        <v>0</v>
      </c>
      <c r="AU1367">
        <f t="shared" si="891"/>
        <v>0</v>
      </c>
      <c r="AV1367">
        <f t="shared" si="892"/>
        <v>0</v>
      </c>
      <c r="AW1367">
        <f t="shared" si="893"/>
        <v>0</v>
      </c>
      <c r="AX1367">
        <f t="shared" si="894"/>
        <v>0</v>
      </c>
      <c r="AY1367">
        <f t="shared" si="895"/>
        <v>0</v>
      </c>
    </row>
    <row r="1368" spans="1:51" ht="24" customHeight="1">
      <c r="A1368" s="110"/>
      <c r="B1368" s="57"/>
      <c r="C1368" s="1109"/>
      <c r="D1368" s="954"/>
      <c r="E1368" s="956"/>
      <c r="F1368" s="1110" t="s">
        <v>4969</v>
      </c>
      <c r="G1368" s="1110"/>
      <c r="H1368" s="178"/>
      <c r="I1368" s="1111" t="s">
        <v>4970</v>
      </c>
      <c r="J1368" s="1111"/>
      <c r="K1368" s="1111"/>
      <c r="L1368" s="1111"/>
      <c r="M1368" s="1111"/>
      <c r="N1368" s="1111"/>
      <c r="O1368" s="1112"/>
      <c r="P1368" s="100"/>
      <c r="Q1368" s="100"/>
      <c r="R1368" s="100"/>
      <c r="S1368" s="100"/>
      <c r="T1368" s="100"/>
      <c r="U1368" s="100"/>
      <c r="V1368" s="100"/>
      <c r="W1368" s="100"/>
      <c r="X1368" s="100"/>
      <c r="Y1368" s="100"/>
      <c r="Z1368" s="100"/>
      <c r="AA1368" s="100"/>
      <c r="AB1368" s="100"/>
      <c r="AC1368" s="100"/>
      <c r="AD1368" s="100"/>
      <c r="AF1368"/>
      <c r="AG1368">
        <f t="shared" si="896"/>
        <v>0</v>
      </c>
      <c r="AH1368">
        <f t="shared" si="880"/>
        <v>0</v>
      </c>
      <c r="AK1368">
        <f t="shared" si="881"/>
        <v>0</v>
      </c>
      <c r="AL1368">
        <f t="shared" si="882"/>
        <v>0</v>
      </c>
      <c r="AM1368">
        <f t="shared" si="883"/>
        <v>0</v>
      </c>
      <c r="AN1368">
        <f t="shared" si="884"/>
        <v>0</v>
      </c>
      <c r="AO1368">
        <f t="shared" si="885"/>
        <v>0</v>
      </c>
      <c r="AP1368">
        <f t="shared" si="886"/>
        <v>0</v>
      </c>
      <c r="AQ1368">
        <f t="shared" si="887"/>
        <v>0</v>
      </c>
      <c r="AR1368">
        <f t="shared" si="888"/>
        <v>0</v>
      </c>
      <c r="AS1368">
        <f t="shared" si="889"/>
        <v>0</v>
      </c>
      <c r="AT1368">
        <f t="shared" si="890"/>
        <v>0</v>
      </c>
      <c r="AU1368">
        <f t="shared" si="891"/>
        <v>0</v>
      </c>
      <c r="AV1368">
        <f t="shared" si="892"/>
        <v>0</v>
      </c>
      <c r="AW1368">
        <f t="shared" si="893"/>
        <v>0</v>
      </c>
      <c r="AX1368">
        <f t="shared" si="894"/>
        <v>0</v>
      </c>
      <c r="AY1368">
        <f t="shared" si="895"/>
        <v>0</v>
      </c>
    </row>
    <row r="1369" spans="1:51" ht="15" customHeight="1">
      <c r="A1369" s="110"/>
      <c r="B1369" s="57"/>
      <c r="C1369" s="1109"/>
      <c r="D1369" s="954"/>
      <c r="E1369" s="956"/>
      <c r="F1369" s="1110" t="s">
        <v>4971</v>
      </c>
      <c r="G1369" s="1110"/>
      <c r="H1369" s="178"/>
      <c r="I1369" s="1111" t="s">
        <v>4972</v>
      </c>
      <c r="J1369" s="1111"/>
      <c r="K1369" s="1111"/>
      <c r="L1369" s="1111"/>
      <c r="M1369" s="1111"/>
      <c r="N1369" s="1111"/>
      <c r="O1369" s="1112"/>
      <c r="P1369" s="100"/>
      <c r="Q1369" s="100"/>
      <c r="R1369" s="100"/>
      <c r="S1369" s="100"/>
      <c r="T1369" s="100"/>
      <c r="U1369" s="100"/>
      <c r="V1369" s="100"/>
      <c r="W1369" s="100"/>
      <c r="X1369" s="100"/>
      <c r="Y1369" s="100"/>
      <c r="Z1369" s="100"/>
      <c r="AA1369" s="100"/>
      <c r="AB1369" s="100"/>
      <c r="AC1369" s="100"/>
      <c r="AD1369" s="100"/>
      <c r="AF1369"/>
      <c r="AG1369">
        <f t="shared" si="896"/>
        <v>0</v>
      </c>
      <c r="AH1369">
        <f t="shared" si="880"/>
        <v>0</v>
      </c>
      <c r="AK1369">
        <f t="shared" si="881"/>
        <v>0</v>
      </c>
      <c r="AL1369">
        <f t="shared" si="882"/>
        <v>0</v>
      </c>
      <c r="AM1369">
        <f t="shared" si="883"/>
        <v>0</v>
      </c>
      <c r="AN1369">
        <f t="shared" si="884"/>
        <v>0</v>
      </c>
      <c r="AO1369">
        <f t="shared" si="885"/>
        <v>0</v>
      </c>
      <c r="AP1369">
        <f t="shared" si="886"/>
        <v>0</v>
      </c>
      <c r="AQ1369">
        <f t="shared" si="887"/>
        <v>0</v>
      </c>
      <c r="AR1369">
        <f t="shared" si="888"/>
        <v>0</v>
      </c>
      <c r="AS1369">
        <f t="shared" si="889"/>
        <v>0</v>
      </c>
      <c r="AT1369">
        <f t="shared" si="890"/>
        <v>0</v>
      </c>
      <c r="AU1369">
        <f t="shared" si="891"/>
        <v>0</v>
      </c>
      <c r="AV1369">
        <f t="shared" si="892"/>
        <v>0</v>
      </c>
      <c r="AW1369">
        <f t="shared" si="893"/>
        <v>0</v>
      </c>
      <c r="AX1369">
        <f t="shared" si="894"/>
        <v>0</v>
      </c>
      <c r="AY1369">
        <f t="shared" si="895"/>
        <v>0</v>
      </c>
    </row>
    <row r="1370" spans="1:51" ht="15" customHeight="1">
      <c r="A1370" s="110"/>
      <c r="B1370" s="57"/>
      <c r="C1370" s="1109"/>
      <c r="D1370" s="954"/>
      <c r="E1370" s="956"/>
      <c r="F1370" s="1110" t="s">
        <v>4973</v>
      </c>
      <c r="G1370" s="1110"/>
      <c r="H1370" s="178"/>
      <c r="I1370" s="1111" t="s">
        <v>4974</v>
      </c>
      <c r="J1370" s="1111"/>
      <c r="K1370" s="1111"/>
      <c r="L1370" s="1111"/>
      <c r="M1370" s="1111"/>
      <c r="N1370" s="1111"/>
      <c r="O1370" s="1112"/>
      <c r="P1370" s="100"/>
      <c r="Q1370" s="100"/>
      <c r="R1370" s="100"/>
      <c r="S1370" s="100"/>
      <c r="T1370" s="100"/>
      <c r="U1370" s="100"/>
      <c r="V1370" s="100"/>
      <c r="W1370" s="100"/>
      <c r="X1370" s="100"/>
      <c r="Y1370" s="100"/>
      <c r="Z1370" s="100"/>
      <c r="AA1370" s="100"/>
      <c r="AB1370" s="100"/>
      <c r="AC1370" s="100"/>
      <c r="AD1370" s="100"/>
      <c r="AF1370"/>
      <c r="AG1370">
        <f t="shared" si="896"/>
        <v>0</v>
      </c>
      <c r="AH1370">
        <f t="shared" si="880"/>
        <v>0</v>
      </c>
      <c r="AK1370">
        <f t="shared" si="881"/>
        <v>0</v>
      </c>
      <c r="AL1370">
        <f t="shared" si="882"/>
        <v>0</v>
      </c>
      <c r="AM1370">
        <f t="shared" si="883"/>
        <v>0</v>
      </c>
      <c r="AN1370">
        <f t="shared" si="884"/>
        <v>0</v>
      </c>
      <c r="AO1370">
        <f t="shared" si="885"/>
        <v>0</v>
      </c>
      <c r="AP1370">
        <f t="shared" si="886"/>
        <v>0</v>
      </c>
      <c r="AQ1370">
        <f t="shared" si="887"/>
        <v>0</v>
      </c>
      <c r="AR1370">
        <f t="shared" si="888"/>
        <v>0</v>
      </c>
      <c r="AS1370">
        <f t="shared" si="889"/>
        <v>0</v>
      </c>
      <c r="AT1370">
        <f t="shared" si="890"/>
        <v>0</v>
      </c>
      <c r="AU1370">
        <f t="shared" si="891"/>
        <v>0</v>
      </c>
      <c r="AV1370">
        <f t="shared" si="892"/>
        <v>0</v>
      </c>
      <c r="AW1370">
        <f t="shared" si="893"/>
        <v>0</v>
      </c>
      <c r="AX1370">
        <f t="shared" si="894"/>
        <v>0</v>
      </c>
      <c r="AY1370">
        <f t="shared" si="895"/>
        <v>0</v>
      </c>
    </row>
    <row r="1371" spans="1:51" ht="36" customHeight="1">
      <c r="A1371" s="110"/>
      <c r="B1371" s="57"/>
      <c r="C1371" s="1109"/>
      <c r="D1371" s="954"/>
      <c r="E1371" s="956"/>
      <c r="F1371" s="1110" t="s">
        <v>4975</v>
      </c>
      <c r="G1371" s="1110"/>
      <c r="H1371" s="178"/>
      <c r="I1371" s="1111" t="s">
        <v>4976</v>
      </c>
      <c r="J1371" s="1111"/>
      <c r="K1371" s="1111"/>
      <c r="L1371" s="1111"/>
      <c r="M1371" s="1111"/>
      <c r="N1371" s="1111"/>
      <c r="O1371" s="1112"/>
      <c r="P1371" s="100"/>
      <c r="Q1371" s="100"/>
      <c r="R1371" s="100"/>
      <c r="S1371" s="100"/>
      <c r="T1371" s="100"/>
      <c r="U1371" s="100"/>
      <c r="V1371" s="100"/>
      <c r="W1371" s="100"/>
      <c r="X1371" s="100"/>
      <c r="Y1371" s="100"/>
      <c r="Z1371" s="100"/>
      <c r="AA1371" s="100"/>
      <c r="AB1371" s="100"/>
      <c r="AC1371" s="100"/>
      <c r="AD1371" s="100"/>
      <c r="AF1371"/>
      <c r="AG1371">
        <f t="shared" si="896"/>
        <v>0</v>
      </c>
      <c r="AH1371">
        <f t="shared" si="880"/>
        <v>0</v>
      </c>
      <c r="AK1371">
        <f t="shared" si="881"/>
        <v>0</v>
      </c>
      <c r="AL1371">
        <f t="shared" si="882"/>
        <v>0</v>
      </c>
      <c r="AM1371">
        <f t="shared" si="883"/>
        <v>0</v>
      </c>
      <c r="AN1371">
        <f t="shared" si="884"/>
        <v>0</v>
      </c>
      <c r="AO1371">
        <f t="shared" si="885"/>
        <v>0</v>
      </c>
      <c r="AP1371">
        <f t="shared" si="886"/>
        <v>0</v>
      </c>
      <c r="AQ1371">
        <f t="shared" si="887"/>
        <v>0</v>
      </c>
      <c r="AR1371">
        <f t="shared" si="888"/>
        <v>0</v>
      </c>
      <c r="AS1371">
        <f t="shared" si="889"/>
        <v>0</v>
      </c>
      <c r="AT1371">
        <f t="shared" si="890"/>
        <v>0</v>
      </c>
      <c r="AU1371">
        <f t="shared" si="891"/>
        <v>0</v>
      </c>
      <c r="AV1371">
        <f t="shared" si="892"/>
        <v>0</v>
      </c>
      <c r="AW1371">
        <f t="shared" si="893"/>
        <v>0</v>
      </c>
      <c r="AX1371">
        <f t="shared" si="894"/>
        <v>0</v>
      </c>
      <c r="AY1371">
        <f t="shared" si="895"/>
        <v>0</v>
      </c>
    </row>
    <row r="1372" spans="1:51" ht="15" customHeight="1">
      <c r="A1372" s="110"/>
      <c r="B1372" s="57"/>
      <c r="C1372" s="1109"/>
      <c r="D1372" s="954"/>
      <c r="E1372" s="956"/>
      <c r="F1372" s="1110" t="s">
        <v>4977</v>
      </c>
      <c r="G1372" s="1110"/>
      <c r="H1372" s="178"/>
      <c r="I1372" s="1111" t="s">
        <v>201</v>
      </c>
      <c r="J1372" s="1111"/>
      <c r="K1372" s="1111"/>
      <c r="L1372" s="1111"/>
      <c r="M1372" s="1111"/>
      <c r="N1372" s="1111"/>
      <c r="O1372" s="1112"/>
      <c r="P1372" s="100"/>
      <c r="Q1372" s="100"/>
      <c r="R1372" s="100"/>
      <c r="S1372" s="100"/>
      <c r="T1372" s="100"/>
      <c r="U1372" s="100"/>
      <c r="V1372" s="100"/>
      <c r="W1372" s="100"/>
      <c r="X1372" s="100"/>
      <c r="Y1372" s="100"/>
      <c r="Z1372" s="100"/>
      <c r="AA1372" s="100"/>
      <c r="AB1372" s="100"/>
      <c r="AC1372" s="100"/>
      <c r="AD1372" s="100"/>
      <c r="AF1372"/>
      <c r="AG1372">
        <f t="shared" si="896"/>
        <v>0</v>
      </c>
      <c r="AH1372">
        <f t="shared" si="880"/>
        <v>0</v>
      </c>
      <c r="AK1372">
        <f t="shared" si="881"/>
        <v>0</v>
      </c>
      <c r="AL1372">
        <f t="shared" si="882"/>
        <v>0</v>
      </c>
      <c r="AM1372">
        <f t="shared" si="883"/>
        <v>0</v>
      </c>
      <c r="AN1372">
        <f t="shared" si="884"/>
        <v>0</v>
      </c>
      <c r="AO1372">
        <f t="shared" si="885"/>
        <v>0</v>
      </c>
      <c r="AP1372">
        <f t="shared" si="886"/>
        <v>0</v>
      </c>
      <c r="AQ1372">
        <f t="shared" si="887"/>
        <v>0</v>
      </c>
      <c r="AR1372">
        <f t="shared" si="888"/>
        <v>0</v>
      </c>
      <c r="AS1372">
        <f t="shared" si="889"/>
        <v>0</v>
      </c>
      <c r="AT1372">
        <f t="shared" si="890"/>
        <v>0</v>
      </c>
      <c r="AU1372">
        <f t="shared" si="891"/>
        <v>0</v>
      </c>
      <c r="AV1372">
        <f t="shared" si="892"/>
        <v>0</v>
      </c>
      <c r="AW1372">
        <f t="shared" si="893"/>
        <v>0</v>
      </c>
      <c r="AX1372">
        <f t="shared" si="894"/>
        <v>0</v>
      </c>
      <c r="AY1372">
        <f t="shared" si="895"/>
        <v>0</v>
      </c>
    </row>
    <row r="1373" spans="1:51" ht="24" customHeight="1">
      <c r="A1373" s="110"/>
      <c r="B1373" s="57"/>
      <c r="C1373" s="1109"/>
      <c r="D1373" s="954"/>
      <c r="E1373" s="956"/>
      <c r="F1373" s="1103" t="s">
        <v>4978</v>
      </c>
      <c r="G1373" s="1103"/>
      <c r="H1373" s="1104" t="s">
        <v>4979</v>
      </c>
      <c r="I1373" s="1105"/>
      <c r="J1373" s="1105"/>
      <c r="K1373" s="1105"/>
      <c r="L1373" s="1105"/>
      <c r="M1373" s="1105"/>
      <c r="N1373" s="1105"/>
      <c r="O1373" s="1106"/>
      <c r="P1373" s="100"/>
      <c r="Q1373" s="100"/>
      <c r="R1373" s="100"/>
      <c r="S1373" s="100"/>
      <c r="T1373" s="100"/>
      <c r="U1373" s="100"/>
      <c r="V1373" s="100"/>
      <c r="W1373" s="100"/>
      <c r="X1373" s="100"/>
      <c r="Y1373" s="100"/>
      <c r="Z1373" s="100"/>
      <c r="AA1373" s="100"/>
      <c r="AB1373" s="100"/>
      <c r="AC1373" s="100"/>
      <c r="AD1373" s="100"/>
      <c r="AF1373">
        <f>IF(P1373="NA",IF(AND(COUNTIF(P1374:P1381,"="&amp;$AF$934)=0,COUNTIF(P1374:P1381,"&lt;&gt;NA")&gt;0),1,0),IF(AND(COUNTIF(P1374:P1381,"="&amp;$AF$934)=0,COUNTIF(P1374:P1381,"NA")=COUNTIF(P1374:P1381,"&lt;&gt;"&amp;$AF$934)),1,0))</f>
        <v>0</v>
      </c>
      <c r="AG1373">
        <f t="shared" si="896"/>
        <v>0</v>
      </c>
      <c r="AH1373">
        <f t="shared" si="880"/>
        <v>0</v>
      </c>
      <c r="AK1373">
        <f t="shared" si="881"/>
        <v>0</v>
      </c>
      <c r="AL1373">
        <f t="shared" si="882"/>
        <v>0</v>
      </c>
      <c r="AM1373">
        <f t="shared" si="883"/>
        <v>0</v>
      </c>
      <c r="AN1373">
        <f t="shared" si="884"/>
        <v>0</v>
      </c>
      <c r="AO1373">
        <f t="shared" si="885"/>
        <v>0</v>
      </c>
      <c r="AP1373">
        <f t="shared" si="886"/>
        <v>0</v>
      </c>
      <c r="AQ1373">
        <f t="shared" si="887"/>
        <v>0</v>
      </c>
      <c r="AR1373">
        <f t="shared" si="888"/>
        <v>0</v>
      </c>
      <c r="AS1373">
        <f t="shared" si="889"/>
        <v>0</v>
      </c>
      <c r="AT1373">
        <f t="shared" si="890"/>
        <v>0</v>
      </c>
      <c r="AU1373">
        <f t="shared" si="891"/>
        <v>0</v>
      </c>
      <c r="AV1373">
        <f t="shared" si="892"/>
        <v>0</v>
      </c>
      <c r="AW1373">
        <f t="shared" si="893"/>
        <v>0</v>
      </c>
      <c r="AX1373">
        <f t="shared" si="894"/>
        <v>0</v>
      </c>
      <c r="AY1373">
        <f t="shared" si="895"/>
        <v>0</v>
      </c>
    </row>
    <row r="1374" spans="1:51" ht="15" customHeight="1">
      <c r="A1374" s="110"/>
      <c r="B1374" s="57"/>
      <c r="C1374" s="1109"/>
      <c r="D1374" s="954"/>
      <c r="E1374" s="956"/>
      <c r="F1374" s="1110" t="s">
        <v>4980</v>
      </c>
      <c r="G1374" s="1110"/>
      <c r="H1374" s="178"/>
      <c r="I1374" s="1111" t="s">
        <v>4981</v>
      </c>
      <c r="J1374" s="1111"/>
      <c r="K1374" s="1111"/>
      <c r="L1374" s="1111"/>
      <c r="M1374" s="1111"/>
      <c r="N1374" s="1111"/>
      <c r="O1374" s="1112"/>
      <c r="P1374" s="100"/>
      <c r="Q1374" s="100"/>
      <c r="R1374" s="100"/>
      <c r="S1374" s="100"/>
      <c r="T1374" s="100"/>
      <c r="U1374" s="100"/>
      <c r="V1374" s="100"/>
      <c r="W1374" s="100"/>
      <c r="X1374" s="100"/>
      <c r="Y1374" s="100"/>
      <c r="Z1374" s="100"/>
      <c r="AA1374" s="100"/>
      <c r="AB1374" s="100"/>
      <c r="AC1374" s="100"/>
      <c r="AD1374" s="100"/>
      <c r="AF1374"/>
      <c r="AG1374">
        <f t="shared" si="896"/>
        <v>0</v>
      </c>
      <c r="AH1374">
        <f t="shared" si="880"/>
        <v>0</v>
      </c>
      <c r="AK1374">
        <f t="shared" si="881"/>
        <v>0</v>
      </c>
      <c r="AL1374">
        <f t="shared" si="882"/>
        <v>0</v>
      </c>
      <c r="AM1374">
        <f t="shared" si="883"/>
        <v>0</v>
      </c>
      <c r="AN1374">
        <f t="shared" si="884"/>
        <v>0</v>
      </c>
      <c r="AO1374">
        <f t="shared" si="885"/>
        <v>0</v>
      </c>
      <c r="AP1374">
        <f t="shared" si="886"/>
        <v>0</v>
      </c>
      <c r="AQ1374">
        <f t="shared" si="887"/>
        <v>0</v>
      </c>
      <c r="AR1374">
        <f t="shared" si="888"/>
        <v>0</v>
      </c>
      <c r="AS1374">
        <f t="shared" si="889"/>
        <v>0</v>
      </c>
      <c r="AT1374">
        <f t="shared" si="890"/>
        <v>0</v>
      </c>
      <c r="AU1374">
        <f t="shared" si="891"/>
        <v>0</v>
      </c>
      <c r="AV1374">
        <f t="shared" si="892"/>
        <v>0</v>
      </c>
      <c r="AW1374">
        <f t="shared" si="893"/>
        <v>0</v>
      </c>
      <c r="AX1374">
        <f t="shared" si="894"/>
        <v>0</v>
      </c>
      <c r="AY1374">
        <f t="shared" si="895"/>
        <v>0</v>
      </c>
    </row>
    <row r="1375" spans="1:51" ht="15" customHeight="1">
      <c r="A1375" s="110"/>
      <c r="B1375" s="57"/>
      <c r="C1375" s="1109"/>
      <c r="D1375" s="954"/>
      <c r="E1375" s="956"/>
      <c r="F1375" s="1110" t="s">
        <v>4982</v>
      </c>
      <c r="G1375" s="1110"/>
      <c r="H1375" s="178"/>
      <c r="I1375" s="1111" t="s">
        <v>4983</v>
      </c>
      <c r="J1375" s="1111"/>
      <c r="K1375" s="1111"/>
      <c r="L1375" s="1111"/>
      <c r="M1375" s="1111"/>
      <c r="N1375" s="1111"/>
      <c r="O1375" s="1112"/>
      <c r="P1375" s="100"/>
      <c r="Q1375" s="100"/>
      <c r="R1375" s="100"/>
      <c r="S1375" s="100"/>
      <c r="T1375" s="100"/>
      <c r="U1375" s="100"/>
      <c r="V1375" s="100"/>
      <c r="W1375" s="100"/>
      <c r="X1375" s="100"/>
      <c r="Y1375" s="100"/>
      <c r="Z1375" s="100"/>
      <c r="AA1375" s="100"/>
      <c r="AB1375" s="100"/>
      <c r="AC1375" s="100"/>
      <c r="AD1375" s="100"/>
      <c r="AF1375"/>
      <c r="AG1375">
        <f t="shared" si="896"/>
        <v>0</v>
      </c>
      <c r="AH1375">
        <f t="shared" si="880"/>
        <v>0</v>
      </c>
      <c r="AK1375">
        <f t="shared" si="881"/>
        <v>0</v>
      </c>
      <c r="AL1375">
        <f t="shared" si="882"/>
        <v>0</v>
      </c>
      <c r="AM1375">
        <f t="shared" si="883"/>
        <v>0</v>
      </c>
      <c r="AN1375">
        <f t="shared" si="884"/>
        <v>0</v>
      </c>
      <c r="AO1375">
        <f t="shared" si="885"/>
        <v>0</v>
      </c>
      <c r="AP1375">
        <f t="shared" si="886"/>
        <v>0</v>
      </c>
      <c r="AQ1375">
        <f t="shared" si="887"/>
        <v>0</v>
      </c>
      <c r="AR1375">
        <f t="shared" si="888"/>
        <v>0</v>
      </c>
      <c r="AS1375">
        <f t="shared" si="889"/>
        <v>0</v>
      </c>
      <c r="AT1375">
        <f t="shared" si="890"/>
        <v>0</v>
      </c>
      <c r="AU1375">
        <f t="shared" si="891"/>
        <v>0</v>
      </c>
      <c r="AV1375">
        <f t="shared" si="892"/>
        <v>0</v>
      </c>
      <c r="AW1375">
        <f t="shared" si="893"/>
        <v>0</v>
      </c>
      <c r="AX1375">
        <f t="shared" si="894"/>
        <v>0</v>
      </c>
      <c r="AY1375">
        <f t="shared" si="895"/>
        <v>0</v>
      </c>
    </row>
    <row r="1376" spans="1:51" ht="15" customHeight="1">
      <c r="A1376" s="110"/>
      <c r="B1376" s="57"/>
      <c r="C1376" s="1109"/>
      <c r="D1376" s="954"/>
      <c r="E1376" s="956"/>
      <c r="F1376" s="1110" t="s">
        <v>4984</v>
      </c>
      <c r="G1376" s="1110"/>
      <c r="H1376" s="178"/>
      <c r="I1376" s="1111" t="s">
        <v>4985</v>
      </c>
      <c r="J1376" s="1111"/>
      <c r="K1376" s="1111"/>
      <c r="L1376" s="1111"/>
      <c r="M1376" s="1111"/>
      <c r="N1376" s="1111"/>
      <c r="O1376" s="1112"/>
      <c r="P1376" s="100"/>
      <c r="Q1376" s="100"/>
      <c r="R1376" s="100"/>
      <c r="S1376" s="100"/>
      <c r="T1376" s="100"/>
      <c r="U1376" s="100"/>
      <c r="V1376" s="100"/>
      <c r="W1376" s="100"/>
      <c r="X1376" s="100"/>
      <c r="Y1376" s="100"/>
      <c r="Z1376" s="100"/>
      <c r="AA1376" s="100"/>
      <c r="AB1376" s="100"/>
      <c r="AC1376" s="100"/>
      <c r="AD1376" s="100"/>
      <c r="AF1376"/>
      <c r="AG1376">
        <f t="shared" si="896"/>
        <v>0</v>
      </c>
      <c r="AH1376">
        <f t="shared" si="880"/>
        <v>0</v>
      </c>
      <c r="AK1376">
        <f t="shared" si="881"/>
        <v>0</v>
      </c>
      <c r="AL1376">
        <f t="shared" si="882"/>
        <v>0</v>
      </c>
      <c r="AM1376">
        <f t="shared" si="883"/>
        <v>0</v>
      </c>
      <c r="AN1376">
        <f t="shared" si="884"/>
        <v>0</v>
      </c>
      <c r="AO1376">
        <f t="shared" si="885"/>
        <v>0</v>
      </c>
      <c r="AP1376">
        <f t="shared" si="886"/>
        <v>0</v>
      </c>
      <c r="AQ1376">
        <f t="shared" si="887"/>
        <v>0</v>
      </c>
      <c r="AR1376">
        <f t="shared" si="888"/>
        <v>0</v>
      </c>
      <c r="AS1376">
        <f t="shared" si="889"/>
        <v>0</v>
      </c>
      <c r="AT1376">
        <f t="shared" si="890"/>
        <v>0</v>
      </c>
      <c r="AU1376">
        <f t="shared" si="891"/>
        <v>0</v>
      </c>
      <c r="AV1376">
        <f t="shared" si="892"/>
        <v>0</v>
      </c>
      <c r="AW1376">
        <f t="shared" si="893"/>
        <v>0</v>
      </c>
      <c r="AX1376">
        <f t="shared" si="894"/>
        <v>0</v>
      </c>
      <c r="AY1376">
        <f t="shared" si="895"/>
        <v>0</v>
      </c>
    </row>
    <row r="1377" spans="1:51" ht="15" customHeight="1">
      <c r="A1377" s="110"/>
      <c r="B1377" s="57"/>
      <c r="C1377" s="1109"/>
      <c r="D1377" s="954"/>
      <c r="E1377" s="956"/>
      <c r="F1377" s="1110" t="s">
        <v>4986</v>
      </c>
      <c r="G1377" s="1110"/>
      <c r="H1377" s="178"/>
      <c r="I1377" s="1111" t="s">
        <v>4987</v>
      </c>
      <c r="J1377" s="1111"/>
      <c r="K1377" s="1111"/>
      <c r="L1377" s="1111"/>
      <c r="M1377" s="1111"/>
      <c r="N1377" s="1111"/>
      <c r="O1377" s="1112"/>
      <c r="P1377" s="100"/>
      <c r="Q1377" s="100"/>
      <c r="R1377" s="100"/>
      <c r="S1377" s="100"/>
      <c r="T1377" s="100"/>
      <c r="U1377" s="100"/>
      <c r="V1377" s="100"/>
      <c r="W1377" s="100"/>
      <c r="X1377" s="100"/>
      <c r="Y1377" s="100"/>
      <c r="Z1377" s="100"/>
      <c r="AA1377" s="100"/>
      <c r="AB1377" s="100"/>
      <c r="AC1377" s="100"/>
      <c r="AD1377" s="100"/>
      <c r="AF1377"/>
      <c r="AG1377">
        <f t="shared" si="896"/>
        <v>0</v>
      </c>
      <c r="AH1377">
        <f t="shared" si="880"/>
        <v>0</v>
      </c>
      <c r="AK1377">
        <f t="shared" si="881"/>
        <v>0</v>
      </c>
      <c r="AL1377">
        <f t="shared" si="882"/>
        <v>0</v>
      </c>
      <c r="AM1377">
        <f t="shared" si="883"/>
        <v>0</v>
      </c>
      <c r="AN1377">
        <f t="shared" si="884"/>
        <v>0</v>
      </c>
      <c r="AO1377">
        <f t="shared" si="885"/>
        <v>0</v>
      </c>
      <c r="AP1377">
        <f t="shared" si="886"/>
        <v>0</v>
      </c>
      <c r="AQ1377">
        <f t="shared" si="887"/>
        <v>0</v>
      </c>
      <c r="AR1377">
        <f t="shared" si="888"/>
        <v>0</v>
      </c>
      <c r="AS1377">
        <f t="shared" si="889"/>
        <v>0</v>
      </c>
      <c r="AT1377">
        <f t="shared" si="890"/>
        <v>0</v>
      </c>
      <c r="AU1377">
        <f t="shared" si="891"/>
        <v>0</v>
      </c>
      <c r="AV1377">
        <f t="shared" si="892"/>
        <v>0</v>
      </c>
      <c r="AW1377">
        <f t="shared" si="893"/>
        <v>0</v>
      </c>
      <c r="AX1377">
        <f t="shared" si="894"/>
        <v>0</v>
      </c>
      <c r="AY1377">
        <f t="shared" si="895"/>
        <v>0</v>
      </c>
    </row>
    <row r="1378" spans="1:51" ht="15" customHeight="1">
      <c r="A1378" s="110"/>
      <c r="B1378" s="57"/>
      <c r="C1378" s="1109"/>
      <c r="D1378" s="954"/>
      <c r="E1378" s="956"/>
      <c r="F1378" s="1110" t="s">
        <v>4988</v>
      </c>
      <c r="G1378" s="1110"/>
      <c r="H1378" s="178"/>
      <c r="I1378" s="1111" t="s">
        <v>4989</v>
      </c>
      <c r="J1378" s="1111"/>
      <c r="K1378" s="1111"/>
      <c r="L1378" s="1111"/>
      <c r="M1378" s="1111"/>
      <c r="N1378" s="1111"/>
      <c r="O1378" s="1112"/>
      <c r="P1378" s="100"/>
      <c r="Q1378" s="100"/>
      <c r="R1378" s="100"/>
      <c r="S1378" s="100"/>
      <c r="T1378" s="100"/>
      <c r="U1378" s="100"/>
      <c r="V1378" s="100"/>
      <c r="W1378" s="100"/>
      <c r="X1378" s="100"/>
      <c r="Y1378" s="100"/>
      <c r="Z1378" s="100"/>
      <c r="AA1378" s="100"/>
      <c r="AB1378" s="100"/>
      <c r="AC1378" s="100"/>
      <c r="AD1378" s="100"/>
      <c r="AF1378"/>
      <c r="AG1378">
        <f t="shared" si="896"/>
        <v>0</v>
      </c>
      <c r="AH1378">
        <f t="shared" si="880"/>
        <v>0</v>
      </c>
      <c r="AK1378">
        <f t="shared" si="881"/>
        <v>0</v>
      </c>
      <c r="AL1378">
        <f t="shared" si="882"/>
        <v>0</v>
      </c>
      <c r="AM1378">
        <f t="shared" si="883"/>
        <v>0</v>
      </c>
      <c r="AN1378">
        <f t="shared" si="884"/>
        <v>0</v>
      </c>
      <c r="AO1378">
        <f t="shared" si="885"/>
        <v>0</v>
      </c>
      <c r="AP1378">
        <f t="shared" si="886"/>
        <v>0</v>
      </c>
      <c r="AQ1378">
        <f t="shared" si="887"/>
        <v>0</v>
      </c>
      <c r="AR1378">
        <f t="shared" si="888"/>
        <v>0</v>
      </c>
      <c r="AS1378">
        <f t="shared" si="889"/>
        <v>0</v>
      </c>
      <c r="AT1378">
        <f t="shared" si="890"/>
        <v>0</v>
      </c>
      <c r="AU1378">
        <f t="shared" si="891"/>
        <v>0</v>
      </c>
      <c r="AV1378">
        <f t="shared" si="892"/>
        <v>0</v>
      </c>
      <c r="AW1378">
        <f t="shared" si="893"/>
        <v>0</v>
      </c>
      <c r="AX1378">
        <f t="shared" si="894"/>
        <v>0</v>
      </c>
      <c r="AY1378">
        <f t="shared" si="895"/>
        <v>0</v>
      </c>
    </row>
    <row r="1379" spans="1:51" ht="15" customHeight="1">
      <c r="A1379" s="110"/>
      <c r="B1379" s="57"/>
      <c r="C1379" s="1109"/>
      <c r="D1379" s="954"/>
      <c r="E1379" s="956"/>
      <c r="F1379" s="1110" t="s">
        <v>4990</v>
      </c>
      <c r="G1379" s="1110"/>
      <c r="H1379" s="178"/>
      <c r="I1379" s="1111" t="s">
        <v>4991</v>
      </c>
      <c r="J1379" s="1111"/>
      <c r="K1379" s="1111"/>
      <c r="L1379" s="1111"/>
      <c r="M1379" s="1111"/>
      <c r="N1379" s="1111"/>
      <c r="O1379" s="1112"/>
      <c r="P1379" s="100"/>
      <c r="Q1379" s="100"/>
      <c r="R1379" s="100"/>
      <c r="S1379" s="100"/>
      <c r="T1379" s="100"/>
      <c r="U1379" s="100"/>
      <c r="V1379" s="100"/>
      <c r="W1379" s="100"/>
      <c r="X1379" s="100"/>
      <c r="Y1379" s="100"/>
      <c r="Z1379" s="100"/>
      <c r="AA1379" s="100"/>
      <c r="AB1379" s="100"/>
      <c r="AC1379" s="100"/>
      <c r="AD1379" s="100"/>
      <c r="AF1379"/>
      <c r="AG1379">
        <f t="shared" si="896"/>
        <v>0</v>
      </c>
      <c r="AH1379">
        <f t="shared" si="880"/>
        <v>0</v>
      </c>
      <c r="AK1379">
        <f t="shared" si="881"/>
        <v>0</v>
      </c>
      <c r="AL1379">
        <f t="shared" si="882"/>
        <v>0</v>
      </c>
      <c r="AM1379">
        <f t="shared" si="883"/>
        <v>0</v>
      </c>
      <c r="AN1379">
        <f t="shared" si="884"/>
        <v>0</v>
      </c>
      <c r="AO1379">
        <f t="shared" si="885"/>
        <v>0</v>
      </c>
      <c r="AP1379">
        <f t="shared" si="886"/>
        <v>0</v>
      </c>
      <c r="AQ1379">
        <f t="shared" si="887"/>
        <v>0</v>
      </c>
      <c r="AR1379">
        <f t="shared" si="888"/>
        <v>0</v>
      </c>
      <c r="AS1379">
        <f t="shared" si="889"/>
        <v>0</v>
      </c>
      <c r="AT1379">
        <f t="shared" si="890"/>
        <v>0</v>
      </c>
      <c r="AU1379">
        <f t="shared" si="891"/>
        <v>0</v>
      </c>
      <c r="AV1379">
        <f t="shared" si="892"/>
        <v>0</v>
      </c>
      <c r="AW1379">
        <f t="shared" si="893"/>
        <v>0</v>
      </c>
      <c r="AX1379">
        <f t="shared" si="894"/>
        <v>0</v>
      </c>
      <c r="AY1379">
        <f t="shared" si="895"/>
        <v>0</v>
      </c>
    </row>
    <row r="1380" spans="1:51" ht="24" customHeight="1">
      <c r="A1380" s="110"/>
      <c r="B1380" s="57"/>
      <c r="C1380" s="1109"/>
      <c r="D1380" s="954"/>
      <c r="E1380" s="956"/>
      <c r="F1380" s="1110" t="s">
        <v>4992</v>
      </c>
      <c r="G1380" s="1110"/>
      <c r="H1380" s="178"/>
      <c r="I1380" s="1111" t="s">
        <v>4993</v>
      </c>
      <c r="J1380" s="1111"/>
      <c r="K1380" s="1111"/>
      <c r="L1380" s="1111"/>
      <c r="M1380" s="1111"/>
      <c r="N1380" s="1111"/>
      <c r="O1380" s="1112"/>
      <c r="P1380" s="100"/>
      <c r="Q1380" s="100"/>
      <c r="R1380" s="100"/>
      <c r="S1380" s="100"/>
      <c r="T1380" s="100"/>
      <c r="U1380" s="100"/>
      <c r="V1380" s="100"/>
      <c r="W1380" s="100"/>
      <c r="X1380" s="100"/>
      <c r="Y1380" s="100"/>
      <c r="Z1380" s="100"/>
      <c r="AA1380" s="100"/>
      <c r="AB1380" s="100"/>
      <c r="AC1380" s="100"/>
      <c r="AD1380" s="100"/>
      <c r="AF1380"/>
      <c r="AG1380">
        <f t="shared" si="896"/>
        <v>0</v>
      </c>
      <c r="AH1380">
        <f t="shared" si="880"/>
        <v>0</v>
      </c>
      <c r="AK1380">
        <f t="shared" si="881"/>
        <v>0</v>
      </c>
      <c r="AL1380">
        <f t="shared" si="882"/>
        <v>0</v>
      </c>
      <c r="AM1380">
        <f t="shared" si="883"/>
        <v>0</v>
      </c>
      <c r="AN1380">
        <f t="shared" si="884"/>
        <v>0</v>
      </c>
      <c r="AO1380">
        <f t="shared" si="885"/>
        <v>0</v>
      </c>
      <c r="AP1380">
        <f t="shared" si="886"/>
        <v>0</v>
      </c>
      <c r="AQ1380">
        <f t="shared" si="887"/>
        <v>0</v>
      </c>
      <c r="AR1380">
        <f t="shared" si="888"/>
        <v>0</v>
      </c>
      <c r="AS1380">
        <f t="shared" si="889"/>
        <v>0</v>
      </c>
      <c r="AT1380">
        <f t="shared" si="890"/>
        <v>0</v>
      </c>
      <c r="AU1380">
        <f t="shared" si="891"/>
        <v>0</v>
      </c>
      <c r="AV1380">
        <f t="shared" si="892"/>
        <v>0</v>
      </c>
      <c r="AW1380">
        <f t="shared" si="893"/>
        <v>0</v>
      </c>
      <c r="AX1380">
        <f t="shared" si="894"/>
        <v>0</v>
      </c>
      <c r="AY1380">
        <f t="shared" si="895"/>
        <v>0</v>
      </c>
    </row>
    <row r="1381" spans="1:51" ht="15" customHeight="1">
      <c r="A1381" s="110"/>
      <c r="B1381" s="57"/>
      <c r="C1381" s="1109"/>
      <c r="D1381" s="954"/>
      <c r="E1381" s="956"/>
      <c r="F1381" s="1110" t="s">
        <v>4994</v>
      </c>
      <c r="G1381" s="1110"/>
      <c r="H1381" s="178"/>
      <c r="I1381" s="1111" t="s">
        <v>201</v>
      </c>
      <c r="J1381" s="1111"/>
      <c r="K1381" s="1111"/>
      <c r="L1381" s="1111"/>
      <c r="M1381" s="1111"/>
      <c r="N1381" s="1111"/>
      <c r="O1381" s="1112"/>
      <c r="P1381" s="100"/>
      <c r="Q1381" s="100"/>
      <c r="R1381" s="100"/>
      <c r="S1381" s="100"/>
      <c r="T1381" s="100"/>
      <c r="U1381" s="100"/>
      <c r="V1381" s="100"/>
      <c r="W1381" s="100"/>
      <c r="X1381" s="100"/>
      <c r="Y1381" s="100"/>
      <c r="Z1381" s="100"/>
      <c r="AA1381" s="100"/>
      <c r="AB1381" s="100"/>
      <c r="AC1381" s="100"/>
      <c r="AD1381" s="100"/>
      <c r="AF1381"/>
      <c r="AG1381">
        <f t="shared" si="896"/>
        <v>0</v>
      </c>
      <c r="AH1381">
        <f t="shared" si="880"/>
        <v>0</v>
      </c>
      <c r="AK1381">
        <f t="shared" si="881"/>
        <v>0</v>
      </c>
      <c r="AL1381">
        <f t="shared" si="882"/>
        <v>0</v>
      </c>
      <c r="AM1381">
        <f t="shared" si="883"/>
        <v>0</v>
      </c>
      <c r="AN1381">
        <f t="shared" si="884"/>
        <v>0</v>
      </c>
      <c r="AO1381">
        <f t="shared" si="885"/>
        <v>0</v>
      </c>
      <c r="AP1381">
        <f t="shared" si="886"/>
        <v>0</v>
      </c>
      <c r="AQ1381">
        <f t="shared" si="887"/>
        <v>0</v>
      </c>
      <c r="AR1381">
        <f t="shared" si="888"/>
        <v>0</v>
      </c>
      <c r="AS1381">
        <f t="shared" si="889"/>
        <v>0</v>
      </c>
      <c r="AT1381">
        <f t="shared" si="890"/>
        <v>0</v>
      </c>
      <c r="AU1381">
        <f t="shared" si="891"/>
        <v>0</v>
      </c>
      <c r="AV1381">
        <f t="shared" si="892"/>
        <v>0</v>
      </c>
      <c r="AW1381">
        <f t="shared" si="893"/>
        <v>0</v>
      </c>
      <c r="AX1381">
        <f t="shared" si="894"/>
        <v>0</v>
      </c>
      <c r="AY1381">
        <f t="shared" si="895"/>
        <v>0</v>
      </c>
    </row>
    <row r="1382" spans="1:51" ht="15" customHeight="1">
      <c r="A1382" s="110"/>
      <c r="B1382" s="57"/>
      <c r="C1382" s="1109"/>
      <c r="D1382" s="954"/>
      <c r="E1382" s="956"/>
      <c r="F1382" s="1103" t="s">
        <v>4995</v>
      </c>
      <c r="G1382" s="1103"/>
      <c r="H1382" s="1104" t="s">
        <v>4996</v>
      </c>
      <c r="I1382" s="1105"/>
      <c r="J1382" s="1105"/>
      <c r="K1382" s="1105"/>
      <c r="L1382" s="1105"/>
      <c r="M1382" s="1105"/>
      <c r="N1382" s="1105"/>
      <c r="O1382" s="1106"/>
      <c r="P1382" s="100"/>
      <c r="Q1382" s="100"/>
      <c r="R1382" s="100"/>
      <c r="S1382" s="100"/>
      <c r="T1382" s="100"/>
      <c r="U1382" s="100"/>
      <c r="V1382" s="100"/>
      <c r="W1382" s="100"/>
      <c r="X1382" s="100"/>
      <c r="Y1382" s="100"/>
      <c r="Z1382" s="100"/>
      <c r="AA1382" s="100"/>
      <c r="AB1382" s="100"/>
      <c r="AC1382" s="100"/>
      <c r="AD1382" s="100"/>
      <c r="AF1382"/>
      <c r="AG1382">
        <f t="shared" si="896"/>
        <v>0</v>
      </c>
      <c r="AH1382">
        <f t="shared" si="880"/>
        <v>0</v>
      </c>
      <c r="AK1382">
        <f t="shared" si="881"/>
        <v>0</v>
      </c>
      <c r="AL1382">
        <f t="shared" si="882"/>
        <v>0</v>
      </c>
      <c r="AM1382">
        <f t="shared" si="883"/>
        <v>0</v>
      </c>
      <c r="AN1382">
        <f t="shared" si="884"/>
        <v>0</v>
      </c>
      <c r="AO1382">
        <f t="shared" si="885"/>
        <v>0</v>
      </c>
      <c r="AP1382">
        <f t="shared" si="886"/>
        <v>0</v>
      </c>
      <c r="AQ1382">
        <f t="shared" si="887"/>
        <v>0</v>
      </c>
      <c r="AR1382">
        <f t="shared" si="888"/>
        <v>0</v>
      </c>
      <c r="AS1382">
        <f t="shared" si="889"/>
        <v>0</v>
      </c>
      <c r="AT1382">
        <f t="shared" si="890"/>
        <v>0</v>
      </c>
      <c r="AU1382">
        <f t="shared" si="891"/>
        <v>0</v>
      </c>
      <c r="AV1382">
        <f t="shared" si="892"/>
        <v>0</v>
      </c>
      <c r="AW1382">
        <f t="shared" si="893"/>
        <v>0</v>
      </c>
      <c r="AX1382">
        <f t="shared" si="894"/>
        <v>0</v>
      </c>
      <c r="AY1382">
        <f t="shared" si="895"/>
        <v>0</v>
      </c>
    </row>
    <row r="1383" spans="1:51" ht="24" customHeight="1">
      <c r="A1383" s="110"/>
      <c r="B1383" s="57"/>
      <c r="C1383" s="1109"/>
      <c r="D1383" s="954"/>
      <c r="E1383" s="956"/>
      <c r="F1383" s="1103" t="s">
        <v>4997</v>
      </c>
      <c r="G1383" s="1103"/>
      <c r="H1383" s="1104" t="s">
        <v>4998</v>
      </c>
      <c r="I1383" s="1105"/>
      <c r="J1383" s="1105"/>
      <c r="K1383" s="1105"/>
      <c r="L1383" s="1105"/>
      <c r="M1383" s="1105"/>
      <c r="N1383" s="1105"/>
      <c r="O1383" s="1106"/>
      <c r="P1383" s="100"/>
      <c r="Q1383" s="100"/>
      <c r="R1383" s="100"/>
      <c r="S1383" s="100"/>
      <c r="T1383" s="100"/>
      <c r="U1383" s="100"/>
      <c r="V1383" s="100"/>
      <c r="W1383" s="100"/>
      <c r="X1383" s="100"/>
      <c r="Y1383" s="100"/>
      <c r="Z1383" s="100"/>
      <c r="AA1383" s="100"/>
      <c r="AB1383" s="100"/>
      <c r="AC1383" s="100"/>
      <c r="AD1383" s="100"/>
      <c r="AF1383"/>
      <c r="AG1383">
        <f t="shared" si="896"/>
        <v>0</v>
      </c>
      <c r="AH1383">
        <f t="shared" si="880"/>
        <v>0</v>
      </c>
      <c r="AK1383">
        <f t="shared" si="881"/>
        <v>0</v>
      </c>
      <c r="AL1383">
        <f t="shared" si="882"/>
        <v>0</v>
      </c>
      <c r="AM1383">
        <f t="shared" si="883"/>
        <v>0</v>
      </c>
      <c r="AN1383">
        <f t="shared" si="884"/>
        <v>0</v>
      </c>
      <c r="AO1383">
        <f t="shared" si="885"/>
        <v>0</v>
      </c>
      <c r="AP1383">
        <f t="shared" si="886"/>
        <v>0</v>
      </c>
      <c r="AQ1383">
        <f t="shared" si="887"/>
        <v>0</v>
      </c>
      <c r="AR1383">
        <f t="shared" si="888"/>
        <v>0</v>
      </c>
      <c r="AS1383">
        <f t="shared" si="889"/>
        <v>0</v>
      </c>
      <c r="AT1383">
        <f t="shared" si="890"/>
        <v>0</v>
      </c>
      <c r="AU1383">
        <f t="shared" si="891"/>
        <v>0</v>
      </c>
      <c r="AV1383">
        <f t="shared" si="892"/>
        <v>0</v>
      </c>
      <c r="AW1383">
        <f t="shared" si="893"/>
        <v>0</v>
      </c>
      <c r="AX1383">
        <f t="shared" si="894"/>
        <v>0</v>
      </c>
      <c r="AY1383">
        <f t="shared" si="895"/>
        <v>0</v>
      </c>
    </row>
    <row r="1384" spans="1:51" ht="15" customHeight="1">
      <c r="A1384" s="110"/>
      <c r="B1384" s="57"/>
      <c r="C1384" s="1109"/>
      <c r="D1384" s="954"/>
      <c r="E1384" s="956"/>
      <c r="F1384" s="1103" t="s">
        <v>4999</v>
      </c>
      <c r="G1384" s="1103"/>
      <c r="H1384" s="1104" t="s">
        <v>5000</v>
      </c>
      <c r="I1384" s="1105"/>
      <c r="J1384" s="1105"/>
      <c r="K1384" s="1105"/>
      <c r="L1384" s="1105"/>
      <c r="M1384" s="1105"/>
      <c r="N1384" s="1105"/>
      <c r="O1384" s="1106"/>
      <c r="P1384" s="100"/>
      <c r="Q1384" s="100"/>
      <c r="R1384" s="100"/>
      <c r="S1384" s="100"/>
      <c r="T1384" s="100"/>
      <c r="U1384" s="100"/>
      <c r="V1384" s="100"/>
      <c r="W1384" s="100"/>
      <c r="X1384" s="100"/>
      <c r="Y1384" s="100"/>
      <c r="Z1384" s="100"/>
      <c r="AA1384" s="100"/>
      <c r="AB1384" s="100"/>
      <c r="AC1384" s="100"/>
      <c r="AD1384" s="100"/>
      <c r="AF1384"/>
      <c r="AG1384">
        <f t="shared" si="896"/>
        <v>0</v>
      </c>
      <c r="AH1384">
        <f t="shared" si="880"/>
        <v>0</v>
      </c>
      <c r="AK1384">
        <f t="shared" si="881"/>
        <v>0</v>
      </c>
      <c r="AL1384">
        <f t="shared" si="882"/>
        <v>0</v>
      </c>
      <c r="AM1384">
        <f t="shared" si="883"/>
        <v>0</v>
      </c>
      <c r="AN1384">
        <f t="shared" si="884"/>
        <v>0</v>
      </c>
      <c r="AO1384">
        <f t="shared" si="885"/>
        <v>0</v>
      </c>
      <c r="AP1384">
        <f t="shared" si="886"/>
        <v>0</v>
      </c>
      <c r="AQ1384">
        <f t="shared" si="887"/>
        <v>0</v>
      </c>
      <c r="AR1384">
        <f t="shared" si="888"/>
        <v>0</v>
      </c>
      <c r="AS1384">
        <f t="shared" si="889"/>
        <v>0</v>
      </c>
      <c r="AT1384">
        <f t="shared" si="890"/>
        <v>0</v>
      </c>
      <c r="AU1384">
        <f t="shared" si="891"/>
        <v>0</v>
      </c>
      <c r="AV1384">
        <f t="shared" si="892"/>
        <v>0</v>
      </c>
      <c r="AW1384">
        <f t="shared" si="893"/>
        <v>0</v>
      </c>
      <c r="AX1384">
        <f t="shared" si="894"/>
        <v>0</v>
      </c>
      <c r="AY1384">
        <f t="shared" si="895"/>
        <v>0</v>
      </c>
    </row>
    <row r="1385" spans="1:51" ht="24" customHeight="1">
      <c r="A1385" s="110"/>
      <c r="B1385" s="57"/>
      <c r="C1385" s="1109"/>
      <c r="D1385" s="954"/>
      <c r="E1385" s="956"/>
      <c r="F1385" s="1103" t="s">
        <v>5001</v>
      </c>
      <c r="G1385" s="1103"/>
      <c r="H1385" s="1104" t="s">
        <v>5002</v>
      </c>
      <c r="I1385" s="1105"/>
      <c r="J1385" s="1105"/>
      <c r="K1385" s="1105"/>
      <c r="L1385" s="1105"/>
      <c r="M1385" s="1105"/>
      <c r="N1385" s="1105"/>
      <c r="O1385" s="1106"/>
      <c r="P1385" s="100"/>
      <c r="Q1385" s="100"/>
      <c r="R1385" s="100"/>
      <c r="S1385" s="100"/>
      <c r="T1385" s="100"/>
      <c r="U1385" s="100"/>
      <c r="V1385" s="100"/>
      <c r="W1385" s="100"/>
      <c r="X1385" s="100"/>
      <c r="Y1385" s="100"/>
      <c r="Z1385" s="100"/>
      <c r="AA1385" s="100"/>
      <c r="AB1385" s="100"/>
      <c r="AC1385" s="100"/>
      <c r="AD1385" s="100"/>
      <c r="AF1385">
        <f>IF(P1385="NA",IF(AND(COUNTIF(P1386:P1391,"="&amp;$AF$934)=0,COUNTIF(P1386:P1391,"&lt;&gt;NA")&gt;0),1,0),IF(AND(COUNTIF(P1386:P1391,"="&amp;$AF$934)=0,COUNTIF(P1386:P1391,"NA")=COUNTIF(P1386:P1391,"&lt;&gt;"&amp;$AF$934)),1,0))</f>
        <v>0</v>
      </c>
      <c r="AG1385">
        <f t="shared" si="896"/>
        <v>0</v>
      </c>
      <c r="AH1385">
        <f t="shared" si="880"/>
        <v>0</v>
      </c>
      <c r="AK1385">
        <f t="shared" si="881"/>
        <v>0</v>
      </c>
      <c r="AL1385">
        <f t="shared" si="882"/>
        <v>0</v>
      </c>
      <c r="AM1385">
        <f t="shared" si="883"/>
        <v>0</v>
      </c>
      <c r="AN1385">
        <f t="shared" si="884"/>
        <v>0</v>
      </c>
      <c r="AO1385">
        <f t="shared" si="885"/>
        <v>0</v>
      </c>
      <c r="AP1385">
        <f t="shared" si="886"/>
        <v>0</v>
      </c>
      <c r="AQ1385">
        <f t="shared" si="887"/>
        <v>0</v>
      </c>
      <c r="AR1385">
        <f t="shared" si="888"/>
        <v>0</v>
      </c>
      <c r="AS1385">
        <f t="shared" si="889"/>
        <v>0</v>
      </c>
      <c r="AT1385">
        <f t="shared" si="890"/>
        <v>0</v>
      </c>
      <c r="AU1385">
        <f t="shared" si="891"/>
        <v>0</v>
      </c>
      <c r="AV1385">
        <f t="shared" si="892"/>
        <v>0</v>
      </c>
      <c r="AW1385">
        <f t="shared" si="893"/>
        <v>0</v>
      </c>
      <c r="AX1385">
        <f t="shared" si="894"/>
        <v>0</v>
      </c>
      <c r="AY1385">
        <f t="shared" si="895"/>
        <v>0</v>
      </c>
    </row>
    <row r="1386" spans="1:51" ht="15" customHeight="1">
      <c r="A1386" s="110"/>
      <c r="B1386" s="57"/>
      <c r="C1386" s="1109"/>
      <c r="D1386" s="954"/>
      <c r="E1386" s="956"/>
      <c r="F1386" s="1110" t="s">
        <v>5003</v>
      </c>
      <c r="G1386" s="1110"/>
      <c r="H1386" s="178"/>
      <c r="I1386" s="1111" t="s">
        <v>5004</v>
      </c>
      <c r="J1386" s="1111"/>
      <c r="K1386" s="1111"/>
      <c r="L1386" s="1111"/>
      <c r="M1386" s="1111"/>
      <c r="N1386" s="1111"/>
      <c r="O1386" s="1112"/>
      <c r="P1386" s="100"/>
      <c r="Q1386" s="100"/>
      <c r="R1386" s="100"/>
      <c r="S1386" s="100"/>
      <c r="T1386" s="100"/>
      <c r="U1386" s="100"/>
      <c r="V1386" s="100"/>
      <c r="W1386" s="100"/>
      <c r="X1386" s="100"/>
      <c r="Y1386" s="100"/>
      <c r="Z1386" s="100"/>
      <c r="AA1386" s="100"/>
      <c r="AB1386" s="100"/>
      <c r="AC1386" s="100"/>
      <c r="AD1386" s="100"/>
      <c r="AF1386"/>
      <c r="AG1386">
        <f t="shared" si="896"/>
        <v>0</v>
      </c>
      <c r="AH1386">
        <f t="shared" si="880"/>
        <v>0</v>
      </c>
      <c r="AK1386">
        <f t="shared" si="881"/>
        <v>0</v>
      </c>
      <c r="AL1386">
        <f t="shared" si="882"/>
        <v>0</v>
      </c>
      <c r="AM1386">
        <f t="shared" si="883"/>
        <v>0</v>
      </c>
      <c r="AN1386">
        <f t="shared" si="884"/>
        <v>0</v>
      </c>
      <c r="AO1386">
        <f t="shared" si="885"/>
        <v>0</v>
      </c>
      <c r="AP1386">
        <f t="shared" si="886"/>
        <v>0</v>
      </c>
      <c r="AQ1386">
        <f t="shared" si="887"/>
        <v>0</v>
      </c>
      <c r="AR1386">
        <f t="shared" si="888"/>
        <v>0</v>
      </c>
      <c r="AS1386">
        <f t="shared" si="889"/>
        <v>0</v>
      </c>
      <c r="AT1386">
        <f t="shared" si="890"/>
        <v>0</v>
      </c>
      <c r="AU1386">
        <f t="shared" si="891"/>
        <v>0</v>
      </c>
      <c r="AV1386">
        <f t="shared" si="892"/>
        <v>0</v>
      </c>
      <c r="AW1386">
        <f t="shared" si="893"/>
        <v>0</v>
      </c>
      <c r="AX1386">
        <f t="shared" si="894"/>
        <v>0</v>
      </c>
      <c r="AY1386">
        <f t="shared" si="895"/>
        <v>0</v>
      </c>
    </row>
    <row r="1387" spans="1:51" ht="24" customHeight="1">
      <c r="A1387" s="110"/>
      <c r="B1387" s="57"/>
      <c r="C1387" s="1109"/>
      <c r="D1387" s="954"/>
      <c r="E1387" s="956"/>
      <c r="F1387" s="1110" t="s">
        <v>5005</v>
      </c>
      <c r="G1387" s="1110"/>
      <c r="H1387" s="178"/>
      <c r="I1387" s="1111" t="s">
        <v>5006</v>
      </c>
      <c r="J1387" s="1111"/>
      <c r="K1387" s="1111"/>
      <c r="L1387" s="1111"/>
      <c r="M1387" s="1111"/>
      <c r="N1387" s="1111"/>
      <c r="O1387" s="1112"/>
      <c r="P1387" s="100"/>
      <c r="Q1387" s="100"/>
      <c r="R1387" s="100"/>
      <c r="S1387" s="100"/>
      <c r="T1387" s="100"/>
      <c r="U1387" s="100"/>
      <c r="V1387" s="100"/>
      <c r="W1387" s="100"/>
      <c r="X1387" s="100"/>
      <c r="Y1387" s="100"/>
      <c r="Z1387" s="100"/>
      <c r="AA1387" s="100"/>
      <c r="AB1387" s="100"/>
      <c r="AC1387" s="100"/>
      <c r="AD1387" s="100"/>
      <c r="AF1387"/>
      <c r="AG1387">
        <f t="shared" si="896"/>
        <v>0</v>
      </c>
      <c r="AH1387">
        <f t="shared" si="880"/>
        <v>0</v>
      </c>
      <c r="AK1387">
        <f t="shared" si="881"/>
        <v>0</v>
      </c>
      <c r="AL1387">
        <f t="shared" si="882"/>
        <v>0</v>
      </c>
      <c r="AM1387">
        <f t="shared" si="883"/>
        <v>0</v>
      </c>
      <c r="AN1387">
        <f t="shared" si="884"/>
        <v>0</v>
      </c>
      <c r="AO1387">
        <f t="shared" si="885"/>
        <v>0</v>
      </c>
      <c r="AP1387">
        <f t="shared" si="886"/>
        <v>0</v>
      </c>
      <c r="AQ1387">
        <f t="shared" si="887"/>
        <v>0</v>
      </c>
      <c r="AR1387">
        <f t="shared" si="888"/>
        <v>0</v>
      </c>
      <c r="AS1387">
        <f t="shared" si="889"/>
        <v>0</v>
      </c>
      <c r="AT1387">
        <f t="shared" si="890"/>
        <v>0</v>
      </c>
      <c r="AU1387">
        <f t="shared" si="891"/>
        <v>0</v>
      </c>
      <c r="AV1387">
        <f t="shared" si="892"/>
        <v>0</v>
      </c>
      <c r="AW1387">
        <f t="shared" si="893"/>
        <v>0</v>
      </c>
      <c r="AX1387">
        <f t="shared" si="894"/>
        <v>0</v>
      </c>
      <c r="AY1387">
        <f t="shared" si="895"/>
        <v>0</v>
      </c>
    </row>
    <row r="1388" spans="1:51" ht="15" customHeight="1">
      <c r="A1388" s="110"/>
      <c r="B1388" s="57"/>
      <c r="C1388" s="1109"/>
      <c r="D1388" s="954"/>
      <c r="E1388" s="956"/>
      <c r="F1388" s="1110" t="s">
        <v>5007</v>
      </c>
      <c r="G1388" s="1110"/>
      <c r="H1388" s="178"/>
      <c r="I1388" s="1111" t="s">
        <v>5008</v>
      </c>
      <c r="J1388" s="1111"/>
      <c r="K1388" s="1111"/>
      <c r="L1388" s="1111"/>
      <c r="M1388" s="1111"/>
      <c r="N1388" s="1111"/>
      <c r="O1388" s="1112"/>
      <c r="P1388" s="100"/>
      <c r="Q1388" s="100"/>
      <c r="R1388" s="100"/>
      <c r="S1388" s="100"/>
      <c r="T1388" s="100"/>
      <c r="U1388" s="100"/>
      <c r="V1388" s="100"/>
      <c r="W1388" s="100"/>
      <c r="X1388" s="100"/>
      <c r="Y1388" s="100"/>
      <c r="Z1388" s="100"/>
      <c r="AA1388" s="100"/>
      <c r="AB1388" s="100"/>
      <c r="AC1388" s="100"/>
      <c r="AD1388" s="100"/>
      <c r="AF1388"/>
      <c r="AG1388">
        <f t="shared" si="896"/>
        <v>0</v>
      </c>
      <c r="AH1388">
        <f t="shared" si="880"/>
        <v>0</v>
      </c>
      <c r="AK1388">
        <f t="shared" si="881"/>
        <v>0</v>
      </c>
      <c r="AL1388">
        <f t="shared" si="882"/>
        <v>0</v>
      </c>
      <c r="AM1388">
        <f t="shared" si="883"/>
        <v>0</v>
      </c>
      <c r="AN1388">
        <f t="shared" si="884"/>
        <v>0</v>
      </c>
      <c r="AO1388">
        <f t="shared" si="885"/>
        <v>0</v>
      </c>
      <c r="AP1388">
        <f t="shared" si="886"/>
        <v>0</v>
      </c>
      <c r="AQ1388">
        <f t="shared" si="887"/>
        <v>0</v>
      </c>
      <c r="AR1388">
        <f t="shared" si="888"/>
        <v>0</v>
      </c>
      <c r="AS1388">
        <f t="shared" si="889"/>
        <v>0</v>
      </c>
      <c r="AT1388">
        <f t="shared" si="890"/>
        <v>0</v>
      </c>
      <c r="AU1388">
        <f t="shared" si="891"/>
        <v>0</v>
      </c>
      <c r="AV1388">
        <f t="shared" si="892"/>
        <v>0</v>
      </c>
      <c r="AW1388">
        <f t="shared" si="893"/>
        <v>0</v>
      </c>
      <c r="AX1388">
        <f t="shared" si="894"/>
        <v>0</v>
      </c>
      <c r="AY1388">
        <f t="shared" si="895"/>
        <v>0</v>
      </c>
    </row>
    <row r="1389" spans="1:51" ht="24" customHeight="1">
      <c r="A1389" s="110"/>
      <c r="B1389" s="57"/>
      <c r="C1389" s="1109"/>
      <c r="D1389" s="954"/>
      <c r="E1389" s="956"/>
      <c r="F1389" s="1110" t="s">
        <v>5009</v>
      </c>
      <c r="G1389" s="1110"/>
      <c r="H1389" s="178"/>
      <c r="I1389" s="1111" t="s">
        <v>5010</v>
      </c>
      <c r="J1389" s="1111"/>
      <c r="K1389" s="1111"/>
      <c r="L1389" s="1111"/>
      <c r="M1389" s="1111"/>
      <c r="N1389" s="1111"/>
      <c r="O1389" s="1112"/>
      <c r="P1389" s="100"/>
      <c r="Q1389" s="100"/>
      <c r="R1389" s="100"/>
      <c r="S1389" s="100"/>
      <c r="T1389" s="100"/>
      <c r="U1389" s="100"/>
      <c r="V1389" s="100"/>
      <c r="W1389" s="100"/>
      <c r="X1389" s="100"/>
      <c r="Y1389" s="100"/>
      <c r="Z1389" s="100"/>
      <c r="AA1389" s="100"/>
      <c r="AB1389" s="100"/>
      <c r="AC1389" s="100"/>
      <c r="AD1389" s="100"/>
      <c r="AF1389"/>
      <c r="AG1389">
        <f t="shared" si="896"/>
        <v>0</v>
      </c>
      <c r="AH1389">
        <f t="shared" si="880"/>
        <v>0</v>
      </c>
      <c r="AK1389">
        <f t="shared" si="881"/>
        <v>0</v>
      </c>
      <c r="AL1389">
        <f t="shared" si="882"/>
        <v>0</v>
      </c>
      <c r="AM1389">
        <f t="shared" si="883"/>
        <v>0</v>
      </c>
      <c r="AN1389">
        <f t="shared" si="884"/>
        <v>0</v>
      </c>
      <c r="AO1389">
        <f t="shared" si="885"/>
        <v>0</v>
      </c>
      <c r="AP1389">
        <f t="shared" si="886"/>
        <v>0</v>
      </c>
      <c r="AQ1389">
        <f t="shared" si="887"/>
        <v>0</v>
      </c>
      <c r="AR1389">
        <f t="shared" si="888"/>
        <v>0</v>
      </c>
      <c r="AS1389">
        <f t="shared" si="889"/>
        <v>0</v>
      </c>
      <c r="AT1389">
        <f t="shared" si="890"/>
        <v>0</v>
      </c>
      <c r="AU1389">
        <f t="shared" si="891"/>
        <v>0</v>
      </c>
      <c r="AV1389">
        <f t="shared" si="892"/>
        <v>0</v>
      </c>
      <c r="AW1389">
        <f t="shared" si="893"/>
        <v>0</v>
      </c>
      <c r="AX1389">
        <f t="shared" si="894"/>
        <v>0</v>
      </c>
      <c r="AY1389">
        <f t="shared" si="895"/>
        <v>0</v>
      </c>
    </row>
    <row r="1390" spans="1:51" ht="36" customHeight="1">
      <c r="A1390" s="110"/>
      <c r="B1390" s="57"/>
      <c r="C1390" s="1109"/>
      <c r="D1390" s="954"/>
      <c r="E1390" s="956"/>
      <c r="F1390" s="1110" t="s">
        <v>5011</v>
      </c>
      <c r="G1390" s="1110"/>
      <c r="H1390" s="178"/>
      <c r="I1390" s="1111" t="s">
        <v>5012</v>
      </c>
      <c r="J1390" s="1111"/>
      <c r="K1390" s="1111"/>
      <c r="L1390" s="1111"/>
      <c r="M1390" s="1111"/>
      <c r="N1390" s="1111"/>
      <c r="O1390" s="1112"/>
      <c r="P1390" s="100"/>
      <c r="Q1390" s="100"/>
      <c r="R1390" s="100"/>
      <c r="S1390" s="100"/>
      <c r="T1390" s="100"/>
      <c r="U1390" s="100"/>
      <c r="V1390" s="100"/>
      <c r="W1390" s="100"/>
      <c r="X1390" s="100"/>
      <c r="Y1390" s="100"/>
      <c r="Z1390" s="100"/>
      <c r="AA1390" s="100"/>
      <c r="AB1390" s="100"/>
      <c r="AC1390" s="100"/>
      <c r="AD1390" s="100"/>
      <c r="AF1390"/>
      <c r="AG1390">
        <f t="shared" si="896"/>
        <v>0</v>
      </c>
      <c r="AH1390">
        <f t="shared" si="880"/>
        <v>0</v>
      </c>
      <c r="AK1390">
        <f t="shared" si="881"/>
        <v>0</v>
      </c>
      <c r="AL1390">
        <f t="shared" si="882"/>
        <v>0</v>
      </c>
      <c r="AM1390">
        <f t="shared" si="883"/>
        <v>0</v>
      </c>
      <c r="AN1390">
        <f t="shared" si="884"/>
        <v>0</v>
      </c>
      <c r="AO1390">
        <f t="shared" si="885"/>
        <v>0</v>
      </c>
      <c r="AP1390">
        <f t="shared" si="886"/>
        <v>0</v>
      </c>
      <c r="AQ1390">
        <f t="shared" si="887"/>
        <v>0</v>
      </c>
      <c r="AR1390">
        <f t="shared" si="888"/>
        <v>0</v>
      </c>
      <c r="AS1390">
        <f t="shared" si="889"/>
        <v>0</v>
      </c>
      <c r="AT1390">
        <f t="shared" si="890"/>
        <v>0</v>
      </c>
      <c r="AU1390">
        <f t="shared" si="891"/>
        <v>0</v>
      </c>
      <c r="AV1390">
        <f t="shared" si="892"/>
        <v>0</v>
      </c>
      <c r="AW1390">
        <f t="shared" si="893"/>
        <v>0</v>
      </c>
      <c r="AX1390">
        <f t="shared" si="894"/>
        <v>0</v>
      </c>
      <c r="AY1390">
        <f t="shared" si="895"/>
        <v>0</v>
      </c>
    </row>
    <row r="1391" spans="1:51" ht="15" customHeight="1">
      <c r="A1391" s="110"/>
      <c r="B1391" s="57"/>
      <c r="C1391" s="1109"/>
      <c r="D1391" s="954"/>
      <c r="E1391" s="956"/>
      <c r="F1391" s="1110" t="s">
        <v>5418</v>
      </c>
      <c r="G1391" s="1110"/>
      <c r="H1391" s="178"/>
      <c r="I1391" s="1111" t="s">
        <v>201</v>
      </c>
      <c r="J1391" s="1111"/>
      <c r="K1391" s="1111"/>
      <c r="L1391" s="1111"/>
      <c r="M1391" s="1111"/>
      <c r="N1391" s="1111"/>
      <c r="O1391" s="1112"/>
      <c r="P1391" s="100"/>
      <c r="Q1391" s="100"/>
      <c r="R1391" s="100"/>
      <c r="S1391" s="100"/>
      <c r="T1391" s="100"/>
      <c r="U1391" s="100"/>
      <c r="V1391" s="100"/>
      <c r="W1391" s="100"/>
      <c r="X1391" s="100"/>
      <c r="Y1391" s="100"/>
      <c r="Z1391" s="100"/>
      <c r="AA1391" s="100"/>
      <c r="AB1391" s="100"/>
      <c r="AC1391" s="100"/>
      <c r="AD1391" s="100"/>
      <c r="AF1391"/>
      <c r="AG1391">
        <f t="shared" si="896"/>
        <v>0</v>
      </c>
      <c r="AH1391">
        <f t="shared" si="880"/>
        <v>0</v>
      </c>
      <c r="AK1391">
        <f t="shared" si="881"/>
        <v>0</v>
      </c>
      <c r="AL1391">
        <f t="shared" si="882"/>
        <v>0</v>
      </c>
      <c r="AM1391">
        <f t="shared" si="883"/>
        <v>0</v>
      </c>
      <c r="AN1391">
        <f t="shared" si="884"/>
        <v>0</v>
      </c>
      <c r="AO1391">
        <f t="shared" si="885"/>
        <v>0</v>
      </c>
      <c r="AP1391">
        <f t="shared" si="886"/>
        <v>0</v>
      </c>
      <c r="AQ1391">
        <f t="shared" si="887"/>
        <v>0</v>
      </c>
      <c r="AR1391">
        <f t="shared" si="888"/>
        <v>0</v>
      </c>
      <c r="AS1391">
        <f t="shared" si="889"/>
        <v>0</v>
      </c>
      <c r="AT1391">
        <f t="shared" si="890"/>
        <v>0</v>
      </c>
      <c r="AU1391">
        <f t="shared" si="891"/>
        <v>0</v>
      </c>
      <c r="AV1391">
        <f t="shared" si="892"/>
        <v>0</v>
      </c>
      <c r="AW1391">
        <f t="shared" si="893"/>
        <v>0</v>
      </c>
      <c r="AX1391">
        <f t="shared" si="894"/>
        <v>0</v>
      </c>
      <c r="AY1391">
        <f t="shared" si="895"/>
        <v>0</v>
      </c>
    </row>
    <row r="1392" spans="1:51" ht="15" customHeight="1">
      <c r="A1392" s="110"/>
      <c r="B1392" s="57"/>
      <c r="C1392" s="1109"/>
      <c r="D1392" s="954"/>
      <c r="E1392" s="956"/>
      <c r="F1392" s="1103" t="s">
        <v>5014</v>
      </c>
      <c r="G1392" s="1103"/>
      <c r="H1392" s="1104" t="s">
        <v>5015</v>
      </c>
      <c r="I1392" s="1105"/>
      <c r="J1392" s="1105"/>
      <c r="K1392" s="1105"/>
      <c r="L1392" s="1105"/>
      <c r="M1392" s="1105"/>
      <c r="N1392" s="1105"/>
      <c r="O1392" s="1106"/>
      <c r="P1392" s="100"/>
      <c r="Q1392" s="100"/>
      <c r="R1392" s="100"/>
      <c r="S1392" s="100"/>
      <c r="T1392" s="100"/>
      <c r="U1392" s="100"/>
      <c r="V1392" s="100"/>
      <c r="W1392" s="100"/>
      <c r="X1392" s="100"/>
      <c r="Y1392" s="100"/>
      <c r="Z1392" s="100"/>
      <c r="AA1392" s="100"/>
      <c r="AB1392" s="100"/>
      <c r="AC1392" s="100"/>
      <c r="AD1392" s="100"/>
      <c r="AF1392"/>
      <c r="AG1392">
        <f t="shared" si="896"/>
        <v>0</v>
      </c>
      <c r="AH1392">
        <f t="shared" si="880"/>
        <v>0</v>
      </c>
      <c r="AK1392">
        <f t="shared" si="881"/>
        <v>0</v>
      </c>
      <c r="AL1392">
        <f t="shared" si="882"/>
        <v>0</v>
      </c>
      <c r="AM1392">
        <f t="shared" si="883"/>
        <v>0</v>
      </c>
      <c r="AN1392">
        <f t="shared" si="884"/>
        <v>0</v>
      </c>
      <c r="AO1392">
        <f t="shared" si="885"/>
        <v>0</v>
      </c>
      <c r="AP1392">
        <f t="shared" si="886"/>
        <v>0</v>
      </c>
      <c r="AQ1392">
        <f t="shared" si="887"/>
        <v>0</v>
      </c>
      <c r="AR1392">
        <f t="shared" si="888"/>
        <v>0</v>
      </c>
      <c r="AS1392">
        <f t="shared" si="889"/>
        <v>0</v>
      </c>
      <c r="AT1392">
        <f t="shared" si="890"/>
        <v>0</v>
      </c>
      <c r="AU1392">
        <f t="shared" si="891"/>
        <v>0</v>
      </c>
      <c r="AV1392">
        <f t="shared" si="892"/>
        <v>0</v>
      </c>
      <c r="AW1392">
        <f t="shared" si="893"/>
        <v>0</v>
      </c>
      <c r="AX1392">
        <f t="shared" si="894"/>
        <v>0</v>
      </c>
      <c r="AY1392">
        <f t="shared" si="895"/>
        <v>0</v>
      </c>
    </row>
    <row r="1393" spans="1:51" ht="15" customHeight="1">
      <c r="A1393" s="110"/>
      <c r="B1393" s="57"/>
      <c r="C1393" s="1109"/>
      <c r="D1393" s="954"/>
      <c r="E1393" s="956"/>
      <c r="F1393" s="1103" t="s">
        <v>5016</v>
      </c>
      <c r="G1393" s="1103"/>
      <c r="H1393" s="1104" t="s">
        <v>5017</v>
      </c>
      <c r="I1393" s="1105"/>
      <c r="J1393" s="1105"/>
      <c r="K1393" s="1105"/>
      <c r="L1393" s="1105"/>
      <c r="M1393" s="1105"/>
      <c r="N1393" s="1105"/>
      <c r="O1393" s="1106"/>
      <c r="P1393" s="100"/>
      <c r="Q1393" s="100"/>
      <c r="R1393" s="100"/>
      <c r="S1393" s="100"/>
      <c r="T1393" s="100"/>
      <c r="U1393" s="100"/>
      <c r="V1393" s="100"/>
      <c r="W1393" s="100"/>
      <c r="X1393" s="100"/>
      <c r="Y1393" s="100"/>
      <c r="Z1393" s="100"/>
      <c r="AA1393" s="100"/>
      <c r="AB1393" s="100"/>
      <c r="AC1393" s="100"/>
      <c r="AD1393" s="100"/>
      <c r="AF1393"/>
      <c r="AG1393">
        <f t="shared" si="896"/>
        <v>0</v>
      </c>
      <c r="AH1393">
        <f t="shared" si="880"/>
        <v>0</v>
      </c>
      <c r="AK1393">
        <f t="shared" si="881"/>
        <v>0</v>
      </c>
      <c r="AL1393">
        <f t="shared" si="882"/>
        <v>0</v>
      </c>
      <c r="AM1393">
        <f t="shared" si="883"/>
        <v>0</v>
      </c>
      <c r="AN1393">
        <f t="shared" si="884"/>
        <v>0</v>
      </c>
      <c r="AO1393">
        <f t="shared" si="885"/>
        <v>0</v>
      </c>
      <c r="AP1393">
        <f t="shared" si="886"/>
        <v>0</v>
      </c>
      <c r="AQ1393">
        <f t="shared" si="887"/>
        <v>0</v>
      </c>
      <c r="AR1393">
        <f t="shared" si="888"/>
        <v>0</v>
      </c>
      <c r="AS1393">
        <f t="shared" si="889"/>
        <v>0</v>
      </c>
      <c r="AT1393">
        <f t="shared" si="890"/>
        <v>0</v>
      </c>
      <c r="AU1393">
        <f t="shared" si="891"/>
        <v>0</v>
      </c>
      <c r="AV1393">
        <f t="shared" si="892"/>
        <v>0</v>
      </c>
      <c r="AW1393">
        <f t="shared" si="893"/>
        <v>0</v>
      </c>
      <c r="AX1393">
        <f t="shared" si="894"/>
        <v>0</v>
      </c>
      <c r="AY1393">
        <f t="shared" si="895"/>
        <v>0</v>
      </c>
    </row>
    <row r="1394" spans="1:51" ht="24" customHeight="1">
      <c r="A1394" s="110"/>
      <c r="B1394" s="57"/>
      <c r="C1394" s="1109"/>
      <c r="D1394" s="954"/>
      <c r="E1394" s="956"/>
      <c r="F1394" s="1103" t="s">
        <v>5018</v>
      </c>
      <c r="G1394" s="1103"/>
      <c r="H1394" s="1104" t="s">
        <v>5019</v>
      </c>
      <c r="I1394" s="1105"/>
      <c r="J1394" s="1105"/>
      <c r="K1394" s="1105"/>
      <c r="L1394" s="1105"/>
      <c r="M1394" s="1105"/>
      <c r="N1394" s="1105"/>
      <c r="O1394" s="1106"/>
      <c r="P1394" s="100"/>
      <c r="Q1394" s="100"/>
      <c r="R1394" s="100"/>
      <c r="S1394" s="100"/>
      <c r="T1394" s="100"/>
      <c r="U1394" s="100"/>
      <c r="V1394" s="100"/>
      <c r="W1394" s="100"/>
      <c r="X1394" s="100"/>
      <c r="Y1394" s="100"/>
      <c r="Z1394" s="100"/>
      <c r="AA1394" s="100"/>
      <c r="AB1394" s="100"/>
      <c r="AC1394" s="100"/>
      <c r="AD1394" s="100"/>
      <c r="AF1394"/>
      <c r="AG1394">
        <f t="shared" si="896"/>
        <v>0</v>
      </c>
      <c r="AH1394">
        <f t="shared" si="880"/>
        <v>0</v>
      </c>
      <c r="AJ1394">
        <f>IF(OR(P1394="NS",P1394="NA",$P$896=0,$P$896="NS",$P$896="NA"),0,IF((P1394*(IFERROR(100/SUM(P1366:P1394),0)))&gt;25,1,0))</f>
        <v>0</v>
      </c>
      <c r="AK1394">
        <f t="shared" si="881"/>
        <v>0</v>
      </c>
      <c r="AL1394">
        <f t="shared" si="882"/>
        <v>0</v>
      </c>
      <c r="AM1394">
        <f t="shared" si="883"/>
        <v>0</v>
      </c>
      <c r="AN1394">
        <f t="shared" si="884"/>
        <v>0</v>
      </c>
      <c r="AO1394">
        <f t="shared" si="885"/>
        <v>0</v>
      </c>
      <c r="AP1394">
        <f t="shared" si="886"/>
        <v>0</v>
      </c>
      <c r="AQ1394">
        <f t="shared" si="887"/>
        <v>0</v>
      </c>
      <c r="AR1394">
        <f t="shared" si="888"/>
        <v>0</v>
      </c>
      <c r="AS1394">
        <f t="shared" si="889"/>
        <v>0</v>
      </c>
      <c r="AT1394">
        <f t="shared" si="890"/>
        <v>0</v>
      </c>
      <c r="AU1394">
        <f t="shared" si="891"/>
        <v>0</v>
      </c>
      <c r="AV1394">
        <f t="shared" si="892"/>
        <v>0</v>
      </c>
      <c r="AW1394">
        <f t="shared" si="893"/>
        <v>0</v>
      </c>
      <c r="AX1394">
        <f t="shared" si="894"/>
        <v>0</v>
      </c>
      <c r="AY1394">
        <f t="shared" si="895"/>
        <v>0</v>
      </c>
    </row>
    <row r="1395" spans="1:51" ht="15" customHeight="1">
      <c r="A1395" s="110"/>
      <c r="B1395" s="57"/>
      <c r="C1395" s="732" t="s">
        <v>5020</v>
      </c>
      <c r="D1395" s="874" t="s">
        <v>5021</v>
      </c>
      <c r="E1395" s="874"/>
      <c r="F1395" s="1103" t="s">
        <v>5022</v>
      </c>
      <c r="G1395" s="1103"/>
      <c r="H1395" s="1104" t="s">
        <v>5023</v>
      </c>
      <c r="I1395" s="1105"/>
      <c r="J1395" s="1105"/>
      <c r="K1395" s="1105"/>
      <c r="L1395" s="1105"/>
      <c r="M1395" s="1105"/>
      <c r="N1395" s="1105"/>
      <c r="O1395" s="1106"/>
      <c r="P1395" s="100"/>
      <c r="Q1395" s="100"/>
      <c r="R1395" s="100"/>
      <c r="S1395" s="100"/>
      <c r="T1395" s="100"/>
      <c r="U1395" s="100"/>
      <c r="V1395" s="100"/>
      <c r="W1395" s="100"/>
      <c r="X1395" s="100"/>
      <c r="Y1395" s="100"/>
      <c r="Z1395" s="100"/>
      <c r="AA1395" s="100"/>
      <c r="AB1395" s="100"/>
      <c r="AC1395" s="100"/>
      <c r="AD1395" s="100"/>
      <c r="AF1395">
        <f>IF(P1395="NA",IF(AND(COUNTIF(P1396:P1404,"="&amp;$AF$934)=0,COUNTIF(P1396:P1404,"&lt;&gt;NA")&gt;0),1,0),IF(AND(COUNTIF(P1396:P1404,"="&amp;$AF$934)=0,COUNTIF(P1396:P1404,"NA")=COUNTIF(P1396:P1404,"&lt;&gt;"&amp;$AF$934)),1,0))</f>
        <v>0</v>
      </c>
      <c r="AG1395">
        <f t="shared" si="896"/>
        <v>0</v>
      </c>
      <c r="AH1395">
        <f t="shared" si="880"/>
        <v>0</v>
      </c>
      <c r="AK1395">
        <f t="shared" si="881"/>
        <v>0</v>
      </c>
      <c r="AL1395">
        <f t="shared" si="882"/>
        <v>0</v>
      </c>
      <c r="AM1395">
        <f t="shared" si="883"/>
        <v>0</v>
      </c>
      <c r="AN1395">
        <f t="shared" si="884"/>
        <v>0</v>
      </c>
      <c r="AO1395">
        <f t="shared" si="885"/>
        <v>0</v>
      </c>
      <c r="AP1395">
        <f t="shared" si="886"/>
        <v>0</v>
      </c>
      <c r="AQ1395">
        <f t="shared" si="887"/>
        <v>0</v>
      </c>
      <c r="AR1395">
        <f t="shared" si="888"/>
        <v>0</v>
      </c>
      <c r="AS1395">
        <f t="shared" si="889"/>
        <v>0</v>
      </c>
      <c r="AT1395">
        <f t="shared" si="890"/>
        <v>0</v>
      </c>
      <c r="AU1395">
        <f t="shared" si="891"/>
        <v>0</v>
      </c>
      <c r="AV1395">
        <f t="shared" si="892"/>
        <v>0</v>
      </c>
      <c r="AW1395">
        <f t="shared" si="893"/>
        <v>0</v>
      </c>
      <c r="AX1395">
        <f t="shared" si="894"/>
        <v>0</v>
      </c>
      <c r="AY1395">
        <f t="shared" si="895"/>
        <v>0</v>
      </c>
    </row>
    <row r="1396" spans="1:51" ht="24" customHeight="1">
      <c r="A1396" s="110"/>
      <c r="B1396" s="57"/>
      <c r="C1396" s="732"/>
      <c r="D1396" s="874"/>
      <c r="E1396" s="874"/>
      <c r="F1396" s="1110" t="s">
        <v>5024</v>
      </c>
      <c r="G1396" s="1110"/>
      <c r="H1396" s="178"/>
      <c r="I1396" s="1111" t="s">
        <v>5025</v>
      </c>
      <c r="J1396" s="1111"/>
      <c r="K1396" s="1111"/>
      <c r="L1396" s="1111"/>
      <c r="M1396" s="1111"/>
      <c r="N1396" s="1111"/>
      <c r="O1396" s="1112"/>
      <c r="P1396" s="100"/>
      <c r="Q1396" s="100"/>
      <c r="R1396" s="100"/>
      <c r="S1396" s="100"/>
      <c r="T1396" s="100"/>
      <c r="U1396" s="100"/>
      <c r="V1396" s="100"/>
      <c r="W1396" s="100"/>
      <c r="X1396" s="100"/>
      <c r="Y1396" s="100"/>
      <c r="Z1396" s="100"/>
      <c r="AA1396" s="100"/>
      <c r="AB1396" s="100"/>
      <c r="AC1396" s="100"/>
      <c r="AD1396" s="100"/>
      <c r="AF1396"/>
      <c r="AG1396">
        <f t="shared" si="896"/>
        <v>0</v>
      </c>
      <c r="AH1396">
        <f t="shared" si="880"/>
        <v>0</v>
      </c>
      <c r="AK1396">
        <f t="shared" si="881"/>
        <v>0</v>
      </c>
      <c r="AL1396">
        <f t="shared" si="882"/>
        <v>0</v>
      </c>
      <c r="AM1396">
        <f t="shared" si="883"/>
        <v>0</v>
      </c>
      <c r="AN1396">
        <f t="shared" si="884"/>
        <v>0</v>
      </c>
      <c r="AO1396">
        <f t="shared" si="885"/>
        <v>0</v>
      </c>
      <c r="AP1396">
        <f t="shared" si="886"/>
        <v>0</v>
      </c>
      <c r="AQ1396">
        <f t="shared" si="887"/>
        <v>0</v>
      </c>
      <c r="AR1396">
        <f t="shared" si="888"/>
        <v>0</v>
      </c>
      <c r="AS1396">
        <f t="shared" si="889"/>
        <v>0</v>
      </c>
      <c r="AT1396">
        <f t="shared" si="890"/>
        <v>0</v>
      </c>
      <c r="AU1396">
        <f t="shared" si="891"/>
        <v>0</v>
      </c>
      <c r="AV1396">
        <f t="shared" si="892"/>
        <v>0</v>
      </c>
      <c r="AW1396">
        <f t="shared" si="893"/>
        <v>0</v>
      </c>
      <c r="AX1396">
        <f t="shared" si="894"/>
        <v>0</v>
      </c>
      <c r="AY1396">
        <f t="shared" si="895"/>
        <v>0</v>
      </c>
    </row>
    <row r="1397" spans="1:51" ht="15" customHeight="1">
      <c r="A1397" s="110"/>
      <c r="B1397" s="57"/>
      <c r="C1397" s="732"/>
      <c r="D1397" s="874"/>
      <c r="E1397" s="874"/>
      <c r="F1397" s="1110" t="s">
        <v>5026</v>
      </c>
      <c r="G1397" s="1110"/>
      <c r="H1397" s="178"/>
      <c r="I1397" s="1111" t="s">
        <v>5027</v>
      </c>
      <c r="J1397" s="1111"/>
      <c r="K1397" s="1111"/>
      <c r="L1397" s="1111"/>
      <c r="M1397" s="1111"/>
      <c r="N1397" s="1111"/>
      <c r="O1397" s="1112"/>
      <c r="P1397" s="100"/>
      <c r="Q1397" s="100"/>
      <c r="R1397" s="100"/>
      <c r="S1397" s="100"/>
      <c r="T1397" s="100"/>
      <c r="U1397" s="100"/>
      <c r="V1397" s="100"/>
      <c r="W1397" s="100"/>
      <c r="X1397" s="100"/>
      <c r="Y1397" s="100"/>
      <c r="Z1397" s="100"/>
      <c r="AA1397" s="100"/>
      <c r="AB1397" s="100"/>
      <c r="AC1397" s="100"/>
      <c r="AD1397" s="100"/>
      <c r="AF1397"/>
      <c r="AG1397">
        <f t="shared" si="896"/>
        <v>0</v>
      </c>
      <c r="AH1397">
        <f t="shared" si="880"/>
        <v>0</v>
      </c>
      <c r="AK1397">
        <f t="shared" si="881"/>
        <v>0</v>
      </c>
      <c r="AL1397">
        <f t="shared" si="882"/>
        <v>0</v>
      </c>
      <c r="AM1397">
        <f t="shared" si="883"/>
        <v>0</v>
      </c>
      <c r="AN1397">
        <f t="shared" si="884"/>
        <v>0</v>
      </c>
      <c r="AO1397">
        <f t="shared" si="885"/>
        <v>0</v>
      </c>
      <c r="AP1397">
        <f t="shared" si="886"/>
        <v>0</v>
      </c>
      <c r="AQ1397">
        <f t="shared" si="887"/>
        <v>0</v>
      </c>
      <c r="AR1397">
        <f t="shared" si="888"/>
        <v>0</v>
      </c>
      <c r="AS1397">
        <f t="shared" si="889"/>
        <v>0</v>
      </c>
      <c r="AT1397">
        <f t="shared" si="890"/>
        <v>0</v>
      </c>
      <c r="AU1397">
        <f t="shared" si="891"/>
        <v>0</v>
      </c>
      <c r="AV1397">
        <f t="shared" si="892"/>
        <v>0</v>
      </c>
      <c r="AW1397">
        <f t="shared" si="893"/>
        <v>0</v>
      </c>
      <c r="AX1397">
        <f t="shared" si="894"/>
        <v>0</v>
      </c>
      <c r="AY1397">
        <f t="shared" si="895"/>
        <v>0</v>
      </c>
    </row>
    <row r="1398" spans="1:51" ht="15" customHeight="1">
      <c r="A1398" s="110"/>
      <c r="B1398" s="57"/>
      <c r="C1398" s="732"/>
      <c r="D1398" s="874"/>
      <c r="E1398" s="874"/>
      <c r="F1398" s="1110" t="s">
        <v>5028</v>
      </c>
      <c r="G1398" s="1110"/>
      <c r="H1398" s="178"/>
      <c r="I1398" s="1111" t="s">
        <v>5029</v>
      </c>
      <c r="J1398" s="1111"/>
      <c r="K1398" s="1111"/>
      <c r="L1398" s="1111"/>
      <c r="M1398" s="1111"/>
      <c r="N1398" s="1111"/>
      <c r="O1398" s="1112"/>
      <c r="P1398" s="100"/>
      <c r="Q1398" s="100"/>
      <c r="R1398" s="100"/>
      <c r="S1398" s="100"/>
      <c r="T1398" s="100"/>
      <c r="U1398" s="100"/>
      <c r="V1398" s="100"/>
      <c r="W1398" s="100"/>
      <c r="X1398" s="100"/>
      <c r="Y1398" s="100"/>
      <c r="Z1398" s="100"/>
      <c r="AA1398" s="100"/>
      <c r="AB1398" s="100"/>
      <c r="AC1398" s="100"/>
      <c r="AD1398" s="100"/>
      <c r="AF1398"/>
      <c r="AG1398">
        <f t="shared" si="896"/>
        <v>0</v>
      </c>
      <c r="AH1398">
        <f t="shared" si="880"/>
        <v>0</v>
      </c>
      <c r="AK1398">
        <f t="shared" si="881"/>
        <v>0</v>
      </c>
      <c r="AL1398">
        <f t="shared" si="882"/>
        <v>0</v>
      </c>
      <c r="AM1398">
        <f t="shared" si="883"/>
        <v>0</v>
      </c>
      <c r="AN1398">
        <f t="shared" si="884"/>
        <v>0</v>
      </c>
      <c r="AO1398">
        <f t="shared" si="885"/>
        <v>0</v>
      </c>
      <c r="AP1398">
        <f t="shared" si="886"/>
        <v>0</v>
      </c>
      <c r="AQ1398">
        <f t="shared" si="887"/>
        <v>0</v>
      </c>
      <c r="AR1398">
        <f t="shared" si="888"/>
        <v>0</v>
      </c>
      <c r="AS1398">
        <f t="shared" si="889"/>
        <v>0</v>
      </c>
      <c r="AT1398">
        <f t="shared" si="890"/>
        <v>0</v>
      </c>
      <c r="AU1398">
        <f t="shared" si="891"/>
        <v>0</v>
      </c>
      <c r="AV1398">
        <f t="shared" si="892"/>
        <v>0</v>
      </c>
      <c r="AW1398">
        <f t="shared" si="893"/>
        <v>0</v>
      </c>
      <c r="AX1398">
        <f t="shared" si="894"/>
        <v>0</v>
      </c>
      <c r="AY1398">
        <f t="shared" si="895"/>
        <v>0</v>
      </c>
    </row>
    <row r="1399" spans="1:51" ht="15" customHeight="1">
      <c r="A1399" s="110"/>
      <c r="B1399" s="57"/>
      <c r="C1399" s="732"/>
      <c r="D1399" s="874"/>
      <c r="E1399" s="874"/>
      <c r="F1399" s="1110" t="s">
        <v>5030</v>
      </c>
      <c r="G1399" s="1110"/>
      <c r="H1399" s="178"/>
      <c r="I1399" s="1111" t="s">
        <v>5031</v>
      </c>
      <c r="J1399" s="1111"/>
      <c r="K1399" s="1111"/>
      <c r="L1399" s="1111"/>
      <c r="M1399" s="1111"/>
      <c r="N1399" s="1111"/>
      <c r="O1399" s="1112"/>
      <c r="P1399" s="100"/>
      <c r="Q1399" s="100"/>
      <c r="R1399" s="100"/>
      <c r="S1399" s="100"/>
      <c r="T1399" s="100"/>
      <c r="U1399" s="100"/>
      <c r="V1399" s="100"/>
      <c r="W1399" s="100"/>
      <c r="X1399" s="100"/>
      <c r="Y1399" s="100"/>
      <c r="Z1399" s="100"/>
      <c r="AA1399" s="100"/>
      <c r="AB1399" s="100"/>
      <c r="AC1399" s="100"/>
      <c r="AD1399" s="100"/>
      <c r="AF1399"/>
      <c r="AG1399">
        <f t="shared" si="896"/>
        <v>0</v>
      </c>
      <c r="AH1399">
        <f t="shared" si="880"/>
        <v>0</v>
      </c>
      <c r="AK1399">
        <f t="shared" si="881"/>
        <v>0</v>
      </c>
      <c r="AL1399">
        <f t="shared" si="882"/>
        <v>0</v>
      </c>
      <c r="AM1399">
        <f t="shared" si="883"/>
        <v>0</v>
      </c>
      <c r="AN1399">
        <f t="shared" si="884"/>
        <v>0</v>
      </c>
      <c r="AO1399">
        <f t="shared" si="885"/>
        <v>0</v>
      </c>
      <c r="AP1399">
        <f t="shared" si="886"/>
        <v>0</v>
      </c>
      <c r="AQ1399">
        <f t="shared" si="887"/>
        <v>0</v>
      </c>
      <c r="AR1399">
        <f t="shared" si="888"/>
        <v>0</v>
      </c>
      <c r="AS1399">
        <f t="shared" si="889"/>
        <v>0</v>
      </c>
      <c r="AT1399">
        <f t="shared" si="890"/>
        <v>0</v>
      </c>
      <c r="AU1399">
        <f t="shared" si="891"/>
        <v>0</v>
      </c>
      <c r="AV1399">
        <f t="shared" si="892"/>
        <v>0</v>
      </c>
      <c r="AW1399">
        <f t="shared" si="893"/>
        <v>0</v>
      </c>
      <c r="AX1399">
        <f t="shared" si="894"/>
        <v>0</v>
      </c>
      <c r="AY1399">
        <f t="shared" si="895"/>
        <v>0</v>
      </c>
    </row>
    <row r="1400" spans="1:51" ht="15" customHeight="1">
      <c r="A1400" s="110"/>
      <c r="B1400" s="57"/>
      <c r="C1400" s="732"/>
      <c r="D1400" s="874"/>
      <c r="E1400" s="874"/>
      <c r="F1400" s="1110" t="s">
        <v>5032</v>
      </c>
      <c r="G1400" s="1110"/>
      <c r="H1400" s="178"/>
      <c r="I1400" s="1111" t="s">
        <v>5033</v>
      </c>
      <c r="J1400" s="1111"/>
      <c r="K1400" s="1111"/>
      <c r="L1400" s="1111"/>
      <c r="M1400" s="1111"/>
      <c r="N1400" s="1111"/>
      <c r="O1400" s="1112"/>
      <c r="P1400" s="100"/>
      <c r="Q1400" s="100"/>
      <c r="R1400" s="100"/>
      <c r="S1400" s="100"/>
      <c r="T1400" s="100"/>
      <c r="U1400" s="100"/>
      <c r="V1400" s="100"/>
      <c r="W1400" s="100"/>
      <c r="X1400" s="100"/>
      <c r="Y1400" s="100"/>
      <c r="Z1400" s="100"/>
      <c r="AA1400" s="100"/>
      <c r="AB1400" s="100"/>
      <c r="AC1400" s="100"/>
      <c r="AD1400" s="100"/>
      <c r="AF1400"/>
      <c r="AG1400">
        <f t="shared" si="896"/>
        <v>0</v>
      </c>
      <c r="AH1400">
        <f t="shared" si="880"/>
        <v>0</v>
      </c>
      <c r="AK1400">
        <f t="shared" si="881"/>
        <v>0</v>
      </c>
      <c r="AL1400">
        <f t="shared" si="882"/>
        <v>0</v>
      </c>
      <c r="AM1400">
        <f t="shared" si="883"/>
        <v>0</v>
      </c>
      <c r="AN1400">
        <f t="shared" si="884"/>
        <v>0</v>
      </c>
      <c r="AO1400">
        <f t="shared" si="885"/>
        <v>0</v>
      </c>
      <c r="AP1400">
        <f t="shared" si="886"/>
        <v>0</v>
      </c>
      <c r="AQ1400">
        <f t="shared" si="887"/>
        <v>0</v>
      </c>
      <c r="AR1400">
        <f t="shared" si="888"/>
        <v>0</v>
      </c>
      <c r="AS1400">
        <f t="shared" si="889"/>
        <v>0</v>
      </c>
      <c r="AT1400">
        <f t="shared" si="890"/>
        <v>0</v>
      </c>
      <c r="AU1400">
        <f t="shared" si="891"/>
        <v>0</v>
      </c>
      <c r="AV1400">
        <f t="shared" si="892"/>
        <v>0</v>
      </c>
      <c r="AW1400">
        <f t="shared" si="893"/>
        <v>0</v>
      </c>
      <c r="AX1400">
        <f t="shared" si="894"/>
        <v>0</v>
      </c>
      <c r="AY1400">
        <f t="shared" si="895"/>
        <v>0</v>
      </c>
    </row>
    <row r="1401" spans="1:51" ht="15" customHeight="1">
      <c r="A1401" s="110"/>
      <c r="B1401" s="57"/>
      <c r="C1401" s="732"/>
      <c r="D1401" s="874"/>
      <c r="E1401" s="874"/>
      <c r="F1401" s="1110" t="s">
        <v>5034</v>
      </c>
      <c r="G1401" s="1110"/>
      <c r="H1401" s="178"/>
      <c r="I1401" s="1111" t="s">
        <v>5035</v>
      </c>
      <c r="J1401" s="1111"/>
      <c r="K1401" s="1111"/>
      <c r="L1401" s="1111"/>
      <c r="M1401" s="1111"/>
      <c r="N1401" s="1111"/>
      <c r="O1401" s="1112"/>
      <c r="P1401" s="100"/>
      <c r="Q1401" s="100"/>
      <c r="R1401" s="100"/>
      <c r="S1401" s="100"/>
      <c r="T1401" s="100"/>
      <c r="U1401" s="100"/>
      <c r="V1401" s="100"/>
      <c r="W1401" s="100"/>
      <c r="X1401" s="100"/>
      <c r="Y1401" s="100"/>
      <c r="Z1401" s="100"/>
      <c r="AA1401" s="100"/>
      <c r="AB1401" s="100"/>
      <c r="AC1401" s="100"/>
      <c r="AD1401" s="100"/>
      <c r="AF1401"/>
      <c r="AG1401">
        <f t="shared" si="896"/>
        <v>0</v>
      </c>
      <c r="AH1401">
        <f t="shared" si="880"/>
        <v>0</v>
      </c>
      <c r="AK1401">
        <f t="shared" si="881"/>
        <v>0</v>
      </c>
      <c r="AL1401">
        <f t="shared" si="882"/>
        <v>0</v>
      </c>
      <c r="AM1401">
        <f t="shared" si="883"/>
        <v>0</v>
      </c>
      <c r="AN1401">
        <f t="shared" si="884"/>
        <v>0</v>
      </c>
      <c r="AO1401">
        <f t="shared" si="885"/>
        <v>0</v>
      </c>
      <c r="AP1401">
        <f t="shared" si="886"/>
        <v>0</v>
      </c>
      <c r="AQ1401">
        <f t="shared" si="887"/>
        <v>0</v>
      </c>
      <c r="AR1401">
        <f t="shared" si="888"/>
        <v>0</v>
      </c>
      <c r="AS1401">
        <f t="shared" si="889"/>
        <v>0</v>
      </c>
      <c r="AT1401">
        <f t="shared" si="890"/>
        <v>0</v>
      </c>
      <c r="AU1401">
        <f t="shared" si="891"/>
        <v>0</v>
      </c>
      <c r="AV1401">
        <f t="shared" si="892"/>
        <v>0</v>
      </c>
      <c r="AW1401">
        <f t="shared" si="893"/>
        <v>0</v>
      </c>
      <c r="AX1401">
        <f t="shared" si="894"/>
        <v>0</v>
      </c>
      <c r="AY1401">
        <f t="shared" si="895"/>
        <v>0</v>
      </c>
    </row>
    <row r="1402" spans="1:51" ht="15" customHeight="1">
      <c r="A1402" s="110"/>
      <c r="B1402" s="57"/>
      <c r="C1402" s="732"/>
      <c r="D1402" s="874"/>
      <c r="E1402" s="874"/>
      <c r="F1402" s="1110" t="s">
        <v>5036</v>
      </c>
      <c r="G1402" s="1110"/>
      <c r="H1402" s="178"/>
      <c r="I1402" s="1111" t="s">
        <v>5037</v>
      </c>
      <c r="J1402" s="1111"/>
      <c r="K1402" s="1111"/>
      <c r="L1402" s="1111"/>
      <c r="M1402" s="1111"/>
      <c r="N1402" s="1111"/>
      <c r="O1402" s="1112"/>
      <c r="P1402" s="100"/>
      <c r="Q1402" s="100"/>
      <c r="R1402" s="100"/>
      <c r="S1402" s="100"/>
      <c r="T1402" s="100"/>
      <c r="U1402" s="100"/>
      <c r="V1402" s="100"/>
      <c r="W1402" s="100"/>
      <c r="X1402" s="100"/>
      <c r="Y1402" s="100"/>
      <c r="Z1402" s="100"/>
      <c r="AA1402" s="100"/>
      <c r="AB1402" s="100"/>
      <c r="AC1402" s="100"/>
      <c r="AD1402" s="100"/>
      <c r="AF1402"/>
      <c r="AG1402">
        <f t="shared" si="896"/>
        <v>0</v>
      </c>
      <c r="AH1402">
        <f t="shared" si="880"/>
        <v>0</v>
      </c>
      <c r="AK1402">
        <f t="shared" si="881"/>
        <v>0</v>
      </c>
      <c r="AL1402">
        <f t="shared" si="882"/>
        <v>0</v>
      </c>
      <c r="AM1402">
        <f t="shared" si="883"/>
        <v>0</v>
      </c>
      <c r="AN1402">
        <f t="shared" si="884"/>
        <v>0</v>
      </c>
      <c r="AO1402">
        <f t="shared" si="885"/>
        <v>0</v>
      </c>
      <c r="AP1402">
        <f t="shared" si="886"/>
        <v>0</v>
      </c>
      <c r="AQ1402">
        <f t="shared" si="887"/>
        <v>0</v>
      </c>
      <c r="AR1402">
        <f t="shared" si="888"/>
        <v>0</v>
      </c>
      <c r="AS1402">
        <f t="shared" si="889"/>
        <v>0</v>
      </c>
      <c r="AT1402">
        <f t="shared" si="890"/>
        <v>0</v>
      </c>
      <c r="AU1402">
        <f t="shared" si="891"/>
        <v>0</v>
      </c>
      <c r="AV1402">
        <f t="shared" si="892"/>
        <v>0</v>
      </c>
      <c r="AW1402">
        <f t="shared" si="893"/>
        <v>0</v>
      </c>
      <c r="AX1402">
        <f t="shared" si="894"/>
        <v>0</v>
      </c>
      <c r="AY1402">
        <f t="shared" si="895"/>
        <v>0</v>
      </c>
    </row>
    <row r="1403" spans="1:51" ht="24" customHeight="1">
      <c r="A1403" s="110"/>
      <c r="B1403" s="57"/>
      <c r="C1403" s="732"/>
      <c r="D1403" s="874"/>
      <c r="E1403" s="874"/>
      <c r="F1403" s="1110" t="s">
        <v>5038</v>
      </c>
      <c r="G1403" s="1110"/>
      <c r="H1403" s="178"/>
      <c r="I1403" s="1111" t="s">
        <v>5039</v>
      </c>
      <c r="J1403" s="1111"/>
      <c r="K1403" s="1111"/>
      <c r="L1403" s="1111"/>
      <c r="M1403" s="1111"/>
      <c r="N1403" s="1111"/>
      <c r="O1403" s="1112"/>
      <c r="P1403" s="100"/>
      <c r="Q1403" s="100"/>
      <c r="R1403" s="100"/>
      <c r="S1403" s="100"/>
      <c r="T1403" s="100"/>
      <c r="U1403" s="100"/>
      <c r="V1403" s="100"/>
      <c r="W1403" s="100"/>
      <c r="X1403" s="100"/>
      <c r="Y1403" s="100"/>
      <c r="Z1403" s="100"/>
      <c r="AA1403" s="100"/>
      <c r="AB1403" s="100"/>
      <c r="AC1403" s="100"/>
      <c r="AD1403" s="100"/>
      <c r="AF1403"/>
      <c r="AG1403">
        <f t="shared" si="896"/>
        <v>0</v>
      </c>
      <c r="AH1403">
        <f t="shared" si="880"/>
        <v>0</v>
      </c>
      <c r="AK1403">
        <f t="shared" si="881"/>
        <v>0</v>
      </c>
      <c r="AL1403">
        <f t="shared" si="882"/>
        <v>0</v>
      </c>
      <c r="AM1403">
        <f t="shared" si="883"/>
        <v>0</v>
      </c>
      <c r="AN1403">
        <f t="shared" si="884"/>
        <v>0</v>
      </c>
      <c r="AO1403">
        <f t="shared" si="885"/>
        <v>0</v>
      </c>
      <c r="AP1403">
        <f t="shared" si="886"/>
        <v>0</v>
      </c>
      <c r="AQ1403">
        <f t="shared" si="887"/>
        <v>0</v>
      </c>
      <c r="AR1403">
        <f t="shared" si="888"/>
        <v>0</v>
      </c>
      <c r="AS1403">
        <f t="shared" si="889"/>
        <v>0</v>
      </c>
      <c r="AT1403">
        <f t="shared" si="890"/>
        <v>0</v>
      </c>
      <c r="AU1403">
        <f t="shared" si="891"/>
        <v>0</v>
      </c>
      <c r="AV1403">
        <f t="shared" si="892"/>
        <v>0</v>
      </c>
      <c r="AW1403">
        <f t="shared" si="893"/>
        <v>0</v>
      </c>
      <c r="AX1403">
        <f t="shared" si="894"/>
        <v>0</v>
      </c>
      <c r="AY1403">
        <f t="shared" si="895"/>
        <v>0</v>
      </c>
    </row>
    <row r="1404" spans="1:51" ht="15" customHeight="1">
      <c r="A1404" s="110"/>
      <c r="B1404" s="57"/>
      <c r="C1404" s="732"/>
      <c r="D1404" s="874"/>
      <c r="E1404" s="874"/>
      <c r="F1404" s="1110" t="s">
        <v>5040</v>
      </c>
      <c r="G1404" s="1110"/>
      <c r="H1404" s="178"/>
      <c r="I1404" s="1111" t="s">
        <v>201</v>
      </c>
      <c r="J1404" s="1111"/>
      <c r="K1404" s="1111"/>
      <c r="L1404" s="1111"/>
      <c r="M1404" s="1111"/>
      <c r="N1404" s="1111"/>
      <c r="O1404" s="1112"/>
      <c r="P1404" s="100"/>
      <c r="Q1404" s="100"/>
      <c r="R1404" s="100"/>
      <c r="S1404" s="100"/>
      <c r="T1404" s="100"/>
      <c r="U1404" s="100"/>
      <c r="V1404" s="100"/>
      <c r="W1404" s="100"/>
      <c r="X1404" s="100"/>
      <c r="Y1404" s="100"/>
      <c r="Z1404" s="100"/>
      <c r="AA1404" s="100"/>
      <c r="AB1404" s="100"/>
      <c r="AC1404" s="100"/>
      <c r="AD1404" s="100"/>
      <c r="AF1404"/>
      <c r="AG1404">
        <f t="shared" si="896"/>
        <v>0</v>
      </c>
      <c r="AH1404">
        <f t="shared" si="880"/>
        <v>0</v>
      </c>
      <c r="AK1404">
        <f t="shared" si="881"/>
        <v>0</v>
      </c>
      <c r="AL1404">
        <f t="shared" si="882"/>
        <v>0</v>
      </c>
      <c r="AM1404">
        <f t="shared" si="883"/>
        <v>0</v>
      </c>
      <c r="AN1404">
        <f t="shared" si="884"/>
        <v>0</v>
      </c>
      <c r="AO1404">
        <f t="shared" si="885"/>
        <v>0</v>
      </c>
      <c r="AP1404">
        <f t="shared" si="886"/>
        <v>0</v>
      </c>
      <c r="AQ1404">
        <f t="shared" si="887"/>
        <v>0</v>
      </c>
      <c r="AR1404">
        <f t="shared" si="888"/>
        <v>0</v>
      </c>
      <c r="AS1404">
        <f t="shared" si="889"/>
        <v>0</v>
      </c>
      <c r="AT1404">
        <f t="shared" si="890"/>
        <v>0</v>
      </c>
      <c r="AU1404">
        <f t="shared" si="891"/>
        <v>0</v>
      </c>
      <c r="AV1404">
        <f t="shared" si="892"/>
        <v>0</v>
      </c>
      <c r="AW1404">
        <f t="shared" si="893"/>
        <v>0</v>
      </c>
      <c r="AX1404">
        <f t="shared" si="894"/>
        <v>0</v>
      </c>
      <c r="AY1404">
        <f t="shared" si="895"/>
        <v>0</v>
      </c>
    </row>
    <row r="1405" spans="1:51" ht="15" customHeight="1">
      <c r="A1405" s="110"/>
      <c r="B1405" s="57"/>
      <c r="C1405" s="732"/>
      <c r="D1405" s="874"/>
      <c r="E1405" s="874"/>
      <c r="F1405" s="1103" t="s">
        <v>5041</v>
      </c>
      <c r="G1405" s="1103"/>
      <c r="H1405" s="1104" t="s">
        <v>5042</v>
      </c>
      <c r="I1405" s="1105"/>
      <c r="J1405" s="1105"/>
      <c r="K1405" s="1105"/>
      <c r="L1405" s="1105"/>
      <c r="M1405" s="1105"/>
      <c r="N1405" s="1105"/>
      <c r="O1405" s="1106"/>
      <c r="P1405" s="100"/>
      <c r="Q1405" s="100"/>
      <c r="R1405" s="100"/>
      <c r="S1405" s="100"/>
      <c r="T1405" s="100"/>
      <c r="U1405" s="100"/>
      <c r="V1405" s="100"/>
      <c r="W1405" s="100"/>
      <c r="X1405" s="100"/>
      <c r="Y1405" s="100"/>
      <c r="Z1405" s="100"/>
      <c r="AA1405" s="100"/>
      <c r="AB1405" s="100"/>
      <c r="AC1405" s="100"/>
      <c r="AD1405" s="100"/>
      <c r="AF1405">
        <f>IF(P1405="NA",IF(AND(COUNTIF(P1406:P1408,"="&amp;$AF$934)=0,COUNTIF(P1406:P1408,"&lt;&gt;NA")&gt;0),1,0),IF(AND(COUNTIF(P1406:P1408,"="&amp;$AF$934)=0,COUNTIF(P1406:P1408,"NA")=COUNTIF(P1406:P1408,"&lt;&gt;"&amp;$AF$934)),1,0))</f>
        <v>0</v>
      </c>
      <c r="AG1405">
        <f t="shared" si="896"/>
        <v>0</v>
      </c>
      <c r="AH1405">
        <f t="shared" si="880"/>
        <v>0</v>
      </c>
      <c r="AK1405">
        <f t="shared" si="881"/>
        <v>0</v>
      </c>
      <c r="AL1405">
        <f t="shared" si="882"/>
        <v>0</v>
      </c>
      <c r="AM1405">
        <f t="shared" si="883"/>
        <v>0</v>
      </c>
      <c r="AN1405">
        <f t="shared" si="884"/>
        <v>0</v>
      </c>
      <c r="AO1405">
        <f t="shared" si="885"/>
        <v>0</v>
      </c>
      <c r="AP1405">
        <f t="shared" si="886"/>
        <v>0</v>
      </c>
      <c r="AQ1405">
        <f t="shared" si="887"/>
        <v>0</v>
      </c>
      <c r="AR1405">
        <f t="shared" si="888"/>
        <v>0</v>
      </c>
      <c r="AS1405">
        <f t="shared" si="889"/>
        <v>0</v>
      </c>
      <c r="AT1405">
        <f t="shared" si="890"/>
        <v>0</v>
      </c>
      <c r="AU1405">
        <f t="shared" si="891"/>
        <v>0</v>
      </c>
      <c r="AV1405">
        <f t="shared" si="892"/>
        <v>0</v>
      </c>
      <c r="AW1405">
        <f t="shared" si="893"/>
        <v>0</v>
      </c>
      <c r="AX1405">
        <f t="shared" si="894"/>
        <v>0</v>
      </c>
      <c r="AY1405">
        <f t="shared" si="895"/>
        <v>0</v>
      </c>
    </row>
    <row r="1406" spans="1:51" ht="15" customHeight="1">
      <c r="A1406" s="110"/>
      <c r="B1406" s="57"/>
      <c r="C1406" s="732"/>
      <c r="D1406" s="874"/>
      <c r="E1406" s="874"/>
      <c r="F1406" s="1119" t="s">
        <v>5043</v>
      </c>
      <c r="G1406" s="1120"/>
      <c r="H1406" s="178"/>
      <c r="I1406" s="1111" t="s">
        <v>5044</v>
      </c>
      <c r="J1406" s="1111"/>
      <c r="K1406" s="1111"/>
      <c r="L1406" s="1111"/>
      <c r="M1406" s="1111"/>
      <c r="N1406" s="1111"/>
      <c r="O1406" s="1112"/>
      <c r="P1406" s="100"/>
      <c r="Q1406" s="100"/>
      <c r="R1406" s="100"/>
      <c r="S1406" s="100"/>
      <c r="T1406" s="100"/>
      <c r="U1406" s="100"/>
      <c r="V1406" s="100"/>
      <c r="W1406" s="100"/>
      <c r="X1406" s="100"/>
      <c r="Y1406" s="100"/>
      <c r="Z1406" s="100"/>
      <c r="AA1406" s="100"/>
      <c r="AB1406" s="100"/>
      <c r="AC1406" s="100"/>
      <c r="AD1406" s="100"/>
      <c r="AF1406"/>
      <c r="AG1406">
        <f t="shared" si="896"/>
        <v>0</v>
      </c>
      <c r="AH1406">
        <f t="shared" si="880"/>
        <v>0</v>
      </c>
      <c r="AK1406">
        <f t="shared" si="881"/>
        <v>0</v>
      </c>
      <c r="AL1406">
        <f t="shared" si="882"/>
        <v>0</v>
      </c>
      <c r="AM1406">
        <f t="shared" si="883"/>
        <v>0</v>
      </c>
      <c r="AN1406">
        <f t="shared" si="884"/>
        <v>0</v>
      </c>
      <c r="AO1406">
        <f t="shared" si="885"/>
        <v>0</v>
      </c>
      <c r="AP1406">
        <f t="shared" si="886"/>
        <v>0</v>
      </c>
      <c r="AQ1406">
        <f t="shared" si="887"/>
        <v>0</v>
      </c>
      <c r="AR1406">
        <f t="shared" si="888"/>
        <v>0</v>
      </c>
      <c r="AS1406">
        <f t="shared" si="889"/>
        <v>0</v>
      </c>
      <c r="AT1406">
        <f t="shared" si="890"/>
        <v>0</v>
      </c>
      <c r="AU1406">
        <f t="shared" si="891"/>
        <v>0</v>
      </c>
      <c r="AV1406">
        <f t="shared" si="892"/>
        <v>0</v>
      </c>
      <c r="AW1406">
        <f t="shared" si="893"/>
        <v>0</v>
      </c>
      <c r="AX1406">
        <f t="shared" si="894"/>
        <v>0</v>
      </c>
      <c r="AY1406">
        <f t="shared" si="895"/>
        <v>0</v>
      </c>
    </row>
    <row r="1407" spans="1:51" ht="24" customHeight="1">
      <c r="A1407" s="110"/>
      <c r="B1407" s="57"/>
      <c r="C1407" s="732"/>
      <c r="D1407" s="874"/>
      <c r="E1407" s="874"/>
      <c r="F1407" s="1119" t="s">
        <v>5045</v>
      </c>
      <c r="G1407" s="1120"/>
      <c r="H1407" s="178"/>
      <c r="I1407" s="1111" t="s">
        <v>5046</v>
      </c>
      <c r="J1407" s="1111"/>
      <c r="K1407" s="1111"/>
      <c r="L1407" s="1111"/>
      <c r="M1407" s="1111"/>
      <c r="N1407" s="1111"/>
      <c r="O1407" s="1112"/>
      <c r="P1407" s="100"/>
      <c r="Q1407" s="100"/>
      <c r="R1407" s="100"/>
      <c r="S1407" s="100"/>
      <c r="T1407" s="100"/>
      <c r="U1407" s="100"/>
      <c r="V1407" s="100"/>
      <c r="W1407" s="100"/>
      <c r="X1407" s="100"/>
      <c r="Y1407" s="100"/>
      <c r="Z1407" s="100"/>
      <c r="AA1407" s="100"/>
      <c r="AB1407" s="100"/>
      <c r="AC1407" s="100"/>
      <c r="AD1407" s="100"/>
      <c r="AF1407"/>
      <c r="AG1407">
        <f t="shared" si="896"/>
        <v>0</v>
      </c>
      <c r="AH1407">
        <f t="shared" si="880"/>
        <v>0</v>
      </c>
      <c r="AK1407">
        <f t="shared" si="881"/>
        <v>0</v>
      </c>
      <c r="AL1407">
        <f t="shared" si="882"/>
        <v>0</v>
      </c>
      <c r="AM1407">
        <f t="shared" si="883"/>
        <v>0</v>
      </c>
      <c r="AN1407">
        <f t="shared" si="884"/>
        <v>0</v>
      </c>
      <c r="AO1407">
        <f t="shared" si="885"/>
        <v>0</v>
      </c>
      <c r="AP1407">
        <f t="shared" si="886"/>
        <v>0</v>
      </c>
      <c r="AQ1407">
        <f t="shared" si="887"/>
        <v>0</v>
      </c>
      <c r="AR1407">
        <f t="shared" si="888"/>
        <v>0</v>
      </c>
      <c r="AS1407">
        <f t="shared" si="889"/>
        <v>0</v>
      </c>
      <c r="AT1407">
        <f t="shared" si="890"/>
        <v>0</v>
      </c>
      <c r="AU1407">
        <f t="shared" si="891"/>
        <v>0</v>
      </c>
      <c r="AV1407">
        <f t="shared" si="892"/>
        <v>0</v>
      </c>
      <c r="AW1407">
        <f t="shared" si="893"/>
        <v>0</v>
      </c>
      <c r="AX1407">
        <f t="shared" si="894"/>
        <v>0</v>
      </c>
      <c r="AY1407">
        <f t="shared" si="895"/>
        <v>0</v>
      </c>
    </row>
    <row r="1408" spans="1:51" ht="15" customHeight="1">
      <c r="A1408" s="110"/>
      <c r="B1408" s="57"/>
      <c r="C1408" s="732"/>
      <c r="D1408" s="874"/>
      <c r="E1408" s="874"/>
      <c r="F1408" s="1119" t="s">
        <v>5047</v>
      </c>
      <c r="G1408" s="1120"/>
      <c r="H1408" s="178"/>
      <c r="I1408" s="1111" t="s">
        <v>201</v>
      </c>
      <c r="J1408" s="1111"/>
      <c r="K1408" s="1111"/>
      <c r="L1408" s="1111"/>
      <c r="M1408" s="1111"/>
      <c r="N1408" s="1111"/>
      <c r="O1408" s="1112"/>
      <c r="P1408" s="100"/>
      <c r="Q1408" s="100"/>
      <c r="R1408" s="100"/>
      <c r="S1408" s="100"/>
      <c r="T1408" s="100"/>
      <c r="U1408" s="100"/>
      <c r="V1408" s="100"/>
      <c r="W1408" s="100"/>
      <c r="X1408" s="100"/>
      <c r="Y1408" s="100"/>
      <c r="Z1408" s="100"/>
      <c r="AA1408" s="100"/>
      <c r="AB1408" s="100"/>
      <c r="AC1408" s="100"/>
      <c r="AD1408" s="100"/>
      <c r="AF1408"/>
      <c r="AG1408">
        <f t="shared" si="896"/>
        <v>0</v>
      </c>
      <c r="AH1408">
        <f t="shared" si="880"/>
        <v>0</v>
      </c>
      <c r="AK1408">
        <f t="shared" si="881"/>
        <v>0</v>
      </c>
      <c r="AL1408">
        <f t="shared" si="882"/>
        <v>0</v>
      </c>
      <c r="AM1408">
        <f t="shared" si="883"/>
        <v>0</v>
      </c>
      <c r="AN1408">
        <f t="shared" si="884"/>
        <v>0</v>
      </c>
      <c r="AO1408">
        <f t="shared" si="885"/>
        <v>0</v>
      </c>
      <c r="AP1408">
        <f t="shared" si="886"/>
        <v>0</v>
      </c>
      <c r="AQ1408">
        <f t="shared" si="887"/>
        <v>0</v>
      </c>
      <c r="AR1408">
        <f t="shared" si="888"/>
        <v>0</v>
      </c>
      <c r="AS1408">
        <f t="shared" si="889"/>
        <v>0</v>
      </c>
      <c r="AT1408">
        <f t="shared" si="890"/>
        <v>0</v>
      </c>
      <c r="AU1408">
        <f t="shared" si="891"/>
        <v>0</v>
      </c>
      <c r="AV1408">
        <f t="shared" si="892"/>
        <v>0</v>
      </c>
      <c r="AW1408">
        <f t="shared" si="893"/>
        <v>0</v>
      </c>
      <c r="AX1408">
        <f t="shared" si="894"/>
        <v>0</v>
      </c>
      <c r="AY1408">
        <f t="shared" si="895"/>
        <v>0</v>
      </c>
    </row>
    <row r="1409" spans="1:51" ht="15" customHeight="1">
      <c r="A1409" s="110"/>
      <c r="B1409" s="57"/>
      <c r="C1409" s="732"/>
      <c r="D1409" s="874"/>
      <c r="E1409" s="874"/>
      <c r="F1409" s="1103" t="s">
        <v>5048</v>
      </c>
      <c r="G1409" s="1103"/>
      <c r="H1409" s="1104" t="s">
        <v>5049</v>
      </c>
      <c r="I1409" s="1105"/>
      <c r="J1409" s="1105"/>
      <c r="K1409" s="1105"/>
      <c r="L1409" s="1105"/>
      <c r="M1409" s="1105"/>
      <c r="N1409" s="1105"/>
      <c r="O1409" s="1106"/>
      <c r="P1409" s="100"/>
      <c r="Q1409" s="100"/>
      <c r="R1409" s="100"/>
      <c r="S1409" s="100"/>
      <c r="T1409" s="100"/>
      <c r="U1409" s="100"/>
      <c r="V1409" s="100"/>
      <c r="W1409" s="100"/>
      <c r="X1409" s="100"/>
      <c r="Y1409" s="100"/>
      <c r="Z1409" s="100"/>
      <c r="AA1409" s="100"/>
      <c r="AB1409" s="100"/>
      <c r="AC1409" s="100"/>
      <c r="AD1409" s="100"/>
      <c r="AF1409"/>
      <c r="AG1409">
        <f t="shared" si="896"/>
        <v>0</v>
      </c>
      <c r="AH1409">
        <f t="shared" ref="AH1409:AH1445" si="897">IF(P1409="NA",IF(SUM(COUNTBLANK(Q1409:AD1409),COUNTBLANK(V1581:AD1581))=23,0,1),0)</f>
        <v>0</v>
      </c>
      <c r="AK1409">
        <f t="shared" ref="AK1409:AK1445" si="898">COUNTIF(Q1409:R1409,"NS")</f>
        <v>0</v>
      </c>
      <c r="AL1409">
        <f t="shared" ref="AL1409:AL1445" si="899">SUM(Q1409:R1409)</f>
        <v>0</v>
      </c>
      <c r="AM1409">
        <f t="shared" ref="AM1409:AM1445" si="900">IF(COUNTIF(P1409:R1409,"NA")=3,0,IF(COUNTA(P1409:R1409)=0,0,IF(OR(AND(P1409=0,AK1409&gt;0),AND(P1409="ns",AL1409&gt;0),AND(P1409="ns",AK1409=0,AL1409=0)),1,IF(OR(AND(P1409&gt;0,AK1409=2),AND(P1409="ns",AK1409=2),AND(P1409="ns",AL1409=0,AK1409&gt;0),P1409=AL1409),0,1))))</f>
        <v>0</v>
      </c>
      <c r="AN1409">
        <f t="shared" ref="AN1409:AN1445" si="901">COUNTIF(T1409:U1409,"NS")</f>
        <v>0</v>
      </c>
      <c r="AO1409">
        <f t="shared" ref="AO1409:AO1445" si="902">SUM(T1409:U1409)</f>
        <v>0</v>
      </c>
      <c r="AP1409">
        <f t="shared" ref="AP1409:AP1445" si="903">IF(COUNTIF(S1409:U1409,"NA")=3,0,IF(COUNTA(S1409:U1409)=0,0,IF(OR(AND(S1409=0,AN1409&gt;0),AND(S1409="ns",AO1409&gt;0),AND(S1409="ns",AN1409=0,AO1409=0)),1,IF(OR(AND(S1409&gt;0,AN1409=2),AND(S1409="ns",AN1409=2),AND(S1409="ns",AO1409=0,AN1409&gt;0),S1409=AO1409),0,1))))</f>
        <v>0</v>
      </c>
      <c r="AQ1409">
        <f t="shared" ref="AQ1409:AQ1445" si="904">COUNTIF(W1409:X1409,"NS")</f>
        <v>0</v>
      </c>
      <c r="AR1409">
        <f t="shared" ref="AR1409:AR1445" si="905">SUM(W1409:X1409)</f>
        <v>0</v>
      </c>
      <c r="AS1409">
        <f t="shared" ref="AS1409:AS1445" si="906">IF(COUNTIF(V1409:X1409,"NA")=3,0,IF(COUNTA(V1409:X1409)=0,0,IF(OR(AND(V1409=0,AQ1409&gt;0),AND(V1409="ns",AR1409&gt;0),AND(V1409="ns",AQ1409=0,AR1409=0)),1,IF(OR(AND(V1409&gt;0,AQ1409=2),AND(V1409="ns",AQ1409=2),AND(V1409="ns",AR1409=0,AQ1409&gt;0),V1409=AR1409),0,1))))</f>
        <v>0</v>
      </c>
      <c r="AT1409">
        <f t="shared" ref="AT1409:AT1445" si="907">COUNTIF(Z1409:AA1409,"NS")</f>
        <v>0</v>
      </c>
      <c r="AU1409">
        <f t="shared" ref="AU1409:AU1445" si="908">SUM(Z1409:AA1409)</f>
        <v>0</v>
      </c>
      <c r="AV1409">
        <f t="shared" ref="AV1409:AV1445" si="909">IF(COUNTIF(Y1409:AA1409,"NA")=3,0,IF(COUNTA(Y1409:AA1409)=0,0,IF(OR(AND(Y1409=0,AT1409&gt;0),AND(Y1409="ns",AU1409&gt;0),AND(Y1409="ns",AT1409=0,AU1409=0)),1,IF(OR(AND(Y1409&gt;0,AT1409=2),AND(Y1409="ns",AT1409=2),AND(Y1409="ns",AU1409=0,AT1409&gt;0),Y1409=AU1409),0,1))))</f>
        <v>0</v>
      </c>
      <c r="AW1409">
        <f t="shared" ref="AW1409:AW1445" si="910">COUNTIF(AC1409:AD1409,"NS")</f>
        <v>0</v>
      </c>
      <c r="AX1409">
        <f t="shared" ref="AX1409:AX1445" si="911">SUM(AC1409:AD1409)</f>
        <v>0</v>
      </c>
      <c r="AY1409">
        <f t="shared" ref="AY1409:AY1445" si="912">IF(COUNTIF(AB1409:AD1409,"NA")=3,0,IF(COUNTA(AB1409:AD1409)=0,0,IF(OR(AND(AB1409=0,AW1409&gt;0),AND(AB1409="ns",AX1409&gt;0),AND(AB1409="ns",AW1409=0,AX1409=0)),1,IF(OR(AND(AB1409&gt;0,AW1409=2),AND(AB1409="ns",AW1409=2),AND(AB1409="ns",AX1409=0,AW1409&gt;0),AB1409=AX1409),0,1))))</f>
        <v>0</v>
      </c>
    </row>
    <row r="1410" spans="1:51" ht="15" customHeight="1">
      <c r="A1410" s="110"/>
      <c r="B1410" s="57"/>
      <c r="C1410" s="732"/>
      <c r="D1410" s="874"/>
      <c r="E1410" s="874"/>
      <c r="F1410" s="1103" t="s">
        <v>5050</v>
      </c>
      <c r="G1410" s="1103"/>
      <c r="H1410" s="1104" t="s">
        <v>5051</v>
      </c>
      <c r="I1410" s="1105"/>
      <c r="J1410" s="1105"/>
      <c r="K1410" s="1105"/>
      <c r="L1410" s="1105"/>
      <c r="M1410" s="1105"/>
      <c r="N1410" s="1105"/>
      <c r="O1410" s="1106"/>
      <c r="P1410" s="100"/>
      <c r="Q1410" s="100"/>
      <c r="R1410" s="100"/>
      <c r="S1410" s="100"/>
      <c r="T1410" s="100"/>
      <c r="U1410" s="100"/>
      <c r="V1410" s="100"/>
      <c r="W1410" s="100"/>
      <c r="X1410" s="100"/>
      <c r="Y1410" s="100"/>
      <c r="Z1410" s="100"/>
      <c r="AA1410" s="100"/>
      <c r="AB1410" s="100"/>
      <c r="AC1410" s="100"/>
      <c r="AD1410" s="100"/>
      <c r="AF1410"/>
      <c r="AG1410">
        <f t="shared" ref="AG1410:AG1445" si="913">IF(OR($P$896=0,$P$896="NS",$P$896="NA",P1410="NA"),0,IF(SUM(COUNTBLANK(P1410:AD1410),COUNTBLANK(V1582:AD1582))=0,0,1))</f>
        <v>0</v>
      </c>
      <c r="AH1410">
        <f t="shared" si="897"/>
        <v>0</v>
      </c>
      <c r="AK1410">
        <f t="shared" si="898"/>
        <v>0</v>
      </c>
      <c r="AL1410">
        <f t="shared" si="899"/>
        <v>0</v>
      </c>
      <c r="AM1410">
        <f t="shared" si="900"/>
        <v>0</v>
      </c>
      <c r="AN1410">
        <f t="shared" si="901"/>
        <v>0</v>
      </c>
      <c r="AO1410">
        <f t="shared" si="902"/>
        <v>0</v>
      </c>
      <c r="AP1410">
        <f t="shared" si="903"/>
        <v>0</v>
      </c>
      <c r="AQ1410">
        <f t="shared" si="904"/>
        <v>0</v>
      </c>
      <c r="AR1410">
        <f t="shared" si="905"/>
        <v>0</v>
      </c>
      <c r="AS1410">
        <f t="shared" si="906"/>
        <v>0</v>
      </c>
      <c r="AT1410">
        <f t="shared" si="907"/>
        <v>0</v>
      </c>
      <c r="AU1410">
        <f t="shared" si="908"/>
        <v>0</v>
      </c>
      <c r="AV1410">
        <f t="shared" si="909"/>
        <v>0</v>
      </c>
      <c r="AW1410">
        <f t="shared" si="910"/>
        <v>0</v>
      </c>
      <c r="AX1410">
        <f t="shared" si="911"/>
        <v>0</v>
      </c>
      <c r="AY1410">
        <f t="shared" si="912"/>
        <v>0</v>
      </c>
    </row>
    <row r="1411" spans="1:51" ht="24" customHeight="1">
      <c r="A1411" s="110"/>
      <c r="B1411" s="57"/>
      <c r="C1411" s="732"/>
      <c r="D1411" s="874"/>
      <c r="E1411" s="874"/>
      <c r="F1411" s="1103" t="s">
        <v>5052</v>
      </c>
      <c r="G1411" s="1103"/>
      <c r="H1411" s="1104" t="s">
        <v>5053</v>
      </c>
      <c r="I1411" s="1105"/>
      <c r="J1411" s="1105"/>
      <c r="K1411" s="1105"/>
      <c r="L1411" s="1105"/>
      <c r="M1411" s="1105"/>
      <c r="N1411" s="1105"/>
      <c r="O1411" s="1106"/>
      <c r="P1411" s="100"/>
      <c r="Q1411" s="100"/>
      <c r="R1411" s="100"/>
      <c r="S1411" s="100"/>
      <c r="T1411" s="100"/>
      <c r="U1411" s="100"/>
      <c r="V1411" s="100"/>
      <c r="W1411" s="100"/>
      <c r="X1411" s="100"/>
      <c r="Y1411" s="100"/>
      <c r="Z1411" s="100"/>
      <c r="AA1411" s="100"/>
      <c r="AB1411" s="100"/>
      <c r="AC1411" s="100"/>
      <c r="AD1411" s="100"/>
      <c r="AF1411"/>
      <c r="AG1411">
        <f t="shared" si="913"/>
        <v>0</v>
      </c>
      <c r="AH1411">
        <f t="shared" si="897"/>
        <v>0</v>
      </c>
      <c r="AJ1411">
        <f>IF(OR(P1411="NS",P1411="NA",$P$896=0,$P$896="NS",$P$896="NA"),0,IF((P1411*(IFERROR(100/SUM(P1395:P1411),0)))&gt;25,1,0))</f>
        <v>0</v>
      </c>
      <c r="AK1411">
        <f t="shared" si="898"/>
        <v>0</v>
      </c>
      <c r="AL1411">
        <f t="shared" si="899"/>
        <v>0</v>
      </c>
      <c r="AM1411">
        <f t="shared" si="900"/>
        <v>0</v>
      </c>
      <c r="AN1411">
        <f t="shared" si="901"/>
        <v>0</v>
      </c>
      <c r="AO1411">
        <f t="shared" si="902"/>
        <v>0</v>
      </c>
      <c r="AP1411">
        <f t="shared" si="903"/>
        <v>0</v>
      </c>
      <c r="AQ1411">
        <f t="shared" si="904"/>
        <v>0</v>
      </c>
      <c r="AR1411">
        <f t="shared" si="905"/>
        <v>0</v>
      </c>
      <c r="AS1411">
        <f t="shared" si="906"/>
        <v>0</v>
      </c>
      <c r="AT1411">
        <f t="shared" si="907"/>
        <v>0</v>
      </c>
      <c r="AU1411">
        <f t="shared" si="908"/>
        <v>0</v>
      </c>
      <c r="AV1411">
        <f t="shared" si="909"/>
        <v>0</v>
      </c>
      <c r="AW1411">
        <f t="shared" si="910"/>
        <v>0</v>
      </c>
      <c r="AX1411">
        <f t="shared" si="911"/>
        <v>0</v>
      </c>
      <c r="AY1411">
        <f t="shared" si="912"/>
        <v>0</v>
      </c>
    </row>
    <row r="1412" spans="1:51" ht="15" customHeight="1">
      <c r="A1412" s="110"/>
      <c r="B1412" s="57"/>
      <c r="C1412" s="1108" t="s">
        <v>5054</v>
      </c>
      <c r="D1412" s="874" t="s">
        <v>5055</v>
      </c>
      <c r="E1412" s="874"/>
      <c r="F1412" s="1103" t="s">
        <v>5056</v>
      </c>
      <c r="G1412" s="1103"/>
      <c r="H1412" s="1104" t="s">
        <v>5057</v>
      </c>
      <c r="I1412" s="1105"/>
      <c r="J1412" s="1105"/>
      <c r="K1412" s="1105"/>
      <c r="L1412" s="1105"/>
      <c r="M1412" s="1105"/>
      <c r="N1412" s="1105"/>
      <c r="O1412" s="1106"/>
      <c r="P1412" s="100"/>
      <c r="Q1412" s="100"/>
      <c r="R1412" s="100"/>
      <c r="S1412" s="100"/>
      <c r="T1412" s="100"/>
      <c r="U1412" s="100"/>
      <c r="V1412" s="100"/>
      <c r="W1412" s="100"/>
      <c r="X1412" s="100"/>
      <c r="Y1412" s="100"/>
      <c r="Z1412" s="100"/>
      <c r="AA1412" s="100"/>
      <c r="AB1412" s="100"/>
      <c r="AC1412" s="100"/>
      <c r="AD1412" s="100"/>
      <c r="AF1412"/>
      <c r="AG1412">
        <f t="shared" si="913"/>
        <v>0</v>
      </c>
      <c r="AH1412">
        <f t="shared" si="897"/>
        <v>0</v>
      </c>
      <c r="AK1412">
        <f t="shared" si="898"/>
        <v>0</v>
      </c>
      <c r="AL1412">
        <f t="shared" si="899"/>
        <v>0</v>
      </c>
      <c r="AM1412">
        <f t="shared" si="900"/>
        <v>0</v>
      </c>
      <c r="AN1412">
        <f t="shared" si="901"/>
        <v>0</v>
      </c>
      <c r="AO1412">
        <f t="shared" si="902"/>
        <v>0</v>
      </c>
      <c r="AP1412">
        <f t="shared" si="903"/>
        <v>0</v>
      </c>
      <c r="AQ1412">
        <f t="shared" si="904"/>
        <v>0</v>
      </c>
      <c r="AR1412">
        <f t="shared" si="905"/>
        <v>0</v>
      </c>
      <c r="AS1412">
        <f t="shared" si="906"/>
        <v>0</v>
      </c>
      <c r="AT1412">
        <f t="shared" si="907"/>
        <v>0</v>
      </c>
      <c r="AU1412">
        <f t="shared" si="908"/>
        <v>0</v>
      </c>
      <c r="AV1412">
        <f t="shared" si="909"/>
        <v>0</v>
      </c>
      <c r="AW1412">
        <f t="shared" si="910"/>
        <v>0</v>
      </c>
      <c r="AX1412">
        <f t="shared" si="911"/>
        <v>0</v>
      </c>
      <c r="AY1412">
        <f t="shared" si="912"/>
        <v>0</v>
      </c>
    </row>
    <row r="1413" spans="1:51" ht="15" customHeight="1">
      <c r="A1413" s="110"/>
      <c r="B1413" s="57"/>
      <c r="C1413" s="1109"/>
      <c r="D1413" s="874"/>
      <c r="E1413" s="874"/>
      <c r="F1413" s="1103" t="s">
        <v>5058</v>
      </c>
      <c r="G1413" s="1103"/>
      <c r="H1413" s="1104" t="s">
        <v>5059</v>
      </c>
      <c r="I1413" s="1105"/>
      <c r="J1413" s="1105"/>
      <c r="K1413" s="1105"/>
      <c r="L1413" s="1105"/>
      <c r="M1413" s="1105"/>
      <c r="N1413" s="1105"/>
      <c r="O1413" s="1106"/>
      <c r="P1413" s="100"/>
      <c r="Q1413" s="100"/>
      <c r="R1413" s="100"/>
      <c r="S1413" s="100"/>
      <c r="T1413" s="100"/>
      <c r="U1413" s="100"/>
      <c r="V1413" s="100"/>
      <c r="W1413" s="100"/>
      <c r="X1413" s="100"/>
      <c r="Y1413" s="100"/>
      <c r="Z1413" s="100"/>
      <c r="AA1413" s="100"/>
      <c r="AB1413" s="100"/>
      <c r="AC1413" s="100"/>
      <c r="AD1413" s="100"/>
      <c r="AF1413"/>
      <c r="AG1413">
        <f t="shared" si="913"/>
        <v>0</v>
      </c>
      <c r="AH1413">
        <f t="shared" si="897"/>
        <v>0</v>
      </c>
      <c r="AK1413">
        <f t="shared" si="898"/>
        <v>0</v>
      </c>
      <c r="AL1413">
        <f t="shared" si="899"/>
        <v>0</v>
      </c>
      <c r="AM1413">
        <f t="shared" si="900"/>
        <v>0</v>
      </c>
      <c r="AN1413">
        <f t="shared" si="901"/>
        <v>0</v>
      </c>
      <c r="AO1413">
        <f t="shared" si="902"/>
        <v>0</v>
      </c>
      <c r="AP1413">
        <f t="shared" si="903"/>
        <v>0</v>
      </c>
      <c r="AQ1413">
        <f t="shared" si="904"/>
        <v>0</v>
      </c>
      <c r="AR1413">
        <f t="shared" si="905"/>
        <v>0</v>
      </c>
      <c r="AS1413">
        <f t="shared" si="906"/>
        <v>0</v>
      </c>
      <c r="AT1413">
        <f t="shared" si="907"/>
        <v>0</v>
      </c>
      <c r="AU1413">
        <f t="shared" si="908"/>
        <v>0</v>
      </c>
      <c r="AV1413">
        <f t="shared" si="909"/>
        <v>0</v>
      </c>
      <c r="AW1413">
        <f t="shared" si="910"/>
        <v>0</v>
      </c>
      <c r="AX1413">
        <f t="shared" si="911"/>
        <v>0</v>
      </c>
      <c r="AY1413">
        <f t="shared" si="912"/>
        <v>0</v>
      </c>
    </row>
    <row r="1414" spans="1:51" ht="15" customHeight="1">
      <c r="A1414" s="110"/>
      <c r="B1414" s="57"/>
      <c r="C1414" s="1109"/>
      <c r="D1414" s="874"/>
      <c r="E1414" s="874"/>
      <c r="F1414" s="1103" t="s">
        <v>5060</v>
      </c>
      <c r="G1414" s="1103"/>
      <c r="H1414" s="1104" t="s">
        <v>5061</v>
      </c>
      <c r="I1414" s="1105"/>
      <c r="J1414" s="1105"/>
      <c r="K1414" s="1105"/>
      <c r="L1414" s="1105"/>
      <c r="M1414" s="1105"/>
      <c r="N1414" s="1105"/>
      <c r="O1414" s="1106"/>
      <c r="P1414" s="100"/>
      <c r="Q1414" s="100"/>
      <c r="R1414" s="100"/>
      <c r="S1414" s="100"/>
      <c r="T1414" s="100"/>
      <c r="U1414" s="100"/>
      <c r="V1414" s="100"/>
      <c r="W1414" s="100"/>
      <c r="X1414" s="100"/>
      <c r="Y1414" s="100"/>
      <c r="Z1414" s="100"/>
      <c r="AA1414" s="100"/>
      <c r="AB1414" s="100"/>
      <c r="AC1414" s="100"/>
      <c r="AD1414" s="100"/>
      <c r="AF1414"/>
      <c r="AG1414">
        <f t="shared" si="913"/>
        <v>0</v>
      </c>
      <c r="AH1414">
        <f t="shared" si="897"/>
        <v>0</v>
      </c>
      <c r="AK1414">
        <f t="shared" si="898"/>
        <v>0</v>
      </c>
      <c r="AL1414">
        <f t="shared" si="899"/>
        <v>0</v>
      </c>
      <c r="AM1414">
        <f t="shared" si="900"/>
        <v>0</v>
      </c>
      <c r="AN1414">
        <f t="shared" si="901"/>
        <v>0</v>
      </c>
      <c r="AO1414">
        <f t="shared" si="902"/>
        <v>0</v>
      </c>
      <c r="AP1414">
        <f t="shared" si="903"/>
        <v>0</v>
      </c>
      <c r="AQ1414">
        <f t="shared" si="904"/>
        <v>0</v>
      </c>
      <c r="AR1414">
        <f t="shared" si="905"/>
        <v>0</v>
      </c>
      <c r="AS1414">
        <f t="shared" si="906"/>
        <v>0</v>
      </c>
      <c r="AT1414">
        <f t="shared" si="907"/>
        <v>0</v>
      </c>
      <c r="AU1414">
        <f t="shared" si="908"/>
        <v>0</v>
      </c>
      <c r="AV1414">
        <f t="shared" si="909"/>
        <v>0</v>
      </c>
      <c r="AW1414">
        <f t="shared" si="910"/>
        <v>0</v>
      </c>
      <c r="AX1414">
        <f t="shared" si="911"/>
        <v>0</v>
      </c>
      <c r="AY1414">
        <f t="shared" si="912"/>
        <v>0</v>
      </c>
    </row>
    <row r="1415" spans="1:51" ht="15" customHeight="1">
      <c r="A1415" s="110"/>
      <c r="B1415" s="57"/>
      <c r="C1415" s="1109"/>
      <c r="D1415" s="874"/>
      <c r="E1415" s="874"/>
      <c r="F1415" s="1103" t="s">
        <v>5062</v>
      </c>
      <c r="G1415" s="1103"/>
      <c r="H1415" s="1104" t="s">
        <v>5063</v>
      </c>
      <c r="I1415" s="1105"/>
      <c r="J1415" s="1105"/>
      <c r="K1415" s="1105"/>
      <c r="L1415" s="1105"/>
      <c r="M1415" s="1105"/>
      <c r="N1415" s="1105"/>
      <c r="O1415" s="1106"/>
      <c r="P1415" s="100"/>
      <c r="Q1415" s="100"/>
      <c r="R1415" s="100"/>
      <c r="S1415" s="100"/>
      <c r="T1415" s="100"/>
      <c r="U1415" s="100"/>
      <c r="V1415" s="100"/>
      <c r="W1415" s="100"/>
      <c r="X1415" s="100"/>
      <c r="Y1415" s="100"/>
      <c r="Z1415" s="100"/>
      <c r="AA1415" s="100"/>
      <c r="AB1415" s="100"/>
      <c r="AC1415" s="100"/>
      <c r="AD1415" s="100"/>
      <c r="AF1415"/>
      <c r="AG1415">
        <f t="shared" si="913"/>
        <v>0</v>
      </c>
      <c r="AH1415">
        <f t="shared" si="897"/>
        <v>0</v>
      </c>
      <c r="AK1415">
        <f t="shared" si="898"/>
        <v>0</v>
      </c>
      <c r="AL1415">
        <f t="shared" si="899"/>
        <v>0</v>
      </c>
      <c r="AM1415">
        <f t="shared" si="900"/>
        <v>0</v>
      </c>
      <c r="AN1415">
        <f t="shared" si="901"/>
        <v>0</v>
      </c>
      <c r="AO1415">
        <f t="shared" si="902"/>
        <v>0</v>
      </c>
      <c r="AP1415">
        <f t="shared" si="903"/>
        <v>0</v>
      </c>
      <c r="AQ1415">
        <f t="shared" si="904"/>
        <v>0</v>
      </c>
      <c r="AR1415">
        <f t="shared" si="905"/>
        <v>0</v>
      </c>
      <c r="AS1415">
        <f t="shared" si="906"/>
        <v>0</v>
      </c>
      <c r="AT1415">
        <f t="shared" si="907"/>
        <v>0</v>
      </c>
      <c r="AU1415">
        <f t="shared" si="908"/>
        <v>0</v>
      </c>
      <c r="AV1415">
        <f t="shared" si="909"/>
        <v>0</v>
      </c>
      <c r="AW1415">
        <f t="shared" si="910"/>
        <v>0</v>
      </c>
      <c r="AX1415">
        <f t="shared" si="911"/>
        <v>0</v>
      </c>
      <c r="AY1415">
        <f t="shared" si="912"/>
        <v>0</v>
      </c>
    </row>
    <row r="1416" spans="1:51" ht="24" customHeight="1">
      <c r="A1416" s="110"/>
      <c r="B1416" s="57"/>
      <c r="C1416" s="1109"/>
      <c r="D1416" s="874"/>
      <c r="E1416" s="874"/>
      <c r="F1416" s="1103" t="s">
        <v>5064</v>
      </c>
      <c r="G1416" s="1103"/>
      <c r="H1416" s="1104" t="s">
        <v>5065</v>
      </c>
      <c r="I1416" s="1105"/>
      <c r="J1416" s="1105"/>
      <c r="K1416" s="1105"/>
      <c r="L1416" s="1105"/>
      <c r="M1416" s="1105"/>
      <c r="N1416" s="1105"/>
      <c r="O1416" s="1106"/>
      <c r="P1416" s="100"/>
      <c r="Q1416" s="100"/>
      <c r="R1416" s="100"/>
      <c r="S1416" s="100"/>
      <c r="T1416" s="100"/>
      <c r="U1416" s="100"/>
      <c r="V1416" s="100"/>
      <c r="W1416" s="100"/>
      <c r="X1416" s="100"/>
      <c r="Y1416" s="100"/>
      <c r="Z1416" s="100"/>
      <c r="AA1416" s="100"/>
      <c r="AB1416" s="100"/>
      <c r="AC1416" s="100"/>
      <c r="AD1416" s="100"/>
      <c r="AF1416">
        <f>IF(P1416="NA",IF(AND(COUNTIF(P1417:P1423,"="&amp;$AF$934)=0,COUNTIF(P1417:P1423,"&lt;&gt;NA")&gt;0),1,0),IF(AND(COUNTIF(P1417:P1423,"="&amp;$AF$934)=0,COUNTIF(P1417:P1423,"NA")=COUNTIF(P1417:P1423,"&lt;&gt;"&amp;$AF$934)),1,0))</f>
        <v>0</v>
      </c>
      <c r="AG1416">
        <f t="shared" si="913"/>
        <v>0</v>
      </c>
      <c r="AH1416">
        <f t="shared" si="897"/>
        <v>0</v>
      </c>
      <c r="AK1416">
        <f t="shared" si="898"/>
        <v>0</v>
      </c>
      <c r="AL1416">
        <f t="shared" si="899"/>
        <v>0</v>
      </c>
      <c r="AM1416">
        <f t="shared" si="900"/>
        <v>0</v>
      </c>
      <c r="AN1416">
        <f t="shared" si="901"/>
        <v>0</v>
      </c>
      <c r="AO1416">
        <f t="shared" si="902"/>
        <v>0</v>
      </c>
      <c r="AP1416">
        <f t="shared" si="903"/>
        <v>0</v>
      </c>
      <c r="AQ1416">
        <f t="shared" si="904"/>
        <v>0</v>
      </c>
      <c r="AR1416">
        <f t="shared" si="905"/>
        <v>0</v>
      </c>
      <c r="AS1416">
        <f t="shared" si="906"/>
        <v>0</v>
      </c>
      <c r="AT1416">
        <f t="shared" si="907"/>
        <v>0</v>
      </c>
      <c r="AU1416">
        <f t="shared" si="908"/>
        <v>0</v>
      </c>
      <c r="AV1416">
        <f t="shared" si="909"/>
        <v>0</v>
      </c>
      <c r="AW1416">
        <f t="shared" si="910"/>
        <v>0</v>
      </c>
      <c r="AX1416">
        <f t="shared" si="911"/>
        <v>0</v>
      </c>
      <c r="AY1416">
        <f t="shared" si="912"/>
        <v>0</v>
      </c>
    </row>
    <row r="1417" spans="1:51" ht="36" customHeight="1">
      <c r="A1417" s="110"/>
      <c r="B1417" s="57"/>
      <c r="C1417" s="1109"/>
      <c r="D1417" s="874"/>
      <c r="E1417" s="874"/>
      <c r="F1417" s="1119" t="s">
        <v>5066</v>
      </c>
      <c r="G1417" s="1120"/>
      <c r="H1417" s="178"/>
      <c r="I1417" s="1111" t="s">
        <v>5067</v>
      </c>
      <c r="J1417" s="1111"/>
      <c r="K1417" s="1111"/>
      <c r="L1417" s="1111"/>
      <c r="M1417" s="1111"/>
      <c r="N1417" s="1111"/>
      <c r="O1417" s="1112"/>
      <c r="P1417" s="100"/>
      <c r="Q1417" s="100"/>
      <c r="R1417" s="100"/>
      <c r="S1417" s="100"/>
      <c r="T1417" s="100"/>
      <c r="U1417" s="100"/>
      <c r="V1417" s="100"/>
      <c r="W1417" s="100"/>
      <c r="X1417" s="100"/>
      <c r="Y1417" s="100"/>
      <c r="Z1417" s="100"/>
      <c r="AA1417" s="100"/>
      <c r="AB1417" s="100"/>
      <c r="AC1417" s="100"/>
      <c r="AD1417" s="100"/>
      <c r="AF1417"/>
      <c r="AG1417">
        <f t="shared" si="913"/>
        <v>0</v>
      </c>
      <c r="AH1417">
        <f t="shared" si="897"/>
        <v>0</v>
      </c>
      <c r="AK1417">
        <f t="shared" si="898"/>
        <v>0</v>
      </c>
      <c r="AL1417">
        <f t="shared" si="899"/>
        <v>0</v>
      </c>
      <c r="AM1417">
        <f t="shared" si="900"/>
        <v>0</v>
      </c>
      <c r="AN1417">
        <f t="shared" si="901"/>
        <v>0</v>
      </c>
      <c r="AO1417">
        <f t="shared" si="902"/>
        <v>0</v>
      </c>
      <c r="AP1417">
        <f t="shared" si="903"/>
        <v>0</v>
      </c>
      <c r="AQ1417">
        <f t="shared" si="904"/>
        <v>0</v>
      </c>
      <c r="AR1417">
        <f t="shared" si="905"/>
        <v>0</v>
      </c>
      <c r="AS1417">
        <f t="shared" si="906"/>
        <v>0</v>
      </c>
      <c r="AT1417">
        <f t="shared" si="907"/>
        <v>0</v>
      </c>
      <c r="AU1417">
        <f t="shared" si="908"/>
        <v>0</v>
      </c>
      <c r="AV1417">
        <f t="shared" si="909"/>
        <v>0</v>
      </c>
      <c r="AW1417">
        <f t="shared" si="910"/>
        <v>0</v>
      </c>
      <c r="AX1417">
        <f t="shared" si="911"/>
        <v>0</v>
      </c>
      <c r="AY1417">
        <f t="shared" si="912"/>
        <v>0</v>
      </c>
    </row>
    <row r="1418" spans="1:51" ht="36" customHeight="1">
      <c r="A1418" s="110"/>
      <c r="B1418" s="57"/>
      <c r="C1418" s="1109"/>
      <c r="D1418" s="874"/>
      <c r="E1418" s="874"/>
      <c r="F1418" s="1110" t="s">
        <v>5068</v>
      </c>
      <c r="G1418" s="1110"/>
      <c r="H1418" s="178"/>
      <c r="I1418" s="1111" t="s">
        <v>5069</v>
      </c>
      <c r="J1418" s="1111"/>
      <c r="K1418" s="1111"/>
      <c r="L1418" s="1111"/>
      <c r="M1418" s="1111"/>
      <c r="N1418" s="1111"/>
      <c r="O1418" s="1112"/>
      <c r="P1418" s="100"/>
      <c r="Q1418" s="100"/>
      <c r="R1418" s="100"/>
      <c r="S1418" s="100"/>
      <c r="T1418" s="100"/>
      <c r="U1418" s="100"/>
      <c r="V1418" s="100"/>
      <c r="W1418" s="100"/>
      <c r="X1418" s="100"/>
      <c r="Y1418" s="100"/>
      <c r="Z1418" s="100"/>
      <c r="AA1418" s="100"/>
      <c r="AB1418" s="100"/>
      <c r="AC1418" s="100"/>
      <c r="AD1418" s="100"/>
      <c r="AF1418"/>
      <c r="AG1418">
        <f t="shared" si="913"/>
        <v>0</v>
      </c>
      <c r="AH1418">
        <f t="shared" si="897"/>
        <v>0</v>
      </c>
      <c r="AK1418">
        <f t="shared" si="898"/>
        <v>0</v>
      </c>
      <c r="AL1418">
        <f t="shared" si="899"/>
        <v>0</v>
      </c>
      <c r="AM1418">
        <f t="shared" si="900"/>
        <v>0</v>
      </c>
      <c r="AN1418">
        <f t="shared" si="901"/>
        <v>0</v>
      </c>
      <c r="AO1418">
        <f t="shared" si="902"/>
        <v>0</v>
      </c>
      <c r="AP1418">
        <f t="shared" si="903"/>
        <v>0</v>
      </c>
      <c r="AQ1418">
        <f t="shared" si="904"/>
        <v>0</v>
      </c>
      <c r="AR1418">
        <f t="shared" si="905"/>
        <v>0</v>
      </c>
      <c r="AS1418">
        <f t="shared" si="906"/>
        <v>0</v>
      </c>
      <c r="AT1418">
        <f t="shared" si="907"/>
        <v>0</v>
      </c>
      <c r="AU1418">
        <f t="shared" si="908"/>
        <v>0</v>
      </c>
      <c r="AV1418">
        <f t="shared" si="909"/>
        <v>0</v>
      </c>
      <c r="AW1418">
        <f t="shared" si="910"/>
        <v>0</v>
      </c>
      <c r="AX1418">
        <f t="shared" si="911"/>
        <v>0</v>
      </c>
      <c r="AY1418">
        <f t="shared" si="912"/>
        <v>0</v>
      </c>
    </row>
    <row r="1419" spans="1:51" ht="48" customHeight="1">
      <c r="A1419" s="170"/>
      <c r="C1419" s="1109"/>
      <c r="D1419" s="874"/>
      <c r="E1419" s="874"/>
      <c r="F1419" s="1110" t="s">
        <v>5070</v>
      </c>
      <c r="G1419" s="1110"/>
      <c r="H1419" s="178"/>
      <c r="I1419" s="1111" t="s">
        <v>5071</v>
      </c>
      <c r="J1419" s="1111"/>
      <c r="K1419" s="1111"/>
      <c r="L1419" s="1111"/>
      <c r="M1419" s="1111"/>
      <c r="N1419" s="1111"/>
      <c r="O1419" s="1112"/>
      <c r="P1419" s="100"/>
      <c r="Q1419" s="100"/>
      <c r="R1419" s="100"/>
      <c r="S1419" s="100"/>
      <c r="T1419" s="100"/>
      <c r="U1419" s="100"/>
      <c r="V1419" s="100"/>
      <c r="W1419" s="100"/>
      <c r="X1419" s="100"/>
      <c r="Y1419" s="100"/>
      <c r="Z1419" s="100"/>
      <c r="AA1419" s="100"/>
      <c r="AB1419" s="100"/>
      <c r="AC1419" s="100"/>
      <c r="AD1419" s="100"/>
      <c r="AF1419"/>
      <c r="AG1419">
        <f t="shared" si="913"/>
        <v>0</v>
      </c>
      <c r="AH1419">
        <f t="shared" si="897"/>
        <v>0</v>
      </c>
      <c r="AK1419">
        <f t="shared" si="898"/>
        <v>0</v>
      </c>
      <c r="AL1419">
        <f t="shared" si="899"/>
        <v>0</v>
      </c>
      <c r="AM1419">
        <f t="shared" si="900"/>
        <v>0</v>
      </c>
      <c r="AN1419">
        <f t="shared" si="901"/>
        <v>0</v>
      </c>
      <c r="AO1419">
        <f t="shared" si="902"/>
        <v>0</v>
      </c>
      <c r="AP1419">
        <f t="shared" si="903"/>
        <v>0</v>
      </c>
      <c r="AQ1419">
        <f t="shared" si="904"/>
        <v>0</v>
      </c>
      <c r="AR1419">
        <f t="shared" si="905"/>
        <v>0</v>
      </c>
      <c r="AS1419">
        <f t="shared" si="906"/>
        <v>0</v>
      </c>
      <c r="AT1419">
        <f t="shared" si="907"/>
        <v>0</v>
      </c>
      <c r="AU1419">
        <f t="shared" si="908"/>
        <v>0</v>
      </c>
      <c r="AV1419">
        <f t="shared" si="909"/>
        <v>0</v>
      </c>
      <c r="AW1419">
        <f t="shared" si="910"/>
        <v>0</v>
      </c>
      <c r="AX1419">
        <f t="shared" si="911"/>
        <v>0</v>
      </c>
      <c r="AY1419">
        <f t="shared" si="912"/>
        <v>0</v>
      </c>
    </row>
    <row r="1420" spans="1:51" ht="24" customHeight="1">
      <c r="A1420" s="170"/>
      <c r="C1420" s="1109"/>
      <c r="D1420" s="874"/>
      <c r="E1420" s="874"/>
      <c r="F1420" s="1110" t="s">
        <v>5072</v>
      </c>
      <c r="G1420" s="1110"/>
      <c r="H1420" s="178"/>
      <c r="I1420" s="1111" t="s">
        <v>5073</v>
      </c>
      <c r="J1420" s="1111"/>
      <c r="K1420" s="1111"/>
      <c r="L1420" s="1111"/>
      <c r="M1420" s="1111"/>
      <c r="N1420" s="1111"/>
      <c r="O1420" s="1112"/>
      <c r="P1420" s="100"/>
      <c r="Q1420" s="100"/>
      <c r="R1420" s="100"/>
      <c r="S1420" s="100"/>
      <c r="T1420" s="100"/>
      <c r="U1420" s="100"/>
      <c r="V1420" s="100"/>
      <c r="W1420" s="100"/>
      <c r="X1420" s="100"/>
      <c r="Y1420" s="100"/>
      <c r="Z1420" s="100"/>
      <c r="AA1420" s="100"/>
      <c r="AB1420" s="100"/>
      <c r="AC1420" s="100"/>
      <c r="AD1420" s="100"/>
      <c r="AF1420"/>
      <c r="AG1420">
        <f t="shared" si="913"/>
        <v>0</v>
      </c>
      <c r="AH1420">
        <f t="shared" si="897"/>
        <v>0</v>
      </c>
      <c r="AK1420">
        <f t="shared" si="898"/>
        <v>0</v>
      </c>
      <c r="AL1420">
        <f t="shared" si="899"/>
        <v>0</v>
      </c>
      <c r="AM1420">
        <f t="shared" si="900"/>
        <v>0</v>
      </c>
      <c r="AN1420">
        <f t="shared" si="901"/>
        <v>0</v>
      </c>
      <c r="AO1420">
        <f t="shared" si="902"/>
        <v>0</v>
      </c>
      <c r="AP1420">
        <f t="shared" si="903"/>
        <v>0</v>
      </c>
      <c r="AQ1420">
        <f t="shared" si="904"/>
        <v>0</v>
      </c>
      <c r="AR1420">
        <f t="shared" si="905"/>
        <v>0</v>
      </c>
      <c r="AS1420">
        <f t="shared" si="906"/>
        <v>0</v>
      </c>
      <c r="AT1420">
        <f t="shared" si="907"/>
        <v>0</v>
      </c>
      <c r="AU1420">
        <f t="shared" si="908"/>
        <v>0</v>
      </c>
      <c r="AV1420">
        <f t="shared" si="909"/>
        <v>0</v>
      </c>
      <c r="AW1420">
        <f t="shared" si="910"/>
        <v>0</v>
      </c>
      <c r="AX1420">
        <f t="shared" si="911"/>
        <v>0</v>
      </c>
      <c r="AY1420">
        <f t="shared" si="912"/>
        <v>0</v>
      </c>
    </row>
    <row r="1421" spans="1:51" ht="24" customHeight="1">
      <c r="A1421" s="170"/>
      <c r="C1421" s="1109"/>
      <c r="D1421" s="874"/>
      <c r="E1421" s="874"/>
      <c r="F1421" s="1110" t="s">
        <v>5074</v>
      </c>
      <c r="G1421" s="1110"/>
      <c r="H1421" s="178"/>
      <c r="I1421" s="1111" t="s">
        <v>5075</v>
      </c>
      <c r="J1421" s="1111"/>
      <c r="K1421" s="1111"/>
      <c r="L1421" s="1111"/>
      <c r="M1421" s="1111"/>
      <c r="N1421" s="1111"/>
      <c r="O1421" s="1112"/>
      <c r="P1421" s="100"/>
      <c r="Q1421" s="100"/>
      <c r="R1421" s="100"/>
      <c r="S1421" s="100"/>
      <c r="T1421" s="100"/>
      <c r="U1421" s="100"/>
      <c r="V1421" s="100"/>
      <c r="W1421" s="100"/>
      <c r="X1421" s="100"/>
      <c r="Y1421" s="100"/>
      <c r="Z1421" s="100"/>
      <c r="AA1421" s="100"/>
      <c r="AB1421" s="100"/>
      <c r="AC1421" s="100"/>
      <c r="AD1421" s="100"/>
      <c r="AF1421"/>
      <c r="AG1421">
        <f t="shared" si="913"/>
        <v>0</v>
      </c>
      <c r="AH1421">
        <f t="shared" si="897"/>
        <v>0</v>
      </c>
      <c r="AK1421">
        <f t="shared" si="898"/>
        <v>0</v>
      </c>
      <c r="AL1421">
        <f t="shared" si="899"/>
        <v>0</v>
      </c>
      <c r="AM1421">
        <f t="shared" si="900"/>
        <v>0</v>
      </c>
      <c r="AN1421">
        <f t="shared" si="901"/>
        <v>0</v>
      </c>
      <c r="AO1421">
        <f t="shared" si="902"/>
        <v>0</v>
      </c>
      <c r="AP1421">
        <f t="shared" si="903"/>
        <v>0</v>
      </c>
      <c r="AQ1421">
        <f t="shared" si="904"/>
        <v>0</v>
      </c>
      <c r="AR1421">
        <f t="shared" si="905"/>
        <v>0</v>
      </c>
      <c r="AS1421">
        <f t="shared" si="906"/>
        <v>0</v>
      </c>
      <c r="AT1421">
        <f t="shared" si="907"/>
        <v>0</v>
      </c>
      <c r="AU1421">
        <f t="shared" si="908"/>
        <v>0</v>
      </c>
      <c r="AV1421">
        <f t="shared" si="909"/>
        <v>0</v>
      </c>
      <c r="AW1421">
        <f t="shared" si="910"/>
        <v>0</v>
      </c>
      <c r="AX1421">
        <f t="shared" si="911"/>
        <v>0</v>
      </c>
      <c r="AY1421">
        <f t="shared" si="912"/>
        <v>0</v>
      </c>
    </row>
    <row r="1422" spans="1:51" ht="36" customHeight="1">
      <c r="A1422" s="170"/>
      <c r="C1422" s="1109"/>
      <c r="D1422" s="874"/>
      <c r="E1422" s="874"/>
      <c r="F1422" s="1110" t="s">
        <v>5076</v>
      </c>
      <c r="G1422" s="1110"/>
      <c r="H1422" s="178"/>
      <c r="I1422" s="1111" t="s">
        <v>5077</v>
      </c>
      <c r="J1422" s="1111"/>
      <c r="K1422" s="1111"/>
      <c r="L1422" s="1111"/>
      <c r="M1422" s="1111"/>
      <c r="N1422" s="1111"/>
      <c r="O1422" s="1112"/>
      <c r="P1422" s="100"/>
      <c r="Q1422" s="100"/>
      <c r="R1422" s="100"/>
      <c r="S1422" s="100"/>
      <c r="T1422" s="100"/>
      <c r="U1422" s="100"/>
      <c r="V1422" s="100"/>
      <c r="W1422" s="100"/>
      <c r="X1422" s="100"/>
      <c r="Y1422" s="100"/>
      <c r="Z1422" s="100"/>
      <c r="AA1422" s="100"/>
      <c r="AB1422" s="100"/>
      <c r="AC1422" s="100"/>
      <c r="AD1422" s="100"/>
      <c r="AF1422"/>
      <c r="AG1422">
        <f t="shared" si="913"/>
        <v>0</v>
      </c>
      <c r="AH1422">
        <f t="shared" si="897"/>
        <v>0</v>
      </c>
      <c r="AK1422">
        <f t="shared" si="898"/>
        <v>0</v>
      </c>
      <c r="AL1422">
        <f t="shared" si="899"/>
        <v>0</v>
      </c>
      <c r="AM1422">
        <f t="shared" si="900"/>
        <v>0</v>
      </c>
      <c r="AN1422">
        <f t="shared" si="901"/>
        <v>0</v>
      </c>
      <c r="AO1422">
        <f t="shared" si="902"/>
        <v>0</v>
      </c>
      <c r="AP1422">
        <f t="shared" si="903"/>
        <v>0</v>
      </c>
      <c r="AQ1422">
        <f t="shared" si="904"/>
        <v>0</v>
      </c>
      <c r="AR1422">
        <f t="shared" si="905"/>
        <v>0</v>
      </c>
      <c r="AS1422">
        <f t="shared" si="906"/>
        <v>0</v>
      </c>
      <c r="AT1422">
        <f t="shared" si="907"/>
        <v>0</v>
      </c>
      <c r="AU1422">
        <f t="shared" si="908"/>
        <v>0</v>
      </c>
      <c r="AV1422">
        <f t="shared" si="909"/>
        <v>0</v>
      </c>
      <c r="AW1422">
        <f t="shared" si="910"/>
        <v>0</v>
      </c>
      <c r="AX1422">
        <f t="shared" si="911"/>
        <v>0</v>
      </c>
      <c r="AY1422">
        <f t="shared" si="912"/>
        <v>0</v>
      </c>
    </row>
    <row r="1423" spans="1:51">
      <c r="A1423" s="170"/>
      <c r="C1423" s="1109"/>
      <c r="D1423" s="874"/>
      <c r="E1423" s="874"/>
      <c r="F1423" s="1110" t="s">
        <v>5078</v>
      </c>
      <c r="G1423" s="1110"/>
      <c r="H1423" s="178"/>
      <c r="I1423" s="1111" t="s">
        <v>201</v>
      </c>
      <c r="J1423" s="1111"/>
      <c r="K1423" s="1111"/>
      <c r="L1423" s="1111"/>
      <c r="M1423" s="1111"/>
      <c r="N1423" s="1111"/>
      <c r="O1423" s="1112"/>
      <c r="P1423" s="100"/>
      <c r="Q1423" s="100"/>
      <c r="R1423" s="100"/>
      <c r="S1423" s="100"/>
      <c r="T1423" s="100"/>
      <c r="U1423" s="100"/>
      <c r="V1423" s="100"/>
      <c r="W1423" s="100"/>
      <c r="X1423" s="100"/>
      <c r="Y1423" s="100"/>
      <c r="Z1423" s="100"/>
      <c r="AA1423" s="100"/>
      <c r="AB1423" s="100"/>
      <c r="AC1423" s="100"/>
      <c r="AD1423" s="100"/>
      <c r="AF1423"/>
      <c r="AG1423">
        <f t="shared" si="913"/>
        <v>0</v>
      </c>
      <c r="AH1423">
        <f t="shared" si="897"/>
        <v>0</v>
      </c>
      <c r="AK1423">
        <f t="shared" si="898"/>
        <v>0</v>
      </c>
      <c r="AL1423">
        <f t="shared" si="899"/>
        <v>0</v>
      </c>
      <c r="AM1423">
        <f t="shared" si="900"/>
        <v>0</v>
      </c>
      <c r="AN1423">
        <f t="shared" si="901"/>
        <v>0</v>
      </c>
      <c r="AO1423">
        <f t="shared" si="902"/>
        <v>0</v>
      </c>
      <c r="AP1423">
        <f t="shared" si="903"/>
        <v>0</v>
      </c>
      <c r="AQ1423">
        <f t="shared" si="904"/>
        <v>0</v>
      </c>
      <c r="AR1423">
        <f t="shared" si="905"/>
        <v>0</v>
      </c>
      <c r="AS1423">
        <f t="shared" si="906"/>
        <v>0</v>
      </c>
      <c r="AT1423">
        <f t="shared" si="907"/>
        <v>0</v>
      </c>
      <c r="AU1423">
        <f t="shared" si="908"/>
        <v>0</v>
      </c>
      <c r="AV1423">
        <f t="shared" si="909"/>
        <v>0</v>
      </c>
      <c r="AW1423">
        <f t="shared" si="910"/>
        <v>0</v>
      </c>
      <c r="AX1423">
        <f t="shared" si="911"/>
        <v>0</v>
      </c>
      <c r="AY1423">
        <f t="shared" si="912"/>
        <v>0</v>
      </c>
    </row>
    <row r="1424" spans="1:51" ht="24" customHeight="1">
      <c r="A1424" s="170"/>
      <c r="C1424" s="1109"/>
      <c r="D1424" s="874"/>
      <c r="E1424" s="874"/>
      <c r="F1424" s="1103" t="s">
        <v>5079</v>
      </c>
      <c r="G1424" s="1103"/>
      <c r="H1424" s="1104" t="s">
        <v>5080</v>
      </c>
      <c r="I1424" s="1105"/>
      <c r="J1424" s="1105"/>
      <c r="K1424" s="1105"/>
      <c r="L1424" s="1105"/>
      <c r="M1424" s="1105"/>
      <c r="N1424" s="1105"/>
      <c r="O1424" s="1106"/>
      <c r="P1424" s="100"/>
      <c r="Q1424" s="100"/>
      <c r="R1424" s="100"/>
      <c r="S1424" s="100"/>
      <c r="T1424" s="100"/>
      <c r="U1424" s="100"/>
      <c r="V1424" s="100"/>
      <c r="W1424" s="100"/>
      <c r="X1424" s="100"/>
      <c r="Y1424" s="100"/>
      <c r="Z1424" s="100"/>
      <c r="AA1424" s="100"/>
      <c r="AB1424" s="100"/>
      <c r="AC1424" s="100"/>
      <c r="AD1424" s="100"/>
      <c r="AF1424"/>
      <c r="AG1424">
        <f t="shared" si="913"/>
        <v>0</v>
      </c>
      <c r="AH1424">
        <f t="shared" si="897"/>
        <v>0</v>
      </c>
      <c r="AK1424">
        <f t="shared" si="898"/>
        <v>0</v>
      </c>
      <c r="AL1424">
        <f t="shared" si="899"/>
        <v>0</v>
      </c>
      <c r="AM1424">
        <f t="shared" si="900"/>
        <v>0</v>
      </c>
      <c r="AN1424">
        <f t="shared" si="901"/>
        <v>0</v>
      </c>
      <c r="AO1424">
        <f t="shared" si="902"/>
        <v>0</v>
      </c>
      <c r="AP1424">
        <f t="shared" si="903"/>
        <v>0</v>
      </c>
      <c r="AQ1424">
        <f t="shared" si="904"/>
        <v>0</v>
      </c>
      <c r="AR1424">
        <f t="shared" si="905"/>
        <v>0</v>
      </c>
      <c r="AS1424">
        <f t="shared" si="906"/>
        <v>0</v>
      </c>
      <c r="AT1424">
        <f t="shared" si="907"/>
        <v>0</v>
      </c>
      <c r="AU1424">
        <f t="shared" si="908"/>
        <v>0</v>
      </c>
      <c r="AV1424">
        <f t="shared" si="909"/>
        <v>0</v>
      </c>
      <c r="AW1424">
        <f t="shared" si="910"/>
        <v>0</v>
      </c>
      <c r="AX1424">
        <f t="shared" si="911"/>
        <v>0</v>
      </c>
      <c r="AY1424">
        <f t="shared" si="912"/>
        <v>0</v>
      </c>
    </row>
    <row r="1425" spans="1:51" ht="15" customHeight="1">
      <c r="A1425" s="170"/>
      <c r="C1425" s="1109"/>
      <c r="D1425" s="874"/>
      <c r="E1425" s="874"/>
      <c r="F1425" s="1103" t="s">
        <v>5081</v>
      </c>
      <c r="G1425" s="1103"/>
      <c r="H1425" s="1104" t="s">
        <v>5082</v>
      </c>
      <c r="I1425" s="1105"/>
      <c r="J1425" s="1105"/>
      <c r="K1425" s="1105"/>
      <c r="L1425" s="1105"/>
      <c r="M1425" s="1105"/>
      <c r="N1425" s="1105"/>
      <c r="O1425" s="1106"/>
      <c r="P1425" s="100"/>
      <c r="Q1425" s="100"/>
      <c r="R1425" s="100"/>
      <c r="S1425" s="100"/>
      <c r="T1425" s="100"/>
      <c r="U1425" s="100"/>
      <c r="V1425" s="100"/>
      <c r="W1425" s="100"/>
      <c r="X1425" s="100"/>
      <c r="Y1425" s="100"/>
      <c r="Z1425" s="100"/>
      <c r="AA1425" s="100"/>
      <c r="AB1425" s="100"/>
      <c r="AC1425" s="100"/>
      <c r="AD1425" s="100"/>
      <c r="AF1425">
        <f>IF(P1425="NA",IF(AND(COUNTIF(P1426:P1428,"="&amp;$AF$934)=0,COUNTIF(P1426:P1428,"&lt;&gt;NA")&gt;0),1,0),IF(AND(COUNTIF(P1426:P1428,"="&amp;$AF$934)=0,COUNTIF(P1426:P1428,"NA")=COUNTIF(P1426:P1428,"&lt;&gt;"&amp;$AF$934)),1,0))</f>
        <v>0</v>
      </c>
      <c r="AG1425">
        <f t="shared" si="913"/>
        <v>0</v>
      </c>
      <c r="AH1425">
        <f t="shared" si="897"/>
        <v>0</v>
      </c>
      <c r="AK1425">
        <f t="shared" si="898"/>
        <v>0</v>
      </c>
      <c r="AL1425">
        <f t="shared" si="899"/>
        <v>0</v>
      </c>
      <c r="AM1425">
        <f t="shared" si="900"/>
        <v>0</v>
      </c>
      <c r="AN1425">
        <f t="shared" si="901"/>
        <v>0</v>
      </c>
      <c r="AO1425">
        <f t="shared" si="902"/>
        <v>0</v>
      </c>
      <c r="AP1425">
        <f t="shared" si="903"/>
        <v>0</v>
      </c>
      <c r="AQ1425">
        <f t="shared" si="904"/>
        <v>0</v>
      </c>
      <c r="AR1425">
        <f t="shared" si="905"/>
        <v>0</v>
      </c>
      <c r="AS1425">
        <f t="shared" si="906"/>
        <v>0</v>
      </c>
      <c r="AT1425">
        <f t="shared" si="907"/>
        <v>0</v>
      </c>
      <c r="AU1425">
        <f t="shared" si="908"/>
        <v>0</v>
      </c>
      <c r="AV1425">
        <f t="shared" si="909"/>
        <v>0</v>
      </c>
      <c r="AW1425">
        <f t="shared" si="910"/>
        <v>0</v>
      </c>
      <c r="AX1425">
        <f t="shared" si="911"/>
        <v>0</v>
      </c>
      <c r="AY1425">
        <f t="shared" si="912"/>
        <v>0</v>
      </c>
    </row>
    <row r="1426" spans="1:51" ht="15" customHeight="1">
      <c r="A1426" s="170"/>
      <c r="C1426" s="1109"/>
      <c r="D1426" s="874"/>
      <c r="E1426" s="874"/>
      <c r="F1426" s="1110" t="s">
        <v>5083</v>
      </c>
      <c r="G1426" s="1110"/>
      <c r="H1426" s="178"/>
      <c r="I1426" s="1111" t="s">
        <v>5084</v>
      </c>
      <c r="J1426" s="1111"/>
      <c r="K1426" s="1111"/>
      <c r="L1426" s="1111"/>
      <c r="M1426" s="1111"/>
      <c r="N1426" s="1111"/>
      <c r="O1426" s="1112"/>
      <c r="P1426" s="100"/>
      <c r="Q1426" s="100"/>
      <c r="R1426" s="100"/>
      <c r="S1426" s="100"/>
      <c r="T1426" s="100"/>
      <c r="U1426" s="100"/>
      <c r="V1426" s="100"/>
      <c r="W1426" s="100"/>
      <c r="X1426" s="100"/>
      <c r="Y1426" s="100"/>
      <c r="Z1426" s="100"/>
      <c r="AA1426" s="100"/>
      <c r="AB1426" s="100"/>
      <c r="AC1426" s="100"/>
      <c r="AD1426" s="100"/>
      <c r="AF1426"/>
      <c r="AG1426">
        <f t="shared" si="913"/>
        <v>0</v>
      </c>
      <c r="AH1426">
        <f t="shared" si="897"/>
        <v>0</v>
      </c>
      <c r="AK1426">
        <f t="shared" si="898"/>
        <v>0</v>
      </c>
      <c r="AL1426">
        <f t="shared" si="899"/>
        <v>0</v>
      </c>
      <c r="AM1426">
        <f t="shared" si="900"/>
        <v>0</v>
      </c>
      <c r="AN1426">
        <f t="shared" si="901"/>
        <v>0</v>
      </c>
      <c r="AO1426">
        <f t="shared" si="902"/>
        <v>0</v>
      </c>
      <c r="AP1426">
        <f t="shared" si="903"/>
        <v>0</v>
      </c>
      <c r="AQ1426">
        <f t="shared" si="904"/>
        <v>0</v>
      </c>
      <c r="AR1426">
        <f t="shared" si="905"/>
        <v>0</v>
      </c>
      <c r="AS1426">
        <f t="shared" si="906"/>
        <v>0</v>
      </c>
      <c r="AT1426">
        <f t="shared" si="907"/>
        <v>0</v>
      </c>
      <c r="AU1426">
        <f t="shared" si="908"/>
        <v>0</v>
      </c>
      <c r="AV1426">
        <f t="shared" si="909"/>
        <v>0</v>
      </c>
      <c r="AW1426">
        <f t="shared" si="910"/>
        <v>0</v>
      </c>
      <c r="AX1426">
        <f t="shared" si="911"/>
        <v>0</v>
      </c>
      <c r="AY1426">
        <f t="shared" si="912"/>
        <v>0</v>
      </c>
    </row>
    <row r="1427" spans="1:51" ht="24" customHeight="1">
      <c r="A1427" s="170"/>
      <c r="C1427" s="1109"/>
      <c r="D1427" s="874"/>
      <c r="E1427" s="874"/>
      <c r="F1427" s="1110" t="s">
        <v>5085</v>
      </c>
      <c r="G1427" s="1110"/>
      <c r="H1427" s="178"/>
      <c r="I1427" s="1111" t="s">
        <v>5086</v>
      </c>
      <c r="J1427" s="1111"/>
      <c r="K1427" s="1111"/>
      <c r="L1427" s="1111"/>
      <c r="M1427" s="1111"/>
      <c r="N1427" s="1111"/>
      <c r="O1427" s="1112"/>
      <c r="P1427" s="100"/>
      <c r="Q1427" s="100"/>
      <c r="R1427" s="100"/>
      <c r="S1427" s="100"/>
      <c r="T1427" s="100"/>
      <c r="U1427" s="100"/>
      <c r="V1427" s="100"/>
      <c r="W1427" s="100"/>
      <c r="X1427" s="100"/>
      <c r="Y1427" s="100"/>
      <c r="Z1427" s="100"/>
      <c r="AA1427" s="100"/>
      <c r="AB1427" s="100"/>
      <c r="AC1427" s="100"/>
      <c r="AD1427" s="100"/>
      <c r="AF1427"/>
      <c r="AG1427">
        <f t="shared" si="913"/>
        <v>0</v>
      </c>
      <c r="AH1427">
        <f t="shared" si="897"/>
        <v>0</v>
      </c>
      <c r="AK1427">
        <f t="shared" si="898"/>
        <v>0</v>
      </c>
      <c r="AL1427">
        <f t="shared" si="899"/>
        <v>0</v>
      </c>
      <c r="AM1427">
        <f t="shared" si="900"/>
        <v>0</v>
      </c>
      <c r="AN1427">
        <f t="shared" si="901"/>
        <v>0</v>
      </c>
      <c r="AO1427">
        <f t="shared" si="902"/>
        <v>0</v>
      </c>
      <c r="AP1427">
        <f t="shared" si="903"/>
        <v>0</v>
      </c>
      <c r="AQ1427">
        <f t="shared" si="904"/>
        <v>0</v>
      </c>
      <c r="AR1427">
        <f t="shared" si="905"/>
        <v>0</v>
      </c>
      <c r="AS1427">
        <f t="shared" si="906"/>
        <v>0</v>
      </c>
      <c r="AT1427">
        <f t="shared" si="907"/>
        <v>0</v>
      </c>
      <c r="AU1427">
        <f t="shared" si="908"/>
        <v>0</v>
      </c>
      <c r="AV1427">
        <f t="shared" si="909"/>
        <v>0</v>
      </c>
      <c r="AW1427">
        <f t="shared" si="910"/>
        <v>0</v>
      </c>
      <c r="AX1427">
        <f t="shared" si="911"/>
        <v>0</v>
      </c>
      <c r="AY1427">
        <f t="shared" si="912"/>
        <v>0</v>
      </c>
    </row>
    <row r="1428" spans="1:51" ht="15" customHeight="1">
      <c r="A1428" s="170"/>
      <c r="C1428" s="1109"/>
      <c r="D1428" s="874"/>
      <c r="E1428" s="874"/>
      <c r="F1428" s="1110" t="s">
        <v>5087</v>
      </c>
      <c r="G1428" s="1110"/>
      <c r="H1428" s="178"/>
      <c r="I1428" s="1111" t="s">
        <v>201</v>
      </c>
      <c r="J1428" s="1111"/>
      <c r="K1428" s="1111"/>
      <c r="L1428" s="1111"/>
      <c r="M1428" s="1111"/>
      <c r="N1428" s="1111"/>
      <c r="O1428" s="1112"/>
      <c r="P1428" s="100"/>
      <c r="Q1428" s="100"/>
      <c r="R1428" s="100"/>
      <c r="S1428" s="100"/>
      <c r="T1428" s="100"/>
      <c r="U1428" s="100"/>
      <c r="V1428" s="100"/>
      <c r="W1428" s="100"/>
      <c r="X1428" s="100"/>
      <c r="Y1428" s="100"/>
      <c r="Z1428" s="100"/>
      <c r="AA1428" s="100"/>
      <c r="AB1428" s="100"/>
      <c r="AC1428" s="100"/>
      <c r="AD1428" s="100"/>
      <c r="AF1428"/>
      <c r="AG1428">
        <f t="shared" si="913"/>
        <v>0</v>
      </c>
      <c r="AH1428">
        <f t="shared" si="897"/>
        <v>0</v>
      </c>
      <c r="AK1428">
        <f t="shared" si="898"/>
        <v>0</v>
      </c>
      <c r="AL1428">
        <f t="shared" si="899"/>
        <v>0</v>
      </c>
      <c r="AM1428">
        <f t="shared" si="900"/>
        <v>0</v>
      </c>
      <c r="AN1428">
        <f t="shared" si="901"/>
        <v>0</v>
      </c>
      <c r="AO1428">
        <f t="shared" si="902"/>
        <v>0</v>
      </c>
      <c r="AP1428">
        <f t="shared" si="903"/>
        <v>0</v>
      </c>
      <c r="AQ1428">
        <f t="shared" si="904"/>
        <v>0</v>
      </c>
      <c r="AR1428">
        <f t="shared" si="905"/>
        <v>0</v>
      </c>
      <c r="AS1428">
        <f t="shared" si="906"/>
        <v>0</v>
      </c>
      <c r="AT1428">
        <f t="shared" si="907"/>
        <v>0</v>
      </c>
      <c r="AU1428">
        <f t="shared" si="908"/>
        <v>0</v>
      </c>
      <c r="AV1428">
        <f t="shared" si="909"/>
        <v>0</v>
      </c>
      <c r="AW1428">
        <f t="shared" si="910"/>
        <v>0</v>
      </c>
      <c r="AX1428">
        <f t="shared" si="911"/>
        <v>0</v>
      </c>
      <c r="AY1428">
        <f t="shared" si="912"/>
        <v>0</v>
      </c>
    </row>
    <row r="1429" spans="1:51" ht="15" customHeight="1">
      <c r="A1429" s="170"/>
      <c r="C1429" s="1109"/>
      <c r="D1429" s="874"/>
      <c r="E1429" s="874"/>
      <c r="F1429" s="1103" t="s">
        <v>5088</v>
      </c>
      <c r="G1429" s="1103"/>
      <c r="H1429" s="1104" t="s">
        <v>5089</v>
      </c>
      <c r="I1429" s="1105"/>
      <c r="J1429" s="1105"/>
      <c r="K1429" s="1105"/>
      <c r="L1429" s="1105"/>
      <c r="M1429" s="1105"/>
      <c r="N1429" s="1105"/>
      <c r="O1429" s="1106"/>
      <c r="P1429" s="100"/>
      <c r="Q1429" s="100"/>
      <c r="R1429" s="100"/>
      <c r="S1429" s="100"/>
      <c r="T1429" s="100"/>
      <c r="U1429" s="100"/>
      <c r="V1429" s="100"/>
      <c r="W1429" s="100"/>
      <c r="X1429" s="100"/>
      <c r="Y1429" s="100"/>
      <c r="Z1429" s="100"/>
      <c r="AA1429" s="100"/>
      <c r="AB1429" s="100"/>
      <c r="AC1429" s="100"/>
      <c r="AD1429" s="100"/>
      <c r="AF1429"/>
      <c r="AG1429">
        <f t="shared" si="913"/>
        <v>0</v>
      </c>
      <c r="AH1429">
        <f t="shared" si="897"/>
        <v>0</v>
      </c>
      <c r="AK1429">
        <f t="shared" si="898"/>
        <v>0</v>
      </c>
      <c r="AL1429">
        <f t="shared" si="899"/>
        <v>0</v>
      </c>
      <c r="AM1429">
        <f t="shared" si="900"/>
        <v>0</v>
      </c>
      <c r="AN1429">
        <f t="shared" si="901"/>
        <v>0</v>
      </c>
      <c r="AO1429">
        <f t="shared" si="902"/>
        <v>0</v>
      </c>
      <c r="AP1429">
        <f t="shared" si="903"/>
        <v>0</v>
      </c>
      <c r="AQ1429">
        <f t="shared" si="904"/>
        <v>0</v>
      </c>
      <c r="AR1429">
        <f t="shared" si="905"/>
        <v>0</v>
      </c>
      <c r="AS1429">
        <f t="shared" si="906"/>
        <v>0</v>
      </c>
      <c r="AT1429">
        <f t="shared" si="907"/>
        <v>0</v>
      </c>
      <c r="AU1429">
        <f t="shared" si="908"/>
        <v>0</v>
      </c>
      <c r="AV1429">
        <f t="shared" si="909"/>
        <v>0</v>
      </c>
      <c r="AW1429">
        <f t="shared" si="910"/>
        <v>0</v>
      </c>
      <c r="AX1429">
        <f t="shared" si="911"/>
        <v>0</v>
      </c>
      <c r="AY1429">
        <f t="shared" si="912"/>
        <v>0</v>
      </c>
    </row>
    <row r="1430" spans="1:51" ht="24" customHeight="1">
      <c r="A1430" s="170"/>
      <c r="C1430" s="1109"/>
      <c r="D1430" s="874"/>
      <c r="E1430" s="874"/>
      <c r="F1430" s="1103" t="s">
        <v>5090</v>
      </c>
      <c r="G1430" s="1103"/>
      <c r="H1430" s="1104" t="s">
        <v>5091</v>
      </c>
      <c r="I1430" s="1105"/>
      <c r="J1430" s="1105"/>
      <c r="K1430" s="1105"/>
      <c r="L1430" s="1105"/>
      <c r="M1430" s="1105"/>
      <c r="N1430" s="1105"/>
      <c r="O1430" s="1106"/>
      <c r="P1430" s="100"/>
      <c r="Q1430" s="100"/>
      <c r="R1430" s="100"/>
      <c r="S1430" s="100"/>
      <c r="T1430" s="100"/>
      <c r="U1430" s="100"/>
      <c r="V1430" s="100"/>
      <c r="W1430" s="100"/>
      <c r="X1430" s="100"/>
      <c r="Y1430" s="100"/>
      <c r="Z1430" s="100"/>
      <c r="AA1430" s="100"/>
      <c r="AB1430" s="100"/>
      <c r="AC1430" s="100"/>
      <c r="AD1430" s="100"/>
      <c r="AF1430"/>
      <c r="AG1430">
        <f t="shared" si="913"/>
        <v>0</v>
      </c>
      <c r="AH1430">
        <f t="shared" si="897"/>
        <v>0</v>
      </c>
      <c r="AK1430">
        <f t="shared" si="898"/>
        <v>0</v>
      </c>
      <c r="AL1430">
        <f t="shared" si="899"/>
        <v>0</v>
      </c>
      <c r="AM1430">
        <f t="shared" si="900"/>
        <v>0</v>
      </c>
      <c r="AN1430">
        <f t="shared" si="901"/>
        <v>0</v>
      </c>
      <c r="AO1430">
        <f t="shared" si="902"/>
        <v>0</v>
      </c>
      <c r="AP1430">
        <f t="shared" si="903"/>
        <v>0</v>
      </c>
      <c r="AQ1430">
        <f t="shared" si="904"/>
        <v>0</v>
      </c>
      <c r="AR1430">
        <f t="shared" si="905"/>
        <v>0</v>
      </c>
      <c r="AS1430">
        <f t="shared" si="906"/>
        <v>0</v>
      </c>
      <c r="AT1430">
        <f t="shared" si="907"/>
        <v>0</v>
      </c>
      <c r="AU1430">
        <f t="shared" si="908"/>
        <v>0</v>
      </c>
      <c r="AV1430">
        <f t="shared" si="909"/>
        <v>0</v>
      </c>
      <c r="AW1430">
        <f t="shared" si="910"/>
        <v>0</v>
      </c>
      <c r="AX1430">
        <f t="shared" si="911"/>
        <v>0</v>
      </c>
      <c r="AY1430">
        <f t="shared" si="912"/>
        <v>0</v>
      </c>
    </row>
    <row r="1431" spans="1:51" ht="15" customHeight="1">
      <c r="A1431" s="170"/>
      <c r="C1431" s="1109"/>
      <c r="D1431" s="874"/>
      <c r="E1431" s="874"/>
      <c r="F1431" s="1103" t="s">
        <v>5092</v>
      </c>
      <c r="G1431" s="1103"/>
      <c r="H1431" s="1104" t="s">
        <v>5093</v>
      </c>
      <c r="I1431" s="1105"/>
      <c r="J1431" s="1105"/>
      <c r="K1431" s="1105"/>
      <c r="L1431" s="1105"/>
      <c r="M1431" s="1105"/>
      <c r="N1431" s="1105"/>
      <c r="O1431" s="1106"/>
      <c r="P1431" s="100"/>
      <c r="Q1431" s="100"/>
      <c r="R1431" s="100"/>
      <c r="S1431" s="100"/>
      <c r="T1431" s="100"/>
      <c r="U1431" s="100"/>
      <c r="V1431" s="100"/>
      <c r="W1431" s="100"/>
      <c r="X1431" s="100"/>
      <c r="Y1431" s="100"/>
      <c r="Z1431" s="100"/>
      <c r="AA1431" s="100"/>
      <c r="AB1431" s="100"/>
      <c r="AC1431" s="100"/>
      <c r="AD1431" s="100"/>
      <c r="AF1431"/>
      <c r="AG1431">
        <f t="shared" si="913"/>
        <v>0</v>
      </c>
      <c r="AH1431">
        <f t="shared" si="897"/>
        <v>0</v>
      </c>
      <c r="AK1431">
        <f t="shared" si="898"/>
        <v>0</v>
      </c>
      <c r="AL1431">
        <f t="shared" si="899"/>
        <v>0</v>
      </c>
      <c r="AM1431">
        <f t="shared" si="900"/>
        <v>0</v>
      </c>
      <c r="AN1431">
        <f t="shared" si="901"/>
        <v>0</v>
      </c>
      <c r="AO1431">
        <f t="shared" si="902"/>
        <v>0</v>
      </c>
      <c r="AP1431">
        <f t="shared" si="903"/>
        <v>0</v>
      </c>
      <c r="AQ1431">
        <f t="shared" si="904"/>
        <v>0</v>
      </c>
      <c r="AR1431">
        <f t="shared" si="905"/>
        <v>0</v>
      </c>
      <c r="AS1431">
        <f t="shared" si="906"/>
        <v>0</v>
      </c>
      <c r="AT1431">
        <f t="shared" si="907"/>
        <v>0</v>
      </c>
      <c r="AU1431">
        <f t="shared" si="908"/>
        <v>0</v>
      </c>
      <c r="AV1431">
        <f t="shared" si="909"/>
        <v>0</v>
      </c>
      <c r="AW1431">
        <f t="shared" si="910"/>
        <v>0</v>
      </c>
      <c r="AX1431">
        <f t="shared" si="911"/>
        <v>0</v>
      </c>
      <c r="AY1431">
        <f t="shared" si="912"/>
        <v>0</v>
      </c>
    </row>
    <row r="1432" spans="1:51" ht="24" customHeight="1">
      <c r="A1432" s="170"/>
      <c r="C1432" s="1109"/>
      <c r="D1432" s="874"/>
      <c r="E1432" s="874"/>
      <c r="F1432" s="1103" t="s">
        <v>5094</v>
      </c>
      <c r="G1432" s="1103"/>
      <c r="H1432" s="1104" t="s">
        <v>5095</v>
      </c>
      <c r="I1432" s="1105"/>
      <c r="J1432" s="1105"/>
      <c r="K1432" s="1105"/>
      <c r="L1432" s="1105"/>
      <c r="M1432" s="1105"/>
      <c r="N1432" s="1105"/>
      <c r="O1432" s="1106"/>
      <c r="P1432" s="100"/>
      <c r="Q1432" s="100"/>
      <c r="R1432" s="100"/>
      <c r="S1432" s="100"/>
      <c r="T1432" s="100"/>
      <c r="U1432" s="100"/>
      <c r="V1432" s="100"/>
      <c r="W1432" s="100"/>
      <c r="X1432" s="100"/>
      <c r="Y1432" s="100"/>
      <c r="Z1432" s="100"/>
      <c r="AA1432" s="100"/>
      <c r="AB1432" s="100"/>
      <c r="AC1432" s="100"/>
      <c r="AD1432" s="100"/>
      <c r="AF1432"/>
      <c r="AG1432">
        <f t="shared" si="913"/>
        <v>0</v>
      </c>
      <c r="AH1432">
        <f t="shared" si="897"/>
        <v>0</v>
      </c>
      <c r="AK1432">
        <f t="shared" si="898"/>
        <v>0</v>
      </c>
      <c r="AL1432">
        <f t="shared" si="899"/>
        <v>0</v>
      </c>
      <c r="AM1432">
        <f t="shared" si="900"/>
        <v>0</v>
      </c>
      <c r="AN1432">
        <f t="shared" si="901"/>
        <v>0</v>
      </c>
      <c r="AO1432">
        <f t="shared" si="902"/>
        <v>0</v>
      </c>
      <c r="AP1432">
        <f t="shared" si="903"/>
        <v>0</v>
      </c>
      <c r="AQ1432">
        <f t="shared" si="904"/>
        <v>0</v>
      </c>
      <c r="AR1432">
        <f t="shared" si="905"/>
        <v>0</v>
      </c>
      <c r="AS1432">
        <f t="shared" si="906"/>
        <v>0</v>
      </c>
      <c r="AT1432">
        <f t="shared" si="907"/>
        <v>0</v>
      </c>
      <c r="AU1432">
        <f t="shared" si="908"/>
        <v>0</v>
      </c>
      <c r="AV1432">
        <f t="shared" si="909"/>
        <v>0</v>
      </c>
      <c r="AW1432">
        <f t="shared" si="910"/>
        <v>0</v>
      </c>
      <c r="AX1432">
        <f t="shared" si="911"/>
        <v>0</v>
      </c>
      <c r="AY1432">
        <f t="shared" si="912"/>
        <v>0</v>
      </c>
    </row>
    <row r="1433" spans="1:51" ht="15" customHeight="1">
      <c r="A1433" s="170"/>
      <c r="C1433" s="1109"/>
      <c r="D1433" s="874"/>
      <c r="E1433" s="874"/>
      <c r="F1433" s="1103" t="s">
        <v>5096</v>
      </c>
      <c r="G1433" s="1103"/>
      <c r="H1433" s="1104" t="s">
        <v>5097</v>
      </c>
      <c r="I1433" s="1105"/>
      <c r="J1433" s="1105"/>
      <c r="K1433" s="1105"/>
      <c r="L1433" s="1105"/>
      <c r="M1433" s="1105"/>
      <c r="N1433" s="1105"/>
      <c r="O1433" s="1106"/>
      <c r="P1433" s="100"/>
      <c r="Q1433" s="100"/>
      <c r="R1433" s="100"/>
      <c r="S1433" s="100"/>
      <c r="T1433" s="100"/>
      <c r="U1433" s="100"/>
      <c r="V1433" s="100"/>
      <c r="W1433" s="100"/>
      <c r="X1433" s="100"/>
      <c r="Y1433" s="100"/>
      <c r="Z1433" s="100"/>
      <c r="AA1433" s="100"/>
      <c r="AB1433" s="100"/>
      <c r="AC1433" s="100"/>
      <c r="AD1433" s="100"/>
      <c r="AF1433"/>
      <c r="AG1433">
        <f t="shared" si="913"/>
        <v>0</v>
      </c>
      <c r="AH1433">
        <f t="shared" si="897"/>
        <v>0</v>
      </c>
      <c r="AK1433">
        <f t="shared" si="898"/>
        <v>0</v>
      </c>
      <c r="AL1433">
        <f t="shared" si="899"/>
        <v>0</v>
      </c>
      <c r="AM1433">
        <f t="shared" si="900"/>
        <v>0</v>
      </c>
      <c r="AN1433">
        <f t="shared" si="901"/>
        <v>0</v>
      </c>
      <c r="AO1433">
        <f t="shared" si="902"/>
        <v>0</v>
      </c>
      <c r="AP1433">
        <f t="shared" si="903"/>
        <v>0</v>
      </c>
      <c r="AQ1433">
        <f t="shared" si="904"/>
        <v>0</v>
      </c>
      <c r="AR1433">
        <f t="shared" si="905"/>
        <v>0</v>
      </c>
      <c r="AS1433">
        <f t="shared" si="906"/>
        <v>0</v>
      </c>
      <c r="AT1433">
        <f t="shared" si="907"/>
        <v>0</v>
      </c>
      <c r="AU1433">
        <f t="shared" si="908"/>
        <v>0</v>
      </c>
      <c r="AV1433">
        <f t="shared" si="909"/>
        <v>0</v>
      </c>
      <c r="AW1433">
        <f t="shared" si="910"/>
        <v>0</v>
      </c>
      <c r="AX1433">
        <f t="shared" si="911"/>
        <v>0</v>
      </c>
      <c r="AY1433">
        <f t="shared" si="912"/>
        <v>0</v>
      </c>
    </row>
    <row r="1434" spans="1:51" ht="24" customHeight="1">
      <c r="A1434" s="170"/>
      <c r="C1434" s="1109"/>
      <c r="D1434" s="874"/>
      <c r="E1434" s="874"/>
      <c r="F1434" s="1103" t="s">
        <v>5098</v>
      </c>
      <c r="G1434" s="1103"/>
      <c r="H1434" s="1104" t="s">
        <v>5099</v>
      </c>
      <c r="I1434" s="1105"/>
      <c r="J1434" s="1105"/>
      <c r="K1434" s="1105"/>
      <c r="L1434" s="1105"/>
      <c r="M1434" s="1105"/>
      <c r="N1434" s="1105"/>
      <c r="O1434" s="1106"/>
      <c r="P1434" s="100"/>
      <c r="Q1434" s="100"/>
      <c r="R1434" s="100"/>
      <c r="S1434" s="100"/>
      <c r="T1434" s="100"/>
      <c r="U1434" s="100"/>
      <c r="V1434" s="100"/>
      <c r="W1434" s="100"/>
      <c r="X1434" s="100"/>
      <c r="Y1434" s="100"/>
      <c r="Z1434" s="100"/>
      <c r="AA1434" s="100"/>
      <c r="AB1434" s="100"/>
      <c r="AC1434" s="100"/>
      <c r="AD1434" s="100"/>
      <c r="AF1434"/>
      <c r="AG1434">
        <f t="shared" si="913"/>
        <v>0</v>
      </c>
      <c r="AH1434">
        <f t="shared" si="897"/>
        <v>0</v>
      </c>
      <c r="AK1434">
        <f t="shared" si="898"/>
        <v>0</v>
      </c>
      <c r="AL1434">
        <f t="shared" si="899"/>
        <v>0</v>
      </c>
      <c r="AM1434">
        <f t="shared" si="900"/>
        <v>0</v>
      </c>
      <c r="AN1434">
        <f t="shared" si="901"/>
        <v>0</v>
      </c>
      <c r="AO1434">
        <f t="shared" si="902"/>
        <v>0</v>
      </c>
      <c r="AP1434">
        <f t="shared" si="903"/>
        <v>0</v>
      </c>
      <c r="AQ1434">
        <f t="shared" si="904"/>
        <v>0</v>
      </c>
      <c r="AR1434">
        <f t="shared" si="905"/>
        <v>0</v>
      </c>
      <c r="AS1434">
        <f t="shared" si="906"/>
        <v>0</v>
      </c>
      <c r="AT1434">
        <f t="shared" si="907"/>
        <v>0</v>
      </c>
      <c r="AU1434">
        <f t="shared" si="908"/>
        <v>0</v>
      </c>
      <c r="AV1434">
        <f t="shared" si="909"/>
        <v>0</v>
      </c>
      <c r="AW1434">
        <f t="shared" si="910"/>
        <v>0</v>
      </c>
      <c r="AX1434">
        <f t="shared" si="911"/>
        <v>0</v>
      </c>
      <c r="AY1434">
        <f t="shared" si="912"/>
        <v>0</v>
      </c>
    </row>
    <row r="1435" spans="1:51" ht="15" customHeight="1">
      <c r="A1435" s="170"/>
      <c r="C1435" s="1109"/>
      <c r="D1435" s="874"/>
      <c r="E1435" s="874"/>
      <c r="F1435" s="1103" t="s">
        <v>5100</v>
      </c>
      <c r="G1435" s="1103"/>
      <c r="H1435" s="1104" t="s">
        <v>5101</v>
      </c>
      <c r="I1435" s="1105"/>
      <c r="J1435" s="1105"/>
      <c r="K1435" s="1105"/>
      <c r="L1435" s="1105"/>
      <c r="M1435" s="1105"/>
      <c r="N1435" s="1105"/>
      <c r="O1435" s="1106"/>
      <c r="P1435" s="100"/>
      <c r="Q1435" s="100"/>
      <c r="R1435" s="100"/>
      <c r="S1435" s="100"/>
      <c r="T1435" s="100"/>
      <c r="U1435" s="100"/>
      <c r="V1435" s="100"/>
      <c r="W1435" s="100"/>
      <c r="X1435" s="100"/>
      <c r="Y1435" s="100"/>
      <c r="Z1435" s="100"/>
      <c r="AA1435" s="100"/>
      <c r="AB1435" s="100"/>
      <c r="AC1435" s="100"/>
      <c r="AD1435" s="100"/>
      <c r="AF1435"/>
      <c r="AG1435">
        <f t="shared" si="913"/>
        <v>0</v>
      </c>
      <c r="AH1435">
        <f t="shared" si="897"/>
        <v>0</v>
      </c>
      <c r="AK1435">
        <f t="shared" si="898"/>
        <v>0</v>
      </c>
      <c r="AL1435">
        <f t="shared" si="899"/>
        <v>0</v>
      </c>
      <c r="AM1435">
        <f t="shared" si="900"/>
        <v>0</v>
      </c>
      <c r="AN1435">
        <f t="shared" si="901"/>
        <v>0</v>
      </c>
      <c r="AO1435">
        <f t="shared" si="902"/>
        <v>0</v>
      </c>
      <c r="AP1435">
        <f t="shared" si="903"/>
        <v>0</v>
      </c>
      <c r="AQ1435">
        <f t="shared" si="904"/>
        <v>0</v>
      </c>
      <c r="AR1435">
        <f t="shared" si="905"/>
        <v>0</v>
      </c>
      <c r="AS1435">
        <f t="shared" si="906"/>
        <v>0</v>
      </c>
      <c r="AT1435">
        <f t="shared" si="907"/>
        <v>0</v>
      </c>
      <c r="AU1435">
        <f t="shared" si="908"/>
        <v>0</v>
      </c>
      <c r="AV1435">
        <f t="shared" si="909"/>
        <v>0</v>
      </c>
      <c r="AW1435">
        <f t="shared" si="910"/>
        <v>0</v>
      </c>
      <c r="AX1435">
        <f t="shared" si="911"/>
        <v>0</v>
      </c>
      <c r="AY1435">
        <f t="shared" si="912"/>
        <v>0</v>
      </c>
    </row>
    <row r="1436" spans="1:51" ht="15" customHeight="1">
      <c r="A1436" s="170"/>
      <c r="C1436" s="1109"/>
      <c r="D1436" s="874"/>
      <c r="E1436" s="874"/>
      <c r="F1436" s="1103" t="s">
        <v>5102</v>
      </c>
      <c r="G1436" s="1103"/>
      <c r="H1436" s="1104" t="s">
        <v>5103</v>
      </c>
      <c r="I1436" s="1105"/>
      <c r="J1436" s="1105"/>
      <c r="K1436" s="1105"/>
      <c r="L1436" s="1105"/>
      <c r="M1436" s="1105"/>
      <c r="N1436" s="1105"/>
      <c r="O1436" s="1106"/>
      <c r="P1436" s="100"/>
      <c r="Q1436" s="100"/>
      <c r="R1436" s="100"/>
      <c r="S1436" s="100"/>
      <c r="T1436" s="100"/>
      <c r="U1436" s="100"/>
      <c r="V1436" s="100"/>
      <c r="W1436" s="100"/>
      <c r="X1436" s="100"/>
      <c r="Y1436" s="100"/>
      <c r="Z1436" s="100"/>
      <c r="AA1436" s="100"/>
      <c r="AB1436" s="100"/>
      <c r="AC1436" s="100"/>
      <c r="AD1436" s="100"/>
      <c r="AF1436"/>
      <c r="AG1436">
        <f t="shared" si="913"/>
        <v>0</v>
      </c>
      <c r="AH1436">
        <f t="shared" si="897"/>
        <v>0</v>
      </c>
      <c r="AK1436">
        <f t="shared" si="898"/>
        <v>0</v>
      </c>
      <c r="AL1436">
        <f t="shared" si="899"/>
        <v>0</v>
      </c>
      <c r="AM1436">
        <f t="shared" si="900"/>
        <v>0</v>
      </c>
      <c r="AN1436">
        <f t="shared" si="901"/>
        <v>0</v>
      </c>
      <c r="AO1436">
        <f t="shared" si="902"/>
        <v>0</v>
      </c>
      <c r="AP1436">
        <f t="shared" si="903"/>
        <v>0</v>
      </c>
      <c r="AQ1436">
        <f t="shared" si="904"/>
        <v>0</v>
      </c>
      <c r="AR1436">
        <f t="shared" si="905"/>
        <v>0</v>
      </c>
      <c r="AS1436">
        <f t="shared" si="906"/>
        <v>0</v>
      </c>
      <c r="AT1436">
        <f t="shared" si="907"/>
        <v>0</v>
      </c>
      <c r="AU1436">
        <f t="shared" si="908"/>
        <v>0</v>
      </c>
      <c r="AV1436">
        <f t="shared" si="909"/>
        <v>0</v>
      </c>
      <c r="AW1436">
        <f t="shared" si="910"/>
        <v>0</v>
      </c>
      <c r="AX1436">
        <f t="shared" si="911"/>
        <v>0</v>
      </c>
      <c r="AY1436">
        <f t="shared" si="912"/>
        <v>0</v>
      </c>
    </row>
    <row r="1437" spans="1:51" ht="24" customHeight="1">
      <c r="A1437" s="170"/>
      <c r="C1437" s="1109"/>
      <c r="D1437" s="874"/>
      <c r="E1437" s="874"/>
      <c r="F1437" s="1103" t="s">
        <v>5104</v>
      </c>
      <c r="G1437" s="1103"/>
      <c r="H1437" s="1104" t="s">
        <v>5105</v>
      </c>
      <c r="I1437" s="1105"/>
      <c r="J1437" s="1105"/>
      <c r="K1437" s="1105"/>
      <c r="L1437" s="1105"/>
      <c r="M1437" s="1105"/>
      <c r="N1437" s="1105"/>
      <c r="O1437" s="1106"/>
      <c r="P1437" s="100"/>
      <c r="Q1437" s="100"/>
      <c r="R1437" s="100"/>
      <c r="S1437" s="100"/>
      <c r="T1437" s="100"/>
      <c r="U1437" s="100"/>
      <c r="V1437" s="100"/>
      <c r="W1437" s="100"/>
      <c r="X1437" s="100"/>
      <c r="Y1437" s="100"/>
      <c r="Z1437" s="100"/>
      <c r="AA1437" s="100"/>
      <c r="AB1437" s="100"/>
      <c r="AC1437" s="100"/>
      <c r="AD1437" s="100"/>
      <c r="AF1437">
        <f>IF(P1437="NA",IF(AND(COUNTIF(P1438:P1442,"="&amp;$AF$934)=0,COUNTIF(P1438:P1442,"&lt;&gt;NA")&gt;0),1,0),IF(AND(COUNTIF(P1438:P1442,"="&amp;$AF$934)=0,COUNTIF(P1438:P1442,"NA")=COUNTIF(P1438:P1442,"&lt;&gt;"&amp;$AF$934)),1,0))</f>
        <v>0</v>
      </c>
      <c r="AG1437">
        <f t="shared" si="913"/>
        <v>0</v>
      </c>
      <c r="AH1437">
        <f t="shared" si="897"/>
        <v>0</v>
      </c>
      <c r="AK1437">
        <f t="shared" si="898"/>
        <v>0</v>
      </c>
      <c r="AL1437">
        <f t="shared" si="899"/>
        <v>0</v>
      </c>
      <c r="AM1437">
        <f t="shared" si="900"/>
        <v>0</v>
      </c>
      <c r="AN1437">
        <f t="shared" si="901"/>
        <v>0</v>
      </c>
      <c r="AO1437">
        <f t="shared" si="902"/>
        <v>0</v>
      </c>
      <c r="AP1437">
        <f t="shared" si="903"/>
        <v>0</v>
      </c>
      <c r="AQ1437">
        <f t="shared" si="904"/>
        <v>0</v>
      </c>
      <c r="AR1437">
        <f t="shared" si="905"/>
        <v>0</v>
      </c>
      <c r="AS1437">
        <f t="shared" si="906"/>
        <v>0</v>
      </c>
      <c r="AT1437">
        <f t="shared" si="907"/>
        <v>0</v>
      </c>
      <c r="AU1437">
        <f t="shared" si="908"/>
        <v>0</v>
      </c>
      <c r="AV1437">
        <f t="shared" si="909"/>
        <v>0</v>
      </c>
      <c r="AW1437">
        <f t="shared" si="910"/>
        <v>0</v>
      </c>
      <c r="AX1437">
        <f t="shared" si="911"/>
        <v>0</v>
      </c>
      <c r="AY1437">
        <f t="shared" si="912"/>
        <v>0</v>
      </c>
    </row>
    <row r="1438" spans="1:51" ht="24" customHeight="1">
      <c r="A1438" s="170"/>
      <c r="C1438" s="1109"/>
      <c r="D1438" s="874"/>
      <c r="E1438" s="874"/>
      <c r="F1438" s="1119" t="s">
        <v>5106</v>
      </c>
      <c r="G1438" s="1120"/>
      <c r="H1438" s="178"/>
      <c r="I1438" s="1111" t="s">
        <v>5107</v>
      </c>
      <c r="J1438" s="1111"/>
      <c r="K1438" s="1111"/>
      <c r="L1438" s="1111"/>
      <c r="M1438" s="1111"/>
      <c r="N1438" s="1111"/>
      <c r="O1438" s="1112"/>
      <c r="P1438" s="100"/>
      <c r="Q1438" s="100"/>
      <c r="R1438" s="100"/>
      <c r="S1438" s="100"/>
      <c r="T1438" s="100"/>
      <c r="U1438" s="100"/>
      <c r="V1438" s="100"/>
      <c r="W1438" s="100"/>
      <c r="X1438" s="100"/>
      <c r="Y1438" s="100"/>
      <c r="Z1438" s="100"/>
      <c r="AA1438" s="100"/>
      <c r="AB1438" s="100"/>
      <c r="AC1438" s="100"/>
      <c r="AD1438" s="100"/>
      <c r="AF1438"/>
      <c r="AG1438">
        <f t="shared" si="913"/>
        <v>0</v>
      </c>
      <c r="AH1438">
        <f t="shared" si="897"/>
        <v>0</v>
      </c>
      <c r="AK1438">
        <f t="shared" si="898"/>
        <v>0</v>
      </c>
      <c r="AL1438">
        <f t="shared" si="899"/>
        <v>0</v>
      </c>
      <c r="AM1438">
        <f t="shared" si="900"/>
        <v>0</v>
      </c>
      <c r="AN1438">
        <f t="shared" si="901"/>
        <v>0</v>
      </c>
      <c r="AO1438">
        <f t="shared" si="902"/>
        <v>0</v>
      </c>
      <c r="AP1438">
        <f t="shared" si="903"/>
        <v>0</v>
      </c>
      <c r="AQ1438">
        <f t="shared" si="904"/>
        <v>0</v>
      </c>
      <c r="AR1438">
        <f t="shared" si="905"/>
        <v>0</v>
      </c>
      <c r="AS1438">
        <f t="shared" si="906"/>
        <v>0</v>
      </c>
      <c r="AT1438">
        <f t="shared" si="907"/>
        <v>0</v>
      </c>
      <c r="AU1438">
        <f t="shared" si="908"/>
        <v>0</v>
      </c>
      <c r="AV1438">
        <f t="shared" si="909"/>
        <v>0</v>
      </c>
      <c r="AW1438">
        <f t="shared" si="910"/>
        <v>0</v>
      </c>
      <c r="AX1438">
        <f t="shared" si="911"/>
        <v>0</v>
      </c>
      <c r="AY1438">
        <f t="shared" si="912"/>
        <v>0</v>
      </c>
    </row>
    <row r="1439" spans="1:51" ht="15" customHeight="1">
      <c r="A1439" s="170"/>
      <c r="C1439" s="1109"/>
      <c r="D1439" s="874"/>
      <c r="E1439" s="874"/>
      <c r="F1439" s="1119" t="s">
        <v>5108</v>
      </c>
      <c r="G1439" s="1120"/>
      <c r="H1439" s="178"/>
      <c r="I1439" s="1111" t="s">
        <v>5109</v>
      </c>
      <c r="J1439" s="1111"/>
      <c r="K1439" s="1111"/>
      <c r="L1439" s="1111"/>
      <c r="M1439" s="1111"/>
      <c r="N1439" s="1111"/>
      <c r="O1439" s="1112"/>
      <c r="P1439" s="100"/>
      <c r="Q1439" s="100"/>
      <c r="R1439" s="100"/>
      <c r="S1439" s="100"/>
      <c r="T1439" s="100"/>
      <c r="U1439" s="100"/>
      <c r="V1439" s="100"/>
      <c r="W1439" s="100"/>
      <c r="X1439" s="100"/>
      <c r="Y1439" s="100"/>
      <c r="Z1439" s="100"/>
      <c r="AA1439" s="100"/>
      <c r="AB1439" s="100"/>
      <c r="AC1439" s="100"/>
      <c r="AD1439" s="100"/>
      <c r="AF1439"/>
      <c r="AG1439">
        <f t="shared" si="913"/>
        <v>0</v>
      </c>
      <c r="AH1439">
        <f t="shared" si="897"/>
        <v>0</v>
      </c>
      <c r="AK1439">
        <f t="shared" si="898"/>
        <v>0</v>
      </c>
      <c r="AL1439">
        <f t="shared" si="899"/>
        <v>0</v>
      </c>
      <c r="AM1439">
        <f t="shared" si="900"/>
        <v>0</v>
      </c>
      <c r="AN1439">
        <f t="shared" si="901"/>
        <v>0</v>
      </c>
      <c r="AO1439">
        <f t="shared" si="902"/>
        <v>0</v>
      </c>
      <c r="AP1439">
        <f t="shared" si="903"/>
        <v>0</v>
      </c>
      <c r="AQ1439">
        <f t="shared" si="904"/>
        <v>0</v>
      </c>
      <c r="AR1439">
        <f t="shared" si="905"/>
        <v>0</v>
      </c>
      <c r="AS1439">
        <f t="shared" si="906"/>
        <v>0</v>
      </c>
      <c r="AT1439">
        <f t="shared" si="907"/>
        <v>0</v>
      </c>
      <c r="AU1439">
        <f t="shared" si="908"/>
        <v>0</v>
      </c>
      <c r="AV1439">
        <f t="shared" si="909"/>
        <v>0</v>
      </c>
      <c r="AW1439">
        <f t="shared" si="910"/>
        <v>0</v>
      </c>
      <c r="AX1439">
        <f t="shared" si="911"/>
        <v>0</v>
      </c>
      <c r="AY1439">
        <f t="shared" si="912"/>
        <v>0</v>
      </c>
    </row>
    <row r="1440" spans="1:51" ht="24" customHeight="1">
      <c r="A1440" s="170"/>
      <c r="C1440" s="1109"/>
      <c r="D1440" s="874"/>
      <c r="E1440" s="874"/>
      <c r="F1440" s="1119" t="s">
        <v>5110</v>
      </c>
      <c r="G1440" s="1120"/>
      <c r="H1440" s="178"/>
      <c r="I1440" s="1111" t="s">
        <v>5111</v>
      </c>
      <c r="J1440" s="1111"/>
      <c r="K1440" s="1111"/>
      <c r="L1440" s="1111"/>
      <c r="M1440" s="1111"/>
      <c r="N1440" s="1111"/>
      <c r="O1440" s="1112"/>
      <c r="P1440" s="100"/>
      <c r="Q1440" s="100"/>
      <c r="R1440" s="100"/>
      <c r="S1440" s="100"/>
      <c r="T1440" s="100"/>
      <c r="U1440" s="100"/>
      <c r="V1440" s="100"/>
      <c r="W1440" s="100"/>
      <c r="X1440" s="100"/>
      <c r="Y1440" s="100"/>
      <c r="Z1440" s="100"/>
      <c r="AA1440" s="100"/>
      <c r="AB1440" s="100"/>
      <c r="AC1440" s="100"/>
      <c r="AD1440" s="100"/>
      <c r="AF1440"/>
      <c r="AG1440">
        <f t="shared" si="913"/>
        <v>0</v>
      </c>
      <c r="AH1440">
        <f t="shared" si="897"/>
        <v>0</v>
      </c>
      <c r="AK1440">
        <f t="shared" si="898"/>
        <v>0</v>
      </c>
      <c r="AL1440">
        <f t="shared" si="899"/>
        <v>0</v>
      </c>
      <c r="AM1440">
        <f t="shared" si="900"/>
        <v>0</v>
      </c>
      <c r="AN1440">
        <f t="shared" si="901"/>
        <v>0</v>
      </c>
      <c r="AO1440">
        <f t="shared" si="902"/>
        <v>0</v>
      </c>
      <c r="AP1440">
        <f t="shared" si="903"/>
        <v>0</v>
      </c>
      <c r="AQ1440">
        <f t="shared" si="904"/>
        <v>0</v>
      </c>
      <c r="AR1440">
        <f t="shared" si="905"/>
        <v>0</v>
      </c>
      <c r="AS1440">
        <f t="shared" si="906"/>
        <v>0</v>
      </c>
      <c r="AT1440">
        <f t="shared" si="907"/>
        <v>0</v>
      </c>
      <c r="AU1440">
        <f t="shared" si="908"/>
        <v>0</v>
      </c>
      <c r="AV1440">
        <f t="shared" si="909"/>
        <v>0</v>
      </c>
      <c r="AW1440">
        <f t="shared" si="910"/>
        <v>0</v>
      </c>
      <c r="AX1440">
        <f t="shared" si="911"/>
        <v>0</v>
      </c>
      <c r="AY1440">
        <f t="shared" si="912"/>
        <v>0</v>
      </c>
    </row>
    <row r="1441" spans="1:51" ht="36" customHeight="1">
      <c r="A1441" s="170"/>
      <c r="C1441" s="1109"/>
      <c r="D1441" s="874"/>
      <c r="E1441" s="874"/>
      <c r="F1441" s="1119" t="s">
        <v>5112</v>
      </c>
      <c r="G1441" s="1120"/>
      <c r="H1441" s="178"/>
      <c r="I1441" s="1111" t="s">
        <v>5113</v>
      </c>
      <c r="J1441" s="1111"/>
      <c r="K1441" s="1111"/>
      <c r="L1441" s="1111"/>
      <c r="M1441" s="1111"/>
      <c r="N1441" s="1111"/>
      <c r="O1441" s="1112"/>
      <c r="P1441" s="100"/>
      <c r="Q1441" s="100"/>
      <c r="R1441" s="100"/>
      <c r="S1441" s="100"/>
      <c r="T1441" s="100"/>
      <c r="U1441" s="100"/>
      <c r="V1441" s="100"/>
      <c r="W1441" s="100"/>
      <c r="X1441" s="100"/>
      <c r="Y1441" s="100"/>
      <c r="Z1441" s="100"/>
      <c r="AA1441" s="100"/>
      <c r="AB1441" s="100"/>
      <c r="AC1441" s="100"/>
      <c r="AD1441" s="100"/>
      <c r="AF1441"/>
      <c r="AG1441">
        <f t="shared" si="913"/>
        <v>0</v>
      </c>
      <c r="AH1441">
        <f t="shared" si="897"/>
        <v>0</v>
      </c>
      <c r="AK1441">
        <f t="shared" si="898"/>
        <v>0</v>
      </c>
      <c r="AL1441">
        <f t="shared" si="899"/>
        <v>0</v>
      </c>
      <c r="AM1441">
        <f t="shared" si="900"/>
        <v>0</v>
      </c>
      <c r="AN1441">
        <f t="shared" si="901"/>
        <v>0</v>
      </c>
      <c r="AO1441">
        <f t="shared" si="902"/>
        <v>0</v>
      </c>
      <c r="AP1441">
        <f t="shared" si="903"/>
        <v>0</v>
      </c>
      <c r="AQ1441">
        <f t="shared" si="904"/>
        <v>0</v>
      </c>
      <c r="AR1441">
        <f t="shared" si="905"/>
        <v>0</v>
      </c>
      <c r="AS1441">
        <f t="shared" si="906"/>
        <v>0</v>
      </c>
      <c r="AT1441">
        <f t="shared" si="907"/>
        <v>0</v>
      </c>
      <c r="AU1441">
        <f t="shared" si="908"/>
        <v>0</v>
      </c>
      <c r="AV1441">
        <f t="shared" si="909"/>
        <v>0</v>
      </c>
      <c r="AW1441">
        <f t="shared" si="910"/>
        <v>0</v>
      </c>
      <c r="AX1441">
        <f t="shared" si="911"/>
        <v>0</v>
      </c>
      <c r="AY1441">
        <f t="shared" si="912"/>
        <v>0</v>
      </c>
    </row>
    <row r="1442" spans="1:51" ht="15" customHeight="1">
      <c r="A1442" s="170"/>
      <c r="C1442" s="1109"/>
      <c r="D1442" s="874"/>
      <c r="E1442" s="874"/>
      <c r="F1442" s="1119" t="s">
        <v>5114</v>
      </c>
      <c r="G1442" s="1120"/>
      <c r="H1442" s="178"/>
      <c r="I1442" s="1111" t="s">
        <v>201</v>
      </c>
      <c r="J1442" s="1111"/>
      <c r="K1442" s="1111"/>
      <c r="L1442" s="1111"/>
      <c r="M1442" s="1111"/>
      <c r="N1442" s="1111"/>
      <c r="O1442" s="1112"/>
      <c r="P1442" s="100"/>
      <c r="Q1442" s="100"/>
      <c r="R1442" s="100"/>
      <c r="S1442" s="100"/>
      <c r="T1442" s="100"/>
      <c r="U1442" s="100"/>
      <c r="V1442" s="100"/>
      <c r="W1442" s="100"/>
      <c r="X1442" s="100"/>
      <c r="Y1442" s="100"/>
      <c r="Z1442" s="100"/>
      <c r="AA1442" s="100"/>
      <c r="AB1442" s="100"/>
      <c r="AC1442" s="100"/>
      <c r="AD1442" s="100"/>
      <c r="AF1442"/>
      <c r="AG1442">
        <f t="shared" si="913"/>
        <v>0</v>
      </c>
      <c r="AH1442">
        <f t="shared" si="897"/>
        <v>0</v>
      </c>
      <c r="AK1442">
        <f t="shared" si="898"/>
        <v>0</v>
      </c>
      <c r="AL1442">
        <f t="shared" si="899"/>
        <v>0</v>
      </c>
      <c r="AM1442">
        <f t="shared" si="900"/>
        <v>0</v>
      </c>
      <c r="AN1442">
        <f t="shared" si="901"/>
        <v>0</v>
      </c>
      <c r="AO1442">
        <f t="shared" si="902"/>
        <v>0</v>
      </c>
      <c r="AP1442">
        <f t="shared" si="903"/>
        <v>0</v>
      </c>
      <c r="AQ1442">
        <f t="shared" si="904"/>
        <v>0</v>
      </c>
      <c r="AR1442">
        <f t="shared" si="905"/>
        <v>0</v>
      </c>
      <c r="AS1442">
        <f t="shared" si="906"/>
        <v>0</v>
      </c>
      <c r="AT1442">
        <f t="shared" si="907"/>
        <v>0</v>
      </c>
      <c r="AU1442">
        <f t="shared" si="908"/>
        <v>0</v>
      </c>
      <c r="AV1442">
        <f t="shared" si="909"/>
        <v>0</v>
      </c>
      <c r="AW1442">
        <f t="shared" si="910"/>
        <v>0</v>
      </c>
      <c r="AX1442">
        <f t="shared" si="911"/>
        <v>0</v>
      </c>
      <c r="AY1442">
        <f t="shared" si="912"/>
        <v>0</v>
      </c>
    </row>
    <row r="1443" spans="1:51" ht="24" customHeight="1">
      <c r="A1443" s="170"/>
      <c r="C1443" s="1109"/>
      <c r="D1443" s="874"/>
      <c r="E1443" s="874"/>
      <c r="F1443" s="1103" t="s">
        <v>5115</v>
      </c>
      <c r="G1443" s="1103"/>
      <c r="H1443" s="1104" t="s">
        <v>5116</v>
      </c>
      <c r="I1443" s="1105"/>
      <c r="J1443" s="1105"/>
      <c r="K1443" s="1105"/>
      <c r="L1443" s="1105"/>
      <c r="M1443" s="1105"/>
      <c r="N1443" s="1105"/>
      <c r="O1443" s="1106"/>
      <c r="P1443" s="100"/>
      <c r="Q1443" s="100"/>
      <c r="R1443" s="100"/>
      <c r="S1443" s="100"/>
      <c r="T1443" s="100"/>
      <c r="U1443" s="100"/>
      <c r="V1443" s="100"/>
      <c r="W1443" s="100"/>
      <c r="X1443" s="100"/>
      <c r="Y1443" s="100"/>
      <c r="Z1443" s="100"/>
      <c r="AA1443" s="100"/>
      <c r="AB1443" s="100"/>
      <c r="AC1443" s="100"/>
      <c r="AD1443" s="100"/>
      <c r="AF1443"/>
      <c r="AG1443">
        <f t="shared" si="913"/>
        <v>0</v>
      </c>
      <c r="AH1443">
        <f t="shared" si="897"/>
        <v>0</v>
      </c>
      <c r="AK1443">
        <f t="shared" si="898"/>
        <v>0</v>
      </c>
      <c r="AL1443">
        <f t="shared" si="899"/>
        <v>0</v>
      </c>
      <c r="AM1443">
        <f t="shared" si="900"/>
        <v>0</v>
      </c>
      <c r="AN1443">
        <f t="shared" si="901"/>
        <v>0</v>
      </c>
      <c r="AO1443">
        <f t="shared" si="902"/>
        <v>0</v>
      </c>
      <c r="AP1443">
        <f t="shared" si="903"/>
        <v>0</v>
      </c>
      <c r="AQ1443">
        <f t="shared" si="904"/>
        <v>0</v>
      </c>
      <c r="AR1443">
        <f t="shared" si="905"/>
        <v>0</v>
      </c>
      <c r="AS1443">
        <f t="shared" si="906"/>
        <v>0</v>
      </c>
      <c r="AT1443">
        <f t="shared" si="907"/>
        <v>0</v>
      </c>
      <c r="AU1443">
        <f t="shared" si="908"/>
        <v>0</v>
      </c>
      <c r="AV1443">
        <f t="shared" si="909"/>
        <v>0</v>
      </c>
      <c r="AW1443">
        <f t="shared" si="910"/>
        <v>0</v>
      </c>
      <c r="AX1443">
        <f t="shared" si="911"/>
        <v>0</v>
      </c>
      <c r="AY1443">
        <f t="shared" si="912"/>
        <v>0</v>
      </c>
    </row>
    <row r="1444" spans="1:51" ht="15" customHeight="1">
      <c r="A1444" s="170"/>
      <c r="C1444" s="1109"/>
      <c r="D1444" s="874"/>
      <c r="E1444" s="874"/>
      <c r="F1444" s="1103" t="s">
        <v>5117</v>
      </c>
      <c r="G1444" s="1103"/>
      <c r="H1444" s="1104" t="s">
        <v>5118</v>
      </c>
      <c r="I1444" s="1105"/>
      <c r="J1444" s="1105"/>
      <c r="K1444" s="1105"/>
      <c r="L1444" s="1105"/>
      <c r="M1444" s="1105"/>
      <c r="N1444" s="1105"/>
      <c r="O1444" s="1106"/>
      <c r="P1444" s="100"/>
      <c r="Q1444" s="100"/>
      <c r="R1444" s="100"/>
      <c r="S1444" s="100"/>
      <c r="T1444" s="100"/>
      <c r="U1444" s="100"/>
      <c r="V1444" s="100"/>
      <c r="W1444" s="100"/>
      <c r="X1444" s="100"/>
      <c r="Y1444" s="100"/>
      <c r="Z1444" s="100"/>
      <c r="AA1444" s="100"/>
      <c r="AB1444" s="100"/>
      <c r="AC1444" s="100"/>
      <c r="AD1444" s="100"/>
      <c r="AF1444"/>
      <c r="AG1444">
        <f t="shared" si="913"/>
        <v>0</v>
      </c>
      <c r="AH1444">
        <f t="shared" si="897"/>
        <v>0</v>
      </c>
      <c r="AJ1444">
        <f>IF(OR(P1444="NS",P1444="NA",$P$896=0,$P$896="NS",$P$896="NA"),0,IF((P1444*(IFERROR(100/SUM(P1412:P1444),0)))&gt;25,1,0))</f>
        <v>0</v>
      </c>
      <c r="AK1444">
        <f t="shared" si="898"/>
        <v>0</v>
      </c>
      <c r="AL1444">
        <f t="shared" si="899"/>
        <v>0</v>
      </c>
      <c r="AM1444">
        <f t="shared" si="900"/>
        <v>0</v>
      </c>
      <c r="AN1444">
        <f t="shared" si="901"/>
        <v>0</v>
      </c>
      <c r="AO1444">
        <f t="shared" si="902"/>
        <v>0</v>
      </c>
      <c r="AP1444">
        <f t="shared" si="903"/>
        <v>0</v>
      </c>
      <c r="AQ1444">
        <f t="shared" si="904"/>
        <v>0</v>
      </c>
      <c r="AR1444">
        <f t="shared" si="905"/>
        <v>0</v>
      </c>
      <c r="AS1444">
        <f t="shared" si="906"/>
        <v>0</v>
      </c>
      <c r="AT1444">
        <f t="shared" si="907"/>
        <v>0</v>
      </c>
      <c r="AU1444">
        <f t="shared" si="908"/>
        <v>0</v>
      </c>
      <c r="AV1444">
        <f t="shared" si="909"/>
        <v>0</v>
      </c>
      <c r="AW1444">
        <f t="shared" si="910"/>
        <v>0</v>
      </c>
      <c r="AX1444">
        <f t="shared" si="911"/>
        <v>0</v>
      </c>
      <c r="AY1444">
        <f t="shared" si="912"/>
        <v>0</v>
      </c>
    </row>
    <row r="1445" spans="1:51" ht="15" customHeight="1">
      <c r="A1445" s="49"/>
      <c r="B1445" s="38"/>
      <c r="C1445" s="739" t="s">
        <v>5119</v>
      </c>
      <c r="D1445" s="740"/>
      <c r="E1445" s="740"/>
      <c r="F1445" s="740"/>
      <c r="G1445" s="741"/>
      <c r="H1445" s="1104" t="s">
        <v>201</v>
      </c>
      <c r="I1445" s="1105"/>
      <c r="J1445" s="1105"/>
      <c r="K1445" s="1105"/>
      <c r="L1445" s="1105"/>
      <c r="M1445" s="1105"/>
      <c r="N1445" s="1105"/>
      <c r="O1445" s="1106"/>
      <c r="P1445" s="100"/>
      <c r="Q1445" s="100"/>
      <c r="R1445" s="100"/>
      <c r="S1445" s="100"/>
      <c r="T1445" s="100"/>
      <c r="U1445" s="100"/>
      <c r="V1445" s="100"/>
      <c r="W1445" s="100"/>
      <c r="X1445" s="100"/>
      <c r="Y1445" s="100"/>
      <c r="Z1445" s="100"/>
      <c r="AA1445" s="100"/>
      <c r="AB1445" s="100"/>
      <c r="AC1445" s="100"/>
      <c r="AD1445" s="100"/>
      <c r="AF1445"/>
      <c r="AG1445">
        <f t="shared" si="913"/>
        <v>0</v>
      </c>
      <c r="AH1445">
        <f t="shared" si="897"/>
        <v>0</v>
      </c>
      <c r="AK1445">
        <f t="shared" si="898"/>
        <v>0</v>
      </c>
      <c r="AL1445">
        <f t="shared" si="899"/>
        <v>0</v>
      </c>
      <c r="AM1445">
        <f t="shared" si="900"/>
        <v>0</v>
      </c>
      <c r="AN1445">
        <f t="shared" si="901"/>
        <v>0</v>
      </c>
      <c r="AO1445">
        <f t="shared" si="902"/>
        <v>0</v>
      </c>
      <c r="AP1445">
        <f t="shared" si="903"/>
        <v>0</v>
      </c>
      <c r="AQ1445">
        <f t="shared" si="904"/>
        <v>0</v>
      </c>
      <c r="AR1445">
        <f t="shared" si="905"/>
        <v>0</v>
      </c>
      <c r="AS1445">
        <f t="shared" si="906"/>
        <v>0</v>
      </c>
      <c r="AT1445">
        <f t="shared" si="907"/>
        <v>0</v>
      </c>
      <c r="AU1445">
        <f t="shared" si="908"/>
        <v>0</v>
      </c>
      <c r="AV1445">
        <f t="shared" si="909"/>
        <v>0</v>
      </c>
      <c r="AW1445">
        <f t="shared" si="910"/>
        <v>0</v>
      </c>
      <c r="AX1445">
        <f t="shared" si="911"/>
        <v>0</v>
      </c>
      <c r="AY1445">
        <f t="shared" si="912"/>
        <v>0</v>
      </c>
    </row>
    <row r="1446" spans="1:51" ht="15" customHeight="1">
      <c r="A1446" s="49"/>
      <c r="B1446" s="38"/>
      <c r="C1446" s="38"/>
      <c r="D1446" s="38"/>
      <c r="E1446" s="38"/>
      <c r="F1446" s="38"/>
      <c r="G1446" s="38"/>
      <c r="H1446" s="38"/>
      <c r="I1446" s="38"/>
      <c r="J1446" s="38"/>
      <c r="K1446" s="38"/>
      <c r="L1446" s="117"/>
      <c r="M1446" s="104"/>
      <c r="N1446" s="104"/>
      <c r="O1446" s="99" t="s">
        <v>2649</v>
      </c>
      <c r="P1446" s="524">
        <f t="shared" ref="P1446:AD1446" si="914">IF(COUNTIF(P1281:P1445,"NA")=165,"NA",IF(AND(SUM(COUNTIF(P1281:P1291,"NS"),COUNTIF(P1298:P1302,"NS"),COUNTIF(P1308:P1311,"NS"),COUNTIF(P1330,"NS"),COUNTIF(P1336:P1338,"NS"),COUNTIF(P1342:P1348,"NS"),COUNTIF(P1356,"NS"),COUNTIF(P1362:P1366,"NS"),COUNTIF(P1373,"NS"),COUNTIF(P1382:P1385,"NS"),COUNTIF(P1392:P1395,"NS"),COUNTIF(P1405,"NS"),COUNTIF(P1409:P1416,"NS"),COUNTIF(P1424:P1425,"NS"),COUNTIF(P1429:P1437,"NS"),COUNTIF(P1443:P1445,"NS"))&gt;0,SUM(P1281:P1291,P1298:P1302,P1308:P1311,P1330,P1336:P1338,P1342:P1348,P1356,P1362:P1366,P1373,P1382:P1385,P1392:P1395,P1405,P1409:P1416,P1424:P1425,P1429:P1437,P1443:P1445)=0),"NS",SUM(P1281:P1291,P1298:P1302,P1308:P1311,P1330,P1336:P1338,P1342:P1348,P1356,P1362:P1366,P1373,P1382:P1385,P1392:P1395,P1405,P1409:P1416,P1424:P1425,P1429:P1437,P1443:P1445)))</f>
        <v>0</v>
      </c>
      <c r="Q1446" s="524">
        <f t="shared" si="914"/>
        <v>0</v>
      </c>
      <c r="R1446" s="524">
        <f t="shared" si="914"/>
        <v>0</v>
      </c>
      <c r="S1446" s="524">
        <f t="shared" si="914"/>
        <v>0</v>
      </c>
      <c r="T1446" s="524">
        <f t="shared" si="914"/>
        <v>0</v>
      </c>
      <c r="U1446" s="524">
        <f t="shared" si="914"/>
        <v>0</v>
      </c>
      <c r="V1446" s="524">
        <f t="shared" si="914"/>
        <v>0</v>
      </c>
      <c r="W1446" s="524">
        <f t="shared" si="914"/>
        <v>0</v>
      </c>
      <c r="X1446" s="524">
        <f t="shared" si="914"/>
        <v>0</v>
      </c>
      <c r="Y1446" s="524">
        <f t="shared" si="914"/>
        <v>0</v>
      </c>
      <c r="Z1446" s="524">
        <f t="shared" si="914"/>
        <v>0</v>
      </c>
      <c r="AA1446" s="524">
        <f t="shared" si="914"/>
        <v>0</v>
      </c>
      <c r="AB1446" s="524">
        <f t="shared" si="914"/>
        <v>0</v>
      </c>
      <c r="AC1446" s="524">
        <f t="shared" si="914"/>
        <v>0</v>
      </c>
      <c r="AD1446" s="124">
        <f t="shared" si="914"/>
        <v>0</v>
      </c>
      <c r="AF1446" s="506">
        <f>SUM(AF1437,AF1425,AF1416,AF1405,AF1395,AF1385,AF1373,AF1366,AF1356,AF1348,AF1338,AF1330,AF1311,AF1302,AF1291)</f>
        <v>0</v>
      </c>
      <c r="AG1446" s="507">
        <f>SUM(AG1281:AG1445)</f>
        <v>0</v>
      </c>
      <c r="AH1446" s="507">
        <f>SUM(AH1281:AH1445,AI1281)</f>
        <v>0</v>
      </c>
      <c r="AJ1446" s="507">
        <f>SUM(AJ1444,AJ1411,AJ1394,AJ1365,AJ1347,AJ1344,AJ1310,AJ1298,AJ1285)</f>
        <v>0</v>
      </c>
      <c r="AK1446">
        <f>SUM(AK1281:AK1445)</f>
        <v>0</v>
      </c>
      <c r="AM1446">
        <f>SUM(AM1281:AM1445)</f>
        <v>0</v>
      </c>
      <c r="AN1446">
        <f>SUM(AN1281:AN1445)</f>
        <v>0</v>
      </c>
      <c r="AP1446">
        <f>SUM(AP1281:AP1445)</f>
        <v>0</v>
      </c>
      <c r="AQ1446">
        <f>SUM(AQ1281:AQ1445)</f>
        <v>0</v>
      </c>
      <c r="AS1446">
        <f>SUM(AS1281:AS1445)</f>
        <v>0</v>
      </c>
      <c r="AT1446">
        <f>SUM(AT1281:AT1445)</f>
        <v>0</v>
      </c>
      <c r="AV1446">
        <f>SUM(AV1281:AV1445)</f>
        <v>0</v>
      </c>
      <c r="AW1446">
        <f>SUM(AW1281:AW1445)</f>
        <v>0</v>
      </c>
      <c r="AY1446">
        <f>SUM(AY1281:AY1445)</f>
        <v>0</v>
      </c>
    </row>
    <row r="1447" spans="1:51">
      <c r="A1447" s="170"/>
      <c r="AF1447"/>
      <c r="AK1447" t="s">
        <v>2650</v>
      </c>
      <c r="AL1447" s="427">
        <f>SUM(AM1446,AP1446,AS1446,AV1446,AY1446)</f>
        <v>0</v>
      </c>
      <c r="AM1447" t="s">
        <v>2651</v>
      </c>
      <c r="AN1447" s="427">
        <f>SUM(AK1446,AN1446,AQ1446,AT1446,AW1446)</f>
        <v>0</v>
      </c>
    </row>
    <row r="1448" spans="1:51" ht="15" customHeight="1">
      <c r="A1448" s="49"/>
      <c r="B1448" s="38"/>
      <c r="C1448" s="75"/>
      <c r="D1448" s="75"/>
      <c r="E1448" s="75"/>
      <c r="F1448" s="75"/>
      <c r="G1448" s="75"/>
      <c r="H1448" s="75"/>
      <c r="I1448" s="75"/>
      <c r="J1448" s="75"/>
      <c r="K1448" s="75"/>
      <c r="L1448" s="75"/>
      <c r="M1448" s="75"/>
      <c r="N1448" s="75"/>
      <c r="O1448" s="75"/>
      <c r="P1448" s="75"/>
      <c r="Q1448" s="75"/>
      <c r="R1448" s="75"/>
      <c r="S1448" s="75"/>
      <c r="T1448" s="75"/>
      <c r="U1448" s="75"/>
      <c r="V1448" s="75"/>
      <c r="W1448" s="75"/>
      <c r="X1448" s="75"/>
      <c r="Y1448" s="75"/>
      <c r="Z1448" s="75"/>
      <c r="AA1448" s="873" t="s">
        <v>2668</v>
      </c>
      <c r="AB1448" s="873"/>
      <c r="AC1448" s="873"/>
      <c r="AD1448" s="873"/>
      <c r="AF1448"/>
      <c r="AK1448" t="s">
        <v>2652</v>
      </c>
      <c r="AL1448">
        <f>IF(AN1447&gt;0,IF(SUM(P1446)&gt;=SUM(S1446,V1446,Y1446,AB1446),0,1),IF(SUM(P1446)&lt;&gt;SUM(S1446,V1446,Y1446,AB1446),1,0))</f>
        <v>0</v>
      </c>
      <c r="AM1448" t="s">
        <v>2653</v>
      </c>
      <c r="AN1448">
        <f>IF(AN1447&gt;0,IF(SUM(Q1446)&gt;=SUM(T1446,W1446,Z1446,AC1446),0,1),IF(SUM(Q1446)&lt;&gt;SUM(T1446,W1446,Z1446,AC1446),1,0))</f>
        <v>0</v>
      </c>
      <c r="AO1448" t="s">
        <v>2654</v>
      </c>
      <c r="AP1448">
        <f>IF(AN1447&gt;0,IF(SUM(R1446)&gt;=SUM(U1446,X1446,AA1446,AD1446),0,1),IF(SUM(R1446)&lt;&gt;SUM(U1446,X1446,AA1446,AD1446),1,0))</f>
        <v>0</v>
      </c>
    </row>
    <row r="1449" spans="1:51" ht="60" customHeight="1">
      <c r="A1449" s="49"/>
      <c r="B1449" s="38"/>
      <c r="C1449" s="732" t="s">
        <v>4736</v>
      </c>
      <c r="D1449" s="732"/>
      <c r="E1449" s="732"/>
      <c r="F1449" s="732"/>
      <c r="G1449" s="732" t="s">
        <v>4737</v>
      </c>
      <c r="H1449" s="732"/>
      <c r="I1449" s="968" t="s">
        <v>4738</v>
      </c>
      <c r="J1449" s="969"/>
      <c r="K1449" s="969"/>
      <c r="L1449" s="969"/>
      <c r="M1449" s="969"/>
      <c r="N1449" s="969"/>
      <c r="O1449" s="969"/>
      <c r="P1449" s="969"/>
      <c r="Q1449" s="969"/>
      <c r="R1449" s="969"/>
      <c r="S1449" s="969"/>
      <c r="T1449" s="969"/>
      <c r="U1449" s="970"/>
      <c r="V1449" s="739" t="s">
        <v>5423</v>
      </c>
      <c r="W1449" s="740"/>
      <c r="X1449" s="740"/>
      <c r="Y1449" s="740"/>
      <c r="Z1449" s="740"/>
      <c r="AA1449" s="740"/>
      <c r="AB1449" s="740"/>
      <c r="AC1449" s="740"/>
      <c r="AD1449" s="741"/>
      <c r="AF1449"/>
    </row>
    <row r="1450" spans="1:51" ht="24" customHeight="1">
      <c r="A1450" s="49"/>
      <c r="B1450" s="38"/>
      <c r="C1450" s="732"/>
      <c r="D1450" s="732"/>
      <c r="E1450" s="732"/>
      <c r="F1450" s="732"/>
      <c r="G1450" s="732"/>
      <c r="H1450" s="732"/>
      <c r="I1450" s="1100"/>
      <c r="J1450" s="1101"/>
      <c r="K1450" s="1101"/>
      <c r="L1450" s="1101"/>
      <c r="M1450" s="1101"/>
      <c r="N1450" s="1101"/>
      <c r="O1450" s="1101"/>
      <c r="P1450" s="1101"/>
      <c r="Q1450" s="1101"/>
      <c r="R1450" s="1101"/>
      <c r="S1450" s="1101"/>
      <c r="T1450" s="1101"/>
      <c r="U1450" s="1102"/>
      <c r="V1450" s="733" t="s">
        <v>4593</v>
      </c>
      <c r="W1450" s="734"/>
      <c r="X1450" s="734"/>
      <c r="Y1450" s="734"/>
      <c r="Z1450" s="734"/>
      <c r="AA1450" s="734"/>
      <c r="AB1450" s="734"/>
      <c r="AC1450" s="734"/>
      <c r="AD1450" s="735"/>
      <c r="AF1450"/>
    </row>
    <row r="1451" spans="1:51" ht="96" customHeight="1">
      <c r="A1451" s="49"/>
      <c r="B1451" s="38"/>
      <c r="C1451" s="732"/>
      <c r="D1451" s="732"/>
      <c r="E1451" s="732"/>
      <c r="F1451" s="732"/>
      <c r="G1451" s="732"/>
      <c r="H1451" s="732"/>
      <c r="I1451" s="1100"/>
      <c r="J1451" s="1101"/>
      <c r="K1451" s="1101"/>
      <c r="L1451" s="1101"/>
      <c r="M1451" s="1101"/>
      <c r="N1451" s="1101"/>
      <c r="O1451" s="1101"/>
      <c r="P1451" s="1101"/>
      <c r="Q1451" s="1101"/>
      <c r="R1451" s="1101"/>
      <c r="S1451" s="1101"/>
      <c r="T1451" s="1101"/>
      <c r="U1451" s="1102"/>
      <c r="V1451" s="858" t="s">
        <v>5174</v>
      </c>
      <c r="W1451" s="859"/>
      <c r="X1451" s="860"/>
      <c r="Y1451" s="857" t="s">
        <v>5175</v>
      </c>
      <c r="Z1451" s="857"/>
      <c r="AA1451" s="857"/>
      <c r="AB1451" s="857" t="s">
        <v>5178</v>
      </c>
      <c r="AC1451" s="857"/>
      <c r="AD1451" s="857"/>
      <c r="AF1451"/>
    </row>
    <row r="1452" spans="1:51" ht="48" customHeight="1">
      <c r="A1452" s="49"/>
      <c r="B1452" s="38"/>
      <c r="C1452" s="732"/>
      <c r="D1452" s="732"/>
      <c r="E1452" s="732"/>
      <c r="F1452" s="732"/>
      <c r="G1452" s="732"/>
      <c r="H1452" s="732"/>
      <c r="I1452" s="971"/>
      <c r="J1452" s="972"/>
      <c r="K1452" s="972"/>
      <c r="L1452" s="972"/>
      <c r="M1452" s="972"/>
      <c r="N1452" s="972"/>
      <c r="O1452" s="972"/>
      <c r="P1452" s="972"/>
      <c r="Q1452" s="972"/>
      <c r="R1452" s="972"/>
      <c r="S1452" s="972"/>
      <c r="T1452" s="972"/>
      <c r="U1452" s="973"/>
      <c r="V1452" s="127" t="s">
        <v>2635</v>
      </c>
      <c r="W1452" s="128" t="s">
        <v>2629</v>
      </c>
      <c r="X1452" s="128" t="s">
        <v>2630</v>
      </c>
      <c r="Y1452" s="127" t="s">
        <v>2635</v>
      </c>
      <c r="Z1452" s="128" t="s">
        <v>2629</v>
      </c>
      <c r="AA1452" s="128" t="s">
        <v>2630</v>
      </c>
      <c r="AB1452" s="127" t="s">
        <v>2635</v>
      </c>
      <c r="AC1452" s="128" t="s">
        <v>2629</v>
      </c>
      <c r="AD1452" s="128" t="s">
        <v>2630</v>
      </c>
      <c r="AF1452"/>
      <c r="AK1452" t="s">
        <v>4573</v>
      </c>
      <c r="AL1452" t="s">
        <v>2638</v>
      </c>
      <c r="AM1452" t="s">
        <v>2639</v>
      </c>
      <c r="AN1452" t="s">
        <v>4574</v>
      </c>
      <c r="AO1452" t="s">
        <v>2641</v>
      </c>
      <c r="AP1452" t="s">
        <v>2642</v>
      </c>
      <c r="AQ1452" t="s">
        <v>4575</v>
      </c>
      <c r="AR1452" t="s">
        <v>2644</v>
      </c>
      <c r="AS1452" t="s">
        <v>2645</v>
      </c>
    </row>
    <row r="1453" spans="1:51" ht="15" customHeight="1">
      <c r="A1453" s="49"/>
      <c r="B1453" s="38"/>
      <c r="C1453" s="1108" t="s">
        <v>4743</v>
      </c>
      <c r="D1453" s="847" t="s">
        <v>4744</v>
      </c>
      <c r="E1453" s="953"/>
      <c r="F1453" s="848"/>
      <c r="G1453" s="1117" t="s">
        <v>4745</v>
      </c>
      <c r="H1453" s="1118"/>
      <c r="I1453" s="1104" t="s">
        <v>3875</v>
      </c>
      <c r="J1453" s="1105"/>
      <c r="K1453" s="1105"/>
      <c r="L1453" s="1105"/>
      <c r="M1453" s="1105"/>
      <c r="N1453" s="1105"/>
      <c r="O1453" s="1105"/>
      <c r="P1453" s="1105"/>
      <c r="Q1453" s="1105"/>
      <c r="R1453" s="1105"/>
      <c r="S1453" s="1105"/>
      <c r="T1453" s="1105"/>
      <c r="U1453" s="1106"/>
      <c r="V1453" s="100"/>
      <c r="W1453" s="100"/>
      <c r="X1453" s="100"/>
      <c r="Y1453" s="100"/>
      <c r="Z1453" s="100"/>
      <c r="AA1453" s="100"/>
      <c r="AB1453" s="100"/>
      <c r="AC1453" s="100"/>
      <c r="AD1453" s="100"/>
      <c r="AF1453"/>
      <c r="AK1453">
        <f t="shared" ref="AK1453:AK1516" si="915">COUNTIF(W1453:X1453,"NS")</f>
        <v>0</v>
      </c>
      <c r="AL1453">
        <f t="shared" ref="AL1453:AL1516" si="916">SUM(W1453:X1453)</f>
        <v>0</v>
      </c>
      <c r="AM1453">
        <f t="shared" ref="AM1453:AM1516" si="917">IF(COUNTIF(V1453:X1453,"NA")=3,0,IF(COUNTA(V1453:X1453)=0,0,IF(OR(AND(V1453=0,AK1453&gt;0),AND(V1453="ns",AL1453&gt;0),AND(V1453="ns",AK1453=0,AL1453=0)),1,IF(OR(AND(V1453&gt;0,AK1453=2),AND(V1453="ns",AK1453=2),AND(V1453="ns",AL1453=0,AK1453&gt;0),V1453=AL1453),0,1))))</f>
        <v>0</v>
      </c>
      <c r="AN1453">
        <f t="shared" ref="AN1453:AN1516" si="918">COUNTIF(Z1453:AA1453,"NS")</f>
        <v>0</v>
      </c>
      <c r="AO1453">
        <f t="shared" ref="AO1453:AO1516" si="919">SUM(Z1453:AA1453)</f>
        <v>0</v>
      </c>
      <c r="AP1453">
        <f t="shared" ref="AP1453:AP1516" si="920">IF(COUNTIF(Y1453:AA1453,"NA")=3,0,IF(COUNTA(Y1453:AA1453)=0,0,IF(OR(AND(Y1453=0,AN1453&gt;0),AND(Y1453="ns",AO1453&gt;0),AND(Y1453="ns",AN1453=0,AO1453=0)),1,IF(OR(AND(Y1453&gt;0,AN1453=2),AND(Y1453="ns",AN1453=2),AND(Y1453="ns",AO1453=0,AN1453&gt;0),Y1453=AO1453),0,1))))</f>
        <v>0</v>
      </c>
      <c r="AQ1453">
        <f t="shared" ref="AQ1453:AQ1516" si="921">COUNTIF(AC1453:AD1453,"NS")</f>
        <v>0</v>
      </c>
      <c r="AR1453">
        <f t="shared" ref="AR1453:AR1516" si="922">SUM(AC1453:AD1453)</f>
        <v>0</v>
      </c>
      <c r="AS1453">
        <f t="shared" ref="AS1453:AS1516" si="923">IF(COUNTIF(AB1453:AD1453,"NA")=3,0,IF(COUNTA(AB1453:AD1453)=0,0,IF(OR(AND(AB1453=0,AQ1453&gt;0),AND(AB1453="ns",AR1453&gt;0),AND(AB1453="ns",AQ1453=0,AR1453=0)),1,IF(OR(AND(AB1453&gt;0,AQ1453=2),AND(AB1453="ns",AQ1453=2),AND(AB1453="ns",AR1453=0,AQ1453&gt;0),AB1453=AR1453),0,1))))</f>
        <v>0</v>
      </c>
    </row>
    <row r="1454" spans="1:51" ht="15" customHeight="1">
      <c r="A1454" s="49"/>
      <c r="B1454" s="38"/>
      <c r="C1454" s="1109"/>
      <c r="D1454" s="954"/>
      <c r="E1454" s="955"/>
      <c r="F1454" s="956"/>
      <c r="G1454" s="1117" t="s">
        <v>4746</v>
      </c>
      <c r="H1454" s="1118"/>
      <c r="I1454" s="1104" t="s">
        <v>4747</v>
      </c>
      <c r="J1454" s="1105"/>
      <c r="K1454" s="1105"/>
      <c r="L1454" s="1105"/>
      <c r="M1454" s="1105"/>
      <c r="N1454" s="1105"/>
      <c r="O1454" s="1105"/>
      <c r="P1454" s="1105"/>
      <c r="Q1454" s="1105"/>
      <c r="R1454" s="1105"/>
      <c r="S1454" s="1105"/>
      <c r="T1454" s="1105"/>
      <c r="U1454" s="1106"/>
      <c r="V1454" s="100"/>
      <c r="W1454" s="100"/>
      <c r="X1454" s="100"/>
      <c r="Y1454" s="100"/>
      <c r="Z1454" s="100"/>
      <c r="AA1454" s="100"/>
      <c r="AB1454" s="100"/>
      <c r="AC1454" s="100"/>
      <c r="AD1454" s="100"/>
      <c r="AF1454"/>
      <c r="AK1454">
        <f t="shared" si="915"/>
        <v>0</v>
      </c>
      <c r="AL1454">
        <f t="shared" si="916"/>
        <v>0</v>
      </c>
      <c r="AM1454">
        <f t="shared" si="917"/>
        <v>0</v>
      </c>
      <c r="AN1454">
        <f t="shared" si="918"/>
        <v>0</v>
      </c>
      <c r="AO1454">
        <f t="shared" si="919"/>
        <v>0</v>
      </c>
      <c r="AP1454">
        <f t="shared" si="920"/>
        <v>0</v>
      </c>
      <c r="AQ1454">
        <f t="shared" si="921"/>
        <v>0</v>
      </c>
      <c r="AR1454">
        <f t="shared" si="922"/>
        <v>0</v>
      </c>
      <c r="AS1454">
        <f t="shared" si="923"/>
        <v>0</v>
      </c>
    </row>
    <row r="1455" spans="1:51" ht="15" customHeight="1">
      <c r="A1455" s="49"/>
      <c r="B1455" s="38"/>
      <c r="C1455" s="1109"/>
      <c r="D1455" s="954"/>
      <c r="E1455" s="955"/>
      <c r="F1455" s="956"/>
      <c r="G1455" s="1117" t="s">
        <v>4748</v>
      </c>
      <c r="H1455" s="1118"/>
      <c r="I1455" s="1104" t="s">
        <v>4749</v>
      </c>
      <c r="J1455" s="1105"/>
      <c r="K1455" s="1105"/>
      <c r="L1455" s="1105"/>
      <c r="M1455" s="1105"/>
      <c r="N1455" s="1105"/>
      <c r="O1455" s="1105"/>
      <c r="P1455" s="1105"/>
      <c r="Q1455" s="1105"/>
      <c r="R1455" s="1105"/>
      <c r="S1455" s="1105"/>
      <c r="T1455" s="1105"/>
      <c r="U1455" s="1106"/>
      <c r="V1455" s="100"/>
      <c r="W1455" s="100"/>
      <c r="X1455" s="100"/>
      <c r="Y1455" s="100"/>
      <c r="Z1455" s="100"/>
      <c r="AA1455" s="100"/>
      <c r="AB1455" s="100"/>
      <c r="AC1455" s="100"/>
      <c r="AD1455" s="100"/>
      <c r="AF1455"/>
      <c r="AK1455">
        <f t="shared" si="915"/>
        <v>0</v>
      </c>
      <c r="AL1455">
        <f t="shared" si="916"/>
        <v>0</v>
      </c>
      <c r="AM1455">
        <f t="shared" si="917"/>
        <v>0</v>
      </c>
      <c r="AN1455">
        <f t="shared" si="918"/>
        <v>0</v>
      </c>
      <c r="AO1455">
        <f t="shared" si="919"/>
        <v>0</v>
      </c>
      <c r="AP1455">
        <f t="shared" si="920"/>
        <v>0</v>
      </c>
      <c r="AQ1455">
        <f t="shared" si="921"/>
        <v>0</v>
      </c>
      <c r="AR1455">
        <f t="shared" si="922"/>
        <v>0</v>
      </c>
      <c r="AS1455">
        <f t="shared" si="923"/>
        <v>0</v>
      </c>
    </row>
    <row r="1456" spans="1:51" ht="15" customHeight="1">
      <c r="A1456" s="49"/>
      <c r="B1456" s="38"/>
      <c r="C1456" s="1109"/>
      <c r="D1456" s="954"/>
      <c r="E1456" s="955"/>
      <c r="F1456" s="956"/>
      <c r="G1456" s="1117" t="s">
        <v>4750</v>
      </c>
      <c r="H1456" s="1118"/>
      <c r="I1456" s="1104" t="s">
        <v>4751</v>
      </c>
      <c r="J1456" s="1105"/>
      <c r="K1456" s="1105"/>
      <c r="L1456" s="1105"/>
      <c r="M1456" s="1105"/>
      <c r="N1456" s="1105"/>
      <c r="O1456" s="1105"/>
      <c r="P1456" s="1105"/>
      <c r="Q1456" s="1105"/>
      <c r="R1456" s="1105"/>
      <c r="S1456" s="1105"/>
      <c r="T1456" s="1105"/>
      <c r="U1456" s="1106"/>
      <c r="V1456" s="100"/>
      <c r="W1456" s="100"/>
      <c r="X1456" s="100"/>
      <c r="Y1456" s="100"/>
      <c r="Z1456" s="100"/>
      <c r="AA1456" s="100"/>
      <c r="AB1456" s="100"/>
      <c r="AC1456" s="100"/>
      <c r="AD1456" s="100"/>
      <c r="AF1456"/>
      <c r="AK1456">
        <f t="shared" si="915"/>
        <v>0</v>
      </c>
      <c r="AL1456">
        <f t="shared" si="916"/>
        <v>0</v>
      </c>
      <c r="AM1456">
        <f t="shared" si="917"/>
        <v>0</v>
      </c>
      <c r="AN1456">
        <f t="shared" si="918"/>
        <v>0</v>
      </c>
      <c r="AO1456">
        <f t="shared" si="919"/>
        <v>0</v>
      </c>
      <c r="AP1456">
        <f t="shared" si="920"/>
        <v>0</v>
      </c>
      <c r="AQ1456">
        <f t="shared" si="921"/>
        <v>0</v>
      </c>
      <c r="AR1456">
        <f t="shared" si="922"/>
        <v>0</v>
      </c>
      <c r="AS1456">
        <f t="shared" si="923"/>
        <v>0</v>
      </c>
    </row>
    <row r="1457" spans="1:90" ht="15" customHeight="1">
      <c r="A1457" s="49"/>
      <c r="B1457" s="38"/>
      <c r="C1457" s="1109"/>
      <c r="D1457" s="954"/>
      <c r="E1457" s="955"/>
      <c r="F1457" s="956"/>
      <c r="G1457" s="1117" t="s">
        <v>4752</v>
      </c>
      <c r="H1457" s="1118"/>
      <c r="I1457" s="1104" t="s">
        <v>4753</v>
      </c>
      <c r="J1457" s="1105"/>
      <c r="K1457" s="1105"/>
      <c r="L1457" s="1105"/>
      <c r="M1457" s="1105"/>
      <c r="N1457" s="1105"/>
      <c r="O1457" s="1105"/>
      <c r="P1457" s="1105"/>
      <c r="Q1457" s="1105"/>
      <c r="R1457" s="1105"/>
      <c r="S1457" s="1105"/>
      <c r="T1457" s="1105"/>
      <c r="U1457" s="1106"/>
      <c r="V1457" s="100"/>
      <c r="W1457" s="100"/>
      <c r="X1457" s="100"/>
      <c r="Y1457" s="100"/>
      <c r="Z1457" s="100"/>
      <c r="AA1457" s="100"/>
      <c r="AB1457" s="100"/>
      <c r="AC1457" s="100"/>
      <c r="AD1457" s="100"/>
      <c r="AF1457"/>
      <c r="AK1457">
        <f t="shared" si="915"/>
        <v>0</v>
      </c>
      <c r="AL1457">
        <f t="shared" si="916"/>
        <v>0</v>
      </c>
      <c r="AM1457">
        <f t="shared" si="917"/>
        <v>0</v>
      </c>
      <c r="AN1457">
        <f t="shared" si="918"/>
        <v>0</v>
      </c>
      <c r="AO1457">
        <f t="shared" si="919"/>
        <v>0</v>
      </c>
      <c r="AP1457">
        <f t="shared" si="920"/>
        <v>0</v>
      </c>
      <c r="AQ1457">
        <f t="shared" si="921"/>
        <v>0</v>
      </c>
      <c r="AR1457">
        <f t="shared" si="922"/>
        <v>0</v>
      </c>
      <c r="AS1457">
        <f t="shared" si="923"/>
        <v>0</v>
      </c>
    </row>
    <row r="1458" spans="1:90" ht="15" customHeight="1">
      <c r="A1458" s="49"/>
      <c r="B1458" s="38"/>
      <c r="C1458" s="1108" t="s">
        <v>4754</v>
      </c>
      <c r="D1458" s="847" t="s">
        <v>4755</v>
      </c>
      <c r="E1458" s="953"/>
      <c r="F1458" s="953"/>
      <c r="G1458" s="1117" t="s">
        <v>4756</v>
      </c>
      <c r="H1458" s="1118"/>
      <c r="I1458" s="1104" t="s">
        <v>4757</v>
      </c>
      <c r="J1458" s="1105"/>
      <c r="K1458" s="1105"/>
      <c r="L1458" s="1105"/>
      <c r="M1458" s="1105"/>
      <c r="N1458" s="1105"/>
      <c r="O1458" s="1105"/>
      <c r="P1458" s="1105"/>
      <c r="Q1458" s="1105"/>
      <c r="R1458" s="1105"/>
      <c r="S1458" s="1105"/>
      <c r="T1458" s="1105"/>
      <c r="U1458" s="1106"/>
      <c r="V1458" s="100"/>
      <c r="W1458" s="100"/>
      <c r="X1458" s="100"/>
      <c r="Y1458" s="100"/>
      <c r="Z1458" s="100"/>
      <c r="AA1458" s="100"/>
      <c r="AB1458" s="100"/>
      <c r="AC1458" s="100"/>
      <c r="AD1458" s="100"/>
      <c r="AF1458"/>
      <c r="AK1458">
        <f t="shared" si="915"/>
        <v>0</v>
      </c>
      <c r="AL1458">
        <f t="shared" si="916"/>
        <v>0</v>
      </c>
      <c r="AM1458">
        <f t="shared" si="917"/>
        <v>0</v>
      </c>
      <c r="AN1458">
        <f t="shared" si="918"/>
        <v>0</v>
      </c>
      <c r="AO1458">
        <f t="shared" si="919"/>
        <v>0</v>
      </c>
      <c r="AP1458">
        <f t="shared" si="920"/>
        <v>0</v>
      </c>
      <c r="AQ1458">
        <f t="shared" si="921"/>
        <v>0</v>
      </c>
      <c r="AR1458">
        <f t="shared" si="922"/>
        <v>0</v>
      </c>
      <c r="AS1458">
        <f t="shared" si="923"/>
        <v>0</v>
      </c>
    </row>
    <row r="1459" spans="1:90" ht="15" customHeight="1">
      <c r="A1459" s="103"/>
      <c r="B1459" s="57"/>
      <c r="C1459" s="1109"/>
      <c r="D1459" s="954"/>
      <c r="E1459" s="955"/>
      <c r="F1459" s="955"/>
      <c r="G1459" s="1117" t="s">
        <v>4758</v>
      </c>
      <c r="H1459" s="1118"/>
      <c r="I1459" s="1104" t="s">
        <v>4759</v>
      </c>
      <c r="J1459" s="1105"/>
      <c r="K1459" s="1105"/>
      <c r="L1459" s="1105"/>
      <c r="M1459" s="1105"/>
      <c r="N1459" s="1105"/>
      <c r="O1459" s="1105"/>
      <c r="P1459" s="1105"/>
      <c r="Q1459" s="1105"/>
      <c r="R1459" s="1105"/>
      <c r="S1459" s="1105"/>
      <c r="T1459" s="1105"/>
      <c r="U1459" s="1106"/>
      <c r="V1459" s="100"/>
      <c r="W1459" s="100"/>
      <c r="X1459" s="100"/>
      <c r="Y1459" s="100"/>
      <c r="Z1459" s="100"/>
      <c r="AA1459" s="100"/>
      <c r="AB1459" s="100"/>
      <c r="AC1459" s="100"/>
      <c r="AD1459" s="100"/>
      <c r="AF1459"/>
      <c r="AK1459">
        <f t="shared" si="915"/>
        <v>0</v>
      </c>
      <c r="AL1459">
        <f t="shared" si="916"/>
        <v>0</v>
      </c>
      <c r="AM1459">
        <f t="shared" si="917"/>
        <v>0</v>
      </c>
      <c r="AN1459">
        <f t="shared" si="918"/>
        <v>0</v>
      </c>
      <c r="AO1459">
        <f t="shared" si="919"/>
        <v>0</v>
      </c>
      <c r="AP1459">
        <f t="shared" si="920"/>
        <v>0</v>
      </c>
      <c r="AQ1459">
        <f t="shared" si="921"/>
        <v>0</v>
      </c>
      <c r="AR1459">
        <f t="shared" si="922"/>
        <v>0</v>
      </c>
      <c r="AS1459">
        <f t="shared" si="923"/>
        <v>0</v>
      </c>
    </row>
    <row r="1460" spans="1:90" ht="15" customHeight="1">
      <c r="A1460" s="103"/>
      <c r="B1460" s="57"/>
      <c r="C1460" s="1109"/>
      <c r="D1460" s="954"/>
      <c r="E1460" s="955"/>
      <c r="F1460" s="955"/>
      <c r="G1460" s="1117" t="s">
        <v>4760</v>
      </c>
      <c r="H1460" s="1118"/>
      <c r="I1460" s="1104" t="s">
        <v>4761</v>
      </c>
      <c r="J1460" s="1105"/>
      <c r="K1460" s="1105"/>
      <c r="L1460" s="1105"/>
      <c r="M1460" s="1105"/>
      <c r="N1460" s="1105"/>
      <c r="O1460" s="1105"/>
      <c r="P1460" s="1105"/>
      <c r="Q1460" s="1105"/>
      <c r="R1460" s="1105"/>
      <c r="S1460" s="1105"/>
      <c r="T1460" s="1105"/>
      <c r="U1460" s="1106"/>
      <c r="V1460" s="100"/>
      <c r="W1460" s="100"/>
      <c r="X1460" s="100"/>
      <c r="Y1460" s="100"/>
      <c r="Z1460" s="100"/>
      <c r="AA1460" s="100"/>
      <c r="AB1460" s="100"/>
      <c r="AC1460" s="100"/>
      <c r="AD1460" s="100"/>
      <c r="AF1460"/>
      <c r="AK1460">
        <f t="shared" si="915"/>
        <v>0</v>
      </c>
      <c r="AL1460">
        <f t="shared" si="916"/>
        <v>0</v>
      </c>
      <c r="AM1460">
        <f t="shared" si="917"/>
        <v>0</v>
      </c>
      <c r="AN1460">
        <f t="shared" si="918"/>
        <v>0</v>
      </c>
      <c r="AO1460">
        <f t="shared" si="919"/>
        <v>0</v>
      </c>
      <c r="AP1460">
        <f t="shared" si="920"/>
        <v>0</v>
      </c>
      <c r="AQ1460">
        <f t="shared" si="921"/>
        <v>0</v>
      </c>
      <c r="AR1460">
        <f t="shared" si="922"/>
        <v>0</v>
      </c>
      <c r="AS1460">
        <f t="shared" si="923"/>
        <v>0</v>
      </c>
    </row>
    <row r="1461" spans="1:90" ht="15" customHeight="1">
      <c r="A1461" s="103"/>
      <c r="B1461" s="57"/>
      <c r="C1461" s="1109"/>
      <c r="D1461" s="954"/>
      <c r="E1461" s="955"/>
      <c r="F1461" s="955"/>
      <c r="G1461" s="1117" t="s">
        <v>4762</v>
      </c>
      <c r="H1461" s="1118"/>
      <c r="I1461" s="1104" t="s">
        <v>4763</v>
      </c>
      <c r="J1461" s="1105"/>
      <c r="K1461" s="1105"/>
      <c r="L1461" s="1105"/>
      <c r="M1461" s="1105"/>
      <c r="N1461" s="1105"/>
      <c r="O1461" s="1105"/>
      <c r="P1461" s="1105"/>
      <c r="Q1461" s="1105"/>
      <c r="R1461" s="1105"/>
      <c r="S1461" s="1105"/>
      <c r="T1461" s="1105"/>
      <c r="U1461" s="1106"/>
      <c r="V1461" s="100"/>
      <c r="W1461" s="100"/>
      <c r="X1461" s="100"/>
      <c r="Y1461" s="100"/>
      <c r="Z1461" s="100"/>
      <c r="AA1461" s="100"/>
      <c r="AB1461" s="100"/>
      <c r="AC1461" s="100"/>
      <c r="AD1461" s="100"/>
      <c r="AF1461"/>
      <c r="AK1461">
        <f t="shared" si="915"/>
        <v>0</v>
      </c>
      <c r="AL1461">
        <f t="shared" si="916"/>
        <v>0</v>
      </c>
      <c r="AM1461">
        <f t="shared" si="917"/>
        <v>0</v>
      </c>
      <c r="AN1461">
        <f t="shared" si="918"/>
        <v>0</v>
      </c>
      <c r="AO1461">
        <f t="shared" si="919"/>
        <v>0</v>
      </c>
      <c r="AP1461">
        <f t="shared" si="920"/>
        <v>0</v>
      </c>
      <c r="AQ1461">
        <f t="shared" si="921"/>
        <v>0</v>
      </c>
      <c r="AR1461">
        <f t="shared" si="922"/>
        <v>0</v>
      </c>
      <c r="AS1461">
        <f t="shared" si="923"/>
        <v>0</v>
      </c>
    </row>
    <row r="1462" spans="1:90" ht="15" customHeight="1">
      <c r="A1462" s="103"/>
      <c r="B1462" s="57"/>
      <c r="C1462" s="1109"/>
      <c r="D1462" s="954"/>
      <c r="E1462" s="955"/>
      <c r="F1462" s="955"/>
      <c r="G1462" s="1117" t="s">
        <v>4764</v>
      </c>
      <c r="H1462" s="1118"/>
      <c r="I1462" s="1104" t="s">
        <v>4765</v>
      </c>
      <c r="J1462" s="1105"/>
      <c r="K1462" s="1105"/>
      <c r="L1462" s="1105"/>
      <c r="M1462" s="1105"/>
      <c r="N1462" s="1105"/>
      <c r="O1462" s="1105"/>
      <c r="P1462" s="1105"/>
      <c r="Q1462" s="1105"/>
      <c r="R1462" s="1105"/>
      <c r="S1462" s="1105"/>
      <c r="T1462" s="1105"/>
      <c r="U1462" s="1106"/>
      <c r="V1462" s="100"/>
      <c r="W1462" s="100"/>
      <c r="X1462" s="100"/>
      <c r="Y1462" s="100"/>
      <c r="Z1462" s="100"/>
      <c r="AA1462" s="100"/>
      <c r="AB1462" s="100"/>
      <c r="AC1462" s="100"/>
      <c r="AD1462" s="100"/>
      <c r="AF1462"/>
      <c r="AK1462">
        <f t="shared" si="915"/>
        <v>0</v>
      </c>
      <c r="AL1462">
        <f t="shared" si="916"/>
        <v>0</v>
      </c>
      <c r="AM1462">
        <f t="shared" si="917"/>
        <v>0</v>
      </c>
      <c r="AN1462">
        <f t="shared" si="918"/>
        <v>0</v>
      </c>
      <c r="AO1462">
        <f t="shared" si="919"/>
        <v>0</v>
      </c>
      <c r="AP1462">
        <f t="shared" si="920"/>
        <v>0</v>
      </c>
      <c r="AQ1462">
        <f t="shared" si="921"/>
        <v>0</v>
      </c>
      <c r="AR1462">
        <f t="shared" si="922"/>
        <v>0</v>
      </c>
      <c r="AS1462">
        <f t="shared" si="923"/>
        <v>0</v>
      </c>
      <c r="AT1462" t="s">
        <v>4766</v>
      </c>
      <c r="AU1462" t="s">
        <v>4767</v>
      </c>
      <c r="AV1462" t="s">
        <v>4768</v>
      </c>
      <c r="AW1462" t="s">
        <v>4769</v>
      </c>
      <c r="AX1462" t="s">
        <v>4770</v>
      </c>
      <c r="AY1462" t="s">
        <v>4771</v>
      </c>
      <c r="AZ1462" t="s">
        <v>4772</v>
      </c>
      <c r="BA1462" t="s">
        <v>4773</v>
      </c>
      <c r="BB1462" t="s">
        <v>4774</v>
      </c>
      <c r="BC1462" t="s">
        <v>4775</v>
      </c>
      <c r="BD1462" t="s">
        <v>4776</v>
      </c>
      <c r="BE1462" t="s">
        <v>4777</v>
      </c>
      <c r="BF1462" t="s">
        <v>4778</v>
      </c>
      <c r="BG1462" t="s">
        <v>4779</v>
      </c>
      <c r="BH1462" t="s">
        <v>4780</v>
      </c>
      <c r="BI1462" t="s">
        <v>4781</v>
      </c>
      <c r="BJ1462" t="s">
        <v>4782</v>
      </c>
      <c r="BK1462" t="s">
        <v>4783</v>
      </c>
      <c r="BL1462" t="s">
        <v>4784</v>
      </c>
      <c r="BM1462" t="s">
        <v>4785</v>
      </c>
      <c r="BN1462" t="s">
        <v>4786</v>
      </c>
      <c r="BO1462" t="s">
        <v>4787</v>
      </c>
      <c r="BP1462" t="s">
        <v>4788</v>
      </c>
      <c r="BQ1462" t="s">
        <v>4789</v>
      </c>
      <c r="BR1462" t="s">
        <v>4790</v>
      </c>
      <c r="BS1462" t="s">
        <v>4791</v>
      </c>
      <c r="BT1462" t="s">
        <v>4792</v>
      </c>
      <c r="BU1462" t="s">
        <v>4793</v>
      </c>
      <c r="BV1462" t="s">
        <v>4794</v>
      </c>
      <c r="BW1462" t="s">
        <v>4795</v>
      </c>
      <c r="BX1462" t="s">
        <v>4796</v>
      </c>
      <c r="BY1462" t="s">
        <v>4797</v>
      </c>
      <c r="BZ1462" t="s">
        <v>4798</v>
      </c>
      <c r="CA1462" t="s">
        <v>4799</v>
      </c>
      <c r="CB1462" t="s">
        <v>4800</v>
      </c>
      <c r="CC1462" t="s">
        <v>4801</v>
      </c>
      <c r="CD1462" t="s">
        <v>4802</v>
      </c>
      <c r="CE1462" t="s">
        <v>4803</v>
      </c>
      <c r="CF1462" t="s">
        <v>4804</v>
      </c>
      <c r="CG1462" t="s">
        <v>4805</v>
      </c>
      <c r="CH1462" t="s">
        <v>4806</v>
      </c>
      <c r="CI1462" t="s">
        <v>4807</v>
      </c>
      <c r="CJ1462" t="s">
        <v>4808</v>
      </c>
      <c r="CK1462" t="s">
        <v>4809</v>
      </c>
      <c r="CL1462" t="s">
        <v>4810</v>
      </c>
    </row>
    <row r="1463" spans="1:90" ht="15" customHeight="1">
      <c r="A1463" s="103"/>
      <c r="B1463" s="57"/>
      <c r="C1463" s="1109"/>
      <c r="D1463" s="954"/>
      <c r="E1463" s="955"/>
      <c r="F1463" s="955"/>
      <c r="G1463" s="1117" t="s">
        <v>4811</v>
      </c>
      <c r="H1463" s="1118"/>
      <c r="I1463" s="1104" t="s">
        <v>4812</v>
      </c>
      <c r="J1463" s="1105"/>
      <c r="K1463" s="1105"/>
      <c r="L1463" s="1105"/>
      <c r="M1463" s="1105"/>
      <c r="N1463" s="1105"/>
      <c r="O1463" s="1105"/>
      <c r="P1463" s="1105"/>
      <c r="Q1463" s="1105"/>
      <c r="R1463" s="1105"/>
      <c r="S1463" s="1105"/>
      <c r="T1463" s="1105"/>
      <c r="U1463" s="1106"/>
      <c r="V1463" s="100"/>
      <c r="W1463" s="100"/>
      <c r="X1463" s="100"/>
      <c r="Y1463" s="100"/>
      <c r="Z1463" s="100"/>
      <c r="AA1463" s="100"/>
      <c r="AB1463" s="100"/>
      <c r="AC1463" s="100"/>
      <c r="AD1463" s="100"/>
      <c r="AF1463"/>
      <c r="AK1463">
        <f t="shared" si="915"/>
        <v>0</v>
      </c>
      <c r="AL1463">
        <f t="shared" si="916"/>
        <v>0</v>
      </c>
      <c r="AM1463">
        <f t="shared" si="917"/>
        <v>0</v>
      </c>
      <c r="AN1463">
        <f t="shared" si="918"/>
        <v>0</v>
      </c>
      <c r="AO1463">
        <f t="shared" si="919"/>
        <v>0</v>
      </c>
      <c r="AP1463">
        <f t="shared" si="920"/>
        <v>0</v>
      </c>
      <c r="AQ1463">
        <f t="shared" si="921"/>
        <v>0</v>
      </c>
      <c r="AR1463">
        <f t="shared" si="922"/>
        <v>0</v>
      </c>
      <c r="AS1463">
        <f t="shared" si="923"/>
        <v>0</v>
      </c>
      <c r="AT1463">
        <f>COUNTIF(V1464:V1469,"NS")</f>
        <v>0</v>
      </c>
      <c r="AU1463">
        <f>SUM(V1464:V1469)</f>
        <v>0</v>
      </c>
      <c r="AV1463">
        <f>IF(COUNTA(V1463:V1469)=0,0,IF(OR(AND(V1463=0,AT1463&gt;0),AND(V1463="ns",AU1463&gt;0),AND(V1463="ns",AT1463=0,AU1463=0)),1,IF(OR(AND(AT1463&gt;=2,V1463&gt;AU1463),AND(V1463="ns",AU1463=0,AT1463&gt;0),V1463=AU1463),0,1)))</f>
        <v>0</v>
      </c>
      <c r="AW1463">
        <f>COUNTIF(V1475:V1479,"NS")</f>
        <v>0</v>
      </c>
      <c r="AX1463">
        <f>SUM(V1475:V1479)</f>
        <v>0</v>
      </c>
      <c r="AY1463">
        <f>IF(COUNTA(V1474:V1479)=0,0,IF(OR(AND(V1474=0,AW1463&gt;0),AND(V1474="ns",AX1463&gt;0),AND(V1474="ns",AW1463=0,AX1463=0)),1,IF(OR(AND(AW1463&gt;=2,V1474&gt;AX1463),AND(V1474="ns",AX1463=0,AW1463&gt;0),V1474=AX1463),0,1)))</f>
        <v>0</v>
      </c>
      <c r="AZ1463">
        <f>COUNTIF(V1484:V1501,"NS")</f>
        <v>0</v>
      </c>
      <c r="BA1463">
        <f>SUM(V1484:V1501)</f>
        <v>0</v>
      </c>
      <c r="BB1463">
        <f>IF(COUNTA(V1483:V1501)=0,0,IF(OR(AND(V1483=0,AZ1463&gt;0),AND(V1483="ns",BA1463&gt;0),AND(V1483="ns",AZ1463=0,BA1463=0)),1,IF(OR(AND(AZ1463&gt;=2,V1483&gt;BA1463),AND(V1483="ns",BA1463=0,AZ1463&gt;0),V1483=BA1463),0,1)))</f>
        <v>0</v>
      </c>
      <c r="BC1463">
        <f>COUNTIF(V1503:V1507,"NS")</f>
        <v>0</v>
      </c>
      <c r="BD1463">
        <f>SUM(V1503:V1507)</f>
        <v>0</v>
      </c>
      <c r="BE1463">
        <f>IF(COUNTA(V1502:V1507)=0,0,IF(OR(AND(V1502=0,BC1463&gt;0),AND(V1502="ns",BD1463&gt;0),AND(V1502="ns",BC1463=0,BD1463=0)),1,IF(OR(AND(BC1463&gt;=2,V1502&gt;BD1463),AND(V1502="ns",BD1463=0,BC1463&gt;0),V1502=BD1463),0,1)))</f>
        <v>0</v>
      </c>
      <c r="BF1463">
        <f>COUNTIF(V1511:V1513,"NS")</f>
        <v>0</v>
      </c>
      <c r="BG1463">
        <f>SUM(V1511:V1513)</f>
        <v>0</v>
      </c>
      <c r="BH1463">
        <f>IF(COUNTA(V1510:V1513)=0,0,IF(OR(AND(V1510=0,BF1463&gt;0),AND(V1510="ns",BG1463&gt;0),AND(V1510="ns",BF1463=0,BG1463=0)),1,IF(OR(AND(BF1463&gt;=2,V1510&gt;BG1463),AND(V1510="ns",BG1463=0,BF1463&gt;0),V1510=BG1463),0,1)))</f>
        <v>0</v>
      </c>
      <c r="BI1463">
        <f>COUNTIF(V1521:V1527,"NS")</f>
        <v>0</v>
      </c>
      <c r="BJ1463">
        <f>SUM(V1521:V1527)</f>
        <v>0</v>
      </c>
      <c r="BK1463">
        <f>IF(COUNTA(V1520:V1527)=0,0,IF(OR(AND(V1520=0,BI1463&gt;0),AND(V1520="ns",BJ1463&gt;0),AND(V1520="ns",BI1463=0,BJ1463=0)),1,IF(OR(AND(BI1463&gt;=2,V1520&gt;BJ1463),AND(V1520="ns",BJ1463=0,BI1463&gt;0),V1520=BJ1463),0,1)))</f>
        <v>0</v>
      </c>
      <c r="BL1463">
        <f>COUNTIF(V1529:V1533,"NS")</f>
        <v>0</v>
      </c>
      <c r="BM1463">
        <f>SUM(V1529:V1533)</f>
        <v>0</v>
      </c>
      <c r="BN1463">
        <f>IF(COUNTA(V1528:V1533)=0,0,IF(OR(AND(V1528=0,BL1463&gt;0),AND(V1528="ns",BM1463&gt;0),AND(V1528="ns",BL1463=0,BM1463=0)),1,IF(OR(AND(BL1463&gt;=2,V1528&gt;BM1463),AND(V1528="ns",BM1463=0,BL1463&gt;0),V1528=BM1463),0,1)))</f>
        <v>0</v>
      </c>
      <c r="BO1463">
        <f>COUNTIF(V1539:V1544,"NS")</f>
        <v>0</v>
      </c>
      <c r="BP1463">
        <f>SUM(V1539:V1544)</f>
        <v>0</v>
      </c>
      <c r="BQ1463">
        <f>IF(COUNTA(V1538:V1544)=0,0,IF(OR(AND(V1538=0,BO1463&gt;0),AND(V1538="ns",BP1463&gt;0),AND(V1538="ns",BO1463=0,BP1463=0)),1,IF(OR(AND(BO1463&gt;=2,V1538&gt;BP1463),AND(V1538="ns",BP1463=0,BO1463&gt;0),V1538=BP1463),0,1)))</f>
        <v>0</v>
      </c>
      <c r="BR1463">
        <f>COUNTIF(V1546:V1553,"NS")</f>
        <v>0</v>
      </c>
      <c r="BS1463">
        <f>SUM(V1546:V1553)</f>
        <v>0</v>
      </c>
      <c r="BT1463">
        <f>IF(COUNTA(V1545:V1553)=0,0,IF(OR(AND(V1545=0,BR1463&gt;0),AND(V1545="ns",BS1463&gt;0),AND(V1545="ns",BR1463=0,BS1463=0)),1,IF(OR(AND(BR1463&gt;=2,V1545&gt;BS1463),AND(V1545="ns",BS1463=0,BR1463&gt;0),V1545=BS1463),0,1)))</f>
        <v>0</v>
      </c>
      <c r="BU1463">
        <f>COUNTIF(V1558:V1563,"NS")</f>
        <v>0</v>
      </c>
      <c r="BV1463">
        <f>SUM(V1558:V1563)</f>
        <v>0</v>
      </c>
      <c r="BW1463">
        <f>IF(COUNTA(V1557:V1563)=0,0,IF(OR(AND(V1557=0,BU1463&gt;0),AND(V1557="ns",BV1463&gt;0),AND(V1557="ns",BU1463=0,BV1463=0)),1,IF(OR(AND(BU1463&gt;=2,V1557&gt;BV1463),AND(V1557="ns",BV1463=0,BU1463&gt;0),V1557=BV1463),0,1)))</f>
        <v>0</v>
      </c>
      <c r="BX1463">
        <f>COUNTIF(V1568:V1576,"NS")</f>
        <v>0</v>
      </c>
      <c r="BY1463">
        <f>SUM(V1568:V1576)</f>
        <v>0</v>
      </c>
      <c r="BZ1463">
        <f>IF(COUNTA(V1567:V1576)=0,0,IF(OR(AND(V1567=0,BX1463&gt;0),AND(V1567="ns",BY1463&gt;0),AND(V1567="ns",BX1463=0,BY1463=0)),1,IF(OR(AND(BX1463&gt;=2,V1567&gt;BY1463),AND(V1567="ns",BY1463=0,BX1463&gt;0),V1567=BY1463),0,1)))</f>
        <v>0</v>
      </c>
      <c r="CA1463">
        <f>COUNTIF(V1578:V1580,"NS")</f>
        <v>0</v>
      </c>
      <c r="CB1463">
        <f>SUM(V1578:V1580)</f>
        <v>0</v>
      </c>
      <c r="CC1463">
        <f>IF(COUNTA(V1577:V1580)=0,0,IF(OR(AND(V1577=0,CA1463&gt;0),AND(V1577="ns",CB1463&gt;0),AND(V1577="ns",CA1463=0,CB1463=0)),1,IF(OR(AND(CA1463&gt;=2,V1577&gt;CB1463),AND(V1577="ns",CB1463=0,CA1463&gt;0),V1577=CB1463),0,1)))</f>
        <v>0</v>
      </c>
      <c r="CD1463">
        <f>COUNTIF(V1589:V1595,"NS")</f>
        <v>0</v>
      </c>
      <c r="CE1463">
        <f>SUM(V1589:V1595)</f>
        <v>0</v>
      </c>
      <c r="CF1463">
        <f>IF(COUNTA(V1588:V1595)=0,0,IF(OR(AND(V1588=0,CD1463&gt;0),AND(V1588="ns",CE1463&gt;0),AND(V1588="ns",CD1463=0,CE1463=0)),1,IF(OR(AND(CD1463&gt;=2,V1588&gt;CE1463),AND(V1588="ns",CE1463=0,CD1463&gt;0),V1588=CE1463),0,1)))</f>
        <v>0</v>
      </c>
      <c r="CG1463">
        <f>COUNTIF(V1598:V1600,"NS")</f>
        <v>0</v>
      </c>
      <c r="CH1463">
        <f>SUM(V1598:V1600)</f>
        <v>0</v>
      </c>
      <c r="CI1463">
        <f>IF(COUNTA(V1597:V1600)=0,0,IF(OR(AND(V1597=0,CG1463&gt;0),AND(V1597="ns",CH1463&gt;0),AND(V1597="ns",CG1463=0,CH1463=0)),1,IF(OR(AND(CG1463&gt;=2,V1597&gt;CH1463),AND(V1597="ns",CH1463=0,CG1463&gt;0),V1597=CH1463),0,1)))</f>
        <v>0</v>
      </c>
      <c r="CJ1463">
        <f>COUNTIF(V1610:V1614,"NS")</f>
        <v>0</v>
      </c>
      <c r="CK1463">
        <f>SUM(V1610:V1614)</f>
        <v>0</v>
      </c>
      <c r="CL1463">
        <f>IF(COUNTA(V1609:V1614)=0,0,IF(OR(AND(V1609=0,CJ1463&gt;0),AND(V1609="ns",CK1463&gt;0),AND(V1609="ns",CJ1463=0,CK1463=0)),1,IF(OR(AND(CJ1463&gt;=2,V1609&gt;CK1463),AND(V1609="ns",CK1463=0,CJ1463&gt;0),V1609=CK1463),0,1)))</f>
        <v>0</v>
      </c>
    </row>
    <row r="1464" spans="1:90" ht="15" customHeight="1">
      <c r="A1464" s="103"/>
      <c r="B1464" s="57"/>
      <c r="C1464" s="1109"/>
      <c r="D1464" s="954"/>
      <c r="E1464" s="955"/>
      <c r="F1464" s="955"/>
      <c r="G1464" s="1119" t="s">
        <v>4813</v>
      </c>
      <c r="H1464" s="1120"/>
      <c r="I1464" s="177"/>
      <c r="J1464" s="1115" t="s">
        <v>4814</v>
      </c>
      <c r="K1464" s="1115"/>
      <c r="L1464" s="1115"/>
      <c r="M1464" s="1115"/>
      <c r="N1464" s="1115"/>
      <c r="O1464" s="1115"/>
      <c r="P1464" s="1115"/>
      <c r="Q1464" s="1115"/>
      <c r="R1464" s="1115"/>
      <c r="S1464" s="1115"/>
      <c r="T1464" s="1115"/>
      <c r="U1464" s="1116"/>
      <c r="V1464" s="100"/>
      <c r="W1464" s="100"/>
      <c r="X1464" s="100"/>
      <c r="Y1464" s="100"/>
      <c r="Z1464" s="100"/>
      <c r="AA1464" s="100"/>
      <c r="AB1464" s="100"/>
      <c r="AC1464" s="100"/>
      <c r="AD1464" s="100"/>
      <c r="AF1464"/>
      <c r="AK1464">
        <f t="shared" si="915"/>
        <v>0</v>
      </c>
      <c r="AL1464">
        <f t="shared" si="916"/>
        <v>0</v>
      </c>
      <c r="AM1464">
        <f t="shared" si="917"/>
        <v>0</v>
      </c>
      <c r="AN1464">
        <f t="shared" si="918"/>
        <v>0</v>
      </c>
      <c r="AO1464">
        <f t="shared" si="919"/>
        <v>0</v>
      </c>
      <c r="AP1464">
        <f t="shared" si="920"/>
        <v>0</v>
      </c>
      <c r="AQ1464">
        <f t="shared" si="921"/>
        <v>0</v>
      </c>
      <c r="AR1464">
        <f t="shared" si="922"/>
        <v>0</v>
      </c>
      <c r="AS1464">
        <f t="shared" si="923"/>
        <v>0</v>
      </c>
      <c r="AT1464">
        <f>COUNTIF(W1464:W1469,"NS")</f>
        <v>0</v>
      </c>
      <c r="AU1464">
        <f>SUM(W1464:W1469)</f>
        <v>0</v>
      </c>
      <c r="AV1464">
        <f>IF(COUNTA(W1463:W1469)=0,0,IF(OR(AND(W1463=0,AT1464&gt;0),AND(W1463="ns",AU1464&gt;0),AND(W1463="ns",AT1464=0,AU1464=0)),1,IF(OR(AND(AT1464&gt;=2,W1463&gt;AU1464),AND(W1463="ns",AU1464=0,AT1464&gt;0),W1463=AU1464),0,1)))</f>
        <v>0</v>
      </c>
      <c r="AW1464">
        <f>COUNTIF(W1475:W1479,"NS")</f>
        <v>0</v>
      </c>
      <c r="AX1464">
        <f>SUM(W1475:W1479)</f>
        <v>0</v>
      </c>
      <c r="AY1464">
        <f>IF(COUNTA(W1474:W1479)=0,0,IF(OR(AND(W1474=0,AW1464&gt;0),AND(W1474="ns",AX1464&gt;0),AND(W1474="ns",AW1464=0,AX1464=0)),1,IF(OR(AND(AW1464&gt;=2,W1474&gt;AX1464),AND(W1474="ns",AX1464=0,AW1464&gt;0),W1474=AX1464),0,1)))</f>
        <v>0</v>
      </c>
      <c r="AZ1464">
        <f>COUNTIF(W1484:W1501,"NS")</f>
        <v>0</v>
      </c>
      <c r="BA1464">
        <f>SUM(W1484:W1501)</f>
        <v>0</v>
      </c>
      <c r="BB1464">
        <f>IF(COUNTA(W1483:W1501)=0,0,IF(OR(AND(W1483=0,AZ1464&gt;0),AND(W1483="ns",BA1464&gt;0),AND(W1483="ns",AZ1464=0,BA1464=0)),1,IF(OR(AND(AZ1464&gt;=2,W1483&gt;BA1464),AND(W1483="ns",BA1464=0,AZ1464&gt;0),W1483=BA1464),0,1)))</f>
        <v>0</v>
      </c>
      <c r="BC1464">
        <f>COUNTIF(W1503:W1507,"NS")</f>
        <v>0</v>
      </c>
      <c r="BD1464">
        <f>SUM(W1503:W1507)</f>
        <v>0</v>
      </c>
      <c r="BE1464">
        <f>IF(COUNTA(W1502:W1507)=0,0,IF(OR(AND(W1502=0,BC1464&gt;0),AND(W1502="ns",BD1464&gt;0),AND(W1502="ns",BC1464=0,BD1464=0)),1,IF(OR(AND(BC1464&gt;=2,W1502&gt;BD1464),AND(W1502="ns",BD1464=0,BC1464&gt;0),W1502=BD1464),0,1)))</f>
        <v>0</v>
      </c>
      <c r="BF1464">
        <f>COUNTIF(W1511:W1513,"NS")</f>
        <v>0</v>
      </c>
      <c r="BG1464">
        <f>SUM(W1511:W1513)</f>
        <v>0</v>
      </c>
      <c r="BH1464">
        <f>IF(COUNTA(W1510:W1513)=0,0,IF(OR(AND(W1510=0,BF1464&gt;0),AND(W1510="ns",BG1464&gt;0),AND(W1510="ns",BF1464=0,BG1464=0)),1,IF(OR(AND(BF1464&gt;=2,W1510&gt;BG1464),AND(W1510="ns",BG1464=0,BF1464&gt;0),W1510=BG1464),0,1)))</f>
        <v>0</v>
      </c>
      <c r="BI1464">
        <f>COUNTIF(W1521:W1527,"NS")</f>
        <v>0</v>
      </c>
      <c r="BJ1464">
        <f>SUM(W1521:W1527)</f>
        <v>0</v>
      </c>
      <c r="BK1464">
        <f>IF(COUNTA(W1520:W1527)=0,0,IF(OR(AND(W1520=0,BI1464&gt;0),AND(W1520="ns",BJ1464&gt;0),AND(W1520="ns",BI1464=0,BJ1464=0)),1,IF(OR(AND(BI1464&gt;=2,W1520&gt;BJ1464),AND(W1520="ns",BJ1464=0,BI1464&gt;0),W1520=BJ1464),0,1)))</f>
        <v>0</v>
      </c>
      <c r="BL1464">
        <f>COUNTIF(W1529:W1533,"NS")</f>
        <v>0</v>
      </c>
      <c r="BM1464">
        <f>SUM(W1529:W1533)</f>
        <v>0</v>
      </c>
      <c r="BN1464">
        <f>IF(COUNTA(W1528:W1533)=0,0,IF(OR(AND(W1528=0,BL1464&gt;0),AND(W1528="ns",BM1464&gt;0),AND(W1528="ns",BL1464=0,BM1464=0)),1,IF(OR(AND(BL1464&gt;=2,W1528&gt;BM1464),AND(W1528="ns",BM1464=0,BL1464&gt;0),W1528=BM1464),0,1)))</f>
        <v>0</v>
      </c>
      <c r="BO1464">
        <f>COUNTIF(W1539:W1544,"NS")</f>
        <v>0</v>
      </c>
      <c r="BP1464">
        <f>SUM(W1539:W1544)</f>
        <v>0</v>
      </c>
      <c r="BQ1464">
        <f>IF(COUNTA(W1538:W1544)=0,0,IF(OR(AND(W1538=0,BO1464&gt;0),AND(W1538="ns",BP1464&gt;0),AND(W1538="ns",BO1464=0,BP1464=0)),1,IF(OR(AND(BO1464&gt;=2,W1538&gt;BP1464),AND(W1538="ns",BP1464=0,BO1464&gt;0),W1538=BP1464),0,1)))</f>
        <v>0</v>
      </c>
      <c r="BR1464">
        <f>COUNTIF(W1546:W1553,"NS")</f>
        <v>0</v>
      </c>
      <c r="BS1464">
        <f>SUM(W1546:W1553)</f>
        <v>0</v>
      </c>
      <c r="BT1464">
        <f>IF(COUNTA(W1545:W1553)=0,0,IF(OR(AND(W1545=0,BR1464&gt;0),AND(W1545="ns",BS1464&gt;0),AND(W1545="ns",BR1464=0,BS1464=0)),1,IF(OR(AND(BR1464&gt;=2,W1545&gt;BS1464),AND(W1545="ns",BS1464=0,BR1464&gt;0),W1545=BS1464),0,1)))</f>
        <v>0</v>
      </c>
      <c r="BU1464">
        <f>COUNTIF(W1558:W1563,"NS")</f>
        <v>0</v>
      </c>
      <c r="BV1464">
        <f>SUM(W1558:W1563)</f>
        <v>0</v>
      </c>
      <c r="BW1464">
        <f>IF(COUNTA(W1557:W1563)=0,0,IF(OR(AND(W1557=0,BU1464&gt;0),AND(W1557="ns",BV1464&gt;0),AND(W1557="ns",BU1464=0,BV1464=0)),1,IF(OR(AND(BU1464&gt;=2,W1557&gt;BV1464),AND(W1557="ns",BV1464=0,BU1464&gt;0),W1557=BV1464),0,1)))</f>
        <v>0</v>
      </c>
      <c r="BX1464">
        <f>COUNTIF(W1568:W1576,"NS")</f>
        <v>0</v>
      </c>
      <c r="BY1464">
        <f>SUM(W1568:W1576)</f>
        <v>0</v>
      </c>
      <c r="BZ1464">
        <f>IF(COUNTA(W1567:W1576)=0,0,IF(OR(AND(W1567=0,BX1464&gt;0),AND(W1567="ns",BY1464&gt;0),AND(W1567="ns",BX1464=0,BY1464=0)),1,IF(OR(AND(BX1464&gt;=2,W1567&gt;BY1464),AND(W1567="ns",BY1464=0,BX1464&gt;0),W1567=BY1464),0,1)))</f>
        <v>0</v>
      </c>
      <c r="CA1464">
        <f>COUNTIF(W1578:W1580,"NS")</f>
        <v>0</v>
      </c>
      <c r="CB1464">
        <f>SUM(W1578:W1580)</f>
        <v>0</v>
      </c>
      <c r="CC1464">
        <f>IF(COUNTA(W1577:W1580)=0,0,IF(OR(AND(W1577=0,CA1464&gt;0),AND(W1577="ns",CB1464&gt;0),AND(W1577="ns",CA1464=0,CB1464=0)),1,IF(OR(AND(CA1464&gt;=2,W1577&gt;CB1464),AND(W1577="ns",CB1464=0,CA1464&gt;0),W1577=CB1464),0,1)))</f>
        <v>0</v>
      </c>
      <c r="CD1464">
        <f>COUNTIF(W1589:W1595,"NS")</f>
        <v>0</v>
      </c>
      <c r="CE1464">
        <f>SUM(W1589:W1595)</f>
        <v>0</v>
      </c>
      <c r="CF1464">
        <f>IF(COUNTA(W1588:W1595)=0,0,IF(OR(AND(W1588=0,CD1464&gt;0),AND(W1588="ns",CE1464&gt;0),AND(W1588="ns",CD1464=0,CE1464=0)),1,IF(OR(AND(CD1464&gt;=2,W1588&gt;CE1464),AND(W1588="ns",CE1464=0,CD1464&gt;0),W1588=CE1464),0,1)))</f>
        <v>0</v>
      </c>
      <c r="CG1464">
        <f>COUNTIF(W1598:W1600,"NS")</f>
        <v>0</v>
      </c>
      <c r="CH1464">
        <f>SUM(W1598:W1600)</f>
        <v>0</v>
      </c>
      <c r="CI1464">
        <f>IF(COUNTA(W1597:W1600)=0,0,IF(OR(AND(W1597=0,CG1464&gt;0),AND(W1597="ns",CH1464&gt;0),AND(W1597="ns",CG1464=0,CH1464=0)),1,IF(OR(AND(CG1464&gt;=2,W1597&gt;CH1464),AND(W1597="ns",CH1464=0,CG1464&gt;0),W1597=CH1464),0,1)))</f>
        <v>0</v>
      </c>
      <c r="CJ1464">
        <f>COUNTIF(W1610:W1614,"NS")</f>
        <v>0</v>
      </c>
      <c r="CK1464">
        <f>SUM(W1610:W1614)</f>
        <v>0</v>
      </c>
      <c r="CL1464">
        <f>IF(COUNTA(W1609:W1614)=0,0,IF(OR(AND(W1609=0,CJ1464&gt;0),AND(W1609="ns",CK1464&gt;0),AND(W1609="ns",CJ1464=0,CK1464=0)),1,IF(OR(AND(CJ1464&gt;=2,W1609&gt;CK1464),AND(W1609="ns",CK1464=0,CJ1464&gt;0),W1609=CK1464),0,1)))</f>
        <v>0</v>
      </c>
    </row>
    <row r="1465" spans="1:90" ht="15" customHeight="1">
      <c r="A1465" s="103"/>
      <c r="B1465" s="57"/>
      <c r="C1465" s="1109"/>
      <c r="D1465" s="954"/>
      <c r="E1465" s="955"/>
      <c r="F1465" s="955"/>
      <c r="G1465" s="1119" t="s">
        <v>4815</v>
      </c>
      <c r="H1465" s="1120"/>
      <c r="I1465" s="178"/>
      <c r="J1465" s="1111" t="s">
        <v>4816</v>
      </c>
      <c r="K1465" s="1111"/>
      <c r="L1465" s="1111"/>
      <c r="M1465" s="1111"/>
      <c r="N1465" s="1111"/>
      <c r="O1465" s="1111"/>
      <c r="P1465" s="1111"/>
      <c r="Q1465" s="1111"/>
      <c r="R1465" s="1111"/>
      <c r="S1465" s="1111"/>
      <c r="T1465" s="1111"/>
      <c r="U1465" s="1112"/>
      <c r="V1465" s="100"/>
      <c r="W1465" s="100"/>
      <c r="X1465" s="100"/>
      <c r="Y1465" s="100"/>
      <c r="Z1465" s="100"/>
      <c r="AA1465" s="100"/>
      <c r="AB1465" s="100"/>
      <c r="AC1465" s="100"/>
      <c r="AD1465" s="100"/>
      <c r="AF1465"/>
      <c r="AK1465">
        <f t="shared" si="915"/>
        <v>0</v>
      </c>
      <c r="AL1465">
        <f t="shared" si="916"/>
        <v>0</v>
      </c>
      <c r="AM1465">
        <f t="shared" si="917"/>
        <v>0</v>
      </c>
      <c r="AN1465">
        <f t="shared" si="918"/>
        <v>0</v>
      </c>
      <c r="AO1465">
        <f t="shared" si="919"/>
        <v>0</v>
      </c>
      <c r="AP1465">
        <f t="shared" si="920"/>
        <v>0</v>
      </c>
      <c r="AQ1465">
        <f t="shared" si="921"/>
        <v>0</v>
      </c>
      <c r="AR1465">
        <f t="shared" si="922"/>
        <v>0</v>
      </c>
      <c r="AS1465">
        <f t="shared" si="923"/>
        <v>0</v>
      </c>
      <c r="AT1465">
        <f>COUNTIF(X1464:X1469,"NS")</f>
        <v>0</v>
      </c>
      <c r="AU1465">
        <f>SUM(X1464:X1469)</f>
        <v>0</v>
      </c>
      <c r="AV1465">
        <f>IF(COUNTA(X1463:X1469)=0,0,IF(OR(AND(X1463=0,AT1465&gt;0),AND(X1463="ns",AU1465&gt;0),AND(X1463="ns",AT1465=0,AU1465=0)),1,IF(OR(AND(AT1465&gt;=2,X1463&gt;AU1465),AND(X1463="ns",AU1465=0,AT1465&gt;0),X1463=AU1465),0,1)))</f>
        <v>0</v>
      </c>
      <c r="AW1465">
        <f>COUNTIF(X1475:X1479,"NS")</f>
        <v>0</v>
      </c>
      <c r="AX1465">
        <f>SUM(X1475:X1479)</f>
        <v>0</v>
      </c>
      <c r="AY1465">
        <f>IF(COUNTA(X1474:X1479)=0,0,IF(OR(AND(X1474=0,AW1465&gt;0),AND(X1474="ns",AX1465&gt;0),AND(X1474="ns",AW1465=0,AX1465=0)),1,IF(OR(AND(AW1465&gt;=2,X1474&gt;AX1465),AND(X1474="ns",AX1465=0,AW1465&gt;0),X1474=AX1465),0,1)))</f>
        <v>0</v>
      </c>
      <c r="AZ1465">
        <f>COUNTIF(X1484:X1501,"NS")</f>
        <v>0</v>
      </c>
      <c r="BA1465">
        <f>SUM(X1484:X1501)</f>
        <v>0</v>
      </c>
      <c r="BB1465">
        <f>IF(COUNTA(X1483:X1501)=0,0,IF(OR(AND(X1483=0,AZ1465&gt;0),AND(X1483="ns",BA1465&gt;0),AND(X1483="ns",AZ1465=0,BA1465=0)),1,IF(OR(AND(AZ1465&gt;=2,X1483&gt;BA1465),AND(X1483="ns",BA1465=0,AZ1465&gt;0),X1483=BA1465),0,1)))</f>
        <v>0</v>
      </c>
      <c r="BC1465">
        <f>COUNTIF(X1503:X1507,"NS")</f>
        <v>0</v>
      </c>
      <c r="BD1465">
        <f>SUM(X1503:X1507)</f>
        <v>0</v>
      </c>
      <c r="BE1465">
        <f>IF(COUNTA(X1502:X1507)=0,0,IF(OR(AND(X1502=0,BC1465&gt;0),AND(X1502="ns",BD1465&gt;0),AND(X1502="ns",BC1465=0,BD1465=0)),1,IF(OR(AND(BC1465&gt;=2,X1502&gt;BD1465),AND(X1502="ns",BD1465=0,BC1465&gt;0),X1502=BD1465),0,1)))</f>
        <v>0</v>
      </c>
      <c r="BF1465">
        <f>COUNTIF(X1511:X1513,"NS")</f>
        <v>0</v>
      </c>
      <c r="BG1465">
        <f>SUM(X1511:X1513)</f>
        <v>0</v>
      </c>
      <c r="BH1465">
        <f>IF(COUNTA(X1510:X1513)=0,0,IF(OR(AND(X1510=0,BF1465&gt;0),AND(X1510="ns",BG1465&gt;0),AND(X1510="ns",BF1465=0,BG1465=0)),1,IF(OR(AND(BF1465&gt;=2,X1510&gt;BG1465),AND(X1510="ns",BG1465=0,BF1465&gt;0),X1510=BG1465),0,1)))</f>
        <v>0</v>
      </c>
      <c r="BI1465">
        <f>COUNTIF(X1521:X1527,"NS")</f>
        <v>0</v>
      </c>
      <c r="BJ1465">
        <f>SUM(X1521:X1527)</f>
        <v>0</v>
      </c>
      <c r="BK1465">
        <f>IF(COUNTA(X1520:X1527)=0,0,IF(OR(AND(X1520=0,BI1465&gt;0),AND(X1520="ns",BJ1465&gt;0),AND(X1520="ns",BI1465=0,BJ1465=0)),1,IF(OR(AND(BI1465&gt;=2,X1520&gt;BJ1465),AND(X1520="ns",BJ1465=0,BI1465&gt;0),X1520=BJ1465),0,1)))</f>
        <v>0</v>
      </c>
      <c r="BL1465">
        <f>COUNTIF(X1529:X1533,"NS")</f>
        <v>0</v>
      </c>
      <c r="BM1465">
        <f>SUM(X1529:X1533)</f>
        <v>0</v>
      </c>
      <c r="BN1465">
        <f>IF(COUNTA(X1528:X1533)=0,0,IF(OR(AND(X1528=0,BL1465&gt;0),AND(X1528="ns",BM1465&gt;0),AND(X1528="ns",BL1465=0,BM1465=0)),1,IF(OR(AND(BL1465&gt;=2,X1528&gt;BM1465),AND(X1528="ns",BM1465=0,BL1465&gt;0),X1528=BM1465),0,1)))</f>
        <v>0</v>
      </c>
      <c r="BO1465">
        <f>COUNTIF(X1539:X1544,"NS")</f>
        <v>0</v>
      </c>
      <c r="BP1465">
        <f>SUM(X1539:X1544)</f>
        <v>0</v>
      </c>
      <c r="BQ1465">
        <f>IF(COUNTA(X1538:X1544)=0,0,IF(OR(AND(X1538=0,BO1465&gt;0),AND(X1538="ns",BP1465&gt;0),AND(X1538="ns",BO1465=0,BP1465=0)),1,IF(OR(AND(BO1465&gt;=2,X1538&gt;BP1465),AND(X1538="ns",BP1465=0,BO1465&gt;0),X1538=BP1465),0,1)))</f>
        <v>0</v>
      </c>
      <c r="BR1465">
        <f>COUNTIF(X1546:X1553,"NS")</f>
        <v>0</v>
      </c>
      <c r="BS1465">
        <f>SUM(X1546:X1553)</f>
        <v>0</v>
      </c>
      <c r="BT1465">
        <f>IF(COUNTA(X1545:X1553)=0,0,IF(OR(AND(X1545=0,BR1465&gt;0),AND(X1545="ns",BS1465&gt;0),AND(X1545="ns",BR1465=0,BS1465=0)),1,IF(OR(AND(BR1465&gt;=2,X1545&gt;BS1465),AND(X1545="ns",BS1465=0,BR1465&gt;0),X1545=BS1465),0,1)))</f>
        <v>0</v>
      </c>
      <c r="BU1465">
        <f>COUNTIF(X1558:X1563,"NS")</f>
        <v>0</v>
      </c>
      <c r="BV1465">
        <f>SUM(X1558:X1563)</f>
        <v>0</v>
      </c>
      <c r="BW1465">
        <f>IF(COUNTA(X1557:X1563)=0,0,IF(OR(AND(X1557=0,BU1465&gt;0),AND(X1557="ns",BV1465&gt;0),AND(X1557="ns",BU1465=0,BV1465=0)),1,IF(OR(AND(BU1465&gt;=2,X1557&gt;BV1465),AND(X1557="ns",BV1465=0,BU1465&gt;0),X1557=BV1465),0,1)))</f>
        <v>0</v>
      </c>
      <c r="BX1465">
        <f>COUNTIF(X1568:X1576,"NS")</f>
        <v>0</v>
      </c>
      <c r="BY1465">
        <f>SUM(X1568:X1576)</f>
        <v>0</v>
      </c>
      <c r="BZ1465">
        <f>IF(COUNTA(X1567:X1576)=0,0,IF(OR(AND(X1567=0,BX1465&gt;0),AND(X1567="ns",BY1465&gt;0),AND(X1567="ns",BX1465=0,BY1465=0)),1,IF(OR(AND(BX1465&gt;=2,X1567&gt;BY1465),AND(X1567="ns",BY1465=0,BX1465&gt;0),X1567=BY1465),0,1)))</f>
        <v>0</v>
      </c>
      <c r="CA1465">
        <f>COUNTIF(X1578:X1580,"NS")</f>
        <v>0</v>
      </c>
      <c r="CB1465">
        <f>SUM(X1578:X1580)</f>
        <v>0</v>
      </c>
      <c r="CC1465">
        <f>IF(COUNTA(X1577:X1580)=0,0,IF(OR(AND(X1577=0,CA1465&gt;0),AND(X1577="ns",CB1465&gt;0),AND(X1577="ns",CA1465=0,CB1465=0)),1,IF(OR(AND(CA1465&gt;=2,X1577&gt;CB1465),AND(X1577="ns",CB1465=0,CA1465&gt;0),X1577=CB1465),0,1)))</f>
        <v>0</v>
      </c>
      <c r="CD1465">
        <f>COUNTIF(X1589:X1595,"NS")</f>
        <v>0</v>
      </c>
      <c r="CE1465">
        <f>SUM(X1589:X1595)</f>
        <v>0</v>
      </c>
      <c r="CF1465">
        <f>IF(COUNTA(X1588:X1595)=0,0,IF(OR(AND(X1588=0,CD1465&gt;0),AND(X1588="ns",CE1465&gt;0),AND(X1588="ns",CD1465=0,CE1465=0)),1,IF(OR(AND(CD1465&gt;=2,X1588&gt;CE1465),AND(X1588="ns",CE1465=0,CD1465&gt;0),X1588=CE1465),0,1)))</f>
        <v>0</v>
      </c>
      <c r="CG1465">
        <f>COUNTIF(X1598:X1600,"NS")</f>
        <v>0</v>
      </c>
      <c r="CH1465">
        <f>SUM(X1598:X1600)</f>
        <v>0</v>
      </c>
      <c r="CI1465">
        <f>IF(COUNTA(X1597:X1600)=0,0,IF(OR(AND(X1597=0,CG1465&gt;0),AND(X1597="ns",CH1465&gt;0),AND(X1597="ns",CG1465=0,CH1465=0)),1,IF(OR(AND(CG1465&gt;=2,X1597&gt;CH1465),AND(X1597="ns",CH1465=0,CG1465&gt;0),X1597=CH1465),0,1)))</f>
        <v>0</v>
      </c>
      <c r="CJ1465">
        <f>COUNTIF(X1610:X1614,"NS")</f>
        <v>0</v>
      </c>
      <c r="CK1465">
        <f>SUM(X1610:X1614)</f>
        <v>0</v>
      </c>
      <c r="CL1465">
        <f>IF(COUNTA(X1609:X1614)=0,0,IF(OR(AND(X1609=0,CJ1465&gt;0),AND(X1609="ns",CK1465&gt;0),AND(X1609="ns",CJ1465=0,CK1465=0)),1,IF(OR(AND(CJ1465&gt;=2,X1609&gt;CK1465),AND(X1609="ns",CK1465=0,CJ1465&gt;0),X1609=CK1465),0,1)))</f>
        <v>0</v>
      </c>
    </row>
    <row r="1466" spans="1:90" ht="15" customHeight="1">
      <c r="A1466" s="103"/>
      <c r="B1466" s="57"/>
      <c r="C1466" s="1109"/>
      <c r="D1466" s="954"/>
      <c r="E1466" s="955"/>
      <c r="F1466" s="955"/>
      <c r="G1466" s="1119" t="s">
        <v>4817</v>
      </c>
      <c r="H1466" s="1120"/>
      <c r="I1466" s="178"/>
      <c r="J1466" s="1111" t="s">
        <v>4818</v>
      </c>
      <c r="K1466" s="1111"/>
      <c r="L1466" s="1111"/>
      <c r="M1466" s="1111"/>
      <c r="N1466" s="1111"/>
      <c r="O1466" s="1111"/>
      <c r="P1466" s="1111"/>
      <c r="Q1466" s="1111"/>
      <c r="R1466" s="1111"/>
      <c r="S1466" s="1111"/>
      <c r="T1466" s="1111"/>
      <c r="U1466" s="1112"/>
      <c r="V1466" s="100"/>
      <c r="W1466" s="100"/>
      <c r="X1466" s="100"/>
      <c r="Y1466" s="100"/>
      <c r="Z1466" s="100"/>
      <c r="AA1466" s="100"/>
      <c r="AB1466" s="100"/>
      <c r="AC1466" s="100"/>
      <c r="AD1466" s="100"/>
      <c r="AF1466"/>
      <c r="AK1466">
        <f t="shared" si="915"/>
        <v>0</v>
      </c>
      <c r="AL1466">
        <f t="shared" si="916"/>
        <v>0</v>
      </c>
      <c r="AM1466">
        <f t="shared" si="917"/>
        <v>0</v>
      </c>
      <c r="AN1466">
        <f t="shared" si="918"/>
        <v>0</v>
      </c>
      <c r="AO1466">
        <f t="shared" si="919"/>
        <v>0</v>
      </c>
      <c r="AP1466">
        <f t="shared" si="920"/>
        <v>0</v>
      </c>
      <c r="AQ1466">
        <f t="shared" si="921"/>
        <v>0</v>
      </c>
      <c r="AR1466">
        <f t="shared" si="922"/>
        <v>0</v>
      </c>
      <c r="AS1466">
        <f t="shared" si="923"/>
        <v>0</v>
      </c>
      <c r="AT1466">
        <f>COUNTIF(Y1464:Y1469,"NS")</f>
        <v>0</v>
      </c>
      <c r="AU1466">
        <f>SUM(Y1464:Y1469)</f>
        <v>0</v>
      </c>
      <c r="AV1466">
        <f>IF(COUNTA(Y1463:Y1469)=0,0,IF(OR(AND(Y1463=0,AT1466&gt;0),AND(Y1463="ns",AU1466&gt;0),AND(Y1463="ns",AT1466=0,AU1466=0)),1,IF(OR(AND(AT1466&gt;=2,Y1463&gt;AU1466),AND(Y1463="ns",AU1466=0,AT1466&gt;0),Y1463=AU1466),0,1)))</f>
        <v>0</v>
      </c>
      <c r="AW1466">
        <f>COUNTIF(Y1475:Y1479,"NS")</f>
        <v>0</v>
      </c>
      <c r="AX1466">
        <f>SUM(Y1475:Y1479)</f>
        <v>0</v>
      </c>
      <c r="AY1466">
        <f>IF(COUNTA(Y1474:Y1479)=0,0,IF(OR(AND(Y1474=0,AW1466&gt;0),AND(Y1474="ns",AX1466&gt;0),AND(Y1474="ns",AW1466=0,AX1466=0)),1,IF(OR(AND(AW1466&gt;=2,Y1474&gt;AX1466),AND(Y1474="ns",AX1466=0,AW1466&gt;0),Y1474=AX1466),0,1)))</f>
        <v>0</v>
      </c>
      <c r="AZ1466">
        <f>COUNTIF(Y1484:Y1501,"NS")</f>
        <v>0</v>
      </c>
      <c r="BA1466">
        <f>SUM(Y1484:Y1501)</f>
        <v>0</v>
      </c>
      <c r="BB1466">
        <f>IF(COUNTA(Y1483:Y1501)=0,0,IF(OR(AND(Y1483=0,AZ1466&gt;0),AND(Y1483="ns",BA1466&gt;0),AND(Y1483="ns",AZ1466=0,BA1466=0)),1,IF(OR(AND(AZ1466&gt;=2,Y1483&gt;BA1466),AND(Y1483="ns",BA1466=0,AZ1466&gt;0),Y1483=BA1466),0,1)))</f>
        <v>0</v>
      </c>
      <c r="BC1466">
        <f>COUNTIF(Y1503:Y1507,"NS")</f>
        <v>0</v>
      </c>
      <c r="BD1466">
        <f>SUM(Y1503:Y1507)</f>
        <v>0</v>
      </c>
      <c r="BE1466">
        <f>IF(COUNTA(Y1502:Y1507)=0,0,IF(OR(AND(Y1502=0,BC1466&gt;0),AND(Y1502="ns",BD1466&gt;0),AND(Y1502="ns",BC1466=0,BD1466=0)),1,IF(OR(AND(BC1466&gt;=2,Y1502&gt;BD1466),AND(Y1502="ns",BD1466=0,BC1466&gt;0),Y1502=BD1466),0,1)))</f>
        <v>0</v>
      </c>
      <c r="BF1466">
        <f>COUNTIF(Y1511:Y1513,"NS")</f>
        <v>0</v>
      </c>
      <c r="BG1466">
        <f>SUM(Y1511:Y1513)</f>
        <v>0</v>
      </c>
      <c r="BH1466">
        <f>IF(COUNTA(Y1510:Y1513)=0,0,IF(OR(AND(Y1510=0,BF1466&gt;0),AND(Y1510="ns",BG1466&gt;0),AND(Y1510="ns",BF1466=0,BG1466=0)),1,IF(OR(AND(BF1466&gt;=2,Y1510&gt;BG1466),AND(Y1510="ns",BG1466=0,BF1466&gt;0),Y1510=BG1466),0,1)))</f>
        <v>0</v>
      </c>
      <c r="BI1466">
        <f>COUNTIF(Y1521:Y1527,"NS")</f>
        <v>0</v>
      </c>
      <c r="BJ1466">
        <f>SUM(Y1521:Y1527)</f>
        <v>0</v>
      </c>
      <c r="BK1466">
        <f>IF(COUNTA(Y1520:Y1527)=0,0,IF(OR(AND(Y1520=0,BI1466&gt;0),AND(Y1520="ns",BJ1466&gt;0),AND(Y1520="ns",BI1466=0,BJ1466=0)),1,IF(OR(AND(BI1466&gt;=2,Y1520&gt;BJ1466),AND(Y1520="ns",BJ1466=0,BI1466&gt;0),Y1520=BJ1466),0,1)))</f>
        <v>0</v>
      </c>
      <c r="BL1466">
        <f>COUNTIF(Y1529:Y1533,"NS")</f>
        <v>0</v>
      </c>
      <c r="BM1466">
        <f>SUM(Y1529:Y1533)</f>
        <v>0</v>
      </c>
      <c r="BN1466">
        <f>IF(COUNTA(Y1528:Y1533)=0,0,IF(OR(AND(Y1528=0,BL1466&gt;0),AND(Y1528="ns",BM1466&gt;0),AND(Y1528="ns",BL1466=0,BM1466=0)),1,IF(OR(AND(BL1466&gt;=2,Y1528&gt;BM1466),AND(Y1528="ns",BM1466=0,BL1466&gt;0),Y1528=BM1466),0,1)))</f>
        <v>0</v>
      </c>
      <c r="BO1466">
        <f>COUNTIF(Y1539:Y1544,"NS")</f>
        <v>0</v>
      </c>
      <c r="BP1466">
        <f>SUM(Y1539:Y1544)</f>
        <v>0</v>
      </c>
      <c r="BQ1466">
        <f>IF(COUNTA(Y1538:Y1544)=0,0,IF(OR(AND(Y1538=0,BO1466&gt;0),AND(Y1538="ns",BP1466&gt;0),AND(Y1538="ns",BO1466=0,BP1466=0)),1,IF(OR(AND(BO1466&gt;=2,Y1538&gt;BP1466),AND(Y1538="ns",BP1466=0,BO1466&gt;0),Y1538=BP1466),0,1)))</f>
        <v>0</v>
      </c>
      <c r="BR1466">
        <f>COUNTIF(Y1546:Y1553,"NS")</f>
        <v>0</v>
      </c>
      <c r="BS1466">
        <f>SUM(Y1546:Y1553)</f>
        <v>0</v>
      </c>
      <c r="BT1466">
        <f>IF(COUNTA(Y1545:Y1553)=0,0,IF(OR(AND(Y1545=0,BR1466&gt;0),AND(Y1545="ns",BS1466&gt;0),AND(Y1545="ns",BR1466=0,BS1466=0)),1,IF(OR(AND(BR1466&gt;=2,Y1545&gt;BS1466),AND(Y1545="ns",BS1466=0,BR1466&gt;0),Y1545=BS1466),0,1)))</f>
        <v>0</v>
      </c>
      <c r="BU1466">
        <f>COUNTIF(Y1558:Y1563,"NS")</f>
        <v>0</v>
      </c>
      <c r="BV1466">
        <f>SUM(Y1558:Y1563)</f>
        <v>0</v>
      </c>
      <c r="BW1466">
        <f>IF(COUNTA(Y1557:Y1563)=0,0,IF(OR(AND(Y1557=0,BU1466&gt;0),AND(Y1557="ns",BV1466&gt;0),AND(Y1557="ns",BU1466=0,BV1466=0)),1,IF(OR(AND(BU1466&gt;=2,Y1557&gt;BV1466),AND(Y1557="ns",BV1466=0,BU1466&gt;0),Y1557=BV1466),0,1)))</f>
        <v>0</v>
      </c>
      <c r="BX1466">
        <f>COUNTIF(Y1568:Y1576,"NS")</f>
        <v>0</v>
      </c>
      <c r="BY1466">
        <f>SUM(Y1568:Y1576)</f>
        <v>0</v>
      </c>
      <c r="BZ1466">
        <f>IF(COUNTA(Y1567:Y1576)=0,0,IF(OR(AND(Y1567=0,BX1466&gt;0),AND(Y1567="ns",BY1466&gt;0),AND(Y1567="ns",BX1466=0,BY1466=0)),1,IF(OR(AND(BX1466&gt;=2,Y1567&gt;BY1466),AND(Y1567="ns",BY1466=0,BX1466&gt;0),Y1567=BY1466),0,1)))</f>
        <v>0</v>
      </c>
      <c r="CA1466">
        <f>COUNTIF(Y1578:Y1580,"NS")</f>
        <v>0</v>
      </c>
      <c r="CB1466">
        <f>SUM(Y1578:Y1580)</f>
        <v>0</v>
      </c>
      <c r="CC1466">
        <f>IF(COUNTA(Y1577:Y1580)=0,0,IF(OR(AND(Y1577=0,CA1466&gt;0),AND(Y1577="ns",CB1466&gt;0),AND(Y1577="ns",CA1466=0,CB1466=0)),1,IF(OR(AND(CA1466&gt;=2,Y1577&gt;CB1466),AND(Y1577="ns",CB1466=0,CA1466&gt;0),Y1577=CB1466),0,1)))</f>
        <v>0</v>
      </c>
      <c r="CD1466">
        <f>COUNTIF(Y1589:Y1595,"NS")</f>
        <v>0</v>
      </c>
      <c r="CE1466">
        <f>SUM(Y1589:Y1595)</f>
        <v>0</v>
      </c>
      <c r="CF1466">
        <f>IF(COUNTA(Y1588:Y1595)=0,0,IF(OR(AND(Y1588=0,CD1466&gt;0),AND(Y1588="ns",CE1466&gt;0),AND(Y1588="ns",CD1466=0,CE1466=0)),1,IF(OR(AND(CD1466&gt;=2,Y1588&gt;CE1466),AND(Y1588="ns",CE1466=0,CD1466&gt;0),Y1588=CE1466),0,1)))</f>
        <v>0</v>
      </c>
      <c r="CG1466">
        <f>COUNTIF(Y1598:Y1600,"NS")</f>
        <v>0</v>
      </c>
      <c r="CH1466">
        <f>SUM(Y1598:Y1600)</f>
        <v>0</v>
      </c>
      <c r="CI1466">
        <f>IF(COUNTA(Y1597:Y1600)=0,0,IF(OR(AND(Y1597=0,CG1466&gt;0),AND(Y1597="ns",CH1466&gt;0),AND(Y1597="ns",CG1466=0,CH1466=0)),1,IF(OR(AND(CG1466&gt;=2,Y1597&gt;CH1466),AND(Y1597="ns",CH1466=0,CG1466&gt;0),Y1597=CH1466),0,1)))</f>
        <v>0</v>
      </c>
      <c r="CJ1466">
        <f>COUNTIF(Y1610:Y1614,"NS")</f>
        <v>0</v>
      </c>
      <c r="CK1466">
        <f>SUM(Y1610:Y1614)</f>
        <v>0</v>
      </c>
      <c r="CL1466">
        <f>IF(COUNTA(Y1609:Y1614)=0,0,IF(OR(AND(Y1609=0,CJ1466&gt;0),AND(Y1609="ns",CK1466&gt;0),AND(Y1609="ns",CJ1466=0,CK1466=0)),1,IF(OR(AND(CJ1466&gt;=2,Y1609&gt;CK1466),AND(Y1609="ns",CK1466=0,CJ1466&gt;0),Y1609=CK1466),0,1)))</f>
        <v>0</v>
      </c>
    </row>
    <row r="1467" spans="1:90" ht="15" customHeight="1">
      <c r="A1467" s="103"/>
      <c r="B1467" s="57"/>
      <c r="C1467" s="1109"/>
      <c r="D1467" s="954"/>
      <c r="E1467" s="955"/>
      <c r="F1467" s="955"/>
      <c r="G1467" s="1119" t="s">
        <v>4819</v>
      </c>
      <c r="H1467" s="1120"/>
      <c r="I1467" s="178"/>
      <c r="J1467" s="1111" t="s">
        <v>4820</v>
      </c>
      <c r="K1467" s="1111"/>
      <c r="L1467" s="1111"/>
      <c r="M1467" s="1111"/>
      <c r="N1467" s="1111"/>
      <c r="O1467" s="1111"/>
      <c r="P1467" s="1111"/>
      <c r="Q1467" s="1111"/>
      <c r="R1467" s="1111"/>
      <c r="S1467" s="1111"/>
      <c r="T1467" s="1111"/>
      <c r="U1467" s="1112"/>
      <c r="V1467" s="100"/>
      <c r="W1467" s="100"/>
      <c r="X1467" s="100"/>
      <c r="Y1467" s="100"/>
      <c r="Z1467" s="100"/>
      <c r="AA1467" s="100"/>
      <c r="AB1467" s="100"/>
      <c r="AC1467" s="100"/>
      <c r="AD1467" s="100"/>
      <c r="AF1467"/>
      <c r="AK1467">
        <f t="shared" si="915"/>
        <v>0</v>
      </c>
      <c r="AL1467">
        <f t="shared" si="916"/>
        <v>0</v>
      </c>
      <c r="AM1467">
        <f t="shared" si="917"/>
        <v>0</v>
      </c>
      <c r="AN1467">
        <f t="shared" si="918"/>
        <v>0</v>
      </c>
      <c r="AO1467">
        <f t="shared" si="919"/>
        <v>0</v>
      </c>
      <c r="AP1467">
        <f t="shared" si="920"/>
        <v>0</v>
      </c>
      <c r="AQ1467">
        <f t="shared" si="921"/>
        <v>0</v>
      </c>
      <c r="AR1467">
        <f t="shared" si="922"/>
        <v>0</v>
      </c>
      <c r="AS1467">
        <f t="shared" si="923"/>
        <v>0</v>
      </c>
      <c r="AT1467">
        <f>COUNTIF(Z1464:Z1469,"NS")</f>
        <v>0</v>
      </c>
      <c r="AU1467">
        <f>SUM(Z1464:Z1469)</f>
        <v>0</v>
      </c>
      <c r="AV1467">
        <f>IF(COUNTA(Z1463:Z1469)=0,0,IF(OR(AND(Z1463=0,AT1467&gt;0),AND(Z1463="ns",AU1467&gt;0),AND(Z1463="ns",AT1467=0,AU1467=0)),1,IF(OR(AND(AT1467&gt;=2,Z1463&gt;AU1467),AND(Z1463="ns",AU1467=0,AT1467&gt;0),Z1463=AU1467),0,1)))</f>
        <v>0</v>
      </c>
      <c r="AW1467">
        <f>COUNTIF(Z1475:Z1479,"NS")</f>
        <v>0</v>
      </c>
      <c r="AX1467">
        <f>SUM(Z1475:Z1479)</f>
        <v>0</v>
      </c>
      <c r="AY1467">
        <f>IF(COUNTA(Z1474:Z1479)=0,0,IF(OR(AND(Z1474=0,AW1467&gt;0),AND(Z1474="ns",AX1467&gt;0),AND(Z1474="ns",AW1467=0,AX1467=0)),1,IF(OR(AND(AW1467&gt;=2,Z1474&gt;AX1467),AND(Z1474="ns",AX1467=0,AW1467&gt;0),Z1474=AX1467),0,1)))</f>
        <v>0</v>
      </c>
      <c r="AZ1467">
        <f>COUNTIF(Z1484:Z1501,"NS")</f>
        <v>0</v>
      </c>
      <c r="BA1467">
        <f>SUM(Z1484:Z1501)</f>
        <v>0</v>
      </c>
      <c r="BB1467">
        <f>IF(COUNTA(Z1483:Z1501)=0,0,IF(OR(AND(Z1483=0,AZ1467&gt;0),AND(Z1483="ns",BA1467&gt;0),AND(Z1483="ns",AZ1467=0,BA1467=0)),1,IF(OR(AND(AZ1467&gt;=2,Z1483&gt;BA1467),AND(Z1483="ns",BA1467=0,AZ1467&gt;0),Z1483=BA1467),0,1)))</f>
        <v>0</v>
      </c>
      <c r="BC1467">
        <f>COUNTIF(Z1503:Z1507,"NS")</f>
        <v>0</v>
      </c>
      <c r="BD1467">
        <f>SUM(Z1503:Z1507)</f>
        <v>0</v>
      </c>
      <c r="BE1467">
        <f>IF(COUNTA(Z1502:Z1507)=0,0,IF(OR(AND(Z1502=0,BC1467&gt;0),AND(Z1502="ns",BD1467&gt;0),AND(Z1502="ns",BC1467=0,BD1467=0)),1,IF(OR(AND(BC1467&gt;=2,Z1502&gt;BD1467),AND(Z1502="ns",BD1467=0,BC1467&gt;0),Z1502=BD1467),0,1)))</f>
        <v>0</v>
      </c>
      <c r="BF1467">
        <f>COUNTIF(Z1511:Z1513,"NS")</f>
        <v>0</v>
      </c>
      <c r="BG1467">
        <f>SUM(Z1511:Z1513)</f>
        <v>0</v>
      </c>
      <c r="BH1467">
        <f>IF(COUNTA(Z1510:Z1513)=0,0,IF(OR(AND(Z1510=0,BF1467&gt;0),AND(Z1510="ns",BG1467&gt;0),AND(Z1510="ns",BF1467=0,BG1467=0)),1,IF(OR(AND(BF1467&gt;=2,Z1510&gt;BG1467),AND(Z1510="ns",BG1467=0,BF1467&gt;0),Z1510=BG1467),0,1)))</f>
        <v>0</v>
      </c>
      <c r="BI1467">
        <f>COUNTIF(Z1521:Z1527,"NS")</f>
        <v>0</v>
      </c>
      <c r="BJ1467">
        <f>SUM(Z1521:Z1527)</f>
        <v>0</v>
      </c>
      <c r="BK1467">
        <f>IF(COUNTA(Z1520:Z1527)=0,0,IF(OR(AND(Z1520=0,BI1467&gt;0),AND(Z1520="ns",BJ1467&gt;0),AND(Z1520="ns",BI1467=0,BJ1467=0)),1,IF(OR(AND(BI1467&gt;=2,Z1520&gt;BJ1467),AND(Z1520="ns",BJ1467=0,BI1467&gt;0),Z1520=BJ1467),0,1)))</f>
        <v>0</v>
      </c>
      <c r="BL1467">
        <f>COUNTIF(Z1529:Z1533,"NS")</f>
        <v>0</v>
      </c>
      <c r="BM1467">
        <f>SUM(Z1529:Z1533)</f>
        <v>0</v>
      </c>
      <c r="BN1467">
        <f>IF(COUNTA(Z1528:Z1533)=0,0,IF(OR(AND(Z1528=0,BL1467&gt;0),AND(Z1528="ns",BM1467&gt;0),AND(Z1528="ns",BL1467=0,BM1467=0)),1,IF(OR(AND(BL1467&gt;=2,Z1528&gt;BM1467),AND(Z1528="ns",BM1467=0,BL1467&gt;0),Z1528=BM1467),0,1)))</f>
        <v>0</v>
      </c>
      <c r="BO1467">
        <f>COUNTIF(Z1539:Z1544,"NS")</f>
        <v>0</v>
      </c>
      <c r="BP1467">
        <f>SUM(Z1539:Z1544)</f>
        <v>0</v>
      </c>
      <c r="BQ1467">
        <f>IF(COUNTA(Z1538:Z1544)=0,0,IF(OR(AND(Z1538=0,BO1467&gt;0),AND(Z1538="ns",BP1467&gt;0),AND(Z1538="ns",BO1467=0,BP1467=0)),1,IF(OR(AND(BO1467&gt;=2,Z1538&gt;BP1467),AND(Z1538="ns",BP1467=0,BO1467&gt;0),Z1538=BP1467),0,1)))</f>
        <v>0</v>
      </c>
      <c r="BR1467">
        <f>COUNTIF(Z1546:Z1553,"NS")</f>
        <v>0</v>
      </c>
      <c r="BS1467">
        <f>SUM(Z1546:Z1553)</f>
        <v>0</v>
      </c>
      <c r="BT1467">
        <f>IF(COUNTA(Z1545:Z1553)=0,0,IF(OR(AND(Z1545=0,BR1467&gt;0),AND(Z1545="ns",BS1467&gt;0),AND(Z1545="ns",BR1467=0,BS1467=0)),1,IF(OR(AND(BR1467&gt;=2,Z1545&gt;BS1467),AND(Z1545="ns",BS1467=0,BR1467&gt;0),Z1545=BS1467),0,1)))</f>
        <v>0</v>
      </c>
      <c r="BU1467">
        <f>COUNTIF(Z1558:Z1563,"NS")</f>
        <v>0</v>
      </c>
      <c r="BV1467">
        <f>SUM(Z1558:Z1563)</f>
        <v>0</v>
      </c>
      <c r="BW1467">
        <f>IF(COUNTA(Z1557:Z1563)=0,0,IF(OR(AND(Z1557=0,BU1467&gt;0),AND(Z1557="ns",BV1467&gt;0),AND(Z1557="ns",BU1467=0,BV1467=0)),1,IF(OR(AND(BU1467&gt;=2,Z1557&gt;BV1467),AND(Z1557="ns",BV1467=0,BU1467&gt;0),Z1557=BV1467),0,1)))</f>
        <v>0</v>
      </c>
      <c r="BX1467">
        <f>COUNTIF(Z1568:Z1576,"NS")</f>
        <v>0</v>
      </c>
      <c r="BY1467">
        <f>SUM(Z1568:Z1576)</f>
        <v>0</v>
      </c>
      <c r="BZ1467">
        <f>IF(COUNTA(Z1567:Z1576)=0,0,IF(OR(AND(Z1567=0,BX1467&gt;0),AND(Z1567="ns",BY1467&gt;0),AND(Z1567="ns",BX1467=0,BY1467=0)),1,IF(OR(AND(BX1467&gt;=2,Z1567&gt;BY1467),AND(Z1567="ns",BY1467=0,BX1467&gt;0),Z1567=BY1467),0,1)))</f>
        <v>0</v>
      </c>
      <c r="CA1467">
        <f>COUNTIF(Z1578:Z1580,"NS")</f>
        <v>0</v>
      </c>
      <c r="CB1467">
        <f>SUM(Z1578:Z1580)</f>
        <v>0</v>
      </c>
      <c r="CC1467">
        <f>IF(COUNTA(Z1577:Z1580)=0,0,IF(OR(AND(Z1577=0,CA1467&gt;0),AND(Z1577="ns",CB1467&gt;0),AND(Z1577="ns",CA1467=0,CB1467=0)),1,IF(OR(AND(CA1467&gt;=2,Z1577&gt;CB1467),AND(Z1577="ns",CB1467=0,CA1467&gt;0),Z1577=CB1467),0,1)))</f>
        <v>0</v>
      </c>
      <c r="CD1467">
        <f>COUNTIF(Z1589:Z1595,"NS")</f>
        <v>0</v>
      </c>
      <c r="CE1467">
        <f>SUM(Z1589:Z1595)</f>
        <v>0</v>
      </c>
      <c r="CF1467">
        <f>IF(COUNTA(Z1588:Z1595)=0,0,IF(OR(AND(Z1588=0,CD1467&gt;0),AND(Z1588="ns",CE1467&gt;0),AND(Z1588="ns",CD1467=0,CE1467=0)),1,IF(OR(AND(CD1467&gt;=2,Z1588&gt;CE1467),AND(Z1588="ns",CE1467=0,CD1467&gt;0),Z1588=CE1467),0,1)))</f>
        <v>0</v>
      </c>
      <c r="CG1467">
        <f>COUNTIF(Z1598:Z1600,"NS")</f>
        <v>0</v>
      </c>
      <c r="CH1467">
        <f>SUM(Z1598:Z1600)</f>
        <v>0</v>
      </c>
      <c r="CI1467">
        <f>IF(COUNTA(Z1597:Z1600)=0,0,IF(OR(AND(Z1597=0,CG1467&gt;0),AND(Z1597="ns",CH1467&gt;0),AND(Z1597="ns",CG1467=0,CH1467=0)),1,IF(OR(AND(CG1467&gt;=2,Z1597&gt;CH1467),AND(Z1597="ns",CH1467=0,CG1467&gt;0),Z1597=CH1467),0,1)))</f>
        <v>0</v>
      </c>
      <c r="CJ1467">
        <f>COUNTIF(Z1610:Z1614,"NS")</f>
        <v>0</v>
      </c>
      <c r="CK1467">
        <f>SUM(Z1610:Z1614)</f>
        <v>0</v>
      </c>
      <c r="CL1467">
        <f>IF(COUNTA(Z1609:Z1614)=0,0,IF(OR(AND(Z1609=0,CJ1467&gt;0),AND(Z1609="ns",CK1467&gt;0),AND(Z1609="ns",CJ1467=0,CK1467=0)),1,IF(OR(AND(CJ1467&gt;=2,Z1609&gt;CK1467),AND(Z1609="ns",CK1467=0,CJ1467&gt;0),Z1609=CK1467),0,1)))</f>
        <v>0</v>
      </c>
    </row>
    <row r="1468" spans="1:90" ht="15" customHeight="1">
      <c r="A1468" s="103"/>
      <c r="B1468" s="57"/>
      <c r="C1468" s="1109"/>
      <c r="D1468" s="954"/>
      <c r="E1468" s="955"/>
      <c r="F1468" s="955"/>
      <c r="G1468" s="1119" t="s">
        <v>4821</v>
      </c>
      <c r="H1468" s="1120"/>
      <c r="I1468" s="178"/>
      <c r="J1468" s="1111" t="s">
        <v>4822</v>
      </c>
      <c r="K1468" s="1111"/>
      <c r="L1468" s="1111"/>
      <c r="M1468" s="1111"/>
      <c r="N1468" s="1111"/>
      <c r="O1468" s="1111"/>
      <c r="P1468" s="1111"/>
      <c r="Q1468" s="1111"/>
      <c r="R1468" s="1111"/>
      <c r="S1468" s="1111"/>
      <c r="T1468" s="1111"/>
      <c r="U1468" s="1112"/>
      <c r="V1468" s="100"/>
      <c r="W1468" s="100"/>
      <c r="X1468" s="100"/>
      <c r="Y1468" s="100"/>
      <c r="Z1468" s="100"/>
      <c r="AA1468" s="100"/>
      <c r="AB1468" s="100"/>
      <c r="AC1468" s="100"/>
      <c r="AD1468" s="100"/>
      <c r="AF1468"/>
      <c r="AK1468">
        <f t="shared" si="915"/>
        <v>0</v>
      </c>
      <c r="AL1468">
        <f t="shared" si="916"/>
        <v>0</v>
      </c>
      <c r="AM1468">
        <f t="shared" si="917"/>
        <v>0</v>
      </c>
      <c r="AN1468">
        <f t="shared" si="918"/>
        <v>0</v>
      </c>
      <c r="AO1468">
        <f t="shared" si="919"/>
        <v>0</v>
      </c>
      <c r="AP1468">
        <f t="shared" si="920"/>
        <v>0</v>
      </c>
      <c r="AQ1468">
        <f t="shared" si="921"/>
        <v>0</v>
      </c>
      <c r="AR1468">
        <f t="shared" si="922"/>
        <v>0</v>
      </c>
      <c r="AS1468">
        <f t="shared" si="923"/>
        <v>0</v>
      </c>
      <c r="AT1468">
        <f>COUNTIF(AA1464:AA1469,"NS")</f>
        <v>0</v>
      </c>
      <c r="AU1468">
        <f>SUM(AA1464:AA1469)</f>
        <v>0</v>
      </c>
      <c r="AV1468">
        <f>IF(COUNTA(AA1463:AA1469)=0,0,IF(OR(AND(AA1463=0,AT1468&gt;0),AND(AA1463="ns",AU1468&gt;0),AND(AA1463="ns",AT1468=0,AU1468=0)),1,IF(OR(AND(AT1468&gt;=2,AA1463&gt;AU1468),AND(AA1463="ns",AU1468=0,AT1468&gt;0),AA1463=AU1468),0,1)))</f>
        <v>0</v>
      </c>
      <c r="AW1468">
        <f>COUNTIF(AA1475:AA1479,"NS")</f>
        <v>0</v>
      </c>
      <c r="AX1468">
        <f>SUM(AA1475:AA1479)</f>
        <v>0</v>
      </c>
      <c r="AY1468">
        <f>IF(COUNTA(AA1474:AA1479)=0,0,IF(OR(AND(AA1474=0,AW1468&gt;0),AND(AA1474="ns",AX1468&gt;0),AND(AA1474="ns",AW1468=0,AX1468=0)),1,IF(OR(AND(AW1468&gt;=2,AA1474&gt;AX1468),AND(AA1474="ns",AX1468=0,AW1468&gt;0),AA1474=AX1468),0,1)))</f>
        <v>0</v>
      </c>
      <c r="AZ1468">
        <f>COUNTIF(AA1484:AA1501,"NS")</f>
        <v>0</v>
      </c>
      <c r="BA1468">
        <f>SUM(AA1484:AA1501)</f>
        <v>0</v>
      </c>
      <c r="BB1468">
        <f>IF(COUNTA(AA1483:AA1501)=0,0,IF(OR(AND(AA1483=0,AZ1468&gt;0),AND(AA1483="ns",BA1468&gt;0),AND(AA1483="ns",AZ1468=0,BA1468=0)),1,IF(OR(AND(AZ1468&gt;=2,AA1483&gt;BA1468),AND(AA1483="ns",BA1468=0,AZ1468&gt;0),AA1483=BA1468),0,1)))</f>
        <v>0</v>
      </c>
      <c r="BC1468">
        <f>COUNTIF(AA1503:AA1507,"NS")</f>
        <v>0</v>
      </c>
      <c r="BD1468">
        <f>SUM(AA1503:AA1507)</f>
        <v>0</v>
      </c>
      <c r="BE1468">
        <f>IF(COUNTA(AA1502:AA1507)=0,0,IF(OR(AND(AA1502=0,BC1468&gt;0),AND(AA1502="ns",BD1468&gt;0),AND(AA1502="ns",BC1468=0,BD1468=0)),1,IF(OR(AND(BC1468&gt;=2,AA1502&gt;BD1468),AND(AA1502="ns",BD1468=0,BC1468&gt;0),AA1502=BD1468),0,1)))</f>
        <v>0</v>
      </c>
      <c r="BF1468">
        <f>COUNTIF(AA1511:AA1513,"NS")</f>
        <v>0</v>
      </c>
      <c r="BG1468">
        <f>SUM(AA1511:AA1513)</f>
        <v>0</v>
      </c>
      <c r="BH1468">
        <f>IF(COUNTA(AA1510:AA1513)=0,0,IF(OR(AND(AA1510=0,BF1468&gt;0),AND(AA1510="ns",BG1468&gt;0),AND(AA1510="ns",BF1468=0,BG1468=0)),1,IF(OR(AND(BF1468&gt;=2,AA1510&gt;BG1468),AND(AA1510="ns",BG1468=0,BF1468&gt;0),AA1510=BG1468),0,1)))</f>
        <v>0</v>
      </c>
      <c r="BI1468">
        <f>COUNTIF(AA1521:AA1527,"NS")</f>
        <v>0</v>
      </c>
      <c r="BJ1468">
        <f>SUM(AA1521:AA1527)</f>
        <v>0</v>
      </c>
      <c r="BK1468">
        <f>IF(COUNTA(AA1520:AA1527)=0,0,IF(OR(AND(AA1520=0,BI1468&gt;0),AND(AA1520="ns",BJ1468&gt;0),AND(AA1520="ns",BI1468=0,BJ1468=0)),1,IF(OR(AND(BI1468&gt;=2,AA1520&gt;BJ1468),AND(AA1520="ns",BJ1468=0,BI1468&gt;0),AA1520=BJ1468),0,1)))</f>
        <v>0</v>
      </c>
      <c r="BL1468">
        <f>COUNTIF(AA1529:AA1533,"NS")</f>
        <v>0</v>
      </c>
      <c r="BM1468">
        <f>SUM(AA1529:AA1533)</f>
        <v>0</v>
      </c>
      <c r="BN1468">
        <f>IF(COUNTA(AA1528:AA1533)=0,0,IF(OR(AND(AA1528=0,BL1468&gt;0),AND(AA1528="ns",BM1468&gt;0),AND(AA1528="ns",BL1468=0,BM1468=0)),1,IF(OR(AND(BL1468&gt;=2,AA1528&gt;BM1468),AND(AA1528="ns",BM1468=0,BL1468&gt;0),AA1528=BM1468),0,1)))</f>
        <v>0</v>
      </c>
      <c r="BO1468">
        <f>COUNTIF(AA1539:AA1544,"NS")</f>
        <v>0</v>
      </c>
      <c r="BP1468">
        <f>SUM(AA1539:AA1544)</f>
        <v>0</v>
      </c>
      <c r="BQ1468">
        <f>IF(COUNTA(AA1538:AA1544)=0,0,IF(OR(AND(AA1538=0,BO1468&gt;0),AND(AA1538="ns",BP1468&gt;0),AND(AA1538="ns",BO1468=0,BP1468=0)),1,IF(OR(AND(BO1468&gt;=2,AA1538&gt;BP1468),AND(AA1538="ns",BP1468=0,BO1468&gt;0),AA1538=BP1468),0,1)))</f>
        <v>0</v>
      </c>
      <c r="BR1468">
        <f>COUNTIF(AA1546:AA1553,"NS")</f>
        <v>0</v>
      </c>
      <c r="BS1468">
        <f>SUM(AA1546:AA1553)</f>
        <v>0</v>
      </c>
      <c r="BT1468">
        <f>IF(COUNTA(AA1545:AA1553)=0,0,IF(OR(AND(AA1545=0,BR1468&gt;0),AND(AA1545="ns",BS1468&gt;0),AND(AA1545="ns",BR1468=0,BS1468=0)),1,IF(OR(AND(BR1468&gt;=2,AA1545&gt;BS1468),AND(AA1545="ns",BS1468=0,BR1468&gt;0),AA1545=BS1468),0,1)))</f>
        <v>0</v>
      </c>
      <c r="BU1468">
        <f>COUNTIF(AA1558:AA1563,"NS")</f>
        <v>0</v>
      </c>
      <c r="BV1468">
        <f>SUM(AA1558:AA1563)</f>
        <v>0</v>
      </c>
      <c r="BW1468">
        <f>IF(COUNTA(AA1557:AA1563)=0,0,IF(OR(AND(AA1557=0,BU1468&gt;0),AND(AA1557="ns",BV1468&gt;0),AND(AA1557="ns",BU1468=0,BV1468=0)),1,IF(OR(AND(BU1468&gt;=2,AA1557&gt;BV1468),AND(AA1557="ns",BV1468=0,BU1468&gt;0),AA1557=BV1468),0,1)))</f>
        <v>0</v>
      </c>
      <c r="BX1468">
        <f>COUNTIF(AA1568:AA1576,"NS")</f>
        <v>0</v>
      </c>
      <c r="BY1468">
        <f>SUM(AA1568:AA1576)</f>
        <v>0</v>
      </c>
      <c r="BZ1468">
        <f>IF(COUNTA(AA1567:AA1576)=0,0,IF(OR(AND(AA1567=0,BX1468&gt;0),AND(AA1567="ns",BY1468&gt;0),AND(AA1567="ns",BX1468=0,BY1468=0)),1,IF(OR(AND(BX1468&gt;=2,AA1567&gt;BY1468),AND(AA1567="ns",BY1468=0,BX1468&gt;0),AA1567=BY1468),0,1)))</f>
        <v>0</v>
      </c>
      <c r="CA1468">
        <f>COUNTIF(AA1578:AA1580,"NS")</f>
        <v>0</v>
      </c>
      <c r="CB1468">
        <f>SUM(AA1578:AA1580)</f>
        <v>0</v>
      </c>
      <c r="CC1468">
        <f>IF(COUNTA(AA1577:AA1580)=0,0,IF(OR(AND(AA1577=0,CA1468&gt;0),AND(AA1577="ns",CB1468&gt;0),AND(AA1577="ns",CA1468=0,CB1468=0)),1,IF(OR(AND(CA1468&gt;=2,AA1577&gt;CB1468),AND(AA1577="ns",CB1468=0,CA1468&gt;0),AA1577=CB1468),0,1)))</f>
        <v>0</v>
      </c>
      <c r="CD1468">
        <f>COUNTIF(AA1589:AA1595,"NS")</f>
        <v>0</v>
      </c>
      <c r="CE1468">
        <f>SUM(AA1589:AA1595)</f>
        <v>0</v>
      </c>
      <c r="CF1468">
        <f>IF(COUNTA(AA1588:AA1595)=0,0,IF(OR(AND(AA1588=0,CD1468&gt;0),AND(AA1588="ns",CE1468&gt;0),AND(AA1588="ns",CD1468=0,CE1468=0)),1,IF(OR(AND(CD1468&gt;=2,AA1588&gt;CE1468),AND(AA1588="ns",CE1468=0,CD1468&gt;0),AA1588=CE1468),0,1)))</f>
        <v>0</v>
      </c>
      <c r="CG1468">
        <f>COUNTIF(AA1598:AA1600,"NS")</f>
        <v>0</v>
      </c>
      <c r="CH1468">
        <f>SUM(AA1598:AA1600)</f>
        <v>0</v>
      </c>
      <c r="CI1468">
        <f>IF(COUNTA(AA1597:AA1600)=0,0,IF(OR(AND(AA1597=0,CG1468&gt;0),AND(AA1597="ns",CH1468&gt;0),AND(AA1597="ns",CG1468=0,CH1468=0)),1,IF(OR(AND(CG1468&gt;=2,AA1597&gt;CH1468),AND(AA1597="ns",CH1468=0,CG1468&gt;0),AA1597=CH1468),0,1)))</f>
        <v>0</v>
      </c>
      <c r="CJ1468">
        <f>COUNTIF(AA1610:AA1614,"NS")</f>
        <v>0</v>
      </c>
      <c r="CK1468">
        <f>SUM(AA1610:AA1614)</f>
        <v>0</v>
      </c>
      <c r="CL1468">
        <f>IF(COUNTA(AA1609:AA1614)=0,0,IF(OR(AND(AA1609=0,CJ1468&gt;0),AND(AA1609="ns",CK1468&gt;0),AND(AA1609="ns",CJ1468=0,CK1468=0)),1,IF(OR(AND(CJ1468&gt;=2,AA1609&gt;CK1468),AND(AA1609="ns",CK1468=0,CJ1468&gt;0),AA1609=CK1468),0,1)))</f>
        <v>0</v>
      </c>
    </row>
    <row r="1469" spans="1:90" ht="15" customHeight="1">
      <c r="A1469" s="103"/>
      <c r="B1469" s="57"/>
      <c r="C1469" s="1109"/>
      <c r="D1469" s="954"/>
      <c r="E1469" s="955"/>
      <c r="F1469" s="955"/>
      <c r="G1469" s="1119" t="s">
        <v>4823</v>
      </c>
      <c r="H1469" s="1120"/>
      <c r="I1469" s="179"/>
      <c r="J1469" s="1113" t="s">
        <v>201</v>
      </c>
      <c r="K1469" s="1113"/>
      <c r="L1469" s="1113"/>
      <c r="M1469" s="1113"/>
      <c r="N1469" s="1113"/>
      <c r="O1469" s="1113"/>
      <c r="P1469" s="1113"/>
      <c r="Q1469" s="1113"/>
      <c r="R1469" s="1113"/>
      <c r="S1469" s="1113"/>
      <c r="T1469" s="1113"/>
      <c r="U1469" s="1114"/>
      <c r="V1469" s="100"/>
      <c r="W1469" s="100"/>
      <c r="X1469" s="100"/>
      <c r="Y1469" s="100"/>
      <c r="Z1469" s="100"/>
      <c r="AA1469" s="100"/>
      <c r="AB1469" s="100"/>
      <c r="AC1469" s="100"/>
      <c r="AD1469" s="100"/>
      <c r="AF1469"/>
      <c r="AK1469">
        <f t="shared" si="915"/>
        <v>0</v>
      </c>
      <c r="AL1469">
        <f t="shared" si="916"/>
        <v>0</v>
      </c>
      <c r="AM1469">
        <f t="shared" si="917"/>
        <v>0</v>
      </c>
      <c r="AN1469">
        <f t="shared" si="918"/>
        <v>0</v>
      </c>
      <c r="AO1469">
        <f t="shared" si="919"/>
        <v>0</v>
      </c>
      <c r="AP1469">
        <f t="shared" si="920"/>
        <v>0</v>
      </c>
      <c r="AQ1469">
        <f t="shared" si="921"/>
        <v>0</v>
      </c>
      <c r="AR1469">
        <f t="shared" si="922"/>
        <v>0</v>
      </c>
      <c r="AS1469">
        <f t="shared" si="923"/>
        <v>0</v>
      </c>
      <c r="AT1469">
        <f>COUNTIF(AB1464:AB1469,"NS")</f>
        <v>0</v>
      </c>
      <c r="AU1469">
        <f>SUM(AB1464:AB1469)</f>
        <v>0</v>
      </c>
      <c r="AV1469">
        <f>IF(COUNTA(AB1463:AB1469)=0,0,IF(OR(AND(AB1463=0,AT1469&gt;0),AND(AB1463="ns",AU1469&gt;0),AND(AB1463="ns",AT1469=0,AU1469=0)),1,IF(OR(AND(AT1469&gt;=2,AB1463&gt;AU1469),AND(AB1463="ns",AU1469=0,AT1469&gt;0),AB1463=AU1469),0,1)))</f>
        <v>0</v>
      </c>
      <c r="AW1469">
        <f>COUNTIF(AB1475:AB1479,"NS")</f>
        <v>0</v>
      </c>
      <c r="AX1469">
        <f>SUM(AB1475:AB1479)</f>
        <v>0</v>
      </c>
      <c r="AY1469">
        <f>IF(COUNTA(AB1474:AB1479)=0,0,IF(OR(AND(AB1474=0,AW1469&gt;0),AND(AB1474="ns",AX1469&gt;0),AND(AB1474="ns",AW1469=0,AX1469=0)),1,IF(OR(AND(AW1469&gt;=2,AB1474&gt;AX1469),AND(AB1474="ns",AX1469=0,AW1469&gt;0),AB1474=AX1469),0,1)))</f>
        <v>0</v>
      </c>
      <c r="AZ1469">
        <f>COUNTIF(AB1484:AB1501,"NS")</f>
        <v>0</v>
      </c>
      <c r="BA1469">
        <f>SUM(AB1484:AB1501)</f>
        <v>0</v>
      </c>
      <c r="BB1469">
        <f>IF(COUNTA(AB1483:AB1501)=0,0,IF(OR(AND(AB1483=0,AZ1469&gt;0),AND(AB1483="ns",BA1469&gt;0),AND(AB1483="ns",AZ1469=0,BA1469=0)),1,IF(OR(AND(AZ1469&gt;=2,AB1483&gt;BA1469),AND(AB1483="ns",BA1469=0,AZ1469&gt;0),AB1483=BA1469),0,1)))</f>
        <v>0</v>
      </c>
      <c r="BC1469">
        <f>COUNTIF(AB1503:AB1507,"NS")</f>
        <v>0</v>
      </c>
      <c r="BD1469">
        <f>SUM(AB1503:AB1507)</f>
        <v>0</v>
      </c>
      <c r="BE1469">
        <f>IF(COUNTA(AB1502:AB1507)=0,0,IF(OR(AND(AB1502=0,BC1469&gt;0),AND(AB1502="ns",BD1469&gt;0),AND(AB1502="ns",BC1469=0,BD1469=0)),1,IF(OR(AND(BC1469&gt;=2,AB1502&gt;BD1469),AND(AB1502="ns",BD1469=0,BC1469&gt;0),AB1502=BD1469),0,1)))</f>
        <v>0</v>
      </c>
      <c r="BF1469">
        <f>COUNTIF(AB1511:AB1513,"NS")</f>
        <v>0</v>
      </c>
      <c r="BG1469">
        <f>SUM(AB1511:AB1513)</f>
        <v>0</v>
      </c>
      <c r="BH1469">
        <f>IF(COUNTA(AB1510:AB1513)=0,0,IF(OR(AND(AB1510=0,BF1469&gt;0),AND(AB1510="ns",BG1469&gt;0),AND(AB1510="ns",BF1469=0,BG1469=0)),1,IF(OR(AND(BF1469&gt;=2,AB1510&gt;BG1469),AND(AB1510="ns",BG1469=0,BF1469&gt;0),AB1510=BG1469),0,1)))</f>
        <v>0</v>
      </c>
      <c r="BI1469">
        <f>COUNTIF(AB1521:AB1527,"NS")</f>
        <v>0</v>
      </c>
      <c r="BJ1469">
        <f>SUM(AB1521:AB1527)</f>
        <v>0</v>
      </c>
      <c r="BK1469">
        <f>IF(COUNTA(AB1520:AB1527)=0,0,IF(OR(AND(AB1520=0,BI1469&gt;0),AND(AB1520="ns",BJ1469&gt;0),AND(AB1520="ns",BI1469=0,BJ1469=0)),1,IF(OR(AND(BI1469&gt;=2,AB1520&gt;BJ1469),AND(AB1520="ns",BJ1469=0,BI1469&gt;0),AB1520=BJ1469),0,1)))</f>
        <v>0</v>
      </c>
      <c r="BL1469">
        <f>COUNTIF(AB1529:AB1533,"NS")</f>
        <v>0</v>
      </c>
      <c r="BM1469">
        <f>SUM(AB1529:AB1533)</f>
        <v>0</v>
      </c>
      <c r="BN1469">
        <f>IF(COUNTA(AB1528:AB1533)=0,0,IF(OR(AND(AB1528=0,BL1469&gt;0),AND(AB1528="ns",BM1469&gt;0),AND(AB1528="ns",BL1469=0,BM1469=0)),1,IF(OR(AND(BL1469&gt;=2,AB1528&gt;BM1469),AND(AB1528="ns",BM1469=0,BL1469&gt;0),AB1528=BM1469),0,1)))</f>
        <v>0</v>
      </c>
      <c r="BO1469">
        <f>COUNTIF(AB1539:AB1544,"NS")</f>
        <v>0</v>
      </c>
      <c r="BP1469">
        <f>SUM(AB1539:AB1544)</f>
        <v>0</v>
      </c>
      <c r="BQ1469">
        <f>IF(COUNTA(AB1538:AB1544)=0,0,IF(OR(AND(AB1538=0,BO1469&gt;0),AND(AB1538="ns",BP1469&gt;0),AND(AB1538="ns",BO1469=0,BP1469=0)),1,IF(OR(AND(BO1469&gt;=2,AB1538&gt;BP1469),AND(AB1538="ns",BP1469=0,BO1469&gt;0),AB1538=BP1469),0,1)))</f>
        <v>0</v>
      </c>
      <c r="BR1469">
        <f>COUNTIF(AB1546:AB1553,"NS")</f>
        <v>0</v>
      </c>
      <c r="BS1469">
        <f>SUM(AB1546:AB1553)</f>
        <v>0</v>
      </c>
      <c r="BT1469">
        <f>IF(COUNTA(AB1545:AB1553)=0,0,IF(OR(AND(AB1545=0,BR1469&gt;0),AND(AB1545="ns",BS1469&gt;0),AND(AB1545="ns",BR1469=0,BS1469=0)),1,IF(OR(AND(BR1469&gt;=2,AB1545&gt;BS1469),AND(AB1545="ns",BS1469=0,BR1469&gt;0),AB1545=BS1469),0,1)))</f>
        <v>0</v>
      </c>
      <c r="BU1469">
        <f>COUNTIF(AB1558:AB1563,"NS")</f>
        <v>0</v>
      </c>
      <c r="BV1469">
        <f>SUM(AB1558:AB1563)</f>
        <v>0</v>
      </c>
      <c r="BW1469">
        <f>IF(COUNTA(AB1557:AB1563)=0,0,IF(OR(AND(AB1557=0,BU1469&gt;0),AND(AB1557="ns",BV1469&gt;0),AND(AB1557="ns",BU1469=0,BV1469=0)),1,IF(OR(AND(BU1469&gt;=2,AB1557&gt;BV1469),AND(AB1557="ns",BV1469=0,BU1469&gt;0),AB1557=BV1469),0,1)))</f>
        <v>0</v>
      </c>
      <c r="BX1469">
        <f>COUNTIF(AB1568:AB1576,"NS")</f>
        <v>0</v>
      </c>
      <c r="BY1469">
        <f>SUM(AB1568:AB1576)</f>
        <v>0</v>
      </c>
      <c r="BZ1469">
        <f>IF(COUNTA(AB1567:AB1576)=0,0,IF(OR(AND(AB1567=0,BX1469&gt;0),AND(AB1567="ns",BY1469&gt;0),AND(AB1567="ns",BX1469=0,BY1469=0)),1,IF(OR(AND(BX1469&gt;=2,AB1567&gt;BY1469),AND(AB1567="ns",BY1469=0,BX1469&gt;0),AB1567=BY1469),0,1)))</f>
        <v>0</v>
      </c>
      <c r="CA1469">
        <f>COUNTIF(AB1578:AB1580,"NS")</f>
        <v>0</v>
      </c>
      <c r="CB1469">
        <f>SUM(AB1578:AB1580)</f>
        <v>0</v>
      </c>
      <c r="CC1469">
        <f>IF(COUNTA(AB1577:AB1580)=0,0,IF(OR(AND(AB1577=0,CA1469&gt;0),AND(AB1577="ns",CB1469&gt;0),AND(AB1577="ns",CA1469=0,CB1469=0)),1,IF(OR(AND(CA1469&gt;=2,AB1577&gt;CB1469),AND(AB1577="ns",CB1469=0,CA1469&gt;0),AB1577=CB1469),0,1)))</f>
        <v>0</v>
      </c>
      <c r="CD1469">
        <f>COUNTIF(AB1589:AB1595,"NS")</f>
        <v>0</v>
      </c>
      <c r="CE1469">
        <f>SUM(AB1589:AB1595)</f>
        <v>0</v>
      </c>
      <c r="CF1469">
        <f>IF(COUNTA(AB1588:AB1595)=0,0,IF(OR(AND(AB1588=0,CD1469&gt;0),AND(AB1588="ns",CE1469&gt;0),AND(AB1588="ns",CD1469=0,CE1469=0)),1,IF(OR(AND(CD1469&gt;=2,AB1588&gt;CE1469),AND(AB1588="ns",CE1469=0,CD1469&gt;0),AB1588=CE1469),0,1)))</f>
        <v>0</v>
      </c>
      <c r="CG1469">
        <f>COUNTIF(AB1598:AB1600,"NS")</f>
        <v>0</v>
      </c>
      <c r="CH1469">
        <f>SUM(AB1598:AB1600)</f>
        <v>0</v>
      </c>
      <c r="CI1469">
        <f>IF(COUNTA(AB1597:AB1600)=0,0,IF(OR(AND(AB1597=0,CG1469&gt;0),AND(AB1597="ns",CH1469&gt;0),AND(AB1597="ns",CG1469=0,CH1469=0)),1,IF(OR(AND(CG1469&gt;=2,AB1597&gt;CH1469),AND(AB1597="ns",CH1469=0,CG1469&gt;0),AB1597=CH1469),0,1)))</f>
        <v>0</v>
      </c>
      <c r="CJ1469">
        <f>COUNTIF(AB1610:AB1614,"NS")</f>
        <v>0</v>
      </c>
      <c r="CK1469">
        <f>SUM(AB1610:AB1614)</f>
        <v>0</v>
      </c>
      <c r="CL1469">
        <f>IF(COUNTA(AB1609:AB1614)=0,0,IF(OR(AND(AB1609=0,CJ1469&gt;0),AND(AB1609="ns",CK1469&gt;0),AND(AB1609="ns",CJ1469=0,CK1469=0)),1,IF(OR(AND(CJ1469&gt;=2,AB1609&gt;CK1469),AND(AB1609="ns",CK1469=0,CJ1469&gt;0),AB1609=CK1469),0,1)))</f>
        <v>0</v>
      </c>
    </row>
    <row r="1470" spans="1:90" ht="15" customHeight="1">
      <c r="A1470" s="103"/>
      <c r="B1470" s="57"/>
      <c r="C1470" s="1109"/>
      <c r="D1470" s="954"/>
      <c r="E1470" s="955"/>
      <c r="F1470" s="955"/>
      <c r="G1470" s="1117" t="s">
        <v>4824</v>
      </c>
      <c r="H1470" s="1118"/>
      <c r="I1470" s="1104" t="s">
        <v>4825</v>
      </c>
      <c r="J1470" s="1105"/>
      <c r="K1470" s="1105"/>
      <c r="L1470" s="1105"/>
      <c r="M1470" s="1105"/>
      <c r="N1470" s="1105"/>
      <c r="O1470" s="1105"/>
      <c r="P1470" s="1105"/>
      <c r="Q1470" s="1105"/>
      <c r="R1470" s="1105"/>
      <c r="S1470" s="1105"/>
      <c r="T1470" s="1105"/>
      <c r="U1470" s="1106"/>
      <c r="V1470" s="100"/>
      <c r="W1470" s="100"/>
      <c r="X1470" s="100"/>
      <c r="Y1470" s="100"/>
      <c r="Z1470" s="100"/>
      <c r="AA1470" s="100"/>
      <c r="AB1470" s="100"/>
      <c r="AC1470" s="100"/>
      <c r="AD1470" s="100"/>
      <c r="AF1470"/>
      <c r="AK1470">
        <f t="shared" si="915"/>
        <v>0</v>
      </c>
      <c r="AL1470">
        <f t="shared" si="916"/>
        <v>0</v>
      </c>
      <c r="AM1470">
        <f t="shared" si="917"/>
        <v>0</v>
      </c>
      <c r="AN1470">
        <f t="shared" si="918"/>
        <v>0</v>
      </c>
      <c r="AO1470">
        <f t="shared" si="919"/>
        <v>0</v>
      </c>
      <c r="AP1470">
        <f t="shared" si="920"/>
        <v>0</v>
      </c>
      <c r="AQ1470">
        <f t="shared" si="921"/>
        <v>0</v>
      </c>
      <c r="AR1470">
        <f t="shared" si="922"/>
        <v>0</v>
      </c>
      <c r="AS1470">
        <f t="shared" si="923"/>
        <v>0</v>
      </c>
      <c r="AT1470">
        <f>COUNTIF(AC1464:AC1469,"NS")</f>
        <v>0</v>
      </c>
      <c r="AU1470">
        <f>SUM(AC1464:AC1469)</f>
        <v>0</v>
      </c>
      <c r="AV1470">
        <f>IF(COUNTA(AC1463:AC1469)=0,0,IF(OR(AND(AC1463=0,AT1470&gt;0),AND(AC1463="ns",AU1470&gt;0),AND(AC1463="ns",AT1470=0,AU1470=0)),1,IF(OR(AND(AT1470&gt;=2,AC1463&gt;AU1470),AND(AC1463="ns",AU1470=0,AT1470&gt;0),AC1463=AU1470),0,1)))</f>
        <v>0</v>
      </c>
      <c r="AW1470">
        <f>COUNTIF(AC1475:AC1479,"NS")</f>
        <v>0</v>
      </c>
      <c r="AX1470">
        <f>SUM(AC1475:AC1479)</f>
        <v>0</v>
      </c>
      <c r="AY1470">
        <f>IF(COUNTA(AC1474:AC1479)=0,0,IF(OR(AND(AC1474=0,AW1470&gt;0),AND(AC1474="ns",AX1470&gt;0),AND(AC1474="ns",AW1470=0,AX1470=0)),1,IF(OR(AND(AW1470&gt;=2,AC1474&gt;AX1470),AND(AC1474="ns",AX1470=0,AW1470&gt;0),AC1474=AX1470),0,1)))</f>
        <v>0</v>
      </c>
      <c r="AZ1470">
        <f>COUNTIF(AC1484:AC1501,"NS")</f>
        <v>0</v>
      </c>
      <c r="BA1470">
        <f>SUM(AC1484:AC1501)</f>
        <v>0</v>
      </c>
      <c r="BB1470">
        <f>IF(COUNTA(AC1483:AC1501)=0,0,IF(OR(AND(AC1483=0,AZ1470&gt;0),AND(AC1483="ns",BA1470&gt;0),AND(AC1483="ns",AZ1470=0,BA1470=0)),1,IF(OR(AND(AZ1470&gt;=2,AC1483&gt;BA1470),AND(AC1483="ns",BA1470=0,AZ1470&gt;0),AC1483=BA1470),0,1)))</f>
        <v>0</v>
      </c>
      <c r="BC1470">
        <f>COUNTIF(AC1503:AC1507,"NS")</f>
        <v>0</v>
      </c>
      <c r="BD1470">
        <f>SUM(AC1503:AC1507)</f>
        <v>0</v>
      </c>
      <c r="BE1470">
        <f>IF(COUNTA(AC1502:AC1507)=0,0,IF(OR(AND(AC1502=0,BC1470&gt;0),AND(AC1502="ns",BD1470&gt;0),AND(AC1502="ns",BC1470=0,BD1470=0)),1,IF(OR(AND(BC1470&gt;=2,AC1502&gt;BD1470),AND(AC1502="ns",BD1470=0,BC1470&gt;0),AC1502=BD1470),0,1)))</f>
        <v>0</v>
      </c>
      <c r="BF1470">
        <f>COUNTIF(AC1511:AC1513,"NS")</f>
        <v>0</v>
      </c>
      <c r="BG1470">
        <f>SUM(AC1511:AC1513)</f>
        <v>0</v>
      </c>
      <c r="BH1470">
        <f>IF(COUNTA(AC1510:AC1513)=0,0,IF(OR(AND(AC1510=0,BF1470&gt;0),AND(AC1510="ns",BG1470&gt;0),AND(AC1510="ns",BF1470=0,BG1470=0)),1,IF(OR(AND(BF1470&gt;=2,AC1510&gt;BG1470),AND(AC1510="ns",BG1470=0,BF1470&gt;0),AC1510=BG1470),0,1)))</f>
        <v>0</v>
      </c>
      <c r="BI1470">
        <f>COUNTIF(AC1521:AC1527,"NS")</f>
        <v>0</v>
      </c>
      <c r="BJ1470">
        <f>SUM(AC1521:AC1527)</f>
        <v>0</v>
      </c>
      <c r="BK1470">
        <f>IF(COUNTA(AC1520:AC1527)=0,0,IF(OR(AND(AC1520=0,BI1470&gt;0),AND(AC1520="ns",BJ1470&gt;0),AND(AC1520="ns",BI1470=0,BJ1470=0)),1,IF(OR(AND(BI1470&gt;=2,AC1520&gt;BJ1470),AND(AC1520="ns",BJ1470=0,BI1470&gt;0),AC1520=BJ1470),0,1)))</f>
        <v>0</v>
      </c>
      <c r="BL1470">
        <f>COUNTIF(AC1529:AC1533,"NS")</f>
        <v>0</v>
      </c>
      <c r="BM1470">
        <f>SUM(AC1529:AC1533)</f>
        <v>0</v>
      </c>
      <c r="BN1470">
        <f>IF(COUNTA(AC1528:AC1533)=0,0,IF(OR(AND(AC1528=0,BL1470&gt;0),AND(AC1528="ns",BM1470&gt;0),AND(AC1528="ns",BL1470=0,BM1470=0)),1,IF(OR(AND(BL1470&gt;=2,AC1528&gt;BM1470),AND(AC1528="ns",BM1470=0,BL1470&gt;0),AC1528=BM1470),0,1)))</f>
        <v>0</v>
      </c>
      <c r="BO1470">
        <f>COUNTIF(AC1539:AC1544,"NS")</f>
        <v>0</v>
      </c>
      <c r="BP1470">
        <f>SUM(AC1539:AC1544)</f>
        <v>0</v>
      </c>
      <c r="BQ1470">
        <f>IF(COUNTA(AC1538:AC1544)=0,0,IF(OR(AND(AC1538=0,BO1470&gt;0),AND(AC1538="ns",BP1470&gt;0),AND(AC1538="ns",BO1470=0,BP1470=0)),1,IF(OR(AND(BO1470&gt;=2,AC1538&gt;BP1470),AND(AC1538="ns",BP1470=0,BO1470&gt;0),AC1538=BP1470),0,1)))</f>
        <v>0</v>
      </c>
      <c r="BR1470">
        <f>COUNTIF(AC1546:AC1553,"NS")</f>
        <v>0</v>
      </c>
      <c r="BS1470">
        <f>SUM(AC1546:AC1553)</f>
        <v>0</v>
      </c>
      <c r="BT1470">
        <f>IF(COUNTA(AC1545:AC1553)=0,0,IF(OR(AND(AC1545=0,BR1470&gt;0),AND(AC1545="ns",BS1470&gt;0),AND(AC1545="ns",BR1470=0,BS1470=0)),1,IF(OR(AND(BR1470&gt;=2,AC1545&gt;BS1470),AND(AC1545="ns",BS1470=0,BR1470&gt;0),AC1545=BS1470),0,1)))</f>
        <v>0</v>
      </c>
      <c r="BU1470">
        <f>COUNTIF(AC1558:AC1563,"NS")</f>
        <v>0</v>
      </c>
      <c r="BV1470">
        <f>SUM(AC1558:AC1563)</f>
        <v>0</v>
      </c>
      <c r="BW1470">
        <f>IF(COUNTA(AC1557:AC1563)=0,0,IF(OR(AND(AC1557=0,BU1470&gt;0),AND(AC1557="ns",BV1470&gt;0),AND(AC1557="ns",BU1470=0,BV1470=0)),1,IF(OR(AND(BU1470&gt;=2,AC1557&gt;BV1470),AND(AC1557="ns",BV1470=0,BU1470&gt;0),AC1557=BV1470),0,1)))</f>
        <v>0</v>
      </c>
      <c r="BX1470">
        <f>COUNTIF(AC1568:AC1576,"NS")</f>
        <v>0</v>
      </c>
      <c r="BY1470">
        <f>SUM(AC1568:AC1576)</f>
        <v>0</v>
      </c>
      <c r="BZ1470">
        <f>IF(COUNTA(AC1567:AC1576)=0,0,IF(OR(AND(AC1567=0,BX1470&gt;0),AND(AC1567="ns",BY1470&gt;0),AND(AC1567="ns",BX1470=0,BY1470=0)),1,IF(OR(AND(BX1470&gt;=2,AC1567&gt;BY1470),AND(AC1567="ns",BY1470=0,BX1470&gt;0),AC1567=BY1470),0,1)))</f>
        <v>0</v>
      </c>
      <c r="CA1470">
        <f>COUNTIF(AC1578:AC1580,"NS")</f>
        <v>0</v>
      </c>
      <c r="CB1470">
        <f>SUM(AC1578:AC1580)</f>
        <v>0</v>
      </c>
      <c r="CC1470">
        <f>IF(COUNTA(AC1577:AC1580)=0,0,IF(OR(AND(AC1577=0,CA1470&gt;0),AND(AC1577="ns",CB1470&gt;0),AND(AC1577="ns",CA1470=0,CB1470=0)),1,IF(OR(AND(CA1470&gt;=2,AC1577&gt;CB1470),AND(AC1577="ns",CB1470=0,CA1470&gt;0),AC1577=CB1470),0,1)))</f>
        <v>0</v>
      </c>
      <c r="CD1470">
        <f>COUNTIF(AC1589:AC1595,"NS")</f>
        <v>0</v>
      </c>
      <c r="CE1470">
        <f>SUM(AC1589:AC1595)</f>
        <v>0</v>
      </c>
      <c r="CF1470">
        <f>IF(COUNTA(AC1588:AC1595)=0,0,IF(OR(AND(AC1588=0,CD1470&gt;0),AND(AC1588="ns",CE1470&gt;0),AND(AC1588="ns",CD1470=0,CE1470=0)),1,IF(OR(AND(CD1470&gt;=2,AC1588&gt;CE1470),AND(AC1588="ns",CE1470=0,CD1470&gt;0),AC1588=CE1470),0,1)))</f>
        <v>0</v>
      </c>
      <c r="CG1470">
        <f>COUNTIF(AC1598:AC1600,"NS")</f>
        <v>0</v>
      </c>
      <c r="CH1470">
        <f>SUM(AC1598:AC1600)</f>
        <v>0</v>
      </c>
      <c r="CI1470">
        <f>IF(COUNTA(AC1597:AC1600)=0,0,IF(OR(AND(AC1597=0,CG1470&gt;0),AND(AC1597="ns",CH1470&gt;0),AND(AC1597="ns",CG1470=0,CH1470=0)),1,IF(OR(AND(CG1470&gt;=2,AC1597&gt;CH1470),AND(AC1597="ns",CH1470=0,CG1470&gt;0),AC1597=CH1470),0,1)))</f>
        <v>0</v>
      </c>
      <c r="CJ1470">
        <f>COUNTIF(AC1610:AC1614,"NS")</f>
        <v>0</v>
      </c>
      <c r="CK1470">
        <f>SUM(AC1610:AC1614)</f>
        <v>0</v>
      </c>
      <c r="CL1470">
        <f>IF(COUNTA(AC1609:AC1614)=0,0,IF(OR(AND(AC1609=0,CJ1470&gt;0),AND(AC1609="ns",CK1470&gt;0),AND(AC1609="ns",CJ1470=0,CK1470=0)),1,IF(OR(AND(CJ1470&gt;=2,AC1609&gt;CK1470),AND(AC1609="ns",CK1470=0,CJ1470&gt;0),AC1609=CK1470),0,1)))</f>
        <v>0</v>
      </c>
    </row>
    <row r="1471" spans="1:90" ht="15" customHeight="1">
      <c r="A1471" s="103"/>
      <c r="B1471" s="57"/>
      <c r="C1471" s="1108" t="s">
        <v>4826</v>
      </c>
      <c r="D1471" s="847" t="s">
        <v>4827</v>
      </c>
      <c r="E1471" s="953"/>
      <c r="F1471" s="848"/>
      <c r="G1471" s="1117" t="s">
        <v>4828</v>
      </c>
      <c r="H1471" s="1118"/>
      <c r="I1471" s="1104" t="s">
        <v>4829</v>
      </c>
      <c r="J1471" s="1105"/>
      <c r="K1471" s="1105"/>
      <c r="L1471" s="1105"/>
      <c r="M1471" s="1105"/>
      <c r="N1471" s="1105"/>
      <c r="O1471" s="1105"/>
      <c r="P1471" s="1105"/>
      <c r="Q1471" s="1105"/>
      <c r="R1471" s="1105"/>
      <c r="S1471" s="1105"/>
      <c r="T1471" s="1105"/>
      <c r="U1471" s="1106"/>
      <c r="V1471" s="100"/>
      <c r="W1471" s="100"/>
      <c r="X1471" s="100"/>
      <c r="Y1471" s="100"/>
      <c r="Z1471" s="100"/>
      <c r="AA1471" s="100"/>
      <c r="AB1471" s="100"/>
      <c r="AC1471" s="100"/>
      <c r="AD1471" s="100"/>
      <c r="AF1471"/>
      <c r="AK1471">
        <f t="shared" si="915"/>
        <v>0</v>
      </c>
      <c r="AL1471">
        <f t="shared" si="916"/>
        <v>0</v>
      </c>
      <c r="AM1471">
        <f t="shared" si="917"/>
        <v>0</v>
      </c>
      <c r="AN1471">
        <f t="shared" si="918"/>
        <v>0</v>
      </c>
      <c r="AO1471">
        <f t="shared" si="919"/>
        <v>0</v>
      </c>
      <c r="AP1471">
        <f t="shared" si="920"/>
        <v>0</v>
      </c>
      <c r="AQ1471">
        <f t="shared" si="921"/>
        <v>0</v>
      </c>
      <c r="AR1471">
        <f t="shared" si="922"/>
        <v>0</v>
      </c>
      <c r="AS1471">
        <f t="shared" si="923"/>
        <v>0</v>
      </c>
      <c r="AT1471">
        <f>COUNTIF(AD1464:AD1469,"NS")</f>
        <v>0</v>
      </c>
      <c r="AU1471">
        <f>SUM(AD1464:AD1469)</f>
        <v>0</v>
      </c>
      <c r="AV1471">
        <f>IF(COUNTA(AD1463:AD1469)=0,0,IF(OR(AND(AD1463=0,AT1471&gt;0),AND(AD1463="ns",AU1471&gt;0),AND(AD1463="ns",AT1471=0,AU1471=0)),1,IF(OR(AND(AT1471&gt;=2,AD1463&gt;AU1471),AND(AD1463="ns",AU1471=0,AT1471&gt;0),AD1463=AU1471),0,1)))</f>
        <v>0</v>
      </c>
      <c r="AW1471">
        <f>COUNTIF(AD1475:AD1479,"NS")</f>
        <v>0</v>
      </c>
      <c r="AX1471">
        <f>SUM(AD1475:AD1479)</f>
        <v>0</v>
      </c>
      <c r="AY1471">
        <f>IF(COUNTA(AD1474:AD1479)=0,0,IF(OR(AND(AD1474=0,AW1471&gt;0),AND(AD1474="ns",AX1471&gt;0),AND(AD1474="ns",AW1471=0,AX1471=0)),1,IF(OR(AND(AW1471&gt;=2,AD1474&gt;AX1471),AND(AD1474="ns",AX1471=0,AW1471&gt;0),AD1474=AX1471),0,1)))</f>
        <v>0</v>
      </c>
      <c r="AZ1471">
        <f>COUNTIF(AD1484:AD1501,"NS")</f>
        <v>0</v>
      </c>
      <c r="BA1471">
        <f>SUM(AD1484:AD1501)</f>
        <v>0</v>
      </c>
      <c r="BB1471">
        <f>IF(COUNTA(AD1483:AD1501)=0,0,IF(OR(AND(AD1483=0,AZ1471&gt;0),AND(AD1483="ns",BA1471&gt;0),AND(AD1483="ns",AZ1471=0,BA1471=0)),1,IF(OR(AND(AZ1471&gt;=2,AD1483&gt;BA1471),AND(AD1483="ns",BA1471=0,AZ1471&gt;0),AD1483=BA1471),0,1)))</f>
        <v>0</v>
      </c>
      <c r="BC1471">
        <f>COUNTIF(AD1503:AD1507,"NS")</f>
        <v>0</v>
      </c>
      <c r="BD1471">
        <f>SUM(AD1503:AD1507)</f>
        <v>0</v>
      </c>
      <c r="BE1471">
        <f>IF(COUNTA(AD1502:AD1507)=0,0,IF(OR(AND(AD1502=0,BC1471&gt;0),AND(AD1502="ns",BD1471&gt;0),AND(AD1502="ns",BC1471=0,BD1471=0)),1,IF(OR(AND(BC1471&gt;=2,AD1502&gt;BD1471),AND(AD1502="ns",BD1471=0,BC1471&gt;0),AD1502=BD1471),0,1)))</f>
        <v>0</v>
      </c>
      <c r="BF1471">
        <f>COUNTIF(AD1511:AD1513,"NS")</f>
        <v>0</v>
      </c>
      <c r="BG1471">
        <f>SUM(AD1511:AD1513)</f>
        <v>0</v>
      </c>
      <c r="BH1471">
        <f>IF(COUNTA(AD1510:AD1513)=0,0,IF(OR(AND(AD1510=0,BF1471&gt;0),AND(AD1510="ns",BG1471&gt;0),AND(AD1510="ns",BF1471=0,BG1471=0)),1,IF(OR(AND(BF1471&gt;=2,AD1510&gt;BG1471),AND(AD1510="ns",BG1471=0,BF1471&gt;0),AD1510=BG1471),0,1)))</f>
        <v>0</v>
      </c>
      <c r="BI1471">
        <f>COUNTIF(AD1521:AD1527,"NS")</f>
        <v>0</v>
      </c>
      <c r="BJ1471">
        <f>SUM(AD1521:AD1527)</f>
        <v>0</v>
      </c>
      <c r="BK1471">
        <f>IF(COUNTA(AD1520:AD1527)=0,0,IF(OR(AND(AD1520=0,BI1471&gt;0),AND(AD1520="ns",BJ1471&gt;0),AND(AD1520="ns",BI1471=0,BJ1471=0)),1,IF(OR(AND(BI1471&gt;=2,AD1520&gt;BJ1471),AND(AD1520="ns",BJ1471=0,BI1471&gt;0),AD1520=BJ1471),0,1)))</f>
        <v>0</v>
      </c>
      <c r="BL1471">
        <f>COUNTIF(AD1529:AD1533,"NS")</f>
        <v>0</v>
      </c>
      <c r="BM1471">
        <f>SUM(AD1529:AD1533)</f>
        <v>0</v>
      </c>
      <c r="BN1471">
        <f>IF(COUNTA(AD1528:AD1533)=0,0,IF(OR(AND(AD1528=0,BL1471&gt;0),AND(AD1528="ns",BM1471&gt;0),AND(AD1528="ns",BL1471=0,BM1471=0)),1,IF(OR(AND(BL1471&gt;=2,AD1528&gt;BM1471),AND(AD1528="ns",BM1471=0,BL1471&gt;0),AD1528=BM1471),0,1)))</f>
        <v>0</v>
      </c>
      <c r="BO1471">
        <f>COUNTIF(AD1539:AD1544,"NS")</f>
        <v>0</v>
      </c>
      <c r="BP1471">
        <f>SUM(AD1539:AD1544)</f>
        <v>0</v>
      </c>
      <c r="BQ1471">
        <f>IF(COUNTA(AD1538:AD1544)=0,0,IF(OR(AND(AD1538=0,BO1471&gt;0),AND(AD1538="ns",BP1471&gt;0),AND(AD1538="ns",BO1471=0,BP1471=0)),1,IF(OR(AND(BO1471&gt;=2,AD1538&gt;BP1471),AND(AD1538="ns",BP1471=0,BO1471&gt;0),AD1538=BP1471),0,1)))</f>
        <v>0</v>
      </c>
      <c r="BR1471">
        <f>COUNTIF(AD1546:AD1553,"NS")</f>
        <v>0</v>
      </c>
      <c r="BS1471">
        <f>SUM(AD1546:AD1553)</f>
        <v>0</v>
      </c>
      <c r="BT1471">
        <f>IF(COUNTA(AD1545:AD1553)=0,0,IF(OR(AND(AD1545=0,BR1471&gt;0),AND(AD1545="ns",BS1471&gt;0),AND(AD1545="ns",BR1471=0,BS1471=0)),1,IF(OR(AND(BR1471&gt;=2,AD1545&gt;BS1471),AND(AD1545="ns",BS1471=0,BR1471&gt;0),AD1545=BS1471),0,1)))</f>
        <v>0</v>
      </c>
      <c r="BU1471">
        <f>COUNTIF(AD1558:AD1563,"NS")</f>
        <v>0</v>
      </c>
      <c r="BV1471">
        <f>SUM(AD1558:AD1563)</f>
        <v>0</v>
      </c>
      <c r="BW1471">
        <f>IF(COUNTA(AD1557:AD1563)=0,0,IF(OR(AND(AD1557=0,BU1471&gt;0),AND(AD1557="ns",BV1471&gt;0),AND(AD1557="ns",BU1471=0,BV1471=0)),1,IF(OR(AND(BU1471&gt;=2,AD1557&gt;BV1471),AND(AD1557="ns",BV1471=0,BU1471&gt;0),AD1557=BV1471),0,1)))</f>
        <v>0</v>
      </c>
      <c r="BX1471">
        <f>COUNTIF(AD1568:AD1576,"NS")</f>
        <v>0</v>
      </c>
      <c r="BY1471">
        <f>SUM(AD1568:AD1576)</f>
        <v>0</v>
      </c>
      <c r="BZ1471">
        <f>IF(COUNTA(AD1567:AD1576)=0,0,IF(OR(AND(AD1567=0,BX1471&gt;0),AND(AD1567="ns",BY1471&gt;0),AND(AD1567="ns",BX1471=0,BY1471=0)),1,IF(OR(AND(BX1471&gt;=2,AD1567&gt;BY1471),AND(AD1567="ns",BY1471=0,BX1471&gt;0),AD1567=BY1471),0,1)))</f>
        <v>0</v>
      </c>
      <c r="CA1471">
        <f>COUNTIF(AD1578:AD1580,"NS")</f>
        <v>0</v>
      </c>
      <c r="CB1471">
        <f>SUM(AD1578:AD1580)</f>
        <v>0</v>
      </c>
      <c r="CC1471">
        <f>IF(COUNTA(AD1577:AD1580)=0,0,IF(OR(AND(AD1577=0,CA1471&gt;0),AND(AD1577="ns",CB1471&gt;0),AND(AD1577="ns",CA1471=0,CB1471=0)),1,IF(OR(AND(CA1471&gt;=2,AD1577&gt;CB1471),AND(AD1577="ns",CB1471=0,CA1471&gt;0),AD1577=CB1471),0,1)))</f>
        <v>0</v>
      </c>
      <c r="CD1471">
        <f>COUNTIF(AD1589:AD1595,"NS")</f>
        <v>0</v>
      </c>
      <c r="CE1471">
        <f>SUM(AD1589:AD1595)</f>
        <v>0</v>
      </c>
      <c r="CF1471">
        <f>IF(COUNTA(AD1588:AD1595)=0,0,IF(OR(AND(AD1588=0,CD1471&gt;0),AND(AD1588="ns",CE1471&gt;0),AND(AD1588="ns",CD1471=0,CE1471=0)),1,IF(OR(AND(CD1471&gt;=2,AD1588&gt;CE1471),AND(AD1588="ns",CE1471=0,CD1471&gt;0),AD1588=CE1471),0,1)))</f>
        <v>0</v>
      </c>
      <c r="CG1471">
        <f>COUNTIF(AD1598:AD1600,"NS")</f>
        <v>0</v>
      </c>
      <c r="CH1471">
        <f>SUM(AD1598:AD1600)</f>
        <v>0</v>
      </c>
      <c r="CI1471">
        <f>IF(COUNTA(AD1597:AD1600)=0,0,IF(OR(AND(AD1597=0,CG1471&gt;0),AND(AD1597="ns",CH1471&gt;0),AND(AD1597="ns",CG1471=0,CH1471=0)),1,IF(OR(AND(CG1471&gt;=2,AD1597&gt;CH1471),AND(AD1597="ns",CH1471=0,CG1471&gt;0),AD1597=CH1471),0,1)))</f>
        <v>0</v>
      </c>
      <c r="CJ1471">
        <f>COUNTIF(AD1610:AD1614,"NS")</f>
        <v>0</v>
      </c>
      <c r="CK1471">
        <f>SUM(AD1610:AD1614)</f>
        <v>0</v>
      </c>
      <c r="CL1471">
        <f>IF(COUNTA(AD1609:AD1614)=0,0,IF(OR(AND(AD1609=0,CJ1471&gt;0),AND(AD1609="ns",CK1471&gt;0),AND(AD1609="ns",CJ1471=0,CK1471=0)),1,IF(OR(AND(CJ1471&gt;=2,AD1609&gt;CK1471),AND(AD1609="ns",CK1471=0,CJ1471&gt;0),AD1609=CK1471),0,1)))</f>
        <v>0</v>
      </c>
    </row>
    <row r="1472" spans="1:90" ht="15" customHeight="1">
      <c r="A1472" s="103"/>
      <c r="B1472" s="57"/>
      <c r="C1472" s="1109"/>
      <c r="D1472" s="954"/>
      <c r="E1472" s="955"/>
      <c r="F1472" s="956"/>
      <c r="G1472" s="1117" t="s">
        <v>4830</v>
      </c>
      <c r="H1472" s="1118"/>
      <c r="I1472" s="1104" t="s">
        <v>4831</v>
      </c>
      <c r="J1472" s="1105"/>
      <c r="K1472" s="1105"/>
      <c r="L1472" s="1105"/>
      <c r="M1472" s="1105"/>
      <c r="N1472" s="1105"/>
      <c r="O1472" s="1105"/>
      <c r="P1472" s="1105"/>
      <c r="Q1472" s="1105"/>
      <c r="R1472" s="1105"/>
      <c r="S1472" s="1105"/>
      <c r="T1472" s="1105"/>
      <c r="U1472" s="1106"/>
      <c r="V1472" s="100"/>
      <c r="W1472" s="100"/>
      <c r="X1472" s="100"/>
      <c r="Y1472" s="100"/>
      <c r="Z1472" s="100"/>
      <c r="AA1472" s="100"/>
      <c r="AB1472" s="100"/>
      <c r="AC1472" s="100"/>
      <c r="AD1472" s="100"/>
      <c r="AF1472"/>
      <c r="AK1472">
        <f t="shared" si="915"/>
        <v>0</v>
      </c>
      <c r="AL1472">
        <f t="shared" si="916"/>
        <v>0</v>
      </c>
      <c r="AM1472">
        <f t="shared" si="917"/>
        <v>0</v>
      </c>
      <c r="AN1472">
        <f t="shared" si="918"/>
        <v>0</v>
      </c>
      <c r="AO1472">
        <f t="shared" si="919"/>
        <v>0</v>
      </c>
      <c r="AP1472">
        <f t="shared" si="920"/>
        <v>0</v>
      </c>
      <c r="AQ1472">
        <f t="shared" si="921"/>
        <v>0</v>
      </c>
      <c r="AR1472">
        <f t="shared" si="922"/>
        <v>0</v>
      </c>
      <c r="AS1472">
        <f t="shared" si="923"/>
        <v>0</v>
      </c>
      <c r="AT1472">
        <f>SUM(AT1463:AT1471)</f>
        <v>0</v>
      </c>
      <c r="AV1472">
        <f>SUM(AV1463:AV1471)</f>
        <v>0</v>
      </c>
      <c r="AW1472">
        <f>SUM(AW1463:AW1471)</f>
        <v>0</v>
      </c>
      <c r="AY1472">
        <f>SUM(AY1463:AY1471)</f>
        <v>0</v>
      </c>
      <c r="AZ1472">
        <f>SUM(AZ1463:AZ1471)</f>
        <v>0</v>
      </c>
      <c r="BB1472">
        <f>SUM(BB1463:BB1471)</f>
        <v>0</v>
      </c>
      <c r="BC1472">
        <f>SUM(BC1463:BC1471)</f>
        <v>0</v>
      </c>
      <c r="BE1472">
        <f>SUM(BE1463:BE1471)</f>
        <v>0</v>
      </c>
      <c r="BF1472">
        <f>SUM(BF1463:BF1471)</f>
        <v>0</v>
      </c>
      <c r="BH1472">
        <f>SUM(BH1463:BH1471)</f>
        <v>0</v>
      </c>
      <c r="BI1472">
        <f>SUM(BI1463:BI1471)</f>
        <v>0</v>
      </c>
      <c r="BK1472">
        <f>SUM(BK1463:BK1471)</f>
        <v>0</v>
      </c>
      <c r="BL1472">
        <f>SUM(BL1463:BL1471)</f>
        <v>0</v>
      </c>
      <c r="BN1472">
        <f>SUM(BN1463:BN1471)</f>
        <v>0</v>
      </c>
      <c r="BO1472">
        <f>SUM(BO1463:BO1471)</f>
        <v>0</v>
      </c>
      <c r="BQ1472">
        <f>SUM(BQ1463:BQ1471)</f>
        <v>0</v>
      </c>
      <c r="BR1472">
        <f>SUM(BR1463:BR1471)</f>
        <v>0</v>
      </c>
      <c r="BT1472">
        <f>SUM(BT1463:BT1471)</f>
        <v>0</v>
      </c>
      <c r="BU1472">
        <f>SUM(BU1463:BU1471)</f>
        <v>0</v>
      </c>
      <c r="BW1472">
        <f>SUM(BW1463:BW1471)</f>
        <v>0</v>
      </c>
      <c r="BX1472">
        <f>SUM(BX1463:BX1471)</f>
        <v>0</v>
      </c>
      <c r="BZ1472">
        <f>SUM(BZ1463:BZ1471)</f>
        <v>0</v>
      </c>
      <c r="CA1472">
        <f>SUM(CA1463:CA1471)</f>
        <v>0</v>
      </c>
      <c r="CC1472">
        <f>SUM(CC1463:CC1471)</f>
        <v>0</v>
      </c>
      <c r="CD1472">
        <f>SUM(CD1463:CD1471)</f>
        <v>0</v>
      </c>
      <c r="CF1472">
        <f>SUM(CF1463:CF1471)</f>
        <v>0</v>
      </c>
      <c r="CG1472">
        <f>SUM(CG1463:CG1471)</f>
        <v>0</v>
      </c>
      <c r="CI1472">
        <f>SUM(CI1463:CI1471)</f>
        <v>0</v>
      </c>
      <c r="CJ1472">
        <f>SUM(CJ1463:CJ1471)</f>
        <v>0</v>
      </c>
      <c r="CL1472">
        <f>SUM(CL1463:CL1471)</f>
        <v>0</v>
      </c>
    </row>
    <row r="1473" spans="1:90" ht="15" customHeight="1">
      <c r="A1473" s="103"/>
      <c r="B1473" s="57"/>
      <c r="C1473" s="1109"/>
      <c r="D1473" s="954"/>
      <c r="E1473" s="955"/>
      <c r="F1473" s="956"/>
      <c r="G1473" s="1117" t="s">
        <v>4832</v>
      </c>
      <c r="H1473" s="1118"/>
      <c r="I1473" s="1104" t="s">
        <v>4833</v>
      </c>
      <c r="J1473" s="1105"/>
      <c r="K1473" s="1105"/>
      <c r="L1473" s="1105"/>
      <c r="M1473" s="1105"/>
      <c r="N1473" s="1105"/>
      <c r="O1473" s="1105"/>
      <c r="P1473" s="1105"/>
      <c r="Q1473" s="1105"/>
      <c r="R1473" s="1105"/>
      <c r="S1473" s="1105"/>
      <c r="T1473" s="1105"/>
      <c r="U1473" s="1106"/>
      <c r="V1473" s="100"/>
      <c r="W1473" s="100"/>
      <c r="X1473" s="100"/>
      <c r="Y1473" s="100"/>
      <c r="Z1473" s="100"/>
      <c r="AA1473" s="100"/>
      <c r="AB1473" s="100"/>
      <c r="AC1473" s="100"/>
      <c r="AD1473" s="100"/>
      <c r="AF1473"/>
      <c r="AK1473">
        <f t="shared" si="915"/>
        <v>0</v>
      </c>
      <c r="AL1473">
        <f t="shared" si="916"/>
        <v>0</v>
      </c>
      <c r="AM1473">
        <f t="shared" si="917"/>
        <v>0</v>
      </c>
      <c r="AN1473">
        <f t="shared" si="918"/>
        <v>0</v>
      </c>
      <c r="AO1473">
        <f t="shared" si="919"/>
        <v>0</v>
      </c>
      <c r="AP1473">
        <f t="shared" si="920"/>
        <v>0</v>
      </c>
      <c r="AQ1473">
        <f t="shared" si="921"/>
        <v>0</v>
      </c>
      <c r="AR1473">
        <f t="shared" si="922"/>
        <v>0</v>
      </c>
      <c r="AS1473">
        <f t="shared" si="923"/>
        <v>0</v>
      </c>
      <c r="CL1473" s="405">
        <f>SUM(AV1472,AY1472,BB1472,BE1472,BH1472,BK1472,BN1472,BQ1472,BT1472,BW1472,BZ1472,CC1472,CF1472,CI1472,CL1472)</f>
        <v>0</v>
      </c>
    </row>
    <row r="1474" spans="1:90" ht="15" customHeight="1">
      <c r="A1474" s="103"/>
      <c r="B1474" s="57"/>
      <c r="C1474" s="1109"/>
      <c r="D1474" s="954"/>
      <c r="E1474" s="955"/>
      <c r="F1474" s="956"/>
      <c r="G1474" s="1117" t="s">
        <v>4834</v>
      </c>
      <c r="H1474" s="1118"/>
      <c r="I1474" s="1104" t="s">
        <v>4835</v>
      </c>
      <c r="J1474" s="1105"/>
      <c r="K1474" s="1105"/>
      <c r="L1474" s="1105"/>
      <c r="M1474" s="1105"/>
      <c r="N1474" s="1105"/>
      <c r="O1474" s="1105"/>
      <c r="P1474" s="1105"/>
      <c r="Q1474" s="1105"/>
      <c r="R1474" s="1105"/>
      <c r="S1474" s="1105"/>
      <c r="T1474" s="1105"/>
      <c r="U1474" s="1106"/>
      <c r="V1474" s="100"/>
      <c r="W1474" s="100"/>
      <c r="X1474" s="100"/>
      <c r="Y1474" s="100"/>
      <c r="Z1474" s="100"/>
      <c r="AA1474" s="100"/>
      <c r="AB1474" s="100"/>
      <c r="AC1474" s="100"/>
      <c r="AD1474" s="100"/>
      <c r="AF1474"/>
      <c r="AK1474">
        <f t="shared" si="915"/>
        <v>0</v>
      </c>
      <c r="AL1474">
        <f t="shared" si="916"/>
        <v>0</v>
      </c>
      <c r="AM1474">
        <f t="shared" si="917"/>
        <v>0</v>
      </c>
      <c r="AN1474">
        <f t="shared" si="918"/>
        <v>0</v>
      </c>
      <c r="AO1474">
        <f t="shared" si="919"/>
        <v>0</v>
      </c>
      <c r="AP1474">
        <f t="shared" si="920"/>
        <v>0</v>
      </c>
      <c r="AQ1474">
        <f t="shared" si="921"/>
        <v>0</v>
      </c>
      <c r="AR1474">
        <f t="shared" si="922"/>
        <v>0</v>
      </c>
      <c r="AS1474">
        <f t="shared" si="923"/>
        <v>0</v>
      </c>
      <c r="CL1474" s="701">
        <f>SUM(CR1307,CL1473)</f>
        <v>0</v>
      </c>
    </row>
    <row r="1475" spans="1:90" ht="15" customHeight="1">
      <c r="A1475" s="103"/>
      <c r="B1475" s="57"/>
      <c r="C1475" s="1109"/>
      <c r="D1475" s="954"/>
      <c r="E1475" s="955"/>
      <c r="F1475" s="956"/>
      <c r="G1475" s="1119" t="s">
        <v>4837</v>
      </c>
      <c r="H1475" s="1120"/>
      <c r="I1475" s="177"/>
      <c r="J1475" s="1115" t="s">
        <v>4838</v>
      </c>
      <c r="K1475" s="1115"/>
      <c r="L1475" s="1115"/>
      <c r="M1475" s="1115"/>
      <c r="N1475" s="1115"/>
      <c r="O1475" s="1115"/>
      <c r="P1475" s="1115"/>
      <c r="Q1475" s="1115"/>
      <c r="R1475" s="1115"/>
      <c r="S1475" s="1115"/>
      <c r="T1475" s="1115"/>
      <c r="U1475" s="1116"/>
      <c r="V1475" s="100"/>
      <c r="W1475" s="100"/>
      <c r="X1475" s="100"/>
      <c r="Y1475" s="100"/>
      <c r="Z1475" s="100"/>
      <c r="AA1475" s="100"/>
      <c r="AB1475" s="100"/>
      <c r="AC1475" s="100"/>
      <c r="AD1475" s="100"/>
      <c r="AF1475"/>
      <c r="AK1475">
        <f t="shared" si="915"/>
        <v>0</v>
      </c>
      <c r="AL1475">
        <f t="shared" si="916"/>
        <v>0</v>
      </c>
      <c r="AM1475">
        <f t="shared" si="917"/>
        <v>0</v>
      </c>
      <c r="AN1475">
        <f t="shared" si="918"/>
        <v>0</v>
      </c>
      <c r="AO1475">
        <f t="shared" si="919"/>
        <v>0</v>
      </c>
      <c r="AP1475">
        <f t="shared" si="920"/>
        <v>0</v>
      </c>
      <c r="AQ1475">
        <f t="shared" si="921"/>
        <v>0</v>
      </c>
      <c r="AR1475">
        <f t="shared" si="922"/>
        <v>0</v>
      </c>
      <c r="AS1475">
        <f t="shared" si="923"/>
        <v>0</v>
      </c>
      <c r="CK1475" t="s">
        <v>4836</v>
      </c>
      <c r="CL1475" s="506">
        <f>CL1474-SUM(COUNTIF(P1291,"NA"),COUNTIF(P1302,"NA"),COUNTIF(P1311,"NA"),COUNTIF(P1330,"NA"),COUNTIF(P1338,"NA"),COUNTIF(P1348,"NA"),COUNTIF(P1356,"NA"),COUNTIF(P1366,"NA"),COUNTIF(P1373,"NA"),COUNTIF(P1385,"NA"),COUNTIF(P1395,"NA"),COUNTIF(P1405,"NA"),COUNTIF(P1416,"NA"),COUNTIF(P1425,"NA"),COUNTIF(P1437,"NA"))</f>
        <v>0</v>
      </c>
    </row>
    <row r="1476" spans="1:90" ht="36" customHeight="1">
      <c r="A1476" s="103"/>
      <c r="B1476" s="57"/>
      <c r="C1476" s="1109"/>
      <c r="D1476" s="954"/>
      <c r="E1476" s="955"/>
      <c r="F1476" s="956"/>
      <c r="G1476" s="1119" t="s">
        <v>4839</v>
      </c>
      <c r="H1476" s="1120"/>
      <c r="I1476" s="178"/>
      <c r="J1476" s="1111" t="s">
        <v>4840</v>
      </c>
      <c r="K1476" s="1111"/>
      <c r="L1476" s="1111"/>
      <c r="M1476" s="1111"/>
      <c r="N1476" s="1111"/>
      <c r="O1476" s="1111"/>
      <c r="P1476" s="1111"/>
      <c r="Q1476" s="1111"/>
      <c r="R1476" s="1111"/>
      <c r="S1476" s="1111"/>
      <c r="T1476" s="1111"/>
      <c r="U1476" s="1112"/>
      <c r="V1476" s="100"/>
      <c r="W1476" s="100"/>
      <c r="X1476" s="100"/>
      <c r="Y1476" s="100"/>
      <c r="Z1476" s="100"/>
      <c r="AA1476" s="100"/>
      <c r="AB1476" s="100"/>
      <c r="AC1476" s="100"/>
      <c r="AD1476" s="100"/>
      <c r="AF1476"/>
      <c r="AK1476">
        <f t="shared" si="915"/>
        <v>0</v>
      </c>
      <c r="AL1476">
        <f t="shared" si="916"/>
        <v>0</v>
      </c>
      <c r="AM1476">
        <f t="shared" si="917"/>
        <v>0</v>
      </c>
      <c r="AN1476">
        <f t="shared" si="918"/>
        <v>0</v>
      </c>
      <c r="AO1476">
        <f t="shared" si="919"/>
        <v>0</v>
      </c>
      <c r="AP1476">
        <f t="shared" si="920"/>
        <v>0</v>
      </c>
      <c r="AQ1476">
        <f t="shared" si="921"/>
        <v>0</v>
      </c>
      <c r="AR1476">
        <f t="shared" si="922"/>
        <v>0</v>
      </c>
      <c r="AS1476">
        <f t="shared" si="923"/>
        <v>0</v>
      </c>
    </row>
    <row r="1477" spans="1:90" ht="15" customHeight="1">
      <c r="A1477" s="103"/>
      <c r="B1477" s="57"/>
      <c r="C1477" s="1109"/>
      <c r="D1477" s="954"/>
      <c r="E1477" s="955"/>
      <c r="F1477" s="956"/>
      <c r="G1477" s="1119" t="s">
        <v>4841</v>
      </c>
      <c r="H1477" s="1120"/>
      <c r="I1477" s="178"/>
      <c r="J1477" s="1111" t="s">
        <v>4842</v>
      </c>
      <c r="K1477" s="1111"/>
      <c r="L1477" s="1111"/>
      <c r="M1477" s="1111"/>
      <c r="N1477" s="1111"/>
      <c r="O1477" s="1111"/>
      <c r="P1477" s="1111"/>
      <c r="Q1477" s="1111"/>
      <c r="R1477" s="1111"/>
      <c r="S1477" s="1111"/>
      <c r="T1477" s="1111"/>
      <c r="U1477" s="1112"/>
      <c r="V1477" s="100"/>
      <c r="W1477" s="100"/>
      <c r="X1477" s="100"/>
      <c r="Y1477" s="100"/>
      <c r="Z1477" s="100"/>
      <c r="AA1477" s="100"/>
      <c r="AB1477" s="100"/>
      <c r="AC1477" s="100"/>
      <c r="AD1477" s="100"/>
      <c r="AF1477"/>
      <c r="AK1477">
        <f t="shared" si="915"/>
        <v>0</v>
      </c>
      <c r="AL1477">
        <f t="shared" si="916"/>
        <v>0</v>
      </c>
      <c r="AM1477">
        <f t="shared" si="917"/>
        <v>0</v>
      </c>
      <c r="AN1477">
        <f t="shared" si="918"/>
        <v>0</v>
      </c>
      <c r="AO1477">
        <f t="shared" si="919"/>
        <v>0</v>
      </c>
      <c r="AP1477">
        <f t="shared" si="920"/>
        <v>0</v>
      </c>
      <c r="AQ1477">
        <f t="shared" si="921"/>
        <v>0</v>
      </c>
      <c r="AR1477">
        <f t="shared" si="922"/>
        <v>0</v>
      </c>
      <c r="AS1477">
        <f t="shared" si="923"/>
        <v>0</v>
      </c>
    </row>
    <row r="1478" spans="1:90" ht="15" customHeight="1">
      <c r="A1478" s="103"/>
      <c r="B1478" s="57"/>
      <c r="C1478" s="1109"/>
      <c r="D1478" s="954"/>
      <c r="E1478" s="955"/>
      <c r="F1478" s="956"/>
      <c r="G1478" s="1119" t="s">
        <v>4843</v>
      </c>
      <c r="H1478" s="1120"/>
      <c r="I1478" s="178"/>
      <c r="J1478" s="1111" t="s">
        <v>4844</v>
      </c>
      <c r="K1478" s="1111"/>
      <c r="L1478" s="1111"/>
      <c r="M1478" s="1111"/>
      <c r="N1478" s="1111"/>
      <c r="O1478" s="1111"/>
      <c r="P1478" s="1111"/>
      <c r="Q1478" s="1111"/>
      <c r="R1478" s="1111"/>
      <c r="S1478" s="1111"/>
      <c r="T1478" s="1111"/>
      <c r="U1478" s="1112"/>
      <c r="V1478" s="100"/>
      <c r="W1478" s="100"/>
      <c r="X1478" s="100"/>
      <c r="Y1478" s="100"/>
      <c r="Z1478" s="100"/>
      <c r="AA1478" s="100"/>
      <c r="AB1478" s="100"/>
      <c r="AC1478" s="100"/>
      <c r="AD1478" s="100"/>
      <c r="AF1478"/>
      <c r="AK1478">
        <f t="shared" si="915"/>
        <v>0</v>
      </c>
      <c r="AL1478">
        <f t="shared" si="916"/>
        <v>0</v>
      </c>
      <c r="AM1478">
        <f t="shared" si="917"/>
        <v>0</v>
      </c>
      <c r="AN1478">
        <f t="shared" si="918"/>
        <v>0</v>
      </c>
      <c r="AO1478">
        <f t="shared" si="919"/>
        <v>0</v>
      </c>
      <c r="AP1478">
        <f t="shared" si="920"/>
        <v>0</v>
      </c>
      <c r="AQ1478">
        <f t="shared" si="921"/>
        <v>0</v>
      </c>
      <c r="AR1478">
        <f t="shared" si="922"/>
        <v>0</v>
      </c>
      <c r="AS1478">
        <f t="shared" si="923"/>
        <v>0</v>
      </c>
    </row>
    <row r="1479" spans="1:90" ht="15" customHeight="1">
      <c r="A1479" s="103"/>
      <c r="B1479" s="57"/>
      <c r="C1479" s="1109"/>
      <c r="D1479" s="954"/>
      <c r="E1479" s="955"/>
      <c r="F1479" s="956"/>
      <c r="G1479" s="1119" t="s">
        <v>4845</v>
      </c>
      <c r="H1479" s="1120"/>
      <c r="I1479" s="179"/>
      <c r="J1479" s="1113" t="s">
        <v>201</v>
      </c>
      <c r="K1479" s="1113"/>
      <c r="L1479" s="1113"/>
      <c r="M1479" s="1113"/>
      <c r="N1479" s="1113"/>
      <c r="O1479" s="1113"/>
      <c r="P1479" s="1113"/>
      <c r="Q1479" s="1113"/>
      <c r="R1479" s="1113"/>
      <c r="S1479" s="1113"/>
      <c r="T1479" s="1113"/>
      <c r="U1479" s="1114"/>
      <c r="V1479" s="100"/>
      <c r="W1479" s="100"/>
      <c r="X1479" s="100"/>
      <c r="Y1479" s="100"/>
      <c r="Z1479" s="100"/>
      <c r="AA1479" s="100"/>
      <c r="AB1479" s="100"/>
      <c r="AC1479" s="100"/>
      <c r="AD1479" s="100"/>
      <c r="AF1479"/>
      <c r="AK1479">
        <f t="shared" si="915"/>
        <v>0</v>
      </c>
      <c r="AL1479">
        <f t="shared" si="916"/>
        <v>0</v>
      </c>
      <c r="AM1479">
        <f t="shared" si="917"/>
        <v>0</v>
      </c>
      <c r="AN1479">
        <f t="shared" si="918"/>
        <v>0</v>
      </c>
      <c r="AO1479">
        <f t="shared" si="919"/>
        <v>0</v>
      </c>
      <c r="AP1479">
        <f t="shared" si="920"/>
        <v>0</v>
      </c>
      <c r="AQ1479">
        <f t="shared" si="921"/>
        <v>0</v>
      </c>
      <c r="AR1479">
        <f t="shared" si="922"/>
        <v>0</v>
      </c>
      <c r="AS1479">
        <f t="shared" si="923"/>
        <v>0</v>
      </c>
    </row>
    <row r="1480" spans="1:90" ht="15" customHeight="1">
      <c r="A1480" s="103"/>
      <c r="B1480" s="57"/>
      <c r="C1480" s="1109"/>
      <c r="D1480" s="954"/>
      <c r="E1480" s="955"/>
      <c r="F1480" s="956"/>
      <c r="G1480" s="1117" t="s">
        <v>4846</v>
      </c>
      <c r="H1480" s="1118"/>
      <c r="I1480" s="1104" t="s">
        <v>4847</v>
      </c>
      <c r="J1480" s="1105"/>
      <c r="K1480" s="1105"/>
      <c r="L1480" s="1105"/>
      <c r="M1480" s="1105"/>
      <c r="N1480" s="1105"/>
      <c r="O1480" s="1105"/>
      <c r="P1480" s="1105"/>
      <c r="Q1480" s="1105"/>
      <c r="R1480" s="1105"/>
      <c r="S1480" s="1105"/>
      <c r="T1480" s="1105"/>
      <c r="U1480" s="1106"/>
      <c r="V1480" s="100"/>
      <c r="W1480" s="100"/>
      <c r="X1480" s="100"/>
      <c r="Y1480" s="100"/>
      <c r="Z1480" s="100"/>
      <c r="AA1480" s="100"/>
      <c r="AB1480" s="100"/>
      <c r="AC1480" s="100"/>
      <c r="AD1480" s="100"/>
      <c r="AF1480"/>
      <c r="AK1480">
        <f t="shared" si="915"/>
        <v>0</v>
      </c>
      <c r="AL1480">
        <f t="shared" si="916"/>
        <v>0</v>
      </c>
      <c r="AM1480">
        <f t="shared" si="917"/>
        <v>0</v>
      </c>
      <c r="AN1480">
        <f t="shared" si="918"/>
        <v>0</v>
      </c>
      <c r="AO1480">
        <f t="shared" si="919"/>
        <v>0</v>
      </c>
      <c r="AP1480">
        <f t="shared" si="920"/>
        <v>0</v>
      </c>
      <c r="AQ1480">
        <f t="shared" si="921"/>
        <v>0</v>
      </c>
      <c r="AR1480">
        <f t="shared" si="922"/>
        <v>0</v>
      </c>
      <c r="AS1480">
        <f t="shared" si="923"/>
        <v>0</v>
      </c>
    </row>
    <row r="1481" spans="1:90" ht="15" customHeight="1">
      <c r="A1481" s="103"/>
      <c r="B1481" s="57"/>
      <c r="C1481" s="1109"/>
      <c r="D1481" s="954"/>
      <c r="E1481" s="955"/>
      <c r="F1481" s="956"/>
      <c r="G1481" s="1117" t="s">
        <v>4848</v>
      </c>
      <c r="H1481" s="1118"/>
      <c r="I1481" s="1104" t="s">
        <v>4849</v>
      </c>
      <c r="J1481" s="1105"/>
      <c r="K1481" s="1105"/>
      <c r="L1481" s="1105"/>
      <c r="M1481" s="1105"/>
      <c r="N1481" s="1105"/>
      <c r="O1481" s="1105"/>
      <c r="P1481" s="1105"/>
      <c r="Q1481" s="1105"/>
      <c r="R1481" s="1105"/>
      <c r="S1481" s="1105"/>
      <c r="T1481" s="1105"/>
      <c r="U1481" s="1106"/>
      <c r="V1481" s="100"/>
      <c r="W1481" s="100"/>
      <c r="X1481" s="100"/>
      <c r="Y1481" s="100"/>
      <c r="Z1481" s="100"/>
      <c r="AA1481" s="100"/>
      <c r="AB1481" s="100"/>
      <c r="AC1481" s="100"/>
      <c r="AD1481" s="100"/>
      <c r="AF1481"/>
      <c r="AK1481">
        <f t="shared" si="915"/>
        <v>0</v>
      </c>
      <c r="AL1481">
        <f t="shared" si="916"/>
        <v>0</v>
      </c>
      <c r="AM1481">
        <f t="shared" si="917"/>
        <v>0</v>
      </c>
      <c r="AN1481">
        <f t="shared" si="918"/>
        <v>0</v>
      </c>
      <c r="AO1481">
        <f t="shared" si="919"/>
        <v>0</v>
      </c>
      <c r="AP1481">
        <f t="shared" si="920"/>
        <v>0</v>
      </c>
      <c r="AQ1481">
        <f t="shared" si="921"/>
        <v>0</v>
      </c>
      <c r="AR1481">
        <f t="shared" si="922"/>
        <v>0</v>
      </c>
      <c r="AS1481">
        <f t="shared" si="923"/>
        <v>0</v>
      </c>
    </row>
    <row r="1482" spans="1:90" ht="15" customHeight="1">
      <c r="A1482" s="103"/>
      <c r="B1482" s="57"/>
      <c r="C1482" s="1109"/>
      <c r="D1482" s="954"/>
      <c r="E1482" s="955"/>
      <c r="F1482" s="956"/>
      <c r="G1482" s="1117" t="s">
        <v>4850</v>
      </c>
      <c r="H1482" s="1118"/>
      <c r="I1482" s="1104" t="s">
        <v>4851</v>
      </c>
      <c r="J1482" s="1105"/>
      <c r="K1482" s="1105"/>
      <c r="L1482" s="1105"/>
      <c r="M1482" s="1105"/>
      <c r="N1482" s="1105"/>
      <c r="O1482" s="1105"/>
      <c r="P1482" s="1105"/>
      <c r="Q1482" s="1105"/>
      <c r="R1482" s="1105"/>
      <c r="S1482" s="1105"/>
      <c r="T1482" s="1105"/>
      <c r="U1482" s="1106"/>
      <c r="V1482" s="100"/>
      <c r="W1482" s="100"/>
      <c r="X1482" s="100"/>
      <c r="Y1482" s="100"/>
      <c r="Z1482" s="100"/>
      <c r="AA1482" s="100"/>
      <c r="AB1482" s="100"/>
      <c r="AC1482" s="100"/>
      <c r="AD1482" s="100"/>
      <c r="AF1482"/>
      <c r="AK1482">
        <f t="shared" si="915"/>
        <v>0</v>
      </c>
      <c r="AL1482">
        <f t="shared" si="916"/>
        <v>0</v>
      </c>
      <c r="AM1482">
        <f t="shared" si="917"/>
        <v>0</v>
      </c>
      <c r="AN1482">
        <f t="shared" si="918"/>
        <v>0</v>
      </c>
      <c r="AO1482">
        <f t="shared" si="919"/>
        <v>0</v>
      </c>
      <c r="AP1482">
        <f t="shared" si="920"/>
        <v>0</v>
      </c>
      <c r="AQ1482">
        <f t="shared" si="921"/>
        <v>0</v>
      </c>
      <c r="AR1482">
        <f t="shared" si="922"/>
        <v>0</v>
      </c>
      <c r="AS1482">
        <f t="shared" si="923"/>
        <v>0</v>
      </c>
    </row>
    <row r="1483" spans="1:90" ht="15" customHeight="1">
      <c r="A1483" s="103"/>
      <c r="B1483" s="57"/>
      <c r="C1483" s="1108" t="s">
        <v>4852</v>
      </c>
      <c r="D1483" s="847" t="s">
        <v>4853</v>
      </c>
      <c r="E1483" s="953"/>
      <c r="F1483" s="848"/>
      <c r="G1483" s="1117" t="s">
        <v>4854</v>
      </c>
      <c r="H1483" s="1118"/>
      <c r="I1483" s="1104" t="s">
        <v>4855</v>
      </c>
      <c r="J1483" s="1105"/>
      <c r="K1483" s="1105"/>
      <c r="L1483" s="1105"/>
      <c r="M1483" s="1105"/>
      <c r="N1483" s="1105"/>
      <c r="O1483" s="1105"/>
      <c r="P1483" s="1105"/>
      <c r="Q1483" s="1105"/>
      <c r="R1483" s="1105"/>
      <c r="S1483" s="1105"/>
      <c r="T1483" s="1105"/>
      <c r="U1483" s="1106"/>
      <c r="V1483" s="100"/>
      <c r="W1483" s="100"/>
      <c r="X1483" s="100"/>
      <c r="Y1483" s="100"/>
      <c r="Z1483" s="100"/>
      <c r="AA1483" s="100"/>
      <c r="AB1483" s="100"/>
      <c r="AC1483" s="100"/>
      <c r="AD1483" s="100"/>
      <c r="AF1483"/>
      <c r="AK1483">
        <f t="shared" si="915"/>
        <v>0</v>
      </c>
      <c r="AL1483">
        <f t="shared" si="916"/>
        <v>0</v>
      </c>
      <c r="AM1483">
        <f t="shared" si="917"/>
        <v>0</v>
      </c>
      <c r="AN1483">
        <f t="shared" si="918"/>
        <v>0</v>
      </c>
      <c r="AO1483">
        <f t="shared" si="919"/>
        <v>0</v>
      </c>
      <c r="AP1483">
        <f t="shared" si="920"/>
        <v>0</v>
      </c>
      <c r="AQ1483">
        <f t="shared" si="921"/>
        <v>0</v>
      </c>
      <c r="AR1483">
        <f t="shared" si="922"/>
        <v>0</v>
      </c>
      <c r="AS1483">
        <f t="shared" si="923"/>
        <v>0</v>
      </c>
    </row>
    <row r="1484" spans="1:90" ht="15" customHeight="1">
      <c r="A1484" s="103"/>
      <c r="B1484" s="57"/>
      <c r="C1484" s="1109"/>
      <c r="D1484" s="954"/>
      <c r="E1484" s="955"/>
      <c r="F1484" s="956"/>
      <c r="G1484" s="1119" t="s">
        <v>4856</v>
      </c>
      <c r="H1484" s="1120"/>
      <c r="I1484" s="177"/>
      <c r="J1484" s="1115" t="s">
        <v>4857</v>
      </c>
      <c r="K1484" s="1115"/>
      <c r="L1484" s="1115"/>
      <c r="M1484" s="1115"/>
      <c r="N1484" s="1115"/>
      <c r="O1484" s="1115"/>
      <c r="P1484" s="1115"/>
      <c r="Q1484" s="1115"/>
      <c r="R1484" s="1115"/>
      <c r="S1484" s="1115"/>
      <c r="T1484" s="1115"/>
      <c r="U1484" s="1116"/>
      <c r="V1484" s="100"/>
      <c r="W1484" s="100"/>
      <c r="X1484" s="100"/>
      <c r="Y1484" s="100"/>
      <c r="Z1484" s="100"/>
      <c r="AA1484" s="100"/>
      <c r="AB1484" s="100"/>
      <c r="AC1484" s="100"/>
      <c r="AD1484" s="100"/>
      <c r="AF1484"/>
      <c r="AK1484">
        <f t="shared" si="915"/>
        <v>0</v>
      </c>
      <c r="AL1484">
        <f t="shared" si="916"/>
        <v>0</v>
      </c>
      <c r="AM1484">
        <f t="shared" si="917"/>
        <v>0</v>
      </c>
      <c r="AN1484">
        <f t="shared" si="918"/>
        <v>0</v>
      </c>
      <c r="AO1484">
        <f t="shared" si="919"/>
        <v>0</v>
      </c>
      <c r="AP1484">
        <f t="shared" si="920"/>
        <v>0</v>
      </c>
      <c r="AQ1484">
        <f t="shared" si="921"/>
        <v>0</v>
      </c>
      <c r="AR1484">
        <f t="shared" si="922"/>
        <v>0</v>
      </c>
      <c r="AS1484">
        <f t="shared" si="923"/>
        <v>0</v>
      </c>
    </row>
    <row r="1485" spans="1:90" ht="15" customHeight="1">
      <c r="A1485" s="103"/>
      <c r="B1485" s="57"/>
      <c r="C1485" s="1109"/>
      <c r="D1485" s="954"/>
      <c r="E1485" s="955"/>
      <c r="F1485" s="956"/>
      <c r="G1485" s="1119" t="s">
        <v>4858</v>
      </c>
      <c r="H1485" s="1120"/>
      <c r="I1485" s="178"/>
      <c r="J1485" s="1111" t="s">
        <v>4859</v>
      </c>
      <c r="K1485" s="1111"/>
      <c r="L1485" s="1111"/>
      <c r="M1485" s="1111"/>
      <c r="N1485" s="1111"/>
      <c r="O1485" s="1111"/>
      <c r="P1485" s="1111"/>
      <c r="Q1485" s="1111"/>
      <c r="R1485" s="1111"/>
      <c r="S1485" s="1111"/>
      <c r="T1485" s="1111"/>
      <c r="U1485" s="1112"/>
      <c r="V1485" s="100"/>
      <c r="W1485" s="100"/>
      <c r="X1485" s="100"/>
      <c r="Y1485" s="100"/>
      <c r="Z1485" s="100"/>
      <c r="AA1485" s="100"/>
      <c r="AB1485" s="100"/>
      <c r="AC1485" s="100"/>
      <c r="AD1485" s="100"/>
      <c r="AF1485"/>
      <c r="AK1485">
        <f t="shared" si="915"/>
        <v>0</v>
      </c>
      <c r="AL1485">
        <f t="shared" si="916"/>
        <v>0</v>
      </c>
      <c r="AM1485">
        <f t="shared" si="917"/>
        <v>0</v>
      </c>
      <c r="AN1485">
        <f t="shared" si="918"/>
        <v>0</v>
      </c>
      <c r="AO1485">
        <f t="shared" si="919"/>
        <v>0</v>
      </c>
      <c r="AP1485">
        <f t="shared" si="920"/>
        <v>0</v>
      </c>
      <c r="AQ1485">
        <f t="shared" si="921"/>
        <v>0</v>
      </c>
      <c r="AR1485">
        <f t="shared" si="922"/>
        <v>0</v>
      </c>
      <c r="AS1485">
        <f t="shared" si="923"/>
        <v>0</v>
      </c>
    </row>
    <row r="1486" spans="1:90" ht="15" customHeight="1">
      <c r="A1486" s="103"/>
      <c r="B1486" s="57"/>
      <c r="C1486" s="1109"/>
      <c r="D1486" s="954"/>
      <c r="E1486" s="955"/>
      <c r="F1486" s="956"/>
      <c r="G1486" s="1119" t="s">
        <v>4860</v>
      </c>
      <c r="H1486" s="1120"/>
      <c r="I1486" s="178"/>
      <c r="J1486" s="1111" t="s">
        <v>4861</v>
      </c>
      <c r="K1486" s="1111"/>
      <c r="L1486" s="1111"/>
      <c r="M1486" s="1111"/>
      <c r="N1486" s="1111"/>
      <c r="O1486" s="1111"/>
      <c r="P1486" s="1111"/>
      <c r="Q1486" s="1111"/>
      <c r="R1486" s="1111"/>
      <c r="S1486" s="1111"/>
      <c r="T1486" s="1111"/>
      <c r="U1486" s="1112"/>
      <c r="V1486" s="100"/>
      <c r="W1486" s="100"/>
      <c r="X1486" s="100"/>
      <c r="Y1486" s="100"/>
      <c r="Z1486" s="100"/>
      <c r="AA1486" s="100"/>
      <c r="AB1486" s="100"/>
      <c r="AC1486" s="100"/>
      <c r="AD1486" s="100"/>
      <c r="AF1486"/>
      <c r="AK1486">
        <f t="shared" si="915"/>
        <v>0</v>
      </c>
      <c r="AL1486">
        <f t="shared" si="916"/>
        <v>0</v>
      </c>
      <c r="AM1486">
        <f t="shared" si="917"/>
        <v>0</v>
      </c>
      <c r="AN1486">
        <f t="shared" si="918"/>
        <v>0</v>
      </c>
      <c r="AO1486">
        <f t="shared" si="919"/>
        <v>0</v>
      </c>
      <c r="AP1486">
        <f t="shared" si="920"/>
        <v>0</v>
      </c>
      <c r="AQ1486">
        <f t="shared" si="921"/>
        <v>0</v>
      </c>
      <c r="AR1486">
        <f t="shared" si="922"/>
        <v>0</v>
      </c>
      <c r="AS1486">
        <f t="shared" si="923"/>
        <v>0</v>
      </c>
    </row>
    <row r="1487" spans="1:90" ht="15" customHeight="1">
      <c r="A1487" s="103"/>
      <c r="B1487" s="57"/>
      <c r="C1487" s="1109"/>
      <c r="D1487" s="954"/>
      <c r="E1487" s="955"/>
      <c r="F1487" s="956"/>
      <c r="G1487" s="1119" t="s">
        <v>4862</v>
      </c>
      <c r="H1487" s="1120"/>
      <c r="I1487" s="178"/>
      <c r="J1487" s="1111" t="s">
        <v>4863</v>
      </c>
      <c r="K1487" s="1111"/>
      <c r="L1487" s="1111"/>
      <c r="M1487" s="1111"/>
      <c r="N1487" s="1111"/>
      <c r="O1487" s="1111"/>
      <c r="P1487" s="1111"/>
      <c r="Q1487" s="1111"/>
      <c r="R1487" s="1111"/>
      <c r="S1487" s="1111"/>
      <c r="T1487" s="1111"/>
      <c r="U1487" s="1112"/>
      <c r="V1487" s="100"/>
      <c r="W1487" s="100"/>
      <c r="X1487" s="100"/>
      <c r="Y1487" s="100"/>
      <c r="Z1487" s="100"/>
      <c r="AA1487" s="100"/>
      <c r="AB1487" s="100"/>
      <c r="AC1487" s="100"/>
      <c r="AD1487" s="100"/>
      <c r="AF1487"/>
      <c r="AK1487">
        <f t="shared" si="915"/>
        <v>0</v>
      </c>
      <c r="AL1487">
        <f t="shared" si="916"/>
        <v>0</v>
      </c>
      <c r="AM1487">
        <f t="shared" si="917"/>
        <v>0</v>
      </c>
      <c r="AN1487">
        <f t="shared" si="918"/>
        <v>0</v>
      </c>
      <c r="AO1487">
        <f t="shared" si="919"/>
        <v>0</v>
      </c>
      <c r="AP1487">
        <f t="shared" si="920"/>
        <v>0</v>
      </c>
      <c r="AQ1487">
        <f t="shared" si="921"/>
        <v>0</v>
      </c>
      <c r="AR1487">
        <f t="shared" si="922"/>
        <v>0</v>
      </c>
      <c r="AS1487">
        <f t="shared" si="923"/>
        <v>0</v>
      </c>
    </row>
    <row r="1488" spans="1:90" ht="15" customHeight="1">
      <c r="A1488" s="103"/>
      <c r="B1488" s="57"/>
      <c r="C1488" s="1109"/>
      <c r="D1488" s="954"/>
      <c r="E1488" s="955"/>
      <c r="F1488" s="956"/>
      <c r="G1488" s="1119" t="s">
        <v>4864</v>
      </c>
      <c r="H1488" s="1120"/>
      <c r="I1488" s="178"/>
      <c r="J1488" s="1111" t="s">
        <v>4865</v>
      </c>
      <c r="K1488" s="1111"/>
      <c r="L1488" s="1111"/>
      <c r="M1488" s="1111"/>
      <c r="N1488" s="1111"/>
      <c r="O1488" s="1111"/>
      <c r="P1488" s="1111"/>
      <c r="Q1488" s="1111"/>
      <c r="R1488" s="1111"/>
      <c r="S1488" s="1111"/>
      <c r="T1488" s="1111"/>
      <c r="U1488" s="1112"/>
      <c r="V1488" s="100"/>
      <c r="W1488" s="100"/>
      <c r="X1488" s="100"/>
      <c r="Y1488" s="100"/>
      <c r="Z1488" s="100"/>
      <c r="AA1488" s="100"/>
      <c r="AB1488" s="100"/>
      <c r="AC1488" s="100"/>
      <c r="AD1488" s="100"/>
      <c r="AF1488"/>
      <c r="AK1488">
        <f t="shared" si="915"/>
        <v>0</v>
      </c>
      <c r="AL1488">
        <f t="shared" si="916"/>
        <v>0</v>
      </c>
      <c r="AM1488">
        <f t="shared" si="917"/>
        <v>0</v>
      </c>
      <c r="AN1488">
        <f t="shared" si="918"/>
        <v>0</v>
      </c>
      <c r="AO1488">
        <f t="shared" si="919"/>
        <v>0</v>
      </c>
      <c r="AP1488">
        <f t="shared" si="920"/>
        <v>0</v>
      </c>
      <c r="AQ1488">
        <f t="shared" si="921"/>
        <v>0</v>
      </c>
      <c r="AR1488">
        <f t="shared" si="922"/>
        <v>0</v>
      </c>
      <c r="AS1488">
        <f t="shared" si="923"/>
        <v>0</v>
      </c>
    </row>
    <row r="1489" spans="1:45" ht="15" customHeight="1">
      <c r="A1489" s="103"/>
      <c r="B1489" s="57"/>
      <c r="C1489" s="1109"/>
      <c r="D1489" s="954"/>
      <c r="E1489" s="955"/>
      <c r="F1489" s="956"/>
      <c r="G1489" s="1119" t="s">
        <v>4866</v>
      </c>
      <c r="H1489" s="1120"/>
      <c r="I1489" s="178"/>
      <c r="J1489" s="1111" t="s">
        <v>4867</v>
      </c>
      <c r="K1489" s="1111"/>
      <c r="L1489" s="1111"/>
      <c r="M1489" s="1111"/>
      <c r="N1489" s="1111"/>
      <c r="O1489" s="1111"/>
      <c r="P1489" s="1111"/>
      <c r="Q1489" s="1111"/>
      <c r="R1489" s="1111"/>
      <c r="S1489" s="1111"/>
      <c r="T1489" s="1111"/>
      <c r="U1489" s="1112"/>
      <c r="V1489" s="100"/>
      <c r="W1489" s="100"/>
      <c r="X1489" s="100"/>
      <c r="Y1489" s="100"/>
      <c r="Z1489" s="100"/>
      <c r="AA1489" s="100"/>
      <c r="AB1489" s="100"/>
      <c r="AC1489" s="100"/>
      <c r="AD1489" s="100"/>
      <c r="AF1489"/>
      <c r="AK1489">
        <f t="shared" si="915"/>
        <v>0</v>
      </c>
      <c r="AL1489">
        <f t="shared" si="916"/>
        <v>0</v>
      </c>
      <c r="AM1489">
        <f t="shared" si="917"/>
        <v>0</v>
      </c>
      <c r="AN1489">
        <f t="shared" si="918"/>
        <v>0</v>
      </c>
      <c r="AO1489">
        <f t="shared" si="919"/>
        <v>0</v>
      </c>
      <c r="AP1489">
        <f t="shared" si="920"/>
        <v>0</v>
      </c>
      <c r="AQ1489">
        <f t="shared" si="921"/>
        <v>0</v>
      </c>
      <c r="AR1489">
        <f t="shared" si="922"/>
        <v>0</v>
      </c>
      <c r="AS1489">
        <f t="shared" si="923"/>
        <v>0</v>
      </c>
    </row>
    <row r="1490" spans="1:45" ht="15" customHeight="1">
      <c r="A1490" s="103"/>
      <c r="B1490" s="57"/>
      <c r="C1490" s="1109"/>
      <c r="D1490" s="954"/>
      <c r="E1490" s="955"/>
      <c r="F1490" s="956"/>
      <c r="G1490" s="1119" t="s">
        <v>4868</v>
      </c>
      <c r="H1490" s="1120"/>
      <c r="I1490" s="178"/>
      <c r="J1490" s="1111" t="s">
        <v>4869</v>
      </c>
      <c r="K1490" s="1111"/>
      <c r="L1490" s="1111"/>
      <c r="M1490" s="1111"/>
      <c r="N1490" s="1111"/>
      <c r="O1490" s="1111"/>
      <c r="P1490" s="1111"/>
      <c r="Q1490" s="1111"/>
      <c r="R1490" s="1111"/>
      <c r="S1490" s="1111"/>
      <c r="T1490" s="1111"/>
      <c r="U1490" s="1112"/>
      <c r="V1490" s="100"/>
      <c r="W1490" s="100"/>
      <c r="X1490" s="100"/>
      <c r="Y1490" s="100"/>
      <c r="Z1490" s="100"/>
      <c r="AA1490" s="100"/>
      <c r="AB1490" s="100"/>
      <c r="AC1490" s="100"/>
      <c r="AD1490" s="100"/>
      <c r="AF1490"/>
      <c r="AK1490">
        <f t="shared" si="915"/>
        <v>0</v>
      </c>
      <c r="AL1490">
        <f t="shared" si="916"/>
        <v>0</v>
      </c>
      <c r="AM1490">
        <f t="shared" si="917"/>
        <v>0</v>
      </c>
      <c r="AN1490">
        <f t="shared" si="918"/>
        <v>0</v>
      </c>
      <c r="AO1490">
        <f t="shared" si="919"/>
        <v>0</v>
      </c>
      <c r="AP1490">
        <f t="shared" si="920"/>
        <v>0</v>
      </c>
      <c r="AQ1490">
        <f t="shared" si="921"/>
        <v>0</v>
      </c>
      <c r="AR1490">
        <f t="shared" si="922"/>
        <v>0</v>
      </c>
      <c r="AS1490">
        <f t="shared" si="923"/>
        <v>0</v>
      </c>
    </row>
    <row r="1491" spans="1:45" ht="15" customHeight="1">
      <c r="A1491" s="103"/>
      <c r="B1491" s="57"/>
      <c r="C1491" s="1109"/>
      <c r="D1491" s="954"/>
      <c r="E1491" s="955"/>
      <c r="F1491" s="956"/>
      <c r="G1491" s="1119" t="s">
        <v>4870</v>
      </c>
      <c r="H1491" s="1120"/>
      <c r="I1491" s="178"/>
      <c r="J1491" s="1111" t="s">
        <v>4871</v>
      </c>
      <c r="K1491" s="1111"/>
      <c r="L1491" s="1111"/>
      <c r="M1491" s="1111"/>
      <c r="N1491" s="1111"/>
      <c r="O1491" s="1111"/>
      <c r="P1491" s="1111"/>
      <c r="Q1491" s="1111"/>
      <c r="R1491" s="1111"/>
      <c r="S1491" s="1111"/>
      <c r="T1491" s="1111"/>
      <c r="U1491" s="1112"/>
      <c r="V1491" s="100"/>
      <c r="W1491" s="100"/>
      <c r="X1491" s="100"/>
      <c r="Y1491" s="100"/>
      <c r="Z1491" s="100"/>
      <c r="AA1491" s="100"/>
      <c r="AB1491" s="100"/>
      <c r="AC1491" s="100"/>
      <c r="AD1491" s="100"/>
      <c r="AF1491"/>
      <c r="AK1491">
        <f t="shared" si="915"/>
        <v>0</v>
      </c>
      <c r="AL1491">
        <f t="shared" si="916"/>
        <v>0</v>
      </c>
      <c r="AM1491">
        <f t="shared" si="917"/>
        <v>0</v>
      </c>
      <c r="AN1491">
        <f t="shared" si="918"/>
        <v>0</v>
      </c>
      <c r="AO1491">
        <f t="shared" si="919"/>
        <v>0</v>
      </c>
      <c r="AP1491">
        <f t="shared" si="920"/>
        <v>0</v>
      </c>
      <c r="AQ1491">
        <f t="shared" si="921"/>
        <v>0</v>
      </c>
      <c r="AR1491">
        <f t="shared" si="922"/>
        <v>0</v>
      </c>
      <c r="AS1491">
        <f t="shared" si="923"/>
        <v>0</v>
      </c>
    </row>
    <row r="1492" spans="1:45" ht="15" customHeight="1">
      <c r="A1492" s="103"/>
      <c r="B1492" s="57"/>
      <c r="C1492" s="1109"/>
      <c r="D1492" s="954"/>
      <c r="E1492" s="955"/>
      <c r="F1492" s="956"/>
      <c r="G1492" s="1119" t="s">
        <v>4872</v>
      </c>
      <c r="H1492" s="1120"/>
      <c r="I1492" s="178"/>
      <c r="J1492" s="1111" t="s">
        <v>4873</v>
      </c>
      <c r="K1492" s="1111"/>
      <c r="L1492" s="1111"/>
      <c r="M1492" s="1111"/>
      <c r="N1492" s="1111"/>
      <c r="O1492" s="1111"/>
      <c r="P1492" s="1111"/>
      <c r="Q1492" s="1111"/>
      <c r="R1492" s="1111"/>
      <c r="S1492" s="1111"/>
      <c r="T1492" s="1111"/>
      <c r="U1492" s="1112"/>
      <c r="V1492" s="100"/>
      <c r="W1492" s="100"/>
      <c r="X1492" s="100"/>
      <c r="Y1492" s="100"/>
      <c r="Z1492" s="100"/>
      <c r="AA1492" s="100"/>
      <c r="AB1492" s="100"/>
      <c r="AC1492" s="100"/>
      <c r="AD1492" s="100"/>
      <c r="AF1492"/>
      <c r="AK1492">
        <f t="shared" si="915"/>
        <v>0</v>
      </c>
      <c r="AL1492">
        <f t="shared" si="916"/>
        <v>0</v>
      </c>
      <c r="AM1492">
        <f t="shared" si="917"/>
        <v>0</v>
      </c>
      <c r="AN1492">
        <f t="shared" si="918"/>
        <v>0</v>
      </c>
      <c r="AO1492">
        <f t="shared" si="919"/>
        <v>0</v>
      </c>
      <c r="AP1492">
        <f t="shared" si="920"/>
        <v>0</v>
      </c>
      <c r="AQ1492">
        <f t="shared" si="921"/>
        <v>0</v>
      </c>
      <c r="AR1492">
        <f t="shared" si="922"/>
        <v>0</v>
      </c>
      <c r="AS1492">
        <f t="shared" si="923"/>
        <v>0</v>
      </c>
    </row>
    <row r="1493" spans="1:45" ht="15" customHeight="1">
      <c r="A1493" s="103"/>
      <c r="B1493" s="57"/>
      <c r="C1493" s="1109"/>
      <c r="D1493" s="954"/>
      <c r="E1493" s="955"/>
      <c r="F1493" s="956"/>
      <c r="G1493" s="1119" t="s">
        <v>4874</v>
      </c>
      <c r="H1493" s="1120"/>
      <c r="I1493" s="178"/>
      <c r="J1493" s="1111" t="s">
        <v>4875</v>
      </c>
      <c r="K1493" s="1111"/>
      <c r="L1493" s="1111"/>
      <c r="M1493" s="1111"/>
      <c r="N1493" s="1111"/>
      <c r="O1493" s="1111"/>
      <c r="P1493" s="1111"/>
      <c r="Q1493" s="1111"/>
      <c r="R1493" s="1111"/>
      <c r="S1493" s="1111"/>
      <c r="T1493" s="1111"/>
      <c r="U1493" s="1112"/>
      <c r="V1493" s="100"/>
      <c r="W1493" s="100"/>
      <c r="X1493" s="100"/>
      <c r="Y1493" s="100"/>
      <c r="Z1493" s="100"/>
      <c r="AA1493" s="100"/>
      <c r="AB1493" s="100"/>
      <c r="AC1493" s="100"/>
      <c r="AD1493" s="100"/>
      <c r="AF1493"/>
      <c r="AK1493">
        <f t="shared" si="915"/>
        <v>0</v>
      </c>
      <c r="AL1493">
        <f t="shared" si="916"/>
        <v>0</v>
      </c>
      <c r="AM1493">
        <f t="shared" si="917"/>
        <v>0</v>
      </c>
      <c r="AN1493">
        <f t="shared" si="918"/>
        <v>0</v>
      </c>
      <c r="AO1493">
        <f t="shared" si="919"/>
        <v>0</v>
      </c>
      <c r="AP1493">
        <f t="shared" si="920"/>
        <v>0</v>
      </c>
      <c r="AQ1493">
        <f t="shared" si="921"/>
        <v>0</v>
      </c>
      <c r="AR1493">
        <f t="shared" si="922"/>
        <v>0</v>
      </c>
      <c r="AS1493">
        <f t="shared" si="923"/>
        <v>0</v>
      </c>
    </row>
    <row r="1494" spans="1:45" ht="15" customHeight="1">
      <c r="A1494" s="103"/>
      <c r="B1494" s="57"/>
      <c r="C1494" s="1109"/>
      <c r="D1494" s="954"/>
      <c r="E1494" s="955"/>
      <c r="F1494" s="956"/>
      <c r="G1494" s="1119" t="s">
        <v>4876</v>
      </c>
      <c r="H1494" s="1120"/>
      <c r="I1494" s="178"/>
      <c r="J1494" s="1111" t="s">
        <v>4877</v>
      </c>
      <c r="K1494" s="1111"/>
      <c r="L1494" s="1111"/>
      <c r="M1494" s="1111"/>
      <c r="N1494" s="1111"/>
      <c r="O1494" s="1111"/>
      <c r="P1494" s="1111"/>
      <c r="Q1494" s="1111"/>
      <c r="R1494" s="1111"/>
      <c r="S1494" s="1111"/>
      <c r="T1494" s="1111"/>
      <c r="U1494" s="1112"/>
      <c r="V1494" s="100"/>
      <c r="W1494" s="100"/>
      <c r="X1494" s="100"/>
      <c r="Y1494" s="100"/>
      <c r="Z1494" s="100"/>
      <c r="AA1494" s="100"/>
      <c r="AB1494" s="100"/>
      <c r="AC1494" s="100"/>
      <c r="AD1494" s="100"/>
      <c r="AF1494"/>
      <c r="AK1494">
        <f t="shared" si="915"/>
        <v>0</v>
      </c>
      <c r="AL1494">
        <f t="shared" si="916"/>
        <v>0</v>
      </c>
      <c r="AM1494">
        <f t="shared" si="917"/>
        <v>0</v>
      </c>
      <c r="AN1494">
        <f t="shared" si="918"/>
        <v>0</v>
      </c>
      <c r="AO1494">
        <f t="shared" si="919"/>
        <v>0</v>
      </c>
      <c r="AP1494">
        <f t="shared" si="920"/>
        <v>0</v>
      </c>
      <c r="AQ1494">
        <f t="shared" si="921"/>
        <v>0</v>
      </c>
      <c r="AR1494">
        <f t="shared" si="922"/>
        <v>0</v>
      </c>
      <c r="AS1494">
        <f t="shared" si="923"/>
        <v>0</v>
      </c>
    </row>
    <row r="1495" spans="1:45" ht="15" customHeight="1">
      <c r="A1495" s="103"/>
      <c r="B1495" s="57"/>
      <c r="C1495" s="1109"/>
      <c r="D1495" s="954"/>
      <c r="E1495" s="955"/>
      <c r="F1495" s="956"/>
      <c r="G1495" s="1119" t="s">
        <v>4878</v>
      </c>
      <c r="H1495" s="1120"/>
      <c r="I1495" s="178"/>
      <c r="J1495" s="1111" t="s">
        <v>4879</v>
      </c>
      <c r="K1495" s="1111"/>
      <c r="L1495" s="1111"/>
      <c r="M1495" s="1111"/>
      <c r="N1495" s="1111"/>
      <c r="O1495" s="1111"/>
      <c r="P1495" s="1111"/>
      <c r="Q1495" s="1111"/>
      <c r="R1495" s="1111"/>
      <c r="S1495" s="1111"/>
      <c r="T1495" s="1111"/>
      <c r="U1495" s="1112"/>
      <c r="V1495" s="100"/>
      <c r="W1495" s="100"/>
      <c r="X1495" s="100"/>
      <c r="Y1495" s="100"/>
      <c r="Z1495" s="100"/>
      <c r="AA1495" s="100"/>
      <c r="AB1495" s="100"/>
      <c r="AC1495" s="100"/>
      <c r="AD1495" s="100"/>
      <c r="AF1495"/>
      <c r="AK1495">
        <f t="shared" si="915"/>
        <v>0</v>
      </c>
      <c r="AL1495">
        <f t="shared" si="916"/>
        <v>0</v>
      </c>
      <c r="AM1495">
        <f t="shared" si="917"/>
        <v>0</v>
      </c>
      <c r="AN1495">
        <f t="shared" si="918"/>
        <v>0</v>
      </c>
      <c r="AO1495">
        <f t="shared" si="919"/>
        <v>0</v>
      </c>
      <c r="AP1495">
        <f t="shared" si="920"/>
        <v>0</v>
      </c>
      <c r="AQ1495">
        <f t="shared" si="921"/>
        <v>0</v>
      </c>
      <c r="AR1495">
        <f t="shared" si="922"/>
        <v>0</v>
      </c>
      <c r="AS1495">
        <f t="shared" si="923"/>
        <v>0</v>
      </c>
    </row>
    <row r="1496" spans="1:45" ht="15" customHeight="1">
      <c r="A1496" s="103"/>
      <c r="B1496" s="57"/>
      <c r="C1496" s="1109"/>
      <c r="D1496" s="954"/>
      <c r="E1496" s="955"/>
      <c r="F1496" s="956"/>
      <c r="G1496" s="1119" t="s">
        <v>4880</v>
      </c>
      <c r="H1496" s="1120"/>
      <c r="I1496" s="178"/>
      <c r="J1496" s="1111" t="s">
        <v>4881</v>
      </c>
      <c r="K1496" s="1111"/>
      <c r="L1496" s="1111"/>
      <c r="M1496" s="1111"/>
      <c r="N1496" s="1111"/>
      <c r="O1496" s="1111"/>
      <c r="P1496" s="1111"/>
      <c r="Q1496" s="1111"/>
      <c r="R1496" s="1111"/>
      <c r="S1496" s="1111"/>
      <c r="T1496" s="1111"/>
      <c r="U1496" s="1112"/>
      <c r="V1496" s="100"/>
      <c r="W1496" s="100"/>
      <c r="X1496" s="100"/>
      <c r="Y1496" s="100"/>
      <c r="Z1496" s="100"/>
      <c r="AA1496" s="100"/>
      <c r="AB1496" s="100"/>
      <c r="AC1496" s="100"/>
      <c r="AD1496" s="100"/>
      <c r="AF1496"/>
      <c r="AK1496">
        <f t="shared" si="915"/>
        <v>0</v>
      </c>
      <c r="AL1496">
        <f t="shared" si="916"/>
        <v>0</v>
      </c>
      <c r="AM1496">
        <f t="shared" si="917"/>
        <v>0</v>
      </c>
      <c r="AN1496">
        <f t="shared" si="918"/>
        <v>0</v>
      </c>
      <c r="AO1496">
        <f t="shared" si="919"/>
        <v>0</v>
      </c>
      <c r="AP1496">
        <f t="shared" si="920"/>
        <v>0</v>
      </c>
      <c r="AQ1496">
        <f t="shared" si="921"/>
        <v>0</v>
      </c>
      <c r="AR1496">
        <f t="shared" si="922"/>
        <v>0</v>
      </c>
      <c r="AS1496">
        <f t="shared" si="923"/>
        <v>0</v>
      </c>
    </row>
    <row r="1497" spans="1:45" ht="15" customHeight="1">
      <c r="A1497" s="103"/>
      <c r="B1497" s="57"/>
      <c r="C1497" s="1109"/>
      <c r="D1497" s="954"/>
      <c r="E1497" s="955"/>
      <c r="F1497" s="956"/>
      <c r="G1497" s="1119" t="s">
        <v>4882</v>
      </c>
      <c r="H1497" s="1120"/>
      <c r="I1497" s="178"/>
      <c r="J1497" s="1111" t="s">
        <v>4883</v>
      </c>
      <c r="K1497" s="1111"/>
      <c r="L1497" s="1111"/>
      <c r="M1497" s="1111"/>
      <c r="N1497" s="1111"/>
      <c r="O1497" s="1111"/>
      <c r="P1497" s="1111"/>
      <c r="Q1497" s="1111"/>
      <c r="R1497" s="1111"/>
      <c r="S1497" s="1111"/>
      <c r="T1497" s="1111"/>
      <c r="U1497" s="1112"/>
      <c r="V1497" s="100"/>
      <c r="W1497" s="100"/>
      <c r="X1497" s="100"/>
      <c r="Y1497" s="100"/>
      <c r="Z1497" s="100"/>
      <c r="AA1497" s="100"/>
      <c r="AB1497" s="100"/>
      <c r="AC1497" s="100"/>
      <c r="AD1497" s="100"/>
      <c r="AF1497"/>
      <c r="AK1497">
        <f t="shared" si="915"/>
        <v>0</v>
      </c>
      <c r="AL1497">
        <f t="shared" si="916"/>
        <v>0</v>
      </c>
      <c r="AM1497">
        <f t="shared" si="917"/>
        <v>0</v>
      </c>
      <c r="AN1497">
        <f t="shared" si="918"/>
        <v>0</v>
      </c>
      <c r="AO1497">
        <f t="shared" si="919"/>
        <v>0</v>
      </c>
      <c r="AP1497">
        <f t="shared" si="920"/>
        <v>0</v>
      </c>
      <c r="AQ1497">
        <f t="shared" si="921"/>
        <v>0</v>
      </c>
      <c r="AR1497">
        <f t="shared" si="922"/>
        <v>0</v>
      </c>
      <c r="AS1497">
        <f t="shared" si="923"/>
        <v>0</v>
      </c>
    </row>
    <row r="1498" spans="1:45" ht="15" customHeight="1">
      <c r="A1498" s="103"/>
      <c r="B1498" s="57"/>
      <c r="C1498" s="1109"/>
      <c r="D1498" s="954"/>
      <c r="E1498" s="955"/>
      <c r="F1498" s="956"/>
      <c r="G1498" s="1119" t="s">
        <v>4884</v>
      </c>
      <c r="H1498" s="1120"/>
      <c r="I1498" s="178"/>
      <c r="J1498" s="1111" t="s">
        <v>4885</v>
      </c>
      <c r="K1498" s="1111"/>
      <c r="L1498" s="1111"/>
      <c r="M1498" s="1111"/>
      <c r="N1498" s="1111"/>
      <c r="O1498" s="1111"/>
      <c r="P1498" s="1111"/>
      <c r="Q1498" s="1111"/>
      <c r="R1498" s="1111"/>
      <c r="S1498" s="1111"/>
      <c r="T1498" s="1111"/>
      <c r="U1498" s="1112"/>
      <c r="V1498" s="100"/>
      <c r="W1498" s="100"/>
      <c r="X1498" s="100"/>
      <c r="Y1498" s="100"/>
      <c r="Z1498" s="100"/>
      <c r="AA1498" s="100"/>
      <c r="AB1498" s="100"/>
      <c r="AC1498" s="100"/>
      <c r="AD1498" s="100"/>
      <c r="AF1498"/>
      <c r="AK1498">
        <f t="shared" si="915"/>
        <v>0</v>
      </c>
      <c r="AL1498">
        <f t="shared" si="916"/>
        <v>0</v>
      </c>
      <c r="AM1498">
        <f t="shared" si="917"/>
        <v>0</v>
      </c>
      <c r="AN1498">
        <f t="shared" si="918"/>
        <v>0</v>
      </c>
      <c r="AO1498">
        <f t="shared" si="919"/>
        <v>0</v>
      </c>
      <c r="AP1498">
        <f t="shared" si="920"/>
        <v>0</v>
      </c>
      <c r="AQ1498">
        <f t="shared" si="921"/>
        <v>0</v>
      </c>
      <c r="AR1498">
        <f t="shared" si="922"/>
        <v>0</v>
      </c>
      <c r="AS1498">
        <f t="shared" si="923"/>
        <v>0</v>
      </c>
    </row>
    <row r="1499" spans="1:45" ht="15" customHeight="1">
      <c r="A1499" s="103"/>
      <c r="B1499" s="57"/>
      <c r="C1499" s="1109"/>
      <c r="D1499" s="954"/>
      <c r="E1499" s="955"/>
      <c r="F1499" s="956"/>
      <c r="G1499" s="1119" t="s">
        <v>4886</v>
      </c>
      <c r="H1499" s="1120"/>
      <c r="I1499" s="178"/>
      <c r="J1499" s="1111" t="s">
        <v>4887</v>
      </c>
      <c r="K1499" s="1111"/>
      <c r="L1499" s="1111"/>
      <c r="M1499" s="1111"/>
      <c r="N1499" s="1111"/>
      <c r="O1499" s="1111"/>
      <c r="P1499" s="1111"/>
      <c r="Q1499" s="1111"/>
      <c r="R1499" s="1111"/>
      <c r="S1499" s="1111"/>
      <c r="T1499" s="1111"/>
      <c r="U1499" s="1112"/>
      <c r="V1499" s="100"/>
      <c r="W1499" s="100"/>
      <c r="X1499" s="100"/>
      <c r="Y1499" s="100"/>
      <c r="Z1499" s="100"/>
      <c r="AA1499" s="100"/>
      <c r="AB1499" s="100"/>
      <c r="AC1499" s="100"/>
      <c r="AD1499" s="100"/>
      <c r="AF1499"/>
      <c r="AK1499">
        <f t="shared" si="915"/>
        <v>0</v>
      </c>
      <c r="AL1499">
        <f t="shared" si="916"/>
        <v>0</v>
      </c>
      <c r="AM1499">
        <f t="shared" si="917"/>
        <v>0</v>
      </c>
      <c r="AN1499">
        <f t="shared" si="918"/>
        <v>0</v>
      </c>
      <c r="AO1499">
        <f t="shared" si="919"/>
        <v>0</v>
      </c>
      <c r="AP1499">
        <f t="shared" si="920"/>
        <v>0</v>
      </c>
      <c r="AQ1499">
        <f t="shared" si="921"/>
        <v>0</v>
      </c>
      <c r="AR1499">
        <f t="shared" si="922"/>
        <v>0</v>
      </c>
      <c r="AS1499">
        <f t="shared" si="923"/>
        <v>0</v>
      </c>
    </row>
    <row r="1500" spans="1:45" ht="15" customHeight="1">
      <c r="A1500" s="103"/>
      <c r="B1500" s="57"/>
      <c r="C1500" s="1109"/>
      <c r="D1500" s="954"/>
      <c r="E1500" s="955"/>
      <c r="F1500" s="956"/>
      <c r="G1500" s="1119" t="s">
        <v>4888</v>
      </c>
      <c r="H1500" s="1120"/>
      <c r="I1500" s="178"/>
      <c r="J1500" s="1111" t="s">
        <v>4889</v>
      </c>
      <c r="K1500" s="1111"/>
      <c r="L1500" s="1111"/>
      <c r="M1500" s="1111"/>
      <c r="N1500" s="1111"/>
      <c r="O1500" s="1111"/>
      <c r="P1500" s="1111"/>
      <c r="Q1500" s="1111"/>
      <c r="R1500" s="1111"/>
      <c r="S1500" s="1111"/>
      <c r="T1500" s="1111"/>
      <c r="U1500" s="1112"/>
      <c r="V1500" s="100"/>
      <c r="W1500" s="100"/>
      <c r="X1500" s="100"/>
      <c r="Y1500" s="100"/>
      <c r="Z1500" s="100"/>
      <c r="AA1500" s="100"/>
      <c r="AB1500" s="100"/>
      <c r="AC1500" s="100"/>
      <c r="AD1500" s="100"/>
      <c r="AF1500"/>
      <c r="AK1500">
        <f t="shared" si="915"/>
        <v>0</v>
      </c>
      <c r="AL1500">
        <f t="shared" si="916"/>
        <v>0</v>
      </c>
      <c r="AM1500">
        <f t="shared" si="917"/>
        <v>0</v>
      </c>
      <c r="AN1500">
        <f t="shared" si="918"/>
        <v>0</v>
      </c>
      <c r="AO1500">
        <f t="shared" si="919"/>
        <v>0</v>
      </c>
      <c r="AP1500">
        <f t="shared" si="920"/>
        <v>0</v>
      </c>
      <c r="AQ1500">
        <f t="shared" si="921"/>
        <v>0</v>
      </c>
      <c r="AR1500">
        <f t="shared" si="922"/>
        <v>0</v>
      </c>
      <c r="AS1500">
        <f t="shared" si="923"/>
        <v>0</v>
      </c>
    </row>
    <row r="1501" spans="1:45" ht="15" customHeight="1">
      <c r="A1501" s="103"/>
      <c r="B1501" s="57"/>
      <c r="C1501" s="1109"/>
      <c r="D1501" s="954"/>
      <c r="E1501" s="955"/>
      <c r="F1501" s="956"/>
      <c r="G1501" s="1119" t="s">
        <v>4890</v>
      </c>
      <c r="H1501" s="1120"/>
      <c r="I1501" s="179"/>
      <c r="J1501" s="1113" t="s">
        <v>201</v>
      </c>
      <c r="K1501" s="1113"/>
      <c r="L1501" s="1113"/>
      <c r="M1501" s="1113"/>
      <c r="N1501" s="1113"/>
      <c r="O1501" s="1113"/>
      <c r="P1501" s="1113"/>
      <c r="Q1501" s="1113"/>
      <c r="R1501" s="1113"/>
      <c r="S1501" s="1113"/>
      <c r="T1501" s="1113"/>
      <c r="U1501" s="1114"/>
      <c r="V1501" s="100"/>
      <c r="W1501" s="100"/>
      <c r="X1501" s="100"/>
      <c r="Y1501" s="100"/>
      <c r="Z1501" s="100"/>
      <c r="AA1501" s="100"/>
      <c r="AB1501" s="100"/>
      <c r="AC1501" s="100"/>
      <c r="AD1501" s="100"/>
      <c r="AF1501"/>
      <c r="AK1501">
        <f t="shared" si="915"/>
        <v>0</v>
      </c>
      <c r="AL1501">
        <f t="shared" si="916"/>
        <v>0</v>
      </c>
      <c r="AM1501">
        <f t="shared" si="917"/>
        <v>0</v>
      </c>
      <c r="AN1501">
        <f t="shared" si="918"/>
        <v>0</v>
      </c>
      <c r="AO1501">
        <f t="shared" si="919"/>
        <v>0</v>
      </c>
      <c r="AP1501">
        <f t="shared" si="920"/>
        <v>0</v>
      </c>
      <c r="AQ1501">
        <f t="shared" si="921"/>
        <v>0</v>
      </c>
      <c r="AR1501">
        <f t="shared" si="922"/>
        <v>0</v>
      </c>
      <c r="AS1501">
        <f t="shared" si="923"/>
        <v>0</v>
      </c>
    </row>
    <row r="1502" spans="1:45" ht="15" customHeight="1">
      <c r="A1502" s="103"/>
      <c r="B1502" s="57"/>
      <c r="C1502" s="1109"/>
      <c r="D1502" s="954"/>
      <c r="E1502" s="955"/>
      <c r="F1502" s="956"/>
      <c r="G1502" s="1117" t="s">
        <v>4891</v>
      </c>
      <c r="H1502" s="1118"/>
      <c r="I1502" s="1104" t="s">
        <v>4892</v>
      </c>
      <c r="J1502" s="1105"/>
      <c r="K1502" s="1105"/>
      <c r="L1502" s="1105"/>
      <c r="M1502" s="1105"/>
      <c r="N1502" s="1105"/>
      <c r="O1502" s="1105"/>
      <c r="P1502" s="1105"/>
      <c r="Q1502" s="1105"/>
      <c r="R1502" s="1105"/>
      <c r="S1502" s="1105"/>
      <c r="T1502" s="1105"/>
      <c r="U1502" s="1106"/>
      <c r="V1502" s="100"/>
      <c r="W1502" s="100"/>
      <c r="X1502" s="100"/>
      <c r="Y1502" s="100"/>
      <c r="Z1502" s="100"/>
      <c r="AA1502" s="100"/>
      <c r="AB1502" s="100"/>
      <c r="AC1502" s="100"/>
      <c r="AD1502" s="100"/>
      <c r="AF1502"/>
      <c r="AK1502">
        <f t="shared" si="915"/>
        <v>0</v>
      </c>
      <c r="AL1502">
        <f t="shared" si="916"/>
        <v>0</v>
      </c>
      <c r="AM1502">
        <f t="shared" si="917"/>
        <v>0</v>
      </c>
      <c r="AN1502">
        <f t="shared" si="918"/>
        <v>0</v>
      </c>
      <c r="AO1502">
        <f t="shared" si="919"/>
        <v>0</v>
      </c>
      <c r="AP1502">
        <f t="shared" si="920"/>
        <v>0</v>
      </c>
      <c r="AQ1502">
        <f t="shared" si="921"/>
        <v>0</v>
      </c>
      <c r="AR1502">
        <f t="shared" si="922"/>
        <v>0</v>
      </c>
      <c r="AS1502">
        <f t="shared" si="923"/>
        <v>0</v>
      </c>
    </row>
    <row r="1503" spans="1:45" ht="15" customHeight="1">
      <c r="A1503" s="103"/>
      <c r="B1503" s="57"/>
      <c r="C1503" s="1109"/>
      <c r="D1503" s="954"/>
      <c r="E1503" s="955"/>
      <c r="F1503" s="956"/>
      <c r="G1503" s="1119" t="s">
        <v>4893</v>
      </c>
      <c r="H1503" s="1120"/>
      <c r="I1503" s="177"/>
      <c r="J1503" s="1115" t="s">
        <v>4894</v>
      </c>
      <c r="K1503" s="1115"/>
      <c r="L1503" s="1115"/>
      <c r="M1503" s="1115"/>
      <c r="N1503" s="1115"/>
      <c r="O1503" s="1115"/>
      <c r="P1503" s="1115"/>
      <c r="Q1503" s="1115"/>
      <c r="R1503" s="1115"/>
      <c r="S1503" s="1115"/>
      <c r="T1503" s="1115"/>
      <c r="U1503" s="1116"/>
      <c r="V1503" s="100"/>
      <c r="W1503" s="100"/>
      <c r="X1503" s="100"/>
      <c r="Y1503" s="100"/>
      <c r="Z1503" s="100"/>
      <c r="AA1503" s="100"/>
      <c r="AB1503" s="100"/>
      <c r="AC1503" s="100"/>
      <c r="AD1503" s="100"/>
      <c r="AF1503"/>
      <c r="AK1503">
        <f t="shared" si="915"/>
        <v>0</v>
      </c>
      <c r="AL1503">
        <f t="shared" si="916"/>
        <v>0</v>
      </c>
      <c r="AM1503">
        <f t="shared" si="917"/>
        <v>0</v>
      </c>
      <c r="AN1503">
        <f t="shared" si="918"/>
        <v>0</v>
      </c>
      <c r="AO1503">
        <f t="shared" si="919"/>
        <v>0</v>
      </c>
      <c r="AP1503">
        <f t="shared" si="920"/>
        <v>0</v>
      </c>
      <c r="AQ1503">
        <f t="shared" si="921"/>
        <v>0</v>
      </c>
      <c r="AR1503">
        <f t="shared" si="922"/>
        <v>0</v>
      </c>
      <c r="AS1503">
        <f t="shared" si="923"/>
        <v>0</v>
      </c>
    </row>
    <row r="1504" spans="1:45" ht="15" customHeight="1">
      <c r="A1504" s="103"/>
      <c r="B1504" s="57"/>
      <c r="C1504" s="1109"/>
      <c r="D1504" s="954"/>
      <c r="E1504" s="955"/>
      <c r="F1504" s="956"/>
      <c r="G1504" s="1119" t="s">
        <v>4895</v>
      </c>
      <c r="H1504" s="1120"/>
      <c r="I1504" s="178"/>
      <c r="J1504" s="1111" t="s">
        <v>4896</v>
      </c>
      <c r="K1504" s="1111"/>
      <c r="L1504" s="1111"/>
      <c r="M1504" s="1111"/>
      <c r="N1504" s="1111"/>
      <c r="O1504" s="1111"/>
      <c r="P1504" s="1111"/>
      <c r="Q1504" s="1111"/>
      <c r="R1504" s="1111"/>
      <c r="S1504" s="1111"/>
      <c r="T1504" s="1111"/>
      <c r="U1504" s="1112"/>
      <c r="V1504" s="100"/>
      <c r="W1504" s="100"/>
      <c r="X1504" s="100"/>
      <c r="Y1504" s="100"/>
      <c r="Z1504" s="100"/>
      <c r="AA1504" s="100"/>
      <c r="AB1504" s="100"/>
      <c r="AC1504" s="100"/>
      <c r="AD1504" s="100"/>
      <c r="AF1504"/>
      <c r="AK1504">
        <f t="shared" si="915"/>
        <v>0</v>
      </c>
      <c r="AL1504">
        <f t="shared" si="916"/>
        <v>0</v>
      </c>
      <c r="AM1504">
        <f t="shared" si="917"/>
        <v>0</v>
      </c>
      <c r="AN1504">
        <f t="shared" si="918"/>
        <v>0</v>
      </c>
      <c r="AO1504">
        <f t="shared" si="919"/>
        <v>0</v>
      </c>
      <c r="AP1504">
        <f t="shared" si="920"/>
        <v>0</v>
      </c>
      <c r="AQ1504">
        <f t="shared" si="921"/>
        <v>0</v>
      </c>
      <c r="AR1504">
        <f t="shared" si="922"/>
        <v>0</v>
      </c>
      <c r="AS1504">
        <f t="shared" si="923"/>
        <v>0</v>
      </c>
    </row>
    <row r="1505" spans="1:45" ht="15" customHeight="1">
      <c r="A1505" s="103"/>
      <c r="B1505" s="57"/>
      <c r="C1505" s="1109"/>
      <c r="D1505" s="954"/>
      <c r="E1505" s="955"/>
      <c r="F1505" s="956"/>
      <c r="G1505" s="1119" t="s">
        <v>4897</v>
      </c>
      <c r="H1505" s="1120"/>
      <c r="I1505" s="178"/>
      <c r="J1505" s="1111" t="s">
        <v>4898</v>
      </c>
      <c r="K1505" s="1111"/>
      <c r="L1505" s="1111"/>
      <c r="M1505" s="1111"/>
      <c r="N1505" s="1111"/>
      <c r="O1505" s="1111"/>
      <c r="P1505" s="1111"/>
      <c r="Q1505" s="1111"/>
      <c r="R1505" s="1111"/>
      <c r="S1505" s="1111"/>
      <c r="T1505" s="1111"/>
      <c r="U1505" s="1112"/>
      <c r="V1505" s="100"/>
      <c r="W1505" s="100"/>
      <c r="X1505" s="100"/>
      <c r="Y1505" s="100"/>
      <c r="Z1505" s="100"/>
      <c r="AA1505" s="100"/>
      <c r="AB1505" s="100"/>
      <c r="AC1505" s="100"/>
      <c r="AD1505" s="100"/>
      <c r="AF1505"/>
      <c r="AK1505">
        <f t="shared" si="915"/>
        <v>0</v>
      </c>
      <c r="AL1505">
        <f t="shared" si="916"/>
        <v>0</v>
      </c>
      <c r="AM1505">
        <f t="shared" si="917"/>
        <v>0</v>
      </c>
      <c r="AN1505">
        <f t="shared" si="918"/>
        <v>0</v>
      </c>
      <c r="AO1505">
        <f t="shared" si="919"/>
        <v>0</v>
      </c>
      <c r="AP1505">
        <f t="shared" si="920"/>
        <v>0</v>
      </c>
      <c r="AQ1505">
        <f t="shared" si="921"/>
        <v>0</v>
      </c>
      <c r="AR1505">
        <f t="shared" si="922"/>
        <v>0</v>
      </c>
      <c r="AS1505">
        <f t="shared" si="923"/>
        <v>0</v>
      </c>
    </row>
    <row r="1506" spans="1:45" ht="15" customHeight="1">
      <c r="A1506" s="103"/>
      <c r="B1506" s="57"/>
      <c r="C1506" s="1109"/>
      <c r="D1506" s="954"/>
      <c r="E1506" s="955"/>
      <c r="F1506" s="956"/>
      <c r="G1506" s="1119" t="s">
        <v>4899</v>
      </c>
      <c r="H1506" s="1120"/>
      <c r="I1506" s="178"/>
      <c r="J1506" s="1111" t="s">
        <v>4900</v>
      </c>
      <c r="K1506" s="1111"/>
      <c r="L1506" s="1111"/>
      <c r="M1506" s="1111"/>
      <c r="N1506" s="1111"/>
      <c r="O1506" s="1111"/>
      <c r="P1506" s="1111"/>
      <c r="Q1506" s="1111"/>
      <c r="R1506" s="1111"/>
      <c r="S1506" s="1111"/>
      <c r="T1506" s="1111"/>
      <c r="U1506" s="1112"/>
      <c r="V1506" s="100"/>
      <c r="W1506" s="100"/>
      <c r="X1506" s="100"/>
      <c r="Y1506" s="100"/>
      <c r="Z1506" s="100"/>
      <c r="AA1506" s="100"/>
      <c r="AB1506" s="100"/>
      <c r="AC1506" s="100"/>
      <c r="AD1506" s="100"/>
      <c r="AF1506"/>
      <c r="AK1506">
        <f t="shared" si="915"/>
        <v>0</v>
      </c>
      <c r="AL1506">
        <f t="shared" si="916"/>
        <v>0</v>
      </c>
      <c r="AM1506">
        <f t="shared" si="917"/>
        <v>0</v>
      </c>
      <c r="AN1506">
        <f t="shared" si="918"/>
        <v>0</v>
      </c>
      <c r="AO1506">
        <f t="shared" si="919"/>
        <v>0</v>
      </c>
      <c r="AP1506">
        <f t="shared" si="920"/>
        <v>0</v>
      </c>
      <c r="AQ1506">
        <f t="shared" si="921"/>
        <v>0</v>
      </c>
      <c r="AR1506">
        <f t="shared" si="922"/>
        <v>0</v>
      </c>
      <c r="AS1506">
        <f t="shared" si="923"/>
        <v>0</v>
      </c>
    </row>
    <row r="1507" spans="1:45" ht="15" customHeight="1">
      <c r="A1507" s="103"/>
      <c r="B1507" s="57"/>
      <c r="C1507" s="1109"/>
      <c r="D1507" s="954"/>
      <c r="E1507" s="955"/>
      <c r="F1507" s="956"/>
      <c r="G1507" s="1119" t="s">
        <v>4901</v>
      </c>
      <c r="H1507" s="1120"/>
      <c r="I1507" s="179"/>
      <c r="J1507" s="1113" t="s">
        <v>201</v>
      </c>
      <c r="K1507" s="1113"/>
      <c r="L1507" s="1113"/>
      <c r="M1507" s="1113"/>
      <c r="N1507" s="1113"/>
      <c r="O1507" s="1113"/>
      <c r="P1507" s="1113"/>
      <c r="Q1507" s="1113"/>
      <c r="R1507" s="1113"/>
      <c r="S1507" s="1113"/>
      <c r="T1507" s="1113"/>
      <c r="U1507" s="1114"/>
      <c r="V1507" s="100"/>
      <c r="W1507" s="100"/>
      <c r="X1507" s="100"/>
      <c r="Y1507" s="100"/>
      <c r="Z1507" s="100"/>
      <c r="AA1507" s="100"/>
      <c r="AB1507" s="100"/>
      <c r="AC1507" s="100"/>
      <c r="AD1507" s="100"/>
      <c r="AF1507"/>
      <c r="AK1507">
        <f t="shared" si="915"/>
        <v>0</v>
      </c>
      <c r="AL1507">
        <f t="shared" si="916"/>
        <v>0</v>
      </c>
      <c r="AM1507">
        <f t="shared" si="917"/>
        <v>0</v>
      </c>
      <c r="AN1507">
        <f t="shared" si="918"/>
        <v>0</v>
      </c>
      <c r="AO1507">
        <f t="shared" si="919"/>
        <v>0</v>
      </c>
      <c r="AP1507">
        <f t="shared" si="920"/>
        <v>0</v>
      </c>
      <c r="AQ1507">
        <f t="shared" si="921"/>
        <v>0</v>
      </c>
      <c r="AR1507">
        <f t="shared" si="922"/>
        <v>0</v>
      </c>
      <c r="AS1507">
        <f t="shared" si="923"/>
        <v>0</v>
      </c>
    </row>
    <row r="1508" spans="1:45" ht="15" customHeight="1">
      <c r="A1508" s="103"/>
      <c r="B1508" s="57"/>
      <c r="C1508" s="1109"/>
      <c r="D1508" s="954"/>
      <c r="E1508" s="955"/>
      <c r="F1508" s="956"/>
      <c r="G1508" s="1117" t="s">
        <v>4902</v>
      </c>
      <c r="H1508" s="1118"/>
      <c r="I1508" s="1104" t="s">
        <v>4903</v>
      </c>
      <c r="J1508" s="1105"/>
      <c r="K1508" s="1105"/>
      <c r="L1508" s="1105"/>
      <c r="M1508" s="1105"/>
      <c r="N1508" s="1105"/>
      <c r="O1508" s="1105"/>
      <c r="P1508" s="1105"/>
      <c r="Q1508" s="1105"/>
      <c r="R1508" s="1105"/>
      <c r="S1508" s="1105"/>
      <c r="T1508" s="1105"/>
      <c r="U1508" s="1106"/>
      <c r="V1508" s="100"/>
      <c r="W1508" s="100"/>
      <c r="X1508" s="100"/>
      <c r="Y1508" s="100"/>
      <c r="Z1508" s="100"/>
      <c r="AA1508" s="100"/>
      <c r="AB1508" s="100"/>
      <c r="AC1508" s="100"/>
      <c r="AD1508" s="100"/>
      <c r="AF1508"/>
      <c r="AK1508">
        <f t="shared" si="915"/>
        <v>0</v>
      </c>
      <c r="AL1508">
        <f t="shared" si="916"/>
        <v>0</v>
      </c>
      <c r="AM1508">
        <f t="shared" si="917"/>
        <v>0</v>
      </c>
      <c r="AN1508">
        <f t="shared" si="918"/>
        <v>0</v>
      </c>
      <c r="AO1508">
        <f t="shared" si="919"/>
        <v>0</v>
      </c>
      <c r="AP1508">
        <f t="shared" si="920"/>
        <v>0</v>
      </c>
      <c r="AQ1508">
        <f t="shared" si="921"/>
        <v>0</v>
      </c>
      <c r="AR1508">
        <f t="shared" si="922"/>
        <v>0</v>
      </c>
      <c r="AS1508">
        <f t="shared" si="923"/>
        <v>0</v>
      </c>
    </row>
    <row r="1509" spans="1:45" ht="15" customHeight="1">
      <c r="A1509" s="103"/>
      <c r="B1509" s="57"/>
      <c r="C1509" s="1109"/>
      <c r="D1509" s="954"/>
      <c r="E1509" s="955"/>
      <c r="F1509" s="956"/>
      <c r="G1509" s="1117" t="s">
        <v>4904</v>
      </c>
      <c r="H1509" s="1118"/>
      <c r="I1509" s="1104" t="s">
        <v>4905</v>
      </c>
      <c r="J1509" s="1105"/>
      <c r="K1509" s="1105"/>
      <c r="L1509" s="1105"/>
      <c r="M1509" s="1105"/>
      <c r="N1509" s="1105"/>
      <c r="O1509" s="1105"/>
      <c r="P1509" s="1105"/>
      <c r="Q1509" s="1105"/>
      <c r="R1509" s="1105"/>
      <c r="S1509" s="1105"/>
      <c r="T1509" s="1105"/>
      <c r="U1509" s="1106"/>
      <c r="V1509" s="100"/>
      <c r="W1509" s="100"/>
      <c r="X1509" s="100"/>
      <c r="Y1509" s="100"/>
      <c r="Z1509" s="100"/>
      <c r="AA1509" s="100"/>
      <c r="AB1509" s="100"/>
      <c r="AC1509" s="100"/>
      <c r="AD1509" s="100"/>
      <c r="AF1509"/>
      <c r="AK1509">
        <f t="shared" si="915"/>
        <v>0</v>
      </c>
      <c r="AL1509">
        <f t="shared" si="916"/>
        <v>0</v>
      </c>
      <c r="AM1509">
        <f t="shared" si="917"/>
        <v>0</v>
      </c>
      <c r="AN1509">
        <f t="shared" si="918"/>
        <v>0</v>
      </c>
      <c r="AO1509">
        <f t="shared" si="919"/>
        <v>0</v>
      </c>
      <c r="AP1509">
        <f t="shared" si="920"/>
        <v>0</v>
      </c>
      <c r="AQ1509">
        <f t="shared" si="921"/>
        <v>0</v>
      </c>
      <c r="AR1509">
        <f t="shared" si="922"/>
        <v>0</v>
      </c>
      <c r="AS1509">
        <f t="shared" si="923"/>
        <v>0</v>
      </c>
    </row>
    <row r="1510" spans="1:45" ht="15" customHeight="1">
      <c r="A1510" s="103"/>
      <c r="B1510" s="57"/>
      <c r="C1510" s="1109"/>
      <c r="D1510" s="954"/>
      <c r="E1510" s="955"/>
      <c r="F1510" s="956"/>
      <c r="G1510" s="1117" t="s">
        <v>4906</v>
      </c>
      <c r="H1510" s="1118"/>
      <c r="I1510" s="1104" t="s">
        <v>4907</v>
      </c>
      <c r="J1510" s="1105"/>
      <c r="K1510" s="1105"/>
      <c r="L1510" s="1105"/>
      <c r="M1510" s="1105"/>
      <c r="N1510" s="1105"/>
      <c r="O1510" s="1105"/>
      <c r="P1510" s="1105"/>
      <c r="Q1510" s="1105"/>
      <c r="R1510" s="1105"/>
      <c r="S1510" s="1105"/>
      <c r="T1510" s="1105"/>
      <c r="U1510" s="1106"/>
      <c r="V1510" s="100"/>
      <c r="W1510" s="100"/>
      <c r="X1510" s="100"/>
      <c r="Y1510" s="100"/>
      <c r="Z1510" s="100"/>
      <c r="AA1510" s="100"/>
      <c r="AB1510" s="100"/>
      <c r="AC1510" s="100"/>
      <c r="AD1510" s="100"/>
      <c r="AF1510"/>
      <c r="AK1510">
        <f t="shared" si="915"/>
        <v>0</v>
      </c>
      <c r="AL1510">
        <f t="shared" si="916"/>
        <v>0</v>
      </c>
      <c r="AM1510">
        <f t="shared" si="917"/>
        <v>0</v>
      </c>
      <c r="AN1510">
        <f t="shared" si="918"/>
        <v>0</v>
      </c>
      <c r="AO1510">
        <f t="shared" si="919"/>
        <v>0</v>
      </c>
      <c r="AP1510">
        <f t="shared" si="920"/>
        <v>0</v>
      </c>
      <c r="AQ1510">
        <f t="shared" si="921"/>
        <v>0</v>
      </c>
      <c r="AR1510">
        <f t="shared" si="922"/>
        <v>0</v>
      </c>
      <c r="AS1510">
        <f t="shared" si="923"/>
        <v>0</v>
      </c>
    </row>
    <row r="1511" spans="1:45" ht="24" customHeight="1">
      <c r="A1511" s="103"/>
      <c r="B1511" s="57"/>
      <c r="C1511" s="1109"/>
      <c r="D1511" s="954"/>
      <c r="E1511" s="955"/>
      <c r="F1511" s="956"/>
      <c r="G1511" s="1119" t="s">
        <v>4908</v>
      </c>
      <c r="H1511" s="1120"/>
      <c r="I1511" s="177"/>
      <c r="J1511" s="1115" t="s">
        <v>4909</v>
      </c>
      <c r="K1511" s="1115"/>
      <c r="L1511" s="1115"/>
      <c r="M1511" s="1115"/>
      <c r="N1511" s="1115"/>
      <c r="O1511" s="1115"/>
      <c r="P1511" s="1115"/>
      <c r="Q1511" s="1115"/>
      <c r="R1511" s="1115"/>
      <c r="S1511" s="1115"/>
      <c r="T1511" s="1115"/>
      <c r="U1511" s="1116"/>
      <c r="V1511" s="100"/>
      <c r="W1511" s="100"/>
      <c r="X1511" s="100"/>
      <c r="Y1511" s="100"/>
      <c r="Z1511" s="100"/>
      <c r="AA1511" s="100"/>
      <c r="AB1511" s="100"/>
      <c r="AC1511" s="100"/>
      <c r="AD1511" s="100"/>
      <c r="AF1511"/>
      <c r="AK1511">
        <f t="shared" si="915"/>
        <v>0</v>
      </c>
      <c r="AL1511">
        <f t="shared" si="916"/>
        <v>0</v>
      </c>
      <c r="AM1511">
        <f t="shared" si="917"/>
        <v>0</v>
      </c>
      <c r="AN1511">
        <f t="shared" si="918"/>
        <v>0</v>
      </c>
      <c r="AO1511">
        <f t="shared" si="919"/>
        <v>0</v>
      </c>
      <c r="AP1511">
        <f t="shared" si="920"/>
        <v>0</v>
      </c>
      <c r="AQ1511">
        <f t="shared" si="921"/>
        <v>0</v>
      </c>
      <c r="AR1511">
        <f t="shared" si="922"/>
        <v>0</v>
      </c>
      <c r="AS1511">
        <f t="shared" si="923"/>
        <v>0</v>
      </c>
    </row>
    <row r="1512" spans="1:45" ht="15" customHeight="1">
      <c r="A1512" s="103"/>
      <c r="B1512" s="57"/>
      <c r="C1512" s="1109"/>
      <c r="D1512" s="954"/>
      <c r="E1512" s="955"/>
      <c r="F1512" s="956"/>
      <c r="G1512" s="1119" t="s">
        <v>4910</v>
      </c>
      <c r="H1512" s="1120"/>
      <c r="I1512" s="178"/>
      <c r="J1512" s="1111" t="s">
        <v>4911</v>
      </c>
      <c r="K1512" s="1111"/>
      <c r="L1512" s="1111"/>
      <c r="M1512" s="1111"/>
      <c r="N1512" s="1111"/>
      <c r="O1512" s="1111"/>
      <c r="P1512" s="1111"/>
      <c r="Q1512" s="1111"/>
      <c r="R1512" s="1111"/>
      <c r="S1512" s="1111"/>
      <c r="T1512" s="1111"/>
      <c r="U1512" s="1112"/>
      <c r="V1512" s="100"/>
      <c r="W1512" s="100"/>
      <c r="X1512" s="100"/>
      <c r="Y1512" s="100"/>
      <c r="Z1512" s="100"/>
      <c r="AA1512" s="100"/>
      <c r="AB1512" s="100"/>
      <c r="AC1512" s="100"/>
      <c r="AD1512" s="100"/>
      <c r="AF1512"/>
      <c r="AK1512">
        <f t="shared" si="915"/>
        <v>0</v>
      </c>
      <c r="AL1512">
        <f t="shared" si="916"/>
        <v>0</v>
      </c>
      <c r="AM1512">
        <f t="shared" si="917"/>
        <v>0</v>
      </c>
      <c r="AN1512">
        <f t="shared" si="918"/>
        <v>0</v>
      </c>
      <c r="AO1512">
        <f t="shared" si="919"/>
        <v>0</v>
      </c>
      <c r="AP1512">
        <f t="shared" si="920"/>
        <v>0</v>
      </c>
      <c r="AQ1512">
        <f t="shared" si="921"/>
        <v>0</v>
      </c>
      <c r="AR1512">
        <f t="shared" si="922"/>
        <v>0</v>
      </c>
      <c r="AS1512">
        <f t="shared" si="923"/>
        <v>0</v>
      </c>
    </row>
    <row r="1513" spans="1:45" ht="15" customHeight="1">
      <c r="A1513" s="103"/>
      <c r="B1513" s="57"/>
      <c r="C1513" s="1109"/>
      <c r="D1513" s="954"/>
      <c r="E1513" s="955"/>
      <c r="F1513" s="956"/>
      <c r="G1513" s="1119" t="s">
        <v>4912</v>
      </c>
      <c r="H1513" s="1120"/>
      <c r="I1513" s="179"/>
      <c r="J1513" s="1113" t="s">
        <v>201</v>
      </c>
      <c r="K1513" s="1113"/>
      <c r="L1513" s="1113"/>
      <c r="M1513" s="1113"/>
      <c r="N1513" s="1113"/>
      <c r="O1513" s="1113"/>
      <c r="P1513" s="1113"/>
      <c r="Q1513" s="1113"/>
      <c r="R1513" s="1113"/>
      <c r="S1513" s="1113"/>
      <c r="T1513" s="1113"/>
      <c r="U1513" s="1114"/>
      <c r="V1513" s="100"/>
      <c r="W1513" s="100"/>
      <c r="X1513" s="100"/>
      <c r="Y1513" s="100"/>
      <c r="Z1513" s="100"/>
      <c r="AA1513" s="100"/>
      <c r="AB1513" s="100"/>
      <c r="AC1513" s="100"/>
      <c r="AD1513" s="100"/>
      <c r="AF1513"/>
      <c r="AK1513">
        <f t="shared" si="915"/>
        <v>0</v>
      </c>
      <c r="AL1513">
        <f t="shared" si="916"/>
        <v>0</v>
      </c>
      <c r="AM1513">
        <f t="shared" si="917"/>
        <v>0</v>
      </c>
      <c r="AN1513">
        <f t="shared" si="918"/>
        <v>0</v>
      </c>
      <c r="AO1513">
        <f t="shared" si="919"/>
        <v>0</v>
      </c>
      <c r="AP1513">
        <f t="shared" si="920"/>
        <v>0</v>
      </c>
      <c r="AQ1513">
        <f t="shared" si="921"/>
        <v>0</v>
      </c>
      <c r="AR1513">
        <f t="shared" si="922"/>
        <v>0</v>
      </c>
      <c r="AS1513">
        <f t="shared" si="923"/>
        <v>0</v>
      </c>
    </row>
    <row r="1514" spans="1:45" ht="15" customHeight="1">
      <c r="A1514" s="103"/>
      <c r="B1514" s="57"/>
      <c r="C1514" s="1109"/>
      <c r="D1514" s="954"/>
      <c r="E1514" s="955"/>
      <c r="F1514" s="956"/>
      <c r="G1514" s="1117" t="s">
        <v>4913</v>
      </c>
      <c r="H1514" s="1118"/>
      <c r="I1514" s="1104" t="s">
        <v>4914</v>
      </c>
      <c r="J1514" s="1105"/>
      <c r="K1514" s="1105"/>
      <c r="L1514" s="1105"/>
      <c r="M1514" s="1105"/>
      <c r="N1514" s="1105"/>
      <c r="O1514" s="1105"/>
      <c r="P1514" s="1105"/>
      <c r="Q1514" s="1105"/>
      <c r="R1514" s="1105"/>
      <c r="S1514" s="1105"/>
      <c r="T1514" s="1105"/>
      <c r="U1514" s="1106"/>
      <c r="V1514" s="100"/>
      <c r="W1514" s="100"/>
      <c r="X1514" s="100"/>
      <c r="Y1514" s="100"/>
      <c r="Z1514" s="100"/>
      <c r="AA1514" s="100"/>
      <c r="AB1514" s="100"/>
      <c r="AC1514" s="100"/>
      <c r="AD1514" s="100"/>
      <c r="AF1514"/>
      <c r="AK1514">
        <f t="shared" si="915"/>
        <v>0</v>
      </c>
      <c r="AL1514">
        <f t="shared" si="916"/>
        <v>0</v>
      </c>
      <c r="AM1514">
        <f t="shared" si="917"/>
        <v>0</v>
      </c>
      <c r="AN1514">
        <f t="shared" si="918"/>
        <v>0</v>
      </c>
      <c r="AO1514">
        <f t="shared" si="919"/>
        <v>0</v>
      </c>
      <c r="AP1514">
        <f t="shared" si="920"/>
        <v>0</v>
      </c>
      <c r="AQ1514">
        <f t="shared" si="921"/>
        <v>0</v>
      </c>
      <c r="AR1514">
        <f t="shared" si="922"/>
        <v>0</v>
      </c>
      <c r="AS1514">
        <f t="shared" si="923"/>
        <v>0</v>
      </c>
    </row>
    <row r="1515" spans="1:45" ht="15" customHeight="1">
      <c r="A1515" s="103"/>
      <c r="B1515" s="57"/>
      <c r="C1515" s="1109"/>
      <c r="D1515" s="954"/>
      <c r="E1515" s="955"/>
      <c r="F1515" s="956"/>
      <c r="G1515" s="1117" t="s">
        <v>4915</v>
      </c>
      <c r="H1515" s="1118"/>
      <c r="I1515" s="1104" t="s">
        <v>4916</v>
      </c>
      <c r="J1515" s="1105"/>
      <c r="K1515" s="1105"/>
      <c r="L1515" s="1105"/>
      <c r="M1515" s="1105"/>
      <c r="N1515" s="1105"/>
      <c r="O1515" s="1105"/>
      <c r="P1515" s="1105"/>
      <c r="Q1515" s="1105"/>
      <c r="R1515" s="1105"/>
      <c r="S1515" s="1105"/>
      <c r="T1515" s="1105"/>
      <c r="U1515" s="1106"/>
      <c r="V1515" s="100"/>
      <c r="W1515" s="100"/>
      <c r="X1515" s="100"/>
      <c r="Y1515" s="100"/>
      <c r="Z1515" s="100"/>
      <c r="AA1515" s="100"/>
      <c r="AB1515" s="100"/>
      <c r="AC1515" s="100"/>
      <c r="AD1515" s="100"/>
      <c r="AF1515"/>
      <c r="AK1515">
        <f t="shared" si="915"/>
        <v>0</v>
      </c>
      <c r="AL1515">
        <f t="shared" si="916"/>
        <v>0</v>
      </c>
      <c r="AM1515">
        <f t="shared" si="917"/>
        <v>0</v>
      </c>
      <c r="AN1515">
        <f t="shared" si="918"/>
        <v>0</v>
      </c>
      <c r="AO1515">
        <f t="shared" si="919"/>
        <v>0</v>
      </c>
      <c r="AP1515">
        <f t="shared" si="920"/>
        <v>0</v>
      </c>
      <c r="AQ1515">
        <f t="shared" si="921"/>
        <v>0</v>
      </c>
      <c r="AR1515">
        <f t="shared" si="922"/>
        <v>0</v>
      </c>
      <c r="AS1515">
        <f t="shared" si="923"/>
        <v>0</v>
      </c>
    </row>
    <row r="1516" spans="1:45" ht="15" customHeight="1">
      <c r="A1516" s="103"/>
      <c r="B1516" s="57"/>
      <c r="C1516" s="1109"/>
      <c r="D1516" s="954"/>
      <c r="E1516" s="955"/>
      <c r="F1516" s="956"/>
      <c r="G1516" s="1117" t="s">
        <v>4917</v>
      </c>
      <c r="H1516" s="1118"/>
      <c r="I1516" s="1104" t="s">
        <v>4918</v>
      </c>
      <c r="J1516" s="1105"/>
      <c r="K1516" s="1105"/>
      <c r="L1516" s="1105"/>
      <c r="M1516" s="1105"/>
      <c r="N1516" s="1105"/>
      <c r="O1516" s="1105"/>
      <c r="P1516" s="1105"/>
      <c r="Q1516" s="1105"/>
      <c r="R1516" s="1105"/>
      <c r="S1516" s="1105"/>
      <c r="T1516" s="1105"/>
      <c r="U1516" s="1106"/>
      <c r="V1516" s="100"/>
      <c r="W1516" s="100"/>
      <c r="X1516" s="100"/>
      <c r="Y1516" s="100"/>
      <c r="Z1516" s="100"/>
      <c r="AA1516" s="100"/>
      <c r="AB1516" s="100"/>
      <c r="AC1516" s="100"/>
      <c r="AD1516" s="100"/>
      <c r="AF1516"/>
      <c r="AK1516">
        <f t="shared" si="915"/>
        <v>0</v>
      </c>
      <c r="AL1516">
        <f t="shared" si="916"/>
        <v>0</v>
      </c>
      <c r="AM1516">
        <f t="shared" si="917"/>
        <v>0</v>
      </c>
      <c r="AN1516">
        <f t="shared" si="918"/>
        <v>0</v>
      </c>
      <c r="AO1516">
        <f t="shared" si="919"/>
        <v>0</v>
      </c>
      <c r="AP1516">
        <f t="shared" si="920"/>
        <v>0</v>
      </c>
      <c r="AQ1516">
        <f t="shared" si="921"/>
        <v>0</v>
      </c>
      <c r="AR1516">
        <f t="shared" si="922"/>
        <v>0</v>
      </c>
      <c r="AS1516">
        <f t="shared" si="923"/>
        <v>0</v>
      </c>
    </row>
    <row r="1517" spans="1:45" ht="15" customHeight="1">
      <c r="A1517" s="103"/>
      <c r="B1517" s="57"/>
      <c r="C1517" s="1108" t="s">
        <v>4919</v>
      </c>
      <c r="D1517" s="847" t="s">
        <v>4920</v>
      </c>
      <c r="E1517" s="953"/>
      <c r="F1517" s="848"/>
      <c r="G1517" s="1117" t="s">
        <v>4921</v>
      </c>
      <c r="H1517" s="1118"/>
      <c r="I1517" s="1104" t="s">
        <v>4922</v>
      </c>
      <c r="J1517" s="1105"/>
      <c r="K1517" s="1105"/>
      <c r="L1517" s="1105"/>
      <c r="M1517" s="1105"/>
      <c r="N1517" s="1105"/>
      <c r="O1517" s="1105"/>
      <c r="P1517" s="1105"/>
      <c r="Q1517" s="1105"/>
      <c r="R1517" s="1105"/>
      <c r="S1517" s="1105"/>
      <c r="T1517" s="1105"/>
      <c r="U1517" s="1106"/>
      <c r="V1517" s="100"/>
      <c r="W1517" s="100"/>
      <c r="X1517" s="100"/>
      <c r="Y1517" s="100"/>
      <c r="Z1517" s="100"/>
      <c r="AA1517" s="100"/>
      <c r="AB1517" s="100"/>
      <c r="AC1517" s="100"/>
      <c r="AD1517" s="100"/>
      <c r="AF1517"/>
      <c r="AK1517">
        <f t="shared" ref="AK1517:AK1580" si="924">COUNTIF(W1517:X1517,"NS")</f>
        <v>0</v>
      </c>
      <c r="AL1517">
        <f t="shared" ref="AL1517:AL1580" si="925">SUM(W1517:X1517)</f>
        <v>0</v>
      </c>
      <c r="AM1517">
        <f t="shared" ref="AM1517:AM1580" si="926">IF(COUNTIF(V1517:X1517,"NA")=3,0,IF(COUNTA(V1517:X1517)=0,0,IF(OR(AND(V1517=0,AK1517&gt;0),AND(V1517="ns",AL1517&gt;0),AND(V1517="ns",AK1517=0,AL1517=0)),1,IF(OR(AND(V1517&gt;0,AK1517=2),AND(V1517="ns",AK1517=2),AND(V1517="ns",AL1517=0,AK1517&gt;0),V1517=AL1517),0,1))))</f>
        <v>0</v>
      </c>
      <c r="AN1517">
        <f t="shared" ref="AN1517:AN1580" si="927">COUNTIF(Z1517:AA1517,"NS")</f>
        <v>0</v>
      </c>
      <c r="AO1517">
        <f t="shared" ref="AO1517:AO1580" si="928">SUM(Z1517:AA1517)</f>
        <v>0</v>
      </c>
      <c r="AP1517">
        <f t="shared" ref="AP1517:AP1580" si="929">IF(COUNTIF(Y1517:AA1517,"NA")=3,0,IF(COUNTA(Y1517:AA1517)=0,0,IF(OR(AND(Y1517=0,AN1517&gt;0),AND(Y1517="ns",AO1517&gt;0),AND(Y1517="ns",AN1517=0,AO1517=0)),1,IF(OR(AND(Y1517&gt;0,AN1517=2),AND(Y1517="ns",AN1517=2),AND(Y1517="ns",AO1517=0,AN1517&gt;0),Y1517=AO1517),0,1))))</f>
        <v>0</v>
      </c>
      <c r="AQ1517">
        <f t="shared" ref="AQ1517:AQ1580" si="930">COUNTIF(AC1517:AD1517,"NS")</f>
        <v>0</v>
      </c>
      <c r="AR1517">
        <f t="shared" ref="AR1517:AR1580" si="931">SUM(AC1517:AD1517)</f>
        <v>0</v>
      </c>
      <c r="AS1517">
        <f t="shared" ref="AS1517:AS1580" si="932">IF(COUNTIF(AB1517:AD1517,"NA")=3,0,IF(COUNTA(AB1517:AD1517)=0,0,IF(OR(AND(AB1517=0,AQ1517&gt;0),AND(AB1517="ns",AR1517&gt;0),AND(AB1517="ns",AQ1517=0,AR1517=0)),1,IF(OR(AND(AB1517&gt;0,AQ1517=2),AND(AB1517="ns",AQ1517=2),AND(AB1517="ns",AR1517=0,AQ1517&gt;0),AB1517=AR1517),0,1))))</f>
        <v>0</v>
      </c>
    </row>
    <row r="1518" spans="1:45" ht="15" customHeight="1">
      <c r="A1518" s="103"/>
      <c r="B1518" s="57"/>
      <c r="C1518" s="1109"/>
      <c r="D1518" s="954"/>
      <c r="E1518" s="955"/>
      <c r="F1518" s="956"/>
      <c r="G1518" s="1117" t="s">
        <v>4923</v>
      </c>
      <c r="H1518" s="1118"/>
      <c r="I1518" s="1104" t="s">
        <v>4924</v>
      </c>
      <c r="J1518" s="1105"/>
      <c r="K1518" s="1105"/>
      <c r="L1518" s="1105"/>
      <c r="M1518" s="1105"/>
      <c r="N1518" s="1105"/>
      <c r="O1518" s="1105"/>
      <c r="P1518" s="1105"/>
      <c r="Q1518" s="1105"/>
      <c r="R1518" s="1105"/>
      <c r="S1518" s="1105"/>
      <c r="T1518" s="1105"/>
      <c r="U1518" s="1106"/>
      <c r="V1518" s="100"/>
      <c r="W1518" s="100"/>
      <c r="X1518" s="100"/>
      <c r="Y1518" s="100"/>
      <c r="Z1518" s="100"/>
      <c r="AA1518" s="100"/>
      <c r="AB1518" s="100"/>
      <c r="AC1518" s="100"/>
      <c r="AD1518" s="100"/>
      <c r="AF1518"/>
      <c r="AK1518">
        <f t="shared" si="924"/>
        <v>0</v>
      </c>
      <c r="AL1518">
        <f t="shared" si="925"/>
        <v>0</v>
      </c>
      <c r="AM1518">
        <f t="shared" si="926"/>
        <v>0</v>
      </c>
      <c r="AN1518">
        <f t="shared" si="927"/>
        <v>0</v>
      </c>
      <c r="AO1518">
        <f t="shared" si="928"/>
        <v>0</v>
      </c>
      <c r="AP1518">
        <f t="shared" si="929"/>
        <v>0</v>
      </c>
      <c r="AQ1518">
        <f t="shared" si="930"/>
        <v>0</v>
      </c>
      <c r="AR1518">
        <f t="shared" si="931"/>
        <v>0</v>
      </c>
      <c r="AS1518">
        <f t="shared" si="932"/>
        <v>0</v>
      </c>
    </row>
    <row r="1519" spans="1:45" ht="15" customHeight="1">
      <c r="A1519" s="103"/>
      <c r="B1519" s="57"/>
      <c r="C1519" s="1109"/>
      <c r="D1519" s="954"/>
      <c r="E1519" s="955"/>
      <c r="F1519" s="956"/>
      <c r="G1519" s="1117" t="s">
        <v>4925</v>
      </c>
      <c r="H1519" s="1118"/>
      <c r="I1519" s="1104" t="s">
        <v>4926</v>
      </c>
      <c r="J1519" s="1105"/>
      <c r="K1519" s="1105"/>
      <c r="L1519" s="1105"/>
      <c r="M1519" s="1105"/>
      <c r="N1519" s="1105"/>
      <c r="O1519" s="1105"/>
      <c r="P1519" s="1105"/>
      <c r="Q1519" s="1105"/>
      <c r="R1519" s="1105"/>
      <c r="S1519" s="1105"/>
      <c r="T1519" s="1105"/>
      <c r="U1519" s="1106"/>
      <c r="V1519" s="100"/>
      <c r="W1519" s="100"/>
      <c r="X1519" s="100"/>
      <c r="Y1519" s="100"/>
      <c r="Z1519" s="100"/>
      <c r="AA1519" s="100"/>
      <c r="AB1519" s="100"/>
      <c r="AC1519" s="100"/>
      <c r="AD1519" s="100"/>
      <c r="AF1519"/>
      <c r="AK1519">
        <f t="shared" si="924"/>
        <v>0</v>
      </c>
      <c r="AL1519">
        <f t="shared" si="925"/>
        <v>0</v>
      </c>
      <c r="AM1519">
        <f t="shared" si="926"/>
        <v>0</v>
      </c>
      <c r="AN1519">
        <f t="shared" si="927"/>
        <v>0</v>
      </c>
      <c r="AO1519">
        <f t="shared" si="928"/>
        <v>0</v>
      </c>
      <c r="AP1519">
        <f t="shared" si="929"/>
        <v>0</v>
      </c>
      <c r="AQ1519">
        <f t="shared" si="930"/>
        <v>0</v>
      </c>
      <c r="AR1519">
        <f t="shared" si="931"/>
        <v>0</v>
      </c>
      <c r="AS1519">
        <f t="shared" si="932"/>
        <v>0</v>
      </c>
    </row>
    <row r="1520" spans="1:45" ht="15" customHeight="1">
      <c r="A1520" s="103"/>
      <c r="B1520" s="57"/>
      <c r="C1520" s="1108" t="s">
        <v>4927</v>
      </c>
      <c r="D1520" s="847" t="s">
        <v>4928</v>
      </c>
      <c r="E1520" s="953"/>
      <c r="F1520" s="848"/>
      <c r="G1520" s="1117" t="s">
        <v>4929</v>
      </c>
      <c r="H1520" s="1118"/>
      <c r="I1520" s="1104" t="s">
        <v>4930</v>
      </c>
      <c r="J1520" s="1105"/>
      <c r="K1520" s="1105"/>
      <c r="L1520" s="1105"/>
      <c r="M1520" s="1105"/>
      <c r="N1520" s="1105"/>
      <c r="O1520" s="1105"/>
      <c r="P1520" s="1105"/>
      <c r="Q1520" s="1105"/>
      <c r="R1520" s="1105"/>
      <c r="S1520" s="1105"/>
      <c r="T1520" s="1105"/>
      <c r="U1520" s="1106"/>
      <c r="V1520" s="100"/>
      <c r="W1520" s="100"/>
      <c r="X1520" s="100"/>
      <c r="Y1520" s="100"/>
      <c r="Z1520" s="100"/>
      <c r="AA1520" s="100"/>
      <c r="AB1520" s="100"/>
      <c r="AC1520" s="100"/>
      <c r="AD1520" s="100"/>
      <c r="AF1520"/>
      <c r="AK1520">
        <f t="shared" si="924"/>
        <v>0</v>
      </c>
      <c r="AL1520">
        <f t="shared" si="925"/>
        <v>0</v>
      </c>
      <c r="AM1520">
        <f t="shared" si="926"/>
        <v>0</v>
      </c>
      <c r="AN1520">
        <f t="shared" si="927"/>
        <v>0</v>
      </c>
      <c r="AO1520">
        <f t="shared" si="928"/>
        <v>0</v>
      </c>
      <c r="AP1520">
        <f t="shared" si="929"/>
        <v>0</v>
      </c>
      <c r="AQ1520">
        <f t="shared" si="930"/>
        <v>0</v>
      </c>
      <c r="AR1520">
        <f t="shared" si="931"/>
        <v>0</v>
      </c>
      <c r="AS1520">
        <f t="shared" si="932"/>
        <v>0</v>
      </c>
    </row>
    <row r="1521" spans="1:45" ht="15" customHeight="1">
      <c r="A1521" s="103"/>
      <c r="B1521" s="57"/>
      <c r="C1521" s="1109"/>
      <c r="D1521" s="954"/>
      <c r="E1521" s="955"/>
      <c r="F1521" s="956"/>
      <c r="G1521" s="1119" t="s">
        <v>4931</v>
      </c>
      <c r="H1521" s="1120"/>
      <c r="I1521" s="177"/>
      <c r="J1521" s="1115" t="s">
        <v>4932</v>
      </c>
      <c r="K1521" s="1115"/>
      <c r="L1521" s="1115"/>
      <c r="M1521" s="1115"/>
      <c r="N1521" s="1115"/>
      <c r="O1521" s="1115"/>
      <c r="P1521" s="1115"/>
      <c r="Q1521" s="1115"/>
      <c r="R1521" s="1115"/>
      <c r="S1521" s="1115"/>
      <c r="T1521" s="1115"/>
      <c r="U1521" s="1116"/>
      <c r="V1521" s="100"/>
      <c r="W1521" s="100"/>
      <c r="X1521" s="100"/>
      <c r="Y1521" s="100"/>
      <c r="Z1521" s="100"/>
      <c r="AA1521" s="100"/>
      <c r="AB1521" s="100"/>
      <c r="AC1521" s="100"/>
      <c r="AD1521" s="100"/>
      <c r="AF1521"/>
      <c r="AK1521">
        <f t="shared" si="924"/>
        <v>0</v>
      </c>
      <c r="AL1521">
        <f t="shared" si="925"/>
        <v>0</v>
      </c>
      <c r="AM1521">
        <f t="shared" si="926"/>
        <v>0</v>
      </c>
      <c r="AN1521">
        <f t="shared" si="927"/>
        <v>0</v>
      </c>
      <c r="AO1521">
        <f t="shared" si="928"/>
        <v>0</v>
      </c>
      <c r="AP1521">
        <f t="shared" si="929"/>
        <v>0</v>
      </c>
      <c r="AQ1521">
        <f t="shared" si="930"/>
        <v>0</v>
      </c>
      <c r="AR1521">
        <f t="shared" si="931"/>
        <v>0</v>
      </c>
      <c r="AS1521">
        <f t="shared" si="932"/>
        <v>0</v>
      </c>
    </row>
    <row r="1522" spans="1:45" ht="15" customHeight="1">
      <c r="A1522" s="103"/>
      <c r="B1522" s="57"/>
      <c r="C1522" s="1109"/>
      <c r="D1522" s="954"/>
      <c r="E1522" s="955"/>
      <c r="F1522" s="956"/>
      <c r="G1522" s="1119" t="s">
        <v>4933</v>
      </c>
      <c r="H1522" s="1120"/>
      <c r="I1522" s="178"/>
      <c r="J1522" s="1111" t="s">
        <v>4934</v>
      </c>
      <c r="K1522" s="1111"/>
      <c r="L1522" s="1111"/>
      <c r="M1522" s="1111"/>
      <c r="N1522" s="1111"/>
      <c r="O1522" s="1111"/>
      <c r="P1522" s="1111"/>
      <c r="Q1522" s="1111"/>
      <c r="R1522" s="1111"/>
      <c r="S1522" s="1111"/>
      <c r="T1522" s="1111"/>
      <c r="U1522" s="1112"/>
      <c r="V1522" s="100"/>
      <c r="W1522" s="100"/>
      <c r="X1522" s="100"/>
      <c r="Y1522" s="100"/>
      <c r="Z1522" s="100"/>
      <c r="AA1522" s="100"/>
      <c r="AB1522" s="100"/>
      <c r="AC1522" s="100"/>
      <c r="AD1522" s="100"/>
      <c r="AF1522"/>
      <c r="AK1522">
        <f t="shared" si="924"/>
        <v>0</v>
      </c>
      <c r="AL1522">
        <f t="shared" si="925"/>
        <v>0</v>
      </c>
      <c r="AM1522">
        <f t="shared" si="926"/>
        <v>0</v>
      </c>
      <c r="AN1522">
        <f t="shared" si="927"/>
        <v>0</v>
      </c>
      <c r="AO1522">
        <f t="shared" si="928"/>
        <v>0</v>
      </c>
      <c r="AP1522">
        <f t="shared" si="929"/>
        <v>0</v>
      </c>
      <c r="AQ1522">
        <f t="shared" si="930"/>
        <v>0</v>
      </c>
      <c r="AR1522">
        <f t="shared" si="931"/>
        <v>0</v>
      </c>
      <c r="AS1522">
        <f t="shared" si="932"/>
        <v>0</v>
      </c>
    </row>
    <row r="1523" spans="1:45" ht="15" customHeight="1">
      <c r="A1523" s="103"/>
      <c r="B1523" s="57"/>
      <c r="C1523" s="1109"/>
      <c r="D1523" s="954"/>
      <c r="E1523" s="955"/>
      <c r="F1523" s="956"/>
      <c r="G1523" s="1119" t="s">
        <v>4935</v>
      </c>
      <c r="H1523" s="1120"/>
      <c r="I1523" s="178"/>
      <c r="J1523" s="1111" t="s">
        <v>4936</v>
      </c>
      <c r="K1523" s="1111"/>
      <c r="L1523" s="1111"/>
      <c r="M1523" s="1111"/>
      <c r="N1523" s="1111"/>
      <c r="O1523" s="1111"/>
      <c r="P1523" s="1111"/>
      <c r="Q1523" s="1111"/>
      <c r="R1523" s="1111"/>
      <c r="S1523" s="1111"/>
      <c r="T1523" s="1111"/>
      <c r="U1523" s="1112"/>
      <c r="V1523" s="100"/>
      <c r="W1523" s="100"/>
      <c r="X1523" s="100"/>
      <c r="Y1523" s="100"/>
      <c r="Z1523" s="100"/>
      <c r="AA1523" s="100"/>
      <c r="AB1523" s="100"/>
      <c r="AC1523" s="100"/>
      <c r="AD1523" s="100"/>
      <c r="AF1523"/>
      <c r="AK1523">
        <f t="shared" si="924"/>
        <v>0</v>
      </c>
      <c r="AL1523">
        <f t="shared" si="925"/>
        <v>0</v>
      </c>
      <c r="AM1523">
        <f t="shared" si="926"/>
        <v>0</v>
      </c>
      <c r="AN1523">
        <f t="shared" si="927"/>
        <v>0</v>
      </c>
      <c r="AO1523">
        <f t="shared" si="928"/>
        <v>0</v>
      </c>
      <c r="AP1523">
        <f t="shared" si="929"/>
        <v>0</v>
      </c>
      <c r="AQ1523">
        <f t="shared" si="930"/>
        <v>0</v>
      </c>
      <c r="AR1523">
        <f t="shared" si="931"/>
        <v>0</v>
      </c>
      <c r="AS1523">
        <f t="shared" si="932"/>
        <v>0</v>
      </c>
    </row>
    <row r="1524" spans="1:45" ht="15" customHeight="1">
      <c r="A1524" s="103"/>
      <c r="B1524" s="57"/>
      <c r="C1524" s="1109"/>
      <c r="D1524" s="954"/>
      <c r="E1524" s="955"/>
      <c r="F1524" s="956"/>
      <c r="G1524" s="1119" t="s">
        <v>4937</v>
      </c>
      <c r="H1524" s="1120"/>
      <c r="I1524" s="178"/>
      <c r="J1524" s="1111" t="s">
        <v>4938</v>
      </c>
      <c r="K1524" s="1111"/>
      <c r="L1524" s="1111"/>
      <c r="M1524" s="1111"/>
      <c r="N1524" s="1111"/>
      <c r="O1524" s="1111"/>
      <c r="P1524" s="1111"/>
      <c r="Q1524" s="1111"/>
      <c r="R1524" s="1111"/>
      <c r="S1524" s="1111"/>
      <c r="T1524" s="1111"/>
      <c r="U1524" s="1112"/>
      <c r="V1524" s="100"/>
      <c r="W1524" s="100"/>
      <c r="X1524" s="100"/>
      <c r="Y1524" s="100"/>
      <c r="Z1524" s="100"/>
      <c r="AA1524" s="100"/>
      <c r="AB1524" s="100"/>
      <c r="AC1524" s="100"/>
      <c r="AD1524" s="100"/>
      <c r="AF1524"/>
      <c r="AK1524">
        <f t="shared" si="924"/>
        <v>0</v>
      </c>
      <c r="AL1524">
        <f t="shared" si="925"/>
        <v>0</v>
      </c>
      <c r="AM1524">
        <f t="shared" si="926"/>
        <v>0</v>
      </c>
      <c r="AN1524">
        <f t="shared" si="927"/>
        <v>0</v>
      </c>
      <c r="AO1524">
        <f t="shared" si="928"/>
        <v>0</v>
      </c>
      <c r="AP1524">
        <f t="shared" si="929"/>
        <v>0</v>
      </c>
      <c r="AQ1524">
        <f t="shared" si="930"/>
        <v>0</v>
      </c>
      <c r="AR1524">
        <f t="shared" si="931"/>
        <v>0</v>
      </c>
      <c r="AS1524">
        <f t="shared" si="932"/>
        <v>0</v>
      </c>
    </row>
    <row r="1525" spans="1:45" ht="15" customHeight="1">
      <c r="A1525" s="103"/>
      <c r="B1525" s="57"/>
      <c r="C1525" s="1109"/>
      <c r="D1525" s="954"/>
      <c r="E1525" s="955"/>
      <c r="F1525" s="956"/>
      <c r="G1525" s="1119" t="s">
        <v>4939</v>
      </c>
      <c r="H1525" s="1120"/>
      <c r="I1525" s="178"/>
      <c r="J1525" s="1111" t="s">
        <v>4940</v>
      </c>
      <c r="K1525" s="1111"/>
      <c r="L1525" s="1111"/>
      <c r="M1525" s="1111"/>
      <c r="N1525" s="1111"/>
      <c r="O1525" s="1111"/>
      <c r="P1525" s="1111"/>
      <c r="Q1525" s="1111"/>
      <c r="R1525" s="1111"/>
      <c r="S1525" s="1111"/>
      <c r="T1525" s="1111"/>
      <c r="U1525" s="1112"/>
      <c r="V1525" s="100"/>
      <c r="W1525" s="100"/>
      <c r="X1525" s="100"/>
      <c r="Y1525" s="100"/>
      <c r="Z1525" s="100"/>
      <c r="AA1525" s="100"/>
      <c r="AB1525" s="100"/>
      <c r="AC1525" s="100"/>
      <c r="AD1525" s="100"/>
      <c r="AF1525"/>
      <c r="AK1525">
        <f t="shared" si="924"/>
        <v>0</v>
      </c>
      <c r="AL1525">
        <f t="shared" si="925"/>
        <v>0</v>
      </c>
      <c r="AM1525">
        <f t="shared" si="926"/>
        <v>0</v>
      </c>
      <c r="AN1525">
        <f t="shared" si="927"/>
        <v>0</v>
      </c>
      <c r="AO1525">
        <f t="shared" si="928"/>
        <v>0</v>
      </c>
      <c r="AP1525">
        <f t="shared" si="929"/>
        <v>0</v>
      </c>
      <c r="AQ1525">
        <f t="shared" si="930"/>
        <v>0</v>
      </c>
      <c r="AR1525">
        <f t="shared" si="931"/>
        <v>0</v>
      </c>
      <c r="AS1525">
        <f t="shared" si="932"/>
        <v>0</v>
      </c>
    </row>
    <row r="1526" spans="1:45" ht="15" customHeight="1">
      <c r="A1526" s="103"/>
      <c r="B1526" s="57"/>
      <c r="C1526" s="1109"/>
      <c r="D1526" s="954"/>
      <c r="E1526" s="955"/>
      <c r="F1526" s="956"/>
      <c r="G1526" s="1119" t="s">
        <v>4941</v>
      </c>
      <c r="H1526" s="1120"/>
      <c r="I1526" s="178"/>
      <c r="J1526" s="1111" t="s">
        <v>4942</v>
      </c>
      <c r="K1526" s="1111"/>
      <c r="L1526" s="1111"/>
      <c r="M1526" s="1111"/>
      <c r="N1526" s="1111"/>
      <c r="O1526" s="1111"/>
      <c r="P1526" s="1111"/>
      <c r="Q1526" s="1111"/>
      <c r="R1526" s="1111"/>
      <c r="S1526" s="1111"/>
      <c r="T1526" s="1111"/>
      <c r="U1526" s="1112"/>
      <c r="V1526" s="100"/>
      <c r="W1526" s="100"/>
      <c r="X1526" s="100"/>
      <c r="Y1526" s="100"/>
      <c r="Z1526" s="100"/>
      <c r="AA1526" s="100"/>
      <c r="AB1526" s="100"/>
      <c r="AC1526" s="100"/>
      <c r="AD1526" s="100"/>
      <c r="AF1526"/>
      <c r="AK1526">
        <f t="shared" si="924"/>
        <v>0</v>
      </c>
      <c r="AL1526">
        <f t="shared" si="925"/>
        <v>0</v>
      </c>
      <c r="AM1526">
        <f t="shared" si="926"/>
        <v>0</v>
      </c>
      <c r="AN1526">
        <f t="shared" si="927"/>
        <v>0</v>
      </c>
      <c r="AO1526">
        <f t="shared" si="928"/>
        <v>0</v>
      </c>
      <c r="AP1526">
        <f t="shared" si="929"/>
        <v>0</v>
      </c>
      <c r="AQ1526">
        <f t="shared" si="930"/>
        <v>0</v>
      </c>
      <c r="AR1526">
        <f t="shared" si="931"/>
        <v>0</v>
      </c>
      <c r="AS1526">
        <f t="shared" si="932"/>
        <v>0</v>
      </c>
    </row>
    <row r="1527" spans="1:45" ht="15" customHeight="1">
      <c r="A1527" s="103"/>
      <c r="B1527" s="57"/>
      <c r="C1527" s="1109"/>
      <c r="D1527" s="954"/>
      <c r="E1527" s="955"/>
      <c r="F1527" s="956"/>
      <c r="G1527" s="1119" t="s">
        <v>4943</v>
      </c>
      <c r="H1527" s="1120"/>
      <c r="I1527" s="179"/>
      <c r="J1527" s="1113" t="s">
        <v>201</v>
      </c>
      <c r="K1527" s="1113"/>
      <c r="L1527" s="1113"/>
      <c r="M1527" s="1113"/>
      <c r="N1527" s="1113"/>
      <c r="O1527" s="1113"/>
      <c r="P1527" s="1113"/>
      <c r="Q1527" s="1113"/>
      <c r="R1527" s="1113"/>
      <c r="S1527" s="1113"/>
      <c r="T1527" s="1113"/>
      <c r="U1527" s="1114"/>
      <c r="V1527" s="100"/>
      <c r="W1527" s="100"/>
      <c r="X1527" s="100"/>
      <c r="Y1527" s="100"/>
      <c r="Z1527" s="100"/>
      <c r="AA1527" s="100"/>
      <c r="AB1527" s="100"/>
      <c r="AC1527" s="100"/>
      <c r="AD1527" s="100"/>
      <c r="AF1527"/>
      <c r="AK1527">
        <f t="shared" si="924"/>
        <v>0</v>
      </c>
      <c r="AL1527">
        <f t="shared" si="925"/>
        <v>0</v>
      </c>
      <c r="AM1527">
        <f t="shared" si="926"/>
        <v>0</v>
      </c>
      <c r="AN1527">
        <f t="shared" si="927"/>
        <v>0</v>
      </c>
      <c r="AO1527">
        <f t="shared" si="928"/>
        <v>0</v>
      </c>
      <c r="AP1527">
        <f t="shared" si="929"/>
        <v>0</v>
      </c>
      <c r="AQ1527">
        <f t="shared" si="930"/>
        <v>0</v>
      </c>
      <c r="AR1527">
        <f t="shared" si="931"/>
        <v>0</v>
      </c>
      <c r="AS1527">
        <f t="shared" si="932"/>
        <v>0</v>
      </c>
    </row>
    <row r="1528" spans="1:45" ht="15" customHeight="1">
      <c r="A1528" s="103"/>
      <c r="B1528" s="57"/>
      <c r="C1528" s="1109"/>
      <c r="D1528" s="954"/>
      <c r="E1528" s="955"/>
      <c r="F1528" s="956"/>
      <c r="G1528" s="1117" t="s">
        <v>4944</v>
      </c>
      <c r="H1528" s="1118"/>
      <c r="I1528" s="1104" t="s">
        <v>4945</v>
      </c>
      <c r="J1528" s="1105"/>
      <c r="K1528" s="1105"/>
      <c r="L1528" s="1105"/>
      <c r="M1528" s="1105"/>
      <c r="N1528" s="1105"/>
      <c r="O1528" s="1105"/>
      <c r="P1528" s="1105"/>
      <c r="Q1528" s="1105"/>
      <c r="R1528" s="1105"/>
      <c r="S1528" s="1105"/>
      <c r="T1528" s="1105"/>
      <c r="U1528" s="1106"/>
      <c r="V1528" s="100"/>
      <c r="W1528" s="100"/>
      <c r="X1528" s="100"/>
      <c r="Y1528" s="100"/>
      <c r="Z1528" s="100"/>
      <c r="AA1528" s="100"/>
      <c r="AB1528" s="100"/>
      <c r="AC1528" s="100"/>
      <c r="AD1528" s="100"/>
      <c r="AF1528"/>
      <c r="AK1528">
        <f t="shared" si="924"/>
        <v>0</v>
      </c>
      <c r="AL1528">
        <f t="shared" si="925"/>
        <v>0</v>
      </c>
      <c r="AM1528">
        <f t="shared" si="926"/>
        <v>0</v>
      </c>
      <c r="AN1528">
        <f t="shared" si="927"/>
        <v>0</v>
      </c>
      <c r="AO1528">
        <f t="shared" si="928"/>
        <v>0</v>
      </c>
      <c r="AP1528">
        <f t="shared" si="929"/>
        <v>0</v>
      </c>
      <c r="AQ1528">
        <f t="shared" si="930"/>
        <v>0</v>
      </c>
      <c r="AR1528">
        <f t="shared" si="931"/>
        <v>0</v>
      </c>
      <c r="AS1528">
        <f t="shared" si="932"/>
        <v>0</v>
      </c>
    </row>
    <row r="1529" spans="1:45" ht="15" customHeight="1">
      <c r="A1529" s="103"/>
      <c r="B1529" s="57"/>
      <c r="C1529" s="1109"/>
      <c r="D1529" s="954"/>
      <c r="E1529" s="955"/>
      <c r="F1529" s="956"/>
      <c r="G1529" s="1119" t="s">
        <v>4946</v>
      </c>
      <c r="H1529" s="1120"/>
      <c r="I1529" s="177"/>
      <c r="J1529" s="1115" t="s">
        <v>4947</v>
      </c>
      <c r="K1529" s="1115"/>
      <c r="L1529" s="1115"/>
      <c r="M1529" s="1115"/>
      <c r="N1529" s="1115"/>
      <c r="O1529" s="1115"/>
      <c r="P1529" s="1115"/>
      <c r="Q1529" s="1115"/>
      <c r="R1529" s="1115"/>
      <c r="S1529" s="1115"/>
      <c r="T1529" s="1115"/>
      <c r="U1529" s="1116"/>
      <c r="V1529" s="100"/>
      <c r="W1529" s="100"/>
      <c r="X1529" s="100"/>
      <c r="Y1529" s="100"/>
      <c r="Z1529" s="100"/>
      <c r="AA1529" s="100"/>
      <c r="AB1529" s="100"/>
      <c r="AC1529" s="100"/>
      <c r="AD1529" s="100"/>
      <c r="AF1529"/>
      <c r="AK1529">
        <f t="shared" si="924"/>
        <v>0</v>
      </c>
      <c r="AL1529">
        <f t="shared" si="925"/>
        <v>0</v>
      </c>
      <c r="AM1529">
        <f t="shared" si="926"/>
        <v>0</v>
      </c>
      <c r="AN1529">
        <f t="shared" si="927"/>
        <v>0</v>
      </c>
      <c r="AO1529">
        <f t="shared" si="928"/>
        <v>0</v>
      </c>
      <c r="AP1529">
        <f t="shared" si="929"/>
        <v>0</v>
      </c>
      <c r="AQ1529">
        <f t="shared" si="930"/>
        <v>0</v>
      </c>
      <c r="AR1529">
        <f t="shared" si="931"/>
        <v>0</v>
      </c>
      <c r="AS1529">
        <f t="shared" si="932"/>
        <v>0</v>
      </c>
    </row>
    <row r="1530" spans="1:45" ht="15" customHeight="1">
      <c r="A1530" s="103"/>
      <c r="B1530" s="57"/>
      <c r="C1530" s="1109"/>
      <c r="D1530" s="954"/>
      <c r="E1530" s="955"/>
      <c r="F1530" s="956"/>
      <c r="G1530" s="1119" t="s">
        <v>4948</v>
      </c>
      <c r="H1530" s="1120"/>
      <c r="I1530" s="178"/>
      <c r="J1530" s="1111" t="s">
        <v>4949</v>
      </c>
      <c r="K1530" s="1111"/>
      <c r="L1530" s="1111"/>
      <c r="M1530" s="1111"/>
      <c r="N1530" s="1111"/>
      <c r="O1530" s="1111"/>
      <c r="P1530" s="1111"/>
      <c r="Q1530" s="1111"/>
      <c r="R1530" s="1111"/>
      <c r="S1530" s="1111"/>
      <c r="T1530" s="1111"/>
      <c r="U1530" s="1112"/>
      <c r="V1530" s="100"/>
      <c r="W1530" s="100"/>
      <c r="X1530" s="100"/>
      <c r="Y1530" s="100"/>
      <c r="Z1530" s="100"/>
      <c r="AA1530" s="100"/>
      <c r="AB1530" s="100"/>
      <c r="AC1530" s="100"/>
      <c r="AD1530" s="100"/>
      <c r="AF1530"/>
      <c r="AK1530">
        <f t="shared" si="924"/>
        <v>0</v>
      </c>
      <c r="AL1530">
        <f t="shared" si="925"/>
        <v>0</v>
      </c>
      <c r="AM1530">
        <f t="shared" si="926"/>
        <v>0</v>
      </c>
      <c r="AN1530">
        <f t="shared" si="927"/>
        <v>0</v>
      </c>
      <c r="AO1530">
        <f t="shared" si="928"/>
        <v>0</v>
      </c>
      <c r="AP1530">
        <f t="shared" si="929"/>
        <v>0</v>
      </c>
      <c r="AQ1530">
        <f t="shared" si="930"/>
        <v>0</v>
      </c>
      <c r="AR1530">
        <f t="shared" si="931"/>
        <v>0</v>
      </c>
      <c r="AS1530">
        <f t="shared" si="932"/>
        <v>0</v>
      </c>
    </row>
    <row r="1531" spans="1:45" ht="15" customHeight="1">
      <c r="A1531" s="103"/>
      <c r="B1531" s="57"/>
      <c r="C1531" s="1109"/>
      <c r="D1531" s="954"/>
      <c r="E1531" s="955"/>
      <c r="F1531" s="956"/>
      <c r="G1531" s="1119" t="s">
        <v>4950</v>
      </c>
      <c r="H1531" s="1120"/>
      <c r="I1531" s="178"/>
      <c r="J1531" s="1111" t="s">
        <v>4951</v>
      </c>
      <c r="K1531" s="1111"/>
      <c r="L1531" s="1111"/>
      <c r="M1531" s="1111"/>
      <c r="N1531" s="1111"/>
      <c r="O1531" s="1111"/>
      <c r="P1531" s="1111"/>
      <c r="Q1531" s="1111"/>
      <c r="R1531" s="1111"/>
      <c r="S1531" s="1111"/>
      <c r="T1531" s="1111"/>
      <c r="U1531" s="1112"/>
      <c r="V1531" s="100"/>
      <c r="W1531" s="100"/>
      <c r="X1531" s="100"/>
      <c r="Y1531" s="100"/>
      <c r="Z1531" s="100"/>
      <c r="AA1531" s="100"/>
      <c r="AB1531" s="100"/>
      <c r="AC1531" s="100"/>
      <c r="AD1531" s="100"/>
      <c r="AF1531"/>
      <c r="AK1531">
        <f t="shared" si="924"/>
        <v>0</v>
      </c>
      <c r="AL1531">
        <f t="shared" si="925"/>
        <v>0</v>
      </c>
      <c r="AM1531">
        <f t="shared" si="926"/>
        <v>0</v>
      </c>
      <c r="AN1531">
        <f t="shared" si="927"/>
        <v>0</v>
      </c>
      <c r="AO1531">
        <f t="shared" si="928"/>
        <v>0</v>
      </c>
      <c r="AP1531">
        <f t="shared" si="929"/>
        <v>0</v>
      </c>
      <c r="AQ1531">
        <f t="shared" si="930"/>
        <v>0</v>
      </c>
      <c r="AR1531">
        <f t="shared" si="931"/>
        <v>0</v>
      </c>
      <c r="AS1531">
        <f t="shared" si="932"/>
        <v>0</v>
      </c>
    </row>
    <row r="1532" spans="1:45" ht="15" customHeight="1">
      <c r="A1532" s="103"/>
      <c r="B1532" s="57"/>
      <c r="C1532" s="1109"/>
      <c r="D1532" s="954"/>
      <c r="E1532" s="955"/>
      <c r="F1532" s="956"/>
      <c r="G1532" s="1119" t="s">
        <v>4952</v>
      </c>
      <c r="H1532" s="1120"/>
      <c r="I1532" s="178"/>
      <c r="J1532" s="1111" t="s">
        <v>4953</v>
      </c>
      <c r="K1532" s="1111"/>
      <c r="L1532" s="1111"/>
      <c r="M1532" s="1111"/>
      <c r="N1532" s="1111"/>
      <c r="O1532" s="1111"/>
      <c r="P1532" s="1111"/>
      <c r="Q1532" s="1111"/>
      <c r="R1532" s="1111"/>
      <c r="S1532" s="1111"/>
      <c r="T1532" s="1111"/>
      <c r="U1532" s="1112"/>
      <c r="V1532" s="100"/>
      <c r="W1532" s="100"/>
      <c r="X1532" s="100"/>
      <c r="Y1532" s="100"/>
      <c r="Z1532" s="100"/>
      <c r="AA1532" s="100"/>
      <c r="AB1532" s="100"/>
      <c r="AC1532" s="100"/>
      <c r="AD1532" s="100"/>
      <c r="AF1532"/>
      <c r="AK1532">
        <f t="shared" si="924"/>
        <v>0</v>
      </c>
      <c r="AL1532">
        <f t="shared" si="925"/>
        <v>0</v>
      </c>
      <c r="AM1532">
        <f t="shared" si="926"/>
        <v>0</v>
      </c>
      <c r="AN1532">
        <f t="shared" si="927"/>
        <v>0</v>
      </c>
      <c r="AO1532">
        <f t="shared" si="928"/>
        <v>0</v>
      </c>
      <c r="AP1532">
        <f t="shared" si="929"/>
        <v>0</v>
      </c>
      <c r="AQ1532">
        <f t="shared" si="930"/>
        <v>0</v>
      </c>
      <c r="AR1532">
        <f t="shared" si="931"/>
        <v>0</v>
      </c>
      <c r="AS1532">
        <f t="shared" si="932"/>
        <v>0</v>
      </c>
    </row>
    <row r="1533" spans="1:45" ht="15" customHeight="1">
      <c r="A1533" s="103"/>
      <c r="B1533" s="57"/>
      <c r="C1533" s="1109"/>
      <c r="D1533" s="954"/>
      <c r="E1533" s="955"/>
      <c r="F1533" s="956"/>
      <c r="G1533" s="1119" t="s">
        <v>4954</v>
      </c>
      <c r="H1533" s="1120"/>
      <c r="I1533" s="179"/>
      <c r="J1533" s="1113" t="s">
        <v>201</v>
      </c>
      <c r="K1533" s="1113"/>
      <c r="L1533" s="1113"/>
      <c r="M1533" s="1113"/>
      <c r="N1533" s="1113"/>
      <c r="O1533" s="1113"/>
      <c r="P1533" s="1113"/>
      <c r="Q1533" s="1113"/>
      <c r="R1533" s="1113"/>
      <c r="S1533" s="1113"/>
      <c r="T1533" s="1113"/>
      <c r="U1533" s="1114"/>
      <c r="V1533" s="100"/>
      <c r="W1533" s="100"/>
      <c r="X1533" s="100"/>
      <c r="Y1533" s="100"/>
      <c r="Z1533" s="100"/>
      <c r="AA1533" s="100"/>
      <c r="AB1533" s="100"/>
      <c r="AC1533" s="100"/>
      <c r="AD1533" s="100"/>
      <c r="AF1533"/>
      <c r="AK1533">
        <f t="shared" si="924"/>
        <v>0</v>
      </c>
      <c r="AL1533">
        <f t="shared" si="925"/>
        <v>0</v>
      </c>
      <c r="AM1533">
        <f t="shared" si="926"/>
        <v>0</v>
      </c>
      <c r="AN1533">
        <f t="shared" si="927"/>
        <v>0</v>
      </c>
      <c r="AO1533">
        <f t="shared" si="928"/>
        <v>0</v>
      </c>
      <c r="AP1533">
        <f t="shared" si="929"/>
        <v>0</v>
      </c>
      <c r="AQ1533">
        <f t="shared" si="930"/>
        <v>0</v>
      </c>
      <c r="AR1533">
        <f t="shared" si="931"/>
        <v>0</v>
      </c>
      <c r="AS1533">
        <f t="shared" si="932"/>
        <v>0</v>
      </c>
    </row>
    <row r="1534" spans="1:45" ht="24" customHeight="1">
      <c r="A1534" s="103"/>
      <c r="B1534" s="57"/>
      <c r="C1534" s="1109"/>
      <c r="D1534" s="954"/>
      <c r="E1534" s="955"/>
      <c r="F1534" s="956"/>
      <c r="G1534" s="1117" t="s">
        <v>4955</v>
      </c>
      <c r="H1534" s="1118"/>
      <c r="I1534" s="1104" t="s">
        <v>4956</v>
      </c>
      <c r="J1534" s="1105"/>
      <c r="K1534" s="1105"/>
      <c r="L1534" s="1105"/>
      <c r="M1534" s="1105"/>
      <c r="N1534" s="1105"/>
      <c r="O1534" s="1105"/>
      <c r="P1534" s="1105"/>
      <c r="Q1534" s="1105"/>
      <c r="R1534" s="1105"/>
      <c r="S1534" s="1105"/>
      <c r="T1534" s="1105"/>
      <c r="U1534" s="1106"/>
      <c r="V1534" s="100"/>
      <c r="W1534" s="100"/>
      <c r="X1534" s="100"/>
      <c r="Y1534" s="100"/>
      <c r="Z1534" s="100"/>
      <c r="AA1534" s="100"/>
      <c r="AB1534" s="100"/>
      <c r="AC1534" s="100"/>
      <c r="AD1534" s="100"/>
      <c r="AF1534"/>
      <c r="AK1534">
        <f t="shared" si="924"/>
        <v>0</v>
      </c>
      <c r="AL1534">
        <f t="shared" si="925"/>
        <v>0</v>
      </c>
      <c r="AM1534">
        <f t="shared" si="926"/>
        <v>0</v>
      </c>
      <c r="AN1534">
        <f t="shared" si="927"/>
        <v>0</v>
      </c>
      <c r="AO1534">
        <f t="shared" si="928"/>
        <v>0</v>
      </c>
      <c r="AP1534">
        <f t="shared" si="929"/>
        <v>0</v>
      </c>
      <c r="AQ1534">
        <f t="shared" si="930"/>
        <v>0</v>
      </c>
      <c r="AR1534">
        <f t="shared" si="931"/>
        <v>0</v>
      </c>
      <c r="AS1534">
        <f t="shared" si="932"/>
        <v>0</v>
      </c>
    </row>
    <row r="1535" spans="1:45" ht="15" customHeight="1">
      <c r="A1535" s="103"/>
      <c r="B1535" s="57"/>
      <c r="C1535" s="1109"/>
      <c r="D1535" s="954"/>
      <c r="E1535" s="955"/>
      <c r="F1535" s="956"/>
      <c r="G1535" s="1117" t="s">
        <v>4957</v>
      </c>
      <c r="H1535" s="1118"/>
      <c r="I1535" s="1104" t="s">
        <v>4958</v>
      </c>
      <c r="J1535" s="1105"/>
      <c r="K1535" s="1105"/>
      <c r="L1535" s="1105"/>
      <c r="M1535" s="1105"/>
      <c r="N1535" s="1105"/>
      <c r="O1535" s="1105"/>
      <c r="P1535" s="1105"/>
      <c r="Q1535" s="1105"/>
      <c r="R1535" s="1105"/>
      <c r="S1535" s="1105"/>
      <c r="T1535" s="1105"/>
      <c r="U1535" s="1106"/>
      <c r="V1535" s="100"/>
      <c r="W1535" s="100"/>
      <c r="X1535" s="100"/>
      <c r="Y1535" s="100"/>
      <c r="Z1535" s="100"/>
      <c r="AA1535" s="100"/>
      <c r="AB1535" s="100"/>
      <c r="AC1535" s="100"/>
      <c r="AD1535" s="100"/>
      <c r="AF1535"/>
      <c r="AK1535">
        <f t="shared" si="924"/>
        <v>0</v>
      </c>
      <c r="AL1535">
        <f t="shared" si="925"/>
        <v>0</v>
      </c>
      <c r="AM1535">
        <f t="shared" si="926"/>
        <v>0</v>
      </c>
      <c r="AN1535">
        <f t="shared" si="927"/>
        <v>0</v>
      </c>
      <c r="AO1535">
        <f t="shared" si="928"/>
        <v>0</v>
      </c>
      <c r="AP1535">
        <f t="shared" si="929"/>
        <v>0</v>
      </c>
      <c r="AQ1535">
        <f t="shared" si="930"/>
        <v>0</v>
      </c>
      <c r="AR1535">
        <f t="shared" si="931"/>
        <v>0</v>
      </c>
      <c r="AS1535">
        <f t="shared" si="932"/>
        <v>0</v>
      </c>
    </row>
    <row r="1536" spans="1:45" ht="15" customHeight="1">
      <c r="A1536" s="103"/>
      <c r="B1536" s="57"/>
      <c r="C1536" s="1109"/>
      <c r="D1536" s="954"/>
      <c r="E1536" s="955"/>
      <c r="F1536" s="956"/>
      <c r="G1536" s="1117" t="s">
        <v>4959</v>
      </c>
      <c r="H1536" s="1118"/>
      <c r="I1536" s="1104" t="s">
        <v>4960</v>
      </c>
      <c r="J1536" s="1105"/>
      <c r="K1536" s="1105"/>
      <c r="L1536" s="1105"/>
      <c r="M1536" s="1105"/>
      <c r="N1536" s="1105"/>
      <c r="O1536" s="1105"/>
      <c r="P1536" s="1105"/>
      <c r="Q1536" s="1105"/>
      <c r="R1536" s="1105"/>
      <c r="S1536" s="1105"/>
      <c r="T1536" s="1105"/>
      <c r="U1536" s="1106"/>
      <c r="V1536" s="100"/>
      <c r="W1536" s="100"/>
      <c r="X1536" s="100"/>
      <c r="Y1536" s="100"/>
      <c r="Z1536" s="100"/>
      <c r="AA1536" s="100"/>
      <c r="AB1536" s="100"/>
      <c r="AC1536" s="100"/>
      <c r="AD1536" s="100"/>
      <c r="AF1536"/>
      <c r="AK1536">
        <f t="shared" si="924"/>
        <v>0</v>
      </c>
      <c r="AL1536">
        <f t="shared" si="925"/>
        <v>0</v>
      </c>
      <c r="AM1536">
        <f t="shared" si="926"/>
        <v>0</v>
      </c>
      <c r="AN1536">
        <f t="shared" si="927"/>
        <v>0</v>
      </c>
      <c r="AO1536">
        <f t="shared" si="928"/>
        <v>0</v>
      </c>
      <c r="AP1536">
        <f t="shared" si="929"/>
        <v>0</v>
      </c>
      <c r="AQ1536">
        <f t="shared" si="930"/>
        <v>0</v>
      </c>
      <c r="AR1536">
        <f t="shared" si="931"/>
        <v>0</v>
      </c>
      <c r="AS1536">
        <f t="shared" si="932"/>
        <v>0</v>
      </c>
    </row>
    <row r="1537" spans="1:45" ht="15" customHeight="1">
      <c r="A1537" s="103"/>
      <c r="B1537" s="57"/>
      <c r="C1537" s="1109"/>
      <c r="D1537" s="954"/>
      <c r="E1537" s="955"/>
      <c r="F1537" s="956"/>
      <c r="G1537" s="1117" t="s">
        <v>4961</v>
      </c>
      <c r="H1537" s="1118"/>
      <c r="I1537" s="1104" t="s">
        <v>4962</v>
      </c>
      <c r="J1537" s="1105"/>
      <c r="K1537" s="1105"/>
      <c r="L1537" s="1105"/>
      <c r="M1537" s="1105"/>
      <c r="N1537" s="1105"/>
      <c r="O1537" s="1105"/>
      <c r="P1537" s="1105"/>
      <c r="Q1537" s="1105"/>
      <c r="R1537" s="1105"/>
      <c r="S1537" s="1105"/>
      <c r="T1537" s="1105"/>
      <c r="U1537" s="1106"/>
      <c r="V1537" s="100"/>
      <c r="W1537" s="100"/>
      <c r="X1537" s="100"/>
      <c r="Y1537" s="100"/>
      <c r="Z1537" s="100"/>
      <c r="AA1537" s="100"/>
      <c r="AB1537" s="100"/>
      <c r="AC1537" s="100"/>
      <c r="AD1537" s="100"/>
      <c r="AF1537"/>
      <c r="AK1537">
        <f t="shared" si="924"/>
        <v>0</v>
      </c>
      <c r="AL1537">
        <f t="shared" si="925"/>
        <v>0</v>
      </c>
      <c r="AM1537">
        <f t="shared" si="926"/>
        <v>0</v>
      </c>
      <c r="AN1537">
        <f t="shared" si="927"/>
        <v>0</v>
      </c>
      <c r="AO1537">
        <f t="shared" si="928"/>
        <v>0</v>
      </c>
      <c r="AP1537">
        <f t="shared" si="929"/>
        <v>0</v>
      </c>
      <c r="AQ1537">
        <f t="shared" si="930"/>
        <v>0</v>
      </c>
      <c r="AR1537">
        <f t="shared" si="931"/>
        <v>0</v>
      </c>
      <c r="AS1537">
        <f t="shared" si="932"/>
        <v>0</v>
      </c>
    </row>
    <row r="1538" spans="1:45" ht="24" customHeight="1">
      <c r="A1538" s="103"/>
      <c r="B1538" s="57"/>
      <c r="C1538" s="1108" t="s">
        <v>4963</v>
      </c>
      <c r="D1538" s="847" t="s">
        <v>4964</v>
      </c>
      <c r="E1538" s="953"/>
      <c r="F1538" s="848"/>
      <c r="G1538" s="1117" t="s">
        <v>4965</v>
      </c>
      <c r="H1538" s="1118"/>
      <c r="I1538" s="1104" t="s">
        <v>4966</v>
      </c>
      <c r="J1538" s="1105"/>
      <c r="K1538" s="1105"/>
      <c r="L1538" s="1105"/>
      <c r="M1538" s="1105"/>
      <c r="N1538" s="1105"/>
      <c r="O1538" s="1105"/>
      <c r="P1538" s="1105"/>
      <c r="Q1538" s="1105"/>
      <c r="R1538" s="1105"/>
      <c r="S1538" s="1105"/>
      <c r="T1538" s="1105"/>
      <c r="U1538" s="1106"/>
      <c r="V1538" s="100"/>
      <c r="W1538" s="100"/>
      <c r="X1538" s="100"/>
      <c r="Y1538" s="100"/>
      <c r="Z1538" s="100"/>
      <c r="AA1538" s="100"/>
      <c r="AB1538" s="100"/>
      <c r="AC1538" s="100"/>
      <c r="AD1538" s="100"/>
      <c r="AF1538"/>
      <c r="AK1538">
        <f t="shared" si="924"/>
        <v>0</v>
      </c>
      <c r="AL1538">
        <f t="shared" si="925"/>
        <v>0</v>
      </c>
      <c r="AM1538">
        <f t="shared" si="926"/>
        <v>0</v>
      </c>
      <c r="AN1538">
        <f t="shared" si="927"/>
        <v>0</v>
      </c>
      <c r="AO1538">
        <f t="shared" si="928"/>
        <v>0</v>
      </c>
      <c r="AP1538">
        <f t="shared" si="929"/>
        <v>0</v>
      </c>
      <c r="AQ1538">
        <f t="shared" si="930"/>
        <v>0</v>
      </c>
      <c r="AR1538">
        <f t="shared" si="931"/>
        <v>0</v>
      </c>
      <c r="AS1538">
        <f t="shared" si="932"/>
        <v>0</v>
      </c>
    </row>
    <row r="1539" spans="1:45" ht="15" customHeight="1">
      <c r="A1539" s="103"/>
      <c r="B1539" s="57"/>
      <c r="C1539" s="1109"/>
      <c r="D1539" s="954"/>
      <c r="E1539" s="955"/>
      <c r="F1539" s="956"/>
      <c r="G1539" s="1119" t="s">
        <v>4967</v>
      </c>
      <c r="H1539" s="1120"/>
      <c r="I1539" s="177"/>
      <c r="J1539" s="1115" t="s">
        <v>4968</v>
      </c>
      <c r="K1539" s="1115"/>
      <c r="L1539" s="1115"/>
      <c r="M1539" s="1115"/>
      <c r="N1539" s="1115"/>
      <c r="O1539" s="1115"/>
      <c r="P1539" s="1115"/>
      <c r="Q1539" s="1115"/>
      <c r="R1539" s="1115"/>
      <c r="S1539" s="1115"/>
      <c r="T1539" s="1115"/>
      <c r="U1539" s="1116"/>
      <c r="V1539" s="100"/>
      <c r="W1539" s="100"/>
      <c r="X1539" s="100"/>
      <c r="Y1539" s="100"/>
      <c r="Z1539" s="100"/>
      <c r="AA1539" s="100"/>
      <c r="AB1539" s="100"/>
      <c r="AC1539" s="100"/>
      <c r="AD1539" s="100"/>
      <c r="AF1539"/>
      <c r="AK1539">
        <f t="shared" si="924"/>
        <v>0</v>
      </c>
      <c r="AL1539">
        <f t="shared" si="925"/>
        <v>0</v>
      </c>
      <c r="AM1539">
        <f t="shared" si="926"/>
        <v>0</v>
      </c>
      <c r="AN1539">
        <f t="shared" si="927"/>
        <v>0</v>
      </c>
      <c r="AO1539">
        <f t="shared" si="928"/>
        <v>0</v>
      </c>
      <c r="AP1539">
        <f t="shared" si="929"/>
        <v>0</v>
      </c>
      <c r="AQ1539">
        <f t="shared" si="930"/>
        <v>0</v>
      </c>
      <c r="AR1539">
        <f t="shared" si="931"/>
        <v>0</v>
      </c>
      <c r="AS1539">
        <f t="shared" si="932"/>
        <v>0</v>
      </c>
    </row>
    <row r="1540" spans="1:45" ht="15" customHeight="1">
      <c r="A1540" s="103"/>
      <c r="B1540" s="57"/>
      <c r="C1540" s="1109"/>
      <c r="D1540" s="954"/>
      <c r="E1540" s="955"/>
      <c r="F1540" s="956"/>
      <c r="G1540" s="1119" t="s">
        <v>4969</v>
      </c>
      <c r="H1540" s="1120"/>
      <c r="I1540" s="178"/>
      <c r="J1540" s="1111" t="s">
        <v>4970</v>
      </c>
      <c r="K1540" s="1111"/>
      <c r="L1540" s="1111"/>
      <c r="M1540" s="1111"/>
      <c r="N1540" s="1111"/>
      <c r="O1540" s="1111"/>
      <c r="P1540" s="1111"/>
      <c r="Q1540" s="1111"/>
      <c r="R1540" s="1111"/>
      <c r="S1540" s="1111"/>
      <c r="T1540" s="1111"/>
      <c r="U1540" s="1112"/>
      <c r="V1540" s="100"/>
      <c r="W1540" s="100"/>
      <c r="X1540" s="100"/>
      <c r="Y1540" s="100"/>
      <c r="Z1540" s="100"/>
      <c r="AA1540" s="100"/>
      <c r="AB1540" s="100"/>
      <c r="AC1540" s="100"/>
      <c r="AD1540" s="100"/>
      <c r="AF1540"/>
      <c r="AK1540">
        <f t="shared" si="924"/>
        <v>0</v>
      </c>
      <c r="AL1540">
        <f t="shared" si="925"/>
        <v>0</v>
      </c>
      <c r="AM1540">
        <f t="shared" si="926"/>
        <v>0</v>
      </c>
      <c r="AN1540">
        <f t="shared" si="927"/>
        <v>0</v>
      </c>
      <c r="AO1540">
        <f t="shared" si="928"/>
        <v>0</v>
      </c>
      <c r="AP1540">
        <f t="shared" si="929"/>
        <v>0</v>
      </c>
      <c r="AQ1540">
        <f t="shared" si="930"/>
        <v>0</v>
      </c>
      <c r="AR1540">
        <f t="shared" si="931"/>
        <v>0</v>
      </c>
      <c r="AS1540">
        <f t="shared" si="932"/>
        <v>0</v>
      </c>
    </row>
    <row r="1541" spans="1:45" ht="15" customHeight="1">
      <c r="A1541" s="103"/>
      <c r="B1541" s="57"/>
      <c r="C1541" s="1109"/>
      <c r="D1541" s="954"/>
      <c r="E1541" s="955"/>
      <c r="F1541" s="956"/>
      <c r="G1541" s="1119" t="s">
        <v>4971</v>
      </c>
      <c r="H1541" s="1120"/>
      <c r="I1541" s="178"/>
      <c r="J1541" s="1111" t="s">
        <v>4972</v>
      </c>
      <c r="K1541" s="1111"/>
      <c r="L1541" s="1111"/>
      <c r="M1541" s="1111"/>
      <c r="N1541" s="1111"/>
      <c r="O1541" s="1111"/>
      <c r="P1541" s="1111"/>
      <c r="Q1541" s="1111"/>
      <c r="R1541" s="1111"/>
      <c r="S1541" s="1111"/>
      <c r="T1541" s="1111"/>
      <c r="U1541" s="1112"/>
      <c r="V1541" s="100"/>
      <c r="W1541" s="100"/>
      <c r="X1541" s="100"/>
      <c r="Y1541" s="100"/>
      <c r="Z1541" s="100"/>
      <c r="AA1541" s="100"/>
      <c r="AB1541" s="100"/>
      <c r="AC1541" s="100"/>
      <c r="AD1541" s="100"/>
      <c r="AF1541"/>
      <c r="AK1541">
        <f t="shared" si="924"/>
        <v>0</v>
      </c>
      <c r="AL1541">
        <f t="shared" si="925"/>
        <v>0</v>
      </c>
      <c r="AM1541">
        <f t="shared" si="926"/>
        <v>0</v>
      </c>
      <c r="AN1541">
        <f t="shared" si="927"/>
        <v>0</v>
      </c>
      <c r="AO1541">
        <f t="shared" si="928"/>
        <v>0</v>
      </c>
      <c r="AP1541">
        <f t="shared" si="929"/>
        <v>0</v>
      </c>
      <c r="AQ1541">
        <f t="shared" si="930"/>
        <v>0</v>
      </c>
      <c r="AR1541">
        <f t="shared" si="931"/>
        <v>0</v>
      </c>
      <c r="AS1541">
        <f t="shared" si="932"/>
        <v>0</v>
      </c>
    </row>
    <row r="1542" spans="1:45" ht="15" customHeight="1">
      <c r="A1542" s="103"/>
      <c r="B1542" s="57"/>
      <c r="C1542" s="1109"/>
      <c r="D1542" s="954"/>
      <c r="E1542" s="955"/>
      <c r="F1542" s="956"/>
      <c r="G1542" s="1119" t="s">
        <v>4973</v>
      </c>
      <c r="H1542" s="1120"/>
      <c r="I1542" s="178"/>
      <c r="J1542" s="1111" t="s">
        <v>4974</v>
      </c>
      <c r="K1542" s="1111"/>
      <c r="L1542" s="1111"/>
      <c r="M1542" s="1111"/>
      <c r="N1542" s="1111"/>
      <c r="O1542" s="1111"/>
      <c r="P1542" s="1111"/>
      <c r="Q1542" s="1111"/>
      <c r="R1542" s="1111"/>
      <c r="S1542" s="1111"/>
      <c r="T1542" s="1111"/>
      <c r="U1542" s="1112"/>
      <c r="V1542" s="100"/>
      <c r="W1542" s="100"/>
      <c r="X1542" s="100"/>
      <c r="Y1542" s="100"/>
      <c r="Z1542" s="100"/>
      <c r="AA1542" s="100"/>
      <c r="AB1542" s="100"/>
      <c r="AC1542" s="100"/>
      <c r="AD1542" s="100"/>
      <c r="AF1542"/>
      <c r="AK1542">
        <f t="shared" si="924"/>
        <v>0</v>
      </c>
      <c r="AL1542">
        <f t="shared" si="925"/>
        <v>0</v>
      </c>
      <c r="AM1542">
        <f t="shared" si="926"/>
        <v>0</v>
      </c>
      <c r="AN1542">
        <f t="shared" si="927"/>
        <v>0</v>
      </c>
      <c r="AO1542">
        <f t="shared" si="928"/>
        <v>0</v>
      </c>
      <c r="AP1542">
        <f t="shared" si="929"/>
        <v>0</v>
      </c>
      <c r="AQ1542">
        <f t="shared" si="930"/>
        <v>0</v>
      </c>
      <c r="AR1542">
        <f t="shared" si="931"/>
        <v>0</v>
      </c>
      <c r="AS1542">
        <f t="shared" si="932"/>
        <v>0</v>
      </c>
    </row>
    <row r="1543" spans="1:45" ht="24" customHeight="1">
      <c r="A1543" s="103"/>
      <c r="B1543" s="57"/>
      <c r="C1543" s="1109"/>
      <c r="D1543" s="954"/>
      <c r="E1543" s="955"/>
      <c r="F1543" s="956"/>
      <c r="G1543" s="1119" t="s">
        <v>4975</v>
      </c>
      <c r="H1543" s="1120"/>
      <c r="I1543" s="178"/>
      <c r="J1543" s="1111" t="s">
        <v>4976</v>
      </c>
      <c r="K1543" s="1111"/>
      <c r="L1543" s="1111"/>
      <c r="M1543" s="1111"/>
      <c r="N1543" s="1111"/>
      <c r="O1543" s="1111"/>
      <c r="P1543" s="1111"/>
      <c r="Q1543" s="1111"/>
      <c r="R1543" s="1111"/>
      <c r="S1543" s="1111"/>
      <c r="T1543" s="1111"/>
      <c r="U1543" s="1112"/>
      <c r="V1543" s="100"/>
      <c r="W1543" s="100"/>
      <c r="X1543" s="100"/>
      <c r="Y1543" s="100"/>
      <c r="Z1543" s="100"/>
      <c r="AA1543" s="100"/>
      <c r="AB1543" s="100"/>
      <c r="AC1543" s="100"/>
      <c r="AD1543" s="100"/>
      <c r="AF1543"/>
      <c r="AK1543">
        <f t="shared" si="924"/>
        <v>0</v>
      </c>
      <c r="AL1543">
        <f t="shared" si="925"/>
        <v>0</v>
      </c>
      <c r="AM1543">
        <f t="shared" si="926"/>
        <v>0</v>
      </c>
      <c r="AN1543">
        <f t="shared" si="927"/>
        <v>0</v>
      </c>
      <c r="AO1543">
        <f t="shared" si="928"/>
        <v>0</v>
      </c>
      <c r="AP1543">
        <f t="shared" si="929"/>
        <v>0</v>
      </c>
      <c r="AQ1543">
        <f t="shared" si="930"/>
        <v>0</v>
      </c>
      <c r="AR1543">
        <f t="shared" si="931"/>
        <v>0</v>
      </c>
      <c r="AS1543">
        <f t="shared" si="932"/>
        <v>0</v>
      </c>
    </row>
    <row r="1544" spans="1:45" ht="15" customHeight="1">
      <c r="A1544" s="103"/>
      <c r="B1544" s="57"/>
      <c r="C1544" s="1109"/>
      <c r="D1544" s="954"/>
      <c r="E1544" s="955"/>
      <c r="F1544" s="956"/>
      <c r="G1544" s="1119" t="s">
        <v>4977</v>
      </c>
      <c r="H1544" s="1120"/>
      <c r="I1544" s="179"/>
      <c r="J1544" s="1113" t="s">
        <v>201</v>
      </c>
      <c r="K1544" s="1113"/>
      <c r="L1544" s="1113"/>
      <c r="M1544" s="1113"/>
      <c r="N1544" s="1113"/>
      <c r="O1544" s="1113"/>
      <c r="P1544" s="1113"/>
      <c r="Q1544" s="1113"/>
      <c r="R1544" s="1113"/>
      <c r="S1544" s="1113"/>
      <c r="T1544" s="1113"/>
      <c r="U1544" s="1114"/>
      <c r="V1544" s="100"/>
      <c r="W1544" s="100"/>
      <c r="X1544" s="100"/>
      <c r="Y1544" s="100"/>
      <c r="Z1544" s="100"/>
      <c r="AA1544" s="100"/>
      <c r="AB1544" s="100"/>
      <c r="AC1544" s="100"/>
      <c r="AD1544" s="100"/>
      <c r="AF1544"/>
      <c r="AK1544">
        <f t="shared" si="924"/>
        <v>0</v>
      </c>
      <c r="AL1544">
        <f t="shared" si="925"/>
        <v>0</v>
      </c>
      <c r="AM1544">
        <f t="shared" si="926"/>
        <v>0</v>
      </c>
      <c r="AN1544">
        <f t="shared" si="927"/>
        <v>0</v>
      </c>
      <c r="AO1544">
        <f t="shared" si="928"/>
        <v>0</v>
      </c>
      <c r="AP1544">
        <f t="shared" si="929"/>
        <v>0</v>
      </c>
      <c r="AQ1544">
        <f t="shared" si="930"/>
        <v>0</v>
      </c>
      <c r="AR1544">
        <f t="shared" si="931"/>
        <v>0</v>
      </c>
      <c r="AS1544">
        <f t="shared" si="932"/>
        <v>0</v>
      </c>
    </row>
    <row r="1545" spans="1:45" ht="15" customHeight="1">
      <c r="A1545" s="103"/>
      <c r="B1545" s="57"/>
      <c r="C1545" s="1109"/>
      <c r="D1545" s="954"/>
      <c r="E1545" s="955"/>
      <c r="F1545" s="956"/>
      <c r="G1545" s="1117" t="s">
        <v>4978</v>
      </c>
      <c r="H1545" s="1118"/>
      <c r="I1545" s="1104" t="s">
        <v>4979</v>
      </c>
      <c r="J1545" s="1105"/>
      <c r="K1545" s="1105"/>
      <c r="L1545" s="1105"/>
      <c r="M1545" s="1105"/>
      <c r="N1545" s="1105"/>
      <c r="O1545" s="1105"/>
      <c r="P1545" s="1105"/>
      <c r="Q1545" s="1105"/>
      <c r="R1545" s="1105"/>
      <c r="S1545" s="1105"/>
      <c r="T1545" s="1105"/>
      <c r="U1545" s="1106"/>
      <c r="V1545" s="100"/>
      <c r="W1545" s="100"/>
      <c r="X1545" s="100"/>
      <c r="Y1545" s="100"/>
      <c r="Z1545" s="100"/>
      <c r="AA1545" s="100"/>
      <c r="AB1545" s="100"/>
      <c r="AC1545" s="100"/>
      <c r="AD1545" s="100"/>
      <c r="AF1545"/>
      <c r="AK1545">
        <f t="shared" si="924"/>
        <v>0</v>
      </c>
      <c r="AL1545">
        <f t="shared" si="925"/>
        <v>0</v>
      </c>
      <c r="AM1545">
        <f t="shared" si="926"/>
        <v>0</v>
      </c>
      <c r="AN1545">
        <f t="shared" si="927"/>
        <v>0</v>
      </c>
      <c r="AO1545">
        <f t="shared" si="928"/>
        <v>0</v>
      </c>
      <c r="AP1545">
        <f t="shared" si="929"/>
        <v>0</v>
      </c>
      <c r="AQ1545">
        <f t="shared" si="930"/>
        <v>0</v>
      </c>
      <c r="AR1545">
        <f t="shared" si="931"/>
        <v>0</v>
      </c>
      <c r="AS1545">
        <f t="shared" si="932"/>
        <v>0</v>
      </c>
    </row>
    <row r="1546" spans="1:45" ht="15" customHeight="1">
      <c r="A1546" s="103"/>
      <c r="B1546" s="57"/>
      <c r="C1546" s="1109"/>
      <c r="D1546" s="954"/>
      <c r="E1546" s="955"/>
      <c r="F1546" s="956"/>
      <c r="G1546" s="1119" t="s">
        <v>4980</v>
      </c>
      <c r="H1546" s="1120"/>
      <c r="I1546" s="177"/>
      <c r="J1546" s="1115" t="s">
        <v>4981</v>
      </c>
      <c r="K1546" s="1115"/>
      <c r="L1546" s="1115"/>
      <c r="M1546" s="1115"/>
      <c r="N1546" s="1115"/>
      <c r="O1546" s="1115"/>
      <c r="P1546" s="1115"/>
      <c r="Q1546" s="1115"/>
      <c r="R1546" s="1115"/>
      <c r="S1546" s="1115"/>
      <c r="T1546" s="1115"/>
      <c r="U1546" s="1116"/>
      <c r="V1546" s="100"/>
      <c r="W1546" s="100"/>
      <c r="X1546" s="100"/>
      <c r="Y1546" s="100"/>
      <c r="Z1546" s="100"/>
      <c r="AA1546" s="100"/>
      <c r="AB1546" s="100"/>
      <c r="AC1546" s="100"/>
      <c r="AD1546" s="100"/>
      <c r="AF1546"/>
      <c r="AK1546">
        <f t="shared" si="924"/>
        <v>0</v>
      </c>
      <c r="AL1546">
        <f t="shared" si="925"/>
        <v>0</v>
      </c>
      <c r="AM1546">
        <f t="shared" si="926"/>
        <v>0</v>
      </c>
      <c r="AN1546">
        <f t="shared" si="927"/>
        <v>0</v>
      </c>
      <c r="AO1546">
        <f t="shared" si="928"/>
        <v>0</v>
      </c>
      <c r="AP1546">
        <f t="shared" si="929"/>
        <v>0</v>
      </c>
      <c r="AQ1546">
        <f t="shared" si="930"/>
        <v>0</v>
      </c>
      <c r="AR1546">
        <f t="shared" si="931"/>
        <v>0</v>
      </c>
      <c r="AS1546">
        <f t="shared" si="932"/>
        <v>0</v>
      </c>
    </row>
    <row r="1547" spans="1:45" ht="15" customHeight="1">
      <c r="A1547" s="103"/>
      <c r="B1547" s="57"/>
      <c r="C1547" s="1109"/>
      <c r="D1547" s="954"/>
      <c r="E1547" s="955"/>
      <c r="F1547" s="956"/>
      <c r="G1547" s="1119" t="s">
        <v>4982</v>
      </c>
      <c r="H1547" s="1120"/>
      <c r="I1547" s="178"/>
      <c r="J1547" s="1111" t="s">
        <v>4983</v>
      </c>
      <c r="K1547" s="1111"/>
      <c r="L1547" s="1111"/>
      <c r="M1547" s="1111"/>
      <c r="N1547" s="1111"/>
      <c r="O1547" s="1111"/>
      <c r="P1547" s="1111"/>
      <c r="Q1547" s="1111"/>
      <c r="R1547" s="1111"/>
      <c r="S1547" s="1111"/>
      <c r="T1547" s="1111"/>
      <c r="U1547" s="1112"/>
      <c r="V1547" s="100"/>
      <c r="W1547" s="100"/>
      <c r="X1547" s="100"/>
      <c r="Y1547" s="100"/>
      <c r="Z1547" s="100"/>
      <c r="AA1547" s="100"/>
      <c r="AB1547" s="100"/>
      <c r="AC1547" s="100"/>
      <c r="AD1547" s="100"/>
      <c r="AF1547"/>
      <c r="AK1547">
        <f t="shared" si="924"/>
        <v>0</v>
      </c>
      <c r="AL1547">
        <f t="shared" si="925"/>
        <v>0</v>
      </c>
      <c r="AM1547">
        <f t="shared" si="926"/>
        <v>0</v>
      </c>
      <c r="AN1547">
        <f t="shared" si="927"/>
        <v>0</v>
      </c>
      <c r="AO1547">
        <f t="shared" si="928"/>
        <v>0</v>
      </c>
      <c r="AP1547">
        <f t="shared" si="929"/>
        <v>0</v>
      </c>
      <c r="AQ1547">
        <f t="shared" si="930"/>
        <v>0</v>
      </c>
      <c r="AR1547">
        <f t="shared" si="931"/>
        <v>0</v>
      </c>
      <c r="AS1547">
        <f t="shared" si="932"/>
        <v>0</v>
      </c>
    </row>
    <row r="1548" spans="1:45" ht="15" customHeight="1">
      <c r="A1548" s="103"/>
      <c r="B1548" s="57"/>
      <c r="C1548" s="1109"/>
      <c r="D1548" s="954"/>
      <c r="E1548" s="955"/>
      <c r="F1548" s="956"/>
      <c r="G1548" s="1119" t="s">
        <v>4984</v>
      </c>
      <c r="H1548" s="1120"/>
      <c r="I1548" s="178"/>
      <c r="J1548" s="1111" t="s">
        <v>4985</v>
      </c>
      <c r="K1548" s="1111"/>
      <c r="L1548" s="1111"/>
      <c r="M1548" s="1111"/>
      <c r="N1548" s="1111"/>
      <c r="O1548" s="1111"/>
      <c r="P1548" s="1111"/>
      <c r="Q1548" s="1111"/>
      <c r="R1548" s="1111"/>
      <c r="S1548" s="1111"/>
      <c r="T1548" s="1111"/>
      <c r="U1548" s="1112"/>
      <c r="V1548" s="100"/>
      <c r="W1548" s="100"/>
      <c r="X1548" s="100"/>
      <c r="Y1548" s="100"/>
      <c r="Z1548" s="100"/>
      <c r="AA1548" s="100"/>
      <c r="AB1548" s="100"/>
      <c r="AC1548" s="100"/>
      <c r="AD1548" s="100"/>
      <c r="AF1548"/>
      <c r="AK1548">
        <f t="shared" si="924"/>
        <v>0</v>
      </c>
      <c r="AL1548">
        <f t="shared" si="925"/>
        <v>0</v>
      </c>
      <c r="AM1548">
        <f t="shared" si="926"/>
        <v>0</v>
      </c>
      <c r="AN1548">
        <f t="shared" si="927"/>
        <v>0</v>
      </c>
      <c r="AO1548">
        <f t="shared" si="928"/>
        <v>0</v>
      </c>
      <c r="AP1548">
        <f t="shared" si="929"/>
        <v>0</v>
      </c>
      <c r="AQ1548">
        <f t="shared" si="930"/>
        <v>0</v>
      </c>
      <c r="AR1548">
        <f t="shared" si="931"/>
        <v>0</v>
      </c>
      <c r="AS1548">
        <f t="shared" si="932"/>
        <v>0</v>
      </c>
    </row>
    <row r="1549" spans="1:45" ht="15" customHeight="1">
      <c r="A1549" s="103"/>
      <c r="B1549" s="57"/>
      <c r="C1549" s="1109"/>
      <c r="D1549" s="954"/>
      <c r="E1549" s="955"/>
      <c r="F1549" s="956"/>
      <c r="G1549" s="1119" t="s">
        <v>4986</v>
      </c>
      <c r="H1549" s="1120"/>
      <c r="I1549" s="178"/>
      <c r="J1549" s="1111" t="s">
        <v>4987</v>
      </c>
      <c r="K1549" s="1111"/>
      <c r="L1549" s="1111"/>
      <c r="M1549" s="1111"/>
      <c r="N1549" s="1111"/>
      <c r="O1549" s="1111"/>
      <c r="P1549" s="1111"/>
      <c r="Q1549" s="1111"/>
      <c r="R1549" s="1111"/>
      <c r="S1549" s="1111"/>
      <c r="T1549" s="1111"/>
      <c r="U1549" s="1112"/>
      <c r="V1549" s="100"/>
      <c r="W1549" s="100"/>
      <c r="X1549" s="100"/>
      <c r="Y1549" s="100"/>
      <c r="Z1549" s="100"/>
      <c r="AA1549" s="100"/>
      <c r="AB1549" s="100"/>
      <c r="AC1549" s="100"/>
      <c r="AD1549" s="100"/>
      <c r="AF1549"/>
      <c r="AK1549">
        <f t="shared" si="924"/>
        <v>0</v>
      </c>
      <c r="AL1549">
        <f t="shared" si="925"/>
        <v>0</v>
      </c>
      <c r="AM1549">
        <f t="shared" si="926"/>
        <v>0</v>
      </c>
      <c r="AN1549">
        <f t="shared" si="927"/>
        <v>0</v>
      </c>
      <c r="AO1549">
        <f t="shared" si="928"/>
        <v>0</v>
      </c>
      <c r="AP1549">
        <f t="shared" si="929"/>
        <v>0</v>
      </c>
      <c r="AQ1549">
        <f t="shared" si="930"/>
        <v>0</v>
      </c>
      <c r="AR1549">
        <f t="shared" si="931"/>
        <v>0</v>
      </c>
      <c r="AS1549">
        <f t="shared" si="932"/>
        <v>0</v>
      </c>
    </row>
    <row r="1550" spans="1:45" ht="15" customHeight="1">
      <c r="A1550" s="103"/>
      <c r="B1550" s="57"/>
      <c r="C1550" s="1109"/>
      <c r="D1550" s="954"/>
      <c r="E1550" s="955"/>
      <c r="F1550" s="956"/>
      <c r="G1550" s="1119" t="s">
        <v>4988</v>
      </c>
      <c r="H1550" s="1120"/>
      <c r="I1550" s="178"/>
      <c r="J1550" s="1111" t="s">
        <v>4989</v>
      </c>
      <c r="K1550" s="1111"/>
      <c r="L1550" s="1111"/>
      <c r="M1550" s="1111"/>
      <c r="N1550" s="1111"/>
      <c r="O1550" s="1111"/>
      <c r="P1550" s="1111"/>
      <c r="Q1550" s="1111"/>
      <c r="R1550" s="1111"/>
      <c r="S1550" s="1111"/>
      <c r="T1550" s="1111"/>
      <c r="U1550" s="1112"/>
      <c r="V1550" s="100"/>
      <c r="W1550" s="100"/>
      <c r="X1550" s="100"/>
      <c r="Y1550" s="100"/>
      <c r="Z1550" s="100"/>
      <c r="AA1550" s="100"/>
      <c r="AB1550" s="100"/>
      <c r="AC1550" s="100"/>
      <c r="AD1550" s="100"/>
      <c r="AF1550"/>
      <c r="AK1550">
        <f t="shared" si="924"/>
        <v>0</v>
      </c>
      <c r="AL1550">
        <f t="shared" si="925"/>
        <v>0</v>
      </c>
      <c r="AM1550">
        <f t="shared" si="926"/>
        <v>0</v>
      </c>
      <c r="AN1550">
        <f t="shared" si="927"/>
        <v>0</v>
      </c>
      <c r="AO1550">
        <f t="shared" si="928"/>
        <v>0</v>
      </c>
      <c r="AP1550">
        <f t="shared" si="929"/>
        <v>0</v>
      </c>
      <c r="AQ1550">
        <f t="shared" si="930"/>
        <v>0</v>
      </c>
      <c r="AR1550">
        <f t="shared" si="931"/>
        <v>0</v>
      </c>
      <c r="AS1550">
        <f t="shared" si="932"/>
        <v>0</v>
      </c>
    </row>
    <row r="1551" spans="1:45" ht="15" customHeight="1">
      <c r="A1551" s="103"/>
      <c r="B1551" s="57"/>
      <c r="C1551" s="1109"/>
      <c r="D1551" s="954"/>
      <c r="E1551" s="955"/>
      <c r="F1551" s="956"/>
      <c r="G1551" s="1119" t="s">
        <v>4990</v>
      </c>
      <c r="H1551" s="1120"/>
      <c r="I1551" s="178"/>
      <c r="J1551" s="1111" t="s">
        <v>4991</v>
      </c>
      <c r="K1551" s="1111"/>
      <c r="L1551" s="1111"/>
      <c r="M1551" s="1111"/>
      <c r="N1551" s="1111"/>
      <c r="O1551" s="1111"/>
      <c r="P1551" s="1111"/>
      <c r="Q1551" s="1111"/>
      <c r="R1551" s="1111"/>
      <c r="S1551" s="1111"/>
      <c r="T1551" s="1111"/>
      <c r="U1551" s="1112"/>
      <c r="V1551" s="100"/>
      <c r="W1551" s="100"/>
      <c r="X1551" s="100"/>
      <c r="Y1551" s="100"/>
      <c r="Z1551" s="100"/>
      <c r="AA1551" s="100"/>
      <c r="AB1551" s="100"/>
      <c r="AC1551" s="100"/>
      <c r="AD1551" s="100"/>
      <c r="AF1551"/>
      <c r="AK1551">
        <f t="shared" si="924"/>
        <v>0</v>
      </c>
      <c r="AL1551">
        <f t="shared" si="925"/>
        <v>0</v>
      </c>
      <c r="AM1551">
        <f t="shared" si="926"/>
        <v>0</v>
      </c>
      <c r="AN1551">
        <f t="shared" si="927"/>
        <v>0</v>
      </c>
      <c r="AO1551">
        <f t="shared" si="928"/>
        <v>0</v>
      </c>
      <c r="AP1551">
        <f t="shared" si="929"/>
        <v>0</v>
      </c>
      <c r="AQ1551">
        <f t="shared" si="930"/>
        <v>0</v>
      </c>
      <c r="AR1551">
        <f t="shared" si="931"/>
        <v>0</v>
      </c>
      <c r="AS1551">
        <f t="shared" si="932"/>
        <v>0</v>
      </c>
    </row>
    <row r="1552" spans="1:45" ht="24" customHeight="1">
      <c r="A1552" s="103"/>
      <c r="B1552" s="57"/>
      <c r="C1552" s="1109"/>
      <c r="D1552" s="954"/>
      <c r="E1552" s="955"/>
      <c r="F1552" s="956"/>
      <c r="G1552" s="1119" t="s">
        <v>4992</v>
      </c>
      <c r="H1552" s="1120"/>
      <c r="I1552" s="178"/>
      <c r="J1552" s="1111" t="s">
        <v>4993</v>
      </c>
      <c r="K1552" s="1111"/>
      <c r="L1552" s="1111"/>
      <c r="M1552" s="1111"/>
      <c r="N1552" s="1111"/>
      <c r="O1552" s="1111"/>
      <c r="P1552" s="1111"/>
      <c r="Q1552" s="1111"/>
      <c r="R1552" s="1111"/>
      <c r="S1552" s="1111"/>
      <c r="T1552" s="1111"/>
      <c r="U1552" s="1112"/>
      <c r="V1552" s="100"/>
      <c r="W1552" s="100"/>
      <c r="X1552" s="100"/>
      <c r="Y1552" s="100"/>
      <c r="Z1552" s="100"/>
      <c r="AA1552" s="100"/>
      <c r="AB1552" s="100"/>
      <c r="AC1552" s="100"/>
      <c r="AD1552" s="100"/>
      <c r="AF1552"/>
      <c r="AK1552">
        <f t="shared" si="924"/>
        <v>0</v>
      </c>
      <c r="AL1552">
        <f t="shared" si="925"/>
        <v>0</v>
      </c>
      <c r="AM1552">
        <f t="shared" si="926"/>
        <v>0</v>
      </c>
      <c r="AN1552">
        <f t="shared" si="927"/>
        <v>0</v>
      </c>
      <c r="AO1552">
        <f t="shared" si="928"/>
        <v>0</v>
      </c>
      <c r="AP1552">
        <f t="shared" si="929"/>
        <v>0</v>
      </c>
      <c r="AQ1552">
        <f t="shared" si="930"/>
        <v>0</v>
      </c>
      <c r="AR1552">
        <f t="shared" si="931"/>
        <v>0</v>
      </c>
      <c r="AS1552">
        <f t="shared" si="932"/>
        <v>0</v>
      </c>
    </row>
    <row r="1553" spans="1:45" ht="15" customHeight="1">
      <c r="A1553" s="103"/>
      <c r="B1553" s="57"/>
      <c r="C1553" s="1109"/>
      <c r="D1553" s="954"/>
      <c r="E1553" s="955"/>
      <c r="F1553" s="956"/>
      <c r="G1553" s="1119" t="s">
        <v>4994</v>
      </c>
      <c r="H1553" s="1120"/>
      <c r="I1553" s="179"/>
      <c r="J1553" s="1113" t="s">
        <v>201</v>
      </c>
      <c r="K1553" s="1113"/>
      <c r="L1553" s="1113"/>
      <c r="M1553" s="1113"/>
      <c r="N1553" s="1113"/>
      <c r="O1553" s="1113"/>
      <c r="P1553" s="1113"/>
      <c r="Q1553" s="1113"/>
      <c r="R1553" s="1113"/>
      <c r="S1553" s="1113"/>
      <c r="T1553" s="1113"/>
      <c r="U1553" s="1114"/>
      <c r="V1553" s="100"/>
      <c r="W1553" s="100"/>
      <c r="X1553" s="100"/>
      <c r="Y1553" s="100"/>
      <c r="Z1553" s="100"/>
      <c r="AA1553" s="100"/>
      <c r="AB1553" s="100"/>
      <c r="AC1553" s="100"/>
      <c r="AD1553" s="100"/>
      <c r="AF1553"/>
      <c r="AK1553">
        <f t="shared" si="924"/>
        <v>0</v>
      </c>
      <c r="AL1553">
        <f t="shared" si="925"/>
        <v>0</v>
      </c>
      <c r="AM1553">
        <f t="shared" si="926"/>
        <v>0</v>
      </c>
      <c r="AN1553">
        <f t="shared" si="927"/>
        <v>0</v>
      </c>
      <c r="AO1553">
        <f t="shared" si="928"/>
        <v>0</v>
      </c>
      <c r="AP1553">
        <f t="shared" si="929"/>
        <v>0</v>
      </c>
      <c r="AQ1553">
        <f t="shared" si="930"/>
        <v>0</v>
      </c>
      <c r="AR1553">
        <f t="shared" si="931"/>
        <v>0</v>
      </c>
      <c r="AS1553">
        <f t="shared" si="932"/>
        <v>0</v>
      </c>
    </row>
    <row r="1554" spans="1:45" ht="15" customHeight="1">
      <c r="A1554" s="103"/>
      <c r="B1554" s="57"/>
      <c r="C1554" s="1109"/>
      <c r="D1554" s="954"/>
      <c r="E1554" s="955"/>
      <c r="F1554" s="956"/>
      <c r="G1554" s="1117" t="s">
        <v>4995</v>
      </c>
      <c r="H1554" s="1118"/>
      <c r="I1554" s="1104" t="s">
        <v>4996</v>
      </c>
      <c r="J1554" s="1105"/>
      <c r="K1554" s="1105"/>
      <c r="L1554" s="1105"/>
      <c r="M1554" s="1105"/>
      <c r="N1554" s="1105"/>
      <c r="O1554" s="1105"/>
      <c r="P1554" s="1105"/>
      <c r="Q1554" s="1105"/>
      <c r="R1554" s="1105"/>
      <c r="S1554" s="1105"/>
      <c r="T1554" s="1105"/>
      <c r="U1554" s="1106"/>
      <c r="V1554" s="100"/>
      <c r="W1554" s="100"/>
      <c r="X1554" s="100"/>
      <c r="Y1554" s="100"/>
      <c r="Z1554" s="100"/>
      <c r="AA1554" s="100"/>
      <c r="AB1554" s="100"/>
      <c r="AC1554" s="100"/>
      <c r="AD1554" s="100"/>
      <c r="AF1554"/>
      <c r="AK1554">
        <f t="shared" si="924"/>
        <v>0</v>
      </c>
      <c r="AL1554">
        <f t="shared" si="925"/>
        <v>0</v>
      </c>
      <c r="AM1554">
        <f t="shared" si="926"/>
        <v>0</v>
      </c>
      <c r="AN1554">
        <f t="shared" si="927"/>
        <v>0</v>
      </c>
      <c r="AO1554">
        <f t="shared" si="928"/>
        <v>0</v>
      </c>
      <c r="AP1554">
        <f t="shared" si="929"/>
        <v>0</v>
      </c>
      <c r="AQ1554">
        <f t="shared" si="930"/>
        <v>0</v>
      </c>
      <c r="AR1554">
        <f t="shared" si="931"/>
        <v>0</v>
      </c>
      <c r="AS1554">
        <f t="shared" si="932"/>
        <v>0</v>
      </c>
    </row>
    <row r="1555" spans="1:45" ht="15" customHeight="1">
      <c r="A1555" s="103"/>
      <c r="B1555" s="57"/>
      <c r="C1555" s="1109"/>
      <c r="D1555" s="954"/>
      <c r="E1555" s="955"/>
      <c r="F1555" s="956"/>
      <c r="G1555" s="1117" t="s">
        <v>4997</v>
      </c>
      <c r="H1555" s="1118"/>
      <c r="I1555" s="1104" t="s">
        <v>4998</v>
      </c>
      <c r="J1555" s="1105"/>
      <c r="K1555" s="1105"/>
      <c r="L1555" s="1105"/>
      <c r="M1555" s="1105"/>
      <c r="N1555" s="1105"/>
      <c r="O1555" s="1105"/>
      <c r="P1555" s="1105"/>
      <c r="Q1555" s="1105"/>
      <c r="R1555" s="1105"/>
      <c r="S1555" s="1105"/>
      <c r="T1555" s="1105"/>
      <c r="U1555" s="1106"/>
      <c r="V1555" s="100"/>
      <c r="W1555" s="100"/>
      <c r="X1555" s="100"/>
      <c r="Y1555" s="100"/>
      <c r="Z1555" s="100"/>
      <c r="AA1555" s="100"/>
      <c r="AB1555" s="100"/>
      <c r="AC1555" s="100"/>
      <c r="AD1555" s="100"/>
      <c r="AF1555"/>
      <c r="AK1555">
        <f t="shared" si="924"/>
        <v>0</v>
      </c>
      <c r="AL1555">
        <f t="shared" si="925"/>
        <v>0</v>
      </c>
      <c r="AM1555">
        <f t="shared" si="926"/>
        <v>0</v>
      </c>
      <c r="AN1555">
        <f t="shared" si="927"/>
        <v>0</v>
      </c>
      <c r="AO1555">
        <f t="shared" si="928"/>
        <v>0</v>
      </c>
      <c r="AP1555">
        <f t="shared" si="929"/>
        <v>0</v>
      </c>
      <c r="AQ1555">
        <f t="shared" si="930"/>
        <v>0</v>
      </c>
      <c r="AR1555">
        <f t="shared" si="931"/>
        <v>0</v>
      </c>
      <c r="AS1555">
        <f t="shared" si="932"/>
        <v>0</v>
      </c>
    </row>
    <row r="1556" spans="1:45" ht="15" customHeight="1">
      <c r="A1556" s="103"/>
      <c r="B1556" s="57"/>
      <c r="C1556" s="1109"/>
      <c r="D1556" s="954"/>
      <c r="E1556" s="955"/>
      <c r="F1556" s="956"/>
      <c r="G1556" s="1117" t="s">
        <v>4999</v>
      </c>
      <c r="H1556" s="1118"/>
      <c r="I1556" s="1104" t="s">
        <v>5000</v>
      </c>
      <c r="J1556" s="1105"/>
      <c r="K1556" s="1105"/>
      <c r="L1556" s="1105"/>
      <c r="M1556" s="1105"/>
      <c r="N1556" s="1105"/>
      <c r="O1556" s="1105"/>
      <c r="P1556" s="1105"/>
      <c r="Q1556" s="1105"/>
      <c r="R1556" s="1105"/>
      <c r="S1556" s="1105"/>
      <c r="T1556" s="1105"/>
      <c r="U1556" s="1106"/>
      <c r="V1556" s="100"/>
      <c r="W1556" s="100"/>
      <c r="X1556" s="100"/>
      <c r="Y1556" s="100"/>
      <c r="Z1556" s="100"/>
      <c r="AA1556" s="100"/>
      <c r="AB1556" s="100"/>
      <c r="AC1556" s="100"/>
      <c r="AD1556" s="100"/>
      <c r="AF1556"/>
      <c r="AK1556">
        <f t="shared" si="924"/>
        <v>0</v>
      </c>
      <c r="AL1556">
        <f t="shared" si="925"/>
        <v>0</v>
      </c>
      <c r="AM1556">
        <f t="shared" si="926"/>
        <v>0</v>
      </c>
      <c r="AN1556">
        <f t="shared" si="927"/>
        <v>0</v>
      </c>
      <c r="AO1556">
        <f t="shared" si="928"/>
        <v>0</v>
      </c>
      <c r="AP1556">
        <f t="shared" si="929"/>
        <v>0</v>
      </c>
      <c r="AQ1556">
        <f t="shared" si="930"/>
        <v>0</v>
      </c>
      <c r="AR1556">
        <f t="shared" si="931"/>
        <v>0</v>
      </c>
      <c r="AS1556">
        <f t="shared" si="932"/>
        <v>0</v>
      </c>
    </row>
    <row r="1557" spans="1:45" ht="24" customHeight="1">
      <c r="A1557" s="103"/>
      <c r="B1557" s="57"/>
      <c r="C1557" s="1109"/>
      <c r="D1557" s="954"/>
      <c r="E1557" s="955"/>
      <c r="F1557" s="956"/>
      <c r="G1557" s="1117" t="s">
        <v>5001</v>
      </c>
      <c r="H1557" s="1118"/>
      <c r="I1557" s="1104" t="s">
        <v>5002</v>
      </c>
      <c r="J1557" s="1105"/>
      <c r="K1557" s="1105"/>
      <c r="L1557" s="1105"/>
      <c r="M1557" s="1105"/>
      <c r="N1557" s="1105"/>
      <c r="O1557" s="1105"/>
      <c r="P1557" s="1105"/>
      <c r="Q1557" s="1105"/>
      <c r="R1557" s="1105"/>
      <c r="S1557" s="1105"/>
      <c r="T1557" s="1105"/>
      <c r="U1557" s="1106"/>
      <c r="V1557" s="100"/>
      <c r="W1557" s="100"/>
      <c r="X1557" s="100"/>
      <c r="Y1557" s="100"/>
      <c r="Z1557" s="100"/>
      <c r="AA1557" s="100"/>
      <c r="AB1557" s="100"/>
      <c r="AC1557" s="100"/>
      <c r="AD1557" s="100"/>
      <c r="AF1557"/>
      <c r="AK1557">
        <f t="shared" si="924"/>
        <v>0</v>
      </c>
      <c r="AL1557">
        <f t="shared" si="925"/>
        <v>0</v>
      </c>
      <c r="AM1557">
        <f t="shared" si="926"/>
        <v>0</v>
      </c>
      <c r="AN1557">
        <f t="shared" si="927"/>
        <v>0</v>
      </c>
      <c r="AO1557">
        <f t="shared" si="928"/>
        <v>0</v>
      </c>
      <c r="AP1557">
        <f t="shared" si="929"/>
        <v>0</v>
      </c>
      <c r="AQ1557">
        <f t="shared" si="930"/>
        <v>0</v>
      </c>
      <c r="AR1557">
        <f t="shared" si="931"/>
        <v>0</v>
      </c>
      <c r="AS1557">
        <f t="shared" si="932"/>
        <v>0</v>
      </c>
    </row>
    <row r="1558" spans="1:45" ht="15" customHeight="1">
      <c r="A1558" s="103"/>
      <c r="B1558" s="57"/>
      <c r="C1558" s="1109"/>
      <c r="D1558" s="954"/>
      <c r="E1558" s="955"/>
      <c r="F1558" s="956"/>
      <c r="G1558" s="1119" t="s">
        <v>5003</v>
      </c>
      <c r="H1558" s="1120"/>
      <c r="I1558" s="177"/>
      <c r="J1558" s="1115" t="s">
        <v>5004</v>
      </c>
      <c r="K1558" s="1115"/>
      <c r="L1558" s="1115"/>
      <c r="M1558" s="1115"/>
      <c r="N1558" s="1115"/>
      <c r="O1558" s="1115"/>
      <c r="P1558" s="1115"/>
      <c r="Q1558" s="1115"/>
      <c r="R1558" s="1115"/>
      <c r="S1558" s="1115"/>
      <c r="T1558" s="1115"/>
      <c r="U1558" s="1116"/>
      <c r="V1558" s="100"/>
      <c r="W1558" s="100"/>
      <c r="X1558" s="100"/>
      <c r="Y1558" s="100"/>
      <c r="Z1558" s="100"/>
      <c r="AA1558" s="100"/>
      <c r="AB1558" s="100"/>
      <c r="AC1558" s="100"/>
      <c r="AD1558" s="100"/>
      <c r="AF1558"/>
      <c r="AK1558">
        <f t="shared" si="924"/>
        <v>0</v>
      </c>
      <c r="AL1558">
        <f t="shared" si="925"/>
        <v>0</v>
      </c>
      <c r="AM1558">
        <f t="shared" si="926"/>
        <v>0</v>
      </c>
      <c r="AN1558">
        <f t="shared" si="927"/>
        <v>0</v>
      </c>
      <c r="AO1558">
        <f t="shared" si="928"/>
        <v>0</v>
      </c>
      <c r="AP1558">
        <f t="shared" si="929"/>
        <v>0</v>
      </c>
      <c r="AQ1558">
        <f t="shared" si="930"/>
        <v>0</v>
      </c>
      <c r="AR1558">
        <f t="shared" si="931"/>
        <v>0</v>
      </c>
      <c r="AS1558">
        <f t="shared" si="932"/>
        <v>0</v>
      </c>
    </row>
    <row r="1559" spans="1:45" ht="15" customHeight="1">
      <c r="A1559" s="103"/>
      <c r="B1559" s="57"/>
      <c r="C1559" s="1109"/>
      <c r="D1559" s="954"/>
      <c r="E1559" s="955"/>
      <c r="F1559" s="956"/>
      <c r="G1559" s="1119" t="s">
        <v>5005</v>
      </c>
      <c r="H1559" s="1120"/>
      <c r="I1559" s="178"/>
      <c r="J1559" s="1111" t="s">
        <v>5006</v>
      </c>
      <c r="K1559" s="1111"/>
      <c r="L1559" s="1111"/>
      <c r="M1559" s="1111"/>
      <c r="N1559" s="1111"/>
      <c r="O1559" s="1111"/>
      <c r="P1559" s="1111"/>
      <c r="Q1559" s="1111"/>
      <c r="R1559" s="1111"/>
      <c r="S1559" s="1111"/>
      <c r="T1559" s="1111"/>
      <c r="U1559" s="1112"/>
      <c r="V1559" s="100"/>
      <c r="W1559" s="100"/>
      <c r="X1559" s="100"/>
      <c r="Y1559" s="100"/>
      <c r="Z1559" s="100"/>
      <c r="AA1559" s="100"/>
      <c r="AB1559" s="100"/>
      <c r="AC1559" s="100"/>
      <c r="AD1559" s="100"/>
      <c r="AF1559"/>
      <c r="AK1559">
        <f t="shared" si="924"/>
        <v>0</v>
      </c>
      <c r="AL1559">
        <f t="shared" si="925"/>
        <v>0</v>
      </c>
      <c r="AM1559">
        <f t="shared" si="926"/>
        <v>0</v>
      </c>
      <c r="AN1559">
        <f t="shared" si="927"/>
        <v>0</v>
      </c>
      <c r="AO1559">
        <f t="shared" si="928"/>
        <v>0</v>
      </c>
      <c r="AP1559">
        <f t="shared" si="929"/>
        <v>0</v>
      </c>
      <c r="AQ1559">
        <f t="shared" si="930"/>
        <v>0</v>
      </c>
      <c r="AR1559">
        <f t="shared" si="931"/>
        <v>0</v>
      </c>
      <c r="AS1559">
        <f t="shared" si="932"/>
        <v>0</v>
      </c>
    </row>
    <row r="1560" spans="1:45" ht="15" customHeight="1">
      <c r="A1560" s="103"/>
      <c r="B1560" s="57"/>
      <c r="C1560" s="1109"/>
      <c r="D1560" s="954"/>
      <c r="E1560" s="955"/>
      <c r="F1560" s="956"/>
      <c r="G1560" s="1119" t="s">
        <v>5007</v>
      </c>
      <c r="H1560" s="1120"/>
      <c r="I1560" s="178"/>
      <c r="J1560" s="1111" t="s">
        <v>5008</v>
      </c>
      <c r="K1560" s="1111"/>
      <c r="L1560" s="1111"/>
      <c r="M1560" s="1111"/>
      <c r="N1560" s="1111"/>
      <c r="O1560" s="1111"/>
      <c r="P1560" s="1111"/>
      <c r="Q1560" s="1111"/>
      <c r="R1560" s="1111"/>
      <c r="S1560" s="1111"/>
      <c r="T1560" s="1111"/>
      <c r="U1560" s="1112"/>
      <c r="V1560" s="100"/>
      <c r="W1560" s="100"/>
      <c r="X1560" s="100"/>
      <c r="Y1560" s="100"/>
      <c r="Z1560" s="100"/>
      <c r="AA1560" s="100"/>
      <c r="AB1560" s="100"/>
      <c r="AC1560" s="100"/>
      <c r="AD1560" s="100"/>
      <c r="AF1560"/>
      <c r="AK1560">
        <f t="shared" si="924"/>
        <v>0</v>
      </c>
      <c r="AL1560">
        <f t="shared" si="925"/>
        <v>0</v>
      </c>
      <c r="AM1560">
        <f t="shared" si="926"/>
        <v>0</v>
      </c>
      <c r="AN1560">
        <f t="shared" si="927"/>
        <v>0</v>
      </c>
      <c r="AO1560">
        <f t="shared" si="928"/>
        <v>0</v>
      </c>
      <c r="AP1560">
        <f t="shared" si="929"/>
        <v>0</v>
      </c>
      <c r="AQ1560">
        <f t="shared" si="930"/>
        <v>0</v>
      </c>
      <c r="AR1560">
        <f t="shared" si="931"/>
        <v>0</v>
      </c>
      <c r="AS1560">
        <f t="shared" si="932"/>
        <v>0</v>
      </c>
    </row>
    <row r="1561" spans="1:45" ht="24" customHeight="1">
      <c r="A1561" s="103"/>
      <c r="B1561" s="57"/>
      <c r="C1561" s="1109"/>
      <c r="D1561" s="954"/>
      <c r="E1561" s="955"/>
      <c r="F1561" s="956"/>
      <c r="G1561" s="1119" t="s">
        <v>5009</v>
      </c>
      <c r="H1561" s="1120"/>
      <c r="I1561" s="178"/>
      <c r="J1561" s="1111" t="s">
        <v>5010</v>
      </c>
      <c r="K1561" s="1111"/>
      <c r="L1561" s="1111"/>
      <c r="M1561" s="1111"/>
      <c r="N1561" s="1111"/>
      <c r="O1561" s="1111"/>
      <c r="P1561" s="1111"/>
      <c r="Q1561" s="1111"/>
      <c r="R1561" s="1111"/>
      <c r="S1561" s="1111"/>
      <c r="T1561" s="1111"/>
      <c r="U1561" s="1112"/>
      <c r="V1561" s="100"/>
      <c r="W1561" s="100"/>
      <c r="X1561" s="100"/>
      <c r="Y1561" s="100"/>
      <c r="Z1561" s="100"/>
      <c r="AA1561" s="100"/>
      <c r="AB1561" s="100"/>
      <c r="AC1561" s="100"/>
      <c r="AD1561" s="100"/>
      <c r="AF1561"/>
      <c r="AK1561">
        <f t="shared" si="924"/>
        <v>0</v>
      </c>
      <c r="AL1561">
        <f t="shared" si="925"/>
        <v>0</v>
      </c>
      <c r="AM1561">
        <f t="shared" si="926"/>
        <v>0</v>
      </c>
      <c r="AN1561">
        <f t="shared" si="927"/>
        <v>0</v>
      </c>
      <c r="AO1561">
        <f t="shared" si="928"/>
        <v>0</v>
      </c>
      <c r="AP1561">
        <f t="shared" si="929"/>
        <v>0</v>
      </c>
      <c r="AQ1561">
        <f t="shared" si="930"/>
        <v>0</v>
      </c>
      <c r="AR1561">
        <f t="shared" si="931"/>
        <v>0</v>
      </c>
      <c r="AS1561">
        <f t="shared" si="932"/>
        <v>0</v>
      </c>
    </row>
    <row r="1562" spans="1:45" ht="24" customHeight="1">
      <c r="A1562" s="103"/>
      <c r="B1562" s="57"/>
      <c r="C1562" s="1109"/>
      <c r="D1562" s="954"/>
      <c r="E1562" s="955"/>
      <c r="F1562" s="956"/>
      <c r="G1562" s="1119" t="s">
        <v>5011</v>
      </c>
      <c r="H1562" s="1120"/>
      <c r="I1562" s="178"/>
      <c r="J1562" s="1111" t="s">
        <v>5012</v>
      </c>
      <c r="K1562" s="1111"/>
      <c r="L1562" s="1111"/>
      <c r="M1562" s="1111"/>
      <c r="N1562" s="1111"/>
      <c r="O1562" s="1111"/>
      <c r="P1562" s="1111"/>
      <c r="Q1562" s="1111"/>
      <c r="R1562" s="1111"/>
      <c r="S1562" s="1111"/>
      <c r="T1562" s="1111"/>
      <c r="U1562" s="1112"/>
      <c r="V1562" s="100"/>
      <c r="W1562" s="100"/>
      <c r="X1562" s="100"/>
      <c r="Y1562" s="100"/>
      <c r="Z1562" s="100"/>
      <c r="AA1562" s="100"/>
      <c r="AB1562" s="100"/>
      <c r="AC1562" s="100"/>
      <c r="AD1562" s="100"/>
      <c r="AF1562"/>
      <c r="AK1562">
        <f t="shared" si="924"/>
        <v>0</v>
      </c>
      <c r="AL1562">
        <f t="shared" si="925"/>
        <v>0</v>
      </c>
      <c r="AM1562">
        <f t="shared" si="926"/>
        <v>0</v>
      </c>
      <c r="AN1562">
        <f t="shared" si="927"/>
        <v>0</v>
      </c>
      <c r="AO1562">
        <f t="shared" si="928"/>
        <v>0</v>
      </c>
      <c r="AP1562">
        <f t="shared" si="929"/>
        <v>0</v>
      </c>
      <c r="AQ1562">
        <f t="shared" si="930"/>
        <v>0</v>
      </c>
      <c r="AR1562">
        <f t="shared" si="931"/>
        <v>0</v>
      </c>
      <c r="AS1562">
        <f t="shared" si="932"/>
        <v>0</v>
      </c>
    </row>
    <row r="1563" spans="1:45" ht="15" customHeight="1">
      <c r="A1563" s="103"/>
      <c r="B1563" s="57"/>
      <c r="C1563" s="1109"/>
      <c r="D1563" s="954"/>
      <c r="E1563" s="955"/>
      <c r="F1563" s="956"/>
      <c r="G1563" s="1119" t="s">
        <v>5013</v>
      </c>
      <c r="H1563" s="1120"/>
      <c r="I1563" s="179"/>
      <c r="J1563" s="1113" t="s">
        <v>201</v>
      </c>
      <c r="K1563" s="1113"/>
      <c r="L1563" s="1113"/>
      <c r="M1563" s="1113"/>
      <c r="N1563" s="1113"/>
      <c r="O1563" s="1113"/>
      <c r="P1563" s="1113"/>
      <c r="Q1563" s="1113"/>
      <c r="R1563" s="1113"/>
      <c r="S1563" s="1113"/>
      <c r="T1563" s="1113"/>
      <c r="U1563" s="1114"/>
      <c r="V1563" s="100"/>
      <c r="W1563" s="100"/>
      <c r="X1563" s="100"/>
      <c r="Y1563" s="100"/>
      <c r="Z1563" s="100"/>
      <c r="AA1563" s="100"/>
      <c r="AB1563" s="100"/>
      <c r="AC1563" s="100"/>
      <c r="AD1563" s="100"/>
      <c r="AF1563"/>
      <c r="AK1563">
        <f t="shared" si="924"/>
        <v>0</v>
      </c>
      <c r="AL1563">
        <f t="shared" si="925"/>
        <v>0</v>
      </c>
      <c r="AM1563">
        <f t="shared" si="926"/>
        <v>0</v>
      </c>
      <c r="AN1563">
        <f t="shared" si="927"/>
        <v>0</v>
      </c>
      <c r="AO1563">
        <f t="shared" si="928"/>
        <v>0</v>
      </c>
      <c r="AP1563">
        <f t="shared" si="929"/>
        <v>0</v>
      </c>
      <c r="AQ1563">
        <f t="shared" si="930"/>
        <v>0</v>
      </c>
      <c r="AR1563">
        <f t="shared" si="931"/>
        <v>0</v>
      </c>
      <c r="AS1563">
        <f t="shared" si="932"/>
        <v>0</v>
      </c>
    </row>
    <row r="1564" spans="1:45" ht="15" customHeight="1">
      <c r="A1564" s="103"/>
      <c r="B1564" s="57"/>
      <c r="C1564" s="1109"/>
      <c r="D1564" s="954"/>
      <c r="E1564" s="955"/>
      <c r="F1564" s="956"/>
      <c r="G1564" s="1117" t="s">
        <v>5014</v>
      </c>
      <c r="H1564" s="1118"/>
      <c r="I1564" s="1104" t="s">
        <v>5015</v>
      </c>
      <c r="J1564" s="1105"/>
      <c r="K1564" s="1105"/>
      <c r="L1564" s="1105"/>
      <c r="M1564" s="1105"/>
      <c r="N1564" s="1105"/>
      <c r="O1564" s="1105"/>
      <c r="P1564" s="1105"/>
      <c r="Q1564" s="1105"/>
      <c r="R1564" s="1105"/>
      <c r="S1564" s="1105"/>
      <c r="T1564" s="1105"/>
      <c r="U1564" s="1106"/>
      <c r="V1564" s="100"/>
      <c r="W1564" s="100"/>
      <c r="X1564" s="100"/>
      <c r="Y1564" s="100"/>
      <c r="Z1564" s="100"/>
      <c r="AA1564" s="100"/>
      <c r="AB1564" s="100"/>
      <c r="AC1564" s="100"/>
      <c r="AD1564" s="100"/>
      <c r="AF1564"/>
      <c r="AK1564">
        <f t="shared" si="924"/>
        <v>0</v>
      </c>
      <c r="AL1564">
        <f t="shared" si="925"/>
        <v>0</v>
      </c>
      <c r="AM1564">
        <f t="shared" si="926"/>
        <v>0</v>
      </c>
      <c r="AN1564">
        <f t="shared" si="927"/>
        <v>0</v>
      </c>
      <c r="AO1564">
        <f t="shared" si="928"/>
        <v>0</v>
      </c>
      <c r="AP1564">
        <f t="shared" si="929"/>
        <v>0</v>
      </c>
      <c r="AQ1564">
        <f t="shared" si="930"/>
        <v>0</v>
      </c>
      <c r="AR1564">
        <f t="shared" si="931"/>
        <v>0</v>
      </c>
      <c r="AS1564">
        <f t="shared" si="932"/>
        <v>0</v>
      </c>
    </row>
    <row r="1565" spans="1:45" ht="15" customHeight="1">
      <c r="A1565" s="103"/>
      <c r="B1565" s="57"/>
      <c r="C1565" s="1109"/>
      <c r="D1565" s="954"/>
      <c r="E1565" s="955"/>
      <c r="F1565" s="956"/>
      <c r="G1565" s="1117" t="s">
        <v>5016</v>
      </c>
      <c r="H1565" s="1118"/>
      <c r="I1565" s="1104" t="s">
        <v>5017</v>
      </c>
      <c r="J1565" s="1105"/>
      <c r="K1565" s="1105"/>
      <c r="L1565" s="1105"/>
      <c r="M1565" s="1105"/>
      <c r="N1565" s="1105"/>
      <c r="O1565" s="1105"/>
      <c r="P1565" s="1105"/>
      <c r="Q1565" s="1105"/>
      <c r="R1565" s="1105"/>
      <c r="S1565" s="1105"/>
      <c r="T1565" s="1105"/>
      <c r="U1565" s="1106"/>
      <c r="V1565" s="100"/>
      <c r="W1565" s="100"/>
      <c r="X1565" s="100"/>
      <c r="Y1565" s="100"/>
      <c r="Z1565" s="100"/>
      <c r="AA1565" s="100"/>
      <c r="AB1565" s="100"/>
      <c r="AC1565" s="100"/>
      <c r="AD1565" s="100"/>
      <c r="AF1565"/>
      <c r="AK1565">
        <f t="shared" si="924"/>
        <v>0</v>
      </c>
      <c r="AL1565">
        <f t="shared" si="925"/>
        <v>0</v>
      </c>
      <c r="AM1565">
        <f t="shared" si="926"/>
        <v>0</v>
      </c>
      <c r="AN1565">
        <f t="shared" si="927"/>
        <v>0</v>
      </c>
      <c r="AO1565">
        <f t="shared" si="928"/>
        <v>0</v>
      </c>
      <c r="AP1565">
        <f t="shared" si="929"/>
        <v>0</v>
      </c>
      <c r="AQ1565">
        <f t="shared" si="930"/>
        <v>0</v>
      </c>
      <c r="AR1565">
        <f t="shared" si="931"/>
        <v>0</v>
      </c>
      <c r="AS1565">
        <f t="shared" si="932"/>
        <v>0</v>
      </c>
    </row>
    <row r="1566" spans="1:45" ht="15" customHeight="1">
      <c r="A1566" s="103"/>
      <c r="B1566" s="57"/>
      <c r="C1566" s="1109"/>
      <c r="D1566" s="954"/>
      <c r="E1566" s="955"/>
      <c r="F1566" s="956"/>
      <c r="G1566" s="1117" t="s">
        <v>5018</v>
      </c>
      <c r="H1566" s="1118"/>
      <c r="I1566" s="1104" t="s">
        <v>5019</v>
      </c>
      <c r="J1566" s="1105"/>
      <c r="K1566" s="1105"/>
      <c r="L1566" s="1105"/>
      <c r="M1566" s="1105"/>
      <c r="N1566" s="1105"/>
      <c r="O1566" s="1105"/>
      <c r="P1566" s="1105"/>
      <c r="Q1566" s="1105"/>
      <c r="R1566" s="1105"/>
      <c r="S1566" s="1105"/>
      <c r="T1566" s="1105"/>
      <c r="U1566" s="1106"/>
      <c r="V1566" s="100"/>
      <c r="W1566" s="100"/>
      <c r="X1566" s="100"/>
      <c r="Y1566" s="100"/>
      <c r="Z1566" s="100"/>
      <c r="AA1566" s="100"/>
      <c r="AB1566" s="100"/>
      <c r="AC1566" s="100"/>
      <c r="AD1566" s="100"/>
      <c r="AF1566"/>
      <c r="AK1566">
        <f t="shared" si="924"/>
        <v>0</v>
      </c>
      <c r="AL1566">
        <f t="shared" si="925"/>
        <v>0</v>
      </c>
      <c r="AM1566">
        <f t="shared" si="926"/>
        <v>0</v>
      </c>
      <c r="AN1566">
        <f t="shared" si="927"/>
        <v>0</v>
      </c>
      <c r="AO1566">
        <f t="shared" si="928"/>
        <v>0</v>
      </c>
      <c r="AP1566">
        <f t="shared" si="929"/>
        <v>0</v>
      </c>
      <c r="AQ1566">
        <f t="shared" si="930"/>
        <v>0</v>
      </c>
      <c r="AR1566">
        <f t="shared" si="931"/>
        <v>0</v>
      </c>
      <c r="AS1566">
        <f t="shared" si="932"/>
        <v>0</v>
      </c>
    </row>
    <row r="1567" spans="1:45" ht="15" customHeight="1">
      <c r="A1567" s="103"/>
      <c r="B1567" s="57"/>
      <c r="C1567" s="1108" t="s">
        <v>5020</v>
      </c>
      <c r="D1567" s="847" t="s">
        <v>5021</v>
      </c>
      <c r="E1567" s="953"/>
      <c r="F1567" s="848"/>
      <c r="G1567" s="1117" t="s">
        <v>5022</v>
      </c>
      <c r="H1567" s="1118"/>
      <c r="I1567" s="1104" t="s">
        <v>5023</v>
      </c>
      <c r="J1567" s="1105"/>
      <c r="K1567" s="1105"/>
      <c r="L1567" s="1105"/>
      <c r="M1567" s="1105"/>
      <c r="N1567" s="1105"/>
      <c r="O1567" s="1105"/>
      <c r="P1567" s="1105"/>
      <c r="Q1567" s="1105"/>
      <c r="R1567" s="1105"/>
      <c r="S1567" s="1105"/>
      <c r="T1567" s="1105"/>
      <c r="U1567" s="1106"/>
      <c r="V1567" s="100"/>
      <c r="W1567" s="100"/>
      <c r="X1567" s="100"/>
      <c r="Y1567" s="100"/>
      <c r="Z1567" s="100"/>
      <c r="AA1567" s="100"/>
      <c r="AB1567" s="100"/>
      <c r="AC1567" s="100"/>
      <c r="AD1567" s="100"/>
      <c r="AF1567"/>
      <c r="AK1567">
        <f t="shared" si="924"/>
        <v>0</v>
      </c>
      <c r="AL1567">
        <f t="shared" si="925"/>
        <v>0</v>
      </c>
      <c r="AM1567">
        <f t="shared" si="926"/>
        <v>0</v>
      </c>
      <c r="AN1567">
        <f t="shared" si="927"/>
        <v>0</v>
      </c>
      <c r="AO1567">
        <f t="shared" si="928"/>
        <v>0</v>
      </c>
      <c r="AP1567">
        <f t="shared" si="929"/>
        <v>0</v>
      </c>
      <c r="AQ1567">
        <f t="shared" si="930"/>
        <v>0</v>
      </c>
      <c r="AR1567">
        <f t="shared" si="931"/>
        <v>0</v>
      </c>
      <c r="AS1567">
        <f t="shared" si="932"/>
        <v>0</v>
      </c>
    </row>
    <row r="1568" spans="1:45" ht="15" customHeight="1">
      <c r="A1568" s="103"/>
      <c r="B1568" s="57"/>
      <c r="C1568" s="1109"/>
      <c r="D1568" s="954"/>
      <c r="E1568" s="955"/>
      <c r="F1568" s="956"/>
      <c r="G1568" s="1119" t="s">
        <v>5024</v>
      </c>
      <c r="H1568" s="1120"/>
      <c r="I1568" s="177"/>
      <c r="J1568" s="1115" t="s">
        <v>5025</v>
      </c>
      <c r="K1568" s="1115"/>
      <c r="L1568" s="1115"/>
      <c r="M1568" s="1115"/>
      <c r="N1568" s="1115"/>
      <c r="O1568" s="1115"/>
      <c r="P1568" s="1115"/>
      <c r="Q1568" s="1115"/>
      <c r="R1568" s="1115"/>
      <c r="S1568" s="1115"/>
      <c r="T1568" s="1115"/>
      <c r="U1568" s="1116"/>
      <c r="V1568" s="100"/>
      <c r="W1568" s="100"/>
      <c r="X1568" s="100"/>
      <c r="Y1568" s="100"/>
      <c r="Z1568" s="100"/>
      <c r="AA1568" s="100"/>
      <c r="AB1568" s="100"/>
      <c r="AC1568" s="100"/>
      <c r="AD1568" s="100"/>
      <c r="AF1568"/>
      <c r="AK1568">
        <f t="shared" si="924"/>
        <v>0</v>
      </c>
      <c r="AL1568">
        <f t="shared" si="925"/>
        <v>0</v>
      </c>
      <c r="AM1568">
        <f t="shared" si="926"/>
        <v>0</v>
      </c>
      <c r="AN1568">
        <f t="shared" si="927"/>
        <v>0</v>
      </c>
      <c r="AO1568">
        <f t="shared" si="928"/>
        <v>0</v>
      </c>
      <c r="AP1568">
        <f t="shared" si="929"/>
        <v>0</v>
      </c>
      <c r="AQ1568">
        <f t="shared" si="930"/>
        <v>0</v>
      </c>
      <c r="AR1568">
        <f t="shared" si="931"/>
        <v>0</v>
      </c>
      <c r="AS1568">
        <f t="shared" si="932"/>
        <v>0</v>
      </c>
    </row>
    <row r="1569" spans="1:45" ht="15" customHeight="1">
      <c r="A1569" s="103"/>
      <c r="B1569" s="57"/>
      <c r="C1569" s="1109"/>
      <c r="D1569" s="954"/>
      <c r="E1569" s="955"/>
      <c r="F1569" s="956"/>
      <c r="G1569" s="1119" t="s">
        <v>5026</v>
      </c>
      <c r="H1569" s="1120"/>
      <c r="I1569" s="178"/>
      <c r="J1569" s="1111" t="s">
        <v>5027</v>
      </c>
      <c r="K1569" s="1111"/>
      <c r="L1569" s="1111"/>
      <c r="M1569" s="1111"/>
      <c r="N1569" s="1111"/>
      <c r="O1569" s="1111"/>
      <c r="P1569" s="1111"/>
      <c r="Q1569" s="1111"/>
      <c r="R1569" s="1111"/>
      <c r="S1569" s="1111"/>
      <c r="T1569" s="1111"/>
      <c r="U1569" s="1112"/>
      <c r="V1569" s="100"/>
      <c r="W1569" s="100"/>
      <c r="X1569" s="100"/>
      <c r="Y1569" s="100"/>
      <c r="Z1569" s="100"/>
      <c r="AA1569" s="100"/>
      <c r="AB1569" s="100"/>
      <c r="AC1569" s="100"/>
      <c r="AD1569" s="100"/>
      <c r="AF1569"/>
      <c r="AK1569">
        <f t="shared" si="924"/>
        <v>0</v>
      </c>
      <c r="AL1569">
        <f t="shared" si="925"/>
        <v>0</v>
      </c>
      <c r="AM1569">
        <f t="shared" si="926"/>
        <v>0</v>
      </c>
      <c r="AN1569">
        <f t="shared" si="927"/>
        <v>0</v>
      </c>
      <c r="AO1569">
        <f t="shared" si="928"/>
        <v>0</v>
      </c>
      <c r="AP1569">
        <f t="shared" si="929"/>
        <v>0</v>
      </c>
      <c r="AQ1569">
        <f t="shared" si="930"/>
        <v>0</v>
      </c>
      <c r="AR1569">
        <f t="shared" si="931"/>
        <v>0</v>
      </c>
      <c r="AS1569">
        <f t="shared" si="932"/>
        <v>0</v>
      </c>
    </row>
    <row r="1570" spans="1:45" ht="15" customHeight="1">
      <c r="A1570" s="103"/>
      <c r="B1570" s="57"/>
      <c r="C1570" s="1109"/>
      <c r="D1570" s="954"/>
      <c r="E1570" s="955"/>
      <c r="F1570" s="956"/>
      <c r="G1570" s="1119" t="s">
        <v>5028</v>
      </c>
      <c r="H1570" s="1120"/>
      <c r="I1570" s="178"/>
      <c r="J1570" s="1111" t="s">
        <v>5029</v>
      </c>
      <c r="K1570" s="1111"/>
      <c r="L1570" s="1111"/>
      <c r="M1570" s="1111"/>
      <c r="N1570" s="1111"/>
      <c r="O1570" s="1111"/>
      <c r="P1570" s="1111"/>
      <c r="Q1570" s="1111"/>
      <c r="R1570" s="1111"/>
      <c r="S1570" s="1111"/>
      <c r="T1570" s="1111"/>
      <c r="U1570" s="1112"/>
      <c r="V1570" s="100"/>
      <c r="W1570" s="100"/>
      <c r="X1570" s="100"/>
      <c r="Y1570" s="100"/>
      <c r="Z1570" s="100"/>
      <c r="AA1570" s="100"/>
      <c r="AB1570" s="100"/>
      <c r="AC1570" s="100"/>
      <c r="AD1570" s="100"/>
      <c r="AF1570"/>
      <c r="AK1570">
        <f t="shared" si="924"/>
        <v>0</v>
      </c>
      <c r="AL1570">
        <f t="shared" si="925"/>
        <v>0</v>
      </c>
      <c r="AM1570">
        <f t="shared" si="926"/>
        <v>0</v>
      </c>
      <c r="AN1570">
        <f t="shared" si="927"/>
        <v>0</v>
      </c>
      <c r="AO1570">
        <f t="shared" si="928"/>
        <v>0</v>
      </c>
      <c r="AP1570">
        <f t="shared" si="929"/>
        <v>0</v>
      </c>
      <c r="AQ1570">
        <f t="shared" si="930"/>
        <v>0</v>
      </c>
      <c r="AR1570">
        <f t="shared" si="931"/>
        <v>0</v>
      </c>
      <c r="AS1570">
        <f t="shared" si="932"/>
        <v>0</v>
      </c>
    </row>
    <row r="1571" spans="1:45" ht="15" customHeight="1">
      <c r="A1571" s="103"/>
      <c r="B1571" s="57"/>
      <c r="C1571" s="1109"/>
      <c r="D1571" s="954"/>
      <c r="E1571" s="955"/>
      <c r="F1571" s="956"/>
      <c r="G1571" s="1119" t="s">
        <v>5030</v>
      </c>
      <c r="H1571" s="1120"/>
      <c r="I1571" s="178"/>
      <c r="J1571" s="1111" t="s">
        <v>5031</v>
      </c>
      <c r="K1571" s="1111"/>
      <c r="L1571" s="1111"/>
      <c r="M1571" s="1111"/>
      <c r="N1571" s="1111"/>
      <c r="O1571" s="1111"/>
      <c r="P1571" s="1111"/>
      <c r="Q1571" s="1111"/>
      <c r="R1571" s="1111"/>
      <c r="S1571" s="1111"/>
      <c r="T1571" s="1111"/>
      <c r="U1571" s="1112"/>
      <c r="V1571" s="100"/>
      <c r="W1571" s="100"/>
      <c r="X1571" s="100"/>
      <c r="Y1571" s="100"/>
      <c r="Z1571" s="100"/>
      <c r="AA1571" s="100"/>
      <c r="AB1571" s="100"/>
      <c r="AC1571" s="100"/>
      <c r="AD1571" s="100"/>
      <c r="AF1571"/>
      <c r="AK1571">
        <f t="shared" si="924"/>
        <v>0</v>
      </c>
      <c r="AL1571">
        <f t="shared" si="925"/>
        <v>0</v>
      </c>
      <c r="AM1571">
        <f t="shared" si="926"/>
        <v>0</v>
      </c>
      <c r="AN1571">
        <f t="shared" si="927"/>
        <v>0</v>
      </c>
      <c r="AO1571">
        <f t="shared" si="928"/>
        <v>0</v>
      </c>
      <c r="AP1571">
        <f t="shared" si="929"/>
        <v>0</v>
      </c>
      <c r="AQ1571">
        <f t="shared" si="930"/>
        <v>0</v>
      </c>
      <c r="AR1571">
        <f t="shared" si="931"/>
        <v>0</v>
      </c>
      <c r="AS1571">
        <f t="shared" si="932"/>
        <v>0</v>
      </c>
    </row>
    <row r="1572" spans="1:45" ht="15" customHeight="1">
      <c r="A1572" s="103"/>
      <c r="B1572" s="57"/>
      <c r="C1572" s="1109"/>
      <c r="D1572" s="954"/>
      <c r="E1572" s="955"/>
      <c r="F1572" s="956"/>
      <c r="G1572" s="1119" t="s">
        <v>5032</v>
      </c>
      <c r="H1572" s="1120"/>
      <c r="I1572" s="178"/>
      <c r="J1572" s="1111" t="s">
        <v>5033</v>
      </c>
      <c r="K1572" s="1111"/>
      <c r="L1572" s="1111"/>
      <c r="M1572" s="1111"/>
      <c r="N1572" s="1111"/>
      <c r="O1572" s="1111"/>
      <c r="P1572" s="1111"/>
      <c r="Q1572" s="1111"/>
      <c r="R1572" s="1111"/>
      <c r="S1572" s="1111"/>
      <c r="T1572" s="1111"/>
      <c r="U1572" s="1112"/>
      <c r="V1572" s="100"/>
      <c r="W1572" s="100"/>
      <c r="X1572" s="100"/>
      <c r="Y1572" s="100"/>
      <c r="Z1572" s="100"/>
      <c r="AA1572" s="100"/>
      <c r="AB1572" s="100"/>
      <c r="AC1572" s="100"/>
      <c r="AD1572" s="100"/>
      <c r="AF1572"/>
      <c r="AK1572">
        <f t="shared" si="924"/>
        <v>0</v>
      </c>
      <c r="AL1572">
        <f t="shared" si="925"/>
        <v>0</v>
      </c>
      <c r="AM1572">
        <f t="shared" si="926"/>
        <v>0</v>
      </c>
      <c r="AN1572">
        <f t="shared" si="927"/>
        <v>0</v>
      </c>
      <c r="AO1572">
        <f t="shared" si="928"/>
        <v>0</v>
      </c>
      <c r="AP1572">
        <f t="shared" si="929"/>
        <v>0</v>
      </c>
      <c r="AQ1572">
        <f t="shared" si="930"/>
        <v>0</v>
      </c>
      <c r="AR1572">
        <f t="shared" si="931"/>
        <v>0</v>
      </c>
      <c r="AS1572">
        <f t="shared" si="932"/>
        <v>0</v>
      </c>
    </row>
    <row r="1573" spans="1:45" ht="15" customHeight="1">
      <c r="A1573" s="103"/>
      <c r="B1573" s="57"/>
      <c r="C1573" s="1109"/>
      <c r="D1573" s="954"/>
      <c r="E1573" s="955"/>
      <c r="F1573" s="956"/>
      <c r="G1573" s="1119" t="s">
        <v>5034</v>
      </c>
      <c r="H1573" s="1120"/>
      <c r="I1573" s="178"/>
      <c r="J1573" s="1111" t="s">
        <v>5035</v>
      </c>
      <c r="K1573" s="1111"/>
      <c r="L1573" s="1111"/>
      <c r="M1573" s="1111"/>
      <c r="N1573" s="1111"/>
      <c r="O1573" s="1111"/>
      <c r="P1573" s="1111"/>
      <c r="Q1573" s="1111"/>
      <c r="R1573" s="1111"/>
      <c r="S1573" s="1111"/>
      <c r="T1573" s="1111"/>
      <c r="U1573" s="1112"/>
      <c r="V1573" s="100"/>
      <c r="W1573" s="100"/>
      <c r="X1573" s="100"/>
      <c r="Y1573" s="100"/>
      <c r="Z1573" s="100"/>
      <c r="AA1573" s="100"/>
      <c r="AB1573" s="100"/>
      <c r="AC1573" s="100"/>
      <c r="AD1573" s="100"/>
      <c r="AF1573"/>
      <c r="AK1573">
        <f t="shared" si="924"/>
        <v>0</v>
      </c>
      <c r="AL1573">
        <f t="shared" si="925"/>
        <v>0</v>
      </c>
      <c r="AM1573">
        <f t="shared" si="926"/>
        <v>0</v>
      </c>
      <c r="AN1573">
        <f t="shared" si="927"/>
        <v>0</v>
      </c>
      <c r="AO1573">
        <f t="shared" si="928"/>
        <v>0</v>
      </c>
      <c r="AP1573">
        <f t="shared" si="929"/>
        <v>0</v>
      </c>
      <c r="AQ1573">
        <f t="shared" si="930"/>
        <v>0</v>
      </c>
      <c r="AR1573">
        <f t="shared" si="931"/>
        <v>0</v>
      </c>
      <c r="AS1573">
        <f t="shared" si="932"/>
        <v>0</v>
      </c>
    </row>
    <row r="1574" spans="1:45" ht="15" customHeight="1">
      <c r="A1574" s="103"/>
      <c r="B1574" s="57"/>
      <c r="C1574" s="1109"/>
      <c r="D1574" s="954"/>
      <c r="E1574" s="955"/>
      <c r="F1574" s="956"/>
      <c r="G1574" s="1119" t="s">
        <v>5036</v>
      </c>
      <c r="H1574" s="1120"/>
      <c r="I1574" s="178"/>
      <c r="J1574" s="1111" t="s">
        <v>5037</v>
      </c>
      <c r="K1574" s="1111"/>
      <c r="L1574" s="1111"/>
      <c r="M1574" s="1111"/>
      <c r="N1574" s="1111"/>
      <c r="O1574" s="1111"/>
      <c r="P1574" s="1111"/>
      <c r="Q1574" s="1111"/>
      <c r="R1574" s="1111"/>
      <c r="S1574" s="1111"/>
      <c r="T1574" s="1111"/>
      <c r="U1574" s="1112"/>
      <c r="V1574" s="100"/>
      <c r="W1574" s="100"/>
      <c r="X1574" s="100"/>
      <c r="Y1574" s="100"/>
      <c r="Z1574" s="100"/>
      <c r="AA1574" s="100"/>
      <c r="AB1574" s="100"/>
      <c r="AC1574" s="100"/>
      <c r="AD1574" s="100"/>
      <c r="AF1574"/>
      <c r="AK1574">
        <f t="shared" si="924"/>
        <v>0</v>
      </c>
      <c r="AL1574">
        <f t="shared" si="925"/>
        <v>0</v>
      </c>
      <c r="AM1574">
        <f t="shared" si="926"/>
        <v>0</v>
      </c>
      <c r="AN1574">
        <f t="shared" si="927"/>
        <v>0</v>
      </c>
      <c r="AO1574">
        <f t="shared" si="928"/>
        <v>0</v>
      </c>
      <c r="AP1574">
        <f t="shared" si="929"/>
        <v>0</v>
      </c>
      <c r="AQ1574">
        <f t="shared" si="930"/>
        <v>0</v>
      </c>
      <c r="AR1574">
        <f t="shared" si="931"/>
        <v>0</v>
      </c>
      <c r="AS1574">
        <f t="shared" si="932"/>
        <v>0</v>
      </c>
    </row>
    <row r="1575" spans="1:45" ht="15" customHeight="1">
      <c r="A1575" s="103"/>
      <c r="B1575" s="57"/>
      <c r="C1575" s="1109"/>
      <c r="D1575" s="954"/>
      <c r="E1575" s="955"/>
      <c r="F1575" s="956"/>
      <c r="G1575" s="1119" t="s">
        <v>5038</v>
      </c>
      <c r="H1575" s="1120"/>
      <c r="I1575" s="178"/>
      <c r="J1575" s="1111" t="s">
        <v>5039</v>
      </c>
      <c r="K1575" s="1111"/>
      <c r="L1575" s="1111"/>
      <c r="M1575" s="1111"/>
      <c r="N1575" s="1111"/>
      <c r="O1575" s="1111"/>
      <c r="P1575" s="1111"/>
      <c r="Q1575" s="1111"/>
      <c r="R1575" s="1111"/>
      <c r="S1575" s="1111"/>
      <c r="T1575" s="1111"/>
      <c r="U1575" s="1112"/>
      <c r="V1575" s="100"/>
      <c r="W1575" s="100"/>
      <c r="X1575" s="100"/>
      <c r="Y1575" s="100"/>
      <c r="Z1575" s="100"/>
      <c r="AA1575" s="100"/>
      <c r="AB1575" s="100"/>
      <c r="AC1575" s="100"/>
      <c r="AD1575" s="100"/>
      <c r="AF1575"/>
      <c r="AK1575">
        <f t="shared" si="924"/>
        <v>0</v>
      </c>
      <c r="AL1575">
        <f t="shared" si="925"/>
        <v>0</v>
      </c>
      <c r="AM1575">
        <f t="shared" si="926"/>
        <v>0</v>
      </c>
      <c r="AN1575">
        <f t="shared" si="927"/>
        <v>0</v>
      </c>
      <c r="AO1575">
        <f t="shared" si="928"/>
        <v>0</v>
      </c>
      <c r="AP1575">
        <f t="shared" si="929"/>
        <v>0</v>
      </c>
      <c r="AQ1575">
        <f t="shared" si="930"/>
        <v>0</v>
      </c>
      <c r="AR1575">
        <f t="shared" si="931"/>
        <v>0</v>
      </c>
      <c r="AS1575">
        <f t="shared" si="932"/>
        <v>0</v>
      </c>
    </row>
    <row r="1576" spans="1:45" ht="15" customHeight="1">
      <c r="A1576" s="103"/>
      <c r="B1576" s="57"/>
      <c r="C1576" s="1109"/>
      <c r="D1576" s="954"/>
      <c r="E1576" s="955"/>
      <c r="F1576" s="956"/>
      <c r="G1576" s="1119" t="s">
        <v>5040</v>
      </c>
      <c r="H1576" s="1120"/>
      <c r="I1576" s="179"/>
      <c r="J1576" s="1113" t="s">
        <v>201</v>
      </c>
      <c r="K1576" s="1113"/>
      <c r="L1576" s="1113"/>
      <c r="M1576" s="1113"/>
      <c r="N1576" s="1113"/>
      <c r="O1576" s="1113"/>
      <c r="P1576" s="1113"/>
      <c r="Q1576" s="1113"/>
      <c r="R1576" s="1113"/>
      <c r="S1576" s="1113"/>
      <c r="T1576" s="1113"/>
      <c r="U1576" s="1114"/>
      <c r="V1576" s="100"/>
      <c r="W1576" s="100"/>
      <c r="X1576" s="100"/>
      <c r="Y1576" s="100"/>
      <c r="Z1576" s="100"/>
      <c r="AA1576" s="100"/>
      <c r="AB1576" s="100"/>
      <c r="AC1576" s="100"/>
      <c r="AD1576" s="100"/>
      <c r="AF1576"/>
      <c r="AK1576">
        <f t="shared" si="924"/>
        <v>0</v>
      </c>
      <c r="AL1576">
        <f t="shared" si="925"/>
        <v>0</v>
      </c>
      <c r="AM1576">
        <f t="shared" si="926"/>
        <v>0</v>
      </c>
      <c r="AN1576">
        <f t="shared" si="927"/>
        <v>0</v>
      </c>
      <c r="AO1576">
        <f t="shared" si="928"/>
        <v>0</v>
      </c>
      <c r="AP1576">
        <f t="shared" si="929"/>
        <v>0</v>
      </c>
      <c r="AQ1576">
        <f t="shared" si="930"/>
        <v>0</v>
      </c>
      <c r="AR1576">
        <f t="shared" si="931"/>
        <v>0</v>
      </c>
      <c r="AS1576">
        <f t="shared" si="932"/>
        <v>0</v>
      </c>
    </row>
    <row r="1577" spans="1:45" ht="15" customHeight="1">
      <c r="A1577" s="103"/>
      <c r="B1577" s="57"/>
      <c r="C1577" s="1109"/>
      <c r="D1577" s="954"/>
      <c r="E1577" s="955"/>
      <c r="F1577" s="956"/>
      <c r="G1577" s="1117" t="s">
        <v>5041</v>
      </c>
      <c r="H1577" s="1118"/>
      <c r="I1577" s="1104" t="s">
        <v>5042</v>
      </c>
      <c r="J1577" s="1105"/>
      <c r="K1577" s="1105"/>
      <c r="L1577" s="1105"/>
      <c r="M1577" s="1105"/>
      <c r="N1577" s="1105"/>
      <c r="O1577" s="1105"/>
      <c r="P1577" s="1105"/>
      <c r="Q1577" s="1105"/>
      <c r="R1577" s="1105"/>
      <c r="S1577" s="1105"/>
      <c r="T1577" s="1105"/>
      <c r="U1577" s="1106"/>
      <c r="V1577" s="100"/>
      <c r="W1577" s="100"/>
      <c r="X1577" s="100"/>
      <c r="Y1577" s="100"/>
      <c r="Z1577" s="100"/>
      <c r="AA1577" s="100"/>
      <c r="AB1577" s="100"/>
      <c r="AC1577" s="100"/>
      <c r="AD1577" s="100"/>
      <c r="AF1577"/>
      <c r="AK1577">
        <f t="shared" si="924"/>
        <v>0</v>
      </c>
      <c r="AL1577">
        <f t="shared" si="925"/>
        <v>0</v>
      </c>
      <c r="AM1577">
        <f t="shared" si="926"/>
        <v>0</v>
      </c>
      <c r="AN1577">
        <f t="shared" si="927"/>
        <v>0</v>
      </c>
      <c r="AO1577">
        <f t="shared" si="928"/>
        <v>0</v>
      </c>
      <c r="AP1577">
        <f t="shared" si="929"/>
        <v>0</v>
      </c>
      <c r="AQ1577">
        <f t="shared" si="930"/>
        <v>0</v>
      </c>
      <c r="AR1577">
        <f t="shared" si="931"/>
        <v>0</v>
      </c>
      <c r="AS1577">
        <f t="shared" si="932"/>
        <v>0</v>
      </c>
    </row>
    <row r="1578" spans="1:45" ht="15" customHeight="1">
      <c r="A1578" s="103"/>
      <c r="B1578" s="57"/>
      <c r="C1578" s="1109"/>
      <c r="D1578" s="954"/>
      <c r="E1578" s="955"/>
      <c r="F1578" s="956"/>
      <c r="G1578" s="1119" t="s">
        <v>5043</v>
      </c>
      <c r="H1578" s="1120"/>
      <c r="I1578" s="177"/>
      <c r="J1578" s="1115" t="s">
        <v>5044</v>
      </c>
      <c r="K1578" s="1115"/>
      <c r="L1578" s="1115"/>
      <c r="M1578" s="1115"/>
      <c r="N1578" s="1115"/>
      <c r="O1578" s="1115"/>
      <c r="P1578" s="1115"/>
      <c r="Q1578" s="1115"/>
      <c r="R1578" s="1115"/>
      <c r="S1578" s="1115"/>
      <c r="T1578" s="1115"/>
      <c r="U1578" s="1116"/>
      <c r="V1578" s="100"/>
      <c r="W1578" s="100"/>
      <c r="X1578" s="100"/>
      <c r="Y1578" s="100"/>
      <c r="Z1578" s="100"/>
      <c r="AA1578" s="100"/>
      <c r="AB1578" s="100"/>
      <c r="AC1578" s="100"/>
      <c r="AD1578" s="100"/>
      <c r="AF1578"/>
      <c r="AK1578">
        <f t="shared" si="924"/>
        <v>0</v>
      </c>
      <c r="AL1578">
        <f t="shared" si="925"/>
        <v>0</v>
      </c>
      <c r="AM1578">
        <f t="shared" si="926"/>
        <v>0</v>
      </c>
      <c r="AN1578">
        <f t="shared" si="927"/>
        <v>0</v>
      </c>
      <c r="AO1578">
        <f t="shared" si="928"/>
        <v>0</v>
      </c>
      <c r="AP1578">
        <f t="shared" si="929"/>
        <v>0</v>
      </c>
      <c r="AQ1578">
        <f t="shared" si="930"/>
        <v>0</v>
      </c>
      <c r="AR1578">
        <f t="shared" si="931"/>
        <v>0</v>
      </c>
      <c r="AS1578">
        <f t="shared" si="932"/>
        <v>0</v>
      </c>
    </row>
    <row r="1579" spans="1:45" ht="15" customHeight="1">
      <c r="A1579" s="103"/>
      <c r="B1579" s="57"/>
      <c r="C1579" s="1109"/>
      <c r="D1579" s="954"/>
      <c r="E1579" s="955"/>
      <c r="F1579" s="956"/>
      <c r="G1579" s="1119" t="s">
        <v>5045</v>
      </c>
      <c r="H1579" s="1120"/>
      <c r="I1579" s="178"/>
      <c r="J1579" s="1111" t="s">
        <v>5046</v>
      </c>
      <c r="K1579" s="1111"/>
      <c r="L1579" s="1111"/>
      <c r="M1579" s="1111"/>
      <c r="N1579" s="1111"/>
      <c r="O1579" s="1111"/>
      <c r="P1579" s="1111"/>
      <c r="Q1579" s="1111"/>
      <c r="R1579" s="1111"/>
      <c r="S1579" s="1111"/>
      <c r="T1579" s="1111"/>
      <c r="U1579" s="1112"/>
      <c r="V1579" s="100"/>
      <c r="W1579" s="100"/>
      <c r="X1579" s="100"/>
      <c r="Y1579" s="100"/>
      <c r="Z1579" s="100"/>
      <c r="AA1579" s="100"/>
      <c r="AB1579" s="100"/>
      <c r="AC1579" s="100"/>
      <c r="AD1579" s="100"/>
      <c r="AF1579"/>
      <c r="AK1579">
        <f t="shared" si="924"/>
        <v>0</v>
      </c>
      <c r="AL1579">
        <f t="shared" si="925"/>
        <v>0</v>
      </c>
      <c r="AM1579">
        <f t="shared" si="926"/>
        <v>0</v>
      </c>
      <c r="AN1579">
        <f t="shared" si="927"/>
        <v>0</v>
      </c>
      <c r="AO1579">
        <f t="shared" si="928"/>
        <v>0</v>
      </c>
      <c r="AP1579">
        <f t="shared" si="929"/>
        <v>0</v>
      </c>
      <c r="AQ1579">
        <f t="shared" si="930"/>
        <v>0</v>
      </c>
      <c r="AR1579">
        <f t="shared" si="931"/>
        <v>0</v>
      </c>
      <c r="AS1579">
        <f t="shared" si="932"/>
        <v>0</v>
      </c>
    </row>
    <row r="1580" spans="1:45" ht="15" customHeight="1">
      <c r="A1580" s="103"/>
      <c r="B1580" s="57"/>
      <c r="C1580" s="1109"/>
      <c r="D1580" s="954"/>
      <c r="E1580" s="955"/>
      <c r="F1580" s="956"/>
      <c r="G1580" s="1119" t="s">
        <v>5047</v>
      </c>
      <c r="H1580" s="1120"/>
      <c r="I1580" s="179"/>
      <c r="J1580" s="1113" t="s">
        <v>201</v>
      </c>
      <c r="K1580" s="1113"/>
      <c r="L1580" s="1113"/>
      <c r="M1580" s="1113"/>
      <c r="N1580" s="1113"/>
      <c r="O1580" s="1113"/>
      <c r="P1580" s="1113"/>
      <c r="Q1580" s="1113"/>
      <c r="R1580" s="1113"/>
      <c r="S1580" s="1113"/>
      <c r="T1580" s="1113"/>
      <c r="U1580" s="1114"/>
      <c r="V1580" s="100"/>
      <c r="W1580" s="100"/>
      <c r="X1580" s="100"/>
      <c r="Y1580" s="100"/>
      <c r="Z1580" s="100"/>
      <c r="AA1580" s="100"/>
      <c r="AB1580" s="100"/>
      <c r="AC1580" s="100"/>
      <c r="AD1580" s="100"/>
      <c r="AF1580"/>
      <c r="AK1580">
        <f t="shared" si="924"/>
        <v>0</v>
      </c>
      <c r="AL1580">
        <f t="shared" si="925"/>
        <v>0</v>
      </c>
      <c r="AM1580">
        <f t="shared" si="926"/>
        <v>0</v>
      </c>
      <c r="AN1580">
        <f t="shared" si="927"/>
        <v>0</v>
      </c>
      <c r="AO1580">
        <f t="shared" si="928"/>
        <v>0</v>
      </c>
      <c r="AP1580">
        <f t="shared" si="929"/>
        <v>0</v>
      </c>
      <c r="AQ1580">
        <f t="shared" si="930"/>
        <v>0</v>
      </c>
      <c r="AR1580">
        <f t="shared" si="931"/>
        <v>0</v>
      </c>
      <c r="AS1580">
        <f t="shared" si="932"/>
        <v>0</v>
      </c>
    </row>
    <row r="1581" spans="1:45" ht="15" customHeight="1">
      <c r="A1581" s="103"/>
      <c r="B1581" s="57"/>
      <c r="C1581" s="1109"/>
      <c r="D1581" s="954"/>
      <c r="E1581" s="955"/>
      <c r="F1581" s="956"/>
      <c r="G1581" s="1117" t="s">
        <v>5048</v>
      </c>
      <c r="H1581" s="1118"/>
      <c r="I1581" s="1104" t="s">
        <v>5049</v>
      </c>
      <c r="J1581" s="1105"/>
      <c r="K1581" s="1105"/>
      <c r="L1581" s="1105"/>
      <c r="M1581" s="1105"/>
      <c r="N1581" s="1105"/>
      <c r="O1581" s="1105"/>
      <c r="P1581" s="1105"/>
      <c r="Q1581" s="1105"/>
      <c r="R1581" s="1105"/>
      <c r="S1581" s="1105"/>
      <c r="T1581" s="1105"/>
      <c r="U1581" s="1106"/>
      <c r="V1581" s="100"/>
      <c r="W1581" s="100"/>
      <c r="X1581" s="100"/>
      <c r="Y1581" s="100"/>
      <c r="Z1581" s="100"/>
      <c r="AA1581" s="100"/>
      <c r="AB1581" s="100"/>
      <c r="AC1581" s="100"/>
      <c r="AD1581" s="100"/>
      <c r="AF1581"/>
      <c r="AK1581">
        <f t="shared" ref="AK1581:AK1617" si="933">COUNTIF(W1581:X1581,"NS")</f>
        <v>0</v>
      </c>
      <c r="AL1581">
        <f t="shared" ref="AL1581:AL1617" si="934">SUM(W1581:X1581)</f>
        <v>0</v>
      </c>
      <c r="AM1581">
        <f t="shared" ref="AM1581:AM1617" si="935">IF(COUNTIF(V1581:X1581,"NA")=3,0,IF(COUNTA(V1581:X1581)=0,0,IF(OR(AND(V1581=0,AK1581&gt;0),AND(V1581="ns",AL1581&gt;0),AND(V1581="ns",AK1581=0,AL1581=0)),1,IF(OR(AND(V1581&gt;0,AK1581=2),AND(V1581="ns",AK1581=2),AND(V1581="ns",AL1581=0,AK1581&gt;0),V1581=AL1581),0,1))))</f>
        <v>0</v>
      </c>
      <c r="AN1581">
        <f t="shared" ref="AN1581:AN1617" si="936">COUNTIF(Z1581:AA1581,"NS")</f>
        <v>0</v>
      </c>
      <c r="AO1581">
        <f t="shared" ref="AO1581:AO1617" si="937">SUM(Z1581:AA1581)</f>
        <v>0</v>
      </c>
      <c r="AP1581">
        <f t="shared" ref="AP1581:AP1617" si="938">IF(COUNTIF(Y1581:AA1581,"NA")=3,0,IF(COUNTA(Y1581:AA1581)=0,0,IF(OR(AND(Y1581=0,AN1581&gt;0),AND(Y1581="ns",AO1581&gt;0),AND(Y1581="ns",AN1581=0,AO1581=0)),1,IF(OR(AND(Y1581&gt;0,AN1581=2),AND(Y1581="ns",AN1581=2),AND(Y1581="ns",AO1581=0,AN1581&gt;0),Y1581=AO1581),0,1))))</f>
        <v>0</v>
      </c>
      <c r="AQ1581">
        <f t="shared" ref="AQ1581:AQ1617" si="939">COUNTIF(AC1581:AD1581,"NS")</f>
        <v>0</v>
      </c>
      <c r="AR1581">
        <f t="shared" ref="AR1581:AR1617" si="940">SUM(AC1581:AD1581)</f>
        <v>0</v>
      </c>
      <c r="AS1581">
        <f t="shared" ref="AS1581:AS1617" si="941">IF(COUNTIF(AB1581:AD1581,"NA")=3,0,IF(COUNTA(AB1581:AD1581)=0,0,IF(OR(AND(AB1581=0,AQ1581&gt;0),AND(AB1581="ns",AR1581&gt;0),AND(AB1581="ns",AQ1581=0,AR1581=0)),1,IF(OR(AND(AB1581&gt;0,AQ1581=2),AND(AB1581="ns",AQ1581=2),AND(AB1581="ns",AR1581=0,AQ1581&gt;0),AB1581=AR1581),0,1))))</f>
        <v>0</v>
      </c>
    </row>
    <row r="1582" spans="1:45" ht="15" customHeight="1">
      <c r="A1582" s="103"/>
      <c r="B1582" s="57"/>
      <c r="C1582" s="1109"/>
      <c r="D1582" s="954"/>
      <c r="E1582" s="955"/>
      <c r="F1582" s="956"/>
      <c r="G1582" s="1117" t="s">
        <v>5050</v>
      </c>
      <c r="H1582" s="1118"/>
      <c r="I1582" s="1104" t="s">
        <v>5051</v>
      </c>
      <c r="J1582" s="1105"/>
      <c r="K1582" s="1105"/>
      <c r="L1582" s="1105"/>
      <c r="M1582" s="1105"/>
      <c r="N1582" s="1105"/>
      <c r="O1582" s="1105"/>
      <c r="P1582" s="1105"/>
      <c r="Q1582" s="1105"/>
      <c r="R1582" s="1105"/>
      <c r="S1582" s="1105"/>
      <c r="T1582" s="1105"/>
      <c r="U1582" s="1106"/>
      <c r="V1582" s="100"/>
      <c r="W1582" s="100"/>
      <c r="X1582" s="100"/>
      <c r="Y1582" s="100"/>
      <c r="Z1582" s="100"/>
      <c r="AA1582" s="100"/>
      <c r="AB1582" s="100"/>
      <c r="AC1582" s="100"/>
      <c r="AD1582" s="100"/>
      <c r="AF1582"/>
      <c r="AK1582">
        <f t="shared" si="933"/>
        <v>0</v>
      </c>
      <c r="AL1582">
        <f t="shared" si="934"/>
        <v>0</v>
      </c>
      <c r="AM1582">
        <f t="shared" si="935"/>
        <v>0</v>
      </c>
      <c r="AN1582">
        <f t="shared" si="936"/>
        <v>0</v>
      </c>
      <c r="AO1582">
        <f t="shared" si="937"/>
        <v>0</v>
      </c>
      <c r="AP1582">
        <f t="shared" si="938"/>
        <v>0</v>
      </c>
      <c r="AQ1582">
        <f t="shared" si="939"/>
        <v>0</v>
      </c>
      <c r="AR1582">
        <f t="shared" si="940"/>
        <v>0</v>
      </c>
      <c r="AS1582">
        <f t="shared" si="941"/>
        <v>0</v>
      </c>
    </row>
    <row r="1583" spans="1:45" ht="15" customHeight="1">
      <c r="A1583" s="103"/>
      <c r="B1583" s="57"/>
      <c r="C1583" s="1109"/>
      <c r="D1583" s="954"/>
      <c r="E1583" s="955"/>
      <c r="F1583" s="956"/>
      <c r="G1583" s="1117" t="s">
        <v>5052</v>
      </c>
      <c r="H1583" s="1118"/>
      <c r="I1583" s="1104" t="s">
        <v>5053</v>
      </c>
      <c r="J1583" s="1105"/>
      <c r="K1583" s="1105"/>
      <c r="L1583" s="1105"/>
      <c r="M1583" s="1105"/>
      <c r="N1583" s="1105"/>
      <c r="O1583" s="1105"/>
      <c r="P1583" s="1105"/>
      <c r="Q1583" s="1105"/>
      <c r="R1583" s="1105"/>
      <c r="S1583" s="1105"/>
      <c r="T1583" s="1105"/>
      <c r="U1583" s="1106"/>
      <c r="V1583" s="100"/>
      <c r="W1583" s="100"/>
      <c r="X1583" s="100"/>
      <c r="Y1583" s="100"/>
      <c r="Z1583" s="100"/>
      <c r="AA1583" s="100"/>
      <c r="AB1583" s="100"/>
      <c r="AC1583" s="100"/>
      <c r="AD1583" s="100"/>
      <c r="AF1583"/>
      <c r="AK1583">
        <f t="shared" si="933"/>
        <v>0</v>
      </c>
      <c r="AL1583">
        <f t="shared" si="934"/>
        <v>0</v>
      </c>
      <c r="AM1583">
        <f t="shared" si="935"/>
        <v>0</v>
      </c>
      <c r="AN1583">
        <f t="shared" si="936"/>
        <v>0</v>
      </c>
      <c r="AO1583">
        <f t="shared" si="937"/>
        <v>0</v>
      </c>
      <c r="AP1583">
        <f t="shared" si="938"/>
        <v>0</v>
      </c>
      <c r="AQ1583">
        <f t="shared" si="939"/>
        <v>0</v>
      </c>
      <c r="AR1583">
        <f t="shared" si="940"/>
        <v>0</v>
      </c>
      <c r="AS1583">
        <f t="shared" si="941"/>
        <v>0</v>
      </c>
    </row>
    <row r="1584" spans="1:45" ht="15" customHeight="1">
      <c r="A1584" s="103"/>
      <c r="B1584" s="57"/>
      <c r="C1584" s="1108" t="s">
        <v>5054</v>
      </c>
      <c r="D1584" s="847" t="s">
        <v>5055</v>
      </c>
      <c r="E1584" s="953"/>
      <c r="F1584" s="848"/>
      <c r="G1584" s="1117" t="s">
        <v>5056</v>
      </c>
      <c r="H1584" s="1118"/>
      <c r="I1584" s="1104" t="s">
        <v>5057</v>
      </c>
      <c r="J1584" s="1105"/>
      <c r="K1584" s="1105"/>
      <c r="L1584" s="1105"/>
      <c r="M1584" s="1105"/>
      <c r="N1584" s="1105"/>
      <c r="O1584" s="1105"/>
      <c r="P1584" s="1105"/>
      <c r="Q1584" s="1105"/>
      <c r="R1584" s="1105"/>
      <c r="S1584" s="1105"/>
      <c r="T1584" s="1105"/>
      <c r="U1584" s="1106"/>
      <c r="V1584" s="100"/>
      <c r="W1584" s="100"/>
      <c r="X1584" s="100"/>
      <c r="Y1584" s="100"/>
      <c r="Z1584" s="100"/>
      <c r="AA1584" s="100"/>
      <c r="AB1584" s="100"/>
      <c r="AC1584" s="100"/>
      <c r="AD1584" s="100"/>
      <c r="AF1584"/>
      <c r="AK1584">
        <f t="shared" si="933"/>
        <v>0</v>
      </c>
      <c r="AL1584">
        <f t="shared" si="934"/>
        <v>0</v>
      </c>
      <c r="AM1584">
        <f t="shared" si="935"/>
        <v>0</v>
      </c>
      <c r="AN1584">
        <f t="shared" si="936"/>
        <v>0</v>
      </c>
      <c r="AO1584">
        <f t="shared" si="937"/>
        <v>0</v>
      </c>
      <c r="AP1584">
        <f t="shared" si="938"/>
        <v>0</v>
      </c>
      <c r="AQ1584">
        <f t="shared" si="939"/>
        <v>0</v>
      </c>
      <c r="AR1584">
        <f t="shared" si="940"/>
        <v>0</v>
      </c>
      <c r="AS1584">
        <f t="shared" si="941"/>
        <v>0</v>
      </c>
    </row>
    <row r="1585" spans="1:45" ht="15" customHeight="1">
      <c r="A1585" s="103"/>
      <c r="B1585" s="57"/>
      <c r="C1585" s="1109"/>
      <c r="D1585" s="954"/>
      <c r="E1585" s="955"/>
      <c r="F1585" s="956"/>
      <c r="G1585" s="1117" t="s">
        <v>5058</v>
      </c>
      <c r="H1585" s="1118"/>
      <c r="I1585" s="1104" t="s">
        <v>5059</v>
      </c>
      <c r="J1585" s="1105"/>
      <c r="K1585" s="1105"/>
      <c r="L1585" s="1105"/>
      <c r="M1585" s="1105"/>
      <c r="N1585" s="1105"/>
      <c r="O1585" s="1105"/>
      <c r="P1585" s="1105"/>
      <c r="Q1585" s="1105"/>
      <c r="R1585" s="1105"/>
      <c r="S1585" s="1105"/>
      <c r="T1585" s="1105"/>
      <c r="U1585" s="1106"/>
      <c r="V1585" s="100"/>
      <c r="W1585" s="100"/>
      <c r="X1585" s="100"/>
      <c r="Y1585" s="100"/>
      <c r="Z1585" s="100"/>
      <c r="AA1585" s="100"/>
      <c r="AB1585" s="100"/>
      <c r="AC1585" s="100"/>
      <c r="AD1585" s="100"/>
      <c r="AF1585"/>
      <c r="AK1585">
        <f t="shared" si="933"/>
        <v>0</v>
      </c>
      <c r="AL1585">
        <f t="shared" si="934"/>
        <v>0</v>
      </c>
      <c r="AM1585">
        <f t="shared" si="935"/>
        <v>0</v>
      </c>
      <c r="AN1585">
        <f t="shared" si="936"/>
        <v>0</v>
      </c>
      <c r="AO1585">
        <f t="shared" si="937"/>
        <v>0</v>
      </c>
      <c r="AP1585">
        <f t="shared" si="938"/>
        <v>0</v>
      </c>
      <c r="AQ1585">
        <f t="shared" si="939"/>
        <v>0</v>
      </c>
      <c r="AR1585">
        <f t="shared" si="940"/>
        <v>0</v>
      </c>
      <c r="AS1585">
        <f t="shared" si="941"/>
        <v>0</v>
      </c>
    </row>
    <row r="1586" spans="1:45" ht="15" customHeight="1">
      <c r="A1586" s="103"/>
      <c r="B1586" s="57"/>
      <c r="C1586" s="1109"/>
      <c r="D1586" s="954"/>
      <c r="E1586" s="955"/>
      <c r="F1586" s="956"/>
      <c r="G1586" s="1117" t="s">
        <v>5060</v>
      </c>
      <c r="H1586" s="1118"/>
      <c r="I1586" s="1104" t="s">
        <v>5061</v>
      </c>
      <c r="J1586" s="1105"/>
      <c r="K1586" s="1105"/>
      <c r="L1586" s="1105"/>
      <c r="M1586" s="1105"/>
      <c r="N1586" s="1105"/>
      <c r="O1586" s="1105"/>
      <c r="P1586" s="1105"/>
      <c r="Q1586" s="1105"/>
      <c r="R1586" s="1105"/>
      <c r="S1586" s="1105"/>
      <c r="T1586" s="1105"/>
      <c r="U1586" s="1106"/>
      <c r="V1586" s="100"/>
      <c r="W1586" s="100"/>
      <c r="X1586" s="100"/>
      <c r="Y1586" s="100"/>
      <c r="Z1586" s="100"/>
      <c r="AA1586" s="100"/>
      <c r="AB1586" s="100"/>
      <c r="AC1586" s="100"/>
      <c r="AD1586" s="100"/>
      <c r="AF1586"/>
      <c r="AK1586">
        <f t="shared" si="933"/>
        <v>0</v>
      </c>
      <c r="AL1586">
        <f t="shared" si="934"/>
        <v>0</v>
      </c>
      <c r="AM1586">
        <f t="shared" si="935"/>
        <v>0</v>
      </c>
      <c r="AN1586">
        <f t="shared" si="936"/>
        <v>0</v>
      </c>
      <c r="AO1586">
        <f t="shared" si="937"/>
        <v>0</v>
      </c>
      <c r="AP1586">
        <f t="shared" si="938"/>
        <v>0</v>
      </c>
      <c r="AQ1586">
        <f t="shared" si="939"/>
        <v>0</v>
      </c>
      <c r="AR1586">
        <f t="shared" si="940"/>
        <v>0</v>
      </c>
      <c r="AS1586">
        <f t="shared" si="941"/>
        <v>0</v>
      </c>
    </row>
    <row r="1587" spans="1:45" ht="15" customHeight="1">
      <c r="A1587" s="103"/>
      <c r="B1587" s="57"/>
      <c r="C1587" s="1109"/>
      <c r="D1587" s="954"/>
      <c r="E1587" s="955"/>
      <c r="F1587" s="956"/>
      <c r="G1587" s="1117" t="s">
        <v>5062</v>
      </c>
      <c r="H1587" s="1118"/>
      <c r="I1587" s="1104" t="s">
        <v>5063</v>
      </c>
      <c r="J1587" s="1105"/>
      <c r="K1587" s="1105"/>
      <c r="L1587" s="1105"/>
      <c r="M1587" s="1105"/>
      <c r="N1587" s="1105"/>
      <c r="O1587" s="1105"/>
      <c r="P1587" s="1105"/>
      <c r="Q1587" s="1105"/>
      <c r="R1587" s="1105"/>
      <c r="S1587" s="1105"/>
      <c r="T1587" s="1105"/>
      <c r="U1587" s="1106"/>
      <c r="V1587" s="100"/>
      <c r="W1587" s="100"/>
      <c r="X1587" s="100"/>
      <c r="Y1587" s="100"/>
      <c r="Z1587" s="100"/>
      <c r="AA1587" s="100"/>
      <c r="AB1587" s="100"/>
      <c r="AC1587" s="100"/>
      <c r="AD1587" s="100"/>
      <c r="AF1587"/>
      <c r="AK1587">
        <f t="shared" si="933"/>
        <v>0</v>
      </c>
      <c r="AL1587">
        <f t="shared" si="934"/>
        <v>0</v>
      </c>
      <c r="AM1587">
        <f t="shared" si="935"/>
        <v>0</v>
      </c>
      <c r="AN1587">
        <f t="shared" si="936"/>
        <v>0</v>
      </c>
      <c r="AO1587">
        <f t="shared" si="937"/>
        <v>0</v>
      </c>
      <c r="AP1587">
        <f t="shared" si="938"/>
        <v>0</v>
      </c>
      <c r="AQ1587">
        <f t="shared" si="939"/>
        <v>0</v>
      </c>
      <c r="AR1587">
        <f t="shared" si="940"/>
        <v>0</v>
      </c>
      <c r="AS1587">
        <f t="shared" si="941"/>
        <v>0</v>
      </c>
    </row>
    <row r="1588" spans="1:45" ht="24" customHeight="1">
      <c r="A1588" s="103"/>
      <c r="B1588" s="57"/>
      <c r="C1588" s="1109"/>
      <c r="D1588" s="954"/>
      <c r="E1588" s="955"/>
      <c r="F1588" s="956"/>
      <c r="G1588" s="1117" t="s">
        <v>5064</v>
      </c>
      <c r="H1588" s="1118"/>
      <c r="I1588" s="1104" t="s">
        <v>5065</v>
      </c>
      <c r="J1588" s="1105"/>
      <c r="K1588" s="1105"/>
      <c r="L1588" s="1105"/>
      <c r="M1588" s="1105"/>
      <c r="N1588" s="1105"/>
      <c r="O1588" s="1105"/>
      <c r="P1588" s="1105"/>
      <c r="Q1588" s="1105"/>
      <c r="R1588" s="1105"/>
      <c r="S1588" s="1105"/>
      <c r="T1588" s="1105"/>
      <c r="U1588" s="1106"/>
      <c r="V1588" s="100"/>
      <c r="W1588" s="100"/>
      <c r="X1588" s="100"/>
      <c r="Y1588" s="100"/>
      <c r="Z1588" s="100"/>
      <c r="AA1588" s="100"/>
      <c r="AB1588" s="100"/>
      <c r="AC1588" s="100"/>
      <c r="AD1588" s="100"/>
      <c r="AF1588"/>
      <c r="AK1588">
        <f t="shared" si="933"/>
        <v>0</v>
      </c>
      <c r="AL1588">
        <f t="shared" si="934"/>
        <v>0</v>
      </c>
      <c r="AM1588">
        <f t="shared" si="935"/>
        <v>0</v>
      </c>
      <c r="AN1588">
        <f t="shared" si="936"/>
        <v>0</v>
      </c>
      <c r="AO1588">
        <f t="shared" si="937"/>
        <v>0</v>
      </c>
      <c r="AP1588">
        <f t="shared" si="938"/>
        <v>0</v>
      </c>
      <c r="AQ1588">
        <f t="shared" si="939"/>
        <v>0</v>
      </c>
      <c r="AR1588">
        <f t="shared" si="940"/>
        <v>0</v>
      </c>
      <c r="AS1588">
        <f t="shared" si="941"/>
        <v>0</v>
      </c>
    </row>
    <row r="1589" spans="1:45" ht="24" customHeight="1">
      <c r="A1589" s="103"/>
      <c r="B1589" s="57"/>
      <c r="C1589" s="1109"/>
      <c r="D1589" s="954"/>
      <c r="E1589" s="955"/>
      <c r="F1589" s="956"/>
      <c r="G1589" s="1119" t="s">
        <v>5066</v>
      </c>
      <c r="H1589" s="1120"/>
      <c r="I1589" s="177"/>
      <c r="J1589" s="1115" t="s">
        <v>5067</v>
      </c>
      <c r="K1589" s="1115"/>
      <c r="L1589" s="1115"/>
      <c r="M1589" s="1115"/>
      <c r="N1589" s="1115"/>
      <c r="O1589" s="1115"/>
      <c r="P1589" s="1115"/>
      <c r="Q1589" s="1115"/>
      <c r="R1589" s="1115"/>
      <c r="S1589" s="1115"/>
      <c r="T1589" s="1115"/>
      <c r="U1589" s="1116"/>
      <c r="V1589" s="100"/>
      <c r="W1589" s="100"/>
      <c r="X1589" s="100"/>
      <c r="Y1589" s="100"/>
      <c r="Z1589" s="100"/>
      <c r="AA1589" s="100"/>
      <c r="AB1589" s="100"/>
      <c r="AC1589" s="100"/>
      <c r="AD1589" s="100"/>
      <c r="AF1589"/>
      <c r="AK1589">
        <f t="shared" si="933"/>
        <v>0</v>
      </c>
      <c r="AL1589">
        <f t="shared" si="934"/>
        <v>0</v>
      </c>
      <c r="AM1589">
        <f t="shared" si="935"/>
        <v>0</v>
      </c>
      <c r="AN1589">
        <f t="shared" si="936"/>
        <v>0</v>
      </c>
      <c r="AO1589">
        <f t="shared" si="937"/>
        <v>0</v>
      </c>
      <c r="AP1589">
        <f t="shared" si="938"/>
        <v>0</v>
      </c>
      <c r="AQ1589">
        <f t="shared" si="939"/>
        <v>0</v>
      </c>
      <c r="AR1589">
        <f t="shared" si="940"/>
        <v>0</v>
      </c>
      <c r="AS1589">
        <f t="shared" si="941"/>
        <v>0</v>
      </c>
    </row>
    <row r="1590" spans="1:45" ht="24" customHeight="1">
      <c r="A1590" s="103"/>
      <c r="B1590" s="57"/>
      <c r="C1590" s="1109"/>
      <c r="D1590" s="954"/>
      <c r="E1590" s="955"/>
      <c r="F1590" s="956"/>
      <c r="G1590" s="1119" t="s">
        <v>5068</v>
      </c>
      <c r="H1590" s="1120"/>
      <c r="I1590" s="178"/>
      <c r="J1590" s="1111" t="s">
        <v>5069</v>
      </c>
      <c r="K1590" s="1111"/>
      <c r="L1590" s="1111"/>
      <c r="M1590" s="1111"/>
      <c r="N1590" s="1111"/>
      <c r="O1590" s="1111"/>
      <c r="P1590" s="1111"/>
      <c r="Q1590" s="1111"/>
      <c r="R1590" s="1111"/>
      <c r="S1590" s="1111"/>
      <c r="T1590" s="1111"/>
      <c r="U1590" s="1112"/>
      <c r="V1590" s="100"/>
      <c r="W1590" s="100"/>
      <c r="X1590" s="100"/>
      <c r="Y1590" s="100"/>
      <c r="Z1590" s="100"/>
      <c r="AA1590" s="100"/>
      <c r="AB1590" s="100"/>
      <c r="AC1590" s="100"/>
      <c r="AD1590" s="100"/>
      <c r="AF1590"/>
      <c r="AK1590">
        <f t="shared" si="933"/>
        <v>0</v>
      </c>
      <c r="AL1590">
        <f t="shared" si="934"/>
        <v>0</v>
      </c>
      <c r="AM1590">
        <f t="shared" si="935"/>
        <v>0</v>
      </c>
      <c r="AN1590">
        <f t="shared" si="936"/>
        <v>0</v>
      </c>
      <c r="AO1590">
        <f t="shared" si="937"/>
        <v>0</v>
      </c>
      <c r="AP1590">
        <f t="shared" si="938"/>
        <v>0</v>
      </c>
      <c r="AQ1590">
        <f t="shared" si="939"/>
        <v>0</v>
      </c>
      <c r="AR1590">
        <f t="shared" si="940"/>
        <v>0</v>
      </c>
      <c r="AS1590">
        <f t="shared" si="941"/>
        <v>0</v>
      </c>
    </row>
    <row r="1591" spans="1:45" ht="24" customHeight="1">
      <c r="A1591" s="103"/>
      <c r="B1591" s="57"/>
      <c r="C1591" s="1109"/>
      <c r="D1591" s="954"/>
      <c r="E1591" s="955"/>
      <c r="F1591" s="956"/>
      <c r="G1591" s="1119" t="s">
        <v>5070</v>
      </c>
      <c r="H1591" s="1120"/>
      <c r="I1591" s="178"/>
      <c r="J1591" s="1111" t="s">
        <v>5071</v>
      </c>
      <c r="K1591" s="1111"/>
      <c r="L1591" s="1111"/>
      <c r="M1591" s="1111"/>
      <c r="N1591" s="1111"/>
      <c r="O1591" s="1111"/>
      <c r="P1591" s="1111"/>
      <c r="Q1591" s="1111"/>
      <c r="R1591" s="1111"/>
      <c r="S1591" s="1111"/>
      <c r="T1591" s="1111"/>
      <c r="U1591" s="1112"/>
      <c r="V1591" s="100"/>
      <c r="W1591" s="100"/>
      <c r="X1591" s="100"/>
      <c r="Y1591" s="100"/>
      <c r="Z1591" s="100"/>
      <c r="AA1591" s="100"/>
      <c r="AB1591" s="100"/>
      <c r="AC1591" s="100"/>
      <c r="AD1591" s="100"/>
      <c r="AF1591"/>
      <c r="AK1591">
        <f t="shared" si="933"/>
        <v>0</v>
      </c>
      <c r="AL1591">
        <f t="shared" si="934"/>
        <v>0</v>
      </c>
      <c r="AM1591">
        <f t="shared" si="935"/>
        <v>0</v>
      </c>
      <c r="AN1591">
        <f t="shared" si="936"/>
        <v>0</v>
      </c>
      <c r="AO1591">
        <f t="shared" si="937"/>
        <v>0</v>
      </c>
      <c r="AP1591">
        <f t="shared" si="938"/>
        <v>0</v>
      </c>
      <c r="AQ1591">
        <f t="shared" si="939"/>
        <v>0</v>
      </c>
      <c r="AR1591">
        <f t="shared" si="940"/>
        <v>0</v>
      </c>
      <c r="AS1591">
        <f t="shared" si="941"/>
        <v>0</v>
      </c>
    </row>
    <row r="1592" spans="1:45" ht="15" customHeight="1">
      <c r="A1592" s="103"/>
      <c r="B1592" s="57"/>
      <c r="C1592" s="1109"/>
      <c r="D1592" s="954"/>
      <c r="E1592" s="955"/>
      <c r="F1592" s="956"/>
      <c r="G1592" s="1119" t="s">
        <v>5072</v>
      </c>
      <c r="H1592" s="1120"/>
      <c r="I1592" s="178"/>
      <c r="J1592" s="1111" t="s">
        <v>5073</v>
      </c>
      <c r="K1592" s="1111"/>
      <c r="L1592" s="1111"/>
      <c r="M1592" s="1111"/>
      <c r="N1592" s="1111"/>
      <c r="O1592" s="1111"/>
      <c r="P1592" s="1111"/>
      <c r="Q1592" s="1111"/>
      <c r="R1592" s="1111"/>
      <c r="S1592" s="1111"/>
      <c r="T1592" s="1111"/>
      <c r="U1592" s="1112"/>
      <c r="V1592" s="100"/>
      <c r="W1592" s="100"/>
      <c r="X1592" s="100"/>
      <c r="Y1592" s="100"/>
      <c r="Z1592" s="100"/>
      <c r="AA1592" s="100"/>
      <c r="AB1592" s="100"/>
      <c r="AC1592" s="100"/>
      <c r="AD1592" s="100"/>
      <c r="AF1592"/>
      <c r="AK1592">
        <f t="shared" si="933"/>
        <v>0</v>
      </c>
      <c r="AL1592">
        <f t="shared" si="934"/>
        <v>0</v>
      </c>
      <c r="AM1592">
        <f t="shared" si="935"/>
        <v>0</v>
      </c>
      <c r="AN1592">
        <f t="shared" si="936"/>
        <v>0</v>
      </c>
      <c r="AO1592">
        <f t="shared" si="937"/>
        <v>0</v>
      </c>
      <c r="AP1592">
        <f t="shared" si="938"/>
        <v>0</v>
      </c>
      <c r="AQ1592">
        <f t="shared" si="939"/>
        <v>0</v>
      </c>
      <c r="AR1592">
        <f t="shared" si="940"/>
        <v>0</v>
      </c>
      <c r="AS1592">
        <f t="shared" si="941"/>
        <v>0</v>
      </c>
    </row>
    <row r="1593" spans="1:45" ht="15" customHeight="1">
      <c r="A1593" s="103"/>
      <c r="B1593" s="57"/>
      <c r="C1593" s="1109"/>
      <c r="D1593" s="954"/>
      <c r="E1593" s="955"/>
      <c r="F1593" s="956"/>
      <c r="G1593" s="1119" t="s">
        <v>5074</v>
      </c>
      <c r="H1593" s="1120"/>
      <c r="I1593" s="178"/>
      <c r="J1593" s="1111" t="s">
        <v>5075</v>
      </c>
      <c r="K1593" s="1111"/>
      <c r="L1593" s="1111"/>
      <c r="M1593" s="1111"/>
      <c r="N1593" s="1111"/>
      <c r="O1593" s="1111"/>
      <c r="P1593" s="1111"/>
      <c r="Q1593" s="1111"/>
      <c r="R1593" s="1111"/>
      <c r="S1593" s="1111"/>
      <c r="T1593" s="1111"/>
      <c r="U1593" s="1112"/>
      <c r="V1593" s="100"/>
      <c r="W1593" s="100"/>
      <c r="X1593" s="100"/>
      <c r="Y1593" s="100"/>
      <c r="Z1593" s="100"/>
      <c r="AA1593" s="100"/>
      <c r="AB1593" s="100"/>
      <c r="AC1593" s="100"/>
      <c r="AD1593" s="100"/>
      <c r="AF1593"/>
      <c r="AK1593">
        <f t="shared" si="933"/>
        <v>0</v>
      </c>
      <c r="AL1593">
        <f t="shared" si="934"/>
        <v>0</v>
      </c>
      <c r="AM1593">
        <f t="shared" si="935"/>
        <v>0</v>
      </c>
      <c r="AN1593">
        <f t="shared" si="936"/>
        <v>0</v>
      </c>
      <c r="AO1593">
        <f t="shared" si="937"/>
        <v>0</v>
      </c>
      <c r="AP1593">
        <f t="shared" si="938"/>
        <v>0</v>
      </c>
      <c r="AQ1593">
        <f t="shared" si="939"/>
        <v>0</v>
      </c>
      <c r="AR1593">
        <f t="shared" si="940"/>
        <v>0</v>
      </c>
      <c r="AS1593">
        <f t="shared" si="941"/>
        <v>0</v>
      </c>
    </row>
    <row r="1594" spans="1:45" ht="24" customHeight="1">
      <c r="A1594" s="103"/>
      <c r="B1594" s="57"/>
      <c r="C1594" s="1109"/>
      <c r="D1594" s="954"/>
      <c r="E1594" s="955"/>
      <c r="F1594" s="956"/>
      <c r="G1594" s="1119" t="s">
        <v>5076</v>
      </c>
      <c r="H1594" s="1120"/>
      <c r="I1594" s="178"/>
      <c r="J1594" s="1111" t="s">
        <v>5077</v>
      </c>
      <c r="K1594" s="1111"/>
      <c r="L1594" s="1111"/>
      <c r="M1594" s="1111"/>
      <c r="N1594" s="1111"/>
      <c r="O1594" s="1111"/>
      <c r="P1594" s="1111"/>
      <c r="Q1594" s="1111"/>
      <c r="R1594" s="1111"/>
      <c r="S1594" s="1111"/>
      <c r="T1594" s="1111"/>
      <c r="U1594" s="1112"/>
      <c r="V1594" s="100"/>
      <c r="W1594" s="100"/>
      <c r="X1594" s="100"/>
      <c r="Y1594" s="100"/>
      <c r="Z1594" s="100"/>
      <c r="AA1594" s="100"/>
      <c r="AB1594" s="100"/>
      <c r="AC1594" s="100"/>
      <c r="AD1594" s="100"/>
      <c r="AF1594"/>
      <c r="AK1594">
        <f t="shared" si="933"/>
        <v>0</v>
      </c>
      <c r="AL1594">
        <f t="shared" si="934"/>
        <v>0</v>
      </c>
      <c r="AM1594">
        <f t="shared" si="935"/>
        <v>0</v>
      </c>
      <c r="AN1594">
        <f t="shared" si="936"/>
        <v>0</v>
      </c>
      <c r="AO1594">
        <f t="shared" si="937"/>
        <v>0</v>
      </c>
      <c r="AP1594">
        <f t="shared" si="938"/>
        <v>0</v>
      </c>
      <c r="AQ1594">
        <f t="shared" si="939"/>
        <v>0</v>
      </c>
      <c r="AR1594">
        <f t="shared" si="940"/>
        <v>0</v>
      </c>
      <c r="AS1594">
        <f t="shared" si="941"/>
        <v>0</v>
      </c>
    </row>
    <row r="1595" spans="1:45" ht="15" customHeight="1">
      <c r="A1595" s="103"/>
      <c r="B1595" s="57"/>
      <c r="C1595" s="1109"/>
      <c r="D1595" s="954"/>
      <c r="E1595" s="955"/>
      <c r="F1595" s="956"/>
      <c r="G1595" s="1119" t="s">
        <v>5078</v>
      </c>
      <c r="H1595" s="1120"/>
      <c r="I1595" s="179"/>
      <c r="J1595" s="1113" t="s">
        <v>201</v>
      </c>
      <c r="K1595" s="1113"/>
      <c r="L1595" s="1113"/>
      <c r="M1595" s="1113"/>
      <c r="N1595" s="1113"/>
      <c r="O1595" s="1113"/>
      <c r="P1595" s="1113"/>
      <c r="Q1595" s="1113"/>
      <c r="R1595" s="1113"/>
      <c r="S1595" s="1113"/>
      <c r="T1595" s="1113"/>
      <c r="U1595" s="1114"/>
      <c r="V1595" s="100"/>
      <c r="W1595" s="100"/>
      <c r="X1595" s="100"/>
      <c r="Y1595" s="100"/>
      <c r="Z1595" s="100"/>
      <c r="AA1595" s="100"/>
      <c r="AB1595" s="100"/>
      <c r="AC1595" s="100"/>
      <c r="AD1595" s="100"/>
      <c r="AF1595"/>
      <c r="AK1595">
        <f t="shared" si="933"/>
        <v>0</v>
      </c>
      <c r="AL1595">
        <f t="shared" si="934"/>
        <v>0</v>
      </c>
      <c r="AM1595">
        <f t="shared" si="935"/>
        <v>0</v>
      </c>
      <c r="AN1595">
        <f t="shared" si="936"/>
        <v>0</v>
      </c>
      <c r="AO1595">
        <f t="shared" si="937"/>
        <v>0</v>
      </c>
      <c r="AP1595">
        <f t="shared" si="938"/>
        <v>0</v>
      </c>
      <c r="AQ1595">
        <f t="shared" si="939"/>
        <v>0</v>
      </c>
      <c r="AR1595">
        <f t="shared" si="940"/>
        <v>0</v>
      </c>
      <c r="AS1595">
        <f t="shared" si="941"/>
        <v>0</v>
      </c>
    </row>
    <row r="1596" spans="1:45" ht="15" customHeight="1">
      <c r="A1596" s="103"/>
      <c r="B1596" s="57"/>
      <c r="C1596" s="1109"/>
      <c r="D1596" s="954"/>
      <c r="E1596" s="955"/>
      <c r="F1596" s="956"/>
      <c r="G1596" s="1117" t="s">
        <v>5079</v>
      </c>
      <c r="H1596" s="1118"/>
      <c r="I1596" s="1104" t="s">
        <v>5080</v>
      </c>
      <c r="J1596" s="1105"/>
      <c r="K1596" s="1105"/>
      <c r="L1596" s="1105"/>
      <c r="M1596" s="1105"/>
      <c r="N1596" s="1105"/>
      <c r="O1596" s="1105"/>
      <c r="P1596" s="1105"/>
      <c r="Q1596" s="1105"/>
      <c r="R1596" s="1105"/>
      <c r="S1596" s="1105"/>
      <c r="T1596" s="1105"/>
      <c r="U1596" s="1106"/>
      <c r="V1596" s="100"/>
      <c r="W1596" s="100"/>
      <c r="X1596" s="100"/>
      <c r="Y1596" s="100"/>
      <c r="Z1596" s="100"/>
      <c r="AA1596" s="100"/>
      <c r="AB1596" s="100"/>
      <c r="AC1596" s="100"/>
      <c r="AD1596" s="100"/>
      <c r="AF1596"/>
      <c r="AK1596">
        <f t="shared" si="933"/>
        <v>0</v>
      </c>
      <c r="AL1596">
        <f t="shared" si="934"/>
        <v>0</v>
      </c>
      <c r="AM1596">
        <f t="shared" si="935"/>
        <v>0</v>
      </c>
      <c r="AN1596">
        <f t="shared" si="936"/>
        <v>0</v>
      </c>
      <c r="AO1596">
        <f t="shared" si="937"/>
        <v>0</v>
      </c>
      <c r="AP1596">
        <f t="shared" si="938"/>
        <v>0</v>
      </c>
      <c r="AQ1596">
        <f t="shared" si="939"/>
        <v>0</v>
      </c>
      <c r="AR1596">
        <f t="shared" si="940"/>
        <v>0</v>
      </c>
      <c r="AS1596">
        <f t="shared" si="941"/>
        <v>0</v>
      </c>
    </row>
    <row r="1597" spans="1:45" ht="15" customHeight="1">
      <c r="A1597" s="103"/>
      <c r="B1597" s="57"/>
      <c r="C1597" s="1109"/>
      <c r="D1597" s="954"/>
      <c r="E1597" s="955"/>
      <c r="F1597" s="956"/>
      <c r="G1597" s="1117" t="s">
        <v>5081</v>
      </c>
      <c r="H1597" s="1118"/>
      <c r="I1597" s="1104" t="s">
        <v>5082</v>
      </c>
      <c r="J1597" s="1105"/>
      <c r="K1597" s="1105"/>
      <c r="L1597" s="1105"/>
      <c r="M1597" s="1105"/>
      <c r="N1597" s="1105"/>
      <c r="O1597" s="1105"/>
      <c r="P1597" s="1105"/>
      <c r="Q1597" s="1105"/>
      <c r="R1597" s="1105"/>
      <c r="S1597" s="1105"/>
      <c r="T1597" s="1105"/>
      <c r="U1597" s="1106"/>
      <c r="V1597" s="100"/>
      <c r="W1597" s="100"/>
      <c r="X1597" s="100"/>
      <c r="Y1597" s="100"/>
      <c r="Z1597" s="100"/>
      <c r="AA1597" s="100"/>
      <c r="AB1597" s="100"/>
      <c r="AC1597" s="100"/>
      <c r="AD1597" s="100"/>
      <c r="AF1597"/>
      <c r="AK1597">
        <f t="shared" si="933"/>
        <v>0</v>
      </c>
      <c r="AL1597">
        <f t="shared" si="934"/>
        <v>0</v>
      </c>
      <c r="AM1597">
        <f t="shared" si="935"/>
        <v>0</v>
      </c>
      <c r="AN1597">
        <f t="shared" si="936"/>
        <v>0</v>
      </c>
      <c r="AO1597">
        <f t="shared" si="937"/>
        <v>0</v>
      </c>
      <c r="AP1597">
        <f t="shared" si="938"/>
        <v>0</v>
      </c>
      <c r="AQ1597">
        <f t="shared" si="939"/>
        <v>0</v>
      </c>
      <c r="AR1597">
        <f t="shared" si="940"/>
        <v>0</v>
      </c>
      <c r="AS1597">
        <f t="shared" si="941"/>
        <v>0</v>
      </c>
    </row>
    <row r="1598" spans="1:45" ht="15" customHeight="1">
      <c r="A1598" s="103"/>
      <c r="B1598" s="57"/>
      <c r="C1598" s="1109"/>
      <c r="D1598" s="954"/>
      <c r="E1598" s="955"/>
      <c r="F1598" s="956"/>
      <c r="G1598" s="1119" t="s">
        <v>5083</v>
      </c>
      <c r="H1598" s="1120"/>
      <c r="I1598" s="177"/>
      <c r="J1598" s="1115" t="s">
        <v>5084</v>
      </c>
      <c r="K1598" s="1115"/>
      <c r="L1598" s="1115"/>
      <c r="M1598" s="1115"/>
      <c r="N1598" s="1115"/>
      <c r="O1598" s="1115"/>
      <c r="P1598" s="1115"/>
      <c r="Q1598" s="1115"/>
      <c r="R1598" s="1115"/>
      <c r="S1598" s="1115"/>
      <c r="T1598" s="1115"/>
      <c r="U1598" s="1116"/>
      <c r="V1598" s="100"/>
      <c r="W1598" s="100"/>
      <c r="X1598" s="100"/>
      <c r="Y1598" s="100"/>
      <c r="Z1598" s="100"/>
      <c r="AA1598" s="100"/>
      <c r="AB1598" s="100"/>
      <c r="AC1598" s="100"/>
      <c r="AD1598" s="100"/>
      <c r="AF1598"/>
      <c r="AK1598">
        <f t="shared" si="933"/>
        <v>0</v>
      </c>
      <c r="AL1598">
        <f t="shared" si="934"/>
        <v>0</v>
      </c>
      <c r="AM1598">
        <f t="shared" si="935"/>
        <v>0</v>
      </c>
      <c r="AN1598">
        <f t="shared" si="936"/>
        <v>0</v>
      </c>
      <c r="AO1598">
        <f t="shared" si="937"/>
        <v>0</v>
      </c>
      <c r="AP1598">
        <f t="shared" si="938"/>
        <v>0</v>
      </c>
      <c r="AQ1598">
        <f t="shared" si="939"/>
        <v>0</v>
      </c>
      <c r="AR1598">
        <f t="shared" si="940"/>
        <v>0</v>
      </c>
      <c r="AS1598">
        <f t="shared" si="941"/>
        <v>0</v>
      </c>
    </row>
    <row r="1599" spans="1:45" ht="15" customHeight="1">
      <c r="A1599" s="103"/>
      <c r="B1599" s="57"/>
      <c r="C1599" s="1109"/>
      <c r="D1599" s="954"/>
      <c r="E1599" s="955"/>
      <c r="F1599" s="956"/>
      <c r="G1599" s="1119" t="s">
        <v>5085</v>
      </c>
      <c r="H1599" s="1120"/>
      <c r="I1599" s="178"/>
      <c r="J1599" s="1111" t="s">
        <v>5086</v>
      </c>
      <c r="K1599" s="1111"/>
      <c r="L1599" s="1111"/>
      <c r="M1599" s="1111"/>
      <c r="N1599" s="1111"/>
      <c r="O1599" s="1111"/>
      <c r="P1599" s="1111"/>
      <c r="Q1599" s="1111"/>
      <c r="R1599" s="1111"/>
      <c r="S1599" s="1111"/>
      <c r="T1599" s="1111"/>
      <c r="U1599" s="1112"/>
      <c r="V1599" s="100"/>
      <c r="W1599" s="100"/>
      <c r="X1599" s="100"/>
      <c r="Y1599" s="100"/>
      <c r="Z1599" s="100"/>
      <c r="AA1599" s="100"/>
      <c r="AB1599" s="100"/>
      <c r="AC1599" s="100"/>
      <c r="AD1599" s="100"/>
      <c r="AF1599"/>
      <c r="AK1599">
        <f t="shared" si="933"/>
        <v>0</v>
      </c>
      <c r="AL1599">
        <f t="shared" si="934"/>
        <v>0</v>
      </c>
      <c r="AM1599">
        <f t="shared" si="935"/>
        <v>0</v>
      </c>
      <c r="AN1599">
        <f t="shared" si="936"/>
        <v>0</v>
      </c>
      <c r="AO1599">
        <f t="shared" si="937"/>
        <v>0</v>
      </c>
      <c r="AP1599">
        <f t="shared" si="938"/>
        <v>0</v>
      </c>
      <c r="AQ1599">
        <f t="shared" si="939"/>
        <v>0</v>
      </c>
      <c r="AR1599">
        <f t="shared" si="940"/>
        <v>0</v>
      </c>
      <c r="AS1599">
        <f t="shared" si="941"/>
        <v>0</v>
      </c>
    </row>
    <row r="1600" spans="1:45" ht="15" customHeight="1">
      <c r="A1600" s="103"/>
      <c r="B1600" s="57"/>
      <c r="C1600" s="1109"/>
      <c r="D1600" s="954"/>
      <c r="E1600" s="955"/>
      <c r="F1600" s="956"/>
      <c r="G1600" s="1119" t="s">
        <v>5087</v>
      </c>
      <c r="H1600" s="1120"/>
      <c r="I1600" s="179"/>
      <c r="J1600" s="1113" t="s">
        <v>201</v>
      </c>
      <c r="K1600" s="1113"/>
      <c r="L1600" s="1113"/>
      <c r="M1600" s="1113"/>
      <c r="N1600" s="1113"/>
      <c r="O1600" s="1113"/>
      <c r="P1600" s="1113"/>
      <c r="Q1600" s="1113"/>
      <c r="R1600" s="1113"/>
      <c r="S1600" s="1113"/>
      <c r="T1600" s="1113"/>
      <c r="U1600" s="1114"/>
      <c r="V1600" s="100"/>
      <c r="W1600" s="100"/>
      <c r="X1600" s="100"/>
      <c r="Y1600" s="100"/>
      <c r="Z1600" s="100"/>
      <c r="AA1600" s="100"/>
      <c r="AB1600" s="100"/>
      <c r="AC1600" s="100"/>
      <c r="AD1600" s="100"/>
      <c r="AF1600"/>
      <c r="AK1600">
        <f t="shared" si="933"/>
        <v>0</v>
      </c>
      <c r="AL1600">
        <f t="shared" si="934"/>
        <v>0</v>
      </c>
      <c r="AM1600">
        <f t="shared" si="935"/>
        <v>0</v>
      </c>
      <c r="AN1600">
        <f t="shared" si="936"/>
        <v>0</v>
      </c>
      <c r="AO1600">
        <f t="shared" si="937"/>
        <v>0</v>
      </c>
      <c r="AP1600">
        <f t="shared" si="938"/>
        <v>0</v>
      </c>
      <c r="AQ1600">
        <f t="shared" si="939"/>
        <v>0</v>
      </c>
      <c r="AR1600">
        <f t="shared" si="940"/>
        <v>0</v>
      </c>
      <c r="AS1600">
        <f t="shared" si="941"/>
        <v>0</v>
      </c>
    </row>
    <row r="1601" spans="1:45" ht="15" customHeight="1">
      <c r="A1601" s="103"/>
      <c r="B1601" s="57"/>
      <c r="C1601" s="1109"/>
      <c r="D1601" s="954"/>
      <c r="E1601" s="955"/>
      <c r="F1601" s="956"/>
      <c r="G1601" s="1117" t="s">
        <v>5088</v>
      </c>
      <c r="H1601" s="1118"/>
      <c r="I1601" s="1104" t="s">
        <v>5089</v>
      </c>
      <c r="J1601" s="1105"/>
      <c r="K1601" s="1105"/>
      <c r="L1601" s="1105"/>
      <c r="M1601" s="1105"/>
      <c r="N1601" s="1105"/>
      <c r="O1601" s="1105"/>
      <c r="P1601" s="1105"/>
      <c r="Q1601" s="1105"/>
      <c r="R1601" s="1105"/>
      <c r="S1601" s="1105"/>
      <c r="T1601" s="1105"/>
      <c r="U1601" s="1106"/>
      <c r="V1601" s="100"/>
      <c r="W1601" s="100"/>
      <c r="X1601" s="100"/>
      <c r="Y1601" s="100"/>
      <c r="Z1601" s="100"/>
      <c r="AA1601" s="100"/>
      <c r="AB1601" s="100"/>
      <c r="AC1601" s="100"/>
      <c r="AD1601" s="100"/>
      <c r="AF1601"/>
      <c r="AK1601">
        <f t="shared" si="933"/>
        <v>0</v>
      </c>
      <c r="AL1601">
        <f t="shared" si="934"/>
        <v>0</v>
      </c>
      <c r="AM1601">
        <f t="shared" si="935"/>
        <v>0</v>
      </c>
      <c r="AN1601">
        <f t="shared" si="936"/>
        <v>0</v>
      </c>
      <c r="AO1601">
        <f t="shared" si="937"/>
        <v>0</v>
      </c>
      <c r="AP1601">
        <f t="shared" si="938"/>
        <v>0</v>
      </c>
      <c r="AQ1601">
        <f t="shared" si="939"/>
        <v>0</v>
      </c>
      <c r="AR1601">
        <f t="shared" si="940"/>
        <v>0</v>
      </c>
      <c r="AS1601">
        <f t="shared" si="941"/>
        <v>0</v>
      </c>
    </row>
    <row r="1602" spans="1:45" ht="24" customHeight="1">
      <c r="A1602" s="103"/>
      <c r="B1602" s="57"/>
      <c r="C1602" s="1109"/>
      <c r="D1602" s="954"/>
      <c r="E1602" s="955"/>
      <c r="F1602" s="956"/>
      <c r="G1602" s="1117" t="s">
        <v>5090</v>
      </c>
      <c r="H1602" s="1118"/>
      <c r="I1602" s="1104" t="s">
        <v>5091</v>
      </c>
      <c r="J1602" s="1105"/>
      <c r="K1602" s="1105"/>
      <c r="L1602" s="1105"/>
      <c r="M1602" s="1105"/>
      <c r="N1602" s="1105"/>
      <c r="O1602" s="1105"/>
      <c r="P1602" s="1105"/>
      <c r="Q1602" s="1105"/>
      <c r="R1602" s="1105"/>
      <c r="S1602" s="1105"/>
      <c r="T1602" s="1105"/>
      <c r="U1602" s="1106"/>
      <c r="V1602" s="100"/>
      <c r="W1602" s="100"/>
      <c r="X1602" s="100"/>
      <c r="Y1602" s="100"/>
      <c r="Z1602" s="100"/>
      <c r="AA1602" s="100"/>
      <c r="AB1602" s="100"/>
      <c r="AC1602" s="100"/>
      <c r="AD1602" s="100"/>
      <c r="AF1602"/>
      <c r="AK1602">
        <f t="shared" si="933"/>
        <v>0</v>
      </c>
      <c r="AL1602">
        <f t="shared" si="934"/>
        <v>0</v>
      </c>
      <c r="AM1602">
        <f t="shared" si="935"/>
        <v>0</v>
      </c>
      <c r="AN1602">
        <f t="shared" si="936"/>
        <v>0</v>
      </c>
      <c r="AO1602">
        <f t="shared" si="937"/>
        <v>0</v>
      </c>
      <c r="AP1602">
        <f t="shared" si="938"/>
        <v>0</v>
      </c>
      <c r="AQ1602">
        <f t="shared" si="939"/>
        <v>0</v>
      </c>
      <c r="AR1602">
        <f t="shared" si="940"/>
        <v>0</v>
      </c>
      <c r="AS1602">
        <f t="shared" si="941"/>
        <v>0</v>
      </c>
    </row>
    <row r="1603" spans="1:45" ht="15" customHeight="1">
      <c r="A1603" s="103"/>
      <c r="B1603" s="57"/>
      <c r="C1603" s="1109"/>
      <c r="D1603" s="954"/>
      <c r="E1603" s="955"/>
      <c r="F1603" s="956"/>
      <c r="G1603" s="1117" t="s">
        <v>5092</v>
      </c>
      <c r="H1603" s="1118"/>
      <c r="I1603" s="1104" t="s">
        <v>5093</v>
      </c>
      <c r="J1603" s="1105"/>
      <c r="K1603" s="1105"/>
      <c r="L1603" s="1105"/>
      <c r="M1603" s="1105"/>
      <c r="N1603" s="1105"/>
      <c r="O1603" s="1105"/>
      <c r="P1603" s="1105"/>
      <c r="Q1603" s="1105"/>
      <c r="R1603" s="1105"/>
      <c r="S1603" s="1105"/>
      <c r="T1603" s="1105"/>
      <c r="U1603" s="1106"/>
      <c r="V1603" s="100"/>
      <c r="W1603" s="100"/>
      <c r="X1603" s="100"/>
      <c r="Y1603" s="100"/>
      <c r="Z1603" s="100"/>
      <c r="AA1603" s="100"/>
      <c r="AB1603" s="100"/>
      <c r="AC1603" s="100"/>
      <c r="AD1603" s="100"/>
      <c r="AF1603"/>
      <c r="AK1603">
        <f t="shared" si="933"/>
        <v>0</v>
      </c>
      <c r="AL1603">
        <f t="shared" si="934"/>
        <v>0</v>
      </c>
      <c r="AM1603">
        <f t="shared" si="935"/>
        <v>0</v>
      </c>
      <c r="AN1603">
        <f t="shared" si="936"/>
        <v>0</v>
      </c>
      <c r="AO1603">
        <f t="shared" si="937"/>
        <v>0</v>
      </c>
      <c r="AP1603">
        <f t="shared" si="938"/>
        <v>0</v>
      </c>
      <c r="AQ1603">
        <f t="shared" si="939"/>
        <v>0</v>
      </c>
      <c r="AR1603">
        <f t="shared" si="940"/>
        <v>0</v>
      </c>
      <c r="AS1603">
        <f t="shared" si="941"/>
        <v>0</v>
      </c>
    </row>
    <row r="1604" spans="1:45" ht="15" customHeight="1">
      <c r="A1604" s="103"/>
      <c r="B1604" s="57"/>
      <c r="C1604" s="1109"/>
      <c r="D1604" s="954"/>
      <c r="E1604" s="955"/>
      <c r="F1604" s="956"/>
      <c r="G1604" s="1117" t="s">
        <v>5094</v>
      </c>
      <c r="H1604" s="1118"/>
      <c r="I1604" s="1104" t="s">
        <v>5095</v>
      </c>
      <c r="J1604" s="1105"/>
      <c r="K1604" s="1105"/>
      <c r="L1604" s="1105"/>
      <c r="M1604" s="1105"/>
      <c r="N1604" s="1105"/>
      <c r="O1604" s="1105"/>
      <c r="P1604" s="1105"/>
      <c r="Q1604" s="1105"/>
      <c r="R1604" s="1105"/>
      <c r="S1604" s="1105"/>
      <c r="T1604" s="1105"/>
      <c r="U1604" s="1106"/>
      <c r="V1604" s="100"/>
      <c r="W1604" s="100"/>
      <c r="X1604" s="100"/>
      <c r="Y1604" s="100"/>
      <c r="Z1604" s="100"/>
      <c r="AA1604" s="100"/>
      <c r="AB1604" s="100"/>
      <c r="AC1604" s="100"/>
      <c r="AD1604" s="100"/>
      <c r="AF1604"/>
      <c r="AK1604">
        <f t="shared" si="933"/>
        <v>0</v>
      </c>
      <c r="AL1604">
        <f t="shared" si="934"/>
        <v>0</v>
      </c>
      <c r="AM1604">
        <f t="shared" si="935"/>
        <v>0</v>
      </c>
      <c r="AN1604">
        <f t="shared" si="936"/>
        <v>0</v>
      </c>
      <c r="AO1604">
        <f t="shared" si="937"/>
        <v>0</v>
      </c>
      <c r="AP1604">
        <f t="shared" si="938"/>
        <v>0</v>
      </c>
      <c r="AQ1604">
        <f t="shared" si="939"/>
        <v>0</v>
      </c>
      <c r="AR1604">
        <f t="shared" si="940"/>
        <v>0</v>
      </c>
      <c r="AS1604">
        <f t="shared" si="941"/>
        <v>0</v>
      </c>
    </row>
    <row r="1605" spans="1:45" ht="15" customHeight="1">
      <c r="A1605" s="103"/>
      <c r="B1605" s="57"/>
      <c r="C1605" s="1109"/>
      <c r="D1605" s="954"/>
      <c r="E1605" s="955"/>
      <c r="F1605" s="956"/>
      <c r="G1605" s="1117" t="s">
        <v>5096</v>
      </c>
      <c r="H1605" s="1118"/>
      <c r="I1605" s="1104" t="s">
        <v>5097</v>
      </c>
      <c r="J1605" s="1105"/>
      <c r="K1605" s="1105"/>
      <c r="L1605" s="1105"/>
      <c r="M1605" s="1105"/>
      <c r="N1605" s="1105"/>
      <c r="O1605" s="1105"/>
      <c r="P1605" s="1105"/>
      <c r="Q1605" s="1105"/>
      <c r="R1605" s="1105"/>
      <c r="S1605" s="1105"/>
      <c r="T1605" s="1105"/>
      <c r="U1605" s="1106"/>
      <c r="V1605" s="100"/>
      <c r="W1605" s="100"/>
      <c r="X1605" s="100"/>
      <c r="Y1605" s="100"/>
      <c r="Z1605" s="100"/>
      <c r="AA1605" s="100"/>
      <c r="AB1605" s="100"/>
      <c r="AC1605" s="100"/>
      <c r="AD1605" s="100"/>
      <c r="AF1605"/>
      <c r="AK1605">
        <f t="shared" si="933"/>
        <v>0</v>
      </c>
      <c r="AL1605">
        <f t="shared" si="934"/>
        <v>0</v>
      </c>
      <c r="AM1605">
        <f t="shared" si="935"/>
        <v>0</v>
      </c>
      <c r="AN1605">
        <f t="shared" si="936"/>
        <v>0</v>
      </c>
      <c r="AO1605">
        <f t="shared" si="937"/>
        <v>0</v>
      </c>
      <c r="AP1605">
        <f t="shared" si="938"/>
        <v>0</v>
      </c>
      <c r="AQ1605">
        <f t="shared" si="939"/>
        <v>0</v>
      </c>
      <c r="AR1605">
        <f t="shared" si="940"/>
        <v>0</v>
      </c>
      <c r="AS1605">
        <f t="shared" si="941"/>
        <v>0</v>
      </c>
    </row>
    <row r="1606" spans="1:45" ht="15" customHeight="1">
      <c r="A1606" s="103"/>
      <c r="B1606" s="57"/>
      <c r="C1606" s="1109"/>
      <c r="D1606" s="954"/>
      <c r="E1606" s="955"/>
      <c r="F1606" s="956"/>
      <c r="G1606" s="1117" t="s">
        <v>5098</v>
      </c>
      <c r="H1606" s="1118"/>
      <c r="I1606" s="1104" t="s">
        <v>5099</v>
      </c>
      <c r="J1606" s="1105"/>
      <c r="K1606" s="1105"/>
      <c r="L1606" s="1105"/>
      <c r="M1606" s="1105"/>
      <c r="N1606" s="1105"/>
      <c r="O1606" s="1105"/>
      <c r="P1606" s="1105"/>
      <c r="Q1606" s="1105"/>
      <c r="R1606" s="1105"/>
      <c r="S1606" s="1105"/>
      <c r="T1606" s="1105"/>
      <c r="U1606" s="1106"/>
      <c r="V1606" s="100"/>
      <c r="W1606" s="100"/>
      <c r="X1606" s="100"/>
      <c r="Y1606" s="100"/>
      <c r="Z1606" s="100"/>
      <c r="AA1606" s="100"/>
      <c r="AB1606" s="100"/>
      <c r="AC1606" s="100"/>
      <c r="AD1606" s="100"/>
      <c r="AF1606"/>
      <c r="AK1606">
        <f t="shared" si="933"/>
        <v>0</v>
      </c>
      <c r="AL1606">
        <f t="shared" si="934"/>
        <v>0</v>
      </c>
      <c r="AM1606">
        <f t="shared" si="935"/>
        <v>0</v>
      </c>
      <c r="AN1606">
        <f t="shared" si="936"/>
        <v>0</v>
      </c>
      <c r="AO1606">
        <f t="shared" si="937"/>
        <v>0</v>
      </c>
      <c r="AP1606">
        <f t="shared" si="938"/>
        <v>0</v>
      </c>
      <c r="AQ1606">
        <f t="shared" si="939"/>
        <v>0</v>
      </c>
      <c r="AR1606">
        <f t="shared" si="940"/>
        <v>0</v>
      </c>
      <c r="AS1606">
        <f t="shared" si="941"/>
        <v>0</v>
      </c>
    </row>
    <row r="1607" spans="1:45" ht="15" customHeight="1">
      <c r="A1607" s="103"/>
      <c r="B1607" s="57"/>
      <c r="C1607" s="1109"/>
      <c r="D1607" s="954"/>
      <c r="E1607" s="955"/>
      <c r="F1607" s="956"/>
      <c r="G1607" s="1117" t="s">
        <v>5100</v>
      </c>
      <c r="H1607" s="1118"/>
      <c r="I1607" s="1104" t="s">
        <v>5101</v>
      </c>
      <c r="J1607" s="1105"/>
      <c r="K1607" s="1105"/>
      <c r="L1607" s="1105"/>
      <c r="M1607" s="1105"/>
      <c r="N1607" s="1105"/>
      <c r="O1607" s="1105"/>
      <c r="P1607" s="1105"/>
      <c r="Q1607" s="1105"/>
      <c r="R1607" s="1105"/>
      <c r="S1607" s="1105"/>
      <c r="T1607" s="1105"/>
      <c r="U1607" s="1106"/>
      <c r="V1607" s="100"/>
      <c r="W1607" s="100"/>
      <c r="X1607" s="100"/>
      <c r="Y1607" s="100"/>
      <c r="Z1607" s="100"/>
      <c r="AA1607" s="100"/>
      <c r="AB1607" s="100"/>
      <c r="AC1607" s="100"/>
      <c r="AD1607" s="100"/>
      <c r="AF1607"/>
      <c r="AK1607">
        <f t="shared" si="933"/>
        <v>0</v>
      </c>
      <c r="AL1607">
        <f t="shared" si="934"/>
        <v>0</v>
      </c>
      <c r="AM1607">
        <f t="shared" si="935"/>
        <v>0</v>
      </c>
      <c r="AN1607">
        <f t="shared" si="936"/>
        <v>0</v>
      </c>
      <c r="AO1607">
        <f t="shared" si="937"/>
        <v>0</v>
      </c>
      <c r="AP1607">
        <f t="shared" si="938"/>
        <v>0</v>
      </c>
      <c r="AQ1607">
        <f t="shared" si="939"/>
        <v>0</v>
      </c>
      <c r="AR1607">
        <f t="shared" si="940"/>
        <v>0</v>
      </c>
      <c r="AS1607">
        <f t="shared" si="941"/>
        <v>0</v>
      </c>
    </row>
    <row r="1608" spans="1:45" ht="15" customHeight="1">
      <c r="A1608" s="103"/>
      <c r="B1608" s="57"/>
      <c r="C1608" s="1109"/>
      <c r="D1608" s="954"/>
      <c r="E1608" s="955"/>
      <c r="F1608" s="956"/>
      <c r="G1608" s="1117" t="s">
        <v>5102</v>
      </c>
      <c r="H1608" s="1118"/>
      <c r="I1608" s="1104" t="s">
        <v>5103</v>
      </c>
      <c r="J1608" s="1105"/>
      <c r="K1608" s="1105"/>
      <c r="L1608" s="1105"/>
      <c r="M1608" s="1105"/>
      <c r="N1608" s="1105"/>
      <c r="O1608" s="1105"/>
      <c r="P1608" s="1105"/>
      <c r="Q1608" s="1105"/>
      <c r="R1608" s="1105"/>
      <c r="S1608" s="1105"/>
      <c r="T1608" s="1105"/>
      <c r="U1608" s="1106"/>
      <c r="V1608" s="100"/>
      <c r="W1608" s="100"/>
      <c r="X1608" s="100"/>
      <c r="Y1608" s="100"/>
      <c r="Z1608" s="100"/>
      <c r="AA1608" s="100"/>
      <c r="AB1608" s="100"/>
      <c r="AC1608" s="100"/>
      <c r="AD1608" s="100"/>
      <c r="AF1608"/>
      <c r="AK1608">
        <f t="shared" si="933"/>
        <v>0</v>
      </c>
      <c r="AL1608">
        <f t="shared" si="934"/>
        <v>0</v>
      </c>
      <c r="AM1608">
        <f t="shared" si="935"/>
        <v>0</v>
      </c>
      <c r="AN1608">
        <f t="shared" si="936"/>
        <v>0</v>
      </c>
      <c r="AO1608">
        <f t="shared" si="937"/>
        <v>0</v>
      </c>
      <c r="AP1608">
        <f t="shared" si="938"/>
        <v>0</v>
      </c>
      <c r="AQ1608">
        <f t="shared" si="939"/>
        <v>0</v>
      </c>
      <c r="AR1608">
        <f t="shared" si="940"/>
        <v>0</v>
      </c>
      <c r="AS1608">
        <f t="shared" si="941"/>
        <v>0</v>
      </c>
    </row>
    <row r="1609" spans="1:45" ht="24" customHeight="1">
      <c r="A1609" s="103"/>
      <c r="B1609" s="57"/>
      <c r="C1609" s="1109"/>
      <c r="D1609" s="954"/>
      <c r="E1609" s="955"/>
      <c r="F1609" s="956"/>
      <c r="G1609" s="1117" t="s">
        <v>5104</v>
      </c>
      <c r="H1609" s="1118"/>
      <c r="I1609" s="1104" t="s">
        <v>5105</v>
      </c>
      <c r="J1609" s="1105"/>
      <c r="K1609" s="1105"/>
      <c r="L1609" s="1105"/>
      <c r="M1609" s="1105"/>
      <c r="N1609" s="1105"/>
      <c r="O1609" s="1105"/>
      <c r="P1609" s="1105"/>
      <c r="Q1609" s="1105"/>
      <c r="R1609" s="1105"/>
      <c r="S1609" s="1105"/>
      <c r="T1609" s="1105"/>
      <c r="U1609" s="1106"/>
      <c r="V1609" s="100"/>
      <c r="W1609" s="100"/>
      <c r="X1609" s="100"/>
      <c r="Y1609" s="100"/>
      <c r="Z1609" s="100"/>
      <c r="AA1609" s="100"/>
      <c r="AB1609" s="100"/>
      <c r="AC1609" s="100"/>
      <c r="AD1609" s="100"/>
      <c r="AF1609"/>
      <c r="AK1609">
        <f t="shared" si="933"/>
        <v>0</v>
      </c>
      <c r="AL1609">
        <f t="shared" si="934"/>
        <v>0</v>
      </c>
      <c r="AM1609">
        <f t="shared" si="935"/>
        <v>0</v>
      </c>
      <c r="AN1609">
        <f t="shared" si="936"/>
        <v>0</v>
      </c>
      <c r="AO1609">
        <f t="shared" si="937"/>
        <v>0</v>
      </c>
      <c r="AP1609">
        <f t="shared" si="938"/>
        <v>0</v>
      </c>
      <c r="AQ1609">
        <f t="shared" si="939"/>
        <v>0</v>
      </c>
      <c r="AR1609">
        <f t="shared" si="940"/>
        <v>0</v>
      </c>
      <c r="AS1609">
        <f t="shared" si="941"/>
        <v>0</v>
      </c>
    </row>
    <row r="1610" spans="1:45" ht="15" customHeight="1">
      <c r="A1610" s="103"/>
      <c r="B1610" s="57"/>
      <c r="C1610" s="1109"/>
      <c r="D1610" s="954"/>
      <c r="E1610" s="955"/>
      <c r="F1610" s="956"/>
      <c r="G1610" s="1119" t="s">
        <v>5106</v>
      </c>
      <c r="H1610" s="1120"/>
      <c r="I1610" s="177"/>
      <c r="J1610" s="1115" t="s">
        <v>5107</v>
      </c>
      <c r="K1610" s="1115"/>
      <c r="L1610" s="1115"/>
      <c r="M1610" s="1115"/>
      <c r="N1610" s="1115"/>
      <c r="O1610" s="1115"/>
      <c r="P1610" s="1115"/>
      <c r="Q1610" s="1115"/>
      <c r="R1610" s="1115"/>
      <c r="S1610" s="1115"/>
      <c r="T1610" s="1115"/>
      <c r="U1610" s="1116"/>
      <c r="V1610" s="100"/>
      <c r="W1610" s="100"/>
      <c r="X1610" s="100"/>
      <c r="Y1610" s="100"/>
      <c r="Z1610" s="100"/>
      <c r="AA1610" s="100"/>
      <c r="AB1610" s="100"/>
      <c r="AC1610" s="100"/>
      <c r="AD1610" s="100"/>
      <c r="AF1610"/>
      <c r="AK1610">
        <f t="shared" si="933"/>
        <v>0</v>
      </c>
      <c r="AL1610">
        <f t="shared" si="934"/>
        <v>0</v>
      </c>
      <c r="AM1610">
        <f t="shared" si="935"/>
        <v>0</v>
      </c>
      <c r="AN1610">
        <f t="shared" si="936"/>
        <v>0</v>
      </c>
      <c r="AO1610">
        <f t="shared" si="937"/>
        <v>0</v>
      </c>
      <c r="AP1610">
        <f t="shared" si="938"/>
        <v>0</v>
      </c>
      <c r="AQ1610">
        <f t="shared" si="939"/>
        <v>0</v>
      </c>
      <c r="AR1610">
        <f t="shared" si="940"/>
        <v>0</v>
      </c>
      <c r="AS1610">
        <f t="shared" si="941"/>
        <v>0</v>
      </c>
    </row>
    <row r="1611" spans="1:45" ht="15" customHeight="1">
      <c r="A1611" s="103"/>
      <c r="B1611" s="57"/>
      <c r="C1611" s="1109"/>
      <c r="D1611" s="954"/>
      <c r="E1611" s="955"/>
      <c r="F1611" s="956"/>
      <c r="G1611" s="1119" t="s">
        <v>5108</v>
      </c>
      <c r="H1611" s="1120"/>
      <c r="I1611" s="178"/>
      <c r="J1611" s="1111" t="s">
        <v>5109</v>
      </c>
      <c r="K1611" s="1111"/>
      <c r="L1611" s="1111"/>
      <c r="M1611" s="1111"/>
      <c r="N1611" s="1111"/>
      <c r="O1611" s="1111"/>
      <c r="P1611" s="1111"/>
      <c r="Q1611" s="1111"/>
      <c r="R1611" s="1111"/>
      <c r="S1611" s="1111"/>
      <c r="T1611" s="1111"/>
      <c r="U1611" s="1112"/>
      <c r="V1611" s="100"/>
      <c r="W1611" s="100"/>
      <c r="X1611" s="100"/>
      <c r="Y1611" s="100"/>
      <c r="Z1611" s="100"/>
      <c r="AA1611" s="100"/>
      <c r="AB1611" s="100"/>
      <c r="AC1611" s="100"/>
      <c r="AD1611" s="100"/>
      <c r="AF1611"/>
      <c r="AK1611">
        <f t="shared" si="933"/>
        <v>0</v>
      </c>
      <c r="AL1611">
        <f t="shared" si="934"/>
        <v>0</v>
      </c>
      <c r="AM1611">
        <f t="shared" si="935"/>
        <v>0</v>
      </c>
      <c r="AN1611">
        <f t="shared" si="936"/>
        <v>0</v>
      </c>
      <c r="AO1611">
        <f t="shared" si="937"/>
        <v>0</v>
      </c>
      <c r="AP1611">
        <f t="shared" si="938"/>
        <v>0</v>
      </c>
      <c r="AQ1611">
        <f t="shared" si="939"/>
        <v>0</v>
      </c>
      <c r="AR1611">
        <f t="shared" si="940"/>
        <v>0</v>
      </c>
      <c r="AS1611">
        <f t="shared" si="941"/>
        <v>0</v>
      </c>
    </row>
    <row r="1612" spans="1:45" ht="24" customHeight="1">
      <c r="A1612" s="103"/>
      <c r="B1612" s="57"/>
      <c r="C1612" s="1109"/>
      <c r="D1612" s="954"/>
      <c r="E1612" s="955"/>
      <c r="F1612" s="956"/>
      <c r="G1612" s="1119" t="s">
        <v>5110</v>
      </c>
      <c r="H1612" s="1120"/>
      <c r="I1612" s="178"/>
      <c r="J1612" s="1111" t="s">
        <v>5111</v>
      </c>
      <c r="K1612" s="1111"/>
      <c r="L1612" s="1111"/>
      <c r="M1612" s="1111"/>
      <c r="N1612" s="1111"/>
      <c r="O1612" s="1111"/>
      <c r="P1612" s="1111"/>
      <c r="Q1612" s="1111"/>
      <c r="R1612" s="1111"/>
      <c r="S1612" s="1111"/>
      <c r="T1612" s="1111"/>
      <c r="U1612" s="1112"/>
      <c r="V1612" s="100"/>
      <c r="W1612" s="100"/>
      <c r="X1612" s="100"/>
      <c r="Y1612" s="100"/>
      <c r="Z1612" s="100"/>
      <c r="AA1612" s="100"/>
      <c r="AB1612" s="100"/>
      <c r="AC1612" s="100"/>
      <c r="AD1612" s="100"/>
      <c r="AF1612"/>
      <c r="AK1612">
        <f t="shared" si="933"/>
        <v>0</v>
      </c>
      <c r="AL1612">
        <f t="shared" si="934"/>
        <v>0</v>
      </c>
      <c r="AM1612">
        <f t="shared" si="935"/>
        <v>0</v>
      </c>
      <c r="AN1612">
        <f t="shared" si="936"/>
        <v>0</v>
      </c>
      <c r="AO1612">
        <f t="shared" si="937"/>
        <v>0</v>
      </c>
      <c r="AP1612">
        <f t="shared" si="938"/>
        <v>0</v>
      </c>
      <c r="AQ1612">
        <f t="shared" si="939"/>
        <v>0</v>
      </c>
      <c r="AR1612">
        <f t="shared" si="940"/>
        <v>0</v>
      </c>
      <c r="AS1612">
        <f t="shared" si="941"/>
        <v>0</v>
      </c>
    </row>
    <row r="1613" spans="1:45" ht="24" customHeight="1">
      <c r="A1613" s="103"/>
      <c r="B1613" s="57"/>
      <c r="C1613" s="1109"/>
      <c r="D1613" s="954"/>
      <c r="E1613" s="955"/>
      <c r="F1613" s="956"/>
      <c r="G1613" s="1119" t="s">
        <v>5112</v>
      </c>
      <c r="H1613" s="1120"/>
      <c r="I1613" s="178"/>
      <c r="J1613" s="1111" t="s">
        <v>5113</v>
      </c>
      <c r="K1613" s="1111"/>
      <c r="L1613" s="1111"/>
      <c r="M1613" s="1111"/>
      <c r="N1613" s="1111"/>
      <c r="O1613" s="1111"/>
      <c r="P1613" s="1111"/>
      <c r="Q1613" s="1111"/>
      <c r="R1613" s="1111"/>
      <c r="S1613" s="1111"/>
      <c r="T1613" s="1111"/>
      <c r="U1613" s="1112"/>
      <c r="V1613" s="100"/>
      <c r="W1613" s="100"/>
      <c r="X1613" s="100"/>
      <c r="Y1613" s="100"/>
      <c r="Z1613" s="100"/>
      <c r="AA1613" s="100"/>
      <c r="AB1613" s="100"/>
      <c r="AC1613" s="100"/>
      <c r="AD1613" s="100"/>
      <c r="AF1613"/>
      <c r="AK1613">
        <f t="shared" si="933"/>
        <v>0</v>
      </c>
      <c r="AL1613">
        <f t="shared" si="934"/>
        <v>0</v>
      </c>
      <c r="AM1613">
        <f t="shared" si="935"/>
        <v>0</v>
      </c>
      <c r="AN1613">
        <f t="shared" si="936"/>
        <v>0</v>
      </c>
      <c r="AO1613">
        <f t="shared" si="937"/>
        <v>0</v>
      </c>
      <c r="AP1613">
        <f t="shared" si="938"/>
        <v>0</v>
      </c>
      <c r="AQ1613">
        <f t="shared" si="939"/>
        <v>0</v>
      </c>
      <c r="AR1613">
        <f t="shared" si="940"/>
        <v>0</v>
      </c>
      <c r="AS1613">
        <f t="shared" si="941"/>
        <v>0</v>
      </c>
    </row>
    <row r="1614" spans="1:45" ht="15" customHeight="1">
      <c r="A1614" s="103"/>
      <c r="B1614" s="57"/>
      <c r="C1614" s="1109"/>
      <c r="D1614" s="954"/>
      <c r="E1614" s="955"/>
      <c r="F1614" s="956"/>
      <c r="G1614" s="1119" t="s">
        <v>5114</v>
      </c>
      <c r="H1614" s="1120"/>
      <c r="I1614" s="179"/>
      <c r="J1614" s="1113" t="s">
        <v>201</v>
      </c>
      <c r="K1614" s="1113"/>
      <c r="L1614" s="1113"/>
      <c r="M1614" s="1113"/>
      <c r="N1614" s="1113"/>
      <c r="O1614" s="1113"/>
      <c r="P1614" s="1113"/>
      <c r="Q1614" s="1113"/>
      <c r="R1614" s="1113"/>
      <c r="S1614" s="1113"/>
      <c r="T1614" s="1113"/>
      <c r="U1614" s="1114"/>
      <c r="V1614" s="100"/>
      <c r="W1614" s="100"/>
      <c r="X1614" s="100"/>
      <c r="Y1614" s="100"/>
      <c r="Z1614" s="100"/>
      <c r="AA1614" s="100"/>
      <c r="AB1614" s="100"/>
      <c r="AC1614" s="100"/>
      <c r="AD1614" s="100"/>
      <c r="AF1614"/>
      <c r="AK1614">
        <f t="shared" si="933"/>
        <v>0</v>
      </c>
      <c r="AL1614">
        <f t="shared" si="934"/>
        <v>0</v>
      </c>
      <c r="AM1614">
        <f t="shared" si="935"/>
        <v>0</v>
      </c>
      <c r="AN1614">
        <f t="shared" si="936"/>
        <v>0</v>
      </c>
      <c r="AO1614">
        <f t="shared" si="937"/>
        <v>0</v>
      </c>
      <c r="AP1614">
        <f t="shared" si="938"/>
        <v>0</v>
      </c>
      <c r="AQ1614">
        <f t="shared" si="939"/>
        <v>0</v>
      </c>
      <c r="AR1614">
        <f t="shared" si="940"/>
        <v>0</v>
      </c>
      <c r="AS1614">
        <f t="shared" si="941"/>
        <v>0</v>
      </c>
    </row>
    <row r="1615" spans="1:45" ht="15" customHeight="1">
      <c r="A1615" s="103"/>
      <c r="B1615" s="57"/>
      <c r="C1615" s="1109"/>
      <c r="D1615" s="954"/>
      <c r="E1615" s="955"/>
      <c r="F1615" s="956"/>
      <c r="G1615" s="1117" t="s">
        <v>5115</v>
      </c>
      <c r="H1615" s="1118"/>
      <c r="I1615" s="1104" t="s">
        <v>5116</v>
      </c>
      <c r="J1615" s="1105"/>
      <c r="K1615" s="1105"/>
      <c r="L1615" s="1105"/>
      <c r="M1615" s="1105"/>
      <c r="N1615" s="1105"/>
      <c r="O1615" s="1105"/>
      <c r="P1615" s="1105"/>
      <c r="Q1615" s="1105"/>
      <c r="R1615" s="1105"/>
      <c r="S1615" s="1105"/>
      <c r="T1615" s="1105"/>
      <c r="U1615" s="1106"/>
      <c r="V1615" s="100"/>
      <c r="W1615" s="100"/>
      <c r="X1615" s="100"/>
      <c r="Y1615" s="100"/>
      <c r="Z1615" s="100"/>
      <c r="AA1615" s="100"/>
      <c r="AB1615" s="100"/>
      <c r="AC1615" s="100"/>
      <c r="AD1615" s="100"/>
      <c r="AF1615"/>
      <c r="AK1615">
        <f t="shared" si="933"/>
        <v>0</v>
      </c>
      <c r="AL1615">
        <f t="shared" si="934"/>
        <v>0</v>
      </c>
      <c r="AM1615">
        <f t="shared" si="935"/>
        <v>0</v>
      </c>
      <c r="AN1615">
        <f t="shared" si="936"/>
        <v>0</v>
      </c>
      <c r="AO1615">
        <f t="shared" si="937"/>
        <v>0</v>
      </c>
      <c r="AP1615">
        <f t="shared" si="938"/>
        <v>0</v>
      </c>
      <c r="AQ1615">
        <f t="shared" si="939"/>
        <v>0</v>
      </c>
      <c r="AR1615">
        <f t="shared" si="940"/>
        <v>0</v>
      </c>
      <c r="AS1615">
        <f t="shared" si="941"/>
        <v>0</v>
      </c>
    </row>
    <row r="1616" spans="1:45" ht="15" customHeight="1">
      <c r="A1616" s="103"/>
      <c r="B1616" s="57"/>
      <c r="C1616" s="1109"/>
      <c r="D1616" s="954"/>
      <c r="E1616" s="955"/>
      <c r="F1616" s="956"/>
      <c r="G1616" s="1117" t="s">
        <v>5117</v>
      </c>
      <c r="H1616" s="1118"/>
      <c r="I1616" s="1104" t="s">
        <v>5118</v>
      </c>
      <c r="J1616" s="1105"/>
      <c r="K1616" s="1105"/>
      <c r="L1616" s="1105"/>
      <c r="M1616" s="1105"/>
      <c r="N1616" s="1105"/>
      <c r="O1616" s="1105"/>
      <c r="P1616" s="1105"/>
      <c r="Q1616" s="1105"/>
      <c r="R1616" s="1105"/>
      <c r="S1616" s="1105"/>
      <c r="T1616" s="1105"/>
      <c r="U1616" s="1106"/>
      <c r="V1616" s="100"/>
      <c r="W1616" s="100"/>
      <c r="X1616" s="100"/>
      <c r="Y1616" s="100"/>
      <c r="Z1616" s="100"/>
      <c r="AA1616" s="100"/>
      <c r="AB1616" s="100"/>
      <c r="AC1616" s="100"/>
      <c r="AD1616" s="100"/>
      <c r="AF1616"/>
      <c r="AK1616">
        <f t="shared" si="933"/>
        <v>0</v>
      </c>
      <c r="AL1616">
        <f t="shared" si="934"/>
        <v>0</v>
      </c>
      <c r="AM1616">
        <f t="shared" si="935"/>
        <v>0</v>
      </c>
      <c r="AN1616">
        <f t="shared" si="936"/>
        <v>0</v>
      </c>
      <c r="AO1616">
        <f t="shared" si="937"/>
        <v>0</v>
      </c>
      <c r="AP1616">
        <f t="shared" si="938"/>
        <v>0</v>
      </c>
      <c r="AQ1616">
        <f t="shared" si="939"/>
        <v>0</v>
      </c>
      <c r="AR1616">
        <f t="shared" si="940"/>
        <v>0</v>
      </c>
      <c r="AS1616">
        <f t="shared" si="941"/>
        <v>0</v>
      </c>
    </row>
    <row r="1617" spans="1:96" ht="15" customHeight="1">
      <c r="A1617" s="103"/>
      <c r="B1617" s="57"/>
      <c r="C1617" s="732" t="s">
        <v>5119</v>
      </c>
      <c r="D1617" s="732"/>
      <c r="E1617" s="732"/>
      <c r="F1617" s="732"/>
      <c r="G1617" s="732"/>
      <c r="H1617" s="732"/>
      <c r="I1617" s="1131" t="s">
        <v>2631</v>
      </c>
      <c r="J1617" s="1131"/>
      <c r="K1617" s="1131"/>
      <c r="L1617" s="1131"/>
      <c r="M1617" s="1131"/>
      <c r="N1617" s="1131"/>
      <c r="O1617" s="1131"/>
      <c r="P1617" s="1131"/>
      <c r="Q1617" s="1131"/>
      <c r="R1617" s="1131"/>
      <c r="S1617" s="1131"/>
      <c r="T1617" s="1131"/>
      <c r="U1617" s="1131"/>
      <c r="V1617" s="100"/>
      <c r="W1617" s="100"/>
      <c r="X1617" s="100"/>
      <c r="Y1617" s="100"/>
      <c r="Z1617" s="100"/>
      <c r="AA1617" s="100"/>
      <c r="AB1617" s="100"/>
      <c r="AC1617" s="100"/>
      <c r="AD1617" s="100"/>
      <c r="AF1617"/>
      <c r="AK1617">
        <f t="shared" si="933"/>
        <v>0</v>
      </c>
      <c r="AL1617">
        <f t="shared" si="934"/>
        <v>0</v>
      </c>
      <c r="AM1617">
        <f t="shared" si="935"/>
        <v>0</v>
      </c>
      <c r="AN1617">
        <f t="shared" si="936"/>
        <v>0</v>
      </c>
      <c r="AO1617">
        <f t="shared" si="937"/>
        <v>0</v>
      </c>
      <c r="AP1617">
        <f t="shared" si="938"/>
        <v>0</v>
      </c>
      <c r="AQ1617">
        <f t="shared" si="939"/>
        <v>0</v>
      </c>
      <c r="AR1617">
        <f t="shared" si="940"/>
        <v>0</v>
      </c>
      <c r="AS1617">
        <f t="shared" si="941"/>
        <v>0</v>
      </c>
    </row>
    <row r="1618" spans="1:96" ht="15" customHeight="1">
      <c r="A1618" s="103"/>
      <c r="B1618" s="57"/>
      <c r="C1618" s="38"/>
      <c r="D1618" s="38"/>
      <c r="E1618" s="38"/>
      <c r="F1618" s="38"/>
      <c r="G1618" s="38"/>
      <c r="H1618" s="38"/>
      <c r="I1618" s="38"/>
      <c r="J1618" s="38"/>
      <c r="K1618" s="38"/>
      <c r="L1618" s="38"/>
      <c r="M1618" s="38"/>
      <c r="N1618" s="38"/>
      <c r="O1618" s="38"/>
      <c r="P1618" s="38"/>
      <c r="Q1618" s="38"/>
      <c r="R1618" s="117"/>
      <c r="S1618" s="104"/>
      <c r="T1618" s="104"/>
      <c r="U1618" s="104"/>
      <c r="V1618" s="524">
        <f t="shared" ref="V1618:AD1618" si="942">IF(COUNTIF(V1453:V1617,"NA")=165,"NA",IF(AND(SUM(COUNTIF(V1453:V1463,"NS"),COUNTIF(V1470:V1474,"NS"),COUNTIF(V1480:V1483,"NS"),COUNTIF(V1502,"NS"),COUNTIF(V1508:V1510,"NS"),COUNTIF(V1514:V1520,"NS"),COUNTIF(V1528,"NS"),COUNTIF(V1534:V1538,"NS"),COUNTIF(V1545,"NS"),COUNTIF(V1554:V1557,"NS"),COUNTIF(V1564:V1567,"NS"),COUNTIF(V1577,"NS"),COUNTIF(V1581:V1588,"NS"),COUNTIF(V1596:V1597,"NS"),COUNTIF(V1601:V1609,"NS"),COUNTIF(V1615:V1617,"NS"))&gt;0,SUM(V1453:V1463,V1470:V1474,V1480:V1483,V1502,V1508:V1510,V1514:V1520,V1528,V1534:V1538,V1545,V1554:V1557,V1564:V1567,V1577,V1581:V1588,V1596:V1597,V1601:V1609,V1615:V1617)=0),"NS",SUM(V1453:V1463,V1470:V1474,V1480:V1483,V1502,V1508:V1510,V1514:V1520,V1528,V1534:V1538,V1545,V1554:V1557,V1564:V1567,V1577,V1581:V1588,V1596:V1597,V1601:V1609,V1615:V1617)))</f>
        <v>0</v>
      </c>
      <c r="W1618" s="524">
        <f t="shared" si="942"/>
        <v>0</v>
      </c>
      <c r="X1618" s="524">
        <f t="shared" si="942"/>
        <v>0</v>
      </c>
      <c r="Y1618" s="524">
        <f t="shared" si="942"/>
        <v>0</v>
      </c>
      <c r="Z1618" s="524">
        <f t="shared" si="942"/>
        <v>0</v>
      </c>
      <c r="AA1618" s="524">
        <f t="shared" si="942"/>
        <v>0</v>
      </c>
      <c r="AB1618" s="524">
        <f t="shared" si="942"/>
        <v>0</v>
      </c>
      <c r="AC1618" s="524">
        <f t="shared" si="942"/>
        <v>0</v>
      </c>
      <c r="AD1618" s="124">
        <f t="shared" si="942"/>
        <v>0</v>
      </c>
      <c r="AF1618"/>
      <c r="AK1618">
        <f>SUM(AK1453:AK1617)</f>
        <v>0</v>
      </c>
      <c r="AM1618">
        <f>SUM(AM1453:AM1617)</f>
        <v>0</v>
      </c>
      <c r="AN1618">
        <f>SUM(AN1453:AN1617)</f>
        <v>0</v>
      </c>
      <c r="AP1618">
        <f>SUM(AP1453:AP1617)</f>
        <v>0</v>
      </c>
      <c r="AQ1618">
        <f>SUM(AQ1453:AQ1617)</f>
        <v>0</v>
      </c>
      <c r="AS1618">
        <f>SUM(AS1453:AS1617)</f>
        <v>0</v>
      </c>
    </row>
    <row r="1619" spans="1:96" ht="15" customHeight="1">
      <c r="A1619" s="108"/>
      <c r="B1619" s="1087" t="str">
        <f>IF(AND(OR(AND(P1289&gt;0,ISNONTEXT(P1289)),AND(P1300&gt;0,ISNONTEXT(P1300)),AND(P1316&gt;0,ISNONTEXT(P1316)),AND(P1317&gt;0,ISNONTEXT(P1317)),AND(P1350&gt;0,ISNONTEXT(P1350)),AND(P1362&gt;0,ISNONTEXT(P1362)))),"Alerta: debido a que cuenta con registros del fuero común mayores a cero, proporcione una justificación en el área de comentarios","")</f>
        <v/>
      </c>
      <c r="C1619" s="1087"/>
      <c r="D1619" s="1087"/>
      <c r="E1619" s="1087"/>
      <c r="F1619" s="1087"/>
      <c r="G1619" s="1087"/>
      <c r="H1619" s="1087"/>
      <c r="I1619" s="1087"/>
      <c r="J1619" s="1087"/>
      <c r="K1619" s="1087"/>
      <c r="L1619" s="1087"/>
      <c r="M1619" s="1087"/>
      <c r="N1619" s="1087"/>
      <c r="O1619" s="1087"/>
      <c r="P1619" s="1087"/>
      <c r="Q1619" s="1087"/>
      <c r="R1619" s="1087"/>
      <c r="S1619" s="1087"/>
      <c r="T1619" s="1087"/>
      <c r="U1619" s="1087"/>
      <c r="V1619" s="1087"/>
      <c r="W1619" s="1087"/>
      <c r="X1619" s="1087"/>
      <c r="Y1619" s="1087"/>
      <c r="Z1619" s="1087"/>
      <c r="AA1619" s="1087"/>
      <c r="AB1619" s="1087"/>
      <c r="AC1619" s="1087"/>
      <c r="AD1619" s="1087"/>
      <c r="AE1619" s="1087"/>
      <c r="AF1619"/>
      <c r="AK1619" t="s">
        <v>2650</v>
      </c>
      <c r="AL1619" s="427">
        <f>SUM(AM1618,AP1618,AS1618)</f>
        <v>0</v>
      </c>
      <c r="AM1619" t="s">
        <v>2651</v>
      </c>
      <c r="AN1619" s="427">
        <f>SUM(AK1618,AN1618,AQ1618)</f>
        <v>0</v>
      </c>
    </row>
    <row r="1620" spans="1:96" ht="24" customHeight="1">
      <c r="A1620" s="108"/>
      <c r="B1620" s="38"/>
      <c r="C1620" s="754" t="s">
        <v>2611</v>
      </c>
      <c r="D1620" s="754"/>
      <c r="E1620" s="754"/>
      <c r="F1620" s="754"/>
      <c r="G1620" s="754"/>
      <c r="H1620" s="754"/>
      <c r="I1620" s="754"/>
      <c r="J1620" s="754"/>
      <c r="K1620" s="754"/>
      <c r="L1620" s="754"/>
      <c r="M1620" s="754"/>
      <c r="N1620" s="754"/>
      <c r="O1620" s="754"/>
      <c r="P1620" s="754"/>
      <c r="Q1620" s="754"/>
      <c r="R1620" s="754"/>
      <c r="S1620" s="754"/>
      <c r="T1620" s="754"/>
      <c r="U1620" s="754"/>
      <c r="V1620" s="754"/>
      <c r="W1620" s="754"/>
      <c r="X1620" s="754"/>
      <c r="Y1620" s="754"/>
      <c r="Z1620" s="754"/>
      <c r="AA1620" s="754"/>
      <c r="AB1620" s="754"/>
      <c r="AC1620" s="754"/>
      <c r="AD1620" s="754"/>
      <c r="AF1620"/>
      <c r="AK1620" t="s">
        <v>2652</v>
      </c>
      <c r="AL1620">
        <f>IF(AN1619&gt;0,IF(SUM(V1618)&gt;=SUM(Y1618,AB1618),0,1),IF(SUM(V1618)&lt;&gt;SUM(Y1618,AB1618),1,0))</f>
        <v>0</v>
      </c>
      <c r="AM1620" t="s">
        <v>2653</v>
      </c>
      <c r="AN1620">
        <f>IF(AN1619&gt;0,IF(SUM(W1618)&gt;=SUM(Z1618,AC1618),0,1),IF(SUM(W1618)&lt;&gt;SUM(Z1618,AC1618),1,0))</f>
        <v>0</v>
      </c>
      <c r="AO1620" t="s">
        <v>2654</v>
      </c>
      <c r="AP1620">
        <f>IF(AN1619&gt;0,IF(SUM(X1618)&gt;=SUM(AA1618,AD1618),0,1),IF(SUM(X1618)&lt;&gt;SUM(AA1618,AD1618),1,0))</f>
        <v>0</v>
      </c>
    </row>
    <row r="1621" spans="1:96" ht="60" customHeight="1">
      <c r="A1621" s="108"/>
      <c r="B1621" s="38"/>
      <c r="C1621" s="851"/>
      <c r="D1621" s="851"/>
      <c r="E1621" s="851"/>
      <c r="F1621" s="851"/>
      <c r="G1621" s="851"/>
      <c r="H1621" s="851"/>
      <c r="I1621" s="851"/>
      <c r="J1621" s="851"/>
      <c r="K1621" s="851"/>
      <c r="L1621" s="851"/>
      <c r="M1621" s="851"/>
      <c r="N1621" s="851"/>
      <c r="O1621" s="851"/>
      <c r="P1621" s="851"/>
      <c r="Q1621" s="851"/>
      <c r="R1621" s="851"/>
      <c r="S1621" s="851"/>
      <c r="T1621" s="851"/>
      <c r="U1621" s="851"/>
      <c r="V1621" s="851"/>
      <c r="W1621" s="851"/>
      <c r="X1621" s="851"/>
      <c r="Y1621" s="851"/>
      <c r="Z1621" s="851"/>
      <c r="AA1621" s="851"/>
      <c r="AB1621" s="851"/>
      <c r="AC1621" s="851"/>
      <c r="AD1621" s="851"/>
      <c r="AF1621"/>
      <c r="AK1621" t="s">
        <v>5179</v>
      </c>
      <c r="AL1621" s="463">
        <f>SUM(AL1447,AL1619)</f>
        <v>0</v>
      </c>
      <c r="AM1621" t="s">
        <v>5180</v>
      </c>
      <c r="AN1621" s="463">
        <f>SUM(AN1447,AN1619)</f>
        <v>0</v>
      </c>
    </row>
    <row r="1622" spans="1:96" ht="15" customHeight="1">
      <c r="A1622" s="91"/>
      <c r="B1622" s="1003" t="str">
        <f>IF(AG1446=0,"","Favor de ingresar toda la información requerida en la pregunta")</f>
        <v/>
      </c>
      <c r="C1622" s="1003"/>
      <c r="D1622" s="1003"/>
      <c r="E1622" s="1003"/>
      <c r="F1622" s="1003"/>
      <c r="G1622" s="1003"/>
      <c r="H1622" s="1003"/>
      <c r="I1622" s="1003"/>
      <c r="J1622" s="1003"/>
      <c r="K1622" s="1003"/>
      <c r="L1622" s="1003"/>
      <c r="M1622" s="1003"/>
      <c r="N1622" s="1003"/>
      <c r="O1622" s="1003"/>
      <c r="P1622" s="1003"/>
      <c r="Q1622" s="1003"/>
      <c r="R1622" s="1003"/>
      <c r="S1622" s="1003"/>
      <c r="T1622" s="1003"/>
      <c r="U1622" s="1003"/>
      <c r="V1622" s="1003"/>
      <c r="W1622" s="1003"/>
      <c r="X1622" s="1003"/>
      <c r="Y1622" s="1003"/>
      <c r="Z1622" s="1003"/>
      <c r="AA1622" s="1003"/>
      <c r="AB1622" s="1003"/>
      <c r="AC1622" s="1003"/>
      <c r="AD1622" s="1003"/>
      <c r="AE1622" s="1003"/>
      <c r="AF1622"/>
      <c r="AK1622" t="s">
        <v>5181</v>
      </c>
      <c r="AL1622" s="506">
        <f>IF(AN1621&gt;0,IF(SUM(P1446)&gt;=SUM(S1446,V1446,Y1446,AB1446,V1618,Y1618,AB1618),0,1),IF(SUM(P1446)&lt;&gt;SUM(S1446,V1446,Y1446,AB1446,V1618,Y1618,AB1618),1,0))</f>
        <v>0</v>
      </c>
      <c r="AM1622" t="s">
        <v>5182</v>
      </c>
      <c r="AN1622" s="506">
        <f>IF(AN1621&gt;0,IF(SUM(Q1446)&gt;=SUM(T1446,W1446,Z1446,AC1446,W1618,Z1618,AC1618),0,1),IF(SUM(Q1446)&lt;&gt;SUM(T1446,W1446,Z1446,AC1446,W1618,Z1618,AC1618),1,0))</f>
        <v>0</v>
      </c>
      <c r="AO1622" t="s">
        <v>5183</v>
      </c>
      <c r="AP1622" s="506">
        <f>IF(AN1621&gt;0,IF(SUM(R1446)&gt;=SUM(U1446,X1446,AA1446,AD1446,X1618,AA1618,AD1618),0,1),IF(SUM(R1446)&lt;&gt;SUM(U1446,X1446,AA1446,AD1446,X1618,AA1618,AD1618),1,0))</f>
        <v>0</v>
      </c>
    </row>
    <row r="1623" spans="1:96" ht="15" customHeight="1">
      <c r="A1623" s="91"/>
      <c r="B1623" s="1087" t="str">
        <f>IF(OR($P$896=0,$P$896="NS",$P$896="NA"),"",IF(SUM(COUNTIF(P1281:AD1445,"NS"),COUNTIF(V1453:AD1617,"NS"))&lt;&gt;0,"Alerta: debido a que cuenta con registros NS, debe proporcionar una justificación en el area de comentarios al final de la pregunta",""))</f>
        <v/>
      </c>
      <c r="C1623" s="1087"/>
      <c r="D1623" s="1087"/>
      <c r="E1623" s="1087"/>
      <c r="F1623" s="1087"/>
      <c r="G1623" s="1087"/>
      <c r="H1623" s="1087"/>
      <c r="I1623" s="1087"/>
      <c r="J1623" s="1087"/>
      <c r="K1623" s="1087"/>
      <c r="L1623" s="1087"/>
      <c r="M1623" s="1087"/>
      <c r="N1623" s="1087"/>
      <c r="O1623" s="1087"/>
      <c r="P1623" s="1087"/>
      <c r="Q1623" s="1087"/>
      <c r="R1623" s="1087"/>
      <c r="S1623" s="1087"/>
      <c r="T1623" s="1087"/>
      <c r="U1623" s="1087"/>
      <c r="V1623" s="1087"/>
      <c r="W1623" s="1087"/>
      <c r="X1623" s="1087"/>
      <c r="Y1623" s="1087"/>
      <c r="Z1623" s="1087"/>
      <c r="AA1623" s="1087"/>
      <c r="AB1623" s="1087"/>
      <c r="AC1623" s="1087"/>
      <c r="AD1623" s="1087"/>
      <c r="AE1623" s="1087"/>
      <c r="AF1623"/>
      <c r="AK1623" t="s">
        <v>4836</v>
      </c>
      <c r="AL1623" s="506">
        <f>AL1621-COUNTIF(P1281:P1445,"NA")</f>
        <v>0</v>
      </c>
    </row>
    <row r="1624" spans="1:96" ht="15" customHeight="1">
      <c r="A1624" s="91"/>
      <c r="B1624" s="1003" t="str">
        <f>IF(AH1446=0,"","Revise la información capturada, ya que tiene datos ingresados en celdas que están sombreadas")</f>
        <v/>
      </c>
      <c r="C1624" s="1003"/>
      <c r="D1624" s="1003"/>
      <c r="E1624" s="1003"/>
      <c r="F1624" s="1003"/>
      <c r="G1624" s="1003"/>
      <c r="H1624" s="1003"/>
      <c r="I1624" s="1003"/>
      <c r="J1624" s="1003"/>
      <c r="K1624" s="1003"/>
      <c r="L1624" s="1003"/>
      <c r="M1624" s="1003"/>
      <c r="N1624" s="1003"/>
      <c r="O1624" s="1003"/>
      <c r="P1624" s="1003"/>
      <c r="Q1624" s="1003"/>
      <c r="R1624" s="1003"/>
      <c r="S1624" s="1003"/>
      <c r="T1624" s="1003"/>
      <c r="U1624" s="1003"/>
      <c r="V1624" s="1003"/>
      <c r="W1624" s="1003"/>
      <c r="X1624" s="1003"/>
      <c r="Y1624" s="1003"/>
      <c r="Z1624" s="1003"/>
      <c r="AA1624" s="1003"/>
      <c r="AB1624" s="1003"/>
      <c r="AC1624" s="1003"/>
      <c r="AD1624" s="1003"/>
      <c r="AE1624" s="1003"/>
      <c r="AF1624"/>
      <c r="AG1624"/>
      <c r="AH1624"/>
      <c r="AI1624"/>
      <c r="AJ1624"/>
      <c r="AK1624"/>
      <c r="AL1624"/>
      <c r="AM1624"/>
      <c r="AN1624"/>
      <c r="AO1624"/>
      <c r="AP1624"/>
      <c r="AQ1624"/>
      <c r="AR1624"/>
      <c r="AS1624"/>
      <c r="AT1624"/>
      <c r="AU1624"/>
      <c r="AV1624"/>
      <c r="AW1624"/>
      <c r="AX1624"/>
      <c r="AY1624"/>
      <c r="AZ1624"/>
      <c r="BA1624"/>
      <c r="BB1624"/>
      <c r="BC1624"/>
      <c r="BD1624"/>
      <c r="BE1624"/>
      <c r="BF1624"/>
      <c r="BG1624"/>
      <c r="BH1624"/>
      <c r="BI1624"/>
      <c r="BJ1624"/>
      <c r="BK1624"/>
      <c r="BL1624"/>
      <c r="BM1624"/>
      <c r="BN1624"/>
      <c r="BO1624"/>
      <c r="BP1624"/>
      <c r="BQ1624"/>
      <c r="BR1624"/>
      <c r="BS1624"/>
      <c r="BT1624"/>
      <c r="BU1624"/>
      <c r="BV1624"/>
      <c r="BW1624"/>
      <c r="BX1624"/>
      <c r="BY1624"/>
      <c r="BZ1624"/>
      <c r="CA1624"/>
      <c r="CB1624"/>
      <c r="CC1624"/>
      <c r="CD1624"/>
      <c r="CE1624"/>
      <c r="CF1624"/>
      <c r="CG1624"/>
      <c r="CH1624"/>
      <c r="CI1624"/>
      <c r="CJ1624"/>
      <c r="CK1624"/>
      <c r="CL1624"/>
      <c r="CM1624"/>
      <c r="CN1624"/>
      <c r="CO1624"/>
      <c r="CP1624"/>
      <c r="CQ1624"/>
      <c r="CR1624"/>
    </row>
    <row r="1625" spans="1:96" ht="15" customHeight="1">
      <c r="A1625" s="91"/>
      <c r="B1625" s="1003" t="str">
        <f>IF(OR($P$896=0,$P$896="NS",$P$896="NA"),"",IF(OR(AL1623&gt;=1,AL1622&gt;=1,AN1622&gt;=1,AP1622&gt;=1),"Favor de revisar la suma y consistencia de totales y/o subtotales por filas (numéricos y NS)",IF(CL1475&gt;0,"Favor de revisar la suma y consistencia de totales y/o subtotales de las desagregaciones de los tipos específicos","")))</f>
        <v/>
      </c>
      <c r="C1625" s="1003"/>
      <c r="D1625" s="1003"/>
      <c r="E1625" s="1003"/>
      <c r="F1625" s="1003"/>
      <c r="G1625" s="1003"/>
      <c r="H1625" s="1003"/>
      <c r="I1625" s="1003"/>
      <c r="J1625" s="1003"/>
      <c r="K1625" s="1003"/>
      <c r="L1625" s="1003"/>
      <c r="M1625" s="1003"/>
      <c r="N1625" s="1003"/>
      <c r="O1625" s="1003"/>
      <c r="P1625" s="1003"/>
      <c r="Q1625" s="1003"/>
      <c r="R1625" s="1003"/>
      <c r="S1625" s="1003"/>
      <c r="T1625" s="1003"/>
      <c r="U1625" s="1003"/>
      <c r="V1625" s="1003"/>
      <c r="W1625" s="1003"/>
      <c r="X1625" s="1003"/>
      <c r="Y1625" s="1003"/>
      <c r="Z1625" s="1003"/>
      <c r="AA1625" s="1003"/>
      <c r="AB1625" s="1003"/>
      <c r="AC1625" s="1003"/>
      <c r="AD1625" s="1003"/>
      <c r="AE1625" s="1003"/>
    </row>
    <row r="1626" spans="1:96" ht="15" customHeight="1">
      <c r="A1626" s="91"/>
      <c r="B1626" s="1003" t="str">
        <f>IF(OR($P$896=0,$P$896="NS",$P$896="NA"),"",IF(AND(P1446=P896,Q1446=Q896,R1446=R896,S1446=S896,T1446=T896,U1446=U896,V1446=V896,W1446=W896,X1446=X896,Y1446=Y896,Z1446=Z896,AA1446=AA896,AB1446=AB896,AC1446=AC896,AD1446=AD896,V1618=V905,W1618=W905,X1618=X905,Y1618=Y905,Z1618=Z905,AA1618=AA905,AB1618=AB905,AC1618=AC905,AD1618=AD905),IF(AF1446&gt;0,"Debido a que reportó NA para cierto delito, también anote NA en sus respectivos tipos específicos",""),"Las cantidades de Hombres y Mujeres debe corresponder con los datos reportados en la preg. 8.30 del numeral 2"))</f>
        <v/>
      </c>
      <c r="C1626" s="1003"/>
      <c r="D1626" s="1003"/>
      <c r="E1626" s="1003"/>
      <c r="F1626" s="1003"/>
      <c r="G1626" s="1003"/>
      <c r="H1626" s="1003"/>
      <c r="I1626" s="1003"/>
      <c r="J1626" s="1003"/>
      <c r="K1626" s="1003"/>
      <c r="L1626" s="1003"/>
      <c r="M1626" s="1003"/>
      <c r="N1626" s="1003"/>
      <c r="O1626" s="1003"/>
      <c r="P1626" s="1003"/>
      <c r="Q1626" s="1003"/>
      <c r="R1626" s="1003"/>
      <c r="S1626" s="1003"/>
      <c r="T1626" s="1003"/>
      <c r="U1626" s="1003"/>
      <c r="V1626" s="1003"/>
      <c r="W1626" s="1003"/>
      <c r="X1626" s="1003"/>
      <c r="Y1626" s="1003"/>
      <c r="Z1626" s="1003"/>
      <c r="AA1626" s="1003"/>
      <c r="AB1626" s="1003"/>
      <c r="AC1626" s="1003"/>
      <c r="AD1626" s="1003"/>
      <c r="AE1626" s="1003"/>
    </row>
    <row r="1627" spans="1:96" ht="15" customHeight="1" thickBot="1">
      <c r="A1627" s="91"/>
      <c r="B1627" s="1087" t="str">
        <f>IF(AJ1446&gt;0,"Alerta: si el total en Otros delitos es mayor al 25% por bien jurídico, anote el n. de los delitos en la casilla al final de la pregunta","")</f>
        <v/>
      </c>
      <c r="C1627" s="1087"/>
      <c r="D1627" s="1087"/>
      <c r="E1627" s="1087"/>
      <c r="F1627" s="1087"/>
      <c r="G1627" s="1087"/>
      <c r="H1627" s="1087"/>
      <c r="I1627" s="1087"/>
      <c r="J1627" s="1087"/>
      <c r="K1627" s="1087"/>
      <c r="L1627" s="1087"/>
      <c r="M1627" s="1087"/>
      <c r="N1627" s="1087"/>
      <c r="O1627" s="1087"/>
      <c r="P1627" s="1087"/>
      <c r="Q1627" s="1087"/>
      <c r="R1627" s="1087"/>
      <c r="S1627" s="1087"/>
      <c r="T1627" s="1087"/>
      <c r="U1627" s="1087"/>
      <c r="V1627" s="1087"/>
      <c r="W1627" s="1087"/>
      <c r="X1627" s="1087"/>
      <c r="Y1627" s="1087"/>
      <c r="Z1627" s="1087"/>
      <c r="AA1627" s="1087"/>
      <c r="AB1627" s="1087"/>
      <c r="AC1627" s="1087"/>
      <c r="AD1627" s="1087"/>
      <c r="AE1627" s="1087"/>
    </row>
    <row r="1628" spans="1:96" customFormat="1" ht="15" customHeight="1" thickBot="1">
      <c r="A1628" s="153" t="s">
        <v>2563</v>
      </c>
      <c r="B1628" s="1081" t="s">
        <v>5424</v>
      </c>
      <c r="C1628" s="1082"/>
      <c r="D1628" s="1082"/>
      <c r="E1628" s="1082"/>
      <c r="F1628" s="1082"/>
      <c r="G1628" s="1082"/>
      <c r="H1628" s="1082"/>
      <c r="I1628" s="1082"/>
      <c r="J1628" s="1082"/>
      <c r="K1628" s="1082"/>
      <c r="L1628" s="1082"/>
      <c r="M1628" s="1082"/>
      <c r="N1628" s="1082"/>
      <c r="O1628" s="1082"/>
      <c r="P1628" s="1082"/>
      <c r="Q1628" s="1082"/>
      <c r="R1628" s="1082"/>
      <c r="S1628" s="1082"/>
      <c r="T1628" s="1082"/>
      <c r="U1628" s="1082"/>
      <c r="V1628" s="1082"/>
      <c r="W1628" s="1082"/>
      <c r="X1628" s="1082"/>
      <c r="Y1628" s="1082"/>
      <c r="Z1628" s="1082"/>
      <c r="AA1628" s="1082"/>
      <c r="AB1628" s="1082"/>
      <c r="AC1628" s="1082"/>
      <c r="AD1628" s="1083"/>
      <c r="AE1628" s="3"/>
    </row>
    <row r="1629" spans="1:96" ht="15" customHeight="1">
      <c r="A1629" s="170"/>
    </row>
    <row r="1630" spans="1:96" ht="36" customHeight="1">
      <c r="A1630" s="49" t="s">
        <v>5425</v>
      </c>
      <c r="B1630" s="829" t="s">
        <v>5426</v>
      </c>
      <c r="C1630" s="829"/>
      <c r="D1630" s="829"/>
      <c r="E1630" s="829"/>
      <c r="F1630" s="829"/>
      <c r="G1630" s="829"/>
      <c r="H1630" s="829"/>
      <c r="I1630" s="829"/>
      <c r="J1630" s="829"/>
      <c r="K1630" s="829"/>
      <c r="L1630" s="829"/>
      <c r="M1630" s="829"/>
      <c r="N1630" s="829"/>
      <c r="O1630" s="829"/>
      <c r="P1630" s="829"/>
      <c r="Q1630" s="829"/>
      <c r="R1630" s="829"/>
      <c r="S1630" s="829"/>
      <c r="T1630" s="829"/>
      <c r="U1630" s="829"/>
      <c r="V1630" s="829"/>
      <c r="W1630" s="829"/>
      <c r="X1630" s="829"/>
      <c r="Y1630" s="829"/>
      <c r="Z1630" s="829"/>
      <c r="AA1630" s="829"/>
      <c r="AB1630" s="829"/>
      <c r="AC1630" s="829"/>
      <c r="AD1630" s="829"/>
    </row>
    <row r="1631" spans="1:96" ht="24" customHeight="1">
      <c r="A1631" s="49"/>
      <c r="B1631" s="105"/>
      <c r="C1631" s="754" t="s">
        <v>5128</v>
      </c>
      <c r="D1631" s="754"/>
      <c r="E1631" s="754"/>
      <c r="F1631" s="754"/>
      <c r="G1631" s="754"/>
      <c r="H1631" s="754"/>
      <c r="I1631" s="754"/>
      <c r="J1631" s="754"/>
      <c r="K1631" s="754"/>
      <c r="L1631" s="754"/>
      <c r="M1631" s="754"/>
      <c r="N1631" s="754"/>
      <c r="O1631" s="754"/>
      <c r="P1631" s="754"/>
      <c r="Q1631" s="754"/>
      <c r="R1631" s="754"/>
      <c r="S1631" s="754"/>
      <c r="T1631" s="754"/>
      <c r="U1631" s="754"/>
      <c r="V1631" s="754"/>
      <c r="W1631" s="754"/>
      <c r="X1631" s="754"/>
      <c r="Y1631" s="754"/>
      <c r="Z1631" s="754"/>
      <c r="AA1631" s="754"/>
      <c r="AB1631" s="754"/>
      <c r="AC1631" s="754"/>
      <c r="AD1631" s="754"/>
    </row>
    <row r="1632" spans="1:96" ht="24" customHeight="1">
      <c r="A1632" s="49"/>
      <c r="B1632" s="105"/>
      <c r="C1632" s="754" t="s">
        <v>5129</v>
      </c>
      <c r="D1632" s="754"/>
      <c r="E1632" s="754"/>
      <c r="F1632" s="754"/>
      <c r="G1632" s="754"/>
      <c r="H1632" s="754"/>
      <c r="I1632" s="754"/>
      <c r="J1632" s="754"/>
      <c r="K1632" s="754"/>
      <c r="L1632" s="754"/>
      <c r="M1632" s="754"/>
      <c r="N1632" s="754"/>
      <c r="O1632" s="754"/>
      <c r="P1632" s="754"/>
      <c r="Q1632" s="754"/>
      <c r="R1632" s="754"/>
      <c r="S1632" s="754"/>
      <c r="T1632" s="754"/>
      <c r="U1632" s="754"/>
      <c r="V1632" s="754"/>
      <c r="W1632" s="754"/>
      <c r="X1632" s="754"/>
      <c r="Y1632" s="754"/>
      <c r="Z1632" s="754"/>
      <c r="AA1632" s="754"/>
      <c r="AB1632" s="754"/>
      <c r="AC1632" s="754"/>
      <c r="AD1632" s="754"/>
    </row>
    <row r="1633" spans="1:72" ht="15" customHeight="1">
      <c r="A1633" s="108"/>
      <c r="B1633" s="38"/>
      <c r="C1633" s="38"/>
      <c r="D1633" s="38"/>
      <c r="E1633" s="38"/>
      <c r="F1633" s="38"/>
      <c r="G1633" s="38"/>
      <c r="H1633" s="38"/>
      <c r="I1633" s="38"/>
      <c r="J1633" s="38"/>
      <c r="K1633" s="38"/>
      <c r="L1633" s="38"/>
      <c r="M1633" s="38"/>
      <c r="N1633" s="38"/>
      <c r="O1633" s="38"/>
      <c r="P1633" s="38"/>
      <c r="Q1633" s="38"/>
      <c r="R1633" s="38"/>
      <c r="S1633" s="38"/>
      <c r="T1633" s="38"/>
      <c r="U1633" s="38"/>
      <c r="V1633" s="38"/>
      <c r="W1633" s="38"/>
      <c r="X1633" s="38"/>
      <c r="Y1633" s="38"/>
      <c r="Z1633" s="38"/>
      <c r="AA1633" s="38"/>
      <c r="AB1633" s="38"/>
      <c r="AC1633" s="38"/>
      <c r="AD1633" s="38"/>
    </row>
    <row r="1634" spans="1:72" ht="15" customHeight="1">
      <c r="A1634" s="108"/>
      <c r="B1634" s="38"/>
      <c r="C1634" s="75"/>
      <c r="D1634" s="75"/>
      <c r="E1634" s="75"/>
      <c r="F1634" s="75"/>
      <c r="G1634" s="75"/>
      <c r="H1634" s="75"/>
      <c r="I1634" s="75"/>
      <c r="J1634" s="75"/>
      <c r="K1634" s="75"/>
      <c r="L1634" s="75"/>
      <c r="M1634" s="75"/>
      <c r="N1634" s="75"/>
      <c r="O1634" s="75"/>
      <c r="P1634" s="75"/>
      <c r="Q1634" s="75"/>
      <c r="R1634" s="75"/>
      <c r="S1634" s="75"/>
      <c r="T1634" s="75"/>
      <c r="U1634" s="75"/>
      <c r="V1634" s="75"/>
      <c r="W1634" s="75"/>
      <c r="X1634" s="75"/>
      <c r="Y1634" s="75"/>
      <c r="Z1634" s="75"/>
      <c r="AA1634" s="873" t="s">
        <v>2664</v>
      </c>
      <c r="AB1634" s="873"/>
      <c r="AC1634" s="873"/>
      <c r="AD1634" s="873"/>
    </row>
    <row r="1635" spans="1:72" ht="60" customHeight="1">
      <c r="A1635" s="49"/>
      <c r="B1635" s="38"/>
      <c r="C1635" s="732" t="s">
        <v>5130</v>
      </c>
      <c r="D1635" s="732"/>
      <c r="E1635" s="732"/>
      <c r="F1635" s="732"/>
      <c r="G1635" s="732"/>
      <c r="H1635" s="732"/>
      <c r="I1635" s="732"/>
      <c r="J1635" s="732"/>
      <c r="K1635" s="732"/>
      <c r="L1635" s="732"/>
      <c r="M1635" s="732"/>
      <c r="N1635" s="732"/>
      <c r="O1635" s="732"/>
      <c r="P1635" s="732" t="s">
        <v>5427</v>
      </c>
      <c r="Q1635" s="732"/>
      <c r="R1635" s="732"/>
      <c r="S1635" s="732"/>
      <c r="T1635" s="732"/>
      <c r="U1635" s="732"/>
      <c r="V1635" s="732"/>
      <c r="W1635" s="732"/>
      <c r="X1635" s="732"/>
      <c r="Y1635" s="732"/>
      <c r="Z1635" s="732"/>
      <c r="AA1635" s="732"/>
      <c r="AB1635" s="732"/>
      <c r="AC1635" s="732"/>
      <c r="AD1635" s="732"/>
    </row>
    <row r="1636" spans="1:72" ht="24" customHeight="1">
      <c r="A1636" s="49"/>
      <c r="B1636" s="38"/>
      <c r="C1636" s="732"/>
      <c r="D1636" s="732"/>
      <c r="E1636" s="732"/>
      <c r="F1636" s="732"/>
      <c r="G1636" s="732"/>
      <c r="H1636" s="732"/>
      <c r="I1636" s="732"/>
      <c r="J1636" s="732"/>
      <c r="K1636" s="732"/>
      <c r="L1636" s="732"/>
      <c r="M1636" s="732"/>
      <c r="N1636" s="732"/>
      <c r="O1636" s="732"/>
      <c r="P1636" s="874" t="s">
        <v>2628</v>
      </c>
      <c r="Q1636" s="857" t="s">
        <v>2629</v>
      </c>
      <c r="R1636" s="857" t="s">
        <v>2630</v>
      </c>
      <c r="S1636" s="818" t="s">
        <v>4591</v>
      </c>
      <c r="T1636" s="819"/>
      <c r="U1636" s="820"/>
      <c r="V1636" s="733" t="s">
        <v>4592</v>
      </c>
      <c r="W1636" s="734"/>
      <c r="X1636" s="734"/>
      <c r="Y1636" s="734"/>
      <c r="Z1636" s="734"/>
      <c r="AA1636" s="734"/>
      <c r="AB1636" s="734"/>
      <c r="AC1636" s="734"/>
      <c r="AD1636" s="735"/>
    </row>
    <row r="1637" spans="1:72" ht="96" customHeight="1">
      <c r="A1637" s="49"/>
      <c r="B1637" s="38"/>
      <c r="C1637" s="732"/>
      <c r="D1637" s="732"/>
      <c r="E1637" s="732"/>
      <c r="F1637" s="732"/>
      <c r="G1637" s="732"/>
      <c r="H1637" s="732"/>
      <c r="I1637" s="732"/>
      <c r="J1637" s="732"/>
      <c r="K1637" s="732"/>
      <c r="L1637" s="732"/>
      <c r="M1637" s="732"/>
      <c r="N1637" s="732"/>
      <c r="O1637" s="732"/>
      <c r="P1637" s="874"/>
      <c r="Q1637" s="857"/>
      <c r="R1637" s="857"/>
      <c r="S1637" s="824"/>
      <c r="T1637" s="825"/>
      <c r="U1637" s="826"/>
      <c r="V1637" s="858" t="s">
        <v>5174</v>
      </c>
      <c r="W1637" s="859"/>
      <c r="X1637" s="860"/>
      <c r="Y1637" s="857" t="s">
        <v>5175</v>
      </c>
      <c r="Z1637" s="857"/>
      <c r="AA1637" s="857"/>
      <c r="AB1637" s="857" t="s">
        <v>5176</v>
      </c>
      <c r="AC1637" s="857"/>
      <c r="AD1637" s="857"/>
    </row>
    <row r="1638" spans="1:72" ht="48" customHeight="1">
      <c r="A1638" s="49"/>
      <c r="B1638" s="38"/>
      <c r="C1638" s="732"/>
      <c r="D1638" s="732"/>
      <c r="E1638" s="732"/>
      <c r="F1638" s="732"/>
      <c r="G1638" s="732"/>
      <c r="H1638" s="732"/>
      <c r="I1638" s="732"/>
      <c r="J1638" s="732"/>
      <c r="K1638" s="732"/>
      <c r="L1638" s="732"/>
      <c r="M1638" s="732"/>
      <c r="N1638" s="732"/>
      <c r="O1638" s="732"/>
      <c r="P1638" s="874"/>
      <c r="Q1638" s="857"/>
      <c r="R1638" s="857"/>
      <c r="S1638" s="127" t="s">
        <v>2635</v>
      </c>
      <c r="T1638" s="128" t="s">
        <v>2629</v>
      </c>
      <c r="U1638" s="128" t="s">
        <v>2630</v>
      </c>
      <c r="V1638" s="127" t="s">
        <v>2635</v>
      </c>
      <c r="W1638" s="128" t="s">
        <v>2629</v>
      </c>
      <c r="X1638" s="128" t="s">
        <v>2630</v>
      </c>
      <c r="Y1638" s="127" t="s">
        <v>2635</v>
      </c>
      <c r="Z1638" s="128" t="s">
        <v>2629</v>
      </c>
      <c r="AA1638" s="128" t="s">
        <v>2630</v>
      </c>
      <c r="AB1638" s="127" t="s">
        <v>2635</v>
      </c>
      <c r="AC1638" s="128" t="s">
        <v>2629</v>
      </c>
      <c r="AD1638" s="128" t="s">
        <v>2630</v>
      </c>
      <c r="AF1638" s="576" t="s">
        <v>4740</v>
      </c>
      <c r="AI1638"/>
      <c r="AJ1638"/>
      <c r="AK1638"/>
      <c r="AL1638"/>
      <c r="AM1638"/>
      <c r="AN1638"/>
      <c r="AO1638"/>
      <c r="AP1638"/>
      <c r="AQ1638"/>
      <c r="AR1638"/>
      <c r="AS1638"/>
      <c r="AT1638"/>
      <c r="AU1638"/>
      <c r="AV1638"/>
      <c r="AW1638"/>
      <c r="AX1638"/>
      <c r="AY1638"/>
      <c r="AZ1638"/>
      <c r="BA1638" t="s">
        <v>4766</v>
      </c>
      <c r="BB1638" t="s">
        <v>4767</v>
      </c>
      <c r="BC1638" t="s">
        <v>4768</v>
      </c>
      <c r="BD1638" t="s">
        <v>4769</v>
      </c>
      <c r="BE1638">
        <f>COUNTIF(P1644:P1646,"NS")</f>
        <v>0</v>
      </c>
      <c r="BF1638">
        <f t="shared" ref="BF1638:BS1638" si="943">COUNTIF(Q1644:Q1646,"NS")</f>
        <v>0</v>
      </c>
      <c r="BG1638">
        <f t="shared" si="943"/>
        <v>0</v>
      </c>
      <c r="BH1638">
        <f t="shared" si="943"/>
        <v>0</v>
      </c>
      <c r="BI1638">
        <f t="shared" si="943"/>
        <v>0</v>
      </c>
      <c r="BJ1638">
        <f t="shared" si="943"/>
        <v>0</v>
      </c>
      <c r="BK1638">
        <f t="shared" si="943"/>
        <v>0</v>
      </c>
      <c r="BL1638">
        <f t="shared" si="943"/>
        <v>0</v>
      </c>
      <c r="BM1638">
        <f t="shared" si="943"/>
        <v>0</v>
      </c>
      <c r="BN1638">
        <f t="shared" si="943"/>
        <v>0</v>
      </c>
      <c r="BO1638">
        <f t="shared" si="943"/>
        <v>0</v>
      </c>
      <c r="BP1638">
        <f t="shared" si="943"/>
        <v>0</v>
      </c>
      <c r="BQ1638">
        <f t="shared" si="943"/>
        <v>0</v>
      </c>
      <c r="BR1638">
        <f t="shared" si="943"/>
        <v>0</v>
      </c>
      <c r="BS1638">
        <f t="shared" si="943"/>
        <v>0</v>
      </c>
      <c r="BT1638"/>
    </row>
    <row r="1639" spans="1:72" ht="15" customHeight="1">
      <c r="A1639" s="50"/>
      <c r="B1639" s="38"/>
      <c r="C1639" s="733" t="s">
        <v>4745</v>
      </c>
      <c r="D1639" s="734"/>
      <c r="E1639" s="734"/>
      <c r="F1639" s="735"/>
      <c r="G1639" s="813" t="s">
        <v>3875</v>
      </c>
      <c r="H1639" s="814"/>
      <c r="I1639" s="814"/>
      <c r="J1639" s="814"/>
      <c r="K1639" s="814"/>
      <c r="L1639" s="814"/>
      <c r="M1639" s="814"/>
      <c r="N1639" s="814"/>
      <c r="O1639" s="815"/>
      <c r="P1639" s="124" t="str">
        <f>IF(AND(P925="",P1281=""),"",IF(AND(SUM(P925,P1281)=0,SUM(COUNTIF(P925,"NS"),COUNTIF(P1281,"NS"))&gt;0),"NS",IF(AND(SUM(P925,P1281)=0,SUM(COUNTIF(P925,0),COUNTIF(P1281,0))&gt;0),0,IF(AND(SUM(P925,P1281)=0,SUM(COUNTIF(P925,"NA"),COUNTIF(P1281,"NA"))&gt;0),"NA",SUM(P925,P1281)))))</f>
        <v/>
      </c>
      <c r="Q1639" s="124" t="str">
        <f t="shared" ref="Q1639:AD1639" si="944">IF(AND(Q925="",Q1281=""),"",IF($P$1639="NA","",IF(AND(SUM(Q925,Q1281)=0,SUM(COUNTIF(Q925,"NS"),COUNTIF(Q1281,"NS"))&gt;0),"NS",IF(AND(SUM(Q925,Q1281)=0,SUM(COUNTIF(Q925,0),COUNTIF(Q1281,0))&gt;0),0,IF(AND(SUM(Q925,Q1281)=0,SUM(COUNTIF(Q925,"NA"),COUNTIF(Q1281,"NA"))&gt;0),"NA",SUM(Q925,Q1281))))))</f>
        <v/>
      </c>
      <c r="R1639" s="124" t="str">
        <f t="shared" si="944"/>
        <v/>
      </c>
      <c r="S1639" s="124" t="str">
        <f t="shared" si="944"/>
        <v/>
      </c>
      <c r="T1639" s="124" t="str">
        <f t="shared" si="944"/>
        <v/>
      </c>
      <c r="U1639" s="124" t="str">
        <f t="shared" si="944"/>
        <v/>
      </c>
      <c r="V1639" s="124" t="str">
        <f t="shared" si="944"/>
        <v/>
      </c>
      <c r="W1639" s="124" t="str">
        <f t="shared" si="944"/>
        <v/>
      </c>
      <c r="X1639" s="124" t="str">
        <f t="shared" si="944"/>
        <v/>
      </c>
      <c r="Y1639" s="124" t="str">
        <f t="shared" si="944"/>
        <v/>
      </c>
      <c r="Z1639" s="124" t="str">
        <f t="shared" si="944"/>
        <v/>
      </c>
      <c r="AA1639" s="124" t="str">
        <f t="shared" si="944"/>
        <v/>
      </c>
      <c r="AB1639" s="124" t="str">
        <f t="shared" si="944"/>
        <v/>
      </c>
      <c r="AC1639" s="124" t="str">
        <f t="shared" si="944"/>
        <v/>
      </c>
      <c r="AD1639" s="124" t="str">
        <f t="shared" si="944"/>
        <v/>
      </c>
      <c r="AF1639">
        <f>IF(P1639="NA",IF(AND(COUNTIF(P1640:P1642,"="&amp;$AF$1636)=0,COUNTIF(P1640:P1642,"&lt;&gt;NA")&gt;0),1,0),IF(AND(COUNTIF(P1640:P1642,"="&amp;$AF$1636)=0,COUNTIF(P1640:P1642,"NA")=COUNTIF(P1640:P1642,"&lt;&gt;"&amp;$AF$1636)),1,0))</f>
        <v>0</v>
      </c>
      <c r="AG1639" t="s">
        <v>2586</v>
      </c>
      <c r="AH1639" t="s">
        <v>4599</v>
      </c>
      <c r="AI1639"/>
      <c r="AJ1639"/>
      <c r="AK1639" t="s">
        <v>4573</v>
      </c>
      <c r="AL1639" t="s">
        <v>2638</v>
      </c>
      <c r="AM1639" t="s">
        <v>2639</v>
      </c>
      <c r="AN1639" t="s">
        <v>4574</v>
      </c>
      <c r="AO1639" t="s">
        <v>2641</v>
      </c>
      <c r="AP1639" t="s">
        <v>2642</v>
      </c>
      <c r="AQ1639" t="s">
        <v>4575</v>
      </c>
      <c r="AR1639" t="s">
        <v>2644</v>
      </c>
      <c r="AS1639" t="s">
        <v>2645</v>
      </c>
      <c r="AT1639" t="s">
        <v>4576</v>
      </c>
      <c r="AU1639" t="s">
        <v>2647</v>
      </c>
      <c r="AV1639" t="s">
        <v>2648</v>
      </c>
      <c r="AW1639" t="s">
        <v>5177</v>
      </c>
      <c r="AX1639" t="s">
        <v>2757</v>
      </c>
      <c r="AY1639" t="s">
        <v>2758</v>
      </c>
      <c r="AZ1639"/>
      <c r="BA1639">
        <f>COUNTIF(P1640:P1642,"NS")</f>
        <v>0</v>
      </c>
      <c r="BB1639">
        <f>SUM(P1640:P1642)</f>
        <v>0</v>
      </c>
      <c r="BC1639">
        <f>IF(COUNTBLANK(P1639:P1642)=4,0,IF(OR(AND(P1639=0,BA1639&gt;0),AND(P1639="ns",BB1639&gt;0),AND(P1639="ns",BA1639=0,BB1639=0)),1,IF(OR(AND(BA1639&gt;=2,P1639&gt;BB1639),AND(P1639="ns",BB1639=0,BA1639&gt;0),P1639=BB1639),0,1)))</f>
        <v>0</v>
      </c>
      <c r="BD1639" t="s">
        <v>4770</v>
      </c>
      <c r="BE1639">
        <f>SUM(P1644:P1646)</f>
        <v>0</v>
      </c>
      <c r="BF1639">
        <f t="shared" ref="BF1639:BR1639" si="945">SUM(Q1644:Q1646)</f>
        <v>0</v>
      </c>
      <c r="BG1639">
        <f t="shared" si="945"/>
        <v>0</v>
      </c>
      <c r="BH1639">
        <f t="shared" si="945"/>
        <v>0</v>
      </c>
      <c r="BI1639">
        <f t="shared" si="945"/>
        <v>0</v>
      </c>
      <c r="BJ1639">
        <f t="shared" si="945"/>
        <v>0</v>
      </c>
      <c r="BK1639">
        <f t="shared" si="945"/>
        <v>0</v>
      </c>
      <c r="BL1639">
        <f t="shared" si="945"/>
        <v>0</v>
      </c>
      <c r="BM1639">
        <f t="shared" si="945"/>
        <v>0</v>
      </c>
      <c r="BN1639">
        <f t="shared" si="945"/>
        <v>0</v>
      </c>
      <c r="BO1639">
        <f t="shared" si="945"/>
        <v>0</v>
      </c>
      <c r="BP1639">
        <f t="shared" si="945"/>
        <v>0</v>
      </c>
      <c r="BQ1639">
        <f t="shared" si="945"/>
        <v>0</v>
      </c>
      <c r="BR1639">
        <f t="shared" si="945"/>
        <v>0</v>
      </c>
      <c r="BS1639">
        <f>SUM(AD1644:AD1646)</f>
        <v>0</v>
      </c>
      <c r="BT1639"/>
    </row>
    <row r="1640" spans="1:72" ht="15" customHeight="1">
      <c r="A1640" s="50"/>
      <c r="B1640" s="38"/>
      <c r="C1640" s="1119" t="s">
        <v>5132</v>
      </c>
      <c r="D1640" s="1121"/>
      <c r="E1640" s="1121"/>
      <c r="F1640" s="1120"/>
      <c r="G1640" s="173"/>
      <c r="H1640" s="1126" t="s">
        <v>3876</v>
      </c>
      <c r="I1640" s="1126"/>
      <c r="J1640" s="1126"/>
      <c r="K1640" s="1126"/>
      <c r="L1640" s="1126"/>
      <c r="M1640" s="1126"/>
      <c r="N1640" s="1126"/>
      <c r="O1640" s="1127"/>
      <c r="P1640" s="100"/>
      <c r="Q1640" s="100"/>
      <c r="R1640" s="100"/>
      <c r="S1640" s="100"/>
      <c r="T1640" s="100"/>
      <c r="U1640" s="100"/>
      <c r="V1640" s="100"/>
      <c r="W1640" s="100"/>
      <c r="X1640" s="100"/>
      <c r="Y1640" s="100"/>
      <c r="Z1640" s="100"/>
      <c r="AA1640" s="100"/>
      <c r="AB1640" s="100"/>
      <c r="AC1640" s="100"/>
      <c r="AD1640" s="100"/>
      <c r="AF1640"/>
      <c r="AG1640">
        <f>IF(AND(P1640="NA",$P$1639&lt;&gt;""),0,IF(AND($P$1639="",COUNTA(P1640:AD1640,V1686:AD1686)&gt;0),1,IF(OR(AND($P$1639&lt;&gt;"",COUNTA(P1640:AD1640,V1686:AD1686)=24),AND($P$1639="",COUNTA(P1640:AD1640,V1686:AD1686)=0)),0,1)))</f>
        <v>0</v>
      </c>
      <c r="AH1640">
        <f>IF(P1640="NA",IF(COUNTA(Q1640:AD1640,V1686:AD1686)=0,0,1),0)</f>
        <v>0</v>
      </c>
      <c r="AI1640"/>
      <c r="AJ1640"/>
      <c r="AK1640">
        <f>COUNTIF(Q1640:R1640,"NS")</f>
        <v>0</v>
      </c>
      <c r="AL1640">
        <f>SUM(Q1640:R1640)</f>
        <v>0</v>
      </c>
      <c r="AM1640">
        <f>IF(COUNTIF(P1640:R1640,"NA")=3,0,IF(COUNTA(P1640:R1640)=0,0,IF(OR(AND(P1640=0,AK1640&gt;0),AND(P1640="ns",AL1640&gt;0),AND(P1640="ns",AK1640=0,AL1640=0)),1,IF(OR(AND(P1640&gt;0,AK1640=2),AND(P1640="ns",AK1640=2),AND(P1640="ns",AL1640=0,AK1640&gt;0),P1640=AL1640),0,1))))</f>
        <v>0</v>
      </c>
      <c r="AN1640">
        <f t="shared" ref="AN1640:AN1642" si="946">COUNTIF(T1640:U1640,"NS")</f>
        <v>0</v>
      </c>
      <c r="AO1640">
        <f t="shared" ref="AO1640:AO1642" si="947">SUM(T1640:U1640)</f>
        <v>0</v>
      </c>
      <c r="AP1640">
        <f t="shared" ref="AP1640:AP1642" si="948">IF(COUNTIF(S1640:U1640,"NA")=3,0,IF(COUNTA(S1640:U1640)=0,0,IF(OR(AND(S1640=0,AN1640&gt;0),AND(S1640="ns",AO1640&gt;0),AND(S1640="ns",AN1640=0,AO1640=0)),1,IF(OR(AND(S1640&gt;0,AN1640=2),AND(S1640="ns",AN1640=2),AND(S1640="ns",AO1640=0,AN1640&gt;0),S1640=AO1640),0,1))))</f>
        <v>0</v>
      </c>
      <c r="AQ1640">
        <f t="shared" ref="AQ1640:AQ1642" si="949">COUNTIF(W1640:X1640,"NS")</f>
        <v>0</v>
      </c>
      <c r="AR1640">
        <f t="shared" ref="AR1640:AR1642" si="950">SUM(W1640:X1640)</f>
        <v>0</v>
      </c>
      <c r="AS1640">
        <f t="shared" ref="AS1640:AS1642" si="951">IF(COUNTIF(V1640:X1640,"NA")=3,0,IF(COUNTA(V1640:X1640)=0,0,IF(OR(AND(V1640=0,AQ1640&gt;0),AND(V1640="ns",AR1640&gt;0),AND(V1640="ns",AQ1640=0,AR1640=0)),1,IF(OR(AND(V1640&gt;0,AQ1640=2),AND(V1640="ns",AQ1640=2),AND(V1640="ns",AR1640=0,AQ1640&gt;0),V1640=AR1640),0,1))))</f>
        <v>0</v>
      </c>
      <c r="AT1640">
        <f t="shared" ref="AT1640:AT1642" si="952">COUNTIF(Z1640:AA1640,"NS")</f>
        <v>0</v>
      </c>
      <c r="AU1640">
        <f t="shared" ref="AU1640:AU1642" si="953">SUM(Z1640:AA1640)</f>
        <v>0</v>
      </c>
      <c r="AV1640">
        <f t="shared" ref="AV1640:AV1642" si="954">IF(COUNTIF(Y1640:AA1640,"NA")=3,0,IF(COUNTA(Y1640:AA1640)=0,0,IF(OR(AND(Y1640=0,AT1640&gt;0),AND(Y1640="ns",AU1640&gt;0),AND(Y1640="ns",AT1640=0,AU1640=0)),1,IF(OR(AND(Y1640&gt;0,AT1640=2),AND(Y1640="ns",AT1640=2),AND(Y1640="ns",AU1640=0,AT1640&gt;0),Y1640=AU1640),0,1))))</f>
        <v>0</v>
      </c>
      <c r="AW1640">
        <f t="shared" ref="AW1640:AW1642" si="955">COUNTIF(AC1640:AD1640,"NS")</f>
        <v>0</v>
      </c>
      <c r="AX1640">
        <f t="shared" ref="AX1640:AX1642" si="956">SUM(AC1640:AD1640)</f>
        <v>0</v>
      </c>
      <c r="AY1640">
        <f t="shared" ref="AY1640:AY1642" si="957">IF(COUNTIF(AB1640:AD1640,"NA")=3,0,IF(COUNTA(AB1640:AD1640)=0,0,IF(OR(AND(AB1640=0,AW1640&gt;0),AND(AB1640="ns",AX1640&gt;0),AND(AB1640="ns",AW1640=0,AX1640=0)),1,IF(OR(AND(AB1640&gt;0,AW1640=2),AND(AB1640="ns",AW1640=2),AND(AB1640="ns",AX1640=0,AW1640&gt;0),AB1640=AX1640),0,1))))</f>
        <v>0</v>
      </c>
      <c r="AZ1640"/>
      <c r="BA1640">
        <f>COUNTIF(Q1640:Q1642,"NS")</f>
        <v>0</v>
      </c>
      <c r="BB1640">
        <f>SUM(Q1640:Q1642)</f>
        <v>0</v>
      </c>
      <c r="BC1640">
        <f>IF(COUNTBLANK(Q1639:Q1642)=4,0,IF(OR(AND(Q1639=0,BA1640&gt;0),AND(Q1639="ns",BB1640&gt;0),AND(Q1639="ns",BA1640=0,BB1640=0)),1,IF(OR(AND(BA1640&gt;=2,Q1639&gt;BB1640),AND(Q1639="ns",BB1640=0,BA1640&gt;0),Q1639=BB1640),0,1)))</f>
        <v>0</v>
      </c>
      <c r="BD1640" t="s">
        <v>4771</v>
      </c>
      <c r="BE1640">
        <f>IF(COUNTBLANK(P1643:P1646)=4,0,IF(OR(AND(P1643=0,BE1638&gt;0),AND(P1643="ns",BE1639&gt;0),AND(P1643="ns",BE1638=0,BE1639=0)),1,IF(OR(AND(BE1638&gt;=2,P1643&gt;BE1639),AND(P1643="ns",BE1639=0,BE1638&gt;0),P1643=BE1639),0,1)))</f>
        <v>0</v>
      </c>
      <c r="BF1640">
        <f t="shared" ref="BF1640:BR1640" si="958">IF(COUNTBLANK(Q1643:Q1646)=4,0,IF(OR(AND(Q1643=0,BF1638&gt;0),AND(Q1643="ns",BF1639&gt;0),AND(Q1643="ns",BF1638=0,BF1639=0)),1,IF(OR(AND(BF1638&gt;=2,Q1643&gt;BF1639),AND(Q1643="ns",BF1639=0,BF1638&gt;0),Q1643=BF1639),0,1)))</f>
        <v>0</v>
      </c>
      <c r="BG1640">
        <f t="shared" si="958"/>
        <v>0</v>
      </c>
      <c r="BH1640">
        <f t="shared" si="958"/>
        <v>0</v>
      </c>
      <c r="BI1640">
        <f t="shared" si="958"/>
        <v>0</v>
      </c>
      <c r="BJ1640">
        <f t="shared" si="958"/>
        <v>0</v>
      </c>
      <c r="BK1640">
        <f t="shared" si="958"/>
        <v>0</v>
      </c>
      <c r="BL1640">
        <f t="shared" si="958"/>
        <v>0</v>
      </c>
      <c r="BM1640">
        <f t="shared" si="958"/>
        <v>0</v>
      </c>
      <c r="BN1640">
        <f t="shared" si="958"/>
        <v>0</v>
      </c>
      <c r="BO1640">
        <f t="shared" si="958"/>
        <v>0</v>
      </c>
      <c r="BP1640">
        <f t="shared" si="958"/>
        <v>0</v>
      </c>
      <c r="BQ1640">
        <f t="shared" si="958"/>
        <v>0</v>
      </c>
      <c r="BR1640">
        <f t="shared" si="958"/>
        <v>0</v>
      </c>
      <c r="BS1640">
        <f>IF(COUNTBLANK(AD1643:AD1646)=4,0,IF(OR(AND(AD1643=0,BS1638&gt;0),AND(AD1643="ns",BS1639&gt;0),AND(AD1643="ns",BS1638=0,BS1639=0)),1,IF(OR(AND(BS1638&gt;=2,AD1643&gt;BS1639),AND(AD1643="ns",BS1639=0,BS1638&gt;0),AD1643=BS1639),0,1)))</f>
        <v>0</v>
      </c>
      <c r="BT1640" s="702">
        <f>SUM(BE1640:BS1640)</f>
        <v>0</v>
      </c>
    </row>
    <row r="1641" spans="1:72" ht="15" customHeight="1">
      <c r="A1641" s="50"/>
      <c r="B1641" s="38"/>
      <c r="C1641" s="1119" t="s">
        <v>5133</v>
      </c>
      <c r="D1641" s="1121"/>
      <c r="E1641" s="1121"/>
      <c r="F1641" s="1120"/>
      <c r="G1641" s="174"/>
      <c r="H1641" s="1122" t="s">
        <v>3877</v>
      </c>
      <c r="I1641" s="1122"/>
      <c r="J1641" s="1122"/>
      <c r="K1641" s="1122"/>
      <c r="L1641" s="1122"/>
      <c r="M1641" s="1122"/>
      <c r="N1641" s="1122"/>
      <c r="O1641" s="1123"/>
      <c r="P1641" s="100"/>
      <c r="Q1641" s="100"/>
      <c r="R1641" s="100"/>
      <c r="S1641" s="100"/>
      <c r="T1641" s="100"/>
      <c r="U1641" s="100"/>
      <c r="V1641" s="100"/>
      <c r="W1641" s="100"/>
      <c r="X1641" s="100"/>
      <c r="Y1641" s="100"/>
      <c r="Z1641" s="100"/>
      <c r="AA1641" s="100"/>
      <c r="AB1641" s="100"/>
      <c r="AC1641" s="100"/>
      <c r="AD1641" s="100"/>
      <c r="AF1641"/>
      <c r="AG1641">
        <f t="shared" ref="AG1641:AG1642" si="959">IF(AND(P1641="NA",$P$1639&lt;&gt;""),0,IF(AND($P$1639="",COUNTA(P1641:AD1641,V1687:AD1687)&gt;0),1,IF(OR(AND($P$1639&lt;&gt;"",COUNTA(P1641:AD1641,V1687:AD1687)=24),AND($P$1639="",COUNTA(P1641:AD1641,V1687:AD1687)=0)),0,1)))</f>
        <v>0</v>
      </c>
      <c r="AH1641">
        <f>IF(P1641="NA",IF(COUNTA(Q1641:AD1641,V1687:AD1687)=0,0,1),0)</f>
        <v>0</v>
      </c>
      <c r="AI1641"/>
      <c r="AJ1641"/>
      <c r="AK1641">
        <f t="shared" ref="AK1641:AK1642" si="960">COUNTIF(Q1641:R1641,"NS")</f>
        <v>0</v>
      </c>
      <c r="AL1641">
        <f t="shared" ref="AL1641:AL1642" si="961">SUM(Q1641:R1641)</f>
        <v>0</v>
      </c>
      <c r="AM1641">
        <f t="shared" ref="AM1641:AM1642" si="962">IF(COUNTIF(P1641:R1641,"NA")=3,0,IF(COUNTA(P1641:R1641)=0,0,IF(OR(AND(P1641=0,AK1641&gt;0),AND(P1641="ns",AL1641&gt;0),AND(P1641="ns",AK1641=0,AL1641=0)),1,IF(OR(AND(P1641&gt;0,AK1641=2),AND(P1641="ns",AK1641=2),AND(P1641="ns",AL1641=0,AK1641&gt;0),P1641=AL1641),0,1))))</f>
        <v>0</v>
      </c>
      <c r="AN1641">
        <f t="shared" si="946"/>
        <v>0</v>
      </c>
      <c r="AO1641">
        <f t="shared" si="947"/>
        <v>0</v>
      </c>
      <c r="AP1641">
        <f t="shared" si="948"/>
        <v>0</v>
      </c>
      <c r="AQ1641">
        <f t="shared" si="949"/>
        <v>0</v>
      </c>
      <c r="AR1641">
        <f t="shared" si="950"/>
        <v>0</v>
      </c>
      <c r="AS1641">
        <f t="shared" si="951"/>
        <v>0</v>
      </c>
      <c r="AT1641">
        <f t="shared" si="952"/>
        <v>0</v>
      </c>
      <c r="AU1641">
        <f t="shared" si="953"/>
        <v>0</v>
      </c>
      <c r="AV1641">
        <f t="shared" si="954"/>
        <v>0</v>
      </c>
      <c r="AW1641">
        <f t="shared" si="955"/>
        <v>0</v>
      </c>
      <c r="AX1641">
        <f t="shared" si="956"/>
        <v>0</v>
      </c>
      <c r="AY1641">
        <f t="shared" si="957"/>
        <v>0</v>
      </c>
      <c r="AZ1641"/>
      <c r="BA1641">
        <f>COUNTIF(R1640:R1642,"NS")</f>
        <v>0</v>
      </c>
      <c r="BB1641">
        <f>SUM(R1640:R1642)</f>
        <v>0</v>
      </c>
      <c r="BC1641">
        <f>IF(COUNTBLANK(R1639:R1642)=4,0,IF(OR(AND(R1639=0,BA1641&gt;0),AND(R1639="ns",BB1641&gt;0),AND(R1639="ns",BA1641=0,BB1641=0)),1,IF(OR(AND(BA1641&gt;=2,R1639&gt;BB1641),AND(R1639="ns",BB1641=0,BA1641&gt;0),R1639=BB1641),0,1)))</f>
        <v>0</v>
      </c>
      <c r="BD1641"/>
      <c r="BE1641"/>
      <c r="BF1641"/>
      <c r="BG1641"/>
      <c r="BH1641"/>
      <c r="BI1641"/>
      <c r="BJ1641"/>
      <c r="BK1641"/>
      <c r="BL1641"/>
      <c r="BM1641"/>
      <c r="BN1641"/>
      <c r="BO1641"/>
      <c r="BP1641"/>
      <c r="BQ1641"/>
      <c r="BR1641"/>
      <c r="BS1641"/>
      <c r="BT1641"/>
    </row>
    <row r="1642" spans="1:72" ht="15" customHeight="1">
      <c r="A1642" s="50"/>
      <c r="B1642" s="38"/>
      <c r="C1642" s="1119" t="s">
        <v>5134</v>
      </c>
      <c r="D1642" s="1121"/>
      <c r="E1642" s="1121"/>
      <c r="F1642" s="1120"/>
      <c r="G1642" s="175"/>
      <c r="H1642" s="1124" t="s">
        <v>201</v>
      </c>
      <c r="I1642" s="1124"/>
      <c r="J1642" s="1124"/>
      <c r="K1642" s="1124"/>
      <c r="L1642" s="1124"/>
      <c r="M1642" s="1124"/>
      <c r="N1642" s="1124"/>
      <c r="O1642" s="1125"/>
      <c r="P1642" s="100"/>
      <c r="Q1642" s="100"/>
      <c r="R1642" s="100"/>
      <c r="S1642" s="100"/>
      <c r="T1642" s="100"/>
      <c r="U1642" s="100"/>
      <c r="V1642" s="100"/>
      <c r="W1642" s="100"/>
      <c r="X1642" s="100"/>
      <c r="Y1642" s="100"/>
      <c r="Z1642" s="100"/>
      <c r="AA1642" s="100"/>
      <c r="AB1642" s="100"/>
      <c r="AC1642" s="100"/>
      <c r="AD1642" s="100"/>
      <c r="AF1642"/>
      <c r="AG1642">
        <f t="shared" si="959"/>
        <v>0</v>
      </c>
      <c r="AH1642">
        <f>IF(P1642="NA",IF(COUNTA(Q1642:AD1642,V1688:AD1688)=0,0,1),0)</f>
        <v>0</v>
      </c>
      <c r="AI1642"/>
      <c r="AJ1642"/>
      <c r="AK1642">
        <f t="shared" si="960"/>
        <v>0</v>
      </c>
      <c r="AL1642">
        <f t="shared" si="961"/>
        <v>0</v>
      </c>
      <c r="AM1642">
        <f t="shared" si="962"/>
        <v>0</v>
      </c>
      <c r="AN1642">
        <f t="shared" si="946"/>
        <v>0</v>
      </c>
      <c r="AO1642">
        <f t="shared" si="947"/>
        <v>0</v>
      </c>
      <c r="AP1642">
        <f t="shared" si="948"/>
        <v>0</v>
      </c>
      <c r="AQ1642">
        <f t="shared" si="949"/>
        <v>0</v>
      </c>
      <c r="AR1642">
        <f t="shared" si="950"/>
        <v>0</v>
      </c>
      <c r="AS1642">
        <f t="shared" si="951"/>
        <v>0</v>
      </c>
      <c r="AT1642">
        <f t="shared" si="952"/>
        <v>0</v>
      </c>
      <c r="AU1642">
        <f t="shared" si="953"/>
        <v>0</v>
      </c>
      <c r="AV1642">
        <f t="shared" si="954"/>
        <v>0</v>
      </c>
      <c r="AW1642">
        <f t="shared" si="955"/>
        <v>0</v>
      </c>
      <c r="AX1642">
        <f t="shared" si="956"/>
        <v>0</v>
      </c>
      <c r="AY1642">
        <f t="shared" si="957"/>
        <v>0</v>
      </c>
      <c r="AZ1642"/>
      <c r="BA1642">
        <f>COUNTIF(S1640:S1642,"NS")</f>
        <v>0</v>
      </c>
      <c r="BB1642">
        <f>SUM(S1640:S1642)</f>
        <v>0</v>
      </c>
      <c r="BC1642">
        <f>IF(COUNTBLANK(S1639:S1642)=4,0,IF(OR(AND(S1639=0,BA1642&gt;0),AND(S1639="ns",BB1642&gt;0),AND(S1639="ns",BA1642=0,BB1642=0)),1,IF(OR(AND(BA1642&gt;=2,S1639&gt;BB1642),AND(S1639="ns",BB1642=0,BA1642&gt;0),S1639=BB1642),0,1)))</f>
        <v>0</v>
      </c>
      <c r="BD1642"/>
      <c r="BE1642"/>
      <c r="BF1642"/>
      <c r="BG1642"/>
      <c r="BH1642"/>
      <c r="BI1642"/>
      <c r="BJ1642"/>
      <c r="BK1642"/>
      <c r="BL1642"/>
      <c r="BM1642"/>
      <c r="BN1642"/>
      <c r="BO1642"/>
      <c r="BP1642"/>
      <c r="BQ1642"/>
      <c r="BR1642"/>
      <c r="BS1642"/>
      <c r="BT1642"/>
    </row>
    <row r="1643" spans="1:72" ht="15" customHeight="1">
      <c r="A1643" s="50"/>
      <c r="B1643" s="38"/>
      <c r="C1643" s="733" t="s">
        <v>4746</v>
      </c>
      <c r="D1643" s="734"/>
      <c r="E1643" s="734"/>
      <c r="F1643" s="735"/>
      <c r="G1643" s="813" t="s">
        <v>4747</v>
      </c>
      <c r="H1643" s="814"/>
      <c r="I1643" s="814"/>
      <c r="J1643" s="814"/>
      <c r="K1643" s="814"/>
      <c r="L1643" s="814"/>
      <c r="M1643" s="814"/>
      <c r="N1643" s="814"/>
      <c r="O1643" s="815"/>
      <c r="P1643" s="124" t="str">
        <f>IF(AND(P926="",P1282=""),"",IF(AND(SUM(P926,P1282)=0,SUM(COUNTIF(P926,"NS"),COUNTIF(P1282,"NS"))&gt;0),"NS",IF(AND(SUM(P926,P1282)=0,SUM(COUNTIF(P926,0),COUNTIF(P1282,0))&gt;0),0,IF(AND(SUM(P926,P1282)=0,SUM(COUNTIF(P926,"NA"),COUNTIF(P1282,"NA"))&gt;0),"NA",SUM(P926,P1282)))))</f>
        <v/>
      </c>
      <c r="Q1643" s="124" t="str">
        <f t="shared" ref="Q1643:AD1643" si="963">IF(AND(Q926="",Q1282=""),"",IF($P$1643="NA","",IF(AND(SUM(Q926,Q1282)=0,SUM(COUNTIF(Q926,"NS"),COUNTIF(Q1282,"NS"))&gt;0),"NS",IF(AND(SUM(Q926,Q1282)=0,SUM(COUNTIF(Q926,0),COUNTIF(Q1282,0))&gt;0),0,IF(AND(SUM(Q926,Q1282)=0,SUM(COUNTIF(Q926,"NA"),COUNTIF(Q1282,"NA"))&gt;0),"NA",SUM(Q926,Q1282))))))</f>
        <v/>
      </c>
      <c r="R1643" s="124" t="str">
        <f t="shared" si="963"/>
        <v/>
      </c>
      <c r="S1643" s="124" t="str">
        <f t="shared" si="963"/>
        <v/>
      </c>
      <c r="T1643" s="124" t="str">
        <f t="shared" si="963"/>
        <v/>
      </c>
      <c r="U1643" s="124" t="str">
        <f t="shared" si="963"/>
        <v/>
      </c>
      <c r="V1643" s="124" t="str">
        <f t="shared" si="963"/>
        <v/>
      </c>
      <c r="W1643" s="124" t="str">
        <f t="shared" si="963"/>
        <v/>
      </c>
      <c r="X1643" s="124" t="str">
        <f t="shared" si="963"/>
        <v/>
      </c>
      <c r="Y1643" s="124" t="str">
        <f t="shared" si="963"/>
        <v/>
      </c>
      <c r="Z1643" s="124" t="str">
        <f t="shared" si="963"/>
        <v/>
      </c>
      <c r="AA1643" s="124" t="str">
        <f t="shared" si="963"/>
        <v/>
      </c>
      <c r="AB1643" s="124" t="str">
        <f t="shared" si="963"/>
        <v/>
      </c>
      <c r="AC1643" s="124" t="str">
        <f t="shared" si="963"/>
        <v/>
      </c>
      <c r="AD1643" s="124" t="str">
        <f t="shared" si="963"/>
        <v/>
      </c>
      <c r="AF1643">
        <f>IF(P1643="NA",IF(AND(COUNTIF(P1644:P1646,"="&amp;$AF$1636)=0,COUNTIF(P1644:P1646,"&lt;&gt;NA")&gt;0),1,0),IF(AND(COUNTIF(P1644:P1646,"="&amp;$AF$1636)=0,COUNTIF(P1644:P1646,"NA")=COUNTIF(P1644:P1646,"&lt;&gt;"&amp;$AF$1636)),1,0))</f>
        <v>0</v>
      </c>
      <c r="AG1643"/>
      <c r="AH1643"/>
      <c r="AI1643"/>
      <c r="AJ1643"/>
      <c r="AK1643"/>
      <c r="AM1643" s="405">
        <f>SUM(AM1640:AM1642)</f>
        <v>0</v>
      </c>
      <c r="AN1643"/>
      <c r="AO1643"/>
      <c r="AP1643" s="405">
        <f>SUM(AP1640:AP1642)</f>
        <v>0</v>
      </c>
      <c r="AQ1643"/>
      <c r="AR1643"/>
      <c r="AS1643" s="405">
        <f>SUM(AS1640:AS1642)</f>
        <v>0</v>
      </c>
      <c r="AT1643"/>
      <c r="AU1643"/>
      <c r="AV1643" s="405">
        <f>SUM(AV1640:AV1642)</f>
        <v>0</v>
      </c>
      <c r="AW1643"/>
      <c r="AX1643"/>
      <c r="AY1643" s="405">
        <f>SUM(AY1640:AY1642)</f>
        <v>0</v>
      </c>
      <c r="AZ1643"/>
      <c r="BA1643">
        <f>COUNTIF(T1640:T1642,"NS")</f>
        <v>0</v>
      </c>
      <c r="BB1643">
        <f>SUM(T1640:T1642)</f>
        <v>0</v>
      </c>
      <c r="BC1643">
        <f>IF(COUNTBLANK(T1639:T1642)=4,0,IF(OR(AND(T1639=0,BA1643&gt;0),AND(T1639="ns",BB1643&gt;0),AND(T1639="ns",BA1643=0,BB1643=0)),1,IF(OR(AND(BA1643&gt;=2,T1639&gt;BB1643),AND(T1639="ns",BB1643=0,BA1643&gt;0),T1639=BB1643),0,1)))</f>
        <v>0</v>
      </c>
      <c r="BD1643"/>
      <c r="BE1643"/>
      <c r="BF1643"/>
      <c r="BG1643"/>
      <c r="BH1643"/>
      <c r="BI1643"/>
      <c r="BJ1643"/>
      <c r="BK1643"/>
      <c r="BL1643"/>
      <c r="BM1643"/>
      <c r="BN1643"/>
      <c r="BO1643"/>
      <c r="BP1643"/>
      <c r="BQ1643"/>
      <c r="BR1643"/>
      <c r="BS1643"/>
      <c r="BT1643"/>
    </row>
    <row r="1644" spans="1:72" ht="15" customHeight="1">
      <c r="A1644" s="50"/>
      <c r="B1644" s="38"/>
      <c r="C1644" s="1119" t="s">
        <v>5135</v>
      </c>
      <c r="D1644" s="1121"/>
      <c r="E1644" s="1121"/>
      <c r="F1644" s="1120"/>
      <c r="G1644" s="173"/>
      <c r="H1644" s="1126" t="s">
        <v>5136</v>
      </c>
      <c r="I1644" s="1126"/>
      <c r="J1644" s="1126"/>
      <c r="K1644" s="1126"/>
      <c r="L1644" s="1126"/>
      <c r="M1644" s="1126"/>
      <c r="N1644" s="1126"/>
      <c r="O1644" s="1127"/>
      <c r="P1644" s="100"/>
      <c r="Q1644" s="100"/>
      <c r="R1644" s="100"/>
      <c r="S1644" s="100"/>
      <c r="T1644" s="100"/>
      <c r="U1644" s="100"/>
      <c r="V1644" s="100"/>
      <c r="W1644" s="100"/>
      <c r="X1644" s="100"/>
      <c r="Y1644" s="100"/>
      <c r="Z1644" s="100"/>
      <c r="AA1644" s="100"/>
      <c r="AB1644" s="100"/>
      <c r="AC1644" s="100"/>
      <c r="AD1644" s="100"/>
      <c r="AF1644"/>
      <c r="AG1644">
        <f>IF(AND(P1644="NA",$P$1643&lt;&gt;""),0,IF(AND($P$1643="",COUNTA(P1644:AD1644,V1690:AD1690)&gt;0),1,IF(OR(AND($P$1643&lt;&gt;"",COUNTA(P1644:AD1644,V1690:AD1690)=24),AND($P$1643="",COUNTA(P1644:AD1644,V1690:AD1690)=0)),0,1)))</f>
        <v>0</v>
      </c>
      <c r="AH1644">
        <f>IF(P1644="NA",IF(COUNTA(Q1644:AD1644,V1690:AD1690)=0,0,1),0)</f>
        <v>0</v>
      </c>
      <c r="AI1644"/>
      <c r="AJ1644"/>
      <c r="AK1644">
        <f>COUNTIF(Q1644:R1644,"NS")</f>
        <v>0</v>
      </c>
      <c r="AL1644">
        <f>SUM(Q1644:R1644)</f>
        <v>0</v>
      </c>
      <c r="AM1644">
        <f>IF(COUNTIF(P1644:R1644,"NA")=3,0,IF(COUNTA(P1644:R1644)=0,0,IF(OR(AND(P1644=0,AK1644&gt;0),AND(P1644="ns",AL1644&gt;0),AND(P1644="ns",AK1644=0,AL1644=0)),1,IF(OR(AND(P1644&gt;0,AK1644=2),AND(P1644="ns",AK1644=2),AND(P1644="ns",AL1644=0,AK1644&gt;0),P1644=AL1644),0,1))))</f>
        <v>0</v>
      </c>
      <c r="AN1644">
        <f t="shared" ref="AN1644" si="964">COUNTIF(T1644:U1644,"NS")</f>
        <v>0</v>
      </c>
      <c r="AO1644">
        <f t="shared" ref="AO1644" si="965">SUM(T1644:U1644)</f>
        <v>0</v>
      </c>
      <c r="AP1644">
        <f t="shared" ref="AP1644" si="966">IF(COUNTIF(S1644:U1644,"NA")=3,0,IF(COUNTA(S1644:U1644)=0,0,IF(OR(AND(S1644=0,AN1644&gt;0),AND(S1644="ns",AO1644&gt;0),AND(S1644="ns",AN1644=0,AO1644=0)),1,IF(OR(AND(S1644&gt;0,AN1644=2),AND(S1644="ns",AN1644=2),AND(S1644="ns",AO1644=0,AN1644&gt;0),S1644=AO1644),0,1))))</f>
        <v>0</v>
      </c>
      <c r="AQ1644">
        <f t="shared" ref="AQ1644" si="967">COUNTIF(W1644:X1644,"NS")</f>
        <v>0</v>
      </c>
      <c r="AR1644">
        <f t="shared" ref="AR1644" si="968">SUM(W1644:X1644)</f>
        <v>0</v>
      </c>
      <c r="AS1644">
        <f t="shared" ref="AS1644" si="969">IF(COUNTIF(V1644:X1644,"NA")=3,0,IF(COUNTA(V1644:X1644)=0,0,IF(OR(AND(V1644=0,AQ1644&gt;0),AND(V1644="ns",AR1644&gt;0),AND(V1644="ns",AQ1644=0,AR1644=0)),1,IF(OR(AND(V1644&gt;0,AQ1644=2),AND(V1644="ns",AQ1644=2),AND(V1644="ns",AR1644=0,AQ1644&gt;0),V1644=AR1644),0,1))))</f>
        <v>0</v>
      </c>
      <c r="AT1644">
        <f t="shared" ref="AT1644" si="970">COUNTIF(Z1644:AA1644,"NS")</f>
        <v>0</v>
      </c>
      <c r="AU1644">
        <f t="shared" ref="AU1644" si="971">SUM(Z1644:AA1644)</f>
        <v>0</v>
      </c>
      <c r="AV1644">
        <f t="shared" ref="AV1644" si="972">IF(COUNTIF(Y1644:AA1644,"NA")=3,0,IF(COUNTA(Y1644:AA1644)=0,0,IF(OR(AND(Y1644=0,AT1644&gt;0),AND(Y1644="ns",AU1644&gt;0),AND(Y1644="ns",AT1644=0,AU1644=0)),1,IF(OR(AND(Y1644&gt;0,AT1644=2),AND(Y1644="ns",AT1644=2),AND(Y1644="ns",AU1644=0,AT1644&gt;0),Y1644=AU1644),0,1))))</f>
        <v>0</v>
      </c>
      <c r="AW1644">
        <f t="shared" ref="AW1644" si="973">COUNTIF(AC1644:AD1644,"NS")</f>
        <v>0</v>
      </c>
      <c r="AX1644">
        <f t="shared" ref="AX1644" si="974">SUM(AC1644:AD1644)</f>
        <v>0</v>
      </c>
      <c r="AY1644">
        <f t="shared" ref="AY1644" si="975">IF(COUNTIF(AB1644:AD1644,"NA")=3,0,IF(COUNTA(AB1644:AD1644)=0,0,IF(OR(AND(AB1644=0,AW1644&gt;0),AND(AB1644="ns",AX1644&gt;0),AND(AB1644="ns",AW1644=0,AX1644=0)),1,IF(OR(AND(AB1644&gt;0,AW1644=2),AND(AB1644="ns",AW1644=2),AND(AB1644="ns",AX1644=0,AW1644&gt;0),AB1644=AX1644),0,1))))</f>
        <v>0</v>
      </c>
      <c r="AZ1644"/>
      <c r="BA1644">
        <f>COUNTIF(U1640:U1642,"NS")</f>
        <v>0</v>
      </c>
      <c r="BB1644">
        <f>SUM(U1640:U1642)</f>
        <v>0</v>
      </c>
      <c r="BC1644">
        <f>IF(COUNTBLANK(U1639:U1642)=4,0,IF(OR(AND(U1639=0,BA1644&gt;0),AND(U1639="ns",BB1644&gt;0),AND(U1639="ns",BA1644=0,BB1644=0)),1,IF(OR(AND(BA1644&gt;=2,U1639&gt;BB1644),AND(U1639="ns",BB1644=0,BA1644&gt;0),U1639=BB1644),0,1)))</f>
        <v>0</v>
      </c>
      <c r="BD1644"/>
      <c r="BE1644"/>
      <c r="BF1644"/>
      <c r="BG1644"/>
      <c r="BH1644"/>
      <c r="BI1644"/>
      <c r="BJ1644"/>
      <c r="BK1644"/>
      <c r="BL1644"/>
      <c r="BM1644"/>
      <c r="BN1644"/>
      <c r="BO1644"/>
      <c r="BP1644"/>
      <c r="BQ1644"/>
      <c r="BR1644"/>
      <c r="BS1644"/>
      <c r="BT1644"/>
    </row>
    <row r="1645" spans="1:72" ht="15" customHeight="1">
      <c r="A1645" s="50"/>
      <c r="B1645" s="38"/>
      <c r="C1645" s="1119" t="s">
        <v>5137</v>
      </c>
      <c r="D1645" s="1121"/>
      <c r="E1645" s="1121"/>
      <c r="F1645" s="1120"/>
      <c r="G1645" s="174"/>
      <c r="H1645" s="1122" t="s">
        <v>5138</v>
      </c>
      <c r="I1645" s="1122"/>
      <c r="J1645" s="1122"/>
      <c r="K1645" s="1122"/>
      <c r="L1645" s="1122"/>
      <c r="M1645" s="1122"/>
      <c r="N1645" s="1122"/>
      <c r="O1645" s="1123"/>
      <c r="P1645" s="100"/>
      <c r="Q1645" s="100"/>
      <c r="R1645" s="100"/>
      <c r="S1645" s="100"/>
      <c r="T1645" s="100"/>
      <c r="U1645" s="100"/>
      <c r="V1645" s="100"/>
      <c r="W1645" s="100"/>
      <c r="X1645" s="100"/>
      <c r="Y1645" s="100"/>
      <c r="Z1645" s="100"/>
      <c r="AA1645" s="100"/>
      <c r="AB1645" s="100"/>
      <c r="AC1645" s="100"/>
      <c r="AD1645" s="100"/>
      <c r="AF1645"/>
      <c r="AG1645">
        <f t="shared" ref="AG1645:AG1646" si="976">IF(AND(P1645="NA",$P$1643&lt;&gt;""),0,IF(AND($P$1643="",COUNTA(P1645:AD1645,V1691:AD1691)&gt;0),1,IF(OR(AND($P$1643&lt;&gt;"",COUNTA(P1645:AD1645,V1691:AD1691)=24),AND($P$1643="",COUNTA(P1645:AD1645,V1691:AD1691)=0)),0,1)))</f>
        <v>0</v>
      </c>
      <c r="AH1645">
        <f>IF(P1645="NA",IF(COUNTA(Q1645:AD1645,V1691:AD1691)=0,0,1),0)</f>
        <v>0</v>
      </c>
      <c r="AI1645"/>
      <c r="AJ1645"/>
      <c r="AK1645">
        <f>COUNTIF(Q1645:R1645,"NS")</f>
        <v>0</v>
      </c>
      <c r="AL1645">
        <f>SUM(Q1645:R1645)</f>
        <v>0</v>
      </c>
      <c r="AM1645">
        <f>IF(COUNTIF(P1645:R1645,"NA")=3,0,IF(COUNTA(P1645:R1645)=0,0,IF(OR(AND(P1645=0,AK1645&gt;0),AND(P1645="ns",AL1645&gt;0),AND(P1645="ns",AK1645=0,AL1645=0)),1,IF(OR(AND(P1645&gt;0,AK1645=2),AND(P1645="ns",AK1645=2),AND(P1645="ns",AL1645=0,AK1645&gt;0),P1645=AL1645),0,1))))</f>
        <v>0</v>
      </c>
      <c r="AN1645">
        <f>COUNTIF(T1645:U1645,"NS")</f>
        <v>0</v>
      </c>
      <c r="AO1645">
        <f>SUM(T1645:U1645)</f>
        <v>0</v>
      </c>
      <c r="AP1645">
        <f>IF(COUNTIF(S1645:U1645,"NA")=3,0,IF(COUNTA(S1645:U1645)=0,0,IF(OR(AND(S1645=0,AN1645&gt;0),AND(S1645="ns",AO1645&gt;0),AND(S1645="ns",AN1645=0,AO1645=0)),1,IF(OR(AND(S1645&gt;0,AN1645=2),AND(S1645="ns",AN1645=2),AND(S1645="ns",AO1645=0,AN1645&gt;0),S1645=AO1645),0,1))))</f>
        <v>0</v>
      </c>
      <c r="AQ1645">
        <f>COUNTIF(W1645:X1645,"NS")</f>
        <v>0</v>
      </c>
      <c r="AR1645">
        <f>SUM(W1645:X1645)</f>
        <v>0</v>
      </c>
      <c r="AS1645">
        <f>IF(COUNTIF(V1645:X1645,"NA")=3,0,IF(COUNTA(V1645:X1645)=0,0,IF(OR(AND(V1645=0,AQ1645&gt;0),AND(V1645="ns",AR1645&gt;0),AND(V1645="ns",AQ1645=0,AR1645=0)),1,IF(OR(AND(V1645&gt;0,AQ1645=2),AND(V1645="ns",AQ1645=2),AND(V1645="ns",AR1645=0,AQ1645&gt;0),V1645=AR1645),0,1))))</f>
        <v>0</v>
      </c>
      <c r="AT1645">
        <f>COUNTIF(Z1645:AA1645,"NS")</f>
        <v>0</v>
      </c>
      <c r="AU1645">
        <f>SUM(Z1645:AA1645)</f>
        <v>0</v>
      </c>
      <c r="AV1645">
        <f>IF(COUNTIF(Y1645:AA1645,"NA")=3,0,IF(COUNTA(Y1645:AA1645)=0,0,IF(OR(AND(Y1645=0,AT1645&gt;0),AND(Y1645="ns",AU1645&gt;0),AND(Y1645="ns",AT1645=0,AU1645=0)),1,IF(OR(AND(Y1645&gt;0,AT1645=2),AND(Y1645="ns",AT1645=2),AND(Y1645="ns",AU1645=0,AT1645&gt;0),Y1645=AU1645),0,1))))</f>
        <v>0</v>
      </c>
      <c r="AW1645">
        <f>COUNTIF(AC1645:AD1645,"NS")</f>
        <v>0</v>
      </c>
      <c r="AX1645">
        <f>SUM(AC1645:AD1645)</f>
        <v>0</v>
      </c>
      <c r="AY1645">
        <f>IF(COUNTIF(AB1645:AD1645,"NA")=3,0,IF(COUNTA(AB1645:AD1645)=0,0,IF(OR(AND(AB1645=0,AW1645&gt;0),AND(AB1645="ns",AX1645&gt;0),AND(AB1645="ns",AW1645=0,AX1645=0)),1,IF(OR(AND(AB1645&gt;0,AW1645=2),AND(AB1645="ns",AW1645=2),AND(AB1645="ns",AX1645=0,AW1645&gt;0),AB1645=AX1645),0,1))))</f>
        <v>0</v>
      </c>
      <c r="AZ1645"/>
      <c r="BA1645">
        <f>COUNTIF(V1640:V1642,"NS")</f>
        <v>0</v>
      </c>
      <c r="BB1645">
        <f>SUM(V1640:V1642)</f>
        <v>0</v>
      </c>
      <c r="BC1645">
        <f>IF(COUNTBLANK(V1639:V1642)=4,0,IF(OR(AND(V1639=0,BA1645&gt;0),AND(V1639="ns",BB1645&gt;0),AND(V1639="ns",BA1645=0,BB1645=0)),1,IF(OR(AND(BA1645&gt;=2,V1639&gt;BB1645),AND(V1639="ns",BB1645=0,BA1645&gt;0),V1639=BB1645),0,1)))</f>
        <v>0</v>
      </c>
      <c r="BD1645"/>
      <c r="BE1645"/>
      <c r="BF1645"/>
      <c r="BG1645"/>
      <c r="BH1645"/>
      <c r="BI1645"/>
      <c r="BJ1645"/>
      <c r="BK1645"/>
      <c r="BL1645"/>
      <c r="BM1645"/>
      <c r="BN1645"/>
      <c r="BO1645"/>
      <c r="BP1645"/>
      <c r="BQ1645"/>
      <c r="BR1645"/>
      <c r="BS1645"/>
      <c r="BT1645"/>
    </row>
    <row r="1646" spans="1:72" ht="15" customHeight="1">
      <c r="A1646" s="50"/>
      <c r="B1646" s="38"/>
      <c r="C1646" s="1119" t="s">
        <v>5139</v>
      </c>
      <c r="D1646" s="1121"/>
      <c r="E1646" s="1121"/>
      <c r="F1646" s="1120"/>
      <c r="G1646" s="175"/>
      <c r="H1646" s="1124" t="s">
        <v>201</v>
      </c>
      <c r="I1646" s="1124"/>
      <c r="J1646" s="1124"/>
      <c r="K1646" s="1124"/>
      <c r="L1646" s="1124"/>
      <c r="M1646" s="1124"/>
      <c r="N1646" s="1124"/>
      <c r="O1646" s="1125"/>
      <c r="P1646" s="100"/>
      <c r="Q1646" s="100"/>
      <c r="R1646" s="100"/>
      <c r="S1646" s="100"/>
      <c r="T1646" s="100"/>
      <c r="U1646" s="100"/>
      <c r="V1646" s="100"/>
      <c r="W1646" s="100"/>
      <c r="X1646" s="100"/>
      <c r="Y1646" s="100"/>
      <c r="Z1646" s="100"/>
      <c r="AA1646" s="100"/>
      <c r="AB1646" s="100"/>
      <c r="AC1646" s="100"/>
      <c r="AD1646" s="100"/>
      <c r="AF1646"/>
      <c r="AG1646">
        <f t="shared" si="976"/>
        <v>0</v>
      </c>
      <c r="AH1646">
        <f>IF(P1646="NA",IF(COUNTA(Q1646:AD1646,V1692:AD1692)=0,0,1),0)</f>
        <v>0</v>
      </c>
      <c r="AI1646"/>
      <c r="AJ1646"/>
      <c r="AK1646">
        <f>COUNTIF(Q1646:R1646,"NS")</f>
        <v>0</v>
      </c>
      <c r="AL1646">
        <f>SUM(Q1646:R1646)</f>
        <v>0</v>
      </c>
      <c r="AM1646">
        <f>IF(COUNTIF(P1646:R1646,"NA")=3,0,IF(COUNTA(P1646:R1646)=0,0,IF(OR(AND(P1646=0,AK1646&gt;0),AND(P1646="ns",AL1646&gt;0),AND(P1646="ns",AK1646=0,AL1646=0)),1,IF(OR(AND(P1646&gt;0,AK1646=2),AND(P1646="ns",AK1646=2),AND(P1646="ns",AL1646=0,AK1646&gt;0),P1646=AL1646),0,1))))</f>
        <v>0</v>
      </c>
      <c r="AN1646">
        <f>COUNTIF(T1646:U1646,"NS")</f>
        <v>0</v>
      </c>
      <c r="AO1646">
        <f>SUM(T1646:U1646)</f>
        <v>0</v>
      </c>
      <c r="AP1646">
        <f>IF(COUNTIF(S1646:U1646,"NA")=3,0,IF(COUNTA(S1646:U1646)=0,0,IF(OR(AND(S1646=0,AN1646&gt;0),AND(S1646="ns",AO1646&gt;0),AND(S1646="ns",AN1646=0,AO1646=0)),1,IF(OR(AND(S1646&gt;0,AN1646=2),AND(S1646="ns",AN1646=2),AND(S1646="ns",AO1646=0,AN1646&gt;0),S1646=AO1646),0,1))))</f>
        <v>0</v>
      </c>
      <c r="AQ1646">
        <f>COUNTIF(W1646:X1646,"NS")</f>
        <v>0</v>
      </c>
      <c r="AR1646">
        <f>SUM(W1646:X1646)</f>
        <v>0</v>
      </c>
      <c r="AS1646">
        <f>IF(COUNTIF(V1646:X1646,"NA")=3,0,IF(COUNTA(V1646:X1646)=0,0,IF(OR(AND(V1646=0,AQ1646&gt;0),AND(V1646="ns",AR1646&gt;0),AND(V1646="ns",AQ1646=0,AR1646=0)),1,IF(OR(AND(V1646&gt;0,AQ1646=2),AND(V1646="ns",AQ1646=2),AND(V1646="ns",AR1646=0,AQ1646&gt;0),V1646=AR1646),0,1))))</f>
        <v>0</v>
      </c>
      <c r="AT1646">
        <f>COUNTIF(Z1646:AA1646,"NS")</f>
        <v>0</v>
      </c>
      <c r="AU1646">
        <f>SUM(Z1646:AA1646)</f>
        <v>0</v>
      </c>
      <c r="AV1646">
        <f>IF(COUNTIF(Y1646:AA1646,"NA")=3,0,IF(COUNTA(Y1646:AA1646)=0,0,IF(OR(AND(Y1646=0,AT1646&gt;0),AND(Y1646="ns",AU1646&gt;0),AND(Y1646="ns",AT1646=0,AU1646=0)),1,IF(OR(AND(Y1646&gt;0,AT1646=2),AND(Y1646="ns",AT1646=2),AND(Y1646="ns",AU1646=0,AT1646&gt;0),Y1646=AU1646),0,1))))</f>
        <v>0</v>
      </c>
      <c r="AW1646">
        <f>COUNTIF(AC1646:AD1646,"NS")</f>
        <v>0</v>
      </c>
      <c r="AX1646">
        <f>SUM(AC1646:AD1646)</f>
        <v>0</v>
      </c>
      <c r="AY1646">
        <f>IF(COUNTIF(AB1646:AD1646,"NA")=3,0,IF(COUNTA(AB1646:AD1646)=0,0,IF(OR(AND(AB1646=0,AW1646&gt;0),AND(AB1646="ns",AX1646&gt;0),AND(AB1646="ns",AW1646=0,AX1646=0)),1,IF(OR(AND(AB1646&gt;0,AW1646=2),AND(AB1646="ns",AW1646=2),AND(AB1646="ns",AX1646=0,AW1646&gt;0),AB1646=AX1646),0,1))))</f>
        <v>0</v>
      </c>
      <c r="AZ1646"/>
      <c r="BA1646">
        <f>COUNTIF(W1640:W1642,"NS")</f>
        <v>0</v>
      </c>
      <c r="BB1646">
        <f>SUM(W1640:W1642)</f>
        <v>0</v>
      </c>
      <c r="BC1646">
        <f>IF(COUNTBLANK(W1639:W1642)=4,0,IF(OR(AND(W1639=0,BA1646&gt;0),AND(W1639="ns",BB1646&gt;0),AND(W1639="ns",BA1646=0,BB1646=0)),1,IF(OR(AND(BA1646&gt;=2,W1639&gt;BB1646),AND(W1639="ns",BB1646=0,BA1646&gt;0),W1639=BB1646),0,1)))</f>
        <v>0</v>
      </c>
      <c r="BD1646"/>
      <c r="BE1646"/>
      <c r="BF1646"/>
      <c r="BG1646"/>
      <c r="BH1646"/>
      <c r="BI1646"/>
      <c r="BJ1646"/>
      <c r="BK1646"/>
      <c r="BL1646"/>
      <c r="BM1646"/>
      <c r="BN1646"/>
      <c r="BO1646"/>
      <c r="BP1646"/>
      <c r="BQ1646"/>
      <c r="BR1646"/>
      <c r="BS1646"/>
      <c r="BT1646"/>
    </row>
    <row r="1647" spans="1:72" ht="15" customHeight="1">
      <c r="A1647" s="50"/>
      <c r="B1647" s="38"/>
      <c r="C1647" s="733" t="s">
        <v>4750</v>
      </c>
      <c r="D1647" s="734"/>
      <c r="E1647" s="734"/>
      <c r="F1647" s="735"/>
      <c r="G1647" s="813" t="s">
        <v>4751</v>
      </c>
      <c r="H1647" s="814"/>
      <c r="I1647" s="814"/>
      <c r="J1647" s="814"/>
      <c r="K1647" s="814"/>
      <c r="L1647" s="814"/>
      <c r="M1647" s="814"/>
      <c r="N1647" s="814"/>
      <c r="O1647" s="815"/>
      <c r="P1647" s="124" t="str">
        <f>IF(AND(P928="",P1284=""),"",IF(AND(SUM(P928,P1284)=0,SUM(COUNTIF(P928,"NS"),COUNTIF(P1284,"NS"))&gt;0),"NS",IF(AND(SUM(P928,P1284)=0,SUM(COUNTIF(P928,0),COUNTIF(P1284,0))&gt;0),0,IF(AND(SUM(P928,P1284)=0,SUM(COUNTIF(P928,"NA"),COUNTIF(P1284,"NA"))&gt;0),"NA",SUM(P928,P1284)))))</f>
        <v/>
      </c>
      <c r="Q1647" s="124" t="str">
        <f t="shared" ref="Q1647:AD1647" si="977">IF(AND(Q928="",Q1284=""),"",IF($P$1647="NA","",IF(AND(SUM(Q928,Q1284)=0,SUM(COUNTIF(Q928,"NS"),COUNTIF(Q1284,"NS"))&gt;0),"NS",IF(AND(SUM(Q928,Q1284)=0,SUM(COUNTIF(Q928,0),COUNTIF(Q1284,0))&gt;0),0,IF(AND(SUM(Q928,Q1284)=0,SUM(COUNTIF(Q928,"NA"),COUNTIF(Q1284,"NA"))&gt;0),"NA",SUM(Q928,Q1284))))))</f>
        <v/>
      </c>
      <c r="R1647" s="124" t="str">
        <f t="shared" si="977"/>
        <v/>
      </c>
      <c r="S1647" s="124" t="str">
        <f t="shared" si="977"/>
        <v/>
      </c>
      <c r="T1647" s="124" t="str">
        <f t="shared" si="977"/>
        <v/>
      </c>
      <c r="U1647" s="124" t="str">
        <f t="shared" si="977"/>
        <v/>
      </c>
      <c r="V1647" s="124" t="str">
        <f t="shared" si="977"/>
        <v/>
      </c>
      <c r="W1647" s="124" t="str">
        <f t="shared" si="977"/>
        <v/>
      </c>
      <c r="X1647" s="124" t="str">
        <f t="shared" si="977"/>
        <v/>
      </c>
      <c r="Y1647" s="124" t="str">
        <f t="shared" si="977"/>
        <v/>
      </c>
      <c r="Z1647" s="124" t="str">
        <f t="shared" si="977"/>
        <v/>
      </c>
      <c r="AA1647" s="124" t="str">
        <f t="shared" si="977"/>
        <v/>
      </c>
      <c r="AB1647" s="124" t="str">
        <f t="shared" si="977"/>
        <v/>
      </c>
      <c r="AC1647" s="124" t="str">
        <f t="shared" si="977"/>
        <v/>
      </c>
      <c r="AD1647" s="124" t="str">
        <f t="shared" si="977"/>
        <v/>
      </c>
      <c r="AF1647" s="507">
        <f>SUM(AF1643,AF1639)</f>
        <v>0</v>
      </c>
      <c r="AG1647" s="507">
        <f>SUM(AG1644:AG1646,AG1640:AG1642)</f>
        <v>0</v>
      </c>
      <c r="AH1647" s="507">
        <f>SUM(AH1644:AH1646,AH1640:AH1642)</f>
        <v>0</v>
      </c>
      <c r="AI1647"/>
      <c r="AJ1647"/>
      <c r="AM1647" s="405">
        <f>SUM(AM1644:AM1646)</f>
        <v>0</v>
      </c>
      <c r="AN1647"/>
      <c r="AO1647"/>
      <c r="AP1647" s="405">
        <f>SUM(AP1644:AP1646)</f>
        <v>0</v>
      </c>
      <c r="AQ1647"/>
      <c r="AR1647"/>
      <c r="AS1647" s="405">
        <f>SUM(AS1644:AS1646)</f>
        <v>0</v>
      </c>
      <c r="AT1647"/>
      <c r="AU1647"/>
      <c r="AV1647" s="405">
        <f>SUM(AV1644:AV1646)</f>
        <v>0</v>
      </c>
      <c r="AW1647"/>
      <c r="AX1647"/>
      <c r="AY1647" s="405">
        <f>SUM(AY1644:AY1646)</f>
        <v>0</v>
      </c>
      <c r="AZ1647"/>
      <c r="BA1647">
        <f>COUNTIF(X1640:X1642,"NS")</f>
        <v>0</v>
      </c>
      <c r="BB1647">
        <f>SUM(X1640:X1642)</f>
        <v>0</v>
      </c>
      <c r="BC1647">
        <f>IF(COUNTBLANK(X1639:X1642)=4,0,IF(OR(AND(X1639=0,BA1647&gt;0),AND(X1639="ns",BB1647&gt;0),AND(X1639="ns",BA1647=0,BB1647=0)),1,IF(OR(AND(BA1647&gt;=2,X1639&gt;BB1647),AND(X1639="ns",BB1647=0,BA1647&gt;0),X1639=BB1647),0,1)))</f>
        <v>0</v>
      </c>
      <c r="BD1647"/>
      <c r="BE1647"/>
      <c r="BF1647"/>
      <c r="BG1647"/>
      <c r="BH1647"/>
      <c r="BI1647"/>
      <c r="BJ1647"/>
      <c r="BK1647"/>
      <c r="BL1647"/>
      <c r="BM1647"/>
      <c r="BN1647"/>
      <c r="BO1647"/>
      <c r="BP1647"/>
      <c r="BQ1647"/>
      <c r="BR1647"/>
      <c r="BS1647"/>
      <c r="BT1647"/>
    </row>
    <row r="1648" spans="1:72" ht="15" customHeight="1">
      <c r="A1648" s="50"/>
      <c r="B1648" s="38"/>
      <c r="C1648" s="733" t="s">
        <v>4764</v>
      </c>
      <c r="D1648" s="734"/>
      <c r="E1648" s="734"/>
      <c r="F1648" s="735"/>
      <c r="G1648" s="813" t="s">
        <v>4765</v>
      </c>
      <c r="H1648" s="814"/>
      <c r="I1648" s="814"/>
      <c r="J1648" s="814"/>
      <c r="K1648" s="814"/>
      <c r="L1648" s="814"/>
      <c r="M1648" s="814"/>
      <c r="N1648" s="814"/>
      <c r="O1648" s="815"/>
      <c r="P1648" s="124" t="str">
        <f>IF(AND(P934="",P1290=""),"",IF(AND(SUM(P934,P1290)=0,SUM(COUNTIF(P934,"NS"),COUNTIF(P1290,"NS"))&gt;0),"NS",IF(AND(SUM(P934,P1290)=0,SUM(COUNTIF(P934,0),COUNTIF(P1290,0))&gt;0),0,IF(AND(SUM(P934,P1290)=0,SUM(COUNTIF(P934,"NA"),COUNTIF(P1290,"NA"))&gt;0),"NA",SUM(P934,P1290)))))</f>
        <v/>
      </c>
      <c r="Q1648" s="124" t="str">
        <f t="shared" ref="Q1648:AD1648" si="978">IF(AND(Q934="",Q1290=""),"",IF($P$1648="NA","",IF(AND(SUM(Q934,Q1290)=0,SUM(COUNTIF(Q934,"NS"),COUNTIF(Q1290,"NS"))&gt;0),"NS",IF(AND(SUM(Q934,Q1290)=0,SUM(COUNTIF(Q934,0),COUNTIF(Q1290,0))&gt;0),0,IF(AND(SUM(Q934,Q1290)=0,SUM(COUNTIF(Q934,"NA"),COUNTIF(Q1290,"NA"))&gt;0),"NA",SUM(Q934,Q1290))))))</f>
        <v/>
      </c>
      <c r="R1648" s="124" t="str">
        <f t="shared" si="978"/>
        <v/>
      </c>
      <c r="S1648" s="124" t="str">
        <f t="shared" si="978"/>
        <v/>
      </c>
      <c r="T1648" s="124" t="str">
        <f t="shared" si="978"/>
        <v/>
      </c>
      <c r="U1648" s="124" t="str">
        <f t="shared" si="978"/>
        <v/>
      </c>
      <c r="V1648" s="124" t="str">
        <f t="shared" si="978"/>
        <v/>
      </c>
      <c r="W1648" s="124" t="str">
        <f t="shared" si="978"/>
        <v/>
      </c>
      <c r="X1648" s="124" t="str">
        <f t="shared" si="978"/>
        <v/>
      </c>
      <c r="Y1648" s="124" t="str">
        <f t="shared" si="978"/>
        <v/>
      </c>
      <c r="Z1648" s="124" t="str">
        <f t="shared" si="978"/>
        <v/>
      </c>
      <c r="AA1648" s="124" t="str">
        <f t="shared" si="978"/>
        <v/>
      </c>
      <c r="AB1648" s="124" t="str">
        <f t="shared" si="978"/>
        <v/>
      </c>
      <c r="AC1648" s="124" t="str">
        <f t="shared" si="978"/>
        <v/>
      </c>
      <c r="AD1648" s="124" t="str">
        <f t="shared" si="978"/>
        <v/>
      </c>
      <c r="AF1648"/>
      <c r="AG1648"/>
      <c r="AH1648"/>
      <c r="AI1648"/>
      <c r="AJ1648"/>
      <c r="AK1648" t="s">
        <v>2650</v>
      </c>
      <c r="AL1648" s="702">
        <f>SUM(AM1643,AP1643,AS1643,AM1647,AP1647,AS1647,AV1643,AV1647,AY1643,AY1647)</f>
        <v>0</v>
      </c>
      <c r="AN1648"/>
      <c r="AO1648"/>
      <c r="AP1648"/>
      <c r="AQ1648"/>
      <c r="AR1648"/>
      <c r="AS1648"/>
      <c r="AT1648"/>
      <c r="AU1648"/>
      <c r="AV1648"/>
      <c r="AW1648"/>
      <c r="AX1648"/>
      <c r="AY1648"/>
      <c r="AZ1648"/>
      <c r="BA1648">
        <f>COUNTIF(Y1640:Y1642,"NS")</f>
        <v>0</v>
      </c>
      <c r="BB1648">
        <f>SUM(Y1640:Y1642)</f>
        <v>0</v>
      </c>
      <c r="BC1648">
        <f>IF(COUNTBLANK(Y1639:Y1642)=4,0,IF(OR(AND(Y1639=0,BA1648&gt;0),AND(Y1639="ns",BB1648&gt;0),AND(Y1639="ns",BA1648=0,BB1648=0)),1,IF(OR(AND(BA1648&gt;=2,Y1639&gt;BB1648),AND(Y1639="ns",BB1648=0,BA1648&gt;0),Y1639=BB1648),0,1)))</f>
        <v>0</v>
      </c>
      <c r="BD1648"/>
      <c r="BE1648"/>
      <c r="BF1648"/>
      <c r="BG1648"/>
      <c r="BH1648"/>
      <c r="BI1648"/>
      <c r="BJ1648"/>
      <c r="BK1648"/>
      <c r="BL1648"/>
      <c r="BM1648"/>
      <c r="BN1648"/>
      <c r="BO1648"/>
      <c r="BP1648"/>
      <c r="BQ1648"/>
      <c r="BR1648"/>
      <c r="BS1648"/>
      <c r="BT1648"/>
    </row>
    <row r="1649" spans="1:72" ht="15" customHeight="1">
      <c r="A1649" s="50"/>
      <c r="B1649" s="38"/>
      <c r="C1649" s="733" t="s">
        <v>4828</v>
      </c>
      <c r="D1649" s="734"/>
      <c r="E1649" s="734"/>
      <c r="F1649" s="735"/>
      <c r="G1649" s="813" t="s">
        <v>4829</v>
      </c>
      <c r="H1649" s="814"/>
      <c r="I1649" s="814"/>
      <c r="J1649" s="814"/>
      <c r="K1649" s="814"/>
      <c r="L1649" s="814"/>
      <c r="M1649" s="814"/>
      <c r="N1649" s="814"/>
      <c r="O1649" s="815"/>
      <c r="P1649" s="124" t="str">
        <f>IF(AND(P943="",P1299=""),"",IF(AND(SUM(P943,P1299)=0,SUM(COUNTIF(P943,"NS"),COUNTIF(P1299,"NS"))&gt;0),"NS",IF(AND(SUM(P943,P1299)=0,SUM(COUNTIF(P943,0),COUNTIF(P1299,0))&gt;0),0,IF(AND(SUM(P943,P1299)=0,SUM(COUNTIF(P943,"NA"),COUNTIF(P1299,"NA"))&gt;0),"NA",SUM(P943,P1299)))))</f>
        <v/>
      </c>
      <c r="Q1649" s="124" t="str">
        <f t="shared" ref="Q1649:AD1649" si="979">IF(AND(Q943="",Q1299=""),"",IF($P$1649="NA","",IF(AND(SUM(Q943,Q1299)=0,SUM(COUNTIF(Q943,"NS"),COUNTIF(Q1299,"NS"))&gt;0),"NS",IF(AND(SUM(Q943,Q1299)=0,SUM(COUNTIF(Q943,0),COUNTIF(Q1299,0))&gt;0),0,IF(AND(SUM(Q943,Q1299)=0,SUM(COUNTIF(Q943,"NA"),COUNTIF(Q1299,"NA"))&gt;0),"NA",SUM(Q943,Q1299))))))</f>
        <v/>
      </c>
      <c r="R1649" s="124" t="str">
        <f t="shared" si="979"/>
        <v/>
      </c>
      <c r="S1649" s="124" t="str">
        <f t="shared" si="979"/>
        <v/>
      </c>
      <c r="T1649" s="124" t="str">
        <f t="shared" si="979"/>
        <v/>
      </c>
      <c r="U1649" s="124" t="str">
        <f t="shared" si="979"/>
        <v/>
      </c>
      <c r="V1649" s="124" t="str">
        <f t="shared" si="979"/>
        <v/>
      </c>
      <c r="W1649" s="124" t="str">
        <f t="shared" si="979"/>
        <v/>
      </c>
      <c r="X1649" s="124" t="str">
        <f t="shared" si="979"/>
        <v/>
      </c>
      <c r="Y1649" s="124" t="str">
        <f t="shared" si="979"/>
        <v/>
      </c>
      <c r="Z1649" s="124" t="str">
        <f t="shared" si="979"/>
        <v/>
      </c>
      <c r="AA1649" s="124" t="str">
        <f t="shared" si="979"/>
        <v/>
      </c>
      <c r="AB1649" s="124" t="str">
        <f t="shared" si="979"/>
        <v/>
      </c>
      <c r="AC1649" s="124" t="str">
        <f t="shared" si="979"/>
        <v/>
      </c>
      <c r="AD1649" s="124" t="str">
        <f t="shared" si="979"/>
        <v/>
      </c>
      <c r="AF1649"/>
      <c r="AG1649"/>
      <c r="AH1649"/>
      <c r="AI1649"/>
      <c r="AJ1649"/>
      <c r="AK1649"/>
      <c r="AL1649"/>
      <c r="AN1649"/>
      <c r="AO1649"/>
      <c r="AP1649"/>
      <c r="AQ1649"/>
      <c r="AR1649"/>
      <c r="AS1649"/>
      <c r="AT1649"/>
      <c r="AU1649"/>
      <c r="AV1649"/>
      <c r="AW1649"/>
      <c r="AX1649"/>
      <c r="AY1649"/>
      <c r="AZ1649"/>
      <c r="BA1649">
        <f>COUNTIF(Z1640:Z1642,"NS")</f>
        <v>0</v>
      </c>
      <c r="BB1649">
        <f>SUM(Z1640:Z1642)</f>
        <v>0</v>
      </c>
      <c r="BC1649">
        <f>IF(COUNTBLANK(Z1639:Z1642)=4,0,IF(OR(AND(Z1639=0,BA1649&gt;0),AND(Z1639="ns",BB1649&gt;0),AND(Z1639="ns",BA1649=0,BB1649=0)),1,IF(OR(AND(BA1649&gt;=2,Z1639&gt;BB1649),AND(Z1639="ns",BB1649=0,BA1649&gt;0),Z1639=BB1649),0,1)))</f>
        <v>0</v>
      </c>
      <c r="BD1649"/>
      <c r="BE1649"/>
      <c r="BF1649"/>
      <c r="BG1649"/>
      <c r="BH1649"/>
      <c r="BI1649"/>
      <c r="BJ1649"/>
      <c r="BK1649"/>
      <c r="BL1649"/>
      <c r="BM1649"/>
      <c r="BN1649"/>
      <c r="BO1649"/>
      <c r="BP1649"/>
      <c r="BQ1649"/>
      <c r="BR1649"/>
      <c r="BS1649"/>
      <c r="BT1649"/>
    </row>
    <row r="1650" spans="1:72" ht="15" customHeight="1">
      <c r="A1650" s="50"/>
      <c r="B1650" s="38"/>
      <c r="C1650" s="733" t="s">
        <v>4830</v>
      </c>
      <c r="D1650" s="734"/>
      <c r="E1650" s="734"/>
      <c r="F1650" s="735"/>
      <c r="G1650" s="813" t="s">
        <v>4831</v>
      </c>
      <c r="H1650" s="814"/>
      <c r="I1650" s="814"/>
      <c r="J1650" s="814"/>
      <c r="K1650" s="814"/>
      <c r="L1650" s="814"/>
      <c r="M1650" s="814"/>
      <c r="N1650" s="814"/>
      <c r="O1650" s="815"/>
      <c r="P1650" s="124" t="str">
        <f>IF(AND(P944="",P1300=""),"",IF(AND(SUM(P944,P1300)=0,SUM(COUNTIF(P944,"NS"),COUNTIF(P1300,"NS"))&gt;0),"NS",IF(AND(SUM(P944,P1300)=0,SUM(COUNTIF(P944,0),COUNTIF(P1300,0))&gt;0),0,IF(AND(SUM(P944,P1300)=0,SUM(COUNTIF(P944,"NA"),COUNTIF(P1300,"NA"))&gt;0),"NA",SUM(P944,P1300)))))</f>
        <v/>
      </c>
      <c r="Q1650" s="124" t="str">
        <f t="shared" ref="Q1650:AD1650" si="980">IF(AND(Q944="",Q1300=""),"",IF($P$1650="NA","",IF(AND(SUM(Q944,Q1300)=0,SUM(COUNTIF(Q944,"NS"),COUNTIF(Q1300,"NS"))&gt;0),"NS",IF(AND(SUM(Q944,Q1300)=0,SUM(COUNTIF(Q944,0),COUNTIF(Q1300,0))&gt;0),0,IF(AND(SUM(Q944,Q1300)=0,SUM(COUNTIF(Q944,"NA"),COUNTIF(Q1300,"NA"))&gt;0),"NA",SUM(Q944,Q1300))))))</f>
        <v/>
      </c>
      <c r="R1650" s="124" t="str">
        <f t="shared" si="980"/>
        <v/>
      </c>
      <c r="S1650" s="124" t="str">
        <f t="shared" si="980"/>
        <v/>
      </c>
      <c r="T1650" s="124" t="str">
        <f t="shared" si="980"/>
        <v/>
      </c>
      <c r="U1650" s="124" t="str">
        <f t="shared" si="980"/>
        <v/>
      </c>
      <c r="V1650" s="124" t="str">
        <f t="shared" si="980"/>
        <v/>
      </c>
      <c r="W1650" s="124" t="str">
        <f t="shared" si="980"/>
        <v/>
      </c>
      <c r="X1650" s="124" t="str">
        <f t="shared" si="980"/>
        <v/>
      </c>
      <c r="Y1650" s="124" t="str">
        <f t="shared" si="980"/>
        <v/>
      </c>
      <c r="Z1650" s="124" t="str">
        <f t="shared" si="980"/>
        <v/>
      </c>
      <c r="AA1650" s="124" t="str">
        <f t="shared" si="980"/>
        <v/>
      </c>
      <c r="AB1650" s="124" t="str">
        <f t="shared" si="980"/>
        <v/>
      </c>
      <c r="AC1650" s="124" t="str">
        <f t="shared" si="980"/>
        <v/>
      </c>
      <c r="AD1650" s="124" t="str">
        <f t="shared" si="980"/>
        <v/>
      </c>
      <c r="AF1650"/>
      <c r="AG1650"/>
      <c r="AH1650"/>
      <c r="AI1650"/>
      <c r="AJ1650"/>
      <c r="AK1650"/>
      <c r="AL1650"/>
      <c r="AN1650"/>
      <c r="AO1650"/>
      <c r="AP1650"/>
      <c r="AQ1650"/>
      <c r="AR1650"/>
      <c r="AS1650"/>
      <c r="AT1650"/>
      <c r="AU1650"/>
      <c r="AV1650"/>
      <c r="AW1650"/>
      <c r="AX1650"/>
      <c r="AY1650"/>
      <c r="AZ1650"/>
      <c r="BA1650">
        <f>COUNTIF(AA1640:AA1642,"NS")</f>
        <v>0</v>
      </c>
      <c r="BB1650">
        <f>SUM(AA1640:AA1642)</f>
        <v>0</v>
      </c>
      <c r="BC1650">
        <f>IF(COUNTBLANK(AA1639:AA1642)=4,0,IF(OR(AND(AA1639=0,BA1650&gt;0),AND(AA1639="ns",BB1650&gt;0),AND(AA1639="ns",BA1650=0,BB1650=0)),1,IF(OR(AND(BA1650&gt;=2,AA1639&gt;BB1650),AND(AA1639="ns",BB1650=0,BA1650&gt;0),AA1639=BB1650),0,1)))</f>
        <v>0</v>
      </c>
      <c r="BD1650"/>
      <c r="BE1650"/>
      <c r="BF1650"/>
      <c r="BG1650"/>
      <c r="BH1650"/>
      <c r="BI1650"/>
      <c r="BJ1650"/>
      <c r="BK1650"/>
      <c r="BL1650"/>
      <c r="BM1650"/>
      <c r="BN1650"/>
      <c r="BO1650"/>
      <c r="BP1650"/>
      <c r="BQ1650"/>
      <c r="BR1650"/>
      <c r="BS1650"/>
      <c r="BT1650"/>
    </row>
    <row r="1651" spans="1:72" ht="15" customHeight="1">
      <c r="A1651" s="50"/>
      <c r="B1651" s="38"/>
      <c r="C1651" s="733" t="s">
        <v>4832</v>
      </c>
      <c r="D1651" s="734"/>
      <c r="E1651" s="734"/>
      <c r="F1651" s="735"/>
      <c r="G1651" s="813" t="s">
        <v>4833</v>
      </c>
      <c r="H1651" s="814"/>
      <c r="I1651" s="814"/>
      <c r="J1651" s="814"/>
      <c r="K1651" s="814"/>
      <c r="L1651" s="814"/>
      <c r="M1651" s="814"/>
      <c r="N1651" s="814"/>
      <c r="O1651" s="815"/>
      <c r="P1651" s="124" t="str">
        <f>IF(AND(P945="",P1301=""),"",IF(AND(SUM(P945,P1301)=0,SUM(COUNTIF(P945,"NS"),COUNTIF(P1301,"NS"))&gt;0),"NS",IF(AND(SUM(P945,P1301)=0,SUM(COUNTIF(P945,0),COUNTIF(P1301,0))&gt;0),0,IF(AND(SUM(P945,P1301)=0,SUM(COUNTIF(P945,"NA"),COUNTIF(P1301,"NA"))&gt;0),"NA",SUM(P945,P1301)))))</f>
        <v/>
      </c>
      <c r="Q1651" s="124" t="str">
        <f t="shared" ref="Q1651:AD1651" si="981">IF(AND(Q945="",Q1301=""),"",IF($P$1651="NA","",IF(AND(SUM(Q945,Q1301)=0,SUM(COUNTIF(Q945,"NS"),COUNTIF(Q1301,"NS"))&gt;0),"NS",IF(AND(SUM(Q945,Q1301)=0,SUM(COUNTIF(Q945,0),COUNTIF(Q1301,0))&gt;0),0,IF(AND(SUM(Q945,Q1301)=0,SUM(COUNTIF(Q945,"NA"),COUNTIF(Q1301,"NA"))&gt;0),"NA",SUM(Q945,Q1301))))))</f>
        <v/>
      </c>
      <c r="R1651" s="124" t="str">
        <f t="shared" si="981"/>
        <v/>
      </c>
      <c r="S1651" s="124" t="str">
        <f t="shared" si="981"/>
        <v/>
      </c>
      <c r="T1651" s="124" t="str">
        <f t="shared" si="981"/>
        <v/>
      </c>
      <c r="U1651" s="124" t="str">
        <f t="shared" si="981"/>
        <v/>
      </c>
      <c r="V1651" s="124" t="str">
        <f t="shared" si="981"/>
        <v/>
      </c>
      <c r="W1651" s="124" t="str">
        <f t="shared" si="981"/>
        <v/>
      </c>
      <c r="X1651" s="124" t="str">
        <f t="shared" si="981"/>
        <v/>
      </c>
      <c r="Y1651" s="124" t="str">
        <f t="shared" si="981"/>
        <v/>
      </c>
      <c r="Z1651" s="124" t="str">
        <f t="shared" si="981"/>
        <v/>
      </c>
      <c r="AA1651" s="124" t="str">
        <f t="shared" si="981"/>
        <v/>
      </c>
      <c r="AB1651" s="124" t="str">
        <f t="shared" si="981"/>
        <v/>
      </c>
      <c r="AC1651" s="124" t="str">
        <f t="shared" si="981"/>
        <v/>
      </c>
      <c r="AD1651" s="124" t="str">
        <f t="shared" si="981"/>
        <v/>
      </c>
      <c r="AF1651"/>
      <c r="AG1651"/>
      <c r="AH1651"/>
      <c r="AI1651"/>
      <c r="AJ1651"/>
      <c r="AK1651"/>
      <c r="AL1651"/>
      <c r="AM1651"/>
      <c r="AN1651"/>
      <c r="AO1651"/>
      <c r="AP1651"/>
      <c r="AQ1651"/>
      <c r="AR1651"/>
      <c r="AS1651"/>
      <c r="AT1651"/>
      <c r="AU1651"/>
      <c r="AV1651"/>
      <c r="AW1651"/>
      <c r="AX1651"/>
      <c r="AY1651"/>
      <c r="AZ1651"/>
      <c r="BA1651">
        <f>COUNTIF(AB1640:AB1642,"NS")</f>
        <v>0</v>
      </c>
      <c r="BB1651">
        <f>SUM(AB1640:AB1642)</f>
        <v>0</v>
      </c>
      <c r="BC1651">
        <f>IF(COUNTBLANK(AB1639:AB1642)=4,0,IF(OR(AND(AB1639=0,BA1651&gt;0),AND(AB1639="ns",BB1651&gt;0),AND(AB1639="ns",BA1651=0,BB1651=0)),1,IF(OR(AND(BA1651&gt;=2,AB1639&gt;BB1651),AND(AB1639="ns",BB1651=0,BA1651&gt;0),AB1639=BB1651),0,1)))</f>
        <v>0</v>
      </c>
      <c r="BD1651"/>
      <c r="BE1651"/>
      <c r="BF1651"/>
      <c r="BG1651"/>
      <c r="BH1651"/>
      <c r="BI1651"/>
      <c r="BJ1651"/>
      <c r="BK1651"/>
      <c r="BL1651"/>
      <c r="BM1651"/>
      <c r="BN1651"/>
      <c r="BO1651"/>
      <c r="BP1651"/>
      <c r="BQ1651"/>
      <c r="BR1651"/>
      <c r="BS1651"/>
      <c r="BT1651"/>
    </row>
    <row r="1652" spans="1:72" ht="15" customHeight="1">
      <c r="A1652" s="50"/>
      <c r="B1652" s="38"/>
      <c r="C1652" s="733" t="s">
        <v>4834</v>
      </c>
      <c r="D1652" s="734"/>
      <c r="E1652" s="734"/>
      <c r="F1652" s="735"/>
      <c r="G1652" s="813" t="s">
        <v>4835</v>
      </c>
      <c r="H1652" s="814"/>
      <c r="I1652" s="814"/>
      <c r="J1652" s="814"/>
      <c r="K1652" s="814"/>
      <c r="L1652" s="814"/>
      <c r="M1652" s="814"/>
      <c r="N1652" s="814"/>
      <c r="O1652" s="815"/>
      <c r="P1652" s="124" t="str">
        <f>IF(AND(P946="",P1302=""),"",IF(AND(SUM(P946,P1302)=0,SUM(COUNTIF(P946,"NS"),COUNTIF(P1302,"NS"))&gt;0),"NS",IF(AND(SUM(P946,P1302)=0,SUM(COUNTIF(P946,0),COUNTIF(P1302,0))&gt;0),0,IF(AND(SUM(P946,P1302)=0,SUM(COUNTIF(P946,"NA"),COUNTIF(P1302,"NA"))&gt;0),"NA",SUM(P946,P1302)))))</f>
        <v/>
      </c>
      <c r="Q1652" s="124" t="str">
        <f t="shared" ref="Q1652:AD1652" si="982">IF(AND(Q946="",Q1302=""),"",IF($P$1652="NA","",IF(AND(SUM(Q946,Q1302)=0,SUM(COUNTIF(Q946,"NS"),COUNTIF(Q1302,"NS"))&gt;0),"NS",IF(AND(SUM(Q946,Q1302)=0,SUM(COUNTIF(Q946,0),COUNTIF(Q1302,0))&gt;0),0,IF(AND(SUM(Q946,Q1302)=0,SUM(COUNTIF(Q946,"NA"),COUNTIF(Q1302,"NA"))&gt;0),"NA",SUM(Q946,Q1302))))))</f>
        <v/>
      </c>
      <c r="R1652" s="124" t="str">
        <f t="shared" si="982"/>
        <v/>
      </c>
      <c r="S1652" s="124" t="str">
        <f t="shared" si="982"/>
        <v/>
      </c>
      <c r="T1652" s="124" t="str">
        <f t="shared" si="982"/>
        <v/>
      </c>
      <c r="U1652" s="124" t="str">
        <f t="shared" si="982"/>
        <v/>
      </c>
      <c r="V1652" s="124" t="str">
        <f t="shared" si="982"/>
        <v/>
      </c>
      <c r="W1652" s="124" t="str">
        <f t="shared" si="982"/>
        <v/>
      </c>
      <c r="X1652" s="124" t="str">
        <f t="shared" si="982"/>
        <v/>
      </c>
      <c r="Y1652" s="124" t="str">
        <f t="shared" si="982"/>
        <v/>
      </c>
      <c r="Z1652" s="124" t="str">
        <f t="shared" si="982"/>
        <v/>
      </c>
      <c r="AA1652" s="124" t="str">
        <f t="shared" si="982"/>
        <v/>
      </c>
      <c r="AB1652" s="124" t="str">
        <f t="shared" si="982"/>
        <v/>
      </c>
      <c r="AC1652" s="124" t="str">
        <f t="shared" si="982"/>
        <v/>
      </c>
      <c r="AD1652" s="124" t="str">
        <f t="shared" si="982"/>
        <v/>
      </c>
      <c r="AF1652"/>
      <c r="AG1652"/>
      <c r="AH1652"/>
      <c r="AI1652"/>
      <c r="AJ1652"/>
      <c r="AK1652"/>
      <c r="AL1652"/>
      <c r="AM1652"/>
      <c r="AN1652"/>
      <c r="AO1652"/>
      <c r="AP1652"/>
      <c r="AQ1652"/>
      <c r="AR1652"/>
      <c r="AS1652"/>
      <c r="AT1652"/>
      <c r="AU1652"/>
      <c r="AV1652"/>
      <c r="AW1652"/>
      <c r="AX1652"/>
      <c r="AY1652"/>
      <c r="AZ1652"/>
      <c r="BA1652">
        <f>COUNTIF(AC1640:AC1642,"NS")</f>
        <v>0</v>
      </c>
      <c r="BB1652">
        <f>SUM(AC1640:AC1642)</f>
        <v>0</v>
      </c>
      <c r="BC1652">
        <f>IF(COUNTBLANK(AC1639:AC1642)=4,0,IF(OR(AND(AC1639=0,BA1652&gt;0),AND(AC1639="ns",BB1652&gt;0),AND(AC1639="ns",BA1652=0,BB1652=0)),1,IF(OR(AND(BA1652&gt;=2,AC1639&gt;BB1652),AND(AC1639="ns",BB1652=0,BA1652&gt;0),AC1639=BB1652),0,1)))</f>
        <v>0</v>
      </c>
      <c r="BD1652"/>
      <c r="BE1652"/>
      <c r="BF1652"/>
      <c r="BG1652"/>
      <c r="BH1652"/>
      <c r="BI1652"/>
      <c r="BJ1652"/>
      <c r="BK1652"/>
      <c r="BL1652"/>
      <c r="BM1652"/>
      <c r="BN1652"/>
      <c r="BO1652"/>
      <c r="BP1652"/>
      <c r="BQ1652"/>
      <c r="BR1652"/>
      <c r="BS1652"/>
      <c r="BT1652"/>
    </row>
    <row r="1653" spans="1:72" ht="24" customHeight="1">
      <c r="A1653" s="50"/>
      <c r="B1653" s="38"/>
      <c r="C1653" s="733" t="s">
        <v>4850</v>
      </c>
      <c r="D1653" s="734"/>
      <c r="E1653" s="734"/>
      <c r="F1653" s="735"/>
      <c r="G1653" s="813" t="s">
        <v>4851</v>
      </c>
      <c r="H1653" s="814"/>
      <c r="I1653" s="814"/>
      <c r="J1653" s="814"/>
      <c r="K1653" s="814"/>
      <c r="L1653" s="814"/>
      <c r="M1653" s="814"/>
      <c r="N1653" s="814"/>
      <c r="O1653" s="815"/>
      <c r="P1653" s="124" t="str">
        <f>IF(AND(P954="",P1310=""),"",IF(AND(SUM(P954,P1310)=0,SUM(COUNTIF(P954,"NS"),COUNTIF(P1310,"NS"))&gt;0),"NS",IF(AND(SUM(P954,P1310)=0,SUM(COUNTIF(P954,0),COUNTIF(P1310,0))&gt;0),0,IF(AND(SUM(P954,P1310)=0,SUM(COUNTIF(P954,"NA"),COUNTIF(P1310,"NA"))&gt;0),"NA",SUM(P954,P1310)))))</f>
        <v/>
      </c>
      <c r="Q1653" s="124" t="str">
        <f t="shared" ref="Q1653:AD1653" si="983">IF(AND(Q954="",Q1310=""),"",IF($P$1653="NA","",IF(AND(SUM(Q954,Q1310)=0,SUM(COUNTIF(Q954,"NS"),COUNTIF(Q1310,"NS"))&gt;0),"NS",IF(AND(SUM(Q954,Q1310)=0,SUM(COUNTIF(Q954,0),COUNTIF(Q1310,0))&gt;0),0,IF(AND(SUM(Q954,Q1310)=0,SUM(COUNTIF(Q954,"NA"),COUNTIF(Q1310,"NA"))&gt;0),"NA",SUM(Q954,Q1310))))))</f>
        <v/>
      </c>
      <c r="R1653" s="124" t="str">
        <f t="shared" si="983"/>
        <v/>
      </c>
      <c r="S1653" s="124" t="str">
        <f t="shared" si="983"/>
        <v/>
      </c>
      <c r="T1653" s="124" t="str">
        <f t="shared" si="983"/>
        <v/>
      </c>
      <c r="U1653" s="124" t="str">
        <f t="shared" si="983"/>
        <v/>
      </c>
      <c r="V1653" s="124" t="str">
        <f t="shared" si="983"/>
        <v/>
      </c>
      <c r="W1653" s="124" t="str">
        <f t="shared" si="983"/>
        <v/>
      </c>
      <c r="X1653" s="124" t="str">
        <f t="shared" si="983"/>
        <v/>
      </c>
      <c r="Y1653" s="124" t="str">
        <f t="shared" si="983"/>
        <v/>
      </c>
      <c r="Z1653" s="124" t="str">
        <f t="shared" si="983"/>
        <v/>
      </c>
      <c r="AA1653" s="124" t="str">
        <f t="shared" si="983"/>
        <v/>
      </c>
      <c r="AB1653" s="124" t="str">
        <f t="shared" si="983"/>
        <v/>
      </c>
      <c r="AC1653" s="124" t="str">
        <f t="shared" si="983"/>
        <v/>
      </c>
      <c r="AD1653" s="124" t="str">
        <f t="shared" si="983"/>
        <v/>
      </c>
      <c r="AF1653"/>
      <c r="AG1653"/>
      <c r="AH1653"/>
      <c r="AI1653"/>
      <c r="AJ1653"/>
      <c r="AK1653"/>
      <c r="AL1653"/>
      <c r="AM1653"/>
      <c r="AN1653"/>
      <c r="AO1653"/>
      <c r="AP1653"/>
      <c r="AQ1653"/>
      <c r="AR1653"/>
      <c r="AS1653"/>
      <c r="AT1653"/>
      <c r="AU1653"/>
      <c r="AV1653"/>
      <c r="AW1653"/>
      <c r="AX1653"/>
      <c r="AY1653"/>
      <c r="AZ1653"/>
      <c r="BA1653">
        <f>COUNTIF(AD1640:AD1642,"NS")</f>
        <v>0</v>
      </c>
      <c r="BB1653">
        <f>SUM(AD1640:AD1642)</f>
        <v>0</v>
      </c>
      <c r="BC1653">
        <f>IF(COUNTBLANK(AD1639:AD1642)=4,0,IF(OR(AND(AD1639=0,BA1653&gt;0),AND(AD1639="ns",BB1653&gt;0),AND(AD1639="ns",BA1653=0,BB1653=0)),1,IF(OR(AND(BA1653&gt;=2,AD1639&gt;BB1653),AND(AD1639="ns",BB1653=0,BA1653&gt;0),AD1639=BB1653),0,1)))</f>
        <v>0</v>
      </c>
      <c r="BD1653"/>
      <c r="BE1653"/>
      <c r="BF1653"/>
      <c r="BG1653"/>
      <c r="BH1653"/>
      <c r="BI1653"/>
      <c r="BJ1653"/>
      <c r="BK1653"/>
      <c r="BL1653"/>
      <c r="BM1653"/>
      <c r="BN1653"/>
      <c r="BO1653"/>
      <c r="BP1653"/>
      <c r="BQ1653"/>
      <c r="BR1653"/>
      <c r="BS1653"/>
      <c r="BT1653"/>
    </row>
    <row r="1654" spans="1:72" ht="15" customHeight="1">
      <c r="A1654" s="50"/>
      <c r="B1654" s="38"/>
      <c r="C1654" s="733" t="s">
        <v>4921</v>
      </c>
      <c r="D1654" s="734"/>
      <c r="E1654" s="734"/>
      <c r="F1654" s="735"/>
      <c r="G1654" s="813" t="s">
        <v>4922</v>
      </c>
      <c r="H1654" s="814"/>
      <c r="I1654" s="814"/>
      <c r="J1654" s="814"/>
      <c r="K1654" s="814"/>
      <c r="L1654" s="814"/>
      <c r="M1654" s="814"/>
      <c r="N1654" s="814"/>
      <c r="O1654" s="815"/>
      <c r="P1654" s="124" t="str">
        <f>IF(AND(P989="",P1345=""),"",IF(AND(SUM(P989,P1345)=0,SUM(COUNTIF(P989,"NS"),COUNTIF(P1345,"NS"))&gt;0),"NS",IF(AND(SUM(P989,P1345)=0,SUM(COUNTIF(P989,0),COUNTIF(P1345,0))&gt;0),0,IF(AND(SUM(P989,P1345)=0,SUM(COUNTIF(P989,"NA"),COUNTIF(P1345,"NA"))&gt;0),"NA",SUM(P989,P1345)))))</f>
        <v/>
      </c>
      <c r="Q1654" s="124" t="str">
        <f t="shared" ref="Q1654:AD1654" si="984">IF(AND(Q989="",Q1345=""),"",IF($P$1654="NA","",IF(AND(SUM(Q989,Q1345)=0,SUM(COUNTIF(Q989,"NS"),COUNTIF(Q1345,"NS"))&gt;0),"NS",IF(AND(SUM(Q989,Q1345)=0,SUM(COUNTIF(Q989,0),COUNTIF(Q1345,0))&gt;0),0,IF(AND(SUM(Q989,Q1345)=0,SUM(COUNTIF(Q989,"NA"),COUNTIF(Q1345,"NA"))&gt;0),"NA",SUM(Q989,Q1345))))))</f>
        <v/>
      </c>
      <c r="R1654" s="124" t="str">
        <f t="shared" si="984"/>
        <v/>
      </c>
      <c r="S1654" s="124" t="str">
        <f t="shared" si="984"/>
        <v/>
      </c>
      <c r="T1654" s="124" t="str">
        <f t="shared" si="984"/>
        <v/>
      </c>
      <c r="U1654" s="124" t="str">
        <f t="shared" si="984"/>
        <v/>
      </c>
      <c r="V1654" s="124" t="str">
        <f t="shared" si="984"/>
        <v/>
      </c>
      <c r="W1654" s="124" t="str">
        <f t="shared" si="984"/>
        <v/>
      </c>
      <c r="X1654" s="124" t="str">
        <f t="shared" si="984"/>
        <v/>
      </c>
      <c r="Y1654" s="124" t="str">
        <f t="shared" si="984"/>
        <v/>
      </c>
      <c r="Z1654" s="124" t="str">
        <f t="shared" si="984"/>
        <v/>
      </c>
      <c r="AA1654" s="124" t="str">
        <f t="shared" si="984"/>
        <v/>
      </c>
      <c r="AB1654" s="124" t="str">
        <f t="shared" si="984"/>
        <v/>
      </c>
      <c r="AC1654" s="124" t="str">
        <f t="shared" si="984"/>
        <v/>
      </c>
      <c r="AD1654" s="124" t="str">
        <f t="shared" si="984"/>
        <v/>
      </c>
      <c r="AF1654"/>
      <c r="AG1654"/>
      <c r="AH1654"/>
      <c r="AI1654"/>
      <c r="AJ1654"/>
      <c r="AK1654"/>
      <c r="AL1654"/>
      <c r="AM1654"/>
      <c r="AN1654"/>
      <c r="AO1654"/>
      <c r="AP1654"/>
      <c r="AQ1654"/>
      <c r="AR1654"/>
      <c r="AS1654"/>
      <c r="AT1654"/>
      <c r="AU1654"/>
      <c r="AV1654"/>
      <c r="AW1654"/>
      <c r="AX1654"/>
      <c r="AY1654"/>
      <c r="AZ1654"/>
      <c r="BA1654">
        <f>SUM(BA1639:BA1653)</f>
        <v>0</v>
      </c>
      <c r="BC1654" s="702">
        <f>SUM(BC1639:BC1653)</f>
        <v>0</v>
      </c>
      <c r="BD1654"/>
      <c r="BE1654"/>
      <c r="BF1654"/>
      <c r="BG1654"/>
      <c r="BH1654"/>
      <c r="BI1654"/>
      <c r="BJ1654"/>
      <c r="BK1654"/>
      <c r="BL1654"/>
      <c r="BM1654"/>
      <c r="BN1654"/>
      <c r="BO1654"/>
      <c r="BP1654"/>
      <c r="BQ1654"/>
      <c r="BR1654"/>
      <c r="BS1654"/>
      <c r="BT1654"/>
    </row>
    <row r="1655" spans="1:72" ht="15" customHeight="1">
      <c r="A1655" s="50"/>
      <c r="B1655" s="38"/>
      <c r="C1655" s="733" t="s">
        <v>4944</v>
      </c>
      <c r="D1655" s="734"/>
      <c r="E1655" s="734"/>
      <c r="F1655" s="735"/>
      <c r="G1655" s="813" t="s">
        <v>4945</v>
      </c>
      <c r="H1655" s="814"/>
      <c r="I1655" s="814"/>
      <c r="J1655" s="814"/>
      <c r="K1655" s="814"/>
      <c r="L1655" s="814"/>
      <c r="M1655" s="814"/>
      <c r="N1655" s="814"/>
      <c r="O1655" s="815"/>
      <c r="P1655" s="124" t="str">
        <f t="shared" ref="P1655:P1660" si="985">IF(AND(P1000="",P1356=""),"",IF(AND(SUM(P1000,P1356)=0,SUM(COUNTIF(P1000,"NS"),COUNTIF(P1356,"NS"))&gt;0),"NS",IF(AND(SUM(P1000,P1356)=0,SUM(COUNTIF(P1000,0),COUNTIF(P1356,0))&gt;0),0,IF(AND(SUM(P1000,P1356)=0,SUM(COUNTIF(P1000,"NA"),COUNTIF(P1356,"NA"))&gt;0),"NA",SUM(P1000,P1356)))))</f>
        <v/>
      </c>
      <c r="Q1655" s="124" t="str">
        <f t="shared" ref="Q1655:AD1655" si="986">IF(AND(Q1000="",Q1356=""),"",IF($P$1655="NA","",IF(AND(SUM(Q1000,Q1356)=0,SUM(COUNTIF(Q1000,"NS"),COUNTIF(Q1356,"NS"))&gt;0),"NS",IF(AND(SUM(Q1000,Q1356)=0,SUM(COUNTIF(Q1000,0),COUNTIF(Q1356,0))&gt;0),0,IF(AND(SUM(Q1000,Q1356)=0,SUM(COUNTIF(Q1000,"NA"),COUNTIF(Q1356,"NA"))&gt;0),"NA",SUM(Q1000,Q1356))))))</f>
        <v/>
      </c>
      <c r="R1655" s="124" t="str">
        <f t="shared" si="986"/>
        <v/>
      </c>
      <c r="S1655" s="124" t="str">
        <f t="shared" si="986"/>
        <v/>
      </c>
      <c r="T1655" s="124" t="str">
        <f t="shared" si="986"/>
        <v/>
      </c>
      <c r="U1655" s="124" t="str">
        <f t="shared" si="986"/>
        <v/>
      </c>
      <c r="V1655" s="124" t="str">
        <f t="shared" si="986"/>
        <v/>
      </c>
      <c r="W1655" s="124" t="str">
        <f t="shared" si="986"/>
        <v/>
      </c>
      <c r="X1655" s="124" t="str">
        <f t="shared" si="986"/>
        <v/>
      </c>
      <c r="Y1655" s="124" t="str">
        <f t="shared" si="986"/>
        <v/>
      </c>
      <c r="Z1655" s="124" t="str">
        <f t="shared" si="986"/>
        <v/>
      </c>
      <c r="AA1655" s="124" t="str">
        <f t="shared" si="986"/>
        <v/>
      </c>
      <c r="AB1655" s="124" t="str">
        <f t="shared" si="986"/>
        <v/>
      </c>
      <c r="AC1655" s="124" t="str">
        <f t="shared" si="986"/>
        <v/>
      </c>
      <c r="AD1655" s="124" t="str">
        <f t="shared" si="986"/>
        <v/>
      </c>
      <c r="AF1655"/>
      <c r="AG1655"/>
      <c r="AH1655"/>
      <c r="AI1655"/>
      <c r="AJ1655"/>
      <c r="AK1655"/>
      <c r="AL1655"/>
      <c r="AM1655"/>
      <c r="AN1655"/>
      <c r="AO1655"/>
      <c r="AP1655"/>
      <c r="AQ1655"/>
      <c r="AR1655"/>
      <c r="AS1655"/>
      <c r="AT1655"/>
      <c r="AU1655"/>
      <c r="AV1655"/>
      <c r="AW1655"/>
      <c r="AX1655"/>
      <c r="AY1655"/>
      <c r="AZ1655"/>
      <c r="BC1655" s="405">
        <f>SUM(BC1654,BT1640)</f>
        <v>0</v>
      </c>
      <c r="BD1655"/>
      <c r="BE1655"/>
      <c r="BF1655"/>
      <c r="BG1655"/>
      <c r="BH1655"/>
      <c r="BI1655"/>
      <c r="BJ1655"/>
      <c r="BK1655"/>
      <c r="BL1655"/>
      <c r="BM1655"/>
      <c r="BN1655"/>
      <c r="BO1655"/>
      <c r="BP1655"/>
      <c r="BQ1655"/>
      <c r="BR1655"/>
      <c r="BS1655"/>
      <c r="BT1655"/>
    </row>
    <row r="1656" spans="1:72" ht="24" customHeight="1">
      <c r="A1656" s="50"/>
      <c r="B1656" s="38"/>
      <c r="C1656" s="1119" t="s">
        <v>4946</v>
      </c>
      <c r="D1656" s="1121"/>
      <c r="E1656" s="1121"/>
      <c r="F1656" s="1120"/>
      <c r="G1656" s="174"/>
      <c r="H1656" s="1126" t="s">
        <v>4947</v>
      </c>
      <c r="I1656" s="1126"/>
      <c r="J1656" s="1126"/>
      <c r="K1656" s="1126"/>
      <c r="L1656" s="1126"/>
      <c r="M1656" s="1126"/>
      <c r="N1656" s="1126"/>
      <c r="O1656" s="1127"/>
      <c r="P1656" s="124" t="str">
        <f t="shared" si="985"/>
        <v/>
      </c>
      <c r="Q1656" s="124" t="str">
        <f t="shared" ref="Q1656:AD1656" si="987">IF(AND(Q1001="",Q1357=""),"",IF($P$1656="NA","",IF(AND(SUM(Q1001,Q1357)=0,SUM(COUNTIF(Q1001,"NS"),COUNTIF(Q1357,"NS"))&gt;0),"NS",IF(AND(SUM(Q1001,Q1357)=0,SUM(COUNTIF(Q1001,0),COUNTIF(Q1357,0))&gt;0),0,IF(AND(SUM(Q1001,Q1357)=0,SUM(COUNTIF(Q1001,"NA"),COUNTIF(Q1357,"NA"))&gt;0),"NA",SUM(Q1001,Q1357))))))</f>
        <v/>
      </c>
      <c r="R1656" s="124" t="str">
        <f t="shared" si="987"/>
        <v/>
      </c>
      <c r="S1656" s="124" t="str">
        <f t="shared" si="987"/>
        <v/>
      </c>
      <c r="T1656" s="124" t="str">
        <f t="shared" si="987"/>
        <v/>
      </c>
      <c r="U1656" s="124" t="str">
        <f t="shared" si="987"/>
        <v/>
      </c>
      <c r="V1656" s="124" t="str">
        <f t="shared" si="987"/>
        <v/>
      </c>
      <c r="W1656" s="124" t="str">
        <f t="shared" si="987"/>
        <v/>
      </c>
      <c r="X1656" s="124" t="str">
        <f t="shared" si="987"/>
        <v/>
      </c>
      <c r="Y1656" s="124" t="str">
        <f t="shared" si="987"/>
        <v/>
      </c>
      <c r="Z1656" s="124" t="str">
        <f t="shared" si="987"/>
        <v/>
      </c>
      <c r="AA1656" s="124" t="str">
        <f t="shared" si="987"/>
        <v/>
      </c>
      <c r="AB1656" s="124" t="str">
        <f t="shared" si="987"/>
        <v/>
      </c>
      <c r="AC1656" s="124" t="str">
        <f t="shared" si="987"/>
        <v/>
      </c>
      <c r="AD1656" s="124" t="str">
        <f t="shared" si="987"/>
        <v/>
      </c>
      <c r="AF1656"/>
      <c r="AG1656"/>
      <c r="AH1656"/>
      <c r="AI1656"/>
      <c r="AJ1656"/>
      <c r="AK1656"/>
      <c r="AL1656"/>
      <c r="AM1656"/>
      <c r="AN1656"/>
      <c r="AO1656"/>
      <c r="AP1656"/>
      <c r="AQ1656"/>
      <c r="AR1656"/>
      <c r="AS1656"/>
      <c r="AT1656"/>
      <c r="AU1656"/>
      <c r="AV1656"/>
      <c r="AW1656"/>
      <c r="AX1656"/>
      <c r="AY1656"/>
      <c r="AZ1656"/>
      <c r="BA1656"/>
      <c r="BB1656"/>
      <c r="BC1656"/>
      <c r="BD1656"/>
      <c r="BE1656"/>
      <c r="BF1656"/>
      <c r="BG1656"/>
      <c r="BH1656"/>
      <c r="BI1656"/>
      <c r="BJ1656"/>
      <c r="BK1656"/>
      <c r="BL1656"/>
      <c r="BM1656"/>
      <c r="BN1656"/>
      <c r="BO1656"/>
      <c r="BP1656"/>
      <c r="BQ1656"/>
      <c r="BR1656"/>
      <c r="BS1656"/>
      <c r="BT1656"/>
    </row>
    <row r="1657" spans="1:72" ht="24" customHeight="1">
      <c r="A1657" s="50"/>
      <c r="B1657" s="38"/>
      <c r="C1657" s="1119" t="s">
        <v>4948</v>
      </c>
      <c r="D1657" s="1121"/>
      <c r="E1657" s="1121"/>
      <c r="F1657" s="1120"/>
      <c r="G1657" s="174"/>
      <c r="H1657" s="1122" t="s">
        <v>4949</v>
      </c>
      <c r="I1657" s="1122"/>
      <c r="J1657" s="1122"/>
      <c r="K1657" s="1122"/>
      <c r="L1657" s="1122"/>
      <c r="M1657" s="1122"/>
      <c r="N1657" s="1122"/>
      <c r="O1657" s="1123"/>
      <c r="P1657" s="124" t="str">
        <f t="shared" si="985"/>
        <v/>
      </c>
      <c r="Q1657" s="124" t="str">
        <f t="shared" ref="Q1657:AD1657" si="988">IF(AND(Q1002="",Q1358=""),"",IF($P$1657="NA","",IF(AND(SUM(Q1002,Q1358)=0,SUM(COUNTIF(Q1002,"NS"),COUNTIF(Q1358,"NS"))&gt;0),"NS",IF(AND(SUM(Q1002,Q1358)=0,SUM(COUNTIF(Q1002,0),COUNTIF(Q1358,0))&gt;0),0,IF(AND(SUM(Q1002,Q1358)=0,SUM(COUNTIF(Q1002,"NA"),COUNTIF(Q1358,"NA"))&gt;0),"NA",SUM(Q1002,Q1358))))))</f>
        <v/>
      </c>
      <c r="R1657" s="124" t="str">
        <f t="shared" si="988"/>
        <v/>
      </c>
      <c r="S1657" s="124" t="str">
        <f t="shared" si="988"/>
        <v/>
      </c>
      <c r="T1657" s="124" t="str">
        <f t="shared" si="988"/>
        <v/>
      </c>
      <c r="U1657" s="124" t="str">
        <f t="shared" si="988"/>
        <v/>
      </c>
      <c r="V1657" s="124" t="str">
        <f t="shared" si="988"/>
        <v/>
      </c>
      <c r="W1657" s="124" t="str">
        <f t="shared" si="988"/>
        <v/>
      </c>
      <c r="X1657" s="124" t="str">
        <f t="shared" si="988"/>
        <v/>
      </c>
      <c r="Y1657" s="124" t="str">
        <f t="shared" si="988"/>
        <v/>
      </c>
      <c r="Z1657" s="124" t="str">
        <f t="shared" si="988"/>
        <v/>
      </c>
      <c r="AA1657" s="124" t="str">
        <f t="shared" si="988"/>
        <v/>
      </c>
      <c r="AB1657" s="124" t="str">
        <f t="shared" si="988"/>
        <v/>
      </c>
      <c r="AC1657" s="124" t="str">
        <f t="shared" si="988"/>
        <v/>
      </c>
      <c r="AD1657" s="124" t="str">
        <f t="shared" si="988"/>
        <v/>
      </c>
      <c r="AF1657"/>
      <c r="AG1657"/>
      <c r="AH1657"/>
      <c r="AI1657"/>
      <c r="AJ1657"/>
      <c r="AK1657"/>
      <c r="AL1657"/>
      <c r="AM1657"/>
      <c r="AN1657"/>
      <c r="AO1657"/>
      <c r="AP1657"/>
      <c r="AQ1657"/>
      <c r="AR1657"/>
      <c r="AS1657"/>
      <c r="AT1657"/>
      <c r="AU1657"/>
      <c r="AV1657"/>
      <c r="AW1657"/>
      <c r="AX1657"/>
      <c r="AY1657"/>
      <c r="AZ1657"/>
      <c r="BA1657"/>
      <c r="BB1657"/>
      <c r="BC1657"/>
      <c r="BD1657"/>
      <c r="BE1657"/>
      <c r="BF1657"/>
      <c r="BG1657"/>
      <c r="BH1657"/>
      <c r="BI1657"/>
      <c r="BJ1657"/>
      <c r="BK1657"/>
      <c r="BL1657"/>
      <c r="BM1657"/>
      <c r="BN1657"/>
      <c r="BO1657"/>
      <c r="BP1657"/>
      <c r="BQ1657"/>
      <c r="BR1657"/>
      <c r="BS1657"/>
      <c r="BT1657"/>
    </row>
    <row r="1658" spans="1:72" ht="24" customHeight="1">
      <c r="A1658" s="50"/>
      <c r="B1658" s="38"/>
      <c r="C1658" s="1119" t="s">
        <v>4950</v>
      </c>
      <c r="D1658" s="1121"/>
      <c r="E1658" s="1121"/>
      <c r="F1658" s="1120"/>
      <c r="G1658" s="174"/>
      <c r="H1658" s="1122" t="s">
        <v>4951</v>
      </c>
      <c r="I1658" s="1122"/>
      <c r="J1658" s="1122"/>
      <c r="K1658" s="1122"/>
      <c r="L1658" s="1122"/>
      <c r="M1658" s="1122"/>
      <c r="N1658" s="1122"/>
      <c r="O1658" s="1123"/>
      <c r="P1658" s="124" t="str">
        <f t="shared" si="985"/>
        <v/>
      </c>
      <c r="Q1658" s="124" t="str">
        <f t="shared" ref="Q1658:AD1658" si="989">IF(AND(Q1003="",Q1359=""),"",IF($P$1658="NA","",IF(AND(SUM(Q1003,Q1359)=0,SUM(COUNTIF(Q1003,"NS"),COUNTIF(Q1359,"NS"))&gt;0),"NS",IF(AND(SUM(Q1003,Q1359)=0,SUM(COUNTIF(Q1003,0),COUNTIF(Q1359,0))&gt;0),0,IF(AND(SUM(Q1003,Q1359)=0,SUM(COUNTIF(Q1003,"NA"),COUNTIF(Q1359,"NA"))&gt;0),"NA",SUM(Q1003,Q1359))))))</f>
        <v/>
      </c>
      <c r="R1658" s="124" t="str">
        <f t="shared" si="989"/>
        <v/>
      </c>
      <c r="S1658" s="124" t="str">
        <f t="shared" si="989"/>
        <v/>
      </c>
      <c r="T1658" s="124" t="str">
        <f t="shared" si="989"/>
        <v/>
      </c>
      <c r="U1658" s="124" t="str">
        <f t="shared" si="989"/>
        <v/>
      </c>
      <c r="V1658" s="124" t="str">
        <f t="shared" si="989"/>
        <v/>
      </c>
      <c r="W1658" s="124" t="str">
        <f t="shared" si="989"/>
        <v/>
      </c>
      <c r="X1658" s="124" t="str">
        <f t="shared" si="989"/>
        <v/>
      </c>
      <c r="Y1658" s="124" t="str">
        <f t="shared" si="989"/>
        <v/>
      </c>
      <c r="Z1658" s="124" t="str">
        <f t="shared" si="989"/>
        <v/>
      </c>
      <c r="AA1658" s="124" t="str">
        <f t="shared" si="989"/>
        <v/>
      </c>
      <c r="AB1658" s="124" t="str">
        <f t="shared" si="989"/>
        <v/>
      </c>
      <c r="AC1658" s="124" t="str">
        <f t="shared" si="989"/>
        <v/>
      </c>
      <c r="AD1658" s="124" t="str">
        <f t="shared" si="989"/>
        <v/>
      </c>
      <c r="AF1658"/>
      <c r="AG1658"/>
      <c r="AH1658"/>
      <c r="AI1658"/>
      <c r="AJ1658"/>
      <c r="AK1658"/>
      <c r="AL1658"/>
      <c r="AM1658"/>
      <c r="AN1658"/>
      <c r="AO1658"/>
      <c r="AP1658"/>
      <c r="AQ1658"/>
      <c r="AR1658"/>
      <c r="AS1658"/>
      <c r="AT1658"/>
      <c r="AU1658"/>
      <c r="AV1658"/>
      <c r="AW1658"/>
      <c r="AX1658"/>
      <c r="AY1658"/>
      <c r="AZ1658"/>
      <c r="BA1658"/>
      <c r="BB1658"/>
      <c r="BC1658"/>
      <c r="BD1658"/>
      <c r="BE1658"/>
      <c r="BF1658"/>
      <c r="BG1658"/>
      <c r="BH1658"/>
      <c r="BI1658"/>
      <c r="BJ1658"/>
      <c r="BK1658"/>
      <c r="BL1658"/>
      <c r="BM1658"/>
      <c r="BN1658"/>
      <c r="BO1658"/>
      <c r="BP1658"/>
      <c r="BQ1658"/>
      <c r="BR1658"/>
      <c r="BS1658"/>
      <c r="BT1658"/>
    </row>
    <row r="1659" spans="1:72" ht="15" customHeight="1">
      <c r="A1659" s="50"/>
      <c r="B1659" s="38"/>
      <c r="C1659" s="1119" t="s">
        <v>4952</v>
      </c>
      <c r="D1659" s="1121"/>
      <c r="E1659" s="1121"/>
      <c r="F1659" s="1120"/>
      <c r="G1659" s="174"/>
      <c r="H1659" s="1122" t="s">
        <v>4953</v>
      </c>
      <c r="I1659" s="1122"/>
      <c r="J1659" s="1122"/>
      <c r="K1659" s="1122"/>
      <c r="L1659" s="1122"/>
      <c r="M1659" s="1122"/>
      <c r="N1659" s="1122"/>
      <c r="O1659" s="1123"/>
      <c r="P1659" s="124" t="str">
        <f t="shared" si="985"/>
        <v/>
      </c>
      <c r="Q1659" s="124" t="str">
        <f t="shared" ref="Q1659:AD1659" si="990">IF(AND(Q1004="",Q1360=""),"",IF($P$1659="NA","",IF(AND(SUM(Q1004,Q1360)=0,SUM(COUNTIF(Q1004,"NS"),COUNTIF(Q1360,"NS"))&gt;0),"NS",IF(AND(SUM(Q1004,Q1360)=0,SUM(COUNTIF(Q1004,0),COUNTIF(Q1360,0))&gt;0),0,IF(AND(SUM(Q1004,Q1360)=0,SUM(COUNTIF(Q1004,"NA"),COUNTIF(Q1360,"NA"))&gt;0),"NA",SUM(Q1004,Q1360))))))</f>
        <v/>
      </c>
      <c r="R1659" s="124" t="str">
        <f t="shared" si="990"/>
        <v/>
      </c>
      <c r="S1659" s="124" t="str">
        <f t="shared" si="990"/>
        <v/>
      </c>
      <c r="T1659" s="124" t="str">
        <f t="shared" si="990"/>
        <v/>
      </c>
      <c r="U1659" s="124" t="str">
        <f t="shared" si="990"/>
        <v/>
      </c>
      <c r="V1659" s="124" t="str">
        <f t="shared" si="990"/>
        <v/>
      </c>
      <c r="W1659" s="124" t="str">
        <f t="shared" si="990"/>
        <v/>
      </c>
      <c r="X1659" s="124" t="str">
        <f t="shared" si="990"/>
        <v/>
      </c>
      <c r="Y1659" s="124" t="str">
        <f t="shared" si="990"/>
        <v/>
      </c>
      <c r="Z1659" s="124" t="str">
        <f t="shared" si="990"/>
        <v/>
      </c>
      <c r="AA1659" s="124" t="str">
        <f t="shared" si="990"/>
        <v/>
      </c>
      <c r="AB1659" s="124" t="str">
        <f t="shared" si="990"/>
        <v/>
      </c>
      <c r="AC1659" s="124" t="str">
        <f t="shared" si="990"/>
        <v/>
      </c>
      <c r="AD1659" s="124" t="str">
        <f t="shared" si="990"/>
        <v/>
      </c>
      <c r="AF1659"/>
      <c r="AG1659"/>
      <c r="AH1659"/>
      <c r="AI1659"/>
      <c r="AJ1659"/>
      <c r="AK1659"/>
      <c r="AL1659"/>
      <c r="AM1659"/>
      <c r="AN1659"/>
      <c r="AO1659"/>
      <c r="AP1659"/>
      <c r="AQ1659"/>
      <c r="AR1659"/>
      <c r="AS1659"/>
      <c r="AT1659"/>
      <c r="AU1659"/>
      <c r="AV1659"/>
      <c r="AW1659"/>
      <c r="AX1659"/>
      <c r="AY1659"/>
      <c r="AZ1659"/>
      <c r="BA1659"/>
      <c r="BB1659"/>
      <c r="BC1659"/>
      <c r="BD1659"/>
      <c r="BE1659"/>
      <c r="BF1659"/>
      <c r="BG1659"/>
      <c r="BH1659"/>
      <c r="BI1659"/>
      <c r="BJ1659"/>
      <c r="BK1659"/>
      <c r="BL1659"/>
      <c r="BM1659"/>
      <c r="BN1659"/>
      <c r="BO1659"/>
      <c r="BP1659"/>
      <c r="BQ1659"/>
      <c r="BR1659"/>
      <c r="BS1659"/>
      <c r="BT1659"/>
    </row>
    <row r="1660" spans="1:72" ht="15" customHeight="1">
      <c r="A1660" s="50"/>
      <c r="B1660" s="38"/>
      <c r="C1660" s="1119" t="s">
        <v>4954</v>
      </c>
      <c r="D1660" s="1121"/>
      <c r="E1660" s="1121"/>
      <c r="F1660" s="1120"/>
      <c r="G1660" s="174"/>
      <c r="H1660" s="1124" t="s">
        <v>201</v>
      </c>
      <c r="I1660" s="1124"/>
      <c r="J1660" s="1124"/>
      <c r="K1660" s="1124"/>
      <c r="L1660" s="1124"/>
      <c r="M1660" s="1124"/>
      <c r="N1660" s="1124"/>
      <c r="O1660" s="1125"/>
      <c r="P1660" s="124" t="str">
        <f t="shared" si="985"/>
        <v/>
      </c>
      <c r="Q1660" s="124" t="str">
        <f t="shared" ref="Q1660:AD1660" si="991">IF(AND(Q1005="",Q1361=""),"",IF($P$1660="NA","",IF(AND(SUM(Q1005,Q1361)=0,SUM(COUNTIF(Q1005,"NS"),COUNTIF(Q1361,"NS"))&gt;0),"NS",IF(AND(SUM(Q1005,Q1361)=0,SUM(COUNTIF(Q1005,0),COUNTIF(Q1361,0))&gt;0),0,IF(AND(SUM(Q1005,Q1361)=0,SUM(COUNTIF(Q1005,"NA"),COUNTIF(Q1361,"NA"))&gt;0),"NA",SUM(Q1005,Q1361))))))</f>
        <v/>
      </c>
      <c r="R1660" s="124" t="str">
        <f t="shared" si="991"/>
        <v/>
      </c>
      <c r="S1660" s="124" t="str">
        <f t="shared" si="991"/>
        <v/>
      </c>
      <c r="T1660" s="124" t="str">
        <f t="shared" si="991"/>
        <v/>
      </c>
      <c r="U1660" s="124" t="str">
        <f t="shared" si="991"/>
        <v/>
      </c>
      <c r="V1660" s="124" t="str">
        <f t="shared" si="991"/>
        <v/>
      </c>
      <c r="W1660" s="124" t="str">
        <f t="shared" si="991"/>
        <v/>
      </c>
      <c r="X1660" s="124" t="str">
        <f t="shared" si="991"/>
        <v/>
      </c>
      <c r="Y1660" s="124" t="str">
        <f t="shared" si="991"/>
        <v/>
      </c>
      <c r="Z1660" s="124" t="str">
        <f t="shared" si="991"/>
        <v/>
      </c>
      <c r="AA1660" s="124" t="str">
        <f t="shared" si="991"/>
        <v/>
      </c>
      <c r="AB1660" s="124" t="str">
        <f t="shared" si="991"/>
        <v/>
      </c>
      <c r="AC1660" s="124" t="str">
        <f t="shared" si="991"/>
        <v/>
      </c>
      <c r="AD1660" s="124" t="str">
        <f t="shared" si="991"/>
        <v/>
      </c>
      <c r="AF1660"/>
      <c r="AG1660"/>
      <c r="AH1660"/>
      <c r="AI1660"/>
      <c r="AJ1660"/>
      <c r="AK1660"/>
      <c r="AL1660"/>
      <c r="AM1660"/>
      <c r="AN1660"/>
      <c r="AO1660"/>
      <c r="AP1660"/>
      <c r="AQ1660"/>
      <c r="AR1660"/>
      <c r="AS1660"/>
      <c r="AT1660"/>
      <c r="AU1660"/>
      <c r="AV1660"/>
      <c r="AW1660"/>
      <c r="AX1660"/>
      <c r="AY1660"/>
      <c r="AZ1660"/>
      <c r="BA1660"/>
      <c r="BB1660"/>
      <c r="BC1660"/>
      <c r="BD1660"/>
      <c r="BE1660"/>
      <c r="BF1660"/>
      <c r="BG1660"/>
      <c r="BH1660"/>
      <c r="BI1660"/>
      <c r="BJ1660"/>
      <c r="BK1660"/>
      <c r="BL1660"/>
      <c r="BM1660"/>
      <c r="BN1660"/>
      <c r="BO1660"/>
      <c r="BP1660"/>
      <c r="BQ1660"/>
      <c r="BR1660"/>
      <c r="BS1660"/>
      <c r="BT1660"/>
    </row>
    <row r="1661" spans="1:72" ht="36" customHeight="1">
      <c r="A1661" s="50"/>
      <c r="B1661" s="38"/>
      <c r="C1661" s="733" t="s">
        <v>4965</v>
      </c>
      <c r="D1661" s="734"/>
      <c r="E1661" s="734"/>
      <c r="F1661" s="735"/>
      <c r="G1661" s="813" t="s">
        <v>4966</v>
      </c>
      <c r="H1661" s="814"/>
      <c r="I1661" s="814"/>
      <c r="J1661" s="814"/>
      <c r="K1661" s="814"/>
      <c r="L1661" s="814"/>
      <c r="M1661" s="814"/>
      <c r="N1661" s="814"/>
      <c r="O1661" s="815"/>
      <c r="P1661" s="124" t="str">
        <f t="shared" ref="P1661:P1676" si="992">IF(AND(P1010="",P1366=""),"",IF(AND(SUM(P1010,P1366)=0,SUM(COUNTIF(P1010,"NS"),COUNTIF(P1366,"NS"))&gt;0),"NS",IF(AND(SUM(P1010,P1366)=0,SUM(COUNTIF(P1010,0),COUNTIF(P1366,0))&gt;0),0,IF(AND(SUM(P1010,P1366)=0,SUM(COUNTIF(P1010,"NA"),COUNTIF(P1366,"NA"))&gt;0),"NA",SUM(P1010,P1366)))))</f>
        <v/>
      </c>
      <c r="Q1661" s="124" t="str">
        <f t="shared" ref="Q1661:AD1661" si="993">IF(AND(Q1010="",Q1366=""),"",IF($P$1661="NA","",IF(AND(SUM(Q1010,Q1366)=0,SUM(COUNTIF(Q1010,"NS"),COUNTIF(Q1366,"NS"))&gt;0),"NS",IF(AND(SUM(Q1010,Q1366)=0,SUM(COUNTIF(Q1010,0),COUNTIF(Q1366,0))&gt;0),0,IF(AND(SUM(Q1010,Q1366)=0,SUM(COUNTIF(Q1010,"NA"),COUNTIF(Q1366,"NA"))&gt;0),"NA",SUM(Q1010,Q1366))))))</f>
        <v/>
      </c>
      <c r="R1661" s="124" t="str">
        <f t="shared" si="993"/>
        <v/>
      </c>
      <c r="S1661" s="124" t="str">
        <f t="shared" si="993"/>
        <v/>
      </c>
      <c r="T1661" s="124" t="str">
        <f t="shared" si="993"/>
        <v/>
      </c>
      <c r="U1661" s="124" t="str">
        <f t="shared" si="993"/>
        <v/>
      </c>
      <c r="V1661" s="124" t="str">
        <f t="shared" si="993"/>
        <v/>
      </c>
      <c r="W1661" s="124" t="str">
        <f t="shared" si="993"/>
        <v/>
      </c>
      <c r="X1661" s="124" t="str">
        <f t="shared" si="993"/>
        <v/>
      </c>
      <c r="Y1661" s="124" t="str">
        <f t="shared" si="993"/>
        <v/>
      </c>
      <c r="Z1661" s="124" t="str">
        <f t="shared" si="993"/>
        <v/>
      </c>
      <c r="AA1661" s="124" t="str">
        <f t="shared" si="993"/>
        <v/>
      </c>
      <c r="AB1661" s="124" t="str">
        <f t="shared" si="993"/>
        <v/>
      </c>
      <c r="AC1661" s="124" t="str">
        <f t="shared" si="993"/>
        <v/>
      </c>
      <c r="AD1661" s="124" t="str">
        <f t="shared" si="993"/>
        <v/>
      </c>
      <c r="AF1661"/>
      <c r="AG1661"/>
      <c r="AH1661"/>
      <c r="AI1661"/>
      <c r="AJ1661"/>
      <c r="AK1661"/>
      <c r="AL1661"/>
      <c r="AM1661"/>
      <c r="AN1661"/>
      <c r="AO1661"/>
      <c r="AP1661"/>
      <c r="AQ1661"/>
      <c r="AR1661"/>
      <c r="AS1661"/>
      <c r="AT1661"/>
      <c r="AU1661"/>
      <c r="AV1661"/>
      <c r="AW1661"/>
      <c r="AX1661"/>
      <c r="AY1661"/>
      <c r="AZ1661"/>
      <c r="BA1661"/>
      <c r="BB1661"/>
      <c r="BC1661"/>
      <c r="BD1661"/>
      <c r="BE1661"/>
      <c r="BF1661"/>
      <c r="BG1661"/>
      <c r="BH1661"/>
      <c r="BI1661"/>
      <c r="BJ1661"/>
      <c r="BK1661"/>
      <c r="BL1661"/>
      <c r="BM1661"/>
      <c r="BN1661"/>
      <c r="BO1661"/>
      <c r="BP1661"/>
      <c r="BQ1661"/>
      <c r="BR1661"/>
      <c r="BS1661"/>
      <c r="BT1661"/>
    </row>
    <row r="1662" spans="1:72" ht="15" customHeight="1">
      <c r="A1662" s="50"/>
      <c r="B1662" s="38"/>
      <c r="C1662" s="1119" t="s">
        <v>4967</v>
      </c>
      <c r="D1662" s="1121"/>
      <c r="E1662" s="1121"/>
      <c r="F1662" s="1120"/>
      <c r="G1662" s="174"/>
      <c r="H1662" s="1126" t="s">
        <v>4968</v>
      </c>
      <c r="I1662" s="1126"/>
      <c r="J1662" s="1126"/>
      <c r="K1662" s="1126"/>
      <c r="L1662" s="1126"/>
      <c r="M1662" s="1126"/>
      <c r="N1662" s="1126"/>
      <c r="O1662" s="1127"/>
      <c r="P1662" s="124" t="str">
        <f t="shared" si="992"/>
        <v/>
      </c>
      <c r="Q1662" s="124" t="str">
        <f t="shared" ref="Q1662:AD1662" si="994">IF(AND(Q1011="",Q1367=""),"",IF($P$1662="NA","",IF(AND(SUM(Q1011,Q1367)=0,SUM(COUNTIF(Q1011,"NS"),COUNTIF(Q1367,"NS"))&gt;0),"NS",IF(AND(SUM(Q1011,Q1367)=0,SUM(COUNTIF(Q1011,0),COUNTIF(Q1367,0))&gt;0),0,IF(AND(SUM(Q1011,Q1367)=0,SUM(COUNTIF(Q1011,"NA"),COUNTIF(Q1367,"NA"))&gt;0),"NA",SUM(Q1011,Q1367))))))</f>
        <v/>
      </c>
      <c r="R1662" s="124" t="str">
        <f t="shared" si="994"/>
        <v/>
      </c>
      <c r="S1662" s="124" t="str">
        <f t="shared" si="994"/>
        <v/>
      </c>
      <c r="T1662" s="124" t="str">
        <f t="shared" si="994"/>
        <v/>
      </c>
      <c r="U1662" s="124" t="str">
        <f t="shared" si="994"/>
        <v/>
      </c>
      <c r="V1662" s="124" t="str">
        <f t="shared" si="994"/>
        <v/>
      </c>
      <c r="W1662" s="124" t="str">
        <f t="shared" si="994"/>
        <v/>
      </c>
      <c r="X1662" s="124" t="str">
        <f t="shared" si="994"/>
        <v/>
      </c>
      <c r="Y1662" s="124" t="str">
        <f t="shared" si="994"/>
        <v/>
      </c>
      <c r="Z1662" s="124" t="str">
        <f t="shared" si="994"/>
        <v/>
      </c>
      <c r="AA1662" s="124" t="str">
        <f t="shared" si="994"/>
        <v/>
      </c>
      <c r="AB1662" s="124" t="str">
        <f t="shared" si="994"/>
        <v/>
      </c>
      <c r="AC1662" s="124" t="str">
        <f t="shared" si="994"/>
        <v/>
      </c>
      <c r="AD1662" s="124" t="str">
        <f t="shared" si="994"/>
        <v/>
      </c>
      <c r="AF1662"/>
      <c r="AG1662"/>
      <c r="AH1662"/>
      <c r="AI1662"/>
      <c r="AJ1662"/>
      <c r="AK1662"/>
      <c r="AL1662"/>
      <c r="AM1662"/>
      <c r="AN1662"/>
      <c r="AO1662"/>
      <c r="AP1662"/>
      <c r="AQ1662"/>
      <c r="AR1662"/>
      <c r="AS1662"/>
      <c r="AT1662"/>
      <c r="AU1662"/>
      <c r="AV1662"/>
      <c r="AW1662"/>
      <c r="AX1662"/>
      <c r="AY1662"/>
      <c r="AZ1662"/>
      <c r="BA1662"/>
      <c r="BB1662"/>
      <c r="BC1662"/>
      <c r="BD1662"/>
      <c r="BE1662"/>
      <c r="BF1662"/>
      <c r="BG1662"/>
      <c r="BH1662"/>
      <c r="BI1662"/>
      <c r="BJ1662"/>
      <c r="BK1662"/>
      <c r="BL1662"/>
      <c r="BM1662"/>
      <c r="BN1662"/>
      <c r="BO1662"/>
      <c r="BP1662"/>
      <c r="BQ1662"/>
      <c r="BR1662"/>
      <c r="BS1662"/>
      <c r="BT1662"/>
    </row>
    <row r="1663" spans="1:72" ht="24" customHeight="1">
      <c r="A1663" s="50"/>
      <c r="B1663" s="38"/>
      <c r="C1663" s="1119" t="s">
        <v>4969</v>
      </c>
      <c r="D1663" s="1121"/>
      <c r="E1663" s="1121"/>
      <c r="F1663" s="1120"/>
      <c r="G1663" s="174"/>
      <c r="H1663" s="1122" t="s">
        <v>4970</v>
      </c>
      <c r="I1663" s="1122"/>
      <c r="J1663" s="1122"/>
      <c r="K1663" s="1122"/>
      <c r="L1663" s="1122"/>
      <c r="M1663" s="1122"/>
      <c r="N1663" s="1122"/>
      <c r="O1663" s="1123"/>
      <c r="P1663" s="124" t="str">
        <f t="shared" si="992"/>
        <v/>
      </c>
      <c r="Q1663" s="124" t="str">
        <f t="shared" ref="Q1663:AD1663" si="995">IF(AND(Q1012="",Q1368=""),"",IF($P$1663="NA","",IF(AND(SUM(Q1012,Q1368)=0,SUM(COUNTIF(Q1012,"NS"),COUNTIF(Q1368,"NS"))&gt;0),"NS",IF(AND(SUM(Q1012,Q1368)=0,SUM(COUNTIF(Q1012,0),COUNTIF(Q1368,0))&gt;0),0,IF(AND(SUM(Q1012,Q1368)=0,SUM(COUNTIF(Q1012,"NA"),COUNTIF(Q1368,"NA"))&gt;0),"NA",SUM(Q1012,Q1368))))))</f>
        <v/>
      </c>
      <c r="R1663" s="124" t="str">
        <f t="shared" si="995"/>
        <v/>
      </c>
      <c r="S1663" s="124" t="str">
        <f t="shared" si="995"/>
        <v/>
      </c>
      <c r="T1663" s="124" t="str">
        <f t="shared" si="995"/>
        <v/>
      </c>
      <c r="U1663" s="124" t="str">
        <f t="shared" si="995"/>
        <v/>
      </c>
      <c r="V1663" s="124" t="str">
        <f t="shared" si="995"/>
        <v/>
      </c>
      <c r="W1663" s="124" t="str">
        <f t="shared" si="995"/>
        <v/>
      </c>
      <c r="X1663" s="124" t="str">
        <f t="shared" si="995"/>
        <v/>
      </c>
      <c r="Y1663" s="124" t="str">
        <f t="shared" si="995"/>
        <v/>
      </c>
      <c r="Z1663" s="124" t="str">
        <f t="shared" si="995"/>
        <v/>
      </c>
      <c r="AA1663" s="124" t="str">
        <f t="shared" si="995"/>
        <v/>
      </c>
      <c r="AB1663" s="124" t="str">
        <f t="shared" si="995"/>
        <v/>
      </c>
      <c r="AC1663" s="124" t="str">
        <f t="shared" si="995"/>
        <v/>
      </c>
      <c r="AD1663" s="124" t="str">
        <f t="shared" si="995"/>
        <v/>
      </c>
      <c r="AF1663"/>
      <c r="AG1663"/>
      <c r="AH1663"/>
      <c r="AI1663"/>
      <c r="AJ1663"/>
      <c r="AK1663"/>
      <c r="AL1663"/>
      <c r="AM1663"/>
      <c r="AN1663"/>
      <c r="AO1663"/>
      <c r="AP1663"/>
      <c r="AQ1663"/>
      <c r="AR1663"/>
      <c r="AS1663"/>
      <c r="AT1663"/>
      <c r="AU1663"/>
      <c r="AV1663"/>
      <c r="AW1663"/>
      <c r="AX1663"/>
      <c r="AY1663"/>
      <c r="AZ1663"/>
      <c r="BA1663"/>
      <c r="BB1663"/>
      <c r="BC1663"/>
      <c r="BD1663"/>
      <c r="BE1663"/>
      <c r="BF1663"/>
      <c r="BG1663"/>
      <c r="BH1663"/>
      <c r="BI1663"/>
      <c r="BJ1663"/>
      <c r="BK1663"/>
      <c r="BL1663"/>
      <c r="BM1663"/>
      <c r="BN1663"/>
      <c r="BO1663"/>
      <c r="BP1663"/>
      <c r="BQ1663"/>
      <c r="BR1663"/>
      <c r="BS1663"/>
      <c r="BT1663"/>
    </row>
    <row r="1664" spans="1:72" ht="15" customHeight="1">
      <c r="A1664" s="50"/>
      <c r="B1664" s="38"/>
      <c r="C1664" s="1119" t="s">
        <v>4971</v>
      </c>
      <c r="D1664" s="1121"/>
      <c r="E1664" s="1121"/>
      <c r="F1664" s="1120"/>
      <c r="G1664" s="174"/>
      <c r="H1664" s="1122" t="s">
        <v>4987</v>
      </c>
      <c r="I1664" s="1122"/>
      <c r="J1664" s="1122"/>
      <c r="K1664" s="1122"/>
      <c r="L1664" s="1122"/>
      <c r="M1664" s="1122"/>
      <c r="N1664" s="1122"/>
      <c r="O1664" s="1123"/>
      <c r="P1664" s="124" t="str">
        <f t="shared" si="992"/>
        <v/>
      </c>
      <c r="Q1664" s="124" t="str">
        <f t="shared" ref="Q1664:AD1664" si="996">IF(AND(Q1013="",Q1369=""),"",IF($P$1664="NA","",IF(AND(SUM(Q1013,Q1369)=0,SUM(COUNTIF(Q1013,"NS"),COUNTIF(Q1369,"NS"))&gt;0),"NS",IF(AND(SUM(Q1013,Q1369)=0,SUM(COUNTIF(Q1013,0),COUNTIF(Q1369,0))&gt;0),0,IF(AND(SUM(Q1013,Q1369)=0,SUM(COUNTIF(Q1013,"NA"),COUNTIF(Q1369,"NA"))&gt;0),"NA",SUM(Q1013,Q1369))))))</f>
        <v/>
      </c>
      <c r="R1664" s="124" t="str">
        <f t="shared" si="996"/>
        <v/>
      </c>
      <c r="S1664" s="124" t="str">
        <f t="shared" si="996"/>
        <v/>
      </c>
      <c r="T1664" s="124" t="str">
        <f t="shared" si="996"/>
        <v/>
      </c>
      <c r="U1664" s="124" t="str">
        <f t="shared" si="996"/>
        <v/>
      </c>
      <c r="V1664" s="124" t="str">
        <f t="shared" si="996"/>
        <v/>
      </c>
      <c r="W1664" s="124" t="str">
        <f t="shared" si="996"/>
        <v/>
      </c>
      <c r="X1664" s="124" t="str">
        <f t="shared" si="996"/>
        <v/>
      </c>
      <c r="Y1664" s="124" t="str">
        <f t="shared" si="996"/>
        <v/>
      </c>
      <c r="Z1664" s="124" t="str">
        <f t="shared" si="996"/>
        <v/>
      </c>
      <c r="AA1664" s="124" t="str">
        <f t="shared" si="996"/>
        <v/>
      </c>
      <c r="AB1664" s="124" t="str">
        <f t="shared" si="996"/>
        <v/>
      </c>
      <c r="AC1664" s="124" t="str">
        <f t="shared" si="996"/>
        <v/>
      </c>
      <c r="AD1664" s="124" t="str">
        <f t="shared" si="996"/>
        <v/>
      </c>
      <c r="AF1664"/>
      <c r="AG1664"/>
      <c r="AH1664"/>
      <c r="AI1664"/>
      <c r="AJ1664"/>
      <c r="AK1664"/>
      <c r="AL1664"/>
      <c r="AM1664"/>
      <c r="AN1664"/>
      <c r="AO1664"/>
      <c r="AP1664"/>
      <c r="AQ1664"/>
      <c r="AR1664"/>
      <c r="AS1664"/>
      <c r="AT1664"/>
      <c r="AU1664"/>
      <c r="AV1664"/>
      <c r="AW1664"/>
      <c r="AX1664"/>
      <c r="AY1664"/>
      <c r="AZ1664"/>
      <c r="BA1664"/>
      <c r="BB1664"/>
      <c r="BC1664"/>
      <c r="BD1664"/>
      <c r="BE1664"/>
      <c r="BF1664"/>
      <c r="BG1664"/>
      <c r="BH1664"/>
      <c r="BI1664"/>
      <c r="BJ1664"/>
      <c r="BK1664"/>
      <c r="BL1664"/>
      <c r="BM1664"/>
      <c r="BN1664"/>
      <c r="BO1664"/>
      <c r="BP1664"/>
      <c r="BQ1664"/>
      <c r="BR1664"/>
      <c r="BS1664"/>
      <c r="BT1664"/>
    </row>
    <row r="1665" spans="1:72" ht="15" customHeight="1">
      <c r="A1665" s="50"/>
      <c r="B1665" s="38"/>
      <c r="C1665" s="1119" t="s">
        <v>4973</v>
      </c>
      <c r="D1665" s="1121"/>
      <c r="E1665" s="1121"/>
      <c r="F1665" s="1120"/>
      <c r="G1665" s="174"/>
      <c r="H1665" s="1122" t="s">
        <v>4974</v>
      </c>
      <c r="I1665" s="1122"/>
      <c r="J1665" s="1122"/>
      <c r="K1665" s="1122"/>
      <c r="L1665" s="1122"/>
      <c r="M1665" s="1122"/>
      <c r="N1665" s="1122"/>
      <c r="O1665" s="1123"/>
      <c r="P1665" s="124" t="str">
        <f t="shared" si="992"/>
        <v/>
      </c>
      <c r="Q1665" s="124" t="str">
        <f t="shared" ref="Q1665:AD1665" si="997">IF(AND(Q1014="",Q1370=""),"",IF($P$1665="NA","",IF(AND(SUM(Q1014,Q1370)=0,SUM(COUNTIF(Q1014,"NS"),COUNTIF(Q1370,"NS"))&gt;0),"NS",IF(AND(SUM(Q1014,Q1370)=0,SUM(COUNTIF(Q1014,0),COUNTIF(Q1370,0))&gt;0),0,IF(AND(SUM(Q1014,Q1370)=0,SUM(COUNTIF(Q1014,"NA"),COUNTIF(Q1370,"NA"))&gt;0),"NA",SUM(Q1014,Q1370))))))</f>
        <v/>
      </c>
      <c r="R1665" s="124" t="str">
        <f t="shared" si="997"/>
        <v/>
      </c>
      <c r="S1665" s="124" t="str">
        <f t="shared" si="997"/>
        <v/>
      </c>
      <c r="T1665" s="124" t="str">
        <f t="shared" si="997"/>
        <v/>
      </c>
      <c r="U1665" s="124" t="str">
        <f t="shared" si="997"/>
        <v/>
      </c>
      <c r="V1665" s="124" t="str">
        <f t="shared" si="997"/>
        <v/>
      </c>
      <c r="W1665" s="124" t="str">
        <f t="shared" si="997"/>
        <v/>
      </c>
      <c r="X1665" s="124" t="str">
        <f t="shared" si="997"/>
        <v/>
      </c>
      <c r="Y1665" s="124" t="str">
        <f t="shared" si="997"/>
        <v/>
      </c>
      <c r="Z1665" s="124" t="str">
        <f t="shared" si="997"/>
        <v/>
      </c>
      <c r="AA1665" s="124" t="str">
        <f t="shared" si="997"/>
        <v/>
      </c>
      <c r="AB1665" s="124" t="str">
        <f t="shared" si="997"/>
        <v/>
      </c>
      <c r="AC1665" s="124" t="str">
        <f t="shared" si="997"/>
        <v/>
      </c>
      <c r="AD1665" s="124" t="str">
        <f t="shared" si="997"/>
        <v/>
      </c>
      <c r="AF1665"/>
      <c r="AG1665"/>
      <c r="AH1665"/>
      <c r="AI1665"/>
      <c r="AJ1665"/>
      <c r="AK1665"/>
      <c r="AL1665"/>
      <c r="AM1665"/>
      <c r="AN1665"/>
      <c r="AO1665"/>
      <c r="AP1665"/>
      <c r="AQ1665"/>
      <c r="AR1665"/>
      <c r="AS1665"/>
      <c r="AT1665"/>
      <c r="AU1665"/>
      <c r="AV1665"/>
      <c r="AW1665"/>
      <c r="AX1665"/>
      <c r="AY1665"/>
      <c r="AZ1665"/>
      <c r="BA1665"/>
      <c r="BB1665"/>
      <c r="BC1665"/>
      <c r="BD1665"/>
      <c r="BE1665"/>
      <c r="BF1665"/>
      <c r="BG1665"/>
      <c r="BH1665"/>
      <c r="BI1665"/>
      <c r="BJ1665"/>
      <c r="BK1665"/>
      <c r="BL1665"/>
      <c r="BM1665"/>
      <c r="BN1665"/>
      <c r="BO1665"/>
      <c r="BP1665"/>
      <c r="BQ1665"/>
      <c r="BR1665"/>
      <c r="BS1665"/>
      <c r="BT1665"/>
    </row>
    <row r="1666" spans="1:72" ht="36" customHeight="1">
      <c r="A1666" s="50"/>
      <c r="B1666" s="38"/>
      <c r="C1666" s="1119" t="s">
        <v>4975</v>
      </c>
      <c r="D1666" s="1121"/>
      <c r="E1666" s="1121"/>
      <c r="F1666" s="1120"/>
      <c r="G1666" s="174"/>
      <c r="H1666" s="1122" t="s">
        <v>4976</v>
      </c>
      <c r="I1666" s="1122"/>
      <c r="J1666" s="1122"/>
      <c r="K1666" s="1122"/>
      <c r="L1666" s="1122"/>
      <c r="M1666" s="1122"/>
      <c r="N1666" s="1122"/>
      <c r="O1666" s="1123"/>
      <c r="P1666" s="124" t="str">
        <f t="shared" si="992"/>
        <v/>
      </c>
      <c r="Q1666" s="124" t="str">
        <f t="shared" ref="Q1666:AD1666" si="998">IF(AND(Q1015="",Q1371=""),"",IF($P$1666="NA","",IF(AND(SUM(Q1015,Q1371)=0,SUM(COUNTIF(Q1015,"NS"),COUNTIF(Q1371,"NS"))&gt;0),"NS",IF(AND(SUM(Q1015,Q1371)=0,SUM(COUNTIF(Q1015,0),COUNTIF(Q1371,0))&gt;0),0,IF(AND(SUM(Q1015,Q1371)=0,SUM(COUNTIF(Q1015,"NA"),COUNTIF(Q1371,"NA"))&gt;0),"NA",SUM(Q1015,Q1371))))))</f>
        <v/>
      </c>
      <c r="R1666" s="124" t="str">
        <f t="shared" si="998"/>
        <v/>
      </c>
      <c r="S1666" s="124" t="str">
        <f t="shared" si="998"/>
        <v/>
      </c>
      <c r="T1666" s="124" t="str">
        <f t="shared" si="998"/>
        <v/>
      </c>
      <c r="U1666" s="124" t="str">
        <f t="shared" si="998"/>
        <v/>
      </c>
      <c r="V1666" s="124" t="str">
        <f t="shared" si="998"/>
        <v/>
      </c>
      <c r="W1666" s="124" t="str">
        <f t="shared" si="998"/>
        <v/>
      </c>
      <c r="X1666" s="124" t="str">
        <f t="shared" si="998"/>
        <v/>
      </c>
      <c r="Y1666" s="124" t="str">
        <f t="shared" si="998"/>
        <v/>
      </c>
      <c r="Z1666" s="124" t="str">
        <f t="shared" si="998"/>
        <v/>
      </c>
      <c r="AA1666" s="124" t="str">
        <f t="shared" si="998"/>
        <v/>
      </c>
      <c r="AB1666" s="124" t="str">
        <f t="shared" si="998"/>
        <v/>
      </c>
      <c r="AC1666" s="124" t="str">
        <f t="shared" si="998"/>
        <v/>
      </c>
      <c r="AD1666" s="124" t="str">
        <f t="shared" si="998"/>
        <v/>
      </c>
      <c r="AF1666"/>
      <c r="AG1666"/>
      <c r="AH1666"/>
      <c r="AI1666"/>
      <c r="AJ1666"/>
      <c r="AK1666"/>
      <c r="AL1666"/>
      <c r="AM1666"/>
      <c r="AN1666"/>
      <c r="AO1666"/>
      <c r="AP1666"/>
      <c r="AQ1666"/>
      <c r="AR1666"/>
      <c r="AS1666"/>
      <c r="AT1666"/>
      <c r="AU1666"/>
      <c r="AV1666"/>
      <c r="AW1666"/>
      <c r="AX1666"/>
      <c r="AY1666"/>
      <c r="AZ1666"/>
      <c r="BA1666"/>
      <c r="BB1666"/>
      <c r="BC1666"/>
      <c r="BD1666"/>
      <c r="BE1666"/>
      <c r="BF1666"/>
      <c r="BG1666"/>
      <c r="BH1666"/>
      <c r="BI1666"/>
      <c r="BJ1666"/>
      <c r="BK1666"/>
      <c r="BL1666"/>
      <c r="BM1666"/>
      <c r="BN1666"/>
      <c r="BO1666"/>
      <c r="BP1666"/>
      <c r="BQ1666"/>
      <c r="BR1666"/>
      <c r="BS1666"/>
      <c r="BT1666"/>
    </row>
    <row r="1667" spans="1:72" ht="15" customHeight="1">
      <c r="A1667" s="50"/>
      <c r="B1667" s="38"/>
      <c r="C1667" s="1119" t="s">
        <v>4977</v>
      </c>
      <c r="D1667" s="1121"/>
      <c r="E1667" s="1121"/>
      <c r="F1667" s="1120"/>
      <c r="G1667" s="174"/>
      <c r="H1667" s="1124" t="s">
        <v>201</v>
      </c>
      <c r="I1667" s="1124"/>
      <c r="J1667" s="1124"/>
      <c r="K1667" s="1124"/>
      <c r="L1667" s="1124"/>
      <c r="M1667" s="1124"/>
      <c r="N1667" s="1124"/>
      <c r="O1667" s="1125"/>
      <c r="P1667" s="124" t="str">
        <f t="shared" si="992"/>
        <v/>
      </c>
      <c r="Q1667" s="124" t="str">
        <f t="shared" ref="Q1667:AD1667" si="999">IF(AND(Q1016="",Q1372=""),"",IF($P$1667="NA","",IF(AND(SUM(Q1016,Q1372)=0,SUM(COUNTIF(Q1016,"NS"),COUNTIF(Q1372,"NS"))&gt;0),"NS",IF(AND(SUM(Q1016,Q1372)=0,SUM(COUNTIF(Q1016,0),COUNTIF(Q1372,0))&gt;0),0,IF(AND(SUM(Q1016,Q1372)=0,SUM(COUNTIF(Q1016,"NA"),COUNTIF(Q1372,"NA"))&gt;0),"NA",SUM(Q1016,Q1372))))))</f>
        <v/>
      </c>
      <c r="R1667" s="124" t="str">
        <f t="shared" si="999"/>
        <v/>
      </c>
      <c r="S1667" s="124" t="str">
        <f t="shared" si="999"/>
        <v/>
      </c>
      <c r="T1667" s="124" t="str">
        <f t="shared" si="999"/>
        <v/>
      </c>
      <c r="U1667" s="124" t="str">
        <f t="shared" si="999"/>
        <v/>
      </c>
      <c r="V1667" s="124" t="str">
        <f t="shared" si="999"/>
        <v/>
      </c>
      <c r="W1667" s="124" t="str">
        <f t="shared" si="999"/>
        <v/>
      </c>
      <c r="X1667" s="124" t="str">
        <f t="shared" si="999"/>
        <v/>
      </c>
      <c r="Y1667" s="124" t="str">
        <f t="shared" si="999"/>
        <v/>
      </c>
      <c r="Z1667" s="124" t="str">
        <f t="shared" si="999"/>
        <v/>
      </c>
      <c r="AA1667" s="124" t="str">
        <f t="shared" si="999"/>
        <v/>
      </c>
      <c r="AB1667" s="124" t="str">
        <f t="shared" si="999"/>
        <v/>
      </c>
      <c r="AC1667" s="124" t="str">
        <f t="shared" si="999"/>
        <v/>
      </c>
      <c r="AD1667" s="124" t="str">
        <f t="shared" si="999"/>
        <v/>
      </c>
      <c r="AF1667"/>
      <c r="AG1667"/>
      <c r="AH1667"/>
      <c r="AI1667"/>
      <c r="AJ1667"/>
      <c r="AK1667"/>
      <c r="AL1667"/>
      <c r="AM1667"/>
      <c r="AN1667"/>
      <c r="AO1667"/>
      <c r="AP1667"/>
      <c r="AQ1667"/>
      <c r="AR1667"/>
      <c r="AS1667"/>
      <c r="AT1667"/>
      <c r="AU1667"/>
      <c r="AV1667"/>
      <c r="AW1667"/>
      <c r="AX1667"/>
      <c r="AY1667"/>
      <c r="AZ1667"/>
      <c r="BA1667"/>
      <c r="BB1667"/>
      <c r="BC1667"/>
      <c r="BD1667"/>
      <c r="BE1667"/>
      <c r="BF1667"/>
      <c r="BG1667"/>
      <c r="BH1667"/>
      <c r="BI1667"/>
      <c r="BJ1667"/>
      <c r="BK1667"/>
      <c r="BL1667"/>
      <c r="BM1667"/>
      <c r="BN1667"/>
      <c r="BO1667"/>
      <c r="BP1667"/>
      <c r="BQ1667"/>
      <c r="BR1667"/>
      <c r="BS1667"/>
      <c r="BT1667"/>
    </row>
    <row r="1668" spans="1:72" ht="24" customHeight="1">
      <c r="A1668" s="50"/>
      <c r="B1668" s="38"/>
      <c r="C1668" s="733" t="s">
        <v>4978</v>
      </c>
      <c r="D1668" s="734"/>
      <c r="E1668" s="734"/>
      <c r="F1668" s="735"/>
      <c r="G1668" s="813" t="s">
        <v>4979</v>
      </c>
      <c r="H1668" s="814"/>
      <c r="I1668" s="814"/>
      <c r="J1668" s="814"/>
      <c r="K1668" s="814"/>
      <c r="L1668" s="814"/>
      <c r="M1668" s="814"/>
      <c r="N1668" s="814"/>
      <c r="O1668" s="815"/>
      <c r="P1668" s="124" t="str">
        <f t="shared" si="992"/>
        <v/>
      </c>
      <c r="Q1668" s="124" t="str">
        <f t="shared" ref="Q1668:AD1668" si="1000">IF(AND(Q1017="",Q1373=""),"",IF($P$1668="NA","",IF(AND(SUM(Q1017,Q1373)=0,SUM(COUNTIF(Q1017,"NS"),COUNTIF(Q1373,"NS"))&gt;0),"NS",IF(AND(SUM(Q1017,Q1373)=0,SUM(COUNTIF(Q1017,0),COUNTIF(Q1373,0))&gt;0),0,IF(AND(SUM(Q1017,Q1373)=0,SUM(COUNTIF(Q1017,"NA"),COUNTIF(Q1373,"NA"))&gt;0),"NA",SUM(Q1017,Q1373))))))</f>
        <v/>
      </c>
      <c r="R1668" s="124" t="str">
        <f t="shared" si="1000"/>
        <v/>
      </c>
      <c r="S1668" s="124" t="str">
        <f t="shared" si="1000"/>
        <v/>
      </c>
      <c r="T1668" s="124" t="str">
        <f t="shared" si="1000"/>
        <v/>
      </c>
      <c r="U1668" s="124" t="str">
        <f t="shared" si="1000"/>
        <v/>
      </c>
      <c r="V1668" s="124" t="str">
        <f t="shared" si="1000"/>
        <v/>
      </c>
      <c r="W1668" s="124" t="str">
        <f t="shared" si="1000"/>
        <v/>
      </c>
      <c r="X1668" s="124" t="str">
        <f t="shared" si="1000"/>
        <v/>
      </c>
      <c r="Y1668" s="124" t="str">
        <f t="shared" si="1000"/>
        <v/>
      </c>
      <c r="Z1668" s="124" t="str">
        <f t="shared" si="1000"/>
        <v/>
      </c>
      <c r="AA1668" s="124" t="str">
        <f t="shared" si="1000"/>
        <v/>
      </c>
      <c r="AB1668" s="124" t="str">
        <f t="shared" si="1000"/>
        <v/>
      </c>
      <c r="AC1668" s="124" t="str">
        <f t="shared" si="1000"/>
        <v/>
      </c>
      <c r="AD1668" s="124" t="str">
        <f t="shared" si="1000"/>
        <v/>
      </c>
      <c r="AF1668"/>
      <c r="AG1668"/>
      <c r="AH1668"/>
      <c r="AI1668"/>
      <c r="AJ1668"/>
      <c r="AK1668"/>
      <c r="AL1668"/>
      <c r="AM1668"/>
      <c r="AN1668"/>
      <c r="AO1668"/>
      <c r="AP1668"/>
      <c r="AQ1668"/>
      <c r="AR1668"/>
      <c r="AS1668"/>
      <c r="AT1668"/>
      <c r="AU1668"/>
      <c r="AV1668"/>
      <c r="AW1668"/>
      <c r="AX1668"/>
      <c r="AY1668"/>
      <c r="AZ1668"/>
      <c r="BA1668"/>
      <c r="BB1668"/>
      <c r="BC1668"/>
      <c r="BD1668"/>
      <c r="BE1668"/>
      <c r="BF1668"/>
      <c r="BG1668"/>
      <c r="BH1668"/>
      <c r="BI1668"/>
      <c r="BJ1668"/>
      <c r="BK1668"/>
      <c r="BL1668"/>
      <c r="BM1668"/>
      <c r="BN1668"/>
      <c r="BO1668"/>
      <c r="BP1668"/>
      <c r="BQ1668"/>
      <c r="BR1668"/>
      <c r="BS1668"/>
      <c r="BT1668"/>
    </row>
    <row r="1669" spans="1:72" ht="15" customHeight="1">
      <c r="A1669" s="50"/>
      <c r="B1669" s="38"/>
      <c r="C1669" s="1119" t="s">
        <v>4980</v>
      </c>
      <c r="D1669" s="1121"/>
      <c r="E1669" s="1121"/>
      <c r="F1669" s="1120"/>
      <c r="G1669" s="174"/>
      <c r="H1669" s="1115" t="s">
        <v>4981</v>
      </c>
      <c r="I1669" s="1115"/>
      <c r="J1669" s="1115"/>
      <c r="K1669" s="1115"/>
      <c r="L1669" s="1115"/>
      <c r="M1669" s="1115"/>
      <c r="N1669" s="1115"/>
      <c r="O1669" s="1116"/>
      <c r="P1669" s="124" t="str">
        <f t="shared" si="992"/>
        <v/>
      </c>
      <c r="Q1669" s="124" t="str">
        <f t="shared" ref="Q1669:AD1669" si="1001">IF(AND(Q1018="",Q1374=""),"",IF($P$1669="NA","",IF(AND(SUM(Q1018,Q1374)=0,SUM(COUNTIF(Q1018,"NS"),COUNTIF(Q1374,"NS"))&gt;0),"NS",IF(AND(SUM(Q1018,Q1374)=0,SUM(COUNTIF(Q1018,0),COUNTIF(Q1374,0))&gt;0),0,IF(AND(SUM(Q1018,Q1374)=0,SUM(COUNTIF(Q1018,"NA"),COUNTIF(Q1374,"NA"))&gt;0),"NA",SUM(Q1018,Q1374))))))</f>
        <v/>
      </c>
      <c r="R1669" s="124" t="str">
        <f t="shared" si="1001"/>
        <v/>
      </c>
      <c r="S1669" s="124" t="str">
        <f t="shared" si="1001"/>
        <v/>
      </c>
      <c r="T1669" s="124" t="str">
        <f t="shared" si="1001"/>
        <v/>
      </c>
      <c r="U1669" s="124" t="str">
        <f t="shared" si="1001"/>
        <v/>
      </c>
      <c r="V1669" s="124" t="str">
        <f t="shared" si="1001"/>
        <v/>
      </c>
      <c r="W1669" s="124" t="str">
        <f t="shared" si="1001"/>
        <v/>
      </c>
      <c r="X1669" s="124" t="str">
        <f t="shared" si="1001"/>
        <v/>
      </c>
      <c r="Y1669" s="124" t="str">
        <f t="shared" si="1001"/>
        <v/>
      </c>
      <c r="Z1669" s="124" t="str">
        <f t="shared" si="1001"/>
        <v/>
      </c>
      <c r="AA1669" s="124" t="str">
        <f t="shared" si="1001"/>
        <v/>
      </c>
      <c r="AB1669" s="124" t="str">
        <f t="shared" si="1001"/>
        <v/>
      </c>
      <c r="AC1669" s="124" t="str">
        <f t="shared" si="1001"/>
        <v/>
      </c>
      <c r="AD1669" s="124" t="str">
        <f t="shared" si="1001"/>
        <v/>
      </c>
      <c r="AF1669"/>
      <c r="AG1669"/>
      <c r="AH1669"/>
      <c r="AI1669"/>
      <c r="AJ1669"/>
      <c r="AK1669"/>
      <c r="AL1669"/>
      <c r="AM1669"/>
      <c r="AN1669"/>
      <c r="AO1669"/>
      <c r="AP1669"/>
      <c r="AQ1669"/>
      <c r="AR1669"/>
      <c r="AS1669"/>
      <c r="AT1669"/>
      <c r="AU1669"/>
      <c r="AV1669"/>
      <c r="AW1669"/>
      <c r="AX1669"/>
      <c r="AY1669"/>
      <c r="AZ1669"/>
      <c r="BA1669"/>
      <c r="BB1669"/>
      <c r="BC1669"/>
      <c r="BD1669"/>
      <c r="BE1669"/>
      <c r="BF1669"/>
      <c r="BG1669"/>
      <c r="BH1669"/>
      <c r="BI1669"/>
      <c r="BJ1669"/>
      <c r="BK1669"/>
      <c r="BL1669"/>
      <c r="BM1669"/>
      <c r="BN1669"/>
      <c r="BO1669"/>
      <c r="BP1669"/>
      <c r="BQ1669"/>
      <c r="BR1669"/>
      <c r="BS1669"/>
      <c r="BT1669"/>
    </row>
    <row r="1670" spans="1:72" ht="15" customHeight="1">
      <c r="A1670" s="50"/>
      <c r="B1670" s="38"/>
      <c r="C1670" s="1119" t="s">
        <v>4982</v>
      </c>
      <c r="D1670" s="1121"/>
      <c r="E1670" s="1121"/>
      <c r="F1670" s="1120"/>
      <c r="G1670" s="174"/>
      <c r="H1670" s="1111" t="s">
        <v>4983</v>
      </c>
      <c r="I1670" s="1111"/>
      <c r="J1670" s="1111"/>
      <c r="K1670" s="1111"/>
      <c r="L1670" s="1111"/>
      <c r="M1670" s="1111"/>
      <c r="N1670" s="1111"/>
      <c r="O1670" s="1112"/>
      <c r="P1670" s="124" t="str">
        <f t="shared" si="992"/>
        <v/>
      </c>
      <c r="Q1670" s="124" t="str">
        <f t="shared" ref="Q1670:AD1670" si="1002">IF(AND(Q1019="",Q1375=""),"",IF($P$1670="NA","",IF(AND(SUM(Q1019,Q1375)=0,SUM(COUNTIF(Q1019,"NS"),COUNTIF(Q1375,"NS"))&gt;0),"NS",IF(AND(SUM(Q1019,Q1375)=0,SUM(COUNTIF(Q1019,0),COUNTIF(Q1375,0))&gt;0),0,IF(AND(SUM(Q1019,Q1375)=0,SUM(COUNTIF(Q1019,"NA"),COUNTIF(Q1375,"NA"))&gt;0),"NA",SUM(Q1019,Q1375))))))</f>
        <v/>
      </c>
      <c r="R1670" s="124" t="str">
        <f t="shared" si="1002"/>
        <v/>
      </c>
      <c r="S1670" s="124" t="str">
        <f t="shared" si="1002"/>
        <v/>
      </c>
      <c r="T1670" s="124" t="str">
        <f t="shared" si="1002"/>
        <v/>
      </c>
      <c r="U1670" s="124" t="str">
        <f t="shared" si="1002"/>
        <v/>
      </c>
      <c r="V1670" s="124" t="str">
        <f t="shared" si="1002"/>
        <v/>
      </c>
      <c r="W1670" s="124" t="str">
        <f t="shared" si="1002"/>
        <v/>
      </c>
      <c r="X1670" s="124" t="str">
        <f t="shared" si="1002"/>
        <v/>
      </c>
      <c r="Y1670" s="124" t="str">
        <f t="shared" si="1002"/>
        <v/>
      </c>
      <c r="Z1670" s="124" t="str">
        <f t="shared" si="1002"/>
        <v/>
      </c>
      <c r="AA1670" s="124" t="str">
        <f t="shared" si="1002"/>
        <v/>
      </c>
      <c r="AB1670" s="124" t="str">
        <f t="shared" si="1002"/>
        <v/>
      </c>
      <c r="AC1670" s="124" t="str">
        <f t="shared" si="1002"/>
        <v/>
      </c>
      <c r="AD1670" s="124" t="str">
        <f t="shared" si="1002"/>
        <v/>
      </c>
      <c r="AF1670"/>
      <c r="AG1670"/>
      <c r="AH1670"/>
      <c r="AI1670"/>
      <c r="AJ1670"/>
      <c r="AK1670"/>
      <c r="AL1670"/>
      <c r="AM1670"/>
      <c r="AN1670"/>
      <c r="AO1670"/>
      <c r="AP1670"/>
      <c r="AQ1670"/>
      <c r="AR1670"/>
      <c r="AS1670"/>
      <c r="AT1670"/>
      <c r="AU1670"/>
      <c r="AV1670"/>
      <c r="AW1670"/>
      <c r="AX1670"/>
      <c r="AY1670"/>
      <c r="AZ1670"/>
      <c r="BA1670"/>
      <c r="BB1670"/>
      <c r="BC1670"/>
      <c r="BD1670"/>
      <c r="BE1670"/>
      <c r="BF1670"/>
      <c r="BG1670"/>
      <c r="BH1670"/>
      <c r="BI1670"/>
      <c r="BJ1670"/>
      <c r="BK1670"/>
      <c r="BL1670"/>
      <c r="BM1670"/>
      <c r="BN1670"/>
      <c r="BO1670"/>
      <c r="BP1670"/>
      <c r="BQ1670"/>
      <c r="BR1670"/>
      <c r="BS1670"/>
      <c r="BT1670"/>
    </row>
    <row r="1671" spans="1:72" ht="15" customHeight="1">
      <c r="A1671" s="50"/>
      <c r="B1671" s="38"/>
      <c r="C1671" s="1119" t="s">
        <v>4984</v>
      </c>
      <c r="D1671" s="1121"/>
      <c r="E1671" s="1121"/>
      <c r="F1671" s="1120"/>
      <c r="G1671" s="174"/>
      <c r="H1671" s="1111" t="s">
        <v>4985</v>
      </c>
      <c r="I1671" s="1111"/>
      <c r="J1671" s="1111"/>
      <c r="K1671" s="1111"/>
      <c r="L1671" s="1111"/>
      <c r="M1671" s="1111"/>
      <c r="N1671" s="1111"/>
      <c r="O1671" s="1112"/>
      <c r="P1671" s="124" t="str">
        <f t="shared" si="992"/>
        <v/>
      </c>
      <c r="Q1671" s="124" t="str">
        <f t="shared" ref="Q1671:AD1671" si="1003">IF(AND(Q1020="",Q1376=""),"",IF($P$1671="NA","",IF(AND(SUM(Q1020,Q1376)=0,SUM(COUNTIF(Q1020,"NS"),COUNTIF(Q1376,"NS"))&gt;0),"NS",IF(AND(SUM(Q1020,Q1376)=0,SUM(COUNTIF(Q1020,0),COUNTIF(Q1376,0))&gt;0),0,IF(AND(SUM(Q1020,Q1376)=0,SUM(COUNTIF(Q1020,"NA"),COUNTIF(Q1376,"NA"))&gt;0),"NA",SUM(Q1020,Q1376))))))</f>
        <v/>
      </c>
      <c r="R1671" s="124" t="str">
        <f t="shared" si="1003"/>
        <v/>
      </c>
      <c r="S1671" s="124" t="str">
        <f t="shared" si="1003"/>
        <v/>
      </c>
      <c r="T1671" s="124" t="str">
        <f t="shared" si="1003"/>
        <v/>
      </c>
      <c r="U1671" s="124" t="str">
        <f t="shared" si="1003"/>
        <v/>
      </c>
      <c r="V1671" s="124" t="str">
        <f t="shared" si="1003"/>
        <v/>
      </c>
      <c r="W1671" s="124" t="str">
        <f t="shared" si="1003"/>
        <v/>
      </c>
      <c r="X1671" s="124" t="str">
        <f t="shared" si="1003"/>
        <v/>
      </c>
      <c r="Y1671" s="124" t="str">
        <f t="shared" si="1003"/>
        <v/>
      </c>
      <c r="Z1671" s="124" t="str">
        <f t="shared" si="1003"/>
        <v/>
      </c>
      <c r="AA1671" s="124" t="str">
        <f t="shared" si="1003"/>
        <v/>
      </c>
      <c r="AB1671" s="124" t="str">
        <f t="shared" si="1003"/>
        <v/>
      </c>
      <c r="AC1671" s="124" t="str">
        <f t="shared" si="1003"/>
        <v/>
      </c>
      <c r="AD1671" s="124" t="str">
        <f t="shared" si="1003"/>
        <v/>
      </c>
      <c r="AF1671"/>
      <c r="AG1671"/>
      <c r="AH1671"/>
      <c r="AI1671"/>
      <c r="AJ1671"/>
      <c r="AK1671"/>
      <c r="AL1671"/>
      <c r="AM1671"/>
      <c r="AN1671"/>
      <c r="AO1671"/>
      <c r="AP1671"/>
      <c r="AQ1671"/>
      <c r="AR1671"/>
      <c r="AS1671"/>
      <c r="AT1671"/>
      <c r="AU1671"/>
      <c r="AV1671"/>
      <c r="AW1671"/>
      <c r="AX1671"/>
      <c r="AY1671"/>
      <c r="AZ1671"/>
      <c r="BA1671"/>
      <c r="BB1671"/>
      <c r="BC1671"/>
      <c r="BD1671"/>
      <c r="BE1671"/>
      <c r="BF1671"/>
      <c r="BG1671"/>
      <c r="BH1671"/>
      <c r="BI1671"/>
      <c r="BJ1671"/>
      <c r="BK1671"/>
      <c r="BL1671"/>
      <c r="BM1671"/>
      <c r="BN1671"/>
      <c r="BO1671"/>
      <c r="BP1671"/>
      <c r="BQ1671"/>
      <c r="BR1671"/>
      <c r="BS1671"/>
      <c r="BT1671"/>
    </row>
    <row r="1672" spans="1:72" ht="15" customHeight="1">
      <c r="A1672" s="50"/>
      <c r="B1672" s="38"/>
      <c r="C1672" s="1119" t="s">
        <v>4986</v>
      </c>
      <c r="D1672" s="1121"/>
      <c r="E1672" s="1121"/>
      <c r="F1672" s="1120"/>
      <c r="G1672" s="174"/>
      <c r="H1672" s="1111" t="s">
        <v>4987</v>
      </c>
      <c r="I1672" s="1111"/>
      <c r="J1672" s="1111"/>
      <c r="K1672" s="1111"/>
      <c r="L1672" s="1111"/>
      <c r="M1672" s="1111"/>
      <c r="N1672" s="1111"/>
      <c r="O1672" s="1112"/>
      <c r="P1672" s="124" t="str">
        <f t="shared" si="992"/>
        <v/>
      </c>
      <c r="Q1672" s="124" t="str">
        <f t="shared" ref="Q1672:AD1672" si="1004">IF(AND(Q1021="",Q1377=""),"",IF($P$1672="NA","",IF(AND(SUM(Q1021,Q1377)=0,SUM(COUNTIF(Q1021,"NS"),COUNTIF(Q1377,"NS"))&gt;0),"NS",IF(AND(SUM(Q1021,Q1377)=0,SUM(COUNTIF(Q1021,0),COUNTIF(Q1377,0))&gt;0),0,IF(AND(SUM(Q1021,Q1377)=0,SUM(COUNTIF(Q1021,"NA"),COUNTIF(Q1377,"NA"))&gt;0),"NA",SUM(Q1021,Q1377))))))</f>
        <v/>
      </c>
      <c r="R1672" s="124" t="str">
        <f t="shared" si="1004"/>
        <v/>
      </c>
      <c r="S1672" s="124" t="str">
        <f t="shared" si="1004"/>
        <v/>
      </c>
      <c r="T1672" s="124" t="str">
        <f t="shared" si="1004"/>
        <v/>
      </c>
      <c r="U1672" s="124" t="str">
        <f t="shared" si="1004"/>
        <v/>
      </c>
      <c r="V1672" s="124" t="str">
        <f t="shared" si="1004"/>
        <v/>
      </c>
      <c r="W1672" s="124" t="str">
        <f t="shared" si="1004"/>
        <v/>
      </c>
      <c r="X1672" s="124" t="str">
        <f t="shared" si="1004"/>
        <v/>
      </c>
      <c r="Y1672" s="124" t="str">
        <f t="shared" si="1004"/>
        <v/>
      </c>
      <c r="Z1672" s="124" t="str">
        <f t="shared" si="1004"/>
        <v/>
      </c>
      <c r="AA1672" s="124" t="str">
        <f t="shared" si="1004"/>
        <v/>
      </c>
      <c r="AB1672" s="124" t="str">
        <f t="shared" si="1004"/>
        <v/>
      </c>
      <c r="AC1672" s="124" t="str">
        <f t="shared" si="1004"/>
        <v/>
      </c>
      <c r="AD1672" s="124" t="str">
        <f t="shared" si="1004"/>
        <v/>
      </c>
      <c r="AF1672"/>
      <c r="AG1672"/>
      <c r="AH1672"/>
      <c r="AI1672"/>
      <c r="AJ1672"/>
      <c r="AK1672"/>
      <c r="AL1672"/>
      <c r="AM1672"/>
      <c r="AN1672"/>
      <c r="AO1672"/>
      <c r="AP1672"/>
      <c r="AQ1672"/>
      <c r="AR1672"/>
      <c r="AS1672"/>
      <c r="AT1672"/>
      <c r="AU1672"/>
      <c r="AV1672"/>
      <c r="AW1672"/>
      <c r="AX1672"/>
      <c r="AY1672"/>
      <c r="AZ1672"/>
      <c r="BA1672"/>
      <c r="BB1672"/>
      <c r="BC1672"/>
      <c r="BD1672"/>
      <c r="BE1672"/>
      <c r="BF1672"/>
      <c r="BG1672"/>
      <c r="BH1672"/>
      <c r="BI1672"/>
      <c r="BJ1672"/>
      <c r="BK1672"/>
      <c r="BL1672"/>
      <c r="BM1672"/>
      <c r="BN1672"/>
      <c r="BO1672"/>
      <c r="BP1672"/>
      <c r="BQ1672"/>
      <c r="BR1672"/>
      <c r="BS1672"/>
      <c r="BT1672"/>
    </row>
    <row r="1673" spans="1:72" ht="15" customHeight="1">
      <c r="A1673" s="50"/>
      <c r="B1673" s="38"/>
      <c r="C1673" s="1119" t="s">
        <v>4988</v>
      </c>
      <c r="D1673" s="1121"/>
      <c r="E1673" s="1121"/>
      <c r="F1673" s="1120"/>
      <c r="G1673" s="174"/>
      <c r="H1673" s="1111" t="s">
        <v>4989</v>
      </c>
      <c r="I1673" s="1111"/>
      <c r="J1673" s="1111"/>
      <c r="K1673" s="1111"/>
      <c r="L1673" s="1111"/>
      <c r="M1673" s="1111"/>
      <c r="N1673" s="1111"/>
      <c r="O1673" s="1112"/>
      <c r="P1673" s="124" t="str">
        <f t="shared" si="992"/>
        <v/>
      </c>
      <c r="Q1673" s="124" t="str">
        <f t="shared" ref="Q1673:AD1673" si="1005">IF(AND(Q1022="",Q1378=""),"",IF($P$1673="NA","",IF(AND(SUM(Q1022,Q1378)=0,SUM(COUNTIF(Q1022,"NS"),COUNTIF(Q1378,"NS"))&gt;0),"NS",IF(AND(SUM(Q1022,Q1378)=0,SUM(COUNTIF(Q1022,0),COUNTIF(Q1378,0))&gt;0),0,IF(AND(SUM(Q1022,Q1378)=0,SUM(COUNTIF(Q1022,"NA"),COUNTIF(Q1378,"NA"))&gt;0),"NA",SUM(Q1022,Q1378))))))</f>
        <v/>
      </c>
      <c r="R1673" s="124" t="str">
        <f t="shared" si="1005"/>
        <v/>
      </c>
      <c r="S1673" s="124" t="str">
        <f t="shared" si="1005"/>
        <v/>
      </c>
      <c r="T1673" s="124" t="str">
        <f t="shared" si="1005"/>
        <v/>
      </c>
      <c r="U1673" s="124" t="str">
        <f t="shared" si="1005"/>
        <v/>
      </c>
      <c r="V1673" s="124" t="str">
        <f t="shared" si="1005"/>
        <v/>
      </c>
      <c r="W1673" s="124" t="str">
        <f t="shared" si="1005"/>
        <v/>
      </c>
      <c r="X1673" s="124" t="str">
        <f t="shared" si="1005"/>
        <v/>
      </c>
      <c r="Y1673" s="124" t="str">
        <f t="shared" si="1005"/>
        <v/>
      </c>
      <c r="Z1673" s="124" t="str">
        <f t="shared" si="1005"/>
        <v/>
      </c>
      <c r="AA1673" s="124" t="str">
        <f t="shared" si="1005"/>
        <v/>
      </c>
      <c r="AB1673" s="124" t="str">
        <f t="shared" si="1005"/>
        <v/>
      </c>
      <c r="AC1673" s="124" t="str">
        <f t="shared" si="1005"/>
        <v/>
      </c>
      <c r="AD1673" s="124" t="str">
        <f t="shared" si="1005"/>
        <v/>
      </c>
      <c r="AF1673"/>
      <c r="AG1673"/>
      <c r="AH1673"/>
      <c r="AI1673"/>
      <c r="AJ1673"/>
      <c r="AK1673"/>
      <c r="AL1673"/>
      <c r="AM1673"/>
      <c r="AN1673"/>
      <c r="AO1673"/>
      <c r="AP1673"/>
      <c r="AQ1673"/>
      <c r="AR1673"/>
      <c r="AS1673"/>
      <c r="AT1673"/>
      <c r="AU1673"/>
      <c r="AV1673"/>
      <c r="AW1673"/>
      <c r="AX1673"/>
      <c r="AY1673"/>
      <c r="AZ1673"/>
      <c r="BA1673"/>
      <c r="BB1673"/>
      <c r="BC1673"/>
      <c r="BD1673"/>
      <c r="BE1673"/>
      <c r="BF1673"/>
      <c r="BG1673"/>
      <c r="BH1673"/>
      <c r="BI1673"/>
      <c r="BJ1673"/>
      <c r="BK1673"/>
      <c r="BL1673"/>
      <c r="BM1673"/>
      <c r="BN1673"/>
      <c r="BO1673"/>
      <c r="BP1673"/>
      <c r="BQ1673"/>
      <c r="BR1673"/>
      <c r="BS1673"/>
      <c r="BT1673"/>
    </row>
    <row r="1674" spans="1:72" ht="15" customHeight="1">
      <c r="A1674" s="50"/>
      <c r="B1674" s="38"/>
      <c r="C1674" s="1119" t="s">
        <v>4990</v>
      </c>
      <c r="D1674" s="1121"/>
      <c r="E1674" s="1121"/>
      <c r="F1674" s="1120"/>
      <c r="G1674" s="174"/>
      <c r="H1674" s="1111" t="s">
        <v>4991</v>
      </c>
      <c r="I1674" s="1111"/>
      <c r="J1674" s="1111"/>
      <c r="K1674" s="1111"/>
      <c r="L1674" s="1111"/>
      <c r="M1674" s="1111"/>
      <c r="N1674" s="1111"/>
      <c r="O1674" s="1112"/>
      <c r="P1674" s="124" t="str">
        <f t="shared" si="992"/>
        <v/>
      </c>
      <c r="Q1674" s="124" t="str">
        <f t="shared" ref="Q1674:AD1674" si="1006">IF(AND(Q1023="",Q1379=""),"",IF($P$1674="NA","",IF(AND(SUM(Q1023,Q1379)=0,SUM(COUNTIF(Q1023,"NS"),COUNTIF(Q1379,"NS"))&gt;0),"NS",IF(AND(SUM(Q1023,Q1379)=0,SUM(COUNTIF(Q1023,0),COUNTIF(Q1379,0))&gt;0),0,IF(AND(SUM(Q1023,Q1379)=0,SUM(COUNTIF(Q1023,"NA"),COUNTIF(Q1379,"NA"))&gt;0),"NA",SUM(Q1023,Q1379))))))</f>
        <v/>
      </c>
      <c r="R1674" s="124" t="str">
        <f t="shared" si="1006"/>
        <v/>
      </c>
      <c r="S1674" s="124" t="str">
        <f t="shared" si="1006"/>
        <v/>
      </c>
      <c r="T1674" s="124" t="str">
        <f t="shared" si="1006"/>
        <v/>
      </c>
      <c r="U1674" s="124" t="str">
        <f t="shared" si="1006"/>
        <v/>
      </c>
      <c r="V1674" s="124" t="str">
        <f t="shared" si="1006"/>
        <v/>
      </c>
      <c r="W1674" s="124" t="str">
        <f t="shared" si="1006"/>
        <v/>
      </c>
      <c r="X1674" s="124" t="str">
        <f t="shared" si="1006"/>
        <v/>
      </c>
      <c r="Y1674" s="124" t="str">
        <f t="shared" si="1006"/>
        <v/>
      </c>
      <c r="Z1674" s="124" t="str">
        <f t="shared" si="1006"/>
        <v/>
      </c>
      <c r="AA1674" s="124" t="str">
        <f t="shared" si="1006"/>
        <v/>
      </c>
      <c r="AB1674" s="124" t="str">
        <f t="shared" si="1006"/>
        <v/>
      </c>
      <c r="AC1674" s="124" t="str">
        <f t="shared" si="1006"/>
        <v/>
      </c>
      <c r="AD1674" s="124" t="str">
        <f t="shared" si="1006"/>
        <v/>
      </c>
      <c r="AF1674"/>
      <c r="AG1674"/>
      <c r="AH1674"/>
      <c r="AI1674"/>
      <c r="AJ1674"/>
      <c r="AK1674"/>
      <c r="AL1674"/>
      <c r="AM1674"/>
      <c r="AN1674"/>
      <c r="AO1674"/>
      <c r="AP1674"/>
      <c r="AQ1674"/>
      <c r="AR1674"/>
      <c r="AS1674"/>
      <c r="AT1674"/>
      <c r="AU1674"/>
      <c r="AV1674"/>
      <c r="AW1674"/>
      <c r="AX1674"/>
      <c r="AY1674"/>
      <c r="AZ1674"/>
      <c r="BA1674"/>
      <c r="BB1674"/>
      <c r="BC1674"/>
      <c r="BD1674"/>
      <c r="BE1674"/>
      <c r="BF1674"/>
      <c r="BG1674"/>
      <c r="BH1674"/>
      <c r="BI1674"/>
      <c r="BJ1674"/>
      <c r="BK1674"/>
      <c r="BL1674"/>
      <c r="BM1674"/>
      <c r="BN1674"/>
      <c r="BO1674"/>
      <c r="BP1674"/>
      <c r="BQ1674"/>
      <c r="BR1674"/>
      <c r="BS1674"/>
      <c r="BT1674"/>
    </row>
    <row r="1675" spans="1:72" ht="24" customHeight="1">
      <c r="A1675" s="50"/>
      <c r="B1675" s="38"/>
      <c r="C1675" s="1119" t="s">
        <v>4992</v>
      </c>
      <c r="D1675" s="1121"/>
      <c r="E1675" s="1121"/>
      <c r="F1675" s="1120"/>
      <c r="G1675" s="174"/>
      <c r="H1675" s="1111" t="s">
        <v>4993</v>
      </c>
      <c r="I1675" s="1111"/>
      <c r="J1675" s="1111"/>
      <c r="K1675" s="1111"/>
      <c r="L1675" s="1111"/>
      <c r="M1675" s="1111"/>
      <c r="N1675" s="1111"/>
      <c r="O1675" s="1112"/>
      <c r="P1675" s="124" t="str">
        <f t="shared" si="992"/>
        <v/>
      </c>
      <c r="Q1675" s="124" t="str">
        <f t="shared" ref="Q1675:AD1675" si="1007">IF(AND(Q1024="",Q1380=""),"",IF($P$1675="NA","",IF(AND(SUM(Q1024,Q1380)=0,SUM(COUNTIF(Q1024,"NS"),COUNTIF(Q1380,"NS"))&gt;0),"NS",IF(AND(SUM(Q1024,Q1380)=0,SUM(COUNTIF(Q1024,0),COUNTIF(Q1380,0))&gt;0),0,IF(AND(SUM(Q1024,Q1380)=0,SUM(COUNTIF(Q1024,"NA"),COUNTIF(Q1380,"NA"))&gt;0),"NA",SUM(Q1024,Q1380))))))</f>
        <v/>
      </c>
      <c r="R1675" s="124" t="str">
        <f t="shared" si="1007"/>
        <v/>
      </c>
      <c r="S1675" s="124" t="str">
        <f t="shared" si="1007"/>
        <v/>
      </c>
      <c r="T1675" s="124" t="str">
        <f t="shared" si="1007"/>
        <v/>
      </c>
      <c r="U1675" s="124" t="str">
        <f t="shared" si="1007"/>
        <v/>
      </c>
      <c r="V1675" s="124" t="str">
        <f t="shared" si="1007"/>
        <v/>
      </c>
      <c r="W1675" s="124" t="str">
        <f t="shared" si="1007"/>
        <v/>
      </c>
      <c r="X1675" s="124" t="str">
        <f t="shared" si="1007"/>
        <v/>
      </c>
      <c r="Y1675" s="124" t="str">
        <f t="shared" si="1007"/>
        <v/>
      </c>
      <c r="Z1675" s="124" t="str">
        <f t="shared" si="1007"/>
        <v/>
      </c>
      <c r="AA1675" s="124" t="str">
        <f t="shared" si="1007"/>
        <v/>
      </c>
      <c r="AB1675" s="124" t="str">
        <f t="shared" si="1007"/>
        <v/>
      </c>
      <c r="AC1675" s="124" t="str">
        <f t="shared" si="1007"/>
        <v/>
      </c>
      <c r="AD1675" s="124" t="str">
        <f t="shared" si="1007"/>
        <v/>
      </c>
      <c r="AF1675"/>
      <c r="AG1675"/>
      <c r="AH1675"/>
      <c r="AI1675"/>
      <c r="AJ1675"/>
      <c r="AK1675"/>
      <c r="AL1675"/>
      <c r="AM1675"/>
      <c r="AN1675"/>
      <c r="AO1675"/>
      <c r="AP1675"/>
      <c r="AQ1675"/>
      <c r="AR1675"/>
      <c r="AS1675"/>
      <c r="AT1675"/>
      <c r="AU1675"/>
      <c r="AV1675"/>
      <c r="AW1675"/>
      <c r="AX1675"/>
      <c r="AY1675"/>
      <c r="AZ1675"/>
      <c r="BA1675"/>
      <c r="BB1675"/>
      <c r="BC1675"/>
      <c r="BD1675"/>
      <c r="BE1675"/>
      <c r="BF1675"/>
      <c r="BG1675"/>
      <c r="BH1675"/>
      <c r="BI1675"/>
      <c r="BJ1675"/>
      <c r="BK1675"/>
      <c r="BL1675"/>
      <c r="BM1675"/>
      <c r="BN1675"/>
      <c r="BO1675"/>
      <c r="BP1675"/>
      <c r="BQ1675"/>
      <c r="BR1675"/>
      <c r="BS1675"/>
      <c r="BT1675"/>
    </row>
    <row r="1676" spans="1:72" ht="15" customHeight="1">
      <c r="A1676" s="50"/>
      <c r="B1676" s="38"/>
      <c r="C1676" s="1119" t="s">
        <v>4994</v>
      </c>
      <c r="D1676" s="1121"/>
      <c r="E1676" s="1121"/>
      <c r="F1676" s="1120"/>
      <c r="G1676" s="174"/>
      <c r="H1676" s="1113" t="s">
        <v>201</v>
      </c>
      <c r="I1676" s="1113"/>
      <c r="J1676" s="1113"/>
      <c r="K1676" s="1113"/>
      <c r="L1676" s="1113"/>
      <c r="M1676" s="1113"/>
      <c r="N1676" s="1113"/>
      <c r="O1676" s="1114"/>
      <c r="P1676" s="124" t="str">
        <f t="shared" si="992"/>
        <v/>
      </c>
      <c r="Q1676" s="124" t="str">
        <f t="shared" ref="Q1676:AD1676" si="1008">IF(AND(Q1025="",Q1381=""),"",IF($P$1676="NA","",IF(AND(SUM(Q1025,Q1381)=0,SUM(COUNTIF(Q1025,"NS"),COUNTIF(Q1381,"NS"))&gt;0),"NS",IF(AND(SUM(Q1025,Q1381)=0,SUM(COUNTIF(Q1025,0),COUNTIF(Q1381,0))&gt;0),0,IF(AND(SUM(Q1025,Q1381)=0,SUM(COUNTIF(Q1025,"NA"),COUNTIF(Q1381,"NA"))&gt;0),"NA",SUM(Q1025,Q1381))))))</f>
        <v/>
      </c>
      <c r="R1676" s="124" t="str">
        <f t="shared" si="1008"/>
        <v/>
      </c>
      <c r="S1676" s="124" t="str">
        <f t="shared" si="1008"/>
        <v/>
      </c>
      <c r="T1676" s="124" t="str">
        <f t="shared" si="1008"/>
        <v/>
      </c>
      <c r="U1676" s="124" t="str">
        <f t="shared" si="1008"/>
        <v/>
      </c>
      <c r="V1676" s="124" t="str">
        <f t="shared" si="1008"/>
        <v/>
      </c>
      <c r="W1676" s="124" t="str">
        <f t="shared" si="1008"/>
        <v/>
      </c>
      <c r="X1676" s="124" t="str">
        <f t="shared" si="1008"/>
        <v/>
      </c>
      <c r="Y1676" s="124" t="str">
        <f t="shared" si="1008"/>
        <v/>
      </c>
      <c r="Z1676" s="124" t="str">
        <f t="shared" si="1008"/>
        <v/>
      </c>
      <c r="AA1676" s="124" t="str">
        <f t="shared" si="1008"/>
        <v/>
      </c>
      <c r="AB1676" s="124" t="str">
        <f t="shared" si="1008"/>
        <v/>
      </c>
      <c r="AC1676" s="124" t="str">
        <f t="shared" si="1008"/>
        <v/>
      </c>
      <c r="AD1676" s="124" t="str">
        <f t="shared" si="1008"/>
        <v/>
      </c>
      <c r="AF1676"/>
      <c r="AG1676"/>
      <c r="AH1676"/>
      <c r="AI1676"/>
      <c r="AJ1676"/>
      <c r="AK1676"/>
      <c r="AL1676"/>
      <c r="AM1676"/>
      <c r="AN1676"/>
      <c r="AO1676"/>
      <c r="AP1676"/>
      <c r="AQ1676"/>
      <c r="AR1676"/>
      <c r="AS1676"/>
      <c r="AT1676"/>
      <c r="AU1676"/>
      <c r="AV1676"/>
      <c r="AW1676"/>
      <c r="AX1676"/>
      <c r="AY1676"/>
      <c r="AZ1676"/>
      <c r="BA1676"/>
      <c r="BB1676"/>
      <c r="BC1676"/>
      <c r="BD1676"/>
      <c r="BE1676"/>
      <c r="BF1676"/>
      <c r="BG1676"/>
      <c r="BH1676"/>
      <c r="BI1676"/>
      <c r="BJ1676"/>
      <c r="BK1676"/>
      <c r="BL1676"/>
      <c r="BM1676"/>
      <c r="BN1676"/>
      <c r="BO1676"/>
      <c r="BP1676"/>
      <c r="BQ1676"/>
      <c r="BR1676"/>
      <c r="BS1676"/>
      <c r="BT1676"/>
    </row>
    <row r="1677" spans="1:72" ht="15" customHeight="1">
      <c r="A1677" s="50"/>
      <c r="B1677" s="38"/>
      <c r="C1677" s="733" t="s">
        <v>5028</v>
      </c>
      <c r="D1677" s="734"/>
      <c r="E1677" s="734"/>
      <c r="F1677" s="735"/>
      <c r="G1677" s="796" t="s">
        <v>5029</v>
      </c>
      <c r="H1677" s="796"/>
      <c r="I1677" s="796"/>
      <c r="J1677" s="796"/>
      <c r="K1677" s="796"/>
      <c r="L1677" s="796"/>
      <c r="M1677" s="796"/>
      <c r="N1677" s="796"/>
      <c r="O1677" s="796"/>
      <c r="P1677" s="124" t="str">
        <f>IF(AND(P1042="",P1398=""),"",IF(AND(SUM(P1042,P1398)=0,SUM(COUNTIF(P1042,"NS"),COUNTIF(P1398,"NS"))&gt;0),"NS",IF(AND(SUM(P1042,P1398)=0,SUM(COUNTIF(P1042,0),COUNTIF(P1398,0))&gt;0),0,IF(AND(SUM(P1042,P1398)=0,SUM(COUNTIF(P1042,"NA"),COUNTIF(P1398,"NA"))&gt;0),"NA",SUM(P1042,P1398)))))</f>
        <v/>
      </c>
      <c r="Q1677" s="124" t="str">
        <f t="shared" ref="Q1677:AD1677" si="1009">IF(AND(Q1042="",Q1398=""),"",IF($P$1677="NA","",IF(AND(SUM(Q1042,Q1398)=0,SUM(COUNTIF(Q1042,"NS"),COUNTIF(Q1398,"NS"))&gt;0),"NS",IF(AND(SUM(Q1042,Q1398)=0,SUM(COUNTIF(Q1042,0),COUNTIF(Q1398,0))&gt;0),0,IF(AND(SUM(Q1042,Q1398)=0,SUM(COUNTIF(Q1042,"NA"),COUNTIF(Q1398,"NA"))&gt;0),"NA",SUM(Q1042,Q1398))))))</f>
        <v/>
      </c>
      <c r="R1677" s="124" t="str">
        <f t="shared" si="1009"/>
        <v/>
      </c>
      <c r="S1677" s="124" t="str">
        <f t="shared" si="1009"/>
        <v/>
      </c>
      <c r="T1677" s="124" t="str">
        <f t="shared" si="1009"/>
        <v/>
      </c>
      <c r="U1677" s="124" t="str">
        <f t="shared" si="1009"/>
        <v/>
      </c>
      <c r="V1677" s="124" t="str">
        <f t="shared" si="1009"/>
        <v/>
      </c>
      <c r="W1677" s="124" t="str">
        <f t="shared" si="1009"/>
        <v/>
      </c>
      <c r="X1677" s="124" t="str">
        <f t="shared" si="1009"/>
        <v/>
      </c>
      <c r="Y1677" s="124" t="str">
        <f t="shared" si="1009"/>
        <v/>
      </c>
      <c r="Z1677" s="124" t="str">
        <f t="shared" si="1009"/>
        <v/>
      </c>
      <c r="AA1677" s="124" t="str">
        <f t="shared" si="1009"/>
        <v/>
      </c>
      <c r="AB1677" s="124" t="str">
        <f t="shared" si="1009"/>
        <v/>
      </c>
      <c r="AC1677" s="124" t="str">
        <f t="shared" si="1009"/>
        <v/>
      </c>
      <c r="AD1677" s="124" t="str">
        <f t="shared" si="1009"/>
        <v/>
      </c>
      <c r="AF1677"/>
      <c r="AG1677"/>
      <c r="AH1677"/>
      <c r="AI1677"/>
      <c r="AJ1677"/>
      <c r="AK1677"/>
      <c r="AL1677"/>
      <c r="AM1677"/>
      <c r="AN1677"/>
      <c r="AO1677"/>
      <c r="AP1677"/>
      <c r="AQ1677"/>
      <c r="AR1677"/>
      <c r="AS1677"/>
      <c r="AT1677"/>
      <c r="AU1677"/>
      <c r="AV1677"/>
      <c r="AW1677"/>
      <c r="AX1677"/>
      <c r="AY1677"/>
      <c r="AZ1677"/>
      <c r="BA1677"/>
      <c r="BB1677"/>
      <c r="BC1677"/>
      <c r="BD1677"/>
      <c r="BE1677"/>
      <c r="BF1677"/>
      <c r="BG1677"/>
      <c r="BH1677"/>
      <c r="BI1677"/>
      <c r="BJ1677"/>
      <c r="BK1677"/>
      <c r="BL1677"/>
      <c r="BM1677"/>
      <c r="BN1677"/>
      <c r="BO1677"/>
      <c r="BP1677"/>
      <c r="BQ1677"/>
      <c r="BR1677"/>
      <c r="BS1677"/>
      <c r="BT1677"/>
    </row>
    <row r="1678" spans="1:72" ht="15" customHeight="1">
      <c r="A1678" s="50"/>
      <c r="B1678" s="38"/>
      <c r="C1678" s="733" t="s">
        <v>5100</v>
      </c>
      <c r="D1678" s="734"/>
      <c r="E1678" s="734"/>
      <c r="F1678" s="735"/>
      <c r="G1678" s="813" t="s">
        <v>5141</v>
      </c>
      <c r="H1678" s="814"/>
      <c r="I1678" s="814"/>
      <c r="J1678" s="814"/>
      <c r="K1678" s="814"/>
      <c r="L1678" s="814"/>
      <c r="M1678" s="814"/>
      <c r="N1678" s="814"/>
      <c r="O1678" s="815"/>
      <c r="P1678" s="124" t="str">
        <f>IF(AND(P1079="",P1435=""),"",IF(AND(SUM(P1079,P1435)=0,SUM(COUNTIF(P1079,"NS"),COUNTIF(P1435,"NS"))&gt;0),"NS",IF(AND(SUM(P1079,P1435)=0,SUM(COUNTIF(P1079,0),COUNTIF(P1435,0))&gt;0),0,IF(AND(SUM(P1079,P1435)=0,SUM(COUNTIF(P1079,"NA"),COUNTIF(P1435,"NA"))&gt;0),"NA",SUM(P1079,P1435)))))</f>
        <v/>
      </c>
      <c r="Q1678" s="124" t="str">
        <f t="shared" ref="Q1678:AD1678" si="1010">IF(AND(Q1079="",Q1435=""),"",IF($P$1678="NA","",IF(AND(SUM(Q1079,Q1435)=0,SUM(COUNTIF(Q1079,"NS"),COUNTIF(Q1435,"NS"))&gt;0),"NS",IF(AND(SUM(Q1079,Q1435)=0,SUM(COUNTIF(Q1079,0),COUNTIF(Q1435,0))&gt;0),0,IF(AND(SUM(Q1079,Q1435)=0,SUM(COUNTIF(Q1079,"NA"),COUNTIF(Q1435,"NA"))&gt;0),"NA",SUM(Q1079,Q1435))))))</f>
        <v/>
      </c>
      <c r="R1678" s="124" t="str">
        <f t="shared" si="1010"/>
        <v/>
      </c>
      <c r="S1678" s="124" t="str">
        <f t="shared" si="1010"/>
        <v/>
      </c>
      <c r="T1678" s="124" t="str">
        <f t="shared" si="1010"/>
        <v/>
      </c>
      <c r="U1678" s="124" t="str">
        <f t="shared" si="1010"/>
        <v/>
      </c>
      <c r="V1678" s="124" t="str">
        <f t="shared" si="1010"/>
        <v/>
      </c>
      <c r="W1678" s="124" t="str">
        <f t="shared" si="1010"/>
        <v/>
      </c>
      <c r="X1678" s="124" t="str">
        <f t="shared" si="1010"/>
        <v/>
      </c>
      <c r="Y1678" s="124" t="str">
        <f t="shared" si="1010"/>
        <v/>
      </c>
      <c r="Z1678" s="124" t="str">
        <f t="shared" si="1010"/>
        <v/>
      </c>
      <c r="AA1678" s="124" t="str">
        <f t="shared" si="1010"/>
        <v/>
      </c>
      <c r="AB1678" s="124" t="str">
        <f t="shared" si="1010"/>
        <v/>
      </c>
      <c r="AC1678" s="124" t="str">
        <f t="shared" si="1010"/>
        <v/>
      </c>
      <c r="AD1678" s="124" t="str">
        <f t="shared" si="1010"/>
        <v/>
      </c>
      <c r="AF1678"/>
      <c r="AG1678"/>
      <c r="AH1678"/>
      <c r="AI1678"/>
      <c r="AJ1678"/>
      <c r="AK1678"/>
      <c r="AL1678"/>
      <c r="AM1678"/>
      <c r="AN1678"/>
      <c r="AO1678"/>
      <c r="AP1678"/>
      <c r="AQ1678"/>
      <c r="AR1678"/>
      <c r="AS1678"/>
      <c r="AT1678"/>
      <c r="AU1678"/>
      <c r="AV1678"/>
      <c r="AW1678"/>
      <c r="AX1678"/>
      <c r="AY1678"/>
      <c r="AZ1678"/>
      <c r="BA1678"/>
      <c r="BB1678"/>
      <c r="BC1678"/>
      <c r="BD1678"/>
      <c r="BE1678"/>
      <c r="BF1678"/>
      <c r="BG1678"/>
      <c r="BH1678"/>
      <c r="BI1678"/>
      <c r="BJ1678"/>
      <c r="BK1678"/>
      <c r="BL1678"/>
      <c r="BM1678"/>
      <c r="BN1678"/>
      <c r="BO1678"/>
      <c r="BP1678"/>
      <c r="BQ1678"/>
      <c r="BR1678"/>
      <c r="BS1678"/>
      <c r="BT1678"/>
    </row>
    <row r="1679" spans="1:72" ht="15" customHeight="1">
      <c r="A1679" s="49"/>
      <c r="B1679" s="38"/>
      <c r="C1679" s="38"/>
      <c r="D1679" s="38"/>
      <c r="E1679" s="38"/>
      <c r="F1679" s="38"/>
      <c r="G1679" s="38"/>
      <c r="H1679" s="38"/>
      <c r="I1679" s="38"/>
      <c r="J1679" s="38"/>
      <c r="K1679" s="38"/>
      <c r="L1679" s="38"/>
      <c r="M1679" s="38"/>
      <c r="N1679" s="38"/>
      <c r="O1679" s="38"/>
      <c r="P1679" s="38"/>
      <c r="Q1679" s="38"/>
      <c r="R1679" s="38"/>
      <c r="S1679" s="38"/>
      <c r="T1679" s="38"/>
      <c r="U1679" s="38"/>
      <c r="V1679" s="38"/>
      <c r="W1679" s="38"/>
      <c r="X1679" s="38"/>
      <c r="Y1679" s="38"/>
      <c r="Z1679" s="38"/>
      <c r="AA1679" s="38"/>
      <c r="AB1679" s="38"/>
      <c r="AC1679" s="38"/>
      <c r="AD1679" s="38"/>
      <c r="AF1679"/>
      <c r="AG1679"/>
      <c r="AH1679"/>
      <c r="AI1679"/>
      <c r="AJ1679"/>
      <c r="AK1679"/>
      <c r="AL1679"/>
      <c r="AM1679"/>
      <c r="AN1679"/>
      <c r="AO1679"/>
      <c r="AP1679"/>
      <c r="AQ1679"/>
      <c r="AR1679"/>
      <c r="AS1679"/>
      <c r="AT1679"/>
      <c r="AU1679"/>
      <c r="AV1679"/>
      <c r="AW1679"/>
      <c r="AX1679"/>
      <c r="AY1679"/>
      <c r="AZ1679"/>
      <c r="BA1679"/>
      <c r="BB1679"/>
      <c r="BC1679"/>
      <c r="BD1679"/>
      <c r="BE1679"/>
      <c r="BF1679"/>
      <c r="BG1679"/>
      <c r="BH1679"/>
      <c r="BI1679"/>
      <c r="BJ1679"/>
      <c r="BK1679"/>
      <c r="BL1679"/>
      <c r="BM1679"/>
      <c r="BN1679"/>
      <c r="BO1679"/>
      <c r="BP1679"/>
      <c r="BQ1679"/>
      <c r="BR1679"/>
      <c r="BS1679"/>
      <c r="BT1679"/>
    </row>
    <row r="1680" spans="1:72" ht="15" customHeight="1">
      <c r="A1680" s="49"/>
      <c r="B1680" s="38"/>
      <c r="C1680" s="75"/>
      <c r="D1680" s="75"/>
      <c r="E1680" s="75"/>
      <c r="F1680" s="75"/>
      <c r="G1680" s="75"/>
      <c r="H1680" s="75"/>
      <c r="I1680" s="75"/>
      <c r="J1680" s="75"/>
      <c r="K1680" s="75"/>
      <c r="L1680" s="75"/>
      <c r="M1680" s="75"/>
      <c r="N1680" s="75"/>
      <c r="O1680" s="75"/>
      <c r="P1680" s="75"/>
      <c r="Q1680" s="75"/>
      <c r="R1680" s="75"/>
      <c r="S1680" s="75"/>
      <c r="T1680" s="75"/>
      <c r="U1680" s="75"/>
      <c r="V1680" s="75"/>
      <c r="W1680" s="75"/>
      <c r="X1680" s="75"/>
      <c r="Y1680" s="75"/>
      <c r="Z1680" s="75"/>
      <c r="AA1680" s="873" t="s">
        <v>2668</v>
      </c>
      <c r="AB1680" s="873"/>
      <c r="AC1680" s="873"/>
      <c r="AD1680" s="873"/>
      <c r="AF1680"/>
      <c r="AG1680"/>
      <c r="AH1680"/>
      <c r="AI1680"/>
      <c r="AJ1680"/>
      <c r="AK1680"/>
      <c r="AL1680"/>
      <c r="AM1680"/>
      <c r="AN1680"/>
      <c r="AO1680"/>
      <c r="AP1680"/>
      <c r="AQ1680"/>
      <c r="AR1680"/>
      <c r="AS1680"/>
      <c r="AT1680"/>
      <c r="AU1680"/>
      <c r="AV1680"/>
      <c r="AW1680"/>
      <c r="AX1680"/>
      <c r="AY1680"/>
      <c r="AZ1680"/>
      <c r="BA1680"/>
      <c r="BB1680"/>
      <c r="BC1680"/>
      <c r="BD1680"/>
      <c r="BE1680"/>
      <c r="BF1680"/>
      <c r="BG1680"/>
      <c r="BH1680"/>
      <c r="BI1680"/>
      <c r="BJ1680"/>
      <c r="BK1680"/>
      <c r="BL1680"/>
      <c r="BM1680"/>
      <c r="BN1680"/>
      <c r="BO1680"/>
      <c r="BP1680"/>
      <c r="BQ1680"/>
      <c r="BR1680"/>
      <c r="BS1680"/>
      <c r="BT1680"/>
    </row>
    <row r="1681" spans="1:72" ht="60" customHeight="1">
      <c r="A1681" s="49"/>
      <c r="B1681" s="38"/>
      <c r="C1681" s="732" t="s">
        <v>5130</v>
      </c>
      <c r="D1681" s="732"/>
      <c r="E1681" s="732"/>
      <c r="F1681" s="732"/>
      <c r="G1681" s="732"/>
      <c r="H1681" s="732"/>
      <c r="I1681" s="732"/>
      <c r="J1681" s="732"/>
      <c r="K1681" s="732"/>
      <c r="L1681" s="732"/>
      <c r="M1681" s="732"/>
      <c r="N1681" s="732"/>
      <c r="O1681" s="732"/>
      <c r="P1681" s="732"/>
      <c r="Q1681" s="732"/>
      <c r="R1681" s="732"/>
      <c r="S1681" s="732"/>
      <c r="T1681" s="732"/>
      <c r="U1681" s="732"/>
      <c r="V1681" s="739" t="s">
        <v>5427</v>
      </c>
      <c r="W1681" s="740"/>
      <c r="X1681" s="740"/>
      <c r="Y1681" s="740"/>
      <c r="Z1681" s="740"/>
      <c r="AA1681" s="740"/>
      <c r="AB1681" s="740"/>
      <c r="AC1681" s="740"/>
      <c r="AD1681" s="741"/>
      <c r="AF1681"/>
      <c r="AG1681"/>
      <c r="AH1681"/>
      <c r="AI1681"/>
      <c r="AJ1681"/>
      <c r="AK1681"/>
      <c r="AL1681"/>
      <c r="AM1681"/>
      <c r="AN1681"/>
      <c r="AO1681"/>
      <c r="AP1681"/>
      <c r="AQ1681"/>
      <c r="AR1681"/>
      <c r="AS1681"/>
      <c r="AT1681"/>
      <c r="AU1681"/>
      <c r="AV1681"/>
      <c r="AW1681"/>
      <c r="AX1681"/>
      <c r="AY1681"/>
      <c r="AZ1681"/>
      <c r="BA1681"/>
      <c r="BB1681"/>
      <c r="BC1681"/>
      <c r="BD1681"/>
      <c r="BE1681"/>
      <c r="BF1681"/>
      <c r="BG1681"/>
      <c r="BH1681"/>
      <c r="BI1681"/>
      <c r="BJ1681"/>
      <c r="BK1681"/>
      <c r="BL1681"/>
      <c r="BM1681"/>
      <c r="BN1681"/>
      <c r="BO1681"/>
      <c r="BP1681"/>
      <c r="BQ1681"/>
      <c r="BR1681"/>
      <c r="BS1681"/>
      <c r="BT1681"/>
    </row>
    <row r="1682" spans="1:72" ht="24" customHeight="1">
      <c r="A1682" s="49"/>
      <c r="B1682" s="38"/>
      <c r="C1682" s="732"/>
      <c r="D1682" s="732"/>
      <c r="E1682" s="732"/>
      <c r="F1682" s="732"/>
      <c r="G1682" s="732"/>
      <c r="H1682" s="732"/>
      <c r="I1682" s="732"/>
      <c r="J1682" s="732"/>
      <c r="K1682" s="732"/>
      <c r="L1682" s="732"/>
      <c r="M1682" s="732"/>
      <c r="N1682" s="732"/>
      <c r="O1682" s="732"/>
      <c r="P1682" s="732"/>
      <c r="Q1682" s="732"/>
      <c r="R1682" s="732"/>
      <c r="S1682" s="732"/>
      <c r="T1682" s="732"/>
      <c r="U1682" s="732"/>
      <c r="V1682" s="733" t="s">
        <v>4593</v>
      </c>
      <c r="W1682" s="734"/>
      <c r="X1682" s="734"/>
      <c r="Y1682" s="734"/>
      <c r="Z1682" s="734"/>
      <c r="AA1682" s="734"/>
      <c r="AB1682" s="734"/>
      <c r="AC1682" s="734"/>
      <c r="AD1682" s="735"/>
      <c r="AF1682"/>
      <c r="AG1682"/>
      <c r="AH1682"/>
      <c r="AI1682"/>
      <c r="AJ1682"/>
      <c r="AK1682"/>
      <c r="AL1682"/>
      <c r="AM1682"/>
      <c r="AN1682"/>
      <c r="AO1682"/>
      <c r="AP1682"/>
      <c r="AQ1682"/>
      <c r="AR1682"/>
      <c r="AS1682"/>
      <c r="AT1682"/>
      <c r="AU1682"/>
      <c r="AV1682"/>
      <c r="AW1682"/>
      <c r="AX1682"/>
      <c r="AY1682"/>
      <c r="AZ1682"/>
      <c r="BA1682"/>
      <c r="BB1682"/>
      <c r="BC1682"/>
      <c r="BD1682"/>
      <c r="BE1682"/>
      <c r="BF1682"/>
      <c r="BG1682"/>
      <c r="BH1682"/>
      <c r="BI1682"/>
      <c r="BJ1682"/>
      <c r="BK1682"/>
      <c r="BL1682"/>
      <c r="BM1682"/>
      <c r="BN1682"/>
      <c r="BO1682"/>
      <c r="BP1682"/>
      <c r="BQ1682"/>
      <c r="BR1682"/>
      <c r="BS1682"/>
      <c r="BT1682"/>
    </row>
    <row r="1683" spans="1:72" ht="96" customHeight="1">
      <c r="A1683" s="49"/>
      <c r="B1683" s="38"/>
      <c r="C1683" s="732"/>
      <c r="D1683" s="732"/>
      <c r="E1683" s="732"/>
      <c r="F1683" s="732"/>
      <c r="G1683" s="732"/>
      <c r="H1683" s="732"/>
      <c r="I1683" s="732"/>
      <c r="J1683" s="732"/>
      <c r="K1683" s="732"/>
      <c r="L1683" s="732"/>
      <c r="M1683" s="732"/>
      <c r="N1683" s="732"/>
      <c r="O1683" s="732"/>
      <c r="P1683" s="732"/>
      <c r="Q1683" s="732"/>
      <c r="R1683" s="732"/>
      <c r="S1683" s="732"/>
      <c r="T1683" s="732"/>
      <c r="U1683" s="732"/>
      <c r="V1683" s="858" t="s">
        <v>5174</v>
      </c>
      <c r="W1683" s="859"/>
      <c r="X1683" s="860"/>
      <c r="Y1683" s="857" t="s">
        <v>5175</v>
      </c>
      <c r="Z1683" s="857"/>
      <c r="AA1683" s="857"/>
      <c r="AB1683" s="857" t="s">
        <v>5178</v>
      </c>
      <c r="AC1683" s="857"/>
      <c r="AD1683" s="857"/>
      <c r="AF1683"/>
      <c r="AG1683"/>
      <c r="AH1683"/>
      <c r="AI1683"/>
      <c r="AJ1683"/>
      <c r="AK1683"/>
      <c r="AL1683"/>
      <c r="AM1683"/>
      <c r="AN1683"/>
      <c r="AO1683"/>
      <c r="AP1683"/>
      <c r="AQ1683"/>
      <c r="AR1683"/>
      <c r="AS1683"/>
      <c r="AT1683"/>
      <c r="AU1683"/>
      <c r="AV1683"/>
      <c r="AW1683"/>
      <c r="AX1683"/>
      <c r="AY1683"/>
      <c r="AZ1683"/>
      <c r="BA1683"/>
      <c r="BB1683"/>
      <c r="BC1683"/>
      <c r="BD1683"/>
      <c r="BE1683"/>
      <c r="BF1683"/>
      <c r="BG1683"/>
      <c r="BH1683"/>
      <c r="BI1683"/>
      <c r="BJ1683"/>
      <c r="BK1683"/>
      <c r="BL1683"/>
      <c r="BM1683"/>
      <c r="BN1683"/>
      <c r="BO1683"/>
      <c r="BP1683"/>
      <c r="BQ1683"/>
      <c r="BR1683"/>
      <c r="BS1683"/>
      <c r="BT1683"/>
    </row>
    <row r="1684" spans="1:72" ht="48" customHeight="1">
      <c r="A1684" s="49"/>
      <c r="B1684" s="38"/>
      <c r="C1684" s="732"/>
      <c r="D1684" s="732"/>
      <c r="E1684" s="732"/>
      <c r="F1684" s="732"/>
      <c r="G1684" s="732"/>
      <c r="H1684" s="732"/>
      <c r="I1684" s="732"/>
      <c r="J1684" s="732"/>
      <c r="K1684" s="732"/>
      <c r="L1684" s="732"/>
      <c r="M1684" s="732"/>
      <c r="N1684" s="732"/>
      <c r="O1684" s="732"/>
      <c r="P1684" s="732"/>
      <c r="Q1684" s="732"/>
      <c r="R1684" s="732"/>
      <c r="S1684" s="732"/>
      <c r="T1684" s="732"/>
      <c r="U1684" s="732"/>
      <c r="V1684" s="127" t="s">
        <v>2635</v>
      </c>
      <c r="W1684" s="128" t="s">
        <v>2629</v>
      </c>
      <c r="X1684" s="128" t="s">
        <v>2630</v>
      </c>
      <c r="Y1684" s="127" t="s">
        <v>2635</v>
      </c>
      <c r="Z1684" s="128" t="s">
        <v>2629</v>
      </c>
      <c r="AA1684" s="128" t="s">
        <v>2630</v>
      </c>
      <c r="AB1684" s="127" t="s">
        <v>2635</v>
      </c>
      <c r="AC1684" s="128" t="s">
        <v>2629</v>
      </c>
      <c r="AD1684" s="128" t="s">
        <v>2630</v>
      </c>
      <c r="AF1684"/>
      <c r="AG1684"/>
      <c r="AH1684"/>
      <c r="AI1684"/>
      <c r="AJ1684"/>
      <c r="AK1684"/>
      <c r="AL1684"/>
      <c r="AM1684"/>
      <c r="AN1684"/>
      <c r="AO1684"/>
      <c r="AP1684"/>
      <c r="AQ1684"/>
      <c r="AR1684"/>
      <c r="AS1684"/>
      <c r="AT1684" t="s">
        <v>4766</v>
      </c>
      <c r="AU1684" t="s">
        <v>4767</v>
      </c>
      <c r="AV1684" t="s">
        <v>4768</v>
      </c>
      <c r="AW1684" t="s">
        <v>4769</v>
      </c>
      <c r="AX1684">
        <f>COUNTIF(V1690:V1692,"NS")</f>
        <v>0</v>
      </c>
      <c r="AY1684">
        <f t="shared" ref="AY1684:BF1684" si="1011">COUNTIF(W1690:W1692,"NS")</f>
        <v>0</v>
      </c>
      <c r="AZ1684">
        <f t="shared" si="1011"/>
        <v>0</v>
      </c>
      <c r="BA1684">
        <f t="shared" si="1011"/>
        <v>0</v>
      </c>
      <c r="BB1684">
        <f t="shared" si="1011"/>
        <v>0</v>
      </c>
      <c r="BC1684">
        <f t="shared" si="1011"/>
        <v>0</v>
      </c>
      <c r="BD1684">
        <f t="shared" si="1011"/>
        <v>0</v>
      </c>
      <c r="BE1684">
        <f t="shared" si="1011"/>
        <v>0</v>
      </c>
      <c r="BF1684">
        <f t="shared" si="1011"/>
        <v>0</v>
      </c>
      <c r="BG1684"/>
      <c r="BH1684"/>
      <c r="BI1684"/>
      <c r="BJ1684"/>
      <c r="BK1684"/>
      <c r="BL1684"/>
      <c r="BM1684"/>
      <c r="BN1684"/>
      <c r="BO1684"/>
      <c r="BP1684"/>
      <c r="BQ1684"/>
      <c r="BR1684"/>
      <c r="BS1684"/>
      <c r="BT1684"/>
    </row>
    <row r="1685" spans="1:72" ht="15" customHeight="1">
      <c r="A1685" s="50"/>
      <c r="B1685" s="38"/>
      <c r="C1685" s="733" t="s">
        <v>4745</v>
      </c>
      <c r="D1685" s="734"/>
      <c r="E1685" s="734"/>
      <c r="F1685" s="735"/>
      <c r="G1685" s="813" t="s">
        <v>3875</v>
      </c>
      <c r="H1685" s="814"/>
      <c r="I1685" s="814"/>
      <c r="J1685" s="814"/>
      <c r="K1685" s="814"/>
      <c r="L1685" s="814"/>
      <c r="M1685" s="814"/>
      <c r="N1685" s="814"/>
      <c r="O1685" s="814"/>
      <c r="P1685" s="814"/>
      <c r="Q1685" s="814"/>
      <c r="R1685" s="814"/>
      <c r="S1685" s="814"/>
      <c r="T1685" s="814"/>
      <c r="U1685" s="815"/>
      <c r="V1685" s="124" t="str">
        <f t="shared" ref="V1685:AD1685" si="1012">IF(AND(V1097="",V1453=""),"",IF($P$1639="NA","",IF(AND(SUM(V1097,V1453)=0,SUM(COUNTIF(V1097,"NS"),COUNTIF(V1453,"NS"))&gt;0),"NS",IF(AND(SUM(V1097,V1453)=0,SUM(COUNTIF(V1097,0),COUNTIF(V1453,0))&gt;0),0,IF(AND(SUM(V1097,V1453)=0,SUM(COUNTIF(V1097,"NA"),COUNTIF(V1453,"NA"))&gt;0),"NA",SUM(V1097,V1453))))))</f>
        <v/>
      </c>
      <c r="W1685" s="124" t="str">
        <f t="shared" si="1012"/>
        <v/>
      </c>
      <c r="X1685" s="124" t="str">
        <f t="shared" si="1012"/>
        <v/>
      </c>
      <c r="Y1685" s="124" t="str">
        <f t="shared" si="1012"/>
        <v/>
      </c>
      <c r="Z1685" s="124" t="str">
        <f t="shared" si="1012"/>
        <v/>
      </c>
      <c r="AA1685" s="124" t="str">
        <f t="shared" si="1012"/>
        <v/>
      </c>
      <c r="AB1685" s="124" t="str">
        <f t="shared" si="1012"/>
        <v/>
      </c>
      <c r="AC1685" s="124" t="str">
        <f t="shared" si="1012"/>
        <v/>
      </c>
      <c r="AD1685" s="124" t="str">
        <f t="shared" si="1012"/>
        <v/>
      </c>
      <c r="AF1685"/>
      <c r="AG1685"/>
      <c r="AH1685"/>
      <c r="AI1685"/>
      <c r="AJ1685"/>
      <c r="AK1685" t="s">
        <v>4573</v>
      </c>
      <c r="AL1685" t="s">
        <v>2638</v>
      </c>
      <c r="AM1685" t="s">
        <v>2639</v>
      </c>
      <c r="AN1685" t="s">
        <v>4574</v>
      </c>
      <c r="AO1685" t="s">
        <v>2641</v>
      </c>
      <c r="AP1685" t="s">
        <v>2642</v>
      </c>
      <c r="AQ1685" t="s">
        <v>4575</v>
      </c>
      <c r="AR1685" t="s">
        <v>2644</v>
      </c>
      <c r="AS1685" t="s">
        <v>2645</v>
      </c>
      <c r="AT1685">
        <f>COUNTIF(V1686:V1688,"NS")</f>
        <v>0</v>
      </c>
      <c r="AU1685">
        <f>SUM(V1686:V1688)</f>
        <v>0</v>
      </c>
      <c r="AV1685">
        <f>IF(COUNTBLANK(V1685:V1688)=4,0,IF(OR(AND(V1685=0,AT1685&gt;0),AND(V1685="ns",AU1685&gt;0),AND(V1685="ns",AT1685=0,AU1685=0)),1,IF(OR(AND(AT1685&gt;=2,V1685&gt;AU1685),AND(V1685="ns",AU1685=0,AT1685&gt;0),V1685=AU1685),0,1)))</f>
        <v>0</v>
      </c>
      <c r="AW1685" t="s">
        <v>4770</v>
      </c>
      <c r="AX1685">
        <f>SUM(V1690:V1692)</f>
        <v>0</v>
      </c>
      <c r="AY1685">
        <f t="shared" ref="AY1685:BF1685" si="1013">SUM(W1690:W1692)</f>
        <v>0</v>
      </c>
      <c r="AZ1685">
        <f t="shared" si="1013"/>
        <v>0</v>
      </c>
      <c r="BA1685">
        <f t="shared" si="1013"/>
        <v>0</v>
      </c>
      <c r="BB1685">
        <f t="shared" si="1013"/>
        <v>0</v>
      </c>
      <c r="BC1685">
        <f t="shared" si="1013"/>
        <v>0</v>
      </c>
      <c r="BD1685">
        <f t="shared" si="1013"/>
        <v>0</v>
      </c>
      <c r="BE1685">
        <f t="shared" si="1013"/>
        <v>0</v>
      </c>
      <c r="BF1685">
        <f t="shared" si="1013"/>
        <v>0</v>
      </c>
      <c r="BG1685"/>
      <c r="BH1685"/>
      <c r="BI1685"/>
      <c r="BJ1685"/>
      <c r="BK1685"/>
      <c r="BL1685"/>
      <c r="BM1685"/>
      <c r="BN1685"/>
      <c r="BO1685"/>
      <c r="BP1685"/>
      <c r="BQ1685"/>
      <c r="BR1685"/>
      <c r="BS1685"/>
      <c r="BT1685"/>
    </row>
    <row r="1686" spans="1:72" ht="15" customHeight="1">
      <c r="A1686" s="50"/>
      <c r="B1686" s="38"/>
      <c r="C1686" s="1119" t="s">
        <v>5132</v>
      </c>
      <c r="D1686" s="1121"/>
      <c r="E1686" s="1121"/>
      <c r="F1686" s="1120"/>
      <c r="G1686" s="173"/>
      <c r="H1686" s="1126" t="s">
        <v>3876</v>
      </c>
      <c r="I1686" s="1126"/>
      <c r="J1686" s="1126"/>
      <c r="K1686" s="1126"/>
      <c r="L1686" s="1126"/>
      <c r="M1686" s="1126"/>
      <c r="N1686" s="1126"/>
      <c r="O1686" s="1126"/>
      <c r="P1686" s="1126"/>
      <c r="Q1686" s="1126"/>
      <c r="R1686" s="1126"/>
      <c r="S1686" s="1126"/>
      <c r="T1686" s="1126"/>
      <c r="U1686" s="1127"/>
      <c r="V1686" s="100"/>
      <c r="W1686" s="100"/>
      <c r="X1686" s="100"/>
      <c r="Y1686" s="100"/>
      <c r="Z1686" s="100"/>
      <c r="AA1686" s="100"/>
      <c r="AB1686" s="100"/>
      <c r="AC1686" s="100"/>
      <c r="AD1686" s="100"/>
      <c r="AF1686"/>
      <c r="AG1686"/>
      <c r="AH1686"/>
      <c r="AI1686"/>
      <c r="AJ1686"/>
      <c r="AK1686">
        <f>COUNTIF(W1686:X1686,"NS")</f>
        <v>0</v>
      </c>
      <c r="AL1686">
        <f>SUM(W1686:X1686)</f>
        <v>0</v>
      </c>
      <c r="AM1686">
        <f>IF(COUNTIF(V1686:X1686,"NA")=3,0,IF(COUNTA(V1686:X1686)=0,0,IF(OR(AND(V1686=0,AK1686&gt;0),AND(V1686="ns",AL1686&gt;0),AND(V1686="ns",AK1686=0,AL1686=0)),1,IF(OR(AND(V1686&gt;0,AK1686=2),AND(V1686="ns",AK1686=2),AND(V1686="ns",AL1686=0,AK1686&gt;0),V1686=AL1686),0,1))))</f>
        <v>0</v>
      </c>
      <c r="AN1686">
        <f t="shared" ref="AN1686:AN1688" si="1014">COUNTIF(Z1686:AA1686,"NS")</f>
        <v>0</v>
      </c>
      <c r="AO1686">
        <f t="shared" ref="AO1686:AO1688" si="1015">SUM(Z1686:AA1686)</f>
        <v>0</v>
      </c>
      <c r="AP1686">
        <f t="shared" ref="AP1686:AP1688" si="1016">IF(COUNTIF(Y1686:AA1686,"NA")=3,0,IF(COUNTA(Y1686:AA1686)=0,0,IF(OR(AND(Y1686=0,AN1686&gt;0),AND(Y1686="ns",AO1686&gt;0),AND(Y1686="ns",AN1686=0,AO1686=0)),1,IF(OR(AND(Y1686&gt;0,AN1686=2),AND(Y1686="ns",AN1686=2),AND(Y1686="ns",AO1686=0,AN1686&gt;0),Y1686=AO1686),0,1))))</f>
        <v>0</v>
      </c>
      <c r="AQ1686">
        <f t="shared" ref="AQ1686:AQ1688" si="1017">COUNTIF(AC1686:AD1686,"NS")</f>
        <v>0</v>
      </c>
      <c r="AR1686">
        <f t="shared" ref="AR1686:AR1688" si="1018">SUM(AC1686:AD1686)</f>
        <v>0</v>
      </c>
      <c r="AS1686">
        <f t="shared" ref="AS1686:AS1687" si="1019">IF(COUNTIF(AB1686:AD1686,"NA")=3,0,IF(COUNTA(AB1686:AD1686)=0,0,IF(OR(AND(AB1686=0,AQ1686&gt;0),AND(AB1686="ns",AR1686&gt;0),AND(AB1686="ns",AQ1686=0,AR1686=0)),1,IF(OR(AND(AB1686&gt;0,AQ1686=2),AND(AB1686="ns",AQ1686=2),AND(AB1686="ns",AR1686=0,AQ1686&gt;0),AB1686=AR1686),0,1))))</f>
        <v>0</v>
      </c>
      <c r="AT1686">
        <f>COUNTIF(W1686:W1688,"NS")</f>
        <v>0</v>
      </c>
      <c r="AU1686">
        <f>SUM(W1686:W1688)</f>
        <v>0</v>
      </c>
      <c r="AV1686">
        <f>IF(COUNTBLANK(W1685:W1688)=4,0,IF(OR(AND(W1685=0,AT1686&gt;0),AND(W1685="ns",AU1686&gt;0),AND(W1685="ns",AT1686=0,AU1686=0)),1,IF(OR(AND(AT1686&gt;=2,W1685&gt;AU1686),AND(W1685="ns",AU1686=0,AT1686&gt;0),W1685=AU1686),0,1)))</f>
        <v>0</v>
      </c>
      <c r="AW1686" t="s">
        <v>4771</v>
      </c>
      <c r="AX1686">
        <f>IF(COUNTBLANK(V1689:V1692)=4,0,IF(OR(AND(V1689=0,AX1684&gt;0),AND(V1689="ns",AX1685&gt;0),AND(V1689="ns",AX1684=0,AX1685=0)),1,IF(OR(AND(AX1684&gt;=2,V1689&gt;AX1685),AND(V1689="ns",AX1685=0,AX1684&gt;0),V1689=AX1685),0,1)))</f>
        <v>0</v>
      </c>
      <c r="AY1686">
        <f t="shared" ref="AY1686:BE1686" si="1020">IF(COUNTBLANK(W1689:W1692)=4,0,IF(OR(AND(W1689=0,AY1684&gt;0),AND(W1689="ns",AY1685&gt;0),AND(W1689="ns",AY1684=0,AY1685=0)),1,IF(OR(AND(AY1684&gt;=2,W1689&gt;AY1685),AND(W1689="ns",AY1685=0,AY1684&gt;0),W1689=AY1685),0,1)))</f>
        <v>0</v>
      </c>
      <c r="AZ1686">
        <f t="shared" si="1020"/>
        <v>0</v>
      </c>
      <c r="BA1686">
        <f t="shared" si="1020"/>
        <v>0</v>
      </c>
      <c r="BB1686">
        <f t="shared" si="1020"/>
        <v>0</v>
      </c>
      <c r="BC1686">
        <f t="shared" si="1020"/>
        <v>0</v>
      </c>
      <c r="BD1686">
        <f t="shared" si="1020"/>
        <v>0</v>
      </c>
      <c r="BE1686">
        <f t="shared" si="1020"/>
        <v>0</v>
      </c>
      <c r="BF1686">
        <f>IF(COUNTBLANK(AD1689:AD1692)=4,0,IF(OR(AND(AD1689=0,BF1684&gt;0),AND(AD1689="ns",BF1685&gt;0),AND(AD1689="ns",BF1684=0,BF1685=0)),1,IF(OR(AND(BF1684&gt;=2,AD1689&gt;BF1685),AND(AD1689="ns",BF1685=0,BF1684&gt;0),AD1689=BF1685),0,1)))</f>
        <v>0</v>
      </c>
      <c r="BG1686" s="702">
        <f>SUM(AX1686:BF1686)</f>
        <v>0</v>
      </c>
      <c r="BH1686"/>
      <c r="BI1686"/>
      <c r="BJ1686"/>
      <c r="BK1686"/>
      <c r="BL1686"/>
      <c r="BM1686"/>
      <c r="BN1686"/>
      <c r="BO1686"/>
      <c r="BP1686"/>
      <c r="BQ1686"/>
      <c r="BR1686"/>
      <c r="BS1686"/>
      <c r="BT1686"/>
    </row>
    <row r="1687" spans="1:72" ht="15" customHeight="1">
      <c r="A1687" s="50"/>
      <c r="B1687" s="38"/>
      <c r="C1687" s="1119" t="s">
        <v>5133</v>
      </c>
      <c r="D1687" s="1121"/>
      <c r="E1687" s="1121"/>
      <c r="F1687" s="1120"/>
      <c r="G1687" s="174"/>
      <c r="H1687" s="1122" t="s">
        <v>3877</v>
      </c>
      <c r="I1687" s="1122"/>
      <c r="J1687" s="1122"/>
      <c r="K1687" s="1122"/>
      <c r="L1687" s="1122"/>
      <c r="M1687" s="1122"/>
      <c r="N1687" s="1122"/>
      <c r="O1687" s="1122"/>
      <c r="P1687" s="1122"/>
      <c r="Q1687" s="1122"/>
      <c r="R1687" s="1122"/>
      <c r="S1687" s="1122"/>
      <c r="T1687" s="1122"/>
      <c r="U1687" s="1123"/>
      <c r="V1687" s="100"/>
      <c r="W1687" s="100"/>
      <c r="X1687" s="100"/>
      <c r="Y1687" s="100"/>
      <c r="Z1687" s="100"/>
      <c r="AA1687" s="100"/>
      <c r="AB1687" s="100"/>
      <c r="AC1687" s="100"/>
      <c r="AD1687" s="100"/>
      <c r="AF1687"/>
      <c r="AG1687"/>
      <c r="AH1687"/>
      <c r="AI1687"/>
      <c r="AJ1687"/>
      <c r="AK1687">
        <f t="shared" ref="AK1687:AK1688" si="1021">COUNTIF(W1687:X1687,"NS")</f>
        <v>0</v>
      </c>
      <c r="AL1687">
        <f t="shared" ref="AL1687:AL1688" si="1022">SUM(W1687:X1687)</f>
        <v>0</v>
      </c>
      <c r="AM1687">
        <f t="shared" ref="AM1687:AM1688" si="1023">IF(COUNTIF(V1687:X1687,"NA")=3,0,IF(COUNTA(V1687:X1687)=0,0,IF(OR(AND(V1687=0,AK1687&gt;0),AND(V1687="ns",AL1687&gt;0),AND(V1687="ns",AK1687=0,AL1687=0)),1,IF(OR(AND(V1687&gt;0,AK1687=2),AND(V1687="ns",AK1687=2),AND(V1687="ns",AL1687=0,AK1687&gt;0),V1687=AL1687),0,1))))</f>
        <v>0</v>
      </c>
      <c r="AN1687">
        <f t="shared" si="1014"/>
        <v>0</v>
      </c>
      <c r="AO1687">
        <f t="shared" si="1015"/>
        <v>0</v>
      </c>
      <c r="AP1687">
        <f t="shared" si="1016"/>
        <v>0</v>
      </c>
      <c r="AQ1687">
        <f t="shared" si="1017"/>
        <v>0</v>
      </c>
      <c r="AR1687">
        <f t="shared" si="1018"/>
        <v>0</v>
      </c>
      <c r="AS1687">
        <f t="shared" si="1019"/>
        <v>0</v>
      </c>
      <c r="AT1687">
        <f>COUNTIF(X1686:X1688,"NS")</f>
        <v>0</v>
      </c>
      <c r="AU1687">
        <f>SUM(X1686:X1688)</f>
        <v>0</v>
      </c>
      <c r="AV1687">
        <f>IF(COUNTBLANK(X1685:X1688)=4,0,IF(OR(AND(X1685=0,AT1687&gt;0),AND(X1685="ns",AU1687&gt;0),AND(X1685="ns",AT1687=0,AU1687=0)),1,IF(OR(AND(AT1687&gt;=2,X1685&gt;AU1687),AND(X1685="ns",AU1687=0,AT1687&gt;0),X1685=AU1687),0,1)))</f>
        <v>0</v>
      </c>
      <c r="AW1687"/>
      <c r="AX1687"/>
      <c r="AY1687"/>
      <c r="AZ1687"/>
      <c r="BA1687"/>
      <c r="BB1687"/>
      <c r="BC1687"/>
      <c r="BD1687"/>
      <c r="BE1687"/>
      <c r="BF1687"/>
      <c r="BG1687"/>
      <c r="BH1687"/>
      <c r="BI1687"/>
      <c r="BJ1687"/>
      <c r="BK1687"/>
      <c r="BL1687"/>
      <c r="BM1687"/>
      <c r="BN1687"/>
      <c r="BO1687"/>
      <c r="BP1687"/>
      <c r="BQ1687"/>
      <c r="BR1687"/>
      <c r="BS1687"/>
      <c r="BT1687"/>
    </row>
    <row r="1688" spans="1:72" ht="15" customHeight="1">
      <c r="A1688" s="50"/>
      <c r="B1688" s="38"/>
      <c r="C1688" s="1119" t="s">
        <v>5134</v>
      </c>
      <c r="D1688" s="1121"/>
      <c r="E1688" s="1121"/>
      <c r="F1688" s="1120"/>
      <c r="G1688" s="175"/>
      <c r="H1688" s="1124" t="s">
        <v>201</v>
      </c>
      <c r="I1688" s="1124"/>
      <c r="J1688" s="1124"/>
      <c r="K1688" s="1124"/>
      <c r="L1688" s="1124"/>
      <c r="M1688" s="1124"/>
      <c r="N1688" s="1124"/>
      <c r="O1688" s="1124"/>
      <c r="P1688" s="1124"/>
      <c r="Q1688" s="1124"/>
      <c r="R1688" s="1124"/>
      <c r="S1688" s="1124"/>
      <c r="T1688" s="1124"/>
      <c r="U1688" s="1125"/>
      <c r="V1688" s="100"/>
      <c r="W1688" s="100"/>
      <c r="X1688" s="100"/>
      <c r="Y1688" s="100"/>
      <c r="Z1688" s="100"/>
      <c r="AA1688" s="100"/>
      <c r="AB1688" s="100"/>
      <c r="AC1688" s="100"/>
      <c r="AD1688" s="100"/>
      <c r="AF1688"/>
      <c r="AG1688"/>
      <c r="AH1688"/>
      <c r="AI1688"/>
      <c r="AJ1688"/>
      <c r="AK1688">
        <f t="shared" si="1021"/>
        <v>0</v>
      </c>
      <c r="AL1688">
        <f t="shared" si="1022"/>
        <v>0</v>
      </c>
      <c r="AM1688">
        <f t="shared" si="1023"/>
        <v>0</v>
      </c>
      <c r="AN1688">
        <f t="shared" si="1014"/>
        <v>0</v>
      </c>
      <c r="AO1688">
        <f t="shared" si="1015"/>
        <v>0</v>
      </c>
      <c r="AP1688">
        <f t="shared" si="1016"/>
        <v>0</v>
      </c>
      <c r="AQ1688">
        <f t="shared" si="1017"/>
        <v>0</v>
      </c>
      <c r="AR1688">
        <f t="shared" si="1018"/>
        <v>0</v>
      </c>
      <c r="AS1688">
        <f>IF(COUNTIF(AB1688:AD1688,"NA")=3,0,IF(COUNTA(AB1688:AD1688)=0,0,IF(OR(AND(AB1688=0,AQ1688&gt;0),AND(AB1688="ns",AR1688&gt;0),AND(AB1688="ns",AQ1688=0,AR1688=0)),1,IF(OR(AND(AB1688&gt;0,AQ1688=2),AND(AB1688="ns",AQ1688=2),AND(AB1688="ns",AR1688=0,AQ1688&gt;0),AB1688=AR1688),0,1))))</f>
        <v>0</v>
      </c>
      <c r="AT1688">
        <f>COUNTIF(Y1686:Y1688,"NS")</f>
        <v>0</v>
      </c>
      <c r="AU1688">
        <f>SUM(Y1686:Y1688)</f>
        <v>0</v>
      </c>
      <c r="AV1688">
        <f>IF(COUNTBLANK(Y1685:Y1688)=4,0,IF(OR(AND(Y1685=0,AT1688&gt;0),AND(Y1685="ns",AU1688&gt;0),AND(Y1685="ns",AT1688=0,AU1688=0)),1,IF(OR(AND(AT1688&gt;=2,Y1685&gt;AU1688),AND(Y1685="ns",AU1688=0,AT1688&gt;0),Y1685=AU1688),0,1)))</f>
        <v>0</v>
      </c>
      <c r="AW1688"/>
      <c r="AX1688"/>
      <c r="AY1688"/>
      <c r="AZ1688"/>
      <c r="BA1688"/>
      <c r="BB1688"/>
      <c r="BC1688"/>
      <c r="BD1688"/>
      <c r="BE1688"/>
      <c r="BF1688"/>
      <c r="BG1688"/>
      <c r="BH1688"/>
      <c r="BI1688"/>
      <c r="BJ1688"/>
      <c r="BK1688"/>
      <c r="BL1688"/>
      <c r="BM1688"/>
      <c r="BN1688"/>
      <c r="BO1688"/>
      <c r="BP1688"/>
      <c r="BQ1688"/>
      <c r="BR1688"/>
      <c r="BS1688"/>
      <c r="BT1688"/>
    </row>
    <row r="1689" spans="1:72" ht="15" customHeight="1">
      <c r="A1689" s="50"/>
      <c r="B1689" s="38"/>
      <c r="C1689" s="733" t="s">
        <v>4746</v>
      </c>
      <c r="D1689" s="734"/>
      <c r="E1689" s="734"/>
      <c r="F1689" s="735"/>
      <c r="G1689" s="813" t="s">
        <v>4747</v>
      </c>
      <c r="H1689" s="814"/>
      <c r="I1689" s="814"/>
      <c r="J1689" s="814"/>
      <c r="K1689" s="814"/>
      <c r="L1689" s="814"/>
      <c r="M1689" s="814"/>
      <c r="N1689" s="814"/>
      <c r="O1689" s="814"/>
      <c r="P1689" s="814"/>
      <c r="Q1689" s="814"/>
      <c r="R1689" s="814"/>
      <c r="S1689" s="814"/>
      <c r="T1689" s="814"/>
      <c r="U1689" s="815"/>
      <c r="V1689" s="124" t="str">
        <f t="shared" ref="V1689:AD1689" si="1024">IF(AND(V1098="",V1454=""),"",IF($P$1643="NA","",IF(AND(SUM(V1098,V1454)=0,SUM(COUNTIF(V1098,"NS"),COUNTIF(V1454,"NS"))&gt;0),"NS",IF(AND(SUM(V1098,V1454)=0,SUM(COUNTIF(V1098,0),COUNTIF(V1454,0))&gt;0),0,IF(AND(SUM(V1098,V1454)=0,SUM(COUNTIF(V1098,"NA"),COUNTIF(V1454,"NA"))&gt;0),"NA",SUM(V1098,V1454))))))</f>
        <v/>
      </c>
      <c r="W1689" s="124" t="str">
        <f t="shared" si="1024"/>
        <v/>
      </c>
      <c r="X1689" s="124" t="str">
        <f t="shared" si="1024"/>
        <v/>
      </c>
      <c r="Y1689" s="124" t="str">
        <f t="shared" si="1024"/>
        <v/>
      </c>
      <c r="Z1689" s="124" t="str">
        <f t="shared" si="1024"/>
        <v/>
      </c>
      <c r="AA1689" s="124" t="str">
        <f t="shared" si="1024"/>
        <v/>
      </c>
      <c r="AB1689" s="124" t="str">
        <f t="shared" si="1024"/>
        <v/>
      </c>
      <c r="AC1689" s="124" t="str">
        <f t="shared" si="1024"/>
        <v/>
      </c>
      <c r="AD1689" s="124" t="str">
        <f t="shared" si="1024"/>
        <v/>
      </c>
      <c r="AF1689"/>
      <c r="AG1689"/>
      <c r="AH1689"/>
      <c r="AI1689"/>
      <c r="AJ1689"/>
      <c r="AK1689"/>
      <c r="AM1689" s="405">
        <f>SUM(AM1686:AM1688)</f>
        <v>0</v>
      </c>
      <c r="AN1689"/>
      <c r="AO1689"/>
      <c r="AP1689" s="405">
        <f>SUM(AP1686:AP1688)</f>
        <v>0</v>
      </c>
      <c r="AQ1689"/>
      <c r="AR1689"/>
      <c r="AS1689" s="405">
        <f>SUM(AS1686:AS1688)</f>
        <v>0</v>
      </c>
      <c r="AT1689">
        <f>COUNTIF(Z1686:Z1688,"NS")</f>
        <v>0</v>
      </c>
      <c r="AU1689">
        <f>SUM(Z1686:Z1688)</f>
        <v>0</v>
      </c>
      <c r="AV1689">
        <f>IF(COUNTBLANK(Z1685:Z1688)=4,0,IF(OR(AND(Z1685=0,AT1689&gt;0),AND(Z1685="ns",AU1689&gt;0),AND(Z1685="ns",AT1689=0,AU1689=0)),1,IF(OR(AND(AT1689&gt;=2,Z1685&gt;AU1689),AND(Z1685="ns",AU1689=0,AT1689&gt;0),Z1685=AU1689),0,1)))</f>
        <v>0</v>
      </c>
      <c r="AW1689"/>
      <c r="AX1689"/>
      <c r="AY1689"/>
      <c r="AZ1689"/>
      <c r="BA1689"/>
      <c r="BB1689"/>
      <c r="BC1689"/>
      <c r="BD1689"/>
      <c r="BE1689"/>
      <c r="BF1689"/>
      <c r="BG1689"/>
      <c r="BH1689"/>
      <c r="BI1689"/>
      <c r="BJ1689"/>
      <c r="BK1689"/>
      <c r="BL1689"/>
      <c r="BM1689"/>
      <c r="BN1689"/>
      <c r="BO1689"/>
      <c r="BP1689"/>
      <c r="BQ1689"/>
      <c r="BR1689"/>
      <c r="BS1689"/>
      <c r="BT1689"/>
    </row>
    <row r="1690" spans="1:72" ht="15" customHeight="1">
      <c r="A1690" s="50"/>
      <c r="B1690" s="38"/>
      <c r="C1690" s="1119" t="s">
        <v>5135</v>
      </c>
      <c r="D1690" s="1121"/>
      <c r="E1690" s="1121"/>
      <c r="F1690" s="1120"/>
      <c r="G1690" s="173"/>
      <c r="H1690" s="1126" t="s">
        <v>5136</v>
      </c>
      <c r="I1690" s="1126"/>
      <c r="J1690" s="1126"/>
      <c r="K1690" s="1126"/>
      <c r="L1690" s="1126"/>
      <c r="M1690" s="1126"/>
      <c r="N1690" s="1126"/>
      <c r="O1690" s="1126"/>
      <c r="P1690" s="1126"/>
      <c r="Q1690" s="1126"/>
      <c r="R1690" s="1126"/>
      <c r="S1690" s="1126"/>
      <c r="T1690" s="1126"/>
      <c r="U1690" s="1127"/>
      <c r="V1690" s="100"/>
      <c r="W1690" s="100"/>
      <c r="X1690" s="100"/>
      <c r="Y1690" s="100"/>
      <c r="Z1690" s="100"/>
      <c r="AA1690" s="100"/>
      <c r="AB1690" s="100"/>
      <c r="AC1690" s="100"/>
      <c r="AD1690" s="100"/>
      <c r="AF1690"/>
      <c r="AG1690"/>
      <c r="AH1690"/>
      <c r="AI1690"/>
      <c r="AJ1690"/>
      <c r="AK1690">
        <f>COUNTIF(W1690:X1690,"NS")</f>
        <v>0</v>
      </c>
      <c r="AL1690">
        <f>SUM(W1690:X1690)</f>
        <v>0</v>
      </c>
      <c r="AM1690">
        <f>IF(COUNTIF(V1690:X1690,"NA")=3,0,IF(COUNTA(V1690:X1690)=0,0,IF(OR(AND(V1690=0,AK1690&gt;0),AND(V1690="ns",AL1690&gt;0),AND(V1690="ns",AK1690=0,AL1690=0)),1,IF(OR(AND(V1690&gt;0,AK1690=2),AND(V1690="ns",AK1690=2),AND(V1690="ns",AL1690=0,AK1690&gt;0),V1690=AL1690),0,1))))</f>
        <v>0</v>
      </c>
      <c r="AN1690">
        <f t="shared" ref="AN1690:AN1692" si="1025">COUNTIF(Z1690:AA1690,"NS")</f>
        <v>0</v>
      </c>
      <c r="AO1690">
        <f t="shared" ref="AO1690:AO1692" si="1026">SUM(Z1690:AA1690)</f>
        <v>0</v>
      </c>
      <c r="AP1690">
        <f t="shared" ref="AP1690:AP1692" si="1027">IF(COUNTIF(Y1690:AA1690,"NA")=3,0,IF(COUNTA(Y1690:AA1690)=0,0,IF(OR(AND(Y1690=0,AN1690&gt;0),AND(Y1690="ns",AO1690&gt;0),AND(Y1690="ns",AN1690=0,AO1690=0)),1,IF(OR(AND(Y1690&gt;0,AN1690=2),AND(Y1690="ns",AN1690=2),AND(Y1690="ns",AO1690=0,AN1690&gt;0),Y1690=AO1690),0,1))))</f>
        <v>0</v>
      </c>
      <c r="AQ1690">
        <f t="shared" ref="AQ1690:AQ1692" si="1028">COUNTIF(AC1690:AD1690,"NS")</f>
        <v>0</v>
      </c>
      <c r="AR1690">
        <f t="shared" ref="AR1690:AR1692" si="1029">SUM(AC1690:AD1690)</f>
        <v>0</v>
      </c>
      <c r="AS1690">
        <f t="shared" ref="AS1690:AS1691" si="1030">IF(COUNTIF(AB1690:AD1690,"NA")=3,0,IF(COUNTA(AB1690:AD1690)=0,0,IF(OR(AND(AB1690=0,AQ1690&gt;0),AND(AB1690="ns",AR1690&gt;0),AND(AB1690="ns",AQ1690=0,AR1690=0)),1,IF(OR(AND(AB1690&gt;0,AQ1690=2),AND(AB1690="ns",AQ1690=2),AND(AB1690="ns",AR1690=0,AQ1690&gt;0),AB1690=AR1690),0,1))))</f>
        <v>0</v>
      </c>
      <c r="AT1690">
        <f>COUNTIF(AA1686:AA1688,"NS")</f>
        <v>0</v>
      </c>
      <c r="AU1690">
        <f>SUM(AA1686:AA1688)</f>
        <v>0</v>
      </c>
      <c r="AV1690">
        <f>IF(COUNTBLANK(AA1685:AA1688)=4,0,IF(OR(AND(AA1685=0,AT1690&gt;0),AND(AA1685="ns",AU1690&gt;0),AND(AA1685="ns",AT1690=0,AU1690=0)),1,IF(OR(AND(AT1690&gt;=2,AA1685&gt;AU1690),AND(AA1685="ns",AU1690=0,AT1690&gt;0),AA1685=AU1690),0,1)))</f>
        <v>0</v>
      </c>
      <c r="AW1690"/>
      <c r="AX1690"/>
      <c r="AY1690"/>
      <c r="AZ1690"/>
      <c r="BA1690"/>
      <c r="BB1690"/>
      <c r="BC1690"/>
      <c r="BD1690"/>
      <c r="BE1690"/>
      <c r="BF1690"/>
      <c r="BG1690"/>
      <c r="BH1690"/>
      <c r="BI1690"/>
      <c r="BJ1690"/>
      <c r="BK1690"/>
      <c r="BL1690"/>
      <c r="BM1690"/>
      <c r="BN1690"/>
      <c r="BO1690"/>
      <c r="BP1690"/>
      <c r="BQ1690"/>
      <c r="BR1690"/>
      <c r="BS1690"/>
      <c r="BT1690"/>
    </row>
    <row r="1691" spans="1:72" ht="15" customHeight="1">
      <c r="A1691" s="50"/>
      <c r="B1691" s="38"/>
      <c r="C1691" s="1119" t="s">
        <v>5137</v>
      </c>
      <c r="D1691" s="1121"/>
      <c r="E1691" s="1121"/>
      <c r="F1691" s="1120"/>
      <c r="G1691" s="174"/>
      <c r="H1691" s="1122" t="s">
        <v>5138</v>
      </c>
      <c r="I1691" s="1122"/>
      <c r="J1691" s="1122"/>
      <c r="K1691" s="1122"/>
      <c r="L1691" s="1122"/>
      <c r="M1691" s="1122"/>
      <c r="N1691" s="1122"/>
      <c r="O1691" s="1122"/>
      <c r="P1691" s="1122"/>
      <c r="Q1691" s="1122"/>
      <c r="R1691" s="1122"/>
      <c r="S1691" s="1122"/>
      <c r="T1691" s="1122"/>
      <c r="U1691" s="1123"/>
      <c r="V1691" s="100"/>
      <c r="W1691" s="100"/>
      <c r="X1691" s="100"/>
      <c r="Y1691" s="100"/>
      <c r="Z1691" s="100"/>
      <c r="AA1691" s="100"/>
      <c r="AB1691" s="100"/>
      <c r="AC1691" s="100"/>
      <c r="AD1691" s="100"/>
      <c r="AF1691"/>
      <c r="AG1691"/>
      <c r="AH1691"/>
      <c r="AI1691"/>
      <c r="AJ1691"/>
      <c r="AK1691">
        <f t="shared" ref="AK1691:AK1692" si="1031">COUNTIF(W1691:X1691,"NS")</f>
        <v>0</v>
      </c>
      <c r="AL1691">
        <f t="shared" ref="AL1691:AL1692" si="1032">SUM(W1691:X1691)</f>
        <v>0</v>
      </c>
      <c r="AM1691">
        <f t="shared" ref="AM1691:AM1692" si="1033">IF(COUNTIF(V1691:X1691,"NA")=3,0,IF(COUNTA(V1691:X1691)=0,0,IF(OR(AND(V1691=0,AK1691&gt;0),AND(V1691="ns",AL1691&gt;0),AND(V1691="ns",AK1691=0,AL1691=0)),1,IF(OR(AND(V1691&gt;0,AK1691=2),AND(V1691="ns",AK1691=2),AND(V1691="ns",AL1691=0,AK1691&gt;0),V1691=AL1691),0,1))))</f>
        <v>0</v>
      </c>
      <c r="AN1691">
        <f t="shared" si="1025"/>
        <v>0</v>
      </c>
      <c r="AO1691">
        <f t="shared" si="1026"/>
        <v>0</v>
      </c>
      <c r="AP1691">
        <f t="shared" si="1027"/>
        <v>0</v>
      </c>
      <c r="AQ1691">
        <f t="shared" si="1028"/>
        <v>0</v>
      </c>
      <c r="AR1691">
        <f t="shared" si="1029"/>
        <v>0</v>
      </c>
      <c r="AS1691">
        <f t="shared" si="1030"/>
        <v>0</v>
      </c>
      <c r="AT1691">
        <f>COUNTIF(AB1686:AB1688,"NS")</f>
        <v>0</v>
      </c>
      <c r="AU1691">
        <f>SUM(AB1686:AB1688)</f>
        <v>0</v>
      </c>
      <c r="AV1691">
        <f>IF(COUNTBLANK(AB1685:AB1688)=4,0,IF(OR(AND(AB1685=0,AT1691&gt;0),AND(AB1685="ns",AU1691&gt;0),AND(AB1685="ns",AT1691=0,AU1691=0)),1,IF(OR(AND(AT1691&gt;=2,AB1685&gt;AU1691),AND(AB1685="ns",AU1691=0,AT1691&gt;0),AB1685=AU1691),0,1)))</f>
        <v>0</v>
      </c>
      <c r="AW1691"/>
      <c r="AX1691"/>
      <c r="AY1691"/>
      <c r="AZ1691"/>
      <c r="BA1691"/>
      <c r="BB1691"/>
      <c r="BC1691"/>
      <c r="BD1691"/>
      <c r="BE1691"/>
      <c r="BF1691"/>
      <c r="BG1691"/>
      <c r="BH1691"/>
      <c r="BI1691"/>
      <c r="BJ1691"/>
      <c r="BK1691"/>
      <c r="BL1691"/>
      <c r="BM1691"/>
      <c r="BN1691"/>
      <c r="BO1691"/>
      <c r="BP1691"/>
      <c r="BQ1691"/>
      <c r="BR1691"/>
      <c r="BS1691"/>
      <c r="BT1691"/>
    </row>
    <row r="1692" spans="1:72" ht="15" customHeight="1">
      <c r="A1692" s="50"/>
      <c r="B1692" s="38"/>
      <c r="C1692" s="1119" t="s">
        <v>5139</v>
      </c>
      <c r="D1692" s="1121"/>
      <c r="E1692" s="1121"/>
      <c r="F1692" s="1120"/>
      <c r="G1692" s="175"/>
      <c r="H1692" s="1124" t="s">
        <v>201</v>
      </c>
      <c r="I1692" s="1124"/>
      <c r="J1692" s="1124"/>
      <c r="K1692" s="1124"/>
      <c r="L1692" s="1124"/>
      <c r="M1692" s="1124"/>
      <c r="N1692" s="1124"/>
      <c r="O1692" s="1124"/>
      <c r="P1692" s="1124"/>
      <c r="Q1692" s="1124"/>
      <c r="R1692" s="1124"/>
      <c r="S1692" s="1124"/>
      <c r="T1692" s="1124"/>
      <c r="U1692" s="1125"/>
      <c r="V1692" s="100"/>
      <c r="W1692" s="100"/>
      <c r="X1692" s="100"/>
      <c r="Y1692" s="100"/>
      <c r="Z1692" s="100"/>
      <c r="AA1692" s="100"/>
      <c r="AB1692" s="100"/>
      <c r="AC1692" s="100"/>
      <c r="AD1692" s="100"/>
      <c r="AF1692"/>
      <c r="AG1692"/>
      <c r="AH1692"/>
      <c r="AI1692"/>
      <c r="AJ1692"/>
      <c r="AK1692">
        <f t="shared" si="1031"/>
        <v>0</v>
      </c>
      <c r="AL1692">
        <f t="shared" si="1032"/>
        <v>0</v>
      </c>
      <c r="AM1692">
        <f t="shared" si="1033"/>
        <v>0</v>
      </c>
      <c r="AN1692">
        <f t="shared" si="1025"/>
        <v>0</v>
      </c>
      <c r="AO1692">
        <f t="shared" si="1026"/>
        <v>0</v>
      </c>
      <c r="AP1692">
        <f t="shared" si="1027"/>
        <v>0</v>
      </c>
      <c r="AQ1692">
        <f t="shared" si="1028"/>
        <v>0</v>
      </c>
      <c r="AR1692">
        <f t="shared" si="1029"/>
        <v>0</v>
      </c>
      <c r="AS1692">
        <f>IF(COUNTIF(AB1692:AD1692,"NA")=3,0,IF(COUNTA(AB1692:AD1692)=0,0,IF(OR(AND(AB1692=0,AQ1692&gt;0),AND(AB1692="ns",AR1692&gt;0),AND(AB1692="ns",AQ1692=0,AR1692=0)),1,IF(OR(AND(AB1692&gt;0,AQ1692=2),AND(AB1692="ns",AQ1692=2),AND(AB1692="ns",AR1692=0,AQ1692&gt;0),AB1692=AR1692),0,1))))</f>
        <v>0</v>
      </c>
      <c r="AT1692">
        <f>COUNTIF(AC1686:AC1688,"NS")</f>
        <v>0</v>
      </c>
      <c r="AU1692">
        <f>SUM(AC1686:AC1688)</f>
        <v>0</v>
      </c>
      <c r="AV1692">
        <f>IF(COUNTBLANK(AC1685:AC1688)=4,0,IF(OR(AND(AC1685=0,AT1692&gt;0),AND(AC1685="ns",AU1692&gt;0),AND(AC1685="ns",AT1692=0,AU1692=0)),1,IF(OR(AND(AT1692&gt;=2,AC1685&gt;AU1692),AND(AC1685="ns",AU1692=0,AT1692&gt;0),AC1685=AU1692),0,1)))</f>
        <v>0</v>
      </c>
      <c r="AW1692"/>
      <c r="AX1692"/>
      <c r="AY1692"/>
      <c r="AZ1692"/>
      <c r="BA1692"/>
      <c r="BB1692"/>
      <c r="BC1692"/>
      <c r="BD1692"/>
      <c r="BE1692"/>
      <c r="BF1692"/>
      <c r="BG1692"/>
      <c r="BH1692"/>
      <c r="BI1692"/>
      <c r="BJ1692"/>
      <c r="BK1692"/>
      <c r="BL1692"/>
      <c r="BM1692"/>
      <c r="BN1692"/>
      <c r="BO1692"/>
      <c r="BP1692"/>
      <c r="BQ1692"/>
      <c r="BR1692"/>
      <c r="BS1692"/>
      <c r="BT1692"/>
    </row>
    <row r="1693" spans="1:72" ht="15" customHeight="1">
      <c r="A1693" s="50"/>
      <c r="B1693" s="38"/>
      <c r="C1693" s="733" t="s">
        <v>4750</v>
      </c>
      <c r="D1693" s="734"/>
      <c r="E1693" s="734"/>
      <c r="F1693" s="735"/>
      <c r="G1693" s="813" t="s">
        <v>4751</v>
      </c>
      <c r="H1693" s="814"/>
      <c r="I1693" s="814"/>
      <c r="J1693" s="814"/>
      <c r="K1693" s="814"/>
      <c r="L1693" s="814"/>
      <c r="M1693" s="814"/>
      <c r="N1693" s="814"/>
      <c r="O1693" s="814"/>
      <c r="P1693" s="814"/>
      <c r="Q1693" s="814"/>
      <c r="R1693" s="814"/>
      <c r="S1693" s="814"/>
      <c r="T1693" s="814"/>
      <c r="U1693" s="815"/>
      <c r="V1693" s="124" t="str">
        <f t="shared" ref="V1693:AD1693" si="1034">IF(AND(V1100="",V1456=""),"",IF($P$1647="NA","",IF(AND(SUM(V1100,V1456)=0,SUM(COUNTIF(V1100,"NS"),COUNTIF(V1456,"NS"))&gt;0),"NS",IF(AND(SUM(V1100,V1456)=0,SUM(COUNTIF(V1100,0),COUNTIF(V1456,0))&gt;0),0,IF(AND(SUM(V1100,V1456)=0,SUM(COUNTIF(V1100,"NA"),COUNTIF(V1456,"NA"))&gt;0),"NA",SUM(V1100,V1456))))))</f>
        <v/>
      </c>
      <c r="W1693" s="124" t="str">
        <f t="shared" si="1034"/>
        <v/>
      </c>
      <c r="X1693" s="124" t="str">
        <f t="shared" si="1034"/>
        <v/>
      </c>
      <c r="Y1693" s="124" t="str">
        <f t="shared" si="1034"/>
        <v/>
      </c>
      <c r="Z1693" s="124" t="str">
        <f t="shared" si="1034"/>
        <v/>
      </c>
      <c r="AA1693" s="124" t="str">
        <f t="shared" si="1034"/>
        <v/>
      </c>
      <c r="AB1693" s="124" t="str">
        <f t="shared" si="1034"/>
        <v/>
      </c>
      <c r="AC1693" s="124" t="str">
        <f t="shared" si="1034"/>
        <v/>
      </c>
      <c r="AD1693" s="124" t="str">
        <f t="shared" si="1034"/>
        <v/>
      </c>
      <c r="AF1693"/>
      <c r="AG1693"/>
      <c r="AH1693"/>
      <c r="AI1693"/>
      <c r="AJ1693"/>
      <c r="AM1693" s="405">
        <f>SUM(AM1690:AM1692)</f>
        <v>0</v>
      </c>
      <c r="AN1693"/>
      <c r="AO1693"/>
      <c r="AP1693" s="405">
        <f>SUM(AP1690:AP1692)</f>
        <v>0</v>
      </c>
      <c r="AQ1693"/>
      <c r="AR1693"/>
      <c r="AS1693" s="405">
        <f>SUM(AS1690:AS1692)</f>
        <v>0</v>
      </c>
      <c r="AT1693">
        <f>COUNTIF(AD1686:AD1688,"NS")</f>
        <v>0</v>
      </c>
      <c r="AU1693">
        <f>SUM(AD1686:AD1688)</f>
        <v>0</v>
      </c>
      <c r="AV1693">
        <f>IF(COUNTBLANK(AD1685:AD1688)=4,0,IF(OR(AND(AD1685=0,AT1693&gt;0),AND(AD1685="ns",AU1693&gt;0),AND(AD1685="ns",AT1693=0,AU1693=0)),1,IF(OR(AND(AT1693&gt;=2,AD1685&gt;AU1693),AND(AD1685="ns",AU1693=0,AT1693&gt;0),AD1685=AU1693),0,1)))</f>
        <v>0</v>
      </c>
      <c r="AW1693"/>
      <c r="AX1693"/>
      <c r="AY1693"/>
      <c r="AZ1693"/>
      <c r="BA1693"/>
      <c r="BB1693"/>
      <c r="BC1693"/>
      <c r="BD1693"/>
      <c r="BE1693"/>
      <c r="BF1693"/>
      <c r="BG1693"/>
      <c r="BH1693"/>
      <c r="BI1693"/>
      <c r="BJ1693"/>
      <c r="BK1693"/>
      <c r="BL1693"/>
      <c r="BM1693"/>
      <c r="BN1693"/>
      <c r="BO1693"/>
      <c r="BP1693"/>
      <c r="BQ1693"/>
      <c r="BR1693"/>
      <c r="BS1693"/>
      <c r="BT1693"/>
    </row>
    <row r="1694" spans="1:72" ht="15" customHeight="1">
      <c r="A1694" s="50"/>
      <c r="B1694" s="38"/>
      <c r="C1694" s="733" t="s">
        <v>4764</v>
      </c>
      <c r="D1694" s="734"/>
      <c r="E1694" s="734"/>
      <c r="F1694" s="735"/>
      <c r="G1694" s="813" t="s">
        <v>4765</v>
      </c>
      <c r="H1694" s="814"/>
      <c r="I1694" s="814"/>
      <c r="J1694" s="814"/>
      <c r="K1694" s="814"/>
      <c r="L1694" s="814"/>
      <c r="M1694" s="814"/>
      <c r="N1694" s="814"/>
      <c r="O1694" s="814"/>
      <c r="P1694" s="814"/>
      <c r="Q1694" s="814"/>
      <c r="R1694" s="814"/>
      <c r="S1694" s="814"/>
      <c r="T1694" s="814"/>
      <c r="U1694" s="815"/>
      <c r="V1694" s="124" t="str">
        <f t="shared" ref="V1694:AD1694" si="1035">IF(AND(V1106="",V1462=""),"",IF($P$1648="NA","",IF(AND(SUM(V1106,V1462)=0,SUM(COUNTIF(V1106,"NS"),COUNTIF(V1462,"NS"))&gt;0),"NS",IF(AND(SUM(V1106,V1462)=0,SUM(COUNTIF(V1106,0),COUNTIF(V1462,0))&gt;0),0,IF(AND(SUM(V1106,V1462)=0,SUM(COUNTIF(V1106,"NA"),COUNTIF(V1462,"NA"))&gt;0),"NA",SUM(V1106,V1462))))))</f>
        <v/>
      </c>
      <c r="W1694" s="124" t="str">
        <f t="shared" si="1035"/>
        <v/>
      </c>
      <c r="X1694" s="124" t="str">
        <f t="shared" si="1035"/>
        <v/>
      </c>
      <c r="Y1694" s="124" t="str">
        <f t="shared" si="1035"/>
        <v/>
      </c>
      <c r="Z1694" s="124" t="str">
        <f t="shared" si="1035"/>
        <v/>
      </c>
      <c r="AA1694" s="124" t="str">
        <f t="shared" si="1035"/>
        <v/>
      </c>
      <c r="AB1694" s="124" t="str">
        <f t="shared" si="1035"/>
        <v/>
      </c>
      <c r="AC1694" s="124" t="str">
        <f t="shared" si="1035"/>
        <v/>
      </c>
      <c r="AD1694" s="124" t="str">
        <f t="shared" si="1035"/>
        <v/>
      </c>
      <c r="AF1694"/>
      <c r="AG1694"/>
      <c r="AH1694"/>
      <c r="AI1694"/>
      <c r="AJ1694"/>
      <c r="AK1694" t="s">
        <v>2650</v>
      </c>
      <c r="AL1694" s="702">
        <f>SUM(AM1689,AP1689,AS1689,AM1693,AP1693,AS1693)</f>
        <v>0</v>
      </c>
      <c r="AN1694"/>
      <c r="AO1694"/>
      <c r="AP1694"/>
      <c r="AQ1694"/>
      <c r="AR1694"/>
      <c r="AS1694"/>
      <c r="AT1694">
        <f>SUM(AT1685:AT1693)</f>
        <v>0</v>
      </c>
      <c r="AV1694" s="702">
        <f>SUM(AV1685:AV1693)</f>
        <v>0</v>
      </c>
      <c r="AW1694"/>
      <c r="AX1694"/>
      <c r="AY1694"/>
      <c r="AZ1694"/>
      <c r="BA1694"/>
      <c r="BB1694"/>
      <c r="BC1694"/>
      <c r="BD1694"/>
      <c r="BE1694"/>
      <c r="BF1694"/>
      <c r="BG1694"/>
      <c r="BH1694"/>
      <c r="BI1694"/>
      <c r="BJ1694"/>
      <c r="BK1694"/>
      <c r="BL1694"/>
      <c r="BM1694"/>
      <c r="BN1694"/>
      <c r="BO1694"/>
      <c r="BP1694"/>
      <c r="BQ1694"/>
      <c r="BR1694"/>
      <c r="BS1694"/>
      <c r="BT1694"/>
    </row>
    <row r="1695" spans="1:72" ht="15" customHeight="1">
      <c r="A1695" s="50"/>
      <c r="B1695" s="38"/>
      <c r="C1695" s="733" t="s">
        <v>4828</v>
      </c>
      <c r="D1695" s="734"/>
      <c r="E1695" s="734"/>
      <c r="F1695" s="735"/>
      <c r="G1695" s="813" t="s">
        <v>4829</v>
      </c>
      <c r="H1695" s="814"/>
      <c r="I1695" s="814"/>
      <c r="J1695" s="814"/>
      <c r="K1695" s="814"/>
      <c r="L1695" s="814"/>
      <c r="M1695" s="814"/>
      <c r="N1695" s="814"/>
      <c r="O1695" s="814"/>
      <c r="P1695" s="814"/>
      <c r="Q1695" s="814"/>
      <c r="R1695" s="814"/>
      <c r="S1695" s="814"/>
      <c r="T1695" s="814"/>
      <c r="U1695" s="815"/>
      <c r="V1695" s="124" t="str">
        <f t="shared" ref="V1695:AD1695" si="1036">IF(AND(V1115="",V1471=""),"",IF($P$1649="NA","",IF(AND(SUM(V1115,V1471)=0,SUM(COUNTIF(V1115,"NS"),COUNTIF(V1471,"NS"))&gt;0),"NS",IF(AND(SUM(V1115,V1471)=0,SUM(COUNTIF(V1115,0),COUNTIF(V1471,0))&gt;0),0,IF(AND(SUM(V1115,V1471)=0,SUM(COUNTIF(V1115,"NA"),COUNTIF(V1471,"NA"))&gt;0),"NA",SUM(V1115,V1471))))))</f>
        <v/>
      </c>
      <c r="W1695" s="124" t="str">
        <f t="shared" si="1036"/>
        <v/>
      </c>
      <c r="X1695" s="124" t="str">
        <f t="shared" si="1036"/>
        <v/>
      </c>
      <c r="Y1695" s="124" t="str">
        <f t="shared" si="1036"/>
        <v/>
      </c>
      <c r="Z1695" s="124" t="str">
        <f t="shared" si="1036"/>
        <v/>
      </c>
      <c r="AA1695" s="124" t="str">
        <f t="shared" si="1036"/>
        <v/>
      </c>
      <c r="AB1695" s="124" t="str">
        <f t="shared" si="1036"/>
        <v/>
      </c>
      <c r="AC1695" s="124" t="str">
        <f t="shared" si="1036"/>
        <v/>
      </c>
      <c r="AD1695" s="124" t="str">
        <f t="shared" si="1036"/>
        <v/>
      </c>
      <c r="AF1695"/>
      <c r="AG1695"/>
      <c r="AH1695"/>
      <c r="AI1695"/>
      <c r="AJ1695"/>
      <c r="AK1695"/>
      <c r="AL1695"/>
      <c r="AN1695"/>
      <c r="AO1695"/>
      <c r="AP1695"/>
      <c r="AQ1695"/>
      <c r="AR1695"/>
      <c r="AS1695"/>
      <c r="AV1695" s="405">
        <f>SUM(AV1694,BG1686)</f>
        <v>0</v>
      </c>
      <c r="AW1695"/>
      <c r="AX1695"/>
      <c r="AY1695"/>
      <c r="AZ1695"/>
      <c r="BA1695"/>
      <c r="BB1695"/>
      <c r="BC1695"/>
      <c r="BD1695"/>
      <c r="BE1695"/>
      <c r="BF1695"/>
      <c r="BG1695"/>
      <c r="BH1695"/>
      <c r="BI1695"/>
      <c r="BJ1695"/>
      <c r="BK1695"/>
      <c r="BL1695"/>
      <c r="BM1695"/>
      <c r="BN1695"/>
      <c r="BO1695"/>
      <c r="BP1695"/>
      <c r="BQ1695"/>
      <c r="BR1695"/>
      <c r="BS1695"/>
      <c r="BT1695"/>
    </row>
    <row r="1696" spans="1:72" ht="15" customHeight="1">
      <c r="A1696" s="50"/>
      <c r="B1696" s="38"/>
      <c r="C1696" s="733" t="s">
        <v>4830</v>
      </c>
      <c r="D1696" s="734"/>
      <c r="E1696" s="734"/>
      <c r="F1696" s="735"/>
      <c r="G1696" s="813" t="s">
        <v>4831</v>
      </c>
      <c r="H1696" s="814"/>
      <c r="I1696" s="814"/>
      <c r="J1696" s="814"/>
      <c r="K1696" s="814"/>
      <c r="L1696" s="814"/>
      <c r="M1696" s="814"/>
      <c r="N1696" s="814"/>
      <c r="O1696" s="814"/>
      <c r="P1696" s="814"/>
      <c r="Q1696" s="814"/>
      <c r="R1696" s="814"/>
      <c r="S1696" s="814"/>
      <c r="T1696" s="814"/>
      <c r="U1696" s="815"/>
      <c r="V1696" s="124" t="str">
        <f t="shared" ref="V1696:AD1696" si="1037">IF(AND(V1116="",V1472=""),"",IF($P$1650="NA","",IF(AND(SUM(V1116,V1472)=0,SUM(COUNTIF(V1116,"NS"),COUNTIF(V1472,"NS"))&gt;0),"NS",IF(AND(SUM(V1116,V1472)=0,SUM(COUNTIF(V1116,0),COUNTIF(V1472,0))&gt;0),0,IF(AND(SUM(V1116,V1472)=0,SUM(COUNTIF(V1116,"NA"),COUNTIF(V1472,"NA"))&gt;0),"NA",SUM(V1116,V1472))))))</f>
        <v/>
      </c>
      <c r="W1696" s="124" t="str">
        <f t="shared" si="1037"/>
        <v/>
      </c>
      <c r="X1696" s="124" t="str">
        <f t="shared" si="1037"/>
        <v/>
      </c>
      <c r="Y1696" s="124" t="str">
        <f t="shared" si="1037"/>
        <v/>
      </c>
      <c r="Z1696" s="124" t="str">
        <f t="shared" si="1037"/>
        <v/>
      </c>
      <c r="AA1696" s="124" t="str">
        <f t="shared" si="1037"/>
        <v/>
      </c>
      <c r="AB1696" s="124" t="str">
        <f t="shared" si="1037"/>
        <v/>
      </c>
      <c r="AC1696" s="124" t="str">
        <f t="shared" si="1037"/>
        <v/>
      </c>
      <c r="AD1696" s="124" t="str">
        <f t="shared" si="1037"/>
        <v/>
      </c>
      <c r="AF1696"/>
      <c r="AG1696"/>
      <c r="AH1696"/>
      <c r="AI1696"/>
      <c r="AJ1696"/>
      <c r="AK1696" t="s">
        <v>5140</v>
      </c>
      <c r="AL1696" s="507">
        <f>SUM(AL1648,AL1694)-SUM(COUNTIF(P1640:P1642,"NA"),COUNTIF(P1644:P1646,"NA"))</f>
        <v>0</v>
      </c>
      <c r="AN1696"/>
      <c r="AO1696"/>
      <c r="AP1696"/>
      <c r="AQ1696"/>
      <c r="AR1696"/>
      <c r="AS1696"/>
      <c r="AU1696" t="s">
        <v>5140</v>
      </c>
      <c r="AV1696" s="507">
        <f>SUM(AV1695,BC1655)-SUM(COUNTIF(P1639,"NA"),COUNTIF(P1643,"NA"))</f>
        <v>0</v>
      </c>
      <c r="AW1696"/>
      <c r="AX1696"/>
      <c r="AY1696"/>
      <c r="AZ1696"/>
      <c r="BA1696"/>
      <c r="BB1696"/>
      <c r="BC1696"/>
      <c r="BD1696"/>
      <c r="BE1696"/>
      <c r="BF1696"/>
      <c r="BG1696"/>
      <c r="BH1696"/>
      <c r="BI1696"/>
      <c r="BJ1696"/>
      <c r="BK1696"/>
      <c r="BL1696"/>
      <c r="BM1696"/>
      <c r="BN1696"/>
      <c r="BO1696"/>
      <c r="BP1696"/>
      <c r="BQ1696"/>
      <c r="BR1696"/>
      <c r="BS1696"/>
      <c r="BT1696"/>
    </row>
    <row r="1697" spans="1:72" ht="15" customHeight="1">
      <c r="A1697" s="50"/>
      <c r="B1697" s="38"/>
      <c r="C1697" s="733" t="s">
        <v>4832</v>
      </c>
      <c r="D1697" s="734"/>
      <c r="E1697" s="734"/>
      <c r="F1697" s="735"/>
      <c r="G1697" s="813" t="s">
        <v>4833</v>
      </c>
      <c r="H1697" s="814"/>
      <c r="I1697" s="814"/>
      <c r="J1697" s="814"/>
      <c r="K1697" s="814"/>
      <c r="L1697" s="814"/>
      <c r="M1697" s="814"/>
      <c r="N1697" s="814"/>
      <c r="O1697" s="814"/>
      <c r="P1697" s="814"/>
      <c r="Q1697" s="814"/>
      <c r="R1697" s="814"/>
      <c r="S1697" s="814"/>
      <c r="T1697" s="814"/>
      <c r="U1697" s="815"/>
      <c r="V1697" s="124" t="str">
        <f t="shared" ref="V1697:AD1697" si="1038">IF(AND(V1117="",V1473=""),"",IF($P$1651="NA","",IF(AND(SUM(V1117,V1473)=0,SUM(COUNTIF(V1117,"NS"),COUNTIF(V1473,"NS"))&gt;0),"NS",IF(AND(SUM(V1117,V1473)=0,SUM(COUNTIF(V1117,0),COUNTIF(V1473,0))&gt;0),0,IF(AND(SUM(V1117,V1473)=0,SUM(COUNTIF(V1117,"NA"),COUNTIF(V1473,"NA"))&gt;0),"NA",SUM(V1117,V1473))))))</f>
        <v/>
      </c>
      <c r="W1697" s="124" t="str">
        <f t="shared" si="1038"/>
        <v/>
      </c>
      <c r="X1697" s="124" t="str">
        <f t="shared" si="1038"/>
        <v/>
      </c>
      <c r="Y1697" s="124" t="str">
        <f t="shared" si="1038"/>
        <v/>
      </c>
      <c r="Z1697" s="124" t="str">
        <f t="shared" si="1038"/>
        <v/>
      </c>
      <c r="AA1697" s="124" t="str">
        <f t="shared" si="1038"/>
        <v/>
      </c>
      <c r="AB1697" s="124" t="str">
        <f t="shared" si="1038"/>
        <v/>
      </c>
      <c r="AC1697" s="124" t="str">
        <f t="shared" si="1038"/>
        <v/>
      </c>
      <c r="AD1697" s="124" t="str">
        <f t="shared" si="1038"/>
        <v/>
      </c>
      <c r="AF1697"/>
      <c r="AG1697"/>
      <c r="AH1697"/>
      <c r="AI1697"/>
      <c r="AJ1697"/>
      <c r="AK1697"/>
      <c r="AL1697"/>
      <c r="AM1697"/>
      <c r="AN1697"/>
      <c r="AO1697"/>
      <c r="AP1697"/>
      <c r="AQ1697"/>
      <c r="AR1697"/>
      <c r="AS1697"/>
      <c r="AT1697"/>
      <c r="AU1697"/>
      <c r="AV1697"/>
      <c r="AW1697"/>
      <c r="AX1697"/>
      <c r="AY1697"/>
      <c r="AZ1697"/>
      <c r="BA1697"/>
      <c r="BB1697"/>
      <c r="BC1697"/>
      <c r="BD1697"/>
      <c r="BE1697"/>
      <c r="BF1697"/>
      <c r="BG1697"/>
      <c r="BH1697"/>
      <c r="BI1697"/>
      <c r="BJ1697"/>
      <c r="BK1697"/>
      <c r="BL1697"/>
      <c r="BM1697"/>
      <c r="BN1697"/>
      <c r="BO1697"/>
      <c r="BP1697"/>
      <c r="BQ1697"/>
      <c r="BR1697"/>
      <c r="BS1697"/>
      <c r="BT1697"/>
    </row>
    <row r="1698" spans="1:72" ht="15" customHeight="1">
      <c r="A1698" s="50"/>
      <c r="B1698" s="38"/>
      <c r="C1698" s="733" t="s">
        <v>4834</v>
      </c>
      <c r="D1698" s="734"/>
      <c r="E1698" s="734"/>
      <c r="F1698" s="735"/>
      <c r="G1698" s="813" t="s">
        <v>4835</v>
      </c>
      <c r="H1698" s="814"/>
      <c r="I1698" s="814"/>
      <c r="J1698" s="814"/>
      <c r="K1698" s="814"/>
      <c r="L1698" s="814"/>
      <c r="M1698" s="814"/>
      <c r="N1698" s="814"/>
      <c r="O1698" s="814"/>
      <c r="P1698" s="814"/>
      <c r="Q1698" s="814"/>
      <c r="R1698" s="814"/>
      <c r="S1698" s="814"/>
      <c r="T1698" s="814"/>
      <c r="U1698" s="815"/>
      <c r="V1698" s="124" t="str">
        <f t="shared" ref="V1698:AD1698" si="1039">IF(AND(V1118="",V1474=""),"",IF($P$1652="NA","",IF(AND(SUM(V1118,V1474)=0,SUM(COUNTIF(V1118,"NS"),COUNTIF(V1474,"NS"))&gt;0),"NS",IF(AND(SUM(V1118,V1474)=0,SUM(COUNTIF(V1118,0),COUNTIF(V1474,0))&gt;0),0,IF(AND(SUM(V1118,V1474)=0,SUM(COUNTIF(V1118,"NA"),COUNTIF(V1474,"NA"))&gt;0),"NA",SUM(V1118,V1474))))))</f>
        <v/>
      </c>
      <c r="W1698" s="124" t="str">
        <f t="shared" si="1039"/>
        <v/>
      </c>
      <c r="X1698" s="124" t="str">
        <f t="shared" si="1039"/>
        <v/>
      </c>
      <c r="Y1698" s="124" t="str">
        <f t="shared" si="1039"/>
        <v/>
      </c>
      <c r="Z1698" s="124" t="str">
        <f t="shared" si="1039"/>
        <v/>
      </c>
      <c r="AA1698" s="124" t="str">
        <f t="shared" si="1039"/>
        <v/>
      </c>
      <c r="AB1698" s="124" t="str">
        <f t="shared" si="1039"/>
        <v/>
      </c>
      <c r="AC1698" s="124" t="str">
        <f t="shared" si="1039"/>
        <v/>
      </c>
      <c r="AD1698" s="124" t="str">
        <f t="shared" si="1039"/>
        <v/>
      </c>
    </row>
    <row r="1699" spans="1:72" ht="15" customHeight="1">
      <c r="A1699" s="50"/>
      <c r="B1699" s="38"/>
      <c r="C1699" s="733" t="s">
        <v>4850</v>
      </c>
      <c r="D1699" s="734"/>
      <c r="E1699" s="734"/>
      <c r="F1699" s="735"/>
      <c r="G1699" s="813" t="s">
        <v>4851</v>
      </c>
      <c r="H1699" s="814"/>
      <c r="I1699" s="814"/>
      <c r="J1699" s="814"/>
      <c r="K1699" s="814"/>
      <c r="L1699" s="814"/>
      <c r="M1699" s="814"/>
      <c r="N1699" s="814"/>
      <c r="O1699" s="814"/>
      <c r="P1699" s="814"/>
      <c r="Q1699" s="814"/>
      <c r="R1699" s="814"/>
      <c r="S1699" s="814"/>
      <c r="T1699" s="814"/>
      <c r="U1699" s="815"/>
      <c r="V1699" s="124" t="str">
        <f t="shared" ref="V1699:AD1699" si="1040">IF(AND(V1126="",V1482=""),"",IF($P$1653="NA","",IF(AND(SUM(V1126,V1482)=0,SUM(COUNTIF(V1126,"NS"),COUNTIF(V1482,"NS"))&gt;0),"NS",IF(AND(SUM(V1126,V1482)=0,SUM(COUNTIF(V1126,0),COUNTIF(V1482,0))&gt;0),0,IF(AND(SUM(V1126,V1482)=0,SUM(COUNTIF(V1126,"NA"),COUNTIF(V1482,"NA"))&gt;0),"NA",SUM(V1126,V1482))))))</f>
        <v/>
      </c>
      <c r="W1699" s="124" t="str">
        <f t="shared" si="1040"/>
        <v/>
      </c>
      <c r="X1699" s="124" t="str">
        <f t="shared" si="1040"/>
        <v/>
      </c>
      <c r="Y1699" s="124" t="str">
        <f t="shared" si="1040"/>
        <v/>
      </c>
      <c r="Z1699" s="124" t="str">
        <f t="shared" si="1040"/>
        <v/>
      </c>
      <c r="AA1699" s="124" t="str">
        <f t="shared" si="1040"/>
        <v/>
      </c>
      <c r="AB1699" s="124" t="str">
        <f t="shared" si="1040"/>
        <v/>
      </c>
      <c r="AC1699" s="124" t="str">
        <f t="shared" si="1040"/>
        <v/>
      </c>
      <c r="AD1699" s="124" t="str">
        <f t="shared" si="1040"/>
        <v/>
      </c>
    </row>
    <row r="1700" spans="1:72" ht="15" customHeight="1">
      <c r="A1700" s="50"/>
      <c r="B1700" s="38"/>
      <c r="C1700" s="733" t="s">
        <v>4921</v>
      </c>
      <c r="D1700" s="734"/>
      <c r="E1700" s="734"/>
      <c r="F1700" s="735"/>
      <c r="G1700" s="813" t="s">
        <v>4922</v>
      </c>
      <c r="H1700" s="814"/>
      <c r="I1700" s="814"/>
      <c r="J1700" s="814"/>
      <c r="K1700" s="814"/>
      <c r="L1700" s="814"/>
      <c r="M1700" s="814"/>
      <c r="N1700" s="814"/>
      <c r="O1700" s="814"/>
      <c r="P1700" s="814"/>
      <c r="Q1700" s="814"/>
      <c r="R1700" s="814"/>
      <c r="S1700" s="814"/>
      <c r="T1700" s="814"/>
      <c r="U1700" s="815"/>
      <c r="V1700" s="124" t="str">
        <f t="shared" ref="V1700:AD1700" si="1041">IF(AND(V1161="",V1517=""),"",IF($P$1654="NA","",IF(AND(SUM(V1161,V1517)=0,SUM(COUNTIF(V1161,"NS"),COUNTIF(V1517,"NS"))&gt;0),"NS",IF(AND(SUM(V1161,V1517)=0,SUM(COUNTIF(V1161,0),COUNTIF(V1517,0))&gt;0),0,IF(AND(SUM(V1161,V1517)=0,SUM(COUNTIF(V1161,"NA"),COUNTIF(V1517,"NA"))&gt;0),"NA",SUM(V1161,V1517))))))</f>
        <v/>
      </c>
      <c r="W1700" s="124" t="str">
        <f t="shared" si="1041"/>
        <v/>
      </c>
      <c r="X1700" s="124" t="str">
        <f t="shared" si="1041"/>
        <v/>
      </c>
      <c r="Y1700" s="124" t="str">
        <f t="shared" si="1041"/>
        <v/>
      </c>
      <c r="Z1700" s="124" t="str">
        <f t="shared" si="1041"/>
        <v/>
      </c>
      <c r="AA1700" s="124" t="str">
        <f t="shared" si="1041"/>
        <v/>
      </c>
      <c r="AB1700" s="124" t="str">
        <f t="shared" si="1041"/>
        <v/>
      </c>
      <c r="AC1700" s="124" t="str">
        <f t="shared" si="1041"/>
        <v/>
      </c>
      <c r="AD1700" s="124" t="str">
        <f t="shared" si="1041"/>
        <v/>
      </c>
    </row>
    <row r="1701" spans="1:72" ht="15" customHeight="1">
      <c r="A1701" s="50"/>
      <c r="B1701" s="38"/>
      <c r="C1701" s="733" t="s">
        <v>4944</v>
      </c>
      <c r="D1701" s="734"/>
      <c r="E1701" s="734"/>
      <c r="F1701" s="735"/>
      <c r="G1701" s="813" t="s">
        <v>4945</v>
      </c>
      <c r="H1701" s="814"/>
      <c r="I1701" s="814"/>
      <c r="J1701" s="814"/>
      <c r="K1701" s="814"/>
      <c r="L1701" s="814"/>
      <c r="M1701" s="814"/>
      <c r="N1701" s="814"/>
      <c r="O1701" s="814"/>
      <c r="P1701" s="814"/>
      <c r="Q1701" s="814"/>
      <c r="R1701" s="814"/>
      <c r="S1701" s="814"/>
      <c r="T1701" s="814"/>
      <c r="U1701" s="815"/>
      <c r="V1701" s="124" t="str">
        <f t="shared" ref="V1701:AD1701" si="1042">IF(AND(V1172="",V1528=""),"",IF($P$1655="NA","",IF(AND(SUM(V1172,V1528)=0,SUM(COUNTIF(V1172,"NS"),COUNTIF(V1528,"NS"))&gt;0),"NS",IF(AND(SUM(V1172,V1528)=0,SUM(COUNTIF(V1172,0),COUNTIF(V1528,0))&gt;0),0,IF(AND(SUM(V1172,V1528)=0,SUM(COUNTIF(V1172,"NA"),COUNTIF(V1528,"NA"))&gt;0),"NA",SUM(V1172,V1528))))))</f>
        <v/>
      </c>
      <c r="W1701" s="124" t="str">
        <f t="shared" si="1042"/>
        <v/>
      </c>
      <c r="X1701" s="124" t="str">
        <f t="shared" si="1042"/>
        <v/>
      </c>
      <c r="Y1701" s="124" t="str">
        <f t="shared" si="1042"/>
        <v/>
      </c>
      <c r="Z1701" s="124" t="str">
        <f t="shared" si="1042"/>
        <v/>
      </c>
      <c r="AA1701" s="124" t="str">
        <f t="shared" si="1042"/>
        <v/>
      </c>
      <c r="AB1701" s="124" t="str">
        <f t="shared" si="1042"/>
        <v/>
      </c>
      <c r="AC1701" s="124" t="str">
        <f t="shared" si="1042"/>
        <v/>
      </c>
      <c r="AD1701" s="124" t="str">
        <f t="shared" si="1042"/>
        <v/>
      </c>
    </row>
    <row r="1702" spans="1:72" ht="15" customHeight="1">
      <c r="A1702" s="50"/>
      <c r="B1702" s="38"/>
      <c r="C1702" s="1119" t="s">
        <v>4946</v>
      </c>
      <c r="D1702" s="1121"/>
      <c r="E1702" s="1121"/>
      <c r="F1702" s="1120"/>
      <c r="G1702" s="174"/>
      <c r="H1702" s="1126" t="s">
        <v>4947</v>
      </c>
      <c r="I1702" s="1126"/>
      <c r="J1702" s="1126"/>
      <c r="K1702" s="1126"/>
      <c r="L1702" s="1126"/>
      <c r="M1702" s="1126"/>
      <c r="N1702" s="1126"/>
      <c r="O1702" s="1126"/>
      <c r="P1702" s="1126"/>
      <c r="Q1702" s="1126"/>
      <c r="R1702" s="1126"/>
      <c r="S1702" s="1126"/>
      <c r="T1702" s="1126"/>
      <c r="U1702" s="1127"/>
      <c r="V1702" s="124" t="str">
        <f t="shared" ref="V1702:AD1702" si="1043">IF(AND(V1173="",V1529=""),"",IF($P$1656="NA","",IF(AND(SUM(V1173,V1529)=0,SUM(COUNTIF(V1173,"NS"),COUNTIF(V1529,"NS"))&gt;0),"NS",IF(AND(SUM(V1173,V1529)=0,SUM(COUNTIF(V1173,0),COUNTIF(V1529,0))&gt;0),0,IF(AND(SUM(V1173,V1529)=0,SUM(COUNTIF(V1173,"NA"),COUNTIF(V1529,"NA"))&gt;0),"NA",SUM(V1173,V1529))))))</f>
        <v/>
      </c>
      <c r="W1702" s="124" t="str">
        <f t="shared" si="1043"/>
        <v/>
      </c>
      <c r="X1702" s="124" t="str">
        <f t="shared" si="1043"/>
        <v/>
      </c>
      <c r="Y1702" s="124" t="str">
        <f t="shared" si="1043"/>
        <v/>
      </c>
      <c r="Z1702" s="124" t="str">
        <f t="shared" si="1043"/>
        <v/>
      </c>
      <c r="AA1702" s="124" t="str">
        <f t="shared" si="1043"/>
        <v/>
      </c>
      <c r="AB1702" s="124" t="str">
        <f t="shared" si="1043"/>
        <v/>
      </c>
      <c r="AC1702" s="124" t="str">
        <f t="shared" si="1043"/>
        <v/>
      </c>
      <c r="AD1702" s="124" t="str">
        <f t="shared" si="1043"/>
        <v/>
      </c>
    </row>
    <row r="1703" spans="1:72" ht="15" customHeight="1">
      <c r="A1703" s="50"/>
      <c r="B1703" s="38"/>
      <c r="C1703" s="1119" t="s">
        <v>4948</v>
      </c>
      <c r="D1703" s="1121"/>
      <c r="E1703" s="1121"/>
      <c r="F1703" s="1120"/>
      <c r="G1703" s="174"/>
      <c r="H1703" s="1122" t="s">
        <v>4949</v>
      </c>
      <c r="I1703" s="1122"/>
      <c r="J1703" s="1122"/>
      <c r="K1703" s="1122"/>
      <c r="L1703" s="1122"/>
      <c r="M1703" s="1122"/>
      <c r="N1703" s="1122"/>
      <c r="O1703" s="1122"/>
      <c r="P1703" s="1122"/>
      <c r="Q1703" s="1122"/>
      <c r="R1703" s="1122"/>
      <c r="S1703" s="1122"/>
      <c r="T1703" s="1122"/>
      <c r="U1703" s="1123"/>
      <c r="V1703" s="124" t="str">
        <f t="shared" ref="V1703:AD1703" si="1044">IF(AND(V1174="",V1530=""),"",IF($P$1657="NA","",IF(AND(SUM(V1174,V1530)=0,SUM(COUNTIF(V1174,"NS"),COUNTIF(V1530,"NS"))&gt;0),"NS",IF(AND(SUM(V1174,V1530)=0,SUM(COUNTIF(V1174,0),COUNTIF(V1530,0))&gt;0),0,IF(AND(SUM(V1174,V1530)=0,SUM(COUNTIF(V1174,"NA"),COUNTIF(V1530,"NA"))&gt;0),"NA",SUM(V1174,V1530))))))</f>
        <v/>
      </c>
      <c r="W1703" s="124" t="str">
        <f t="shared" si="1044"/>
        <v/>
      </c>
      <c r="X1703" s="124" t="str">
        <f t="shared" si="1044"/>
        <v/>
      </c>
      <c r="Y1703" s="124" t="str">
        <f t="shared" si="1044"/>
        <v/>
      </c>
      <c r="Z1703" s="124" t="str">
        <f t="shared" si="1044"/>
        <v/>
      </c>
      <c r="AA1703" s="124" t="str">
        <f t="shared" si="1044"/>
        <v/>
      </c>
      <c r="AB1703" s="124" t="str">
        <f t="shared" si="1044"/>
        <v/>
      </c>
      <c r="AC1703" s="124" t="str">
        <f t="shared" si="1044"/>
        <v/>
      </c>
      <c r="AD1703" s="124" t="str">
        <f t="shared" si="1044"/>
        <v/>
      </c>
    </row>
    <row r="1704" spans="1:72" ht="15" customHeight="1">
      <c r="A1704" s="50"/>
      <c r="B1704" s="38"/>
      <c r="C1704" s="1119" t="s">
        <v>4950</v>
      </c>
      <c r="D1704" s="1121"/>
      <c r="E1704" s="1121"/>
      <c r="F1704" s="1120"/>
      <c r="G1704" s="174"/>
      <c r="H1704" s="1122" t="s">
        <v>4951</v>
      </c>
      <c r="I1704" s="1122"/>
      <c r="J1704" s="1122"/>
      <c r="K1704" s="1122"/>
      <c r="L1704" s="1122"/>
      <c r="M1704" s="1122"/>
      <c r="N1704" s="1122"/>
      <c r="O1704" s="1122"/>
      <c r="P1704" s="1122"/>
      <c r="Q1704" s="1122"/>
      <c r="R1704" s="1122"/>
      <c r="S1704" s="1122"/>
      <c r="T1704" s="1122"/>
      <c r="U1704" s="1123"/>
      <c r="V1704" s="124" t="str">
        <f t="shared" ref="V1704:AD1704" si="1045">IF(AND(V1175="",V1531=""),"",IF($P$1658="NA","",IF(AND(SUM(V1175,V1531)=0,SUM(COUNTIF(V1175,"NS"),COUNTIF(V1531,"NS"))&gt;0),"NS",IF(AND(SUM(V1175,V1531)=0,SUM(COUNTIF(V1175,0),COUNTIF(V1531,0))&gt;0),0,IF(AND(SUM(V1175,V1531)=0,SUM(COUNTIF(V1175,"NA"),COUNTIF(V1531,"NA"))&gt;0),"NA",SUM(V1175,V1531))))))</f>
        <v/>
      </c>
      <c r="W1704" s="124" t="str">
        <f t="shared" si="1045"/>
        <v/>
      </c>
      <c r="X1704" s="124" t="str">
        <f t="shared" si="1045"/>
        <v/>
      </c>
      <c r="Y1704" s="124" t="str">
        <f t="shared" si="1045"/>
        <v/>
      </c>
      <c r="Z1704" s="124" t="str">
        <f t="shared" si="1045"/>
        <v/>
      </c>
      <c r="AA1704" s="124" t="str">
        <f t="shared" si="1045"/>
        <v/>
      </c>
      <c r="AB1704" s="124" t="str">
        <f t="shared" si="1045"/>
        <v/>
      </c>
      <c r="AC1704" s="124" t="str">
        <f t="shared" si="1045"/>
        <v/>
      </c>
      <c r="AD1704" s="124" t="str">
        <f t="shared" si="1045"/>
        <v/>
      </c>
    </row>
    <row r="1705" spans="1:72" ht="15" customHeight="1">
      <c r="A1705" s="50"/>
      <c r="B1705" s="38"/>
      <c r="C1705" s="1119" t="s">
        <v>4952</v>
      </c>
      <c r="D1705" s="1121"/>
      <c r="E1705" s="1121"/>
      <c r="F1705" s="1120"/>
      <c r="G1705" s="174"/>
      <c r="H1705" s="1122" t="s">
        <v>4953</v>
      </c>
      <c r="I1705" s="1122"/>
      <c r="J1705" s="1122"/>
      <c r="K1705" s="1122"/>
      <c r="L1705" s="1122"/>
      <c r="M1705" s="1122"/>
      <c r="N1705" s="1122"/>
      <c r="O1705" s="1122"/>
      <c r="P1705" s="1122"/>
      <c r="Q1705" s="1122"/>
      <c r="R1705" s="1122"/>
      <c r="S1705" s="1122"/>
      <c r="T1705" s="1122"/>
      <c r="U1705" s="1123"/>
      <c r="V1705" s="124" t="str">
        <f t="shared" ref="V1705:AD1705" si="1046">IF(AND(V1176="",V1532=""),"",IF($P$1659="NA","",IF(AND(SUM(V1176,V1532)=0,SUM(COUNTIF(V1176,"NS"),COUNTIF(V1532,"NS"))&gt;0),"NS",IF(AND(SUM(V1176,V1532)=0,SUM(COUNTIF(V1176,0),COUNTIF(V1532,0))&gt;0),0,IF(AND(SUM(V1176,V1532)=0,SUM(COUNTIF(V1176,"NA"),COUNTIF(V1532,"NA"))&gt;0),"NA",SUM(V1176,V1532))))))</f>
        <v/>
      </c>
      <c r="W1705" s="124" t="str">
        <f t="shared" si="1046"/>
        <v/>
      </c>
      <c r="X1705" s="124" t="str">
        <f t="shared" si="1046"/>
        <v/>
      </c>
      <c r="Y1705" s="124" t="str">
        <f t="shared" si="1046"/>
        <v/>
      </c>
      <c r="Z1705" s="124" t="str">
        <f t="shared" si="1046"/>
        <v/>
      </c>
      <c r="AA1705" s="124" t="str">
        <f t="shared" si="1046"/>
        <v/>
      </c>
      <c r="AB1705" s="124" t="str">
        <f t="shared" si="1046"/>
        <v/>
      </c>
      <c r="AC1705" s="124" t="str">
        <f t="shared" si="1046"/>
        <v/>
      </c>
      <c r="AD1705" s="124" t="str">
        <f t="shared" si="1046"/>
        <v/>
      </c>
    </row>
    <row r="1706" spans="1:72" ht="15" customHeight="1">
      <c r="A1706" s="50"/>
      <c r="B1706" s="38"/>
      <c r="C1706" s="1119" t="s">
        <v>4954</v>
      </c>
      <c r="D1706" s="1121"/>
      <c r="E1706" s="1121"/>
      <c r="F1706" s="1120"/>
      <c r="G1706" s="174"/>
      <c r="H1706" s="1124" t="s">
        <v>201</v>
      </c>
      <c r="I1706" s="1124"/>
      <c r="J1706" s="1124"/>
      <c r="K1706" s="1124"/>
      <c r="L1706" s="1124"/>
      <c r="M1706" s="1124"/>
      <c r="N1706" s="1124"/>
      <c r="O1706" s="1124"/>
      <c r="P1706" s="1124"/>
      <c r="Q1706" s="1124"/>
      <c r="R1706" s="1124"/>
      <c r="S1706" s="1124"/>
      <c r="T1706" s="1124"/>
      <c r="U1706" s="1125"/>
      <c r="V1706" s="124" t="str">
        <f t="shared" ref="V1706:AD1706" si="1047">IF(AND(V1177="",V1533=""),"",IF($P$1660="NA","",IF(AND(SUM(V1177,V1533)=0,SUM(COUNTIF(V1177,"NS"),COUNTIF(V1533,"NS"))&gt;0),"NS",IF(AND(SUM(V1177,V1533)=0,SUM(COUNTIF(V1177,0),COUNTIF(V1533,0))&gt;0),0,IF(AND(SUM(V1177,V1533)=0,SUM(COUNTIF(V1177,"NA"),COUNTIF(V1533,"NA"))&gt;0),"NA",SUM(V1177,V1533))))))</f>
        <v/>
      </c>
      <c r="W1706" s="124" t="str">
        <f t="shared" si="1047"/>
        <v/>
      </c>
      <c r="X1706" s="124" t="str">
        <f t="shared" si="1047"/>
        <v/>
      </c>
      <c r="Y1706" s="124" t="str">
        <f t="shared" si="1047"/>
        <v/>
      </c>
      <c r="Z1706" s="124" t="str">
        <f t="shared" si="1047"/>
        <v/>
      </c>
      <c r="AA1706" s="124" t="str">
        <f t="shared" si="1047"/>
        <v/>
      </c>
      <c r="AB1706" s="124" t="str">
        <f t="shared" si="1047"/>
        <v/>
      </c>
      <c r="AC1706" s="124" t="str">
        <f t="shared" si="1047"/>
        <v/>
      </c>
      <c r="AD1706" s="124" t="str">
        <f t="shared" si="1047"/>
        <v/>
      </c>
    </row>
    <row r="1707" spans="1:72" ht="24" customHeight="1">
      <c r="A1707" s="50"/>
      <c r="B1707" s="38"/>
      <c r="C1707" s="733" t="s">
        <v>4965</v>
      </c>
      <c r="D1707" s="734"/>
      <c r="E1707" s="734"/>
      <c r="F1707" s="735"/>
      <c r="G1707" s="813" t="s">
        <v>4966</v>
      </c>
      <c r="H1707" s="814"/>
      <c r="I1707" s="814"/>
      <c r="J1707" s="814"/>
      <c r="K1707" s="814"/>
      <c r="L1707" s="814"/>
      <c r="M1707" s="814"/>
      <c r="N1707" s="814"/>
      <c r="O1707" s="814"/>
      <c r="P1707" s="814"/>
      <c r="Q1707" s="814"/>
      <c r="R1707" s="814"/>
      <c r="S1707" s="814"/>
      <c r="T1707" s="814"/>
      <c r="U1707" s="815"/>
      <c r="V1707" s="124" t="str">
        <f t="shared" ref="V1707:AD1707" si="1048">IF(AND(V1182="",V1538=""),"",IF($P$1661="NA","",IF(AND(SUM(V1182,V1538)=0,SUM(COUNTIF(V1182,"NS"),COUNTIF(V1538,"NS"))&gt;0),"NS",IF(AND(SUM(V1182,V1538)=0,SUM(COUNTIF(V1182,0),COUNTIF(V1538,0))&gt;0),0,IF(AND(SUM(V1182,V1538)=0,SUM(COUNTIF(V1182,"NA"),COUNTIF(V1538,"NA"))&gt;0),"NA",SUM(V1182,V1538))))))</f>
        <v/>
      </c>
      <c r="W1707" s="124" t="str">
        <f t="shared" si="1048"/>
        <v/>
      </c>
      <c r="X1707" s="124" t="str">
        <f t="shared" si="1048"/>
        <v/>
      </c>
      <c r="Y1707" s="124" t="str">
        <f t="shared" si="1048"/>
        <v/>
      </c>
      <c r="Z1707" s="124" t="str">
        <f t="shared" si="1048"/>
        <v/>
      </c>
      <c r="AA1707" s="124" t="str">
        <f t="shared" si="1048"/>
        <v/>
      </c>
      <c r="AB1707" s="124" t="str">
        <f t="shared" si="1048"/>
        <v/>
      </c>
      <c r="AC1707" s="124" t="str">
        <f t="shared" si="1048"/>
        <v/>
      </c>
      <c r="AD1707" s="124" t="str">
        <f t="shared" si="1048"/>
        <v/>
      </c>
    </row>
    <row r="1708" spans="1:72" ht="15" customHeight="1">
      <c r="A1708" s="50"/>
      <c r="B1708" s="38"/>
      <c r="C1708" s="1119" t="s">
        <v>4967</v>
      </c>
      <c r="D1708" s="1121"/>
      <c r="E1708" s="1121"/>
      <c r="F1708" s="1120"/>
      <c r="G1708" s="174"/>
      <c r="H1708" s="1126" t="s">
        <v>4968</v>
      </c>
      <c r="I1708" s="1126"/>
      <c r="J1708" s="1126"/>
      <c r="K1708" s="1126"/>
      <c r="L1708" s="1126"/>
      <c r="M1708" s="1126"/>
      <c r="N1708" s="1126"/>
      <c r="O1708" s="1126"/>
      <c r="P1708" s="1126"/>
      <c r="Q1708" s="1126"/>
      <c r="R1708" s="1126"/>
      <c r="S1708" s="1126"/>
      <c r="T1708" s="1126"/>
      <c r="U1708" s="1127"/>
      <c r="V1708" s="124" t="str">
        <f t="shared" ref="V1708:AD1708" si="1049">IF(AND(V1183="",V1539=""),"",IF($P$1662="NA","",IF(AND(SUM(V1183,V1539)=0,SUM(COUNTIF(V1183,"NS"),COUNTIF(V1539,"NS"))&gt;0),"NS",IF(AND(SUM(V1183,V1539)=0,SUM(COUNTIF(V1183,0),COUNTIF(V1539,0))&gt;0),0,IF(AND(SUM(V1183,V1539)=0,SUM(COUNTIF(V1183,"NA"),COUNTIF(V1539,"NA"))&gt;0),"NA",SUM(V1183,V1539))))))</f>
        <v/>
      </c>
      <c r="W1708" s="124" t="str">
        <f t="shared" si="1049"/>
        <v/>
      </c>
      <c r="X1708" s="124" t="str">
        <f t="shared" si="1049"/>
        <v/>
      </c>
      <c r="Y1708" s="124" t="str">
        <f t="shared" si="1049"/>
        <v/>
      </c>
      <c r="Z1708" s="124" t="str">
        <f t="shared" si="1049"/>
        <v/>
      </c>
      <c r="AA1708" s="124" t="str">
        <f t="shared" si="1049"/>
        <v/>
      </c>
      <c r="AB1708" s="124" t="str">
        <f t="shared" si="1049"/>
        <v/>
      </c>
      <c r="AC1708" s="124" t="str">
        <f t="shared" si="1049"/>
        <v/>
      </c>
      <c r="AD1708" s="124" t="str">
        <f t="shared" si="1049"/>
        <v/>
      </c>
    </row>
    <row r="1709" spans="1:72" ht="15" customHeight="1">
      <c r="A1709" s="50"/>
      <c r="B1709" s="38"/>
      <c r="C1709" s="1119" t="s">
        <v>4969</v>
      </c>
      <c r="D1709" s="1121"/>
      <c r="E1709" s="1121"/>
      <c r="F1709" s="1120"/>
      <c r="G1709" s="174"/>
      <c r="H1709" s="1122" t="s">
        <v>4970</v>
      </c>
      <c r="I1709" s="1122"/>
      <c r="J1709" s="1122"/>
      <c r="K1709" s="1122"/>
      <c r="L1709" s="1122"/>
      <c r="M1709" s="1122"/>
      <c r="N1709" s="1122"/>
      <c r="O1709" s="1122"/>
      <c r="P1709" s="1122"/>
      <c r="Q1709" s="1122"/>
      <c r="R1709" s="1122"/>
      <c r="S1709" s="1122"/>
      <c r="T1709" s="1122"/>
      <c r="U1709" s="1123"/>
      <c r="V1709" s="124" t="str">
        <f t="shared" ref="V1709:AD1709" si="1050">IF(AND(V1184="",V1540=""),"",IF($P$1663="NA","",IF(AND(SUM(V1184,V1540)=0,SUM(COUNTIF(V1184,"NS"),COUNTIF(V1540,"NS"))&gt;0),"NS",IF(AND(SUM(V1184,V1540)=0,SUM(COUNTIF(V1184,0),COUNTIF(V1540,0))&gt;0),0,IF(AND(SUM(V1184,V1540)=0,SUM(COUNTIF(V1184,"NA"),COUNTIF(V1540,"NA"))&gt;0),"NA",SUM(V1184,V1540))))))</f>
        <v/>
      </c>
      <c r="W1709" s="124" t="str">
        <f t="shared" si="1050"/>
        <v/>
      </c>
      <c r="X1709" s="124" t="str">
        <f t="shared" si="1050"/>
        <v/>
      </c>
      <c r="Y1709" s="124" t="str">
        <f t="shared" si="1050"/>
        <v/>
      </c>
      <c r="Z1709" s="124" t="str">
        <f t="shared" si="1050"/>
        <v/>
      </c>
      <c r="AA1709" s="124" t="str">
        <f t="shared" si="1050"/>
        <v/>
      </c>
      <c r="AB1709" s="124" t="str">
        <f t="shared" si="1050"/>
        <v/>
      </c>
      <c r="AC1709" s="124" t="str">
        <f t="shared" si="1050"/>
        <v/>
      </c>
      <c r="AD1709" s="124" t="str">
        <f t="shared" si="1050"/>
        <v/>
      </c>
    </row>
    <row r="1710" spans="1:72" ht="15" customHeight="1">
      <c r="A1710" s="50"/>
      <c r="B1710" s="38"/>
      <c r="C1710" s="1119" t="s">
        <v>4971</v>
      </c>
      <c r="D1710" s="1121"/>
      <c r="E1710" s="1121"/>
      <c r="F1710" s="1120"/>
      <c r="G1710" s="174"/>
      <c r="H1710" s="1122" t="s">
        <v>4987</v>
      </c>
      <c r="I1710" s="1122"/>
      <c r="J1710" s="1122"/>
      <c r="K1710" s="1122"/>
      <c r="L1710" s="1122"/>
      <c r="M1710" s="1122"/>
      <c r="N1710" s="1122"/>
      <c r="O1710" s="1122"/>
      <c r="P1710" s="1122"/>
      <c r="Q1710" s="1122"/>
      <c r="R1710" s="1122"/>
      <c r="S1710" s="1122"/>
      <c r="T1710" s="1122"/>
      <c r="U1710" s="1123"/>
      <c r="V1710" s="124" t="str">
        <f t="shared" ref="V1710:AD1710" si="1051">IF(AND(V1185="",V1541=""),"",IF($P$1664="NA","",IF(AND(SUM(V1185,V1541)=0,SUM(COUNTIF(V1185,"NS"),COUNTIF(V1541,"NS"))&gt;0),"NS",IF(AND(SUM(V1185,V1541)=0,SUM(COUNTIF(V1185,0),COUNTIF(V1541,0))&gt;0),0,IF(AND(SUM(V1185,V1541)=0,SUM(COUNTIF(V1185,"NA"),COUNTIF(V1541,"NA"))&gt;0),"NA",SUM(V1185,V1541))))))</f>
        <v/>
      </c>
      <c r="W1710" s="124" t="str">
        <f t="shared" si="1051"/>
        <v/>
      </c>
      <c r="X1710" s="124" t="str">
        <f t="shared" si="1051"/>
        <v/>
      </c>
      <c r="Y1710" s="124" t="str">
        <f t="shared" si="1051"/>
        <v/>
      </c>
      <c r="Z1710" s="124" t="str">
        <f t="shared" si="1051"/>
        <v/>
      </c>
      <c r="AA1710" s="124" t="str">
        <f t="shared" si="1051"/>
        <v/>
      </c>
      <c r="AB1710" s="124" t="str">
        <f t="shared" si="1051"/>
        <v/>
      </c>
      <c r="AC1710" s="124" t="str">
        <f t="shared" si="1051"/>
        <v/>
      </c>
      <c r="AD1710" s="124" t="str">
        <f t="shared" si="1051"/>
        <v/>
      </c>
    </row>
    <row r="1711" spans="1:72" ht="15" customHeight="1">
      <c r="A1711" s="50"/>
      <c r="B1711" s="38"/>
      <c r="C1711" s="1119" t="s">
        <v>4973</v>
      </c>
      <c r="D1711" s="1121"/>
      <c r="E1711" s="1121"/>
      <c r="F1711" s="1120"/>
      <c r="G1711" s="174"/>
      <c r="H1711" s="1122" t="s">
        <v>4974</v>
      </c>
      <c r="I1711" s="1122"/>
      <c r="J1711" s="1122"/>
      <c r="K1711" s="1122"/>
      <c r="L1711" s="1122"/>
      <c r="M1711" s="1122"/>
      <c r="N1711" s="1122"/>
      <c r="O1711" s="1122"/>
      <c r="P1711" s="1122"/>
      <c r="Q1711" s="1122"/>
      <c r="R1711" s="1122"/>
      <c r="S1711" s="1122"/>
      <c r="T1711" s="1122"/>
      <c r="U1711" s="1123"/>
      <c r="V1711" s="124" t="str">
        <f t="shared" ref="V1711:AD1711" si="1052">IF(AND(V1186="",V1542=""),"",IF($P$1665="NA","",IF(AND(SUM(V1186,V1542)=0,SUM(COUNTIF(V1186,"NS"),COUNTIF(V1542,"NS"))&gt;0),"NS",IF(AND(SUM(V1186,V1542)=0,SUM(COUNTIF(V1186,0),COUNTIF(V1542,0))&gt;0),0,IF(AND(SUM(V1186,V1542)=0,SUM(COUNTIF(V1186,"NA"),COUNTIF(V1542,"NA"))&gt;0),"NA",SUM(V1186,V1542))))))</f>
        <v/>
      </c>
      <c r="W1711" s="124" t="str">
        <f t="shared" si="1052"/>
        <v/>
      </c>
      <c r="X1711" s="124" t="str">
        <f t="shared" si="1052"/>
        <v/>
      </c>
      <c r="Y1711" s="124" t="str">
        <f t="shared" si="1052"/>
        <v/>
      </c>
      <c r="Z1711" s="124" t="str">
        <f t="shared" si="1052"/>
        <v/>
      </c>
      <c r="AA1711" s="124" t="str">
        <f t="shared" si="1052"/>
        <v/>
      </c>
      <c r="AB1711" s="124" t="str">
        <f t="shared" si="1052"/>
        <v/>
      </c>
      <c r="AC1711" s="124" t="str">
        <f t="shared" si="1052"/>
        <v/>
      </c>
      <c r="AD1711" s="124" t="str">
        <f t="shared" si="1052"/>
        <v/>
      </c>
    </row>
    <row r="1712" spans="1:72" ht="24" customHeight="1">
      <c r="A1712" s="50"/>
      <c r="B1712" s="38"/>
      <c r="C1712" s="1119" t="s">
        <v>4975</v>
      </c>
      <c r="D1712" s="1121"/>
      <c r="E1712" s="1121"/>
      <c r="F1712" s="1120"/>
      <c r="G1712" s="174"/>
      <c r="H1712" s="1122" t="s">
        <v>4976</v>
      </c>
      <c r="I1712" s="1122"/>
      <c r="J1712" s="1122"/>
      <c r="K1712" s="1122"/>
      <c r="L1712" s="1122"/>
      <c r="M1712" s="1122"/>
      <c r="N1712" s="1122"/>
      <c r="O1712" s="1122"/>
      <c r="P1712" s="1122"/>
      <c r="Q1712" s="1122"/>
      <c r="R1712" s="1122"/>
      <c r="S1712" s="1122"/>
      <c r="T1712" s="1122"/>
      <c r="U1712" s="1123"/>
      <c r="V1712" s="124" t="str">
        <f t="shared" ref="V1712:AD1712" si="1053">IF(AND(V1187="",V1543=""),"",IF($P$1666="NA","",IF(AND(SUM(V1187,V1543)=0,SUM(COUNTIF(V1187,"NS"),COUNTIF(V1543,"NS"))&gt;0),"NS",IF(AND(SUM(V1187,V1543)=0,SUM(COUNTIF(V1187,0),COUNTIF(V1543,0))&gt;0),0,IF(AND(SUM(V1187,V1543)=0,SUM(COUNTIF(V1187,"NA"),COUNTIF(V1543,"NA"))&gt;0),"NA",SUM(V1187,V1543))))))</f>
        <v/>
      </c>
      <c r="W1712" s="124" t="str">
        <f t="shared" si="1053"/>
        <v/>
      </c>
      <c r="X1712" s="124" t="str">
        <f t="shared" si="1053"/>
        <v/>
      </c>
      <c r="Y1712" s="124" t="str">
        <f t="shared" si="1053"/>
        <v/>
      </c>
      <c r="Z1712" s="124" t="str">
        <f t="shared" si="1053"/>
        <v/>
      </c>
      <c r="AA1712" s="124" t="str">
        <f t="shared" si="1053"/>
        <v/>
      </c>
      <c r="AB1712" s="124" t="str">
        <f t="shared" si="1053"/>
        <v/>
      </c>
      <c r="AC1712" s="124" t="str">
        <f t="shared" si="1053"/>
        <v/>
      </c>
      <c r="AD1712" s="124" t="str">
        <f t="shared" si="1053"/>
        <v/>
      </c>
    </row>
    <row r="1713" spans="1:31" ht="15" customHeight="1">
      <c r="A1713" s="50"/>
      <c r="B1713" s="38"/>
      <c r="C1713" s="1119" t="s">
        <v>4977</v>
      </c>
      <c r="D1713" s="1121"/>
      <c r="E1713" s="1121"/>
      <c r="F1713" s="1120"/>
      <c r="G1713" s="174"/>
      <c r="H1713" s="1124" t="s">
        <v>201</v>
      </c>
      <c r="I1713" s="1124"/>
      <c r="J1713" s="1124"/>
      <c r="K1713" s="1124"/>
      <c r="L1713" s="1124"/>
      <c r="M1713" s="1124"/>
      <c r="N1713" s="1124"/>
      <c r="O1713" s="1124"/>
      <c r="P1713" s="1124"/>
      <c r="Q1713" s="1124"/>
      <c r="R1713" s="1124"/>
      <c r="S1713" s="1124"/>
      <c r="T1713" s="1124"/>
      <c r="U1713" s="1125"/>
      <c r="V1713" s="124" t="str">
        <f t="shared" ref="V1713:AD1713" si="1054">IF(AND(V1188="",V1544=""),"",IF($P$1667="NA","",IF(AND(SUM(V1188,V1544)=0,SUM(COUNTIF(V1188,"NS"),COUNTIF(V1544,"NS"))&gt;0),"NS",IF(AND(SUM(V1188,V1544)=0,SUM(COUNTIF(V1188,0),COUNTIF(V1544,0))&gt;0),0,IF(AND(SUM(V1188,V1544)=0,SUM(COUNTIF(V1188,"NA"),COUNTIF(V1544,"NA"))&gt;0),"NA",SUM(V1188,V1544))))))</f>
        <v/>
      </c>
      <c r="W1713" s="124" t="str">
        <f t="shared" si="1054"/>
        <v/>
      </c>
      <c r="X1713" s="124" t="str">
        <f t="shared" si="1054"/>
        <v/>
      </c>
      <c r="Y1713" s="124" t="str">
        <f t="shared" si="1054"/>
        <v/>
      </c>
      <c r="Z1713" s="124" t="str">
        <f t="shared" si="1054"/>
        <v/>
      </c>
      <c r="AA1713" s="124" t="str">
        <f t="shared" si="1054"/>
        <v/>
      </c>
      <c r="AB1713" s="124" t="str">
        <f t="shared" si="1054"/>
        <v/>
      </c>
      <c r="AC1713" s="124" t="str">
        <f t="shared" si="1054"/>
        <v/>
      </c>
      <c r="AD1713" s="124" t="str">
        <f t="shared" si="1054"/>
        <v/>
      </c>
    </row>
    <row r="1714" spans="1:31" ht="15" customHeight="1">
      <c r="A1714" s="50"/>
      <c r="B1714" s="38"/>
      <c r="C1714" s="733" t="s">
        <v>4978</v>
      </c>
      <c r="D1714" s="734"/>
      <c r="E1714" s="734"/>
      <c r="F1714" s="735"/>
      <c r="G1714" s="813" t="s">
        <v>4979</v>
      </c>
      <c r="H1714" s="814"/>
      <c r="I1714" s="814"/>
      <c r="J1714" s="814"/>
      <c r="K1714" s="814"/>
      <c r="L1714" s="814"/>
      <c r="M1714" s="814"/>
      <c r="N1714" s="814"/>
      <c r="O1714" s="814"/>
      <c r="P1714" s="814"/>
      <c r="Q1714" s="814"/>
      <c r="R1714" s="814"/>
      <c r="S1714" s="814"/>
      <c r="T1714" s="814"/>
      <c r="U1714" s="815"/>
      <c r="V1714" s="124" t="str">
        <f t="shared" ref="V1714:AD1714" si="1055">IF(AND(V1189="",V1545=""),"",IF($P$1668="NA","",IF(AND(SUM(V1189,V1545)=0,SUM(COUNTIF(V1189,"NS"),COUNTIF(V1545,"NS"))&gt;0),"NS",IF(AND(SUM(V1189,V1545)=0,SUM(COUNTIF(V1189,0),COUNTIF(V1545,0))&gt;0),0,IF(AND(SUM(V1189,V1545)=0,SUM(COUNTIF(V1189,"NA"),COUNTIF(V1545,"NA"))&gt;0),"NA",SUM(V1189,V1545))))))</f>
        <v/>
      </c>
      <c r="W1714" s="124" t="str">
        <f t="shared" si="1055"/>
        <v/>
      </c>
      <c r="X1714" s="124" t="str">
        <f t="shared" si="1055"/>
        <v/>
      </c>
      <c r="Y1714" s="124" t="str">
        <f t="shared" si="1055"/>
        <v/>
      </c>
      <c r="Z1714" s="124" t="str">
        <f t="shared" si="1055"/>
        <v/>
      </c>
      <c r="AA1714" s="124" t="str">
        <f t="shared" si="1055"/>
        <v/>
      </c>
      <c r="AB1714" s="124" t="str">
        <f t="shared" si="1055"/>
        <v/>
      </c>
      <c r="AC1714" s="124" t="str">
        <f t="shared" si="1055"/>
        <v/>
      </c>
      <c r="AD1714" s="124" t="str">
        <f t="shared" si="1055"/>
        <v/>
      </c>
    </row>
    <row r="1715" spans="1:31" ht="15" customHeight="1">
      <c r="A1715" s="50"/>
      <c r="B1715" s="38"/>
      <c r="C1715" s="1119" t="s">
        <v>4980</v>
      </c>
      <c r="D1715" s="1121"/>
      <c r="E1715" s="1121"/>
      <c r="F1715" s="1120"/>
      <c r="G1715" s="174"/>
      <c r="H1715" s="1115" t="s">
        <v>4981</v>
      </c>
      <c r="I1715" s="1115"/>
      <c r="J1715" s="1115"/>
      <c r="K1715" s="1115"/>
      <c r="L1715" s="1115"/>
      <c r="M1715" s="1115"/>
      <c r="N1715" s="1115"/>
      <c r="O1715" s="1115"/>
      <c r="P1715" s="1115"/>
      <c r="Q1715" s="1115"/>
      <c r="R1715" s="1115"/>
      <c r="S1715" s="1115"/>
      <c r="T1715" s="1115"/>
      <c r="U1715" s="1116"/>
      <c r="V1715" s="124" t="str">
        <f t="shared" ref="V1715:AD1715" si="1056">IF(AND(V1190="",V1546=""),"",IF($P$1669="NA","",IF(AND(SUM(V1190,V1546)=0,SUM(COUNTIF(V1190,"NS"),COUNTIF(V1546,"NS"))&gt;0),"NS",IF(AND(SUM(V1190,V1546)=0,SUM(COUNTIF(V1190,0),COUNTIF(V1546,0))&gt;0),0,IF(AND(SUM(V1190,V1546)=0,SUM(COUNTIF(V1190,"NA"),COUNTIF(V1546,"NA"))&gt;0),"NA",SUM(V1190,V1546))))))</f>
        <v/>
      </c>
      <c r="W1715" s="124" t="str">
        <f t="shared" si="1056"/>
        <v/>
      </c>
      <c r="X1715" s="124" t="str">
        <f t="shared" si="1056"/>
        <v/>
      </c>
      <c r="Y1715" s="124" t="str">
        <f t="shared" si="1056"/>
        <v/>
      </c>
      <c r="Z1715" s="124" t="str">
        <f t="shared" si="1056"/>
        <v/>
      </c>
      <c r="AA1715" s="124" t="str">
        <f t="shared" si="1056"/>
        <v/>
      </c>
      <c r="AB1715" s="124" t="str">
        <f t="shared" si="1056"/>
        <v/>
      </c>
      <c r="AC1715" s="124" t="str">
        <f t="shared" si="1056"/>
        <v/>
      </c>
      <c r="AD1715" s="124" t="str">
        <f t="shared" si="1056"/>
        <v/>
      </c>
    </row>
    <row r="1716" spans="1:31" ht="15" customHeight="1">
      <c r="A1716" s="50"/>
      <c r="B1716" s="38"/>
      <c r="C1716" s="1119" t="s">
        <v>4982</v>
      </c>
      <c r="D1716" s="1121"/>
      <c r="E1716" s="1121"/>
      <c r="F1716" s="1120"/>
      <c r="G1716" s="174"/>
      <c r="H1716" s="1111" t="s">
        <v>4983</v>
      </c>
      <c r="I1716" s="1111"/>
      <c r="J1716" s="1111"/>
      <c r="K1716" s="1111"/>
      <c r="L1716" s="1111"/>
      <c r="M1716" s="1111"/>
      <c r="N1716" s="1111"/>
      <c r="O1716" s="1111"/>
      <c r="P1716" s="1111"/>
      <c r="Q1716" s="1111"/>
      <c r="R1716" s="1111"/>
      <c r="S1716" s="1111"/>
      <c r="T1716" s="1111"/>
      <c r="U1716" s="1112"/>
      <c r="V1716" s="124" t="str">
        <f t="shared" ref="V1716:AD1716" si="1057">IF(AND(V1191="",V1547=""),"",IF($P$1670="NA","",IF(AND(SUM(V1191,V1547)=0,SUM(COUNTIF(V1191,"NS"),COUNTIF(V1547,"NS"))&gt;0),"NS",IF(AND(SUM(V1191,V1547)=0,SUM(COUNTIF(V1191,0),COUNTIF(V1547,0))&gt;0),0,IF(AND(SUM(V1191,V1547)=0,SUM(COUNTIF(V1191,"NA"),COUNTIF(V1547,"NA"))&gt;0),"NA",SUM(V1191,V1547))))))</f>
        <v/>
      </c>
      <c r="W1716" s="124" t="str">
        <f t="shared" si="1057"/>
        <v/>
      </c>
      <c r="X1716" s="124" t="str">
        <f t="shared" si="1057"/>
        <v/>
      </c>
      <c r="Y1716" s="124" t="str">
        <f t="shared" si="1057"/>
        <v/>
      </c>
      <c r="Z1716" s="124" t="str">
        <f t="shared" si="1057"/>
        <v/>
      </c>
      <c r="AA1716" s="124" t="str">
        <f t="shared" si="1057"/>
        <v/>
      </c>
      <c r="AB1716" s="124" t="str">
        <f t="shared" si="1057"/>
        <v/>
      </c>
      <c r="AC1716" s="124" t="str">
        <f t="shared" si="1057"/>
        <v/>
      </c>
      <c r="AD1716" s="124" t="str">
        <f t="shared" si="1057"/>
        <v/>
      </c>
    </row>
    <row r="1717" spans="1:31" ht="15" customHeight="1">
      <c r="A1717" s="50"/>
      <c r="B1717" s="38"/>
      <c r="C1717" s="1119" t="s">
        <v>4984</v>
      </c>
      <c r="D1717" s="1121"/>
      <c r="E1717" s="1121"/>
      <c r="F1717" s="1120"/>
      <c r="G1717" s="174"/>
      <c r="H1717" s="1111" t="s">
        <v>4985</v>
      </c>
      <c r="I1717" s="1111"/>
      <c r="J1717" s="1111"/>
      <c r="K1717" s="1111"/>
      <c r="L1717" s="1111"/>
      <c r="M1717" s="1111"/>
      <c r="N1717" s="1111"/>
      <c r="O1717" s="1111"/>
      <c r="P1717" s="1111"/>
      <c r="Q1717" s="1111"/>
      <c r="R1717" s="1111"/>
      <c r="S1717" s="1111"/>
      <c r="T1717" s="1111"/>
      <c r="U1717" s="1112"/>
      <c r="V1717" s="124" t="str">
        <f t="shared" ref="V1717:AD1717" si="1058">IF(AND(V1192="",V1548=""),"",IF($P$1671="NA","",IF(AND(SUM(V1192,V1548)=0,SUM(COUNTIF(V1192,"NS"),COUNTIF(V1548,"NS"))&gt;0),"NS",IF(AND(SUM(V1192,V1548)=0,SUM(COUNTIF(V1192,0),COUNTIF(V1548,0))&gt;0),0,IF(AND(SUM(V1192,V1548)=0,SUM(COUNTIF(V1192,"NA"),COUNTIF(V1548,"NA"))&gt;0),"NA",SUM(V1192,V1548))))))</f>
        <v/>
      </c>
      <c r="W1717" s="124" t="str">
        <f t="shared" si="1058"/>
        <v/>
      </c>
      <c r="X1717" s="124" t="str">
        <f t="shared" si="1058"/>
        <v/>
      </c>
      <c r="Y1717" s="124" t="str">
        <f t="shared" si="1058"/>
        <v/>
      </c>
      <c r="Z1717" s="124" t="str">
        <f t="shared" si="1058"/>
        <v/>
      </c>
      <c r="AA1717" s="124" t="str">
        <f t="shared" si="1058"/>
        <v/>
      </c>
      <c r="AB1717" s="124" t="str">
        <f t="shared" si="1058"/>
        <v/>
      </c>
      <c r="AC1717" s="124" t="str">
        <f t="shared" si="1058"/>
        <v/>
      </c>
      <c r="AD1717" s="124" t="str">
        <f t="shared" si="1058"/>
        <v/>
      </c>
    </row>
    <row r="1718" spans="1:31" ht="15" customHeight="1">
      <c r="A1718" s="50"/>
      <c r="B1718" s="38"/>
      <c r="C1718" s="1119" t="s">
        <v>4986</v>
      </c>
      <c r="D1718" s="1121"/>
      <c r="E1718" s="1121"/>
      <c r="F1718" s="1120"/>
      <c r="G1718" s="174"/>
      <c r="H1718" s="1111" t="s">
        <v>4987</v>
      </c>
      <c r="I1718" s="1111"/>
      <c r="J1718" s="1111"/>
      <c r="K1718" s="1111"/>
      <c r="L1718" s="1111"/>
      <c r="M1718" s="1111"/>
      <c r="N1718" s="1111"/>
      <c r="O1718" s="1111"/>
      <c r="P1718" s="1111"/>
      <c r="Q1718" s="1111"/>
      <c r="R1718" s="1111"/>
      <c r="S1718" s="1111"/>
      <c r="T1718" s="1111"/>
      <c r="U1718" s="1112"/>
      <c r="V1718" s="124" t="str">
        <f t="shared" ref="V1718:AD1718" si="1059">IF(AND(V1193="",V1549=""),"",IF($P$1672="NA","",IF(AND(SUM(V1193,V1549)=0,SUM(COUNTIF(V1193,"NS"),COUNTIF(V1549,"NS"))&gt;0),"NS",IF(AND(SUM(V1193,V1549)=0,SUM(COUNTIF(V1193,0),COUNTIF(V1549,0))&gt;0),0,IF(AND(SUM(V1193,V1549)=0,SUM(COUNTIF(V1193,"NA"),COUNTIF(V1549,"NA"))&gt;0),"NA",SUM(V1193,V1549))))))</f>
        <v/>
      </c>
      <c r="W1718" s="124" t="str">
        <f t="shared" si="1059"/>
        <v/>
      </c>
      <c r="X1718" s="124" t="str">
        <f t="shared" si="1059"/>
        <v/>
      </c>
      <c r="Y1718" s="124" t="str">
        <f t="shared" si="1059"/>
        <v/>
      </c>
      <c r="Z1718" s="124" t="str">
        <f t="shared" si="1059"/>
        <v/>
      </c>
      <c r="AA1718" s="124" t="str">
        <f t="shared" si="1059"/>
        <v/>
      </c>
      <c r="AB1718" s="124" t="str">
        <f t="shared" si="1059"/>
        <v/>
      </c>
      <c r="AC1718" s="124" t="str">
        <f t="shared" si="1059"/>
        <v/>
      </c>
      <c r="AD1718" s="124" t="str">
        <f t="shared" si="1059"/>
        <v/>
      </c>
    </row>
    <row r="1719" spans="1:31" ht="15" customHeight="1">
      <c r="A1719" s="50"/>
      <c r="B1719" s="38"/>
      <c r="C1719" s="1119" t="s">
        <v>4988</v>
      </c>
      <c r="D1719" s="1121"/>
      <c r="E1719" s="1121"/>
      <c r="F1719" s="1120"/>
      <c r="G1719" s="174"/>
      <c r="H1719" s="1111" t="s">
        <v>4989</v>
      </c>
      <c r="I1719" s="1111"/>
      <c r="J1719" s="1111"/>
      <c r="K1719" s="1111"/>
      <c r="L1719" s="1111"/>
      <c r="M1719" s="1111"/>
      <c r="N1719" s="1111"/>
      <c r="O1719" s="1111"/>
      <c r="P1719" s="1111"/>
      <c r="Q1719" s="1111"/>
      <c r="R1719" s="1111"/>
      <c r="S1719" s="1111"/>
      <c r="T1719" s="1111"/>
      <c r="U1719" s="1112"/>
      <c r="V1719" s="124" t="str">
        <f t="shared" ref="V1719:AD1719" si="1060">IF(AND(V1194="",V1550=""),"",IF($P$1673="NA","",IF(AND(SUM(V1194,V1550)=0,SUM(COUNTIF(V1194,"NS"),COUNTIF(V1550,"NS"))&gt;0),"NS",IF(AND(SUM(V1194,V1550)=0,SUM(COUNTIF(V1194,0),COUNTIF(V1550,0))&gt;0),0,IF(AND(SUM(V1194,V1550)=0,SUM(COUNTIF(V1194,"NA"),COUNTIF(V1550,"NA"))&gt;0),"NA",SUM(V1194,V1550))))))</f>
        <v/>
      </c>
      <c r="W1719" s="124" t="str">
        <f t="shared" si="1060"/>
        <v/>
      </c>
      <c r="X1719" s="124" t="str">
        <f t="shared" si="1060"/>
        <v/>
      </c>
      <c r="Y1719" s="124" t="str">
        <f t="shared" si="1060"/>
        <v/>
      </c>
      <c r="Z1719" s="124" t="str">
        <f t="shared" si="1060"/>
        <v/>
      </c>
      <c r="AA1719" s="124" t="str">
        <f t="shared" si="1060"/>
        <v/>
      </c>
      <c r="AB1719" s="124" t="str">
        <f t="shared" si="1060"/>
        <v/>
      </c>
      <c r="AC1719" s="124" t="str">
        <f t="shared" si="1060"/>
        <v/>
      </c>
      <c r="AD1719" s="124" t="str">
        <f t="shared" si="1060"/>
        <v/>
      </c>
    </row>
    <row r="1720" spans="1:31" ht="15" customHeight="1">
      <c r="A1720" s="50"/>
      <c r="B1720" s="38"/>
      <c r="C1720" s="1119" t="s">
        <v>4990</v>
      </c>
      <c r="D1720" s="1121"/>
      <c r="E1720" s="1121"/>
      <c r="F1720" s="1120"/>
      <c r="G1720" s="174"/>
      <c r="H1720" s="1111" t="s">
        <v>4991</v>
      </c>
      <c r="I1720" s="1111"/>
      <c r="J1720" s="1111"/>
      <c r="K1720" s="1111"/>
      <c r="L1720" s="1111"/>
      <c r="M1720" s="1111"/>
      <c r="N1720" s="1111"/>
      <c r="O1720" s="1111"/>
      <c r="P1720" s="1111"/>
      <c r="Q1720" s="1111"/>
      <c r="R1720" s="1111"/>
      <c r="S1720" s="1111"/>
      <c r="T1720" s="1111"/>
      <c r="U1720" s="1112"/>
      <c r="V1720" s="124" t="str">
        <f t="shared" ref="V1720:AD1720" si="1061">IF(AND(V1195="",V1551=""),"",IF($P$1674="NA","",IF(AND(SUM(V1195,V1551)=0,SUM(COUNTIF(V1195,"NS"),COUNTIF(V1551,"NS"))&gt;0),"NS",IF(AND(SUM(V1195,V1551)=0,SUM(COUNTIF(V1195,0),COUNTIF(V1551,0))&gt;0),0,IF(AND(SUM(V1195,V1551)=0,SUM(COUNTIF(V1195,"NA"),COUNTIF(V1551,"NA"))&gt;0),"NA",SUM(V1195,V1551))))))</f>
        <v/>
      </c>
      <c r="W1720" s="124" t="str">
        <f t="shared" si="1061"/>
        <v/>
      </c>
      <c r="X1720" s="124" t="str">
        <f t="shared" si="1061"/>
        <v/>
      </c>
      <c r="Y1720" s="124" t="str">
        <f t="shared" si="1061"/>
        <v/>
      </c>
      <c r="Z1720" s="124" t="str">
        <f t="shared" si="1061"/>
        <v/>
      </c>
      <c r="AA1720" s="124" t="str">
        <f t="shared" si="1061"/>
        <v/>
      </c>
      <c r="AB1720" s="124" t="str">
        <f t="shared" si="1061"/>
        <v/>
      </c>
      <c r="AC1720" s="124" t="str">
        <f t="shared" si="1061"/>
        <v/>
      </c>
      <c r="AD1720" s="124" t="str">
        <f t="shared" si="1061"/>
        <v/>
      </c>
    </row>
    <row r="1721" spans="1:31" ht="15" customHeight="1">
      <c r="A1721" s="50"/>
      <c r="B1721" s="38"/>
      <c r="C1721" s="1119" t="s">
        <v>4992</v>
      </c>
      <c r="D1721" s="1121"/>
      <c r="E1721" s="1121"/>
      <c r="F1721" s="1120"/>
      <c r="G1721" s="174"/>
      <c r="H1721" s="1111" t="s">
        <v>4993</v>
      </c>
      <c r="I1721" s="1111"/>
      <c r="J1721" s="1111"/>
      <c r="K1721" s="1111"/>
      <c r="L1721" s="1111"/>
      <c r="M1721" s="1111"/>
      <c r="N1721" s="1111"/>
      <c r="O1721" s="1111"/>
      <c r="P1721" s="1111"/>
      <c r="Q1721" s="1111"/>
      <c r="R1721" s="1111"/>
      <c r="S1721" s="1111"/>
      <c r="T1721" s="1111"/>
      <c r="U1721" s="1112"/>
      <c r="V1721" s="124" t="str">
        <f t="shared" ref="V1721:AD1721" si="1062">IF(AND(V1196="",V1552=""),"",IF($P$1675="NA","",IF(AND(SUM(V1196,V1552)=0,SUM(COUNTIF(V1196,"NS"),COUNTIF(V1552,"NS"))&gt;0),"NS",IF(AND(SUM(V1196,V1552)=0,SUM(COUNTIF(V1196,0),COUNTIF(V1552,0))&gt;0),0,IF(AND(SUM(V1196,V1552)=0,SUM(COUNTIF(V1196,"NA"),COUNTIF(V1552,"NA"))&gt;0),"NA",SUM(V1196,V1552))))))</f>
        <v/>
      </c>
      <c r="W1721" s="124" t="str">
        <f t="shared" si="1062"/>
        <v/>
      </c>
      <c r="X1721" s="124" t="str">
        <f t="shared" si="1062"/>
        <v/>
      </c>
      <c r="Y1721" s="124" t="str">
        <f t="shared" si="1062"/>
        <v/>
      </c>
      <c r="Z1721" s="124" t="str">
        <f t="shared" si="1062"/>
        <v/>
      </c>
      <c r="AA1721" s="124" t="str">
        <f t="shared" si="1062"/>
        <v/>
      </c>
      <c r="AB1721" s="124" t="str">
        <f t="shared" si="1062"/>
        <v/>
      </c>
      <c r="AC1721" s="124" t="str">
        <f t="shared" si="1062"/>
        <v/>
      </c>
      <c r="AD1721" s="124" t="str">
        <f t="shared" si="1062"/>
        <v/>
      </c>
    </row>
    <row r="1722" spans="1:31" ht="15" customHeight="1">
      <c r="A1722" s="50"/>
      <c r="B1722" s="38"/>
      <c r="C1722" s="1119" t="s">
        <v>4994</v>
      </c>
      <c r="D1722" s="1121"/>
      <c r="E1722" s="1121"/>
      <c r="F1722" s="1120"/>
      <c r="G1722" s="174"/>
      <c r="H1722" s="1113" t="s">
        <v>201</v>
      </c>
      <c r="I1722" s="1113"/>
      <c r="J1722" s="1113"/>
      <c r="K1722" s="1113"/>
      <c r="L1722" s="1113"/>
      <c r="M1722" s="1113"/>
      <c r="N1722" s="1113"/>
      <c r="O1722" s="1113"/>
      <c r="P1722" s="1113"/>
      <c r="Q1722" s="1113"/>
      <c r="R1722" s="1113"/>
      <c r="S1722" s="1113"/>
      <c r="T1722" s="1113"/>
      <c r="U1722" s="1114"/>
      <c r="V1722" s="124" t="str">
        <f t="shared" ref="V1722:AD1722" si="1063">IF(AND(V1197="",V1553=""),"",IF($P$1676="NA","",IF(AND(SUM(V1197,V1553)=0,SUM(COUNTIF(V1197,"NS"),COUNTIF(V1553,"NS"))&gt;0),"NS",IF(AND(SUM(V1197,V1553)=0,SUM(COUNTIF(V1197,0),COUNTIF(V1553,0))&gt;0),0,IF(AND(SUM(V1197,V1553)=0,SUM(COUNTIF(V1197,"NA"),COUNTIF(V1553,"NA"))&gt;0),"NA",SUM(V1197,V1553))))))</f>
        <v/>
      </c>
      <c r="W1722" s="124" t="str">
        <f t="shared" si="1063"/>
        <v/>
      </c>
      <c r="X1722" s="124" t="str">
        <f t="shared" si="1063"/>
        <v/>
      </c>
      <c r="Y1722" s="124" t="str">
        <f t="shared" si="1063"/>
        <v/>
      </c>
      <c r="Z1722" s="124" t="str">
        <f t="shared" si="1063"/>
        <v/>
      </c>
      <c r="AA1722" s="124" t="str">
        <f t="shared" si="1063"/>
        <v/>
      </c>
      <c r="AB1722" s="124" t="str">
        <f t="shared" si="1063"/>
        <v/>
      </c>
      <c r="AC1722" s="124" t="str">
        <f t="shared" si="1063"/>
        <v/>
      </c>
      <c r="AD1722" s="124" t="str">
        <f t="shared" si="1063"/>
        <v/>
      </c>
    </row>
    <row r="1723" spans="1:31" ht="15" customHeight="1">
      <c r="A1723" s="50"/>
      <c r="B1723" s="38"/>
      <c r="C1723" s="733" t="s">
        <v>5028</v>
      </c>
      <c r="D1723" s="734"/>
      <c r="E1723" s="734"/>
      <c r="F1723" s="735"/>
      <c r="G1723" s="796" t="s">
        <v>5029</v>
      </c>
      <c r="H1723" s="796"/>
      <c r="I1723" s="796"/>
      <c r="J1723" s="796"/>
      <c r="K1723" s="796"/>
      <c r="L1723" s="796"/>
      <c r="M1723" s="796"/>
      <c r="N1723" s="796"/>
      <c r="O1723" s="796"/>
      <c r="P1723" s="796"/>
      <c r="Q1723" s="796"/>
      <c r="R1723" s="796"/>
      <c r="S1723" s="796"/>
      <c r="T1723" s="796"/>
      <c r="U1723" s="796"/>
      <c r="V1723" s="124" t="str">
        <f t="shared" ref="V1723:AD1723" si="1064">IF(AND(V1214="",V1570=""),"",IF($P$1677="NA","",IF(AND(SUM(V1214,V1570)=0,SUM(COUNTIF(V1214,"NS"),COUNTIF(V1570,"NS"))&gt;0),"NS",IF(AND(SUM(V1214,V1570)=0,SUM(COUNTIF(V1214,0),COUNTIF(V1570,0))&gt;0),0,IF(AND(SUM(V1214,V1570)=0,SUM(COUNTIF(V1214,"NA"),COUNTIF(V1570,"NA"))&gt;0),"NA",SUM(V1214,V1570))))))</f>
        <v/>
      </c>
      <c r="W1723" s="124" t="str">
        <f t="shared" si="1064"/>
        <v/>
      </c>
      <c r="X1723" s="124" t="str">
        <f t="shared" si="1064"/>
        <v/>
      </c>
      <c r="Y1723" s="124" t="str">
        <f t="shared" si="1064"/>
        <v/>
      </c>
      <c r="Z1723" s="124" t="str">
        <f t="shared" si="1064"/>
        <v/>
      </c>
      <c r="AA1723" s="124" t="str">
        <f t="shared" si="1064"/>
        <v/>
      </c>
      <c r="AB1723" s="124" t="str">
        <f t="shared" si="1064"/>
        <v/>
      </c>
      <c r="AC1723" s="124" t="str">
        <f t="shared" si="1064"/>
        <v/>
      </c>
      <c r="AD1723" s="124" t="str">
        <f t="shared" si="1064"/>
        <v/>
      </c>
    </row>
    <row r="1724" spans="1:31" ht="15" customHeight="1">
      <c r="A1724" s="50"/>
      <c r="B1724" s="38"/>
      <c r="C1724" s="733" t="s">
        <v>5100</v>
      </c>
      <c r="D1724" s="734"/>
      <c r="E1724" s="734"/>
      <c r="F1724" s="735"/>
      <c r="G1724" s="813" t="s">
        <v>5141</v>
      </c>
      <c r="H1724" s="814"/>
      <c r="I1724" s="814"/>
      <c r="J1724" s="814"/>
      <c r="K1724" s="814"/>
      <c r="L1724" s="814"/>
      <c r="M1724" s="814"/>
      <c r="N1724" s="814"/>
      <c r="O1724" s="814"/>
      <c r="P1724" s="814"/>
      <c r="Q1724" s="814"/>
      <c r="R1724" s="814"/>
      <c r="S1724" s="814"/>
      <c r="T1724" s="814"/>
      <c r="U1724" s="815"/>
      <c r="V1724" s="124" t="str">
        <f t="shared" ref="V1724:AD1724" si="1065">IF(AND(V1251="",V1607=""),"",IF($P$1678="NA","",IF(AND(SUM(V1251,V1607)=0,SUM(COUNTIF(V1251,"NS"),COUNTIF(V1607,"NS"))&gt;0),"NS",IF(AND(SUM(V1251,V1607)=0,SUM(COUNTIF(V1251,0),COUNTIF(V1607,0))&gt;0),0,IF(AND(SUM(V1251,V1607)=0,SUM(COUNTIF(V1251,"NA"),COUNTIF(V1607,"NA"))&gt;0),"NA",SUM(V1251,V1607))))))</f>
        <v/>
      </c>
      <c r="W1724" s="124" t="str">
        <f t="shared" si="1065"/>
        <v/>
      </c>
      <c r="X1724" s="124" t="str">
        <f t="shared" si="1065"/>
        <v/>
      </c>
      <c r="Y1724" s="124" t="str">
        <f t="shared" si="1065"/>
        <v/>
      </c>
      <c r="Z1724" s="124" t="str">
        <f t="shared" si="1065"/>
        <v/>
      </c>
      <c r="AA1724" s="124" t="str">
        <f t="shared" si="1065"/>
        <v/>
      </c>
      <c r="AB1724" s="124" t="str">
        <f t="shared" si="1065"/>
        <v/>
      </c>
      <c r="AC1724" s="124" t="str">
        <f t="shared" si="1065"/>
        <v/>
      </c>
      <c r="AD1724" s="124" t="str">
        <f t="shared" si="1065"/>
        <v/>
      </c>
    </row>
    <row r="1725" spans="1:31" ht="15" customHeight="1">
      <c r="A1725" s="108"/>
      <c r="B1725" s="38"/>
      <c r="C1725" s="38"/>
      <c r="D1725" s="38"/>
      <c r="E1725" s="38"/>
      <c r="F1725" s="38"/>
      <c r="G1725" s="38"/>
      <c r="H1725" s="38"/>
      <c r="I1725" s="38"/>
      <c r="J1725" s="38"/>
      <c r="K1725" s="38"/>
      <c r="L1725" s="38"/>
      <c r="M1725" s="38"/>
      <c r="N1725" s="38"/>
      <c r="O1725" s="38"/>
      <c r="P1725" s="38"/>
      <c r="Q1725" s="38"/>
      <c r="R1725" s="38"/>
      <c r="S1725" s="38"/>
      <c r="T1725" s="38"/>
      <c r="U1725" s="38"/>
      <c r="V1725" s="38"/>
      <c r="W1725" s="38"/>
      <c r="X1725" s="38"/>
      <c r="Y1725" s="38"/>
      <c r="Z1725" s="38"/>
      <c r="AA1725" s="38"/>
      <c r="AB1725" s="38"/>
      <c r="AC1725" s="38"/>
      <c r="AD1725" s="38"/>
    </row>
    <row r="1726" spans="1:31" ht="24" customHeight="1">
      <c r="A1726" s="108"/>
      <c r="B1726" s="38"/>
      <c r="C1726" s="754" t="s">
        <v>2611</v>
      </c>
      <c r="D1726" s="754"/>
      <c r="E1726" s="754"/>
      <c r="F1726" s="754"/>
      <c r="G1726" s="754"/>
      <c r="H1726" s="754"/>
      <c r="I1726" s="754"/>
      <c r="J1726" s="754"/>
      <c r="K1726" s="754"/>
      <c r="L1726" s="754"/>
      <c r="M1726" s="754"/>
      <c r="N1726" s="754"/>
      <c r="O1726" s="754"/>
      <c r="P1726" s="754"/>
      <c r="Q1726" s="754"/>
      <c r="R1726" s="754"/>
      <c r="S1726" s="754"/>
      <c r="T1726" s="754"/>
      <c r="U1726" s="754"/>
      <c r="V1726" s="754"/>
      <c r="W1726" s="754"/>
      <c r="X1726" s="754"/>
      <c r="Y1726" s="754"/>
      <c r="Z1726" s="754"/>
      <c r="AA1726" s="754"/>
      <c r="AB1726" s="754"/>
      <c r="AC1726" s="754"/>
      <c r="AD1726" s="754"/>
    </row>
    <row r="1727" spans="1:31" ht="60" customHeight="1">
      <c r="A1727" s="108"/>
      <c r="B1727" s="38"/>
      <c r="C1727" s="851"/>
      <c r="D1727" s="851"/>
      <c r="E1727" s="851"/>
      <c r="F1727" s="851"/>
      <c r="G1727" s="851"/>
      <c r="H1727" s="851"/>
      <c r="I1727" s="851"/>
      <c r="J1727" s="851"/>
      <c r="K1727" s="851"/>
      <c r="L1727" s="851"/>
      <c r="M1727" s="851"/>
      <c r="N1727" s="851"/>
      <c r="O1727" s="851"/>
      <c r="P1727" s="851"/>
      <c r="Q1727" s="851"/>
      <c r="R1727" s="851"/>
      <c r="S1727" s="851"/>
      <c r="T1727" s="851"/>
      <c r="U1727" s="851"/>
      <c r="V1727" s="851"/>
      <c r="W1727" s="851"/>
      <c r="X1727" s="851"/>
      <c r="Y1727" s="851"/>
      <c r="Z1727" s="851"/>
      <c r="AA1727" s="851"/>
      <c r="AB1727" s="851"/>
      <c r="AC1727" s="851"/>
      <c r="AD1727" s="851"/>
    </row>
    <row r="1728" spans="1:31" ht="15" customHeight="1">
      <c r="A1728" s="108"/>
      <c r="B1728" s="1003" t="str">
        <f>IF(AG1647=0,"","Favor de ingresar toda la información requerida en la pregunta")</f>
        <v/>
      </c>
      <c r="C1728" s="1003"/>
      <c r="D1728" s="1003"/>
      <c r="E1728" s="1003"/>
      <c r="F1728" s="1003"/>
      <c r="G1728" s="1003"/>
      <c r="H1728" s="1003"/>
      <c r="I1728" s="1003"/>
      <c r="J1728" s="1003"/>
      <c r="K1728" s="1003"/>
      <c r="L1728" s="1003"/>
      <c r="M1728" s="1003"/>
      <c r="N1728" s="1003"/>
      <c r="O1728" s="1003"/>
      <c r="P1728" s="1003"/>
      <c r="Q1728" s="1003"/>
      <c r="R1728" s="1003"/>
      <c r="S1728" s="1003"/>
      <c r="T1728" s="1003"/>
      <c r="U1728" s="1003"/>
      <c r="V1728" s="1003"/>
      <c r="W1728" s="1003"/>
      <c r="X1728" s="1003"/>
      <c r="Y1728" s="1003"/>
      <c r="Z1728" s="1003"/>
      <c r="AA1728" s="1003"/>
      <c r="AB1728" s="1003"/>
      <c r="AC1728" s="1003"/>
      <c r="AD1728" s="1003"/>
      <c r="AE1728" s="1003"/>
    </row>
    <row r="1729" spans="1:66" ht="15" customHeight="1">
      <c r="A1729" s="176"/>
      <c r="B1729" s="1087" t="str">
        <f>IF(SUM(COUNTIF(P1640:AD1642,"NS"),COUNTIF(P1644:AD1646,"NS"),COUNTIF(V1686:AD1688,"NS"),COUNTIF(V1690:AD1692,"NS"))&lt;&gt;0,"Alerta: debido a que cuenta con registros NS, debe proporcionar una justificación en el area de comentarios al final de la pregunta","")</f>
        <v/>
      </c>
      <c r="C1729" s="1087"/>
      <c r="D1729" s="1087"/>
      <c r="E1729" s="1087"/>
      <c r="F1729" s="1087"/>
      <c r="G1729" s="1087"/>
      <c r="H1729" s="1087"/>
      <c r="I1729" s="1087"/>
      <c r="J1729" s="1087"/>
      <c r="K1729" s="1087"/>
      <c r="L1729" s="1087"/>
      <c r="M1729" s="1087"/>
      <c r="N1729" s="1087"/>
      <c r="O1729" s="1087"/>
      <c r="P1729" s="1087"/>
      <c r="Q1729" s="1087"/>
      <c r="R1729" s="1087"/>
      <c r="S1729" s="1087"/>
      <c r="T1729" s="1087"/>
      <c r="U1729" s="1087"/>
      <c r="V1729" s="1087"/>
      <c r="W1729" s="1087"/>
      <c r="X1729" s="1087"/>
      <c r="Y1729" s="1087"/>
      <c r="Z1729" s="1087"/>
      <c r="AA1729" s="1087"/>
      <c r="AB1729" s="1087"/>
      <c r="AC1729" s="1087"/>
      <c r="AD1729" s="1087"/>
      <c r="AE1729" s="1087"/>
    </row>
    <row r="1730" spans="1:66" ht="15" customHeight="1">
      <c r="A1730" s="176"/>
      <c r="B1730" s="1003" t="str">
        <f>IF(AH1647=0,"","Revise la información capturada, ya que tiene datos ingresados en celdas que están sombreadas")</f>
        <v/>
      </c>
      <c r="C1730" s="1003"/>
      <c r="D1730" s="1003"/>
      <c r="E1730" s="1003"/>
      <c r="F1730" s="1003"/>
      <c r="G1730" s="1003"/>
      <c r="H1730" s="1003"/>
      <c r="I1730" s="1003"/>
      <c r="J1730" s="1003"/>
      <c r="K1730" s="1003"/>
      <c r="L1730" s="1003"/>
      <c r="M1730" s="1003"/>
      <c r="N1730" s="1003"/>
      <c r="O1730" s="1003"/>
      <c r="P1730" s="1003"/>
      <c r="Q1730" s="1003"/>
      <c r="R1730" s="1003"/>
      <c r="S1730" s="1003"/>
      <c r="T1730" s="1003"/>
      <c r="U1730" s="1003"/>
      <c r="V1730" s="1003"/>
      <c r="W1730" s="1003"/>
      <c r="X1730" s="1003"/>
      <c r="Y1730" s="1003"/>
      <c r="Z1730" s="1003"/>
      <c r="AA1730" s="1003"/>
      <c r="AB1730" s="1003"/>
      <c r="AC1730" s="1003"/>
      <c r="AD1730" s="1003"/>
      <c r="AE1730" s="1003"/>
    </row>
    <row r="1731" spans="1:66" ht="15" customHeight="1">
      <c r="A1731" s="176"/>
      <c r="B1731" s="1003" t="str">
        <f>IF(AL1696&gt;0,"Favor de revisar la suma y consistencia de totales y/o subtotales por filas (numéricos y NS)",IF(AV1696&gt;0,"Favor de revisar la suma y consistencia de totales y/o subtotales de las desagregaciones de los tipos específicos",""))</f>
        <v/>
      </c>
      <c r="C1731" s="1003"/>
      <c r="D1731" s="1003"/>
      <c r="E1731" s="1003"/>
      <c r="F1731" s="1003"/>
      <c r="G1731" s="1003"/>
      <c r="H1731" s="1003"/>
      <c r="I1731" s="1003"/>
      <c r="J1731" s="1003"/>
      <c r="K1731" s="1003"/>
      <c r="L1731" s="1003"/>
      <c r="M1731" s="1003"/>
      <c r="N1731" s="1003"/>
      <c r="O1731" s="1003"/>
      <c r="P1731" s="1003"/>
      <c r="Q1731" s="1003"/>
      <c r="R1731" s="1003"/>
      <c r="S1731" s="1003"/>
      <c r="T1731" s="1003"/>
      <c r="U1731" s="1003"/>
      <c r="V1731" s="1003"/>
      <c r="W1731" s="1003"/>
      <c r="X1731" s="1003"/>
      <c r="Y1731" s="1003"/>
      <c r="Z1731" s="1003"/>
      <c r="AA1731" s="1003"/>
      <c r="AB1731" s="1003"/>
      <c r="AC1731" s="1003"/>
      <c r="AD1731" s="1003"/>
      <c r="AE1731" s="1003"/>
    </row>
    <row r="1732" spans="1:66" ht="15" customHeight="1">
      <c r="A1732" s="108"/>
      <c r="B1732" s="1003" t="str">
        <f>IF(AF1647&gt;0,"Debido a que reportó NA para cierto delito, también anote NA en sus respectivos tipos específicos","")</f>
        <v/>
      </c>
      <c r="C1732" s="1003"/>
      <c r="D1732" s="1003"/>
      <c r="E1732" s="1003"/>
      <c r="F1732" s="1003"/>
      <c r="G1732" s="1003"/>
      <c r="H1732" s="1003"/>
      <c r="I1732" s="1003"/>
      <c r="J1732" s="1003"/>
      <c r="K1732" s="1003"/>
      <c r="L1732" s="1003"/>
      <c r="M1732" s="1003"/>
      <c r="N1732" s="1003"/>
      <c r="O1732" s="1003"/>
      <c r="P1732" s="1003"/>
      <c r="Q1732" s="1003"/>
      <c r="R1732" s="1003"/>
      <c r="S1732" s="1003"/>
      <c r="T1732" s="1003"/>
      <c r="U1732" s="1003"/>
      <c r="V1732" s="1003"/>
      <c r="W1732" s="1003"/>
      <c r="X1732" s="1003"/>
      <c r="Y1732" s="1003"/>
      <c r="Z1732" s="1003"/>
      <c r="AA1732" s="1003"/>
      <c r="AB1732" s="1003"/>
      <c r="AC1732" s="1003"/>
      <c r="AD1732" s="1003"/>
      <c r="AE1732" s="1003"/>
    </row>
    <row r="1733" spans="1:66" ht="15" customHeight="1">
      <c r="A1733" s="108"/>
      <c r="B1733" s="57"/>
      <c r="C1733" s="57"/>
      <c r="D1733" s="57"/>
      <c r="E1733" s="57"/>
      <c r="F1733" s="57"/>
      <c r="G1733" s="57"/>
      <c r="H1733" s="57"/>
      <c r="I1733" s="57"/>
      <c r="J1733" s="57"/>
      <c r="K1733" s="57"/>
      <c r="L1733" s="57"/>
      <c r="M1733" s="57"/>
      <c r="N1733" s="57"/>
      <c r="O1733" s="57"/>
      <c r="P1733" s="57"/>
      <c r="Q1733" s="57"/>
      <c r="R1733" s="57"/>
      <c r="S1733" s="57"/>
      <c r="T1733" s="57"/>
      <c r="U1733" s="57"/>
      <c r="V1733" s="57"/>
      <c r="W1733" s="57"/>
      <c r="X1733" s="57"/>
      <c r="Y1733" s="57"/>
      <c r="Z1733" s="57"/>
      <c r="AA1733" s="57"/>
      <c r="AB1733" s="57"/>
      <c r="AC1733" s="57"/>
      <c r="AD1733" s="57"/>
      <c r="AE1733"/>
    </row>
    <row r="1734" spans="1:66" ht="24" customHeight="1">
      <c r="A1734" s="49" t="s">
        <v>5428</v>
      </c>
      <c r="B1734" s="829" t="s">
        <v>5429</v>
      </c>
      <c r="C1734" s="829"/>
      <c r="D1734" s="829"/>
      <c r="E1734" s="829"/>
      <c r="F1734" s="829"/>
      <c r="G1734" s="829"/>
      <c r="H1734" s="829"/>
      <c r="I1734" s="829"/>
      <c r="J1734" s="829"/>
      <c r="K1734" s="829"/>
      <c r="L1734" s="829"/>
      <c r="M1734" s="829"/>
      <c r="N1734" s="829"/>
      <c r="O1734" s="829"/>
      <c r="P1734" s="829"/>
      <c r="Q1734" s="829"/>
      <c r="R1734" s="829"/>
      <c r="S1734" s="829"/>
      <c r="T1734" s="829"/>
      <c r="U1734" s="829"/>
      <c r="V1734" s="829"/>
      <c r="W1734" s="829"/>
      <c r="X1734" s="829"/>
      <c r="Y1734" s="829"/>
      <c r="Z1734" s="829"/>
      <c r="AA1734" s="829"/>
      <c r="AB1734" s="829"/>
      <c r="AC1734" s="829"/>
      <c r="AD1734" s="829"/>
    </row>
    <row r="1735" spans="1:66" ht="36" customHeight="1">
      <c r="A1735" s="197"/>
      <c r="B1735" s="90"/>
      <c r="C1735" s="754" t="s">
        <v>5430</v>
      </c>
      <c r="D1735" s="754"/>
      <c r="E1735" s="754"/>
      <c r="F1735" s="754"/>
      <c r="G1735" s="754"/>
      <c r="H1735" s="754"/>
      <c r="I1735" s="754"/>
      <c r="J1735" s="754"/>
      <c r="K1735" s="754"/>
      <c r="L1735" s="754"/>
      <c r="M1735" s="754"/>
      <c r="N1735" s="754"/>
      <c r="O1735" s="754"/>
      <c r="P1735" s="754"/>
      <c r="Q1735" s="754"/>
      <c r="R1735" s="754"/>
      <c r="S1735" s="754"/>
      <c r="T1735" s="754"/>
      <c r="U1735" s="754"/>
      <c r="V1735" s="754"/>
      <c r="W1735" s="754"/>
      <c r="X1735" s="754"/>
      <c r="Y1735" s="754"/>
      <c r="Z1735" s="754"/>
      <c r="AA1735" s="754"/>
      <c r="AB1735" s="754"/>
      <c r="AC1735" s="754"/>
      <c r="AD1735" s="754"/>
    </row>
    <row r="1736" spans="1:66" ht="48" customHeight="1">
      <c r="A1736" s="50"/>
      <c r="B1736" s="38"/>
      <c r="C1736" s="830" t="s">
        <v>5431</v>
      </c>
      <c r="D1736" s="830"/>
      <c r="E1736" s="830"/>
      <c r="F1736" s="830"/>
      <c r="G1736" s="830"/>
      <c r="H1736" s="830"/>
      <c r="I1736" s="830"/>
      <c r="J1736" s="830"/>
      <c r="K1736" s="830"/>
      <c r="L1736" s="830"/>
      <c r="M1736" s="830"/>
      <c r="N1736" s="830"/>
      <c r="O1736" s="830"/>
      <c r="P1736" s="830"/>
      <c r="Q1736" s="830"/>
      <c r="R1736" s="830"/>
      <c r="S1736" s="830"/>
      <c r="T1736" s="830"/>
      <c r="U1736" s="830"/>
      <c r="V1736" s="830"/>
      <c r="W1736" s="830"/>
      <c r="X1736" s="830"/>
      <c r="Y1736" s="830"/>
      <c r="Z1736" s="830"/>
      <c r="AA1736" s="830"/>
      <c r="AB1736" s="830"/>
      <c r="AC1736" s="830"/>
      <c r="AD1736" s="830"/>
    </row>
    <row r="1737" spans="1:66" ht="15" customHeight="1">
      <c r="A1737" s="49"/>
      <c r="B1737" s="38"/>
      <c r="C1737" s="38"/>
      <c r="D1737" s="38"/>
      <c r="E1737" s="38"/>
      <c r="F1737" s="38"/>
      <c r="G1737" s="38"/>
      <c r="H1737" s="38"/>
      <c r="I1737" s="38"/>
      <c r="J1737" s="38"/>
      <c r="K1737" s="38"/>
      <c r="L1737" s="38"/>
      <c r="M1737" s="38"/>
      <c r="N1737" s="38"/>
      <c r="O1737" s="38"/>
      <c r="P1737" s="38"/>
      <c r="Q1737" s="38"/>
      <c r="R1737" s="38"/>
      <c r="S1737" s="38"/>
      <c r="T1737" s="38"/>
      <c r="U1737" s="38"/>
      <c r="V1737" s="38"/>
      <c r="W1737" s="38"/>
      <c r="X1737" s="38"/>
      <c r="Y1737" s="38"/>
      <c r="Z1737" s="38"/>
      <c r="AA1737" s="38"/>
      <c r="AB1737" s="38"/>
      <c r="AC1737" s="38"/>
      <c r="AD1737" s="38"/>
    </row>
    <row r="1738" spans="1:66" ht="15" customHeight="1">
      <c r="A1738" s="94"/>
      <c r="AA1738" s="875" t="s">
        <v>2664</v>
      </c>
      <c r="AB1738" s="875"/>
      <c r="AC1738" s="875"/>
      <c r="AD1738" s="875"/>
    </row>
    <row r="1739" spans="1:66" ht="36" customHeight="1">
      <c r="A1739" s="49"/>
      <c r="B1739" s="38"/>
      <c r="C1739" s="991" t="s">
        <v>5432</v>
      </c>
      <c r="D1739" s="992"/>
      <c r="E1739" s="992"/>
      <c r="F1739" s="992"/>
      <c r="G1739" s="992"/>
      <c r="H1739" s="992"/>
      <c r="I1739" s="992"/>
      <c r="J1739" s="992"/>
      <c r="K1739" s="992"/>
      <c r="L1739" s="992"/>
      <c r="M1739" s="992"/>
      <c r="N1739" s="992"/>
      <c r="O1739" s="993"/>
      <c r="P1739" s="739" t="s">
        <v>5433</v>
      </c>
      <c r="Q1739" s="740"/>
      <c r="R1739" s="740"/>
      <c r="S1739" s="740"/>
      <c r="T1739" s="740"/>
      <c r="U1739" s="740"/>
      <c r="V1739" s="740"/>
      <c r="W1739" s="740"/>
      <c r="X1739" s="740"/>
      <c r="Y1739" s="740"/>
      <c r="Z1739" s="740"/>
      <c r="AA1739" s="740"/>
      <c r="AB1739" s="740"/>
      <c r="AC1739" s="740"/>
      <c r="AD1739" s="741"/>
    </row>
    <row r="1740" spans="1:66" ht="120" customHeight="1">
      <c r="A1740" s="49"/>
      <c r="B1740" s="38"/>
      <c r="C1740" s="994"/>
      <c r="D1740" s="995"/>
      <c r="E1740" s="995"/>
      <c r="F1740" s="995"/>
      <c r="G1740" s="995"/>
      <c r="H1740" s="995"/>
      <c r="I1740" s="995"/>
      <c r="J1740" s="995"/>
      <c r="K1740" s="995"/>
      <c r="L1740" s="995"/>
      <c r="M1740" s="995"/>
      <c r="N1740" s="995"/>
      <c r="O1740" s="996"/>
      <c r="P1740" s="1132" t="s">
        <v>2628</v>
      </c>
      <c r="Q1740" s="1134" t="s">
        <v>2629</v>
      </c>
      <c r="R1740" s="1134" t="s">
        <v>2630</v>
      </c>
      <c r="S1740" s="858" t="s">
        <v>5434</v>
      </c>
      <c r="T1740" s="859"/>
      <c r="U1740" s="860"/>
      <c r="V1740" s="858" t="s">
        <v>5435</v>
      </c>
      <c r="W1740" s="859"/>
      <c r="X1740" s="860"/>
      <c r="Y1740" s="858" t="s">
        <v>5436</v>
      </c>
      <c r="Z1740" s="859"/>
      <c r="AA1740" s="860"/>
      <c r="AB1740" s="858" t="s">
        <v>5437</v>
      </c>
      <c r="AC1740" s="859"/>
      <c r="AD1740" s="860"/>
    </row>
    <row r="1741" spans="1:66" ht="48" customHeight="1">
      <c r="A1741" s="49"/>
      <c r="B1741" s="38"/>
      <c r="C1741" s="997"/>
      <c r="D1741" s="998"/>
      <c r="E1741" s="998"/>
      <c r="F1741" s="998"/>
      <c r="G1741" s="998"/>
      <c r="H1741" s="998"/>
      <c r="I1741" s="998"/>
      <c r="J1741" s="998"/>
      <c r="K1741" s="998"/>
      <c r="L1741" s="998"/>
      <c r="M1741" s="998"/>
      <c r="N1741" s="998"/>
      <c r="O1741" s="999"/>
      <c r="P1741" s="1133"/>
      <c r="Q1741" s="1134"/>
      <c r="R1741" s="1134"/>
      <c r="S1741" s="127" t="s">
        <v>2635</v>
      </c>
      <c r="T1741" s="128" t="s">
        <v>2629</v>
      </c>
      <c r="U1741" s="128" t="s">
        <v>2630</v>
      </c>
      <c r="V1741" s="171" t="s">
        <v>2635</v>
      </c>
      <c r="W1741" s="128" t="s">
        <v>2629</v>
      </c>
      <c r="X1741" s="128" t="s">
        <v>2630</v>
      </c>
      <c r="Y1741" s="127" t="s">
        <v>2635</v>
      </c>
      <c r="Z1741" s="128" t="s">
        <v>2629</v>
      </c>
      <c r="AA1741" s="128" t="s">
        <v>2630</v>
      </c>
      <c r="AB1741" s="127" t="s">
        <v>2635</v>
      </c>
      <c r="AC1741" s="128" t="s">
        <v>2629</v>
      </c>
      <c r="AD1741" s="128" t="s">
        <v>2630</v>
      </c>
      <c r="AF1741" s="84" t="s">
        <v>4740</v>
      </c>
      <c r="AG1741" t="s">
        <v>2586</v>
      </c>
      <c r="AH1741" t="s">
        <v>4599</v>
      </c>
      <c r="AK1741" t="s">
        <v>4573</v>
      </c>
      <c r="AL1741" t="s">
        <v>2638</v>
      </c>
      <c r="AM1741" t="s">
        <v>2639</v>
      </c>
      <c r="AN1741" t="s">
        <v>4574</v>
      </c>
      <c r="AO1741" t="s">
        <v>2641</v>
      </c>
      <c r="AP1741" t="s">
        <v>2642</v>
      </c>
      <c r="AQ1741" t="s">
        <v>4575</v>
      </c>
      <c r="AR1741" t="s">
        <v>2644</v>
      </c>
      <c r="AS1741" t="s">
        <v>2645</v>
      </c>
      <c r="AT1741" t="s">
        <v>4576</v>
      </c>
      <c r="AU1741" t="s">
        <v>2647</v>
      </c>
      <c r="AV1741" t="s">
        <v>2648</v>
      </c>
      <c r="AW1741" t="s">
        <v>5177</v>
      </c>
      <c r="AX1741" t="s">
        <v>2757</v>
      </c>
      <c r="AY1741" t="s">
        <v>2758</v>
      </c>
      <c r="AZ1741" t="s">
        <v>5438</v>
      </c>
      <c r="BA1741"/>
      <c r="BB1741"/>
      <c r="BC1741" t="s">
        <v>4730</v>
      </c>
      <c r="BD1741"/>
      <c r="BE1741"/>
      <c r="BF1741"/>
      <c r="BG1741"/>
      <c r="BH1741"/>
      <c r="BI1741"/>
      <c r="BJ1741"/>
      <c r="BK1741"/>
      <c r="BL1741"/>
      <c r="BM1741"/>
      <c r="BN1741"/>
    </row>
    <row r="1742" spans="1:66" ht="36" customHeight="1">
      <c r="A1742" s="49"/>
      <c r="B1742" s="38"/>
      <c r="C1742" s="733" t="s">
        <v>4965</v>
      </c>
      <c r="D1742" s="734"/>
      <c r="E1742" s="734"/>
      <c r="F1742" s="735"/>
      <c r="G1742" s="813" t="s">
        <v>4966</v>
      </c>
      <c r="H1742" s="814"/>
      <c r="I1742" s="814"/>
      <c r="J1742" s="814"/>
      <c r="K1742" s="814"/>
      <c r="L1742" s="814"/>
      <c r="M1742" s="814"/>
      <c r="N1742" s="814"/>
      <c r="O1742" s="815"/>
      <c r="P1742" s="100"/>
      <c r="Q1742" s="100"/>
      <c r="R1742" s="100"/>
      <c r="S1742" s="100"/>
      <c r="T1742" s="100"/>
      <c r="U1742" s="100"/>
      <c r="V1742" s="100"/>
      <c r="W1742" s="100"/>
      <c r="X1742" s="100"/>
      <c r="Y1742" s="100"/>
      <c r="Z1742" s="100"/>
      <c r="AA1742" s="100"/>
      <c r="AB1742" s="100"/>
      <c r="AC1742" s="100"/>
      <c r="AD1742" s="100"/>
      <c r="AF1742" s="506">
        <f>IF(P1742="NA",IF(AND(COUNTIF(P1743:P1748,"="&amp;$AF$1739)=0,COUNTIF(P1743:P1748,"&lt;&gt;NA")&gt;0),1,0),IF(AND(COUNTIF(P1743:P1748,"="&amp;$AF$1739)=0,COUNTIF(P1743:P1748,"NA")=COUNTIF(P1743:P1748,"&lt;&gt;"&amp;$AF$1739)),1,0))</f>
        <v>0</v>
      </c>
      <c r="AG1742">
        <f>IF(P1742="NA",0,IF(COUNTA(P1742:AD1742,P1754:AD1754)=30,0,IF(COUNTA($P$1742:$AD$1748,$P$1754:$AD$1760)=0,0,1)))</f>
        <v>0</v>
      </c>
      <c r="AH1742">
        <f>IF(P1742="NA",IF(COUNTA(Q1742:AD1742,P1754:AD1754)=0,0,1),0)</f>
        <v>0</v>
      </c>
      <c r="AK1742">
        <f t="shared" ref="AK1742:AK1748" si="1066">COUNTIF(Q1742:R1742,"NS")</f>
        <v>0</v>
      </c>
      <c r="AL1742">
        <f t="shared" ref="AL1742:AL1748" si="1067">SUM(Q1742:R1742)</f>
        <v>0</v>
      </c>
      <c r="AM1742">
        <f>IF(COUNTIF(P1742:R1742,"NA")=3,0,IF(COUNTA(P1742:R1742)=0,0,IF(OR(AND(P1742=0,AK1742&gt;0),AND(P1742="ns",AL1742&gt;0),AND(P1742="ns",AK1742=0,AL1742=0)),1,IF(OR(AND(P1742&gt;0,AK1742=2),AND(P1742="ns",AK1742=2),AND(P1742="ns",AL1742=0,AK1742&gt;0),P1742=AL1742),0,1))))</f>
        <v>0</v>
      </c>
      <c r="AN1742">
        <f t="shared" ref="AN1742:AN1748" si="1068">COUNTIF(T1742:U1742,"NS")</f>
        <v>0</v>
      </c>
      <c r="AO1742">
        <f t="shared" ref="AO1742:AO1748" si="1069">SUM(T1742:U1742)</f>
        <v>0</v>
      </c>
      <c r="AP1742">
        <f t="shared" ref="AP1742:AP1748" si="1070">IF(COUNTIF(S1742:U1742,"NA")=3,0,IF(COUNTA(S1742:U1742)=0,0,IF(OR(AND(S1742=0,AN1742&gt;0),AND(S1742="ns",AO1742&gt;0),AND(S1742="ns",AN1742=0,AO1742=0)),1,IF(OR(AND(S1742&gt;0,AN1742=2),AND(S1742="ns",AN1742=2),AND(S1742="ns",AO1742=0,AN1742&gt;0),S1742=AO1742),0,1))))</f>
        <v>0</v>
      </c>
      <c r="AQ1742">
        <f t="shared" ref="AQ1742:AQ1748" si="1071">COUNTIF(W1742:X1742,"NS")</f>
        <v>0</v>
      </c>
      <c r="AR1742">
        <f t="shared" ref="AR1742:AR1748" si="1072">SUM(W1742:X1742)</f>
        <v>0</v>
      </c>
      <c r="AS1742">
        <f t="shared" ref="AS1742:AS1748" si="1073">IF(COUNTIF(V1742:X1742,"NA")=3,0,IF(COUNTA(V1742:X1742)=0,0,IF(OR(AND(V1742=0,AQ1742&gt;0),AND(V1742="ns",AR1742&gt;0),AND(V1742="ns",AQ1742=0,AR1742=0)),1,IF(OR(AND(V1742&gt;0,AQ1742=2),AND(V1742="ns",AQ1742=2),AND(V1742="ns",AR1742=0,AQ1742&gt;0),V1742=AR1742),0,1))))</f>
        <v>0</v>
      </c>
      <c r="AT1742">
        <f t="shared" ref="AT1742:AT1748" si="1074">COUNTIF(Z1742:AA1742,"NS")</f>
        <v>0</v>
      </c>
      <c r="AU1742">
        <f t="shared" ref="AU1742:AU1748" si="1075">SUM(Z1742:AA1742)</f>
        <v>0</v>
      </c>
      <c r="AV1742">
        <f t="shared" ref="AV1742:AV1748" si="1076">IF(COUNTIF(Y1742:AA1742,"NA")=3,0,IF(COUNTA(Y1742:AA1742)=0,0,IF(OR(AND(Y1742=0,AT1742&gt;0),AND(Y1742="ns",AU1742&gt;0),AND(Y1742="ns",AT1742=0,AU1742=0)),1,IF(OR(AND(Y1742&gt;0,AT1742=2),AND(Y1742="ns",AT1742=2),AND(Y1742="ns",AU1742=0,AT1742&gt;0),Y1742=AU1742),0,1))))</f>
        <v>0</v>
      </c>
      <c r="AW1742">
        <f t="shared" ref="AW1742:AW1748" si="1077">COUNTIF(AC1742:AD1742,"NS")</f>
        <v>0</v>
      </c>
      <c r="AX1742">
        <f t="shared" ref="AX1742:AX1748" si="1078">SUM(AC1742:AD1742)</f>
        <v>0</v>
      </c>
      <c r="AY1742">
        <f t="shared" ref="AY1742:AY1747" si="1079">IF(COUNTIF(AB1742:AD1742,"NA")=3,0,IF(COUNTA(AB1742:AD1742)=0,0,IF(OR(AND(AB1742=0,AW1742&gt;0),AND(AB1742="ns",AX1742&gt;0),AND(AB1742="ns",AW1742=0,AX1742=0)),1,IF(OR(AND(AB1742&gt;0,AW1742=2),AND(AB1742="ns",AW1742=2),AND(AB1742="ns",AX1742=0,AW1742&gt;0),AB1742=AX1742),0,1))))</f>
        <v>0</v>
      </c>
      <c r="AZ1742" cm="1">
        <f t="array" ref="AZ1742">IF(OR(P1742={"NS","NA"},P1661={"NS","NA"}),0,IF(P1742&gt;=P1661,0,1))</f>
        <v>0</v>
      </c>
      <c r="BA1742" cm="1">
        <f t="array" ref="BA1742">IF(OR(Q1742={"NS","NA"},Q1661={"NS","NA"}),0,IF(Q1742&gt;=Q1661,0,1))</f>
        <v>0</v>
      </c>
      <c r="BB1742" cm="1">
        <f t="array" ref="BB1742">IF(OR(R1742={"NS","NA"},$R$2024={"NS","NA"}),0,IF(R1742&gt;=R1661,0,1))</f>
        <v>0</v>
      </c>
      <c r="BC1742" cm="1">
        <f t="array" ref="BC1742">IF(OR(S1742={"NS","NA"},$P1661={"NS","NA"}),0,IF(S1742&lt;=$P1661,0,1))</f>
        <v>0</v>
      </c>
      <c r="BD1742" cm="1">
        <f t="array" ref="BD1742">IF(OR(T1742={"NS","NA"},$Q1661={"NS","NA"}),0,IF(T1742&lt;=$Q1661,0,1))</f>
        <v>0</v>
      </c>
      <c r="BE1742" cm="1">
        <f t="array" ref="BE1742">IF(OR(U1742={"NS","NA"},$R1661={"NS","NA"}),0,IF(U1742&lt;=$R1661,0,1))</f>
        <v>0</v>
      </c>
      <c r="BF1742" cm="1">
        <f t="array" ref="BF1742">IF(OR(V1742={"NS","NA"},$P1661={"NS","NA"}),0,IF(V1742&lt;=$P1661,0,1))</f>
        <v>0</v>
      </c>
      <c r="BG1742" cm="1">
        <f t="array" ref="BG1742">IF(OR(W1742={"NS","NA"},$Q1661={"NS","NA"}),0,IF(W1742&lt;=$Q1661,0,1))</f>
        <v>0</v>
      </c>
      <c r="BH1742" cm="1">
        <f t="array" ref="BH1742">IF(OR(X1742={"NS","NA"},$R1661={"NS","NA"}),0,IF(X1742&lt;=$R1661,0,1))</f>
        <v>0</v>
      </c>
      <c r="BI1742" cm="1">
        <f t="array" ref="BI1742">IF(OR(Y1742={"NS","NA"},$P1661={"NS","NA"}),0,IF(Y1742&lt;=$P1661,0,1))</f>
        <v>0</v>
      </c>
      <c r="BJ1742" cm="1">
        <f t="array" ref="BJ1742">IF(OR(Z1742={"NS","NA"},$Q1661={"NS","NA"}),0,IF(Z1742&lt;=$Q1661,0,1))</f>
        <v>0</v>
      </c>
      <c r="BK1742" cm="1">
        <f t="array" ref="BK1742">IF(OR(AA1742={"NS","NA"},$R1661={"NS","NA"}),0,IF(AA1742&lt;=$R1661,0,1))</f>
        <v>0</v>
      </c>
      <c r="BL1742" cm="1">
        <f t="array" ref="BL1742">IF(OR(AB1742={"NS","NA"},$P1661={"NS","NA"}),0,IF(AB1742&lt;=$P1661,0,1))</f>
        <v>0</v>
      </c>
      <c r="BM1742" cm="1">
        <f t="array" ref="BM1742">IF(OR(AC1742={"NS","NA"},$Q1661={"NS","NA"}),0,IF(AC1742&lt;=$Q1661,0,1))</f>
        <v>0</v>
      </c>
      <c r="BN1742" cm="1">
        <f t="array" ref="BN1742">IF(OR(AD1742={"NS","NA"},$R1661={"NS","NA"}),0,IF(AD1742&lt;=$R1661,0,1))</f>
        <v>0</v>
      </c>
    </row>
    <row r="1743" spans="1:66" ht="15" customHeight="1">
      <c r="A1743" s="49"/>
      <c r="B1743" s="38"/>
      <c r="C1743" s="1119" t="s">
        <v>4967</v>
      </c>
      <c r="D1743" s="1121"/>
      <c r="E1743" s="1121"/>
      <c r="F1743" s="1120"/>
      <c r="G1743" s="174"/>
      <c r="H1743" s="1126" t="s">
        <v>4968</v>
      </c>
      <c r="I1743" s="1126"/>
      <c r="J1743" s="1126"/>
      <c r="K1743" s="1126"/>
      <c r="L1743" s="1126"/>
      <c r="M1743" s="1126"/>
      <c r="N1743" s="1126"/>
      <c r="O1743" s="1127"/>
      <c r="P1743" s="100"/>
      <c r="Q1743" s="100"/>
      <c r="R1743" s="100"/>
      <c r="S1743" s="100"/>
      <c r="T1743" s="100"/>
      <c r="U1743" s="100"/>
      <c r="V1743" s="100"/>
      <c r="W1743" s="100"/>
      <c r="X1743" s="100"/>
      <c r="Y1743" s="100"/>
      <c r="Z1743" s="100"/>
      <c r="AA1743" s="100"/>
      <c r="AB1743" s="100"/>
      <c r="AC1743" s="100"/>
      <c r="AD1743" s="100"/>
      <c r="AF1743"/>
      <c r="AG1743">
        <f t="shared" ref="AG1743:AG1747" si="1080">IF(P1743="NA",0,IF(COUNTA(P1743:AD1743,P1755:AD1755)=30,0,IF(COUNTA($P$1742:$AD$1748,$P$1754:$AD$1760)=0,0,1)))</f>
        <v>0</v>
      </c>
      <c r="AH1743">
        <f t="shared" ref="AH1743:AH1747" si="1081">IF(P1743="NA",IF(COUNTA(Q1743:AD1743,P1755:AD1755)=0,0,1),0)</f>
        <v>0</v>
      </c>
      <c r="AK1743">
        <f t="shared" si="1066"/>
        <v>0</v>
      </c>
      <c r="AL1743">
        <f t="shared" si="1067"/>
        <v>0</v>
      </c>
      <c r="AM1743">
        <f t="shared" ref="AM1743:AM1748" si="1082">IF(COUNTIF(P1743:R1743,"NA")=3,0,IF(COUNTA(P1743:R1743)=0,0,IF(OR(AND(P1743=0,AK1743&gt;0),AND(P1743="ns",AL1743&gt;0),AND(P1743="ns",AK1743=0,AL1743=0)),1,IF(OR(AND(P1743&gt;0,AK1743=2),AND(P1743="ns",AK1743=2),AND(P1743="ns",AL1743=0,AK1743&gt;0),P1743=AL1743),0,1))))</f>
        <v>0</v>
      </c>
      <c r="AN1743">
        <f t="shared" si="1068"/>
        <v>0</v>
      </c>
      <c r="AO1743">
        <f t="shared" si="1069"/>
        <v>0</v>
      </c>
      <c r="AP1743">
        <f t="shared" si="1070"/>
        <v>0</v>
      </c>
      <c r="AQ1743">
        <f t="shared" si="1071"/>
        <v>0</v>
      </c>
      <c r="AR1743">
        <f t="shared" si="1072"/>
        <v>0</v>
      </c>
      <c r="AS1743">
        <f t="shared" si="1073"/>
        <v>0</v>
      </c>
      <c r="AT1743">
        <f t="shared" si="1074"/>
        <v>0</v>
      </c>
      <c r="AU1743">
        <f t="shared" si="1075"/>
        <v>0</v>
      </c>
      <c r="AV1743">
        <f t="shared" si="1076"/>
        <v>0</v>
      </c>
      <c r="AW1743">
        <f t="shared" si="1077"/>
        <v>0</v>
      </c>
      <c r="AX1743">
        <f t="shared" si="1078"/>
        <v>0</v>
      </c>
      <c r="AY1743">
        <f t="shared" si="1079"/>
        <v>0</v>
      </c>
      <c r="AZ1743" cm="1">
        <f t="array" ref="AZ1743">IF(OR(P1743={"NS","NA"},P1662={"NS","NA"}),0,IF(P1743&gt;=P1662,0,1))</f>
        <v>0</v>
      </c>
      <c r="BA1743" cm="1">
        <f t="array" ref="BA1743">IF(OR(Q1743={"NS","NA"},Q1662={"NS","NA"}),0,IF(Q1743&gt;=Q1662,0,1))</f>
        <v>0</v>
      </c>
      <c r="BB1743" cm="1">
        <f t="array" ref="BB1743">IF(OR(R1743={"NS","NA"},R1662={"NS","NA"}),0,IF(R1743&gt;=R1662,0,1))</f>
        <v>0</v>
      </c>
      <c r="BC1743" cm="1">
        <f t="array" ref="BC1743">IF(OR(S1743={"NS","NA"},$P1662={"NS","NA"}),0,IF(S1743&lt;=$P1662,0,1))</f>
        <v>0</v>
      </c>
      <c r="BD1743" cm="1">
        <f t="array" ref="BD1743">IF(OR(T1743={"NS","NA"},$Q1662={"NS","NA"}),0,IF(T1743&lt;=$Q1662,0,1))</f>
        <v>0</v>
      </c>
      <c r="BE1743" cm="1">
        <f t="array" ref="BE1743">IF(OR(U1743={"NS","NA"},$R1662={"NS","NA"}),0,IF(U1743&lt;=$R1662,0,1))</f>
        <v>0</v>
      </c>
      <c r="BF1743" cm="1">
        <f t="array" ref="BF1743">IF(OR(V1743={"NS","NA"},$P1662={"NS","NA"}),0,IF(V1743&lt;=$P1662,0,1))</f>
        <v>0</v>
      </c>
      <c r="BG1743" cm="1">
        <f t="array" ref="BG1743">IF(OR(W1743={"NS","NA"},$Q1662={"NS","NA"}),0,IF(W1743&lt;=$Q1662,0,1))</f>
        <v>0</v>
      </c>
      <c r="BH1743" cm="1">
        <f t="array" ref="BH1743">IF(OR(X1743={"NS","NA"},$R1662={"NS","NA"}),0,IF(X1743&lt;=$R1662,0,1))</f>
        <v>0</v>
      </c>
      <c r="BI1743" cm="1">
        <f t="array" ref="BI1743">IF(OR(Y1743={"NS","NA"},$P1662={"NS","NA"}),0,IF(Y1743&lt;=$P1662,0,1))</f>
        <v>0</v>
      </c>
      <c r="BJ1743" cm="1">
        <f t="array" ref="BJ1743">IF(OR(Z1743={"NS","NA"},$Q1662={"NS","NA"}),0,IF(Z1743&lt;=$Q1662,0,1))</f>
        <v>0</v>
      </c>
      <c r="BK1743" cm="1">
        <f t="array" ref="BK1743">IF(OR(AA1743={"NS","NA"},$R1662={"NS","NA"}),0,IF(AA1743&lt;=$R1662,0,1))</f>
        <v>0</v>
      </c>
      <c r="BL1743" cm="1">
        <f t="array" ref="BL1743">IF(OR(AB1743={"NS","NA"},$P1662={"NS","NA"}),0,IF(AB1743&lt;=$P1662,0,1))</f>
        <v>0</v>
      </c>
      <c r="BM1743" cm="1">
        <f t="array" ref="BM1743">IF(OR(AC1743={"NS","NA"},$Q1662={"NS","NA"}),0,IF(AC1743&lt;=$Q1662,0,1))</f>
        <v>0</v>
      </c>
      <c r="BN1743" cm="1">
        <f t="array" ref="BN1743">IF(OR(AD1743={"NS","NA"},$R1662={"NS","NA"}),0,IF(AD1743&lt;=$R1662,0,1))</f>
        <v>0</v>
      </c>
    </row>
    <row r="1744" spans="1:66" ht="24" customHeight="1">
      <c r="A1744" s="49"/>
      <c r="B1744" s="38"/>
      <c r="C1744" s="1119" t="s">
        <v>4969</v>
      </c>
      <c r="D1744" s="1121"/>
      <c r="E1744" s="1121"/>
      <c r="F1744" s="1120"/>
      <c r="G1744" s="174"/>
      <c r="H1744" s="1122" t="s">
        <v>4970</v>
      </c>
      <c r="I1744" s="1122"/>
      <c r="J1744" s="1122"/>
      <c r="K1744" s="1122"/>
      <c r="L1744" s="1122"/>
      <c r="M1744" s="1122"/>
      <c r="N1744" s="1122"/>
      <c r="O1744" s="1123"/>
      <c r="P1744" s="100"/>
      <c r="Q1744" s="100"/>
      <c r="R1744" s="100"/>
      <c r="S1744" s="100"/>
      <c r="T1744" s="100"/>
      <c r="U1744" s="100"/>
      <c r="V1744" s="100"/>
      <c r="W1744" s="100"/>
      <c r="X1744" s="100"/>
      <c r="Y1744" s="100"/>
      <c r="Z1744" s="100"/>
      <c r="AA1744" s="100"/>
      <c r="AB1744" s="100"/>
      <c r="AC1744" s="100"/>
      <c r="AD1744" s="100"/>
      <c r="AF1744"/>
      <c r="AG1744">
        <f t="shared" si="1080"/>
        <v>0</v>
      </c>
      <c r="AH1744">
        <f t="shared" si="1081"/>
        <v>0</v>
      </c>
      <c r="AK1744">
        <f t="shared" si="1066"/>
        <v>0</v>
      </c>
      <c r="AL1744">
        <f t="shared" si="1067"/>
        <v>0</v>
      </c>
      <c r="AM1744">
        <f t="shared" si="1082"/>
        <v>0</v>
      </c>
      <c r="AN1744">
        <f t="shared" si="1068"/>
        <v>0</v>
      </c>
      <c r="AO1744">
        <f t="shared" si="1069"/>
        <v>0</v>
      </c>
      <c r="AP1744">
        <f t="shared" si="1070"/>
        <v>0</v>
      </c>
      <c r="AQ1744">
        <f t="shared" si="1071"/>
        <v>0</v>
      </c>
      <c r="AR1744">
        <f t="shared" si="1072"/>
        <v>0</v>
      </c>
      <c r="AS1744">
        <f t="shared" si="1073"/>
        <v>0</v>
      </c>
      <c r="AT1744">
        <f t="shared" si="1074"/>
        <v>0</v>
      </c>
      <c r="AU1744">
        <f t="shared" si="1075"/>
        <v>0</v>
      </c>
      <c r="AV1744">
        <f t="shared" si="1076"/>
        <v>0</v>
      </c>
      <c r="AW1744">
        <f t="shared" si="1077"/>
        <v>0</v>
      </c>
      <c r="AX1744">
        <f t="shared" si="1078"/>
        <v>0</v>
      </c>
      <c r="AY1744">
        <f t="shared" si="1079"/>
        <v>0</v>
      </c>
      <c r="AZ1744" cm="1">
        <f t="array" ref="AZ1744">IF(OR(P1744={"NS","NA"},P1663={"NS","NA"}),0,IF(P1744&gt;=P1663,0,1))</f>
        <v>0</v>
      </c>
      <c r="BA1744" cm="1">
        <f t="array" ref="BA1744">IF(OR(Q1744={"NS","NA"},Q1663={"NS","NA"}),0,IF(Q1744&gt;=Q1663,0,1))</f>
        <v>0</v>
      </c>
      <c r="BB1744" cm="1">
        <f t="array" ref="BB1744">IF(OR(R1744={"NS","NA"},R1663={"NS","NA"}),0,IF(R1744&gt;=R1663,0,1))</f>
        <v>0</v>
      </c>
      <c r="BC1744" cm="1">
        <f t="array" ref="BC1744">IF(OR(S1744={"NS","NA"},$P1663={"NS","NA"}),0,IF(S1744&lt;=$P1663,0,1))</f>
        <v>0</v>
      </c>
      <c r="BD1744" cm="1">
        <f t="array" ref="BD1744">IF(OR(T1744={"NS","NA"},$Q1663={"NS","NA"}),0,IF(T1744&lt;=$Q1663,0,1))</f>
        <v>0</v>
      </c>
      <c r="BE1744" cm="1">
        <f t="array" ref="BE1744">IF(OR(U1744={"NS","NA"},$R1663={"NS","NA"}),0,IF(U1744&lt;=$R1663,0,1))</f>
        <v>0</v>
      </c>
      <c r="BF1744" cm="1">
        <f t="array" ref="BF1744">IF(OR(V1744={"NS","NA"},$P1663={"NS","NA"}),0,IF(V1744&lt;=$P1663,0,1))</f>
        <v>0</v>
      </c>
      <c r="BG1744" cm="1">
        <f t="array" ref="BG1744">IF(OR(W1744={"NS","NA"},$Q1663={"NS","NA"}),0,IF(W1744&lt;=$Q1663,0,1))</f>
        <v>0</v>
      </c>
      <c r="BH1744" cm="1">
        <f t="array" ref="BH1744">IF(OR(X1744={"NS","NA"},$R1663={"NS","NA"}),0,IF(X1744&lt;=$R1663,0,1))</f>
        <v>0</v>
      </c>
      <c r="BI1744" cm="1">
        <f t="array" ref="BI1744">IF(OR(Y1744={"NS","NA"},$P1663={"NS","NA"}),0,IF(Y1744&lt;=$P1663,0,1))</f>
        <v>0</v>
      </c>
      <c r="BJ1744" cm="1">
        <f t="array" ref="BJ1744">IF(OR(Z1744={"NS","NA"},$Q1663={"NS","NA"}),0,IF(Z1744&lt;=$Q1663,0,1))</f>
        <v>0</v>
      </c>
      <c r="BK1744" cm="1">
        <f t="array" ref="BK1744">IF(OR(AA1744={"NS","NA"},$R1663={"NS","NA"}),0,IF(AA1744&lt;=$R1663,0,1))</f>
        <v>0</v>
      </c>
      <c r="BL1744" cm="1">
        <f t="array" ref="BL1744">IF(OR(AB1744={"NS","NA"},$P1663={"NS","NA"}),0,IF(AB1744&lt;=$P1663,0,1))</f>
        <v>0</v>
      </c>
      <c r="BM1744" cm="1">
        <f t="array" ref="BM1744">IF(OR(AC1744={"NS","NA"},$Q1663={"NS","NA"}),0,IF(AC1744&lt;=$Q1663,0,1))</f>
        <v>0</v>
      </c>
      <c r="BN1744" cm="1">
        <f t="array" ref="BN1744">IF(OR(AD1744={"NS","NA"},$R1663={"NS","NA"}),0,IF(AD1744&lt;=$R1663,0,1))</f>
        <v>0</v>
      </c>
    </row>
    <row r="1745" spans="1:66" ht="15" customHeight="1">
      <c r="A1745" s="49"/>
      <c r="B1745" s="38"/>
      <c r="C1745" s="1119" t="s">
        <v>4971</v>
      </c>
      <c r="D1745" s="1121"/>
      <c r="E1745" s="1121"/>
      <c r="F1745" s="1120"/>
      <c r="G1745" s="174"/>
      <c r="H1745" s="1122" t="s">
        <v>4987</v>
      </c>
      <c r="I1745" s="1122"/>
      <c r="J1745" s="1122"/>
      <c r="K1745" s="1122"/>
      <c r="L1745" s="1122"/>
      <c r="M1745" s="1122"/>
      <c r="N1745" s="1122"/>
      <c r="O1745" s="1123"/>
      <c r="P1745" s="100"/>
      <c r="Q1745" s="100"/>
      <c r="R1745" s="100"/>
      <c r="S1745" s="100"/>
      <c r="T1745" s="100"/>
      <c r="U1745" s="100"/>
      <c r="V1745" s="100"/>
      <c r="W1745" s="100"/>
      <c r="X1745" s="100"/>
      <c r="Y1745" s="100"/>
      <c r="Z1745" s="100"/>
      <c r="AA1745" s="100"/>
      <c r="AB1745" s="100"/>
      <c r="AC1745" s="100"/>
      <c r="AD1745" s="100"/>
      <c r="AF1745"/>
      <c r="AG1745">
        <f t="shared" si="1080"/>
        <v>0</v>
      </c>
      <c r="AH1745">
        <f t="shared" si="1081"/>
        <v>0</v>
      </c>
      <c r="AK1745">
        <f t="shared" si="1066"/>
        <v>0</v>
      </c>
      <c r="AL1745">
        <f t="shared" si="1067"/>
        <v>0</v>
      </c>
      <c r="AM1745">
        <f t="shared" si="1082"/>
        <v>0</v>
      </c>
      <c r="AN1745">
        <f t="shared" si="1068"/>
        <v>0</v>
      </c>
      <c r="AO1745">
        <f t="shared" si="1069"/>
        <v>0</v>
      </c>
      <c r="AP1745">
        <f t="shared" si="1070"/>
        <v>0</v>
      </c>
      <c r="AQ1745">
        <f t="shared" si="1071"/>
        <v>0</v>
      </c>
      <c r="AR1745">
        <f t="shared" si="1072"/>
        <v>0</v>
      </c>
      <c r="AS1745">
        <f t="shared" si="1073"/>
        <v>0</v>
      </c>
      <c r="AT1745">
        <f t="shared" si="1074"/>
        <v>0</v>
      </c>
      <c r="AU1745">
        <f t="shared" si="1075"/>
        <v>0</v>
      </c>
      <c r="AV1745">
        <f t="shared" si="1076"/>
        <v>0</v>
      </c>
      <c r="AW1745">
        <f t="shared" si="1077"/>
        <v>0</v>
      </c>
      <c r="AX1745">
        <f t="shared" si="1078"/>
        <v>0</v>
      </c>
      <c r="AY1745">
        <f t="shared" si="1079"/>
        <v>0</v>
      </c>
      <c r="AZ1745" cm="1">
        <f t="array" ref="AZ1745">IF(OR(P1745={"NS","NA"},P1664={"NS","NA"}),0,IF(P1745&gt;=P1664,0,1))</f>
        <v>0</v>
      </c>
      <c r="BA1745" cm="1">
        <f t="array" ref="BA1745">IF(OR(Q1745={"NS","NA"},Q1664={"NS","NA"}),0,IF(Q1745&gt;=Q1664,0,1))</f>
        <v>0</v>
      </c>
      <c r="BB1745" cm="1">
        <f t="array" ref="BB1745">IF(OR(R1745={"NS","NA"},R1664={"NS","NA"}),0,IF(R1745&gt;=R1664,0,1))</f>
        <v>0</v>
      </c>
      <c r="BC1745" cm="1">
        <f t="array" ref="BC1745">IF(OR(S1745={"NS","NA"},$P1664={"NS","NA"}),0,IF(S1745&lt;=$P1664,0,1))</f>
        <v>0</v>
      </c>
      <c r="BD1745" cm="1">
        <f t="array" ref="BD1745">IF(OR(T1745={"NS","NA"},$Q1664={"NS","NA"}),0,IF(T1745&lt;=$Q1664,0,1))</f>
        <v>0</v>
      </c>
      <c r="BE1745" cm="1">
        <f t="array" ref="BE1745">IF(OR(U1745={"NS","NA"},$R1664={"NS","NA"}),0,IF(U1745&lt;=$R1664,0,1))</f>
        <v>0</v>
      </c>
      <c r="BF1745" cm="1">
        <f t="array" ref="BF1745">IF(OR(V1745={"NS","NA"},$P1664={"NS","NA"}),0,IF(V1745&lt;=$P1664,0,1))</f>
        <v>0</v>
      </c>
      <c r="BG1745" cm="1">
        <f t="array" ref="BG1745">IF(OR(W1745={"NS","NA"},$Q1664={"NS","NA"}),0,IF(W1745&lt;=$Q1664,0,1))</f>
        <v>0</v>
      </c>
      <c r="BH1745" cm="1">
        <f t="array" ref="BH1745">IF(OR(X1745={"NS","NA"},$R1664={"NS","NA"}),0,IF(X1745&lt;=$R1664,0,1))</f>
        <v>0</v>
      </c>
      <c r="BI1745" cm="1">
        <f t="array" ref="BI1745">IF(OR(Y1745={"NS","NA"},$P1664={"NS","NA"}),0,IF(Y1745&lt;=$P1664,0,1))</f>
        <v>0</v>
      </c>
      <c r="BJ1745" cm="1">
        <f t="array" ref="BJ1745">IF(OR(Z1745={"NS","NA"},$Q1664={"NS","NA"}),0,IF(Z1745&lt;=$Q1664,0,1))</f>
        <v>0</v>
      </c>
      <c r="BK1745" cm="1">
        <f t="array" ref="BK1745">IF(OR(AA1745={"NS","NA"},$R1664={"NS","NA"}),0,IF(AA1745&lt;=$R1664,0,1))</f>
        <v>0</v>
      </c>
      <c r="BL1745" cm="1">
        <f t="array" ref="BL1745">IF(OR(AB1745={"NS","NA"},$P1664={"NS","NA"}),0,IF(AB1745&lt;=$P1664,0,1))</f>
        <v>0</v>
      </c>
      <c r="BM1745" cm="1">
        <f t="array" ref="BM1745">IF(OR(AC1745={"NS","NA"},$Q1664={"NS","NA"}),0,IF(AC1745&lt;=$Q1664,0,1))</f>
        <v>0</v>
      </c>
      <c r="BN1745" cm="1">
        <f t="array" ref="BN1745">IF(OR(AD1745={"NS","NA"},$R1664={"NS","NA"}),0,IF(AD1745&lt;=$R1664,0,1))</f>
        <v>0</v>
      </c>
    </row>
    <row r="1746" spans="1:66" ht="15" customHeight="1">
      <c r="A1746" s="49"/>
      <c r="B1746" s="38"/>
      <c r="C1746" s="1119" t="s">
        <v>4973</v>
      </c>
      <c r="D1746" s="1121"/>
      <c r="E1746" s="1121"/>
      <c r="F1746" s="1120"/>
      <c r="G1746" s="174"/>
      <c r="H1746" s="1122" t="s">
        <v>4974</v>
      </c>
      <c r="I1746" s="1122"/>
      <c r="J1746" s="1122"/>
      <c r="K1746" s="1122"/>
      <c r="L1746" s="1122"/>
      <c r="M1746" s="1122"/>
      <c r="N1746" s="1122"/>
      <c r="O1746" s="1123"/>
      <c r="P1746" s="100"/>
      <c r="Q1746" s="100"/>
      <c r="R1746" s="100"/>
      <c r="S1746" s="100"/>
      <c r="T1746" s="100"/>
      <c r="U1746" s="100"/>
      <c r="V1746" s="100"/>
      <c r="W1746" s="100"/>
      <c r="X1746" s="100"/>
      <c r="Y1746" s="100"/>
      <c r="Z1746" s="100"/>
      <c r="AA1746" s="100"/>
      <c r="AB1746" s="100"/>
      <c r="AC1746" s="100"/>
      <c r="AD1746" s="100"/>
      <c r="AF1746"/>
      <c r="AG1746">
        <f t="shared" si="1080"/>
        <v>0</v>
      </c>
      <c r="AH1746">
        <f t="shared" si="1081"/>
        <v>0</v>
      </c>
      <c r="AK1746">
        <f t="shared" si="1066"/>
        <v>0</v>
      </c>
      <c r="AL1746">
        <f t="shared" si="1067"/>
        <v>0</v>
      </c>
      <c r="AM1746">
        <f t="shared" si="1082"/>
        <v>0</v>
      </c>
      <c r="AN1746">
        <f t="shared" si="1068"/>
        <v>0</v>
      </c>
      <c r="AO1746">
        <f t="shared" si="1069"/>
        <v>0</v>
      </c>
      <c r="AP1746">
        <f t="shared" si="1070"/>
        <v>0</v>
      </c>
      <c r="AQ1746">
        <f t="shared" si="1071"/>
        <v>0</v>
      </c>
      <c r="AR1746">
        <f t="shared" si="1072"/>
        <v>0</v>
      </c>
      <c r="AS1746">
        <f t="shared" si="1073"/>
        <v>0</v>
      </c>
      <c r="AT1746">
        <f t="shared" si="1074"/>
        <v>0</v>
      </c>
      <c r="AU1746">
        <f t="shared" si="1075"/>
        <v>0</v>
      </c>
      <c r="AV1746">
        <f t="shared" si="1076"/>
        <v>0</v>
      </c>
      <c r="AW1746">
        <f t="shared" si="1077"/>
        <v>0</v>
      </c>
      <c r="AX1746">
        <f t="shared" si="1078"/>
        <v>0</v>
      </c>
      <c r="AY1746">
        <f t="shared" si="1079"/>
        <v>0</v>
      </c>
      <c r="AZ1746" cm="1">
        <f t="array" ref="AZ1746">IF(OR(P1746={"NS","NA"},P1665={"NS","NA"}),0,IF(P1746&gt;=P1665,0,1))</f>
        <v>0</v>
      </c>
      <c r="BA1746" cm="1">
        <f t="array" ref="BA1746">IF(OR(Q1746={"NS","NA"},Q1665={"NS","NA"}),0,IF(Q1746&gt;=Q1665,0,1))</f>
        <v>0</v>
      </c>
      <c r="BB1746" cm="1">
        <f t="array" ref="BB1746">IF(OR(R1746={"NS","NA"},R1665={"NS","NA"}),0,IF(R1746&gt;=R1665,0,1))</f>
        <v>0</v>
      </c>
      <c r="BC1746" cm="1">
        <f t="array" ref="BC1746">IF(OR(S1746={"NS","NA"},$P1665={"NS","NA"}),0,IF(S1746&lt;=$P1665,0,1))</f>
        <v>0</v>
      </c>
      <c r="BD1746" cm="1">
        <f t="array" ref="BD1746">IF(OR(T1746={"NS","NA"},$Q1665={"NS","NA"}),0,IF(T1746&lt;=$Q1665,0,1))</f>
        <v>0</v>
      </c>
      <c r="BE1746" cm="1">
        <f t="array" ref="BE1746">IF(OR(U1746={"NS","NA"},$R1665={"NS","NA"}),0,IF(U1746&lt;=$R1665,0,1))</f>
        <v>0</v>
      </c>
      <c r="BF1746" cm="1">
        <f t="array" ref="BF1746">IF(OR(V1746={"NS","NA"},$P1665={"NS","NA"}),0,IF(V1746&lt;=$P1665,0,1))</f>
        <v>0</v>
      </c>
      <c r="BG1746" cm="1">
        <f t="array" ref="BG1746">IF(OR(W1746={"NS","NA"},$Q1665={"NS","NA"}),0,IF(W1746&lt;=$Q1665,0,1))</f>
        <v>0</v>
      </c>
      <c r="BH1746" cm="1">
        <f t="array" ref="BH1746">IF(OR(X1746={"NS","NA"},$R1665={"NS","NA"}),0,IF(X1746&lt;=$R1665,0,1))</f>
        <v>0</v>
      </c>
      <c r="BI1746" cm="1">
        <f t="array" ref="BI1746">IF(OR(Y1746={"NS","NA"},$P1665={"NS","NA"}),0,IF(Y1746&lt;=$P1665,0,1))</f>
        <v>0</v>
      </c>
      <c r="BJ1746" cm="1">
        <f t="array" ref="BJ1746">IF(OR(Z1746={"NS","NA"},$Q1665={"NS","NA"}),0,IF(Z1746&lt;=$Q1665,0,1))</f>
        <v>0</v>
      </c>
      <c r="BK1746" cm="1">
        <f t="array" ref="BK1746">IF(OR(AA1746={"NS","NA"},$R1665={"NS","NA"}),0,IF(AA1746&lt;=$R1665,0,1))</f>
        <v>0</v>
      </c>
      <c r="BL1746" cm="1">
        <f t="array" ref="BL1746">IF(OR(AB1746={"NS","NA"},$P1665={"NS","NA"}),0,IF(AB1746&lt;=$P1665,0,1))</f>
        <v>0</v>
      </c>
      <c r="BM1746" cm="1">
        <f t="array" ref="BM1746">IF(OR(AC1746={"NS","NA"},$Q1665={"NS","NA"}),0,IF(AC1746&lt;=$Q1665,0,1))</f>
        <v>0</v>
      </c>
      <c r="BN1746" cm="1">
        <f t="array" ref="BN1746">IF(OR(AD1746={"NS","NA"},$R1665={"NS","NA"}),0,IF(AD1746&lt;=$R1665,0,1))</f>
        <v>0</v>
      </c>
    </row>
    <row r="1747" spans="1:66" ht="36" customHeight="1">
      <c r="A1747" s="49"/>
      <c r="B1747" s="38"/>
      <c r="C1747" s="1119" t="s">
        <v>4975</v>
      </c>
      <c r="D1747" s="1121"/>
      <c r="E1747" s="1121"/>
      <c r="F1747" s="1120"/>
      <c r="G1747" s="174"/>
      <c r="H1747" s="1122" t="s">
        <v>4976</v>
      </c>
      <c r="I1747" s="1122"/>
      <c r="J1747" s="1122"/>
      <c r="K1747" s="1122"/>
      <c r="L1747" s="1122"/>
      <c r="M1747" s="1122"/>
      <c r="N1747" s="1122"/>
      <c r="O1747" s="1123"/>
      <c r="P1747" s="100"/>
      <c r="Q1747" s="100"/>
      <c r="R1747" s="100"/>
      <c r="S1747" s="100"/>
      <c r="T1747" s="100"/>
      <c r="U1747" s="100"/>
      <c r="V1747" s="100"/>
      <c r="W1747" s="100"/>
      <c r="X1747" s="100"/>
      <c r="Y1747" s="100"/>
      <c r="Z1747" s="100"/>
      <c r="AA1747" s="100"/>
      <c r="AB1747" s="100"/>
      <c r="AC1747" s="100"/>
      <c r="AD1747" s="100"/>
      <c r="AF1747"/>
      <c r="AG1747">
        <f t="shared" si="1080"/>
        <v>0</v>
      </c>
      <c r="AH1747">
        <f t="shared" si="1081"/>
        <v>0</v>
      </c>
      <c r="AK1747">
        <f t="shared" si="1066"/>
        <v>0</v>
      </c>
      <c r="AL1747">
        <f t="shared" si="1067"/>
        <v>0</v>
      </c>
      <c r="AM1747">
        <f t="shared" si="1082"/>
        <v>0</v>
      </c>
      <c r="AN1747">
        <f t="shared" si="1068"/>
        <v>0</v>
      </c>
      <c r="AO1747">
        <f t="shared" si="1069"/>
        <v>0</v>
      </c>
      <c r="AP1747">
        <f t="shared" si="1070"/>
        <v>0</v>
      </c>
      <c r="AQ1747">
        <f t="shared" si="1071"/>
        <v>0</v>
      </c>
      <c r="AR1747">
        <f t="shared" si="1072"/>
        <v>0</v>
      </c>
      <c r="AS1747">
        <f t="shared" si="1073"/>
        <v>0</v>
      </c>
      <c r="AT1747">
        <f t="shared" si="1074"/>
        <v>0</v>
      </c>
      <c r="AU1747">
        <f t="shared" si="1075"/>
        <v>0</v>
      </c>
      <c r="AV1747">
        <f t="shared" si="1076"/>
        <v>0</v>
      </c>
      <c r="AW1747">
        <f t="shared" si="1077"/>
        <v>0</v>
      </c>
      <c r="AX1747">
        <f t="shared" si="1078"/>
        <v>0</v>
      </c>
      <c r="AY1747">
        <f t="shared" si="1079"/>
        <v>0</v>
      </c>
      <c r="AZ1747" cm="1">
        <f t="array" ref="AZ1747">IF(OR(P1747={"NS","NA"},P1666={"NS","NA"}),0,IF(P1747&gt;=P1666,0,1))</f>
        <v>0</v>
      </c>
      <c r="BA1747" cm="1">
        <f t="array" ref="BA1747">IF(OR(Q1747={"NS","NA"},Q1666={"NS","NA"}),0,IF(Q1747&gt;=Q1666,0,1))</f>
        <v>0</v>
      </c>
      <c r="BB1747" cm="1">
        <f t="array" ref="BB1747">IF(OR(R1747={"NS","NA"},R1666={"NS","NA"}),0,IF(R1747&gt;=R1666,0,1))</f>
        <v>0</v>
      </c>
      <c r="BC1747" cm="1">
        <f t="array" ref="BC1747">IF(OR(S1747={"NS","NA"},$P1666={"NS","NA"}),0,IF(S1747&lt;=$P1666,0,1))</f>
        <v>0</v>
      </c>
      <c r="BD1747" cm="1">
        <f t="array" ref="BD1747">IF(OR(T1747={"NS","NA"},$Q1666={"NS","NA"}),0,IF(T1747&lt;=$Q1666,0,1))</f>
        <v>0</v>
      </c>
      <c r="BE1747" cm="1">
        <f t="array" ref="BE1747">IF(OR(U1747={"NS","NA"},$R1666={"NS","NA"}),0,IF(U1747&lt;=$R1666,0,1))</f>
        <v>0</v>
      </c>
      <c r="BF1747" cm="1">
        <f t="array" ref="BF1747">IF(OR(V1747={"NS","NA"},$P1666={"NS","NA"}),0,IF(V1747&lt;=$P1666,0,1))</f>
        <v>0</v>
      </c>
      <c r="BG1747" cm="1">
        <f t="array" ref="BG1747">IF(OR(W1747={"NS","NA"},$Q1666={"NS","NA"}),0,IF(W1747&lt;=$Q1666,0,1))</f>
        <v>0</v>
      </c>
      <c r="BH1747" cm="1">
        <f t="array" ref="BH1747">IF(OR(X1747={"NS","NA"},$R1666={"NS","NA"}),0,IF(X1747&lt;=$R1666,0,1))</f>
        <v>0</v>
      </c>
      <c r="BI1747" cm="1">
        <f t="array" ref="BI1747">IF(OR(Y1747={"NS","NA"},$P1666={"NS","NA"}),0,IF(Y1747&lt;=$P1666,0,1))</f>
        <v>0</v>
      </c>
      <c r="BJ1747" cm="1">
        <f t="array" ref="BJ1747">IF(OR(Z1747={"NS","NA"},$Q1666={"NS","NA"}),0,IF(Z1747&lt;=$Q1666,0,1))</f>
        <v>0</v>
      </c>
      <c r="BK1747" cm="1">
        <f t="array" ref="BK1747">IF(OR(AA1747={"NS","NA"},$R1666={"NS","NA"}),0,IF(AA1747&lt;=$R1666,0,1))</f>
        <v>0</v>
      </c>
      <c r="BL1747" cm="1">
        <f t="array" ref="BL1747">IF(OR(AB1747={"NS","NA"},$P1666={"NS","NA"}),0,IF(AB1747&lt;=$P1666,0,1))</f>
        <v>0</v>
      </c>
      <c r="BM1747" cm="1">
        <f t="array" ref="BM1747">IF(OR(AC1747={"NS","NA"},$Q1666={"NS","NA"}),0,IF(AC1747&lt;=$Q1666,0,1))</f>
        <v>0</v>
      </c>
      <c r="BN1747" cm="1">
        <f t="array" ref="BN1747">IF(OR(AD1747={"NS","NA"},$R1666={"NS","NA"}),0,IF(AD1747&lt;=$R1666,0,1))</f>
        <v>0</v>
      </c>
    </row>
    <row r="1748" spans="1:66" ht="15" customHeight="1">
      <c r="A1748" s="49"/>
      <c r="B1748" s="38"/>
      <c r="C1748" s="1119" t="s">
        <v>4977</v>
      </c>
      <c r="D1748" s="1121"/>
      <c r="E1748" s="1121"/>
      <c r="F1748" s="1120"/>
      <c r="G1748" s="175"/>
      <c r="H1748" s="1124" t="s">
        <v>201</v>
      </c>
      <c r="I1748" s="1124"/>
      <c r="J1748" s="1124"/>
      <c r="K1748" s="1124"/>
      <c r="L1748" s="1124"/>
      <c r="M1748" s="1124"/>
      <c r="N1748" s="1124"/>
      <c r="O1748" s="1125"/>
      <c r="P1748" s="100"/>
      <c r="Q1748" s="100"/>
      <c r="R1748" s="100"/>
      <c r="S1748" s="100"/>
      <c r="T1748" s="100"/>
      <c r="U1748" s="100"/>
      <c r="V1748" s="100"/>
      <c r="W1748" s="100"/>
      <c r="X1748" s="100"/>
      <c r="Y1748" s="100"/>
      <c r="Z1748" s="100"/>
      <c r="AA1748" s="100"/>
      <c r="AB1748" s="100"/>
      <c r="AC1748" s="100"/>
      <c r="AD1748" s="100"/>
      <c r="AF1748"/>
      <c r="AG1748">
        <f>IF(P1748="NA",0,IF(COUNTA(P1748:AD1748,P1760:AD1760)=30,0,IF(COUNTA($P$1742:$AD$1748,$P$1754:$AD$1760)=0,0,1)))</f>
        <v>0</v>
      </c>
      <c r="AH1748">
        <f>IF(P1748="NA",IF(COUNTA(Q1748:AD1748,P1760:AD1760)=0,0,1),0)</f>
        <v>0</v>
      </c>
      <c r="AK1748">
        <f t="shared" si="1066"/>
        <v>0</v>
      </c>
      <c r="AL1748">
        <f t="shared" si="1067"/>
        <v>0</v>
      </c>
      <c r="AM1748">
        <f t="shared" si="1082"/>
        <v>0</v>
      </c>
      <c r="AN1748">
        <f t="shared" si="1068"/>
        <v>0</v>
      </c>
      <c r="AO1748">
        <f t="shared" si="1069"/>
        <v>0</v>
      </c>
      <c r="AP1748">
        <f t="shared" si="1070"/>
        <v>0</v>
      </c>
      <c r="AQ1748">
        <f t="shared" si="1071"/>
        <v>0</v>
      </c>
      <c r="AR1748">
        <f t="shared" si="1072"/>
        <v>0</v>
      </c>
      <c r="AS1748">
        <f t="shared" si="1073"/>
        <v>0</v>
      </c>
      <c r="AT1748">
        <f t="shared" si="1074"/>
        <v>0</v>
      </c>
      <c r="AU1748">
        <f t="shared" si="1075"/>
        <v>0</v>
      </c>
      <c r="AV1748">
        <f t="shared" si="1076"/>
        <v>0</v>
      </c>
      <c r="AW1748">
        <f t="shared" si="1077"/>
        <v>0</v>
      </c>
      <c r="AX1748">
        <f t="shared" si="1078"/>
        <v>0</v>
      </c>
      <c r="AY1748">
        <f>IF(COUNTIF(AB1748:AD1748,"NA")=3,0,IF(COUNTA(AB1748:AD1748)=0,0,IF(OR(AND(AB1748=0,AW1748&gt;0),AND(AB1748="ns",AX1748&gt;0),AND(AB1748="ns",AW1748=0,AX1748=0)),1,IF(OR(AND(AB1748&gt;0,AW1748=2),AND(AB1748="ns",AW1748=2),AND(AB1748="ns",AX1748=0,AW1748&gt;0),AB1748=AX1748),0,1))))</f>
        <v>0</v>
      </c>
      <c r="AZ1748" cm="1">
        <f t="array" ref="AZ1748">IF(OR(P1748={"NS","NA"},P1667={"NS","NA"}),0,IF(P1748&gt;=P1667,0,1))</f>
        <v>0</v>
      </c>
      <c r="BA1748" cm="1">
        <f t="array" ref="BA1748">IF(OR(Q1748={"NS","NA"},Q1667={"NS","NA"}),0,IF(Q1748&gt;=Q1667,0,1))</f>
        <v>0</v>
      </c>
      <c r="BB1748" cm="1">
        <f t="array" ref="BB1748">IF(OR(R1748={"NS","NA"},R1667={"NS","NA"}),0,IF(R1748&gt;=R1667,0,1))</f>
        <v>0</v>
      </c>
      <c r="BC1748" cm="1">
        <f t="array" ref="BC1748">IF(OR(S1748={"NS","NA"},$P1667={"NS","NA"}),0,IF(S1748&lt;=$P1667,0,1))</f>
        <v>0</v>
      </c>
      <c r="BD1748" cm="1">
        <f t="array" ref="BD1748">IF(OR(T1748={"NS","NA"},$Q1667={"NS","NA"}),0,IF(T1748&lt;=$Q1667,0,1))</f>
        <v>0</v>
      </c>
      <c r="BE1748" cm="1">
        <f t="array" ref="BE1748">IF(OR(U1748={"NS","NA"},$R1667={"NS","NA"}),0,IF(U1748&lt;=$R1667,0,1))</f>
        <v>0</v>
      </c>
      <c r="BF1748" cm="1">
        <f t="array" ref="BF1748">IF(OR(V1748={"NS","NA"},$P1667={"NS","NA"}),0,IF(V1748&lt;=$P1667,0,1))</f>
        <v>0</v>
      </c>
      <c r="BG1748" cm="1">
        <f t="array" ref="BG1748">IF(OR(W1748={"NS","NA"},$Q1667={"NS","NA"}),0,IF(W1748&lt;=$Q1667,0,1))</f>
        <v>0</v>
      </c>
      <c r="BH1748" cm="1">
        <f t="array" ref="BH1748">IF(OR(X1748={"NS","NA"},$R1667={"NS","NA"}),0,IF(X1748&lt;=$R1667,0,1))</f>
        <v>0</v>
      </c>
      <c r="BI1748" cm="1">
        <f t="array" ref="BI1748">IF(OR(Y1748={"NS","NA"},$P1667={"NS","NA"}),0,IF(Y1748&lt;=$P1667,0,1))</f>
        <v>0</v>
      </c>
      <c r="BJ1748" cm="1">
        <f t="array" ref="BJ1748">IF(OR(Z1748={"NS","NA"},$Q1667={"NS","NA"}),0,IF(Z1748&lt;=$Q1667,0,1))</f>
        <v>0</v>
      </c>
      <c r="BK1748" cm="1">
        <f t="array" ref="BK1748">IF(OR(AA1748={"NS","NA"},$R1667={"NS","NA"}),0,IF(AA1748&lt;=$R1667,0,1))</f>
        <v>0</v>
      </c>
      <c r="BL1748" cm="1">
        <f t="array" ref="BL1748">IF(OR(AB1748={"NS","NA"},$P1667={"NS","NA"}),0,IF(AB1748&lt;=$P1667,0,1))</f>
        <v>0</v>
      </c>
      <c r="BM1748" cm="1">
        <f t="array" ref="BM1748">IF(OR(AC1748={"NS","NA"},$Q1667={"NS","NA"}),0,IF(AC1748&lt;=$Q1667,0,1))</f>
        <v>0</v>
      </c>
      <c r="BN1748" cm="1">
        <f t="array" ref="BN1748">IF(OR(AD1748={"NS","NA"},$R1667={"NS","NA"}),0,IF(AD1748&lt;=$R1667,0,1))</f>
        <v>0</v>
      </c>
    </row>
    <row r="1749" spans="1:66" ht="15" customHeight="1">
      <c r="A1749" s="49"/>
      <c r="B1749" s="38"/>
      <c r="C1749" s="38"/>
      <c r="D1749" s="38"/>
      <c r="E1749" s="38"/>
      <c r="F1749" s="38"/>
      <c r="G1749" s="38"/>
      <c r="H1749" s="38"/>
      <c r="I1749" s="38"/>
      <c r="J1749" s="38"/>
      <c r="K1749" s="38"/>
      <c r="L1749" s="38"/>
      <c r="M1749" s="38"/>
      <c r="N1749" s="38"/>
      <c r="O1749" s="38"/>
      <c r="P1749" s="38"/>
      <c r="Q1749" s="38"/>
      <c r="R1749" s="38"/>
      <c r="S1749" s="38"/>
      <c r="T1749" s="38"/>
      <c r="U1749" s="38"/>
      <c r="V1749" s="38"/>
      <c r="W1749" s="38"/>
      <c r="X1749" s="38"/>
      <c r="AF1749"/>
      <c r="AG1749" s="507">
        <f>SUM(AG1742:AG1748)</f>
        <v>0</v>
      </c>
      <c r="AH1749" s="507">
        <f>SUM(AH1742:AH1748)</f>
        <v>0</v>
      </c>
      <c r="AK1749">
        <f>SUM(AK1742:AK1748)</f>
        <v>0</v>
      </c>
      <c r="AM1749">
        <f>SUM(AM1742:AM1748)</f>
        <v>0</v>
      </c>
      <c r="AN1749">
        <f>SUM(AN1742:AN1748)</f>
        <v>0</v>
      </c>
      <c r="AP1749">
        <f>SUM(AP1742:AP1748)</f>
        <v>0</v>
      </c>
      <c r="AQ1749">
        <f>SUM(AQ1742:AQ1748)</f>
        <v>0</v>
      </c>
      <c r="AS1749">
        <f>SUM(AS1742:AS1748)</f>
        <v>0</v>
      </c>
      <c r="AT1749">
        <f>SUM(AT1742:AT1748)</f>
        <v>0</v>
      </c>
      <c r="AV1749">
        <f>SUM(AV1742:AV1748)</f>
        <v>0</v>
      </c>
      <c r="AW1749">
        <f>SUM(AW1742:AW1748)</f>
        <v>0</v>
      </c>
      <c r="AY1749">
        <f>SUM(AY1742:AY1748)</f>
        <v>0</v>
      </c>
      <c r="AZ1749"/>
      <c r="BA1749"/>
      <c r="BB1749" s="506">
        <f>SUM(AZ1742:BB1748)</f>
        <v>0</v>
      </c>
      <c r="BC1749"/>
      <c r="BD1749"/>
      <c r="BE1749"/>
      <c r="BF1749"/>
      <c r="BG1749"/>
      <c r="BH1749"/>
      <c r="BI1749"/>
      <c r="BJ1749"/>
      <c r="BK1749"/>
      <c r="BL1749"/>
      <c r="BM1749"/>
      <c r="BN1749" s="405">
        <f>SUM(BC1742:BN1748)</f>
        <v>0</v>
      </c>
    </row>
    <row r="1750" spans="1:66" ht="15" customHeight="1">
      <c r="A1750" s="94"/>
      <c r="AA1750" s="875" t="s">
        <v>2668</v>
      </c>
      <c r="AB1750" s="875"/>
      <c r="AC1750" s="875"/>
      <c r="AD1750" s="875"/>
      <c r="AF1750"/>
      <c r="AK1750" t="s">
        <v>2650</v>
      </c>
      <c r="AL1750" s="405">
        <f>SUM(AM1749,AP1749,AS1749,AV1749,AY1749)</f>
        <v>0</v>
      </c>
      <c r="AM1750" t="s">
        <v>2651</v>
      </c>
      <c r="AN1750">
        <f>SUM(AK1749,AN1749,AQ1749,AT1749,AW1749)</f>
        <v>0</v>
      </c>
      <c r="AZ1750"/>
      <c r="BA1750"/>
      <c r="BB1750"/>
      <c r="BC1750"/>
      <c r="BD1750"/>
      <c r="BE1750"/>
      <c r="BF1750"/>
      <c r="BG1750"/>
      <c r="BH1750"/>
      <c r="BI1750"/>
      <c r="BJ1750"/>
      <c r="BK1750"/>
      <c r="BL1750"/>
      <c r="BM1750"/>
      <c r="BN1750"/>
    </row>
    <row r="1751" spans="1:66" ht="36" customHeight="1">
      <c r="A1751" s="103"/>
      <c r="B1751" s="113"/>
      <c r="C1751" s="991" t="s">
        <v>5432</v>
      </c>
      <c r="D1751" s="992"/>
      <c r="E1751" s="992"/>
      <c r="F1751" s="992"/>
      <c r="G1751" s="992"/>
      <c r="H1751" s="992"/>
      <c r="I1751" s="992"/>
      <c r="J1751" s="992"/>
      <c r="K1751" s="992"/>
      <c r="L1751" s="992"/>
      <c r="M1751" s="992"/>
      <c r="N1751" s="992"/>
      <c r="O1751" s="993"/>
      <c r="P1751" s="739" t="s">
        <v>5433</v>
      </c>
      <c r="Q1751" s="740"/>
      <c r="R1751" s="740"/>
      <c r="S1751" s="740"/>
      <c r="T1751" s="740"/>
      <c r="U1751" s="740"/>
      <c r="V1751" s="740"/>
      <c r="W1751" s="740"/>
      <c r="X1751" s="740"/>
      <c r="Y1751" s="740"/>
      <c r="Z1751" s="740"/>
      <c r="AA1751" s="740"/>
      <c r="AB1751" s="740"/>
      <c r="AC1751" s="740"/>
      <c r="AD1751" s="741"/>
      <c r="AF1751"/>
      <c r="AK1751" t="s">
        <v>2652</v>
      </c>
      <c r="AL1751">
        <f>IF(AN1750&gt;0,IF(SUM(P1749)&gt;=SUM(S1749,V1749,Y1749,AB1749),0,1),IF(SUM(P1749)&lt;&gt;SUM(S1749,V1749,Y1749,AB1749),1,0))</f>
        <v>0</v>
      </c>
      <c r="AM1751" t="s">
        <v>2653</v>
      </c>
      <c r="AN1751">
        <f>IF(AN1750&gt;0,IF(SUM(Q1749)&gt;=SUM(T1749,W1749,Z1749,AC1749),0,1),IF(SUM(Q1749)&lt;&gt;SUM(T1749,W1749,Z1749,AC1749),1,0))</f>
        <v>0</v>
      </c>
      <c r="AO1751" t="s">
        <v>2654</v>
      </c>
      <c r="AP1751">
        <f>IF(AN1750&gt;0,IF(SUM(R1749)&gt;=SUM(U1749,X1749,AA1749,AD1749),0,1),IF(SUM(R1749)&lt;&gt;SUM(U1749,X1749,AA1749,AD1749),1,0))</f>
        <v>0</v>
      </c>
      <c r="AZ1751"/>
      <c r="BA1751"/>
      <c r="BB1751"/>
      <c r="BC1751"/>
      <c r="BD1751"/>
      <c r="BE1751"/>
      <c r="BF1751"/>
      <c r="BG1751"/>
      <c r="BH1751"/>
      <c r="BI1751"/>
      <c r="BJ1751"/>
      <c r="BK1751"/>
      <c r="BL1751"/>
      <c r="BM1751"/>
      <c r="BN1751"/>
    </row>
    <row r="1752" spans="1:66" ht="120" customHeight="1">
      <c r="A1752" s="103"/>
      <c r="C1752" s="994"/>
      <c r="D1752" s="995"/>
      <c r="E1752" s="995"/>
      <c r="F1752" s="995"/>
      <c r="G1752" s="995"/>
      <c r="H1752" s="995"/>
      <c r="I1752" s="995"/>
      <c r="J1752" s="995"/>
      <c r="K1752" s="995"/>
      <c r="L1752" s="995"/>
      <c r="M1752" s="995"/>
      <c r="N1752" s="995"/>
      <c r="O1752" s="996"/>
      <c r="P1752" s="858" t="s">
        <v>5439</v>
      </c>
      <c r="Q1752" s="859"/>
      <c r="R1752" s="860"/>
      <c r="S1752" s="858" t="s">
        <v>5440</v>
      </c>
      <c r="T1752" s="859"/>
      <c r="U1752" s="860"/>
      <c r="V1752" s="858" t="s">
        <v>5441</v>
      </c>
      <c r="W1752" s="859"/>
      <c r="X1752" s="860"/>
      <c r="Y1752" s="858" t="s">
        <v>5442</v>
      </c>
      <c r="Z1752" s="859"/>
      <c r="AA1752" s="860"/>
      <c r="AB1752" s="858" t="s">
        <v>201</v>
      </c>
      <c r="AC1752" s="859"/>
      <c r="AD1752" s="860"/>
      <c r="AF1752"/>
      <c r="AZ1752"/>
      <c r="BA1752"/>
      <c r="BB1752"/>
      <c r="BC1752"/>
      <c r="BD1752"/>
      <c r="BE1752"/>
      <c r="BF1752"/>
      <c r="BG1752"/>
      <c r="BH1752"/>
      <c r="BI1752"/>
      <c r="BJ1752"/>
      <c r="BK1752"/>
      <c r="BL1752"/>
      <c r="BM1752"/>
      <c r="BN1752"/>
    </row>
    <row r="1753" spans="1:66" ht="48" customHeight="1">
      <c r="A1753" s="103"/>
      <c r="C1753" s="997"/>
      <c r="D1753" s="998"/>
      <c r="E1753" s="998"/>
      <c r="F1753" s="998"/>
      <c r="G1753" s="998"/>
      <c r="H1753" s="998"/>
      <c r="I1753" s="998"/>
      <c r="J1753" s="998"/>
      <c r="K1753" s="998"/>
      <c r="L1753" s="998"/>
      <c r="M1753" s="998"/>
      <c r="N1753" s="998"/>
      <c r="O1753" s="999"/>
      <c r="P1753" s="127" t="s">
        <v>2635</v>
      </c>
      <c r="Q1753" s="128" t="s">
        <v>2629</v>
      </c>
      <c r="R1753" s="128" t="s">
        <v>2630</v>
      </c>
      <c r="S1753" s="127" t="s">
        <v>2635</v>
      </c>
      <c r="T1753" s="128" t="s">
        <v>2629</v>
      </c>
      <c r="U1753" s="128" t="s">
        <v>2630</v>
      </c>
      <c r="V1753" s="127" t="s">
        <v>2635</v>
      </c>
      <c r="W1753" s="128" t="s">
        <v>2629</v>
      </c>
      <c r="X1753" s="128" t="s">
        <v>2630</v>
      </c>
      <c r="Y1753" s="127" t="s">
        <v>2635</v>
      </c>
      <c r="Z1753" s="128" t="s">
        <v>2629</v>
      </c>
      <c r="AA1753" s="128" t="s">
        <v>2630</v>
      </c>
      <c r="AB1753" s="171" t="s">
        <v>2635</v>
      </c>
      <c r="AC1753" s="128" t="s">
        <v>2629</v>
      </c>
      <c r="AD1753" s="128" t="s">
        <v>2630</v>
      </c>
      <c r="AF1753"/>
      <c r="AK1753" t="s">
        <v>4573</v>
      </c>
      <c r="AL1753" t="s">
        <v>2638</v>
      </c>
      <c r="AM1753" t="s">
        <v>2639</v>
      </c>
      <c r="AN1753" t="s">
        <v>4574</v>
      </c>
      <c r="AO1753" t="s">
        <v>2641</v>
      </c>
      <c r="AP1753" t="s">
        <v>2642</v>
      </c>
      <c r="AQ1753" t="s">
        <v>4575</v>
      </c>
      <c r="AR1753" t="s">
        <v>2644</v>
      </c>
      <c r="AS1753" t="s">
        <v>2645</v>
      </c>
      <c r="AT1753" t="s">
        <v>4576</v>
      </c>
      <c r="AU1753" t="s">
        <v>2647</v>
      </c>
      <c r="AV1753" t="s">
        <v>2648</v>
      </c>
      <c r="AW1753" t="s">
        <v>5177</v>
      </c>
      <c r="AX1753" t="s">
        <v>2757</v>
      </c>
      <c r="AY1753" t="s">
        <v>2758</v>
      </c>
      <c r="AZ1753" t="s">
        <v>4730</v>
      </c>
      <c r="BA1753"/>
      <c r="BB1753"/>
      <c r="BC1753"/>
      <c r="BD1753"/>
      <c r="BE1753"/>
      <c r="BF1753"/>
      <c r="BG1753"/>
      <c r="BH1753"/>
      <c r="BI1753"/>
      <c r="BJ1753"/>
      <c r="BK1753"/>
      <c r="BL1753"/>
      <c r="BM1753"/>
      <c r="BN1753"/>
    </row>
    <row r="1754" spans="1:66" ht="36" customHeight="1">
      <c r="A1754" s="105"/>
      <c r="B1754" s="157"/>
      <c r="C1754" s="733" t="s">
        <v>4965</v>
      </c>
      <c r="D1754" s="734"/>
      <c r="E1754" s="734"/>
      <c r="F1754" s="735"/>
      <c r="G1754" s="813" t="s">
        <v>4966</v>
      </c>
      <c r="H1754" s="814"/>
      <c r="I1754" s="814"/>
      <c r="J1754" s="814"/>
      <c r="K1754" s="814"/>
      <c r="L1754" s="814"/>
      <c r="M1754" s="814"/>
      <c r="N1754" s="814"/>
      <c r="O1754" s="815"/>
      <c r="P1754" s="100"/>
      <c r="Q1754" s="100"/>
      <c r="R1754" s="100"/>
      <c r="S1754" s="100"/>
      <c r="T1754" s="100"/>
      <c r="U1754" s="100"/>
      <c r="V1754" s="100"/>
      <c r="W1754" s="100"/>
      <c r="X1754" s="100"/>
      <c r="Y1754" s="100"/>
      <c r="Z1754" s="100"/>
      <c r="AA1754" s="100"/>
      <c r="AB1754" s="100"/>
      <c r="AC1754" s="100"/>
      <c r="AD1754" s="100"/>
      <c r="AF1754"/>
      <c r="AG1754" s="242"/>
      <c r="AH1754" s="242"/>
      <c r="AI1754" s="242"/>
      <c r="AJ1754" s="242"/>
      <c r="AK1754">
        <f t="shared" ref="AK1754:AK1760" si="1083">COUNTIF(Q1754:R1754,"NS")</f>
        <v>0</v>
      </c>
      <c r="AL1754">
        <f t="shared" ref="AL1754:AL1760" si="1084">SUM(Q1754:R1754)</f>
        <v>0</v>
      </c>
      <c r="AM1754">
        <f>IF(COUNTIF(P1754:R1754,"NA")=3,0,IF(COUNTA(P1754:R1754)=0,0,IF(OR(AND(P1754=0,AK1754&gt;0),AND(P1754="ns",AL1754&gt;0),AND(P1754="ns",AK1754=0,AL1754=0)),1,IF(OR(AND(P1754&gt;0,AK1754=2),AND(P1754="ns",AK1754=2),AND(P1754="ns",AL1754=0,AK1754&gt;0),P1754=AL1754),0,1))))</f>
        <v>0</v>
      </c>
      <c r="AN1754">
        <f t="shared" ref="AN1754:AN1760" si="1085">COUNTIF(T1754:U1754,"NS")</f>
        <v>0</v>
      </c>
      <c r="AO1754">
        <f t="shared" ref="AO1754:AO1760" si="1086">SUM(T1754:U1754)</f>
        <v>0</v>
      </c>
      <c r="AP1754">
        <f t="shared" ref="AP1754:AP1760" si="1087">IF(COUNTIF(S1754:U1754,"NA")=3,0,IF(COUNTA(S1754:U1754)=0,0,IF(OR(AND(S1754=0,AN1754&gt;0),AND(S1754="ns",AO1754&gt;0),AND(S1754="ns",AN1754=0,AO1754=0)),1,IF(OR(AND(S1754&gt;0,AN1754=2),AND(S1754="ns",AN1754=2),AND(S1754="ns",AO1754=0,AN1754&gt;0),S1754=AO1754),0,1))))</f>
        <v>0</v>
      </c>
      <c r="AQ1754">
        <f t="shared" ref="AQ1754:AQ1760" si="1088">COUNTIF(W1754:X1754,"NS")</f>
        <v>0</v>
      </c>
      <c r="AR1754">
        <f t="shared" ref="AR1754:AR1760" si="1089">SUM(W1754:X1754)</f>
        <v>0</v>
      </c>
      <c r="AS1754">
        <f t="shared" ref="AS1754:AS1760" si="1090">IF(COUNTIF(V1754:X1754,"NA")=3,0,IF(COUNTA(V1754:X1754)=0,0,IF(OR(AND(V1754=0,AQ1754&gt;0),AND(V1754="ns",AR1754&gt;0),AND(V1754="ns",AQ1754=0,AR1754=0)),1,IF(OR(AND(V1754&gt;0,AQ1754=2),AND(V1754="ns",AQ1754=2),AND(V1754="ns",AR1754=0,AQ1754&gt;0),V1754=AR1754),0,1))))</f>
        <v>0</v>
      </c>
      <c r="AT1754">
        <f t="shared" ref="AT1754:AT1760" si="1091">COUNTIF(Z1754:AA1754,"NS")</f>
        <v>0</v>
      </c>
      <c r="AU1754">
        <f t="shared" ref="AU1754:AU1760" si="1092">SUM(Z1754:AA1754)</f>
        <v>0</v>
      </c>
      <c r="AV1754">
        <f t="shared" ref="AV1754:AV1760" si="1093">IF(COUNTIF(Y1754:AA1754,"NA")=3,0,IF(COUNTA(Y1754:AA1754)=0,0,IF(OR(AND(Y1754=0,AT1754&gt;0),AND(Y1754="ns",AU1754&gt;0),AND(Y1754="ns",AT1754=0,AU1754=0)),1,IF(OR(AND(Y1754&gt;0,AT1754=2),AND(Y1754="ns",AT1754=2),AND(Y1754="ns",AU1754=0,AT1754&gt;0),Y1754=AU1754),0,1))))</f>
        <v>0</v>
      </c>
      <c r="AW1754">
        <f t="shared" ref="AW1754:AW1760" si="1094">COUNTIF(AC1754:AD1754,"NS")</f>
        <v>0</v>
      </c>
      <c r="AX1754">
        <f t="shared" ref="AX1754:AX1760" si="1095">SUM(AC1754:AD1754)</f>
        <v>0</v>
      </c>
      <c r="AY1754">
        <f t="shared" ref="AY1754:AY1759" si="1096">IF(COUNTIF(AB1754:AD1754,"NA")=3,0,IF(COUNTA(AB1754:AD1754)=0,0,IF(OR(AND(AB1754=0,AW1754&gt;0),AND(AB1754="ns",AX1754&gt;0),AND(AB1754="ns",AW1754=0,AX1754=0)),1,IF(OR(AND(AB1754&gt;0,AW1754=2),AND(AB1754="ns",AW1754=2),AND(AB1754="ns",AX1754=0,AW1754&gt;0),AB1754=AX1754),0,1))))</f>
        <v>0</v>
      </c>
      <c r="AZ1754" cm="1">
        <f t="array" ref="AZ1754">IF(OR(P1754={"NS","NA"},$P1661={"NS","NA"}),0,IF(P1754&lt;=$P1661,0,1))</f>
        <v>0</v>
      </c>
      <c r="BA1754" cm="1">
        <f t="array" ref="BA1754">IF(OR(Q1754={"NS","NA"},$Q1661={"NS","NA"}),0,IF(Q1754&lt;=$Q1661,0,1))</f>
        <v>0</v>
      </c>
      <c r="BB1754" cm="1">
        <f t="array" ref="BB1754">IF(OR(R1754={"NS","NA"},$R1661={"NS","NA"}),0,IF(R1754&lt;=$R1661,0,1))</f>
        <v>0</v>
      </c>
      <c r="BC1754" cm="1">
        <f t="array" ref="BC1754">IF(OR(S1754={"NS","NA"},$P1661={"NS","NA"}),0,IF(S1754&lt;=$P1661,0,1))</f>
        <v>0</v>
      </c>
      <c r="BD1754" cm="1">
        <f t="array" ref="BD1754">IF(OR(T1754={"NS","NA"},$Q1661={"NS","NA"}),0,IF(T1754&lt;=$Q1661,0,1))</f>
        <v>0</v>
      </c>
      <c r="BE1754" cm="1">
        <f t="array" ref="BE1754">IF(OR(U1754={"NS","NA"},$R1661={"NS","NA"}),0,IF(U1754&lt;=$R1661,0,1))</f>
        <v>0</v>
      </c>
      <c r="BF1754" cm="1">
        <f t="array" ref="BF1754">IF(OR(V1754={"NS","NA"},$P1661={"NS","NA"}),0,IF(V1754&lt;=$P1661,0,1))</f>
        <v>0</v>
      </c>
      <c r="BG1754" cm="1">
        <f t="array" ref="BG1754">IF(OR(W1754={"NS","NA"},$Q1661={"NS","NA"}),0,IF(W1754&lt;=$Q1661,0,1))</f>
        <v>0</v>
      </c>
      <c r="BH1754" cm="1">
        <f t="array" ref="BH1754">IF(OR(X1754={"NS","NA"},$R1661={"NS","NA"}),0,IF(X1754&lt;=$R1661,0,1))</f>
        <v>0</v>
      </c>
      <c r="BI1754" cm="1">
        <f t="array" ref="BI1754">IF(OR(Y1754={"NS","NA"},$P1661={"NS","NA"}),0,IF(Y1754&lt;=$P1661,0,1))</f>
        <v>0</v>
      </c>
      <c r="BJ1754" cm="1">
        <f t="array" ref="BJ1754">IF(OR(Z1754={"NS","NA"},$Q1661={"NS","NA"}),0,IF(Z1754&lt;=$Q1661,0,1))</f>
        <v>0</v>
      </c>
      <c r="BK1754" cm="1">
        <f t="array" ref="BK1754">IF(OR(AA1754={"NS","NA"},$R1661={"NS","NA"}),0,IF(AA1754&lt;=$R1661,0,1))</f>
        <v>0</v>
      </c>
      <c r="BL1754" cm="1">
        <f t="array" ref="BL1754">IF(OR(AB1754={"NS","NA"},$P1661={"NS","NA"}),0,IF(AB1754&lt;=$P1661,0,1))</f>
        <v>0</v>
      </c>
      <c r="BM1754" cm="1">
        <f t="array" ref="BM1754">IF(OR(AC1754={"NS","NA"},$Q1661={"NS","NA"}),0,IF(AC1754&lt;=$Q1661,0,1))</f>
        <v>0</v>
      </c>
      <c r="BN1754" cm="1">
        <f t="array" ref="BN1754">IF(OR(AD1754={"NS","NA"},$R1661={"NS","NA"}),0,IF(AD1754&lt;=$R1661,0,1))</f>
        <v>0</v>
      </c>
    </row>
    <row r="1755" spans="1:66" ht="15" customHeight="1">
      <c r="A1755" s="49"/>
      <c r="B1755" s="38"/>
      <c r="C1755" s="1119" t="s">
        <v>4967</v>
      </c>
      <c r="D1755" s="1121"/>
      <c r="E1755" s="1121"/>
      <c r="F1755" s="1120"/>
      <c r="G1755" s="174"/>
      <c r="H1755" s="1126" t="s">
        <v>4968</v>
      </c>
      <c r="I1755" s="1126"/>
      <c r="J1755" s="1126"/>
      <c r="K1755" s="1126"/>
      <c r="L1755" s="1126"/>
      <c r="M1755" s="1126"/>
      <c r="N1755" s="1126"/>
      <c r="O1755" s="1127"/>
      <c r="P1755" s="100"/>
      <c r="Q1755" s="100"/>
      <c r="R1755" s="100"/>
      <c r="S1755" s="100"/>
      <c r="T1755" s="100"/>
      <c r="U1755" s="100"/>
      <c r="V1755" s="100"/>
      <c r="W1755" s="100"/>
      <c r="X1755" s="100"/>
      <c r="Y1755" s="100"/>
      <c r="Z1755" s="100"/>
      <c r="AA1755" s="100"/>
      <c r="AB1755" s="100"/>
      <c r="AC1755" s="100"/>
      <c r="AD1755" s="100"/>
      <c r="AF1755"/>
      <c r="AK1755">
        <f t="shared" si="1083"/>
        <v>0</v>
      </c>
      <c r="AL1755">
        <f t="shared" si="1084"/>
        <v>0</v>
      </c>
      <c r="AM1755">
        <f t="shared" ref="AM1755:AM1760" si="1097">IF(COUNTIF(P1755:R1755,"NA")=3,0,IF(COUNTA(P1755:R1755)=0,0,IF(OR(AND(P1755=0,AK1755&gt;0),AND(P1755="ns",AL1755&gt;0),AND(P1755="ns",AK1755=0,AL1755=0)),1,IF(OR(AND(P1755&gt;0,AK1755=2),AND(P1755="ns",AK1755=2),AND(P1755="ns",AL1755=0,AK1755&gt;0),P1755=AL1755),0,1))))</f>
        <v>0</v>
      </c>
      <c r="AN1755">
        <f t="shared" si="1085"/>
        <v>0</v>
      </c>
      <c r="AO1755">
        <f t="shared" si="1086"/>
        <v>0</v>
      </c>
      <c r="AP1755">
        <f t="shared" si="1087"/>
        <v>0</v>
      </c>
      <c r="AQ1755">
        <f t="shared" si="1088"/>
        <v>0</v>
      </c>
      <c r="AR1755">
        <f t="shared" si="1089"/>
        <v>0</v>
      </c>
      <c r="AS1755">
        <f t="shared" si="1090"/>
        <v>0</v>
      </c>
      <c r="AT1755">
        <f t="shared" si="1091"/>
        <v>0</v>
      </c>
      <c r="AU1755">
        <f t="shared" si="1092"/>
        <v>0</v>
      </c>
      <c r="AV1755">
        <f t="shared" si="1093"/>
        <v>0</v>
      </c>
      <c r="AW1755">
        <f t="shared" si="1094"/>
        <v>0</v>
      </c>
      <c r="AX1755">
        <f t="shared" si="1095"/>
        <v>0</v>
      </c>
      <c r="AY1755">
        <f t="shared" si="1096"/>
        <v>0</v>
      </c>
      <c r="AZ1755" cm="1">
        <f t="array" ref="AZ1755">IF(OR(P1755={"NS","NA"},$P1662={"NS","NA"}),0,IF(P1755&lt;=$P1662,0,1))</f>
        <v>0</v>
      </c>
      <c r="BA1755" cm="1">
        <f t="array" ref="BA1755">IF(OR(Q1755={"NS","NA"},$Q1662={"NS","NA"}),0,IF(Q1755&lt;=$Q1662,0,1))</f>
        <v>0</v>
      </c>
      <c r="BB1755" cm="1">
        <f t="array" ref="BB1755">IF(OR(R1755={"NS","NA"},$R1662={"NS","NA"}),0,IF(R1755&lt;=$R1662,0,1))</f>
        <v>0</v>
      </c>
      <c r="BC1755" cm="1">
        <f t="array" ref="BC1755">IF(OR(S1755={"NS","NA"},$P1662={"NS","NA"}),0,IF(S1755&lt;=$P1662,0,1))</f>
        <v>0</v>
      </c>
      <c r="BD1755" cm="1">
        <f t="array" ref="BD1755">IF(OR(T1755={"NS","NA"},$Q1662={"NS","NA"}),0,IF(T1755&lt;=$Q1662,0,1))</f>
        <v>0</v>
      </c>
      <c r="BE1755" cm="1">
        <f t="array" ref="BE1755">IF(OR(U1755={"NS","NA"},$R1662={"NS","NA"}),0,IF(U1755&lt;=$R1662,0,1))</f>
        <v>0</v>
      </c>
      <c r="BF1755" cm="1">
        <f t="array" ref="BF1755">IF(OR(V1755={"NS","NA"},$P1662={"NS","NA"}),0,IF(V1755&lt;=$P1662,0,1))</f>
        <v>0</v>
      </c>
      <c r="BG1755" cm="1">
        <f t="array" ref="BG1755">IF(OR(W1755={"NS","NA"},$Q1662={"NS","NA"}),0,IF(W1755&lt;=$Q1662,0,1))</f>
        <v>0</v>
      </c>
      <c r="BH1755" cm="1">
        <f t="array" ref="BH1755">IF(OR(X1755={"NS","NA"},$R1662={"NS","NA"}),0,IF(X1755&lt;=$R1662,0,1))</f>
        <v>0</v>
      </c>
      <c r="BI1755" cm="1">
        <f t="array" ref="BI1755">IF(OR(Y1755={"NS","NA"},$P1662={"NS","NA"}),0,IF(Y1755&lt;=$P1662,0,1))</f>
        <v>0</v>
      </c>
      <c r="BJ1755" cm="1">
        <f t="array" ref="BJ1755">IF(OR(Z1755={"NS","NA"},$Q1662={"NS","NA"}),0,IF(Z1755&lt;=$Q1662,0,1))</f>
        <v>0</v>
      </c>
      <c r="BK1755" cm="1">
        <f t="array" ref="BK1755">IF(OR(AA1755={"NS","NA"},$R1662={"NS","NA"}),0,IF(AA1755&lt;=$R1662,0,1))</f>
        <v>0</v>
      </c>
      <c r="BL1755" cm="1">
        <f t="array" ref="BL1755">IF(OR(AB1755={"NS","NA"},$P1662={"NS","NA"}),0,IF(AB1755&lt;=$P1662,0,1))</f>
        <v>0</v>
      </c>
      <c r="BM1755" cm="1">
        <f t="array" ref="BM1755">IF(OR(AC1755={"NS","NA"},$Q1662={"NS","NA"}),0,IF(AC1755&lt;=$Q1662,0,1))</f>
        <v>0</v>
      </c>
      <c r="BN1755" cm="1">
        <f t="array" ref="BN1755">IF(OR(AD1755={"NS","NA"},$R1662={"NS","NA"}),0,IF(AD1755&lt;=$R1662,0,1))</f>
        <v>0</v>
      </c>
    </row>
    <row r="1756" spans="1:66" ht="24" customHeight="1">
      <c r="A1756" s="105"/>
      <c r="B1756" s="157"/>
      <c r="C1756" s="1119" t="s">
        <v>4969</v>
      </c>
      <c r="D1756" s="1121"/>
      <c r="E1756" s="1121"/>
      <c r="F1756" s="1120"/>
      <c r="G1756" s="174"/>
      <c r="H1756" s="1122" t="s">
        <v>4970</v>
      </c>
      <c r="I1756" s="1122"/>
      <c r="J1756" s="1122"/>
      <c r="K1756" s="1122"/>
      <c r="L1756" s="1122"/>
      <c r="M1756" s="1122"/>
      <c r="N1756" s="1122"/>
      <c r="O1756" s="1123"/>
      <c r="P1756" s="100"/>
      <c r="Q1756" s="100"/>
      <c r="R1756" s="100"/>
      <c r="S1756" s="100"/>
      <c r="T1756" s="100"/>
      <c r="U1756" s="100"/>
      <c r="V1756" s="100"/>
      <c r="W1756" s="100"/>
      <c r="X1756" s="100"/>
      <c r="Y1756" s="100"/>
      <c r="Z1756" s="100"/>
      <c r="AA1756" s="100"/>
      <c r="AB1756" s="100"/>
      <c r="AC1756" s="100"/>
      <c r="AD1756" s="100"/>
      <c r="AF1756"/>
      <c r="AG1756" s="242"/>
      <c r="AH1756" s="242"/>
      <c r="AI1756" s="242"/>
      <c r="AJ1756" s="242"/>
      <c r="AK1756">
        <f t="shared" si="1083"/>
        <v>0</v>
      </c>
      <c r="AL1756">
        <f t="shared" si="1084"/>
        <v>0</v>
      </c>
      <c r="AM1756">
        <f t="shared" si="1097"/>
        <v>0</v>
      </c>
      <c r="AN1756">
        <f t="shared" si="1085"/>
        <v>0</v>
      </c>
      <c r="AO1756">
        <f t="shared" si="1086"/>
        <v>0</v>
      </c>
      <c r="AP1756">
        <f t="shared" si="1087"/>
        <v>0</v>
      </c>
      <c r="AQ1756">
        <f t="shared" si="1088"/>
        <v>0</v>
      </c>
      <c r="AR1756">
        <f t="shared" si="1089"/>
        <v>0</v>
      </c>
      <c r="AS1756">
        <f t="shared" si="1090"/>
        <v>0</v>
      </c>
      <c r="AT1756">
        <f t="shared" si="1091"/>
        <v>0</v>
      </c>
      <c r="AU1756">
        <f t="shared" si="1092"/>
        <v>0</v>
      </c>
      <c r="AV1756">
        <f t="shared" si="1093"/>
        <v>0</v>
      </c>
      <c r="AW1756">
        <f t="shared" si="1094"/>
        <v>0</v>
      </c>
      <c r="AX1756">
        <f t="shared" si="1095"/>
        <v>0</v>
      </c>
      <c r="AY1756">
        <f t="shared" si="1096"/>
        <v>0</v>
      </c>
      <c r="AZ1756" cm="1">
        <f t="array" ref="AZ1756">IF(OR(P1756={"NS","NA"},$P1663={"NS","NA"}),0,IF(P1756&lt;=$P1663,0,1))</f>
        <v>0</v>
      </c>
      <c r="BA1756" cm="1">
        <f t="array" ref="BA1756">IF(OR(Q1756={"NS","NA"},$Q1663={"NS","NA"}),0,IF(Q1756&lt;=$Q1663,0,1))</f>
        <v>0</v>
      </c>
      <c r="BB1756" cm="1">
        <f t="array" ref="BB1756">IF(OR(R1756={"NS","NA"},$R1663={"NS","NA"}),0,IF(R1756&lt;=$R1663,0,1))</f>
        <v>0</v>
      </c>
      <c r="BC1756" cm="1">
        <f t="array" ref="BC1756">IF(OR(S1756={"NS","NA"},$P1663={"NS","NA"}),0,IF(S1756&lt;=$P1663,0,1))</f>
        <v>0</v>
      </c>
      <c r="BD1756" cm="1">
        <f t="array" ref="BD1756">IF(OR(T1756={"NS","NA"},$Q1663={"NS","NA"}),0,IF(T1756&lt;=$Q1663,0,1))</f>
        <v>0</v>
      </c>
      <c r="BE1756" cm="1">
        <f t="array" ref="BE1756">IF(OR(U1756={"NS","NA"},$R1663={"NS","NA"}),0,IF(U1756&lt;=$R1663,0,1))</f>
        <v>0</v>
      </c>
      <c r="BF1756" cm="1">
        <f t="array" ref="BF1756">IF(OR(V1756={"NS","NA"},$P1663={"NS","NA"}),0,IF(V1756&lt;=$P1663,0,1))</f>
        <v>0</v>
      </c>
      <c r="BG1756" cm="1">
        <f t="array" ref="BG1756">IF(OR(W1756={"NS","NA"},$Q1663={"NS","NA"}),0,IF(W1756&lt;=$Q1663,0,1))</f>
        <v>0</v>
      </c>
      <c r="BH1756" cm="1">
        <f t="array" ref="BH1756">IF(OR(X1756={"NS","NA"},$R1663={"NS","NA"}),0,IF(X1756&lt;=$R1663,0,1))</f>
        <v>0</v>
      </c>
      <c r="BI1756" cm="1">
        <f t="array" ref="BI1756">IF(OR(Y1756={"NS","NA"},$P1663={"NS","NA"}),0,IF(Y1756&lt;=$P1663,0,1))</f>
        <v>0</v>
      </c>
      <c r="BJ1756" cm="1">
        <f t="array" ref="BJ1756">IF(OR(Z1756={"NS","NA"},$Q1663={"NS","NA"}),0,IF(Z1756&lt;=$Q1663,0,1))</f>
        <v>0</v>
      </c>
      <c r="BK1756" cm="1">
        <f t="array" ref="BK1756">IF(OR(AA1756={"NS","NA"},$R1663={"NS","NA"}),0,IF(AA1756&lt;=$R1663,0,1))</f>
        <v>0</v>
      </c>
      <c r="BL1756" cm="1">
        <f t="array" ref="BL1756">IF(OR(AB1756={"NS","NA"},$P1663={"NS","NA"}),0,IF(AB1756&lt;=$P1663,0,1))</f>
        <v>0</v>
      </c>
      <c r="BM1756" cm="1">
        <f t="array" ref="BM1756">IF(OR(AC1756={"NS","NA"},$Q1663={"NS","NA"}),0,IF(AC1756&lt;=$Q1663,0,1))</f>
        <v>0</v>
      </c>
      <c r="BN1756" cm="1">
        <f t="array" ref="BN1756">IF(OR(AD1756={"NS","NA"},$R1663={"NS","NA"}),0,IF(AD1756&lt;=$R1663,0,1))</f>
        <v>0</v>
      </c>
    </row>
    <row r="1757" spans="1:66" ht="15" customHeight="1">
      <c r="A1757" s="49"/>
      <c r="B1757" s="38"/>
      <c r="C1757" s="1119" t="s">
        <v>4971</v>
      </c>
      <c r="D1757" s="1121"/>
      <c r="E1757" s="1121"/>
      <c r="F1757" s="1120"/>
      <c r="G1757" s="174"/>
      <c r="H1757" s="1122" t="s">
        <v>4987</v>
      </c>
      <c r="I1757" s="1122"/>
      <c r="J1757" s="1122"/>
      <c r="K1757" s="1122"/>
      <c r="L1757" s="1122"/>
      <c r="M1757" s="1122"/>
      <c r="N1757" s="1122"/>
      <c r="O1757" s="1123"/>
      <c r="P1757" s="100"/>
      <c r="Q1757" s="100"/>
      <c r="R1757" s="100"/>
      <c r="S1757" s="100"/>
      <c r="T1757" s="100"/>
      <c r="U1757" s="100"/>
      <c r="V1757" s="100"/>
      <c r="W1757" s="100"/>
      <c r="X1757" s="100"/>
      <c r="Y1757" s="100"/>
      <c r="Z1757" s="100"/>
      <c r="AA1757" s="100"/>
      <c r="AB1757" s="100"/>
      <c r="AC1757" s="100"/>
      <c r="AD1757" s="100"/>
      <c r="AF1757"/>
      <c r="AK1757">
        <f t="shared" si="1083"/>
        <v>0</v>
      </c>
      <c r="AL1757">
        <f t="shared" si="1084"/>
        <v>0</v>
      </c>
      <c r="AM1757">
        <f t="shared" si="1097"/>
        <v>0</v>
      </c>
      <c r="AN1757">
        <f t="shared" si="1085"/>
        <v>0</v>
      </c>
      <c r="AO1757">
        <f t="shared" si="1086"/>
        <v>0</v>
      </c>
      <c r="AP1757">
        <f t="shared" si="1087"/>
        <v>0</v>
      </c>
      <c r="AQ1757">
        <f t="shared" si="1088"/>
        <v>0</v>
      </c>
      <c r="AR1757">
        <f t="shared" si="1089"/>
        <v>0</v>
      </c>
      <c r="AS1757">
        <f t="shared" si="1090"/>
        <v>0</v>
      </c>
      <c r="AT1757">
        <f t="shared" si="1091"/>
        <v>0</v>
      </c>
      <c r="AU1757">
        <f t="shared" si="1092"/>
        <v>0</v>
      </c>
      <c r="AV1757">
        <f t="shared" si="1093"/>
        <v>0</v>
      </c>
      <c r="AW1757">
        <f t="shared" si="1094"/>
        <v>0</v>
      </c>
      <c r="AX1757">
        <f t="shared" si="1095"/>
        <v>0</v>
      </c>
      <c r="AY1757">
        <f t="shared" si="1096"/>
        <v>0</v>
      </c>
      <c r="AZ1757" cm="1">
        <f t="array" ref="AZ1757">IF(OR(P1757={"NS","NA"},$P1664={"NS","NA"}),0,IF(P1757&lt;=$P1664,0,1))</f>
        <v>0</v>
      </c>
      <c r="BA1757" cm="1">
        <f t="array" ref="BA1757">IF(OR(Q1757={"NS","NA"},$Q1664={"NS","NA"}),0,IF(Q1757&lt;=$Q1664,0,1))</f>
        <v>0</v>
      </c>
      <c r="BB1757" cm="1">
        <f t="array" ref="BB1757">IF(OR(R1757={"NS","NA"},$R1664={"NS","NA"}),0,IF(R1757&lt;=$R1664,0,1))</f>
        <v>0</v>
      </c>
      <c r="BC1757" cm="1">
        <f t="array" ref="BC1757">IF(OR(S1757={"NS","NA"},$P1664={"NS","NA"}),0,IF(S1757&lt;=$P1664,0,1))</f>
        <v>0</v>
      </c>
      <c r="BD1757" cm="1">
        <f t="array" ref="BD1757">IF(OR(T1757={"NS","NA"},$Q1664={"NS","NA"}),0,IF(T1757&lt;=$Q1664,0,1))</f>
        <v>0</v>
      </c>
      <c r="BE1757" cm="1">
        <f t="array" ref="BE1757">IF(OR(U1757={"NS","NA"},$R1664={"NS","NA"}),0,IF(U1757&lt;=$R1664,0,1))</f>
        <v>0</v>
      </c>
      <c r="BF1757" cm="1">
        <f t="array" ref="BF1757">IF(OR(V1757={"NS","NA"},$P1664={"NS","NA"}),0,IF(V1757&lt;=$P1664,0,1))</f>
        <v>0</v>
      </c>
      <c r="BG1757" cm="1">
        <f t="array" ref="BG1757">IF(OR(W1757={"NS","NA"},$Q1664={"NS","NA"}),0,IF(W1757&lt;=$Q1664,0,1))</f>
        <v>0</v>
      </c>
      <c r="BH1757" cm="1">
        <f t="array" ref="BH1757">IF(OR(X1757={"NS","NA"},$R1664={"NS","NA"}),0,IF(X1757&lt;=$R1664,0,1))</f>
        <v>0</v>
      </c>
      <c r="BI1757" cm="1">
        <f t="array" ref="BI1757">IF(OR(Y1757={"NS","NA"},$P1664={"NS","NA"}),0,IF(Y1757&lt;=$P1664,0,1))</f>
        <v>0</v>
      </c>
      <c r="BJ1757" cm="1">
        <f t="array" ref="BJ1757">IF(OR(Z1757={"NS","NA"},$Q1664={"NS","NA"}),0,IF(Z1757&lt;=$Q1664,0,1))</f>
        <v>0</v>
      </c>
      <c r="BK1757" cm="1">
        <f t="array" ref="BK1757">IF(OR(AA1757={"NS","NA"},$R1664={"NS","NA"}),0,IF(AA1757&lt;=$R1664,0,1))</f>
        <v>0</v>
      </c>
      <c r="BL1757" cm="1">
        <f t="array" ref="BL1757">IF(OR(AB1757={"NS","NA"},$P1664={"NS","NA"}),0,IF(AB1757&lt;=$P1664,0,1))</f>
        <v>0</v>
      </c>
      <c r="BM1757" cm="1">
        <f t="array" ref="BM1757">IF(OR(AC1757={"NS","NA"},$Q1664={"NS","NA"}),0,IF(AC1757&lt;=$Q1664,0,1))</f>
        <v>0</v>
      </c>
      <c r="BN1757" cm="1">
        <f t="array" ref="BN1757">IF(OR(AD1757={"NS","NA"},$R1664={"NS","NA"}),0,IF(AD1757&lt;=$R1664,0,1))</f>
        <v>0</v>
      </c>
    </row>
    <row r="1758" spans="1:66" ht="15" customHeight="1">
      <c r="A1758" s="49"/>
      <c r="B1758" s="38"/>
      <c r="C1758" s="1119" t="s">
        <v>4973</v>
      </c>
      <c r="D1758" s="1121"/>
      <c r="E1758" s="1121"/>
      <c r="F1758" s="1120"/>
      <c r="G1758" s="174"/>
      <c r="H1758" s="1122" t="s">
        <v>4974</v>
      </c>
      <c r="I1758" s="1122"/>
      <c r="J1758" s="1122"/>
      <c r="K1758" s="1122"/>
      <c r="L1758" s="1122"/>
      <c r="M1758" s="1122"/>
      <c r="N1758" s="1122"/>
      <c r="O1758" s="1123"/>
      <c r="P1758" s="100"/>
      <c r="Q1758" s="100"/>
      <c r="R1758" s="100"/>
      <c r="S1758" s="100"/>
      <c r="T1758" s="100"/>
      <c r="U1758" s="100"/>
      <c r="V1758" s="100"/>
      <c r="W1758" s="100"/>
      <c r="X1758" s="100"/>
      <c r="Y1758" s="100"/>
      <c r="Z1758" s="100"/>
      <c r="AA1758" s="100"/>
      <c r="AB1758" s="100"/>
      <c r="AC1758" s="100"/>
      <c r="AD1758" s="100"/>
      <c r="AF1758"/>
      <c r="AK1758">
        <f t="shared" si="1083"/>
        <v>0</v>
      </c>
      <c r="AL1758">
        <f t="shared" si="1084"/>
        <v>0</v>
      </c>
      <c r="AM1758">
        <f t="shared" si="1097"/>
        <v>0</v>
      </c>
      <c r="AN1758">
        <f t="shared" si="1085"/>
        <v>0</v>
      </c>
      <c r="AO1758">
        <f t="shared" si="1086"/>
        <v>0</v>
      </c>
      <c r="AP1758">
        <f t="shared" si="1087"/>
        <v>0</v>
      </c>
      <c r="AQ1758">
        <f t="shared" si="1088"/>
        <v>0</v>
      </c>
      <c r="AR1758">
        <f t="shared" si="1089"/>
        <v>0</v>
      </c>
      <c r="AS1758">
        <f t="shared" si="1090"/>
        <v>0</v>
      </c>
      <c r="AT1758">
        <f t="shared" si="1091"/>
        <v>0</v>
      </c>
      <c r="AU1758">
        <f t="shared" si="1092"/>
        <v>0</v>
      </c>
      <c r="AV1758">
        <f t="shared" si="1093"/>
        <v>0</v>
      </c>
      <c r="AW1758">
        <f t="shared" si="1094"/>
        <v>0</v>
      </c>
      <c r="AX1758">
        <f t="shared" si="1095"/>
        <v>0</v>
      </c>
      <c r="AY1758">
        <f t="shared" si="1096"/>
        <v>0</v>
      </c>
      <c r="AZ1758" cm="1">
        <f t="array" ref="AZ1758">IF(OR(P1758={"NS","NA"},$P1665={"NS","NA"}),0,IF(P1758&lt;=$P1665,0,1))</f>
        <v>0</v>
      </c>
      <c r="BA1758" cm="1">
        <f t="array" ref="BA1758">IF(OR(Q1758={"NS","NA"},$Q1665={"NS","NA"}),0,IF(Q1758&lt;=$Q1665,0,1))</f>
        <v>0</v>
      </c>
      <c r="BB1758" cm="1">
        <f t="array" ref="BB1758">IF(OR(R1758={"NS","NA"},$R1665={"NS","NA"}),0,IF(R1758&lt;=$R1665,0,1))</f>
        <v>0</v>
      </c>
      <c r="BC1758" cm="1">
        <f t="array" ref="BC1758">IF(OR(S1758={"NS","NA"},$P1665={"NS","NA"}),0,IF(S1758&lt;=$P1665,0,1))</f>
        <v>0</v>
      </c>
      <c r="BD1758" cm="1">
        <f t="array" ref="BD1758">IF(OR(T1758={"NS","NA"},$Q1665={"NS","NA"}),0,IF(T1758&lt;=$Q1665,0,1))</f>
        <v>0</v>
      </c>
      <c r="BE1758" cm="1">
        <f t="array" ref="BE1758">IF(OR(U1758={"NS","NA"},$R1665={"NS","NA"}),0,IF(U1758&lt;=$R1665,0,1))</f>
        <v>0</v>
      </c>
      <c r="BF1758" cm="1">
        <f t="array" ref="BF1758">IF(OR(V1758={"NS","NA"},$P1665={"NS","NA"}),0,IF(V1758&lt;=$P1665,0,1))</f>
        <v>0</v>
      </c>
      <c r="BG1758" cm="1">
        <f t="array" ref="BG1758">IF(OR(W1758={"NS","NA"},$Q1665={"NS","NA"}),0,IF(W1758&lt;=$Q1665,0,1))</f>
        <v>0</v>
      </c>
      <c r="BH1758" cm="1">
        <f t="array" ref="BH1758">IF(OR(X1758={"NS","NA"},$R1665={"NS","NA"}),0,IF(X1758&lt;=$R1665,0,1))</f>
        <v>0</v>
      </c>
      <c r="BI1758" cm="1">
        <f t="array" ref="BI1758">IF(OR(Y1758={"NS","NA"},$P1665={"NS","NA"}),0,IF(Y1758&lt;=$P1665,0,1))</f>
        <v>0</v>
      </c>
      <c r="BJ1758" cm="1">
        <f t="array" ref="BJ1758">IF(OR(Z1758={"NS","NA"},$Q1665={"NS","NA"}),0,IF(Z1758&lt;=$Q1665,0,1))</f>
        <v>0</v>
      </c>
      <c r="BK1758" cm="1">
        <f t="array" ref="BK1758">IF(OR(AA1758={"NS","NA"},$R1665={"NS","NA"}),0,IF(AA1758&lt;=$R1665,0,1))</f>
        <v>0</v>
      </c>
      <c r="BL1758" cm="1">
        <f t="array" ref="BL1758">IF(OR(AB1758={"NS","NA"},$P1665={"NS","NA"}),0,IF(AB1758&lt;=$P1665,0,1))</f>
        <v>0</v>
      </c>
      <c r="BM1758" cm="1">
        <f t="array" ref="BM1758">IF(OR(AC1758={"NS","NA"},$Q1665={"NS","NA"}),0,IF(AC1758&lt;=$Q1665,0,1))</f>
        <v>0</v>
      </c>
      <c r="BN1758" cm="1">
        <f t="array" ref="BN1758">IF(OR(AD1758={"NS","NA"},$R1665={"NS","NA"}),0,IF(AD1758&lt;=$R1665,0,1))</f>
        <v>0</v>
      </c>
    </row>
    <row r="1759" spans="1:66" ht="36" customHeight="1">
      <c r="A1759" s="49"/>
      <c r="B1759" s="38"/>
      <c r="C1759" s="1119" t="s">
        <v>4975</v>
      </c>
      <c r="D1759" s="1121"/>
      <c r="E1759" s="1121"/>
      <c r="F1759" s="1120"/>
      <c r="G1759" s="174"/>
      <c r="H1759" s="1122" t="s">
        <v>4976</v>
      </c>
      <c r="I1759" s="1122"/>
      <c r="J1759" s="1122"/>
      <c r="K1759" s="1122"/>
      <c r="L1759" s="1122"/>
      <c r="M1759" s="1122"/>
      <c r="N1759" s="1122"/>
      <c r="O1759" s="1123"/>
      <c r="P1759" s="100"/>
      <c r="Q1759" s="100"/>
      <c r="R1759" s="100"/>
      <c r="S1759" s="100"/>
      <c r="T1759" s="100"/>
      <c r="U1759" s="100"/>
      <c r="V1759" s="100"/>
      <c r="W1759" s="100"/>
      <c r="X1759" s="100"/>
      <c r="Y1759" s="100"/>
      <c r="Z1759" s="100"/>
      <c r="AA1759" s="100"/>
      <c r="AB1759" s="100"/>
      <c r="AC1759" s="100"/>
      <c r="AD1759" s="100"/>
      <c r="AF1759"/>
      <c r="AK1759">
        <f t="shared" si="1083"/>
        <v>0</v>
      </c>
      <c r="AL1759">
        <f t="shared" si="1084"/>
        <v>0</v>
      </c>
      <c r="AM1759">
        <f t="shared" si="1097"/>
        <v>0</v>
      </c>
      <c r="AN1759">
        <f t="shared" si="1085"/>
        <v>0</v>
      </c>
      <c r="AO1759">
        <f t="shared" si="1086"/>
        <v>0</v>
      </c>
      <c r="AP1759">
        <f t="shared" si="1087"/>
        <v>0</v>
      </c>
      <c r="AQ1759">
        <f t="shared" si="1088"/>
        <v>0</v>
      </c>
      <c r="AR1759">
        <f t="shared" si="1089"/>
        <v>0</v>
      </c>
      <c r="AS1759">
        <f t="shared" si="1090"/>
        <v>0</v>
      </c>
      <c r="AT1759">
        <f t="shared" si="1091"/>
        <v>0</v>
      </c>
      <c r="AU1759">
        <f t="shared" si="1092"/>
        <v>0</v>
      </c>
      <c r="AV1759">
        <f t="shared" si="1093"/>
        <v>0</v>
      </c>
      <c r="AW1759">
        <f t="shared" si="1094"/>
        <v>0</v>
      </c>
      <c r="AX1759">
        <f t="shared" si="1095"/>
        <v>0</v>
      </c>
      <c r="AY1759">
        <f t="shared" si="1096"/>
        <v>0</v>
      </c>
      <c r="AZ1759" cm="1">
        <f t="array" ref="AZ1759">IF(OR(P1759={"NS","NA"},$P1666={"NS","NA"}),0,IF(P1759&lt;=$P1666,0,1))</f>
        <v>0</v>
      </c>
      <c r="BA1759" cm="1">
        <f t="array" ref="BA1759">IF(OR(Q1759={"NS","NA"},$Q1666={"NS","NA"}),0,IF(Q1759&lt;=$Q1666,0,1))</f>
        <v>0</v>
      </c>
      <c r="BB1759" cm="1">
        <f t="array" ref="BB1759">IF(OR(R1759={"NS","NA"},$R1666={"NS","NA"}),0,IF(R1759&lt;=$R1666,0,1))</f>
        <v>0</v>
      </c>
      <c r="BC1759" cm="1">
        <f t="array" ref="BC1759">IF(OR(S1759={"NS","NA"},$P1666={"NS","NA"}),0,IF(S1759&lt;=$P1666,0,1))</f>
        <v>0</v>
      </c>
      <c r="BD1759" cm="1">
        <f t="array" ref="BD1759">IF(OR(T1759={"NS","NA"},$Q1666={"NS","NA"}),0,IF(T1759&lt;=$Q1666,0,1))</f>
        <v>0</v>
      </c>
      <c r="BE1759" cm="1">
        <f t="array" ref="BE1759">IF(OR(U1759={"NS","NA"},$R1666={"NS","NA"}),0,IF(U1759&lt;=$R1666,0,1))</f>
        <v>0</v>
      </c>
      <c r="BF1759" cm="1">
        <f t="array" ref="BF1759">IF(OR(V1759={"NS","NA"},$P1666={"NS","NA"}),0,IF(V1759&lt;=$P1666,0,1))</f>
        <v>0</v>
      </c>
      <c r="BG1759" cm="1">
        <f t="array" ref="BG1759">IF(OR(W1759={"NS","NA"},$Q1666={"NS","NA"}),0,IF(W1759&lt;=$Q1666,0,1))</f>
        <v>0</v>
      </c>
      <c r="BH1759" cm="1">
        <f t="array" ref="BH1759">IF(OR(X1759={"NS","NA"},$R1666={"NS","NA"}),0,IF(X1759&lt;=$R1666,0,1))</f>
        <v>0</v>
      </c>
      <c r="BI1759" cm="1">
        <f t="array" ref="BI1759">IF(OR(Y1759={"NS","NA"},$P1666={"NS","NA"}),0,IF(Y1759&lt;=$P1666,0,1))</f>
        <v>0</v>
      </c>
      <c r="BJ1759" cm="1">
        <f t="array" ref="BJ1759">IF(OR(Z1759={"NS","NA"},$Q1666={"NS","NA"}),0,IF(Z1759&lt;=$Q1666,0,1))</f>
        <v>0</v>
      </c>
      <c r="BK1759" cm="1">
        <f t="array" ref="BK1759">IF(OR(AA1759={"NS","NA"},$R1666={"NS","NA"}),0,IF(AA1759&lt;=$R1666,0,1))</f>
        <v>0</v>
      </c>
      <c r="BL1759" cm="1">
        <f t="array" ref="BL1759">IF(OR(AB1759={"NS","NA"},$P1666={"NS","NA"}),0,IF(AB1759&lt;=$P1666,0,1))</f>
        <v>0</v>
      </c>
      <c r="BM1759" cm="1">
        <f t="array" ref="BM1759">IF(OR(AC1759={"NS","NA"},$Q1666={"NS","NA"}),0,IF(AC1759&lt;=$Q1666,0,1))</f>
        <v>0</v>
      </c>
      <c r="BN1759" cm="1">
        <f t="array" ref="BN1759">IF(OR(AD1759={"NS","NA"},$R1666={"NS","NA"}),0,IF(AD1759&lt;=$R1666,0,1))</f>
        <v>0</v>
      </c>
    </row>
    <row r="1760" spans="1:66" ht="15" customHeight="1">
      <c r="A1760" s="49"/>
      <c r="B1760" s="38"/>
      <c r="C1760" s="1119" t="s">
        <v>4977</v>
      </c>
      <c r="D1760" s="1121"/>
      <c r="E1760" s="1121"/>
      <c r="F1760" s="1120"/>
      <c r="G1760" s="175"/>
      <c r="H1760" s="1124" t="s">
        <v>201</v>
      </c>
      <c r="I1760" s="1124"/>
      <c r="J1760" s="1124"/>
      <c r="K1760" s="1124"/>
      <c r="L1760" s="1124"/>
      <c r="M1760" s="1124"/>
      <c r="N1760" s="1124"/>
      <c r="O1760" s="1125"/>
      <c r="P1760" s="100"/>
      <c r="Q1760" s="100"/>
      <c r="R1760" s="100"/>
      <c r="S1760" s="100"/>
      <c r="T1760" s="100"/>
      <c r="U1760" s="100"/>
      <c r="V1760" s="100"/>
      <c r="W1760" s="100"/>
      <c r="X1760" s="100"/>
      <c r="Y1760" s="100"/>
      <c r="Z1760" s="100"/>
      <c r="AA1760" s="100"/>
      <c r="AB1760" s="100"/>
      <c r="AC1760" s="100"/>
      <c r="AD1760" s="100"/>
      <c r="AF1760"/>
      <c r="AK1760">
        <f t="shared" si="1083"/>
        <v>0</v>
      </c>
      <c r="AL1760">
        <f t="shared" si="1084"/>
        <v>0</v>
      </c>
      <c r="AM1760">
        <f t="shared" si="1097"/>
        <v>0</v>
      </c>
      <c r="AN1760">
        <f t="shared" si="1085"/>
        <v>0</v>
      </c>
      <c r="AO1760">
        <f t="shared" si="1086"/>
        <v>0</v>
      </c>
      <c r="AP1760">
        <f t="shared" si="1087"/>
        <v>0</v>
      </c>
      <c r="AQ1760">
        <f t="shared" si="1088"/>
        <v>0</v>
      </c>
      <c r="AR1760">
        <f t="shared" si="1089"/>
        <v>0</v>
      </c>
      <c r="AS1760">
        <f t="shared" si="1090"/>
        <v>0</v>
      </c>
      <c r="AT1760">
        <f t="shared" si="1091"/>
        <v>0</v>
      </c>
      <c r="AU1760">
        <f t="shared" si="1092"/>
        <v>0</v>
      </c>
      <c r="AV1760">
        <f t="shared" si="1093"/>
        <v>0</v>
      </c>
      <c r="AW1760">
        <f t="shared" si="1094"/>
        <v>0</v>
      </c>
      <c r="AX1760">
        <f t="shared" si="1095"/>
        <v>0</v>
      </c>
      <c r="AY1760">
        <f>IF(COUNTIF(AB1760:AD1760,"NA")=3,0,IF(COUNTA(AB1760:AD1760)=0,0,IF(OR(AND(AB1760=0,AW1760&gt;0),AND(AB1760="ns",AX1760&gt;0),AND(AB1760="ns",AW1760=0,AX1760=0)),1,IF(OR(AND(AB1760&gt;0,AW1760=2),AND(AB1760="ns",AW1760=2),AND(AB1760="ns",AX1760=0,AW1760&gt;0),AB1760=AX1760),0,1))))</f>
        <v>0</v>
      </c>
      <c r="AZ1760" cm="1">
        <f t="array" ref="AZ1760">IF(OR(P1760={"NS","NA"},$P1667={"NS","NA"}),0,IF(P1760&lt;=$P1667,0,1))</f>
        <v>0</v>
      </c>
      <c r="BA1760" cm="1">
        <f t="array" ref="BA1760">IF(OR(Q1760={"NS","NA"},$Q1667={"NS","NA"}),0,IF(Q1760&lt;=$Q1667,0,1))</f>
        <v>0</v>
      </c>
      <c r="BB1760" cm="1">
        <f t="array" ref="BB1760">IF(OR(R1760={"NS","NA"},$R1667={"NS","NA"}),0,IF(R1760&lt;=$R1667,0,1))</f>
        <v>0</v>
      </c>
      <c r="BC1760" cm="1">
        <f t="array" ref="BC1760">IF(OR(S1760={"NS","NA"},$P1667={"NS","NA"}),0,IF(S1760&lt;=$P1667,0,1))</f>
        <v>0</v>
      </c>
      <c r="BD1760" cm="1">
        <f t="array" ref="BD1760">IF(OR(T1760={"NS","NA"},$Q1667={"NS","NA"}),0,IF(T1760&lt;=$Q1667,0,1))</f>
        <v>0</v>
      </c>
      <c r="BE1760" cm="1">
        <f t="array" ref="BE1760">IF(OR(U1760={"NS","NA"},$R1667={"NS","NA"}),0,IF(U1760&lt;=$R1667,0,1))</f>
        <v>0</v>
      </c>
      <c r="BF1760" cm="1">
        <f t="array" ref="BF1760">IF(OR(V1760={"NS","NA"},$P1667={"NS","NA"}),0,IF(V1760&lt;=$P1667,0,1))</f>
        <v>0</v>
      </c>
      <c r="BG1760" cm="1">
        <f t="array" ref="BG1760">IF(OR(W1760={"NS","NA"},$Q1667={"NS","NA"}),0,IF(W1760&lt;=$Q1667,0,1))</f>
        <v>0</v>
      </c>
      <c r="BH1760" cm="1">
        <f t="array" ref="BH1760">IF(OR(X1760={"NS","NA"},$R1667={"NS","NA"}),0,IF(X1760&lt;=$R1667,0,1))</f>
        <v>0</v>
      </c>
      <c r="BI1760" cm="1">
        <f t="array" ref="BI1760">IF(OR(Y1760={"NS","NA"},$P1667={"NS","NA"}),0,IF(Y1760&lt;=$P1667,0,1))</f>
        <v>0</v>
      </c>
      <c r="BJ1760" cm="1">
        <f t="array" ref="BJ1760">IF(OR(Z1760={"NS","NA"},$Q1667={"NS","NA"}),0,IF(Z1760&lt;=$Q1667,0,1))</f>
        <v>0</v>
      </c>
      <c r="BK1760" cm="1">
        <f t="array" ref="BK1760">IF(OR(AA1760={"NS","NA"},$R1667={"NS","NA"}),0,IF(AA1760&lt;=$R1667,0,1))</f>
        <v>0</v>
      </c>
      <c r="BL1760" cm="1">
        <f t="array" ref="BL1760">IF(OR(AB1760={"NS","NA"},$P1667={"NS","NA"}),0,IF(AB1760&lt;=$P1667,0,1))</f>
        <v>0</v>
      </c>
      <c r="BM1760" cm="1">
        <f t="array" ref="BM1760">IF(OR(AC1760={"NS","NA"},$Q1667={"NS","NA"}),0,IF(AC1760&lt;=$Q1667,0,1))</f>
        <v>0</v>
      </c>
      <c r="BN1760" cm="1">
        <f t="array" ref="BN1760">IF(OR(AD1760={"NS","NA"},$R1667={"NS","NA"}),0,IF(AD1760&lt;=$R1667,0,1))</f>
        <v>0</v>
      </c>
    </row>
    <row r="1761" spans="1:66" ht="15" customHeight="1">
      <c r="A1761" s="49"/>
      <c r="B1761" s="38"/>
      <c r="C1761" s="38"/>
      <c r="D1761" s="38"/>
      <c r="E1761" s="38"/>
      <c r="F1761" s="38"/>
      <c r="G1761" s="38"/>
      <c r="H1761" s="38"/>
      <c r="I1761" s="38"/>
      <c r="J1761" s="38"/>
      <c r="K1761" s="38"/>
      <c r="L1761" s="38"/>
      <c r="M1761" s="38"/>
      <c r="N1761" s="38"/>
      <c r="O1761" s="38"/>
      <c r="P1761" s="38"/>
      <c r="Q1761" s="38"/>
      <c r="R1761" s="38"/>
      <c r="S1761" s="38"/>
      <c r="T1761" s="38"/>
      <c r="U1761" s="38"/>
      <c r="V1761" s="38"/>
      <c r="W1761" s="38"/>
      <c r="X1761" s="38"/>
      <c r="Y1761" s="38"/>
      <c r="Z1761" s="38"/>
      <c r="AA1761" s="38"/>
      <c r="AB1761" s="38"/>
      <c r="AC1761" s="38"/>
      <c r="AD1761" s="38"/>
      <c r="AF1761"/>
      <c r="AK1761">
        <f>SUM(AK1754:AK1760)</f>
        <v>0</v>
      </c>
      <c r="AM1761">
        <f>SUM(AM1754:AM1760)</f>
        <v>0</v>
      </c>
      <c r="AN1761">
        <f>SUM(AN1754:AN1760)</f>
        <v>0</v>
      </c>
      <c r="AP1761">
        <f>SUM(AP1754:AP1760)</f>
        <v>0</v>
      </c>
      <c r="AQ1761">
        <f>SUM(AQ1754:AQ1760)</f>
        <v>0</v>
      </c>
      <c r="AS1761">
        <f>SUM(AS1754:AS1760)</f>
        <v>0</v>
      </c>
      <c r="AT1761">
        <f>SUM(AT1754:AT1760)</f>
        <v>0</v>
      </c>
      <c r="AV1761">
        <f>SUM(AV1754:AV1760)</f>
        <v>0</v>
      </c>
      <c r="AW1761">
        <f>SUM(AW1754:AW1760)</f>
        <v>0</v>
      </c>
      <c r="AY1761">
        <f>SUM(AY1754:AY1760)</f>
        <v>0</v>
      </c>
      <c r="AZ1761"/>
      <c r="BA1761"/>
      <c r="BB1761"/>
      <c r="BC1761"/>
      <c r="BD1761"/>
      <c r="BE1761"/>
      <c r="BF1761"/>
      <c r="BG1761"/>
      <c r="BH1761"/>
      <c r="BI1761"/>
      <c r="BJ1761"/>
      <c r="BK1761"/>
      <c r="BL1761"/>
      <c r="BM1761"/>
      <c r="BN1761" s="405">
        <f>SUM(AZ1754:BN1760)</f>
        <v>0</v>
      </c>
    </row>
    <row r="1762" spans="1:66" ht="24" customHeight="1">
      <c r="A1762" s="49"/>
      <c r="B1762" s="38"/>
      <c r="C1762" s="754" t="s">
        <v>2611</v>
      </c>
      <c r="D1762" s="754"/>
      <c r="E1762" s="754"/>
      <c r="F1762" s="754"/>
      <c r="G1762" s="754"/>
      <c r="H1762" s="754"/>
      <c r="I1762" s="754"/>
      <c r="J1762" s="754"/>
      <c r="K1762" s="754"/>
      <c r="L1762" s="754"/>
      <c r="M1762" s="754"/>
      <c r="N1762" s="754"/>
      <c r="O1762" s="754"/>
      <c r="P1762" s="754"/>
      <c r="Q1762" s="754"/>
      <c r="R1762" s="754"/>
      <c r="S1762" s="754"/>
      <c r="T1762" s="754"/>
      <c r="U1762" s="754"/>
      <c r="V1762" s="754"/>
      <c r="W1762" s="754"/>
      <c r="X1762" s="754"/>
      <c r="Y1762" s="754"/>
      <c r="Z1762" s="754"/>
      <c r="AA1762" s="754"/>
      <c r="AB1762" s="754"/>
      <c r="AC1762" s="754"/>
      <c r="AD1762" s="754"/>
      <c r="AF1762"/>
      <c r="AK1762" t="s">
        <v>2650</v>
      </c>
      <c r="AL1762" s="405">
        <f>SUM(AM1761,AP1761,AS1761,AV1761,AY1761)</f>
        <v>0</v>
      </c>
      <c r="AM1762" t="s">
        <v>2651</v>
      </c>
      <c r="AN1762">
        <f>SUM(AK1761,AN1761,AQ1761,AT1761,AW1761)</f>
        <v>0</v>
      </c>
      <c r="AZ1762"/>
      <c r="BA1762"/>
      <c r="BB1762"/>
      <c r="BC1762"/>
      <c r="BD1762"/>
      <c r="BE1762"/>
      <c r="BF1762"/>
      <c r="BG1762"/>
      <c r="BH1762"/>
      <c r="BI1762"/>
      <c r="BJ1762"/>
      <c r="BK1762"/>
      <c r="BL1762"/>
      <c r="BM1762"/>
      <c r="BN1762" s="506">
        <f>SUM(BN1761,BN1749)</f>
        <v>0</v>
      </c>
    </row>
    <row r="1763" spans="1:66" ht="60" customHeight="1">
      <c r="A1763" s="49"/>
      <c r="B1763" s="38"/>
      <c r="C1763" s="851"/>
      <c r="D1763" s="851"/>
      <c r="E1763" s="851"/>
      <c r="F1763" s="851"/>
      <c r="G1763" s="851"/>
      <c r="H1763" s="851"/>
      <c r="I1763" s="851"/>
      <c r="J1763" s="851"/>
      <c r="K1763" s="851"/>
      <c r="L1763" s="851"/>
      <c r="M1763" s="851"/>
      <c r="N1763" s="851"/>
      <c r="O1763" s="851"/>
      <c r="P1763" s="851"/>
      <c r="Q1763" s="851"/>
      <c r="R1763" s="851"/>
      <c r="S1763" s="851"/>
      <c r="T1763" s="851"/>
      <c r="U1763" s="851"/>
      <c r="V1763" s="851"/>
      <c r="W1763" s="851"/>
      <c r="X1763" s="851"/>
      <c r="Y1763" s="851"/>
      <c r="Z1763" s="851"/>
      <c r="AA1763" s="851"/>
      <c r="AB1763" s="851"/>
      <c r="AC1763" s="851"/>
      <c r="AD1763" s="851"/>
      <c r="AF1763"/>
      <c r="AK1763" t="s">
        <v>2652</v>
      </c>
      <c r="AL1763">
        <f>IF(AN1762&gt;0,IF(SUM(P1761)&gt;=SUM(S1761,V1761,Y1761,AB1761),0,1),IF(SUM(P1761)&lt;&gt;SUM(S1761,V1761,Y1761,AB1761),1,0))</f>
        <v>0</v>
      </c>
      <c r="AM1763" t="s">
        <v>2653</v>
      </c>
      <c r="AN1763">
        <f>IF(AN1762&gt;0,IF(SUM(Q1761)&gt;=SUM(T1761,W1761,Z1761,AC1761),0,1),IF(SUM(Q1761)&lt;&gt;SUM(T1761,W1761,Z1761,AC1761),1,0))</f>
        <v>0</v>
      </c>
      <c r="AO1763" t="s">
        <v>2654</v>
      </c>
      <c r="AP1763">
        <f>IF(AN1762&gt;0,IF(SUM(R1761)&gt;=SUM(U1761,X1761,AA1761,AD1761),0,1),IF(SUM(R1761)&lt;&gt;SUM(U1761,X1761,AA1761,AD1761),1,0))</f>
        <v>0</v>
      </c>
      <c r="AZ1763"/>
      <c r="BA1763"/>
      <c r="BB1763"/>
      <c r="BC1763"/>
      <c r="BD1763"/>
      <c r="BE1763"/>
      <c r="BF1763"/>
      <c r="BG1763"/>
      <c r="BH1763"/>
      <c r="BI1763"/>
      <c r="BJ1763"/>
      <c r="BK1763"/>
      <c r="BL1763"/>
      <c r="BM1763"/>
      <c r="BN1763"/>
    </row>
    <row r="1764" spans="1:66" ht="15" customHeight="1">
      <c r="A1764" s="49"/>
      <c r="B1764" s="1003" t="str">
        <f>IF(AG1749=0,"","Favor de ingresar toda la información requerida en la pregunta")</f>
        <v/>
      </c>
      <c r="C1764" s="1003"/>
      <c r="D1764" s="1003"/>
      <c r="E1764" s="1003"/>
      <c r="F1764" s="1003"/>
      <c r="G1764" s="1003"/>
      <c r="H1764" s="1003"/>
      <c r="I1764" s="1003"/>
      <c r="J1764" s="1003"/>
      <c r="K1764" s="1003"/>
      <c r="L1764" s="1003"/>
      <c r="M1764" s="1003"/>
      <c r="N1764" s="1003"/>
      <c r="O1764" s="1003"/>
      <c r="P1764" s="1003"/>
      <c r="Q1764" s="1003"/>
      <c r="R1764" s="1003"/>
      <c r="S1764" s="1003"/>
      <c r="T1764" s="1003"/>
      <c r="U1764" s="1003"/>
      <c r="V1764" s="1003"/>
      <c r="W1764" s="1003"/>
      <c r="X1764" s="1003"/>
      <c r="Y1764" s="1003"/>
      <c r="Z1764" s="1003"/>
      <c r="AA1764" s="1003"/>
      <c r="AB1764" s="1003"/>
      <c r="AC1764" s="1003"/>
      <c r="AD1764" s="1003"/>
      <c r="AE1764" s="1003"/>
      <c r="AF1764"/>
      <c r="AK1764" t="s">
        <v>5140</v>
      </c>
      <c r="AL1764" s="507">
        <f>SUM(AL1762,AL1750)-COUNTIF(P1742:P1748,"NA")</f>
        <v>0</v>
      </c>
      <c r="AZ1764"/>
      <c r="BA1764"/>
      <c r="BB1764"/>
      <c r="BC1764"/>
      <c r="BD1764"/>
      <c r="BE1764"/>
      <c r="BF1764"/>
      <c r="BG1764"/>
      <c r="BH1764"/>
      <c r="BI1764"/>
      <c r="BJ1764"/>
      <c r="BK1764"/>
      <c r="BL1764"/>
      <c r="BM1764"/>
      <c r="BN1764"/>
    </row>
    <row r="1765" spans="1:66" ht="15" customHeight="1">
      <c r="A1765" s="103"/>
      <c r="B1765" s="1087" t="str">
        <f>IF(SUM(COUNTIF(P1742:AD1748,"NS"),COUNTIF(P1754:AD1760,"NS"))&lt;&gt;0,"Alerta: debido a que cuenta con registros NS, debe proporcionar una justificación en el area de comentarios al final de la pregunta","")</f>
        <v/>
      </c>
      <c r="C1765" s="1087"/>
      <c r="D1765" s="1087"/>
      <c r="E1765" s="1087"/>
      <c r="F1765" s="1087"/>
      <c r="G1765" s="1087"/>
      <c r="H1765" s="1087"/>
      <c r="I1765" s="1087"/>
      <c r="J1765" s="1087"/>
      <c r="K1765" s="1087"/>
      <c r="L1765" s="1087"/>
      <c r="M1765" s="1087"/>
      <c r="N1765" s="1087"/>
      <c r="O1765" s="1087"/>
      <c r="P1765" s="1087"/>
      <c r="Q1765" s="1087"/>
      <c r="R1765" s="1087"/>
      <c r="S1765" s="1087"/>
      <c r="T1765" s="1087"/>
      <c r="U1765" s="1087"/>
      <c r="V1765" s="1087"/>
      <c r="W1765" s="1087"/>
      <c r="X1765" s="1087"/>
      <c r="Y1765" s="1087"/>
      <c r="Z1765" s="1087"/>
      <c r="AA1765" s="1087"/>
      <c r="AB1765" s="1087"/>
      <c r="AC1765" s="1087"/>
      <c r="AD1765" s="1087"/>
      <c r="AE1765" s="1087"/>
      <c r="AF1765"/>
      <c r="AG1765"/>
      <c r="AH1765"/>
      <c r="AI1765"/>
      <c r="AJ1765"/>
      <c r="AK1765"/>
      <c r="AL1765"/>
      <c r="AM1765"/>
      <c r="AN1765"/>
      <c r="AO1765"/>
      <c r="AP1765"/>
      <c r="AQ1765"/>
      <c r="AR1765"/>
      <c r="AS1765"/>
      <c r="AT1765"/>
      <c r="AU1765"/>
      <c r="AV1765"/>
      <c r="AW1765"/>
      <c r="AX1765"/>
      <c r="AY1765"/>
      <c r="AZ1765"/>
      <c r="BA1765"/>
      <c r="BB1765"/>
      <c r="BC1765"/>
      <c r="BD1765"/>
      <c r="BE1765"/>
      <c r="BF1765"/>
      <c r="BG1765"/>
      <c r="BH1765"/>
      <c r="BI1765"/>
      <c r="BJ1765"/>
      <c r="BK1765"/>
      <c r="BL1765"/>
      <c r="BM1765"/>
      <c r="BN1765"/>
    </row>
    <row r="1766" spans="1:66" ht="15" customHeight="1">
      <c r="A1766" s="103"/>
      <c r="B1766" s="1003" t="str">
        <f>IF(AH1749=0,"","Revise la información capturada, ya que tiene datos ingresados en celdas que están sombreadas")</f>
        <v/>
      </c>
      <c r="C1766" s="1003"/>
      <c r="D1766" s="1003"/>
      <c r="E1766" s="1003"/>
      <c r="F1766" s="1003"/>
      <c r="G1766" s="1003"/>
      <c r="H1766" s="1003"/>
      <c r="I1766" s="1003"/>
      <c r="J1766" s="1003"/>
      <c r="K1766" s="1003"/>
      <c r="L1766" s="1003"/>
      <c r="M1766" s="1003"/>
      <c r="N1766" s="1003"/>
      <c r="O1766" s="1003"/>
      <c r="P1766" s="1003"/>
      <c r="Q1766" s="1003"/>
      <c r="R1766" s="1003"/>
      <c r="S1766" s="1003"/>
      <c r="T1766" s="1003"/>
      <c r="U1766" s="1003"/>
      <c r="V1766" s="1003"/>
      <c r="W1766" s="1003"/>
      <c r="X1766" s="1003"/>
      <c r="Y1766" s="1003"/>
      <c r="Z1766" s="1003"/>
      <c r="AA1766" s="1003"/>
      <c r="AB1766" s="1003"/>
      <c r="AC1766" s="1003"/>
      <c r="AD1766" s="1003"/>
      <c r="AE1766" s="1003"/>
    </row>
    <row r="1767" spans="1:66" ht="15" customHeight="1">
      <c r="A1767" s="103"/>
      <c r="B1767" s="1003" t="str">
        <f>IF(AL1764&gt;0,"Favor de revisar la suma y consistencia de totales y/o subtotales por filas (numéricos y NS)","")</f>
        <v/>
      </c>
      <c r="C1767" s="1003"/>
      <c r="D1767" s="1003"/>
      <c r="E1767" s="1003"/>
      <c r="F1767" s="1003"/>
      <c r="G1767" s="1003"/>
      <c r="H1767" s="1003"/>
      <c r="I1767" s="1003"/>
      <c r="J1767" s="1003"/>
      <c r="K1767" s="1003"/>
      <c r="L1767" s="1003"/>
      <c r="M1767" s="1003"/>
      <c r="N1767" s="1003"/>
      <c r="O1767" s="1003"/>
      <c r="P1767" s="1003"/>
      <c r="Q1767" s="1003"/>
      <c r="R1767" s="1003"/>
      <c r="S1767" s="1003"/>
      <c r="T1767" s="1003"/>
      <c r="U1767" s="1003"/>
      <c r="V1767" s="1003"/>
      <c r="W1767" s="1003"/>
      <c r="X1767" s="1003"/>
      <c r="Y1767" s="1003"/>
      <c r="Z1767" s="1003"/>
      <c r="AA1767" s="1003"/>
      <c r="AB1767" s="1003"/>
      <c r="AC1767" s="1003"/>
      <c r="AD1767" s="1003"/>
      <c r="AE1767" s="1003"/>
    </row>
    <row r="1768" spans="1:66" ht="15" customHeight="1">
      <c r="A1768" s="49"/>
      <c r="B1768" s="794" t="str">
        <f>IF(BB1749&gt;0,"Favor de revisar la instrucción 1, debido a que no se cumplen con los criterios mencionados","")</f>
        <v/>
      </c>
      <c r="C1768" s="794"/>
      <c r="D1768" s="794"/>
      <c r="E1768" s="794"/>
      <c r="F1768" s="794"/>
      <c r="G1768" s="794"/>
      <c r="H1768" s="794"/>
      <c r="I1768" s="794"/>
      <c r="J1768" s="794"/>
      <c r="K1768" s="794"/>
      <c r="L1768" s="794"/>
      <c r="M1768" s="794"/>
      <c r="N1768" s="794"/>
      <c r="O1768" s="794"/>
      <c r="P1768" s="794"/>
      <c r="Q1768" s="794"/>
      <c r="R1768" s="794"/>
      <c r="S1768" s="794"/>
      <c r="T1768" s="794"/>
      <c r="U1768" s="794"/>
      <c r="V1768" s="794"/>
      <c r="W1768" s="794"/>
      <c r="X1768" s="794"/>
      <c r="Y1768" s="794"/>
      <c r="Z1768" s="794"/>
      <c r="AA1768" s="794"/>
      <c r="AB1768" s="794"/>
      <c r="AC1768" s="794"/>
      <c r="AD1768" s="794"/>
      <c r="AE1768" s="794"/>
    </row>
    <row r="1769" spans="1:66" ht="15" customHeight="1">
      <c r="A1769" s="49"/>
      <c r="B1769" s="795" t="str">
        <f>IF(BN1762&gt;0,"Alerta: debe de proporcionar una justificación de acuerdo a lo establecido en la instrucción 2","")</f>
        <v/>
      </c>
      <c r="C1769" s="795"/>
      <c r="D1769" s="795"/>
      <c r="E1769" s="795"/>
      <c r="F1769" s="795"/>
      <c r="G1769" s="795"/>
      <c r="H1769" s="795"/>
      <c r="I1769" s="795"/>
      <c r="J1769" s="795"/>
      <c r="K1769" s="795"/>
      <c r="L1769" s="795"/>
      <c r="M1769" s="795"/>
      <c r="N1769" s="795"/>
      <c r="O1769" s="795"/>
      <c r="P1769" s="795"/>
      <c r="Q1769" s="795"/>
      <c r="R1769" s="795"/>
      <c r="S1769" s="795"/>
      <c r="T1769" s="795"/>
      <c r="U1769" s="795"/>
      <c r="V1769" s="795"/>
      <c r="W1769" s="795"/>
      <c r="X1769" s="795"/>
      <c r="Y1769" s="795"/>
      <c r="Z1769" s="795"/>
      <c r="AA1769" s="795"/>
      <c r="AB1769" s="795"/>
      <c r="AC1769" s="795"/>
      <c r="AD1769" s="795"/>
      <c r="AE1769" s="795"/>
    </row>
    <row r="1770" spans="1:66" ht="24" customHeight="1">
      <c r="A1770" s="49" t="s">
        <v>5443</v>
      </c>
      <c r="B1770" s="829" t="s">
        <v>5444</v>
      </c>
      <c r="C1770" s="829"/>
      <c r="D1770" s="829"/>
      <c r="E1770" s="829"/>
      <c r="F1770" s="829"/>
      <c r="G1770" s="829"/>
      <c r="H1770" s="829"/>
      <c r="I1770" s="829"/>
      <c r="J1770" s="829"/>
      <c r="K1770" s="829"/>
      <c r="L1770" s="829"/>
      <c r="M1770" s="829"/>
      <c r="N1770" s="829"/>
      <c r="O1770" s="829"/>
      <c r="P1770" s="829"/>
      <c r="Q1770" s="829"/>
      <c r="R1770" s="829"/>
      <c r="S1770" s="829"/>
      <c r="T1770" s="829"/>
      <c r="U1770" s="829"/>
      <c r="V1770" s="829"/>
      <c r="W1770" s="829"/>
      <c r="X1770" s="829"/>
      <c r="Y1770" s="829"/>
      <c r="Z1770" s="829"/>
      <c r="AA1770" s="829"/>
      <c r="AB1770" s="829"/>
      <c r="AC1770" s="829"/>
      <c r="AD1770" s="829"/>
    </row>
    <row r="1771" spans="1:66" ht="24" customHeight="1">
      <c r="A1771" s="49"/>
      <c r="B1771" s="105"/>
      <c r="C1771" s="754" t="s">
        <v>5128</v>
      </c>
      <c r="D1771" s="754"/>
      <c r="E1771" s="754"/>
      <c r="F1771" s="754"/>
      <c r="G1771" s="754"/>
      <c r="H1771" s="754"/>
      <c r="I1771" s="754"/>
      <c r="J1771" s="754"/>
      <c r="K1771" s="754"/>
      <c r="L1771" s="754"/>
      <c r="M1771" s="754"/>
      <c r="N1771" s="754"/>
      <c r="O1771" s="754"/>
      <c r="P1771" s="754"/>
      <c r="Q1771" s="754"/>
      <c r="R1771" s="754"/>
      <c r="S1771" s="754"/>
      <c r="T1771" s="754"/>
      <c r="U1771" s="754"/>
      <c r="V1771" s="754"/>
      <c r="W1771" s="754"/>
      <c r="X1771" s="754"/>
      <c r="Y1771" s="754"/>
      <c r="Z1771" s="754"/>
      <c r="AA1771" s="754"/>
      <c r="AB1771" s="754"/>
      <c r="AC1771" s="754"/>
      <c r="AD1771" s="754"/>
    </row>
    <row r="1772" spans="1:66" ht="24" customHeight="1">
      <c r="A1772" s="49"/>
      <c r="B1772" s="105"/>
      <c r="C1772" s="754" t="s">
        <v>5129</v>
      </c>
      <c r="D1772" s="754"/>
      <c r="E1772" s="754"/>
      <c r="F1772" s="754"/>
      <c r="G1772" s="754"/>
      <c r="H1772" s="754"/>
      <c r="I1772" s="754"/>
      <c r="J1772" s="754"/>
      <c r="K1772" s="754"/>
      <c r="L1772" s="754"/>
      <c r="M1772" s="754"/>
      <c r="N1772" s="754"/>
      <c r="O1772" s="754"/>
      <c r="P1772" s="754"/>
      <c r="Q1772" s="754"/>
      <c r="R1772" s="754"/>
      <c r="S1772" s="754"/>
      <c r="T1772" s="754"/>
      <c r="U1772" s="754"/>
      <c r="V1772" s="754"/>
      <c r="W1772" s="754"/>
      <c r="X1772" s="754"/>
      <c r="Y1772" s="754"/>
      <c r="Z1772" s="754"/>
      <c r="AA1772" s="754"/>
      <c r="AB1772" s="754"/>
      <c r="AC1772" s="754"/>
      <c r="AD1772" s="754"/>
    </row>
    <row r="1773" spans="1:66" ht="24" customHeight="1">
      <c r="A1773" s="50"/>
      <c r="B1773" s="38"/>
      <c r="C1773" s="830" t="s">
        <v>5445</v>
      </c>
      <c r="D1773" s="830"/>
      <c r="E1773" s="830"/>
      <c r="F1773" s="830"/>
      <c r="G1773" s="830"/>
      <c r="H1773" s="830"/>
      <c r="I1773" s="830"/>
      <c r="J1773" s="830"/>
      <c r="K1773" s="830"/>
      <c r="L1773" s="830"/>
      <c r="M1773" s="830"/>
      <c r="N1773" s="830"/>
      <c r="O1773" s="830"/>
      <c r="P1773" s="830"/>
      <c r="Q1773" s="830"/>
      <c r="R1773" s="830"/>
      <c r="S1773" s="830"/>
      <c r="T1773" s="830"/>
      <c r="U1773" s="830"/>
      <c r="V1773" s="830"/>
      <c r="W1773" s="830"/>
      <c r="X1773" s="830"/>
      <c r="Y1773" s="830"/>
      <c r="Z1773" s="830"/>
      <c r="AA1773" s="830"/>
      <c r="AB1773" s="830"/>
      <c r="AC1773" s="830"/>
      <c r="AD1773" s="830"/>
    </row>
    <row r="1774" spans="1:66" ht="36" customHeight="1">
      <c r="A1774" s="50"/>
      <c r="B1774" s="38"/>
      <c r="C1774" s="754" t="s">
        <v>5446</v>
      </c>
      <c r="D1774" s="754"/>
      <c r="E1774" s="754"/>
      <c r="F1774" s="754"/>
      <c r="G1774" s="754"/>
      <c r="H1774" s="754"/>
      <c r="I1774" s="754"/>
      <c r="J1774" s="754"/>
      <c r="K1774" s="754"/>
      <c r="L1774" s="754"/>
      <c r="M1774" s="754"/>
      <c r="N1774" s="754"/>
      <c r="O1774" s="754"/>
      <c r="P1774" s="754"/>
      <c r="Q1774" s="754"/>
      <c r="R1774" s="754"/>
      <c r="S1774" s="754"/>
      <c r="T1774" s="754"/>
      <c r="U1774" s="754"/>
      <c r="V1774" s="754"/>
      <c r="W1774" s="754"/>
      <c r="X1774" s="754"/>
      <c r="Y1774" s="754"/>
      <c r="Z1774" s="754"/>
      <c r="AA1774" s="754"/>
      <c r="AB1774" s="754"/>
      <c r="AC1774" s="754"/>
      <c r="AD1774" s="754"/>
    </row>
    <row r="1775" spans="1:66" ht="15" customHeight="1">
      <c r="A1775" s="49"/>
      <c r="B1775" s="38"/>
      <c r="C1775" s="38"/>
      <c r="D1775" s="38"/>
      <c r="E1775" s="38"/>
      <c r="F1775" s="38"/>
      <c r="G1775" s="38"/>
      <c r="H1775" s="38"/>
      <c r="I1775" s="38"/>
      <c r="J1775" s="38"/>
      <c r="K1775" s="38"/>
      <c r="L1775" s="38"/>
      <c r="M1775" s="38"/>
      <c r="N1775" s="38"/>
      <c r="O1775" s="38"/>
      <c r="P1775" s="38"/>
      <c r="Q1775" s="38"/>
      <c r="R1775" s="38"/>
      <c r="S1775" s="38"/>
      <c r="T1775" s="38"/>
      <c r="U1775" s="38"/>
      <c r="V1775" s="38"/>
      <c r="W1775" s="38"/>
      <c r="X1775" s="38"/>
      <c r="Y1775" s="38"/>
      <c r="Z1775" s="38"/>
      <c r="AA1775" s="38"/>
      <c r="AB1775" s="38"/>
      <c r="AC1775" s="38"/>
      <c r="AD1775" s="38"/>
    </row>
    <row r="1776" spans="1:66" ht="15" customHeight="1">
      <c r="A1776" s="49"/>
      <c r="B1776" s="38"/>
      <c r="C1776" s="732" t="s">
        <v>5130</v>
      </c>
      <c r="D1776" s="732"/>
      <c r="E1776" s="732"/>
      <c r="F1776" s="732"/>
      <c r="G1776" s="732"/>
      <c r="H1776" s="732"/>
      <c r="I1776" s="732"/>
      <c r="J1776" s="732"/>
      <c r="K1776" s="732"/>
      <c r="L1776" s="732"/>
      <c r="M1776" s="732" t="s">
        <v>5166</v>
      </c>
      <c r="N1776" s="732"/>
      <c r="O1776" s="732"/>
      <c r="P1776" s="732"/>
      <c r="Q1776" s="732"/>
      <c r="R1776" s="732"/>
      <c r="S1776" s="732"/>
      <c r="T1776" s="732"/>
      <c r="U1776" s="732"/>
      <c r="V1776" s="732"/>
      <c r="W1776" s="732"/>
      <c r="X1776" s="732"/>
      <c r="Y1776" s="732"/>
      <c r="Z1776" s="732"/>
      <c r="AA1776" s="732"/>
      <c r="AB1776" s="732"/>
      <c r="AC1776" s="732"/>
      <c r="AD1776" s="732"/>
    </row>
    <row r="1777" spans="1:51" ht="15" customHeight="1">
      <c r="A1777" s="49"/>
      <c r="B1777" s="38"/>
      <c r="C1777" s="732"/>
      <c r="D1777" s="732"/>
      <c r="E1777" s="732"/>
      <c r="F1777" s="732"/>
      <c r="G1777" s="732"/>
      <c r="H1777" s="732"/>
      <c r="I1777" s="732"/>
      <c r="J1777" s="732"/>
      <c r="K1777" s="732"/>
      <c r="L1777" s="732"/>
      <c r="M1777" s="987" t="s">
        <v>2628</v>
      </c>
      <c r="N1777" s="988"/>
      <c r="O1777" s="988"/>
      <c r="P1777" s="988"/>
      <c r="Q1777" s="988"/>
      <c r="R1777" s="988"/>
      <c r="S1777" s="989" t="s">
        <v>2629</v>
      </c>
      <c r="T1777" s="990"/>
      <c r="U1777" s="990"/>
      <c r="V1777" s="990"/>
      <c r="W1777" s="990"/>
      <c r="X1777" s="990"/>
      <c r="Y1777" s="989" t="s">
        <v>2630</v>
      </c>
      <c r="Z1777" s="990"/>
      <c r="AA1777" s="990"/>
      <c r="AB1777" s="990"/>
      <c r="AC1777" s="990"/>
      <c r="AD1777" s="990"/>
      <c r="AF1777" t="s">
        <v>4740</v>
      </c>
      <c r="AG1777" t="s">
        <v>2586</v>
      </c>
      <c r="AH1777" t="s">
        <v>4599</v>
      </c>
      <c r="AI1777" t="s">
        <v>2590</v>
      </c>
      <c r="AJ1777" t="s">
        <v>3163</v>
      </c>
      <c r="AK1777" t="s">
        <v>4564</v>
      </c>
      <c r="AL1777" t="s">
        <v>4766</v>
      </c>
      <c r="AM1777" t="s">
        <v>4767</v>
      </c>
      <c r="AN1777" t="s">
        <v>4768</v>
      </c>
      <c r="AO1777" t="s">
        <v>4769</v>
      </c>
      <c r="AP1777">
        <f>COUNTIF(M1783:M1785,"NS")</f>
        <v>0</v>
      </c>
      <c r="AQ1777">
        <f>COUNTIF(S1783:S1785,"NS")</f>
        <v>0</v>
      </c>
      <c r="AR1777">
        <f>COUNTIF(Y1783:Y1785,"NS")</f>
        <v>0</v>
      </c>
      <c r="AS1777"/>
      <c r="AT1777" t="s">
        <v>4682</v>
      </c>
      <c r="AU1777"/>
      <c r="AV1777"/>
      <c r="AW1777" t="s">
        <v>4681</v>
      </c>
      <c r="AX1777"/>
      <c r="AY1777"/>
    </row>
    <row r="1778" spans="1:51" ht="15" customHeight="1">
      <c r="A1778" s="50"/>
      <c r="B1778" s="38"/>
      <c r="C1778" s="733" t="s">
        <v>4745</v>
      </c>
      <c r="D1778" s="734"/>
      <c r="E1778" s="734"/>
      <c r="F1778" s="735"/>
      <c r="G1778" s="796" t="s">
        <v>3875</v>
      </c>
      <c r="H1778" s="796"/>
      <c r="I1778" s="796"/>
      <c r="J1778" s="796"/>
      <c r="K1778" s="796"/>
      <c r="L1778" s="796"/>
      <c r="M1778" s="749"/>
      <c r="N1778" s="749"/>
      <c r="O1778" s="749"/>
      <c r="P1778" s="749"/>
      <c r="Q1778" s="749"/>
      <c r="R1778" s="749"/>
      <c r="S1778" s="749"/>
      <c r="T1778" s="749"/>
      <c r="U1778" s="749"/>
      <c r="V1778" s="749"/>
      <c r="W1778" s="749"/>
      <c r="X1778" s="749"/>
      <c r="Y1778" s="749"/>
      <c r="Z1778" s="749"/>
      <c r="AA1778" s="749"/>
      <c r="AB1778" s="749"/>
      <c r="AC1778" s="749"/>
      <c r="AD1778" s="749"/>
      <c r="AF1778">
        <f>IF(M1778="NA",IF(AND(COUNTIF(M1779:M1781,"="&amp;$AF$1775)=0,COUNTIF(M1779:M1781,"&lt;&gt;NA")&gt;0),1,0),IF(AND(COUNTIF(M1779:M1781,"="&amp;$AF$1775)=0,COUNTIF(M1779:M1781,"NA")=COUNTIF(M1779:M1781,"&lt;&gt;"&amp;$AF$1775)),1,0))</f>
        <v>0</v>
      </c>
      <c r="AG1778">
        <f>IF(M1778="NA",0,IF(COUNTBLANK(M1778:AD1778)=15,0,IF(COUNTA($M$1778:$AD$1817)=0,0,1)))</f>
        <v>0</v>
      </c>
      <c r="AH1778">
        <f>IF(M1778="NA",IF(COUNTBLANK(S1778:AD1778)=12,0,1),0)</f>
        <v>0</v>
      </c>
      <c r="AI1778">
        <f t="shared" ref="AI1778:AI1817" si="1098">COUNTIF(S1778:AD1778,"NS")</f>
        <v>0</v>
      </c>
      <c r="AJ1778">
        <f t="shared" ref="AJ1778:AJ1817" si="1099">SUM(S1778:AD1778)</f>
        <v>0</v>
      </c>
      <c r="AK1778">
        <f t="shared" ref="AK1778:AK1816" si="1100">IF(COUNTIF(M1778:AD1778,"NA")=3,0,IF(COUNTA(M1778:AD1778)=0,0,IF(OR(AND(M1778=0,AI1778&gt;0),AND(M1778="ns",AJ1778&gt;0),AND(M1778="ns",AI1778=0,AJ1778=0)),1,IF(OR(AND(M1778&gt;0,AI1778=2),AND(M1778="ns",AI1778=2),AND(M1778="ns",AJ1778=0,AI1778&gt;0),M1778=AJ1778),0,1))))</f>
        <v>0</v>
      </c>
      <c r="AL1778">
        <f>COUNTIF(M1779:M1781,"NS")</f>
        <v>0</v>
      </c>
      <c r="AM1778">
        <f>SUM(M1779:M1781)</f>
        <v>0</v>
      </c>
      <c r="AN1778">
        <f>IF(COUNTA(M1778:M1781)=0,0,IF(OR(AND(M1778=0,AL1778&gt;0),AND(M1778="ns",AM1778&gt;0),AND(M1778="ns",AL1778=0,AM1778=0)),1,IF(OR(AND(AL1778&gt;=2,M1778&gt;AM1778),AND(M1778="ns",AM1778=0,AL1778&gt;0),M1778=AM1778),0,1)))</f>
        <v>0</v>
      </c>
      <c r="AO1778" t="s">
        <v>4770</v>
      </c>
      <c r="AP1778">
        <f>SUM(M1783:M1785)</f>
        <v>0</v>
      </c>
      <c r="AQ1778">
        <f>SUM(S1783:S1785)</f>
        <v>0</v>
      </c>
      <c r="AR1778">
        <f>SUM(Y1783:Y1785)</f>
        <v>0</v>
      </c>
      <c r="AS1778"/>
      <c r="AT1778" cm="1">
        <f t="array" ref="AT1778">IF(OR(M1778={"NS","NA"},$M$48={"NS","NA"}),0,IF(M1778&lt;=$M$48,0,1))</f>
        <v>0</v>
      </c>
      <c r="AU1778" cm="1">
        <f t="array" ref="AU1778">IF(OR(S1778={"NS","NA"},$S$48={"NS","NA"}),0,IF(S1778&lt;=$S$48,0,1))</f>
        <v>0</v>
      </c>
      <c r="AV1778" cm="1">
        <f t="array" ref="AV1778">IF(OR(Y1778={"NS","NA"},$Y$48={"NS","NA"}),0,IF(Y1778&lt;=$Y$48,0,1))</f>
        <v>0</v>
      </c>
      <c r="AW1778" cm="1">
        <f t="array" ref="AW1778">IF(OR(M1778={"NS","NA"},P1639={"NS","NA"}),0,IF(M1778&lt;=P1639,0,1))</f>
        <v>0</v>
      </c>
      <c r="AX1778" cm="1">
        <f t="array" ref="AX1778">IF(OR(S1778={"NS","NA"},Q1639={"NS","NA"}),0,IF(S1778&lt;=Q1639,0,1))</f>
        <v>0</v>
      </c>
      <c r="AY1778" cm="1">
        <f t="array" ref="AY1778">IF(OR(Y1778={"NS","NA"},R1639={"NS","NA"}),0,IF(Y1778&lt;=R1639,0,1))</f>
        <v>0</v>
      </c>
    </row>
    <row r="1779" spans="1:51" ht="15" customHeight="1">
      <c r="A1779" s="50"/>
      <c r="B1779" s="38"/>
      <c r="C1779" s="1119" t="s">
        <v>5132</v>
      </c>
      <c r="D1779" s="1121"/>
      <c r="E1779" s="1121"/>
      <c r="F1779" s="1120"/>
      <c r="G1779" s="173"/>
      <c r="H1779" s="1126" t="s">
        <v>3876</v>
      </c>
      <c r="I1779" s="1126"/>
      <c r="J1779" s="1126"/>
      <c r="K1779" s="1126"/>
      <c r="L1779" s="1127"/>
      <c r="M1779" s="749"/>
      <c r="N1779" s="749"/>
      <c r="O1779" s="749"/>
      <c r="P1779" s="749"/>
      <c r="Q1779" s="749"/>
      <c r="R1779" s="749"/>
      <c r="S1779" s="749"/>
      <c r="T1779" s="749"/>
      <c r="U1779" s="749"/>
      <c r="V1779" s="749"/>
      <c r="W1779" s="749"/>
      <c r="X1779" s="749"/>
      <c r="Y1779" s="749"/>
      <c r="Z1779" s="749"/>
      <c r="AA1779" s="749"/>
      <c r="AB1779" s="749"/>
      <c r="AC1779" s="749"/>
      <c r="AD1779" s="749"/>
      <c r="AF1779"/>
      <c r="AG1779">
        <f t="shared" ref="AG1779:AG1816" si="1101">IF(M1779="NA",0,IF(COUNTBLANK(M1779:AD1779)=15,0,IF(COUNTA($M$1778:$AD$1817)=0,0,1)))</f>
        <v>0</v>
      </c>
      <c r="AH1779">
        <f t="shared" ref="AH1779:AH1816" si="1102">IF(M1779="NA",IF(COUNTBLANK(S1779:AD1779)=12,0,1),0)</f>
        <v>0</v>
      </c>
      <c r="AI1779">
        <f t="shared" si="1098"/>
        <v>0</v>
      </c>
      <c r="AJ1779">
        <f t="shared" si="1099"/>
        <v>0</v>
      </c>
      <c r="AK1779">
        <f t="shared" si="1100"/>
        <v>0</v>
      </c>
      <c r="AL1779">
        <f>COUNTIF(S1779:S1781,"NS")</f>
        <v>0</v>
      </c>
      <c r="AM1779">
        <f>SUM(S1779:S1781)</f>
        <v>0</v>
      </c>
      <c r="AN1779">
        <f>IF(COUNTA(S1778:S1781)=0,0,IF(OR(AND(S1778=0,AL1779&gt;0),AND(S1778="ns",AM1779&gt;0),AND(S1778="ns",AL1779=0,AM1779=0)),1,IF(OR(AND(AL1779&gt;=2,S1778&gt;AM1779),AND(S1778="ns",AM1779=0,AL1779&gt;0),S1778=AM1779),0,1)))</f>
        <v>0</v>
      </c>
      <c r="AO1779" t="s">
        <v>4771</v>
      </c>
      <c r="AP1779">
        <f>IF(COUNTBLANK(M1782:M1785)=4,0,IF(OR(AND(M1782=0,AP1777&gt;0),AND(M1782="ns",AP1778&gt;0),AND(M1782="ns",AP1777=0,AP1778=0)),1,IF(OR(AND(AP1777&gt;=2,M1782&gt;AP1778),AND(M1782="ns",AP1778=0,AP1777&gt;0),M1782=AP1778),0,1)))</f>
        <v>0</v>
      </c>
      <c r="AQ1779">
        <f>IF(COUNTBLANK(S1782:S1785)=4,0,IF(OR(AND(S1782=0,AQ1777&gt;0),AND(S1782="ns",AQ1778&gt;0),AND(S1782="ns",AQ1777=0,AQ1778=0)),1,IF(OR(AND(AQ1777&gt;=2,S1782&gt;AQ1778),AND(S1782="ns",AQ1778=0,AQ1777&gt;0),S1782=AQ1778),0,1)))</f>
        <v>0</v>
      </c>
      <c r="AR1779">
        <f>IF(COUNTBLANK(Y1782:Y1785)=4,0,IF(OR(AND(Y1782=0,AR1777&gt;0),AND(Y1782="ns",AR1778&gt;0),AND(Y1782="ns",AR1777=0,AR1778=0)),1,IF(OR(AND(AR1777&gt;=2,Y1782&gt;AR1778),AND(Y1782="ns",AR1778=0,AR1777&gt;0),Y1782=AR1778),0,1)))</f>
        <v>0</v>
      </c>
      <c r="AS1779" s="499">
        <f>SUM(AP1779:AR1779)</f>
        <v>0</v>
      </c>
      <c r="AT1779" cm="1">
        <f t="array" ref="AT1779">IF(OR(M1779={"NS","NA"},$M$48={"NS","NA"}),0,IF(M1779&lt;=$M$48,0,1))</f>
        <v>0</v>
      </c>
      <c r="AU1779" cm="1">
        <f t="array" ref="AU1779">IF(OR(S1779={"NS","NA"},$S$48={"NS","NA"}),0,IF(S1779&lt;=$S$48,0,1))</f>
        <v>0</v>
      </c>
      <c r="AV1779" cm="1">
        <f t="array" ref="AV1779">IF(OR(Y1779={"NS","NA"},$Y$48={"NS","NA"}),0,IF(Y1779&lt;=$Y$48,0,1))</f>
        <v>0</v>
      </c>
      <c r="AW1779" cm="1">
        <f t="array" ref="AW1779">IF(OR(M1779={"NS","NA"},P1640={"NS","NA"}),0,IF(M1779&lt;=P1640,0,1))</f>
        <v>0</v>
      </c>
      <c r="AX1779" cm="1">
        <f t="array" ref="AX1779">IF(OR(S1779={"NS","NA"},Q1640={"NS","NA"}),0,IF(S1779&lt;=Q1640,0,1))</f>
        <v>0</v>
      </c>
      <c r="AY1779" cm="1">
        <f t="array" ref="AY1779">IF(OR(Y1779={"NS","NA"},R1640={"NS","NA"}),0,IF(Y1779&lt;=R1640,0,1))</f>
        <v>0</v>
      </c>
    </row>
    <row r="1780" spans="1:51" ht="15" customHeight="1">
      <c r="A1780" s="50"/>
      <c r="B1780" s="38"/>
      <c r="C1780" s="1119" t="s">
        <v>5133</v>
      </c>
      <c r="D1780" s="1121"/>
      <c r="E1780" s="1121"/>
      <c r="F1780" s="1120"/>
      <c r="G1780" s="174"/>
      <c r="H1780" s="1122" t="s">
        <v>3877</v>
      </c>
      <c r="I1780" s="1122"/>
      <c r="J1780" s="1122"/>
      <c r="K1780" s="1122"/>
      <c r="L1780" s="1123"/>
      <c r="M1780" s="749"/>
      <c r="N1780" s="749"/>
      <c r="O1780" s="749"/>
      <c r="P1780" s="749"/>
      <c r="Q1780" s="749"/>
      <c r="R1780" s="749"/>
      <c r="S1780" s="749"/>
      <c r="T1780" s="749"/>
      <c r="U1780" s="749"/>
      <c r="V1780" s="749"/>
      <c r="W1780" s="749"/>
      <c r="X1780" s="749"/>
      <c r="Y1780" s="749"/>
      <c r="Z1780" s="749"/>
      <c r="AA1780" s="749"/>
      <c r="AB1780" s="749"/>
      <c r="AC1780" s="749"/>
      <c r="AD1780" s="749"/>
      <c r="AF1780"/>
      <c r="AG1780">
        <f t="shared" si="1101"/>
        <v>0</v>
      </c>
      <c r="AH1780">
        <f t="shared" si="1102"/>
        <v>0</v>
      </c>
      <c r="AI1780">
        <f t="shared" si="1098"/>
        <v>0</v>
      </c>
      <c r="AJ1780">
        <f t="shared" si="1099"/>
        <v>0</v>
      </c>
      <c r="AK1780">
        <f t="shared" si="1100"/>
        <v>0</v>
      </c>
      <c r="AL1780">
        <f>COUNTIF(Y1779:Y1781,"NS")</f>
        <v>0</v>
      </c>
      <c r="AM1780">
        <f>SUM(Y1779:Y1781)</f>
        <v>0</v>
      </c>
      <c r="AN1780">
        <f>IF(COUNTA(Y1778:Y1781)=0,0,IF(OR(AND(Y1778=0,AL1780&gt;0),AND(Y1778="ns",AM1780&gt;0),AND(Y1778="ns",AL1780=0,AM1780=0)),1,IF(OR(AND(AL1780&gt;=2,Y1778&gt;AM1780),AND(Y1778="ns",AM1780=0,AL1780&gt;0),Y1778=AM1780),0,1)))</f>
        <v>0</v>
      </c>
      <c r="AO1780"/>
      <c r="AP1780"/>
      <c r="AQ1780"/>
      <c r="AR1780"/>
      <c r="AS1780"/>
      <c r="AT1780" cm="1">
        <f t="array" ref="AT1780">IF(OR(M1780={"NS","NA"},$M$48={"NS","NA"}),0,IF(M1780&lt;=$M$48,0,1))</f>
        <v>0</v>
      </c>
      <c r="AU1780" cm="1">
        <f t="array" ref="AU1780">IF(OR(S1780={"NS","NA"},$S$48={"NS","NA"}),0,IF(S1780&lt;=$S$48,0,1))</f>
        <v>0</v>
      </c>
      <c r="AV1780" cm="1">
        <f t="array" ref="AV1780">IF(OR(Y1780={"NS","NA"},$Y$48={"NS","NA"}),0,IF(Y1780&lt;=$Y$48,0,1))</f>
        <v>0</v>
      </c>
      <c r="AW1780" cm="1">
        <f t="array" ref="AW1780">IF(OR(M1780={"NS","NA"},P1641={"NS","NA"}),0,IF(M1780&lt;=P1641,0,1))</f>
        <v>0</v>
      </c>
      <c r="AX1780" cm="1">
        <f t="array" ref="AX1780">IF(OR(S1780={"NS","NA"},Q1641={"NS","NA"}),0,IF(S1780&lt;=Q1641,0,1))</f>
        <v>0</v>
      </c>
      <c r="AY1780" cm="1">
        <f t="array" ref="AY1780">IF(OR(Y1780={"NS","NA"},R1641={"NS","NA"}),0,IF(Y1780&lt;=R1641,0,1))</f>
        <v>0</v>
      </c>
    </row>
    <row r="1781" spans="1:51" ht="15" customHeight="1">
      <c r="A1781" s="50"/>
      <c r="B1781" s="38"/>
      <c r="C1781" s="1119" t="s">
        <v>5134</v>
      </c>
      <c r="D1781" s="1121"/>
      <c r="E1781" s="1121"/>
      <c r="F1781" s="1120"/>
      <c r="G1781" s="175"/>
      <c r="H1781" s="1124" t="s">
        <v>201</v>
      </c>
      <c r="I1781" s="1124"/>
      <c r="J1781" s="1124"/>
      <c r="K1781" s="1124"/>
      <c r="L1781" s="1125"/>
      <c r="M1781" s="749"/>
      <c r="N1781" s="749"/>
      <c r="O1781" s="749"/>
      <c r="P1781" s="749"/>
      <c r="Q1781" s="749"/>
      <c r="R1781" s="749"/>
      <c r="S1781" s="749"/>
      <c r="T1781" s="749"/>
      <c r="U1781" s="749"/>
      <c r="V1781" s="749"/>
      <c r="W1781" s="749"/>
      <c r="X1781" s="749"/>
      <c r="Y1781" s="749"/>
      <c r="Z1781" s="749"/>
      <c r="AA1781" s="749"/>
      <c r="AB1781" s="749"/>
      <c r="AC1781" s="749"/>
      <c r="AD1781" s="749"/>
      <c r="AF1781"/>
      <c r="AG1781">
        <f t="shared" si="1101"/>
        <v>0</v>
      </c>
      <c r="AH1781">
        <f t="shared" si="1102"/>
        <v>0</v>
      </c>
      <c r="AI1781">
        <f t="shared" si="1098"/>
        <v>0</v>
      </c>
      <c r="AJ1781">
        <f t="shared" si="1099"/>
        <v>0</v>
      </c>
      <c r="AK1781">
        <f t="shared" si="1100"/>
        <v>0</v>
      </c>
      <c r="AL1781"/>
      <c r="AN1781" s="499">
        <f>SUM(AN1778:AN1780)</f>
        <v>0</v>
      </c>
      <c r="AO1781"/>
      <c r="AP1781"/>
      <c r="AQ1781"/>
      <c r="AR1781"/>
      <c r="AS1781"/>
      <c r="AT1781" cm="1">
        <f t="array" ref="AT1781">IF(OR(M1781={"NS","NA"},$M$48={"NS","NA"}),0,IF(M1781&lt;=$M$48,0,1))</f>
        <v>0</v>
      </c>
      <c r="AU1781" cm="1">
        <f t="array" ref="AU1781">IF(OR(S1781={"NS","NA"},$S$48={"NS","NA"}),0,IF(S1781&lt;=$S$48,0,1))</f>
        <v>0</v>
      </c>
      <c r="AV1781" cm="1">
        <f t="array" ref="AV1781">IF(OR(Y1781={"NS","NA"},$Y$48={"NS","NA"}),0,IF(Y1781&lt;=$Y$48,0,1))</f>
        <v>0</v>
      </c>
      <c r="AW1781" cm="1">
        <f t="array" ref="AW1781">IF(OR(M1781={"NS","NA"},P1642={"NS","NA"}),0,IF(M1781&lt;=P1642,0,1))</f>
        <v>0</v>
      </c>
      <c r="AX1781" cm="1">
        <f t="array" ref="AX1781">IF(OR(S1781={"NS","NA"},Q1642={"NS","NA"}),0,IF(S1781&lt;=Q1642,0,1))</f>
        <v>0</v>
      </c>
      <c r="AY1781" cm="1">
        <f t="array" ref="AY1781">IF(OR(Y1781={"NS","NA"},R1642={"NS","NA"}),0,IF(Y1781&lt;=R1642,0,1))</f>
        <v>0</v>
      </c>
    </row>
    <row r="1782" spans="1:51" ht="15" customHeight="1">
      <c r="A1782" s="50"/>
      <c r="B1782" s="38"/>
      <c r="C1782" s="733" t="s">
        <v>4746</v>
      </c>
      <c r="D1782" s="734"/>
      <c r="E1782" s="734"/>
      <c r="F1782" s="735"/>
      <c r="G1782" s="796" t="s">
        <v>4747</v>
      </c>
      <c r="H1782" s="796"/>
      <c r="I1782" s="796"/>
      <c r="J1782" s="796"/>
      <c r="K1782" s="796"/>
      <c r="L1782" s="796"/>
      <c r="M1782" s="749"/>
      <c r="N1782" s="749"/>
      <c r="O1782" s="749"/>
      <c r="P1782" s="749"/>
      <c r="Q1782" s="749"/>
      <c r="R1782" s="749"/>
      <c r="S1782" s="749"/>
      <c r="T1782" s="749"/>
      <c r="U1782" s="749"/>
      <c r="V1782" s="749"/>
      <c r="W1782" s="749"/>
      <c r="X1782" s="749"/>
      <c r="Y1782" s="749"/>
      <c r="Z1782" s="749"/>
      <c r="AA1782" s="749"/>
      <c r="AB1782" s="749"/>
      <c r="AC1782" s="749"/>
      <c r="AD1782" s="749"/>
      <c r="AF1782">
        <f>IF(M1782="NA",IF(AND(COUNTIF(M1783:M1785,"="&amp;$AF$1775)=0,COUNTIF(M1783:M1785,"&lt;&gt;NA")&gt;0),1,0),IF(AND(COUNTIF(M1783:M1785,"="&amp;$AF$1775)=0,COUNTIF(M1783:M1785,"NA")=COUNTIF(M1783:M1785,"&lt;&gt;"&amp;$AF$1775)),1,0))</f>
        <v>0</v>
      </c>
      <c r="AG1782">
        <f t="shared" si="1101"/>
        <v>0</v>
      </c>
      <c r="AH1782">
        <f t="shared" si="1102"/>
        <v>0</v>
      </c>
      <c r="AI1782">
        <f t="shared" si="1098"/>
        <v>0</v>
      </c>
      <c r="AJ1782">
        <f t="shared" si="1099"/>
        <v>0</v>
      </c>
      <c r="AK1782">
        <f t="shared" si="1100"/>
        <v>0</v>
      </c>
      <c r="AN1782" s="405">
        <f>SUM(AN1781,AS1779)</f>
        <v>0</v>
      </c>
      <c r="AO1782"/>
      <c r="AP1782"/>
      <c r="AQ1782"/>
      <c r="AR1782"/>
      <c r="AS1782"/>
      <c r="AT1782" cm="1">
        <f t="array" ref="AT1782">IF(OR(M1782={"NS","NA"},$M$48={"NS","NA"}),0,IF(M1782&lt;=$M$48,0,1))</f>
        <v>0</v>
      </c>
      <c r="AU1782" cm="1">
        <f t="array" ref="AU1782">IF(OR(S1782={"NS","NA"},$S$48={"NS","NA"}),0,IF(S1782&lt;=$S$48,0,1))</f>
        <v>0</v>
      </c>
      <c r="AV1782" cm="1">
        <f t="array" ref="AV1782">IF(OR(Y1782={"NS","NA"},$Y$48={"NS","NA"}),0,IF(Y1782&lt;=$Y$48,0,1))</f>
        <v>0</v>
      </c>
      <c r="AW1782" cm="1">
        <f t="array" ref="AW1782">IF(OR(M1782={"NS","NA"},P1643={"NS","NA"}),0,IF(M1782&lt;=P1643,0,1))</f>
        <v>0</v>
      </c>
      <c r="AX1782" cm="1">
        <f t="array" ref="AX1782">IF(OR(S1782={"NS","NA"},Q1643={"NS","NA"}),0,IF(S1782&lt;=Q1643,0,1))</f>
        <v>0</v>
      </c>
      <c r="AY1782" cm="1">
        <f t="array" ref="AY1782">IF(OR(Y1782={"NS","NA"},R1643={"NS","NA"}),0,IF(Y1782&lt;=R1643,0,1))</f>
        <v>0</v>
      </c>
    </row>
    <row r="1783" spans="1:51" ht="15" customHeight="1">
      <c r="A1783" s="50"/>
      <c r="B1783" s="38"/>
      <c r="C1783" s="1119" t="s">
        <v>5135</v>
      </c>
      <c r="D1783" s="1121"/>
      <c r="E1783" s="1121"/>
      <c r="F1783" s="1120"/>
      <c r="G1783" s="173"/>
      <c r="H1783" s="1126" t="s">
        <v>5136</v>
      </c>
      <c r="I1783" s="1126"/>
      <c r="J1783" s="1126"/>
      <c r="K1783" s="1126"/>
      <c r="L1783" s="1127"/>
      <c r="M1783" s="749"/>
      <c r="N1783" s="749"/>
      <c r="O1783" s="749"/>
      <c r="P1783" s="749"/>
      <c r="Q1783" s="749"/>
      <c r="R1783" s="749"/>
      <c r="S1783" s="749"/>
      <c r="T1783" s="749"/>
      <c r="U1783" s="749"/>
      <c r="V1783" s="749"/>
      <c r="W1783" s="749"/>
      <c r="X1783" s="749"/>
      <c r="Y1783" s="749"/>
      <c r="Z1783" s="749"/>
      <c r="AA1783" s="749"/>
      <c r="AB1783" s="749"/>
      <c r="AC1783" s="749"/>
      <c r="AD1783" s="749"/>
      <c r="AF1783"/>
      <c r="AG1783">
        <f t="shared" si="1101"/>
        <v>0</v>
      </c>
      <c r="AH1783">
        <f t="shared" si="1102"/>
        <v>0</v>
      </c>
      <c r="AI1783">
        <f t="shared" si="1098"/>
        <v>0</v>
      </c>
      <c r="AJ1783">
        <f t="shared" si="1099"/>
        <v>0</v>
      </c>
      <c r="AK1783">
        <f t="shared" si="1100"/>
        <v>0</v>
      </c>
      <c r="AM1783" t="s">
        <v>5140</v>
      </c>
      <c r="AN1783" s="506">
        <f>AN1782-SUM(COUNTIF(M1778,"NA"),COUNTIF(M1782,"NA"))</f>
        <v>0</v>
      </c>
      <c r="AO1783"/>
      <c r="AP1783"/>
      <c r="AQ1783"/>
      <c r="AR1783"/>
      <c r="AS1783"/>
      <c r="AT1783" cm="1">
        <f t="array" ref="AT1783">IF(OR(M1783={"NS","NA"},$M$48={"NS","NA"}),0,IF(M1783&lt;=$M$48,0,1))</f>
        <v>0</v>
      </c>
      <c r="AU1783" cm="1">
        <f t="array" ref="AU1783">IF(OR(S1783={"NS","NA"},$S$48={"NS","NA"}),0,IF(S1783&lt;=$S$48,0,1))</f>
        <v>0</v>
      </c>
      <c r="AV1783" cm="1">
        <f t="array" ref="AV1783">IF(OR(Y1783={"NS","NA"},$Y$48={"NS","NA"}),0,IF(Y1783&lt;=$Y$48,0,1))</f>
        <v>0</v>
      </c>
      <c r="AW1783" cm="1">
        <f t="array" ref="AW1783">IF(OR(M1783={"NS","NA"},P1644={"NS","NA"}),0,IF(M1783&lt;=P1644,0,1))</f>
        <v>0</v>
      </c>
      <c r="AX1783" cm="1">
        <f t="array" ref="AX1783">IF(OR(S1783={"NS","NA"},Q1644={"NS","NA"}),0,IF(S1783&lt;=Q1644,0,1))</f>
        <v>0</v>
      </c>
      <c r="AY1783" cm="1">
        <f t="array" ref="AY1783">IF(OR(Y1783={"NS","NA"},R1644={"NS","NA"}),0,IF(Y1783&lt;=R1644,0,1))</f>
        <v>0</v>
      </c>
    </row>
    <row r="1784" spans="1:51" ht="15" customHeight="1">
      <c r="A1784" s="50"/>
      <c r="B1784" s="38"/>
      <c r="C1784" s="1119" t="s">
        <v>5137</v>
      </c>
      <c r="D1784" s="1121"/>
      <c r="E1784" s="1121"/>
      <c r="F1784" s="1120"/>
      <c r="G1784" s="174"/>
      <c r="H1784" s="1122" t="s">
        <v>5138</v>
      </c>
      <c r="I1784" s="1122"/>
      <c r="J1784" s="1122"/>
      <c r="K1784" s="1122"/>
      <c r="L1784" s="1123"/>
      <c r="M1784" s="749"/>
      <c r="N1784" s="749"/>
      <c r="O1784" s="749"/>
      <c r="P1784" s="749"/>
      <c r="Q1784" s="749"/>
      <c r="R1784" s="749"/>
      <c r="S1784" s="749"/>
      <c r="T1784" s="749"/>
      <c r="U1784" s="749"/>
      <c r="V1784" s="749"/>
      <c r="W1784" s="749"/>
      <c r="X1784" s="749"/>
      <c r="Y1784" s="749"/>
      <c r="Z1784" s="749"/>
      <c r="AA1784" s="749"/>
      <c r="AB1784" s="749"/>
      <c r="AC1784" s="749"/>
      <c r="AD1784" s="749"/>
      <c r="AF1784"/>
      <c r="AG1784">
        <f t="shared" si="1101"/>
        <v>0</v>
      </c>
      <c r="AH1784">
        <f t="shared" si="1102"/>
        <v>0</v>
      </c>
      <c r="AI1784">
        <f t="shared" si="1098"/>
        <v>0</v>
      </c>
      <c r="AJ1784">
        <f t="shared" si="1099"/>
        <v>0</v>
      </c>
      <c r="AK1784">
        <f t="shared" si="1100"/>
        <v>0</v>
      </c>
      <c r="AO1784"/>
      <c r="AP1784"/>
      <c r="AQ1784"/>
      <c r="AR1784"/>
      <c r="AS1784"/>
      <c r="AT1784" cm="1">
        <f t="array" ref="AT1784">IF(OR(M1784={"NS","NA"},$M$48={"NS","NA"}),0,IF(M1784&lt;=$M$48,0,1))</f>
        <v>0</v>
      </c>
      <c r="AU1784" cm="1">
        <f t="array" ref="AU1784">IF(OR(S1784={"NS","NA"},$S$48={"NS","NA"}),0,IF(S1784&lt;=$S$48,0,1))</f>
        <v>0</v>
      </c>
      <c r="AV1784" cm="1">
        <f t="array" ref="AV1784">IF(OR(Y1784={"NS","NA"},$Y$48={"NS","NA"}),0,IF(Y1784&lt;=$Y$48,0,1))</f>
        <v>0</v>
      </c>
      <c r="AW1784" cm="1">
        <f t="array" ref="AW1784">IF(OR(M1784={"NS","NA"},P1645={"NS","NA"}),0,IF(M1784&lt;=P1645,0,1))</f>
        <v>0</v>
      </c>
      <c r="AX1784" cm="1">
        <f t="array" ref="AX1784">IF(OR(S1784={"NS","NA"},Q1645={"NS","NA"}),0,IF(S1784&lt;=Q1645,0,1))</f>
        <v>0</v>
      </c>
      <c r="AY1784" cm="1">
        <f t="array" ref="AY1784">IF(OR(Y1784={"NS","NA"},R1645={"NS","NA"}),0,IF(Y1784&lt;=R1645,0,1))</f>
        <v>0</v>
      </c>
    </row>
    <row r="1785" spans="1:51" ht="15" customHeight="1">
      <c r="A1785" s="50"/>
      <c r="B1785" s="38"/>
      <c r="C1785" s="1119" t="s">
        <v>5139</v>
      </c>
      <c r="D1785" s="1121"/>
      <c r="E1785" s="1121"/>
      <c r="F1785" s="1120"/>
      <c r="G1785" s="175"/>
      <c r="H1785" s="1124" t="s">
        <v>201</v>
      </c>
      <c r="I1785" s="1124"/>
      <c r="J1785" s="1124"/>
      <c r="K1785" s="1124"/>
      <c r="L1785" s="1125"/>
      <c r="M1785" s="749"/>
      <c r="N1785" s="749"/>
      <c r="O1785" s="749"/>
      <c r="P1785" s="749"/>
      <c r="Q1785" s="749"/>
      <c r="R1785" s="749"/>
      <c r="S1785" s="749"/>
      <c r="T1785" s="749"/>
      <c r="U1785" s="749"/>
      <c r="V1785" s="749"/>
      <c r="W1785" s="749"/>
      <c r="X1785" s="749"/>
      <c r="Y1785" s="749"/>
      <c r="Z1785" s="749"/>
      <c r="AA1785" s="749"/>
      <c r="AB1785" s="749"/>
      <c r="AC1785" s="749"/>
      <c r="AD1785" s="749"/>
      <c r="AF1785"/>
      <c r="AG1785">
        <f t="shared" si="1101"/>
        <v>0</v>
      </c>
      <c r="AH1785">
        <f t="shared" si="1102"/>
        <v>0</v>
      </c>
      <c r="AI1785">
        <f t="shared" si="1098"/>
        <v>0</v>
      </c>
      <c r="AJ1785">
        <f t="shared" si="1099"/>
        <v>0</v>
      </c>
      <c r="AK1785">
        <f t="shared" si="1100"/>
        <v>0</v>
      </c>
      <c r="AO1785"/>
      <c r="AP1785"/>
      <c r="AQ1785"/>
      <c r="AR1785"/>
      <c r="AS1785"/>
      <c r="AT1785" cm="1">
        <f t="array" ref="AT1785">IF(OR(M1785={"NS","NA"},$M$48={"NS","NA"}),0,IF(M1785&lt;=$M$48,0,1))</f>
        <v>0</v>
      </c>
      <c r="AU1785" cm="1">
        <f t="array" ref="AU1785">IF(OR(S1785={"NS","NA"},$S$48={"NS","NA"}),0,IF(S1785&lt;=$S$48,0,1))</f>
        <v>0</v>
      </c>
      <c r="AV1785" cm="1">
        <f t="array" ref="AV1785">IF(OR(Y1785={"NS","NA"},$Y$48={"NS","NA"}),0,IF(Y1785&lt;=$Y$48,0,1))</f>
        <v>0</v>
      </c>
      <c r="AW1785" cm="1">
        <f t="array" ref="AW1785">IF(OR(M1785={"NS","NA"},P1646={"NS","NA"}),0,IF(M1785&lt;=P1646,0,1))</f>
        <v>0</v>
      </c>
      <c r="AX1785" cm="1">
        <f t="array" ref="AX1785">IF(OR(S1785={"NS","NA"},Q1646={"NS","NA"}),0,IF(S1785&lt;=Q1646,0,1))</f>
        <v>0</v>
      </c>
      <c r="AY1785" cm="1">
        <f t="array" ref="AY1785">IF(OR(Y1785={"NS","NA"},R1646={"NS","NA"}),0,IF(Y1785&lt;=R1646,0,1))</f>
        <v>0</v>
      </c>
    </row>
    <row r="1786" spans="1:51" ht="15" customHeight="1">
      <c r="A1786" s="50"/>
      <c r="B1786" s="38"/>
      <c r="C1786" s="733" t="s">
        <v>4750</v>
      </c>
      <c r="D1786" s="734"/>
      <c r="E1786" s="734"/>
      <c r="F1786" s="735"/>
      <c r="G1786" s="796" t="s">
        <v>4751</v>
      </c>
      <c r="H1786" s="796"/>
      <c r="I1786" s="796"/>
      <c r="J1786" s="796"/>
      <c r="K1786" s="796"/>
      <c r="L1786" s="796"/>
      <c r="M1786" s="749"/>
      <c r="N1786" s="749"/>
      <c r="O1786" s="749"/>
      <c r="P1786" s="749"/>
      <c r="Q1786" s="749"/>
      <c r="R1786" s="749"/>
      <c r="S1786" s="749"/>
      <c r="T1786" s="749"/>
      <c r="U1786" s="749"/>
      <c r="V1786" s="749"/>
      <c r="W1786" s="749"/>
      <c r="X1786" s="749"/>
      <c r="Y1786" s="749"/>
      <c r="Z1786" s="749"/>
      <c r="AA1786" s="749"/>
      <c r="AB1786" s="749"/>
      <c r="AC1786" s="749"/>
      <c r="AD1786" s="749"/>
      <c r="AF1786"/>
      <c r="AG1786">
        <f t="shared" si="1101"/>
        <v>0</v>
      </c>
      <c r="AH1786">
        <f t="shared" si="1102"/>
        <v>0</v>
      </c>
      <c r="AI1786">
        <f t="shared" si="1098"/>
        <v>0</v>
      </c>
      <c r="AJ1786">
        <f t="shared" si="1099"/>
        <v>0</v>
      </c>
      <c r="AK1786">
        <f t="shared" si="1100"/>
        <v>0</v>
      </c>
      <c r="AO1786"/>
      <c r="AP1786"/>
      <c r="AQ1786"/>
      <c r="AR1786"/>
      <c r="AS1786"/>
      <c r="AT1786" cm="1">
        <f t="array" ref="AT1786">IF(OR(M1786={"NS","NA"},$M$48={"NS","NA"}),0,IF(M1786&lt;=$M$48,0,1))</f>
        <v>0</v>
      </c>
      <c r="AU1786" cm="1">
        <f t="array" ref="AU1786">IF(OR(S1786={"NS","NA"},$S$48={"NS","NA"}),0,IF(S1786&lt;=$S$48,0,1))</f>
        <v>0</v>
      </c>
      <c r="AV1786" cm="1">
        <f t="array" ref="AV1786">IF(OR(Y1786={"NS","NA"},$Y$48={"NS","NA"}),0,IF(Y1786&lt;=$Y$48,0,1))</f>
        <v>0</v>
      </c>
      <c r="AW1786" cm="1">
        <f t="array" ref="AW1786">IF(OR(M1786={"NS","NA"},P1647={"NS","NA"}),0,IF(M1786&lt;=P1647,0,1))</f>
        <v>0</v>
      </c>
      <c r="AX1786" cm="1">
        <f t="array" ref="AX1786">IF(OR(S1786={"NS","NA"},Q1647={"NS","NA"}),0,IF(S1786&lt;=Q1647,0,1))</f>
        <v>0</v>
      </c>
      <c r="AY1786" cm="1">
        <f t="array" ref="AY1786">IF(OR(Y1786={"NS","NA"},R1647={"NS","NA"}),0,IF(Y1786&lt;=R1647,0,1))</f>
        <v>0</v>
      </c>
    </row>
    <row r="1787" spans="1:51" ht="24" customHeight="1">
      <c r="A1787" s="50"/>
      <c r="B1787" s="38"/>
      <c r="C1787" s="733" t="s">
        <v>4764</v>
      </c>
      <c r="D1787" s="734"/>
      <c r="E1787" s="734"/>
      <c r="F1787" s="735"/>
      <c r="G1787" s="796" t="s">
        <v>4765</v>
      </c>
      <c r="H1787" s="796"/>
      <c r="I1787" s="796"/>
      <c r="J1787" s="796"/>
      <c r="K1787" s="796"/>
      <c r="L1787" s="796"/>
      <c r="M1787" s="749"/>
      <c r="N1787" s="749"/>
      <c r="O1787" s="749"/>
      <c r="P1787" s="749"/>
      <c r="Q1787" s="749"/>
      <c r="R1787" s="749"/>
      <c r="S1787" s="749"/>
      <c r="T1787" s="749"/>
      <c r="U1787" s="749"/>
      <c r="V1787" s="749"/>
      <c r="W1787" s="749"/>
      <c r="X1787" s="749"/>
      <c r="Y1787" s="749"/>
      <c r="Z1787" s="749"/>
      <c r="AA1787" s="749"/>
      <c r="AB1787" s="749"/>
      <c r="AC1787" s="749"/>
      <c r="AD1787" s="749"/>
      <c r="AF1787"/>
      <c r="AG1787">
        <f t="shared" si="1101"/>
        <v>0</v>
      </c>
      <c r="AH1787">
        <f t="shared" si="1102"/>
        <v>0</v>
      </c>
      <c r="AI1787">
        <f t="shared" si="1098"/>
        <v>0</v>
      </c>
      <c r="AJ1787">
        <f t="shared" si="1099"/>
        <v>0</v>
      </c>
      <c r="AK1787">
        <f t="shared" si="1100"/>
        <v>0</v>
      </c>
      <c r="AO1787"/>
      <c r="AP1787"/>
      <c r="AQ1787"/>
      <c r="AR1787"/>
      <c r="AS1787"/>
      <c r="AT1787" cm="1">
        <f t="array" ref="AT1787">IF(OR(M1787={"NS","NA"},$M$48={"NS","NA"}),0,IF(M1787&lt;=$M$48,0,1))</f>
        <v>0</v>
      </c>
      <c r="AU1787" cm="1">
        <f t="array" ref="AU1787">IF(OR(S1787={"NS","NA"},$S$48={"NS","NA"}),0,IF(S1787&lt;=$S$48,0,1))</f>
        <v>0</v>
      </c>
      <c r="AV1787" cm="1">
        <f t="array" ref="AV1787">IF(OR(Y1787={"NS","NA"},$Y$48={"NS","NA"}),0,IF(Y1787&lt;=$Y$48,0,1))</f>
        <v>0</v>
      </c>
      <c r="AW1787" cm="1">
        <f t="array" ref="AW1787">IF(OR(M1787={"NS","NA"},P1648={"NS","NA"}),0,IF(M1787&lt;=P1648,0,1))</f>
        <v>0</v>
      </c>
      <c r="AX1787" cm="1">
        <f t="array" ref="AX1787">IF(OR(S1787={"NS","NA"},Q1648={"NS","NA"}),0,IF(S1787&lt;=Q1648,0,1))</f>
        <v>0</v>
      </c>
      <c r="AY1787" cm="1">
        <f t="array" ref="AY1787">IF(OR(Y1787={"NS","NA"},R1648={"NS","NA"}),0,IF(Y1787&lt;=R1648,0,1))</f>
        <v>0</v>
      </c>
    </row>
    <row r="1788" spans="1:51" ht="15" customHeight="1">
      <c r="A1788" s="50"/>
      <c r="B1788" s="38"/>
      <c r="C1788" s="733" t="s">
        <v>4828</v>
      </c>
      <c r="D1788" s="734"/>
      <c r="E1788" s="734"/>
      <c r="F1788" s="735"/>
      <c r="G1788" s="796" t="s">
        <v>4829</v>
      </c>
      <c r="H1788" s="796"/>
      <c r="I1788" s="796"/>
      <c r="J1788" s="796"/>
      <c r="K1788" s="796"/>
      <c r="L1788" s="796"/>
      <c r="M1788" s="749"/>
      <c r="N1788" s="749"/>
      <c r="O1788" s="749"/>
      <c r="P1788" s="749"/>
      <c r="Q1788" s="749"/>
      <c r="R1788" s="749"/>
      <c r="S1788" s="749"/>
      <c r="T1788" s="749"/>
      <c r="U1788" s="749"/>
      <c r="V1788" s="749"/>
      <c r="W1788" s="749"/>
      <c r="X1788" s="749"/>
      <c r="Y1788" s="749"/>
      <c r="Z1788" s="749"/>
      <c r="AA1788" s="749"/>
      <c r="AB1788" s="749"/>
      <c r="AC1788" s="749"/>
      <c r="AD1788" s="749"/>
      <c r="AF1788"/>
      <c r="AG1788">
        <f t="shared" si="1101"/>
        <v>0</v>
      </c>
      <c r="AH1788">
        <f t="shared" si="1102"/>
        <v>0</v>
      </c>
      <c r="AI1788">
        <f t="shared" si="1098"/>
        <v>0</v>
      </c>
      <c r="AJ1788">
        <f t="shared" si="1099"/>
        <v>0</v>
      </c>
      <c r="AK1788">
        <f t="shared" si="1100"/>
        <v>0</v>
      </c>
      <c r="AO1788"/>
      <c r="AP1788"/>
      <c r="AQ1788"/>
      <c r="AR1788"/>
      <c r="AS1788"/>
      <c r="AT1788" cm="1">
        <f t="array" ref="AT1788">IF(OR(M1788={"NS","NA"},$M$48={"NS","NA"}),0,IF(M1788&lt;=$M$48,0,1))</f>
        <v>0</v>
      </c>
      <c r="AU1788" cm="1">
        <f t="array" ref="AU1788">IF(OR(S1788={"NS","NA"},$S$48={"NS","NA"}),0,IF(S1788&lt;=$S$48,0,1))</f>
        <v>0</v>
      </c>
      <c r="AV1788" cm="1">
        <f t="array" ref="AV1788">IF(OR(Y1788={"NS","NA"},$Y$48={"NS","NA"}),0,IF(Y1788&lt;=$Y$48,0,1))</f>
        <v>0</v>
      </c>
      <c r="AW1788" cm="1">
        <f t="array" ref="AW1788">IF(OR(M1788={"NS","NA"},P1649={"NS","NA"}),0,IF(M1788&lt;=P1649,0,1))</f>
        <v>0</v>
      </c>
      <c r="AX1788" cm="1">
        <f t="array" ref="AX1788">IF(OR(S1788={"NS","NA"},Q1649={"NS","NA"}),0,IF(S1788&lt;=Q1649,0,1))</f>
        <v>0</v>
      </c>
      <c r="AY1788" cm="1">
        <f t="array" ref="AY1788">IF(OR(Y1788={"NS","NA"},R1649={"NS","NA"}),0,IF(Y1788&lt;=R1649,0,1))</f>
        <v>0</v>
      </c>
    </row>
    <row r="1789" spans="1:51" ht="15" customHeight="1">
      <c r="A1789" s="50"/>
      <c r="B1789" s="38"/>
      <c r="C1789" s="733" t="s">
        <v>4830</v>
      </c>
      <c r="D1789" s="734"/>
      <c r="E1789" s="734"/>
      <c r="F1789" s="735"/>
      <c r="G1789" s="796" t="s">
        <v>4831</v>
      </c>
      <c r="H1789" s="796"/>
      <c r="I1789" s="796"/>
      <c r="J1789" s="796"/>
      <c r="K1789" s="796"/>
      <c r="L1789" s="796"/>
      <c r="M1789" s="749"/>
      <c r="N1789" s="749"/>
      <c r="O1789" s="749"/>
      <c r="P1789" s="749"/>
      <c r="Q1789" s="749"/>
      <c r="R1789" s="749"/>
      <c r="S1789" s="749"/>
      <c r="T1789" s="749"/>
      <c r="U1789" s="749"/>
      <c r="V1789" s="749"/>
      <c r="W1789" s="749"/>
      <c r="X1789" s="749"/>
      <c r="Y1789" s="749"/>
      <c r="Z1789" s="749"/>
      <c r="AA1789" s="749"/>
      <c r="AB1789" s="749"/>
      <c r="AC1789" s="749"/>
      <c r="AD1789" s="749"/>
      <c r="AF1789"/>
      <c r="AG1789">
        <f t="shared" si="1101"/>
        <v>0</v>
      </c>
      <c r="AH1789">
        <f t="shared" si="1102"/>
        <v>0</v>
      </c>
      <c r="AI1789">
        <f t="shared" si="1098"/>
        <v>0</v>
      </c>
      <c r="AJ1789">
        <f t="shared" si="1099"/>
        <v>0</v>
      </c>
      <c r="AK1789">
        <f t="shared" si="1100"/>
        <v>0</v>
      </c>
      <c r="AO1789"/>
      <c r="AP1789"/>
      <c r="AQ1789"/>
      <c r="AR1789"/>
      <c r="AS1789"/>
      <c r="AT1789" cm="1">
        <f t="array" ref="AT1789">IF(OR(M1789={"NS","NA"},$M$48={"NS","NA"}),0,IF(M1789&lt;=$M$48,0,1))</f>
        <v>0</v>
      </c>
      <c r="AU1789" cm="1">
        <f t="array" ref="AU1789">IF(OR(S1789={"NS","NA"},$S$48={"NS","NA"}),0,IF(S1789&lt;=$S$48,0,1))</f>
        <v>0</v>
      </c>
      <c r="AV1789" cm="1">
        <f t="array" ref="AV1789">IF(OR(Y1789={"NS","NA"},$Y$48={"NS","NA"}),0,IF(Y1789&lt;=$Y$48,0,1))</f>
        <v>0</v>
      </c>
      <c r="AW1789" cm="1">
        <f t="array" ref="AW1789">IF(OR(M1789={"NS","NA"},P1650={"NS","NA"}),0,IF(M1789&lt;=P1650,0,1))</f>
        <v>0</v>
      </c>
      <c r="AX1789" cm="1">
        <f t="array" ref="AX1789">IF(OR(S1789={"NS","NA"},Q1650={"NS","NA"}),0,IF(S1789&lt;=Q1650,0,1))</f>
        <v>0</v>
      </c>
      <c r="AY1789" cm="1">
        <f t="array" ref="AY1789">IF(OR(Y1789={"NS","NA"},R1650={"NS","NA"}),0,IF(Y1789&lt;=R1650,0,1))</f>
        <v>0</v>
      </c>
    </row>
    <row r="1790" spans="1:51" ht="15" customHeight="1">
      <c r="A1790" s="50"/>
      <c r="B1790" s="38"/>
      <c r="C1790" s="733" t="s">
        <v>4832</v>
      </c>
      <c r="D1790" s="734"/>
      <c r="E1790" s="734"/>
      <c r="F1790" s="735"/>
      <c r="G1790" s="796" t="s">
        <v>4833</v>
      </c>
      <c r="H1790" s="796"/>
      <c r="I1790" s="796"/>
      <c r="J1790" s="796"/>
      <c r="K1790" s="796"/>
      <c r="L1790" s="796"/>
      <c r="M1790" s="749"/>
      <c r="N1790" s="749"/>
      <c r="O1790" s="749"/>
      <c r="P1790" s="749"/>
      <c r="Q1790" s="749"/>
      <c r="R1790" s="749"/>
      <c r="S1790" s="749"/>
      <c r="T1790" s="749"/>
      <c r="U1790" s="749"/>
      <c r="V1790" s="749"/>
      <c r="W1790" s="749"/>
      <c r="X1790" s="749"/>
      <c r="Y1790" s="749"/>
      <c r="Z1790" s="749"/>
      <c r="AA1790" s="749"/>
      <c r="AB1790" s="749"/>
      <c r="AC1790" s="749"/>
      <c r="AD1790" s="749"/>
      <c r="AF1790"/>
      <c r="AG1790">
        <f t="shared" si="1101"/>
        <v>0</v>
      </c>
      <c r="AH1790">
        <f t="shared" si="1102"/>
        <v>0</v>
      </c>
      <c r="AI1790">
        <f t="shared" si="1098"/>
        <v>0</v>
      </c>
      <c r="AJ1790">
        <f t="shared" si="1099"/>
        <v>0</v>
      </c>
      <c r="AK1790">
        <f t="shared" si="1100"/>
        <v>0</v>
      </c>
      <c r="AO1790"/>
      <c r="AP1790"/>
      <c r="AQ1790"/>
      <c r="AR1790"/>
      <c r="AS1790"/>
      <c r="AT1790" cm="1">
        <f t="array" ref="AT1790">IF(OR(M1790={"NS","NA"},$M$48={"NS","NA"}),0,IF(M1790&lt;=$M$48,0,1))</f>
        <v>0</v>
      </c>
      <c r="AU1790" cm="1">
        <f t="array" ref="AU1790">IF(OR(S1790={"NS","NA"},$S$48={"NS","NA"}),0,IF(S1790&lt;=$S$48,0,1))</f>
        <v>0</v>
      </c>
      <c r="AV1790" cm="1">
        <f t="array" ref="AV1790">IF(OR(Y1790={"NS","NA"},$Y$48={"NS","NA"}),0,IF(Y1790&lt;=$Y$48,0,1))</f>
        <v>0</v>
      </c>
      <c r="AW1790" cm="1">
        <f t="array" ref="AW1790">IF(OR(M1790={"NS","NA"},P1651={"NS","NA"}),0,IF(M1790&lt;=P1651,0,1))</f>
        <v>0</v>
      </c>
      <c r="AX1790" cm="1">
        <f t="array" ref="AX1790">IF(OR(S1790={"NS","NA"},Q1651={"NS","NA"}),0,IF(S1790&lt;=Q1651,0,1))</f>
        <v>0</v>
      </c>
      <c r="AY1790" cm="1">
        <f t="array" ref="AY1790">IF(OR(Y1790={"NS","NA"},R1651={"NS","NA"}),0,IF(Y1790&lt;=R1651,0,1))</f>
        <v>0</v>
      </c>
    </row>
    <row r="1791" spans="1:51" ht="15" customHeight="1">
      <c r="A1791" s="50"/>
      <c r="B1791" s="38"/>
      <c r="C1791" s="733" t="s">
        <v>4834</v>
      </c>
      <c r="D1791" s="734"/>
      <c r="E1791" s="734"/>
      <c r="F1791" s="735"/>
      <c r="G1791" s="796" t="s">
        <v>4835</v>
      </c>
      <c r="H1791" s="796"/>
      <c r="I1791" s="796"/>
      <c r="J1791" s="796"/>
      <c r="K1791" s="796"/>
      <c r="L1791" s="796"/>
      <c r="M1791" s="749"/>
      <c r="N1791" s="749"/>
      <c r="O1791" s="749"/>
      <c r="P1791" s="749"/>
      <c r="Q1791" s="749"/>
      <c r="R1791" s="749"/>
      <c r="S1791" s="749"/>
      <c r="T1791" s="749"/>
      <c r="U1791" s="749"/>
      <c r="V1791" s="749"/>
      <c r="W1791" s="749"/>
      <c r="X1791" s="749"/>
      <c r="Y1791" s="749"/>
      <c r="Z1791" s="749"/>
      <c r="AA1791" s="749"/>
      <c r="AB1791" s="749"/>
      <c r="AC1791" s="749"/>
      <c r="AD1791" s="749"/>
      <c r="AF1791"/>
      <c r="AG1791">
        <f t="shared" si="1101"/>
        <v>0</v>
      </c>
      <c r="AH1791">
        <f t="shared" si="1102"/>
        <v>0</v>
      </c>
      <c r="AI1791">
        <f t="shared" si="1098"/>
        <v>0</v>
      </c>
      <c r="AJ1791">
        <f t="shared" si="1099"/>
        <v>0</v>
      </c>
      <c r="AK1791">
        <f t="shared" si="1100"/>
        <v>0</v>
      </c>
      <c r="AO1791"/>
      <c r="AP1791"/>
      <c r="AQ1791"/>
      <c r="AR1791"/>
      <c r="AS1791"/>
      <c r="AT1791" cm="1">
        <f t="array" ref="AT1791">IF(OR(M1791={"NS","NA"},$M$48={"NS","NA"}),0,IF(M1791&lt;=$M$48,0,1))</f>
        <v>0</v>
      </c>
      <c r="AU1791" cm="1">
        <f t="array" ref="AU1791">IF(OR(S1791={"NS","NA"},$S$48={"NS","NA"}),0,IF(S1791&lt;=$S$48,0,1))</f>
        <v>0</v>
      </c>
      <c r="AV1791" cm="1">
        <f t="array" ref="AV1791">IF(OR(Y1791={"NS","NA"},$Y$48={"NS","NA"}),0,IF(Y1791&lt;=$Y$48,0,1))</f>
        <v>0</v>
      </c>
      <c r="AW1791" cm="1">
        <f t="array" ref="AW1791">IF(OR(M1791={"NS","NA"},P1652={"NS","NA"}),0,IF(M1791&lt;=P1652,0,1))</f>
        <v>0</v>
      </c>
      <c r="AX1791" cm="1">
        <f t="array" ref="AX1791">IF(OR(S1791={"NS","NA"},Q1652={"NS","NA"}),0,IF(S1791&lt;=Q1652,0,1))</f>
        <v>0</v>
      </c>
      <c r="AY1791" cm="1">
        <f t="array" ref="AY1791">IF(OR(Y1791={"NS","NA"},R1652={"NS","NA"}),0,IF(Y1791&lt;=R1652,0,1))</f>
        <v>0</v>
      </c>
    </row>
    <row r="1792" spans="1:51" ht="36" customHeight="1">
      <c r="A1792" s="50"/>
      <c r="B1792" s="38"/>
      <c r="C1792" s="733" t="s">
        <v>4850</v>
      </c>
      <c r="D1792" s="734"/>
      <c r="E1792" s="734"/>
      <c r="F1792" s="735"/>
      <c r="G1792" s="796" t="s">
        <v>4851</v>
      </c>
      <c r="H1792" s="796"/>
      <c r="I1792" s="796"/>
      <c r="J1792" s="796"/>
      <c r="K1792" s="796"/>
      <c r="L1792" s="796"/>
      <c r="M1792" s="749"/>
      <c r="N1792" s="749"/>
      <c r="O1792" s="749"/>
      <c r="P1792" s="749"/>
      <c r="Q1792" s="749"/>
      <c r="R1792" s="749"/>
      <c r="S1792" s="749"/>
      <c r="T1792" s="749"/>
      <c r="U1792" s="749"/>
      <c r="V1792" s="749"/>
      <c r="W1792" s="749"/>
      <c r="X1792" s="749"/>
      <c r="Y1792" s="749"/>
      <c r="Z1792" s="749"/>
      <c r="AA1792" s="749"/>
      <c r="AB1792" s="749"/>
      <c r="AC1792" s="749"/>
      <c r="AD1792" s="749"/>
      <c r="AF1792"/>
      <c r="AG1792">
        <f t="shared" si="1101"/>
        <v>0</v>
      </c>
      <c r="AH1792">
        <f t="shared" si="1102"/>
        <v>0</v>
      </c>
      <c r="AI1792">
        <f t="shared" si="1098"/>
        <v>0</v>
      </c>
      <c r="AJ1792">
        <f t="shared" si="1099"/>
        <v>0</v>
      </c>
      <c r="AK1792">
        <f t="shared" si="1100"/>
        <v>0</v>
      </c>
      <c r="AO1792"/>
      <c r="AP1792"/>
      <c r="AQ1792"/>
      <c r="AR1792"/>
      <c r="AS1792"/>
      <c r="AT1792" cm="1">
        <f t="array" ref="AT1792">IF(OR(M1792={"NS","NA"},$M$48={"NS","NA"}),0,IF(M1792&lt;=$M$48,0,1))</f>
        <v>0</v>
      </c>
      <c r="AU1792" cm="1">
        <f t="array" ref="AU1792">IF(OR(S1792={"NS","NA"},$S$48={"NS","NA"}),0,IF(S1792&lt;=$S$48,0,1))</f>
        <v>0</v>
      </c>
      <c r="AV1792" cm="1">
        <f t="array" ref="AV1792">IF(OR(Y1792={"NS","NA"},$Y$48={"NS","NA"}),0,IF(Y1792&lt;=$Y$48,0,1))</f>
        <v>0</v>
      </c>
      <c r="AW1792" cm="1">
        <f t="array" ref="AW1792">IF(OR(M1792={"NS","NA"},P1653={"NS","NA"}),0,IF(M1792&lt;=P1653,0,1))</f>
        <v>0</v>
      </c>
      <c r="AX1792" cm="1">
        <f t="array" ref="AX1792">IF(OR(S1792={"NS","NA"},Q1653={"NS","NA"}),0,IF(S1792&lt;=Q1653,0,1))</f>
        <v>0</v>
      </c>
      <c r="AY1792" cm="1">
        <f t="array" ref="AY1792">IF(OR(Y1792={"NS","NA"},R1653={"NS","NA"}),0,IF(Y1792&lt;=R1653,0,1))</f>
        <v>0</v>
      </c>
    </row>
    <row r="1793" spans="1:51" ht="15" customHeight="1">
      <c r="A1793" s="50"/>
      <c r="B1793" s="38"/>
      <c r="C1793" s="733" t="s">
        <v>4921</v>
      </c>
      <c r="D1793" s="734"/>
      <c r="E1793" s="734"/>
      <c r="F1793" s="735"/>
      <c r="G1793" s="796" t="s">
        <v>4922</v>
      </c>
      <c r="H1793" s="796"/>
      <c r="I1793" s="796"/>
      <c r="J1793" s="796"/>
      <c r="K1793" s="796"/>
      <c r="L1793" s="796"/>
      <c r="M1793" s="749"/>
      <c r="N1793" s="749"/>
      <c r="O1793" s="749"/>
      <c r="P1793" s="749"/>
      <c r="Q1793" s="749"/>
      <c r="R1793" s="749"/>
      <c r="S1793" s="749"/>
      <c r="T1793" s="749"/>
      <c r="U1793" s="749"/>
      <c r="V1793" s="749"/>
      <c r="W1793" s="749"/>
      <c r="X1793" s="749"/>
      <c r="Y1793" s="749"/>
      <c r="Z1793" s="749"/>
      <c r="AA1793" s="749"/>
      <c r="AB1793" s="749"/>
      <c r="AC1793" s="749"/>
      <c r="AD1793" s="749"/>
      <c r="AF1793"/>
      <c r="AG1793">
        <f t="shared" si="1101"/>
        <v>0</v>
      </c>
      <c r="AH1793">
        <f t="shared" si="1102"/>
        <v>0</v>
      </c>
      <c r="AI1793">
        <f t="shared" si="1098"/>
        <v>0</v>
      </c>
      <c r="AJ1793">
        <f t="shared" si="1099"/>
        <v>0</v>
      </c>
      <c r="AK1793">
        <f t="shared" si="1100"/>
        <v>0</v>
      </c>
      <c r="AO1793"/>
      <c r="AP1793"/>
      <c r="AQ1793"/>
      <c r="AR1793"/>
      <c r="AS1793"/>
      <c r="AT1793" cm="1">
        <f t="array" ref="AT1793">IF(OR(M1793={"NS","NA"},$M$48={"NS","NA"}),0,IF(M1793&lt;=$M$48,0,1))</f>
        <v>0</v>
      </c>
      <c r="AU1793" cm="1">
        <f t="array" ref="AU1793">IF(OR(S1793={"NS","NA"},$S$48={"NS","NA"}),0,IF(S1793&lt;=$S$48,0,1))</f>
        <v>0</v>
      </c>
      <c r="AV1793" cm="1">
        <f t="array" ref="AV1793">IF(OR(Y1793={"NS","NA"},$Y$48={"NS","NA"}),0,IF(Y1793&lt;=$Y$48,0,1))</f>
        <v>0</v>
      </c>
      <c r="AW1793" cm="1">
        <f t="array" ref="AW1793">IF(OR(M1793={"NS","NA"},P1654={"NS","NA"}),0,IF(M1793&lt;=P1654,0,1))</f>
        <v>0</v>
      </c>
      <c r="AX1793" cm="1">
        <f t="array" ref="AX1793">IF(OR(S1793={"NS","NA"},Q1654={"NS","NA"}),0,IF(S1793&lt;=Q1654,0,1))</f>
        <v>0</v>
      </c>
      <c r="AY1793" cm="1">
        <f t="array" ref="AY1793">IF(OR(Y1793={"NS","NA"},R1654={"NS","NA"}),0,IF(Y1793&lt;=R1654,0,1))</f>
        <v>0</v>
      </c>
    </row>
    <row r="1794" spans="1:51" ht="15" customHeight="1">
      <c r="A1794" s="50"/>
      <c r="B1794" s="38"/>
      <c r="C1794" s="733" t="s">
        <v>4944</v>
      </c>
      <c r="D1794" s="734"/>
      <c r="E1794" s="734"/>
      <c r="F1794" s="735"/>
      <c r="G1794" s="796" t="s">
        <v>4945</v>
      </c>
      <c r="H1794" s="796"/>
      <c r="I1794" s="796"/>
      <c r="J1794" s="796"/>
      <c r="K1794" s="796"/>
      <c r="L1794" s="796"/>
      <c r="M1794" s="749"/>
      <c r="N1794" s="749"/>
      <c r="O1794" s="749"/>
      <c r="P1794" s="749"/>
      <c r="Q1794" s="749"/>
      <c r="R1794" s="749"/>
      <c r="S1794" s="749"/>
      <c r="T1794" s="749"/>
      <c r="U1794" s="749"/>
      <c r="V1794" s="749"/>
      <c r="W1794" s="749"/>
      <c r="X1794" s="749"/>
      <c r="Y1794" s="749"/>
      <c r="Z1794" s="749"/>
      <c r="AA1794" s="749"/>
      <c r="AB1794" s="749"/>
      <c r="AC1794" s="749"/>
      <c r="AD1794" s="749"/>
      <c r="AF1794">
        <f>IF(M1794="NA",IF(AND(COUNTIF(M1795:M1799,"="&amp;$AF$1775)=0,COUNTIF(M1795:M1799,"&lt;&gt;NA")&gt;0),1,0),IF(AND(COUNTIF(M1795:M1799,"="&amp;$AF$1775)=0,COUNTIF(M1795:M1799,"NA")=COUNTIF(M1795:M1799,"&lt;&gt;"&amp;$AF$1775)),1,0))</f>
        <v>0</v>
      </c>
      <c r="AG1794">
        <f t="shared" si="1101"/>
        <v>0</v>
      </c>
      <c r="AH1794">
        <f t="shared" si="1102"/>
        <v>0</v>
      </c>
      <c r="AI1794">
        <f t="shared" si="1098"/>
        <v>0</v>
      </c>
      <c r="AJ1794">
        <f t="shared" si="1099"/>
        <v>0</v>
      </c>
      <c r="AK1794">
        <f t="shared" si="1100"/>
        <v>0</v>
      </c>
      <c r="AO1794"/>
      <c r="AP1794"/>
      <c r="AQ1794"/>
      <c r="AR1794"/>
      <c r="AS1794"/>
      <c r="AT1794" cm="1">
        <f t="array" ref="AT1794">IF(OR(M1794={"NS","NA"},$M$48={"NS","NA"}),0,IF(M1794&lt;=$M$48,0,1))</f>
        <v>0</v>
      </c>
      <c r="AU1794" cm="1">
        <f t="array" ref="AU1794">IF(OR(S1794={"NS","NA"},$S$48={"NS","NA"}),0,IF(S1794&lt;=$S$48,0,1))</f>
        <v>0</v>
      </c>
      <c r="AV1794" cm="1">
        <f t="array" ref="AV1794">IF(OR(Y1794={"NS","NA"},$Y$48={"NS","NA"}),0,IF(Y1794&lt;=$Y$48,0,1))</f>
        <v>0</v>
      </c>
      <c r="AW1794" cm="1">
        <f t="array" ref="AW1794">IF(OR(M1794={"NS","NA"},P1655={"NS","NA"}),0,IF(M1794&lt;=P1655,0,1))</f>
        <v>0</v>
      </c>
      <c r="AX1794" cm="1">
        <f t="array" ref="AX1794">IF(OR(S1794={"NS","NA"},Q1655={"NS","NA"}),0,IF(S1794&lt;=Q1655,0,1))</f>
        <v>0</v>
      </c>
      <c r="AY1794" cm="1">
        <f t="array" ref="AY1794">IF(OR(Y1794={"NS","NA"},R1655={"NS","NA"}),0,IF(Y1794&lt;=R1655,0,1))</f>
        <v>0</v>
      </c>
    </row>
    <row r="1795" spans="1:51" ht="36" customHeight="1">
      <c r="A1795" s="50"/>
      <c r="B1795" s="38"/>
      <c r="C1795" s="1119" t="s">
        <v>4946</v>
      </c>
      <c r="D1795" s="1121"/>
      <c r="E1795" s="1121"/>
      <c r="F1795" s="1120"/>
      <c r="G1795" s="173"/>
      <c r="H1795" s="1126" t="s">
        <v>4947</v>
      </c>
      <c r="I1795" s="1126"/>
      <c r="J1795" s="1126"/>
      <c r="K1795" s="1126"/>
      <c r="L1795" s="1127"/>
      <c r="M1795" s="749"/>
      <c r="N1795" s="749"/>
      <c r="O1795" s="749"/>
      <c r="P1795" s="749"/>
      <c r="Q1795" s="749"/>
      <c r="R1795" s="749"/>
      <c r="S1795" s="749"/>
      <c r="T1795" s="749"/>
      <c r="U1795" s="749"/>
      <c r="V1795" s="749"/>
      <c r="W1795" s="749"/>
      <c r="X1795" s="749"/>
      <c r="Y1795" s="749"/>
      <c r="Z1795" s="749"/>
      <c r="AA1795" s="749"/>
      <c r="AB1795" s="749"/>
      <c r="AC1795" s="749"/>
      <c r="AD1795" s="749"/>
      <c r="AF1795"/>
      <c r="AG1795">
        <f t="shared" si="1101"/>
        <v>0</v>
      </c>
      <c r="AH1795">
        <f t="shared" si="1102"/>
        <v>0</v>
      </c>
      <c r="AI1795">
        <f t="shared" si="1098"/>
        <v>0</v>
      </c>
      <c r="AJ1795">
        <f t="shared" si="1099"/>
        <v>0</v>
      </c>
      <c r="AK1795">
        <f t="shared" si="1100"/>
        <v>0</v>
      </c>
      <c r="AO1795"/>
      <c r="AP1795"/>
      <c r="AQ1795"/>
      <c r="AR1795"/>
      <c r="AS1795"/>
      <c r="AT1795" cm="1">
        <f t="array" ref="AT1795">IF(OR(M1795={"NS","NA"},$M$48={"NS","NA"}),0,IF(M1795&lt;=$M$48,0,1))</f>
        <v>0</v>
      </c>
      <c r="AU1795" cm="1">
        <f t="array" ref="AU1795">IF(OR(S1795={"NS","NA"},$S$48={"NS","NA"}),0,IF(S1795&lt;=$S$48,0,1))</f>
        <v>0</v>
      </c>
      <c r="AV1795" cm="1">
        <f t="array" ref="AV1795">IF(OR(Y1795={"NS","NA"},$Y$48={"NS","NA"}),0,IF(Y1795&lt;=$Y$48,0,1))</f>
        <v>0</v>
      </c>
      <c r="AW1795" cm="1">
        <f t="array" ref="AW1795">IF(OR(M1795={"NS","NA"},P1656={"NS","NA"}),0,IF(M1795&lt;=P1656,0,1))</f>
        <v>0</v>
      </c>
      <c r="AX1795" cm="1">
        <f t="array" ref="AX1795">IF(OR(S1795={"NS","NA"},Q1656={"NS","NA"}),0,IF(S1795&lt;=Q1656,0,1))</f>
        <v>0</v>
      </c>
      <c r="AY1795" cm="1">
        <f t="array" ref="AY1795">IF(OR(Y1795={"NS","NA"},R1656={"NS","NA"}),0,IF(Y1795&lt;=R1656,0,1))</f>
        <v>0</v>
      </c>
    </row>
    <row r="1796" spans="1:51" ht="36" customHeight="1">
      <c r="A1796" s="50"/>
      <c r="B1796" s="38"/>
      <c r="C1796" s="1119" t="s">
        <v>4948</v>
      </c>
      <c r="D1796" s="1121"/>
      <c r="E1796" s="1121"/>
      <c r="F1796" s="1120"/>
      <c r="G1796" s="174"/>
      <c r="H1796" s="1122" t="s">
        <v>4949</v>
      </c>
      <c r="I1796" s="1122"/>
      <c r="J1796" s="1122"/>
      <c r="K1796" s="1122"/>
      <c r="L1796" s="1123"/>
      <c r="M1796" s="749"/>
      <c r="N1796" s="749"/>
      <c r="O1796" s="749"/>
      <c r="P1796" s="749"/>
      <c r="Q1796" s="749"/>
      <c r="R1796" s="749"/>
      <c r="S1796" s="749"/>
      <c r="T1796" s="749"/>
      <c r="U1796" s="749"/>
      <c r="V1796" s="749"/>
      <c r="W1796" s="749"/>
      <c r="X1796" s="749"/>
      <c r="Y1796" s="749"/>
      <c r="Z1796" s="749"/>
      <c r="AA1796" s="749"/>
      <c r="AB1796" s="749"/>
      <c r="AC1796" s="749"/>
      <c r="AD1796" s="749"/>
      <c r="AF1796"/>
      <c r="AG1796">
        <f t="shared" si="1101"/>
        <v>0</v>
      </c>
      <c r="AH1796">
        <f t="shared" si="1102"/>
        <v>0</v>
      </c>
      <c r="AI1796">
        <f t="shared" si="1098"/>
        <v>0</v>
      </c>
      <c r="AJ1796">
        <f t="shared" si="1099"/>
        <v>0</v>
      </c>
      <c r="AK1796">
        <f t="shared" si="1100"/>
        <v>0</v>
      </c>
      <c r="AO1796"/>
      <c r="AP1796"/>
      <c r="AQ1796"/>
      <c r="AR1796"/>
      <c r="AS1796"/>
      <c r="AT1796" cm="1">
        <f t="array" ref="AT1796">IF(OR(M1796={"NS","NA"},$M$48={"NS","NA"}),0,IF(M1796&lt;=$M$48,0,1))</f>
        <v>0</v>
      </c>
      <c r="AU1796" cm="1">
        <f t="array" ref="AU1796">IF(OR(S1796={"NS","NA"},$S$48={"NS","NA"}),0,IF(S1796&lt;=$S$48,0,1))</f>
        <v>0</v>
      </c>
      <c r="AV1796" cm="1">
        <f t="array" ref="AV1796">IF(OR(Y1796={"NS","NA"},$Y$48={"NS","NA"}),0,IF(Y1796&lt;=$Y$48,0,1))</f>
        <v>0</v>
      </c>
      <c r="AW1796" cm="1">
        <f t="array" ref="AW1796">IF(OR(M1796={"NS","NA"},P1657={"NS","NA"}),0,IF(M1796&lt;=P1657,0,1))</f>
        <v>0</v>
      </c>
      <c r="AX1796" cm="1">
        <f t="array" ref="AX1796">IF(OR(S1796={"NS","NA"},Q1657={"NS","NA"}),0,IF(S1796&lt;=Q1657,0,1))</f>
        <v>0</v>
      </c>
      <c r="AY1796" cm="1">
        <f t="array" ref="AY1796">IF(OR(Y1796={"NS","NA"},R1657={"NS","NA"}),0,IF(Y1796&lt;=R1657,0,1))</f>
        <v>0</v>
      </c>
    </row>
    <row r="1797" spans="1:51" ht="36" customHeight="1">
      <c r="A1797" s="50"/>
      <c r="B1797" s="38"/>
      <c r="C1797" s="1119" t="s">
        <v>4950</v>
      </c>
      <c r="D1797" s="1121"/>
      <c r="E1797" s="1121"/>
      <c r="F1797" s="1120"/>
      <c r="G1797" s="174"/>
      <c r="H1797" s="1122" t="s">
        <v>4951</v>
      </c>
      <c r="I1797" s="1122"/>
      <c r="J1797" s="1122"/>
      <c r="K1797" s="1122"/>
      <c r="L1797" s="1123"/>
      <c r="M1797" s="749"/>
      <c r="N1797" s="749"/>
      <c r="O1797" s="749"/>
      <c r="P1797" s="749"/>
      <c r="Q1797" s="749"/>
      <c r="R1797" s="749"/>
      <c r="S1797" s="749"/>
      <c r="T1797" s="749"/>
      <c r="U1797" s="749"/>
      <c r="V1797" s="749"/>
      <c r="W1797" s="749"/>
      <c r="X1797" s="749"/>
      <c r="Y1797" s="749"/>
      <c r="Z1797" s="749"/>
      <c r="AA1797" s="749"/>
      <c r="AB1797" s="749"/>
      <c r="AC1797" s="749"/>
      <c r="AD1797" s="749"/>
      <c r="AF1797"/>
      <c r="AG1797">
        <f t="shared" si="1101"/>
        <v>0</v>
      </c>
      <c r="AH1797">
        <f t="shared" si="1102"/>
        <v>0</v>
      </c>
      <c r="AI1797">
        <f t="shared" si="1098"/>
        <v>0</v>
      </c>
      <c r="AJ1797">
        <f t="shared" si="1099"/>
        <v>0</v>
      </c>
      <c r="AK1797">
        <f t="shared" si="1100"/>
        <v>0</v>
      </c>
      <c r="AO1797"/>
      <c r="AP1797"/>
      <c r="AQ1797"/>
      <c r="AR1797"/>
      <c r="AS1797"/>
      <c r="AT1797" cm="1">
        <f t="array" ref="AT1797">IF(OR(M1797={"NS","NA"},$M$48={"NS","NA"}),0,IF(M1797&lt;=$M$48,0,1))</f>
        <v>0</v>
      </c>
      <c r="AU1797" cm="1">
        <f t="array" ref="AU1797">IF(OR(S1797={"NS","NA"},$S$48={"NS","NA"}),0,IF(S1797&lt;=$S$48,0,1))</f>
        <v>0</v>
      </c>
      <c r="AV1797" cm="1">
        <f t="array" ref="AV1797">IF(OR(Y1797={"NS","NA"},$Y$48={"NS","NA"}),0,IF(Y1797&lt;=$Y$48,0,1))</f>
        <v>0</v>
      </c>
      <c r="AW1797" cm="1">
        <f t="array" ref="AW1797">IF(OR(M1797={"NS","NA"},P1658={"NS","NA"}),0,IF(M1797&lt;=P1658,0,1))</f>
        <v>0</v>
      </c>
      <c r="AX1797" cm="1">
        <f t="array" ref="AX1797">IF(OR(S1797={"NS","NA"},Q1658={"NS","NA"}),0,IF(S1797&lt;=Q1658,0,1))</f>
        <v>0</v>
      </c>
      <c r="AY1797" cm="1">
        <f t="array" ref="AY1797">IF(OR(Y1797={"NS","NA"},R1658={"NS","NA"}),0,IF(Y1797&lt;=R1658,0,1))</f>
        <v>0</v>
      </c>
    </row>
    <row r="1798" spans="1:51" ht="24" customHeight="1">
      <c r="A1798" s="50"/>
      <c r="B1798" s="38"/>
      <c r="C1798" s="1119" t="s">
        <v>4952</v>
      </c>
      <c r="D1798" s="1121"/>
      <c r="E1798" s="1121"/>
      <c r="F1798" s="1120"/>
      <c r="G1798" s="174"/>
      <c r="H1798" s="1122" t="s">
        <v>4953</v>
      </c>
      <c r="I1798" s="1122"/>
      <c r="J1798" s="1122"/>
      <c r="K1798" s="1122"/>
      <c r="L1798" s="1123"/>
      <c r="M1798" s="749"/>
      <c r="N1798" s="749"/>
      <c r="O1798" s="749"/>
      <c r="P1798" s="749"/>
      <c r="Q1798" s="749"/>
      <c r="R1798" s="749"/>
      <c r="S1798" s="749"/>
      <c r="T1798" s="749"/>
      <c r="U1798" s="749"/>
      <c r="V1798" s="749"/>
      <c r="W1798" s="749"/>
      <c r="X1798" s="749"/>
      <c r="Y1798" s="749"/>
      <c r="Z1798" s="749"/>
      <c r="AA1798" s="749"/>
      <c r="AB1798" s="749"/>
      <c r="AC1798" s="749"/>
      <c r="AD1798" s="749"/>
      <c r="AF1798"/>
      <c r="AG1798">
        <f t="shared" si="1101"/>
        <v>0</v>
      </c>
      <c r="AH1798">
        <f t="shared" si="1102"/>
        <v>0</v>
      </c>
      <c r="AI1798">
        <f t="shared" si="1098"/>
        <v>0</v>
      </c>
      <c r="AJ1798">
        <f t="shared" si="1099"/>
        <v>0</v>
      </c>
      <c r="AK1798">
        <f t="shared" si="1100"/>
        <v>0</v>
      </c>
      <c r="AO1798"/>
      <c r="AP1798"/>
      <c r="AQ1798"/>
      <c r="AR1798"/>
      <c r="AS1798"/>
      <c r="AT1798" cm="1">
        <f t="array" ref="AT1798">IF(OR(M1798={"NS","NA"},$M$48={"NS","NA"}),0,IF(M1798&lt;=$M$48,0,1))</f>
        <v>0</v>
      </c>
      <c r="AU1798" cm="1">
        <f t="array" ref="AU1798">IF(OR(S1798={"NS","NA"},$S$48={"NS","NA"}),0,IF(S1798&lt;=$S$48,0,1))</f>
        <v>0</v>
      </c>
      <c r="AV1798" cm="1">
        <f t="array" ref="AV1798">IF(OR(Y1798={"NS","NA"},$Y$48={"NS","NA"}),0,IF(Y1798&lt;=$Y$48,0,1))</f>
        <v>0</v>
      </c>
      <c r="AW1798" cm="1">
        <f t="array" ref="AW1798">IF(OR(M1798={"NS","NA"},P1659={"NS","NA"}),0,IF(M1798&lt;=P1659,0,1))</f>
        <v>0</v>
      </c>
      <c r="AX1798" cm="1">
        <f t="array" ref="AX1798">IF(OR(S1798={"NS","NA"},Q1659={"NS","NA"}),0,IF(S1798&lt;=Q1659,0,1))</f>
        <v>0</v>
      </c>
      <c r="AY1798" cm="1">
        <f t="array" ref="AY1798">IF(OR(Y1798={"NS","NA"},R1659={"NS","NA"}),0,IF(Y1798&lt;=R1659,0,1))</f>
        <v>0</v>
      </c>
    </row>
    <row r="1799" spans="1:51" ht="15" customHeight="1">
      <c r="A1799" s="50"/>
      <c r="B1799" s="38"/>
      <c r="C1799" s="1119" t="s">
        <v>4954</v>
      </c>
      <c r="D1799" s="1121"/>
      <c r="E1799" s="1121"/>
      <c r="F1799" s="1120"/>
      <c r="G1799" s="175"/>
      <c r="H1799" s="1124" t="s">
        <v>201</v>
      </c>
      <c r="I1799" s="1124"/>
      <c r="J1799" s="1124"/>
      <c r="K1799" s="1124"/>
      <c r="L1799" s="1125"/>
      <c r="M1799" s="749"/>
      <c r="N1799" s="749"/>
      <c r="O1799" s="749"/>
      <c r="P1799" s="749"/>
      <c r="Q1799" s="749"/>
      <c r="R1799" s="749"/>
      <c r="S1799" s="749"/>
      <c r="T1799" s="749"/>
      <c r="U1799" s="749"/>
      <c r="V1799" s="749"/>
      <c r="W1799" s="749"/>
      <c r="X1799" s="749"/>
      <c r="Y1799" s="749"/>
      <c r="Z1799" s="749"/>
      <c r="AA1799" s="749"/>
      <c r="AB1799" s="749"/>
      <c r="AC1799" s="749"/>
      <c r="AD1799" s="749"/>
      <c r="AF1799"/>
      <c r="AG1799">
        <f t="shared" si="1101"/>
        <v>0</v>
      </c>
      <c r="AH1799">
        <f t="shared" si="1102"/>
        <v>0</v>
      </c>
      <c r="AI1799">
        <f t="shared" si="1098"/>
        <v>0</v>
      </c>
      <c r="AJ1799">
        <f t="shared" si="1099"/>
        <v>0</v>
      </c>
      <c r="AK1799">
        <f t="shared" si="1100"/>
        <v>0</v>
      </c>
      <c r="AO1799"/>
      <c r="AP1799"/>
      <c r="AQ1799"/>
      <c r="AR1799"/>
      <c r="AS1799"/>
      <c r="AT1799" cm="1">
        <f t="array" ref="AT1799">IF(OR(M1799={"NS","NA"},$M$48={"NS","NA"}),0,IF(M1799&lt;=$M$48,0,1))</f>
        <v>0</v>
      </c>
      <c r="AU1799" cm="1">
        <f t="array" ref="AU1799">IF(OR(S1799={"NS","NA"},$S$48={"NS","NA"}),0,IF(S1799&lt;=$S$48,0,1))</f>
        <v>0</v>
      </c>
      <c r="AV1799" cm="1">
        <f t="array" ref="AV1799">IF(OR(Y1799={"NS","NA"},$Y$48={"NS","NA"}),0,IF(Y1799&lt;=$Y$48,0,1))</f>
        <v>0</v>
      </c>
      <c r="AW1799" cm="1">
        <f t="array" ref="AW1799">IF(OR(M1799={"NS","NA"},P1660={"NS","NA"}),0,IF(M1799&lt;=P1660,0,1))</f>
        <v>0</v>
      </c>
      <c r="AX1799" cm="1">
        <f t="array" ref="AX1799">IF(OR(S1799={"NS","NA"},Q1660={"NS","NA"}),0,IF(S1799&lt;=Q1660,0,1))</f>
        <v>0</v>
      </c>
      <c r="AY1799" cm="1">
        <f t="array" ref="AY1799">IF(OR(Y1799={"NS","NA"},R1660={"NS","NA"}),0,IF(Y1799&lt;=R1660,0,1))</f>
        <v>0</v>
      </c>
    </row>
    <row r="1800" spans="1:51" ht="60" customHeight="1">
      <c r="A1800" s="50"/>
      <c r="B1800" s="38"/>
      <c r="C1800" s="733" t="s">
        <v>4965</v>
      </c>
      <c r="D1800" s="734"/>
      <c r="E1800" s="734"/>
      <c r="F1800" s="735"/>
      <c r="G1800" s="796" t="s">
        <v>4966</v>
      </c>
      <c r="H1800" s="796"/>
      <c r="I1800" s="796"/>
      <c r="J1800" s="796"/>
      <c r="K1800" s="796"/>
      <c r="L1800" s="796"/>
      <c r="M1800" s="749"/>
      <c r="N1800" s="749"/>
      <c r="O1800" s="749"/>
      <c r="P1800" s="749"/>
      <c r="Q1800" s="749"/>
      <c r="R1800" s="749"/>
      <c r="S1800" s="749"/>
      <c r="T1800" s="749"/>
      <c r="U1800" s="749"/>
      <c r="V1800" s="749"/>
      <c r="W1800" s="749"/>
      <c r="X1800" s="749"/>
      <c r="Y1800" s="749"/>
      <c r="Z1800" s="749"/>
      <c r="AA1800" s="749"/>
      <c r="AB1800" s="749"/>
      <c r="AC1800" s="749"/>
      <c r="AD1800" s="749"/>
      <c r="AF1800">
        <f>IF(M1800="NA",IF(AND(COUNTIF(M1801:M1806,"="&amp;$AF$1775)=0,COUNTIF(M1801:M1806,"&lt;&gt;NA")&gt;0),1,0),IF(AND(COUNTIF(M1801:M1806,"="&amp;$AF$1775)=0,COUNTIF(M1801:M1806,"NA")=COUNTIF(M1801:M1806,"&lt;&gt;"&amp;$AF$1775)),1,0))</f>
        <v>0</v>
      </c>
      <c r="AG1800">
        <f t="shared" si="1101"/>
        <v>0</v>
      </c>
      <c r="AH1800">
        <f t="shared" si="1102"/>
        <v>0</v>
      </c>
      <c r="AI1800">
        <f t="shared" si="1098"/>
        <v>0</v>
      </c>
      <c r="AJ1800">
        <f t="shared" si="1099"/>
        <v>0</v>
      </c>
      <c r="AK1800">
        <f t="shared" si="1100"/>
        <v>0</v>
      </c>
      <c r="AO1800"/>
      <c r="AP1800"/>
      <c r="AQ1800"/>
      <c r="AR1800"/>
      <c r="AS1800"/>
      <c r="AT1800" cm="1">
        <f t="array" ref="AT1800">IF(OR(M1800={"NS","NA"},$M$48={"NS","NA"}),0,IF(M1800&lt;=$M$48,0,1))</f>
        <v>0</v>
      </c>
      <c r="AU1800" cm="1">
        <f t="array" ref="AU1800">IF(OR(S1800={"NS","NA"},$S$48={"NS","NA"}),0,IF(S1800&lt;=$S$48,0,1))</f>
        <v>0</v>
      </c>
      <c r="AV1800" cm="1">
        <f t="array" ref="AV1800">IF(OR(Y1800={"NS","NA"},$Y$48={"NS","NA"}),0,IF(Y1800&lt;=$Y$48,0,1))</f>
        <v>0</v>
      </c>
      <c r="AW1800" cm="1">
        <f t="array" ref="AW1800">IF(OR(M1800={"NS","NA"},P1661={"NS","NA"}),0,IF(M1800&lt;=P1661,0,1))</f>
        <v>0</v>
      </c>
      <c r="AX1800" cm="1">
        <f t="array" ref="AX1800">IF(OR(S1800={"NS","NA"},Q1661={"NS","NA"}),0,IF(S1800&lt;=Q1661,0,1))</f>
        <v>0</v>
      </c>
      <c r="AY1800" cm="1">
        <f t="array" ref="AY1800">IF(OR(Y1800={"NS","NA"},R1661={"NS","NA"}),0,IF(Y1800&lt;=R1661,0,1))</f>
        <v>0</v>
      </c>
    </row>
    <row r="1801" spans="1:51" ht="24" customHeight="1">
      <c r="A1801" s="50"/>
      <c r="B1801" s="38"/>
      <c r="C1801" s="1119" t="s">
        <v>4967</v>
      </c>
      <c r="D1801" s="1121"/>
      <c r="E1801" s="1121"/>
      <c r="F1801" s="1120"/>
      <c r="G1801" s="174"/>
      <c r="H1801" s="1126" t="s">
        <v>4968</v>
      </c>
      <c r="I1801" s="1126"/>
      <c r="J1801" s="1126"/>
      <c r="K1801" s="1126"/>
      <c r="L1801" s="1127"/>
      <c r="M1801" s="749"/>
      <c r="N1801" s="749"/>
      <c r="O1801" s="749"/>
      <c r="P1801" s="749"/>
      <c r="Q1801" s="749"/>
      <c r="R1801" s="749"/>
      <c r="S1801" s="749"/>
      <c r="T1801" s="749"/>
      <c r="U1801" s="749"/>
      <c r="V1801" s="749"/>
      <c r="W1801" s="749"/>
      <c r="X1801" s="749"/>
      <c r="Y1801" s="749"/>
      <c r="Z1801" s="749"/>
      <c r="AA1801" s="749"/>
      <c r="AB1801" s="749"/>
      <c r="AC1801" s="749"/>
      <c r="AD1801" s="749"/>
      <c r="AF1801"/>
      <c r="AG1801">
        <f t="shared" si="1101"/>
        <v>0</v>
      </c>
      <c r="AH1801">
        <f t="shared" si="1102"/>
        <v>0</v>
      </c>
      <c r="AI1801">
        <f t="shared" si="1098"/>
        <v>0</v>
      </c>
      <c r="AJ1801">
        <f t="shared" si="1099"/>
        <v>0</v>
      </c>
      <c r="AK1801">
        <f t="shared" si="1100"/>
        <v>0</v>
      </c>
      <c r="AO1801"/>
      <c r="AP1801"/>
      <c r="AQ1801"/>
      <c r="AR1801"/>
      <c r="AS1801"/>
      <c r="AT1801" cm="1">
        <f t="array" ref="AT1801">IF(OR(M1801={"NS","NA"},$M$48={"NS","NA"}),0,IF(M1801&lt;=$M$48,0,1))</f>
        <v>0</v>
      </c>
      <c r="AU1801" cm="1">
        <f t="array" ref="AU1801">IF(OR(S1801={"NS","NA"},$S$48={"NS","NA"}),0,IF(S1801&lt;=$S$48,0,1))</f>
        <v>0</v>
      </c>
      <c r="AV1801" cm="1">
        <f t="array" ref="AV1801">IF(OR(Y1801={"NS","NA"},$Y$48={"NS","NA"}),0,IF(Y1801&lt;=$Y$48,0,1))</f>
        <v>0</v>
      </c>
      <c r="AW1801" cm="1">
        <f t="array" ref="AW1801">IF(OR(M1801={"NS","NA"},P1662={"NS","NA"}),0,IF(M1801&lt;=P1662,0,1))</f>
        <v>0</v>
      </c>
      <c r="AX1801" cm="1">
        <f t="array" ref="AX1801">IF(OR(S1801={"NS","NA"},Q1662={"NS","NA"}),0,IF(S1801&lt;=Q1662,0,1))</f>
        <v>0</v>
      </c>
      <c r="AY1801" cm="1">
        <f t="array" ref="AY1801">IF(OR(Y1801={"NS","NA"},R1662={"NS","NA"}),0,IF(Y1801&lt;=R1662,0,1))</f>
        <v>0</v>
      </c>
    </row>
    <row r="1802" spans="1:51" ht="36" customHeight="1">
      <c r="A1802" s="50"/>
      <c r="B1802" s="38"/>
      <c r="C1802" s="1119" t="s">
        <v>4969</v>
      </c>
      <c r="D1802" s="1121"/>
      <c r="E1802" s="1121"/>
      <c r="F1802" s="1120"/>
      <c r="G1802" s="174"/>
      <c r="H1802" s="1122" t="s">
        <v>4970</v>
      </c>
      <c r="I1802" s="1122"/>
      <c r="J1802" s="1122"/>
      <c r="K1802" s="1122"/>
      <c r="L1802" s="1123"/>
      <c r="M1802" s="749"/>
      <c r="N1802" s="749"/>
      <c r="O1802" s="749"/>
      <c r="P1802" s="749"/>
      <c r="Q1802" s="749"/>
      <c r="R1802" s="749"/>
      <c r="S1802" s="749"/>
      <c r="T1802" s="749"/>
      <c r="U1802" s="749"/>
      <c r="V1802" s="749"/>
      <c r="W1802" s="749"/>
      <c r="X1802" s="749"/>
      <c r="Y1802" s="749"/>
      <c r="Z1802" s="749"/>
      <c r="AA1802" s="749"/>
      <c r="AB1802" s="749"/>
      <c r="AC1802" s="749"/>
      <c r="AD1802" s="749"/>
      <c r="AF1802"/>
      <c r="AG1802">
        <f t="shared" si="1101"/>
        <v>0</v>
      </c>
      <c r="AH1802">
        <f t="shared" si="1102"/>
        <v>0</v>
      </c>
      <c r="AI1802">
        <f t="shared" si="1098"/>
        <v>0</v>
      </c>
      <c r="AJ1802">
        <f t="shared" si="1099"/>
        <v>0</v>
      </c>
      <c r="AK1802">
        <f t="shared" si="1100"/>
        <v>0</v>
      </c>
      <c r="AO1802"/>
      <c r="AP1802"/>
      <c r="AQ1802"/>
      <c r="AR1802"/>
      <c r="AS1802"/>
      <c r="AT1802" cm="1">
        <f t="array" ref="AT1802">IF(OR(M1802={"NS","NA"},$M$48={"NS","NA"}),0,IF(M1802&lt;=$M$48,0,1))</f>
        <v>0</v>
      </c>
      <c r="AU1802" cm="1">
        <f t="array" ref="AU1802">IF(OR(S1802={"NS","NA"},$S$48={"NS","NA"}),0,IF(S1802&lt;=$S$48,0,1))</f>
        <v>0</v>
      </c>
      <c r="AV1802" cm="1">
        <f t="array" ref="AV1802">IF(OR(Y1802={"NS","NA"},$Y$48={"NS","NA"}),0,IF(Y1802&lt;=$Y$48,0,1))</f>
        <v>0</v>
      </c>
      <c r="AW1802" cm="1">
        <f t="array" ref="AW1802">IF(OR(M1802={"NS","NA"},P1663={"NS","NA"}),0,IF(M1802&lt;=P1663,0,1))</f>
        <v>0</v>
      </c>
      <c r="AX1802" cm="1">
        <f t="array" ref="AX1802">IF(OR(S1802={"NS","NA"},Q1663={"NS","NA"}),0,IF(S1802&lt;=Q1663,0,1))</f>
        <v>0</v>
      </c>
      <c r="AY1802" cm="1">
        <f t="array" ref="AY1802">IF(OR(Y1802={"NS","NA"},R1663={"NS","NA"}),0,IF(Y1802&lt;=R1663,0,1))</f>
        <v>0</v>
      </c>
    </row>
    <row r="1803" spans="1:51" ht="15" customHeight="1">
      <c r="A1803" s="50"/>
      <c r="B1803" s="38"/>
      <c r="C1803" s="1119" t="s">
        <v>4971</v>
      </c>
      <c r="D1803" s="1121"/>
      <c r="E1803" s="1121"/>
      <c r="F1803" s="1120"/>
      <c r="G1803" s="174"/>
      <c r="H1803" s="1122" t="s">
        <v>4987</v>
      </c>
      <c r="I1803" s="1122"/>
      <c r="J1803" s="1122"/>
      <c r="K1803" s="1122"/>
      <c r="L1803" s="1123"/>
      <c r="M1803" s="749"/>
      <c r="N1803" s="749"/>
      <c r="O1803" s="749"/>
      <c r="P1803" s="749"/>
      <c r="Q1803" s="749"/>
      <c r="R1803" s="749"/>
      <c r="S1803" s="749"/>
      <c r="T1803" s="749"/>
      <c r="U1803" s="749"/>
      <c r="V1803" s="749"/>
      <c r="W1803" s="749"/>
      <c r="X1803" s="749"/>
      <c r="Y1803" s="749"/>
      <c r="Z1803" s="749"/>
      <c r="AA1803" s="749"/>
      <c r="AB1803" s="749"/>
      <c r="AC1803" s="749"/>
      <c r="AD1803" s="749"/>
      <c r="AF1803"/>
      <c r="AG1803">
        <f t="shared" si="1101"/>
        <v>0</v>
      </c>
      <c r="AH1803">
        <f t="shared" si="1102"/>
        <v>0</v>
      </c>
      <c r="AI1803">
        <f t="shared" si="1098"/>
        <v>0</v>
      </c>
      <c r="AJ1803">
        <f t="shared" si="1099"/>
        <v>0</v>
      </c>
      <c r="AK1803">
        <f t="shared" si="1100"/>
        <v>0</v>
      </c>
      <c r="AO1803"/>
      <c r="AP1803"/>
      <c r="AQ1803"/>
      <c r="AR1803"/>
      <c r="AS1803"/>
      <c r="AT1803" cm="1">
        <f t="array" ref="AT1803">IF(OR(M1803={"NS","NA"},$M$48={"NS","NA"}),0,IF(M1803&lt;=$M$48,0,1))</f>
        <v>0</v>
      </c>
      <c r="AU1803" cm="1">
        <f t="array" ref="AU1803">IF(OR(S1803={"NS","NA"},$S$48={"NS","NA"}),0,IF(S1803&lt;=$S$48,0,1))</f>
        <v>0</v>
      </c>
      <c r="AV1803" cm="1">
        <f t="array" ref="AV1803">IF(OR(Y1803={"NS","NA"},$Y$48={"NS","NA"}),0,IF(Y1803&lt;=$Y$48,0,1))</f>
        <v>0</v>
      </c>
      <c r="AW1803" cm="1">
        <f t="array" ref="AW1803">IF(OR(M1803={"NS","NA"},P1664={"NS","NA"}),0,IF(M1803&lt;=P1664,0,1))</f>
        <v>0</v>
      </c>
      <c r="AX1803" cm="1">
        <f t="array" ref="AX1803">IF(OR(S1803={"NS","NA"},Q1664={"NS","NA"}),0,IF(S1803&lt;=Q1664,0,1))</f>
        <v>0</v>
      </c>
      <c r="AY1803" cm="1">
        <f t="array" ref="AY1803">IF(OR(Y1803={"NS","NA"},R1664={"NS","NA"}),0,IF(Y1803&lt;=R1664,0,1))</f>
        <v>0</v>
      </c>
    </row>
    <row r="1804" spans="1:51" ht="15" customHeight="1">
      <c r="A1804" s="50"/>
      <c r="B1804" s="38"/>
      <c r="C1804" s="1119" t="s">
        <v>4973</v>
      </c>
      <c r="D1804" s="1121"/>
      <c r="E1804" s="1121"/>
      <c r="F1804" s="1120"/>
      <c r="G1804" s="174"/>
      <c r="H1804" s="1122" t="s">
        <v>4974</v>
      </c>
      <c r="I1804" s="1122"/>
      <c r="J1804" s="1122"/>
      <c r="K1804" s="1122"/>
      <c r="L1804" s="1123"/>
      <c r="M1804" s="749"/>
      <c r="N1804" s="749"/>
      <c r="O1804" s="749"/>
      <c r="P1804" s="749"/>
      <c r="Q1804" s="749"/>
      <c r="R1804" s="749"/>
      <c r="S1804" s="749"/>
      <c r="T1804" s="749"/>
      <c r="U1804" s="749"/>
      <c r="V1804" s="749"/>
      <c r="W1804" s="749"/>
      <c r="X1804" s="749"/>
      <c r="Y1804" s="749"/>
      <c r="Z1804" s="749"/>
      <c r="AA1804" s="749"/>
      <c r="AB1804" s="749"/>
      <c r="AC1804" s="749"/>
      <c r="AD1804" s="749"/>
      <c r="AF1804"/>
      <c r="AG1804">
        <f t="shared" si="1101"/>
        <v>0</v>
      </c>
      <c r="AH1804">
        <f t="shared" si="1102"/>
        <v>0</v>
      </c>
      <c r="AI1804">
        <f t="shared" si="1098"/>
        <v>0</v>
      </c>
      <c r="AJ1804">
        <f t="shared" si="1099"/>
        <v>0</v>
      </c>
      <c r="AK1804">
        <f t="shared" si="1100"/>
        <v>0</v>
      </c>
      <c r="AO1804"/>
      <c r="AP1804"/>
      <c r="AQ1804"/>
      <c r="AR1804"/>
      <c r="AS1804"/>
      <c r="AT1804" cm="1">
        <f t="array" ref="AT1804">IF(OR(M1804={"NS","NA"},$M$48={"NS","NA"}),0,IF(M1804&lt;=$M$48,0,1))</f>
        <v>0</v>
      </c>
      <c r="AU1804" cm="1">
        <f t="array" ref="AU1804">IF(OR(S1804={"NS","NA"},$S$48={"NS","NA"}),0,IF(S1804&lt;=$S$48,0,1))</f>
        <v>0</v>
      </c>
      <c r="AV1804" cm="1">
        <f t="array" ref="AV1804">IF(OR(Y1804={"NS","NA"},$Y$48={"NS","NA"}),0,IF(Y1804&lt;=$Y$48,0,1))</f>
        <v>0</v>
      </c>
      <c r="AW1804" cm="1">
        <f t="array" ref="AW1804">IF(OR(M1804={"NS","NA"},P1665={"NS","NA"}),0,IF(M1804&lt;=P1665,0,1))</f>
        <v>0</v>
      </c>
      <c r="AX1804" cm="1">
        <f t="array" ref="AX1804">IF(OR(S1804={"NS","NA"},Q1665={"NS","NA"}),0,IF(S1804&lt;=Q1665,0,1))</f>
        <v>0</v>
      </c>
      <c r="AY1804" cm="1">
        <f t="array" ref="AY1804">IF(OR(Y1804={"NS","NA"},R1665={"NS","NA"}),0,IF(Y1804&lt;=R1665,0,1))</f>
        <v>0</v>
      </c>
    </row>
    <row r="1805" spans="1:51" ht="60" customHeight="1">
      <c r="A1805" s="50"/>
      <c r="B1805" s="38"/>
      <c r="C1805" s="1119" t="s">
        <v>4975</v>
      </c>
      <c r="D1805" s="1121"/>
      <c r="E1805" s="1121"/>
      <c r="F1805" s="1120"/>
      <c r="G1805" s="174"/>
      <c r="H1805" s="1122" t="s">
        <v>4976</v>
      </c>
      <c r="I1805" s="1122"/>
      <c r="J1805" s="1122"/>
      <c r="K1805" s="1122"/>
      <c r="L1805" s="1123"/>
      <c r="M1805" s="749"/>
      <c r="N1805" s="749"/>
      <c r="O1805" s="749"/>
      <c r="P1805" s="749"/>
      <c r="Q1805" s="749"/>
      <c r="R1805" s="749"/>
      <c r="S1805" s="749"/>
      <c r="T1805" s="749"/>
      <c r="U1805" s="749"/>
      <c r="V1805" s="749"/>
      <c r="W1805" s="749"/>
      <c r="X1805" s="749"/>
      <c r="Y1805" s="749"/>
      <c r="Z1805" s="749"/>
      <c r="AA1805" s="749"/>
      <c r="AB1805" s="749"/>
      <c r="AC1805" s="749"/>
      <c r="AD1805" s="749"/>
      <c r="AF1805"/>
      <c r="AG1805">
        <f t="shared" si="1101"/>
        <v>0</v>
      </c>
      <c r="AH1805">
        <f t="shared" si="1102"/>
        <v>0</v>
      </c>
      <c r="AI1805">
        <f t="shared" si="1098"/>
        <v>0</v>
      </c>
      <c r="AJ1805">
        <f t="shared" si="1099"/>
        <v>0</v>
      </c>
      <c r="AK1805">
        <f t="shared" si="1100"/>
        <v>0</v>
      </c>
      <c r="AO1805"/>
      <c r="AP1805"/>
      <c r="AQ1805"/>
      <c r="AR1805"/>
      <c r="AS1805"/>
      <c r="AT1805" cm="1">
        <f t="array" ref="AT1805">IF(OR(M1805={"NS","NA"},$M$48={"NS","NA"}),0,IF(M1805&lt;=$M$48,0,1))</f>
        <v>0</v>
      </c>
      <c r="AU1805" cm="1">
        <f t="array" ref="AU1805">IF(OR(S1805={"NS","NA"},$S$48={"NS","NA"}),0,IF(S1805&lt;=$S$48,0,1))</f>
        <v>0</v>
      </c>
      <c r="AV1805" cm="1">
        <f t="array" ref="AV1805">IF(OR(Y1805={"NS","NA"},$Y$48={"NS","NA"}),0,IF(Y1805&lt;=$Y$48,0,1))</f>
        <v>0</v>
      </c>
      <c r="AW1805" cm="1">
        <f t="array" ref="AW1805">IF(OR(M1805={"NS","NA"},P1666={"NS","NA"}),0,IF(M1805&lt;=P1666,0,1))</f>
        <v>0</v>
      </c>
      <c r="AX1805" cm="1">
        <f t="array" ref="AX1805">IF(OR(S1805={"NS","NA"},Q1666={"NS","NA"}),0,IF(S1805&lt;=Q1666,0,1))</f>
        <v>0</v>
      </c>
      <c r="AY1805" cm="1">
        <f t="array" ref="AY1805">IF(OR(Y1805={"NS","NA"},R1666={"NS","NA"}),0,IF(Y1805&lt;=R1666,0,1))</f>
        <v>0</v>
      </c>
    </row>
    <row r="1806" spans="1:51" ht="15" customHeight="1">
      <c r="A1806" s="50"/>
      <c r="B1806" s="38"/>
      <c r="C1806" s="1119" t="s">
        <v>4977</v>
      </c>
      <c r="D1806" s="1121"/>
      <c r="E1806" s="1121"/>
      <c r="F1806" s="1120"/>
      <c r="G1806" s="174"/>
      <c r="H1806" s="1124" t="s">
        <v>201</v>
      </c>
      <c r="I1806" s="1124"/>
      <c r="J1806" s="1124"/>
      <c r="K1806" s="1124"/>
      <c r="L1806" s="1125"/>
      <c r="M1806" s="749"/>
      <c r="N1806" s="749"/>
      <c r="O1806" s="749"/>
      <c r="P1806" s="749"/>
      <c r="Q1806" s="749"/>
      <c r="R1806" s="749"/>
      <c r="S1806" s="749"/>
      <c r="T1806" s="749"/>
      <c r="U1806" s="749"/>
      <c r="V1806" s="749"/>
      <c r="W1806" s="749"/>
      <c r="X1806" s="749"/>
      <c r="Y1806" s="749"/>
      <c r="Z1806" s="749"/>
      <c r="AA1806" s="749"/>
      <c r="AB1806" s="749"/>
      <c r="AC1806" s="749"/>
      <c r="AD1806" s="749"/>
      <c r="AF1806"/>
      <c r="AG1806">
        <f t="shared" si="1101"/>
        <v>0</v>
      </c>
      <c r="AH1806">
        <f t="shared" si="1102"/>
        <v>0</v>
      </c>
      <c r="AI1806">
        <f t="shared" si="1098"/>
        <v>0</v>
      </c>
      <c r="AJ1806">
        <f t="shared" si="1099"/>
        <v>0</v>
      </c>
      <c r="AK1806">
        <f t="shared" si="1100"/>
        <v>0</v>
      </c>
      <c r="AO1806"/>
      <c r="AP1806"/>
      <c r="AQ1806"/>
      <c r="AR1806"/>
      <c r="AS1806"/>
      <c r="AT1806" cm="1">
        <f t="array" ref="AT1806">IF(OR(M1806={"NS","NA"},$M$48={"NS","NA"}),0,IF(M1806&lt;=$M$48,0,1))</f>
        <v>0</v>
      </c>
      <c r="AU1806" cm="1">
        <f t="array" ref="AU1806">IF(OR(S1806={"NS","NA"},$S$48={"NS","NA"}),0,IF(S1806&lt;=$S$48,0,1))</f>
        <v>0</v>
      </c>
      <c r="AV1806" cm="1">
        <f t="array" ref="AV1806">IF(OR(Y1806={"NS","NA"},$Y$48={"NS","NA"}),0,IF(Y1806&lt;=$Y$48,0,1))</f>
        <v>0</v>
      </c>
      <c r="AW1806" cm="1">
        <f t="array" ref="AW1806">IF(OR(M1806={"NS","NA"},P1667={"NS","NA"}),0,IF(M1806&lt;=P1667,0,1))</f>
        <v>0</v>
      </c>
      <c r="AX1806" cm="1">
        <f t="array" ref="AX1806">IF(OR(S1806={"NS","NA"},Q1667={"NS","NA"}),0,IF(S1806&lt;=Q1667,0,1))</f>
        <v>0</v>
      </c>
      <c r="AY1806" cm="1">
        <f t="array" ref="AY1806">IF(OR(Y1806={"NS","NA"},R1667={"NS","NA"}),0,IF(Y1806&lt;=R1667,0,1))</f>
        <v>0</v>
      </c>
    </row>
    <row r="1807" spans="1:51" ht="36" customHeight="1">
      <c r="A1807" s="50"/>
      <c r="B1807" s="38"/>
      <c r="C1807" s="733" t="s">
        <v>4978</v>
      </c>
      <c r="D1807" s="734"/>
      <c r="E1807" s="734"/>
      <c r="F1807" s="735"/>
      <c r="G1807" s="796" t="s">
        <v>4979</v>
      </c>
      <c r="H1807" s="796"/>
      <c r="I1807" s="796"/>
      <c r="J1807" s="796"/>
      <c r="K1807" s="796"/>
      <c r="L1807" s="796"/>
      <c r="M1807" s="749"/>
      <c r="N1807" s="749"/>
      <c r="O1807" s="749"/>
      <c r="P1807" s="749"/>
      <c r="Q1807" s="749"/>
      <c r="R1807" s="749"/>
      <c r="S1807" s="749"/>
      <c r="T1807" s="749"/>
      <c r="U1807" s="749"/>
      <c r="V1807" s="749"/>
      <c r="W1807" s="749"/>
      <c r="X1807" s="749"/>
      <c r="Y1807" s="749"/>
      <c r="Z1807" s="749"/>
      <c r="AA1807" s="749"/>
      <c r="AB1807" s="749"/>
      <c r="AC1807" s="749"/>
      <c r="AD1807" s="749"/>
      <c r="AF1807">
        <f>IF(M1807="NA",IF(AND(COUNTIF(M1808:M1815,"="&amp;$AF$1775)=0,COUNTIF(M1808:M1815,"&lt;&gt;NA")&gt;0),1,0),IF(AND(COUNTIF(M1808:M1815,"="&amp;$AF$1775)=0,COUNTIF(M1808:M1815,"NA")=COUNTIF(M1808:M1815,"&lt;&gt;"&amp;$AF$1775)),1,0))</f>
        <v>0</v>
      </c>
      <c r="AG1807">
        <f t="shared" si="1101"/>
        <v>0</v>
      </c>
      <c r="AH1807">
        <f t="shared" si="1102"/>
        <v>0</v>
      </c>
      <c r="AI1807">
        <f t="shared" si="1098"/>
        <v>0</v>
      </c>
      <c r="AJ1807">
        <f t="shared" si="1099"/>
        <v>0</v>
      </c>
      <c r="AK1807">
        <f t="shared" si="1100"/>
        <v>0</v>
      </c>
      <c r="AO1807"/>
      <c r="AP1807"/>
      <c r="AQ1807"/>
      <c r="AR1807"/>
      <c r="AS1807"/>
      <c r="AT1807" cm="1">
        <f t="array" ref="AT1807">IF(OR(M1807={"NS","NA"},$M$48={"NS","NA"}),0,IF(M1807&lt;=$M$48,0,1))</f>
        <v>0</v>
      </c>
      <c r="AU1807" cm="1">
        <f t="array" ref="AU1807">IF(OR(S1807={"NS","NA"},$S$48={"NS","NA"}),0,IF(S1807&lt;=$S$48,0,1))</f>
        <v>0</v>
      </c>
      <c r="AV1807" cm="1">
        <f t="array" ref="AV1807">IF(OR(Y1807={"NS","NA"},$Y$48={"NS","NA"}),0,IF(Y1807&lt;=$Y$48,0,1))</f>
        <v>0</v>
      </c>
      <c r="AW1807" cm="1">
        <f t="array" ref="AW1807">IF(OR(M1807={"NS","NA"},P1668={"NS","NA"}),0,IF(M1807&lt;=P1668,0,1))</f>
        <v>0</v>
      </c>
      <c r="AX1807" cm="1">
        <f t="array" ref="AX1807">IF(OR(S1807={"NS","NA"},Q1668={"NS","NA"}),0,IF(S1807&lt;=Q1668,0,1))</f>
        <v>0</v>
      </c>
      <c r="AY1807" cm="1">
        <f t="array" ref="AY1807">IF(OR(Y1807={"NS","NA"},R1668={"NS","NA"}),0,IF(Y1807&lt;=R1668,0,1))</f>
        <v>0</v>
      </c>
    </row>
    <row r="1808" spans="1:51" ht="15" customHeight="1">
      <c r="A1808" s="50"/>
      <c r="B1808" s="38"/>
      <c r="C1808" s="1119" t="s">
        <v>4980</v>
      </c>
      <c r="D1808" s="1121"/>
      <c r="E1808" s="1121"/>
      <c r="F1808" s="1120"/>
      <c r="G1808" s="174"/>
      <c r="H1808" s="1126" t="s">
        <v>4981</v>
      </c>
      <c r="I1808" s="1126"/>
      <c r="J1808" s="1126"/>
      <c r="K1808" s="1126"/>
      <c r="L1808" s="1127"/>
      <c r="M1808" s="749"/>
      <c r="N1808" s="749"/>
      <c r="O1808" s="749"/>
      <c r="P1808" s="749"/>
      <c r="Q1808" s="749"/>
      <c r="R1808" s="749"/>
      <c r="S1808" s="749"/>
      <c r="T1808" s="749"/>
      <c r="U1808" s="749"/>
      <c r="V1808" s="749"/>
      <c r="W1808" s="749"/>
      <c r="X1808" s="749"/>
      <c r="Y1808" s="749"/>
      <c r="Z1808" s="749"/>
      <c r="AA1808" s="749"/>
      <c r="AB1808" s="749"/>
      <c r="AC1808" s="749"/>
      <c r="AD1808" s="749"/>
      <c r="AF1808"/>
      <c r="AG1808">
        <f t="shared" si="1101"/>
        <v>0</v>
      </c>
      <c r="AH1808">
        <f t="shared" si="1102"/>
        <v>0</v>
      </c>
      <c r="AI1808">
        <f t="shared" si="1098"/>
        <v>0</v>
      </c>
      <c r="AJ1808">
        <f t="shared" si="1099"/>
        <v>0</v>
      </c>
      <c r="AK1808">
        <f t="shared" si="1100"/>
        <v>0</v>
      </c>
      <c r="AO1808"/>
      <c r="AP1808"/>
      <c r="AQ1808"/>
      <c r="AR1808"/>
      <c r="AS1808"/>
      <c r="AT1808" cm="1">
        <f t="array" ref="AT1808">IF(OR(M1808={"NS","NA"},$M$48={"NS","NA"}),0,IF(M1808&lt;=$M$48,0,1))</f>
        <v>0</v>
      </c>
      <c r="AU1808" cm="1">
        <f t="array" ref="AU1808">IF(OR(S1808={"NS","NA"},$S$48={"NS","NA"}),0,IF(S1808&lt;=$S$48,0,1))</f>
        <v>0</v>
      </c>
      <c r="AV1808" cm="1">
        <f t="array" ref="AV1808">IF(OR(Y1808={"NS","NA"},$Y$48={"NS","NA"}),0,IF(Y1808&lt;=$Y$48,0,1))</f>
        <v>0</v>
      </c>
      <c r="AW1808" cm="1">
        <f t="array" ref="AW1808">IF(OR(M1808={"NS","NA"},P1669={"NS","NA"}),0,IF(M1808&lt;=P1669,0,1))</f>
        <v>0</v>
      </c>
      <c r="AX1808" cm="1">
        <f t="array" ref="AX1808">IF(OR(S1808={"NS","NA"},Q1669={"NS","NA"}),0,IF(S1808&lt;=Q1669,0,1))</f>
        <v>0</v>
      </c>
      <c r="AY1808" cm="1">
        <f t="array" ref="AY1808">IF(OR(Y1808={"NS","NA"},R1669={"NS","NA"}),0,IF(Y1808&lt;=R1669,0,1))</f>
        <v>0</v>
      </c>
    </row>
    <row r="1809" spans="1:51" ht="15" customHeight="1">
      <c r="A1809" s="50"/>
      <c r="B1809" s="38"/>
      <c r="C1809" s="1119" t="s">
        <v>4982</v>
      </c>
      <c r="D1809" s="1121"/>
      <c r="E1809" s="1121"/>
      <c r="F1809" s="1120"/>
      <c r="G1809" s="174"/>
      <c r="H1809" s="1122" t="s">
        <v>4983</v>
      </c>
      <c r="I1809" s="1122"/>
      <c r="J1809" s="1122"/>
      <c r="K1809" s="1122"/>
      <c r="L1809" s="1123"/>
      <c r="M1809" s="749"/>
      <c r="N1809" s="749"/>
      <c r="O1809" s="749"/>
      <c r="P1809" s="749"/>
      <c r="Q1809" s="749"/>
      <c r="R1809" s="749"/>
      <c r="S1809" s="749"/>
      <c r="T1809" s="749"/>
      <c r="U1809" s="749"/>
      <c r="V1809" s="749"/>
      <c r="W1809" s="749"/>
      <c r="X1809" s="749"/>
      <c r="Y1809" s="749"/>
      <c r="Z1809" s="749"/>
      <c r="AA1809" s="749"/>
      <c r="AB1809" s="749"/>
      <c r="AC1809" s="749"/>
      <c r="AD1809" s="749"/>
      <c r="AF1809"/>
      <c r="AG1809">
        <f t="shared" si="1101"/>
        <v>0</v>
      </c>
      <c r="AH1809">
        <f t="shared" si="1102"/>
        <v>0</v>
      </c>
      <c r="AI1809">
        <f t="shared" si="1098"/>
        <v>0</v>
      </c>
      <c r="AJ1809">
        <f t="shared" si="1099"/>
        <v>0</v>
      </c>
      <c r="AK1809">
        <f t="shared" si="1100"/>
        <v>0</v>
      </c>
      <c r="AO1809"/>
      <c r="AP1809"/>
      <c r="AQ1809"/>
      <c r="AR1809"/>
      <c r="AS1809"/>
      <c r="AT1809" cm="1">
        <f t="array" ref="AT1809">IF(OR(M1809={"NS","NA"},$M$48={"NS","NA"}),0,IF(M1809&lt;=$M$48,0,1))</f>
        <v>0</v>
      </c>
      <c r="AU1809" cm="1">
        <f t="array" ref="AU1809">IF(OR(S1809={"NS","NA"},$S$48={"NS","NA"}),0,IF(S1809&lt;=$S$48,0,1))</f>
        <v>0</v>
      </c>
      <c r="AV1809" cm="1">
        <f t="array" ref="AV1809">IF(OR(Y1809={"NS","NA"},$Y$48={"NS","NA"}),0,IF(Y1809&lt;=$Y$48,0,1))</f>
        <v>0</v>
      </c>
      <c r="AW1809" cm="1">
        <f t="array" ref="AW1809">IF(OR(M1809={"NS","NA"},P1670={"NS","NA"}),0,IF(M1809&lt;=P1670,0,1))</f>
        <v>0</v>
      </c>
      <c r="AX1809" cm="1">
        <f t="array" ref="AX1809">IF(OR(S1809={"NS","NA"},Q1670={"NS","NA"}),0,IF(S1809&lt;=Q1670,0,1))</f>
        <v>0</v>
      </c>
      <c r="AY1809" cm="1">
        <f t="array" ref="AY1809">IF(OR(Y1809={"NS","NA"},R1670={"NS","NA"}),0,IF(Y1809&lt;=R1670,0,1))</f>
        <v>0</v>
      </c>
    </row>
    <row r="1810" spans="1:51" ht="15" customHeight="1">
      <c r="A1810" s="50"/>
      <c r="B1810" s="38"/>
      <c r="C1810" s="1119" t="s">
        <v>4984</v>
      </c>
      <c r="D1810" s="1121"/>
      <c r="E1810" s="1121"/>
      <c r="F1810" s="1120"/>
      <c r="G1810" s="174"/>
      <c r="H1810" s="1122" t="s">
        <v>4985</v>
      </c>
      <c r="I1810" s="1122"/>
      <c r="J1810" s="1122"/>
      <c r="K1810" s="1122"/>
      <c r="L1810" s="1123"/>
      <c r="M1810" s="749"/>
      <c r="N1810" s="749"/>
      <c r="O1810" s="749"/>
      <c r="P1810" s="749"/>
      <c r="Q1810" s="749"/>
      <c r="R1810" s="749"/>
      <c r="S1810" s="749"/>
      <c r="T1810" s="749"/>
      <c r="U1810" s="749"/>
      <c r="V1810" s="749"/>
      <c r="W1810" s="749"/>
      <c r="X1810" s="749"/>
      <c r="Y1810" s="749"/>
      <c r="Z1810" s="749"/>
      <c r="AA1810" s="749"/>
      <c r="AB1810" s="749"/>
      <c r="AC1810" s="749"/>
      <c r="AD1810" s="749"/>
      <c r="AF1810"/>
      <c r="AG1810">
        <f t="shared" si="1101"/>
        <v>0</v>
      </c>
      <c r="AH1810">
        <f t="shared" si="1102"/>
        <v>0</v>
      </c>
      <c r="AI1810">
        <f t="shared" si="1098"/>
        <v>0</v>
      </c>
      <c r="AJ1810">
        <f t="shared" si="1099"/>
        <v>0</v>
      </c>
      <c r="AK1810">
        <f t="shared" si="1100"/>
        <v>0</v>
      </c>
      <c r="AO1810"/>
      <c r="AP1810"/>
      <c r="AQ1810"/>
      <c r="AR1810"/>
      <c r="AS1810"/>
      <c r="AT1810" cm="1">
        <f t="array" ref="AT1810">IF(OR(M1810={"NS","NA"},$M$48={"NS","NA"}),0,IF(M1810&lt;=$M$48,0,1))</f>
        <v>0</v>
      </c>
      <c r="AU1810" cm="1">
        <f t="array" ref="AU1810">IF(OR(S1810={"NS","NA"},$S$48={"NS","NA"}),0,IF(S1810&lt;=$S$48,0,1))</f>
        <v>0</v>
      </c>
      <c r="AV1810" cm="1">
        <f t="array" ref="AV1810">IF(OR(Y1810={"NS","NA"},$Y$48={"NS","NA"}),0,IF(Y1810&lt;=$Y$48,0,1))</f>
        <v>0</v>
      </c>
      <c r="AW1810" cm="1">
        <f t="array" ref="AW1810">IF(OR(M1810={"NS","NA"},P1671={"NS","NA"}),0,IF(M1810&lt;=P1671,0,1))</f>
        <v>0</v>
      </c>
      <c r="AX1810" cm="1">
        <f t="array" ref="AX1810">IF(OR(S1810={"NS","NA"},Q1671={"NS","NA"}),0,IF(S1810&lt;=Q1671,0,1))</f>
        <v>0</v>
      </c>
      <c r="AY1810" cm="1">
        <f t="array" ref="AY1810">IF(OR(Y1810={"NS","NA"},R1671={"NS","NA"}),0,IF(Y1810&lt;=R1671,0,1))</f>
        <v>0</v>
      </c>
    </row>
    <row r="1811" spans="1:51" ht="15" customHeight="1">
      <c r="A1811" s="50"/>
      <c r="B1811" s="38"/>
      <c r="C1811" s="1119" t="s">
        <v>4986</v>
      </c>
      <c r="D1811" s="1121"/>
      <c r="E1811" s="1121"/>
      <c r="F1811" s="1120"/>
      <c r="G1811" s="174"/>
      <c r="H1811" s="1122" t="s">
        <v>4987</v>
      </c>
      <c r="I1811" s="1122"/>
      <c r="J1811" s="1122"/>
      <c r="K1811" s="1122"/>
      <c r="L1811" s="1123"/>
      <c r="M1811" s="749"/>
      <c r="N1811" s="749"/>
      <c r="O1811" s="749"/>
      <c r="P1811" s="749"/>
      <c r="Q1811" s="749"/>
      <c r="R1811" s="749"/>
      <c r="S1811" s="749"/>
      <c r="T1811" s="749"/>
      <c r="U1811" s="749"/>
      <c r="V1811" s="749"/>
      <c r="W1811" s="749"/>
      <c r="X1811" s="749"/>
      <c r="Y1811" s="749"/>
      <c r="Z1811" s="749"/>
      <c r="AA1811" s="749"/>
      <c r="AB1811" s="749"/>
      <c r="AC1811" s="749"/>
      <c r="AD1811" s="749"/>
      <c r="AF1811"/>
      <c r="AG1811">
        <f t="shared" si="1101"/>
        <v>0</v>
      </c>
      <c r="AH1811">
        <f t="shared" si="1102"/>
        <v>0</v>
      </c>
      <c r="AI1811">
        <f t="shared" si="1098"/>
        <v>0</v>
      </c>
      <c r="AJ1811">
        <f t="shared" si="1099"/>
        <v>0</v>
      </c>
      <c r="AK1811">
        <f t="shared" si="1100"/>
        <v>0</v>
      </c>
      <c r="AO1811"/>
      <c r="AP1811"/>
      <c r="AQ1811"/>
      <c r="AR1811"/>
      <c r="AS1811"/>
      <c r="AT1811" cm="1">
        <f t="array" ref="AT1811">IF(OR(M1811={"NS","NA"},$M$48={"NS","NA"}),0,IF(M1811&lt;=$M$48,0,1))</f>
        <v>0</v>
      </c>
      <c r="AU1811" cm="1">
        <f t="array" ref="AU1811">IF(OR(S1811={"NS","NA"},$S$48={"NS","NA"}),0,IF(S1811&lt;=$S$48,0,1))</f>
        <v>0</v>
      </c>
      <c r="AV1811" cm="1">
        <f t="array" ref="AV1811">IF(OR(Y1811={"NS","NA"},$Y$48={"NS","NA"}),0,IF(Y1811&lt;=$Y$48,0,1))</f>
        <v>0</v>
      </c>
      <c r="AW1811" cm="1">
        <f t="array" ref="AW1811">IF(OR(M1811={"NS","NA"},P1672={"NS","NA"}),0,IF(M1811&lt;=P1672,0,1))</f>
        <v>0</v>
      </c>
      <c r="AX1811" cm="1">
        <f t="array" ref="AX1811">IF(OR(S1811={"NS","NA"},Q1672={"NS","NA"}),0,IF(S1811&lt;=Q1672,0,1))</f>
        <v>0</v>
      </c>
      <c r="AY1811" cm="1">
        <f t="array" ref="AY1811">IF(OR(Y1811={"NS","NA"},R1672={"NS","NA"}),0,IF(Y1811&lt;=R1672,0,1))</f>
        <v>0</v>
      </c>
    </row>
    <row r="1812" spans="1:51" ht="15" customHeight="1">
      <c r="A1812" s="50"/>
      <c r="B1812" s="38"/>
      <c r="C1812" s="1119" t="s">
        <v>4988</v>
      </c>
      <c r="D1812" s="1121"/>
      <c r="E1812" s="1121"/>
      <c r="F1812" s="1120"/>
      <c r="G1812" s="174"/>
      <c r="H1812" s="1122" t="s">
        <v>4989</v>
      </c>
      <c r="I1812" s="1122"/>
      <c r="J1812" s="1122"/>
      <c r="K1812" s="1122"/>
      <c r="L1812" s="1123"/>
      <c r="M1812" s="749"/>
      <c r="N1812" s="749"/>
      <c r="O1812" s="749"/>
      <c r="P1812" s="749"/>
      <c r="Q1812" s="749"/>
      <c r="R1812" s="749"/>
      <c r="S1812" s="749"/>
      <c r="T1812" s="749"/>
      <c r="U1812" s="749"/>
      <c r="V1812" s="749"/>
      <c r="W1812" s="749"/>
      <c r="X1812" s="749"/>
      <c r="Y1812" s="749"/>
      <c r="Z1812" s="749"/>
      <c r="AA1812" s="749"/>
      <c r="AB1812" s="749"/>
      <c r="AC1812" s="749"/>
      <c r="AD1812" s="749"/>
      <c r="AF1812"/>
      <c r="AG1812">
        <f t="shared" si="1101"/>
        <v>0</v>
      </c>
      <c r="AH1812">
        <f t="shared" si="1102"/>
        <v>0</v>
      </c>
      <c r="AI1812">
        <f t="shared" si="1098"/>
        <v>0</v>
      </c>
      <c r="AJ1812">
        <f t="shared" si="1099"/>
        <v>0</v>
      </c>
      <c r="AK1812">
        <f t="shared" si="1100"/>
        <v>0</v>
      </c>
      <c r="AO1812"/>
      <c r="AP1812"/>
      <c r="AQ1812"/>
      <c r="AR1812"/>
      <c r="AS1812"/>
      <c r="AT1812" cm="1">
        <f t="array" ref="AT1812">IF(OR(M1812={"NS","NA"},$M$48={"NS","NA"}),0,IF(M1812&lt;=$M$48,0,1))</f>
        <v>0</v>
      </c>
      <c r="AU1812" cm="1">
        <f t="array" ref="AU1812">IF(OR(S1812={"NS","NA"},$S$48={"NS","NA"}),0,IF(S1812&lt;=$S$48,0,1))</f>
        <v>0</v>
      </c>
      <c r="AV1812" cm="1">
        <f t="array" ref="AV1812">IF(OR(Y1812={"NS","NA"},$Y$48={"NS","NA"}),0,IF(Y1812&lt;=$Y$48,0,1))</f>
        <v>0</v>
      </c>
      <c r="AW1812" cm="1">
        <f t="array" ref="AW1812">IF(OR(M1812={"NS","NA"},P1673={"NS","NA"}),0,IF(M1812&lt;=P1673,0,1))</f>
        <v>0</v>
      </c>
      <c r="AX1812" cm="1">
        <f t="array" ref="AX1812">IF(OR(S1812={"NS","NA"},Q1673={"NS","NA"}),0,IF(S1812&lt;=Q1673,0,1))</f>
        <v>0</v>
      </c>
      <c r="AY1812" cm="1">
        <f t="array" ref="AY1812">IF(OR(Y1812={"NS","NA"},R1673={"NS","NA"}),0,IF(Y1812&lt;=R1673,0,1))</f>
        <v>0</v>
      </c>
    </row>
    <row r="1813" spans="1:51" ht="15" customHeight="1">
      <c r="A1813" s="50"/>
      <c r="B1813" s="38"/>
      <c r="C1813" s="1119" t="s">
        <v>4990</v>
      </c>
      <c r="D1813" s="1121"/>
      <c r="E1813" s="1121"/>
      <c r="F1813" s="1120"/>
      <c r="G1813" s="174"/>
      <c r="H1813" s="1122" t="s">
        <v>4991</v>
      </c>
      <c r="I1813" s="1122"/>
      <c r="J1813" s="1122"/>
      <c r="K1813" s="1122"/>
      <c r="L1813" s="1123"/>
      <c r="M1813" s="749"/>
      <c r="N1813" s="749"/>
      <c r="O1813" s="749"/>
      <c r="P1813" s="749"/>
      <c r="Q1813" s="749"/>
      <c r="R1813" s="749"/>
      <c r="S1813" s="749"/>
      <c r="T1813" s="749"/>
      <c r="U1813" s="749"/>
      <c r="V1813" s="749"/>
      <c r="W1813" s="749"/>
      <c r="X1813" s="749"/>
      <c r="Y1813" s="749"/>
      <c r="Z1813" s="749"/>
      <c r="AA1813" s="749"/>
      <c r="AB1813" s="749"/>
      <c r="AC1813" s="749"/>
      <c r="AD1813" s="749"/>
      <c r="AF1813"/>
      <c r="AG1813">
        <f t="shared" si="1101"/>
        <v>0</v>
      </c>
      <c r="AH1813">
        <f t="shared" si="1102"/>
        <v>0</v>
      </c>
      <c r="AI1813">
        <f t="shared" si="1098"/>
        <v>0</v>
      </c>
      <c r="AJ1813">
        <f t="shared" si="1099"/>
        <v>0</v>
      </c>
      <c r="AK1813">
        <f t="shared" si="1100"/>
        <v>0</v>
      </c>
      <c r="AO1813"/>
      <c r="AP1813"/>
      <c r="AQ1813"/>
      <c r="AR1813"/>
      <c r="AS1813"/>
      <c r="AT1813" cm="1">
        <f t="array" ref="AT1813">IF(OR(M1813={"NS","NA"},$M$48={"NS","NA"}),0,IF(M1813&lt;=$M$48,0,1))</f>
        <v>0</v>
      </c>
      <c r="AU1813" cm="1">
        <f t="array" ref="AU1813">IF(OR(S1813={"NS","NA"},$S$48={"NS","NA"}),0,IF(S1813&lt;=$S$48,0,1))</f>
        <v>0</v>
      </c>
      <c r="AV1813" cm="1">
        <f t="array" ref="AV1813">IF(OR(Y1813={"NS","NA"},$Y$48={"NS","NA"}),0,IF(Y1813&lt;=$Y$48,0,1))</f>
        <v>0</v>
      </c>
      <c r="AW1813" cm="1">
        <f t="array" ref="AW1813">IF(OR(M1813={"NS","NA"},P1674={"NS","NA"}),0,IF(M1813&lt;=P1674,0,1))</f>
        <v>0</v>
      </c>
      <c r="AX1813" cm="1">
        <f t="array" ref="AX1813">IF(OR(S1813={"NS","NA"},Q1674={"NS","NA"}),0,IF(S1813&lt;=Q1674,0,1))</f>
        <v>0</v>
      </c>
      <c r="AY1813" cm="1">
        <f t="array" ref="AY1813">IF(OR(Y1813={"NS","NA"},R1674={"NS","NA"}),0,IF(Y1813&lt;=R1674,0,1))</f>
        <v>0</v>
      </c>
    </row>
    <row r="1814" spans="1:51" ht="48" customHeight="1">
      <c r="A1814" s="50"/>
      <c r="B1814" s="38"/>
      <c r="C1814" s="1119" t="s">
        <v>4992</v>
      </c>
      <c r="D1814" s="1121"/>
      <c r="E1814" s="1121"/>
      <c r="F1814" s="1120"/>
      <c r="G1814" s="174"/>
      <c r="H1814" s="1122" t="s">
        <v>4993</v>
      </c>
      <c r="I1814" s="1122"/>
      <c r="J1814" s="1122"/>
      <c r="K1814" s="1122"/>
      <c r="L1814" s="1123"/>
      <c r="M1814" s="749"/>
      <c r="N1814" s="749"/>
      <c r="O1814" s="749"/>
      <c r="P1814" s="749"/>
      <c r="Q1814" s="749"/>
      <c r="R1814" s="749"/>
      <c r="S1814" s="749"/>
      <c r="T1814" s="749"/>
      <c r="U1814" s="749"/>
      <c r="V1814" s="749"/>
      <c r="W1814" s="749"/>
      <c r="X1814" s="749"/>
      <c r="Y1814" s="749"/>
      <c r="Z1814" s="749"/>
      <c r="AA1814" s="749"/>
      <c r="AB1814" s="749"/>
      <c r="AC1814" s="749"/>
      <c r="AD1814" s="749"/>
      <c r="AF1814"/>
      <c r="AG1814">
        <f t="shared" si="1101"/>
        <v>0</v>
      </c>
      <c r="AH1814">
        <f t="shared" si="1102"/>
        <v>0</v>
      </c>
      <c r="AI1814">
        <f t="shared" si="1098"/>
        <v>0</v>
      </c>
      <c r="AJ1814">
        <f t="shared" si="1099"/>
        <v>0</v>
      </c>
      <c r="AK1814">
        <f t="shared" si="1100"/>
        <v>0</v>
      </c>
      <c r="AO1814"/>
      <c r="AP1814"/>
      <c r="AQ1814"/>
      <c r="AR1814"/>
      <c r="AS1814"/>
      <c r="AT1814" cm="1">
        <f t="array" ref="AT1814">IF(OR(M1814={"NS","NA"},$M$48={"NS","NA"}),0,IF(M1814&lt;=$M$48,0,1))</f>
        <v>0</v>
      </c>
      <c r="AU1814" cm="1">
        <f t="array" ref="AU1814">IF(OR(S1814={"NS","NA"},$S$48={"NS","NA"}),0,IF(S1814&lt;=$S$48,0,1))</f>
        <v>0</v>
      </c>
      <c r="AV1814" cm="1">
        <f t="array" ref="AV1814">IF(OR(Y1814={"NS","NA"},$Y$48={"NS","NA"}),0,IF(Y1814&lt;=$Y$48,0,1))</f>
        <v>0</v>
      </c>
      <c r="AW1814" cm="1">
        <f t="array" ref="AW1814">IF(OR(M1814={"NS","NA"},P1675={"NS","NA"}),0,IF(M1814&lt;=P1675,0,1))</f>
        <v>0</v>
      </c>
      <c r="AX1814" cm="1">
        <f t="array" ref="AX1814">IF(OR(S1814={"NS","NA"},Q1675={"NS","NA"}),0,IF(S1814&lt;=Q1675,0,1))</f>
        <v>0</v>
      </c>
      <c r="AY1814" cm="1">
        <f t="array" ref="AY1814">IF(OR(Y1814={"NS","NA"},R1675={"NS","NA"}),0,IF(Y1814&lt;=R1675,0,1))</f>
        <v>0</v>
      </c>
    </row>
    <row r="1815" spans="1:51" ht="15" customHeight="1">
      <c r="A1815" s="50"/>
      <c r="B1815" s="38"/>
      <c r="C1815" s="1119" t="s">
        <v>4994</v>
      </c>
      <c r="D1815" s="1121"/>
      <c r="E1815" s="1121"/>
      <c r="F1815" s="1120"/>
      <c r="G1815" s="174"/>
      <c r="H1815" s="1124" t="s">
        <v>201</v>
      </c>
      <c r="I1815" s="1124"/>
      <c r="J1815" s="1124"/>
      <c r="K1815" s="1124"/>
      <c r="L1815" s="1125"/>
      <c r="M1815" s="749"/>
      <c r="N1815" s="749"/>
      <c r="O1815" s="749"/>
      <c r="P1815" s="749"/>
      <c r="Q1815" s="749"/>
      <c r="R1815" s="749"/>
      <c r="S1815" s="749"/>
      <c r="T1815" s="749"/>
      <c r="U1815" s="749"/>
      <c r="V1815" s="749"/>
      <c r="W1815" s="749"/>
      <c r="X1815" s="749"/>
      <c r="Y1815" s="749"/>
      <c r="Z1815" s="749"/>
      <c r="AA1815" s="749"/>
      <c r="AB1815" s="749"/>
      <c r="AC1815" s="749"/>
      <c r="AD1815" s="749"/>
      <c r="AF1815"/>
      <c r="AG1815">
        <f t="shared" si="1101"/>
        <v>0</v>
      </c>
      <c r="AH1815">
        <f t="shared" si="1102"/>
        <v>0</v>
      </c>
      <c r="AI1815">
        <f t="shared" si="1098"/>
        <v>0</v>
      </c>
      <c r="AJ1815">
        <f t="shared" si="1099"/>
        <v>0</v>
      </c>
      <c r="AK1815">
        <f t="shared" si="1100"/>
        <v>0</v>
      </c>
      <c r="AO1815"/>
      <c r="AP1815"/>
      <c r="AQ1815"/>
      <c r="AR1815"/>
      <c r="AS1815"/>
      <c r="AT1815" cm="1">
        <f t="array" ref="AT1815">IF(OR(M1815={"NS","NA"},$M$48={"NS","NA"}),0,IF(M1815&lt;=$M$48,0,1))</f>
        <v>0</v>
      </c>
      <c r="AU1815" cm="1">
        <f t="array" ref="AU1815">IF(OR(S1815={"NS","NA"},$S$48={"NS","NA"}),0,IF(S1815&lt;=$S$48,0,1))</f>
        <v>0</v>
      </c>
      <c r="AV1815" cm="1">
        <f t="array" ref="AV1815">IF(OR(Y1815={"NS","NA"},$Y$48={"NS","NA"}),0,IF(Y1815&lt;=$Y$48,0,1))</f>
        <v>0</v>
      </c>
      <c r="AW1815" cm="1">
        <f t="array" ref="AW1815">IF(OR(M1815={"NS","NA"},P1676={"NS","NA"}),0,IF(M1815&lt;=P1676,0,1))</f>
        <v>0</v>
      </c>
      <c r="AX1815" cm="1">
        <f t="array" ref="AX1815">IF(OR(S1815={"NS","NA"},Q1676={"NS","NA"}),0,IF(S1815&lt;=Q1676,0,1))</f>
        <v>0</v>
      </c>
      <c r="AY1815" cm="1">
        <f t="array" ref="AY1815">IF(OR(Y1815={"NS","NA"},R1676={"NS","NA"}),0,IF(Y1815&lt;=R1676,0,1))</f>
        <v>0</v>
      </c>
    </row>
    <row r="1816" spans="1:51" ht="15" customHeight="1">
      <c r="A1816" s="50"/>
      <c r="B1816" s="38"/>
      <c r="C1816" s="733" t="s">
        <v>5028</v>
      </c>
      <c r="D1816" s="734"/>
      <c r="E1816" s="734"/>
      <c r="F1816" s="735"/>
      <c r="G1816" s="796" t="s">
        <v>5029</v>
      </c>
      <c r="H1816" s="796"/>
      <c r="I1816" s="796"/>
      <c r="J1816" s="796"/>
      <c r="K1816" s="796"/>
      <c r="L1816" s="796"/>
      <c r="M1816" s="749"/>
      <c r="N1816" s="749"/>
      <c r="O1816" s="749"/>
      <c r="P1816" s="749"/>
      <c r="Q1816" s="749"/>
      <c r="R1816" s="749"/>
      <c r="S1816" s="749"/>
      <c r="T1816" s="749"/>
      <c r="U1816" s="749"/>
      <c r="V1816" s="749"/>
      <c r="W1816" s="749"/>
      <c r="X1816" s="749"/>
      <c r="Y1816" s="749"/>
      <c r="Z1816" s="749"/>
      <c r="AA1816" s="749"/>
      <c r="AB1816" s="749"/>
      <c r="AC1816" s="749"/>
      <c r="AD1816" s="749"/>
      <c r="AF1816"/>
      <c r="AG1816">
        <f t="shared" si="1101"/>
        <v>0</v>
      </c>
      <c r="AH1816">
        <f t="shared" si="1102"/>
        <v>0</v>
      </c>
      <c r="AI1816">
        <f t="shared" si="1098"/>
        <v>0</v>
      </c>
      <c r="AJ1816">
        <f t="shared" si="1099"/>
        <v>0</v>
      </c>
      <c r="AK1816">
        <f t="shared" si="1100"/>
        <v>0</v>
      </c>
      <c r="AO1816"/>
      <c r="AP1816"/>
      <c r="AQ1816"/>
      <c r="AR1816"/>
      <c r="AS1816"/>
      <c r="AT1816" cm="1">
        <f t="array" ref="AT1816">IF(OR(M1816={"NS","NA"},$M$48={"NS","NA"}),0,IF(M1816&lt;=$M$48,0,1))</f>
        <v>0</v>
      </c>
      <c r="AU1816" cm="1">
        <f t="array" ref="AU1816">IF(OR(S1816={"NS","NA"},$S$48={"NS","NA"}),0,IF(S1816&lt;=$S$48,0,1))</f>
        <v>0</v>
      </c>
      <c r="AV1816" cm="1">
        <f t="array" ref="AV1816">IF(OR(Y1816={"NS","NA"},$Y$48={"NS","NA"}),0,IF(Y1816&lt;=$Y$48,0,1))</f>
        <v>0</v>
      </c>
      <c r="AW1816" cm="1">
        <f t="array" ref="AW1816">IF(OR(M1816={"NS","NA"},P1677={"NS","NA"}),0,IF(M1816&lt;=P1677,0,1))</f>
        <v>0</v>
      </c>
      <c r="AX1816" cm="1">
        <f t="array" ref="AX1816">IF(OR(S1816={"NS","NA"},Q1677={"NS","NA"}),0,IF(S1816&lt;=Q1677,0,1))</f>
        <v>0</v>
      </c>
      <c r="AY1816" cm="1">
        <f t="array" ref="AY1816">IF(OR(Y1816={"NS","NA"},R1677={"NS","NA"}),0,IF(Y1816&lt;=R1677,0,1))</f>
        <v>0</v>
      </c>
    </row>
    <row r="1817" spans="1:51" ht="15" customHeight="1">
      <c r="A1817" s="50"/>
      <c r="B1817" s="38"/>
      <c r="C1817" s="733" t="s">
        <v>5100</v>
      </c>
      <c r="D1817" s="734"/>
      <c r="E1817" s="734"/>
      <c r="F1817" s="735"/>
      <c r="G1817" s="796" t="s">
        <v>5141</v>
      </c>
      <c r="H1817" s="796"/>
      <c r="I1817" s="796"/>
      <c r="J1817" s="796"/>
      <c r="K1817" s="796"/>
      <c r="L1817" s="796"/>
      <c r="M1817" s="749"/>
      <c r="N1817" s="749"/>
      <c r="O1817" s="749"/>
      <c r="P1817" s="749"/>
      <c r="Q1817" s="749"/>
      <c r="R1817" s="749"/>
      <c r="S1817" s="749"/>
      <c r="T1817" s="749"/>
      <c r="U1817" s="749"/>
      <c r="V1817" s="749"/>
      <c r="W1817" s="749"/>
      <c r="X1817" s="749"/>
      <c r="Y1817" s="749"/>
      <c r="Z1817" s="749"/>
      <c r="AA1817" s="749"/>
      <c r="AB1817" s="749"/>
      <c r="AC1817" s="749"/>
      <c r="AD1817" s="749"/>
      <c r="AF1817"/>
      <c r="AG1817">
        <f>IF(M1817="NA",0,IF(COUNTBLANK(M1817:AD1817)=15,0,IF(COUNTA($M$1778:$AD$1817)=0,0,1)))</f>
        <v>0</v>
      </c>
      <c r="AH1817">
        <f>IF(M1817="NA",IF(COUNTBLANK(S1817:AD1817)=12,0,1),0)</f>
        <v>0</v>
      </c>
      <c r="AI1817">
        <f t="shared" si="1098"/>
        <v>0</v>
      </c>
      <c r="AJ1817">
        <f t="shared" si="1099"/>
        <v>0</v>
      </c>
      <c r="AK1817">
        <f>IF(COUNTIF(M1817:AD1817,"NA")=3,0,IF(COUNTA(M1817:AD1817)=0,0,IF(OR(AND(M1817=0,AI1817&gt;0),AND(M1817="ns",AJ1817&gt;0),AND(M1817="ns",AI1817=0,AJ1817=0)),1,IF(OR(AND(M1817&gt;0,AI1817=2),AND(M1817="ns",AI1817=2),AND(M1817="ns",AJ1817=0,AI1817&gt;0),M1817=AJ1817),0,1))))</f>
        <v>0</v>
      </c>
      <c r="AL1817"/>
      <c r="AM1817"/>
      <c r="AN1817"/>
      <c r="AO1817"/>
      <c r="AP1817"/>
      <c r="AQ1817"/>
      <c r="AR1817"/>
      <c r="AS1817"/>
      <c r="AT1817" cm="1">
        <f t="array" ref="AT1817">IF(OR(M1817={"NS","NA"},$M$48={"NS","NA"}),0,IF(M1817&lt;=$M$48,0,1))</f>
        <v>0</v>
      </c>
      <c r="AU1817" cm="1">
        <f t="array" ref="AU1817">IF(OR(S1817={"NS","NA"},$S$48={"NS","NA"}),0,IF(S1817&lt;=$S$48,0,1))</f>
        <v>0</v>
      </c>
      <c r="AV1817" cm="1">
        <f t="array" ref="AV1817">IF(OR(Y1817={"NS","NA"},$Y$48={"NS","NA"}),0,IF(Y1817&lt;=$Y$48,0,1))</f>
        <v>0</v>
      </c>
      <c r="AW1817" cm="1">
        <f t="array" ref="AW1817">IF(OR(M1817={"NS","NA"},P1678={"NS","NA"}),0,IF(M1817&lt;=P1678,0,1))</f>
        <v>0</v>
      </c>
      <c r="AX1817" cm="1">
        <f t="array" ref="AX1817">IF(OR(S1817={"NS","NA"},Q1678={"NS","NA"}),0,IF(S1817&lt;=Q1678,0,1))</f>
        <v>0</v>
      </c>
      <c r="AY1817" cm="1">
        <f t="array" ref="AY1817">IF(OR(Y1817={"NS","NA"},R1678={"NS","NA"}),0,IF(Y1817&lt;=R1678,0,1))</f>
        <v>0</v>
      </c>
    </row>
    <row r="1818" spans="1:51" ht="15" customHeight="1">
      <c r="A1818" s="49"/>
      <c r="B1818" s="1003" t="str">
        <f>IF(AF1818&gt;0,"Debido a que reportó NA para cierto delito, también anote NA en sus respectivos tipos específicos","")</f>
        <v/>
      </c>
      <c r="C1818" s="1003"/>
      <c r="D1818" s="1003"/>
      <c r="E1818" s="1003"/>
      <c r="F1818" s="1003"/>
      <c r="G1818" s="1003"/>
      <c r="H1818" s="1003"/>
      <c r="I1818" s="1003"/>
      <c r="J1818" s="1003"/>
      <c r="K1818" s="1003"/>
      <c r="L1818" s="1003"/>
      <c r="M1818" s="1003"/>
      <c r="N1818" s="1003"/>
      <c r="O1818" s="1003"/>
      <c r="P1818" s="1003"/>
      <c r="Q1818" s="1003"/>
      <c r="R1818" s="1003"/>
      <c r="S1818" s="1003"/>
      <c r="T1818" s="1003"/>
      <c r="U1818" s="1003"/>
      <c r="V1818" s="1003"/>
      <c r="W1818" s="1003"/>
      <c r="X1818" s="1003"/>
      <c r="Y1818" s="1003"/>
      <c r="Z1818" s="1003"/>
      <c r="AA1818" s="1003"/>
      <c r="AB1818" s="1003"/>
      <c r="AC1818" s="1003"/>
      <c r="AD1818" s="1003"/>
      <c r="AE1818" s="1003"/>
      <c r="AF1818" s="507">
        <f>SUM(AF1807,AF1800,AF1794,AF1782,AF1778)</f>
        <v>0</v>
      </c>
      <c r="AG1818" s="507">
        <f>SUM(AG1778:AG1817)</f>
        <v>0</v>
      </c>
      <c r="AH1818" s="507">
        <f>SUM(AH1778:AH1817)</f>
        <v>0</v>
      </c>
      <c r="AI1818"/>
      <c r="AK1818" s="499">
        <f>SUM(AK1778:AK1817)</f>
        <v>0</v>
      </c>
      <c r="AL1818"/>
      <c r="AM1818"/>
      <c r="AN1818"/>
      <c r="AO1818"/>
      <c r="AP1818"/>
      <c r="AQ1818"/>
      <c r="AR1818"/>
      <c r="AS1818"/>
      <c r="AT1818"/>
      <c r="AU1818"/>
      <c r="AV1818" s="507">
        <f>SUM(AT1778:AV1817)</f>
        <v>0</v>
      </c>
      <c r="AW1818"/>
      <c r="AX1818"/>
      <c r="AY1818" s="507">
        <f>SUM(AW1778:AY1817)</f>
        <v>0</v>
      </c>
    </row>
    <row r="1819" spans="1:51" ht="24" customHeight="1">
      <c r="A1819" s="49"/>
      <c r="B1819" s="38"/>
      <c r="C1819" s="754" t="s">
        <v>2611</v>
      </c>
      <c r="D1819" s="754"/>
      <c r="E1819" s="754"/>
      <c r="F1819" s="754"/>
      <c r="G1819" s="754"/>
      <c r="H1819" s="754"/>
      <c r="I1819" s="754"/>
      <c r="J1819" s="754"/>
      <c r="K1819" s="754"/>
      <c r="L1819" s="754"/>
      <c r="M1819" s="754"/>
      <c r="N1819" s="754"/>
      <c r="O1819" s="754"/>
      <c r="P1819" s="754"/>
      <c r="Q1819" s="754"/>
      <c r="R1819" s="754"/>
      <c r="S1819" s="754"/>
      <c r="T1819" s="754"/>
      <c r="U1819" s="754"/>
      <c r="V1819" s="754"/>
      <c r="W1819" s="754"/>
      <c r="X1819" s="754"/>
      <c r="Y1819" s="754"/>
      <c r="Z1819" s="754"/>
      <c r="AA1819" s="754"/>
      <c r="AB1819" s="754"/>
      <c r="AC1819" s="754"/>
      <c r="AD1819" s="754"/>
      <c r="AF1819"/>
      <c r="AG1819"/>
      <c r="AH1819"/>
      <c r="AI1819"/>
      <c r="AJ1819" t="s">
        <v>5140</v>
      </c>
      <c r="AK1819" s="506">
        <f>AK1818-COUNTIF(M1778:M1817,"NA")</f>
        <v>0</v>
      </c>
      <c r="AL1819"/>
      <c r="AM1819"/>
      <c r="AN1819"/>
      <c r="AO1819"/>
      <c r="AP1819"/>
      <c r="AQ1819"/>
      <c r="AR1819"/>
      <c r="AS1819"/>
      <c r="AT1819"/>
      <c r="AU1819"/>
      <c r="AV1819"/>
      <c r="AW1819"/>
      <c r="AX1819"/>
      <c r="AY1819"/>
    </row>
    <row r="1820" spans="1:51" ht="60" customHeight="1">
      <c r="A1820" s="49"/>
      <c r="B1820" s="38"/>
      <c r="C1820" s="851"/>
      <c r="D1820" s="851"/>
      <c r="E1820" s="851"/>
      <c r="F1820" s="851"/>
      <c r="G1820" s="851"/>
      <c r="H1820" s="851"/>
      <c r="I1820" s="851"/>
      <c r="J1820" s="851"/>
      <c r="K1820" s="851"/>
      <c r="L1820" s="851"/>
      <c r="M1820" s="851"/>
      <c r="N1820" s="851"/>
      <c r="O1820" s="851"/>
      <c r="P1820" s="851"/>
      <c r="Q1820" s="851"/>
      <c r="R1820" s="851"/>
      <c r="S1820" s="851"/>
      <c r="T1820" s="851"/>
      <c r="U1820" s="851"/>
      <c r="V1820" s="851"/>
      <c r="W1820" s="851"/>
      <c r="X1820" s="851"/>
      <c r="Y1820" s="851"/>
      <c r="Z1820" s="851"/>
      <c r="AA1820" s="851"/>
      <c r="AB1820" s="851"/>
      <c r="AC1820" s="851"/>
      <c r="AD1820" s="851"/>
    </row>
    <row r="1821" spans="1:51" ht="15" customHeight="1">
      <c r="A1821" s="49"/>
      <c r="B1821" s="1003" t="str">
        <f>IF(AG1818=0,"","Favor de ingresar toda la información requerida en la pregunta")</f>
        <v/>
      </c>
      <c r="C1821" s="1003"/>
      <c r="D1821" s="1003"/>
      <c r="E1821" s="1003"/>
      <c r="F1821" s="1003"/>
      <c r="G1821" s="1003"/>
      <c r="H1821" s="1003"/>
      <c r="I1821" s="1003"/>
      <c r="J1821" s="1003"/>
      <c r="K1821" s="1003"/>
      <c r="L1821" s="1003"/>
      <c r="M1821" s="1003"/>
      <c r="N1821" s="1003"/>
      <c r="O1821" s="1003"/>
      <c r="P1821" s="1003"/>
      <c r="Q1821" s="1003"/>
      <c r="R1821" s="1003"/>
      <c r="S1821" s="1003"/>
      <c r="T1821" s="1003"/>
      <c r="U1821" s="1003"/>
      <c r="V1821" s="1003"/>
      <c r="W1821" s="1003"/>
      <c r="X1821" s="1003"/>
      <c r="Y1821" s="1003"/>
      <c r="Z1821" s="1003"/>
      <c r="AA1821" s="1003"/>
      <c r="AB1821" s="1003"/>
      <c r="AC1821" s="1003"/>
      <c r="AD1821" s="1003"/>
      <c r="AE1821" s="1003"/>
    </row>
    <row r="1822" spans="1:51" ht="15" customHeight="1">
      <c r="A1822" s="103"/>
      <c r="B1822" s="1087" t="str">
        <f>IF(COUNTIF(M1778:AD1817,"NS")&lt;&gt;0,"Alerta: debido a que cuenta con registros NS, debe proporcionar una justificación en el area de comentarios al final de la pregunta","")</f>
        <v/>
      </c>
      <c r="C1822" s="1087"/>
      <c r="D1822" s="1087"/>
      <c r="E1822" s="1087"/>
      <c r="F1822" s="1087"/>
      <c r="G1822" s="1087"/>
      <c r="H1822" s="1087"/>
      <c r="I1822" s="1087"/>
      <c r="J1822" s="1087"/>
      <c r="K1822" s="1087"/>
      <c r="L1822" s="1087"/>
      <c r="M1822" s="1087"/>
      <c r="N1822" s="1087"/>
      <c r="O1822" s="1087"/>
      <c r="P1822" s="1087"/>
      <c r="Q1822" s="1087"/>
      <c r="R1822" s="1087"/>
      <c r="S1822" s="1087"/>
      <c r="T1822" s="1087"/>
      <c r="U1822" s="1087"/>
      <c r="V1822" s="1087"/>
      <c r="W1822" s="1087"/>
      <c r="X1822" s="1087"/>
      <c r="Y1822" s="1087"/>
      <c r="Z1822" s="1087"/>
      <c r="AA1822" s="1087"/>
      <c r="AB1822" s="1087"/>
      <c r="AC1822" s="1087"/>
      <c r="AD1822" s="1087"/>
      <c r="AE1822" s="1087"/>
    </row>
    <row r="1823" spans="1:51" ht="15" customHeight="1">
      <c r="A1823" s="103"/>
      <c r="B1823" s="1003" t="str">
        <f>IF(AH1818=0,"","Revise la información capturada, ya que tiene datos ingresados en celdas que están sombreadas")</f>
        <v/>
      </c>
      <c r="C1823" s="1003"/>
      <c r="D1823" s="1003"/>
      <c r="E1823" s="1003"/>
      <c r="F1823" s="1003"/>
      <c r="G1823" s="1003"/>
      <c r="H1823" s="1003"/>
      <c r="I1823" s="1003"/>
      <c r="J1823" s="1003"/>
      <c r="K1823" s="1003"/>
      <c r="L1823" s="1003"/>
      <c r="M1823" s="1003"/>
      <c r="N1823" s="1003"/>
      <c r="O1823" s="1003"/>
      <c r="P1823" s="1003"/>
      <c r="Q1823" s="1003"/>
      <c r="R1823" s="1003"/>
      <c r="S1823" s="1003"/>
      <c r="T1823" s="1003"/>
      <c r="U1823" s="1003"/>
      <c r="V1823" s="1003"/>
      <c r="W1823" s="1003"/>
      <c r="X1823" s="1003"/>
      <c r="Y1823" s="1003"/>
      <c r="Z1823" s="1003"/>
      <c r="AA1823" s="1003"/>
      <c r="AB1823" s="1003"/>
      <c r="AC1823" s="1003"/>
      <c r="AD1823" s="1003"/>
      <c r="AE1823" s="1003"/>
    </row>
    <row r="1824" spans="1:51" ht="15" customHeight="1">
      <c r="A1824" s="103"/>
      <c r="B1824" s="1003" t="str">
        <f>IF(AK1819&gt;0,"Favor de revisar la suma y consistencia de totales y/o subtotales por filas (numéricos y NS)",IF(AN1783&gt;0,"Favor de revisar la suma y consistencia de totales y/o subtotales de las desagregaciones de los tipos específicos",""))</f>
        <v/>
      </c>
      <c r="C1824" s="1003"/>
      <c r="D1824" s="1003"/>
      <c r="E1824" s="1003"/>
      <c r="F1824" s="1003"/>
      <c r="G1824" s="1003"/>
      <c r="H1824" s="1003"/>
      <c r="I1824" s="1003"/>
      <c r="J1824" s="1003"/>
      <c r="K1824" s="1003"/>
      <c r="L1824" s="1003"/>
      <c r="M1824" s="1003"/>
      <c r="N1824" s="1003"/>
      <c r="O1824" s="1003"/>
      <c r="P1824" s="1003"/>
      <c r="Q1824" s="1003"/>
      <c r="R1824" s="1003"/>
      <c r="S1824" s="1003"/>
      <c r="T1824" s="1003"/>
      <c r="U1824" s="1003"/>
      <c r="V1824" s="1003"/>
      <c r="W1824" s="1003"/>
      <c r="X1824" s="1003"/>
      <c r="Y1824" s="1003"/>
      <c r="Z1824" s="1003"/>
      <c r="AA1824" s="1003"/>
      <c r="AB1824" s="1003"/>
      <c r="AC1824" s="1003"/>
      <c r="AD1824" s="1003"/>
      <c r="AE1824" s="1003"/>
    </row>
    <row r="1825" spans="1:81" ht="15" customHeight="1">
      <c r="A1825" s="49"/>
      <c r="B1825" s="1003" t="str">
        <f>IF(AV1818=0,"","Las cantidades de Hombres y Mujeres por delito y tipo específico seleccionado debe ser igual o menor a los datos reportados en la preg. 8.1")</f>
        <v/>
      </c>
      <c r="C1825" s="1003"/>
      <c r="D1825" s="1003"/>
      <c r="E1825" s="1003"/>
      <c r="F1825" s="1003"/>
      <c r="G1825" s="1003"/>
      <c r="H1825" s="1003"/>
      <c r="I1825" s="1003"/>
      <c r="J1825" s="1003"/>
      <c r="K1825" s="1003"/>
      <c r="L1825" s="1003"/>
      <c r="M1825" s="1003"/>
      <c r="N1825" s="1003"/>
      <c r="O1825" s="1003"/>
      <c r="P1825" s="1003"/>
      <c r="Q1825" s="1003"/>
      <c r="R1825" s="1003"/>
      <c r="S1825" s="1003"/>
      <c r="T1825" s="1003"/>
      <c r="U1825" s="1003"/>
      <c r="V1825" s="1003"/>
      <c r="W1825" s="1003"/>
      <c r="X1825" s="1003"/>
      <c r="Y1825" s="1003"/>
      <c r="Z1825" s="1003"/>
      <c r="AA1825" s="1003"/>
      <c r="AB1825" s="1003"/>
      <c r="AC1825" s="1003"/>
      <c r="AD1825" s="1003"/>
      <c r="AE1825" s="1003"/>
    </row>
    <row r="1826" spans="1:81" ht="15" customHeight="1">
      <c r="A1826" s="49"/>
      <c r="B1826" s="795" t="str">
        <f>IF(AY1818&gt;0,"Alerta: debe de proporcionar una justificación de acuerdo a lo establecido en la instrucción 4","")</f>
        <v/>
      </c>
      <c r="C1826" s="795"/>
      <c r="D1826" s="795"/>
      <c r="E1826" s="795"/>
      <c r="F1826" s="795"/>
      <c r="G1826" s="795"/>
      <c r="H1826" s="795"/>
      <c r="I1826" s="795"/>
      <c r="J1826" s="795"/>
      <c r="K1826" s="795"/>
      <c r="L1826" s="795"/>
      <c r="M1826" s="795"/>
      <c r="N1826" s="795"/>
      <c r="O1826" s="795"/>
      <c r="P1826" s="795"/>
      <c r="Q1826" s="795"/>
      <c r="R1826" s="795"/>
      <c r="S1826" s="795"/>
      <c r="T1826" s="795"/>
      <c r="U1826" s="795"/>
      <c r="V1826" s="795"/>
      <c r="W1826" s="795"/>
      <c r="X1826" s="795"/>
      <c r="Y1826" s="795"/>
      <c r="Z1826" s="795"/>
      <c r="AA1826" s="795"/>
      <c r="AB1826" s="795"/>
      <c r="AC1826" s="795"/>
      <c r="AD1826" s="795"/>
      <c r="AE1826" s="795"/>
    </row>
    <row r="1827" spans="1:81" ht="24" customHeight="1">
      <c r="A1827" s="49" t="s">
        <v>5447</v>
      </c>
      <c r="B1827" s="829" t="s">
        <v>5448</v>
      </c>
      <c r="C1827" s="829"/>
      <c r="D1827" s="829"/>
      <c r="E1827" s="829"/>
      <c r="F1827" s="829"/>
      <c r="G1827" s="829"/>
      <c r="H1827" s="829"/>
      <c r="I1827" s="829"/>
      <c r="J1827" s="829"/>
      <c r="K1827" s="829"/>
      <c r="L1827" s="829"/>
      <c r="M1827" s="829"/>
      <c r="N1827" s="829"/>
      <c r="O1827" s="829"/>
      <c r="P1827" s="829"/>
      <c r="Q1827" s="829"/>
      <c r="R1827" s="829"/>
      <c r="S1827" s="829"/>
      <c r="T1827" s="829"/>
      <c r="U1827" s="829"/>
      <c r="V1827" s="829"/>
      <c r="W1827" s="829"/>
      <c r="X1827" s="829"/>
      <c r="Y1827" s="829"/>
      <c r="Z1827" s="829"/>
      <c r="AA1827" s="829"/>
      <c r="AB1827" s="829"/>
      <c r="AC1827" s="829"/>
      <c r="AD1827" s="829"/>
    </row>
    <row r="1828" spans="1:81" ht="36" customHeight="1">
      <c r="A1828" s="50"/>
      <c r="B1828" s="38"/>
      <c r="C1828" s="830" t="s">
        <v>5449</v>
      </c>
      <c r="D1828" s="830"/>
      <c r="E1828" s="830"/>
      <c r="F1828" s="830"/>
      <c r="G1828" s="830"/>
      <c r="H1828" s="830"/>
      <c r="I1828" s="830"/>
      <c r="J1828" s="830"/>
      <c r="K1828" s="830"/>
      <c r="L1828" s="830"/>
      <c r="M1828" s="830"/>
      <c r="N1828" s="830"/>
      <c r="O1828" s="830"/>
      <c r="P1828" s="830"/>
      <c r="Q1828" s="830"/>
      <c r="R1828" s="830"/>
      <c r="S1828" s="830"/>
      <c r="T1828" s="830"/>
      <c r="U1828" s="830"/>
      <c r="V1828" s="830"/>
      <c r="W1828" s="830"/>
      <c r="X1828" s="830"/>
      <c r="Y1828" s="830"/>
      <c r="Z1828" s="830"/>
      <c r="AA1828" s="830"/>
      <c r="AB1828" s="830"/>
      <c r="AC1828" s="830"/>
      <c r="AD1828" s="830"/>
    </row>
    <row r="1829" spans="1:81" ht="48" customHeight="1">
      <c r="A1829" s="50"/>
      <c r="B1829" s="38"/>
      <c r="C1829" s="830" t="s">
        <v>5431</v>
      </c>
      <c r="D1829" s="830"/>
      <c r="E1829" s="830"/>
      <c r="F1829" s="830"/>
      <c r="G1829" s="830"/>
      <c r="H1829" s="830"/>
      <c r="I1829" s="830"/>
      <c r="J1829" s="830"/>
      <c r="K1829" s="830"/>
      <c r="L1829" s="830"/>
      <c r="M1829" s="830"/>
      <c r="N1829" s="830"/>
      <c r="O1829" s="830"/>
      <c r="P1829" s="830"/>
      <c r="Q1829" s="830"/>
      <c r="R1829" s="830"/>
      <c r="S1829" s="830"/>
      <c r="T1829" s="830"/>
      <c r="U1829" s="830"/>
      <c r="V1829" s="830"/>
      <c r="W1829" s="830"/>
      <c r="X1829" s="830"/>
      <c r="Y1829" s="830"/>
      <c r="Z1829" s="830"/>
      <c r="AA1829" s="830"/>
      <c r="AB1829" s="830"/>
      <c r="AC1829" s="830"/>
      <c r="AD1829" s="830"/>
    </row>
    <row r="1830" spans="1:81" ht="36" customHeight="1">
      <c r="A1830" s="49"/>
      <c r="B1830" s="38"/>
      <c r="C1830" s="830" t="s">
        <v>5450</v>
      </c>
      <c r="D1830" s="830"/>
      <c r="E1830" s="830"/>
      <c r="F1830" s="830"/>
      <c r="G1830" s="830"/>
      <c r="H1830" s="830"/>
      <c r="I1830" s="830"/>
      <c r="J1830" s="830"/>
      <c r="K1830" s="830"/>
      <c r="L1830" s="830"/>
      <c r="M1830" s="830"/>
      <c r="N1830" s="830"/>
      <c r="O1830" s="830"/>
      <c r="P1830" s="830"/>
      <c r="Q1830" s="830"/>
      <c r="R1830" s="830"/>
      <c r="S1830" s="830"/>
      <c r="T1830" s="830"/>
      <c r="U1830" s="830"/>
      <c r="V1830" s="830"/>
      <c r="W1830" s="830"/>
      <c r="X1830" s="830"/>
      <c r="Y1830" s="830"/>
      <c r="Z1830" s="830"/>
      <c r="AA1830" s="830"/>
      <c r="AB1830" s="830"/>
      <c r="AC1830" s="830"/>
      <c r="AD1830" s="830"/>
    </row>
    <row r="1831" spans="1:81" ht="15" customHeight="1">
      <c r="A1831" s="110"/>
      <c r="B1831" s="38"/>
      <c r="C1831" s="38"/>
      <c r="D1831" s="38"/>
      <c r="E1831" s="38"/>
      <c r="F1831" s="38"/>
      <c r="G1831" s="38"/>
      <c r="H1831" s="38"/>
      <c r="I1831" s="38"/>
      <c r="J1831" s="38"/>
      <c r="K1831" s="38"/>
      <c r="L1831" s="38"/>
      <c r="M1831" s="38"/>
      <c r="N1831" s="38"/>
      <c r="O1831" s="38"/>
      <c r="P1831" s="38"/>
      <c r="Q1831" s="38"/>
      <c r="R1831" s="38"/>
      <c r="S1831" s="38"/>
      <c r="T1831" s="38"/>
      <c r="U1831" s="38"/>
      <c r="V1831" s="38"/>
      <c r="W1831" s="38"/>
      <c r="X1831" s="38"/>
      <c r="Y1831" s="38"/>
      <c r="Z1831" s="38"/>
      <c r="AA1831" s="38"/>
      <c r="AB1831" s="38"/>
      <c r="AC1831" s="38"/>
      <c r="AD1831" s="38"/>
    </row>
    <row r="1832" spans="1:81" ht="15" customHeight="1">
      <c r="A1832" s="94"/>
      <c r="AA1832" s="875" t="s">
        <v>2664</v>
      </c>
      <c r="AB1832" s="875"/>
      <c r="AC1832" s="875"/>
      <c r="AD1832" s="875"/>
    </row>
    <row r="1833" spans="1:81" ht="24" customHeight="1">
      <c r="A1833" s="49"/>
      <c r="B1833" s="38"/>
      <c r="C1833" s="991" t="s">
        <v>5432</v>
      </c>
      <c r="D1833" s="992"/>
      <c r="E1833" s="992"/>
      <c r="F1833" s="992"/>
      <c r="G1833" s="992"/>
      <c r="H1833" s="992"/>
      <c r="I1833" s="992"/>
      <c r="J1833" s="992"/>
      <c r="K1833" s="992"/>
      <c r="L1833" s="992"/>
      <c r="M1833" s="992"/>
      <c r="N1833" s="992"/>
      <c r="O1833" s="993"/>
      <c r="P1833" s="739" t="s">
        <v>5451</v>
      </c>
      <c r="Q1833" s="740"/>
      <c r="R1833" s="740"/>
      <c r="S1833" s="740"/>
      <c r="T1833" s="740"/>
      <c r="U1833" s="740"/>
      <c r="V1833" s="740"/>
      <c r="W1833" s="740"/>
      <c r="X1833" s="740"/>
      <c r="Y1833" s="740"/>
      <c r="Z1833" s="740"/>
      <c r="AA1833" s="740"/>
      <c r="AB1833" s="740"/>
      <c r="AC1833" s="740"/>
      <c r="AD1833" s="741"/>
    </row>
    <row r="1834" spans="1:81" ht="120" customHeight="1">
      <c r="A1834" s="49"/>
      <c r="B1834" s="38"/>
      <c r="C1834" s="994"/>
      <c r="D1834" s="995"/>
      <c r="E1834" s="995"/>
      <c r="F1834" s="995"/>
      <c r="G1834" s="995"/>
      <c r="H1834" s="995"/>
      <c r="I1834" s="995"/>
      <c r="J1834" s="995"/>
      <c r="K1834" s="995"/>
      <c r="L1834" s="995"/>
      <c r="M1834" s="995"/>
      <c r="N1834" s="995"/>
      <c r="O1834" s="996"/>
      <c r="P1834" s="1132" t="s">
        <v>2628</v>
      </c>
      <c r="Q1834" s="1134" t="s">
        <v>2629</v>
      </c>
      <c r="R1834" s="1134" t="s">
        <v>2630</v>
      </c>
      <c r="S1834" s="858" t="s">
        <v>5434</v>
      </c>
      <c r="T1834" s="859"/>
      <c r="U1834" s="860"/>
      <c r="V1834" s="858" t="s">
        <v>5435</v>
      </c>
      <c r="W1834" s="859"/>
      <c r="X1834" s="860"/>
      <c r="Y1834" s="858" t="s">
        <v>5436</v>
      </c>
      <c r="Z1834" s="859"/>
      <c r="AA1834" s="860"/>
      <c r="AB1834" s="858" t="s">
        <v>5437</v>
      </c>
      <c r="AC1834" s="859"/>
      <c r="AD1834" s="860"/>
    </row>
    <row r="1835" spans="1:81" ht="48" customHeight="1">
      <c r="A1835" s="49"/>
      <c r="B1835" s="38"/>
      <c r="C1835" s="997"/>
      <c r="D1835" s="998"/>
      <c r="E1835" s="998"/>
      <c r="F1835" s="998"/>
      <c r="G1835" s="998"/>
      <c r="H1835" s="998"/>
      <c r="I1835" s="998"/>
      <c r="J1835" s="998"/>
      <c r="K1835" s="998"/>
      <c r="L1835" s="998"/>
      <c r="M1835" s="998"/>
      <c r="N1835" s="998"/>
      <c r="O1835" s="999"/>
      <c r="P1835" s="1133"/>
      <c r="Q1835" s="1134"/>
      <c r="R1835" s="1134"/>
      <c r="S1835" s="127" t="s">
        <v>2635</v>
      </c>
      <c r="T1835" s="128" t="s">
        <v>2629</v>
      </c>
      <c r="U1835" s="128" t="s">
        <v>2630</v>
      </c>
      <c r="V1835" s="171" t="s">
        <v>2635</v>
      </c>
      <c r="W1835" s="128" t="s">
        <v>2629</v>
      </c>
      <c r="X1835" s="128" t="s">
        <v>2630</v>
      </c>
      <c r="Y1835" s="127" t="s">
        <v>2635</v>
      </c>
      <c r="Z1835" s="128" t="s">
        <v>2629</v>
      </c>
      <c r="AA1835" s="128" t="s">
        <v>2630</v>
      </c>
      <c r="AB1835" s="127" t="s">
        <v>2635</v>
      </c>
      <c r="AC1835" s="128" t="s">
        <v>2629</v>
      </c>
      <c r="AD1835" s="128" t="s">
        <v>2630</v>
      </c>
      <c r="AF1835" s="84" t="s">
        <v>4740</v>
      </c>
      <c r="AG1835" t="s">
        <v>2586</v>
      </c>
      <c r="AH1835" t="s">
        <v>4599</v>
      </c>
      <c r="AK1835" t="s">
        <v>4573</v>
      </c>
      <c r="AL1835" t="s">
        <v>2638</v>
      </c>
      <c r="AM1835" t="s">
        <v>2639</v>
      </c>
      <c r="AN1835" t="s">
        <v>4574</v>
      </c>
      <c r="AO1835" t="s">
        <v>2641</v>
      </c>
      <c r="AP1835" t="s">
        <v>2642</v>
      </c>
      <c r="AQ1835" t="s">
        <v>4575</v>
      </c>
      <c r="AR1835" t="s">
        <v>2644</v>
      </c>
      <c r="AS1835" t="s">
        <v>2645</v>
      </c>
      <c r="AT1835" t="s">
        <v>4576</v>
      </c>
      <c r="AU1835" t="s">
        <v>2647</v>
      </c>
      <c r="AV1835" t="s">
        <v>2648</v>
      </c>
      <c r="AW1835" t="s">
        <v>5177</v>
      </c>
      <c r="AX1835" t="s">
        <v>2757</v>
      </c>
      <c r="AY1835" t="s">
        <v>2758</v>
      </c>
      <c r="AZ1835" t="s">
        <v>5438</v>
      </c>
      <c r="BA1835"/>
      <c r="BB1835"/>
      <c r="BC1835" t="s">
        <v>4730</v>
      </c>
      <c r="BD1835"/>
      <c r="BE1835"/>
      <c r="BF1835"/>
      <c r="BG1835"/>
      <c r="BH1835"/>
      <c r="BI1835"/>
      <c r="BJ1835"/>
      <c r="BK1835"/>
      <c r="BL1835"/>
      <c r="BM1835"/>
      <c r="BN1835"/>
      <c r="BO1835" t="s">
        <v>4682</v>
      </c>
      <c r="BP1835"/>
      <c r="BQ1835"/>
      <c r="BR1835"/>
      <c r="BS1835"/>
      <c r="BT1835"/>
      <c r="BU1835"/>
      <c r="BV1835"/>
      <c r="BW1835"/>
      <c r="BX1835"/>
      <c r="BY1835"/>
      <c r="BZ1835"/>
      <c r="CA1835"/>
      <c r="CB1835"/>
      <c r="CC1835"/>
    </row>
    <row r="1836" spans="1:81" ht="36" customHeight="1">
      <c r="A1836" s="49"/>
      <c r="B1836" s="38"/>
      <c r="C1836" s="733" t="s">
        <v>4965</v>
      </c>
      <c r="D1836" s="734"/>
      <c r="E1836" s="734"/>
      <c r="F1836" s="735"/>
      <c r="G1836" s="813" t="s">
        <v>4966</v>
      </c>
      <c r="H1836" s="814"/>
      <c r="I1836" s="814"/>
      <c r="J1836" s="814"/>
      <c r="K1836" s="814"/>
      <c r="L1836" s="814"/>
      <c r="M1836" s="814"/>
      <c r="N1836" s="814"/>
      <c r="O1836" s="815"/>
      <c r="P1836" s="100"/>
      <c r="Q1836" s="100"/>
      <c r="R1836" s="100"/>
      <c r="S1836" s="100"/>
      <c r="T1836" s="100"/>
      <c r="U1836" s="100"/>
      <c r="V1836" s="100"/>
      <c r="W1836" s="100"/>
      <c r="X1836" s="100"/>
      <c r="Y1836" s="100"/>
      <c r="Z1836" s="100"/>
      <c r="AA1836" s="100"/>
      <c r="AB1836" s="100"/>
      <c r="AC1836" s="100"/>
      <c r="AD1836" s="100"/>
      <c r="AF1836" s="506">
        <f>IF(P1836="NA",IF(AND(COUNTIF(P1837:P1842,"="&amp;$AF$1833)=0,COUNTIF(P1837:P1842,"&lt;&gt;NA")&gt;0),1,0),IF(AND(COUNTIF(P1837:P1842,"="&amp;$AF$1833)=0,COUNTIF(P1837:P1842,"NA")=COUNTIF(P1837:P1842,"&lt;&gt;"&amp;$AF$1833)),1,0))</f>
        <v>0</v>
      </c>
      <c r="AG1836">
        <f>IF(P1836="NA",0,IF(COUNTA(P1836:AD1836,P1848:AD1848)=30,0,IF(COUNTA($P$1836:$AD$1842,$P$1848:$AD$1854)=0,0,1)))</f>
        <v>0</v>
      </c>
      <c r="AH1836">
        <f>IF(P1836="NA",IF(COUNTA(Q1836:AD1836,P1848:AD1848)=0,0,1),0)</f>
        <v>0</v>
      </c>
      <c r="AK1836">
        <f t="shared" ref="AK1836:AK1842" si="1103">COUNTIF(Q1836:R1836,"NS")</f>
        <v>0</v>
      </c>
      <c r="AL1836">
        <f t="shared" ref="AL1836:AL1842" si="1104">SUM(Q1836:R1836)</f>
        <v>0</v>
      </c>
      <c r="AM1836">
        <f>IF(COUNTIF(P1836:R1836,"NA")=3,0,IF(COUNTA(P1836:R1836)=0,0,IF(OR(AND(P1836=0,AK1836&gt;0),AND(P1836="ns",AL1836&gt;0),AND(P1836="ns",AK1836=0,AL1836=0)),1,IF(OR(AND(P1836&gt;0,AK1836=2),AND(P1836="ns",AK1836=2),AND(P1836="ns",AL1836=0,AK1836&gt;0),P1836=AL1836),0,1))))</f>
        <v>0</v>
      </c>
      <c r="AN1836">
        <f t="shared" ref="AN1836:AN1842" si="1105">COUNTIF(T1836:U1836,"NS")</f>
        <v>0</v>
      </c>
      <c r="AO1836">
        <f t="shared" ref="AO1836:AO1842" si="1106">SUM(T1836:U1836)</f>
        <v>0</v>
      </c>
      <c r="AP1836">
        <f t="shared" ref="AP1836:AP1842" si="1107">IF(COUNTIF(S1836:U1836,"NA")=3,0,IF(COUNTA(S1836:U1836)=0,0,IF(OR(AND(S1836=0,AN1836&gt;0),AND(S1836="ns",AO1836&gt;0),AND(S1836="ns",AN1836=0,AO1836=0)),1,IF(OR(AND(S1836&gt;0,AN1836=2),AND(S1836="ns",AN1836=2),AND(S1836="ns",AO1836=0,AN1836&gt;0),S1836=AO1836),0,1))))</f>
        <v>0</v>
      </c>
      <c r="AQ1836">
        <f t="shared" ref="AQ1836:AQ1842" si="1108">COUNTIF(W1836:X1836,"NS")</f>
        <v>0</v>
      </c>
      <c r="AR1836">
        <f t="shared" ref="AR1836:AR1842" si="1109">SUM(W1836:X1836)</f>
        <v>0</v>
      </c>
      <c r="AS1836">
        <f t="shared" ref="AS1836:AS1842" si="1110">IF(COUNTIF(V1836:X1836,"NA")=3,0,IF(COUNTA(V1836:X1836)=0,0,IF(OR(AND(V1836=0,AQ1836&gt;0),AND(V1836="ns",AR1836&gt;0),AND(V1836="ns",AQ1836=0,AR1836=0)),1,IF(OR(AND(V1836&gt;0,AQ1836=2),AND(V1836="ns",AQ1836=2),AND(V1836="ns",AR1836=0,AQ1836&gt;0),V1836=AR1836),0,1))))</f>
        <v>0</v>
      </c>
      <c r="AT1836">
        <f t="shared" ref="AT1836:AT1842" si="1111">COUNTIF(Z1836:AA1836,"NS")</f>
        <v>0</v>
      </c>
      <c r="AU1836">
        <f t="shared" ref="AU1836:AU1842" si="1112">SUM(Z1836:AA1836)</f>
        <v>0</v>
      </c>
      <c r="AV1836">
        <f t="shared" ref="AV1836:AV1842" si="1113">IF(COUNTIF(Y1836:AA1836,"NA")=3,0,IF(COUNTA(Y1836:AA1836)=0,0,IF(OR(AND(Y1836=0,AT1836&gt;0),AND(Y1836="ns",AU1836&gt;0),AND(Y1836="ns",AT1836=0,AU1836=0)),1,IF(OR(AND(Y1836&gt;0,AT1836=2),AND(Y1836="ns",AT1836=2),AND(Y1836="ns",AU1836=0,AT1836&gt;0),Y1836=AU1836),0,1))))</f>
        <v>0</v>
      </c>
      <c r="AW1836">
        <f t="shared" ref="AW1836:AW1842" si="1114">COUNTIF(AC1836:AD1836,"NS")</f>
        <v>0</v>
      </c>
      <c r="AX1836">
        <f t="shared" ref="AX1836:AX1842" si="1115">SUM(AC1836:AD1836)</f>
        <v>0</v>
      </c>
      <c r="AY1836">
        <f t="shared" ref="AY1836:AY1841" si="1116">IF(COUNTIF(AB1836:AD1836,"NA")=3,0,IF(COUNTA(AB1836:AD1836)=0,0,IF(OR(AND(AB1836=0,AW1836&gt;0),AND(AB1836="ns",AX1836&gt;0),AND(AB1836="ns",AW1836=0,AX1836=0)),1,IF(OR(AND(AB1836&gt;0,AW1836=2),AND(AB1836="ns",AW1836=2),AND(AB1836="ns",AX1836=0,AW1836&gt;0),AB1836=AX1836),0,1))))</f>
        <v>0</v>
      </c>
      <c r="AZ1836" cm="1">
        <f t="array" ref="AZ1836">IF(OR(P1836={"NS","NA"},M1800={"NS","NA"}),0,IF(P1836&gt;=M1800,0,1))</f>
        <v>0</v>
      </c>
      <c r="BA1836" cm="1">
        <f t="array" ref="BA1836">IF(OR(Q1836={"NS","NA"},S1800={"NS","NA"}),0,IF(Q1836&gt;=S1800,0,1))</f>
        <v>0</v>
      </c>
      <c r="BB1836" cm="1">
        <f t="array" ref="BB1836">IF(OR(R1836={"NS","NA"},Y1800={"NS","NA"}),0,IF(R1836&gt;=Y1800,0,1))</f>
        <v>0</v>
      </c>
      <c r="BC1836" cm="1">
        <f t="array" ref="BC1836">IF(OR(S1836={"NS","NA"},$M1800={"NS","NA"}),0,IF(S1836&lt;=$M1800,0,1))</f>
        <v>0</v>
      </c>
      <c r="BD1836" cm="1">
        <f t="array" ref="BD1836">IF(OR(T1836={"NS","NA"},$S1800={"NS","NA"}),0,IF(T1836&lt;=$S1800,0,1))</f>
        <v>0</v>
      </c>
      <c r="BE1836" cm="1">
        <f t="array" ref="BE1836">IF(OR(U1836={"NS","NA"},$Y1800={"NS","NA"}),0,IF(U1836&lt;=$Y1800,0,1))</f>
        <v>0</v>
      </c>
      <c r="BF1836" cm="1">
        <f t="array" ref="BF1836">IF(OR(V1836={"NS","NA"},$M1800={"NS","NA"}),0,IF(V1836&lt;=$M1800,0,1))</f>
        <v>0</v>
      </c>
      <c r="BG1836" cm="1">
        <f t="array" ref="BG1836">IF(OR(W1836={"NS","NA"},$S1800={"NS","NA"}),0,IF(W1836&lt;=$S1800,0,1))</f>
        <v>0</v>
      </c>
      <c r="BH1836" cm="1">
        <f t="array" ref="BH1836">IF(OR(X1836={"NS","NA"},$Y1800={"NS","NA"}),0,IF(X1836&lt;=$Y1800,0,1))</f>
        <v>0</v>
      </c>
      <c r="BI1836" cm="1">
        <f t="array" ref="BI1836">IF(OR(Y1836={"NS","NA"},$M1800={"NS","NA"}),0,IF(Y1836&lt;=$M1800,0,1))</f>
        <v>0</v>
      </c>
      <c r="BJ1836" cm="1">
        <f t="array" ref="BJ1836">IF(OR(Z1836={"NS","NA"},$S1800={"NS","NA"}),0,IF(Z1836&lt;=$S1800,0,1))</f>
        <v>0</v>
      </c>
      <c r="BK1836" cm="1">
        <f t="array" ref="BK1836">IF(OR(AA1836={"NS","NA"},$Y1800={"NS","NA"}),0,IF(AA1836&lt;=$Y1800,0,1))</f>
        <v>0</v>
      </c>
      <c r="BL1836" cm="1">
        <f t="array" ref="BL1836">IF(OR(AB1836={"NS","NA"},$M1800={"NS","NA"}),0,IF(AB1836&lt;=$M1800,0,1))</f>
        <v>0</v>
      </c>
      <c r="BM1836" cm="1">
        <f t="array" ref="BM1836">IF(OR(AC1836={"NS","NA"},$S1800={"NS","NA"}),0,IF(AC1836&lt;=$S1800,0,1))</f>
        <v>0</v>
      </c>
      <c r="BN1836" cm="1">
        <f t="array" ref="BN1836">IF(OR(AD1836={"NS","NA"},$Y1800={"NS","NA"}),0,IF(AD1836&lt;=$Y1800,0,1))</f>
        <v>0</v>
      </c>
      <c r="BO1836" cm="1">
        <f t="array" ref="BO1836">IF(OR(P1836={"NS","NA"},P1742={"NS","NA"}),0,IF(P1836&lt;=P1742,0,1))</f>
        <v>0</v>
      </c>
      <c r="BP1836" cm="1">
        <f t="array" ref="BP1836">IF(OR(Q1836={"NS","NA"},Q1742={"NS","NA"}),0,IF(Q1836&lt;=Q1742,0,1))</f>
        <v>0</v>
      </c>
      <c r="BQ1836" cm="1">
        <f t="array" ref="BQ1836">IF(OR(R1836={"NS","NA"},R1742={"NS","NA"}),0,IF(R1836&lt;=R1742,0,1))</f>
        <v>0</v>
      </c>
      <c r="BR1836" cm="1">
        <f t="array" ref="BR1836">IF(OR(S1836={"NS","NA"},S1742={"NS","NA"}),0,IF(S1836&lt;=S1742,0,1))</f>
        <v>0</v>
      </c>
      <c r="BS1836" cm="1">
        <f t="array" ref="BS1836">IF(OR(T1836={"NS","NA"},T1742={"NS","NA"}),0,IF(T1836&lt;=T1742,0,1))</f>
        <v>0</v>
      </c>
      <c r="BT1836" cm="1">
        <f t="array" ref="BT1836">IF(OR(U1836={"NS","NA"},U1742={"NS","NA"}),0,IF(U1836&lt;=U1742,0,1))</f>
        <v>0</v>
      </c>
      <c r="BU1836" cm="1">
        <f t="array" ref="BU1836">IF(OR(V1836={"NS","NA"},V1742={"NS","NA"}),0,IF(V1836&lt;=V1742,0,1))</f>
        <v>0</v>
      </c>
      <c r="BV1836" cm="1">
        <f t="array" ref="BV1836">IF(OR(W1836={"NS","NA"},W1742={"NS","NA"}),0,IF(W1836&lt;=W1742,0,1))</f>
        <v>0</v>
      </c>
      <c r="BW1836" cm="1">
        <f t="array" ref="BW1836">IF(OR(X1836={"NS","NA"},X1742={"NS","NA"}),0,IF(X1836&lt;=X1742,0,1))</f>
        <v>0</v>
      </c>
      <c r="BX1836" cm="1">
        <f t="array" ref="BX1836">IF(OR(Y1836={"NS","NA"},Y1742={"NS","NA"}),0,IF(Y1836&lt;=Y1742,0,1))</f>
        <v>0</v>
      </c>
      <c r="BY1836" cm="1">
        <f t="array" ref="BY1836">IF(OR(Z1836={"NS","NA"},Z1742={"NS","NA"}),0,IF(Z1836&lt;=Z1742,0,1))</f>
        <v>0</v>
      </c>
      <c r="BZ1836" cm="1">
        <f t="array" ref="BZ1836">IF(OR(AA1836={"NS","NA"},AA1742={"NS","NA"}),0,IF(AA1836&lt;=AA1742,0,1))</f>
        <v>0</v>
      </c>
      <c r="CA1836" cm="1">
        <f t="array" ref="CA1836">IF(OR(AB1836={"NS","NA"},AB1742={"NS","NA"}),0,IF(AB1836&lt;=AB1742,0,1))</f>
        <v>0</v>
      </c>
      <c r="CB1836" cm="1">
        <f t="array" ref="CB1836">IF(OR(AC1836={"NS","NA"},AC1742={"NS","NA"}),0,IF(AC1836&lt;=AC1742,0,1))</f>
        <v>0</v>
      </c>
      <c r="CC1836" cm="1">
        <f t="array" ref="CC1836">IF(OR(AD1836={"NS","NA"},AD1742={"NS","NA"}),0,IF(AD1836&lt;=AD1742,0,1))</f>
        <v>0</v>
      </c>
    </row>
    <row r="1837" spans="1:81" ht="15" customHeight="1">
      <c r="A1837" s="49"/>
      <c r="B1837" s="38"/>
      <c r="C1837" s="1119" t="s">
        <v>4967</v>
      </c>
      <c r="D1837" s="1121"/>
      <c r="E1837" s="1121"/>
      <c r="F1837" s="1120"/>
      <c r="G1837" s="174"/>
      <c r="H1837" s="1126" t="s">
        <v>4968</v>
      </c>
      <c r="I1837" s="1126"/>
      <c r="J1837" s="1126"/>
      <c r="K1837" s="1126"/>
      <c r="L1837" s="1126"/>
      <c r="M1837" s="1126"/>
      <c r="N1837" s="1126"/>
      <c r="O1837" s="1127"/>
      <c r="P1837" s="100"/>
      <c r="Q1837" s="100"/>
      <c r="R1837" s="100"/>
      <c r="S1837" s="100"/>
      <c r="T1837" s="100"/>
      <c r="U1837" s="100"/>
      <c r="V1837" s="100"/>
      <c r="W1837" s="100"/>
      <c r="X1837" s="100"/>
      <c r="Y1837" s="100"/>
      <c r="Z1837" s="100"/>
      <c r="AA1837" s="100"/>
      <c r="AB1837" s="100"/>
      <c r="AC1837" s="100"/>
      <c r="AD1837" s="100"/>
      <c r="AF1837"/>
      <c r="AG1837">
        <f t="shared" ref="AG1837:AG1841" si="1117">IF(P1837="NA",0,IF(COUNTA(P1837:AD1837,P1849:AD1849)=30,0,IF(COUNTA($P$1836:$AD$1842,$P$1848:$AD$1854)=0,0,1)))</f>
        <v>0</v>
      </c>
      <c r="AH1837">
        <f t="shared" ref="AH1837:AH1842" si="1118">IF(P1837="NA",IF(COUNTA(Q1837:AD1837,P1849:AD1849)=0,0,1),0)</f>
        <v>0</v>
      </c>
      <c r="AK1837">
        <f t="shared" si="1103"/>
        <v>0</v>
      </c>
      <c r="AL1837">
        <f t="shared" si="1104"/>
        <v>0</v>
      </c>
      <c r="AM1837">
        <f t="shared" ref="AM1837:AM1842" si="1119">IF(COUNTIF(P1837:R1837,"NA")=3,0,IF(COUNTA(P1837:R1837)=0,0,IF(OR(AND(P1837=0,AK1837&gt;0),AND(P1837="ns",AL1837&gt;0),AND(P1837="ns",AK1837=0,AL1837=0)),1,IF(OR(AND(P1837&gt;0,AK1837=2),AND(P1837="ns",AK1837=2),AND(P1837="ns",AL1837=0,AK1837&gt;0),P1837=AL1837),0,1))))</f>
        <v>0</v>
      </c>
      <c r="AN1837">
        <f t="shared" si="1105"/>
        <v>0</v>
      </c>
      <c r="AO1837">
        <f t="shared" si="1106"/>
        <v>0</v>
      </c>
      <c r="AP1837">
        <f t="shared" si="1107"/>
        <v>0</v>
      </c>
      <c r="AQ1837">
        <f t="shared" si="1108"/>
        <v>0</v>
      </c>
      <c r="AR1837">
        <f t="shared" si="1109"/>
        <v>0</v>
      </c>
      <c r="AS1837">
        <f t="shared" si="1110"/>
        <v>0</v>
      </c>
      <c r="AT1837">
        <f t="shared" si="1111"/>
        <v>0</v>
      </c>
      <c r="AU1837">
        <f t="shared" si="1112"/>
        <v>0</v>
      </c>
      <c r="AV1837">
        <f t="shared" si="1113"/>
        <v>0</v>
      </c>
      <c r="AW1837">
        <f t="shared" si="1114"/>
        <v>0</v>
      </c>
      <c r="AX1837">
        <f t="shared" si="1115"/>
        <v>0</v>
      </c>
      <c r="AY1837">
        <f t="shared" si="1116"/>
        <v>0</v>
      </c>
      <c r="AZ1837" cm="1">
        <f t="array" ref="AZ1837">IF(OR(P1837={"NS","NA"},M1801={"NS","NA"}),0,IF(P1837&gt;=M1801,0,1))</f>
        <v>0</v>
      </c>
      <c r="BA1837" cm="1">
        <f t="array" ref="BA1837">IF(OR(Q1837={"NS","NA"},S1801={"NS","NA"}),0,IF(Q1837&gt;=S1801,0,1))</f>
        <v>0</v>
      </c>
      <c r="BB1837" cm="1">
        <f t="array" ref="BB1837">IF(OR(R1837={"NS","NA"},Y1801={"NS","NA"}),0,IF(R1837&gt;=Y1801,0,1))</f>
        <v>0</v>
      </c>
      <c r="BC1837" cm="1">
        <f t="array" ref="BC1837">IF(OR(S1837={"NS","NA"},$M1801={"NS","NA"}),0,IF(S1837&lt;=$M1801,0,1))</f>
        <v>0</v>
      </c>
      <c r="BD1837" cm="1">
        <f t="array" ref="BD1837">IF(OR(T1837={"NS","NA"},$S1801={"NS","NA"}),0,IF(T1837&lt;=$S1801,0,1))</f>
        <v>0</v>
      </c>
      <c r="BE1837" cm="1">
        <f t="array" ref="BE1837">IF(OR(U1837={"NS","NA"},$Y1801={"NS","NA"}),0,IF(U1837&lt;=$Y1801,0,1))</f>
        <v>0</v>
      </c>
      <c r="BF1837" cm="1">
        <f t="array" ref="BF1837">IF(OR(V1837={"NS","NA"},$M1801={"NS","NA"}),0,IF(V1837&lt;=$M1801,0,1))</f>
        <v>0</v>
      </c>
      <c r="BG1837" cm="1">
        <f t="array" ref="BG1837">IF(OR(W1837={"NS","NA"},$S1801={"NS","NA"}),0,IF(W1837&lt;=$S1801,0,1))</f>
        <v>0</v>
      </c>
      <c r="BH1837" cm="1">
        <f t="array" ref="BH1837">IF(OR(X1837={"NS","NA"},$Y1801={"NS","NA"}),0,IF(X1837&lt;=$Y1801,0,1))</f>
        <v>0</v>
      </c>
      <c r="BI1837" cm="1">
        <f t="array" ref="BI1837">IF(OR(Y1837={"NS","NA"},$M1801={"NS","NA"}),0,IF(Y1837&lt;=$M1801,0,1))</f>
        <v>0</v>
      </c>
      <c r="BJ1837" cm="1">
        <f t="array" ref="BJ1837">IF(OR(Z1837={"NS","NA"},$S1801={"NS","NA"}),0,IF(Z1837&lt;=$S1801,0,1))</f>
        <v>0</v>
      </c>
      <c r="BK1837" cm="1">
        <f t="array" ref="BK1837">IF(OR(AA1837={"NS","NA"},$Y1801={"NS","NA"}),0,IF(AA1837&lt;=$Y1801,0,1))</f>
        <v>0</v>
      </c>
      <c r="BL1837" cm="1">
        <f t="array" ref="BL1837">IF(OR(AB1837={"NS","NA"},$M1801={"NS","NA"}),0,IF(AB1837&lt;=$M1801,0,1))</f>
        <v>0</v>
      </c>
      <c r="BM1837" cm="1">
        <f t="array" ref="BM1837">IF(OR(AC1837={"NS","NA"},$S1801={"NS","NA"}),0,IF(AC1837&lt;=$S1801,0,1))</f>
        <v>0</v>
      </c>
      <c r="BN1837" cm="1">
        <f t="array" ref="BN1837">IF(OR(AD1837={"NS","NA"},$Y1801={"NS","NA"}),0,IF(AD1837&lt;=$Y1801,0,1))</f>
        <v>0</v>
      </c>
      <c r="BO1837" cm="1">
        <f t="array" ref="BO1837">IF(OR(P1837={"NS","NA"},P1743={"NS","NA"}),0,IF(P1837&lt;=P1743,0,1))</f>
        <v>0</v>
      </c>
      <c r="BP1837" cm="1">
        <f t="array" ref="BP1837">IF(OR(Q1837={"NS","NA"},Q1743={"NS","NA"}),0,IF(Q1837&lt;=Q1743,0,1))</f>
        <v>0</v>
      </c>
      <c r="BQ1837" cm="1">
        <f t="array" ref="BQ1837">IF(OR(R1837={"NS","NA"},R1743={"NS","NA"}),0,IF(R1837&lt;=R1743,0,1))</f>
        <v>0</v>
      </c>
      <c r="BR1837" cm="1">
        <f t="array" ref="BR1837">IF(OR(S1837={"NS","NA"},S1743={"NS","NA"}),0,IF(S1837&lt;=S1743,0,1))</f>
        <v>0</v>
      </c>
      <c r="BS1837" cm="1">
        <f t="array" ref="BS1837">IF(OR(T1837={"NS","NA"},T1743={"NS","NA"}),0,IF(T1837&lt;=T1743,0,1))</f>
        <v>0</v>
      </c>
      <c r="BT1837" cm="1">
        <f t="array" ref="BT1837">IF(OR(U1837={"NS","NA"},U1743={"NS","NA"}),0,IF(U1837&lt;=U1743,0,1))</f>
        <v>0</v>
      </c>
      <c r="BU1837" cm="1">
        <f t="array" ref="BU1837">IF(OR(V1837={"NS","NA"},V1743={"NS","NA"}),0,IF(V1837&lt;=V1743,0,1))</f>
        <v>0</v>
      </c>
      <c r="BV1837" cm="1">
        <f t="array" ref="BV1837">IF(OR(W1837={"NS","NA"},W1743={"NS","NA"}),0,IF(W1837&lt;=W1743,0,1))</f>
        <v>0</v>
      </c>
      <c r="BW1837" cm="1">
        <f t="array" ref="BW1837">IF(OR(X1837={"NS","NA"},X1743={"NS","NA"}),0,IF(X1837&lt;=X1743,0,1))</f>
        <v>0</v>
      </c>
      <c r="BX1837" cm="1">
        <f t="array" ref="BX1837">IF(OR(Y1837={"NS","NA"},Y1743={"NS","NA"}),0,IF(Y1837&lt;=Y1743,0,1))</f>
        <v>0</v>
      </c>
      <c r="BY1837" cm="1">
        <f t="array" ref="BY1837">IF(OR(Z1837={"NS","NA"},Z1743={"NS","NA"}),0,IF(Z1837&lt;=Z1743,0,1))</f>
        <v>0</v>
      </c>
      <c r="BZ1837" cm="1">
        <f t="array" ref="BZ1837">IF(OR(AA1837={"NS","NA"},AA1743={"NS","NA"}),0,IF(AA1837&lt;=AA1743,0,1))</f>
        <v>0</v>
      </c>
      <c r="CA1837" cm="1">
        <f t="array" ref="CA1837">IF(OR(AB1837={"NS","NA"},AB1743={"NS","NA"}),0,IF(AB1837&lt;=AB1743,0,1))</f>
        <v>0</v>
      </c>
      <c r="CB1837" cm="1">
        <f t="array" ref="CB1837">IF(OR(AC1837={"NS","NA"},AC1743={"NS","NA"}),0,IF(AC1837&lt;=AC1743,0,1))</f>
        <v>0</v>
      </c>
      <c r="CC1837" cm="1">
        <f t="array" ref="CC1837">IF(OR(AD1837={"NS","NA"},AD1743={"NS","NA"}),0,IF(AD1837&lt;=AD1743,0,1))</f>
        <v>0</v>
      </c>
    </row>
    <row r="1838" spans="1:81" ht="24" customHeight="1">
      <c r="A1838" s="49"/>
      <c r="B1838" s="38"/>
      <c r="C1838" s="1119" t="s">
        <v>4969</v>
      </c>
      <c r="D1838" s="1121"/>
      <c r="E1838" s="1121"/>
      <c r="F1838" s="1120"/>
      <c r="G1838" s="174"/>
      <c r="H1838" s="1122" t="s">
        <v>4970</v>
      </c>
      <c r="I1838" s="1122"/>
      <c r="J1838" s="1122"/>
      <c r="K1838" s="1122"/>
      <c r="L1838" s="1122"/>
      <c r="M1838" s="1122"/>
      <c r="N1838" s="1122"/>
      <c r="O1838" s="1123"/>
      <c r="P1838" s="100"/>
      <c r="Q1838" s="100"/>
      <c r="R1838" s="100"/>
      <c r="S1838" s="100"/>
      <c r="T1838" s="100"/>
      <c r="U1838" s="100"/>
      <c r="V1838" s="100"/>
      <c r="W1838" s="100"/>
      <c r="X1838" s="100"/>
      <c r="Y1838" s="100"/>
      <c r="Z1838" s="100"/>
      <c r="AA1838" s="100"/>
      <c r="AB1838" s="100"/>
      <c r="AC1838" s="100"/>
      <c r="AD1838" s="100"/>
      <c r="AF1838"/>
      <c r="AG1838">
        <f t="shared" si="1117"/>
        <v>0</v>
      </c>
      <c r="AH1838">
        <f t="shared" si="1118"/>
        <v>0</v>
      </c>
      <c r="AK1838">
        <f t="shared" si="1103"/>
        <v>0</v>
      </c>
      <c r="AL1838">
        <f t="shared" si="1104"/>
        <v>0</v>
      </c>
      <c r="AM1838">
        <f t="shared" si="1119"/>
        <v>0</v>
      </c>
      <c r="AN1838">
        <f t="shared" si="1105"/>
        <v>0</v>
      </c>
      <c r="AO1838">
        <f t="shared" si="1106"/>
        <v>0</v>
      </c>
      <c r="AP1838">
        <f t="shared" si="1107"/>
        <v>0</v>
      </c>
      <c r="AQ1838">
        <f t="shared" si="1108"/>
        <v>0</v>
      </c>
      <c r="AR1838">
        <f t="shared" si="1109"/>
        <v>0</v>
      </c>
      <c r="AS1838">
        <f t="shared" si="1110"/>
        <v>0</v>
      </c>
      <c r="AT1838">
        <f t="shared" si="1111"/>
        <v>0</v>
      </c>
      <c r="AU1838">
        <f t="shared" si="1112"/>
        <v>0</v>
      </c>
      <c r="AV1838">
        <f t="shared" si="1113"/>
        <v>0</v>
      </c>
      <c r="AW1838">
        <f t="shared" si="1114"/>
        <v>0</v>
      </c>
      <c r="AX1838">
        <f t="shared" si="1115"/>
        <v>0</v>
      </c>
      <c r="AY1838">
        <f t="shared" si="1116"/>
        <v>0</v>
      </c>
      <c r="AZ1838" cm="1">
        <f t="array" ref="AZ1838">IF(OR(P1838={"NS","NA"},M1802={"NS","NA"}),0,IF(P1838&gt;=M1802,0,1))</f>
        <v>0</v>
      </c>
      <c r="BA1838" cm="1">
        <f t="array" ref="BA1838">IF(OR(Q1838={"NS","NA"},S1802={"NS","NA"}),0,IF(Q1838&gt;=S1802,0,1))</f>
        <v>0</v>
      </c>
      <c r="BB1838" cm="1">
        <f t="array" ref="BB1838">IF(OR(R1838={"NS","NA"},Y1802={"NS","NA"}),0,IF(R1838&gt;=Y1802,0,1))</f>
        <v>0</v>
      </c>
      <c r="BC1838" cm="1">
        <f t="array" ref="BC1838">IF(OR(S1838={"NS","NA"},$M1802={"NS","NA"}),0,IF(S1838&lt;=$M1802,0,1))</f>
        <v>0</v>
      </c>
      <c r="BD1838" cm="1">
        <f t="array" ref="BD1838">IF(OR(T1838={"NS","NA"},$S1802={"NS","NA"}),0,IF(T1838&lt;=$S1802,0,1))</f>
        <v>0</v>
      </c>
      <c r="BE1838" cm="1">
        <f t="array" ref="BE1838">IF(OR(U1838={"NS","NA"},$Y1802={"NS","NA"}),0,IF(U1838&lt;=$Y1802,0,1))</f>
        <v>0</v>
      </c>
      <c r="BF1838" cm="1">
        <f t="array" ref="BF1838">IF(OR(V1838={"NS","NA"},$M1802={"NS","NA"}),0,IF(V1838&lt;=$M1802,0,1))</f>
        <v>0</v>
      </c>
      <c r="BG1838" cm="1">
        <f t="array" ref="BG1838">IF(OR(W1838={"NS","NA"},$S1802={"NS","NA"}),0,IF(W1838&lt;=$S1802,0,1))</f>
        <v>0</v>
      </c>
      <c r="BH1838" cm="1">
        <f t="array" ref="BH1838">IF(OR(X1838={"NS","NA"},$Y1802={"NS","NA"}),0,IF(X1838&lt;=$Y1802,0,1))</f>
        <v>0</v>
      </c>
      <c r="BI1838" cm="1">
        <f t="array" ref="BI1838">IF(OR(Y1838={"NS","NA"},$M1802={"NS","NA"}),0,IF(Y1838&lt;=$M1802,0,1))</f>
        <v>0</v>
      </c>
      <c r="BJ1838" cm="1">
        <f t="array" ref="BJ1838">IF(OR(Z1838={"NS","NA"},$S1802={"NS","NA"}),0,IF(Z1838&lt;=$S1802,0,1))</f>
        <v>0</v>
      </c>
      <c r="BK1838" cm="1">
        <f t="array" ref="BK1838">IF(OR(AA1838={"NS","NA"},$Y1802={"NS","NA"}),0,IF(AA1838&lt;=$Y1802,0,1))</f>
        <v>0</v>
      </c>
      <c r="BL1838" cm="1">
        <f t="array" ref="BL1838">IF(OR(AB1838={"NS","NA"},$M1802={"NS","NA"}),0,IF(AB1838&lt;=$M1802,0,1))</f>
        <v>0</v>
      </c>
      <c r="BM1838" cm="1">
        <f t="array" ref="BM1838">IF(OR(AC1838={"NS","NA"},$S1802={"NS","NA"}),0,IF(AC1838&lt;=$S1802,0,1))</f>
        <v>0</v>
      </c>
      <c r="BN1838" cm="1">
        <f t="array" ref="BN1838">IF(OR(AD1838={"NS","NA"},$Y1802={"NS","NA"}),0,IF(AD1838&lt;=$Y1802,0,1))</f>
        <v>0</v>
      </c>
      <c r="BO1838" cm="1">
        <f t="array" ref="BO1838">IF(OR(P1838={"NS","NA"},P1744={"NS","NA"}),0,IF(P1838&lt;=P1744,0,1))</f>
        <v>0</v>
      </c>
      <c r="BP1838" cm="1">
        <f t="array" ref="BP1838">IF(OR(Q1838={"NS","NA"},Q1744={"NS","NA"}),0,IF(Q1838&lt;=Q1744,0,1))</f>
        <v>0</v>
      </c>
      <c r="BQ1838" cm="1">
        <f t="array" ref="BQ1838">IF(OR(R1838={"NS","NA"},R1744={"NS","NA"}),0,IF(R1838&lt;=R1744,0,1))</f>
        <v>0</v>
      </c>
      <c r="BR1838" cm="1">
        <f t="array" ref="BR1838">IF(OR(S1838={"NS","NA"},S1744={"NS","NA"}),0,IF(S1838&lt;=S1744,0,1))</f>
        <v>0</v>
      </c>
      <c r="BS1838" cm="1">
        <f t="array" ref="BS1838">IF(OR(T1838={"NS","NA"},T1744={"NS","NA"}),0,IF(T1838&lt;=T1744,0,1))</f>
        <v>0</v>
      </c>
      <c r="BT1838" cm="1">
        <f t="array" ref="BT1838">IF(OR(U1838={"NS","NA"},U1744={"NS","NA"}),0,IF(U1838&lt;=U1744,0,1))</f>
        <v>0</v>
      </c>
      <c r="BU1838" cm="1">
        <f t="array" ref="BU1838">IF(OR(V1838={"NS","NA"},V1744={"NS","NA"}),0,IF(V1838&lt;=V1744,0,1))</f>
        <v>0</v>
      </c>
      <c r="BV1838" cm="1">
        <f t="array" ref="BV1838">IF(OR(W1838={"NS","NA"},W1744={"NS","NA"}),0,IF(W1838&lt;=W1744,0,1))</f>
        <v>0</v>
      </c>
      <c r="BW1838" cm="1">
        <f t="array" ref="BW1838">IF(OR(X1838={"NS","NA"},X1744={"NS","NA"}),0,IF(X1838&lt;=X1744,0,1))</f>
        <v>0</v>
      </c>
      <c r="BX1838" cm="1">
        <f t="array" ref="BX1838">IF(OR(Y1838={"NS","NA"},Y1744={"NS","NA"}),0,IF(Y1838&lt;=Y1744,0,1))</f>
        <v>0</v>
      </c>
      <c r="BY1838" cm="1">
        <f t="array" ref="BY1838">IF(OR(Z1838={"NS","NA"},Z1744={"NS","NA"}),0,IF(Z1838&lt;=Z1744,0,1))</f>
        <v>0</v>
      </c>
      <c r="BZ1838" cm="1">
        <f t="array" ref="BZ1838">IF(OR(AA1838={"NS","NA"},AA1744={"NS","NA"}),0,IF(AA1838&lt;=AA1744,0,1))</f>
        <v>0</v>
      </c>
      <c r="CA1838" cm="1">
        <f t="array" ref="CA1838">IF(OR(AB1838={"NS","NA"},AB1744={"NS","NA"}),0,IF(AB1838&lt;=AB1744,0,1))</f>
        <v>0</v>
      </c>
      <c r="CB1838" cm="1">
        <f t="array" ref="CB1838">IF(OR(AC1838={"NS","NA"},AC1744={"NS","NA"}),0,IF(AC1838&lt;=AC1744,0,1))</f>
        <v>0</v>
      </c>
      <c r="CC1838" cm="1">
        <f t="array" ref="CC1838">IF(OR(AD1838={"NS","NA"},AD1744={"NS","NA"}),0,IF(AD1838&lt;=AD1744,0,1))</f>
        <v>0</v>
      </c>
    </row>
    <row r="1839" spans="1:81" ht="15" customHeight="1">
      <c r="A1839" s="49"/>
      <c r="B1839" s="38"/>
      <c r="C1839" s="1119" t="s">
        <v>4971</v>
      </c>
      <c r="D1839" s="1121"/>
      <c r="E1839" s="1121"/>
      <c r="F1839" s="1120"/>
      <c r="G1839" s="174"/>
      <c r="H1839" s="1122" t="s">
        <v>4987</v>
      </c>
      <c r="I1839" s="1122"/>
      <c r="J1839" s="1122"/>
      <c r="K1839" s="1122"/>
      <c r="L1839" s="1122"/>
      <c r="M1839" s="1122"/>
      <c r="N1839" s="1122"/>
      <c r="O1839" s="1123"/>
      <c r="P1839" s="100"/>
      <c r="Q1839" s="100"/>
      <c r="R1839" s="100"/>
      <c r="S1839" s="100"/>
      <c r="T1839" s="100"/>
      <c r="U1839" s="100"/>
      <c r="V1839" s="100"/>
      <c r="W1839" s="100"/>
      <c r="X1839" s="100"/>
      <c r="Y1839" s="100"/>
      <c r="Z1839" s="100"/>
      <c r="AA1839" s="100"/>
      <c r="AB1839" s="100"/>
      <c r="AC1839" s="100"/>
      <c r="AD1839" s="100"/>
      <c r="AF1839"/>
      <c r="AG1839">
        <f t="shared" si="1117"/>
        <v>0</v>
      </c>
      <c r="AH1839">
        <f t="shared" si="1118"/>
        <v>0</v>
      </c>
      <c r="AK1839">
        <f t="shared" si="1103"/>
        <v>0</v>
      </c>
      <c r="AL1839">
        <f t="shared" si="1104"/>
        <v>0</v>
      </c>
      <c r="AM1839">
        <f t="shared" si="1119"/>
        <v>0</v>
      </c>
      <c r="AN1839">
        <f t="shared" si="1105"/>
        <v>0</v>
      </c>
      <c r="AO1839">
        <f t="shared" si="1106"/>
        <v>0</v>
      </c>
      <c r="AP1839">
        <f t="shared" si="1107"/>
        <v>0</v>
      </c>
      <c r="AQ1839">
        <f t="shared" si="1108"/>
        <v>0</v>
      </c>
      <c r="AR1839">
        <f t="shared" si="1109"/>
        <v>0</v>
      </c>
      <c r="AS1839">
        <f t="shared" si="1110"/>
        <v>0</v>
      </c>
      <c r="AT1839">
        <f t="shared" si="1111"/>
        <v>0</v>
      </c>
      <c r="AU1839">
        <f t="shared" si="1112"/>
        <v>0</v>
      </c>
      <c r="AV1839">
        <f t="shared" si="1113"/>
        <v>0</v>
      </c>
      <c r="AW1839">
        <f t="shared" si="1114"/>
        <v>0</v>
      </c>
      <c r="AX1839">
        <f t="shared" si="1115"/>
        <v>0</v>
      </c>
      <c r="AY1839">
        <f t="shared" si="1116"/>
        <v>0</v>
      </c>
      <c r="AZ1839" cm="1">
        <f t="array" ref="AZ1839">IF(OR(P1839={"NS","NA"},M1803={"NS","NA"}),0,IF(P1839&gt;=M1803,0,1))</f>
        <v>0</v>
      </c>
      <c r="BA1839" cm="1">
        <f t="array" ref="BA1839">IF(OR(Q1839={"NS","NA"},S1803={"NS","NA"}),0,IF(Q1839&gt;=S1803,0,1))</f>
        <v>0</v>
      </c>
      <c r="BB1839" cm="1">
        <f t="array" ref="BB1839">IF(OR(R1839={"NS","NA"},Y1803={"NS","NA"}),0,IF(R1839&gt;=Y1803,0,1))</f>
        <v>0</v>
      </c>
      <c r="BC1839" cm="1">
        <f t="array" ref="BC1839">IF(OR(S1839={"NS","NA"},$M1803={"NS","NA"}),0,IF(S1839&lt;=$M1803,0,1))</f>
        <v>0</v>
      </c>
      <c r="BD1839" cm="1">
        <f t="array" ref="BD1839">IF(OR(T1839={"NS","NA"},$S1803={"NS","NA"}),0,IF(T1839&lt;=$S1803,0,1))</f>
        <v>0</v>
      </c>
      <c r="BE1839" cm="1">
        <f t="array" ref="BE1839">IF(OR(U1839={"NS","NA"},$Y1803={"NS","NA"}),0,IF(U1839&lt;=$Y1803,0,1))</f>
        <v>0</v>
      </c>
      <c r="BF1839" cm="1">
        <f t="array" ref="BF1839">IF(OR(V1839={"NS","NA"},$M1803={"NS","NA"}),0,IF(V1839&lt;=$M1803,0,1))</f>
        <v>0</v>
      </c>
      <c r="BG1839" cm="1">
        <f t="array" ref="BG1839">IF(OR(W1839={"NS","NA"},$S1803={"NS","NA"}),0,IF(W1839&lt;=$S1803,0,1))</f>
        <v>0</v>
      </c>
      <c r="BH1839" cm="1">
        <f t="array" ref="BH1839">IF(OR(X1839={"NS","NA"},$Y1803={"NS","NA"}),0,IF(X1839&lt;=$Y1803,0,1))</f>
        <v>0</v>
      </c>
      <c r="BI1839" cm="1">
        <f t="array" ref="BI1839">IF(OR(Y1839={"NS","NA"},$M1803={"NS","NA"}),0,IF(Y1839&lt;=$M1803,0,1))</f>
        <v>0</v>
      </c>
      <c r="BJ1839" cm="1">
        <f t="array" ref="BJ1839">IF(OR(Z1839={"NS","NA"},$S1803={"NS","NA"}),0,IF(Z1839&lt;=$S1803,0,1))</f>
        <v>0</v>
      </c>
      <c r="BK1839" cm="1">
        <f t="array" ref="BK1839">IF(OR(AA1839={"NS","NA"},$Y1803={"NS","NA"}),0,IF(AA1839&lt;=$Y1803,0,1))</f>
        <v>0</v>
      </c>
      <c r="BL1839" cm="1">
        <f t="array" ref="BL1839">IF(OR(AB1839={"NS","NA"},$M1803={"NS","NA"}),0,IF(AB1839&lt;=$M1803,0,1))</f>
        <v>0</v>
      </c>
      <c r="BM1839" cm="1">
        <f t="array" ref="BM1839">IF(OR(AC1839={"NS","NA"},$S1803={"NS","NA"}),0,IF(AC1839&lt;=$S1803,0,1))</f>
        <v>0</v>
      </c>
      <c r="BN1839" cm="1">
        <f t="array" ref="BN1839">IF(OR(AD1839={"NS","NA"},$Y1803={"NS","NA"}),0,IF(AD1839&lt;=$Y1803,0,1))</f>
        <v>0</v>
      </c>
      <c r="BO1839" cm="1">
        <f t="array" ref="BO1839">IF(OR(P1839={"NS","NA"},P1745={"NS","NA"}),0,IF(P1839&lt;=P1745,0,1))</f>
        <v>0</v>
      </c>
      <c r="BP1839" cm="1">
        <f t="array" ref="BP1839">IF(OR(Q1839={"NS","NA"},Q1745={"NS","NA"}),0,IF(Q1839&lt;=Q1745,0,1))</f>
        <v>0</v>
      </c>
      <c r="BQ1839" cm="1">
        <f t="array" ref="BQ1839">IF(OR(R1839={"NS","NA"},R1745={"NS","NA"}),0,IF(R1839&lt;=R1745,0,1))</f>
        <v>0</v>
      </c>
      <c r="BR1839" cm="1">
        <f t="array" ref="BR1839">IF(OR(S1839={"NS","NA"},S1745={"NS","NA"}),0,IF(S1839&lt;=S1745,0,1))</f>
        <v>0</v>
      </c>
      <c r="BS1839" cm="1">
        <f t="array" ref="BS1839">IF(OR(T1839={"NS","NA"},T1745={"NS","NA"}),0,IF(T1839&lt;=T1745,0,1))</f>
        <v>0</v>
      </c>
      <c r="BT1839" cm="1">
        <f t="array" ref="BT1839">IF(OR(U1839={"NS","NA"},U1745={"NS","NA"}),0,IF(U1839&lt;=U1745,0,1))</f>
        <v>0</v>
      </c>
      <c r="BU1839" cm="1">
        <f t="array" ref="BU1839">IF(OR(V1839={"NS","NA"},V1745={"NS","NA"}),0,IF(V1839&lt;=V1745,0,1))</f>
        <v>0</v>
      </c>
      <c r="BV1839" cm="1">
        <f t="array" ref="BV1839">IF(OR(W1839={"NS","NA"},W1745={"NS","NA"}),0,IF(W1839&lt;=W1745,0,1))</f>
        <v>0</v>
      </c>
      <c r="BW1839" cm="1">
        <f t="array" ref="BW1839">IF(OR(X1839={"NS","NA"},X1745={"NS","NA"}),0,IF(X1839&lt;=X1745,0,1))</f>
        <v>0</v>
      </c>
      <c r="BX1839" cm="1">
        <f t="array" ref="BX1839">IF(OR(Y1839={"NS","NA"},Y1745={"NS","NA"}),0,IF(Y1839&lt;=Y1745,0,1))</f>
        <v>0</v>
      </c>
      <c r="BY1839" cm="1">
        <f t="array" ref="BY1839">IF(OR(Z1839={"NS","NA"},Z1745={"NS","NA"}),0,IF(Z1839&lt;=Z1745,0,1))</f>
        <v>0</v>
      </c>
      <c r="BZ1839" cm="1">
        <f t="array" ref="BZ1839">IF(OR(AA1839={"NS","NA"},AA1745={"NS","NA"}),0,IF(AA1839&lt;=AA1745,0,1))</f>
        <v>0</v>
      </c>
      <c r="CA1839" cm="1">
        <f t="array" ref="CA1839">IF(OR(AB1839={"NS","NA"},AB1745={"NS","NA"}),0,IF(AB1839&lt;=AB1745,0,1))</f>
        <v>0</v>
      </c>
      <c r="CB1839" cm="1">
        <f t="array" ref="CB1839">IF(OR(AC1839={"NS","NA"},AC1745={"NS","NA"}),0,IF(AC1839&lt;=AC1745,0,1))</f>
        <v>0</v>
      </c>
      <c r="CC1839" cm="1">
        <f t="array" ref="CC1839">IF(OR(AD1839={"NS","NA"},AD1745={"NS","NA"}),0,IF(AD1839&lt;=AD1745,0,1))</f>
        <v>0</v>
      </c>
    </row>
    <row r="1840" spans="1:81" ht="15" customHeight="1">
      <c r="A1840" s="49"/>
      <c r="B1840" s="38"/>
      <c r="C1840" s="1119" t="s">
        <v>4973</v>
      </c>
      <c r="D1840" s="1121"/>
      <c r="E1840" s="1121"/>
      <c r="F1840" s="1120"/>
      <c r="G1840" s="174"/>
      <c r="H1840" s="1122" t="s">
        <v>4974</v>
      </c>
      <c r="I1840" s="1122"/>
      <c r="J1840" s="1122"/>
      <c r="K1840" s="1122"/>
      <c r="L1840" s="1122"/>
      <c r="M1840" s="1122"/>
      <c r="N1840" s="1122"/>
      <c r="O1840" s="1123"/>
      <c r="P1840" s="100"/>
      <c r="Q1840" s="100"/>
      <c r="R1840" s="100"/>
      <c r="S1840" s="100"/>
      <c r="T1840" s="100"/>
      <c r="U1840" s="100"/>
      <c r="V1840" s="100"/>
      <c r="W1840" s="100"/>
      <c r="X1840" s="100"/>
      <c r="Y1840" s="100"/>
      <c r="Z1840" s="100"/>
      <c r="AA1840" s="100"/>
      <c r="AB1840" s="100"/>
      <c r="AC1840" s="100"/>
      <c r="AD1840" s="100"/>
      <c r="AF1840"/>
      <c r="AG1840">
        <f t="shared" si="1117"/>
        <v>0</v>
      </c>
      <c r="AH1840">
        <f t="shared" si="1118"/>
        <v>0</v>
      </c>
      <c r="AK1840">
        <f t="shared" si="1103"/>
        <v>0</v>
      </c>
      <c r="AL1840">
        <f t="shared" si="1104"/>
        <v>0</v>
      </c>
      <c r="AM1840">
        <f t="shared" si="1119"/>
        <v>0</v>
      </c>
      <c r="AN1840">
        <f t="shared" si="1105"/>
        <v>0</v>
      </c>
      <c r="AO1840">
        <f t="shared" si="1106"/>
        <v>0</v>
      </c>
      <c r="AP1840">
        <f t="shared" si="1107"/>
        <v>0</v>
      </c>
      <c r="AQ1840">
        <f t="shared" si="1108"/>
        <v>0</v>
      </c>
      <c r="AR1840">
        <f t="shared" si="1109"/>
        <v>0</v>
      </c>
      <c r="AS1840">
        <f t="shared" si="1110"/>
        <v>0</v>
      </c>
      <c r="AT1840">
        <f t="shared" si="1111"/>
        <v>0</v>
      </c>
      <c r="AU1840">
        <f t="shared" si="1112"/>
        <v>0</v>
      </c>
      <c r="AV1840">
        <f t="shared" si="1113"/>
        <v>0</v>
      </c>
      <c r="AW1840">
        <f t="shared" si="1114"/>
        <v>0</v>
      </c>
      <c r="AX1840">
        <f t="shared" si="1115"/>
        <v>0</v>
      </c>
      <c r="AY1840">
        <f t="shared" si="1116"/>
        <v>0</v>
      </c>
      <c r="AZ1840" cm="1">
        <f t="array" ref="AZ1840">IF(OR(P1840={"NS","NA"},M1804={"NS","NA"}),0,IF(P1840&gt;=M1804,0,1))</f>
        <v>0</v>
      </c>
      <c r="BA1840" cm="1">
        <f t="array" ref="BA1840">IF(OR(Q1840={"NS","NA"},S1804={"NS","NA"}),0,IF(Q1840&gt;=S1804,0,1))</f>
        <v>0</v>
      </c>
      <c r="BB1840" cm="1">
        <f t="array" ref="BB1840">IF(OR(R1840={"NS","NA"},Y1804={"NS","NA"}),0,IF(R1840&gt;=Y1804,0,1))</f>
        <v>0</v>
      </c>
      <c r="BC1840" cm="1">
        <f t="array" ref="BC1840">IF(OR(S1840={"NS","NA"},$M1804={"NS","NA"}),0,IF(S1840&lt;=$M1804,0,1))</f>
        <v>0</v>
      </c>
      <c r="BD1840" cm="1">
        <f t="array" ref="BD1840">IF(OR(T1840={"NS","NA"},$S1804={"NS","NA"}),0,IF(T1840&lt;=$S1804,0,1))</f>
        <v>0</v>
      </c>
      <c r="BE1840" cm="1">
        <f t="array" ref="BE1840">IF(OR(U1840={"NS","NA"},$Y1804={"NS","NA"}),0,IF(U1840&lt;=$Y1804,0,1))</f>
        <v>0</v>
      </c>
      <c r="BF1840" cm="1">
        <f t="array" ref="BF1840">IF(OR(V1840={"NS","NA"},$M1804={"NS","NA"}),0,IF(V1840&lt;=$M1804,0,1))</f>
        <v>0</v>
      </c>
      <c r="BG1840" cm="1">
        <f t="array" ref="BG1840">IF(OR(W1840={"NS","NA"},$S1804={"NS","NA"}),0,IF(W1840&lt;=$S1804,0,1))</f>
        <v>0</v>
      </c>
      <c r="BH1840" cm="1">
        <f t="array" ref="BH1840">IF(OR(X1840={"NS","NA"},$Y1804={"NS","NA"}),0,IF(X1840&lt;=$Y1804,0,1))</f>
        <v>0</v>
      </c>
      <c r="BI1840" cm="1">
        <f t="array" ref="BI1840">IF(OR(Y1840={"NS","NA"},$M1804={"NS","NA"}),0,IF(Y1840&lt;=$M1804,0,1))</f>
        <v>0</v>
      </c>
      <c r="BJ1840" cm="1">
        <f t="array" ref="BJ1840">IF(OR(Z1840={"NS","NA"},$S1804={"NS","NA"}),0,IF(Z1840&lt;=$S1804,0,1))</f>
        <v>0</v>
      </c>
      <c r="BK1840" cm="1">
        <f t="array" ref="BK1840">IF(OR(AA1840={"NS","NA"},$Y1804={"NS","NA"}),0,IF(AA1840&lt;=$Y1804,0,1))</f>
        <v>0</v>
      </c>
      <c r="BL1840" cm="1">
        <f t="array" ref="BL1840">IF(OR(AB1840={"NS","NA"},$M1804={"NS","NA"}),0,IF(AB1840&lt;=$M1804,0,1))</f>
        <v>0</v>
      </c>
      <c r="BM1840" cm="1">
        <f t="array" ref="BM1840">IF(OR(AC1840={"NS","NA"},$S1804={"NS","NA"}),0,IF(AC1840&lt;=$S1804,0,1))</f>
        <v>0</v>
      </c>
      <c r="BN1840" cm="1">
        <f t="array" ref="BN1840">IF(OR(AD1840={"NS","NA"},$Y1804={"NS","NA"}),0,IF(AD1840&lt;=$Y1804,0,1))</f>
        <v>0</v>
      </c>
      <c r="BO1840" cm="1">
        <f t="array" ref="BO1840">IF(OR(P1840={"NS","NA"},P1746={"NS","NA"}),0,IF(P1840&lt;=P1746,0,1))</f>
        <v>0</v>
      </c>
      <c r="BP1840" cm="1">
        <f t="array" ref="BP1840">IF(OR(Q1840={"NS","NA"},Q1746={"NS","NA"}),0,IF(Q1840&lt;=Q1746,0,1))</f>
        <v>0</v>
      </c>
      <c r="BQ1840" cm="1">
        <f t="array" ref="BQ1840">IF(OR(R1840={"NS","NA"},R1746={"NS","NA"}),0,IF(R1840&lt;=R1746,0,1))</f>
        <v>0</v>
      </c>
      <c r="BR1840" cm="1">
        <f t="array" ref="BR1840">IF(OR(S1840={"NS","NA"},S1746={"NS","NA"}),0,IF(S1840&lt;=S1746,0,1))</f>
        <v>0</v>
      </c>
      <c r="BS1840" cm="1">
        <f t="array" ref="BS1840">IF(OR(T1840={"NS","NA"},T1746={"NS","NA"}),0,IF(T1840&lt;=T1746,0,1))</f>
        <v>0</v>
      </c>
      <c r="BT1840" cm="1">
        <f t="array" ref="BT1840">IF(OR(U1840={"NS","NA"},U1746={"NS","NA"}),0,IF(U1840&lt;=U1746,0,1))</f>
        <v>0</v>
      </c>
      <c r="BU1840" cm="1">
        <f t="array" ref="BU1840">IF(OR(V1840={"NS","NA"},V1746={"NS","NA"}),0,IF(V1840&lt;=V1746,0,1))</f>
        <v>0</v>
      </c>
      <c r="BV1840" cm="1">
        <f t="array" ref="BV1840">IF(OR(W1840={"NS","NA"},W1746={"NS","NA"}),0,IF(W1840&lt;=W1746,0,1))</f>
        <v>0</v>
      </c>
      <c r="BW1840" cm="1">
        <f t="array" ref="BW1840">IF(OR(X1840={"NS","NA"},X1746={"NS","NA"}),0,IF(X1840&lt;=X1746,0,1))</f>
        <v>0</v>
      </c>
      <c r="BX1840" cm="1">
        <f t="array" ref="BX1840">IF(OR(Y1840={"NS","NA"},Y1746={"NS","NA"}),0,IF(Y1840&lt;=Y1746,0,1))</f>
        <v>0</v>
      </c>
      <c r="BY1840" cm="1">
        <f t="array" ref="BY1840">IF(OR(Z1840={"NS","NA"},Z1746={"NS","NA"}),0,IF(Z1840&lt;=Z1746,0,1))</f>
        <v>0</v>
      </c>
      <c r="BZ1840" cm="1">
        <f t="array" ref="BZ1840">IF(OR(AA1840={"NS","NA"},AA1746={"NS","NA"}),0,IF(AA1840&lt;=AA1746,0,1))</f>
        <v>0</v>
      </c>
      <c r="CA1840" cm="1">
        <f t="array" ref="CA1840">IF(OR(AB1840={"NS","NA"},AB1746={"NS","NA"}),0,IF(AB1840&lt;=AB1746,0,1))</f>
        <v>0</v>
      </c>
      <c r="CB1840" cm="1">
        <f t="array" ref="CB1840">IF(OR(AC1840={"NS","NA"},AC1746={"NS","NA"}),0,IF(AC1840&lt;=AC1746,0,1))</f>
        <v>0</v>
      </c>
      <c r="CC1840" cm="1">
        <f t="array" ref="CC1840">IF(OR(AD1840={"NS","NA"},AD1746={"NS","NA"}),0,IF(AD1840&lt;=AD1746,0,1))</f>
        <v>0</v>
      </c>
    </row>
    <row r="1841" spans="1:81" ht="36" customHeight="1">
      <c r="A1841" s="49"/>
      <c r="B1841" s="38"/>
      <c r="C1841" s="1119" t="s">
        <v>4975</v>
      </c>
      <c r="D1841" s="1121"/>
      <c r="E1841" s="1121"/>
      <c r="F1841" s="1120"/>
      <c r="G1841" s="174"/>
      <c r="H1841" s="1122" t="s">
        <v>4976</v>
      </c>
      <c r="I1841" s="1122"/>
      <c r="J1841" s="1122"/>
      <c r="K1841" s="1122"/>
      <c r="L1841" s="1122"/>
      <c r="M1841" s="1122"/>
      <c r="N1841" s="1122"/>
      <c r="O1841" s="1123"/>
      <c r="P1841" s="100"/>
      <c r="Q1841" s="100"/>
      <c r="R1841" s="100"/>
      <c r="S1841" s="100"/>
      <c r="T1841" s="100"/>
      <c r="U1841" s="100"/>
      <c r="V1841" s="100"/>
      <c r="W1841" s="100"/>
      <c r="X1841" s="100"/>
      <c r="Y1841" s="100"/>
      <c r="Z1841" s="100"/>
      <c r="AA1841" s="100"/>
      <c r="AB1841" s="100"/>
      <c r="AC1841" s="100"/>
      <c r="AD1841" s="100"/>
      <c r="AF1841"/>
      <c r="AG1841">
        <f t="shared" si="1117"/>
        <v>0</v>
      </c>
      <c r="AH1841">
        <f t="shared" si="1118"/>
        <v>0</v>
      </c>
      <c r="AK1841">
        <f t="shared" si="1103"/>
        <v>0</v>
      </c>
      <c r="AL1841">
        <f t="shared" si="1104"/>
        <v>0</v>
      </c>
      <c r="AM1841">
        <f t="shared" si="1119"/>
        <v>0</v>
      </c>
      <c r="AN1841">
        <f t="shared" si="1105"/>
        <v>0</v>
      </c>
      <c r="AO1841">
        <f t="shared" si="1106"/>
        <v>0</v>
      </c>
      <c r="AP1841">
        <f t="shared" si="1107"/>
        <v>0</v>
      </c>
      <c r="AQ1841">
        <f t="shared" si="1108"/>
        <v>0</v>
      </c>
      <c r="AR1841">
        <f t="shared" si="1109"/>
        <v>0</v>
      </c>
      <c r="AS1841">
        <f t="shared" si="1110"/>
        <v>0</v>
      </c>
      <c r="AT1841">
        <f t="shared" si="1111"/>
        <v>0</v>
      </c>
      <c r="AU1841">
        <f t="shared" si="1112"/>
        <v>0</v>
      </c>
      <c r="AV1841">
        <f t="shared" si="1113"/>
        <v>0</v>
      </c>
      <c r="AW1841">
        <f t="shared" si="1114"/>
        <v>0</v>
      </c>
      <c r="AX1841">
        <f t="shared" si="1115"/>
        <v>0</v>
      </c>
      <c r="AY1841">
        <f t="shared" si="1116"/>
        <v>0</v>
      </c>
      <c r="AZ1841" cm="1">
        <f t="array" ref="AZ1841">IF(OR(P1841={"NS","NA"},M1805={"NS","NA"}),0,IF(P1841&gt;=M1805,0,1))</f>
        <v>0</v>
      </c>
      <c r="BA1841" cm="1">
        <f t="array" ref="BA1841">IF(OR(Q1841={"NS","NA"},S1805={"NS","NA"}),0,IF(Q1841&gt;=S1805,0,1))</f>
        <v>0</v>
      </c>
      <c r="BB1841" cm="1">
        <f t="array" ref="BB1841">IF(OR(R1841={"NS","NA"},Y1805={"NS","NA"}),0,IF(R1841&gt;=Y1805,0,1))</f>
        <v>0</v>
      </c>
      <c r="BC1841" cm="1">
        <f t="array" ref="BC1841">IF(OR(S1841={"NS","NA"},$M1805={"NS","NA"}),0,IF(S1841&lt;=$M1805,0,1))</f>
        <v>0</v>
      </c>
      <c r="BD1841" cm="1">
        <f t="array" ref="BD1841">IF(OR(T1841={"NS","NA"},$S1805={"NS","NA"}),0,IF(T1841&lt;=$S1805,0,1))</f>
        <v>0</v>
      </c>
      <c r="BE1841" cm="1">
        <f t="array" ref="BE1841">IF(OR(U1841={"NS","NA"},$Y1805={"NS","NA"}),0,IF(U1841&lt;=$Y1805,0,1))</f>
        <v>0</v>
      </c>
      <c r="BF1841" cm="1">
        <f t="array" ref="BF1841">IF(OR(V1841={"NS","NA"},$M1805={"NS","NA"}),0,IF(V1841&lt;=$M1805,0,1))</f>
        <v>0</v>
      </c>
      <c r="BG1841" cm="1">
        <f t="array" ref="BG1841">IF(OR(W1841={"NS","NA"},$S1805={"NS","NA"}),0,IF(W1841&lt;=$S1805,0,1))</f>
        <v>0</v>
      </c>
      <c r="BH1841" cm="1">
        <f t="array" ref="BH1841">IF(OR(X1841={"NS","NA"},$Y1805={"NS","NA"}),0,IF(X1841&lt;=$Y1805,0,1))</f>
        <v>0</v>
      </c>
      <c r="BI1841" cm="1">
        <f t="array" ref="BI1841">IF(OR(Y1841={"NS","NA"},$M1805={"NS","NA"}),0,IF(Y1841&lt;=$M1805,0,1))</f>
        <v>0</v>
      </c>
      <c r="BJ1841" cm="1">
        <f t="array" ref="BJ1841">IF(OR(Z1841={"NS","NA"},$S1805={"NS","NA"}),0,IF(Z1841&lt;=$S1805,0,1))</f>
        <v>0</v>
      </c>
      <c r="BK1841" cm="1">
        <f t="array" ref="BK1841">IF(OR(AA1841={"NS","NA"},$Y1805={"NS","NA"}),0,IF(AA1841&lt;=$Y1805,0,1))</f>
        <v>0</v>
      </c>
      <c r="BL1841" cm="1">
        <f t="array" ref="BL1841">IF(OR(AB1841={"NS","NA"},$M1805={"NS","NA"}),0,IF(AB1841&lt;=$M1805,0,1))</f>
        <v>0</v>
      </c>
      <c r="BM1841" cm="1">
        <f t="array" ref="BM1841">IF(OR(AC1841={"NS","NA"},$S1805={"NS","NA"}),0,IF(AC1841&lt;=$S1805,0,1))</f>
        <v>0</v>
      </c>
      <c r="BN1841" cm="1">
        <f t="array" ref="BN1841">IF(OR(AD1841={"NS","NA"},$Y1805={"NS","NA"}),0,IF(AD1841&lt;=$Y1805,0,1))</f>
        <v>0</v>
      </c>
      <c r="BO1841" cm="1">
        <f t="array" ref="BO1841">IF(OR(P1841={"NS","NA"},P1747={"NS","NA"}),0,IF(P1841&lt;=P1747,0,1))</f>
        <v>0</v>
      </c>
      <c r="BP1841" cm="1">
        <f t="array" ref="BP1841">IF(OR(Q1841={"NS","NA"},Q1747={"NS","NA"}),0,IF(Q1841&lt;=Q1747,0,1))</f>
        <v>0</v>
      </c>
      <c r="BQ1841" cm="1">
        <f t="array" ref="BQ1841">IF(OR(R1841={"NS","NA"},R1747={"NS","NA"}),0,IF(R1841&lt;=R1747,0,1))</f>
        <v>0</v>
      </c>
      <c r="BR1841" cm="1">
        <f t="array" ref="BR1841">IF(OR(S1841={"NS","NA"},S1747={"NS","NA"}),0,IF(S1841&lt;=S1747,0,1))</f>
        <v>0</v>
      </c>
      <c r="BS1841" cm="1">
        <f t="array" ref="BS1841">IF(OR(T1841={"NS","NA"},T1747={"NS","NA"}),0,IF(T1841&lt;=T1747,0,1))</f>
        <v>0</v>
      </c>
      <c r="BT1841" cm="1">
        <f t="array" ref="BT1841">IF(OR(U1841={"NS","NA"},U1747={"NS","NA"}),0,IF(U1841&lt;=U1747,0,1))</f>
        <v>0</v>
      </c>
      <c r="BU1841" cm="1">
        <f t="array" ref="BU1841">IF(OR(V1841={"NS","NA"},V1747={"NS","NA"}),0,IF(V1841&lt;=V1747,0,1))</f>
        <v>0</v>
      </c>
      <c r="BV1841" cm="1">
        <f t="array" ref="BV1841">IF(OR(W1841={"NS","NA"},W1747={"NS","NA"}),0,IF(W1841&lt;=W1747,0,1))</f>
        <v>0</v>
      </c>
      <c r="BW1841" cm="1">
        <f t="array" ref="BW1841">IF(OR(X1841={"NS","NA"},X1747={"NS","NA"}),0,IF(X1841&lt;=X1747,0,1))</f>
        <v>0</v>
      </c>
      <c r="BX1841" cm="1">
        <f t="array" ref="BX1841">IF(OR(Y1841={"NS","NA"},Y1747={"NS","NA"}),0,IF(Y1841&lt;=Y1747,0,1))</f>
        <v>0</v>
      </c>
      <c r="BY1841" cm="1">
        <f t="array" ref="BY1841">IF(OR(Z1841={"NS","NA"},Z1747={"NS","NA"}),0,IF(Z1841&lt;=Z1747,0,1))</f>
        <v>0</v>
      </c>
      <c r="BZ1841" cm="1">
        <f t="array" ref="BZ1841">IF(OR(AA1841={"NS","NA"},AA1747={"NS","NA"}),0,IF(AA1841&lt;=AA1747,0,1))</f>
        <v>0</v>
      </c>
      <c r="CA1841" cm="1">
        <f t="array" ref="CA1841">IF(OR(AB1841={"NS","NA"},AB1747={"NS","NA"}),0,IF(AB1841&lt;=AB1747,0,1))</f>
        <v>0</v>
      </c>
      <c r="CB1841" cm="1">
        <f t="array" ref="CB1841">IF(OR(AC1841={"NS","NA"},AC1747={"NS","NA"}),0,IF(AC1841&lt;=AC1747,0,1))</f>
        <v>0</v>
      </c>
      <c r="CC1841" cm="1">
        <f t="array" ref="CC1841">IF(OR(AD1841={"NS","NA"},AD1747={"NS","NA"}),0,IF(AD1841&lt;=AD1747,0,1))</f>
        <v>0</v>
      </c>
    </row>
    <row r="1842" spans="1:81" ht="15" customHeight="1">
      <c r="A1842" s="49"/>
      <c r="B1842" s="38"/>
      <c r="C1842" s="1119" t="s">
        <v>4977</v>
      </c>
      <c r="D1842" s="1121"/>
      <c r="E1842" s="1121"/>
      <c r="F1842" s="1120"/>
      <c r="G1842" s="175"/>
      <c r="H1842" s="1124" t="s">
        <v>201</v>
      </c>
      <c r="I1842" s="1124"/>
      <c r="J1842" s="1124"/>
      <c r="K1842" s="1124"/>
      <c r="L1842" s="1124"/>
      <c r="M1842" s="1124"/>
      <c r="N1842" s="1124"/>
      <c r="O1842" s="1125"/>
      <c r="P1842" s="100"/>
      <c r="Q1842" s="100"/>
      <c r="R1842" s="100"/>
      <c r="S1842" s="100"/>
      <c r="T1842" s="100"/>
      <c r="U1842" s="100"/>
      <c r="V1842" s="100"/>
      <c r="W1842" s="100"/>
      <c r="X1842" s="100"/>
      <c r="Y1842" s="100"/>
      <c r="Z1842" s="100"/>
      <c r="AA1842" s="100"/>
      <c r="AB1842" s="100"/>
      <c r="AC1842" s="100"/>
      <c r="AD1842" s="100"/>
      <c r="AF1842"/>
      <c r="AG1842">
        <f>IF(P1842="NA",0,IF(COUNTA(P1842:AD1842,P1854:AD1854)=30,0,IF(COUNTA($P$1836:$AD$1842,$P$1848:$AD$1854)=0,0,1)))</f>
        <v>0</v>
      </c>
      <c r="AH1842">
        <f t="shared" si="1118"/>
        <v>0</v>
      </c>
      <c r="AK1842">
        <f t="shared" si="1103"/>
        <v>0</v>
      </c>
      <c r="AL1842">
        <f t="shared" si="1104"/>
        <v>0</v>
      </c>
      <c r="AM1842">
        <f t="shared" si="1119"/>
        <v>0</v>
      </c>
      <c r="AN1842">
        <f t="shared" si="1105"/>
        <v>0</v>
      </c>
      <c r="AO1842">
        <f t="shared" si="1106"/>
        <v>0</v>
      </c>
      <c r="AP1842">
        <f t="shared" si="1107"/>
        <v>0</v>
      </c>
      <c r="AQ1842">
        <f t="shared" si="1108"/>
        <v>0</v>
      </c>
      <c r="AR1842">
        <f t="shared" si="1109"/>
        <v>0</v>
      </c>
      <c r="AS1842">
        <f t="shared" si="1110"/>
        <v>0</v>
      </c>
      <c r="AT1842">
        <f t="shared" si="1111"/>
        <v>0</v>
      </c>
      <c r="AU1842">
        <f t="shared" si="1112"/>
        <v>0</v>
      </c>
      <c r="AV1842">
        <f t="shared" si="1113"/>
        <v>0</v>
      </c>
      <c r="AW1842">
        <f t="shared" si="1114"/>
        <v>0</v>
      </c>
      <c r="AX1842">
        <f t="shared" si="1115"/>
        <v>0</v>
      </c>
      <c r="AY1842">
        <f>IF(COUNTIF(AB1842:AD1842,"NA")=3,0,IF(COUNTA(AB1842:AD1842)=0,0,IF(OR(AND(AB1842=0,AW1842&gt;0),AND(AB1842="ns",AX1842&gt;0),AND(AB1842="ns",AW1842=0,AX1842=0)),1,IF(OR(AND(AB1842&gt;0,AW1842=2),AND(AB1842="ns",AW1842=2),AND(AB1842="ns",AX1842=0,AW1842&gt;0),AB1842=AX1842),0,1))))</f>
        <v>0</v>
      </c>
      <c r="AZ1842" cm="1">
        <f t="array" ref="AZ1842">IF(OR(P1842={"NS","NA"},M1806={"NS","NA"}),0,IF(P1842&gt;=M1806,0,1))</f>
        <v>0</v>
      </c>
      <c r="BA1842" cm="1">
        <f t="array" ref="BA1842">IF(OR(Q1842={"NS","NA"},S1806={"NS","NA"}),0,IF(Q1842&gt;=S1806,0,1))</f>
        <v>0</v>
      </c>
      <c r="BB1842" cm="1">
        <f t="array" ref="BB1842">IF(OR(R1842={"NS","NA"},Y1806={"NS","NA"}),0,IF(R1842&gt;=Y1806,0,1))</f>
        <v>0</v>
      </c>
      <c r="BC1842" cm="1">
        <f t="array" ref="BC1842">IF(OR(S1842={"NS","NA"},$M1806={"NS","NA"}),0,IF(S1842&lt;=$M1806,0,1))</f>
        <v>0</v>
      </c>
      <c r="BD1842" cm="1">
        <f t="array" ref="BD1842">IF(OR(T1842={"NS","NA"},$S1806={"NS","NA"}),0,IF(T1842&lt;=$S1806,0,1))</f>
        <v>0</v>
      </c>
      <c r="BE1842" cm="1">
        <f t="array" ref="BE1842">IF(OR(U1842={"NS","NA"},$Y1806={"NS","NA"}),0,IF(U1842&lt;=$Y1806,0,1))</f>
        <v>0</v>
      </c>
      <c r="BF1842" cm="1">
        <f t="array" ref="BF1842">IF(OR(V1842={"NS","NA"},$M1806={"NS","NA"}),0,IF(V1842&lt;=$M1806,0,1))</f>
        <v>0</v>
      </c>
      <c r="BG1842" cm="1">
        <f t="array" ref="BG1842">IF(OR(W1842={"NS","NA"},$S1806={"NS","NA"}),0,IF(W1842&lt;=$S1806,0,1))</f>
        <v>0</v>
      </c>
      <c r="BH1842" cm="1">
        <f t="array" ref="BH1842">IF(OR(X1842={"NS","NA"},$Y1806={"NS","NA"}),0,IF(X1842&lt;=$Y1806,0,1))</f>
        <v>0</v>
      </c>
      <c r="BI1842" cm="1">
        <f t="array" ref="BI1842">IF(OR(Y1842={"NS","NA"},$M1806={"NS","NA"}),0,IF(Y1842&lt;=$M1806,0,1))</f>
        <v>0</v>
      </c>
      <c r="BJ1842" cm="1">
        <f t="array" ref="BJ1842">IF(OR(Z1842={"NS","NA"},$S1806={"NS","NA"}),0,IF(Z1842&lt;=$S1806,0,1))</f>
        <v>0</v>
      </c>
      <c r="BK1842" cm="1">
        <f t="array" ref="BK1842">IF(OR(AA1842={"NS","NA"},$Y1806={"NS","NA"}),0,IF(AA1842&lt;=$Y1806,0,1))</f>
        <v>0</v>
      </c>
      <c r="BL1842" cm="1">
        <f t="array" ref="BL1842">IF(OR(AB1842={"NS","NA"},$M1806={"NS","NA"}),0,IF(AB1842&lt;=$M1806,0,1))</f>
        <v>0</v>
      </c>
      <c r="BM1842" cm="1">
        <f t="array" ref="BM1842">IF(OR(AC1842={"NS","NA"},$S1806={"NS","NA"}),0,IF(AC1842&lt;=$S1806,0,1))</f>
        <v>0</v>
      </c>
      <c r="BN1842" cm="1">
        <f t="array" ref="BN1842">IF(OR(AD1842={"NS","NA"},$Y1806={"NS","NA"}),0,IF(AD1842&lt;=$Y1806,0,1))</f>
        <v>0</v>
      </c>
      <c r="BO1842" cm="1">
        <f t="array" ref="BO1842">IF(OR(P1842={"NS","NA"},P1748={"NS","NA"}),0,IF(P1842&lt;=P1748,0,1))</f>
        <v>0</v>
      </c>
      <c r="BP1842" cm="1">
        <f t="array" ref="BP1842">IF(OR(Q1842={"NS","NA"},Q1748={"NS","NA"}),0,IF(Q1842&lt;=Q1748,0,1))</f>
        <v>0</v>
      </c>
      <c r="BQ1842" cm="1">
        <f t="array" ref="BQ1842">IF(OR(R1842={"NS","NA"},R1748={"NS","NA"}),0,IF(R1842&lt;=R1748,0,1))</f>
        <v>0</v>
      </c>
      <c r="BR1842" cm="1">
        <f t="array" ref="BR1842">IF(OR(S1842={"NS","NA"},S1748={"NS","NA"}),0,IF(S1842&lt;=S1748,0,1))</f>
        <v>0</v>
      </c>
      <c r="BS1842" cm="1">
        <f t="array" ref="BS1842">IF(OR(T1842={"NS","NA"},T1748={"NS","NA"}),0,IF(T1842&lt;=T1748,0,1))</f>
        <v>0</v>
      </c>
      <c r="BT1842" cm="1">
        <f t="array" ref="BT1842">IF(OR(U1842={"NS","NA"},U1748={"NS","NA"}),0,IF(U1842&lt;=U1748,0,1))</f>
        <v>0</v>
      </c>
      <c r="BU1842" cm="1">
        <f t="array" ref="BU1842">IF(OR(V1842={"NS","NA"},V1748={"NS","NA"}),0,IF(V1842&lt;=V1748,0,1))</f>
        <v>0</v>
      </c>
      <c r="BV1842" cm="1">
        <f t="array" ref="BV1842">IF(OR(W1842={"NS","NA"},W1748={"NS","NA"}),0,IF(W1842&lt;=W1748,0,1))</f>
        <v>0</v>
      </c>
      <c r="BW1842" cm="1">
        <f t="array" ref="BW1842">IF(OR(X1842={"NS","NA"},X1748={"NS","NA"}),0,IF(X1842&lt;=X1748,0,1))</f>
        <v>0</v>
      </c>
      <c r="BX1842" cm="1">
        <f t="array" ref="BX1842">IF(OR(Y1842={"NS","NA"},Y1748={"NS","NA"}),0,IF(Y1842&lt;=Y1748,0,1))</f>
        <v>0</v>
      </c>
      <c r="BY1842" cm="1">
        <f t="array" ref="BY1842">IF(OR(Z1842={"NS","NA"},Z1748={"NS","NA"}),0,IF(Z1842&lt;=Z1748,0,1))</f>
        <v>0</v>
      </c>
      <c r="BZ1842" cm="1">
        <f t="array" ref="BZ1842">IF(OR(AA1842={"NS","NA"},AA1748={"NS","NA"}),0,IF(AA1842&lt;=AA1748,0,1))</f>
        <v>0</v>
      </c>
      <c r="CA1842" cm="1">
        <f t="array" ref="CA1842">IF(OR(AB1842={"NS","NA"},AB1748={"NS","NA"}),0,IF(AB1842&lt;=AB1748,0,1))</f>
        <v>0</v>
      </c>
      <c r="CB1842" cm="1">
        <f t="array" ref="CB1842">IF(OR(AC1842={"NS","NA"},AC1748={"NS","NA"}),0,IF(AC1842&lt;=AC1748,0,1))</f>
        <v>0</v>
      </c>
      <c r="CC1842" cm="1">
        <f t="array" ref="CC1842">IF(OR(AD1842={"NS","NA"},AD1748={"NS","NA"}),0,IF(AD1842&lt;=AD1748,0,1))</f>
        <v>0</v>
      </c>
    </row>
    <row r="1843" spans="1:81" ht="15" customHeight="1">
      <c r="A1843" s="94"/>
      <c r="AF1843"/>
      <c r="AG1843" s="507">
        <f>SUM(AG1836:AG1842)</f>
        <v>0</v>
      </c>
      <c r="AH1843" s="507">
        <f>SUM(AH1836:AH1842)</f>
        <v>0</v>
      </c>
      <c r="AK1843">
        <f>SUM(AK1836:AK1842)</f>
        <v>0</v>
      </c>
      <c r="AM1843">
        <f>SUM(AM1836:AM1842)</f>
        <v>0</v>
      </c>
      <c r="AN1843">
        <f>SUM(AN1836:AN1842)</f>
        <v>0</v>
      </c>
      <c r="AP1843">
        <f>SUM(AP1836:AP1842)</f>
        <v>0</v>
      </c>
      <c r="AQ1843">
        <f>SUM(AQ1836:AQ1842)</f>
        <v>0</v>
      </c>
      <c r="AS1843">
        <f>SUM(AS1836:AS1842)</f>
        <v>0</v>
      </c>
      <c r="AT1843">
        <f>SUM(AT1836:AT1842)</f>
        <v>0</v>
      </c>
      <c r="AV1843">
        <f>SUM(AV1836:AV1842)</f>
        <v>0</v>
      </c>
      <c r="AW1843">
        <f>SUM(AW1836:AW1842)</f>
        <v>0</v>
      </c>
      <c r="AY1843">
        <f>SUM(AY1836:AY1842)</f>
        <v>0</v>
      </c>
      <c r="AZ1843"/>
      <c r="BA1843"/>
      <c r="BB1843" s="506">
        <f>SUM(AZ1836:BB1842)</f>
        <v>0</v>
      </c>
      <c r="BC1843"/>
      <c r="BD1843"/>
      <c r="BE1843"/>
      <c r="BF1843"/>
      <c r="BG1843"/>
      <c r="BH1843"/>
      <c r="BI1843"/>
      <c r="BJ1843"/>
      <c r="BK1843"/>
      <c r="BL1843"/>
      <c r="BM1843"/>
      <c r="BN1843" s="405">
        <f>SUM(BC1836:BN1842)</f>
        <v>0</v>
      </c>
      <c r="BO1843"/>
      <c r="BP1843"/>
      <c r="BQ1843"/>
      <c r="BR1843"/>
      <c r="BS1843"/>
      <c r="BT1843"/>
      <c r="BU1843"/>
      <c r="BV1843"/>
      <c r="BW1843"/>
      <c r="BX1843"/>
      <c r="BY1843"/>
      <c r="BZ1843"/>
      <c r="CA1843"/>
      <c r="CB1843"/>
      <c r="CC1843" s="405">
        <f>SUM(BO1836:CC1842)</f>
        <v>0</v>
      </c>
    </row>
    <row r="1844" spans="1:81" ht="15" customHeight="1">
      <c r="A1844" s="94"/>
      <c r="AA1844" s="875" t="s">
        <v>2668</v>
      </c>
      <c r="AB1844" s="875"/>
      <c r="AC1844" s="875"/>
      <c r="AD1844" s="875"/>
      <c r="AF1844"/>
      <c r="AK1844" t="s">
        <v>2650</v>
      </c>
      <c r="AL1844" s="405">
        <f>SUM(AM1843,AP1843,AS1843,AV1843,AY1843)</f>
        <v>0</v>
      </c>
      <c r="AM1844" t="s">
        <v>2651</v>
      </c>
      <c r="AN1844">
        <f>SUM(AK1843,AN1843,AQ1843,AT1843,AW1843)</f>
        <v>0</v>
      </c>
      <c r="AZ1844"/>
      <c r="BA1844"/>
      <c r="BB1844"/>
      <c r="BC1844"/>
      <c r="BD1844"/>
      <c r="BE1844"/>
      <c r="BF1844"/>
      <c r="BG1844"/>
      <c r="BH1844"/>
      <c r="BI1844"/>
      <c r="BJ1844"/>
      <c r="BK1844"/>
      <c r="BL1844"/>
      <c r="BM1844"/>
      <c r="BN1844"/>
      <c r="BO1844"/>
      <c r="BP1844"/>
      <c r="BQ1844"/>
      <c r="BR1844"/>
      <c r="BS1844"/>
      <c r="BT1844"/>
      <c r="BU1844"/>
      <c r="BV1844"/>
      <c r="BW1844"/>
      <c r="BX1844"/>
      <c r="BY1844"/>
      <c r="BZ1844"/>
      <c r="CA1844"/>
      <c r="CB1844"/>
      <c r="CC1844"/>
    </row>
    <row r="1845" spans="1:81" ht="24" customHeight="1">
      <c r="A1845" s="103"/>
      <c r="B1845" s="113"/>
      <c r="C1845" s="991" t="s">
        <v>5432</v>
      </c>
      <c r="D1845" s="992"/>
      <c r="E1845" s="992"/>
      <c r="F1845" s="992"/>
      <c r="G1845" s="992"/>
      <c r="H1845" s="992"/>
      <c r="I1845" s="992"/>
      <c r="J1845" s="992"/>
      <c r="K1845" s="992"/>
      <c r="L1845" s="992"/>
      <c r="M1845" s="992"/>
      <c r="N1845" s="992"/>
      <c r="O1845" s="993"/>
      <c r="P1845" s="739" t="s">
        <v>5451</v>
      </c>
      <c r="Q1845" s="740"/>
      <c r="R1845" s="740"/>
      <c r="S1845" s="740"/>
      <c r="T1845" s="740"/>
      <c r="U1845" s="740"/>
      <c r="V1845" s="740"/>
      <c r="W1845" s="740"/>
      <c r="X1845" s="740"/>
      <c r="Y1845" s="740"/>
      <c r="Z1845" s="740"/>
      <c r="AA1845" s="740"/>
      <c r="AB1845" s="740"/>
      <c r="AC1845" s="740"/>
      <c r="AD1845" s="741"/>
      <c r="AF1845"/>
      <c r="AK1845" t="s">
        <v>2652</v>
      </c>
      <c r="AL1845">
        <f>IF(AN1844&gt;0,IF(SUM(P1843)&gt;=SUM(S1843,V1843,Y1843,AB1843),0,1),IF(SUM(P1843)&lt;&gt;SUM(S1843,V1843,Y1843,AB1843),1,0))</f>
        <v>0</v>
      </c>
      <c r="AM1845" t="s">
        <v>2653</v>
      </c>
      <c r="AN1845">
        <f>IF(AN1844&gt;0,IF(SUM(Q1843)&gt;=SUM(T1843,W1843,Z1843,AC1843),0,1),IF(SUM(Q1843)&lt;&gt;SUM(T1843,W1843,Z1843,AC1843),1,0))</f>
        <v>0</v>
      </c>
      <c r="AO1845" t="s">
        <v>2654</v>
      </c>
      <c r="AP1845">
        <f>IF(AN1844&gt;0,IF(SUM(R1843)&gt;=SUM(U1843,X1843,AA1843,AD1843),0,1),IF(SUM(R1843)&lt;&gt;SUM(U1843,X1843,AA1843,AD1843),1,0))</f>
        <v>0</v>
      </c>
      <c r="AZ1845"/>
      <c r="BA1845"/>
      <c r="BB1845"/>
      <c r="BC1845"/>
      <c r="BD1845"/>
      <c r="BE1845"/>
      <c r="BF1845"/>
      <c r="BG1845"/>
      <c r="BH1845"/>
      <c r="BI1845"/>
      <c r="BJ1845"/>
      <c r="BK1845"/>
      <c r="BL1845"/>
      <c r="BM1845"/>
      <c r="BN1845"/>
      <c r="BO1845"/>
      <c r="BP1845"/>
      <c r="BQ1845"/>
      <c r="BR1845"/>
      <c r="BS1845"/>
      <c r="BT1845"/>
      <c r="BU1845"/>
      <c r="BV1845"/>
      <c r="BW1845"/>
      <c r="BX1845"/>
      <c r="BY1845"/>
      <c r="BZ1845"/>
      <c r="CA1845"/>
      <c r="CB1845"/>
      <c r="CC1845"/>
    </row>
    <row r="1846" spans="1:81" ht="120" customHeight="1">
      <c r="A1846" s="103"/>
      <c r="C1846" s="994"/>
      <c r="D1846" s="995"/>
      <c r="E1846" s="995"/>
      <c r="F1846" s="995"/>
      <c r="G1846" s="995"/>
      <c r="H1846" s="995"/>
      <c r="I1846" s="995"/>
      <c r="J1846" s="995"/>
      <c r="K1846" s="995"/>
      <c r="L1846" s="995"/>
      <c r="M1846" s="995"/>
      <c r="N1846" s="995"/>
      <c r="O1846" s="996"/>
      <c r="P1846" s="858" t="s">
        <v>5439</v>
      </c>
      <c r="Q1846" s="859"/>
      <c r="R1846" s="860"/>
      <c r="S1846" s="858" t="s">
        <v>5440</v>
      </c>
      <c r="T1846" s="859"/>
      <c r="U1846" s="860"/>
      <c r="V1846" s="858" t="s">
        <v>5441</v>
      </c>
      <c r="W1846" s="859"/>
      <c r="X1846" s="860"/>
      <c r="Y1846" s="858" t="s">
        <v>5442</v>
      </c>
      <c r="Z1846" s="859"/>
      <c r="AA1846" s="860"/>
      <c r="AB1846" s="858" t="s">
        <v>201</v>
      </c>
      <c r="AC1846" s="859"/>
      <c r="AD1846" s="860"/>
      <c r="AF1846"/>
      <c r="AZ1846"/>
      <c r="BA1846"/>
      <c r="BB1846"/>
      <c r="BC1846"/>
      <c r="BD1846"/>
      <c r="BE1846"/>
      <c r="BF1846"/>
      <c r="BG1846"/>
      <c r="BH1846"/>
      <c r="BI1846"/>
      <c r="BJ1846"/>
      <c r="BK1846"/>
      <c r="BL1846"/>
      <c r="BM1846"/>
      <c r="BN1846"/>
      <c r="BO1846"/>
      <c r="BP1846"/>
      <c r="BQ1846"/>
      <c r="BR1846"/>
      <c r="BS1846"/>
      <c r="BT1846"/>
      <c r="BU1846"/>
      <c r="BV1846"/>
      <c r="BW1846"/>
      <c r="BX1846"/>
      <c r="BY1846"/>
      <c r="BZ1846"/>
      <c r="CA1846"/>
      <c r="CB1846"/>
      <c r="CC1846"/>
    </row>
    <row r="1847" spans="1:81" ht="48" customHeight="1">
      <c r="A1847" s="103"/>
      <c r="C1847" s="997"/>
      <c r="D1847" s="998"/>
      <c r="E1847" s="998"/>
      <c r="F1847" s="998"/>
      <c r="G1847" s="998"/>
      <c r="H1847" s="998"/>
      <c r="I1847" s="998"/>
      <c r="J1847" s="998"/>
      <c r="K1847" s="998"/>
      <c r="L1847" s="998"/>
      <c r="M1847" s="998"/>
      <c r="N1847" s="998"/>
      <c r="O1847" s="999"/>
      <c r="P1847" s="127" t="s">
        <v>2635</v>
      </c>
      <c r="Q1847" s="128" t="s">
        <v>2629</v>
      </c>
      <c r="R1847" s="128" t="s">
        <v>2630</v>
      </c>
      <c r="S1847" s="127" t="s">
        <v>2635</v>
      </c>
      <c r="T1847" s="128" t="s">
        <v>2629</v>
      </c>
      <c r="U1847" s="128" t="s">
        <v>2630</v>
      </c>
      <c r="V1847" s="127" t="s">
        <v>2635</v>
      </c>
      <c r="W1847" s="128" t="s">
        <v>2629</v>
      </c>
      <c r="X1847" s="128" t="s">
        <v>2630</v>
      </c>
      <c r="Y1847" s="127" t="s">
        <v>2635</v>
      </c>
      <c r="Z1847" s="128" t="s">
        <v>2629</v>
      </c>
      <c r="AA1847" s="128" t="s">
        <v>2630</v>
      </c>
      <c r="AB1847" s="171" t="s">
        <v>2635</v>
      </c>
      <c r="AC1847" s="128" t="s">
        <v>2629</v>
      </c>
      <c r="AD1847" s="128" t="s">
        <v>2630</v>
      </c>
      <c r="AF1847"/>
      <c r="AK1847" t="s">
        <v>4573</v>
      </c>
      <c r="AL1847" t="s">
        <v>2638</v>
      </c>
      <c r="AM1847" t="s">
        <v>2639</v>
      </c>
      <c r="AN1847" t="s">
        <v>4574</v>
      </c>
      <c r="AO1847" t="s">
        <v>2641</v>
      </c>
      <c r="AP1847" t="s">
        <v>2642</v>
      </c>
      <c r="AQ1847" t="s">
        <v>4575</v>
      </c>
      <c r="AR1847" t="s">
        <v>2644</v>
      </c>
      <c r="AS1847" t="s">
        <v>2645</v>
      </c>
      <c r="AT1847" t="s">
        <v>4576</v>
      </c>
      <c r="AU1847" t="s">
        <v>2647</v>
      </c>
      <c r="AV1847" t="s">
        <v>2648</v>
      </c>
      <c r="AW1847" t="s">
        <v>5177</v>
      </c>
      <c r="AX1847" t="s">
        <v>2757</v>
      </c>
      <c r="AY1847" t="s">
        <v>2758</v>
      </c>
      <c r="AZ1847" t="s">
        <v>4730</v>
      </c>
      <c r="BA1847"/>
      <c r="BB1847"/>
      <c r="BC1847"/>
      <c r="BD1847"/>
      <c r="BE1847"/>
      <c r="BF1847"/>
      <c r="BG1847"/>
      <c r="BH1847"/>
      <c r="BI1847"/>
      <c r="BJ1847"/>
      <c r="BK1847"/>
      <c r="BL1847"/>
      <c r="BM1847"/>
      <c r="BN1847"/>
      <c r="BO1847" t="s">
        <v>4682</v>
      </c>
      <c r="BP1847"/>
      <c r="BQ1847"/>
      <c r="BR1847"/>
      <c r="BS1847"/>
      <c r="BT1847"/>
      <c r="BU1847"/>
      <c r="BV1847"/>
      <c r="BW1847"/>
      <c r="BX1847"/>
      <c r="BY1847"/>
      <c r="BZ1847"/>
      <c r="CA1847"/>
      <c r="CB1847"/>
      <c r="CC1847"/>
    </row>
    <row r="1848" spans="1:81" ht="36" customHeight="1">
      <c r="A1848" s="105"/>
      <c r="B1848" s="157"/>
      <c r="C1848" s="733" t="s">
        <v>4965</v>
      </c>
      <c r="D1848" s="734"/>
      <c r="E1848" s="734"/>
      <c r="F1848" s="735"/>
      <c r="G1848" s="813" t="s">
        <v>4966</v>
      </c>
      <c r="H1848" s="814"/>
      <c r="I1848" s="814"/>
      <c r="J1848" s="814"/>
      <c r="K1848" s="814"/>
      <c r="L1848" s="814"/>
      <c r="M1848" s="814"/>
      <c r="N1848" s="814"/>
      <c r="O1848" s="815"/>
      <c r="P1848" s="100"/>
      <c r="Q1848" s="100"/>
      <c r="R1848" s="100"/>
      <c r="S1848" s="100"/>
      <c r="T1848" s="100"/>
      <c r="U1848" s="100"/>
      <c r="V1848" s="100"/>
      <c r="W1848" s="100"/>
      <c r="X1848" s="100"/>
      <c r="Y1848" s="100"/>
      <c r="Z1848" s="100"/>
      <c r="AA1848" s="100"/>
      <c r="AB1848" s="100"/>
      <c r="AC1848" s="100"/>
      <c r="AD1848" s="100"/>
      <c r="AF1848"/>
      <c r="AG1848" s="242"/>
      <c r="AH1848" s="242"/>
      <c r="AI1848" s="242"/>
      <c r="AJ1848" s="242"/>
      <c r="AK1848">
        <f t="shared" ref="AK1848:AK1854" si="1120">COUNTIF(Q1848:R1848,"NS")</f>
        <v>0</v>
      </c>
      <c r="AL1848">
        <f t="shared" ref="AL1848:AL1854" si="1121">SUM(Q1848:R1848)</f>
        <v>0</v>
      </c>
      <c r="AM1848">
        <f>IF(COUNTIF(P1848:R1848,"NA")=3,0,IF(COUNTA(P1848:R1848)=0,0,IF(OR(AND(P1848=0,AK1848&gt;0),AND(P1848="ns",AL1848&gt;0),AND(P1848="ns",AK1848=0,AL1848=0)),1,IF(OR(AND(P1848&gt;0,AK1848=2),AND(P1848="ns",AK1848=2),AND(P1848="ns",AL1848=0,AK1848&gt;0),P1848=AL1848),0,1))))</f>
        <v>0</v>
      </c>
      <c r="AN1848">
        <f t="shared" ref="AN1848:AN1854" si="1122">COUNTIF(T1848:U1848,"NS")</f>
        <v>0</v>
      </c>
      <c r="AO1848">
        <f t="shared" ref="AO1848:AO1854" si="1123">SUM(T1848:U1848)</f>
        <v>0</v>
      </c>
      <c r="AP1848">
        <f t="shared" ref="AP1848:AP1854" si="1124">IF(COUNTIF(S1848:U1848,"NA")=3,0,IF(COUNTA(S1848:U1848)=0,0,IF(OR(AND(S1848=0,AN1848&gt;0),AND(S1848="ns",AO1848&gt;0),AND(S1848="ns",AN1848=0,AO1848=0)),1,IF(OR(AND(S1848&gt;0,AN1848=2),AND(S1848="ns",AN1848=2),AND(S1848="ns",AO1848=0,AN1848&gt;0),S1848=AO1848),0,1))))</f>
        <v>0</v>
      </c>
      <c r="AQ1848">
        <f t="shared" ref="AQ1848:AQ1854" si="1125">COUNTIF(W1848:X1848,"NS")</f>
        <v>0</v>
      </c>
      <c r="AR1848">
        <f t="shared" ref="AR1848:AR1854" si="1126">SUM(W1848:X1848)</f>
        <v>0</v>
      </c>
      <c r="AS1848">
        <f t="shared" ref="AS1848:AS1854" si="1127">IF(COUNTIF(V1848:X1848,"NA")=3,0,IF(COUNTA(V1848:X1848)=0,0,IF(OR(AND(V1848=0,AQ1848&gt;0),AND(V1848="ns",AR1848&gt;0),AND(V1848="ns",AQ1848=0,AR1848=0)),1,IF(OR(AND(V1848&gt;0,AQ1848=2),AND(V1848="ns",AQ1848=2),AND(V1848="ns",AR1848=0,AQ1848&gt;0),V1848=AR1848),0,1))))</f>
        <v>0</v>
      </c>
      <c r="AT1848">
        <f t="shared" ref="AT1848:AT1854" si="1128">COUNTIF(Z1848:AA1848,"NS")</f>
        <v>0</v>
      </c>
      <c r="AU1848">
        <f t="shared" ref="AU1848:AU1854" si="1129">SUM(Z1848:AA1848)</f>
        <v>0</v>
      </c>
      <c r="AV1848">
        <f t="shared" ref="AV1848:AV1854" si="1130">IF(COUNTIF(Y1848:AA1848,"NA")=3,0,IF(COUNTA(Y1848:AA1848)=0,0,IF(OR(AND(Y1848=0,AT1848&gt;0),AND(Y1848="ns",AU1848&gt;0),AND(Y1848="ns",AT1848=0,AU1848=0)),1,IF(OR(AND(Y1848&gt;0,AT1848=2),AND(Y1848="ns",AT1848=2),AND(Y1848="ns",AU1848=0,AT1848&gt;0),Y1848=AU1848),0,1))))</f>
        <v>0</v>
      </c>
      <c r="AW1848">
        <f t="shared" ref="AW1848:AW1854" si="1131">COUNTIF(AC1848:AD1848,"NS")</f>
        <v>0</v>
      </c>
      <c r="AX1848">
        <f t="shared" ref="AX1848:AX1854" si="1132">SUM(AC1848:AD1848)</f>
        <v>0</v>
      </c>
      <c r="AY1848">
        <f t="shared" ref="AY1848:AY1853" si="1133">IF(COUNTIF(AB1848:AD1848,"NA")=3,0,IF(COUNTA(AB1848:AD1848)=0,0,IF(OR(AND(AB1848=0,AW1848&gt;0),AND(AB1848="ns",AX1848&gt;0),AND(AB1848="ns",AW1848=0,AX1848=0)),1,IF(OR(AND(AB1848&gt;0,AW1848=2),AND(AB1848="ns",AW1848=2),AND(AB1848="ns",AX1848=0,AW1848&gt;0),AB1848=AX1848),0,1))))</f>
        <v>0</v>
      </c>
      <c r="AZ1848" cm="1">
        <f t="array" ref="AZ1848">IF(OR(P1848={"NS","NA"},$M1800={"NS","NA"}),0,IF(P1848&lt;=$M1800,0,1))</f>
        <v>0</v>
      </c>
      <c r="BA1848" cm="1">
        <f t="array" ref="BA1848">IF(OR(Q1848={"NS","NA"},$S1800={"NS","NA"}),0,IF(Q1848&lt;=$S1800,0,1))</f>
        <v>0</v>
      </c>
      <c r="BB1848" cm="1">
        <f t="array" ref="BB1848">IF(OR(R1848={"NS","NA"},$Y1800={"NS","NA"}),0,IF(R1848&lt;=$Y1800,0,1))</f>
        <v>0</v>
      </c>
      <c r="BC1848" cm="1">
        <f t="array" ref="BC1848">IF(OR(S1848={"NS","NA"},$M1800={"NS","NA"}),0,IF(S1848&lt;=$M1800,0,1))</f>
        <v>0</v>
      </c>
      <c r="BD1848" cm="1">
        <f t="array" ref="BD1848">IF(OR(T1848={"NS","NA"},$S1800={"NS","NA"}),0,IF(T1848&lt;=$S1800,0,1))</f>
        <v>0</v>
      </c>
      <c r="BE1848" cm="1">
        <f t="array" ref="BE1848">IF(OR(U1848={"NS","NA"},$Y1800={"NS","NA"}),0,IF(U1848&lt;=$Y1800,0,1))</f>
        <v>0</v>
      </c>
      <c r="BF1848" cm="1">
        <f t="array" ref="BF1848">IF(OR(V1848={"NS","NA"},$M1800={"NS","NA"}),0,IF(V1848&lt;=$M1800,0,1))</f>
        <v>0</v>
      </c>
      <c r="BG1848" cm="1">
        <f t="array" ref="BG1848">IF(OR(W1848={"NS","NA"},$S1800={"NS","NA"}),0,IF(W1848&lt;=$S1800,0,1))</f>
        <v>0</v>
      </c>
      <c r="BH1848" cm="1">
        <f t="array" ref="BH1848">IF(OR(X1848={"NS","NA"},$Y1800={"NS","NA"}),0,IF(X1848&lt;=$Y1800,0,1))</f>
        <v>0</v>
      </c>
      <c r="BI1848" cm="1">
        <f t="array" ref="BI1848">IF(OR(Y1848={"NS","NA"},$M1800={"NS","NA"}),0,IF(Y1848&lt;=$M1800,0,1))</f>
        <v>0</v>
      </c>
      <c r="BJ1848" cm="1">
        <f t="array" ref="BJ1848">IF(OR(Z1848={"NS","NA"},$S1800={"NS","NA"}),0,IF(Z1848&lt;=$S1800,0,1))</f>
        <v>0</v>
      </c>
      <c r="BK1848" cm="1">
        <f t="array" ref="BK1848">IF(OR(AA1848={"NS","NA"},$Y1800={"NS","NA"}),0,IF(AA1848&lt;=$Y1800,0,1))</f>
        <v>0</v>
      </c>
      <c r="BL1848" cm="1">
        <f t="array" ref="BL1848">IF(OR(AB1848={"NS","NA"},$M1800={"NS","NA"}),0,IF(AB1848&lt;=$M1800,0,1))</f>
        <v>0</v>
      </c>
      <c r="BM1848" cm="1">
        <f t="array" ref="BM1848">IF(OR(AC1848={"NS","NA"},$S1800={"NS","NA"}),0,IF(AC1848&lt;=$S1800,0,1))</f>
        <v>0</v>
      </c>
      <c r="BN1848" cm="1">
        <f t="array" ref="BN1848">IF(OR(AD1848={"NS","NA"},$Y1800={"NS","NA"}),0,IF(AD1848&lt;=$Y1800,0,1))</f>
        <v>0</v>
      </c>
      <c r="BO1848" cm="1">
        <f t="array" ref="BO1848">IF(OR(P1848={"NS","NA"},P1754={"NS","NA"}),0,IF(P1848&lt;=P1754,0,1))</f>
        <v>0</v>
      </c>
      <c r="BP1848" cm="1">
        <f t="array" ref="BP1848">IF(OR(Q1848={"NS","NA"},Q1754={"NS","NA"}),0,IF(Q1848&lt;=Q1754,0,1))</f>
        <v>0</v>
      </c>
      <c r="BQ1848" cm="1">
        <f t="array" ref="BQ1848">IF(OR(R1848={"NS","NA"},R1754={"NS","NA"}),0,IF(R1848&lt;=R1754,0,1))</f>
        <v>0</v>
      </c>
      <c r="BR1848" cm="1">
        <f t="array" ref="BR1848">IF(OR(S1848={"NS","NA"},S1754={"NS","NA"}),0,IF(S1848&lt;=S1754,0,1))</f>
        <v>0</v>
      </c>
      <c r="BS1848" cm="1">
        <f t="array" ref="BS1848">IF(OR(T1848={"NS","NA"},T1754={"NS","NA"}),0,IF(T1848&lt;=T1754,0,1))</f>
        <v>0</v>
      </c>
      <c r="BT1848" cm="1">
        <f t="array" ref="BT1848">IF(OR(U1848={"NS","NA"},U1754={"NS","NA"}),0,IF(U1848&lt;=U1754,0,1))</f>
        <v>0</v>
      </c>
      <c r="BU1848" cm="1">
        <f t="array" ref="BU1848">IF(OR(V1848={"NS","NA"},V1754={"NS","NA"}),0,IF(V1848&lt;=V1754,0,1))</f>
        <v>0</v>
      </c>
      <c r="BV1848" cm="1">
        <f t="array" ref="BV1848">IF(OR(W1848={"NS","NA"},W1754={"NS","NA"}),0,IF(W1848&lt;=W1754,0,1))</f>
        <v>0</v>
      </c>
      <c r="BW1848" cm="1">
        <f t="array" ref="BW1848">IF(OR(X1848={"NS","NA"},X1754={"NS","NA"}),0,IF(X1848&lt;=X1754,0,1))</f>
        <v>0</v>
      </c>
      <c r="BX1848" cm="1">
        <f t="array" ref="BX1848">IF(OR(Y1848={"NS","NA"},Y1754={"NS","NA"}),0,IF(Y1848&lt;=Y1754,0,1))</f>
        <v>0</v>
      </c>
      <c r="BY1848" cm="1">
        <f t="array" ref="BY1848">IF(OR(Z1848={"NS","NA"},Z1754={"NS","NA"}),0,IF(Z1848&lt;=Z1754,0,1))</f>
        <v>0</v>
      </c>
      <c r="BZ1848" cm="1">
        <f t="array" ref="BZ1848">IF(OR(AA1848={"NS","NA"},AA1754={"NS","NA"}),0,IF(AA1848&lt;=AA1754,0,1))</f>
        <v>0</v>
      </c>
      <c r="CA1848" cm="1">
        <f t="array" ref="CA1848">IF(OR(AB1848={"NS","NA"},AB1754={"NS","NA"}),0,IF(AB1848&lt;=AB1754,0,1))</f>
        <v>0</v>
      </c>
      <c r="CB1848" cm="1">
        <f t="array" ref="CB1848">IF(OR(AC1848={"NS","NA"},AC1754={"NS","NA"}),0,IF(AC1848&lt;=AC1754,0,1))</f>
        <v>0</v>
      </c>
      <c r="CC1848" cm="1">
        <f t="array" ref="CC1848">IF(OR(AD1848={"NS","NA"},AD1754={"NS","NA"}),0,IF(AD1848&lt;=AD1754,0,1))</f>
        <v>0</v>
      </c>
    </row>
    <row r="1849" spans="1:81" ht="15" customHeight="1">
      <c r="A1849" s="49"/>
      <c r="B1849" s="38"/>
      <c r="C1849" s="1119" t="s">
        <v>4967</v>
      </c>
      <c r="D1849" s="1121"/>
      <c r="E1849" s="1121"/>
      <c r="F1849" s="1120"/>
      <c r="G1849" s="174"/>
      <c r="H1849" s="1126" t="s">
        <v>4968</v>
      </c>
      <c r="I1849" s="1126"/>
      <c r="J1849" s="1126"/>
      <c r="K1849" s="1126"/>
      <c r="L1849" s="1126"/>
      <c r="M1849" s="1126"/>
      <c r="N1849" s="1126"/>
      <c r="O1849" s="1127"/>
      <c r="P1849" s="100"/>
      <c r="Q1849" s="100"/>
      <c r="R1849" s="100"/>
      <c r="S1849" s="100"/>
      <c r="T1849" s="100"/>
      <c r="U1849" s="100"/>
      <c r="V1849" s="100"/>
      <c r="W1849" s="100"/>
      <c r="X1849" s="100"/>
      <c r="Y1849" s="100"/>
      <c r="Z1849" s="100"/>
      <c r="AA1849" s="100"/>
      <c r="AB1849" s="100"/>
      <c r="AC1849" s="100"/>
      <c r="AD1849" s="100"/>
      <c r="AF1849"/>
      <c r="AK1849">
        <f t="shared" si="1120"/>
        <v>0</v>
      </c>
      <c r="AL1849">
        <f t="shared" si="1121"/>
        <v>0</v>
      </c>
      <c r="AM1849">
        <f t="shared" ref="AM1849:AM1854" si="1134">IF(COUNTIF(P1849:R1849,"NA")=3,0,IF(COUNTA(P1849:R1849)=0,0,IF(OR(AND(P1849=0,AK1849&gt;0),AND(P1849="ns",AL1849&gt;0),AND(P1849="ns",AK1849=0,AL1849=0)),1,IF(OR(AND(P1849&gt;0,AK1849=2),AND(P1849="ns",AK1849=2),AND(P1849="ns",AL1849=0,AK1849&gt;0),P1849=AL1849),0,1))))</f>
        <v>0</v>
      </c>
      <c r="AN1849">
        <f t="shared" si="1122"/>
        <v>0</v>
      </c>
      <c r="AO1849">
        <f t="shared" si="1123"/>
        <v>0</v>
      </c>
      <c r="AP1849">
        <f t="shared" si="1124"/>
        <v>0</v>
      </c>
      <c r="AQ1849">
        <f t="shared" si="1125"/>
        <v>0</v>
      </c>
      <c r="AR1849">
        <f t="shared" si="1126"/>
        <v>0</v>
      </c>
      <c r="AS1849">
        <f t="shared" si="1127"/>
        <v>0</v>
      </c>
      <c r="AT1849">
        <f t="shared" si="1128"/>
        <v>0</v>
      </c>
      <c r="AU1849">
        <f t="shared" si="1129"/>
        <v>0</v>
      </c>
      <c r="AV1849">
        <f t="shared" si="1130"/>
        <v>0</v>
      </c>
      <c r="AW1849">
        <f t="shared" si="1131"/>
        <v>0</v>
      </c>
      <c r="AX1849">
        <f t="shared" si="1132"/>
        <v>0</v>
      </c>
      <c r="AY1849">
        <f t="shared" si="1133"/>
        <v>0</v>
      </c>
      <c r="AZ1849" cm="1">
        <f t="array" ref="AZ1849">IF(OR(P1849={"NS","NA"},$M1801={"NS","NA"}),0,IF(P1849&lt;=$M1801,0,1))</f>
        <v>0</v>
      </c>
      <c r="BA1849" cm="1">
        <f t="array" ref="BA1849">IF(OR(Q1849={"NS","NA"},$S1801={"NS","NA"}),0,IF(Q1849&lt;=$S1801,0,1))</f>
        <v>0</v>
      </c>
      <c r="BB1849" cm="1">
        <f t="array" ref="BB1849">IF(OR(R1849={"NS","NA"},$Y1801={"NS","NA"}),0,IF(R1849&lt;=$Y1801,0,1))</f>
        <v>0</v>
      </c>
      <c r="BC1849" cm="1">
        <f t="array" ref="BC1849">IF(OR(S1849={"NS","NA"},$M1801={"NS","NA"}),0,IF(S1849&lt;=$M1801,0,1))</f>
        <v>0</v>
      </c>
      <c r="BD1849" cm="1">
        <f t="array" ref="BD1849">IF(OR(T1849={"NS","NA"},$S1801={"NS","NA"}),0,IF(T1849&lt;=$S1801,0,1))</f>
        <v>0</v>
      </c>
      <c r="BE1849" cm="1">
        <f t="array" ref="BE1849">IF(OR(U1849={"NS","NA"},$Y1801={"NS","NA"}),0,IF(U1849&lt;=$Y1801,0,1))</f>
        <v>0</v>
      </c>
      <c r="BF1849" cm="1">
        <f t="array" ref="BF1849">IF(OR(V1849={"NS","NA"},$M1801={"NS","NA"}),0,IF(V1849&lt;=$M1801,0,1))</f>
        <v>0</v>
      </c>
      <c r="BG1849" cm="1">
        <f t="array" ref="BG1849">IF(OR(W1849={"NS","NA"},$S1801={"NS","NA"}),0,IF(W1849&lt;=$S1801,0,1))</f>
        <v>0</v>
      </c>
      <c r="BH1849" cm="1">
        <f t="array" ref="BH1849">IF(OR(X1849={"NS","NA"},$Y1801={"NS","NA"}),0,IF(X1849&lt;=$Y1801,0,1))</f>
        <v>0</v>
      </c>
      <c r="BI1849" cm="1">
        <f t="array" ref="BI1849">IF(OR(Y1849={"NS","NA"},$M1801={"NS","NA"}),0,IF(Y1849&lt;=$M1801,0,1))</f>
        <v>0</v>
      </c>
      <c r="BJ1849" cm="1">
        <f t="array" ref="BJ1849">IF(OR(Z1849={"NS","NA"},$S1801={"NS","NA"}),0,IF(Z1849&lt;=$S1801,0,1))</f>
        <v>0</v>
      </c>
      <c r="BK1849" cm="1">
        <f t="array" ref="BK1849">IF(OR(AA1849={"NS","NA"},$Y1801={"NS","NA"}),0,IF(AA1849&lt;=$Y1801,0,1))</f>
        <v>0</v>
      </c>
      <c r="BL1849" cm="1">
        <f t="array" ref="BL1849">IF(OR(AB1849={"NS","NA"},$M1801={"NS","NA"}),0,IF(AB1849&lt;=$M1801,0,1))</f>
        <v>0</v>
      </c>
      <c r="BM1849" cm="1">
        <f t="array" ref="BM1849">IF(OR(AC1849={"NS","NA"},$S1801={"NS","NA"}),0,IF(AC1849&lt;=$S1801,0,1))</f>
        <v>0</v>
      </c>
      <c r="BN1849" cm="1">
        <f t="array" ref="BN1849">IF(OR(AD1849={"NS","NA"},$Y1801={"NS","NA"}),0,IF(AD1849&lt;=$Y1801,0,1))</f>
        <v>0</v>
      </c>
      <c r="BO1849" cm="1">
        <f t="array" ref="BO1849">IF(OR(P1849={"NS","NA"},P1755={"NS","NA"}),0,IF(P1849&lt;=P1755,0,1))</f>
        <v>0</v>
      </c>
      <c r="BP1849" cm="1">
        <f t="array" ref="BP1849">IF(OR(Q1849={"NS","NA"},Q1755={"NS","NA"}),0,IF(Q1849&lt;=Q1755,0,1))</f>
        <v>0</v>
      </c>
      <c r="BQ1849" cm="1">
        <f t="array" ref="BQ1849">IF(OR(R1849={"NS","NA"},R1755={"NS","NA"}),0,IF(R1849&lt;=R1755,0,1))</f>
        <v>0</v>
      </c>
      <c r="BR1849" cm="1">
        <f t="array" ref="BR1849">IF(OR(S1849={"NS","NA"},S1755={"NS","NA"}),0,IF(S1849&lt;=S1755,0,1))</f>
        <v>0</v>
      </c>
      <c r="BS1849" cm="1">
        <f t="array" ref="BS1849">IF(OR(T1849={"NS","NA"},T1755={"NS","NA"}),0,IF(T1849&lt;=T1755,0,1))</f>
        <v>0</v>
      </c>
      <c r="BT1849" cm="1">
        <f t="array" ref="BT1849">IF(OR(U1849={"NS","NA"},U1755={"NS","NA"}),0,IF(U1849&lt;=U1755,0,1))</f>
        <v>0</v>
      </c>
      <c r="BU1849" cm="1">
        <f t="array" ref="BU1849">IF(OR(V1849={"NS","NA"},V1755={"NS","NA"}),0,IF(V1849&lt;=V1755,0,1))</f>
        <v>0</v>
      </c>
      <c r="BV1849" cm="1">
        <f t="array" ref="BV1849">IF(OR(W1849={"NS","NA"},W1755={"NS","NA"}),0,IF(W1849&lt;=W1755,0,1))</f>
        <v>0</v>
      </c>
      <c r="BW1849" cm="1">
        <f t="array" ref="BW1849">IF(OR(X1849={"NS","NA"},X1755={"NS","NA"}),0,IF(X1849&lt;=X1755,0,1))</f>
        <v>0</v>
      </c>
      <c r="BX1849" cm="1">
        <f t="array" ref="BX1849">IF(OR(Y1849={"NS","NA"},Y1755={"NS","NA"}),0,IF(Y1849&lt;=Y1755,0,1))</f>
        <v>0</v>
      </c>
      <c r="BY1849" cm="1">
        <f t="array" ref="BY1849">IF(OR(Z1849={"NS","NA"},Z1755={"NS","NA"}),0,IF(Z1849&lt;=Z1755,0,1))</f>
        <v>0</v>
      </c>
      <c r="BZ1849" cm="1">
        <f t="array" ref="BZ1849">IF(OR(AA1849={"NS","NA"},AA1755={"NS","NA"}),0,IF(AA1849&lt;=AA1755,0,1))</f>
        <v>0</v>
      </c>
      <c r="CA1849" cm="1">
        <f t="array" ref="CA1849">IF(OR(AB1849={"NS","NA"},AB1755={"NS","NA"}),0,IF(AB1849&lt;=AB1755,0,1))</f>
        <v>0</v>
      </c>
      <c r="CB1849" cm="1">
        <f t="array" ref="CB1849">IF(OR(AC1849={"NS","NA"},AC1755={"NS","NA"}),0,IF(AC1849&lt;=AC1755,0,1))</f>
        <v>0</v>
      </c>
      <c r="CC1849" cm="1">
        <f t="array" ref="CC1849">IF(OR(AD1849={"NS","NA"},AD1755={"NS","NA"}),0,IF(AD1849&lt;=AD1755,0,1))</f>
        <v>0</v>
      </c>
    </row>
    <row r="1850" spans="1:81" ht="24" customHeight="1">
      <c r="A1850" s="105"/>
      <c r="B1850" s="157"/>
      <c r="C1850" s="1119" t="s">
        <v>4969</v>
      </c>
      <c r="D1850" s="1121"/>
      <c r="E1850" s="1121"/>
      <c r="F1850" s="1120"/>
      <c r="G1850" s="174"/>
      <c r="H1850" s="1122" t="s">
        <v>4970</v>
      </c>
      <c r="I1850" s="1122"/>
      <c r="J1850" s="1122"/>
      <c r="K1850" s="1122"/>
      <c r="L1850" s="1122"/>
      <c r="M1850" s="1122"/>
      <c r="N1850" s="1122"/>
      <c r="O1850" s="1123"/>
      <c r="P1850" s="100"/>
      <c r="Q1850" s="100"/>
      <c r="R1850" s="100"/>
      <c r="S1850" s="100"/>
      <c r="T1850" s="100"/>
      <c r="U1850" s="100"/>
      <c r="V1850" s="100"/>
      <c r="W1850" s="100"/>
      <c r="X1850" s="100"/>
      <c r="Y1850" s="100"/>
      <c r="Z1850" s="100"/>
      <c r="AA1850" s="100"/>
      <c r="AB1850" s="100"/>
      <c r="AC1850" s="100"/>
      <c r="AD1850" s="100"/>
      <c r="AF1850"/>
      <c r="AG1850" s="242"/>
      <c r="AH1850" s="242"/>
      <c r="AI1850" s="242"/>
      <c r="AJ1850" s="242"/>
      <c r="AK1850">
        <f t="shared" si="1120"/>
        <v>0</v>
      </c>
      <c r="AL1850">
        <f t="shared" si="1121"/>
        <v>0</v>
      </c>
      <c r="AM1850">
        <f t="shared" si="1134"/>
        <v>0</v>
      </c>
      <c r="AN1850">
        <f t="shared" si="1122"/>
        <v>0</v>
      </c>
      <c r="AO1850">
        <f t="shared" si="1123"/>
        <v>0</v>
      </c>
      <c r="AP1850">
        <f t="shared" si="1124"/>
        <v>0</v>
      </c>
      <c r="AQ1850">
        <f t="shared" si="1125"/>
        <v>0</v>
      </c>
      <c r="AR1850">
        <f t="shared" si="1126"/>
        <v>0</v>
      </c>
      <c r="AS1850">
        <f t="shared" si="1127"/>
        <v>0</v>
      </c>
      <c r="AT1850">
        <f t="shared" si="1128"/>
        <v>0</v>
      </c>
      <c r="AU1850">
        <f t="shared" si="1129"/>
        <v>0</v>
      </c>
      <c r="AV1850">
        <f t="shared" si="1130"/>
        <v>0</v>
      </c>
      <c r="AW1850">
        <f t="shared" si="1131"/>
        <v>0</v>
      </c>
      <c r="AX1850">
        <f t="shared" si="1132"/>
        <v>0</v>
      </c>
      <c r="AY1850">
        <f t="shared" si="1133"/>
        <v>0</v>
      </c>
      <c r="AZ1850" cm="1">
        <f t="array" ref="AZ1850">IF(OR(P1850={"NS","NA"},$M1802={"NS","NA"}),0,IF(P1850&lt;=$M1802,0,1))</f>
        <v>0</v>
      </c>
      <c r="BA1850" cm="1">
        <f t="array" ref="BA1850">IF(OR(Q1850={"NS","NA"},$S1802={"NS","NA"}),0,IF(Q1850&lt;=$S1802,0,1))</f>
        <v>0</v>
      </c>
      <c r="BB1850" cm="1">
        <f t="array" ref="BB1850">IF(OR(R1850={"NS","NA"},$Y1802={"NS","NA"}),0,IF(R1850&lt;=$Y1802,0,1))</f>
        <v>0</v>
      </c>
      <c r="BC1850" cm="1">
        <f t="array" ref="BC1850">IF(OR(S1850={"NS","NA"},$M1802={"NS","NA"}),0,IF(S1850&lt;=$M1802,0,1))</f>
        <v>0</v>
      </c>
      <c r="BD1850" cm="1">
        <f t="array" ref="BD1850">IF(OR(T1850={"NS","NA"},$S1802={"NS","NA"}),0,IF(T1850&lt;=$S1802,0,1))</f>
        <v>0</v>
      </c>
      <c r="BE1850" cm="1">
        <f t="array" ref="BE1850">IF(OR(U1850={"NS","NA"},$Y1802={"NS","NA"}),0,IF(U1850&lt;=$Y1802,0,1))</f>
        <v>0</v>
      </c>
      <c r="BF1850" cm="1">
        <f t="array" ref="BF1850">IF(OR(V1850={"NS","NA"},$M1802={"NS","NA"}),0,IF(V1850&lt;=$M1802,0,1))</f>
        <v>0</v>
      </c>
      <c r="BG1850" cm="1">
        <f t="array" ref="BG1850">IF(OR(W1850={"NS","NA"},$S1802={"NS","NA"}),0,IF(W1850&lt;=$S1802,0,1))</f>
        <v>0</v>
      </c>
      <c r="BH1850" cm="1">
        <f t="array" ref="BH1850">IF(OR(X1850={"NS","NA"},$Y1802={"NS","NA"}),0,IF(X1850&lt;=$Y1802,0,1))</f>
        <v>0</v>
      </c>
      <c r="BI1850" cm="1">
        <f t="array" ref="BI1850">IF(OR(Y1850={"NS","NA"},$M1802={"NS","NA"}),0,IF(Y1850&lt;=$M1802,0,1))</f>
        <v>0</v>
      </c>
      <c r="BJ1850" cm="1">
        <f t="array" ref="BJ1850">IF(OR(Z1850={"NS","NA"},$S1802={"NS","NA"}),0,IF(Z1850&lt;=$S1802,0,1))</f>
        <v>0</v>
      </c>
      <c r="BK1850" cm="1">
        <f t="array" ref="BK1850">IF(OR(AA1850={"NS","NA"},$Y1802={"NS","NA"}),0,IF(AA1850&lt;=$Y1802,0,1))</f>
        <v>0</v>
      </c>
      <c r="BL1850" cm="1">
        <f t="array" ref="BL1850">IF(OR(AB1850={"NS","NA"},$M1802={"NS","NA"}),0,IF(AB1850&lt;=$M1802,0,1))</f>
        <v>0</v>
      </c>
      <c r="BM1850" cm="1">
        <f t="array" ref="BM1850">IF(OR(AC1850={"NS","NA"},$S1802={"NS","NA"}),0,IF(AC1850&lt;=$S1802,0,1))</f>
        <v>0</v>
      </c>
      <c r="BN1850" cm="1">
        <f t="array" ref="BN1850">IF(OR(AD1850={"NS","NA"},$Y1802={"NS","NA"}),0,IF(AD1850&lt;=$Y1802,0,1))</f>
        <v>0</v>
      </c>
      <c r="BO1850" cm="1">
        <f t="array" ref="BO1850">IF(OR(P1850={"NS","NA"},P1756={"NS","NA"}),0,IF(P1850&lt;=P1756,0,1))</f>
        <v>0</v>
      </c>
      <c r="BP1850" cm="1">
        <f t="array" ref="BP1850">IF(OR(Q1850={"NS","NA"},Q1756={"NS","NA"}),0,IF(Q1850&lt;=Q1756,0,1))</f>
        <v>0</v>
      </c>
      <c r="BQ1850" cm="1">
        <f t="array" ref="BQ1850">IF(OR(R1850={"NS","NA"},R1756={"NS","NA"}),0,IF(R1850&lt;=R1756,0,1))</f>
        <v>0</v>
      </c>
      <c r="BR1850" cm="1">
        <f t="array" ref="BR1850">IF(OR(S1850={"NS","NA"},S1756={"NS","NA"}),0,IF(S1850&lt;=S1756,0,1))</f>
        <v>0</v>
      </c>
      <c r="BS1850" cm="1">
        <f t="array" ref="BS1850">IF(OR(T1850={"NS","NA"},T1756={"NS","NA"}),0,IF(T1850&lt;=T1756,0,1))</f>
        <v>0</v>
      </c>
      <c r="BT1850" cm="1">
        <f t="array" ref="BT1850">IF(OR(U1850={"NS","NA"},U1756={"NS","NA"}),0,IF(U1850&lt;=U1756,0,1))</f>
        <v>0</v>
      </c>
      <c r="BU1850" cm="1">
        <f t="array" ref="BU1850">IF(OR(V1850={"NS","NA"},V1756={"NS","NA"}),0,IF(V1850&lt;=V1756,0,1))</f>
        <v>0</v>
      </c>
      <c r="BV1850" cm="1">
        <f t="array" ref="BV1850">IF(OR(W1850={"NS","NA"},W1756={"NS","NA"}),0,IF(W1850&lt;=W1756,0,1))</f>
        <v>0</v>
      </c>
      <c r="BW1850" cm="1">
        <f t="array" ref="BW1850">IF(OR(X1850={"NS","NA"},X1756={"NS","NA"}),0,IF(X1850&lt;=X1756,0,1))</f>
        <v>0</v>
      </c>
      <c r="BX1850" cm="1">
        <f t="array" ref="BX1850">IF(OR(Y1850={"NS","NA"},Y1756={"NS","NA"}),0,IF(Y1850&lt;=Y1756,0,1))</f>
        <v>0</v>
      </c>
      <c r="BY1850" cm="1">
        <f t="array" ref="BY1850">IF(OR(Z1850={"NS","NA"},Z1756={"NS","NA"}),0,IF(Z1850&lt;=Z1756,0,1))</f>
        <v>0</v>
      </c>
      <c r="BZ1850" cm="1">
        <f t="array" ref="BZ1850">IF(OR(AA1850={"NS","NA"},AA1756={"NS","NA"}),0,IF(AA1850&lt;=AA1756,0,1))</f>
        <v>0</v>
      </c>
      <c r="CA1850" cm="1">
        <f t="array" ref="CA1850">IF(OR(AB1850={"NS","NA"},AB1756={"NS","NA"}),0,IF(AB1850&lt;=AB1756,0,1))</f>
        <v>0</v>
      </c>
      <c r="CB1850" cm="1">
        <f t="array" ref="CB1850">IF(OR(AC1850={"NS","NA"},AC1756={"NS","NA"}),0,IF(AC1850&lt;=AC1756,0,1))</f>
        <v>0</v>
      </c>
      <c r="CC1850" cm="1">
        <f t="array" ref="CC1850">IF(OR(AD1850={"NS","NA"},AD1756={"NS","NA"}),0,IF(AD1850&lt;=AD1756,0,1))</f>
        <v>0</v>
      </c>
    </row>
    <row r="1851" spans="1:81" ht="15" customHeight="1">
      <c r="A1851" s="49"/>
      <c r="B1851" s="38"/>
      <c r="C1851" s="1119" t="s">
        <v>4971</v>
      </c>
      <c r="D1851" s="1121"/>
      <c r="E1851" s="1121"/>
      <c r="F1851" s="1120"/>
      <c r="G1851" s="174"/>
      <c r="H1851" s="1122" t="s">
        <v>4987</v>
      </c>
      <c r="I1851" s="1122"/>
      <c r="J1851" s="1122"/>
      <c r="K1851" s="1122"/>
      <c r="L1851" s="1122"/>
      <c r="M1851" s="1122"/>
      <c r="N1851" s="1122"/>
      <c r="O1851" s="1123"/>
      <c r="P1851" s="100"/>
      <c r="Q1851" s="100"/>
      <c r="R1851" s="100"/>
      <c r="S1851" s="100"/>
      <c r="T1851" s="100"/>
      <c r="U1851" s="100"/>
      <c r="V1851" s="100"/>
      <c r="W1851" s="100"/>
      <c r="X1851" s="100"/>
      <c r="Y1851" s="100"/>
      <c r="Z1851" s="100"/>
      <c r="AA1851" s="100"/>
      <c r="AB1851" s="100"/>
      <c r="AC1851" s="100"/>
      <c r="AD1851" s="100"/>
      <c r="AF1851"/>
      <c r="AK1851">
        <f t="shared" si="1120"/>
        <v>0</v>
      </c>
      <c r="AL1851">
        <f t="shared" si="1121"/>
        <v>0</v>
      </c>
      <c r="AM1851">
        <f t="shared" si="1134"/>
        <v>0</v>
      </c>
      <c r="AN1851">
        <f t="shared" si="1122"/>
        <v>0</v>
      </c>
      <c r="AO1851">
        <f t="shared" si="1123"/>
        <v>0</v>
      </c>
      <c r="AP1851">
        <f t="shared" si="1124"/>
        <v>0</v>
      </c>
      <c r="AQ1851">
        <f t="shared" si="1125"/>
        <v>0</v>
      </c>
      <c r="AR1851">
        <f t="shared" si="1126"/>
        <v>0</v>
      </c>
      <c r="AS1851">
        <f t="shared" si="1127"/>
        <v>0</v>
      </c>
      <c r="AT1851">
        <f t="shared" si="1128"/>
        <v>0</v>
      </c>
      <c r="AU1851">
        <f t="shared" si="1129"/>
        <v>0</v>
      </c>
      <c r="AV1851">
        <f t="shared" si="1130"/>
        <v>0</v>
      </c>
      <c r="AW1851">
        <f t="shared" si="1131"/>
        <v>0</v>
      </c>
      <c r="AX1851">
        <f t="shared" si="1132"/>
        <v>0</v>
      </c>
      <c r="AY1851">
        <f t="shared" si="1133"/>
        <v>0</v>
      </c>
      <c r="AZ1851" cm="1">
        <f t="array" ref="AZ1851">IF(OR(P1851={"NS","NA"},$M1803={"NS","NA"}),0,IF(P1851&lt;=$M1803,0,1))</f>
        <v>0</v>
      </c>
      <c r="BA1851" cm="1">
        <f t="array" ref="BA1851">IF(OR(Q1851={"NS","NA"},$S1803={"NS","NA"}),0,IF(Q1851&lt;=$S1803,0,1))</f>
        <v>0</v>
      </c>
      <c r="BB1851" cm="1">
        <f t="array" ref="BB1851">IF(OR(R1851={"NS","NA"},$Y1803={"NS","NA"}),0,IF(R1851&lt;=$Y1803,0,1))</f>
        <v>0</v>
      </c>
      <c r="BC1851" cm="1">
        <f t="array" ref="BC1851">IF(OR(S1851={"NS","NA"},$M1803={"NS","NA"}),0,IF(S1851&lt;=$M1803,0,1))</f>
        <v>0</v>
      </c>
      <c r="BD1851" cm="1">
        <f t="array" ref="BD1851">IF(OR(T1851={"NS","NA"},$S1803={"NS","NA"}),0,IF(T1851&lt;=$S1803,0,1))</f>
        <v>0</v>
      </c>
      <c r="BE1851" cm="1">
        <f t="array" ref="BE1851">IF(OR(U1851={"NS","NA"},$Y1803={"NS","NA"}),0,IF(U1851&lt;=$Y1803,0,1))</f>
        <v>0</v>
      </c>
      <c r="BF1851" cm="1">
        <f t="array" ref="BF1851">IF(OR(V1851={"NS","NA"},$M1803={"NS","NA"}),0,IF(V1851&lt;=$M1803,0,1))</f>
        <v>0</v>
      </c>
      <c r="BG1851" cm="1">
        <f t="array" ref="BG1851">IF(OR(W1851={"NS","NA"},$S1803={"NS","NA"}),0,IF(W1851&lt;=$S1803,0,1))</f>
        <v>0</v>
      </c>
      <c r="BH1851" cm="1">
        <f t="array" ref="BH1851">IF(OR(X1851={"NS","NA"},$Y1803={"NS","NA"}),0,IF(X1851&lt;=$Y1803,0,1))</f>
        <v>0</v>
      </c>
      <c r="BI1851" cm="1">
        <f t="array" ref="BI1851">IF(OR(Y1851={"NS","NA"},$M1803={"NS","NA"}),0,IF(Y1851&lt;=$M1803,0,1))</f>
        <v>0</v>
      </c>
      <c r="BJ1851" cm="1">
        <f t="array" ref="BJ1851">IF(OR(Z1851={"NS","NA"},$S1803={"NS","NA"}),0,IF(Z1851&lt;=$S1803,0,1))</f>
        <v>0</v>
      </c>
      <c r="BK1851" cm="1">
        <f t="array" ref="BK1851">IF(OR(AA1851={"NS","NA"},$Y1803={"NS","NA"}),0,IF(AA1851&lt;=$Y1803,0,1))</f>
        <v>0</v>
      </c>
      <c r="BL1851" cm="1">
        <f t="array" ref="BL1851">IF(OR(AB1851={"NS","NA"},$M1803={"NS","NA"}),0,IF(AB1851&lt;=$M1803,0,1))</f>
        <v>0</v>
      </c>
      <c r="BM1851" cm="1">
        <f t="array" ref="BM1851">IF(OR(AC1851={"NS","NA"},$S1803={"NS","NA"}),0,IF(AC1851&lt;=$S1803,0,1))</f>
        <v>0</v>
      </c>
      <c r="BN1851" cm="1">
        <f t="array" ref="BN1851">IF(OR(AD1851={"NS","NA"},$Y1803={"NS","NA"}),0,IF(AD1851&lt;=$Y1803,0,1))</f>
        <v>0</v>
      </c>
      <c r="BO1851" cm="1">
        <f t="array" ref="BO1851">IF(OR(P1851={"NS","NA"},P1757={"NS","NA"}),0,IF(P1851&lt;=P1757,0,1))</f>
        <v>0</v>
      </c>
      <c r="BP1851" cm="1">
        <f t="array" ref="BP1851">IF(OR(Q1851={"NS","NA"},Q1757={"NS","NA"}),0,IF(Q1851&lt;=Q1757,0,1))</f>
        <v>0</v>
      </c>
      <c r="BQ1851" cm="1">
        <f t="array" ref="BQ1851">IF(OR(R1851={"NS","NA"},R1757={"NS","NA"}),0,IF(R1851&lt;=R1757,0,1))</f>
        <v>0</v>
      </c>
      <c r="BR1851" cm="1">
        <f t="array" ref="BR1851">IF(OR(S1851={"NS","NA"},S1757={"NS","NA"}),0,IF(S1851&lt;=S1757,0,1))</f>
        <v>0</v>
      </c>
      <c r="BS1851" cm="1">
        <f t="array" ref="BS1851">IF(OR(T1851={"NS","NA"},T1757={"NS","NA"}),0,IF(T1851&lt;=T1757,0,1))</f>
        <v>0</v>
      </c>
      <c r="BT1851" cm="1">
        <f t="array" ref="BT1851">IF(OR(U1851={"NS","NA"},U1757={"NS","NA"}),0,IF(U1851&lt;=U1757,0,1))</f>
        <v>0</v>
      </c>
      <c r="BU1851" cm="1">
        <f t="array" ref="BU1851">IF(OR(V1851={"NS","NA"},V1757={"NS","NA"}),0,IF(V1851&lt;=V1757,0,1))</f>
        <v>0</v>
      </c>
      <c r="BV1851" cm="1">
        <f t="array" ref="BV1851">IF(OR(W1851={"NS","NA"},W1757={"NS","NA"}),0,IF(W1851&lt;=W1757,0,1))</f>
        <v>0</v>
      </c>
      <c r="BW1851" cm="1">
        <f t="array" ref="BW1851">IF(OR(X1851={"NS","NA"},X1757={"NS","NA"}),0,IF(X1851&lt;=X1757,0,1))</f>
        <v>0</v>
      </c>
      <c r="BX1851" cm="1">
        <f t="array" ref="BX1851">IF(OR(Y1851={"NS","NA"},Y1757={"NS","NA"}),0,IF(Y1851&lt;=Y1757,0,1))</f>
        <v>0</v>
      </c>
      <c r="BY1851" cm="1">
        <f t="array" ref="BY1851">IF(OR(Z1851={"NS","NA"},Z1757={"NS","NA"}),0,IF(Z1851&lt;=Z1757,0,1))</f>
        <v>0</v>
      </c>
      <c r="BZ1851" cm="1">
        <f t="array" ref="BZ1851">IF(OR(AA1851={"NS","NA"},AA1757={"NS","NA"}),0,IF(AA1851&lt;=AA1757,0,1))</f>
        <v>0</v>
      </c>
      <c r="CA1851" cm="1">
        <f t="array" ref="CA1851">IF(OR(AB1851={"NS","NA"},AB1757={"NS","NA"}),0,IF(AB1851&lt;=AB1757,0,1))</f>
        <v>0</v>
      </c>
      <c r="CB1851" cm="1">
        <f t="array" ref="CB1851">IF(OR(AC1851={"NS","NA"},AC1757={"NS","NA"}),0,IF(AC1851&lt;=AC1757,0,1))</f>
        <v>0</v>
      </c>
      <c r="CC1851" cm="1">
        <f t="array" ref="CC1851">IF(OR(AD1851={"NS","NA"},AD1757={"NS","NA"}),0,IF(AD1851&lt;=AD1757,0,1))</f>
        <v>0</v>
      </c>
    </row>
    <row r="1852" spans="1:81" ht="15" customHeight="1">
      <c r="A1852" s="49"/>
      <c r="B1852" s="38"/>
      <c r="C1852" s="1119" t="s">
        <v>4973</v>
      </c>
      <c r="D1852" s="1121"/>
      <c r="E1852" s="1121"/>
      <c r="F1852" s="1120"/>
      <c r="G1852" s="174"/>
      <c r="H1852" s="1122" t="s">
        <v>4974</v>
      </c>
      <c r="I1852" s="1122"/>
      <c r="J1852" s="1122"/>
      <c r="K1852" s="1122"/>
      <c r="L1852" s="1122"/>
      <c r="M1852" s="1122"/>
      <c r="N1852" s="1122"/>
      <c r="O1852" s="1123"/>
      <c r="P1852" s="100"/>
      <c r="Q1852" s="100"/>
      <c r="R1852" s="100"/>
      <c r="S1852" s="100"/>
      <c r="T1852" s="100"/>
      <c r="U1852" s="100"/>
      <c r="V1852" s="100"/>
      <c r="W1852" s="100"/>
      <c r="X1852" s="100"/>
      <c r="Y1852" s="100"/>
      <c r="Z1852" s="100"/>
      <c r="AA1852" s="100"/>
      <c r="AB1852" s="100"/>
      <c r="AC1852" s="100"/>
      <c r="AD1852" s="100"/>
      <c r="AF1852"/>
      <c r="AK1852">
        <f t="shared" si="1120"/>
        <v>0</v>
      </c>
      <c r="AL1852">
        <f t="shared" si="1121"/>
        <v>0</v>
      </c>
      <c r="AM1852">
        <f t="shared" si="1134"/>
        <v>0</v>
      </c>
      <c r="AN1852">
        <f t="shared" si="1122"/>
        <v>0</v>
      </c>
      <c r="AO1852">
        <f t="shared" si="1123"/>
        <v>0</v>
      </c>
      <c r="AP1852">
        <f t="shared" si="1124"/>
        <v>0</v>
      </c>
      <c r="AQ1852">
        <f t="shared" si="1125"/>
        <v>0</v>
      </c>
      <c r="AR1852">
        <f t="shared" si="1126"/>
        <v>0</v>
      </c>
      <c r="AS1852">
        <f t="shared" si="1127"/>
        <v>0</v>
      </c>
      <c r="AT1852">
        <f t="shared" si="1128"/>
        <v>0</v>
      </c>
      <c r="AU1852">
        <f t="shared" si="1129"/>
        <v>0</v>
      </c>
      <c r="AV1852">
        <f t="shared" si="1130"/>
        <v>0</v>
      </c>
      <c r="AW1852">
        <f t="shared" si="1131"/>
        <v>0</v>
      </c>
      <c r="AX1852">
        <f t="shared" si="1132"/>
        <v>0</v>
      </c>
      <c r="AY1852">
        <f t="shared" si="1133"/>
        <v>0</v>
      </c>
      <c r="AZ1852" cm="1">
        <f t="array" ref="AZ1852">IF(OR(P1852={"NS","NA"},$M1804={"NS","NA"}),0,IF(P1852&lt;=$M1804,0,1))</f>
        <v>0</v>
      </c>
      <c r="BA1852" cm="1">
        <f t="array" ref="BA1852">IF(OR(Q1852={"NS","NA"},$S1804={"NS","NA"}),0,IF(Q1852&lt;=$S1804,0,1))</f>
        <v>0</v>
      </c>
      <c r="BB1852" cm="1">
        <f t="array" ref="BB1852">IF(OR(R1852={"NS","NA"},$Y1804={"NS","NA"}),0,IF(R1852&lt;=$Y1804,0,1))</f>
        <v>0</v>
      </c>
      <c r="BC1852" cm="1">
        <f t="array" ref="BC1852">IF(OR(S1852={"NS","NA"},$M1804={"NS","NA"}),0,IF(S1852&lt;=$M1804,0,1))</f>
        <v>0</v>
      </c>
      <c r="BD1852" cm="1">
        <f t="array" ref="BD1852">IF(OR(T1852={"NS","NA"},$S1804={"NS","NA"}),0,IF(T1852&lt;=$S1804,0,1))</f>
        <v>0</v>
      </c>
      <c r="BE1852" cm="1">
        <f t="array" ref="BE1852">IF(OR(U1852={"NS","NA"},$Y1804={"NS","NA"}),0,IF(U1852&lt;=$Y1804,0,1))</f>
        <v>0</v>
      </c>
      <c r="BF1852" cm="1">
        <f t="array" ref="BF1852">IF(OR(V1852={"NS","NA"},$M1804={"NS","NA"}),0,IF(V1852&lt;=$M1804,0,1))</f>
        <v>0</v>
      </c>
      <c r="BG1852" cm="1">
        <f t="array" ref="BG1852">IF(OR(W1852={"NS","NA"},$S1804={"NS","NA"}),0,IF(W1852&lt;=$S1804,0,1))</f>
        <v>0</v>
      </c>
      <c r="BH1852" cm="1">
        <f t="array" ref="BH1852">IF(OR(X1852={"NS","NA"},$Y1804={"NS","NA"}),0,IF(X1852&lt;=$Y1804,0,1))</f>
        <v>0</v>
      </c>
      <c r="BI1852" cm="1">
        <f t="array" ref="BI1852">IF(OR(Y1852={"NS","NA"},$M1804={"NS","NA"}),0,IF(Y1852&lt;=$M1804,0,1))</f>
        <v>0</v>
      </c>
      <c r="BJ1852" cm="1">
        <f t="array" ref="BJ1852">IF(OR(Z1852={"NS","NA"},$S1804={"NS","NA"}),0,IF(Z1852&lt;=$S1804,0,1))</f>
        <v>0</v>
      </c>
      <c r="BK1852" cm="1">
        <f t="array" ref="BK1852">IF(OR(AA1852={"NS","NA"},$Y1804={"NS","NA"}),0,IF(AA1852&lt;=$Y1804,0,1))</f>
        <v>0</v>
      </c>
      <c r="BL1852" cm="1">
        <f t="array" ref="BL1852">IF(OR(AB1852={"NS","NA"},$M1804={"NS","NA"}),0,IF(AB1852&lt;=$M1804,0,1))</f>
        <v>0</v>
      </c>
      <c r="BM1852" cm="1">
        <f t="array" ref="BM1852">IF(OR(AC1852={"NS","NA"},$S1804={"NS","NA"}),0,IF(AC1852&lt;=$S1804,0,1))</f>
        <v>0</v>
      </c>
      <c r="BN1852" cm="1">
        <f t="array" ref="BN1852">IF(OR(AD1852={"NS","NA"},$Y1804={"NS","NA"}),0,IF(AD1852&lt;=$Y1804,0,1))</f>
        <v>0</v>
      </c>
      <c r="BO1852" cm="1">
        <f t="array" ref="BO1852">IF(OR(P1852={"NS","NA"},P1758={"NS","NA"}),0,IF(P1852&lt;=P1758,0,1))</f>
        <v>0</v>
      </c>
      <c r="BP1852" cm="1">
        <f t="array" ref="BP1852">IF(OR(Q1852={"NS","NA"},Q1758={"NS","NA"}),0,IF(Q1852&lt;=Q1758,0,1))</f>
        <v>0</v>
      </c>
      <c r="BQ1852" cm="1">
        <f t="array" ref="BQ1852">IF(OR(R1852={"NS","NA"},R1758={"NS","NA"}),0,IF(R1852&lt;=R1758,0,1))</f>
        <v>0</v>
      </c>
      <c r="BR1852" cm="1">
        <f t="array" ref="BR1852">IF(OR(S1852={"NS","NA"},S1758={"NS","NA"}),0,IF(S1852&lt;=S1758,0,1))</f>
        <v>0</v>
      </c>
      <c r="BS1852" cm="1">
        <f t="array" ref="BS1852">IF(OR(T1852={"NS","NA"},T1758={"NS","NA"}),0,IF(T1852&lt;=T1758,0,1))</f>
        <v>0</v>
      </c>
      <c r="BT1852" cm="1">
        <f t="array" ref="BT1852">IF(OR(U1852={"NS","NA"},U1758={"NS","NA"}),0,IF(U1852&lt;=U1758,0,1))</f>
        <v>0</v>
      </c>
      <c r="BU1852" cm="1">
        <f t="array" ref="BU1852">IF(OR(V1852={"NS","NA"},V1758={"NS","NA"}),0,IF(V1852&lt;=V1758,0,1))</f>
        <v>0</v>
      </c>
      <c r="BV1852" cm="1">
        <f t="array" ref="BV1852">IF(OR(W1852={"NS","NA"},W1758={"NS","NA"}),0,IF(W1852&lt;=W1758,0,1))</f>
        <v>0</v>
      </c>
      <c r="BW1852" cm="1">
        <f t="array" ref="BW1852">IF(OR(X1852={"NS","NA"},X1758={"NS","NA"}),0,IF(X1852&lt;=X1758,0,1))</f>
        <v>0</v>
      </c>
      <c r="BX1852" cm="1">
        <f t="array" ref="BX1852">IF(OR(Y1852={"NS","NA"},Y1758={"NS","NA"}),0,IF(Y1852&lt;=Y1758,0,1))</f>
        <v>0</v>
      </c>
      <c r="BY1852" cm="1">
        <f t="array" ref="BY1852">IF(OR(Z1852={"NS","NA"},Z1758={"NS","NA"}),0,IF(Z1852&lt;=Z1758,0,1))</f>
        <v>0</v>
      </c>
      <c r="BZ1852" cm="1">
        <f t="array" ref="BZ1852">IF(OR(AA1852={"NS","NA"},AA1758={"NS","NA"}),0,IF(AA1852&lt;=AA1758,0,1))</f>
        <v>0</v>
      </c>
      <c r="CA1852" cm="1">
        <f t="array" ref="CA1852">IF(OR(AB1852={"NS","NA"},AB1758={"NS","NA"}),0,IF(AB1852&lt;=AB1758,0,1))</f>
        <v>0</v>
      </c>
      <c r="CB1852" cm="1">
        <f t="array" ref="CB1852">IF(OR(AC1852={"NS","NA"},AC1758={"NS","NA"}),0,IF(AC1852&lt;=AC1758,0,1))</f>
        <v>0</v>
      </c>
      <c r="CC1852" cm="1">
        <f t="array" ref="CC1852">IF(OR(AD1852={"NS","NA"},AD1758={"NS","NA"}),0,IF(AD1852&lt;=AD1758,0,1))</f>
        <v>0</v>
      </c>
    </row>
    <row r="1853" spans="1:81" ht="36" customHeight="1">
      <c r="A1853" s="49"/>
      <c r="B1853" s="38"/>
      <c r="C1853" s="1119" t="s">
        <v>4975</v>
      </c>
      <c r="D1853" s="1121"/>
      <c r="E1853" s="1121"/>
      <c r="F1853" s="1120"/>
      <c r="G1853" s="174"/>
      <c r="H1853" s="1122" t="s">
        <v>4976</v>
      </c>
      <c r="I1853" s="1122"/>
      <c r="J1853" s="1122"/>
      <c r="K1853" s="1122"/>
      <c r="L1853" s="1122"/>
      <c r="M1853" s="1122"/>
      <c r="N1853" s="1122"/>
      <c r="O1853" s="1123"/>
      <c r="P1853" s="100"/>
      <c r="Q1853" s="100"/>
      <c r="R1853" s="100"/>
      <c r="S1853" s="100"/>
      <c r="T1853" s="100"/>
      <c r="U1853" s="100"/>
      <c r="V1853" s="100"/>
      <c r="W1853" s="100"/>
      <c r="X1853" s="100"/>
      <c r="Y1853" s="100"/>
      <c r="Z1853" s="100"/>
      <c r="AA1853" s="100"/>
      <c r="AB1853" s="100"/>
      <c r="AC1853" s="100"/>
      <c r="AD1853" s="100"/>
      <c r="AF1853"/>
      <c r="AK1853">
        <f t="shared" si="1120"/>
        <v>0</v>
      </c>
      <c r="AL1853">
        <f t="shared" si="1121"/>
        <v>0</v>
      </c>
      <c r="AM1853">
        <f t="shared" si="1134"/>
        <v>0</v>
      </c>
      <c r="AN1853">
        <f t="shared" si="1122"/>
        <v>0</v>
      </c>
      <c r="AO1853">
        <f t="shared" si="1123"/>
        <v>0</v>
      </c>
      <c r="AP1853">
        <f t="shared" si="1124"/>
        <v>0</v>
      </c>
      <c r="AQ1853">
        <f t="shared" si="1125"/>
        <v>0</v>
      </c>
      <c r="AR1853">
        <f t="shared" si="1126"/>
        <v>0</v>
      </c>
      <c r="AS1853">
        <f t="shared" si="1127"/>
        <v>0</v>
      </c>
      <c r="AT1853">
        <f t="shared" si="1128"/>
        <v>0</v>
      </c>
      <c r="AU1853">
        <f t="shared" si="1129"/>
        <v>0</v>
      </c>
      <c r="AV1853">
        <f t="shared" si="1130"/>
        <v>0</v>
      </c>
      <c r="AW1853">
        <f t="shared" si="1131"/>
        <v>0</v>
      </c>
      <c r="AX1853">
        <f t="shared" si="1132"/>
        <v>0</v>
      </c>
      <c r="AY1853">
        <f t="shared" si="1133"/>
        <v>0</v>
      </c>
      <c r="AZ1853" cm="1">
        <f t="array" ref="AZ1853">IF(OR(P1853={"NS","NA"},$M1805={"NS","NA"}),0,IF(P1853&lt;=$M1805,0,1))</f>
        <v>0</v>
      </c>
      <c r="BA1853" cm="1">
        <f t="array" ref="BA1853">IF(OR(Q1853={"NS","NA"},$S1805={"NS","NA"}),0,IF(Q1853&lt;=$S1805,0,1))</f>
        <v>0</v>
      </c>
      <c r="BB1853" cm="1">
        <f t="array" ref="BB1853">IF(OR(R1853={"NS","NA"},$Y1805={"NS","NA"}),0,IF(R1853&lt;=$Y1805,0,1))</f>
        <v>0</v>
      </c>
      <c r="BC1853" cm="1">
        <f t="array" ref="BC1853">IF(OR(S1853={"NS","NA"},$M1805={"NS","NA"}),0,IF(S1853&lt;=$M1805,0,1))</f>
        <v>0</v>
      </c>
      <c r="BD1853" cm="1">
        <f t="array" ref="BD1853">IF(OR(T1853={"NS","NA"},$S1805={"NS","NA"}),0,IF(T1853&lt;=$S1805,0,1))</f>
        <v>0</v>
      </c>
      <c r="BE1853" cm="1">
        <f t="array" ref="BE1853">IF(OR(U1853={"NS","NA"},$Y1805={"NS","NA"}),0,IF(U1853&lt;=$Y1805,0,1))</f>
        <v>0</v>
      </c>
      <c r="BF1853" cm="1">
        <f t="array" ref="BF1853">IF(OR(V1853={"NS","NA"},$M1805={"NS","NA"}),0,IF(V1853&lt;=$M1805,0,1))</f>
        <v>0</v>
      </c>
      <c r="BG1853" cm="1">
        <f t="array" ref="BG1853">IF(OR(W1853={"NS","NA"},$S1805={"NS","NA"}),0,IF(W1853&lt;=$S1805,0,1))</f>
        <v>0</v>
      </c>
      <c r="BH1853" cm="1">
        <f t="array" ref="BH1853">IF(OR(X1853={"NS","NA"},$Y1805={"NS","NA"}),0,IF(X1853&lt;=$Y1805,0,1))</f>
        <v>0</v>
      </c>
      <c r="BI1853" cm="1">
        <f t="array" ref="BI1853">IF(OR(Y1853={"NS","NA"},$M1805={"NS","NA"}),0,IF(Y1853&lt;=$M1805,0,1))</f>
        <v>0</v>
      </c>
      <c r="BJ1853" cm="1">
        <f t="array" ref="BJ1853">IF(OR(Z1853={"NS","NA"},$S1805={"NS","NA"}),0,IF(Z1853&lt;=$S1805,0,1))</f>
        <v>0</v>
      </c>
      <c r="BK1853" cm="1">
        <f t="array" ref="BK1853">IF(OR(AA1853={"NS","NA"},$Y1805={"NS","NA"}),0,IF(AA1853&lt;=$Y1805,0,1))</f>
        <v>0</v>
      </c>
      <c r="BL1853" cm="1">
        <f t="array" ref="BL1853">IF(OR(AB1853={"NS","NA"},$M1805={"NS","NA"}),0,IF(AB1853&lt;=$M1805,0,1))</f>
        <v>0</v>
      </c>
      <c r="BM1853" cm="1">
        <f t="array" ref="BM1853">IF(OR(AC1853={"NS","NA"},$S1805={"NS","NA"}),0,IF(AC1853&lt;=$S1805,0,1))</f>
        <v>0</v>
      </c>
      <c r="BN1853" cm="1">
        <f t="array" ref="BN1853">IF(OR(AD1853={"NS","NA"},$Y1805={"NS","NA"}),0,IF(AD1853&lt;=$Y1805,0,1))</f>
        <v>0</v>
      </c>
      <c r="BO1853" cm="1">
        <f t="array" ref="BO1853">IF(OR(P1853={"NS","NA"},P1759={"NS","NA"}),0,IF(P1853&lt;=P1759,0,1))</f>
        <v>0</v>
      </c>
      <c r="BP1853" cm="1">
        <f t="array" ref="BP1853">IF(OR(Q1853={"NS","NA"},Q1759={"NS","NA"}),0,IF(Q1853&lt;=Q1759,0,1))</f>
        <v>0</v>
      </c>
      <c r="BQ1853" cm="1">
        <f t="array" ref="BQ1853">IF(OR(R1853={"NS","NA"},R1759={"NS","NA"}),0,IF(R1853&lt;=R1759,0,1))</f>
        <v>0</v>
      </c>
      <c r="BR1853" cm="1">
        <f t="array" ref="BR1853">IF(OR(S1853={"NS","NA"},S1759={"NS","NA"}),0,IF(S1853&lt;=S1759,0,1))</f>
        <v>0</v>
      </c>
      <c r="BS1853" cm="1">
        <f t="array" ref="BS1853">IF(OR(T1853={"NS","NA"},T1759={"NS","NA"}),0,IF(T1853&lt;=T1759,0,1))</f>
        <v>0</v>
      </c>
      <c r="BT1853" cm="1">
        <f t="array" ref="BT1853">IF(OR(U1853={"NS","NA"},U1759={"NS","NA"}),0,IF(U1853&lt;=U1759,0,1))</f>
        <v>0</v>
      </c>
      <c r="BU1853" cm="1">
        <f t="array" ref="BU1853">IF(OR(V1853={"NS","NA"},V1759={"NS","NA"}),0,IF(V1853&lt;=V1759,0,1))</f>
        <v>0</v>
      </c>
      <c r="BV1853" cm="1">
        <f t="array" ref="BV1853">IF(OR(W1853={"NS","NA"},W1759={"NS","NA"}),0,IF(W1853&lt;=W1759,0,1))</f>
        <v>0</v>
      </c>
      <c r="BW1853" cm="1">
        <f t="array" ref="BW1853">IF(OR(X1853={"NS","NA"},X1759={"NS","NA"}),0,IF(X1853&lt;=X1759,0,1))</f>
        <v>0</v>
      </c>
      <c r="BX1853" cm="1">
        <f t="array" ref="BX1853">IF(OR(Y1853={"NS","NA"},Y1759={"NS","NA"}),0,IF(Y1853&lt;=Y1759,0,1))</f>
        <v>0</v>
      </c>
      <c r="BY1853" cm="1">
        <f t="array" ref="BY1853">IF(OR(Z1853={"NS","NA"},Z1759={"NS","NA"}),0,IF(Z1853&lt;=Z1759,0,1))</f>
        <v>0</v>
      </c>
      <c r="BZ1853" cm="1">
        <f t="array" ref="BZ1853">IF(OR(AA1853={"NS","NA"},AA1759={"NS","NA"}),0,IF(AA1853&lt;=AA1759,0,1))</f>
        <v>0</v>
      </c>
      <c r="CA1853" cm="1">
        <f t="array" ref="CA1853">IF(OR(AB1853={"NS","NA"},AB1759={"NS","NA"}),0,IF(AB1853&lt;=AB1759,0,1))</f>
        <v>0</v>
      </c>
      <c r="CB1853" cm="1">
        <f t="array" ref="CB1853">IF(OR(AC1853={"NS","NA"},AC1759={"NS","NA"}),0,IF(AC1853&lt;=AC1759,0,1))</f>
        <v>0</v>
      </c>
      <c r="CC1853" cm="1">
        <f t="array" ref="CC1853">IF(OR(AD1853={"NS","NA"},AD1759={"NS","NA"}),0,IF(AD1853&lt;=AD1759,0,1))</f>
        <v>0</v>
      </c>
    </row>
    <row r="1854" spans="1:81" ht="15" customHeight="1">
      <c r="A1854" s="49"/>
      <c r="B1854" s="38"/>
      <c r="C1854" s="1119" t="s">
        <v>4977</v>
      </c>
      <c r="D1854" s="1121"/>
      <c r="E1854" s="1121"/>
      <c r="F1854" s="1120"/>
      <c r="G1854" s="175"/>
      <c r="H1854" s="1124" t="s">
        <v>201</v>
      </c>
      <c r="I1854" s="1124"/>
      <c r="J1854" s="1124"/>
      <c r="K1854" s="1124"/>
      <c r="L1854" s="1124"/>
      <c r="M1854" s="1124"/>
      <c r="N1854" s="1124"/>
      <c r="O1854" s="1125"/>
      <c r="P1854" s="100"/>
      <c r="Q1854" s="100"/>
      <c r="R1854" s="100"/>
      <c r="S1854" s="100"/>
      <c r="T1854" s="100"/>
      <c r="U1854" s="100"/>
      <c r="V1854" s="100"/>
      <c r="W1854" s="100"/>
      <c r="X1854" s="100"/>
      <c r="Y1854" s="100"/>
      <c r="Z1854" s="100"/>
      <c r="AA1854" s="100"/>
      <c r="AB1854" s="100"/>
      <c r="AC1854" s="100"/>
      <c r="AD1854" s="100"/>
      <c r="AF1854"/>
      <c r="AK1854">
        <f t="shared" si="1120"/>
        <v>0</v>
      </c>
      <c r="AL1854">
        <f t="shared" si="1121"/>
        <v>0</v>
      </c>
      <c r="AM1854">
        <f t="shared" si="1134"/>
        <v>0</v>
      </c>
      <c r="AN1854">
        <f t="shared" si="1122"/>
        <v>0</v>
      </c>
      <c r="AO1854">
        <f t="shared" si="1123"/>
        <v>0</v>
      </c>
      <c r="AP1854">
        <f t="shared" si="1124"/>
        <v>0</v>
      </c>
      <c r="AQ1854">
        <f t="shared" si="1125"/>
        <v>0</v>
      </c>
      <c r="AR1854">
        <f t="shared" si="1126"/>
        <v>0</v>
      </c>
      <c r="AS1854">
        <f t="shared" si="1127"/>
        <v>0</v>
      </c>
      <c r="AT1854">
        <f t="shared" si="1128"/>
        <v>0</v>
      </c>
      <c r="AU1854">
        <f t="shared" si="1129"/>
        <v>0</v>
      </c>
      <c r="AV1854">
        <f t="shared" si="1130"/>
        <v>0</v>
      </c>
      <c r="AW1854">
        <f t="shared" si="1131"/>
        <v>0</v>
      </c>
      <c r="AX1854">
        <f t="shared" si="1132"/>
        <v>0</v>
      </c>
      <c r="AY1854">
        <f>IF(COUNTIF(AB1854:AD1854,"NA")=3,0,IF(COUNTA(AB1854:AD1854)=0,0,IF(OR(AND(AB1854=0,AW1854&gt;0),AND(AB1854="ns",AX1854&gt;0),AND(AB1854="ns",AW1854=0,AX1854=0)),1,IF(OR(AND(AB1854&gt;0,AW1854=2),AND(AB1854="ns",AW1854=2),AND(AB1854="ns",AX1854=0,AW1854&gt;0),AB1854=AX1854),0,1))))</f>
        <v>0</v>
      </c>
      <c r="AZ1854" cm="1">
        <f t="array" ref="AZ1854">IF(OR(P1854={"NS","NA"},$M1806={"NS","NA"}),0,IF(P1854&lt;=$M1806,0,1))</f>
        <v>0</v>
      </c>
      <c r="BA1854" cm="1">
        <f t="array" ref="BA1854">IF(OR(Q1854={"NS","NA"},$S1806={"NS","NA"}),0,IF(Q1854&lt;=$S1806,0,1))</f>
        <v>0</v>
      </c>
      <c r="BB1854" cm="1">
        <f t="array" ref="BB1854">IF(OR(R1854={"NS","NA"},$Y1806={"NS","NA"}),0,IF(R1854&lt;=$Y1806,0,1))</f>
        <v>0</v>
      </c>
      <c r="BC1854" cm="1">
        <f t="array" ref="BC1854">IF(OR(S1854={"NS","NA"},$M1806={"NS","NA"}),0,IF(S1854&lt;=$M1806,0,1))</f>
        <v>0</v>
      </c>
      <c r="BD1854" cm="1">
        <f t="array" ref="BD1854">IF(OR(T1854={"NS","NA"},$S1806={"NS","NA"}),0,IF(T1854&lt;=$S1806,0,1))</f>
        <v>0</v>
      </c>
      <c r="BE1854" cm="1">
        <f t="array" ref="BE1854">IF(OR(U1854={"NS","NA"},$Y1806={"NS","NA"}),0,IF(U1854&lt;=$Y1806,0,1))</f>
        <v>0</v>
      </c>
      <c r="BF1854" cm="1">
        <f t="array" ref="BF1854">IF(OR(V1854={"NS","NA"},$M1806={"NS","NA"}),0,IF(V1854&lt;=$M1806,0,1))</f>
        <v>0</v>
      </c>
      <c r="BG1854" cm="1">
        <f t="array" ref="BG1854">IF(OR(W1854={"NS","NA"},$S1806={"NS","NA"}),0,IF(W1854&lt;=$S1806,0,1))</f>
        <v>0</v>
      </c>
      <c r="BH1854" cm="1">
        <f t="array" ref="BH1854">IF(OR(X1854={"NS","NA"},$Y1806={"NS","NA"}),0,IF(X1854&lt;=$Y1806,0,1))</f>
        <v>0</v>
      </c>
      <c r="BI1854" cm="1">
        <f t="array" ref="BI1854">IF(OR(Y1854={"NS","NA"},$M1806={"NS","NA"}),0,IF(Y1854&lt;=$M1806,0,1))</f>
        <v>0</v>
      </c>
      <c r="BJ1854" cm="1">
        <f t="array" ref="BJ1854">IF(OR(Z1854={"NS","NA"},$S1806={"NS","NA"}),0,IF(Z1854&lt;=$S1806,0,1))</f>
        <v>0</v>
      </c>
      <c r="BK1854" cm="1">
        <f t="array" ref="BK1854">IF(OR(AA1854={"NS","NA"},$Y1806={"NS","NA"}),0,IF(AA1854&lt;=$Y1806,0,1))</f>
        <v>0</v>
      </c>
      <c r="BL1854" cm="1">
        <f t="array" ref="BL1854">IF(OR(AB1854={"NS","NA"},$M1806={"NS","NA"}),0,IF(AB1854&lt;=$M1806,0,1))</f>
        <v>0</v>
      </c>
      <c r="BM1854" cm="1">
        <f t="array" ref="BM1854">IF(OR(AC1854={"NS","NA"},$S1806={"NS","NA"}),0,IF(AC1854&lt;=$S1806,0,1))</f>
        <v>0</v>
      </c>
      <c r="BN1854" cm="1">
        <f t="array" ref="BN1854">IF(OR(AD1854={"NS","NA"},$Y1806={"NS","NA"}),0,IF(AD1854&lt;=$Y1806,0,1))</f>
        <v>0</v>
      </c>
      <c r="BO1854" cm="1">
        <f t="array" ref="BO1854">IF(OR(P1854={"NS","NA"},P1760={"NS","NA"}),0,IF(P1854&lt;=P1760,0,1))</f>
        <v>0</v>
      </c>
      <c r="BP1854" cm="1">
        <f t="array" ref="BP1854">IF(OR(Q1854={"NS","NA"},Q1760={"NS","NA"}),0,IF(Q1854&lt;=Q1760,0,1))</f>
        <v>0</v>
      </c>
      <c r="BQ1854" cm="1">
        <f t="array" ref="BQ1854">IF(OR(R1854={"NS","NA"},R1760={"NS","NA"}),0,IF(R1854&lt;=R1760,0,1))</f>
        <v>0</v>
      </c>
      <c r="BR1854" cm="1">
        <f t="array" ref="BR1854">IF(OR(S1854={"NS","NA"},S1760={"NS","NA"}),0,IF(S1854&lt;=S1760,0,1))</f>
        <v>0</v>
      </c>
      <c r="BS1854" cm="1">
        <f t="array" ref="BS1854">IF(OR(T1854={"NS","NA"},T1760={"NS","NA"}),0,IF(T1854&lt;=T1760,0,1))</f>
        <v>0</v>
      </c>
      <c r="BT1854" cm="1">
        <f t="array" ref="BT1854">IF(OR(U1854={"NS","NA"},U1760={"NS","NA"}),0,IF(U1854&lt;=U1760,0,1))</f>
        <v>0</v>
      </c>
      <c r="BU1854" cm="1">
        <f t="array" ref="BU1854">IF(OR(V1854={"NS","NA"},V1760={"NS","NA"}),0,IF(V1854&lt;=V1760,0,1))</f>
        <v>0</v>
      </c>
      <c r="BV1854" cm="1">
        <f t="array" ref="BV1854">IF(OR(W1854={"NS","NA"},W1760={"NS","NA"}),0,IF(W1854&lt;=W1760,0,1))</f>
        <v>0</v>
      </c>
      <c r="BW1854" cm="1">
        <f t="array" ref="BW1854">IF(OR(X1854={"NS","NA"},X1760={"NS","NA"}),0,IF(X1854&lt;=X1760,0,1))</f>
        <v>0</v>
      </c>
      <c r="BX1854" cm="1">
        <f t="array" ref="BX1854">IF(OR(Y1854={"NS","NA"},Y1760={"NS","NA"}),0,IF(Y1854&lt;=Y1760,0,1))</f>
        <v>0</v>
      </c>
      <c r="BY1854" cm="1">
        <f t="array" ref="BY1854">IF(OR(Z1854={"NS","NA"},Z1760={"NS","NA"}),0,IF(Z1854&lt;=Z1760,0,1))</f>
        <v>0</v>
      </c>
      <c r="BZ1854" cm="1">
        <f t="array" ref="BZ1854">IF(OR(AA1854={"NS","NA"},AA1760={"NS","NA"}),0,IF(AA1854&lt;=AA1760,0,1))</f>
        <v>0</v>
      </c>
      <c r="CA1854" cm="1">
        <f t="array" ref="CA1854">IF(OR(AB1854={"NS","NA"},AB1760={"NS","NA"}),0,IF(AB1854&lt;=AB1760,0,1))</f>
        <v>0</v>
      </c>
      <c r="CB1854" cm="1">
        <f t="array" ref="CB1854">IF(OR(AC1854={"NS","NA"},AC1760={"NS","NA"}),0,IF(AC1854&lt;=AC1760,0,1))</f>
        <v>0</v>
      </c>
      <c r="CC1854" cm="1">
        <f t="array" ref="CC1854">IF(OR(AD1854={"NS","NA"},AD1760={"NS","NA"}),0,IF(AD1854&lt;=AD1760,0,1))</f>
        <v>0</v>
      </c>
    </row>
    <row r="1855" spans="1:81" ht="15" customHeight="1">
      <c r="A1855" s="103"/>
      <c r="B1855" s="795" t="str">
        <f>IF(BN1856&gt;0,"Alerta: debe de proporcionar una justificación de acuerdo a lo establecido en la instrucción 2","")</f>
        <v/>
      </c>
      <c r="C1855" s="795"/>
      <c r="D1855" s="795"/>
      <c r="E1855" s="795"/>
      <c r="F1855" s="795"/>
      <c r="G1855" s="795"/>
      <c r="H1855" s="795"/>
      <c r="I1855" s="795"/>
      <c r="J1855" s="795"/>
      <c r="K1855" s="795"/>
      <c r="L1855" s="795"/>
      <c r="M1855" s="795"/>
      <c r="N1855" s="795"/>
      <c r="O1855" s="795"/>
      <c r="P1855" s="795"/>
      <c r="Q1855" s="795"/>
      <c r="R1855" s="795"/>
      <c r="S1855" s="795"/>
      <c r="T1855" s="795"/>
      <c r="U1855" s="795"/>
      <c r="V1855" s="795"/>
      <c r="W1855" s="795"/>
      <c r="X1855" s="795"/>
      <c r="Y1855" s="795"/>
      <c r="Z1855" s="795"/>
      <c r="AA1855" s="795"/>
      <c r="AB1855" s="795"/>
      <c r="AC1855" s="795"/>
      <c r="AD1855" s="795"/>
      <c r="AE1855" s="795"/>
      <c r="AF1855"/>
      <c r="AK1855">
        <f>SUM(AK1848:AK1854)</f>
        <v>0</v>
      </c>
      <c r="AM1855">
        <f>SUM(AM1848:AM1854)</f>
        <v>0</v>
      </c>
      <c r="AN1855">
        <f>SUM(AN1848:AN1854)</f>
        <v>0</v>
      </c>
      <c r="AP1855">
        <f>SUM(AP1848:AP1854)</f>
        <v>0</v>
      </c>
      <c r="AQ1855">
        <f>SUM(AQ1848:AQ1854)</f>
        <v>0</v>
      </c>
      <c r="AS1855">
        <f>SUM(AS1848:AS1854)</f>
        <v>0</v>
      </c>
      <c r="AT1855">
        <f>SUM(AT1848:AT1854)</f>
        <v>0</v>
      </c>
      <c r="AV1855">
        <f>SUM(AV1848:AV1854)</f>
        <v>0</v>
      </c>
      <c r="AW1855">
        <f>SUM(AW1848:AW1854)</f>
        <v>0</v>
      </c>
      <c r="AY1855">
        <f>SUM(AY1848:AY1854)</f>
        <v>0</v>
      </c>
      <c r="AZ1855"/>
      <c r="BA1855"/>
      <c r="BB1855"/>
      <c r="BC1855"/>
      <c r="BD1855"/>
      <c r="BE1855"/>
      <c r="BF1855"/>
      <c r="BG1855"/>
      <c r="BH1855"/>
      <c r="BI1855"/>
      <c r="BJ1855"/>
      <c r="BK1855"/>
      <c r="BL1855"/>
      <c r="BM1855"/>
      <c r="BN1855" s="405">
        <f>SUM(AZ1848:BN1854)</f>
        <v>0</v>
      </c>
      <c r="BO1855"/>
      <c r="BP1855"/>
      <c r="BQ1855"/>
      <c r="BR1855"/>
      <c r="BS1855"/>
      <c r="BT1855"/>
      <c r="BU1855"/>
      <c r="BV1855"/>
      <c r="BW1855"/>
      <c r="BX1855"/>
      <c r="BY1855"/>
      <c r="BZ1855"/>
      <c r="CA1855"/>
      <c r="CB1855"/>
      <c r="CC1855" s="405">
        <f>SUM(BO1848:CC1854)</f>
        <v>0</v>
      </c>
    </row>
    <row r="1856" spans="1:81" ht="24" customHeight="1">
      <c r="A1856" s="49"/>
      <c r="B1856" s="38"/>
      <c r="C1856" s="754" t="s">
        <v>2611</v>
      </c>
      <c r="D1856" s="754"/>
      <c r="E1856" s="754"/>
      <c r="F1856" s="754"/>
      <c r="G1856" s="754"/>
      <c r="H1856" s="754"/>
      <c r="I1856" s="754"/>
      <c r="J1856" s="754"/>
      <c r="K1856" s="754"/>
      <c r="L1856" s="754"/>
      <c r="M1856" s="754"/>
      <c r="N1856" s="754"/>
      <c r="O1856" s="754"/>
      <c r="P1856" s="754"/>
      <c r="Q1856" s="754"/>
      <c r="R1856" s="754"/>
      <c r="S1856" s="754"/>
      <c r="T1856" s="754"/>
      <c r="U1856" s="754"/>
      <c r="V1856" s="754"/>
      <c r="W1856" s="754"/>
      <c r="X1856" s="754"/>
      <c r="Y1856" s="754"/>
      <c r="Z1856" s="754"/>
      <c r="AA1856" s="754"/>
      <c r="AB1856" s="754"/>
      <c r="AC1856" s="754"/>
      <c r="AD1856" s="754"/>
      <c r="AF1856"/>
      <c r="AK1856" t="s">
        <v>2650</v>
      </c>
      <c r="AL1856" s="405">
        <f>SUM(AM1855,AP1855,AS1855,AV1855,AY1855)</f>
        <v>0</v>
      </c>
      <c r="AM1856" t="s">
        <v>2651</v>
      </c>
      <c r="AN1856">
        <f>SUM(AK1855,AN1855,AQ1855,AT1855,AW1855)</f>
        <v>0</v>
      </c>
      <c r="AZ1856"/>
      <c r="BA1856"/>
      <c r="BB1856"/>
      <c r="BC1856"/>
      <c r="BD1856"/>
      <c r="BE1856"/>
      <c r="BF1856"/>
      <c r="BG1856"/>
      <c r="BH1856"/>
      <c r="BI1856"/>
      <c r="BJ1856"/>
      <c r="BK1856"/>
      <c r="BL1856"/>
      <c r="BM1856"/>
      <c r="BN1856" s="506">
        <f>SUM(BN1855,BN1843)</f>
        <v>0</v>
      </c>
      <c r="BO1856"/>
      <c r="BP1856"/>
      <c r="BQ1856"/>
      <c r="BR1856"/>
      <c r="BS1856"/>
      <c r="BT1856"/>
      <c r="BU1856"/>
      <c r="BV1856"/>
      <c r="BW1856"/>
      <c r="BX1856"/>
      <c r="BY1856"/>
      <c r="BZ1856"/>
      <c r="CA1856"/>
      <c r="CB1856"/>
      <c r="CC1856" s="506">
        <f>SUM(CC1855,CC1843)</f>
        <v>0</v>
      </c>
    </row>
    <row r="1857" spans="1:81" ht="60" customHeight="1">
      <c r="A1857" s="49"/>
      <c r="B1857" s="38"/>
      <c r="C1857" s="851"/>
      <c r="D1857" s="851"/>
      <c r="E1857" s="851"/>
      <c r="F1857" s="851"/>
      <c r="G1857" s="851"/>
      <c r="H1857" s="851"/>
      <c r="I1857" s="851"/>
      <c r="J1857" s="851"/>
      <c r="K1857" s="851"/>
      <c r="L1857" s="851"/>
      <c r="M1857" s="851"/>
      <c r="N1857" s="851"/>
      <c r="O1857" s="851"/>
      <c r="P1857" s="851"/>
      <c r="Q1857" s="851"/>
      <c r="R1857" s="851"/>
      <c r="S1857" s="851"/>
      <c r="T1857" s="851"/>
      <c r="U1857" s="851"/>
      <c r="V1857" s="851"/>
      <c r="W1857" s="851"/>
      <c r="X1857" s="851"/>
      <c r="Y1857" s="851"/>
      <c r="Z1857" s="851"/>
      <c r="AA1857" s="851"/>
      <c r="AB1857" s="851"/>
      <c r="AC1857" s="851"/>
      <c r="AD1857" s="851"/>
      <c r="AF1857"/>
      <c r="AK1857" t="s">
        <v>2652</v>
      </c>
      <c r="AL1857">
        <f>IF(AN1856&gt;0,IF(SUM(P1855)&gt;=SUM(S1855,V1855,Y1855,AB1855),0,1),IF(SUM(P1855)&lt;&gt;SUM(S1855,V1855,Y1855,AB1855),1,0))</f>
        <v>0</v>
      </c>
      <c r="AM1857" t="s">
        <v>2653</v>
      </c>
      <c r="AN1857">
        <f>IF(AN1856&gt;0,IF(SUM(Q1855)&gt;=SUM(T1855,W1855,Z1855,AC1855),0,1),IF(SUM(Q1855)&lt;&gt;SUM(T1855,W1855,Z1855,AC1855),1,0))</f>
        <v>0</v>
      </c>
      <c r="AO1857" t="s">
        <v>2654</v>
      </c>
      <c r="AP1857">
        <f>IF(AN1856&gt;0,IF(SUM(R1855)&gt;=SUM(U1855,X1855,AA1855,AD1855),0,1),IF(SUM(R1855)&lt;&gt;SUM(U1855,X1855,AA1855,AD1855),1,0))</f>
        <v>0</v>
      </c>
      <c r="AZ1857"/>
      <c r="BA1857"/>
      <c r="BB1857"/>
      <c r="BC1857"/>
      <c r="BD1857"/>
      <c r="BE1857"/>
      <c r="BF1857"/>
      <c r="BG1857"/>
      <c r="BH1857"/>
      <c r="BI1857"/>
      <c r="BJ1857"/>
      <c r="BK1857"/>
      <c r="BL1857"/>
      <c r="BM1857"/>
      <c r="BN1857"/>
      <c r="BO1857"/>
      <c r="BP1857"/>
      <c r="BQ1857"/>
      <c r="BR1857"/>
      <c r="BS1857"/>
      <c r="BT1857"/>
      <c r="BU1857"/>
      <c r="BV1857"/>
      <c r="BW1857"/>
      <c r="BX1857"/>
      <c r="BY1857"/>
      <c r="BZ1857"/>
      <c r="CA1857"/>
      <c r="CB1857"/>
      <c r="CC1857"/>
    </row>
    <row r="1858" spans="1:81" ht="15" customHeight="1">
      <c r="B1858" s="1003" t="str">
        <f>IF(AG1843=0,"","Favor de ingresar toda la información requerida en la pregunta")</f>
        <v/>
      </c>
      <c r="C1858" s="1003"/>
      <c r="D1858" s="1003"/>
      <c r="E1858" s="1003"/>
      <c r="F1858" s="1003"/>
      <c r="G1858" s="1003"/>
      <c r="H1858" s="1003"/>
      <c r="I1858" s="1003"/>
      <c r="J1858" s="1003"/>
      <c r="K1858" s="1003"/>
      <c r="L1858" s="1003"/>
      <c r="M1858" s="1003"/>
      <c r="N1858" s="1003"/>
      <c r="O1858" s="1003"/>
      <c r="P1858" s="1003"/>
      <c r="Q1858" s="1003"/>
      <c r="R1858" s="1003"/>
      <c r="S1858" s="1003"/>
      <c r="T1858" s="1003"/>
      <c r="U1858" s="1003"/>
      <c r="V1858" s="1003"/>
      <c r="W1858" s="1003"/>
      <c r="X1858" s="1003"/>
      <c r="Y1858" s="1003"/>
      <c r="Z1858" s="1003"/>
      <c r="AA1858" s="1003"/>
      <c r="AB1858" s="1003"/>
      <c r="AC1858" s="1003"/>
      <c r="AD1858" s="1003"/>
      <c r="AE1858" s="1003"/>
      <c r="AF1858"/>
      <c r="AK1858" t="s">
        <v>5140</v>
      </c>
      <c r="AL1858" s="507">
        <f>SUM(AL1856,AL1844)-COUNTIF(P1836:P1842,"NA")</f>
        <v>0</v>
      </c>
      <c r="AZ1858"/>
      <c r="BA1858"/>
      <c r="BB1858"/>
      <c r="BC1858"/>
      <c r="BD1858"/>
      <c r="BE1858"/>
      <c r="BF1858"/>
      <c r="BG1858"/>
      <c r="BH1858"/>
      <c r="BI1858"/>
      <c r="BJ1858"/>
      <c r="BK1858"/>
      <c r="BL1858"/>
      <c r="BM1858"/>
      <c r="BN1858"/>
      <c r="BO1858"/>
      <c r="BP1858"/>
      <c r="BQ1858"/>
      <c r="BR1858"/>
      <c r="BS1858"/>
      <c r="BT1858"/>
      <c r="BU1858"/>
      <c r="BV1858"/>
      <c r="BW1858"/>
      <c r="BX1858"/>
      <c r="BY1858"/>
      <c r="BZ1858"/>
      <c r="CA1858"/>
      <c r="CB1858"/>
      <c r="CC1858"/>
    </row>
    <row r="1859" spans="1:81" ht="15" customHeight="1">
      <c r="B1859" s="1087" t="str">
        <f>IF(SUM(COUNTIF(P1836:AD1842,"NS"),COUNTIF(P1848:AD1854,"NS"))&lt;&gt;0,"Alerta: debido a que cuenta con registros NS, debe proporcionar una justificación en el area de comentarios al final de la pregunta","")</f>
        <v/>
      </c>
      <c r="C1859" s="1087"/>
      <c r="D1859" s="1087"/>
      <c r="E1859" s="1087"/>
      <c r="F1859" s="1087"/>
      <c r="G1859" s="1087"/>
      <c r="H1859" s="1087"/>
      <c r="I1859" s="1087"/>
      <c r="J1859" s="1087"/>
      <c r="K1859" s="1087"/>
      <c r="L1859" s="1087"/>
      <c r="M1859" s="1087"/>
      <c r="N1859" s="1087"/>
      <c r="O1859" s="1087"/>
      <c r="P1859" s="1087"/>
      <c r="Q1859" s="1087"/>
      <c r="R1859" s="1087"/>
      <c r="S1859" s="1087"/>
      <c r="T1859" s="1087"/>
      <c r="U1859" s="1087"/>
      <c r="V1859" s="1087"/>
      <c r="W1859" s="1087"/>
      <c r="X1859" s="1087"/>
      <c r="Y1859" s="1087"/>
      <c r="Z1859" s="1087"/>
      <c r="AA1859" s="1087"/>
      <c r="AB1859" s="1087"/>
      <c r="AC1859" s="1087"/>
      <c r="AD1859" s="1087"/>
      <c r="AE1859" s="1087"/>
    </row>
    <row r="1860" spans="1:81" ht="15" customHeight="1">
      <c r="B1860" s="1003" t="str">
        <f>IF(AH1843=0,"","Revise la información capturada, ya que tiene datos ingresados en celdas que están sombreadas")</f>
        <v/>
      </c>
      <c r="C1860" s="1003"/>
      <c r="D1860" s="1003"/>
      <c r="E1860" s="1003"/>
      <c r="F1860" s="1003"/>
      <c r="G1860" s="1003"/>
      <c r="H1860" s="1003"/>
      <c r="I1860" s="1003"/>
      <c r="J1860" s="1003"/>
      <c r="K1860" s="1003"/>
      <c r="L1860" s="1003"/>
      <c r="M1860" s="1003"/>
      <c r="N1860" s="1003"/>
      <c r="O1860" s="1003"/>
      <c r="P1860" s="1003"/>
      <c r="Q1860" s="1003"/>
      <c r="R1860" s="1003"/>
      <c r="S1860" s="1003"/>
      <c r="T1860" s="1003"/>
      <c r="U1860" s="1003"/>
      <c r="V1860" s="1003"/>
      <c r="W1860" s="1003"/>
      <c r="X1860" s="1003"/>
      <c r="Y1860" s="1003"/>
      <c r="Z1860" s="1003"/>
      <c r="AA1860" s="1003"/>
      <c r="AB1860" s="1003"/>
      <c r="AC1860" s="1003"/>
      <c r="AD1860" s="1003"/>
      <c r="AE1860" s="1003"/>
    </row>
    <row r="1861" spans="1:81" ht="15" customHeight="1">
      <c r="B1861" s="1003" t="str">
        <f>IF(AL1858&gt;0,"Favor de revisar la suma y consistencia de totales y/o subtotales por filas (numéricos y NS)",IF(AF1836&gt;0,"Debido a que reportó NA para cierto delito, también anote NA en sus respectivos tipos específicos",""))</f>
        <v/>
      </c>
      <c r="C1861" s="1003"/>
      <c r="D1861" s="1003"/>
      <c r="E1861" s="1003"/>
      <c r="F1861" s="1003"/>
      <c r="G1861" s="1003"/>
      <c r="H1861" s="1003"/>
      <c r="I1861" s="1003"/>
      <c r="J1861" s="1003"/>
      <c r="K1861" s="1003"/>
      <c r="L1861" s="1003"/>
      <c r="M1861" s="1003"/>
      <c r="N1861" s="1003"/>
      <c r="O1861" s="1003"/>
      <c r="P1861" s="1003"/>
      <c r="Q1861" s="1003"/>
      <c r="R1861" s="1003"/>
      <c r="S1861" s="1003"/>
      <c r="T1861" s="1003"/>
      <c r="U1861" s="1003"/>
      <c r="V1861" s="1003"/>
      <c r="W1861" s="1003"/>
      <c r="X1861" s="1003"/>
      <c r="Y1861" s="1003"/>
      <c r="Z1861" s="1003"/>
      <c r="AA1861" s="1003"/>
      <c r="AB1861" s="1003"/>
      <c r="AC1861" s="1003"/>
      <c r="AD1861" s="1003"/>
      <c r="AE1861" s="1003"/>
    </row>
    <row r="1862" spans="1:81" ht="15" customHeight="1">
      <c r="B1862" s="794" t="str">
        <f>IF(BB1843&gt;0,"Favor de revisar la instrucción 1, debido a que no se cumplen con los criterios mencionados","")</f>
        <v/>
      </c>
      <c r="C1862" s="794"/>
      <c r="D1862" s="794"/>
      <c r="E1862" s="794"/>
      <c r="F1862" s="794"/>
      <c r="G1862" s="794"/>
      <c r="H1862" s="794"/>
      <c r="I1862" s="794"/>
      <c r="J1862" s="794"/>
      <c r="K1862" s="794"/>
      <c r="L1862" s="794"/>
      <c r="M1862" s="794"/>
      <c r="N1862" s="794"/>
      <c r="O1862" s="794"/>
      <c r="P1862" s="794"/>
      <c r="Q1862" s="794"/>
      <c r="R1862" s="794"/>
      <c r="S1862" s="794"/>
      <c r="T1862" s="794"/>
      <c r="U1862" s="794"/>
      <c r="V1862" s="794"/>
      <c r="W1862" s="794"/>
      <c r="X1862" s="794"/>
      <c r="Y1862" s="794"/>
      <c r="Z1862" s="794"/>
      <c r="AA1862" s="794"/>
      <c r="AB1862" s="794"/>
      <c r="AC1862" s="794"/>
      <c r="AD1862" s="794"/>
      <c r="AE1862" s="794"/>
    </row>
    <row r="1863" spans="1:81" ht="15" customHeight="1">
      <c r="B1863" s="795" t="str">
        <f>IF(CC1856&gt;0,"Alerta: debe de proporcionar una justificación de acuerdo a lo establecido en la instrucción 3","")</f>
        <v/>
      </c>
      <c r="C1863" s="795"/>
      <c r="D1863" s="795"/>
      <c r="E1863" s="795"/>
      <c r="F1863" s="795"/>
      <c r="G1863" s="795"/>
      <c r="H1863" s="795"/>
      <c r="I1863" s="795"/>
      <c r="J1863" s="795"/>
      <c r="K1863" s="795"/>
      <c r="L1863" s="795"/>
      <c r="M1863" s="795"/>
      <c r="N1863" s="795"/>
      <c r="O1863" s="795"/>
      <c r="P1863" s="795"/>
      <c r="Q1863" s="795"/>
      <c r="R1863" s="795"/>
      <c r="S1863" s="795"/>
      <c r="T1863" s="795"/>
      <c r="U1863" s="795"/>
      <c r="V1863" s="795"/>
      <c r="W1863" s="795"/>
      <c r="X1863" s="795"/>
      <c r="Y1863" s="795"/>
      <c r="Z1863" s="795"/>
      <c r="AA1863" s="795"/>
      <c r="AB1863" s="795"/>
      <c r="AC1863" s="795"/>
      <c r="AD1863" s="795"/>
      <c r="AE1863" s="795"/>
    </row>
  </sheetData>
  <sheetProtection algorithmName="SHA-512" hashValue="GUt1uGpg+7azy/QVb4QFLIZqBMaHt3PxdTB1CHpCLHuRBBL545qRDBqYPpO6C1NqJQRpEqx3MsNqFKl8vzvBKw==" saltValue="pPHLpAz5aGqNWLmrbWLv0w==" spinCount="100000" sheet="1" objects="1" scenarios="1"/>
  <mergeCells count="3341">
    <mergeCell ref="B1818:AE1818"/>
    <mergeCell ref="B1821:AE1821"/>
    <mergeCell ref="B1822:AE1822"/>
    <mergeCell ref="B1823:AE1823"/>
    <mergeCell ref="B1824:AE1824"/>
    <mergeCell ref="B1825:AE1825"/>
    <mergeCell ref="B1826:AE1826"/>
    <mergeCell ref="B1855:AE1855"/>
    <mergeCell ref="B1858:AE1858"/>
    <mergeCell ref="B1859:AE1859"/>
    <mergeCell ref="B1860:AE1860"/>
    <mergeCell ref="B1861:AE1861"/>
    <mergeCell ref="B1862:AE1862"/>
    <mergeCell ref="B1863:AE1863"/>
    <mergeCell ref="B1731:AE1731"/>
    <mergeCell ref="B1732:AE1732"/>
    <mergeCell ref="B1764:AE1764"/>
    <mergeCell ref="B1765:AE1765"/>
    <mergeCell ref="B1766:AE1766"/>
    <mergeCell ref="B1767:AE1767"/>
    <mergeCell ref="B1768:AE1768"/>
    <mergeCell ref="B1769:AE1769"/>
    <mergeCell ref="C1747:F1747"/>
    <mergeCell ref="C1810:F1810"/>
    <mergeCell ref="H1810:L1810"/>
    <mergeCell ref="M1810:R1810"/>
    <mergeCell ref="S1810:X1810"/>
    <mergeCell ref="Y1810:AD1810"/>
    <mergeCell ref="C1815:F1815"/>
    <mergeCell ref="H1815:L1815"/>
    <mergeCell ref="M1815:R1815"/>
    <mergeCell ref="S1815:X1815"/>
    <mergeCell ref="B1263:AE1263"/>
    <mergeCell ref="B1266:AE1266"/>
    <mergeCell ref="B1267:AE1267"/>
    <mergeCell ref="B1268:AE1268"/>
    <mergeCell ref="B1269:AE1269"/>
    <mergeCell ref="B1270:AE1270"/>
    <mergeCell ref="B1271:AE1271"/>
    <mergeCell ref="B1619:AE1619"/>
    <mergeCell ref="B1622:AE1622"/>
    <mergeCell ref="B1623:AE1623"/>
    <mergeCell ref="B1624:AE1624"/>
    <mergeCell ref="B1625:AE1625"/>
    <mergeCell ref="B1626:AE1626"/>
    <mergeCell ref="B1627:AE1627"/>
    <mergeCell ref="B1728:AE1728"/>
    <mergeCell ref="B1729:AE1729"/>
    <mergeCell ref="B1730:AE1730"/>
    <mergeCell ref="C1722:F1722"/>
    <mergeCell ref="H1722:U1722"/>
    <mergeCell ref="C1723:F1723"/>
    <mergeCell ref="G1723:U1723"/>
    <mergeCell ref="C1724:F1724"/>
    <mergeCell ref="G1724:U1724"/>
    <mergeCell ref="H1709:U1709"/>
    <mergeCell ref="H1710:U1710"/>
    <mergeCell ref="H1711:U1711"/>
    <mergeCell ref="H1712:U1712"/>
    <mergeCell ref="H1713:U1713"/>
    <mergeCell ref="G1714:U1714"/>
    <mergeCell ref="C1697:F1697"/>
    <mergeCell ref="C1692:F1692"/>
    <mergeCell ref="C1693:F1693"/>
    <mergeCell ref="Y1815:AD1815"/>
    <mergeCell ref="C1816:F1816"/>
    <mergeCell ref="G1816:L1816"/>
    <mergeCell ref="M1816:R1816"/>
    <mergeCell ref="S1816:X1816"/>
    <mergeCell ref="Y1816:AD1816"/>
    <mergeCell ref="C1817:F1817"/>
    <mergeCell ref="G1817:L1817"/>
    <mergeCell ref="M1817:R1817"/>
    <mergeCell ref="S1817:X1817"/>
    <mergeCell ref="Y1817:AD1817"/>
    <mergeCell ref="C1811:F1811"/>
    <mergeCell ref="H1811:L1811"/>
    <mergeCell ref="M1811:R1811"/>
    <mergeCell ref="S1811:X1811"/>
    <mergeCell ref="Y1811:AD1811"/>
    <mergeCell ref="C1812:F1812"/>
    <mergeCell ref="H1812:L1812"/>
    <mergeCell ref="M1812:R1812"/>
    <mergeCell ref="S1812:X1812"/>
    <mergeCell ref="Y1812:AD1812"/>
    <mergeCell ref="C1813:F1813"/>
    <mergeCell ref="H1813:L1813"/>
    <mergeCell ref="M1813:R1813"/>
    <mergeCell ref="S1813:X1813"/>
    <mergeCell ref="Y1813:AD1813"/>
    <mergeCell ref="C1814:F1814"/>
    <mergeCell ref="H1814:L1814"/>
    <mergeCell ref="C1806:F1806"/>
    <mergeCell ref="H1806:L1806"/>
    <mergeCell ref="M1806:R1806"/>
    <mergeCell ref="S1806:X1806"/>
    <mergeCell ref="Y1806:AD1806"/>
    <mergeCell ref="M1814:R1814"/>
    <mergeCell ref="S1814:X1814"/>
    <mergeCell ref="Y1814:AD1814"/>
    <mergeCell ref="C1807:F1807"/>
    <mergeCell ref="G1807:L1807"/>
    <mergeCell ref="M1807:R1807"/>
    <mergeCell ref="S1807:X1807"/>
    <mergeCell ref="Y1807:AD1807"/>
    <mergeCell ref="C1808:F1808"/>
    <mergeCell ref="H1808:L1808"/>
    <mergeCell ref="M1808:R1808"/>
    <mergeCell ref="S1808:X1808"/>
    <mergeCell ref="Y1808:AD1808"/>
    <mergeCell ref="C1809:F1809"/>
    <mergeCell ref="H1809:L1809"/>
    <mergeCell ref="M1809:R1809"/>
    <mergeCell ref="S1809:X1809"/>
    <mergeCell ref="Y1809:AD1809"/>
    <mergeCell ref="H1802:L1802"/>
    <mergeCell ref="M1802:R1802"/>
    <mergeCell ref="S1802:X1802"/>
    <mergeCell ref="Y1802:AD1802"/>
    <mergeCell ref="C1803:F1803"/>
    <mergeCell ref="H1803:L1803"/>
    <mergeCell ref="M1803:R1803"/>
    <mergeCell ref="S1803:X1803"/>
    <mergeCell ref="Y1803:AD1803"/>
    <mergeCell ref="C1804:F1804"/>
    <mergeCell ref="H1804:L1804"/>
    <mergeCell ref="M1804:R1804"/>
    <mergeCell ref="S1804:X1804"/>
    <mergeCell ref="Y1804:AD1804"/>
    <mergeCell ref="C1805:F1805"/>
    <mergeCell ref="H1805:L1805"/>
    <mergeCell ref="M1805:R1805"/>
    <mergeCell ref="S1805:X1805"/>
    <mergeCell ref="Y1805:AD1805"/>
    <mergeCell ref="H1796:L1796"/>
    <mergeCell ref="M1796:R1796"/>
    <mergeCell ref="S1796:X1796"/>
    <mergeCell ref="Y1796:AD1796"/>
    <mergeCell ref="C1797:F1797"/>
    <mergeCell ref="H1797:L1797"/>
    <mergeCell ref="M1797:R1797"/>
    <mergeCell ref="S1797:X1797"/>
    <mergeCell ref="Y1797:AD1797"/>
    <mergeCell ref="C1798:F1798"/>
    <mergeCell ref="H1798:L1798"/>
    <mergeCell ref="M1798:R1798"/>
    <mergeCell ref="S1798:X1798"/>
    <mergeCell ref="Y1798:AD1798"/>
    <mergeCell ref="C1799:F1799"/>
    <mergeCell ref="H1799:L1799"/>
    <mergeCell ref="M1799:R1799"/>
    <mergeCell ref="S1799:X1799"/>
    <mergeCell ref="Y1799:AD1799"/>
    <mergeCell ref="C1800:F1800"/>
    <mergeCell ref="G1800:L1800"/>
    <mergeCell ref="M1800:R1800"/>
    <mergeCell ref="S1800:X1800"/>
    <mergeCell ref="Y1800:AD1800"/>
    <mergeCell ref="C1801:F1801"/>
    <mergeCell ref="H1801:L1801"/>
    <mergeCell ref="M1801:R1801"/>
    <mergeCell ref="S1801:X1801"/>
    <mergeCell ref="Y1801:AD1801"/>
    <mergeCell ref="C1802:F1802"/>
    <mergeCell ref="C1792:F1792"/>
    <mergeCell ref="G1792:L1792"/>
    <mergeCell ref="M1792:R1792"/>
    <mergeCell ref="S1792:X1792"/>
    <mergeCell ref="Y1792:AD1792"/>
    <mergeCell ref="C1793:F1793"/>
    <mergeCell ref="G1793:L1793"/>
    <mergeCell ref="M1793:R1793"/>
    <mergeCell ref="S1793:X1793"/>
    <mergeCell ref="Y1793:AD1793"/>
    <mergeCell ref="C1794:F1794"/>
    <mergeCell ref="G1794:L1794"/>
    <mergeCell ref="M1794:R1794"/>
    <mergeCell ref="S1794:X1794"/>
    <mergeCell ref="Y1794:AD1794"/>
    <mergeCell ref="C1795:F1795"/>
    <mergeCell ref="H1795:L1795"/>
    <mergeCell ref="M1795:R1795"/>
    <mergeCell ref="S1795:X1795"/>
    <mergeCell ref="Y1795:AD1795"/>
    <mergeCell ref="C1796:F1796"/>
    <mergeCell ref="C1788:F1788"/>
    <mergeCell ref="G1788:L1788"/>
    <mergeCell ref="M1788:R1788"/>
    <mergeCell ref="S1788:X1788"/>
    <mergeCell ref="Y1788:AD1788"/>
    <mergeCell ref="C1789:F1789"/>
    <mergeCell ref="G1789:L1789"/>
    <mergeCell ref="M1789:R1789"/>
    <mergeCell ref="S1789:X1789"/>
    <mergeCell ref="Y1789:AD1789"/>
    <mergeCell ref="C1790:F1790"/>
    <mergeCell ref="G1790:L1790"/>
    <mergeCell ref="M1790:R1790"/>
    <mergeCell ref="S1790:X1790"/>
    <mergeCell ref="Y1790:AD1790"/>
    <mergeCell ref="C1791:F1791"/>
    <mergeCell ref="G1791:L1791"/>
    <mergeCell ref="M1791:R1791"/>
    <mergeCell ref="S1791:X1791"/>
    <mergeCell ref="Y1791:AD1791"/>
    <mergeCell ref="C1784:F1784"/>
    <mergeCell ref="H1784:L1784"/>
    <mergeCell ref="M1784:R1784"/>
    <mergeCell ref="S1784:X1784"/>
    <mergeCell ref="Y1784:AD1784"/>
    <mergeCell ref="C1785:F1785"/>
    <mergeCell ref="H1785:L1785"/>
    <mergeCell ref="M1785:R1785"/>
    <mergeCell ref="S1785:X1785"/>
    <mergeCell ref="Y1785:AD1785"/>
    <mergeCell ref="C1786:F1786"/>
    <mergeCell ref="G1786:L1786"/>
    <mergeCell ref="M1786:R1786"/>
    <mergeCell ref="S1786:X1786"/>
    <mergeCell ref="Y1786:AD1786"/>
    <mergeCell ref="C1787:F1787"/>
    <mergeCell ref="G1787:L1787"/>
    <mergeCell ref="M1787:R1787"/>
    <mergeCell ref="S1787:X1787"/>
    <mergeCell ref="Y1787:AD1787"/>
    <mergeCell ref="S1783:X1783"/>
    <mergeCell ref="Y1783:AD1783"/>
    <mergeCell ref="C1772:AD1772"/>
    <mergeCell ref="C1778:F1778"/>
    <mergeCell ref="G1778:L1778"/>
    <mergeCell ref="M1778:R1778"/>
    <mergeCell ref="S1778:X1778"/>
    <mergeCell ref="Y1778:AD1778"/>
    <mergeCell ref="C1779:F1779"/>
    <mergeCell ref="H1779:L1779"/>
    <mergeCell ref="M1779:R1779"/>
    <mergeCell ref="S1779:X1779"/>
    <mergeCell ref="Y1779:AD1779"/>
    <mergeCell ref="C1754:F1754"/>
    <mergeCell ref="G1754:O1754"/>
    <mergeCell ref="C1755:F1755"/>
    <mergeCell ref="H1755:O1755"/>
    <mergeCell ref="H1704:U1704"/>
    <mergeCell ref="H1705:U1705"/>
    <mergeCell ref="H1706:U1706"/>
    <mergeCell ref="G1707:U1707"/>
    <mergeCell ref="H1708:U1708"/>
    <mergeCell ref="Y1780:AD1780"/>
    <mergeCell ref="C1759:F1759"/>
    <mergeCell ref="H1759:O1759"/>
    <mergeCell ref="C1760:F1760"/>
    <mergeCell ref="H1760:O1760"/>
    <mergeCell ref="C1762:AD1762"/>
    <mergeCell ref="C1763:AD1763"/>
    <mergeCell ref="C1756:F1756"/>
    <mergeCell ref="H1756:O1756"/>
    <mergeCell ref="C1757:F1757"/>
    <mergeCell ref="H1757:O1757"/>
    <mergeCell ref="C1758:F1758"/>
    <mergeCell ref="H1758:O1758"/>
    <mergeCell ref="Y1752:AA1752"/>
    <mergeCell ref="AB1752:AD1752"/>
    <mergeCell ref="C1673:F1673"/>
    <mergeCell ref="H1673:O1673"/>
    <mergeCell ref="C1674:F1674"/>
    <mergeCell ref="H1674:O1674"/>
    <mergeCell ref="C1675:F1675"/>
    <mergeCell ref="H1675:O1675"/>
    <mergeCell ref="C1676:F1676"/>
    <mergeCell ref="H1676:O1676"/>
    <mergeCell ref="C1677:F1677"/>
    <mergeCell ref="G1677:O1677"/>
    <mergeCell ref="H1747:O1747"/>
    <mergeCell ref="C1748:F1748"/>
    <mergeCell ref="H1748:O1748"/>
    <mergeCell ref="AA1750:AD1750"/>
    <mergeCell ref="C1751:O1753"/>
    <mergeCell ref="P1751:AD1751"/>
    <mergeCell ref="P1752:R1752"/>
    <mergeCell ref="S1752:U1752"/>
    <mergeCell ref="V1752:X1752"/>
    <mergeCell ref="C1744:F1744"/>
    <mergeCell ref="C1678:F1678"/>
    <mergeCell ref="G1678:O1678"/>
    <mergeCell ref="H1715:U1715"/>
    <mergeCell ref="C1716:F1716"/>
    <mergeCell ref="H1716:U1716"/>
    <mergeCell ref="C1717:F1717"/>
    <mergeCell ref="H1717:U1717"/>
    <mergeCell ref="C1718:F1718"/>
    <mergeCell ref="H1718:U1718"/>
    <mergeCell ref="C1719:F1719"/>
    <mergeCell ref="H1719:U1719"/>
    <mergeCell ref="C1720:F1720"/>
    <mergeCell ref="C1685:F1685"/>
    <mergeCell ref="C1695:F1695"/>
    <mergeCell ref="H1660:O1660"/>
    <mergeCell ref="C1661:F1661"/>
    <mergeCell ref="G1661:O1661"/>
    <mergeCell ref="C1662:F1662"/>
    <mergeCell ref="H1662:O1662"/>
    <mergeCell ref="C1663:F1663"/>
    <mergeCell ref="H1663:O1663"/>
    <mergeCell ref="C1664:F1664"/>
    <mergeCell ref="H1664:O1664"/>
    <mergeCell ref="C1665:F1665"/>
    <mergeCell ref="H1665:O1665"/>
    <mergeCell ref="C1666:F1666"/>
    <mergeCell ref="H1666:O1666"/>
    <mergeCell ref="C1667:F1667"/>
    <mergeCell ref="H1667:O1667"/>
    <mergeCell ref="C1668:F1668"/>
    <mergeCell ref="G1668:O1668"/>
    <mergeCell ref="C1686:F1686"/>
    <mergeCell ref="H1686:U1686"/>
    <mergeCell ref="C1687:F1687"/>
    <mergeCell ref="H1687:U1687"/>
    <mergeCell ref="C1694:F1694"/>
    <mergeCell ref="C1669:F1669"/>
    <mergeCell ref="H1669:O1669"/>
    <mergeCell ref="C1670:F1670"/>
    <mergeCell ref="H1670:O1670"/>
    <mergeCell ref="C1671:F1671"/>
    <mergeCell ref="H1671:O1671"/>
    <mergeCell ref="C1672:F1672"/>
    <mergeCell ref="H1672:O1672"/>
    <mergeCell ref="AA1680:AD1680"/>
    <mergeCell ref="C1681:U1684"/>
    <mergeCell ref="V1681:AD1681"/>
    <mergeCell ref="V1682:AD1682"/>
    <mergeCell ref="V1683:X1683"/>
    <mergeCell ref="Y1683:AA1683"/>
    <mergeCell ref="AB1683:AD1683"/>
    <mergeCell ref="G1685:U1685"/>
    <mergeCell ref="C1715:F1715"/>
    <mergeCell ref="C1710:F1710"/>
    <mergeCell ref="C1711:F1711"/>
    <mergeCell ref="C1712:F1712"/>
    <mergeCell ref="C1707:F1707"/>
    <mergeCell ref="C1708:F1708"/>
    <mergeCell ref="C1709:F1709"/>
    <mergeCell ref="C1652:F1652"/>
    <mergeCell ref="G1652:O1652"/>
    <mergeCell ref="C1653:F1653"/>
    <mergeCell ref="G1653:O1653"/>
    <mergeCell ref="C1654:F1654"/>
    <mergeCell ref="G1654:O1654"/>
    <mergeCell ref="C1655:F1655"/>
    <mergeCell ref="G1655:O1655"/>
    <mergeCell ref="C1656:F1656"/>
    <mergeCell ref="H1656:O1656"/>
    <mergeCell ref="C1657:F1657"/>
    <mergeCell ref="H1657:O1657"/>
    <mergeCell ref="C1658:F1658"/>
    <mergeCell ref="H1658:O1658"/>
    <mergeCell ref="C1659:F1659"/>
    <mergeCell ref="H1659:O1659"/>
    <mergeCell ref="C1704:F1704"/>
    <mergeCell ref="C1395:C1411"/>
    <mergeCell ref="D1395:E1411"/>
    <mergeCell ref="C1412:C1444"/>
    <mergeCell ref="D1412:E1444"/>
    <mergeCell ref="C1632:AD1632"/>
    <mergeCell ref="B1630:AD1630"/>
    <mergeCell ref="C1639:F1639"/>
    <mergeCell ref="G1639:O1639"/>
    <mergeCell ref="C1640:F1640"/>
    <mergeCell ref="H1640:O1640"/>
    <mergeCell ref="C1641:F1641"/>
    <mergeCell ref="H1641:O1641"/>
    <mergeCell ref="C1642:F1642"/>
    <mergeCell ref="H1642:O1642"/>
    <mergeCell ref="C1643:F1643"/>
    <mergeCell ref="G1643:O1643"/>
    <mergeCell ref="C1644:F1644"/>
    <mergeCell ref="H1644:O1644"/>
    <mergeCell ref="F1437:G1437"/>
    <mergeCell ref="H1437:O1437"/>
    <mergeCell ref="F1438:G1438"/>
    <mergeCell ref="I1438:O1438"/>
    <mergeCell ref="F1439:G1439"/>
    <mergeCell ref="I1439:O1439"/>
    <mergeCell ref="F1434:G1434"/>
    <mergeCell ref="H1434:O1434"/>
    <mergeCell ref="F1435:G1435"/>
    <mergeCell ref="H1435:O1435"/>
    <mergeCell ref="F1436:G1436"/>
    <mergeCell ref="H1436:O1436"/>
    <mergeCell ref="F1431:G1431"/>
    <mergeCell ref="H1431:O1431"/>
    <mergeCell ref="D1039:E1055"/>
    <mergeCell ref="F1055:G1055"/>
    <mergeCell ref="H1055:O1055"/>
    <mergeCell ref="F1049:G1049"/>
    <mergeCell ref="H1049:O1049"/>
    <mergeCell ref="F1034:G1034"/>
    <mergeCell ref="I1034:O1034"/>
    <mergeCell ref="F1029:G1029"/>
    <mergeCell ref="F1042:G1042"/>
    <mergeCell ref="I1042:O1042"/>
    <mergeCell ref="F1043:G1043"/>
    <mergeCell ref="I1044:O1044"/>
    <mergeCell ref="F1038:G1038"/>
    <mergeCell ref="H1038:O1038"/>
    <mergeCell ref="F1039:G1039"/>
    <mergeCell ref="H1039:O1039"/>
    <mergeCell ref="F1040:G1040"/>
    <mergeCell ref="I1040:O1040"/>
    <mergeCell ref="F1041:G1041"/>
    <mergeCell ref="F1045:G1045"/>
    <mergeCell ref="F1419:G1419"/>
    <mergeCell ref="I1419:O1419"/>
    <mergeCell ref="F1420:G1420"/>
    <mergeCell ref="I1420:O1420"/>
    <mergeCell ref="D696:U696"/>
    <mergeCell ref="D697:U697"/>
    <mergeCell ref="D698:U698"/>
    <mergeCell ref="F1424:G1424"/>
    <mergeCell ref="H1424:O1424"/>
    <mergeCell ref="H1414:O1414"/>
    <mergeCell ref="F1415:G1415"/>
    <mergeCell ref="H1415:O1415"/>
    <mergeCell ref="F1403:G1403"/>
    <mergeCell ref="I1403:O1403"/>
    <mergeCell ref="F1421:G1421"/>
    <mergeCell ref="I1421:O1421"/>
    <mergeCell ref="F1416:G1416"/>
    <mergeCell ref="F1418:G1418"/>
    <mergeCell ref="I1418:O1418"/>
    <mergeCell ref="F1413:G1413"/>
    <mergeCell ref="H1413:O1413"/>
    <mergeCell ref="D699:U699"/>
    <mergeCell ref="D700:U700"/>
    <mergeCell ref="D701:U701"/>
    <mergeCell ref="D702:U702"/>
    <mergeCell ref="D703:U703"/>
    <mergeCell ref="D704:U704"/>
    <mergeCell ref="D705:U705"/>
    <mergeCell ref="C708:AD708"/>
    <mergeCell ref="C709:AD709"/>
    <mergeCell ref="C741:AD741"/>
    <mergeCell ref="C742:AD742"/>
    <mergeCell ref="C1854:F1854"/>
    <mergeCell ref="H1854:O1854"/>
    <mergeCell ref="C1856:AD1856"/>
    <mergeCell ref="C1857:AD1857"/>
    <mergeCell ref="C1851:F1851"/>
    <mergeCell ref="H1851:O1851"/>
    <mergeCell ref="C1852:F1852"/>
    <mergeCell ref="H1852:O1852"/>
    <mergeCell ref="C1853:F1853"/>
    <mergeCell ref="H1853:O1853"/>
    <mergeCell ref="C1848:F1848"/>
    <mergeCell ref="G1848:O1848"/>
    <mergeCell ref="C1849:F1849"/>
    <mergeCell ref="H1849:O1849"/>
    <mergeCell ref="C1850:F1850"/>
    <mergeCell ref="H1850:O1850"/>
    <mergeCell ref="C1842:F1842"/>
    <mergeCell ref="H1842:O1842"/>
    <mergeCell ref="AA1844:AD1844"/>
    <mergeCell ref="C1845:O1847"/>
    <mergeCell ref="P1845:AD1845"/>
    <mergeCell ref="P1846:R1846"/>
    <mergeCell ref="S1846:U1846"/>
    <mergeCell ref="V1846:X1846"/>
    <mergeCell ref="Y1846:AA1846"/>
    <mergeCell ref="AB1846:AD1846"/>
    <mergeCell ref="C1839:F1839"/>
    <mergeCell ref="H1839:O1839"/>
    <mergeCell ref="C1840:F1840"/>
    <mergeCell ref="H1840:O1840"/>
    <mergeCell ref="C1841:F1841"/>
    <mergeCell ref="H1841:O1841"/>
    <mergeCell ref="C1836:F1836"/>
    <mergeCell ref="G1836:O1836"/>
    <mergeCell ref="C1837:F1837"/>
    <mergeCell ref="H1837:O1837"/>
    <mergeCell ref="C1838:F1838"/>
    <mergeCell ref="H1838:O1838"/>
    <mergeCell ref="AA1832:AD1832"/>
    <mergeCell ref="C1833:O1835"/>
    <mergeCell ref="P1833:AD1833"/>
    <mergeCell ref="P1834:P1835"/>
    <mergeCell ref="Q1834:Q1835"/>
    <mergeCell ref="R1834:R1835"/>
    <mergeCell ref="S1834:U1834"/>
    <mergeCell ref="V1834:X1834"/>
    <mergeCell ref="Y1834:AA1834"/>
    <mergeCell ref="AB1834:AD1834"/>
    <mergeCell ref="C1820:AD1820"/>
    <mergeCell ref="C1828:AD1828"/>
    <mergeCell ref="C1830:AD1830"/>
    <mergeCell ref="C1819:AD1819"/>
    <mergeCell ref="C1829:AD1829"/>
    <mergeCell ref="C1774:AD1774"/>
    <mergeCell ref="C1776:L1777"/>
    <mergeCell ref="M1776:AD1776"/>
    <mergeCell ref="M1777:R1777"/>
    <mergeCell ref="S1777:X1777"/>
    <mergeCell ref="Y1777:AD1777"/>
    <mergeCell ref="B1770:AD1770"/>
    <mergeCell ref="C1771:AD1771"/>
    <mergeCell ref="C1773:AD1773"/>
    <mergeCell ref="C1781:F1781"/>
    <mergeCell ref="H1781:L1781"/>
    <mergeCell ref="M1781:R1781"/>
    <mergeCell ref="S1781:X1781"/>
    <mergeCell ref="Y1781:AD1781"/>
    <mergeCell ref="C1782:F1782"/>
    <mergeCell ref="G1782:L1782"/>
    <mergeCell ref="M1782:R1782"/>
    <mergeCell ref="S1782:X1782"/>
    <mergeCell ref="Y1782:AD1782"/>
    <mergeCell ref="C1783:F1783"/>
    <mergeCell ref="H1783:L1783"/>
    <mergeCell ref="M1783:R1783"/>
    <mergeCell ref="B1827:AD1827"/>
    <mergeCell ref="C1780:F1780"/>
    <mergeCell ref="H1780:L1780"/>
    <mergeCell ref="M1780:R1780"/>
    <mergeCell ref="S1780:X1780"/>
    <mergeCell ref="C1689:F1689"/>
    <mergeCell ref="C1690:F1690"/>
    <mergeCell ref="C1691:F1691"/>
    <mergeCell ref="C1688:F1688"/>
    <mergeCell ref="C1713:F1713"/>
    <mergeCell ref="C1714:F1714"/>
    <mergeCell ref="H1744:O1744"/>
    <mergeCell ref="C1745:F1745"/>
    <mergeCell ref="H1745:O1745"/>
    <mergeCell ref="C1746:F1746"/>
    <mergeCell ref="H1746:O1746"/>
    <mergeCell ref="Y1740:AA1740"/>
    <mergeCell ref="AB1740:AD1740"/>
    <mergeCell ref="C1742:F1742"/>
    <mergeCell ref="G1742:O1742"/>
    <mergeCell ref="C1743:F1743"/>
    <mergeCell ref="H1743:O1743"/>
    <mergeCell ref="C1739:O1741"/>
    <mergeCell ref="P1739:AD1739"/>
    <mergeCell ref="P1740:P1741"/>
    <mergeCell ref="Q1740:Q1741"/>
    <mergeCell ref="R1740:R1741"/>
    <mergeCell ref="S1740:U1740"/>
    <mergeCell ref="V1740:X1740"/>
    <mergeCell ref="B1734:AD1734"/>
    <mergeCell ref="C1705:F1705"/>
    <mergeCell ref="C1696:F1696"/>
    <mergeCell ref="H1720:U1720"/>
    <mergeCell ref="C1721:F1721"/>
    <mergeCell ref="H1721:U1721"/>
    <mergeCell ref="H1702:U1702"/>
    <mergeCell ref="H1703:U1703"/>
    <mergeCell ref="C1645:F1645"/>
    <mergeCell ref="H1645:O1645"/>
    <mergeCell ref="C1646:F1646"/>
    <mergeCell ref="H1646:O1646"/>
    <mergeCell ref="C1647:F1647"/>
    <mergeCell ref="G1647:O1647"/>
    <mergeCell ref="AA1738:AD1738"/>
    <mergeCell ref="C1726:AD1726"/>
    <mergeCell ref="C1727:AD1727"/>
    <mergeCell ref="C1735:AD1735"/>
    <mergeCell ref="C1736:AD1736"/>
    <mergeCell ref="H1688:U1688"/>
    <mergeCell ref="G1689:U1689"/>
    <mergeCell ref="H1690:U1690"/>
    <mergeCell ref="H1691:U1691"/>
    <mergeCell ref="H1692:U1692"/>
    <mergeCell ref="G1693:U1693"/>
    <mergeCell ref="G1694:U1694"/>
    <mergeCell ref="G1695:U1695"/>
    <mergeCell ref="G1696:U1696"/>
    <mergeCell ref="G1697:U1697"/>
    <mergeCell ref="G1698:U1698"/>
    <mergeCell ref="G1699:U1699"/>
    <mergeCell ref="G1700:U1700"/>
    <mergeCell ref="G1701:U1701"/>
    <mergeCell ref="C1706:F1706"/>
    <mergeCell ref="C1701:F1701"/>
    <mergeCell ref="C1702:F1702"/>
    <mergeCell ref="C1703:F1703"/>
    <mergeCell ref="C1698:F1698"/>
    <mergeCell ref="C1699:F1699"/>
    <mergeCell ref="C1700:F1700"/>
    <mergeCell ref="C1648:F1648"/>
    <mergeCell ref="G1648:O1648"/>
    <mergeCell ref="C1649:F1649"/>
    <mergeCell ref="G1649:O1649"/>
    <mergeCell ref="C1650:F1650"/>
    <mergeCell ref="G1650:O1650"/>
    <mergeCell ref="C1651:F1651"/>
    <mergeCell ref="G1651:O1651"/>
    <mergeCell ref="C1660:F1660"/>
    <mergeCell ref="C1617:H1617"/>
    <mergeCell ref="I1617:U1617"/>
    <mergeCell ref="C1620:AD1620"/>
    <mergeCell ref="C1621:AD1621"/>
    <mergeCell ref="B1628:AD1628"/>
    <mergeCell ref="G1614:H1614"/>
    <mergeCell ref="J1614:U1614"/>
    <mergeCell ref="G1615:H1615"/>
    <mergeCell ref="I1615:U1615"/>
    <mergeCell ref="G1616:H1616"/>
    <mergeCell ref="I1616:U1616"/>
    <mergeCell ref="S1636:U1637"/>
    <mergeCell ref="V1636:AD1636"/>
    <mergeCell ref="V1637:X1637"/>
    <mergeCell ref="Y1637:AA1637"/>
    <mergeCell ref="AB1637:AD1637"/>
    <mergeCell ref="C1631:AD1631"/>
    <mergeCell ref="AA1634:AD1634"/>
    <mergeCell ref="C1635:O1638"/>
    <mergeCell ref="P1635:AD1635"/>
    <mergeCell ref="P1636:P1638"/>
    <mergeCell ref="Q1636:Q1638"/>
    <mergeCell ref="R1636:R1638"/>
    <mergeCell ref="G1611:H1611"/>
    <mergeCell ref="J1611:U1611"/>
    <mergeCell ref="G1612:H1612"/>
    <mergeCell ref="J1612:U1612"/>
    <mergeCell ref="G1613:H1613"/>
    <mergeCell ref="J1613:U1613"/>
    <mergeCell ref="G1598:H1598"/>
    <mergeCell ref="J1598:U1598"/>
    <mergeCell ref="G1593:H1593"/>
    <mergeCell ref="J1593:U1593"/>
    <mergeCell ref="G1594:H1594"/>
    <mergeCell ref="J1594:U1594"/>
    <mergeCell ref="G1595:H1595"/>
    <mergeCell ref="J1595:U1595"/>
    <mergeCell ref="G1608:H1608"/>
    <mergeCell ref="I1608:U1608"/>
    <mergeCell ref="G1609:H1609"/>
    <mergeCell ref="I1609:U1609"/>
    <mergeCell ref="G1610:H1610"/>
    <mergeCell ref="J1610:U1610"/>
    <mergeCell ref="G1605:H1605"/>
    <mergeCell ref="I1605:U1605"/>
    <mergeCell ref="G1606:H1606"/>
    <mergeCell ref="I1606:U1606"/>
    <mergeCell ref="G1607:H1607"/>
    <mergeCell ref="I1607:U1607"/>
    <mergeCell ref="G1602:H1602"/>
    <mergeCell ref="I1602:U1602"/>
    <mergeCell ref="G1603:H1603"/>
    <mergeCell ref="I1603:U1603"/>
    <mergeCell ref="G1604:H1604"/>
    <mergeCell ref="I1604:U1604"/>
    <mergeCell ref="G1590:H1590"/>
    <mergeCell ref="J1590:U1590"/>
    <mergeCell ref="G1591:H1591"/>
    <mergeCell ref="J1591:U1591"/>
    <mergeCell ref="G1592:H1592"/>
    <mergeCell ref="J1592:U1592"/>
    <mergeCell ref="G1587:H1587"/>
    <mergeCell ref="I1587:U1587"/>
    <mergeCell ref="G1588:H1588"/>
    <mergeCell ref="I1588:U1588"/>
    <mergeCell ref="G1589:H1589"/>
    <mergeCell ref="J1589:U1589"/>
    <mergeCell ref="G1583:H1583"/>
    <mergeCell ref="I1583:U1583"/>
    <mergeCell ref="C1584:C1616"/>
    <mergeCell ref="D1584:F1616"/>
    <mergeCell ref="G1584:H1584"/>
    <mergeCell ref="I1584:U1584"/>
    <mergeCell ref="G1585:H1585"/>
    <mergeCell ref="I1585:U1585"/>
    <mergeCell ref="G1586:H1586"/>
    <mergeCell ref="I1586:U1586"/>
    <mergeCell ref="G1599:H1599"/>
    <mergeCell ref="J1599:U1599"/>
    <mergeCell ref="G1600:H1600"/>
    <mergeCell ref="J1600:U1600"/>
    <mergeCell ref="G1601:H1601"/>
    <mergeCell ref="I1601:U1601"/>
    <mergeCell ref="G1596:H1596"/>
    <mergeCell ref="I1596:U1596"/>
    <mergeCell ref="G1597:H1597"/>
    <mergeCell ref="I1597:U1597"/>
    <mergeCell ref="G1580:H1580"/>
    <mergeCell ref="J1580:U1580"/>
    <mergeCell ref="G1581:H1581"/>
    <mergeCell ref="I1581:U1581"/>
    <mergeCell ref="G1582:H1582"/>
    <mergeCell ref="I1582:U1582"/>
    <mergeCell ref="G1577:H1577"/>
    <mergeCell ref="I1577:U1577"/>
    <mergeCell ref="G1578:H1578"/>
    <mergeCell ref="J1578:U1578"/>
    <mergeCell ref="G1579:H1579"/>
    <mergeCell ref="J1579:U1579"/>
    <mergeCell ref="G1574:H1574"/>
    <mergeCell ref="J1574:U1574"/>
    <mergeCell ref="G1575:H1575"/>
    <mergeCell ref="J1575:U1575"/>
    <mergeCell ref="G1576:H1576"/>
    <mergeCell ref="J1576:U1576"/>
    <mergeCell ref="G1559:H1559"/>
    <mergeCell ref="J1559:U1559"/>
    <mergeCell ref="G1560:H1560"/>
    <mergeCell ref="J1560:U1560"/>
    <mergeCell ref="G1555:H1555"/>
    <mergeCell ref="I1555:U1555"/>
    <mergeCell ref="G1556:H1556"/>
    <mergeCell ref="I1556:U1556"/>
    <mergeCell ref="G1557:H1557"/>
    <mergeCell ref="I1557:U1557"/>
    <mergeCell ref="G1571:H1571"/>
    <mergeCell ref="J1571:U1571"/>
    <mergeCell ref="G1572:H1572"/>
    <mergeCell ref="J1572:U1572"/>
    <mergeCell ref="G1573:H1573"/>
    <mergeCell ref="J1573:U1573"/>
    <mergeCell ref="C1567:C1583"/>
    <mergeCell ref="D1567:F1583"/>
    <mergeCell ref="G1567:H1567"/>
    <mergeCell ref="I1567:U1567"/>
    <mergeCell ref="G1568:H1568"/>
    <mergeCell ref="J1568:U1568"/>
    <mergeCell ref="G1569:H1569"/>
    <mergeCell ref="J1569:U1569"/>
    <mergeCell ref="G1570:H1570"/>
    <mergeCell ref="J1570:U1570"/>
    <mergeCell ref="G1564:H1564"/>
    <mergeCell ref="I1564:U1564"/>
    <mergeCell ref="G1565:H1565"/>
    <mergeCell ref="I1565:U1565"/>
    <mergeCell ref="G1566:H1566"/>
    <mergeCell ref="I1566:U1566"/>
    <mergeCell ref="C1538:C1566"/>
    <mergeCell ref="D1538:F1566"/>
    <mergeCell ref="G1538:H1538"/>
    <mergeCell ref="I1538:U1538"/>
    <mergeCell ref="G1539:H1539"/>
    <mergeCell ref="J1539:U1539"/>
    <mergeCell ref="G1552:H1552"/>
    <mergeCell ref="J1552:U1552"/>
    <mergeCell ref="G1553:H1553"/>
    <mergeCell ref="J1553:U1553"/>
    <mergeCell ref="G1554:H1554"/>
    <mergeCell ref="I1554:U1554"/>
    <mergeCell ref="G1549:H1549"/>
    <mergeCell ref="J1549:U1549"/>
    <mergeCell ref="G1550:H1550"/>
    <mergeCell ref="J1550:U1550"/>
    <mergeCell ref="G1551:H1551"/>
    <mergeCell ref="J1551:U1551"/>
    <mergeCell ref="G1546:H1546"/>
    <mergeCell ref="J1546:U1546"/>
    <mergeCell ref="G1547:H1547"/>
    <mergeCell ref="J1547:U1547"/>
    <mergeCell ref="G1548:H1548"/>
    <mergeCell ref="J1548:U1548"/>
    <mergeCell ref="G1561:H1561"/>
    <mergeCell ref="J1561:U1561"/>
    <mergeCell ref="G1562:H1562"/>
    <mergeCell ref="J1562:U1562"/>
    <mergeCell ref="G1563:H1563"/>
    <mergeCell ref="J1563:U1563"/>
    <mergeCell ref="G1558:H1558"/>
    <mergeCell ref="J1558:U1558"/>
    <mergeCell ref="G1532:H1532"/>
    <mergeCell ref="J1532:U1532"/>
    <mergeCell ref="G1527:H1527"/>
    <mergeCell ref="J1527:U1527"/>
    <mergeCell ref="G1528:H1528"/>
    <mergeCell ref="I1528:U1528"/>
    <mergeCell ref="G1529:H1529"/>
    <mergeCell ref="J1529:U1529"/>
    <mergeCell ref="G1543:H1543"/>
    <mergeCell ref="J1543:U1543"/>
    <mergeCell ref="G1544:H1544"/>
    <mergeCell ref="J1544:U1544"/>
    <mergeCell ref="G1545:H1545"/>
    <mergeCell ref="I1545:U1545"/>
    <mergeCell ref="G1540:H1540"/>
    <mergeCell ref="J1540:U1540"/>
    <mergeCell ref="G1541:H1541"/>
    <mergeCell ref="J1541:U1541"/>
    <mergeCell ref="G1542:H1542"/>
    <mergeCell ref="J1542:U1542"/>
    <mergeCell ref="G1536:H1536"/>
    <mergeCell ref="I1536:U1536"/>
    <mergeCell ref="G1537:H1537"/>
    <mergeCell ref="I1537:U1537"/>
    <mergeCell ref="G1525:H1525"/>
    <mergeCell ref="J1525:U1525"/>
    <mergeCell ref="G1526:H1526"/>
    <mergeCell ref="J1526:U1526"/>
    <mergeCell ref="C1520:C1537"/>
    <mergeCell ref="D1520:F1537"/>
    <mergeCell ref="G1520:H1520"/>
    <mergeCell ref="I1520:U1520"/>
    <mergeCell ref="G1521:H1521"/>
    <mergeCell ref="J1521:U1521"/>
    <mergeCell ref="G1522:H1522"/>
    <mergeCell ref="J1522:U1522"/>
    <mergeCell ref="G1523:H1523"/>
    <mergeCell ref="J1523:U1523"/>
    <mergeCell ref="C1517:C1519"/>
    <mergeCell ref="D1517:F1519"/>
    <mergeCell ref="G1517:H1517"/>
    <mergeCell ref="I1517:U1517"/>
    <mergeCell ref="G1518:H1518"/>
    <mergeCell ref="I1518:U1518"/>
    <mergeCell ref="G1519:H1519"/>
    <mergeCell ref="I1519:U1519"/>
    <mergeCell ref="G1533:H1533"/>
    <mergeCell ref="J1533:U1533"/>
    <mergeCell ref="G1534:H1534"/>
    <mergeCell ref="I1534:U1534"/>
    <mergeCell ref="G1535:H1535"/>
    <mergeCell ref="I1535:U1535"/>
    <mergeCell ref="G1530:H1530"/>
    <mergeCell ref="J1530:U1530"/>
    <mergeCell ref="G1531:H1531"/>
    <mergeCell ref="J1531:U1531"/>
    <mergeCell ref="G1515:H1515"/>
    <mergeCell ref="I1515:U1515"/>
    <mergeCell ref="G1516:H1516"/>
    <mergeCell ref="I1516:U1516"/>
    <mergeCell ref="G1511:H1511"/>
    <mergeCell ref="J1511:U1511"/>
    <mergeCell ref="G1512:H1512"/>
    <mergeCell ref="J1512:U1512"/>
    <mergeCell ref="G1513:H1513"/>
    <mergeCell ref="J1513:U1513"/>
    <mergeCell ref="G1508:H1508"/>
    <mergeCell ref="I1508:U1508"/>
    <mergeCell ref="G1509:H1509"/>
    <mergeCell ref="I1509:U1509"/>
    <mergeCell ref="G1510:H1510"/>
    <mergeCell ref="I1510:U1510"/>
    <mergeCell ref="G1524:H1524"/>
    <mergeCell ref="J1524:U1524"/>
    <mergeCell ref="G1506:H1506"/>
    <mergeCell ref="J1506:U1506"/>
    <mergeCell ref="G1507:H1507"/>
    <mergeCell ref="J1507:U1507"/>
    <mergeCell ref="G1502:H1502"/>
    <mergeCell ref="I1502:U1502"/>
    <mergeCell ref="G1503:H1503"/>
    <mergeCell ref="J1503:U1503"/>
    <mergeCell ref="G1504:H1504"/>
    <mergeCell ref="J1504:U1504"/>
    <mergeCell ref="G1499:H1499"/>
    <mergeCell ref="J1499:U1499"/>
    <mergeCell ref="G1500:H1500"/>
    <mergeCell ref="J1500:U1500"/>
    <mergeCell ref="G1501:H1501"/>
    <mergeCell ref="J1501:U1501"/>
    <mergeCell ref="G1514:H1514"/>
    <mergeCell ref="I1514:U1514"/>
    <mergeCell ref="G1497:H1497"/>
    <mergeCell ref="J1497:U1497"/>
    <mergeCell ref="G1498:H1498"/>
    <mergeCell ref="J1498:U1498"/>
    <mergeCell ref="G1493:H1493"/>
    <mergeCell ref="J1493:U1493"/>
    <mergeCell ref="G1494:H1494"/>
    <mergeCell ref="J1494:U1494"/>
    <mergeCell ref="G1495:H1495"/>
    <mergeCell ref="J1495:U1495"/>
    <mergeCell ref="G1490:H1490"/>
    <mergeCell ref="J1490:U1490"/>
    <mergeCell ref="G1491:H1491"/>
    <mergeCell ref="J1491:U1491"/>
    <mergeCell ref="G1492:H1492"/>
    <mergeCell ref="J1492:U1492"/>
    <mergeCell ref="G1505:H1505"/>
    <mergeCell ref="J1505:U1505"/>
    <mergeCell ref="C1471:C1482"/>
    <mergeCell ref="D1471:F1482"/>
    <mergeCell ref="G1471:H1471"/>
    <mergeCell ref="I1471:U1471"/>
    <mergeCell ref="G1472:H1472"/>
    <mergeCell ref="I1472:U1472"/>
    <mergeCell ref="G1473:H1473"/>
    <mergeCell ref="I1473:U1473"/>
    <mergeCell ref="G1487:H1487"/>
    <mergeCell ref="J1487:U1487"/>
    <mergeCell ref="G1488:H1488"/>
    <mergeCell ref="J1488:U1488"/>
    <mergeCell ref="G1489:H1489"/>
    <mergeCell ref="J1489:U1489"/>
    <mergeCell ref="C1483:C1516"/>
    <mergeCell ref="D1483:F1516"/>
    <mergeCell ref="G1483:H1483"/>
    <mergeCell ref="I1483:U1483"/>
    <mergeCell ref="G1484:H1484"/>
    <mergeCell ref="J1484:U1484"/>
    <mergeCell ref="G1485:H1485"/>
    <mergeCell ref="J1485:U1485"/>
    <mergeCell ref="G1486:H1486"/>
    <mergeCell ref="J1486:U1486"/>
    <mergeCell ref="G1480:H1480"/>
    <mergeCell ref="I1480:U1480"/>
    <mergeCell ref="G1481:H1481"/>
    <mergeCell ref="I1481:U1481"/>
    <mergeCell ref="G1482:H1482"/>
    <mergeCell ref="I1482:U1482"/>
    <mergeCell ref="G1496:H1496"/>
    <mergeCell ref="J1496:U1496"/>
    <mergeCell ref="G1461:H1461"/>
    <mergeCell ref="I1461:U1461"/>
    <mergeCell ref="G1462:H1462"/>
    <mergeCell ref="I1462:U1462"/>
    <mergeCell ref="G1463:H1463"/>
    <mergeCell ref="I1463:U1463"/>
    <mergeCell ref="G1477:H1477"/>
    <mergeCell ref="J1477:U1477"/>
    <mergeCell ref="G1478:H1478"/>
    <mergeCell ref="J1478:U1478"/>
    <mergeCell ref="G1479:H1479"/>
    <mergeCell ref="J1479:U1479"/>
    <mergeCell ref="G1474:H1474"/>
    <mergeCell ref="I1474:U1474"/>
    <mergeCell ref="G1475:H1475"/>
    <mergeCell ref="J1475:U1475"/>
    <mergeCell ref="G1476:H1476"/>
    <mergeCell ref="J1476:U1476"/>
    <mergeCell ref="G1470:H1470"/>
    <mergeCell ref="I1470:U1470"/>
    <mergeCell ref="G1457:H1457"/>
    <mergeCell ref="I1457:U1457"/>
    <mergeCell ref="C1458:C1470"/>
    <mergeCell ref="D1458:F1470"/>
    <mergeCell ref="G1458:H1458"/>
    <mergeCell ref="I1458:U1458"/>
    <mergeCell ref="G1459:H1459"/>
    <mergeCell ref="I1459:U1459"/>
    <mergeCell ref="G1460:H1460"/>
    <mergeCell ref="I1460:U1460"/>
    <mergeCell ref="C1453:C1457"/>
    <mergeCell ref="D1453:F1457"/>
    <mergeCell ref="G1453:H1453"/>
    <mergeCell ref="I1453:U1453"/>
    <mergeCell ref="G1454:H1454"/>
    <mergeCell ref="I1454:U1454"/>
    <mergeCell ref="G1455:H1455"/>
    <mergeCell ref="I1455:U1455"/>
    <mergeCell ref="G1456:H1456"/>
    <mergeCell ref="I1456:U1456"/>
    <mergeCell ref="G1467:H1467"/>
    <mergeCell ref="J1467:U1467"/>
    <mergeCell ref="G1468:H1468"/>
    <mergeCell ref="J1468:U1468"/>
    <mergeCell ref="G1469:H1469"/>
    <mergeCell ref="J1469:U1469"/>
    <mergeCell ref="G1464:H1464"/>
    <mergeCell ref="J1464:U1464"/>
    <mergeCell ref="G1465:H1465"/>
    <mergeCell ref="J1465:U1465"/>
    <mergeCell ref="G1466:H1466"/>
    <mergeCell ref="J1466:U1466"/>
    <mergeCell ref="H1432:O1432"/>
    <mergeCell ref="F1428:G1428"/>
    <mergeCell ref="H1430:O1430"/>
    <mergeCell ref="F1425:G1425"/>
    <mergeCell ref="H1425:O1425"/>
    <mergeCell ref="F1426:G1426"/>
    <mergeCell ref="I1426:O1426"/>
    <mergeCell ref="F1427:G1427"/>
    <mergeCell ref="I1427:O1427"/>
    <mergeCell ref="F1422:G1422"/>
    <mergeCell ref="I1422:O1422"/>
    <mergeCell ref="F1423:G1423"/>
    <mergeCell ref="I1423:O1423"/>
    <mergeCell ref="F1441:G1441"/>
    <mergeCell ref="I1441:O1441"/>
    <mergeCell ref="F1442:G1442"/>
    <mergeCell ref="I1428:O1428"/>
    <mergeCell ref="F1429:G1429"/>
    <mergeCell ref="H1429:O1429"/>
    <mergeCell ref="F1430:G1430"/>
    <mergeCell ref="I1442:O1442"/>
    <mergeCell ref="F1432:G1432"/>
    <mergeCell ref="F1433:G1433"/>
    <mergeCell ref="H1433:O1433"/>
    <mergeCell ref="AA1448:AD1448"/>
    <mergeCell ref="C1449:F1452"/>
    <mergeCell ref="G1449:H1452"/>
    <mergeCell ref="I1449:U1452"/>
    <mergeCell ref="V1449:AD1449"/>
    <mergeCell ref="V1450:AD1450"/>
    <mergeCell ref="V1451:X1451"/>
    <mergeCell ref="Y1451:AA1451"/>
    <mergeCell ref="AB1451:AD1451"/>
    <mergeCell ref="F1443:G1443"/>
    <mergeCell ref="H1443:O1443"/>
    <mergeCell ref="F1444:G1444"/>
    <mergeCell ref="H1444:O1444"/>
    <mergeCell ref="C1445:G1445"/>
    <mergeCell ref="H1445:O1445"/>
    <mergeCell ref="F1440:G1440"/>
    <mergeCell ref="I1440:O1440"/>
    <mergeCell ref="F1410:G1410"/>
    <mergeCell ref="H1410:O1410"/>
    <mergeCell ref="F1407:G1407"/>
    <mergeCell ref="I1407:O1407"/>
    <mergeCell ref="F1408:G1408"/>
    <mergeCell ref="I1408:O1408"/>
    <mergeCell ref="F1409:G1409"/>
    <mergeCell ref="H1409:O1409"/>
    <mergeCell ref="F1404:G1404"/>
    <mergeCell ref="I1404:O1404"/>
    <mergeCell ref="F1405:G1405"/>
    <mergeCell ref="H1405:O1405"/>
    <mergeCell ref="F1406:G1406"/>
    <mergeCell ref="I1406:O1406"/>
    <mergeCell ref="H1416:O1416"/>
    <mergeCell ref="F1417:G1417"/>
    <mergeCell ref="I1417:O1417"/>
    <mergeCell ref="F1412:G1412"/>
    <mergeCell ref="H1412:O1412"/>
    <mergeCell ref="F1414:G1414"/>
    <mergeCell ref="F1411:G1411"/>
    <mergeCell ref="H1411:O1411"/>
    <mergeCell ref="F1393:G1393"/>
    <mergeCell ref="H1393:O1393"/>
    <mergeCell ref="F1388:G1388"/>
    <mergeCell ref="I1388:O1388"/>
    <mergeCell ref="F1389:G1389"/>
    <mergeCell ref="I1389:O1389"/>
    <mergeCell ref="F1390:G1390"/>
    <mergeCell ref="I1390:O1390"/>
    <mergeCell ref="F1385:G1385"/>
    <mergeCell ref="H1385:O1385"/>
    <mergeCell ref="F1386:G1386"/>
    <mergeCell ref="I1386:O1386"/>
    <mergeCell ref="F1387:G1387"/>
    <mergeCell ref="I1387:O1387"/>
    <mergeCell ref="F1401:G1401"/>
    <mergeCell ref="I1401:O1401"/>
    <mergeCell ref="F1402:G1402"/>
    <mergeCell ref="I1402:O1402"/>
    <mergeCell ref="F1394:G1394"/>
    <mergeCell ref="H1394:O1394"/>
    <mergeCell ref="F1395:G1395"/>
    <mergeCell ref="H1395:O1395"/>
    <mergeCell ref="F1396:G1396"/>
    <mergeCell ref="I1396:O1396"/>
    <mergeCell ref="F1397:G1397"/>
    <mergeCell ref="I1397:O1397"/>
    <mergeCell ref="F1398:G1398"/>
    <mergeCell ref="I1398:O1398"/>
    <mergeCell ref="F1399:G1399"/>
    <mergeCell ref="I1399:O1399"/>
    <mergeCell ref="F1400:G1400"/>
    <mergeCell ref="I1400:O1400"/>
    <mergeCell ref="C1366:C1394"/>
    <mergeCell ref="D1366:E1394"/>
    <mergeCell ref="F1366:G1366"/>
    <mergeCell ref="H1366:O1366"/>
    <mergeCell ref="F1367:G1367"/>
    <mergeCell ref="I1367:O1367"/>
    <mergeCell ref="F1368:G1368"/>
    <mergeCell ref="I1368:O1368"/>
    <mergeCell ref="F1369:G1369"/>
    <mergeCell ref="I1369:O1369"/>
    <mergeCell ref="F1382:G1382"/>
    <mergeCell ref="H1382:O1382"/>
    <mergeCell ref="F1383:G1383"/>
    <mergeCell ref="H1383:O1383"/>
    <mergeCell ref="F1384:G1384"/>
    <mergeCell ref="H1384:O1384"/>
    <mergeCell ref="F1379:G1379"/>
    <mergeCell ref="I1379:O1379"/>
    <mergeCell ref="F1380:G1380"/>
    <mergeCell ref="I1380:O1380"/>
    <mergeCell ref="F1381:G1381"/>
    <mergeCell ref="I1381:O1381"/>
    <mergeCell ref="F1376:G1376"/>
    <mergeCell ref="I1376:O1376"/>
    <mergeCell ref="F1377:G1377"/>
    <mergeCell ref="I1377:O1377"/>
    <mergeCell ref="F1378:G1378"/>
    <mergeCell ref="I1378:O1378"/>
    <mergeCell ref="F1391:G1391"/>
    <mergeCell ref="I1391:O1391"/>
    <mergeCell ref="F1392:G1392"/>
    <mergeCell ref="H1392:O1392"/>
    <mergeCell ref="F1362:G1362"/>
    <mergeCell ref="H1362:O1362"/>
    <mergeCell ref="F1357:G1357"/>
    <mergeCell ref="I1357:O1357"/>
    <mergeCell ref="F1358:G1358"/>
    <mergeCell ref="I1358:O1358"/>
    <mergeCell ref="F1359:G1359"/>
    <mergeCell ref="I1359:O1359"/>
    <mergeCell ref="F1373:G1373"/>
    <mergeCell ref="H1373:O1373"/>
    <mergeCell ref="F1374:G1374"/>
    <mergeCell ref="I1374:O1374"/>
    <mergeCell ref="F1375:G1375"/>
    <mergeCell ref="I1375:O1375"/>
    <mergeCell ref="F1370:G1370"/>
    <mergeCell ref="I1370:O1370"/>
    <mergeCell ref="F1371:G1371"/>
    <mergeCell ref="I1371:O1371"/>
    <mergeCell ref="F1372:G1372"/>
    <mergeCell ref="I1372:O1372"/>
    <mergeCell ref="F1354:G1354"/>
    <mergeCell ref="I1354:O1354"/>
    <mergeCell ref="F1355:G1355"/>
    <mergeCell ref="I1355:O1355"/>
    <mergeCell ref="F1356:G1356"/>
    <mergeCell ref="H1356:O1356"/>
    <mergeCell ref="F1351:G1351"/>
    <mergeCell ref="I1351:O1351"/>
    <mergeCell ref="F1352:G1352"/>
    <mergeCell ref="I1352:O1352"/>
    <mergeCell ref="F1353:G1353"/>
    <mergeCell ref="I1353:O1353"/>
    <mergeCell ref="F1347:G1347"/>
    <mergeCell ref="H1347:O1347"/>
    <mergeCell ref="C1348:C1365"/>
    <mergeCell ref="D1348:E1365"/>
    <mergeCell ref="F1348:G1348"/>
    <mergeCell ref="H1348:O1348"/>
    <mergeCell ref="F1349:G1349"/>
    <mergeCell ref="I1349:O1349"/>
    <mergeCell ref="F1350:G1350"/>
    <mergeCell ref="I1350:O1350"/>
    <mergeCell ref="F1363:G1363"/>
    <mergeCell ref="H1363:O1363"/>
    <mergeCell ref="F1364:G1364"/>
    <mergeCell ref="H1364:O1364"/>
    <mergeCell ref="F1365:G1365"/>
    <mergeCell ref="H1365:O1365"/>
    <mergeCell ref="F1360:G1360"/>
    <mergeCell ref="I1360:O1360"/>
    <mergeCell ref="F1361:G1361"/>
    <mergeCell ref="I1361:O1361"/>
    <mergeCell ref="F1343:G1343"/>
    <mergeCell ref="H1343:O1343"/>
    <mergeCell ref="F1344:G1344"/>
    <mergeCell ref="H1344:O1344"/>
    <mergeCell ref="C1345:C1347"/>
    <mergeCell ref="D1345:E1347"/>
    <mergeCell ref="F1345:G1345"/>
    <mergeCell ref="H1345:O1345"/>
    <mergeCell ref="F1346:G1346"/>
    <mergeCell ref="H1346:O1346"/>
    <mergeCell ref="F1340:G1340"/>
    <mergeCell ref="I1340:O1340"/>
    <mergeCell ref="F1341:G1341"/>
    <mergeCell ref="I1341:O1341"/>
    <mergeCell ref="F1342:G1342"/>
    <mergeCell ref="H1342:O1342"/>
    <mergeCell ref="F1337:G1337"/>
    <mergeCell ref="H1337:O1337"/>
    <mergeCell ref="F1338:G1338"/>
    <mergeCell ref="H1338:O1338"/>
    <mergeCell ref="F1339:G1339"/>
    <mergeCell ref="I1339:O1339"/>
    <mergeCell ref="F1334:G1334"/>
    <mergeCell ref="I1334:O1334"/>
    <mergeCell ref="F1335:G1335"/>
    <mergeCell ref="I1335:O1335"/>
    <mergeCell ref="F1336:G1336"/>
    <mergeCell ref="H1336:O1336"/>
    <mergeCell ref="F1331:G1331"/>
    <mergeCell ref="I1331:O1331"/>
    <mergeCell ref="F1332:G1332"/>
    <mergeCell ref="I1332:O1332"/>
    <mergeCell ref="F1333:G1333"/>
    <mergeCell ref="I1333:O1333"/>
    <mergeCell ref="F1328:G1328"/>
    <mergeCell ref="I1328:O1328"/>
    <mergeCell ref="F1329:G1329"/>
    <mergeCell ref="I1329:O1329"/>
    <mergeCell ref="F1330:G1330"/>
    <mergeCell ref="H1330:O1330"/>
    <mergeCell ref="F1325:G1325"/>
    <mergeCell ref="I1325:O1325"/>
    <mergeCell ref="F1326:G1326"/>
    <mergeCell ref="I1326:O1326"/>
    <mergeCell ref="F1327:G1327"/>
    <mergeCell ref="I1327:O1327"/>
    <mergeCell ref="F1322:G1322"/>
    <mergeCell ref="I1322:O1322"/>
    <mergeCell ref="F1323:G1323"/>
    <mergeCell ref="I1323:O1323"/>
    <mergeCell ref="F1324:G1324"/>
    <mergeCell ref="I1324:O1324"/>
    <mergeCell ref="F1319:G1319"/>
    <mergeCell ref="I1319:O1319"/>
    <mergeCell ref="F1320:G1320"/>
    <mergeCell ref="I1320:O1320"/>
    <mergeCell ref="F1321:G1321"/>
    <mergeCell ref="I1321:O1321"/>
    <mergeCell ref="C1299:C1310"/>
    <mergeCell ref="D1299:E1310"/>
    <mergeCell ref="F1299:G1299"/>
    <mergeCell ref="H1299:O1299"/>
    <mergeCell ref="F1300:G1300"/>
    <mergeCell ref="H1300:O1300"/>
    <mergeCell ref="F1301:G1301"/>
    <mergeCell ref="H1301:O1301"/>
    <mergeCell ref="F1302:G1302"/>
    <mergeCell ref="H1302:O1302"/>
    <mergeCell ref="F1316:G1316"/>
    <mergeCell ref="I1316:O1316"/>
    <mergeCell ref="F1317:G1317"/>
    <mergeCell ref="I1317:O1317"/>
    <mergeCell ref="F1318:G1318"/>
    <mergeCell ref="I1318:O1318"/>
    <mergeCell ref="F1313:G1313"/>
    <mergeCell ref="I1313:O1313"/>
    <mergeCell ref="F1314:G1314"/>
    <mergeCell ref="I1314:O1314"/>
    <mergeCell ref="F1315:G1315"/>
    <mergeCell ref="I1315:O1315"/>
    <mergeCell ref="F1309:G1309"/>
    <mergeCell ref="H1309:O1309"/>
    <mergeCell ref="F1310:G1310"/>
    <mergeCell ref="H1310:O1310"/>
    <mergeCell ref="C1311:C1344"/>
    <mergeCell ref="D1311:E1344"/>
    <mergeCell ref="F1311:G1311"/>
    <mergeCell ref="H1311:O1311"/>
    <mergeCell ref="F1312:G1312"/>
    <mergeCell ref="I1312:O1312"/>
    <mergeCell ref="F1293:G1293"/>
    <mergeCell ref="I1293:O1293"/>
    <mergeCell ref="F1294:G1294"/>
    <mergeCell ref="I1294:O1294"/>
    <mergeCell ref="F1295:G1295"/>
    <mergeCell ref="I1295:O1295"/>
    <mergeCell ref="F1290:G1290"/>
    <mergeCell ref="H1290:O1290"/>
    <mergeCell ref="F1291:G1291"/>
    <mergeCell ref="H1291:O1291"/>
    <mergeCell ref="F1292:G1292"/>
    <mergeCell ref="I1292:O1292"/>
    <mergeCell ref="F1306:G1306"/>
    <mergeCell ref="I1306:O1306"/>
    <mergeCell ref="F1307:G1307"/>
    <mergeCell ref="I1307:O1307"/>
    <mergeCell ref="F1308:G1308"/>
    <mergeCell ref="H1308:O1308"/>
    <mergeCell ref="F1303:G1303"/>
    <mergeCell ref="I1303:O1303"/>
    <mergeCell ref="F1304:G1304"/>
    <mergeCell ref="I1304:O1304"/>
    <mergeCell ref="F1305:G1305"/>
    <mergeCell ref="I1305:O1305"/>
    <mergeCell ref="C1286:C1298"/>
    <mergeCell ref="D1286:E1298"/>
    <mergeCell ref="F1286:G1286"/>
    <mergeCell ref="H1286:O1286"/>
    <mergeCell ref="F1287:G1287"/>
    <mergeCell ref="H1287:O1287"/>
    <mergeCell ref="F1288:G1288"/>
    <mergeCell ref="H1288:O1288"/>
    <mergeCell ref="F1289:G1289"/>
    <mergeCell ref="H1289:O1289"/>
    <mergeCell ref="F1283:G1283"/>
    <mergeCell ref="H1283:O1283"/>
    <mergeCell ref="F1284:G1284"/>
    <mergeCell ref="H1284:O1284"/>
    <mergeCell ref="F1285:G1285"/>
    <mergeCell ref="H1285:O1285"/>
    <mergeCell ref="V1278:AD1278"/>
    <mergeCell ref="V1279:X1279"/>
    <mergeCell ref="Y1279:AA1279"/>
    <mergeCell ref="AB1279:AD1279"/>
    <mergeCell ref="C1281:C1285"/>
    <mergeCell ref="D1281:E1285"/>
    <mergeCell ref="F1281:G1281"/>
    <mergeCell ref="H1281:O1281"/>
    <mergeCell ref="F1282:G1282"/>
    <mergeCell ref="H1282:O1282"/>
    <mergeCell ref="F1296:G1296"/>
    <mergeCell ref="I1296:O1296"/>
    <mergeCell ref="F1297:G1297"/>
    <mergeCell ref="I1297:O1297"/>
    <mergeCell ref="F1298:G1298"/>
    <mergeCell ref="H1298:O1298"/>
    <mergeCell ref="C1274:AD1274"/>
    <mergeCell ref="AA1276:AD1276"/>
    <mergeCell ref="C1277:E1280"/>
    <mergeCell ref="F1277:G1280"/>
    <mergeCell ref="H1277:O1280"/>
    <mergeCell ref="P1277:AD1277"/>
    <mergeCell ref="P1278:P1280"/>
    <mergeCell ref="Q1278:Q1280"/>
    <mergeCell ref="R1278:R1280"/>
    <mergeCell ref="S1278:U1279"/>
    <mergeCell ref="C1261:H1261"/>
    <mergeCell ref="I1261:U1261"/>
    <mergeCell ref="C1264:AD1264"/>
    <mergeCell ref="C1265:AD1265"/>
    <mergeCell ref="B1272:AD1272"/>
    <mergeCell ref="C1273:AD1273"/>
    <mergeCell ref="G1258:H1258"/>
    <mergeCell ref="J1258:U1258"/>
    <mergeCell ref="G1259:H1259"/>
    <mergeCell ref="I1259:U1259"/>
    <mergeCell ref="G1260:H1260"/>
    <mergeCell ref="I1260:U1260"/>
    <mergeCell ref="C1228:C1260"/>
    <mergeCell ref="D1228:F1260"/>
    <mergeCell ref="G1228:H1228"/>
    <mergeCell ref="I1228:U1228"/>
    <mergeCell ref="G1229:H1229"/>
    <mergeCell ref="I1229:U1229"/>
    <mergeCell ref="G1230:H1230"/>
    <mergeCell ref="I1230:U1230"/>
    <mergeCell ref="G1255:H1255"/>
    <mergeCell ref="J1255:U1255"/>
    <mergeCell ref="G1256:H1256"/>
    <mergeCell ref="J1256:U1256"/>
    <mergeCell ref="G1257:H1257"/>
    <mergeCell ref="J1257:U1257"/>
    <mergeCell ref="G1252:H1252"/>
    <mergeCell ref="I1252:U1252"/>
    <mergeCell ref="G1253:H1253"/>
    <mergeCell ref="I1253:U1253"/>
    <mergeCell ref="G1254:H1254"/>
    <mergeCell ref="J1254:U1254"/>
    <mergeCell ref="G1249:H1249"/>
    <mergeCell ref="I1249:U1249"/>
    <mergeCell ref="G1250:H1250"/>
    <mergeCell ref="I1250:U1250"/>
    <mergeCell ref="G1251:H1251"/>
    <mergeCell ref="I1251:U1251"/>
    <mergeCell ref="G1246:H1246"/>
    <mergeCell ref="I1246:U1246"/>
    <mergeCell ref="G1247:H1247"/>
    <mergeCell ref="I1247:U1247"/>
    <mergeCell ref="G1248:H1248"/>
    <mergeCell ref="I1248:U1248"/>
    <mergeCell ref="G1243:H1243"/>
    <mergeCell ref="J1243:U1243"/>
    <mergeCell ref="G1244:H1244"/>
    <mergeCell ref="J1244:U1244"/>
    <mergeCell ref="G1245:H1245"/>
    <mergeCell ref="I1245:U1245"/>
    <mergeCell ref="G1240:H1240"/>
    <mergeCell ref="I1240:U1240"/>
    <mergeCell ref="G1241:H1241"/>
    <mergeCell ref="I1241:U1241"/>
    <mergeCell ref="G1242:H1242"/>
    <mergeCell ref="J1242:U1242"/>
    <mergeCell ref="G1222:H1222"/>
    <mergeCell ref="J1222:U1222"/>
    <mergeCell ref="G1223:H1223"/>
    <mergeCell ref="J1223:U1223"/>
    <mergeCell ref="G1237:H1237"/>
    <mergeCell ref="J1237:U1237"/>
    <mergeCell ref="G1238:H1238"/>
    <mergeCell ref="J1238:U1238"/>
    <mergeCell ref="G1239:H1239"/>
    <mergeCell ref="J1239:U1239"/>
    <mergeCell ref="G1234:H1234"/>
    <mergeCell ref="J1234:U1234"/>
    <mergeCell ref="G1235:H1235"/>
    <mergeCell ref="J1235:U1235"/>
    <mergeCell ref="G1236:H1236"/>
    <mergeCell ref="J1236:U1236"/>
    <mergeCell ref="G1231:H1231"/>
    <mergeCell ref="I1231:U1231"/>
    <mergeCell ref="G1232:H1232"/>
    <mergeCell ref="I1232:U1232"/>
    <mergeCell ref="G1233:H1233"/>
    <mergeCell ref="J1233:U1233"/>
    <mergeCell ref="G1218:H1218"/>
    <mergeCell ref="J1218:U1218"/>
    <mergeCell ref="G1219:H1219"/>
    <mergeCell ref="J1219:U1219"/>
    <mergeCell ref="G1220:H1220"/>
    <mergeCell ref="J1220:U1220"/>
    <mergeCell ref="G1215:H1215"/>
    <mergeCell ref="J1215:U1215"/>
    <mergeCell ref="G1216:H1216"/>
    <mergeCell ref="J1216:U1216"/>
    <mergeCell ref="G1217:H1217"/>
    <mergeCell ref="J1217:U1217"/>
    <mergeCell ref="C1211:C1227"/>
    <mergeCell ref="D1211:F1227"/>
    <mergeCell ref="G1211:H1211"/>
    <mergeCell ref="I1211:U1211"/>
    <mergeCell ref="G1212:H1212"/>
    <mergeCell ref="J1212:U1212"/>
    <mergeCell ref="G1213:H1213"/>
    <mergeCell ref="J1213:U1213"/>
    <mergeCell ref="G1214:H1214"/>
    <mergeCell ref="J1214:U1214"/>
    <mergeCell ref="G1227:H1227"/>
    <mergeCell ref="I1227:U1227"/>
    <mergeCell ref="G1224:H1224"/>
    <mergeCell ref="J1224:U1224"/>
    <mergeCell ref="G1225:H1225"/>
    <mergeCell ref="I1225:U1225"/>
    <mergeCell ref="G1226:H1226"/>
    <mergeCell ref="I1226:U1226"/>
    <mergeCell ref="G1221:H1221"/>
    <mergeCell ref="I1221:U1221"/>
    <mergeCell ref="G1208:H1208"/>
    <mergeCell ref="I1208:U1208"/>
    <mergeCell ref="G1209:H1209"/>
    <mergeCell ref="I1209:U1209"/>
    <mergeCell ref="G1210:H1210"/>
    <mergeCell ref="I1210:U1210"/>
    <mergeCell ref="G1205:H1205"/>
    <mergeCell ref="J1205:U1205"/>
    <mergeCell ref="G1206:H1206"/>
    <mergeCell ref="J1206:U1206"/>
    <mergeCell ref="G1207:H1207"/>
    <mergeCell ref="J1207:U1207"/>
    <mergeCell ref="G1202:H1202"/>
    <mergeCell ref="J1202:U1202"/>
    <mergeCell ref="G1203:H1203"/>
    <mergeCell ref="J1203:U1203"/>
    <mergeCell ref="G1204:H1204"/>
    <mergeCell ref="J1204:U1204"/>
    <mergeCell ref="G1185:H1185"/>
    <mergeCell ref="J1185:U1185"/>
    <mergeCell ref="G1186:H1186"/>
    <mergeCell ref="J1186:U1186"/>
    <mergeCell ref="G1199:H1199"/>
    <mergeCell ref="I1199:U1199"/>
    <mergeCell ref="G1200:H1200"/>
    <mergeCell ref="I1200:U1200"/>
    <mergeCell ref="G1201:H1201"/>
    <mergeCell ref="I1201:U1201"/>
    <mergeCell ref="G1196:H1196"/>
    <mergeCell ref="J1196:U1196"/>
    <mergeCell ref="G1197:H1197"/>
    <mergeCell ref="J1197:U1197"/>
    <mergeCell ref="G1198:H1198"/>
    <mergeCell ref="I1198:U1198"/>
    <mergeCell ref="G1193:H1193"/>
    <mergeCell ref="J1193:U1193"/>
    <mergeCell ref="G1194:H1194"/>
    <mergeCell ref="J1194:U1194"/>
    <mergeCell ref="G1195:H1195"/>
    <mergeCell ref="J1195:U1195"/>
    <mergeCell ref="C1182:C1210"/>
    <mergeCell ref="D1182:F1210"/>
    <mergeCell ref="G1182:H1182"/>
    <mergeCell ref="I1182:U1182"/>
    <mergeCell ref="G1183:H1183"/>
    <mergeCell ref="J1183:U1183"/>
    <mergeCell ref="G1177:H1177"/>
    <mergeCell ref="J1177:U1177"/>
    <mergeCell ref="G1178:H1178"/>
    <mergeCell ref="I1178:U1178"/>
    <mergeCell ref="G1179:H1179"/>
    <mergeCell ref="I1179:U1179"/>
    <mergeCell ref="G1174:H1174"/>
    <mergeCell ref="J1174:U1174"/>
    <mergeCell ref="G1175:H1175"/>
    <mergeCell ref="J1175:U1175"/>
    <mergeCell ref="G1176:H1176"/>
    <mergeCell ref="J1176:U1176"/>
    <mergeCell ref="G1190:H1190"/>
    <mergeCell ref="J1190:U1190"/>
    <mergeCell ref="G1191:H1191"/>
    <mergeCell ref="J1191:U1191"/>
    <mergeCell ref="G1192:H1192"/>
    <mergeCell ref="J1192:U1192"/>
    <mergeCell ref="G1187:H1187"/>
    <mergeCell ref="J1187:U1187"/>
    <mergeCell ref="G1188:H1188"/>
    <mergeCell ref="J1188:U1188"/>
    <mergeCell ref="G1189:H1189"/>
    <mergeCell ref="I1189:U1189"/>
    <mergeCell ref="G1184:H1184"/>
    <mergeCell ref="J1184:U1184"/>
    <mergeCell ref="G1171:H1171"/>
    <mergeCell ref="J1171:U1171"/>
    <mergeCell ref="G1172:H1172"/>
    <mergeCell ref="I1172:U1172"/>
    <mergeCell ref="G1173:H1173"/>
    <mergeCell ref="J1173:U1173"/>
    <mergeCell ref="G1168:H1168"/>
    <mergeCell ref="J1168:U1168"/>
    <mergeCell ref="G1169:H1169"/>
    <mergeCell ref="J1169:U1169"/>
    <mergeCell ref="G1170:H1170"/>
    <mergeCell ref="J1170:U1170"/>
    <mergeCell ref="C1164:C1181"/>
    <mergeCell ref="D1164:F1181"/>
    <mergeCell ref="G1164:H1164"/>
    <mergeCell ref="I1164:U1164"/>
    <mergeCell ref="G1165:H1165"/>
    <mergeCell ref="J1165:U1165"/>
    <mergeCell ref="G1166:H1166"/>
    <mergeCell ref="J1166:U1166"/>
    <mergeCell ref="G1167:H1167"/>
    <mergeCell ref="J1167:U1167"/>
    <mergeCell ref="G1180:H1180"/>
    <mergeCell ref="I1180:U1180"/>
    <mergeCell ref="G1181:H1181"/>
    <mergeCell ref="I1181:U1181"/>
    <mergeCell ref="C1161:C1163"/>
    <mergeCell ref="D1161:F1163"/>
    <mergeCell ref="G1161:H1161"/>
    <mergeCell ref="I1161:U1161"/>
    <mergeCell ref="G1162:H1162"/>
    <mergeCell ref="I1162:U1162"/>
    <mergeCell ref="G1163:H1163"/>
    <mergeCell ref="I1163:U1163"/>
    <mergeCell ref="G1158:H1158"/>
    <mergeCell ref="I1158:U1158"/>
    <mergeCell ref="G1159:H1159"/>
    <mergeCell ref="I1159:U1159"/>
    <mergeCell ref="G1160:H1160"/>
    <mergeCell ref="I1160:U1160"/>
    <mergeCell ref="G1155:H1155"/>
    <mergeCell ref="J1155:U1155"/>
    <mergeCell ref="G1156:H1156"/>
    <mergeCell ref="J1156:U1156"/>
    <mergeCell ref="G1157:H1157"/>
    <mergeCell ref="J1157:U1157"/>
    <mergeCell ref="C1127:C1160"/>
    <mergeCell ref="D1127:F1160"/>
    <mergeCell ref="G1127:H1127"/>
    <mergeCell ref="I1127:U1127"/>
    <mergeCell ref="G1145:H1145"/>
    <mergeCell ref="J1145:U1145"/>
    <mergeCell ref="G1140:H1140"/>
    <mergeCell ref="J1140:U1140"/>
    <mergeCell ref="G1141:H1141"/>
    <mergeCell ref="J1141:U1141"/>
    <mergeCell ref="G1142:H1142"/>
    <mergeCell ref="J1142:U1142"/>
    <mergeCell ref="G1137:H1137"/>
    <mergeCell ref="J1137:U1137"/>
    <mergeCell ref="G1138:H1138"/>
    <mergeCell ref="J1138:U1138"/>
    <mergeCell ref="G1139:H1139"/>
    <mergeCell ref="J1139:U1139"/>
    <mergeCell ref="G1154:H1154"/>
    <mergeCell ref="I1154:U1154"/>
    <mergeCell ref="G1149:H1149"/>
    <mergeCell ref="J1149:U1149"/>
    <mergeCell ref="G1150:H1150"/>
    <mergeCell ref="J1150:U1150"/>
    <mergeCell ref="G1151:H1151"/>
    <mergeCell ref="J1151:U1151"/>
    <mergeCell ref="G1146:H1146"/>
    <mergeCell ref="I1146:U1146"/>
    <mergeCell ref="G1147:H1147"/>
    <mergeCell ref="J1147:U1147"/>
    <mergeCell ref="G1148:H1148"/>
    <mergeCell ref="J1148:U1148"/>
    <mergeCell ref="G1152:H1152"/>
    <mergeCell ref="I1152:U1152"/>
    <mergeCell ref="G1153:H1153"/>
    <mergeCell ref="I1153:U1153"/>
    <mergeCell ref="G1143:H1143"/>
    <mergeCell ref="J1143:U1143"/>
    <mergeCell ref="G1144:H1144"/>
    <mergeCell ref="J1144:U1144"/>
    <mergeCell ref="G1118:H1118"/>
    <mergeCell ref="I1118:U1118"/>
    <mergeCell ref="G1119:H1119"/>
    <mergeCell ref="J1119:U1119"/>
    <mergeCell ref="G1120:H1120"/>
    <mergeCell ref="J1120:U1120"/>
    <mergeCell ref="G1134:H1134"/>
    <mergeCell ref="J1134:U1134"/>
    <mergeCell ref="G1135:H1135"/>
    <mergeCell ref="J1135:U1135"/>
    <mergeCell ref="G1136:H1136"/>
    <mergeCell ref="J1136:U1136"/>
    <mergeCell ref="G1131:H1131"/>
    <mergeCell ref="J1131:U1131"/>
    <mergeCell ref="G1132:H1132"/>
    <mergeCell ref="J1132:U1132"/>
    <mergeCell ref="G1133:H1133"/>
    <mergeCell ref="J1133:U1133"/>
    <mergeCell ref="G1128:H1128"/>
    <mergeCell ref="J1128:U1128"/>
    <mergeCell ref="G1129:H1129"/>
    <mergeCell ref="J1129:U1129"/>
    <mergeCell ref="G1130:H1130"/>
    <mergeCell ref="J1130:U1130"/>
    <mergeCell ref="C1115:C1126"/>
    <mergeCell ref="D1115:F1126"/>
    <mergeCell ref="G1115:H1115"/>
    <mergeCell ref="I1115:U1115"/>
    <mergeCell ref="G1116:H1116"/>
    <mergeCell ref="I1116:U1116"/>
    <mergeCell ref="G1117:H1117"/>
    <mergeCell ref="I1117:U1117"/>
    <mergeCell ref="G1111:H1111"/>
    <mergeCell ref="J1111:U1111"/>
    <mergeCell ref="G1112:H1112"/>
    <mergeCell ref="J1112:U1112"/>
    <mergeCell ref="G1113:H1113"/>
    <mergeCell ref="J1113:U1113"/>
    <mergeCell ref="G1108:H1108"/>
    <mergeCell ref="J1108:U1108"/>
    <mergeCell ref="G1109:H1109"/>
    <mergeCell ref="J1109:U1109"/>
    <mergeCell ref="G1110:H1110"/>
    <mergeCell ref="J1110:U1110"/>
    <mergeCell ref="G1124:H1124"/>
    <mergeCell ref="I1124:U1124"/>
    <mergeCell ref="G1125:H1125"/>
    <mergeCell ref="I1125:U1125"/>
    <mergeCell ref="G1126:H1126"/>
    <mergeCell ref="I1126:U1126"/>
    <mergeCell ref="G1121:H1121"/>
    <mergeCell ref="J1121:U1121"/>
    <mergeCell ref="G1122:H1122"/>
    <mergeCell ref="J1122:U1122"/>
    <mergeCell ref="G1123:H1123"/>
    <mergeCell ref="J1123:U1123"/>
    <mergeCell ref="G1105:H1105"/>
    <mergeCell ref="I1105:U1105"/>
    <mergeCell ref="G1106:H1106"/>
    <mergeCell ref="I1106:U1106"/>
    <mergeCell ref="G1107:H1107"/>
    <mergeCell ref="I1107:U1107"/>
    <mergeCell ref="G1101:H1101"/>
    <mergeCell ref="I1101:U1101"/>
    <mergeCell ref="C1102:C1114"/>
    <mergeCell ref="D1102:F1114"/>
    <mergeCell ref="G1102:H1102"/>
    <mergeCell ref="I1102:U1102"/>
    <mergeCell ref="G1103:H1103"/>
    <mergeCell ref="I1103:U1103"/>
    <mergeCell ref="G1104:H1104"/>
    <mergeCell ref="I1104:U1104"/>
    <mergeCell ref="C1097:C1101"/>
    <mergeCell ref="D1097:F1101"/>
    <mergeCell ref="G1097:H1097"/>
    <mergeCell ref="I1097:U1097"/>
    <mergeCell ref="G1098:H1098"/>
    <mergeCell ref="I1098:U1098"/>
    <mergeCell ref="G1099:H1099"/>
    <mergeCell ref="I1099:U1099"/>
    <mergeCell ref="G1100:H1100"/>
    <mergeCell ref="I1100:U1100"/>
    <mergeCell ref="G1114:H1114"/>
    <mergeCell ref="I1114:U1114"/>
    <mergeCell ref="AA1092:AD1092"/>
    <mergeCell ref="C1093:F1096"/>
    <mergeCell ref="G1093:H1096"/>
    <mergeCell ref="I1093:U1096"/>
    <mergeCell ref="V1093:AD1093"/>
    <mergeCell ref="V1094:AD1094"/>
    <mergeCell ref="V1095:X1095"/>
    <mergeCell ref="Y1095:AA1095"/>
    <mergeCell ref="AB1095:AD1095"/>
    <mergeCell ref="F1087:G1087"/>
    <mergeCell ref="H1087:O1087"/>
    <mergeCell ref="F1088:G1088"/>
    <mergeCell ref="H1088:O1088"/>
    <mergeCell ref="C1089:G1089"/>
    <mergeCell ref="H1089:O1089"/>
    <mergeCell ref="F1084:G1084"/>
    <mergeCell ref="I1084:O1084"/>
    <mergeCell ref="F1085:G1085"/>
    <mergeCell ref="I1085:O1085"/>
    <mergeCell ref="F1086:G1086"/>
    <mergeCell ref="I1086:O1086"/>
    <mergeCell ref="C1056:C1088"/>
    <mergeCell ref="D1056:E1088"/>
    <mergeCell ref="F1081:G1081"/>
    <mergeCell ref="H1081:O1081"/>
    <mergeCell ref="F1082:G1082"/>
    <mergeCell ref="I1082:O1082"/>
    <mergeCell ref="F1083:G1083"/>
    <mergeCell ref="I1083:O1083"/>
    <mergeCell ref="F1078:G1078"/>
    <mergeCell ref="H1078:O1078"/>
    <mergeCell ref="F1079:G1079"/>
    <mergeCell ref="H1079:O1079"/>
    <mergeCell ref="F1080:G1080"/>
    <mergeCell ref="H1080:O1080"/>
    <mergeCell ref="F1075:G1075"/>
    <mergeCell ref="H1075:O1075"/>
    <mergeCell ref="F1076:G1076"/>
    <mergeCell ref="H1076:O1076"/>
    <mergeCell ref="F1077:G1077"/>
    <mergeCell ref="H1077:O1077"/>
    <mergeCell ref="F1056:G1056"/>
    <mergeCell ref="H1056:O1056"/>
    <mergeCell ref="F1072:G1072"/>
    <mergeCell ref="I1072:O1072"/>
    <mergeCell ref="F1073:G1073"/>
    <mergeCell ref="H1073:O1073"/>
    <mergeCell ref="F1074:G1074"/>
    <mergeCell ref="H1074:O1074"/>
    <mergeCell ref="F1069:G1069"/>
    <mergeCell ref="H1069:O1069"/>
    <mergeCell ref="F1070:G1070"/>
    <mergeCell ref="I1070:O1070"/>
    <mergeCell ref="F1071:G1071"/>
    <mergeCell ref="I1071:O1071"/>
    <mergeCell ref="F1066:G1066"/>
    <mergeCell ref="I1066:O1066"/>
    <mergeCell ref="F1067:G1067"/>
    <mergeCell ref="I1067:O1067"/>
    <mergeCell ref="F1068:G1068"/>
    <mergeCell ref="H1068:O1068"/>
    <mergeCell ref="F1063:G1063"/>
    <mergeCell ref="I1063:O1063"/>
    <mergeCell ref="F1064:G1064"/>
    <mergeCell ref="F1065:G1065"/>
    <mergeCell ref="I1065:O1065"/>
    <mergeCell ref="F1060:G1060"/>
    <mergeCell ref="H1060:O1060"/>
    <mergeCell ref="F1061:G1061"/>
    <mergeCell ref="I1061:O1061"/>
    <mergeCell ref="F1062:G1062"/>
    <mergeCell ref="I1062:O1062"/>
    <mergeCell ref="F1057:G1057"/>
    <mergeCell ref="H1057:O1057"/>
    <mergeCell ref="F1058:G1058"/>
    <mergeCell ref="H1058:O1058"/>
    <mergeCell ref="F1059:G1059"/>
    <mergeCell ref="H1059:O1059"/>
    <mergeCell ref="F1047:G1047"/>
    <mergeCell ref="I1047:O1047"/>
    <mergeCell ref="F1050:G1050"/>
    <mergeCell ref="I1050:O1050"/>
    <mergeCell ref="F1052:G1052"/>
    <mergeCell ref="I1052:O1052"/>
    <mergeCell ref="F1053:G1053"/>
    <mergeCell ref="H1053:O1053"/>
    <mergeCell ref="F1048:G1048"/>
    <mergeCell ref="I1048:O1048"/>
    <mergeCell ref="H1027:O1027"/>
    <mergeCell ref="F1028:G1028"/>
    <mergeCell ref="H1028:O1028"/>
    <mergeCell ref="F1023:G1023"/>
    <mergeCell ref="I1023:O1023"/>
    <mergeCell ref="F1024:G1024"/>
    <mergeCell ref="I1024:O1024"/>
    <mergeCell ref="F1025:G1025"/>
    <mergeCell ref="I1025:O1025"/>
    <mergeCell ref="F1020:G1020"/>
    <mergeCell ref="H1029:O1029"/>
    <mergeCell ref="F1030:G1030"/>
    <mergeCell ref="I1030:O1030"/>
    <mergeCell ref="F1031:G1031"/>
    <mergeCell ref="I1031:O1031"/>
    <mergeCell ref="F1032:G1032"/>
    <mergeCell ref="I1064:O1064"/>
    <mergeCell ref="I1032:O1032"/>
    <mergeCell ref="F1033:G1033"/>
    <mergeCell ref="I1033:O1033"/>
    <mergeCell ref="F1037:G1037"/>
    <mergeCell ref="H1037:O1037"/>
    <mergeCell ref="C1039:C1055"/>
    <mergeCell ref="I1020:O1020"/>
    <mergeCell ref="F1021:G1021"/>
    <mergeCell ref="I1043:O1043"/>
    <mergeCell ref="F1044:G1044"/>
    <mergeCell ref="I1021:O1021"/>
    <mergeCell ref="F1022:G1022"/>
    <mergeCell ref="I1022:O1022"/>
    <mergeCell ref="F1035:G1035"/>
    <mergeCell ref="I1035:O1035"/>
    <mergeCell ref="F1036:G1036"/>
    <mergeCell ref="H1036:O1036"/>
    <mergeCell ref="I1041:O1041"/>
    <mergeCell ref="F1054:G1054"/>
    <mergeCell ref="H1054:O1054"/>
    <mergeCell ref="F1051:G1051"/>
    <mergeCell ref="I1051:O1051"/>
    <mergeCell ref="I1045:O1045"/>
    <mergeCell ref="F1046:G1046"/>
    <mergeCell ref="I1046:O1046"/>
    <mergeCell ref="C1010:C1038"/>
    <mergeCell ref="D1010:E1038"/>
    <mergeCell ref="F1010:G1010"/>
    <mergeCell ref="H1010:O1010"/>
    <mergeCell ref="F1011:G1011"/>
    <mergeCell ref="I1011:O1011"/>
    <mergeCell ref="F1012:G1012"/>
    <mergeCell ref="I1012:O1012"/>
    <mergeCell ref="F1013:G1013"/>
    <mergeCell ref="F1026:G1026"/>
    <mergeCell ref="H1026:O1026"/>
    <mergeCell ref="F1027:G1027"/>
    <mergeCell ref="F1006:G1006"/>
    <mergeCell ref="H1006:O1006"/>
    <mergeCell ref="F1001:G1001"/>
    <mergeCell ref="I1001:O1001"/>
    <mergeCell ref="F1002:G1002"/>
    <mergeCell ref="I1002:O1002"/>
    <mergeCell ref="F1003:G1003"/>
    <mergeCell ref="I1003:O1003"/>
    <mergeCell ref="F1017:G1017"/>
    <mergeCell ref="H1017:O1017"/>
    <mergeCell ref="F1018:G1018"/>
    <mergeCell ref="I1018:O1018"/>
    <mergeCell ref="F1019:G1019"/>
    <mergeCell ref="I1019:O1019"/>
    <mergeCell ref="F1014:G1014"/>
    <mergeCell ref="I1014:O1014"/>
    <mergeCell ref="F1015:G1015"/>
    <mergeCell ref="I1015:O1015"/>
    <mergeCell ref="F1016:G1016"/>
    <mergeCell ref="I1016:O1016"/>
    <mergeCell ref="I1013:O1013"/>
    <mergeCell ref="F998:G998"/>
    <mergeCell ref="I998:O998"/>
    <mergeCell ref="F999:G999"/>
    <mergeCell ref="I999:O999"/>
    <mergeCell ref="F1000:G1000"/>
    <mergeCell ref="H1000:O1000"/>
    <mergeCell ref="F995:G995"/>
    <mergeCell ref="I995:O995"/>
    <mergeCell ref="F996:G996"/>
    <mergeCell ref="I996:O996"/>
    <mergeCell ref="F997:G997"/>
    <mergeCell ref="I997:O997"/>
    <mergeCell ref="F991:G991"/>
    <mergeCell ref="H991:O991"/>
    <mergeCell ref="C992:C1009"/>
    <mergeCell ref="D992:E1009"/>
    <mergeCell ref="F992:G992"/>
    <mergeCell ref="H992:O992"/>
    <mergeCell ref="F993:G993"/>
    <mergeCell ref="I993:O993"/>
    <mergeCell ref="F994:G994"/>
    <mergeCell ref="I994:O994"/>
    <mergeCell ref="F1007:G1007"/>
    <mergeCell ref="H1007:O1007"/>
    <mergeCell ref="F1008:G1008"/>
    <mergeCell ref="H1008:O1008"/>
    <mergeCell ref="F1009:G1009"/>
    <mergeCell ref="H1009:O1009"/>
    <mergeCell ref="F1004:G1004"/>
    <mergeCell ref="I1004:O1004"/>
    <mergeCell ref="F1005:G1005"/>
    <mergeCell ref="I1005:O1005"/>
    <mergeCell ref="F987:G987"/>
    <mergeCell ref="H987:O987"/>
    <mergeCell ref="F988:G988"/>
    <mergeCell ref="H988:O988"/>
    <mergeCell ref="C989:C991"/>
    <mergeCell ref="D989:E991"/>
    <mergeCell ref="F989:G989"/>
    <mergeCell ref="H989:O989"/>
    <mergeCell ref="F990:G990"/>
    <mergeCell ref="H990:O990"/>
    <mergeCell ref="F984:G984"/>
    <mergeCell ref="I984:O984"/>
    <mergeCell ref="F985:G985"/>
    <mergeCell ref="I985:O985"/>
    <mergeCell ref="F986:G986"/>
    <mergeCell ref="H986:O986"/>
    <mergeCell ref="F981:G981"/>
    <mergeCell ref="H981:O981"/>
    <mergeCell ref="F982:G982"/>
    <mergeCell ref="H982:O982"/>
    <mergeCell ref="F983:G983"/>
    <mergeCell ref="I983:O983"/>
    <mergeCell ref="F978:G978"/>
    <mergeCell ref="I978:O978"/>
    <mergeCell ref="F979:G979"/>
    <mergeCell ref="I979:O979"/>
    <mergeCell ref="F980:G980"/>
    <mergeCell ref="H980:O980"/>
    <mergeCell ref="F975:G975"/>
    <mergeCell ref="I975:O975"/>
    <mergeCell ref="F976:G976"/>
    <mergeCell ref="I976:O976"/>
    <mergeCell ref="F977:G977"/>
    <mergeCell ref="I977:O977"/>
    <mergeCell ref="F972:G972"/>
    <mergeCell ref="I972:O972"/>
    <mergeCell ref="F973:G973"/>
    <mergeCell ref="I973:O973"/>
    <mergeCell ref="F974:G974"/>
    <mergeCell ref="H974:O974"/>
    <mergeCell ref="F969:G969"/>
    <mergeCell ref="I969:O969"/>
    <mergeCell ref="F970:G970"/>
    <mergeCell ref="I970:O970"/>
    <mergeCell ref="F971:G971"/>
    <mergeCell ref="I971:O971"/>
    <mergeCell ref="F966:G966"/>
    <mergeCell ref="I966:O966"/>
    <mergeCell ref="F967:G967"/>
    <mergeCell ref="I967:O967"/>
    <mergeCell ref="F968:G968"/>
    <mergeCell ref="I968:O968"/>
    <mergeCell ref="F963:G963"/>
    <mergeCell ref="I963:O963"/>
    <mergeCell ref="F964:G964"/>
    <mergeCell ref="I964:O964"/>
    <mergeCell ref="F965:G965"/>
    <mergeCell ref="I965:O965"/>
    <mergeCell ref="C943:C954"/>
    <mergeCell ref="D943:E954"/>
    <mergeCell ref="F943:G943"/>
    <mergeCell ref="H943:O943"/>
    <mergeCell ref="F944:G944"/>
    <mergeCell ref="H944:O944"/>
    <mergeCell ref="F945:G945"/>
    <mergeCell ref="H945:O945"/>
    <mergeCell ref="F946:G946"/>
    <mergeCell ref="H946:O946"/>
    <mergeCell ref="F960:G960"/>
    <mergeCell ref="I960:O960"/>
    <mergeCell ref="F961:G961"/>
    <mergeCell ref="I961:O961"/>
    <mergeCell ref="F962:G962"/>
    <mergeCell ref="I962:O962"/>
    <mergeCell ref="F957:G957"/>
    <mergeCell ref="I957:O957"/>
    <mergeCell ref="F958:G958"/>
    <mergeCell ref="I958:O958"/>
    <mergeCell ref="F959:G959"/>
    <mergeCell ref="I959:O959"/>
    <mergeCell ref="F953:G953"/>
    <mergeCell ref="H953:O953"/>
    <mergeCell ref="F954:G954"/>
    <mergeCell ref="H954:O954"/>
    <mergeCell ref="C955:C988"/>
    <mergeCell ref="D955:E988"/>
    <mergeCell ref="F955:G955"/>
    <mergeCell ref="H955:O955"/>
    <mergeCell ref="F956:G956"/>
    <mergeCell ref="I956:O956"/>
    <mergeCell ref="F937:G937"/>
    <mergeCell ref="I937:O937"/>
    <mergeCell ref="F938:G938"/>
    <mergeCell ref="I938:O938"/>
    <mergeCell ref="F939:G939"/>
    <mergeCell ref="I939:O939"/>
    <mergeCell ref="F934:G934"/>
    <mergeCell ref="H934:O934"/>
    <mergeCell ref="F935:G935"/>
    <mergeCell ref="H935:O935"/>
    <mergeCell ref="F936:G936"/>
    <mergeCell ref="I936:O936"/>
    <mergeCell ref="F950:G950"/>
    <mergeCell ref="I950:O950"/>
    <mergeCell ref="F951:G951"/>
    <mergeCell ref="I951:O951"/>
    <mergeCell ref="F952:G952"/>
    <mergeCell ref="H952:O952"/>
    <mergeCell ref="F947:G947"/>
    <mergeCell ref="I947:O947"/>
    <mergeCell ref="F948:G948"/>
    <mergeCell ref="I948:O948"/>
    <mergeCell ref="F949:G949"/>
    <mergeCell ref="I949:O949"/>
    <mergeCell ref="C930:C942"/>
    <mergeCell ref="D930:E942"/>
    <mergeCell ref="F930:G930"/>
    <mergeCell ref="H930:O930"/>
    <mergeCell ref="F931:G931"/>
    <mergeCell ref="H931:O931"/>
    <mergeCell ref="F932:G932"/>
    <mergeCell ref="H932:O932"/>
    <mergeCell ref="F933:G933"/>
    <mergeCell ref="H933:O933"/>
    <mergeCell ref="F927:G927"/>
    <mergeCell ref="H927:O927"/>
    <mergeCell ref="F928:G928"/>
    <mergeCell ref="H928:O928"/>
    <mergeCell ref="F929:G929"/>
    <mergeCell ref="H929:O929"/>
    <mergeCell ref="V922:AD922"/>
    <mergeCell ref="V923:X923"/>
    <mergeCell ref="Y923:AA923"/>
    <mergeCell ref="AB923:AD923"/>
    <mergeCell ref="C925:C929"/>
    <mergeCell ref="D925:E929"/>
    <mergeCell ref="F925:G925"/>
    <mergeCell ref="H925:O925"/>
    <mergeCell ref="F926:G926"/>
    <mergeCell ref="H926:O926"/>
    <mergeCell ref="F940:G940"/>
    <mergeCell ref="I940:O940"/>
    <mergeCell ref="F941:G941"/>
    <mergeCell ref="I941:O941"/>
    <mergeCell ref="F942:G942"/>
    <mergeCell ref="H942:O942"/>
    <mergeCell ref="C918:AD918"/>
    <mergeCell ref="AA920:AD920"/>
    <mergeCell ref="C921:E924"/>
    <mergeCell ref="F921:G924"/>
    <mergeCell ref="H921:O924"/>
    <mergeCell ref="P921:AD921"/>
    <mergeCell ref="P922:P924"/>
    <mergeCell ref="Q922:Q924"/>
    <mergeCell ref="R922:R924"/>
    <mergeCell ref="S922:U923"/>
    <mergeCell ref="D904:U904"/>
    <mergeCell ref="D905:U905"/>
    <mergeCell ref="C908:AD908"/>
    <mergeCell ref="C909:AD909"/>
    <mergeCell ref="B916:AD916"/>
    <mergeCell ref="C917:AD917"/>
    <mergeCell ref="AB893:AD893"/>
    <mergeCell ref="D895:O895"/>
    <mergeCell ref="D896:O896"/>
    <mergeCell ref="AA899:AD899"/>
    <mergeCell ref="C900:U903"/>
    <mergeCell ref="V900:AD900"/>
    <mergeCell ref="V901:AD901"/>
    <mergeCell ref="V902:X902"/>
    <mergeCell ref="Y902:AA902"/>
    <mergeCell ref="AB902:AD902"/>
    <mergeCell ref="B910:AE910"/>
    <mergeCell ref="B911:AE911"/>
    <mergeCell ref="B912:AE912"/>
    <mergeCell ref="B913:AE913"/>
    <mergeCell ref="B914:AE914"/>
    <mergeCell ref="B915:AE915"/>
    <mergeCell ref="AA890:AD890"/>
    <mergeCell ref="C891:O894"/>
    <mergeCell ref="P891:AD891"/>
    <mergeCell ref="P892:P894"/>
    <mergeCell ref="Q892:Q894"/>
    <mergeCell ref="R892:R894"/>
    <mergeCell ref="S892:U893"/>
    <mergeCell ref="V892:AD892"/>
    <mergeCell ref="V893:X893"/>
    <mergeCell ref="Y893:AA893"/>
    <mergeCell ref="C886:AD886"/>
    <mergeCell ref="C887:AD887"/>
    <mergeCell ref="C888:AD888"/>
    <mergeCell ref="B876:AD876"/>
    <mergeCell ref="B875:AD875"/>
    <mergeCell ref="C879:AD879"/>
    <mergeCell ref="C880:AD880"/>
    <mergeCell ref="C881:AD881"/>
    <mergeCell ref="C882:AD882"/>
    <mergeCell ref="C883:AD883"/>
    <mergeCell ref="B885:AD885"/>
    <mergeCell ref="C877:AD877"/>
    <mergeCell ref="C878:AD878"/>
    <mergeCell ref="C867:AD867"/>
    <mergeCell ref="C868:AD868"/>
    <mergeCell ref="D864:L864"/>
    <mergeCell ref="M864:R864"/>
    <mergeCell ref="S864:X864"/>
    <mergeCell ref="Y864:AD864"/>
    <mergeCell ref="M865:R865"/>
    <mergeCell ref="S865:X865"/>
    <mergeCell ref="Y865:AD865"/>
    <mergeCell ref="D862:L862"/>
    <mergeCell ref="M862:R862"/>
    <mergeCell ref="S862:X862"/>
    <mergeCell ref="Y862:AD862"/>
    <mergeCell ref="D863:L863"/>
    <mergeCell ref="M863:R863"/>
    <mergeCell ref="S863:X863"/>
    <mergeCell ref="Y863:AD863"/>
    <mergeCell ref="D860:L860"/>
    <mergeCell ref="M860:R860"/>
    <mergeCell ref="S860:X860"/>
    <mergeCell ref="Y860:AD860"/>
    <mergeCell ref="D861:L861"/>
    <mergeCell ref="M861:R861"/>
    <mergeCell ref="S861:X861"/>
    <mergeCell ref="Y861:AD861"/>
    <mergeCell ref="D858:L858"/>
    <mergeCell ref="M858:R858"/>
    <mergeCell ref="S858:X858"/>
    <mergeCell ref="Y858:AD858"/>
    <mergeCell ref="D859:L859"/>
    <mergeCell ref="M859:R859"/>
    <mergeCell ref="S859:X859"/>
    <mergeCell ref="Y859:AD859"/>
    <mergeCell ref="D856:L856"/>
    <mergeCell ref="M856:R856"/>
    <mergeCell ref="S856:X856"/>
    <mergeCell ref="Y856:AD856"/>
    <mergeCell ref="D857:L857"/>
    <mergeCell ref="M857:R857"/>
    <mergeCell ref="S857:X857"/>
    <mergeCell ref="Y857:AD857"/>
    <mergeCell ref="D854:L854"/>
    <mergeCell ref="M854:R854"/>
    <mergeCell ref="S854:X854"/>
    <mergeCell ref="Y854:AD854"/>
    <mergeCell ref="D855:L855"/>
    <mergeCell ref="M855:R855"/>
    <mergeCell ref="S855:X855"/>
    <mergeCell ref="Y855:AD855"/>
    <mergeCell ref="D852:L852"/>
    <mergeCell ref="M852:R852"/>
    <mergeCell ref="S852:X852"/>
    <mergeCell ref="Y852:AD852"/>
    <mergeCell ref="D853:L853"/>
    <mergeCell ref="M853:R853"/>
    <mergeCell ref="S853:X853"/>
    <mergeCell ref="Y853:AD853"/>
    <mergeCell ref="D850:L850"/>
    <mergeCell ref="M850:R850"/>
    <mergeCell ref="S850:X850"/>
    <mergeCell ref="Y850:AD850"/>
    <mergeCell ref="D851:L851"/>
    <mergeCell ref="M851:R851"/>
    <mergeCell ref="S851:X851"/>
    <mergeCell ref="Y851:AD851"/>
    <mergeCell ref="D848:L848"/>
    <mergeCell ref="M848:R848"/>
    <mergeCell ref="S848:X848"/>
    <mergeCell ref="Y848:AD848"/>
    <mergeCell ref="D849:L849"/>
    <mergeCell ref="M849:R849"/>
    <mergeCell ref="S849:X849"/>
    <mergeCell ref="Y849:AD849"/>
    <mergeCell ref="D846:L846"/>
    <mergeCell ref="M846:R846"/>
    <mergeCell ref="S846:X846"/>
    <mergeCell ref="Y846:AD846"/>
    <mergeCell ref="D847:L847"/>
    <mergeCell ref="M847:R847"/>
    <mergeCell ref="S847:X847"/>
    <mergeCell ref="Y847:AD847"/>
    <mergeCell ref="C844:L845"/>
    <mergeCell ref="M844:AD844"/>
    <mergeCell ref="M845:R845"/>
    <mergeCell ref="S845:X845"/>
    <mergeCell ref="Y845:AD845"/>
    <mergeCell ref="C841:AD841"/>
    <mergeCell ref="C842:AD842"/>
    <mergeCell ref="D827:R827"/>
    <mergeCell ref="D828:R828"/>
    <mergeCell ref="C831:AD831"/>
    <mergeCell ref="C832:AD832"/>
    <mergeCell ref="B839:AD839"/>
    <mergeCell ref="C840:AD840"/>
    <mergeCell ref="D821:R821"/>
    <mergeCell ref="D822:R822"/>
    <mergeCell ref="D823:R823"/>
    <mergeCell ref="D824:R824"/>
    <mergeCell ref="D825:R825"/>
    <mergeCell ref="D826:R826"/>
    <mergeCell ref="C818:R820"/>
    <mergeCell ref="S818:AD818"/>
    <mergeCell ref="S819:S820"/>
    <mergeCell ref="T819:T820"/>
    <mergeCell ref="U819:U820"/>
    <mergeCell ref="V819:X819"/>
    <mergeCell ref="Y819:AA819"/>
    <mergeCell ref="AB819:AD819"/>
    <mergeCell ref="B833:AE833"/>
    <mergeCell ref="B834:AE834"/>
    <mergeCell ref="B835:AE835"/>
    <mergeCell ref="B836:AE836"/>
    <mergeCell ref="B837:AE837"/>
    <mergeCell ref="M806:R806"/>
    <mergeCell ref="S806:X806"/>
    <mergeCell ref="Y806:AD806"/>
    <mergeCell ref="C808:AD808"/>
    <mergeCell ref="C809:AD809"/>
    <mergeCell ref="B816:AD816"/>
    <mergeCell ref="D804:L804"/>
    <mergeCell ref="M804:R804"/>
    <mergeCell ref="S804:X804"/>
    <mergeCell ref="Y804:AD804"/>
    <mergeCell ref="D805:L805"/>
    <mergeCell ref="M805:R805"/>
    <mergeCell ref="S805:X805"/>
    <mergeCell ref="Y805:AD805"/>
    <mergeCell ref="D802:L802"/>
    <mergeCell ref="M802:R802"/>
    <mergeCell ref="S802:X802"/>
    <mergeCell ref="Y802:AD802"/>
    <mergeCell ref="D803:L803"/>
    <mergeCell ref="M803:R803"/>
    <mergeCell ref="S803:X803"/>
    <mergeCell ref="Y803:AD803"/>
    <mergeCell ref="B810:AE810"/>
    <mergeCell ref="B811:AE811"/>
    <mergeCell ref="B812:AE812"/>
    <mergeCell ref="B813:AE813"/>
    <mergeCell ref="B814:AE814"/>
    <mergeCell ref="B815:AE815"/>
    <mergeCell ref="D800:L800"/>
    <mergeCell ref="M800:R800"/>
    <mergeCell ref="S800:X800"/>
    <mergeCell ref="Y800:AD800"/>
    <mergeCell ref="D801:L801"/>
    <mergeCell ref="M801:R801"/>
    <mergeCell ref="S801:X801"/>
    <mergeCell ref="Y801:AD801"/>
    <mergeCell ref="D798:L798"/>
    <mergeCell ref="M798:R798"/>
    <mergeCell ref="S798:X798"/>
    <mergeCell ref="Y798:AD798"/>
    <mergeCell ref="D799:L799"/>
    <mergeCell ref="M799:R799"/>
    <mergeCell ref="S799:X799"/>
    <mergeCell ref="Y799:AD799"/>
    <mergeCell ref="D796:L796"/>
    <mergeCell ref="M796:R796"/>
    <mergeCell ref="S796:X796"/>
    <mergeCell ref="Y796:AD796"/>
    <mergeCell ref="D797:L797"/>
    <mergeCell ref="M797:R797"/>
    <mergeCell ref="S797:X797"/>
    <mergeCell ref="Y797:AD797"/>
    <mergeCell ref="C794:L795"/>
    <mergeCell ref="M794:AD794"/>
    <mergeCell ref="M795:R795"/>
    <mergeCell ref="S795:X795"/>
    <mergeCell ref="Y795:AD795"/>
    <mergeCell ref="D777:R777"/>
    <mergeCell ref="D778:R778"/>
    <mergeCell ref="C781:AD781"/>
    <mergeCell ref="C782:AD782"/>
    <mergeCell ref="B789:AD789"/>
    <mergeCell ref="C790:AD790"/>
    <mergeCell ref="D771:R771"/>
    <mergeCell ref="D772:R772"/>
    <mergeCell ref="D773:R773"/>
    <mergeCell ref="D774:R774"/>
    <mergeCell ref="D775:R775"/>
    <mergeCell ref="D776:R776"/>
    <mergeCell ref="C792:AD792"/>
    <mergeCell ref="B783:AE783"/>
    <mergeCell ref="B784:AE784"/>
    <mergeCell ref="B785:AE785"/>
    <mergeCell ref="B786:AE786"/>
    <mergeCell ref="B787:AE787"/>
    <mergeCell ref="C791:AD791"/>
    <mergeCell ref="C768:R770"/>
    <mergeCell ref="S768:AD768"/>
    <mergeCell ref="S769:S770"/>
    <mergeCell ref="T769:T770"/>
    <mergeCell ref="U769:U770"/>
    <mergeCell ref="V769:X769"/>
    <mergeCell ref="Y769:AA769"/>
    <mergeCell ref="AB769:AD769"/>
    <mergeCell ref="M756:R756"/>
    <mergeCell ref="S756:X756"/>
    <mergeCell ref="Y756:AD756"/>
    <mergeCell ref="C758:AD758"/>
    <mergeCell ref="C759:AD759"/>
    <mergeCell ref="B766:AD766"/>
    <mergeCell ref="M754:R754"/>
    <mergeCell ref="S754:X754"/>
    <mergeCell ref="Y754:AD754"/>
    <mergeCell ref="D755:L755"/>
    <mergeCell ref="M755:R755"/>
    <mergeCell ref="S755:X755"/>
    <mergeCell ref="Y755:AD755"/>
    <mergeCell ref="D754:L754"/>
    <mergeCell ref="D752:L752"/>
    <mergeCell ref="M752:R752"/>
    <mergeCell ref="S752:X752"/>
    <mergeCell ref="Y752:AD752"/>
    <mergeCell ref="D753:L753"/>
    <mergeCell ref="M753:R753"/>
    <mergeCell ref="S753:X753"/>
    <mergeCell ref="Y753:AD753"/>
    <mergeCell ref="D750:L750"/>
    <mergeCell ref="M750:R750"/>
    <mergeCell ref="S750:X750"/>
    <mergeCell ref="Y750:AD750"/>
    <mergeCell ref="D751:L751"/>
    <mergeCell ref="M751:R751"/>
    <mergeCell ref="S751:X751"/>
    <mergeCell ref="Y751:AD751"/>
    <mergeCell ref="D748:L748"/>
    <mergeCell ref="M748:R748"/>
    <mergeCell ref="S748:X748"/>
    <mergeCell ref="Y748:AD748"/>
    <mergeCell ref="D749:L749"/>
    <mergeCell ref="M749:R749"/>
    <mergeCell ref="S749:X749"/>
    <mergeCell ref="Y749:AD749"/>
    <mergeCell ref="D669:L669"/>
    <mergeCell ref="D670:L670"/>
    <mergeCell ref="D671:L671"/>
    <mergeCell ref="D672:L672"/>
    <mergeCell ref="D673:L673"/>
    <mergeCell ref="D674:L674"/>
    <mergeCell ref="D746:L746"/>
    <mergeCell ref="M746:R746"/>
    <mergeCell ref="S746:X746"/>
    <mergeCell ref="Y746:AD746"/>
    <mergeCell ref="D747:L747"/>
    <mergeCell ref="M747:R747"/>
    <mergeCell ref="S747:X747"/>
    <mergeCell ref="Y747:AD747"/>
    <mergeCell ref="C740:AD740"/>
    <mergeCell ref="C744:L745"/>
    <mergeCell ref="M744:AD744"/>
    <mergeCell ref="M745:R745"/>
    <mergeCell ref="S745:X745"/>
    <mergeCell ref="Y745:AD745"/>
    <mergeCell ref="D726:R726"/>
    <mergeCell ref="D727:R727"/>
    <mergeCell ref="D728:R728"/>
    <mergeCell ref="C731:AD731"/>
    <mergeCell ref="C732:AD732"/>
    <mergeCell ref="B739:AD739"/>
    <mergeCell ref="B687:AD687"/>
    <mergeCell ref="C688:AD688"/>
    <mergeCell ref="C689:AD689"/>
    <mergeCell ref="C690:AD690"/>
    <mergeCell ref="D675:L675"/>
    <mergeCell ref="D676:L676"/>
    <mergeCell ref="AB719:AD719"/>
    <mergeCell ref="D721:R721"/>
    <mergeCell ref="D722:R722"/>
    <mergeCell ref="D723:R723"/>
    <mergeCell ref="D724:R724"/>
    <mergeCell ref="D725:R725"/>
    <mergeCell ref="B716:AD716"/>
    <mergeCell ref="C718:R720"/>
    <mergeCell ref="S718:AD718"/>
    <mergeCell ref="S719:S720"/>
    <mergeCell ref="T719:T720"/>
    <mergeCell ref="U719:U720"/>
    <mergeCell ref="V719:X719"/>
    <mergeCell ref="Y719:AA719"/>
    <mergeCell ref="C679:AD679"/>
    <mergeCell ref="C680:AD680"/>
    <mergeCell ref="D695:U695"/>
    <mergeCell ref="C692:U694"/>
    <mergeCell ref="V692:AD692"/>
    <mergeCell ref="V693:X693"/>
    <mergeCell ref="Y693:AA693"/>
    <mergeCell ref="AB693:AD693"/>
    <mergeCell ref="B681:AE681"/>
    <mergeCell ref="B682:AE682"/>
    <mergeCell ref="B683:AE683"/>
    <mergeCell ref="B684:AE684"/>
    <mergeCell ref="B685:AE685"/>
    <mergeCell ref="B710:AE710"/>
    <mergeCell ref="B711:AE711"/>
    <mergeCell ref="B712:AE712"/>
    <mergeCell ref="B713:AE713"/>
    <mergeCell ref="B714:AE714"/>
    <mergeCell ref="S667:U667"/>
    <mergeCell ref="V667:X667"/>
    <mergeCell ref="D646:L646"/>
    <mergeCell ref="M646:R646"/>
    <mergeCell ref="S646:X646"/>
    <mergeCell ref="Y646:AD646"/>
    <mergeCell ref="D647:L647"/>
    <mergeCell ref="M647:R647"/>
    <mergeCell ref="S647:X647"/>
    <mergeCell ref="Y647:AD647"/>
    <mergeCell ref="M650:R650"/>
    <mergeCell ref="S650:X650"/>
    <mergeCell ref="Y650:AD650"/>
    <mergeCell ref="C652:AD652"/>
    <mergeCell ref="C653:AD653"/>
    <mergeCell ref="D648:L648"/>
    <mergeCell ref="M648:R648"/>
    <mergeCell ref="S648:X648"/>
    <mergeCell ref="Y648:AD648"/>
    <mergeCell ref="D649:L649"/>
    <mergeCell ref="M649:R649"/>
    <mergeCell ref="S649:X649"/>
    <mergeCell ref="Y649:AD649"/>
    <mergeCell ref="B660:AD660"/>
    <mergeCell ref="C661:AD661"/>
    <mergeCell ref="C662:AD662"/>
    <mergeCell ref="C663:AD663"/>
    <mergeCell ref="P667:R667"/>
    <mergeCell ref="D644:L644"/>
    <mergeCell ref="M644:R644"/>
    <mergeCell ref="S644:X644"/>
    <mergeCell ref="Y644:AD644"/>
    <mergeCell ref="D645:L645"/>
    <mergeCell ref="M645:R645"/>
    <mergeCell ref="S645:X645"/>
    <mergeCell ref="Y645:AD645"/>
    <mergeCell ref="D642:L642"/>
    <mergeCell ref="M642:R642"/>
    <mergeCell ref="S642:X642"/>
    <mergeCell ref="Y642:AD642"/>
    <mergeCell ref="D643:L643"/>
    <mergeCell ref="M643:R643"/>
    <mergeCell ref="S643:X643"/>
    <mergeCell ref="Y643:AD643"/>
    <mergeCell ref="D640:L640"/>
    <mergeCell ref="M640:R640"/>
    <mergeCell ref="S640:X640"/>
    <mergeCell ref="Y640:AD640"/>
    <mergeCell ref="D641:L641"/>
    <mergeCell ref="M641:R641"/>
    <mergeCell ref="S641:X641"/>
    <mergeCell ref="Y641:AD641"/>
    <mergeCell ref="C634:AD634"/>
    <mergeCell ref="C635:AD635"/>
    <mergeCell ref="C636:AD636"/>
    <mergeCell ref="C638:L639"/>
    <mergeCell ref="M638:AD638"/>
    <mergeCell ref="M639:R639"/>
    <mergeCell ref="S639:X639"/>
    <mergeCell ref="Y639:AD639"/>
    <mergeCell ref="D620:R620"/>
    <mergeCell ref="D621:R621"/>
    <mergeCell ref="D622:R622"/>
    <mergeCell ref="C625:AD625"/>
    <mergeCell ref="C626:AD626"/>
    <mergeCell ref="B633:AD633"/>
    <mergeCell ref="AB613:AD613"/>
    <mergeCell ref="D615:R615"/>
    <mergeCell ref="D616:R616"/>
    <mergeCell ref="D617:R617"/>
    <mergeCell ref="D618:R618"/>
    <mergeCell ref="D619:R619"/>
    <mergeCell ref="B627:AE627"/>
    <mergeCell ref="B628:AE628"/>
    <mergeCell ref="B629:AE629"/>
    <mergeCell ref="B630:AE630"/>
    <mergeCell ref="B631:AE631"/>
    <mergeCell ref="C602:AD602"/>
    <mergeCell ref="C603:AD603"/>
    <mergeCell ref="B610:AD610"/>
    <mergeCell ref="C612:R614"/>
    <mergeCell ref="S612:AD612"/>
    <mergeCell ref="S613:S614"/>
    <mergeCell ref="T613:T614"/>
    <mergeCell ref="U613:U614"/>
    <mergeCell ref="V613:X613"/>
    <mergeCell ref="Y613:AA613"/>
    <mergeCell ref="D599:L599"/>
    <mergeCell ref="M599:R599"/>
    <mergeCell ref="S599:X599"/>
    <mergeCell ref="Y599:AD599"/>
    <mergeCell ref="M600:R600"/>
    <mergeCell ref="S600:X600"/>
    <mergeCell ref="Y600:AD600"/>
    <mergeCell ref="B604:AE604"/>
    <mergeCell ref="B605:AE605"/>
    <mergeCell ref="B606:AE606"/>
    <mergeCell ref="B607:AE607"/>
    <mergeCell ref="B608:AE608"/>
    <mergeCell ref="D597:L597"/>
    <mergeCell ref="M597:R597"/>
    <mergeCell ref="S597:X597"/>
    <mergeCell ref="Y597:AD597"/>
    <mergeCell ref="D598:L598"/>
    <mergeCell ref="M598:R598"/>
    <mergeCell ref="S598:X598"/>
    <mergeCell ref="Y598:AD598"/>
    <mergeCell ref="D595:L595"/>
    <mergeCell ref="M595:R595"/>
    <mergeCell ref="S595:X595"/>
    <mergeCell ref="Y595:AD595"/>
    <mergeCell ref="D596:L596"/>
    <mergeCell ref="M596:R596"/>
    <mergeCell ref="S596:X596"/>
    <mergeCell ref="Y596:AD596"/>
    <mergeCell ref="D593:L593"/>
    <mergeCell ref="M593:R593"/>
    <mergeCell ref="S593:X593"/>
    <mergeCell ref="Y593:AD593"/>
    <mergeCell ref="D594:L594"/>
    <mergeCell ref="M594:R594"/>
    <mergeCell ref="S594:X594"/>
    <mergeCell ref="Y594:AD594"/>
    <mergeCell ref="D591:L591"/>
    <mergeCell ref="M591:R591"/>
    <mergeCell ref="S591:X591"/>
    <mergeCell ref="Y591:AD591"/>
    <mergeCell ref="D592:L592"/>
    <mergeCell ref="M592:R592"/>
    <mergeCell ref="S592:X592"/>
    <mergeCell ref="Y592:AD592"/>
    <mergeCell ref="D589:L589"/>
    <mergeCell ref="M589:R589"/>
    <mergeCell ref="S589:X589"/>
    <mergeCell ref="Y589:AD589"/>
    <mergeCell ref="D590:L590"/>
    <mergeCell ref="M590:R590"/>
    <mergeCell ref="S590:X590"/>
    <mergeCell ref="Y590:AD590"/>
    <mergeCell ref="D587:L587"/>
    <mergeCell ref="M587:R587"/>
    <mergeCell ref="S587:X587"/>
    <mergeCell ref="Y587:AD587"/>
    <mergeCell ref="D588:L588"/>
    <mergeCell ref="M588:R588"/>
    <mergeCell ref="S588:X588"/>
    <mergeCell ref="Y588:AD588"/>
    <mergeCell ref="D585:L585"/>
    <mergeCell ref="M585:R585"/>
    <mergeCell ref="S585:X585"/>
    <mergeCell ref="Y585:AD585"/>
    <mergeCell ref="D586:L586"/>
    <mergeCell ref="M586:R586"/>
    <mergeCell ref="S586:X586"/>
    <mergeCell ref="Y586:AD586"/>
    <mergeCell ref="D583:L583"/>
    <mergeCell ref="M583:R583"/>
    <mergeCell ref="S583:X583"/>
    <mergeCell ref="Y583:AD583"/>
    <mergeCell ref="D584:L584"/>
    <mergeCell ref="M584:R584"/>
    <mergeCell ref="S584:X584"/>
    <mergeCell ref="Y584:AD584"/>
    <mergeCell ref="D581:L581"/>
    <mergeCell ref="M581:R581"/>
    <mergeCell ref="S581:X581"/>
    <mergeCell ref="Y581:AD581"/>
    <mergeCell ref="D582:L582"/>
    <mergeCell ref="M582:R582"/>
    <mergeCell ref="S582:X582"/>
    <mergeCell ref="Y582:AD582"/>
    <mergeCell ref="D579:L579"/>
    <mergeCell ref="M579:R579"/>
    <mergeCell ref="S579:X579"/>
    <mergeCell ref="Y579:AD579"/>
    <mergeCell ref="D580:L580"/>
    <mergeCell ref="M580:R580"/>
    <mergeCell ref="S580:X580"/>
    <mergeCell ref="Y580:AD580"/>
    <mergeCell ref="D577:L577"/>
    <mergeCell ref="M577:R577"/>
    <mergeCell ref="S577:X577"/>
    <mergeCell ref="Y577:AD577"/>
    <mergeCell ref="D578:L578"/>
    <mergeCell ref="M578:R578"/>
    <mergeCell ref="S578:X578"/>
    <mergeCell ref="Y578:AD578"/>
    <mergeCell ref="D575:L575"/>
    <mergeCell ref="M575:R575"/>
    <mergeCell ref="S575:X575"/>
    <mergeCell ref="Y575:AD575"/>
    <mergeCell ref="D576:L576"/>
    <mergeCell ref="M576:R576"/>
    <mergeCell ref="S576:X576"/>
    <mergeCell ref="Y576:AD576"/>
    <mergeCell ref="C571:AD571"/>
    <mergeCell ref="C573:L574"/>
    <mergeCell ref="M573:AD573"/>
    <mergeCell ref="M574:R574"/>
    <mergeCell ref="S574:X574"/>
    <mergeCell ref="Y574:AD574"/>
    <mergeCell ref="D557:R557"/>
    <mergeCell ref="D558:R558"/>
    <mergeCell ref="C561:AD561"/>
    <mergeCell ref="C562:AD562"/>
    <mergeCell ref="B569:AD569"/>
    <mergeCell ref="C570:AD570"/>
    <mergeCell ref="D551:R551"/>
    <mergeCell ref="D552:R552"/>
    <mergeCell ref="D553:R553"/>
    <mergeCell ref="D554:R554"/>
    <mergeCell ref="D555:R555"/>
    <mergeCell ref="D556:R556"/>
    <mergeCell ref="B563:AE563"/>
    <mergeCell ref="B564:AE564"/>
    <mergeCell ref="B565:AE565"/>
    <mergeCell ref="B566:AE566"/>
    <mergeCell ref="B567:AE567"/>
    <mergeCell ref="C539:AD539"/>
    <mergeCell ref="B546:AD546"/>
    <mergeCell ref="C548:R550"/>
    <mergeCell ref="S548:AD548"/>
    <mergeCell ref="S549:S550"/>
    <mergeCell ref="T549:T550"/>
    <mergeCell ref="U549:U550"/>
    <mergeCell ref="V549:X549"/>
    <mergeCell ref="Y549:AA549"/>
    <mergeCell ref="AB549:AD549"/>
    <mergeCell ref="M534:R534"/>
    <mergeCell ref="S534:X534"/>
    <mergeCell ref="Y534:AD534"/>
    <mergeCell ref="C536:E536"/>
    <mergeCell ref="F536:AD536"/>
    <mergeCell ref="C538:AD538"/>
    <mergeCell ref="D532:L532"/>
    <mergeCell ref="M532:R532"/>
    <mergeCell ref="S532:X532"/>
    <mergeCell ref="Y532:AD532"/>
    <mergeCell ref="D533:L533"/>
    <mergeCell ref="M533:R533"/>
    <mergeCell ref="S533:X533"/>
    <mergeCell ref="Y533:AD533"/>
    <mergeCell ref="B540:AE540"/>
    <mergeCell ref="B541:AE541"/>
    <mergeCell ref="B542:AE542"/>
    <mergeCell ref="B543:AE543"/>
    <mergeCell ref="B544:AE544"/>
    <mergeCell ref="B545:AE545"/>
    <mergeCell ref="B537:AE537"/>
    <mergeCell ref="D530:L530"/>
    <mergeCell ref="M530:R530"/>
    <mergeCell ref="S530:X530"/>
    <mergeCell ref="Y530:AD530"/>
    <mergeCell ref="D531:L531"/>
    <mergeCell ref="M531:R531"/>
    <mergeCell ref="S531:X531"/>
    <mergeCell ref="Y531:AD531"/>
    <mergeCell ref="D528:L528"/>
    <mergeCell ref="M528:R528"/>
    <mergeCell ref="S528:X528"/>
    <mergeCell ref="Y528:AD528"/>
    <mergeCell ref="D529:L529"/>
    <mergeCell ref="M529:R529"/>
    <mergeCell ref="S529:X529"/>
    <mergeCell ref="Y529:AD529"/>
    <mergeCell ref="D526:L526"/>
    <mergeCell ref="M526:R526"/>
    <mergeCell ref="S526:X526"/>
    <mergeCell ref="Y526:AD526"/>
    <mergeCell ref="D527:L527"/>
    <mergeCell ref="M527:R527"/>
    <mergeCell ref="S527:X527"/>
    <mergeCell ref="Y527:AD527"/>
    <mergeCell ref="D524:L524"/>
    <mergeCell ref="M524:R524"/>
    <mergeCell ref="S524:X524"/>
    <mergeCell ref="Y524:AD524"/>
    <mergeCell ref="D525:L525"/>
    <mergeCell ref="M525:R525"/>
    <mergeCell ref="S525:X525"/>
    <mergeCell ref="Y525:AD525"/>
    <mergeCell ref="D522:L522"/>
    <mergeCell ref="M522:R522"/>
    <mergeCell ref="S522:X522"/>
    <mergeCell ref="Y522:AD522"/>
    <mergeCell ref="D523:L523"/>
    <mergeCell ref="M523:R523"/>
    <mergeCell ref="S523:X523"/>
    <mergeCell ref="Y523:AD523"/>
    <mergeCell ref="D520:L520"/>
    <mergeCell ref="M520:R520"/>
    <mergeCell ref="S520:X520"/>
    <mergeCell ref="Y520:AD520"/>
    <mergeCell ref="D521:L521"/>
    <mergeCell ref="M521:R521"/>
    <mergeCell ref="S521:X521"/>
    <mergeCell ref="Y521:AD521"/>
    <mergeCell ref="C518:L519"/>
    <mergeCell ref="M518:AD518"/>
    <mergeCell ref="M519:R519"/>
    <mergeCell ref="S519:X519"/>
    <mergeCell ref="Y519:AD519"/>
    <mergeCell ref="C504:AD504"/>
    <mergeCell ref="B511:AD511"/>
    <mergeCell ref="C512:AD512"/>
    <mergeCell ref="C514:AD514"/>
    <mergeCell ref="C516:AD516"/>
    <mergeCell ref="D496:R496"/>
    <mergeCell ref="D497:R497"/>
    <mergeCell ref="D498:R498"/>
    <mergeCell ref="D499:R499"/>
    <mergeCell ref="D500:R500"/>
    <mergeCell ref="C503:AD503"/>
    <mergeCell ref="C515:AD515"/>
    <mergeCell ref="C513:AD513"/>
    <mergeCell ref="B505:AE505"/>
    <mergeCell ref="B506:AE506"/>
    <mergeCell ref="B507:AE507"/>
    <mergeCell ref="B508:AE508"/>
    <mergeCell ref="B509:AE509"/>
    <mergeCell ref="V491:X491"/>
    <mergeCell ref="Y491:AA491"/>
    <mergeCell ref="AB491:AD491"/>
    <mergeCell ref="D493:R493"/>
    <mergeCell ref="D494:R494"/>
    <mergeCell ref="D495:R495"/>
    <mergeCell ref="D476:R476"/>
    <mergeCell ref="D477:R477"/>
    <mergeCell ref="C480:AD480"/>
    <mergeCell ref="C481:AD481"/>
    <mergeCell ref="B488:AD488"/>
    <mergeCell ref="C490:R492"/>
    <mergeCell ref="S490:AD490"/>
    <mergeCell ref="S491:S492"/>
    <mergeCell ref="T491:T492"/>
    <mergeCell ref="U491:U492"/>
    <mergeCell ref="D470:R470"/>
    <mergeCell ref="D471:R471"/>
    <mergeCell ref="D472:R472"/>
    <mergeCell ref="D473:R473"/>
    <mergeCell ref="D474:R474"/>
    <mergeCell ref="D475:R475"/>
    <mergeCell ref="B482:AE482"/>
    <mergeCell ref="B483:AE483"/>
    <mergeCell ref="B484:AE484"/>
    <mergeCell ref="B485:AE485"/>
    <mergeCell ref="B486:AE486"/>
    <mergeCell ref="C458:AD458"/>
    <mergeCell ref="B465:AD465"/>
    <mergeCell ref="C467:R469"/>
    <mergeCell ref="S467:AD467"/>
    <mergeCell ref="S468:S469"/>
    <mergeCell ref="T468:T469"/>
    <mergeCell ref="U468:U469"/>
    <mergeCell ref="V468:X468"/>
    <mergeCell ref="Y468:AA468"/>
    <mergeCell ref="AB468:AD468"/>
    <mergeCell ref="D450:R450"/>
    <mergeCell ref="D451:R451"/>
    <mergeCell ref="D452:R452"/>
    <mergeCell ref="D453:R453"/>
    <mergeCell ref="D454:R454"/>
    <mergeCell ref="C457:AD457"/>
    <mergeCell ref="V445:X445"/>
    <mergeCell ref="Y445:AA445"/>
    <mergeCell ref="AB445:AD445"/>
    <mergeCell ref="D447:R447"/>
    <mergeCell ref="D448:R448"/>
    <mergeCell ref="D449:R449"/>
    <mergeCell ref="B459:AE459"/>
    <mergeCell ref="B460:AE460"/>
    <mergeCell ref="B461:AE461"/>
    <mergeCell ref="B462:AE462"/>
    <mergeCell ref="B463:AE463"/>
    <mergeCell ref="D430:R430"/>
    <mergeCell ref="D431:R431"/>
    <mergeCell ref="C434:AD434"/>
    <mergeCell ref="C435:AD435"/>
    <mergeCell ref="B442:AD442"/>
    <mergeCell ref="C444:R446"/>
    <mergeCell ref="S444:AD444"/>
    <mergeCell ref="S445:S446"/>
    <mergeCell ref="T445:T446"/>
    <mergeCell ref="U445:U446"/>
    <mergeCell ref="D424:R424"/>
    <mergeCell ref="D425:R425"/>
    <mergeCell ref="D426:R426"/>
    <mergeCell ref="D427:R427"/>
    <mergeCell ref="D428:R428"/>
    <mergeCell ref="D429:R429"/>
    <mergeCell ref="C421:R423"/>
    <mergeCell ref="S421:AD421"/>
    <mergeCell ref="S422:S423"/>
    <mergeCell ref="T422:T423"/>
    <mergeCell ref="U422:U423"/>
    <mergeCell ref="V422:X422"/>
    <mergeCell ref="Y422:AA422"/>
    <mergeCell ref="AB422:AD422"/>
    <mergeCell ref="B436:AE436"/>
    <mergeCell ref="B437:AE437"/>
    <mergeCell ref="B438:AE438"/>
    <mergeCell ref="B439:AE439"/>
    <mergeCell ref="B440:AE440"/>
    <mergeCell ref="D406:R406"/>
    <mergeCell ref="D407:R407"/>
    <mergeCell ref="D408:R408"/>
    <mergeCell ref="C411:AD411"/>
    <mergeCell ref="C412:AD412"/>
    <mergeCell ref="B419:AD419"/>
    <mergeCell ref="AB399:AD399"/>
    <mergeCell ref="D401:R401"/>
    <mergeCell ref="D402:R402"/>
    <mergeCell ref="D403:R403"/>
    <mergeCell ref="D404:R404"/>
    <mergeCell ref="D405:R405"/>
    <mergeCell ref="C393:AD393"/>
    <mergeCell ref="C395:AD395"/>
    <mergeCell ref="C396:AD396"/>
    <mergeCell ref="C398:R400"/>
    <mergeCell ref="S398:AD398"/>
    <mergeCell ref="S399:S400"/>
    <mergeCell ref="T399:T400"/>
    <mergeCell ref="U399:U400"/>
    <mergeCell ref="V399:X399"/>
    <mergeCell ref="Y399:AA399"/>
    <mergeCell ref="C394:AD394"/>
    <mergeCell ref="B413:AE413"/>
    <mergeCell ref="B414:AE414"/>
    <mergeCell ref="B415:AE415"/>
    <mergeCell ref="B416:AE416"/>
    <mergeCell ref="B417:AE417"/>
    <mergeCell ref="D379:R379"/>
    <mergeCell ref="D380:R380"/>
    <mergeCell ref="D381:R381"/>
    <mergeCell ref="C384:AD384"/>
    <mergeCell ref="C385:AD385"/>
    <mergeCell ref="B392:AD392"/>
    <mergeCell ref="AB372:AD372"/>
    <mergeCell ref="D374:R374"/>
    <mergeCell ref="D375:R375"/>
    <mergeCell ref="D376:R376"/>
    <mergeCell ref="D377:R377"/>
    <mergeCell ref="D378:R378"/>
    <mergeCell ref="C361:AD361"/>
    <mergeCell ref="C362:AD362"/>
    <mergeCell ref="B369:AD369"/>
    <mergeCell ref="C371:R373"/>
    <mergeCell ref="S371:AD371"/>
    <mergeCell ref="S372:S373"/>
    <mergeCell ref="T372:T373"/>
    <mergeCell ref="U372:U373"/>
    <mergeCell ref="V372:X372"/>
    <mergeCell ref="Y372:AA372"/>
    <mergeCell ref="B365:AE365"/>
    <mergeCell ref="B366:AE366"/>
    <mergeCell ref="B367:AE367"/>
    <mergeCell ref="B386:AE386"/>
    <mergeCell ref="B387:AE387"/>
    <mergeCell ref="B388:AE388"/>
    <mergeCell ref="B389:AE389"/>
    <mergeCell ref="B390:AE390"/>
    <mergeCell ref="D353:I353"/>
    <mergeCell ref="D354:I354"/>
    <mergeCell ref="D355:I355"/>
    <mergeCell ref="D356:I356"/>
    <mergeCell ref="D357:I357"/>
    <mergeCell ref="D358:I358"/>
    <mergeCell ref="S349:U349"/>
    <mergeCell ref="V349:X349"/>
    <mergeCell ref="Y349:AA349"/>
    <mergeCell ref="AB349:AD349"/>
    <mergeCell ref="D351:I351"/>
    <mergeCell ref="D352:I352"/>
    <mergeCell ref="C338:AD338"/>
    <mergeCell ref="C339:AD339"/>
    <mergeCell ref="B346:AD346"/>
    <mergeCell ref="C348:I350"/>
    <mergeCell ref="J348:AD348"/>
    <mergeCell ref="J349:J350"/>
    <mergeCell ref="K349:K350"/>
    <mergeCell ref="L349:L350"/>
    <mergeCell ref="M349:O349"/>
    <mergeCell ref="P349:R349"/>
    <mergeCell ref="D335:L335"/>
    <mergeCell ref="M335:R335"/>
    <mergeCell ref="S335:X335"/>
    <mergeCell ref="Y335:AD335"/>
    <mergeCell ref="M336:R336"/>
    <mergeCell ref="S336:X336"/>
    <mergeCell ref="Y336:AD336"/>
    <mergeCell ref="D333:L333"/>
    <mergeCell ref="M333:R333"/>
    <mergeCell ref="S333:X333"/>
    <mergeCell ref="Y333:AD333"/>
    <mergeCell ref="D334:L334"/>
    <mergeCell ref="M334:R334"/>
    <mergeCell ref="S334:X334"/>
    <mergeCell ref="Y334:AD334"/>
    <mergeCell ref="C319:AD319"/>
    <mergeCell ref="C321:AD321"/>
    <mergeCell ref="C322:AD322"/>
    <mergeCell ref="B329:AD329"/>
    <mergeCell ref="C331:L332"/>
    <mergeCell ref="M331:AD331"/>
    <mergeCell ref="M332:R332"/>
    <mergeCell ref="S332:X332"/>
    <mergeCell ref="Y332:AD332"/>
    <mergeCell ref="D316:L316"/>
    <mergeCell ref="M316:R316"/>
    <mergeCell ref="S316:X316"/>
    <mergeCell ref="Y316:AD316"/>
    <mergeCell ref="M317:R317"/>
    <mergeCell ref="S317:X317"/>
    <mergeCell ref="Y317:AD317"/>
    <mergeCell ref="D314:L314"/>
    <mergeCell ref="M314:R314"/>
    <mergeCell ref="S314:X314"/>
    <mergeCell ref="Y314:AD314"/>
    <mergeCell ref="D315:L315"/>
    <mergeCell ref="M315:R315"/>
    <mergeCell ref="S315:X315"/>
    <mergeCell ref="Y315:AD315"/>
    <mergeCell ref="D312:L312"/>
    <mergeCell ref="M312:R312"/>
    <mergeCell ref="S312:X312"/>
    <mergeCell ref="Y312:AD312"/>
    <mergeCell ref="D313:L313"/>
    <mergeCell ref="M313:R313"/>
    <mergeCell ref="S313:X313"/>
    <mergeCell ref="Y313:AD313"/>
    <mergeCell ref="D310:L310"/>
    <mergeCell ref="M310:R310"/>
    <mergeCell ref="S310:X310"/>
    <mergeCell ref="Y310:AD310"/>
    <mergeCell ref="D311:L311"/>
    <mergeCell ref="M311:R311"/>
    <mergeCell ref="S311:X311"/>
    <mergeCell ref="Y311:AD311"/>
    <mergeCell ref="D308:L308"/>
    <mergeCell ref="M308:R308"/>
    <mergeCell ref="S308:X308"/>
    <mergeCell ref="Y308:AD308"/>
    <mergeCell ref="D309:L309"/>
    <mergeCell ref="M309:R309"/>
    <mergeCell ref="S309:X309"/>
    <mergeCell ref="Y309:AD309"/>
    <mergeCell ref="D306:L306"/>
    <mergeCell ref="M306:R306"/>
    <mergeCell ref="S306:X306"/>
    <mergeCell ref="Y306:AD306"/>
    <mergeCell ref="D307:L307"/>
    <mergeCell ref="M307:R307"/>
    <mergeCell ref="S307:X307"/>
    <mergeCell ref="Y307:AD307"/>
    <mergeCell ref="Y304:AD304"/>
    <mergeCell ref="D305:L305"/>
    <mergeCell ref="M305:R305"/>
    <mergeCell ref="S305:X305"/>
    <mergeCell ref="Y305:AD305"/>
    <mergeCell ref="D302:L302"/>
    <mergeCell ref="M302:R302"/>
    <mergeCell ref="S302:X302"/>
    <mergeCell ref="Y302:AD302"/>
    <mergeCell ref="D303:L303"/>
    <mergeCell ref="M303:R303"/>
    <mergeCell ref="S303:X303"/>
    <mergeCell ref="Y303:AD303"/>
    <mergeCell ref="D300:L300"/>
    <mergeCell ref="M300:R300"/>
    <mergeCell ref="S300:X300"/>
    <mergeCell ref="Y300:AD300"/>
    <mergeCell ref="D301:L301"/>
    <mergeCell ref="M301:R301"/>
    <mergeCell ref="S301:X301"/>
    <mergeCell ref="Y301:AD301"/>
    <mergeCell ref="M304:R304"/>
    <mergeCell ref="D275:L275"/>
    <mergeCell ref="M275:R275"/>
    <mergeCell ref="S275:X275"/>
    <mergeCell ref="Y275:AD275"/>
    <mergeCell ref="D276:L276"/>
    <mergeCell ref="M276:R276"/>
    <mergeCell ref="S276:X276"/>
    <mergeCell ref="M283:R283"/>
    <mergeCell ref="S283:X283"/>
    <mergeCell ref="Y283:AD283"/>
    <mergeCell ref="C285:AD285"/>
    <mergeCell ref="C286:AD286"/>
    <mergeCell ref="B293:AD293"/>
    <mergeCell ref="D298:L298"/>
    <mergeCell ref="M298:R298"/>
    <mergeCell ref="S298:X298"/>
    <mergeCell ref="Y298:AD298"/>
    <mergeCell ref="D281:L281"/>
    <mergeCell ref="M281:R281"/>
    <mergeCell ref="S281:X281"/>
    <mergeCell ref="Y281:AD281"/>
    <mergeCell ref="D282:L282"/>
    <mergeCell ref="M282:R282"/>
    <mergeCell ref="S282:X282"/>
    <mergeCell ref="Y282:AD282"/>
    <mergeCell ref="Y276:AD276"/>
    <mergeCell ref="D277:L277"/>
    <mergeCell ref="M277:R277"/>
    <mergeCell ref="S277:X277"/>
    <mergeCell ref="Y277:AD277"/>
    <mergeCell ref="D278:L278"/>
    <mergeCell ref="M278:R278"/>
    <mergeCell ref="B269:AD269"/>
    <mergeCell ref="C270:AD270"/>
    <mergeCell ref="C272:L273"/>
    <mergeCell ref="M272:AD272"/>
    <mergeCell ref="M273:R273"/>
    <mergeCell ref="S273:X273"/>
    <mergeCell ref="Y273:AD273"/>
    <mergeCell ref="D255:O255"/>
    <mergeCell ref="D256:O256"/>
    <mergeCell ref="D257:O257"/>
    <mergeCell ref="D258:O258"/>
    <mergeCell ref="C261:AD261"/>
    <mergeCell ref="C262:AD262"/>
    <mergeCell ref="D274:L274"/>
    <mergeCell ref="M274:R274"/>
    <mergeCell ref="S274:X274"/>
    <mergeCell ref="Y274:AD274"/>
    <mergeCell ref="B263:AE263"/>
    <mergeCell ref="B264:AE264"/>
    <mergeCell ref="B265:AE265"/>
    <mergeCell ref="B266:AE266"/>
    <mergeCell ref="B267:AE267"/>
    <mergeCell ref="Y249:AA249"/>
    <mergeCell ref="AB249:AD249"/>
    <mergeCell ref="D251:O251"/>
    <mergeCell ref="D252:O252"/>
    <mergeCell ref="D253:O253"/>
    <mergeCell ref="D254:O254"/>
    <mergeCell ref="D241:R241"/>
    <mergeCell ref="D242:R242"/>
    <mergeCell ref="D243:R243"/>
    <mergeCell ref="D244:R244"/>
    <mergeCell ref="AA247:AD247"/>
    <mergeCell ref="C248:O250"/>
    <mergeCell ref="P248:AD248"/>
    <mergeCell ref="P249:R249"/>
    <mergeCell ref="S249:U249"/>
    <mergeCell ref="V249:X249"/>
    <mergeCell ref="Y235:AA235"/>
    <mergeCell ref="AB235:AD235"/>
    <mergeCell ref="D237:R237"/>
    <mergeCell ref="D238:R238"/>
    <mergeCell ref="D239:R239"/>
    <mergeCell ref="D240:R240"/>
    <mergeCell ref="B229:AD229"/>
    <mergeCell ref="C230:AD230"/>
    <mergeCell ref="C231:AD231"/>
    <mergeCell ref="AA233:AD233"/>
    <mergeCell ref="C234:R236"/>
    <mergeCell ref="S234:AD234"/>
    <mergeCell ref="S235:S236"/>
    <mergeCell ref="T235:T236"/>
    <mergeCell ref="U235:U236"/>
    <mergeCell ref="V235:X235"/>
    <mergeCell ref="D215:I215"/>
    <mergeCell ref="D216:I216"/>
    <mergeCell ref="D217:I217"/>
    <mergeCell ref="D218:I218"/>
    <mergeCell ref="C221:AD221"/>
    <mergeCell ref="C222:AD222"/>
    <mergeCell ref="Y209:AA209"/>
    <mergeCell ref="AB209:AD209"/>
    <mergeCell ref="D211:I211"/>
    <mergeCell ref="D212:I212"/>
    <mergeCell ref="D213:I213"/>
    <mergeCell ref="D214:I214"/>
    <mergeCell ref="B223:AE223"/>
    <mergeCell ref="B224:AE224"/>
    <mergeCell ref="B225:AE225"/>
    <mergeCell ref="B226:AE226"/>
    <mergeCell ref="B227:AE227"/>
    <mergeCell ref="D203:L203"/>
    <mergeCell ref="D204:L204"/>
    <mergeCell ref="AA207:AD207"/>
    <mergeCell ref="C208:I210"/>
    <mergeCell ref="J208:AD208"/>
    <mergeCell ref="J209:L209"/>
    <mergeCell ref="M209:O209"/>
    <mergeCell ref="P209:R209"/>
    <mergeCell ref="S209:U209"/>
    <mergeCell ref="V209:X209"/>
    <mergeCell ref="D197:L197"/>
    <mergeCell ref="D198:L198"/>
    <mergeCell ref="D199:L199"/>
    <mergeCell ref="D200:L200"/>
    <mergeCell ref="D201:L201"/>
    <mergeCell ref="D202:L202"/>
    <mergeCell ref="C194:L196"/>
    <mergeCell ref="M194:AD194"/>
    <mergeCell ref="M195:M196"/>
    <mergeCell ref="N195:N196"/>
    <mergeCell ref="O195:O196"/>
    <mergeCell ref="P195:R195"/>
    <mergeCell ref="S195:U195"/>
    <mergeCell ref="V195:X195"/>
    <mergeCell ref="Y195:AA195"/>
    <mergeCell ref="AB195:AD195"/>
    <mergeCell ref="D176:I176"/>
    <mergeCell ref="D177:I177"/>
    <mergeCell ref="D178:I178"/>
    <mergeCell ref="D179:I179"/>
    <mergeCell ref="D180:I180"/>
    <mergeCell ref="AA193:AD193"/>
    <mergeCell ref="V171:X171"/>
    <mergeCell ref="Y171:AA171"/>
    <mergeCell ref="AB171:AD171"/>
    <mergeCell ref="D173:I173"/>
    <mergeCell ref="D174:I174"/>
    <mergeCell ref="D175:I175"/>
    <mergeCell ref="D164:L164"/>
    <mergeCell ref="D165:L165"/>
    <mergeCell ref="D166:L166"/>
    <mergeCell ref="AA169:AD169"/>
    <mergeCell ref="C170:I172"/>
    <mergeCell ref="J170:AD170"/>
    <mergeCell ref="J171:L171"/>
    <mergeCell ref="M171:O171"/>
    <mergeCell ref="P171:R171"/>
    <mergeCell ref="S171:U171"/>
    <mergeCell ref="C183:AD183"/>
    <mergeCell ref="C184:AD184"/>
    <mergeCell ref="B185:AE185"/>
    <mergeCell ref="B186:AE186"/>
    <mergeCell ref="B187:AE187"/>
    <mergeCell ref="B188:AE188"/>
    <mergeCell ref="B189:AE189"/>
    <mergeCell ref="AB157:AD157"/>
    <mergeCell ref="D159:L159"/>
    <mergeCell ref="D160:L160"/>
    <mergeCell ref="D161:L161"/>
    <mergeCell ref="D162:L162"/>
    <mergeCell ref="D163:L163"/>
    <mergeCell ref="AA155:AD155"/>
    <mergeCell ref="C156:L158"/>
    <mergeCell ref="M156:AD156"/>
    <mergeCell ref="M157:M158"/>
    <mergeCell ref="N157:N158"/>
    <mergeCell ref="O157:O158"/>
    <mergeCell ref="P157:R157"/>
    <mergeCell ref="S157:U157"/>
    <mergeCell ref="V157:X157"/>
    <mergeCell ref="Y157:AA157"/>
    <mergeCell ref="C140:AD140"/>
    <mergeCell ref="B147:AD147"/>
    <mergeCell ref="C148:AD148"/>
    <mergeCell ref="C149:AD149"/>
    <mergeCell ref="C150:AD150"/>
    <mergeCell ref="C151:AD151"/>
    <mergeCell ref="B141:AE141"/>
    <mergeCell ref="B142:AE142"/>
    <mergeCell ref="B143:AE143"/>
    <mergeCell ref="B144:AE144"/>
    <mergeCell ref="B145:AE145"/>
    <mergeCell ref="D132:I132"/>
    <mergeCell ref="D133:I133"/>
    <mergeCell ref="D134:I134"/>
    <mergeCell ref="D135:I135"/>
    <mergeCell ref="D136:I136"/>
    <mergeCell ref="C139:AD139"/>
    <mergeCell ref="V127:X127"/>
    <mergeCell ref="Y127:AA127"/>
    <mergeCell ref="AB127:AD127"/>
    <mergeCell ref="D129:I129"/>
    <mergeCell ref="D130:I130"/>
    <mergeCell ref="D131:I131"/>
    <mergeCell ref="C123:AD123"/>
    <mergeCell ref="C124:AD124"/>
    <mergeCell ref="C126:I128"/>
    <mergeCell ref="J126:AD126"/>
    <mergeCell ref="J127:J128"/>
    <mergeCell ref="K127:K128"/>
    <mergeCell ref="L127:L128"/>
    <mergeCell ref="M127:O127"/>
    <mergeCell ref="P127:R127"/>
    <mergeCell ref="S127:U127"/>
    <mergeCell ref="D109:U109"/>
    <mergeCell ref="D110:U110"/>
    <mergeCell ref="D111:U111"/>
    <mergeCell ref="C114:AD114"/>
    <mergeCell ref="C115:AD115"/>
    <mergeCell ref="B122:AD122"/>
    <mergeCell ref="AB102:AD102"/>
    <mergeCell ref="D104:U104"/>
    <mergeCell ref="D105:U105"/>
    <mergeCell ref="D106:U106"/>
    <mergeCell ref="D107:U107"/>
    <mergeCell ref="D108:U108"/>
    <mergeCell ref="D93:O93"/>
    <mergeCell ref="D94:O94"/>
    <mergeCell ref="D95:O95"/>
    <mergeCell ref="D96:O96"/>
    <mergeCell ref="AA99:AD99"/>
    <mergeCell ref="C100:U103"/>
    <mergeCell ref="V100:AD100"/>
    <mergeCell ref="V101:AD101"/>
    <mergeCell ref="V102:X102"/>
    <mergeCell ref="Y102:AA102"/>
    <mergeCell ref="B116:AE116"/>
    <mergeCell ref="B117:AE117"/>
    <mergeCell ref="B118:AE118"/>
    <mergeCell ref="B119:AE119"/>
    <mergeCell ref="B120:AE120"/>
    <mergeCell ref="Y87:AA87"/>
    <mergeCell ref="AB87:AD87"/>
    <mergeCell ref="D89:O89"/>
    <mergeCell ref="D90:O90"/>
    <mergeCell ref="D91:O91"/>
    <mergeCell ref="D92:O92"/>
    <mergeCell ref="B82:AD82"/>
    <mergeCell ref="AA84:AD84"/>
    <mergeCell ref="C85:O88"/>
    <mergeCell ref="P85:AD85"/>
    <mergeCell ref="P86:P88"/>
    <mergeCell ref="Q86:Q88"/>
    <mergeCell ref="R86:R88"/>
    <mergeCell ref="S86:U87"/>
    <mergeCell ref="V86:AD86"/>
    <mergeCell ref="V87:X87"/>
    <mergeCell ref="D68:R68"/>
    <mergeCell ref="D69:R69"/>
    <mergeCell ref="D70:R70"/>
    <mergeCell ref="D71:R71"/>
    <mergeCell ref="C74:AD74"/>
    <mergeCell ref="C75:AD75"/>
    <mergeCell ref="B76:AE76"/>
    <mergeCell ref="B77:AE77"/>
    <mergeCell ref="B78:AE78"/>
    <mergeCell ref="B79:AE79"/>
    <mergeCell ref="B80:AE80"/>
    <mergeCell ref="Y62:AA62"/>
    <mergeCell ref="AB62:AD62"/>
    <mergeCell ref="D64:R64"/>
    <mergeCell ref="D65:R65"/>
    <mergeCell ref="D66:R66"/>
    <mergeCell ref="D67:R67"/>
    <mergeCell ref="C50:AD50"/>
    <mergeCell ref="C51:AD51"/>
    <mergeCell ref="B58:AD58"/>
    <mergeCell ref="C59:AD59"/>
    <mergeCell ref="C61:R63"/>
    <mergeCell ref="S61:AD61"/>
    <mergeCell ref="S62:S63"/>
    <mergeCell ref="T62:T63"/>
    <mergeCell ref="U62:U63"/>
    <mergeCell ref="V62:X62"/>
    <mergeCell ref="D47:L47"/>
    <mergeCell ref="M47:R47"/>
    <mergeCell ref="S47:X47"/>
    <mergeCell ref="Y47:AD47"/>
    <mergeCell ref="M48:R48"/>
    <mergeCell ref="S48:X48"/>
    <mergeCell ref="Y48:AD48"/>
    <mergeCell ref="B52:AE52"/>
    <mergeCell ref="B53:AE53"/>
    <mergeCell ref="B54:AE54"/>
    <mergeCell ref="D45:L45"/>
    <mergeCell ref="M45:R45"/>
    <mergeCell ref="S45:X45"/>
    <mergeCell ref="Y45:AD45"/>
    <mergeCell ref="D46:L46"/>
    <mergeCell ref="M46:R46"/>
    <mergeCell ref="S46:X46"/>
    <mergeCell ref="Y46:AD46"/>
    <mergeCell ref="D43:L43"/>
    <mergeCell ref="M43:R43"/>
    <mergeCell ref="S43:X43"/>
    <mergeCell ref="Y43:AD43"/>
    <mergeCell ref="D44:L44"/>
    <mergeCell ref="M44:R44"/>
    <mergeCell ref="S44:X44"/>
    <mergeCell ref="Y44:AD44"/>
    <mergeCell ref="D41:L41"/>
    <mergeCell ref="M41:R41"/>
    <mergeCell ref="S41:X41"/>
    <mergeCell ref="Y41:AD41"/>
    <mergeCell ref="D42:L42"/>
    <mergeCell ref="M42:R42"/>
    <mergeCell ref="S42:X42"/>
    <mergeCell ref="Y42:AD42"/>
    <mergeCell ref="C19:AD19"/>
    <mergeCell ref="C16:AD16"/>
    <mergeCell ref="D40:L40"/>
    <mergeCell ref="M40:R40"/>
    <mergeCell ref="S40:X40"/>
    <mergeCell ref="Y40:AD40"/>
    <mergeCell ref="B30:AD30"/>
    <mergeCell ref="C31:AD31"/>
    <mergeCell ref="C32:AD32"/>
    <mergeCell ref="C33:AD33"/>
    <mergeCell ref="C34:AD34"/>
    <mergeCell ref="B36:AD36"/>
    <mergeCell ref="C23:AD23"/>
    <mergeCell ref="C24:AD24"/>
    <mergeCell ref="C25:AD25"/>
    <mergeCell ref="C26:AD26"/>
    <mergeCell ref="C27:AD27"/>
    <mergeCell ref="B29:AD29"/>
    <mergeCell ref="S278:X278"/>
    <mergeCell ref="Y278:AD278"/>
    <mergeCell ref="D279:L279"/>
    <mergeCell ref="M279:R279"/>
    <mergeCell ref="S279:X279"/>
    <mergeCell ref="Y279:AD279"/>
    <mergeCell ref="D280:L280"/>
    <mergeCell ref="M280:R280"/>
    <mergeCell ref="S280:X280"/>
    <mergeCell ref="Y280:AD280"/>
    <mergeCell ref="B10:AD10"/>
    <mergeCell ref="B20:AD20"/>
    <mergeCell ref="C21:AD21"/>
    <mergeCell ref="C22:AD22"/>
    <mergeCell ref="B1:AD1"/>
    <mergeCell ref="B3:AD3"/>
    <mergeCell ref="B5:AD5"/>
    <mergeCell ref="AA7:AD7"/>
    <mergeCell ref="B8:L8"/>
    <mergeCell ref="N8:O8"/>
    <mergeCell ref="C38:L39"/>
    <mergeCell ref="M38:AD38"/>
    <mergeCell ref="M39:R39"/>
    <mergeCell ref="S39:X39"/>
    <mergeCell ref="Y39:AD39"/>
    <mergeCell ref="C11:AD11"/>
    <mergeCell ref="C12:AD12"/>
    <mergeCell ref="C13:AD13"/>
    <mergeCell ref="C14:AD14"/>
    <mergeCell ref="C15:AD15"/>
    <mergeCell ref="C17:AD17"/>
    <mergeCell ref="C18:AD18"/>
    <mergeCell ref="B287:AE287"/>
    <mergeCell ref="B288:AE288"/>
    <mergeCell ref="B289:AE289"/>
    <mergeCell ref="B290:AE290"/>
    <mergeCell ref="B291:AE291"/>
    <mergeCell ref="B323:AE323"/>
    <mergeCell ref="B324:AE324"/>
    <mergeCell ref="B325:AE325"/>
    <mergeCell ref="B326:AE326"/>
    <mergeCell ref="B327:AE327"/>
    <mergeCell ref="B340:AE340"/>
    <mergeCell ref="B341:AE341"/>
    <mergeCell ref="B342:AE342"/>
    <mergeCell ref="B343:AE343"/>
    <mergeCell ref="B344:AE344"/>
    <mergeCell ref="B363:AE363"/>
    <mergeCell ref="B364:AE364"/>
    <mergeCell ref="D299:L299"/>
    <mergeCell ref="M299:R299"/>
    <mergeCell ref="S299:X299"/>
    <mergeCell ref="Y299:AD299"/>
    <mergeCell ref="C295:L296"/>
    <mergeCell ref="M295:AD295"/>
    <mergeCell ref="M296:R296"/>
    <mergeCell ref="S296:X296"/>
    <mergeCell ref="Y296:AD296"/>
    <mergeCell ref="D297:L297"/>
    <mergeCell ref="M297:R297"/>
    <mergeCell ref="S297:X297"/>
    <mergeCell ref="Y297:AD297"/>
    <mergeCell ref="D304:L304"/>
    <mergeCell ref="S304:X304"/>
    <mergeCell ref="B715:AE715"/>
    <mergeCell ref="B869:AE869"/>
    <mergeCell ref="B870:AE870"/>
    <mergeCell ref="B871:AE871"/>
    <mergeCell ref="B872:AE872"/>
    <mergeCell ref="B873:AE873"/>
    <mergeCell ref="B874:AE874"/>
    <mergeCell ref="B654:AE654"/>
    <mergeCell ref="B655:AE655"/>
    <mergeCell ref="B656:AE656"/>
    <mergeCell ref="B657:AE657"/>
    <mergeCell ref="B658:AE658"/>
    <mergeCell ref="B659:AE659"/>
    <mergeCell ref="B733:AE733"/>
    <mergeCell ref="B734:AE734"/>
    <mergeCell ref="B735:AE735"/>
    <mergeCell ref="B736:AE736"/>
    <mergeCell ref="B737:AE737"/>
    <mergeCell ref="B760:AE760"/>
    <mergeCell ref="B761:AE761"/>
    <mergeCell ref="B762:AE762"/>
    <mergeCell ref="B763:AE763"/>
    <mergeCell ref="B764:AE764"/>
    <mergeCell ref="B765:AE765"/>
    <mergeCell ref="C665:L668"/>
    <mergeCell ref="M665:AD665"/>
    <mergeCell ref="M666:M668"/>
    <mergeCell ref="N666:N668"/>
    <mergeCell ref="O666:O668"/>
    <mergeCell ref="P666:X666"/>
    <mergeCell ref="Y666:AA667"/>
    <mergeCell ref="AB666:AD667"/>
  </mergeCells>
  <conditionalFormatting sqref="C514:AD514">
    <cfRule type="expression" dxfId="571" priority="62">
      <formula>AQ521&gt;0</formula>
    </cfRule>
  </conditionalFormatting>
  <conditionalFormatting sqref="C515:AD515">
    <cfRule type="expression" dxfId="570" priority="61">
      <formula>AND(AN534&gt;0,C539="")</formula>
    </cfRule>
  </conditionalFormatting>
  <conditionalFormatting sqref="C635:AD635">
    <cfRule type="expression" dxfId="569" priority="56">
      <formula>AQ641&gt;0</formula>
    </cfRule>
  </conditionalFormatting>
  <conditionalFormatting sqref="C636:AD636">
    <cfRule type="expression" dxfId="568" priority="55">
      <formula>AND(AN650&gt;0,C653="")</formula>
    </cfRule>
  </conditionalFormatting>
  <conditionalFormatting sqref="C689:AD689">
    <cfRule type="expression" dxfId="567" priority="50">
      <formula>BC695&gt;0</formula>
    </cfRule>
  </conditionalFormatting>
  <conditionalFormatting sqref="C690:AD690">
    <cfRule type="expression" dxfId="566" priority="49">
      <formula>AND(BL706&gt;0,C709="")</formula>
    </cfRule>
  </conditionalFormatting>
  <conditionalFormatting sqref="C741:AD741">
    <cfRule type="expression" dxfId="565" priority="46">
      <formula>AQ747&gt;0</formula>
    </cfRule>
  </conditionalFormatting>
  <conditionalFormatting sqref="C742:AD742">
    <cfRule type="expression" dxfId="564" priority="45">
      <formula>AND(AN756&gt;0,C759="")</formula>
    </cfRule>
  </conditionalFormatting>
  <conditionalFormatting sqref="C791:AD791">
    <cfRule type="expression" dxfId="563" priority="42">
      <formula>AQ797&gt;0</formula>
    </cfRule>
  </conditionalFormatting>
  <conditionalFormatting sqref="C792:AD792">
    <cfRule type="expression" dxfId="562" priority="41">
      <formula>AND(AN806&gt;0,C809="")</formula>
    </cfRule>
  </conditionalFormatting>
  <conditionalFormatting sqref="C841:AD841">
    <cfRule type="expression" dxfId="561" priority="38">
      <formula>AQ847&gt;0</formula>
    </cfRule>
  </conditionalFormatting>
  <conditionalFormatting sqref="C842:AD842">
    <cfRule type="expression" dxfId="560" priority="37">
      <formula>AND(AN865&gt;0,C868="")</formula>
    </cfRule>
  </conditionalFormatting>
  <conditionalFormatting sqref="C887:AD887">
    <cfRule type="expression" dxfId="559" priority="34">
      <formula>AND(BB898&gt;0,C909="")</formula>
    </cfRule>
  </conditionalFormatting>
  <conditionalFormatting sqref="C888:AD888">
    <cfRule type="expression" dxfId="558" priority="33">
      <formula>AND(BE903&gt;0,C909="")</formula>
    </cfRule>
  </conditionalFormatting>
  <conditionalFormatting sqref="C1735:AD1735">
    <cfRule type="expression" dxfId="557" priority="11">
      <formula>BB1749&gt;0</formula>
    </cfRule>
  </conditionalFormatting>
  <conditionalFormatting sqref="C1736:AD1736">
    <cfRule type="expression" dxfId="556" priority="10">
      <formula>AND(BN1762&gt;0,C1763="")</formula>
    </cfRule>
  </conditionalFormatting>
  <conditionalFormatting sqref="C1774:AD1774">
    <cfRule type="expression" dxfId="555" priority="8">
      <formula>AND(AY1818&gt;0,C1820="")</formula>
    </cfRule>
  </conditionalFormatting>
  <conditionalFormatting sqref="C1828:AD1828">
    <cfRule type="expression" dxfId="554" priority="5">
      <formula>BB1843&gt;0</formula>
    </cfRule>
  </conditionalFormatting>
  <conditionalFormatting sqref="C1829:AD1829">
    <cfRule type="expression" dxfId="553" priority="4">
      <formula>AND(BN1856&gt;0,C1857="")</formula>
    </cfRule>
  </conditionalFormatting>
  <conditionalFormatting sqref="C1830:AD1830">
    <cfRule type="expression" dxfId="552" priority="3">
      <formula>AND(CC1856&gt;0,C1857="")</formula>
    </cfRule>
  </conditionalFormatting>
  <conditionalFormatting sqref="F536:AD536">
    <cfRule type="expression" dxfId="551" priority="64">
      <formula>AND(M532&gt;0,M532&lt;&gt;"NA",M532&lt;&gt;"NS",F536="")</formula>
    </cfRule>
    <cfRule type="expression" dxfId="550" priority="63">
      <formula>OR(M532=0,M532="NA",M532="NS")</formula>
    </cfRule>
  </conditionalFormatting>
  <conditionalFormatting sqref="J129:AD136">
    <cfRule type="expression" dxfId="549" priority="82">
      <formula>OR($S89=0,$S89="NS",$S89="NA")</formula>
    </cfRule>
  </conditionalFormatting>
  <conditionalFormatting sqref="J173:AD180">
    <cfRule type="expression" dxfId="548" priority="80">
      <formula>OR($AH159=0,$AH159="NS",$AH159="NA")</formula>
    </cfRule>
  </conditionalFormatting>
  <conditionalFormatting sqref="J211:AD218">
    <cfRule type="expression" dxfId="547" priority="78">
      <formula>OR($AH197=0,$AH197="NS",$AH197="NA")</formula>
    </cfRule>
  </conditionalFormatting>
  <conditionalFormatting sqref="J351:AD358">
    <cfRule type="expression" dxfId="546" priority="72">
      <formula>OR($M40=0,$M40="NS",$M40="NA")</formula>
    </cfRule>
  </conditionalFormatting>
  <conditionalFormatting sqref="M159:AD166">
    <cfRule type="expression" dxfId="545" priority="81">
      <formula>OR($AH159=0,$AH159="NS",$AH159="NA")</formula>
    </cfRule>
  </conditionalFormatting>
  <conditionalFormatting sqref="M197:AD204">
    <cfRule type="expression" dxfId="544" priority="79">
      <formula>OR($AH197=0,$AH197="NS",$AH197="NA")</formula>
    </cfRule>
  </conditionalFormatting>
  <conditionalFormatting sqref="M274:AD282">
    <cfRule type="expression" dxfId="543" priority="75">
      <formula>OR($M$48=0,$M$48="NS",$M$48="NA")</formula>
    </cfRule>
  </conditionalFormatting>
  <conditionalFormatting sqref="M297:AD316">
    <cfRule type="expression" dxfId="542" priority="74">
      <formula>OR($M$48=0,$M$48="NS",$M$48="NA")</formula>
    </cfRule>
  </conditionalFormatting>
  <conditionalFormatting sqref="M333:AD335">
    <cfRule type="expression" dxfId="541" priority="73">
      <formula>OR($M$48=0,$M$48="NS",$M$48="NA")</formula>
    </cfRule>
  </conditionalFormatting>
  <conditionalFormatting sqref="M520:AD533">
    <cfRule type="expression" dxfId="540" priority="65">
      <formula>OR($V$501=0,$V$501="NS",$V$501="NA")</formula>
    </cfRule>
  </conditionalFormatting>
  <conditionalFormatting sqref="M575:AD599">
    <cfRule type="expression" dxfId="539" priority="59">
      <formula>OR($V$559=0,$V$559="NS",$V$559="NA")</formula>
    </cfRule>
  </conditionalFormatting>
  <conditionalFormatting sqref="M640:AD649">
    <cfRule type="expression" dxfId="538" priority="57">
      <formula>OR($V$623=0,$V$623="NS",$V$623="NA")</formula>
    </cfRule>
  </conditionalFormatting>
  <conditionalFormatting sqref="M669:AD676">
    <cfRule type="expression" dxfId="537" priority="54">
      <formula>OR($M40=0,$M40="NS",$M40="NA")</formula>
    </cfRule>
  </conditionalFormatting>
  <conditionalFormatting sqref="M746:AD755">
    <cfRule type="expression" dxfId="536" priority="47">
      <formula>OR($V$729=0,$V$729="NS",$V$729="NA")</formula>
    </cfRule>
  </conditionalFormatting>
  <conditionalFormatting sqref="M796:AD805">
    <cfRule type="expression" dxfId="535" priority="43">
      <formula>OR($V$779=0,$V$779="NS",$V$779="NA")</formula>
    </cfRule>
  </conditionalFormatting>
  <conditionalFormatting sqref="M846:AD864">
    <cfRule type="expression" dxfId="534" priority="39">
      <formula>OR($V$829=0,$V$829="NS",$V$829="NA")</formula>
    </cfRule>
  </conditionalFormatting>
  <conditionalFormatting sqref="P89:AD96">
    <cfRule type="expression" dxfId="533" priority="84">
      <formula>OR($M40=0,$M40="NS",$M40="NA")</formula>
    </cfRule>
  </conditionalFormatting>
  <conditionalFormatting sqref="P251:AD258">
    <cfRule type="expression" dxfId="532" priority="76">
      <formula>OR($M40=0,$M40="NS",$M40="NA")</formula>
    </cfRule>
  </conditionalFormatting>
  <conditionalFormatting sqref="P895:AD896">
    <cfRule type="expression" dxfId="531" priority="36">
      <formula>OR($M$48=0,$M$48="NS",$M$48="NA")</formula>
    </cfRule>
  </conditionalFormatting>
  <conditionalFormatting sqref="P925:AD1089">
    <cfRule type="expression" dxfId="530" priority="30">
      <formula>OR($P$895=0,$P$895="NS",$P$895="NA")</formula>
    </cfRule>
  </conditionalFormatting>
  <conditionalFormatting sqref="P1281:AD1445">
    <cfRule type="expression" dxfId="529" priority="26">
      <formula>OR($P$896=0,$P$896="NS",$P$896="NA")</formula>
    </cfRule>
  </conditionalFormatting>
  <conditionalFormatting sqref="P1754:AD1760">
    <cfRule type="expression" dxfId="528" priority="12">
      <formula>$P1742="NA"</formula>
    </cfRule>
  </conditionalFormatting>
  <conditionalFormatting sqref="P1848:AD1854">
    <cfRule type="expression" dxfId="527" priority="6">
      <formula>$P1836="NA"</formula>
    </cfRule>
  </conditionalFormatting>
  <conditionalFormatting sqref="Q925:AD1089">
    <cfRule type="expression" dxfId="526" priority="32">
      <formula>$P925="NA"</formula>
    </cfRule>
  </conditionalFormatting>
  <conditionalFormatting sqref="Q1281:AD1445">
    <cfRule type="expression" dxfId="525" priority="28">
      <formula>$P1281="NA"</formula>
    </cfRule>
  </conditionalFormatting>
  <conditionalFormatting sqref="Q1639:AD1678">
    <cfRule type="expression" dxfId="524" priority="15">
      <formula>$P1639="NA"</formula>
    </cfRule>
  </conditionalFormatting>
  <conditionalFormatting sqref="Q1742:AD1748">
    <cfRule type="expression" dxfId="523" priority="13">
      <formula>$P1742="NA"</formula>
    </cfRule>
  </conditionalFormatting>
  <conditionalFormatting sqref="Q1836:AD1842">
    <cfRule type="expression" dxfId="522" priority="7">
      <formula>$P1836="NA"</formula>
    </cfRule>
  </conditionalFormatting>
  <conditionalFormatting sqref="S64:AD71">
    <cfRule type="expression" dxfId="521" priority="85">
      <formula>OR($M40=0,$M40="NS",$M40="NA")</formula>
    </cfRule>
  </conditionalFormatting>
  <conditionalFormatting sqref="S237:AD244">
    <cfRule type="expression" dxfId="520" priority="77">
      <formula>OR($M40=0,$M40="NS",$M40="NA")</formula>
    </cfRule>
  </conditionalFormatting>
  <conditionalFormatting sqref="S374:AD381">
    <cfRule type="expression" dxfId="519" priority="71">
      <formula>OR($M40=0,$M40="NS",$M40="NA")</formula>
    </cfRule>
  </conditionalFormatting>
  <conditionalFormatting sqref="S401:AD408">
    <cfRule type="expression" dxfId="518" priority="70">
      <formula>OR($V374=0,$V374="NS",$V374="NA")</formula>
    </cfRule>
  </conditionalFormatting>
  <conditionalFormatting sqref="S424:AD431">
    <cfRule type="expression" dxfId="517" priority="69">
      <formula>OR($M40=0,$M40="NS",$M40="NA")</formula>
    </cfRule>
  </conditionalFormatting>
  <conditionalFormatting sqref="S447:AD454">
    <cfRule type="expression" dxfId="516" priority="68">
      <formula>OR($M40=0,$M40="NS",$M40="NA")</formula>
    </cfRule>
  </conditionalFormatting>
  <conditionalFormatting sqref="S470:AD477">
    <cfRule type="expression" dxfId="515" priority="67">
      <formula>OR($M40=0,$M40="NS",$M40="NA")</formula>
    </cfRule>
  </conditionalFormatting>
  <conditionalFormatting sqref="S493:AD500">
    <cfRule type="expression" dxfId="514" priority="66">
      <formula>OR($M40=0,$M40="NS",$M40="NA")</formula>
    </cfRule>
  </conditionalFormatting>
  <conditionalFormatting sqref="S551:AD558">
    <cfRule type="expression" dxfId="513" priority="60">
      <formula>OR($M40=0,$M40="NS",$M40="NA")</formula>
    </cfRule>
  </conditionalFormatting>
  <conditionalFormatting sqref="S615:AD622">
    <cfRule type="expression" dxfId="512" priority="58">
      <formula>OR($M40=0,$M40="NS",$M40="NA")</formula>
    </cfRule>
  </conditionalFormatting>
  <conditionalFormatting sqref="S721:AD728">
    <cfRule type="expression" dxfId="511" priority="48">
      <formula>OR($M40=0,$M40="NS",$M40="NA")</formula>
    </cfRule>
  </conditionalFormatting>
  <conditionalFormatting sqref="S771:AD778">
    <cfRule type="expression" dxfId="510" priority="44">
      <formula>OR($M40=0,$M40="NS",$M40="NA")</formula>
    </cfRule>
  </conditionalFormatting>
  <conditionalFormatting sqref="S821:AD828">
    <cfRule type="expression" dxfId="509" priority="40">
      <formula>OR($M40=0,$M40="NS",$M40="NA")</formula>
    </cfRule>
  </conditionalFormatting>
  <conditionalFormatting sqref="S1778:AD1817">
    <cfRule type="expression" dxfId="508" priority="9">
      <formula>$M1778="NA"</formula>
    </cfRule>
  </conditionalFormatting>
  <conditionalFormatting sqref="V695:X705">
    <cfRule type="expression" dxfId="507" priority="53">
      <formula>OR($P$677=0,$P$677="NS",$P$677="NA")</formula>
    </cfRule>
  </conditionalFormatting>
  <conditionalFormatting sqref="V104:AD111">
    <cfRule type="expression" dxfId="506" priority="83">
      <formula>OR($M40=0,$M40="NS",$M40="NA")</formula>
    </cfRule>
  </conditionalFormatting>
  <conditionalFormatting sqref="V904:AD905">
    <cfRule type="expression" dxfId="505" priority="35">
      <formula>OR($M$48=0,$M$48="NS",$M$48="NA")</formula>
    </cfRule>
  </conditionalFormatting>
  <conditionalFormatting sqref="V1097:AD1261">
    <cfRule type="expression" dxfId="504" priority="31">
      <formula>$P925="NA"</formula>
    </cfRule>
    <cfRule type="expression" dxfId="503" priority="29">
      <formula>OR($P$895=0,$P$895="NS",$P$895="NA")</formula>
    </cfRule>
  </conditionalFormatting>
  <conditionalFormatting sqref="V1453:AD1617">
    <cfRule type="expression" dxfId="502" priority="27">
      <formula>$P1281="NA"</formula>
    </cfRule>
    <cfRule type="expression" dxfId="501" priority="25">
      <formula>OR($P$896=0,$P$896="NS",$P$896="NA")</formula>
    </cfRule>
  </conditionalFormatting>
  <conditionalFormatting sqref="V1685:AD1724">
    <cfRule type="expression" dxfId="500" priority="14">
      <formula>$P1639="NA"</formula>
    </cfRule>
  </conditionalFormatting>
  <conditionalFormatting sqref="Y695:AA705">
    <cfRule type="expression" dxfId="499" priority="52">
      <formula>OR($S$677=0,$S$677="NS",$S$677="NA")</formula>
    </cfRule>
  </conditionalFormatting>
  <conditionalFormatting sqref="AB695:AD705">
    <cfRule type="expression" dxfId="498" priority="51">
      <formula>OR($V$677=0,$V$677="NS",$V$677="NA")</formula>
    </cfRule>
  </conditionalFormatting>
  <hyperlinks>
    <hyperlink ref="AA7:AD7" location="Índice!B29" display="Índice" xr:uid="{239235BF-0D0A-4D7E-BDC4-90FA952FEF48}"/>
  </hyperlinks>
  <printOptions horizontalCentered="1"/>
  <pageMargins left="0.70866141732283472" right="0.70866141732283472" top="0.74803149606299213" bottom="0.74803149606299213" header="0.31496062992125984" footer="0.31496062992125984"/>
  <pageSetup scale="75" orientation="portrait" r:id="rId1"/>
  <headerFooter>
    <oddHeader>&amp;CMódulo 2 Sección VIII
Cuestionario</oddHeader>
    <oddFooter>&amp;LCenso Nacional de Sistemas Penitenciarios Estatales 2024&amp;R&amp;P de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66D2A9-05B6-4E7A-BEF6-E0F64FF683D2}">
  <dimension ref="A1:BF201"/>
  <sheetViews>
    <sheetView showGridLines="0" zoomScaleNormal="100" workbookViewId="0"/>
  </sheetViews>
  <sheetFormatPr baseColWidth="10" defaultColWidth="0" defaultRowHeight="15" customHeight="1" zeroHeight="1"/>
  <cols>
    <col min="1" max="1" width="5.7109375" style="3" customWidth="1"/>
    <col min="2" max="30" width="3.7109375" style="3" customWidth="1"/>
    <col min="31" max="31" width="5.7109375" style="3" customWidth="1"/>
    <col min="32" max="16384" width="9.28515625" style="3" hidden="1"/>
  </cols>
  <sheetData>
    <row r="1" spans="1:30" ht="173.25" customHeight="1">
      <c r="A1" s="91"/>
      <c r="B1" s="718" t="s">
        <v>0</v>
      </c>
      <c r="C1" s="719"/>
      <c r="D1" s="719"/>
      <c r="E1" s="719"/>
      <c r="F1" s="719"/>
      <c r="G1" s="719"/>
      <c r="H1" s="719"/>
      <c r="I1" s="719"/>
      <c r="J1" s="719"/>
      <c r="K1" s="719"/>
      <c r="L1" s="719"/>
      <c r="M1" s="719"/>
      <c r="N1" s="719"/>
      <c r="O1" s="719"/>
      <c r="P1" s="719"/>
      <c r="Q1" s="719"/>
      <c r="R1" s="719"/>
      <c r="S1" s="719"/>
      <c r="T1" s="719"/>
      <c r="U1" s="719"/>
      <c r="V1" s="719"/>
      <c r="W1" s="719"/>
      <c r="X1" s="719"/>
      <c r="Y1" s="719"/>
      <c r="Z1" s="719"/>
      <c r="AA1" s="719"/>
      <c r="AB1" s="719"/>
      <c r="AC1" s="719"/>
      <c r="AD1" s="719"/>
    </row>
    <row r="2" spans="1:30" ht="15" customHeight="1">
      <c r="A2" s="91"/>
    </row>
    <row r="3" spans="1:30" ht="45" customHeight="1">
      <c r="A3" s="91"/>
      <c r="B3" s="720" t="s">
        <v>1</v>
      </c>
      <c r="C3" s="721"/>
      <c r="D3" s="721"/>
      <c r="E3" s="721"/>
      <c r="F3" s="721"/>
      <c r="G3" s="721"/>
      <c r="H3" s="721"/>
      <c r="I3" s="721"/>
      <c r="J3" s="721"/>
      <c r="K3" s="721"/>
      <c r="L3" s="721"/>
      <c r="M3" s="721"/>
      <c r="N3" s="721"/>
      <c r="O3" s="721"/>
      <c r="P3" s="721"/>
      <c r="Q3" s="721"/>
      <c r="R3" s="721"/>
      <c r="S3" s="721"/>
      <c r="T3" s="721"/>
      <c r="U3" s="721"/>
      <c r="V3" s="721"/>
      <c r="W3" s="721"/>
      <c r="X3" s="721"/>
      <c r="Y3" s="721"/>
      <c r="Z3" s="721"/>
      <c r="AA3" s="721"/>
      <c r="AB3" s="721"/>
      <c r="AC3" s="721"/>
      <c r="AD3" s="721"/>
    </row>
    <row r="4" spans="1:30" ht="15" customHeight="1">
      <c r="A4" s="91"/>
    </row>
    <row r="5" spans="1:30" ht="45" customHeight="1">
      <c r="A5" s="91"/>
      <c r="B5" s="720" t="s">
        <v>24</v>
      </c>
      <c r="C5" s="721"/>
      <c r="D5" s="721"/>
      <c r="E5" s="721"/>
      <c r="F5" s="721"/>
      <c r="G5" s="721"/>
      <c r="H5" s="721"/>
      <c r="I5" s="721"/>
      <c r="J5" s="721"/>
      <c r="K5" s="721"/>
      <c r="L5" s="721"/>
      <c r="M5" s="721"/>
      <c r="N5" s="721"/>
      <c r="O5" s="721"/>
      <c r="P5" s="721"/>
      <c r="Q5" s="721"/>
      <c r="R5" s="721"/>
      <c r="S5" s="721"/>
      <c r="T5" s="721"/>
      <c r="U5" s="721"/>
      <c r="V5" s="721"/>
      <c r="W5" s="721"/>
      <c r="X5" s="721"/>
      <c r="Y5" s="721"/>
      <c r="Z5" s="721"/>
      <c r="AA5" s="721"/>
      <c r="AB5" s="721"/>
      <c r="AC5" s="721"/>
      <c r="AD5" s="721"/>
    </row>
    <row r="6" spans="1:30" ht="15" customHeight="1">
      <c r="A6" s="91"/>
    </row>
    <row r="7" spans="1:30" ht="15" customHeight="1" thickBot="1">
      <c r="A7" s="91"/>
      <c r="B7" s="23" t="s">
        <v>3</v>
      </c>
      <c r="N7" s="23" t="s">
        <v>4</v>
      </c>
      <c r="P7" s="24"/>
      <c r="Q7" s="24"/>
      <c r="R7" s="24"/>
      <c r="S7" s="24"/>
      <c r="T7" s="24"/>
      <c r="U7" s="24"/>
      <c r="V7" s="24"/>
      <c r="W7" s="24"/>
      <c r="X7" s="24"/>
      <c r="Y7" s="24"/>
      <c r="Z7" s="24"/>
      <c r="AA7" s="758" t="s">
        <v>2</v>
      </c>
      <c r="AB7" s="758"/>
      <c r="AC7" s="758"/>
      <c r="AD7" s="758"/>
    </row>
    <row r="8" spans="1:30" ht="15" customHeight="1" thickBot="1">
      <c r="A8" s="108"/>
      <c r="B8" s="722" t="str">
        <f>IF(Presentación!B8="","",Presentación!B8)</f>
        <v>Puebla</v>
      </c>
      <c r="C8" s="723"/>
      <c r="D8" s="723"/>
      <c r="E8" s="723"/>
      <c r="F8" s="723"/>
      <c r="G8" s="723"/>
      <c r="H8" s="723"/>
      <c r="I8" s="723"/>
      <c r="J8" s="723"/>
      <c r="K8" s="723"/>
      <c r="L8" s="724"/>
      <c r="M8" s="25"/>
      <c r="N8" s="722">
        <f>IF(Presentación!N8="","",Presentación!N8)</f>
        <v>221</v>
      </c>
      <c r="O8" s="724"/>
      <c r="P8" s="107"/>
      <c r="Q8" s="107"/>
      <c r="R8" s="107"/>
      <c r="S8" s="109"/>
      <c r="T8" s="107"/>
      <c r="U8" s="107"/>
      <c r="V8" s="107"/>
      <c r="W8" s="107"/>
      <c r="X8" s="107"/>
      <c r="Y8" s="107"/>
      <c r="Z8" s="107"/>
      <c r="AA8" s="107"/>
      <c r="AB8" s="107"/>
      <c r="AC8" s="107"/>
      <c r="AD8" s="107"/>
    </row>
    <row r="9" spans="1:30" ht="15" customHeight="1">
      <c r="A9" s="91"/>
      <c r="C9" s="24"/>
      <c r="D9" s="24"/>
      <c r="E9" s="24"/>
      <c r="F9" s="24"/>
      <c r="G9" s="24"/>
      <c r="H9" s="24"/>
      <c r="I9" s="24"/>
      <c r="J9" s="24"/>
      <c r="K9" s="24"/>
      <c r="L9" s="24"/>
      <c r="M9" s="24"/>
      <c r="N9" s="24"/>
      <c r="O9" s="24"/>
      <c r="P9" s="24"/>
      <c r="Q9" s="24"/>
      <c r="R9" s="24"/>
      <c r="S9" s="24"/>
      <c r="T9" s="24"/>
      <c r="U9" s="24"/>
      <c r="V9" s="24"/>
      <c r="W9" s="24"/>
      <c r="X9" s="24"/>
      <c r="Y9" s="24"/>
      <c r="Z9" s="24"/>
      <c r="AA9" s="24"/>
      <c r="AB9" s="24"/>
      <c r="AC9" s="24"/>
    </row>
    <row r="10" spans="1:30" ht="15" customHeight="1">
      <c r="A10" s="94"/>
      <c r="B10" s="1006" t="s">
        <v>2552</v>
      </c>
      <c r="C10" s="893"/>
      <c r="D10" s="893"/>
      <c r="E10" s="893"/>
      <c r="F10" s="893"/>
      <c r="G10" s="893"/>
      <c r="H10" s="893"/>
      <c r="I10" s="893"/>
      <c r="J10" s="893"/>
      <c r="K10" s="893"/>
      <c r="L10" s="893"/>
      <c r="M10" s="893"/>
      <c r="N10" s="893"/>
      <c r="O10" s="893"/>
      <c r="P10" s="893"/>
      <c r="Q10" s="893"/>
      <c r="R10" s="893"/>
      <c r="S10" s="893"/>
      <c r="T10" s="893"/>
      <c r="U10" s="893"/>
      <c r="V10" s="893"/>
      <c r="W10" s="893"/>
      <c r="X10" s="893"/>
      <c r="Y10" s="893"/>
      <c r="Z10" s="893"/>
      <c r="AA10" s="893"/>
      <c r="AB10" s="893"/>
      <c r="AC10" s="893"/>
      <c r="AD10" s="1007"/>
    </row>
    <row r="11" spans="1:30" ht="36" customHeight="1">
      <c r="A11" s="94"/>
      <c r="B11" s="654"/>
      <c r="C11" s="754" t="s">
        <v>4283</v>
      </c>
      <c r="D11" s="830"/>
      <c r="E11" s="830"/>
      <c r="F11" s="830"/>
      <c r="G11" s="830"/>
      <c r="H11" s="830"/>
      <c r="I11" s="830"/>
      <c r="J11" s="830"/>
      <c r="K11" s="830"/>
      <c r="L11" s="830"/>
      <c r="M11" s="830"/>
      <c r="N11" s="830"/>
      <c r="O11" s="830"/>
      <c r="P11" s="830"/>
      <c r="Q11" s="830"/>
      <c r="R11" s="830"/>
      <c r="S11" s="830"/>
      <c r="T11" s="830"/>
      <c r="U11" s="830"/>
      <c r="V11" s="830"/>
      <c r="W11" s="830"/>
      <c r="X11" s="830"/>
      <c r="Y11" s="830"/>
      <c r="Z11" s="830"/>
      <c r="AA11" s="830"/>
      <c r="AB11" s="830"/>
      <c r="AC11" s="830"/>
      <c r="AD11" s="895"/>
    </row>
    <row r="12" spans="1:30" ht="24" customHeight="1">
      <c r="A12" s="94"/>
      <c r="B12" s="654"/>
      <c r="C12" s="754" t="s">
        <v>2554</v>
      </c>
      <c r="D12" s="830"/>
      <c r="E12" s="830"/>
      <c r="F12" s="830"/>
      <c r="G12" s="830"/>
      <c r="H12" s="830"/>
      <c r="I12" s="830"/>
      <c r="J12" s="830"/>
      <c r="K12" s="830"/>
      <c r="L12" s="830"/>
      <c r="M12" s="830"/>
      <c r="N12" s="830"/>
      <c r="O12" s="830"/>
      <c r="P12" s="830"/>
      <c r="Q12" s="830"/>
      <c r="R12" s="830"/>
      <c r="S12" s="830"/>
      <c r="T12" s="830"/>
      <c r="U12" s="830"/>
      <c r="V12" s="830"/>
      <c r="W12" s="830"/>
      <c r="X12" s="830"/>
      <c r="Y12" s="830"/>
      <c r="Z12" s="830"/>
      <c r="AA12" s="830"/>
      <c r="AB12" s="830"/>
      <c r="AC12" s="830"/>
      <c r="AD12" s="895"/>
    </row>
    <row r="13" spans="1:30" ht="60" customHeight="1">
      <c r="A13" s="146"/>
      <c r="B13" s="654"/>
      <c r="C13" s="754" t="s">
        <v>2555</v>
      </c>
      <c r="D13" s="830"/>
      <c r="E13" s="830"/>
      <c r="F13" s="830"/>
      <c r="G13" s="830"/>
      <c r="H13" s="830"/>
      <c r="I13" s="830"/>
      <c r="J13" s="830"/>
      <c r="K13" s="830"/>
      <c r="L13" s="830"/>
      <c r="M13" s="830"/>
      <c r="N13" s="830"/>
      <c r="O13" s="830"/>
      <c r="P13" s="830"/>
      <c r="Q13" s="830"/>
      <c r="R13" s="830"/>
      <c r="S13" s="830"/>
      <c r="T13" s="830"/>
      <c r="U13" s="830"/>
      <c r="V13" s="830"/>
      <c r="W13" s="830"/>
      <c r="X13" s="830"/>
      <c r="Y13" s="830"/>
      <c r="Z13" s="830"/>
      <c r="AA13" s="830"/>
      <c r="AB13" s="830"/>
      <c r="AC13" s="830"/>
      <c r="AD13" s="895"/>
    </row>
    <row r="14" spans="1:30" ht="15" customHeight="1">
      <c r="A14" s="94"/>
      <c r="B14" s="654"/>
      <c r="C14" s="754" t="s">
        <v>3021</v>
      </c>
      <c r="D14" s="830"/>
      <c r="E14" s="830"/>
      <c r="F14" s="830"/>
      <c r="G14" s="830"/>
      <c r="H14" s="830"/>
      <c r="I14" s="830"/>
      <c r="J14" s="830"/>
      <c r="K14" s="830"/>
      <c r="L14" s="830"/>
      <c r="M14" s="830"/>
      <c r="N14" s="830"/>
      <c r="O14" s="830"/>
      <c r="P14" s="830"/>
      <c r="Q14" s="830"/>
      <c r="R14" s="830"/>
      <c r="S14" s="830"/>
      <c r="T14" s="830"/>
      <c r="U14" s="830"/>
      <c r="V14" s="830"/>
      <c r="W14" s="830"/>
      <c r="X14" s="830"/>
      <c r="Y14" s="830"/>
      <c r="Z14" s="830"/>
      <c r="AA14" s="830"/>
      <c r="AB14" s="830"/>
      <c r="AC14" s="830"/>
      <c r="AD14" s="886"/>
    </row>
    <row r="15" spans="1:30" ht="15" customHeight="1">
      <c r="A15" s="146"/>
      <c r="B15" s="654"/>
      <c r="C15" s="754" t="s">
        <v>5452</v>
      </c>
      <c r="D15" s="830"/>
      <c r="E15" s="830"/>
      <c r="F15" s="830"/>
      <c r="G15" s="830"/>
      <c r="H15" s="830"/>
      <c r="I15" s="830"/>
      <c r="J15" s="830"/>
      <c r="K15" s="830"/>
      <c r="L15" s="830"/>
      <c r="M15" s="830"/>
      <c r="N15" s="830"/>
      <c r="O15" s="830"/>
      <c r="P15" s="830"/>
      <c r="Q15" s="830"/>
      <c r="R15" s="830"/>
      <c r="S15" s="830"/>
      <c r="T15" s="830"/>
      <c r="U15" s="830"/>
      <c r="V15" s="830"/>
      <c r="W15" s="830"/>
      <c r="X15" s="830"/>
      <c r="Y15" s="830"/>
      <c r="Z15" s="830"/>
      <c r="AA15" s="830"/>
      <c r="AB15" s="830"/>
      <c r="AC15" s="830"/>
      <c r="AD15" s="895"/>
    </row>
    <row r="16" spans="1:30" ht="36" customHeight="1">
      <c r="A16" s="110"/>
      <c r="B16" s="111"/>
      <c r="C16" s="754" t="s">
        <v>2558</v>
      </c>
      <c r="D16" s="754"/>
      <c r="E16" s="754"/>
      <c r="F16" s="754"/>
      <c r="G16" s="754"/>
      <c r="H16" s="754"/>
      <c r="I16" s="754"/>
      <c r="J16" s="754"/>
      <c r="K16" s="754"/>
      <c r="L16" s="754"/>
      <c r="M16" s="754"/>
      <c r="N16" s="754"/>
      <c r="O16" s="754"/>
      <c r="P16" s="754"/>
      <c r="Q16" s="754"/>
      <c r="R16" s="754"/>
      <c r="S16" s="754"/>
      <c r="T16" s="754"/>
      <c r="U16" s="754"/>
      <c r="V16" s="754"/>
      <c r="W16" s="754"/>
      <c r="X16" s="754"/>
      <c r="Y16" s="754"/>
      <c r="Z16" s="754"/>
      <c r="AA16" s="754"/>
      <c r="AB16" s="754"/>
      <c r="AC16" s="754"/>
      <c r="AD16" s="755"/>
    </row>
    <row r="17" spans="1:37" ht="48" customHeight="1">
      <c r="A17" s="146"/>
      <c r="B17" s="654"/>
      <c r="C17" s="754" t="s">
        <v>2559</v>
      </c>
      <c r="D17" s="754"/>
      <c r="E17" s="754"/>
      <c r="F17" s="754"/>
      <c r="G17" s="754"/>
      <c r="H17" s="754"/>
      <c r="I17" s="754"/>
      <c r="J17" s="754"/>
      <c r="K17" s="754"/>
      <c r="L17" s="754"/>
      <c r="M17" s="754"/>
      <c r="N17" s="754"/>
      <c r="O17" s="754"/>
      <c r="P17" s="754"/>
      <c r="Q17" s="754"/>
      <c r="R17" s="754"/>
      <c r="S17" s="754"/>
      <c r="T17" s="754"/>
      <c r="U17" s="754"/>
      <c r="V17" s="754"/>
      <c r="W17" s="754"/>
      <c r="X17" s="754"/>
      <c r="Y17" s="754"/>
      <c r="Z17" s="754"/>
      <c r="AA17" s="754"/>
      <c r="AB17" s="754"/>
      <c r="AC17" s="754"/>
      <c r="AD17" s="755"/>
    </row>
    <row r="18" spans="1:37" ht="15" customHeight="1">
      <c r="A18" s="94"/>
      <c r="B18" s="209"/>
      <c r="C18" s="764" t="s">
        <v>2560</v>
      </c>
      <c r="D18" s="764"/>
      <c r="E18" s="764"/>
      <c r="F18" s="764"/>
      <c r="G18" s="764"/>
      <c r="H18" s="764"/>
      <c r="I18" s="764"/>
      <c r="J18" s="764"/>
      <c r="K18" s="764"/>
      <c r="L18" s="764"/>
      <c r="M18" s="764"/>
      <c r="N18" s="764"/>
      <c r="O18" s="764"/>
      <c r="P18" s="764"/>
      <c r="Q18" s="764"/>
      <c r="R18" s="764"/>
      <c r="S18" s="764"/>
      <c r="T18" s="764"/>
      <c r="U18" s="764"/>
      <c r="V18" s="764"/>
      <c r="W18" s="764"/>
      <c r="X18" s="764"/>
      <c r="Y18" s="764"/>
      <c r="Z18" s="764"/>
      <c r="AA18" s="764"/>
      <c r="AB18" s="764"/>
      <c r="AC18" s="764"/>
      <c r="AD18" s="765"/>
    </row>
    <row r="19" spans="1:37" ht="15" customHeight="1" thickBot="1">
      <c r="A19" s="170"/>
    </row>
    <row r="20" spans="1:37" customFormat="1" ht="15" customHeight="1" thickBot="1">
      <c r="A20" s="153" t="s">
        <v>2563</v>
      </c>
      <c r="B20" s="1081" t="s">
        <v>5453</v>
      </c>
      <c r="C20" s="1082"/>
      <c r="D20" s="1082"/>
      <c r="E20" s="1082"/>
      <c r="F20" s="1082"/>
      <c r="G20" s="1082"/>
      <c r="H20" s="1082"/>
      <c r="I20" s="1082"/>
      <c r="J20" s="1082"/>
      <c r="K20" s="1082"/>
      <c r="L20" s="1082"/>
      <c r="M20" s="1082"/>
      <c r="N20" s="1082"/>
      <c r="O20" s="1082"/>
      <c r="P20" s="1082"/>
      <c r="Q20" s="1082"/>
      <c r="R20" s="1082"/>
      <c r="S20" s="1082"/>
      <c r="T20" s="1082"/>
      <c r="U20" s="1082"/>
      <c r="V20" s="1082"/>
      <c r="W20" s="1082"/>
      <c r="X20" s="1082"/>
      <c r="Y20" s="1082"/>
      <c r="Z20" s="1082"/>
      <c r="AA20" s="1082"/>
      <c r="AB20" s="1082"/>
      <c r="AC20" s="1082"/>
      <c r="AD20" s="1083"/>
      <c r="AE20" s="3"/>
    </row>
    <row r="21" spans="1:37" ht="15" customHeight="1">
      <c r="A21" s="170"/>
    </row>
    <row r="22" spans="1:37" ht="24" customHeight="1">
      <c r="A22" s="108" t="s">
        <v>5454</v>
      </c>
      <c r="B22" s="829" t="s">
        <v>5455</v>
      </c>
      <c r="C22" s="829"/>
      <c r="D22" s="829"/>
      <c r="E22" s="829"/>
      <c r="F22" s="829"/>
      <c r="G22" s="829"/>
      <c r="H22" s="829"/>
      <c r="I22" s="829"/>
      <c r="J22" s="829"/>
      <c r="K22" s="829"/>
      <c r="L22" s="829"/>
      <c r="M22" s="829"/>
      <c r="N22" s="829"/>
      <c r="O22" s="829"/>
      <c r="P22" s="829"/>
      <c r="Q22" s="829"/>
      <c r="R22" s="829"/>
      <c r="S22" s="829"/>
      <c r="T22" s="829"/>
      <c r="U22" s="829"/>
      <c r="V22" s="829"/>
      <c r="W22" s="829"/>
      <c r="X22" s="829"/>
      <c r="Y22" s="829"/>
      <c r="Z22" s="829"/>
      <c r="AA22" s="829"/>
      <c r="AB22" s="829"/>
      <c r="AC22" s="829"/>
      <c r="AD22" s="829"/>
    </row>
    <row r="23" spans="1:37" ht="24" customHeight="1">
      <c r="A23" s="49"/>
      <c r="B23" s="105"/>
      <c r="C23" s="754" t="s">
        <v>5456</v>
      </c>
      <c r="D23" s="754"/>
      <c r="E23" s="754"/>
      <c r="F23" s="754"/>
      <c r="G23" s="754"/>
      <c r="H23" s="754"/>
      <c r="I23" s="754"/>
      <c r="J23" s="754"/>
      <c r="K23" s="754"/>
      <c r="L23" s="754"/>
      <c r="M23" s="754"/>
      <c r="N23" s="754"/>
      <c r="O23" s="754"/>
      <c r="P23" s="754"/>
      <c r="Q23" s="754"/>
      <c r="R23" s="754"/>
      <c r="S23" s="754"/>
      <c r="T23" s="754"/>
      <c r="U23" s="754"/>
      <c r="V23" s="754"/>
      <c r="W23" s="754"/>
      <c r="X23" s="754"/>
      <c r="Y23" s="754"/>
      <c r="Z23" s="754"/>
      <c r="AA23" s="754"/>
      <c r="AB23" s="754"/>
      <c r="AC23" s="754"/>
      <c r="AD23" s="754"/>
    </row>
    <row r="24" spans="1:37" ht="24" customHeight="1">
      <c r="A24" s="108"/>
      <c r="B24" s="38"/>
      <c r="C24" s="830" t="s">
        <v>5457</v>
      </c>
      <c r="D24" s="830"/>
      <c r="E24" s="830"/>
      <c r="F24" s="830"/>
      <c r="G24" s="830"/>
      <c r="H24" s="830"/>
      <c r="I24" s="830"/>
      <c r="J24" s="830"/>
      <c r="K24" s="830"/>
      <c r="L24" s="830"/>
      <c r="M24" s="830"/>
      <c r="N24" s="830"/>
      <c r="O24" s="830"/>
      <c r="P24" s="830"/>
      <c r="Q24" s="830"/>
      <c r="R24" s="830"/>
      <c r="S24" s="830"/>
      <c r="T24" s="830"/>
      <c r="U24" s="830"/>
      <c r="V24" s="830"/>
      <c r="W24" s="830"/>
      <c r="X24" s="830"/>
      <c r="Y24" s="830"/>
      <c r="Z24" s="830"/>
      <c r="AA24" s="830"/>
      <c r="AB24" s="830"/>
      <c r="AC24" s="830"/>
      <c r="AD24" s="830"/>
    </row>
    <row r="25" spans="1:37" ht="15" customHeight="1">
      <c r="A25" s="176"/>
      <c r="B25" s="57"/>
      <c r="C25" s="57"/>
      <c r="D25" s="57"/>
      <c r="E25" s="57"/>
      <c r="F25" s="57"/>
      <c r="G25" s="57"/>
      <c r="H25" s="57"/>
      <c r="I25" s="57"/>
      <c r="J25" s="57"/>
      <c r="K25" s="57"/>
      <c r="L25" s="57"/>
      <c r="M25" s="57"/>
      <c r="N25" s="57"/>
      <c r="O25" s="57"/>
      <c r="P25" s="57"/>
      <c r="Q25" s="57"/>
      <c r="R25" s="57"/>
      <c r="S25" s="57"/>
      <c r="T25" s="57"/>
      <c r="U25" s="57"/>
      <c r="V25" s="57"/>
      <c r="W25" s="57"/>
      <c r="X25" s="57"/>
      <c r="Y25" s="57"/>
      <c r="Z25" s="57"/>
      <c r="AA25" s="57"/>
      <c r="AB25" s="57"/>
      <c r="AC25" s="57"/>
      <c r="AD25" s="57"/>
    </row>
    <row r="26" spans="1:37" ht="24" customHeight="1">
      <c r="A26" s="108"/>
      <c r="B26" s="38"/>
      <c r="C26" s="797" t="s">
        <v>2581</v>
      </c>
      <c r="D26" s="798"/>
      <c r="E26" s="798"/>
      <c r="F26" s="798"/>
      <c r="G26" s="798"/>
      <c r="H26" s="798"/>
      <c r="I26" s="798"/>
      <c r="J26" s="798"/>
      <c r="K26" s="798"/>
      <c r="L26" s="798"/>
      <c r="M26" s="798"/>
      <c r="N26" s="799"/>
      <c r="O26" s="739" t="s">
        <v>5458</v>
      </c>
      <c r="P26" s="740"/>
      <c r="Q26" s="740"/>
      <c r="R26" s="740"/>
      <c r="S26" s="740"/>
      <c r="T26" s="740"/>
      <c r="U26" s="740"/>
      <c r="V26" s="740"/>
      <c r="W26" s="740"/>
      <c r="X26" s="740"/>
      <c r="Y26" s="740"/>
      <c r="Z26" s="740"/>
      <c r="AA26" s="740"/>
      <c r="AB26" s="740"/>
      <c r="AC26" s="740"/>
      <c r="AD26" s="741"/>
    </row>
    <row r="27" spans="1:37" ht="36" customHeight="1">
      <c r="A27" s="108"/>
      <c r="B27" s="38"/>
      <c r="C27" s="803"/>
      <c r="D27" s="804"/>
      <c r="E27" s="804"/>
      <c r="F27" s="804"/>
      <c r="G27" s="804"/>
      <c r="H27" s="804"/>
      <c r="I27" s="804"/>
      <c r="J27" s="804"/>
      <c r="K27" s="804"/>
      <c r="L27" s="804"/>
      <c r="M27" s="804"/>
      <c r="N27" s="805"/>
      <c r="O27" s="739" t="s">
        <v>2628</v>
      </c>
      <c r="P27" s="740"/>
      <c r="Q27" s="740"/>
      <c r="R27" s="741"/>
      <c r="S27" s="733" t="s">
        <v>5459</v>
      </c>
      <c r="T27" s="734"/>
      <c r="U27" s="734"/>
      <c r="V27" s="735"/>
      <c r="W27" s="733" t="s">
        <v>5460</v>
      </c>
      <c r="X27" s="734"/>
      <c r="Y27" s="734"/>
      <c r="Z27" s="735"/>
      <c r="AA27" s="733" t="s">
        <v>5461</v>
      </c>
      <c r="AB27" s="734"/>
      <c r="AC27" s="734"/>
      <c r="AD27" s="735"/>
      <c r="AF27" t="s">
        <v>2586</v>
      </c>
      <c r="AG27" t="s">
        <v>4581</v>
      </c>
      <c r="AH27" t="s">
        <v>5291</v>
      </c>
      <c r="AI27" t="s">
        <v>2590</v>
      </c>
      <c r="AJ27" t="s">
        <v>3163</v>
      </c>
      <c r="AK27" t="s">
        <v>4564</v>
      </c>
    </row>
    <row r="28" spans="1:37" ht="15" customHeight="1">
      <c r="A28" s="108"/>
      <c r="B28" s="38"/>
      <c r="C28" s="97" t="s">
        <v>2516</v>
      </c>
      <c r="D28" s="813" t="str">
        <f>IF(CNSIPEE_2024_M2_Secc1!D42="","",CNSIPEE_2024_M2_Secc1!D42)</f>
        <v/>
      </c>
      <c r="E28" s="814"/>
      <c r="F28" s="814"/>
      <c r="G28" s="814"/>
      <c r="H28" s="814"/>
      <c r="I28" s="814"/>
      <c r="J28" s="814"/>
      <c r="K28" s="814"/>
      <c r="L28" s="814"/>
      <c r="M28" s="814"/>
      <c r="N28" s="815"/>
      <c r="O28" s="816"/>
      <c r="P28" s="738"/>
      <c r="Q28" s="738"/>
      <c r="R28" s="817"/>
      <c r="S28" s="816"/>
      <c r="T28" s="738"/>
      <c r="U28" s="738"/>
      <c r="V28" s="817"/>
      <c r="W28" s="816"/>
      <c r="X28" s="738"/>
      <c r="Y28" s="738"/>
      <c r="Z28" s="817"/>
      <c r="AA28" s="816"/>
      <c r="AB28" s="738"/>
      <c r="AC28" s="738"/>
      <c r="AD28" s="817"/>
      <c r="AF28">
        <f>IF(OR(CNSIPEE_2024_M2_Secc8!$Y40=0,CNSIPEE_2024_M2_Secc8!$Y40="NS",CNSIPEE_2024_M2_Secc8!$Y40="NA"),0,IF(OR(COUNTBLANK(D28:AD28)=22,COUNTBLANK(D28:AD28)=27),0,1))</f>
        <v>0</v>
      </c>
      <c r="AG28">
        <f>IF(OR(CNSIPEE_2024_M2_Secc8!$Y40=0,CNSIPEE_2024_M2_Secc8!$Y40="NS",CNSIPEE_2024_M2_Secc8!$Y40="NA"),IF(COUNTBLANK(O28:AD28)=16,0,1),0)</f>
        <v>0</v>
      </c>
      <c r="AH28" cm="1">
        <f t="array" ref="AH28">IF(OR(CNSIPEE_2024_M2_Secc8!$Y40=0,CNSIPEE_2024_M2_Secc8!$Y40="NS",CNSIPEE_2024_M2_Secc8!$Y40="NA"),0,IF(OR(O28={"NS","NA"},CNSIPEE_2024_M2_Secc8!$Y40={"NS","NA"}),0,IF(O28&lt;=CNSIPEE_2024_M2_Secc8!$Y40,0,1)))</f>
        <v>0</v>
      </c>
      <c r="AI28">
        <f t="shared" ref="AI28:AI35" si="0">COUNTIF(S28:AD28,"NS")</f>
        <v>0</v>
      </c>
      <c r="AJ28">
        <f t="shared" ref="AJ28:AJ35" si="1">SUM(S28:AD28)</f>
        <v>0</v>
      </c>
      <c r="AK28">
        <f>IF(COUNTIF(O28:AD28,"NA")=4,0,IF(COUNTA(O28:AD28)=0,0,IF(OR(AND(O28=0,AI28&gt;0),AND(O28="ns",AJ28&gt;0),AND(O28="ns",AI28=0,AJ28=0)),1,IF(OR(AND(AI28&gt;=2,O28&gt;AJ28),AND(O28="ns",AJ28=0,AI28&gt;0),O28=AJ28),0,1))))</f>
        <v>0</v>
      </c>
    </row>
    <row r="29" spans="1:37" ht="15" customHeight="1">
      <c r="A29" s="108"/>
      <c r="B29" s="38"/>
      <c r="C29" s="98" t="s">
        <v>2517</v>
      </c>
      <c r="D29" s="813" t="str">
        <f>IF(CNSIPEE_2024_M2_Secc1!D43="","",CNSIPEE_2024_M2_Secc1!D43)</f>
        <v/>
      </c>
      <c r="E29" s="814"/>
      <c r="F29" s="814"/>
      <c r="G29" s="814"/>
      <c r="H29" s="814"/>
      <c r="I29" s="814"/>
      <c r="J29" s="814"/>
      <c r="K29" s="814"/>
      <c r="L29" s="814"/>
      <c r="M29" s="814"/>
      <c r="N29" s="815"/>
      <c r="O29" s="816"/>
      <c r="P29" s="738"/>
      <c r="Q29" s="738"/>
      <c r="R29" s="817"/>
      <c r="S29" s="816"/>
      <c r="T29" s="738"/>
      <c r="U29" s="738"/>
      <c r="V29" s="817"/>
      <c r="W29" s="816"/>
      <c r="X29" s="738"/>
      <c r="Y29" s="738"/>
      <c r="Z29" s="817"/>
      <c r="AA29" s="816"/>
      <c r="AB29" s="738"/>
      <c r="AC29" s="738"/>
      <c r="AD29" s="817"/>
      <c r="AF29">
        <f>IF(OR(CNSIPEE_2024_M2_Secc8!$Y41=0,CNSIPEE_2024_M2_Secc8!$Y41="NS",CNSIPEE_2024_M2_Secc8!$Y41="NA"),0,IF(OR(COUNTBLANK(D29:AD29)=22,COUNTBLANK(D29:AD29)=27),0,1))</f>
        <v>0</v>
      </c>
      <c r="AG29">
        <f>IF(OR(CNSIPEE_2024_M2_Secc8!$Y41=0,CNSIPEE_2024_M2_Secc8!$Y41="NS",CNSIPEE_2024_M2_Secc8!$Y41="NA"),IF(COUNTBLANK(O29:AD29)=16,0,1),0)</f>
        <v>0</v>
      </c>
      <c r="AH29" cm="1">
        <f t="array" ref="AH29">IF(OR(CNSIPEE_2024_M2_Secc8!$Y41=0,CNSIPEE_2024_M2_Secc8!$Y41="NS",CNSIPEE_2024_M2_Secc8!$Y41="NA"),0,IF(OR(O29={"NS","NA"},CNSIPEE_2024_M2_Secc8!$Y41={"NS","NA"}),0,IF(O29&lt;=CNSIPEE_2024_M2_Secc8!$Y41,0,1)))</f>
        <v>0</v>
      </c>
      <c r="AI29">
        <f t="shared" si="0"/>
        <v>0</v>
      </c>
      <c r="AJ29">
        <f t="shared" si="1"/>
        <v>0</v>
      </c>
      <c r="AK29">
        <f t="shared" ref="AK29:AK35" si="2">IF(COUNTIF(O29:AD29,"NA")=4,0,IF(COUNTA(O29:AD29)=0,0,IF(OR(AND(O29=0,AI29&gt;0),AND(O29="ns",AJ29&gt;0),AND(O29="ns",AI29=0,AJ29=0)),1,IF(OR(AND(AI29&gt;=2,O29&gt;AJ29),AND(O29="ns",AJ29=0,AI29&gt;0),O29=AJ29),0,1))))</f>
        <v>0</v>
      </c>
    </row>
    <row r="30" spans="1:37" ht="15" customHeight="1">
      <c r="A30" s="108"/>
      <c r="B30" s="38"/>
      <c r="C30" s="98" t="s">
        <v>2518</v>
      </c>
      <c r="D30" s="813" t="str">
        <f>IF(CNSIPEE_2024_M2_Secc1!D44="","",CNSIPEE_2024_M2_Secc1!D44)</f>
        <v/>
      </c>
      <c r="E30" s="814"/>
      <c r="F30" s="814"/>
      <c r="G30" s="814"/>
      <c r="H30" s="814"/>
      <c r="I30" s="814"/>
      <c r="J30" s="814"/>
      <c r="K30" s="814"/>
      <c r="L30" s="814"/>
      <c r="M30" s="814"/>
      <c r="N30" s="815"/>
      <c r="O30" s="816"/>
      <c r="P30" s="738"/>
      <c r="Q30" s="738"/>
      <c r="R30" s="817"/>
      <c r="S30" s="816"/>
      <c r="T30" s="738"/>
      <c r="U30" s="738"/>
      <c r="V30" s="817"/>
      <c r="W30" s="816"/>
      <c r="X30" s="738"/>
      <c r="Y30" s="738"/>
      <c r="Z30" s="817"/>
      <c r="AA30" s="816"/>
      <c r="AB30" s="738"/>
      <c r="AC30" s="738"/>
      <c r="AD30" s="817"/>
      <c r="AF30">
        <f>IF(OR(CNSIPEE_2024_M2_Secc8!$Y42=0,CNSIPEE_2024_M2_Secc8!$Y42="NS",CNSIPEE_2024_M2_Secc8!$Y42="NA"),0,IF(OR(COUNTBLANK(D30:AD30)=22,COUNTBLANK(D30:AD30)=27),0,1))</f>
        <v>0</v>
      </c>
      <c r="AG30">
        <f>IF(OR(CNSIPEE_2024_M2_Secc8!$Y42=0,CNSIPEE_2024_M2_Secc8!$Y42="NS",CNSIPEE_2024_M2_Secc8!$Y42="NA"),IF(COUNTBLANK(O30:AD30)=16,0,1),0)</f>
        <v>0</v>
      </c>
      <c r="AH30" cm="1">
        <f t="array" ref="AH30">IF(OR(CNSIPEE_2024_M2_Secc8!$Y42=0,CNSIPEE_2024_M2_Secc8!$Y42="NS",CNSIPEE_2024_M2_Secc8!$Y42="NA"),0,IF(OR(O30={"NS","NA"},CNSIPEE_2024_M2_Secc8!$Y42={"NS","NA"}),0,IF(O30&lt;=CNSIPEE_2024_M2_Secc8!$Y42,0,1)))</f>
        <v>0</v>
      </c>
      <c r="AI30">
        <f t="shared" si="0"/>
        <v>0</v>
      </c>
      <c r="AJ30">
        <f t="shared" si="1"/>
        <v>0</v>
      </c>
      <c r="AK30">
        <f t="shared" si="2"/>
        <v>0</v>
      </c>
    </row>
    <row r="31" spans="1:37" ht="15" customHeight="1">
      <c r="A31" s="108"/>
      <c r="B31" s="38"/>
      <c r="C31" s="98" t="s">
        <v>2519</v>
      </c>
      <c r="D31" s="813" t="str">
        <f>IF(CNSIPEE_2024_M2_Secc1!D45="","",CNSIPEE_2024_M2_Secc1!D45)</f>
        <v/>
      </c>
      <c r="E31" s="814"/>
      <c r="F31" s="814"/>
      <c r="G31" s="814"/>
      <c r="H31" s="814"/>
      <c r="I31" s="814"/>
      <c r="J31" s="814"/>
      <c r="K31" s="814"/>
      <c r="L31" s="814"/>
      <c r="M31" s="814"/>
      <c r="N31" s="815"/>
      <c r="O31" s="816"/>
      <c r="P31" s="738"/>
      <c r="Q31" s="738"/>
      <c r="R31" s="817"/>
      <c r="S31" s="816"/>
      <c r="T31" s="738"/>
      <c r="U31" s="738"/>
      <c r="V31" s="817"/>
      <c r="W31" s="816"/>
      <c r="X31" s="738"/>
      <c r="Y31" s="738"/>
      <c r="Z31" s="817"/>
      <c r="AA31" s="816"/>
      <c r="AB31" s="738"/>
      <c r="AC31" s="738"/>
      <c r="AD31" s="817"/>
      <c r="AF31">
        <f>IF(OR(CNSIPEE_2024_M2_Secc8!$Y43=0,CNSIPEE_2024_M2_Secc8!$Y43="NS",CNSIPEE_2024_M2_Secc8!$Y43="NA"),0,IF(OR(COUNTBLANK(D31:AD31)=22,COUNTBLANK(D31:AD31)=27),0,1))</f>
        <v>0</v>
      </c>
      <c r="AG31">
        <f>IF(OR(CNSIPEE_2024_M2_Secc8!$Y43=0,CNSIPEE_2024_M2_Secc8!$Y43="NS",CNSIPEE_2024_M2_Secc8!$Y43="NA"),IF(COUNTBLANK(O31:AD31)=16,0,1),0)</f>
        <v>0</v>
      </c>
      <c r="AH31" cm="1">
        <f t="array" ref="AH31">IF(OR(CNSIPEE_2024_M2_Secc8!$Y43=0,CNSIPEE_2024_M2_Secc8!$Y43="NS",CNSIPEE_2024_M2_Secc8!$Y43="NA"),0,IF(OR(O31={"NS","NA"},CNSIPEE_2024_M2_Secc8!$Y43={"NS","NA"}),0,IF(O31&lt;=CNSIPEE_2024_M2_Secc8!$Y43,0,1)))</f>
        <v>0</v>
      </c>
      <c r="AI31">
        <f t="shared" si="0"/>
        <v>0</v>
      </c>
      <c r="AJ31">
        <f t="shared" si="1"/>
        <v>0</v>
      </c>
      <c r="AK31">
        <f t="shared" si="2"/>
        <v>0</v>
      </c>
    </row>
    <row r="32" spans="1:37" ht="15" customHeight="1">
      <c r="A32" s="108"/>
      <c r="B32" s="38"/>
      <c r="C32" s="98" t="s">
        <v>2520</v>
      </c>
      <c r="D32" s="813" t="str">
        <f>IF(CNSIPEE_2024_M2_Secc1!D46="","",CNSIPEE_2024_M2_Secc1!D46)</f>
        <v/>
      </c>
      <c r="E32" s="814"/>
      <c r="F32" s="814"/>
      <c r="G32" s="814"/>
      <c r="H32" s="814"/>
      <c r="I32" s="814"/>
      <c r="J32" s="814"/>
      <c r="K32" s="814"/>
      <c r="L32" s="814"/>
      <c r="M32" s="814"/>
      <c r="N32" s="815"/>
      <c r="O32" s="816"/>
      <c r="P32" s="738"/>
      <c r="Q32" s="738"/>
      <c r="R32" s="817"/>
      <c r="S32" s="816"/>
      <c r="T32" s="738"/>
      <c r="U32" s="738"/>
      <c r="V32" s="817"/>
      <c r="W32" s="816"/>
      <c r="X32" s="738"/>
      <c r="Y32" s="738"/>
      <c r="Z32" s="817"/>
      <c r="AA32" s="816"/>
      <c r="AB32" s="738"/>
      <c r="AC32" s="738"/>
      <c r="AD32" s="817"/>
      <c r="AF32">
        <f>IF(OR(CNSIPEE_2024_M2_Secc8!$Y44=0,CNSIPEE_2024_M2_Secc8!$Y44="NS",CNSIPEE_2024_M2_Secc8!$Y44="NA"),0,IF(OR(COUNTBLANK(D32:AD32)=22,COUNTBLANK(D32:AD32)=27),0,1))</f>
        <v>0</v>
      </c>
      <c r="AG32">
        <f>IF(OR(CNSIPEE_2024_M2_Secc8!$Y44=0,CNSIPEE_2024_M2_Secc8!$Y44="NS",CNSIPEE_2024_M2_Secc8!$Y44="NA"),IF(COUNTBLANK(O32:AD32)=16,0,1),0)</f>
        <v>0</v>
      </c>
      <c r="AH32" cm="1">
        <f t="array" ref="AH32">IF(OR(CNSIPEE_2024_M2_Secc8!$Y44=0,CNSIPEE_2024_M2_Secc8!$Y44="NS",CNSIPEE_2024_M2_Secc8!$Y44="NA"),0,IF(OR(O32={"NS","NA"},CNSIPEE_2024_M2_Secc8!$Y44={"NS","NA"}),0,IF(O32&lt;=CNSIPEE_2024_M2_Secc8!$Y44,0,1)))</f>
        <v>0</v>
      </c>
      <c r="AI32">
        <f t="shared" si="0"/>
        <v>0</v>
      </c>
      <c r="AJ32">
        <f t="shared" si="1"/>
        <v>0</v>
      </c>
      <c r="AK32">
        <f t="shared" si="2"/>
        <v>0</v>
      </c>
    </row>
    <row r="33" spans="1:37" ht="15" customHeight="1">
      <c r="A33" s="108"/>
      <c r="B33" s="38"/>
      <c r="C33" s="98" t="s">
        <v>2521</v>
      </c>
      <c r="D33" s="813" t="str">
        <f>IF(CNSIPEE_2024_M2_Secc1!D47="","",CNSIPEE_2024_M2_Secc1!D47)</f>
        <v/>
      </c>
      <c r="E33" s="814"/>
      <c r="F33" s="814"/>
      <c r="G33" s="814"/>
      <c r="H33" s="814"/>
      <c r="I33" s="814"/>
      <c r="J33" s="814"/>
      <c r="K33" s="814"/>
      <c r="L33" s="814"/>
      <c r="M33" s="814"/>
      <c r="N33" s="815"/>
      <c r="O33" s="816"/>
      <c r="P33" s="738"/>
      <c r="Q33" s="738"/>
      <c r="R33" s="817"/>
      <c r="S33" s="816"/>
      <c r="T33" s="738"/>
      <c r="U33" s="738"/>
      <c r="V33" s="817"/>
      <c r="W33" s="816"/>
      <c r="X33" s="738"/>
      <c r="Y33" s="738"/>
      <c r="Z33" s="817"/>
      <c r="AA33" s="816"/>
      <c r="AB33" s="738"/>
      <c r="AC33" s="738"/>
      <c r="AD33" s="817"/>
      <c r="AF33">
        <f>IF(OR(CNSIPEE_2024_M2_Secc8!$Y45=0,CNSIPEE_2024_M2_Secc8!$Y45="NS",CNSIPEE_2024_M2_Secc8!$Y45="NA"),0,IF(OR(COUNTBLANK(D33:AD33)=22,COUNTBLANK(D33:AD33)=27),0,1))</f>
        <v>0</v>
      </c>
      <c r="AG33">
        <f>IF(OR(CNSIPEE_2024_M2_Secc8!$Y45=0,CNSIPEE_2024_M2_Secc8!$Y45="NS",CNSIPEE_2024_M2_Secc8!$Y45="NA"),IF(COUNTBLANK(O33:AD33)=16,0,1),0)</f>
        <v>0</v>
      </c>
      <c r="AH33" cm="1">
        <f t="array" ref="AH33">IF(OR(CNSIPEE_2024_M2_Secc8!$Y45=0,CNSIPEE_2024_M2_Secc8!$Y45="NS",CNSIPEE_2024_M2_Secc8!$Y45="NA"),0,IF(OR(O33={"NS","NA"},CNSIPEE_2024_M2_Secc8!$Y45={"NS","NA"}),0,IF(O33&lt;=CNSIPEE_2024_M2_Secc8!$Y45,0,1)))</f>
        <v>0</v>
      </c>
      <c r="AI33">
        <f t="shared" si="0"/>
        <v>0</v>
      </c>
      <c r="AJ33">
        <f t="shared" si="1"/>
        <v>0</v>
      </c>
      <c r="AK33">
        <f t="shared" si="2"/>
        <v>0</v>
      </c>
    </row>
    <row r="34" spans="1:37" ht="15" customHeight="1">
      <c r="A34" s="108"/>
      <c r="B34" s="38"/>
      <c r="C34" s="98" t="s">
        <v>2522</v>
      </c>
      <c r="D34" s="813" t="str">
        <f>IF(CNSIPEE_2024_M2_Secc1!D48="","",CNSIPEE_2024_M2_Secc1!D48)</f>
        <v/>
      </c>
      <c r="E34" s="814"/>
      <c r="F34" s="814"/>
      <c r="G34" s="814"/>
      <c r="H34" s="814"/>
      <c r="I34" s="814"/>
      <c r="J34" s="814"/>
      <c r="K34" s="814"/>
      <c r="L34" s="814"/>
      <c r="M34" s="814"/>
      <c r="N34" s="815"/>
      <c r="O34" s="816"/>
      <c r="P34" s="738"/>
      <c r="Q34" s="738"/>
      <c r="R34" s="817"/>
      <c r="S34" s="816"/>
      <c r="T34" s="738"/>
      <c r="U34" s="738"/>
      <c r="V34" s="817"/>
      <c r="W34" s="816"/>
      <c r="X34" s="738"/>
      <c r="Y34" s="738"/>
      <c r="Z34" s="817"/>
      <c r="AA34" s="816"/>
      <c r="AB34" s="738"/>
      <c r="AC34" s="738"/>
      <c r="AD34" s="817"/>
      <c r="AF34">
        <f>IF(OR(CNSIPEE_2024_M2_Secc8!$Y46=0,CNSIPEE_2024_M2_Secc8!$Y46="NS",CNSIPEE_2024_M2_Secc8!$Y46="NA"),0,IF(OR(COUNTBLANK(D34:AD34)=22,COUNTBLANK(D34:AD34)=27),0,1))</f>
        <v>0</v>
      </c>
      <c r="AG34">
        <f>IF(OR(CNSIPEE_2024_M2_Secc8!$Y46=0,CNSIPEE_2024_M2_Secc8!$Y46="NS",CNSIPEE_2024_M2_Secc8!$Y46="NA"),IF(COUNTBLANK(O34:AD34)=16,0,1),0)</f>
        <v>0</v>
      </c>
      <c r="AH34" cm="1">
        <f t="array" ref="AH34">IF(OR(CNSIPEE_2024_M2_Secc8!$Y46=0,CNSIPEE_2024_M2_Secc8!$Y46="NS",CNSIPEE_2024_M2_Secc8!$Y46="NA"),0,IF(OR(O34={"NS","NA"},CNSIPEE_2024_M2_Secc8!$Y46={"NS","NA"}),0,IF(O34&lt;=CNSIPEE_2024_M2_Secc8!$Y46,0,1)))</f>
        <v>0</v>
      </c>
      <c r="AI34">
        <f t="shared" si="0"/>
        <v>0</v>
      </c>
      <c r="AJ34">
        <f t="shared" si="1"/>
        <v>0</v>
      </c>
      <c r="AK34">
        <f t="shared" si="2"/>
        <v>0</v>
      </c>
    </row>
    <row r="35" spans="1:37" ht="15" customHeight="1">
      <c r="A35" s="108"/>
      <c r="B35" s="38"/>
      <c r="C35" s="98" t="s">
        <v>2523</v>
      </c>
      <c r="D35" s="813" t="str">
        <f>IF(CNSIPEE_2024_M2_Secc1!D49="","",CNSIPEE_2024_M2_Secc1!D49)</f>
        <v/>
      </c>
      <c r="E35" s="814"/>
      <c r="F35" s="814"/>
      <c r="G35" s="814"/>
      <c r="H35" s="814"/>
      <c r="I35" s="814"/>
      <c r="J35" s="814"/>
      <c r="K35" s="814"/>
      <c r="L35" s="814"/>
      <c r="M35" s="814"/>
      <c r="N35" s="815"/>
      <c r="O35" s="816"/>
      <c r="P35" s="738"/>
      <c r="Q35" s="738"/>
      <c r="R35" s="817"/>
      <c r="S35" s="816"/>
      <c r="T35" s="738"/>
      <c r="U35" s="738"/>
      <c r="V35" s="817"/>
      <c r="W35" s="816"/>
      <c r="X35" s="738"/>
      <c r="Y35" s="738"/>
      <c r="Z35" s="817"/>
      <c r="AA35" s="816"/>
      <c r="AB35" s="738"/>
      <c r="AC35" s="738"/>
      <c r="AD35" s="817"/>
      <c r="AF35">
        <f>IF(OR(CNSIPEE_2024_M2_Secc8!$Y47=0,CNSIPEE_2024_M2_Secc8!$Y47="NS",CNSIPEE_2024_M2_Secc8!$Y47="NA"),0,IF(OR(COUNTBLANK(D35:AD35)=22,COUNTBLANK(D35:AD35)=27),0,1))</f>
        <v>0</v>
      </c>
      <c r="AG35">
        <f>IF(OR(CNSIPEE_2024_M2_Secc8!$Y47=0,CNSIPEE_2024_M2_Secc8!$Y47="NS",CNSIPEE_2024_M2_Secc8!$Y47="NA"),IF(COUNTBLANK(O35:AD35)=16,0,1),0)</f>
        <v>0</v>
      </c>
      <c r="AH35" cm="1">
        <f t="array" ref="AH35">IF(OR(CNSIPEE_2024_M2_Secc8!$Y47=0,CNSIPEE_2024_M2_Secc8!$Y47="NS",CNSIPEE_2024_M2_Secc8!$Y47="NA"),0,IF(OR(O35={"NS","NA"},CNSIPEE_2024_M2_Secc8!$Y47={"NS","NA"}),0,IF(O35&lt;=CNSIPEE_2024_M2_Secc8!$Y47,0,1)))</f>
        <v>0</v>
      </c>
      <c r="AI35">
        <f t="shared" si="0"/>
        <v>0</v>
      </c>
      <c r="AJ35">
        <f t="shared" si="1"/>
        <v>0</v>
      </c>
      <c r="AK35">
        <f t="shared" si="2"/>
        <v>0</v>
      </c>
    </row>
    <row r="36" spans="1:37" ht="15" customHeight="1">
      <c r="A36" s="108"/>
      <c r="B36" s="38"/>
      <c r="C36" s="38"/>
      <c r="D36" s="38"/>
      <c r="E36" s="38"/>
      <c r="F36" s="38"/>
      <c r="G36" s="38"/>
      <c r="H36" s="38"/>
      <c r="I36" s="38"/>
      <c r="J36" s="38"/>
      <c r="K36" s="38"/>
      <c r="L36" s="57"/>
      <c r="M36" s="117"/>
      <c r="N36" s="117" t="s">
        <v>2649</v>
      </c>
      <c r="O36" s="736">
        <f>IF(AND(SUM(O28:O35)=0,COUNTIF(O28:O35,"NS")&gt;0),"NS",IF(AND(SUM(O28:O35)=0,COUNTIF(O28:O35,0)&gt;0),0,IF(AND(SUM(O28:O35)=0,COUNTIF(O28:O35,"NA")&gt;0),"NA",SUM(O28:O35))))</f>
        <v>0</v>
      </c>
      <c r="P36" s="1085"/>
      <c r="Q36" s="1085"/>
      <c r="R36" s="1086"/>
      <c r="S36" s="736">
        <f>IF(AND(SUM(S28:S35)=0,COUNTIF(S28:S35,"NS")&gt;0),"NS",IF(AND(SUM(S28:S35)=0,COUNTIF(S28:S35,0)&gt;0),0,IF(AND(SUM(S28:S35)=0,COUNTIF(S28:S35,"NA")&gt;0),"NA",SUM(S28:S35))))</f>
        <v>0</v>
      </c>
      <c r="T36" s="1085"/>
      <c r="U36" s="1085"/>
      <c r="V36" s="1086"/>
      <c r="W36" s="736">
        <f>IF(AND(SUM(W28:W35)=0,COUNTIF(W28:W35,"NS")&gt;0),"NS",IF(AND(SUM(W28:W35)=0,COUNTIF(W28:W35,0)&gt;0),0,IF(AND(SUM(W28:W35)=0,COUNTIF(W28:W35,"NA")&gt;0),"NA",SUM(W28:W35))))</f>
        <v>0</v>
      </c>
      <c r="X36" s="1085"/>
      <c r="Y36" s="1085"/>
      <c r="Z36" s="1086"/>
      <c r="AA36" s="736">
        <f>IF(AND(SUM(AA28:AA35)=0,COUNTIF(AA28:AA35,"NS")&gt;0),"NS",IF(AND(SUM(AA28:AA35)=0,COUNTIF(AA28:AA35,0)&gt;0),0,IF(AND(SUM(AA28:AA35)=0,COUNTIF(AA28:AA35,"NA")&gt;0),"NA",SUM(AA28:AA35))))</f>
        <v>0</v>
      </c>
      <c r="AB36" s="1085"/>
      <c r="AC36" s="1085"/>
      <c r="AD36" s="1086"/>
      <c r="AF36" s="507">
        <f>SUM(AF28:AF35)</f>
        <v>0</v>
      </c>
      <c r="AG36" s="507">
        <f>SUM(AG28:AG35)</f>
        <v>0</v>
      </c>
      <c r="AH36" s="507">
        <f>SUM(AH28:AH35)</f>
        <v>0</v>
      </c>
      <c r="AI36">
        <f>SUM(AI28:AI35)</f>
        <v>0</v>
      </c>
      <c r="AK36" s="506">
        <f>SUM(AK28:AK35)</f>
        <v>0</v>
      </c>
    </row>
    <row r="37" spans="1:37" ht="15" customHeight="1">
      <c r="A37" s="176"/>
      <c r="B37" s="57"/>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7"/>
      <c r="AC37" s="57"/>
      <c r="AD37" s="57"/>
    </row>
    <row r="38" spans="1:37" ht="24" customHeight="1">
      <c r="A38" s="108"/>
      <c r="B38" s="38"/>
      <c r="C38" s="754" t="s">
        <v>2611</v>
      </c>
      <c r="D38" s="754"/>
      <c r="E38" s="754"/>
      <c r="F38" s="754"/>
      <c r="G38" s="754"/>
      <c r="H38" s="754"/>
      <c r="I38" s="754"/>
      <c r="J38" s="754"/>
      <c r="K38" s="754"/>
      <c r="L38" s="754"/>
      <c r="M38" s="754"/>
      <c r="N38" s="754"/>
      <c r="O38" s="754"/>
      <c r="P38" s="754"/>
      <c r="Q38" s="754"/>
      <c r="R38" s="754"/>
      <c r="S38" s="754"/>
      <c r="T38" s="754"/>
      <c r="U38" s="754"/>
      <c r="V38" s="754"/>
      <c r="W38" s="754"/>
      <c r="X38" s="754"/>
      <c r="Y38" s="754"/>
      <c r="Z38" s="754"/>
      <c r="AA38" s="754"/>
      <c r="AB38" s="754"/>
      <c r="AC38" s="754"/>
      <c r="AD38" s="754"/>
    </row>
    <row r="39" spans="1:37" ht="60" customHeight="1">
      <c r="A39" s="108"/>
      <c r="B39" s="38"/>
      <c r="C39" s="851"/>
      <c r="D39" s="851"/>
      <c r="E39" s="851"/>
      <c r="F39" s="851"/>
      <c r="G39" s="851"/>
      <c r="H39" s="851"/>
      <c r="I39" s="851"/>
      <c r="J39" s="851"/>
      <c r="K39" s="851"/>
      <c r="L39" s="851"/>
      <c r="M39" s="851"/>
      <c r="N39" s="851"/>
      <c r="O39" s="851"/>
      <c r="P39" s="851"/>
      <c r="Q39" s="851"/>
      <c r="R39" s="851"/>
      <c r="S39" s="851"/>
      <c r="T39" s="851"/>
      <c r="U39" s="851"/>
      <c r="V39" s="851"/>
      <c r="W39" s="851"/>
      <c r="X39" s="851"/>
      <c r="Y39" s="851"/>
      <c r="Z39" s="851"/>
      <c r="AA39" s="851"/>
      <c r="AB39" s="851"/>
      <c r="AC39" s="851"/>
      <c r="AD39" s="851"/>
    </row>
    <row r="40" spans="1:37" ht="15" customHeight="1">
      <c r="A40" s="176"/>
      <c r="B40" s="794" t="str">
        <f>IF(AF36=0,"","Favor de ingresar toda la información requerida en la pregunta")</f>
        <v/>
      </c>
      <c r="C40" s="794"/>
      <c r="D40" s="794"/>
      <c r="E40" s="794"/>
      <c r="F40" s="794"/>
      <c r="G40" s="794"/>
      <c r="H40" s="794"/>
      <c r="I40" s="794"/>
      <c r="J40" s="794"/>
      <c r="K40" s="794"/>
      <c r="L40" s="794"/>
      <c r="M40" s="794"/>
      <c r="N40" s="794"/>
      <c r="O40" s="794"/>
      <c r="P40" s="794"/>
      <c r="Q40" s="794"/>
      <c r="R40" s="794"/>
      <c r="S40" s="794"/>
      <c r="T40" s="794"/>
      <c r="U40" s="794"/>
      <c r="V40" s="794"/>
      <c r="W40" s="794"/>
      <c r="X40" s="794"/>
      <c r="Y40" s="794"/>
      <c r="Z40" s="794"/>
      <c r="AA40" s="794"/>
      <c r="AB40" s="794"/>
      <c r="AC40" s="794"/>
      <c r="AD40" s="794"/>
      <c r="AE40" s="794"/>
    </row>
    <row r="41" spans="1:37" ht="15" customHeight="1">
      <c r="A41" s="176"/>
      <c r="B41" s="1087" t="str">
        <f>IF(COUNTIF(O28:AD35,"NS")&lt;&gt;0,"Alerta: debido a que cuenta con registros NS, debe proporcionar una justificación en el area de comentarios al final de la pregunta","")</f>
        <v/>
      </c>
      <c r="C41" s="1087"/>
      <c r="D41" s="1087"/>
      <c r="E41" s="1087"/>
      <c r="F41" s="1087"/>
      <c r="G41" s="1087"/>
      <c r="H41" s="1087"/>
      <c r="I41" s="1087"/>
      <c r="J41" s="1087"/>
      <c r="K41" s="1087"/>
      <c r="L41" s="1087"/>
      <c r="M41" s="1087"/>
      <c r="N41" s="1087"/>
      <c r="O41" s="1087"/>
      <c r="P41" s="1087"/>
      <c r="Q41" s="1087"/>
      <c r="R41" s="1087"/>
      <c r="S41" s="1087"/>
      <c r="T41" s="1087"/>
      <c r="U41" s="1087"/>
      <c r="V41" s="1087"/>
      <c r="W41" s="1087"/>
      <c r="X41" s="1087"/>
      <c r="Y41" s="1087"/>
      <c r="Z41" s="1087"/>
      <c r="AA41" s="1087"/>
      <c r="AB41" s="1087"/>
      <c r="AC41" s="1087"/>
      <c r="AD41" s="1087"/>
      <c r="AE41" s="1087"/>
    </row>
    <row r="42" spans="1:37" ht="15" customHeight="1">
      <c r="A42" s="176"/>
      <c r="B42" s="1003" t="str">
        <f>IF(AG36&gt;0,"Revise la información capturada, ya que tiene datos ingresados en celdas que están sombreadas","")</f>
        <v/>
      </c>
      <c r="C42" s="1003"/>
      <c r="D42" s="1003"/>
      <c r="E42" s="1003"/>
      <c r="F42" s="1003"/>
      <c r="G42" s="1003"/>
      <c r="H42" s="1003"/>
      <c r="I42" s="1003"/>
      <c r="J42" s="1003"/>
      <c r="K42" s="1003"/>
      <c r="L42" s="1003"/>
      <c r="M42" s="1003"/>
      <c r="N42" s="1003"/>
      <c r="O42" s="1003"/>
      <c r="P42" s="1003"/>
      <c r="Q42" s="1003"/>
      <c r="R42" s="1003"/>
      <c r="S42" s="1003"/>
      <c r="T42" s="1003"/>
      <c r="U42" s="1003"/>
      <c r="V42" s="1003"/>
      <c r="W42" s="1003"/>
      <c r="X42" s="1003"/>
      <c r="Y42" s="1003"/>
      <c r="Z42" s="1003"/>
      <c r="AA42" s="1003"/>
      <c r="AB42" s="1003"/>
      <c r="AC42" s="1003"/>
      <c r="AD42" s="1003"/>
      <c r="AE42" s="1003"/>
    </row>
    <row r="43" spans="1:37" ht="15" customHeight="1">
      <c r="A43" s="176"/>
      <c r="B43" s="1003" t="str">
        <f>IF(AK36&gt;0,"Favor de revisar la suma y consistencia de totales y/o subtotales por filas (numéricos y NS)","")</f>
        <v/>
      </c>
      <c r="C43" s="1003"/>
      <c r="D43" s="1003"/>
      <c r="E43" s="1003"/>
      <c r="F43" s="1003"/>
      <c r="G43" s="1003"/>
      <c r="H43" s="1003"/>
      <c r="I43" s="1003"/>
      <c r="J43" s="1003"/>
      <c r="K43" s="1003"/>
      <c r="L43" s="1003"/>
      <c r="M43" s="1003"/>
      <c r="N43" s="1003"/>
      <c r="O43" s="1003"/>
      <c r="P43" s="1003"/>
      <c r="Q43" s="1003"/>
      <c r="R43" s="1003"/>
      <c r="S43" s="1003"/>
      <c r="T43" s="1003"/>
      <c r="U43" s="1003"/>
      <c r="V43" s="1003"/>
      <c r="W43" s="1003"/>
      <c r="X43" s="1003"/>
      <c r="Y43" s="1003"/>
      <c r="Z43" s="1003"/>
      <c r="AA43" s="1003"/>
      <c r="AB43" s="1003"/>
      <c r="AC43" s="1003"/>
      <c r="AD43" s="1003"/>
      <c r="AE43" s="1003"/>
    </row>
    <row r="44" spans="1:37" ht="15" customHeight="1">
      <c r="A44" s="176"/>
      <c r="B44" s="794" t="str">
        <f>IF(AH36&gt;0,"Favor de revisar la instrucción 2, debido a que no se cumplen con los criterios mencionados","")</f>
        <v/>
      </c>
      <c r="C44" s="794"/>
      <c r="D44" s="794"/>
      <c r="E44" s="794"/>
      <c r="F44" s="794"/>
      <c r="G44" s="794"/>
      <c r="H44" s="794"/>
      <c r="I44" s="794"/>
      <c r="J44" s="794"/>
      <c r="K44" s="794"/>
      <c r="L44" s="794"/>
      <c r="M44" s="794"/>
      <c r="N44" s="794"/>
      <c r="O44" s="794"/>
      <c r="P44" s="794"/>
      <c r="Q44" s="794"/>
      <c r="R44" s="794"/>
      <c r="S44" s="794"/>
      <c r="T44" s="794"/>
      <c r="U44" s="794"/>
      <c r="V44" s="794"/>
      <c r="W44" s="794"/>
      <c r="X44" s="794"/>
      <c r="Y44" s="794"/>
      <c r="Z44" s="794"/>
      <c r="AA44" s="794"/>
      <c r="AB44" s="794"/>
      <c r="AC44" s="794"/>
      <c r="AD44" s="794"/>
      <c r="AE44" s="794"/>
    </row>
    <row r="45" spans="1:37" ht="15" customHeight="1" thickBot="1">
      <c r="A45" s="176"/>
      <c r="B45" s="57"/>
      <c r="C45" s="57"/>
      <c r="D45" s="57"/>
      <c r="E45" s="57"/>
      <c r="F45" s="57"/>
      <c r="G45" s="57"/>
      <c r="H45" s="57"/>
      <c r="I45" s="57"/>
      <c r="J45" s="57"/>
      <c r="K45" s="57"/>
      <c r="L45" s="57"/>
      <c r="M45" s="57"/>
      <c r="N45" s="57"/>
      <c r="O45" s="57"/>
      <c r="P45" s="57"/>
      <c r="Q45" s="57"/>
      <c r="R45" s="57"/>
      <c r="S45" s="57"/>
      <c r="T45" s="57"/>
      <c r="U45" s="57"/>
      <c r="V45" s="57"/>
      <c r="W45" s="57"/>
      <c r="X45" s="57"/>
      <c r="Y45" s="57"/>
      <c r="Z45" s="57"/>
      <c r="AA45" s="57"/>
      <c r="AB45" s="57"/>
      <c r="AC45" s="57"/>
      <c r="AD45" s="57"/>
      <c r="AE45"/>
    </row>
    <row r="46" spans="1:37" customFormat="1" ht="15" customHeight="1" thickBot="1">
      <c r="A46" s="153" t="s">
        <v>2563</v>
      </c>
      <c r="B46" s="1081" t="s">
        <v>5462</v>
      </c>
      <c r="C46" s="1082"/>
      <c r="D46" s="1082"/>
      <c r="E46" s="1082"/>
      <c r="F46" s="1082"/>
      <c r="G46" s="1082"/>
      <c r="H46" s="1082"/>
      <c r="I46" s="1082"/>
      <c r="J46" s="1082"/>
      <c r="K46" s="1082"/>
      <c r="L46" s="1082"/>
      <c r="M46" s="1082"/>
      <c r="N46" s="1082"/>
      <c r="O46" s="1082"/>
      <c r="P46" s="1082"/>
      <c r="Q46" s="1082"/>
      <c r="R46" s="1082"/>
      <c r="S46" s="1082"/>
      <c r="T46" s="1082"/>
      <c r="U46" s="1082"/>
      <c r="V46" s="1082"/>
      <c r="W46" s="1082"/>
      <c r="X46" s="1082"/>
      <c r="Y46" s="1082"/>
      <c r="Z46" s="1082"/>
      <c r="AA46" s="1082"/>
      <c r="AB46" s="1082"/>
      <c r="AC46" s="1082"/>
      <c r="AD46" s="1083"/>
      <c r="AE46" s="3"/>
    </row>
    <row r="47" spans="1:37" ht="15" customHeight="1">
      <c r="A47" s="115"/>
      <c r="B47" s="946" t="s">
        <v>2948</v>
      </c>
      <c r="C47" s="867"/>
      <c r="D47" s="867"/>
      <c r="E47" s="867"/>
      <c r="F47" s="867"/>
      <c r="G47" s="867"/>
      <c r="H47" s="867"/>
      <c r="I47" s="867"/>
      <c r="J47" s="867"/>
      <c r="K47" s="867"/>
      <c r="L47" s="867"/>
      <c r="M47" s="867"/>
      <c r="N47" s="867"/>
      <c r="O47" s="867"/>
      <c r="P47" s="867"/>
      <c r="Q47" s="867"/>
      <c r="R47" s="867"/>
      <c r="S47" s="867"/>
      <c r="T47" s="867"/>
      <c r="U47" s="867"/>
      <c r="V47" s="867"/>
      <c r="W47" s="867"/>
      <c r="X47" s="867"/>
      <c r="Y47" s="867"/>
      <c r="Z47" s="867"/>
      <c r="AA47" s="867"/>
      <c r="AB47" s="867"/>
      <c r="AC47" s="867"/>
      <c r="AD47" s="947"/>
    </row>
    <row r="48" spans="1:37" ht="24" customHeight="1">
      <c r="A48" s="115"/>
      <c r="B48" s="209"/>
      <c r="C48" s="855" t="s">
        <v>5463</v>
      </c>
      <c r="D48" s="855"/>
      <c r="E48" s="855"/>
      <c r="F48" s="855"/>
      <c r="G48" s="855"/>
      <c r="H48" s="855"/>
      <c r="I48" s="855"/>
      <c r="J48" s="855"/>
      <c r="K48" s="855"/>
      <c r="L48" s="855"/>
      <c r="M48" s="855"/>
      <c r="N48" s="855"/>
      <c r="O48" s="855"/>
      <c r="P48" s="855"/>
      <c r="Q48" s="855"/>
      <c r="R48" s="855"/>
      <c r="S48" s="855"/>
      <c r="T48" s="855"/>
      <c r="U48" s="855"/>
      <c r="V48" s="855"/>
      <c r="W48" s="855"/>
      <c r="X48" s="855"/>
      <c r="Y48" s="855"/>
      <c r="Z48" s="855"/>
      <c r="AA48" s="855"/>
      <c r="AB48" s="855"/>
      <c r="AC48" s="855"/>
      <c r="AD48" s="856"/>
    </row>
    <row r="49" spans="1:34" ht="15" customHeight="1">
      <c r="A49" s="142"/>
      <c r="B49" s="57"/>
      <c r="C49" s="57"/>
      <c r="D49" s="57"/>
      <c r="E49" s="57"/>
      <c r="F49" s="57"/>
      <c r="G49" s="57"/>
      <c r="H49" s="57"/>
      <c r="I49" s="57"/>
      <c r="J49" s="57"/>
      <c r="K49" s="57"/>
      <c r="L49" s="57"/>
      <c r="M49" s="57"/>
      <c r="N49" s="57"/>
      <c r="O49" s="57"/>
      <c r="P49" s="57"/>
      <c r="Q49" s="57"/>
      <c r="R49" s="57"/>
      <c r="S49" s="57"/>
      <c r="T49" s="57"/>
      <c r="U49" s="57"/>
      <c r="V49" s="57"/>
      <c r="W49" s="57"/>
      <c r="X49" s="57"/>
      <c r="Y49" s="57"/>
      <c r="Z49" s="57"/>
      <c r="AA49" s="57"/>
      <c r="AB49" s="57"/>
      <c r="AC49" s="57"/>
      <c r="AD49" s="57"/>
    </row>
    <row r="50" spans="1:34" ht="24" customHeight="1">
      <c r="A50" s="49" t="s">
        <v>5464</v>
      </c>
      <c r="B50" s="829" t="s">
        <v>5465</v>
      </c>
      <c r="C50" s="829"/>
      <c r="D50" s="829"/>
      <c r="E50" s="829"/>
      <c r="F50" s="829"/>
      <c r="G50" s="829"/>
      <c r="H50" s="829"/>
      <c r="I50" s="829"/>
      <c r="J50" s="829"/>
      <c r="K50" s="829"/>
      <c r="L50" s="829"/>
      <c r="M50" s="829"/>
      <c r="N50" s="829"/>
      <c r="O50" s="829"/>
      <c r="P50" s="829"/>
      <c r="Q50" s="829"/>
      <c r="R50" s="829"/>
      <c r="S50" s="829"/>
      <c r="T50" s="829"/>
      <c r="U50" s="829"/>
      <c r="V50" s="829"/>
      <c r="W50" s="829"/>
      <c r="X50" s="829"/>
      <c r="Y50" s="829"/>
      <c r="Z50" s="829"/>
      <c r="AA50" s="829"/>
      <c r="AB50" s="829"/>
      <c r="AC50" s="829"/>
      <c r="AD50" s="829"/>
    </row>
    <row r="51" spans="1:34" ht="24" customHeight="1">
      <c r="A51" s="49"/>
      <c r="B51" s="105"/>
      <c r="C51" s="754" t="s">
        <v>5466</v>
      </c>
      <c r="D51" s="754"/>
      <c r="E51" s="754"/>
      <c r="F51" s="754"/>
      <c r="G51" s="754"/>
      <c r="H51" s="754"/>
      <c r="I51" s="754"/>
      <c r="J51" s="754"/>
      <c r="K51" s="754"/>
      <c r="L51" s="754"/>
      <c r="M51" s="754"/>
      <c r="N51" s="754"/>
      <c r="O51" s="754"/>
      <c r="P51" s="754"/>
      <c r="Q51" s="754"/>
      <c r="R51" s="754"/>
      <c r="S51" s="754"/>
      <c r="T51" s="754"/>
      <c r="U51" s="754"/>
      <c r="V51" s="754"/>
      <c r="W51" s="754"/>
      <c r="X51" s="754"/>
      <c r="Y51" s="754"/>
      <c r="Z51" s="754"/>
      <c r="AA51" s="754"/>
      <c r="AB51" s="754"/>
      <c r="AC51" s="754"/>
      <c r="AD51" s="754"/>
    </row>
    <row r="52" spans="1:34" ht="24" customHeight="1">
      <c r="A52" s="49"/>
      <c r="B52" s="38"/>
      <c r="C52" s="830" t="s">
        <v>5467</v>
      </c>
      <c r="D52" s="830"/>
      <c r="E52" s="830"/>
      <c r="F52" s="830"/>
      <c r="G52" s="830"/>
      <c r="H52" s="830"/>
      <c r="I52" s="830"/>
      <c r="J52" s="830"/>
      <c r="K52" s="830"/>
      <c r="L52" s="830"/>
      <c r="M52" s="830"/>
      <c r="N52" s="830"/>
      <c r="O52" s="830"/>
      <c r="P52" s="830"/>
      <c r="Q52" s="830"/>
      <c r="R52" s="830"/>
      <c r="S52" s="830"/>
      <c r="T52" s="830"/>
      <c r="U52" s="830"/>
      <c r="V52" s="830"/>
      <c r="W52" s="830"/>
      <c r="X52" s="830"/>
      <c r="Y52" s="830"/>
      <c r="Z52" s="830"/>
      <c r="AA52" s="830"/>
      <c r="AB52" s="830"/>
      <c r="AC52" s="830"/>
      <c r="AD52" s="830"/>
    </row>
    <row r="53" spans="1:34" ht="15" customHeight="1">
      <c r="A53" s="108"/>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row>
    <row r="54" spans="1:34" ht="72" customHeight="1">
      <c r="A54" s="49"/>
      <c r="B54" s="38"/>
      <c r="C54" s="732" t="s">
        <v>2581</v>
      </c>
      <c r="D54" s="732"/>
      <c r="E54" s="732"/>
      <c r="F54" s="732"/>
      <c r="G54" s="732"/>
      <c r="H54" s="732"/>
      <c r="I54" s="732"/>
      <c r="J54" s="732"/>
      <c r="K54" s="732"/>
      <c r="L54" s="732"/>
      <c r="M54" s="732"/>
      <c r="N54" s="732"/>
      <c r="O54" s="732"/>
      <c r="P54" s="732"/>
      <c r="Q54" s="732"/>
      <c r="R54" s="732"/>
      <c r="S54" s="732"/>
      <c r="T54" s="732"/>
      <c r="U54" s="732"/>
      <c r="V54" s="732"/>
      <c r="W54" s="732"/>
      <c r="X54" s="732"/>
      <c r="Y54" s="739" t="s">
        <v>5468</v>
      </c>
      <c r="Z54" s="740"/>
      <c r="AA54" s="740"/>
      <c r="AB54" s="740"/>
      <c r="AC54" s="740"/>
      <c r="AD54" s="741"/>
      <c r="AF54" t="s">
        <v>2586</v>
      </c>
      <c r="AG54" t="s">
        <v>4581</v>
      </c>
      <c r="AH54" t="s">
        <v>5291</v>
      </c>
    </row>
    <row r="55" spans="1:34" ht="15" customHeight="1">
      <c r="A55" s="103"/>
      <c r="B55" s="113"/>
      <c r="C55" s="44" t="s">
        <v>2516</v>
      </c>
      <c r="D55" s="796" t="str">
        <f>IF(CNSIPEE_2024_M2_Secc1!D42="","",CNSIPEE_2024_M2_Secc1!D42)</f>
        <v/>
      </c>
      <c r="E55" s="796"/>
      <c r="F55" s="796"/>
      <c r="G55" s="796"/>
      <c r="H55" s="796"/>
      <c r="I55" s="796"/>
      <c r="J55" s="796"/>
      <c r="K55" s="796"/>
      <c r="L55" s="796"/>
      <c r="M55" s="796"/>
      <c r="N55" s="796"/>
      <c r="O55" s="796"/>
      <c r="P55" s="796"/>
      <c r="Q55" s="796"/>
      <c r="R55" s="796"/>
      <c r="S55" s="796"/>
      <c r="T55" s="796"/>
      <c r="U55" s="796"/>
      <c r="V55" s="796"/>
      <c r="W55" s="796"/>
      <c r="X55" s="796"/>
      <c r="Y55" s="749"/>
      <c r="Z55" s="749"/>
      <c r="AA55" s="749"/>
      <c r="AB55" s="749"/>
      <c r="AC55" s="749"/>
      <c r="AD55" s="749"/>
      <c r="AF55">
        <f>IF(OR(CNSIPEE_2024_M2_Secc8!$X374=0,CNSIPEE_2024_M2_Secc8!$X374="NS",CNSIPEE_2024_M2_Secc8!$X374="NA"),0,IF(OR(COUNTBLANK(D55:AD55)=25,COUNTBLANK(D55:AD55)=27),0,1))</f>
        <v>0</v>
      </c>
      <c r="AG55">
        <f>IF(OR(CNSIPEE_2024_M2_Secc8!$X374=0,CNSIPEE_2024_M2_Secc8!$X374="NS",CNSIPEE_2024_M2_Secc8!$X374="NA"),IF(COUNTBLANK(Y55)=1,0,1),0)</f>
        <v>0</v>
      </c>
      <c r="AH55" cm="1">
        <f t="array" ref="AH55">IF(OR(CNSIPEE_2024_M2_Secc8!$X374=0,CNSIPEE_2024_M2_Secc8!$X374="NS",CNSIPEE_2024_M2_Secc8!$X374="NA"),0,IF(OR(Y55={"NS","NA"},CNSIPEE_2024_M2_Secc8!$X374={"NS","NA"}),0,IF(Y55&lt;=CNSIPEE_2024_M2_Secc8!$X374,0,1)))</f>
        <v>0</v>
      </c>
    </row>
    <row r="56" spans="1:34" ht="15" customHeight="1">
      <c r="A56" s="103"/>
      <c r="B56" s="113"/>
      <c r="C56" s="97" t="s">
        <v>2517</v>
      </c>
      <c r="D56" s="796" t="str">
        <f>IF(CNSIPEE_2024_M2_Secc1!D43="","",CNSIPEE_2024_M2_Secc1!D43)</f>
        <v/>
      </c>
      <c r="E56" s="796"/>
      <c r="F56" s="796"/>
      <c r="G56" s="796"/>
      <c r="H56" s="796"/>
      <c r="I56" s="796"/>
      <c r="J56" s="796"/>
      <c r="K56" s="796"/>
      <c r="L56" s="796"/>
      <c r="M56" s="796"/>
      <c r="N56" s="796"/>
      <c r="O56" s="796"/>
      <c r="P56" s="796"/>
      <c r="Q56" s="796"/>
      <c r="R56" s="796"/>
      <c r="S56" s="796"/>
      <c r="T56" s="796"/>
      <c r="U56" s="796"/>
      <c r="V56" s="796"/>
      <c r="W56" s="796"/>
      <c r="X56" s="796"/>
      <c r="Y56" s="749"/>
      <c r="Z56" s="749"/>
      <c r="AA56" s="749"/>
      <c r="AB56" s="749"/>
      <c r="AC56" s="749"/>
      <c r="AD56" s="749"/>
      <c r="AF56">
        <f>IF(OR(CNSIPEE_2024_M2_Secc8!$X375=0,CNSIPEE_2024_M2_Secc8!$X375="NS",CNSIPEE_2024_M2_Secc8!$X375="NA"),0,IF(OR(COUNTBLANK(D56:AD56)=25,COUNTBLANK(D56:AD56)=27),0,1))</f>
        <v>0</v>
      </c>
      <c r="AG56">
        <f>IF(OR(CNSIPEE_2024_M2_Secc8!$X375=0,CNSIPEE_2024_M2_Secc8!$X375="NS",CNSIPEE_2024_M2_Secc8!$X375="NA"),IF(COUNTBLANK(Y56)=1,0,1),0)</f>
        <v>0</v>
      </c>
      <c r="AH56" cm="1">
        <f t="array" ref="AH56">IF(OR(CNSIPEE_2024_M2_Secc8!$X375=0,CNSIPEE_2024_M2_Secc8!$X375="NS",CNSIPEE_2024_M2_Secc8!$X375="NA"),0,IF(OR(Y56={"NS","NA"},CNSIPEE_2024_M2_Secc8!$X375={"NS","NA"}),0,IF(Y56&lt;=CNSIPEE_2024_M2_Secc8!$X375,0,1)))</f>
        <v>0</v>
      </c>
    </row>
    <row r="57" spans="1:34" ht="15" customHeight="1">
      <c r="A57" s="103"/>
      <c r="B57" s="113"/>
      <c r="C57" s="98" t="s">
        <v>2518</v>
      </c>
      <c r="D57" s="796" t="str">
        <f>IF(CNSIPEE_2024_M2_Secc1!D44="","",CNSIPEE_2024_M2_Secc1!D44)</f>
        <v/>
      </c>
      <c r="E57" s="796"/>
      <c r="F57" s="796"/>
      <c r="G57" s="796"/>
      <c r="H57" s="796"/>
      <c r="I57" s="796"/>
      <c r="J57" s="796"/>
      <c r="K57" s="796"/>
      <c r="L57" s="796"/>
      <c r="M57" s="796"/>
      <c r="N57" s="796"/>
      <c r="O57" s="796"/>
      <c r="P57" s="796"/>
      <c r="Q57" s="796"/>
      <c r="R57" s="796"/>
      <c r="S57" s="796"/>
      <c r="T57" s="796"/>
      <c r="U57" s="796"/>
      <c r="V57" s="796"/>
      <c r="W57" s="796"/>
      <c r="X57" s="796"/>
      <c r="Y57" s="749"/>
      <c r="Z57" s="749"/>
      <c r="AA57" s="749"/>
      <c r="AB57" s="749"/>
      <c r="AC57" s="749"/>
      <c r="AD57" s="749"/>
      <c r="AF57">
        <f>IF(OR(CNSIPEE_2024_M2_Secc8!$X376=0,CNSIPEE_2024_M2_Secc8!$X376="NS",CNSIPEE_2024_M2_Secc8!$X376="NA"),0,IF(OR(COUNTBLANK(D57:AD57)=25,COUNTBLANK(D57:AD57)=27),0,1))</f>
        <v>0</v>
      </c>
      <c r="AG57">
        <f>IF(OR(CNSIPEE_2024_M2_Secc8!$X376=0,CNSIPEE_2024_M2_Secc8!$X376="NS",CNSIPEE_2024_M2_Secc8!$X376="NA"),IF(COUNTBLANK(Y57)=1,0,1),0)</f>
        <v>0</v>
      </c>
      <c r="AH57" cm="1">
        <f t="array" ref="AH57">IF(OR(CNSIPEE_2024_M2_Secc8!$X376=0,CNSIPEE_2024_M2_Secc8!$X376="NS",CNSIPEE_2024_M2_Secc8!$X376="NA"),0,IF(OR(Y57={"NS","NA"},CNSIPEE_2024_M2_Secc8!$X376={"NS","NA"}),0,IF(Y57&lt;=CNSIPEE_2024_M2_Secc8!$X376,0,1)))</f>
        <v>0</v>
      </c>
    </row>
    <row r="58" spans="1:34" ht="15" customHeight="1">
      <c r="A58" s="103"/>
      <c r="B58" s="113"/>
      <c r="C58" s="98" t="s">
        <v>2519</v>
      </c>
      <c r="D58" s="796" t="str">
        <f>IF(CNSIPEE_2024_M2_Secc1!D45="","",CNSIPEE_2024_M2_Secc1!D45)</f>
        <v/>
      </c>
      <c r="E58" s="796"/>
      <c r="F58" s="796"/>
      <c r="G58" s="796"/>
      <c r="H58" s="796"/>
      <c r="I58" s="796"/>
      <c r="J58" s="796"/>
      <c r="K58" s="796"/>
      <c r="L58" s="796"/>
      <c r="M58" s="796"/>
      <c r="N58" s="796"/>
      <c r="O58" s="796"/>
      <c r="P58" s="796"/>
      <c r="Q58" s="796"/>
      <c r="R58" s="796"/>
      <c r="S58" s="796"/>
      <c r="T58" s="796"/>
      <c r="U58" s="796"/>
      <c r="V58" s="796"/>
      <c r="W58" s="796"/>
      <c r="X58" s="796"/>
      <c r="Y58" s="749"/>
      <c r="Z58" s="749"/>
      <c r="AA58" s="749"/>
      <c r="AB58" s="749"/>
      <c r="AC58" s="749"/>
      <c r="AD58" s="749"/>
      <c r="AF58">
        <f>IF(OR(CNSIPEE_2024_M2_Secc8!$X377=0,CNSIPEE_2024_M2_Secc8!$X377="NS",CNSIPEE_2024_M2_Secc8!$X377="NA"),0,IF(OR(COUNTBLANK(D58:AD58)=25,COUNTBLANK(D58:AD58)=27),0,1))</f>
        <v>0</v>
      </c>
      <c r="AG58">
        <f>IF(OR(CNSIPEE_2024_M2_Secc8!$X377=0,CNSIPEE_2024_M2_Secc8!$X377="NS",CNSIPEE_2024_M2_Secc8!$X377="NA"),IF(COUNTBLANK(Y58)=1,0,1),0)</f>
        <v>0</v>
      </c>
      <c r="AH58" cm="1">
        <f t="array" ref="AH58">IF(OR(CNSIPEE_2024_M2_Secc8!$X377=0,CNSIPEE_2024_M2_Secc8!$X377="NS",CNSIPEE_2024_M2_Secc8!$X377="NA"),0,IF(OR(Y58={"NS","NA"},CNSIPEE_2024_M2_Secc8!$X377={"NS","NA"}),0,IF(Y58&lt;=CNSIPEE_2024_M2_Secc8!$X377,0,1)))</f>
        <v>0</v>
      </c>
    </row>
    <row r="59" spans="1:34" ht="15" customHeight="1">
      <c r="A59" s="103"/>
      <c r="B59" s="113"/>
      <c r="C59" s="98" t="s">
        <v>2520</v>
      </c>
      <c r="D59" s="796" t="str">
        <f>IF(CNSIPEE_2024_M2_Secc1!D46="","",CNSIPEE_2024_M2_Secc1!D46)</f>
        <v/>
      </c>
      <c r="E59" s="796"/>
      <c r="F59" s="796"/>
      <c r="G59" s="796"/>
      <c r="H59" s="796"/>
      <c r="I59" s="796"/>
      <c r="J59" s="796"/>
      <c r="K59" s="796"/>
      <c r="L59" s="796"/>
      <c r="M59" s="796"/>
      <c r="N59" s="796"/>
      <c r="O59" s="796"/>
      <c r="P59" s="796"/>
      <c r="Q59" s="796"/>
      <c r="R59" s="796"/>
      <c r="S59" s="796"/>
      <c r="T59" s="796"/>
      <c r="U59" s="796"/>
      <c r="V59" s="796"/>
      <c r="W59" s="796"/>
      <c r="X59" s="796"/>
      <c r="Y59" s="749"/>
      <c r="Z59" s="749"/>
      <c r="AA59" s="749"/>
      <c r="AB59" s="749"/>
      <c r="AC59" s="749"/>
      <c r="AD59" s="749"/>
      <c r="AF59">
        <f>IF(OR(CNSIPEE_2024_M2_Secc8!$X378=0,CNSIPEE_2024_M2_Secc8!$X378="NS",CNSIPEE_2024_M2_Secc8!$X378="NA"),0,IF(OR(COUNTBLANK(D59:AD59)=25,COUNTBLANK(D59:AD59)=27),0,1))</f>
        <v>0</v>
      </c>
      <c r="AG59">
        <f>IF(OR(CNSIPEE_2024_M2_Secc8!$X378=0,CNSIPEE_2024_M2_Secc8!$X378="NS",CNSIPEE_2024_M2_Secc8!$X378="NA"),IF(COUNTBLANK(Y59)=1,0,1),0)</f>
        <v>0</v>
      </c>
      <c r="AH59" cm="1">
        <f t="array" ref="AH59">IF(OR(CNSIPEE_2024_M2_Secc8!$X378=0,CNSIPEE_2024_M2_Secc8!$X378="NS",CNSIPEE_2024_M2_Secc8!$X378="NA"),0,IF(OR(Y59={"NS","NA"},CNSIPEE_2024_M2_Secc8!$X378={"NS","NA"}),0,IF(Y59&lt;=CNSIPEE_2024_M2_Secc8!$X378,0,1)))</f>
        <v>0</v>
      </c>
    </row>
    <row r="60" spans="1:34" ht="15" customHeight="1">
      <c r="A60" s="103"/>
      <c r="B60" s="113"/>
      <c r="C60" s="98" t="s">
        <v>2521</v>
      </c>
      <c r="D60" s="796" t="str">
        <f>IF(CNSIPEE_2024_M2_Secc1!D47="","",CNSIPEE_2024_M2_Secc1!D47)</f>
        <v/>
      </c>
      <c r="E60" s="796"/>
      <c r="F60" s="796"/>
      <c r="G60" s="796"/>
      <c r="H60" s="796"/>
      <c r="I60" s="796"/>
      <c r="J60" s="796"/>
      <c r="K60" s="796"/>
      <c r="L60" s="796"/>
      <c r="M60" s="796"/>
      <c r="N60" s="796"/>
      <c r="O60" s="796"/>
      <c r="P60" s="796"/>
      <c r="Q60" s="796"/>
      <c r="R60" s="796"/>
      <c r="S60" s="796"/>
      <c r="T60" s="796"/>
      <c r="U60" s="796"/>
      <c r="V60" s="796"/>
      <c r="W60" s="796"/>
      <c r="X60" s="796"/>
      <c r="Y60" s="749"/>
      <c r="Z60" s="749"/>
      <c r="AA60" s="749"/>
      <c r="AB60" s="749"/>
      <c r="AC60" s="749"/>
      <c r="AD60" s="749"/>
      <c r="AF60">
        <f>IF(OR(CNSIPEE_2024_M2_Secc8!$X379=0,CNSIPEE_2024_M2_Secc8!$X379="NS",CNSIPEE_2024_M2_Secc8!$X379="NA"),0,IF(OR(COUNTBLANK(D60:AD60)=25,COUNTBLANK(D60:AD60)=27),0,1))</f>
        <v>0</v>
      </c>
      <c r="AG60">
        <f>IF(OR(CNSIPEE_2024_M2_Secc8!$X379=0,CNSIPEE_2024_M2_Secc8!$X379="NS",CNSIPEE_2024_M2_Secc8!$X379="NA"),IF(COUNTBLANK(Y60)=1,0,1),0)</f>
        <v>0</v>
      </c>
      <c r="AH60" cm="1">
        <f t="array" ref="AH60">IF(OR(CNSIPEE_2024_M2_Secc8!$X379=0,CNSIPEE_2024_M2_Secc8!$X379="NS",CNSIPEE_2024_M2_Secc8!$X379="NA"),0,IF(OR(Y60={"NS","NA"},CNSIPEE_2024_M2_Secc8!$X379={"NS","NA"}),0,IF(Y60&lt;=CNSIPEE_2024_M2_Secc8!$X379,0,1)))</f>
        <v>0</v>
      </c>
    </row>
    <row r="61" spans="1:34" ht="15" customHeight="1">
      <c r="A61" s="103"/>
      <c r="B61" s="113"/>
      <c r="C61" s="98" t="s">
        <v>2522</v>
      </c>
      <c r="D61" s="796" t="str">
        <f>IF(CNSIPEE_2024_M2_Secc1!D48="","",CNSIPEE_2024_M2_Secc1!D48)</f>
        <v/>
      </c>
      <c r="E61" s="796"/>
      <c r="F61" s="796"/>
      <c r="G61" s="796"/>
      <c r="H61" s="796"/>
      <c r="I61" s="796"/>
      <c r="J61" s="796"/>
      <c r="K61" s="796"/>
      <c r="L61" s="796"/>
      <c r="M61" s="796"/>
      <c r="N61" s="796"/>
      <c r="O61" s="796"/>
      <c r="P61" s="796"/>
      <c r="Q61" s="796"/>
      <c r="R61" s="796"/>
      <c r="S61" s="796"/>
      <c r="T61" s="796"/>
      <c r="U61" s="796"/>
      <c r="V61" s="796"/>
      <c r="W61" s="796"/>
      <c r="X61" s="796"/>
      <c r="Y61" s="749"/>
      <c r="Z61" s="749"/>
      <c r="AA61" s="749"/>
      <c r="AB61" s="749"/>
      <c r="AC61" s="749"/>
      <c r="AD61" s="749"/>
      <c r="AF61">
        <f>IF(OR(CNSIPEE_2024_M2_Secc8!$X380=0,CNSIPEE_2024_M2_Secc8!$X380="NS",CNSIPEE_2024_M2_Secc8!$X380="NA"),0,IF(OR(COUNTBLANK(D61:AD61)=25,COUNTBLANK(D61:AD61)=27),0,1))</f>
        <v>0</v>
      </c>
      <c r="AG61">
        <f>IF(OR(CNSIPEE_2024_M2_Secc8!$X380=0,CNSIPEE_2024_M2_Secc8!$X380="NS",CNSIPEE_2024_M2_Secc8!$X380="NA"),IF(COUNTBLANK(Y61)=1,0,1),0)</f>
        <v>0</v>
      </c>
      <c r="AH61" cm="1">
        <f t="array" ref="AH61">IF(OR(CNSIPEE_2024_M2_Secc8!$X380=0,CNSIPEE_2024_M2_Secc8!$X380="NS",CNSIPEE_2024_M2_Secc8!$X380="NA"),0,IF(OR(Y61={"NS","NA"},CNSIPEE_2024_M2_Secc8!$X380={"NS","NA"}),0,IF(Y61&lt;=CNSIPEE_2024_M2_Secc8!$X380,0,1)))</f>
        <v>0</v>
      </c>
    </row>
    <row r="62" spans="1:34" ht="15" customHeight="1">
      <c r="A62" s="103"/>
      <c r="B62" s="113"/>
      <c r="C62" s="98" t="s">
        <v>2523</v>
      </c>
      <c r="D62" s="796" t="str">
        <f>IF(CNSIPEE_2024_M2_Secc1!D49="","",CNSIPEE_2024_M2_Secc1!D49)</f>
        <v/>
      </c>
      <c r="E62" s="796"/>
      <c r="F62" s="796"/>
      <c r="G62" s="796"/>
      <c r="H62" s="796"/>
      <c r="I62" s="796"/>
      <c r="J62" s="796"/>
      <c r="K62" s="796"/>
      <c r="L62" s="796"/>
      <c r="M62" s="796"/>
      <c r="N62" s="796"/>
      <c r="O62" s="796"/>
      <c r="P62" s="796"/>
      <c r="Q62" s="796"/>
      <c r="R62" s="796"/>
      <c r="S62" s="796"/>
      <c r="T62" s="796"/>
      <c r="U62" s="796"/>
      <c r="V62" s="796"/>
      <c r="W62" s="796"/>
      <c r="X62" s="796"/>
      <c r="Y62" s="749"/>
      <c r="Z62" s="749"/>
      <c r="AA62" s="749"/>
      <c r="AB62" s="749"/>
      <c r="AC62" s="749"/>
      <c r="AD62" s="749"/>
      <c r="AF62">
        <f>IF(OR(CNSIPEE_2024_M2_Secc8!$X381=0,CNSIPEE_2024_M2_Secc8!$X381="NS",CNSIPEE_2024_M2_Secc8!$X381="NA"),0,IF(OR(COUNTBLANK(D62:AD62)=25,COUNTBLANK(D62:AD62)=27),0,1))</f>
        <v>0</v>
      </c>
      <c r="AG62">
        <f>IF(OR(CNSIPEE_2024_M2_Secc8!$X381=0,CNSIPEE_2024_M2_Secc8!$X381="NS",CNSIPEE_2024_M2_Secc8!$X381="NA"),IF(COUNTBLANK(Y62)=1,0,1),0)</f>
        <v>0</v>
      </c>
      <c r="AH62" cm="1">
        <f t="array" ref="AH62">IF(OR(CNSIPEE_2024_M2_Secc8!$X381=0,CNSIPEE_2024_M2_Secc8!$X381="NS",CNSIPEE_2024_M2_Secc8!$X381="NA"),0,IF(OR(Y62={"NS","NA"},CNSIPEE_2024_M2_Secc8!$X381={"NS","NA"}),0,IF(Y62&lt;=CNSIPEE_2024_M2_Secc8!$X381,0,1)))</f>
        <v>0</v>
      </c>
    </row>
    <row r="63" spans="1:34" ht="15" customHeight="1">
      <c r="A63" s="49"/>
      <c r="B63" s="123"/>
      <c r="C63" s="123"/>
      <c r="D63" s="123"/>
      <c r="E63" s="123"/>
      <c r="G63" s="123"/>
      <c r="X63" s="99" t="s">
        <v>2649</v>
      </c>
      <c r="Y63" s="736">
        <f>IF(AND(SUM(Y55:Y62)=0,COUNTIF(Y55:Y62,"NS")&gt;0),"NS",IF(AND(SUM(Y55:Y62)=0,COUNTIF(Y55:Y62,0)&gt;0),0,IF(AND(SUM(Y55:Y62)=0,COUNTIF(Y55:Y62,"NA")&gt;0),"NA",SUM(Y55:Y62))))</f>
        <v>0</v>
      </c>
      <c r="Z63" s="1085"/>
      <c r="AA63" s="1085"/>
      <c r="AB63" s="1085"/>
      <c r="AC63" s="1085"/>
      <c r="AD63" s="1086"/>
      <c r="AF63" s="507">
        <f>SUM(AF55:AF62)</f>
        <v>0</v>
      </c>
      <c r="AG63" s="507">
        <f>SUM(AG55:AG62)</f>
        <v>0</v>
      </c>
      <c r="AH63" s="507">
        <f>SUM(AH55:AH62)</f>
        <v>0</v>
      </c>
    </row>
    <row r="64" spans="1:34" ht="15" customHeight="1">
      <c r="A64" s="186"/>
      <c r="B64" s="57"/>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row>
    <row r="65" spans="1:58" ht="24" customHeight="1">
      <c r="A65" s="108"/>
      <c r="B65" s="38"/>
      <c r="C65" s="754" t="s">
        <v>2611</v>
      </c>
      <c r="D65" s="754"/>
      <c r="E65" s="754"/>
      <c r="F65" s="754"/>
      <c r="G65" s="754"/>
      <c r="H65" s="754"/>
      <c r="I65" s="754"/>
      <c r="J65" s="754"/>
      <c r="K65" s="754"/>
      <c r="L65" s="754"/>
      <c r="M65" s="754"/>
      <c r="N65" s="754"/>
      <c r="O65" s="754"/>
      <c r="P65" s="754"/>
      <c r="Q65" s="754"/>
      <c r="R65" s="754"/>
      <c r="S65" s="754"/>
      <c r="T65" s="754"/>
      <c r="U65" s="754"/>
      <c r="V65" s="754"/>
      <c r="W65" s="754"/>
      <c r="X65" s="754"/>
      <c r="Y65" s="754"/>
      <c r="Z65" s="754"/>
      <c r="AA65" s="754"/>
      <c r="AB65" s="754"/>
      <c r="AC65" s="754"/>
      <c r="AD65" s="754"/>
    </row>
    <row r="66" spans="1:58" ht="60" customHeight="1">
      <c r="A66" s="108"/>
      <c r="B66" s="38"/>
      <c r="C66" s="851"/>
      <c r="D66" s="851"/>
      <c r="E66" s="851"/>
      <c r="F66" s="851"/>
      <c r="G66" s="851"/>
      <c r="H66" s="851"/>
      <c r="I66" s="851"/>
      <c r="J66" s="851"/>
      <c r="K66" s="851"/>
      <c r="L66" s="851"/>
      <c r="M66" s="851"/>
      <c r="N66" s="851"/>
      <c r="O66" s="851"/>
      <c r="P66" s="851"/>
      <c r="Q66" s="851"/>
      <c r="R66" s="851"/>
      <c r="S66" s="851"/>
      <c r="T66" s="851"/>
      <c r="U66" s="851"/>
      <c r="V66" s="851"/>
      <c r="W66" s="851"/>
      <c r="X66" s="851"/>
      <c r="Y66" s="851"/>
      <c r="Z66" s="851"/>
      <c r="AA66" s="851"/>
      <c r="AB66" s="851"/>
      <c r="AC66" s="851"/>
      <c r="AD66" s="851"/>
    </row>
    <row r="67" spans="1:58" ht="15" customHeight="1">
      <c r="A67" s="108"/>
      <c r="B67" s="794" t="str">
        <f>IF(AF63=0,"","Favor de ingresar toda la información requerida en la pregunta")</f>
        <v/>
      </c>
      <c r="C67" s="794"/>
      <c r="D67" s="794"/>
      <c r="E67" s="794"/>
      <c r="F67" s="794"/>
      <c r="G67" s="794"/>
      <c r="H67" s="794"/>
      <c r="I67" s="794"/>
      <c r="J67" s="794"/>
      <c r="K67" s="794"/>
      <c r="L67" s="794"/>
      <c r="M67" s="794"/>
      <c r="N67" s="794"/>
      <c r="O67" s="794"/>
      <c r="P67" s="794"/>
      <c r="Q67" s="794"/>
      <c r="R67" s="794"/>
      <c r="S67" s="794"/>
      <c r="T67" s="794"/>
      <c r="U67" s="794"/>
      <c r="V67" s="794"/>
      <c r="W67" s="794"/>
      <c r="X67" s="794"/>
      <c r="Y67" s="794"/>
      <c r="Z67" s="794"/>
      <c r="AA67" s="794"/>
      <c r="AB67" s="794"/>
      <c r="AC67" s="794"/>
      <c r="AD67" s="794"/>
      <c r="AE67" s="794"/>
    </row>
    <row r="68" spans="1:58" ht="15" customHeight="1">
      <c r="A68" s="176"/>
      <c r="B68" s="1087" t="str">
        <f>IF(COUNTIF(Y55:AD62,"NS")&lt;&gt;0,"Alerta: debido a que cuenta con registros NS, debe proporcionar una justificación en el area de comentarios al final de la pregunta","")</f>
        <v/>
      </c>
      <c r="C68" s="1087"/>
      <c r="D68" s="1087"/>
      <c r="E68" s="1087"/>
      <c r="F68" s="1087"/>
      <c r="G68" s="1087"/>
      <c r="H68" s="1087"/>
      <c r="I68" s="1087"/>
      <c r="J68" s="1087"/>
      <c r="K68" s="1087"/>
      <c r="L68" s="1087"/>
      <c r="M68" s="1087"/>
      <c r="N68" s="1087"/>
      <c r="O68" s="1087"/>
      <c r="P68" s="1087"/>
      <c r="Q68" s="1087"/>
      <c r="R68" s="1087"/>
      <c r="S68" s="1087"/>
      <c r="T68" s="1087"/>
      <c r="U68" s="1087"/>
      <c r="V68" s="1087"/>
      <c r="W68" s="1087"/>
      <c r="X68" s="1087"/>
      <c r="Y68" s="1087"/>
      <c r="Z68" s="1087"/>
      <c r="AA68" s="1087"/>
      <c r="AB68" s="1087"/>
      <c r="AC68" s="1087"/>
      <c r="AD68" s="1087"/>
      <c r="AE68" s="1087"/>
    </row>
    <row r="69" spans="1:58" ht="15" customHeight="1">
      <c r="A69" s="176"/>
      <c r="B69" s="1003" t="str">
        <f>IF(AG63&gt;0,"Revise la información capturada, ya que tiene datos ingresados en celdas que están sombreadas","")</f>
        <v/>
      </c>
      <c r="C69" s="1003"/>
      <c r="D69" s="1003"/>
      <c r="E69" s="1003"/>
      <c r="F69" s="1003"/>
      <c r="G69" s="1003"/>
      <c r="H69" s="1003"/>
      <c r="I69" s="1003"/>
      <c r="J69" s="1003"/>
      <c r="K69" s="1003"/>
      <c r="L69" s="1003"/>
      <c r="M69" s="1003"/>
      <c r="N69" s="1003"/>
      <c r="O69" s="1003"/>
      <c r="P69" s="1003"/>
      <c r="Q69" s="1003"/>
      <c r="R69" s="1003"/>
      <c r="S69" s="1003"/>
      <c r="T69" s="1003"/>
      <c r="U69" s="1003"/>
      <c r="V69" s="1003"/>
      <c r="W69" s="1003"/>
      <c r="X69" s="1003"/>
      <c r="Y69" s="1003"/>
      <c r="Z69" s="1003"/>
      <c r="AA69" s="1003"/>
      <c r="AB69" s="1003"/>
      <c r="AC69" s="1003"/>
      <c r="AD69" s="1003"/>
      <c r="AE69" s="1003"/>
    </row>
    <row r="70" spans="1:58" ht="15" customHeight="1">
      <c r="A70" s="176"/>
      <c r="B70" s="1003" t="str">
        <f>IF(AH63&gt;0,"Favor de revisar la instrucción 2, debido a que no se cumplen con los criterios mencionados","")</f>
        <v/>
      </c>
      <c r="C70" s="1003"/>
      <c r="D70" s="1003"/>
      <c r="E70" s="1003"/>
      <c r="F70" s="1003"/>
      <c r="G70" s="1003"/>
      <c r="H70" s="1003"/>
      <c r="I70" s="1003"/>
      <c r="J70" s="1003"/>
      <c r="K70" s="1003"/>
      <c r="L70" s="1003"/>
      <c r="M70" s="1003"/>
      <c r="N70" s="1003"/>
      <c r="O70" s="1003"/>
      <c r="P70" s="1003"/>
      <c r="Q70" s="1003"/>
      <c r="R70" s="1003"/>
      <c r="S70" s="1003"/>
      <c r="T70" s="1003"/>
      <c r="U70" s="1003"/>
      <c r="V70" s="1003"/>
      <c r="W70" s="1003"/>
      <c r="X70" s="1003"/>
      <c r="Y70" s="1003"/>
      <c r="Z70" s="1003"/>
      <c r="AA70" s="1003"/>
      <c r="AB70" s="1003"/>
      <c r="AC70" s="1003"/>
      <c r="AD70" s="1003"/>
      <c r="AE70" s="1003"/>
    </row>
    <row r="71" spans="1:58" ht="15" customHeight="1">
      <c r="A71" s="108"/>
      <c r="B71" s="681"/>
      <c r="C71" s="681"/>
      <c r="D71" s="681"/>
      <c r="E71" s="681"/>
      <c r="F71" s="681"/>
      <c r="G71" s="681"/>
      <c r="H71" s="681"/>
      <c r="I71" s="681"/>
      <c r="J71" s="681"/>
      <c r="K71" s="681"/>
      <c r="L71" s="681"/>
      <c r="M71" s="681"/>
      <c r="N71" s="681"/>
      <c r="O71" s="681"/>
      <c r="P71" s="681"/>
      <c r="Q71" s="681"/>
      <c r="R71" s="681"/>
      <c r="S71" s="681"/>
      <c r="T71" s="681"/>
      <c r="U71" s="681"/>
      <c r="V71" s="681"/>
      <c r="W71" s="681"/>
      <c r="X71" s="681"/>
      <c r="Y71" s="681"/>
      <c r="Z71" s="681"/>
      <c r="AA71" s="681"/>
      <c r="AB71" s="681"/>
      <c r="AC71" s="681"/>
      <c r="AD71" s="681"/>
      <c r="AE71" s="681"/>
    </row>
    <row r="72" spans="1:58" ht="15" customHeight="1">
      <c r="A72" s="108"/>
      <c r="B72" s="57"/>
      <c r="C72" s="57"/>
      <c r="D72" s="57"/>
      <c r="E72" s="57"/>
      <c r="F72" s="57"/>
      <c r="G72" s="57"/>
      <c r="H72" s="57"/>
      <c r="I72" s="57"/>
      <c r="J72" s="57"/>
      <c r="K72" s="57"/>
      <c r="L72" s="57"/>
      <c r="M72" s="57"/>
      <c r="N72" s="57"/>
      <c r="O72" s="57"/>
      <c r="P72" s="57"/>
      <c r="Q72" s="57"/>
      <c r="R72" s="57"/>
      <c r="S72" s="57"/>
      <c r="T72" s="57"/>
      <c r="U72" s="57"/>
      <c r="V72" s="57"/>
      <c r="W72" s="57"/>
      <c r="X72" s="57"/>
      <c r="Y72" s="57"/>
      <c r="Z72" s="57"/>
      <c r="AA72" s="57"/>
      <c r="AB72" s="57"/>
      <c r="AC72" s="57"/>
      <c r="AD72" s="57"/>
      <c r="AE72"/>
    </row>
    <row r="73" spans="1:58" ht="24" customHeight="1">
      <c r="A73" s="108" t="s">
        <v>5469</v>
      </c>
      <c r="B73" s="829" t="s">
        <v>5470</v>
      </c>
      <c r="C73" s="829"/>
      <c r="D73" s="829"/>
      <c r="E73" s="829"/>
      <c r="F73" s="829"/>
      <c r="G73" s="829"/>
      <c r="H73" s="829"/>
      <c r="I73" s="829"/>
      <c r="J73" s="829"/>
      <c r="K73" s="829"/>
      <c r="L73" s="829"/>
      <c r="M73" s="829"/>
      <c r="N73" s="829"/>
      <c r="O73" s="829"/>
      <c r="P73" s="829"/>
      <c r="Q73" s="829"/>
      <c r="R73" s="829"/>
      <c r="S73" s="829"/>
      <c r="T73" s="829"/>
      <c r="U73" s="829"/>
      <c r="V73" s="829"/>
      <c r="W73" s="829"/>
      <c r="X73" s="829"/>
      <c r="Y73" s="829"/>
      <c r="Z73" s="829"/>
      <c r="AA73" s="829"/>
      <c r="AB73" s="829"/>
      <c r="AC73" s="829"/>
      <c r="AD73" s="829"/>
    </row>
    <row r="74" spans="1:58" ht="24" customHeight="1">
      <c r="A74" s="49"/>
      <c r="B74" s="105"/>
      <c r="C74" s="830" t="s">
        <v>5471</v>
      </c>
      <c r="D74" s="830"/>
      <c r="E74" s="830"/>
      <c r="F74" s="830"/>
      <c r="G74" s="830"/>
      <c r="H74" s="830"/>
      <c r="I74" s="830"/>
      <c r="J74" s="830"/>
      <c r="K74" s="830"/>
      <c r="L74" s="830"/>
      <c r="M74" s="830"/>
      <c r="N74" s="830"/>
      <c r="O74" s="830"/>
      <c r="P74" s="830"/>
      <c r="Q74" s="830"/>
      <c r="R74" s="830"/>
      <c r="S74" s="830"/>
      <c r="T74" s="830"/>
      <c r="U74" s="830"/>
      <c r="V74" s="830"/>
      <c r="W74" s="830"/>
      <c r="X74" s="830"/>
      <c r="Y74" s="830"/>
      <c r="Z74" s="830"/>
      <c r="AA74" s="830"/>
      <c r="AB74" s="830"/>
      <c r="AC74" s="830"/>
      <c r="AD74" s="830"/>
    </row>
    <row r="75" spans="1:58" ht="24" customHeight="1">
      <c r="A75" s="108"/>
      <c r="B75" s="105"/>
      <c r="C75" s="754" t="s">
        <v>5472</v>
      </c>
      <c r="D75" s="754"/>
      <c r="E75" s="754"/>
      <c r="F75" s="754"/>
      <c r="G75" s="754"/>
      <c r="H75" s="754"/>
      <c r="I75" s="754"/>
      <c r="J75" s="754"/>
      <c r="K75" s="754"/>
      <c r="L75" s="754"/>
      <c r="M75" s="754"/>
      <c r="N75" s="754"/>
      <c r="O75" s="754"/>
      <c r="P75" s="754"/>
      <c r="Q75" s="754"/>
      <c r="R75" s="754"/>
      <c r="S75" s="754"/>
      <c r="T75" s="754"/>
      <c r="U75" s="754"/>
      <c r="V75" s="754"/>
      <c r="W75" s="754"/>
      <c r="X75" s="754"/>
      <c r="Y75" s="754"/>
      <c r="Z75" s="754"/>
      <c r="AA75" s="754"/>
      <c r="AB75" s="754"/>
      <c r="AC75" s="754"/>
      <c r="AD75" s="754"/>
    </row>
    <row r="76" spans="1:58" ht="24" customHeight="1">
      <c r="A76" s="108"/>
      <c r="B76" s="38"/>
      <c r="C76" s="830" t="s">
        <v>5473</v>
      </c>
      <c r="D76" s="830"/>
      <c r="E76" s="830"/>
      <c r="F76" s="830"/>
      <c r="G76" s="830"/>
      <c r="H76" s="830"/>
      <c r="I76" s="830"/>
      <c r="J76" s="830"/>
      <c r="K76" s="830"/>
      <c r="L76" s="830"/>
      <c r="M76" s="830"/>
      <c r="N76" s="830"/>
      <c r="O76" s="830"/>
      <c r="P76" s="830"/>
      <c r="Q76" s="830"/>
      <c r="R76" s="830"/>
      <c r="S76" s="830"/>
      <c r="T76" s="830"/>
      <c r="U76" s="830"/>
      <c r="V76" s="830"/>
      <c r="W76" s="830"/>
      <c r="X76" s="830"/>
      <c r="Y76" s="830"/>
      <c r="Z76" s="830"/>
      <c r="AA76" s="830"/>
      <c r="AB76" s="830"/>
      <c r="AC76" s="830"/>
      <c r="AD76" s="830"/>
    </row>
    <row r="77" spans="1:58" ht="15" customHeight="1">
      <c r="A77" s="108"/>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row>
    <row r="78" spans="1:58" ht="24" customHeight="1">
      <c r="A78" s="108"/>
      <c r="B78" s="38"/>
      <c r="C78" s="797" t="s">
        <v>2581</v>
      </c>
      <c r="D78" s="798"/>
      <c r="E78" s="798"/>
      <c r="F78" s="798"/>
      <c r="G78" s="798"/>
      <c r="H78" s="798"/>
      <c r="I78" s="799"/>
      <c r="J78" s="739" t="s">
        <v>5474</v>
      </c>
      <c r="K78" s="740"/>
      <c r="L78" s="740"/>
      <c r="M78" s="740"/>
      <c r="N78" s="740"/>
      <c r="O78" s="740"/>
      <c r="P78" s="740"/>
      <c r="Q78" s="740"/>
      <c r="R78" s="740"/>
      <c r="S78" s="740"/>
      <c r="T78" s="740"/>
      <c r="U78" s="740"/>
      <c r="V78" s="740"/>
      <c r="W78" s="740"/>
      <c r="X78" s="740"/>
      <c r="Y78" s="740"/>
      <c r="Z78" s="740"/>
      <c r="AA78" s="740"/>
      <c r="AB78" s="740"/>
      <c r="AC78" s="740"/>
      <c r="AD78" s="741"/>
    </row>
    <row r="79" spans="1:58" ht="24" customHeight="1">
      <c r="A79" s="108"/>
      <c r="B79" s="38"/>
      <c r="C79" s="800"/>
      <c r="D79" s="801"/>
      <c r="E79" s="801"/>
      <c r="F79" s="801"/>
      <c r="G79" s="801"/>
      <c r="H79" s="801"/>
      <c r="I79" s="802"/>
      <c r="J79" s="887" t="s">
        <v>2628</v>
      </c>
      <c r="K79" s="889" t="s">
        <v>2629</v>
      </c>
      <c r="L79" s="889" t="s">
        <v>2630</v>
      </c>
      <c r="M79" s="733" t="s">
        <v>5475</v>
      </c>
      <c r="N79" s="734"/>
      <c r="O79" s="735"/>
      <c r="P79" s="733" t="s">
        <v>5476</v>
      </c>
      <c r="Q79" s="734"/>
      <c r="R79" s="735"/>
      <c r="S79" s="733" t="s">
        <v>5477</v>
      </c>
      <c r="T79" s="734"/>
      <c r="U79" s="735"/>
      <c r="V79" s="733" t="s">
        <v>5478</v>
      </c>
      <c r="W79" s="734"/>
      <c r="X79" s="735"/>
      <c r="Y79" s="733" t="s">
        <v>5479</v>
      </c>
      <c r="Z79" s="734"/>
      <c r="AA79" s="735"/>
      <c r="AB79" s="733" t="s">
        <v>5480</v>
      </c>
      <c r="AC79" s="734"/>
      <c r="AD79" s="735"/>
    </row>
    <row r="80" spans="1:58" ht="48" customHeight="1">
      <c r="A80" s="108"/>
      <c r="B80" s="38"/>
      <c r="C80" s="803"/>
      <c r="D80" s="804"/>
      <c r="E80" s="804"/>
      <c r="F80" s="804"/>
      <c r="G80" s="804"/>
      <c r="H80" s="804"/>
      <c r="I80" s="805"/>
      <c r="J80" s="888"/>
      <c r="K80" s="890"/>
      <c r="L80" s="890"/>
      <c r="M80" s="127" t="s">
        <v>2635</v>
      </c>
      <c r="N80" s="128" t="s">
        <v>2629</v>
      </c>
      <c r="O80" s="128" t="s">
        <v>2630</v>
      </c>
      <c r="P80" s="127" t="s">
        <v>2635</v>
      </c>
      <c r="Q80" s="128" t="s">
        <v>2629</v>
      </c>
      <c r="R80" s="128" t="s">
        <v>2630</v>
      </c>
      <c r="S80" s="127" t="s">
        <v>2635</v>
      </c>
      <c r="T80" s="128" t="s">
        <v>2629</v>
      </c>
      <c r="U80" s="128" t="s">
        <v>2630</v>
      </c>
      <c r="V80" s="127" t="s">
        <v>2635</v>
      </c>
      <c r="W80" s="128" t="s">
        <v>2629</v>
      </c>
      <c r="X80" s="128" t="s">
        <v>2630</v>
      </c>
      <c r="Y80" s="127" t="s">
        <v>2635</v>
      </c>
      <c r="Z80" s="128" t="s">
        <v>2629</v>
      </c>
      <c r="AA80" s="128" t="s">
        <v>2630</v>
      </c>
      <c r="AB80" s="127" t="s">
        <v>2635</v>
      </c>
      <c r="AC80" s="128" t="s">
        <v>2629</v>
      </c>
      <c r="AD80" s="128" t="s">
        <v>2630</v>
      </c>
      <c r="AF80" t="s">
        <v>2586</v>
      </c>
      <c r="AG80" t="s">
        <v>4581</v>
      </c>
      <c r="AH80" t="s">
        <v>5290</v>
      </c>
      <c r="AI80"/>
      <c r="AJ80"/>
      <c r="AK80" t="s">
        <v>4573</v>
      </c>
      <c r="AL80" t="s">
        <v>2638</v>
      </c>
      <c r="AM80" t="s">
        <v>2639</v>
      </c>
      <c r="AN80" t="s">
        <v>4574</v>
      </c>
      <c r="AO80" t="s">
        <v>2641</v>
      </c>
      <c r="AP80" t="s">
        <v>2642</v>
      </c>
      <c r="AQ80" t="s">
        <v>4575</v>
      </c>
      <c r="AR80" t="s">
        <v>2644</v>
      </c>
      <c r="AS80" t="s">
        <v>2645</v>
      </c>
      <c r="AT80" t="s">
        <v>4576</v>
      </c>
      <c r="AU80" t="s">
        <v>2647</v>
      </c>
      <c r="AV80" t="s">
        <v>2648</v>
      </c>
      <c r="AW80" t="s">
        <v>5177</v>
      </c>
      <c r="AX80" t="s">
        <v>2757</v>
      </c>
      <c r="AY80" t="s">
        <v>2758</v>
      </c>
      <c r="AZ80" t="s">
        <v>5194</v>
      </c>
      <c r="BA80" t="s">
        <v>2760</v>
      </c>
      <c r="BB80" t="s">
        <v>2761</v>
      </c>
      <c r="BC80" t="s">
        <v>5195</v>
      </c>
      <c r="BD80" t="s">
        <v>2763</v>
      </c>
      <c r="BE80" t="s">
        <v>2764</v>
      </c>
      <c r="BF80" t="s">
        <v>5291</v>
      </c>
    </row>
    <row r="81" spans="1:58" ht="15" customHeight="1">
      <c r="A81" s="108"/>
      <c r="B81" s="38"/>
      <c r="C81" s="92" t="s">
        <v>2516</v>
      </c>
      <c r="D81" s="813" t="str">
        <f>IF(CNSIPEE_2024_M2_Secc1!D42="","",CNSIPEE_2024_M2_Secc1!D42)</f>
        <v/>
      </c>
      <c r="E81" s="814"/>
      <c r="F81" s="814"/>
      <c r="G81" s="814"/>
      <c r="H81" s="814"/>
      <c r="I81" s="815"/>
      <c r="J81" s="116"/>
      <c r="K81" s="100"/>
      <c r="L81" s="100"/>
      <c r="M81" s="100"/>
      <c r="N81" s="100"/>
      <c r="O81" s="100"/>
      <c r="P81" s="100"/>
      <c r="Q81" s="100"/>
      <c r="R81" s="100"/>
      <c r="S81" s="100"/>
      <c r="T81" s="100"/>
      <c r="U81" s="100"/>
      <c r="V81" s="100"/>
      <c r="W81" s="100"/>
      <c r="X81" s="100"/>
      <c r="Y81" s="100"/>
      <c r="Z81" s="100"/>
      <c r="AA81" s="100"/>
      <c r="AB81" s="100"/>
      <c r="AC81" s="100"/>
      <c r="AD81" s="100"/>
      <c r="AF81">
        <f>IF(OR($Y55=0,$Y55="NS",$Y55="NA"),0,IF(OR(COUNTBLANK(D81:AD81)=5,COUNTBLANK(D81:AD81)=27),0,1))</f>
        <v>0</v>
      </c>
      <c r="AG81">
        <f>IF(OR($Y55=0,$Y55="NS",$Y55="NA"),IF(COUNTBLANK(J81:AD81)=21,0,1),0)</f>
        <v>0</v>
      </c>
      <c r="AH81" cm="1">
        <f t="array" ref="AH81">IF(OR($Y55=0,$Y55="NS",$Y55="NA"),0,IF(OR(J81={"NS","NA"},CNSIPEE_2024_M2_Secc8!$Y401={"NS","NA"}),0,IF(J81&lt;=CNSIPEE_2024_M2_Secc8!$Y401,0,1)))</f>
        <v>0</v>
      </c>
      <c r="AI81" cm="1">
        <f t="array" ref="AI81">IF(OR($Y55=0,$Y55="NS",$Y55="NA"),0,IF(OR(K81={"NS","NA"},CNSIPEE_2024_M2_Secc8!$Z401={"NS","NA"}),0,IF(K81&lt;=CNSIPEE_2024_M2_Secc8!$Z401,0,1)))</f>
        <v>0</v>
      </c>
      <c r="AJ81" cm="1">
        <f t="array" ref="AJ81">IF(OR($Y55=0,$Y55="NS",$Y55="NA"),0,IF(OR(L81={"NS","NA"},CNSIPEE_2024_M2_Secc8!$AA401={"NS","NA"}),0,IF(L81&lt;=CNSIPEE_2024_M2_Secc8!$AA401,0,1)))</f>
        <v>0</v>
      </c>
      <c r="AK81">
        <f t="shared" ref="AK81:AK88" si="3">COUNTIF(K81:L81,"NS")</f>
        <v>0</v>
      </c>
      <c r="AL81">
        <f t="shared" ref="AL81:AL88" si="4">SUM(K81:L81)</f>
        <v>0</v>
      </c>
      <c r="AM81">
        <f>IF(COUNTIF(J81:L81,"NA")=3,0,IF(COUNTA(J81:L81)=0,0,IF(OR(AND(J81=0,AK81&gt;0),AND(J81="ns",AL81&gt;0),AND(J81="ns",AK81=0,AL81=0)),1,IF(OR(AND(J81&gt;0,AK81=2),AND(J81="ns",AK81=2),AND(J81="ns",AL81=0,AK81&gt;0),J81=AL81),0,1))))</f>
        <v>0</v>
      </c>
      <c r="AN81">
        <f t="shared" ref="AN81:AN88" si="5">COUNTIF(N81:O81,"NS")</f>
        <v>0</v>
      </c>
      <c r="AO81">
        <f t="shared" ref="AO81:AO88" si="6">SUM(N81:O81)</f>
        <v>0</v>
      </c>
      <c r="AP81">
        <f t="shared" ref="AP81:AP88" si="7">IF(COUNTIF(M81:O81,"NA")=3,0,IF(COUNTA(M81:O81)=0,0,IF(OR(AND(M81=0,AN81&gt;0),AND(M81="ns",AO81&gt;0),AND(M81="ns",AN81=0,AO81=0)),1,IF(OR(AND(M81&gt;0,AN81=2),AND(M81="ns",AN81=2),AND(M81="ns",AO81=0,AN81&gt;0),M81=AO81),0,1))))</f>
        <v>0</v>
      </c>
      <c r="AQ81">
        <f t="shared" ref="AQ81:AQ88" si="8">COUNTIF(Q81:R81,"NS")</f>
        <v>0</v>
      </c>
      <c r="AR81">
        <f t="shared" ref="AR81:AR88" si="9">SUM(Q81:R81)</f>
        <v>0</v>
      </c>
      <c r="AS81">
        <f t="shared" ref="AS81:AS88" si="10">IF(COUNTIF(P81:R81,"NA")=3,0,IF(COUNTA(P81:R81)=0,0,IF(OR(AND(P81=0,AQ81&gt;0),AND(P81="ns",AR81&gt;0),AND(P81="ns",AQ81=0,AR81=0)),1,IF(OR(AND(P81&gt;0,AQ81=2),AND(P81="ns",AQ81=2),AND(P81="ns",AR81=0,AQ81&gt;0),P81=AR81),0,1))))</f>
        <v>0</v>
      </c>
      <c r="AT81">
        <f t="shared" ref="AT81:AT88" si="11">COUNTIF(T81:U81,"NS")</f>
        <v>0</v>
      </c>
      <c r="AU81">
        <f t="shared" ref="AU81:AU88" si="12">SUM(T81:U81)</f>
        <v>0</v>
      </c>
      <c r="AV81">
        <f t="shared" ref="AV81:AV88" si="13">IF(COUNTIF(S81:U81,"NA")=3,0,IF(COUNTA(S81:U81)=0,0,IF(OR(AND(S81=0,AT81&gt;0),AND(S81="ns",AU81&gt;0),AND(S81="ns",AT81=0,AU81=0)),1,IF(OR(AND(S81&gt;0,AT81=2),AND(S81="ns",AT81=2),AND(S81="ns",AU81=0,AT81&gt;0),S81=AU81),0,1))))</f>
        <v>0</v>
      </c>
      <c r="AW81">
        <f t="shared" ref="AW81:AW88" si="14">COUNTIF(W81:X81,"NS")</f>
        <v>0</v>
      </c>
      <c r="AX81">
        <f t="shared" ref="AX81:AX88" si="15">SUM(W81:X81)</f>
        <v>0</v>
      </c>
      <c r="AY81">
        <f t="shared" ref="AY81:AY88" si="16">IF(COUNTIF(V81:X81,"NA")=3,0,IF(COUNTA(V81:X81)=0,0,IF(OR(AND(V81=0,AW81&gt;0),AND(V81="ns",AX81&gt;0),AND(V81="ns",AW81=0,AX81=0)),1,IF(OR(AND(V81&gt;0,AW81=2),AND(V81="ns",AW81=2),AND(V81="ns",AX81=0,AW81&gt;0),V81=AX81),0,1))))</f>
        <v>0</v>
      </c>
      <c r="AZ81">
        <f t="shared" ref="AZ81:AZ88" si="17">COUNTIF(Z81:AA81,"NS")</f>
        <v>0</v>
      </c>
      <c r="BA81">
        <f t="shared" ref="BA81:BA88" si="18">SUM(Z81:AA81)</f>
        <v>0</v>
      </c>
      <c r="BB81">
        <f t="shared" ref="BB81:BB88" si="19">IF(COUNTIF(Y81:AA81,"NA")=3,0,IF(COUNTA(Y81:AA81)=0,0,IF(OR(AND(Y81=0,AZ81&gt;0),AND(Y81="ns",BA81&gt;0),AND(Y81="ns",AZ81=0,BA81=0)),1,IF(OR(AND(Y81&gt;0,AZ81=2),AND(Y81="ns",AZ81=2),AND(Y81="ns",BA81=0,AZ81&gt;0),Y81=BA81),0,1))))</f>
        <v>0</v>
      </c>
      <c r="BC81">
        <f t="shared" ref="BC81:BC88" si="20">COUNTIF(AC81:AD81,"NS")</f>
        <v>0</v>
      </c>
      <c r="BD81">
        <f t="shared" ref="BD81:BD88" si="21">SUM(AC81:AD81)</f>
        <v>0</v>
      </c>
      <c r="BE81">
        <f t="shared" ref="BE81:BE88" si="22">IF(COUNTIF(AB81:AD81,"NA")=3,0,IF(COUNTA(AB81:AD81)=0,0,IF(OR(AND(AB81=0,BC81&gt;0),AND(AB81="ns",BD81&gt;0),AND(AB81="ns",BC81=0,BD81=0)),1,IF(OR(AND(AB81&gt;0,BC81=2),AND(AB81="ns",BC81=2),AND(AB81="ns",BD81=0,BC81&gt;0),AB81=BD81),0,1))))</f>
        <v>0</v>
      </c>
      <c r="BF81" cm="1">
        <f t="array" ref="BF81">IF(OR($Y55=0,$Y55="NS",$Y55="NA"),0,IF(OR(J81={"NS","NA"},Y55={"NS","NA"}),0,IF(J81&gt;=Y55,0,1)))</f>
        <v>0</v>
      </c>
    </row>
    <row r="82" spans="1:58" ht="15" customHeight="1">
      <c r="A82" s="108"/>
      <c r="B82" s="38"/>
      <c r="C82" s="44" t="s">
        <v>2517</v>
      </c>
      <c r="D82" s="813" t="str">
        <f>IF(CNSIPEE_2024_M2_Secc1!D43="","",CNSIPEE_2024_M2_Secc1!D43)</f>
        <v/>
      </c>
      <c r="E82" s="814"/>
      <c r="F82" s="814"/>
      <c r="G82" s="814"/>
      <c r="H82" s="814"/>
      <c r="I82" s="815"/>
      <c r="J82" s="116"/>
      <c r="K82" s="100"/>
      <c r="L82" s="100"/>
      <c r="M82" s="100"/>
      <c r="N82" s="100"/>
      <c r="O82" s="100"/>
      <c r="P82" s="100"/>
      <c r="Q82" s="100"/>
      <c r="R82" s="100"/>
      <c r="S82" s="100"/>
      <c r="T82" s="100"/>
      <c r="U82" s="100"/>
      <c r="V82" s="100"/>
      <c r="W82" s="100"/>
      <c r="X82" s="100"/>
      <c r="Y82" s="100"/>
      <c r="Z82" s="100"/>
      <c r="AA82" s="100"/>
      <c r="AB82" s="100"/>
      <c r="AC82" s="100"/>
      <c r="AD82" s="100"/>
      <c r="AF82">
        <f t="shared" ref="AF82:AF88" si="23">IF(OR($Y56=0,$Y56="NS",$Y56="NA"),0,IF(OR(COUNTBLANK(D82:AD82)=5,COUNTBLANK(D82:AD82)=27),0,1))</f>
        <v>0</v>
      </c>
      <c r="AG82">
        <f t="shared" ref="AG82:AG88" si="24">IF(OR($Y56=0,$Y56="NS",$Y56="NA"),IF(COUNTBLANK(J82:AD82)=21,0,1),0)</f>
        <v>0</v>
      </c>
      <c r="AH82" cm="1">
        <f t="array" ref="AH82">IF(OR($Y56=0,$Y56="NS",$Y56="NA"),0,IF(OR(J82={"NS","NA"},CNSIPEE_2024_M2_Secc8!$Y402={"NS","NA"}),0,IF(J82&lt;=CNSIPEE_2024_M2_Secc8!$Y402,0,1)))</f>
        <v>0</v>
      </c>
      <c r="AI82" cm="1">
        <f t="array" ref="AI82">IF(OR($Y56=0,$Y56="NS",$Y56="NA"),0,IF(OR(K82={"NS","NA"},CNSIPEE_2024_M2_Secc8!$Z402={"NS","NA"}),0,IF(K82&lt;=CNSIPEE_2024_M2_Secc8!$Z402,0,1)))</f>
        <v>0</v>
      </c>
      <c r="AJ82" cm="1">
        <f t="array" ref="AJ82">IF(OR($Y56=0,$Y56="NS",$Y56="NA"),0,IF(OR(L82={"NS","NA"},CNSIPEE_2024_M2_Secc8!$AA402={"NS","NA"}),0,IF(L82&lt;=CNSIPEE_2024_M2_Secc8!$AA402,0,1)))</f>
        <v>0</v>
      </c>
      <c r="AK82">
        <f t="shared" si="3"/>
        <v>0</v>
      </c>
      <c r="AL82">
        <f t="shared" si="4"/>
        <v>0</v>
      </c>
      <c r="AM82">
        <f t="shared" ref="AM82:AM88" si="25">IF(COUNTIF(J82:L82,"NA")=3,0,IF(COUNTA(J82:L82)=0,0,IF(OR(AND(J82=0,AK82&gt;0),AND(J82="ns",AL82&gt;0),AND(J82="ns",AK82=0,AL82=0)),1,IF(OR(AND(J82&gt;0,AK82=2),AND(J82="ns",AK82=2),AND(J82="ns",AL82=0,AK82&gt;0),J82=AL82),0,1))))</f>
        <v>0</v>
      </c>
      <c r="AN82">
        <f t="shared" si="5"/>
        <v>0</v>
      </c>
      <c r="AO82">
        <f t="shared" si="6"/>
        <v>0</v>
      </c>
      <c r="AP82">
        <f t="shared" si="7"/>
        <v>0</v>
      </c>
      <c r="AQ82">
        <f t="shared" si="8"/>
        <v>0</v>
      </c>
      <c r="AR82">
        <f t="shared" si="9"/>
        <v>0</v>
      </c>
      <c r="AS82">
        <f t="shared" si="10"/>
        <v>0</v>
      </c>
      <c r="AT82">
        <f t="shared" si="11"/>
        <v>0</v>
      </c>
      <c r="AU82">
        <f t="shared" si="12"/>
        <v>0</v>
      </c>
      <c r="AV82">
        <f t="shared" si="13"/>
        <v>0</v>
      </c>
      <c r="AW82">
        <f t="shared" si="14"/>
        <v>0</v>
      </c>
      <c r="AX82">
        <f t="shared" si="15"/>
        <v>0</v>
      </c>
      <c r="AY82">
        <f t="shared" si="16"/>
        <v>0</v>
      </c>
      <c r="AZ82">
        <f t="shared" si="17"/>
        <v>0</v>
      </c>
      <c r="BA82">
        <f t="shared" si="18"/>
        <v>0</v>
      </c>
      <c r="BB82">
        <f t="shared" si="19"/>
        <v>0</v>
      </c>
      <c r="BC82">
        <f t="shared" si="20"/>
        <v>0</v>
      </c>
      <c r="BD82">
        <f t="shared" si="21"/>
        <v>0</v>
      </c>
      <c r="BE82">
        <f t="shared" si="22"/>
        <v>0</v>
      </c>
      <c r="BF82" cm="1">
        <f t="array" ref="BF82">IF(OR($Y56=0,$Y56="NS",$Y56="NA"),0,IF(OR(J82={"NS","NA"},Y56={"NS","NA"}),0,IF(J82&gt;=Y56,0,1)))</f>
        <v>0</v>
      </c>
    </row>
    <row r="83" spans="1:58" ht="15" customHeight="1">
      <c r="A83" s="108"/>
      <c r="B83" s="38"/>
      <c r="C83" s="44" t="s">
        <v>2518</v>
      </c>
      <c r="D83" s="813" t="str">
        <f>IF(CNSIPEE_2024_M2_Secc1!D44="","",CNSIPEE_2024_M2_Secc1!D44)</f>
        <v/>
      </c>
      <c r="E83" s="814"/>
      <c r="F83" s="814"/>
      <c r="G83" s="814"/>
      <c r="H83" s="814"/>
      <c r="I83" s="815"/>
      <c r="J83" s="116"/>
      <c r="K83" s="100"/>
      <c r="L83" s="100"/>
      <c r="M83" s="100"/>
      <c r="N83" s="100"/>
      <c r="O83" s="100"/>
      <c r="P83" s="100"/>
      <c r="Q83" s="100"/>
      <c r="R83" s="100"/>
      <c r="S83" s="100"/>
      <c r="T83" s="100"/>
      <c r="U83" s="100"/>
      <c r="V83" s="100"/>
      <c r="W83" s="100"/>
      <c r="X83" s="100"/>
      <c r="Y83" s="100"/>
      <c r="Z83" s="100"/>
      <c r="AA83" s="100"/>
      <c r="AB83" s="100"/>
      <c r="AC83" s="100"/>
      <c r="AD83" s="100"/>
      <c r="AF83">
        <f t="shared" si="23"/>
        <v>0</v>
      </c>
      <c r="AG83">
        <f t="shared" si="24"/>
        <v>0</v>
      </c>
      <c r="AH83" cm="1">
        <f t="array" ref="AH83">IF(OR($Y57=0,$Y57="NS",$Y57="NA"),0,IF(OR(J83={"NS","NA"},CNSIPEE_2024_M2_Secc8!$Y403={"NS","NA"}),0,IF(J83&lt;=CNSIPEE_2024_M2_Secc8!$Y403,0,1)))</f>
        <v>0</v>
      </c>
      <c r="AI83" cm="1">
        <f t="array" ref="AI83">IF(OR($Y57=0,$Y57="NS",$Y57="NA"),0,IF(OR(K83={"NS","NA"},CNSIPEE_2024_M2_Secc8!$Z403={"NS","NA"}),0,IF(K83&lt;=CNSIPEE_2024_M2_Secc8!$Z403,0,1)))</f>
        <v>0</v>
      </c>
      <c r="AJ83" cm="1">
        <f t="array" ref="AJ83">IF(OR($Y57=0,$Y57="NS",$Y57="NA"),0,IF(OR(L83={"NS","NA"},CNSIPEE_2024_M2_Secc8!$AA403={"NS","NA"}),0,IF(L83&lt;=CNSIPEE_2024_M2_Secc8!$AA403,0,1)))</f>
        <v>0</v>
      </c>
      <c r="AK83">
        <f t="shared" si="3"/>
        <v>0</v>
      </c>
      <c r="AL83">
        <f t="shared" si="4"/>
        <v>0</v>
      </c>
      <c r="AM83">
        <f t="shared" si="25"/>
        <v>0</v>
      </c>
      <c r="AN83">
        <f t="shared" si="5"/>
        <v>0</v>
      </c>
      <c r="AO83">
        <f t="shared" si="6"/>
        <v>0</v>
      </c>
      <c r="AP83">
        <f t="shared" si="7"/>
        <v>0</v>
      </c>
      <c r="AQ83">
        <f t="shared" si="8"/>
        <v>0</v>
      </c>
      <c r="AR83">
        <f t="shared" si="9"/>
        <v>0</v>
      </c>
      <c r="AS83">
        <f t="shared" si="10"/>
        <v>0</v>
      </c>
      <c r="AT83">
        <f t="shared" si="11"/>
        <v>0</v>
      </c>
      <c r="AU83">
        <f t="shared" si="12"/>
        <v>0</v>
      </c>
      <c r="AV83">
        <f t="shared" si="13"/>
        <v>0</v>
      </c>
      <c r="AW83">
        <f t="shared" si="14"/>
        <v>0</v>
      </c>
      <c r="AX83">
        <f t="shared" si="15"/>
        <v>0</v>
      </c>
      <c r="AY83">
        <f t="shared" si="16"/>
        <v>0</v>
      </c>
      <c r="AZ83">
        <f t="shared" si="17"/>
        <v>0</v>
      </c>
      <c r="BA83">
        <f t="shared" si="18"/>
        <v>0</v>
      </c>
      <c r="BB83">
        <f t="shared" si="19"/>
        <v>0</v>
      </c>
      <c r="BC83">
        <f t="shared" si="20"/>
        <v>0</v>
      </c>
      <c r="BD83">
        <f t="shared" si="21"/>
        <v>0</v>
      </c>
      <c r="BE83">
        <f t="shared" si="22"/>
        <v>0</v>
      </c>
      <c r="BF83" cm="1">
        <f t="array" ref="BF83">IF(OR($Y57=0,$Y57="NS",$Y57="NA"),0,IF(OR(J83={"NS","NA"},Y57={"NS","NA"}),0,IF(J83&gt;=Y57,0,1)))</f>
        <v>0</v>
      </c>
    </row>
    <row r="84" spans="1:58" ht="15" customHeight="1">
      <c r="A84" s="108"/>
      <c r="B84" s="38"/>
      <c r="C84" s="44" t="s">
        <v>2519</v>
      </c>
      <c r="D84" s="813" t="str">
        <f>IF(CNSIPEE_2024_M2_Secc1!D45="","",CNSIPEE_2024_M2_Secc1!D45)</f>
        <v/>
      </c>
      <c r="E84" s="814"/>
      <c r="F84" s="814"/>
      <c r="G84" s="814"/>
      <c r="H84" s="814"/>
      <c r="I84" s="815"/>
      <c r="J84" s="116"/>
      <c r="K84" s="100"/>
      <c r="L84" s="100"/>
      <c r="M84" s="100"/>
      <c r="N84" s="100"/>
      <c r="O84" s="100"/>
      <c r="P84" s="100"/>
      <c r="Q84" s="100"/>
      <c r="R84" s="100"/>
      <c r="S84" s="100"/>
      <c r="T84" s="100"/>
      <c r="U84" s="100"/>
      <c r="V84" s="100"/>
      <c r="W84" s="100"/>
      <c r="X84" s="100"/>
      <c r="Y84" s="100"/>
      <c r="Z84" s="100"/>
      <c r="AA84" s="100"/>
      <c r="AB84" s="100"/>
      <c r="AC84" s="100"/>
      <c r="AD84" s="100"/>
      <c r="AF84">
        <f t="shared" si="23"/>
        <v>0</v>
      </c>
      <c r="AG84">
        <f t="shared" si="24"/>
        <v>0</v>
      </c>
      <c r="AH84" cm="1">
        <f t="array" ref="AH84">IF(OR($Y58=0,$Y58="NS",$Y58="NA"),0,IF(OR(J84={"NS","NA"},CNSIPEE_2024_M2_Secc8!$Y404={"NS","NA"}),0,IF(J84&lt;=CNSIPEE_2024_M2_Secc8!$Y404,0,1)))</f>
        <v>0</v>
      </c>
      <c r="AI84" cm="1">
        <f t="array" ref="AI84">IF(OR($Y58=0,$Y58="NS",$Y58="NA"),0,IF(OR(K84={"NS","NA"},CNSIPEE_2024_M2_Secc8!$Z404={"NS","NA"}),0,IF(K84&lt;=CNSIPEE_2024_M2_Secc8!$Z404,0,1)))</f>
        <v>0</v>
      </c>
      <c r="AJ84" cm="1">
        <f t="array" ref="AJ84">IF(OR($Y58=0,$Y58="NS",$Y58="NA"),0,IF(OR(L84={"NS","NA"},CNSIPEE_2024_M2_Secc8!$AA404={"NS","NA"}),0,IF(L84&lt;=CNSIPEE_2024_M2_Secc8!$AA404,0,1)))</f>
        <v>0</v>
      </c>
      <c r="AK84">
        <f t="shared" si="3"/>
        <v>0</v>
      </c>
      <c r="AL84">
        <f t="shared" si="4"/>
        <v>0</v>
      </c>
      <c r="AM84">
        <f t="shared" si="25"/>
        <v>0</v>
      </c>
      <c r="AN84">
        <f t="shared" si="5"/>
        <v>0</v>
      </c>
      <c r="AO84">
        <f t="shared" si="6"/>
        <v>0</v>
      </c>
      <c r="AP84">
        <f t="shared" si="7"/>
        <v>0</v>
      </c>
      <c r="AQ84">
        <f t="shared" si="8"/>
        <v>0</v>
      </c>
      <c r="AR84">
        <f t="shared" si="9"/>
        <v>0</v>
      </c>
      <c r="AS84">
        <f t="shared" si="10"/>
        <v>0</v>
      </c>
      <c r="AT84">
        <f t="shared" si="11"/>
        <v>0</v>
      </c>
      <c r="AU84">
        <f t="shared" si="12"/>
        <v>0</v>
      </c>
      <c r="AV84">
        <f t="shared" si="13"/>
        <v>0</v>
      </c>
      <c r="AW84">
        <f t="shared" si="14"/>
        <v>0</v>
      </c>
      <c r="AX84">
        <f t="shared" si="15"/>
        <v>0</v>
      </c>
      <c r="AY84">
        <f t="shared" si="16"/>
        <v>0</v>
      </c>
      <c r="AZ84">
        <f t="shared" si="17"/>
        <v>0</v>
      </c>
      <c r="BA84">
        <f t="shared" si="18"/>
        <v>0</v>
      </c>
      <c r="BB84">
        <f t="shared" si="19"/>
        <v>0</v>
      </c>
      <c r="BC84">
        <f t="shared" si="20"/>
        <v>0</v>
      </c>
      <c r="BD84">
        <f t="shared" si="21"/>
        <v>0</v>
      </c>
      <c r="BE84">
        <f t="shared" si="22"/>
        <v>0</v>
      </c>
      <c r="BF84" cm="1">
        <f t="array" ref="BF84">IF(OR($Y58=0,$Y58="NS",$Y58="NA"),0,IF(OR(J84={"NS","NA"},Y58={"NS","NA"}),0,IF(J84&gt;=Y58,0,1)))</f>
        <v>0</v>
      </c>
    </row>
    <row r="85" spans="1:58" ht="15" customHeight="1">
      <c r="A85" s="108"/>
      <c r="B85" s="38"/>
      <c r="C85" s="44" t="s">
        <v>2520</v>
      </c>
      <c r="D85" s="813" t="str">
        <f>IF(CNSIPEE_2024_M2_Secc1!D46="","",CNSIPEE_2024_M2_Secc1!D46)</f>
        <v/>
      </c>
      <c r="E85" s="814"/>
      <c r="F85" s="814"/>
      <c r="G85" s="814"/>
      <c r="H85" s="814"/>
      <c r="I85" s="815"/>
      <c r="J85" s="116"/>
      <c r="K85" s="100"/>
      <c r="L85" s="100"/>
      <c r="M85" s="100"/>
      <c r="N85" s="100"/>
      <c r="O85" s="100"/>
      <c r="P85" s="100"/>
      <c r="Q85" s="100"/>
      <c r="R85" s="100"/>
      <c r="S85" s="100"/>
      <c r="T85" s="100"/>
      <c r="U85" s="100"/>
      <c r="V85" s="100"/>
      <c r="W85" s="100"/>
      <c r="X85" s="100"/>
      <c r="Y85" s="100"/>
      <c r="Z85" s="100"/>
      <c r="AA85" s="100"/>
      <c r="AB85" s="100"/>
      <c r="AC85" s="100"/>
      <c r="AD85" s="100"/>
      <c r="AF85">
        <f t="shared" si="23"/>
        <v>0</v>
      </c>
      <c r="AG85">
        <f t="shared" si="24"/>
        <v>0</v>
      </c>
      <c r="AH85" cm="1">
        <f t="array" ref="AH85">IF(OR($Y59=0,$Y59="NS",$Y59="NA"),0,IF(OR(J85={"NS","NA"},CNSIPEE_2024_M2_Secc8!$Y405={"NS","NA"}),0,IF(J85&lt;=CNSIPEE_2024_M2_Secc8!$Y405,0,1)))</f>
        <v>0</v>
      </c>
      <c r="AI85" cm="1">
        <f t="array" ref="AI85">IF(OR($Y59=0,$Y59="NS",$Y59="NA"),0,IF(OR(K85={"NS","NA"},CNSIPEE_2024_M2_Secc8!$Z405={"NS","NA"}),0,IF(K85&lt;=CNSIPEE_2024_M2_Secc8!$Z405,0,1)))</f>
        <v>0</v>
      </c>
      <c r="AJ85" cm="1">
        <f t="array" ref="AJ85">IF(OR($Y59=0,$Y59="NS",$Y59="NA"),0,IF(OR(L85={"NS","NA"},CNSIPEE_2024_M2_Secc8!$AA405={"NS","NA"}),0,IF(L85&lt;=CNSIPEE_2024_M2_Secc8!$AA405,0,1)))</f>
        <v>0</v>
      </c>
      <c r="AK85">
        <f t="shared" si="3"/>
        <v>0</v>
      </c>
      <c r="AL85">
        <f t="shared" si="4"/>
        <v>0</v>
      </c>
      <c r="AM85">
        <f t="shared" si="25"/>
        <v>0</v>
      </c>
      <c r="AN85">
        <f t="shared" si="5"/>
        <v>0</v>
      </c>
      <c r="AO85">
        <f t="shared" si="6"/>
        <v>0</v>
      </c>
      <c r="AP85">
        <f t="shared" si="7"/>
        <v>0</v>
      </c>
      <c r="AQ85">
        <f t="shared" si="8"/>
        <v>0</v>
      </c>
      <c r="AR85">
        <f t="shared" si="9"/>
        <v>0</v>
      </c>
      <c r="AS85">
        <f t="shared" si="10"/>
        <v>0</v>
      </c>
      <c r="AT85">
        <f t="shared" si="11"/>
        <v>0</v>
      </c>
      <c r="AU85">
        <f t="shared" si="12"/>
        <v>0</v>
      </c>
      <c r="AV85">
        <f t="shared" si="13"/>
        <v>0</v>
      </c>
      <c r="AW85">
        <f t="shared" si="14"/>
        <v>0</v>
      </c>
      <c r="AX85">
        <f t="shared" si="15"/>
        <v>0</v>
      </c>
      <c r="AY85">
        <f t="shared" si="16"/>
        <v>0</v>
      </c>
      <c r="AZ85">
        <f t="shared" si="17"/>
        <v>0</v>
      </c>
      <c r="BA85">
        <f t="shared" si="18"/>
        <v>0</v>
      </c>
      <c r="BB85">
        <f t="shared" si="19"/>
        <v>0</v>
      </c>
      <c r="BC85">
        <f t="shared" si="20"/>
        <v>0</v>
      </c>
      <c r="BD85">
        <f t="shared" si="21"/>
        <v>0</v>
      </c>
      <c r="BE85">
        <f t="shared" si="22"/>
        <v>0</v>
      </c>
      <c r="BF85" cm="1">
        <f t="array" ref="BF85">IF(OR($Y59=0,$Y59="NS",$Y59="NA"),0,IF(OR(J85={"NS","NA"},Y59={"NS","NA"}),0,IF(J85&gt;=Y59,0,1)))</f>
        <v>0</v>
      </c>
    </row>
    <row r="86" spans="1:58" ht="15" customHeight="1">
      <c r="A86" s="108"/>
      <c r="B86" s="38"/>
      <c r="C86" s="44" t="s">
        <v>2521</v>
      </c>
      <c r="D86" s="813" t="str">
        <f>IF(CNSIPEE_2024_M2_Secc1!D47="","",CNSIPEE_2024_M2_Secc1!D47)</f>
        <v/>
      </c>
      <c r="E86" s="814"/>
      <c r="F86" s="814"/>
      <c r="G86" s="814"/>
      <c r="H86" s="814"/>
      <c r="I86" s="815"/>
      <c r="J86" s="116"/>
      <c r="K86" s="100"/>
      <c r="L86" s="100"/>
      <c r="M86" s="100"/>
      <c r="N86" s="100"/>
      <c r="O86" s="100"/>
      <c r="P86" s="100"/>
      <c r="Q86" s="100"/>
      <c r="R86" s="100"/>
      <c r="S86" s="100"/>
      <c r="T86" s="100"/>
      <c r="U86" s="100"/>
      <c r="V86" s="100"/>
      <c r="W86" s="100"/>
      <c r="X86" s="100"/>
      <c r="Y86" s="100"/>
      <c r="Z86" s="100"/>
      <c r="AA86" s="100"/>
      <c r="AB86" s="100"/>
      <c r="AC86" s="100"/>
      <c r="AD86" s="100"/>
      <c r="AF86">
        <f t="shared" si="23"/>
        <v>0</v>
      </c>
      <c r="AG86">
        <f t="shared" si="24"/>
        <v>0</v>
      </c>
      <c r="AH86" cm="1">
        <f t="array" ref="AH86">IF(OR($Y60=0,$Y60="NS",$Y60="NA"),0,IF(OR(J86={"NS","NA"},CNSIPEE_2024_M2_Secc8!$Y406={"NS","NA"}),0,IF(J86&lt;=CNSIPEE_2024_M2_Secc8!$Y406,0,1)))</f>
        <v>0</v>
      </c>
      <c r="AI86" cm="1">
        <f t="array" ref="AI86">IF(OR($Y60=0,$Y60="NS",$Y60="NA"),0,IF(OR(K86={"NS","NA"},CNSIPEE_2024_M2_Secc8!$Z406={"NS","NA"}),0,IF(K86&lt;=CNSIPEE_2024_M2_Secc8!$Z406,0,1)))</f>
        <v>0</v>
      </c>
      <c r="AJ86" cm="1">
        <f t="array" ref="AJ86">IF(OR($Y60=0,$Y60="NS",$Y60="NA"),0,IF(OR(L86={"NS","NA"},CNSIPEE_2024_M2_Secc8!$AA406={"NS","NA"}),0,IF(L86&lt;=CNSIPEE_2024_M2_Secc8!$AA406,0,1)))</f>
        <v>0</v>
      </c>
      <c r="AK86">
        <f t="shared" si="3"/>
        <v>0</v>
      </c>
      <c r="AL86">
        <f t="shared" si="4"/>
        <v>0</v>
      </c>
      <c r="AM86">
        <f t="shared" si="25"/>
        <v>0</v>
      </c>
      <c r="AN86">
        <f t="shared" si="5"/>
        <v>0</v>
      </c>
      <c r="AO86">
        <f t="shared" si="6"/>
        <v>0</v>
      </c>
      <c r="AP86">
        <f t="shared" si="7"/>
        <v>0</v>
      </c>
      <c r="AQ86">
        <f t="shared" si="8"/>
        <v>0</v>
      </c>
      <c r="AR86">
        <f t="shared" si="9"/>
        <v>0</v>
      </c>
      <c r="AS86">
        <f t="shared" si="10"/>
        <v>0</v>
      </c>
      <c r="AT86">
        <f t="shared" si="11"/>
        <v>0</v>
      </c>
      <c r="AU86">
        <f t="shared" si="12"/>
        <v>0</v>
      </c>
      <c r="AV86">
        <f t="shared" si="13"/>
        <v>0</v>
      </c>
      <c r="AW86">
        <f t="shared" si="14"/>
        <v>0</v>
      </c>
      <c r="AX86">
        <f t="shared" si="15"/>
        <v>0</v>
      </c>
      <c r="AY86">
        <f t="shared" si="16"/>
        <v>0</v>
      </c>
      <c r="AZ86">
        <f t="shared" si="17"/>
        <v>0</v>
      </c>
      <c r="BA86">
        <f t="shared" si="18"/>
        <v>0</v>
      </c>
      <c r="BB86">
        <f t="shared" si="19"/>
        <v>0</v>
      </c>
      <c r="BC86">
        <f t="shared" si="20"/>
        <v>0</v>
      </c>
      <c r="BD86">
        <f t="shared" si="21"/>
        <v>0</v>
      </c>
      <c r="BE86">
        <f t="shared" si="22"/>
        <v>0</v>
      </c>
      <c r="BF86" cm="1">
        <f t="array" ref="BF86">IF(OR($Y60=0,$Y60="NS",$Y60="NA"),0,IF(OR(J86={"NS","NA"},Y60={"NS","NA"}),0,IF(J86&gt;=Y60,0,1)))</f>
        <v>0</v>
      </c>
    </row>
    <row r="87" spans="1:58" ht="15" customHeight="1">
      <c r="A87" s="108"/>
      <c r="B87" s="38"/>
      <c r="C87" s="44" t="s">
        <v>2522</v>
      </c>
      <c r="D87" s="813" t="str">
        <f>IF(CNSIPEE_2024_M2_Secc1!D48="","",CNSIPEE_2024_M2_Secc1!D48)</f>
        <v/>
      </c>
      <c r="E87" s="814"/>
      <c r="F87" s="814"/>
      <c r="G87" s="814"/>
      <c r="H87" s="814"/>
      <c r="I87" s="815"/>
      <c r="J87" s="116"/>
      <c r="K87" s="100"/>
      <c r="L87" s="100"/>
      <c r="M87" s="100"/>
      <c r="N87" s="100"/>
      <c r="O87" s="100"/>
      <c r="P87" s="100"/>
      <c r="Q87" s="100"/>
      <c r="R87" s="100"/>
      <c r="S87" s="100"/>
      <c r="T87" s="100"/>
      <c r="U87" s="100"/>
      <c r="V87" s="100"/>
      <c r="W87" s="100"/>
      <c r="X87" s="100"/>
      <c r="Y87" s="100"/>
      <c r="Z87" s="100"/>
      <c r="AA87" s="100"/>
      <c r="AB87" s="100"/>
      <c r="AC87" s="100"/>
      <c r="AD87" s="100"/>
      <c r="AF87">
        <f t="shared" si="23"/>
        <v>0</v>
      </c>
      <c r="AG87">
        <f t="shared" si="24"/>
        <v>0</v>
      </c>
      <c r="AH87" cm="1">
        <f t="array" ref="AH87">IF(OR($Y61=0,$Y61="NS",$Y61="NA"),0,IF(OR(J87={"NS","NA"},CNSIPEE_2024_M2_Secc8!$Y407={"NS","NA"}),0,IF(J87&lt;=CNSIPEE_2024_M2_Secc8!$Y407,0,1)))</f>
        <v>0</v>
      </c>
      <c r="AI87" cm="1">
        <f t="array" ref="AI87">IF(OR($Y61=0,$Y61="NS",$Y61="NA"),0,IF(OR(K87={"NS","NA"},CNSIPEE_2024_M2_Secc8!$Z407={"NS","NA"}),0,IF(K87&lt;=CNSIPEE_2024_M2_Secc8!$Z407,0,1)))</f>
        <v>0</v>
      </c>
      <c r="AJ87" cm="1">
        <f t="array" ref="AJ87">IF(OR($Y61=0,$Y61="NS",$Y61="NA"),0,IF(OR(L87={"NS","NA"},CNSIPEE_2024_M2_Secc8!$AA407={"NS","NA"}),0,IF(L87&lt;=CNSIPEE_2024_M2_Secc8!$AA407,0,1)))</f>
        <v>0</v>
      </c>
      <c r="AK87">
        <f t="shared" si="3"/>
        <v>0</v>
      </c>
      <c r="AL87">
        <f t="shared" si="4"/>
        <v>0</v>
      </c>
      <c r="AM87">
        <f t="shared" si="25"/>
        <v>0</v>
      </c>
      <c r="AN87">
        <f t="shared" si="5"/>
        <v>0</v>
      </c>
      <c r="AO87">
        <f t="shared" si="6"/>
        <v>0</v>
      </c>
      <c r="AP87">
        <f t="shared" si="7"/>
        <v>0</v>
      </c>
      <c r="AQ87">
        <f t="shared" si="8"/>
        <v>0</v>
      </c>
      <c r="AR87">
        <f t="shared" si="9"/>
        <v>0</v>
      </c>
      <c r="AS87">
        <f t="shared" si="10"/>
        <v>0</v>
      </c>
      <c r="AT87">
        <f t="shared" si="11"/>
        <v>0</v>
      </c>
      <c r="AU87">
        <f t="shared" si="12"/>
        <v>0</v>
      </c>
      <c r="AV87">
        <f t="shared" si="13"/>
        <v>0</v>
      </c>
      <c r="AW87">
        <f t="shared" si="14"/>
        <v>0</v>
      </c>
      <c r="AX87">
        <f t="shared" si="15"/>
        <v>0</v>
      </c>
      <c r="AY87">
        <f t="shared" si="16"/>
        <v>0</v>
      </c>
      <c r="AZ87">
        <f t="shared" si="17"/>
        <v>0</v>
      </c>
      <c r="BA87">
        <f t="shared" si="18"/>
        <v>0</v>
      </c>
      <c r="BB87">
        <f t="shared" si="19"/>
        <v>0</v>
      </c>
      <c r="BC87">
        <f t="shared" si="20"/>
        <v>0</v>
      </c>
      <c r="BD87">
        <f t="shared" si="21"/>
        <v>0</v>
      </c>
      <c r="BE87">
        <f t="shared" si="22"/>
        <v>0</v>
      </c>
      <c r="BF87" cm="1">
        <f t="array" ref="BF87">IF(OR($Y61=0,$Y61="NS",$Y61="NA"),0,IF(OR(J87={"NS","NA"},Y61={"NS","NA"}),0,IF(J87&gt;=Y61,0,1)))</f>
        <v>0</v>
      </c>
    </row>
    <row r="88" spans="1:58" ht="15" customHeight="1">
      <c r="A88" s="108"/>
      <c r="B88" s="38"/>
      <c r="C88" s="44" t="s">
        <v>2523</v>
      </c>
      <c r="D88" s="813" t="str">
        <f>IF(CNSIPEE_2024_M2_Secc1!D49="","",CNSIPEE_2024_M2_Secc1!D49)</f>
        <v/>
      </c>
      <c r="E88" s="814"/>
      <c r="F88" s="814"/>
      <c r="G88" s="814"/>
      <c r="H88" s="814"/>
      <c r="I88" s="815"/>
      <c r="J88" s="116"/>
      <c r="K88" s="100"/>
      <c r="L88" s="100"/>
      <c r="M88" s="100"/>
      <c r="N88" s="100"/>
      <c r="O88" s="100"/>
      <c r="P88" s="100"/>
      <c r="Q88" s="100"/>
      <c r="R88" s="100"/>
      <c r="S88" s="100"/>
      <c r="T88" s="100"/>
      <c r="U88" s="100"/>
      <c r="V88" s="100"/>
      <c r="W88" s="100"/>
      <c r="X88" s="100"/>
      <c r="Y88" s="100"/>
      <c r="Z88" s="100"/>
      <c r="AA88" s="100"/>
      <c r="AB88" s="100"/>
      <c r="AC88" s="100"/>
      <c r="AD88" s="100"/>
      <c r="AF88">
        <f t="shared" si="23"/>
        <v>0</v>
      </c>
      <c r="AG88">
        <f t="shared" si="24"/>
        <v>0</v>
      </c>
      <c r="AH88" cm="1">
        <f t="array" ref="AH88">IF(OR($Y62=0,$Y62="NS",$Y62="NA"),0,IF(OR(J88={"NS","NA"},CNSIPEE_2024_M2_Secc8!$Y408={"NS","NA"}),0,IF(J88&lt;=CNSIPEE_2024_M2_Secc8!$Y408,0,1)))</f>
        <v>0</v>
      </c>
      <c r="AI88" cm="1">
        <f t="array" ref="AI88">IF(OR($Y62=0,$Y62="NS",$Y62="NA"),0,IF(OR(K88={"NS","NA"},CNSIPEE_2024_M2_Secc8!$Z408={"NS","NA"}),0,IF(K88&lt;=CNSIPEE_2024_M2_Secc8!$Z408,0,1)))</f>
        <v>0</v>
      </c>
      <c r="AJ88" cm="1">
        <f t="array" ref="AJ88">IF(OR($Y62=0,$Y62="NS",$Y62="NA"),0,IF(OR(L88={"NS","NA"},CNSIPEE_2024_M2_Secc8!$AA408={"NS","NA"}),0,IF(L88&lt;=CNSIPEE_2024_M2_Secc8!$AA408,0,1)))</f>
        <v>0</v>
      </c>
      <c r="AK88">
        <f t="shared" si="3"/>
        <v>0</v>
      </c>
      <c r="AL88">
        <f t="shared" si="4"/>
        <v>0</v>
      </c>
      <c r="AM88">
        <f t="shared" si="25"/>
        <v>0</v>
      </c>
      <c r="AN88">
        <f t="shared" si="5"/>
        <v>0</v>
      </c>
      <c r="AO88">
        <f t="shared" si="6"/>
        <v>0</v>
      </c>
      <c r="AP88">
        <f t="shared" si="7"/>
        <v>0</v>
      </c>
      <c r="AQ88">
        <f t="shared" si="8"/>
        <v>0</v>
      </c>
      <c r="AR88">
        <f t="shared" si="9"/>
        <v>0</v>
      </c>
      <c r="AS88">
        <f t="shared" si="10"/>
        <v>0</v>
      </c>
      <c r="AT88">
        <f t="shared" si="11"/>
        <v>0</v>
      </c>
      <c r="AU88">
        <f t="shared" si="12"/>
        <v>0</v>
      </c>
      <c r="AV88">
        <f t="shared" si="13"/>
        <v>0</v>
      </c>
      <c r="AW88">
        <f t="shared" si="14"/>
        <v>0</v>
      </c>
      <c r="AX88">
        <f t="shared" si="15"/>
        <v>0</v>
      </c>
      <c r="AY88">
        <f t="shared" si="16"/>
        <v>0</v>
      </c>
      <c r="AZ88">
        <f t="shared" si="17"/>
        <v>0</v>
      </c>
      <c r="BA88">
        <f t="shared" si="18"/>
        <v>0</v>
      </c>
      <c r="BB88">
        <f t="shared" si="19"/>
        <v>0</v>
      </c>
      <c r="BC88">
        <f t="shared" si="20"/>
        <v>0</v>
      </c>
      <c r="BD88">
        <f t="shared" si="21"/>
        <v>0</v>
      </c>
      <c r="BE88">
        <f t="shared" si="22"/>
        <v>0</v>
      </c>
      <c r="BF88" cm="1">
        <f t="array" ref="BF88">IF(OR($Y62=0,$Y62="NS",$Y62="NA"),0,IF(OR(J88={"NS","NA"},Y62={"NS","NA"}),0,IF(J88&gt;=Y62,0,1)))</f>
        <v>0</v>
      </c>
    </row>
    <row r="89" spans="1:58" ht="15" customHeight="1">
      <c r="A89" s="108"/>
      <c r="B89" s="38"/>
      <c r="C89" s="201"/>
      <c r="D89" s="201"/>
      <c r="E89" s="201"/>
      <c r="F89" s="201"/>
      <c r="G89" s="201"/>
      <c r="H89" s="201"/>
      <c r="I89" s="117" t="s">
        <v>2649</v>
      </c>
      <c r="J89" s="124">
        <f t="shared" ref="J89:AD89" si="26">IF(AND(SUM(J81:J88)=0,COUNTIF(J81:J88,"NS")&gt;0),"NS",IF(AND(SUM(J81:J88)=0,COUNTIF(J81:J88,0)&gt;0),0,IF(AND(SUM(J81:J88)=0,COUNTIF(J81:J88,"NA")&gt;0),"NA",SUM(J81:J88))))</f>
        <v>0</v>
      </c>
      <c r="K89" s="124">
        <f t="shared" si="26"/>
        <v>0</v>
      </c>
      <c r="L89" s="124">
        <f t="shared" si="26"/>
        <v>0</v>
      </c>
      <c r="M89" s="124">
        <f t="shared" si="26"/>
        <v>0</v>
      </c>
      <c r="N89" s="124">
        <f t="shared" si="26"/>
        <v>0</v>
      </c>
      <c r="O89" s="124">
        <f t="shared" si="26"/>
        <v>0</v>
      </c>
      <c r="P89" s="124">
        <f t="shared" si="26"/>
        <v>0</v>
      </c>
      <c r="Q89" s="124">
        <f t="shared" si="26"/>
        <v>0</v>
      </c>
      <c r="R89" s="124">
        <f t="shared" si="26"/>
        <v>0</v>
      </c>
      <c r="S89" s="124">
        <f t="shared" si="26"/>
        <v>0</v>
      </c>
      <c r="T89" s="124">
        <f t="shared" si="26"/>
        <v>0</v>
      </c>
      <c r="U89" s="124">
        <f t="shared" si="26"/>
        <v>0</v>
      </c>
      <c r="V89" s="124">
        <f t="shared" si="26"/>
        <v>0</v>
      </c>
      <c r="W89" s="124">
        <f t="shared" si="26"/>
        <v>0</v>
      </c>
      <c r="X89" s="124">
        <f t="shared" si="26"/>
        <v>0</v>
      </c>
      <c r="Y89" s="124">
        <f t="shared" si="26"/>
        <v>0</v>
      </c>
      <c r="Z89" s="124">
        <f t="shared" si="26"/>
        <v>0</v>
      </c>
      <c r="AA89" s="124">
        <f t="shared" si="26"/>
        <v>0</v>
      </c>
      <c r="AB89" s="124">
        <f t="shared" si="26"/>
        <v>0</v>
      </c>
      <c r="AC89" s="124">
        <f t="shared" si="26"/>
        <v>0</v>
      </c>
      <c r="AD89" s="124">
        <f t="shared" si="26"/>
        <v>0</v>
      </c>
      <c r="AF89" s="507">
        <f>SUM(AF81:AF88)</f>
        <v>0</v>
      </c>
      <c r="AG89" s="507">
        <f>SUM(AG81:AG88)</f>
        <v>0</v>
      </c>
      <c r="AJ89" s="507">
        <f>SUM(AH81:AJ88)</f>
        <v>0</v>
      </c>
      <c r="AK89">
        <f>SUM(AK81:AK88)</f>
        <v>0</v>
      </c>
      <c r="AM89">
        <f>SUM(AM81:AM88)</f>
        <v>0</v>
      </c>
      <c r="AN89">
        <f>SUM(AN81:AN88)</f>
        <v>0</v>
      </c>
      <c r="AP89">
        <f>SUM(AP81:AP88)</f>
        <v>0</v>
      </c>
      <c r="AQ89">
        <f>SUM(AQ81:AQ88)</f>
        <v>0</v>
      </c>
      <c r="AS89">
        <f>SUM(AS81:AS88)</f>
        <v>0</v>
      </c>
      <c r="AT89">
        <f>SUM(AT81:AT88)</f>
        <v>0</v>
      </c>
      <c r="AV89">
        <f>SUM(AV81:AV88)</f>
        <v>0</v>
      </c>
      <c r="AW89">
        <f>SUM(AW81:AW88)</f>
        <v>0</v>
      </c>
      <c r="AY89">
        <f>SUM(AY81:AY88)</f>
        <v>0</v>
      </c>
      <c r="AZ89">
        <f>SUM(AZ81:AZ88)</f>
        <v>0</v>
      </c>
      <c r="BB89">
        <f>SUM(BB81:BB88)</f>
        <v>0</v>
      </c>
      <c r="BC89">
        <f>SUM(BC81:BC88)</f>
        <v>0</v>
      </c>
      <c r="BE89">
        <f>SUM(BE81:BE88)</f>
        <v>0</v>
      </c>
      <c r="BF89" s="507">
        <f>SUM(BF81:BF88)</f>
        <v>0</v>
      </c>
    </row>
    <row r="90" spans="1:58" ht="15" customHeight="1">
      <c r="A90" s="108"/>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K90" t="s">
        <v>2650</v>
      </c>
      <c r="AL90" s="506">
        <f>SUM(AM89,AP89,AS89,AV89,AY89,BB89,BE89)</f>
        <v>0</v>
      </c>
      <c r="AM90" t="s">
        <v>2651</v>
      </c>
      <c r="AN90">
        <f>SUM(AK89,AN89,AQ89,AT89,AW89,AZ89,BC89)</f>
        <v>0</v>
      </c>
    </row>
    <row r="91" spans="1:58" ht="24" customHeight="1">
      <c r="A91" s="108"/>
      <c r="B91" s="38"/>
      <c r="C91" s="754" t="s">
        <v>2611</v>
      </c>
      <c r="D91" s="754"/>
      <c r="E91" s="754"/>
      <c r="F91" s="754"/>
      <c r="G91" s="754"/>
      <c r="H91" s="754"/>
      <c r="I91" s="754"/>
      <c r="J91" s="754"/>
      <c r="K91" s="754"/>
      <c r="L91" s="754"/>
      <c r="M91" s="754"/>
      <c r="N91" s="754"/>
      <c r="O91" s="754"/>
      <c r="P91" s="754"/>
      <c r="Q91" s="754"/>
      <c r="R91" s="754"/>
      <c r="S91" s="754"/>
      <c r="T91" s="754"/>
      <c r="U91" s="754"/>
      <c r="V91" s="754"/>
      <c r="W91" s="754"/>
      <c r="X91" s="754"/>
      <c r="Y91" s="754"/>
      <c r="Z91" s="754"/>
      <c r="AA91" s="754"/>
      <c r="AB91" s="754"/>
      <c r="AC91" s="754"/>
      <c r="AD91" s="754"/>
      <c r="AK91" t="s">
        <v>2652</v>
      </c>
      <c r="AL91" s="507">
        <f>IF(AN90&gt;0,IF(SUM(J89)&gt;=SUM(M89,P89,S89,V89,Y89,AB89),0,1),IF(SUM(J89)&lt;&gt;SUM(M89,P89,S89,V89,Y89,AB89),1,0))</f>
        <v>0</v>
      </c>
      <c r="AM91" t="s">
        <v>2653</v>
      </c>
      <c r="AN91" s="507">
        <f>IF(AN90&gt;0,IF(SUM(K89)&gt;=SUM(N89,Q89,T89,W89,Z89,AC89),0,1),IF(SUM(K89)&lt;&gt;SUM(N89,Q89,T89,W89,Z89,AC89),1,0))</f>
        <v>0</v>
      </c>
      <c r="AO91" t="s">
        <v>2654</v>
      </c>
      <c r="AP91" s="507">
        <f>IF(AN90&gt;0,IF(SUM(L89)&gt;=SUM(O89,R89,U89,X89,AA89,AD89),0,1),IF(SUM(L89)&lt;&gt;SUM(O89,R89,U89,X89,AA89,AD89),1,0))</f>
        <v>0</v>
      </c>
    </row>
    <row r="92" spans="1:58" ht="60" customHeight="1">
      <c r="A92" s="108"/>
      <c r="B92" s="38"/>
      <c r="C92" s="851"/>
      <c r="D92" s="851"/>
      <c r="E92" s="851"/>
      <c r="F92" s="851"/>
      <c r="G92" s="851"/>
      <c r="H92" s="851"/>
      <c r="I92" s="851"/>
      <c r="J92" s="851"/>
      <c r="K92" s="851"/>
      <c r="L92" s="851"/>
      <c r="M92" s="851"/>
      <c r="N92" s="851"/>
      <c r="O92" s="851"/>
      <c r="P92" s="851"/>
      <c r="Q92" s="851"/>
      <c r="R92" s="851"/>
      <c r="S92" s="851"/>
      <c r="T92" s="851"/>
      <c r="U92" s="851"/>
      <c r="V92" s="851"/>
      <c r="W92" s="851"/>
      <c r="X92" s="851"/>
      <c r="Y92" s="851"/>
      <c r="Z92" s="851"/>
      <c r="AA92" s="851"/>
      <c r="AB92" s="851"/>
      <c r="AC92" s="851"/>
      <c r="AD92" s="851"/>
    </row>
    <row r="93" spans="1:58" ht="15" customHeight="1">
      <c r="A93" s="108"/>
      <c r="B93" s="794" t="str">
        <f>IF(AF89=0,"","Favor de ingresar toda la información requerida en la pregunta")</f>
        <v/>
      </c>
      <c r="C93" s="794"/>
      <c r="D93" s="794"/>
      <c r="E93" s="794"/>
      <c r="F93" s="794"/>
      <c r="G93" s="794"/>
      <c r="H93" s="794"/>
      <c r="I93" s="794"/>
      <c r="J93" s="794"/>
      <c r="K93" s="794"/>
      <c r="L93" s="794"/>
      <c r="M93" s="794"/>
      <c r="N93" s="794"/>
      <c r="O93" s="794"/>
      <c r="P93" s="794"/>
      <c r="Q93" s="794"/>
      <c r="R93" s="794"/>
      <c r="S93" s="794"/>
      <c r="T93" s="794"/>
      <c r="U93" s="794"/>
      <c r="V93" s="794"/>
      <c r="W93" s="794"/>
      <c r="X93" s="794"/>
      <c r="Y93" s="794"/>
      <c r="Z93" s="794"/>
      <c r="AA93" s="794"/>
      <c r="AB93" s="794"/>
      <c r="AC93" s="794"/>
      <c r="AD93" s="794"/>
      <c r="AE93" s="794"/>
    </row>
    <row r="94" spans="1:58" ht="15" customHeight="1">
      <c r="A94" s="176"/>
      <c r="B94" s="1087" t="str">
        <f>IF(COUNTIF(J81:AD88,"NS")&lt;&gt;0,"Alerta: debido a que cuenta con registros NS, debe proporcionar una justificación en el area de comentarios al final de la pregunta","")</f>
        <v/>
      </c>
      <c r="C94" s="1087"/>
      <c r="D94" s="1087"/>
      <c r="E94" s="1087"/>
      <c r="F94" s="1087"/>
      <c r="G94" s="1087"/>
      <c r="H94" s="1087"/>
      <c r="I94" s="1087"/>
      <c r="J94" s="1087"/>
      <c r="K94" s="1087"/>
      <c r="L94" s="1087"/>
      <c r="M94" s="1087"/>
      <c r="N94" s="1087"/>
      <c r="O94" s="1087"/>
      <c r="P94" s="1087"/>
      <c r="Q94" s="1087"/>
      <c r="R94" s="1087"/>
      <c r="S94" s="1087"/>
      <c r="T94" s="1087"/>
      <c r="U94" s="1087"/>
      <c r="V94" s="1087"/>
      <c r="W94" s="1087"/>
      <c r="X94" s="1087"/>
      <c r="Y94" s="1087"/>
      <c r="Z94" s="1087"/>
      <c r="AA94" s="1087"/>
      <c r="AB94" s="1087"/>
      <c r="AC94" s="1087"/>
      <c r="AD94" s="1087"/>
      <c r="AE94" s="1087"/>
    </row>
    <row r="95" spans="1:58" ht="15" customHeight="1">
      <c r="A95" s="176"/>
      <c r="B95" s="1003" t="str">
        <f>IF(AG89&gt;0,"Revise la información capturada, ya que tiene datos ingresados en celdas que están sombreadas","")</f>
        <v/>
      </c>
      <c r="C95" s="1003"/>
      <c r="D95" s="1003"/>
      <c r="E95" s="1003"/>
      <c r="F95" s="1003"/>
      <c r="G95" s="1003"/>
      <c r="H95" s="1003"/>
      <c r="I95" s="1003"/>
      <c r="J95" s="1003"/>
      <c r="K95" s="1003"/>
      <c r="L95" s="1003"/>
      <c r="M95" s="1003"/>
      <c r="N95" s="1003"/>
      <c r="O95" s="1003"/>
      <c r="P95" s="1003"/>
      <c r="Q95" s="1003"/>
      <c r="R95" s="1003"/>
      <c r="S95" s="1003"/>
      <c r="T95" s="1003"/>
      <c r="U95" s="1003"/>
      <c r="V95" s="1003"/>
      <c r="W95" s="1003"/>
      <c r="X95" s="1003"/>
      <c r="Y95" s="1003"/>
      <c r="Z95" s="1003"/>
      <c r="AA95" s="1003"/>
      <c r="AB95" s="1003"/>
      <c r="AC95" s="1003"/>
      <c r="AD95" s="1003"/>
      <c r="AE95" s="1003"/>
    </row>
    <row r="96" spans="1:58" ht="15" customHeight="1">
      <c r="A96" s="176"/>
      <c r="B96" s="1003" t="str">
        <f>IF(OR(AL90&gt;0,AL91&gt;0,AN91&gt;0,AP91&gt;0),"Favor de revisar la suma y consistencia de totales y/o subtotales por filas (numéricos y NS)","")</f>
        <v/>
      </c>
      <c r="C96" s="1003"/>
      <c r="D96" s="1003"/>
      <c r="E96" s="1003"/>
      <c r="F96" s="1003"/>
      <c r="G96" s="1003"/>
      <c r="H96" s="1003"/>
      <c r="I96" s="1003"/>
      <c r="J96" s="1003"/>
      <c r="K96" s="1003"/>
      <c r="L96" s="1003"/>
      <c r="M96" s="1003"/>
      <c r="N96" s="1003"/>
      <c r="O96" s="1003"/>
      <c r="P96" s="1003"/>
      <c r="Q96" s="1003"/>
      <c r="R96" s="1003"/>
      <c r="S96" s="1003"/>
      <c r="T96" s="1003"/>
      <c r="U96" s="1003"/>
      <c r="V96" s="1003"/>
      <c r="W96" s="1003"/>
      <c r="X96" s="1003"/>
      <c r="Y96" s="1003"/>
      <c r="Z96" s="1003"/>
      <c r="AA96" s="1003"/>
      <c r="AB96" s="1003"/>
      <c r="AC96" s="1003"/>
      <c r="AD96" s="1003"/>
      <c r="AE96" s="1003"/>
    </row>
    <row r="97" spans="1:48" ht="15" customHeight="1">
      <c r="A97" s="176"/>
      <c r="B97" s="794" t="str">
        <f>IF(BF89&gt;0,"Favor de revisar la instrucción 2, debido a que no se cumplen con los criterios mencionados","")</f>
        <v/>
      </c>
      <c r="C97" s="794"/>
      <c r="D97" s="794"/>
      <c r="E97" s="794"/>
      <c r="F97" s="794"/>
      <c r="G97" s="794"/>
      <c r="H97" s="794"/>
      <c r="I97" s="794"/>
      <c r="J97" s="794"/>
      <c r="K97" s="794"/>
      <c r="L97" s="794"/>
      <c r="M97" s="794"/>
      <c r="N97" s="794"/>
      <c r="O97" s="794"/>
      <c r="P97" s="794"/>
      <c r="Q97" s="794"/>
      <c r="R97" s="794"/>
      <c r="S97" s="794"/>
      <c r="T97" s="794"/>
      <c r="U97" s="794"/>
      <c r="V97" s="794"/>
      <c r="W97" s="794"/>
      <c r="X97" s="794"/>
      <c r="Y97" s="794"/>
      <c r="Z97" s="794"/>
      <c r="AA97" s="794"/>
      <c r="AB97" s="794"/>
      <c r="AC97" s="794"/>
      <c r="AD97" s="794"/>
      <c r="AE97" s="794"/>
    </row>
    <row r="98" spans="1:48" ht="15" customHeight="1">
      <c r="A98" s="176"/>
      <c r="B98" s="794" t="str">
        <f>IF(AJ89&gt;0,"Favor de revisar la instrucción 3, debido a que no se cumplen con los criterios mencionados","")</f>
        <v/>
      </c>
      <c r="C98" s="794"/>
      <c r="D98" s="794"/>
      <c r="E98" s="794"/>
      <c r="F98" s="794"/>
      <c r="G98" s="794"/>
      <c r="H98" s="794"/>
      <c r="I98" s="794"/>
      <c r="J98" s="794"/>
      <c r="K98" s="794"/>
      <c r="L98" s="794"/>
      <c r="M98" s="794"/>
      <c r="N98" s="794"/>
      <c r="O98" s="794"/>
      <c r="P98" s="794"/>
      <c r="Q98" s="794"/>
      <c r="R98" s="794"/>
      <c r="S98" s="794"/>
      <c r="T98" s="794"/>
      <c r="U98" s="794"/>
      <c r="V98" s="794"/>
      <c r="W98" s="794"/>
      <c r="X98" s="794"/>
      <c r="Y98" s="794"/>
      <c r="Z98" s="794"/>
      <c r="AA98" s="794"/>
      <c r="AB98" s="794"/>
      <c r="AC98" s="794"/>
      <c r="AD98" s="794"/>
      <c r="AE98" s="794"/>
    </row>
    <row r="99" spans="1:48" ht="36" customHeight="1">
      <c r="A99" s="49" t="s">
        <v>5481</v>
      </c>
      <c r="B99" s="829" t="s">
        <v>5482</v>
      </c>
      <c r="C99" s="829"/>
      <c r="D99" s="829"/>
      <c r="E99" s="829"/>
      <c r="F99" s="829"/>
      <c r="G99" s="829"/>
      <c r="H99" s="829"/>
      <c r="I99" s="829"/>
      <c r="J99" s="829"/>
      <c r="K99" s="829"/>
      <c r="L99" s="829"/>
      <c r="M99" s="829"/>
      <c r="N99" s="829"/>
      <c r="O99" s="829"/>
      <c r="P99" s="829"/>
      <c r="Q99" s="829"/>
      <c r="R99" s="829"/>
      <c r="S99" s="829"/>
      <c r="T99" s="829"/>
      <c r="U99" s="829"/>
      <c r="V99" s="829"/>
      <c r="W99" s="829"/>
      <c r="X99" s="829"/>
      <c r="Y99" s="829"/>
      <c r="Z99" s="829"/>
      <c r="AA99" s="829"/>
      <c r="AB99" s="829"/>
      <c r="AC99" s="829"/>
      <c r="AD99" s="829"/>
    </row>
    <row r="100" spans="1:48" ht="24" customHeight="1">
      <c r="A100" s="176"/>
      <c r="B100" s="57"/>
      <c r="C100" s="754" t="s">
        <v>3810</v>
      </c>
      <c r="D100" s="754"/>
      <c r="E100" s="754"/>
      <c r="F100" s="754"/>
      <c r="G100" s="754"/>
      <c r="H100" s="754"/>
      <c r="I100" s="754"/>
      <c r="J100" s="754"/>
      <c r="K100" s="754"/>
      <c r="L100" s="754"/>
      <c r="M100" s="754"/>
      <c r="N100" s="754"/>
      <c r="O100" s="754"/>
      <c r="P100" s="754"/>
      <c r="Q100" s="754"/>
      <c r="R100" s="754"/>
      <c r="S100" s="754"/>
      <c r="T100" s="754"/>
      <c r="U100" s="754"/>
      <c r="V100" s="754"/>
      <c r="W100" s="754"/>
      <c r="X100" s="754"/>
      <c r="Y100" s="754"/>
      <c r="Z100" s="754"/>
      <c r="AA100" s="754"/>
      <c r="AB100" s="754"/>
      <c r="AC100" s="754"/>
      <c r="AD100" s="754"/>
    </row>
    <row r="101" spans="1:48" ht="15" customHeight="1">
      <c r="A101" s="176"/>
      <c r="B101" s="57"/>
      <c r="C101" s="57"/>
      <c r="D101" s="57"/>
      <c r="E101" s="57"/>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row>
    <row r="102" spans="1:48" ht="48" customHeight="1">
      <c r="A102" s="108"/>
      <c r="B102" s="38"/>
      <c r="C102" s="797" t="s">
        <v>2581</v>
      </c>
      <c r="D102" s="798"/>
      <c r="E102" s="798"/>
      <c r="F102" s="798"/>
      <c r="G102" s="798"/>
      <c r="H102" s="798"/>
      <c r="I102" s="798"/>
      <c r="J102" s="798"/>
      <c r="K102" s="798"/>
      <c r="L102" s="798"/>
      <c r="M102" s="798"/>
      <c r="N102" s="798"/>
      <c r="O102" s="798"/>
      <c r="P102" s="798"/>
      <c r="Q102" s="798"/>
      <c r="R102" s="799"/>
      <c r="S102" s="739" t="s">
        <v>5483</v>
      </c>
      <c r="T102" s="740"/>
      <c r="U102" s="740"/>
      <c r="V102" s="740"/>
      <c r="W102" s="740"/>
      <c r="X102" s="740"/>
      <c r="Y102" s="740"/>
      <c r="Z102" s="740"/>
      <c r="AA102" s="740"/>
      <c r="AB102" s="740"/>
      <c r="AC102" s="740"/>
      <c r="AD102" s="741"/>
    </row>
    <row r="103" spans="1:48" ht="96" customHeight="1">
      <c r="A103" s="108"/>
      <c r="B103" s="38"/>
      <c r="C103" s="800"/>
      <c r="D103" s="801"/>
      <c r="E103" s="801"/>
      <c r="F103" s="801"/>
      <c r="G103" s="801"/>
      <c r="H103" s="801"/>
      <c r="I103" s="801"/>
      <c r="J103" s="801"/>
      <c r="K103" s="801"/>
      <c r="L103" s="801"/>
      <c r="M103" s="801"/>
      <c r="N103" s="801"/>
      <c r="O103" s="801"/>
      <c r="P103" s="801"/>
      <c r="Q103" s="801"/>
      <c r="R103" s="802"/>
      <c r="S103" s="887" t="s">
        <v>2628</v>
      </c>
      <c r="T103" s="889" t="s">
        <v>2629</v>
      </c>
      <c r="U103" s="889" t="s">
        <v>2630</v>
      </c>
      <c r="V103" s="858" t="s">
        <v>5484</v>
      </c>
      <c r="W103" s="859"/>
      <c r="X103" s="860"/>
      <c r="Y103" s="858" t="s">
        <v>5485</v>
      </c>
      <c r="Z103" s="859"/>
      <c r="AA103" s="860"/>
      <c r="AB103" s="858" t="s">
        <v>201</v>
      </c>
      <c r="AC103" s="859"/>
      <c r="AD103" s="860"/>
    </row>
    <row r="104" spans="1:48" ht="48" customHeight="1">
      <c r="A104" s="108"/>
      <c r="B104" s="38"/>
      <c r="C104" s="803"/>
      <c r="D104" s="804"/>
      <c r="E104" s="804"/>
      <c r="F104" s="804"/>
      <c r="G104" s="804"/>
      <c r="H104" s="804"/>
      <c r="I104" s="804"/>
      <c r="J104" s="804"/>
      <c r="K104" s="804"/>
      <c r="L104" s="804"/>
      <c r="M104" s="804"/>
      <c r="N104" s="804"/>
      <c r="O104" s="804"/>
      <c r="P104" s="804"/>
      <c r="Q104" s="804"/>
      <c r="R104" s="805"/>
      <c r="S104" s="888"/>
      <c r="T104" s="890"/>
      <c r="U104" s="890"/>
      <c r="V104" s="171" t="s">
        <v>2635</v>
      </c>
      <c r="W104" s="128" t="s">
        <v>2629</v>
      </c>
      <c r="X104" s="128" t="s">
        <v>2630</v>
      </c>
      <c r="Y104" s="171" t="s">
        <v>2635</v>
      </c>
      <c r="Z104" s="128" t="s">
        <v>2629</v>
      </c>
      <c r="AA104" s="128" t="s">
        <v>2630</v>
      </c>
      <c r="AB104" s="171" t="s">
        <v>2635</v>
      </c>
      <c r="AC104" s="128" t="s">
        <v>2629</v>
      </c>
      <c r="AD104" s="128" t="s">
        <v>2630</v>
      </c>
      <c r="AG104" t="s">
        <v>2586</v>
      </c>
      <c r="AH104" t="s">
        <v>4581</v>
      </c>
      <c r="AI104" t="s">
        <v>5486</v>
      </c>
      <c r="AK104" t="s">
        <v>4573</v>
      </c>
      <c r="AL104" t="s">
        <v>2638</v>
      </c>
      <c r="AM104" t="s">
        <v>2639</v>
      </c>
      <c r="AN104" t="s">
        <v>4574</v>
      </c>
      <c r="AO104" t="s">
        <v>2641</v>
      </c>
      <c r="AP104" t="s">
        <v>2642</v>
      </c>
      <c r="AQ104" t="s">
        <v>4575</v>
      </c>
      <c r="AR104" t="s">
        <v>2644</v>
      </c>
      <c r="AS104" t="s">
        <v>2645</v>
      </c>
      <c r="AT104" t="s">
        <v>4576</v>
      </c>
      <c r="AU104" t="s">
        <v>2647</v>
      </c>
      <c r="AV104" t="s">
        <v>2648</v>
      </c>
    </row>
    <row r="105" spans="1:48" ht="15" customHeight="1">
      <c r="A105" s="108"/>
      <c r="B105" s="38"/>
      <c r="C105" s="97" t="s">
        <v>2516</v>
      </c>
      <c r="D105" s="813" t="str">
        <f>IF(CNSIPEE_2024_M2_Secc1!D42="","",CNSIPEE_2024_M2_Secc1!D42)</f>
        <v/>
      </c>
      <c r="E105" s="814"/>
      <c r="F105" s="814"/>
      <c r="G105" s="814"/>
      <c r="H105" s="814"/>
      <c r="I105" s="814"/>
      <c r="J105" s="814"/>
      <c r="K105" s="814"/>
      <c r="L105" s="814"/>
      <c r="M105" s="814"/>
      <c r="N105" s="814"/>
      <c r="O105" s="814"/>
      <c r="P105" s="814"/>
      <c r="Q105" s="814"/>
      <c r="R105" s="815"/>
      <c r="S105" s="100"/>
      <c r="T105" s="100"/>
      <c r="U105" s="100"/>
      <c r="V105" s="100"/>
      <c r="W105" s="100"/>
      <c r="X105" s="100"/>
      <c r="Y105" s="100"/>
      <c r="Z105" s="100"/>
      <c r="AA105" s="100"/>
      <c r="AB105" s="100"/>
      <c r="AC105" s="100"/>
      <c r="AD105" s="100"/>
      <c r="AG105">
        <f>IF(OR($Y55=0,$Y55="NS",$Y55="NA"),0,IF(OR(COUNTBLANK(D105:AD105)=14,COUNTBLANK(D105:AD105)=27),0,1))</f>
        <v>0</v>
      </c>
      <c r="AH105">
        <f>IF(OR($Y55=0,$Y55="NS",$Y55="NA"),IF(COUNTBLANK(S105:AD105)=12,0,1),0)</f>
        <v>0</v>
      </c>
      <c r="AI105">
        <f>IF(OR($Y55=0,$Y55="NS",$Y55="NA"),0,IF(AND(S105=J81,T105=K81,U105=L81),0,1))</f>
        <v>0</v>
      </c>
      <c r="AK105">
        <f t="shared" ref="AK105:AK112" si="27">COUNTIF(T105:U105,"NS")</f>
        <v>0</v>
      </c>
      <c r="AL105">
        <f t="shared" ref="AL105:AL112" si="28">SUM(T105:U105)</f>
        <v>0</v>
      </c>
      <c r="AM105">
        <f>IF(COUNTIF(S105:U105,"NA")=3,0,IF(COUNTA(S105:U105)=0,0,IF(OR(AND(S105=0,AK105&gt;0),AND(S105="ns",AL105&gt;0),AND(S105="ns",AK105=0,AL105=0)),1,IF(OR(AND(S105&gt;0,AK105=2),AND(S105="ns",AK105=2),AND(S105="ns",AL105=0,AK105&gt;0),S105=AL105),0,1))))</f>
        <v>0</v>
      </c>
      <c r="AN105">
        <f t="shared" ref="AN105:AN112" si="29">COUNTIF(W105:X105,"NS")</f>
        <v>0</v>
      </c>
      <c r="AO105">
        <f t="shared" ref="AO105:AO112" si="30">SUM(W105:X105)</f>
        <v>0</v>
      </c>
      <c r="AP105">
        <f t="shared" ref="AP105:AP112" si="31">IF(COUNTIF(V105:X105,"NA")=3,0,IF(COUNTA(V105:X105)=0,0,IF(OR(AND(V105=0,AN105&gt;0),AND(V105="ns",AO105&gt;0),AND(V105="ns",AN105=0,AO105=0)),1,IF(OR(AND(V105&gt;0,AN105=2),AND(V105="ns",AN105=2),AND(V105="ns",AO105=0,AN105&gt;0),V105=AO105),0,1))))</f>
        <v>0</v>
      </c>
      <c r="AQ105">
        <f t="shared" ref="AQ105:AQ112" si="32">COUNTIF(Z105:AA105,"NS")</f>
        <v>0</v>
      </c>
      <c r="AR105">
        <f t="shared" ref="AR105:AR112" si="33">SUM(Z105:AA105)</f>
        <v>0</v>
      </c>
      <c r="AS105">
        <f t="shared" ref="AS105:AS112" si="34">IF(COUNTIF(Y105:AA105,"NA")=3,0,IF(COUNTA(Y105:AA105)=0,0,IF(OR(AND(Y105=0,AQ105&gt;0),AND(Y105="ns",AR105&gt;0),AND(Y105="ns",AQ105=0,AR105=0)),1,IF(OR(AND(Y105&gt;0,AQ105=2),AND(Y105="ns",AQ105=2),AND(Y105="ns",AR105=0,AQ105&gt;0),Y105=AR105),0,1))))</f>
        <v>0</v>
      </c>
      <c r="AT105">
        <f t="shared" ref="AT105:AT112" si="35">COUNTIF(AC105:AD105,"NS")</f>
        <v>0</v>
      </c>
      <c r="AU105">
        <f t="shared" ref="AU105:AU112" si="36">SUM(AC105:AD105)</f>
        <v>0</v>
      </c>
      <c r="AV105">
        <f t="shared" ref="AV105:AV112" si="37">IF(COUNTIF(AB105:AD105,"NA")=3,0,IF(COUNTA(AB105:AD105)=0,0,IF(OR(AND(AB105=0,AT105&gt;0),AND(AB105="ns",AU105&gt;0),AND(AB105="ns",AT105=0,AU105=0)),1,IF(OR(AND(AB105&gt;0,AT105=2),AND(AB105="ns",AT105=2),AND(AB105="ns",AU105=0,AT105&gt;0),AB105=AU105),0,1))))</f>
        <v>0</v>
      </c>
    </row>
    <row r="106" spans="1:48" ht="15" customHeight="1">
      <c r="A106" s="108"/>
      <c r="B106" s="38"/>
      <c r="C106" s="98" t="s">
        <v>2517</v>
      </c>
      <c r="D106" s="813" t="str">
        <f>IF(CNSIPEE_2024_M2_Secc1!D43="","",CNSIPEE_2024_M2_Secc1!D43)</f>
        <v/>
      </c>
      <c r="E106" s="814"/>
      <c r="F106" s="814"/>
      <c r="G106" s="814"/>
      <c r="H106" s="814"/>
      <c r="I106" s="814"/>
      <c r="J106" s="814"/>
      <c r="K106" s="814"/>
      <c r="L106" s="814"/>
      <c r="M106" s="814"/>
      <c r="N106" s="814"/>
      <c r="O106" s="814"/>
      <c r="P106" s="814"/>
      <c r="Q106" s="814"/>
      <c r="R106" s="815"/>
      <c r="S106" s="100"/>
      <c r="T106" s="100"/>
      <c r="U106" s="100"/>
      <c r="V106" s="100"/>
      <c r="W106" s="100"/>
      <c r="X106" s="100"/>
      <c r="Y106" s="100"/>
      <c r="Z106" s="100"/>
      <c r="AA106" s="100"/>
      <c r="AB106" s="100"/>
      <c r="AC106" s="100"/>
      <c r="AD106" s="100"/>
      <c r="AG106">
        <f t="shared" ref="AG106:AG112" si="38">IF(OR($Y56=0,$Y56="NS",$Y56="NA"),0,IF(OR(COUNTBLANK(D106:AD106)=14,COUNTBLANK(D106:AD106)=27),0,1))</f>
        <v>0</v>
      </c>
      <c r="AH106">
        <f t="shared" ref="AH106:AH111" si="39">IF(OR($Y56=0,$Y56="NS",$Y56="NA"),IF(COUNTBLANK(S106:AD106)=12,0,1),0)</f>
        <v>0</v>
      </c>
      <c r="AI106">
        <f t="shared" ref="AI106:AI112" si="40">IF(OR($Y56=0,$Y56="NS",$Y56="NA"),0,IF(AND(S106=J82,T106=K82,U106=L82),0,1))</f>
        <v>0</v>
      </c>
      <c r="AK106">
        <f t="shared" si="27"/>
        <v>0</v>
      </c>
      <c r="AL106">
        <f t="shared" si="28"/>
        <v>0</v>
      </c>
      <c r="AM106">
        <f t="shared" ref="AM106:AM112" si="41">IF(COUNTIF(S106:U106,"NA")=3,0,IF(COUNTA(S106:U106)=0,0,IF(OR(AND(S106=0,AK106&gt;0),AND(S106="ns",AL106&gt;0),AND(S106="ns",AK106=0,AL106=0)),1,IF(OR(AND(S106&gt;0,AK106=2),AND(S106="ns",AK106=2),AND(S106="ns",AL106=0,AK106&gt;0),S106=AL106),0,1))))</f>
        <v>0</v>
      </c>
      <c r="AN106">
        <f t="shared" si="29"/>
        <v>0</v>
      </c>
      <c r="AO106">
        <f t="shared" si="30"/>
        <v>0</v>
      </c>
      <c r="AP106">
        <f t="shared" si="31"/>
        <v>0</v>
      </c>
      <c r="AQ106">
        <f t="shared" si="32"/>
        <v>0</v>
      </c>
      <c r="AR106">
        <f t="shared" si="33"/>
        <v>0</v>
      </c>
      <c r="AS106">
        <f t="shared" si="34"/>
        <v>0</v>
      </c>
      <c r="AT106">
        <f t="shared" si="35"/>
        <v>0</v>
      </c>
      <c r="AU106">
        <f t="shared" si="36"/>
        <v>0</v>
      </c>
      <c r="AV106">
        <f t="shared" si="37"/>
        <v>0</v>
      </c>
    </row>
    <row r="107" spans="1:48" ht="15" customHeight="1">
      <c r="A107" s="186"/>
      <c r="B107" s="57"/>
      <c r="C107" s="98" t="s">
        <v>2518</v>
      </c>
      <c r="D107" s="813" t="str">
        <f>IF(CNSIPEE_2024_M2_Secc1!D44="","",CNSIPEE_2024_M2_Secc1!D44)</f>
        <v/>
      </c>
      <c r="E107" s="814"/>
      <c r="F107" s="814"/>
      <c r="G107" s="814"/>
      <c r="H107" s="814"/>
      <c r="I107" s="814"/>
      <c r="J107" s="814"/>
      <c r="K107" s="814"/>
      <c r="L107" s="814"/>
      <c r="M107" s="814"/>
      <c r="N107" s="814"/>
      <c r="O107" s="814"/>
      <c r="P107" s="814"/>
      <c r="Q107" s="814"/>
      <c r="R107" s="815"/>
      <c r="S107" s="100"/>
      <c r="T107" s="100"/>
      <c r="U107" s="100"/>
      <c r="V107" s="100"/>
      <c r="W107" s="100"/>
      <c r="X107" s="100"/>
      <c r="Y107" s="100"/>
      <c r="Z107" s="100"/>
      <c r="AA107" s="100"/>
      <c r="AB107" s="100"/>
      <c r="AC107" s="100"/>
      <c r="AD107" s="100"/>
      <c r="AG107">
        <f t="shared" si="38"/>
        <v>0</v>
      </c>
      <c r="AH107">
        <f t="shared" si="39"/>
        <v>0</v>
      </c>
      <c r="AI107">
        <f t="shared" si="40"/>
        <v>0</v>
      </c>
      <c r="AK107">
        <f t="shared" si="27"/>
        <v>0</v>
      </c>
      <c r="AL107">
        <f t="shared" si="28"/>
        <v>0</v>
      </c>
      <c r="AM107">
        <f t="shared" si="41"/>
        <v>0</v>
      </c>
      <c r="AN107">
        <f t="shared" si="29"/>
        <v>0</v>
      </c>
      <c r="AO107">
        <f t="shared" si="30"/>
        <v>0</v>
      </c>
      <c r="AP107">
        <f t="shared" si="31"/>
        <v>0</v>
      </c>
      <c r="AQ107">
        <f t="shared" si="32"/>
        <v>0</v>
      </c>
      <c r="AR107">
        <f t="shared" si="33"/>
        <v>0</v>
      </c>
      <c r="AS107">
        <f t="shared" si="34"/>
        <v>0</v>
      </c>
      <c r="AT107">
        <f t="shared" si="35"/>
        <v>0</v>
      </c>
      <c r="AU107">
        <f t="shared" si="36"/>
        <v>0</v>
      </c>
      <c r="AV107">
        <f t="shared" si="37"/>
        <v>0</v>
      </c>
    </row>
    <row r="108" spans="1:48" ht="15" customHeight="1">
      <c r="A108" s="186"/>
      <c r="B108" s="57"/>
      <c r="C108" s="98" t="s">
        <v>2519</v>
      </c>
      <c r="D108" s="813" t="str">
        <f>IF(CNSIPEE_2024_M2_Secc1!D45="","",CNSIPEE_2024_M2_Secc1!D45)</f>
        <v/>
      </c>
      <c r="E108" s="814"/>
      <c r="F108" s="814"/>
      <c r="G108" s="814"/>
      <c r="H108" s="814"/>
      <c r="I108" s="814"/>
      <c r="J108" s="814"/>
      <c r="K108" s="814"/>
      <c r="L108" s="814"/>
      <c r="M108" s="814"/>
      <c r="N108" s="814"/>
      <c r="O108" s="814"/>
      <c r="P108" s="814"/>
      <c r="Q108" s="814"/>
      <c r="R108" s="815"/>
      <c r="S108" s="100"/>
      <c r="T108" s="100"/>
      <c r="U108" s="100"/>
      <c r="V108" s="100"/>
      <c r="W108" s="100"/>
      <c r="X108" s="100"/>
      <c r="Y108" s="100"/>
      <c r="Z108" s="100"/>
      <c r="AA108" s="100"/>
      <c r="AB108" s="100"/>
      <c r="AC108" s="100"/>
      <c r="AD108" s="100"/>
      <c r="AG108">
        <f t="shared" si="38"/>
        <v>0</v>
      </c>
      <c r="AH108">
        <f t="shared" si="39"/>
        <v>0</v>
      </c>
      <c r="AI108">
        <f t="shared" si="40"/>
        <v>0</v>
      </c>
      <c r="AK108">
        <f t="shared" si="27"/>
        <v>0</v>
      </c>
      <c r="AL108">
        <f t="shared" si="28"/>
        <v>0</v>
      </c>
      <c r="AM108">
        <f t="shared" si="41"/>
        <v>0</v>
      </c>
      <c r="AN108">
        <f t="shared" si="29"/>
        <v>0</v>
      </c>
      <c r="AO108">
        <f t="shared" si="30"/>
        <v>0</v>
      </c>
      <c r="AP108">
        <f t="shared" si="31"/>
        <v>0</v>
      </c>
      <c r="AQ108">
        <f t="shared" si="32"/>
        <v>0</v>
      </c>
      <c r="AR108">
        <f t="shared" si="33"/>
        <v>0</v>
      </c>
      <c r="AS108">
        <f t="shared" si="34"/>
        <v>0</v>
      </c>
      <c r="AT108">
        <f t="shared" si="35"/>
        <v>0</v>
      </c>
      <c r="AU108">
        <f t="shared" si="36"/>
        <v>0</v>
      </c>
      <c r="AV108">
        <f t="shared" si="37"/>
        <v>0</v>
      </c>
    </row>
    <row r="109" spans="1:48" ht="15" customHeight="1">
      <c r="A109" s="186"/>
      <c r="B109" s="57"/>
      <c r="C109" s="98" t="s">
        <v>2520</v>
      </c>
      <c r="D109" s="813" t="str">
        <f>IF(CNSIPEE_2024_M2_Secc1!D46="","",CNSIPEE_2024_M2_Secc1!D46)</f>
        <v/>
      </c>
      <c r="E109" s="814"/>
      <c r="F109" s="814"/>
      <c r="G109" s="814"/>
      <c r="H109" s="814"/>
      <c r="I109" s="814"/>
      <c r="J109" s="814"/>
      <c r="K109" s="814"/>
      <c r="L109" s="814"/>
      <c r="M109" s="814"/>
      <c r="N109" s="814"/>
      <c r="O109" s="814"/>
      <c r="P109" s="814"/>
      <c r="Q109" s="814"/>
      <c r="R109" s="815"/>
      <c r="S109" s="100"/>
      <c r="T109" s="100"/>
      <c r="U109" s="100"/>
      <c r="V109" s="100"/>
      <c r="W109" s="100"/>
      <c r="X109" s="100"/>
      <c r="Y109" s="100"/>
      <c r="Z109" s="100"/>
      <c r="AA109" s="100"/>
      <c r="AB109" s="100"/>
      <c r="AC109" s="100"/>
      <c r="AD109" s="100"/>
      <c r="AG109">
        <f t="shared" si="38"/>
        <v>0</v>
      </c>
      <c r="AH109">
        <f t="shared" si="39"/>
        <v>0</v>
      </c>
      <c r="AI109">
        <f t="shared" si="40"/>
        <v>0</v>
      </c>
      <c r="AK109">
        <f t="shared" si="27"/>
        <v>0</v>
      </c>
      <c r="AL109">
        <f t="shared" si="28"/>
        <v>0</v>
      </c>
      <c r="AM109">
        <f t="shared" si="41"/>
        <v>0</v>
      </c>
      <c r="AN109">
        <f t="shared" si="29"/>
        <v>0</v>
      </c>
      <c r="AO109">
        <f t="shared" si="30"/>
        <v>0</v>
      </c>
      <c r="AP109">
        <f t="shared" si="31"/>
        <v>0</v>
      </c>
      <c r="AQ109">
        <f t="shared" si="32"/>
        <v>0</v>
      </c>
      <c r="AR109">
        <f t="shared" si="33"/>
        <v>0</v>
      </c>
      <c r="AS109">
        <f t="shared" si="34"/>
        <v>0</v>
      </c>
      <c r="AT109">
        <f t="shared" si="35"/>
        <v>0</v>
      </c>
      <c r="AU109">
        <f t="shared" si="36"/>
        <v>0</v>
      </c>
      <c r="AV109">
        <f t="shared" si="37"/>
        <v>0</v>
      </c>
    </row>
    <row r="110" spans="1:48" ht="15" customHeight="1">
      <c r="A110" s="186"/>
      <c r="B110" s="57"/>
      <c r="C110" s="98" t="s">
        <v>2521</v>
      </c>
      <c r="D110" s="813" t="str">
        <f>IF(CNSIPEE_2024_M2_Secc1!D47="","",CNSIPEE_2024_M2_Secc1!D47)</f>
        <v/>
      </c>
      <c r="E110" s="814"/>
      <c r="F110" s="814"/>
      <c r="G110" s="814"/>
      <c r="H110" s="814"/>
      <c r="I110" s="814"/>
      <c r="J110" s="814"/>
      <c r="K110" s="814"/>
      <c r="L110" s="814"/>
      <c r="M110" s="814"/>
      <c r="N110" s="814"/>
      <c r="O110" s="814"/>
      <c r="P110" s="814"/>
      <c r="Q110" s="814"/>
      <c r="R110" s="815"/>
      <c r="S110" s="100"/>
      <c r="T110" s="100"/>
      <c r="U110" s="100"/>
      <c r="V110" s="100"/>
      <c r="W110" s="100"/>
      <c r="X110" s="100"/>
      <c r="Y110" s="100"/>
      <c r="Z110" s="100"/>
      <c r="AA110" s="100"/>
      <c r="AB110" s="100"/>
      <c r="AC110" s="100"/>
      <c r="AD110" s="100"/>
      <c r="AG110">
        <f t="shared" si="38"/>
        <v>0</v>
      </c>
      <c r="AH110">
        <f t="shared" si="39"/>
        <v>0</v>
      </c>
      <c r="AI110">
        <f t="shared" si="40"/>
        <v>0</v>
      </c>
      <c r="AK110">
        <f t="shared" si="27"/>
        <v>0</v>
      </c>
      <c r="AL110">
        <f t="shared" si="28"/>
        <v>0</v>
      </c>
      <c r="AM110">
        <f t="shared" si="41"/>
        <v>0</v>
      </c>
      <c r="AN110">
        <f t="shared" si="29"/>
        <v>0</v>
      </c>
      <c r="AO110">
        <f t="shared" si="30"/>
        <v>0</v>
      </c>
      <c r="AP110">
        <f t="shared" si="31"/>
        <v>0</v>
      </c>
      <c r="AQ110">
        <f t="shared" si="32"/>
        <v>0</v>
      </c>
      <c r="AR110">
        <f t="shared" si="33"/>
        <v>0</v>
      </c>
      <c r="AS110">
        <f t="shared" si="34"/>
        <v>0</v>
      </c>
      <c r="AT110">
        <f t="shared" si="35"/>
        <v>0</v>
      </c>
      <c r="AU110">
        <f t="shared" si="36"/>
        <v>0</v>
      </c>
      <c r="AV110">
        <f t="shared" si="37"/>
        <v>0</v>
      </c>
    </row>
    <row r="111" spans="1:48" ht="15" customHeight="1">
      <c r="A111" s="186"/>
      <c r="B111" s="57"/>
      <c r="C111" s="98" t="s">
        <v>2522</v>
      </c>
      <c r="D111" s="813" t="str">
        <f>IF(CNSIPEE_2024_M2_Secc1!D48="","",CNSIPEE_2024_M2_Secc1!D48)</f>
        <v/>
      </c>
      <c r="E111" s="814"/>
      <c r="F111" s="814"/>
      <c r="G111" s="814"/>
      <c r="H111" s="814"/>
      <c r="I111" s="814"/>
      <c r="J111" s="814"/>
      <c r="K111" s="814"/>
      <c r="L111" s="814"/>
      <c r="M111" s="814"/>
      <c r="N111" s="814"/>
      <c r="O111" s="814"/>
      <c r="P111" s="814"/>
      <c r="Q111" s="814"/>
      <c r="R111" s="815"/>
      <c r="S111" s="100"/>
      <c r="T111" s="100"/>
      <c r="U111" s="100"/>
      <c r="V111" s="100"/>
      <c r="W111" s="100"/>
      <c r="X111" s="100"/>
      <c r="Y111" s="100"/>
      <c r="Z111" s="100"/>
      <c r="AA111" s="100"/>
      <c r="AB111" s="100"/>
      <c r="AC111" s="100"/>
      <c r="AD111" s="100"/>
      <c r="AG111">
        <f t="shared" si="38"/>
        <v>0</v>
      </c>
      <c r="AH111">
        <f t="shared" si="39"/>
        <v>0</v>
      </c>
      <c r="AI111">
        <f t="shared" si="40"/>
        <v>0</v>
      </c>
      <c r="AK111">
        <f t="shared" si="27"/>
        <v>0</v>
      </c>
      <c r="AL111">
        <f t="shared" si="28"/>
        <v>0</v>
      </c>
      <c r="AM111">
        <f t="shared" si="41"/>
        <v>0</v>
      </c>
      <c r="AN111">
        <f t="shared" si="29"/>
        <v>0</v>
      </c>
      <c r="AO111">
        <f t="shared" si="30"/>
        <v>0</v>
      </c>
      <c r="AP111">
        <f t="shared" si="31"/>
        <v>0</v>
      </c>
      <c r="AQ111">
        <f t="shared" si="32"/>
        <v>0</v>
      </c>
      <c r="AR111">
        <f t="shared" si="33"/>
        <v>0</v>
      </c>
      <c r="AS111">
        <f t="shared" si="34"/>
        <v>0</v>
      </c>
      <c r="AT111">
        <f t="shared" si="35"/>
        <v>0</v>
      </c>
      <c r="AU111">
        <f t="shared" si="36"/>
        <v>0</v>
      </c>
      <c r="AV111">
        <f t="shared" si="37"/>
        <v>0</v>
      </c>
    </row>
    <row r="112" spans="1:48" ht="15" customHeight="1">
      <c r="A112" s="186"/>
      <c r="B112" s="57"/>
      <c r="C112" s="98" t="s">
        <v>2523</v>
      </c>
      <c r="D112" s="813" t="str">
        <f>IF(CNSIPEE_2024_M2_Secc1!D49="","",CNSIPEE_2024_M2_Secc1!D49)</f>
        <v/>
      </c>
      <c r="E112" s="814"/>
      <c r="F112" s="814"/>
      <c r="G112" s="814"/>
      <c r="H112" s="814"/>
      <c r="I112" s="814"/>
      <c r="J112" s="814"/>
      <c r="K112" s="814"/>
      <c r="L112" s="814"/>
      <c r="M112" s="814"/>
      <c r="N112" s="814"/>
      <c r="O112" s="814"/>
      <c r="P112" s="814"/>
      <c r="Q112" s="814"/>
      <c r="R112" s="815"/>
      <c r="S112" s="100"/>
      <c r="T112" s="100"/>
      <c r="U112" s="100"/>
      <c r="V112" s="100"/>
      <c r="W112" s="100"/>
      <c r="X112" s="100"/>
      <c r="Y112" s="100"/>
      <c r="Z112" s="100"/>
      <c r="AA112" s="100"/>
      <c r="AB112" s="100"/>
      <c r="AC112" s="100"/>
      <c r="AD112" s="100"/>
      <c r="AG112">
        <f t="shared" si="38"/>
        <v>0</v>
      </c>
      <c r="AH112">
        <f>IF(OR($Y62=0,$Y62="NS",$Y62="NA"),IF(COUNTBLANK(S112:AD112)=12,0,1),0)</f>
        <v>0</v>
      </c>
      <c r="AI112">
        <f t="shared" si="40"/>
        <v>0</v>
      </c>
      <c r="AK112">
        <f t="shared" si="27"/>
        <v>0</v>
      </c>
      <c r="AL112">
        <f t="shared" si="28"/>
        <v>0</v>
      </c>
      <c r="AM112">
        <f t="shared" si="41"/>
        <v>0</v>
      </c>
      <c r="AN112">
        <f t="shared" si="29"/>
        <v>0</v>
      </c>
      <c r="AO112">
        <f t="shared" si="30"/>
        <v>0</v>
      </c>
      <c r="AP112">
        <f t="shared" si="31"/>
        <v>0</v>
      </c>
      <c r="AQ112">
        <f t="shared" si="32"/>
        <v>0</v>
      </c>
      <c r="AR112">
        <f t="shared" si="33"/>
        <v>0</v>
      </c>
      <c r="AS112">
        <f t="shared" si="34"/>
        <v>0</v>
      </c>
      <c r="AT112">
        <f t="shared" si="35"/>
        <v>0</v>
      </c>
      <c r="AU112">
        <f t="shared" si="36"/>
        <v>0</v>
      </c>
      <c r="AV112">
        <f t="shared" si="37"/>
        <v>0</v>
      </c>
    </row>
    <row r="113" spans="1:48" ht="15" customHeight="1">
      <c r="A113" s="186"/>
      <c r="B113" s="57"/>
      <c r="C113" s="70"/>
      <c r="D113" s="84"/>
      <c r="E113" s="84"/>
      <c r="F113" s="84"/>
      <c r="G113" s="84"/>
      <c r="H113" s="84"/>
      <c r="I113" s="84"/>
      <c r="J113" s="84"/>
      <c r="K113" s="84"/>
      <c r="L113" s="84"/>
      <c r="M113" s="84"/>
      <c r="N113" s="84"/>
      <c r="O113" s="84"/>
      <c r="P113" s="84"/>
      <c r="Q113" s="84"/>
      <c r="R113" s="117" t="s">
        <v>2649</v>
      </c>
      <c r="S113" s="124">
        <f t="shared" ref="S113:AD113" si="42">IF(AND(SUM(S105:S112)=0,COUNTIF(S105:S112,"NS")&gt;0),"NS",IF(AND(SUM(S105:S112)=0,COUNTIF(S105:S112,0)&gt;0),0,IF(AND(SUM(S105:S112)=0,COUNTIF(S105:S112,"NA")&gt;0),"NA",SUM(S105:S112))))</f>
        <v>0</v>
      </c>
      <c r="T113" s="124">
        <f t="shared" si="42"/>
        <v>0</v>
      </c>
      <c r="U113" s="124">
        <f t="shared" si="42"/>
        <v>0</v>
      </c>
      <c r="V113" s="124">
        <f t="shared" si="42"/>
        <v>0</v>
      </c>
      <c r="W113" s="124">
        <f t="shared" si="42"/>
        <v>0</v>
      </c>
      <c r="X113" s="124">
        <f t="shared" si="42"/>
        <v>0</v>
      </c>
      <c r="Y113" s="124">
        <f t="shared" si="42"/>
        <v>0</v>
      </c>
      <c r="Z113" s="124">
        <f t="shared" si="42"/>
        <v>0</v>
      </c>
      <c r="AA113" s="124">
        <f t="shared" si="42"/>
        <v>0</v>
      </c>
      <c r="AB113" s="124">
        <f t="shared" si="42"/>
        <v>0</v>
      </c>
      <c r="AC113" s="124">
        <f t="shared" si="42"/>
        <v>0</v>
      </c>
      <c r="AD113" s="124">
        <f t="shared" si="42"/>
        <v>0</v>
      </c>
      <c r="AG113" s="507">
        <f>SUM(AG105:AG112)</f>
        <v>0</v>
      </c>
      <c r="AH113" s="507">
        <f>SUM(AH105:AH112)</f>
        <v>0</v>
      </c>
      <c r="AI113" s="506">
        <f>SUM(AI105:AI112)</f>
        <v>0</v>
      </c>
      <c r="AK113">
        <f>SUM(AK105:AK112)</f>
        <v>0</v>
      </c>
      <c r="AM113">
        <f>SUM(AM105:AM112)</f>
        <v>0</v>
      </c>
      <c r="AN113">
        <f>SUM(AN105:AN112)</f>
        <v>0</v>
      </c>
      <c r="AP113">
        <f>SUM(AP105:AP112)</f>
        <v>0</v>
      </c>
      <c r="AQ113">
        <f>SUM(AQ105:AQ112)</f>
        <v>0</v>
      </c>
      <c r="AS113">
        <f>SUM(AS105:AS112)</f>
        <v>0</v>
      </c>
      <c r="AT113">
        <f>SUM(AT105:AT112)</f>
        <v>0</v>
      </c>
      <c r="AV113">
        <f>SUM(AV105:AV112)</f>
        <v>0</v>
      </c>
    </row>
    <row r="114" spans="1:48" ht="15" customHeight="1">
      <c r="A114" s="189"/>
      <c r="B114" s="57"/>
      <c r="C114" s="57"/>
      <c r="D114" s="57"/>
      <c r="E114" s="57"/>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K114" t="s">
        <v>2650</v>
      </c>
      <c r="AL114" s="506">
        <f>SUM(AM113,AP113,AS113,AV113)</f>
        <v>0</v>
      </c>
      <c r="AM114" t="s">
        <v>2651</v>
      </c>
      <c r="AN114">
        <f>SUM(AK113,AN113,AQ113,AT113)</f>
        <v>0</v>
      </c>
    </row>
    <row r="115" spans="1:48" ht="24" customHeight="1">
      <c r="A115" s="189"/>
      <c r="B115" s="57"/>
      <c r="C115" s="754" t="s">
        <v>2611</v>
      </c>
      <c r="D115" s="754"/>
      <c r="E115" s="754"/>
      <c r="F115" s="754"/>
      <c r="G115" s="754"/>
      <c r="H115" s="754"/>
      <c r="I115" s="754"/>
      <c r="J115" s="754"/>
      <c r="K115" s="754"/>
      <c r="L115" s="754"/>
      <c r="M115" s="754"/>
      <c r="N115" s="754"/>
      <c r="O115" s="754"/>
      <c r="P115" s="754"/>
      <c r="Q115" s="754"/>
      <c r="R115" s="754"/>
      <c r="S115" s="754"/>
      <c r="T115" s="754"/>
      <c r="U115" s="754"/>
      <c r="V115" s="754"/>
      <c r="W115" s="754"/>
      <c r="X115" s="754"/>
      <c r="Y115" s="754"/>
      <c r="Z115" s="754"/>
      <c r="AA115" s="754"/>
      <c r="AB115" s="754"/>
      <c r="AC115" s="754"/>
      <c r="AD115" s="754"/>
      <c r="AK115" t="s">
        <v>2652</v>
      </c>
      <c r="AL115" s="507">
        <f>IF(AN114&gt;0,IF(SUM(S113)&gt;=SUM(V113,Y113,AB113),0,1),IF(SUM(S113)&lt;&gt;SUM(V113,Y113,AB113),1,0))</f>
        <v>0</v>
      </c>
      <c r="AM115" t="s">
        <v>2653</v>
      </c>
      <c r="AN115" s="507">
        <f>IF(AN114&gt;0,IF(SUM(T113)&gt;=SUM(W113,Z113,AC113),0,1),IF(SUM(T113)&lt;&gt;SUM(W113,Z113,AC113),1,0))</f>
        <v>0</v>
      </c>
      <c r="AO115" t="s">
        <v>2654</v>
      </c>
      <c r="AP115" s="507">
        <f>IF(AN114&gt;0,IF(SUM(U113)&gt;=SUM(X113,AA113,AD113),0,1),IF(SUM(U113)&lt;&gt;SUM(X113,AA113,AD113),1,0))</f>
        <v>0</v>
      </c>
    </row>
    <row r="116" spans="1:48" ht="60" customHeight="1">
      <c r="A116" s="189"/>
      <c r="B116" s="57"/>
      <c r="C116" s="851"/>
      <c r="D116" s="851"/>
      <c r="E116" s="851"/>
      <c r="F116" s="851"/>
      <c r="G116" s="851"/>
      <c r="H116" s="851"/>
      <c r="I116" s="851"/>
      <c r="J116" s="851"/>
      <c r="K116" s="851"/>
      <c r="L116" s="851"/>
      <c r="M116" s="851"/>
      <c r="N116" s="851"/>
      <c r="O116" s="851"/>
      <c r="P116" s="851"/>
      <c r="Q116" s="851"/>
      <c r="R116" s="851"/>
      <c r="S116" s="851"/>
      <c r="T116" s="851"/>
      <c r="U116" s="851"/>
      <c r="V116" s="851"/>
      <c r="W116" s="851"/>
      <c r="X116" s="851"/>
      <c r="Y116" s="851"/>
      <c r="Z116" s="851"/>
      <c r="AA116" s="851"/>
      <c r="AB116" s="851"/>
      <c r="AC116" s="851"/>
      <c r="AD116" s="851"/>
    </row>
    <row r="117" spans="1:48" ht="15" customHeight="1">
      <c r="A117" s="189"/>
      <c r="B117" s="794" t="str">
        <f>IF(AG113=0,"","Favor de ingresar toda la información requerida en la pregunta")</f>
        <v/>
      </c>
      <c r="C117" s="794"/>
      <c r="D117" s="794"/>
      <c r="E117" s="794"/>
      <c r="F117" s="794"/>
      <c r="G117" s="794"/>
      <c r="H117" s="794"/>
      <c r="I117" s="794"/>
      <c r="J117" s="794"/>
      <c r="K117" s="794"/>
      <c r="L117" s="794"/>
      <c r="M117" s="794"/>
      <c r="N117" s="794"/>
      <c r="O117" s="794"/>
      <c r="P117" s="794"/>
      <c r="Q117" s="794"/>
      <c r="R117" s="794"/>
      <c r="S117" s="794"/>
      <c r="T117" s="794"/>
      <c r="U117" s="794"/>
      <c r="V117" s="794"/>
      <c r="W117" s="794"/>
      <c r="X117" s="794"/>
      <c r="Y117" s="794"/>
      <c r="Z117" s="794"/>
      <c r="AA117" s="794"/>
      <c r="AB117" s="794"/>
      <c r="AC117" s="794"/>
      <c r="AD117" s="794"/>
      <c r="AE117" s="794"/>
    </row>
    <row r="118" spans="1:48" ht="15" customHeight="1">
      <c r="A118" s="189"/>
      <c r="B118" s="1087" t="str">
        <f>IF(COUNTIF(S105:AD112,"NS")&lt;&gt;0,"Alerta: debido a que cuenta con registros NS, debe proporcionar una justificación en el area de comentarios al final de la pregunta","")</f>
        <v/>
      </c>
      <c r="C118" s="1087"/>
      <c r="D118" s="1087"/>
      <c r="E118" s="1087"/>
      <c r="F118" s="1087"/>
      <c r="G118" s="1087"/>
      <c r="H118" s="1087"/>
      <c r="I118" s="1087"/>
      <c r="J118" s="1087"/>
      <c r="K118" s="1087"/>
      <c r="L118" s="1087"/>
      <c r="M118" s="1087"/>
      <c r="N118" s="1087"/>
      <c r="O118" s="1087"/>
      <c r="P118" s="1087"/>
      <c r="Q118" s="1087"/>
      <c r="R118" s="1087"/>
      <c r="S118" s="1087"/>
      <c r="T118" s="1087"/>
      <c r="U118" s="1087"/>
      <c r="V118" s="1087"/>
      <c r="W118" s="1087"/>
      <c r="X118" s="1087"/>
      <c r="Y118" s="1087"/>
      <c r="Z118" s="1087"/>
      <c r="AA118" s="1087"/>
      <c r="AB118" s="1087"/>
      <c r="AC118" s="1087"/>
      <c r="AD118" s="1087"/>
      <c r="AE118" s="1087"/>
    </row>
    <row r="119" spans="1:48" ht="15" customHeight="1">
      <c r="A119" s="189"/>
      <c r="B119" s="1003" t="str">
        <f>IF(AH113&gt;0,"Revise la información capturada, ya que tiene datos ingresados en celdas que están sombreadas","")</f>
        <v/>
      </c>
      <c r="C119" s="1003"/>
      <c r="D119" s="1003"/>
      <c r="E119" s="1003"/>
      <c r="F119" s="1003"/>
      <c r="G119" s="1003"/>
      <c r="H119" s="1003"/>
      <c r="I119" s="1003"/>
      <c r="J119" s="1003"/>
      <c r="K119" s="1003"/>
      <c r="L119" s="1003"/>
      <c r="M119" s="1003"/>
      <c r="N119" s="1003"/>
      <c r="O119" s="1003"/>
      <c r="P119" s="1003"/>
      <c r="Q119" s="1003"/>
      <c r="R119" s="1003"/>
      <c r="S119" s="1003"/>
      <c r="T119" s="1003"/>
      <c r="U119" s="1003"/>
      <c r="V119" s="1003"/>
      <c r="W119" s="1003"/>
      <c r="X119" s="1003"/>
      <c r="Y119" s="1003"/>
      <c r="Z119" s="1003"/>
      <c r="AA119" s="1003"/>
      <c r="AB119" s="1003"/>
      <c r="AC119" s="1003"/>
      <c r="AD119" s="1003"/>
      <c r="AE119" s="1003"/>
    </row>
    <row r="120" spans="1:48" ht="15" customHeight="1">
      <c r="A120" s="189"/>
      <c r="B120" s="1003" t="str">
        <f>IF(OR(AL114&gt;0,AL115&gt;0,AN115&gt;0,AP115&gt;0),"Favor de revisar la suma y consistencia de totales y/o subtotales por filas (numéricos y NS)","")</f>
        <v/>
      </c>
      <c r="C120" s="1003"/>
      <c r="D120" s="1003"/>
      <c r="E120" s="1003"/>
      <c r="F120" s="1003"/>
      <c r="G120" s="1003"/>
      <c r="H120" s="1003"/>
      <c r="I120" s="1003"/>
      <c r="J120" s="1003"/>
      <c r="K120" s="1003"/>
      <c r="L120" s="1003"/>
      <c r="M120" s="1003"/>
      <c r="N120" s="1003"/>
      <c r="O120" s="1003"/>
      <c r="P120" s="1003"/>
      <c r="Q120" s="1003"/>
      <c r="R120" s="1003"/>
      <c r="S120" s="1003"/>
      <c r="T120" s="1003"/>
      <c r="U120" s="1003"/>
      <c r="V120" s="1003"/>
      <c r="W120" s="1003"/>
      <c r="X120" s="1003"/>
      <c r="Y120" s="1003"/>
      <c r="Z120" s="1003"/>
      <c r="AA120" s="1003"/>
      <c r="AB120" s="1003"/>
      <c r="AC120" s="1003"/>
      <c r="AD120" s="1003"/>
      <c r="AE120" s="1003"/>
    </row>
    <row r="121" spans="1:48" ht="15" customHeight="1">
      <c r="A121" s="189"/>
      <c r="B121" s="1003" t="str">
        <f>IF(AI113=0,"","Las cantidades de Hombres y Mujeres por centro especializado debe ser igual a los datos reportados en la preg. anterior")</f>
        <v/>
      </c>
      <c r="C121" s="1003"/>
      <c r="D121" s="1003"/>
      <c r="E121" s="1003"/>
      <c r="F121" s="1003"/>
      <c r="G121" s="1003"/>
      <c r="H121" s="1003"/>
      <c r="I121" s="1003"/>
      <c r="J121" s="1003"/>
      <c r="K121" s="1003"/>
      <c r="L121" s="1003"/>
      <c r="M121" s="1003"/>
      <c r="N121" s="1003"/>
      <c r="O121" s="1003"/>
      <c r="P121" s="1003"/>
      <c r="Q121" s="1003"/>
      <c r="R121" s="1003"/>
      <c r="S121" s="1003"/>
      <c r="T121" s="1003"/>
      <c r="U121" s="1003"/>
      <c r="V121" s="1003"/>
      <c r="W121" s="1003"/>
      <c r="X121" s="1003"/>
      <c r="Y121" s="1003"/>
      <c r="Z121" s="1003"/>
      <c r="AA121" s="1003"/>
      <c r="AB121" s="1003"/>
      <c r="AC121" s="1003"/>
      <c r="AD121" s="1003"/>
      <c r="AE121" s="1003"/>
    </row>
    <row r="122" spans="1:48" ht="15" customHeight="1">
      <c r="A122" s="10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row>
    <row r="123" spans="1:48" ht="36" customHeight="1">
      <c r="A123" s="49" t="s">
        <v>5487</v>
      </c>
      <c r="B123" s="829" t="s">
        <v>5488</v>
      </c>
      <c r="C123" s="829"/>
      <c r="D123" s="829"/>
      <c r="E123" s="829"/>
      <c r="F123" s="829"/>
      <c r="G123" s="829"/>
      <c r="H123" s="829"/>
      <c r="I123" s="829"/>
      <c r="J123" s="829"/>
      <c r="K123" s="829"/>
      <c r="L123" s="829"/>
      <c r="M123" s="829"/>
      <c r="N123" s="829"/>
      <c r="O123" s="829"/>
      <c r="P123" s="829"/>
      <c r="Q123" s="829"/>
      <c r="R123" s="829"/>
      <c r="S123" s="829"/>
      <c r="T123" s="829"/>
      <c r="U123" s="829"/>
      <c r="V123" s="829"/>
      <c r="W123" s="829"/>
      <c r="X123" s="829"/>
      <c r="Y123" s="829"/>
      <c r="Z123" s="829"/>
      <c r="AA123" s="829"/>
      <c r="AB123" s="829"/>
      <c r="AC123" s="829"/>
      <c r="AD123" s="829"/>
    </row>
    <row r="124" spans="1:48" ht="24" customHeight="1">
      <c r="A124" s="142"/>
      <c r="B124" s="57"/>
      <c r="C124" s="754" t="s">
        <v>5489</v>
      </c>
      <c r="D124" s="754"/>
      <c r="E124" s="754"/>
      <c r="F124" s="754"/>
      <c r="G124" s="754"/>
      <c r="H124" s="754"/>
      <c r="I124" s="754"/>
      <c r="J124" s="754"/>
      <c r="K124" s="754"/>
      <c r="L124" s="754"/>
      <c r="M124" s="754"/>
      <c r="N124" s="754"/>
      <c r="O124" s="754"/>
      <c r="P124" s="754"/>
      <c r="Q124" s="754"/>
      <c r="R124" s="754"/>
      <c r="S124" s="754"/>
      <c r="T124" s="754"/>
      <c r="U124" s="754"/>
      <c r="V124" s="754"/>
      <c r="W124" s="754"/>
      <c r="X124" s="754"/>
      <c r="Y124" s="754"/>
      <c r="Z124" s="754"/>
      <c r="AA124" s="754"/>
      <c r="AB124" s="754"/>
      <c r="AC124" s="754"/>
      <c r="AD124" s="754"/>
    </row>
    <row r="125" spans="1:48" ht="15" customHeight="1">
      <c r="A125" s="142"/>
      <c r="B125" s="57"/>
      <c r="C125" s="57"/>
      <c r="D125" s="57"/>
      <c r="E125" s="57"/>
      <c r="F125" s="57"/>
      <c r="G125" s="57"/>
      <c r="H125" s="57"/>
      <c r="I125" s="57"/>
      <c r="J125" s="57"/>
      <c r="K125" s="57"/>
      <c r="L125" s="57"/>
      <c r="M125" s="57"/>
      <c r="N125" s="57"/>
      <c r="O125" s="57"/>
      <c r="P125" s="57"/>
      <c r="Q125" s="57"/>
      <c r="R125" s="57"/>
      <c r="S125" s="57"/>
      <c r="T125" s="57"/>
      <c r="U125" s="57"/>
      <c r="V125" s="57"/>
      <c r="W125" s="57"/>
      <c r="X125" s="57"/>
      <c r="Y125" s="57"/>
      <c r="Z125" s="57"/>
      <c r="AA125" s="57"/>
      <c r="AB125" s="57"/>
      <c r="AC125" s="57"/>
      <c r="AD125" s="57"/>
    </row>
    <row r="126" spans="1:48" ht="48" customHeight="1">
      <c r="A126" s="50"/>
      <c r="B126" s="38"/>
      <c r="C126" s="880" t="s">
        <v>2581</v>
      </c>
      <c r="D126" s="880"/>
      <c r="E126" s="880"/>
      <c r="F126" s="880"/>
      <c r="G126" s="880"/>
      <c r="H126" s="880"/>
      <c r="I126" s="880"/>
      <c r="J126" s="880"/>
      <c r="K126" s="880"/>
      <c r="L126" s="880"/>
      <c r="M126" s="880"/>
      <c r="N126" s="880"/>
      <c r="O126" s="880"/>
      <c r="P126" s="880"/>
      <c r="Q126" s="880"/>
      <c r="R126" s="880"/>
      <c r="S126" s="739" t="s">
        <v>5490</v>
      </c>
      <c r="T126" s="740"/>
      <c r="U126" s="740"/>
      <c r="V126" s="740"/>
      <c r="W126" s="740"/>
      <c r="X126" s="740"/>
      <c r="Y126" s="740"/>
      <c r="Z126" s="740"/>
      <c r="AA126" s="740"/>
      <c r="AB126" s="740"/>
      <c r="AC126" s="740"/>
      <c r="AD126" s="741"/>
    </row>
    <row r="127" spans="1:48" ht="72" customHeight="1">
      <c r="A127" s="50"/>
      <c r="B127" s="38"/>
      <c r="C127" s="880"/>
      <c r="D127" s="880"/>
      <c r="E127" s="880"/>
      <c r="F127" s="880"/>
      <c r="G127" s="880"/>
      <c r="H127" s="880"/>
      <c r="I127" s="880"/>
      <c r="J127" s="880"/>
      <c r="K127" s="880"/>
      <c r="L127" s="880"/>
      <c r="M127" s="880"/>
      <c r="N127" s="880"/>
      <c r="O127" s="880"/>
      <c r="P127" s="880"/>
      <c r="Q127" s="880"/>
      <c r="R127" s="880"/>
      <c r="S127" s="887" t="s">
        <v>2628</v>
      </c>
      <c r="T127" s="889" t="s">
        <v>2629</v>
      </c>
      <c r="U127" s="889" t="s">
        <v>2630</v>
      </c>
      <c r="V127" s="858" t="s">
        <v>5281</v>
      </c>
      <c r="W127" s="859"/>
      <c r="X127" s="860"/>
      <c r="Y127" s="858" t="s">
        <v>5282</v>
      </c>
      <c r="Z127" s="859"/>
      <c r="AA127" s="860"/>
      <c r="AB127" s="858" t="s">
        <v>201</v>
      </c>
      <c r="AC127" s="859"/>
      <c r="AD127" s="860"/>
    </row>
    <row r="128" spans="1:48" ht="48" customHeight="1">
      <c r="A128" s="50"/>
      <c r="B128" s="38"/>
      <c r="C128" s="880"/>
      <c r="D128" s="880"/>
      <c r="E128" s="880"/>
      <c r="F128" s="880"/>
      <c r="G128" s="880"/>
      <c r="H128" s="880"/>
      <c r="I128" s="880"/>
      <c r="J128" s="880"/>
      <c r="K128" s="880"/>
      <c r="L128" s="880"/>
      <c r="M128" s="880"/>
      <c r="N128" s="880"/>
      <c r="O128" s="880"/>
      <c r="P128" s="880"/>
      <c r="Q128" s="880"/>
      <c r="R128" s="880"/>
      <c r="S128" s="888"/>
      <c r="T128" s="890"/>
      <c r="U128" s="890"/>
      <c r="V128" s="171" t="s">
        <v>2635</v>
      </c>
      <c r="W128" s="128" t="s">
        <v>2629</v>
      </c>
      <c r="X128" s="128" t="s">
        <v>2630</v>
      </c>
      <c r="Y128" s="171" t="s">
        <v>2635</v>
      </c>
      <c r="Z128" s="128" t="s">
        <v>2629</v>
      </c>
      <c r="AA128" s="128" t="s">
        <v>2630</v>
      </c>
      <c r="AB128" s="171" t="s">
        <v>2635</v>
      </c>
      <c r="AC128" s="128" t="s">
        <v>2629</v>
      </c>
      <c r="AD128" s="128" t="s">
        <v>2630</v>
      </c>
      <c r="AG128" t="s">
        <v>2586</v>
      </c>
      <c r="AH128" t="s">
        <v>4581</v>
      </c>
      <c r="AI128" t="s">
        <v>5486</v>
      </c>
      <c r="AK128" t="s">
        <v>4573</v>
      </c>
      <c r="AL128" t="s">
        <v>2638</v>
      </c>
      <c r="AM128" t="s">
        <v>2639</v>
      </c>
      <c r="AN128" t="s">
        <v>4574</v>
      </c>
      <c r="AO128" t="s">
        <v>2641</v>
      </c>
      <c r="AP128" t="s">
        <v>2642</v>
      </c>
      <c r="AQ128" t="s">
        <v>4575</v>
      </c>
      <c r="AR128" t="s">
        <v>2644</v>
      </c>
      <c r="AS128" t="s">
        <v>2645</v>
      </c>
      <c r="AT128" t="s">
        <v>4576</v>
      </c>
      <c r="AU128" t="s">
        <v>2647</v>
      </c>
      <c r="AV128" t="s">
        <v>2648</v>
      </c>
    </row>
    <row r="129" spans="1:48" ht="15" customHeight="1">
      <c r="A129" s="50"/>
      <c r="B129" s="38"/>
      <c r="C129" s="97" t="s">
        <v>2516</v>
      </c>
      <c r="D129" s="796" t="str">
        <f>IF(CNSIPEE_2024_M2_Secc1!D42="","",CNSIPEE_2024_M2_Secc1!D42)</f>
        <v/>
      </c>
      <c r="E129" s="796"/>
      <c r="F129" s="796"/>
      <c r="G129" s="796"/>
      <c r="H129" s="796"/>
      <c r="I129" s="796"/>
      <c r="J129" s="796"/>
      <c r="K129" s="796"/>
      <c r="L129" s="796"/>
      <c r="M129" s="796"/>
      <c r="N129" s="796"/>
      <c r="O129" s="796"/>
      <c r="P129" s="796"/>
      <c r="Q129" s="796"/>
      <c r="R129" s="796"/>
      <c r="S129" s="100"/>
      <c r="T129" s="100"/>
      <c r="U129" s="100"/>
      <c r="V129" s="100"/>
      <c r="W129" s="100"/>
      <c r="X129" s="100"/>
      <c r="Y129" s="100"/>
      <c r="Z129" s="100"/>
      <c r="AA129" s="100"/>
      <c r="AB129" s="100"/>
      <c r="AC129" s="100"/>
      <c r="AD129" s="100"/>
      <c r="AG129">
        <f>IF(OR($Y55=0,$Y55="NS",$Y55="NA"),0,IF(OR(COUNTBLANK(D129:AD129)=14,COUNTBLANK(D129:AD129)=27),0,1))</f>
        <v>0</v>
      </c>
      <c r="AH129">
        <f>IF(OR($Y55=0,$Y55="NS",$Y55="NA"),IF(COUNTBLANK(S129:AD129)=12,0,1),0)</f>
        <v>0</v>
      </c>
      <c r="AI129">
        <f>IF(OR($Y55=0,$Y55="NS",$Y55="NA"),0,IF(AND(S129=J81,T129=K81,U129=L81),0,1))</f>
        <v>0</v>
      </c>
      <c r="AK129">
        <f t="shared" ref="AK129:AK136" si="43">COUNTIF(T129:U129,"NS")</f>
        <v>0</v>
      </c>
      <c r="AL129">
        <f t="shared" ref="AL129:AL136" si="44">SUM(T129:U129)</f>
        <v>0</v>
      </c>
      <c r="AM129">
        <f>IF(COUNTIF(S129:U129,"NA")=3,0,IF(COUNTA(S129:U129)=0,0,IF(OR(AND(S129=0,AK129&gt;0),AND(S129="ns",AL129&gt;0),AND(S129="ns",AK129=0,AL129=0)),1,IF(OR(AND(S129&gt;0,AK129=2),AND(S129="ns",AK129=2),AND(S129="ns",AL129=0,AK129&gt;0),S129=AL129),0,1))))</f>
        <v>0</v>
      </c>
      <c r="AN129">
        <f t="shared" ref="AN129:AN136" si="45">COUNTIF(W129:X129,"NS")</f>
        <v>0</v>
      </c>
      <c r="AO129">
        <f t="shared" ref="AO129:AO136" si="46">SUM(W129:X129)</f>
        <v>0</v>
      </c>
      <c r="AP129">
        <f t="shared" ref="AP129:AP136" si="47">IF(COUNTIF(V129:X129,"NA")=3,0,IF(COUNTA(V129:X129)=0,0,IF(OR(AND(V129=0,AN129&gt;0),AND(V129="ns",AO129&gt;0),AND(V129="ns",AN129=0,AO129=0)),1,IF(OR(AND(V129&gt;0,AN129=2),AND(V129="ns",AN129=2),AND(V129="ns",AO129=0,AN129&gt;0),V129=AO129),0,1))))</f>
        <v>0</v>
      </c>
      <c r="AQ129">
        <f t="shared" ref="AQ129:AQ136" si="48">COUNTIF(Z129:AA129,"NS")</f>
        <v>0</v>
      </c>
      <c r="AR129">
        <f t="shared" ref="AR129:AR136" si="49">SUM(Z129:AA129)</f>
        <v>0</v>
      </c>
      <c r="AS129">
        <f t="shared" ref="AS129:AS136" si="50">IF(COUNTIF(Y129:AA129,"NA")=3,0,IF(COUNTA(Y129:AA129)=0,0,IF(OR(AND(Y129=0,AQ129&gt;0),AND(Y129="ns",AR129&gt;0),AND(Y129="ns",AQ129=0,AR129=0)),1,IF(OR(AND(Y129&gt;0,AQ129=2),AND(Y129="ns",AQ129=2),AND(Y129="ns",AR129=0,AQ129&gt;0),Y129=AR129),0,1))))</f>
        <v>0</v>
      </c>
      <c r="AT129">
        <f t="shared" ref="AT129:AT136" si="51">COUNTIF(AC129:AD129,"NS")</f>
        <v>0</v>
      </c>
      <c r="AU129">
        <f t="shared" ref="AU129:AU136" si="52">SUM(AC129:AD129)</f>
        <v>0</v>
      </c>
      <c r="AV129">
        <f t="shared" ref="AV129:AV136" si="53">IF(COUNTIF(AB129:AD129,"NA")=3,0,IF(COUNTA(AB129:AD129)=0,0,IF(OR(AND(AB129=0,AT129&gt;0),AND(AB129="ns",AU129&gt;0),AND(AB129="ns",AT129=0,AU129=0)),1,IF(OR(AND(AB129&gt;0,AT129=2),AND(AB129="ns",AT129=2),AND(AB129="ns",AU129=0,AT129&gt;0),AB129=AU129),0,1))))</f>
        <v>0</v>
      </c>
    </row>
    <row r="130" spans="1:48" ht="15" customHeight="1">
      <c r="A130" s="50"/>
      <c r="B130" s="38"/>
      <c r="C130" s="98" t="s">
        <v>2517</v>
      </c>
      <c r="D130" s="796" t="str">
        <f>IF(CNSIPEE_2024_M2_Secc1!D43="","",CNSIPEE_2024_M2_Secc1!D43)</f>
        <v/>
      </c>
      <c r="E130" s="796"/>
      <c r="F130" s="796"/>
      <c r="G130" s="796"/>
      <c r="H130" s="796"/>
      <c r="I130" s="796"/>
      <c r="J130" s="796"/>
      <c r="K130" s="796"/>
      <c r="L130" s="796"/>
      <c r="M130" s="796"/>
      <c r="N130" s="796"/>
      <c r="O130" s="796"/>
      <c r="P130" s="796"/>
      <c r="Q130" s="796"/>
      <c r="R130" s="796"/>
      <c r="S130" s="100"/>
      <c r="T130" s="100"/>
      <c r="U130" s="100"/>
      <c r="V130" s="100"/>
      <c r="W130" s="100"/>
      <c r="X130" s="100"/>
      <c r="Y130" s="100"/>
      <c r="Z130" s="100"/>
      <c r="AA130" s="100"/>
      <c r="AB130" s="100"/>
      <c r="AC130" s="100"/>
      <c r="AD130" s="100"/>
      <c r="AG130">
        <f t="shared" ref="AG130:AG136" si="54">IF(OR($Y56=0,$Y56="NS",$Y56="NA"),0,IF(OR(COUNTBLANK(D130:AD130)=14,COUNTBLANK(D130:AD130)=27),0,1))</f>
        <v>0</v>
      </c>
      <c r="AH130">
        <f t="shared" ref="AH130:AH136" si="55">IF(OR($Y56=0,$Y56="NS",$Y56="NA"),IF(COUNTBLANK(S130:AD130)=12,0,1),0)</f>
        <v>0</v>
      </c>
      <c r="AI130">
        <f t="shared" ref="AI130:AI136" si="56">IF(OR($Y56=0,$Y56="NS",$Y56="NA"),0,IF(AND(S130=J82,T130=K82,U130=L82),0,1))</f>
        <v>0</v>
      </c>
      <c r="AK130">
        <f t="shared" si="43"/>
        <v>0</v>
      </c>
      <c r="AL130">
        <f t="shared" si="44"/>
        <v>0</v>
      </c>
      <c r="AM130">
        <f t="shared" ref="AM130:AM136" si="57">IF(COUNTIF(S130:U130,"NA")=3,0,IF(COUNTA(S130:U130)=0,0,IF(OR(AND(S130=0,AK130&gt;0),AND(S130="ns",AL130&gt;0),AND(S130="ns",AK130=0,AL130=0)),1,IF(OR(AND(S130&gt;0,AK130=2),AND(S130="ns",AK130=2),AND(S130="ns",AL130=0,AK130&gt;0),S130=AL130),0,1))))</f>
        <v>0</v>
      </c>
      <c r="AN130">
        <f t="shared" si="45"/>
        <v>0</v>
      </c>
      <c r="AO130">
        <f t="shared" si="46"/>
        <v>0</v>
      </c>
      <c r="AP130">
        <f t="shared" si="47"/>
        <v>0</v>
      </c>
      <c r="AQ130">
        <f t="shared" si="48"/>
        <v>0</v>
      </c>
      <c r="AR130">
        <f t="shared" si="49"/>
        <v>0</v>
      </c>
      <c r="AS130">
        <f t="shared" si="50"/>
        <v>0</v>
      </c>
      <c r="AT130">
        <f t="shared" si="51"/>
        <v>0</v>
      </c>
      <c r="AU130">
        <f t="shared" si="52"/>
        <v>0</v>
      </c>
      <c r="AV130">
        <f t="shared" si="53"/>
        <v>0</v>
      </c>
    </row>
    <row r="131" spans="1:48" ht="15" customHeight="1">
      <c r="A131" s="166"/>
      <c r="B131" s="57"/>
      <c r="C131" s="98" t="s">
        <v>2518</v>
      </c>
      <c r="D131" s="796" t="str">
        <f>IF(CNSIPEE_2024_M2_Secc1!D44="","",CNSIPEE_2024_M2_Secc1!D44)</f>
        <v/>
      </c>
      <c r="E131" s="796"/>
      <c r="F131" s="796"/>
      <c r="G131" s="796"/>
      <c r="H131" s="796"/>
      <c r="I131" s="796"/>
      <c r="J131" s="796"/>
      <c r="K131" s="796"/>
      <c r="L131" s="796"/>
      <c r="M131" s="796"/>
      <c r="N131" s="796"/>
      <c r="O131" s="796"/>
      <c r="P131" s="796"/>
      <c r="Q131" s="796"/>
      <c r="R131" s="796"/>
      <c r="S131" s="100"/>
      <c r="T131" s="100"/>
      <c r="U131" s="100"/>
      <c r="V131" s="100"/>
      <c r="W131" s="100"/>
      <c r="X131" s="100"/>
      <c r="Y131" s="100"/>
      <c r="Z131" s="100"/>
      <c r="AA131" s="100"/>
      <c r="AB131" s="100"/>
      <c r="AC131" s="100"/>
      <c r="AD131" s="100"/>
      <c r="AG131">
        <f t="shared" si="54"/>
        <v>0</v>
      </c>
      <c r="AH131">
        <f t="shared" si="55"/>
        <v>0</v>
      </c>
      <c r="AI131">
        <f t="shared" si="56"/>
        <v>0</v>
      </c>
      <c r="AK131">
        <f t="shared" si="43"/>
        <v>0</v>
      </c>
      <c r="AL131">
        <f t="shared" si="44"/>
        <v>0</v>
      </c>
      <c r="AM131">
        <f t="shared" si="57"/>
        <v>0</v>
      </c>
      <c r="AN131">
        <f t="shared" si="45"/>
        <v>0</v>
      </c>
      <c r="AO131">
        <f t="shared" si="46"/>
        <v>0</v>
      </c>
      <c r="AP131">
        <f t="shared" si="47"/>
        <v>0</v>
      </c>
      <c r="AQ131">
        <f t="shared" si="48"/>
        <v>0</v>
      </c>
      <c r="AR131">
        <f t="shared" si="49"/>
        <v>0</v>
      </c>
      <c r="AS131">
        <f t="shared" si="50"/>
        <v>0</v>
      </c>
      <c r="AT131">
        <f t="shared" si="51"/>
        <v>0</v>
      </c>
      <c r="AU131">
        <f t="shared" si="52"/>
        <v>0</v>
      </c>
      <c r="AV131">
        <f t="shared" si="53"/>
        <v>0</v>
      </c>
    </row>
    <row r="132" spans="1:48" ht="15" customHeight="1">
      <c r="A132" s="166"/>
      <c r="B132" s="57"/>
      <c r="C132" s="98" t="s">
        <v>2519</v>
      </c>
      <c r="D132" s="796" t="str">
        <f>IF(CNSIPEE_2024_M2_Secc1!D45="","",CNSIPEE_2024_M2_Secc1!D45)</f>
        <v/>
      </c>
      <c r="E132" s="796"/>
      <c r="F132" s="796"/>
      <c r="G132" s="796"/>
      <c r="H132" s="796"/>
      <c r="I132" s="796"/>
      <c r="J132" s="796"/>
      <c r="K132" s="796"/>
      <c r="L132" s="796"/>
      <c r="M132" s="796"/>
      <c r="N132" s="796"/>
      <c r="O132" s="796"/>
      <c r="P132" s="796"/>
      <c r="Q132" s="796"/>
      <c r="R132" s="796"/>
      <c r="S132" s="100"/>
      <c r="T132" s="100"/>
      <c r="U132" s="100"/>
      <c r="V132" s="100"/>
      <c r="W132" s="100"/>
      <c r="X132" s="100"/>
      <c r="Y132" s="100"/>
      <c r="Z132" s="100"/>
      <c r="AA132" s="100"/>
      <c r="AB132" s="100"/>
      <c r="AC132" s="100"/>
      <c r="AD132" s="100"/>
      <c r="AG132">
        <f t="shared" si="54"/>
        <v>0</v>
      </c>
      <c r="AH132">
        <f t="shared" si="55"/>
        <v>0</v>
      </c>
      <c r="AI132">
        <f t="shared" si="56"/>
        <v>0</v>
      </c>
      <c r="AK132">
        <f t="shared" si="43"/>
        <v>0</v>
      </c>
      <c r="AL132">
        <f t="shared" si="44"/>
        <v>0</v>
      </c>
      <c r="AM132">
        <f t="shared" si="57"/>
        <v>0</v>
      </c>
      <c r="AN132">
        <f t="shared" si="45"/>
        <v>0</v>
      </c>
      <c r="AO132">
        <f t="shared" si="46"/>
        <v>0</v>
      </c>
      <c r="AP132">
        <f t="shared" si="47"/>
        <v>0</v>
      </c>
      <c r="AQ132">
        <f t="shared" si="48"/>
        <v>0</v>
      </c>
      <c r="AR132">
        <f t="shared" si="49"/>
        <v>0</v>
      </c>
      <c r="AS132">
        <f t="shared" si="50"/>
        <v>0</v>
      </c>
      <c r="AT132">
        <f t="shared" si="51"/>
        <v>0</v>
      </c>
      <c r="AU132">
        <f t="shared" si="52"/>
        <v>0</v>
      </c>
      <c r="AV132">
        <f t="shared" si="53"/>
        <v>0</v>
      </c>
    </row>
    <row r="133" spans="1:48" ht="15" customHeight="1">
      <c r="A133" s="166"/>
      <c r="B133" s="57"/>
      <c r="C133" s="98" t="s">
        <v>2520</v>
      </c>
      <c r="D133" s="796" t="str">
        <f>IF(CNSIPEE_2024_M2_Secc1!D46="","",CNSIPEE_2024_M2_Secc1!D46)</f>
        <v/>
      </c>
      <c r="E133" s="796"/>
      <c r="F133" s="796"/>
      <c r="G133" s="796"/>
      <c r="H133" s="796"/>
      <c r="I133" s="796"/>
      <c r="J133" s="796"/>
      <c r="K133" s="796"/>
      <c r="L133" s="796"/>
      <c r="M133" s="796"/>
      <c r="N133" s="796"/>
      <c r="O133" s="796"/>
      <c r="P133" s="796"/>
      <c r="Q133" s="796"/>
      <c r="R133" s="796"/>
      <c r="S133" s="100"/>
      <c r="T133" s="100"/>
      <c r="U133" s="100"/>
      <c r="V133" s="100"/>
      <c r="W133" s="100"/>
      <c r="X133" s="100"/>
      <c r="Y133" s="100"/>
      <c r="Z133" s="100"/>
      <c r="AA133" s="100"/>
      <c r="AB133" s="100"/>
      <c r="AC133" s="100"/>
      <c r="AD133" s="100"/>
      <c r="AG133">
        <f t="shared" si="54"/>
        <v>0</v>
      </c>
      <c r="AH133">
        <f t="shared" si="55"/>
        <v>0</v>
      </c>
      <c r="AI133">
        <f t="shared" si="56"/>
        <v>0</v>
      </c>
      <c r="AK133">
        <f t="shared" si="43"/>
        <v>0</v>
      </c>
      <c r="AL133">
        <f t="shared" si="44"/>
        <v>0</v>
      </c>
      <c r="AM133">
        <f t="shared" si="57"/>
        <v>0</v>
      </c>
      <c r="AN133">
        <f t="shared" si="45"/>
        <v>0</v>
      </c>
      <c r="AO133">
        <f t="shared" si="46"/>
        <v>0</v>
      </c>
      <c r="AP133">
        <f t="shared" si="47"/>
        <v>0</v>
      </c>
      <c r="AQ133">
        <f t="shared" si="48"/>
        <v>0</v>
      </c>
      <c r="AR133">
        <f t="shared" si="49"/>
        <v>0</v>
      </c>
      <c r="AS133">
        <f t="shared" si="50"/>
        <v>0</v>
      </c>
      <c r="AT133">
        <f t="shared" si="51"/>
        <v>0</v>
      </c>
      <c r="AU133">
        <f t="shared" si="52"/>
        <v>0</v>
      </c>
      <c r="AV133">
        <f t="shared" si="53"/>
        <v>0</v>
      </c>
    </row>
    <row r="134" spans="1:48" ht="15" customHeight="1">
      <c r="A134" s="166"/>
      <c r="B134" s="57"/>
      <c r="C134" s="98" t="s">
        <v>2521</v>
      </c>
      <c r="D134" s="796" t="str">
        <f>IF(CNSIPEE_2024_M2_Secc1!D47="","",CNSIPEE_2024_M2_Secc1!D47)</f>
        <v/>
      </c>
      <c r="E134" s="796"/>
      <c r="F134" s="796"/>
      <c r="G134" s="796"/>
      <c r="H134" s="796"/>
      <c r="I134" s="796"/>
      <c r="J134" s="796"/>
      <c r="K134" s="796"/>
      <c r="L134" s="796"/>
      <c r="M134" s="796"/>
      <c r="N134" s="796"/>
      <c r="O134" s="796"/>
      <c r="P134" s="796"/>
      <c r="Q134" s="796"/>
      <c r="R134" s="796"/>
      <c r="S134" s="100"/>
      <c r="T134" s="100"/>
      <c r="U134" s="100"/>
      <c r="V134" s="100"/>
      <c r="W134" s="100"/>
      <c r="X134" s="100"/>
      <c r="Y134" s="100"/>
      <c r="Z134" s="100"/>
      <c r="AA134" s="100"/>
      <c r="AB134" s="100"/>
      <c r="AC134" s="100"/>
      <c r="AD134" s="100"/>
      <c r="AG134">
        <f t="shared" si="54"/>
        <v>0</v>
      </c>
      <c r="AH134">
        <f t="shared" si="55"/>
        <v>0</v>
      </c>
      <c r="AI134">
        <f t="shared" si="56"/>
        <v>0</v>
      </c>
      <c r="AK134">
        <f t="shared" si="43"/>
        <v>0</v>
      </c>
      <c r="AL134">
        <f t="shared" si="44"/>
        <v>0</v>
      </c>
      <c r="AM134">
        <f t="shared" si="57"/>
        <v>0</v>
      </c>
      <c r="AN134">
        <f t="shared" si="45"/>
        <v>0</v>
      </c>
      <c r="AO134">
        <f t="shared" si="46"/>
        <v>0</v>
      </c>
      <c r="AP134">
        <f t="shared" si="47"/>
        <v>0</v>
      </c>
      <c r="AQ134">
        <f t="shared" si="48"/>
        <v>0</v>
      </c>
      <c r="AR134">
        <f t="shared" si="49"/>
        <v>0</v>
      </c>
      <c r="AS134">
        <f t="shared" si="50"/>
        <v>0</v>
      </c>
      <c r="AT134">
        <f t="shared" si="51"/>
        <v>0</v>
      </c>
      <c r="AU134">
        <f t="shared" si="52"/>
        <v>0</v>
      </c>
      <c r="AV134">
        <f t="shared" si="53"/>
        <v>0</v>
      </c>
    </row>
    <row r="135" spans="1:48" ht="15" customHeight="1">
      <c r="A135" s="166"/>
      <c r="B135" s="57"/>
      <c r="C135" s="98" t="s">
        <v>2522</v>
      </c>
      <c r="D135" s="796" t="str">
        <f>IF(CNSIPEE_2024_M2_Secc1!D48="","",CNSIPEE_2024_M2_Secc1!D48)</f>
        <v/>
      </c>
      <c r="E135" s="796"/>
      <c r="F135" s="796"/>
      <c r="G135" s="796"/>
      <c r="H135" s="796"/>
      <c r="I135" s="796"/>
      <c r="J135" s="796"/>
      <c r="K135" s="796"/>
      <c r="L135" s="796"/>
      <c r="M135" s="796"/>
      <c r="N135" s="796"/>
      <c r="O135" s="796"/>
      <c r="P135" s="796"/>
      <c r="Q135" s="796"/>
      <c r="R135" s="796"/>
      <c r="S135" s="100"/>
      <c r="T135" s="100"/>
      <c r="U135" s="100"/>
      <c r="V135" s="100"/>
      <c r="W135" s="100"/>
      <c r="X135" s="100"/>
      <c r="Y135" s="100"/>
      <c r="Z135" s="100"/>
      <c r="AA135" s="100"/>
      <c r="AB135" s="100"/>
      <c r="AC135" s="100"/>
      <c r="AD135" s="100"/>
      <c r="AG135">
        <f t="shared" si="54"/>
        <v>0</v>
      </c>
      <c r="AH135">
        <f t="shared" si="55"/>
        <v>0</v>
      </c>
      <c r="AI135">
        <f t="shared" si="56"/>
        <v>0</v>
      </c>
      <c r="AK135">
        <f t="shared" si="43"/>
        <v>0</v>
      </c>
      <c r="AL135">
        <f t="shared" si="44"/>
        <v>0</v>
      </c>
      <c r="AM135">
        <f t="shared" si="57"/>
        <v>0</v>
      </c>
      <c r="AN135">
        <f t="shared" si="45"/>
        <v>0</v>
      </c>
      <c r="AO135">
        <f t="shared" si="46"/>
        <v>0</v>
      </c>
      <c r="AP135">
        <f t="shared" si="47"/>
        <v>0</v>
      </c>
      <c r="AQ135">
        <f t="shared" si="48"/>
        <v>0</v>
      </c>
      <c r="AR135">
        <f t="shared" si="49"/>
        <v>0</v>
      </c>
      <c r="AS135">
        <f t="shared" si="50"/>
        <v>0</v>
      </c>
      <c r="AT135">
        <f t="shared" si="51"/>
        <v>0</v>
      </c>
      <c r="AU135">
        <f t="shared" si="52"/>
        <v>0</v>
      </c>
      <c r="AV135">
        <f t="shared" si="53"/>
        <v>0</v>
      </c>
    </row>
    <row r="136" spans="1:48" ht="15" customHeight="1">
      <c r="A136" s="166"/>
      <c r="B136" s="57"/>
      <c r="C136" s="98" t="s">
        <v>2523</v>
      </c>
      <c r="D136" s="796" t="str">
        <f>IF(CNSIPEE_2024_M2_Secc1!D49="","",CNSIPEE_2024_M2_Secc1!D49)</f>
        <v/>
      </c>
      <c r="E136" s="796"/>
      <c r="F136" s="796"/>
      <c r="G136" s="796"/>
      <c r="H136" s="796"/>
      <c r="I136" s="796"/>
      <c r="J136" s="796"/>
      <c r="K136" s="796"/>
      <c r="L136" s="796"/>
      <c r="M136" s="796"/>
      <c r="N136" s="796"/>
      <c r="O136" s="796"/>
      <c r="P136" s="796"/>
      <c r="Q136" s="796"/>
      <c r="R136" s="796"/>
      <c r="S136" s="100"/>
      <c r="T136" s="100"/>
      <c r="U136" s="100"/>
      <c r="V136" s="100"/>
      <c r="W136" s="100"/>
      <c r="X136" s="100"/>
      <c r="Y136" s="100"/>
      <c r="Z136" s="100"/>
      <c r="AA136" s="100"/>
      <c r="AB136" s="100"/>
      <c r="AC136" s="100"/>
      <c r="AD136" s="100"/>
      <c r="AG136">
        <f t="shared" si="54"/>
        <v>0</v>
      </c>
      <c r="AH136">
        <f t="shared" si="55"/>
        <v>0</v>
      </c>
      <c r="AI136">
        <f t="shared" si="56"/>
        <v>0</v>
      </c>
      <c r="AK136">
        <f t="shared" si="43"/>
        <v>0</v>
      </c>
      <c r="AL136">
        <f t="shared" si="44"/>
        <v>0</v>
      </c>
      <c r="AM136">
        <f t="shared" si="57"/>
        <v>0</v>
      </c>
      <c r="AN136">
        <f t="shared" si="45"/>
        <v>0</v>
      </c>
      <c r="AO136">
        <f t="shared" si="46"/>
        <v>0</v>
      </c>
      <c r="AP136">
        <f t="shared" si="47"/>
        <v>0</v>
      </c>
      <c r="AQ136">
        <f t="shared" si="48"/>
        <v>0</v>
      </c>
      <c r="AR136">
        <f t="shared" si="49"/>
        <v>0</v>
      </c>
      <c r="AS136">
        <f t="shared" si="50"/>
        <v>0</v>
      </c>
      <c r="AT136">
        <f t="shared" si="51"/>
        <v>0</v>
      </c>
      <c r="AU136">
        <f t="shared" si="52"/>
        <v>0</v>
      </c>
      <c r="AV136">
        <f t="shared" si="53"/>
        <v>0</v>
      </c>
    </row>
    <row r="137" spans="1:48" ht="15" customHeight="1">
      <c r="A137" s="50"/>
      <c r="B137" s="38"/>
      <c r="C137" s="38"/>
      <c r="D137" s="38"/>
      <c r="E137" s="38"/>
      <c r="F137" s="38"/>
      <c r="G137" s="38"/>
      <c r="H137" s="38"/>
      <c r="I137" s="38"/>
      <c r="J137" s="38"/>
      <c r="K137" s="38"/>
      <c r="M137" s="38"/>
      <c r="N137" s="38"/>
      <c r="O137" s="38"/>
      <c r="P137" s="38"/>
      <c r="Q137" s="38"/>
      <c r="R137" s="99" t="s">
        <v>2649</v>
      </c>
      <c r="S137" s="124">
        <f t="shared" ref="S137:AD137" si="58">IF(AND(SUM(S129:S136)=0,COUNTIF(S129:S136,"NS")&gt;0),"NS",IF(AND(SUM(S129:S136)=0,COUNTIF(S129:S136,0)&gt;0),0,IF(AND(SUM(S129:S136)=0,COUNTIF(S129:S136,"NA")&gt;0),"NA",SUM(S129:S136))))</f>
        <v>0</v>
      </c>
      <c r="T137" s="124">
        <f t="shared" si="58"/>
        <v>0</v>
      </c>
      <c r="U137" s="124">
        <f t="shared" si="58"/>
        <v>0</v>
      </c>
      <c r="V137" s="124">
        <f t="shared" si="58"/>
        <v>0</v>
      </c>
      <c r="W137" s="124">
        <f t="shared" si="58"/>
        <v>0</v>
      </c>
      <c r="X137" s="124">
        <f t="shared" si="58"/>
        <v>0</v>
      </c>
      <c r="Y137" s="124">
        <f t="shared" si="58"/>
        <v>0</v>
      </c>
      <c r="Z137" s="124">
        <f t="shared" si="58"/>
        <v>0</v>
      </c>
      <c r="AA137" s="124">
        <f t="shared" si="58"/>
        <v>0</v>
      </c>
      <c r="AB137" s="124">
        <f t="shared" si="58"/>
        <v>0</v>
      </c>
      <c r="AC137" s="124">
        <f t="shared" si="58"/>
        <v>0</v>
      </c>
      <c r="AD137" s="124">
        <f t="shared" si="58"/>
        <v>0</v>
      </c>
      <c r="AG137" s="507">
        <f>SUM(AG129:AG136)</f>
        <v>0</v>
      </c>
      <c r="AH137" s="507">
        <f>SUM(AH129:AH136)</f>
        <v>0</v>
      </c>
      <c r="AI137" s="506">
        <f>SUM(AI129:AI136)</f>
        <v>0</v>
      </c>
      <c r="AK137">
        <f>SUM(AK129:AK136)</f>
        <v>0</v>
      </c>
      <c r="AM137">
        <f>SUM(AM129:AM136)</f>
        <v>0</v>
      </c>
      <c r="AN137">
        <f>SUM(AN129:AN136)</f>
        <v>0</v>
      </c>
      <c r="AP137">
        <f>SUM(AP129:AP136)</f>
        <v>0</v>
      </c>
      <c r="AQ137">
        <f>SUM(AQ129:AQ136)</f>
        <v>0</v>
      </c>
      <c r="AS137">
        <f>SUM(AS129:AS136)</f>
        <v>0</v>
      </c>
      <c r="AT137">
        <f>SUM(AT129:AT136)</f>
        <v>0</v>
      </c>
      <c r="AV137">
        <f>SUM(AV129:AV136)</f>
        <v>0</v>
      </c>
    </row>
    <row r="138" spans="1:48" ht="15" customHeight="1">
      <c r="A138" s="202"/>
      <c r="B138" s="57"/>
      <c r="C138" s="57"/>
      <c r="D138" s="57"/>
      <c r="E138" s="57"/>
      <c r="F138" s="57"/>
      <c r="G138" s="57"/>
      <c r="H138" s="57"/>
      <c r="I138" s="57"/>
      <c r="J138" s="57"/>
      <c r="K138" s="57"/>
      <c r="L138" s="57"/>
      <c r="M138" s="57"/>
      <c r="N138" s="57"/>
      <c r="O138" s="57"/>
      <c r="P138" s="57"/>
      <c r="Q138" s="57"/>
      <c r="R138" s="57"/>
      <c r="S138" s="57"/>
      <c r="T138" s="57"/>
      <c r="U138" s="57"/>
      <c r="V138" s="57"/>
      <c r="W138" s="57"/>
      <c r="X138" s="57"/>
      <c r="Y138" s="57"/>
      <c r="Z138" s="57"/>
      <c r="AA138" s="57"/>
      <c r="AB138" s="57"/>
      <c r="AC138" s="57"/>
      <c r="AD138" s="57"/>
      <c r="AK138" t="s">
        <v>2650</v>
      </c>
      <c r="AL138" s="506">
        <f>SUM(AM137,AP137,AS137,AV137)</f>
        <v>0</v>
      </c>
      <c r="AM138" t="s">
        <v>2651</v>
      </c>
      <c r="AN138">
        <f>SUM(AK137,AN137,AQ137,AT137)</f>
        <v>0</v>
      </c>
    </row>
    <row r="139" spans="1:48" ht="24" customHeight="1">
      <c r="A139" s="202"/>
      <c r="B139" s="57"/>
      <c r="C139" s="754" t="s">
        <v>2611</v>
      </c>
      <c r="D139" s="754"/>
      <c r="E139" s="754"/>
      <c r="F139" s="754"/>
      <c r="G139" s="754"/>
      <c r="H139" s="754"/>
      <c r="I139" s="754"/>
      <c r="J139" s="754"/>
      <c r="K139" s="754"/>
      <c r="L139" s="754"/>
      <c r="M139" s="754"/>
      <c r="N139" s="754"/>
      <c r="O139" s="754"/>
      <c r="P139" s="754"/>
      <c r="Q139" s="754"/>
      <c r="R139" s="754"/>
      <c r="S139" s="754"/>
      <c r="T139" s="754"/>
      <c r="U139" s="754"/>
      <c r="V139" s="754"/>
      <c r="W139" s="754"/>
      <c r="X139" s="754"/>
      <c r="Y139" s="754"/>
      <c r="Z139" s="754"/>
      <c r="AA139" s="754"/>
      <c r="AB139" s="754"/>
      <c r="AC139" s="754"/>
      <c r="AD139" s="754"/>
      <c r="AK139" t="s">
        <v>2652</v>
      </c>
      <c r="AL139" s="507">
        <f>IF(AN138&gt;0,IF(SUM(S137)&gt;=SUM(V137,Y137,AB137),0,1),IF(SUM(S137)&lt;&gt;SUM(V137,Y137,AB137),1,0))</f>
        <v>0</v>
      </c>
      <c r="AM139" t="s">
        <v>2653</v>
      </c>
      <c r="AN139" s="507">
        <f>IF(AN138&gt;0,IF(SUM(T137)&gt;=SUM(W137,Z137,AC137),0,1),IF(SUM(T137)&lt;&gt;SUM(W137,Z137,AC137),1,0))</f>
        <v>0</v>
      </c>
      <c r="AO139" t="s">
        <v>2654</v>
      </c>
      <c r="AP139" s="507">
        <f>IF(AN138&gt;0,IF(SUM(U137)&gt;=SUM(X137,AA137,AD137),0,1),IF(SUM(U137)&lt;&gt;SUM(X137,AA137,AD137),1,0))</f>
        <v>0</v>
      </c>
    </row>
    <row r="140" spans="1:48" ht="60" customHeight="1">
      <c r="A140" s="202"/>
      <c r="B140" s="57"/>
      <c r="C140" s="851"/>
      <c r="D140" s="851"/>
      <c r="E140" s="851"/>
      <c r="F140" s="851"/>
      <c r="G140" s="851"/>
      <c r="H140" s="851"/>
      <c r="I140" s="851"/>
      <c r="J140" s="851"/>
      <c r="K140" s="851"/>
      <c r="L140" s="851"/>
      <c r="M140" s="851"/>
      <c r="N140" s="851"/>
      <c r="O140" s="851"/>
      <c r="P140" s="851"/>
      <c r="Q140" s="851"/>
      <c r="R140" s="851"/>
      <c r="S140" s="851"/>
      <c r="T140" s="851"/>
      <c r="U140" s="851"/>
      <c r="V140" s="851"/>
      <c r="W140" s="851"/>
      <c r="X140" s="851"/>
      <c r="Y140" s="851"/>
      <c r="Z140" s="851"/>
      <c r="AA140" s="851"/>
      <c r="AB140" s="851"/>
      <c r="AC140" s="851"/>
      <c r="AD140" s="851"/>
    </row>
    <row r="141" spans="1:48" ht="15" customHeight="1">
      <c r="A141" s="202"/>
      <c r="B141" s="794" t="str">
        <f>IF(AG137=0,"","Favor de ingresar toda la información requerida en la pregunta")</f>
        <v/>
      </c>
      <c r="C141" s="794"/>
      <c r="D141" s="794"/>
      <c r="E141" s="794"/>
      <c r="F141" s="794"/>
      <c r="G141" s="794"/>
      <c r="H141" s="794"/>
      <c r="I141" s="794"/>
      <c r="J141" s="794"/>
      <c r="K141" s="794"/>
      <c r="L141" s="794"/>
      <c r="M141" s="794"/>
      <c r="N141" s="794"/>
      <c r="O141" s="794"/>
      <c r="P141" s="794"/>
      <c r="Q141" s="794"/>
      <c r="R141" s="794"/>
      <c r="S141" s="794"/>
      <c r="T141" s="794"/>
      <c r="U141" s="794"/>
      <c r="V141" s="794"/>
      <c r="W141" s="794"/>
      <c r="X141" s="794"/>
      <c r="Y141" s="794"/>
      <c r="Z141" s="794"/>
      <c r="AA141" s="794"/>
      <c r="AB141" s="794"/>
      <c r="AC141" s="794"/>
      <c r="AD141" s="794"/>
      <c r="AE141" s="794"/>
    </row>
    <row r="142" spans="1:48" ht="15" customHeight="1">
      <c r="A142" s="202"/>
      <c r="B142" s="1087" t="str">
        <f>IF(COUNTIF(S129:AD136,"NS")&lt;&gt;0,"Alerta: debido a que cuenta con registros NS, debe proporcionar una justificación en el area de comentarios al final de la pregunta","")</f>
        <v/>
      </c>
      <c r="C142" s="1087"/>
      <c r="D142" s="1087"/>
      <c r="E142" s="1087"/>
      <c r="F142" s="1087"/>
      <c r="G142" s="1087"/>
      <c r="H142" s="1087"/>
      <c r="I142" s="1087"/>
      <c r="J142" s="1087"/>
      <c r="K142" s="1087"/>
      <c r="L142" s="1087"/>
      <c r="M142" s="1087"/>
      <c r="N142" s="1087"/>
      <c r="O142" s="1087"/>
      <c r="P142" s="1087"/>
      <c r="Q142" s="1087"/>
      <c r="R142" s="1087"/>
      <c r="S142" s="1087"/>
      <c r="T142" s="1087"/>
      <c r="U142" s="1087"/>
      <c r="V142" s="1087"/>
      <c r="W142" s="1087"/>
      <c r="X142" s="1087"/>
      <c r="Y142" s="1087"/>
      <c r="Z142" s="1087"/>
      <c r="AA142" s="1087"/>
      <c r="AB142" s="1087"/>
      <c r="AC142" s="1087"/>
      <c r="AD142" s="1087"/>
      <c r="AE142" s="1087"/>
    </row>
    <row r="143" spans="1:48" ht="15" customHeight="1">
      <c r="A143" s="202"/>
      <c r="B143" s="1003" t="str">
        <f>IF(AH137&gt;0,"Revise la información capturada, ya que tiene datos ingresados en celdas que están sombreadas","")</f>
        <v/>
      </c>
      <c r="C143" s="1003"/>
      <c r="D143" s="1003"/>
      <c r="E143" s="1003"/>
      <c r="F143" s="1003"/>
      <c r="G143" s="1003"/>
      <c r="H143" s="1003"/>
      <c r="I143" s="1003"/>
      <c r="J143" s="1003"/>
      <c r="K143" s="1003"/>
      <c r="L143" s="1003"/>
      <c r="M143" s="1003"/>
      <c r="N143" s="1003"/>
      <c r="O143" s="1003"/>
      <c r="P143" s="1003"/>
      <c r="Q143" s="1003"/>
      <c r="R143" s="1003"/>
      <c r="S143" s="1003"/>
      <c r="T143" s="1003"/>
      <c r="U143" s="1003"/>
      <c r="V143" s="1003"/>
      <c r="W143" s="1003"/>
      <c r="X143" s="1003"/>
      <c r="Y143" s="1003"/>
      <c r="Z143" s="1003"/>
      <c r="AA143" s="1003"/>
      <c r="AB143" s="1003"/>
      <c r="AC143" s="1003"/>
      <c r="AD143" s="1003"/>
      <c r="AE143" s="1003"/>
    </row>
    <row r="144" spans="1:48" ht="15" customHeight="1">
      <c r="A144" s="202"/>
      <c r="B144" s="1003" t="str">
        <f>IF(OR(AL138&gt;0,AL139&gt;0,AN139&gt;0,AP139&gt;0),"Favor de revisar la suma y consistencia de totales y/o subtotales por filas (numéricos y NS)","")</f>
        <v/>
      </c>
      <c r="C144" s="1003"/>
      <c r="D144" s="1003"/>
      <c r="E144" s="1003"/>
      <c r="F144" s="1003"/>
      <c r="G144" s="1003"/>
      <c r="H144" s="1003"/>
      <c r="I144" s="1003"/>
      <c r="J144" s="1003"/>
      <c r="K144" s="1003"/>
      <c r="L144" s="1003"/>
      <c r="M144" s="1003"/>
      <c r="N144" s="1003"/>
      <c r="O144" s="1003"/>
      <c r="P144" s="1003"/>
      <c r="Q144" s="1003"/>
      <c r="R144" s="1003"/>
      <c r="S144" s="1003"/>
      <c r="T144" s="1003"/>
      <c r="U144" s="1003"/>
      <c r="V144" s="1003"/>
      <c r="W144" s="1003"/>
      <c r="X144" s="1003"/>
      <c r="Y144" s="1003"/>
      <c r="Z144" s="1003"/>
      <c r="AA144" s="1003"/>
      <c r="AB144" s="1003"/>
      <c r="AC144" s="1003"/>
      <c r="AD144" s="1003"/>
      <c r="AE144" s="1003"/>
    </row>
    <row r="145" spans="1:40" ht="15" customHeight="1">
      <c r="A145" s="202"/>
      <c r="B145" s="1003" t="str">
        <f>IF(AI137=0,"","Las cantidades de Hombres y Mujeres por centro especializado debe ser igual a los datos reportados en la preg. 9.3")</f>
        <v/>
      </c>
      <c r="C145" s="1003"/>
      <c r="D145" s="1003"/>
      <c r="E145" s="1003"/>
      <c r="F145" s="1003"/>
      <c r="G145" s="1003"/>
      <c r="H145" s="1003"/>
      <c r="I145" s="1003"/>
      <c r="J145" s="1003"/>
      <c r="K145" s="1003"/>
      <c r="L145" s="1003"/>
      <c r="M145" s="1003"/>
      <c r="N145" s="1003"/>
      <c r="O145" s="1003"/>
      <c r="P145" s="1003"/>
      <c r="Q145" s="1003"/>
      <c r="R145" s="1003"/>
      <c r="S145" s="1003"/>
      <c r="T145" s="1003"/>
      <c r="U145" s="1003"/>
      <c r="V145" s="1003"/>
      <c r="W145" s="1003"/>
      <c r="X145" s="1003"/>
      <c r="Y145" s="1003"/>
      <c r="Z145" s="1003"/>
      <c r="AA145" s="1003"/>
      <c r="AB145" s="1003"/>
      <c r="AC145" s="1003"/>
      <c r="AD145" s="1003"/>
      <c r="AE145" s="1003"/>
    </row>
    <row r="146" spans="1:40" ht="15" customHeight="1">
      <c r="A146" s="50"/>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row>
    <row r="147" spans="1:40" ht="36" customHeight="1">
      <c r="A147" s="49" t="s">
        <v>5491</v>
      </c>
      <c r="B147" s="829" t="s">
        <v>5492</v>
      </c>
      <c r="C147" s="829"/>
      <c r="D147" s="829"/>
      <c r="E147" s="829"/>
      <c r="F147" s="829"/>
      <c r="G147" s="829"/>
      <c r="H147" s="829"/>
      <c r="I147" s="829"/>
      <c r="J147" s="829"/>
      <c r="K147" s="829"/>
      <c r="L147" s="829"/>
      <c r="M147" s="829"/>
      <c r="N147" s="829"/>
      <c r="O147" s="829"/>
      <c r="P147" s="829"/>
      <c r="Q147" s="829"/>
      <c r="R147" s="829"/>
      <c r="S147" s="829"/>
      <c r="T147" s="829"/>
      <c r="U147" s="829"/>
      <c r="V147" s="829"/>
      <c r="W147" s="829"/>
      <c r="X147" s="829"/>
      <c r="Y147" s="829"/>
      <c r="Z147" s="829"/>
      <c r="AA147" s="829"/>
      <c r="AB147" s="829"/>
      <c r="AC147" s="829"/>
      <c r="AD147" s="829"/>
    </row>
    <row r="148" spans="1:40" ht="24" customHeight="1">
      <c r="A148" s="108"/>
      <c r="B148" s="38"/>
      <c r="C148" s="754" t="s">
        <v>5493</v>
      </c>
      <c r="D148" s="754"/>
      <c r="E148" s="754"/>
      <c r="F148" s="754"/>
      <c r="G148" s="754"/>
      <c r="H148" s="754"/>
      <c r="I148" s="754"/>
      <c r="J148" s="754"/>
      <c r="K148" s="754"/>
      <c r="L148" s="754"/>
      <c r="M148" s="754"/>
      <c r="N148" s="754"/>
      <c r="O148" s="754"/>
      <c r="P148" s="754"/>
      <c r="Q148" s="754"/>
      <c r="R148" s="754"/>
      <c r="S148" s="754"/>
      <c r="T148" s="754"/>
      <c r="U148" s="754"/>
      <c r="V148" s="754"/>
      <c r="W148" s="754"/>
      <c r="X148" s="754"/>
      <c r="Y148" s="754"/>
      <c r="Z148" s="754"/>
      <c r="AA148" s="754"/>
      <c r="AB148" s="754"/>
      <c r="AC148" s="754"/>
      <c r="AD148" s="754"/>
    </row>
    <row r="149" spans="1:40" ht="15" customHeight="1">
      <c r="A149" s="10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row>
    <row r="150" spans="1:40" ht="36" customHeight="1">
      <c r="A150" s="108"/>
      <c r="B150" s="38"/>
      <c r="C150" s="797" t="s">
        <v>2581</v>
      </c>
      <c r="D150" s="798"/>
      <c r="E150" s="798"/>
      <c r="F150" s="798"/>
      <c r="G150" s="798"/>
      <c r="H150" s="798"/>
      <c r="I150" s="798"/>
      <c r="J150" s="798"/>
      <c r="K150" s="798"/>
      <c r="L150" s="799"/>
      <c r="M150" s="739" t="s">
        <v>5494</v>
      </c>
      <c r="N150" s="740"/>
      <c r="O150" s="740"/>
      <c r="P150" s="740"/>
      <c r="Q150" s="740"/>
      <c r="R150" s="740"/>
      <c r="S150" s="740"/>
      <c r="T150" s="740"/>
      <c r="U150" s="740"/>
      <c r="V150" s="740"/>
      <c r="W150" s="740"/>
      <c r="X150" s="740"/>
      <c r="Y150" s="740"/>
      <c r="Z150" s="740"/>
      <c r="AA150" s="740"/>
      <c r="AB150" s="740"/>
      <c r="AC150" s="740"/>
      <c r="AD150" s="741"/>
    </row>
    <row r="151" spans="1:40" ht="15" customHeight="1">
      <c r="A151" s="108"/>
      <c r="B151" s="38"/>
      <c r="C151" s="803"/>
      <c r="D151" s="804"/>
      <c r="E151" s="804"/>
      <c r="F151" s="804"/>
      <c r="G151" s="804"/>
      <c r="H151" s="804"/>
      <c r="I151" s="804"/>
      <c r="J151" s="804"/>
      <c r="K151" s="804"/>
      <c r="L151" s="805"/>
      <c r="M151" s="739" t="s">
        <v>2628</v>
      </c>
      <c r="N151" s="740"/>
      <c r="O151" s="740"/>
      <c r="P151" s="740"/>
      <c r="Q151" s="740"/>
      <c r="R151" s="741"/>
      <c r="S151" s="733" t="s">
        <v>2629</v>
      </c>
      <c r="T151" s="734"/>
      <c r="U151" s="734"/>
      <c r="V151" s="734"/>
      <c r="W151" s="734"/>
      <c r="X151" s="735"/>
      <c r="Y151" s="733" t="s">
        <v>2630</v>
      </c>
      <c r="Z151" s="734"/>
      <c r="AA151" s="734"/>
      <c r="AB151" s="734"/>
      <c r="AC151" s="734"/>
      <c r="AD151" s="735"/>
      <c r="AG151" t="s">
        <v>2586</v>
      </c>
      <c r="AH151" t="s">
        <v>4581</v>
      </c>
      <c r="AI151" t="s">
        <v>2590</v>
      </c>
      <c r="AJ151" t="s">
        <v>3163</v>
      </c>
      <c r="AK151" t="s">
        <v>4564</v>
      </c>
      <c r="AL151" t="s">
        <v>5486</v>
      </c>
      <c r="AM151"/>
      <c r="AN151"/>
    </row>
    <row r="152" spans="1:40" ht="15" customHeight="1">
      <c r="A152" s="108"/>
      <c r="B152" s="38"/>
      <c r="C152" s="92" t="s">
        <v>2516</v>
      </c>
      <c r="D152" s="796" t="str">
        <f>IF(CNSIPEE_2024_M2_Secc1!D42="","",CNSIPEE_2024_M2_Secc1!D42)</f>
        <v/>
      </c>
      <c r="E152" s="796"/>
      <c r="F152" s="796"/>
      <c r="G152" s="796"/>
      <c r="H152" s="796"/>
      <c r="I152" s="796"/>
      <c r="J152" s="796"/>
      <c r="K152" s="796"/>
      <c r="L152" s="796"/>
      <c r="M152" s="816"/>
      <c r="N152" s="738"/>
      <c r="O152" s="738"/>
      <c r="P152" s="738"/>
      <c r="Q152" s="738"/>
      <c r="R152" s="817"/>
      <c r="S152" s="816"/>
      <c r="T152" s="738"/>
      <c r="U152" s="738"/>
      <c r="V152" s="738"/>
      <c r="W152" s="738"/>
      <c r="X152" s="817"/>
      <c r="Y152" s="816"/>
      <c r="Z152" s="738"/>
      <c r="AA152" s="738"/>
      <c r="AB152" s="738"/>
      <c r="AC152" s="738"/>
      <c r="AD152" s="817"/>
      <c r="AG152">
        <f>IF(OR($Y55=0,$Y55="NS",$Y55="NA"),0,IF(OR(COUNTBLANK(D152:AD152)=23,COUNTBLANK(D152:AD152)=27),0,1))</f>
        <v>0</v>
      </c>
      <c r="AH152">
        <f>IF(OR($Y55=0,$Y55="NS",$Y55="NA"),IF(COUNTBLANK(M152:AD152)=18,0,1),0)</f>
        <v>0</v>
      </c>
      <c r="AI152">
        <f t="shared" ref="AI152:AI159" si="59">COUNTIF(S152:AD152,"NS")</f>
        <v>0</v>
      </c>
      <c r="AJ152">
        <f t="shared" ref="AJ152:AJ159" si="60">SUM(S152:AD152)</f>
        <v>0</v>
      </c>
      <c r="AK152">
        <f>IF(COUNTIF(M152:AD152,"NA")=3,0,IF(COUNTA(M152:AD152)=0,0,IF(OR(AND(M152=0,AI152&gt;0),AND(M152="ns",AJ152&gt;0),AND(M152="ns",AI152=0,AJ152=0)),1,IF(OR(AND(M152&gt;0,AI152=2),AND(M152="ns",AI152=2),AND(M152="ns",AJ152=0,AI152&gt;0),M152=AJ152),0,1))))</f>
        <v>0</v>
      </c>
      <c r="AL152" cm="1">
        <f t="array" ref="AL152">IF(OR($Y55=0,$Y55="NS",$Y55="NA"),0,IF(OR(M152={"NS","NA"},J81={"NS","NA"}),0,IF(M152&lt;=J81,0,1)))</f>
        <v>0</v>
      </c>
      <c r="AM152" cm="1">
        <f t="array" ref="AM152">IF(OR($Y55=0,$Y55="NS",$Y55="NA"),0,IF(OR(S152={"NS","NA"},K81={"NS","NA"}),0,IF(S152&lt;=K81,0,1)))</f>
        <v>0</v>
      </c>
      <c r="AN152" cm="1">
        <f t="array" ref="AN152">IF(OR($Y55=0,$Y55="NS",$Y55="NA"),0,IF(OR(Y152={"NS","NA"},L81={"NS","NA"}),0,IF(Y152&lt;=L81,0,1)))</f>
        <v>0</v>
      </c>
    </row>
    <row r="153" spans="1:40" ht="15" customHeight="1">
      <c r="A153" s="108"/>
      <c r="B153" s="38"/>
      <c r="C153" s="44" t="s">
        <v>2517</v>
      </c>
      <c r="D153" s="796" t="str">
        <f>IF(CNSIPEE_2024_M2_Secc1!D43="","",CNSIPEE_2024_M2_Secc1!D43)</f>
        <v/>
      </c>
      <c r="E153" s="796"/>
      <c r="F153" s="796"/>
      <c r="G153" s="796"/>
      <c r="H153" s="796"/>
      <c r="I153" s="796"/>
      <c r="J153" s="796"/>
      <c r="K153" s="796"/>
      <c r="L153" s="796"/>
      <c r="M153" s="816"/>
      <c r="N153" s="738"/>
      <c r="O153" s="738"/>
      <c r="P153" s="738"/>
      <c r="Q153" s="738"/>
      <c r="R153" s="817"/>
      <c r="S153" s="816"/>
      <c r="T153" s="738"/>
      <c r="U153" s="738"/>
      <c r="V153" s="738"/>
      <c r="W153" s="738"/>
      <c r="X153" s="817"/>
      <c r="Y153" s="816"/>
      <c r="Z153" s="738"/>
      <c r="AA153" s="738"/>
      <c r="AB153" s="738"/>
      <c r="AC153" s="738"/>
      <c r="AD153" s="817"/>
      <c r="AG153">
        <f t="shared" ref="AG153:AG159" si="61">IF(OR($Y56=0,$Y56="NS",$Y56="NA"),0,IF(OR(COUNTBLANK(D153:AD153)=23,COUNTBLANK(D153:AD153)=27),0,1))</f>
        <v>0</v>
      </c>
      <c r="AH153">
        <f t="shared" ref="AH153:AH159" si="62">IF(OR($Y56=0,$Y56="NS",$Y56="NA"),IF(COUNTBLANK(M153:AD153)=18,0,1),0)</f>
        <v>0</v>
      </c>
      <c r="AI153">
        <f t="shared" si="59"/>
        <v>0</v>
      </c>
      <c r="AJ153">
        <f t="shared" si="60"/>
        <v>0</v>
      </c>
      <c r="AK153">
        <f t="shared" ref="AK153:AK159" si="63">IF(COUNTIF(M153:AD153,"NA")=3,0,IF(COUNTA(M153:AD153)=0,0,IF(OR(AND(M153=0,AI153&gt;0),AND(M153="ns",AJ153&gt;0),AND(M153="ns",AI153=0,AJ153=0)),1,IF(OR(AND(M153&gt;0,AI153=2),AND(M153="ns",AI153=2),AND(M153="ns",AJ153=0,AI153&gt;0),M153=AJ153),0,1))))</f>
        <v>0</v>
      </c>
      <c r="AL153" cm="1">
        <f t="array" ref="AL153">IF(OR($Y56=0,$Y56="NS",$Y56="NA"),0,IF(OR(M153={"NS","NA"},J82={"NS","NA"}),0,IF(M153&lt;=J82,0,1)))</f>
        <v>0</v>
      </c>
      <c r="AM153" cm="1">
        <f t="array" ref="AM153">IF(OR($Y56=0,$Y56="NS",$Y56="NA"),0,IF(OR(S153={"NS","NA"},K82={"NS","NA"}),0,IF(S153&lt;=K82,0,1)))</f>
        <v>0</v>
      </c>
      <c r="AN153" cm="1">
        <f t="array" ref="AN153">IF(OR($Y56=0,$Y56="NS",$Y56="NA"),0,IF(OR(Y153={"NS","NA"},L82={"NS","NA"}),0,IF(Y153&lt;=L82,0,1)))</f>
        <v>0</v>
      </c>
    </row>
    <row r="154" spans="1:40" ht="15" customHeight="1">
      <c r="A154" s="108"/>
      <c r="B154" s="38"/>
      <c r="C154" s="44" t="s">
        <v>2518</v>
      </c>
      <c r="D154" s="796" t="str">
        <f>IF(CNSIPEE_2024_M2_Secc1!D44="","",CNSIPEE_2024_M2_Secc1!D44)</f>
        <v/>
      </c>
      <c r="E154" s="796"/>
      <c r="F154" s="796"/>
      <c r="G154" s="796"/>
      <c r="H154" s="796"/>
      <c r="I154" s="796"/>
      <c r="J154" s="796"/>
      <c r="K154" s="796"/>
      <c r="L154" s="796"/>
      <c r="M154" s="816"/>
      <c r="N154" s="738"/>
      <c r="O154" s="738"/>
      <c r="P154" s="738"/>
      <c r="Q154" s="738"/>
      <c r="R154" s="817"/>
      <c r="S154" s="816"/>
      <c r="T154" s="738"/>
      <c r="U154" s="738"/>
      <c r="V154" s="738"/>
      <c r="W154" s="738"/>
      <c r="X154" s="817"/>
      <c r="Y154" s="816"/>
      <c r="Z154" s="738"/>
      <c r="AA154" s="738"/>
      <c r="AB154" s="738"/>
      <c r="AC154" s="738"/>
      <c r="AD154" s="817"/>
      <c r="AG154">
        <f t="shared" si="61"/>
        <v>0</v>
      </c>
      <c r="AH154">
        <f t="shared" si="62"/>
        <v>0</v>
      </c>
      <c r="AI154">
        <f t="shared" si="59"/>
        <v>0</v>
      </c>
      <c r="AJ154">
        <f t="shared" si="60"/>
        <v>0</v>
      </c>
      <c r="AK154">
        <f t="shared" si="63"/>
        <v>0</v>
      </c>
      <c r="AL154" cm="1">
        <f t="array" ref="AL154">IF(OR($Y57=0,$Y57="NS",$Y57="NA"),0,IF(OR(M154={"NS","NA"},J83={"NS","NA"}),0,IF(M154&lt;=J83,0,1)))</f>
        <v>0</v>
      </c>
      <c r="AM154" cm="1">
        <f t="array" ref="AM154">IF(OR($Y57=0,$Y57="NS",$Y57="NA"),0,IF(OR(S154={"NS","NA"},K83={"NS","NA"}),0,IF(S154&lt;=K83,0,1)))</f>
        <v>0</v>
      </c>
      <c r="AN154" cm="1">
        <f t="array" ref="AN154">IF(OR($Y57=0,$Y57="NS",$Y57="NA"),0,IF(OR(Y154={"NS","NA"},L83={"NS","NA"}),0,IF(Y154&lt;=L83,0,1)))</f>
        <v>0</v>
      </c>
    </row>
    <row r="155" spans="1:40" ht="15" customHeight="1">
      <c r="A155" s="108"/>
      <c r="B155" s="38"/>
      <c r="C155" s="44" t="s">
        <v>2519</v>
      </c>
      <c r="D155" s="796" t="str">
        <f>IF(CNSIPEE_2024_M2_Secc1!D45="","",CNSIPEE_2024_M2_Secc1!D45)</f>
        <v/>
      </c>
      <c r="E155" s="796"/>
      <c r="F155" s="796"/>
      <c r="G155" s="796"/>
      <c r="H155" s="796"/>
      <c r="I155" s="796"/>
      <c r="J155" s="796"/>
      <c r="K155" s="796"/>
      <c r="L155" s="796"/>
      <c r="M155" s="816"/>
      <c r="N155" s="738"/>
      <c r="O155" s="738"/>
      <c r="P155" s="738"/>
      <c r="Q155" s="738"/>
      <c r="R155" s="817"/>
      <c r="S155" s="816"/>
      <c r="T155" s="738"/>
      <c r="U155" s="738"/>
      <c r="V155" s="738"/>
      <c r="W155" s="738"/>
      <c r="X155" s="817"/>
      <c r="Y155" s="816"/>
      <c r="Z155" s="738"/>
      <c r="AA155" s="738"/>
      <c r="AB155" s="738"/>
      <c r="AC155" s="738"/>
      <c r="AD155" s="817"/>
      <c r="AG155">
        <f t="shared" si="61"/>
        <v>0</v>
      </c>
      <c r="AH155">
        <f t="shared" si="62"/>
        <v>0</v>
      </c>
      <c r="AI155">
        <f t="shared" si="59"/>
        <v>0</v>
      </c>
      <c r="AJ155">
        <f t="shared" si="60"/>
        <v>0</v>
      </c>
      <c r="AK155">
        <f t="shared" si="63"/>
        <v>0</v>
      </c>
      <c r="AL155" cm="1">
        <f t="array" ref="AL155">IF(OR($Y58=0,$Y58="NS",$Y58="NA"),0,IF(OR(M155={"NS","NA"},J84={"NS","NA"}),0,IF(M155&lt;=J84,0,1)))</f>
        <v>0</v>
      </c>
      <c r="AM155" cm="1">
        <f t="array" ref="AM155">IF(OR($Y58=0,$Y58="NS",$Y58="NA"),0,IF(OR(S155={"NS","NA"},K84={"NS","NA"}),0,IF(S155&lt;=K84,0,1)))</f>
        <v>0</v>
      </c>
      <c r="AN155" cm="1">
        <f t="array" ref="AN155">IF(OR($Y58=0,$Y58="NS",$Y58="NA"),0,IF(OR(Y155={"NS","NA"},L84={"NS","NA"}),0,IF(Y155&lt;=L84,0,1)))</f>
        <v>0</v>
      </c>
    </row>
    <row r="156" spans="1:40" ht="15" customHeight="1">
      <c r="A156" s="108"/>
      <c r="B156" s="38"/>
      <c r="C156" s="44" t="s">
        <v>2520</v>
      </c>
      <c r="D156" s="796" t="str">
        <f>IF(CNSIPEE_2024_M2_Secc1!D46="","",CNSIPEE_2024_M2_Secc1!D46)</f>
        <v/>
      </c>
      <c r="E156" s="796"/>
      <c r="F156" s="796"/>
      <c r="G156" s="796"/>
      <c r="H156" s="796"/>
      <c r="I156" s="796"/>
      <c r="J156" s="796"/>
      <c r="K156" s="796"/>
      <c r="L156" s="796"/>
      <c r="M156" s="816"/>
      <c r="N156" s="738"/>
      <c r="O156" s="738"/>
      <c r="P156" s="738"/>
      <c r="Q156" s="738"/>
      <c r="R156" s="817"/>
      <c r="S156" s="816"/>
      <c r="T156" s="738"/>
      <c r="U156" s="738"/>
      <c r="V156" s="738"/>
      <c r="W156" s="738"/>
      <c r="X156" s="817"/>
      <c r="Y156" s="816"/>
      <c r="Z156" s="738"/>
      <c r="AA156" s="738"/>
      <c r="AB156" s="738"/>
      <c r="AC156" s="738"/>
      <c r="AD156" s="817"/>
      <c r="AG156">
        <f t="shared" si="61"/>
        <v>0</v>
      </c>
      <c r="AH156">
        <f t="shared" si="62"/>
        <v>0</v>
      </c>
      <c r="AI156">
        <f t="shared" si="59"/>
        <v>0</v>
      </c>
      <c r="AJ156">
        <f t="shared" si="60"/>
        <v>0</v>
      </c>
      <c r="AK156">
        <f t="shared" si="63"/>
        <v>0</v>
      </c>
      <c r="AL156" cm="1">
        <f t="array" ref="AL156">IF(OR($Y59=0,$Y59="NS",$Y59="NA"),0,IF(OR(M156={"NS","NA"},J85={"NS","NA"}),0,IF(M156&lt;=J85,0,1)))</f>
        <v>0</v>
      </c>
      <c r="AM156" cm="1">
        <f t="array" ref="AM156">IF(OR($Y59=0,$Y59="NS",$Y59="NA"),0,IF(OR(S156={"NS","NA"},K85={"NS","NA"}),0,IF(S156&lt;=K85,0,1)))</f>
        <v>0</v>
      </c>
      <c r="AN156" cm="1">
        <f t="array" ref="AN156">IF(OR($Y59=0,$Y59="NS",$Y59="NA"),0,IF(OR(Y156={"NS","NA"},L85={"NS","NA"}),0,IF(Y156&lt;=L85,0,1)))</f>
        <v>0</v>
      </c>
    </row>
    <row r="157" spans="1:40" ht="15" customHeight="1">
      <c r="A157" s="108"/>
      <c r="B157" s="38"/>
      <c r="C157" s="44" t="s">
        <v>2521</v>
      </c>
      <c r="D157" s="796" t="str">
        <f>IF(CNSIPEE_2024_M2_Secc1!D47="","",CNSIPEE_2024_M2_Secc1!D47)</f>
        <v/>
      </c>
      <c r="E157" s="796"/>
      <c r="F157" s="796"/>
      <c r="G157" s="796"/>
      <c r="H157" s="796"/>
      <c r="I157" s="796"/>
      <c r="J157" s="796"/>
      <c r="K157" s="796"/>
      <c r="L157" s="796"/>
      <c r="M157" s="816"/>
      <c r="N157" s="738"/>
      <c r="O157" s="738"/>
      <c r="P157" s="738"/>
      <c r="Q157" s="738"/>
      <c r="R157" s="817"/>
      <c r="S157" s="816"/>
      <c r="T157" s="738"/>
      <c r="U157" s="738"/>
      <c r="V157" s="738"/>
      <c r="W157" s="738"/>
      <c r="X157" s="817"/>
      <c r="Y157" s="816"/>
      <c r="Z157" s="738"/>
      <c r="AA157" s="738"/>
      <c r="AB157" s="738"/>
      <c r="AC157" s="738"/>
      <c r="AD157" s="817"/>
      <c r="AG157">
        <f t="shared" si="61"/>
        <v>0</v>
      </c>
      <c r="AH157">
        <f t="shared" si="62"/>
        <v>0</v>
      </c>
      <c r="AI157">
        <f t="shared" si="59"/>
        <v>0</v>
      </c>
      <c r="AJ157">
        <f t="shared" si="60"/>
        <v>0</v>
      </c>
      <c r="AK157">
        <f t="shared" si="63"/>
        <v>0</v>
      </c>
      <c r="AL157" cm="1">
        <f t="array" ref="AL157">IF(OR($Y60=0,$Y60="NS",$Y60="NA"),0,IF(OR(M157={"NS","NA"},J86={"NS","NA"}),0,IF(M157&lt;=J86,0,1)))</f>
        <v>0</v>
      </c>
      <c r="AM157" cm="1">
        <f t="array" ref="AM157">IF(OR($Y60=0,$Y60="NS",$Y60="NA"),0,IF(OR(S157={"NS","NA"},K86={"NS","NA"}),0,IF(S157&lt;=K86,0,1)))</f>
        <v>0</v>
      </c>
      <c r="AN157" cm="1">
        <f t="array" ref="AN157">IF(OR($Y60=0,$Y60="NS",$Y60="NA"),0,IF(OR(Y157={"NS","NA"},L86={"NS","NA"}),0,IF(Y157&lt;=L86,0,1)))</f>
        <v>0</v>
      </c>
    </row>
    <row r="158" spans="1:40" ht="15" customHeight="1">
      <c r="A158" s="108"/>
      <c r="B158" s="38"/>
      <c r="C158" s="44" t="s">
        <v>2522</v>
      </c>
      <c r="D158" s="796" t="str">
        <f>IF(CNSIPEE_2024_M2_Secc1!D48="","",CNSIPEE_2024_M2_Secc1!D48)</f>
        <v/>
      </c>
      <c r="E158" s="796"/>
      <c r="F158" s="796"/>
      <c r="G158" s="796"/>
      <c r="H158" s="796"/>
      <c r="I158" s="796"/>
      <c r="J158" s="796"/>
      <c r="K158" s="796"/>
      <c r="L158" s="796"/>
      <c r="M158" s="816"/>
      <c r="N158" s="738"/>
      <c r="O158" s="738"/>
      <c r="P158" s="738"/>
      <c r="Q158" s="738"/>
      <c r="R158" s="817"/>
      <c r="S158" s="816"/>
      <c r="T158" s="738"/>
      <c r="U158" s="738"/>
      <c r="V158" s="738"/>
      <c r="W158" s="738"/>
      <c r="X158" s="817"/>
      <c r="Y158" s="816"/>
      <c r="Z158" s="738"/>
      <c r="AA158" s="738"/>
      <c r="AB158" s="738"/>
      <c r="AC158" s="738"/>
      <c r="AD158" s="817"/>
      <c r="AG158">
        <f t="shared" si="61"/>
        <v>0</v>
      </c>
      <c r="AH158">
        <f t="shared" si="62"/>
        <v>0</v>
      </c>
      <c r="AI158">
        <f t="shared" si="59"/>
        <v>0</v>
      </c>
      <c r="AJ158">
        <f t="shared" si="60"/>
        <v>0</v>
      </c>
      <c r="AK158">
        <f t="shared" si="63"/>
        <v>0</v>
      </c>
      <c r="AL158" cm="1">
        <f t="array" ref="AL158">IF(OR($Y61=0,$Y61="NS",$Y61="NA"),0,IF(OR(M158={"NS","NA"},J87={"NS","NA"}),0,IF(M158&lt;=J87,0,1)))</f>
        <v>0</v>
      </c>
      <c r="AM158" cm="1">
        <f t="array" ref="AM158">IF(OR($Y61=0,$Y61="NS",$Y61="NA"),0,IF(OR(S158={"NS","NA"},K87={"NS","NA"}),0,IF(S158&lt;=K87,0,1)))</f>
        <v>0</v>
      </c>
      <c r="AN158" cm="1">
        <f t="array" ref="AN158">IF(OR($Y61=0,$Y61="NS",$Y61="NA"),0,IF(OR(Y158={"NS","NA"},L87={"NS","NA"}),0,IF(Y158&lt;=L87,0,1)))</f>
        <v>0</v>
      </c>
    </row>
    <row r="159" spans="1:40" ht="15" customHeight="1">
      <c r="A159" s="108"/>
      <c r="B159" s="38"/>
      <c r="C159" s="44" t="s">
        <v>2523</v>
      </c>
      <c r="D159" s="796" t="str">
        <f>IF(CNSIPEE_2024_M2_Secc1!D49="","",CNSIPEE_2024_M2_Secc1!D49)</f>
        <v/>
      </c>
      <c r="E159" s="796"/>
      <c r="F159" s="796"/>
      <c r="G159" s="796"/>
      <c r="H159" s="796"/>
      <c r="I159" s="796"/>
      <c r="J159" s="796"/>
      <c r="K159" s="796"/>
      <c r="L159" s="796"/>
      <c r="M159" s="816"/>
      <c r="N159" s="738"/>
      <c r="O159" s="738"/>
      <c r="P159" s="738"/>
      <c r="Q159" s="738"/>
      <c r="R159" s="817"/>
      <c r="S159" s="816"/>
      <c r="T159" s="738"/>
      <c r="U159" s="738"/>
      <c r="V159" s="738"/>
      <c r="W159" s="738"/>
      <c r="X159" s="817"/>
      <c r="Y159" s="816"/>
      <c r="Z159" s="738"/>
      <c r="AA159" s="738"/>
      <c r="AB159" s="738"/>
      <c r="AC159" s="738"/>
      <c r="AD159" s="817"/>
      <c r="AG159">
        <f t="shared" si="61"/>
        <v>0</v>
      </c>
      <c r="AH159">
        <f t="shared" si="62"/>
        <v>0</v>
      </c>
      <c r="AI159">
        <f t="shared" si="59"/>
        <v>0</v>
      </c>
      <c r="AJ159">
        <f t="shared" si="60"/>
        <v>0</v>
      </c>
      <c r="AK159">
        <f t="shared" si="63"/>
        <v>0</v>
      </c>
      <c r="AL159" cm="1">
        <f t="array" ref="AL159">IF(OR($Y62=0,$Y62="NS",$Y62="NA"),0,IF(OR(M159={"NS","NA"},J88={"NS","NA"}),0,IF(M159&lt;=J88,0,1)))</f>
        <v>0</v>
      </c>
      <c r="AM159" cm="1">
        <f t="array" ref="AM159">IF(OR($Y62=0,$Y62="NS",$Y62="NA"),0,IF(OR(S159={"NS","NA"},K88={"NS","NA"}),0,IF(S159&lt;=K88,0,1)))</f>
        <v>0</v>
      </c>
      <c r="AN159" cm="1">
        <f t="array" ref="AN159">IF(OR($Y62=0,$Y62="NS",$Y62="NA"),0,IF(OR(Y159={"NS","NA"},L88={"NS","NA"}),0,IF(Y159&lt;=L88,0,1)))</f>
        <v>0</v>
      </c>
    </row>
    <row r="160" spans="1:40" ht="15" customHeight="1">
      <c r="A160" s="108"/>
      <c r="B160" s="38"/>
      <c r="C160" s="84"/>
      <c r="D160" s="203"/>
      <c r="E160" s="203"/>
      <c r="F160" s="203"/>
      <c r="G160" s="203"/>
      <c r="H160" s="203"/>
      <c r="I160" s="203"/>
      <c r="J160" s="203"/>
      <c r="K160" s="84"/>
      <c r="L160" s="117" t="s">
        <v>2649</v>
      </c>
      <c r="M160" s="736">
        <f>IF(AND(SUM(M152:M159)=0,COUNTIF(M152:M159,"NS")&gt;0),"NS",IF(AND(SUM(M152:M159)=0,COUNTIF(M152:M159,0)&gt;0),0,IF(AND(SUM(M152:M159)=0,COUNTIF(M152:M159,"NA")&gt;0),"NA",SUM(M152:M159))))</f>
        <v>0</v>
      </c>
      <c r="N160" s="1085"/>
      <c r="O160" s="1085"/>
      <c r="P160" s="1085"/>
      <c r="Q160" s="1085"/>
      <c r="R160" s="1086"/>
      <c r="S160" s="736">
        <f>IF(AND(SUM(S152:S159)=0,COUNTIF(S152:S159,"NS")&gt;0),"NS",IF(AND(SUM(S152:S159)=0,COUNTIF(S152:S159,0)&gt;0),0,IF(AND(SUM(S152:S159)=0,COUNTIF(S152:S159,"NA")&gt;0),"NA",SUM(S152:S159))))</f>
        <v>0</v>
      </c>
      <c r="T160" s="1085"/>
      <c r="U160" s="1085"/>
      <c r="V160" s="1085"/>
      <c r="W160" s="1085"/>
      <c r="X160" s="1086"/>
      <c r="Y160" s="736">
        <f>IF(AND(SUM(Y152:Y159)=0,COUNTIF(Y152:Y159,"NS")&gt;0),"NS",IF(AND(SUM(Y152:Y159)=0,COUNTIF(Y152:Y159,0)&gt;0),0,IF(AND(SUM(Y152:Y159)=0,COUNTIF(Y152:Y159,"NA")&gt;0),"NA",SUM(Y152:Y159))))</f>
        <v>0</v>
      </c>
      <c r="Z160" s="1085"/>
      <c r="AA160" s="1085"/>
      <c r="AB160" s="1085"/>
      <c r="AC160" s="1085"/>
      <c r="AD160" s="1086"/>
      <c r="AG160" s="507">
        <f>SUM(AG152:AG159)</f>
        <v>0</v>
      </c>
      <c r="AH160" s="507">
        <f>SUM(AH152:AH159)</f>
        <v>0</v>
      </c>
      <c r="AI160">
        <f>SUM(AI152:AI159)</f>
        <v>0</v>
      </c>
      <c r="AK160" s="506">
        <f>SUM(AK152:AK159)</f>
        <v>0</v>
      </c>
      <c r="AN160" s="506">
        <f>SUM(AL152:AN159)</f>
        <v>0</v>
      </c>
    </row>
    <row r="161" spans="1:31" ht="15" customHeight="1">
      <c r="A161" s="10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row>
    <row r="162" spans="1:31" ht="24" customHeight="1">
      <c r="A162" s="108"/>
      <c r="B162" s="38"/>
      <c r="C162" s="754" t="s">
        <v>2611</v>
      </c>
      <c r="D162" s="754"/>
      <c r="E162" s="754"/>
      <c r="F162" s="754"/>
      <c r="G162" s="754"/>
      <c r="H162" s="754"/>
      <c r="I162" s="754"/>
      <c r="J162" s="754"/>
      <c r="K162" s="754"/>
      <c r="L162" s="754"/>
      <c r="M162" s="754"/>
      <c r="N162" s="754"/>
      <c r="O162" s="754"/>
      <c r="P162" s="754"/>
      <c r="Q162" s="754"/>
      <c r="R162" s="754"/>
      <c r="S162" s="754"/>
      <c r="T162" s="754"/>
      <c r="U162" s="754"/>
      <c r="V162" s="754"/>
      <c r="W162" s="754"/>
      <c r="X162" s="754"/>
      <c r="Y162" s="754"/>
      <c r="Z162" s="754"/>
      <c r="AA162" s="754"/>
      <c r="AB162" s="754"/>
      <c r="AC162" s="754"/>
      <c r="AD162" s="754"/>
    </row>
    <row r="163" spans="1:31" ht="60" customHeight="1">
      <c r="A163" s="108"/>
      <c r="B163" s="38"/>
      <c r="C163" s="851"/>
      <c r="D163" s="851"/>
      <c r="E163" s="851"/>
      <c r="F163" s="851"/>
      <c r="G163" s="851"/>
      <c r="H163" s="851"/>
      <c r="I163" s="851"/>
      <c r="J163" s="851"/>
      <c r="K163" s="851"/>
      <c r="L163" s="851"/>
      <c r="M163" s="851"/>
      <c r="N163" s="851"/>
      <c r="O163" s="851"/>
      <c r="P163" s="851"/>
      <c r="Q163" s="851"/>
      <c r="R163" s="851"/>
      <c r="S163" s="851"/>
      <c r="T163" s="851"/>
      <c r="U163" s="851"/>
      <c r="V163" s="851"/>
      <c r="W163" s="851"/>
      <c r="X163" s="851"/>
      <c r="Y163" s="851"/>
      <c r="Z163" s="851"/>
      <c r="AA163" s="851"/>
      <c r="AB163" s="851"/>
      <c r="AC163" s="851"/>
      <c r="AD163" s="851"/>
    </row>
    <row r="164" spans="1:31" ht="15" customHeight="1">
      <c r="A164" s="91"/>
      <c r="B164" s="794" t="str">
        <f>IF(AG160=0,"","Favor de ingresar toda la información requerida en la pregunta")</f>
        <v/>
      </c>
      <c r="C164" s="794"/>
      <c r="D164" s="794"/>
      <c r="E164" s="794"/>
      <c r="F164" s="794"/>
      <c r="G164" s="794"/>
      <c r="H164" s="794"/>
      <c r="I164" s="794"/>
      <c r="J164" s="794"/>
      <c r="K164" s="794"/>
      <c r="L164" s="794"/>
      <c r="M164" s="794"/>
      <c r="N164" s="794"/>
      <c r="O164" s="794"/>
      <c r="P164" s="794"/>
      <c r="Q164" s="794"/>
      <c r="R164" s="794"/>
      <c r="S164" s="794"/>
      <c r="T164" s="794"/>
      <c r="U164" s="794"/>
      <c r="V164" s="794"/>
      <c r="W164" s="794"/>
      <c r="X164" s="794"/>
      <c r="Y164" s="794"/>
      <c r="Z164" s="794"/>
      <c r="AA164" s="794"/>
      <c r="AB164" s="794"/>
      <c r="AC164" s="794"/>
      <c r="AD164" s="794"/>
      <c r="AE164" s="794"/>
    </row>
    <row r="165" spans="1:31" ht="15" customHeight="1">
      <c r="A165" s="91"/>
      <c r="B165" s="1087" t="str">
        <f>IF(COUNTIF(M152:AD159,"NS")&lt;&gt;0,"Alerta: debido a que cuenta con registros NS, debe proporcionar una justificación en el area de comentarios al final de la pregunta","")</f>
        <v/>
      </c>
      <c r="C165" s="1087"/>
      <c r="D165" s="1087"/>
      <c r="E165" s="1087"/>
      <c r="F165" s="1087"/>
      <c r="G165" s="1087"/>
      <c r="H165" s="1087"/>
      <c r="I165" s="1087"/>
      <c r="J165" s="1087"/>
      <c r="K165" s="1087"/>
      <c r="L165" s="1087"/>
      <c r="M165" s="1087"/>
      <c r="N165" s="1087"/>
      <c r="O165" s="1087"/>
      <c r="P165" s="1087"/>
      <c r="Q165" s="1087"/>
      <c r="R165" s="1087"/>
      <c r="S165" s="1087"/>
      <c r="T165" s="1087"/>
      <c r="U165" s="1087"/>
      <c r="V165" s="1087"/>
      <c r="W165" s="1087"/>
      <c r="X165" s="1087"/>
      <c r="Y165" s="1087"/>
      <c r="Z165" s="1087"/>
      <c r="AA165" s="1087"/>
      <c r="AB165" s="1087"/>
      <c r="AC165" s="1087"/>
      <c r="AD165" s="1087"/>
      <c r="AE165" s="1087"/>
    </row>
    <row r="166" spans="1:31" ht="15" customHeight="1">
      <c r="A166" s="91"/>
      <c r="B166" s="1003" t="str">
        <f>IF(AH160&gt;0,"Revise la información capturada, ya que tiene datos ingresados en celdas que están sombreadas","")</f>
        <v/>
      </c>
      <c r="C166" s="1003"/>
      <c r="D166" s="1003"/>
      <c r="E166" s="1003"/>
      <c r="F166" s="1003"/>
      <c r="G166" s="1003"/>
      <c r="H166" s="1003"/>
      <c r="I166" s="1003"/>
      <c r="J166" s="1003"/>
      <c r="K166" s="1003"/>
      <c r="L166" s="1003"/>
      <c r="M166" s="1003"/>
      <c r="N166" s="1003"/>
      <c r="O166" s="1003"/>
      <c r="P166" s="1003"/>
      <c r="Q166" s="1003"/>
      <c r="R166" s="1003"/>
      <c r="S166" s="1003"/>
      <c r="T166" s="1003"/>
      <c r="U166" s="1003"/>
      <c r="V166" s="1003"/>
      <c r="W166" s="1003"/>
      <c r="X166" s="1003"/>
      <c r="Y166" s="1003"/>
      <c r="Z166" s="1003"/>
      <c r="AA166" s="1003"/>
      <c r="AB166" s="1003"/>
      <c r="AC166" s="1003"/>
      <c r="AD166" s="1003"/>
      <c r="AE166" s="1003"/>
    </row>
    <row r="167" spans="1:31" ht="15" customHeight="1">
      <c r="A167" s="91"/>
      <c r="B167" s="1003" t="str">
        <f>IF(AK160&gt;0,"Favor de revisar la suma y consistencia de totales y/o subtotales por filas (numéricos y NS)","")</f>
        <v/>
      </c>
      <c r="C167" s="1003"/>
      <c r="D167" s="1003"/>
      <c r="E167" s="1003"/>
      <c r="F167" s="1003"/>
      <c r="G167" s="1003"/>
      <c r="H167" s="1003"/>
      <c r="I167" s="1003"/>
      <c r="J167" s="1003"/>
      <c r="K167" s="1003"/>
      <c r="L167" s="1003"/>
      <c r="M167" s="1003"/>
      <c r="N167" s="1003"/>
      <c r="O167" s="1003"/>
      <c r="P167" s="1003"/>
      <c r="Q167" s="1003"/>
      <c r="R167" s="1003"/>
      <c r="S167" s="1003"/>
      <c r="T167" s="1003"/>
      <c r="U167" s="1003"/>
      <c r="V167" s="1003"/>
      <c r="W167" s="1003"/>
      <c r="X167" s="1003"/>
      <c r="Y167" s="1003"/>
      <c r="Z167" s="1003"/>
      <c r="AA167" s="1003"/>
      <c r="AB167" s="1003"/>
      <c r="AC167" s="1003"/>
      <c r="AD167" s="1003"/>
      <c r="AE167" s="1003"/>
    </row>
    <row r="168" spans="1:31" ht="15" customHeight="1">
      <c r="A168" s="91"/>
      <c r="B168" s="794" t="str">
        <f>IF(AN160&gt;0,"Favor de revisar la instrucción 1, debido a que no se cumplen con los criterios mencionados","")</f>
        <v/>
      </c>
      <c r="C168" s="794"/>
      <c r="D168" s="794"/>
      <c r="E168" s="794"/>
      <c r="F168" s="794"/>
      <c r="G168" s="794"/>
      <c r="H168" s="794"/>
      <c r="I168" s="794"/>
      <c r="J168" s="794"/>
      <c r="K168" s="794"/>
      <c r="L168" s="794"/>
      <c r="M168" s="794"/>
      <c r="N168" s="794"/>
      <c r="O168" s="794"/>
      <c r="P168" s="794"/>
      <c r="Q168" s="794"/>
      <c r="R168" s="794"/>
      <c r="S168" s="794"/>
      <c r="T168" s="794"/>
      <c r="U168" s="794"/>
      <c r="V168" s="794"/>
      <c r="W168" s="794"/>
      <c r="X168" s="794"/>
      <c r="Y168" s="794"/>
      <c r="Z168" s="794"/>
      <c r="AA168" s="794"/>
      <c r="AB168" s="794"/>
      <c r="AC168" s="794"/>
      <c r="AD168" s="794"/>
      <c r="AE168" s="794"/>
    </row>
    <row r="169" spans="1:31" ht="15" customHeight="1" thickBot="1">
      <c r="A169" s="91"/>
      <c r="AE169"/>
    </row>
    <row r="170" spans="1:31" customFormat="1" ht="15" customHeight="1" thickBot="1">
      <c r="A170" s="153" t="s">
        <v>2563</v>
      </c>
      <c r="B170" s="1081" t="s">
        <v>5495</v>
      </c>
      <c r="C170" s="1082"/>
      <c r="D170" s="1082"/>
      <c r="E170" s="1082"/>
      <c r="F170" s="1082"/>
      <c r="G170" s="1082"/>
      <c r="H170" s="1082"/>
      <c r="I170" s="1082"/>
      <c r="J170" s="1082"/>
      <c r="K170" s="1082"/>
      <c r="L170" s="1082"/>
      <c r="M170" s="1082"/>
      <c r="N170" s="1082"/>
      <c r="O170" s="1082"/>
      <c r="P170" s="1082"/>
      <c r="Q170" s="1082"/>
      <c r="R170" s="1082"/>
      <c r="S170" s="1082"/>
      <c r="T170" s="1082"/>
      <c r="U170" s="1082"/>
      <c r="V170" s="1082"/>
      <c r="W170" s="1082"/>
      <c r="X170" s="1082"/>
      <c r="Y170" s="1082"/>
      <c r="Z170" s="1082"/>
      <c r="AA170" s="1082"/>
      <c r="AB170" s="1082"/>
      <c r="AC170" s="1082"/>
      <c r="AD170" s="1083"/>
      <c r="AE170" s="3"/>
    </row>
    <row r="171" spans="1:31" ht="15" customHeight="1">
      <c r="A171" s="147"/>
      <c r="B171" s="838" t="s">
        <v>2565</v>
      </c>
      <c r="C171" s="839"/>
      <c r="D171" s="839"/>
      <c r="E171" s="839"/>
      <c r="F171" s="839"/>
      <c r="G171" s="839"/>
      <c r="H171" s="839"/>
      <c r="I171" s="839"/>
      <c r="J171" s="839"/>
      <c r="K171" s="839"/>
      <c r="L171" s="839"/>
      <c r="M171" s="839"/>
      <c r="N171" s="839"/>
      <c r="O171" s="839"/>
      <c r="P171" s="839"/>
      <c r="Q171" s="839"/>
      <c r="R171" s="839"/>
      <c r="S171" s="839"/>
      <c r="T171" s="839"/>
      <c r="U171" s="839"/>
      <c r="V171" s="839"/>
      <c r="W171" s="839"/>
      <c r="X171" s="839"/>
      <c r="Y171" s="839"/>
      <c r="Z171" s="839"/>
      <c r="AA171" s="839"/>
      <c r="AB171" s="839"/>
      <c r="AC171" s="839"/>
      <c r="AD171" s="840"/>
    </row>
    <row r="172" spans="1:31" ht="24" customHeight="1">
      <c r="A172" s="147"/>
      <c r="B172" s="76"/>
      <c r="C172" s="754" t="s">
        <v>5496</v>
      </c>
      <c r="D172" s="830"/>
      <c r="E172" s="830"/>
      <c r="F172" s="830"/>
      <c r="G172" s="830"/>
      <c r="H172" s="830"/>
      <c r="I172" s="830"/>
      <c r="J172" s="830"/>
      <c r="K172" s="830"/>
      <c r="L172" s="830"/>
      <c r="M172" s="830"/>
      <c r="N172" s="830"/>
      <c r="O172" s="830"/>
      <c r="P172" s="830"/>
      <c r="Q172" s="830"/>
      <c r="R172" s="830"/>
      <c r="S172" s="830"/>
      <c r="T172" s="830"/>
      <c r="U172" s="830"/>
      <c r="V172" s="830"/>
      <c r="W172" s="830"/>
      <c r="X172" s="830"/>
      <c r="Y172" s="830"/>
      <c r="Z172" s="830"/>
      <c r="AA172" s="830"/>
      <c r="AB172" s="830"/>
      <c r="AC172" s="830"/>
      <c r="AD172" s="886"/>
    </row>
    <row r="173" spans="1:31" ht="15" customHeight="1">
      <c r="A173" s="103"/>
      <c r="B173" s="145"/>
      <c r="C173" s="75"/>
      <c r="D173" s="754" t="s">
        <v>5497</v>
      </c>
      <c r="E173" s="754"/>
      <c r="F173" s="754"/>
      <c r="G173" s="754"/>
      <c r="H173" s="754"/>
      <c r="I173" s="754"/>
      <c r="J173" s="754"/>
      <c r="K173" s="754"/>
      <c r="L173" s="754"/>
      <c r="M173" s="754"/>
      <c r="N173" s="754"/>
      <c r="O173" s="754"/>
      <c r="P173" s="754"/>
      <c r="Q173" s="754"/>
      <c r="R173" s="754"/>
      <c r="S173" s="754"/>
      <c r="T173" s="754"/>
      <c r="U173" s="754"/>
      <c r="V173" s="754"/>
      <c r="W173" s="754"/>
      <c r="X173" s="754"/>
      <c r="Y173" s="754"/>
      <c r="Z173" s="754"/>
      <c r="AA173" s="754"/>
      <c r="AB173" s="754"/>
      <c r="AC173" s="754"/>
      <c r="AD173" s="755"/>
    </row>
    <row r="174" spans="1:31" ht="15" customHeight="1">
      <c r="A174" s="103"/>
      <c r="B174" s="145"/>
      <c r="C174" s="75"/>
      <c r="D174" s="754" t="s">
        <v>5498</v>
      </c>
      <c r="E174" s="754"/>
      <c r="F174" s="754"/>
      <c r="G174" s="754"/>
      <c r="H174" s="754"/>
      <c r="I174" s="754"/>
      <c r="J174" s="754"/>
      <c r="K174" s="754"/>
      <c r="L174" s="754"/>
      <c r="M174" s="754"/>
      <c r="N174" s="754"/>
      <c r="O174" s="754"/>
      <c r="P174" s="754"/>
      <c r="Q174" s="754"/>
      <c r="R174" s="754"/>
      <c r="S174" s="754"/>
      <c r="T174" s="754"/>
      <c r="U174" s="754"/>
      <c r="V174" s="754"/>
      <c r="W174" s="754"/>
      <c r="X174" s="754"/>
      <c r="Y174" s="754"/>
      <c r="Z174" s="754"/>
      <c r="AA174" s="754"/>
      <c r="AB174" s="754"/>
      <c r="AC174" s="754"/>
      <c r="AD174" s="755"/>
    </row>
    <row r="175" spans="1:31" ht="15" customHeight="1">
      <c r="A175" s="103"/>
      <c r="B175" s="200"/>
      <c r="C175" s="82"/>
      <c r="D175" s="764" t="s">
        <v>5499</v>
      </c>
      <c r="E175" s="764"/>
      <c r="F175" s="764"/>
      <c r="G175" s="764"/>
      <c r="H175" s="764"/>
      <c r="I175" s="764"/>
      <c r="J175" s="764"/>
      <c r="K175" s="764"/>
      <c r="L175" s="764"/>
      <c r="M175" s="764"/>
      <c r="N175" s="764"/>
      <c r="O175" s="764"/>
      <c r="P175" s="764"/>
      <c r="Q175" s="764"/>
      <c r="R175" s="764"/>
      <c r="S175" s="764"/>
      <c r="T175" s="764"/>
      <c r="U175" s="764"/>
      <c r="V175" s="764"/>
      <c r="W175" s="764"/>
      <c r="X175" s="764"/>
      <c r="Y175" s="764"/>
      <c r="Z175" s="764"/>
      <c r="AA175" s="764"/>
      <c r="AB175" s="764"/>
      <c r="AC175" s="764"/>
      <c r="AD175" s="765"/>
    </row>
    <row r="176" spans="1:31" ht="15" customHeight="1">
      <c r="A176" s="91"/>
    </row>
    <row r="177" spans="1:36" ht="36" customHeight="1">
      <c r="A177" s="49" t="s">
        <v>5500</v>
      </c>
      <c r="B177" s="829" t="s">
        <v>5501</v>
      </c>
      <c r="C177" s="829"/>
      <c r="D177" s="829"/>
      <c r="E177" s="829"/>
      <c r="F177" s="829"/>
      <c r="G177" s="829"/>
      <c r="H177" s="829"/>
      <c r="I177" s="829"/>
      <c r="J177" s="829"/>
      <c r="K177" s="829"/>
      <c r="L177" s="829"/>
      <c r="M177" s="829"/>
      <c r="N177" s="829"/>
      <c r="O177" s="829"/>
      <c r="P177" s="829"/>
      <c r="Q177" s="829"/>
      <c r="R177" s="829"/>
      <c r="S177" s="829"/>
      <c r="T177" s="829"/>
      <c r="U177" s="829"/>
      <c r="V177" s="829"/>
      <c r="W177" s="829"/>
      <c r="X177" s="829"/>
      <c r="Y177" s="829"/>
      <c r="Z177" s="829"/>
      <c r="AA177" s="829"/>
      <c r="AB177" s="829"/>
      <c r="AC177" s="829"/>
      <c r="AD177" s="829"/>
    </row>
    <row r="178" spans="1:36" ht="24" customHeight="1">
      <c r="A178" s="112"/>
      <c r="B178" s="113"/>
      <c r="C178" s="830" t="s">
        <v>5502</v>
      </c>
      <c r="D178" s="830"/>
      <c r="E178" s="830"/>
      <c r="F178" s="830"/>
      <c r="G178" s="830"/>
      <c r="H178" s="830"/>
      <c r="I178" s="830"/>
      <c r="J178" s="830"/>
      <c r="K178" s="830"/>
      <c r="L178" s="830"/>
      <c r="M178" s="830"/>
      <c r="N178" s="830"/>
      <c r="O178" s="830"/>
      <c r="P178" s="830"/>
      <c r="Q178" s="830"/>
      <c r="R178" s="830"/>
      <c r="S178" s="830"/>
      <c r="T178" s="830"/>
      <c r="U178" s="830"/>
      <c r="V178" s="830"/>
      <c r="W178" s="830"/>
      <c r="X178" s="830"/>
      <c r="Y178" s="830"/>
      <c r="Z178" s="830"/>
      <c r="AA178" s="830"/>
      <c r="AB178" s="830"/>
      <c r="AC178" s="830"/>
      <c r="AD178" s="830"/>
    </row>
    <row r="179" spans="1:36" ht="36" customHeight="1">
      <c r="A179" s="112"/>
      <c r="B179" s="113"/>
      <c r="C179" s="830" t="s">
        <v>5503</v>
      </c>
      <c r="D179" s="830"/>
      <c r="E179" s="830"/>
      <c r="F179" s="830"/>
      <c r="G179" s="830"/>
      <c r="H179" s="830"/>
      <c r="I179" s="830"/>
      <c r="J179" s="830"/>
      <c r="K179" s="830"/>
      <c r="L179" s="830"/>
      <c r="M179" s="830"/>
      <c r="N179" s="830"/>
      <c r="O179" s="830"/>
      <c r="P179" s="830"/>
      <c r="Q179" s="830"/>
      <c r="R179" s="830"/>
      <c r="S179" s="830"/>
      <c r="T179" s="830"/>
      <c r="U179" s="830"/>
      <c r="V179" s="830"/>
      <c r="W179" s="830"/>
      <c r="X179" s="830"/>
      <c r="Y179" s="830"/>
      <c r="Z179" s="830"/>
      <c r="AA179" s="830"/>
      <c r="AB179" s="830"/>
      <c r="AC179" s="830"/>
      <c r="AD179" s="830"/>
    </row>
    <row r="180" spans="1:36" ht="15" customHeight="1">
      <c r="A180" s="50"/>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row>
    <row r="181" spans="1:36" ht="24" customHeight="1">
      <c r="A181" s="50"/>
      <c r="B181" s="38"/>
      <c r="C181" s="732" t="s">
        <v>2581</v>
      </c>
      <c r="D181" s="732"/>
      <c r="E181" s="732"/>
      <c r="F181" s="732"/>
      <c r="G181" s="732"/>
      <c r="H181" s="732"/>
      <c r="I181" s="732"/>
      <c r="J181" s="732" t="s">
        <v>5504</v>
      </c>
      <c r="K181" s="732"/>
      <c r="L181" s="732"/>
      <c r="M181" s="732"/>
      <c r="N181" s="732"/>
      <c r="O181" s="732"/>
      <c r="P181" s="739" t="s">
        <v>5505</v>
      </c>
      <c r="Q181" s="740"/>
      <c r="R181" s="740"/>
      <c r="S181" s="740"/>
      <c r="T181" s="740"/>
      <c r="U181" s="740"/>
      <c r="V181" s="740"/>
      <c r="W181" s="740"/>
      <c r="X181" s="740"/>
      <c r="Y181" s="740"/>
      <c r="Z181" s="740"/>
      <c r="AA181" s="740"/>
      <c r="AB181" s="740"/>
      <c r="AC181" s="740"/>
      <c r="AD181" s="741"/>
    </row>
    <row r="182" spans="1:36" ht="15" customHeight="1">
      <c r="A182" s="50"/>
      <c r="B182" s="38"/>
      <c r="C182" s="732"/>
      <c r="D182" s="732"/>
      <c r="E182" s="732"/>
      <c r="F182" s="732"/>
      <c r="G182" s="732"/>
      <c r="H182" s="732"/>
      <c r="I182" s="732"/>
      <c r="J182" s="732"/>
      <c r="K182" s="732"/>
      <c r="L182" s="732"/>
      <c r="M182" s="732"/>
      <c r="N182" s="732"/>
      <c r="O182" s="732"/>
      <c r="P182" s="732" t="s">
        <v>2628</v>
      </c>
      <c r="Q182" s="732"/>
      <c r="R182" s="732"/>
      <c r="S182" s="736" t="s">
        <v>5506</v>
      </c>
      <c r="T182" s="736"/>
      <c r="U182" s="736"/>
      <c r="V182" s="736"/>
      <c r="W182" s="736"/>
      <c r="X182" s="736"/>
      <c r="Y182" s="736"/>
      <c r="Z182" s="736"/>
      <c r="AA182" s="736"/>
      <c r="AB182" s="736"/>
      <c r="AC182" s="736"/>
      <c r="AD182" s="736"/>
    </row>
    <row r="183" spans="1:36" ht="24" customHeight="1">
      <c r="A183" s="50"/>
      <c r="B183" s="38"/>
      <c r="C183" s="732"/>
      <c r="D183" s="732"/>
      <c r="E183" s="732"/>
      <c r="F183" s="732"/>
      <c r="G183" s="732"/>
      <c r="H183" s="732"/>
      <c r="I183" s="732"/>
      <c r="J183" s="732"/>
      <c r="K183" s="732"/>
      <c r="L183" s="732"/>
      <c r="M183" s="732"/>
      <c r="N183" s="732"/>
      <c r="O183" s="732"/>
      <c r="P183" s="732"/>
      <c r="Q183" s="732"/>
      <c r="R183" s="732"/>
      <c r="S183" s="736" t="s">
        <v>5507</v>
      </c>
      <c r="T183" s="736"/>
      <c r="U183" s="736"/>
      <c r="V183" s="736" t="s">
        <v>5508</v>
      </c>
      <c r="W183" s="736"/>
      <c r="X183" s="736"/>
      <c r="Y183" s="736" t="s">
        <v>5509</v>
      </c>
      <c r="Z183" s="736"/>
      <c r="AA183" s="736"/>
      <c r="AB183" s="736" t="s">
        <v>201</v>
      </c>
      <c r="AC183" s="736"/>
      <c r="AD183" s="736"/>
      <c r="AF183" t="s">
        <v>5510</v>
      </c>
      <c r="AG183" t="s">
        <v>2586</v>
      </c>
      <c r="AH183" t="s">
        <v>4581</v>
      </c>
      <c r="AI183" t="s">
        <v>5291</v>
      </c>
      <c r="AJ183" t="s">
        <v>4713</v>
      </c>
    </row>
    <row r="184" spans="1:36" ht="15" customHeight="1">
      <c r="A184" s="142"/>
      <c r="B184" s="113"/>
      <c r="C184" s="44" t="s">
        <v>2516</v>
      </c>
      <c r="D184" s="796" t="str">
        <f>IF(CNSIPEE_2024_M2_Secc1!D42="","",CNSIPEE_2024_M2_Secc1!D42)</f>
        <v/>
      </c>
      <c r="E184" s="796"/>
      <c r="F184" s="796"/>
      <c r="G184" s="796"/>
      <c r="H184" s="796"/>
      <c r="I184" s="796"/>
      <c r="J184" s="749"/>
      <c r="K184" s="749"/>
      <c r="L184" s="749"/>
      <c r="M184" s="749"/>
      <c r="N184" s="749"/>
      <c r="O184" s="749"/>
      <c r="P184" s="816"/>
      <c r="Q184" s="738"/>
      <c r="R184" s="817"/>
      <c r="S184" s="816"/>
      <c r="T184" s="738"/>
      <c r="U184" s="817"/>
      <c r="V184" s="816"/>
      <c r="W184" s="738"/>
      <c r="X184" s="817"/>
      <c r="Y184" s="816"/>
      <c r="Z184" s="738"/>
      <c r="AA184" s="817"/>
      <c r="AB184" s="816"/>
      <c r="AC184" s="738"/>
      <c r="AD184" s="817"/>
      <c r="AF184">
        <f>IF(AND(SUM(S184:AD184)=0,COUNTIF(S184:AD184,"NS")&gt;0),"NS",IF(AND(SUM(S184:AD184)=0,COUNTIF(S184:AD184,0)&gt;0),0,IF(AND(SUM(S184:AD184)=0,COUNTIF(S184:AD184,"NA")&gt;0),"NA",SUM(S184:AD184))))</f>
        <v>0</v>
      </c>
      <c r="AG184">
        <f>IF(COUNTBLANK(D184:AD184)=27,0,IF(COUNTBLANK(D184)=1,1,IF(J184=1,IF(COUNTA(P184:AD184)=5,0,1),IF(OR(AND(J184="",COUNTA(P184:AD184)&gt;0),COUNTA(J184:AD184)=0),1,0))))</f>
        <v>0</v>
      </c>
      <c r="AH184">
        <f>IF(J184&gt;1,IF(COUNTA(P184:AD184)=0,0,1),0)</f>
        <v>0</v>
      </c>
      <c r="AI184" cm="1">
        <f t="array" ref="AI184">IF(OR(P184={"NS","NA"},AF184={"NS","NA"}),0,IF(P184&lt;=AF184,0,1))</f>
        <v>0</v>
      </c>
      <c r="AJ184">
        <f t="shared" ref="AJ184:AJ191" si="64">IF(AND(J184=1,P184=0),1,0)</f>
        <v>0</v>
      </c>
    </row>
    <row r="185" spans="1:36" ht="15" customHeight="1">
      <c r="A185" s="142"/>
      <c r="B185" s="113"/>
      <c r="C185" s="97" t="s">
        <v>2517</v>
      </c>
      <c r="D185" s="796" t="str">
        <f>IF(CNSIPEE_2024_M2_Secc1!D43="","",CNSIPEE_2024_M2_Secc1!D43)</f>
        <v/>
      </c>
      <c r="E185" s="796"/>
      <c r="F185" s="796"/>
      <c r="G185" s="796"/>
      <c r="H185" s="796"/>
      <c r="I185" s="796"/>
      <c r="J185" s="749"/>
      <c r="K185" s="749"/>
      <c r="L185" s="749"/>
      <c r="M185" s="749"/>
      <c r="N185" s="749"/>
      <c r="O185" s="749"/>
      <c r="P185" s="816"/>
      <c r="Q185" s="738"/>
      <c r="R185" s="817"/>
      <c r="S185" s="816"/>
      <c r="T185" s="738"/>
      <c r="U185" s="817"/>
      <c r="V185" s="816"/>
      <c r="W185" s="738"/>
      <c r="X185" s="817"/>
      <c r="Y185" s="816"/>
      <c r="Z185" s="738"/>
      <c r="AA185" s="817"/>
      <c r="AB185" s="816"/>
      <c r="AC185" s="738"/>
      <c r="AD185" s="817"/>
      <c r="AF185">
        <f t="shared" ref="AF185:AF191" si="65">IF(AND(SUM(S185:AD185)=0,COUNTIF(S185:AD185,"NS")&gt;0),"NS",IF(AND(SUM(S185:AD185)=0,COUNTIF(S185:AD185,0)&gt;0),0,IF(AND(SUM(S185:AD185)=0,COUNTIF(S185:AD185,"NA")&gt;0),"NA",SUM(S185:AD185))))</f>
        <v>0</v>
      </c>
      <c r="AG185">
        <f t="shared" ref="AG185:AG191" si="66">IF(COUNTBLANK(D185:AD185)=27,0,IF(COUNTBLANK(D185)=1,1,IF(J185=1,IF(COUNTA(P185:AD185)=5,0,1),IF(OR(AND(J185="",COUNTA(P185:AD185)&gt;0),COUNTA(J185:AD185)=0),1,0))))</f>
        <v>0</v>
      </c>
      <c r="AH185">
        <f t="shared" ref="AH185:AH190" si="67">IF(J185&gt;1,IF(COUNTA(P185:AD185)=0,0,1),0)</f>
        <v>0</v>
      </c>
      <c r="AI185" cm="1">
        <f t="array" ref="AI185">IF(OR(P185={"NS","NA"},AF185={"NS","NA"}),0,IF(P185&lt;=AF185,0,1))</f>
        <v>0</v>
      </c>
      <c r="AJ185">
        <f t="shared" si="64"/>
        <v>0</v>
      </c>
    </row>
    <row r="186" spans="1:36" ht="15" customHeight="1">
      <c r="A186" s="142"/>
      <c r="B186" s="113"/>
      <c r="C186" s="98" t="s">
        <v>2518</v>
      </c>
      <c r="D186" s="796" t="str">
        <f>IF(CNSIPEE_2024_M2_Secc1!D44="","",CNSIPEE_2024_M2_Secc1!D44)</f>
        <v/>
      </c>
      <c r="E186" s="796"/>
      <c r="F186" s="796"/>
      <c r="G186" s="796"/>
      <c r="H186" s="796"/>
      <c r="I186" s="796"/>
      <c r="J186" s="749"/>
      <c r="K186" s="749"/>
      <c r="L186" s="749"/>
      <c r="M186" s="749"/>
      <c r="N186" s="749"/>
      <c r="O186" s="749"/>
      <c r="P186" s="816"/>
      <c r="Q186" s="738"/>
      <c r="R186" s="817"/>
      <c r="S186" s="816"/>
      <c r="T186" s="738"/>
      <c r="U186" s="817"/>
      <c r="V186" s="816"/>
      <c r="W186" s="738"/>
      <c r="X186" s="817"/>
      <c r="Y186" s="816"/>
      <c r="Z186" s="738"/>
      <c r="AA186" s="817"/>
      <c r="AB186" s="816"/>
      <c r="AC186" s="738"/>
      <c r="AD186" s="817"/>
      <c r="AF186">
        <f t="shared" si="65"/>
        <v>0</v>
      </c>
      <c r="AG186">
        <f t="shared" si="66"/>
        <v>0</v>
      </c>
      <c r="AH186">
        <f t="shared" si="67"/>
        <v>0</v>
      </c>
      <c r="AI186" cm="1">
        <f t="array" ref="AI186">IF(OR(P186={"NS","NA"},AF186={"NS","NA"}),0,IF(P186&lt;=AF186,0,1))</f>
        <v>0</v>
      </c>
      <c r="AJ186">
        <f t="shared" si="64"/>
        <v>0</v>
      </c>
    </row>
    <row r="187" spans="1:36" ht="15" customHeight="1">
      <c r="A187" s="142"/>
      <c r="B187" s="113"/>
      <c r="C187" s="98" t="s">
        <v>2519</v>
      </c>
      <c r="D187" s="796" t="str">
        <f>IF(CNSIPEE_2024_M2_Secc1!D45="","",CNSIPEE_2024_M2_Secc1!D45)</f>
        <v/>
      </c>
      <c r="E187" s="796"/>
      <c r="F187" s="796"/>
      <c r="G187" s="796"/>
      <c r="H187" s="796"/>
      <c r="I187" s="796"/>
      <c r="J187" s="749"/>
      <c r="K187" s="749"/>
      <c r="L187" s="749"/>
      <c r="M187" s="749"/>
      <c r="N187" s="749"/>
      <c r="O187" s="749"/>
      <c r="P187" s="816"/>
      <c r="Q187" s="738"/>
      <c r="R187" s="817"/>
      <c r="S187" s="816"/>
      <c r="T187" s="738"/>
      <c r="U187" s="817"/>
      <c r="V187" s="816"/>
      <c r="W187" s="738"/>
      <c r="X187" s="817"/>
      <c r="Y187" s="816"/>
      <c r="Z187" s="738"/>
      <c r="AA187" s="817"/>
      <c r="AB187" s="816"/>
      <c r="AC187" s="738"/>
      <c r="AD187" s="817"/>
      <c r="AF187">
        <f t="shared" si="65"/>
        <v>0</v>
      </c>
      <c r="AG187">
        <f t="shared" si="66"/>
        <v>0</v>
      </c>
      <c r="AH187">
        <f t="shared" si="67"/>
        <v>0</v>
      </c>
      <c r="AI187" cm="1">
        <f t="array" ref="AI187">IF(OR(P187={"NS","NA"},AF187={"NS","NA"}),0,IF(P187&lt;=AF187,0,1))</f>
        <v>0</v>
      </c>
      <c r="AJ187">
        <f t="shared" si="64"/>
        <v>0</v>
      </c>
    </row>
    <row r="188" spans="1:36" ht="15" customHeight="1">
      <c r="A188" s="142"/>
      <c r="B188" s="113"/>
      <c r="C188" s="98" t="s">
        <v>2520</v>
      </c>
      <c r="D188" s="796" t="str">
        <f>IF(CNSIPEE_2024_M2_Secc1!D46="","",CNSIPEE_2024_M2_Secc1!D46)</f>
        <v/>
      </c>
      <c r="E188" s="796"/>
      <c r="F188" s="796"/>
      <c r="G188" s="796"/>
      <c r="H188" s="796"/>
      <c r="I188" s="796"/>
      <c r="J188" s="749"/>
      <c r="K188" s="749"/>
      <c r="L188" s="749"/>
      <c r="M188" s="749"/>
      <c r="N188" s="749"/>
      <c r="O188" s="749"/>
      <c r="P188" s="816"/>
      <c r="Q188" s="738"/>
      <c r="R188" s="817"/>
      <c r="S188" s="816"/>
      <c r="T188" s="738"/>
      <c r="U188" s="817"/>
      <c r="V188" s="816"/>
      <c r="W188" s="738"/>
      <c r="X188" s="817"/>
      <c r="Y188" s="816"/>
      <c r="Z188" s="738"/>
      <c r="AA188" s="817"/>
      <c r="AB188" s="816"/>
      <c r="AC188" s="738"/>
      <c r="AD188" s="817"/>
      <c r="AF188">
        <f t="shared" si="65"/>
        <v>0</v>
      </c>
      <c r="AG188">
        <f t="shared" si="66"/>
        <v>0</v>
      </c>
      <c r="AH188">
        <f t="shared" si="67"/>
        <v>0</v>
      </c>
      <c r="AI188" cm="1">
        <f t="array" ref="AI188">IF(OR(P188={"NS","NA"},AF188={"NS","NA"}),0,IF(P188&lt;=AF188,0,1))</f>
        <v>0</v>
      </c>
      <c r="AJ188">
        <f t="shared" si="64"/>
        <v>0</v>
      </c>
    </row>
    <row r="189" spans="1:36" ht="15" customHeight="1">
      <c r="A189" s="142"/>
      <c r="B189" s="113"/>
      <c r="C189" s="98" t="s">
        <v>2521</v>
      </c>
      <c r="D189" s="796" t="str">
        <f>IF(CNSIPEE_2024_M2_Secc1!D47="","",CNSIPEE_2024_M2_Secc1!D47)</f>
        <v/>
      </c>
      <c r="E189" s="796"/>
      <c r="F189" s="796"/>
      <c r="G189" s="796"/>
      <c r="H189" s="796"/>
      <c r="I189" s="796"/>
      <c r="J189" s="749"/>
      <c r="K189" s="749"/>
      <c r="L189" s="749"/>
      <c r="M189" s="749"/>
      <c r="N189" s="749"/>
      <c r="O189" s="749"/>
      <c r="P189" s="816"/>
      <c r="Q189" s="738"/>
      <c r="R189" s="817"/>
      <c r="S189" s="816"/>
      <c r="T189" s="738"/>
      <c r="U189" s="817"/>
      <c r="V189" s="816"/>
      <c r="W189" s="738"/>
      <c r="X189" s="817"/>
      <c r="Y189" s="816"/>
      <c r="Z189" s="738"/>
      <c r="AA189" s="817"/>
      <c r="AB189" s="816"/>
      <c r="AC189" s="738"/>
      <c r="AD189" s="817"/>
      <c r="AF189">
        <f t="shared" si="65"/>
        <v>0</v>
      </c>
      <c r="AG189">
        <f t="shared" si="66"/>
        <v>0</v>
      </c>
      <c r="AH189">
        <f t="shared" si="67"/>
        <v>0</v>
      </c>
      <c r="AI189" cm="1">
        <f t="array" ref="AI189">IF(OR(P189={"NS","NA"},AF189={"NS","NA"}),0,IF(P189&lt;=AF189,0,1))</f>
        <v>0</v>
      </c>
      <c r="AJ189">
        <f t="shared" si="64"/>
        <v>0</v>
      </c>
    </row>
    <row r="190" spans="1:36" ht="15" customHeight="1">
      <c r="A190" s="142"/>
      <c r="B190" s="113"/>
      <c r="C190" s="98" t="s">
        <v>2522</v>
      </c>
      <c r="D190" s="796" t="str">
        <f>IF(CNSIPEE_2024_M2_Secc1!D48="","",CNSIPEE_2024_M2_Secc1!D48)</f>
        <v/>
      </c>
      <c r="E190" s="796"/>
      <c r="F190" s="796"/>
      <c r="G190" s="796"/>
      <c r="H190" s="796"/>
      <c r="I190" s="796"/>
      <c r="J190" s="749"/>
      <c r="K190" s="749"/>
      <c r="L190" s="749"/>
      <c r="M190" s="749"/>
      <c r="N190" s="749"/>
      <c r="O190" s="749"/>
      <c r="P190" s="816"/>
      <c r="Q190" s="738"/>
      <c r="R190" s="817"/>
      <c r="S190" s="816"/>
      <c r="T190" s="738"/>
      <c r="U190" s="817"/>
      <c r="V190" s="816"/>
      <c r="W190" s="738"/>
      <c r="X190" s="817"/>
      <c r="Y190" s="816"/>
      <c r="Z190" s="738"/>
      <c r="AA190" s="817"/>
      <c r="AB190" s="816"/>
      <c r="AC190" s="738"/>
      <c r="AD190" s="817"/>
      <c r="AF190">
        <f t="shared" si="65"/>
        <v>0</v>
      </c>
      <c r="AG190">
        <f t="shared" si="66"/>
        <v>0</v>
      </c>
      <c r="AH190">
        <f t="shared" si="67"/>
        <v>0</v>
      </c>
      <c r="AI190" cm="1">
        <f t="array" ref="AI190">IF(OR(P190={"NS","NA"},AF190={"NS","NA"}),0,IF(P190&lt;=AF190,0,1))</f>
        <v>0</v>
      </c>
      <c r="AJ190">
        <f t="shared" si="64"/>
        <v>0</v>
      </c>
    </row>
    <row r="191" spans="1:36" ht="15" customHeight="1">
      <c r="A191" s="142"/>
      <c r="B191" s="113"/>
      <c r="C191" s="98" t="s">
        <v>2523</v>
      </c>
      <c r="D191" s="796" t="str">
        <f>IF(CNSIPEE_2024_M2_Secc1!D49="","",CNSIPEE_2024_M2_Secc1!D49)</f>
        <v/>
      </c>
      <c r="E191" s="796"/>
      <c r="F191" s="796"/>
      <c r="G191" s="796"/>
      <c r="H191" s="796"/>
      <c r="I191" s="796"/>
      <c r="J191" s="749"/>
      <c r="K191" s="749"/>
      <c r="L191" s="749"/>
      <c r="M191" s="749"/>
      <c r="N191" s="749"/>
      <c r="O191" s="749"/>
      <c r="P191" s="816"/>
      <c r="Q191" s="738"/>
      <c r="R191" s="817"/>
      <c r="S191" s="816"/>
      <c r="T191" s="738"/>
      <c r="U191" s="817"/>
      <c r="V191" s="816"/>
      <c r="W191" s="738"/>
      <c r="X191" s="817"/>
      <c r="Y191" s="816"/>
      <c r="Z191" s="738"/>
      <c r="AA191" s="817"/>
      <c r="AB191" s="816"/>
      <c r="AC191" s="738"/>
      <c r="AD191" s="817"/>
      <c r="AF191">
        <f t="shared" si="65"/>
        <v>0</v>
      </c>
      <c r="AG191">
        <f t="shared" si="66"/>
        <v>0</v>
      </c>
      <c r="AH191">
        <f>IF(J191&gt;1,IF(COUNTA(P191:AD191)=0,0,1),0)</f>
        <v>0</v>
      </c>
      <c r="AI191" cm="1">
        <f t="array" ref="AI191">IF(OR(P191={"NS","NA"},AF191={"NS","NA"}),0,IF(P191&lt;=AF191,0,1))</f>
        <v>0</v>
      </c>
      <c r="AJ191">
        <f t="shared" si="64"/>
        <v>0</v>
      </c>
    </row>
    <row r="192" spans="1:36" ht="15" customHeight="1">
      <c r="A192" s="49"/>
      <c r="B192" s="123"/>
      <c r="C192" s="123"/>
      <c r="D192" s="123"/>
      <c r="E192" s="123"/>
      <c r="G192" s="123"/>
      <c r="O192" s="99" t="s">
        <v>2649</v>
      </c>
      <c r="P192" s="733">
        <f>IF(AND(SUM(P184:P191)=0,COUNTIF(P184:P191,"NS")&gt;0),"NS",IF(AND(SUM(P184:P191)=0,COUNTIF(P184:P191,0)&gt;0),0,IF(AND(SUM(P184:P191)=0,COUNTIF(P184:P191,"NA")&gt;0),"NA",SUM(P184:P191))))</f>
        <v>0</v>
      </c>
      <c r="Q192" s="734"/>
      <c r="R192" s="735"/>
      <c r="S192" s="733">
        <f>IF(AND(SUM(S184:S191)=0,COUNTIF(S184:S191,"NS")&gt;0),"NS",IF(AND(SUM(S184:S191)=0,COUNTIF(S184:S191,0)&gt;0),0,IF(AND(SUM(S184:S191)=0,COUNTIF(S184:S191,"NA")&gt;0),"NA",SUM(S184:S191))))</f>
        <v>0</v>
      </c>
      <c r="T192" s="734"/>
      <c r="U192" s="735"/>
      <c r="V192" s="733">
        <f>IF(AND(SUM(V184:V191)=0,COUNTIF(V184:V191,"NS")&gt;0),"NS",IF(AND(SUM(V184:V191)=0,COUNTIF(V184:V191,0)&gt;0),0,IF(AND(SUM(V184:V191)=0,COUNTIF(V184:V191,"NA")&gt;0),"NA",SUM(V184:V191))))</f>
        <v>0</v>
      </c>
      <c r="W192" s="734"/>
      <c r="X192" s="735"/>
      <c r="Y192" s="733">
        <f>IF(AND(SUM(Y184:Y191)=0,COUNTIF(Y184:Y191,"NS")&gt;0),"NS",IF(AND(SUM(Y184:Y191)=0,COUNTIF(Y184:Y191,0)&gt;0),0,IF(AND(SUM(Y184:Y191)=0,COUNTIF(Y184:Y191,"NA")&gt;0),"NA",SUM(Y184:Y191))))</f>
        <v>0</v>
      </c>
      <c r="Z192" s="734"/>
      <c r="AA192" s="735"/>
      <c r="AB192" s="733">
        <f>IF(AND(SUM(AB184:AB191)=0,COUNTIF(AB184:AB191,"NS")&gt;0),"NS",IF(AND(SUM(AB184:AB191)=0,COUNTIF(AB184:AB191,0)&gt;0),0,IF(AND(SUM(AB184:AB191)=0,COUNTIF(AB184:AB191,"NA")&gt;0),"NA",SUM(AB184:AB191))))</f>
        <v>0</v>
      </c>
      <c r="AC192" s="734"/>
      <c r="AD192" s="735"/>
      <c r="AF192"/>
      <c r="AG192" s="507">
        <f>SUM(AG184:AG191)</f>
        <v>0</v>
      </c>
      <c r="AH192" s="507">
        <f>SUM(AH184:AH191)</f>
        <v>0</v>
      </c>
      <c r="AI192" s="507">
        <f>SUM(AI184:AI191)</f>
        <v>0</v>
      </c>
      <c r="AJ192" s="507">
        <f>SUM(AJ184:AJ191)</f>
        <v>0</v>
      </c>
    </row>
    <row r="193" spans="1:31" ht="15" customHeight="1">
      <c r="A193" s="166"/>
      <c r="B193" s="57"/>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row>
    <row r="194" spans="1:31" ht="24" customHeight="1">
      <c r="A194" s="50"/>
      <c r="B194" s="38"/>
      <c r="C194" s="754" t="s">
        <v>2611</v>
      </c>
      <c r="D194" s="754"/>
      <c r="E194" s="754"/>
      <c r="F194" s="754"/>
      <c r="G194" s="754"/>
      <c r="H194" s="754"/>
      <c r="I194" s="754"/>
      <c r="J194" s="754"/>
      <c r="K194" s="754"/>
      <c r="L194" s="754"/>
      <c r="M194" s="754"/>
      <c r="N194" s="754"/>
      <c r="O194" s="754"/>
      <c r="P194" s="754"/>
      <c r="Q194" s="754"/>
      <c r="R194" s="754"/>
      <c r="S194" s="754"/>
      <c r="T194" s="754"/>
      <c r="U194" s="754"/>
      <c r="V194" s="754"/>
      <c r="W194" s="754"/>
      <c r="X194" s="754"/>
      <c r="Y194" s="754"/>
      <c r="Z194" s="754"/>
      <c r="AA194" s="754"/>
      <c r="AB194" s="754"/>
      <c r="AC194" s="754"/>
      <c r="AD194" s="754"/>
    </row>
    <row r="195" spans="1:31" ht="60" customHeight="1">
      <c r="A195" s="50"/>
      <c r="B195" s="38"/>
      <c r="C195" s="851"/>
      <c r="D195" s="851"/>
      <c r="E195" s="851"/>
      <c r="F195" s="851"/>
      <c r="G195" s="851"/>
      <c r="H195" s="851"/>
      <c r="I195" s="851"/>
      <c r="J195" s="851"/>
      <c r="K195" s="851"/>
      <c r="L195" s="851"/>
      <c r="M195" s="851"/>
      <c r="N195" s="851"/>
      <c r="O195" s="851"/>
      <c r="P195" s="851"/>
      <c r="Q195" s="851"/>
      <c r="R195" s="851"/>
      <c r="S195" s="851"/>
      <c r="T195" s="851"/>
      <c r="U195" s="851"/>
      <c r="V195" s="851"/>
      <c r="W195" s="851"/>
      <c r="X195" s="851"/>
      <c r="Y195" s="851"/>
      <c r="Z195" s="851"/>
      <c r="AA195" s="851"/>
      <c r="AB195" s="851"/>
      <c r="AC195" s="851"/>
      <c r="AD195" s="851"/>
    </row>
    <row r="196" spans="1:31" ht="15" customHeight="1">
      <c r="B196" s="794" t="str">
        <f>IF(AG192=0,"","Favor de ingresar toda la información requerida en la pregunta")</f>
        <v/>
      </c>
      <c r="C196" s="794"/>
      <c r="D196" s="794"/>
      <c r="E196" s="794"/>
      <c r="F196" s="794"/>
      <c r="G196" s="794"/>
      <c r="H196" s="794"/>
      <c r="I196" s="794"/>
      <c r="J196" s="794"/>
      <c r="K196" s="794"/>
      <c r="L196" s="794"/>
      <c r="M196" s="794"/>
      <c r="N196" s="794"/>
      <c r="O196" s="794"/>
      <c r="P196" s="794"/>
      <c r="Q196" s="794"/>
      <c r="R196" s="794"/>
      <c r="S196" s="794"/>
      <c r="T196" s="794"/>
      <c r="U196" s="794"/>
      <c r="V196" s="794"/>
      <c r="W196" s="794"/>
      <c r="X196" s="794"/>
      <c r="Y196" s="794"/>
      <c r="Z196" s="794"/>
      <c r="AA196" s="794"/>
      <c r="AB196" s="794"/>
      <c r="AC196" s="794"/>
      <c r="AD196" s="794"/>
      <c r="AE196" s="794"/>
    </row>
    <row r="197" spans="1:31" ht="15" customHeight="1">
      <c r="B197" s="1087" t="str">
        <f>IF(COUNTIF(P184:AD191,"NS")&lt;&gt;0,"Alerta: debido a que cuenta con registros NS, debe proporcionar una justificación en el area de comentarios al final de la pregunta","")</f>
        <v/>
      </c>
      <c r="C197" s="1087"/>
      <c r="D197" s="1087"/>
      <c r="E197" s="1087"/>
      <c r="F197" s="1087"/>
      <c r="G197" s="1087"/>
      <c r="H197" s="1087"/>
      <c r="I197" s="1087"/>
      <c r="J197" s="1087"/>
      <c r="K197" s="1087"/>
      <c r="L197" s="1087"/>
      <c r="M197" s="1087"/>
      <c r="N197" s="1087"/>
      <c r="O197" s="1087"/>
      <c r="P197" s="1087"/>
      <c r="Q197" s="1087"/>
      <c r="R197" s="1087"/>
      <c r="S197" s="1087"/>
      <c r="T197" s="1087"/>
      <c r="U197" s="1087"/>
      <c r="V197" s="1087"/>
      <c r="W197" s="1087"/>
      <c r="X197" s="1087"/>
      <c r="Y197" s="1087"/>
      <c r="Z197" s="1087"/>
      <c r="AA197" s="1087"/>
      <c r="AB197" s="1087"/>
      <c r="AC197" s="1087"/>
      <c r="AD197" s="1087"/>
      <c r="AE197" s="1087"/>
    </row>
    <row r="198" spans="1:31" ht="15" customHeight="1">
      <c r="B198" s="1003" t="str">
        <f>IF(AH192&gt;0,"Revise la información capturada, ya que tiene datos ingresados en celdas que están sombreadas","")</f>
        <v/>
      </c>
      <c r="C198" s="1003"/>
      <c r="D198" s="1003"/>
      <c r="E198" s="1003"/>
      <c r="F198" s="1003"/>
      <c r="G198" s="1003"/>
      <c r="H198" s="1003"/>
      <c r="I198" s="1003"/>
      <c r="J198" s="1003"/>
      <c r="K198" s="1003"/>
      <c r="L198" s="1003"/>
      <c r="M198" s="1003"/>
      <c r="N198" s="1003"/>
      <c r="O198" s="1003"/>
      <c r="P198" s="1003"/>
      <c r="Q198" s="1003"/>
      <c r="R198" s="1003"/>
      <c r="S198" s="1003"/>
      <c r="T198" s="1003"/>
      <c r="U198" s="1003"/>
      <c r="V198" s="1003"/>
      <c r="W198" s="1003"/>
      <c r="X198" s="1003"/>
      <c r="Y198" s="1003"/>
      <c r="Z198" s="1003"/>
      <c r="AA198" s="1003"/>
      <c r="AB198" s="1003"/>
      <c r="AC198" s="1003"/>
      <c r="AD198" s="1003"/>
      <c r="AE198" s="1003"/>
    </row>
    <row r="199" spans="1:31" ht="15" customHeight="1">
      <c r="B199" s="794" t="str">
        <f>IF(AI192&gt;0,"Favor de revisar la instrucción 2, debido a que no se cumplen con los criterios mencionados","")</f>
        <v/>
      </c>
      <c r="C199" s="794"/>
      <c r="D199" s="794"/>
      <c r="E199" s="794"/>
      <c r="F199" s="794"/>
      <c r="G199" s="794"/>
      <c r="H199" s="794"/>
      <c r="I199" s="794"/>
      <c r="J199" s="794"/>
      <c r="K199" s="794"/>
      <c r="L199" s="794"/>
      <c r="M199" s="794"/>
      <c r="N199" s="794"/>
      <c r="O199" s="794"/>
      <c r="P199" s="794"/>
      <c r="Q199" s="794"/>
      <c r="R199" s="794"/>
      <c r="S199" s="794"/>
      <c r="T199" s="794"/>
      <c r="U199" s="794"/>
      <c r="V199" s="794"/>
      <c r="W199" s="794"/>
      <c r="X199" s="794"/>
      <c r="Y199" s="794"/>
      <c r="Z199" s="794"/>
      <c r="AA199" s="794"/>
      <c r="AB199" s="794"/>
      <c r="AC199" s="794"/>
      <c r="AD199" s="794"/>
      <c r="AE199" s="794"/>
    </row>
    <row r="200" spans="1:31" ht="15" customHeight="1">
      <c r="B200" s="794" t="str">
        <f>IF(AJ192=0,"","Debido a que cuenta con registro(s) con el código 1, el total de la fila respectiva debe ser mayor a cero")</f>
        <v/>
      </c>
      <c r="C200" s="794"/>
      <c r="D200" s="794"/>
      <c r="E200" s="794"/>
      <c r="F200" s="794"/>
      <c r="G200" s="794"/>
      <c r="H200" s="794"/>
      <c r="I200" s="794"/>
      <c r="J200" s="794"/>
      <c r="K200" s="794"/>
      <c r="L200" s="794"/>
      <c r="M200" s="794"/>
      <c r="N200" s="794"/>
      <c r="O200" s="794"/>
      <c r="P200" s="794"/>
      <c r="Q200" s="794"/>
      <c r="R200" s="794"/>
      <c r="S200" s="794"/>
      <c r="T200" s="794"/>
      <c r="U200" s="794"/>
      <c r="V200" s="794"/>
      <c r="W200" s="794"/>
      <c r="X200" s="794"/>
      <c r="Y200" s="794"/>
      <c r="Z200" s="794"/>
      <c r="AA200" s="794"/>
      <c r="AB200" s="794"/>
      <c r="AC200" s="794"/>
      <c r="AD200" s="794"/>
      <c r="AE200" s="794"/>
    </row>
    <row r="201" spans="1:31" ht="15" customHeight="1">
      <c r="B201"/>
      <c r="C201"/>
      <c r="D201"/>
      <c r="E201"/>
      <c r="F201"/>
      <c r="G201"/>
      <c r="H201"/>
      <c r="I201"/>
      <c r="J201"/>
      <c r="K201"/>
      <c r="L201"/>
      <c r="M201"/>
      <c r="N201"/>
      <c r="O201"/>
      <c r="P201"/>
      <c r="Q201"/>
      <c r="R201"/>
      <c r="S201"/>
      <c r="T201"/>
      <c r="U201"/>
      <c r="V201"/>
      <c r="W201"/>
      <c r="X201"/>
      <c r="Y201"/>
      <c r="Z201"/>
      <c r="AA201"/>
      <c r="AB201"/>
      <c r="AC201"/>
      <c r="AD201"/>
      <c r="AE201"/>
    </row>
  </sheetData>
  <sheetProtection algorithmName="SHA-512" hashValue="j8bv7+x31FbbDp26mNS90p8hZoX2zdGh0f/aR4bOle8osN6HSBV3RmM4AyCLv1eXh+oWFYbuYeLM7ChMpcYDMw==" saltValue="6YJuy8zFfIF/BCwiC+9N6Q==" spinCount="100000" sheet="1" objects="1" scenarios="1"/>
  <mergeCells count="323">
    <mergeCell ref="C195:AD195"/>
    <mergeCell ref="D190:I190"/>
    <mergeCell ref="D55:X55"/>
    <mergeCell ref="Y55:AD55"/>
    <mergeCell ref="B142:AE142"/>
    <mergeCell ref="B143:AE143"/>
    <mergeCell ref="B144:AE144"/>
    <mergeCell ref="C139:AD139"/>
    <mergeCell ref="C140:AD140"/>
    <mergeCell ref="AB187:AD187"/>
    <mergeCell ref="AB190:AD190"/>
    <mergeCell ref="D191:I191"/>
    <mergeCell ref="J191:O191"/>
    <mergeCell ref="P191:R191"/>
    <mergeCell ref="S191:U191"/>
    <mergeCell ref="V191:X191"/>
    <mergeCell ref="Y191:AA191"/>
    <mergeCell ref="AB191:AD191"/>
    <mergeCell ref="D188:I188"/>
    <mergeCell ref="J188:O188"/>
    <mergeCell ref="P188:R188"/>
    <mergeCell ref="S188:U188"/>
    <mergeCell ref="V188:X188"/>
    <mergeCell ref="Y188:AA188"/>
    <mergeCell ref="B200:AE200"/>
    <mergeCell ref="B164:AE164"/>
    <mergeCell ref="B165:AE165"/>
    <mergeCell ref="B166:AE166"/>
    <mergeCell ref="B167:AE167"/>
    <mergeCell ref="B168:AE168"/>
    <mergeCell ref="B196:AE196"/>
    <mergeCell ref="B197:AE197"/>
    <mergeCell ref="B198:AE198"/>
    <mergeCell ref="B199:AE199"/>
    <mergeCell ref="C178:AD178"/>
    <mergeCell ref="P192:R192"/>
    <mergeCell ref="S192:U192"/>
    <mergeCell ref="V192:X192"/>
    <mergeCell ref="Y192:AA192"/>
    <mergeCell ref="AB192:AD192"/>
    <mergeCell ref="C194:AD194"/>
    <mergeCell ref="Y189:AA189"/>
    <mergeCell ref="AB189:AD189"/>
    <mergeCell ref="J190:O190"/>
    <mergeCell ref="P190:R190"/>
    <mergeCell ref="S187:U187"/>
    <mergeCell ref="V187:X187"/>
    <mergeCell ref="Y187:AA187"/>
    <mergeCell ref="B40:AE40"/>
    <mergeCell ref="B41:AE41"/>
    <mergeCell ref="B42:AE42"/>
    <mergeCell ref="B43:AE43"/>
    <mergeCell ref="B44:AE44"/>
    <mergeCell ref="B67:AE67"/>
    <mergeCell ref="B68:AE68"/>
    <mergeCell ref="B69:AE69"/>
    <mergeCell ref="B70:AE70"/>
    <mergeCell ref="C48:AD48"/>
    <mergeCell ref="D62:X62"/>
    <mergeCell ref="Y62:AD62"/>
    <mergeCell ref="Y63:AD63"/>
    <mergeCell ref="C65:AD65"/>
    <mergeCell ref="C66:AD66"/>
    <mergeCell ref="B50:AD50"/>
    <mergeCell ref="C51:AD51"/>
    <mergeCell ref="C52:AD52"/>
    <mergeCell ref="C54:X54"/>
    <mergeCell ref="Y54:AD54"/>
    <mergeCell ref="AB188:AD188"/>
    <mergeCell ref="D189:I189"/>
    <mergeCell ref="J189:O189"/>
    <mergeCell ref="P189:R189"/>
    <mergeCell ref="S189:U189"/>
    <mergeCell ref="V189:X189"/>
    <mergeCell ref="S190:U190"/>
    <mergeCell ref="V190:X190"/>
    <mergeCell ref="Y190:AA190"/>
    <mergeCell ref="B177:AD177"/>
    <mergeCell ref="C179:AD179"/>
    <mergeCell ref="C181:I183"/>
    <mergeCell ref="J181:O183"/>
    <mergeCell ref="P181:AD181"/>
    <mergeCell ref="P182:R183"/>
    <mergeCell ref="S182:AD182"/>
    <mergeCell ref="S183:U183"/>
    <mergeCell ref="V183:X183"/>
    <mergeCell ref="Y183:AA183"/>
    <mergeCell ref="AB183:AD183"/>
    <mergeCell ref="D186:I186"/>
    <mergeCell ref="J186:O186"/>
    <mergeCell ref="P186:R186"/>
    <mergeCell ref="S186:U186"/>
    <mergeCell ref="V186:X186"/>
    <mergeCell ref="Y186:AA186"/>
    <mergeCell ref="AB186:AD186"/>
    <mergeCell ref="D187:I187"/>
    <mergeCell ref="J187:O187"/>
    <mergeCell ref="P187:R187"/>
    <mergeCell ref="D174:AD174"/>
    <mergeCell ref="D175:AD175"/>
    <mergeCell ref="B170:AD170"/>
    <mergeCell ref="M160:R160"/>
    <mergeCell ref="S160:X160"/>
    <mergeCell ref="Y160:AD160"/>
    <mergeCell ref="C162:AD162"/>
    <mergeCell ref="C163:AD163"/>
    <mergeCell ref="C172:AD172"/>
    <mergeCell ref="D158:L158"/>
    <mergeCell ref="D184:I184"/>
    <mergeCell ref="J184:O184"/>
    <mergeCell ref="P184:R184"/>
    <mergeCell ref="S184:U184"/>
    <mergeCell ref="V184:X184"/>
    <mergeCell ref="Y184:AA184"/>
    <mergeCell ref="AB184:AD184"/>
    <mergeCell ref="D185:I185"/>
    <mergeCell ref="J185:O185"/>
    <mergeCell ref="P185:R185"/>
    <mergeCell ref="S185:U185"/>
    <mergeCell ref="V185:X185"/>
    <mergeCell ref="Y185:AA185"/>
    <mergeCell ref="AB185:AD185"/>
    <mergeCell ref="M158:R158"/>
    <mergeCell ref="S158:X158"/>
    <mergeCell ref="Y158:AD158"/>
    <mergeCell ref="D159:L159"/>
    <mergeCell ref="M159:R159"/>
    <mergeCell ref="S159:X159"/>
    <mergeCell ref="Y159:AD159"/>
    <mergeCell ref="B171:AD171"/>
    <mergeCell ref="D173:AD173"/>
    <mergeCell ref="D157:L157"/>
    <mergeCell ref="M157:R157"/>
    <mergeCell ref="S157:X157"/>
    <mergeCell ref="Y157:AD157"/>
    <mergeCell ref="M153:R153"/>
    <mergeCell ref="S153:X153"/>
    <mergeCell ref="Y153:AD153"/>
    <mergeCell ref="B147:AD147"/>
    <mergeCell ref="C148:AD148"/>
    <mergeCell ref="C150:L151"/>
    <mergeCell ref="M150:AD150"/>
    <mergeCell ref="M151:R151"/>
    <mergeCell ref="S151:X151"/>
    <mergeCell ref="Y151:AD151"/>
    <mergeCell ref="M156:R156"/>
    <mergeCell ref="S156:X156"/>
    <mergeCell ref="Y156:AD156"/>
    <mergeCell ref="D154:L154"/>
    <mergeCell ref="M154:R154"/>
    <mergeCell ref="S154:X154"/>
    <mergeCell ref="Y154:AD154"/>
    <mergeCell ref="D155:L155"/>
    <mergeCell ref="M155:R155"/>
    <mergeCell ref="S155:X155"/>
    <mergeCell ref="C18:AD18"/>
    <mergeCell ref="B46:AD46"/>
    <mergeCell ref="B47:AD47"/>
    <mergeCell ref="B123:AD123"/>
    <mergeCell ref="C124:AD124"/>
    <mergeCell ref="C126:R128"/>
    <mergeCell ref="S126:AD126"/>
    <mergeCell ref="S127:S128"/>
    <mergeCell ref="T127:T128"/>
    <mergeCell ref="U127:U128"/>
    <mergeCell ref="V127:X127"/>
    <mergeCell ref="Y127:AA127"/>
    <mergeCell ref="AB127:AD127"/>
    <mergeCell ref="D109:R109"/>
    <mergeCell ref="D110:R110"/>
    <mergeCell ref="D111:R111"/>
    <mergeCell ref="D112:R112"/>
    <mergeCell ref="C115:AD115"/>
    <mergeCell ref="C116:AD116"/>
    <mergeCell ref="Y103:AA103"/>
    <mergeCell ref="AB103:AD103"/>
    <mergeCell ref="D105:R105"/>
    <mergeCell ref="D106:R106"/>
    <mergeCell ref="C91:AD91"/>
    <mergeCell ref="Y155:AD155"/>
    <mergeCell ref="D156:L156"/>
    <mergeCell ref="D152:L152"/>
    <mergeCell ref="M152:R152"/>
    <mergeCell ref="S152:X152"/>
    <mergeCell ref="Y152:AD152"/>
    <mergeCell ref="D153:L153"/>
    <mergeCell ref="D107:R107"/>
    <mergeCell ref="D108:R108"/>
    <mergeCell ref="B145:AE145"/>
    <mergeCell ref="D129:R129"/>
    <mergeCell ref="D130:R130"/>
    <mergeCell ref="D131:R131"/>
    <mergeCell ref="D132:R132"/>
    <mergeCell ref="D133:R133"/>
    <mergeCell ref="D134:R134"/>
    <mergeCell ref="D135:R135"/>
    <mergeCell ref="D136:R136"/>
    <mergeCell ref="B117:AE117"/>
    <mergeCell ref="B118:AE118"/>
    <mergeCell ref="B119:AE119"/>
    <mergeCell ref="B120:AE120"/>
    <mergeCell ref="B121:AE121"/>
    <mergeCell ref="B141:AE141"/>
    <mergeCell ref="C92:AD92"/>
    <mergeCell ref="B99:AD99"/>
    <mergeCell ref="C100:AD100"/>
    <mergeCell ref="C102:R104"/>
    <mergeCell ref="S102:AD102"/>
    <mergeCell ref="S103:S104"/>
    <mergeCell ref="T103:T104"/>
    <mergeCell ref="U103:U104"/>
    <mergeCell ref="V103:X103"/>
    <mergeCell ref="B93:AE93"/>
    <mergeCell ref="B94:AE94"/>
    <mergeCell ref="B95:AE95"/>
    <mergeCell ref="B96:AE96"/>
    <mergeCell ref="B97:AE97"/>
    <mergeCell ref="B98:AE98"/>
    <mergeCell ref="D83:I83"/>
    <mergeCell ref="D84:I84"/>
    <mergeCell ref="D85:I85"/>
    <mergeCell ref="D86:I86"/>
    <mergeCell ref="D87:I87"/>
    <mergeCell ref="D88:I88"/>
    <mergeCell ref="S79:U79"/>
    <mergeCell ref="V79:X79"/>
    <mergeCell ref="Y79:AA79"/>
    <mergeCell ref="AB79:AD79"/>
    <mergeCell ref="D81:I81"/>
    <mergeCell ref="D82:I82"/>
    <mergeCell ref="C74:AD74"/>
    <mergeCell ref="C75:AD75"/>
    <mergeCell ref="C76:AD76"/>
    <mergeCell ref="C78:I80"/>
    <mergeCell ref="J78:AD78"/>
    <mergeCell ref="J79:J80"/>
    <mergeCell ref="K79:K80"/>
    <mergeCell ref="L79:L80"/>
    <mergeCell ref="M79:O79"/>
    <mergeCell ref="P79:R79"/>
    <mergeCell ref="B73:AD73"/>
    <mergeCell ref="D59:X59"/>
    <mergeCell ref="Y59:AD59"/>
    <mergeCell ref="D60:X60"/>
    <mergeCell ref="Y60:AD60"/>
    <mergeCell ref="D61:X61"/>
    <mergeCell ref="Y61:AD61"/>
    <mergeCell ref="D56:X56"/>
    <mergeCell ref="Y56:AD56"/>
    <mergeCell ref="D57:X57"/>
    <mergeCell ref="Y57:AD57"/>
    <mergeCell ref="D58:X58"/>
    <mergeCell ref="Y58:AD58"/>
    <mergeCell ref="O36:R36"/>
    <mergeCell ref="S36:V36"/>
    <mergeCell ref="W36:Z36"/>
    <mergeCell ref="AA36:AD36"/>
    <mergeCell ref="C38:AD38"/>
    <mergeCell ref="C39:AD39"/>
    <mergeCell ref="D34:N34"/>
    <mergeCell ref="O34:R34"/>
    <mergeCell ref="S34:V34"/>
    <mergeCell ref="W34:Z34"/>
    <mergeCell ref="AA34:AD34"/>
    <mergeCell ref="D35:N35"/>
    <mergeCell ref="O35:R35"/>
    <mergeCell ref="S35:V35"/>
    <mergeCell ref="W35:Z35"/>
    <mergeCell ref="AA35:AD35"/>
    <mergeCell ref="D32:N32"/>
    <mergeCell ref="O32:R32"/>
    <mergeCell ref="S32:V32"/>
    <mergeCell ref="W32:Z32"/>
    <mergeCell ref="AA32:AD32"/>
    <mergeCell ref="D33:N33"/>
    <mergeCell ref="O33:R33"/>
    <mergeCell ref="S33:V33"/>
    <mergeCell ref="W33:Z33"/>
    <mergeCell ref="AA33:AD33"/>
    <mergeCell ref="D30:N30"/>
    <mergeCell ref="O30:R30"/>
    <mergeCell ref="S30:V30"/>
    <mergeCell ref="W30:Z30"/>
    <mergeCell ref="AA30:AD30"/>
    <mergeCell ref="D31:N31"/>
    <mergeCell ref="O31:R31"/>
    <mergeCell ref="S31:V31"/>
    <mergeCell ref="W31:Z31"/>
    <mergeCell ref="AA31:AD31"/>
    <mergeCell ref="D28:N28"/>
    <mergeCell ref="O28:R28"/>
    <mergeCell ref="S28:V28"/>
    <mergeCell ref="W28:Z28"/>
    <mergeCell ref="AA28:AD28"/>
    <mergeCell ref="D29:N29"/>
    <mergeCell ref="O29:R29"/>
    <mergeCell ref="S29:V29"/>
    <mergeCell ref="W29:Z29"/>
    <mergeCell ref="AA29:AD29"/>
    <mergeCell ref="B1:AD1"/>
    <mergeCell ref="B3:AD3"/>
    <mergeCell ref="B5:AD5"/>
    <mergeCell ref="AA7:AD7"/>
    <mergeCell ref="B8:L8"/>
    <mergeCell ref="N8:O8"/>
    <mergeCell ref="C26:N27"/>
    <mergeCell ref="O26:AD26"/>
    <mergeCell ref="O27:R27"/>
    <mergeCell ref="S27:V27"/>
    <mergeCell ref="W27:Z27"/>
    <mergeCell ref="AA27:AD27"/>
    <mergeCell ref="B20:AD20"/>
    <mergeCell ref="B22:AD22"/>
    <mergeCell ref="C23:AD23"/>
    <mergeCell ref="C24:AD24"/>
    <mergeCell ref="B10:AD10"/>
    <mergeCell ref="C11:AD11"/>
    <mergeCell ref="C12:AD12"/>
    <mergeCell ref="C13:AD13"/>
    <mergeCell ref="C14:AD14"/>
    <mergeCell ref="C15:AD15"/>
    <mergeCell ref="C16:AD16"/>
    <mergeCell ref="C17:AD17"/>
  </mergeCells>
  <conditionalFormatting sqref="C24:AD24">
    <cfRule type="expression" dxfId="497" priority="14">
      <formula>AH36&gt;0</formula>
    </cfRule>
  </conditionalFormatting>
  <conditionalFormatting sqref="C52:AD52">
    <cfRule type="expression" dxfId="496" priority="12">
      <formula>AH63&gt;0</formula>
    </cfRule>
  </conditionalFormatting>
  <conditionalFormatting sqref="C75:AD75">
    <cfRule type="expression" dxfId="495" priority="10">
      <formula>BF89&gt;0</formula>
    </cfRule>
  </conditionalFormatting>
  <conditionalFormatting sqref="C76:AD76">
    <cfRule type="expression" dxfId="494" priority="9">
      <formula>AJ89&gt;0</formula>
    </cfRule>
  </conditionalFormatting>
  <conditionalFormatting sqref="C148:AD148">
    <cfRule type="expression" dxfId="493" priority="5">
      <formula>AN160&gt;0</formula>
    </cfRule>
  </conditionalFormatting>
  <conditionalFormatting sqref="C179:AD179">
    <cfRule type="expression" dxfId="492" priority="3">
      <formula>AI192&gt;0</formula>
    </cfRule>
  </conditionalFormatting>
  <conditionalFormatting sqref="J81:AD88">
    <cfRule type="expression" dxfId="491" priority="11">
      <formula>OR($Y55=0,$Y55="NS",$Y55="NA")</formula>
    </cfRule>
  </conditionalFormatting>
  <conditionalFormatting sqref="M152:AD159">
    <cfRule type="expression" dxfId="490" priority="6">
      <formula>OR($Y55=0,$Y55="NS",$Y55="NA")</formula>
    </cfRule>
  </conditionalFormatting>
  <conditionalFormatting sqref="P184:AD191">
    <cfRule type="expression" dxfId="489" priority="4">
      <formula>$J184&gt;1</formula>
    </cfRule>
  </conditionalFormatting>
  <conditionalFormatting sqref="S105:AD112">
    <cfRule type="expression" dxfId="488" priority="8">
      <formula>OR($Y55=0,$Y55="NS",$Y55="NA")</formula>
    </cfRule>
  </conditionalFormatting>
  <conditionalFormatting sqref="S129:AD136">
    <cfRule type="expression" dxfId="487" priority="7">
      <formula>OR($Y55=0,$Y55="NS",$Y55="NA")</formula>
    </cfRule>
  </conditionalFormatting>
  <dataValidations disablePrompts="1" count="1">
    <dataValidation type="list" allowBlank="1" showInputMessage="1" showErrorMessage="1" sqref="J184:O191" xr:uid="{4669EEC0-D438-4B26-8A78-801662439864}">
      <formula1>"1,2,9"</formula1>
    </dataValidation>
  </dataValidations>
  <hyperlinks>
    <hyperlink ref="AA7:AD7" location="Índice!B31" display="Índice" xr:uid="{BBE322C1-8634-4033-9381-B77470DF951B}"/>
  </hyperlinks>
  <printOptions horizontalCentered="1"/>
  <pageMargins left="0.70866141732283472" right="0.70866141732283472" top="0.74803149606299213" bottom="0.74803149606299213" header="0.31496062992125984" footer="0.31496062992125984"/>
  <pageSetup scale="75" orientation="portrait" r:id="rId1"/>
  <headerFooter>
    <oddHeader>&amp;CMódulo 2 Sección IX
Cuestionario</oddHeader>
    <oddFooter>&amp;LCenso Nacional de Sistemas Penitenciarios Estatales 2024&amp;R&amp;P de &amp;N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15" id="{729431DC-503C-41D3-9F4D-9835CF72300D}">
            <xm:f>OR(CNSIPEE_2024_M2_Secc8!$Y40=0,CNSIPEE_2024_M2_Secc8!$Y40="NS",CNSIPEE_2024_M2_Secc8!$Y40="NA")</xm:f>
            <x14:dxf>
              <fill>
                <patternFill patternType="mediumGray"/>
              </fill>
            </x14:dxf>
          </x14:cfRule>
          <xm:sqref>O28:AD35</xm:sqref>
        </x14:conditionalFormatting>
        <x14:conditionalFormatting xmlns:xm="http://schemas.microsoft.com/office/excel/2006/main">
          <x14:cfRule type="expression" priority="13" id="{F429E4B1-BDFB-4E5E-BAE1-3C550BFF5344}">
            <xm:f>OR(CNSIPEE_2024_M2_Secc8!$X374=0,CNSIPEE_2024_M2_Secc8!$X374="NS",CNSIPEE_2024_M2_Secc8!$X374="NA")</xm:f>
            <x14:dxf>
              <fill>
                <patternFill patternType="mediumGray"/>
              </fill>
            </x14:dxf>
          </x14:cfRule>
          <xm:sqref>Y55:AD62</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43E7E4-B9B6-4972-A47D-FD463B4C120F}">
  <dimension ref="A1:DA902"/>
  <sheetViews>
    <sheetView showGridLines="0" zoomScaleNormal="100" workbookViewId="0"/>
  </sheetViews>
  <sheetFormatPr baseColWidth="10" defaultColWidth="0" defaultRowHeight="15" customHeight="1" zeroHeight="1"/>
  <cols>
    <col min="1" max="1" width="5.7109375" style="3" customWidth="1"/>
    <col min="2" max="30" width="3.7109375" style="3" customWidth="1"/>
    <col min="31" max="31" width="5.7109375" style="3" customWidth="1"/>
    <col min="32" max="16384" width="9.28515625" style="3" hidden="1"/>
  </cols>
  <sheetData>
    <row r="1" spans="1:30" ht="173.25" customHeight="1">
      <c r="A1" s="91"/>
      <c r="B1" s="718" t="s">
        <v>0</v>
      </c>
      <c r="C1" s="719"/>
      <c r="D1" s="719"/>
      <c r="E1" s="719"/>
      <c r="F1" s="719"/>
      <c r="G1" s="719"/>
      <c r="H1" s="719"/>
      <c r="I1" s="719"/>
      <c r="J1" s="719"/>
      <c r="K1" s="719"/>
      <c r="L1" s="719"/>
      <c r="M1" s="719"/>
      <c r="N1" s="719"/>
      <c r="O1" s="719"/>
      <c r="P1" s="719"/>
      <c r="Q1" s="719"/>
      <c r="R1" s="719"/>
      <c r="S1" s="719"/>
      <c r="T1" s="719"/>
      <c r="U1" s="719"/>
      <c r="V1" s="719"/>
      <c r="W1" s="719"/>
      <c r="X1" s="719"/>
      <c r="Y1" s="719"/>
      <c r="Z1" s="719"/>
      <c r="AA1" s="719"/>
      <c r="AB1" s="719"/>
      <c r="AC1" s="719"/>
      <c r="AD1" s="719"/>
    </row>
    <row r="2" spans="1:30" ht="15" customHeight="1">
      <c r="A2" s="91"/>
    </row>
    <row r="3" spans="1:30" ht="45" customHeight="1">
      <c r="A3" s="91"/>
      <c r="B3" s="720" t="s">
        <v>1</v>
      </c>
      <c r="C3" s="721"/>
      <c r="D3" s="721"/>
      <c r="E3" s="721"/>
      <c r="F3" s="721"/>
      <c r="G3" s="721"/>
      <c r="H3" s="721"/>
      <c r="I3" s="721"/>
      <c r="J3" s="721"/>
      <c r="K3" s="721"/>
      <c r="L3" s="721"/>
      <c r="M3" s="721"/>
      <c r="N3" s="721"/>
      <c r="O3" s="721"/>
      <c r="P3" s="721"/>
      <c r="Q3" s="721"/>
      <c r="R3" s="721"/>
      <c r="S3" s="721"/>
      <c r="T3" s="721"/>
      <c r="U3" s="721"/>
      <c r="V3" s="721"/>
      <c r="W3" s="721"/>
      <c r="X3" s="721"/>
      <c r="Y3" s="721"/>
      <c r="Z3" s="721"/>
      <c r="AA3" s="721"/>
      <c r="AB3" s="721"/>
      <c r="AC3" s="721"/>
      <c r="AD3" s="721"/>
    </row>
    <row r="4" spans="1:30" ht="15" customHeight="1">
      <c r="A4" s="91"/>
    </row>
    <row r="5" spans="1:30" ht="45" customHeight="1">
      <c r="A5" s="91"/>
      <c r="B5" s="720" t="s">
        <v>26</v>
      </c>
      <c r="C5" s="721"/>
      <c r="D5" s="721"/>
      <c r="E5" s="721"/>
      <c r="F5" s="721"/>
      <c r="G5" s="721"/>
      <c r="H5" s="721"/>
      <c r="I5" s="721"/>
      <c r="J5" s="721"/>
      <c r="K5" s="721"/>
      <c r="L5" s="721"/>
      <c r="M5" s="721"/>
      <c r="N5" s="721"/>
      <c r="O5" s="721"/>
      <c r="P5" s="721"/>
      <c r="Q5" s="721"/>
      <c r="R5" s="721"/>
      <c r="S5" s="721"/>
      <c r="T5" s="721"/>
      <c r="U5" s="721"/>
      <c r="V5" s="721"/>
      <c r="W5" s="721"/>
      <c r="X5" s="721"/>
      <c r="Y5" s="721"/>
      <c r="Z5" s="721"/>
      <c r="AA5" s="721"/>
      <c r="AB5" s="721"/>
      <c r="AC5" s="721"/>
      <c r="AD5" s="721"/>
    </row>
    <row r="6" spans="1:30" ht="15" customHeight="1">
      <c r="A6" s="91"/>
    </row>
    <row r="7" spans="1:30" ht="15" customHeight="1" thickBot="1">
      <c r="A7" s="91"/>
      <c r="B7" s="23" t="s">
        <v>3</v>
      </c>
      <c r="N7" s="23" t="s">
        <v>4</v>
      </c>
      <c r="P7" s="24"/>
      <c r="Q7" s="24"/>
      <c r="R7" s="24"/>
      <c r="S7" s="24"/>
      <c r="T7" s="24"/>
      <c r="U7" s="24"/>
      <c r="V7" s="24"/>
      <c r="W7" s="24"/>
      <c r="X7" s="24"/>
      <c r="Y7" s="24"/>
      <c r="Z7" s="24"/>
      <c r="AA7" s="758" t="s">
        <v>2</v>
      </c>
      <c r="AB7" s="758"/>
      <c r="AC7" s="758"/>
      <c r="AD7" s="758"/>
    </row>
    <row r="8" spans="1:30" ht="15" customHeight="1" thickBot="1">
      <c r="A8" s="108"/>
      <c r="B8" s="722" t="str">
        <f>IF(Presentación!B8="","",Presentación!B8)</f>
        <v>Puebla</v>
      </c>
      <c r="C8" s="723"/>
      <c r="D8" s="723"/>
      <c r="E8" s="723"/>
      <c r="F8" s="723"/>
      <c r="G8" s="723"/>
      <c r="H8" s="723"/>
      <c r="I8" s="723"/>
      <c r="J8" s="723"/>
      <c r="K8" s="723"/>
      <c r="L8" s="724"/>
      <c r="M8" s="25"/>
      <c r="N8" s="722">
        <f>IF(Presentación!N8="","",Presentación!N8)</f>
        <v>221</v>
      </c>
      <c r="O8" s="724"/>
      <c r="P8" s="107"/>
      <c r="Q8" s="107"/>
      <c r="R8" s="107"/>
      <c r="S8" s="109"/>
      <c r="T8" s="107"/>
      <c r="U8" s="107"/>
      <c r="V8" s="107"/>
      <c r="W8" s="107"/>
      <c r="X8" s="107"/>
      <c r="Y8" s="107"/>
      <c r="Z8" s="107"/>
      <c r="AA8" s="107"/>
      <c r="AB8" s="107"/>
      <c r="AC8" s="107"/>
      <c r="AD8" s="107"/>
    </row>
    <row r="9" spans="1:30" ht="15" customHeight="1">
      <c r="A9" s="91"/>
      <c r="C9" s="24"/>
      <c r="D9" s="24"/>
      <c r="E9" s="24"/>
      <c r="F9" s="24"/>
      <c r="G9" s="24"/>
      <c r="H9" s="24"/>
      <c r="I9" s="24"/>
      <c r="J9" s="24"/>
      <c r="K9" s="24"/>
      <c r="L9" s="24"/>
      <c r="M9" s="24"/>
      <c r="N9" s="24"/>
      <c r="O9" s="24"/>
      <c r="P9" s="24"/>
      <c r="Q9" s="24"/>
      <c r="R9" s="24"/>
      <c r="S9" s="24"/>
      <c r="T9" s="24"/>
      <c r="U9" s="24"/>
      <c r="V9" s="24"/>
      <c r="W9" s="24"/>
      <c r="X9" s="24"/>
      <c r="Y9" s="24"/>
      <c r="Z9" s="24"/>
      <c r="AA9" s="24"/>
      <c r="AB9" s="24"/>
      <c r="AC9" s="24"/>
    </row>
    <row r="10" spans="1:30" ht="15" customHeight="1">
      <c r="A10" s="94"/>
      <c r="B10" s="1006" t="s">
        <v>2552</v>
      </c>
      <c r="C10" s="893"/>
      <c r="D10" s="893"/>
      <c r="E10" s="893"/>
      <c r="F10" s="893"/>
      <c r="G10" s="893"/>
      <c r="H10" s="893"/>
      <c r="I10" s="893"/>
      <c r="J10" s="893"/>
      <c r="K10" s="893"/>
      <c r="L10" s="893"/>
      <c r="M10" s="893"/>
      <c r="N10" s="893"/>
      <c r="O10" s="893"/>
      <c r="P10" s="893"/>
      <c r="Q10" s="893"/>
      <c r="R10" s="893"/>
      <c r="S10" s="893"/>
      <c r="T10" s="893"/>
      <c r="U10" s="893"/>
      <c r="V10" s="893"/>
      <c r="W10" s="893"/>
      <c r="X10" s="893"/>
      <c r="Y10" s="893"/>
      <c r="Z10" s="893"/>
      <c r="AA10" s="893"/>
      <c r="AB10" s="893"/>
      <c r="AC10" s="893"/>
      <c r="AD10" s="1007"/>
    </row>
    <row r="11" spans="1:30" ht="24" customHeight="1">
      <c r="A11" s="94"/>
      <c r="B11" s="654"/>
      <c r="C11" s="754" t="s">
        <v>4151</v>
      </c>
      <c r="D11" s="754"/>
      <c r="E11" s="754"/>
      <c r="F11" s="754"/>
      <c r="G11" s="754"/>
      <c r="H11" s="754"/>
      <c r="I11" s="754"/>
      <c r="J11" s="754"/>
      <c r="K11" s="754"/>
      <c r="L11" s="754"/>
      <c r="M11" s="754"/>
      <c r="N11" s="754"/>
      <c r="O11" s="754"/>
      <c r="P11" s="754"/>
      <c r="Q11" s="754"/>
      <c r="R11" s="754"/>
      <c r="S11" s="754"/>
      <c r="T11" s="754"/>
      <c r="U11" s="754"/>
      <c r="V11" s="754"/>
      <c r="W11" s="754"/>
      <c r="X11" s="754"/>
      <c r="Y11" s="754"/>
      <c r="Z11" s="754"/>
      <c r="AA11" s="754"/>
      <c r="AB11" s="754"/>
      <c r="AC11" s="754"/>
      <c r="AD11" s="891"/>
    </row>
    <row r="12" spans="1:30" ht="24" customHeight="1">
      <c r="A12" s="94"/>
      <c r="B12" s="654"/>
      <c r="C12" s="754" t="s">
        <v>2554</v>
      </c>
      <c r="D12" s="830"/>
      <c r="E12" s="830"/>
      <c r="F12" s="830"/>
      <c r="G12" s="830"/>
      <c r="H12" s="830"/>
      <c r="I12" s="830"/>
      <c r="J12" s="830"/>
      <c r="K12" s="830"/>
      <c r="L12" s="830"/>
      <c r="M12" s="830"/>
      <c r="N12" s="830"/>
      <c r="O12" s="830"/>
      <c r="P12" s="830"/>
      <c r="Q12" s="830"/>
      <c r="R12" s="830"/>
      <c r="S12" s="830"/>
      <c r="T12" s="830"/>
      <c r="U12" s="830"/>
      <c r="V12" s="830"/>
      <c r="W12" s="830"/>
      <c r="X12" s="830"/>
      <c r="Y12" s="830"/>
      <c r="Z12" s="830"/>
      <c r="AA12" s="830"/>
      <c r="AB12" s="830"/>
      <c r="AC12" s="830"/>
      <c r="AD12" s="895"/>
    </row>
    <row r="13" spans="1:30" ht="60" customHeight="1">
      <c r="A13" s="146"/>
      <c r="B13" s="654"/>
      <c r="C13" s="754" t="s">
        <v>2555</v>
      </c>
      <c r="D13" s="830"/>
      <c r="E13" s="830"/>
      <c r="F13" s="830"/>
      <c r="G13" s="830"/>
      <c r="H13" s="830"/>
      <c r="I13" s="830"/>
      <c r="J13" s="830"/>
      <c r="K13" s="830"/>
      <c r="L13" s="830"/>
      <c r="M13" s="830"/>
      <c r="N13" s="830"/>
      <c r="O13" s="830"/>
      <c r="P13" s="830"/>
      <c r="Q13" s="830"/>
      <c r="R13" s="830"/>
      <c r="S13" s="830"/>
      <c r="T13" s="830"/>
      <c r="U13" s="830"/>
      <c r="V13" s="830"/>
      <c r="W13" s="830"/>
      <c r="X13" s="830"/>
      <c r="Y13" s="830"/>
      <c r="Z13" s="830"/>
      <c r="AA13" s="830"/>
      <c r="AB13" s="830"/>
      <c r="AC13" s="830"/>
      <c r="AD13" s="895"/>
    </row>
    <row r="14" spans="1:30" ht="15" customHeight="1">
      <c r="A14" s="94"/>
      <c r="B14" s="654"/>
      <c r="C14" s="754" t="s">
        <v>3021</v>
      </c>
      <c r="D14" s="830"/>
      <c r="E14" s="830"/>
      <c r="F14" s="830"/>
      <c r="G14" s="830"/>
      <c r="H14" s="830"/>
      <c r="I14" s="830"/>
      <c r="J14" s="830"/>
      <c r="K14" s="830"/>
      <c r="L14" s="830"/>
      <c r="M14" s="830"/>
      <c r="N14" s="830"/>
      <c r="O14" s="830"/>
      <c r="P14" s="830"/>
      <c r="Q14" s="830"/>
      <c r="R14" s="830"/>
      <c r="S14" s="830"/>
      <c r="T14" s="830"/>
      <c r="U14" s="830"/>
      <c r="V14" s="830"/>
      <c r="W14" s="830"/>
      <c r="X14" s="830"/>
      <c r="Y14" s="830"/>
      <c r="Z14" s="830"/>
      <c r="AA14" s="830"/>
      <c r="AB14" s="830"/>
      <c r="AC14" s="830"/>
      <c r="AD14" s="886"/>
    </row>
    <row r="15" spans="1:30" ht="24" customHeight="1">
      <c r="A15" s="115"/>
      <c r="B15" s="181"/>
      <c r="C15" s="754" t="s">
        <v>3022</v>
      </c>
      <c r="D15" s="754"/>
      <c r="E15" s="754"/>
      <c r="F15" s="754"/>
      <c r="G15" s="754"/>
      <c r="H15" s="754"/>
      <c r="I15" s="754"/>
      <c r="J15" s="754"/>
      <c r="K15" s="754"/>
      <c r="L15" s="754"/>
      <c r="M15" s="754"/>
      <c r="N15" s="754"/>
      <c r="O15" s="754"/>
      <c r="P15" s="754"/>
      <c r="Q15" s="754"/>
      <c r="R15" s="754"/>
      <c r="S15" s="754"/>
      <c r="T15" s="754"/>
      <c r="U15" s="754"/>
      <c r="V15" s="754"/>
      <c r="W15" s="754"/>
      <c r="X15" s="754"/>
      <c r="Y15" s="754"/>
      <c r="Z15" s="754"/>
      <c r="AA15" s="754"/>
      <c r="AB15" s="754"/>
      <c r="AC15" s="754"/>
      <c r="AD15" s="891"/>
    </row>
    <row r="16" spans="1:30" ht="24" customHeight="1">
      <c r="A16" s="115"/>
      <c r="B16" s="181"/>
      <c r="C16" s="878" t="s">
        <v>5511</v>
      </c>
      <c r="D16" s="878"/>
      <c r="E16" s="878"/>
      <c r="F16" s="878"/>
      <c r="G16" s="878"/>
      <c r="H16" s="878"/>
      <c r="I16" s="878"/>
      <c r="J16" s="878"/>
      <c r="K16" s="878"/>
      <c r="L16" s="878"/>
      <c r="M16" s="878"/>
      <c r="N16" s="878"/>
      <c r="O16" s="878"/>
      <c r="P16" s="878"/>
      <c r="Q16" s="878"/>
      <c r="R16" s="878"/>
      <c r="S16" s="878"/>
      <c r="T16" s="878"/>
      <c r="U16" s="878"/>
      <c r="V16" s="878"/>
      <c r="W16" s="878"/>
      <c r="X16" s="878"/>
      <c r="Y16" s="878"/>
      <c r="Z16" s="878"/>
      <c r="AA16" s="878"/>
      <c r="AB16" s="878"/>
      <c r="AC16" s="878"/>
      <c r="AD16" s="1135"/>
    </row>
    <row r="17" spans="1:30" ht="24" customHeight="1">
      <c r="A17" s="146"/>
      <c r="B17" s="654"/>
      <c r="C17" s="754" t="s">
        <v>4543</v>
      </c>
      <c r="D17" s="754"/>
      <c r="E17" s="754"/>
      <c r="F17" s="754"/>
      <c r="G17" s="754"/>
      <c r="H17" s="754"/>
      <c r="I17" s="754"/>
      <c r="J17" s="754"/>
      <c r="K17" s="754"/>
      <c r="L17" s="754"/>
      <c r="M17" s="754"/>
      <c r="N17" s="754"/>
      <c r="O17" s="754"/>
      <c r="P17" s="754"/>
      <c r="Q17" s="754"/>
      <c r="R17" s="754"/>
      <c r="S17" s="754"/>
      <c r="T17" s="754"/>
      <c r="U17" s="754"/>
      <c r="V17" s="754"/>
      <c r="W17" s="754"/>
      <c r="X17" s="754"/>
      <c r="Y17" s="754"/>
      <c r="Z17" s="754"/>
      <c r="AA17" s="754"/>
      <c r="AB17" s="754"/>
      <c r="AC17" s="754"/>
      <c r="AD17" s="755"/>
    </row>
    <row r="18" spans="1:30" ht="36" customHeight="1">
      <c r="A18" s="110"/>
      <c r="B18" s="111"/>
      <c r="C18" s="754" t="s">
        <v>4155</v>
      </c>
      <c r="D18" s="754"/>
      <c r="E18" s="754"/>
      <c r="F18" s="754"/>
      <c r="G18" s="754"/>
      <c r="H18" s="754"/>
      <c r="I18" s="754"/>
      <c r="J18" s="754"/>
      <c r="K18" s="754"/>
      <c r="L18" s="754"/>
      <c r="M18" s="754"/>
      <c r="N18" s="754"/>
      <c r="O18" s="754"/>
      <c r="P18" s="754"/>
      <c r="Q18" s="754"/>
      <c r="R18" s="754"/>
      <c r="S18" s="754"/>
      <c r="T18" s="754"/>
      <c r="U18" s="754"/>
      <c r="V18" s="754"/>
      <c r="W18" s="754"/>
      <c r="X18" s="754"/>
      <c r="Y18" s="754"/>
      <c r="Z18" s="754"/>
      <c r="AA18" s="754"/>
      <c r="AB18" s="754"/>
      <c r="AC18" s="754"/>
      <c r="AD18" s="755"/>
    </row>
    <row r="19" spans="1:30" ht="48" customHeight="1">
      <c r="A19" s="146"/>
      <c r="B19" s="654"/>
      <c r="C19" s="754" t="s">
        <v>4156</v>
      </c>
      <c r="D19" s="754"/>
      <c r="E19" s="754"/>
      <c r="F19" s="754"/>
      <c r="G19" s="754"/>
      <c r="H19" s="754"/>
      <c r="I19" s="754"/>
      <c r="J19" s="754"/>
      <c r="K19" s="754"/>
      <c r="L19" s="754"/>
      <c r="M19" s="754"/>
      <c r="N19" s="754"/>
      <c r="O19" s="754"/>
      <c r="P19" s="754"/>
      <c r="Q19" s="754"/>
      <c r="R19" s="754"/>
      <c r="S19" s="754"/>
      <c r="T19" s="754"/>
      <c r="U19" s="754"/>
      <c r="V19" s="754"/>
      <c r="W19" s="754"/>
      <c r="X19" s="754"/>
      <c r="Y19" s="754"/>
      <c r="Z19" s="754"/>
      <c r="AA19" s="754"/>
      <c r="AB19" s="754"/>
      <c r="AC19" s="754"/>
      <c r="AD19" s="755"/>
    </row>
    <row r="20" spans="1:30" ht="15" customHeight="1">
      <c r="A20" s="94"/>
      <c r="B20" s="209"/>
      <c r="C20" s="764" t="s">
        <v>4157</v>
      </c>
      <c r="D20" s="764"/>
      <c r="E20" s="764"/>
      <c r="F20" s="764"/>
      <c r="G20" s="764"/>
      <c r="H20" s="764"/>
      <c r="I20" s="764"/>
      <c r="J20" s="764"/>
      <c r="K20" s="764"/>
      <c r="L20" s="764"/>
      <c r="M20" s="764"/>
      <c r="N20" s="764"/>
      <c r="O20" s="764"/>
      <c r="P20" s="764"/>
      <c r="Q20" s="764"/>
      <c r="R20" s="764"/>
      <c r="S20" s="764"/>
      <c r="T20" s="764"/>
      <c r="U20" s="764"/>
      <c r="V20" s="764"/>
      <c r="W20" s="764"/>
      <c r="X20" s="764"/>
      <c r="Y20" s="764"/>
      <c r="Z20" s="764"/>
      <c r="AA20" s="764"/>
      <c r="AB20" s="764"/>
      <c r="AC20" s="764"/>
      <c r="AD20" s="765"/>
    </row>
    <row r="21" spans="1:30" ht="15" customHeight="1">
      <c r="A21" s="94"/>
      <c r="B21" s="1006" t="s">
        <v>2561</v>
      </c>
      <c r="C21" s="893"/>
      <c r="D21" s="893"/>
      <c r="E21" s="893"/>
      <c r="F21" s="893"/>
      <c r="G21" s="893"/>
      <c r="H21" s="893"/>
      <c r="I21" s="893"/>
      <c r="J21" s="893"/>
      <c r="K21" s="893"/>
      <c r="L21" s="893"/>
      <c r="M21" s="893"/>
      <c r="N21" s="893"/>
      <c r="O21" s="893"/>
      <c r="P21" s="893"/>
      <c r="Q21" s="893"/>
      <c r="R21" s="893"/>
      <c r="S21" s="893"/>
      <c r="T21" s="893"/>
      <c r="U21" s="893"/>
      <c r="V21" s="893"/>
      <c r="W21" s="893"/>
      <c r="X21" s="893"/>
      <c r="Y21" s="893"/>
      <c r="Z21" s="893"/>
      <c r="AA21" s="893"/>
      <c r="AB21" s="893"/>
      <c r="AC21" s="893"/>
      <c r="AD21" s="1007"/>
    </row>
    <row r="22" spans="1:30" ht="24" customHeight="1">
      <c r="A22" s="94"/>
      <c r="B22" s="130"/>
      <c r="C22" s="754" t="s">
        <v>5512</v>
      </c>
      <c r="D22" s="754"/>
      <c r="E22" s="754"/>
      <c r="F22" s="754"/>
      <c r="G22" s="754"/>
      <c r="H22" s="754"/>
      <c r="I22" s="754"/>
      <c r="J22" s="754"/>
      <c r="K22" s="754"/>
      <c r="L22" s="754"/>
      <c r="M22" s="754"/>
      <c r="N22" s="754"/>
      <c r="O22" s="754"/>
      <c r="P22" s="754"/>
      <c r="Q22" s="754"/>
      <c r="R22" s="754"/>
      <c r="S22" s="754"/>
      <c r="T22" s="754"/>
      <c r="U22" s="754"/>
      <c r="V22" s="754"/>
      <c r="W22" s="754"/>
      <c r="X22" s="754"/>
      <c r="Y22" s="754"/>
      <c r="Z22" s="754"/>
      <c r="AA22" s="754"/>
      <c r="AB22" s="754"/>
      <c r="AC22" s="754"/>
      <c r="AD22" s="755"/>
    </row>
    <row r="23" spans="1:30" ht="84" customHeight="1">
      <c r="A23" s="115"/>
      <c r="B23" s="130"/>
      <c r="C23" s="75"/>
      <c r="D23" s="754" t="s">
        <v>5513</v>
      </c>
      <c r="E23" s="754"/>
      <c r="F23" s="754"/>
      <c r="G23" s="754"/>
      <c r="H23" s="754"/>
      <c r="I23" s="754"/>
      <c r="J23" s="754"/>
      <c r="K23" s="754"/>
      <c r="L23" s="754"/>
      <c r="M23" s="754"/>
      <c r="N23" s="754"/>
      <c r="O23" s="754"/>
      <c r="P23" s="754"/>
      <c r="Q23" s="754"/>
      <c r="R23" s="754"/>
      <c r="S23" s="754"/>
      <c r="T23" s="754"/>
      <c r="U23" s="754"/>
      <c r="V23" s="754"/>
      <c r="W23" s="754"/>
      <c r="X23" s="754"/>
      <c r="Y23" s="754"/>
      <c r="Z23" s="754"/>
      <c r="AA23" s="754"/>
      <c r="AB23" s="754"/>
      <c r="AC23" s="754"/>
      <c r="AD23" s="755"/>
    </row>
    <row r="24" spans="1:30" ht="24" customHeight="1">
      <c r="A24" s="94"/>
      <c r="B24" s="130"/>
      <c r="C24" s="75"/>
      <c r="D24" s="754" t="s">
        <v>5514</v>
      </c>
      <c r="E24" s="754"/>
      <c r="F24" s="754"/>
      <c r="G24" s="754"/>
      <c r="H24" s="754"/>
      <c r="I24" s="754"/>
      <c r="J24" s="754"/>
      <c r="K24" s="754"/>
      <c r="L24" s="754"/>
      <c r="M24" s="754"/>
      <c r="N24" s="754"/>
      <c r="O24" s="754"/>
      <c r="P24" s="754"/>
      <c r="Q24" s="754"/>
      <c r="R24" s="754"/>
      <c r="S24" s="754"/>
      <c r="T24" s="754"/>
      <c r="U24" s="754"/>
      <c r="V24" s="754"/>
      <c r="W24" s="754"/>
      <c r="X24" s="754"/>
      <c r="Y24" s="754"/>
      <c r="Z24" s="754"/>
      <c r="AA24" s="754"/>
      <c r="AB24" s="754"/>
      <c r="AC24" s="754"/>
      <c r="AD24" s="755"/>
    </row>
    <row r="25" spans="1:30" ht="48" customHeight="1">
      <c r="A25" s="94"/>
      <c r="B25" s="130"/>
      <c r="C25" s="75"/>
      <c r="D25" s="754" t="s">
        <v>5515</v>
      </c>
      <c r="E25" s="754"/>
      <c r="F25" s="754"/>
      <c r="G25" s="754"/>
      <c r="H25" s="754"/>
      <c r="I25" s="754"/>
      <c r="J25" s="754"/>
      <c r="K25" s="754"/>
      <c r="L25" s="754"/>
      <c r="M25" s="754"/>
      <c r="N25" s="754"/>
      <c r="O25" s="754"/>
      <c r="P25" s="754"/>
      <c r="Q25" s="754"/>
      <c r="R25" s="754"/>
      <c r="S25" s="754"/>
      <c r="T25" s="754"/>
      <c r="U25" s="754"/>
      <c r="V25" s="754"/>
      <c r="W25" s="754"/>
      <c r="X25" s="754"/>
      <c r="Y25" s="754"/>
      <c r="Z25" s="754"/>
      <c r="AA25" s="754"/>
      <c r="AB25" s="754"/>
      <c r="AC25" s="754"/>
      <c r="AD25" s="755"/>
    </row>
    <row r="26" spans="1:30" ht="24" customHeight="1">
      <c r="A26" s="94"/>
      <c r="B26" s="130"/>
      <c r="C26" s="75"/>
      <c r="D26" s="754" t="s">
        <v>5516</v>
      </c>
      <c r="E26" s="754"/>
      <c r="F26" s="754"/>
      <c r="G26" s="754"/>
      <c r="H26" s="754"/>
      <c r="I26" s="754"/>
      <c r="J26" s="754"/>
      <c r="K26" s="754"/>
      <c r="L26" s="754"/>
      <c r="M26" s="754"/>
      <c r="N26" s="754"/>
      <c r="O26" s="754"/>
      <c r="P26" s="754"/>
      <c r="Q26" s="754"/>
      <c r="R26" s="754"/>
      <c r="S26" s="754"/>
      <c r="T26" s="754"/>
      <c r="U26" s="754"/>
      <c r="V26" s="754"/>
      <c r="W26" s="754"/>
      <c r="X26" s="754"/>
      <c r="Y26" s="754"/>
      <c r="Z26" s="754"/>
      <c r="AA26" s="754"/>
      <c r="AB26" s="754"/>
      <c r="AC26" s="754"/>
      <c r="AD26" s="755"/>
    </row>
    <row r="27" spans="1:30" ht="48" customHeight="1">
      <c r="A27" s="103"/>
      <c r="B27" s="74"/>
      <c r="C27" s="75"/>
      <c r="D27" s="756" t="s">
        <v>5517</v>
      </c>
      <c r="E27" s="756"/>
      <c r="F27" s="756"/>
      <c r="G27" s="756"/>
      <c r="H27" s="756"/>
      <c r="I27" s="756"/>
      <c r="J27" s="756"/>
      <c r="K27" s="756"/>
      <c r="L27" s="756"/>
      <c r="M27" s="756"/>
      <c r="N27" s="756"/>
      <c r="O27" s="756"/>
      <c r="P27" s="756"/>
      <c r="Q27" s="756"/>
      <c r="R27" s="756"/>
      <c r="S27" s="756"/>
      <c r="T27" s="756"/>
      <c r="U27" s="756"/>
      <c r="V27" s="756"/>
      <c r="W27" s="756"/>
      <c r="X27" s="756"/>
      <c r="Y27" s="756"/>
      <c r="Z27" s="756"/>
      <c r="AA27" s="756"/>
      <c r="AB27" s="756"/>
      <c r="AC27" s="756"/>
      <c r="AD27" s="757"/>
    </row>
    <row r="28" spans="1:30" ht="60" customHeight="1">
      <c r="A28" s="103"/>
      <c r="B28" s="74"/>
      <c r="C28" s="75"/>
      <c r="D28" s="756" t="s">
        <v>5518</v>
      </c>
      <c r="E28" s="756"/>
      <c r="F28" s="756"/>
      <c r="G28" s="756"/>
      <c r="H28" s="756"/>
      <c r="I28" s="756"/>
      <c r="J28" s="756"/>
      <c r="K28" s="756"/>
      <c r="L28" s="756"/>
      <c r="M28" s="756"/>
      <c r="N28" s="756"/>
      <c r="O28" s="756"/>
      <c r="P28" s="756"/>
      <c r="Q28" s="756"/>
      <c r="R28" s="756"/>
      <c r="S28" s="756"/>
      <c r="T28" s="756"/>
      <c r="U28" s="756"/>
      <c r="V28" s="756"/>
      <c r="W28" s="756"/>
      <c r="X28" s="756"/>
      <c r="Y28" s="756"/>
      <c r="Z28" s="756"/>
      <c r="AA28" s="756"/>
      <c r="AB28" s="756"/>
      <c r="AC28" s="756"/>
      <c r="AD28" s="757"/>
    </row>
    <row r="29" spans="1:30" ht="84" customHeight="1">
      <c r="A29" s="103"/>
      <c r="B29" s="74"/>
      <c r="C29" s="75"/>
      <c r="D29" s="756" t="s">
        <v>5519</v>
      </c>
      <c r="E29" s="756"/>
      <c r="F29" s="756"/>
      <c r="G29" s="756"/>
      <c r="H29" s="756"/>
      <c r="I29" s="756"/>
      <c r="J29" s="756"/>
      <c r="K29" s="756"/>
      <c r="L29" s="756"/>
      <c r="M29" s="756"/>
      <c r="N29" s="756"/>
      <c r="O29" s="756"/>
      <c r="P29" s="756"/>
      <c r="Q29" s="756"/>
      <c r="R29" s="756"/>
      <c r="S29" s="756"/>
      <c r="T29" s="756"/>
      <c r="U29" s="756"/>
      <c r="V29" s="756"/>
      <c r="W29" s="756"/>
      <c r="X29" s="756"/>
      <c r="Y29" s="756"/>
      <c r="Z29" s="756"/>
      <c r="AA29" s="756"/>
      <c r="AB29" s="756"/>
      <c r="AC29" s="756"/>
      <c r="AD29" s="757"/>
    </row>
    <row r="30" spans="1:30" ht="72" customHeight="1">
      <c r="A30" s="103"/>
      <c r="B30" s="74"/>
      <c r="C30" s="75"/>
      <c r="D30" s="756" t="s">
        <v>5520</v>
      </c>
      <c r="E30" s="756"/>
      <c r="F30" s="756"/>
      <c r="G30" s="756"/>
      <c r="H30" s="756"/>
      <c r="I30" s="756"/>
      <c r="J30" s="756"/>
      <c r="K30" s="756"/>
      <c r="L30" s="756"/>
      <c r="M30" s="756"/>
      <c r="N30" s="756"/>
      <c r="O30" s="756"/>
      <c r="P30" s="756"/>
      <c r="Q30" s="756"/>
      <c r="R30" s="756"/>
      <c r="S30" s="756"/>
      <c r="T30" s="756"/>
      <c r="U30" s="756"/>
      <c r="V30" s="756"/>
      <c r="W30" s="756"/>
      <c r="X30" s="756"/>
      <c r="Y30" s="756"/>
      <c r="Z30" s="756"/>
      <c r="AA30" s="756"/>
      <c r="AB30" s="756"/>
      <c r="AC30" s="756"/>
      <c r="AD30" s="757"/>
    </row>
    <row r="31" spans="1:30" ht="72" customHeight="1">
      <c r="A31" s="103"/>
      <c r="B31" s="76"/>
      <c r="C31" s="75"/>
      <c r="D31" s="754" t="s">
        <v>5521</v>
      </c>
      <c r="E31" s="754"/>
      <c r="F31" s="754"/>
      <c r="G31" s="754"/>
      <c r="H31" s="754"/>
      <c r="I31" s="754"/>
      <c r="J31" s="754"/>
      <c r="K31" s="754"/>
      <c r="L31" s="754"/>
      <c r="M31" s="754"/>
      <c r="N31" s="754"/>
      <c r="O31" s="754"/>
      <c r="P31" s="754"/>
      <c r="Q31" s="754"/>
      <c r="R31" s="754"/>
      <c r="S31" s="754"/>
      <c r="T31" s="754"/>
      <c r="U31" s="754"/>
      <c r="V31" s="754"/>
      <c r="W31" s="754"/>
      <c r="X31" s="754"/>
      <c r="Y31" s="754"/>
      <c r="Z31" s="754"/>
      <c r="AA31" s="754"/>
      <c r="AB31" s="754"/>
      <c r="AC31" s="754"/>
      <c r="AD31" s="755"/>
    </row>
    <row r="32" spans="1:30" ht="48" customHeight="1">
      <c r="A32" s="103"/>
      <c r="B32" s="76"/>
      <c r="C32" s="75"/>
      <c r="D32" s="754" t="s">
        <v>5522</v>
      </c>
      <c r="E32" s="754"/>
      <c r="F32" s="754"/>
      <c r="G32" s="754"/>
      <c r="H32" s="754"/>
      <c r="I32" s="754"/>
      <c r="J32" s="754"/>
      <c r="K32" s="754"/>
      <c r="L32" s="754"/>
      <c r="M32" s="754"/>
      <c r="N32" s="754"/>
      <c r="O32" s="754"/>
      <c r="P32" s="754"/>
      <c r="Q32" s="754"/>
      <c r="R32" s="754"/>
      <c r="S32" s="754"/>
      <c r="T32" s="754"/>
      <c r="U32" s="754"/>
      <c r="V32" s="754"/>
      <c r="W32" s="754"/>
      <c r="X32" s="754"/>
      <c r="Y32" s="754"/>
      <c r="Z32" s="754"/>
      <c r="AA32" s="754"/>
      <c r="AB32" s="754"/>
      <c r="AC32" s="754"/>
      <c r="AD32" s="755"/>
    </row>
    <row r="33" spans="1:39" ht="48" customHeight="1">
      <c r="A33" s="103"/>
      <c r="B33" s="76"/>
      <c r="C33" s="75"/>
      <c r="D33" s="754" t="s">
        <v>5523</v>
      </c>
      <c r="E33" s="754"/>
      <c r="F33" s="754"/>
      <c r="G33" s="754"/>
      <c r="H33" s="754"/>
      <c r="I33" s="754"/>
      <c r="J33" s="754"/>
      <c r="K33" s="754"/>
      <c r="L33" s="754"/>
      <c r="M33" s="754"/>
      <c r="N33" s="754"/>
      <c r="O33" s="754"/>
      <c r="P33" s="754"/>
      <c r="Q33" s="754"/>
      <c r="R33" s="754"/>
      <c r="S33" s="754"/>
      <c r="T33" s="754"/>
      <c r="U33" s="754"/>
      <c r="V33" s="754"/>
      <c r="W33" s="754"/>
      <c r="X33" s="754"/>
      <c r="Y33" s="754"/>
      <c r="Z33" s="754"/>
      <c r="AA33" s="754"/>
      <c r="AB33" s="754"/>
      <c r="AC33" s="754"/>
      <c r="AD33" s="755"/>
    </row>
    <row r="34" spans="1:39" ht="36" customHeight="1">
      <c r="A34" s="103"/>
      <c r="B34" s="80"/>
      <c r="C34" s="82"/>
      <c r="D34" s="764" t="s">
        <v>5524</v>
      </c>
      <c r="E34" s="764"/>
      <c r="F34" s="764"/>
      <c r="G34" s="764"/>
      <c r="H34" s="764"/>
      <c r="I34" s="764"/>
      <c r="J34" s="764"/>
      <c r="K34" s="764"/>
      <c r="L34" s="764"/>
      <c r="M34" s="764"/>
      <c r="N34" s="764"/>
      <c r="O34" s="764"/>
      <c r="P34" s="764"/>
      <c r="Q34" s="764"/>
      <c r="R34" s="764"/>
      <c r="S34" s="764"/>
      <c r="T34" s="764"/>
      <c r="U34" s="764"/>
      <c r="V34" s="764"/>
      <c r="W34" s="764"/>
      <c r="X34" s="764"/>
      <c r="Y34" s="764"/>
      <c r="Z34" s="764"/>
      <c r="AA34" s="764"/>
      <c r="AB34" s="764"/>
      <c r="AC34" s="764"/>
      <c r="AD34" s="765"/>
    </row>
    <row r="35" spans="1:39" ht="15.75" thickBot="1">
      <c r="A35" s="170"/>
      <c r="B35" s="141"/>
      <c r="C35" s="141" t="s">
        <v>2551</v>
      </c>
      <c r="D35" s="141"/>
      <c r="E35" s="141"/>
      <c r="F35" s="141"/>
      <c r="G35" s="141"/>
      <c r="H35" s="141"/>
      <c r="I35" s="141"/>
      <c r="J35" s="141"/>
      <c r="K35" s="141"/>
      <c r="L35" s="141"/>
      <c r="M35" s="141"/>
      <c r="N35" s="141"/>
      <c r="O35" s="141"/>
      <c r="P35" s="141"/>
      <c r="Q35" s="141"/>
      <c r="R35" s="141"/>
      <c r="S35" s="141"/>
      <c r="T35" s="141"/>
      <c r="U35" s="141"/>
      <c r="V35" s="141"/>
      <c r="W35" s="141"/>
      <c r="X35" s="141"/>
      <c r="Y35" s="141"/>
      <c r="Z35" s="141"/>
      <c r="AA35" s="141"/>
      <c r="AB35" s="141"/>
      <c r="AC35" s="141"/>
      <c r="AD35" s="141"/>
    </row>
    <row r="36" spans="1:39" customFormat="1" ht="15" customHeight="1" thickBot="1">
      <c r="A36" s="153" t="s">
        <v>2563</v>
      </c>
      <c r="B36" s="1081" t="s">
        <v>5525</v>
      </c>
      <c r="C36" s="1082"/>
      <c r="D36" s="1082"/>
      <c r="E36" s="1082"/>
      <c r="F36" s="1082"/>
      <c r="G36" s="1082"/>
      <c r="H36" s="1082"/>
      <c r="I36" s="1082"/>
      <c r="J36" s="1082"/>
      <c r="K36" s="1082"/>
      <c r="L36" s="1082"/>
      <c r="M36" s="1082"/>
      <c r="N36" s="1082"/>
      <c r="O36" s="1082"/>
      <c r="P36" s="1082"/>
      <c r="Q36" s="1082"/>
      <c r="R36" s="1082"/>
      <c r="S36" s="1082"/>
      <c r="T36" s="1082"/>
      <c r="U36" s="1082"/>
      <c r="V36" s="1082"/>
      <c r="W36" s="1082"/>
      <c r="X36" s="1082"/>
      <c r="Y36" s="1082"/>
      <c r="Z36" s="1082"/>
      <c r="AA36" s="1082"/>
      <c r="AB36" s="1082"/>
      <c r="AC36" s="1082"/>
      <c r="AD36" s="1083"/>
      <c r="AE36" s="3"/>
    </row>
    <row r="37" spans="1:39" ht="15" customHeight="1">
      <c r="A37" s="170"/>
    </row>
    <row r="38" spans="1:39" ht="24" customHeight="1">
      <c r="A38" s="49" t="s">
        <v>5526</v>
      </c>
      <c r="B38" s="829" t="s">
        <v>5527</v>
      </c>
      <c r="C38" s="829"/>
      <c r="D38" s="829"/>
      <c r="E38" s="829"/>
      <c r="F38" s="829"/>
      <c r="G38" s="829"/>
      <c r="H38" s="829"/>
      <c r="I38" s="829"/>
      <c r="J38" s="829"/>
      <c r="K38" s="829"/>
      <c r="L38" s="829"/>
      <c r="M38" s="829"/>
      <c r="N38" s="829"/>
      <c r="O38" s="829"/>
      <c r="P38" s="829"/>
      <c r="Q38" s="829"/>
      <c r="R38" s="829"/>
      <c r="S38" s="829"/>
      <c r="T38" s="829"/>
      <c r="U38" s="829"/>
      <c r="V38" s="829"/>
      <c r="W38" s="829"/>
      <c r="X38" s="829"/>
      <c r="Y38" s="829"/>
      <c r="Z38" s="829"/>
      <c r="AA38" s="829"/>
      <c r="AB38" s="829"/>
      <c r="AC38" s="829"/>
      <c r="AD38" s="829"/>
    </row>
    <row r="39" spans="1:39" ht="24" customHeight="1">
      <c r="A39" s="50"/>
      <c r="B39" s="38"/>
      <c r="C39" s="754" t="s">
        <v>5528</v>
      </c>
      <c r="D39" s="754"/>
      <c r="E39" s="754"/>
      <c r="F39" s="754"/>
      <c r="G39" s="754"/>
      <c r="H39" s="754"/>
      <c r="I39" s="754"/>
      <c r="J39" s="754"/>
      <c r="K39" s="754"/>
      <c r="L39" s="754"/>
      <c r="M39" s="754"/>
      <c r="N39" s="754"/>
      <c r="O39" s="754"/>
      <c r="P39" s="754"/>
      <c r="Q39" s="754"/>
      <c r="R39" s="754"/>
      <c r="S39" s="754"/>
      <c r="T39" s="754"/>
      <c r="U39" s="754"/>
      <c r="V39" s="754"/>
      <c r="W39" s="754"/>
      <c r="X39" s="754"/>
      <c r="Y39" s="754"/>
      <c r="Z39" s="754"/>
      <c r="AA39" s="754"/>
      <c r="AB39" s="754"/>
      <c r="AC39" s="754"/>
      <c r="AD39" s="754"/>
    </row>
    <row r="40" spans="1:39" ht="15" customHeight="1">
      <c r="A40" s="108"/>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row>
    <row r="41" spans="1:39" ht="15" customHeight="1">
      <c r="A41" s="108"/>
      <c r="B41" s="38"/>
      <c r="C41" s="732" t="s">
        <v>2581</v>
      </c>
      <c r="D41" s="732"/>
      <c r="E41" s="732"/>
      <c r="F41" s="732"/>
      <c r="G41" s="732"/>
      <c r="H41" s="732"/>
      <c r="I41" s="732"/>
      <c r="J41" s="732"/>
      <c r="K41" s="732"/>
      <c r="L41" s="732"/>
      <c r="M41" s="732" t="s">
        <v>5529</v>
      </c>
      <c r="N41" s="732"/>
      <c r="O41" s="732"/>
      <c r="P41" s="732"/>
      <c r="Q41" s="732"/>
      <c r="R41" s="732"/>
      <c r="S41" s="732"/>
      <c r="T41" s="732"/>
      <c r="U41" s="732"/>
      <c r="V41" s="732"/>
      <c r="W41" s="732"/>
      <c r="X41" s="732"/>
      <c r="Y41" s="732"/>
      <c r="Z41" s="732"/>
      <c r="AA41" s="732"/>
      <c r="AB41" s="732"/>
      <c r="AC41" s="732"/>
      <c r="AD41" s="732"/>
    </row>
    <row r="42" spans="1:39" ht="15" customHeight="1">
      <c r="A42" s="108"/>
      <c r="B42" s="38"/>
      <c r="C42" s="732"/>
      <c r="D42" s="732"/>
      <c r="E42" s="732"/>
      <c r="F42" s="732"/>
      <c r="G42" s="732"/>
      <c r="H42" s="732"/>
      <c r="I42" s="732"/>
      <c r="J42" s="732"/>
      <c r="K42" s="732"/>
      <c r="L42" s="732"/>
      <c r="M42" s="987" t="s">
        <v>2628</v>
      </c>
      <c r="N42" s="988"/>
      <c r="O42" s="988"/>
      <c r="P42" s="988"/>
      <c r="Q42" s="988"/>
      <c r="R42" s="988"/>
      <c r="S42" s="989" t="s">
        <v>2629</v>
      </c>
      <c r="T42" s="990"/>
      <c r="U42" s="990"/>
      <c r="V42" s="990"/>
      <c r="W42" s="990"/>
      <c r="X42" s="990"/>
      <c r="Y42" s="989" t="s">
        <v>2630</v>
      </c>
      <c r="Z42" s="990"/>
      <c r="AA42" s="990"/>
      <c r="AB42" s="990"/>
      <c r="AC42" s="990"/>
      <c r="AD42" s="990"/>
      <c r="AG42" t="s">
        <v>2586</v>
      </c>
      <c r="AI42" t="s">
        <v>2590</v>
      </c>
      <c r="AJ42" t="s">
        <v>3163</v>
      </c>
      <c r="AK42" t="s">
        <v>4564</v>
      </c>
      <c r="AL42"/>
      <c r="AM42"/>
    </row>
    <row r="43" spans="1:39" ht="15" customHeight="1">
      <c r="A43" s="108"/>
      <c r="B43" s="38"/>
      <c r="C43" s="97" t="s">
        <v>2516</v>
      </c>
      <c r="D43" s="1084" t="str">
        <f>IF(CNSIPEE_2024_M2_Secc1!D42="","",CNSIPEE_2024_M2_Secc1!D42)</f>
        <v/>
      </c>
      <c r="E43" s="1084"/>
      <c r="F43" s="1084"/>
      <c r="G43" s="1084"/>
      <c r="H43" s="1084"/>
      <c r="I43" s="1084"/>
      <c r="J43" s="1084"/>
      <c r="K43" s="1084"/>
      <c r="L43" s="1084"/>
      <c r="M43" s="749"/>
      <c r="N43" s="749"/>
      <c r="O43" s="749"/>
      <c r="P43" s="749"/>
      <c r="Q43" s="749"/>
      <c r="R43" s="749"/>
      <c r="S43" s="749"/>
      <c r="T43" s="749"/>
      <c r="U43" s="749"/>
      <c r="V43" s="749"/>
      <c r="W43" s="749"/>
      <c r="X43" s="749"/>
      <c r="Y43" s="749"/>
      <c r="Z43" s="749"/>
      <c r="AA43" s="749"/>
      <c r="AB43" s="749"/>
      <c r="AC43" s="749"/>
      <c r="AD43" s="749"/>
      <c r="AG43">
        <f>IF(OR(COUNTBLANK(D43:Y43)=22,COUNTBLANK(D43:Y43)=18),0,1)</f>
        <v>0</v>
      </c>
      <c r="AI43">
        <f t="shared" ref="AI43:AI50" si="0">COUNTIF(S43:AD43,"NS")</f>
        <v>0</v>
      </c>
      <c r="AJ43">
        <f t="shared" ref="AJ43:AJ50" si="1">SUM(S43:AD43)</f>
        <v>0</v>
      </c>
      <c r="AK43">
        <f>IF(COUNTIF(M43:AD43,"NA")=3,0,IF(COUNTA(M43:AD43)=0,0,IF(OR(AND(M43=0,AI43&gt;0),AND(M43="ns",AJ43&gt;0),AND(M43="ns",AI43=0,AJ43=0)),1,IF(OR(AND(M43&gt;0,AI43=2),AND(M43="ns",AI43=2),AND(M43="ns",AJ43=0,AI43&gt;0),M43=AJ43),0,1))))</f>
        <v>0</v>
      </c>
      <c r="AL43"/>
      <c r="AM43"/>
    </row>
    <row r="44" spans="1:39" ht="15" customHeight="1">
      <c r="A44" s="108"/>
      <c r="B44" s="38"/>
      <c r="C44" s="98" t="s">
        <v>2517</v>
      </c>
      <c r="D44" s="1084" t="str">
        <f>IF(CNSIPEE_2024_M2_Secc1!D43="","",CNSIPEE_2024_M2_Secc1!D43)</f>
        <v/>
      </c>
      <c r="E44" s="1084"/>
      <c r="F44" s="1084"/>
      <c r="G44" s="1084"/>
      <c r="H44" s="1084"/>
      <c r="I44" s="1084"/>
      <c r="J44" s="1084"/>
      <c r="K44" s="1084"/>
      <c r="L44" s="1084"/>
      <c r="M44" s="749"/>
      <c r="N44" s="749"/>
      <c r="O44" s="749"/>
      <c r="P44" s="749"/>
      <c r="Q44" s="749"/>
      <c r="R44" s="749"/>
      <c r="S44" s="749"/>
      <c r="T44" s="749"/>
      <c r="U44" s="749"/>
      <c r="V44" s="749"/>
      <c r="W44" s="749"/>
      <c r="X44" s="749"/>
      <c r="Y44" s="749"/>
      <c r="Z44" s="749"/>
      <c r="AA44" s="749"/>
      <c r="AB44" s="749"/>
      <c r="AC44" s="749"/>
      <c r="AD44" s="749"/>
      <c r="AG44">
        <f t="shared" ref="AG44:AG50" si="2">IF(OR(COUNTBLANK(D44:Y44)=22,COUNTBLANK(D44:Y44)=18),0,1)</f>
        <v>0</v>
      </c>
      <c r="AI44">
        <f t="shared" si="0"/>
        <v>0</v>
      </c>
      <c r="AJ44">
        <f t="shared" si="1"/>
        <v>0</v>
      </c>
      <c r="AK44">
        <f t="shared" ref="AK44:AK50" si="3">IF(COUNTIF(M44:AD44,"NA")=3,0,IF(COUNTA(M44:AD44)=0,0,IF(OR(AND(M44=0,AI44&gt;0),AND(M44="ns",AJ44&gt;0),AND(M44="ns",AI44=0,AJ44=0)),1,IF(OR(AND(M44&gt;0,AI44=2),AND(M44="ns",AI44=2),AND(M44="ns",AJ44=0,AI44&gt;0),M44=AJ44),0,1))))</f>
        <v>0</v>
      </c>
      <c r="AL44"/>
      <c r="AM44"/>
    </row>
    <row r="45" spans="1:39" ht="15" customHeight="1">
      <c r="A45" s="108"/>
      <c r="B45" s="38"/>
      <c r="C45" s="98" t="s">
        <v>2518</v>
      </c>
      <c r="D45" s="1084" t="str">
        <f>IF(CNSIPEE_2024_M2_Secc1!D44="","",CNSIPEE_2024_M2_Secc1!D44)</f>
        <v/>
      </c>
      <c r="E45" s="1084"/>
      <c r="F45" s="1084"/>
      <c r="G45" s="1084"/>
      <c r="H45" s="1084"/>
      <c r="I45" s="1084"/>
      <c r="J45" s="1084"/>
      <c r="K45" s="1084"/>
      <c r="L45" s="1084"/>
      <c r="M45" s="749"/>
      <c r="N45" s="749"/>
      <c r="O45" s="749"/>
      <c r="P45" s="749"/>
      <c r="Q45" s="749"/>
      <c r="R45" s="749"/>
      <c r="S45" s="749"/>
      <c r="T45" s="749"/>
      <c r="U45" s="749"/>
      <c r="V45" s="749"/>
      <c r="W45" s="749"/>
      <c r="X45" s="749"/>
      <c r="Y45" s="749"/>
      <c r="Z45" s="749"/>
      <c r="AA45" s="749"/>
      <c r="AB45" s="749"/>
      <c r="AC45" s="749"/>
      <c r="AD45" s="749"/>
      <c r="AG45">
        <f t="shared" si="2"/>
        <v>0</v>
      </c>
      <c r="AI45">
        <f t="shared" si="0"/>
        <v>0</v>
      </c>
      <c r="AJ45">
        <f t="shared" si="1"/>
        <v>0</v>
      </c>
      <c r="AK45">
        <f t="shared" si="3"/>
        <v>0</v>
      </c>
      <c r="AL45"/>
      <c r="AM45"/>
    </row>
    <row r="46" spans="1:39" ht="15" customHeight="1">
      <c r="A46" s="108"/>
      <c r="B46" s="38"/>
      <c r="C46" s="98" t="s">
        <v>2519</v>
      </c>
      <c r="D46" s="1084" t="str">
        <f>IF(CNSIPEE_2024_M2_Secc1!D45="","",CNSIPEE_2024_M2_Secc1!D45)</f>
        <v/>
      </c>
      <c r="E46" s="1084"/>
      <c r="F46" s="1084"/>
      <c r="G46" s="1084"/>
      <c r="H46" s="1084"/>
      <c r="I46" s="1084"/>
      <c r="J46" s="1084"/>
      <c r="K46" s="1084"/>
      <c r="L46" s="1084"/>
      <c r="M46" s="749"/>
      <c r="N46" s="749"/>
      <c r="O46" s="749"/>
      <c r="P46" s="749"/>
      <c r="Q46" s="749"/>
      <c r="R46" s="749"/>
      <c r="S46" s="749"/>
      <c r="T46" s="749"/>
      <c r="U46" s="749"/>
      <c r="V46" s="749"/>
      <c r="W46" s="749"/>
      <c r="X46" s="749"/>
      <c r="Y46" s="749"/>
      <c r="Z46" s="749"/>
      <c r="AA46" s="749"/>
      <c r="AB46" s="749"/>
      <c r="AC46" s="749"/>
      <c r="AD46" s="749"/>
      <c r="AG46">
        <f t="shared" si="2"/>
        <v>0</v>
      </c>
      <c r="AI46">
        <f t="shared" si="0"/>
        <v>0</v>
      </c>
      <c r="AJ46">
        <f t="shared" si="1"/>
        <v>0</v>
      </c>
      <c r="AK46">
        <f t="shared" si="3"/>
        <v>0</v>
      </c>
      <c r="AL46"/>
      <c r="AM46"/>
    </row>
    <row r="47" spans="1:39" ht="15" customHeight="1">
      <c r="A47" s="108"/>
      <c r="B47" s="38"/>
      <c r="C47" s="98" t="s">
        <v>2520</v>
      </c>
      <c r="D47" s="1084" t="str">
        <f>IF(CNSIPEE_2024_M2_Secc1!D46="","",CNSIPEE_2024_M2_Secc1!D46)</f>
        <v/>
      </c>
      <c r="E47" s="1084"/>
      <c r="F47" s="1084"/>
      <c r="G47" s="1084"/>
      <c r="H47" s="1084"/>
      <c r="I47" s="1084"/>
      <c r="J47" s="1084"/>
      <c r="K47" s="1084"/>
      <c r="L47" s="1084"/>
      <c r="M47" s="749"/>
      <c r="N47" s="749"/>
      <c r="O47" s="749"/>
      <c r="P47" s="749"/>
      <c r="Q47" s="749"/>
      <c r="R47" s="749"/>
      <c r="S47" s="749"/>
      <c r="T47" s="749"/>
      <c r="U47" s="749"/>
      <c r="V47" s="749"/>
      <c r="W47" s="749"/>
      <c r="X47" s="749"/>
      <c r="Y47" s="749"/>
      <c r="Z47" s="749"/>
      <c r="AA47" s="749"/>
      <c r="AB47" s="749"/>
      <c r="AC47" s="749"/>
      <c r="AD47" s="749"/>
      <c r="AG47">
        <f t="shared" si="2"/>
        <v>0</v>
      </c>
      <c r="AI47">
        <f t="shared" si="0"/>
        <v>0</v>
      </c>
      <c r="AJ47">
        <f t="shared" si="1"/>
        <v>0</v>
      </c>
      <c r="AK47">
        <f t="shared" si="3"/>
        <v>0</v>
      </c>
      <c r="AL47"/>
      <c r="AM47"/>
    </row>
    <row r="48" spans="1:39" ht="15" customHeight="1">
      <c r="A48" s="108"/>
      <c r="B48" s="38"/>
      <c r="C48" s="98" t="s">
        <v>2521</v>
      </c>
      <c r="D48" s="1084" t="str">
        <f>IF(CNSIPEE_2024_M2_Secc1!D47="","",CNSIPEE_2024_M2_Secc1!D47)</f>
        <v/>
      </c>
      <c r="E48" s="1084"/>
      <c r="F48" s="1084"/>
      <c r="G48" s="1084"/>
      <c r="H48" s="1084"/>
      <c r="I48" s="1084"/>
      <c r="J48" s="1084"/>
      <c r="K48" s="1084"/>
      <c r="L48" s="1084"/>
      <c r="M48" s="749"/>
      <c r="N48" s="749"/>
      <c r="O48" s="749"/>
      <c r="P48" s="749"/>
      <c r="Q48" s="749"/>
      <c r="R48" s="749"/>
      <c r="S48" s="749"/>
      <c r="T48" s="749"/>
      <c r="U48" s="749"/>
      <c r="V48" s="749"/>
      <c r="W48" s="749"/>
      <c r="X48" s="749"/>
      <c r="Y48" s="749"/>
      <c r="Z48" s="749"/>
      <c r="AA48" s="749"/>
      <c r="AB48" s="749"/>
      <c r="AC48" s="749"/>
      <c r="AD48" s="749"/>
      <c r="AG48">
        <f t="shared" si="2"/>
        <v>0</v>
      </c>
      <c r="AI48">
        <f t="shared" si="0"/>
        <v>0</v>
      </c>
      <c r="AJ48">
        <f t="shared" si="1"/>
        <v>0</v>
      </c>
      <c r="AK48">
        <f t="shared" si="3"/>
        <v>0</v>
      </c>
      <c r="AL48"/>
      <c r="AM48"/>
    </row>
    <row r="49" spans="1:39" ht="15" customHeight="1">
      <c r="A49" s="186"/>
      <c r="B49" s="57"/>
      <c r="C49" s="98" t="s">
        <v>2522</v>
      </c>
      <c r="D49" s="1084" t="str">
        <f>IF(CNSIPEE_2024_M2_Secc1!D48="","",CNSIPEE_2024_M2_Secc1!D48)</f>
        <v/>
      </c>
      <c r="E49" s="1084"/>
      <c r="F49" s="1084"/>
      <c r="G49" s="1084"/>
      <c r="H49" s="1084"/>
      <c r="I49" s="1084"/>
      <c r="J49" s="1084"/>
      <c r="K49" s="1084"/>
      <c r="L49" s="1084"/>
      <c r="M49" s="749"/>
      <c r="N49" s="749"/>
      <c r="O49" s="749"/>
      <c r="P49" s="749"/>
      <c r="Q49" s="749"/>
      <c r="R49" s="749"/>
      <c r="S49" s="749"/>
      <c r="T49" s="749"/>
      <c r="U49" s="749"/>
      <c r="V49" s="749"/>
      <c r="W49" s="749"/>
      <c r="X49" s="749"/>
      <c r="Y49" s="749"/>
      <c r="Z49" s="749"/>
      <c r="AA49" s="749"/>
      <c r="AB49" s="749"/>
      <c r="AC49" s="749"/>
      <c r="AD49" s="749"/>
      <c r="AG49">
        <f t="shared" si="2"/>
        <v>0</v>
      </c>
      <c r="AI49">
        <f t="shared" si="0"/>
        <v>0</v>
      </c>
      <c r="AJ49">
        <f t="shared" si="1"/>
        <v>0</v>
      </c>
      <c r="AK49">
        <f t="shared" si="3"/>
        <v>0</v>
      </c>
      <c r="AL49"/>
      <c r="AM49"/>
    </row>
    <row r="50" spans="1:39" ht="15" customHeight="1">
      <c r="A50" s="186"/>
      <c r="B50" s="57"/>
      <c r="C50" s="98" t="s">
        <v>2523</v>
      </c>
      <c r="D50" s="1084" t="str">
        <f>IF(CNSIPEE_2024_M2_Secc1!D49="","",CNSIPEE_2024_M2_Secc1!D49)</f>
        <v/>
      </c>
      <c r="E50" s="1084"/>
      <c r="F50" s="1084"/>
      <c r="G50" s="1084"/>
      <c r="H50" s="1084"/>
      <c r="I50" s="1084"/>
      <c r="J50" s="1084"/>
      <c r="K50" s="1084"/>
      <c r="L50" s="1084"/>
      <c r="M50" s="749"/>
      <c r="N50" s="749"/>
      <c r="O50" s="749"/>
      <c r="P50" s="749"/>
      <c r="Q50" s="749"/>
      <c r="R50" s="749"/>
      <c r="S50" s="749"/>
      <c r="T50" s="749"/>
      <c r="U50" s="749"/>
      <c r="V50" s="749"/>
      <c r="W50" s="749"/>
      <c r="X50" s="749"/>
      <c r="Y50" s="749"/>
      <c r="Z50" s="749"/>
      <c r="AA50" s="749"/>
      <c r="AB50" s="749"/>
      <c r="AC50" s="749"/>
      <c r="AD50" s="749"/>
      <c r="AG50">
        <f t="shared" si="2"/>
        <v>0</v>
      </c>
      <c r="AI50">
        <f t="shared" si="0"/>
        <v>0</v>
      </c>
      <c r="AJ50">
        <f t="shared" si="1"/>
        <v>0</v>
      </c>
      <c r="AK50">
        <f t="shared" si="3"/>
        <v>0</v>
      </c>
      <c r="AL50"/>
      <c r="AM50"/>
    </row>
    <row r="51" spans="1:39" ht="15" customHeight="1">
      <c r="A51" s="108"/>
      <c r="B51" s="38"/>
      <c r="C51" s="38"/>
      <c r="D51" s="38"/>
      <c r="E51" s="38"/>
      <c r="F51" s="38"/>
      <c r="G51" s="38"/>
      <c r="H51" s="38"/>
      <c r="I51" s="38"/>
      <c r="J51" s="38"/>
      <c r="K51" s="38"/>
      <c r="L51" s="117" t="s">
        <v>2649</v>
      </c>
      <c r="M51" s="736">
        <f>IF(AND(SUM(M43:M50)=0,COUNTIF(M43:M50,"NS")&gt;0),"NS",IF(AND(SUM(M43:M50)=0,COUNTIF(M43:M50,0)&gt;0),0,IF(AND(SUM(M43:M50)=0,COUNTIF(M43:M50,"NA")&gt;0),"NA",SUM(M43:M50))))</f>
        <v>0</v>
      </c>
      <c r="N51" s="1085"/>
      <c r="O51" s="1085"/>
      <c r="P51" s="1085"/>
      <c r="Q51" s="1085"/>
      <c r="R51" s="1086"/>
      <c r="S51" s="736">
        <f>IF(AND(SUM(S43:S50)=0,COUNTIF(S43:S50,"NS")&gt;0),"NS",IF(AND(SUM(S43:S50)=0,COUNTIF(S43:S50,0)&gt;0),0,IF(AND(SUM(S43:S50)=0,COUNTIF(S43:S50,"NA")&gt;0),"NA",SUM(S43:S50))))</f>
        <v>0</v>
      </c>
      <c r="T51" s="1085"/>
      <c r="U51" s="1085"/>
      <c r="V51" s="1085"/>
      <c r="W51" s="1085"/>
      <c r="X51" s="1086"/>
      <c r="Y51" s="736">
        <f>IF(AND(SUM(Y43:Y50)=0,COUNTIF(Y43:Y50,"NS")&gt;0),"NS",IF(AND(SUM(Y43:Y50)=0,COUNTIF(Y43:Y50,0)&gt;0),0,IF(AND(SUM(Y43:Y50)=0,COUNTIF(Y43:Y50,"NA")&gt;0),"NA",SUM(Y43:Y50))))</f>
        <v>0</v>
      </c>
      <c r="Z51" s="1085"/>
      <c r="AA51" s="1085"/>
      <c r="AB51" s="1085"/>
      <c r="AC51" s="1085"/>
      <c r="AD51" s="1086"/>
      <c r="AG51" s="506">
        <f>SUM(AG43:AG50)</f>
        <v>0</v>
      </c>
      <c r="AI51">
        <f>SUM(AI43:AI50)</f>
        <v>0</v>
      </c>
      <c r="AK51" s="506">
        <f>SUM(AK43:AK50)</f>
        <v>0</v>
      </c>
      <c r="AM51"/>
    </row>
    <row r="52" spans="1:39" ht="15" customHeight="1">
      <c r="A52" s="108"/>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row>
    <row r="53" spans="1:39" ht="24" customHeight="1">
      <c r="A53" s="176"/>
      <c r="B53" s="38"/>
      <c r="C53" s="754" t="s">
        <v>2611</v>
      </c>
      <c r="D53" s="754"/>
      <c r="E53" s="754"/>
      <c r="F53" s="754"/>
      <c r="G53" s="754"/>
      <c r="H53" s="754"/>
      <c r="I53" s="754"/>
      <c r="J53" s="754"/>
      <c r="K53" s="754"/>
      <c r="L53" s="754"/>
      <c r="M53" s="754"/>
      <c r="N53" s="754"/>
      <c r="O53" s="754"/>
      <c r="P53" s="754"/>
      <c r="Q53" s="754"/>
      <c r="R53" s="754"/>
      <c r="S53" s="754"/>
      <c r="T53" s="754"/>
      <c r="U53" s="754"/>
      <c r="V53" s="754"/>
      <c r="W53" s="754"/>
      <c r="X53" s="754"/>
      <c r="Y53" s="754"/>
      <c r="Z53" s="754"/>
      <c r="AA53" s="754"/>
      <c r="AB53" s="754"/>
      <c r="AC53" s="754"/>
      <c r="AD53" s="754"/>
    </row>
    <row r="54" spans="1:39" ht="60" customHeight="1">
      <c r="A54" s="176"/>
      <c r="B54" s="38"/>
      <c r="C54" s="851"/>
      <c r="D54" s="851"/>
      <c r="E54" s="851"/>
      <c r="F54" s="851"/>
      <c r="G54" s="851"/>
      <c r="H54" s="851"/>
      <c r="I54" s="851"/>
      <c r="J54" s="851"/>
      <c r="K54" s="851"/>
      <c r="L54" s="851"/>
      <c r="M54" s="851"/>
      <c r="N54" s="851"/>
      <c r="O54" s="851"/>
      <c r="P54" s="851"/>
      <c r="Q54" s="851"/>
      <c r="R54" s="851"/>
      <c r="S54" s="851"/>
      <c r="T54" s="851"/>
      <c r="U54" s="851"/>
      <c r="V54" s="851"/>
      <c r="W54" s="851"/>
      <c r="X54" s="851"/>
      <c r="Y54" s="851"/>
      <c r="Z54" s="851"/>
      <c r="AA54" s="851"/>
      <c r="AB54" s="851"/>
      <c r="AC54" s="851"/>
      <c r="AD54" s="851"/>
    </row>
    <row r="55" spans="1:39" ht="15" customHeight="1">
      <c r="A55" s="176"/>
      <c r="B55" s="794" t="str">
        <f>IF(AG51=0,"","Favor de ingresar toda la información requerida en la pregunta")</f>
        <v/>
      </c>
      <c r="C55" s="794"/>
      <c r="D55" s="794"/>
      <c r="E55" s="794"/>
      <c r="F55" s="794"/>
      <c r="G55" s="794"/>
      <c r="H55" s="794"/>
      <c r="I55" s="794"/>
      <c r="J55" s="794"/>
      <c r="K55" s="794"/>
      <c r="L55" s="794"/>
      <c r="M55" s="794"/>
      <c r="N55" s="794"/>
      <c r="O55" s="794"/>
      <c r="P55" s="794"/>
      <c r="Q55" s="794"/>
      <c r="R55" s="794"/>
      <c r="S55" s="794"/>
      <c r="T55" s="794"/>
      <c r="U55" s="794"/>
      <c r="V55" s="794"/>
      <c r="W55" s="794"/>
      <c r="X55" s="794"/>
      <c r="Y55" s="794"/>
      <c r="Z55" s="794"/>
      <c r="AA55" s="794"/>
      <c r="AB55" s="794"/>
      <c r="AC55" s="794"/>
      <c r="AD55" s="794"/>
      <c r="AE55" s="794"/>
    </row>
    <row r="56" spans="1:39" ht="15" customHeight="1">
      <c r="A56" s="176"/>
      <c r="B56" s="1087" t="str">
        <f>IF(COUNTIF(M43:AD50,"NS")&lt;&gt;0,"Alerta: debido a que cuenta con registros NS, debe proporcionar una justificación en el area de comentarios al final de la pregunta","")</f>
        <v/>
      </c>
      <c r="C56" s="1087"/>
      <c r="D56" s="1087"/>
      <c r="E56" s="1087"/>
      <c r="F56" s="1087"/>
      <c r="G56" s="1087"/>
      <c r="H56" s="1087"/>
      <c r="I56" s="1087"/>
      <c r="J56" s="1087"/>
      <c r="K56" s="1087"/>
      <c r="L56" s="1087"/>
      <c r="M56" s="1087"/>
      <c r="N56" s="1087"/>
      <c r="O56" s="1087"/>
      <c r="P56" s="1087"/>
      <c r="Q56" s="1087"/>
      <c r="R56" s="1087"/>
      <c r="S56" s="1087"/>
      <c r="T56" s="1087"/>
      <c r="U56" s="1087"/>
      <c r="V56" s="1087"/>
      <c r="W56" s="1087"/>
      <c r="X56" s="1087"/>
      <c r="Y56" s="1087"/>
      <c r="Z56" s="1087"/>
      <c r="AA56" s="1087"/>
      <c r="AB56" s="1087"/>
      <c r="AC56" s="1087"/>
      <c r="AD56" s="1087"/>
      <c r="AE56" s="1087"/>
    </row>
    <row r="57" spans="1:39" ht="15" customHeight="1">
      <c r="A57" s="176"/>
      <c r="B57" s="1003" t="str">
        <f>IF(AK51&gt;0,"Favor de revisar la suma y consistencia de totales y/o subtotales por filas (numéricos y NS)","")</f>
        <v/>
      </c>
      <c r="C57" s="1003"/>
      <c r="D57" s="1003"/>
      <c r="E57" s="1003"/>
      <c r="F57" s="1003"/>
      <c r="G57" s="1003"/>
      <c r="H57" s="1003"/>
      <c r="I57" s="1003"/>
      <c r="J57" s="1003"/>
      <c r="K57" s="1003"/>
      <c r="L57" s="1003"/>
      <c r="M57" s="1003"/>
      <c r="N57" s="1003"/>
      <c r="O57" s="1003"/>
      <c r="P57" s="1003"/>
      <c r="Q57" s="1003"/>
      <c r="R57" s="1003"/>
      <c r="S57" s="1003"/>
      <c r="T57" s="1003"/>
      <c r="U57" s="1003"/>
      <c r="V57" s="1003"/>
      <c r="W57" s="1003"/>
      <c r="X57" s="1003"/>
      <c r="Y57" s="1003"/>
      <c r="Z57" s="1003"/>
      <c r="AA57" s="1003"/>
      <c r="AB57" s="1003"/>
      <c r="AC57" s="1003"/>
      <c r="AD57" s="1003"/>
      <c r="AE57" s="1003"/>
    </row>
    <row r="58" spans="1:39" ht="15" customHeight="1">
      <c r="A58" s="176"/>
      <c r="B58" s="678"/>
      <c r="C58" s="678"/>
      <c r="D58" s="678"/>
      <c r="E58" s="678"/>
      <c r="F58" s="678"/>
      <c r="G58" s="678"/>
      <c r="H58" s="678"/>
      <c r="I58" s="678"/>
      <c r="J58" s="678"/>
      <c r="K58" s="678"/>
      <c r="L58" s="678"/>
      <c r="M58" s="678"/>
      <c r="N58" s="678"/>
      <c r="O58" s="678"/>
      <c r="P58" s="678"/>
      <c r="Q58" s="678"/>
      <c r="R58" s="678"/>
      <c r="S58" s="678"/>
      <c r="T58" s="678"/>
      <c r="U58" s="678"/>
      <c r="V58" s="678"/>
      <c r="W58" s="678"/>
      <c r="X58" s="678"/>
      <c r="Y58" s="678"/>
      <c r="Z58" s="678"/>
      <c r="AA58" s="678"/>
      <c r="AB58" s="678"/>
      <c r="AC58" s="678"/>
      <c r="AD58" s="678"/>
      <c r="AE58" s="678"/>
    </row>
    <row r="59" spans="1:39" ht="15" customHeight="1">
      <c r="A59" s="108"/>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row>
    <row r="60" spans="1:39" ht="15" customHeight="1">
      <c r="A60" s="108"/>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row>
    <row r="61" spans="1:39" ht="24" customHeight="1">
      <c r="A61" s="49" t="s">
        <v>5530</v>
      </c>
      <c r="B61" s="829" t="s">
        <v>5531</v>
      </c>
      <c r="C61" s="829"/>
      <c r="D61" s="829"/>
      <c r="E61" s="829"/>
      <c r="F61" s="829"/>
      <c r="G61" s="829"/>
      <c r="H61" s="829"/>
      <c r="I61" s="829"/>
      <c r="J61" s="829"/>
      <c r="K61" s="829"/>
      <c r="L61" s="829"/>
      <c r="M61" s="829"/>
      <c r="N61" s="829"/>
      <c r="O61" s="829"/>
      <c r="P61" s="829"/>
      <c r="Q61" s="829"/>
      <c r="R61" s="829"/>
      <c r="S61" s="829"/>
      <c r="T61" s="829"/>
      <c r="U61" s="829"/>
      <c r="V61" s="829"/>
      <c r="W61" s="829"/>
      <c r="X61" s="829"/>
      <c r="Y61" s="829"/>
      <c r="Z61" s="829"/>
      <c r="AA61" s="829"/>
      <c r="AB61" s="829"/>
      <c r="AC61" s="829"/>
      <c r="AD61" s="829"/>
    </row>
    <row r="62" spans="1:39" ht="15" customHeight="1">
      <c r="A62" s="49"/>
      <c r="B62" s="38"/>
      <c r="C62" s="830" t="s">
        <v>5532</v>
      </c>
      <c r="D62" s="830"/>
      <c r="E62" s="830"/>
      <c r="F62" s="830"/>
      <c r="G62" s="830"/>
      <c r="H62" s="830"/>
      <c r="I62" s="830"/>
      <c r="J62" s="830"/>
      <c r="K62" s="830"/>
      <c r="L62" s="830"/>
      <c r="M62" s="830"/>
      <c r="N62" s="830"/>
      <c r="O62" s="830"/>
      <c r="P62" s="830"/>
      <c r="Q62" s="830"/>
      <c r="R62" s="830"/>
      <c r="S62" s="830"/>
      <c r="T62" s="830"/>
      <c r="U62" s="830"/>
      <c r="V62" s="830"/>
      <c r="W62" s="830"/>
      <c r="X62" s="830"/>
      <c r="Y62" s="830"/>
      <c r="Z62" s="830"/>
      <c r="AA62" s="830"/>
      <c r="AB62" s="830"/>
      <c r="AC62" s="830"/>
      <c r="AD62" s="830"/>
    </row>
    <row r="63" spans="1:39" ht="24" customHeight="1">
      <c r="A63" s="49"/>
      <c r="B63" s="38"/>
      <c r="C63" s="830" t="s">
        <v>5533</v>
      </c>
      <c r="D63" s="830"/>
      <c r="E63" s="830"/>
      <c r="F63" s="830"/>
      <c r="G63" s="830"/>
      <c r="H63" s="830"/>
      <c r="I63" s="830"/>
      <c r="J63" s="830"/>
      <c r="K63" s="830"/>
      <c r="L63" s="830"/>
      <c r="M63" s="830"/>
      <c r="N63" s="830"/>
      <c r="O63" s="830"/>
      <c r="P63" s="830"/>
      <c r="Q63" s="830"/>
      <c r="R63" s="830"/>
      <c r="S63" s="830"/>
      <c r="T63" s="830"/>
      <c r="U63" s="830"/>
      <c r="V63" s="830"/>
      <c r="W63" s="830"/>
      <c r="X63" s="830"/>
      <c r="Y63" s="830"/>
      <c r="Z63" s="830"/>
      <c r="AA63" s="830"/>
      <c r="AB63" s="830"/>
      <c r="AC63" s="830"/>
      <c r="AD63" s="830"/>
    </row>
    <row r="64" spans="1:39" ht="15" customHeight="1">
      <c r="A64" s="108"/>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row>
    <row r="65" spans="1:51" ht="36" customHeight="1">
      <c r="A65" s="49"/>
      <c r="B65" s="38"/>
      <c r="C65" s="968" t="s">
        <v>2581</v>
      </c>
      <c r="D65" s="969"/>
      <c r="E65" s="969"/>
      <c r="F65" s="969"/>
      <c r="G65" s="969"/>
      <c r="H65" s="969"/>
      <c r="I65" s="969"/>
      <c r="J65" s="969"/>
      <c r="K65" s="969"/>
      <c r="L65" s="969"/>
      <c r="M65" s="969"/>
      <c r="N65" s="969"/>
      <c r="O65" s="970"/>
      <c r="P65" s="739" t="s">
        <v>5534</v>
      </c>
      <c r="Q65" s="740"/>
      <c r="R65" s="740"/>
      <c r="S65" s="740"/>
      <c r="T65" s="740"/>
      <c r="U65" s="740"/>
      <c r="V65" s="740"/>
      <c r="W65" s="740"/>
      <c r="X65" s="740"/>
      <c r="Y65" s="740"/>
      <c r="Z65" s="740"/>
      <c r="AA65" s="740"/>
      <c r="AB65" s="740"/>
      <c r="AC65" s="740"/>
      <c r="AD65" s="741"/>
    </row>
    <row r="66" spans="1:51" ht="36" customHeight="1">
      <c r="A66" s="49"/>
      <c r="B66" s="38"/>
      <c r="C66" s="1100"/>
      <c r="D66" s="1101"/>
      <c r="E66" s="1101"/>
      <c r="F66" s="1101"/>
      <c r="G66" s="1101"/>
      <c r="H66" s="1101"/>
      <c r="I66" s="1101"/>
      <c r="J66" s="1101"/>
      <c r="K66" s="1101"/>
      <c r="L66" s="1101"/>
      <c r="M66" s="1101"/>
      <c r="N66" s="1101"/>
      <c r="O66" s="1102"/>
      <c r="P66" s="736" t="s">
        <v>5535</v>
      </c>
      <c r="Q66" s="736"/>
      <c r="R66" s="736"/>
      <c r="S66" s="736"/>
      <c r="T66" s="736"/>
      <c r="U66" s="736"/>
      <c r="V66" s="857" t="s">
        <v>5536</v>
      </c>
      <c r="W66" s="857"/>
      <c r="X66" s="857"/>
      <c r="Y66" s="857" t="s">
        <v>5537</v>
      </c>
      <c r="Z66" s="857"/>
      <c r="AA66" s="857"/>
      <c r="AB66" s="857" t="s">
        <v>5538</v>
      </c>
      <c r="AC66" s="857"/>
      <c r="AD66" s="857"/>
    </row>
    <row r="67" spans="1:51" ht="24" customHeight="1">
      <c r="A67" s="49"/>
      <c r="B67" s="38"/>
      <c r="C67" s="1100"/>
      <c r="D67" s="1101"/>
      <c r="E67" s="1101"/>
      <c r="F67" s="1101"/>
      <c r="G67" s="1101"/>
      <c r="H67" s="1101"/>
      <c r="I67" s="1101"/>
      <c r="J67" s="1101"/>
      <c r="K67" s="1101"/>
      <c r="L67" s="1101"/>
      <c r="M67" s="1101"/>
      <c r="N67" s="1101"/>
      <c r="O67" s="1102"/>
      <c r="P67" s="736" t="s">
        <v>5539</v>
      </c>
      <c r="Q67" s="736"/>
      <c r="R67" s="736"/>
      <c r="S67" s="736" t="s">
        <v>5540</v>
      </c>
      <c r="T67" s="736"/>
      <c r="U67" s="736"/>
      <c r="V67" s="857"/>
      <c r="W67" s="857"/>
      <c r="X67" s="857"/>
      <c r="Y67" s="857"/>
      <c r="Z67" s="857"/>
      <c r="AA67" s="857"/>
      <c r="AB67" s="857"/>
      <c r="AC67" s="857"/>
      <c r="AD67" s="857"/>
    </row>
    <row r="68" spans="1:51" ht="48" customHeight="1">
      <c r="A68" s="49"/>
      <c r="B68" s="38"/>
      <c r="C68" s="971"/>
      <c r="D68" s="972"/>
      <c r="E68" s="972"/>
      <c r="F68" s="972"/>
      <c r="G68" s="972"/>
      <c r="H68" s="972"/>
      <c r="I68" s="972"/>
      <c r="J68" s="972"/>
      <c r="K68" s="972"/>
      <c r="L68" s="972"/>
      <c r="M68" s="972"/>
      <c r="N68" s="972"/>
      <c r="O68" s="973"/>
      <c r="P68" s="127" t="s">
        <v>2628</v>
      </c>
      <c r="Q68" s="128" t="s">
        <v>3176</v>
      </c>
      <c r="R68" s="128" t="s">
        <v>2630</v>
      </c>
      <c r="S68" s="127" t="s">
        <v>2628</v>
      </c>
      <c r="T68" s="128" t="s">
        <v>3176</v>
      </c>
      <c r="U68" s="128" t="s">
        <v>2630</v>
      </c>
      <c r="V68" s="127" t="s">
        <v>2628</v>
      </c>
      <c r="W68" s="128" t="s">
        <v>3176</v>
      </c>
      <c r="X68" s="128" t="s">
        <v>2630</v>
      </c>
      <c r="Y68" s="127" t="s">
        <v>2628</v>
      </c>
      <c r="Z68" s="128" t="s">
        <v>3176</v>
      </c>
      <c r="AA68" s="128" t="s">
        <v>2630</v>
      </c>
      <c r="AB68" s="127" t="s">
        <v>2628</v>
      </c>
      <c r="AC68" s="128" t="s">
        <v>3176</v>
      </c>
      <c r="AD68" s="128" t="s">
        <v>2630</v>
      </c>
      <c r="AG68" t="s">
        <v>2586</v>
      </c>
      <c r="AI68"/>
      <c r="AJ68"/>
      <c r="AK68" t="s">
        <v>2590</v>
      </c>
      <c r="AL68" t="s">
        <v>3163</v>
      </c>
      <c r="AM68" t="s">
        <v>4564</v>
      </c>
      <c r="AN68" t="s">
        <v>2590</v>
      </c>
      <c r="AO68" t="s">
        <v>3163</v>
      </c>
      <c r="AP68" t="s">
        <v>4564</v>
      </c>
      <c r="AQ68" t="s">
        <v>2590</v>
      </c>
      <c r="AR68" t="s">
        <v>3163</v>
      </c>
      <c r="AS68" t="s">
        <v>4564</v>
      </c>
      <c r="AT68" t="s">
        <v>2590</v>
      </c>
      <c r="AU68" t="s">
        <v>3163</v>
      </c>
      <c r="AV68" t="s">
        <v>4564</v>
      </c>
      <c r="AW68" t="s">
        <v>2590</v>
      </c>
      <c r="AX68" t="s">
        <v>3163</v>
      </c>
      <c r="AY68" t="s">
        <v>4564</v>
      </c>
    </row>
    <row r="69" spans="1:51" ht="15" customHeight="1">
      <c r="A69" s="49"/>
      <c r="B69" s="38"/>
      <c r="C69" s="97" t="s">
        <v>2516</v>
      </c>
      <c r="D69" s="796" t="str">
        <f>IF(CNSIPEE_2024_M2_Secc1!D42="","",CNSIPEE_2024_M2_Secc1!D42)</f>
        <v/>
      </c>
      <c r="E69" s="796"/>
      <c r="F69" s="796"/>
      <c r="G69" s="796"/>
      <c r="H69" s="796"/>
      <c r="I69" s="796"/>
      <c r="J69" s="796"/>
      <c r="K69" s="796"/>
      <c r="L69" s="796"/>
      <c r="M69" s="796"/>
      <c r="N69" s="796"/>
      <c r="O69" s="796"/>
      <c r="P69" s="100"/>
      <c r="Q69" s="100"/>
      <c r="R69" s="100"/>
      <c r="S69" s="100"/>
      <c r="T69" s="100"/>
      <c r="U69" s="100"/>
      <c r="V69" s="100"/>
      <c r="W69" s="100"/>
      <c r="X69" s="100"/>
      <c r="Y69" s="100"/>
      <c r="Z69" s="100"/>
      <c r="AA69" s="100"/>
      <c r="AB69" s="100"/>
      <c r="AC69" s="100"/>
      <c r="AD69" s="116"/>
      <c r="AG69">
        <f>IF(OR(COUNTBLANK(D69:AD69)=27,COUNTBLANK(D69:AD69)=11),0,1)</f>
        <v>0</v>
      </c>
      <c r="AI69"/>
      <c r="AJ69"/>
      <c r="AK69">
        <f t="shared" ref="AK69:AK76" si="4">COUNTIF(Q69:R69,"NS")</f>
        <v>0</v>
      </c>
      <c r="AL69">
        <f t="shared" ref="AL69:AL76" si="5">SUM(Q69:R69)</f>
        <v>0</v>
      </c>
      <c r="AM69">
        <f>IF(COUNTIF(P69:R69,"NA")=3,0,IF(COUNTA(P69:R69)=0,0,IF(OR(AND(P69=0,AK69&gt;0),AND(P69="ns",AL69&gt;0),AND(P69="ns",AK69=0,AL69=0)),1,IF(OR(AND(P69&gt;0,AK69=2),AND(P69="ns",AK69=2),AND(P69="ns",AL69=0,AK69&gt;0),P69=AL69),0,1))))</f>
        <v>0</v>
      </c>
      <c r="AN69">
        <f t="shared" ref="AN69:AN76" si="6">COUNTIF(T69:U69,"NS")</f>
        <v>0</v>
      </c>
      <c r="AO69">
        <f t="shared" ref="AO69:AO76" si="7">SUM(T69:U69)</f>
        <v>0</v>
      </c>
      <c r="AP69">
        <f>IF(COUNTIF(S69:U69,"NA")=3,0,IF(COUNTA(S69:U69)=0,0,IF(OR(AND(S69=0,AN69&gt;0),AND(S69="ns",AO69&gt;0),AND(S69="ns",AN69=0,AO69=0)),1,IF(OR(AND(S69&gt;0,AN69=2),AND(S69="ns",AN69=2),AND(S69="ns",AO69=0,AN69&gt;0),S69=AO69),0,1))))</f>
        <v>0</v>
      </c>
      <c r="AQ69">
        <f t="shared" ref="AQ69:AQ76" si="8">COUNTIF(W69:X69,"NS")</f>
        <v>0</v>
      </c>
      <c r="AR69">
        <f t="shared" ref="AR69:AR76" si="9">SUM(W69:X69)</f>
        <v>0</v>
      </c>
      <c r="AS69">
        <f>IF(COUNTIF(V69:X69,"NA")=3,0,IF(COUNTA(V69:X69)=0,0,IF(OR(AND(V69=0,AQ69&gt;0),AND(V69="ns",AR69&gt;0),AND(V69="ns",AQ69=0,AR69=0)),1,IF(OR(AND(V69&gt;0,AQ69=2),AND(V69="ns",AQ69=2),AND(V69="ns",AR69=0,AQ69&gt;0),V69=AR69),0,1))))</f>
        <v>0</v>
      </c>
      <c r="AT69">
        <f t="shared" ref="AT69:AT76" si="10">COUNTIF(Z69:AA69,"NS")</f>
        <v>0</v>
      </c>
      <c r="AU69">
        <f t="shared" ref="AU69:AU76" si="11">SUM(Z69:AA69)</f>
        <v>0</v>
      </c>
      <c r="AV69">
        <f>IF(COUNTIF(Y69:AA69,"NA")=3,0,IF(COUNTA(Y69:AA69)=0,0,IF(OR(AND(Y69=0,AT69&gt;0),AND(Y69="ns",AU69&gt;0),AND(Y69="ns",AT69=0,AU69=0)),1,IF(OR(AND(Y69&gt;0,AT69=2),AND(Y69="ns",AT69=2),AND(Y69="ns",AU69=0,AT69&gt;0),Y69=AU69),0,1))))</f>
        <v>0</v>
      </c>
      <c r="AW69">
        <f t="shared" ref="AW69:AW76" si="12">COUNTIF(AC69:AD69,"NS")</f>
        <v>0</v>
      </c>
      <c r="AX69">
        <f t="shared" ref="AX69:AX76" si="13">SUM(AC69:AD69)</f>
        <v>0</v>
      </c>
      <c r="AY69">
        <f>IF(COUNTIF(AB69:AD69,"NA")=3,0,IF(COUNTA(AB69:AD69)=0,0,IF(OR(AND(AB69=0,AW69&gt;0),AND(AB69="ns",AX69&gt;0),AND(AB69="ns",AW69=0,AX69=0)),1,IF(OR(AND(AB69&gt;0,AW69=2),AND(AB69="ns",AW69=2),AND(AB69="ns",AX69=0,AW69&gt;0),AB69=AX69),0,1))))</f>
        <v>0</v>
      </c>
    </row>
    <row r="70" spans="1:51" ht="15" customHeight="1">
      <c r="A70" s="49"/>
      <c r="B70" s="38"/>
      <c r="C70" s="98" t="s">
        <v>2517</v>
      </c>
      <c r="D70" s="796" t="str">
        <f>IF(CNSIPEE_2024_M2_Secc1!D43="","",CNSIPEE_2024_M2_Secc1!D43)</f>
        <v/>
      </c>
      <c r="E70" s="796"/>
      <c r="F70" s="796"/>
      <c r="G70" s="796"/>
      <c r="H70" s="796"/>
      <c r="I70" s="796"/>
      <c r="J70" s="796"/>
      <c r="K70" s="796"/>
      <c r="L70" s="796"/>
      <c r="M70" s="796"/>
      <c r="N70" s="796"/>
      <c r="O70" s="796"/>
      <c r="P70" s="100"/>
      <c r="Q70" s="100"/>
      <c r="R70" s="100"/>
      <c r="S70" s="100"/>
      <c r="T70" s="100"/>
      <c r="U70" s="100"/>
      <c r="V70" s="100"/>
      <c r="W70" s="100"/>
      <c r="X70" s="100"/>
      <c r="Y70" s="100"/>
      <c r="Z70" s="100"/>
      <c r="AA70" s="100"/>
      <c r="AB70" s="100"/>
      <c r="AC70" s="100"/>
      <c r="AD70" s="116"/>
      <c r="AG70">
        <f t="shared" ref="AG70:AG76" si="14">IF(OR(COUNTBLANK(D70:AD70)=27,COUNTBLANK(D70:AD70)=11),0,1)</f>
        <v>0</v>
      </c>
      <c r="AI70"/>
      <c r="AJ70"/>
      <c r="AK70">
        <f t="shared" si="4"/>
        <v>0</v>
      </c>
      <c r="AL70">
        <f t="shared" si="5"/>
        <v>0</v>
      </c>
      <c r="AM70">
        <f t="shared" ref="AM70:AM76" si="15">IF(COUNTIF(P70:R70,"NA")=3,0,IF(COUNTA(P70:R70)=0,0,IF(OR(AND(P70=0,AK70&gt;0),AND(P70="ns",AL70&gt;0),AND(P70="ns",AK70=0,AL70=0)),1,IF(OR(AND(P70&gt;0,AK70=2),AND(P70="ns",AK70=2),AND(P70="ns",AL70=0,AK70&gt;0),P70=AL70),0,1))))</f>
        <v>0</v>
      </c>
      <c r="AN70">
        <f t="shared" si="6"/>
        <v>0</v>
      </c>
      <c r="AO70">
        <f t="shared" si="7"/>
        <v>0</v>
      </c>
      <c r="AP70">
        <f t="shared" ref="AP70:AP76" si="16">IF(COUNTIF(S70:U70,"NA")=3,0,IF(COUNTA(S70:U70)=0,0,IF(OR(AND(S70=0,AN70&gt;0),AND(S70="ns",AO70&gt;0),AND(S70="ns",AN70=0,AO70=0)),1,IF(OR(AND(S70&gt;0,AN70=2),AND(S70="ns",AN70=2),AND(S70="ns",AO70=0,AN70&gt;0),S70=AO70),0,1))))</f>
        <v>0</v>
      </c>
      <c r="AQ70">
        <f t="shared" si="8"/>
        <v>0</v>
      </c>
      <c r="AR70">
        <f t="shared" si="9"/>
        <v>0</v>
      </c>
      <c r="AS70">
        <f t="shared" ref="AS70:AS76" si="17">IF(COUNTIF(V70:X70,"NA")=3,0,IF(COUNTA(V70:X70)=0,0,IF(OR(AND(V70=0,AQ70&gt;0),AND(V70="ns",AR70&gt;0),AND(V70="ns",AQ70=0,AR70=0)),1,IF(OR(AND(V70&gt;0,AQ70=2),AND(V70="ns",AQ70=2),AND(V70="ns",AR70=0,AQ70&gt;0),V70=AR70),0,1))))</f>
        <v>0</v>
      </c>
      <c r="AT70">
        <f t="shared" si="10"/>
        <v>0</v>
      </c>
      <c r="AU70">
        <f t="shared" si="11"/>
        <v>0</v>
      </c>
      <c r="AV70">
        <f t="shared" ref="AV70:AV76" si="18">IF(COUNTIF(Y70:AA70,"NA")=3,0,IF(COUNTA(Y70:AA70)=0,0,IF(OR(AND(Y70=0,AT70&gt;0),AND(Y70="ns",AU70&gt;0),AND(Y70="ns",AT70=0,AU70=0)),1,IF(OR(AND(Y70&gt;0,AT70=2),AND(Y70="ns",AT70=2),AND(Y70="ns",AU70=0,AT70&gt;0),Y70=AU70),0,1))))</f>
        <v>0</v>
      </c>
      <c r="AW70">
        <f t="shared" si="12"/>
        <v>0</v>
      </c>
      <c r="AX70">
        <f t="shared" si="13"/>
        <v>0</v>
      </c>
      <c r="AY70">
        <f t="shared" ref="AY70:AY76" si="19">IF(COUNTIF(AB70:AD70,"NA")=3,0,IF(COUNTA(AB70:AD70)=0,0,IF(OR(AND(AB70=0,AW70&gt;0),AND(AB70="ns",AX70&gt;0),AND(AB70="ns",AW70=0,AX70=0)),1,IF(OR(AND(AB70&gt;0,AW70=2),AND(AB70="ns",AW70=2),AND(AB70="ns",AX70=0,AW70&gt;0),AB70=AX70),0,1))))</f>
        <v>0</v>
      </c>
    </row>
    <row r="71" spans="1:51" ht="15" customHeight="1">
      <c r="A71" s="110"/>
      <c r="B71" s="57"/>
      <c r="C71" s="98" t="s">
        <v>2518</v>
      </c>
      <c r="D71" s="796" t="str">
        <f>IF(CNSIPEE_2024_M2_Secc1!D44="","",CNSIPEE_2024_M2_Secc1!D44)</f>
        <v/>
      </c>
      <c r="E71" s="796"/>
      <c r="F71" s="796"/>
      <c r="G71" s="796"/>
      <c r="H71" s="796"/>
      <c r="I71" s="796"/>
      <c r="J71" s="796"/>
      <c r="K71" s="796"/>
      <c r="L71" s="796"/>
      <c r="M71" s="796"/>
      <c r="N71" s="796"/>
      <c r="O71" s="796"/>
      <c r="P71" s="100"/>
      <c r="Q71" s="100"/>
      <c r="R71" s="100"/>
      <c r="S71" s="100"/>
      <c r="T71" s="100"/>
      <c r="U71" s="100"/>
      <c r="V71" s="100"/>
      <c r="W71" s="100"/>
      <c r="X71" s="100"/>
      <c r="Y71" s="100"/>
      <c r="Z71" s="100"/>
      <c r="AA71" s="100"/>
      <c r="AB71" s="100"/>
      <c r="AC71" s="100"/>
      <c r="AD71" s="116"/>
      <c r="AG71">
        <f t="shared" si="14"/>
        <v>0</v>
      </c>
      <c r="AI71"/>
      <c r="AJ71"/>
      <c r="AK71">
        <f t="shared" si="4"/>
        <v>0</v>
      </c>
      <c r="AL71">
        <f t="shared" si="5"/>
        <v>0</v>
      </c>
      <c r="AM71">
        <f t="shared" si="15"/>
        <v>0</v>
      </c>
      <c r="AN71">
        <f t="shared" si="6"/>
        <v>0</v>
      </c>
      <c r="AO71">
        <f t="shared" si="7"/>
        <v>0</v>
      </c>
      <c r="AP71">
        <f t="shared" si="16"/>
        <v>0</v>
      </c>
      <c r="AQ71">
        <f t="shared" si="8"/>
        <v>0</v>
      </c>
      <c r="AR71">
        <f t="shared" si="9"/>
        <v>0</v>
      </c>
      <c r="AS71">
        <f t="shared" si="17"/>
        <v>0</v>
      </c>
      <c r="AT71">
        <f t="shared" si="10"/>
        <v>0</v>
      </c>
      <c r="AU71">
        <f t="shared" si="11"/>
        <v>0</v>
      </c>
      <c r="AV71">
        <f t="shared" si="18"/>
        <v>0</v>
      </c>
      <c r="AW71">
        <f t="shared" si="12"/>
        <v>0</v>
      </c>
      <c r="AX71">
        <f t="shared" si="13"/>
        <v>0</v>
      </c>
      <c r="AY71">
        <f t="shared" si="19"/>
        <v>0</v>
      </c>
    </row>
    <row r="72" spans="1:51" ht="15" customHeight="1">
      <c r="A72" s="110"/>
      <c r="B72" s="57"/>
      <c r="C72" s="98" t="s">
        <v>2519</v>
      </c>
      <c r="D72" s="796" t="str">
        <f>IF(CNSIPEE_2024_M2_Secc1!D45="","",CNSIPEE_2024_M2_Secc1!D45)</f>
        <v/>
      </c>
      <c r="E72" s="796"/>
      <c r="F72" s="796"/>
      <c r="G72" s="796"/>
      <c r="H72" s="796"/>
      <c r="I72" s="796"/>
      <c r="J72" s="796"/>
      <c r="K72" s="796"/>
      <c r="L72" s="796"/>
      <c r="M72" s="796"/>
      <c r="N72" s="796"/>
      <c r="O72" s="796"/>
      <c r="P72" s="100"/>
      <c r="Q72" s="100"/>
      <c r="R72" s="100"/>
      <c r="S72" s="100"/>
      <c r="T72" s="100"/>
      <c r="U72" s="100"/>
      <c r="V72" s="100"/>
      <c r="W72" s="100"/>
      <c r="X72" s="100"/>
      <c r="Y72" s="100"/>
      <c r="Z72" s="100"/>
      <c r="AA72" s="100"/>
      <c r="AB72" s="100"/>
      <c r="AC72" s="100"/>
      <c r="AD72" s="116"/>
      <c r="AG72">
        <f t="shared" si="14"/>
        <v>0</v>
      </c>
      <c r="AI72"/>
      <c r="AJ72"/>
      <c r="AK72">
        <f t="shared" si="4"/>
        <v>0</v>
      </c>
      <c r="AL72">
        <f t="shared" si="5"/>
        <v>0</v>
      </c>
      <c r="AM72">
        <f t="shared" si="15"/>
        <v>0</v>
      </c>
      <c r="AN72">
        <f t="shared" si="6"/>
        <v>0</v>
      </c>
      <c r="AO72">
        <f t="shared" si="7"/>
        <v>0</v>
      </c>
      <c r="AP72">
        <f t="shared" si="16"/>
        <v>0</v>
      </c>
      <c r="AQ72">
        <f t="shared" si="8"/>
        <v>0</v>
      </c>
      <c r="AR72">
        <f t="shared" si="9"/>
        <v>0</v>
      </c>
      <c r="AS72">
        <f t="shared" si="17"/>
        <v>0</v>
      </c>
      <c r="AT72">
        <f t="shared" si="10"/>
        <v>0</v>
      </c>
      <c r="AU72">
        <f t="shared" si="11"/>
        <v>0</v>
      </c>
      <c r="AV72">
        <f t="shared" si="18"/>
        <v>0</v>
      </c>
      <c r="AW72">
        <f t="shared" si="12"/>
        <v>0</v>
      </c>
      <c r="AX72">
        <f t="shared" si="13"/>
        <v>0</v>
      </c>
      <c r="AY72">
        <f t="shared" si="19"/>
        <v>0</v>
      </c>
    </row>
    <row r="73" spans="1:51" ht="15" customHeight="1">
      <c r="A73" s="110"/>
      <c r="B73" s="57"/>
      <c r="C73" s="98" t="s">
        <v>2520</v>
      </c>
      <c r="D73" s="796" t="str">
        <f>IF(CNSIPEE_2024_M2_Secc1!D46="","",CNSIPEE_2024_M2_Secc1!D46)</f>
        <v/>
      </c>
      <c r="E73" s="796"/>
      <c r="F73" s="796"/>
      <c r="G73" s="796"/>
      <c r="H73" s="796"/>
      <c r="I73" s="796"/>
      <c r="J73" s="796"/>
      <c r="K73" s="796"/>
      <c r="L73" s="796"/>
      <c r="M73" s="796"/>
      <c r="N73" s="796"/>
      <c r="O73" s="796"/>
      <c r="P73" s="100"/>
      <c r="Q73" s="100"/>
      <c r="R73" s="100"/>
      <c r="S73" s="100"/>
      <c r="T73" s="100"/>
      <c r="U73" s="100"/>
      <c r="V73" s="100"/>
      <c r="W73" s="100"/>
      <c r="X73" s="100"/>
      <c r="Y73" s="100"/>
      <c r="Z73" s="100"/>
      <c r="AA73" s="100"/>
      <c r="AB73" s="100"/>
      <c r="AC73" s="100"/>
      <c r="AD73" s="116"/>
      <c r="AG73">
        <f t="shared" si="14"/>
        <v>0</v>
      </c>
      <c r="AI73"/>
      <c r="AJ73"/>
      <c r="AK73">
        <f t="shared" si="4"/>
        <v>0</v>
      </c>
      <c r="AL73">
        <f t="shared" si="5"/>
        <v>0</v>
      </c>
      <c r="AM73">
        <f t="shared" si="15"/>
        <v>0</v>
      </c>
      <c r="AN73">
        <f t="shared" si="6"/>
        <v>0</v>
      </c>
      <c r="AO73">
        <f t="shared" si="7"/>
        <v>0</v>
      </c>
      <c r="AP73">
        <f t="shared" si="16"/>
        <v>0</v>
      </c>
      <c r="AQ73">
        <f t="shared" si="8"/>
        <v>0</v>
      </c>
      <c r="AR73">
        <f t="shared" si="9"/>
        <v>0</v>
      </c>
      <c r="AS73">
        <f t="shared" si="17"/>
        <v>0</v>
      </c>
      <c r="AT73">
        <f t="shared" si="10"/>
        <v>0</v>
      </c>
      <c r="AU73">
        <f t="shared" si="11"/>
        <v>0</v>
      </c>
      <c r="AV73">
        <f t="shared" si="18"/>
        <v>0</v>
      </c>
      <c r="AW73">
        <f t="shared" si="12"/>
        <v>0</v>
      </c>
      <c r="AX73">
        <f t="shared" si="13"/>
        <v>0</v>
      </c>
      <c r="AY73">
        <f t="shared" si="19"/>
        <v>0</v>
      </c>
    </row>
    <row r="74" spans="1:51" ht="15" customHeight="1">
      <c r="A74" s="110"/>
      <c r="B74" s="57"/>
      <c r="C74" s="98" t="s">
        <v>2521</v>
      </c>
      <c r="D74" s="796" t="str">
        <f>IF(CNSIPEE_2024_M2_Secc1!D47="","",CNSIPEE_2024_M2_Secc1!D47)</f>
        <v/>
      </c>
      <c r="E74" s="796"/>
      <c r="F74" s="796"/>
      <c r="G74" s="796"/>
      <c r="H74" s="796"/>
      <c r="I74" s="796"/>
      <c r="J74" s="796"/>
      <c r="K74" s="796"/>
      <c r="L74" s="796"/>
      <c r="M74" s="796"/>
      <c r="N74" s="796"/>
      <c r="O74" s="796"/>
      <c r="P74" s="100"/>
      <c r="Q74" s="100"/>
      <c r="R74" s="100"/>
      <c r="S74" s="100"/>
      <c r="T74" s="100"/>
      <c r="U74" s="100"/>
      <c r="V74" s="100"/>
      <c r="W74" s="100"/>
      <c r="X74" s="100"/>
      <c r="Y74" s="100"/>
      <c r="Z74" s="100"/>
      <c r="AA74" s="100"/>
      <c r="AB74" s="100"/>
      <c r="AC74" s="100"/>
      <c r="AD74" s="116"/>
      <c r="AG74">
        <f t="shared" si="14"/>
        <v>0</v>
      </c>
      <c r="AI74"/>
      <c r="AJ74"/>
      <c r="AK74">
        <f t="shared" si="4"/>
        <v>0</v>
      </c>
      <c r="AL74">
        <f t="shared" si="5"/>
        <v>0</v>
      </c>
      <c r="AM74">
        <f t="shared" si="15"/>
        <v>0</v>
      </c>
      <c r="AN74">
        <f t="shared" si="6"/>
        <v>0</v>
      </c>
      <c r="AO74">
        <f t="shared" si="7"/>
        <v>0</v>
      </c>
      <c r="AP74">
        <f t="shared" si="16"/>
        <v>0</v>
      </c>
      <c r="AQ74">
        <f t="shared" si="8"/>
        <v>0</v>
      </c>
      <c r="AR74">
        <f t="shared" si="9"/>
        <v>0</v>
      </c>
      <c r="AS74">
        <f t="shared" si="17"/>
        <v>0</v>
      </c>
      <c r="AT74">
        <f t="shared" si="10"/>
        <v>0</v>
      </c>
      <c r="AU74">
        <f t="shared" si="11"/>
        <v>0</v>
      </c>
      <c r="AV74">
        <f t="shared" si="18"/>
        <v>0</v>
      </c>
      <c r="AW74">
        <f t="shared" si="12"/>
        <v>0</v>
      </c>
      <c r="AX74">
        <f t="shared" si="13"/>
        <v>0</v>
      </c>
      <c r="AY74">
        <f t="shared" si="19"/>
        <v>0</v>
      </c>
    </row>
    <row r="75" spans="1:51" ht="15" customHeight="1">
      <c r="A75" s="110"/>
      <c r="B75" s="57"/>
      <c r="C75" s="98" t="s">
        <v>2522</v>
      </c>
      <c r="D75" s="796" t="str">
        <f>IF(CNSIPEE_2024_M2_Secc1!D48="","",CNSIPEE_2024_M2_Secc1!D48)</f>
        <v/>
      </c>
      <c r="E75" s="796"/>
      <c r="F75" s="796"/>
      <c r="G75" s="796"/>
      <c r="H75" s="796"/>
      <c r="I75" s="796"/>
      <c r="J75" s="796"/>
      <c r="K75" s="796"/>
      <c r="L75" s="796"/>
      <c r="M75" s="796"/>
      <c r="N75" s="796"/>
      <c r="O75" s="796"/>
      <c r="P75" s="100"/>
      <c r="Q75" s="100"/>
      <c r="R75" s="100"/>
      <c r="S75" s="100"/>
      <c r="T75" s="100"/>
      <c r="U75" s="100"/>
      <c r="V75" s="100"/>
      <c r="W75" s="100"/>
      <c r="X75" s="100"/>
      <c r="Y75" s="100"/>
      <c r="Z75" s="100"/>
      <c r="AA75" s="100"/>
      <c r="AB75" s="100"/>
      <c r="AC75" s="100"/>
      <c r="AD75" s="116"/>
      <c r="AG75">
        <f t="shared" si="14"/>
        <v>0</v>
      </c>
      <c r="AI75"/>
      <c r="AJ75"/>
      <c r="AK75">
        <f t="shared" si="4"/>
        <v>0</v>
      </c>
      <c r="AL75">
        <f t="shared" si="5"/>
        <v>0</v>
      </c>
      <c r="AM75">
        <f t="shared" si="15"/>
        <v>0</v>
      </c>
      <c r="AN75">
        <f t="shared" si="6"/>
        <v>0</v>
      </c>
      <c r="AO75">
        <f t="shared" si="7"/>
        <v>0</v>
      </c>
      <c r="AP75">
        <f t="shared" si="16"/>
        <v>0</v>
      </c>
      <c r="AQ75">
        <f t="shared" si="8"/>
        <v>0</v>
      </c>
      <c r="AR75">
        <f t="shared" si="9"/>
        <v>0</v>
      </c>
      <c r="AS75">
        <f t="shared" si="17"/>
        <v>0</v>
      </c>
      <c r="AT75">
        <f t="shared" si="10"/>
        <v>0</v>
      </c>
      <c r="AU75">
        <f t="shared" si="11"/>
        <v>0</v>
      </c>
      <c r="AV75">
        <f t="shared" si="18"/>
        <v>0</v>
      </c>
      <c r="AW75">
        <f t="shared" si="12"/>
        <v>0</v>
      </c>
      <c r="AX75">
        <f t="shared" si="13"/>
        <v>0</v>
      </c>
      <c r="AY75">
        <f t="shared" si="19"/>
        <v>0</v>
      </c>
    </row>
    <row r="76" spans="1:51" ht="15" customHeight="1">
      <c r="A76" s="110"/>
      <c r="B76" s="57"/>
      <c r="C76" s="98" t="s">
        <v>2523</v>
      </c>
      <c r="D76" s="796" t="str">
        <f>IF(CNSIPEE_2024_M2_Secc1!D49="","",CNSIPEE_2024_M2_Secc1!D49)</f>
        <v/>
      </c>
      <c r="E76" s="796"/>
      <c r="F76" s="796"/>
      <c r="G76" s="796"/>
      <c r="H76" s="796"/>
      <c r="I76" s="796"/>
      <c r="J76" s="796"/>
      <c r="K76" s="796"/>
      <c r="L76" s="796"/>
      <c r="M76" s="796"/>
      <c r="N76" s="796"/>
      <c r="O76" s="796"/>
      <c r="P76" s="100"/>
      <c r="Q76" s="100"/>
      <c r="R76" s="100"/>
      <c r="S76" s="100"/>
      <c r="T76" s="100"/>
      <c r="U76" s="100"/>
      <c r="V76" s="100"/>
      <c r="W76" s="100"/>
      <c r="X76" s="100"/>
      <c r="Y76" s="100"/>
      <c r="Z76" s="100"/>
      <c r="AA76" s="100"/>
      <c r="AB76" s="100"/>
      <c r="AC76" s="100"/>
      <c r="AD76" s="116"/>
      <c r="AG76">
        <f t="shared" si="14"/>
        <v>0</v>
      </c>
      <c r="AI76"/>
      <c r="AJ76"/>
      <c r="AK76">
        <f t="shared" si="4"/>
        <v>0</v>
      </c>
      <c r="AL76">
        <f t="shared" si="5"/>
        <v>0</v>
      </c>
      <c r="AM76">
        <f t="shared" si="15"/>
        <v>0</v>
      </c>
      <c r="AN76">
        <f t="shared" si="6"/>
        <v>0</v>
      </c>
      <c r="AO76">
        <f t="shared" si="7"/>
        <v>0</v>
      </c>
      <c r="AP76">
        <f t="shared" si="16"/>
        <v>0</v>
      </c>
      <c r="AQ76">
        <f t="shared" si="8"/>
        <v>0</v>
      </c>
      <c r="AR76">
        <f t="shared" si="9"/>
        <v>0</v>
      </c>
      <c r="AS76">
        <f t="shared" si="17"/>
        <v>0</v>
      </c>
      <c r="AT76">
        <f t="shared" si="10"/>
        <v>0</v>
      </c>
      <c r="AU76">
        <f t="shared" si="11"/>
        <v>0</v>
      </c>
      <c r="AV76">
        <f t="shared" si="18"/>
        <v>0</v>
      </c>
      <c r="AW76">
        <f t="shared" si="12"/>
        <v>0</v>
      </c>
      <c r="AX76">
        <f t="shared" si="13"/>
        <v>0</v>
      </c>
      <c r="AY76">
        <f t="shared" si="19"/>
        <v>0</v>
      </c>
    </row>
    <row r="77" spans="1:51" ht="15" customHeight="1">
      <c r="A77" s="49"/>
      <c r="B77" s="38"/>
      <c r="C77" s="38"/>
      <c r="D77" s="38"/>
      <c r="E77" s="38"/>
      <c r="F77" s="38"/>
      <c r="G77" s="38"/>
      <c r="H77" s="38"/>
      <c r="I77" s="38"/>
      <c r="J77" s="38"/>
      <c r="K77" s="38"/>
      <c r="L77" s="117"/>
      <c r="M77" s="51"/>
      <c r="O77" s="99" t="s">
        <v>2649</v>
      </c>
      <c r="P77" s="124">
        <f t="shared" ref="P77:AD77" si="20">IF(AND(SUM(P69:P76)=0,COUNTIF(P69:P76,"NS")&gt;0),"NS",IF(AND(SUM(P69:P76)=0,COUNTIF(P69:P76,0)&gt;0),0,IF(AND(SUM(P69:P76)=0,COUNTIF(P69:P76,"NA")&gt;0),"NA",SUM(P69:P76))))</f>
        <v>0</v>
      </c>
      <c r="Q77" s="124">
        <f t="shared" si="20"/>
        <v>0</v>
      </c>
      <c r="R77" s="124">
        <f t="shared" si="20"/>
        <v>0</v>
      </c>
      <c r="S77" s="124">
        <f t="shared" si="20"/>
        <v>0</v>
      </c>
      <c r="T77" s="124">
        <f t="shared" si="20"/>
        <v>0</v>
      </c>
      <c r="U77" s="124">
        <f t="shared" si="20"/>
        <v>0</v>
      </c>
      <c r="V77" s="124">
        <f t="shared" si="20"/>
        <v>0</v>
      </c>
      <c r="W77" s="124">
        <f t="shared" si="20"/>
        <v>0</v>
      </c>
      <c r="X77" s="124">
        <f t="shared" si="20"/>
        <v>0</v>
      </c>
      <c r="Y77" s="124">
        <f t="shared" si="20"/>
        <v>0</v>
      </c>
      <c r="Z77" s="124">
        <f t="shared" si="20"/>
        <v>0</v>
      </c>
      <c r="AA77" s="124">
        <f t="shared" si="20"/>
        <v>0</v>
      </c>
      <c r="AB77" s="124">
        <f t="shared" si="20"/>
        <v>0</v>
      </c>
      <c r="AC77" s="124">
        <f t="shared" si="20"/>
        <v>0</v>
      </c>
      <c r="AD77" s="124">
        <f t="shared" si="20"/>
        <v>0</v>
      </c>
      <c r="AG77" s="506">
        <f>SUM(AG69:AG76)</f>
        <v>0</v>
      </c>
      <c r="AJ77"/>
      <c r="AK77">
        <f>SUM(AK69:AK76)</f>
        <v>0</v>
      </c>
      <c r="AM77">
        <f>SUM(AM69:AM76)</f>
        <v>0</v>
      </c>
      <c r="AN77">
        <f>SUM(AN69:AN76)</f>
        <v>0</v>
      </c>
      <c r="AP77">
        <f>SUM(AP69:AP76)</f>
        <v>0</v>
      </c>
      <c r="AQ77">
        <f>SUM(AQ69:AQ76)</f>
        <v>0</v>
      </c>
      <c r="AS77">
        <f>SUM(AS69:AS76)</f>
        <v>0</v>
      </c>
      <c r="AT77">
        <f>SUM(AT69:AT76)</f>
        <v>0</v>
      </c>
      <c r="AV77">
        <f>SUM(AV69:AV76)</f>
        <v>0</v>
      </c>
      <c r="AW77">
        <f>SUM(AW69:AW76)</f>
        <v>0</v>
      </c>
      <c r="AY77">
        <f>SUM(AY69:AY76)</f>
        <v>0</v>
      </c>
    </row>
    <row r="78" spans="1:51" ht="15" customHeight="1">
      <c r="A78" s="108"/>
      <c r="B78" s="38"/>
      <c r="C78" s="38"/>
      <c r="D78" s="38"/>
      <c r="E78" s="38"/>
      <c r="F78" s="38"/>
      <c r="G78" s="38"/>
      <c r="H78" s="38"/>
      <c r="I78" s="38"/>
      <c r="J78" s="38"/>
      <c r="K78" s="38"/>
      <c r="L78" s="117"/>
      <c r="M78" s="51"/>
      <c r="N78" s="117"/>
      <c r="O78" s="84"/>
      <c r="P78" s="84"/>
      <c r="Q78" s="104"/>
      <c r="R78" s="104"/>
      <c r="S78" s="84"/>
      <c r="T78" s="84"/>
      <c r="U78" s="104"/>
      <c r="V78" s="104"/>
      <c r="W78" s="84"/>
      <c r="X78" s="84"/>
      <c r="Y78" s="104"/>
      <c r="Z78" s="104"/>
      <c r="AA78" s="84"/>
      <c r="AB78" s="84"/>
      <c r="AC78" s="104"/>
      <c r="AD78" s="104"/>
      <c r="AM78" s="506">
        <f>SUM(AM77,AP77,AS77,AV77,AY77)</f>
        <v>0</v>
      </c>
    </row>
    <row r="79" spans="1:51" ht="24" customHeight="1">
      <c r="A79" s="108"/>
      <c r="B79" s="38"/>
      <c r="C79" s="754" t="s">
        <v>2611</v>
      </c>
      <c r="D79" s="754"/>
      <c r="E79" s="754"/>
      <c r="F79" s="754"/>
      <c r="G79" s="754"/>
      <c r="H79" s="754"/>
      <c r="I79" s="754"/>
      <c r="J79" s="754"/>
      <c r="K79" s="754"/>
      <c r="L79" s="754"/>
      <c r="M79" s="754"/>
      <c r="N79" s="754"/>
      <c r="O79" s="754"/>
      <c r="P79" s="754"/>
      <c r="Q79" s="754"/>
      <c r="R79" s="754"/>
      <c r="S79" s="754"/>
      <c r="T79" s="754"/>
      <c r="U79" s="754"/>
      <c r="V79" s="754"/>
      <c r="W79" s="754"/>
      <c r="X79" s="754"/>
      <c r="Y79" s="754"/>
      <c r="Z79" s="754"/>
      <c r="AA79" s="754"/>
      <c r="AB79" s="754"/>
      <c r="AC79" s="754"/>
      <c r="AD79" s="754"/>
    </row>
    <row r="80" spans="1:51" ht="60" customHeight="1">
      <c r="A80" s="108"/>
      <c r="B80" s="38"/>
      <c r="C80" s="851"/>
      <c r="D80" s="851"/>
      <c r="E80" s="851"/>
      <c r="F80" s="851"/>
      <c r="G80" s="851"/>
      <c r="H80" s="851"/>
      <c r="I80" s="851"/>
      <c r="J80" s="851"/>
      <c r="K80" s="851"/>
      <c r="L80" s="851"/>
      <c r="M80" s="851"/>
      <c r="N80" s="851"/>
      <c r="O80" s="851"/>
      <c r="P80" s="851"/>
      <c r="Q80" s="851"/>
      <c r="R80" s="851"/>
      <c r="S80" s="851"/>
      <c r="T80" s="851"/>
      <c r="U80" s="851"/>
      <c r="V80" s="851"/>
      <c r="W80" s="851"/>
      <c r="X80" s="851"/>
      <c r="Y80" s="851"/>
      <c r="Z80" s="851"/>
      <c r="AA80" s="851"/>
      <c r="AB80" s="851"/>
      <c r="AC80" s="851"/>
      <c r="AD80" s="851"/>
    </row>
    <row r="81" spans="1:49" ht="15" customHeight="1">
      <c r="A81" s="108"/>
      <c r="B81" s="794" t="str">
        <f>IF(AG77=0,"","Favor de ingresar toda la información requerida en la pregunta")</f>
        <v/>
      </c>
      <c r="C81" s="794"/>
      <c r="D81" s="794"/>
      <c r="E81" s="794"/>
      <c r="F81" s="794"/>
      <c r="G81" s="794"/>
      <c r="H81" s="794"/>
      <c r="I81" s="794"/>
      <c r="J81" s="794"/>
      <c r="K81" s="794"/>
      <c r="L81" s="794"/>
      <c r="M81" s="794"/>
      <c r="N81" s="794"/>
      <c r="O81" s="794"/>
      <c r="P81" s="794"/>
      <c r="Q81" s="794"/>
      <c r="R81" s="794"/>
      <c r="S81" s="794"/>
      <c r="T81" s="794"/>
      <c r="U81" s="794"/>
      <c r="V81" s="794"/>
      <c r="W81" s="794"/>
      <c r="X81" s="794"/>
      <c r="Y81" s="794"/>
      <c r="Z81" s="794"/>
      <c r="AA81" s="794"/>
      <c r="AB81" s="794"/>
      <c r="AC81" s="794"/>
      <c r="AD81" s="794"/>
      <c r="AE81" s="794"/>
    </row>
    <row r="82" spans="1:49" ht="15" customHeight="1">
      <c r="A82" s="108"/>
      <c r="B82" s="1087" t="str">
        <f>IF(COUNTIF(P69:AD76,"NS")&lt;&gt;0,"Alerta: debido a que cuenta con registros NS, debe proporcionar una justificación en el area de comentarios al final de la pregunta","")</f>
        <v/>
      </c>
      <c r="C82" s="1087"/>
      <c r="D82" s="1087"/>
      <c r="E82" s="1087"/>
      <c r="F82" s="1087"/>
      <c r="G82" s="1087"/>
      <c r="H82" s="1087"/>
      <c r="I82" s="1087"/>
      <c r="J82" s="1087"/>
      <c r="K82" s="1087"/>
      <c r="L82" s="1087"/>
      <c r="M82" s="1087"/>
      <c r="N82" s="1087"/>
      <c r="O82" s="1087"/>
      <c r="P82" s="1087"/>
      <c r="Q82" s="1087"/>
      <c r="R82" s="1087"/>
      <c r="S82" s="1087"/>
      <c r="T82" s="1087"/>
      <c r="U82" s="1087"/>
      <c r="V82" s="1087"/>
      <c r="W82" s="1087"/>
      <c r="X82" s="1087"/>
      <c r="Y82" s="1087"/>
      <c r="Z82" s="1087"/>
      <c r="AA82" s="1087"/>
      <c r="AB82" s="1087"/>
      <c r="AC82" s="1087"/>
      <c r="AD82" s="1087"/>
      <c r="AE82" s="1087"/>
    </row>
    <row r="83" spans="1:49" ht="15" customHeight="1">
      <c r="A83" s="108"/>
      <c r="B83" s="1003" t="str">
        <f>IF(AM78&gt;0,"Favor de revisar la suma y consistencia de totales y/o subtotales por filas (numéricos y NS)","")</f>
        <v/>
      </c>
      <c r="C83" s="1003"/>
      <c r="D83" s="1003"/>
      <c r="E83" s="1003"/>
      <c r="F83" s="1003"/>
      <c r="G83" s="1003"/>
      <c r="H83" s="1003"/>
      <c r="I83" s="1003"/>
      <c r="J83" s="1003"/>
      <c r="K83" s="1003"/>
      <c r="L83" s="1003"/>
      <c r="M83" s="1003"/>
      <c r="N83" s="1003"/>
      <c r="O83" s="1003"/>
      <c r="P83" s="1003"/>
      <c r="Q83" s="1003"/>
      <c r="R83" s="1003"/>
      <c r="S83" s="1003"/>
      <c r="T83" s="1003"/>
      <c r="U83" s="1003"/>
      <c r="V83" s="1003"/>
      <c r="W83" s="1003"/>
      <c r="X83" s="1003"/>
      <c r="Y83" s="1003"/>
      <c r="Z83" s="1003"/>
      <c r="AA83" s="1003"/>
      <c r="AB83" s="1003"/>
      <c r="AC83" s="1003"/>
      <c r="AD83" s="1003"/>
      <c r="AE83" s="1003"/>
    </row>
    <row r="84" spans="1:49" ht="15" customHeight="1">
      <c r="A84" s="108"/>
      <c r="B84" s="678"/>
      <c r="C84" s="678"/>
      <c r="D84" s="678"/>
      <c r="E84" s="678"/>
      <c r="F84" s="678"/>
      <c r="G84" s="678"/>
      <c r="H84" s="678"/>
      <c r="I84" s="678"/>
      <c r="J84" s="678"/>
      <c r="K84" s="678"/>
      <c r="L84" s="678"/>
      <c r="M84" s="678"/>
      <c r="N84" s="678"/>
      <c r="O84" s="678"/>
      <c r="P84" s="678"/>
      <c r="Q84" s="678"/>
      <c r="R84" s="678"/>
      <c r="S84" s="678"/>
      <c r="T84" s="678"/>
      <c r="U84" s="678"/>
      <c r="V84" s="678"/>
      <c r="W84" s="678"/>
      <c r="X84" s="678"/>
      <c r="Y84" s="678"/>
      <c r="Z84" s="678"/>
      <c r="AA84" s="678"/>
      <c r="AB84" s="678"/>
      <c r="AC84" s="678"/>
      <c r="AD84" s="678"/>
      <c r="AE84" s="678"/>
    </row>
    <row r="85" spans="1:49" ht="15" customHeight="1">
      <c r="A85" s="108"/>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row>
    <row r="86" spans="1:49" ht="15" customHeight="1">
      <c r="A86" s="108"/>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row>
    <row r="87" spans="1:49" ht="24" customHeight="1">
      <c r="A87" s="108" t="s">
        <v>5541</v>
      </c>
      <c r="B87" s="829" t="s">
        <v>5542</v>
      </c>
      <c r="C87" s="829"/>
      <c r="D87" s="829"/>
      <c r="E87" s="829"/>
      <c r="F87" s="829"/>
      <c r="G87" s="829"/>
      <c r="H87" s="829"/>
      <c r="I87" s="829"/>
      <c r="J87" s="829"/>
      <c r="K87" s="829"/>
      <c r="L87" s="829"/>
      <c r="M87" s="829"/>
      <c r="N87" s="829"/>
      <c r="O87" s="829"/>
      <c r="P87" s="829"/>
      <c r="Q87" s="829"/>
      <c r="R87" s="829"/>
      <c r="S87" s="829"/>
      <c r="T87" s="829"/>
      <c r="U87" s="829"/>
      <c r="V87" s="829"/>
      <c r="W87" s="829"/>
      <c r="X87" s="829"/>
      <c r="Y87" s="829"/>
      <c r="Z87" s="829"/>
      <c r="AA87" s="829"/>
      <c r="AB87" s="829"/>
      <c r="AC87" s="829"/>
      <c r="AD87" s="829"/>
    </row>
    <row r="88" spans="1:49" ht="24" customHeight="1">
      <c r="A88" s="94"/>
      <c r="B88" s="190"/>
      <c r="C88" s="754" t="s">
        <v>5543</v>
      </c>
      <c r="D88" s="754"/>
      <c r="E88" s="754"/>
      <c r="F88" s="754"/>
      <c r="G88" s="754"/>
      <c r="H88" s="754"/>
      <c r="I88" s="754"/>
      <c r="J88" s="754"/>
      <c r="K88" s="754"/>
      <c r="L88" s="754"/>
      <c r="M88" s="754"/>
      <c r="N88" s="754"/>
      <c r="O88" s="754"/>
      <c r="P88" s="754"/>
      <c r="Q88" s="754"/>
      <c r="R88" s="754"/>
      <c r="S88" s="754"/>
      <c r="T88" s="754"/>
      <c r="U88" s="754"/>
      <c r="V88" s="754"/>
      <c r="W88" s="754"/>
      <c r="X88" s="754"/>
      <c r="Y88" s="754"/>
      <c r="Z88" s="754"/>
      <c r="AA88" s="754"/>
      <c r="AB88" s="754"/>
      <c r="AC88" s="754"/>
      <c r="AD88" s="754"/>
    </row>
    <row r="89" spans="1:49" ht="36" customHeight="1">
      <c r="A89" s="115"/>
      <c r="B89" s="190"/>
      <c r="C89" s="830" t="s">
        <v>5544</v>
      </c>
      <c r="D89" s="830"/>
      <c r="E89" s="830"/>
      <c r="F89" s="830"/>
      <c r="G89" s="830"/>
      <c r="H89" s="830"/>
      <c r="I89" s="830"/>
      <c r="J89" s="830"/>
      <c r="K89" s="830"/>
      <c r="L89" s="830"/>
      <c r="M89" s="830"/>
      <c r="N89" s="830"/>
      <c r="O89" s="830"/>
      <c r="P89" s="830"/>
      <c r="Q89" s="830"/>
      <c r="R89" s="830"/>
      <c r="S89" s="830"/>
      <c r="T89" s="830"/>
      <c r="U89" s="830"/>
      <c r="V89" s="830"/>
      <c r="W89" s="830"/>
      <c r="X89" s="830"/>
      <c r="Y89" s="830"/>
      <c r="Z89" s="830"/>
      <c r="AA89" s="830"/>
      <c r="AB89" s="830"/>
      <c r="AC89" s="830"/>
      <c r="AD89" s="830"/>
    </row>
    <row r="90" spans="1:49" ht="24" customHeight="1">
      <c r="A90" s="110"/>
      <c r="B90" s="57"/>
      <c r="C90" s="830" t="s">
        <v>5545</v>
      </c>
      <c r="D90" s="830"/>
      <c r="E90" s="830"/>
      <c r="F90" s="830"/>
      <c r="G90" s="830"/>
      <c r="H90" s="830"/>
      <c r="I90" s="830"/>
      <c r="J90" s="830"/>
      <c r="K90" s="830"/>
      <c r="L90" s="830"/>
      <c r="M90" s="830"/>
      <c r="N90" s="830"/>
      <c r="O90" s="830"/>
      <c r="P90" s="830"/>
      <c r="Q90" s="830"/>
      <c r="R90" s="830"/>
      <c r="S90" s="830"/>
      <c r="T90" s="830"/>
      <c r="U90" s="830"/>
      <c r="V90" s="830"/>
      <c r="W90" s="830"/>
      <c r="X90" s="830"/>
      <c r="Y90" s="830"/>
      <c r="Z90" s="830"/>
      <c r="AA90" s="830"/>
      <c r="AB90" s="830"/>
      <c r="AC90" s="830"/>
      <c r="AD90" s="830"/>
    </row>
    <row r="91" spans="1:49" ht="15" customHeight="1">
      <c r="A91" s="186"/>
      <c r="B91" s="57"/>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row>
    <row r="92" spans="1:49" ht="36" customHeight="1">
      <c r="A92" s="108"/>
      <c r="B92" s="38"/>
      <c r="C92" s="797" t="s">
        <v>2581</v>
      </c>
      <c r="D92" s="798"/>
      <c r="E92" s="798"/>
      <c r="F92" s="798"/>
      <c r="G92" s="798"/>
      <c r="H92" s="798"/>
      <c r="I92" s="798"/>
      <c r="J92" s="798"/>
      <c r="K92" s="798"/>
      <c r="L92" s="798"/>
      <c r="M92" s="798"/>
      <c r="N92" s="798"/>
      <c r="O92" s="798"/>
      <c r="P92" s="798"/>
      <c r="Q92" s="798"/>
      <c r="R92" s="799"/>
      <c r="S92" s="739" t="s">
        <v>5546</v>
      </c>
      <c r="T92" s="740"/>
      <c r="U92" s="740"/>
      <c r="V92" s="740"/>
      <c r="W92" s="740"/>
      <c r="X92" s="740"/>
      <c r="Y92" s="740"/>
      <c r="Z92" s="740"/>
      <c r="AA92" s="740"/>
      <c r="AB92" s="740"/>
      <c r="AC92" s="740"/>
      <c r="AD92" s="741"/>
    </row>
    <row r="93" spans="1:49" ht="48" customHeight="1">
      <c r="A93" s="108"/>
      <c r="B93" s="38"/>
      <c r="C93" s="800"/>
      <c r="D93" s="801"/>
      <c r="E93" s="801"/>
      <c r="F93" s="801"/>
      <c r="G93" s="801"/>
      <c r="H93" s="801"/>
      <c r="I93" s="801"/>
      <c r="J93" s="801"/>
      <c r="K93" s="801"/>
      <c r="L93" s="801"/>
      <c r="M93" s="801"/>
      <c r="N93" s="801"/>
      <c r="O93" s="801"/>
      <c r="P93" s="801"/>
      <c r="Q93" s="801"/>
      <c r="R93" s="802"/>
      <c r="S93" s="887" t="s">
        <v>2628</v>
      </c>
      <c r="T93" s="889" t="s">
        <v>2629</v>
      </c>
      <c r="U93" s="889" t="s">
        <v>2630</v>
      </c>
      <c r="V93" s="733" t="s">
        <v>4570</v>
      </c>
      <c r="W93" s="734"/>
      <c r="X93" s="735"/>
      <c r="Y93" s="733" t="s">
        <v>4571</v>
      </c>
      <c r="Z93" s="734"/>
      <c r="AA93" s="735"/>
      <c r="AB93" s="733" t="s">
        <v>4572</v>
      </c>
      <c r="AC93" s="734"/>
      <c r="AD93" s="735"/>
    </row>
    <row r="94" spans="1:49" ht="48" customHeight="1">
      <c r="A94" s="108"/>
      <c r="B94" s="38"/>
      <c r="C94" s="803"/>
      <c r="D94" s="804"/>
      <c r="E94" s="804"/>
      <c r="F94" s="804"/>
      <c r="G94" s="804"/>
      <c r="H94" s="804"/>
      <c r="I94" s="804"/>
      <c r="J94" s="804"/>
      <c r="K94" s="804"/>
      <c r="L94" s="804"/>
      <c r="M94" s="804"/>
      <c r="N94" s="804"/>
      <c r="O94" s="804"/>
      <c r="P94" s="804"/>
      <c r="Q94" s="804"/>
      <c r="R94" s="805"/>
      <c r="S94" s="888"/>
      <c r="T94" s="890"/>
      <c r="U94" s="890"/>
      <c r="V94" s="171" t="s">
        <v>2635</v>
      </c>
      <c r="W94" s="128" t="s">
        <v>2629</v>
      </c>
      <c r="X94" s="128" t="s">
        <v>2630</v>
      </c>
      <c r="Y94" s="171" t="s">
        <v>2635</v>
      </c>
      <c r="Z94" s="128" t="s">
        <v>2629</v>
      </c>
      <c r="AA94" s="128" t="s">
        <v>2630</v>
      </c>
      <c r="AB94" s="171" t="s">
        <v>2635</v>
      </c>
      <c r="AC94" s="128" t="s">
        <v>2629</v>
      </c>
      <c r="AD94" s="128" t="s">
        <v>2630</v>
      </c>
      <c r="AG94" t="s">
        <v>2586</v>
      </c>
      <c r="AH94" t="s">
        <v>4581</v>
      </c>
      <c r="AI94"/>
      <c r="AJ94"/>
      <c r="AK94" t="s">
        <v>4573</v>
      </c>
      <c r="AL94" t="s">
        <v>2638</v>
      </c>
      <c r="AM94" t="s">
        <v>2639</v>
      </c>
      <c r="AN94" t="s">
        <v>4574</v>
      </c>
      <c r="AO94" t="s">
        <v>2641</v>
      </c>
      <c r="AP94" t="s">
        <v>2642</v>
      </c>
      <c r="AQ94" t="s">
        <v>4575</v>
      </c>
      <c r="AR94" t="s">
        <v>2644</v>
      </c>
      <c r="AS94" t="s">
        <v>2645</v>
      </c>
      <c r="AT94" t="s">
        <v>4576</v>
      </c>
      <c r="AU94" t="s">
        <v>2647</v>
      </c>
      <c r="AV94" t="s">
        <v>2648</v>
      </c>
      <c r="AW94" t="s">
        <v>4582</v>
      </c>
    </row>
    <row r="95" spans="1:49" ht="15" customHeight="1">
      <c r="A95" s="108"/>
      <c r="B95" s="38"/>
      <c r="C95" s="97" t="s">
        <v>2516</v>
      </c>
      <c r="D95" s="813" t="str">
        <f>IF(CNSIPEE_2024_M2_Secc1!D42="","",CNSIPEE_2024_M2_Secc1!D42)</f>
        <v/>
      </c>
      <c r="E95" s="814"/>
      <c r="F95" s="814"/>
      <c r="G95" s="814"/>
      <c r="H95" s="814"/>
      <c r="I95" s="814"/>
      <c r="J95" s="814"/>
      <c r="K95" s="814"/>
      <c r="L95" s="814"/>
      <c r="M95" s="814"/>
      <c r="N95" s="814"/>
      <c r="O95" s="814"/>
      <c r="P95" s="814"/>
      <c r="Q95" s="814"/>
      <c r="R95" s="815"/>
      <c r="S95" s="100"/>
      <c r="T95" s="100"/>
      <c r="U95" s="100"/>
      <c r="V95" s="100"/>
      <c r="W95" s="100"/>
      <c r="X95" s="100"/>
      <c r="Y95" s="100"/>
      <c r="Z95" s="100"/>
      <c r="AA95" s="100"/>
      <c r="AB95" s="100"/>
      <c r="AC95" s="100"/>
      <c r="AD95" s="100"/>
      <c r="AG95">
        <f>IF(OR($M43=0,$M43="NS",$M43="NA"),0,IF(OR(COUNTBLANK(D95:AD95)=14,COUNTBLANK(D95:AD95)=27),0,1))</f>
        <v>0</v>
      </c>
      <c r="AH95">
        <f t="shared" ref="AH95:AH102" si="21">IF(OR($M43=0,$M43="NS",$M43="NA"),IF(COUNTBLANK(S95:AD95)=12,0,1),0)</f>
        <v>0</v>
      </c>
      <c r="AI95"/>
      <c r="AJ95"/>
      <c r="AK95">
        <f t="shared" ref="AK95:AK102" si="22">COUNTIF(T95:U95,"NS")</f>
        <v>0</v>
      </c>
      <c r="AL95">
        <f t="shared" ref="AL95:AL102" si="23">SUM(T95:U95)</f>
        <v>0</v>
      </c>
      <c r="AM95">
        <f>IF(COUNTIF(S95:U95,"NA")=3,0,IF(COUNTA(S95:U95)=0,0,IF(OR(AND(S95=0,AK95&gt;0),AND(S95="ns",AL95&gt;0),AND(S95="ns",AK95=0,AL95=0)),1,IF(OR(AND(S95&gt;0,AK95=2),AND(S95="ns",AK95=2),AND(S95="ns",AL95=0,AK95&gt;0),S95=AL95),0,1))))</f>
        <v>0</v>
      </c>
      <c r="AN95">
        <f t="shared" ref="AN95:AN102" si="24">COUNTIF(W95:X95,"NS")</f>
        <v>0</v>
      </c>
      <c r="AO95">
        <f t="shared" ref="AO95:AO102" si="25">SUM(W95:X95)</f>
        <v>0</v>
      </c>
      <c r="AP95">
        <f t="shared" ref="AP95:AP102" si="26">IF(COUNTIF(V95:X95,"NA")=3,0,IF(COUNTA(V95:X95)=0,0,IF(OR(AND(V95=0,AN95&gt;0),AND(V95="ns",AO95&gt;0),AND(V95="ns",AN95=0,AO95=0)),1,IF(OR(AND(V95&gt;0,AN95=2),AND(V95="ns",AN95=2),AND(V95="ns",AO95=0,AN95&gt;0),V95=AO95),0,1))))</f>
        <v>0</v>
      </c>
      <c r="AQ95">
        <f t="shared" ref="AQ95:AQ102" si="27">COUNTIF(Z95:AA95,"NS")</f>
        <v>0</v>
      </c>
      <c r="AR95">
        <f t="shared" ref="AR95:AR102" si="28">SUM(Z95:AA95)</f>
        <v>0</v>
      </c>
      <c r="AS95">
        <f t="shared" ref="AS95:AS102" si="29">IF(COUNTIF(Y95:AA95,"NA")=3,0,IF(COUNTA(Y95:AA95)=0,0,IF(OR(AND(Y95=0,AQ95&gt;0),AND(Y95="ns",AR95&gt;0),AND(Y95="ns",AQ95=0,AR95=0)),1,IF(OR(AND(Y95&gt;0,AQ95=2),AND(Y95="ns",AQ95=2),AND(Y95="ns",AR95=0,AQ95&gt;0),Y95=AR95),0,1))))</f>
        <v>0</v>
      </c>
      <c r="AT95">
        <f t="shared" ref="AT95:AT102" si="30">COUNTIF(AC95:AD95,"NS")</f>
        <v>0</v>
      </c>
      <c r="AU95">
        <f t="shared" ref="AU95:AU102" si="31">SUM(AC95:AD95)</f>
        <v>0</v>
      </c>
      <c r="AV95">
        <f t="shared" ref="AV95:AV102" si="32">IF(COUNTIF(AB95:AD95,"NA")=3,0,IF(COUNTA(AB95:AD95)=0,0,IF(OR(AND(AB95=0,AT95&gt;0),AND(AB95="ns",AU95&gt;0),AND(AB95="ns",AT95=0,AU95=0)),1,IF(OR(AND(AB95&gt;0,AT95=2),AND(AB95="ns",AT95=2),AND(AB95="ns",AU95=0,AT95&gt;0),AB95=AU95),0,1))))</f>
        <v>0</v>
      </c>
      <c r="AW95">
        <f t="shared" ref="AW95:AW102" si="33">IF(OR($M43=0,$M43="NS",$M43="NA"),0,IF(AND(M43=S95,S43=T95,Y43=U95),0,1))</f>
        <v>0</v>
      </c>
    </row>
    <row r="96" spans="1:49" ht="15" customHeight="1">
      <c r="A96" s="108"/>
      <c r="B96" s="38"/>
      <c r="C96" s="98" t="s">
        <v>2517</v>
      </c>
      <c r="D96" s="813" t="str">
        <f>IF(CNSIPEE_2024_M2_Secc1!D43="","",CNSIPEE_2024_M2_Secc1!D43)</f>
        <v/>
      </c>
      <c r="E96" s="814"/>
      <c r="F96" s="814"/>
      <c r="G96" s="814"/>
      <c r="H96" s="814"/>
      <c r="I96" s="814"/>
      <c r="J96" s="814"/>
      <c r="K96" s="814"/>
      <c r="L96" s="814"/>
      <c r="M96" s="814"/>
      <c r="N96" s="814"/>
      <c r="O96" s="814"/>
      <c r="P96" s="814"/>
      <c r="Q96" s="814"/>
      <c r="R96" s="815"/>
      <c r="S96" s="100"/>
      <c r="T96" s="100"/>
      <c r="U96" s="100"/>
      <c r="V96" s="100"/>
      <c r="W96" s="100"/>
      <c r="X96" s="100"/>
      <c r="Y96" s="100"/>
      <c r="Z96" s="100"/>
      <c r="AA96" s="100"/>
      <c r="AB96" s="100"/>
      <c r="AC96" s="100"/>
      <c r="AD96" s="100"/>
      <c r="AG96">
        <f t="shared" ref="AG96:AG102" si="34">IF(OR($M44=0,$M44="NS",$M44="NA"),0,IF(OR(COUNTBLANK(D96:AD96)=14,COUNTBLANK(D96:AD96)=27),0,1))</f>
        <v>0</v>
      </c>
      <c r="AH96">
        <f t="shared" si="21"/>
        <v>0</v>
      </c>
      <c r="AI96"/>
      <c r="AJ96"/>
      <c r="AK96">
        <f t="shared" si="22"/>
        <v>0</v>
      </c>
      <c r="AL96">
        <f t="shared" si="23"/>
        <v>0</v>
      </c>
      <c r="AM96">
        <f t="shared" ref="AM96:AM102" si="35">IF(COUNTIF(S96:U96,"NA")=3,0,IF(COUNTA(S96:U96)=0,0,IF(OR(AND(S96=0,AK96&gt;0),AND(S96="ns",AL96&gt;0),AND(S96="ns",AK96=0,AL96=0)),1,IF(OR(AND(S96&gt;0,AK96=2),AND(S96="ns",AK96=2),AND(S96="ns",AL96=0,AK96&gt;0),S96=AL96),0,1))))</f>
        <v>0</v>
      </c>
      <c r="AN96">
        <f t="shared" si="24"/>
        <v>0</v>
      </c>
      <c r="AO96">
        <f t="shared" si="25"/>
        <v>0</v>
      </c>
      <c r="AP96">
        <f t="shared" si="26"/>
        <v>0</v>
      </c>
      <c r="AQ96">
        <f t="shared" si="27"/>
        <v>0</v>
      </c>
      <c r="AR96">
        <f t="shared" si="28"/>
        <v>0</v>
      </c>
      <c r="AS96">
        <f t="shared" si="29"/>
        <v>0</v>
      </c>
      <c r="AT96">
        <f t="shared" si="30"/>
        <v>0</v>
      </c>
      <c r="AU96">
        <f t="shared" si="31"/>
        <v>0</v>
      </c>
      <c r="AV96">
        <f t="shared" si="32"/>
        <v>0</v>
      </c>
      <c r="AW96">
        <f t="shared" si="33"/>
        <v>0</v>
      </c>
    </row>
    <row r="97" spans="1:49" ht="15" customHeight="1">
      <c r="A97" s="186"/>
      <c r="B97" s="57"/>
      <c r="C97" s="98" t="s">
        <v>2518</v>
      </c>
      <c r="D97" s="813" t="str">
        <f>IF(CNSIPEE_2024_M2_Secc1!D44="","",CNSIPEE_2024_M2_Secc1!D44)</f>
        <v/>
      </c>
      <c r="E97" s="814"/>
      <c r="F97" s="814"/>
      <c r="G97" s="814"/>
      <c r="H97" s="814"/>
      <c r="I97" s="814"/>
      <c r="J97" s="814"/>
      <c r="K97" s="814"/>
      <c r="L97" s="814"/>
      <c r="M97" s="814"/>
      <c r="N97" s="814"/>
      <c r="O97" s="814"/>
      <c r="P97" s="814"/>
      <c r="Q97" s="814"/>
      <c r="R97" s="815"/>
      <c r="S97" s="100"/>
      <c r="T97" s="100"/>
      <c r="U97" s="100"/>
      <c r="V97" s="100"/>
      <c r="W97" s="100"/>
      <c r="X97" s="100"/>
      <c r="Y97" s="100"/>
      <c r="Z97" s="100"/>
      <c r="AA97" s="100"/>
      <c r="AB97" s="100"/>
      <c r="AC97" s="100"/>
      <c r="AD97" s="100"/>
      <c r="AG97">
        <f t="shared" si="34"/>
        <v>0</v>
      </c>
      <c r="AH97">
        <f t="shared" si="21"/>
        <v>0</v>
      </c>
      <c r="AI97"/>
      <c r="AJ97"/>
      <c r="AK97">
        <f t="shared" si="22"/>
        <v>0</v>
      </c>
      <c r="AL97">
        <f t="shared" si="23"/>
        <v>0</v>
      </c>
      <c r="AM97">
        <f t="shared" si="35"/>
        <v>0</v>
      </c>
      <c r="AN97">
        <f t="shared" si="24"/>
        <v>0</v>
      </c>
      <c r="AO97">
        <f t="shared" si="25"/>
        <v>0</v>
      </c>
      <c r="AP97">
        <f t="shared" si="26"/>
        <v>0</v>
      </c>
      <c r="AQ97">
        <f t="shared" si="27"/>
        <v>0</v>
      </c>
      <c r="AR97">
        <f t="shared" si="28"/>
        <v>0</v>
      </c>
      <c r="AS97">
        <f t="shared" si="29"/>
        <v>0</v>
      </c>
      <c r="AT97">
        <f t="shared" si="30"/>
        <v>0</v>
      </c>
      <c r="AU97">
        <f t="shared" si="31"/>
        <v>0</v>
      </c>
      <c r="AV97">
        <f t="shared" si="32"/>
        <v>0</v>
      </c>
      <c r="AW97">
        <f t="shared" si="33"/>
        <v>0</v>
      </c>
    </row>
    <row r="98" spans="1:49" ht="15" customHeight="1">
      <c r="A98" s="186"/>
      <c r="B98" s="57"/>
      <c r="C98" s="98" t="s">
        <v>2519</v>
      </c>
      <c r="D98" s="813" t="str">
        <f>IF(CNSIPEE_2024_M2_Secc1!D45="","",CNSIPEE_2024_M2_Secc1!D45)</f>
        <v/>
      </c>
      <c r="E98" s="814"/>
      <c r="F98" s="814"/>
      <c r="G98" s="814"/>
      <c r="H98" s="814"/>
      <c r="I98" s="814"/>
      <c r="J98" s="814"/>
      <c r="K98" s="814"/>
      <c r="L98" s="814"/>
      <c r="M98" s="814"/>
      <c r="N98" s="814"/>
      <c r="O98" s="814"/>
      <c r="P98" s="814"/>
      <c r="Q98" s="814"/>
      <c r="R98" s="815"/>
      <c r="S98" s="100"/>
      <c r="T98" s="100"/>
      <c r="U98" s="100"/>
      <c r="V98" s="100"/>
      <c r="W98" s="100"/>
      <c r="X98" s="100"/>
      <c r="Y98" s="100"/>
      <c r="Z98" s="100"/>
      <c r="AA98" s="100"/>
      <c r="AB98" s="100"/>
      <c r="AC98" s="100"/>
      <c r="AD98" s="100"/>
      <c r="AG98">
        <f t="shared" si="34"/>
        <v>0</v>
      </c>
      <c r="AH98">
        <f t="shared" si="21"/>
        <v>0</v>
      </c>
      <c r="AI98"/>
      <c r="AJ98"/>
      <c r="AK98">
        <f t="shared" si="22"/>
        <v>0</v>
      </c>
      <c r="AL98">
        <f t="shared" si="23"/>
        <v>0</v>
      </c>
      <c r="AM98">
        <f t="shared" si="35"/>
        <v>0</v>
      </c>
      <c r="AN98">
        <f t="shared" si="24"/>
        <v>0</v>
      </c>
      <c r="AO98">
        <f t="shared" si="25"/>
        <v>0</v>
      </c>
      <c r="AP98">
        <f t="shared" si="26"/>
        <v>0</v>
      </c>
      <c r="AQ98">
        <f t="shared" si="27"/>
        <v>0</v>
      </c>
      <c r="AR98">
        <f t="shared" si="28"/>
        <v>0</v>
      </c>
      <c r="AS98">
        <f t="shared" si="29"/>
        <v>0</v>
      </c>
      <c r="AT98">
        <f t="shared" si="30"/>
        <v>0</v>
      </c>
      <c r="AU98">
        <f t="shared" si="31"/>
        <v>0</v>
      </c>
      <c r="AV98">
        <f t="shared" si="32"/>
        <v>0</v>
      </c>
      <c r="AW98">
        <f t="shared" si="33"/>
        <v>0</v>
      </c>
    </row>
    <row r="99" spans="1:49" ht="15" customHeight="1">
      <c r="A99" s="186"/>
      <c r="B99" s="57"/>
      <c r="C99" s="98" t="s">
        <v>2520</v>
      </c>
      <c r="D99" s="813" t="str">
        <f>IF(CNSIPEE_2024_M2_Secc1!D46="","",CNSIPEE_2024_M2_Secc1!D46)</f>
        <v/>
      </c>
      <c r="E99" s="814"/>
      <c r="F99" s="814"/>
      <c r="G99" s="814"/>
      <c r="H99" s="814"/>
      <c r="I99" s="814"/>
      <c r="J99" s="814"/>
      <c r="K99" s="814"/>
      <c r="L99" s="814"/>
      <c r="M99" s="814"/>
      <c r="N99" s="814"/>
      <c r="O99" s="814"/>
      <c r="P99" s="814"/>
      <c r="Q99" s="814"/>
      <c r="R99" s="815"/>
      <c r="S99" s="100"/>
      <c r="T99" s="100"/>
      <c r="U99" s="100"/>
      <c r="V99" s="100"/>
      <c r="W99" s="100"/>
      <c r="X99" s="100"/>
      <c r="Y99" s="100"/>
      <c r="Z99" s="100"/>
      <c r="AA99" s="100"/>
      <c r="AB99" s="100"/>
      <c r="AC99" s="100"/>
      <c r="AD99" s="100"/>
      <c r="AG99">
        <f t="shared" si="34"/>
        <v>0</v>
      </c>
      <c r="AH99">
        <f t="shared" si="21"/>
        <v>0</v>
      </c>
      <c r="AI99"/>
      <c r="AJ99"/>
      <c r="AK99">
        <f t="shared" si="22"/>
        <v>0</v>
      </c>
      <c r="AL99">
        <f t="shared" si="23"/>
        <v>0</v>
      </c>
      <c r="AM99">
        <f t="shared" si="35"/>
        <v>0</v>
      </c>
      <c r="AN99">
        <f t="shared" si="24"/>
        <v>0</v>
      </c>
      <c r="AO99">
        <f t="shared" si="25"/>
        <v>0</v>
      </c>
      <c r="AP99">
        <f t="shared" si="26"/>
        <v>0</v>
      </c>
      <c r="AQ99">
        <f t="shared" si="27"/>
        <v>0</v>
      </c>
      <c r="AR99">
        <f t="shared" si="28"/>
        <v>0</v>
      </c>
      <c r="AS99">
        <f t="shared" si="29"/>
        <v>0</v>
      </c>
      <c r="AT99">
        <f t="shared" si="30"/>
        <v>0</v>
      </c>
      <c r="AU99">
        <f t="shared" si="31"/>
        <v>0</v>
      </c>
      <c r="AV99">
        <f t="shared" si="32"/>
        <v>0</v>
      </c>
      <c r="AW99">
        <f t="shared" si="33"/>
        <v>0</v>
      </c>
    </row>
    <row r="100" spans="1:49" ht="15" customHeight="1">
      <c r="A100" s="186"/>
      <c r="B100" s="57"/>
      <c r="C100" s="98" t="s">
        <v>2521</v>
      </c>
      <c r="D100" s="813" t="str">
        <f>IF(CNSIPEE_2024_M2_Secc1!D47="","",CNSIPEE_2024_M2_Secc1!D47)</f>
        <v/>
      </c>
      <c r="E100" s="814"/>
      <c r="F100" s="814"/>
      <c r="G100" s="814"/>
      <c r="H100" s="814"/>
      <c r="I100" s="814"/>
      <c r="J100" s="814"/>
      <c r="K100" s="814"/>
      <c r="L100" s="814"/>
      <c r="M100" s="814"/>
      <c r="N100" s="814"/>
      <c r="O100" s="814"/>
      <c r="P100" s="814"/>
      <c r="Q100" s="814"/>
      <c r="R100" s="815"/>
      <c r="S100" s="100"/>
      <c r="T100" s="100"/>
      <c r="U100" s="100"/>
      <c r="V100" s="100"/>
      <c r="W100" s="100"/>
      <c r="X100" s="100"/>
      <c r="Y100" s="100"/>
      <c r="Z100" s="100"/>
      <c r="AA100" s="100"/>
      <c r="AB100" s="100"/>
      <c r="AC100" s="100"/>
      <c r="AD100" s="100"/>
      <c r="AG100">
        <f t="shared" si="34"/>
        <v>0</v>
      </c>
      <c r="AH100">
        <f t="shared" si="21"/>
        <v>0</v>
      </c>
      <c r="AI100"/>
      <c r="AJ100"/>
      <c r="AK100">
        <f t="shared" si="22"/>
        <v>0</v>
      </c>
      <c r="AL100">
        <f t="shared" si="23"/>
        <v>0</v>
      </c>
      <c r="AM100">
        <f t="shared" si="35"/>
        <v>0</v>
      </c>
      <c r="AN100">
        <f t="shared" si="24"/>
        <v>0</v>
      </c>
      <c r="AO100">
        <f t="shared" si="25"/>
        <v>0</v>
      </c>
      <c r="AP100">
        <f t="shared" si="26"/>
        <v>0</v>
      </c>
      <c r="AQ100">
        <f t="shared" si="27"/>
        <v>0</v>
      </c>
      <c r="AR100">
        <f t="shared" si="28"/>
        <v>0</v>
      </c>
      <c r="AS100">
        <f t="shared" si="29"/>
        <v>0</v>
      </c>
      <c r="AT100">
        <f t="shared" si="30"/>
        <v>0</v>
      </c>
      <c r="AU100">
        <f t="shared" si="31"/>
        <v>0</v>
      </c>
      <c r="AV100">
        <f t="shared" si="32"/>
        <v>0</v>
      </c>
      <c r="AW100">
        <f t="shared" si="33"/>
        <v>0</v>
      </c>
    </row>
    <row r="101" spans="1:49" ht="15" customHeight="1">
      <c r="A101" s="186"/>
      <c r="B101" s="57"/>
      <c r="C101" s="98" t="s">
        <v>2522</v>
      </c>
      <c r="D101" s="813" t="str">
        <f>IF(CNSIPEE_2024_M2_Secc1!D48="","",CNSIPEE_2024_M2_Secc1!D48)</f>
        <v/>
      </c>
      <c r="E101" s="814"/>
      <c r="F101" s="814"/>
      <c r="G101" s="814"/>
      <c r="H101" s="814"/>
      <c r="I101" s="814"/>
      <c r="J101" s="814"/>
      <c r="K101" s="814"/>
      <c r="L101" s="814"/>
      <c r="M101" s="814"/>
      <c r="N101" s="814"/>
      <c r="O101" s="814"/>
      <c r="P101" s="814"/>
      <c r="Q101" s="814"/>
      <c r="R101" s="815"/>
      <c r="S101" s="100"/>
      <c r="T101" s="100"/>
      <c r="U101" s="100"/>
      <c r="V101" s="100"/>
      <c r="W101" s="100"/>
      <c r="X101" s="100"/>
      <c r="Y101" s="100"/>
      <c r="Z101" s="100"/>
      <c r="AA101" s="100"/>
      <c r="AB101" s="100"/>
      <c r="AC101" s="100"/>
      <c r="AD101" s="100"/>
      <c r="AG101">
        <f t="shared" si="34"/>
        <v>0</v>
      </c>
      <c r="AH101">
        <f t="shared" si="21"/>
        <v>0</v>
      </c>
      <c r="AI101"/>
      <c r="AJ101"/>
      <c r="AK101">
        <f t="shared" si="22"/>
        <v>0</v>
      </c>
      <c r="AL101">
        <f t="shared" si="23"/>
        <v>0</v>
      </c>
      <c r="AM101">
        <f t="shared" si="35"/>
        <v>0</v>
      </c>
      <c r="AN101">
        <f t="shared" si="24"/>
        <v>0</v>
      </c>
      <c r="AO101">
        <f t="shared" si="25"/>
        <v>0</v>
      </c>
      <c r="AP101">
        <f t="shared" si="26"/>
        <v>0</v>
      </c>
      <c r="AQ101">
        <f t="shared" si="27"/>
        <v>0</v>
      </c>
      <c r="AR101">
        <f t="shared" si="28"/>
        <v>0</v>
      </c>
      <c r="AS101">
        <f t="shared" si="29"/>
        <v>0</v>
      </c>
      <c r="AT101">
        <f t="shared" si="30"/>
        <v>0</v>
      </c>
      <c r="AU101">
        <f t="shared" si="31"/>
        <v>0</v>
      </c>
      <c r="AV101">
        <f t="shared" si="32"/>
        <v>0</v>
      </c>
      <c r="AW101">
        <f t="shared" si="33"/>
        <v>0</v>
      </c>
    </row>
    <row r="102" spans="1:49" ht="15" customHeight="1">
      <c r="A102" s="186"/>
      <c r="B102" s="57"/>
      <c r="C102" s="98" t="s">
        <v>2523</v>
      </c>
      <c r="D102" s="813" t="str">
        <f>IF(CNSIPEE_2024_M2_Secc1!D49="","",CNSIPEE_2024_M2_Secc1!D49)</f>
        <v/>
      </c>
      <c r="E102" s="814"/>
      <c r="F102" s="814"/>
      <c r="G102" s="814"/>
      <c r="H102" s="814"/>
      <c r="I102" s="814"/>
      <c r="J102" s="814"/>
      <c r="K102" s="814"/>
      <c r="L102" s="814"/>
      <c r="M102" s="814"/>
      <c r="N102" s="814"/>
      <c r="O102" s="814"/>
      <c r="P102" s="814"/>
      <c r="Q102" s="814"/>
      <c r="R102" s="815"/>
      <c r="S102" s="100"/>
      <c r="T102" s="100"/>
      <c r="U102" s="100"/>
      <c r="V102" s="100"/>
      <c r="W102" s="100"/>
      <c r="X102" s="100"/>
      <c r="Y102" s="100"/>
      <c r="Z102" s="100"/>
      <c r="AA102" s="100"/>
      <c r="AB102" s="100"/>
      <c r="AC102" s="100"/>
      <c r="AD102" s="100"/>
      <c r="AG102">
        <f t="shared" si="34"/>
        <v>0</v>
      </c>
      <c r="AH102">
        <f t="shared" si="21"/>
        <v>0</v>
      </c>
      <c r="AI102"/>
      <c r="AJ102"/>
      <c r="AK102">
        <f t="shared" si="22"/>
        <v>0</v>
      </c>
      <c r="AL102">
        <f t="shared" si="23"/>
        <v>0</v>
      </c>
      <c r="AM102">
        <f t="shared" si="35"/>
        <v>0</v>
      </c>
      <c r="AN102">
        <f t="shared" si="24"/>
        <v>0</v>
      </c>
      <c r="AO102">
        <f t="shared" si="25"/>
        <v>0</v>
      </c>
      <c r="AP102">
        <f t="shared" si="26"/>
        <v>0</v>
      </c>
      <c r="AQ102">
        <f t="shared" si="27"/>
        <v>0</v>
      </c>
      <c r="AR102">
        <f t="shared" si="28"/>
        <v>0</v>
      </c>
      <c r="AS102">
        <f t="shared" si="29"/>
        <v>0</v>
      </c>
      <c r="AT102">
        <f t="shared" si="30"/>
        <v>0</v>
      </c>
      <c r="AU102">
        <f t="shared" si="31"/>
        <v>0</v>
      </c>
      <c r="AV102">
        <f t="shared" si="32"/>
        <v>0</v>
      </c>
      <c r="AW102">
        <f t="shared" si="33"/>
        <v>0</v>
      </c>
    </row>
    <row r="103" spans="1:49" ht="15" customHeight="1">
      <c r="A103" s="186"/>
      <c r="B103" s="57"/>
      <c r="C103" s="70"/>
      <c r="D103" s="84"/>
      <c r="E103" s="84"/>
      <c r="F103" s="84"/>
      <c r="G103" s="84"/>
      <c r="H103" s="84"/>
      <c r="I103" s="84"/>
      <c r="J103" s="84"/>
      <c r="K103" s="84"/>
      <c r="L103" s="84"/>
      <c r="M103" s="84"/>
      <c r="N103" s="84"/>
      <c r="O103" s="84"/>
      <c r="P103" s="84"/>
      <c r="Q103" s="84"/>
      <c r="R103" s="117" t="s">
        <v>2649</v>
      </c>
      <c r="S103" s="124">
        <f t="shared" ref="S103:AD103" si="36">IF(AND(SUM(S95:S102)=0,COUNTIF(S95:S102,"NS")&gt;0),"NS",IF(AND(SUM(S95:S102)=0,COUNTIF(S95:S102,0)&gt;0),0,IF(AND(SUM(S95:S102)=0,COUNTIF(S95:S102,"NA")&gt;0),"NA",SUM(S95:S102))))</f>
        <v>0</v>
      </c>
      <c r="T103" s="124">
        <f t="shared" si="36"/>
        <v>0</v>
      </c>
      <c r="U103" s="124">
        <f t="shared" si="36"/>
        <v>0</v>
      </c>
      <c r="V103" s="124">
        <f t="shared" si="36"/>
        <v>0</v>
      </c>
      <c r="W103" s="124">
        <f t="shared" si="36"/>
        <v>0</v>
      </c>
      <c r="X103" s="124">
        <f t="shared" si="36"/>
        <v>0</v>
      </c>
      <c r="Y103" s="124">
        <f t="shared" si="36"/>
        <v>0</v>
      </c>
      <c r="Z103" s="124">
        <f t="shared" si="36"/>
        <v>0</v>
      </c>
      <c r="AA103" s="124">
        <f t="shared" si="36"/>
        <v>0</v>
      </c>
      <c r="AB103" s="124">
        <f t="shared" si="36"/>
        <v>0</v>
      </c>
      <c r="AC103" s="124">
        <f t="shared" si="36"/>
        <v>0</v>
      </c>
      <c r="AD103" s="124">
        <f t="shared" si="36"/>
        <v>0</v>
      </c>
      <c r="AG103" s="506">
        <f>SUM(AG95:AG102)</f>
        <v>0</v>
      </c>
      <c r="AH103" s="506">
        <f>SUM(AH95:AH102)</f>
        <v>0</v>
      </c>
      <c r="AJ103"/>
      <c r="AK103">
        <f>SUM(AK95:AK102)</f>
        <v>0</v>
      </c>
      <c r="AM103">
        <f>SUM(AM95:AM102)</f>
        <v>0</v>
      </c>
      <c r="AN103">
        <f>SUM(AN95:AN102)</f>
        <v>0</v>
      </c>
      <c r="AP103">
        <f>SUM(AP95:AP102)</f>
        <v>0</v>
      </c>
      <c r="AQ103">
        <f>SUM(AQ95:AQ102)</f>
        <v>0</v>
      </c>
      <c r="AS103">
        <f>SUM(AS95:AS102)</f>
        <v>0</v>
      </c>
      <c r="AT103">
        <f>SUM(AT95:AT102)</f>
        <v>0</v>
      </c>
      <c r="AV103">
        <f>SUM(AV95:AV102)</f>
        <v>0</v>
      </c>
      <c r="AW103" s="506">
        <f>SUM(AW95:AW102)</f>
        <v>0</v>
      </c>
    </row>
    <row r="104" spans="1:49" ht="15" customHeight="1">
      <c r="A104" s="10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K104" t="s">
        <v>2650</v>
      </c>
      <c r="AL104" s="506">
        <f>SUM(AM103,AP103,AS103,AV103)</f>
        <v>0</v>
      </c>
      <c r="AM104" t="s">
        <v>2651</v>
      </c>
      <c r="AN104">
        <f>SUM(AK103,AN103,AQ103,AT103)</f>
        <v>0</v>
      </c>
    </row>
    <row r="105" spans="1:49" ht="24" customHeight="1">
      <c r="A105" s="108"/>
      <c r="B105" s="38"/>
      <c r="C105" s="754" t="s">
        <v>2611</v>
      </c>
      <c r="D105" s="754"/>
      <c r="E105" s="754"/>
      <c r="F105" s="754"/>
      <c r="G105" s="754"/>
      <c r="H105" s="754"/>
      <c r="I105" s="754"/>
      <c r="J105" s="754"/>
      <c r="K105" s="754"/>
      <c r="L105" s="754"/>
      <c r="M105" s="754"/>
      <c r="N105" s="754"/>
      <c r="O105" s="754"/>
      <c r="P105" s="754"/>
      <c r="Q105" s="754"/>
      <c r="R105" s="754"/>
      <c r="S105" s="754"/>
      <c r="T105" s="754"/>
      <c r="U105" s="754"/>
      <c r="V105" s="754"/>
      <c r="W105" s="754"/>
      <c r="X105" s="754"/>
      <c r="Y105" s="754"/>
      <c r="Z105" s="754"/>
      <c r="AA105" s="754"/>
      <c r="AB105" s="754"/>
      <c r="AC105" s="754"/>
      <c r="AD105" s="754"/>
      <c r="AK105" t="s">
        <v>2652</v>
      </c>
      <c r="AL105" s="507">
        <f>IF(AN104&gt;0,IF(SUM(S103)&gt;=SUM(V103,Y103,AB103),0,1),IF(SUM(S103)&lt;&gt;SUM(V103,Y103,AB103),1,0))</f>
        <v>0</v>
      </c>
      <c r="AM105" t="s">
        <v>2653</v>
      </c>
      <c r="AN105" s="507">
        <f>IF(AN104&gt;0,IF(SUM(T103)&gt;=SUM(W103,Z103,AC103),0,1),IF(SUM(T103)&lt;&gt;SUM(W103,Z103,AC103),1,0))</f>
        <v>0</v>
      </c>
      <c r="AO105" t="s">
        <v>2654</v>
      </c>
      <c r="AP105" s="507">
        <f>IF(AN104&gt;0,IF(SUM(U103)&gt;=SUM(X103,AA103,AD103),0,1),IF(SUM(U103)&lt;&gt;SUM(X103,AA103,AD103),1,0))</f>
        <v>0</v>
      </c>
    </row>
    <row r="106" spans="1:49" ht="60" customHeight="1">
      <c r="A106" s="108"/>
      <c r="B106" s="38"/>
      <c r="C106" s="851"/>
      <c r="D106" s="851"/>
      <c r="E106" s="851"/>
      <c r="F106" s="851"/>
      <c r="G106" s="851"/>
      <c r="H106" s="851"/>
      <c r="I106" s="851"/>
      <c r="J106" s="851"/>
      <c r="K106" s="851"/>
      <c r="L106" s="851"/>
      <c r="M106" s="851"/>
      <c r="N106" s="851"/>
      <c r="O106" s="851"/>
      <c r="P106" s="851"/>
      <c r="Q106" s="851"/>
      <c r="R106" s="851"/>
      <c r="S106" s="851"/>
      <c r="T106" s="851"/>
      <c r="U106" s="851"/>
      <c r="V106" s="851"/>
      <c r="W106" s="851"/>
      <c r="X106" s="851"/>
      <c r="Y106" s="851"/>
      <c r="Z106" s="851"/>
      <c r="AA106" s="851"/>
      <c r="AB106" s="851"/>
      <c r="AC106" s="851"/>
      <c r="AD106" s="851"/>
    </row>
    <row r="107" spans="1:49" ht="15" customHeight="1">
      <c r="A107" s="108"/>
      <c r="B107" s="794" t="str">
        <f>IF(AG103=0,"","Favor de ingresar toda la información requerida en la pregunta")</f>
        <v/>
      </c>
      <c r="C107" s="794"/>
      <c r="D107" s="794"/>
      <c r="E107" s="794"/>
      <c r="F107" s="794"/>
      <c r="G107" s="794"/>
      <c r="H107" s="794"/>
      <c r="I107" s="794"/>
      <c r="J107" s="794"/>
      <c r="K107" s="794"/>
      <c r="L107" s="794"/>
      <c r="M107" s="794"/>
      <c r="N107" s="794"/>
      <c r="O107" s="794"/>
      <c r="P107" s="794"/>
      <c r="Q107" s="794"/>
      <c r="R107" s="794"/>
      <c r="S107" s="794"/>
      <c r="T107" s="794"/>
      <c r="U107" s="794"/>
      <c r="V107" s="794"/>
      <c r="W107" s="794"/>
      <c r="X107" s="794"/>
      <c r="Y107" s="794"/>
      <c r="Z107" s="794"/>
      <c r="AA107" s="794"/>
      <c r="AB107" s="794"/>
      <c r="AC107" s="794"/>
      <c r="AD107" s="794"/>
      <c r="AE107" s="794"/>
    </row>
    <row r="108" spans="1:49" ht="15" customHeight="1">
      <c r="A108" s="170"/>
      <c r="B108" s="1087" t="str">
        <f>IF(COUNTIF(S95:AD102,"NS")&lt;&gt;0,"Alerta: debido a que cuenta con registros NS, debe proporcionar una justificación en el area de comentarios al final de la pregunta","")</f>
        <v/>
      </c>
      <c r="C108" s="1087"/>
      <c r="D108" s="1087"/>
      <c r="E108" s="1087"/>
      <c r="F108" s="1087"/>
      <c r="G108" s="1087"/>
      <c r="H108" s="1087"/>
      <c r="I108" s="1087"/>
      <c r="J108" s="1087"/>
      <c r="K108" s="1087"/>
      <c r="L108" s="1087"/>
      <c r="M108" s="1087"/>
      <c r="N108" s="1087"/>
      <c r="O108" s="1087"/>
      <c r="P108" s="1087"/>
      <c r="Q108" s="1087"/>
      <c r="R108" s="1087"/>
      <c r="S108" s="1087"/>
      <c r="T108" s="1087"/>
      <c r="U108" s="1087"/>
      <c r="V108" s="1087"/>
      <c r="W108" s="1087"/>
      <c r="X108" s="1087"/>
      <c r="Y108" s="1087"/>
      <c r="Z108" s="1087"/>
      <c r="AA108" s="1087"/>
      <c r="AB108" s="1087"/>
      <c r="AC108" s="1087"/>
      <c r="AD108" s="1087"/>
      <c r="AE108" s="1087"/>
    </row>
    <row r="109" spans="1:49" ht="15" customHeight="1">
      <c r="A109" s="170"/>
      <c r="B109" s="1003" t="str">
        <f>IF(AH103&gt;0,"Revise la información capturada, ya que tiene datos ingresados en celdas que están sombreadas","")</f>
        <v/>
      </c>
      <c r="C109" s="1003"/>
      <c r="D109" s="1003"/>
      <c r="E109" s="1003"/>
      <c r="F109" s="1003"/>
      <c r="G109" s="1003"/>
      <c r="H109" s="1003"/>
      <c r="I109" s="1003"/>
      <c r="J109" s="1003"/>
      <c r="K109" s="1003"/>
      <c r="L109" s="1003"/>
      <c r="M109" s="1003"/>
      <c r="N109" s="1003"/>
      <c r="O109" s="1003"/>
      <c r="P109" s="1003"/>
      <c r="Q109" s="1003"/>
      <c r="R109" s="1003"/>
      <c r="S109" s="1003"/>
      <c r="T109" s="1003"/>
      <c r="U109" s="1003"/>
      <c r="V109" s="1003"/>
      <c r="W109" s="1003"/>
      <c r="X109" s="1003"/>
      <c r="Y109" s="1003"/>
      <c r="Z109" s="1003"/>
      <c r="AA109" s="1003"/>
      <c r="AB109" s="1003"/>
      <c r="AC109" s="1003"/>
      <c r="AD109" s="1003"/>
      <c r="AE109" s="1003"/>
    </row>
    <row r="110" spans="1:49" ht="15" customHeight="1">
      <c r="A110" s="170"/>
      <c r="B110" s="1003" t="str">
        <f>IF(OR(AL104&gt;0,AL105&gt;0,AN105&gt;0,AP105&gt;0),"Favor de revisar la suma y consistencia de totales y/o subtotales por filas (numéricos y NS)","")</f>
        <v/>
      </c>
      <c r="C110" s="1003"/>
      <c r="D110" s="1003"/>
      <c r="E110" s="1003"/>
      <c r="F110" s="1003"/>
      <c r="G110" s="1003"/>
      <c r="H110" s="1003"/>
      <c r="I110" s="1003"/>
      <c r="J110" s="1003"/>
      <c r="K110" s="1003"/>
      <c r="L110" s="1003"/>
      <c r="M110" s="1003"/>
      <c r="N110" s="1003"/>
      <c r="O110" s="1003"/>
      <c r="P110" s="1003"/>
      <c r="Q110" s="1003"/>
      <c r="R110" s="1003"/>
      <c r="S110" s="1003"/>
      <c r="T110" s="1003"/>
      <c r="U110" s="1003"/>
      <c r="V110" s="1003"/>
      <c r="W110" s="1003"/>
      <c r="X110" s="1003"/>
      <c r="Y110" s="1003"/>
      <c r="Z110" s="1003"/>
      <c r="AA110" s="1003"/>
      <c r="AB110" s="1003"/>
      <c r="AC110" s="1003"/>
      <c r="AD110" s="1003"/>
      <c r="AE110" s="1003"/>
    </row>
    <row r="111" spans="1:49" ht="15" customHeight="1">
      <c r="A111" s="108"/>
      <c r="B111" s="1003" t="str">
        <f>IF(AW103=0,"","Las cantidades de Hombres y Mujeres por centro especializado debe corresponder con los datos reportados en la preg. 10.1")</f>
        <v/>
      </c>
      <c r="C111" s="1003"/>
      <c r="D111" s="1003"/>
      <c r="E111" s="1003"/>
      <c r="F111" s="1003"/>
      <c r="G111" s="1003"/>
      <c r="H111" s="1003"/>
      <c r="I111" s="1003"/>
      <c r="J111" s="1003"/>
      <c r="K111" s="1003"/>
      <c r="L111" s="1003"/>
      <c r="M111" s="1003"/>
      <c r="N111" s="1003"/>
      <c r="O111" s="1003"/>
      <c r="P111" s="1003"/>
      <c r="Q111" s="1003"/>
      <c r="R111" s="1003"/>
      <c r="S111" s="1003"/>
      <c r="T111" s="1003"/>
      <c r="U111" s="1003"/>
      <c r="V111" s="1003"/>
      <c r="W111" s="1003"/>
      <c r="X111" s="1003"/>
      <c r="Y111" s="1003"/>
      <c r="Z111" s="1003"/>
      <c r="AA111" s="1003"/>
      <c r="AB111" s="1003"/>
      <c r="AC111" s="1003"/>
      <c r="AD111" s="1003"/>
      <c r="AE111" s="1003"/>
    </row>
    <row r="112" spans="1:49" ht="15" customHeight="1">
      <c r="A112" s="10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row>
    <row r="113" spans="1:52" ht="24" customHeight="1">
      <c r="A113" s="108" t="s">
        <v>5547</v>
      </c>
      <c r="B113" s="829" t="s">
        <v>5548</v>
      </c>
      <c r="C113" s="829"/>
      <c r="D113" s="829"/>
      <c r="E113" s="829"/>
      <c r="F113" s="829"/>
      <c r="G113" s="829"/>
      <c r="H113" s="829"/>
      <c r="I113" s="829"/>
      <c r="J113" s="829"/>
      <c r="K113" s="829"/>
      <c r="L113" s="829"/>
      <c r="M113" s="829"/>
      <c r="N113" s="829"/>
      <c r="O113" s="829"/>
      <c r="P113" s="829"/>
      <c r="Q113" s="829"/>
      <c r="R113" s="829"/>
      <c r="S113" s="829"/>
      <c r="T113" s="829"/>
      <c r="U113" s="829"/>
      <c r="V113" s="829"/>
      <c r="W113" s="829"/>
      <c r="X113" s="829"/>
      <c r="Y113" s="829"/>
      <c r="Z113" s="829"/>
      <c r="AA113" s="829"/>
      <c r="AB113" s="829"/>
      <c r="AC113" s="829"/>
      <c r="AD113" s="829"/>
    </row>
    <row r="114" spans="1:52" ht="24" customHeight="1">
      <c r="A114" s="94"/>
      <c r="B114" s="190"/>
      <c r="C114" s="754" t="s">
        <v>5543</v>
      </c>
      <c r="D114" s="754"/>
      <c r="E114" s="754"/>
      <c r="F114" s="754"/>
      <c r="G114" s="754"/>
      <c r="H114" s="754"/>
      <c r="I114" s="754"/>
      <c r="J114" s="754"/>
      <c r="K114" s="754"/>
      <c r="L114" s="754"/>
      <c r="M114" s="754"/>
      <c r="N114" s="754"/>
      <c r="O114" s="754"/>
      <c r="P114" s="754"/>
      <c r="Q114" s="754"/>
      <c r="R114" s="754"/>
      <c r="S114" s="754"/>
      <c r="T114" s="754"/>
      <c r="U114" s="754"/>
      <c r="V114" s="754"/>
      <c r="W114" s="754"/>
      <c r="X114" s="754"/>
      <c r="Y114" s="754"/>
      <c r="Z114" s="754"/>
      <c r="AA114" s="754"/>
      <c r="AB114" s="754"/>
      <c r="AC114" s="754"/>
      <c r="AD114" s="754"/>
    </row>
    <row r="115" spans="1:52" ht="24" customHeight="1">
      <c r="A115" s="49"/>
      <c r="B115" s="38"/>
      <c r="C115" s="830" t="s">
        <v>5545</v>
      </c>
      <c r="D115" s="830"/>
      <c r="E115" s="830"/>
      <c r="F115" s="830"/>
      <c r="G115" s="830"/>
      <c r="H115" s="830"/>
      <c r="I115" s="830"/>
      <c r="J115" s="830"/>
      <c r="K115" s="830"/>
      <c r="L115" s="830"/>
      <c r="M115" s="830"/>
      <c r="N115" s="830"/>
      <c r="O115" s="830"/>
      <c r="P115" s="830"/>
      <c r="Q115" s="830"/>
      <c r="R115" s="830"/>
      <c r="S115" s="830"/>
      <c r="T115" s="830"/>
      <c r="U115" s="830"/>
      <c r="V115" s="830"/>
      <c r="W115" s="830"/>
      <c r="X115" s="830"/>
      <c r="Y115" s="830"/>
      <c r="Z115" s="830"/>
      <c r="AA115" s="830"/>
      <c r="AB115" s="830"/>
      <c r="AC115" s="830"/>
      <c r="AD115" s="830"/>
    </row>
    <row r="116" spans="1:52" ht="24" customHeight="1">
      <c r="A116" s="49"/>
      <c r="B116" s="38"/>
      <c r="C116" s="754" t="s">
        <v>5549</v>
      </c>
      <c r="D116" s="754"/>
      <c r="E116" s="754"/>
      <c r="F116" s="754"/>
      <c r="G116" s="754"/>
      <c r="H116" s="754"/>
      <c r="I116" s="754"/>
      <c r="J116" s="754"/>
      <c r="K116" s="754"/>
      <c r="L116" s="754"/>
      <c r="M116" s="754"/>
      <c r="N116" s="754"/>
      <c r="O116" s="754"/>
      <c r="P116" s="754"/>
      <c r="Q116" s="754"/>
      <c r="R116" s="754"/>
      <c r="S116" s="754"/>
      <c r="T116" s="754"/>
      <c r="U116" s="754"/>
      <c r="V116" s="754"/>
      <c r="W116" s="754"/>
      <c r="X116" s="754"/>
      <c r="Y116" s="754"/>
      <c r="Z116" s="754"/>
      <c r="AA116" s="754"/>
      <c r="AB116" s="754"/>
      <c r="AC116" s="754"/>
      <c r="AD116" s="754"/>
    </row>
    <row r="117" spans="1:52" ht="15" customHeight="1">
      <c r="A117" s="10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row>
    <row r="118" spans="1:52" ht="15" customHeight="1">
      <c r="A118" s="10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873" t="s">
        <v>2664</v>
      </c>
      <c r="AB118" s="873"/>
      <c r="AC118" s="873"/>
      <c r="AD118" s="873"/>
    </row>
    <row r="119" spans="1:52" ht="24" customHeight="1">
      <c r="A119" s="108"/>
      <c r="B119" s="38"/>
      <c r="C119" s="732" t="s">
        <v>2581</v>
      </c>
      <c r="D119" s="732"/>
      <c r="E119" s="732"/>
      <c r="F119" s="732"/>
      <c r="G119" s="732"/>
      <c r="H119" s="732"/>
      <c r="I119" s="732"/>
      <c r="J119" s="732"/>
      <c r="K119" s="732"/>
      <c r="L119" s="732"/>
      <c r="M119" s="732"/>
      <c r="N119" s="732"/>
      <c r="O119" s="732"/>
      <c r="P119" s="732" t="s">
        <v>5550</v>
      </c>
      <c r="Q119" s="732"/>
      <c r="R119" s="732"/>
      <c r="S119" s="732"/>
      <c r="T119" s="732"/>
      <c r="U119" s="732"/>
      <c r="V119" s="732"/>
      <c r="W119" s="732"/>
      <c r="X119" s="732"/>
      <c r="Y119" s="732"/>
      <c r="Z119" s="732"/>
      <c r="AA119" s="732"/>
      <c r="AB119" s="732"/>
      <c r="AC119" s="732"/>
      <c r="AD119" s="732"/>
    </row>
    <row r="120" spans="1:52" ht="120" customHeight="1">
      <c r="A120" s="108"/>
      <c r="B120" s="38"/>
      <c r="C120" s="732"/>
      <c r="D120" s="732"/>
      <c r="E120" s="732"/>
      <c r="F120" s="732"/>
      <c r="G120" s="732"/>
      <c r="H120" s="732"/>
      <c r="I120" s="732"/>
      <c r="J120" s="732"/>
      <c r="K120" s="732"/>
      <c r="L120" s="732"/>
      <c r="M120" s="732"/>
      <c r="N120" s="732"/>
      <c r="O120" s="732"/>
      <c r="P120" s="887" t="s">
        <v>2628</v>
      </c>
      <c r="Q120" s="889" t="s">
        <v>2629</v>
      </c>
      <c r="R120" s="889" t="s">
        <v>2630</v>
      </c>
      <c r="S120" s="858" t="s">
        <v>5551</v>
      </c>
      <c r="T120" s="859"/>
      <c r="U120" s="860"/>
      <c r="V120" s="857" t="s">
        <v>5552</v>
      </c>
      <c r="W120" s="857"/>
      <c r="X120" s="857"/>
      <c r="Y120" s="857" t="s">
        <v>5553</v>
      </c>
      <c r="Z120" s="857"/>
      <c r="AA120" s="857"/>
      <c r="AB120" s="857" t="s">
        <v>5554</v>
      </c>
      <c r="AC120" s="857"/>
      <c r="AD120" s="857"/>
    </row>
    <row r="121" spans="1:52" ht="48" customHeight="1">
      <c r="A121" s="108"/>
      <c r="B121" s="38"/>
      <c r="C121" s="732"/>
      <c r="D121" s="732"/>
      <c r="E121" s="732"/>
      <c r="F121" s="732"/>
      <c r="G121" s="732"/>
      <c r="H121" s="732"/>
      <c r="I121" s="732"/>
      <c r="J121" s="732"/>
      <c r="K121" s="732"/>
      <c r="L121" s="732"/>
      <c r="M121" s="732"/>
      <c r="N121" s="732"/>
      <c r="O121" s="732"/>
      <c r="P121" s="888"/>
      <c r="Q121" s="890"/>
      <c r="R121" s="890"/>
      <c r="S121" s="129" t="s">
        <v>2635</v>
      </c>
      <c r="T121" s="128" t="s">
        <v>2629</v>
      </c>
      <c r="U121" s="128" t="s">
        <v>2630</v>
      </c>
      <c r="V121" s="129" t="s">
        <v>2635</v>
      </c>
      <c r="W121" s="128" t="s">
        <v>2629</v>
      </c>
      <c r="X121" s="128" t="s">
        <v>2630</v>
      </c>
      <c r="Y121" s="129" t="s">
        <v>2635</v>
      </c>
      <c r="Z121" s="128" t="s">
        <v>2629</v>
      </c>
      <c r="AA121" s="128" t="s">
        <v>2630</v>
      </c>
      <c r="AB121" s="129" t="s">
        <v>2635</v>
      </c>
      <c r="AC121" s="128" t="s">
        <v>2629</v>
      </c>
      <c r="AD121" s="128" t="s">
        <v>2630</v>
      </c>
      <c r="AF121" s="679" t="s">
        <v>4680</v>
      </c>
      <c r="AG121" t="s">
        <v>2586</v>
      </c>
      <c r="AH121" t="s">
        <v>4581</v>
      </c>
      <c r="AI121"/>
      <c r="AJ121"/>
      <c r="AK121" t="s">
        <v>4573</v>
      </c>
      <c r="AL121" t="s">
        <v>2638</v>
      </c>
      <c r="AM121" t="s">
        <v>2639</v>
      </c>
      <c r="AN121" t="s">
        <v>4574</v>
      </c>
      <c r="AO121" t="s">
        <v>2641</v>
      </c>
      <c r="AP121" t="s">
        <v>2642</v>
      </c>
      <c r="AQ121" t="s">
        <v>4575</v>
      </c>
      <c r="AR121" t="s">
        <v>2644</v>
      </c>
      <c r="AS121" t="s">
        <v>2645</v>
      </c>
      <c r="AT121" t="s">
        <v>4576</v>
      </c>
      <c r="AU121" t="s">
        <v>2647</v>
      </c>
      <c r="AV121" t="s">
        <v>2648</v>
      </c>
      <c r="AW121" t="s">
        <v>5177</v>
      </c>
      <c r="AX121" t="s">
        <v>2757</v>
      </c>
      <c r="AY121" t="s">
        <v>2758</v>
      </c>
      <c r="AZ121" t="s">
        <v>4582</v>
      </c>
    </row>
    <row r="122" spans="1:52" ht="15" customHeight="1">
      <c r="A122" s="108"/>
      <c r="B122" s="38"/>
      <c r="C122" s="97" t="s">
        <v>2516</v>
      </c>
      <c r="D122" s="796" t="str">
        <f>IF(CNSIPEE_2024_M2_Secc1!D42="","",CNSIPEE_2024_M2_Secc1!D42)</f>
        <v/>
      </c>
      <c r="E122" s="796"/>
      <c r="F122" s="796"/>
      <c r="G122" s="796"/>
      <c r="H122" s="796"/>
      <c r="I122" s="796"/>
      <c r="J122" s="796"/>
      <c r="K122" s="796"/>
      <c r="L122" s="796"/>
      <c r="M122" s="796"/>
      <c r="N122" s="796"/>
      <c r="O122" s="796"/>
      <c r="P122" s="100"/>
      <c r="Q122" s="100"/>
      <c r="R122" s="100"/>
      <c r="S122" s="100"/>
      <c r="T122" s="100"/>
      <c r="U122" s="100"/>
      <c r="V122" s="100"/>
      <c r="W122" s="100"/>
      <c r="X122" s="100"/>
      <c r="Y122" s="100"/>
      <c r="Z122" s="100"/>
      <c r="AA122" s="100"/>
      <c r="AB122" s="100"/>
      <c r="AC122" s="100"/>
      <c r="AD122" s="100"/>
      <c r="AF122" s="249">
        <f>IF(AND(OR(AB144=0,AB144="NA",AB144="NS"),F146&lt;&gt;""),1,0)</f>
        <v>0</v>
      </c>
      <c r="AG122">
        <f>IF(OR($M43=0,$M43="NS",$M43="NA"),0,IF(OR(SUM(COUNTBLANK(D122:AD122),COUNTBLANK(G136:AD136))=11,SUM(COUNTBLANK(D122:AD122),COUNTBLANK(G136:AD136))=51),0,1))</f>
        <v>0</v>
      </c>
      <c r="AH122">
        <f>IF(OR($M43=0,$M43="NS",$M43="NA"),IF(SUM(COUNTBLANK(P122:AD122),COUNTBLANK(G136:AD136))=39,0,1),0)</f>
        <v>0</v>
      </c>
      <c r="AI122"/>
      <c r="AJ122"/>
      <c r="AK122">
        <f t="shared" ref="AK122:AK129" si="37">COUNTIF(Q122:R122,"NS")</f>
        <v>0</v>
      </c>
      <c r="AL122">
        <f t="shared" ref="AL122:AL129" si="38">SUM(Q122:R122)</f>
        <v>0</v>
      </c>
      <c r="AM122">
        <f>IF(COUNTIF(P122:R122,"NA")=3,0,IF(COUNTA(P122:R122)=0,0,IF(OR(AND(P122=0,AK122&gt;0),AND(P122="ns",AL122&gt;0),AND(P122="ns",AK122=0,AL122=0)),1,IF(OR(AND(P122&gt;0,AK122=2),AND(P122="ns",AK122=2),AND(P122="ns",AL122=0,AK122&gt;0),P122=AL122),0,1))))</f>
        <v>0</v>
      </c>
      <c r="AN122">
        <f t="shared" ref="AN122:AN129" si="39">COUNTIF(T122:U122,"NS")</f>
        <v>0</v>
      </c>
      <c r="AO122">
        <f t="shared" ref="AO122:AO129" si="40">SUM(T122:U122)</f>
        <v>0</v>
      </c>
      <c r="AP122">
        <f t="shared" ref="AP122:AP129" si="41">IF(COUNTIF(S122:U122,"NA")=3,0,IF(COUNTA(S122:U122)=0,0,IF(OR(AND(S122=0,AN122&gt;0),AND(S122="ns",AO122&gt;0),AND(S122="ns",AN122=0,AO122=0)),1,IF(OR(AND(S122&gt;0,AN122=2),AND(S122="ns",AN122=2),AND(S122="ns",AO122=0,AN122&gt;0),S122=AO122),0,1))))</f>
        <v>0</v>
      </c>
      <c r="AQ122">
        <f t="shared" ref="AQ122:AQ129" si="42">COUNTIF(W122:X122,"NS")</f>
        <v>0</v>
      </c>
      <c r="AR122">
        <f t="shared" ref="AR122:AR129" si="43">SUM(W122:X122)</f>
        <v>0</v>
      </c>
      <c r="AS122">
        <f t="shared" ref="AS122:AS129" si="44">IF(COUNTIF(V122:X122,"NA")=3,0,IF(COUNTA(V122:X122)=0,0,IF(OR(AND(V122=0,AQ122&gt;0),AND(V122="ns",AR122&gt;0),AND(V122="ns",AQ122=0,AR122=0)),1,IF(OR(AND(V122&gt;0,AQ122=2),AND(V122="ns",AQ122=2),AND(V122="ns",AR122=0,AQ122&gt;0),V122=AR122),0,1))))</f>
        <v>0</v>
      </c>
      <c r="AT122">
        <f t="shared" ref="AT122:AT129" si="45">COUNTIF(Z122:AA122,"NS")</f>
        <v>0</v>
      </c>
      <c r="AU122">
        <f t="shared" ref="AU122:AU129" si="46">SUM(Z122:AA122)</f>
        <v>0</v>
      </c>
      <c r="AV122">
        <f t="shared" ref="AV122:AV129" si="47">IF(COUNTIF(Y122:AA122,"NA")=3,0,IF(COUNTA(Y122:AA122)=0,0,IF(OR(AND(Y122=0,AT122&gt;0),AND(Y122="ns",AU122&gt;0),AND(Y122="ns",AT122=0,AU122=0)),1,IF(OR(AND(Y122&gt;0,AT122=2),AND(Y122="ns",AT122=2),AND(Y122="ns",AU122=0,AT122&gt;0),Y122=AU122),0,1))))</f>
        <v>0</v>
      </c>
      <c r="AW122">
        <f t="shared" ref="AW122:AW129" si="48">COUNTIF(AC122:AD122,"NS")</f>
        <v>0</v>
      </c>
      <c r="AX122">
        <f t="shared" ref="AX122:AX129" si="49">SUM(AC122:AD122)</f>
        <v>0</v>
      </c>
      <c r="AY122">
        <f t="shared" ref="AY122:AY129" si="50">IF(COUNTIF(AB122:AD122,"NA")=3,0,IF(COUNTA(AB122:AD122)=0,0,IF(OR(AND(AB122=0,AW122&gt;0),AND(AB122="ns",AX122&gt;0),AND(AB122="ns",AW122=0,AX122=0)),1,IF(OR(AND(AB122&gt;0,AW122=2),AND(AB122="ns",AW122=2),AND(AB122="ns",AX122=0,AW122&gt;0),AB122=AX122),0,1))))</f>
        <v>0</v>
      </c>
      <c r="AZ122">
        <f t="shared" ref="AZ122:AZ129" si="51">IF(OR($M43=0,$M43="NS",$M43="NA"),0,IF(AND(M43=P122,S43=Q122,Y43=R122),0,1))</f>
        <v>0</v>
      </c>
    </row>
    <row r="123" spans="1:52" ht="15" customHeight="1">
      <c r="A123" s="108"/>
      <c r="B123" s="38"/>
      <c r="C123" s="98" t="s">
        <v>2517</v>
      </c>
      <c r="D123" s="796" t="str">
        <f>IF(CNSIPEE_2024_M2_Secc1!D43="","",CNSIPEE_2024_M2_Secc1!D43)</f>
        <v/>
      </c>
      <c r="E123" s="796"/>
      <c r="F123" s="796"/>
      <c r="G123" s="796"/>
      <c r="H123" s="796"/>
      <c r="I123" s="796"/>
      <c r="J123" s="796"/>
      <c r="K123" s="796"/>
      <c r="L123" s="796"/>
      <c r="M123" s="796"/>
      <c r="N123" s="796"/>
      <c r="O123" s="796"/>
      <c r="P123" s="100"/>
      <c r="Q123" s="100"/>
      <c r="R123" s="100"/>
      <c r="S123" s="100"/>
      <c r="T123" s="100"/>
      <c r="U123" s="100"/>
      <c r="V123" s="100"/>
      <c r="W123" s="100"/>
      <c r="X123" s="100"/>
      <c r="Y123" s="100"/>
      <c r="Z123" s="100"/>
      <c r="AA123" s="100"/>
      <c r="AB123" s="100"/>
      <c r="AC123" s="100"/>
      <c r="AD123" s="100"/>
      <c r="AF123"/>
      <c r="AG123">
        <f t="shared" ref="AG123:AG128" si="52">IF(OR($M44=0,$M44="NS",$M44="NA"),0,IF(OR(SUM(COUNTBLANK(D123:AD123),COUNTBLANK(G137:AD137))=11,SUM(COUNTBLANK(D123:AD123),COUNTBLANK(G137:AD137))=51),0,1))</f>
        <v>0</v>
      </c>
      <c r="AH123">
        <f t="shared" ref="AH123:AH128" si="53">IF(OR($M44=0,$M44="NS",$M44="NA"),IF(SUM(COUNTBLANK(P123:AD123),COUNTBLANK(G137:AD137))=39,0,1),0)</f>
        <v>0</v>
      </c>
      <c r="AI123"/>
      <c r="AJ123"/>
      <c r="AK123">
        <f t="shared" si="37"/>
        <v>0</v>
      </c>
      <c r="AL123">
        <f t="shared" si="38"/>
        <v>0</v>
      </c>
      <c r="AM123">
        <f t="shared" ref="AM123:AM129" si="54">IF(COUNTIF(P123:R123,"NA")=3,0,IF(COUNTA(P123:R123)=0,0,IF(OR(AND(P123=0,AK123&gt;0),AND(P123="ns",AL123&gt;0),AND(P123="ns",AK123=0,AL123=0)),1,IF(OR(AND(P123&gt;0,AK123=2),AND(P123="ns",AK123=2),AND(P123="ns",AL123=0,AK123&gt;0),P123=AL123),0,1))))</f>
        <v>0</v>
      </c>
      <c r="AN123">
        <f t="shared" si="39"/>
        <v>0</v>
      </c>
      <c r="AO123">
        <f t="shared" si="40"/>
        <v>0</v>
      </c>
      <c r="AP123">
        <f t="shared" si="41"/>
        <v>0</v>
      </c>
      <c r="AQ123">
        <f t="shared" si="42"/>
        <v>0</v>
      </c>
      <c r="AR123">
        <f t="shared" si="43"/>
        <v>0</v>
      </c>
      <c r="AS123">
        <f t="shared" si="44"/>
        <v>0</v>
      </c>
      <c r="AT123">
        <f t="shared" si="45"/>
        <v>0</v>
      </c>
      <c r="AU123">
        <f t="shared" si="46"/>
        <v>0</v>
      </c>
      <c r="AV123">
        <f t="shared" si="47"/>
        <v>0</v>
      </c>
      <c r="AW123">
        <f t="shared" si="48"/>
        <v>0</v>
      </c>
      <c r="AX123">
        <f t="shared" si="49"/>
        <v>0</v>
      </c>
      <c r="AY123">
        <f t="shared" si="50"/>
        <v>0</v>
      </c>
      <c r="AZ123">
        <f t="shared" si="51"/>
        <v>0</v>
      </c>
    </row>
    <row r="124" spans="1:52" ht="15" customHeight="1">
      <c r="A124" s="108"/>
      <c r="B124" s="38"/>
      <c r="C124" s="98" t="s">
        <v>2518</v>
      </c>
      <c r="D124" s="796" t="str">
        <f>IF(CNSIPEE_2024_M2_Secc1!D44="","",CNSIPEE_2024_M2_Secc1!D44)</f>
        <v/>
      </c>
      <c r="E124" s="796"/>
      <c r="F124" s="796"/>
      <c r="G124" s="796"/>
      <c r="H124" s="796"/>
      <c r="I124" s="796"/>
      <c r="J124" s="796"/>
      <c r="K124" s="796"/>
      <c r="L124" s="796"/>
      <c r="M124" s="796"/>
      <c r="N124" s="796"/>
      <c r="O124" s="796"/>
      <c r="P124" s="100"/>
      <c r="Q124" s="100"/>
      <c r="R124" s="100"/>
      <c r="S124" s="100"/>
      <c r="T124" s="100"/>
      <c r="U124" s="100"/>
      <c r="V124" s="100"/>
      <c r="W124" s="100"/>
      <c r="X124" s="100"/>
      <c r="Y124" s="100"/>
      <c r="Z124" s="100"/>
      <c r="AA124" s="100"/>
      <c r="AB124" s="100"/>
      <c r="AC124" s="100"/>
      <c r="AD124" s="100"/>
      <c r="AF124"/>
      <c r="AG124">
        <f t="shared" si="52"/>
        <v>0</v>
      </c>
      <c r="AH124">
        <f t="shared" si="53"/>
        <v>0</v>
      </c>
      <c r="AI124"/>
      <c r="AJ124"/>
      <c r="AK124">
        <f t="shared" si="37"/>
        <v>0</v>
      </c>
      <c r="AL124">
        <f t="shared" si="38"/>
        <v>0</v>
      </c>
      <c r="AM124">
        <f t="shared" si="54"/>
        <v>0</v>
      </c>
      <c r="AN124">
        <f t="shared" si="39"/>
        <v>0</v>
      </c>
      <c r="AO124">
        <f t="shared" si="40"/>
        <v>0</v>
      </c>
      <c r="AP124">
        <f t="shared" si="41"/>
        <v>0</v>
      </c>
      <c r="AQ124">
        <f t="shared" si="42"/>
        <v>0</v>
      </c>
      <c r="AR124">
        <f t="shared" si="43"/>
        <v>0</v>
      </c>
      <c r="AS124">
        <f t="shared" si="44"/>
        <v>0</v>
      </c>
      <c r="AT124">
        <f t="shared" si="45"/>
        <v>0</v>
      </c>
      <c r="AU124">
        <f t="shared" si="46"/>
        <v>0</v>
      </c>
      <c r="AV124">
        <f t="shared" si="47"/>
        <v>0</v>
      </c>
      <c r="AW124">
        <f t="shared" si="48"/>
        <v>0</v>
      </c>
      <c r="AX124">
        <f t="shared" si="49"/>
        <v>0</v>
      </c>
      <c r="AY124">
        <f t="shared" si="50"/>
        <v>0</v>
      </c>
      <c r="AZ124">
        <f t="shared" si="51"/>
        <v>0</v>
      </c>
    </row>
    <row r="125" spans="1:52" ht="15" customHeight="1">
      <c r="A125" s="108"/>
      <c r="B125" s="38"/>
      <c r="C125" s="98" t="s">
        <v>2519</v>
      </c>
      <c r="D125" s="796" t="str">
        <f>IF(CNSIPEE_2024_M2_Secc1!D45="","",CNSIPEE_2024_M2_Secc1!D45)</f>
        <v/>
      </c>
      <c r="E125" s="796"/>
      <c r="F125" s="796"/>
      <c r="G125" s="796"/>
      <c r="H125" s="796"/>
      <c r="I125" s="796"/>
      <c r="J125" s="796"/>
      <c r="K125" s="796"/>
      <c r="L125" s="796"/>
      <c r="M125" s="796"/>
      <c r="N125" s="796"/>
      <c r="O125" s="796"/>
      <c r="P125" s="100"/>
      <c r="Q125" s="100"/>
      <c r="R125" s="100"/>
      <c r="S125" s="100"/>
      <c r="T125" s="100"/>
      <c r="U125" s="100"/>
      <c r="V125" s="100"/>
      <c r="W125" s="100"/>
      <c r="X125" s="100"/>
      <c r="Y125" s="100"/>
      <c r="Z125" s="100"/>
      <c r="AA125" s="100"/>
      <c r="AB125" s="100"/>
      <c r="AC125" s="100"/>
      <c r="AD125" s="100"/>
      <c r="AF125"/>
      <c r="AG125">
        <f t="shared" si="52"/>
        <v>0</v>
      </c>
      <c r="AH125">
        <f t="shared" si="53"/>
        <v>0</v>
      </c>
      <c r="AI125"/>
      <c r="AJ125"/>
      <c r="AK125">
        <f t="shared" si="37"/>
        <v>0</v>
      </c>
      <c r="AL125">
        <f t="shared" si="38"/>
        <v>0</v>
      </c>
      <c r="AM125">
        <f t="shared" si="54"/>
        <v>0</v>
      </c>
      <c r="AN125">
        <f t="shared" si="39"/>
        <v>0</v>
      </c>
      <c r="AO125">
        <f t="shared" si="40"/>
        <v>0</v>
      </c>
      <c r="AP125">
        <f t="shared" si="41"/>
        <v>0</v>
      </c>
      <c r="AQ125">
        <f t="shared" si="42"/>
        <v>0</v>
      </c>
      <c r="AR125">
        <f t="shared" si="43"/>
        <v>0</v>
      </c>
      <c r="AS125">
        <f t="shared" si="44"/>
        <v>0</v>
      </c>
      <c r="AT125">
        <f t="shared" si="45"/>
        <v>0</v>
      </c>
      <c r="AU125">
        <f t="shared" si="46"/>
        <v>0</v>
      </c>
      <c r="AV125">
        <f t="shared" si="47"/>
        <v>0</v>
      </c>
      <c r="AW125">
        <f t="shared" si="48"/>
        <v>0</v>
      </c>
      <c r="AX125">
        <f t="shared" si="49"/>
        <v>0</v>
      </c>
      <c r="AY125">
        <f t="shared" si="50"/>
        <v>0</v>
      </c>
      <c r="AZ125">
        <f t="shared" si="51"/>
        <v>0</v>
      </c>
    </row>
    <row r="126" spans="1:52" ht="15" customHeight="1">
      <c r="A126" s="108"/>
      <c r="B126" s="38"/>
      <c r="C126" s="98" t="s">
        <v>2520</v>
      </c>
      <c r="D126" s="796" t="str">
        <f>IF(CNSIPEE_2024_M2_Secc1!D46="","",CNSIPEE_2024_M2_Secc1!D46)</f>
        <v/>
      </c>
      <c r="E126" s="796"/>
      <c r="F126" s="796"/>
      <c r="G126" s="796"/>
      <c r="H126" s="796"/>
      <c r="I126" s="796"/>
      <c r="J126" s="796"/>
      <c r="K126" s="796"/>
      <c r="L126" s="796"/>
      <c r="M126" s="796"/>
      <c r="N126" s="796"/>
      <c r="O126" s="796"/>
      <c r="P126" s="100"/>
      <c r="Q126" s="100"/>
      <c r="R126" s="100"/>
      <c r="S126" s="100"/>
      <c r="T126" s="100"/>
      <c r="U126" s="100"/>
      <c r="V126" s="100"/>
      <c r="W126" s="100"/>
      <c r="X126" s="100"/>
      <c r="Y126" s="100"/>
      <c r="Z126" s="100"/>
      <c r="AA126" s="100"/>
      <c r="AB126" s="100"/>
      <c r="AC126" s="100"/>
      <c r="AD126" s="100"/>
      <c r="AF126"/>
      <c r="AG126">
        <f t="shared" si="52"/>
        <v>0</v>
      </c>
      <c r="AH126">
        <f t="shared" si="53"/>
        <v>0</v>
      </c>
      <c r="AI126"/>
      <c r="AJ126"/>
      <c r="AK126">
        <f t="shared" si="37"/>
        <v>0</v>
      </c>
      <c r="AL126">
        <f t="shared" si="38"/>
        <v>0</v>
      </c>
      <c r="AM126">
        <f t="shared" si="54"/>
        <v>0</v>
      </c>
      <c r="AN126">
        <f t="shared" si="39"/>
        <v>0</v>
      </c>
      <c r="AO126">
        <f t="shared" si="40"/>
        <v>0</v>
      </c>
      <c r="AP126">
        <f t="shared" si="41"/>
        <v>0</v>
      </c>
      <c r="AQ126">
        <f t="shared" si="42"/>
        <v>0</v>
      </c>
      <c r="AR126">
        <f t="shared" si="43"/>
        <v>0</v>
      </c>
      <c r="AS126">
        <f t="shared" si="44"/>
        <v>0</v>
      </c>
      <c r="AT126">
        <f t="shared" si="45"/>
        <v>0</v>
      </c>
      <c r="AU126">
        <f t="shared" si="46"/>
        <v>0</v>
      </c>
      <c r="AV126">
        <f t="shared" si="47"/>
        <v>0</v>
      </c>
      <c r="AW126">
        <f t="shared" si="48"/>
        <v>0</v>
      </c>
      <c r="AX126">
        <f t="shared" si="49"/>
        <v>0</v>
      </c>
      <c r="AY126">
        <f t="shared" si="50"/>
        <v>0</v>
      </c>
      <c r="AZ126">
        <f t="shared" si="51"/>
        <v>0</v>
      </c>
    </row>
    <row r="127" spans="1:52" ht="15" customHeight="1">
      <c r="A127" s="108"/>
      <c r="B127" s="38"/>
      <c r="C127" s="98" t="s">
        <v>2521</v>
      </c>
      <c r="D127" s="796" t="str">
        <f>IF(CNSIPEE_2024_M2_Secc1!D47="","",CNSIPEE_2024_M2_Secc1!D47)</f>
        <v/>
      </c>
      <c r="E127" s="796"/>
      <c r="F127" s="796"/>
      <c r="G127" s="796"/>
      <c r="H127" s="796"/>
      <c r="I127" s="796"/>
      <c r="J127" s="796"/>
      <c r="K127" s="796"/>
      <c r="L127" s="796"/>
      <c r="M127" s="796"/>
      <c r="N127" s="796"/>
      <c r="O127" s="796"/>
      <c r="P127" s="100"/>
      <c r="Q127" s="100"/>
      <c r="R127" s="100"/>
      <c r="S127" s="100"/>
      <c r="T127" s="100"/>
      <c r="U127" s="100"/>
      <c r="V127" s="100"/>
      <c r="W127" s="100"/>
      <c r="X127" s="100"/>
      <c r="Y127" s="100"/>
      <c r="Z127" s="100"/>
      <c r="AA127" s="100"/>
      <c r="AB127" s="100"/>
      <c r="AC127" s="100"/>
      <c r="AD127" s="100"/>
      <c r="AF127"/>
      <c r="AG127">
        <f t="shared" si="52"/>
        <v>0</v>
      </c>
      <c r="AH127">
        <f t="shared" si="53"/>
        <v>0</v>
      </c>
      <c r="AI127"/>
      <c r="AJ127"/>
      <c r="AK127">
        <f t="shared" si="37"/>
        <v>0</v>
      </c>
      <c r="AL127">
        <f t="shared" si="38"/>
        <v>0</v>
      </c>
      <c r="AM127">
        <f t="shared" si="54"/>
        <v>0</v>
      </c>
      <c r="AN127">
        <f t="shared" si="39"/>
        <v>0</v>
      </c>
      <c r="AO127">
        <f t="shared" si="40"/>
        <v>0</v>
      </c>
      <c r="AP127">
        <f t="shared" si="41"/>
        <v>0</v>
      </c>
      <c r="AQ127">
        <f t="shared" si="42"/>
        <v>0</v>
      </c>
      <c r="AR127">
        <f t="shared" si="43"/>
        <v>0</v>
      </c>
      <c r="AS127">
        <f t="shared" si="44"/>
        <v>0</v>
      </c>
      <c r="AT127">
        <f t="shared" si="45"/>
        <v>0</v>
      </c>
      <c r="AU127">
        <f t="shared" si="46"/>
        <v>0</v>
      </c>
      <c r="AV127">
        <f t="shared" si="47"/>
        <v>0</v>
      </c>
      <c r="AW127">
        <f t="shared" si="48"/>
        <v>0</v>
      </c>
      <c r="AX127">
        <f t="shared" si="49"/>
        <v>0</v>
      </c>
      <c r="AY127">
        <f t="shared" si="50"/>
        <v>0</v>
      </c>
      <c r="AZ127">
        <f t="shared" si="51"/>
        <v>0</v>
      </c>
    </row>
    <row r="128" spans="1:52" ht="15" customHeight="1">
      <c r="A128" s="176"/>
      <c r="B128" s="57"/>
      <c r="C128" s="98" t="s">
        <v>2522</v>
      </c>
      <c r="D128" s="796" t="str">
        <f>IF(CNSIPEE_2024_M2_Secc1!D48="","",CNSIPEE_2024_M2_Secc1!D48)</f>
        <v/>
      </c>
      <c r="E128" s="796"/>
      <c r="F128" s="796"/>
      <c r="G128" s="796"/>
      <c r="H128" s="796"/>
      <c r="I128" s="796"/>
      <c r="J128" s="796"/>
      <c r="K128" s="796"/>
      <c r="L128" s="796"/>
      <c r="M128" s="796"/>
      <c r="N128" s="796"/>
      <c r="O128" s="796"/>
      <c r="P128" s="100"/>
      <c r="Q128" s="100"/>
      <c r="R128" s="100"/>
      <c r="S128" s="100"/>
      <c r="T128" s="100"/>
      <c r="U128" s="100"/>
      <c r="V128" s="100"/>
      <c r="W128" s="100"/>
      <c r="X128" s="100"/>
      <c r="Y128" s="100"/>
      <c r="Z128" s="100"/>
      <c r="AA128" s="100"/>
      <c r="AB128" s="100"/>
      <c r="AC128" s="100"/>
      <c r="AD128" s="100"/>
      <c r="AF128"/>
      <c r="AG128">
        <f t="shared" si="52"/>
        <v>0</v>
      </c>
      <c r="AH128">
        <f t="shared" si="53"/>
        <v>0</v>
      </c>
      <c r="AI128"/>
      <c r="AJ128"/>
      <c r="AK128">
        <f t="shared" si="37"/>
        <v>0</v>
      </c>
      <c r="AL128">
        <f t="shared" si="38"/>
        <v>0</v>
      </c>
      <c r="AM128">
        <f t="shared" si="54"/>
        <v>0</v>
      </c>
      <c r="AN128">
        <f t="shared" si="39"/>
        <v>0</v>
      </c>
      <c r="AO128">
        <f t="shared" si="40"/>
        <v>0</v>
      </c>
      <c r="AP128">
        <f t="shared" si="41"/>
        <v>0</v>
      </c>
      <c r="AQ128">
        <f t="shared" si="42"/>
        <v>0</v>
      </c>
      <c r="AR128">
        <f t="shared" si="43"/>
        <v>0</v>
      </c>
      <c r="AS128">
        <f t="shared" si="44"/>
        <v>0</v>
      </c>
      <c r="AT128">
        <f t="shared" si="45"/>
        <v>0</v>
      </c>
      <c r="AU128">
        <f t="shared" si="46"/>
        <v>0</v>
      </c>
      <c r="AV128">
        <f t="shared" si="47"/>
        <v>0</v>
      </c>
      <c r="AW128">
        <f t="shared" si="48"/>
        <v>0</v>
      </c>
      <c r="AX128">
        <f t="shared" si="49"/>
        <v>0</v>
      </c>
      <c r="AY128">
        <f t="shared" si="50"/>
        <v>0</v>
      </c>
      <c r="AZ128">
        <f t="shared" si="51"/>
        <v>0</v>
      </c>
    </row>
    <row r="129" spans="1:60" ht="15" customHeight="1">
      <c r="A129" s="176"/>
      <c r="B129" s="57"/>
      <c r="C129" s="98" t="s">
        <v>2523</v>
      </c>
      <c r="D129" s="796" t="str">
        <f>IF(CNSIPEE_2024_M2_Secc1!D49="","",CNSIPEE_2024_M2_Secc1!D49)</f>
        <v/>
      </c>
      <c r="E129" s="796"/>
      <c r="F129" s="796"/>
      <c r="G129" s="796"/>
      <c r="H129" s="796"/>
      <c r="I129" s="796"/>
      <c r="J129" s="796"/>
      <c r="K129" s="796"/>
      <c r="L129" s="796"/>
      <c r="M129" s="796"/>
      <c r="N129" s="796"/>
      <c r="O129" s="796"/>
      <c r="P129" s="100"/>
      <c r="Q129" s="100"/>
      <c r="R129" s="100"/>
      <c r="S129" s="100"/>
      <c r="T129" s="100"/>
      <c r="U129" s="100"/>
      <c r="V129" s="100"/>
      <c r="W129" s="100"/>
      <c r="X129" s="100"/>
      <c r="Y129" s="100"/>
      <c r="Z129" s="100"/>
      <c r="AA129" s="100"/>
      <c r="AB129" s="100"/>
      <c r="AC129" s="100"/>
      <c r="AD129" s="100"/>
      <c r="AF129"/>
      <c r="AG129">
        <f>IF(OR($M50=0,$M50="NS",$M50="NA"),0,IF(OR(SUM(COUNTBLANK(D129:AD129),COUNTBLANK(G143:AD143))=11,SUM(COUNTBLANK(D129:AD129),COUNTBLANK(G143:AD143))=51),0,1))</f>
        <v>0</v>
      </c>
      <c r="AH129">
        <f>IF(OR($M50=0,$M50="NS",$M50="NA"),IF(SUM(COUNTBLANK(P129:AD129),COUNTBLANK(G143:AD143))=39,0,1),0)</f>
        <v>0</v>
      </c>
      <c r="AI129"/>
      <c r="AJ129"/>
      <c r="AK129">
        <f t="shared" si="37"/>
        <v>0</v>
      </c>
      <c r="AL129">
        <f t="shared" si="38"/>
        <v>0</v>
      </c>
      <c r="AM129">
        <f t="shared" si="54"/>
        <v>0</v>
      </c>
      <c r="AN129">
        <f t="shared" si="39"/>
        <v>0</v>
      </c>
      <c r="AO129">
        <f t="shared" si="40"/>
        <v>0</v>
      </c>
      <c r="AP129">
        <f t="shared" si="41"/>
        <v>0</v>
      </c>
      <c r="AQ129">
        <f t="shared" si="42"/>
        <v>0</v>
      </c>
      <c r="AR129">
        <f t="shared" si="43"/>
        <v>0</v>
      </c>
      <c r="AS129">
        <f t="shared" si="44"/>
        <v>0</v>
      </c>
      <c r="AT129">
        <f t="shared" si="45"/>
        <v>0</v>
      </c>
      <c r="AU129">
        <f t="shared" si="46"/>
        <v>0</v>
      </c>
      <c r="AV129">
        <f t="shared" si="47"/>
        <v>0</v>
      </c>
      <c r="AW129">
        <f t="shared" si="48"/>
        <v>0</v>
      </c>
      <c r="AX129">
        <f t="shared" si="49"/>
        <v>0</v>
      </c>
      <c r="AY129">
        <f t="shared" si="50"/>
        <v>0</v>
      </c>
      <c r="AZ129">
        <f t="shared" si="51"/>
        <v>0</v>
      </c>
    </row>
    <row r="130" spans="1:60" ht="15" customHeight="1">
      <c r="A130" s="176"/>
      <c r="B130" s="57"/>
      <c r="C130" s="70"/>
      <c r="D130" s="84"/>
      <c r="E130" s="84"/>
      <c r="F130" s="84"/>
      <c r="G130" s="84"/>
      <c r="H130" s="84"/>
      <c r="I130" s="84"/>
      <c r="J130" s="84"/>
      <c r="K130" s="84"/>
      <c r="L130" s="84"/>
      <c r="M130" s="84"/>
      <c r="N130" s="84"/>
      <c r="O130" s="117" t="s">
        <v>2649</v>
      </c>
      <c r="P130" s="124">
        <f t="shared" ref="P130:AD130" si="55">IF(AND(SUM(P122:P129)=0,COUNTIF(P122:P129,"NS")&gt;0),"NS",IF(AND(SUM(P122:P129)=0,COUNTIF(P122:P129,0)&gt;0),0,IF(AND(SUM(P122:P129)=0,COUNTIF(P122:P129,"NA")&gt;0),"NA",SUM(P122:P129))))</f>
        <v>0</v>
      </c>
      <c r="Q130" s="124">
        <f t="shared" si="55"/>
        <v>0</v>
      </c>
      <c r="R130" s="124">
        <f t="shared" si="55"/>
        <v>0</v>
      </c>
      <c r="S130" s="124">
        <f t="shared" si="55"/>
        <v>0</v>
      </c>
      <c r="T130" s="124">
        <f t="shared" si="55"/>
        <v>0</v>
      </c>
      <c r="U130" s="124">
        <f t="shared" si="55"/>
        <v>0</v>
      </c>
      <c r="V130" s="124">
        <f t="shared" si="55"/>
        <v>0</v>
      </c>
      <c r="W130" s="124">
        <f t="shared" si="55"/>
        <v>0</v>
      </c>
      <c r="X130" s="124">
        <f t="shared" si="55"/>
        <v>0</v>
      </c>
      <c r="Y130" s="124">
        <f t="shared" si="55"/>
        <v>0</v>
      </c>
      <c r="Z130" s="124">
        <f t="shared" si="55"/>
        <v>0</v>
      </c>
      <c r="AA130" s="124">
        <f t="shared" si="55"/>
        <v>0</v>
      </c>
      <c r="AB130" s="124">
        <f t="shared" si="55"/>
        <v>0</v>
      </c>
      <c r="AC130" s="124">
        <f t="shared" si="55"/>
        <v>0</v>
      </c>
      <c r="AD130" s="124">
        <f t="shared" si="55"/>
        <v>0</v>
      </c>
      <c r="AF130"/>
      <c r="AG130" s="506">
        <f>SUM(AG122:AG129)</f>
        <v>0</v>
      </c>
      <c r="AH130" s="506">
        <f>SUM(AH122:AH129)</f>
        <v>0</v>
      </c>
      <c r="AJ130"/>
      <c r="AK130">
        <f>SUM(AK122:AK129)</f>
        <v>0</v>
      </c>
      <c r="AM130">
        <f>SUM(AM122:AM129)</f>
        <v>0</v>
      </c>
      <c r="AN130">
        <f>SUM(AN122:AN129)</f>
        <v>0</v>
      </c>
      <c r="AP130">
        <f>SUM(AP122:AP129)</f>
        <v>0</v>
      </c>
      <c r="AQ130">
        <f>SUM(AQ122:AQ129)</f>
        <v>0</v>
      </c>
      <c r="AS130">
        <f>SUM(AS122:AS129)</f>
        <v>0</v>
      </c>
      <c r="AT130">
        <f>SUM(AT122:AT129)</f>
        <v>0</v>
      </c>
      <c r="AV130">
        <f>SUM(AV122:AV129)</f>
        <v>0</v>
      </c>
      <c r="AW130">
        <f>SUM(AW122:AW129)</f>
        <v>0</v>
      </c>
      <c r="AY130">
        <f>SUM(AY122:AY129)</f>
        <v>0</v>
      </c>
      <c r="AZ130" s="506">
        <f>SUM(AZ122:AZ129)</f>
        <v>0</v>
      </c>
    </row>
    <row r="131" spans="1:60" ht="15" customHeight="1">
      <c r="A131" s="10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F131"/>
      <c r="AK131" t="s">
        <v>2650</v>
      </c>
      <c r="AL131" s="405">
        <f>SUM(AM130,AP130,AS130,AV130,AY130)</f>
        <v>0</v>
      </c>
      <c r="AM131" t="s">
        <v>2651</v>
      </c>
      <c r="AN131" s="405">
        <f>SUM(AK130,AN130,AQ130,AT130,AW130)</f>
        <v>0</v>
      </c>
    </row>
    <row r="132" spans="1:60" ht="15" customHeight="1">
      <c r="A132" s="176"/>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873" t="s">
        <v>2668</v>
      </c>
      <c r="AB132" s="873"/>
      <c r="AC132" s="873"/>
      <c r="AD132" s="873"/>
      <c r="AF132"/>
      <c r="AK132" t="s">
        <v>2652</v>
      </c>
      <c r="AL132">
        <f>IF(AN131&gt;0,IF(SUM(P130)&gt;=SUM(S130,V130,Y130,AB130),0,1),IF(SUM(P130)&lt;&gt;SUM(S130,V130,Y130,AB130),1,0))</f>
        <v>0</v>
      </c>
      <c r="AM132" t="s">
        <v>2653</v>
      </c>
      <c r="AN132">
        <f>IF(AN131&gt;0,IF(SUM(Q130)&gt;=SUM(T130,W130,Z130,AC130),0,1),IF(SUM(Q130)&lt;&gt;SUM(T130,W130,Z130,AC130),1,0))</f>
        <v>0</v>
      </c>
      <c r="AO132" t="s">
        <v>2654</v>
      </c>
      <c r="AP132">
        <f>IF(AN131&gt;0,IF(SUM(R130)&gt;=SUM(U130,X130,AA130,AD130),0,1),IF(SUM(R130)&lt;&gt;SUM(U130,X130,AA130,AD130),1,0))</f>
        <v>0</v>
      </c>
    </row>
    <row r="133" spans="1:60" ht="24" customHeight="1">
      <c r="A133" s="176"/>
      <c r="B133" s="38"/>
      <c r="C133" s="797" t="s">
        <v>2581</v>
      </c>
      <c r="D133" s="798"/>
      <c r="E133" s="798"/>
      <c r="F133" s="799"/>
      <c r="G133" s="739" t="s">
        <v>5550</v>
      </c>
      <c r="H133" s="740"/>
      <c r="I133" s="740"/>
      <c r="J133" s="740"/>
      <c r="K133" s="740"/>
      <c r="L133" s="740"/>
      <c r="M133" s="740"/>
      <c r="N133" s="740"/>
      <c r="O133" s="740"/>
      <c r="P133" s="740"/>
      <c r="Q133" s="740"/>
      <c r="R133" s="740"/>
      <c r="S133" s="740"/>
      <c r="T133" s="740"/>
      <c r="U133" s="740"/>
      <c r="V133" s="740"/>
      <c r="W133" s="740"/>
      <c r="X133" s="740"/>
      <c r="Y133" s="740"/>
      <c r="Z133" s="740"/>
      <c r="AA133" s="740"/>
      <c r="AB133" s="740"/>
      <c r="AC133" s="740"/>
      <c r="AD133" s="741"/>
      <c r="AF133"/>
    </row>
    <row r="134" spans="1:60" ht="120" customHeight="1">
      <c r="A134" s="176"/>
      <c r="B134" s="38"/>
      <c r="C134" s="800"/>
      <c r="D134" s="801"/>
      <c r="E134" s="801"/>
      <c r="F134" s="802"/>
      <c r="G134" s="857" t="s">
        <v>5555</v>
      </c>
      <c r="H134" s="857"/>
      <c r="I134" s="857"/>
      <c r="J134" s="857" t="s">
        <v>5556</v>
      </c>
      <c r="K134" s="857"/>
      <c r="L134" s="857"/>
      <c r="M134" s="857" t="s">
        <v>5557</v>
      </c>
      <c r="N134" s="857"/>
      <c r="O134" s="857"/>
      <c r="P134" s="857" t="s">
        <v>5558</v>
      </c>
      <c r="Q134" s="857"/>
      <c r="R134" s="857"/>
      <c r="S134" s="857" t="s">
        <v>5559</v>
      </c>
      <c r="T134" s="857"/>
      <c r="U134" s="857"/>
      <c r="V134" s="857" t="s">
        <v>5560</v>
      </c>
      <c r="W134" s="857"/>
      <c r="X134" s="857"/>
      <c r="Y134" s="857" t="s">
        <v>5561</v>
      </c>
      <c r="Z134" s="857"/>
      <c r="AA134" s="857"/>
      <c r="AB134" s="857" t="s">
        <v>5562</v>
      </c>
      <c r="AC134" s="857"/>
      <c r="AD134" s="857"/>
      <c r="AF134"/>
    </row>
    <row r="135" spans="1:60" ht="48" customHeight="1">
      <c r="A135" s="176"/>
      <c r="B135" s="38"/>
      <c r="C135" s="803"/>
      <c r="D135" s="804"/>
      <c r="E135" s="804"/>
      <c r="F135" s="805"/>
      <c r="G135" s="129" t="s">
        <v>2635</v>
      </c>
      <c r="H135" s="128" t="s">
        <v>2629</v>
      </c>
      <c r="I135" s="128" t="s">
        <v>2630</v>
      </c>
      <c r="J135" s="129" t="s">
        <v>2635</v>
      </c>
      <c r="K135" s="128" t="s">
        <v>2629</v>
      </c>
      <c r="L135" s="128" t="s">
        <v>2630</v>
      </c>
      <c r="M135" s="129" t="s">
        <v>2635</v>
      </c>
      <c r="N135" s="128" t="s">
        <v>2629</v>
      </c>
      <c r="O135" s="128" t="s">
        <v>2630</v>
      </c>
      <c r="P135" s="129" t="s">
        <v>2635</v>
      </c>
      <c r="Q135" s="128" t="s">
        <v>2629</v>
      </c>
      <c r="R135" s="128" t="s">
        <v>2630</v>
      </c>
      <c r="S135" s="129" t="s">
        <v>2635</v>
      </c>
      <c r="T135" s="128" t="s">
        <v>2629</v>
      </c>
      <c r="U135" s="128" t="s">
        <v>2630</v>
      </c>
      <c r="V135" s="129" t="s">
        <v>2635</v>
      </c>
      <c r="W135" s="128" t="s">
        <v>2629</v>
      </c>
      <c r="X135" s="128" t="s">
        <v>2630</v>
      </c>
      <c r="Y135" s="129" t="s">
        <v>2635</v>
      </c>
      <c r="Z135" s="128" t="s">
        <v>2629</v>
      </c>
      <c r="AA135" s="128" t="s">
        <v>2630</v>
      </c>
      <c r="AB135" s="129" t="s">
        <v>2635</v>
      </c>
      <c r="AC135" s="128" t="s">
        <v>2629</v>
      </c>
      <c r="AD135" s="128" t="s">
        <v>2630</v>
      </c>
      <c r="AF135"/>
      <c r="AK135" t="s">
        <v>4573</v>
      </c>
      <c r="AL135" t="s">
        <v>2638</v>
      </c>
      <c r="AM135" t="s">
        <v>2639</v>
      </c>
      <c r="AN135" t="s">
        <v>4574</v>
      </c>
      <c r="AO135" t="s">
        <v>2641</v>
      </c>
      <c r="AP135" t="s">
        <v>2642</v>
      </c>
      <c r="AQ135" t="s">
        <v>4575</v>
      </c>
      <c r="AR135" t="s">
        <v>2644</v>
      </c>
      <c r="AS135" t="s">
        <v>2645</v>
      </c>
      <c r="AT135" t="s">
        <v>4576</v>
      </c>
      <c r="AU135" t="s">
        <v>2647</v>
      </c>
      <c r="AV135" t="s">
        <v>2648</v>
      </c>
      <c r="AW135" t="s">
        <v>5177</v>
      </c>
      <c r="AX135" t="s">
        <v>2757</v>
      </c>
      <c r="AY135" t="s">
        <v>2758</v>
      </c>
      <c r="AZ135" t="s">
        <v>5194</v>
      </c>
      <c r="BA135" t="s">
        <v>2760</v>
      </c>
      <c r="BB135" t="s">
        <v>2761</v>
      </c>
      <c r="BC135" t="s">
        <v>5195</v>
      </c>
      <c r="BD135" t="s">
        <v>2763</v>
      </c>
      <c r="BE135" t="s">
        <v>2764</v>
      </c>
      <c r="BF135" t="s">
        <v>5563</v>
      </c>
      <c r="BG135" t="s">
        <v>2766</v>
      </c>
      <c r="BH135" t="s">
        <v>2767</v>
      </c>
    </row>
    <row r="136" spans="1:60" ht="15" customHeight="1">
      <c r="A136" s="176"/>
      <c r="B136" s="70"/>
      <c r="C136" s="44" t="s">
        <v>2516</v>
      </c>
      <c r="D136" s="813" t="str">
        <f>IF(CNSIPEE_2024_M2_Secc1!D42="","",CNSIPEE_2024_M2_Secc1!D42)</f>
        <v/>
      </c>
      <c r="E136" s="814"/>
      <c r="F136" s="815"/>
      <c r="G136" s="100"/>
      <c r="H136" s="100"/>
      <c r="I136" s="100"/>
      <c r="J136" s="100"/>
      <c r="K136" s="100"/>
      <c r="L136" s="100"/>
      <c r="M136" s="100"/>
      <c r="N136" s="100"/>
      <c r="O136" s="100"/>
      <c r="P136" s="100"/>
      <c r="Q136" s="100"/>
      <c r="R136" s="100"/>
      <c r="S136" s="100"/>
      <c r="T136" s="100"/>
      <c r="U136" s="100"/>
      <c r="V136" s="100"/>
      <c r="W136" s="100"/>
      <c r="X136" s="100"/>
      <c r="Y136" s="100"/>
      <c r="Z136" s="100"/>
      <c r="AA136" s="100"/>
      <c r="AB136" s="100"/>
      <c r="AC136" s="100"/>
      <c r="AD136" s="100"/>
      <c r="AF136"/>
      <c r="AK136">
        <f t="shared" ref="AK136:AK143" si="56">COUNTIF(H136:I136,"NS")</f>
        <v>0</v>
      </c>
      <c r="AL136">
        <f t="shared" ref="AL136:AL143" si="57">SUM(H136:I136)</f>
        <v>0</v>
      </c>
      <c r="AM136">
        <f>IF(COUNTIF(G136:I136,"NA")=3,0,IF(COUNTA(G136:I136)=0,0,IF(OR(AND(G136=0,AK136&gt;0),AND(G136="ns",AL136&gt;0),AND(G136="ns",AK136=0,AL136=0)),1,IF(OR(AND(G136&gt;0,AK136=2),AND(G136="ns",AK136=2),AND(G136="ns",AL136=0,AK136&gt;0),G136=AL136),0,1))))</f>
        <v>0</v>
      </c>
      <c r="AN136">
        <f t="shared" ref="AN136:AN143" si="58">COUNTIF(K136:L136,"NS")</f>
        <v>0</v>
      </c>
      <c r="AO136">
        <f t="shared" ref="AO136:AO143" si="59">SUM(K136:L136)</f>
        <v>0</v>
      </c>
      <c r="AP136">
        <f t="shared" ref="AP136:AP143" si="60">IF(COUNTIF(J136:L136,"NA")=3,0,IF(COUNTA(J136:L136)=0,0,IF(OR(AND(J136=0,AN136&gt;0),AND(J136="ns",AO136&gt;0),AND(J136="ns",AN136=0,AO136=0)),1,IF(OR(AND(J136&gt;0,AN136=2),AND(J136="ns",AN136=2),AND(J136="ns",AO136=0,AN136&gt;0),J136=AO136),0,1))))</f>
        <v>0</v>
      </c>
      <c r="AQ136">
        <f t="shared" ref="AQ136:AQ143" si="61">COUNTIF(N136:O136,"NS")</f>
        <v>0</v>
      </c>
      <c r="AR136">
        <f t="shared" ref="AR136:AR143" si="62">SUM(N136:O136)</f>
        <v>0</v>
      </c>
      <c r="AS136">
        <f t="shared" ref="AS136:AS143" si="63">IF(COUNTIF(M136:O136,"NA")=3,0,IF(COUNTA(M136:O136)=0,0,IF(OR(AND(M136=0,AQ136&gt;0),AND(M136="ns",AR136&gt;0),AND(M136="ns",AQ136=0,AR136=0)),1,IF(OR(AND(M136&gt;0,AQ136=2),AND(M136="ns",AQ136=2),AND(M136="ns",AR136=0,AQ136&gt;0),M136=AR136),0,1))))</f>
        <v>0</v>
      </c>
      <c r="AT136">
        <f t="shared" ref="AT136:AT143" si="64">COUNTIF(Q136:R136,"NS")</f>
        <v>0</v>
      </c>
      <c r="AU136">
        <f t="shared" ref="AU136:AU143" si="65">SUM(Q136:R136)</f>
        <v>0</v>
      </c>
      <c r="AV136">
        <f t="shared" ref="AV136:AV143" si="66">IF(COUNTIF(P136:R136,"NA")=3,0,IF(COUNTA(P136:R136)=0,0,IF(OR(AND(P136=0,AT136&gt;0),AND(P136="ns",AU136&gt;0),AND(P136="ns",AT136=0,AU136=0)),1,IF(OR(AND(P136&gt;0,AT136=2),AND(P136="ns",AT136=2),AND(P136="ns",AU136=0,AT136&gt;0),P136=AU136),0,1))))</f>
        <v>0</v>
      </c>
      <c r="AW136">
        <f t="shared" ref="AW136:AW143" si="67">COUNTIF(T136:U136,"NS")</f>
        <v>0</v>
      </c>
      <c r="AX136">
        <f t="shared" ref="AX136:AX143" si="68">SUM(T136:U136)</f>
        <v>0</v>
      </c>
      <c r="AY136">
        <f t="shared" ref="AY136:AY143" si="69">IF(COUNTIF(S136:U136,"NA")=3,0,IF(COUNTA(S136:U136)=0,0,IF(OR(AND(S136=0,AW136&gt;0),AND(S136="ns",AX136&gt;0),AND(S136="ns",AW136=0,AX136=0)),1,IF(OR(AND(S136&gt;0,AW136=2),AND(S136="ns",AW136=2),AND(S136="ns",AX136=0,AW136&gt;0),S136=AX136),0,1))))</f>
        <v>0</v>
      </c>
      <c r="AZ136">
        <f t="shared" ref="AZ136:AZ143" si="70">COUNTIF(W136:X136,"NS")</f>
        <v>0</v>
      </c>
      <c r="BA136">
        <f t="shared" ref="BA136:BA143" si="71">SUM(W136:X136)</f>
        <v>0</v>
      </c>
      <c r="BB136">
        <f t="shared" ref="BB136:BB143" si="72">IF(COUNTIF(V136:X136,"NA")=3,0,IF(COUNTA(V136:X136)=0,0,IF(OR(AND(V136=0,AZ136&gt;0),AND(V136="ns",BA136&gt;0),AND(V136="ns",AZ136=0,BA136=0)),1,IF(OR(AND(V136&gt;0,AZ136=2),AND(V136="ns",AZ136=2),AND(V136="ns",BA136=0,AZ136&gt;0),V136=BA136),0,1))))</f>
        <v>0</v>
      </c>
      <c r="BC136">
        <f t="shared" ref="BC136:BC143" si="73">COUNTIF(Z136:AA136,"NS")</f>
        <v>0</v>
      </c>
      <c r="BD136">
        <f t="shared" ref="BD136:BD143" si="74">SUM(Z136:AA136)</f>
        <v>0</v>
      </c>
      <c r="BE136">
        <f t="shared" ref="BE136:BE143" si="75">IF(COUNTIF(Y136:AA136,"NA")=3,0,IF(COUNTA(Y136:AA136)=0,0,IF(OR(AND(Y136=0,BC136&gt;0),AND(Y136="ns",BD136&gt;0),AND(Y136="ns",BC136=0,BD136=0)),1,IF(OR(AND(Y136&gt;0,BC136=2),AND(Y136="ns",BC136=2),AND(Y136="ns",BD136=0,BC136&gt;0),Y136=BD136),0,1))))</f>
        <v>0</v>
      </c>
      <c r="BF136">
        <f t="shared" ref="BF136:BF143" si="76">COUNTIF(AC136:AD136,"NS")</f>
        <v>0</v>
      </c>
      <c r="BG136">
        <f t="shared" ref="BG136:BG143" si="77">SUM(AC136:AD136)</f>
        <v>0</v>
      </c>
      <c r="BH136">
        <f t="shared" ref="BH136:BH143" si="78">IF(COUNTIF(AB136:AD136,"NA")=3,0,IF(COUNTA(AB136:AD136)=0,0,IF(OR(AND(AB136=0,BF136&gt;0),AND(AB136="ns",BG136&gt;0),AND(AB136="ns",BF136=0,BG136=0)),1,IF(OR(AND(AB136&gt;0,BF136=2),AND(AB136="ns",BF136=2),AND(AB136="ns",BG136=0,BF136&gt;0),AB136=BG136),0,1))))</f>
        <v>0</v>
      </c>
    </row>
    <row r="137" spans="1:60" ht="15" customHeight="1">
      <c r="A137" s="176"/>
      <c r="B137" s="70"/>
      <c r="C137" s="44" t="s">
        <v>2517</v>
      </c>
      <c r="D137" s="813" t="str">
        <f>IF(CNSIPEE_2024_M2_Secc1!D43="","",CNSIPEE_2024_M2_Secc1!D43)</f>
        <v/>
      </c>
      <c r="E137" s="814"/>
      <c r="F137" s="815"/>
      <c r="G137" s="100"/>
      <c r="H137" s="100"/>
      <c r="I137" s="100"/>
      <c r="J137" s="100"/>
      <c r="K137" s="100"/>
      <c r="L137" s="100"/>
      <c r="M137" s="100"/>
      <c r="N137" s="100"/>
      <c r="O137" s="100"/>
      <c r="P137" s="100"/>
      <c r="Q137" s="100"/>
      <c r="R137" s="100"/>
      <c r="S137" s="100"/>
      <c r="T137" s="100"/>
      <c r="U137" s="100"/>
      <c r="V137" s="100"/>
      <c r="W137" s="100"/>
      <c r="X137" s="100"/>
      <c r="Y137" s="100"/>
      <c r="Z137" s="100"/>
      <c r="AA137" s="100"/>
      <c r="AB137" s="100"/>
      <c r="AC137" s="100"/>
      <c r="AD137" s="100"/>
      <c r="AF137"/>
      <c r="AK137">
        <f t="shared" si="56"/>
        <v>0</v>
      </c>
      <c r="AL137">
        <f t="shared" si="57"/>
        <v>0</v>
      </c>
      <c r="AM137">
        <f t="shared" ref="AM137:AM143" si="79">IF(COUNTIF(G137:I137,"NA")=3,0,IF(COUNTA(G137:I137)=0,0,IF(OR(AND(G137=0,AK137&gt;0),AND(G137="ns",AL137&gt;0),AND(G137="ns",AK137=0,AL137=0)),1,IF(OR(AND(G137&gt;0,AK137=2),AND(G137="ns",AK137=2),AND(G137="ns",AL137=0,AK137&gt;0),G137=AL137),0,1))))</f>
        <v>0</v>
      </c>
      <c r="AN137">
        <f t="shared" si="58"/>
        <v>0</v>
      </c>
      <c r="AO137">
        <f t="shared" si="59"/>
        <v>0</v>
      </c>
      <c r="AP137">
        <f t="shared" si="60"/>
        <v>0</v>
      </c>
      <c r="AQ137">
        <f t="shared" si="61"/>
        <v>0</v>
      </c>
      <c r="AR137">
        <f t="shared" si="62"/>
        <v>0</v>
      </c>
      <c r="AS137">
        <f t="shared" si="63"/>
        <v>0</v>
      </c>
      <c r="AT137">
        <f t="shared" si="64"/>
        <v>0</v>
      </c>
      <c r="AU137">
        <f t="shared" si="65"/>
        <v>0</v>
      </c>
      <c r="AV137">
        <f t="shared" si="66"/>
        <v>0</v>
      </c>
      <c r="AW137">
        <f t="shared" si="67"/>
        <v>0</v>
      </c>
      <c r="AX137">
        <f t="shared" si="68"/>
        <v>0</v>
      </c>
      <c r="AY137">
        <f t="shared" si="69"/>
        <v>0</v>
      </c>
      <c r="AZ137">
        <f t="shared" si="70"/>
        <v>0</v>
      </c>
      <c r="BA137">
        <f t="shared" si="71"/>
        <v>0</v>
      </c>
      <c r="BB137">
        <f t="shared" si="72"/>
        <v>0</v>
      </c>
      <c r="BC137">
        <f t="shared" si="73"/>
        <v>0</v>
      </c>
      <c r="BD137">
        <f t="shared" si="74"/>
        <v>0</v>
      </c>
      <c r="BE137">
        <f t="shared" si="75"/>
        <v>0</v>
      </c>
      <c r="BF137">
        <f t="shared" si="76"/>
        <v>0</v>
      </c>
      <c r="BG137">
        <f t="shared" si="77"/>
        <v>0</v>
      </c>
      <c r="BH137">
        <f t="shared" si="78"/>
        <v>0</v>
      </c>
    </row>
    <row r="138" spans="1:60" ht="15" customHeight="1">
      <c r="A138" s="176"/>
      <c r="B138" s="70"/>
      <c r="C138" s="44" t="s">
        <v>2518</v>
      </c>
      <c r="D138" s="813" t="str">
        <f>IF(CNSIPEE_2024_M2_Secc1!D44="","",CNSIPEE_2024_M2_Secc1!D44)</f>
        <v/>
      </c>
      <c r="E138" s="814"/>
      <c r="F138" s="815"/>
      <c r="G138" s="100"/>
      <c r="H138" s="100"/>
      <c r="I138" s="100"/>
      <c r="J138" s="100"/>
      <c r="K138" s="100"/>
      <c r="L138" s="100"/>
      <c r="M138" s="100"/>
      <c r="N138" s="100"/>
      <c r="O138" s="100"/>
      <c r="P138" s="100"/>
      <c r="Q138" s="100"/>
      <c r="R138" s="100"/>
      <c r="S138" s="100"/>
      <c r="T138" s="100"/>
      <c r="U138" s="100"/>
      <c r="V138" s="100"/>
      <c r="W138" s="100"/>
      <c r="X138" s="100"/>
      <c r="Y138" s="100"/>
      <c r="Z138" s="100"/>
      <c r="AA138" s="100"/>
      <c r="AB138" s="100"/>
      <c r="AC138" s="100"/>
      <c r="AD138" s="100"/>
      <c r="AF138"/>
      <c r="AK138">
        <f t="shared" si="56"/>
        <v>0</v>
      </c>
      <c r="AL138">
        <f t="shared" si="57"/>
        <v>0</v>
      </c>
      <c r="AM138">
        <f t="shared" si="79"/>
        <v>0</v>
      </c>
      <c r="AN138">
        <f t="shared" si="58"/>
        <v>0</v>
      </c>
      <c r="AO138">
        <f t="shared" si="59"/>
        <v>0</v>
      </c>
      <c r="AP138">
        <f t="shared" si="60"/>
        <v>0</v>
      </c>
      <c r="AQ138">
        <f t="shared" si="61"/>
        <v>0</v>
      </c>
      <c r="AR138">
        <f t="shared" si="62"/>
        <v>0</v>
      </c>
      <c r="AS138">
        <f t="shared" si="63"/>
        <v>0</v>
      </c>
      <c r="AT138">
        <f t="shared" si="64"/>
        <v>0</v>
      </c>
      <c r="AU138">
        <f t="shared" si="65"/>
        <v>0</v>
      </c>
      <c r="AV138">
        <f t="shared" si="66"/>
        <v>0</v>
      </c>
      <c r="AW138">
        <f t="shared" si="67"/>
        <v>0</v>
      </c>
      <c r="AX138">
        <f t="shared" si="68"/>
        <v>0</v>
      </c>
      <c r="AY138">
        <f t="shared" si="69"/>
        <v>0</v>
      </c>
      <c r="AZ138">
        <f t="shared" si="70"/>
        <v>0</v>
      </c>
      <c r="BA138">
        <f t="shared" si="71"/>
        <v>0</v>
      </c>
      <c r="BB138">
        <f t="shared" si="72"/>
        <v>0</v>
      </c>
      <c r="BC138">
        <f t="shared" si="73"/>
        <v>0</v>
      </c>
      <c r="BD138">
        <f t="shared" si="74"/>
        <v>0</v>
      </c>
      <c r="BE138">
        <f t="shared" si="75"/>
        <v>0</v>
      </c>
      <c r="BF138">
        <f t="shared" si="76"/>
        <v>0</v>
      </c>
      <c r="BG138">
        <f t="shared" si="77"/>
        <v>0</v>
      </c>
      <c r="BH138">
        <f t="shared" si="78"/>
        <v>0</v>
      </c>
    </row>
    <row r="139" spans="1:60" ht="15" customHeight="1">
      <c r="A139" s="176"/>
      <c r="B139" s="70"/>
      <c r="C139" s="44" t="s">
        <v>2519</v>
      </c>
      <c r="D139" s="813" t="str">
        <f>IF(CNSIPEE_2024_M2_Secc1!D45="","",CNSIPEE_2024_M2_Secc1!D45)</f>
        <v/>
      </c>
      <c r="E139" s="814"/>
      <c r="F139" s="815"/>
      <c r="G139" s="100"/>
      <c r="H139" s="100"/>
      <c r="I139" s="100"/>
      <c r="J139" s="100"/>
      <c r="K139" s="100"/>
      <c r="L139" s="100"/>
      <c r="M139" s="100"/>
      <c r="N139" s="100"/>
      <c r="O139" s="100"/>
      <c r="P139" s="100"/>
      <c r="Q139" s="100"/>
      <c r="R139" s="100"/>
      <c r="S139" s="100"/>
      <c r="T139" s="100"/>
      <c r="U139" s="100"/>
      <c r="V139" s="100"/>
      <c r="W139" s="100"/>
      <c r="X139" s="100"/>
      <c r="Y139" s="100"/>
      <c r="Z139" s="100"/>
      <c r="AA139" s="100"/>
      <c r="AB139" s="100"/>
      <c r="AC139" s="100"/>
      <c r="AD139" s="100"/>
      <c r="AF139"/>
      <c r="AK139">
        <f t="shared" si="56"/>
        <v>0</v>
      </c>
      <c r="AL139">
        <f t="shared" si="57"/>
        <v>0</v>
      </c>
      <c r="AM139">
        <f t="shared" si="79"/>
        <v>0</v>
      </c>
      <c r="AN139">
        <f t="shared" si="58"/>
        <v>0</v>
      </c>
      <c r="AO139">
        <f t="shared" si="59"/>
        <v>0</v>
      </c>
      <c r="AP139">
        <f t="shared" si="60"/>
        <v>0</v>
      </c>
      <c r="AQ139">
        <f t="shared" si="61"/>
        <v>0</v>
      </c>
      <c r="AR139">
        <f t="shared" si="62"/>
        <v>0</v>
      </c>
      <c r="AS139">
        <f t="shared" si="63"/>
        <v>0</v>
      </c>
      <c r="AT139">
        <f t="shared" si="64"/>
        <v>0</v>
      </c>
      <c r="AU139">
        <f t="shared" si="65"/>
        <v>0</v>
      </c>
      <c r="AV139">
        <f t="shared" si="66"/>
        <v>0</v>
      </c>
      <c r="AW139">
        <f t="shared" si="67"/>
        <v>0</v>
      </c>
      <c r="AX139">
        <f t="shared" si="68"/>
        <v>0</v>
      </c>
      <c r="AY139">
        <f t="shared" si="69"/>
        <v>0</v>
      </c>
      <c r="AZ139">
        <f t="shared" si="70"/>
        <v>0</v>
      </c>
      <c r="BA139">
        <f t="shared" si="71"/>
        <v>0</v>
      </c>
      <c r="BB139">
        <f t="shared" si="72"/>
        <v>0</v>
      </c>
      <c r="BC139">
        <f t="shared" si="73"/>
        <v>0</v>
      </c>
      <c r="BD139">
        <f t="shared" si="74"/>
        <v>0</v>
      </c>
      <c r="BE139">
        <f t="shared" si="75"/>
        <v>0</v>
      </c>
      <c r="BF139">
        <f t="shared" si="76"/>
        <v>0</v>
      </c>
      <c r="BG139">
        <f t="shared" si="77"/>
        <v>0</v>
      </c>
      <c r="BH139">
        <f t="shared" si="78"/>
        <v>0</v>
      </c>
    </row>
    <row r="140" spans="1:60" ht="15" customHeight="1">
      <c r="A140" s="176"/>
      <c r="B140" s="70"/>
      <c r="C140" s="44" t="s">
        <v>2520</v>
      </c>
      <c r="D140" s="813" t="str">
        <f>IF(CNSIPEE_2024_M2_Secc1!D46="","",CNSIPEE_2024_M2_Secc1!D46)</f>
        <v/>
      </c>
      <c r="E140" s="814"/>
      <c r="F140" s="815"/>
      <c r="G140" s="100"/>
      <c r="H140" s="100"/>
      <c r="I140" s="100"/>
      <c r="J140" s="100"/>
      <c r="K140" s="100"/>
      <c r="L140" s="100"/>
      <c r="M140" s="100"/>
      <c r="N140" s="100"/>
      <c r="O140" s="100"/>
      <c r="P140" s="100"/>
      <c r="Q140" s="100"/>
      <c r="R140" s="100"/>
      <c r="S140" s="100"/>
      <c r="T140" s="100"/>
      <c r="U140" s="100"/>
      <c r="V140" s="100"/>
      <c r="W140" s="100"/>
      <c r="X140" s="100"/>
      <c r="Y140" s="100"/>
      <c r="Z140" s="100"/>
      <c r="AA140" s="100"/>
      <c r="AB140" s="100"/>
      <c r="AC140" s="100"/>
      <c r="AD140" s="100"/>
      <c r="AF140"/>
      <c r="AK140">
        <f t="shared" si="56"/>
        <v>0</v>
      </c>
      <c r="AL140">
        <f t="shared" si="57"/>
        <v>0</v>
      </c>
      <c r="AM140">
        <f t="shared" si="79"/>
        <v>0</v>
      </c>
      <c r="AN140">
        <f t="shared" si="58"/>
        <v>0</v>
      </c>
      <c r="AO140">
        <f t="shared" si="59"/>
        <v>0</v>
      </c>
      <c r="AP140">
        <f t="shared" si="60"/>
        <v>0</v>
      </c>
      <c r="AQ140">
        <f t="shared" si="61"/>
        <v>0</v>
      </c>
      <c r="AR140">
        <f t="shared" si="62"/>
        <v>0</v>
      </c>
      <c r="AS140">
        <f t="shared" si="63"/>
        <v>0</v>
      </c>
      <c r="AT140">
        <f t="shared" si="64"/>
        <v>0</v>
      </c>
      <c r="AU140">
        <f t="shared" si="65"/>
        <v>0</v>
      </c>
      <c r="AV140">
        <f t="shared" si="66"/>
        <v>0</v>
      </c>
      <c r="AW140">
        <f t="shared" si="67"/>
        <v>0</v>
      </c>
      <c r="AX140">
        <f t="shared" si="68"/>
        <v>0</v>
      </c>
      <c r="AY140">
        <f t="shared" si="69"/>
        <v>0</v>
      </c>
      <c r="AZ140">
        <f t="shared" si="70"/>
        <v>0</v>
      </c>
      <c r="BA140">
        <f t="shared" si="71"/>
        <v>0</v>
      </c>
      <c r="BB140">
        <f t="shared" si="72"/>
        <v>0</v>
      </c>
      <c r="BC140">
        <f t="shared" si="73"/>
        <v>0</v>
      </c>
      <c r="BD140">
        <f t="shared" si="74"/>
        <v>0</v>
      </c>
      <c r="BE140">
        <f t="shared" si="75"/>
        <v>0</v>
      </c>
      <c r="BF140">
        <f t="shared" si="76"/>
        <v>0</v>
      </c>
      <c r="BG140">
        <f t="shared" si="77"/>
        <v>0</v>
      </c>
      <c r="BH140">
        <f t="shared" si="78"/>
        <v>0</v>
      </c>
    </row>
    <row r="141" spans="1:60" ht="15" customHeight="1">
      <c r="A141" s="176"/>
      <c r="B141" s="70"/>
      <c r="C141" s="44" t="s">
        <v>2521</v>
      </c>
      <c r="D141" s="813" t="str">
        <f>IF(CNSIPEE_2024_M2_Secc1!D47="","",CNSIPEE_2024_M2_Secc1!D47)</f>
        <v/>
      </c>
      <c r="E141" s="814"/>
      <c r="F141" s="815"/>
      <c r="G141" s="100"/>
      <c r="H141" s="100"/>
      <c r="I141" s="100"/>
      <c r="J141" s="100"/>
      <c r="K141" s="100"/>
      <c r="L141" s="100"/>
      <c r="M141" s="100"/>
      <c r="N141" s="100"/>
      <c r="O141" s="100"/>
      <c r="P141" s="100"/>
      <c r="Q141" s="100"/>
      <c r="R141" s="100"/>
      <c r="S141" s="100"/>
      <c r="T141" s="100"/>
      <c r="U141" s="100"/>
      <c r="V141" s="100"/>
      <c r="W141" s="100"/>
      <c r="X141" s="100"/>
      <c r="Y141" s="100"/>
      <c r="Z141" s="100"/>
      <c r="AA141" s="100"/>
      <c r="AB141" s="100"/>
      <c r="AC141" s="100"/>
      <c r="AD141" s="100"/>
      <c r="AF141"/>
      <c r="AK141">
        <f t="shared" si="56"/>
        <v>0</v>
      </c>
      <c r="AL141">
        <f t="shared" si="57"/>
        <v>0</v>
      </c>
      <c r="AM141">
        <f t="shared" si="79"/>
        <v>0</v>
      </c>
      <c r="AN141">
        <f t="shared" si="58"/>
        <v>0</v>
      </c>
      <c r="AO141">
        <f t="shared" si="59"/>
        <v>0</v>
      </c>
      <c r="AP141">
        <f t="shared" si="60"/>
        <v>0</v>
      </c>
      <c r="AQ141">
        <f t="shared" si="61"/>
        <v>0</v>
      </c>
      <c r="AR141">
        <f t="shared" si="62"/>
        <v>0</v>
      </c>
      <c r="AS141">
        <f t="shared" si="63"/>
        <v>0</v>
      </c>
      <c r="AT141">
        <f t="shared" si="64"/>
        <v>0</v>
      </c>
      <c r="AU141">
        <f t="shared" si="65"/>
        <v>0</v>
      </c>
      <c r="AV141">
        <f t="shared" si="66"/>
        <v>0</v>
      </c>
      <c r="AW141">
        <f t="shared" si="67"/>
        <v>0</v>
      </c>
      <c r="AX141">
        <f t="shared" si="68"/>
        <v>0</v>
      </c>
      <c r="AY141">
        <f t="shared" si="69"/>
        <v>0</v>
      </c>
      <c r="AZ141">
        <f t="shared" si="70"/>
        <v>0</v>
      </c>
      <c r="BA141">
        <f t="shared" si="71"/>
        <v>0</v>
      </c>
      <c r="BB141">
        <f t="shared" si="72"/>
        <v>0</v>
      </c>
      <c r="BC141">
        <f t="shared" si="73"/>
        <v>0</v>
      </c>
      <c r="BD141">
        <f t="shared" si="74"/>
        <v>0</v>
      </c>
      <c r="BE141">
        <f t="shared" si="75"/>
        <v>0</v>
      </c>
      <c r="BF141">
        <f t="shared" si="76"/>
        <v>0</v>
      </c>
      <c r="BG141">
        <f t="shared" si="77"/>
        <v>0</v>
      </c>
      <c r="BH141">
        <f t="shared" si="78"/>
        <v>0</v>
      </c>
    </row>
    <row r="142" spans="1:60" ht="15" customHeight="1">
      <c r="A142" s="176"/>
      <c r="B142" s="70"/>
      <c r="C142" s="44" t="s">
        <v>2522</v>
      </c>
      <c r="D142" s="813" t="str">
        <f>IF(CNSIPEE_2024_M2_Secc1!D48="","",CNSIPEE_2024_M2_Secc1!D48)</f>
        <v/>
      </c>
      <c r="E142" s="814"/>
      <c r="F142" s="815"/>
      <c r="G142" s="100"/>
      <c r="H142" s="100"/>
      <c r="I142" s="100"/>
      <c r="J142" s="100"/>
      <c r="K142" s="100"/>
      <c r="L142" s="100"/>
      <c r="M142" s="100"/>
      <c r="N142" s="100"/>
      <c r="O142" s="100"/>
      <c r="P142" s="100"/>
      <c r="Q142" s="100"/>
      <c r="R142" s="100"/>
      <c r="S142" s="100"/>
      <c r="T142" s="100"/>
      <c r="U142" s="100"/>
      <c r="V142" s="100"/>
      <c r="W142" s="100"/>
      <c r="X142" s="100"/>
      <c r="Y142" s="100"/>
      <c r="Z142" s="100"/>
      <c r="AA142" s="100"/>
      <c r="AB142" s="100"/>
      <c r="AC142" s="100"/>
      <c r="AD142" s="100"/>
      <c r="AF142"/>
      <c r="AK142">
        <f t="shared" si="56"/>
        <v>0</v>
      </c>
      <c r="AL142">
        <f t="shared" si="57"/>
        <v>0</v>
      </c>
      <c r="AM142">
        <f t="shared" si="79"/>
        <v>0</v>
      </c>
      <c r="AN142">
        <f t="shared" si="58"/>
        <v>0</v>
      </c>
      <c r="AO142">
        <f t="shared" si="59"/>
        <v>0</v>
      </c>
      <c r="AP142">
        <f t="shared" si="60"/>
        <v>0</v>
      </c>
      <c r="AQ142">
        <f t="shared" si="61"/>
        <v>0</v>
      </c>
      <c r="AR142">
        <f t="shared" si="62"/>
        <v>0</v>
      </c>
      <c r="AS142">
        <f t="shared" si="63"/>
        <v>0</v>
      </c>
      <c r="AT142">
        <f t="shared" si="64"/>
        <v>0</v>
      </c>
      <c r="AU142">
        <f t="shared" si="65"/>
        <v>0</v>
      </c>
      <c r="AV142">
        <f t="shared" si="66"/>
        <v>0</v>
      </c>
      <c r="AW142">
        <f t="shared" si="67"/>
        <v>0</v>
      </c>
      <c r="AX142">
        <f t="shared" si="68"/>
        <v>0</v>
      </c>
      <c r="AY142">
        <f t="shared" si="69"/>
        <v>0</v>
      </c>
      <c r="AZ142">
        <f t="shared" si="70"/>
        <v>0</v>
      </c>
      <c r="BA142">
        <f t="shared" si="71"/>
        <v>0</v>
      </c>
      <c r="BB142">
        <f t="shared" si="72"/>
        <v>0</v>
      </c>
      <c r="BC142">
        <f t="shared" si="73"/>
        <v>0</v>
      </c>
      <c r="BD142">
        <f t="shared" si="74"/>
        <v>0</v>
      </c>
      <c r="BE142">
        <f t="shared" si="75"/>
        <v>0</v>
      </c>
      <c r="BF142">
        <f t="shared" si="76"/>
        <v>0</v>
      </c>
      <c r="BG142">
        <f t="shared" si="77"/>
        <v>0</v>
      </c>
      <c r="BH142">
        <f t="shared" si="78"/>
        <v>0</v>
      </c>
    </row>
    <row r="143" spans="1:60" ht="15" customHeight="1">
      <c r="A143" s="176"/>
      <c r="B143" s="70"/>
      <c r="C143" s="44" t="s">
        <v>2523</v>
      </c>
      <c r="D143" s="813" t="str">
        <f>IF(CNSIPEE_2024_M2_Secc1!D49="","",CNSIPEE_2024_M2_Secc1!D49)</f>
        <v/>
      </c>
      <c r="E143" s="814"/>
      <c r="F143" s="815"/>
      <c r="G143" s="100"/>
      <c r="H143" s="100"/>
      <c r="I143" s="100"/>
      <c r="J143" s="100"/>
      <c r="K143" s="100"/>
      <c r="L143" s="100"/>
      <c r="M143" s="100"/>
      <c r="N143" s="100"/>
      <c r="O143" s="100"/>
      <c r="P143" s="100"/>
      <c r="Q143" s="100"/>
      <c r="R143" s="100"/>
      <c r="S143" s="100"/>
      <c r="T143" s="100"/>
      <c r="U143" s="100"/>
      <c r="V143" s="100"/>
      <c r="W143" s="100"/>
      <c r="X143" s="100"/>
      <c r="Y143" s="100"/>
      <c r="Z143" s="100"/>
      <c r="AA143" s="100"/>
      <c r="AB143" s="100"/>
      <c r="AC143" s="100"/>
      <c r="AD143" s="100"/>
      <c r="AF143"/>
      <c r="AK143">
        <f t="shared" si="56"/>
        <v>0</v>
      </c>
      <c r="AL143">
        <f t="shared" si="57"/>
        <v>0</v>
      </c>
      <c r="AM143">
        <f t="shared" si="79"/>
        <v>0</v>
      </c>
      <c r="AN143">
        <f t="shared" si="58"/>
        <v>0</v>
      </c>
      <c r="AO143">
        <f t="shared" si="59"/>
        <v>0</v>
      </c>
      <c r="AP143">
        <f t="shared" si="60"/>
        <v>0</v>
      </c>
      <c r="AQ143">
        <f t="shared" si="61"/>
        <v>0</v>
      </c>
      <c r="AR143">
        <f t="shared" si="62"/>
        <v>0</v>
      </c>
      <c r="AS143">
        <f t="shared" si="63"/>
        <v>0</v>
      </c>
      <c r="AT143">
        <f t="shared" si="64"/>
        <v>0</v>
      </c>
      <c r="AU143">
        <f t="shared" si="65"/>
        <v>0</v>
      </c>
      <c r="AV143">
        <f t="shared" si="66"/>
        <v>0</v>
      </c>
      <c r="AW143">
        <f t="shared" si="67"/>
        <v>0</v>
      </c>
      <c r="AX143">
        <f t="shared" si="68"/>
        <v>0</v>
      </c>
      <c r="AY143">
        <f t="shared" si="69"/>
        <v>0</v>
      </c>
      <c r="AZ143">
        <f t="shared" si="70"/>
        <v>0</v>
      </c>
      <c r="BA143">
        <f t="shared" si="71"/>
        <v>0</v>
      </c>
      <c r="BB143">
        <f t="shared" si="72"/>
        <v>0</v>
      </c>
      <c r="BC143">
        <f t="shared" si="73"/>
        <v>0</v>
      </c>
      <c r="BD143">
        <f t="shared" si="74"/>
        <v>0</v>
      </c>
      <c r="BE143">
        <f t="shared" si="75"/>
        <v>0</v>
      </c>
      <c r="BF143">
        <f t="shared" si="76"/>
        <v>0</v>
      </c>
      <c r="BG143">
        <f t="shared" si="77"/>
        <v>0</v>
      </c>
      <c r="BH143">
        <f t="shared" si="78"/>
        <v>0</v>
      </c>
    </row>
    <row r="144" spans="1:60" ht="15" customHeight="1">
      <c r="A144" s="108"/>
      <c r="B144" s="70"/>
      <c r="C144" s="51"/>
      <c r="D144" s="120"/>
      <c r="E144" s="84"/>
      <c r="F144" s="84"/>
      <c r="G144" s="124">
        <f t="shared" ref="G144:AD144" si="80">IF(AND(SUM(G136:G143)=0,COUNTIF(G136:G143,"NS")&gt;0),"NS",IF(AND(SUM(G136:G143)=0,COUNTIF(G136:G143,0)&gt;0),0,IF(AND(SUM(G136:G143)=0,COUNTIF(G136:G143,"NA")&gt;0),"NA",SUM(G136:G143))))</f>
        <v>0</v>
      </c>
      <c r="H144" s="124">
        <f t="shared" si="80"/>
        <v>0</v>
      </c>
      <c r="I144" s="124">
        <f t="shared" si="80"/>
        <v>0</v>
      </c>
      <c r="J144" s="124">
        <f t="shared" si="80"/>
        <v>0</v>
      </c>
      <c r="K144" s="124">
        <f t="shared" si="80"/>
        <v>0</v>
      </c>
      <c r="L144" s="124">
        <f t="shared" si="80"/>
        <v>0</v>
      </c>
      <c r="M144" s="124">
        <f t="shared" si="80"/>
        <v>0</v>
      </c>
      <c r="N144" s="124">
        <f t="shared" si="80"/>
        <v>0</v>
      </c>
      <c r="O144" s="124">
        <f t="shared" si="80"/>
        <v>0</v>
      </c>
      <c r="P144" s="124">
        <f t="shared" si="80"/>
        <v>0</v>
      </c>
      <c r="Q144" s="124">
        <f t="shared" si="80"/>
        <v>0</v>
      </c>
      <c r="R144" s="124">
        <f t="shared" si="80"/>
        <v>0</v>
      </c>
      <c r="S144" s="124">
        <f t="shared" si="80"/>
        <v>0</v>
      </c>
      <c r="T144" s="124">
        <f t="shared" si="80"/>
        <v>0</v>
      </c>
      <c r="U144" s="124">
        <f t="shared" si="80"/>
        <v>0</v>
      </c>
      <c r="V144" s="124">
        <f t="shared" si="80"/>
        <v>0</v>
      </c>
      <c r="W144" s="124">
        <f t="shared" si="80"/>
        <v>0</v>
      </c>
      <c r="X144" s="124">
        <f t="shared" si="80"/>
        <v>0</v>
      </c>
      <c r="Y144" s="124">
        <f t="shared" si="80"/>
        <v>0</v>
      </c>
      <c r="Z144" s="124">
        <f t="shared" si="80"/>
        <v>0</v>
      </c>
      <c r="AA144" s="124">
        <f t="shared" si="80"/>
        <v>0</v>
      </c>
      <c r="AB144" s="124">
        <f t="shared" si="80"/>
        <v>0</v>
      </c>
      <c r="AC144" s="124">
        <f t="shared" si="80"/>
        <v>0</v>
      </c>
      <c r="AD144" s="124">
        <f t="shared" si="80"/>
        <v>0</v>
      </c>
      <c r="AF144"/>
      <c r="AK144">
        <f>SUM(AK136:AK143)</f>
        <v>0</v>
      </c>
      <c r="AM144">
        <f>SUM(AM136:AM143)</f>
        <v>0</v>
      </c>
      <c r="AN144">
        <f>SUM(AN136:AN143)</f>
        <v>0</v>
      </c>
      <c r="AP144">
        <f>SUM(AP136:AP143)</f>
        <v>0</v>
      </c>
      <c r="AQ144">
        <f>SUM(AQ136:AQ143)</f>
        <v>0</v>
      </c>
      <c r="AS144">
        <f>SUM(AS136:AS143)</f>
        <v>0</v>
      </c>
      <c r="AT144">
        <f>SUM(AT136:AT143)</f>
        <v>0</v>
      </c>
      <c r="AV144">
        <f>SUM(AV136:AV143)</f>
        <v>0</v>
      </c>
      <c r="AW144">
        <f>SUM(AW136:AW143)</f>
        <v>0</v>
      </c>
      <c r="AY144">
        <f>SUM(AY136:AY143)</f>
        <v>0</v>
      </c>
      <c r="AZ144">
        <f>SUM(AZ136:AZ143)</f>
        <v>0</v>
      </c>
      <c r="BB144">
        <f>SUM(BB136:BB143)</f>
        <v>0</v>
      </c>
      <c r="BC144">
        <f>SUM(BC136:BC143)</f>
        <v>0</v>
      </c>
      <c r="BE144">
        <f>SUM(BE136:BE143)</f>
        <v>0</v>
      </c>
      <c r="BF144">
        <f>SUM(BF136:BF143)</f>
        <v>0</v>
      </c>
      <c r="BH144">
        <f>SUM(BH136:BH143)</f>
        <v>0</v>
      </c>
    </row>
    <row r="145" spans="1:42" ht="15" customHeight="1">
      <c r="A145" s="185"/>
      <c r="B145" s="90"/>
      <c r="C145" s="90"/>
      <c r="D145" s="90"/>
      <c r="E145" s="90"/>
      <c r="F145" s="90"/>
      <c r="G145" s="90"/>
      <c r="H145" s="90"/>
      <c r="I145" s="90"/>
      <c r="J145" s="90"/>
      <c r="K145" s="90"/>
      <c r="L145" s="90"/>
      <c r="M145" s="90"/>
      <c r="N145" s="90"/>
      <c r="O145" s="90"/>
      <c r="P145" s="90"/>
      <c r="Q145" s="90"/>
      <c r="R145" s="90"/>
      <c r="S145" s="90"/>
      <c r="T145" s="90"/>
      <c r="U145" s="90"/>
      <c r="V145" s="90"/>
      <c r="W145" s="90"/>
      <c r="X145" s="90"/>
      <c r="Y145" s="90"/>
      <c r="Z145" s="90"/>
      <c r="AA145" s="90"/>
      <c r="AB145" s="90"/>
      <c r="AC145" s="90"/>
      <c r="AD145" s="90"/>
      <c r="AF145"/>
      <c r="AK145" t="s">
        <v>2650</v>
      </c>
      <c r="AL145" s="405">
        <f>SUM(AM144,AP144,AS144,AV144,AY144,BB144,BE144,BH144)</f>
        <v>0</v>
      </c>
      <c r="AM145" t="s">
        <v>2651</v>
      </c>
      <c r="AN145" s="405">
        <f>SUM(AK144,AN144,AQ144,AT144,AW144,AZ144,BC144,BF144)</f>
        <v>0</v>
      </c>
    </row>
    <row r="146" spans="1:42" ht="45" customHeight="1">
      <c r="A146" s="185"/>
      <c r="B146" s="90"/>
      <c r="C146" s="905" t="s">
        <v>5564</v>
      </c>
      <c r="D146" s="905"/>
      <c r="E146" s="905"/>
      <c r="F146" s="749"/>
      <c r="G146" s="749"/>
      <c r="H146" s="749"/>
      <c r="I146" s="749"/>
      <c r="J146" s="749"/>
      <c r="K146" s="749"/>
      <c r="L146" s="749"/>
      <c r="M146" s="749"/>
      <c r="N146" s="749"/>
      <c r="O146" s="749"/>
      <c r="P146" s="749"/>
      <c r="Q146" s="749"/>
      <c r="R146" s="749"/>
      <c r="S146" s="749"/>
      <c r="T146" s="749"/>
      <c r="U146" s="749"/>
      <c r="V146" s="749"/>
      <c r="W146" s="749"/>
      <c r="X146" s="749"/>
      <c r="Y146" s="749"/>
      <c r="Z146" s="749"/>
      <c r="AA146" s="749"/>
      <c r="AB146" s="749"/>
      <c r="AC146" s="749"/>
      <c r="AD146" s="749"/>
      <c r="AF146"/>
      <c r="AK146" t="s">
        <v>2652</v>
      </c>
      <c r="AL146">
        <f>IF(AN145&gt;0,IF(SUM(G144)&gt;=SUM(J144,M144,P144,S144,V144,Y144,AB144),0,1),IF(SUM(G144)&lt;&gt;SUM(J144,M144,P144,S144,V144,Y144,AB144),1,0))</f>
        <v>0</v>
      </c>
      <c r="AM146" t="s">
        <v>2653</v>
      </c>
      <c r="AN146">
        <f>IF(AN145&gt;0,IF(SUM(H144)&gt;=SUM(K144,N144,Q144,T144,W144,Z144,AC144),0,1),IF(SUM(H144)&lt;&gt;SUM(K144,N144,Q144,T144,W144,Z144,AC144),1,0))</f>
        <v>0</v>
      </c>
      <c r="AO146" t="s">
        <v>2654</v>
      </c>
      <c r="AP146">
        <f>IF(AN145&gt;0,IF(SUM(I144)&gt;=SUM(L144,O144,R144,U144,X144,AA144,AD144),0,1),IF(SUM(I144)&lt;&gt;SUM(L144,O144,R144,U144,X144,AA144,AD144),1,0))</f>
        <v>0</v>
      </c>
    </row>
    <row r="147" spans="1:42" ht="15" customHeight="1">
      <c r="A147" s="185"/>
      <c r="B147" s="1003" t="str">
        <f>IF(AND(AB144&gt;0,AB144&lt;&gt;"NA",AB144&lt;&gt;"NS",F146=""),"Debido a que cuenta con un valor mayor a cero en el apdo. Por otro tipo de egreso, debe anotar el nombre de dicho(s) tipo(s) de egreso","")</f>
        <v/>
      </c>
      <c r="C147" s="1003"/>
      <c r="D147" s="1003"/>
      <c r="E147" s="1003"/>
      <c r="F147" s="1003"/>
      <c r="G147" s="1003"/>
      <c r="H147" s="1003"/>
      <c r="I147" s="1003"/>
      <c r="J147" s="1003"/>
      <c r="K147" s="1003"/>
      <c r="L147" s="1003"/>
      <c r="M147" s="1003"/>
      <c r="N147" s="1003"/>
      <c r="O147" s="1003"/>
      <c r="P147" s="1003"/>
      <c r="Q147" s="1003"/>
      <c r="R147" s="1003"/>
      <c r="S147" s="1003"/>
      <c r="T147" s="1003"/>
      <c r="U147" s="1003"/>
      <c r="V147" s="1003"/>
      <c r="W147" s="1003"/>
      <c r="X147" s="1003"/>
      <c r="Y147" s="1003"/>
      <c r="Z147" s="1003"/>
      <c r="AA147" s="1003"/>
      <c r="AB147" s="1003"/>
      <c r="AC147" s="1003"/>
      <c r="AD147" s="1003"/>
      <c r="AE147" s="1003"/>
      <c r="AF147"/>
      <c r="AK147" t="s">
        <v>5179</v>
      </c>
      <c r="AL147" s="506">
        <f>SUM(AL131,AL145)</f>
        <v>0</v>
      </c>
      <c r="AM147" t="s">
        <v>5180</v>
      </c>
      <c r="AN147">
        <f>SUM(AN131,AN145)</f>
        <v>0</v>
      </c>
    </row>
    <row r="148" spans="1:42" ht="24" customHeight="1">
      <c r="A148" s="108"/>
      <c r="B148" s="38"/>
      <c r="C148" s="754" t="s">
        <v>2611</v>
      </c>
      <c r="D148" s="754"/>
      <c r="E148" s="754"/>
      <c r="F148" s="754"/>
      <c r="G148" s="754"/>
      <c r="H148" s="754"/>
      <c r="I148" s="754"/>
      <c r="J148" s="754"/>
      <c r="K148" s="754"/>
      <c r="L148" s="754"/>
      <c r="M148" s="754"/>
      <c r="N148" s="754"/>
      <c r="O148" s="754"/>
      <c r="P148" s="754"/>
      <c r="Q148" s="754"/>
      <c r="R148" s="754"/>
      <c r="S148" s="754"/>
      <c r="T148" s="754"/>
      <c r="U148" s="754"/>
      <c r="V148" s="754"/>
      <c r="W148" s="754"/>
      <c r="X148" s="754"/>
      <c r="Y148" s="754"/>
      <c r="Z148" s="754"/>
      <c r="AA148" s="754"/>
      <c r="AB148" s="754"/>
      <c r="AC148" s="754"/>
      <c r="AD148" s="754"/>
      <c r="AF148"/>
      <c r="AK148" t="s">
        <v>5181</v>
      </c>
      <c r="AL148" s="506">
        <f>IF(AN147&gt;0,IF(SUM(P130)&gt;=SUM(S130,V130,Y130,AB130,G144,J144,M144,P144,S144,V144,Y144,AB144),0,1),IF(SUM(P130)&lt;&gt;SUM(S130,V130,Y130,AB130,G144,J144,M144,P144,S144,V144,Y144,AB144),1,0))</f>
        <v>0</v>
      </c>
      <c r="AM148" t="s">
        <v>5182</v>
      </c>
      <c r="AN148" s="506">
        <f>IF(AN147&gt;0,IF(SUM(Q130)&gt;=SUM(T130,W130,Z130,AC130,H144,K144,N144,Q144,T144,W144,Z144,AC144),0,1),IF(SUM(Q130)&lt;&gt;SUM(T130,W130,Z130,AC130,H144,K144,N144,Q144,T144,W144,Z144,AC144),1,0))</f>
        <v>0</v>
      </c>
      <c r="AO148" t="s">
        <v>5183</v>
      </c>
      <c r="AP148" s="506">
        <f>IF(AN147&gt;0,IF(SUM(R130)&gt;=SUM(U130,X130,AA130,AD130,I144,L144,O144,R144,U144,X144,AA144,AD144),0,1),IF(SUM(R130)&lt;&gt;SUM(U130,X130,AA130,AD130,I144,L144,O144,R144,U144,X144,AA144,AD144),1,0))</f>
        <v>0</v>
      </c>
    </row>
    <row r="149" spans="1:42" ht="60" customHeight="1">
      <c r="A149" s="108"/>
      <c r="B149" s="38"/>
      <c r="C149" s="851"/>
      <c r="D149" s="851"/>
      <c r="E149" s="851"/>
      <c r="F149" s="851"/>
      <c r="G149" s="851"/>
      <c r="H149" s="851"/>
      <c r="I149" s="851"/>
      <c r="J149" s="851"/>
      <c r="K149" s="851"/>
      <c r="L149" s="851"/>
      <c r="M149" s="851"/>
      <c r="N149" s="851"/>
      <c r="O149" s="851"/>
      <c r="P149" s="851"/>
      <c r="Q149" s="851"/>
      <c r="R149" s="851"/>
      <c r="S149" s="851"/>
      <c r="T149" s="851"/>
      <c r="U149" s="851"/>
      <c r="V149" s="851"/>
      <c r="W149" s="851"/>
      <c r="X149" s="851"/>
      <c r="Y149" s="851"/>
      <c r="Z149" s="851"/>
      <c r="AA149" s="851"/>
      <c r="AB149" s="851"/>
      <c r="AC149" s="851"/>
      <c r="AD149" s="851"/>
      <c r="AF149"/>
    </row>
    <row r="150" spans="1:42" ht="15" customHeight="1">
      <c r="A150" s="176"/>
      <c r="B150" s="794" t="str">
        <f>IF(AG130=0,"","Favor de ingresar toda la información requerida en la pregunta")</f>
        <v/>
      </c>
      <c r="C150" s="794"/>
      <c r="D150" s="794"/>
      <c r="E150" s="794"/>
      <c r="F150" s="794"/>
      <c r="G150" s="794"/>
      <c r="H150" s="794"/>
      <c r="I150" s="794"/>
      <c r="J150" s="794"/>
      <c r="K150" s="794"/>
      <c r="L150" s="794"/>
      <c r="M150" s="794"/>
      <c r="N150" s="794"/>
      <c r="O150" s="794"/>
      <c r="P150" s="794"/>
      <c r="Q150" s="794"/>
      <c r="R150" s="794"/>
      <c r="S150" s="794"/>
      <c r="T150" s="794"/>
      <c r="U150" s="794"/>
      <c r="V150" s="794"/>
      <c r="W150" s="794"/>
      <c r="X150" s="794"/>
      <c r="Y150" s="794"/>
      <c r="Z150" s="794"/>
      <c r="AA150" s="794"/>
      <c r="AB150" s="794"/>
      <c r="AC150" s="794"/>
      <c r="AD150" s="794"/>
      <c r="AE150" s="794"/>
    </row>
    <row r="151" spans="1:42" ht="15" customHeight="1">
      <c r="A151" s="185"/>
      <c r="B151" s="1087" t="str">
        <f>IF(SUM(COUNTIF(P122:AD129,"NS"),COUNTIF(G136:AD143,"NS"))&lt;&gt;0,"Alerta: debido a que cuenta con registros NS, debe proporcionar una justificación en el area de comentarios al final de la pregunta","")</f>
        <v/>
      </c>
      <c r="C151" s="1087"/>
      <c r="D151" s="1087"/>
      <c r="E151" s="1087"/>
      <c r="F151" s="1087"/>
      <c r="G151" s="1087"/>
      <c r="H151" s="1087"/>
      <c r="I151" s="1087"/>
      <c r="J151" s="1087"/>
      <c r="K151" s="1087"/>
      <c r="L151" s="1087"/>
      <c r="M151" s="1087"/>
      <c r="N151" s="1087"/>
      <c r="O151" s="1087"/>
      <c r="P151" s="1087"/>
      <c r="Q151" s="1087"/>
      <c r="R151" s="1087"/>
      <c r="S151" s="1087"/>
      <c r="T151" s="1087"/>
      <c r="U151" s="1087"/>
      <c r="V151" s="1087"/>
      <c r="W151" s="1087"/>
      <c r="X151" s="1087"/>
      <c r="Y151" s="1087"/>
      <c r="Z151" s="1087"/>
      <c r="AA151" s="1087"/>
      <c r="AB151" s="1087"/>
      <c r="AC151" s="1087"/>
      <c r="AD151" s="1087"/>
      <c r="AE151" s="1087"/>
    </row>
    <row r="152" spans="1:42" ht="15" customHeight="1">
      <c r="A152" s="185"/>
      <c r="B152" s="1003" t="str">
        <f>IF(AH130&gt;0,"Revise la información capturada, ya que tiene datos ingresados en celdas que están sombreadas","")</f>
        <v/>
      </c>
      <c r="C152" s="1003"/>
      <c r="D152" s="1003"/>
      <c r="E152" s="1003"/>
      <c r="F152" s="1003"/>
      <c r="G152" s="1003"/>
      <c r="H152" s="1003"/>
      <c r="I152" s="1003"/>
      <c r="J152" s="1003"/>
      <c r="K152" s="1003"/>
      <c r="L152" s="1003"/>
      <c r="M152" s="1003"/>
      <c r="N152" s="1003"/>
      <c r="O152" s="1003"/>
      <c r="P152" s="1003"/>
      <c r="Q152" s="1003"/>
      <c r="R152" s="1003"/>
      <c r="S152" s="1003"/>
      <c r="T152" s="1003"/>
      <c r="U152" s="1003"/>
      <c r="V152" s="1003"/>
      <c r="W152" s="1003"/>
      <c r="X152" s="1003"/>
      <c r="Y152" s="1003"/>
      <c r="Z152" s="1003"/>
      <c r="AA152" s="1003"/>
      <c r="AB152" s="1003"/>
      <c r="AC152" s="1003"/>
      <c r="AD152" s="1003"/>
      <c r="AE152" s="1003"/>
    </row>
    <row r="153" spans="1:42" ht="15" customHeight="1">
      <c r="A153" s="185"/>
      <c r="B153" s="1003" t="str">
        <f>IF(OR(AL147&gt;0,AL148&gt;0,AN148&gt;0,AP148&gt;0),"Favor de revisar la suma y consistencia de totales y/o subtotales por filas (numéricos y NS)","")</f>
        <v/>
      </c>
      <c r="C153" s="1003"/>
      <c r="D153" s="1003"/>
      <c r="E153" s="1003"/>
      <c r="F153" s="1003"/>
      <c r="G153" s="1003"/>
      <c r="H153" s="1003"/>
      <c r="I153" s="1003"/>
      <c r="J153" s="1003"/>
      <c r="K153" s="1003"/>
      <c r="L153" s="1003"/>
      <c r="M153" s="1003"/>
      <c r="N153" s="1003"/>
      <c r="O153" s="1003"/>
      <c r="P153" s="1003"/>
      <c r="Q153" s="1003"/>
      <c r="R153" s="1003"/>
      <c r="S153" s="1003"/>
      <c r="T153" s="1003"/>
      <c r="U153" s="1003"/>
      <c r="V153" s="1003"/>
      <c r="W153" s="1003"/>
      <c r="X153" s="1003"/>
      <c r="Y153" s="1003"/>
      <c r="Z153" s="1003"/>
      <c r="AA153" s="1003"/>
      <c r="AB153" s="1003"/>
      <c r="AC153" s="1003"/>
      <c r="AD153" s="1003"/>
      <c r="AE153" s="1003"/>
    </row>
    <row r="154" spans="1:42" ht="15" customHeight="1">
      <c r="A154" s="185"/>
      <c r="B154" s="1003" t="str">
        <f>IF(AZ130=0,"","Las cantidades de Hombres y Mujeres por centro especializado debe corresponder con los datos reportados en la preg. 10.1")</f>
        <v/>
      </c>
      <c r="C154" s="1003"/>
      <c r="D154" s="1003"/>
      <c r="E154" s="1003"/>
      <c r="F154" s="1003"/>
      <c r="G154" s="1003"/>
      <c r="H154" s="1003"/>
      <c r="I154" s="1003"/>
      <c r="J154" s="1003"/>
      <c r="K154" s="1003"/>
      <c r="L154" s="1003"/>
      <c r="M154" s="1003"/>
      <c r="N154" s="1003"/>
      <c r="O154" s="1003"/>
      <c r="P154" s="1003"/>
      <c r="Q154" s="1003"/>
      <c r="R154" s="1003"/>
      <c r="S154" s="1003"/>
      <c r="T154" s="1003"/>
      <c r="U154" s="1003"/>
      <c r="V154" s="1003"/>
      <c r="W154" s="1003"/>
      <c r="X154" s="1003"/>
      <c r="Y154" s="1003"/>
      <c r="Z154" s="1003"/>
      <c r="AA154" s="1003"/>
      <c r="AB154" s="1003"/>
      <c r="AC154" s="1003"/>
      <c r="AD154" s="1003"/>
      <c r="AE154" s="1003"/>
    </row>
    <row r="155" spans="1:42" ht="15" customHeight="1" thickBot="1">
      <c r="A155" s="185"/>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row>
    <row r="156" spans="1:42" customFormat="1" ht="15" customHeight="1" thickBot="1">
      <c r="A156" s="153" t="s">
        <v>2563</v>
      </c>
      <c r="B156" s="1081" t="s">
        <v>5565</v>
      </c>
      <c r="C156" s="1082"/>
      <c r="D156" s="1082"/>
      <c r="E156" s="1082"/>
      <c r="F156" s="1082"/>
      <c r="G156" s="1082"/>
      <c r="H156" s="1082"/>
      <c r="I156" s="1082"/>
      <c r="J156" s="1082"/>
      <c r="K156" s="1082"/>
      <c r="L156" s="1082"/>
      <c r="M156" s="1082"/>
      <c r="N156" s="1082"/>
      <c r="O156" s="1082"/>
      <c r="P156" s="1082"/>
      <c r="Q156" s="1082"/>
      <c r="R156" s="1082"/>
      <c r="S156" s="1082"/>
      <c r="T156" s="1082"/>
      <c r="U156" s="1082"/>
      <c r="V156" s="1082"/>
      <c r="W156" s="1082"/>
      <c r="X156" s="1082"/>
      <c r="Y156" s="1082"/>
      <c r="Z156" s="1082"/>
      <c r="AA156" s="1082"/>
      <c r="AB156" s="1082"/>
      <c r="AC156" s="1082"/>
      <c r="AD156" s="1083"/>
      <c r="AE156" s="3"/>
    </row>
    <row r="157" spans="1:42" ht="15" customHeight="1">
      <c r="A157" s="170"/>
      <c r="B157" s="838" t="s">
        <v>3157</v>
      </c>
      <c r="C157" s="839"/>
      <c r="D157" s="839"/>
      <c r="E157" s="839"/>
      <c r="F157" s="839"/>
      <c r="G157" s="839"/>
      <c r="H157" s="839"/>
      <c r="I157" s="839"/>
      <c r="J157" s="839"/>
      <c r="K157" s="839"/>
      <c r="L157" s="839"/>
      <c r="M157" s="839"/>
      <c r="N157" s="839"/>
      <c r="O157" s="839"/>
      <c r="P157" s="839"/>
      <c r="Q157" s="839"/>
      <c r="R157" s="839"/>
      <c r="S157" s="839"/>
      <c r="T157" s="839"/>
      <c r="U157" s="839"/>
      <c r="V157" s="839"/>
      <c r="W157" s="839"/>
      <c r="X157" s="839"/>
      <c r="Y157" s="839"/>
      <c r="Z157" s="839"/>
      <c r="AA157" s="839"/>
      <c r="AB157" s="839"/>
      <c r="AC157" s="839"/>
      <c r="AD157" s="840"/>
    </row>
    <row r="158" spans="1:42" ht="24" customHeight="1">
      <c r="A158" s="115"/>
      <c r="B158" s="182"/>
      <c r="C158" s="754" t="s">
        <v>4716</v>
      </c>
      <c r="D158" s="754"/>
      <c r="E158" s="754"/>
      <c r="F158" s="754"/>
      <c r="G158" s="754"/>
      <c r="H158" s="754"/>
      <c r="I158" s="754"/>
      <c r="J158" s="754"/>
      <c r="K158" s="754"/>
      <c r="L158" s="754"/>
      <c r="M158" s="754"/>
      <c r="N158" s="754"/>
      <c r="O158" s="754"/>
      <c r="P158" s="754"/>
      <c r="Q158" s="754"/>
      <c r="R158" s="754"/>
      <c r="S158" s="754"/>
      <c r="T158" s="754"/>
      <c r="U158" s="754"/>
      <c r="V158" s="754"/>
      <c r="W158" s="754"/>
      <c r="X158" s="754"/>
      <c r="Y158" s="754"/>
      <c r="Z158" s="754"/>
      <c r="AA158" s="754"/>
      <c r="AB158" s="754"/>
      <c r="AC158" s="754"/>
      <c r="AD158" s="755"/>
    </row>
    <row r="159" spans="1:42" ht="48" customHeight="1">
      <c r="A159" s="115"/>
      <c r="B159" s="181"/>
      <c r="C159" s="754" t="s">
        <v>5566</v>
      </c>
      <c r="D159" s="754"/>
      <c r="E159" s="754"/>
      <c r="F159" s="754"/>
      <c r="G159" s="754"/>
      <c r="H159" s="754"/>
      <c r="I159" s="754"/>
      <c r="J159" s="754"/>
      <c r="K159" s="754"/>
      <c r="L159" s="754"/>
      <c r="M159" s="754"/>
      <c r="N159" s="754"/>
      <c r="O159" s="754"/>
      <c r="P159" s="754"/>
      <c r="Q159" s="754"/>
      <c r="R159" s="754"/>
      <c r="S159" s="754"/>
      <c r="T159" s="754"/>
      <c r="U159" s="754"/>
      <c r="V159" s="754"/>
      <c r="W159" s="754"/>
      <c r="X159" s="754"/>
      <c r="Y159" s="754"/>
      <c r="Z159" s="754"/>
      <c r="AA159" s="754"/>
      <c r="AB159" s="754"/>
      <c r="AC159" s="754"/>
      <c r="AD159" s="755"/>
    </row>
    <row r="160" spans="1:42" ht="36" customHeight="1">
      <c r="A160" s="115"/>
      <c r="B160" s="181"/>
      <c r="C160" s="754" t="s">
        <v>5567</v>
      </c>
      <c r="D160" s="754"/>
      <c r="E160" s="754"/>
      <c r="F160" s="754"/>
      <c r="G160" s="754"/>
      <c r="H160" s="754"/>
      <c r="I160" s="754"/>
      <c r="J160" s="754"/>
      <c r="K160" s="754"/>
      <c r="L160" s="754"/>
      <c r="M160" s="754"/>
      <c r="N160" s="754"/>
      <c r="O160" s="754"/>
      <c r="P160" s="754"/>
      <c r="Q160" s="754"/>
      <c r="R160" s="754"/>
      <c r="S160" s="754"/>
      <c r="T160" s="754"/>
      <c r="U160" s="754"/>
      <c r="V160" s="754"/>
      <c r="W160" s="754"/>
      <c r="X160" s="754"/>
      <c r="Y160" s="754"/>
      <c r="Z160" s="754"/>
      <c r="AA160" s="754"/>
      <c r="AB160" s="754"/>
      <c r="AC160" s="754"/>
      <c r="AD160" s="755"/>
    </row>
    <row r="161" spans="1:102" ht="36" customHeight="1">
      <c r="A161" s="115"/>
      <c r="B161" s="181"/>
      <c r="C161" s="754" t="s">
        <v>5568</v>
      </c>
      <c r="D161" s="754"/>
      <c r="E161" s="754"/>
      <c r="F161" s="754"/>
      <c r="G161" s="754"/>
      <c r="H161" s="754"/>
      <c r="I161" s="754"/>
      <c r="J161" s="754"/>
      <c r="K161" s="754"/>
      <c r="L161" s="754"/>
      <c r="M161" s="754"/>
      <c r="N161" s="754"/>
      <c r="O161" s="754"/>
      <c r="P161" s="754"/>
      <c r="Q161" s="754"/>
      <c r="R161" s="754"/>
      <c r="S161" s="754"/>
      <c r="T161" s="754"/>
      <c r="U161" s="754"/>
      <c r="V161" s="754"/>
      <c r="W161" s="754"/>
      <c r="X161" s="754"/>
      <c r="Y161" s="754"/>
      <c r="Z161" s="754"/>
      <c r="AA161" s="754"/>
      <c r="AB161" s="754"/>
      <c r="AC161" s="754"/>
      <c r="AD161" s="755"/>
    </row>
    <row r="162" spans="1:102" ht="24" customHeight="1">
      <c r="A162" s="115"/>
      <c r="B162" s="181"/>
      <c r="C162" s="754" t="s">
        <v>5569</v>
      </c>
      <c r="D162" s="754"/>
      <c r="E162" s="754"/>
      <c r="F162" s="754"/>
      <c r="G162" s="754"/>
      <c r="H162" s="754"/>
      <c r="I162" s="754"/>
      <c r="J162" s="754"/>
      <c r="K162" s="754"/>
      <c r="L162" s="754"/>
      <c r="M162" s="754"/>
      <c r="N162" s="754"/>
      <c r="O162" s="754"/>
      <c r="P162" s="754"/>
      <c r="Q162" s="754"/>
      <c r="R162" s="754"/>
      <c r="S162" s="754"/>
      <c r="T162" s="754"/>
      <c r="U162" s="754"/>
      <c r="V162" s="754"/>
      <c r="W162" s="754"/>
      <c r="X162" s="754"/>
      <c r="Y162" s="754"/>
      <c r="Z162" s="754"/>
      <c r="AA162" s="754"/>
      <c r="AB162" s="754"/>
      <c r="AC162" s="754"/>
      <c r="AD162" s="755"/>
    </row>
    <row r="163" spans="1:102" ht="36" customHeight="1">
      <c r="A163" s="115"/>
      <c r="B163" s="182"/>
      <c r="C163" s="754" t="s">
        <v>5570</v>
      </c>
      <c r="D163" s="754"/>
      <c r="E163" s="754"/>
      <c r="F163" s="754"/>
      <c r="G163" s="754"/>
      <c r="H163" s="754"/>
      <c r="I163" s="754"/>
      <c r="J163" s="754"/>
      <c r="K163" s="754"/>
      <c r="L163" s="754"/>
      <c r="M163" s="754"/>
      <c r="N163" s="754"/>
      <c r="O163" s="754"/>
      <c r="P163" s="754"/>
      <c r="Q163" s="754"/>
      <c r="R163" s="754"/>
      <c r="S163" s="754"/>
      <c r="T163" s="754"/>
      <c r="U163" s="754"/>
      <c r="V163" s="754"/>
      <c r="W163" s="754"/>
      <c r="X163" s="754"/>
      <c r="Y163" s="754"/>
      <c r="Z163" s="754"/>
      <c r="AA163" s="754"/>
      <c r="AB163" s="754"/>
      <c r="AC163" s="754"/>
      <c r="AD163" s="755"/>
    </row>
    <row r="164" spans="1:102" ht="36" customHeight="1">
      <c r="A164" s="115"/>
      <c r="B164" s="183"/>
      <c r="C164" s="764" t="s">
        <v>5571</v>
      </c>
      <c r="D164" s="764"/>
      <c r="E164" s="764"/>
      <c r="F164" s="764"/>
      <c r="G164" s="764"/>
      <c r="H164" s="764"/>
      <c r="I164" s="764"/>
      <c r="J164" s="764"/>
      <c r="K164" s="764"/>
      <c r="L164" s="764"/>
      <c r="M164" s="764"/>
      <c r="N164" s="764"/>
      <c r="O164" s="764"/>
      <c r="P164" s="764"/>
      <c r="Q164" s="764"/>
      <c r="R164" s="764"/>
      <c r="S164" s="764"/>
      <c r="T164" s="764"/>
      <c r="U164" s="764"/>
      <c r="V164" s="764"/>
      <c r="W164" s="764"/>
      <c r="X164" s="764"/>
      <c r="Y164" s="764"/>
      <c r="Z164" s="764"/>
      <c r="AA164" s="764"/>
      <c r="AB164" s="764"/>
      <c r="AC164" s="764"/>
      <c r="AD164" s="765"/>
    </row>
    <row r="165" spans="1:102" ht="15" customHeight="1">
      <c r="A165" s="170"/>
    </row>
    <row r="166" spans="1:102" ht="24" customHeight="1">
      <c r="A166" s="49" t="s">
        <v>5572</v>
      </c>
      <c r="B166" s="829" t="s">
        <v>5573</v>
      </c>
      <c r="C166" s="829"/>
      <c r="D166" s="829"/>
      <c r="E166" s="829"/>
      <c r="F166" s="829"/>
      <c r="G166" s="829"/>
      <c r="H166" s="829"/>
      <c r="I166" s="829"/>
      <c r="J166" s="829"/>
      <c r="K166" s="829"/>
      <c r="L166" s="829"/>
      <c r="M166" s="829"/>
      <c r="N166" s="829"/>
      <c r="O166" s="829"/>
      <c r="P166" s="829"/>
      <c r="Q166" s="829"/>
      <c r="R166" s="829"/>
      <c r="S166" s="829"/>
      <c r="T166" s="829"/>
      <c r="U166" s="829"/>
      <c r="V166" s="829"/>
      <c r="W166" s="829"/>
      <c r="X166" s="829"/>
      <c r="Y166" s="829"/>
      <c r="Z166" s="829"/>
      <c r="AA166" s="829"/>
      <c r="AB166" s="829"/>
      <c r="AC166" s="829"/>
      <c r="AD166" s="829"/>
    </row>
    <row r="167" spans="1:102" ht="24" customHeight="1">
      <c r="A167" s="49"/>
      <c r="B167" s="105"/>
      <c r="C167" s="754" t="s">
        <v>5574</v>
      </c>
      <c r="D167" s="754"/>
      <c r="E167" s="754"/>
      <c r="F167" s="754"/>
      <c r="G167" s="754"/>
      <c r="H167" s="754"/>
      <c r="I167" s="754"/>
      <c r="J167" s="754"/>
      <c r="K167" s="754"/>
      <c r="L167" s="754"/>
      <c r="M167" s="754"/>
      <c r="N167" s="754"/>
      <c r="O167" s="754"/>
      <c r="P167" s="754"/>
      <c r="Q167" s="754"/>
      <c r="R167" s="754"/>
      <c r="S167" s="754"/>
      <c r="T167" s="754"/>
      <c r="U167" s="754"/>
      <c r="V167" s="754"/>
      <c r="W167" s="754"/>
      <c r="X167" s="754"/>
      <c r="Y167" s="754"/>
      <c r="Z167" s="754"/>
      <c r="AA167" s="754"/>
      <c r="AB167" s="754"/>
      <c r="AC167" s="754"/>
      <c r="AD167" s="754"/>
    </row>
    <row r="168" spans="1:102" ht="48" customHeight="1">
      <c r="A168" s="49"/>
      <c r="B168" s="105"/>
      <c r="C168" s="830" t="s">
        <v>5575</v>
      </c>
      <c r="D168" s="830"/>
      <c r="E168" s="830"/>
      <c r="F168" s="830"/>
      <c r="G168" s="830"/>
      <c r="H168" s="830"/>
      <c r="I168" s="830"/>
      <c r="J168" s="830"/>
      <c r="K168" s="830"/>
      <c r="L168" s="830"/>
      <c r="M168" s="830"/>
      <c r="N168" s="830"/>
      <c r="O168" s="830"/>
      <c r="P168" s="830"/>
      <c r="Q168" s="830"/>
      <c r="R168" s="830"/>
      <c r="S168" s="830"/>
      <c r="T168" s="830"/>
      <c r="U168" s="830"/>
      <c r="V168" s="830"/>
      <c r="W168" s="830"/>
      <c r="X168" s="830"/>
      <c r="Y168" s="830"/>
      <c r="Z168" s="830"/>
      <c r="AA168" s="830"/>
      <c r="AB168" s="830"/>
      <c r="AC168" s="830"/>
      <c r="AD168" s="830"/>
    </row>
    <row r="169" spans="1:102" ht="48" customHeight="1">
      <c r="A169" s="49"/>
      <c r="B169" s="38"/>
      <c r="C169" s="830" t="s">
        <v>5576</v>
      </c>
      <c r="D169" s="830"/>
      <c r="E169" s="830"/>
      <c r="F169" s="830"/>
      <c r="G169" s="830"/>
      <c r="H169" s="830"/>
      <c r="I169" s="830"/>
      <c r="J169" s="830"/>
      <c r="K169" s="830"/>
      <c r="L169" s="830"/>
      <c r="M169" s="830"/>
      <c r="N169" s="830"/>
      <c r="O169" s="830"/>
      <c r="P169" s="830"/>
      <c r="Q169" s="830"/>
      <c r="R169" s="830"/>
      <c r="S169" s="830"/>
      <c r="T169" s="830"/>
      <c r="U169" s="830"/>
      <c r="V169" s="830"/>
      <c r="W169" s="830"/>
      <c r="X169" s="830"/>
      <c r="Y169" s="830"/>
      <c r="Z169" s="830"/>
      <c r="AA169" s="830"/>
      <c r="AB169" s="830"/>
      <c r="AC169" s="830"/>
      <c r="AD169" s="830"/>
    </row>
    <row r="170" spans="1:102" ht="15" customHeight="1">
      <c r="A170" s="10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row>
    <row r="171" spans="1:102" ht="15" customHeight="1">
      <c r="A171" s="10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873" t="s">
        <v>2664</v>
      </c>
      <c r="AB171" s="873"/>
      <c r="AC171" s="873"/>
      <c r="AD171" s="873"/>
    </row>
    <row r="172" spans="1:102" ht="36" customHeight="1">
      <c r="A172" s="108"/>
      <c r="B172" s="38"/>
      <c r="C172" s="732" t="s">
        <v>4728</v>
      </c>
      <c r="D172" s="732"/>
      <c r="E172" s="732"/>
      <c r="F172" s="732"/>
      <c r="G172" s="732"/>
      <c r="H172" s="732"/>
      <c r="I172" s="732"/>
      <c r="J172" s="732"/>
      <c r="K172" s="732"/>
      <c r="L172" s="732"/>
      <c r="M172" s="732"/>
      <c r="N172" s="732"/>
      <c r="O172" s="732"/>
      <c r="P172" s="732" t="s">
        <v>5577</v>
      </c>
      <c r="Q172" s="732"/>
      <c r="R172" s="732"/>
      <c r="S172" s="732"/>
      <c r="T172" s="732"/>
      <c r="U172" s="732"/>
      <c r="V172" s="732"/>
      <c r="W172" s="732"/>
      <c r="X172" s="732"/>
      <c r="Y172" s="732"/>
      <c r="Z172" s="732"/>
      <c r="AA172" s="732"/>
      <c r="AB172" s="732"/>
      <c r="AC172" s="732"/>
      <c r="AD172" s="732"/>
    </row>
    <row r="173" spans="1:102" ht="120" customHeight="1">
      <c r="A173" s="108"/>
      <c r="B173" s="38"/>
      <c r="C173" s="732"/>
      <c r="D173" s="732"/>
      <c r="E173" s="732"/>
      <c r="F173" s="732"/>
      <c r="G173" s="732"/>
      <c r="H173" s="732"/>
      <c r="I173" s="732"/>
      <c r="J173" s="732"/>
      <c r="K173" s="732"/>
      <c r="L173" s="732"/>
      <c r="M173" s="732"/>
      <c r="N173" s="732"/>
      <c r="O173" s="732"/>
      <c r="P173" s="887" t="s">
        <v>2628</v>
      </c>
      <c r="Q173" s="889" t="s">
        <v>2629</v>
      </c>
      <c r="R173" s="889" t="s">
        <v>2630</v>
      </c>
      <c r="S173" s="858" t="s">
        <v>5551</v>
      </c>
      <c r="T173" s="859"/>
      <c r="U173" s="860"/>
      <c r="V173" s="857" t="s">
        <v>5552</v>
      </c>
      <c r="W173" s="857"/>
      <c r="X173" s="857"/>
      <c r="Y173" s="857" t="s">
        <v>5553</v>
      </c>
      <c r="Z173" s="857"/>
      <c r="AA173" s="857"/>
      <c r="AB173" s="857" t="s">
        <v>5554</v>
      </c>
      <c r="AC173" s="857"/>
      <c r="AD173" s="857"/>
    </row>
    <row r="174" spans="1:102" ht="48" customHeight="1">
      <c r="A174" s="108"/>
      <c r="B174" s="38"/>
      <c r="C174" s="732"/>
      <c r="D174" s="732"/>
      <c r="E174" s="732"/>
      <c r="F174" s="732"/>
      <c r="G174" s="732"/>
      <c r="H174" s="732"/>
      <c r="I174" s="732"/>
      <c r="J174" s="732"/>
      <c r="K174" s="732"/>
      <c r="L174" s="732"/>
      <c r="M174" s="732"/>
      <c r="N174" s="732"/>
      <c r="O174" s="732"/>
      <c r="P174" s="888"/>
      <c r="Q174" s="890"/>
      <c r="R174" s="890"/>
      <c r="S174" s="129" t="s">
        <v>2635</v>
      </c>
      <c r="T174" s="128" t="s">
        <v>2629</v>
      </c>
      <c r="U174" s="128" t="s">
        <v>2630</v>
      </c>
      <c r="V174" s="129" t="s">
        <v>2635</v>
      </c>
      <c r="W174" s="128" t="s">
        <v>2629</v>
      </c>
      <c r="X174" s="128" t="s">
        <v>2630</v>
      </c>
      <c r="Y174" s="129" t="s">
        <v>2635</v>
      </c>
      <c r="Z174" s="128" t="s">
        <v>2629</v>
      </c>
      <c r="AA174" s="128" t="s">
        <v>2630</v>
      </c>
      <c r="AB174" s="129" t="s">
        <v>2635</v>
      </c>
      <c r="AC174" s="128" t="s">
        <v>2629</v>
      </c>
      <c r="AD174" s="128" t="s">
        <v>2630</v>
      </c>
      <c r="AG174" t="s">
        <v>2586</v>
      </c>
      <c r="AH174" t="s">
        <v>4599</v>
      </c>
      <c r="AK174" t="s">
        <v>4573</v>
      </c>
      <c r="AL174" t="s">
        <v>2638</v>
      </c>
      <c r="AM174" t="s">
        <v>2639</v>
      </c>
      <c r="AN174" t="s">
        <v>4574</v>
      </c>
      <c r="AO174" t="s">
        <v>2641</v>
      </c>
      <c r="AP174" t="s">
        <v>2642</v>
      </c>
      <c r="AQ174" t="s">
        <v>4575</v>
      </c>
      <c r="AR174" t="s">
        <v>2644</v>
      </c>
      <c r="AS174" t="s">
        <v>2645</v>
      </c>
      <c r="AT174" t="s">
        <v>4576</v>
      </c>
      <c r="AU174" t="s">
        <v>2647</v>
      </c>
      <c r="AV174" t="s">
        <v>2648</v>
      </c>
      <c r="AW174" t="s">
        <v>5177</v>
      </c>
      <c r="AX174" t="s">
        <v>2757</v>
      </c>
      <c r="AY174" t="s">
        <v>2758</v>
      </c>
      <c r="BH174" t="s">
        <v>5291</v>
      </c>
      <c r="BI174"/>
      <c r="BJ174"/>
      <c r="BK174" t="s">
        <v>5290</v>
      </c>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row>
    <row r="175" spans="1:102" ht="15" customHeight="1">
      <c r="A175" s="108"/>
      <c r="B175" s="38"/>
      <c r="C175" s="97" t="s">
        <v>2516</v>
      </c>
      <c r="D175" s="796" t="s">
        <v>4731</v>
      </c>
      <c r="E175" s="796"/>
      <c r="F175" s="796"/>
      <c r="G175" s="796"/>
      <c r="H175" s="796"/>
      <c r="I175" s="796"/>
      <c r="J175" s="796"/>
      <c r="K175" s="796"/>
      <c r="L175" s="796"/>
      <c r="M175" s="796"/>
      <c r="N175" s="796"/>
      <c r="O175" s="796"/>
      <c r="P175" s="100"/>
      <c r="Q175" s="100"/>
      <c r="R175" s="100"/>
      <c r="S175" s="100"/>
      <c r="T175" s="100"/>
      <c r="U175" s="100"/>
      <c r="V175" s="100"/>
      <c r="W175" s="100"/>
      <c r="X175" s="100"/>
      <c r="Y175" s="100"/>
      <c r="Z175" s="100"/>
      <c r="AA175" s="100"/>
      <c r="AB175" s="100"/>
      <c r="AC175" s="100"/>
      <c r="AD175" s="100"/>
      <c r="AG175" s="506">
        <f>IF(OR(M51=0,M51="NS",M51="NA"),0,IF(SUM(COUNTBLANK(P175:AD176),COUNTBLANK(G183:AD184))=0,0,1))</f>
        <v>0</v>
      </c>
      <c r="AH175" s="506">
        <f>IF(OR(M51=0,M51="NS",M51="NA"),IF(SUM(COUNTBLANK(P175:AD176),COUNTBLANK(G183:AD184))=78,0,1),0)</f>
        <v>0</v>
      </c>
      <c r="AK175">
        <f>COUNTIF(Q175:R175,"NS")</f>
        <v>0</v>
      </c>
      <c r="AL175">
        <f>SUM(Q175:R175)</f>
        <v>0</v>
      </c>
      <c r="AM175">
        <f>IF(COUNTIF(P175:R175,"NA")=3,0,IF(COUNTA(P175:R175)=0,0,IF(OR(AND(P175=0,AK175&gt;0),AND(P175="ns",AL175&gt;0),AND(P175="ns",AK175=0,AL175=0)),1,IF(OR(AND(P175&gt;0,AK175=2),AND(P175="ns",AK175=2),AND(P175="ns",AL175=0,AK175&gt;0),P175=AL175),0,1))))</f>
        <v>0</v>
      </c>
      <c r="AN175">
        <f t="shared" ref="AN175:AN176" si="81">COUNTIF(T175:U175,"NS")</f>
        <v>0</v>
      </c>
      <c r="AO175">
        <f t="shared" ref="AO175:AO176" si="82">SUM(T175:U175)</f>
        <v>0</v>
      </c>
      <c r="AP175">
        <f t="shared" ref="AP175:AP176" si="83">IF(COUNTIF(S175:U175,"NA")=3,0,IF(COUNTA(S175:U175)=0,0,IF(OR(AND(S175=0,AN175&gt;0),AND(S175="ns",AO175&gt;0),AND(S175="ns",AN175=0,AO175=0)),1,IF(OR(AND(S175&gt;0,AN175=2),AND(S175="ns",AN175=2),AND(S175="ns",AO175=0,AN175&gt;0),S175=AO175),0,1))))</f>
        <v>0</v>
      </c>
      <c r="AQ175">
        <f t="shared" ref="AQ175:AQ176" si="84">COUNTIF(W175:X175,"NS")</f>
        <v>0</v>
      </c>
      <c r="AR175">
        <f t="shared" ref="AR175:AR176" si="85">SUM(W175:X175)</f>
        <v>0</v>
      </c>
      <c r="AS175">
        <f t="shared" ref="AS175:AS176" si="86">IF(COUNTIF(V175:X175,"NA")=3,0,IF(COUNTA(V175:X175)=0,0,IF(OR(AND(V175=0,AQ175&gt;0),AND(V175="ns",AR175&gt;0),AND(V175="ns",AQ175=0,AR175=0)),1,IF(OR(AND(V175&gt;0,AQ175=2),AND(V175="ns",AQ175=2),AND(V175="ns",AR175=0,AQ175&gt;0),V175=AR175),0,1))))</f>
        <v>0</v>
      </c>
      <c r="AT175">
        <f t="shared" ref="AT175:AT176" si="87">COUNTIF(Z175:AA175,"NS")</f>
        <v>0</v>
      </c>
      <c r="AU175">
        <f t="shared" ref="AU175:AU176" si="88">SUM(Z175:AA175)</f>
        <v>0</v>
      </c>
      <c r="AV175">
        <f t="shared" ref="AV175:AV176" si="89">IF(COUNTIF(Y175:AA175,"NA")=3,0,IF(COUNTA(Y175:AA175)=0,0,IF(OR(AND(Y175=0,AT175&gt;0),AND(Y175="ns",AU175&gt;0),AND(Y175="ns",AT175=0,AU175=0)),1,IF(OR(AND(Y175&gt;0,AT175=2),AND(Y175="ns",AT175=2),AND(Y175="ns",AU175=0,AT175&gt;0),Y175=AU175),0,1))))</f>
        <v>0</v>
      </c>
      <c r="AW175">
        <f t="shared" ref="AW175:AW176" si="90">COUNTIF(AC175:AD175,"NS")</f>
        <v>0</v>
      </c>
      <c r="AX175">
        <f t="shared" ref="AX175:AX176" si="91">SUM(AC175:AD175)</f>
        <v>0</v>
      </c>
      <c r="AY175">
        <f t="shared" ref="AY175:AY176" si="92">IF(COUNTIF(AB175:AD175,"NA")=3,0,IF(COUNTA(AB175:AD175)=0,0,IF(OR(AND(AB175=0,AW175&gt;0),AND(AB175="ns",AX175&gt;0),AND(AB175="ns",AW175=0,AX175=0)),1,IF(OR(AND(AB175&gt;0,AW175=2),AND(AB175="ns",AW175=2),AND(AB175="ns",AX175=0,AW175&gt;0),AB175=AX175),0,1))))</f>
        <v>0</v>
      </c>
      <c r="BH175" cm="1">
        <f t="array" ref="BH175">IF(OR(P175={"NS","NA"},$V$103={"NS","NA"}),0,IF(P175&gt;=$V$103,0,1))</f>
        <v>0</v>
      </c>
      <c r="BI175" cm="1">
        <f t="array" ref="BI175">IF(OR(Q175={"NS","NA"},$W$103={"NS","NA"}),0,IF(Q175&gt;=$W$103,0,1))</f>
        <v>0</v>
      </c>
      <c r="BJ175" cm="1">
        <f t="array" ref="BJ175">IF(OR(R175={"NS","NA"},$X$103={"NS","NA"}),0,IF(R175&gt;=$X$103,0,1))</f>
        <v>0</v>
      </c>
      <c r="BK175" cm="1">
        <f t="array" ref="BK175">IF(OR(P177={"NS","NA"},P130={"NS","NA"}),0,IF(P177&gt;=P130,0,1))</f>
        <v>0</v>
      </c>
      <c r="BL175" cm="1">
        <f t="array" ref="BL175">IF(OR(Q177={"NS","NA"},Q130={"NS","NA"}),0,IF(Q177&gt;=Q130,0,1))</f>
        <v>0</v>
      </c>
      <c r="BM175" cm="1">
        <f t="array" ref="BM175">IF(OR(R177={"NS","NA"},R130={"NS","NA"}),0,IF(R177&gt;=R130,0,1))</f>
        <v>0</v>
      </c>
      <c r="BN175" cm="1">
        <f t="array" ref="BN175">IF(OR(S177={"NS","NA"},S130={"NS","NA"}),0,IF(S177&gt;=S130,0,1))</f>
        <v>0</v>
      </c>
      <c r="BO175" cm="1">
        <f t="array" ref="BO175">IF(OR(T177={"NS","NA"},T130={"NS","NA"}),0,IF(T177&gt;=T130,0,1))</f>
        <v>0</v>
      </c>
      <c r="BP175" cm="1">
        <f t="array" ref="BP175">IF(OR(U177={"NS","NA"},U130={"NS","NA"}),0,IF(U177&gt;=U130,0,1))</f>
        <v>0</v>
      </c>
      <c r="BQ175" cm="1">
        <f t="array" ref="BQ175">IF(OR(V177={"NS","NA"},V130={"NS","NA"}),0,IF(V177&gt;=V130,0,1))</f>
        <v>0</v>
      </c>
      <c r="BR175" cm="1">
        <f t="array" ref="BR175">IF(OR(W177={"NS","NA"},W130={"NS","NA"}),0,IF(W177&gt;=W130,0,1))</f>
        <v>0</v>
      </c>
      <c r="BS175" cm="1">
        <f t="array" ref="BS175">IF(OR(X177={"NS","NA"},X130={"NS","NA"}),0,IF(X177&gt;=X130,0,1))</f>
        <v>0</v>
      </c>
      <c r="BT175" cm="1">
        <f t="array" ref="BT175">IF(OR(Y177={"NS","NA"},Y130={"NS","NA"}),0,IF(Y177&gt;=Y130,0,1))</f>
        <v>0</v>
      </c>
      <c r="BU175" cm="1">
        <f t="array" ref="BU175">IF(OR(Z177={"NS","NA"},Z130={"NS","NA"}),0,IF(Z177&gt;=Z130,0,1))</f>
        <v>0</v>
      </c>
      <c r="BV175" cm="1">
        <f t="array" ref="BV175">IF(OR(AA177={"NS","NA"},AA130={"NS","NA"}),0,IF(AA177&gt;=AA130,0,1))</f>
        <v>0</v>
      </c>
      <c r="BW175" cm="1">
        <f t="array" ref="BW175">IF(OR(AB177={"NS","NA"},AB130={"NS","NA"}),0,IF(AB177&gt;=AB130,0,1))</f>
        <v>0</v>
      </c>
      <c r="BX175" cm="1">
        <f t="array" ref="BX175">IF(OR(AC177={"NS","NA"},AC130={"NS","NA"}),0,IF(AC177&gt;=AC130,0,1))</f>
        <v>0</v>
      </c>
      <c r="BY175" cm="1">
        <f t="array" ref="BY175">IF(OR(AD177={"NS","NA"},AD130={"NS","NA"}),0,IF(AD177&gt;=AD130,0,1))</f>
        <v>0</v>
      </c>
      <c r="BZ175" cm="1">
        <f t="array" ref="BZ175">IF(OR(G185={"NS","NA"},G144={"NS","NA"}),0,IF(G185&gt;=G144,0,1))</f>
        <v>0</v>
      </c>
      <c r="CA175" cm="1">
        <f t="array" ref="CA175">IF(OR(H185={"NS","NA"},H144={"NS","NA"}),0,IF(H185&gt;=H144,0,1))</f>
        <v>0</v>
      </c>
      <c r="CB175" cm="1">
        <f t="array" ref="CB175">IF(OR(I185={"NS","NA"},I144={"NS","NA"}),0,IF(I185&gt;=I144,0,1))</f>
        <v>0</v>
      </c>
      <c r="CC175" cm="1">
        <f t="array" ref="CC175">IF(OR(J185={"NS","NA"},J144={"NS","NA"}),0,IF(J185&gt;=J144,0,1))</f>
        <v>0</v>
      </c>
      <c r="CD175" cm="1">
        <f t="array" ref="CD175">IF(OR(K185={"NS","NA"},K144={"NS","NA"}),0,IF(K185&gt;=K144,0,1))</f>
        <v>0</v>
      </c>
      <c r="CE175" cm="1">
        <f t="array" ref="CE175">IF(OR(L185={"NS","NA"},L144={"NS","NA"}),0,IF(L185&gt;=L144,0,1))</f>
        <v>0</v>
      </c>
      <c r="CF175" cm="1">
        <f t="array" ref="CF175">IF(OR(M185={"NS","NA"},M144={"NS","NA"}),0,IF(M185&gt;=M144,0,1))</f>
        <v>0</v>
      </c>
      <c r="CG175" cm="1">
        <f t="array" ref="CG175">IF(OR(N185={"NS","NA"},N144={"NS","NA"}),0,IF(N185&gt;=N144,0,1))</f>
        <v>0</v>
      </c>
      <c r="CH175" cm="1">
        <f t="array" ref="CH175">IF(OR(O185={"NS","NA"},O144={"NS","NA"}),0,IF(O185&gt;=O144,0,1))</f>
        <v>0</v>
      </c>
      <c r="CI175" cm="1">
        <f t="array" ref="CI175">IF(OR(P185={"NS","NA"},P144={"NS","NA"}),0,IF(P185&gt;=P144,0,1))</f>
        <v>0</v>
      </c>
      <c r="CJ175" cm="1">
        <f t="array" ref="CJ175">IF(OR(Q185={"NS","NA"},Q144={"NS","NA"}),0,IF(Q185&gt;=Q144,0,1))</f>
        <v>0</v>
      </c>
      <c r="CK175" cm="1">
        <f t="array" ref="CK175">IF(OR(R185={"NS","NA"},R144={"NS","NA"}),0,IF(R185&gt;=R144,0,1))</f>
        <v>0</v>
      </c>
      <c r="CL175" cm="1">
        <f t="array" ref="CL175">IF(OR(S185={"NS","NA"},S144={"NS","NA"}),0,IF(S185&gt;=S144,0,1))</f>
        <v>0</v>
      </c>
      <c r="CM175" cm="1">
        <f t="array" ref="CM175">IF(OR(T185={"NS","NA"},T144={"NS","NA"}),0,IF(T185&gt;=T144,0,1))</f>
        <v>0</v>
      </c>
      <c r="CN175" cm="1">
        <f t="array" ref="CN175">IF(OR(U185={"NS","NA"},U144={"NS","NA"}),0,IF(U185&gt;=U144,0,1))</f>
        <v>0</v>
      </c>
      <c r="CO175" cm="1">
        <f t="array" ref="CO175">IF(OR(V185={"NS","NA"},V144={"NS","NA"}),0,IF(V185&gt;=V144,0,1))</f>
        <v>0</v>
      </c>
      <c r="CP175" cm="1">
        <f t="array" ref="CP175">IF(OR(W185={"NS","NA"},W144={"NS","NA"}),0,IF(W185&gt;=W144,0,1))</f>
        <v>0</v>
      </c>
      <c r="CQ175" cm="1">
        <f t="array" ref="CQ175">IF(OR(X185={"NS","NA"},X144={"NS","NA"}),0,IF(X185&gt;=X144,0,1))</f>
        <v>0</v>
      </c>
      <c r="CR175" cm="1">
        <f t="array" ref="CR175">IF(OR(Y185={"NS","NA"},Y144={"NS","NA"}),0,IF(Y185&gt;=Y144,0,1))</f>
        <v>0</v>
      </c>
      <c r="CS175" cm="1">
        <f t="array" ref="CS175">IF(OR(Z185={"NS","NA"},Z144={"NS","NA"}),0,IF(Z185&gt;=Z144,0,1))</f>
        <v>0</v>
      </c>
      <c r="CT175" cm="1">
        <f t="array" ref="CT175">IF(OR(AA185={"NS","NA"},AA144={"NS","NA"}),0,IF(AA185&gt;=AA144,0,1))</f>
        <v>0</v>
      </c>
      <c r="CU175" cm="1">
        <f t="array" ref="CU175">IF(OR(AB185={"NS","NA"},AB144={"NS","NA"}),0,IF(AB185&gt;=AB144,0,1))</f>
        <v>0</v>
      </c>
      <c r="CV175" cm="1">
        <f t="array" ref="CV175">IF(OR(AC185={"NS","NA"},AC144={"NS","NA"}),0,IF(AC185&gt;=AC144,0,1))</f>
        <v>0</v>
      </c>
      <c r="CW175" cm="1">
        <f t="array" ref="CW175">IF(OR(AD185={"NS","NA"},AD144={"NS","NA"}),0,IF(AD185&gt;=AD144,0,1))</f>
        <v>0</v>
      </c>
      <c r="CX175" s="506">
        <f>IF(OR(M51=0,M51="NS",M51="NA"),0,SUM(BK175:CW175))</f>
        <v>0</v>
      </c>
    </row>
    <row r="176" spans="1:102" ht="15" customHeight="1">
      <c r="A176" s="108"/>
      <c r="B176" s="38"/>
      <c r="C176" s="98" t="s">
        <v>2517</v>
      </c>
      <c r="D176" s="796" t="s">
        <v>4571</v>
      </c>
      <c r="E176" s="796"/>
      <c r="F176" s="796"/>
      <c r="G176" s="796"/>
      <c r="H176" s="796"/>
      <c r="I176" s="796"/>
      <c r="J176" s="796"/>
      <c r="K176" s="796"/>
      <c r="L176" s="796"/>
      <c r="M176" s="796"/>
      <c r="N176" s="796"/>
      <c r="O176" s="796"/>
      <c r="P176" s="100"/>
      <c r="Q176" s="100"/>
      <c r="R176" s="100"/>
      <c r="S176" s="100"/>
      <c r="T176" s="100"/>
      <c r="U176" s="100"/>
      <c r="V176" s="100"/>
      <c r="W176" s="100"/>
      <c r="X176" s="100"/>
      <c r="Y176" s="100"/>
      <c r="Z176" s="100"/>
      <c r="AA176" s="100"/>
      <c r="AB176" s="100"/>
      <c r="AC176" s="100"/>
      <c r="AD176" s="100"/>
      <c r="AK176">
        <f>COUNTIF(Q176:R176,"NS")</f>
        <v>0</v>
      </c>
      <c r="AL176">
        <f>SUM(Q176:R176)</f>
        <v>0</v>
      </c>
      <c r="AM176">
        <f>IF(COUNTIF(P176:R176,"NA")=3,0,IF(COUNTA(P176:R176)=0,0,IF(OR(AND(P176=0,AK176&gt;0),AND(P176="ns",AL176&gt;0),AND(P176="ns",AK176=0,AL176=0)),1,IF(OR(AND(P176&gt;0,AK176=2),AND(P176="ns",AK176=2),AND(P176="ns",AL176=0,AK176&gt;0),P176=AL176),0,1))))</f>
        <v>0</v>
      </c>
      <c r="AN176">
        <f t="shared" si="81"/>
        <v>0</v>
      </c>
      <c r="AO176">
        <f t="shared" si="82"/>
        <v>0</v>
      </c>
      <c r="AP176">
        <f t="shared" si="83"/>
        <v>0</v>
      </c>
      <c r="AQ176">
        <f t="shared" si="84"/>
        <v>0</v>
      </c>
      <c r="AR176">
        <f t="shared" si="85"/>
        <v>0</v>
      </c>
      <c r="AS176">
        <f t="shared" si="86"/>
        <v>0</v>
      </c>
      <c r="AT176">
        <f t="shared" si="87"/>
        <v>0</v>
      </c>
      <c r="AU176">
        <f t="shared" si="88"/>
        <v>0</v>
      </c>
      <c r="AV176">
        <f t="shared" si="89"/>
        <v>0</v>
      </c>
      <c r="AW176">
        <f t="shared" si="90"/>
        <v>0</v>
      </c>
      <c r="AX176">
        <f t="shared" si="91"/>
        <v>0</v>
      </c>
      <c r="AY176">
        <f t="shared" si="92"/>
        <v>0</v>
      </c>
      <c r="BH176" cm="1">
        <f t="array" ref="BH176">IF(OR(P176={"NS","NA"},$Y$103={"NS","NA"}),0,IF(P176&gt;=$Y$103,0,1))</f>
        <v>0</v>
      </c>
      <c r="BI176" cm="1">
        <f t="array" ref="BI176">IF(OR(Q176={"NS","NA"},$Z$103={"NS","NA"}),0,IF(Q176&gt;=$Z$103,0,1))</f>
        <v>0</v>
      </c>
      <c r="BJ176" cm="1">
        <f t="array" ref="BJ176">IF(OR(R176={"NS","NA"},$AA$103={"NS","NA"}),0,IF(R176&gt;=$AA$103,0,1))</f>
        <v>0</v>
      </c>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row>
    <row r="177" spans="1:102" ht="15" customHeight="1">
      <c r="A177" s="49"/>
      <c r="B177" s="38"/>
      <c r="C177" s="38"/>
      <c r="D177" s="38"/>
      <c r="E177" s="38"/>
      <c r="F177" s="117"/>
      <c r="G177" s="54"/>
      <c r="H177" s="54"/>
      <c r="I177" s="54"/>
      <c r="J177" s="117"/>
      <c r="K177" s="204"/>
      <c r="M177" s="204"/>
      <c r="N177" s="204"/>
      <c r="O177" s="99" t="s">
        <v>2649</v>
      </c>
      <c r="P177" s="124">
        <f t="shared" ref="P177:AD177" si="93">IF(AND(SUM(P175:P176)=0,COUNTIF(P175:P176,"NS")&gt;0),"NS",IF(AND(SUM(P175:P176)=0,COUNTIF(P175:P176,0)&gt;0),0,IF(AND(SUM(P175:P176)=0,COUNTIF(P175:P176,"NA")&gt;0),"NA",SUM(P175:P176))))</f>
        <v>0</v>
      </c>
      <c r="Q177" s="124">
        <f t="shared" si="93"/>
        <v>0</v>
      </c>
      <c r="R177" s="124">
        <f t="shared" si="93"/>
        <v>0</v>
      </c>
      <c r="S177" s="124">
        <f t="shared" si="93"/>
        <v>0</v>
      </c>
      <c r="T177" s="124">
        <f t="shared" si="93"/>
        <v>0</v>
      </c>
      <c r="U177" s="124">
        <f t="shared" si="93"/>
        <v>0</v>
      </c>
      <c r="V177" s="124">
        <f t="shared" si="93"/>
        <v>0</v>
      </c>
      <c r="W177" s="124">
        <f t="shared" si="93"/>
        <v>0</v>
      </c>
      <c r="X177" s="124">
        <f t="shared" si="93"/>
        <v>0</v>
      </c>
      <c r="Y177" s="124">
        <f t="shared" si="93"/>
        <v>0</v>
      </c>
      <c r="Z177" s="124">
        <f t="shared" si="93"/>
        <v>0</v>
      </c>
      <c r="AA177" s="124">
        <f t="shared" si="93"/>
        <v>0</v>
      </c>
      <c r="AB177" s="124">
        <f t="shared" si="93"/>
        <v>0</v>
      </c>
      <c r="AC177" s="124">
        <f t="shared" si="93"/>
        <v>0</v>
      </c>
      <c r="AD177" s="124">
        <f t="shared" si="93"/>
        <v>0</v>
      </c>
      <c r="AK177">
        <f>SUM(AK175:AK176)</f>
        <v>0</v>
      </c>
      <c r="AM177">
        <f>SUM(AM175:AM176)</f>
        <v>0</v>
      </c>
      <c r="AN177">
        <f>SUM(AN175:AN176)</f>
        <v>0</v>
      </c>
      <c r="AP177">
        <f>SUM(AP175:AP176)</f>
        <v>0</v>
      </c>
      <c r="AQ177">
        <f>SUM(AQ175:AQ176)</f>
        <v>0</v>
      </c>
      <c r="AS177">
        <f>SUM(AS175:AS176)</f>
        <v>0</v>
      </c>
      <c r="AT177">
        <f>SUM(AT175:AT176)</f>
        <v>0</v>
      </c>
      <c r="AV177">
        <f>SUM(AV175:AV176)</f>
        <v>0</v>
      </c>
      <c r="AW177">
        <f>SUM(AW175:AW176)</f>
        <v>0</v>
      </c>
      <c r="AY177">
        <f>SUM(AY175:AY176)</f>
        <v>0</v>
      </c>
      <c r="BH177" cm="1">
        <f t="array" ref="BH177">IF(OR(P177={"NS","NA"},$S$103={"NS","NA"}),0,IF(P177&gt;=$S$103,0,1))</f>
        <v>0</v>
      </c>
      <c r="BI177" cm="1">
        <f t="array" ref="BI177">IF(OR(Q177={"NS","NA"},$T$103={"NS","NA"}),0,IF(Q177&gt;=$T$103,0,1))</f>
        <v>0</v>
      </c>
      <c r="BJ177" cm="1">
        <f t="array" ref="BJ177">IF(OR(R177={"NS","NA"},$U$103={"NS","NA"}),0,IF(R177&gt;=$U$103,0,1))</f>
        <v>0</v>
      </c>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row>
    <row r="178" spans="1:102" ht="15" customHeight="1">
      <c r="A178" s="176"/>
      <c r="B178" s="57"/>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K178" t="s">
        <v>2650</v>
      </c>
      <c r="AL178" s="405">
        <f>SUM(AM177,AP177,AS177,AV177,AY177)</f>
        <v>0</v>
      </c>
      <c r="AM178" t="s">
        <v>2651</v>
      </c>
      <c r="AN178" s="405">
        <f>SUM(AK177,AN177,AQ177,AT177,AW177)</f>
        <v>0</v>
      </c>
      <c r="BJ178" s="506">
        <f>IF(OR(M51=0,M51="NS",M51="NA"),0,SUM(BH175:BJ177))</f>
        <v>0</v>
      </c>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row>
    <row r="179" spans="1:102" ht="15" customHeight="1">
      <c r="A179" s="176"/>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873" t="s">
        <v>2668</v>
      </c>
      <c r="AB179" s="873"/>
      <c r="AC179" s="873"/>
      <c r="AD179" s="873"/>
      <c r="AK179" t="s">
        <v>2652</v>
      </c>
      <c r="AL179">
        <f>IF(AN178&gt;0,IF(SUM(P177)&gt;=SUM(S177,V177,Y177,AB177),0,1),IF(SUM(P177)&lt;&gt;SUM(S177,V177,Y177,AB177),1,0))</f>
        <v>0</v>
      </c>
      <c r="AM179" t="s">
        <v>2653</v>
      </c>
      <c r="AN179">
        <f>IF(AN178&gt;0,IF(SUM(Q177)&gt;=SUM(T177,W177,Z177,AC177),0,1),IF(SUM(Q177)&lt;&gt;SUM(T177,W177,Z177,AC177),1,0))</f>
        <v>0</v>
      </c>
      <c r="AO179" t="s">
        <v>2654</v>
      </c>
      <c r="AP179">
        <f>IF(AN178&gt;0,IF(SUM(R177)&gt;=SUM(U177,X177,AA177,AD177),0,1),IF(SUM(R177)&lt;&gt;SUM(U177,X177,AA177,AD177),1,0))</f>
        <v>0</v>
      </c>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row>
    <row r="180" spans="1:102" ht="36" customHeight="1">
      <c r="A180" s="176"/>
      <c r="B180" s="38"/>
      <c r="C180" s="797" t="s">
        <v>4728</v>
      </c>
      <c r="D180" s="798"/>
      <c r="E180" s="798"/>
      <c r="F180" s="799"/>
      <c r="G180" s="739" t="s">
        <v>5577</v>
      </c>
      <c r="H180" s="740"/>
      <c r="I180" s="740"/>
      <c r="J180" s="740"/>
      <c r="K180" s="740"/>
      <c r="L180" s="740"/>
      <c r="M180" s="740"/>
      <c r="N180" s="740"/>
      <c r="O180" s="740"/>
      <c r="P180" s="740"/>
      <c r="Q180" s="740"/>
      <c r="R180" s="740"/>
      <c r="S180" s="740"/>
      <c r="T180" s="740"/>
      <c r="U180" s="740"/>
      <c r="V180" s="740"/>
      <c r="W180" s="740"/>
      <c r="X180" s="740"/>
      <c r="Y180" s="740"/>
      <c r="Z180" s="740"/>
      <c r="AA180" s="740"/>
      <c r="AB180" s="740"/>
      <c r="AC180" s="740"/>
      <c r="AD180" s="741"/>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row>
    <row r="181" spans="1:102" ht="120" customHeight="1">
      <c r="A181" s="176"/>
      <c r="B181" s="38"/>
      <c r="C181" s="800"/>
      <c r="D181" s="801"/>
      <c r="E181" s="801"/>
      <c r="F181" s="802"/>
      <c r="G181" s="857" t="s">
        <v>5555</v>
      </c>
      <c r="H181" s="857"/>
      <c r="I181" s="857"/>
      <c r="J181" s="857" t="s">
        <v>5556</v>
      </c>
      <c r="K181" s="857"/>
      <c r="L181" s="857"/>
      <c r="M181" s="857" t="s">
        <v>5557</v>
      </c>
      <c r="N181" s="857"/>
      <c r="O181" s="857"/>
      <c r="P181" s="857" t="s">
        <v>5558</v>
      </c>
      <c r="Q181" s="857"/>
      <c r="R181" s="857"/>
      <c r="S181" s="857" t="s">
        <v>5559</v>
      </c>
      <c r="T181" s="857"/>
      <c r="U181" s="857"/>
      <c r="V181" s="857" t="s">
        <v>5560</v>
      </c>
      <c r="W181" s="857"/>
      <c r="X181" s="857"/>
      <c r="Y181" s="857" t="s">
        <v>5561</v>
      </c>
      <c r="Z181" s="857"/>
      <c r="AA181" s="857"/>
      <c r="AB181" s="857" t="s">
        <v>5578</v>
      </c>
      <c r="AC181" s="857"/>
      <c r="AD181" s="857"/>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row>
    <row r="182" spans="1:102" ht="48" customHeight="1">
      <c r="A182" s="176"/>
      <c r="B182" s="38"/>
      <c r="C182" s="803"/>
      <c r="D182" s="804"/>
      <c r="E182" s="804"/>
      <c r="F182" s="805"/>
      <c r="G182" s="129" t="s">
        <v>2635</v>
      </c>
      <c r="H182" s="128" t="s">
        <v>2629</v>
      </c>
      <c r="I182" s="128" t="s">
        <v>2630</v>
      </c>
      <c r="J182" s="129" t="s">
        <v>2635</v>
      </c>
      <c r="K182" s="128" t="s">
        <v>2629</v>
      </c>
      <c r="L182" s="128" t="s">
        <v>2630</v>
      </c>
      <c r="M182" s="129" t="s">
        <v>2635</v>
      </c>
      <c r="N182" s="128" t="s">
        <v>2629</v>
      </c>
      <c r="O182" s="128" t="s">
        <v>2630</v>
      </c>
      <c r="P182" s="129" t="s">
        <v>2635</v>
      </c>
      <c r="Q182" s="128" t="s">
        <v>2629</v>
      </c>
      <c r="R182" s="128" t="s">
        <v>2630</v>
      </c>
      <c r="S182" s="129" t="s">
        <v>2635</v>
      </c>
      <c r="T182" s="128" t="s">
        <v>2629</v>
      </c>
      <c r="U182" s="128" t="s">
        <v>2630</v>
      </c>
      <c r="V182" s="129" t="s">
        <v>2635</v>
      </c>
      <c r="W182" s="128" t="s">
        <v>2629</v>
      </c>
      <c r="X182" s="128" t="s">
        <v>2630</v>
      </c>
      <c r="Y182" s="129" t="s">
        <v>2635</v>
      </c>
      <c r="Z182" s="128" t="s">
        <v>2629</v>
      </c>
      <c r="AA182" s="128" t="s">
        <v>2630</v>
      </c>
      <c r="AB182" s="129" t="s">
        <v>2635</v>
      </c>
      <c r="AC182" s="128" t="s">
        <v>2629</v>
      </c>
      <c r="AD182" s="128" t="s">
        <v>2630</v>
      </c>
      <c r="AK182" t="s">
        <v>4573</v>
      </c>
      <c r="AL182" t="s">
        <v>2638</v>
      </c>
      <c r="AM182" t="s">
        <v>2639</v>
      </c>
      <c r="AN182" t="s">
        <v>4574</v>
      </c>
      <c r="AO182" t="s">
        <v>2641</v>
      </c>
      <c r="AP182" t="s">
        <v>2642</v>
      </c>
      <c r="AQ182" t="s">
        <v>4575</v>
      </c>
      <c r="AR182" t="s">
        <v>2644</v>
      </c>
      <c r="AS182" t="s">
        <v>2645</v>
      </c>
      <c r="AT182" t="s">
        <v>4576</v>
      </c>
      <c r="AU182" t="s">
        <v>2647</v>
      </c>
      <c r="AV182" t="s">
        <v>2648</v>
      </c>
      <c r="AW182" t="s">
        <v>5177</v>
      </c>
      <c r="AX182" t="s">
        <v>2757</v>
      </c>
      <c r="AY182" t="s">
        <v>2758</v>
      </c>
      <c r="AZ182" t="s">
        <v>5194</v>
      </c>
      <c r="BA182" t="s">
        <v>2760</v>
      </c>
      <c r="BB182" t="s">
        <v>2761</v>
      </c>
      <c r="BC182" t="s">
        <v>5195</v>
      </c>
      <c r="BD182" t="s">
        <v>2763</v>
      </c>
      <c r="BE182" t="s">
        <v>2764</v>
      </c>
      <c r="BF182" t="s">
        <v>5563</v>
      </c>
      <c r="BG182" t="s">
        <v>2766</v>
      </c>
      <c r="BH182" t="s">
        <v>2767</v>
      </c>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row>
    <row r="183" spans="1:102" ht="24" customHeight="1">
      <c r="A183" s="176"/>
      <c r="B183" s="70"/>
      <c r="C183" s="44" t="s">
        <v>2516</v>
      </c>
      <c r="D183" s="813" t="s">
        <v>4731</v>
      </c>
      <c r="E183" s="814"/>
      <c r="F183" s="815"/>
      <c r="G183" s="100"/>
      <c r="H183" s="100"/>
      <c r="I183" s="100"/>
      <c r="J183" s="100"/>
      <c r="K183" s="100"/>
      <c r="L183" s="100"/>
      <c r="M183" s="100"/>
      <c r="N183" s="100"/>
      <c r="O183" s="100"/>
      <c r="P183" s="100"/>
      <c r="Q183" s="100"/>
      <c r="R183" s="100"/>
      <c r="S183" s="100"/>
      <c r="T183" s="100"/>
      <c r="U183" s="100"/>
      <c r="V183" s="100"/>
      <c r="W183" s="100"/>
      <c r="X183" s="100"/>
      <c r="Y183" s="100"/>
      <c r="Z183" s="100"/>
      <c r="AA183" s="100"/>
      <c r="AB183" s="100"/>
      <c r="AC183" s="100"/>
      <c r="AD183" s="100"/>
      <c r="AK183">
        <f>COUNTIF(H183:I183,"NS")</f>
        <v>0</v>
      </c>
      <c r="AL183">
        <f>SUM(H183:I183)</f>
        <v>0</v>
      </c>
      <c r="AM183">
        <f>IF(COUNTIF(G183:I183,"NA")=3,0,IF(COUNTA(G183:I183)=0,0,IF(OR(AND(G183=0,AK183&gt;0),AND(G183="ns",AL183&gt;0),AND(G183="ns",AK183=0,AL183=0)),1,IF(OR(AND(G183&gt;0,AK183=2),AND(G183="ns",AK183=2),AND(G183="ns",AL183=0,AK183&gt;0),G183=AL183),0,1))))</f>
        <v>0</v>
      </c>
      <c r="AN183">
        <f t="shared" ref="AN183:AN184" si="94">COUNTIF(K183:L183,"NS")</f>
        <v>0</v>
      </c>
      <c r="AO183">
        <f t="shared" ref="AO183:AO184" si="95">SUM(K183:L183)</f>
        <v>0</v>
      </c>
      <c r="AP183">
        <f t="shared" ref="AP183:AP184" si="96">IF(COUNTIF(J183:L183,"NA")=3,0,IF(COUNTA(J183:L183)=0,0,IF(OR(AND(J183=0,AN183&gt;0),AND(J183="ns",AO183&gt;0),AND(J183="ns",AN183=0,AO183=0)),1,IF(OR(AND(J183&gt;0,AN183=2),AND(J183="ns",AN183=2),AND(J183="ns",AO183=0,AN183&gt;0),J183=AO183),0,1))))</f>
        <v>0</v>
      </c>
      <c r="AQ183">
        <f t="shared" ref="AQ183:AQ184" si="97">COUNTIF(N183:O183,"NS")</f>
        <v>0</v>
      </c>
      <c r="AR183">
        <f t="shared" ref="AR183:AR184" si="98">SUM(N183:O183)</f>
        <v>0</v>
      </c>
      <c r="AS183">
        <f t="shared" ref="AS183:AS184" si="99">IF(COUNTIF(M183:O183,"NA")=3,0,IF(COUNTA(M183:O183)=0,0,IF(OR(AND(M183=0,AQ183&gt;0),AND(M183="ns",AR183&gt;0),AND(M183="ns",AQ183=0,AR183=0)),1,IF(OR(AND(M183&gt;0,AQ183=2),AND(M183="ns",AQ183=2),AND(M183="ns",AR183=0,AQ183&gt;0),M183=AR183),0,1))))</f>
        <v>0</v>
      </c>
      <c r="AT183">
        <f t="shared" ref="AT183:AT184" si="100">COUNTIF(Q183:R183,"NS")</f>
        <v>0</v>
      </c>
      <c r="AU183">
        <f t="shared" ref="AU183:AU184" si="101">SUM(Q183:R183)</f>
        <v>0</v>
      </c>
      <c r="AV183">
        <f t="shared" ref="AV183:AV184" si="102">IF(COUNTIF(P183:R183,"NA")=3,0,IF(COUNTA(P183:R183)=0,0,IF(OR(AND(P183=0,AT183&gt;0),AND(P183="ns",AU183&gt;0),AND(P183="ns",AT183=0,AU183=0)),1,IF(OR(AND(P183&gt;0,AT183=2),AND(P183="ns",AT183=2),AND(P183="ns",AU183=0,AT183&gt;0),P183=AU183),0,1))))</f>
        <v>0</v>
      </c>
      <c r="AW183">
        <f t="shared" ref="AW183:AW184" si="103">COUNTIF(T183:U183,"NS")</f>
        <v>0</v>
      </c>
      <c r="AX183">
        <f t="shared" ref="AX183:AX184" si="104">SUM(T183:U183)</f>
        <v>0</v>
      </c>
      <c r="AY183">
        <f t="shared" ref="AY183:AY184" si="105">IF(COUNTIF(S183:U183,"NA")=3,0,IF(COUNTA(S183:U183)=0,0,IF(OR(AND(S183=0,AW183&gt;0),AND(S183="ns",AX183&gt;0),AND(S183="ns",AW183=0,AX183=0)),1,IF(OR(AND(S183&gt;0,AW183=2),AND(S183="ns",AW183=2),AND(S183="ns",AX183=0,AW183&gt;0),S183=AX183),0,1))))</f>
        <v>0</v>
      </c>
      <c r="AZ183">
        <f t="shared" ref="AZ183:AZ184" si="106">COUNTIF(W183:X183,"NS")</f>
        <v>0</v>
      </c>
      <c r="BA183">
        <f t="shared" ref="BA183:BA184" si="107">SUM(W183:X183)</f>
        <v>0</v>
      </c>
      <c r="BB183">
        <f t="shared" ref="BB183:BB184" si="108">IF(COUNTIF(V183:X183,"NA")=3,0,IF(COUNTA(V183:X183)=0,0,IF(OR(AND(V183=0,AZ183&gt;0),AND(V183="ns",BA183&gt;0),AND(V183="ns",AZ183=0,BA183=0)),1,IF(OR(AND(V183&gt;0,AZ183=2),AND(V183="ns",AZ183=2),AND(V183="ns",BA183=0,AZ183&gt;0),V183=BA183),0,1))))</f>
        <v>0</v>
      </c>
      <c r="BC183">
        <f t="shared" ref="BC183:BC184" si="109">COUNTIF(Z183:AA183,"NS")</f>
        <v>0</v>
      </c>
      <c r="BD183">
        <f t="shared" ref="BD183:BD184" si="110">SUM(Z183:AA183)</f>
        <v>0</v>
      </c>
      <c r="BE183">
        <f t="shared" ref="BE183:BE184" si="111">IF(COUNTIF(Y183:AA183,"NA")=3,0,IF(COUNTA(Y183:AA183)=0,0,IF(OR(AND(Y183=0,BC183&gt;0),AND(Y183="ns",BD183&gt;0),AND(Y183="ns",BC183=0,BD183=0)),1,IF(OR(AND(Y183&gt;0,BC183=2),AND(Y183="ns",BC183=2),AND(Y183="ns",BD183=0,BC183&gt;0),Y183=BD183),0,1))))</f>
        <v>0</v>
      </c>
      <c r="BF183">
        <f t="shared" ref="BF183:BF184" si="112">COUNTIF(AC183:AD183,"NS")</f>
        <v>0</v>
      </c>
      <c r="BG183">
        <f t="shared" ref="BG183:BG184" si="113">SUM(AC183:AD183)</f>
        <v>0</v>
      </c>
      <c r="BH183">
        <f t="shared" ref="BH183" si="114">IF(COUNTIF(AB183:AD183,"NA")=3,0,IF(COUNTA(AB183:AD183)=0,0,IF(OR(AND(AB183=0,BF183&gt;0),AND(AB183="ns",BG183&gt;0),AND(AB183="ns",BF183=0,BG183=0)),1,IF(OR(AND(AB183&gt;0,BF183=2),AND(AB183="ns",BF183=2),AND(AB183="ns",BG183=0,BF183&gt;0),AB183=BG183),0,1))))</f>
        <v>0</v>
      </c>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row>
    <row r="184" spans="1:102" ht="24" customHeight="1">
      <c r="A184" s="176"/>
      <c r="B184" s="70"/>
      <c r="C184" s="44" t="s">
        <v>2517</v>
      </c>
      <c r="D184" s="813" t="s">
        <v>4571</v>
      </c>
      <c r="E184" s="814"/>
      <c r="F184" s="815"/>
      <c r="G184" s="100"/>
      <c r="H184" s="100"/>
      <c r="I184" s="100"/>
      <c r="J184" s="100"/>
      <c r="K184" s="100"/>
      <c r="L184" s="100"/>
      <c r="M184" s="100"/>
      <c r="N184" s="100"/>
      <c r="O184" s="100"/>
      <c r="P184" s="100"/>
      <c r="Q184" s="100"/>
      <c r="R184" s="100"/>
      <c r="S184" s="100"/>
      <c r="T184" s="100"/>
      <c r="U184" s="100"/>
      <c r="V184" s="100"/>
      <c r="W184" s="100"/>
      <c r="X184" s="100"/>
      <c r="Y184" s="100"/>
      <c r="Z184" s="100"/>
      <c r="AA184" s="100"/>
      <c r="AB184" s="100"/>
      <c r="AC184" s="100"/>
      <c r="AD184" s="100"/>
      <c r="AK184">
        <f>COUNTIF(H184:I184,"NS")</f>
        <v>0</v>
      </c>
      <c r="AL184">
        <f>SUM(H184:I184)</f>
        <v>0</v>
      </c>
      <c r="AM184">
        <f>IF(COUNTIF(G184:I184,"NA")=3,0,IF(COUNTA(G184:I184)=0,0,IF(OR(AND(G184=0,AK184&gt;0),AND(G184="ns",AL184&gt;0),AND(G184="ns",AK184=0,AL184=0)),1,IF(OR(AND(G184&gt;0,AK184=2),AND(G184="ns",AK184=2),AND(G184="ns",AL184=0,AK184&gt;0),G184=AL184),0,1))))</f>
        <v>0</v>
      </c>
      <c r="AN184">
        <f t="shared" si="94"/>
        <v>0</v>
      </c>
      <c r="AO184">
        <f t="shared" si="95"/>
        <v>0</v>
      </c>
      <c r="AP184">
        <f t="shared" si="96"/>
        <v>0</v>
      </c>
      <c r="AQ184">
        <f t="shared" si="97"/>
        <v>0</v>
      </c>
      <c r="AR184">
        <f t="shared" si="98"/>
        <v>0</v>
      </c>
      <c r="AS184">
        <f t="shared" si="99"/>
        <v>0</v>
      </c>
      <c r="AT184">
        <f t="shared" si="100"/>
        <v>0</v>
      </c>
      <c r="AU184">
        <f t="shared" si="101"/>
        <v>0</v>
      </c>
      <c r="AV184">
        <f t="shared" si="102"/>
        <v>0</v>
      </c>
      <c r="AW184">
        <f t="shared" si="103"/>
        <v>0</v>
      </c>
      <c r="AX184">
        <f t="shared" si="104"/>
        <v>0</v>
      </c>
      <c r="AY184">
        <f t="shared" si="105"/>
        <v>0</v>
      </c>
      <c r="AZ184">
        <f t="shared" si="106"/>
        <v>0</v>
      </c>
      <c r="BA184">
        <f t="shared" si="107"/>
        <v>0</v>
      </c>
      <c r="BB184">
        <f t="shared" si="108"/>
        <v>0</v>
      </c>
      <c r="BC184">
        <f t="shared" si="109"/>
        <v>0</v>
      </c>
      <c r="BD184">
        <f t="shared" si="110"/>
        <v>0</v>
      </c>
      <c r="BE184">
        <f t="shared" si="111"/>
        <v>0</v>
      </c>
      <c r="BF184">
        <f t="shared" si="112"/>
        <v>0</v>
      </c>
      <c r="BG184">
        <f t="shared" si="113"/>
        <v>0</v>
      </c>
      <c r="BH184">
        <f>IF(COUNTIF(AB184:AD184,"NA")=3,0,IF(COUNTA(AB184:AD184)=0,0,IF(OR(AND(AB184=0,BF184&gt;0),AND(AB184="ns",BG184&gt;0),AND(AB184="ns",BF184=0,BG184=0)),1,IF(OR(AND(AB184&gt;0,BF184=2),AND(AB184="ns",BF184=2),AND(AB184="ns",BG184=0,BF184&gt;0),AB184=BG184),0,1))))</f>
        <v>0</v>
      </c>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row>
    <row r="185" spans="1:102" ht="15" customHeight="1">
      <c r="A185" s="205"/>
      <c r="C185" s="16"/>
      <c r="D185" s="16"/>
      <c r="E185" s="16"/>
      <c r="F185" s="16"/>
      <c r="G185" s="124">
        <f t="shared" ref="G185:AD185" si="115">IF(AND(SUM(G183:G184)=0,COUNTIF(G183:G184,"NS")&gt;0),"NS",IF(AND(SUM(G183:G184)=0,COUNTIF(G183:G184,0)&gt;0),0,IF(AND(SUM(G183:G184)=0,COUNTIF(G183:G184,"NA")&gt;0),"NA",SUM(G183:G184))))</f>
        <v>0</v>
      </c>
      <c r="H185" s="124">
        <f t="shared" si="115"/>
        <v>0</v>
      </c>
      <c r="I185" s="124">
        <f t="shared" si="115"/>
        <v>0</v>
      </c>
      <c r="J185" s="124">
        <f t="shared" si="115"/>
        <v>0</v>
      </c>
      <c r="K185" s="124">
        <f t="shared" si="115"/>
        <v>0</v>
      </c>
      <c r="L185" s="124">
        <f t="shared" si="115"/>
        <v>0</v>
      </c>
      <c r="M185" s="124">
        <f t="shared" si="115"/>
        <v>0</v>
      </c>
      <c r="N185" s="124">
        <f t="shared" si="115"/>
        <v>0</v>
      </c>
      <c r="O185" s="124">
        <f t="shared" si="115"/>
        <v>0</v>
      </c>
      <c r="P185" s="124">
        <f t="shared" si="115"/>
        <v>0</v>
      </c>
      <c r="Q185" s="124">
        <f t="shared" si="115"/>
        <v>0</v>
      </c>
      <c r="R185" s="124">
        <f t="shared" si="115"/>
        <v>0</v>
      </c>
      <c r="S185" s="124">
        <f t="shared" si="115"/>
        <v>0</v>
      </c>
      <c r="T185" s="124">
        <f t="shared" si="115"/>
        <v>0</v>
      </c>
      <c r="U185" s="124">
        <f t="shared" si="115"/>
        <v>0</v>
      </c>
      <c r="V185" s="124">
        <f t="shared" si="115"/>
        <v>0</v>
      </c>
      <c r="W185" s="124">
        <f t="shared" si="115"/>
        <v>0</v>
      </c>
      <c r="X185" s="124">
        <f t="shared" si="115"/>
        <v>0</v>
      </c>
      <c r="Y185" s="124">
        <f t="shared" si="115"/>
        <v>0</v>
      </c>
      <c r="Z185" s="124">
        <f t="shared" si="115"/>
        <v>0</v>
      </c>
      <c r="AA185" s="124">
        <f t="shared" si="115"/>
        <v>0</v>
      </c>
      <c r="AB185" s="124">
        <f t="shared" si="115"/>
        <v>0</v>
      </c>
      <c r="AC185" s="124">
        <f t="shared" si="115"/>
        <v>0</v>
      </c>
      <c r="AD185" s="124">
        <f t="shared" si="115"/>
        <v>0</v>
      </c>
      <c r="AK185">
        <f>SUM(AK183:AK184)</f>
        <v>0</v>
      </c>
      <c r="AM185">
        <f>SUM(AM183:AM184)</f>
        <v>0</v>
      </c>
      <c r="AN185">
        <f>SUM(AN183:AN184)</f>
        <v>0</v>
      </c>
      <c r="AP185">
        <f>SUM(AP183:AP184)</f>
        <v>0</v>
      </c>
      <c r="AQ185">
        <f>SUM(AQ183:AQ184)</f>
        <v>0</v>
      </c>
      <c r="AS185">
        <f>SUM(AS183:AS184)</f>
        <v>0</v>
      </c>
      <c r="AT185">
        <f>SUM(AT183:AT184)</f>
        <v>0</v>
      </c>
      <c r="AV185">
        <f>SUM(AV183:AV184)</f>
        <v>0</v>
      </c>
      <c r="AW185">
        <f>SUM(AW183:AW184)</f>
        <v>0</v>
      </c>
      <c r="AY185">
        <f>SUM(AY183:AY184)</f>
        <v>0</v>
      </c>
      <c r="AZ185">
        <f>SUM(AZ183:AZ184)</f>
        <v>0</v>
      </c>
      <c r="BB185">
        <f>SUM(BB183:BB184)</f>
        <v>0</v>
      </c>
      <c r="BC185">
        <f>SUM(BC183:BC184)</f>
        <v>0</v>
      </c>
      <c r="BE185">
        <f>SUM(BE183:BE184)</f>
        <v>0</v>
      </c>
      <c r="BF185">
        <f>SUM(BF183:BF184)</f>
        <v>0</v>
      </c>
      <c r="BH185">
        <f>SUM(BH183:BH184)</f>
        <v>0</v>
      </c>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row>
    <row r="186" spans="1:102" ht="15" customHeight="1">
      <c r="A186" s="185"/>
      <c r="B186" s="90"/>
      <c r="C186" s="90"/>
      <c r="D186" s="90"/>
      <c r="E186" s="90"/>
      <c r="F186" s="90"/>
      <c r="G186" s="90"/>
      <c r="H186" s="90"/>
      <c r="I186" s="90"/>
      <c r="J186" s="90"/>
      <c r="K186" s="90"/>
      <c r="L186" s="90"/>
      <c r="M186" s="90"/>
      <c r="N186" s="90"/>
      <c r="O186" s="90"/>
      <c r="P186" s="90"/>
      <c r="Q186" s="90"/>
      <c r="R186" s="90"/>
      <c r="S186" s="90"/>
      <c r="T186" s="90"/>
      <c r="U186" s="90"/>
      <c r="V186" s="90"/>
      <c r="W186" s="90"/>
      <c r="X186" s="90"/>
      <c r="Y186" s="90"/>
      <c r="Z186" s="90"/>
      <c r="AA186" s="90"/>
      <c r="AB186" s="90"/>
      <c r="AC186" s="90"/>
      <c r="AD186" s="90"/>
      <c r="AK186" t="s">
        <v>2650</v>
      </c>
      <c r="AL186" s="405">
        <f>SUM(AM185,AP185,AS185,AV185,AY185,BB185,BE185,BH185)</f>
        <v>0</v>
      </c>
      <c r="AM186" t="s">
        <v>2651</v>
      </c>
      <c r="AN186" s="405">
        <f>SUM(AK185,AN185,AQ185,AT185,AW185,AZ185,BC185,BF185)</f>
        <v>0</v>
      </c>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row>
    <row r="187" spans="1:102" ht="24" customHeight="1">
      <c r="A187" s="185"/>
      <c r="B187" s="90"/>
      <c r="C187" s="754" t="s">
        <v>2611</v>
      </c>
      <c r="D187" s="754"/>
      <c r="E187" s="754"/>
      <c r="F187" s="754"/>
      <c r="G187" s="754"/>
      <c r="H187" s="754"/>
      <c r="I187" s="754"/>
      <c r="J187" s="754"/>
      <c r="K187" s="754"/>
      <c r="L187" s="754"/>
      <c r="M187" s="754"/>
      <c r="N187" s="754"/>
      <c r="O187" s="754"/>
      <c r="P187" s="754"/>
      <c r="Q187" s="754"/>
      <c r="R187" s="754"/>
      <c r="S187" s="754"/>
      <c r="T187" s="754"/>
      <c r="U187" s="754"/>
      <c r="V187" s="754"/>
      <c r="W187" s="754"/>
      <c r="X187" s="754"/>
      <c r="Y187" s="754"/>
      <c r="Z187" s="754"/>
      <c r="AA187" s="754"/>
      <c r="AB187" s="754"/>
      <c r="AC187" s="754"/>
      <c r="AD187" s="754"/>
      <c r="AK187" t="s">
        <v>2652</v>
      </c>
      <c r="AL187">
        <f>IF(AN186&gt;0,IF(SUM(G185)&gt;=SUM(J185,M185,P185,S185,V185,Y185,AB185),0,1),IF(SUM(G185)&lt;&gt;SUM(J185,M185,P185,S185,V185,Y185,AB185),1,0))</f>
        <v>0</v>
      </c>
      <c r="AM187" t="s">
        <v>2653</v>
      </c>
      <c r="AN187">
        <f>IF(AN186&gt;0,IF(SUM(H185)&gt;=SUM(K185,N185,Q185,T185,W185,Z185,AC185),0,1),IF(SUM(H185)&lt;&gt;SUM(K185,N185,Q185,T185,W185,Z185,AC185),1,0))</f>
        <v>0</v>
      </c>
      <c r="AO187" t="s">
        <v>2654</v>
      </c>
      <c r="AP187">
        <f>IF(AN186&gt;0,IF(SUM(I185)&gt;=SUM(L185,O185,R185,U185,X185,AA185,AD185),0,1),IF(SUM(I185)&lt;&gt;SUM(L185,O185,R185,U185,X185,AA185,AD185),1,0))</f>
        <v>0</v>
      </c>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row>
    <row r="188" spans="1:102" ht="60" customHeight="1">
      <c r="A188" s="185"/>
      <c r="B188" s="90"/>
      <c r="C188" s="851"/>
      <c r="D188" s="851"/>
      <c r="E188" s="851"/>
      <c r="F188" s="851"/>
      <c r="G188" s="851"/>
      <c r="H188" s="851"/>
      <c r="I188" s="851"/>
      <c r="J188" s="851"/>
      <c r="K188" s="851"/>
      <c r="L188" s="851"/>
      <c r="M188" s="851"/>
      <c r="N188" s="851"/>
      <c r="O188" s="851"/>
      <c r="P188" s="851"/>
      <c r="Q188" s="851"/>
      <c r="R188" s="851"/>
      <c r="S188" s="851"/>
      <c r="T188" s="851"/>
      <c r="U188" s="851"/>
      <c r="V188" s="851"/>
      <c r="W188" s="851"/>
      <c r="X188" s="851"/>
      <c r="Y188" s="851"/>
      <c r="Z188" s="851"/>
      <c r="AA188" s="851"/>
      <c r="AB188" s="851"/>
      <c r="AC188" s="851"/>
      <c r="AD188" s="851"/>
      <c r="AK188" t="s">
        <v>5179</v>
      </c>
      <c r="AL188" s="506">
        <f>SUM(AL178,AL186)</f>
        <v>0</v>
      </c>
      <c r="AM188" t="s">
        <v>5180</v>
      </c>
      <c r="AN188">
        <f>SUM(AN178,AN186)</f>
        <v>0</v>
      </c>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row>
    <row r="189" spans="1:102" ht="15" customHeight="1">
      <c r="A189" s="185"/>
      <c r="B189" s="794" t="str">
        <f>IF(AG175=0,"","Favor de ingresar toda la información requerida en la pregunta")</f>
        <v/>
      </c>
      <c r="C189" s="794"/>
      <c r="D189" s="794"/>
      <c r="E189" s="794"/>
      <c r="F189" s="794"/>
      <c r="G189" s="794"/>
      <c r="H189" s="794"/>
      <c r="I189" s="794"/>
      <c r="J189" s="794"/>
      <c r="K189" s="794"/>
      <c r="L189" s="794"/>
      <c r="M189" s="794"/>
      <c r="N189" s="794"/>
      <c r="O189" s="794"/>
      <c r="P189" s="794"/>
      <c r="Q189" s="794"/>
      <c r="R189" s="794"/>
      <c r="S189" s="794"/>
      <c r="T189" s="794"/>
      <c r="U189" s="794"/>
      <c r="V189" s="794"/>
      <c r="W189" s="794"/>
      <c r="X189" s="794"/>
      <c r="Y189" s="794"/>
      <c r="Z189" s="794"/>
      <c r="AA189" s="794"/>
      <c r="AB189" s="794"/>
      <c r="AC189" s="794"/>
      <c r="AD189" s="794"/>
      <c r="AE189" s="794"/>
      <c r="AK189" t="s">
        <v>5181</v>
      </c>
      <c r="AL189" s="506">
        <f>IF(AN188&gt;0,IF(SUM(P177)&gt;=SUM(S177,V177,Y177,AB177,G185,J185,M185,P185,S185,V185,Y185,AB185),0,1),IF(SUM(P177)&lt;&gt;SUM(S177,V177,Y177,AB177,G185,J185,M185,P185,S185,V185,Y185,AB185),1,0))</f>
        <v>0</v>
      </c>
      <c r="AM189" t="s">
        <v>5182</v>
      </c>
      <c r="AN189" s="506">
        <f>IF(AN188&gt;0,IF(SUM(Q177)&gt;=SUM(T177,W177,Z177,AC177,H185,K185,N185,Q185,T185,W185,Z185,AC185),0,1),IF(SUM(Q177)&lt;&gt;SUM(T177,W177,Z177,AC177,H185,K185,N185,Q185,T185,W185,Z185,AC185),1,0))</f>
        <v>0</v>
      </c>
      <c r="AO189" t="s">
        <v>5183</v>
      </c>
      <c r="AP189" s="506">
        <f>IF(AN188&gt;0,IF(SUM(R177)&gt;=SUM(U177,X177,AA177,AD177,I185,L185,O185,R185,U185,X185,AA185,AD185),0,1),IF(SUM(R177)&lt;&gt;SUM(U177,X177,AA177,AD177,I185,L185,O185,R185,U185,X185,AA185,AD185),1,0))</f>
        <v>0</v>
      </c>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row>
    <row r="190" spans="1:102" ht="15" customHeight="1">
      <c r="A190" s="185"/>
      <c r="B190" s="1087" t="str">
        <f>IF(OR(M51=0,M51="NS",M51="NA"),"",IF(SUM(COUNTIF(P175:AD176,"NS"),COUNTIF(G183:AD184,"NS"))&lt;&gt;0,"Alerta: debido a que cuenta con registros NS, debe proporcionar una justificación en el area de comentarios al final de la pregunta",""))</f>
        <v/>
      </c>
      <c r="C190" s="1087"/>
      <c r="D190" s="1087"/>
      <c r="E190" s="1087"/>
      <c r="F190" s="1087"/>
      <c r="G190" s="1087"/>
      <c r="H190" s="1087"/>
      <c r="I190" s="1087"/>
      <c r="J190" s="1087"/>
      <c r="K190" s="1087"/>
      <c r="L190" s="1087"/>
      <c r="M190" s="1087"/>
      <c r="N190" s="1087"/>
      <c r="O190" s="1087"/>
      <c r="P190" s="1087"/>
      <c r="Q190" s="1087"/>
      <c r="R190" s="1087"/>
      <c r="S190" s="1087"/>
      <c r="T190" s="1087"/>
      <c r="U190" s="1087"/>
      <c r="V190" s="1087"/>
      <c r="W190" s="1087"/>
      <c r="X190" s="1087"/>
      <c r="Y190" s="1087"/>
      <c r="Z190" s="1087"/>
      <c r="AA190" s="1087"/>
      <c r="AB190" s="1087"/>
      <c r="AC190" s="1087"/>
      <c r="AD190" s="1087"/>
      <c r="AE190" s="1087"/>
      <c r="AK190"/>
      <c r="AL190"/>
      <c r="AM190"/>
      <c r="AN190"/>
      <c r="AO190"/>
      <c r="AP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row>
    <row r="191" spans="1:102" ht="15" customHeight="1">
      <c r="A191" s="185"/>
      <c r="B191" s="1003" t="str">
        <f>IF(AH175&gt;0,"Revise la información capturada, ya que tiene datos ingresados en celdas que están sombreadas","")</f>
        <v/>
      </c>
      <c r="C191" s="1003"/>
      <c r="D191" s="1003"/>
      <c r="E191" s="1003"/>
      <c r="F191" s="1003"/>
      <c r="G191" s="1003"/>
      <c r="H191" s="1003"/>
      <c r="I191" s="1003"/>
      <c r="J191" s="1003"/>
      <c r="K191" s="1003"/>
      <c r="L191" s="1003"/>
      <c r="M191" s="1003"/>
      <c r="N191" s="1003"/>
      <c r="O191" s="1003"/>
      <c r="P191" s="1003"/>
      <c r="Q191" s="1003"/>
      <c r="R191" s="1003"/>
      <c r="S191" s="1003"/>
      <c r="T191" s="1003"/>
      <c r="U191" s="1003"/>
      <c r="V191" s="1003"/>
      <c r="W191" s="1003"/>
      <c r="X191" s="1003"/>
      <c r="Y191" s="1003"/>
      <c r="Z191" s="1003"/>
      <c r="AA191" s="1003"/>
      <c r="AB191" s="1003"/>
      <c r="AC191" s="1003"/>
      <c r="AD191" s="1003"/>
      <c r="AE191" s="1003"/>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row>
    <row r="192" spans="1:102" ht="15" customHeight="1">
      <c r="A192" s="185"/>
      <c r="B192" s="1003" t="str">
        <f>IF(OR(M51=0,M51="NS",M51="NA"),"",IF(OR(AL188&gt;0,AL189&gt;0,AN189&gt;0,AP189&gt;0),"Favor de revisar la suma y consistencia de totales y/o subtotales por filas (numéricos y NS)",""))</f>
        <v/>
      </c>
      <c r="C192" s="1003"/>
      <c r="D192" s="1003"/>
      <c r="E192" s="1003"/>
      <c r="F192" s="1003"/>
      <c r="G192" s="1003"/>
      <c r="H192" s="1003"/>
      <c r="I192" s="1003"/>
      <c r="J192" s="1003"/>
      <c r="K192" s="1003"/>
      <c r="L192" s="1003"/>
      <c r="M192" s="1003"/>
      <c r="N192" s="1003"/>
      <c r="O192" s="1003"/>
      <c r="P192" s="1003"/>
      <c r="Q192" s="1003"/>
      <c r="R192" s="1003"/>
      <c r="S192" s="1003"/>
      <c r="T192" s="1003"/>
      <c r="U192" s="1003"/>
      <c r="V192" s="1003"/>
      <c r="W192" s="1003"/>
      <c r="X192" s="1003"/>
      <c r="Y192" s="1003"/>
      <c r="Z192" s="1003"/>
      <c r="AA192" s="1003"/>
      <c r="AB192" s="1003"/>
      <c r="AC192" s="1003"/>
      <c r="AD192" s="1003"/>
      <c r="AE192" s="1003"/>
    </row>
    <row r="193" spans="1:105" ht="15" customHeight="1">
      <c r="A193" s="185"/>
      <c r="B193" s="795" t="str">
        <f>IF(BJ178&gt;0,"Alerta: debe de proporcionar una justificación de acuerdo a lo establecido en la instrucción 2","")</f>
        <v/>
      </c>
      <c r="C193" s="795"/>
      <c r="D193" s="795"/>
      <c r="E193" s="795"/>
      <c r="F193" s="795"/>
      <c r="G193" s="795"/>
      <c r="H193" s="795"/>
      <c r="I193" s="795"/>
      <c r="J193" s="795"/>
      <c r="K193" s="795"/>
      <c r="L193" s="795"/>
      <c r="M193" s="795"/>
      <c r="N193" s="795"/>
      <c r="O193" s="795"/>
      <c r="P193" s="795"/>
      <c r="Q193" s="795"/>
      <c r="R193" s="795"/>
      <c r="S193" s="795"/>
      <c r="T193" s="795"/>
      <c r="U193" s="795"/>
      <c r="V193" s="795"/>
      <c r="W193" s="795"/>
      <c r="X193" s="795"/>
      <c r="Y193" s="795"/>
      <c r="Z193" s="795"/>
      <c r="AA193" s="795"/>
      <c r="AB193" s="795"/>
      <c r="AC193" s="795"/>
      <c r="AD193" s="795"/>
      <c r="AE193" s="795"/>
    </row>
    <row r="194" spans="1:105" ht="15" customHeight="1">
      <c r="A194" s="185"/>
      <c r="B194" s="795" t="str">
        <f>IF(CX175&gt;0,"Alerta: debe de proporcionar una justificación de acuerdo a lo establecido en la instrucción 3","")</f>
        <v/>
      </c>
      <c r="C194" s="795"/>
      <c r="D194" s="795"/>
      <c r="E194" s="795"/>
      <c r="F194" s="795"/>
      <c r="G194" s="795"/>
      <c r="H194" s="795"/>
      <c r="I194" s="795"/>
      <c r="J194" s="795"/>
      <c r="K194" s="795"/>
      <c r="L194" s="795"/>
      <c r="M194" s="795"/>
      <c r="N194" s="795"/>
      <c r="O194" s="795"/>
      <c r="P194" s="795"/>
      <c r="Q194" s="795"/>
      <c r="R194" s="795"/>
      <c r="S194" s="795"/>
      <c r="T194" s="795"/>
      <c r="U194" s="795"/>
      <c r="V194" s="795"/>
      <c r="W194" s="795"/>
      <c r="X194" s="795"/>
      <c r="Y194" s="795"/>
      <c r="Z194" s="795"/>
      <c r="AA194" s="795"/>
      <c r="AB194" s="795"/>
      <c r="AC194" s="795"/>
      <c r="AD194" s="795"/>
      <c r="AE194" s="795"/>
    </row>
    <row r="195" spans="1:105" ht="24" customHeight="1">
      <c r="A195" s="49" t="s">
        <v>5579</v>
      </c>
      <c r="B195" s="829" t="s">
        <v>5580</v>
      </c>
      <c r="C195" s="829"/>
      <c r="D195" s="829"/>
      <c r="E195" s="829"/>
      <c r="F195" s="829"/>
      <c r="G195" s="829"/>
      <c r="H195" s="829"/>
      <c r="I195" s="829"/>
      <c r="J195" s="829"/>
      <c r="K195" s="829"/>
      <c r="L195" s="829"/>
      <c r="M195" s="829"/>
      <c r="N195" s="829"/>
      <c r="O195" s="829"/>
      <c r="P195" s="829"/>
      <c r="Q195" s="829"/>
      <c r="R195" s="829"/>
      <c r="S195" s="829"/>
      <c r="T195" s="829"/>
      <c r="U195" s="829"/>
      <c r="V195" s="829"/>
      <c r="W195" s="829"/>
      <c r="X195" s="829"/>
      <c r="Y195" s="829"/>
      <c r="Z195" s="829"/>
      <c r="AA195" s="829"/>
      <c r="AB195" s="829"/>
      <c r="AC195" s="829"/>
      <c r="AD195" s="829"/>
    </row>
    <row r="196" spans="1:105" ht="24" customHeight="1">
      <c r="A196" s="49"/>
      <c r="B196" s="105"/>
      <c r="C196" s="754" t="s">
        <v>4734</v>
      </c>
      <c r="D196" s="754"/>
      <c r="E196" s="754"/>
      <c r="F196" s="754"/>
      <c r="G196" s="754"/>
      <c r="H196" s="754"/>
      <c r="I196" s="754"/>
      <c r="J196" s="754"/>
      <c r="K196" s="754"/>
      <c r="L196" s="754"/>
      <c r="M196" s="754"/>
      <c r="N196" s="754"/>
      <c r="O196" s="754"/>
      <c r="P196" s="754"/>
      <c r="Q196" s="754"/>
      <c r="R196" s="754"/>
      <c r="S196" s="754"/>
      <c r="T196" s="754"/>
      <c r="U196" s="754"/>
      <c r="V196" s="754"/>
      <c r="W196" s="754"/>
      <c r="X196" s="754"/>
      <c r="Y196" s="754"/>
      <c r="Z196" s="754"/>
      <c r="AA196" s="754"/>
      <c r="AB196" s="754"/>
      <c r="AC196" s="754"/>
      <c r="AD196" s="754"/>
    </row>
    <row r="197" spans="1:105" ht="24" customHeight="1">
      <c r="A197" s="49"/>
      <c r="B197" s="38"/>
      <c r="C197" s="754" t="s">
        <v>5581</v>
      </c>
      <c r="D197" s="754"/>
      <c r="E197" s="754"/>
      <c r="F197" s="754"/>
      <c r="G197" s="754"/>
      <c r="H197" s="754"/>
      <c r="I197" s="754"/>
      <c r="J197" s="754"/>
      <c r="K197" s="754"/>
      <c r="L197" s="754"/>
      <c r="M197" s="754"/>
      <c r="N197" s="754"/>
      <c r="O197" s="754"/>
      <c r="P197" s="754"/>
      <c r="Q197" s="754"/>
      <c r="R197" s="754"/>
      <c r="S197" s="754"/>
      <c r="T197" s="754"/>
      <c r="U197" s="754"/>
      <c r="V197" s="754"/>
      <c r="W197" s="754"/>
      <c r="X197" s="754"/>
      <c r="Y197" s="754"/>
      <c r="Z197" s="754"/>
      <c r="AA197" s="754"/>
      <c r="AB197" s="754"/>
      <c r="AC197" s="754"/>
      <c r="AD197" s="754"/>
    </row>
    <row r="198" spans="1:105" ht="15" customHeight="1">
      <c r="A198" s="185"/>
      <c r="B198" s="90"/>
      <c r="C198" s="90"/>
      <c r="D198" s="90"/>
      <c r="E198" s="90"/>
      <c r="F198" s="90"/>
      <c r="G198" s="90"/>
      <c r="H198" s="90"/>
      <c r="I198" s="90"/>
      <c r="J198" s="90"/>
      <c r="K198" s="90"/>
      <c r="L198" s="90"/>
      <c r="M198" s="90"/>
      <c r="N198" s="90"/>
      <c r="O198" s="90"/>
      <c r="P198" s="90"/>
      <c r="Q198" s="90"/>
      <c r="R198" s="90"/>
      <c r="S198" s="90"/>
      <c r="T198" s="90"/>
      <c r="U198" s="90"/>
      <c r="V198" s="90"/>
      <c r="W198" s="90"/>
      <c r="X198" s="90"/>
      <c r="Y198" s="90"/>
      <c r="Z198" s="90"/>
      <c r="AA198" s="90"/>
      <c r="AB198" s="90"/>
      <c r="AC198" s="90"/>
      <c r="AD198" s="90"/>
    </row>
    <row r="199" spans="1:105" ht="15" customHeight="1">
      <c r="A199" s="108"/>
      <c r="B199" s="38"/>
      <c r="C199" s="75"/>
      <c r="D199" s="75"/>
      <c r="E199" s="75"/>
      <c r="F199" s="75"/>
      <c r="G199" s="75"/>
      <c r="H199" s="75"/>
      <c r="I199" s="75"/>
      <c r="J199" s="75"/>
      <c r="K199" s="75"/>
      <c r="L199" s="75"/>
      <c r="M199" s="75"/>
      <c r="N199" s="75"/>
      <c r="O199" s="75"/>
      <c r="P199" s="75"/>
      <c r="Q199" s="75"/>
      <c r="R199" s="75"/>
      <c r="S199" s="75"/>
      <c r="T199" s="75"/>
      <c r="U199" s="75"/>
      <c r="V199" s="75"/>
      <c r="W199" s="75"/>
      <c r="X199" s="75"/>
      <c r="Y199" s="75"/>
      <c r="Z199" s="75"/>
      <c r="AA199" s="873" t="s">
        <v>2664</v>
      </c>
      <c r="AB199" s="873"/>
      <c r="AC199" s="873"/>
      <c r="AD199" s="873"/>
    </row>
    <row r="200" spans="1:105" ht="36" customHeight="1">
      <c r="A200" s="108"/>
      <c r="B200" s="38"/>
      <c r="C200" s="797" t="s">
        <v>4736</v>
      </c>
      <c r="D200" s="798"/>
      <c r="E200" s="799"/>
      <c r="F200" s="732" t="s">
        <v>4737</v>
      </c>
      <c r="G200" s="732"/>
      <c r="H200" s="797" t="s">
        <v>4738</v>
      </c>
      <c r="I200" s="798"/>
      <c r="J200" s="798"/>
      <c r="K200" s="798"/>
      <c r="L200" s="798"/>
      <c r="M200" s="798"/>
      <c r="N200" s="798"/>
      <c r="O200" s="799"/>
      <c r="P200" s="739" t="s">
        <v>5582</v>
      </c>
      <c r="Q200" s="740"/>
      <c r="R200" s="740"/>
      <c r="S200" s="740"/>
      <c r="T200" s="740"/>
      <c r="U200" s="740"/>
      <c r="V200" s="740"/>
      <c r="W200" s="740"/>
      <c r="X200" s="740"/>
      <c r="Y200" s="740"/>
      <c r="Z200" s="740"/>
      <c r="AA200" s="740"/>
      <c r="AB200" s="740"/>
      <c r="AC200" s="740"/>
      <c r="AD200" s="741"/>
    </row>
    <row r="201" spans="1:105" ht="120" customHeight="1">
      <c r="A201" s="108"/>
      <c r="B201" s="38"/>
      <c r="C201" s="800"/>
      <c r="D201" s="801"/>
      <c r="E201" s="802"/>
      <c r="F201" s="732"/>
      <c r="G201" s="732"/>
      <c r="H201" s="800"/>
      <c r="I201" s="801"/>
      <c r="J201" s="801"/>
      <c r="K201" s="801"/>
      <c r="L201" s="801"/>
      <c r="M201" s="801"/>
      <c r="N201" s="801"/>
      <c r="O201" s="802"/>
      <c r="P201" s="887" t="s">
        <v>2628</v>
      </c>
      <c r="Q201" s="889" t="s">
        <v>2629</v>
      </c>
      <c r="R201" s="889" t="s">
        <v>2630</v>
      </c>
      <c r="S201" s="858" t="s">
        <v>5551</v>
      </c>
      <c r="T201" s="859"/>
      <c r="U201" s="860"/>
      <c r="V201" s="857" t="s">
        <v>5552</v>
      </c>
      <c r="W201" s="857"/>
      <c r="X201" s="857"/>
      <c r="Y201" s="857" t="s">
        <v>5553</v>
      </c>
      <c r="Z201" s="857"/>
      <c r="AA201" s="857"/>
      <c r="AB201" s="857" t="s">
        <v>5554</v>
      </c>
      <c r="AC201" s="857"/>
      <c r="AD201" s="857"/>
    </row>
    <row r="202" spans="1:105" ht="48" customHeight="1">
      <c r="A202" s="108"/>
      <c r="B202" s="38"/>
      <c r="C202" s="803"/>
      <c r="D202" s="804"/>
      <c r="E202" s="805"/>
      <c r="F202" s="732"/>
      <c r="G202" s="732"/>
      <c r="H202" s="803"/>
      <c r="I202" s="804"/>
      <c r="J202" s="804"/>
      <c r="K202" s="804"/>
      <c r="L202" s="804"/>
      <c r="M202" s="804"/>
      <c r="N202" s="804"/>
      <c r="O202" s="805"/>
      <c r="P202" s="888"/>
      <c r="Q202" s="890"/>
      <c r="R202" s="890"/>
      <c r="S202" s="129" t="s">
        <v>2635</v>
      </c>
      <c r="T202" s="128" t="s">
        <v>2629</v>
      </c>
      <c r="U202" s="128" t="s">
        <v>2630</v>
      </c>
      <c r="V202" s="129" t="s">
        <v>2635</v>
      </c>
      <c r="W202" s="128" t="s">
        <v>2629</v>
      </c>
      <c r="X202" s="128" t="s">
        <v>2630</v>
      </c>
      <c r="Y202" s="129" t="s">
        <v>2635</v>
      </c>
      <c r="Z202" s="128" t="s">
        <v>2629</v>
      </c>
      <c r="AA202" s="128" t="s">
        <v>2630</v>
      </c>
      <c r="AB202" s="129" t="s">
        <v>2635</v>
      </c>
      <c r="AC202" s="128" t="s">
        <v>2629</v>
      </c>
      <c r="AD202" s="128" t="s">
        <v>2630</v>
      </c>
      <c r="AF202" s="576" t="s">
        <v>4740</v>
      </c>
      <c r="AG202" t="s">
        <v>2586</v>
      </c>
      <c r="AH202" t="s">
        <v>4599</v>
      </c>
      <c r="AI202" t="s">
        <v>4741</v>
      </c>
      <c r="AJ202" t="s">
        <v>4742</v>
      </c>
      <c r="AK202" t="s">
        <v>4573</v>
      </c>
      <c r="AL202" t="s">
        <v>2638</v>
      </c>
      <c r="AM202" t="s">
        <v>2639</v>
      </c>
      <c r="AN202" t="s">
        <v>4574</v>
      </c>
      <c r="AO202" t="s">
        <v>2641</v>
      </c>
      <c r="AP202" t="s">
        <v>2642</v>
      </c>
      <c r="AQ202" t="s">
        <v>4575</v>
      </c>
      <c r="AR202" t="s">
        <v>2644</v>
      </c>
      <c r="AS202" t="s">
        <v>2645</v>
      </c>
      <c r="AT202" t="s">
        <v>4576</v>
      </c>
      <c r="AU202" t="s">
        <v>2647</v>
      </c>
      <c r="AV202" t="s">
        <v>2648</v>
      </c>
      <c r="AW202" t="s">
        <v>5177</v>
      </c>
      <c r="AX202" t="s">
        <v>2757</v>
      </c>
      <c r="AY202" t="s">
        <v>2758</v>
      </c>
      <c r="CS202"/>
      <c r="CT202"/>
      <c r="CU202"/>
      <c r="CV202"/>
      <c r="CW202"/>
      <c r="CX202"/>
      <c r="CY202"/>
      <c r="CZ202"/>
      <c r="DA202"/>
    </row>
    <row r="203" spans="1:105" ht="15" customHeight="1">
      <c r="A203" s="108"/>
      <c r="B203" s="38"/>
      <c r="C203" s="1108" t="s">
        <v>4743</v>
      </c>
      <c r="D203" s="847" t="s">
        <v>5416</v>
      </c>
      <c r="E203" s="848"/>
      <c r="F203" s="1103" t="s">
        <v>4745</v>
      </c>
      <c r="G203" s="1103"/>
      <c r="H203" s="1104" t="s">
        <v>3875</v>
      </c>
      <c r="I203" s="1105"/>
      <c r="J203" s="1105"/>
      <c r="K203" s="1105"/>
      <c r="L203" s="1105"/>
      <c r="M203" s="1105"/>
      <c r="N203" s="1105"/>
      <c r="O203" s="1106"/>
      <c r="P203" s="100"/>
      <c r="Q203" s="100"/>
      <c r="R203" s="100"/>
      <c r="S203" s="100"/>
      <c r="T203" s="100"/>
      <c r="U203" s="100"/>
      <c r="V203" s="100"/>
      <c r="W203" s="100"/>
      <c r="X203" s="100"/>
      <c r="Y203" s="100"/>
      <c r="Z203" s="100"/>
      <c r="AA203" s="100"/>
      <c r="AB203" s="100"/>
      <c r="AC203" s="100"/>
      <c r="AD203" s="100"/>
      <c r="AF203"/>
      <c r="AG203">
        <f>IF(OR($P$175=0,$P$175="NS",$P$175="NA",P203="NA"),0,IF(SUM(COUNTBLANK(P203:AD203),COUNTBLANK(G374:AD374))=0,0,1))</f>
        <v>0</v>
      </c>
      <c r="AH203">
        <f>IF(P203="NA",IF(COUNTA(Q203:AD203,G374:AD374)=0,0,1),0)</f>
        <v>0</v>
      </c>
      <c r="AI203">
        <f>IF(OR($P$175=0,$P$175="NS",$P$175="NA"),IF(COUNTA(P203:AD367,G374:AD538)=0,0,1),0)</f>
        <v>0</v>
      </c>
      <c r="AK203">
        <f t="shared" ref="AK203:AK266" si="116">COUNTIF(Q203:R203,"NS")</f>
        <v>0</v>
      </c>
      <c r="AL203">
        <f t="shared" ref="AL203:AL266" si="117">SUM(Q203:R203)</f>
        <v>0</v>
      </c>
      <c r="AM203">
        <f t="shared" ref="AM203:AM266" si="118">IF(COUNTIF(P203:R203,"NA")=3,0,IF(COUNTA(P203:R203)=0,0,IF(OR(AND(P203=0,AK203&gt;0),AND(P203="ns",AL203&gt;0),AND(P203="ns",AK203=0,AL203=0)),1,IF(OR(AND(P203&gt;0,AK203=2),AND(P203="ns",AK203=2),AND(P203="ns",AL203=0,AK203&gt;0),P203=AL203),0,1))))</f>
        <v>0</v>
      </c>
      <c r="AN203">
        <f t="shared" ref="AN203:AN266" si="119">COUNTIF(T203:U203,"NS")</f>
        <v>0</v>
      </c>
      <c r="AO203">
        <f t="shared" ref="AO203:AO266" si="120">SUM(T203:U203)</f>
        <v>0</v>
      </c>
      <c r="AP203">
        <f t="shared" ref="AP203:AP266" si="121">IF(COUNTIF(S203:U203,"NA")=3,0,IF(COUNTA(S203:U203)=0,0,IF(OR(AND(S203=0,AN203&gt;0),AND(S203="ns",AO203&gt;0),AND(S203="ns",AN203=0,AO203=0)),1,IF(OR(AND(S203&gt;0,AN203=2),AND(S203="ns",AN203=2),AND(S203="ns",AO203=0,AN203&gt;0),S203=AO203),0,1))))</f>
        <v>0</v>
      </c>
      <c r="AQ203">
        <f t="shared" ref="AQ203:AQ266" si="122">COUNTIF(W203:X203,"NS")</f>
        <v>0</v>
      </c>
      <c r="AR203">
        <f t="shared" ref="AR203:AR266" si="123">SUM(W203:X203)</f>
        <v>0</v>
      </c>
      <c r="AS203">
        <f t="shared" ref="AS203:AS266" si="124">IF(COUNTIF(V203:X203,"NA")=3,0,IF(COUNTA(V203:X203)=0,0,IF(OR(AND(V203=0,AQ203&gt;0),AND(V203="ns",AR203&gt;0),AND(V203="ns",AQ203=0,AR203=0)),1,IF(OR(AND(V203&gt;0,AQ203=2),AND(V203="ns",AQ203=2),AND(V203="ns",AR203=0,AQ203&gt;0),V203=AR203),0,1))))</f>
        <v>0</v>
      </c>
      <c r="AT203">
        <f t="shared" ref="AT203:AT266" si="125">COUNTIF(Z203:AA203,"NS")</f>
        <v>0</v>
      </c>
      <c r="AU203">
        <f t="shared" ref="AU203:AU266" si="126">SUM(Z203:AA203)</f>
        <v>0</v>
      </c>
      <c r="AV203">
        <f t="shared" ref="AV203:AV266" si="127">IF(COUNTIF(Y203:AA203,"NA")=3,0,IF(COUNTA(Y203:AA203)=0,0,IF(OR(AND(Y203=0,AT203&gt;0),AND(Y203="ns",AU203&gt;0),AND(Y203="ns",AT203=0,AU203=0)),1,IF(OR(AND(Y203&gt;0,AT203=2),AND(Y203="ns",AT203=2),AND(Y203="ns",AU203=0,AT203&gt;0),Y203=AU203),0,1))))</f>
        <v>0</v>
      </c>
      <c r="AW203">
        <f t="shared" ref="AW203:AW266" si="128">COUNTIF(AC203:AD203,"NS")</f>
        <v>0</v>
      </c>
      <c r="AX203">
        <f t="shared" ref="AX203:AX266" si="129">SUM(AC203:AD203)</f>
        <v>0</v>
      </c>
      <c r="AY203">
        <f t="shared" ref="AY203:AY266" si="130">IF(COUNTIF(AB203:AD203,"NA")=3,0,IF(COUNTA(AB203:AD203)=0,0,IF(OR(AND(AB203=0,AW203&gt;0),AND(AB203="ns",AX203&gt;0),AND(AB203="ns",AW203=0,AX203=0)),1,IF(OR(AND(AB203&gt;0,AW203=2),AND(AB203="ns",AW203=2),AND(AB203="ns",AX203=0,AW203&gt;0),AB203=AX203),0,1))))</f>
        <v>0</v>
      </c>
      <c r="CS203"/>
      <c r="CT203"/>
      <c r="CU203"/>
      <c r="CV203"/>
      <c r="CW203"/>
      <c r="CX203"/>
      <c r="CY203"/>
      <c r="CZ203"/>
      <c r="DA203"/>
    </row>
    <row r="204" spans="1:105" ht="15" customHeight="1">
      <c r="A204" s="108"/>
      <c r="B204" s="38"/>
      <c r="C204" s="1109"/>
      <c r="D204" s="954"/>
      <c r="E204" s="956"/>
      <c r="F204" s="1103" t="s">
        <v>4746</v>
      </c>
      <c r="G204" s="1103"/>
      <c r="H204" s="1104" t="s">
        <v>4747</v>
      </c>
      <c r="I204" s="1105"/>
      <c r="J204" s="1105"/>
      <c r="K204" s="1105"/>
      <c r="L204" s="1105"/>
      <c r="M204" s="1105"/>
      <c r="N204" s="1105"/>
      <c r="O204" s="1106"/>
      <c r="P204" s="100"/>
      <c r="Q204" s="100"/>
      <c r="R204" s="100"/>
      <c r="S204" s="100"/>
      <c r="T204" s="100"/>
      <c r="U204" s="100"/>
      <c r="V204" s="100"/>
      <c r="W204" s="100"/>
      <c r="X204" s="100"/>
      <c r="Y204" s="100"/>
      <c r="Z204" s="100"/>
      <c r="AA204" s="100"/>
      <c r="AB204" s="100"/>
      <c r="AC204" s="100"/>
      <c r="AD204" s="100"/>
      <c r="AF204"/>
      <c r="AG204">
        <f t="shared" ref="AG204:AG267" si="131">IF(OR($P$175=0,$P$175="NS",$P$175="NA",P204="NA"),0,IF(SUM(COUNTBLANK(P204:AD204),COUNTBLANK(G375:AD375))=0,0,1))</f>
        <v>0</v>
      </c>
      <c r="AH204">
        <f t="shared" ref="AH204:AH267" si="132">IF(P204="NA",IF(COUNTA(Q204:AD204,G375:AD375)=0,0,1),0)</f>
        <v>0</v>
      </c>
      <c r="AK204">
        <f t="shared" si="116"/>
        <v>0</v>
      </c>
      <c r="AL204">
        <f t="shared" si="117"/>
        <v>0</v>
      </c>
      <c r="AM204">
        <f t="shared" si="118"/>
        <v>0</v>
      </c>
      <c r="AN204">
        <f t="shared" si="119"/>
        <v>0</v>
      </c>
      <c r="AO204">
        <f t="shared" si="120"/>
        <v>0</v>
      </c>
      <c r="AP204">
        <f t="shared" si="121"/>
        <v>0</v>
      </c>
      <c r="AQ204">
        <f t="shared" si="122"/>
        <v>0</v>
      </c>
      <c r="AR204">
        <f t="shared" si="123"/>
        <v>0</v>
      </c>
      <c r="AS204">
        <f t="shared" si="124"/>
        <v>0</v>
      </c>
      <c r="AT204">
        <f t="shared" si="125"/>
        <v>0</v>
      </c>
      <c r="AU204">
        <f t="shared" si="126"/>
        <v>0</v>
      </c>
      <c r="AV204">
        <f t="shared" si="127"/>
        <v>0</v>
      </c>
      <c r="AW204">
        <f t="shared" si="128"/>
        <v>0</v>
      </c>
      <c r="AX204">
        <f t="shared" si="129"/>
        <v>0</v>
      </c>
      <c r="AY204">
        <f t="shared" si="130"/>
        <v>0</v>
      </c>
      <c r="CS204"/>
      <c r="CT204"/>
      <c r="CU204"/>
      <c r="CV204"/>
      <c r="CW204"/>
      <c r="CX204"/>
      <c r="CY204"/>
      <c r="CZ204"/>
      <c r="DA204"/>
    </row>
    <row r="205" spans="1:105" ht="15" customHeight="1">
      <c r="A205" s="108"/>
      <c r="B205" s="38"/>
      <c r="C205" s="1109"/>
      <c r="D205" s="954"/>
      <c r="E205" s="956"/>
      <c r="F205" s="1103" t="s">
        <v>4748</v>
      </c>
      <c r="G205" s="1103"/>
      <c r="H205" s="1104" t="s">
        <v>4749</v>
      </c>
      <c r="I205" s="1105"/>
      <c r="J205" s="1105"/>
      <c r="K205" s="1105"/>
      <c r="L205" s="1105"/>
      <c r="M205" s="1105"/>
      <c r="N205" s="1105"/>
      <c r="O205" s="1106"/>
      <c r="P205" s="100"/>
      <c r="Q205" s="100"/>
      <c r="R205" s="100"/>
      <c r="S205" s="100"/>
      <c r="T205" s="100"/>
      <c r="U205" s="100"/>
      <c r="V205" s="100"/>
      <c r="W205" s="100"/>
      <c r="X205" s="100"/>
      <c r="Y205" s="100"/>
      <c r="Z205" s="100"/>
      <c r="AA205" s="100"/>
      <c r="AB205" s="100"/>
      <c r="AC205" s="100"/>
      <c r="AD205" s="100"/>
      <c r="AF205"/>
      <c r="AG205">
        <f t="shared" si="131"/>
        <v>0</v>
      </c>
      <c r="AH205">
        <f t="shared" si="132"/>
        <v>0</v>
      </c>
      <c r="AK205">
        <f t="shared" si="116"/>
        <v>0</v>
      </c>
      <c r="AL205">
        <f t="shared" si="117"/>
        <v>0</v>
      </c>
      <c r="AM205">
        <f t="shared" si="118"/>
        <v>0</v>
      </c>
      <c r="AN205">
        <f t="shared" si="119"/>
        <v>0</v>
      </c>
      <c r="AO205">
        <f t="shared" si="120"/>
        <v>0</v>
      </c>
      <c r="AP205">
        <f t="shared" si="121"/>
        <v>0</v>
      </c>
      <c r="AQ205">
        <f t="shared" si="122"/>
        <v>0</v>
      </c>
      <c r="AR205">
        <f t="shared" si="123"/>
        <v>0</v>
      </c>
      <c r="AS205">
        <f t="shared" si="124"/>
        <v>0</v>
      </c>
      <c r="AT205">
        <f t="shared" si="125"/>
        <v>0</v>
      </c>
      <c r="AU205">
        <f t="shared" si="126"/>
        <v>0</v>
      </c>
      <c r="AV205">
        <f t="shared" si="127"/>
        <v>0</v>
      </c>
      <c r="AW205">
        <f t="shared" si="128"/>
        <v>0</v>
      </c>
      <c r="AX205">
        <f t="shared" si="129"/>
        <v>0</v>
      </c>
      <c r="AY205">
        <f t="shared" si="130"/>
        <v>0</v>
      </c>
      <c r="CS205"/>
      <c r="CT205"/>
      <c r="CU205"/>
      <c r="CV205"/>
      <c r="CW205"/>
      <c r="CX205"/>
      <c r="CY205"/>
      <c r="CZ205"/>
      <c r="DA205"/>
    </row>
    <row r="206" spans="1:105" ht="15" customHeight="1">
      <c r="A206" s="108"/>
      <c r="B206" s="38"/>
      <c r="C206" s="1109"/>
      <c r="D206" s="954"/>
      <c r="E206" s="956"/>
      <c r="F206" s="1103" t="s">
        <v>4750</v>
      </c>
      <c r="G206" s="1103"/>
      <c r="H206" s="1104" t="s">
        <v>4751</v>
      </c>
      <c r="I206" s="1105"/>
      <c r="J206" s="1105"/>
      <c r="K206" s="1105"/>
      <c r="L206" s="1105"/>
      <c r="M206" s="1105"/>
      <c r="N206" s="1105"/>
      <c r="O206" s="1106"/>
      <c r="P206" s="100"/>
      <c r="Q206" s="100"/>
      <c r="R206" s="100"/>
      <c r="S206" s="100"/>
      <c r="T206" s="100"/>
      <c r="U206" s="100"/>
      <c r="V206" s="100"/>
      <c r="W206" s="100"/>
      <c r="X206" s="100"/>
      <c r="Y206" s="100"/>
      <c r="Z206" s="100"/>
      <c r="AA206" s="100"/>
      <c r="AB206" s="100"/>
      <c r="AC206" s="100"/>
      <c r="AD206" s="100"/>
      <c r="AF206"/>
      <c r="AG206">
        <f t="shared" si="131"/>
        <v>0</v>
      </c>
      <c r="AH206">
        <f t="shared" si="132"/>
        <v>0</v>
      </c>
      <c r="AK206">
        <f t="shared" si="116"/>
        <v>0</v>
      </c>
      <c r="AL206">
        <f t="shared" si="117"/>
        <v>0</v>
      </c>
      <c r="AM206">
        <f t="shared" si="118"/>
        <v>0</v>
      </c>
      <c r="AN206">
        <f t="shared" si="119"/>
        <v>0</v>
      </c>
      <c r="AO206">
        <f t="shared" si="120"/>
        <v>0</v>
      </c>
      <c r="AP206">
        <f t="shared" si="121"/>
        <v>0</v>
      </c>
      <c r="AQ206">
        <f t="shared" si="122"/>
        <v>0</v>
      </c>
      <c r="AR206">
        <f t="shared" si="123"/>
        <v>0</v>
      </c>
      <c r="AS206">
        <f t="shared" si="124"/>
        <v>0</v>
      </c>
      <c r="AT206">
        <f t="shared" si="125"/>
        <v>0</v>
      </c>
      <c r="AU206">
        <f t="shared" si="126"/>
        <v>0</v>
      </c>
      <c r="AV206">
        <f t="shared" si="127"/>
        <v>0</v>
      </c>
      <c r="AW206">
        <f t="shared" si="128"/>
        <v>0</v>
      </c>
      <c r="AX206">
        <f t="shared" si="129"/>
        <v>0</v>
      </c>
      <c r="AY206">
        <f t="shared" si="130"/>
        <v>0</v>
      </c>
      <c r="CS206"/>
      <c r="CT206"/>
      <c r="CU206"/>
      <c r="CV206"/>
      <c r="CW206"/>
      <c r="CX206"/>
      <c r="CY206"/>
      <c r="CZ206"/>
      <c r="DA206"/>
    </row>
    <row r="207" spans="1:105" ht="24" customHeight="1">
      <c r="A207" s="108"/>
      <c r="B207" s="38"/>
      <c r="C207" s="1109"/>
      <c r="D207" s="954"/>
      <c r="E207" s="956"/>
      <c r="F207" s="1117" t="s">
        <v>4752</v>
      </c>
      <c r="G207" s="1118"/>
      <c r="H207" s="1104" t="s">
        <v>4753</v>
      </c>
      <c r="I207" s="1105"/>
      <c r="J207" s="1105"/>
      <c r="K207" s="1105"/>
      <c r="L207" s="1105"/>
      <c r="M207" s="1105"/>
      <c r="N207" s="1105"/>
      <c r="O207" s="1106"/>
      <c r="P207" s="100"/>
      <c r="Q207" s="100"/>
      <c r="R207" s="100"/>
      <c r="S207" s="100"/>
      <c r="T207" s="100"/>
      <c r="U207" s="100"/>
      <c r="V207" s="100"/>
      <c r="W207" s="100"/>
      <c r="X207" s="100"/>
      <c r="Y207" s="100"/>
      <c r="Z207" s="100"/>
      <c r="AA207" s="100"/>
      <c r="AB207" s="100"/>
      <c r="AC207" s="100"/>
      <c r="AD207" s="100"/>
      <c r="AF207"/>
      <c r="AG207">
        <f t="shared" si="131"/>
        <v>0</v>
      </c>
      <c r="AH207">
        <f t="shared" si="132"/>
        <v>0</v>
      </c>
      <c r="AJ207">
        <f>IF(OR(P207="NS",P207="NA",$P$175=0,$P$175="NS",$P$175="NA"),0,IF((P207*(IFERROR(100/SUM(P203:P207),0)))&gt;25,1,0))</f>
        <v>0</v>
      </c>
      <c r="AK207">
        <f t="shared" si="116"/>
        <v>0</v>
      </c>
      <c r="AL207">
        <f t="shared" si="117"/>
        <v>0</v>
      </c>
      <c r="AM207">
        <f t="shared" si="118"/>
        <v>0</v>
      </c>
      <c r="AN207">
        <f t="shared" si="119"/>
        <v>0</v>
      </c>
      <c r="AO207">
        <f t="shared" si="120"/>
        <v>0</v>
      </c>
      <c r="AP207">
        <f t="shared" si="121"/>
        <v>0</v>
      </c>
      <c r="AQ207">
        <f t="shared" si="122"/>
        <v>0</v>
      </c>
      <c r="AR207">
        <f t="shared" si="123"/>
        <v>0</v>
      </c>
      <c r="AS207">
        <f t="shared" si="124"/>
        <v>0</v>
      </c>
      <c r="AT207">
        <f t="shared" si="125"/>
        <v>0</v>
      </c>
      <c r="AU207">
        <f t="shared" si="126"/>
        <v>0</v>
      </c>
      <c r="AV207">
        <f t="shared" si="127"/>
        <v>0</v>
      </c>
      <c r="AW207">
        <f t="shared" si="128"/>
        <v>0</v>
      </c>
      <c r="AX207">
        <f t="shared" si="129"/>
        <v>0</v>
      </c>
      <c r="AY207">
        <f t="shared" si="130"/>
        <v>0</v>
      </c>
      <c r="CS207"/>
      <c r="CT207"/>
      <c r="CU207"/>
      <c r="CV207"/>
      <c r="CW207"/>
      <c r="CX207"/>
      <c r="CY207"/>
      <c r="CZ207"/>
      <c r="DA207"/>
    </row>
    <row r="208" spans="1:105" ht="15" customHeight="1">
      <c r="A208" s="108"/>
      <c r="B208" s="38"/>
      <c r="C208" s="1108" t="s">
        <v>4754</v>
      </c>
      <c r="D208" s="847" t="s">
        <v>4755</v>
      </c>
      <c r="E208" s="848"/>
      <c r="F208" s="1103" t="s">
        <v>4756</v>
      </c>
      <c r="G208" s="1103"/>
      <c r="H208" s="1104" t="s">
        <v>4757</v>
      </c>
      <c r="I208" s="1105"/>
      <c r="J208" s="1105"/>
      <c r="K208" s="1105"/>
      <c r="L208" s="1105"/>
      <c r="M208" s="1105"/>
      <c r="N208" s="1105"/>
      <c r="O208" s="1106"/>
      <c r="P208" s="100"/>
      <c r="Q208" s="100"/>
      <c r="R208" s="100"/>
      <c r="S208" s="100"/>
      <c r="T208" s="100"/>
      <c r="U208" s="100"/>
      <c r="V208" s="100"/>
      <c r="W208" s="100"/>
      <c r="X208" s="100"/>
      <c r="Y208" s="100"/>
      <c r="Z208" s="100"/>
      <c r="AA208" s="100"/>
      <c r="AB208" s="100"/>
      <c r="AC208" s="100"/>
      <c r="AD208" s="100"/>
      <c r="AF208"/>
      <c r="AG208">
        <f t="shared" si="131"/>
        <v>0</v>
      </c>
      <c r="AH208">
        <f t="shared" si="132"/>
        <v>0</v>
      </c>
      <c r="AK208">
        <f t="shared" si="116"/>
        <v>0</v>
      </c>
      <c r="AL208">
        <f t="shared" si="117"/>
        <v>0</v>
      </c>
      <c r="AM208">
        <f t="shared" si="118"/>
        <v>0</v>
      </c>
      <c r="AN208">
        <f t="shared" si="119"/>
        <v>0</v>
      </c>
      <c r="AO208">
        <f t="shared" si="120"/>
        <v>0</v>
      </c>
      <c r="AP208">
        <f t="shared" si="121"/>
        <v>0</v>
      </c>
      <c r="AQ208">
        <f t="shared" si="122"/>
        <v>0</v>
      </c>
      <c r="AR208">
        <f t="shared" si="123"/>
        <v>0</v>
      </c>
      <c r="AS208">
        <f t="shared" si="124"/>
        <v>0</v>
      </c>
      <c r="AT208">
        <f t="shared" si="125"/>
        <v>0</v>
      </c>
      <c r="AU208">
        <f t="shared" si="126"/>
        <v>0</v>
      </c>
      <c r="AV208">
        <f t="shared" si="127"/>
        <v>0</v>
      </c>
      <c r="AW208">
        <f t="shared" si="128"/>
        <v>0</v>
      </c>
      <c r="AX208">
        <f t="shared" si="129"/>
        <v>0</v>
      </c>
      <c r="AY208">
        <f t="shared" si="130"/>
        <v>0</v>
      </c>
      <c r="CS208"/>
      <c r="CT208"/>
      <c r="CU208"/>
      <c r="CV208"/>
      <c r="CW208"/>
      <c r="CX208"/>
      <c r="CY208"/>
      <c r="CZ208"/>
      <c r="DA208"/>
    </row>
    <row r="209" spans="1:105" ht="15" customHeight="1">
      <c r="A209" s="108"/>
      <c r="B209" s="38"/>
      <c r="C209" s="1109"/>
      <c r="D209" s="954"/>
      <c r="E209" s="956"/>
      <c r="F209" s="1103" t="s">
        <v>4758</v>
      </c>
      <c r="G209" s="1103"/>
      <c r="H209" s="1104" t="s">
        <v>4759</v>
      </c>
      <c r="I209" s="1105"/>
      <c r="J209" s="1105"/>
      <c r="K209" s="1105"/>
      <c r="L209" s="1105"/>
      <c r="M209" s="1105"/>
      <c r="N209" s="1105"/>
      <c r="O209" s="1106"/>
      <c r="P209" s="100"/>
      <c r="Q209" s="100"/>
      <c r="R209" s="100"/>
      <c r="S209" s="100"/>
      <c r="T209" s="100"/>
      <c r="U209" s="100"/>
      <c r="V209" s="100"/>
      <c r="W209" s="100"/>
      <c r="X209" s="100"/>
      <c r="Y209" s="100"/>
      <c r="Z209" s="100"/>
      <c r="AA209" s="100"/>
      <c r="AB209" s="100"/>
      <c r="AC209" s="100"/>
      <c r="AD209" s="100"/>
      <c r="AF209"/>
      <c r="AG209">
        <f t="shared" si="131"/>
        <v>0</v>
      </c>
      <c r="AH209">
        <f t="shared" si="132"/>
        <v>0</v>
      </c>
      <c r="AK209">
        <f t="shared" si="116"/>
        <v>0</v>
      </c>
      <c r="AL209">
        <f t="shared" si="117"/>
        <v>0</v>
      </c>
      <c r="AM209">
        <f t="shared" si="118"/>
        <v>0</v>
      </c>
      <c r="AN209">
        <f t="shared" si="119"/>
        <v>0</v>
      </c>
      <c r="AO209">
        <f t="shared" si="120"/>
        <v>0</v>
      </c>
      <c r="AP209">
        <f t="shared" si="121"/>
        <v>0</v>
      </c>
      <c r="AQ209">
        <f t="shared" si="122"/>
        <v>0</v>
      </c>
      <c r="AR209">
        <f t="shared" si="123"/>
        <v>0</v>
      </c>
      <c r="AS209">
        <f t="shared" si="124"/>
        <v>0</v>
      </c>
      <c r="AT209">
        <f t="shared" si="125"/>
        <v>0</v>
      </c>
      <c r="AU209">
        <f t="shared" si="126"/>
        <v>0</v>
      </c>
      <c r="AV209">
        <f t="shared" si="127"/>
        <v>0</v>
      </c>
      <c r="AW209">
        <f t="shared" si="128"/>
        <v>0</v>
      </c>
      <c r="AX209">
        <f t="shared" si="129"/>
        <v>0</v>
      </c>
      <c r="AY209">
        <f t="shared" si="130"/>
        <v>0</v>
      </c>
      <c r="CS209"/>
      <c r="CT209"/>
      <c r="CU209"/>
      <c r="CV209"/>
      <c r="CW209"/>
      <c r="CX209"/>
      <c r="CY209"/>
      <c r="CZ209"/>
      <c r="DA209"/>
    </row>
    <row r="210" spans="1:105" ht="24" customHeight="1">
      <c r="A210" s="108"/>
      <c r="B210" s="38"/>
      <c r="C210" s="1109"/>
      <c r="D210" s="954"/>
      <c r="E210" s="956"/>
      <c r="F210" s="1103" t="s">
        <v>4760</v>
      </c>
      <c r="G210" s="1103"/>
      <c r="H210" s="1104" t="s">
        <v>4761</v>
      </c>
      <c r="I210" s="1105"/>
      <c r="J210" s="1105"/>
      <c r="K210" s="1105"/>
      <c r="L210" s="1105"/>
      <c r="M210" s="1105"/>
      <c r="N210" s="1105"/>
      <c r="O210" s="1106"/>
      <c r="P210" s="100"/>
      <c r="Q210" s="100"/>
      <c r="R210" s="100"/>
      <c r="S210" s="100"/>
      <c r="T210" s="100"/>
      <c r="U210" s="100"/>
      <c r="V210" s="100"/>
      <c r="W210" s="100"/>
      <c r="X210" s="100"/>
      <c r="Y210" s="100"/>
      <c r="Z210" s="100"/>
      <c r="AA210" s="100"/>
      <c r="AB210" s="100"/>
      <c r="AC210" s="100"/>
      <c r="AD210" s="100"/>
      <c r="AF210"/>
      <c r="AG210">
        <f t="shared" si="131"/>
        <v>0</v>
      </c>
      <c r="AH210">
        <f t="shared" si="132"/>
        <v>0</v>
      </c>
      <c r="AK210">
        <f t="shared" si="116"/>
        <v>0</v>
      </c>
      <c r="AL210">
        <f t="shared" si="117"/>
        <v>0</v>
      </c>
      <c r="AM210">
        <f t="shared" si="118"/>
        <v>0</v>
      </c>
      <c r="AN210">
        <f t="shared" si="119"/>
        <v>0</v>
      </c>
      <c r="AO210">
        <f t="shared" si="120"/>
        <v>0</v>
      </c>
      <c r="AP210">
        <f t="shared" si="121"/>
        <v>0</v>
      </c>
      <c r="AQ210">
        <f t="shared" si="122"/>
        <v>0</v>
      </c>
      <c r="AR210">
        <f t="shared" si="123"/>
        <v>0</v>
      </c>
      <c r="AS210">
        <f t="shared" si="124"/>
        <v>0</v>
      </c>
      <c r="AT210">
        <f t="shared" si="125"/>
        <v>0</v>
      </c>
      <c r="AU210">
        <f t="shared" si="126"/>
        <v>0</v>
      </c>
      <c r="AV210">
        <f t="shared" si="127"/>
        <v>0</v>
      </c>
      <c r="AW210">
        <f t="shared" si="128"/>
        <v>0</v>
      </c>
      <c r="AX210">
        <f t="shared" si="129"/>
        <v>0</v>
      </c>
      <c r="AY210">
        <f t="shared" si="130"/>
        <v>0</v>
      </c>
      <c r="CS210"/>
      <c r="CT210"/>
      <c r="CU210"/>
      <c r="CV210"/>
      <c r="CW210"/>
      <c r="CX210"/>
      <c r="CY210"/>
      <c r="CZ210"/>
      <c r="DA210"/>
    </row>
    <row r="211" spans="1:105" ht="15" customHeight="1">
      <c r="A211" s="108"/>
      <c r="B211" s="38"/>
      <c r="C211" s="1109"/>
      <c r="D211" s="954"/>
      <c r="E211" s="956"/>
      <c r="F211" s="1103" t="s">
        <v>4762</v>
      </c>
      <c r="G211" s="1103"/>
      <c r="H211" s="1104" t="s">
        <v>4763</v>
      </c>
      <c r="I211" s="1105"/>
      <c r="J211" s="1105"/>
      <c r="K211" s="1105"/>
      <c r="L211" s="1105"/>
      <c r="M211" s="1105"/>
      <c r="N211" s="1105"/>
      <c r="O211" s="1106"/>
      <c r="P211" s="100"/>
      <c r="Q211" s="100"/>
      <c r="R211" s="100"/>
      <c r="S211" s="100"/>
      <c r="T211" s="100"/>
      <c r="U211" s="100"/>
      <c r="V211" s="100"/>
      <c r="W211" s="100"/>
      <c r="X211" s="100"/>
      <c r="Y211" s="100"/>
      <c r="Z211" s="100"/>
      <c r="AA211" s="100"/>
      <c r="AB211" s="100"/>
      <c r="AC211" s="100"/>
      <c r="AD211" s="100"/>
      <c r="AF211"/>
      <c r="AG211">
        <f t="shared" si="131"/>
        <v>0</v>
      </c>
      <c r="AH211">
        <f t="shared" si="132"/>
        <v>0</v>
      </c>
      <c r="AK211">
        <f t="shared" si="116"/>
        <v>0</v>
      </c>
      <c r="AL211">
        <f t="shared" si="117"/>
        <v>0</v>
      </c>
      <c r="AM211">
        <f t="shared" si="118"/>
        <v>0</v>
      </c>
      <c r="AN211">
        <f t="shared" si="119"/>
        <v>0</v>
      </c>
      <c r="AO211">
        <f t="shared" si="120"/>
        <v>0</v>
      </c>
      <c r="AP211">
        <f t="shared" si="121"/>
        <v>0</v>
      </c>
      <c r="AQ211">
        <f t="shared" si="122"/>
        <v>0</v>
      </c>
      <c r="AR211">
        <f t="shared" si="123"/>
        <v>0</v>
      </c>
      <c r="AS211">
        <f t="shared" si="124"/>
        <v>0</v>
      </c>
      <c r="AT211">
        <f t="shared" si="125"/>
        <v>0</v>
      </c>
      <c r="AU211">
        <f t="shared" si="126"/>
        <v>0</v>
      </c>
      <c r="AV211">
        <f t="shared" si="127"/>
        <v>0</v>
      </c>
      <c r="AW211">
        <f t="shared" si="128"/>
        <v>0</v>
      </c>
      <c r="AX211">
        <f t="shared" si="129"/>
        <v>0</v>
      </c>
      <c r="AY211">
        <f t="shared" si="130"/>
        <v>0</v>
      </c>
      <c r="CS211"/>
      <c r="CT211"/>
      <c r="CU211"/>
      <c r="CV211"/>
      <c r="CW211"/>
      <c r="CX211"/>
      <c r="CY211"/>
      <c r="CZ211"/>
      <c r="DA211"/>
    </row>
    <row r="212" spans="1:105" ht="15" customHeight="1">
      <c r="A212" s="108"/>
      <c r="B212" s="38"/>
      <c r="C212" s="1109"/>
      <c r="D212" s="954"/>
      <c r="E212" s="956"/>
      <c r="F212" s="1103" t="s">
        <v>4764</v>
      </c>
      <c r="G212" s="1103"/>
      <c r="H212" s="1104" t="s">
        <v>4765</v>
      </c>
      <c r="I212" s="1105"/>
      <c r="J212" s="1105"/>
      <c r="K212" s="1105"/>
      <c r="L212" s="1105"/>
      <c r="M212" s="1105"/>
      <c r="N212" s="1105"/>
      <c r="O212" s="1106"/>
      <c r="P212" s="100"/>
      <c r="Q212" s="100"/>
      <c r="R212" s="100"/>
      <c r="S212" s="100"/>
      <c r="T212" s="100"/>
      <c r="U212" s="100"/>
      <c r="V212" s="100"/>
      <c r="W212" s="100"/>
      <c r="X212" s="100"/>
      <c r="Y212" s="100"/>
      <c r="Z212" s="100"/>
      <c r="AA212" s="100"/>
      <c r="AB212" s="100"/>
      <c r="AC212" s="100"/>
      <c r="AD212" s="100"/>
      <c r="AF212"/>
      <c r="AG212">
        <f t="shared" si="131"/>
        <v>0</v>
      </c>
      <c r="AH212">
        <f t="shared" si="132"/>
        <v>0</v>
      </c>
      <c r="AK212">
        <f t="shared" si="116"/>
        <v>0</v>
      </c>
      <c r="AL212">
        <f t="shared" si="117"/>
        <v>0</v>
      </c>
      <c r="AM212">
        <f t="shared" si="118"/>
        <v>0</v>
      </c>
      <c r="AN212">
        <f t="shared" si="119"/>
        <v>0</v>
      </c>
      <c r="AO212">
        <f t="shared" si="120"/>
        <v>0</v>
      </c>
      <c r="AP212">
        <f t="shared" si="121"/>
        <v>0</v>
      </c>
      <c r="AQ212">
        <f t="shared" si="122"/>
        <v>0</v>
      </c>
      <c r="AR212">
        <f t="shared" si="123"/>
        <v>0</v>
      </c>
      <c r="AS212">
        <f t="shared" si="124"/>
        <v>0</v>
      </c>
      <c r="AT212">
        <f t="shared" si="125"/>
        <v>0</v>
      </c>
      <c r="AU212">
        <f t="shared" si="126"/>
        <v>0</v>
      </c>
      <c r="AV212">
        <f t="shared" si="127"/>
        <v>0</v>
      </c>
      <c r="AW212">
        <f t="shared" si="128"/>
        <v>0</v>
      </c>
      <c r="AX212">
        <f t="shared" si="129"/>
        <v>0</v>
      </c>
      <c r="AY212">
        <f t="shared" si="130"/>
        <v>0</v>
      </c>
      <c r="AZ212" t="s">
        <v>4766</v>
      </c>
      <c r="BA212" t="s">
        <v>4767</v>
      </c>
      <c r="BB212" t="s">
        <v>4768</v>
      </c>
      <c r="BC212" t="s">
        <v>4769</v>
      </c>
      <c r="BD212" t="s">
        <v>4770</v>
      </c>
      <c r="BE212" t="s">
        <v>4771</v>
      </c>
      <c r="BF212" t="s">
        <v>4772</v>
      </c>
      <c r="BG212" t="s">
        <v>4773</v>
      </c>
      <c r="BH212" t="s">
        <v>4774</v>
      </c>
      <c r="BI212" t="s">
        <v>4775</v>
      </c>
      <c r="BJ212" t="s">
        <v>4776</v>
      </c>
      <c r="BK212" t="s">
        <v>4777</v>
      </c>
      <c r="BL212" t="s">
        <v>4778</v>
      </c>
      <c r="BM212" t="s">
        <v>4779</v>
      </c>
      <c r="BN212" t="s">
        <v>4780</v>
      </c>
      <c r="BO212" t="s">
        <v>4781</v>
      </c>
      <c r="BP212" t="s">
        <v>4782</v>
      </c>
      <c r="BQ212" t="s">
        <v>4783</v>
      </c>
      <c r="BR212" t="s">
        <v>4784</v>
      </c>
      <c r="BS212" t="s">
        <v>4785</v>
      </c>
      <c r="BT212" t="s">
        <v>4786</v>
      </c>
      <c r="BU212" t="s">
        <v>4787</v>
      </c>
      <c r="BV212" t="s">
        <v>4788</v>
      </c>
      <c r="BW212" t="s">
        <v>4789</v>
      </c>
      <c r="BX212" t="s">
        <v>4790</v>
      </c>
      <c r="BY212" t="s">
        <v>4791</v>
      </c>
      <c r="BZ212" t="s">
        <v>4792</v>
      </c>
      <c r="CA212" t="s">
        <v>4793</v>
      </c>
      <c r="CB212" t="s">
        <v>4794</v>
      </c>
      <c r="CC212" t="s">
        <v>4795</v>
      </c>
      <c r="CD212" t="s">
        <v>4796</v>
      </c>
      <c r="CE212" t="s">
        <v>4797</v>
      </c>
      <c r="CF212" t="s">
        <v>4798</v>
      </c>
      <c r="CG212" t="s">
        <v>4799</v>
      </c>
      <c r="CH212" t="s">
        <v>4800</v>
      </c>
      <c r="CI212" t="s">
        <v>4801</v>
      </c>
      <c r="CJ212" t="s">
        <v>4802</v>
      </c>
      <c r="CK212" t="s">
        <v>4803</v>
      </c>
      <c r="CL212" t="s">
        <v>4804</v>
      </c>
      <c r="CM212" t="s">
        <v>4805</v>
      </c>
      <c r="CN212" t="s">
        <v>4806</v>
      </c>
      <c r="CO212" t="s">
        <v>4807</v>
      </c>
      <c r="CP212" t="s">
        <v>4808</v>
      </c>
      <c r="CQ212" t="s">
        <v>4809</v>
      </c>
      <c r="CR212" t="s">
        <v>4810</v>
      </c>
      <c r="CS212"/>
      <c r="CT212"/>
      <c r="CU212"/>
      <c r="CV212"/>
      <c r="CW212"/>
      <c r="CX212"/>
      <c r="CY212"/>
      <c r="CZ212"/>
      <c r="DA212"/>
    </row>
    <row r="213" spans="1:105" ht="15" customHeight="1">
      <c r="A213" s="108"/>
      <c r="B213" s="38"/>
      <c r="C213" s="1109"/>
      <c r="D213" s="954"/>
      <c r="E213" s="956"/>
      <c r="F213" s="1103" t="s">
        <v>4811</v>
      </c>
      <c r="G213" s="1103"/>
      <c r="H213" s="1104" t="s">
        <v>4812</v>
      </c>
      <c r="I213" s="1105"/>
      <c r="J213" s="1105"/>
      <c r="K213" s="1105"/>
      <c r="L213" s="1105"/>
      <c r="M213" s="1105"/>
      <c r="N213" s="1105"/>
      <c r="O213" s="1106"/>
      <c r="P213" s="100"/>
      <c r="Q213" s="100"/>
      <c r="R213" s="100"/>
      <c r="S213" s="100"/>
      <c r="T213" s="100"/>
      <c r="U213" s="100"/>
      <c r="V213" s="100"/>
      <c r="W213" s="100"/>
      <c r="X213" s="100"/>
      <c r="Y213" s="100"/>
      <c r="Z213" s="100"/>
      <c r="AA213" s="100"/>
      <c r="AB213" s="100"/>
      <c r="AC213" s="100"/>
      <c r="AD213" s="100"/>
      <c r="AF213">
        <f>IF(P213="NA",IF(AND(COUNTIF(P214:P219,"="&amp;$AF$212)=0,COUNTIF(P214:P219,"&lt;&gt;NA")&gt;0),1,0),IF(AND(COUNTIF(P214:P219,"="&amp;$AF$212)=0,COUNTIF(P214:P219,"NA")=COUNTIF(P214:P219,"&lt;&gt;"&amp;$AF$212)),1,0))</f>
        <v>0</v>
      </c>
      <c r="AG213">
        <f t="shared" si="131"/>
        <v>0</v>
      </c>
      <c r="AH213">
        <f t="shared" si="132"/>
        <v>0</v>
      </c>
      <c r="AK213">
        <f t="shared" si="116"/>
        <v>0</v>
      </c>
      <c r="AL213">
        <f t="shared" si="117"/>
        <v>0</v>
      </c>
      <c r="AM213">
        <f t="shared" si="118"/>
        <v>0</v>
      </c>
      <c r="AN213">
        <f t="shared" si="119"/>
        <v>0</v>
      </c>
      <c r="AO213">
        <f t="shared" si="120"/>
        <v>0</v>
      </c>
      <c r="AP213">
        <f t="shared" si="121"/>
        <v>0</v>
      </c>
      <c r="AQ213">
        <f t="shared" si="122"/>
        <v>0</v>
      </c>
      <c r="AR213">
        <f t="shared" si="123"/>
        <v>0</v>
      </c>
      <c r="AS213">
        <f t="shared" si="124"/>
        <v>0</v>
      </c>
      <c r="AT213">
        <f t="shared" si="125"/>
        <v>0</v>
      </c>
      <c r="AU213">
        <f t="shared" si="126"/>
        <v>0</v>
      </c>
      <c r="AV213">
        <f t="shared" si="127"/>
        <v>0</v>
      </c>
      <c r="AW213">
        <f t="shared" si="128"/>
        <v>0</v>
      </c>
      <c r="AX213">
        <f t="shared" si="129"/>
        <v>0</v>
      </c>
      <c r="AY213">
        <f t="shared" si="130"/>
        <v>0</v>
      </c>
      <c r="AZ213">
        <f>COUNTIF(P214:P219,"NS")</f>
        <v>0</v>
      </c>
      <c r="BA213">
        <f>SUM(P214:P219)</f>
        <v>0</v>
      </c>
      <c r="BB213">
        <f>IF(COUNTA(P213:P219)=0,0,IF(OR(AND(P213=0,AZ213&gt;0),AND(P213="ns",BA213&gt;0),AND(P213="ns",AZ213=0,BA213=0)),1,IF(OR(AND(AZ213&gt;=2,P213&gt;BA213),AND(P213="ns",BA213=0,AZ213&gt;0),P213=BA213),0,1)))</f>
        <v>0</v>
      </c>
      <c r="BC213">
        <f>COUNTIF(P225:P229,"NS")</f>
        <v>0</v>
      </c>
      <c r="BD213">
        <f>SUM(P225:P229)</f>
        <v>0</v>
      </c>
      <c r="BE213">
        <f>IF(COUNTA(P224:P229)=0,0,IF(OR(AND(P224=0,BC213&gt;0),AND(P224="ns",BD213&gt;0),AND(P224="ns",BC213=0,BD213=0)),1,IF(OR(AND(BC213&gt;=2,P224&gt;BD213),AND(P224="ns",BD213=0,BC213&gt;0),P224=BD213),0,1)))</f>
        <v>0</v>
      </c>
      <c r="BF213">
        <f>COUNTIF(P234:P251,"NS")</f>
        <v>0</v>
      </c>
      <c r="BG213">
        <f>SUM(P234:P251)</f>
        <v>0</v>
      </c>
      <c r="BH213">
        <f>IF(COUNTA(P233:P251)=0,0,IF(OR(AND(P233=0,BF213&gt;0),AND(P233="ns",BG213&gt;0),AND(P233="ns",BF213=0,BG213=0)),1,IF(OR(AND(BF213&gt;=2,P233&gt;BG213),AND(P233="ns",BG213=0,BF213&gt;0),P233=BG213),0,1)))</f>
        <v>0</v>
      </c>
      <c r="BI213">
        <f>COUNTIF(P253:P257,"NS")</f>
        <v>0</v>
      </c>
      <c r="BJ213">
        <f>SUM(P253:P257)</f>
        <v>0</v>
      </c>
      <c r="BK213">
        <f>IF(COUNTA(P252:P257)=0,0,IF(OR(AND(P252=0,BI213&gt;0),AND(P252="ns",BJ213&gt;0),AND(P252="ns",BI213=0,BJ213=0)),1,IF(OR(AND(BI213&gt;=2,P252&gt;BJ213),AND(P252="ns",BJ213=0,BI213&gt;0),P252=BJ213),0,1)))</f>
        <v>0</v>
      </c>
      <c r="BL213">
        <f>COUNTIF(P261:P263,"NS")</f>
        <v>0</v>
      </c>
      <c r="BM213">
        <f>SUM(P261:P263)</f>
        <v>0</v>
      </c>
      <c r="BN213">
        <f>IF(COUNTA(P260:P263)=0,0,IF(OR(AND(P260=0,BL213&gt;0),AND(P260="ns",BM213&gt;0),AND(P260="ns",BL213=0,BM213=0)),1,IF(OR(AND(BL213&gt;=2,P260&gt;BM213),AND(P260="ns",BM213=0,BL213&gt;0),P260=BM213),0,1)))</f>
        <v>0</v>
      </c>
      <c r="BO213">
        <f>COUNTIF(P271:P277,"NS")</f>
        <v>0</v>
      </c>
      <c r="BP213">
        <f>SUM(P271:P277)</f>
        <v>0</v>
      </c>
      <c r="BQ213">
        <f>IF(COUNTA(P270:P277)=0,0,IF(OR(AND(P270=0,BO213&gt;0),AND(P270="ns",BP213&gt;0),AND(P270="ns",BO213=0,BP213=0)),1,IF(OR(AND(BO213&gt;=2,P270&gt;BP213),AND(P270="ns",BP213=0,BO213&gt;0),P270=BP213),0,1)))</f>
        <v>0</v>
      </c>
      <c r="BR213">
        <f>COUNTIF(P279:P283,"NS")</f>
        <v>0</v>
      </c>
      <c r="BS213">
        <f>SUM(P279:P283)</f>
        <v>0</v>
      </c>
      <c r="BT213">
        <f>IF(COUNTA(P278:P283)=0,0,IF(OR(AND(P278=0,BR213&gt;0),AND(P278="ns",BS213&gt;0),AND(P278="ns",BR213=0,BS213=0)),1,IF(OR(AND(BR213&gt;=2,P278&gt;BS213),AND(P278="ns",BS213=0,BR213&gt;0),P278=BS213),0,1)))</f>
        <v>0</v>
      </c>
      <c r="BU213">
        <f>COUNTIF(P289:P294,"NS")</f>
        <v>0</v>
      </c>
      <c r="BV213">
        <f>SUM(P289:P294)</f>
        <v>0</v>
      </c>
      <c r="BW213">
        <f>IF(COUNTA(P288:P294)=0,0,IF(OR(AND(P288=0,BU213&gt;0),AND(P288="ns",BV213&gt;0),AND(P288="ns",BU213=0,BV213=0)),1,IF(OR(AND(BU213&gt;=2,P288&gt;BV213),AND(P288="ns",BV213=0,BU213&gt;0),P288=BV213),0,1)))</f>
        <v>0</v>
      </c>
      <c r="BX213">
        <f>COUNTIF(P296:P303,"NS")</f>
        <v>0</v>
      </c>
      <c r="BY213">
        <f>SUM(P296:P303)</f>
        <v>0</v>
      </c>
      <c r="BZ213">
        <f>IF(COUNTA(P295:P303)=0,0,IF(OR(AND(P295=0,BX213&gt;0),AND(P295="ns",BY213&gt;0),AND(P295="ns",BX213=0,BY213=0)),1,IF(OR(AND(BX213&gt;=2,P295&gt;BY213),AND(P295="ns",BY213=0,BX213&gt;0),P295=BY213),0,1)))</f>
        <v>0</v>
      </c>
      <c r="CA213">
        <f>COUNTIF(P308:P313,"NS")</f>
        <v>0</v>
      </c>
      <c r="CB213">
        <f>SUM(P308:P313)</f>
        <v>0</v>
      </c>
      <c r="CC213">
        <f>IF(COUNTA(P307:P313)=0,0,IF(OR(AND(P307=0,CA213&gt;0),AND(P307="ns",CB213&gt;0),AND(P307="ns",CA213=0,CB213=0)),1,IF(OR(AND(CA213&gt;=2,P307&gt;CB213),AND(P307="ns",CB213=0,CA213&gt;0),P307=CB213),0,1)))</f>
        <v>0</v>
      </c>
      <c r="CD213">
        <f>COUNTIF(P318:P326,"NS")</f>
        <v>0</v>
      </c>
      <c r="CE213">
        <f>SUM(P318:P326)</f>
        <v>0</v>
      </c>
      <c r="CF213">
        <f>IF(COUNTA(P317:P326)=0,0,IF(OR(AND(P317=0,CD213&gt;0),AND(P317="ns",CE213&gt;0),AND(P317="ns",CD213=0,CE213=0)),1,IF(OR(AND(CD213&gt;=2,P317&gt;CE213),AND(P317="ns",CE213=0,CD213&gt;0),P317=CE213),0,1)))</f>
        <v>0</v>
      </c>
      <c r="CG213">
        <f>COUNTIF(P328:P330,"NS")</f>
        <v>0</v>
      </c>
      <c r="CH213">
        <f>SUM(P328:P330)</f>
        <v>0</v>
      </c>
      <c r="CI213">
        <f>IF(COUNTA(P327:P330)=0,0,IF(OR(AND(P327=0,CG213&gt;0),AND(P327="ns",CH213&gt;0),AND(P327="ns",CG213=0,CH213=0)),1,IF(OR(AND(CG213&gt;=2,P327&gt;CH213),AND(P327="ns",CH213=0,CG213&gt;0),P327=CH213),0,1)))</f>
        <v>0</v>
      </c>
      <c r="CJ213">
        <f>COUNTIF(P339:P345,"NS")</f>
        <v>0</v>
      </c>
      <c r="CK213">
        <f>SUM(P339:P345)</f>
        <v>0</v>
      </c>
      <c r="CL213">
        <f>IF(COUNTA(P338:P345)=0,0,IF(OR(AND(P338=0,CJ213&gt;0),AND(P338="ns",CK213&gt;0),AND(P338="ns",CJ213=0,CK213=0)),1,IF(OR(AND(CJ213&gt;=2,P338&gt;CK213),AND(P338="ns",CK213=0,CJ213&gt;0),P338=CK213),0,1)))</f>
        <v>0</v>
      </c>
      <c r="CM213">
        <f>COUNTIF(P348:P350,"NS")</f>
        <v>0</v>
      </c>
      <c r="CN213">
        <f>SUM(P348:P350)</f>
        <v>0</v>
      </c>
      <c r="CO213">
        <f>IF(COUNTA(P347:P350)=0,0,IF(OR(AND(P347=0,CM213&gt;0),AND(P347="ns",CN213&gt;0),AND(P347="ns",CM213=0,CN213=0)),1,IF(OR(AND(CM213&gt;=2,P347&gt;CN213),AND(P347="ns",CN213=0,CM213&gt;0),P347=CN213),0,1)))</f>
        <v>0</v>
      </c>
      <c r="CP213">
        <f>COUNTIF(P360:P364,"NS")</f>
        <v>0</v>
      </c>
      <c r="CQ213">
        <f>SUM(P360:P364)</f>
        <v>0</v>
      </c>
      <c r="CR213">
        <f>IF(COUNTA(P359:P364)=0,0,IF(OR(AND(P359=0,CP213&gt;0),AND(P359="ns",CQ213&gt;0),AND(P359="ns",CP213=0,CQ213=0)),1,IF(OR(AND(CP213&gt;=2,P359&gt;CQ213),AND(P359="ns",CQ213=0,CP213&gt;0),P359=CQ213),0,1)))</f>
        <v>0</v>
      </c>
      <c r="CS213"/>
      <c r="CT213"/>
      <c r="CU213"/>
      <c r="CV213"/>
      <c r="CW213"/>
      <c r="CX213"/>
      <c r="CY213"/>
      <c r="CZ213"/>
      <c r="DA213"/>
    </row>
    <row r="214" spans="1:105" ht="15" customHeight="1">
      <c r="A214" s="108"/>
      <c r="B214" s="38"/>
      <c r="C214" s="1109"/>
      <c r="D214" s="954"/>
      <c r="E214" s="956"/>
      <c r="F214" s="1110" t="s">
        <v>4813</v>
      </c>
      <c r="G214" s="1110"/>
      <c r="H214" s="177"/>
      <c r="I214" s="1115" t="s">
        <v>4814</v>
      </c>
      <c r="J214" s="1115"/>
      <c r="K214" s="1115"/>
      <c r="L214" s="1115"/>
      <c r="M214" s="1115"/>
      <c r="N214" s="1115"/>
      <c r="O214" s="1116"/>
      <c r="P214" s="100"/>
      <c r="Q214" s="100"/>
      <c r="R214" s="100"/>
      <c r="S214" s="100"/>
      <c r="T214" s="100"/>
      <c r="U214" s="100"/>
      <c r="V214" s="100"/>
      <c r="W214" s="100"/>
      <c r="X214" s="100"/>
      <c r="Y214" s="100"/>
      <c r="Z214" s="100"/>
      <c r="AA214" s="100"/>
      <c r="AB214" s="100"/>
      <c r="AC214" s="100"/>
      <c r="AD214" s="100"/>
      <c r="AF214"/>
      <c r="AG214">
        <f t="shared" si="131"/>
        <v>0</v>
      </c>
      <c r="AH214">
        <f t="shared" si="132"/>
        <v>0</v>
      </c>
      <c r="AK214">
        <f t="shared" si="116"/>
        <v>0</v>
      </c>
      <c r="AL214">
        <f t="shared" si="117"/>
        <v>0</v>
      </c>
      <c r="AM214">
        <f t="shared" si="118"/>
        <v>0</v>
      </c>
      <c r="AN214">
        <f t="shared" si="119"/>
        <v>0</v>
      </c>
      <c r="AO214">
        <f t="shared" si="120"/>
        <v>0</v>
      </c>
      <c r="AP214">
        <f t="shared" si="121"/>
        <v>0</v>
      </c>
      <c r="AQ214">
        <f t="shared" si="122"/>
        <v>0</v>
      </c>
      <c r="AR214">
        <f t="shared" si="123"/>
        <v>0</v>
      </c>
      <c r="AS214">
        <f t="shared" si="124"/>
        <v>0</v>
      </c>
      <c r="AT214">
        <f t="shared" si="125"/>
        <v>0</v>
      </c>
      <c r="AU214">
        <f t="shared" si="126"/>
        <v>0</v>
      </c>
      <c r="AV214">
        <f t="shared" si="127"/>
        <v>0</v>
      </c>
      <c r="AW214">
        <f t="shared" si="128"/>
        <v>0</v>
      </c>
      <c r="AX214">
        <f t="shared" si="129"/>
        <v>0</v>
      </c>
      <c r="AY214">
        <f t="shared" si="130"/>
        <v>0</v>
      </c>
      <c r="AZ214">
        <f>COUNTIF(Q214:Q219,"NS")</f>
        <v>0</v>
      </c>
      <c r="BA214">
        <f>SUM(Q214:Q219)</f>
        <v>0</v>
      </c>
      <c r="BB214">
        <f>IF(COUNTA(Q213:Q219)=0,0,IF(OR(AND(Q213=0,AZ214&gt;0),AND(Q213="ns",BA214&gt;0),AND(Q213="ns",AZ214=0,BA214=0)),1,IF(OR(AND(AZ214&gt;=2,Q213&gt;BA214),AND(Q213="ns",BA214=0,AZ214&gt;0),Q213=BA214),0,1)))</f>
        <v>0</v>
      </c>
      <c r="BC214">
        <f>COUNTIF(Q225:Q229,"NS")</f>
        <v>0</v>
      </c>
      <c r="BD214">
        <f>SUM(Q225:Q229)</f>
        <v>0</v>
      </c>
      <c r="BE214">
        <f>IF(COUNTA(Q224:Q229)=0,0,IF(OR(AND(Q224=0,BC214&gt;0),AND(Q224="ns",BD214&gt;0),AND(Q224="ns",BC214=0,BD214=0)),1,IF(OR(AND(BC214&gt;=2,Q224&gt;BD214),AND(Q224="ns",BD214=0,BC214&gt;0),Q224=BD214),0,1)))</f>
        <v>0</v>
      </c>
      <c r="BF214">
        <f>COUNTIF(Q234:Q251,"NS")</f>
        <v>0</v>
      </c>
      <c r="BG214">
        <f>SUM(Q234:Q251)</f>
        <v>0</v>
      </c>
      <c r="BH214">
        <f>IF(COUNTA(Q233:Q251)=0,0,IF(OR(AND(Q233=0,BF214&gt;0),AND(Q233="ns",BG214&gt;0),AND(Q233="ns",BF214=0,BG214=0)),1,IF(OR(AND(BF214&gt;=2,Q233&gt;BG214),AND(Q233="ns",BG214=0,BF214&gt;0),Q233=BG214),0,1)))</f>
        <v>0</v>
      </c>
      <c r="BI214">
        <f>COUNTIF(Q253:Q257,"NS")</f>
        <v>0</v>
      </c>
      <c r="BJ214">
        <f>SUM(Q253:Q257)</f>
        <v>0</v>
      </c>
      <c r="BK214">
        <f>IF(COUNTA(Q252:Q257)=0,0,IF(OR(AND(Q252=0,BI214&gt;0),AND(Q252="ns",BJ214&gt;0),AND(Q252="ns",BI214=0,BJ214=0)),1,IF(OR(AND(BI214&gt;=2,Q252&gt;BJ214),AND(Q252="ns",BJ214=0,BI214&gt;0),Q252=BJ214),0,1)))</f>
        <v>0</v>
      </c>
      <c r="BL214">
        <f>COUNTIF(Q261:Q263,"NS")</f>
        <v>0</v>
      </c>
      <c r="BM214">
        <f>SUM(Q261:Q263)</f>
        <v>0</v>
      </c>
      <c r="BN214">
        <f>IF(COUNTA(Q260:Q263)=0,0,IF(OR(AND(Q260=0,BL214&gt;0),AND(Q260="ns",BM214&gt;0),AND(Q260="ns",BL214=0,BM214=0)),1,IF(OR(AND(BL214&gt;=2,Q260&gt;BM214),AND(Q260="ns",BM214=0,BL214&gt;0),Q260=BM214),0,1)))</f>
        <v>0</v>
      </c>
      <c r="BO214">
        <f>COUNTIF(Q271:Q277,"NS")</f>
        <v>0</v>
      </c>
      <c r="BP214">
        <f>SUM(Q271:Q277)</f>
        <v>0</v>
      </c>
      <c r="BQ214">
        <f>IF(COUNTA(Q270:Q277)=0,0,IF(OR(AND(Q270=0,BO214&gt;0),AND(Q270="ns",BP214&gt;0),AND(Q270="ns",BO214=0,BP214=0)),1,IF(OR(AND(BO214&gt;=2,Q270&gt;BP214),AND(Q270="ns",BP214=0,BO214&gt;0),Q270=BP214),0,1)))</f>
        <v>0</v>
      </c>
      <c r="BR214">
        <f>COUNTIF(Q279:Q283,"NS")</f>
        <v>0</v>
      </c>
      <c r="BS214">
        <f>SUM(Q279:Q283)</f>
        <v>0</v>
      </c>
      <c r="BT214">
        <f>IF(COUNTA(Q278:Q283)=0,0,IF(OR(AND(Q278=0,BR214&gt;0),AND(Q278="ns",BS214&gt;0),AND(Q278="ns",BR214=0,BS214=0)),1,IF(OR(AND(BR214&gt;=2,Q278&gt;BS214),AND(Q278="ns",BS214=0,BR214&gt;0),Q278=BS214),0,1)))</f>
        <v>0</v>
      </c>
      <c r="BU214">
        <f>COUNTIF(Q289:Q294,"NS")</f>
        <v>0</v>
      </c>
      <c r="BV214">
        <f>SUM(Q289:Q294)</f>
        <v>0</v>
      </c>
      <c r="BW214">
        <f>IF(COUNTA(Q288:Q294)=0,0,IF(OR(AND(Q288=0,BU214&gt;0),AND(Q288="ns",BV214&gt;0),AND(Q288="ns",BU214=0,BV214=0)),1,IF(OR(AND(BU214&gt;=2,Q288&gt;BV214),AND(Q288="ns",BV214=0,BU214&gt;0),Q288=BV214),0,1)))</f>
        <v>0</v>
      </c>
      <c r="BX214">
        <f>COUNTIF(Q296:Q303,"NS")</f>
        <v>0</v>
      </c>
      <c r="BY214">
        <f>SUM(Q296:Q303)</f>
        <v>0</v>
      </c>
      <c r="BZ214">
        <f>IF(COUNTA(Q295:Q303)=0,0,IF(OR(AND(Q295=0,BX214&gt;0),AND(Q295="ns",BY214&gt;0),AND(Q295="ns",BX214=0,BY214=0)),1,IF(OR(AND(BX214&gt;=2,Q295&gt;BY214),AND(Q295="ns",BY214=0,BX214&gt;0),Q295=BY214),0,1)))</f>
        <v>0</v>
      </c>
      <c r="CA214">
        <f>COUNTIF(Q308:Q313,"NS")</f>
        <v>0</v>
      </c>
      <c r="CB214">
        <f>SUM(Q308:Q313)</f>
        <v>0</v>
      </c>
      <c r="CC214">
        <f>IF(COUNTA(Q307:Q313)=0,0,IF(OR(AND(Q307=0,CA214&gt;0),AND(Q307="ns",CB214&gt;0),AND(Q307="ns",CA214=0,CB214=0)),1,IF(OR(AND(CA214&gt;=2,Q307&gt;CB214),AND(Q307="ns",CB214=0,CA214&gt;0),Q307=CB214),0,1)))</f>
        <v>0</v>
      </c>
      <c r="CD214">
        <f>COUNTIF(Q318:Q326,"NS")</f>
        <v>0</v>
      </c>
      <c r="CE214">
        <f>SUM(Q318:Q326)</f>
        <v>0</v>
      </c>
      <c r="CF214">
        <f>IF(COUNTA(Q317:Q326)=0,0,IF(OR(AND(Q317=0,CD214&gt;0),AND(Q317="ns",CE214&gt;0),AND(Q317="ns",CD214=0,CE214=0)),1,IF(OR(AND(CD214&gt;=2,Q317&gt;CE214),AND(Q317="ns",CE214=0,CD214&gt;0),Q317=CE214),0,1)))</f>
        <v>0</v>
      </c>
      <c r="CG214">
        <f>COUNTIF(Q328:Q330,"NS")</f>
        <v>0</v>
      </c>
      <c r="CH214">
        <f>SUM(Q328:Q330)</f>
        <v>0</v>
      </c>
      <c r="CI214">
        <f>IF(COUNTA(Q327:Q330)=0,0,IF(OR(AND(Q327=0,CG214&gt;0),AND(Q327="ns",CH214&gt;0),AND(Q327="ns",CG214=0,CH214=0)),1,IF(OR(AND(CG214&gt;=2,Q327&gt;CH214),AND(Q327="ns",CH214=0,CG214&gt;0),Q327=CH214),0,1)))</f>
        <v>0</v>
      </c>
      <c r="CJ214">
        <f>COUNTIF(Q339:Q345,"NS")</f>
        <v>0</v>
      </c>
      <c r="CK214">
        <f>SUM(Q339:Q345)</f>
        <v>0</v>
      </c>
      <c r="CL214">
        <f>IF(COUNTA(Q338:Q345)=0,0,IF(OR(AND(Q338=0,CJ214&gt;0),AND(Q338="ns",CK214&gt;0),AND(Q338="ns",CJ214=0,CK214=0)),1,IF(OR(AND(CJ214&gt;=2,Q338&gt;CK214),AND(Q338="ns",CK214=0,CJ214&gt;0),Q338=CK214),0,1)))</f>
        <v>0</v>
      </c>
      <c r="CM214">
        <f>COUNTIF(Q348:Q350,"NS")</f>
        <v>0</v>
      </c>
      <c r="CN214">
        <f>SUM(Q348:Q350)</f>
        <v>0</v>
      </c>
      <c r="CO214">
        <f>IF(COUNTA(Q347:Q350)=0,0,IF(OR(AND(Q347=0,CM214&gt;0),AND(Q347="ns",CN214&gt;0),AND(Q347="ns",CM214=0,CN214=0)),1,IF(OR(AND(CM214&gt;=2,Q347&gt;CN214),AND(Q347="ns",CN214=0,CM214&gt;0),Q347=CN214),0,1)))</f>
        <v>0</v>
      </c>
      <c r="CP214">
        <f>COUNTIF(Q360:Q364,"NS")</f>
        <v>0</v>
      </c>
      <c r="CQ214">
        <f>SUM(Q360:Q364)</f>
        <v>0</v>
      </c>
      <c r="CR214">
        <f>IF(COUNTA(Q359:Q364)=0,0,IF(OR(AND(Q359=0,CP214&gt;0),AND(Q359="ns",CQ214&gt;0),AND(Q359="ns",CP214=0,CQ214=0)),1,IF(OR(AND(CP214&gt;=2,Q359&gt;CQ214),AND(Q359="ns",CQ214=0,CP214&gt;0),Q359=CQ214),0,1)))</f>
        <v>0</v>
      </c>
      <c r="CS214"/>
      <c r="CT214"/>
      <c r="CU214"/>
      <c r="CV214"/>
      <c r="CW214"/>
      <c r="CX214"/>
      <c r="CY214"/>
      <c r="CZ214"/>
      <c r="DA214"/>
    </row>
    <row r="215" spans="1:105" ht="15" customHeight="1">
      <c r="A215" s="108"/>
      <c r="B215" s="38"/>
      <c r="C215" s="1109"/>
      <c r="D215" s="954"/>
      <c r="E215" s="956"/>
      <c r="F215" s="1110" t="s">
        <v>4815</v>
      </c>
      <c r="G215" s="1110"/>
      <c r="H215" s="178"/>
      <c r="I215" s="1111" t="s">
        <v>4816</v>
      </c>
      <c r="J215" s="1111"/>
      <c r="K215" s="1111"/>
      <c r="L215" s="1111"/>
      <c r="M215" s="1111"/>
      <c r="N215" s="1111"/>
      <c r="O215" s="1112"/>
      <c r="P215" s="100"/>
      <c r="Q215" s="100"/>
      <c r="R215" s="100"/>
      <c r="S215" s="100"/>
      <c r="T215" s="100"/>
      <c r="U215" s="100"/>
      <c r="V215" s="100"/>
      <c r="W215" s="100"/>
      <c r="X215" s="100"/>
      <c r="Y215" s="100"/>
      <c r="Z215" s="100"/>
      <c r="AA215" s="100"/>
      <c r="AB215" s="100"/>
      <c r="AC215" s="100"/>
      <c r="AD215" s="100"/>
      <c r="AF215"/>
      <c r="AG215">
        <f t="shared" si="131"/>
        <v>0</v>
      </c>
      <c r="AH215">
        <f t="shared" si="132"/>
        <v>0</v>
      </c>
      <c r="AK215">
        <f t="shared" si="116"/>
        <v>0</v>
      </c>
      <c r="AL215">
        <f t="shared" si="117"/>
        <v>0</v>
      </c>
      <c r="AM215">
        <f t="shared" si="118"/>
        <v>0</v>
      </c>
      <c r="AN215">
        <f t="shared" si="119"/>
        <v>0</v>
      </c>
      <c r="AO215">
        <f t="shared" si="120"/>
        <v>0</v>
      </c>
      <c r="AP215">
        <f t="shared" si="121"/>
        <v>0</v>
      </c>
      <c r="AQ215">
        <f t="shared" si="122"/>
        <v>0</v>
      </c>
      <c r="AR215">
        <f t="shared" si="123"/>
        <v>0</v>
      </c>
      <c r="AS215">
        <f t="shared" si="124"/>
        <v>0</v>
      </c>
      <c r="AT215">
        <f t="shared" si="125"/>
        <v>0</v>
      </c>
      <c r="AU215">
        <f t="shared" si="126"/>
        <v>0</v>
      </c>
      <c r="AV215">
        <f t="shared" si="127"/>
        <v>0</v>
      </c>
      <c r="AW215">
        <f t="shared" si="128"/>
        <v>0</v>
      </c>
      <c r="AX215">
        <f t="shared" si="129"/>
        <v>0</v>
      </c>
      <c r="AY215">
        <f t="shared" si="130"/>
        <v>0</v>
      </c>
      <c r="AZ215">
        <f>COUNTIF(R214:R219,"NS")</f>
        <v>0</v>
      </c>
      <c r="BA215">
        <f>SUM(R214:R219)</f>
        <v>0</v>
      </c>
      <c r="BB215">
        <f>IF(COUNTA(R213:R219)=0,0,IF(OR(AND(R213=0,AZ215&gt;0),AND(R213="ns",BA215&gt;0),AND(R213="ns",AZ215=0,BA215=0)),1,IF(OR(AND(AZ215&gt;=2,R213&gt;BA215),AND(R213="ns",BA215=0,AZ215&gt;0),R213=BA215),0,1)))</f>
        <v>0</v>
      </c>
      <c r="BC215">
        <f>COUNTIF(R225:R229,"NS")</f>
        <v>0</v>
      </c>
      <c r="BD215">
        <f>SUM(R225:R229)</f>
        <v>0</v>
      </c>
      <c r="BE215">
        <f>IF(COUNTA(R224:R229)=0,0,IF(OR(AND(R224=0,BC215&gt;0),AND(R224="ns",BD215&gt;0),AND(R224="ns",BC215=0,BD215=0)),1,IF(OR(AND(BC215&gt;=2,R224&gt;BD215),AND(R224="ns",BD215=0,BC215&gt;0),R224=BD215),0,1)))</f>
        <v>0</v>
      </c>
      <c r="BF215">
        <f>COUNTIF(R234:R251,"NS")</f>
        <v>0</v>
      </c>
      <c r="BG215">
        <f>SUM(R234:R251)</f>
        <v>0</v>
      </c>
      <c r="BH215">
        <f>IF(COUNTA(R233:R251)=0,0,IF(OR(AND(R233=0,BF215&gt;0),AND(R233="ns",BG215&gt;0),AND(R233="ns",BF215=0,BG215=0)),1,IF(OR(AND(BF215&gt;=2,R233&gt;BG215),AND(R233="ns",BG215=0,BF215&gt;0),R233=BG215),0,1)))</f>
        <v>0</v>
      </c>
      <c r="BI215">
        <f>COUNTIF(R253:R257,"NS")</f>
        <v>0</v>
      </c>
      <c r="BJ215">
        <f>SUM(R253:R257)</f>
        <v>0</v>
      </c>
      <c r="BK215">
        <f>IF(COUNTA(R252:R257)=0,0,IF(OR(AND(R252=0,BI215&gt;0),AND(R252="ns",BJ215&gt;0),AND(R252="ns",BI215=0,BJ215=0)),1,IF(OR(AND(BI215&gt;=2,R252&gt;BJ215),AND(R252="ns",BJ215=0,BI215&gt;0),R252=BJ215),0,1)))</f>
        <v>0</v>
      </c>
      <c r="BL215">
        <f>COUNTIF(R261:R263,"NS")</f>
        <v>0</v>
      </c>
      <c r="BM215">
        <f>SUM(R261:R263)</f>
        <v>0</v>
      </c>
      <c r="BN215">
        <f>IF(COUNTA(R260:R263)=0,0,IF(OR(AND(R260=0,BL215&gt;0),AND(R260="ns",BM215&gt;0),AND(R260="ns",BL215=0,BM215=0)),1,IF(OR(AND(BL215&gt;=2,R260&gt;BM215),AND(R260="ns",BM215=0,BL215&gt;0),R260=BM215),0,1)))</f>
        <v>0</v>
      </c>
      <c r="BO215">
        <f>COUNTIF(R271:R277,"NS")</f>
        <v>0</v>
      </c>
      <c r="BP215">
        <f>SUM(R271:R277)</f>
        <v>0</v>
      </c>
      <c r="BQ215">
        <f>IF(COUNTA(R270:R277)=0,0,IF(OR(AND(R270=0,BO215&gt;0),AND(R270="ns",BP215&gt;0),AND(R270="ns",BO215=0,BP215=0)),1,IF(OR(AND(BO215&gt;=2,R270&gt;BP215),AND(R270="ns",BP215=0,BO215&gt;0),R270=BP215),0,1)))</f>
        <v>0</v>
      </c>
      <c r="BR215">
        <f>COUNTIF(R279:R283,"NS")</f>
        <v>0</v>
      </c>
      <c r="BS215">
        <f>SUM(R279:R283)</f>
        <v>0</v>
      </c>
      <c r="BT215">
        <f>IF(COUNTA(R278:R283)=0,0,IF(OR(AND(R278=0,BR215&gt;0),AND(R278="ns",BS215&gt;0),AND(R278="ns",BR215=0,BS215=0)),1,IF(OR(AND(BR215&gt;=2,R278&gt;BS215),AND(R278="ns",BS215=0,BR215&gt;0),R278=BS215),0,1)))</f>
        <v>0</v>
      </c>
      <c r="BU215">
        <f>COUNTIF(R289:R294,"NS")</f>
        <v>0</v>
      </c>
      <c r="BV215">
        <f>SUM(R289:R294)</f>
        <v>0</v>
      </c>
      <c r="BW215">
        <f>IF(COUNTA(R288:R294)=0,0,IF(OR(AND(R288=0,BU215&gt;0),AND(R288="ns",BV215&gt;0),AND(R288="ns",BU215=0,BV215=0)),1,IF(OR(AND(BU215&gt;=2,R288&gt;BV215),AND(R288="ns",BV215=0,BU215&gt;0),R288=BV215),0,1)))</f>
        <v>0</v>
      </c>
      <c r="BX215">
        <f>COUNTIF(R296:R303,"NS")</f>
        <v>0</v>
      </c>
      <c r="BY215">
        <f>SUM(R296:R303)</f>
        <v>0</v>
      </c>
      <c r="BZ215">
        <f>IF(COUNTA(R295:R303)=0,0,IF(OR(AND(R295=0,BX215&gt;0),AND(R295="ns",BY215&gt;0),AND(R295="ns",BX215=0,BY215=0)),1,IF(OR(AND(BX215&gt;=2,R295&gt;BY215),AND(R295="ns",BY215=0,BX215&gt;0),R295=BY215),0,1)))</f>
        <v>0</v>
      </c>
      <c r="CA215">
        <f>COUNTIF(R308:R313,"NS")</f>
        <v>0</v>
      </c>
      <c r="CB215">
        <f>SUM(R308:R313)</f>
        <v>0</v>
      </c>
      <c r="CC215">
        <f>IF(COUNTA(R307:R313)=0,0,IF(OR(AND(R307=0,CA215&gt;0),AND(R307="ns",CB215&gt;0),AND(R307="ns",CA215=0,CB215=0)),1,IF(OR(AND(CA215&gt;=2,R307&gt;CB215),AND(R307="ns",CB215=0,CA215&gt;0),R307=CB215),0,1)))</f>
        <v>0</v>
      </c>
      <c r="CD215">
        <f>COUNTIF(R318:R326,"NS")</f>
        <v>0</v>
      </c>
      <c r="CE215">
        <f>SUM(R318:R326)</f>
        <v>0</v>
      </c>
      <c r="CF215">
        <f>IF(COUNTA(R317:R326)=0,0,IF(OR(AND(R317=0,CD215&gt;0),AND(R317="ns",CE215&gt;0),AND(R317="ns",CD215=0,CE215=0)),1,IF(OR(AND(CD215&gt;=2,R317&gt;CE215),AND(R317="ns",CE215=0,CD215&gt;0),R317=CE215),0,1)))</f>
        <v>0</v>
      </c>
      <c r="CG215">
        <f>COUNTIF(R328:R330,"NS")</f>
        <v>0</v>
      </c>
      <c r="CH215">
        <f>SUM(R328:R330)</f>
        <v>0</v>
      </c>
      <c r="CI215">
        <f>IF(COUNTA(R327:R330)=0,0,IF(OR(AND(R327=0,CG215&gt;0),AND(R327="ns",CH215&gt;0),AND(R327="ns",CG215=0,CH215=0)),1,IF(OR(AND(CG215&gt;=2,R327&gt;CH215),AND(R327="ns",CH215=0,CG215&gt;0),R327=CH215),0,1)))</f>
        <v>0</v>
      </c>
      <c r="CJ215">
        <f>COUNTIF(R339:R345,"NS")</f>
        <v>0</v>
      </c>
      <c r="CK215">
        <f>SUM(R339:R345)</f>
        <v>0</v>
      </c>
      <c r="CL215">
        <f>IF(COUNTA(R338:R345)=0,0,IF(OR(AND(R338=0,CJ215&gt;0),AND(R338="ns",CK215&gt;0),AND(R338="ns",CJ215=0,CK215=0)),1,IF(OR(AND(CJ215&gt;=2,R338&gt;CK215),AND(R338="ns",CK215=0,CJ215&gt;0),R338=CK215),0,1)))</f>
        <v>0</v>
      </c>
      <c r="CM215">
        <f>COUNTIF(R348:R350,"NS")</f>
        <v>0</v>
      </c>
      <c r="CN215">
        <f>SUM(R348:R350)</f>
        <v>0</v>
      </c>
      <c r="CO215">
        <f>IF(COUNTA(R347:R350)=0,0,IF(OR(AND(R347=0,CM215&gt;0),AND(R347="ns",CN215&gt;0),AND(R347="ns",CM215=0,CN215=0)),1,IF(OR(AND(CM215&gt;=2,R347&gt;CN215),AND(R347="ns",CN215=0,CM215&gt;0),R347=CN215),0,1)))</f>
        <v>0</v>
      </c>
      <c r="CP215">
        <f>COUNTIF(R360:R364,"NS")</f>
        <v>0</v>
      </c>
      <c r="CQ215">
        <f>SUM(R360:R364)</f>
        <v>0</v>
      </c>
      <c r="CR215">
        <f>IF(COUNTA(R359:R364)=0,0,IF(OR(AND(R359=0,CP215&gt;0),AND(R359="ns",CQ215&gt;0),AND(R359="ns",CP215=0,CQ215=0)),1,IF(OR(AND(CP215&gt;=2,R359&gt;CQ215),AND(R359="ns",CQ215=0,CP215&gt;0),R359=CQ215),0,1)))</f>
        <v>0</v>
      </c>
      <c r="CS215"/>
      <c r="CT215"/>
      <c r="CU215"/>
      <c r="CV215"/>
      <c r="CW215"/>
      <c r="CX215"/>
      <c r="CY215"/>
      <c r="CZ215"/>
      <c r="DA215"/>
    </row>
    <row r="216" spans="1:105" ht="15" customHeight="1">
      <c r="A216" s="108"/>
      <c r="B216" s="38"/>
      <c r="C216" s="1109"/>
      <c r="D216" s="954"/>
      <c r="E216" s="956"/>
      <c r="F216" s="1110" t="s">
        <v>4817</v>
      </c>
      <c r="G216" s="1110"/>
      <c r="H216" s="178"/>
      <c r="I216" s="1111" t="s">
        <v>4818</v>
      </c>
      <c r="J216" s="1111"/>
      <c r="K216" s="1111"/>
      <c r="L216" s="1111"/>
      <c r="M216" s="1111"/>
      <c r="N216" s="1111"/>
      <c r="O216" s="1112"/>
      <c r="P216" s="100"/>
      <c r="Q216" s="100"/>
      <c r="R216" s="100"/>
      <c r="S216" s="100"/>
      <c r="T216" s="100"/>
      <c r="U216" s="100"/>
      <c r="V216" s="100"/>
      <c r="W216" s="100"/>
      <c r="X216" s="100"/>
      <c r="Y216" s="100"/>
      <c r="Z216" s="100"/>
      <c r="AA216" s="100"/>
      <c r="AB216" s="100"/>
      <c r="AC216" s="100"/>
      <c r="AD216" s="100"/>
      <c r="AF216"/>
      <c r="AG216">
        <f t="shared" si="131"/>
        <v>0</v>
      </c>
      <c r="AH216">
        <f t="shared" si="132"/>
        <v>0</v>
      </c>
      <c r="AK216">
        <f t="shared" si="116"/>
        <v>0</v>
      </c>
      <c r="AL216">
        <f t="shared" si="117"/>
        <v>0</v>
      </c>
      <c r="AM216">
        <f t="shared" si="118"/>
        <v>0</v>
      </c>
      <c r="AN216">
        <f t="shared" si="119"/>
        <v>0</v>
      </c>
      <c r="AO216">
        <f t="shared" si="120"/>
        <v>0</v>
      </c>
      <c r="AP216">
        <f t="shared" si="121"/>
        <v>0</v>
      </c>
      <c r="AQ216">
        <f t="shared" si="122"/>
        <v>0</v>
      </c>
      <c r="AR216">
        <f t="shared" si="123"/>
        <v>0</v>
      </c>
      <c r="AS216">
        <f t="shared" si="124"/>
        <v>0</v>
      </c>
      <c r="AT216">
        <f t="shared" si="125"/>
        <v>0</v>
      </c>
      <c r="AU216">
        <f t="shared" si="126"/>
        <v>0</v>
      </c>
      <c r="AV216">
        <f t="shared" si="127"/>
        <v>0</v>
      </c>
      <c r="AW216">
        <f t="shared" si="128"/>
        <v>0</v>
      </c>
      <c r="AX216">
        <f t="shared" si="129"/>
        <v>0</v>
      </c>
      <c r="AY216">
        <f t="shared" si="130"/>
        <v>0</v>
      </c>
      <c r="AZ216">
        <f>COUNTIF(S214:S219,"NS")</f>
        <v>0</v>
      </c>
      <c r="BA216">
        <f>SUM(S214:S219)</f>
        <v>0</v>
      </c>
      <c r="BB216">
        <f>IF(COUNTA(S213:S219)=0,0,IF(OR(AND(S213=0,AZ216&gt;0),AND(S213="ns",BA216&gt;0),AND(S213="ns",AZ216=0,BA216=0)),1,IF(OR(AND(AZ216&gt;=2,S213&gt;BA216),AND(S213="ns",BA216=0,AZ216&gt;0),S213=BA216),0,1)))</f>
        <v>0</v>
      </c>
      <c r="BC216">
        <f>COUNTIF(S225:S229,"NS")</f>
        <v>0</v>
      </c>
      <c r="BD216">
        <f>SUM(S225:S229)</f>
        <v>0</v>
      </c>
      <c r="BE216">
        <f>IF(COUNTA(S224:S229)=0,0,IF(OR(AND(S224=0,BC216&gt;0),AND(S224="ns",BD216&gt;0),AND(S224="ns",BC216=0,BD216=0)),1,IF(OR(AND(BC216&gt;=2,S224&gt;BD216),AND(S224="ns",BD216=0,BC216&gt;0),S224=BD216),0,1)))</f>
        <v>0</v>
      </c>
      <c r="BF216">
        <f>COUNTIF(S234:S251,"NS")</f>
        <v>0</v>
      </c>
      <c r="BG216">
        <f>SUM(S234:S251)</f>
        <v>0</v>
      </c>
      <c r="BH216">
        <f>IF(COUNTA(S233:S251)=0,0,IF(OR(AND(S233=0,BF216&gt;0),AND(S233="ns",BG216&gt;0),AND(S233="ns",BF216=0,BG216=0)),1,IF(OR(AND(BF216&gt;=2,S233&gt;BG216),AND(S233="ns",BG216=0,BF216&gt;0),S233=BG216),0,1)))</f>
        <v>0</v>
      </c>
      <c r="BI216">
        <f>COUNTIF(S253:S257,"NS")</f>
        <v>0</v>
      </c>
      <c r="BJ216">
        <f>SUM(S253:S257)</f>
        <v>0</v>
      </c>
      <c r="BK216">
        <f>IF(COUNTA(S252:S257)=0,0,IF(OR(AND(S252=0,BI216&gt;0),AND(S252="ns",BJ216&gt;0),AND(S252="ns",BI216=0,BJ216=0)),1,IF(OR(AND(BI216&gt;=2,S252&gt;BJ216),AND(S252="ns",BJ216=0,BI216&gt;0),S252=BJ216),0,1)))</f>
        <v>0</v>
      </c>
      <c r="BL216">
        <f>COUNTIF(S261:S263,"NS")</f>
        <v>0</v>
      </c>
      <c r="BM216">
        <f>SUM(S261:S263)</f>
        <v>0</v>
      </c>
      <c r="BN216">
        <f>IF(COUNTA(S260:S263)=0,0,IF(OR(AND(S260=0,BL216&gt;0),AND(S260="ns",BM216&gt;0),AND(S260="ns",BL216=0,BM216=0)),1,IF(OR(AND(BL216&gt;=2,S260&gt;BM216),AND(S260="ns",BM216=0,BL216&gt;0),S260=BM216),0,1)))</f>
        <v>0</v>
      </c>
      <c r="BO216">
        <f>COUNTIF(S271:S277,"NS")</f>
        <v>0</v>
      </c>
      <c r="BP216">
        <f>SUM(S271:S277)</f>
        <v>0</v>
      </c>
      <c r="BQ216">
        <f>IF(COUNTA(S270:S277)=0,0,IF(OR(AND(S270=0,BO216&gt;0),AND(S270="ns",BP216&gt;0),AND(S270="ns",BO216=0,BP216=0)),1,IF(OR(AND(BO216&gt;=2,S270&gt;BP216),AND(S270="ns",BP216=0,BO216&gt;0),S270=BP216),0,1)))</f>
        <v>0</v>
      </c>
      <c r="BR216">
        <f>COUNTIF(S279:S283,"NS")</f>
        <v>0</v>
      </c>
      <c r="BS216">
        <f>SUM(S279:S283)</f>
        <v>0</v>
      </c>
      <c r="BT216">
        <f>IF(COUNTA(S278:S283)=0,0,IF(OR(AND(S278=0,BR216&gt;0),AND(S278="ns",BS216&gt;0),AND(S278="ns",BR216=0,BS216=0)),1,IF(OR(AND(BR216&gt;=2,S278&gt;BS216),AND(S278="ns",BS216=0,BR216&gt;0),S278=BS216),0,1)))</f>
        <v>0</v>
      </c>
      <c r="BU216">
        <f>COUNTIF(S289:S294,"NS")</f>
        <v>0</v>
      </c>
      <c r="BV216">
        <f>SUM(S289:S294)</f>
        <v>0</v>
      </c>
      <c r="BW216">
        <f>IF(COUNTA(S288:S294)=0,0,IF(OR(AND(S288=0,BU216&gt;0),AND(S288="ns",BV216&gt;0),AND(S288="ns",BU216=0,BV216=0)),1,IF(OR(AND(BU216&gt;=2,S288&gt;BV216),AND(S288="ns",BV216=0,BU216&gt;0),S288=BV216),0,1)))</f>
        <v>0</v>
      </c>
      <c r="BX216">
        <f>COUNTIF(S296:S303,"NS")</f>
        <v>0</v>
      </c>
      <c r="BY216">
        <f>SUM(S296:S303)</f>
        <v>0</v>
      </c>
      <c r="BZ216">
        <f>IF(COUNTA(S295:S303)=0,0,IF(OR(AND(S295=0,BX216&gt;0),AND(S295="ns",BY216&gt;0),AND(S295="ns",BX216=0,BY216=0)),1,IF(OR(AND(BX216&gt;=2,S295&gt;BY216),AND(S295="ns",BY216=0,BX216&gt;0),S295=BY216),0,1)))</f>
        <v>0</v>
      </c>
      <c r="CA216">
        <f>COUNTIF(S308:S313,"NS")</f>
        <v>0</v>
      </c>
      <c r="CB216">
        <f>SUM(S308:S313)</f>
        <v>0</v>
      </c>
      <c r="CC216">
        <f>IF(COUNTA(S307:S313)=0,0,IF(OR(AND(S307=0,CA216&gt;0),AND(S307="ns",CB216&gt;0),AND(S307="ns",CA216=0,CB216=0)),1,IF(OR(AND(CA216&gt;=2,S307&gt;CB216),AND(S307="ns",CB216=0,CA216&gt;0),S307=CB216),0,1)))</f>
        <v>0</v>
      </c>
      <c r="CD216">
        <f>COUNTIF(S318:S326,"NS")</f>
        <v>0</v>
      </c>
      <c r="CE216">
        <f>SUM(S318:S326)</f>
        <v>0</v>
      </c>
      <c r="CF216">
        <f>IF(COUNTA(S317:S326)=0,0,IF(OR(AND(S317=0,CD216&gt;0),AND(S317="ns",CE216&gt;0),AND(S317="ns",CD216=0,CE216=0)),1,IF(OR(AND(CD216&gt;=2,S317&gt;CE216),AND(S317="ns",CE216=0,CD216&gt;0),S317=CE216),0,1)))</f>
        <v>0</v>
      </c>
      <c r="CG216">
        <f>COUNTIF(S328:S330,"NS")</f>
        <v>0</v>
      </c>
      <c r="CH216">
        <f>SUM(S328:S330)</f>
        <v>0</v>
      </c>
      <c r="CI216">
        <f>IF(COUNTA(S327:S330)=0,0,IF(OR(AND(S327=0,CG216&gt;0),AND(S327="ns",CH216&gt;0),AND(S327="ns",CG216=0,CH216=0)),1,IF(OR(AND(CG216&gt;=2,S327&gt;CH216),AND(S327="ns",CH216=0,CG216&gt;0),S327=CH216),0,1)))</f>
        <v>0</v>
      </c>
      <c r="CJ216">
        <f>COUNTIF(S339:S345,"NS")</f>
        <v>0</v>
      </c>
      <c r="CK216">
        <f>SUM(S339:S345)</f>
        <v>0</v>
      </c>
      <c r="CL216">
        <f>IF(COUNTA(S338:S345)=0,0,IF(OR(AND(S338=0,CJ216&gt;0),AND(S338="ns",CK216&gt;0),AND(S338="ns",CJ216=0,CK216=0)),1,IF(OR(AND(CJ216&gt;=2,S338&gt;CK216),AND(S338="ns",CK216=0,CJ216&gt;0),S338=CK216),0,1)))</f>
        <v>0</v>
      </c>
      <c r="CM216">
        <f>COUNTIF(S348:S350,"NS")</f>
        <v>0</v>
      </c>
      <c r="CN216">
        <f>SUM(S348:S350)</f>
        <v>0</v>
      </c>
      <c r="CO216">
        <f>IF(COUNTA(S347:S350)=0,0,IF(OR(AND(S347=0,CM216&gt;0),AND(S347="ns",CN216&gt;0),AND(S347="ns",CM216=0,CN216=0)),1,IF(OR(AND(CM216&gt;=2,S347&gt;CN216),AND(S347="ns",CN216=0,CM216&gt;0),S347=CN216),0,1)))</f>
        <v>0</v>
      </c>
      <c r="CP216">
        <f>COUNTIF(S360:S364,"NS")</f>
        <v>0</v>
      </c>
      <c r="CQ216">
        <f>SUM(S360:S364)</f>
        <v>0</v>
      </c>
      <c r="CR216">
        <f>IF(COUNTA(S359:S364)=0,0,IF(OR(AND(S359=0,CP216&gt;0),AND(S359="ns",CQ216&gt;0),AND(S359="ns",CP216=0,CQ216=0)),1,IF(OR(AND(CP216&gt;=2,S359&gt;CQ216),AND(S359="ns",CQ216=0,CP216&gt;0),S359=CQ216),0,1)))</f>
        <v>0</v>
      </c>
      <c r="CS216"/>
      <c r="CT216"/>
      <c r="CU216"/>
      <c r="CV216"/>
      <c r="CW216"/>
      <c r="CX216"/>
      <c r="CY216"/>
      <c r="CZ216"/>
      <c r="DA216"/>
    </row>
    <row r="217" spans="1:105" ht="15" customHeight="1">
      <c r="A217" s="108"/>
      <c r="B217" s="38"/>
      <c r="C217" s="1109"/>
      <c r="D217" s="954"/>
      <c r="E217" s="956"/>
      <c r="F217" s="1110" t="s">
        <v>4819</v>
      </c>
      <c r="G217" s="1110"/>
      <c r="H217" s="178"/>
      <c r="I217" s="1111" t="s">
        <v>4820</v>
      </c>
      <c r="J217" s="1111"/>
      <c r="K217" s="1111"/>
      <c r="L217" s="1111"/>
      <c r="M217" s="1111"/>
      <c r="N217" s="1111"/>
      <c r="O217" s="1112"/>
      <c r="P217" s="100"/>
      <c r="Q217" s="100"/>
      <c r="R217" s="100"/>
      <c r="S217" s="100"/>
      <c r="T217" s="100"/>
      <c r="U217" s="100"/>
      <c r="V217" s="100"/>
      <c r="W217" s="100"/>
      <c r="X217" s="100"/>
      <c r="Y217" s="100"/>
      <c r="Z217" s="100"/>
      <c r="AA217" s="100"/>
      <c r="AB217" s="100"/>
      <c r="AC217" s="100"/>
      <c r="AD217" s="100"/>
      <c r="AF217"/>
      <c r="AG217">
        <f t="shared" si="131"/>
        <v>0</v>
      </c>
      <c r="AH217">
        <f t="shared" si="132"/>
        <v>0</v>
      </c>
      <c r="AK217">
        <f t="shared" si="116"/>
        <v>0</v>
      </c>
      <c r="AL217">
        <f t="shared" si="117"/>
        <v>0</v>
      </c>
      <c r="AM217">
        <f t="shared" si="118"/>
        <v>0</v>
      </c>
      <c r="AN217">
        <f t="shared" si="119"/>
        <v>0</v>
      </c>
      <c r="AO217">
        <f t="shared" si="120"/>
        <v>0</v>
      </c>
      <c r="AP217">
        <f t="shared" si="121"/>
        <v>0</v>
      </c>
      <c r="AQ217">
        <f t="shared" si="122"/>
        <v>0</v>
      </c>
      <c r="AR217">
        <f t="shared" si="123"/>
        <v>0</v>
      </c>
      <c r="AS217">
        <f t="shared" si="124"/>
        <v>0</v>
      </c>
      <c r="AT217">
        <f t="shared" si="125"/>
        <v>0</v>
      </c>
      <c r="AU217">
        <f t="shared" si="126"/>
        <v>0</v>
      </c>
      <c r="AV217">
        <f t="shared" si="127"/>
        <v>0</v>
      </c>
      <c r="AW217">
        <f t="shared" si="128"/>
        <v>0</v>
      </c>
      <c r="AX217">
        <f t="shared" si="129"/>
        <v>0</v>
      </c>
      <c r="AY217">
        <f t="shared" si="130"/>
        <v>0</v>
      </c>
      <c r="AZ217">
        <f>COUNTIF(T214:T219,"NS")</f>
        <v>0</v>
      </c>
      <c r="BA217">
        <f>SUM(T214:T219)</f>
        <v>0</v>
      </c>
      <c r="BB217">
        <f>IF(COUNTA(T213:T219)=0,0,IF(OR(AND(T213=0,AZ217&gt;0),AND(T213="ns",BA217&gt;0),AND(T213="ns",AZ217=0,BA217=0)),1,IF(OR(AND(AZ217&gt;=2,T213&gt;BA217),AND(T213="ns",BA217=0,AZ217&gt;0),T213=BA217),0,1)))</f>
        <v>0</v>
      </c>
      <c r="BC217">
        <f>COUNTIF(T225:T229,"NS")</f>
        <v>0</v>
      </c>
      <c r="BD217">
        <f>SUM(T225:T229)</f>
        <v>0</v>
      </c>
      <c r="BE217">
        <f>IF(COUNTA(T224:T229)=0,0,IF(OR(AND(T224=0,BC217&gt;0),AND(T224="ns",BD217&gt;0),AND(T224="ns",BC217=0,BD217=0)),1,IF(OR(AND(BC217&gt;=2,T224&gt;BD217),AND(T224="ns",BD217=0,BC217&gt;0),T224=BD217),0,1)))</f>
        <v>0</v>
      </c>
      <c r="BF217">
        <f>COUNTIF(T234:T251,"NS")</f>
        <v>0</v>
      </c>
      <c r="BG217">
        <f>SUM(T234:T251)</f>
        <v>0</v>
      </c>
      <c r="BH217">
        <f>IF(COUNTA(T233:T251)=0,0,IF(OR(AND(T233=0,BF217&gt;0),AND(T233="ns",BG217&gt;0),AND(T233="ns",BF217=0,BG217=0)),1,IF(OR(AND(BF217&gt;=2,T233&gt;BG217),AND(T233="ns",BG217=0,BF217&gt;0),T233=BG217),0,1)))</f>
        <v>0</v>
      </c>
      <c r="BI217">
        <f>COUNTIF(T253:T257,"NS")</f>
        <v>0</v>
      </c>
      <c r="BJ217">
        <f>SUM(T253:T257)</f>
        <v>0</v>
      </c>
      <c r="BK217">
        <f>IF(COUNTA(T252:T257)=0,0,IF(OR(AND(T252=0,BI217&gt;0),AND(T252="ns",BJ217&gt;0),AND(T252="ns",BI217=0,BJ217=0)),1,IF(OR(AND(BI217&gt;=2,T252&gt;BJ217),AND(T252="ns",BJ217=0,BI217&gt;0),T252=BJ217),0,1)))</f>
        <v>0</v>
      </c>
      <c r="BL217">
        <f>COUNTIF(T261:T263,"NS")</f>
        <v>0</v>
      </c>
      <c r="BM217">
        <f>SUM(T261:T263)</f>
        <v>0</v>
      </c>
      <c r="BN217">
        <f>IF(COUNTA(T260:T263)=0,0,IF(OR(AND(T260=0,BL217&gt;0),AND(T260="ns",BM217&gt;0),AND(T260="ns",BL217=0,BM217=0)),1,IF(OR(AND(BL217&gt;=2,T260&gt;BM217),AND(T260="ns",BM217=0,BL217&gt;0),T260=BM217),0,1)))</f>
        <v>0</v>
      </c>
      <c r="BO217">
        <f>COUNTIF(T271:T277,"NS")</f>
        <v>0</v>
      </c>
      <c r="BP217">
        <f>SUM(T271:T277)</f>
        <v>0</v>
      </c>
      <c r="BQ217">
        <f>IF(COUNTA(T270:T277)=0,0,IF(OR(AND(T270=0,BO217&gt;0),AND(T270="ns",BP217&gt;0),AND(T270="ns",BO217=0,BP217=0)),1,IF(OR(AND(BO217&gt;=2,T270&gt;BP217),AND(T270="ns",BP217=0,BO217&gt;0),T270=BP217),0,1)))</f>
        <v>0</v>
      </c>
      <c r="BR217">
        <f>COUNTIF(T279:T283,"NS")</f>
        <v>0</v>
      </c>
      <c r="BS217">
        <f>SUM(T279:T283)</f>
        <v>0</v>
      </c>
      <c r="BT217">
        <f>IF(COUNTA(T278:T283)=0,0,IF(OR(AND(T278=0,BR217&gt;0),AND(T278="ns",BS217&gt;0),AND(T278="ns",BR217=0,BS217=0)),1,IF(OR(AND(BR217&gt;=2,T278&gt;BS217),AND(T278="ns",BS217=0,BR217&gt;0),T278=BS217),0,1)))</f>
        <v>0</v>
      </c>
      <c r="BU217">
        <f>COUNTIF(T289:T294,"NS")</f>
        <v>0</v>
      </c>
      <c r="BV217">
        <f>SUM(T289:T294)</f>
        <v>0</v>
      </c>
      <c r="BW217">
        <f>IF(COUNTA(T288:T294)=0,0,IF(OR(AND(T288=0,BU217&gt;0),AND(T288="ns",BV217&gt;0),AND(T288="ns",BU217=0,BV217=0)),1,IF(OR(AND(BU217&gt;=2,T288&gt;BV217),AND(T288="ns",BV217=0,BU217&gt;0),T288=BV217),0,1)))</f>
        <v>0</v>
      </c>
      <c r="BX217">
        <f>COUNTIF(T296:T303,"NS")</f>
        <v>0</v>
      </c>
      <c r="BY217">
        <f>SUM(T296:T303)</f>
        <v>0</v>
      </c>
      <c r="BZ217">
        <f>IF(COUNTA(T295:T303)=0,0,IF(OR(AND(T295=0,BX217&gt;0),AND(T295="ns",BY217&gt;0),AND(T295="ns",BX217=0,BY217=0)),1,IF(OR(AND(BX217&gt;=2,T295&gt;BY217),AND(T295="ns",BY217=0,BX217&gt;0),T295=BY217),0,1)))</f>
        <v>0</v>
      </c>
      <c r="CA217">
        <f>COUNTIF(T308:T313,"NS")</f>
        <v>0</v>
      </c>
      <c r="CB217">
        <f>SUM(T308:T313)</f>
        <v>0</v>
      </c>
      <c r="CC217">
        <f>IF(COUNTA(T307:T313)=0,0,IF(OR(AND(T307=0,CA217&gt;0),AND(T307="ns",CB217&gt;0),AND(T307="ns",CA217=0,CB217=0)),1,IF(OR(AND(CA217&gt;=2,T307&gt;CB217),AND(T307="ns",CB217=0,CA217&gt;0),T307=CB217),0,1)))</f>
        <v>0</v>
      </c>
      <c r="CD217">
        <f>COUNTIF(T318:T326,"NS")</f>
        <v>0</v>
      </c>
      <c r="CE217">
        <f>SUM(T318:T326)</f>
        <v>0</v>
      </c>
      <c r="CF217">
        <f>IF(COUNTA(T317:T326)=0,0,IF(OR(AND(T317=0,CD217&gt;0),AND(T317="ns",CE217&gt;0),AND(T317="ns",CD217=0,CE217=0)),1,IF(OR(AND(CD217&gt;=2,T317&gt;CE217),AND(T317="ns",CE217=0,CD217&gt;0),T317=CE217),0,1)))</f>
        <v>0</v>
      </c>
      <c r="CG217">
        <f>COUNTIF(T328:T330,"NS")</f>
        <v>0</v>
      </c>
      <c r="CH217">
        <f>SUM(T328:T330)</f>
        <v>0</v>
      </c>
      <c r="CI217">
        <f>IF(COUNTA(T327:T330)=0,0,IF(OR(AND(T327=0,CG217&gt;0),AND(T327="ns",CH217&gt;0),AND(T327="ns",CG217=0,CH217=0)),1,IF(OR(AND(CG217&gt;=2,T327&gt;CH217),AND(T327="ns",CH217=0,CG217&gt;0),T327=CH217),0,1)))</f>
        <v>0</v>
      </c>
      <c r="CJ217">
        <f>COUNTIF(T339:T345,"NS")</f>
        <v>0</v>
      </c>
      <c r="CK217">
        <f>SUM(T339:T345)</f>
        <v>0</v>
      </c>
      <c r="CL217">
        <f>IF(COUNTA(T338:T345)=0,0,IF(OR(AND(T338=0,CJ217&gt;0),AND(T338="ns",CK217&gt;0),AND(T338="ns",CJ217=0,CK217=0)),1,IF(OR(AND(CJ217&gt;=2,T338&gt;CK217),AND(T338="ns",CK217=0,CJ217&gt;0),T338=CK217),0,1)))</f>
        <v>0</v>
      </c>
      <c r="CM217">
        <f>COUNTIF(T348:T350,"NS")</f>
        <v>0</v>
      </c>
      <c r="CN217">
        <f>SUM(T348:T350)</f>
        <v>0</v>
      </c>
      <c r="CO217">
        <f>IF(COUNTA(T347:T350)=0,0,IF(OR(AND(T347=0,CM217&gt;0),AND(T347="ns",CN217&gt;0),AND(T347="ns",CM217=0,CN217=0)),1,IF(OR(AND(CM217&gt;=2,T347&gt;CN217),AND(T347="ns",CN217=0,CM217&gt;0),T347=CN217),0,1)))</f>
        <v>0</v>
      </c>
      <c r="CP217">
        <f>COUNTIF(T360:T364,"NS")</f>
        <v>0</v>
      </c>
      <c r="CQ217">
        <f>SUM(T360:T364)</f>
        <v>0</v>
      </c>
      <c r="CR217">
        <f>IF(COUNTA(T359:T364)=0,0,IF(OR(AND(T359=0,CP217&gt;0),AND(T359="ns",CQ217&gt;0),AND(T359="ns",CP217=0,CQ217=0)),1,IF(OR(AND(CP217&gt;=2,T359&gt;CQ217),AND(T359="ns",CQ217=0,CP217&gt;0),T359=CQ217),0,1)))</f>
        <v>0</v>
      </c>
      <c r="CS217"/>
      <c r="CT217"/>
      <c r="CU217"/>
      <c r="CV217"/>
      <c r="CW217"/>
      <c r="CX217"/>
      <c r="CY217"/>
      <c r="CZ217"/>
      <c r="DA217"/>
    </row>
    <row r="218" spans="1:105" ht="15" customHeight="1">
      <c r="A218" s="108"/>
      <c r="B218" s="38"/>
      <c r="C218" s="1109"/>
      <c r="D218" s="954"/>
      <c r="E218" s="956"/>
      <c r="F218" s="1110" t="s">
        <v>4821</v>
      </c>
      <c r="G218" s="1110"/>
      <c r="H218" s="178"/>
      <c r="I218" s="1111" t="s">
        <v>4822</v>
      </c>
      <c r="J218" s="1111"/>
      <c r="K218" s="1111"/>
      <c r="L218" s="1111"/>
      <c r="M218" s="1111"/>
      <c r="N218" s="1111"/>
      <c r="O218" s="1112"/>
      <c r="P218" s="100"/>
      <c r="Q218" s="100"/>
      <c r="R218" s="100"/>
      <c r="S218" s="100"/>
      <c r="T218" s="100"/>
      <c r="U218" s="100"/>
      <c r="V218" s="100"/>
      <c r="W218" s="100"/>
      <c r="X218" s="100"/>
      <c r="Y218" s="100"/>
      <c r="Z218" s="100"/>
      <c r="AA218" s="100"/>
      <c r="AB218" s="100"/>
      <c r="AC218" s="100"/>
      <c r="AD218" s="100"/>
      <c r="AF218"/>
      <c r="AG218">
        <f t="shared" si="131"/>
        <v>0</v>
      </c>
      <c r="AH218">
        <f t="shared" si="132"/>
        <v>0</v>
      </c>
      <c r="AK218">
        <f t="shared" si="116"/>
        <v>0</v>
      </c>
      <c r="AL218">
        <f t="shared" si="117"/>
        <v>0</v>
      </c>
      <c r="AM218">
        <f t="shared" si="118"/>
        <v>0</v>
      </c>
      <c r="AN218">
        <f t="shared" si="119"/>
        <v>0</v>
      </c>
      <c r="AO218">
        <f t="shared" si="120"/>
        <v>0</v>
      </c>
      <c r="AP218">
        <f t="shared" si="121"/>
        <v>0</v>
      </c>
      <c r="AQ218">
        <f t="shared" si="122"/>
        <v>0</v>
      </c>
      <c r="AR218">
        <f t="shared" si="123"/>
        <v>0</v>
      </c>
      <c r="AS218">
        <f t="shared" si="124"/>
        <v>0</v>
      </c>
      <c r="AT218">
        <f t="shared" si="125"/>
        <v>0</v>
      </c>
      <c r="AU218">
        <f t="shared" si="126"/>
        <v>0</v>
      </c>
      <c r="AV218">
        <f t="shared" si="127"/>
        <v>0</v>
      </c>
      <c r="AW218">
        <f t="shared" si="128"/>
        <v>0</v>
      </c>
      <c r="AX218">
        <f t="shared" si="129"/>
        <v>0</v>
      </c>
      <c r="AY218">
        <f t="shared" si="130"/>
        <v>0</v>
      </c>
      <c r="AZ218">
        <f>COUNTIF(U214:U219,"NS")</f>
        <v>0</v>
      </c>
      <c r="BA218">
        <f>SUM(U214:U219)</f>
        <v>0</v>
      </c>
      <c r="BB218">
        <f>IF(COUNTA(U213:U219)=0,0,IF(OR(AND(U213=0,AZ218&gt;0),AND(U213="ns",BA218&gt;0),AND(U213="ns",AZ218=0,BA218=0)),1,IF(OR(AND(AZ218&gt;=2,U213&gt;BA218),AND(U213="ns",BA218=0,AZ218&gt;0),U213=BA218),0,1)))</f>
        <v>0</v>
      </c>
      <c r="BC218">
        <f>COUNTIF(U225:U229,"NS")</f>
        <v>0</v>
      </c>
      <c r="BD218">
        <f>SUM(U225:U229)</f>
        <v>0</v>
      </c>
      <c r="BE218">
        <f>IF(COUNTA(U224:U229)=0,0,IF(OR(AND(U224=0,BC218&gt;0),AND(U224="ns",BD218&gt;0),AND(U224="ns",BC218=0,BD218=0)),1,IF(OR(AND(BC218&gt;=2,U224&gt;BD218),AND(U224="ns",BD218=0,BC218&gt;0),U224=BD218),0,1)))</f>
        <v>0</v>
      </c>
      <c r="BF218">
        <f>COUNTIF(U234:U251,"NS")</f>
        <v>0</v>
      </c>
      <c r="BG218">
        <f>SUM(U234:U251)</f>
        <v>0</v>
      </c>
      <c r="BH218">
        <f>IF(COUNTA(U233:U251)=0,0,IF(OR(AND(U233=0,BF218&gt;0),AND(U233="ns",BG218&gt;0),AND(U233="ns",BF218=0,BG218=0)),1,IF(OR(AND(BF218&gt;=2,U233&gt;BG218),AND(U233="ns",BG218=0,BF218&gt;0),U233=BG218),0,1)))</f>
        <v>0</v>
      </c>
      <c r="BI218">
        <f>COUNTIF(U253:U257,"NS")</f>
        <v>0</v>
      </c>
      <c r="BJ218">
        <f>SUM(U253:U257)</f>
        <v>0</v>
      </c>
      <c r="BK218">
        <f>IF(COUNTA(U252:U257)=0,0,IF(OR(AND(U252=0,BI218&gt;0),AND(U252="ns",BJ218&gt;0),AND(U252="ns",BI218=0,BJ218=0)),1,IF(OR(AND(BI218&gt;=2,U252&gt;BJ218),AND(U252="ns",BJ218=0,BI218&gt;0),U252=BJ218),0,1)))</f>
        <v>0</v>
      </c>
      <c r="BL218">
        <f>COUNTIF(U261:U263,"NS")</f>
        <v>0</v>
      </c>
      <c r="BM218">
        <f>SUM(U261:U263)</f>
        <v>0</v>
      </c>
      <c r="BN218">
        <f>IF(COUNTA(U260:U263)=0,0,IF(OR(AND(U260=0,BL218&gt;0),AND(U260="ns",BM218&gt;0),AND(U260="ns",BL218=0,BM218=0)),1,IF(OR(AND(BL218&gt;=2,U260&gt;BM218),AND(U260="ns",BM218=0,BL218&gt;0),U260=BM218),0,1)))</f>
        <v>0</v>
      </c>
      <c r="BO218">
        <f>COUNTIF(U271:U277,"NS")</f>
        <v>0</v>
      </c>
      <c r="BP218">
        <f>SUM(U271:U277)</f>
        <v>0</v>
      </c>
      <c r="BQ218">
        <f>IF(COUNTA(U270:U277)=0,0,IF(OR(AND(U270=0,BO218&gt;0),AND(U270="ns",BP218&gt;0),AND(U270="ns",BO218=0,BP218=0)),1,IF(OR(AND(BO218&gt;=2,U270&gt;BP218),AND(U270="ns",BP218=0,BO218&gt;0),U270=BP218),0,1)))</f>
        <v>0</v>
      </c>
      <c r="BR218">
        <f>COUNTIF(U279:U283,"NS")</f>
        <v>0</v>
      </c>
      <c r="BS218">
        <f>SUM(U279:U283)</f>
        <v>0</v>
      </c>
      <c r="BT218">
        <f>IF(COUNTA(U278:U283)=0,0,IF(OR(AND(U278=0,BR218&gt;0),AND(U278="ns",BS218&gt;0),AND(U278="ns",BR218=0,BS218=0)),1,IF(OR(AND(BR218&gt;=2,U278&gt;BS218),AND(U278="ns",BS218=0,BR218&gt;0),U278=BS218),0,1)))</f>
        <v>0</v>
      </c>
      <c r="BU218">
        <f>COUNTIF(U289:U294,"NS")</f>
        <v>0</v>
      </c>
      <c r="BV218">
        <f>SUM(U289:U294)</f>
        <v>0</v>
      </c>
      <c r="BW218">
        <f>IF(COUNTA(U288:U294)=0,0,IF(OR(AND(U288=0,BU218&gt;0),AND(U288="ns",BV218&gt;0),AND(U288="ns",BU218=0,BV218=0)),1,IF(OR(AND(BU218&gt;=2,U288&gt;BV218),AND(U288="ns",BV218=0,BU218&gt;0),U288=BV218),0,1)))</f>
        <v>0</v>
      </c>
      <c r="BX218">
        <f>COUNTIF(U296:U303,"NS")</f>
        <v>0</v>
      </c>
      <c r="BY218">
        <f>SUM(U296:U303)</f>
        <v>0</v>
      </c>
      <c r="BZ218">
        <f>IF(COUNTA(U295:U303)=0,0,IF(OR(AND(U295=0,BX218&gt;0),AND(U295="ns",BY218&gt;0),AND(U295="ns",BX218=0,BY218=0)),1,IF(OR(AND(BX218&gt;=2,U295&gt;BY218),AND(U295="ns",BY218=0,BX218&gt;0),U295=BY218),0,1)))</f>
        <v>0</v>
      </c>
      <c r="CA218">
        <f>COUNTIF(U308:U313,"NS")</f>
        <v>0</v>
      </c>
      <c r="CB218">
        <f>SUM(U308:U313)</f>
        <v>0</v>
      </c>
      <c r="CC218">
        <f>IF(COUNTA(U307:U313)=0,0,IF(OR(AND(U307=0,CA218&gt;0),AND(U307="ns",CB218&gt;0),AND(U307="ns",CA218=0,CB218=0)),1,IF(OR(AND(CA218&gt;=2,U307&gt;CB218),AND(U307="ns",CB218=0,CA218&gt;0),U307=CB218),0,1)))</f>
        <v>0</v>
      </c>
      <c r="CD218">
        <f>COUNTIF(U318:U326,"NS")</f>
        <v>0</v>
      </c>
      <c r="CE218">
        <f>SUM(U318:U326)</f>
        <v>0</v>
      </c>
      <c r="CF218">
        <f>IF(COUNTA(U317:U326)=0,0,IF(OR(AND(U317=0,CD218&gt;0),AND(U317="ns",CE218&gt;0),AND(U317="ns",CD218=0,CE218=0)),1,IF(OR(AND(CD218&gt;=2,U317&gt;CE218),AND(U317="ns",CE218=0,CD218&gt;0),U317=CE218),0,1)))</f>
        <v>0</v>
      </c>
      <c r="CG218">
        <f>COUNTIF(U328:U330,"NS")</f>
        <v>0</v>
      </c>
      <c r="CH218">
        <f>SUM(U328:U330)</f>
        <v>0</v>
      </c>
      <c r="CI218">
        <f>IF(COUNTA(U327:U330)=0,0,IF(OR(AND(U327=0,CG218&gt;0),AND(U327="ns",CH218&gt;0),AND(U327="ns",CG218=0,CH218=0)),1,IF(OR(AND(CG218&gt;=2,U327&gt;CH218),AND(U327="ns",CH218=0,CG218&gt;0),U327=CH218),0,1)))</f>
        <v>0</v>
      </c>
      <c r="CJ218">
        <f>COUNTIF(U339:U345,"NS")</f>
        <v>0</v>
      </c>
      <c r="CK218">
        <f>SUM(U339:U345)</f>
        <v>0</v>
      </c>
      <c r="CL218">
        <f>IF(COUNTA(U338:U345)=0,0,IF(OR(AND(U338=0,CJ218&gt;0),AND(U338="ns",CK218&gt;0),AND(U338="ns",CJ218=0,CK218=0)),1,IF(OR(AND(CJ218&gt;=2,U338&gt;CK218),AND(U338="ns",CK218=0,CJ218&gt;0),U338=CK218),0,1)))</f>
        <v>0</v>
      </c>
      <c r="CM218">
        <f>COUNTIF(U348:U350,"NS")</f>
        <v>0</v>
      </c>
      <c r="CN218">
        <f>SUM(U348:U350)</f>
        <v>0</v>
      </c>
      <c r="CO218">
        <f>IF(COUNTA(U347:U350)=0,0,IF(OR(AND(U347=0,CM218&gt;0),AND(U347="ns",CN218&gt;0),AND(U347="ns",CM218=0,CN218=0)),1,IF(OR(AND(CM218&gt;=2,U347&gt;CN218),AND(U347="ns",CN218=0,CM218&gt;0),U347=CN218),0,1)))</f>
        <v>0</v>
      </c>
      <c r="CP218">
        <f>COUNTIF(U360:U364,"NS")</f>
        <v>0</v>
      </c>
      <c r="CQ218">
        <f>SUM(U360:U364)</f>
        <v>0</v>
      </c>
      <c r="CR218">
        <f>IF(COUNTA(U359:U364)=0,0,IF(OR(AND(U359=0,CP218&gt;0),AND(U359="ns",CQ218&gt;0),AND(U359="ns",CP218=0,CQ218=0)),1,IF(OR(AND(CP218&gt;=2,U359&gt;CQ218),AND(U359="ns",CQ218=0,CP218&gt;0),U359=CQ218),0,1)))</f>
        <v>0</v>
      </c>
      <c r="CS218"/>
      <c r="CT218"/>
      <c r="CU218"/>
      <c r="CV218"/>
      <c r="CW218"/>
      <c r="CX218"/>
      <c r="CY218"/>
      <c r="CZ218"/>
      <c r="DA218"/>
    </row>
    <row r="219" spans="1:105" ht="15" customHeight="1">
      <c r="A219" s="108"/>
      <c r="B219" s="38"/>
      <c r="C219" s="1109"/>
      <c r="D219" s="954"/>
      <c r="E219" s="956"/>
      <c r="F219" s="1110" t="s">
        <v>4823</v>
      </c>
      <c r="G219" s="1110"/>
      <c r="H219" s="179"/>
      <c r="I219" s="1111" t="s">
        <v>2631</v>
      </c>
      <c r="J219" s="1111"/>
      <c r="K219" s="1111"/>
      <c r="L219" s="1111"/>
      <c r="M219" s="1111"/>
      <c r="N219" s="1111"/>
      <c r="O219" s="1112"/>
      <c r="P219" s="100"/>
      <c r="Q219" s="100"/>
      <c r="R219" s="100"/>
      <c r="S219" s="100"/>
      <c r="T219" s="100"/>
      <c r="U219" s="100"/>
      <c r="V219" s="100"/>
      <c r="W219" s="100"/>
      <c r="X219" s="100"/>
      <c r="Y219" s="100"/>
      <c r="Z219" s="100"/>
      <c r="AA219" s="100"/>
      <c r="AB219" s="100"/>
      <c r="AC219" s="100"/>
      <c r="AD219" s="100"/>
      <c r="AF219"/>
      <c r="AG219">
        <f t="shared" si="131"/>
        <v>0</v>
      </c>
      <c r="AH219">
        <f t="shared" si="132"/>
        <v>0</v>
      </c>
      <c r="AK219">
        <f t="shared" si="116"/>
        <v>0</v>
      </c>
      <c r="AL219">
        <f t="shared" si="117"/>
        <v>0</v>
      </c>
      <c r="AM219">
        <f t="shared" si="118"/>
        <v>0</v>
      </c>
      <c r="AN219">
        <f t="shared" si="119"/>
        <v>0</v>
      </c>
      <c r="AO219">
        <f t="shared" si="120"/>
        <v>0</v>
      </c>
      <c r="AP219">
        <f t="shared" si="121"/>
        <v>0</v>
      </c>
      <c r="AQ219">
        <f t="shared" si="122"/>
        <v>0</v>
      </c>
      <c r="AR219">
        <f t="shared" si="123"/>
        <v>0</v>
      </c>
      <c r="AS219">
        <f t="shared" si="124"/>
        <v>0</v>
      </c>
      <c r="AT219">
        <f t="shared" si="125"/>
        <v>0</v>
      </c>
      <c r="AU219">
        <f t="shared" si="126"/>
        <v>0</v>
      </c>
      <c r="AV219">
        <f t="shared" si="127"/>
        <v>0</v>
      </c>
      <c r="AW219">
        <f t="shared" si="128"/>
        <v>0</v>
      </c>
      <c r="AX219">
        <f t="shared" si="129"/>
        <v>0</v>
      </c>
      <c r="AY219">
        <f t="shared" si="130"/>
        <v>0</v>
      </c>
      <c r="AZ219">
        <f>COUNTIF(V214:V219,"NS")</f>
        <v>0</v>
      </c>
      <c r="BA219">
        <f>SUM(V214:V219)</f>
        <v>0</v>
      </c>
      <c r="BB219">
        <f>IF(COUNTA(V213:V219)=0,0,IF(OR(AND(V213=0,AZ219&gt;0),AND(V213="ns",BA219&gt;0),AND(V213="ns",AZ219=0,BA219=0)),1,IF(OR(AND(AZ219&gt;=2,V213&gt;BA219),AND(V213="ns",BA219=0,AZ219&gt;0),V213=BA219),0,1)))</f>
        <v>0</v>
      </c>
      <c r="BC219">
        <f>COUNTIF(V225:V229,"NS")</f>
        <v>0</v>
      </c>
      <c r="BD219">
        <f>SUM(V225:V229)</f>
        <v>0</v>
      </c>
      <c r="BE219">
        <f>IF(COUNTA(V224:V229)=0,0,IF(OR(AND(V224=0,BC219&gt;0),AND(V224="ns",BD219&gt;0),AND(V224="ns",BC219=0,BD219=0)),1,IF(OR(AND(BC219&gt;=2,V224&gt;BD219),AND(V224="ns",BD219=0,BC219&gt;0),V224=BD219),0,1)))</f>
        <v>0</v>
      </c>
      <c r="BF219">
        <f>COUNTIF(V234:V251,"NS")</f>
        <v>0</v>
      </c>
      <c r="BG219">
        <f>SUM(V234:V251)</f>
        <v>0</v>
      </c>
      <c r="BH219">
        <f>IF(COUNTA(V233:V251)=0,0,IF(OR(AND(V233=0,BF219&gt;0),AND(V233="ns",BG219&gt;0),AND(V233="ns",BF219=0,BG219=0)),1,IF(OR(AND(BF219&gt;=2,V233&gt;BG219),AND(V233="ns",BG219=0,BF219&gt;0),V233=BG219),0,1)))</f>
        <v>0</v>
      </c>
      <c r="BI219">
        <f>COUNTIF(V253:V257,"NS")</f>
        <v>0</v>
      </c>
      <c r="BJ219">
        <f>SUM(V253:V257)</f>
        <v>0</v>
      </c>
      <c r="BK219">
        <f>IF(COUNTA(V252:V257)=0,0,IF(OR(AND(V252=0,BI219&gt;0),AND(V252="ns",BJ219&gt;0),AND(V252="ns",BI219=0,BJ219=0)),1,IF(OR(AND(BI219&gt;=2,V252&gt;BJ219),AND(V252="ns",BJ219=0,BI219&gt;0),V252=BJ219),0,1)))</f>
        <v>0</v>
      </c>
      <c r="BL219">
        <f>COUNTIF(V261:V263,"NS")</f>
        <v>0</v>
      </c>
      <c r="BM219">
        <f>SUM(V261:V263)</f>
        <v>0</v>
      </c>
      <c r="BN219">
        <f>IF(COUNTA(V260:V263)=0,0,IF(OR(AND(V260=0,BL219&gt;0),AND(V260="ns",BM219&gt;0),AND(V260="ns",BL219=0,BM219=0)),1,IF(OR(AND(BL219&gt;=2,V260&gt;BM219),AND(V260="ns",BM219=0,BL219&gt;0),V260=BM219),0,1)))</f>
        <v>0</v>
      </c>
      <c r="BO219">
        <f>COUNTIF(V271:V277,"NS")</f>
        <v>0</v>
      </c>
      <c r="BP219">
        <f>SUM(V271:V277)</f>
        <v>0</v>
      </c>
      <c r="BQ219">
        <f>IF(COUNTA(V270:V277)=0,0,IF(OR(AND(V270=0,BO219&gt;0),AND(V270="ns",BP219&gt;0),AND(V270="ns",BO219=0,BP219=0)),1,IF(OR(AND(BO219&gt;=2,V270&gt;BP219),AND(V270="ns",BP219=0,BO219&gt;0),V270=BP219),0,1)))</f>
        <v>0</v>
      </c>
      <c r="BR219">
        <f>COUNTIF(V279:V283,"NS")</f>
        <v>0</v>
      </c>
      <c r="BS219">
        <f>SUM(V279:V283)</f>
        <v>0</v>
      </c>
      <c r="BT219">
        <f>IF(COUNTA(V278:V283)=0,0,IF(OR(AND(V278=0,BR219&gt;0),AND(V278="ns",BS219&gt;0),AND(V278="ns",BR219=0,BS219=0)),1,IF(OR(AND(BR219&gt;=2,V278&gt;BS219),AND(V278="ns",BS219=0,BR219&gt;0),V278=BS219),0,1)))</f>
        <v>0</v>
      </c>
      <c r="BU219">
        <f>COUNTIF(V289:V294,"NS")</f>
        <v>0</v>
      </c>
      <c r="BV219">
        <f>SUM(V289:V294)</f>
        <v>0</v>
      </c>
      <c r="BW219">
        <f>IF(COUNTA(V288:V294)=0,0,IF(OR(AND(V288=0,BU219&gt;0),AND(V288="ns",BV219&gt;0),AND(V288="ns",BU219=0,BV219=0)),1,IF(OR(AND(BU219&gt;=2,V288&gt;BV219),AND(V288="ns",BV219=0,BU219&gt;0),V288=BV219),0,1)))</f>
        <v>0</v>
      </c>
      <c r="BX219">
        <f>COUNTIF(V296:V303,"NS")</f>
        <v>0</v>
      </c>
      <c r="BY219">
        <f>SUM(V296:V303)</f>
        <v>0</v>
      </c>
      <c r="BZ219">
        <f>IF(COUNTA(V295:V303)=0,0,IF(OR(AND(V295=0,BX219&gt;0),AND(V295="ns",BY219&gt;0),AND(V295="ns",BX219=0,BY219=0)),1,IF(OR(AND(BX219&gt;=2,V295&gt;BY219),AND(V295="ns",BY219=0,BX219&gt;0),V295=BY219),0,1)))</f>
        <v>0</v>
      </c>
      <c r="CA219">
        <f>COUNTIF(V308:V313,"NS")</f>
        <v>0</v>
      </c>
      <c r="CB219">
        <f>SUM(V308:V313)</f>
        <v>0</v>
      </c>
      <c r="CC219">
        <f>IF(COUNTA(V307:V313)=0,0,IF(OR(AND(V307=0,CA219&gt;0),AND(V307="ns",CB219&gt;0),AND(V307="ns",CA219=0,CB219=0)),1,IF(OR(AND(CA219&gt;=2,V307&gt;CB219),AND(V307="ns",CB219=0,CA219&gt;0),V307=CB219),0,1)))</f>
        <v>0</v>
      </c>
      <c r="CD219">
        <f>COUNTIF(V318:V326,"NS")</f>
        <v>0</v>
      </c>
      <c r="CE219">
        <f>SUM(V318:V326)</f>
        <v>0</v>
      </c>
      <c r="CF219">
        <f>IF(COUNTA(V317:V326)=0,0,IF(OR(AND(V317=0,CD219&gt;0),AND(V317="ns",CE219&gt;0),AND(V317="ns",CD219=0,CE219=0)),1,IF(OR(AND(CD219&gt;=2,V317&gt;CE219),AND(V317="ns",CE219=0,CD219&gt;0),V317=CE219),0,1)))</f>
        <v>0</v>
      </c>
      <c r="CG219">
        <f>COUNTIF(V328:V330,"NS")</f>
        <v>0</v>
      </c>
      <c r="CH219">
        <f>SUM(V328:V330)</f>
        <v>0</v>
      </c>
      <c r="CI219">
        <f>IF(COUNTA(V327:V330)=0,0,IF(OR(AND(V327=0,CG219&gt;0),AND(V327="ns",CH219&gt;0),AND(V327="ns",CG219=0,CH219=0)),1,IF(OR(AND(CG219&gt;=2,V327&gt;CH219),AND(V327="ns",CH219=0,CG219&gt;0),V327=CH219),0,1)))</f>
        <v>0</v>
      </c>
      <c r="CJ219">
        <f>COUNTIF(V339:V345,"NS")</f>
        <v>0</v>
      </c>
      <c r="CK219">
        <f>SUM(V339:V345)</f>
        <v>0</v>
      </c>
      <c r="CL219">
        <f>IF(COUNTA(V338:V345)=0,0,IF(OR(AND(V338=0,CJ219&gt;0),AND(V338="ns",CK219&gt;0),AND(V338="ns",CJ219=0,CK219=0)),1,IF(OR(AND(CJ219&gt;=2,V338&gt;CK219),AND(V338="ns",CK219=0,CJ219&gt;0),V338=CK219),0,1)))</f>
        <v>0</v>
      </c>
      <c r="CM219">
        <f>COUNTIF(V348:V350,"NS")</f>
        <v>0</v>
      </c>
      <c r="CN219">
        <f>SUM(V348:V350)</f>
        <v>0</v>
      </c>
      <c r="CO219">
        <f>IF(COUNTA(V347:V350)=0,0,IF(OR(AND(V347=0,CM219&gt;0),AND(V347="ns",CN219&gt;0),AND(V347="ns",CM219=0,CN219=0)),1,IF(OR(AND(CM219&gt;=2,V347&gt;CN219),AND(V347="ns",CN219=0,CM219&gt;0),V347=CN219),0,1)))</f>
        <v>0</v>
      </c>
      <c r="CP219">
        <f>COUNTIF(V360:V364,"NS")</f>
        <v>0</v>
      </c>
      <c r="CQ219">
        <f>SUM(V360:V364)</f>
        <v>0</v>
      </c>
      <c r="CR219">
        <f>IF(COUNTA(V359:V364)=0,0,IF(OR(AND(V359=0,CP219&gt;0),AND(V359="ns",CQ219&gt;0),AND(V359="ns",CP219=0,CQ219=0)),1,IF(OR(AND(CP219&gt;=2,V359&gt;CQ219),AND(V359="ns",CQ219=0,CP219&gt;0),V359=CQ219),0,1)))</f>
        <v>0</v>
      </c>
      <c r="CS219"/>
      <c r="CT219"/>
      <c r="CU219"/>
      <c r="CV219"/>
      <c r="CW219"/>
      <c r="CX219"/>
      <c r="CY219"/>
      <c r="CZ219"/>
      <c r="DA219"/>
    </row>
    <row r="220" spans="1:105" ht="24" customHeight="1">
      <c r="A220" s="108"/>
      <c r="B220" s="38"/>
      <c r="C220" s="1109"/>
      <c r="D220" s="954"/>
      <c r="E220" s="956"/>
      <c r="F220" s="1103" t="s">
        <v>4824</v>
      </c>
      <c r="G220" s="1103"/>
      <c r="H220" s="1104" t="s">
        <v>4825</v>
      </c>
      <c r="I220" s="1105"/>
      <c r="J220" s="1105"/>
      <c r="K220" s="1105"/>
      <c r="L220" s="1105"/>
      <c r="M220" s="1105"/>
      <c r="N220" s="1105"/>
      <c r="O220" s="1106"/>
      <c r="P220" s="100"/>
      <c r="Q220" s="100"/>
      <c r="R220" s="100"/>
      <c r="S220" s="100"/>
      <c r="T220" s="100"/>
      <c r="U220" s="100"/>
      <c r="V220" s="100"/>
      <c r="W220" s="100"/>
      <c r="X220" s="100"/>
      <c r="Y220" s="100"/>
      <c r="Z220" s="100"/>
      <c r="AA220" s="100"/>
      <c r="AB220" s="100"/>
      <c r="AC220" s="100"/>
      <c r="AD220" s="100"/>
      <c r="AF220"/>
      <c r="AG220">
        <f t="shared" si="131"/>
        <v>0</v>
      </c>
      <c r="AH220">
        <f t="shared" si="132"/>
        <v>0</v>
      </c>
      <c r="AJ220">
        <f>IF(OR(P220="NS",P220="NA",$P$175=0,$P$175="NS",$P$175="NA"),0,IF((P220*(IFERROR(100/SUM(P208:P220),0)))&gt;25,1,0))</f>
        <v>0</v>
      </c>
      <c r="AK220">
        <f t="shared" si="116"/>
        <v>0</v>
      </c>
      <c r="AL220">
        <f t="shared" si="117"/>
        <v>0</v>
      </c>
      <c r="AM220">
        <f t="shared" si="118"/>
        <v>0</v>
      </c>
      <c r="AN220">
        <f t="shared" si="119"/>
        <v>0</v>
      </c>
      <c r="AO220">
        <f t="shared" si="120"/>
        <v>0</v>
      </c>
      <c r="AP220">
        <f t="shared" si="121"/>
        <v>0</v>
      </c>
      <c r="AQ220">
        <f t="shared" si="122"/>
        <v>0</v>
      </c>
      <c r="AR220">
        <f t="shared" si="123"/>
        <v>0</v>
      </c>
      <c r="AS220">
        <f t="shared" si="124"/>
        <v>0</v>
      </c>
      <c r="AT220">
        <f t="shared" si="125"/>
        <v>0</v>
      </c>
      <c r="AU220">
        <f t="shared" si="126"/>
        <v>0</v>
      </c>
      <c r="AV220">
        <f t="shared" si="127"/>
        <v>0</v>
      </c>
      <c r="AW220">
        <f t="shared" si="128"/>
        <v>0</v>
      </c>
      <c r="AX220">
        <f t="shared" si="129"/>
        <v>0</v>
      </c>
      <c r="AY220">
        <f t="shared" si="130"/>
        <v>0</v>
      </c>
      <c r="AZ220">
        <f>COUNTIF(W214:W219,"NS")</f>
        <v>0</v>
      </c>
      <c r="BA220">
        <f>SUM(W214:W219)</f>
        <v>0</v>
      </c>
      <c r="BB220">
        <f>IF(COUNTA(W213:W219)=0,0,IF(OR(AND(W213=0,AZ220&gt;0),AND(W213="ns",BA220&gt;0),AND(W213="ns",AZ220=0,BA220=0)),1,IF(OR(AND(AZ220&gt;=2,W213&gt;BA220),AND(W213="ns",BA220=0,AZ220&gt;0),W213=BA220),0,1)))</f>
        <v>0</v>
      </c>
      <c r="BC220">
        <f>COUNTIF(W225:W229,"NS")</f>
        <v>0</v>
      </c>
      <c r="BD220">
        <f>SUM(W225:W229)</f>
        <v>0</v>
      </c>
      <c r="BE220">
        <f>IF(COUNTA(W224:W229)=0,0,IF(OR(AND(W224=0,BC220&gt;0),AND(W224="ns",BD220&gt;0),AND(W224="ns",BC220=0,BD220=0)),1,IF(OR(AND(BC220&gt;=2,W224&gt;BD220),AND(W224="ns",BD220=0,BC220&gt;0),W224=BD220),0,1)))</f>
        <v>0</v>
      </c>
      <c r="BF220">
        <f>COUNTIF(W234:W251,"NS")</f>
        <v>0</v>
      </c>
      <c r="BG220">
        <f>SUM(W234:W251)</f>
        <v>0</v>
      </c>
      <c r="BH220">
        <f>IF(COUNTA(W233:W251)=0,0,IF(OR(AND(W233=0,BF220&gt;0),AND(W233="ns",BG220&gt;0),AND(W233="ns",BF220=0,BG220=0)),1,IF(OR(AND(BF220&gt;=2,W233&gt;BG220),AND(W233="ns",BG220=0,BF220&gt;0),W233=BG220),0,1)))</f>
        <v>0</v>
      </c>
      <c r="BI220">
        <f>COUNTIF(W253:W257,"NS")</f>
        <v>0</v>
      </c>
      <c r="BJ220">
        <f>SUM(W253:W257)</f>
        <v>0</v>
      </c>
      <c r="BK220">
        <f>IF(COUNTA(W252:W257)=0,0,IF(OR(AND(W252=0,BI220&gt;0),AND(W252="ns",BJ220&gt;0),AND(W252="ns",BI220=0,BJ220=0)),1,IF(OR(AND(BI220&gt;=2,W252&gt;BJ220),AND(W252="ns",BJ220=0,BI220&gt;0),W252=BJ220),0,1)))</f>
        <v>0</v>
      </c>
      <c r="BL220">
        <f>COUNTIF(W261:W263,"NS")</f>
        <v>0</v>
      </c>
      <c r="BM220">
        <f>SUM(W261:W263)</f>
        <v>0</v>
      </c>
      <c r="BN220">
        <f>IF(COUNTA(W260:W263)=0,0,IF(OR(AND(W260=0,BL220&gt;0),AND(W260="ns",BM220&gt;0),AND(W260="ns",BL220=0,BM220=0)),1,IF(OR(AND(BL220&gt;=2,W260&gt;BM220),AND(W260="ns",BM220=0,BL220&gt;0),W260=BM220),0,1)))</f>
        <v>0</v>
      </c>
      <c r="BO220">
        <f>COUNTIF(W271:W277,"NS")</f>
        <v>0</v>
      </c>
      <c r="BP220">
        <f>SUM(W271:W277)</f>
        <v>0</v>
      </c>
      <c r="BQ220">
        <f>IF(COUNTA(W270:W277)=0,0,IF(OR(AND(W270=0,BO220&gt;0),AND(W270="ns",BP220&gt;0),AND(W270="ns",BO220=0,BP220=0)),1,IF(OR(AND(BO220&gt;=2,W270&gt;BP220),AND(W270="ns",BP220=0,BO220&gt;0),W270=BP220),0,1)))</f>
        <v>0</v>
      </c>
      <c r="BR220">
        <f>COUNTIF(W279:W283,"NS")</f>
        <v>0</v>
      </c>
      <c r="BS220">
        <f>SUM(W279:W283)</f>
        <v>0</v>
      </c>
      <c r="BT220">
        <f>IF(COUNTA(W278:W283)=0,0,IF(OR(AND(W278=0,BR220&gt;0),AND(W278="ns",BS220&gt;0),AND(W278="ns",BR220=0,BS220=0)),1,IF(OR(AND(BR220&gt;=2,W278&gt;BS220),AND(W278="ns",BS220=0,BR220&gt;0),W278=BS220),0,1)))</f>
        <v>0</v>
      </c>
      <c r="BU220">
        <f>COUNTIF(W289:W294,"NS")</f>
        <v>0</v>
      </c>
      <c r="BV220">
        <f>SUM(W289:W294)</f>
        <v>0</v>
      </c>
      <c r="BW220">
        <f>IF(COUNTA(W288:W294)=0,0,IF(OR(AND(W288=0,BU220&gt;0),AND(W288="ns",BV220&gt;0),AND(W288="ns",BU220=0,BV220=0)),1,IF(OR(AND(BU220&gt;=2,W288&gt;BV220),AND(W288="ns",BV220=0,BU220&gt;0),W288=BV220),0,1)))</f>
        <v>0</v>
      </c>
      <c r="BX220">
        <f>COUNTIF(W296:W303,"NS")</f>
        <v>0</v>
      </c>
      <c r="BY220">
        <f>SUM(W296:W303)</f>
        <v>0</v>
      </c>
      <c r="BZ220">
        <f>IF(COUNTA(W295:W303)=0,0,IF(OR(AND(W295=0,BX220&gt;0),AND(W295="ns",BY220&gt;0),AND(W295="ns",BX220=0,BY220=0)),1,IF(OR(AND(BX220&gt;=2,W295&gt;BY220),AND(W295="ns",BY220=0,BX220&gt;0),W295=BY220),0,1)))</f>
        <v>0</v>
      </c>
      <c r="CA220">
        <f>COUNTIF(W308:W313,"NS")</f>
        <v>0</v>
      </c>
      <c r="CB220">
        <f>SUM(W308:W313)</f>
        <v>0</v>
      </c>
      <c r="CC220">
        <f>IF(COUNTA(W307:W313)=0,0,IF(OR(AND(W307=0,CA220&gt;0),AND(W307="ns",CB220&gt;0),AND(W307="ns",CA220=0,CB220=0)),1,IF(OR(AND(CA220&gt;=2,W307&gt;CB220),AND(W307="ns",CB220=0,CA220&gt;0),W307=CB220),0,1)))</f>
        <v>0</v>
      </c>
      <c r="CD220">
        <f>COUNTIF(W318:W326,"NS")</f>
        <v>0</v>
      </c>
      <c r="CE220">
        <f>SUM(W318:W326)</f>
        <v>0</v>
      </c>
      <c r="CF220">
        <f>IF(COUNTA(W317:W326)=0,0,IF(OR(AND(W317=0,CD220&gt;0),AND(W317="ns",CE220&gt;0),AND(W317="ns",CD220=0,CE220=0)),1,IF(OR(AND(CD220&gt;=2,W317&gt;CE220),AND(W317="ns",CE220=0,CD220&gt;0),W317=CE220),0,1)))</f>
        <v>0</v>
      </c>
      <c r="CG220">
        <f>COUNTIF(W328:W330,"NS")</f>
        <v>0</v>
      </c>
      <c r="CH220">
        <f>SUM(W328:W330)</f>
        <v>0</v>
      </c>
      <c r="CI220">
        <f>IF(COUNTA(W327:W330)=0,0,IF(OR(AND(W327=0,CG220&gt;0),AND(W327="ns",CH220&gt;0),AND(W327="ns",CG220=0,CH220=0)),1,IF(OR(AND(CG220&gt;=2,W327&gt;CH220),AND(W327="ns",CH220=0,CG220&gt;0),W327=CH220),0,1)))</f>
        <v>0</v>
      </c>
      <c r="CJ220">
        <f>COUNTIF(W339:W345,"NS")</f>
        <v>0</v>
      </c>
      <c r="CK220">
        <f>SUM(W339:W345)</f>
        <v>0</v>
      </c>
      <c r="CL220">
        <f>IF(COUNTA(W338:W345)=0,0,IF(OR(AND(W338=0,CJ220&gt;0),AND(W338="ns",CK220&gt;0),AND(W338="ns",CJ220=0,CK220=0)),1,IF(OR(AND(CJ220&gt;=2,W338&gt;CK220),AND(W338="ns",CK220=0,CJ220&gt;0),W338=CK220),0,1)))</f>
        <v>0</v>
      </c>
      <c r="CM220">
        <f>COUNTIF(W348:W350,"NS")</f>
        <v>0</v>
      </c>
      <c r="CN220">
        <f>SUM(W348:W350)</f>
        <v>0</v>
      </c>
      <c r="CO220">
        <f>IF(COUNTA(W347:W350)=0,0,IF(OR(AND(W347=0,CM220&gt;0),AND(W347="ns",CN220&gt;0),AND(W347="ns",CM220=0,CN220=0)),1,IF(OR(AND(CM220&gt;=2,W347&gt;CN220),AND(W347="ns",CN220=0,CM220&gt;0),W347=CN220),0,1)))</f>
        <v>0</v>
      </c>
      <c r="CP220">
        <f>COUNTIF(W360:W364,"NS")</f>
        <v>0</v>
      </c>
      <c r="CQ220">
        <f>SUM(W360:W364)</f>
        <v>0</v>
      </c>
      <c r="CR220">
        <f>IF(COUNTA(W359:W364)=0,0,IF(OR(AND(W359=0,CP220&gt;0),AND(W359="ns",CQ220&gt;0),AND(W359="ns",CP220=0,CQ220=0)),1,IF(OR(AND(CP220&gt;=2,W359&gt;CQ220),AND(W359="ns",CQ220=0,CP220&gt;0),W359=CQ220),0,1)))</f>
        <v>0</v>
      </c>
      <c r="CS220"/>
      <c r="CT220"/>
      <c r="CU220"/>
      <c r="CV220"/>
      <c r="CW220"/>
      <c r="CX220"/>
      <c r="CY220"/>
      <c r="CZ220"/>
      <c r="DA220"/>
    </row>
    <row r="221" spans="1:105" ht="15" customHeight="1">
      <c r="A221" s="108"/>
      <c r="B221" s="38"/>
      <c r="C221" s="1108" t="s">
        <v>4826</v>
      </c>
      <c r="D221" s="847" t="s">
        <v>4827</v>
      </c>
      <c r="E221" s="848"/>
      <c r="F221" s="1103" t="s">
        <v>4828</v>
      </c>
      <c r="G221" s="1103"/>
      <c r="H221" s="1104" t="s">
        <v>4829</v>
      </c>
      <c r="I221" s="1105"/>
      <c r="J221" s="1105"/>
      <c r="K221" s="1105"/>
      <c r="L221" s="1105"/>
      <c r="M221" s="1105"/>
      <c r="N221" s="1105"/>
      <c r="O221" s="1106"/>
      <c r="P221" s="100"/>
      <c r="Q221" s="100"/>
      <c r="R221" s="100"/>
      <c r="S221" s="100"/>
      <c r="T221" s="100"/>
      <c r="U221" s="100"/>
      <c r="V221" s="100"/>
      <c r="W221" s="100"/>
      <c r="X221" s="100"/>
      <c r="Y221" s="100"/>
      <c r="Z221" s="100"/>
      <c r="AA221" s="100"/>
      <c r="AB221" s="100"/>
      <c r="AC221" s="100"/>
      <c r="AD221" s="100"/>
      <c r="AF221"/>
      <c r="AG221">
        <f t="shared" si="131"/>
        <v>0</v>
      </c>
      <c r="AH221">
        <f t="shared" si="132"/>
        <v>0</v>
      </c>
      <c r="AK221">
        <f t="shared" si="116"/>
        <v>0</v>
      </c>
      <c r="AL221">
        <f t="shared" si="117"/>
        <v>0</v>
      </c>
      <c r="AM221">
        <f t="shared" si="118"/>
        <v>0</v>
      </c>
      <c r="AN221">
        <f t="shared" si="119"/>
        <v>0</v>
      </c>
      <c r="AO221">
        <f t="shared" si="120"/>
        <v>0</v>
      </c>
      <c r="AP221">
        <f t="shared" si="121"/>
        <v>0</v>
      </c>
      <c r="AQ221">
        <f t="shared" si="122"/>
        <v>0</v>
      </c>
      <c r="AR221">
        <f t="shared" si="123"/>
        <v>0</v>
      </c>
      <c r="AS221">
        <f t="shared" si="124"/>
        <v>0</v>
      </c>
      <c r="AT221">
        <f t="shared" si="125"/>
        <v>0</v>
      </c>
      <c r="AU221">
        <f t="shared" si="126"/>
        <v>0</v>
      </c>
      <c r="AV221">
        <f t="shared" si="127"/>
        <v>0</v>
      </c>
      <c r="AW221">
        <f t="shared" si="128"/>
        <v>0</v>
      </c>
      <c r="AX221">
        <f t="shared" si="129"/>
        <v>0</v>
      </c>
      <c r="AY221">
        <f t="shared" si="130"/>
        <v>0</v>
      </c>
      <c r="AZ221">
        <f>COUNTIF(X214:X219,"NS")</f>
        <v>0</v>
      </c>
      <c r="BA221">
        <f>SUM(X214:X219)</f>
        <v>0</v>
      </c>
      <c r="BB221">
        <f>IF(COUNTA(X213:X219)=0,0,IF(OR(AND(X213=0,AZ221&gt;0),AND(X213="ns",BA221&gt;0),AND(X213="ns",AZ221=0,BA221=0)),1,IF(OR(AND(AZ221&gt;=2,X213&gt;BA221),AND(X213="ns",BA221=0,AZ221&gt;0),X213=BA221),0,1)))</f>
        <v>0</v>
      </c>
      <c r="BC221">
        <f>COUNTIF(X225:X229,"NS")</f>
        <v>0</v>
      </c>
      <c r="BD221">
        <f>SUM(X225:X229)</f>
        <v>0</v>
      </c>
      <c r="BE221">
        <f>IF(COUNTA(X224:X229)=0,0,IF(OR(AND(X224=0,BC221&gt;0),AND(X224="ns",BD221&gt;0),AND(X224="ns",BC221=0,BD221=0)),1,IF(OR(AND(BC221&gt;=2,X224&gt;BD221),AND(X224="ns",BD221=0,BC221&gt;0),X224=BD221),0,1)))</f>
        <v>0</v>
      </c>
      <c r="BF221">
        <f>COUNTIF(X234:X251,"NS")</f>
        <v>0</v>
      </c>
      <c r="BG221">
        <f>SUM(X234:X251)</f>
        <v>0</v>
      </c>
      <c r="BH221">
        <f>IF(COUNTA(X233:X251)=0,0,IF(OR(AND(X233=0,BF221&gt;0),AND(X233="ns",BG221&gt;0),AND(X233="ns",BF221=0,BG221=0)),1,IF(OR(AND(BF221&gt;=2,X233&gt;BG221),AND(X233="ns",BG221=0,BF221&gt;0),X233=BG221),0,1)))</f>
        <v>0</v>
      </c>
      <c r="BI221">
        <f>COUNTIF(X253:X257,"NS")</f>
        <v>0</v>
      </c>
      <c r="BJ221">
        <f>SUM(X253:X257)</f>
        <v>0</v>
      </c>
      <c r="BK221">
        <f>IF(COUNTA(X252:X257)=0,0,IF(OR(AND(X252=0,BI221&gt;0),AND(X252="ns",BJ221&gt;0),AND(X252="ns",BI221=0,BJ221=0)),1,IF(OR(AND(BI221&gt;=2,X252&gt;BJ221),AND(X252="ns",BJ221=0,BI221&gt;0),X252=BJ221),0,1)))</f>
        <v>0</v>
      </c>
      <c r="BL221">
        <f>COUNTIF(X261:X263,"NS")</f>
        <v>0</v>
      </c>
      <c r="BM221">
        <f>SUM(X261:X263)</f>
        <v>0</v>
      </c>
      <c r="BN221">
        <f>IF(COUNTA(X260:X263)=0,0,IF(OR(AND(X260=0,BL221&gt;0),AND(X260="ns",BM221&gt;0),AND(X260="ns",BL221=0,BM221=0)),1,IF(OR(AND(BL221&gt;=2,X260&gt;BM221),AND(X260="ns",BM221=0,BL221&gt;0),X260=BM221),0,1)))</f>
        <v>0</v>
      </c>
      <c r="BO221">
        <f>COUNTIF(X271:X277,"NS")</f>
        <v>0</v>
      </c>
      <c r="BP221">
        <f>SUM(X271:X277)</f>
        <v>0</v>
      </c>
      <c r="BQ221">
        <f>IF(COUNTA(X270:X277)=0,0,IF(OR(AND(X270=0,BO221&gt;0),AND(X270="ns",BP221&gt;0),AND(X270="ns",BO221=0,BP221=0)),1,IF(OR(AND(BO221&gt;=2,X270&gt;BP221),AND(X270="ns",BP221=0,BO221&gt;0),X270=BP221),0,1)))</f>
        <v>0</v>
      </c>
      <c r="BR221">
        <f>COUNTIF(X279:X283,"NS")</f>
        <v>0</v>
      </c>
      <c r="BS221">
        <f>SUM(X279:X283)</f>
        <v>0</v>
      </c>
      <c r="BT221">
        <f>IF(COUNTA(X278:X283)=0,0,IF(OR(AND(X278=0,BR221&gt;0),AND(X278="ns",BS221&gt;0),AND(X278="ns",BR221=0,BS221=0)),1,IF(OR(AND(BR221&gt;=2,X278&gt;BS221),AND(X278="ns",BS221=0,BR221&gt;0),X278=BS221),0,1)))</f>
        <v>0</v>
      </c>
      <c r="BU221">
        <f>COUNTIF(X289:X294,"NS")</f>
        <v>0</v>
      </c>
      <c r="BV221">
        <f>SUM(X289:X294)</f>
        <v>0</v>
      </c>
      <c r="BW221">
        <f>IF(COUNTA(X288:X294)=0,0,IF(OR(AND(X288=0,BU221&gt;0),AND(X288="ns",BV221&gt;0),AND(X288="ns",BU221=0,BV221=0)),1,IF(OR(AND(BU221&gt;=2,X288&gt;BV221),AND(X288="ns",BV221=0,BU221&gt;0),X288=BV221),0,1)))</f>
        <v>0</v>
      </c>
      <c r="BX221">
        <f>COUNTIF(X296:X303,"NS")</f>
        <v>0</v>
      </c>
      <c r="BY221">
        <f>SUM(X296:X303)</f>
        <v>0</v>
      </c>
      <c r="BZ221">
        <f>IF(COUNTA(X295:X303)=0,0,IF(OR(AND(X295=0,BX221&gt;0),AND(X295="ns",BY221&gt;0),AND(X295="ns",BX221=0,BY221=0)),1,IF(OR(AND(BX221&gt;=2,X295&gt;BY221),AND(X295="ns",BY221=0,BX221&gt;0),X295=BY221),0,1)))</f>
        <v>0</v>
      </c>
      <c r="CA221">
        <f>COUNTIF(X308:X313,"NS")</f>
        <v>0</v>
      </c>
      <c r="CB221">
        <f>SUM(X308:X313)</f>
        <v>0</v>
      </c>
      <c r="CC221">
        <f>IF(COUNTA(X307:X313)=0,0,IF(OR(AND(X307=0,CA221&gt;0),AND(X307="ns",CB221&gt;0),AND(X307="ns",CA221=0,CB221=0)),1,IF(OR(AND(CA221&gt;=2,X307&gt;CB221),AND(X307="ns",CB221=0,CA221&gt;0),X307=CB221),0,1)))</f>
        <v>0</v>
      </c>
      <c r="CD221">
        <f>COUNTIF(X318:X326,"NS")</f>
        <v>0</v>
      </c>
      <c r="CE221">
        <f>SUM(X318:X326)</f>
        <v>0</v>
      </c>
      <c r="CF221">
        <f>IF(COUNTA(X317:X326)=0,0,IF(OR(AND(X317=0,CD221&gt;0),AND(X317="ns",CE221&gt;0),AND(X317="ns",CD221=0,CE221=0)),1,IF(OR(AND(CD221&gt;=2,X317&gt;CE221),AND(X317="ns",CE221=0,CD221&gt;0),X317=CE221),0,1)))</f>
        <v>0</v>
      </c>
      <c r="CG221">
        <f>COUNTIF(X328:X330,"NS")</f>
        <v>0</v>
      </c>
      <c r="CH221">
        <f>SUM(X328:X330)</f>
        <v>0</v>
      </c>
      <c r="CI221">
        <f>IF(COUNTA(X327:X330)=0,0,IF(OR(AND(X327=0,CG221&gt;0),AND(X327="ns",CH221&gt;0),AND(X327="ns",CG221=0,CH221=0)),1,IF(OR(AND(CG221&gt;=2,X327&gt;CH221),AND(X327="ns",CH221=0,CG221&gt;0),X327=CH221),0,1)))</f>
        <v>0</v>
      </c>
      <c r="CJ221">
        <f>COUNTIF(X339:X345,"NS")</f>
        <v>0</v>
      </c>
      <c r="CK221">
        <f>SUM(X339:X345)</f>
        <v>0</v>
      </c>
      <c r="CL221">
        <f>IF(COUNTA(X338:X345)=0,0,IF(OR(AND(X338=0,CJ221&gt;0),AND(X338="ns",CK221&gt;0),AND(X338="ns",CJ221=0,CK221=0)),1,IF(OR(AND(CJ221&gt;=2,X338&gt;CK221),AND(X338="ns",CK221=0,CJ221&gt;0),X338=CK221),0,1)))</f>
        <v>0</v>
      </c>
      <c r="CM221">
        <f>COUNTIF(X348:X350,"NS")</f>
        <v>0</v>
      </c>
      <c r="CN221">
        <f>SUM(X348:X350)</f>
        <v>0</v>
      </c>
      <c r="CO221">
        <f>IF(COUNTA(X347:X350)=0,0,IF(OR(AND(X347=0,CM221&gt;0),AND(X347="ns",CN221&gt;0),AND(X347="ns",CM221=0,CN221=0)),1,IF(OR(AND(CM221&gt;=2,X347&gt;CN221),AND(X347="ns",CN221=0,CM221&gt;0),X347=CN221),0,1)))</f>
        <v>0</v>
      </c>
      <c r="CP221">
        <f>COUNTIF(X360:X364,"NS")</f>
        <v>0</v>
      </c>
      <c r="CQ221">
        <f>SUM(X360:X364)</f>
        <v>0</v>
      </c>
      <c r="CR221">
        <f>IF(COUNTA(X359:X364)=0,0,IF(OR(AND(X359=0,CP221&gt;0),AND(X359="ns",CQ221&gt;0),AND(X359="ns",CP221=0,CQ221=0)),1,IF(OR(AND(CP221&gt;=2,X359&gt;CQ221),AND(X359="ns",CQ221=0,CP221&gt;0),X359=CQ221),0,1)))</f>
        <v>0</v>
      </c>
      <c r="CS221"/>
      <c r="CT221"/>
      <c r="CU221"/>
      <c r="CV221"/>
      <c r="CW221"/>
      <c r="CX221"/>
      <c r="CY221"/>
      <c r="CZ221"/>
      <c r="DA221"/>
    </row>
    <row r="222" spans="1:105" ht="15" customHeight="1">
      <c r="A222" s="108"/>
      <c r="B222" s="38"/>
      <c r="C222" s="1109"/>
      <c r="D222" s="954"/>
      <c r="E222" s="956"/>
      <c r="F222" s="1103" t="s">
        <v>4830</v>
      </c>
      <c r="G222" s="1103"/>
      <c r="H222" s="1104" t="s">
        <v>4831</v>
      </c>
      <c r="I222" s="1105"/>
      <c r="J222" s="1105"/>
      <c r="K222" s="1105"/>
      <c r="L222" s="1105"/>
      <c r="M222" s="1105"/>
      <c r="N222" s="1105"/>
      <c r="O222" s="1106"/>
      <c r="P222" s="100"/>
      <c r="Q222" s="100"/>
      <c r="R222" s="100"/>
      <c r="S222" s="100"/>
      <c r="T222" s="100"/>
      <c r="U222" s="100"/>
      <c r="V222" s="100"/>
      <c r="W222" s="100"/>
      <c r="X222" s="100"/>
      <c r="Y222" s="100"/>
      <c r="Z222" s="100"/>
      <c r="AA222" s="100"/>
      <c r="AB222" s="100"/>
      <c r="AC222" s="100"/>
      <c r="AD222" s="100"/>
      <c r="AF222"/>
      <c r="AG222">
        <f t="shared" si="131"/>
        <v>0</v>
      </c>
      <c r="AH222">
        <f t="shared" si="132"/>
        <v>0</v>
      </c>
      <c r="AK222">
        <f t="shared" si="116"/>
        <v>0</v>
      </c>
      <c r="AL222">
        <f t="shared" si="117"/>
        <v>0</v>
      </c>
      <c r="AM222">
        <f t="shared" si="118"/>
        <v>0</v>
      </c>
      <c r="AN222">
        <f t="shared" si="119"/>
        <v>0</v>
      </c>
      <c r="AO222">
        <f t="shared" si="120"/>
        <v>0</v>
      </c>
      <c r="AP222">
        <f t="shared" si="121"/>
        <v>0</v>
      </c>
      <c r="AQ222">
        <f t="shared" si="122"/>
        <v>0</v>
      </c>
      <c r="AR222">
        <f t="shared" si="123"/>
        <v>0</v>
      </c>
      <c r="AS222">
        <f t="shared" si="124"/>
        <v>0</v>
      </c>
      <c r="AT222">
        <f t="shared" si="125"/>
        <v>0</v>
      </c>
      <c r="AU222">
        <f t="shared" si="126"/>
        <v>0</v>
      </c>
      <c r="AV222">
        <f t="shared" si="127"/>
        <v>0</v>
      </c>
      <c r="AW222">
        <f t="shared" si="128"/>
        <v>0</v>
      </c>
      <c r="AX222">
        <f t="shared" si="129"/>
        <v>0</v>
      </c>
      <c r="AY222">
        <f t="shared" si="130"/>
        <v>0</v>
      </c>
      <c r="AZ222">
        <f>COUNTIF(Y214:Y219,"NS")</f>
        <v>0</v>
      </c>
      <c r="BA222">
        <f>SUM(Y214:Y219)</f>
        <v>0</v>
      </c>
      <c r="BB222">
        <f>IF(COUNTA(Y213:Y219)=0,0,IF(OR(AND(Y213=0,AZ222&gt;0),AND(Y213="ns",BA222&gt;0),AND(Y213="ns",AZ222=0,BA222=0)),1,IF(OR(AND(AZ222&gt;=2,Y213&gt;BA222),AND(Y213="ns",BA222=0,AZ222&gt;0),Y213=BA222),0,1)))</f>
        <v>0</v>
      </c>
      <c r="BC222">
        <f>COUNTIF(Y225:Y229,"NS")</f>
        <v>0</v>
      </c>
      <c r="BD222">
        <f>SUM(Y225:Y229)</f>
        <v>0</v>
      </c>
      <c r="BE222">
        <f>IF(COUNTA(Y224:Y229)=0,0,IF(OR(AND(Y224=0,BC222&gt;0),AND(Y224="ns",BD222&gt;0),AND(Y224="ns",BC222=0,BD222=0)),1,IF(OR(AND(BC222&gt;=2,Y224&gt;BD222),AND(Y224="ns",BD222=0,BC222&gt;0),Y224=BD222),0,1)))</f>
        <v>0</v>
      </c>
      <c r="BF222">
        <f>COUNTIF(Y234:Y251,"NS")</f>
        <v>0</v>
      </c>
      <c r="BG222">
        <f>SUM(Y234:Y251)</f>
        <v>0</v>
      </c>
      <c r="BH222">
        <f>IF(COUNTA(Y233:Y251)=0,0,IF(OR(AND(Y233=0,BF222&gt;0),AND(Y233="ns",BG222&gt;0),AND(Y233="ns",BF222=0,BG222=0)),1,IF(OR(AND(BF222&gt;=2,Y233&gt;BG222),AND(Y233="ns",BG222=0,BF222&gt;0),Y233=BG222),0,1)))</f>
        <v>0</v>
      </c>
      <c r="BI222">
        <f>COUNTIF(Y253:Y257,"NS")</f>
        <v>0</v>
      </c>
      <c r="BJ222">
        <f>SUM(Y253:Y257)</f>
        <v>0</v>
      </c>
      <c r="BK222">
        <f>IF(COUNTA(Y252:Y257)=0,0,IF(OR(AND(Y252=0,BI222&gt;0),AND(Y252="ns",BJ222&gt;0),AND(Y252="ns",BI222=0,BJ222=0)),1,IF(OR(AND(BI222&gt;=2,Y252&gt;BJ222),AND(Y252="ns",BJ222=0,BI222&gt;0),Y252=BJ222),0,1)))</f>
        <v>0</v>
      </c>
      <c r="BL222">
        <f>COUNTIF(Y261:Y263,"NS")</f>
        <v>0</v>
      </c>
      <c r="BM222">
        <f>SUM(Y261:Y263)</f>
        <v>0</v>
      </c>
      <c r="BN222">
        <f>IF(COUNTA(Y260:Y263)=0,0,IF(OR(AND(Y260=0,BL222&gt;0),AND(Y260="ns",BM222&gt;0),AND(Y260="ns",BL222=0,BM222=0)),1,IF(OR(AND(BL222&gt;=2,Y260&gt;BM222),AND(Y260="ns",BM222=0,BL222&gt;0),Y260=BM222),0,1)))</f>
        <v>0</v>
      </c>
      <c r="BO222">
        <f>COUNTIF(Y271:Y277,"NS")</f>
        <v>0</v>
      </c>
      <c r="BP222">
        <f>SUM(Y271:Y277)</f>
        <v>0</v>
      </c>
      <c r="BQ222">
        <f>IF(COUNTA(Y270:Y277)=0,0,IF(OR(AND(Y270=0,BO222&gt;0),AND(Y270="ns",BP222&gt;0),AND(Y270="ns",BO222=0,BP222=0)),1,IF(OR(AND(BO222&gt;=2,Y270&gt;BP222),AND(Y270="ns",BP222=0,BO222&gt;0),Y270=BP222),0,1)))</f>
        <v>0</v>
      </c>
      <c r="BR222">
        <f>COUNTIF(Y279:Y283,"NS")</f>
        <v>0</v>
      </c>
      <c r="BS222">
        <f>SUM(Y279:Y283)</f>
        <v>0</v>
      </c>
      <c r="BT222">
        <f>IF(COUNTA(Y278:Y283)=0,0,IF(OR(AND(Y278=0,BR222&gt;0),AND(Y278="ns",BS222&gt;0),AND(Y278="ns",BR222=0,BS222=0)),1,IF(OR(AND(BR222&gt;=2,Y278&gt;BS222),AND(Y278="ns",BS222=0,BR222&gt;0),Y278=BS222),0,1)))</f>
        <v>0</v>
      </c>
      <c r="BU222">
        <f>COUNTIF(Y289:Y294,"NS")</f>
        <v>0</v>
      </c>
      <c r="BV222">
        <f>SUM(Y289:Y294)</f>
        <v>0</v>
      </c>
      <c r="BW222">
        <f>IF(COUNTA(Y288:Y294)=0,0,IF(OR(AND(Y288=0,BU222&gt;0),AND(Y288="ns",BV222&gt;0),AND(Y288="ns",BU222=0,BV222=0)),1,IF(OR(AND(BU222&gt;=2,Y288&gt;BV222),AND(Y288="ns",BV222=0,BU222&gt;0),Y288=BV222),0,1)))</f>
        <v>0</v>
      </c>
      <c r="BX222">
        <f>COUNTIF(Y296:Y303,"NS")</f>
        <v>0</v>
      </c>
      <c r="BY222">
        <f>SUM(Y296:Y303)</f>
        <v>0</v>
      </c>
      <c r="BZ222">
        <f>IF(COUNTA(Y295:Y303)=0,0,IF(OR(AND(Y295=0,BX222&gt;0),AND(Y295="ns",BY222&gt;0),AND(Y295="ns",BX222=0,BY222=0)),1,IF(OR(AND(BX222&gt;=2,Y295&gt;BY222),AND(Y295="ns",BY222=0,BX222&gt;0),Y295=BY222),0,1)))</f>
        <v>0</v>
      </c>
      <c r="CA222">
        <f>COUNTIF(Y308:Y313,"NS")</f>
        <v>0</v>
      </c>
      <c r="CB222">
        <f>SUM(Y308:Y313)</f>
        <v>0</v>
      </c>
      <c r="CC222">
        <f>IF(COUNTA(Y307:Y313)=0,0,IF(OR(AND(Y307=0,CA222&gt;0),AND(Y307="ns",CB222&gt;0),AND(Y307="ns",CA222=0,CB222=0)),1,IF(OR(AND(CA222&gt;=2,Y307&gt;CB222),AND(Y307="ns",CB222=0,CA222&gt;0),Y307=CB222),0,1)))</f>
        <v>0</v>
      </c>
      <c r="CD222">
        <f>COUNTIF(Y318:Y326,"NS")</f>
        <v>0</v>
      </c>
      <c r="CE222">
        <f>SUM(Y318:Y326)</f>
        <v>0</v>
      </c>
      <c r="CF222">
        <f>IF(COUNTA(Y317:Y326)=0,0,IF(OR(AND(Y317=0,CD222&gt;0),AND(Y317="ns",CE222&gt;0),AND(Y317="ns",CD222=0,CE222=0)),1,IF(OR(AND(CD222&gt;=2,Y317&gt;CE222),AND(Y317="ns",CE222=0,CD222&gt;0),Y317=CE222),0,1)))</f>
        <v>0</v>
      </c>
      <c r="CG222">
        <f>COUNTIF(Y328:Y330,"NS")</f>
        <v>0</v>
      </c>
      <c r="CH222">
        <f>SUM(Y328:Y330)</f>
        <v>0</v>
      </c>
      <c r="CI222">
        <f>IF(COUNTA(Y327:Y330)=0,0,IF(OR(AND(Y327=0,CG222&gt;0),AND(Y327="ns",CH222&gt;0),AND(Y327="ns",CG222=0,CH222=0)),1,IF(OR(AND(CG222&gt;=2,Y327&gt;CH222),AND(Y327="ns",CH222=0,CG222&gt;0),Y327=CH222),0,1)))</f>
        <v>0</v>
      </c>
      <c r="CJ222">
        <f>COUNTIF(Y339:Y345,"NS")</f>
        <v>0</v>
      </c>
      <c r="CK222">
        <f>SUM(Y339:Y345)</f>
        <v>0</v>
      </c>
      <c r="CL222">
        <f>IF(COUNTA(Y338:Y345)=0,0,IF(OR(AND(Y338=0,CJ222&gt;0),AND(Y338="ns",CK222&gt;0),AND(Y338="ns",CJ222=0,CK222=0)),1,IF(OR(AND(CJ222&gt;=2,Y338&gt;CK222),AND(Y338="ns",CK222=0,CJ222&gt;0),Y338=CK222),0,1)))</f>
        <v>0</v>
      </c>
      <c r="CM222">
        <f>COUNTIF(Y348:Y350,"NS")</f>
        <v>0</v>
      </c>
      <c r="CN222">
        <f>SUM(Y348:Y350)</f>
        <v>0</v>
      </c>
      <c r="CO222">
        <f>IF(COUNTA(Y347:Y350)=0,0,IF(OR(AND(Y347=0,CM222&gt;0),AND(Y347="ns",CN222&gt;0),AND(Y347="ns",CM222=0,CN222=0)),1,IF(OR(AND(CM222&gt;=2,Y347&gt;CN222),AND(Y347="ns",CN222=0,CM222&gt;0),Y347=CN222),0,1)))</f>
        <v>0</v>
      </c>
      <c r="CP222">
        <f>COUNTIF(Y360:Y364,"NS")</f>
        <v>0</v>
      </c>
      <c r="CQ222">
        <f>SUM(Y360:Y364)</f>
        <v>0</v>
      </c>
      <c r="CR222">
        <f>IF(COUNTA(Y359:Y364)=0,0,IF(OR(AND(Y359=0,CP222&gt;0),AND(Y359="ns",CQ222&gt;0),AND(Y359="ns",CP222=0,CQ222=0)),1,IF(OR(AND(CP222&gt;=2,Y359&gt;CQ222),AND(Y359="ns",CQ222=0,CP222&gt;0),Y359=CQ222),0,1)))</f>
        <v>0</v>
      </c>
      <c r="CS222"/>
      <c r="CT222"/>
      <c r="CU222"/>
      <c r="CV222"/>
      <c r="CW222"/>
      <c r="CX222"/>
      <c r="CY222"/>
      <c r="CZ222"/>
      <c r="DA222"/>
    </row>
    <row r="223" spans="1:105" ht="15" customHeight="1">
      <c r="A223" s="108"/>
      <c r="B223" s="38"/>
      <c r="C223" s="1109"/>
      <c r="D223" s="954"/>
      <c r="E223" s="956"/>
      <c r="F223" s="1103" t="s">
        <v>4832</v>
      </c>
      <c r="G223" s="1103"/>
      <c r="H223" s="1104" t="s">
        <v>4833</v>
      </c>
      <c r="I223" s="1105"/>
      <c r="J223" s="1105"/>
      <c r="K223" s="1105"/>
      <c r="L223" s="1105"/>
      <c r="M223" s="1105"/>
      <c r="N223" s="1105"/>
      <c r="O223" s="1106"/>
      <c r="P223" s="100"/>
      <c r="Q223" s="100"/>
      <c r="R223" s="100"/>
      <c r="S223" s="100"/>
      <c r="T223" s="100"/>
      <c r="U223" s="100"/>
      <c r="V223" s="100"/>
      <c r="W223" s="100"/>
      <c r="X223" s="100"/>
      <c r="Y223" s="100"/>
      <c r="Z223" s="100"/>
      <c r="AA223" s="100"/>
      <c r="AB223" s="100"/>
      <c r="AC223" s="100"/>
      <c r="AD223" s="100"/>
      <c r="AF223"/>
      <c r="AG223">
        <f t="shared" si="131"/>
        <v>0</v>
      </c>
      <c r="AH223">
        <f t="shared" si="132"/>
        <v>0</v>
      </c>
      <c r="AK223">
        <f t="shared" si="116"/>
        <v>0</v>
      </c>
      <c r="AL223">
        <f t="shared" si="117"/>
        <v>0</v>
      </c>
      <c r="AM223">
        <f t="shared" si="118"/>
        <v>0</v>
      </c>
      <c r="AN223">
        <f t="shared" si="119"/>
        <v>0</v>
      </c>
      <c r="AO223">
        <f t="shared" si="120"/>
        <v>0</v>
      </c>
      <c r="AP223">
        <f t="shared" si="121"/>
        <v>0</v>
      </c>
      <c r="AQ223">
        <f t="shared" si="122"/>
        <v>0</v>
      </c>
      <c r="AR223">
        <f t="shared" si="123"/>
        <v>0</v>
      </c>
      <c r="AS223">
        <f t="shared" si="124"/>
        <v>0</v>
      </c>
      <c r="AT223">
        <f t="shared" si="125"/>
        <v>0</v>
      </c>
      <c r="AU223">
        <f t="shared" si="126"/>
        <v>0</v>
      </c>
      <c r="AV223">
        <f t="shared" si="127"/>
        <v>0</v>
      </c>
      <c r="AW223">
        <f t="shared" si="128"/>
        <v>0</v>
      </c>
      <c r="AX223">
        <f t="shared" si="129"/>
        <v>0</v>
      </c>
      <c r="AY223">
        <f t="shared" si="130"/>
        <v>0</v>
      </c>
      <c r="AZ223">
        <f>COUNTIF(Z214:Z219,"NS")</f>
        <v>0</v>
      </c>
      <c r="BA223">
        <f>SUM(Z214:Z219)</f>
        <v>0</v>
      </c>
      <c r="BB223">
        <f>IF(COUNTA(Z213:Z219)=0,0,IF(OR(AND(Z213=0,AZ223&gt;0),AND(Z213="ns",BA223&gt;0),AND(Z213="ns",AZ223=0,BA223=0)),1,IF(OR(AND(AZ223&gt;=2,Z213&gt;BA223),AND(Z213="ns",BA223=0,AZ223&gt;0),Z213=BA223),0,1)))</f>
        <v>0</v>
      </c>
      <c r="BC223">
        <f>COUNTIF(Z225:Z229,"NS")</f>
        <v>0</v>
      </c>
      <c r="BD223">
        <f>SUM(Z225:Z229)</f>
        <v>0</v>
      </c>
      <c r="BE223">
        <f>IF(COUNTA(Z224:Z229)=0,0,IF(OR(AND(Z224=0,BC223&gt;0),AND(Z224="ns",BD223&gt;0),AND(Z224="ns",BC223=0,BD223=0)),1,IF(OR(AND(BC223&gt;=2,Z224&gt;BD223),AND(Z224="ns",BD223=0,BC223&gt;0),Z224=BD223),0,1)))</f>
        <v>0</v>
      </c>
      <c r="BF223">
        <f>COUNTIF(Z234:Z251,"NS")</f>
        <v>0</v>
      </c>
      <c r="BG223">
        <f>SUM(Z234:Z251)</f>
        <v>0</v>
      </c>
      <c r="BH223">
        <f>IF(COUNTA(Z233:Z251)=0,0,IF(OR(AND(Z233=0,BF223&gt;0),AND(Z233="ns",BG223&gt;0),AND(Z233="ns",BF223=0,BG223=0)),1,IF(OR(AND(BF223&gt;=2,Z233&gt;BG223),AND(Z233="ns",BG223=0,BF223&gt;0),Z233=BG223),0,1)))</f>
        <v>0</v>
      </c>
      <c r="BI223">
        <f>COUNTIF(Z253:Z257,"NS")</f>
        <v>0</v>
      </c>
      <c r="BJ223">
        <f>SUM(Z253:Z257)</f>
        <v>0</v>
      </c>
      <c r="BK223">
        <f>IF(COUNTA(Z252:Z257)=0,0,IF(OR(AND(Z252=0,BI223&gt;0),AND(Z252="ns",BJ223&gt;0),AND(Z252="ns",BI223=0,BJ223=0)),1,IF(OR(AND(BI223&gt;=2,Z252&gt;BJ223),AND(Z252="ns",BJ223=0,BI223&gt;0),Z252=BJ223),0,1)))</f>
        <v>0</v>
      </c>
      <c r="BL223">
        <f>COUNTIF(Z261:Z263,"NS")</f>
        <v>0</v>
      </c>
      <c r="BM223">
        <f>SUM(Z261:Z263)</f>
        <v>0</v>
      </c>
      <c r="BN223">
        <f>IF(COUNTA(Z260:Z263)=0,0,IF(OR(AND(Z260=0,BL223&gt;0),AND(Z260="ns",BM223&gt;0),AND(Z260="ns",BL223=0,BM223=0)),1,IF(OR(AND(BL223&gt;=2,Z260&gt;BM223),AND(Z260="ns",BM223=0,BL223&gt;0),Z260=BM223),0,1)))</f>
        <v>0</v>
      </c>
      <c r="BO223">
        <f>COUNTIF(Z271:Z277,"NS")</f>
        <v>0</v>
      </c>
      <c r="BP223">
        <f>SUM(Z271:Z277)</f>
        <v>0</v>
      </c>
      <c r="BQ223">
        <f>IF(COUNTA(Z270:Z277)=0,0,IF(OR(AND(Z270=0,BO223&gt;0),AND(Z270="ns",BP223&gt;0),AND(Z270="ns",BO223=0,BP223=0)),1,IF(OR(AND(BO223&gt;=2,Z270&gt;BP223),AND(Z270="ns",BP223=0,BO223&gt;0),Z270=BP223),0,1)))</f>
        <v>0</v>
      </c>
      <c r="BR223">
        <f>COUNTIF(Z279:Z283,"NS")</f>
        <v>0</v>
      </c>
      <c r="BS223">
        <f>SUM(Z279:Z283)</f>
        <v>0</v>
      </c>
      <c r="BT223">
        <f>IF(COUNTA(Z278:Z283)=0,0,IF(OR(AND(Z278=0,BR223&gt;0),AND(Z278="ns",BS223&gt;0),AND(Z278="ns",BR223=0,BS223=0)),1,IF(OR(AND(BR223&gt;=2,Z278&gt;BS223),AND(Z278="ns",BS223=0,BR223&gt;0),Z278=BS223),0,1)))</f>
        <v>0</v>
      </c>
      <c r="BU223">
        <f>COUNTIF(Z289:Z294,"NS")</f>
        <v>0</v>
      </c>
      <c r="BV223">
        <f>SUM(Z289:Z294)</f>
        <v>0</v>
      </c>
      <c r="BW223">
        <f>IF(COUNTA(Z288:Z294)=0,0,IF(OR(AND(Z288=0,BU223&gt;0),AND(Z288="ns",BV223&gt;0),AND(Z288="ns",BU223=0,BV223=0)),1,IF(OR(AND(BU223&gt;=2,Z288&gt;BV223),AND(Z288="ns",BV223=0,BU223&gt;0),Z288=BV223),0,1)))</f>
        <v>0</v>
      </c>
      <c r="BX223">
        <f>COUNTIF(Z296:Z303,"NS")</f>
        <v>0</v>
      </c>
      <c r="BY223">
        <f>SUM(Z296:Z303)</f>
        <v>0</v>
      </c>
      <c r="BZ223">
        <f>IF(COUNTA(Z295:Z303)=0,0,IF(OR(AND(Z295=0,BX223&gt;0),AND(Z295="ns",BY223&gt;0),AND(Z295="ns",BX223=0,BY223=0)),1,IF(OR(AND(BX223&gt;=2,Z295&gt;BY223),AND(Z295="ns",BY223=0,BX223&gt;0),Z295=BY223),0,1)))</f>
        <v>0</v>
      </c>
      <c r="CA223">
        <f>COUNTIF(Z308:Z313,"NS")</f>
        <v>0</v>
      </c>
      <c r="CB223">
        <f>SUM(Z308:Z313)</f>
        <v>0</v>
      </c>
      <c r="CC223">
        <f>IF(COUNTA(Z307:Z313)=0,0,IF(OR(AND(Z307=0,CA223&gt;0),AND(Z307="ns",CB223&gt;0),AND(Z307="ns",CA223=0,CB223=0)),1,IF(OR(AND(CA223&gt;=2,Z307&gt;CB223),AND(Z307="ns",CB223=0,CA223&gt;0),Z307=CB223),0,1)))</f>
        <v>0</v>
      </c>
      <c r="CD223">
        <f>COUNTIF(Z318:Z326,"NS")</f>
        <v>0</v>
      </c>
      <c r="CE223">
        <f>SUM(Z318:Z326)</f>
        <v>0</v>
      </c>
      <c r="CF223">
        <f>IF(COUNTA(Z317:Z326)=0,0,IF(OR(AND(Z317=0,CD223&gt;0),AND(Z317="ns",CE223&gt;0),AND(Z317="ns",CD223=0,CE223=0)),1,IF(OR(AND(CD223&gt;=2,Z317&gt;CE223),AND(Z317="ns",CE223=0,CD223&gt;0),Z317=CE223),0,1)))</f>
        <v>0</v>
      </c>
      <c r="CG223">
        <f>COUNTIF(Z328:Z330,"NS")</f>
        <v>0</v>
      </c>
      <c r="CH223">
        <f>SUM(Z328:Z330)</f>
        <v>0</v>
      </c>
      <c r="CI223">
        <f>IF(COUNTA(Z327:Z330)=0,0,IF(OR(AND(Z327=0,CG223&gt;0),AND(Z327="ns",CH223&gt;0),AND(Z327="ns",CG223=0,CH223=0)),1,IF(OR(AND(CG223&gt;=2,Z327&gt;CH223),AND(Z327="ns",CH223=0,CG223&gt;0),Z327=CH223),0,1)))</f>
        <v>0</v>
      </c>
      <c r="CJ223">
        <f>COUNTIF(Z339:Z345,"NS")</f>
        <v>0</v>
      </c>
      <c r="CK223">
        <f>SUM(Z339:Z345)</f>
        <v>0</v>
      </c>
      <c r="CL223">
        <f>IF(COUNTA(Z338:Z345)=0,0,IF(OR(AND(Z338=0,CJ223&gt;0),AND(Z338="ns",CK223&gt;0),AND(Z338="ns",CJ223=0,CK223=0)),1,IF(OR(AND(CJ223&gt;=2,Z338&gt;CK223),AND(Z338="ns",CK223=0,CJ223&gt;0),Z338=CK223),0,1)))</f>
        <v>0</v>
      </c>
      <c r="CM223">
        <f>COUNTIF(Z348:Z350,"NS")</f>
        <v>0</v>
      </c>
      <c r="CN223">
        <f>SUM(Z348:Z350)</f>
        <v>0</v>
      </c>
      <c r="CO223">
        <f>IF(COUNTA(Z347:Z350)=0,0,IF(OR(AND(Z347=0,CM223&gt;0),AND(Z347="ns",CN223&gt;0),AND(Z347="ns",CM223=0,CN223=0)),1,IF(OR(AND(CM223&gt;=2,Z347&gt;CN223),AND(Z347="ns",CN223=0,CM223&gt;0),Z347=CN223),0,1)))</f>
        <v>0</v>
      </c>
      <c r="CP223">
        <f>COUNTIF(Z360:Z364,"NS")</f>
        <v>0</v>
      </c>
      <c r="CQ223">
        <f>SUM(Z360:Z364)</f>
        <v>0</v>
      </c>
      <c r="CR223">
        <f>IF(COUNTA(Z359:Z364)=0,0,IF(OR(AND(Z359=0,CP223&gt;0),AND(Z359="ns",CQ223&gt;0),AND(Z359="ns",CP223=0,CQ223=0)),1,IF(OR(AND(CP223&gt;=2,Z359&gt;CQ223),AND(Z359="ns",CQ223=0,CP223&gt;0),Z359=CQ223),0,1)))</f>
        <v>0</v>
      </c>
      <c r="CS223"/>
      <c r="CT223"/>
      <c r="CU223"/>
      <c r="CV223"/>
      <c r="CW223"/>
      <c r="CX223"/>
      <c r="CY223"/>
      <c r="CZ223"/>
      <c r="DA223"/>
    </row>
    <row r="224" spans="1:105" ht="15" customHeight="1">
      <c r="A224" s="108"/>
      <c r="B224" s="38"/>
      <c r="C224" s="1109"/>
      <c r="D224" s="954"/>
      <c r="E224" s="956"/>
      <c r="F224" s="1103" t="s">
        <v>4834</v>
      </c>
      <c r="G224" s="1103"/>
      <c r="H224" s="1104" t="s">
        <v>4835</v>
      </c>
      <c r="I224" s="1105"/>
      <c r="J224" s="1105"/>
      <c r="K224" s="1105"/>
      <c r="L224" s="1105"/>
      <c r="M224" s="1105"/>
      <c r="N224" s="1105"/>
      <c r="O224" s="1106"/>
      <c r="P224" s="100"/>
      <c r="Q224" s="100"/>
      <c r="R224" s="100"/>
      <c r="S224" s="100"/>
      <c r="T224" s="100"/>
      <c r="U224" s="100"/>
      <c r="V224" s="100"/>
      <c r="W224" s="100"/>
      <c r="X224" s="100"/>
      <c r="Y224" s="100"/>
      <c r="Z224" s="100"/>
      <c r="AA224" s="100"/>
      <c r="AB224" s="100"/>
      <c r="AC224" s="100"/>
      <c r="AD224" s="100"/>
      <c r="AF224">
        <f>IF(P224="NA",IF(AND(COUNTIF(P225:P229,"="&amp;$AF$212)=0,COUNTIF(P225:P229,"&lt;&gt;NA")&gt;0),1,0),IF(AND(COUNTIF(P225:P229,"="&amp;$AF$212)=0,COUNTIF(P225:P229,"NA")=COUNTIF(P225:P229,"&lt;&gt;"&amp;$AF$212)),1,0))</f>
        <v>0</v>
      </c>
      <c r="AG224">
        <f t="shared" si="131"/>
        <v>0</v>
      </c>
      <c r="AH224">
        <f t="shared" si="132"/>
        <v>0</v>
      </c>
      <c r="AK224">
        <f t="shared" si="116"/>
        <v>0</v>
      </c>
      <c r="AL224">
        <f t="shared" si="117"/>
        <v>0</v>
      </c>
      <c r="AM224">
        <f t="shared" si="118"/>
        <v>0</v>
      </c>
      <c r="AN224">
        <f t="shared" si="119"/>
        <v>0</v>
      </c>
      <c r="AO224">
        <f t="shared" si="120"/>
        <v>0</v>
      </c>
      <c r="AP224">
        <f t="shared" si="121"/>
        <v>0</v>
      </c>
      <c r="AQ224">
        <f t="shared" si="122"/>
        <v>0</v>
      </c>
      <c r="AR224">
        <f t="shared" si="123"/>
        <v>0</v>
      </c>
      <c r="AS224">
        <f t="shared" si="124"/>
        <v>0</v>
      </c>
      <c r="AT224">
        <f t="shared" si="125"/>
        <v>0</v>
      </c>
      <c r="AU224">
        <f t="shared" si="126"/>
        <v>0</v>
      </c>
      <c r="AV224">
        <f t="shared" si="127"/>
        <v>0</v>
      </c>
      <c r="AW224">
        <f t="shared" si="128"/>
        <v>0</v>
      </c>
      <c r="AX224">
        <f t="shared" si="129"/>
        <v>0</v>
      </c>
      <c r="AY224">
        <f t="shared" si="130"/>
        <v>0</v>
      </c>
      <c r="AZ224">
        <f>COUNTIF(AA214:AA219,"NS")</f>
        <v>0</v>
      </c>
      <c r="BA224">
        <f>SUM(AA214:AA219)</f>
        <v>0</v>
      </c>
      <c r="BB224">
        <f>IF(COUNTA(AA213:AA219)=0,0,IF(OR(AND(AA213=0,AZ224&gt;0),AND(AA213="ns",BA224&gt;0),AND(AA213="ns",AZ224=0,BA224=0)),1,IF(OR(AND(AZ224&gt;=2,AA213&gt;BA224),AND(AA213="ns",BA224=0,AZ224&gt;0),AA213=BA224),0,1)))</f>
        <v>0</v>
      </c>
      <c r="BC224">
        <f>COUNTIF(AA225:AA229,"NS")</f>
        <v>0</v>
      </c>
      <c r="BD224">
        <f>SUM(AA225:AA229)</f>
        <v>0</v>
      </c>
      <c r="BE224">
        <f>IF(COUNTA(AA224:AA229)=0,0,IF(OR(AND(AA224=0,BC224&gt;0),AND(AA224="ns",BD224&gt;0),AND(AA224="ns",BC224=0,BD224=0)),1,IF(OR(AND(BC224&gt;=2,AA224&gt;BD224),AND(AA224="ns",BD224=0,BC224&gt;0),AA224=BD224),0,1)))</f>
        <v>0</v>
      </c>
      <c r="BF224">
        <f>COUNTIF(AA234:AA251,"NS")</f>
        <v>0</v>
      </c>
      <c r="BG224">
        <f>SUM(AA234:AA251)</f>
        <v>0</v>
      </c>
      <c r="BH224">
        <f>IF(COUNTA(AA233:AA251)=0,0,IF(OR(AND(AA233=0,BF224&gt;0),AND(AA233="ns",BG224&gt;0),AND(AA233="ns",BF224=0,BG224=0)),1,IF(OR(AND(BF224&gt;=2,AA233&gt;BG224),AND(AA233="ns",BG224=0,BF224&gt;0),AA233=BG224),0,1)))</f>
        <v>0</v>
      </c>
      <c r="BI224">
        <f>COUNTIF(AA253:AA257,"NS")</f>
        <v>0</v>
      </c>
      <c r="BJ224">
        <f>SUM(AA253:AA257)</f>
        <v>0</v>
      </c>
      <c r="BK224">
        <f>IF(COUNTA(AA252:AA257)=0,0,IF(OR(AND(AA252=0,BI224&gt;0),AND(AA252="ns",BJ224&gt;0),AND(AA252="ns",BI224=0,BJ224=0)),1,IF(OR(AND(BI224&gt;=2,AA252&gt;BJ224),AND(AA252="ns",BJ224=0,BI224&gt;0),AA252=BJ224),0,1)))</f>
        <v>0</v>
      </c>
      <c r="BL224">
        <f>COUNTIF(AA261:AA263,"NS")</f>
        <v>0</v>
      </c>
      <c r="BM224">
        <f>SUM(AA261:AA263)</f>
        <v>0</v>
      </c>
      <c r="BN224">
        <f>IF(COUNTA(AA260:AA263)=0,0,IF(OR(AND(AA260=0,BL224&gt;0),AND(AA260="ns",BM224&gt;0),AND(AA260="ns",BL224=0,BM224=0)),1,IF(OR(AND(BL224&gt;=2,AA260&gt;BM224),AND(AA260="ns",BM224=0,BL224&gt;0),AA260=BM224),0,1)))</f>
        <v>0</v>
      </c>
      <c r="BO224">
        <f>COUNTIF(AA271:AA277,"NS")</f>
        <v>0</v>
      </c>
      <c r="BP224">
        <f>SUM(AA271:AA277)</f>
        <v>0</v>
      </c>
      <c r="BQ224">
        <f>IF(COUNTA(AA270:AA277)=0,0,IF(OR(AND(AA270=0,BO224&gt;0),AND(AA270="ns",BP224&gt;0),AND(AA270="ns",BO224=0,BP224=0)),1,IF(OR(AND(BO224&gt;=2,AA270&gt;BP224),AND(AA270="ns",BP224=0,BO224&gt;0),AA270=BP224),0,1)))</f>
        <v>0</v>
      </c>
      <c r="BR224">
        <f>COUNTIF(AA279:AA283,"NS")</f>
        <v>0</v>
      </c>
      <c r="BS224">
        <f>SUM(AA279:AA283)</f>
        <v>0</v>
      </c>
      <c r="BT224">
        <f>IF(COUNTA(AA278:AA283)=0,0,IF(OR(AND(AA278=0,BR224&gt;0),AND(AA278="ns",BS224&gt;0),AND(AA278="ns",BR224=0,BS224=0)),1,IF(OR(AND(BR224&gt;=2,AA278&gt;BS224),AND(AA278="ns",BS224=0,BR224&gt;0),AA278=BS224),0,1)))</f>
        <v>0</v>
      </c>
      <c r="BU224">
        <f>COUNTIF(AA289:AA294,"NS")</f>
        <v>0</v>
      </c>
      <c r="BV224">
        <f>SUM(AA289:AA294)</f>
        <v>0</v>
      </c>
      <c r="BW224">
        <f>IF(COUNTA(AA288:AA294)=0,0,IF(OR(AND(AA288=0,BU224&gt;0),AND(AA288="ns",BV224&gt;0),AND(AA288="ns",BU224=0,BV224=0)),1,IF(OR(AND(BU224&gt;=2,AA288&gt;BV224),AND(AA288="ns",BV224=0,BU224&gt;0),AA288=BV224),0,1)))</f>
        <v>0</v>
      </c>
      <c r="BX224">
        <f>COUNTIF(AA296:AA303,"NS")</f>
        <v>0</v>
      </c>
      <c r="BY224">
        <f>SUM(AA296:AA303)</f>
        <v>0</v>
      </c>
      <c r="BZ224">
        <f>IF(COUNTA(AA295:AA303)=0,0,IF(OR(AND(AA295=0,BX224&gt;0),AND(AA295="ns",BY224&gt;0),AND(AA295="ns",BX224=0,BY224=0)),1,IF(OR(AND(BX224&gt;=2,AA295&gt;BY224),AND(AA295="ns",BY224=0,BX224&gt;0),AA295=BY224),0,1)))</f>
        <v>0</v>
      </c>
      <c r="CA224">
        <f>COUNTIF(AA308:AA313,"NS")</f>
        <v>0</v>
      </c>
      <c r="CB224">
        <f>SUM(AA308:AA313)</f>
        <v>0</v>
      </c>
      <c r="CC224">
        <f>IF(COUNTA(AA307:AA313)=0,0,IF(OR(AND(AA307=0,CA224&gt;0),AND(AA307="ns",CB224&gt;0),AND(AA307="ns",CA224=0,CB224=0)),1,IF(OR(AND(CA224&gt;=2,AA307&gt;CB224),AND(AA307="ns",CB224=0,CA224&gt;0),AA307=CB224),0,1)))</f>
        <v>0</v>
      </c>
      <c r="CD224">
        <f>COUNTIF(AA318:AA326,"NS")</f>
        <v>0</v>
      </c>
      <c r="CE224">
        <f>SUM(AA318:AA326)</f>
        <v>0</v>
      </c>
      <c r="CF224">
        <f>IF(COUNTA(AA317:AA326)=0,0,IF(OR(AND(AA317=0,CD224&gt;0),AND(AA317="ns",CE224&gt;0),AND(AA317="ns",CD224=0,CE224=0)),1,IF(OR(AND(CD224&gt;=2,AA317&gt;CE224),AND(AA317="ns",CE224=0,CD224&gt;0),AA317=CE224),0,1)))</f>
        <v>0</v>
      </c>
      <c r="CG224">
        <f>COUNTIF(AA328:AA330,"NS")</f>
        <v>0</v>
      </c>
      <c r="CH224">
        <f>SUM(AA328:AA330)</f>
        <v>0</v>
      </c>
      <c r="CI224">
        <f>IF(COUNTA(AA327:AA330)=0,0,IF(OR(AND(AA327=0,CG224&gt;0),AND(AA327="ns",CH224&gt;0),AND(AA327="ns",CG224=0,CH224=0)),1,IF(OR(AND(CG224&gt;=2,AA327&gt;CH224),AND(AA327="ns",CH224=0,CG224&gt;0),AA327=CH224),0,1)))</f>
        <v>0</v>
      </c>
      <c r="CJ224">
        <f>COUNTIF(AA339:AA345,"NS")</f>
        <v>0</v>
      </c>
      <c r="CK224">
        <f>SUM(AA339:AA345)</f>
        <v>0</v>
      </c>
      <c r="CL224">
        <f>IF(COUNTA(AA338:AA345)=0,0,IF(OR(AND(AA338=0,CJ224&gt;0),AND(AA338="ns",CK224&gt;0),AND(AA338="ns",CJ224=0,CK224=0)),1,IF(OR(AND(CJ224&gt;=2,AA338&gt;CK224),AND(AA338="ns",CK224=0,CJ224&gt;0),AA338=CK224),0,1)))</f>
        <v>0</v>
      </c>
      <c r="CM224">
        <f>COUNTIF(AA348:AA350,"NS")</f>
        <v>0</v>
      </c>
      <c r="CN224">
        <f>SUM(AA348:AA350)</f>
        <v>0</v>
      </c>
      <c r="CO224">
        <f>IF(COUNTA(AA347:AA350)=0,0,IF(OR(AND(AA347=0,CM224&gt;0),AND(AA347="ns",CN224&gt;0),AND(AA347="ns",CM224=0,CN224=0)),1,IF(OR(AND(CM224&gt;=2,AA347&gt;CN224),AND(AA347="ns",CN224=0,CM224&gt;0),AA347=CN224),0,1)))</f>
        <v>0</v>
      </c>
      <c r="CP224">
        <f>COUNTIF(AA360:AA364,"NS")</f>
        <v>0</v>
      </c>
      <c r="CQ224">
        <f>SUM(AA360:AA364)</f>
        <v>0</v>
      </c>
      <c r="CR224">
        <f>IF(COUNTA(AA359:AA364)=0,0,IF(OR(AND(AA359=0,CP224&gt;0),AND(AA359="ns",CQ224&gt;0),AND(AA359="ns",CP224=0,CQ224=0)),1,IF(OR(AND(CP224&gt;=2,AA359&gt;CQ224),AND(AA359="ns",CQ224=0,CP224&gt;0),AA359=CQ224),0,1)))</f>
        <v>0</v>
      </c>
      <c r="CS224"/>
      <c r="CT224"/>
      <c r="CU224"/>
      <c r="CV224"/>
      <c r="CW224"/>
      <c r="CX224"/>
      <c r="CY224"/>
      <c r="CZ224"/>
      <c r="DA224"/>
    </row>
    <row r="225" spans="1:105" ht="15" customHeight="1">
      <c r="A225" s="108"/>
      <c r="B225" s="38"/>
      <c r="C225" s="1109"/>
      <c r="D225" s="954"/>
      <c r="E225" s="956"/>
      <c r="F225" s="1110" t="s">
        <v>4837</v>
      </c>
      <c r="G225" s="1110"/>
      <c r="H225" s="177"/>
      <c r="I225" s="1115" t="s">
        <v>4838</v>
      </c>
      <c r="J225" s="1115"/>
      <c r="K225" s="1115"/>
      <c r="L225" s="1115"/>
      <c r="M225" s="1115"/>
      <c r="N225" s="1115"/>
      <c r="O225" s="1116"/>
      <c r="P225" s="100"/>
      <c r="Q225" s="100"/>
      <c r="R225" s="100"/>
      <c r="S225" s="100"/>
      <c r="T225" s="100"/>
      <c r="U225" s="100"/>
      <c r="V225" s="100"/>
      <c r="W225" s="100"/>
      <c r="X225" s="100"/>
      <c r="Y225" s="100"/>
      <c r="Z225" s="100"/>
      <c r="AA225" s="100"/>
      <c r="AB225" s="100"/>
      <c r="AC225" s="100"/>
      <c r="AD225" s="100"/>
      <c r="AF225"/>
      <c r="AG225">
        <f t="shared" si="131"/>
        <v>0</v>
      </c>
      <c r="AH225">
        <f t="shared" si="132"/>
        <v>0</v>
      </c>
      <c r="AK225">
        <f t="shared" si="116"/>
        <v>0</v>
      </c>
      <c r="AL225">
        <f t="shared" si="117"/>
        <v>0</v>
      </c>
      <c r="AM225">
        <f t="shared" si="118"/>
        <v>0</v>
      </c>
      <c r="AN225">
        <f t="shared" si="119"/>
        <v>0</v>
      </c>
      <c r="AO225">
        <f t="shared" si="120"/>
        <v>0</v>
      </c>
      <c r="AP225">
        <f t="shared" si="121"/>
        <v>0</v>
      </c>
      <c r="AQ225">
        <f t="shared" si="122"/>
        <v>0</v>
      </c>
      <c r="AR225">
        <f t="shared" si="123"/>
        <v>0</v>
      </c>
      <c r="AS225">
        <f t="shared" si="124"/>
        <v>0</v>
      </c>
      <c r="AT225">
        <f t="shared" si="125"/>
        <v>0</v>
      </c>
      <c r="AU225">
        <f t="shared" si="126"/>
        <v>0</v>
      </c>
      <c r="AV225">
        <f t="shared" si="127"/>
        <v>0</v>
      </c>
      <c r="AW225">
        <f t="shared" si="128"/>
        <v>0</v>
      </c>
      <c r="AX225">
        <f t="shared" si="129"/>
        <v>0</v>
      </c>
      <c r="AY225">
        <f t="shared" si="130"/>
        <v>0</v>
      </c>
      <c r="AZ225">
        <f>COUNTIF(AB214:AB219,"NS")</f>
        <v>0</v>
      </c>
      <c r="BA225">
        <f>SUM(AB214:AB219)</f>
        <v>0</v>
      </c>
      <c r="BB225">
        <f>IF(COUNTA(AB213:AB219)=0,0,IF(OR(AND(AB213=0,AZ225&gt;0),AND(AB213="ns",BA225&gt;0),AND(AB213="ns",AZ225=0,BA225=0)),1,IF(OR(AND(AZ225&gt;=2,AB213&gt;BA225),AND(AB213="ns",BA225=0,AZ225&gt;0),AB213=BA225),0,1)))</f>
        <v>0</v>
      </c>
      <c r="BC225">
        <f>COUNTIF(AB225:AB229,"NS")</f>
        <v>0</v>
      </c>
      <c r="BD225">
        <f>SUM(AB225:AB229)</f>
        <v>0</v>
      </c>
      <c r="BE225">
        <f>IF(COUNTA(AB224:AB229)=0,0,IF(OR(AND(AB224=0,BC225&gt;0),AND(AB224="ns",BD225&gt;0),AND(AB224="ns",BC225=0,BD225=0)),1,IF(OR(AND(BC225&gt;=2,AB224&gt;BD225),AND(AB224="ns",BD225=0,BC225&gt;0),AB224=BD225),0,1)))</f>
        <v>0</v>
      </c>
      <c r="BF225">
        <f>COUNTIF(AB234:AB251,"NS")</f>
        <v>0</v>
      </c>
      <c r="BG225">
        <f>SUM(AB234:AB251)</f>
        <v>0</v>
      </c>
      <c r="BH225">
        <f>IF(COUNTA(AB233:AB251)=0,0,IF(OR(AND(AB233=0,BF225&gt;0),AND(AB233="ns",BG225&gt;0),AND(AB233="ns",BF225=0,BG225=0)),1,IF(OR(AND(BF225&gt;=2,AB233&gt;BG225),AND(AB233="ns",BG225=0,BF225&gt;0),AB233=BG225),0,1)))</f>
        <v>0</v>
      </c>
      <c r="BI225">
        <f>COUNTIF(AB253:AB257,"NS")</f>
        <v>0</v>
      </c>
      <c r="BJ225">
        <f>SUM(AB253:AB257)</f>
        <v>0</v>
      </c>
      <c r="BK225">
        <f>IF(COUNTA(AB252:AB257)=0,0,IF(OR(AND(AB252=0,BI225&gt;0),AND(AB252="ns",BJ225&gt;0),AND(AB252="ns",BI225=0,BJ225=0)),1,IF(OR(AND(BI225&gt;=2,AB252&gt;BJ225),AND(AB252="ns",BJ225=0,BI225&gt;0),AB252=BJ225),0,1)))</f>
        <v>0</v>
      </c>
      <c r="BL225">
        <f>COUNTIF(AB261:AB263,"NS")</f>
        <v>0</v>
      </c>
      <c r="BM225">
        <f>SUM(AB261:AB263)</f>
        <v>0</v>
      </c>
      <c r="BN225">
        <f>IF(COUNTA(AB260:AB263)=0,0,IF(OR(AND(AB260=0,BL225&gt;0),AND(AB260="ns",BM225&gt;0),AND(AB260="ns",BL225=0,BM225=0)),1,IF(OR(AND(BL225&gt;=2,AB260&gt;BM225),AND(AB260="ns",BM225=0,BL225&gt;0),AB260=BM225),0,1)))</f>
        <v>0</v>
      </c>
      <c r="BO225">
        <f>COUNTIF(AB271:AB277,"NS")</f>
        <v>0</v>
      </c>
      <c r="BP225">
        <f>SUM(AB271:AB277)</f>
        <v>0</v>
      </c>
      <c r="BQ225">
        <f>IF(COUNTA(AB270:AB277)=0,0,IF(OR(AND(AB270=0,BO225&gt;0),AND(AB270="ns",BP225&gt;0),AND(AB270="ns",BO225=0,BP225=0)),1,IF(OR(AND(BO225&gt;=2,AB270&gt;BP225),AND(AB270="ns",BP225=0,BO225&gt;0),AB270=BP225),0,1)))</f>
        <v>0</v>
      </c>
      <c r="BR225">
        <f>COUNTIF(AB279:AB283,"NS")</f>
        <v>0</v>
      </c>
      <c r="BS225">
        <f>SUM(AB279:AB283)</f>
        <v>0</v>
      </c>
      <c r="BT225">
        <f>IF(COUNTA(AB278:AB283)=0,0,IF(OR(AND(AB278=0,BR225&gt;0),AND(AB278="ns",BS225&gt;0),AND(AB278="ns",BR225=0,BS225=0)),1,IF(OR(AND(BR225&gt;=2,AB278&gt;BS225),AND(AB278="ns",BS225=0,BR225&gt;0),AB278=BS225),0,1)))</f>
        <v>0</v>
      </c>
      <c r="BU225">
        <f>COUNTIF(AB289:AB294,"NS")</f>
        <v>0</v>
      </c>
      <c r="BV225">
        <f>SUM(AB289:AB294)</f>
        <v>0</v>
      </c>
      <c r="BW225">
        <f>IF(COUNTA(AB288:AB294)=0,0,IF(OR(AND(AB288=0,BU225&gt;0),AND(AB288="ns",BV225&gt;0),AND(AB288="ns",BU225=0,BV225=0)),1,IF(OR(AND(BU225&gt;=2,AB288&gt;BV225),AND(AB288="ns",BV225=0,BU225&gt;0),AB288=BV225),0,1)))</f>
        <v>0</v>
      </c>
      <c r="BX225">
        <f>COUNTIF(AB296:AB303,"NS")</f>
        <v>0</v>
      </c>
      <c r="BY225">
        <f>SUM(AB296:AB303)</f>
        <v>0</v>
      </c>
      <c r="BZ225">
        <f>IF(COUNTA(AB295:AB303)=0,0,IF(OR(AND(AB295=0,BX225&gt;0),AND(AB295="ns",BY225&gt;0),AND(AB295="ns",BX225=0,BY225=0)),1,IF(OR(AND(BX225&gt;=2,AB295&gt;BY225),AND(AB295="ns",BY225=0,BX225&gt;0),AB295=BY225),0,1)))</f>
        <v>0</v>
      </c>
      <c r="CA225">
        <f>COUNTIF(AB308:AB313,"NS")</f>
        <v>0</v>
      </c>
      <c r="CB225">
        <f>SUM(AB308:AB313)</f>
        <v>0</v>
      </c>
      <c r="CC225">
        <f>IF(COUNTA(AB307:AB313)=0,0,IF(OR(AND(AB307=0,CA225&gt;0),AND(AB307="ns",CB225&gt;0),AND(AB307="ns",CA225=0,CB225=0)),1,IF(OR(AND(CA225&gt;=2,AB307&gt;CB225),AND(AB307="ns",CB225=0,CA225&gt;0),AB307=CB225),0,1)))</f>
        <v>0</v>
      </c>
      <c r="CD225">
        <f>COUNTIF(AB318:AB326,"NS")</f>
        <v>0</v>
      </c>
      <c r="CE225">
        <f>SUM(AB318:AB326)</f>
        <v>0</v>
      </c>
      <c r="CF225">
        <f>IF(COUNTA(AB317:AB326)=0,0,IF(OR(AND(AB317=0,CD225&gt;0),AND(AB317="ns",CE225&gt;0),AND(AB317="ns",CD225=0,CE225=0)),1,IF(OR(AND(CD225&gt;=2,AB317&gt;CE225),AND(AB317="ns",CE225=0,CD225&gt;0),AB317=CE225),0,1)))</f>
        <v>0</v>
      </c>
      <c r="CG225">
        <f>COUNTIF(AB328:AB330,"NS")</f>
        <v>0</v>
      </c>
      <c r="CH225">
        <f>SUM(AB328:AB330)</f>
        <v>0</v>
      </c>
      <c r="CI225">
        <f>IF(COUNTA(AB327:AB330)=0,0,IF(OR(AND(AB327=0,CG225&gt;0),AND(AB327="ns",CH225&gt;0),AND(AB327="ns",CG225=0,CH225=0)),1,IF(OR(AND(CG225&gt;=2,AB327&gt;CH225),AND(AB327="ns",CH225=0,CG225&gt;0),AB327=CH225),0,1)))</f>
        <v>0</v>
      </c>
      <c r="CJ225">
        <f>COUNTIF(AB339:AB345,"NS")</f>
        <v>0</v>
      </c>
      <c r="CK225">
        <f>SUM(AB339:AB345)</f>
        <v>0</v>
      </c>
      <c r="CL225">
        <f>IF(COUNTA(AB338:AB345)=0,0,IF(OR(AND(AB338=0,CJ225&gt;0),AND(AB338="ns",CK225&gt;0),AND(AB338="ns",CJ225=0,CK225=0)),1,IF(OR(AND(CJ225&gt;=2,AB338&gt;CK225),AND(AB338="ns",CK225=0,CJ225&gt;0),AB338=CK225),0,1)))</f>
        <v>0</v>
      </c>
      <c r="CM225">
        <f>COUNTIF(AB348:AB350,"NS")</f>
        <v>0</v>
      </c>
      <c r="CN225">
        <f>SUM(AB348:AB350)</f>
        <v>0</v>
      </c>
      <c r="CO225">
        <f>IF(COUNTA(AB347:AB350)=0,0,IF(OR(AND(AB347=0,CM225&gt;0),AND(AB347="ns",CN225&gt;0),AND(AB347="ns",CM225=0,CN225=0)),1,IF(OR(AND(CM225&gt;=2,AB347&gt;CN225),AND(AB347="ns",CN225=0,CM225&gt;0),AB347=CN225),0,1)))</f>
        <v>0</v>
      </c>
      <c r="CP225">
        <f>COUNTIF(AB360:AB364,"NS")</f>
        <v>0</v>
      </c>
      <c r="CQ225">
        <f>SUM(AB360:AB364)</f>
        <v>0</v>
      </c>
      <c r="CR225">
        <f>IF(COUNTA(AB359:AB364)=0,0,IF(OR(AND(AB359=0,CP225&gt;0),AND(AB359="ns",CQ225&gt;0),AND(AB359="ns",CP225=0,CQ225=0)),1,IF(OR(AND(CP225&gt;=2,AB359&gt;CQ225),AND(AB359="ns",CQ225=0,CP225&gt;0),AB359=CQ225),0,1)))</f>
        <v>0</v>
      </c>
      <c r="CS225"/>
      <c r="CT225"/>
      <c r="CU225"/>
      <c r="CV225"/>
      <c r="CW225"/>
      <c r="CX225"/>
      <c r="CY225"/>
      <c r="CZ225"/>
      <c r="DA225"/>
    </row>
    <row r="226" spans="1:105" ht="48" customHeight="1">
      <c r="A226" s="108"/>
      <c r="B226" s="38"/>
      <c r="C226" s="1109"/>
      <c r="D226" s="954"/>
      <c r="E226" s="956"/>
      <c r="F226" s="1110" t="s">
        <v>4839</v>
      </c>
      <c r="G226" s="1110"/>
      <c r="H226" s="178"/>
      <c r="I226" s="1111" t="s">
        <v>4840</v>
      </c>
      <c r="J226" s="1111"/>
      <c r="K226" s="1111"/>
      <c r="L226" s="1111"/>
      <c r="M226" s="1111"/>
      <c r="N226" s="1111"/>
      <c r="O226" s="1112"/>
      <c r="P226" s="100"/>
      <c r="Q226" s="100"/>
      <c r="R226" s="100"/>
      <c r="S226" s="100"/>
      <c r="T226" s="100"/>
      <c r="U226" s="100"/>
      <c r="V226" s="100"/>
      <c r="W226" s="100"/>
      <c r="X226" s="100"/>
      <c r="Y226" s="100"/>
      <c r="Z226" s="100"/>
      <c r="AA226" s="100"/>
      <c r="AB226" s="100"/>
      <c r="AC226" s="100"/>
      <c r="AD226" s="100"/>
      <c r="AF226"/>
      <c r="AG226">
        <f t="shared" si="131"/>
        <v>0</v>
      </c>
      <c r="AH226">
        <f t="shared" si="132"/>
        <v>0</v>
      </c>
      <c r="AK226">
        <f t="shared" si="116"/>
        <v>0</v>
      </c>
      <c r="AL226">
        <f t="shared" si="117"/>
        <v>0</v>
      </c>
      <c r="AM226">
        <f t="shared" si="118"/>
        <v>0</v>
      </c>
      <c r="AN226">
        <f t="shared" si="119"/>
        <v>0</v>
      </c>
      <c r="AO226">
        <f t="shared" si="120"/>
        <v>0</v>
      </c>
      <c r="AP226">
        <f t="shared" si="121"/>
        <v>0</v>
      </c>
      <c r="AQ226">
        <f t="shared" si="122"/>
        <v>0</v>
      </c>
      <c r="AR226">
        <f t="shared" si="123"/>
        <v>0</v>
      </c>
      <c r="AS226">
        <f t="shared" si="124"/>
        <v>0</v>
      </c>
      <c r="AT226">
        <f t="shared" si="125"/>
        <v>0</v>
      </c>
      <c r="AU226">
        <f t="shared" si="126"/>
        <v>0</v>
      </c>
      <c r="AV226">
        <f t="shared" si="127"/>
        <v>0</v>
      </c>
      <c r="AW226">
        <f t="shared" si="128"/>
        <v>0</v>
      </c>
      <c r="AX226">
        <f t="shared" si="129"/>
        <v>0</v>
      </c>
      <c r="AY226">
        <f t="shared" si="130"/>
        <v>0</v>
      </c>
      <c r="AZ226">
        <f>COUNTIF(AC214:AC219,"NS")</f>
        <v>0</v>
      </c>
      <c r="BA226">
        <f>SUM(AC214:AC219)</f>
        <v>0</v>
      </c>
      <c r="BB226">
        <f>IF(COUNTA(AC213:AC219)=0,0,IF(OR(AND(AC213=0,AZ226&gt;0),AND(AC213="ns",BA226&gt;0),AND(AC213="ns",AZ226=0,BA226=0)),1,IF(OR(AND(AZ226&gt;=2,AC213&gt;BA226),AND(AC213="ns",BA226=0,AZ226&gt;0),AC213=BA226),0,1)))</f>
        <v>0</v>
      </c>
      <c r="BC226">
        <f>COUNTIF(AC225:AC229,"NS")</f>
        <v>0</v>
      </c>
      <c r="BD226">
        <f>SUM(AC225:AC229)</f>
        <v>0</v>
      </c>
      <c r="BE226">
        <f>IF(COUNTA(AC224:AC229)=0,0,IF(OR(AND(AC224=0,BC226&gt;0),AND(AC224="ns",BD226&gt;0),AND(AC224="ns",BC226=0,BD226=0)),1,IF(OR(AND(BC226&gt;=2,AC224&gt;BD226),AND(AC224="ns",BD226=0,BC226&gt;0),AC224=BD226),0,1)))</f>
        <v>0</v>
      </c>
      <c r="BF226">
        <f>COUNTIF(AC234:AC251,"NS")</f>
        <v>0</v>
      </c>
      <c r="BG226">
        <f>SUM(AC234:AC251)</f>
        <v>0</v>
      </c>
      <c r="BH226">
        <f>IF(COUNTA(AC233:AC251)=0,0,IF(OR(AND(AC233=0,BF226&gt;0),AND(AC233="ns",BG226&gt;0),AND(AC233="ns",BF226=0,BG226=0)),1,IF(OR(AND(BF226&gt;=2,AC233&gt;BG226),AND(AC233="ns",BG226=0,BF226&gt;0),AC233=BG226),0,1)))</f>
        <v>0</v>
      </c>
      <c r="BI226">
        <f>COUNTIF(AC253:AC257,"NS")</f>
        <v>0</v>
      </c>
      <c r="BJ226">
        <f>SUM(AC253:AC257)</f>
        <v>0</v>
      </c>
      <c r="BK226">
        <f>IF(COUNTA(AC252:AC257)=0,0,IF(OR(AND(AC252=0,BI226&gt;0),AND(AC252="ns",BJ226&gt;0),AND(AC252="ns",BI226=0,BJ226=0)),1,IF(OR(AND(BI226&gt;=2,AC252&gt;BJ226),AND(AC252="ns",BJ226=0,BI226&gt;0),AC252=BJ226),0,1)))</f>
        <v>0</v>
      </c>
      <c r="BL226">
        <f>COUNTIF(AC261:AC263,"NS")</f>
        <v>0</v>
      </c>
      <c r="BM226">
        <f>SUM(AC261:AC263)</f>
        <v>0</v>
      </c>
      <c r="BN226">
        <f>IF(COUNTA(AC260:AC263)=0,0,IF(OR(AND(AC260=0,BL226&gt;0),AND(AC260="ns",BM226&gt;0),AND(AC260="ns",BL226=0,BM226=0)),1,IF(OR(AND(BL226&gt;=2,AC260&gt;BM226),AND(AC260="ns",BM226=0,BL226&gt;0),AC260=BM226),0,1)))</f>
        <v>0</v>
      </c>
      <c r="BO226">
        <f>COUNTIF(AC271:AC277,"NS")</f>
        <v>0</v>
      </c>
      <c r="BP226">
        <f>SUM(AC271:AC277)</f>
        <v>0</v>
      </c>
      <c r="BQ226">
        <f>IF(COUNTA(AC270:AC277)=0,0,IF(OR(AND(AC270=0,BO226&gt;0),AND(AC270="ns",BP226&gt;0),AND(AC270="ns",BO226=0,BP226=0)),1,IF(OR(AND(BO226&gt;=2,AC270&gt;BP226),AND(AC270="ns",BP226=0,BO226&gt;0),AC270=BP226),0,1)))</f>
        <v>0</v>
      </c>
      <c r="BR226">
        <f>COUNTIF(AC279:AC283,"NS")</f>
        <v>0</v>
      </c>
      <c r="BS226">
        <f>SUM(AC279:AC283)</f>
        <v>0</v>
      </c>
      <c r="BT226">
        <f>IF(COUNTA(AC278:AC283)=0,0,IF(OR(AND(AC278=0,BR226&gt;0),AND(AC278="ns",BS226&gt;0),AND(AC278="ns",BR226=0,BS226=0)),1,IF(OR(AND(BR226&gt;=2,AC278&gt;BS226),AND(AC278="ns",BS226=0,BR226&gt;0),AC278=BS226),0,1)))</f>
        <v>0</v>
      </c>
      <c r="BU226">
        <f>COUNTIF(AC289:AC294,"NS")</f>
        <v>0</v>
      </c>
      <c r="BV226">
        <f>SUM(AC289:AC294)</f>
        <v>0</v>
      </c>
      <c r="BW226">
        <f>IF(COUNTA(AC288:AC294)=0,0,IF(OR(AND(AC288=0,BU226&gt;0),AND(AC288="ns",BV226&gt;0),AND(AC288="ns",BU226=0,BV226=0)),1,IF(OR(AND(BU226&gt;=2,AC288&gt;BV226),AND(AC288="ns",BV226=0,BU226&gt;0),AC288=BV226),0,1)))</f>
        <v>0</v>
      </c>
      <c r="BX226">
        <f>COUNTIF(AC296:AC303,"NS")</f>
        <v>0</v>
      </c>
      <c r="BY226">
        <f>SUM(AC296:AC303)</f>
        <v>0</v>
      </c>
      <c r="BZ226">
        <f>IF(COUNTA(AC295:AC303)=0,0,IF(OR(AND(AC295=0,BX226&gt;0),AND(AC295="ns",BY226&gt;0),AND(AC295="ns",BX226=0,BY226=0)),1,IF(OR(AND(BX226&gt;=2,AC295&gt;BY226),AND(AC295="ns",BY226=0,BX226&gt;0),AC295=BY226),0,1)))</f>
        <v>0</v>
      </c>
      <c r="CA226">
        <f>COUNTIF(AC308:AC313,"NS")</f>
        <v>0</v>
      </c>
      <c r="CB226">
        <f>SUM(AC308:AC313)</f>
        <v>0</v>
      </c>
      <c r="CC226">
        <f>IF(COUNTA(AC307:AC313)=0,0,IF(OR(AND(AC307=0,CA226&gt;0),AND(AC307="ns",CB226&gt;0),AND(AC307="ns",CA226=0,CB226=0)),1,IF(OR(AND(CA226&gt;=2,AC307&gt;CB226),AND(AC307="ns",CB226=0,CA226&gt;0),AC307=CB226),0,1)))</f>
        <v>0</v>
      </c>
      <c r="CD226">
        <f>COUNTIF(AC318:AC326,"NS")</f>
        <v>0</v>
      </c>
      <c r="CE226">
        <f>SUM(AC318:AC326)</f>
        <v>0</v>
      </c>
      <c r="CF226">
        <f>IF(COUNTA(AC317:AC326)=0,0,IF(OR(AND(AC317=0,CD226&gt;0),AND(AC317="ns",CE226&gt;0),AND(AC317="ns",CD226=0,CE226=0)),1,IF(OR(AND(CD226&gt;=2,AC317&gt;CE226),AND(AC317="ns",CE226=0,CD226&gt;0),AC317=CE226),0,1)))</f>
        <v>0</v>
      </c>
      <c r="CG226">
        <f>COUNTIF(AC328:AC330,"NS")</f>
        <v>0</v>
      </c>
      <c r="CH226">
        <f>SUM(AC328:AC330)</f>
        <v>0</v>
      </c>
      <c r="CI226">
        <f>IF(COUNTA(AC327:AC330)=0,0,IF(OR(AND(AC327=0,CG226&gt;0),AND(AC327="ns",CH226&gt;0),AND(AC327="ns",CG226=0,CH226=0)),1,IF(OR(AND(CG226&gt;=2,AC327&gt;CH226),AND(AC327="ns",CH226=0,CG226&gt;0),AC327=CH226),0,1)))</f>
        <v>0</v>
      </c>
      <c r="CJ226">
        <f>COUNTIF(AC339:AC345,"NS")</f>
        <v>0</v>
      </c>
      <c r="CK226">
        <f>SUM(AC339:AC345)</f>
        <v>0</v>
      </c>
      <c r="CL226">
        <f>IF(COUNTA(AC338:AC345)=0,0,IF(OR(AND(AC338=0,CJ226&gt;0),AND(AC338="ns",CK226&gt;0),AND(AC338="ns",CJ226=0,CK226=0)),1,IF(OR(AND(CJ226&gt;=2,AC338&gt;CK226),AND(AC338="ns",CK226=0,CJ226&gt;0),AC338=CK226),0,1)))</f>
        <v>0</v>
      </c>
      <c r="CM226">
        <f>COUNTIF(AC348:AC350,"NS")</f>
        <v>0</v>
      </c>
      <c r="CN226">
        <f>SUM(AC348:AC350)</f>
        <v>0</v>
      </c>
      <c r="CO226">
        <f>IF(COUNTA(AC347:AC350)=0,0,IF(OR(AND(AC347=0,CM226&gt;0),AND(AC347="ns",CN226&gt;0),AND(AC347="ns",CM226=0,CN226=0)),1,IF(OR(AND(CM226&gt;=2,AC347&gt;CN226),AND(AC347="ns",CN226=0,CM226&gt;0),AC347=CN226),0,1)))</f>
        <v>0</v>
      </c>
      <c r="CP226">
        <f>COUNTIF(AC360:AC364,"NS")</f>
        <v>0</v>
      </c>
      <c r="CQ226">
        <f>SUM(AC360:AC364)</f>
        <v>0</v>
      </c>
      <c r="CR226">
        <f>IF(COUNTA(AC359:AC364)=0,0,IF(OR(AND(AC359=0,CP226&gt;0),AND(AC359="ns",CQ226&gt;0),AND(AC359="ns",CP226=0,CQ226=0)),1,IF(OR(AND(CP226&gt;=2,AC359&gt;CQ226),AND(AC359="ns",CQ226=0,CP226&gt;0),AC359=CQ226),0,1)))</f>
        <v>0</v>
      </c>
      <c r="CS226"/>
      <c r="CT226"/>
      <c r="CU226"/>
      <c r="CV226"/>
      <c r="CW226"/>
      <c r="CX226"/>
      <c r="CY226"/>
      <c r="CZ226"/>
      <c r="DA226"/>
    </row>
    <row r="227" spans="1:105" ht="24" customHeight="1">
      <c r="A227" s="108"/>
      <c r="B227" s="38"/>
      <c r="C227" s="1109"/>
      <c r="D227" s="954"/>
      <c r="E227" s="956"/>
      <c r="F227" s="1110" t="s">
        <v>4841</v>
      </c>
      <c r="G227" s="1110"/>
      <c r="H227" s="178"/>
      <c r="I227" s="1111" t="s">
        <v>4842</v>
      </c>
      <c r="J227" s="1111"/>
      <c r="K227" s="1111"/>
      <c r="L227" s="1111"/>
      <c r="M227" s="1111"/>
      <c r="N227" s="1111"/>
      <c r="O227" s="1112"/>
      <c r="P227" s="100"/>
      <c r="Q227" s="100"/>
      <c r="R227" s="100"/>
      <c r="S227" s="100"/>
      <c r="T227" s="100"/>
      <c r="U227" s="100"/>
      <c r="V227" s="100"/>
      <c r="W227" s="100"/>
      <c r="X227" s="100"/>
      <c r="Y227" s="100"/>
      <c r="Z227" s="100"/>
      <c r="AA227" s="100"/>
      <c r="AB227" s="100"/>
      <c r="AC227" s="100"/>
      <c r="AD227" s="100"/>
      <c r="AF227"/>
      <c r="AG227">
        <f t="shared" si="131"/>
        <v>0</v>
      </c>
      <c r="AH227">
        <f t="shared" si="132"/>
        <v>0</v>
      </c>
      <c r="AK227">
        <f t="shared" si="116"/>
        <v>0</v>
      </c>
      <c r="AL227">
        <f t="shared" si="117"/>
        <v>0</v>
      </c>
      <c r="AM227">
        <f t="shared" si="118"/>
        <v>0</v>
      </c>
      <c r="AN227">
        <f t="shared" si="119"/>
        <v>0</v>
      </c>
      <c r="AO227">
        <f t="shared" si="120"/>
        <v>0</v>
      </c>
      <c r="AP227">
        <f t="shared" si="121"/>
        <v>0</v>
      </c>
      <c r="AQ227">
        <f t="shared" si="122"/>
        <v>0</v>
      </c>
      <c r="AR227">
        <f t="shared" si="123"/>
        <v>0</v>
      </c>
      <c r="AS227">
        <f t="shared" si="124"/>
        <v>0</v>
      </c>
      <c r="AT227">
        <f t="shared" si="125"/>
        <v>0</v>
      </c>
      <c r="AU227">
        <f t="shared" si="126"/>
        <v>0</v>
      </c>
      <c r="AV227">
        <f t="shared" si="127"/>
        <v>0</v>
      </c>
      <c r="AW227">
        <f t="shared" si="128"/>
        <v>0</v>
      </c>
      <c r="AX227">
        <f t="shared" si="129"/>
        <v>0</v>
      </c>
      <c r="AY227">
        <f t="shared" si="130"/>
        <v>0</v>
      </c>
      <c r="AZ227">
        <f>COUNTIF(AD214:AD219,"NS")</f>
        <v>0</v>
      </c>
      <c r="BA227">
        <f>SUM(AD214:AD219)</f>
        <v>0</v>
      </c>
      <c r="BB227">
        <f>IF(COUNTA(AD213:AD219)=0,0,IF(OR(AND(AD213=0,AZ227&gt;0),AND(AD213="ns",BA227&gt;0),AND(AD213="ns",AZ227=0,BA227=0)),1,IF(OR(AND(AZ227&gt;=2,AD213&gt;BA227),AND(AD213="ns",BA227=0,AZ227&gt;0),AD213=BA227),0,1)))</f>
        <v>0</v>
      </c>
      <c r="BC227">
        <f>COUNTIF(AD225:AD229,"NS")</f>
        <v>0</v>
      </c>
      <c r="BD227">
        <f>SUM(AD225:AD229)</f>
        <v>0</v>
      </c>
      <c r="BE227">
        <f>IF(COUNTA(AD224:AD229)=0,0,IF(OR(AND(AD224=0,BC227&gt;0),AND(AD224="ns",BD227&gt;0),AND(AD224="ns",BC227=0,BD227=0)),1,IF(OR(AND(BC227&gt;=2,AD224&gt;BD227),AND(AD224="ns",BD227=0,BC227&gt;0),AD224=BD227),0,1)))</f>
        <v>0</v>
      </c>
      <c r="BF227">
        <f>COUNTIF(AD234:AD251,"NS")</f>
        <v>0</v>
      </c>
      <c r="BG227">
        <f>SUM(AD234:AD251)</f>
        <v>0</v>
      </c>
      <c r="BH227">
        <f>IF(COUNTA(AD233:AD251)=0,0,IF(OR(AND(AD233=0,BF227&gt;0),AND(AD233="ns",BG227&gt;0),AND(AD233="ns",BF227=0,BG227=0)),1,IF(OR(AND(BF227&gt;=2,AD233&gt;BG227),AND(AD233="ns",BG227=0,BF227&gt;0),AD233=BG227),0,1)))</f>
        <v>0</v>
      </c>
      <c r="BI227">
        <f>COUNTIF(AD253:AD257,"NS")</f>
        <v>0</v>
      </c>
      <c r="BJ227">
        <f>SUM(AD253:AD257)</f>
        <v>0</v>
      </c>
      <c r="BK227">
        <f>IF(COUNTA(AD252:AD257)=0,0,IF(OR(AND(AD252=0,BI227&gt;0),AND(AD252="ns",BJ227&gt;0),AND(AD252="ns",BI227=0,BJ227=0)),1,IF(OR(AND(BI227&gt;=2,AD252&gt;BJ227),AND(AD252="ns",BJ227=0,BI227&gt;0),AD252=BJ227),0,1)))</f>
        <v>0</v>
      </c>
      <c r="BL227">
        <f>COUNTIF(AD261:AD263,"NS")</f>
        <v>0</v>
      </c>
      <c r="BM227">
        <f>SUM(AD261:AD263)</f>
        <v>0</v>
      </c>
      <c r="BN227">
        <f>IF(COUNTA(AD260:AD263)=0,0,IF(OR(AND(AD260=0,BL227&gt;0),AND(AD260="ns",BM227&gt;0),AND(AD260="ns",BL227=0,BM227=0)),1,IF(OR(AND(BL227&gt;=2,AD260&gt;BM227),AND(AD260="ns",BM227=0,BL227&gt;0),AD260=BM227),0,1)))</f>
        <v>0</v>
      </c>
      <c r="BO227">
        <f>COUNTIF(AD271:AD277,"NS")</f>
        <v>0</v>
      </c>
      <c r="BP227">
        <f>SUM(AD271:AD277)</f>
        <v>0</v>
      </c>
      <c r="BQ227">
        <f>IF(COUNTA(AD270:AD277)=0,0,IF(OR(AND(AD270=0,BO227&gt;0),AND(AD270="ns",BP227&gt;0),AND(AD270="ns",BO227=0,BP227=0)),1,IF(OR(AND(BO227&gt;=2,AD270&gt;BP227),AND(AD270="ns",BP227=0,BO227&gt;0),AD270=BP227),0,1)))</f>
        <v>0</v>
      </c>
      <c r="BR227">
        <f>COUNTIF(AD279:AD283,"NS")</f>
        <v>0</v>
      </c>
      <c r="BS227">
        <f>SUM(AD279:AD283)</f>
        <v>0</v>
      </c>
      <c r="BT227">
        <f>IF(COUNTA(AD278:AD283)=0,0,IF(OR(AND(AD278=0,BR227&gt;0),AND(AD278="ns",BS227&gt;0),AND(AD278="ns",BR227=0,BS227=0)),1,IF(OR(AND(BR227&gt;=2,AD278&gt;BS227),AND(AD278="ns",BS227=0,BR227&gt;0),AD278=BS227),0,1)))</f>
        <v>0</v>
      </c>
      <c r="BU227">
        <f>COUNTIF(AD289:AD294,"NS")</f>
        <v>0</v>
      </c>
      <c r="BV227">
        <f>SUM(AD289:AD294)</f>
        <v>0</v>
      </c>
      <c r="BW227">
        <f>IF(COUNTA(AD288:AD294)=0,0,IF(OR(AND(AD288=0,BU227&gt;0),AND(AD288="ns",BV227&gt;0),AND(AD288="ns",BU227=0,BV227=0)),1,IF(OR(AND(BU227&gt;=2,AD288&gt;BV227),AND(AD288="ns",BV227=0,BU227&gt;0),AD288=BV227),0,1)))</f>
        <v>0</v>
      </c>
      <c r="BX227">
        <f>COUNTIF(AD296:AD303,"NS")</f>
        <v>0</v>
      </c>
      <c r="BY227">
        <f>SUM(AD296:AD303)</f>
        <v>0</v>
      </c>
      <c r="BZ227">
        <f>IF(COUNTA(AD295:AD303)=0,0,IF(OR(AND(AD295=0,BX227&gt;0),AND(AD295="ns",BY227&gt;0),AND(AD295="ns",BX227=0,BY227=0)),1,IF(OR(AND(BX227&gt;=2,AD295&gt;BY227),AND(AD295="ns",BY227=0,BX227&gt;0),AD295=BY227),0,1)))</f>
        <v>0</v>
      </c>
      <c r="CA227">
        <f>COUNTIF(AD308:AD313,"NS")</f>
        <v>0</v>
      </c>
      <c r="CB227">
        <f>SUM(AD308:AD313)</f>
        <v>0</v>
      </c>
      <c r="CC227">
        <f>IF(COUNTA(AD307:AD313)=0,0,IF(OR(AND(AD307=0,CA227&gt;0),AND(AD307="ns",CB227&gt;0),AND(AD307="ns",CA227=0,CB227=0)),1,IF(OR(AND(CA227&gt;=2,AD307&gt;CB227),AND(AD307="ns",CB227=0,CA227&gt;0),AD307=CB227),0,1)))</f>
        <v>0</v>
      </c>
      <c r="CD227">
        <f>COUNTIF(AD318:AD326,"NS")</f>
        <v>0</v>
      </c>
      <c r="CE227">
        <f>SUM(AD318:AD326)</f>
        <v>0</v>
      </c>
      <c r="CF227">
        <f>IF(COUNTA(AD317:AD326)=0,0,IF(OR(AND(AD317=0,CD227&gt;0),AND(AD317="ns",CE227&gt;0),AND(AD317="ns",CD227=0,CE227=0)),1,IF(OR(AND(CD227&gt;=2,AD317&gt;CE227),AND(AD317="ns",CE227=0,CD227&gt;0),AD317=CE227),0,1)))</f>
        <v>0</v>
      </c>
      <c r="CG227">
        <f>COUNTIF(AD328:AD330,"NS")</f>
        <v>0</v>
      </c>
      <c r="CH227">
        <f>SUM(AD328:AD330)</f>
        <v>0</v>
      </c>
      <c r="CI227">
        <f>IF(COUNTA(AD327:AD330)=0,0,IF(OR(AND(AD327=0,CG227&gt;0),AND(AD327="ns",CH227&gt;0),AND(AD327="ns",CG227=0,CH227=0)),1,IF(OR(AND(CG227&gt;=2,AD327&gt;CH227),AND(AD327="ns",CH227=0,CG227&gt;0),AD327=CH227),0,1)))</f>
        <v>0</v>
      </c>
      <c r="CJ227">
        <f>COUNTIF(AD339:AD345,"NS")</f>
        <v>0</v>
      </c>
      <c r="CK227">
        <f>SUM(AD339:AD345)</f>
        <v>0</v>
      </c>
      <c r="CL227">
        <f>IF(COUNTA(AD338:AD345)=0,0,IF(OR(AND(AD338=0,CJ227&gt;0),AND(AD338="ns",CK227&gt;0),AND(AD338="ns",CJ227=0,CK227=0)),1,IF(OR(AND(CJ227&gt;=2,AD338&gt;CK227),AND(AD338="ns",CK227=0,CJ227&gt;0),AD338=CK227),0,1)))</f>
        <v>0</v>
      </c>
      <c r="CM227">
        <f>COUNTIF(AD348:AD350,"NS")</f>
        <v>0</v>
      </c>
      <c r="CN227">
        <f>SUM(AD348:AD350)</f>
        <v>0</v>
      </c>
      <c r="CO227">
        <f>IF(COUNTA(AD347:AD350)=0,0,IF(OR(AND(AD347=0,CM227&gt;0),AND(AD347="ns",CN227&gt;0),AND(AD347="ns",CM227=0,CN227=0)),1,IF(OR(AND(CM227&gt;=2,AD347&gt;CN227),AND(AD347="ns",CN227=0,CM227&gt;0),AD347=CN227),0,1)))</f>
        <v>0</v>
      </c>
      <c r="CP227">
        <f>COUNTIF(AD360:AD364,"NS")</f>
        <v>0</v>
      </c>
      <c r="CQ227">
        <f>SUM(AD360:AD364)</f>
        <v>0</v>
      </c>
      <c r="CR227">
        <f>IF(COUNTA(AD359:AD364)=0,0,IF(OR(AND(AD359=0,CP227&gt;0),AND(AD359="ns",CQ227&gt;0),AND(AD359="ns",CP227=0,CQ227=0)),1,IF(OR(AND(CP227&gt;=2,AD359&gt;CQ227),AND(AD359="ns",CQ227=0,CP227&gt;0),AD359=CQ227),0,1)))</f>
        <v>0</v>
      </c>
      <c r="CS227"/>
      <c r="CT227"/>
      <c r="CU227"/>
      <c r="CV227"/>
      <c r="CW227"/>
      <c r="CX227"/>
      <c r="CY227"/>
      <c r="CZ227"/>
      <c r="DA227"/>
    </row>
    <row r="228" spans="1:105" ht="15" customHeight="1">
      <c r="A228" s="108"/>
      <c r="B228" s="38"/>
      <c r="C228" s="1109"/>
      <c r="D228" s="954"/>
      <c r="E228" s="956"/>
      <c r="F228" s="1110" t="s">
        <v>4843</v>
      </c>
      <c r="G228" s="1110"/>
      <c r="H228" s="178"/>
      <c r="I228" s="1111" t="s">
        <v>4844</v>
      </c>
      <c r="J228" s="1111"/>
      <c r="K228" s="1111"/>
      <c r="L228" s="1111"/>
      <c r="M228" s="1111"/>
      <c r="N228" s="1111"/>
      <c r="O228" s="1112"/>
      <c r="P228" s="100"/>
      <c r="Q228" s="100"/>
      <c r="R228" s="100"/>
      <c r="S228" s="100"/>
      <c r="T228" s="100"/>
      <c r="U228" s="100"/>
      <c r="V228" s="100"/>
      <c r="W228" s="100"/>
      <c r="X228" s="100"/>
      <c r="Y228" s="100"/>
      <c r="Z228" s="100"/>
      <c r="AA228" s="100"/>
      <c r="AB228" s="100"/>
      <c r="AC228" s="100"/>
      <c r="AD228" s="100"/>
      <c r="AF228"/>
      <c r="AG228">
        <f t="shared" si="131"/>
        <v>0</v>
      </c>
      <c r="AH228">
        <f t="shared" si="132"/>
        <v>0</v>
      </c>
      <c r="AK228">
        <f t="shared" si="116"/>
        <v>0</v>
      </c>
      <c r="AL228">
        <f t="shared" si="117"/>
        <v>0</v>
      </c>
      <c r="AM228">
        <f t="shared" si="118"/>
        <v>0</v>
      </c>
      <c r="AN228">
        <f t="shared" si="119"/>
        <v>0</v>
      </c>
      <c r="AO228">
        <f t="shared" si="120"/>
        <v>0</v>
      </c>
      <c r="AP228">
        <f t="shared" si="121"/>
        <v>0</v>
      </c>
      <c r="AQ228">
        <f t="shared" si="122"/>
        <v>0</v>
      </c>
      <c r="AR228">
        <f t="shared" si="123"/>
        <v>0</v>
      </c>
      <c r="AS228">
        <f t="shared" si="124"/>
        <v>0</v>
      </c>
      <c r="AT228">
        <f t="shared" si="125"/>
        <v>0</v>
      </c>
      <c r="AU228">
        <f t="shared" si="126"/>
        <v>0</v>
      </c>
      <c r="AV228">
        <f t="shared" si="127"/>
        <v>0</v>
      </c>
      <c r="AW228">
        <f t="shared" si="128"/>
        <v>0</v>
      </c>
      <c r="AX228">
        <f t="shared" si="129"/>
        <v>0</v>
      </c>
      <c r="AY228">
        <f t="shared" si="130"/>
        <v>0</v>
      </c>
      <c r="AZ228">
        <f>SUM(AZ213:AZ227)</f>
        <v>0</v>
      </c>
      <c r="BB228">
        <f>SUM(BB213:BB227)</f>
        <v>0</v>
      </c>
      <c r="BC228">
        <f>SUM(BC213:BC227)</f>
        <v>0</v>
      </c>
      <c r="BE228">
        <f>SUM(BE213:BE227)</f>
        <v>0</v>
      </c>
      <c r="BF228">
        <f>SUM(BF213:BF227)</f>
        <v>0</v>
      </c>
      <c r="BH228">
        <f>SUM(BH213:BH227)</f>
        <v>0</v>
      </c>
      <c r="BI228">
        <f>SUM(BI213:BI227)</f>
        <v>0</v>
      </c>
      <c r="BK228">
        <f>SUM(BK213:BK227)</f>
        <v>0</v>
      </c>
      <c r="BL228">
        <f>SUM(BL213:BL227)</f>
        <v>0</v>
      </c>
      <c r="BN228">
        <f>SUM(BN213:BN227)</f>
        <v>0</v>
      </c>
      <c r="BO228">
        <f>SUM(BO213:BO227)</f>
        <v>0</v>
      </c>
      <c r="BQ228">
        <f>SUM(BQ213:BQ227)</f>
        <v>0</v>
      </c>
      <c r="BR228">
        <f>SUM(BR213:BR227)</f>
        <v>0</v>
      </c>
      <c r="BT228">
        <f>SUM(BT213:BT227)</f>
        <v>0</v>
      </c>
      <c r="BU228">
        <f>SUM(BU213:BU227)</f>
        <v>0</v>
      </c>
      <c r="BW228">
        <f>SUM(BW213:BW227)</f>
        <v>0</v>
      </c>
      <c r="BX228">
        <f>SUM(BX213:BX227)</f>
        <v>0</v>
      </c>
      <c r="BZ228">
        <f>SUM(BZ213:BZ227)</f>
        <v>0</v>
      </c>
      <c r="CA228">
        <f>SUM(CA213:CA227)</f>
        <v>0</v>
      </c>
      <c r="CC228">
        <f>SUM(CC213:CC227)</f>
        <v>0</v>
      </c>
      <c r="CD228">
        <f>SUM(CD213:CD227)</f>
        <v>0</v>
      </c>
      <c r="CF228">
        <f>SUM(CF213:CF227)</f>
        <v>0</v>
      </c>
      <c r="CG228">
        <f>SUM(CG213:CG227)</f>
        <v>0</v>
      </c>
      <c r="CI228">
        <f>SUM(CI213:CI227)</f>
        <v>0</v>
      </c>
      <c r="CJ228">
        <f>SUM(CJ213:CJ227)</f>
        <v>0</v>
      </c>
      <c r="CL228">
        <f>SUM(CL213:CL227)</f>
        <v>0</v>
      </c>
      <c r="CM228">
        <f>SUM(CM213:CM227)</f>
        <v>0</v>
      </c>
      <c r="CO228">
        <f>SUM(CO213:CO227)</f>
        <v>0</v>
      </c>
      <c r="CP228">
        <f>SUM(CP213:CP227)</f>
        <v>0</v>
      </c>
      <c r="CR228">
        <f>SUM(CR213:CR227)</f>
        <v>0</v>
      </c>
      <c r="CS228"/>
      <c r="CT228"/>
      <c r="CU228"/>
      <c r="CV228"/>
      <c r="CW228"/>
      <c r="CX228"/>
      <c r="CY228"/>
      <c r="CZ228"/>
      <c r="DA228"/>
    </row>
    <row r="229" spans="1:105" ht="15" customHeight="1">
      <c r="A229" s="108"/>
      <c r="B229" s="38"/>
      <c r="C229" s="1109"/>
      <c r="D229" s="954"/>
      <c r="E229" s="956"/>
      <c r="F229" s="1110" t="s">
        <v>4845</v>
      </c>
      <c r="G229" s="1110"/>
      <c r="H229" s="179"/>
      <c r="I229" s="1111" t="s">
        <v>2631</v>
      </c>
      <c r="J229" s="1111"/>
      <c r="K229" s="1111"/>
      <c r="L229" s="1111"/>
      <c r="M229" s="1111"/>
      <c r="N229" s="1111"/>
      <c r="O229" s="1112"/>
      <c r="P229" s="100"/>
      <c r="Q229" s="100"/>
      <c r="R229" s="100"/>
      <c r="S229" s="100"/>
      <c r="T229" s="100"/>
      <c r="U229" s="100"/>
      <c r="V229" s="100"/>
      <c r="W229" s="100"/>
      <c r="X229" s="100"/>
      <c r="Y229" s="100"/>
      <c r="Z229" s="100"/>
      <c r="AA229" s="100"/>
      <c r="AB229" s="100"/>
      <c r="AC229" s="100"/>
      <c r="AD229" s="100"/>
      <c r="AF229"/>
      <c r="AG229">
        <f t="shared" si="131"/>
        <v>0</v>
      </c>
      <c r="AH229">
        <f t="shared" si="132"/>
        <v>0</v>
      </c>
      <c r="AK229">
        <f t="shared" si="116"/>
        <v>0</v>
      </c>
      <c r="AL229">
        <f t="shared" si="117"/>
        <v>0</v>
      </c>
      <c r="AM229">
        <f t="shared" si="118"/>
        <v>0</v>
      </c>
      <c r="AN229">
        <f t="shared" si="119"/>
        <v>0</v>
      </c>
      <c r="AO229">
        <f t="shared" si="120"/>
        <v>0</v>
      </c>
      <c r="AP229">
        <f t="shared" si="121"/>
        <v>0</v>
      </c>
      <c r="AQ229">
        <f t="shared" si="122"/>
        <v>0</v>
      </c>
      <c r="AR229">
        <f t="shared" si="123"/>
        <v>0</v>
      </c>
      <c r="AS229">
        <f t="shared" si="124"/>
        <v>0</v>
      </c>
      <c r="AT229">
        <f t="shared" si="125"/>
        <v>0</v>
      </c>
      <c r="AU229">
        <f t="shared" si="126"/>
        <v>0</v>
      </c>
      <c r="AV229">
        <f t="shared" si="127"/>
        <v>0</v>
      </c>
      <c r="AW229">
        <f t="shared" si="128"/>
        <v>0</v>
      </c>
      <c r="AX229">
        <f t="shared" si="129"/>
        <v>0</v>
      </c>
      <c r="AY229">
        <f t="shared" si="130"/>
        <v>0</v>
      </c>
      <c r="CR229" s="427">
        <f>SUM(BB228,BE228,BH228,BK228,BN228,BQ228,BT228,BW228,BZ228,CC228,CF228,CI228,CL228,CO228,CR228)</f>
        <v>0</v>
      </c>
      <c r="CS229"/>
      <c r="CT229"/>
      <c r="CU229"/>
      <c r="CV229"/>
      <c r="CW229"/>
      <c r="CX229"/>
      <c r="CY229"/>
      <c r="CZ229"/>
      <c r="DA229"/>
    </row>
    <row r="230" spans="1:105" ht="15" customHeight="1">
      <c r="A230" s="108"/>
      <c r="B230" s="38"/>
      <c r="C230" s="1109"/>
      <c r="D230" s="954"/>
      <c r="E230" s="956"/>
      <c r="F230" s="1103" t="s">
        <v>4846</v>
      </c>
      <c r="G230" s="1103"/>
      <c r="H230" s="1104" t="s">
        <v>4847</v>
      </c>
      <c r="I230" s="1105"/>
      <c r="J230" s="1105"/>
      <c r="K230" s="1105"/>
      <c r="L230" s="1105"/>
      <c r="M230" s="1105"/>
      <c r="N230" s="1105"/>
      <c r="O230" s="1106"/>
      <c r="P230" s="100"/>
      <c r="Q230" s="100"/>
      <c r="R230" s="100"/>
      <c r="S230" s="100"/>
      <c r="T230" s="100"/>
      <c r="U230" s="100"/>
      <c r="V230" s="100"/>
      <c r="W230" s="100"/>
      <c r="X230" s="100"/>
      <c r="Y230" s="100"/>
      <c r="Z230" s="100"/>
      <c r="AA230" s="100"/>
      <c r="AB230" s="100"/>
      <c r="AC230" s="100"/>
      <c r="AD230" s="100"/>
      <c r="AF230"/>
      <c r="AG230">
        <f t="shared" si="131"/>
        <v>0</v>
      </c>
      <c r="AH230">
        <f t="shared" si="132"/>
        <v>0</v>
      </c>
      <c r="AK230">
        <f t="shared" si="116"/>
        <v>0</v>
      </c>
      <c r="AL230">
        <f t="shared" si="117"/>
        <v>0</v>
      </c>
      <c r="AM230">
        <f t="shared" si="118"/>
        <v>0</v>
      </c>
      <c r="AN230">
        <f t="shared" si="119"/>
        <v>0</v>
      </c>
      <c r="AO230">
        <f t="shared" si="120"/>
        <v>0</v>
      </c>
      <c r="AP230">
        <f t="shared" si="121"/>
        <v>0</v>
      </c>
      <c r="AQ230">
        <f t="shared" si="122"/>
        <v>0</v>
      </c>
      <c r="AR230">
        <f t="shared" si="123"/>
        <v>0</v>
      </c>
      <c r="AS230">
        <f t="shared" si="124"/>
        <v>0</v>
      </c>
      <c r="AT230">
        <f t="shared" si="125"/>
        <v>0</v>
      </c>
      <c r="AU230">
        <f t="shared" si="126"/>
        <v>0</v>
      </c>
      <c r="AV230">
        <f t="shared" si="127"/>
        <v>0</v>
      </c>
      <c r="AW230">
        <f t="shared" si="128"/>
        <v>0</v>
      </c>
      <c r="AX230">
        <f t="shared" si="129"/>
        <v>0</v>
      </c>
      <c r="AY230">
        <f t="shared" si="130"/>
        <v>0</v>
      </c>
      <c r="CS230"/>
      <c r="CT230"/>
      <c r="CU230"/>
      <c r="CV230"/>
      <c r="CW230"/>
      <c r="CX230"/>
      <c r="CY230"/>
      <c r="CZ230"/>
      <c r="DA230"/>
    </row>
    <row r="231" spans="1:105" ht="15" customHeight="1">
      <c r="A231" s="108"/>
      <c r="B231" s="38"/>
      <c r="C231" s="1109"/>
      <c r="D231" s="954"/>
      <c r="E231" s="956"/>
      <c r="F231" s="1103" t="s">
        <v>4848</v>
      </c>
      <c r="G231" s="1103"/>
      <c r="H231" s="1104" t="s">
        <v>4849</v>
      </c>
      <c r="I231" s="1105"/>
      <c r="J231" s="1105"/>
      <c r="K231" s="1105"/>
      <c r="L231" s="1105"/>
      <c r="M231" s="1105"/>
      <c r="N231" s="1105"/>
      <c r="O231" s="1106"/>
      <c r="P231" s="100"/>
      <c r="Q231" s="100"/>
      <c r="R231" s="100"/>
      <c r="S231" s="100"/>
      <c r="T231" s="100"/>
      <c r="U231" s="100"/>
      <c r="V231" s="100"/>
      <c r="W231" s="100"/>
      <c r="X231" s="100"/>
      <c r="Y231" s="100"/>
      <c r="Z231" s="100"/>
      <c r="AA231" s="100"/>
      <c r="AB231" s="100"/>
      <c r="AC231" s="100"/>
      <c r="AD231" s="100"/>
      <c r="AF231"/>
      <c r="AG231">
        <f t="shared" si="131"/>
        <v>0</v>
      </c>
      <c r="AH231">
        <f t="shared" si="132"/>
        <v>0</v>
      </c>
      <c r="AK231">
        <f t="shared" si="116"/>
        <v>0</v>
      </c>
      <c r="AL231">
        <f t="shared" si="117"/>
        <v>0</v>
      </c>
      <c r="AM231">
        <f t="shared" si="118"/>
        <v>0</v>
      </c>
      <c r="AN231">
        <f t="shared" si="119"/>
        <v>0</v>
      </c>
      <c r="AO231">
        <f t="shared" si="120"/>
        <v>0</v>
      </c>
      <c r="AP231">
        <f t="shared" si="121"/>
        <v>0</v>
      </c>
      <c r="AQ231">
        <f t="shared" si="122"/>
        <v>0</v>
      </c>
      <c r="AR231">
        <f t="shared" si="123"/>
        <v>0</v>
      </c>
      <c r="AS231">
        <f t="shared" si="124"/>
        <v>0</v>
      </c>
      <c r="AT231">
        <f t="shared" si="125"/>
        <v>0</v>
      </c>
      <c r="AU231">
        <f t="shared" si="126"/>
        <v>0</v>
      </c>
      <c r="AV231">
        <f t="shared" si="127"/>
        <v>0</v>
      </c>
      <c r="AW231">
        <f t="shared" si="128"/>
        <v>0</v>
      </c>
      <c r="AX231">
        <f t="shared" si="129"/>
        <v>0</v>
      </c>
      <c r="AY231">
        <f t="shared" si="130"/>
        <v>0</v>
      </c>
      <c r="CS231"/>
      <c r="CT231"/>
      <c r="CU231"/>
      <c r="CV231"/>
      <c r="CW231"/>
      <c r="CX231"/>
      <c r="CY231"/>
      <c r="CZ231"/>
      <c r="DA231"/>
    </row>
    <row r="232" spans="1:105" ht="24" customHeight="1">
      <c r="A232" s="108"/>
      <c r="B232" s="38"/>
      <c r="C232" s="1109"/>
      <c r="D232" s="954"/>
      <c r="E232" s="956"/>
      <c r="F232" s="1103" t="s">
        <v>4850</v>
      </c>
      <c r="G232" s="1103"/>
      <c r="H232" s="1104" t="s">
        <v>4851</v>
      </c>
      <c r="I232" s="1105"/>
      <c r="J232" s="1105"/>
      <c r="K232" s="1105"/>
      <c r="L232" s="1105"/>
      <c r="M232" s="1105"/>
      <c r="N232" s="1105"/>
      <c r="O232" s="1106"/>
      <c r="P232" s="100"/>
      <c r="Q232" s="100"/>
      <c r="R232" s="100"/>
      <c r="S232" s="100"/>
      <c r="T232" s="100"/>
      <c r="U232" s="100"/>
      <c r="V232" s="100"/>
      <c r="W232" s="100"/>
      <c r="X232" s="100"/>
      <c r="Y232" s="100"/>
      <c r="Z232" s="100"/>
      <c r="AA232" s="100"/>
      <c r="AB232" s="100"/>
      <c r="AC232" s="100"/>
      <c r="AD232" s="100"/>
      <c r="AF232"/>
      <c r="AG232">
        <f t="shared" si="131"/>
        <v>0</v>
      </c>
      <c r="AH232">
        <f t="shared" si="132"/>
        <v>0</v>
      </c>
      <c r="AJ232">
        <f>IF(OR(P232="NS",P232="NA",$P$175=0,$P$175="NS",$P$175="NA"),0,IF((P232*(IFERROR(100/SUM(P221:P232),0)))&gt;25,1,0))</f>
        <v>0</v>
      </c>
      <c r="AK232">
        <f t="shared" si="116"/>
        <v>0</v>
      </c>
      <c r="AL232">
        <f t="shared" si="117"/>
        <v>0</v>
      </c>
      <c r="AM232">
        <f t="shared" si="118"/>
        <v>0</v>
      </c>
      <c r="AN232">
        <f t="shared" si="119"/>
        <v>0</v>
      </c>
      <c r="AO232">
        <f t="shared" si="120"/>
        <v>0</v>
      </c>
      <c r="AP232">
        <f t="shared" si="121"/>
        <v>0</v>
      </c>
      <c r="AQ232">
        <f t="shared" si="122"/>
        <v>0</v>
      </c>
      <c r="AR232">
        <f t="shared" si="123"/>
        <v>0</v>
      </c>
      <c r="AS232">
        <f t="shared" si="124"/>
        <v>0</v>
      </c>
      <c r="AT232">
        <f t="shared" si="125"/>
        <v>0</v>
      </c>
      <c r="AU232">
        <f t="shared" si="126"/>
        <v>0</v>
      </c>
      <c r="AV232">
        <f t="shared" si="127"/>
        <v>0</v>
      </c>
      <c r="AW232">
        <f t="shared" si="128"/>
        <v>0</v>
      </c>
      <c r="AX232">
        <f t="shared" si="129"/>
        <v>0</v>
      </c>
      <c r="AY232">
        <f t="shared" si="130"/>
        <v>0</v>
      </c>
      <c r="CS232"/>
      <c r="CT232"/>
      <c r="CU232"/>
      <c r="CV232"/>
      <c r="CW232"/>
      <c r="CX232"/>
      <c r="CY232"/>
      <c r="CZ232"/>
      <c r="DA232"/>
    </row>
    <row r="233" spans="1:105" ht="15" customHeight="1">
      <c r="A233" s="108"/>
      <c r="B233" s="38"/>
      <c r="C233" s="1108" t="s">
        <v>4852</v>
      </c>
      <c r="D233" s="847" t="s">
        <v>4853</v>
      </c>
      <c r="E233" s="848"/>
      <c r="F233" s="1103" t="s">
        <v>4854</v>
      </c>
      <c r="G233" s="1103"/>
      <c r="H233" s="1104" t="s">
        <v>4855</v>
      </c>
      <c r="I233" s="1105"/>
      <c r="J233" s="1105"/>
      <c r="K233" s="1105"/>
      <c r="L233" s="1105"/>
      <c r="M233" s="1105"/>
      <c r="N233" s="1105"/>
      <c r="O233" s="1106"/>
      <c r="P233" s="100"/>
      <c r="Q233" s="100"/>
      <c r="R233" s="100"/>
      <c r="S233" s="100"/>
      <c r="T233" s="100"/>
      <c r="U233" s="100"/>
      <c r="V233" s="100"/>
      <c r="W233" s="100"/>
      <c r="X233" s="100"/>
      <c r="Y233" s="100"/>
      <c r="Z233" s="100"/>
      <c r="AA233" s="100"/>
      <c r="AB233" s="100"/>
      <c r="AC233" s="100"/>
      <c r="AD233" s="100"/>
      <c r="AF233">
        <f>IF(P233="NA",IF(AND(COUNTIF(P234:P251,"="&amp;$AF$212)=0,COUNTIF(P234:P251,"&lt;&gt;NA")&gt;0),1,0),IF(AND(COUNTIF(P234:P251,"="&amp;$AF$212)=0,COUNTIF(P234:P251,"NA")=COUNTIF(P234:P251,"&lt;&gt;"&amp;$AF$212)),1,0))</f>
        <v>0</v>
      </c>
      <c r="AG233">
        <f t="shared" si="131"/>
        <v>0</v>
      </c>
      <c r="AH233">
        <f t="shared" si="132"/>
        <v>0</v>
      </c>
      <c r="AK233">
        <f t="shared" si="116"/>
        <v>0</v>
      </c>
      <c r="AL233">
        <f t="shared" si="117"/>
        <v>0</v>
      </c>
      <c r="AM233">
        <f t="shared" si="118"/>
        <v>0</v>
      </c>
      <c r="AN233">
        <f t="shared" si="119"/>
        <v>0</v>
      </c>
      <c r="AO233">
        <f t="shared" si="120"/>
        <v>0</v>
      </c>
      <c r="AP233">
        <f t="shared" si="121"/>
        <v>0</v>
      </c>
      <c r="AQ233">
        <f t="shared" si="122"/>
        <v>0</v>
      </c>
      <c r="AR233">
        <f t="shared" si="123"/>
        <v>0</v>
      </c>
      <c r="AS233">
        <f t="shared" si="124"/>
        <v>0</v>
      </c>
      <c r="AT233">
        <f t="shared" si="125"/>
        <v>0</v>
      </c>
      <c r="AU233">
        <f t="shared" si="126"/>
        <v>0</v>
      </c>
      <c r="AV233">
        <f t="shared" si="127"/>
        <v>0</v>
      </c>
      <c r="AW233">
        <f t="shared" si="128"/>
        <v>0</v>
      </c>
      <c r="AX233">
        <f t="shared" si="129"/>
        <v>0</v>
      </c>
      <c r="AY233">
        <f t="shared" si="130"/>
        <v>0</v>
      </c>
      <c r="CS233"/>
      <c r="CT233"/>
      <c r="CU233"/>
      <c r="CV233"/>
      <c r="CW233"/>
      <c r="CX233"/>
      <c r="CY233"/>
      <c r="CZ233"/>
      <c r="DA233"/>
    </row>
    <row r="234" spans="1:105" ht="15" customHeight="1">
      <c r="A234" s="108"/>
      <c r="B234" s="38"/>
      <c r="C234" s="1109"/>
      <c r="D234" s="954"/>
      <c r="E234" s="956"/>
      <c r="F234" s="1110" t="s">
        <v>4856</v>
      </c>
      <c r="G234" s="1110"/>
      <c r="H234" s="177"/>
      <c r="I234" s="1115" t="s">
        <v>4857</v>
      </c>
      <c r="J234" s="1115"/>
      <c r="K234" s="1115"/>
      <c r="L234" s="1115"/>
      <c r="M234" s="1115"/>
      <c r="N234" s="1115"/>
      <c r="O234" s="1116"/>
      <c r="P234" s="100"/>
      <c r="Q234" s="100"/>
      <c r="R234" s="100"/>
      <c r="S234" s="100"/>
      <c r="T234" s="100"/>
      <c r="U234" s="100"/>
      <c r="V234" s="100"/>
      <c r="W234" s="100"/>
      <c r="X234" s="100"/>
      <c r="Y234" s="100"/>
      <c r="Z234" s="100"/>
      <c r="AA234" s="100"/>
      <c r="AB234" s="100"/>
      <c r="AC234" s="100"/>
      <c r="AD234" s="100"/>
      <c r="AF234"/>
      <c r="AG234">
        <f t="shared" si="131"/>
        <v>0</v>
      </c>
      <c r="AH234">
        <f t="shared" si="132"/>
        <v>0</v>
      </c>
      <c r="AK234">
        <f t="shared" si="116"/>
        <v>0</v>
      </c>
      <c r="AL234">
        <f t="shared" si="117"/>
        <v>0</v>
      </c>
      <c r="AM234">
        <f t="shared" si="118"/>
        <v>0</v>
      </c>
      <c r="AN234">
        <f t="shared" si="119"/>
        <v>0</v>
      </c>
      <c r="AO234">
        <f t="shared" si="120"/>
        <v>0</v>
      </c>
      <c r="AP234">
        <f t="shared" si="121"/>
        <v>0</v>
      </c>
      <c r="AQ234">
        <f t="shared" si="122"/>
        <v>0</v>
      </c>
      <c r="AR234">
        <f t="shared" si="123"/>
        <v>0</v>
      </c>
      <c r="AS234">
        <f t="shared" si="124"/>
        <v>0</v>
      </c>
      <c r="AT234">
        <f t="shared" si="125"/>
        <v>0</v>
      </c>
      <c r="AU234">
        <f t="shared" si="126"/>
        <v>0</v>
      </c>
      <c r="AV234">
        <f t="shared" si="127"/>
        <v>0</v>
      </c>
      <c r="AW234">
        <f t="shared" si="128"/>
        <v>0</v>
      </c>
      <c r="AX234">
        <f t="shared" si="129"/>
        <v>0</v>
      </c>
      <c r="AY234">
        <f t="shared" si="130"/>
        <v>0</v>
      </c>
      <c r="CS234"/>
      <c r="CT234"/>
      <c r="CU234"/>
      <c r="CV234"/>
      <c r="CW234"/>
      <c r="CX234"/>
      <c r="CY234"/>
      <c r="CZ234"/>
      <c r="DA234"/>
    </row>
    <row r="235" spans="1:105" ht="15" customHeight="1">
      <c r="A235" s="108"/>
      <c r="B235" s="38"/>
      <c r="C235" s="1109"/>
      <c r="D235" s="954"/>
      <c r="E235" s="956"/>
      <c r="F235" s="1110" t="s">
        <v>4858</v>
      </c>
      <c r="G235" s="1110"/>
      <c r="H235" s="178"/>
      <c r="I235" s="1111" t="s">
        <v>4859</v>
      </c>
      <c r="J235" s="1111"/>
      <c r="K235" s="1111"/>
      <c r="L235" s="1111"/>
      <c r="M235" s="1111"/>
      <c r="N235" s="1111"/>
      <c r="O235" s="1112"/>
      <c r="P235" s="100"/>
      <c r="Q235" s="100"/>
      <c r="R235" s="100"/>
      <c r="S235" s="100"/>
      <c r="T235" s="100"/>
      <c r="U235" s="100"/>
      <c r="V235" s="100"/>
      <c r="W235" s="100"/>
      <c r="X235" s="100"/>
      <c r="Y235" s="100"/>
      <c r="Z235" s="100"/>
      <c r="AA235" s="100"/>
      <c r="AB235" s="100"/>
      <c r="AC235" s="100"/>
      <c r="AD235" s="100"/>
      <c r="AF235"/>
      <c r="AG235">
        <f t="shared" si="131"/>
        <v>0</v>
      </c>
      <c r="AH235">
        <f t="shared" si="132"/>
        <v>0</v>
      </c>
      <c r="AK235">
        <f t="shared" si="116"/>
        <v>0</v>
      </c>
      <c r="AL235">
        <f t="shared" si="117"/>
        <v>0</v>
      </c>
      <c r="AM235">
        <f t="shared" si="118"/>
        <v>0</v>
      </c>
      <c r="AN235">
        <f t="shared" si="119"/>
        <v>0</v>
      </c>
      <c r="AO235">
        <f t="shared" si="120"/>
        <v>0</v>
      </c>
      <c r="AP235">
        <f t="shared" si="121"/>
        <v>0</v>
      </c>
      <c r="AQ235">
        <f t="shared" si="122"/>
        <v>0</v>
      </c>
      <c r="AR235">
        <f t="shared" si="123"/>
        <v>0</v>
      </c>
      <c r="AS235">
        <f t="shared" si="124"/>
        <v>0</v>
      </c>
      <c r="AT235">
        <f t="shared" si="125"/>
        <v>0</v>
      </c>
      <c r="AU235">
        <f t="shared" si="126"/>
        <v>0</v>
      </c>
      <c r="AV235">
        <f t="shared" si="127"/>
        <v>0</v>
      </c>
      <c r="AW235">
        <f t="shared" si="128"/>
        <v>0</v>
      </c>
      <c r="AX235">
        <f t="shared" si="129"/>
        <v>0</v>
      </c>
      <c r="AY235">
        <f t="shared" si="130"/>
        <v>0</v>
      </c>
      <c r="CS235"/>
      <c r="CT235"/>
      <c r="CU235"/>
      <c r="CV235"/>
      <c r="CW235"/>
      <c r="CX235"/>
      <c r="CY235"/>
      <c r="CZ235"/>
      <c r="DA235"/>
    </row>
    <row r="236" spans="1:105" ht="15" customHeight="1">
      <c r="A236" s="108"/>
      <c r="B236" s="38"/>
      <c r="C236" s="1109"/>
      <c r="D236" s="954"/>
      <c r="E236" s="956"/>
      <c r="F236" s="1110" t="s">
        <v>4860</v>
      </c>
      <c r="G236" s="1110"/>
      <c r="H236" s="178"/>
      <c r="I236" s="1111" t="s">
        <v>4861</v>
      </c>
      <c r="J236" s="1111"/>
      <c r="K236" s="1111"/>
      <c r="L236" s="1111"/>
      <c r="M236" s="1111"/>
      <c r="N236" s="1111"/>
      <c r="O236" s="1112"/>
      <c r="P236" s="100"/>
      <c r="Q236" s="100"/>
      <c r="R236" s="100"/>
      <c r="S236" s="100"/>
      <c r="T236" s="100"/>
      <c r="U236" s="100"/>
      <c r="V236" s="100"/>
      <c r="W236" s="100"/>
      <c r="X236" s="100"/>
      <c r="Y236" s="100"/>
      <c r="Z236" s="100"/>
      <c r="AA236" s="100"/>
      <c r="AB236" s="100"/>
      <c r="AC236" s="100"/>
      <c r="AD236" s="100"/>
      <c r="AF236"/>
      <c r="AG236">
        <f t="shared" si="131"/>
        <v>0</v>
      </c>
      <c r="AH236">
        <f t="shared" si="132"/>
        <v>0</v>
      </c>
      <c r="AK236">
        <f t="shared" si="116"/>
        <v>0</v>
      </c>
      <c r="AL236">
        <f t="shared" si="117"/>
        <v>0</v>
      </c>
      <c r="AM236">
        <f t="shared" si="118"/>
        <v>0</v>
      </c>
      <c r="AN236">
        <f t="shared" si="119"/>
        <v>0</v>
      </c>
      <c r="AO236">
        <f t="shared" si="120"/>
        <v>0</v>
      </c>
      <c r="AP236">
        <f t="shared" si="121"/>
        <v>0</v>
      </c>
      <c r="AQ236">
        <f t="shared" si="122"/>
        <v>0</v>
      </c>
      <c r="AR236">
        <f t="shared" si="123"/>
        <v>0</v>
      </c>
      <c r="AS236">
        <f t="shared" si="124"/>
        <v>0</v>
      </c>
      <c r="AT236">
        <f t="shared" si="125"/>
        <v>0</v>
      </c>
      <c r="AU236">
        <f t="shared" si="126"/>
        <v>0</v>
      </c>
      <c r="AV236">
        <f t="shared" si="127"/>
        <v>0</v>
      </c>
      <c r="AW236">
        <f t="shared" si="128"/>
        <v>0</v>
      </c>
      <c r="AX236">
        <f t="shared" si="129"/>
        <v>0</v>
      </c>
      <c r="AY236">
        <f t="shared" si="130"/>
        <v>0</v>
      </c>
      <c r="CS236"/>
      <c r="CT236"/>
      <c r="CU236"/>
      <c r="CV236"/>
      <c r="CW236"/>
      <c r="CX236"/>
      <c r="CY236"/>
      <c r="CZ236"/>
      <c r="DA236"/>
    </row>
    <row r="237" spans="1:105" ht="15" customHeight="1">
      <c r="A237" s="108"/>
      <c r="B237" s="38"/>
      <c r="C237" s="1109"/>
      <c r="D237" s="954"/>
      <c r="E237" s="956"/>
      <c r="F237" s="1110" t="s">
        <v>4862</v>
      </c>
      <c r="G237" s="1110"/>
      <c r="H237" s="178"/>
      <c r="I237" s="1111" t="s">
        <v>4863</v>
      </c>
      <c r="J237" s="1111"/>
      <c r="K237" s="1111"/>
      <c r="L237" s="1111"/>
      <c r="M237" s="1111"/>
      <c r="N237" s="1111"/>
      <c r="O237" s="1112"/>
      <c r="P237" s="100"/>
      <c r="Q237" s="100"/>
      <c r="R237" s="100"/>
      <c r="S237" s="100"/>
      <c r="T237" s="100"/>
      <c r="U237" s="100"/>
      <c r="V237" s="100"/>
      <c r="W237" s="100"/>
      <c r="X237" s="100"/>
      <c r="Y237" s="100"/>
      <c r="Z237" s="100"/>
      <c r="AA237" s="100"/>
      <c r="AB237" s="100"/>
      <c r="AC237" s="100"/>
      <c r="AD237" s="100"/>
      <c r="AF237"/>
      <c r="AG237">
        <f t="shared" si="131"/>
        <v>0</v>
      </c>
      <c r="AH237">
        <f t="shared" si="132"/>
        <v>0</v>
      </c>
      <c r="AK237">
        <f t="shared" si="116"/>
        <v>0</v>
      </c>
      <c r="AL237">
        <f t="shared" si="117"/>
        <v>0</v>
      </c>
      <c r="AM237">
        <f t="shared" si="118"/>
        <v>0</v>
      </c>
      <c r="AN237">
        <f t="shared" si="119"/>
        <v>0</v>
      </c>
      <c r="AO237">
        <f t="shared" si="120"/>
        <v>0</v>
      </c>
      <c r="AP237">
        <f t="shared" si="121"/>
        <v>0</v>
      </c>
      <c r="AQ237">
        <f t="shared" si="122"/>
        <v>0</v>
      </c>
      <c r="AR237">
        <f t="shared" si="123"/>
        <v>0</v>
      </c>
      <c r="AS237">
        <f t="shared" si="124"/>
        <v>0</v>
      </c>
      <c r="AT237">
        <f t="shared" si="125"/>
        <v>0</v>
      </c>
      <c r="AU237">
        <f t="shared" si="126"/>
        <v>0</v>
      </c>
      <c r="AV237">
        <f t="shared" si="127"/>
        <v>0</v>
      </c>
      <c r="AW237">
        <f t="shared" si="128"/>
        <v>0</v>
      </c>
      <c r="AX237">
        <f t="shared" si="129"/>
        <v>0</v>
      </c>
      <c r="AY237">
        <f t="shared" si="130"/>
        <v>0</v>
      </c>
      <c r="CS237"/>
      <c r="CT237"/>
      <c r="CU237"/>
      <c r="CV237"/>
      <c r="CW237"/>
      <c r="CX237"/>
      <c r="CY237"/>
      <c r="CZ237"/>
      <c r="DA237"/>
    </row>
    <row r="238" spans="1:105" ht="15" customHeight="1">
      <c r="A238" s="108"/>
      <c r="B238" s="38"/>
      <c r="C238" s="1109"/>
      <c r="D238" s="954"/>
      <c r="E238" s="956"/>
      <c r="F238" s="1110" t="s">
        <v>4864</v>
      </c>
      <c r="G238" s="1110"/>
      <c r="H238" s="178"/>
      <c r="I238" s="1111" t="s">
        <v>4865</v>
      </c>
      <c r="J238" s="1111"/>
      <c r="K238" s="1111"/>
      <c r="L238" s="1111"/>
      <c r="M238" s="1111"/>
      <c r="N238" s="1111"/>
      <c r="O238" s="1112"/>
      <c r="P238" s="100"/>
      <c r="Q238" s="100"/>
      <c r="R238" s="100"/>
      <c r="S238" s="100"/>
      <c r="T238" s="100"/>
      <c r="U238" s="100"/>
      <c r="V238" s="100"/>
      <c r="W238" s="100"/>
      <c r="X238" s="100"/>
      <c r="Y238" s="100"/>
      <c r="Z238" s="100"/>
      <c r="AA238" s="100"/>
      <c r="AB238" s="100"/>
      <c r="AC238" s="100"/>
      <c r="AD238" s="100"/>
      <c r="AF238"/>
      <c r="AG238">
        <f t="shared" si="131"/>
        <v>0</v>
      </c>
      <c r="AH238">
        <f t="shared" si="132"/>
        <v>0</v>
      </c>
      <c r="AK238">
        <f t="shared" si="116"/>
        <v>0</v>
      </c>
      <c r="AL238">
        <f t="shared" si="117"/>
        <v>0</v>
      </c>
      <c r="AM238">
        <f t="shared" si="118"/>
        <v>0</v>
      </c>
      <c r="AN238">
        <f t="shared" si="119"/>
        <v>0</v>
      </c>
      <c r="AO238">
        <f t="shared" si="120"/>
        <v>0</v>
      </c>
      <c r="AP238">
        <f t="shared" si="121"/>
        <v>0</v>
      </c>
      <c r="AQ238">
        <f t="shared" si="122"/>
        <v>0</v>
      </c>
      <c r="AR238">
        <f t="shared" si="123"/>
        <v>0</v>
      </c>
      <c r="AS238">
        <f t="shared" si="124"/>
        <v>0</v>
      </c>
      <c r="AT238">
        <f t="shared" si="125"/>
        <v>0</v>
      </c>
      <c r="AU238">
        <f t="shared" si="126"/>
        <v>0</v>
      </c>
      <c r="AV238">
        <f t="shared" si="127"/>
        <v>0</v>
      </c>
      <c r="AW238">
        <f t="shared" si="128"/>
        <v>0</v>
      </c>
      <c r="AX238">
        <f t="shared" si="129"/>
        <v>0</v>
      </c>
      <c r="AY238">
        <f t="shared" si="130"/>
        <v>0</v>
      </c>
      <c r="CS238"/>
      <c r="CT238"/>
      <c r="CU238"/>
      <c r="CV238"/>
      <c r="CW238"/>
      <c r="CX238"/>
      <c r="CY238"/>
      <c r="CZ238"/>
      <c r="DA238"/>
    </row>
    <row r="239" spans="1:105" ht="24" customHeight="1">
      <c r="A239" s="108"/>
      <c r="B239" s="38"/>
      <c r="C239" s="1109"/>
      <c r="D239" s="954"/>
      <c r="E239" s="956"/>
      <c r="F239" s="1110" t="s">
        <v>4866</v>
      </c>
      <c r="G239" s="1110"/>
      <c r="H239" s="178"/>
      <c r="I239" s="1111" t="s">
        <v>4867</v>
      </c>
      <c r="J239" s="1111"/>
      <c r="K239" s="1111"/>
      <c r="L239" s="1111"/>
      <c r="M239" s="1111"/>
      <c r="N239" s="1111"/>
      <c r="O239" s="1112"/>
      <c r="P239" s="100"/>
      <c r="Q239" s="100"/>
      <c r="R239" s="100"/>
      <c r="S239" s="100"/>
      <c r="T239" s="100"/>
      <c r="U239" s="100"/>
      <c r="V239" s="100"/>
      <c r="W239" s="100"/>
      <c r="X239" s="100"/>
      <c r="Y239" s="100"/>
      <c r="Z239" s="100"/>
      <c r="AA239" s="100"/>
      <c r="AB239" s="100"/>
      <c r="AC239" s="100"/>
      <c r="AD239" s="100"/>
      <c r="AF239"/>
      <c r="AG239">
        <f t="shared" si="131"/>
        <v>0</v>
      </c>
      <c r="AH239">
        <f t="shared" si="132"/>
        <v>0</v>
      </c>
      <c r="AK239">
        <f t="shared" si="116"/>
        <v>0</v>
      </c>
      <c r="AL239">
        <f t="shared" si="117"/>
        <v>0</v>
      </c>
      <c r="AM239">
        <f t="shared" si="118"/>
        <v>0</v>
      </c>
      <c r="AN239">
        <f t="shared" si="119"/>
        <v>0</v>
      </c>
      <c r="AO239">
        <f t="shared" si="120"/>
        <v>0</v>
      </c>
      <c r="AP239">
        <f t="shared" si="121"/>
        <v>0</v>
      </c>
      <c r="AQ239">
        <f t="shared" si="122"/>
        <v>0</v>
      </c>
      <c r="AR239">
        <f t="shared" si="123"/>
        <v>0</v>
      </c>
      <c r="AS239">
        <f t="shared" si="124"/>
        <v>0</v>
      </c>
      <c r="AT239">
        <f t="shared" si="125"/>
        <v>0</v>
      </c>
      <c r="AU239">
        <f t="shared" si="126"/>
        <v>0</v>
      </c>
      <c r="AV239">
        <f t="shared" si="127"/>
        <v>0</v>
      </c>
      <c r="AW239">
        <f t="shared" si="128"/>
        <v>0</v>
      </c>
      <c r="AX239">
        <f t="shared" si="129"/>
        <v>0</v>
      </c>
      <c r="AY239">
        <f t="shared" si="130"/>
        <v>0</v>
      </c>
      <c r="CS239"/>
      <c r="CT239"/>
      <c r="CU239"/>
      <c r="CV239"/>
      <c r="CW239"/>
      <c r="CX239"/>
      <c r="CY239"/>
      <c r="CZ239"/>
      <c r="DA239"/>
    </row>
    <row r="240" spans="1:105" ht="15" customHeight="1">
      <c r="A240" s="108"/>
      <c r="B240" s="38"/>
      <c r="C240" s="1109"/>
      <c r="D240" s="954"/>
      <c r="E240" s="956"/>
      <c r="F240" s="1110" t="s">
        <v>4868</v>
      </c>
      <c r="G240" s="1110"/>
      <c r="H240" s="178"/>
      <c r="I240" s="1111" t="s">
        <v>4869</v>
      </c>
      <c r="J240" s="1111"/>
      <c r="K240" s="1111"/>
      <c r="L240" s="1111"/>
      <c r="M240" s="1111"/>
      <c r="N240" s="1111"/>
      <c r="O240" s="1112"/>
      <c r="P240" s="100"/>
      <c r="Q240" s="100"/>
      <c r="R240" s="100"/>
      <c r="S240" s="100"/>
      <c r="T240" s="100"/>
      <c r="U240" s="100"/>
      <c r="V240" s="100"/>
      <c r="W240" s="100"/>
      <c r="X240" s="100"/>
      <c r="Y240" s="100"/>
      <c r="Z240" s="100"/>
      <c r="AA240" s="100"/>
      <c r="AB240" s="100"/>
      <c r="AC240" s="100"/>
      <c r="AD240" s="100"/>
      <c r="AF240"/>
      <c r="AG240">
        <f t="shared" si="131"/>
        <v>0</v>
      </c>
      <c r="AH240">
        <f t="shared" si="132"/>
        <v>0</v>
      </c>
      <c r="AK240">
        <f t="shared" si="116"/>
        <v>0</v>
      </c>
      <c r="AL240">
        <f t="shared" si="117"/>
        <v>0</v>
      </c>
      <c r="AM240">
        <f t="shared" si="118"/>
        <v>0</v>
      </c>
      <c r="AN240">
        <f t="shared" si="119"/>
        <v>0</v>
      </c>
      <c r="AO240">
        <f t="shared" si="120"/>
        <v>0</v>
      </c>
      <c r="AP240">
        <f t="shared" si="121"/>
        <v>0</v>
      </c>
      <c r="AQ240">
        <f t="shared" si="122"/>
        <v>0</v>
      </c>
      <c r="AR240">
        <f t="shared" si="123"/>
        <v>0</v>
      </c>
      <c r="AS240">
        <f t="shared" si="124"/>
        <v>0</v>
      </c>
      <c r="AT240">
        <f t="shared" si="125"/>
        <v>0</v>
      </c>
      <c r="AU240">
        <f t="shared" si="126"/>
        <v>0</v>
      </c>
      <c r="AV240">
        <f t="shared" si="127"/>
        <v>0</v>
      </c>
      <c r="AW240">
        <f t="shared" si="128"/>
        <v>0</v>
      </c>
      <c r="AX240">
        <f t="shared" si="129"/>
        <v>0</v>
      </c>
      <c r="AY240">
        <f t="shared" si="130"/>
        <v>0</v>
      </c>
      <c r="CS240"/>
      <c r="CT240"/>
      <c r="CU240"/>
      <c r="CV240"/>
      <c r="CW240"/>
      <c r="CX240"/>
      <c r="CY240"/>
      <c r="CZ240"/>
      <c r="DA240"/>
    </row>
    <row r="241" spans="1:105" ht="15" customHeight="1">
      <c r="A241" s="108"/>
      <c r="B241" s="38"/>
      <c r="C241" s="1109"/>
      <c r="D241" s="954"/>
      <c r="E241" s="956"/>
      <c r="F241" s="1110" t="s">
        <v>4870</v>
      </c>
      <c r="G241" s="1110"/>
      <c r="H241" s="178"/>
      <c r="I241" s="1111" t="s">
        <v>4871</v>
      </c>
      <c r="J241" s="1111"/>
      <c r="K241" s="1111"/>
      <c r="L241" s="1111"/>
      <c r="M241" s="1111"/>
      <c r="N241" s="1111"/>
      <c r="O241" s="1112"/>
      <c r="P241" s="100"/>
      <c r="Q241" s="100"/>
      <c r="R241" s="100"/>
      <c r="S241" s="100"/>
      <c r="T241" s="100"/>
      <c r="U241" s="100"/>
      <c r="V241" s="100"/>
      <c r="W241" s="100"/>
      <c r="X241" s="100"/>
      <c r="Y241" s="100"/>
      <c r="Z241" s="100"/>
      <c r="AA241" s="100"/>
      <c r="AB241" s="100"/>
      <c r="AC241" s="100"/>
      <c r="AD241" s="100"/>
      <c r="AF241"/>
      <c r="AG241">
        <f t="shared" si="131"/>
        <v>0</v>
      </c>
      <c r="AH241">
        <f t="shared" si="132"/>
        <v>0</v>
      </c>
      <c r="AK241">
        <f t="shared" si="116"/>
        <v>0</v>
      </c>
      <c r="AL241">
        <f t="shared" si="117"/>
        <v>0</v>
      </c>
      <c r="AM241">
        <f t="shared" si="118"/>
        <v>0</v>
      </c>
      <c r="AN241">
        <f t="shared" si="119"/>
        <v>0</v>
      </c>
      <c r="AO241">
        <f t="shared" si="120"/>
        <v>0</v>
      </c>
      <c r="AP241">
        <f t="shared" si="121"/>
        <v>0</v>
      </c>
      <c r="AQ241">
        <f t="shared" si="122"/>
        <v>0</v>
      </c>
      <c r="AR241">
        <f t="shared" si="123"/>
        <v>0</v>
      </c>
      <c r="AS241">
        <f t="shared" si="124"/>
        <v>0</v>
      </c>
      <c r="AT241">
        <f t="shared" si="125"/>
        <v>0</v>
      </c>
      <c r="AU241">
        <f t="shared" si="126"/>
        <v>0</v>
      </c>
      <c r="AV241">
        <f t="shared" si="127"/>
        <v>0</v>
      </c>
      <c r="AW241">
        <f t="shared" si="128"/>
        <v>0</v>
      </c>
      <c r="AX241">
        <f t="shared" si="129"/>
        <v>0</v>
      </c>
      <c r="AY241">
        <f t="shared" si="130"/>
        <v>0</v>
      </c>
      <c r="CS241"/>
      <c r="CT241"/>
      <c r="CU241"/>
      <c r="CV241"/>
      <c r="CW241"/>
      <c r="CX241"/>
      <c r="CY241"/>
      <c r="CZ241"/>
      <c r="DA241"/>
    </row>
    <row r="242" spans="1:105" ht="15" customHeight="1">
      <c r="A242" s="108"/>
      <c r="B242" s="38"/>
      <c r="C242" s="1109"/>
      <c r="D242" s="954"/>
      <c r="E242" s="956"/>
      <c r="F242" s="1110" t="s">
        <v>4872</v>
      </c>
      <c r="G242" s="1110"/>
      <c r="H242" s="178"/>
      <c r="I242" s="1111" t="s">
        <v>4873</v>
      </c>
      <c r="J242" s="1111"/>
      <c r="K242" s="1111"/>
      <c r="L242" s="1111"/>
      <c r="M242" s="1111"/>
      <c r="N242" s="1111"/>
      <c r="O242" s="1112"/>
      <c r="P242" s="100"/>
      <c r="Q242" s="100"/>
      <c r="R242" s="100"/>
      <c r="S242" s="100"/>
      <c r="T242" s="100"/>
      <c r="U242" s="100"/>
      <c r="V242" s="100"/>
      <c r="W242" s="100"/>
      <c r="X242" s="100"/>
      <c r="Y242" s="100"/>
      <c r="Z242" s="100"/>
      <c r="AA242" s="100"/>
      <c r="AB242" s="100"/>
      <c r="AC242" s="100"/>
      <c r="AD242" s="100"/>
      <c r="AF242"/>
      <c r="AG242">
        <f t="shared" si="131"/>
        <v>0</v>
      </c>
      <c r="AH242">
        <f t="shared" si="132"/>
        <v>0</v>
      </c>
      <c r="AK242">
        <f t="shared" si="116"/>
        <v>0</v>
      </c>
      <c r="AL242">
        <f t="shared" si="117"/>
        <v>0</v>
      </c>
      <c r="AM242">
        <f t="shared" si="118"/>
        <v>0</v>
      </c>
      <c r="AN242">
        <f t="shared" si="119"/>
        <v>0</v>
      </c>
      <c r="AO242">
        <f t="shared" si="120"/>
        <v>0</v>
      </c>
      <c r="AP242">
        <f t="shared" si="121"/>
        <v>0</v>
      </c>
      <c r="AQ242">
        <f t="shared" si="122"/>
        <v>0</v>
      </c>
      <c r="AR242">
        <f t="shared" si="123"/>
        <v>0</v>
      </c>
      <c r="AS242">
        <f t="shared" si="124"/>
        <v>0</v>
      </c>
      <c r="AT242">
        <f t="shared" si="125"/>
        <v>0</v>
      </c>
      <c r="AU242">
        <f t="shared" si="126"/>
        <v>0</v>
      </c>
      <c r="AV242">
        <f t="shared" si="127"/>
        <v>0</v>
      </c>
      <c r="AW242">
        <f t="shared" si="128"/>
        <v>0</v>
      </c>
      <c r="AX242">
        <f t="shared" si="129"/>
        <v>0</v>
      </c>
      <c r="AY242">
        <f t="shared" si="130"/>
        <v>0</v>
      </c>
      <c r="CS242"/>
      <c r="CT242"/>
      <c r="CU242"/>
      <c r="CV242"/>
      <c r="CW242"/>
      <c r="CX242"/>
      <c r="CY242"/>
      <c r="CZ242"/>
      <c r="DA242"/>
    </row>
    <row r="243" spans="1:105" ht="15" customHeight="1">
      <c r="A243" s="108"/>
      <c r="B243" s="38"/>
      <c r="C243" s="1109"/>
      <c r="D243" s="954"/>
      <c r="E243" s="956"/>
      <c r="F243" s="1110" t="s">
        <v>4874</v>
      </c>
      <c r="G243" s="1110"/>
      <c r="H243" s="178"/>
      <c r="I243" s="1111" t="s">
        <v>4875</v>
      </c>
      <c r="J243" s="1111"/>
      <c r="K243" s="1111"/>
      <c r="L243" s="1111"/>
      <c r="M243" s="1111"/>
      <c r="N243" s="1111"/>
      <c r="O243" s="1112"/>
      <c r="P243" s="100"/>
      <c r="Q243" s="100"/>
      <c r="R243" s="100"/>
      <c r="S243" s="100"/>
      <c r="T243" s="100"/>
      <c r="U243" s="100"/>
      <c r="V243" s="100"/>
      <c r="W243" s="100"/>
      <c r="X243" s="100"/>
      <c r="Y243" s="100"/>
      <c r="Z243" s="100"/>
      <c r="AA243" s="100"/>
      <c r="AB243" s="100"/>
      <c r="AC243" s="100"/>
      <c r="AD243" s="100"/>
      <c r="AF243"/>
      <c r="AG243">
        <f t="shared" si="131"/>
        <v>0</v>
      </c>
      <c r="AH243">
        <f t="shared" si="132"/>
        <v>0</v>
      </c>
      <c r="AK243">
        <f t="shared" si="116"/>
        <v>0</v>
      </c>
      <c r="AL243">
        <f t="shared" si="117"/>
        <v>0</v>
      </c>
      <c r="AM243">
        <f t="shared" si="118"/>
        <v>0</v>
      </c>
      <c r="AN243">
        <f t="shared" si="119"/>
        <v>0</v>
      </c>
      <c r="AO243">
        <f t="shared" si="120"/>
        <v>0</v>
      </c>
      <c r="AP243">
        <f t="shared" si="121"/>
        <v>0</v>
      </c>
      <c r="AQ243">
        <f t="shared" si="122"/>
        <v>0</v>
      </c>
      <c r="AR243">
        <f t="shared" si="123"/>
        <v>0</v>
      </c>
      <c r="AS243">
        <f t="shared" si="124"/>
        <v>0</v>
      </c>
      <c r="AT243">
        <f t="shared" si="125"/>
        <v>0</v>
      </c>
      <c r="AU243">
        <f t="shared" si="126"/>
        <v>0</v>
      </c>
      <c r="AV243">
        <f t="shared" si="127"/>
        <v>0</v>
      </c>
      <c r="AW243">
        <f t="shared" si="128"/>
        <v>0</v>
      </c>
      <c r="AX243">
        <f t="shared" si="129"/>
        <v>0</v>
      </c>
      <c r="AY243">
        <f t="shared" si="130"/>
        <v>0</v>
      </c>
      <c r="CS243"/>
      <c r="CT243"/>
      <c r="CU243"/>
      <c r="CV243"/>
      <c r="CW243"/>
      <c r="CX243"/>
      <c r="CY243"/>
      <c r="CZ243"/>
      <c r="DA243"/>
    </row>
    <row r="244" spans="1:105" ht="15" customHeight="1">
      <c r="A244" s="108"/>
      <c r="B244" s="38"/>
      <c r="C244" s="1109"/>
      <c r="D244" s="954"/>
      <c r="E244" s="956"/>
      <c r="F244" s="1110" t="s">
        <v>4876</v>
      </c>
      <c r="G244" s="1110"/>
      <c r="H244" s="178"/>
      <c r="I244" s="1111" t="s">
        <v>4877</v>
      </c>
      <c r="J244" s="1111"/>
      <c r="K244" s="1111"/>
      <c r="L244" s="1111"/>
      <c r="M244" s="1111"/>
      <c r="N244" s="1111"/>
      <c r="O244" s="1112"/>
      <c r="P244" s="100"/>
      <c r="Q244" s="100"/>
      <c r="R244" s="100"/>
      <c r="S244" s="100"/>
      <c r="T244" s="100"/>
      <c r="U244" s="100"/>
      <c r="V244" s="100"/>
      <c r="W244" s="100"/>
      <c r="X244" s="100"/>
      <c r="Y244" s="100"/>
      <c r="Z244" s="100"/>
      <c r="AA244" s="100"/>
      <c r="AB244" s="100"/>
      <c r="AC244" s="100"/>
      <c r="AD244" s="100"/>
      <c r="AF244"/>
      <c r="AG244">
        <f t="shared" si="131"/>
        <v>0</v>
      </c>
      <c r="AH244">
        <f t="shared" si="132"/>
        <v>0</v>
      </c>
      <c r="AK244">
        <f t="shared" si="116"/>
        <v>0</v>
      </c>
      <c r="AL244">
        <f t="shared" si="117"/>
        <v>0</v>
      </c>
      <c r="AM244">
        <f t="shared" si="118"/>
        <v>0</v>
      </c>
      <c r="AN244">
        <f t="shared" si="119"/>
        <v>0</v>
      </c>
      <c r="AO244">
        <f t="shared" si="120"/>
        <v>0</v>
      </c>
      <c r="AP244">
        <f t="shared" si="121"/>
        <v>0</v>
      </c>
      <c r="AQ244">
        <f t="shared" si="122"/>
        <v>0</v>
      </c>
      <c r="AR244">
        <f t="shared" si="123"/>
        <v>0</v>
      </c>
      <c r="AS244">
        <f t="shared" si="124"/>
        <v>0</v>
      </c>
      <c r="AT244">
        <f t="shared" si="125"/>
        <v>0</v>
      </c>
      <c r="AU244">
        <f t="shared" si="126"/>
        <v>0</v>
      </c>
      <c r="AV244">
        <f t="shared" si="127"/>
        <v>0</v>
      </c>
      <c r="AW244">
        <f t="shared" si="128"/>
        <v>0</v>
      </c>
      <c r="AX244">
        <f t="shared" si="129"/>
        <v>0</v>
      </c>
      <c r="AY244">
        <f t="shared" si="130"/>
        <v>0</v>
      </c>
      <c r="CS244"/>
      <c r="CT244"/>
      <c r="CU244"/>
      <c r="CV244"/>
      <c r="CW244"/>
      <c r="CX244"/>
      <c r="CY244"/>
      <c r="CZ244"/>
      <c r="DA244"/>
    </row>
    <row r="245" spans="1:105" ht="15" customHeight="1">
      <c r="A245" s="108"/>
      <c r="B245" s="38"/>
      <c r="C245" s="1109"/>
      <c r="D245" s="954"/>
      <c r="E245" s="956"/>
      <c r="F245" s="1110" t="s">
        <v>4878</v>
      </c>
      <c r="G245" s="1110"/>
      <c r="H245" s="178"/>
      <c r="I245" s="1111" t="s">
        <v>4879</v>
      </c>
      <c r="J245" s="1111"/>
      <c r="K245" s="1111"/>
      <c r="L245" s="1111"/>
      <c r="M245" s="1111"/>
      <c r="N245" s="1111"/>
      <c r="O245" s="1112"/>
      <c r="P245" s="100"/>
      <c r="Q245" s="100"/>
      <c r="R245" s="100"/>
      <c r="S245" s="100"/>
      <c r="T245" s="100"/>
      <c r="U245" s="100"/>
      <c r="V245" s="100"/>
      <c r="W245" s="100"/>
      <c r="X245" s="100"/>
      <c r="Y245" s="100"/>
      <c r="Z245" s="100"/>
      <c r="AA245" s="100"/>
      <c r="AB245" s="100"/>
      <c r="AC245" s="100"/>
      <c r="AD245" s="100"/>
      <c r="AF245"/>
      <c r="AG245">
        <f t="shared" si="131"/>
        <v>0</v>
      </c>
      <c r="AH245">
        <f t="shared" si="132"/>
        <v>0</v>
      </c>
      <c r="AK245">
        <f t="shared" si="116"/>
        <v>0</v>
      </c>
      <c r="AL245">
        <f t="shared" si="117"/>
        <v>0</v>
      </c>
      <c r="AM245">
        <f t="shared" si="118"/>
        <v>0</v>
      </c>
      <c r="AN245">
        <f t="shared" si="119"/>
        <v>0</v>
      </c>
      <c r="AO245">
        <f t="shared" si="120"/>
        <v>0</v>
      </c>
      <c r="AP245">
        <f t="shared" si="121"/>
        <v>0</v>
      </c>
      <c r="AQ245">
        <f t="shared" si="122"/>
        <v>0</v>
      </c>
      <c r="AR245">
        <f t="shared" si="123"/>
        <v>0</v>
      </c>
      <c r="AS245">
        <f t="shared" si="124"/>
        <v>0</v>
      </c>
      <c r="AT245">
        <f t="shared" si="125"/>
        <v>0</v>
      </c>
      <c r="AU245">
        <f t="shared" si="126"/>
        <v>0</v>
      </c>
      <c r="AV245">
        <f t="shared" si="127"/>
        <v>0</v>
      </c>
      <c r="AW245">
        <f t="shared" si="128"/>
        <v>0</v>
      </c>
      <c r="AX245">
        <f t="shared" si="129"/>
        <v>0</v>
      </c>
      <c r="AY245">
        <f t="shared" si="130"/>
        <v>0</v>
      </c>
      <c r="CS245"/>
      <c r="CT245"/>
      <c r="CU245"/>
      <c r="CV245"/>
      <c r="CW245"/>
      <c r="CX245"/>
      <c r="CY245"/>
      <c r="CZ245"/>
      <c r="DA245"/>
    </row>
    <row r="246" spans="1:105" ht="15" customHeight="1">
      <c r="A246" s="108"/>
      <c r="B246" s="38"/>
      <c r="C246" s="1109"/>
      <c r="D246" s="954"/>
      <c r="E246" s="956"/>
      <c r="F246" s="1110" t="s">
        <v>4880</v>
      </c>
      <c r="G246" s="1110"/>
      <c r="H246" s="178"/>
      <c r="I246" s="1111" t="s">
        <v>4881</v>
      </c>
      <c r="J246" s="1111"/>
      <c r="K246" s="1111"/>
      <c r="L246" s="1111"/>
      <c r="M246" s="1111"/>
      <c r="N246" s="1111"/>
      <c r="O246" s="1112"/>
      <c r="P246" s="100"/>
      <c r="Q246" s="100"/>
      <c r="R246" s="100"/>
      <c r="S246" s="100"/>
      <c r="T246" s="100"/>
      <c r="U246" s="100"/>
      <c r="V246" s="100"/>
      <c r="W246" s="100"/>
      <c r="X246" s="100"/>
      <c r="Y246" s="100"/>
      <c r="Z246" s="100"/>
      <c r="AA246" s="100"/>
      <c r="AB246" s="100"/>
      <c r="AC246" s="100"/>
      <c r="AD246" s="100"/>
      <c r="AF246"/>
      <c r="AG246">
        <f t="shared" si="131"/>
        <v>0</v>
      </c>
      <c r="AH246">
        <f t="shared" si="132"/>
        <v>0</v>
      </c>
      <c r="AK246">
        <f t="shared" si="116"/>
        <v>0</v>
      </c>
      <c r="AL246">
        <f t="shared" si="117"/>
        <v>0</v>
      </c>
      <c r="AM246">
        <f t="shared" si="118"/>
        <v>0</v>
      </c>
      <c r="AN246">
        <f t="shared" si="119"/>
        <v>0</v>
      </c>
      <c r="AO246">
        <f t="shared" si="120"/>
        <v>0</v>
      </c>
      <c r="AP246">
        <f t="shared" si="121"/>
        <v>0</v>
      </c>
      <c r="AQ246">
        <f t="shared" si="122"/>
        <v>0</v>
      </c>
      <c r="AR246">
        <f t="shared" si="123"/>
        <v>0</v>
      </c>
      <c r="AS246">
        <f t="shared" si="124"/>
        <v>0</v>
      </c>
      <c r="AT246">
        <f t="shared" si="125"/>
        <v>0</v>
      </c>
      <c r="AU246">
        <f t="shared" si="126"/>
        <v>0</v>
      </c>
      <c r="AV246">
        <f t="shared" si="127"/>
        <v>0</v>
      </c>
      <c r="AW246">
        <f t="shared" si="128"/>
        <v>0</v>
      </c>
      <c r="AX246">
        <f t="shared" si="129"/>
        <v>0</v>
      </c>
      <c r="AY246">
        <f t="shared" si="130"/>
        <v>0</v>
      </c>
      <c r="CS246"/>
      <c r="CT246"/>
      <c r="CU246"/>
      <c r="CV246"/>
      <c r="CW246"/>
      <c r="CX246"/>
      <c r="CY246"/>
      <c r="CZ246"/>
      <c r="DA246"/>
    </row>
    <row r="247" spans="1:105" ht="15" customHeight="1">
      <c r="A247" s="108"/>
      <c r="B247" s="38"/>
      <c r="C247" s="1109"/>
      <c r="D247" s="954"/>
      <c r="E247" s="956"/>
      <c r="F247" s="1110" t="s">
        <v>4882</v>
      </c>
      <c r="G247" s="1110"/>
      <c r="H247" s="178"/>
      <c r="I247" s="1111" t="s">
        <v>4883</v>
      </c>
      <c r="J247" s="1111"/>
      <c r="K247" s="1111"/>
      <c r="L247" s="1111"/>
      <c r="M247" s="1111"/>
      <c r="N247" s="1111"/>
      <c r="O247" s="1112"/>
      <c r="P247" s="100"/>
      <c r="Q247" s="100"/>
      <c r="R247" s="100"/>
      <c r="S247" s="100"/>
      <c r="T247" s="100"/>
      <c r="U247" s="100"/>
      <c r="V247" s="100"/>
      <c r="W247" s="100"/>
      <c r="X247" s="100"/>
      <c r="Y247" s="100"/>
      <c r="Z247" s="100"/>
      <c r="AA247" s="100"/>
      <c r="AB247" s="100"/>
      <c r="AC247" s="100"/>
      <c r="AD247" s="100"/>
      <c r="AF247"/>
      <c r="AG247">
        <f t="shared" si="131"/>
        <v>0</v>
      </c>
      <c r="AH247">
        <f t="shared" si="132"/>
        <v>0</v>
      </c>
      <c r="AK247">
        <f t="shared" si="116"/>
        <v>0</v>
      </c>
      <c r="AL247">
        <f t="shared" si="117"/>
        <v>0</v>
      </c>
      <c r="AM247">
        <f t="shared" si="118"/>
        <v>0</v>
      </c>
      <c r="AN247">
        <f t="shared" si="119"/>
        <v>0</v>
      </c>
      <c r="AO247">
        <f t="shared" si="120"/>
        <v>0</v>
      </c>
      <c r="AP247">
        <f t="shared" si="121"/>
        <v>0</v>
      </c>
      <c r="AQ247">
        <f t="shared" si="122"/>
        <v>0</v>
      </c>
      <c r="AR247">
        <f t="shared" si="123"/>
        <v>0</v>
      </c>
      <c r="AS247">
        <f t="shared" si="124"/>
        <v>0</v>
      </c>
      <c r="AT247">
        <f t="shared" si="125"/>
        <v>0</v>
      </c>
      <c r="AU247">
        <f t="shared" si="126"/>
        <v>0</v>
      </c>
      <c r="AV247">
        <f t="shared" si="127"/>
        <v>0</v>
      </c>
      <c r="AW247">
        <f t="shared" si="128"/>
        <v>0</v>
      </c>
      <c r="AX247">
        <f t="shared" si="129"/>
        <v>0</v>
      </c>
      <c r="AY247">
        <f t="shared" si="130"/>
        <v>0</v>
      </c>
      <c r="CS247"/>
      <c r="CT247"/>
      <c r="CU247"/>
      <c r="CV247"/>
      <c r="CW247"/>
      <c r="CX247"/>
      <c r="CY247"/>
      <c r="CZ247"/>
      <c r="DA247"/>
    </row>
    <row r="248" spans="1:105" ht="15" customHeight="1">
      <c r="A248" s="108"/>
      <c r="B248" s="38"/>
      <c r="C248" s="1109"/>
      <c r="D248" s="954"/>
      <c r="E248" s="956"/>
      <c r="F248" s="1110" t="s">
        <v>4884</v>
      </c>
      <c r="G248" s="1110"/>
      <c r="H248" s="178"/>
      <c r="I248" s="1111" t="s">
        <v>4885</v>
      </c>
      <c r="J248" s="1111"/>
      <c r="K248" s="1111"/>
      <c r="L248" s="1111"/>
      <c r="M248" s="1111"/>
      <c r="N248" s="1111"/>
      <c r="O248" s="1112"/>
      <c r="P248" s="100"/>
      <c r="Q248" s="100"/>
      <c r="R248" s="100"/>
      <c r="S248" s="100"/>
      <c r="T248" s="100"/>
      <c r="U248" s="100"/>
      <c r="V248" s="100"/>
      <c r="W248" s="100"/>
      <c r="X248" s="100"/>
      <c r="Y248" s="100"/>
      <c r="Z248" s="100"/>
      <c r="AA248" s="100"/>
      <c r="AB248" s="100"/>
      <c r="AC248" s="100"/>
      <c r="AD248" s="100"/>
      <c r="AF248"/>
      <c r="AG248">
        <f t="shared" si="131"/>
        <v>0</v>
      </c>
      <c r="AH248">
        <f t="shared" si="132"/>
        <v>0</v>
      </c>
      <c r="AK248">
        <f t="shared" si="116"/>
        <v>0</v>
      </c>
      <c r="AL248">
        <f t="shared" si="117"/>
        <v>0</v>
      </c>
      <c r="AM248">
        <f t="shared" si="118"/>
        <v>0</v>
      </c>
      <c r="AN248">
        <f t="shared" si="119"/>
        <v>0</v>
      </c>
      <c r="AO248">
        <f t="shared" si="120"/>
        <v>0</v>
      </c>
      <c r="AP248">
        <f t="shared" si="121"/>
        <v>0</v>
      </c>
      <c r="AQ248">
        <f t="shared" si="122"/>
        <v>0</v>
      </c>
      <c r="AR248">
        <f t="shared" si="123"/>
        <v>0</v>
      </c>
      <c r="AS248">
        <f t="shared" si="124"/>
        <v>0</v>
      </c>
      <c r="AT248">
        <f t="shared" si="125"/>
        <v>0</v>
      </c>
      <c r="AU248">
        <f t="shared" si="126"/>
        <v>0</v>
      </c>
      <c r="AV248">
        <f t="shared" si="127"/>
        <v>0</v>
      </c>
      <c r="AW248">
        <f t="shared" si="128"/>
        <v>0</v>
      </c>
      <c r="AX248">
        <f t="shared" si="129"/>
        <v>0</v>
      </c>
      <c r="AY248">
        <f t="shared" si="130"/>
        <v>0</v>
      </c>
      <c r="CS248"/>
      <c r="CT248"/>
      <c r="CU248"/>
      <c r="CV248"/>
      <c r="CW248"/>
      <c r="CX248"/>
      <c r="CY248"/>
      <c r="CZ248"/>
      <c r="DA248"/>
    </row>
    <row r="249" spans="1:105" ht="15.75" customHeight="1">
      <c r="A249" s="108"/>
      <c r="B249" s="38"/>
      <c r="C249" s="1109"/>
      <c r="D249" s="954"/>
      <c r="E249" s="956"/>
      <c r="F249" s="1110" t="s">
        <v>4886</v>
      </c>
      <c r="G249" s="1110"/>
      <c r="H249" s="178"/>
      <c r="I249" s="1111" t="s">
        <v>4887</v>
      </c>
      <c r="J249" s="1111"/>
      <c r="K249" s="1111"/>
      <c r="L249" s="1111"/>
      <c r="M249" s="1111"/>
      <c r="N249" s="1111"/>
      <c r="O249" s="1112"/>
      <c r="P249" s="100"/>
      <c r="Q249" s="100"/>
      <c r="R249" s="100"/>
      <c r="S249" s="100"/>
      <c r="T249" s="100"/>
      <c r="U249" s="100"/>
      <c r="V249" s="100"/>
      <c r="W249" s="100"/>
      <c r="X249" s="100"/>
      <c r="Y249" s="100"/>
      <c r="Z249" s="100"/>
      <c r="AA249" s="100"/>
      <c r="AB249" s="100"/>
      <c r="AC249" s="100"/>
      <c r="AD249" s="100"/>
      <c r="AF249"/>
      <c r="AG249">
        <f t="shared" si="131"/>
        <v>0</v>
      </c>
      <c r="AH249">
        <f t="shared" si="132"/>
        <v>0</v>
      </c>
      <c r="AK249">
        <f t="shared" si="116"/>
        <v>0</v>
      </c>
      <c r="AL249">
        <f t="shared" si="117"/>
        <v>0</v>
      </c>
      <c r="AM249">
        <f t="shared" si="118"/>
        <v>0</v>
      </c>
      <c r="AN249">
        <f t="shared" si="119"/>
        <v>0</v>
      </c>
      <c r="AO249">
        <f t="shared" si="120"/>
        <v>0</v>
      </c>
      <c r="AP249">
        <f t="shared" si="121"/>
        <v>0</v>
      </c>
      <c r="AQ249">
        <f t="shared" si="122"/>
        <v>0</v>
      </c>
      <c r="AR249">
        <f t="shared" si="123"/>
        <v>0</v>
      </c>
      <c r="AS249">
        <f t="shared" si="124"/>
        <v>0</v>
      </c>
      <c r="AT249">
        <f t="shared" si="125"/>
        <v>0</v>
      </c>
      <c r="AU249">
        <f t="shared" si="126"/>
        <v>0</v>
      </c>
      <c r="AV249">
        <f t="shared" si="127"/>
        <v>0</v>
      </c>
      <c r="AW249">
        <f t="shared" si="128"/>
        <v>0</v>
      </c>
      <c r="AX249">
        <f t="shared" si="129"/>
        <v>0</v>
      </c>
      <c r="AY249">
        <f t="shared" si="130"/>
        <v>0</v>
      </c>
      <c r="CS249"/>
      <c r="CT249"/>
      <c r="CU249"/>
      <c r="CV249"/>
      <c r="CW249"/>
      <c r="CX249"/>
      <c r="CY249"/>
      <c r="CZ249"/>
      <c r="DA249"/>
    </row>
    <row r="250" spans="1:105" ht="15" customHeight="1">
      <c r="A250" s="108"/>
      <c r="B250" s="38"/>
      <c r="C250" s="1109"/>
      <c r="D250" s="954"/>
      <c r="E250" s="956"/>
      <c r="F250" s="1110" t="s">
        <v>4888</v>
      </c>
      <c r="G250" s="1110"/>
      <c r="H250" s="178"/>
      <c r="I250" s="1111" t="s">
        <v>4889</v>
      </c>
      <c r="J250" s="1111"/>
      <c r="K250" s="1111"/>
      <c r="L250" s="1111"/>
      <c r="M250" s="1111"/>
      <c r="N250" s="1111"/>
      <c r="O250" s="1112"/>
      <c r="P250" s="100"/>
      <c r="Q250" s="100"/>
      <c r="R250" s="100"/>
      <c r="S250" s="100"/>
      <c r="T250" s="100"/>
      <c r="U250" s="100"/>
      <c r="V250" s="100"/>
      <c r="W250" s="100"/>
      <c r="X250" s="100"/>
      <c r="Y250" s="100"/>
      <c r="Z250" s="100"/>
      <c r="AA250" s="100"/>
      <c r="AB250" s="100"/>
      <c r="AC250" s="100"/>
      <c r="AD250" s="100"/>
      <c r="AF250"/>
      <c r="AG250">
        <f t="shared" si="131"/>
        <v>0</v>
      </c>
      <c r="AH250">
        <f t="shared" si="132"/>
        <v>0</v>
      </c>
      <c r="AK250">
        <f t="shared" si="116"/>
        <v>0</v>
      </c>
      <c r="AL250">
        <f t="shared" si="117"/>
        <v>0</v>
      </c>
      <c r="AM250">
        <f t="shared" si="118"/>
        <v>0</v>
      </c>
      <c r="AN250">
        <f t="shared" si="119"/>
        <v>0</v>
      </c>
      <c r="AO250">
        <f t="shared" si="120"/>
        <v>0</v>
      </c>
      <c r="AP250">
        <f t="shared" si="121"/>
        <v>0</v>
      </c>
      <c r="AQ250">
        <f t="shared" si="122"/>
        <v>0</v>
      </c>
      <c r="AR250">
        <f t="shared" si="123"/>
        <v>0</v>
      </c>
      <c r="AS250">
        <f t="shared" si="124"/>
        <v>0</v>
      </c>
      <c r="AT250">
        <f t="shared" si="125"/>
        <v>0</v>
      </c>
      <c r="AU250">
        <f t="shared" si="126"/>
        <v>0</v>
      </c>
      <c r="AV250">
        <f t="shared" si="127"/>
        <v>0</v>
      </c>
      <c r="AW250">
        <f t="shared" si="128"/>
        <v>0</v>
      </c>
      <c r="AX250">
        <f t="shared" si="129"/>
        <v>0</v>
      </c>
      <c r="AY250">
        <f t="shared" si="130"/>
        <v>0</v>
      </c>
      <c r="CS250"/>
      <c r="CT250"/>
      <c r="CU250"/>
      <c r="CV250"/>
      <c r="CW250"/>
      <c r="CX250"/>
      <c r="CY250"/>
      <c r="CZ250"/>
      <c r="DA250"/>
    </row>
    <row r="251" spans="1:105" ht="15" customHeight="1">
      <c r="A251" s="108"/>
      <c r="B251" s="38"/>
      <c r="C251" s="1109"/>
      <c r="D251" s="954"/>
      <c r="E251" s="956"/>
      <c r="F251" s="1110" t="s">
        <v>4890</v>
      </c>
      <c r="G251" s="1110"/>
      <c r="H251" s="178"/>
      <c r="I251" s="1111" t="s">
        <v>2631</v>
      </c>
      <c r="J251" s="1111"/>
      <c r="K251" s="1111"/>
      <c r="L251" s="1111"/>
      <c r="M251" s="1111"/>
      <c r="N251" s="1111"/>
      <c r="O251" s="1112"/>
      <c r="P251" s="100"/>
      <c r="Q251" s="100"/>
      <c r="R251" s="100"/>
      <c r="S251" s="100"/>
      <c r="T251" s="100"/>
      <c r="U251" s="100"/>
      <c r="V251" s="100"/>
      <c r="W251" s="100"/>
      <c r="X251" s="100"/>
      <c r="Y251" s="100"/>
      <c r="Z251" s="100"/>
      <c r="AA251" s="100"/>
      <c r="AB251" s="100"/>
      <c r="AC251" s="100"/>
      <c r="AD251" s="100"/>
      <c r="AF251"/>
      <c r="AG251">
        <f t="shared" si="131"/>
        <v>0</v>
      </c>
      <c r="AH251">
        <f t="shared" si="132"/>
        <v>0</v>
      </c>
      <c r="AK251">
        <f t="shared" si="116"/>
        <v>0</v>
      </c>
      <c r="AL251">
        <f t="shared" si="117"/>
        <v>0</v>
      </c>
      <c r="AM251">
        <f t="shared" si="118"/>
        <v>0</v>
      </c>
      <c r="AN251">
        <f t="shared" si="119"/>
        <v>0</v>
      </c>
      <c r="AO251">
        <f t="shared" si="120"/>
        <v>0</v>
      </c>
      <c r="AP251">
        <f t="shared" si="121"/>
        <v>0</v>
      </c>
      <c r="AQ251">
        <f t="shared" si="122"/>
        <v>0</v>
      </c>
      <c r="AR251">
        <f t="shared" si="123"/>
        <v>0</v>
      </c>
      <c r="AS251">
        <f t="shared" si="124"/>
        <v>0</v>
      </c>
      <c r="AT251">
        <f t="shared" si="125"/>
        <v>0</v>
      </c>
      <c r="AU251">
        <f t="shared" si="126"/>
        <v>0</v>
      </c>
      <c r="AV251">
        <f t="shared" si="127"/>
        <v>0</v>
      </c>
      <c r="AW251">
        <f t="shared" si="128"/>
        <v>0</v>
      </c>
      <c r="AX251">
        <f t="shared" si="129"/>
        <v>0</v>
      </c>
      <c r="AY251">
        <f t="shared" si="130"/>
        <v>0</v>
      </c>
      <c r="CS251"/>
      <c r="CT251"/>
      <c r="CU251"/>
      <c r="CV251"/>
      <c r="CW251"/>
      <c r="CX251"/>
      <c r="CY251"/>
      <c r="CZ251"/>
      <c r="DA251"/>
    </row>
    <row r="252" spans="1:105" ht="24" customHeight="1">
      <c r="A252" s="108"/>
      <c r="B252" s="38"/>
      <c r="C252" s="1109"/>
      <c r="D252" s="954"/>
      <c r="E252" s="956"/>
      <c r="F252" s="1103" t="s">
        <v>4891</v>
      </c>
      <c r="G252" s="1103"/>
      <c r="H252" s="1104" t="s">
        <v>4892</v>
      </c>
      <c r="I252" s="1105"/>
      <c r="J252" s="1105"/>
      <c r="K252" s="1105"/>
      <c r="L252" s="1105"/>
      <c r="M252" s="1105"/>
      <c r="N252" s="1105"/>
      <c r="O252" s="1106"/>
      <c r="P252" s="100"/>
      <c r="Q252" s="100"/>
      <c r="R252" s="100"/>
      <c r="S252" s="100"/>
      <c r="T252" s="100"/>
      <c r="U252" s="100"/>
      <c r="V252" s="100"/>
      <c r="W252" s="100"/>
      <c r="X252" s="100"/>
      <c r="Y252" s="100"/>
      <c r="Z252" s="100"/>
      <c r="AA252" s="100"/>
      <c r="AB252" s="100"/>
      <c r="AC252" s="100"/>
      <c r="AD252" s="100"/>
      <c r="AF252">
        <f>IF(P252="NA",IF(AND(COUNTIF(P253:P257,"="&amp;$AF$212)=0,COUNTIF(P253:P257,"&lt;&gt;NA")&gt;0),1,0),IF(AND(COUNTIF(P253:P257,"="&amp;$AF$212)=0,COUNTIF(P253:P257,"NA")=COUNTIF(P253:P257,"&lt;&gt;"&amp;$AF$212)),1,0))</f>
        <v>0</v>
      </c>
      <c r="AG252">
        <f t="shared" si="131"/>
        <v>0</v>
      </c>
      <c r="AH252">
        <f t="shared" si="132"/>
        <v>0</v>
      </c>
      <c r="AK252">
        <f t="shared" si="116"/>
        <v>0</v>
      </c>
      <c r="AL252">
        <f t="shared" si="117"/>
        <v>0</v>
      </c>
      <c r="AM252">
        <f t="shared" si="118"/>
        <v>0</v>
      </c>
      <c r="AN252">
        <f t="shared" si="119"/>
        <v>0</v>
      </c>
      <c r="AO252">
        <f t="shared" si="120"/>
        <v>0</v>
      </c>
      <c r="AP252">
        <f t="shared" si="121"/>
        <v>0</v>
      </c>
      <c r="AQ252">
        <f t="shared" si="122"/>
        <v>0</v>
      </c>
      <c r="AR252">
        <f t="shared" si="123"/>
        <v>0</v>
      </c>
      <c r="AS252">
        <f t="shared" si="124"/>
        <v>0</v>
      </c>
      <c r="AT252">
        <f t="shared" si="125"/>
        <v>0</v>
      </c>
      <c r="AU252">
        <f t="shared" si="126"/>
        <v>0</v>
      </c>
      <c r="AV252">
        <f t="shared" si="127"/>
        <v>0</v>
      </c>
      <c r="AW252">
        <f t="shared" si="128"/>
        <v>0</v>
      </c>
      <c r="AX252">
        <f t="shared" si="129"/>
        <v>0</v>
      </c>
      <c r="AY252">
        <f t="shared" si="130"/>
        <v>0</v>
      </c>
      <c r="CS252"/>
      <c r="CT252"/>
      <c r="CU252"/>
      <c r="CV252"/>
      <c r="CW252"/>
      <c r="CX252"/>
      <c r="CY252"/>
      <c r="CZ252"/>
      <c r="DA252"/>
    </row>
    <row r="253" spans="1:105" ht="24" customHeight="1">
      <c r="A253" s="108"/>
      <c r="B253" s="38"/>
      <c r="C253" s="1109"/>
      <c r="D253" s="954"/>
      <c r="E253" s="956"/>
      <c r="F253" s="1110" t="s">
        <v>4893</v>
      </c>
      <c r="G253" s="1110"/>
      <c r="H253" s="177"/>
      <c r="I253" s="1115" t="s">
        <v>4894</v>
      </c>
      <c r="J253" s="1115"/>
      <c r="K253" s="1115"/>
      <c r="L253" s="1115"/>
      <c r="M253" s="1115"/>
      <c r="N253" s="1115"/>
      <c r="O253" s="1116"/>
      <c r="P253" s="100"/>
      <c r="Q253" s="100"/>
      <c r="R253" s="100"/>
      <c r="S253" s="100"/>
      <c r="T253" s="100"/>
      <c r="U253" s="100"/>
      <c r="V253" s="100"/>
      <c r="W253" s="100"/>
      <c r="X253" s="100"/>
      <c r="Y253" s="100"/>
      <c r="Z253" s="100"/>
      <c r="AA253" s="100"/>
      <c r="AB253" s="100"/>
      <c r="AC253" s="100"/>
      <c r="AD253" s="100"/>
      <c r="AF253"/>
      <c r="AG253">
        <f t="shared" si="131"/>
        <v>0</v>
      </c>
      <c r="AH253">
        <f t="shared" si="132"/>
        <v>0</v>
      </c>
      <c r="AK253">
        <f t="shared" si="116"/>
        <v>0</v>
      </c>
      <c r="AL253">
        <f t="shared" si="117"/>
        <v>0</v>
      </c>
      <c r="AM253">
        <f t="shared" si="118"/>
        <v>0</v>
      </c>
      <c r="AN253">
        <f t="shared" si="119"/>
        <v>0</v>
      </c>
      <c r="AO253">
        <f t="shared" si="120"/>
        <v>0</v>
      </c>
      <c r="AP253">
        <f t="shared" si="121"/>
        <v>0</v>
      </c>
      <c r="AQ253">
        <f t="shared" si="122"/>
        <v>0</v>
      </c>
      <c r="AR253">
        <f t="shared" si="123"/>
        <v>0</v>
      </c>
      <c r="AS253">
        <f t="shared" si="124"/>
        <v>0</v>
      </c>
      <c r="AT253">
        <f t="shared" si="125"/>
        <v>0</v>
      </c>
      <c r="AU253">
        <f t="shared" si="126"/>
        <v>0</v>
      </c>
      <c r="AV253">
        <f t="shared" si="127"/>
        <v>0</v>
      </c>
      <c r="AW253">
        <f t="shared" si="128"/>
        <v>0</v>
      </c>
      <c r="AX253">
        <f t="shared" si="129"/>
        <v>0</v>
      </c>
      <c r="AY253">
        <f t="shared" si="130"/>
        <v>0</v>
      </c>
      <c r="CS253"/>
      <c r="CT253"/>
      <c r="CU253"/>
      <c r="CV253"/>
      <c r="CW253"/>
      <c r="CX253"/>
      <c r="CY253"/>
      <c r="CZ253"/>
      <c r="DA253"/>
    </row>
    <row r="254" spans="1:105" ht="24" customHeight="1">
      <c r="A254" s="108"/>
      <c r="B254" s="38"/>
      <c r="C254" s="1109"/>
      <c r="D254" s="954"/>
      <c r="E254" s="956"/>
      <c r="F254" s="1110" t="s">
        <v>4895</v>
      </c>
      <c r="G254" s="1110"/>
      <c r="H254" s="178"/>
      <c r="I254" s="1111" t="s">
        <v>4896</v>
      </c>
      <c r="J254" s="1111"/>
      <c r="K254" s="1111"/>
      <c r="L254" s="1111"/>
      <c r="M254" s="1111"/>
      <c r="N254" s="1111"/>
      <c r="O254" s="1112"/>
      <c r="P254" s="100"/>
      <c r="Q254" s="100"/>
      <c r="R254" s="100"/>
      <c r="S254" s="100"/>
      <c r="T254" s="100"/>
      <c r="U254" s="100"/>
      <c r="V254" s="100"/>
      <c r="W254" s="100"/>
      <c r="X254" s="100"/>
      <c r="Y254" s="100"/>
      <c r="Z254" s="100"/>
      <c r="AA254" s="100"/>
      <c r="AB254" s="100"/>
      <c r="AC254" s="100"/>
      <c r="AD254" s="100"/>
      <c r="AF254"/>
      <c r="AG254">
        <f t="shared" si="131"/>
        <v>0</v>
      </c>
      <c r="AH254">
        <f t="shared" si="132"/>
        <v>0</v>
      </c>
      <c r="AK254">
        <f t="shared" si="116"/>
        <v>0</v>
      </c>
      <c r="AL254">
        <f t="shared" si="117"/>
        <v>0</v>
      </c>
      <c r="AM254">
        <f t="shared" si="118"/>
        <v>0</v>
      </c>
      <c r="AN254">
        <f t="shared" si="119"/>
        <v>0</v>
      </c>
      <c r="AO254">
        <f t="shared" si="120"/>
        <v>0</v>
      </c>
      <c r="AP254">
        <f t="shared" si="121"/>
        <v>0</v>
      </c>
      <c r="AQ254">
        <f t="shared" si="122"/>
        <v>0</v>
      </c>
      <c r="AR254">
        <f t="shared" si="123"/>
        <v>0</v>
      </c>
      <c r="AS254">
        <f t="shared" si="124"/>
        <v>0</v>
      </c>
      <c r="AT254">
        <f t="shared" si="125"/>
        <v>0</v>
      </c>
      <c r="AU254">
        <f t="shared" si="126"/>
        <v>0</v>
      </c>
      <c r="AV254">
        <f t="shared" si="127"/>
        <v>0</v>
      </c>
      <c r="AW254">
        <f t="shared" si="128"/>
        <v>0</v>
      </c>
      <c r="AX254">
        <f t="shared" si="129"/>
        <v>0</v>
      </c>
      <c r="AY254">
        <f t="shared" si="130"/>
        <v>0</v>
      </c>
      <c r="CS254"/>
      <c r="CT254"/>
      <c r="CU254"/>
      <c r="CV254"/>
      <c r="CW254"/>
      <c r="CX254"/>
      <c r="CY254"/>
      <c r="CZ254"/>
      <c r="DA254"/>
    </row>
    <row r="255" spans="1:105" ht="24" customHeight="1">
      <c r="A255" s="108"/>
      <c r="B255" s="38"/>
      <c r="C255" s="1109"/>
      <c r="D255" s="954"/>
      <c r="E255" s="956"/>
      <c r="F255" s="1110" t="s">
        <v>4897</v>
      </c>
      <c r="G255" s="1110"/>
      <c r="H255" s="178"/>
      <c r="I255" s="1111" t="s">
        <v>4898</v>
      </c>
      <c r="J255" s="1111"/>
      <c r="K255" s="1111"/>
      <c r="L255" s="1111"/>
      <c r="M255" s="1111"/>
      <c r="N255" s="1111"/>
      <c r="O255" s="1112"/>
      <c r="P255" s="100"/>
      <c r="Q255" s="100"/>
      <c r="R255" s="100"/>
      <c r="S255" s="100"/>
      <c r="T255" s="100"/>
      <c r="U255" s="100"/>
      <c r="V255" s="100"/>
      <c r="W255" s="100"/>
      <c r="X255" s="100"/>
      <c r="Y255" s="100"/>
      <c r="Z255" s="100"/>
      <c r="AA255" s="100"/>
      <c r="AB255" s="100"/>
      <c r="AC255" s="100"/>
      <c r="AD255" s="100"/>
      <c r="AF255"/>
      <c r="AG255">
        <f t="shared" si="131"/>
        <v>0</v>
      </c>
      <c r="AH255">
        <f t="shared" si="132"/>
        <v>0</v>
      </c>
      <c r="AK255">
        <f t="shared" si="116"/>
        <v>0</v>
      </c>
      <c r="AL255">
        <f t="shared" si="117"/>
        <v>0</v>
      </c>
      <c r="AM255">
        <f t="shared" si="118"/>
        <v>0</v>
      </c>
      <c r="AN255">
        <f t="shared" si="119"/>
        <v>0</v>
      </c>
      <c r="AO255">
        <f t="shared" si="120"/>
        <v>0</v>
      </c>
      <c r="AP255">
        <f t="shared" si="121"/>
        <v>0</v>
      </c>
      <c r="AQ255">
        <f t="shared" si="122"/>
        <v>0</v>
      </c>
      <c r="AR255">
        <f t="shared" si="123"/>
        <v>0</v>
      </c>
      <c r="AS255">
        <f t="shared" si="124"/>
        <v>0</v>
      </c>
      <c r="AT255">
        <f t="shared" si="125"/>
        <v>0</v>
      </c>
      <c r="AU255">
        <f t="shared" si="126"/>
        <v>0</v>
      </c>
      <c r="AV255">
        <f t="shared" si="127"/>
        <v>0</v>
      </c>
      <c r="AW255">
        <f t="shared" si="128"/>
        <v>0</v>
      </c>
      <c r="AX255">
        <f t="shared" si="129"/>
        <v>0</v>
      </c>
      <c r="AY255">
        <f t="shared" si="130"/>
        <v>0</v>
      </c>
      <c r="CS255"/>
      <c r="CT255"/>
      <c r="CU255"/>
      <c r="CV255"/>
      <c r="CW255"/>
      <c r="CX255"/>
      <c r="CY255"/>
      <c r="CZ255"/>
      <c r="DA255"/>
    </row>
    <row r="256" spans="1:105" ht="24" customHeight="1">
      <c r="A256" s="108"/>
      <c r="B256" s="38"/>
      <c r="C256" s="1109"/>
      <c r="D256" s="954"/>
      <c r="E256" s="956"/>
      <c r="F256" s="1110" t="s">
        <v>4899</v>
      </c>
      <c r="G256" s="1110"/>
      <c r="H256" s="178"/>
      <c r="I256" s="1111" t="s">
        <v>4900</v>
      </c>
      <c r="J256" s="1111"/>
      <c r="K256" s="1111"/>
      <c r="L256" s="1111"/>
      <c r="M256" s="1111"/>
      <c r="N256" s="1111"/>
      <c r="O256" s="1112"/>
      <c r="P256" s="100"/>
      <c r="Q256" s="100"/>
      <c r="R256" s="100"/>
      <c r="S256" s="100"/>
      <c r="T256" s="100"/>
      <c r="U256" s="100"/>
      <c r="V256" s="100"/>
      <c r="W256" s="100"/>
      <c r="X256" s="100"/>
      <c r="Y256" s="100"/>
      <c r="Z256" s="100"/>
      <c r="AA256" s="100"/>
      <c r="AB256" s="100"/>
      <c r="AC256" s="100"/>
      <c r="AD256" s="100"/>
      <c r="AF256"/>
      <c r="AG256">
        <f t="shared" si="131"/>
        <v>0</v>
      </c>
      <c r="AH256">
        <f t="shared" si="132"/>
        <v>0</v>
      </c>
      <c r="AK256">
        <f t="shared" si="116"/>
        <v>0</v>
      </c>
      <c r="AL256">
        <f t="shared" si="117"/>
        <v>0</v>
      </c>
      <c r="AM256">
        <f t="shared" si="118"/>
        <v>0</v>
      </c>
      <c r="AN256">
        <f t="shared" si="119"/>
        <v>0</v>
      </c>
      <c r="AO256">
        <f t="shared" si="120"/>
        <v>0</v>
      </c>
      <c r="AP256">
        <f t="shared" si="121"/>
        <v>0</v>
      </c>
      <c r="AQ256">
        <f t="shared" si="122"/>
        <v>0</v>
      </c>
      <c r="AR256">
        <f t="shared" si="123"/>
        <v>0</v>
      </c>
      <c r="AS256">
        <f t="shared" si="124"/>
        <v>0</v>
      </c>
      <c r="AT256">
        <f t="shared" si="125"/>
        <v>0</v>
      </c>
      <c r="AU256">
        <f t="shared" si="126"/>
        <v>0</v>
      </c>
      <c r="AV256">
        <f t="shared" si="127"/>
        <v>0</v>
      </c>
      <c r="AW256">
        <f t="shared" si="128"/>
        <v>0</v>
      </c>
      <c r="AX256">
        <f t="shared" si="129"/>
        <v>0</v>
      </c>
      <c r="AY256">
        <f t="shared" si="130"/>
        <v>0</v>
      </c>
      <c r="CS256"/>
      <c r="CT256"/>
      <c r="CU256"/>
      <c r="CV256"/>
      <c r="CW256"/>
      <c r="CX256"/>
      <c r="CY256"/>
      <c r="CZ256"/>
      <c r="DA256"/>
    </row>
    <row r="257" spans="1:105" ht="15" customHeight="1">
      <c r="A257" s="108"/>
      <c r="B257" s="38"/>
      <c r="C257" s="1109"/>
      <c r="D257" s="954"/>
      <c r="E257" s="956"/>
      <c r="F257" s="1110" t="s">
        <v>4901</v>
      </c>
      <c r="G257" s="1110"/>
      <c r="H257" s="178"/>
      <c r="I257" s="1111" t="s">
        <v>2631</v>
      </c>
      <c r="J257" s="1111"/>
      <c r="K257" s="1111"/>
      <c r="L257" s="1111"/>
      <c r="M257" s="1111"/>
      <c r="N257" s="1111"/>
      <c r="O257" s="1112"/>
      <c r="P257" s="100"/>
      <c r="Q257" s="100"/>
      <c r="R257" s="100"/>
      <c r="S257" s="100"/>
      <c r="T257" s="100"/>
      <c r="U257" s="100"/>
      <c r="V257" s="100"/>
      <c r="W257" s="100"/>
      <c r="X257" s="100"/>
      <c r="Y257" s="100"/>
      <c r="Z257" s="100"/>
      <c r="AA257" s="100"/>
      <c r="AB257" s="100"/>
      <c r="AC257" s="100"/>
      <c r="AD257" s="100"/>
      <c r="AF257"/>
      <c r="AG257">
        <f t="shared" si="131"/>
        <v>0</v>
      </c>
      <c r="AH257">
        <f t="shared" si="132"/>
        <v>0</v>
      </c>
      <c r="AK257">
        <f t="shared" si="116"/>
        <v>0</v>
      </c>
      <c r="AL257">
        <f t="shared" si="117"/>
        <v>0</v>
      </c>
      <c r="AM257">
        <f t="shared" si="118"/>
        <v>0</v>
      </c>
      <c r="AN257">
        <f t="shared" si="119"/>
        <v>0</v>
      </c>
      <c r="AO257">
        <f t="shared" si="120"/>
        <v>0</v>
      </c>
      <c r="AP257">
        <f t="shared" si="121"/>
        <v>0</v>
      </c>
      <c r="AQ257">
        <f t="shared" si="122"/>
        <v>0</v>
      </c>
      <c r="AR257">
        <f t="shared" si="123"/>
        <v>0</v>
      </c>
      <c r="AS257">
        <f t="shared" si="124"/>
        <v>0</v>
      </c>
      <c r="AT257">
        <f t="shared" si="125"/>
        <v>0</v>
      </c>
      <c r="AU257">
        <f t="shared" si="126"/>
        <v>0</v>
      </c>
      <c r="AV257">
        <f t="shared" si="127"/>
        <v>0</v>
      </c>
      <c r="AW257">
        <f t="shared" si="128"/>
        <v>0</v>
      </c>
      <c r="AX257">
        <f t="shared" si="129"/>
        <v>0</v>
      </c>
      <c r="AY257">
        <f t="shared" si="130"/>
        <v>0</v>
      </c>
      <c r="CS257"/>
      <c r="CT257"/>
      <c r="CU257"/>
      <c r="CV257"/>
      <c r="CW257"/>
      <c r="CX257"/>
      <c r="CY257"/>
      <c r="CZ257"/>
      <c r="DA257"/>
    </row>
    <row r="258" spans="1:105" ht="15" customHeight="1">
      <c r="A258" s="108"/>
      <c r="B258" s="38"/>
      <c r="C258" s="1109"/>
      <c r="D258" s="954"/>
      <c r="E258" s="956"/>
      <c r="F258" s="1103" t="s">
        <v>4902</v>
      </c>
      <c r="G258" s="1103"/>
      <c r="H258" s="1104" t="s">
        <v>4903</v>
      </c>
      <c r="I258" s="1105"/>
      <c r="J258" s="1105"/>
      <c r="K258" s="1105"/>
      <c r="L258" s="1105"/>
      <c r="M258" s="1105"/>
      <c r="N258" s="1105"/>
      <c r="O258" s="1106"/>
      <c r="P258" s="100"/>
      <c r="Q258" s="100"/>
      <c r="R258" s="100"/>
      <c r="S258" s="100"/>
      <c r="T258" s="100"/>
      <c r="U258" s="100"/>
      <c r="V258" s="100"/>
      <c r="W258" s="100"/>
      <c r="X258" s="100"/>
      <c r="Y258" s="100"/>
      <c r="Z258" s="100"/>
      <c r="AA258" s="100"/>
      <c r="AB258" s="100"/>
      <c r="AC258" s="100"/>
      <c r="AD258" s="100"/>
      <c r="AF258"/>
      <c r="AG258">
        <f t="shared" si="131"/>
        <v>0</v>
      </c>
      <c r="AH258">
        <f t="shared" si="132"/>
        <v>0</v>
      </c>
      <c r="AK258">
        <f t="shared" si="116"/>
        <v>0</v>
      </c>
      <c r="AL258">
        <f t="shared" si="117"/>
        <v>0</v>
      </c>
      <c r="AM258">
        <f t="shared" si="118"/>
        <v>0</v>
      </c>
      <c r="AN258">
        <f t="shared" si="119"/>
        <v>0</v>
      </c>
      <c r="AO258">
        <f t="shared" si="120"/>
        <v>0</v>
      </c>
      <c r="AP258">
        <f t="shared" si="121"/>
        <v>0</v>
      </c>
      <c r="AQ258">
        <f t="shared" si="122"/>
        <v>0</v>
      </c>
      <c r="AR258">
        <f t="shared" si="123"/>
        <v>0</v>
      </c>
      <c r="AS258">
        <f t="shared" si="124"/>
        <v>0</v>
      </c>
      <c r="AT258">
        <f t="shared" si="125"/>
        <v>0</v>
      </c>
      <c r="AU258">
        <f t="shared" si="126"/>
        <v>0</v>
      </c>
      <c r="AV258">
        <f t="shared" si="127"/>
        <v>0</v>
      </c>
      <c r="AW258">
        <f t="shared" si="128"/>
        <v>0</v>
      </c>
      <c r="AX258">
        <f t="shared" si="129"/>
        <v>0</v>
      </c>
      <c r="AY258">
        <f t="shared" si="130"/>
        <v>0</v>
      </c>
      <c r="CS258"/>
      <c r="CT258"/>
      <c r="CU258"/>
      <c r="CV258"/>
      <c r="CW258"/>
      <c r="CX258"/>
      <c r="CY258"/>
      <c r="CZ258"/>
      <c r="DA258"/>
    </row>
    <row r="259" spans="1:105" ht="15" customHeight="1">
      <c r="A259" s="108"/>
      <c r="B259" s="38"/>
      <c r="C259" s="1109"/>
      <c r="D259" s="954"/>
      <c r="E259" s="956"/>
      <c r="F259" s="1103" t="s">
        <v>4904</v>
      </c>
      <c r="G259" s="1103"/>
      <c r="H259" s="1104" t="s">
        <v>4905</v>
      </c>
      <c r="I259" s="1105"/>
      <c r="J259" s="1105"/>
      <c r="K259" s="1105"/>
      <c r="L259" s="1105"/>
      <c r="M259" s="1105"/>
      <c r="N259" s="1105"/>
      <c r="O259" s="1106"/>
      <c r="P259" s="100"/>
      <c r="Q259" s="100"/>
      <c r="R259" s="100"/>
      <c r="S259" s="100"/>
      <c r="T259" s="100"/>
      <c r="U259" s="100"/>
      <c r="V259" s="100"/>
      <c r="W259" s="100"/>
      <c r="X259" s="100"/>
      <c r="Y259" s="100"/>
      <c r="Z259" s="100"/>
      <c r="AA259" s="100"/>
      <c r="AB259" s="100"/>
      <c r="AC259" s="100"/>
      <c r="AD259" s="100"/>
      <c r="AF259"/>
      <c r="AG259">
        <f t="shared" si="131"/>
        <v>0</v>
      </c>
      <c r="AH259">
        <f t="shared" si="132"/>
        <v>0</v>
      </c>
      <c r="AK259">
        <f t="shared" si="116"/>
        <v>0</v>
      </c>
      <c r="AL259">
        <f t="shared" si="117"/>
        <v>0</v>
      </c>
      <c r="AM259">
        <f t="shared" si="118"/>
        <v>0</v>
      </c>
      <c r="AN259">
        <f t="shared" si="119"/>
        <v>0</v>
      </c>
      <c r="AO259">
        <f t="shared" si="120"/>
        <v>0</v>
      </c>
      <c r="AP259">
        <f t="shared" si="121"/>
        <v>0</v>
      </c>
      <c r="AQ259">
        <f t="shared" si="122"/>
        <v>0</v>
      </c>
      <c r="AR259">
        <f t="shared" si="123"/>
        <v>0</v>
      </c>
      <c r="AS259">
        <f t="shared" si="124"/>
        <v>0</v>
      </c>
      <c r="AT259">
        <f t="shared" si="125"/>
        <v>0</v>
      </c>
      <c r="AU259">
        <f t="shared" si="126"/>
        <v>0</v>
      </c>
      <c r="AV259">
        <f t="shared" si="127"/>
        <v>0</v>
      </c>
      <c r="AW259">
        <f t="shared" si="128"/>
        <v>0</v>
      </c>
      <c r="AX259">
        <f t="shared" si="129"/>
        <v>0</v>
      </c>
      <c r="AY259">
        <f t="shared" si="130"/>
        <v>0</v>
      </c>
      <c r="CS259"/>
      <c r="CT259"/>
      <c r="CU259"/>
      <c r="CV259"/>
      <c r="CW259"/>
      <c r="CX259"/>
      <c r="CY259"/>
      <c r="CZ259"/>
      <c r="DA259"/>
    </row>
    <row r="260" spans="1:105" ht="15" customHeight="1">
      <c r="A260" s="108"/>
      <c r="B260" s="38"/>
      <c r="C260" s="1109"/>
      <c r="D260" s="954"/>
      <c r="E260" s="956"/>
      <c r="F260" s="1103" t="s">
        <v>4906</v>
      </c>
      <c r="G260" s="1103"/>
      <c r="H260" s="1104" t="s">
        <v>4907</v>
      </c>
      <c r="I260" s="1105"/>
      <c r="J260" s="1105"/>
      <c r="K260" s="1105"/>
      <c r="L260" s="1105"/>
      <c r="M260" s="1105"/>
      <c r="N260" s="1105"/>
      <c r="O260" s="1106"/>
      <c r="P260" s="100"/>
      <c r="Q260" s="100"/>
      <c r="R260" s="100"/>
      <c r="S260" s="100"/>
      <c r="T260" s="100"/>
      <c r="U260" s="100"/>
      <c r="V260" s="100"/>
      <c r="W260" s="100"/>
      <c r="X260" s="100"/>
      <c r="Y260" s="100"/>
      <c r="Z260" s="100"/>
      <c r="AA260" s="100"/>
      <c r="AB260" s="100"/>
      <c r="AC260" s="100"/>
      <c r="AD260" s="100"/>
      <c r="AF260">
        <f>IF(P260="NA",IF(AND(COUNTIF(P261:P263,"="&amp;$AF$212)=0,COUNTIF(P261:P263,"&lt;&gt;NA")&gt;0),1,0),IF(AND(COUNTIF(P261:P263,"="&amp;$AF$212)=0,COUNTIF(P261:P263,"NA")=COUNTIF(P261:P263,"&lt;&gt;"&amp;$AF$212)),1,0))</f>
        <v>0</v>
      </c>
      <c r="AG260">
        <f t="shared" si="131"/>
        <v>0</v>
      </c>
      <c r="AH260">
        <f t="shared" si="132"/>
        <v>0</v>
      </c>
      <c r="AK260">
        <f t="shared" si="116"/>
        <v>0</v>
      </c>
      <c r="AL260">
        <f t="shared" si="117"/>
        <v>0</v>
      </c>
      <c r="AM260">
        <f t="shared" si="118"/>
        <v>0</v>
      </c>
      <c r="AN260">
        <f t="shared" si="119"/>
        <v>0</v>
      </c>
      <c r="AO260">
        <f t="shared" si="120"/>
        <v>0</v>
      </c>
      <c r="AP260">
        <f t="shared" si="121"/>
        <v>0</v>
      </c>
      <c r="AQ260">
        <f t="shared" si="122"/>
        <v>0</v>
      </c>
      <c r="AR260">
        <f t="shared" si="123"/>
        <v>0</v>
      </c>
      <c r="AS260">
        <f t="shared" si="124"/>
        <v>0</v>
      </c>
      <c r="AT260">
        <f t="shared" si="125"/>
        <v>0</v>
      </c>
      <c r="AU260">
        <f t="shared" si="126"/>
        <v>0</v>
      </c>
      <c r="AV260">
        <f t="shared" si="127"/>
        <v>0</v>
      </c>
      <c r="AW260">
        <f t="shared" si="128"/>
        <v>0</v>
      </c>
      <c r="AX260">
        <f t="shared" si="129"/>
        <v>0</v>
      </c>
      <c r="AY260">
        <f t="shared" si="130"/>
        <v>0</v>
      </c>
      <c r="CS260"/>
      <c r="CT260"/>
      <c r="CU260"/>
      <c r="CV260"/>
      <c r="CW260"/>
      <c r="CX260"/>
      <c r="CY260"/>
      <c r="CZ260"/>
      <c r="DA260"/>
    </row>
    <row r="261" spans="1:105" ht="36" customHeight="1">
      <c r="A261" s="108"/>
      <c r="B261" s="38"/>
      <c r="C261" s="1109"/>
      <c r="D261" s="954"/>
      <c r="E261" s="956"/>
      <c r="F261" s="1110" t="s">
        <v>4908</v>
      </c>
      <c r="G261" s="1110"/>
      <c r="H261" s="178"/>
      <c r="I261" s="1111" t="s">
        <v>4909</v>
      </c>
      <c r="J261" s="1111"/>
      <c r="K261" s="1111"/>
      <c r="L261" s="1111"/>
      <c r="M261" s="1111"/>
      <c r="N261" s="1111"/>
      <c r="O261" s="1112"/>
      <c r="P261" s="100"/>
      <c r="Q261" s="100"/>
      <c r="R261" s="100"/>
      <c r="S261" s="100"/>
      <c r="T261" s="100"/>
      <c r="U261" s="100"/>
      <c r="V261" s="100"/>
      <c r="W261" s="100"/>
      <c r="X261" s="100"/>
      <c r="Y261" s="100"/>
      <c r="Z261" s="100"/>
      <c r="AA261" s="100"/>
      <c r="AB261" s="100"/>
      <c r="AC261" s="100"/>
      <c r="AD261" s="100"/>
      <c r="AF261"/>
      <c r="AG261">
        <f t="shared" si="131"/>
        <v>0</v>
      </c>
      <c r="AH261">
        <f t="shared" si="132"/>
        <v>0</v>
      </c>
      <c r="AK261">
        <f t="shared" si="116"/>
        <v>0</v>
      </c>
      <c r="AL261">
        <f t="shared" si="117"/>
        <v>0</v>
      </c>
      <c r="AM261">
        <f t="shared" si="118"/>
        <v>0</v>
      </c>
      <c r="AN261">
        <f t="shared" si="119"/>
        <v>0</v>
      </c>
      <c r="AO261">
        <f t="shared" si="120"/>
        <v>0</v>
      </c>
      <c r="AP261">
        <f t="shared" si="121"/>
        <v>0</v>
      </c>
      <c r="AQ261">
        <f t="shared" si="122"/>
        <v>0</v>
      </c>
      <c r="AR261">
        <f t="shared" si="123"/>
        <v>0</v>
      </c>
      <c r="AS261">
        <f t="shared" si="124"/>
        <v>0</v>
      </c>
      <c r="AT261">
        <f t="shared" si="125"/>
        <v>0</v>
      </c>
      <c r="AU261">
        <f t="shared" si="126"/>
        <v>0</v>
      </c>
      <c r="AV261">
        <f t="shared" si="127"/>
        <v>0</v>
      </c>
      <c r="AW261">
        <f t="shared" si="128"/>
        <v>0</v>
      </c>
      <c r="AX261">
        <f t="shared" si="129"/>
        <v>0</v>
      </c>
      <c r="AY261">
        <f t="shared" si="130"/>
        <v>0</v>
      </c>
      <c r="CS261"/>
      <c r="CT261"/>
      <c r="CU261"/>
      <c r="CV261"/>
      <c r="CW261"/>
      <c r="CX261"/>
      <c r="CY261"/>
      <c r="CZ261"/>
      <c r="DA261"/>
    </row>
    <row r="262" spans="1:105" ht="15" customHeight="1">
      <c r="A262" s="108"/>
      <c r="B262" s="38"/>
      <c r="C262" s="1109"/>
      <c r="D262" s="954"/>
      <c r="E262" s="956"/>
      <c r="F262" s="1110" t="s">
        <v>4910</v>
      </c>
      <c r="G262" s="1110"/>
      <c r="H262" s="178"/>
      <c r="I262" s="1111" t="s">
        <v>4911</v>
      </c>
      <c r="J262" s="1111"/>
      <c r="K262" s="1111"/>
      <c r="L262" s="1111"/>
      <c r="M262" s="1111"/>
      <c r="N262" s="1111"/>
      <c r="O262" s="1112"/>
      <c r="P262" s="100"/>
      <c r="Q262" s="100"/>
      <c r="R262" s="100"/>
      <c r="S262" s="100"/>
      <c r="T262" s="100"/>
      <c r="U262" s="100"/>
      <c r="V262" s="100"/>
      <c r="W262" s="100"/>
      <c r="X262" s="100"/>
      <c r="Y262" s="100"/>
      <c r="Z262" s="100"/>
      <c r="AA262" s="100"/>
      <c r="AB262" s="100"/>
      <c r="AC262" s="100"/>
      <c r="AD262" s="100"/>
      <c r="AF262"/>
      <c r="AG262">
        <f t="shared" si="131"/>
        <v>0</v>
      </c>
      <c r="AH262">
        <f t="shared" si="132"/>
        <v>0</v>
      </c>
      <c r="AK262">
        <f t="shared" si="116"/>
        <v>0</v>
      </c>
      <c r="AL262">
        <f t="shared" si="117"/>
        <v>0</v>
      </c>
      <c r="AM262">
        <f t="shared" si="118"/>
        <v>0</v>
      </c>
      <c r="AN262">
        <f t="shared" si="119"/>
        <v>0</v>
      </c>
      <c r="AO262">
        <f t="shared" si="120"/>
        <v>0</v>
      </c>
      <c r="AP262">
        <f t="shared" si="121"/>
        <v>0</v>
      </c>
      <c r="AQ262">
        <f t="shared" si="122"/>
        <v>0</v>
      </c>
      <c r="AR262">
        <f t="shared" si="123"/>
        <v>0</v>
      </c>
      <c r="AS262">
        <f t="shared" si="124"/>
        <v>0</v>
      </c>
      <c r="AT262">
        <f t="shared" si="125"/>
        <v>0</v>
      </c>
      <c r="AU262">
        <f t="shared" si="126"/>
        <v>0</v>
      </c>
      <c r="AV262">
        <f t="shared" si="127"/>
        <v>0</v>
      </c>
      <c r="AW262">
        <f t="shared" si="128"/>
        <v>0</v>
      </c>
      <c r="AX262">
        <f t="shared" si="129"/>
        <v>0</v>
      </c>
      <c r="AY262">
        <f t="shared" si="130"/>
        <v>0</v>
      </c>
      <c r="CS262"/>
      <c r="CT262"/>
      <c r="CU262"/>
      <c r="CV262"/>
      <c r="CW262"/>
      <c r="CX262"/>
      <c r="CY262"/>
      <c r="CZ262"/>
      <c r="DA262"/>
    </row>
    <row r="263" spans="1:105" ht="15" customHeight="1">
      <c r="A263" s="108"/>
      <c r="B263" s="38"/>
      <c r="C263" s="1109"/>
      <c r="D263" s="954"/>
      <c r="E263" s="956"/>
      <c r="F263" s="1110" t="s">
        <v>4912</v>
      </c>
      <c r="G263" s="1110"/>
      <c r="H263" s="178"/>
      <c r="I263" s="1111" t="s">
        <v>2631</v>
      </c>
      <c r="J263" s="1111"/>
      <c r="K263" s="1111"/>
      <c r="L263" s="1111"/>
      <c r="M263" s="1111"/>
      <c r="N263" s="1111"/>
      <c r="O263" s="1112"/>
      <c r="P263" s="100"/>
      <c r="Q263" s="100"/>
      <c r="R263" s="100"/>
      <c r="S263" s="100"/>
      <c r="T263" s="100"/>
      <c r="U263" s="100"/>
      <c r="V263" s="100"/>
      <c r="W263" s="100"/>
      <c r="X263" s="100"/>
      <c r="Y263" s="100"/>
      <c r="Z263" s="100"/>
      <c r="AA263" s="100"/>
      <c r="AB263" s="100"/>
      <c r="AC263" s="100"/>
      <c r="AD263" s="100"/>
      <c r="AF263"/>
      <c r="AG263">
        <f t="shared" si="131"/>
        <v>0</v>
      </c>
      <c r="AH263">
        <f t="shared" si="132"/>
        <v>0</v>
      </c>
      <c r="AK263">
        <f t="shared" si="116"/>
        <v>0</v>
      </c>
      <c r="AL263">
        <f t="shared" si="117"/>
        <v>0</v>
      </c>
      <c r="AM263">
        <f t="shared" si="118"/>
        <v>0</v>
      </c>
      <c r="AN263">
        <f t="shared" si="119"/>
        <v>0</v>
      </c>
      <c r="AO263">
        <f t="shared" si="120"/>
        <v>0</v>
      </c>
      <c r="AP263">
        <f t="shared" si="121"/>
        <v>0</v>
      </c>
      <c r="AQ263">
        <f t="shared" si="122"/>
        <v>0</v>
      </c>
      <c r="AR263">
        <f t="shared" si="123"/>
        <v>0</v>
      </c>
      <c r="AS263">
        <f t="shared" si="124"/>
        <v>0</v>
      </c>
      <c r="AT263">
        <f t="shared" si="125"/>
        <v>0</v>
      </c>
      <c r="AU263">
        <f t="shared" si="126"/>
        <v>0</v>
      </c>
      <c r="AV263">
        <f t="shared" si="127"/>
        <v>0</v>
      </c>
      <c r="AW263">
        <f t="shared" si="128"/>
        <v>0</v>
      </c>
      <c r="AX263">
        <f t="shared" si="129"/>
        <v>0</v>
      </c>
      <c r="AY263">
        <f t="shared" si="130"/>
        <v>0</v>
      </c>
      <c r="CS263"/>
      <c r="CT263"/>
      <c r="CU263"/>
      <c r="CV263"/>
      <c r="CW263"/>
      <c r="CX263"/>
      <c r="CY263"/>
      <c r="CZ263"/>
      <c r="DA263"/>
    </row>
    <row r="264" spans="1:105" ht="15" customHeight="1">
      <c r="A264" s="108"/>
      <c r="B264" s="38"/>
      <c r="C264" s="1109"/>
      <c r="D264" s="954"/>
      <c r="E264" s="956"/>
      <c r="F264" s="1103" t="s">
        <v>4913</v>
      </c>
      <c r="G264" s="1103"/>
      <c r="H264" s="1104" t="s">
        <v>4914</v>
      </c>
      <c r="I264" s="1105"/>
      <c r="J264" s="1105"/>
      <c r="K264" s="1105"/>
      <c r="L264" s="1105"/>
      <c r="M264" s="1105"/>
      <c r="N264" s="1105"/>
      <c r="O264" s="1106"/>
      <c r="P264" s="100"/>
      <c r="Q264" s="100"/>
      <c r="R264" s="100"/>
      <c r="S264" s="100"/>
      <c r="T264" s="100"/>
      <c r="U264" s="100"/>
      <c r="V264" s="100"/>
      <c r="W264" s="100"/>
      <c r="X264" s="100"/>
      <c r="Y264" s="100"/>
      <c r="Z264" s="100"/>
      <c r="AA264" s="100"/>
      <c r="AB264" s="100"/>
      <c r="AC264" s="100"/>
      <c r="AD264" s="100"/>
      <c r="AF264"/>
      <c r="AG264">
        <f t="shared" si="131"/>
        <v>0</v>
      </c>
      <c r="AH264">
        <f t="shared" si="132"/>
        <v>0</v>
      </c>
      <c r="AK264">
        <f t="shared" si="116"/>
        <v>0</v>
      </c>
      <c r="AL264">
        <f t="shared" si="117"/>
        <v>0</v>
      </c>
      <c r="AM264">
        <f t="shared" si="118"/>
        <v>0</v>
      </c>
      <c r="AN264">
        <f t="shared" si="119"/>
        <v>0</v>
      </c>
      <c r="AO264">
        <f t="shared" si="120"/>
        <v>0</v>
      </c>
      <c r="AP264">
        <f t="shared" si="121"/>
        <v>0</v>
      </c>
      <c r="AQ264">
        <f t="shared" si="122"/>
        <v>0</v>
      </c>
      <c r="AR264">
        <f t="shared" si="123"/>
        <v>0</v>
      </c>
      <c r="AS264">
        <f t="shared" si="124"/>
        <v>0</v>
      </c>
      <c r="AT264">
        <f t="shared" si="125"/>
        <v>0</v>
      </c>
      <c r="AU264">
        <f t="shared" si="126"/>
        <v>0</v>
      </c>
      <c r="AV264">
        <f t="shared" si="127"/>
        <v>0</v>
      </c>
      <c r="AW264">
        <f t="shared" si="128"/>
        <v>0</v>
      </c>
      <c r="AX264">
        <f t="shared" si="129"/>
        <v>0</v>
      </c>
      <c r="AY264">
        <f t="shared" si="130"/>
        <v>0</v>
      </c>
      <c r="CS264"/>
      <c r="CT264"/>
      <c r="CU264"/>
      <c r="CV264"/>
      <c r="CW264"/>
      <c r="CX264"/>
      <c r="CY264"/>
      <c r="CZ264"/>
      <c r="DA264"/>
    </row>
    <row r="265" spans="1:105" ht="15" customHeight="1">
      <c r="A265" s="108"/>
      <c r="B265" s="38"/>
      <c r="C265" s="1109"/>
      <c r="D265" s="954"/>
      <c r="E265" s="956"/>
      <c r="F265" s="1103" t="s">
        <v>4915</v>
      </c>
      <c r="G265" s="1103"/>
      <c r="H265" s="1104" t="s">
        <v>4916</v>
      </c>
      <c r="I265" s="1105"/>
      <c r="J265" s="1105"/>
      <c r="K265" s="1105"/>
      <c r="L265" s="1105"/>
      <c r="M265" s="1105"/>
      <c r="N265" s="1105"/>
      <c r="O265" s="1106"/>
      <c r="P265" s="100"/>
      <c r="Q265" s="100"/>
      <c r="R265" s="100"/>
      <c r="S265" s="100"/>
      <c r="T265" s="100"/>
      <c r="U265" s="100"/>
      <c r="V265" s="100"/>
      <c r="W265" s="100"/>
      <c r="X265" s="100"/>
      <c r="Y265" s="100"/>
      <c r="Z265" s="100"/>
      <c r="AA265" s="100"/>
      <c r="AB265" s="100"/>
      <c r="AC265" s="100"/>
      <c r="AD265" s="100"/>
      <c r="AF265"/>
      <c r="AG265">
        <f t="shared" si="131"/>
        <v>0</v>
      </c>
      <c r="AH265">
        <f t="shared" si="132"/>
        <v>0</v>
      </c>
      <c r="AK265">
        <f t="shared" si="116"/>
        <v>0</v>
      </c>
      <c r="AL265">
        <f t="shared" si="117"/>
        <v>0</v>
      </c>
      <c r="AM265">
        <f t="shared" si="118"/>
        <v>0</v>
      </c>
      <c r="AN265">
        <f t="shared" si="119"/>
        <v>0</v>
      </c>
      <c r="AO265">
        <f t="shared" si="120"/>
        <v>0</v>
      </c>
      <c r="AP265">
        <f t="shared" si="121"/>
        <v>0</v>
      </c>
      <c r="AQ265">
        <f t="shared" si="122"/>
        <v>0</v>
      </c>
      <c r="AR265">
        <f t="shared" si="123"/>
        <v>0</v>
      </c>
      <c r="AS265">
        <f t="shared" si="124"/>
        <v>0</v>
      </c>
      <c r="AT265">
        <f t="shared" si="125"/>
        <v>0</v>
      </c>
      <c r="AU265">
        <f t="shared" si="126"/>
        <v>0</v>
      </c>
      <c r="AV265">
        <f t="shared" si="127"/>
        <v>0</v>
      </c>
      <c r="AW265">
        <f t="shared" si="128"/>
        <v>0</v>
      </c>
      <c r="AX265">
        <f t="shared" si="129"/>
        <v>0</v>
      </c>
      <c r="AY265">
        <f t="shared" si="130"/>
        <v>0</v>
      </c>
      <c r="CS265"/>
      <c r="CT265"/>
      <c r="CU265"/>
      <c r="CV265"/>
      <c r="CW265"/>
      <c r="CX265"/>
      <c r="CY265"/>
      <c r="CZ265"/>
      <c r="DA265"/>
    </row>
    <row r="266" spans="1:105" ht="24" customHeight="1">
      <c r="A266" s="108"/>
      <c r="B266" s="38"/>
      <c r="C266" s="1109"/>
      <c r="D266" s="954"/>
      <c r="E266" s="956"/>
      <c r="F266" s="1103" t="s">
        <v>4917</v>
      </c>
      <c r="G266" s="1103"/>
      <c r="H266" s="1104" t="s">
        <v>4918</v>
      </c>
      <c r="I266" s="1105"/>
      <c r="J266" s="1105"/>
      <c r="K266" s="1105"/>
      <c r="L266" s="1105"/>
      <c r="M266" s="1105"/>
      <c r="N266" s="1105"/>
      <c r="O266" s="1106"/>
      <c r="P266" s="100"/>
      <c r="Q266" s="100"/>
      <c r="R266" s="100"/>
      <c r="S266" s="100"/>
      <c r="T266" s="100"/>
      <c r="U266" s="100"/>
      <c r="V266" s="100"/>
      <c r="W266" s="100"/>
      <c r="X266" s="100"/>
      <c r="Y266" s="100"/>
      <c r="Z266" s="100"/>
      <c r="AA266" s="100"/>
      <c r="AB266" s="100"/>
      <c r="AC266" s="100"/>
      <c r="AD266" s="100"/>
      <c r="AF266"/>
      <c r="AG266">
        <f t="shared" si="131"/>
        <v>0</v>
      </c>
      <c r="AH266">
        <f t="shared" si="132"/>
        <v>0</v>
      </c>
      <c r="AJ266">
        <f>IF(OR(P266="NS",P266="NA",$P$175=0,$P$175="NS",$P$175="NA"),0,IF((P266*(IFERROR(100/SUM(P233:P266),0)))&gt;25,1,0))</f>
        <v>0</v>
      </c>
      <c r="AK266">
        <f t="shared" si="116"/>
        <v>0</v>
      </c>
      <c r="AL266">
        <f t="shared" si="117"/>
        <v>0</v>
      </c>
      <c r="AM266">
        <f t="shared" si="118"/>
        <v>0</v>
      </c>
      <c r="AN266">
        <f t="shared" si="119"/>
        <v>0</v>
      </c>
      <c r="AO266">
        <f t="shared" si="120"/>
        <v>0</v>
      </c>
      <c r="AP266">
        <f t="shared" si="121"/>
        <v>0</v>
      </c>
      <c r="AQ266">
        <f t="shared" si="122"/>
        <v>0</v>
      </c>
      <c r="AR266">
        <f t="shared" si="123"/>
        <v>0</v>
      </c>
      <c r="AS266">
        <f t="shared" si="124"/>
        <v>0</v>
      </c>
      <c r="AT266">
        <f t="shared" si="125"/>
        <v>0</v>
      </c>
      <c r="AU266">
        <f t="shared" si="126"/>
        <v>0</v>
      </c>
      <c r="AV266">
        <f t="shared" si="127"/>
        <v>0</v>
      </c>
      <c r="AW266">
        <f t="shared" si="128"/>
        <v>0</v>
      </c>
      <c r="AX266">
        <f t="shared" si="129"/>
        <v>0</v>
      </c>
      <c r="AY266">
        <f t="shared" si="130"/>
        <v>0</v>
      </c>
      <c r="CS266"/>
      <c r="CT266"/>
      <c r="CU266"/>
      <c r="CV266"/>
      <c r="CW266"/>
      <c r="CX266"/>
      <c r="CY266"/>
      <c r="CZ266"/>
      <c r="DA266"/>
    </row>
    <row r="267" spans="1:105" ht="15" customHeight="1">
      <c r="A267" s="108"/>
      <c r="B267" s="38"/>
      <c r="C267" s="1108" t="s">
        <v>4919</v>
      </c>
      <c r="D267" s="847" t="s">
        <v>4920</v>
      </c>
      <c r="E267" s="848"/>
      <c r="F267" s="1103" t="s">
        <v>4921</v>
      </c>
      <c r="G267" s="1103"/>
      <c r="H267" s="1104" t="s">
        <v>4922</v>
      </c>
      <c r="I267" s="1105"/>
      <c r="J267" s="1105"/>
      <c r="K267" s="1105"/>
      <c r="L267" s="1105"/>
      <c r="M267" s="1105"/>
      <c r="N267" s="1105"/>
      <c r="O267" s="1106"/>
      <c r="P267" s="100"/>
      <c r="Q267" s="100"/>
      <c r="R267" s="100"/>
      <c r="S267" s="100"/>
      <c r="T267" s="100"/>
      <c r="U267" s="100"/>
      <c r="V267" s="100"/>
      <c r="W267" s="100"/>
      <c r="X267" s="100"/>
      <c r="Y267" s="100"/>
      <c r="Z267" s="100"/>
      <c r="AA267" s="100"/>
      <c r="AB267" s="100"/>
      <c r="AC267" s="100"/>
      <c r="AD267" s="100"/>
      <c r="AF267"/>
      <c r="AG267">
        <f t="shared" si="131"/>
        <v>0</v>
      </c>
      <c r="AH267">
        <f t="shared" si="132"/>
        <v>0</v>
      </c>
      <c r="AK267">
        <f t="shared" ref="AK267:AK330" si="133">COUNTIF(Q267:R267,"NS")</f>
        <v>0</v>
      </c>
      <c r="AL267">
        <f t="shared" ref="AL267:AL330" si="134">SUM(Q267:R267)</f>
        <v>0</v>
      </c>
      <c r="AM267">
        <f t="shared" ref="AM267:AM330" si="135">IF(COUNTIF(P267:R267,"NA")=3,0,IF(COUNTA(P267:R267)=0,0,IF(OR(AND(P267=0,AK267&gt;0),AND(P267="ns",AL267&gt;0),AND(P267="ns",AK267=0,AL267=0)),1,IF(OR(AND(P267&gt;0,AK267=2),AND(P267="ns",AK267=2),AND(P267="ns",AL267=0,AK267&gt;0),P267=AL267),0,1))))</f>
        <v>0</v>
      </c>
      <c r="AN267">
        <f t="shared" ref="AN267:AN330" si="136">COUNTIF(T267:U267,"NS")</f>
        <v>0</v>
      </c>
      <c r="AO267">
        <f t="shared" ref="AO267:AO330" si="137">SUM(T267:U267)</f>
        <v>0</v>
      </c>
      <c r="AP267">
        <f t="shared" ref="AP267:AP330" si="138">IF(COUNTIF(S267:U267,"NA")=3,0,IF(COUNTA(S267:U267)=0,0,IF(OR(AND(S267=0,AN267&gt;0),AND(S267="ns",AO267&gt;0),AND(S267="ns",AN267=0,AO267=0)),1,IF(OR(AND(S267&gt;0,AN267=2),AND(S267="ns",AN267=2),AND(S267="ns",AO267=0,AN267&gt;0),S267=AO267),0,1))))</f>
        <v>0</v>
      </c>
      <c r="AQ267">
        <f t="shared" ref="AQ267:AQ330" si="139">COUNTIF(W267:X267,"NS")</f>
        <v>0</v>
      </c>
      <c r="AR267">
        <f t="shared" ref="AR267:AR330" si="140">SUM(W267:X267)</f>
        <v>0</v>
      </c>
      <c r="AS267">
        <f t="shared" ref="AS267:AS330" si="141">IF(COUNTIF(V267:X267,"NA")=3,0,IF(COUNTA(V267:X267)=0,0,IF(OR(AND(V267=0,AQ267&gt;0),AND(V267="ns",AR267&gt;0),AND(V267="ns",AQ267=0,AR267=0)),1,IF(OR(AND(V267&gt;0,AQ267=2),AND(V267="ns",AQ267=2),AND(V267="ns",AR267=0,AQ267&gt;0),V267=AR267),0,1))))</f>
        <v>0</v>
      </c>
      <c r="AT267">
        <f t="shared" ref="AT267:AT330" si="142">COUNTIF(Z267:AA267,"NS")</f>
        <v>0</v>
      </c>
      <c r="AU267">
        <f t="shared" ref="AU267:AU330" si="143">SUM(Z267:AA267)</f>
        <v>0</v>
      </c>
      <c r="AV267">
        <f t="shared" ref="AV267:AV330" si="144">IF(COUNTIF(Y267:AA267,"NA")=3,0,IF(COUNTA(Y267:AA267)=0,0,IF(OR(AND(Y267=0,AT267&gt;0),AND(Y267="ns",AU267&gt;0),AND(Y267="ns",AT267=0,AU267=0)),1,IF(OR(AND(Y267&gt;0,AT267=2),AND(Y267="ns",AT267=2),AND(Y267="ns",AU267=0,AT267&gt;0),Y267=AU267),0,1))))</f>
        <v>0</v>
      </c>
      <c r="AW267">
        <f t="shared" ref="AW267:AW330" si="145">COUNTIF(AC267:AD267,"NS")</f>
        <v>0</v>
      </c>
      <c r="AX267">
        <f t="shared" ref="AX267:AX330" si="146">SUM(AC267:AD267)</f>
        <v>0</v>
      </c>
      <c r="AY267">
        <f t="shared" ref="AY267:AY330" si="147">IF(COUNTIF(AB267:AD267,"NA")=3,0,IF(COUNTA(AB267:AD267)=0,0,IF(OR(AND(AB267=0,AW267&gt;0),AND(AB267="ns",AX267&gt;0),AND(AB267="ns",AW267=0,AX267=0)),1,IF(OR(AND(AB267&gt;0,AW267=2),AND(AB267="ns",AW267=2),AND(AB267="ns",AX267=0,AW267&gt;0),AB267=AX267),0,1))))</f>
        <v>0</v>
      </c>
      <c r="CS267"/>
      <c r="CT267"/>
      <c r="CU267"/>
      <c r="CV267"/>
      <c r="CW267"/>
      <c r="CX267"/>
      <c r="CY267"/>
      <c r="CZ267"/>
      <c r="DA267"/>
    </row>
    <row r="268" spans="1:105" ht="15" customHeight="1">
      <c r="A268" s="108"/>
      <c r="B268" s="38"/>
      <c r="C268" s="1109"/>
      <c r="D268" s="954"/>
      <c r="E268" s="956"/>
      <c r="F268" s="1103" t="s">
        <v>4923</v>
      </c>
      <c r="G268" s="1103"/>
      <c r="H268" s="1104" t="s">
        <v>4924</v>
      </c>
      <c r="I268" s="1105"/>
      <c r="J268" s="1105"/>
      <c r="K268" s="1105"/>
      <c r="L268" s="1105"/>
      <c r="M268" s="1105"/>
      <c r="N268" s="1105"/>
      <c r="O268" s="1106"/>
      <c r="P268" s="100"/>
      <c r="Q268" s="100"/>
      <c r="R268" s="100"/>
      <c r="S268" s="100"/>
      <c r="T268" s="100"/>
      <c r="U268" s="100"/>
      <c r="V268" s="100"/>
      <c r="W268" s="100"/>
      <c r="X268" s="100"/>
      <c r="Y268" s="100"/>
      <c r="Z268" s="100"/>
      <c r="AA268" s="100"/>
      <c r="AB268" s="100"/>
      <c r="AC268" s="100"/>
      <c r="AD268" s="100"/>
      <c r="AF268"/>
      <c r="AG268">
        <f t="shared" ref="AG268:AG331" si="148">IF(OR($P$175=0,$P$175="NS",$P$175="NA",P268="NA"),0,IF(SUM(COUNTBLANK(P268:AD268),COUNTBLANK(G439:AD439))=0,0,1))</f>
        <v>0</v>
      </c>
      <c r="AH268">
        <f t="shared" ref="AH268:AH331" si="149">IF(P268="NA",IF(COUNTA(Q268:AD268,G439:AD439)=0,0,1),0)</f>
        <v>0</v>
      </c>
      <c r="AK268">
        <f t="shared" si="133"/>
        <v>0</v>
      </c>
      <c r="AL268">
        <f t="shared" si="134"/>
        <v>0</v>
      </c>
      <c r="AM268">
        <f t="shared" si="135"/>
        <v>0</v>
      </c>
      <c r="AN268">
        <f t="shared" si="136"/>
        <v>0</v>
      </c>
      <c r="AO268">
        <f t="shared" si="137"/>
        <v>0</v>
      </c>
      <c r="AP268">
        <f t="shared" si="138"/>
        <v>0</v>
      </c>
      <c r="AQ268">
        <f t="shared" si="139"/>
        <v>0</v>
      </c>
      <c r="AR268">
        <f t="shared" si="140"/>
        <v>0</v>
      </c>
      <c r="AS268">
        <f t="shared" si="141"/>
        <v>0</v>
      </c>
      <c r="AT268">
        <f t="shared" si="142"/>
        <v>0</v>
      </c>
      <c r="AU268">
        <f t="shared" si="143"/>
        <v>0</v>
      </c>
      <c r="AV268">
        <f t="shared" si="144"/>
        <v>0</v>
      </c>
      <c r="AW268">
        <f t="shared" si="145"/>
        <v>0</v>
      </c>
      <c r="AX268">
        <f t="shared" si="146"/>
        <v>0</v>
      </c>
      <c r="AY268">
        <f t="shared" si="147"/>
        <v>0</v>
      </c>
      <c r="CS268"/>
      <c r="CT268"/>
      <c r="CU268"/>
      <c r="CV268"/>
      <c r="CW268"/>
      <c r="CX268"/>
      <c r="CY268"/>
      <c r="CZ268"/>
      <c r="DA268"/>
    </row>
    <row r="269" spans="1:105" ht="15" customHeight="1">
      <c r="A269" s="108"/>
      <c r="B269" s="38"/>
      <c r="C269" s="1109"/>
      <c r="D269" s="954"/>
      <c r="E269" s="956"/>
      <c r="F269" s="1103" t="s">
        <v>4925</v>
      </c>
      <c r="G269" s="1103"/>
      <c r="H269" s="1104" t="s">
        <v>4926</v>
      </c>
      <c r="I269" s="1105"/>
      <c r="J269" s="1105"/>
      <c r="K269" s="1105"/>
      <c r="L269" s="1105"/>
      <c r="M269" s="1105"/>
      <c r="N269" s="1105"/>
      <c r="O269" s="1106"/>
      <c r="P269" s="100"/>
      <c r="Q269" s="100"/>
      <c r="R269" s="100"/>
      <c r="S269" s="100"/>
      <c r="T269" s="100"/>
      <c r="U269" s="100"/>
      <c r="V269" s="100"/>
      <c r="W269" s="100"/>
      <c r="X269" s="100"/>
      <c r="Y269" s="100"/>
      <c r="Z269" s="100"/>
      <c r="AA269" s="100"/>
      <c r="AB269" s="100"/>
      <c r="AC269" s="100"/>
      <c r="AD269" s="100"/>
      <c r="AF269"/>
      <c r="AG269">
        <f t="shared" si="148"/>
        <v>0</v>
      </c>
      <c r="AH269">
        <f t="shared" si="149"/>
        <v>0</v>
      </c>
      <c r="AJ269">
        <f>IF(OR(P269="NS",P269="NA",$P$175=0,$P$175="NS",$P$175="NA"),0,IF((P269*(IFERROR(100/SUM(P267:P269),0)))&gt;25,1,0))</f>
        <v>0</v>
      </c>
      <c r="AK269">
        <f t="shared" si="133"/>
        <v>0</v>
      </c>
      <c r="AL269">
        <f t="shared" si="134"/>
        <v>0</v>
      </c>
      <c r="AM269">
        <f t="shared" si="135"/>
        <v>0</v>
      </c>
      <c r="AN269">
        <f t="shared" si="136"/>
        <v>0</v>
      </c>
      <c r="AO269">
        <f t="shared" si="137"/>
        <v>0</v>
      </c>
      <c r="AP269">
        <f t="shared" si="138"/>
        <v>0</v>
      </c>
      <c r="AQ269">
        <f t="shared" si="139"/>
        <v>0</v>
      </c>
      <c r="AR269">
        <f t="shared" si="140"/>
        <v>0</v>
      </c>
      <c r="AS269">
        <f t="shared" si="141"/>
        <v>0</v>
      </c>
      <c r="AT269">
        <f t="shared" si="142"/>
        <v>0</v>
      </c>
      <c r="AU269">
        <f t="shared" si="143"/>
        <v>0</v>
      </c>
      <c r="AV269">
        <f t="shared" si="144"/>
        <v>0</v>
      </c>
      <c r="AW269">
        <f t="shared" si="145"/>
        <v>0</v>
      </c>
      <c r="AX269">
        <f t="shared" si="146"/>
        <v>0</v>
      </c>
      <c r="AY269">
        <f t="shared" si="147"/>
        <v>0</v>
      </c>
      <c r="CS269"/>
      <c r="CT269"/>
      <c r="CU269"/>
      <c r="CV269"/>
      <c r="CW269"/>
      <c r="CX269"/>
      <c r="CY269"/>
      <c r="CZ269"/>
      <c r="DA269"/>
    </row>
    <row r="270" spans="1:105" ht="24" customHeight="1">
      <c r="A270" s="108"/>
      <c r="B270" s="38"/>
      <c r="C270" s="1108" t="s">
        <v>4927</v>
      </c>
      <c r="D270" s="847" t="s">
        <v>5417</v>
      </c>
      <c r="E270" s="848"/>
      <c r="F270" s="1103" t="s">
        <v>4929</v>
      </c>
      <c r="G270" s="1103"/>
      <c r="H270" s="1104" t="s">
        <v>4930</v>
      </c>
      <c r="I270" s="1105"/>
      <c r="J270" s="1105"/>
      <c r="K270" s="1105"/>
      <c r="L270" s="1105"/>
      <c r="M270" s="1105"/>
      <c r="N270" s="1105"/>
      <c r="O270" s="1106"/>
      <c r="P270" s="100"/>
      <c r="Q270" s="100"/>
      <c r="R270" s="100"/>
      <c r="S270" s="100"/>
      <c r="T270" s="100"/>
      <c r="U270" s="100"/>
      <c r="V270" s="100"/>
      <c r="W270" s="100"/>
      <c r="X270" s="100"/>
      <c r="Y270" s="100"/>
      <c r="Z270" s="100"/>
      <c r="AA270" s="100"/>
      <c r="AB270" s="100"/>
      <c r="AC270" s="100"/>
      <c r="AD270" s="100"/>
      <c r="AF270">
        <f>IF(P270="NA",IF(AND(COUNTIF(P271:P277,"="&amp;$AF$212)=0,COUNTIF(P271:P277,"&lt;&gt;NA")&gt;0),1,0),IF(AND(COUNTIF(P271:P277,"="&amp;$AF$212)=0,COUNTIF(P271:P277,"NA")=COUNTIF(P271:P277,"&lt;&gt;"&amp;$AF$212)),1,0))</f>
        <v>0</v>
      </c>
      <c r="AG270">
        <f t="shared" si="148"/>
        <v>0</v>
      </c>
      <c r="AH270">
        <f t="shared" si="149"/>
        <v>0</v>
      </c>
      <c r="AK270">
        <f t="shared" si="133"/>
        <v>0</v>
      </c>
      <c r="AL270">
        <f t="shared" si="134"/>
        <v>0</v>
      </c>
      <c r="AM270">
        <f t="shared" si="135"/>
        <v>0</v>
      </c>
      <c r="AN270">
        <f t="shared" si="136"/>
        <v>0</v>
      </c>
      <c r="AO270">
        <f t="shared" si="137"/>
        <v>0</v>
      </c>
      <c r="AP270">
        <f t="shared" si="138"/>
        <v>0</v>
      </c>
      <c r="AQ270">
        <f t="shared" si="139"/>
        <v>0</v>
      </c>
      <c r="AR270">
        <f t="shared" si="140"/>
        <v>0</v>
      </c>
      <c r="AS270">
        <f t="shared" si="141"/>
        <v>0</v>
      </c>
      <c r="AT270">
        <f t="shared" si="142"/>
        <v>0</v>
      </c>
      <c r="AU270">
        <f t="shared" si="143"/>
        <v>0</v>
      </c>
      <c r="AV270">
        <f t="shared" si="144"/>
        <v>0</v>
      </c>
      <c r="AW270">
        <f t="shared" si="145"/>
        <v>0</v>
      </c>
      <c r="AX270">
        <f t="shared" si="146"/>
        <v>0</v>
      </c>
      <c r="AY270">
        <f t="shared" si="147"/>
        <v>0</v>
      </c>
      <c r="CS270"/>
      <c r="CT270"/>
      <c r="CU270"/>
      <c r="CV270"/>
      <c r="CW270"/>
      <c r="CX270"/>
      <c r="CY270"/>
      <c r="CZ270"/>
      <c r="DA270"/>
    </row>
    <row r="271" spans="1:105" ht="15" customHeight="1">
      <c r="A271" s="108"/>
      <c r="B271" s="38"/>
      <c r="C271" s="1109"/>
      <c r="D271" s="954"/>
      <c r="E271" s="956"/>
      <c r="F271" s="1110" t="s">
        <v>4931</v>
      </c>
      <c r="G271" s="1110"/>
      <c r="H271" s="178"/>
      <c r="I271" s="1111" t="s">
        <v>4932</v>
      </c>
      <c r="J271" s="1111"/>
      <c r="K271" s="1111"/>
      <c r="L271" s="1111"/>
      <c r="M271" s="1111"/>
      <c r="N271" s="1111"/>
      <c r="O271" s="1112"/>
      <c r="P271" s="100"/>
      <c r="Q271" s="100"/>
      <c r="R271" s="100"/>
      <c r="S271" s="100"/>
      <c r="T271" s="100"/>
      <c r="U271" s="100"/>
      <c r="V271" s="100"/>
      <c r="W271" s="100"/>
      <c r="X271" s="100"/>
      <c r="Y271" s="100"/>
      <c r="Z271" s="100"/>
      <c r="AA271" s="100"/>
      <c r="AB271" s="100"/>
      <c r="AC271" s="100"/>
      <c r="AD271" s="100"/>
      <c r="AF271"/>
      <c r="AG271">
        <f t="shared" si="148"/>
        <v>0</v>
      </c>
      <c r="AH271">
        <f t="shared" si="149"/>
        <v>0</v>
      </c>
      <c r="AK271">
        <f t="shared" si="133"/>
        <v>0</v>
      </c>
      <c r="AL271">
        <f t="shared" si="134"/>
        <v>0</v>
      </c>
      <c r="AM271">
        <f t="shared" si="135"/>
        <v>0</v>
      </c>
      <c r="AN271">
        <f t="shared" si="136"/>
        <v>0</v>
      </c>
      <c r="AO271">
        <f t="shared" si="137"/>
        <v>0</v>
      </c>
      <c r="AP271">
        <f t="shared" si="138"/>
        <v>0</v>
      </c>
      <c r="AQ271">
        <f t="shared" si="139"/>
        <v>0</v>
      </c>
      <c r="AR271">
        <f t="shared" si="140"/>
        <v>0</v>
      </c>
      <c r="AS271">
        <f t="shared" si="141"/>
        <v>0</v>
      </c>
      <c r="AT271">
        <f t="shared" si="142"/>
        <v>0</v>
      </c>
      <c r="AU271">
        <f t="shared" si="143"/>
        <v>0</v>
      </c>
      <c r="AV271">
        <f t="shared" si="144"/>
        <v>0</v>
      </c>
      <c r="AW271">
        <f t="shared" si="145"/>
        <v>0</v>
      </c>
      <c r="AX271">
        <f t="shared" si="146"/>
        <v>0</v>
      </c>
      <c r="AY271">
        <f t="shared" si="147"/>
        <v>0</v>
      </c>
      <c r="CS271"/>
      <c r="CT271"/>
      <c r="CU271"/>
      <c r="CV271"/>
      <c r="CW271"/>
      <c r="CX271"/>
      <c r="CY271"/>
      <c r="CZ271"/>
      <c r="DA271"/>
    </row>
    <row r="272" spans="1:105" ht="24" customHeight="1">
      <c r="A272" s="108"/>
      <c r="B272" s="38"/>
      <c r="C272" s="1109"/>
      <c r="D272" s="954"/>
      <c r="E272" s="956"/>
      <c r="F272" s="1110" t="s">
        <v>4933</v>
      </c>
      <c r="G272" s="1110"/>
      <c r="H272" s="178"/>
      <c r="I272" s="1111" t="s">
        <v>4934</v>
      </c>
      <c r="J272" s="1111"/>
      <c r="K272" s="1111"/>
      <c r="L272" s="1111"/>
      <c r="M272" s="1111"/>
      <c r="N272" s="1111"/>
      <c r="O272" s="1112"/>
      <c r="P272" s="100"/>
      <c r="Q272" s="100"/>
      <c r="R272" s="100"/>
      <c r="S272" s="100"/>
      <c r="T272" s="100"/>
      <c r="U272" s="100"/>
      <c r="V272" s="100"/>
      <c r="W272" s="100"/>
      <c r="X272" s="100"/>
      <c r="Y272" s="100"/>
      <c r="Z272" s="100"/>
      <c r="AA272" s="100"/>
      <c r="AB272" s="100"/>
      <c r="AC272" s="100"/>
      <c r="AD272" s="100"/>
      <c r="AF272"/>
      <c r="AG272">
        <f t="shared" si="148"/>
        <v>0</v>
      </c>
      <c r="AH272">
        <f t="shared" si="149"/>
        <v>0</v>
      </c>
      <c r="AK272">
        <f t="shared" si="133"/>
        <v>0</v>
      </c>
      <c r="AL272">
        <f t="shared" si="134"/>
        <v>0</v>
      </c>
      <c r="AM272">
        <f t="shared" si="135"/>
        <v>0</v>
      </c>
      <c r="AN272">
        <f t="shared" si="136"/>
        <v>0</v>
      </c>
      <c r="AO272">
        <f t="shared" si="137"/>
        <v>0</v>
      </c>
      <c r="AP272">
        <f t="shared" si="138"/>
        <v>0</v>
      </c>
      <c r="AQ272">
        <f t="shared" si="139"/>
        <v>0</v>
      </c>
      <c r="AR272">
        <f t="shared" si="140"/>
        <v>0</v>
      </c>
      <c r="AS272">
        <f t="shared" si="141"/>
        <v>0</v>
      </c>
      <c r="AT272">
        <f t="shared" si="142"/>
        <v>0</v>
      </c>
      <c r="AU272">
        <f t="shared" si="143"/>
        <v>0</v>
      </c>
      <c r="AV272">
        <f t="shared" si="144"/>
        <v>0</v>
      </c>
      <c r="AW272">
        <f t="shared" si="145"/>
        <v>0</v>
      </c>
      <c r="AX272">
        <f t="shared" si="146"/>
        <v>0</v>
      </c>
      <c r="AY272">
        <f t="shared" si="147"/>
        <v>0</v>
      </c>
      <c r="CS272"/>
      <c r="CT272"/>
      <c r="CU272"/>
      <c r="CV272"/>
      <c r="CW272"/>
      <c r="CX272"/>
      <c r="CY272"/>
      <c r="CZ272"/>
      <c r="DA272"/>
    </row>
    <row r="273" spans="1:105" ht="15" customHeight="1">
      <c r="A273" s="108"/>
      <c r="B273" s="38"/>
      <c r="C273" s="1109"/>
      <c r="D273" s="954"/>
      <c r="E273" s="956"/>
      <c r="F273" s="1110" t="s">
        <v>4935</v>
      </c>
      <c r="G273" s="1110"/>
      <c r="H273" s="178"/>
      <c r="I273" s="1111" t="s">
        <v>4936</v>
      </c>
      <c r="J273" s="1111"/>
      <c r="K273" s="1111"/>
      <c r="L273" s="1111"/>
      <c r="M273" s="1111"/>
      <c r="N273" s="1111"/>
      <c r="O273" s="1112"/>
      <c r="P273" s="100"/>
      <c r="Q273" s="100"/>
      <c r="R273" s="100"/>
      <c r="S273" s="100"/>
      <c r="T273" s="100"/>
      <c r="U273" s="100"/>
      <c r="V273" s="100"/>
      <c r="W273" s="100"/>
      <c r="X273" s="100"/>
      <c r="Y273" s="100"/>
      <c r="Z273" s="100"/>
      <c r="AA273" s="100"/>
      <c r="AB273" s="100"/>
      <c r="AC273" s="100"/>
      <c r="AD273" s="100"/>
      <c r="AF273"/>
      <c r="AG273">
        <f t="shared" si="148"/>
        <v>0</v>
      </c>
      <c r="AH273">
        <f t="shared" si="149"/>
        <v>0</v>
      </c>
      <c r="AK273">
        <f t="shared" si="133"/>
        <v>0</v>
      </c>
      <c r="AL273">
        <f t="shared" si="134"/>
        <v>0</v>
      </c>
      <c r="AM273">
        <f t="shared" si="135"/>
        <v>0</v>
      </c>
      <c r="AN273">
        <f t="shared" si="136"/>
        <v>0</v>
      </c>
      <c r="AO273">
        <f t="shared" si="137"/>
        <v>0</v>
      </c>
      <c r="AP273">
        <f t="shared" si="138"/>
        <v>0</v>
      </c>
      <c r="AQ273">
        <f t="shared" si="139"/>
        <v>0</v>
      </c>
      <c r="AR273">
        <f t="shared" si="140"/>
        <v>0</v>
      </c>
      <c r="AS273">
        <f t="shared" si="141"/>
        <v>0</v>
      </c>
      <c r="AT273">
        <f t="shared" si="142"/>
        <v>0</v>
      </c>
      <c r="AU273">
        <f t="shared" si="143"/>
        <v>0</v>
      </c>
      <c r="AV273">
        <f t="shared" si="144"/>
        <v>0</v>
      </c>
      <c r="AW273">
        <f t="shared" si="145"/>
        <v>0</v>
      </c>
      <c r="AX273">
        <f t="shared" si="146"/>
        <v>0</v>
      </c>
      <c r="AY273">
        <f t="shared" si="147"/>
        <v>0</v>
      </c>
      <c r="CS273"/>
      <c r="CT273"/>
      <c r="CU273"/>
      <c r="CV273"/>
      <c r="CW273"/>
      <c r="CX273"/>
      <c r="CY273"/>
      <c r="CZ273"/>
      <c r="DA273"/>
    </row>
    <row r="274" spans="1:105" ht="15" customHeight="1">
      <c r="A274" s="108"/>
      <c r="B274" s="38"/>
      <c r="C274" s="1109"/>
      <c r="D274" s="954"/>
      <c r="E274" s="956"/>
      <c r="F274" s="1110" t="s">
        <v>4937</v>
      </c>
      <c r="G274" s="1110"/>
      <c r="H274" s="178"/>
      <c r="I274" s="1111" t="s">
        <v>4938</v>
      </c>
      <c r="J274" s="1111"/>
      <c r="K274" s="1111"/>
      <c r="L274" s="1111"/>
      <c r="M274" s="1111"/>
      <c r="N274" s="1111"/>
      <c r="O274" s="1112"/>
      <c r="P274" s="100"/>
      <c r="Q274" s="100"/>
      <c r="R274" s="100"/>
      <c r="S274" s="100"/>
      <c r="T274" s="100"/>
      <c r="U274" s="100"/>
      <c r="V274" s="100"/>
      <c r="W274" s="100"/>
      <c r="X274" s="100"/>
      <c r="Y274" s="100"/>
      <c r="Z274" s="100"/>
      <c r="AA274" s="100"/>
      <c r="AB274" s="100"/>
      <c r="AC274" s="100"/>
      <c r="AD274" s="100"/>
      <c r="AF274"/>
      <c r="AG274">
        <f t="shared" si="148"/>
        <v>0</v>
      </c>
      <c r="AH274">
        <f t="shared" si="149"/>
        <v>0</v>
      </c>
      <c r="AK274">
        <f t="shared" si="133"/>
        <v>0</v>
      </c>
      <c r="AL274">
        <f t="shared" si="134"/>
        <v>0</v>
      </c>
      <c r="AM274">
        <f t="shared" si="135"/>
        <v>0</v>
      </c>
      <c r="AN274">
        <f t="shared" si="136"/>
        <v>0</v>
      </c>
      <c r="AO274">
        <f t="shared" si="137"/>
        <v>0</v>
      </c>
      <c r="AP274">
        <f t="shared" si="138"/>
        <v>0</v>
      </c>
      <c r="AQ274">
        <f t="shared" si="139"/>
        <v>0</v>
      </c>
      <c r="AR274">
        <f t="shared" si="140"/>
        <v>0</v>
      </c>
      <c r="AS274">
        <f t="shared" si="141"/>
        <v>0</v>
      </c>
      <c r="AT274">
        <f t="shared" si="142"/>
        <v>0</v>
      </c>
      <c r="AU274">
        <f t="shared" si="143"/>
        <v>0</v>
      </c>
      <c r="AV274">
        <f t="shared" si="144"/>
        <v>0</v>
      </c>
      <c r="AW274">
        <f t="shared" si="145"/>
        <v>0</v>
      </c>
      <c r="AX274">
        <f t="shared" si="146"/>
        <v>0</v>
      </c>
      <c r="AY274">
        <f t="shared" si="147"/>
        <v>0</v>
      </c>
      <c r="CS274"/>
      <c r="CT274"/>
      <c r="CU274"/>
      <c r="CV274"/>
      <c r="CW274"/>
      <c r="CX274"/>
      <c r="CY274"/>
      <c r="CZ274"/>
      <c r="DA274"/>
    </row>
    <row r="275" spans="1:105" ht="15" customHeight="1">
      <c r="A275" s="108"/>
      <c r="B275" s="38"/>
      <c r="C275" s="1109"/>
      <c r="D275" s="954"/>
      <c r="E275" s="956"/>
      <c r="F275" s="1110" t="s">
        <v>4939</v>
      </c>
      <c r="G275" s="1110"/>
      <c r="H275" s="178"/>
      <c r="I275" s="1111" t="s">
        <v>4940</v>
      </c>
      <c r="J275" s="1111"/>
      <c r="K275" s="1111"/>
      <c r="L275" s="1111"/>
      <c r="M275" s="1111"/>
      <c r="N275" s="1111"/>
      <c r="O275" s="1112"/>
      <c r="P275" s="100"/>
      <c r="Q275" s="100"/>
      <c r="R275" s="100"/>
      <c r="S275" s="100"/>
      <c r="T275" s="100"/>
      <c r="U275" s="100"/>
      <c r="V275" s="100"/>
      <c r="W275" s="100"/>
      <c r="X275" s="100"/>
      <c r="Y275" s="100"/>
      <c r="Z275" s="100"/>
      <c r="AA275" s="100"/>
      <c r="AB275" s="100"/>
      <c r="AC275" s="100"/>
      <c r="AD275" s="100"/>
      <c r="AF275"/>
      <c r="AG275">
        <f t="shared" si="148"/>
        <v>0</v>
      </c>
      <c r="AH275">
        <f t="shared" si="149"/>
        <v>0</v>
      </c>
      <c r="AK275">
        <f t="shared" si="133"/>
        <v>0</v>
      </c>
      <c r="AL275">
        <f t="shared" si="134"/>
        <v>0</v>
      </c>
      <c r="AM275">
        <f t="shared" si="135"/>
        <v>0</v>
      </c>
      <c r="AN275">
        <f t="shared" si="136"/>
        <v>0</v>
      </c>
      <c r="AO275">
        <f t="shared" si="137"/>
        <v>0</v>
      </c>
      <c r="AP275">
        <f t="shared" si="138"/>
        <v>0</v>
      </c>
      <c r="AQ275">
        <f t="shared" si="139"/>
        <v>0</v>
      </c>
      <c r="AR275">
        <f t="shared" si="140"/>
        <v>0</v>
      </c>
      <c r="AS275">
        <f t="shared" si="141"/>
        <v>0</v>
      </c>
      <c r="AT275">
        <f t="shared" si="142"/>
        <v>0</v>
      </c>
      <c r="AU275">
        <f t="shared" si="143"/>
        <v>0</v>
      </c>
      <c r="AV275">
        <f t="shared" si="144"/>
        <v>0</v>
      </c>
      <c r="AW275">
        <f t="shared" si="145"/>
        <v>0</v>
      </c>
      <c r="AX275">
        <f t="shared" si="146"/>
        <v>0</v>
      </c>
      <c r="AY275">
        <f t="shared" si="147"/>
        <v>0</v>
      </c>
      <c r="CS275"/>
      <c r="CT275"/>
      <c r="CU275"/>
      <c r="CV275"/>
      <c r="CW275"/>
      <c r="CX275"/>
      <c r="CY275"/>
      <c r="CZ275"/>
      <c r="DA275"/>
    </row>
    <row r="276" spans="1:105" ht="24" customHeight="1">
      <c r="A276" s="108"/>
      <c r="B276" s="38"/>
      <c r="C276" s="1109"/>
      <c r="D276" s="954"/>
      <c r="E276" s="956"/>
      <c r="F276" s="1110" t="s">
        <v>4941</v>
      </c>
      <c r="G276" s="1110"/>
      <c r="H276" s="178"/>
      <c r="I276" s="1111" t="s">
        <v>4942</v>
      </c>
      <c r="J276" s="1111"/>
      <c r="K276" s="1111"/>
      <c r="L276" s="1111"/>
      <c r="M276" s="1111"/>
      <c r="N276" s="1111"/>
      <c r="O276" s="1112"/>
      <c r="P276" s="100"/>
      <c r="Q276" s="100"/>
      <c r="R276" s="100"/>
      <c r="S276" s="100"/>
      <c r="T276" s="100"/>
      <c r="U276" s="100"/>
      <c r="V276" s="100"/>
      <c r="W276" s="100"/>
      <c r="X276" s="100"/>
      <c r="Y276" s="100"/>
      <c r="Z276" s="100"/>
      <c r="AA276" s="100"/>
      <c r="AB276" s="100"/>
      <c r="AC276" s="100"/>
      <c r="AD276" s="100"/>
      <c r="AF276"/>
      <c r="AG276">
        <f t="shared" si="148"/>
        <v>0</v>
      </c>
      <c r="AH276">
        <f t="shared" si="149"/>
        <v>0</v>
      </c>
      <c r="AK276">
        <f t="shared" si="133"/>
        <v>0</v>
      </c>
      <c r="AL276">
        <f t="shared" si="134"/>
        <v>0</v>
      </c>
      <c r="AM276">
        <f t="shared" si="135"/>
        <v>0</v>
      </c>
      <c r="AN276">
        <f t="shared" si="136"/>
        <v>0</v>
      </c>
      <c r="AO276">
        <f t="shared" si="137"/>
        <v>0</v>
      </c>
      <c r="AP276">
        <f t="shared" si="138"/>
        <v>0</v>
      </c>
      <c r="AQ276">
        <f t="shared" si="139"/>
        <v>0</v>
      </c>
      <c r="AR276">
        <f t="shared" si="140"/>
        <v>0</v>
      </c>
      <c r="AS276">
        <f t="shared" si="141"/>
        <v>0</v>
      </c>
      <c r="AT276">
        <f t="shared" si="142"/>
        <v>0</v>
      </c>
      <c r="AU276">
        <f t="shared" si="143"/>
        <v>0</v>
      </c>
      <c r="AV276">
        <f t="shared" si="144"/>
        <v>0</v>
      </c>
      <c r="AW276">
        <f t="shared" si="145"/>
        <v>0</v>
      </c>
      <c r="AX276">
        <f t="shared" si="146"/>
        <v>0</v>
      </c>
      <c r="AY276">
        <f t="shared" si="147"/>
        <v>0</v>
      </c>
      <c r="CS276"/>
      <c r="CT276"/>
      <c r="CU276"/>
      <c r="CV276"/>
      <c r="CW276"/>
      <c r="CX276"/>
      <c r="CY276"/>
      <c r="CZ276"/>
      <c r="DA276"/>
    </row>
    <row r="277" spans="1:105" ht="15" customHeight="1">
      <c r="A277" s="108"/>
      <c r="B277" s="38"/>
      <c r="C277" s="1109"/>
      <c r="D277" s="954"/>
      <c r="E277" s="956"/>
      <c r="F277" s="1110" t="s">
        <v>4943</v>
      </c>
      <c r="G277" s="1110"/>
      <c r="H277" s="178"/>
      <c r="I277" s="1111" t="s">
        <v>2631</v>
      </c>
      <c r="J277" s="1111"/>
      <c r="K277" s="1111"/>
      <c r="L277" s="1111"/>
      <c r="M277" s="1111"/>
      <c r="N277" s="1111"/>
      <c r="O277" s="1112"/>
      <c r="P277" s="100"/>
      <c r="Q277" s="100"/>
      <c r="R277" s="100"/>
      <c r="S277" s="100"/>
      <c r="T277" s="100"/>
      <c r="U277" s="100"/>
      <c r="V277" s="100"/>
      <c r="W277" s="100"/>
      <c r="X277" s="100"/>
      <c r="Y277" s="100"/>
      <c r="Z277" s="100"/>
      <c r="AA277" s="100"/>
      <c r="AB277" s="100"/>
      <c r="AC277" s="100"/>
      <c r="AD277" s="100"/>
      <c r="AF277"/>
      <c r="AG277">
        <f t="shared" si="148"/>
        <v>0</v>
      </c>
      <c r="AH277">
        <f t="shared" si="149"/>
        <v>0</v>
      </c>
      <c r="AK277">
        <f t="shared" si="133"/>
        <v>0</v>
      </c>
      <c r="AL277">
        <f t="shared" si="134"/>
        <v>0</v>
      </c>
      <c r="AM277">
        <f t="shared" si="135"/>
        <v>0</v>
      </c>
      <c r="AN277">
        <f t="shared" si="136"/>
        <v>0</v>
      </c>
      <c r="AO277">
        <f t="shared" si="137"/>
        <v>0</v>
      </c>
      <c r="AP277">
        <f t="shared" si="138"/>
        <v>0</v>
      </c>
      <c r="AQ277">
        <f t="shared" si="139"/>
        <v>0</v>
      </c>
      <c r="AR277">
        <f t="shared" si="140"/>
        <v>0</v>
      </c>
      <c r="AS277">
        <f t="shared" si="141"/>
        <v>0</v>
      </c>
      <c r="AT277">
        <f t="shared" si="142"/>
        <v>0</v>
      </c>
      <c r="AU277">
        <f t="shared" si="143"/>
        <v>0</v>
      </c>
      <c r="AV277">
        <f t="shared" si="144"/>
        <v>0</v>
      </c>
      <c r="AW277">
        <f t="shared" si="145"/>
        <v>0</v>
      </c>
      <c r="AX277">
        <f t="shared" si="146"/>
        <v>0</v>
      </c>
      <c r="AY277">
        <f t="shared" si="147"/>
        <v>0</v>
      </c>
      <c r="CS277"/>
      <c r="CT277"/>
      <c r="CU277"/>
      <c r="CV277"/>
      <c r="CW277"/>
      <c r="CX277"/>
      <c r="CY277"/>
      <c r="CZ277"/>
      <c r="DA277"/>
    </row>
    <row r="278" spans="1:105" ht="15" customHeight="1">
      <c r="A278" s="108"/>
      <c r="B278" s="38"/>
      <c r="C278" s="1109"/>
      <c r="D278" s="954"/>
      <c r="E278" s="956"/>
      <c r="F278" s="1117" t="s">
        <v>4944</v>
      </c>
      <c r="G278" s="1118"/>
      <c r="H278" s="1104" t="s">
        <v>4945</v>
      </c>
      <c r="I278" s="1105"/>
      <c r="J278" s="1105"/>
      <c r="K278" s="1105"/>
      <c r="L278" s="1105"/>
      <c r="M278" s="1105"/>
      <c r="N278" s="1105"/>
      <c r="O278" s="1106"/>
      <c r="P278" s="100"/>
      <c r="Q278" s="100"/>
      <c r="R278" s="100"/>
      <c r="S278" s="100"/>
      <c r="T278" s="100"/>
      <c r="U278" s="100"/>
      <c r="V278" s="100"/>
      <c r="W278" s="100"/>
      <c r="X278" s="100"/>
      <c r="Y278" s="100"/>
      <c r="Z278" s="100"/>
      <c r="AA278" s="100"/>
      <c r="AB278" s="100"/>
      <c r="AC278" s="100"/>
      <c r="AD278" s="100"/>
      <c r="AF278">
        <f>IF(P278="NA",IF(AND(COUNTIF(P279:P283,"="&amp;$AF$212)=0,COUNTIF(P279:P283,"&lt;&gt;NA")&gt;0),1,0),IF(AND(COUNTIF(P279:P283,"="&amp;$AF$212)=0,COUNTIF(P279:P283,"NA")=COUNTIF(P279:P283,"&lt;&gt;"&amp;$AF$212)),1,0))</f>
        <v>0</v>
      </c>
      <c r="AG278">
        <f t="shared" si="148"/>
        <v>0</v>
      </c>
      <c r="AH278">
        <f t="shared" si="149"/>
        <v>0</v>
      </c>
      <c r="AK278">
        <f t="shared" si="133"/>
        <v>0</v>
      </c>
      <c r="AL278">
        <f t="shared" si="134"/>
        <v>0</v>
      </c>
      <c r="AM278">
        <f t="shared" si="135"/>
        <v>0</v>
      </c>
      <c r="AN278">
        <f t="shared" si="136"/>
        <v>0</v>
      </c>
      <c r="AO278">
        <f t="shared" si="137"/>
        <v>0</v>
      </c>
      <c r="AP278">
        <f t="shared" si="138"/>
        <v>0</v>
      </c>
      <c r="AQ278">
        <f t="shared" si="139"/>
        <v>0</v>
      </c>
      <c r="AR278">
        <f t="shared" si="140"/>
        <v>0</v>
      </c>
      <c r="AS278">
        <f t="shared" si="141"/>
        <v>0</v>
      </c>
      <c r="AT278">
        <f t="shared" si="142"/>
        <v>0</v>
      </c>
      <c r="AU278">
        <f t="shared" si="143"/>
        <v>0</v>
      </c>
      <c r="AV278">
        <f t="shared" si="144"/>
        <v>0</v>
      </c>
      <c r="AW278">
        <f t="shared" si="145"/>
        <v>0</v>
      </c>
      <c r="AX278">
        <f t="shared" si="146"/>
        <v>0</v>
      </c>
      <c r="AY278">
        <f t="shared" si="147"/>
        <v>0</v>
      </c>
      <c r="CS278"/>
      <c r="CT278"/>
      <c r="CU278"/>
      <c r="CV278"/>
      <c r="CW278"/>
      <c r="CX278"/>
      <c r="CY278"/>
      <c r="CZ278"/>
      <c r="DA278"/>
    </row>
    <row r="279" spans="1:105" ht="24" customHeight="1">
      <c r="A279" s="108"/>
      <c r="B279" s="38"/>
      <c r="C279" s="1109"/>
      <c r="D279" s="954"/>
      <c r="E279" s="956"/>
      <c r="F279" s="1119" t="s">
        <v>4946</v>
      </c>
      <c r="G279" s="1120"/>
      <c r="H279" s="178"/>
      <c r="I279" s="1111" t="s">
        <v>4947</v>
      </c>
      <c r="J279" s="1111"/>
      <c r="K279" s="1111"/>
      <c r="L279" s="1111"/>
      <c r="M279" s="1111"/>
      <c r="N279" s="1111"/>
      <c r="O279" s="1112"/>
      <c r="P279" s="100"/>
      <c r="Q279" s="100"/>
      <c r="R279" s="100"/>
      <c r="S279" s="100"/>
      <c r="T279" s="100"/>
      <c r="U279" s="100"/>
      <c r="V279" s="100"/>
      <c r="W279" s="100"/>
      <c r="X279" s="100"/>
      <c r="Y279" s="100"/>
      <c r="Z279" s="100"/>
      <c r="AA279" s="100"/>
      <c r="AB279" s="100"/>
      <c r="AC279" s="100"/>
      <c r="AD279" s="100"/>
      <c r="AF279"/>
      <c r="AG279">
        <f t="shared" si="148"/>
        <v>0</v>
      </c>
      <c r="AH279">
        <f t="shared" si="149"/>
        <v>0</v>
      </c>
      <c r="AK279">
        <f t="shared" si="133"/>
        <v>0</v>
      </c>
      <c r="AL279">
        <f t="shared" si="134"/>
        <v>0</v>
      </c>
      <c r="AM279">
        <f t="shared" si="135"/>
        <v>0</v>
      </c>
      <c r="AN279">
        <f t="shared" si="136"/>
        <v>0</v>
      </c>
      <c r="AO279">
        <f t="shared" si="137"/>
        <v>0</v>
      </c>
      <c r="AP279">
        <f t="shared" si="138"/>
        <v>0</v>
      </c>
      <c r="AQ279">
        <f t="shared" si="139"/>
        <v>0</v>
      </c>
      <c r="AR279">
        <f t="shared" si="140"/>
        <v>0</v>
      </c>
      <c r="AS279">
        <f t="shared" si="141"/>
        <v>0</v>
      </c>
      <c r="AT279">
        <f t="shared" si="142"/>
        <v>0</v>
      </c>
      <c r="AU279">
        <f t="shared" si="143"/>
        <v>0</v>
      </c>
      <c r="AV279">
        <f t="shared" si="144"/>
        <v>0</v>
      </c>
      <c r="AW279">
        <f t="shared" si="145"/>
        <v>0</v>
      </c>
      <c r="AX279">
        <f t="shared" si="146"/>
        <v>0</v>
      </c>
      <c r="AY279">
        <f t="shared" si="147"/>
        <v>0</v>
      </c>
      <c r="CS279"/>
      <c r="CT279"/>
      <c r="CU279"/>
      <c r="CV279"/>
      <c r="CW279"/>
      <c r="CX279"/>
      <c r="CY279"/>
      <c r="CZ279"/>
      <c r="DA279"/>
    </row>
    <row r="280" spans="1:105" ht="24" customHeight="1">
      <c r="A280" s="108"/>
      <c r="B280" s="38"/>
      <c r="C280" s="1109"/>
      <c r="D280" s="954"/>
      <c r="E280" s="956"/>
      <c r="F280" s="1119" t="s">
        <v>4948</v>
      </c>
      <c r="G280" s="1120"/>
      <c r="H280" s="178"/>
      <c r="I280" s="1111" t="s">
        <v>4949</v>
      </c>
      <c r="J280" s="1111"/>
      <c r="K280" s="1111"/>
      <c r="L280" s="1111"/>
      <c r="M280" s="1111"/>
      <c r="N280" s="1111"/>
      <c r="O280" s="1112"/>
      <c r="P280" s="100"/>
      <c r="Q280" s="100"/>
      <c r="R280" s="100"/>
      <c r="S280" s="100"/>
      <c r="T280" s="100"/>
      <c r="U280" s="100"/>
      <c r="V280" s="100"/>
      <c r="W280" s="100"/>
      <c r="X280" s="100"/>
      <c r="Y280" s="100"/>
      <c r="Z280" s="100"/>
      <c r="AA280" s="100"/>
      <c r="AB280" s="100"/>
      <c r="AC280" s="100"/>
      <c r="AD280" s="100"/>
      <c r="AF280"/>
      <c r="AG280">
        <f t="shared" si="148"/>
        <v>0</v>
      </c>
      <c r="AH280">
        <f t="shared" si="149"/>
        <v>0</v>
      </c>
      <c r="AK280">
        <f t="shared" si="133"/>
        <v>0</v>
      </c>
      <c r="AL280">
        <f t="shared" si="134"/>
        <v>0</v>
      </c>
      <c r="AM280">
        <f t="shared" si="135"/>
        <v>0</v>
      </c>
      <c r="AN280">
        <f t="shared" si="136"/>
        <v>0</v>
      </c>
      <c r="AO280">
        <f t="shared" si="137"/>
        <v>0</v>
      </c>
      <c r="AP280">
        <f t="shared" si="138"/>
        <v>0</v>
      </c>
      <c r="AQ280">
        <f t="shared" si="139"/>
        <v>0</v>
      </c>
      <c r="AR280">
        <f t="shared" si="140"/>
        <v>0</v>
      </c>
      <c r="AS280">
        <f t="shared" si="141"/>
        <v>0</v>
      </c>
      <c r="AT280">
        <f t="shared" si="142"/>
        <v>0</v>
      </c>
      <c r="AU280">
        <f t="shared" si="143"/>
        <v>0</v>
      </c>
      <c r="AV280">
        <f t="shared" si="144"/>
        <v>0</v>
      </c>
      <c r="AW280">
        <f t="shared" si="145"/>
        <v>0</v>
      </c>
      <c r="AX280">
        <f t="shared" si="146"/>
        <v>0</v>
      </c>
      <c r="AY280">
        <f t="shared" si="147"/>
        <v>0</v>
      </c>
      <c r="CS280"/>
      <c r="CT280"/>
      <c r="CU280"/>
      <c r="CV280"/>
      <c r="CW280"/>
      <c r="CX280"/>
      <c r="CY280"/>
      <c r="CZ280"/>
      <c r="DA280"/>
    </row>
    <row r="281" spans="1:105" ht="24" customHeight="1">
      <c r="A281" s="108"/>
      <c r="B281" s="38"/>
      <c r="C281" s="1109"/>
      <c r="D281" s="954"/>
      <c r="E281" s="956"/>
      <c r="F281" s="1119" t="s">
        <v>4950</v>
      </c>
      <c r="G281" s="1120"/>
      <c r="H281" s="178"/>
      <c r="I281" s="1111" t="s">
        <v>4951</v>
      </c>
      <c r="J281" s="1111"/>
      <c r="K281" s="1111"/>
      <c r="L281" s="1111"/>
      <c r="M281" s="1111"/>
      <c r="N281" s="1111"/>
      <c r="O281" s="1112"/>
      <c r="P281" s="100"/>
      <c r="Q281" s="100"/>
      <c r="R281" s="100"/>
      <c r="S281" s="100"/>
      <c r="T281" s="100"/>
      <c r="U281" s="100"/>
      <c r="V281" s="100"/>
      <c r="W281" s="100"/>
      <c r="X281" s="100"/>
      <c r="Y281" s="100"/>
      <c r="Z281" s="100"/>
      <c r="AA281" s="100"/>
      <c r="AB281" s="100"/>
      <c r="AC281" s="100"/>
      <c r="AD281" s="100"/>
      <c r="AF281"/>
      <c r="AG281">
        <f t="shared" si="148"/>
        <v>0</v>
      </c>
      <c r="AH281">
        <f t="shared" si="149"/>
        <v>0</v>
      </c>
      <c r="AK281">
        <f t="shared" si="133"/>
        <v>0</v>
      </c>
      <c r="AL281">
        <f t="shared" si="134"/>
        <v>0</v>
      </c>
      <c r="AM281">
        <f t="shared" si="135"/>
        <v>0</v>
      </c>
      <c r="AN281">
        <f t="shared" si="136"/>
        <v>0</v>
      </c>
      <c r="AO281">
        <f t="shared" si="137"/>
        <v>0</v>
      </c>
      <c r="AP281">
        <f t="shared" si="138"/>
        <v>0</v>
      </c>
      <c r="AQ281">
        <f t="shared" si="139"/>
        <v>0</v>
      </c>
      <c r="AR281">
        <f t="shared" si="140"/>
        <v>0</v>
      </c>
      <c r="AS281">
        <f t="shared" si="141"/>
        <v>0</v>
      </c>
      <c r="AT281">
        <f t="shared" si="142"/>
        <v>0</v>
      </c>
      <c r="AU281">
        <f t="shared" si="143"/>
        <v>0</v>
      </c>
      <c r="AV281">
        <f t="shared" si="144"/>
        <v>0</v>
      </c>
      <c r="AW281">
        <f t="shared" si="145"/>
        <v>0</v>
      </c>
      <c r="AX281">
        <f t="shared" si="146"/>
        <v>0</v>
      </c>
      <c r="AY281">
        <f t="shared" si="147"/>
        <v>0</v>
      </c>
      <c r="CS281"/>
      <c r="CT281"/>
      <c r="CU281"/>
      <c r="CV281"/>
      <c r="CW281"/>
      <c r="CX281"/>
      <c r="CY281"/>
      <c r="CZ281"/>
      <c r="DA281"/>
    </row>
    <row r="282" spans="1:105" ht="15" customHeight="1">
      <c r="A282" s="108"/>
      <c r="B282" s="38"/>
      <c r="C282" s="1109"/>
      <c r="D282" s="954"/>
      <c r="E282" s="956"/>
      <c r="F282" s="1119" t="s">
        <v>4952</v>
      </c>
      <c r="G282" s="1120"/>
      <c r="H282" s="178"/>
      <c r="I282" s="1111" t="s">
        <v>4953</v>
      </c>
      <c r="J282" s="1111"/>
      <c r="K282" s="1111"/>
      <c r="L282" s="1111"/>
      <c r="M282" s="1111"/>
      <c r="N282" s="1111"/>
      <c r="O282" s="1112"/>
      <c r="P282" s="100"/>
      <c r="Q282" s="100"/>
      <c r="R282" s="100"/>
      <c r="S282" s="100"/>
      <c r="T282" s="100"/>
      <c r="U282" s="100"/>
      <c r="V282" s="100"/>
      <c r="W282" s="100"/>
      <c r="X282" s="100"/>
      <c r="Y282" s="100"/>
      <c r="Z282" s="100"/>
      <c r="AA282" s="100"/>
      <c r="AB282" s="100"/>
      <c r="AC282" s="100"/>
      <c r="AD282" s="100"/>
      <c r="AF282"/>
      <c r="AG282">
        <f t="shared" si="148"/>
        <v>0</v>
      </c>
      <c r="AH282">
        <f t="shared" si="149"/>
        <v>0</v>
      </c>
      <c r="AK282">
        <f t="shared" si="133"/>
        <v>0</v>
      </c>
      <c r="AL282">
        <f t="shared" si="134"/>
        <v>0</v>
      </c>
      <c r="AM282">
        <f t="shared" si="135"/>
        <v>0</v>
      </c>
      <c r="AN282">
        <f t="shared" si="136"/>
        <v>0</v>
      </c>
      <c r="AO282">
        <f t="shared" si="137"/>
        <v>0</v>
      </c>
      <c r="AP282">
        <f t="shared" si="138"/>
        <v>0</v>
      </c>
      <c r="AQ282">
        <f t="shared" si="139"/>
        <v>0</v>
      </c>
      <c r="AR282">
        <f t="shared" si="140"/>
        <v>0</v>
      </c>
      <c r="AS282">
        <f t="shared" si="141"/>
        <v>0</v>
      </c>
      <c r="AT282">
        <f t="shared" si="142"/>
        <v>0</v>
      </c>
      <c r="AU282">
        <f t="shared" si="143"/>
        <v>0</v>
      </c>
      <c r="AV282">
        <f t="shared" si="144"/>
        <v>0</v>
      </c>
      <c r="AW282">
        <f t="shared" si="145"/>
        <v>0</v>
      </c>
      <c r="AX282">
        <f t="shared" si="146"/>
        <v>0</v>
      </c>
      <c r="AY282">
        <f t="shared" si="147"/>
        <v>0</v>
      </c>
      <c r="CS282"/>
      <c r="CT282"/>
      <c r="CU282"/>
      <c r="CV282"/>
      <c r="CW282"/>
      <c r="CX282"/>
      <c r="CY282"/>
      <c r="CZ282"/>
      <c r="DA282"/>
    </row>
    <row r="283" spans="1:105" ht="15" customHeight="1">
      <c r="A283" s="108"/>
      <c r="B283" s="38"/>
      <c r="C283" s="1109"/>
      <c r="D283" s="954"/>
      <c r="E283" s="956"/>
      <c r="F283" s="1119" t="s">
        <v>4954</v>
      </c>
      <c r="G283" s="1120"/>
      <c r="H283" s="178"/>
      <c r="I283" s="1111" t="s">
        <v>2631</v>
      </c>
      <c r="J283" s="1111"/>
      <c r="K283" s="1111"/>
      <c r="L283" s="1111"/>
      <c r="M283" s="1111"/>
      <c r="N283" s="1111"/>
      <c r="O283" s="1112"/>
      <c r="P283" s="100"/>
      <c r="Q283" s="100"/>
      <c r="R283" s="100"/>
      <c r="S283" s="100"/>
      <c r="T283" s="100"/>
      <c r="U283" s="100"/>
      <c r="V283" s="100"/>
      <c r="W283" s="100"/>
      <c r="X283" s="100"/>
      <c r="Y283" s="100"/>
      <c r="Z283" s="100"/>
      <c r="AA283" s="100"/>
      <c r="AB283" s="100"/>
      <c r="AC283" s="100"/>
      <c r="AD283" s="100"/>
      <c r="AF283"/>
      <c r="AG283">
        <f t="shared" si="148"/>
        <v>0</v>
      </c>
      <c r="AH283">
        <f t="shared" si="149"/>
        <v>0</v>
      </c>
      <c r="AK283">
        <f t="shared" si="133"/>
        <v>0</v>
      </c>
      <c r="AL283">
        <f t="shared" si="134"/>
        <v>0</v>
      </c>
      <c r="AM283">
        <f t="shared" si="135"/>
        <v>0</v>
      </c>
      <c r="AN283">
        <f t="shared" si="136"/>
        <v>0</v>
      </c>
      <c r="AO283">
        <f t="shared" si="137"/>
        <v>0</v>
      </c>
      <c r="AP283">
        <f t="shared" si="138"/>
        <v>0</v>
      </c>
      <c r="AQ283">
        <f t="shared" si="139"/>
        <v>0</v>
      </c>
      <c r="AR283">
        <f t="shared" si="140"/>
        <v>0</v>
      </c>
      <c r="AS283">
        <f t="shared" si="141"/>
        <v>0</v>
      </c>
      <c r="AT283">
        <f t="shared" si="142"/>
        <v>0</v>
      </c>
      <c r="AU283">
        <f t="shared" si="143"/>
        <v>0</v>
      </c>
      <c r="AV283">
        <f t="shared" si="144"/>
        <v>0</v>
      </c>
      <c r="AW283">
        <f t="shared" si="145"/>
        <v>0</v>
      </c>
      <c r="AX283">
        <f t="shared" si="146"/>
        <v>0</v>
      </c>
      <c r="AY283">
        <f t="shared" si="147"/>
        <v>0</v>
      </c>
      <c r="CS283"/>
      <c r="CT283"/>
      <c r="CU283"/>
      <c r="CV283"/>
      <c r="CW283"/>
      <c r="CX283"/>
      <c r="CY283"/>
      <c r="CZ283"/>
      <c r="DA283"/>
    </row>
    <row r="284" spans="1:105" ht="24" customHeight="1">
      <c r="A284" s="108"/>
      <c r="B284" s="38"/>
      <c r="C284" s="1109"/>
      <c r="D284" s="954"/>
      <c r="E284" s="956"/>
      <c r="F284" s="1103" t="s">
        <v>4955</v>
      </c>
      <c r="G284" s="1103"/>
      <c r="H284" s="1104" t="s">
        <v>4956</v>
      </c>
      <c r="I284" s="1105"/>
      <c r="J284" s="1105"/>
      <c r="K284" s="1105"/>
      <c r="L284" s="1105"/>
      <c r="M284" s="1105"/>
      <c r="N284" s="1105"/>
      <c r="O284" s="1106"/>
      <c r="P284" s="100"/>
      <c r="Q284" s="100"/>
      <c r="R284" s="100"/>
      <c r="S284" s="100"/>
      <c r="T284" s="100"/>
      <c r="U284" s="100"/>
      <c r="V284" s="100"/>
      <c r="W284" s="100"/>
      <c r="X284" s="100"/>
      <c r="Y284" s="100"/>
      <c r="Z284" s="100"/>
      <c r="AA284" s="100"/>
      <c r="AB284" s="100"/>
      <c r="AC284" s="100"/>
      <c r="AD284" s="100"/>
      <c r="AF284"/>
      <c r="AG284">
        <f t="shared" si="148"/>
        <v>0</v>
      </c>
      <c r="AH284">
        <f t="shared" si="149"/>
        <v>0</v>
      </c>
      <c r="AK284">
        <f t="shared" si="133"/>
        <v>0</v>
      </c>
      <c r="AL284">
        <f t="shared" si="134"/>
        <v>0</v>
      </c>
      <c r="AM284">
        <f t="shared" si="135"/>
        <v>0</v>
      </c>
      <c r="AN284">
        <f t="shared" si="136"/>
        <v>0</v>
      </c>
      <c r="AO284">
        <f t="shared" si="137"/>
        <v>0</v>
      </c>
      <c r="AP284">
        <f t="shared" si="138"/>
        <v>0</v>
      </c>
      <c r="AQ284">
        <f t="shared" si="139"/>
        <v>0</v>
      </c>
      <c r="AR284">
        <f t="shared" si="140"/>
        <v>0</v>
      </c>
      <c r="AS284">
        <f t="shared" si="141"/>
        <v>0</v>
      </c>
      <c r="AT284">
        <f t="shared" si="142"/>
        <v>0</v>
      </c>
      <c r="AU284">
        <f t="shared" si="143"/>
        <v>0</v>
      </c>
      <c r="AV284">
        <f t="shared" si="144"/>
        <v>0</v>
      </c>
      <c r="AW284">
        <f t="shared" si="145"/>
        <v>0</v>
      </c>
      <c r="AX284">
        <f t="shared" si="146"/>
        <v>0</v>
      </c>
      <c r="AY284">
        <f t="shared" si="147"/>
        <v>0</v>
      </c>
      <c r="CS284"/>
      <c r="CT284"/>
      <c r="CU284"/>
      <c r="CV284"/>
      <c r="CW284"/>
      <c r="CX284"/>
      <c r="CY284"/>
      <c r="CZ284"/>
      <c r="DA284"/>
    </row>
    <row r="285" spans="1:105" ht="15" customHeight="1">
      <c r="A285" s="108"/>
      <c r="B285" s="38"/>
      <c r="C285" s="1109"/>
      <c r="D285" s="954"/>
      <c r="E285" s="956"/>
      <c r="F285" s="1103" t="s">
        <v>4957</v>
      </c>
      <c r="G285" s="1103"/>
      <c r="H285" s="1104" t="s">
        <v>4958</v>
      </c>
      <c r="I285" s="1105"/>
      <c r="J285" s="1105"/>
      <c r="K285" s="1105"/>
      <c r="L285" s="1105"/>
      <c r="M285" s="1105"/>
      <c r="N285" s="1105"/>
      <c r="O285" s="1106"/>
      <c r="P285" s="100"/>
      <c r="Q285" s="100"/>
      <c r="R285" s="100"/>
      <c r="S285" s="100"/>
      <c r="T285" s="100"/>
      <c r="U285" s="100"/>
      <c r="V285" s="100"/>
      <c r="W285" s="100"/>
      <c r="X285" s="100"/>
      <c r="Y285" s="100"/>
      <c r="Z285" s="100"/>
      <c r="AA285" s="100"/>
      <c r="AB285" s="100"/>
      <c r="AC285" s="100"/>
      <c r="AD285" s="100"/>
      <c r="AF285"/>
      <c r="AG285">
        <f t="shared" si="148"/>
        <v>0</v>
      </c>
      <c r="AH285">
        <f t="shared" si="149"/>
        <v>0</v>
      </c>
      <c r="AK285">
        <f t="shared" si="133"/>
        <v>0</v>
      </c>
      <c r="AL285">
        <f t="shared" si="134"/>
        <v>0</v>
      </c>
      <c r="AM285">
        <f t="shared" si="135"/>
        <v>0</v>
      </c>
      <c r="AN285">
        <f t="shared" si="136"/>
        <v>0</v>
      </c>
      <c r="AO285">
        <f t="shared" si="137"/>
        <v>0</v>
      </c>
      <c r="AP285">
        <f t="shared" si="138"/>
        <v>0</v>
      </c>
      <c r="AQ285">
        <f t="shared" si="139"/>
        <v>0</v>
      </c>
      <c r="AR285">
        <f t="shared" si="140"/>
        <v>0</v>
      </c>
      <c r="AS285">
        <f t="shared" si="141"/>
        <v>0</v>
      </c>
      <c r="AT285">
        <f t="shared" si="142"/>
        <v>0</v>
      </c>
      <c r="AU285">
        <f t="shared" si="143"/>
        <v>0</v>
      </c>
      <c r="AV285">
        <f t="shared" si="144"/>
        <v>0</v>
      </c>
      <c r="AW285">
        <f t="shared" si="145"/>
        <v>0</v>
      </c>
      <c r="AX285">
        <f t="shared" si="146"/>
        <v>0</v>
      </c>
      <c r="AY285">
        <f t="shared" si="147"/>
        <v>0</v>
      </c>
      <c r="CS285"/>
      <c r="CT285"/>
      <c r="CU285"/>
      <c r="CV285"/>
      <c r="CW285"/>
      <c r="CX285"/>
      <c r="CY285"/>
      <c r="CZ285"/>
      <c r="DA285"/>
    </row>
    <row r="286" spans="1:105" ht="15" customHeight="1">
      <c r="A286" s="108"/>
      <c r="B286" s="38"/>
      <c r="C286" s="1109"/>
      <c r="D286" s="954"/>
      <c r="E286" s="956"/>
      <c r="F286" s="1103" t="s">
        <v>4959</v>
      </c>
      <c r="G286" s="1103"/>
      <c r="H286" s="1104" t="s">
        <v>4960</v>
      </c>
      <c r="I286" s="1105"/>
      <c r="J286" s="1105"/>
      <c r="K286" s="1105"/>
      <c r="L286" s="1105"/>
      <c r="M286" s="1105"/>
      <c r="N286" s="1105"/>
      <c r="O286" s="1106"/>
      <c r="P286" s="100"/>
      <c r="Q286" s="100"/>
      <c r="R286" s="100"/>
      <c r="S286" s="100"/>
      <c r="T286" s="100"/>
      <c r="U286" s="100"/>
      <c r="V286" s="100"/>
      <c r="W286" s="100"/>
      <c r="X286" s="100"/>
      <c r="Y286" s="100"/>
      <c r="Z286" s="100"/>
      <c r="AA286" s="100"/>
      <c r="AB286" s="100"/>
      <c r="AC286" s="100"/>
      <c r="AD286" s="100"/>
      <c r="AF286"/>
      <c r="AG286">
        <f t="shared" si="148"/>
        <v>0</v>
      </c>
      <c r="AH286">
        <f t="shared" si="149"/>
        <v>0</v>
      </c>
      <c r="AK286">
        <f t="shared" si="133"/>
        <v>0</v>
      </c>
      <c r="AL286">
        <f t="shared" si="134"/>
        <v>0</v>
      </c>
      <c r="AM286">
        <f t="shared" si="135"/>
        <v>0</v>
      </c>
      <c r="AN286">
        <f t="shared" si="136"/>
        <v>0</v>
      </c>
      <c r="AO286">
        <f t="shared" si="137"/>
        <v>0</v>
      </c>
      <c r="AP286">
        <f t="shared" si="138"/>
        <v>0</v>
      </c>
      <c r="AQ286">
        <f t="shared" si="139"/>
        <v>0</v>
      </c>
      <c r="AR286">
        <f t="shared" si="140"/>
        <v>0</v>
      </c>
      <c r="AS286">
        <f t="shared" si="141"/>
        <v>0</v>
      </c>
      <c r="AT286">
        <f t="shared" si="142"/>
        <v>0</v>
      </c>
      <c r="AU286">
        <f t="shared" si="143"/>
        <v>0</v>
      </c>
      <c r="AV286">
        <f t="shared" si="144"/>
        <v>0</v>
      </c>
      <c r="AW286">
        <f t="shared" si="145"/>
        <v>0</v>
      </c>
      <c r="AX286">
        <f t="shared" si="146"/>
        <v>0</v>
      </c>
      <c r="AY286">
        <f t="shared" si="147"/>
        <v>0</v>
      </c>
      <c r="CS286"/>
      <c r="CT286"/>
      <c r="CU286"/>
      <c r="CV286"/>
      <c r="CW286"/>
      <c r="CX286"/>
      <c r="CY286"/>
      <c r="CZ286"/>
      <c r="DA286"/>
    </row>
    <row r="287" spans="1:105" ht="15" customHeight="1">
      <c r="A287" s="108"/>
      <c r="B287" s="38"/>
      <c r="C287" s="1109"/>
      <c r="D287" s="954"/>
      <c r="E287" s="956"/>
      <c r="F287" s="1103" t="s">
        <v>4961</v>
      </c>
      <c r="G287" s="1103"/>
      <c r="H287" s="1104" t="s">
        <v>4962</v>
      </c>
      <c r="I287" s="1105"/>
      <c r="J287" s="1105"/>
      <c r="K287" s="1105"/>
      <c r="L287" s="1105"/>
      <c r="M287" s="1105"/>
      <c r="N287" s="1105"/>
      <c r="O287" s="1106"/>
      <c r="P287" s="100"/>
      <c r="Q287" s="100"/>
      <c r="R287" s="100"/>
      <c r="S287" s="100"/>
      <c r="T287" s="100"/>
      <c r="U287" s="100"/>
      <c r="V287" s="100"/>
      <c r="W287" s="100"/>
      <c r="X287" s="100"/>
      <c r="Y287" s="100"/>
      <c r="Z287" s="100"/>
      <c r="AA287" s="100"/>
      <c r="AB287" s="100"/>
      <c r="AC287" s="100"/>
      <c r="AD287" s="100"/>
      <c r="AF287"/>
      <c r="AG287">
        <f t="shared" si="148"/>
        <v>0</v>
      </c>
      <c r="AH287">
        <f t="shared" si="149"/>
        <v>0</v>
      </c>
      <c r="AJ287">
        <f>IF(OR(P287="NS",P287="NA",$P$175=0,$P$175="NS",$P$175="NA"),0,IF((P287*(IFERROR(100/SUM(P270:P287),0)))&gt;25,1,0))</f>
        <v>0</v>
      </c>
      <c r="AK287">
        <f t="shared" si="133"/>
        <v>0</v>
      </c>
      <c r="AL287">
        <f t="shared" si="134"/>
        <v>0</v>
      </c>
      <c r="AM287">
        <f t="shared" si="135"/>
        <v>0</v>
      </c>
      <c r="AN287">
        <f t="shared" si="136"/>
        <v>0</v>
      </c>
      <c r="AO287">
        <f t="shared" si="137"/>
        <v>0</v>
      </c>
      <c r="AP287">
        <f t="shared" si="138"/>
        <v>0</v>
      </c>
      <c r="AQ287">
        <f t="shared" si="139"/>
        <v>0</v>
      </c>
      <c r="AR287">
        <f t="shared" si="140"/>
        <v>0</v>
      </c>
      <c r="AS287">
        <f t="shared" si="141"/>
        <v>0</v>
      </c>
      <c r="AT287">
        <f t="shared" si="142"/>
        <v>0</v>
      </c>
      <c r="AU287">
        <f t="shared" si="143"/>
        <v>0</v>
      </c>
      <c r="AV287">
        <f t="shared" si="144"/>
        <v>0</v>
      </c>
      <c r="AW287">
        <f t="shared" si="145"/>
        <v>0</v>
      </c>
      <c r="AX287">
        <f t="shared" si="146"/>
        <v>0</v>
      </c>
      <c r="AY287">
        <f t="shared" si="147"/>
        <v>0</v>
      </c>
      <c r="CS287"/>
      <c r="CT287"/>
      <c r="CU287"/>
      <c r="CV287"/>
      <c r="CW287"/>
      <c r="CX287"/>
      <c r="CY287"/>
      <c r="CZ287"/>
      <c r="DA287"/>
    </row>
    <row r="288" spans="1:105" ht="36" customHeight="1">
      <c r="A288" s="108"/>
      <c r="B288" s="38"/>
      <c r="C288" s="1108" t="s">
        <v>4963</v>
      </c>
      <c r="D288" s="847" t="s">
        <v>4964</v>
      </c>
      <c r="E288" s="848"/>
      <c r="F288" s="1103" t="s">
        <v>4965</v>
      </c>
      <c r="G288" s="1103"/>
      <c r="H288" s="1104" t="s">
        <v>4966</v>
      </c>
      <c r="I288" s="1105"/>
      <c r="J288" s="1105"/>
      <c r="K288" s="1105"/>
      <c r="L288" s="1105"/>
      <c r="M288" s="1105"/>
      <c r="N288" s="1105"/>
      <c r="O288" s="1106"/>
      <c r="P288" s="100"/>
      <c r="Q288" s="100"/>
      <c r="R288" s="100"/>
      <c r="S288" s="100"/>
      <c r="T288" s="100"/>
      <c r="U288" s="100"/>
      <c r="V288" s="100"/>
      <c r="W288" s="100"/>
      <c r="X288" s="100"/>
      <c r="Y288" s="100"/>
      <c r="Z288" s="100"/>
      <c r="AA288" s="100"/>
      <c r="AB288" s="100"/>
      <c r="AC288" s="100"/>
      <c r="AD288" s="100"/>
      <c r="AF288">
        <f>IF(P288="NA",IF(AND(COUNTIF(P289:P294,"="&amp;$AF$212)=0,COUNTIF(P289:P294,"&lt;&gt;NA")&gt;0),1,0),IF(AND(COUNTIF(P289:P294,"="&amp;$AF$212)=0,COUNTIF(P289:P294,"NA")=COUNTIF(P289:P294,"&lt;&gt;"&amp;$AF$212)),1,0))</f>
        <v>0</v>
      </c>
      <c r="AG288">
        <f t="shared" si="148"/>
        <v>0</v>
      </c>
      <c r="AH288">
        <f t="shared" si="149"/>
        <v>0</v>
      </c>
      <c r="AK288">
        <f t="shared" si="133"/>
        <v>0</v>
      </c>
      <c r="AL288">
        <f t="shared" si="134"/>
        <v>0</v>
      </c>
      <c r="AM288">
        <f t="shared" si="135"/>
        <v>0</v>
      </c>
      <c r="AN288">
        <f t="shared" si="136"/>
        <v>0</v>
      </c>
      <c r="AO288">
        <f t="shared" si="137"/>
        <v>0</v>
      </c>
      <c r="AP288">
        <f t="shared" si="138"/>
        <v>0</v>
      </c>
      <c r="AQ288">
        <f t="shared" si="139"/>
        <v>0</v>
      </c>
      <c r="AR288">
        <f t="shared" si="140"/>
        <v>0</v>
      </c>
      <c r="AS288">
        <f t="shared" si="141"/>
        <v>0</v>
      </c>
      <c r="AT288">
        <f t="shared" si="142"/>
        <v>0</v>
      </c>
      <c r="AU288">
        <f t="shared" si="143"/>
        <v>0</v>
      </c>
      <c r="AV288">
        <f t="shared" si="144"/>
        <v>0</v>
      </c>
      <c r="AW288">
        <f t="shared" si="145"/>
        <v>0</v>
      </c>
      <c r="AX288">
        <f t="shared" si="146"/>
        <v>0</v>
      </c>
      <c r="AY288">
        <f t="shared" si="147"/>
        <v>0</v>
      </c>
      <c r="CS288"/>
      <c r="CT288"/>
      <c r="CU288"/>
      <c r="CV288"/>
      <c r="CW288"/>
      <c r="CX288"/>
      <c r="CY288"/>
      <c r="CZ288"/>
      <c r="DA288"/>
    </row>
    <row r="289" spans="1:105" ht="15" customHeight="1">
      <c r="A289" s="108"/>
      <c r="B289" s="38"/>
      <c r="C289" s="1109"/>
      <c r="D289" s="954"/>
      <c r="E289" s="956"/>
      <c r="F289" s="1110" t="s">
        <v>4967</v>
      </c>
      <c r="G289" s="1110"/>
      <c r="H289" s="178"/>
      <c r="I289" s="1111" t="s">
        <v>4968</v>
      </c>
      <c r="J289" s="1111"/>
      <c r="K289" s="1111"/>
      <c r="L289" s="1111"/>
      <c r="M289" s="1111"/>
      <c r="N289" s="1111"/>
      <c r="O289" s="1112"/>
      <c r="P289" s="100"/>
      <c r="Q289" s="100"/>
      <c r="R289" s="100"/>
      <c r="S289" s="100"/>
      <c r="T289" s="100"/>
      <c r="U289" s="100"/>
      <c r="V289" s="100"/>
      <c r="W289" s="100"/>
      <c r="X289" s="100"/>
      <c r="Y289" s="100"/>
      <c r="Z289" s="100"/>
      <c r="AA289" s="100"/>
      <c r="AB289" s="100"/>
      <c r="AC289" s="100"/>
      <c r="AD289" s="100"/>
      <c r="AF289"/>
      <c r="AG289">
        <f t="shared" si="148"/>
        <v>0</v>
      </c>
      <c r="AH289">
        <f t="shared" si="149"/>
        <v>0</v>
      </c>
      <c r="AK289">
        <f t="shared" si="133"/>
        <v>0</v>
      </c>
      <c r="AL289">
        <f t="shared" si="134"/>
        <v>0</v>
      </c>
      <c r="AM289">
        <f t="shared" si="135"/>
        <v>0</v>
      </c>
      <c r="AN289">
        <f t="shared" si="136"/>
        <v>0</v>
      </c>
      <c r="AO289">
        <f t="shared" si="137"/>
        <v>0</v>
      </c>
      <c r="AP289">
        <f t="shared" si="138"/>
        <v>0</v>
      </c>
      <c r="AQ289">
        <f t="shared" si="139"/>
        <v>0</v>
      </c>
      <c r="AR289">
        <f t="shared" si="140"/>
        <v>0</v>
      </c>
      <c r="AS289">
        <f t="shared" si="141"/>
        <v>0</v>
      </c>
      <c r="AT289">
        <f t="shared" si="142"/>
        <v>0</v>
      </c>
      <c r="AU289">
        <f t="shared" si="143"/>
        <v>0</v>
      </c>
      <c r="AV289">
        <f t="shared" si="144"/>
        <v>0</v>
      </c>
      <c r="AW289">
        <f t="shared" si="145"/>
        <v>0</v>
      </c>
      <c r="AX289">
        <f t="shared" si="146"/>
        <v>0</v>
      </c>
      <c r="AY289">
        <f t="shared" si="147"/>
        <v>0</v>
      </c>
      <c r="CS289"/>
      <c r="CT289"/>
      <c r="CU289"/>
      <c r="CV289"/>
      <c r="CW289"/>
      <c r="CX289"/>
      <c r="CY289"/>
      <c r="CZ289"/>
      <c r="DA289"/>
    </row>
    <row r="290" spans="1:105" ht="24" customHeight="1">
      <c r="A290" s="108"/>
      <c r="B290" s="38"/>
      <c r="C290" s="1109"/>
      <c r="D290" s="954"/>
      <c r="E290" s="956"/>
      <c r="F290" s="1110" t="s">
        <v>4969</v>
      </c>
      <c r="G290" s="1110"/>
      <c r="H290" s="178"/>
      <c r="I290" s="1111" t="s">
        <v>4970</v>
      </c>
      <c r="J290" s="1111"/>
      <c r="K290" s="1111"/>
      <c r="L290" s="1111"/>
      <c r="M290" s="1111"/>
      <c r="N290" s="1111"/>
      <c r="O290" s="1112"/>
      <c r="P290" s="100"/>
      <c r="Q290" s="100"/>
      <c r="R290" s="100"/>
      <c r="S290" s="100"/>
      <c r="T290" s="100"/>
      <c r="U290" s="100"/>
      <c r="V290" s="100"/>
      <c r="W290" s="100"/>
      <c r="X290" s="100"/>
      <c r="Y290" s="100"/>
      <c r="Z290" s="100"/>
      <c r="AA290" s="100"/>
      <c r="AB290" s="100"/>
      <c r="AC290" s="100"/>
      <c r="AD290" s="100"/>
      <c r="AF290"/>
      <c r="AG290">
        <f t="shared" si="148"/>
        <v>0</v>
      </c>
      <c r="AH290">
        <f t="shared" si="149"/>
        <v>0</v>
      </c>
      <c r="AK290">
        <f t="shared" si="133"/>
        <v>0</v>
      </c>
      <c r="AL290">
        <f t="shared" si="134"/>
        <v>0</v>
      </c>
      <c r="AM290">
        <f t="shared" si="135"/>
        <v>0</v>
      </c>
      <c r="AN290">
        <f t="shared" si="136"/>
        <v>0</v>
      </c>
      <c r="AO290">
        <f t="shared" si="137"/>
        <v>0</v>
      </c>
      <c r="AP290">
        <f t="shared" si="138"/>
        <v>0</v>
      </c>
      <c r="AQ290">
        <f t="shared" si="139"/>
        <v>0</v>
      </c>
      <c r="AR290">
        <f t="shared" si="140"/>
        <v>0</v>
      </c>
      <c r="AS290">
        <f t="shared" si="141"/>
        <v>0</v>
      </c>
      <c r="AT290">
        <f t="shared" si="142"/>
        <v>0</v>
      </c>
      <c r="AU290">
        <f t="shared" si="143"/>
        <v>0</v>
      </c>
      <c r="AV290">
        <f t="shared" si="144"/>
        <v>0</v>
      </c>
      <c r="AW290">
        <f t="shared" si="145"/>
        <v>0</v>
      </c>
      <c r="AX290">
        <f t="shared" si="146"/>
        <v>0</v>
      </c>
      <c r="AY290">
        <f t="shared" si="147"/>
        <v>0</v>
      </c>
      <c r="CS290"/>
      <c r="CT290"/>
      <c r="CU290"/>
      <c r="CV290"/>
      <c r="CW290"/>
      <c r="CX290"/>
      <c r="CY290"/>
      <c r="CZ290"/>
      <c r="DA290"/>
    </row>
    <row r="291" spans="1:105" ht="15" customHeight="1">
      <c r="A291" s="108"/>
      <c r="B291" s="38"/>
      <c r="C291" s="1109"/>
      <c r="D291" s="954"/>
      <c r="E291" s="956"/>
      <c r="F291" s="1110" t="s">
        <v>4971</v>
      </c>
      <c r="G291" s="1110"/>
      <c r="H291" s="178"/>
      <c r="I291" s="1111" t="s">
        <v>4972</v>
      </c>
      <c r="J291" s="1111"/>
      <c r="K291" s="1111"/>
      <c r="L291" s="1111"/>
      <c r="M291" s="1111"/>
      <c r="N291" s="1111"/>
      <c r="O291" s="1112"/>
      <c r="P291" s="100"/>
      <c r="Q291" s="100"/>
      <c r="R291" s="100"/>
      <c r="S291" s="100"/>
      <c r="T291" s="100"/>
      <c r="U291" s="100"/>
      <c r="V291" s="100"/>
      <c r="W291" s="100"/>
      <c r="X291" s="100"/>
      <c r="Y291" s="100"/>
      <c r="Z291" s="100"/>
      <c r="AA291" s="100"/>
      <c r="AB291" s="100"/>
      <c r="AC291" s="100"/>
      <c r="AD291" s="100"/>
      <c r="AF291"/>
      <c r="AG291">
        <f t="shared" si="148"/>
        <v>0</v>
      </c>
      <c r="AH291">
        <f t="shared" si="149"/>
        <v>0</v>
      </c>
      <c r="AK291">
        <f t="shared" si="133"/>
        <v>0</v>
      </c>
      <c r="AL291">
        <f t="shared" si="134"/>
        <v>0</v>
      </c>
      <c r="AM291">
        <f t="shared" si="135"/>
        <v>0</v>
      </c>
      <c r="AN291">
        <f t="shared" si="136"/>
        <v>0</v>
      </c>
      <c r="AO291">
        <f t="shared" si="137"/>
        <v>0</v>
      </c>
      <c r="AP291">
        <f t="shared" si="138"/>
        <v>0</v>
      </c>
      <c r="AQ291">
        <f t="shared" si="139"/>
        <v>0</v>
      </c>
      <c r="AR291">
        <f t="shared" si="140"/>
        <v>0</v>
      </c>
      <c r="AS291">
        <f t="shared" si="141"/>
        <v>0</v>
      </c>
      <c r="AT291">
        <f t="shared" si="142"/>
        <v>0</v>
      </c>
      <c r="AU291">
        <f t="shared" si="143"/>
        <v>0</v>
      </c>
      <c r="AV291">
        <f t="shared" si="144"/>
        <v>0</v>
      </c>
      <c r="AW291">
        <f t="shared" si="145"/>
        <v>0</v>
      </c>
      <c r="AX291">
        <f t="shared" si="146"/>
        <v>0</v>
      </c>
      <c r="AY291">
        <f t="shared" si="147"/>
        <v>0</v>
      </c>
      <c r="CS291"/>
      <c r="CT291"/>
      <c r="CU291"/>
      <c r="CV291"/>
      <c r="CW291"/>
      <c r="CX291"/>
      <c r="CY291"/>
      <c r="CZ291"/>
      <c r="DA291"/>
    </row>
    <row r="292" spans="1:105" ht="15" customHeight="1">
      <c r="A292" s="108"/>
      <c r="B292" s="38"/>
      <c r="C292" s="1109"/>
      <c r="D292" s="954"/>
      <c r="E292" s="956"/>
      <c r="F292" s="1110" t="s">
        <v>4973</v>
      </c>
      <c r="G292" s="1110"/>
      <c r="H292" s="178"/>
      <c r="I292" s="1111" t="s">
        <v>4974</v>
      </c>
      <c r="J292" s="1111"/>
      <c r="K292" s="1111"/>
      <c r="L292" s="1111"/>
      <c r="M292" s="1111"/>
      <c r="N292" s="1111"/>
      <c r="O292" s="1112"/>
      <c r="P292" s="100"/>
      <c r="Q292" s="100"/>
      <c r="R292" s="100"/>
      <c r="S292" s="100"/>
      <c r="T292" s="100"/>
      <c r="U292" s="100"/>
      <c r="V292" s="100"/>
      <c r="W292" s="100"/>
      <c r="X292" s="100"/>
      <c r="Y292" s="100"/>
      <c r="Z292" s="100"/>
      <c r="AA292" s="100"/>
      <c r="AB292" s="100"/>
      <c r="AC292" s="100"/>
      <c r="AD292" s="100"/>
      <c r="AF292"/>
      <c r="AG292">
        <f t="shared" si="148"/>
        <v>0</v>
      </c>
      <c r="AH292">
        <f t="shared" si="149"/>
        <v>0</v>
      </c>
      <c r="AK292">
        <f t="shared" si="133"/>
        <v>0</v>
      </c>
      <c r="AL292">
        <f t="shared" si="134"/>
        <v>0</v>
      </c>
      <c r="AM292">
        <f t="shared" si="135"/>
        <v>0</v>
      </c>
      <c r="AN292">
        <f t="shared" si="136"/>
        <v>0</v>
      </c>
      <c r="AO292">
        <f t="shared" si="137"/>
        <v>0</v>
      </c>
      <c r="AP292">
        <f t="shared" si="138"/>
        <v>0</v>
      </c>
      <c r="AQ292">
        <f t="shared" si="139"/>
        <v>0</v>
      </c>
      <c r="AR292">
        <f t="shared" si="140"/>
        <v>0</v>
      </c>
      <c r="AS292">
        <f t="shared" si="141"/>
        <v>0</v>
      </c>
      <c r="AT292">
        <f t="shared" si="142"/>
        <v>0</v>
      </c>
      <c r="AU292">
        <f t="shared" si="143"/>
        <v>0</v>
      </c>
      <c r="AV292">
        <f t="shared" si="144"/>
        <v>0</v>
      </c>
      <c r="AW292">
        <f t="shared" si="145"/>
        <v>0</v>
      </c>
      <c r="AX292">
        <f t="shared" si="146"/>
        <v>0</v>
      </c>
      <c r="AY292">
        <f t="shared" si="147"/>
        <v>0</v>
      </c>
      <c r="CS292"/>
      <c r="CT292"/>
      <c r="CU292"/>
      <c r="CV292"/>
      <c r="CW292"/>
      <c r="CX292"/>
      <c r="CY292"/>
      <c r="CZ292"/>
      <c r="DA292"/>
    </row>
    <row r="293" spans="1:105" ht="36" customHeight="1">
      <c r="A293" s="108"/>
      <c r="B293" s="38"/>
      <c r="C293" s="1109"/>
      <c r="D293" s="954"/>
      <c r="E293" s="956"/>
      <c r="F293" s="1110" t="s">
        <v>4975</v>
      </c>
      <c r="G293" s="1110"/>
      <c r="H293" s="178"/>
      <c r="I293" s="1111" t="s">
        <v>4976</v>
      </c>
      <c r="J293" s="1111"/>
      <c r="K293" s="1111"/>
      <c r="L293" s="1111"/>
      <c r="M293" s="1111"/>
      <c r="N293" s="1111"/>
      <c r="O293" s="1112"/>
      <c r="P293" s="100"/>
      <c r="Q293" s="100"/>
      <c r="R293" s="100"/>
      <c r="S293" s="100"/>
      <c r="T293" s="100"/>
      <c r="U293" s="100"/>
      <c r="V293" s="100"/>
      <c r="W293" s="100"/>
      <c r="X293" s="100"/>
      <c r="Y293" s="100"/>
      <c r="Z293" s="100"/>
      <c r="AA293" s="100"/>
      <c r="AB293" s="100"/>
      <c r="AC293" s="100"/>
      <c r="AD293" s="100"/>
      <c r="AF293"/>
      <c r="AG293">
        <f t="shared" si="148"/>
        <v>0</v>
      </c>
      <c r="AH293">
        <f t="shared" si="149"/>
        <v>0</v>
      </c>
      <c r="AK293">
        <f t="shared" si="133"/>
        <v>0</v>
      </c>
      <c r="AL293">
        <f t="shared" si="134"/>
        <v>0</v>
      </c>
      <c r="AM293">
        <f t="shared" si="135"/>
        <v>0</v>
      </c>
      <c r="AN293">
        <f t="shared" si="136"/>
        <v>0</v>
      </c>
      <c r="AO293">
        <f t="shared" si="137"/>
        <v>0</v>
      </c>
      <c r="AP293">
        <f t="shared" si="138"/>
        <v>0</v>
      </c>
      <c r="AQ293">
        <f t="shared" si="139"/>
        <v>0</v>
      </c>
      <c r="AR293">
        <f t="shared" si="140"/>
        <v>0</v>
      </c>
      <c r="AS293">
        <f t="shared" si="141"/>
        <v>0</v>
      </c>
      <c r="AT293">
        <f t="shared" si="142"/>
        <v>0</v>
      </c>
      <c r="AU293">
        <f t="shared" si="143"/>
        <v>0</v>
      </c>
      <c r="AV293">
        <f t="shared" si="144"/>
        <v>0</v>
      </c>
      <c r="AW293">
        <f t="shared" si="145"/>
        <v>0</v>
      </c>
      <c r="AX293">
        <f t="shared" si="146"/>
        <v>0</v>
      </c>
      <c r="AY293">
        <f t="shared" si="147"/>
        <v>0</v>
      </c>
      <c r="CS293"/>
      <c r="CT293"/>
      <c r="CU293"/>
      <c r="CV293"/>
      <c r="CW293"/>
      <c r="CX293"/>
      <c r="CY293"/>
      <c r="CZ293"/>
      <c r="DA293"/>
    </row>
    <row r="294" spans="1:105" ht="15" customHeight="1">
      <c r="A294" s="108"/>
      <c r="B294" s="38"/>
      <c r="C294" s="1109"/>
      <c r="D294" s="954"/>
      <c r="E294" s="956"/>
      <c r="F294" s="1110" t="s">
        <v>4977</v>
      </c>
      <c r="G294" s="1110"/>
      <c r="H294" s="178"/>
      <c r="I294" s="1111" t="s">
        <v>2631</v>
      </c>
      <c r="J294" s="1111"/>
      <c r="K294" s="1111"/>
      <c r="L294" s="1111"/>
      <c r="M294" s="1111"/>
      <c r="N294" s="1111"/>
      <c r="O294" s="1112"/>
      <c r="P294" s="100"/>
      <c r="Q294" s="100"/>
      <c r="R294" s="100"/>
      <c r="S294" s="100"/>
      <c r="T294" s="100"/>
      <c r="U294" s="100"/>
      <c r="V294" s="100"/>
      <c r="W294" s="100"/>
      <c r="X294" s="100"/>
      <c r="Y294" s="100"/>
      <c r="Z294" s="100"/>
      <c r="AA294" s="100"/>
      <c r="AB294" s="100"/>
      <c r="AC294" s="100"/>
      <c r="AD294" s="100"/>
      <c r="AF294"/>
      <c r="AG294">
        <f t="shared" si="148"/>
        <v>0</v>
      </c>
      <c r="AH294">
        <f t="shared" si="149"/>
        <v>0</v>
      </c>
      <c r="AK294">
        <f t="shared" si="133"/>
        <v>0</v>
      </c>
      <c r="AL294">
        <f t="shared" si="134"/>
        <v>0</v>
      </c>
      <c r="AM294">
        <f t="shared" si="135"/>
        <v>0</v>
      </c>
      <c r="AN294">
        <f t="shared" si="136"/>
        <v>0</v>
      </c>
      <c r="AO294">
        <f t="shared" si="137"/>
        <v>0</v>
      </c>
      <c r="AP294">
        <f t="shared" si="138"/>
        <v>0</v>
      </c>
      <c r="AQ294">
        <f t="shared" si="139"/>
        <v>0</v>
      </c>
      <c r="AR294">
        <f t="shared" si="140"/>
        <v>0</v>
      </c>
      <c r="AS294">
        <f t="shared" si="141"/>
        <v>0</v>
      </c>
      <c r="AT294">
        <f t="shared" si="142"/>
        <v>0</v>
      </c>
      <c r="AU294">
        <f t="shared" si="143"/>
        <v>0</v>
      </c>
      <c r="AV294">
        <f t="shared" si="144"/>
        <v>0</v>
      </c>
      <c r="AW294">
        <f t="shared" si="145"/>
        <v>0</v>
      </c>
      <c r="AX294">
        <f t="shared" si="146"/>
        <v>0</v>
      </c>
      <c r="AY294">
        <f t="shared" si="147"/>
        <v>0</v>
      </c>
      <c r="CS294"/>
      <c r="CT294"/>
      <c r="CU294"/>
      <c r="CV294"/>
      <c r="CW294"/>
      <c r="CX294"/>
      <c r="CY294"/>
      <c r="CZ294"/>
      <c r="DA294"/>
    </row>
    <row r="295" spans="1:105" ht="24" customHeight="1">
      <c r="A295" s="108"/>
      <c r="B295" s="38"/>
      <c r="C295" s="1109"/>
      <c r="D295" s="954"/>
      <c r="E295" s="956"/>
      <c r="F295" s="1103" t="s">
        <v>4978</v>
      </c>
      <c r="G295" s="1103"/>
      <c r="H295" s="1104" t="s">
        <v>4979</v>
      </c>
      <c r="I295" s="1105"/>
      <c r="J295" s="1105"/>
      <c r="K295" s="1105"/>
      <c r="L295" s="1105"/>
      <c r="M295" s="1105"/>
      <c r="N295" s="1105"/>
      <c r="O295" s="1106"/>
      <c r="P295" s="100"/>
      <c r="Q295" s="100"/>
      <c r="R295" s="100"/>
      <c r="S295" s="100"/>
      <c r="T295" s="100"/>
      <c r="U295" s="100"/>
      <c r="V295" s="100"/>
      <c r="W295" s="100"/>
      <c r="X295" s="100"/>
      <c r="Y295" s="100"/>
      <c r="Z295" s="100"/>
      <c r="AA295" s="100"/>
      <c r="AB295" s="100"/>
      <c r="AC295" s="100"/>
      <c r="AD295" s="100"/>
      <c r="AF295">
        <f>IF(P295="NA",IF(AND(COUNTIF(P296:P303,"="&amp;$AF$212)=0,COUNTIF(P296:P303,"&lt;&gt;NA")&gt;0),1,0),IF(AND(COUNTIF(P296:P303,"="&amp;$AF$212)=0,COUNTIF(P296:P303,"NA")=COUNTIF(P296:P303,"&lt;&gt;"&amp;$AF$212)),1,0))</f>
        <v>0</v>
      </c>
      <c r="AG295">
        <f t="shared" si="148"/>
        <v>0</v>
      </c>
      <c r="AH295">
        <f t="shared" si="149"/>
        <v>0</v>
      </c>
      <c r="AK295">
        <f t="shared" si="133"/>
        <v>0</v>
      </c>
      <c r="AL295">
        <f t="shared" si="134"/>
        <v>0</v>
      </c>
      <c r="AM295">
        <f t="shared" si="135"/>
        <v>0</v>
      </c>
      <c r="AN295">
        <f t="shared" si="136"/>
        <v>0</v>
      </c>
      <c r="AO295">
        <f t="shared" si="137"/>
        <v>0</v>
      </c>
      <c r="AP295">
        <f t="shared" si="138"/>
        <v>0</v>
      </c>
      <c r="AQ295">
        <f t="shared" si="139"/>
        <v>0</v>
      </c>
      <c r="AR295">
        <f t="shared" si="140"/>
        <v>0</v>
      </c>
      <c r="AS295">
        <f t="shared" si="141"/>
        <v>0</v>
      </c>
      <c r="AT295">
        <f t="shared" si="142"/>
        <v>0</v>
      </c>
      <c r="AU295">
        <f t="shared" si="143"/>
        <v>0</v>
      </c>
      <c r="AV295">
        <f t="shared" si="144"/>
        <v>0</v>
      </c>
      <c r="AW295">
        <f t="shared" si="145"/>
        <v>0</v>
      </c>
      <c r="AX295">
        <f t="shared" si="146"/>
        <v>0</v>
      </c>
      <c r="AY295">
        <f t="shared" si="147"/>
        <v>0</v>
      </c>
      <c r="CS295"/>
      <c r="CT295"/>
      <c r="CU295"/>
      <c r="CV295"/>
      <c r="CW295"/>
      <c r="CX295"/>
      <c r="CY295"/>
      <c r="CZ295"/>
      <c r="DA295"/>
    </row>
    <row r="296" spans="1:105" ht="15" customHeight="1">
      <c r="A296" s="108"/>
      <c r="B296" s="38"/>
      <c r="C296" s="1109"/>
      <c r="D296" s="954"/>
      <c r="E296" s="956"/>
      <c r="F296" s="1110" t="s">
        <v>4980</v>
      </c>
      <c r="G296" s="1110"/>
      <c r="H296" s="178"/>
      <c r="I296" s="1111" t="s">
        <v>4981</v>
      </c>
      <c r="J296" s="1111"/>
      <c r="K296" s="1111"/>
      <c r="L296" s="1111"/>
      <c r="M296" s="1111"/>
      <c r="N296" s="1111"/>
      <c r="O296" s="1112"/>
      <c r="P296" s="100"/>
      <c r="Q296" s="100"/>
      <c r="R296" s="100"/>
      <c r="S296" s="100"/>
      <c r="T296" s="100"/>
      <c r="U296" s="100"/>
      <c r="V296" s="100"/>
      <c r="W296" s="100"/>
      <c r="X296" s="100"/>
      <c r="Y296" s="100"/>
      <c r="Z296" s="100"/>
      <c r="AA296" s="100"/>
      <c r="AB296" s="100"/>
      <c r="AC296" s="100"/>
      <c r="AD296" s="100"/>
      <c r="AF296"/>
      <c r="AG296">
        <f t="shared" si="148"/>
        <v>0</v>
      </c>
      <c r="AH296">
        <f t="shared" si="149"/>
        <v>0</v>
      </c>
      <c r="AK296">
        <f t="shared" si="133"/>
        <v>0</v>
      </c>
      <c r="AL296">
        <f t="shared" si="134"/>
        <v>0</v>
      </c>
      <c r="AM296">
        <f t="shared" si="135"/>
        <v>0</v>
      </c>
      <c r="AN296">
        <f t="shared" si="136"/>
        <v>0</v>
      </c>
      <c r="AO296">
        <f t="shared" si="137"/>
        <v>0</v>
      </c>
      <c r="AP296">
        <f t="shared" si="138"/>
        <v>0</v>
      </c>
      <c r="AQ296">
        <f t="shared" si="139"/>
        <v>0</v>
      </c>
      <c r="AR296">
        <f t="shared" si="140"/>
        <v>0</v>
      </c>
      <c r="AS296">
        <f t="shared" si="141"/>
        <v>0</v>
      </c>
      <c r="AT296">
        <f t="shared" si="142"/>
        <v>0</v>
      </c>
      <c r="AU296">
        <f t="shared" si="143"/>
        <v>0</v>
      </c>
      <c r="AV296">
        <f t="shared" si="144"/>
        <v>0</v>
      </c>
      <c r="AW296">
        <f t="shared" si="145"/>
        <v>0</v>
      </c>
      <c r="AX296">
        <f t="shared" si="146"/>
        <v>0</v>
      </c>
      <c r="AY296">
        <f t="shared" si="147"/>
        <v>0</v>
      </c>
      <c r="CS296"/>
      <c r="CT296"/>
      <c r="CU296"/>
      <c r="CV296"/>
      <c r="CW296"/>
      <c r="CX296"/>
      <c r="CY296"/>
      <c r="CZ296"/>
      <c r="DA296"/>
    </row>
    <row r="297" spans="1:105" ht="15" customHeight="1">
      <c r="A297" s="108"/>
      <c r="B297" s="38"/>
      <c r="C297" s="1109"/>
      <c r="D297" s="954"/>
      <c r="E297" s="956"/>
      <c r="F297" s="1110" t="s">
        <v>4982</v>
      </c>
      <c r="G297" s="1110"/>
      <c r="H297" s="178"/>
      <c r="I297" s="1111" t="s">
        <v>4983</v>
      </c>
      <c r="J297" s="1111"/>
      <c r="K297" s="1111"/>
      <c r="L297" s="1111"/>
      <c r="M297" s="1111"/>
      <c r="N297" s="1111"/>
      <c r="O297" s="1112"/>
      <c r="P297" s="100"/>
      <c r="Q297" s="100"/>
      <c r="R297" s="100"/>
      <c r="S297" s="100"/>
      <c r="T297" s="100"/>
      <c r="U297" s="100"/>
      <c r="V297" s="100"/>
      <c r="W297" s="100"/>
      <c r="X297" s="100"/>
      <c r="Y297" s="100"/>
      <c r="Z297" s="100"/>
      <c r="AA297" s="100"/>
      <c r="AB297" s="100"/>
      <c r="AC297" s="100"/>
      <c r="AD297" s="100"/>
      <c r="AF297"/>
      <c r="AG297">
        <f t="shared" si="148"/>
        <v>0</v>
      </c>
      <c r="AH297">
        <f t="shared" si="149"/>
        <v>0</v>
      </c>
      <c r="AK297">
        <f t="shared" si="133"/>
        <v>0</v>
      </c>
      <c r="AL297">
        <f t="shared" si="134"/>
        <v>0</v>
      </c>
      <c r="AM297">
        <f t="shared" si="135"/>
        <v>0</v>
      </c>
      <c r="AN297">
        <f t="shared" si="136"/>
        <v>0</v>
      </c>
      <c r="AO297">
        <f t="shared" si="137"/>
        <v>0</v>
      </c>
      <c r="AP297">
        <f t="shared" si="138"/>
        <v>0</v>
      </c>
      <c r="AQ297">
        <f t="shared" si="139"/>
        <v>0</v>
      </c>
      <c r="AR297">
        <f t="shared" si="140"/>
        <v>0</v>
      </c>
      <c r="AS297">
        <f t="shared" si="141"/>
        <v>0</v>
      </c>
      <c r="AT297">
        <f t="shared" si="142"/>
        <v>0</v>
      </c>
      <c r="AU297">
        <f t="shared" si="143"/>
        <v>0</v>
      </c>
      <c r="AV297">
        <f t="shared" si="144"/>
        <v>0</v>
      </c>
      <c r="AW297">
        <f t="shared" si="145"/>
        <v>0</v>
      </c>
      <c r="AX297">
        <f t="shared" si="146"/>
        <v>0</v>
      </c>
      <c r="AY297">
        <f t="shared" si="147"/>
        <v>0</v>
      </c>
      <c r="CS297"/>
      <c r="CT297"/>
      <c r="CU297"/>
      <c r="CV297"/>
      <c r="CW297"/>
      <c r="CX297"/>
      <c r="CY297"/>
      <c r="CZ297"/>
      <c r="DA297"/>
    </row>
    <row r="298" spans="1:105" ht="15" customHeight="1">
      <c r="A298" s="108"/>
      <c r="B298" s="38"/>
      <c r="C298" s="1109"/>
      <c r="D298" s="954"/>
      <c r="E298" s="956"/>
      <c r="F298" s="1110" t="s">
        <v>4984</v>
      </c>
      <c r="G298" s="1110"/>
      <c r="H298" s="178"/>
      <c r="I298" s="1111" t="s">
        <v>4985</v>
      </c>
      <c r="J298" s="1111"/>
      <c r="K298" s="1111"/>
      <c r="L298" s="1111"/>
      <c r="M298" s="1111"/>
      <c r="N298" s="1111"/>
      <c r="O298" s="1112"/>
      <c r="P298" s="100"/>
      <c r="Q298" s="100"/>
      <c r="R298" s="100"/>
      <c r="S298" s="100"/>
      <c r="T298" s="100"/>
      <c r="U298" s="100"/>
      <c r="V298" s="100"/>
      <c r="W298" s="100"/>
      <c r="X298" s="100"/>
      <c r="Y298" s="100"/>
      <c r="Z298" s="100"/>
      <c r="AA298" s="100"/>
      <c r="AB298" s="100"/>
      <c r="AC298" s="100"/>
      <c r="AD298" s="100"/>
      <c r="AF298"/>
      <c r="AG298">
        <f t="shared" si="148"/>
        <v>0</v>
      </c>
      <c r="AH298">
        <f t="shared" si="149"/>
        <v>0</v>
      </c>
      <c r="AK298">
        <f t="shared" si="133"/>
        <v>0</v>
      </c>
      <c r="AL298">
        <f t="shared" si="134"/>
        <v>0</v>
      </c>
      <c r="AM298">
        <f t="shared" si="135"/>
        <v>0</v>
      </c>
      <c r="AN298">
        <f t="shared" si="136"/>
        <v>0</v>
      </c>
      <c r="AO298">
        <f t="shared" si="137"/>
        <v>0</v>
      </c>
      <c r="AP298">
        <f t="shared" si="138"/>
        <v>0</v>
      </c>
      <c r="AQ298">
        <f t="shared" si="139"/>
        <v>0</v>
      </c>
      <c r="AR298">
        <f t="shared" si="140"/>
        <v>0</v>
      </c>
      <c r="AS298">
        <f t="shared" si="141"/>
        <v>0</v>
      </c>
      <c r="AT298">
        <f t="shared" si="142"/>
        <v>0</v>
      </c>
      <c r="AU298">
        <f t="shared" si="143"/>
        <v>0</v>
      </c>
      <c r="AV298">
        <f t="shared" si="144"/>
        <v>0</v>
      </c>
      <c r="AW298">
        <f t="shared" si="145"/>
        <v>0</v>
      </c>
      <c r="AX298">
        <f t="shared" si="146"/>
        <v>0</v>
      </c>
      <c r="AY298">
        <f t="shared" si="147"/>
        <v>0</v>
      </c>
      <c r="CS298"/>
      <c r="CT298"/>
      <c r="CU298"/>
      <c r="CV298"/>
      <c r="CW298"/>
      <c r="CX298"/>
      <c r="CY298"/>
      <c r="CZ298"/>
      <c r="DA298"/>
    </row>
    <row r="299" spans="1:105" ht="15" customHeight="1">
      <c r="A299" s="108"/>
      <c r="B299" s="38"/>
      <c r="C299" s="1109"/>
      <c r="D299" s="954"/>
      <c r="E299" s="956"/>
      <c r="F299" s="1110" t="s">
        <v>4986</v>
      </c>
      <c r="G299" s="1110"/>
      <c r="H299" s="178"/>
      <c r="I299" s="1111" t="s">
        <v>4987</v>
      </c>
      <c r="J299" s="1111"/>
      <c r="K299" s="1111"/>
      <c r="L299" s="1111"/>
      <c r="M299" s="1111"/>
      <c r="N299" s="1111"/>
      <c r="O299" s="1112"/>
      <c r="P299" s="100"/>
      <c r="Q299" s="100"/>
      <c r="R299" s="100"/>
      <c r="S299" s="100"/>
      <c r="T299" s="100"/>
      <c r="U299" s="100"/>
      <c r="V299" s="100"/>
      <c r="W299" s="100"/>
      <c r="X299" s="100"/>
      <c r="Y299" s="100"/>
      <c r="Z299" s="100"/>
      <c r="AA299" s="100"/>
      <c r="AB299" s="100"/>
      <c r="AC299" s="100"/>
      <c r="AD299" s="100"/>
      <c r="AF299"/>
      <c r="AG299">
        <f t="shared" si="148"/>
        <v>0</v>
      </c>
      <c r="AH299">
        <f t="shared" si="149"/>
        <v>0</v>
      </c>
      <c r="AK299">
        <f t="shared" si="133"/>
        <v>0</v>
      </c>
      <c r="AL299">
        <f t="shared" si="134"/>
        <v>0</v>
      </c>
      <c r="AM299">
        <f t="shared" si="135"/>
        <v>0</v>
      </c>
      <c r="AN299">
        <f t="shared" si="136"/>
        <v>0</v>
      </c>
      <c r="AO299">
        <f t="shared" si="137"/>
        <v>0</v>
      </c>
      <c r="AP299">
        <f t="shared" si="138"/>
        <v>0</v>
      </c>
      <c r="AQ299">
        <f t="shared" si="139"/>
        <v>0</v>
      </c>
      <c r="AR299">
        <f t="shared" si="140"/>
        <v>0</v>
      </c>
      <c r="AS299">
        <f t="shared" si="141"/>
        <v>0</v>
      </c>
      <c r="AT299">
        <f t="shared" si="142"/>
        <v>0</v>
      </c>
      <c r="AU299">
        <f t="shared" si="143"/>
        <v>0</v>
      </c>
      <c r="AV299">
        <f t="shared" si="144"/>
        <v>0</v>
      </c>
      <c r="AW299">
        <f t="shared" si="145"/>
        <v>0</v>
      </c>
      <c r="AX299">
        <f t="shared" si="146"/>
        <v>0</v>
      </c>
      <c r="AY299">
        <f t="shared" si="147"/>
        <v>0</v>
      </c>
      <c r="CS299"/>
      <c r="CT299"/>
      <c r="CU299"/>
      <c r="CV299"/>
      <c r="CW299"/>
      <c r="CX299"/>
      <c r="CY299"/>
      <c r="CZ299"/>
      <c r="DA299"/>
    </row>
    <row r="300" spans="1:105" ht="15" customHeight="1">
      <c r="A300" s="108"/>
      <c r="B300" s="38"/>
      <c r="C300" s="1109"/>
      <c r="D300" s="954"/>
      <c r="E300" s="956"/>
      <c r="F300" s="1110" t="s">
        <v>4988</v>
      </c>
      <c r="G300" s="1110"/>
      <c r="H300" s="178"/>
      <c r="I300" s="1111" t="s">
        <v>4989</v>
      </c>
      <c r="J300" s="1111"/>
      <c r="K300" s="1111"/>
      <c r="L300" s="1111"/>
      <c r="M300" s="1111"/>
      <c r="N300" s="1111"/>
      <c r="O300" s="1112"/>
      <c r="P300" s="100"/>
      <c r="Q300" s="100"/>
      <c r="R300" s="100"/>
      <c r="S300" s="100"/>
      <c r="T300" s="100"/>
      <c r="U300" s="100"/>
      <c r="V300" s="100"/>
      <c r="W300" s="100"/>
      <c r="X300" s="100"/>
      <c r="Y300" s="100"/>
      <c r="Z300" s="100"/>
      <c r="AA300" s="100"/>
      <c r="AB300" s="100"/>
      <c r="AC300" s="100"/>
      <c r="AD300" s="100"/>
      <c r="AF300"/>
      <c r="AG300">
        <f t="shared" si="148"/>
        <v>0</v>
      </c>
      <c r="AH300">
        <f t="shared" si="149"/>
        <v>0</v>
      </c>
      <c r="AK300">
        <f t="shared" si="133"/>
        <v>0</v>
      </c>
      <c r="AL300">
        <f t="shared" si="134"/>
        <v>0</v>
      </c>
      <c r="AM300">
        <f t="shared" si="135"/>
        <v>0</v>
      </c>
      <c r="AN300">
        <f t="shared" si="136"/>
        <v>0</v>
      </c>
      <c r="AO300">
        <f t="shared" si="137"/>
        <v>0</v>
      </c>
      <c r="AP300">
        <f t="shared" si="138"/>
        <v>0</v>
      </c>
      <c r="AQ300">
        <f t="shared" si="139"/>
        <v>0</v>
      </c>
      <c r="AR300">
        <f t="shared" si="140"/>
        <v>0</v>
      </c>
      <c r="AS300">
        <f t="shared" si="141"/>
        <v>0</v>
      </c>
      <c r="AT300">
        <f t="shared" si="142"/>
        <v>0</v>
      </c>
      <c r="AU300">
        <f t="shared" si="143"/>
        <v>0</v>
      </c>
      <c r="AV300">
        <f t="shared" si="144"/>
        <v>0</v>
      </c>
      <c r="AW300">
        <f t="shared" si="145"/>
        <v>0</v>
      </c>
      <c r="AX300">
        <f t="shared" si="146"/>
        <v>0</v>
      </c>
      <c r="AY300">
        <f t="shared" si="147"/>
        <v>0</v>
      </c>
      <c r="CS300"/>
      <c r="CT300"/>
      <c r="CU300"/>
      <c r="CV300"/>
      <c r="CW300"/>
      <c r="CX300"/>
      <c r="CY300"/>
      <c r="CZ300"/>
      <c r="DA300"/>
    </row>
    <row r="301" spans="1:105" ht="15" customHeight="1">
      <c r="A301" s="108"/>
      <c r="B301" s="38"/>
      <c r="C301" s="1109"/>
      <c r="D301" s="954"/>
      <c r="E301" s="956"/>
      <c r="F301" s="1110" t="s">
        <v>4990</v>
      </c>
      <c r="G301" s="1110"/>
      <c r="H301" s="178"/>
      <c r="I301" s="1111" t="s">
        <v>4991</v>
      </c>
      <c r="J301" s="1111"/>
      <c r="K301" s="1111"/>
      <c r="L301" s="1111"/>
      <c r="M301" s="1111"/>
      <c r="N301" s="1111"/>
      <c r="O301" s="1112"/>
      <c r="P301" s="100"/>
      <c r="Q301" s="100"/>
      <c r="R301" s="100"/>
      <c r="S301" s="100"/>
      <c r="T301" s="100"/>
      <c r="U301" s="100"/>
      <c r="V301" s="100"/>
      <c r="W301" s="100"/>
      <c r="X301" s="100"/>
      <c r="Y301" s="100"/>
      <c r="Z301" s="100"/>
      <c r="AA301" s="100"/>
      <c r="AB301" s="100"/>
      <c r="AC301" s="100"/>
      <c r="AD301" s="100"/>
      <c r="AF301"/>
      <c r="AG301">
        <f t="shared" si="148"/>
        <v>0</v>
      </c>
      <c r="AH301">
        <f t="shared" si="149"/>
        <v>0</v>
      </c>
      <c r="AK301">
        <f t="shared" si="133"/>
        <v>0</v>
      </c>
      <c r="AL301">
        <f t="shared" si="134"/>
        <v>0</v>
      </c>
      <c r="AM301">
        <f t="shared" si="135"/>
        <v>0</v>
      </c>
      <c r="AN301">
        <f t="shared" si="136"/>
        <v>0</v>
      </c>
      <c r="AO301">
        <f t="shared" si="137"/>
        <v>0</v>
      </c>
      <c r="AP301">
        <f t="shared" si="138"/>
        <v>0</v>
      </c>
      <c r="AQ301">
        <f t="shared" si="139"/>
        <v>0</v>
      </c>
      <c r="AR301">
        <f t="shared" si="140"/>
        <v>0</v>
      </c>
      <c r="AS301">
        <f t="shared" si="141"/>
        <v>0</v>
      </c>
      <c r="AT301">
        <f t="shared" si="142"/>
        <v>0</v>
      </c>
      <c r="AU301">
        <f t="shared" si="143"/>
        <v>0</v>
      </c>
      <c r="AV301">
        <f t="shared" si="144"/>
        <v>0</v>
      </c>
      <c r="AW301">
        <f t="shared" si="145"/>
        <v>0</v>
      </c>
      <c r="AX301">
        <f t="shared" si="146"/>
        <v>0</v>
      </c>
      <c r="AY301">
        <f t="shared" si="147"/>
        <v>0</v>
      </c>
      <c r="CS301"/>
      <c r="CT301"/>
      <c r="CU301"/>
      <c r="CV301"/>
      <c r="CW301"/>
      <c r="CX301"/>
      <c r="CY301"/>
      <c r="CZ301"/>
      <c r="DA301"/>
    </row>
    <row r="302" spans="1:105" ht="24" customHeight="1">
      <c r="A302" s="108"/>
      <c r="B302" s="38"/>
      <c r="C302" s="1109"/>
      <c r="D302" s="954"/>
      <c r="E302" s="956"/>
      <c r="F302" s="1110" t="s">
        <v>4992</v>
      </c>
      <c r="G302" s="1110"/>
      <c r="H302" s="178"/>
      <c r="I302" s="1111" t="s">
        <v>4993</v>
      </c>
      <c r="J302" s="1111"/>
      <c r="K302" s="1111"/>
      <c r="L302" s="1111"/>
      <c r="M302" s="1111"/>
      <c r="N302" s="1111"/>
      <c r="O302" s="1112"/>
      <c r="P302" s="100"/>
      <c r="Q302" s="100"/>
      <c r="R302" s="100"/>
      <c r="S302" s="100"/>
      <c r="T302" s="100"/>
      <c r="U302" s="100"/>
      <c r="V302" s="100"/>
      <c r="W302" s="100"/>
      <c r="X302" s="100"/>
      <c r="Y302" s="100"/>
      <c r="Z302" s="100"/>
      <c r="AA302" s="100"/>
      <c r="AB302" s="100"/>
      <c r="AC302" s="100"/>
      <c r="AD302" s="100"/>
      <c r="AF302"/>
      <c r="AG302">
        <f t="shared" si="148"/>
        <v>0</v>
      </c>
      <c r="AH302">
        <f t="shared" si="149"/>
        <v>0</v>
      </c>
      <c r="AK302">
        <f t="shared" si="133"/>
        <v>0</v>
      </c>
      <c r="AL302">
        <f t="shared" si="134"/>
        <v>0</v>
      </c>
      <c r="AM302">
        <f t="shared" si="135"/>
        <v>0</v>
      </c>
      <c r="AN302">
        <f t="shared" si="136"/>
        <v>0</v>
      </c>
      <c r="AO302">
        <f t="shared" si="137"/>
        <v>0</v>
      </c>
      <c r="AP302">
        <f t="shared" si="138"/>
        <v>0</v>
      </c>
      <c r="AQ302">
        <f t="shared" si="139"/>
        <v>0</v>
      </c>
      <c r="AR302">
        <f t="shared" si="140"/>
        <v>0</v>
      </c>
      <c r="AS302">
        <f t="shared" si="141"/>
        <v>0</v>
      </c>
      <c r="AT302">
        <f t="shared" si="142"/>
        <v>0</v>
      </c>
      <c r="AU302">
        <f t="shared" si="143"/>
        <v>0</v>
      </c>
      <c r="AV302">
        <f t="shared" si="144"/>
        <v>0</v>
      </c>
      <c r="AW302">
        <f t="shared" si="145"/>
        <v>0</v>
      </c>
      <c r="AX302">
        <f t="shared" si="146"/>
        <v>0</v>
      </c>
      <c r="AY302">
        <f t="shared" si="147"/>
        <v>0</v>
      </c>
      <c r="CS302"/>
      <c r="CT302"/>
      <c r="CU302"/>
      <c r="CV302"/>
      <c r="CW302"/>
      <c r="CX302"/>
      <c r="CY302"/>
      <c r="CZ302"/>
      <c r="DA302"/>
    </row>
    <row r="303" spans="1:105" ht="15" customHeight="1">
      <c r="A303" s="108"/>
      <c r="B303" s="38"/>
      <c r="C303" s="1109"/>
      <c r="D303" s="954"/>
      <c r="E303" s="956"/>
      <c r="F303" s="1110" t="s">
        <v>4994</v>
      </c>
      <c r="G303" s="1110"/>
      <c r="H303" s="178"/>
      <c r="I303" s="1111" t="s">
        <v>2631</v>
      </c>
      <c r="J303" s="1111"/>
      <c r="K303" s="1111"/>
      <c r="L303" s="1111"/>
      <c r="M303" s="1111"/>
      <c r="N303" s="1111"/>
      <c r="O303" s="1112"/>
      <c r="P303" s="100"/>
      <c r="Q303" s="100"/>
      <c r="R303" s="100"/>
      <c r="S303" s="100"/>
      <c r="T303" s="100"/>
      <c r="U303" s="100"/>
      <c r="V303" s="100"/>
      <c r="W303" s="100"/>
      <c r="X303" s="100"/>
      <c r="Y303" s="100"/>
      <c r="Z303" s="100"/>
      <c r="AA303" s="100"/>
      <c r="AB303" s="100"/>
      <c r="AC303" s="100"/>
      <c r="AD303" s="100"/>
      <c r="AF303"/>
      <c r="AG303">
        <f t="shared" si="148"/>
        <v>0</v>
      </c>
      <c r="AH303">
        <f t="shared" si="149"/>
        <v>0</v>
      </c>
      <c r="AK303">
        <f t="shared" si="133"/>
        <v>0</v>
      </c>
      <c r="AL303">
        <f t="shared" si="134"/>
        <v>0</v>
      </c>
      <c r="AM303">
        <f t="shared" si="135"/>
        <v>0</v>
      </c>
      <c r="AN303">
        <f t="shared" si="136"/>
        <v>0</v>
      </c>
      <c r="AO303">
        <f t="shared" si="137"/>
        <v>0</v>
      </c>
      <c r="AP303">
        <f t="shared" si="138"/>
        <v>0</v>
      </c>
      <c r="AQ303">
        <f t="shared" si="139"/>
        <v>0</v>
      </c>
      <c r="AR303">
        <f t="shared" si="140"/>
        <v>0</v>
      </c>
      <c r="AS303">
        <f t="shared" si="141"/>
        <v>0</v>
      </c>
      <c r="AT303">
        <f t="shared" si="142"/>
        <v>0</v>
      </c>
      <c r="AU303">
        <f t="shared" si="143"/>
        <v>0</v>
      </c>
      <c r="AV303">
        <f t="shared" si="144"/>
        <v>0</v>
      </c>
      <c r="AW303">
        <f t="shared" si="145"/>
        <v>0</v>
      </c>
      <c r="AX303">
        <f t="shared" si="146"/>
        <v>0</v>
      </c>
      <c r="AY303">
        <f t="shared" si="147"/>
        <v>0</v>
      </c>
      <c r="CS303"/>
      <c r="CT303"/>
      <c r="CU303"/>
      <c r="CV303"/>
      <c r="CW303"/>
      <c r="CX303"/>
      <c r="CY303"/>
      <c r="CZ303"/>
      <c r="DA303"/>
    </row>
    <row r="304" spans="1:105" ht="15" customHeight="1">
      <c r="A304" s="108"/>
      <c r="B304" s="38"/>
      <c r="C304" s="1109"/>
      <c r="D304" s="954"/>
      <c r="E304" s="956"/>
      <c r="F304" s="1117" t="s">
        <v>4995</v>
      </c>
      <c r="G304" s="1118"/>
      <c r="H304" s="1104" t="s">
        <v>4996</v>
      </c>
      <c r="I304" s="1105"/>
      <c r="J304" s="1105"/>
      <c r="K304" s="1105"/>
      <c r="L304" s="1105"/>
      <c r="M304" s="1105"/>
      <c r="N304" s="1105"/>
      <c r="O304" s="1106"/>
      <c r="P304" s="100"/>
      <c r="Q304" s="100"/>
      <c r="R304" s="100"/>
      <c r="S304" s="100"/>
      <c r="T304" s="100"/>
      <c r="U304" s="100"/>
      <c r="V304" s="100"/>
      <c r="W304" s="100"/>
      <c r="X304" s="100"/>
      <c r="Y304" s="100"/>
      <c r="Z304" s="100"/>
      <c r="AA304" s="100"/>
      <c r="AB304" s="100"/>
      <c r="AC304" s="100"/>
      <c r="AD304" s="100"/>
      <c r="AF304"/>
      <c r="AG304">
        <f t="shared" si="148"/>
        <v>0</v>
      </c>
      <c r="AH304">
        <f t="shared" si="149"/>
        <v>0</v>
      </c>
      <c r="AK304">
        <f t="shared" si="133"/>
        <v>0</v>
      </c>
      <c r="AL304">
        <f t="shared" si="134"/>
        <v>0</v>
      </c>
      <c r="AM304">
        <f t="shared" si="135"/>
        <v>0</v>
      </c>
      <c r="AN304">
        <f t="shared" si="136"/>
        <v>0</v>
      </c>
      <c r="AO304">
        <f t="shared" si="137"/>
        <v>0</v>
      </c>
      <c r="AP304">
        <f t="shared" si="138"/>
        <v>0</v>
      </c>
      <c r="AQ304">
        <f t="shared" si="139"/>
        <v>0</v>
      </c>
      <c r="AR304">
        <f t="shared" si="140"/>
        <v>0</v>
      </c>
      <c r="AS304">
        <f t="shared" si="141"/>
        <v>0</v>
      </c>
      <c r="AT304">
        <f t="shared" si="142"/>
        <v>0</v>
      </c>
      <c r="AU304">
        <f t="shared" si="143"/>
        <v>0</v>
      </c>
      <c r="AV304">
        <f t="shared" si="144"/>
        <v>0</v>
      </c>
      <c r="AW304">
        <f t="shared" si="145"/>
        <v>0</v>
      </c>
      <c r="AX304">
        <f t="shared" si="146"/>
        <v>0</v>
      </c>
      <c r="AY304">
        <f t="shared" si="147"/>
        <v>0</v>
      </c>
      <c r="CS304"/>
      <c r="CT304"/>
      <c r="CU304"/>
      <c r="CV304"/>
      <c r="CW304"/>
      <c r="CX304"/>
      <c r="CY304"/>
      <c r="CZ304"/>
      <c r="DA304"/>
    </row>
    <row r="305" spans="1:105" ht="24" customHeight="1">
      <c r="A305" s="108"/>
      <c r="B305" s="38"/>
      <c r="C305" s="1109"/>
      <c r="D305" s="954"/>
      <c r="E305" s="956"/>
      <c r="F305" s="1103" t="s">
        <v>4997</v>
      </c>
      <c r="G305" s="1103"/>
      <c r="H305" s="1104" t="s">
        <v>4998</v>
      </c>
      <c r="I305" s="1105"/>
      <c r="J305" s="1105"/>
      <c r="K305" s="1105"/>
      <c r="L305" s="1105"/>
      <c r="M305" s="1105"/>
      <c r="N305" s="1105"/>
      <c r="O305" s="1106"/>
      <c r="P305" s="100"/>
      <c r="Q305" s="100"/>
      <c r="R305" s="100"/>
      <c r="S305" s="100"/>
      <c r="T305" s="100"/>
      <c r="U305" s="100"/>
      <c r="V305" s="100"/>
      <c r="W305" s="100"/>
      <c r="X305" s="100"/>
      <c r="Y305" s="100"/>
      <c r="Z305" s="100"/>
      <c r="AA305" s="100"/>
      <c r="AB305" s="100"/>
      <c r="AC305" s="100"/>
      <c r="AD305" s="100"/>
      <c r="AF305"/>
      <c r="AG305">
        <f t="shared" si="148"/>
        <v>0</v>
      </c>
      <c r="AH305">
        <f t="shared" si="149"/>
        <v>0</v>
      </c>
      <c r="AK305">
        <f t="shared" si="133"/>
        <v>0</v>
      </c>
      <c r="AL305">
        <f t="shared" si="134"/>
        <v>0</v>
      </c>
      <c r="AM305">
        <f t="shared" si="135"/>
        <v>0</v>
      </c>
      <c r="AN305">
        <f t="shared" si="136"/>
        <v>0</v>
      </c>
      <c r="AO305">
        <f t="shared" si="137"/>
        <v>0</v>
      </c>
      <c r="AP305">
        <f t="shared" si="138"/>
        <v>0</v>
      </c>
      <c r="AQ305">
        <f t="shared" si="139"/>
        <v>0</v>
      </c>
      <c r="AR305">
        <f t="shared" si="140"/>
        <v>0</v>
      </c>
      <c r="AS305">
        <f t="shared" si="141"/>
        <v>0</v>
      </c>
      <c r="AT305">
        <f t="shared" si="142"/>
        <v>0</v>
      </c>
      <c r="AU305">
        <f t="shared" si="143"/>
        <v>0</v>
      </c>
      <c r="AV305">
        <f t="shared" si="144"/>
        <v>0</v>
      </c>
      <c r="AW305">
        <f t="shared" si="145"/>
        <v>0</v>
      </c>
      <c r="AX305">
        <f t="shared" si="146"/>
        <v>0</v>
      </c>
      <c r="AY305">
        <f t="shared" si="147"/>
        <v>0</v>
      </c>
      <c r="CS305"/>
      <c r="CT305"/>
      <c r="CU305"/>
      <c r="CV305"/>
      <c r="CW305"/>
      <c r="CX305"/>
      <c r="CY305"/>
      <c r="CZ305"/>
      <c r="DA305"/>
    </row>
    <row r="306" spans="1:105" ht="15" customHeight="1">
      <c r="A306" s="108"/>
      <c r="B306" s="38"/>
      <c r="C306" s="1109"/>
      <c r="D306" s="954"/>
      <c r="E306" s="956"/>
      <c r="F306" s="1103" t="s">
        <v>4999</v>
      </c>
      <c r="G306" s="1103"/>
      <c r="H306" s="1104" t="s">
        <v>5000</v>
      </c>
      <c r="I306" s="1105"/>
      <c r="J306" s="1105"/>
      <c r="K306" s="1105"/>
      <c r="L306" s="1105"/>
      <c r="M306" s="1105"/>
      <c r="N306" s="1105"/>
      <c r="O306" s="1106"/>
      <c r="P306" s="100"/>
      <c r="Q306" s="100"/>
      <c r="R306" s="100"/>
      <c r="S306" s="100"/>
      <c r="T306" s="100"/>
      <c r="U306" s="100"/>
      <c r="V306" s="100"/>
      <c r="W306" s="100"/>
      <c r="X306" s="100"/>
      <c r="Y306" s="100"/>
      <c r="Z306" s="100"/>
      <c r="AA306" s="100"/>
      <c r="AB306" s="100"/>
      <c r="AC306" s="100"/>
      <c r="AD306" s="100"/>
      <c r="AF306"/>
      <c r="AG306">
        <f t="shared" si="148"/>
        <v>0</v>
      </c>
      <c r="AH306">
        <f t="shared" si="149"/>
        <v>0</v>
      </c>
      <c r="AK306">
        <f t="shared" si="133"/>
        <v>0</v>
      </c>
      <c r="AL306">
        <f t="shared" si="134"/>
        <v>0</v>
      </c>
      <c r="AM306">
        <f t="shared" si="135"/>
        <v>0</v>
      </c>
      <c r="AN306">
        <f t="shared" si="136"/>
        <v>0</v>
      </c>
      <c r="AO306">
        <f t="shared" si="137"/>
        <v>0</v>
      </c>
      <c r="AP306">
        <f t="shared" si="138"/>
        <v>0</v>
      </c>
      <c r="AQ306">
        <f t="shared" si="139"/>
        <v>0</v>
      </c>
      <c r="AR306">
        <f t="shared" si="140"/>
        <v>0</v>
      </c>
      <c r="AS306">
        <f t="shared" si="141"/>
        <v>0</v>
      </c>
      <c r="AT306">
        <f t="shared" si="142"/>
        <v>0</v>
      </c>
      <c r="AU306">
        <f t="shared" si="143"/>
        <v>0</v>
      </c>
      <c r="AV306">
        <f t="shared" si="144"/>
        <v>0</v>
      </c>
      <c r="AW306">
        <f t="shared" si="145"/>
        <v>0</v>
      </c>
      <c r="AX306">
        <f t="shared" si="146"/>
        <v>0</v>
      </c>
      <c r="AY306">
        <f t="shared" si="147"/>
        <v>0</v>
      </c>
      <c r="CS306"/>
      <c r="CT306"/>
      <c r="CU306"/>
      <c r="CV306"/>
      <c r="CW306"/>
      <c r="CX306"/>
      <c r="CY306"/>
      <c r="CZ306"/>
      <c r="DA306"/>
    </row>
    <row r="307" spans="1:105" ht="24" customHeight="1">
      <c r="A307" s="108"/>
      <c r="B307" s="38"/>
      <c r="C307" s="1109"/>
      <c r="D307" s="954"/>
      <c r="E307" s="956"/>
      <c r="F307" s="1103" t="s">
        <v>5001</v>
      </c>
      <c r="G307" s="1103"/>
      <c r="H307" s="1104" t="s">
        <v>5002</v>
      </c>
      <c r="I307" s="1105"/>
      <c r="J307" s="1105"/>
      <c r="K307" s="1105"/>
      <c r="L307" s="1105"/>
      <c r="M307" s="1105"/>
      <c r="N307" s="1105"/>
      <c r="O307" s="1106"/>
      <c r="P307" s="100"/>
      <c r="Q307" s="100"/>
      <c r="R307" s="100"/>
      <c r="S307" s="100"/>
      <c r="T307" s="100"/>
      <c r="U307" s="100"/>
      <c r="V307" s="100"/>
      <c r="W307" s="100"/>
      <c r="X307" s="100"/>
      <c r="Y307" s="100"/>
      <c r="Z307" s="100"/>
      <c r="AA307" s="100"/>
      <c r="AB307" s="100"/>
      <c r="AC307" s="100"/>
      <c r="AD307" s="100"/>
      <c r="AF307">
        <f>IF(P307="NA",IF(AND(COUNTIF(P308:P313,"="&amp;$AF$212)=0,COUNTIF(P308:P313,"&lt;&gt;NA")&gt;0),1,0),IF(AND(COUNTIF(P308:P313,"="&amp;$AF$212)=0,COUNTIF(P308:P313,"NA")=COUNTIF(P308:P313,"&lt;&gt;"&amp;$AF$212)),1,0))</f>
        <v>0</v>
      </c>
      <c r="AG307">
        <f t="shared" si="148"/>
        <v>0</v>
      </c>
      <c r="AH307">
        <f t="shared" si="149"/>
        <v>0</v>
      </c>
      <c r="AK307">
        <f t="shared" si="133"/>
        <v>0</v>
      </c>
      <c r="AL307">
        <f t="shared" si="134"/>
        <v>0</v>
      </c>
      <c r="AM307">
        <f t="shared" si="135"/>
        <v>0</v>
      </c>
      <c r="AN307">
        <f t="shared" si="136"/>
        <v>0</v>
      </c>
      <c r="AO307">
        <f t="shared" si="137"/>
        <v>0</v>
      </c>
      <c r="AP307">
        <f t="shared" si="138"/>
        <v>0</v>
      </c>
      <c r="AQ307">
        <f t="shared" si="139"/>
        <v>0</v>
      </c>
      <c r="AR307">
        <f t="shared" si="140"/>
        <v>0</v>
      </c>
      <c r="AS307">
        <f t="shared" si="141"/>
        <v>0</v>
      </c>
      <c r="AT307">
        <f t="shared" si="142"/>
        <v>0</v>
      </c>
      <c r="AU307">
        <f t="shared" si="143"/>
        <v>0</v>
      </c>
      <c r="AV307">
        <f t="shared" si="144"/>
        <v>0</v>
      </c>
      <c r="AW307">
        <f t="shared" si="145"/>
        <v>0</v>
      </c>
      <c r="AX307">
        <f t="shared" si="146"/>
        <v>0</v>
      </c>
      <c r="AY307">
        <f t="shared" si="147"/>
        <v>0</v>
      </c>
      <c r="CS307"/>
      <c r="CT307"/>
      <c r="CU307"/>
      <c r="CV307"/>
      <c r="CW307"/>
      <c r="CX307"/>
      <c r="CY307"/>
      <c r="CZ307"/>
      <c r="DA307"/>
    </row>
    <row r="308" spans="1:105" ht="15" customHeight="1">
      <c r="A308" s="108"/>
      <c r="B308" s="38"/>
      <c r="C308" s="1109"/>
      <c r="D308" s="954"/>
      <c r="E308" s="956"/>
      <c r="F308" s="1110" t="s">
        <v>5003</v>
      </c>
      <c r="G308" s="1110"/>
      <c r="H308" s="178"/>
      <c r="I308" s="1111" t="s">
        <v>5004</v>
      </c>
      <c r="J308" s="1111"/>
      <c r="K308" s="1111"/>
      <c r="L308" s="1111"/>
      <c r="M308" s="1111"/>
      <c r="N308" s="1111"/>
      <c r="O308" s="1112"/>
      <c r="P308" s="100"/>
      <c r="Q308" s="100"/>
      <c r="R308" s="100"/>
      <c r="S308" s="100"/>
      <c r="T308" s="100"/>
      <c r="U308" s="100"/>
      <c r="V308" s="100"/>
      <c r="W308" s="100"/>
      <c r="X308" s="100"/>
      <c r="Y308" s="100"/>
      <c r="Z308" s="100"/>
      <c r="AA308" s="100"/>
      <c r="AB308" s="100"/>
      <c r="AC308" s="100"/>
      <c r="AD308" s="100"/>
      <c r="AF308"/>
      <c r="AG308">
        <f t="shared" si="148"/>
        <v>0</v>
      </c>
      <c r="AH308">
        <f t="shared" si="149"/>
        <v>0</v>
      </c>
      <c r="AK308">
        <f t="shared" si="133"/>
        <v>0</v>
      </c>
      <c r="AL308">
        <f t="shared" si="134"/>
        <v>0</v>
      </c>
      <c r="AM308">
        <f t="shared" si="135"/>
        <v>0</v>
      </c>
      <c r="AN308">
        <f t="shared" si="136"/>
        <v>0</v>
      </c>
      <c r="AO308">
        <f t="shared" si="137"/>
        <v>0</v>
      </c>
      <c r="AP308">
        <f t="shared" si="138"/>
        <v>0</v>
      </c>
      <c r="AQ308">
        <f t="shared" si="139"/>
        <v>0</v>
      </c>
      <c r="AR308">
        <f t="shared" si="140"/>
        <v>0</v>
      </c>
      <c r="AS308">
        <f t="shared" si="141"/>
        <v>0</v>
      </c>
      <c r="AT308">
        <f t="shared" si="142"/>
        <v>0</v>
      </c>
      <c r="AU308">
        <f t="shared" si="143"/>
        <v>0</v>
      </c>
      <c r="AV308">
        <f t="shared" si="144"/>
        <v>0</v>
      </c>
      <c r="AW308">
        <f t="shared" si="145"/>
        <v>0</v>
      </c>
      <c r="AX308">
        <f t="shared" si="146"/>
        <v>0</v>
      </c>
      <c r="AY308">
        <f t="shared" si="147"/>
        <v>0</v>
      </c>
      <c r="CS308"/>
      <c r="CT308"/>
      <c r="CU308"/>
      <c r="CV308"/>
      <c r="CW308"/>
      <c r="CX308"/>
      <c r="CY308"/>
      <c r="CZ308"/>
      <c r="DA308"/>
    </row>
    <row r="309" spans="1:105" ht="24" customHeight="1">
      <c r="A309" s="108"/>
      <c r="B309" s="38"/>
      <c r="C309" s="1109"/>
      <c r="D309" s="954"/>
      <c r="E309" s="956"/>
      <c r="F309" s="1110" t="s">
        <v>5005</v>
      </c>
      <c r="G309" s="1110"/>
      <c r="H309" s="178"/>
      <c r="I309" s="1111" t="s">
        <v>5006</v>
      </c>
      <c r="J309" s="1111"/>
      <c r="K309" s="1111"/>
      <c r="L309" s="1111"/>
      <c r="M309" s="1111"/>
      <c r="N309" s="1111"/>
      <c r="O309" s="1112"/>
      <c r="P309" s="100"/>
      <c r="Q309" s="100"/>
      <c r="R309" s="100"/>
      <c r="S309" s="100"/>
      <c r="T309" s="100"/>
      <c r="U309" s="100"/>
      <c r="V309" s="100"/>
      <c r="W309" s="100"/>
      <c r="X309" s="100"/>
      <c r="Y309" s="100"/>
      <c r="Z309" s="100"/>
      <c r="AA309" s="100"/>
      <c r="AB309" s="100"/>
      <c r="AC309" s="100"/>
      <c r="AD309" s="100"/>
      <c r="AF309"/>
      <c r="AG309">
        <f t="shared" si="148"/>
        <v>0</v>
      </c>
      <c r="AH309">
        <f t="shared" si="149"/>
        <v>0</v>
      </c>
      <c r="AK309">
        <f t="shared" si="133"/>
        <v>0</v>
      </c>
      <c r="AL309">
        <f t="shared" si="134"/>
        <v>0</v>
      </c>
      <c r="AM309">
        <f t="shared" si="135"/>
        <v>0</v>
      </c>
      <c r="AN309">
        <f t="shared" si="136"/>
        <v>0</v>
      </c>
      <c r="AO309">
        <f t="shared" si="137"/>
        <v>0</v>
      </c>
      <c r="AP309">
        <f t="shared" si="138"/>
        <v>0</v>
      </c>
      <c r="AQ309">
        <f t="shared" si="139"/>
        <v>0</v>
      </c>
      <c r="AR309">
        <f t="shared" si="140"/>
        <v>0</v>
      </c>
      <c r="AS309">
        <f t="shared" si="141"/>
        <v>0</v>
      </c>
      <c r="AT309">
        <f t="shared" si="142"/>
        <v>0</v>
      </c>
      <c r="AU309">
        <f t="shared" si="143"/>
        <v>0</v>
      </c>
      <c r="AV309">
        <f t="shared" si="144"/>
        <v>0</v>
      </c>
      <c r="AW309">
        <f t="shared" si="145"/>
        <v>0</v>
      </c>
      <c r="AX309">
        <f t="shared" si="146"/>
        <v>0</v>
      </c>
      <c r="AY309">
        <f t="shared" si="147"/>
        <v>0</v>
      </c>
      <c r="CS309"/>
      <c r="CT309"/>
      <c r="CU309"/>
      <c r="CV309"/>
      <c r="CW309"/>
      <c r="CX309"/>
      <c r="CY309"/>
      <c r="CZ309"/>
      <c r="DA309"/>
    </row>
    <row r="310" spans="1:105" ht="15" customHeight="1">
      <c r="A310" s="108"/>
      <c r="B310" s="38"/>
      <c r="C310" s="1109"/>
      <c r="D310" s="954"/>
      <c r="E310" s="956"/>
      <c r="F310" s="1110" t="s">
        <v>5007</v>
      </c>
      <c r="G310" s="1110"/>
      <c r="H310" s="178"/>
      <c r="I310" s="1111" t="s">
        <v>5008</v>
      </c>
      <c r="J310" s="1111"/>
      <c r="K310" s="1111"/>
      <c r="L310" s="1111"/>
      <c r="M310" s="1111"/>
      <c r="N310" s="1111"/>
      <c r="O310" s="1112"/>
      <c r="P310" s="100"/>
      <c r="Q310" s="100"/>
      <c r="R310" s="100"/>
      <c r="S310" s="100"/>
      <c r="T310" s="100"/>
      <c r="U310" s="100"/>
      <c r="V310" s="100"/>
      <c r="W310" s="100"/>
      <c r="X310" s="100"/>
      <c r="Y310" s="100"/>
      <c r="Z310" s="100"/>
      <c r="AA310" s="100"/>
      <c r="AB310" s="100"/>
      <c r="AC310" s="100"/>
      <c r="AD310" s="100"/>
      <c r="AF310"/>
      <c r="AG310">
        <f t="shared" si="148"/>
        <v>0</v>
      </c>
      <c r="AH310">
        <f t="shared" si="149"/>
        <v>0</v>
      </c>
      <c r="AK310">
        <f t="shared" si="133"/>
        <v>0</v>
      </c>
      <c r="AL310">
        <f t="shared" si="134"/>
        <v>0</v>
      </c>
      <c r="AM310">
        <f t="shared" si="135"/>
        <v>0</v>
      </c>
      <c r="AN310">
        <f t="shared" si="136"/>
        <v>0</v>
      </c>
      <c r="AO310">
        <f t="shared" si="137"/>
        <v>0</v>
      </c>
      <c r="AP310">
        <f t="shared" si="138"/>
        <v>0</v>
      </c>
      <c r="AQ310">
        <f t="shared" si="139"/>
        <v>0</v>
      </c>
      <c r="AR310">
        <f t="shared" si="140"/>
        <v>0</v>
      </c>
      <c r="AS310">
        <f t="shared" si="141"/>
        <v>0</v>
      </c>
      <c r="AT310">
        <f t="shared" si="142"/>
        <v>0</v>
      </c>
      <c r="AU310">
        <f t="shared" si="143"/>
        <v>0</v>
      </c>
      <c r="AV310">
        <f t="shared" si="144"/>
        <v>0</v>
      </c>
      <c r="AW310">
        <f t="shared" si="145"/>
        <v>0</v>
      </c>
      <c r="AX310">
        <f t="shared" si="146"/>
        <v>0</v>
      </c>
      <c r="AY310">
        <f t="shared" si="147"/>
        <v>0</v>
      </c>
      <c r="CS310"/>
      <c r="CT310"/>
      <c r="CU310"/>
      <c r="CV310"/>
      <c r="CW310"/>
      <c r="CX310"/>
      <c r="CY310"/>
      <c r="CZ310"/>
      <c r="DA310"/>
    </row>
    <row r="311" spans="1:105" ht="24" customHeight="1">
      <c r="A311" s="108"/>
      <c r="B311" s="38"/>
      <c r="C311" s="1109"/>
      <c r="D311" s="954"/>
      <c r="E311" s="956"/>
      <c r="F311" s="1110" t="s">
        <v>5009</v>
      </c>
      <c r="G311" s="1110"/>
      <c r="H311" s="178"/>
      <c r="I311" s="1111" t="s">
        <v>5010</v>
      </c>
      <c r="J311" s="1111"/>
      <c r="K311" s="1111"/>
      <c r="L311" s="1111"/>
      <c r="M311" s="1111"/>
      <c r="N311" s="1111"/>
      <c r="O311" s="1112"/>
      <c r="P311" s="100"/>
      <c r="Q311" s="100"/>
      <c r="R311" s="100"/>
      <c r="S311" s="100"/>
      <c r="T311" s="100"/>
      <c r="U311" s="100"/>
      <c r="V311" s="100"/>
      <c r="W311" s="100"/>
      <c r="X311" s="100"/>
      <c r="Y311" s="100"/>
      <c r="Z311" s="100"/>
      <c r="AA311" s="100"/>
      <c r="AB311" s="100"/>
      <c r="AC311" s="100"/>
      <c r="AD311" s="100"/>
      <c r="AF311"/>
      <c r="AG311">
        <f t="shared" si="148"/>
        <v>0</v>
      </c>
      <c r="AH311">
        <f t="shared" si="149"/>
        <v>0</v>
      </c>
      <c r="AK311">
        <f t="shared" si="133"/>
        <v>0</v>
      </c>
      <c r="AL311">
        <f t="shared" si="134"/>
        <v>0</v>
      </c>
      <c r="AM311">
        <f t="shared" si="135"/>
        <v>0</v>
      </c>
      <c r="AN311">
        <f t="shared" si="136"/>
        <v>0</v>
      </c>
      <c r="AO311">
        <f t="shared" si="137"/>
        <v>0</v>
      </c>
      <c r="AP311">
        <f t="shared" si="138"/>
        <v>0</v>
      </c>
      <c r="AQ311">
        <f t="shared" si="139"/>
        <v>0</v>
      </c>
      <c r="AR311">
        <f t="shared" si="140"/>
        <v>0</v>
      </c>
      <c r="AS311">
        <f t="shared" si="141"/>
        <v>0</v>
      </c>
      <c r="AT311">
        <f t="shared" si="142"/>
        <v>0</v>
      </c>
      <c r="AU311">
        <f t="shared" si="143"/>
        <v>0</v>
      </c>
      <c r="AV311">
        <f t="shared" si="144"/>
        <v>0</v>
      </c>
      <c r="AW311">
        <f t="shared" si="145"/>
        <v>0</v>
      </c>
      <c r="AX311">
        <f t="shared" si="146"/>
        <v>0</v>
      </c>
      <c r="AY311">
        <f t="shared" si="147"/>
        <v>0</v>
      </c>
      <c r="CS311"/>
      <c r="CT311"/>
      <c r="CU311"/>
      <c r="CV311"/>
      <c r="CW311"/>
      <c r="CX311"/>
      <c r="CY311"/>
      <c r="CZ311"/>
      <c r="DA311"/>
    </row>
    <row r="312" spans="1:105" ht="36" customHeight="1">
      <c r="A312" s="108"/>
      <c r="B312" s="38"/>
      <c r="C312" s="1109"/>
      <c r="D312" s="954"/>
      <c r="E312" s="956"/>
      <c r="F312" s="1110" t="s">
        <v>5011</v>
      </c>
      <c r="G312" s="1110"/>
      <c r="H312" s="178"/>
      <c r="I312" s="1111" t="s">
        <v>5012</v>
      </c>
      <c r="J312" s="1111"/>
      <c r="K312" s="1111"/>
      <c r="L312" s="1111"/>
      <c r="M312" s="1111"/>
      <c r="N312" s="1111"/>
      <c r="O312" s="1112"/>
      <c r="P312" s="100"/>
      <c r="Q312" s="100"/>
      <c r="R312" s="100"/>
      <c r="S312" s="100"/>
      <c r="T312" s="100"/>
      <c r="U312" s="100"/>
      <c r="V312" s="100"/>
      <c r="W312" s="100"/>
      <c r="X312" s="100"/>
      <c r="Y312" s="100"/>
      <c r="Z312" s="100"/>
      <c r="AA312" s="100"/>
      <c r="AB312" s="100"/>
      <c r="AC312" s="100"/>
      <c r="AD312" s="100"/>
      <c r="AF312"/>
      <c r="AG312">
        <f t="shared" si="148"/>
        <v>0</v>
      </c>
      <c r="AH312">
        <f t="shared" si="149"/>
        <v>0</v>
      </c>
      <c r="AK312">
        <f t="shared" si="133"/>
        <v>0</v>
      </c>
      <c r="AL312">
        <f t="shared" si="134"/>
        <v>0</v>
      </c>
      <c r="AM312">
        <f t="shared" si="135"/>
        <v>0</v>
      </c>
      <c r="AN312">
        <f t="shared" si="136"/>
        <v>0</v>
      </c>
      <c r="AO312">
        <f t="shared" si="137"/>
        <v>0</v>
      </c>
      <c r="AP312">
        <f t="shared" si="138"/>
        <v>0</v>
      </c>
      <c r="AQ312">
        <f t="shared" si="139"/>
        <v>0</v>
      </c>
      <c r="AR312">
        <f t="shared" si="140"/>
        <v>0</v>
      </c>
      <c r="AS312">
        <f t="shared" si="141"/>
        <v>0</v>
      </c>
      <c r="AT312">
        <f t="shared" si="142"/>
        <v>0</v>
      </c>
      <c r="AU312">
        <f t="shared" si="143"/>
        <v>0</v>
      </c>
      <c r="AV312">
        <f t="shared" si="144"/>
        <v>0</v>
      </c>
      <c r="AW312">
        <f t="shared" si="145"/>
        <v>0</v>
      </c>
      <c r="AX312">
        <f t="shared" si="146"/>
        <v>0</v>
      </c>
      <c r="AY312">
        <f t="shared" si="147"/>
        <v>0</v>
      </c>
      <c r="CS312"/>
      <c r="CT312"/>
      <c r="CU312"/>
      <c r="CV312"/>
      <c r="CW312"/>
      <c r="CX312"/>
      <c r="CY312"/>
      <c r="CZ312"/>
      <c r="DA312"/>
    </row>
    <row r="313" spans="1:105" ht="15" customHeight="1">
      <c r="A313" s="108"/>
      <c r="B313" s="38"/>
      <c r="C313" s="1109"/>
      <c r="D313" s="954"/>
      <c r="E313" s="956"/>
      <c r="F313" s="1110" t="s">
        <v>5013</v>
      </c>
      <c r="G313" s="1110"/>
      <c r="H313" s="178"/>
      <c r="I313" s="1111" t="s">
        <v>2631</v>
      </c>
      <c r="J313" s="1111"/>
      <c r="K313" s="1111"/>
      <c r="L313" s="1111"/>
      <c r="M313" s="1111"/>
      <c r="N313" s="1111"/>
      <c r="O313" s="1112"/>
      <c r="P313" s="100"/>
      <c r="Q313" s="100"/>
      <c r="R313" s="100"/>
      <c r="S313" s="100"/>
      <c r="T313" s="100"/>
      <c r="U313" s="100"/>
      <c r="V313" s="100"/>
      <c r="W313" s="100"/>
      <c r="X313" s="100"/>
      <c r="Y313" s="100"/>
      <c r="Z313" s="100"/>
      <c r="AA313" s="100"/>
      <c r="AB313" s="100"/>
      <c r="AC313" s="100"/>
      <c r="AD313" s="100"/>
      <c r="AF313"/>
      <c r="AG313">
        <f t="shared" si="148"/>
        <v>0</v>
      </c>
      <c r="AH313">
        <f t="shared" si="149"/>
        <v>0</v>
      </c>
      <c r="AK313">
        <f t="shared" si="133"/>
        <v>0</v>
      </c>
      <c r="AL313">
        <f t="shared" si="134"/>
        <v>0</v>
      </c>
      <c r="AM313">
        <f t="shared" si="135"/>
        <v>0</v>
      </c>
      <c r="AN313">
        <f t="shared" si="136"/>
        <v>0</v>
      </c>
      <c r="AO313">
        <f t="shared" si="137"/>
        <v>0</v>
      </c>
      <c r="AP313">
        <f t="shared" si="138"/>
        <v>0</v>
      </c>
      <c r="AQ313">
        <f t="shared" si="139"/>
        <v>0</v>
      </c>
      <c r="AR313">
        <f t="shared" si="140"/>
        <v>0</v>
      </c>
      <c r="AS313">
        <f t="shared" si="141"/>
        <v>0</v>
      </c>
      <c r="AT313">
        <f t="shared" si="142"/>
        <v>0</v>
      </c>
      <c r="AU313">
        <f t="shared" si="143"/>
        <v>0</v>
      </c>
      <c r="AV313">
        <f t="shared" si="144"/>
        <v>0</v>
      </c>
      <c r="AW313">
        <f t="shared" si="145"/>
        <v>0</v>
      </c>
      <c r="AX313">
        <f t="shared" si="146"/>
        <v>0</v>
      </c>
      <c r="AY313">
        <f t="shared" si="147"/>
        <v>0</v>
      </c>
      <c r="CS313"/>
      <c r="CT313"/>
      <c r="CU313"/>
      <c r="CV313"/>
      <c r="CW313"/>
      <c r="CX313"/>
      <c r="CY313"/>
      <c r="CZ313"/>
      <c r="DA313"/>
    </row>
    <row r="314" spans="1:105" ht="15" customHeight="1">
      <c r="A314" s="108"/>
      <c r="B314" s="38"/>
      <c r="C314" s="1109"/>
      <c r="D314" s="954"/>
      <c r="E314" s="956"/>
      <c r="F314" s="1103" t="s">
        <v>5014</v>
      </c>
      <c r="G314" s="1103"/>
      <c r="H314" s="1104" t="s">
        <v>5015</v>
      </c>
      <c r="I314" s="1105"/>
      <c r="J314" s="1105"/>
      <c r="K314" s="1105"/>
      <c r="L314" s="1105"/>
      <c r="M314" s="1105"/>
      <c r="N314" s="1105"/>
      <c r="O314" s="1106"/>
      <c r="P314" s="100"/>
      <c r="Q314" s="100"/>
      <c r="R314" s="100"/>
      <c r="S314" s="100"/>
      <c r="T314" s="100"/>
      <c r="U314" s="100"/>
      <c r="V314" s="100"/>
      <c r="W314" s="100"/>
      <c r="X314" s="100"/>
      <c r="Y314" s="100"/>
      <c r="Z314" s="100"/>
      <c r="AA314" s="100"/>
      <c r="AB314" s="100"/>
      <c r="AC314" s="100"/>
      <c r="AD314" s="100"/>
      <c r="AF314"/>
      <c r="AG314">
        <f t="shared" si="148"/>
        <v>0</v>
      </c>
      <c r="AH314">
        <f t="shared" si="149"/>
        <v>0</v>
      </c>
      <c r="AK314">
        <f t="shared" si="133"/>
        <v>0</v>
      </c>
      <c r="AL314">
        <f t="shared" si="134"/>
        <v>0</v>
      </c>
      <c r="AM314">
        <f t="shared" si="135"/>
        <v>0</v>
      </c>
      <c r="AN314">
        <f t="shared" si="136"/>
        <v>0</v>
      </c>
      <c r="AO314">
        <f t="shared" si="137"/>
        <v>0</v>
      </c>
      <c r="AP314">
        <f t="shared" si="138"/>
        <v>0</v>
      </c>
      <c r="AQ314">
        <f t="shared" si="139"/>
        <v>0</v>
      </c>
      <c r="AR314">
        <f t="shared" si="140"/>
        <v>0</v>
      </c>
      <c r="AS314">
        <f t="shared" si="141"/>
        <v>0</v>
      </c>
      <c r="AT314">
        <f t="shared" si="142"/>
        <v>0</v>
      </c>
      <c r="AU314">
        <f t="shared" si="143"/>
        <v>0</v>
      </c>
      <c r="AV314">
        <f t="shared" si="144"/>
        <v>0</v>
      </c>
      <c r="AW314">
        <f t="shared" si="145"/>
        <v>0</v>
      </c>
      <c r="AX314">
        <f t="shared" si="146"/>
        <v>0</v>
      </c>
      <c r="AY314">
        <f t="shared" si="147"/>
        <v>0</v>
      </c>
      <c r="CS314"/>
      <c r="CT314"/>
      <c r="CU314"/>
      <c r="CV314"/>
      <c r="CW314"/>
      <c r="CX314"/>
      <c r="CY314"/>
      <c r="CZ314"/>
      <c r="DA314"/>
    </row>
    <row r="315" spans="1:105" ht="15" customHeight="1">
      <c r="A315" s="108"/>
      <c r="B315" s="38"/>
      <c r="C315" s="1109"/>
      <c r="D315" s="954"/>
      <c r="E315" s="956"/>
      <c r="F315" s="1103" t="s">
        <v>5016</v>
      </c>
      <c r="G315" s="1103"/>
      <c r="H315" s="1104" t="s">
        <v>5017</v>
      </c>
      <c r="I315" s="1105"/>
      <c r="J315" s="1105"/>
      <c r="K315" s="1105"/>
      <c r="L315" s="1105"/>
      <c r="M315" s="1105"/>
      <c r="N315" s="1105"/>
      <c r="O315" s="1106"/>
      <c r="P315" s="100"/>
      <c r="Q315" s="100"/>
      <c r="R315" s="100"/>
      <c r="S315" s="100"/>
      <c r="T315" s="100"/>
      <c r="U315" s="100"/>
      <c r="V315" s="100"/>
      <c r="W315" s="100"/>
      <c r="X315" s="100"/>
      <c r="Y315" s="100"/>
      <c r="Z315" s="100"/>
      <c r="AA315" s="100"/>
      <c r="AB315" s="100"/>
      <c r="AC315" s="100"/>
      <c r="AD315" s="100"/>
      <c r="AF315"/>
      <c r="AG315">
        <f t="shared" si="148"/>
        <v>0</v>
      </c>
      <c r="AH315">
        <f t="shared" si="149"/>
        <v>0</v>
      </c>
      <c r="AK315">
        <f t="shared" si="133"/>
        <v>0</v>
      </c>
      <c r="AL315">
        <f t="shared" si="134"/>
        <v>0</v>
      </c>
      <c r="AM315">
        <f t="shared" si="135"/>
        <v>0</v>
      </c>
      <c r="AN315">
        <f t="shared" si="136"/>
        <v>0</v>
      </c>
      <c r="AO315">
        <f t="shared" si="137"/>
        <v>0</v>
      </c>
      <c r="AP315">
        <f t="shared" si="138"/>
        <v>0</v>
      </c>
      <c r="AQ315">
        <f t="shared" si="139"/>
        <v>0</v>
      </c>
      <c r="AR315">
        <f t="shared" si="140"/>
        <v>0</v>
      </c>
      <c r="AS315">
        <f t="shared" si="141"/>
        <v>0</v>
      </c>
      <c r="AT315">
        <f t="shared" si="142"/>
        <v>0</v>
      </c>
      <c r="AU315">
        <f t="shared" si="143"/>
        <v>0</v>
      </c>
      <c r="AV315">
        <f t="shared" si="144"/>
        <v>0</v>
      </c>
      <c r="AW315">
        <f t="shared" si="145"/>
        <v>0</v>
      </c>
      <c r="AX315">
        <f t="shared" si="146"/>
        <v>0</v>
      </c>
      <c r="AY315">
        <f t="shared" si="147"/>
        <v>0</v>
      </c>
      <c r="CS315"/>
      <c r="CT315"/>
      <c r="CU315"/>
      <c r="CV315"/>
      <c r="CW315"/>
      <c r="CX315"/>
      <c r="CY315"/>
      <c r="CZ315"/>
      <c r="DA315"/>
    </row>
    <row r="316" spans="1:105" ht="24" customHeight="1">
      <c r="A316" s="108"/>
      <c r="B316" s="38"/>
      <c r="C316" s="1109"/>
      <c r="D316" s="954"/>
      <c r="E316" s="956"/>
      <c r="F316" s="1103" t="s">
        <v>5018</v>
      </c>
      <c r="G316" s="1103"/>
      <c r="H316" s="1104" t="s">
        <v>5019</v>
      </c>
      <c r="I316" s="1105"/>
      <c r="J316" s="1105"/>
      <c r="K316" s="1105"/>
      <c r="L316" s="1105"/>
      <c r="M316" s="1105"/>
      <c r="N316" s="1105"/>
      <c r="O316" s="1106"/>
      <c r="P316" s="100"/>
      <c r="Q316" s="100"/>
      <c r="R316" s="100"/>
      <c r="S316" s="100"/>
      <c r="T316" s="100"/>
      <c r="U316" s="100"/>
      <c r="V316" s="100"/>
      <c r="W316" s="100"/>
      <c r="X316" s="100"/>
      <c r="Y316" s="100"/>
      <c r="Z316" s="100"/>
      <c r="AA316" s="100"/>
      <c r="AB316" s="100"/>
      <c r="AC316" s="100"/>
      <c r="AD316" s="100"/>
      <c r="AF316"/>
      <c r="AG316">
        <f t="shared" si="148"/>
        <v>0</v>
      </c>
      <c r="AH316">
        <f t="shared" si="149"/>
        <v>0</v>
      </c>
      <c r="AJ316">
        <f>IF(OR(P316="NS",P316="NA",$P$175=0,$P$175="NS",$P$175="NA"),0,IF((P316*(IFERROR(100/SUM(P288:P316),0)))&gt;25,1,0))</f>
        <v>0</v>
      </c>
      <c r="AK316">
        <f t="shared" si="133"/>
        <v>0</v>
      </c>
      <c r="AL316">
        <f t="shared" si="134"/>
        <v>0</v>
      </c>
      <c r="AM316">
        <f t="shared" si="135"/>
        <v>0</v>
      </c>
      <c r="AN316">
        <f t="shared" si="136"/>
        <v>0</v>
      </c>
      <c r="AO316">
        <f t="shared" si="137"/>
        <v>0</v>
      </c>
      <c r="AP316">
        <f t="shared" si="138"/>
        <v>0</v>
      </c>
      <c r="AQ316">
        <f t="shared" si="139"/>
        <v>0</v>
      </c>
      <c r="AR316">
        <f t="shared" si="140"/>
        <v>0</v>
      </c>
      <c r="AS316">
        <f t="shared" si="141"/>
        <v>0</v>
      </c>
      <c r="AT316">
        <f t="shared" si="142"/>
        <v>0</v>
      </c>
      <c r="AU316">
        <f t="shared" si="143"/>
        <v>0</v>
      </c>
      <c r="AV316">
        <f t="shared" si="144"/>
        <v>0</v>
      </c>
      <c r="AW316">
        <f t="shared" si="145"/>
        <v>0</v>
      </c>
      <c r="AX316">
        <f t="shared" si="146"/>
        <v>0</v>
      </c>
      <c r="AY316">
        <f t="shared" si="147"/>
        <v>0</v>
      </c>
      <c r="CS316"/>
      <c r="CT316"/>
      <c r="CU316"/>
      <c r="CV316"/>
      <c r="CW316"/>
      <c r="CX316"/>
      <c r="CY316"/>
      <c r="CZ316"/>
      <c r="DA316"/>
    </row>
    <row r="317" spans="1:105" ht="15" customHeight="1">
      <c r="A317" s="108"/>
      <c r="B317" s="38"/>
      <c r="C317" s="1108" t="s">
        <v>5020</v>
      </c>
      <c r="D317" s="847" t="s">
        <v>5021</v>
      </c>
      <c r="E317" s="848"/>
      <c r="F317" s="1103" t="s">
        <v>5022</v>
      </c>
      <c r="G317" s="1103"/>
      <c r="H317" s="1104" t="s">
        <v>5023</v>
      </c>
      <c r="I317" s="1105"/>
      <c r="J317" s="1105"/>
      <c r="K317" s="1105"/>
      <c r="L317" s="1105"/>
      <c r="M317" s="1105"/>
      <c r="N317" s="1105"/>
      <c r="O317" s="1106"/>
      <c r="P317" s="100"/>
      <c r="Q317" s="100"/>
      <c r="R317" s="100"/>
      <c r="S317" s="100"/>
      <c r="T317" s="100"/>
      <c r="U317" s="100"/>
      <c r="V317" s="100"/>
      <c r="W317" s="100"/>
      <c r="X317" s="100"/>
      <c r="Y317" s="100"/>
      <c r="Z317" s="100"/>
      <c r="AA317" s="100"/>
      <c r="AB317" s="100"/>
      <c r="AC317" s="100"/>
      <c r="AD317" s="100"/>
      <c r="AF317">
        <f>IF(P317="NA",IF(AND(COUNTIF(P318:P326,"="&amp;$AF$212)=0,COUNTIF(P318:P326,"&lt;&gt;NA")&gt;0),1,0),IF(AND(COUNTIF(P318:P326,"="&amp;$AF$212)=0,COUNTIF(P318:P326,"NA")=COUNTIF(P318:P326,"&lt;&gt;"&amp;$AF$212)),1,0))</f>
        <v>0</v>
      </c>
      <c r="AG317">
        <f t="shared" si="148"/>
        <v>0</v>
      </c>
      <c r="AH317">
        <f t="shared" si="149"/>
        <v>0</v>
      </c>
      <c r="AK317">
        <f t="shared" si="133"/>
        <v>0</v>
      </c>
      <c r="AL317">
        <f t="shared" si="134"/>
        <v>0</v>
      </c>
      <c r="AM317">
        <f t="shared" si="135"/>
        <v>0</v>
      </c>
      <c r="AN317">
        <f t="shared" si="136"/>
        <v>0</v>
      </c>
      <c r="AO317">
        <f t="shared" si="137"/>
        <v>0</v>
      </c>
      <c r="AP317">
        <f t="shared" si="138"/>
        <v>0</v>
      </c>
      <c r="AQ317">
        <f t="shared" si="139"/>
        <v>0</v>
      </c>
      <c r="AR317">
        <f t="shared" si="140"/>
        <v>0</v>
      </c>
      <c r="AS317">
        <f t="shared" si="141"/>
        <v>0</v>
      </c>
      <c r="AT317">
        <f t="shared" si="142"/>
        <v>0</v>
      </c>
      <c r="AU317">
        <f t="shared" si="143"/>
        <v>0</v>
      </c>
      <c r="AV317">
        <f t="shared" si="144"/>
        <v>0</v>
      </c>
      <c r="AW317">
        <f t="shared" si="145"/>
        <v>0</v>
      </c>
      <c r="AX317">
        <f t="shared" si="146"/>
        <v>0</v>
      </c>
      <c r="AY317">
        <f t="shared" si="147"/>
        <v>0</v>
      </c>
      <c r="CS317"/>
      <c r="CT317"/>
      <c r="CU317"/>
      <c r="CV317"/>
      <c r="CW317"/>
      <c r="CX317"/>
      <c r="CY317"/>
      <c r="CZ317"/>
      <c r="DA317"/>
    </row>
    <row r="318" spans="1:105" ht="24" customHeight="1">
      <c r="A318" s="108"/>
      <c r="B318" s="38"/>
      <c r="C318" s="1109"/>
      <c r="D318" s="954"/>
      <c r="E318" s="956"/>
      <c r="F318" s="1110" t="s">
        <v>5024</v>
      </c>
      <c r="G318" s="1110"/>
      <c r="H318" s="178"/>
      <c r="I318" s="1111" t="s">
        <v>5025</v>
      </c>
      <c r="J318" s="1111"/>
      <c r="K318" s="1111"/>
      <c r="L318" s="1111"/>
      <c r="M318" s="1111"/>
      <c r="N318" s="1111"/>
      <c r="O318" s="1112"/>
      <c r="P318" s="100"/>
      <c r="Q318" s="100"/>
      <c r="R318" s="100"/>
      <c r="S318" s="100"/>
      <c r="T318" s="100"/>
      <c r="U318" s="100"/>
      <c r="V318" s="100"/>
      <c r="W318" s="100"/>
      <c r="X318" s="100"/>
      <c r="Y318" s="100"/>
      <c r="Z318" s="100"/>
      <c r="AA318" s="100"/>
      <c r="AB318" s="100"/>
      <c r="AC318" s="100"/>
      <c r="AD318" s="100"/>
      <c r="AF318"/>
      <c r="AG318">
        <f t="shared" si="148"/>
        <v>0</v>
      </c>
      <c r="AH318">
        <f t="shared" si="149"/>
        <v>0</v>
      </c>
      <c r="AK318">
        <f t="shared" si="133"/>
        <v>0</v>
      </c>
      <c r="AL318">
        <f t="shared" si="134"/>
        <v>0</v>
      </c>
      <c r="AM318">
        <f t="shared" si="135"/>
        <v>0</v>
      </c>
      <c r="AN318">
        <f t="shared" si="136"/>
        <v>0</v>
      </c>
      <c r="AO318">
        <f t="shared" si="137"/>
        <v>0</v>
      </c>
      <c r="AP318">
        <f t="shared" si="138"/>
        <v>0</v>
      </c>
      <c r="AQ318">
        <f t="shared" si="139"/>
        <v>0</v>
      </c>
      <c r="AR318">
        <f t="shared" si="140"/>
        <v>0</v>
      </c>
      <c r="AS318">
        <f t="shared" si="141"/>
        <v>0</v>
      </c>
      <c r="AT318">
        <f t="shared" si="142"/>
        <v>0</v>
      </c>
      <c r="AU318">
        <f t="shared" si="143"/>
        <v>0</v>
      </c>
      <c r="AV318">
        <f t="shared" si="144"/>
        <v>0</v>
      </c>
      <c r="AW318">
        <f t="shared" si="145"/>
        <v>0</v>
      </c>
      <c r="AX318">
        <f t="shared" si="146"/>
        <v>0</v>
      </c>
      <c r="AY318">
        <f t="shared" si="147"/>
        <v>0</v>
      </c>
      <c r="CS318"/>
      <c r="CT318"/>
      <c r="CU318"/>
      <c r="CV318"/>
      <c r="CW318"/>
      <c r="CX318"/>
      <c r="CY318"/>
      <c r="CZ318"/>
      <c r="DA318"/>
    </row>
    <row r="319" spans="1:105" ht="15" customHeight="1">
      <c r="A319" s="108"/>
      <c r="B319" s="38"/>
      <c r="C319" s="1109"/>
      <c r="D319" s="954"/>
      <c r="E319" s="956"/>
      <c r="F319" s="1110" t="s">
        <v>5026</v>
      </c>
      <c r="G319" s="1110"/>
      <c r="H319" s="178"/>
      <c r="I319" s="1111" t="s">
        <v>5027</v>
      </c>
      <c r="J319" s="1111"/>
      <c r="K319" s="1111"/>
      <c r="L319" s="1111"/>
      <c r="M319" s="1111"/>
      <c r="N319" s="1111"/>
      <c r="O319" s="1112"/>
      <c r="P319" s="100"/>
      <c r="Q319" s="100"/>
      <c r="R319" s="100"/>
      <c r="S319" s="100"/>
      <c r="T319" s="100"/>
      <c r="U319" s="100"/>
      <c r="V319" s="100"/>
      <c r="W319" s="100"/>
      <c r="X319" s="100"/>
      <c r="Y319" s="100"/>
      <c r="Z319" s="100"/>
      <c r="AA319" s="100"/>
      <c r="AB319" s="100"/>
      <c r="AC319" s="100"/>
      <c r="AD319" s="100"/>
      <c r="AF319"/>
      <c r="AG319">
        <f t="shared" si="148"/>
        <v>0</v>
      </c>
      <c r="AH319">
        <f t="shared" si="149"/>
        <v>0</v>
      </c>
      <c r="AK319">
        <f t="shared" si="133"/>
        <v>0</v>
      </c>
      <c r="AL319">
        <f t="shared" si="134"/>
        <v>0</v>
      </c>
      <c r="AM319">
        <f t="shared" si="135"/>
        <v>0</v>
      </c>
      <c r="AN319">
        <f t="shared" si="136"/>
        <v>0</v>
      </c>
      <c r="AO319">
        <f t="shared" si="137"/>
        <v>0</v>
      </c>
      <c r="AP319">
        <f t="shared" si="138"/>
        <v>0</v>
      </c>
      <c r="AQ319">
        <f t="shared" si="139"/>
        <v>0</v>
      </c>
      <c r="AR319">
        <f t="shared" si="140"/>
        <v>0</v>
      </c>
      <c r="AS319">
        <f t="shared" si="141"/>
        <v>0</v>
      </c>
      <c r="AT319">
        <f t="shared" si="142"/>
        <v>0</v>
      </c>
      <c r="AU319">
        <f t="shared" si="143"/>
        <v>0</v>
      </c>
      <c r="AV319">
        <f t="shared" si="144"/>
        <v>0</v>
      </c>
      <c r="AW319">
        <f t="shared" si="145"/>
        <v>0</v>
      </c>
      <c r="AX319">
        <f t="shared" si="146"/>
        <v>0</v>
      </c>
      <c r="AY319">
        <f t="shared" si="147"/>
        <v>0</v>
      </c>
      <c r="CS319"/>
      <c r="CT319"/>
      <c r="CU319"/>
      <c r="CV319"/>
      <c r="CW319"/>
      <c r="CX319"/>
      <c r="CY319"/>
      <c r="CZ319"/>
      <c r="DA319"/>
    </row>
    <row r="320" spans="1:105" ht="15" customHeight="1">
      <c r="A320" s="108"/>
      <c r="B320" s="38"/>
      <c r="C320" s="1109"/>
      <c r="D320" s="954"/>
      <c r="E320" s="956"/>
      <c r="F320" s="1110" t="s">
        <v>5028</v>
      </c>
      <c r="G320" s="1110"/>
      <c r="H320" s="178"/>
      <c r="I320" s="1111" t="s">
        <v>5029</v>
      </c>
      <c r="J320" s="1111"/>
      <c r="K320" s="1111"/>
      <c r="L320" s="1111"/>
      <c r="M320" s="1111"/>
      <c r="N320" s="1111"/>
      <c r="O320" s="1112"/>
      <c r="P320" s="100"/>
      <c r="Q320" s="100"/>
      <c r="R320" s="100"/>
      <c r="S320" s="100"/>
      <c r="T320" s="100"/>
      <c r="U320" s="100"/>
      <c r="V320" s="100"/>
      <c r="W320" s="100"/>
      <c r="X320" s="100"/>
      <c r="Y320" s="100"/>
      <c r="Z320" s="100"/>
      <c r="AA320" s="100"/>
      <c r="AB320" s="100"/>
      <c r="AC320" s="100"/>
      <c r="AD320" s="100"/>
      <c r="AF320"/>
      <c r="AG320">
        <f t="shared" si="148"/>
        <v>0</v>
      </c>
      <c r="AH320">
        <f t="shared" si="149"/>
        <v>0</v>
      </c>
      <c r="AK320">
        <f t="shared" si="133"/>
        <v>0</v>
      </c>
      <c r="AL320">
        <f t="shared" si="134"/>
        <v>0</v>
      </c>
      <c r="AM320">
        <f t="shared" si="135"/>
        <v>0</v>
      </c>
      <c r="AN320">
        <f t="shared" si="136"/>
        <v>0</v>
      </c>
      <c r="AO320">
        <f t="shared" si="137"/>
        <v>0</v>
      </c>
      <c r="AP320">
        <f t="shared" si="138"/>
        <v>0</v>
      </c>
      <c r="AQ320">
        <f t="shared" si="139"/>
        <v>0</v>
      </c>
      <c r="AR320">
        <f t="shared" si="140"/>
        <v>0</v>
      </c>
      <c r="AS320">
        <f t="shared" si="141"/>
        <v>0</v>
      </c>
      <c r="AT320">
        <f t="shared" si="142"/>
        <v>0</v>
      </c>
      <c r="AU320">
        <f t="shared" si="143"/>
        <v>0</v>
      </c>
      <c r="AV320">
        <f t="shared" si="144"/>
        <v>0</v>
      </c>
      <c r="AW320">
        <f t="shared" si="145"/>
        <v>0</v>
      </c>
      <c r="AX320">
        <f t="shared" si="146"/>
        <v>0</v>
      </c>
      <c r="AY320">
        <f t="shared" si="147"/>
        <v>0</v>
      </c>
      <c r="CS320"/>
      <c r="CT320"/>
      <c r="CU320"/>
      <c r="CV320"/>
      <c r="CW320"/>
      <c r="CX320"/>
      <c r="CY320"/>
      <c r="CZ320"/>
      <c r="DA320"/>
    </row>
    <row r="321" spans="1:105" ht="15" customHeight="1">
      <c r="A321" s="108"/>
      <c r="B321" s="38"/>
      <c r="C321" s="1109"/>
      <c r="D321" s="954"/>
      <c r="E321" s="956"/>
      <c r="F321" s="1110" t="s">
        <v>5030</v>
      </c>
      <c r="G321" s="1110"/>
      <c r="H321" s="178"/>
      <c r="I321" s="1111" t="s">
        <v>5031</v>
      </c>
      <c r="J321" s="1111"/>
      <c r="K321" s="1111"/>
      <c r="L321" s="1111"/>
      <c r="M321" s="1111"/>
      <c r="N321" s="1111"/>
      <c r="O321" s="1112"/>
      <c r="P321" s="100"/>
      <c r="Q321" s="100"/>
      <c r="R321" s="100"/>
      <c r="S321" s="100"/>
      <c r="T321" s="100"/>
      <c r="U321" s="100"/>
      <c r="V321" s="100"/>
      <c r="W321" s="100"/>
      <c r="X321" s="100"/>
      <c r="Y321" s="100"/>
      <c r="Z321" s="100"/>
      <c r="AA321" s="100"/>
      <c r="AB321" s="100"/>
      <c r="AC321" s="100"/>
      <c r="AD321" s="100"/>
      <c r="AF321"/>
      <c r="AG321">
        <f t="shared" si="148"/>
        <v>0</v>
      </c>
      <c r="AH321">
        <f t="shared" si="149"/>
        <v>0</v>
      </c>
      <c r="AK321">
        <f t="shared" si="133"/>
        <v>0</v>
      </c>
      <c r="AL321">
        <f t="shared" si="134"/>
        <v>0</v>
      </c>
      <c r="AM321">
        <f t="shared" si="135"/>
        <v>0</v>
      </c>
      <c r="AN321">
        <f t="shared" si="136"/>
        <v>0</v>
      </c>
      <c r="AO321">
        <f t="shared" si="137"/>
        <v>0</v>
      </c>
      <c r="AP321">
        <f t="shared" si="138"/>
        <v>0</v>
      </c>
      <c r="AQ321">
        <f t="shared" si="139"/>
        <v>0</v>
      </c>
      <c r="AR321">
        <f t="shared" si="140"/>
        <v>0</v>
      </c>
      <c r="AS321">
        <f t="shared" si="141"/>
        <v>0</v>
      </c>
      <c r="AT321">
        <f t="shared" si="142"/>
        <v>0</v>
      </c>
      <c r="AU321">
        <f t="shared" si="143"/>
        <v>0</v>
      </c>
      <c r="AV321">
        <f t="shared" si="144"/>
        <v>0</v>
      </c>
      <c r="AW321">
        <f t="shared" si="145"/>
        <v>0</v>
      </c>
      <c r="AX321">
        <f t="shared" si="146"/>
        <v>0</v>
      </c>
      <c r="AY321">
        <f t="shared" si="147"/>
        <v>0</v>
      </c>
      <c r="CS321"/>
      <c r="CT321"/>
      <c r="CU321"/>
      <c r="CV321"/>
      <c r="CW321"/>
      <c r="CX321"/>
      <c r="CY321"/>
      <c r="CZ321"/>
      <c r="DA321"/>
    </row>
    <row r="322" spans="1:105" ht="15" customHeight="1">
      <c r="A322" s="108"/>
      <c r="B322" s="38"/>
      <c r="C322" s="1109"/>
      <c r="D322" s="954"/>
      <c r="E322" s="956"/>
      <c r="F322" s="1110" t="s">
        <v>5032</v>
      </c>
      <c r="G322" s="1110"/>
      <c r="H322" s="178"/>
      <c r="I322" s="1111" t="s">
        <v>5033</v>
      </c>
      <c r="J322" s="1111"/>
      <c r="K322" s="1111"/>
      <c r="L322" s="1111"/>
      <c r="M322" s="1111"/>
      <c r="N322" s="1111"/>
      <c r="O322" s="1112"/>
      <c r="P322" s="100"/>
      <c r="Q322" s="100"/>
      <c r="R322" s="100"/>
      <c r="S322" s="100"/>
      <c r="T322" s="100"/>
      <c r="U322" s="100"/>
      <c r="V322" s="100"/>
      <c r="W322" s="100"/>
      <c r="X322" s="100"/>
      <c r="Y322" s="100"/>
      <c r="Z322" s="100"/>
      <c r="AA322" s="100"/>
      <c r="AB322" s="100"/>
      <c r="AC322" s="100"/>
      <c r="AD322" s="100"/>
      <c r="AF322"/>
      <c r="AG322">
        <f t="shared" si="148"/>
        <v>0</v>
      </c>
      <c r="AH322">
        <f t="shared" si="149"/>
        <v>0</v>
      </c>
      <c r="AK322">
        <f t="shared" si="133"/>
        <v>0</v>
      </c>
      <c r="AL322">
        <f t="shared" si="134"/>
        <v>0</v>
      </c>
      <c r="AM322">
        <f t="shared" si="135"/>
        <v>0</v>
      </c>
      <c r="AN322">
        <f t="shared" si="136"/>
        <v>0</v>
      </c>
      <c r="AO322">
        <f t="shared" si="137"/>
        <v>0</v>
      </c>
      <c r="AP322">
        <f t="shared" si="138"/>
        <v>0</v>
      </c>
      <c r="AQ322">
        <f t="shared" si="139"/>
        <v>0</v>
      </c>
      <c r="AR322">
        <f t="shared" si="140"/>
        <v>0</v>
      </c>
      <c r="AS322">
        <f t="shared" si="141"/>
        <v>0</v>
      </c>
      <c r="AT322">
        <f t="shared" si="142"/>
        <v>0</v>
      </c>
      <c r="AU322">
        <f t="shared" si="143"/>
        <v>0</v>
      </c>
      <c r="AV322">
        <f t="shared" si="144"/>
        <v>0</v>
      </c>
      <c r="AW322">
        <f t="shared" si="145"/>
        <v>0</v>
      </c>
      <c r="AX322">
        <f t="shared" si="146"/>
        <v>0</v>
      </c>
      <c r="AY322">
        <f t="shared" si="147"/>
        <v>0</v>
      </c>
      <c r="CS322"/>
      <c r="CT322"/>
      <c r="CU322"/>
      <c r="CV322"/>
      <c r="CW322"/>
      <c r="CX322"/>
      <c r="CY322"/>
      <c r="CZ322"/>
      <c r="DA322"/>
    </row>
    <row r="323" spans="1:105" ht="15" customHeight="1">
      <c r="A323" s="108"/>
      <c r="B323" s="38"/>
      <c r="C323" s="1109"/>
      <c r="D323" s="954"/>
      <c r="E323" s="956"/>
      <c r="F323" s="1110" t="s">
        <v>5034</v>
      </c>
      <c r="G323" s="1110"/>
      <c r="H323" s="178"/>
      <c r="I323" s="1111" t="s">
        <v>5035</v>
      </c>
      <c r="J323" s="1111"/>
      <c r="K323" s="1111"/>
      <c r="L323" s="1111"/>
      <c r="M323" s="1111"/>
      <c r="N323" s="1111"/>
      <c r="O323" s="1112"/>
      <c r="P323" s="100"/>
      <c r="Q323" s="100"/>
      <c r="R323" s="100"/>
      <c r="S323" s="100"/>
      <c r="T323" s="100"/>
      <c r="U323" s="100"/>
      <c r="V323" s="100"/>
      <c r="W323" s="100"/>
      <c r="X323" s="100"/>
      <c r="Y323" s="100"/>
      <c r="Z323" s="100"/>
      <c r="AA323" s="100"/>
      <c r="AB323" s="100"/>
      <c r="AC323" s="100"/>
      <c r="AD323" s="100"/>
      <c r="AF323"/>
      <c r="AG323">
        <f t="shared" si="148"/>
        <v>0</v>
      </c>
      <c r="AH323">
        <f t="shared" si="149"/>
        <v>0</v>
      </c>
      <c r="AK323">
        <f t="shared" si="133"/>
        <v>0</v>
      </c>
      <c r="AL323">
        <f t="shared" si="134"/>
        <v>0</v>
      </c>
      <c r="AM323">
        <f t="shared" si="135"/>
        <v>0</v>
      </c>
      <c r="AN323">
        <f t="shared" si="136"/>
        <v>0</v>
      </c>
      <c r="AO323">
        <f t="shared" si="137"/>
        <v>0</v>
      </c>
      <c r="AP323">
        <f t="shared" si="138"/>
        <v>0</v>
      </c>
      <c r="AQ323">
        <f t="shared" si="139"/>
        <v>0</v>
      </c>
      <c r="AR323">
        <f t="shared" si="140"/>
        <v>0</v>
      </c>
      <c r="AS323">
        <f t="shared" si="141"/>
        <v>0</v>
      </c>
      <c r="AT323">
        <f t="shared" si="142"/>
        <v>0</v>
      </c>
      <c r="AU323">
        <f t="shared" si="143"/>
        <v>0</v>
      </c>
      <c r="AV323">
        <f t="shared" si="144"/>
        <v>0</v>
      </c>
      <c r="AW323">
        <f t="shared" si="145"/>
        <v>0</v>
      </c>
      <c r="AX323">
        <f t="shared" si="146"/>
        <v>0</v>
      </c>
      <c r="AY323">
        <f t="shared" si="147"/>
        <v>0</v>
      </c>
      <c r="CS323"/>
      <c r="CT323"/>
      <c r="CU323"/>
      <c r="CV323"/>
      <c r="CW323"/>
      <c r="CX323"/>
      <c r="CY323"/>
      <c r="CZ323"/>
      <c r="DA323"/>
    </row>
    <row r="324" spans="1:105" ht="15" customHeight="1">
      <c r="A324" s="108"/>
      <c r="B324" s="38"/>
      <c r="C324" s="1109"/>
      <c r="D324" s="954"/>
      <c r="E324" s="956"/>
      <c r="F324" s="1110" t="s">
        <v>5036</v>
      </c>
      <c r="G324" s="1110"/>
      <c r="H324" s="178"/>
      <c r="I324" s="1111" t="s">
        <v>5037</v>
      </c>
      <c r="J324" s="1111"/>
      <c r="K324" s="1111"/>
      <c r="L324" s="1111"/>
      <c r="M324" s="1111"/>
      <c r="N324" s="1111"/>
      <c r="O324" s="1112"/>
      <c r="P324" s="100"/>
      <c r="Q324" s="100"/>
      <c r="R324" s="100"/>
      <c r="S324" s="100"/>
      <c r="T324" s="100"/>
      <c r="U324" s="100"/>
      <c r="V324" s="100"/>
      <c r="W324" s="100"/>
      <c r="X324" s="100"/>
      <c r="Y324" s="100"/>
      <c r="Z324" s="100"/>
      <c r="AA324" s="100"/>
      <c r="AB324" s="100"/>
      <c r="AC324" s="100"/>
      <c r="AD324" s="100"/>
      <c r="AF324"/>
      <c r="AG324">
        <f t="shared" si="148"/>
        <v>0</v>
      </c>
      <c r="AH324">
        <f t="shared" si="149"/>
        <v>0</v>
      </c>
      <c r="AK324">
        <f t="shared" si="133"/>
        <v>0</v>
      </c>
      <c r="AL324">
        <f t="shared" si="134"/>
        <v>0</v>
      </c>
      <c r="AM324">
        <f t="shared" si="135"/>
        <v>0</v>
      </c>
      <c r="AN324">
        <f t="shared" si="136"/>
        <v>0</v>
      </c>
      <c r="AO324">
        <f t="shared" si="137"/>
        <v>0</v>
      </c>
      <c r="AP324">
        <f t="shared" si="138"/>
        <v>0</v>
      </c>
      <c r="AQ324">
        <f t="shared" si="139"/>
        <v>0</v>
      </c>
      <c r="AR324">
        <f t="shared" si="140"/>
        <v>0</v>
      </c>
      <c r="AS324">
        <f t="shared" si="141"/>
        <v>0</v>
      </c>
      <c r="AT324">
        <f t="shared" si="142"/>
        <v>0</v>
      </c>
      <c r="AU324">
        <f t="shared" si="143"/>
        <v>0</v>
      </c>
      <c r="AV324">
        <f t="shared" si="144"/>
        <v>0</v>
      </c>
      <c r="AW324">
        <f t="shared" si="145"/>
        <v>0</v>
      </c>
      <c r="AX324">
        <f t="shared" si="146"/>
        <v>0</v>
      </c>
      <c r="AY324">
        <f t="shared" si="147"/>
        <v>0</v>
      </c>
      <c r="CS324"/>
      <c r="CT324"/>
      <c r="CU324"/>
      <c r="CV324"/>
      <c r="CW324"/>
      <c r="CX324"/>
      <c r="CY324"/>
      <c r="CZ324"/>
      <c r="DA324"/>
    </row>
    <row r="325" spans="1:105" ht="24" customHeight="1">
      <c r="A325" s="108"/>
      <c r="B325" s="38"/>
      <c r="C325" s="1109"/>
      <c r="D325" s="954"/>
      <c r="E325" s="956"/>
      <c r="F325" s="1110" t="s">
        <v>5038</v>
      </c>
      <c r="G325" s="1110"/>
      <c r="H325" s="178"/>
      <c r="I325" s="1111" t="s">
        <v>5039</v>
      </c>
      <c r="J325" s="1111"/>
      <c r="K325" s="1111"/>
      <c r="L325" s="1111"/>
      <c r="M325" s="1111"/>
      <c r="N325" s="1111"/>
      <c r="O325" s="1112"/>
      <c r="P325" s="100"/>
      <c r="Q325" s="100"/>
      <c r="R325" s="100"/>
      <c r="S325" s="100"/>
      <c r="T325" s="100"/>
      <c r="U325" s="100"/>
      <c r="V325" s="100"/>
      <c r="W325" s="100"/>
      <c r="X325" s="100"/>
      <c r="Y325" s="100"/>
      <c r="Z325" s="100"/>
      <c r="AA325" s="100"/>
      <c r="AB325" s="100"/>
      <c r="AC325" s="100"/>
      <c r="AD325" s="100"/>
      <c r="AF325"/>
      <c r="AG325">
        <f t="shared" si="148"/>
        <v>0</v>
      </c>
      <c r="AH325">
        <f t="shared" si="149"/>
        <v>0</v>
      </c>
      <c r="AK325">
        <f t="shared" si="133"/>
        <v>0</v>
      </c>
      <c r="AL325">
        <f t="shared" si="134"/>
        <v>0</v>
      </c>
      <c r="AM325">
        <f t="shared" si="135"/>
        <v>0</v>
      </c>
      <c r="AN325">
        <f t="shared" si="136"/>
        <v>0</v>
      </c>
      <c r="AO325">
        <f t="shared" si="137"/>
        <v>0</v>
      </c>
      <c r="AP325">
        <f t="shared" si="138"/>
        <v>0</v>
      </c>
      <c r="AQ325">
        <f t="shared" si="139"/>
        <v>0</v>
      </c>
      <c r="AR325">
        <f t="shared" si="140"/>
        <v>0</v>
      </c>
      <c r="AS325">
        <f t="shared" si="141"/>
        <v>0</v>
      </c>
      <c r="AT325">
        <f t="shared" si="142"/>
        <v>0</v>
      </c>
      <c r="AU325">
        <f t="shared" si="143"/>
        <v>0</v>
      </c>
      <c r="AV325">
        <f t="shared" si="144"/>
        <v>0</v>
      </c>
      <c r="AW325">
        <f t="shared" si="145"/>
        <v>0</v>
      </c>
      <c r="AX325">
        <f t="shared" si="146"/>
        <v>0</v>
      </c>
      <c r="AY325">
        <f t="shared" si="147"/>
        <v>0</v>
      </c>
      <c r="CS325"/>
      <c r="CT325"/>
      <c r="CU325"/>
      <c r="CV325"/>
      <c r="CW325"/>
      <c r="CX325"/>
      <c r="CY325"/>
      <c r="CZ325"/>
      <c r="DA325"/>
    </row>
    <row r="326" spans="1:105" ht="15" customHeight="1">
      <c r="A326" s="108"/>
      <c r="B326" s="38"/>
      <c r="C326" s="1109"/>
      <c r="D326" s="954"/>
      <c r="E326" s="956"/>
      <c r="F326" s="1110" t="s">
        <v>5040</v>
      </c>
      <c r="G326" s="1110"/>
      <c r="H326" s="178"/>
      <c r="I326" s="1111" t="s">
        <v>2631</v>
      </c>
      <c r="J326" s="1111"/>
      <c r="K326" s="1111"/>
      <c r="L326" s="1111"/>
      <c r="M326" s="1111"/>
      <c r="N326" s="1111"/>
      <c r="O326" s="1112"/>
      <c r="P326" s="100"/>
      <c r="Q326" s="100"/>
      <c r="R326" s="100"/>
      <c r="S326" s="100"/>
      <c r="T326" s="100"/>
      <c r="U326" s="100"/>
      <c r="V326" s="100"/>
      <c r="W326" s="100"/>
      <c r="X326" s="100"/>
      <c r="Y326" s="100"/>
      <c r="Z326" s="100"/>
      <c r="AA326" s="100"/>
      <c r="AB326" s="100"/>
      <c r="AC326" s="100"/>
      <c r="AD326" s="100"/>
      <c r="AF326"/>
      <c r="AG326">
        <f t="shared" si="148"/>
        <v>0</v>
      </c>
      <c r="AH326">
        <f t="shared" si="149"/>
        <v>0</v>
      </c>
      <c r="AK326">
        <f t="shared" si="133"/>
        <v>0</v>
      </c>
      <c r="AL326">
        <f t="shared" si="134"/>
        <v>0</v>
      </c>
      <c r="AM326">
        <f t="shared" si="135"/>
        <v>0</v>
      </c>
      <c r="AN326">
        <f t="shared" si="136"/>
        <v>0</v>
      </c>
      <c r="AO326">
        <f t="shared" si="137"/>
        <v>0</v>
      </c>
      <c r="AP326">
        <f t="shared" si="138"/>
        <v>0</v>
      </c>
      <c r="AQ326">
        <f t="shared" si="139"/>
        <v>0</v>
      </c>
      <c r="AR326">
        <f t="shared" si="140"/>
        <v>0</v>
      </c>
      <c r="AS326">
        <f t="shared" si="141"/>
        <v>0</v>
      </c>
      <c r="AT326">
        <f t="shared" si="142"/>
        <v>0</v>
      </c>
      <c r="AU326">
        <f t="shared" si="143"/>
        <v>0</v>
      </c>
      <c r="AV326">
        <f t="shared" si="144"/>
        <v>0</v>
      </c>
      <c r="AW326">
        <f t="shared" si="145"/>
        <v>0</v>
      </c>
      <c r="AX326">
        <f t="shared" si="146"/>
        <v>0</v>
      </c>
      <c r="AY326">
        <f t="shared" si="147"/>
        <v>0</v>
      </c>
      <c r="CS326"/>
      <c r="CT326"/>
      <c r="CU326"/>
      <c r="CV326"/>
      <c r="CW326"/>
      <c r="CX326"/>
      <c r="CY326"/>
      <c r="CZ326"/>
      <c r="DA326"/>
    </row>
    <row r="327" spans="1:105" ht="15" customHeight="1">
      <c r="A327" s="108"/>
      <c r="B327" s="38"/>
      <c r="C327" s="1109"/>
      <c r="D327" s="954"/>
      <c r="E327" s="956"/>
      <c r="F327" s="1103" t="s">
        <v>5041</v>
      </c>
      <c r="G327" s="1103"/>
      <c r="H327" s="1104" t="s">
        <v>5042</v>
      </c>
      <c r="I327" s="1105"/>
      <c r="J327" s="1105"/>
      <c r="K327" s="1105"/>
      <c r="L327" s="1105"/>
      <c r="M327" s="1105"/>
      <c r="N327" s="1105"/>
      <c r="O327" s="1106"/>
      <c r="P327" s="100"/>
      <c r="Q327" s="100"/>
      <c r="R327" s="100"/>
      <c r="S327" s="100"/>
      <c r="T327" s="100"/>
      <c r="U327" s="100"/>
      <c r="V327" s="100"/>
      <c r="W327" s="100"/>
      <c r="X327" s="100"/>
      <c r="Y327" s="100"/>
      <c r="Z327" s="100"/>
      <c r="AA327" s="100"/>
      <c r="AB327" s="100"/>
      <c r="AC327" s="100"/>
      <c r="AD327" s="100"/>
      <c r="AF327">
        <f>IF(P327="NA",IF(AND(COUNTIF(P328:P330,"="&amp;$AF$212)=0,COUNTIF(P328:P330,"&lt;&gt;NA")&gt;0),1,0),IF(AND(COUNTIF(P328:P330,"="&amp;$AF$212)=0,COUNTIF(P328:P330,"NA")=COUNTIF(P328:P330,"&lt;&gt;"&amp;$AF$212)),1,0))</f>
        <v>0</v>
      </c>
      <c r="AG327">
        <f t="shared" si="148"/>
        <v>0</v>
      </c>
      <c r="AH327">
        <f t="shared" si="149"/>
        <v>0</v>
      </c>
      <c r="AK327">
        <f t="shared" si="133"/>
        <v>0</v>
      </c>
      <c r="AL327">
        <f t="shared" si="134"/>
        <v>0</v>
      </c>
      <c r="AM327">
        <f t="shared" si="135"/>
        <v>0</v>
      </c>
      <c r="AN327">
        <f t="shared" si="136"/>
        <v>0</v>
      </c>
      <c r="AO327">
        <f t="shared" si="137"/>
        <v>0</v>
      </c>
      <c r="AP327">
        <f t="shared" si="138"/>
        <v>0</v>
      </c>
      <c r="AQ327">
        <f t="shared" si="139"/>
        <v>0</v>
      </c>
      <c r="AR327">
        <f t="shared" si="140"/>
        <v>0</v>
      </c>
      <c r="AS327">
        <f t="shared" si="141"/>
        <v>0</v>
      </c>
      <c r="AT327">
        <f t="shared" si="142"/>
        <v>0</v>
      </c>
      <c r="AU327">
        <f t="shared" si="143"/>
        <v>0</v>
      </c>
      <c r="AV327">
        <f t="shared" si="144"/>
        <v>0</v>
      </c>
      <c r="AW327">
        <f t="shared" si="145"/>
        <v>0</v>
      </c>
      <c r="AX327">
        <f t="shared" si="146"/>
        <v>0</v>
      </c>
      <c r="AY327">
        <f t="shared" si="147"/>
        <v>0</v>
      </c>
      <c r="CS327"/>
      <c r="CT327"/>
      <c r="CU327"/>
      <c r="CV327"/>
      <c r="CW327"/>
      <c r="CX327"/>
      <c r="CY327"/>
      <c r="CZ327"/>
      <c r="DA327"/>
    </row>
    <row r="328" spans="1:105" ht="15" customHeight="1">
      <c r="A328" s="108"/>
      <c r="B328" s="38"/>
      <c r="C328" s="1109"/>
      <c r="D328" s="954"/>
      <c r="E328" s="956"/>
      <c r="F328" s="1119" t="s">
        <v>5043</v>
      </c>
      <c r="G328" s="1120"/>
      <c r="H328" s="178"/>
      <c r="I328" s="1111" t="s">
        <v>5044</v>
      </c>
      <c r="J328" s="1111"/>
      <c r="K328" s="1111"/>
      <c r="L328" s="1111"/>
      <c r="M328" s="1111"/>
      <c r="N328" s="1111"/>
      <c r="O328" s="1112"/>
      <c r="P328" s="100"/>
      <c r="Q328" s="100"/>
      <c r="R328" s="100"/>
      <c r="S328" s="100"/>
      <c r="T328" s="100"/>
      <c r="U328" s="100"/>
      <c r="V328" s="100"/>
      <c r="W328" s="100"/>
      <c r="X328" s="100"/>
      <c r="Y328" s="100"/>
      <c r="Z328" s="100"/>
      <c r="AA328" s="100"/>
      <c r="AB328" s="100"/>
      <c r="AC328" s="100"/>
      <c r="AD328" s="100"/>
      <c r="AF328"/>
      <c r="AG328">
        <f t="shared" si="148"/>
        <v>0</v>
      </c>
      <c r="AH328">
        <f t="shared" si="149"/>
        <v>0</v>
      </c>
      <c r="AK328">
        <f t="shared" si="133"/>
        <v>0</v>
      </c>
      <c r="AL328">
        <f t="shared" si="134"/>
        <v>0</v>
      </c>
      <c r="AM328">
        <f t="shared" si="135"/>
        <v>0</v>
      </c>
      <c r="AN328">
        <f t="shared" si="136"/>
        <v>0</v>
      </c>
      <c r="AO328">
        <f t="shared" si="137"/>
        <v>0</v>
      </c>
      <c r="AP328">
        <f t="shared" si="138"/>
        <v>0</v>
      </c>
      <c r="AQ328">
        <f t="shared" si="139"/>
        <v>0</v>
      </c>
      <c r="AR328">
        <f t="shared" si="140"/>
        <v>0</v>
      </c>
      <c r="AS328">
        <f t="shared" si="141"/>
        <v>0</v>
      </c>
      <c r="AT328">
        <f t="shared" si="142"/>
        <v>0</v>
      </c>
      <c r="AU328">
        <f t="shared" si="143"/>
        <v>0</v>
      </c>
      <c r="AV328">
        <f t="shared" si="144"/>
        <v>0</v>
      </c>
      <c r="AW328">
        <f t="shared" si="145"/>
        <v>0</v>
      </c>
      <c r="AX328">
        <f t="shared" si="146"/>
        <v>0</v>
      </c>
      <c r="AY328">
        <f t="shared" si="147"/>
        <v>0</v>
      </c>
      <c r="CS328"/>
      <c r="CT328"/>
      <c r="CU328"/>
      <c r="CV328"/>
      <c r="CW328"/>
      <c r="CX328"/>
      <c r="CY328"/>
      <c r="CZ328"/>
      <c r="DA328"/>
    </row>
    <row r="329" spans="1:105" ht="24" customHeight="1">
      <c r="A329" s="108"/>
      <c r="B329" s="38"/>
      <c r="C329" s="1109"/>
      <c r="D329" s="954"/>
      <c r="E329" s="956"/>
      <c r="F329" s="1119" t="s">
        <v>5045</v>
      </c>
      <c r="G329" s="1120"/>
      <c r="H329" s="178"/>
      <c r="I329" s="1111" t="s">
        <v>5046</v>
      </c>
      <c r="J329" s="1111"/>
      <c r="K329" s="1111"/>
      <c r="L329" s="1111"/>
      <c r="M329" s="1111"/>
      <c r="N329" s="1111"/>
      <c r="O329" s="1112"/>
      <c r="P329" s="100"/>
      <c r="Q329" s="100"/>
      <c r="R329" s="100"/>
      <c r="S329" s="100"/>
      <c r="T329" s="100"/>
      <c r="U329" s="100"/>
      <c r="V329" s="100"/>
      <c r="W329" s="100"/>
      <c r="X329" s="100"/>
      <c r="Y329" s="100"/>
      <c r="Z329" s="100"/>
      <c r="AA329" s="100"/>
      <c r="AB329" s="100"/>
      <c r="AC329" s="100"/>
      <c r="AD329" s="100"/>
      <c r="AF329"/>
      <c r="AG329">
        <f t="shared" si="148"/>
        <v>0</v>
      </c>
      <c r="AH329">
        <f t="shared" si="149"/>
        <v>0</v>
      </c>
      <c r="AK329">
        <f t="shared" si="133"/>
        <v>0</v>
      </c>
      <c r="AL329">
        <f t="shared" si="134"/>
        <v>0</v>
      </c>
      <c r="AM329">
        <f t="shared" si="135"/>
        <v>0</v>
      </c>
      <c r="AN329">
        <f t="shared" si="136"/>
        <v>0</v>
      </c>
      <c r="AO329">
        <f t="shared" si="137"/>
        <v>0</v>
      </c>
      <c r="AP329">
        <f t="shared" si="138"/>
        <v>0</v>
      </c>
      <c r="AQ329">
        <f t="shared" si="139"/>
        <v>0</v>
      </c>
      <c r="AR329">
        <f t="shared" si="140"/>
        <v>0</v>
      </c>
      <c r="AS329">
        <f t="shared" si="141"/>
        <v>0</v>
      </c>
      <c r="AT329">
        <f t="shared" si="142"/>
        <v>0</v>
      </c>
      <c r="AU329">
        <f t="shared" si="143"/>
        <v>0</v>
      </c>
      <c r="AV329">
        <f t="shared" si="144"/>
        <v>0</v>
      </c>
      <c r="AW329">
        <f t="shared" si="145"/>
        <v>0</v>
      </c>
      <c r="AX329">
        <f t="shared" si="146"/>
        <v>0</v>
      </c>
      <c r="AY329">
        <f t="shared" si="147"/>
        <v>0</v>
      </c>
      <c r="CS329"/>
      <c r="CT329"/>
      <c r="CU329"/>
      <c r="CV329"/>
      <c r="CW329"/>
      <c r="CX329"/>
      <c r="CY329"/>
      <c r="CZ329"/>
      <c r="DA329"/>
    </row>
    <row r="330" spans="1:105" ht="15" customHeight="1">
      <c r="A330" s="108"/>
      <c r="B330" s="38"/>
      <c r="C330" s="1109"/>
      <c r="D330" s="954"/>
      <c r="E330" s="956"/>
      <c r="F330" s="1119" t="s">
        <v>5047</v>
      </c>
      <c r="G330" s="1120"/>
      <c r="H330" s="178"/>
      <c r="I330" s="1111" t="s">
        <v>2631</v>
      </c>
      <c r="J330" s="1111"/>
      <c r="K330" s="1111"/>
      <c r="L330" s="1111"/>
      <c r="M330" s="1111"/>
      <c r="N330" s="1111"/>
      <c r="O330" s="1112"/>
      <c r="P330" s="100"/>
      <c r="Q330" s="100"/>
      <c r="R330" s="100"/>
      <c r="S330" s="100"/>
      <c r="T330" s="100"/>
      <c r="U330" s="100"/>
      <c r="V330" s="100"/>
      <c r="W330" s="100"/>
      <c r="X330" s="100"/>
      <c r="Y330" s="100"/>
      <c r="Z330" s="100"/>
      <c r="AA330" s="100"/>
      <c r="AB330" s="100"/>
      <c r="AC330" s="100"/>
      <c r="AD330" s="100"/>
      <c r="AF330"/>
      <c r="AG330">
        <f t="shared" si="148"/>
        <v>0</v>
      </c>
      <c r="AH330">
        <f t="shared" si="149"/>
        <v>0</v>
      </c>
      <c r="AK330">
        <f t="shared" si="133"/>
        <v>0</v>
      </c>
      <c r="AL330">
        <f t="shared" si="134"/>
        <v>0</v>
      </c>
      <c r="AM330">
        <f t="shared" si="135"/>
        <v>0</v>
      </c>
      <c r="AN330">
        <f t="shared" si="136"/>
        <v>0</v>
      </c>
      <c r="AO330">
        <f t="shared" si="137"/>
        <v>0</v>
      </c>
      <c r="AP330">
        <f t="shared" si="138"/>
        <v>0</v>
      </c>
      <c r="AQ330">
        <f t="shared" si="139"/>
        <v>0</v>
      </c>
      <c r="AR330">
        <f t="shared" si="140"/>
        <v>0</v>
      </c>
      <c r="AS330">
        <f t="shared" si="141"/>
        <v>0</v>
      </c>
      <c r="AT330">
        <f t="shared" si="142"/>
        <v>0</v>
      </c>
      <c r="AU330">
        <f t="shared" si="143"/>
        <v>0</v>
      </c>
      <c r="AV330">
        <f t="shared" si="144"/>
        <v>0</v>
      </c>
      <c r="AW330">
        <f t="shared" si="145"/>
        <v>0</v>
      </c>
      <c r="AX330">
        <f t="shared" si="146"/>
        <v>0</v>
      </c>
      <c r="AY330">
        <f t="shared" si="147"/>
        <v>0</v>
      </c>
      <c r="CS330"/>
      <c r="CT330"/>
      <c r="CU330"/>
      <c r="CV330"/>
      <c r="CW330"/>
      <c r="CX330"/>
      <c r="CY330"/>
      <c r="CZ330"/>
      <c r="DA330"/>
    </row>
    <row r="331" spans="1:105" ht="15" customHeight="1">
      <c r="A331" s="108"/>
      <c r="B331" s="38"/>
      <c r="C331" s="1109"/>
      <c r="D331" s="954"/>
      <c r="E331" s="956"/>
      <c r="F331" s="1103" t="s">
        <v>5048</v>
      </c>
      <c r="G331" s="1103"/>
      <c r="H331" s="1104" t="s">
        <v>5049</v>
      </c>
      <c r="I331" s="1105"/>
      <c r="J331" s="1105"/>
      <c r="K331" s="1105"/>
      <c r="L331" s="1105"/>
      <c r="M331" s="1105"/>
      <c r="N331" s="1105"/>
      <c r="O331" s="1106"/>
      <c r="P331" s="100"/>
      <c r="Q331" s="100"/>
      <c r="R331" s="100"/>
      <c r="S331" s="100"/>
      <c r="T331" s="100"/>
      <c r="U331" s="100"/>
      <c r="V331" s="100"/>
      <c r="W331" s="100"/>
      <c r="X331" s="100"/>
      <c r="Y331" s="100"/>
      <c r="Z331" s="100"/>
      <c r="AA331" s="100"/>
      <c r="AB331" s="100"/>
      <c r="AC331" s="100"/>
      <c r="AD331" s="100"/>
      <c r="AF331"/>
      <c r="AG331">
        <f t="shared" si="148"/>
        <v>0</v>
      </c>
      <c r="AH331">
        <f t="shared" si="149"/>
        <v>0</v>
      </c>
      <c r="AK331">
        <f t="shared" ref="AK331:AK367" si="150">COUNTIF(Q331:R331,"NS")</f>
        <v>0</v>
      </c>
      <c r="AL331">
        <f t="shared" ref="AL331:AL367" si="151">SUM(Q331:R331)</f>
        <v>0</v>
      </c>
      <c r="AM331">
        <f t="shared" ref="AM331:AM367" si="152">IF(COUNTIF(P331:R331,"NA")=3,0,IF(COUNTA(P331:R331)=0,0,IF(OR(AND(P331=0,AK331&gt;0),AND(P331="ns",AL331&gt;0),AND(P331="ns",AK331=0,AL331=0)),1,IF(OR(AND(P331&gt;0,AK331=2),AND(P331="ns",AK331=2),AND(P331="ns",AL331=0,AK331&gt;0),P331=AL331),0,1))))</f>
        <v>0</v>
      </c>
      <c r="AN331">
        <f t="shared" ref="AN331:AN367" si="153">COUNTIF(T331:U331,"NS")</f>
        <v>0</v>
      </c>
      <c r="AO331">
        <f t="shared" ref="AO331:AO367" si="154">SUM(T331:U331)</f>
        <v>0</v>
      </c>
      <c r="AP331">
        <f t="shared" ref="AP331:AP367" si="155">IF(COUNTIF(S331:U331,"NA")=3,0,IF(COUNTA(S331:U331)=0,0,IF(OR(AND(S331=0,AN331&gt;0),AND(S331="ns",AO331&gt;0),AND(S331="ns",AN331=0,AO331=0)),1,IF(OR(AND(S331&gt;0,AN331=2),AND(S331="ns",AN331=2),AND(S331="ns",AO331=0,AN331&gt;0),S331=AO331),0,1))))</f>
        <v>0</v>
      </c>
      <c r="AQ331">
        <f t="shared" ref="AQ331:AQ367" si="156">COUNTIF(W331:X331,"NS")</f>
        <v>0</v>
      </c>
      <c r="AR331">
        <f t="shared" ref="AR331:AR367" si="157">SUM(W331:X331)</f>
        <v>0</v>
      </c>
      <c r="AS331">
        <f t="shared" ref="AS331:AS367" si="158">IF(COUNTIF(V331:X331,"NA")=3,0,IF(COUNTA(V331:X331)=0,0,IF(OR(AND(V331=0,AQ331&gt;0),AND(V331="ns",AR331&gt;0),AND(V331="ns",AQ331=0,AR331=0)),1,IF(OR(AND(V331&gt;0,AQ331=2),AND(V331="ns",AQ331=2),AND(V331="ns",AR331=0,AQ331&gt;0),V331=AR331),0,1))))</f>
        <v>0</v>
      </c>
      <c r="AT331">
        <f t="shared" ref="AT331:AT367" si="159">COUNTIF(Z331:AA331,"NS")</f>
        <v>0</v>
      </c>
      <c r="AU331">
        <f t="shared" ref="AU331:AU367" si="160">SUM(Z331:AA331)</f>
        <v>0</v>
      </c>
      <c r="AV331">
        <f t="shared" ref="AV331:AV367" si="161">IF(COUNTIF(Y331:AA331,"NA")=3,0,IF(COUNTA(Y331:AA331)=0,0,IF(OR(AND(Y331=0,AT331&gt;0),AND(Y331="ns",AU331&gt;0),AND(Y331="ns",AT331=0,AU331=0)),1,IF(OR(AND(Y331&gt;0,AT331=2),AND(Y331="ns",AT331=2),AND(Y331="ns",AU331=0,AT331&gt;0),Y331=AU331),0,1))))</f>
        <v>0</v>
      </c>
      <c r="AW331">
        <f t="shared" ref="AW331:AW367" si="162">COUNTIF(AC331:AD331,"NS")</f>
        <v>0</v>
      </c>
      <c r="AX331">
        <f t="shared" ref="AX331:AX367" si="163">SUM(AC331:AD331)</f>
        <v>0</v>
      </c>
      <c r="AY331">
        <f t="shared" ref="AY331:AY367" si="164">IF(COUNTIF(AB331:AD331,"NA")=3,0,IF(COUNTA(AB331:AD331)=0,0,IF(OR(AND(AB331=0,AW331&gt;0),AND(AB331="ns",AX331&gt;0),AND(AB331="ns",AW331=0,AX331=0)),1,IF(OR(AND(AB331&gt;0,AW331=2),AND(AB331="ns",AW331=2),AND(AB331="ns",AX331=0,AW331&gt;0),AB331=AX331),0,1))))</f>
        <v>0</v>
      </c>
      <c r="CS331"/>
      <c r="CT331"/>
      <c r="CU331"/>
      <c r="CV331"/>
      <c r="CW331"/>
      <c r="CX331"/>
      <c r="CY331"/>
      <c r="CZ331"/>
      <c r="DA331"/>
    </row>
    <row r="332" spans="1:105" ht="15" customHeight="1">
      <c r="A332" s="108"/>
      <c r="B332" s="38"/>
      <c r="C332" s="1109"/>
      <c r="D332" s="954"/>
      <c r="E332" s="956"/>
      <c r="F332" s="1103" t="s">
        <v>5050</v>
      </c>
      <c r="G332" s="1103"/>
      <c r="H332" s="1104" t="s">
        <v>5051</v>
      </c>
      <c r="I332" s="1105"/>
      <c r="J332" s="1105"/>
      <c r="K332" s="1105"/>
      <c r="L332" s="1105"/>
      <c r="M332" s="1105"/>
      <c r="N332" s="1105"/>
      <c r="O332" s="1106"/>
      <c r="P332" s="100"/>
      <c r="Q332" s="100"/>
      <c r="R332" s="100"/>
      <c r="S332" s="100"/>
      <c r="T332" s="100"/>
      <c r="U332" s="100"/>
      <c r="V332" s="100"/>
      <c r="W332" s="100"/>
      <c r="X332" s="100"/>
      <c r="Y332" s="100"/>
      <c r="Z332" s="100"/>
      <c r="AA332" s="100"/>
      <c r="AB332" s="100"/>
      <c r="AC332" s="100"/>
      <c r="AD332" s="100"/>
      <c r="AF332"/>
      <c r="AG332">
        <f t="shared" ref="AG332:AG366" si="165">IF(OR($P$175=0,$P$175="NS",$P$175="NA",P332="NA"),0,IF(SUM(COUNTBLANK(P332:AD332),COUNTBLANK(G503:AD503))=0,0,1))</f>
        <v>0</v>
      </c>
      <c r="AH332">
        <f t="shared" ref="AH332:AH366" si="166">IF(P332="NA",IF(COUNTA(Q332:AD332,G503:AD503)=0,0,1),0)</f>
        <v>0</v>
      </c>
      <c r="AK332">
        <f t="shared" si="150"/>
        <v>0</v>
      </c>
      <c r="AL332">
        <f t="shared" si="151"/>
        <v>0</v>
      </c>
      <c r="AM332">
        <f t="shared" si="152"/>
        <v>0</v>
      </c>
      <c r="AN332">
        <f t="shared" si="153"/>
        <v>0</v>
      </c>
      <c r="AO332">
        <f t="shared" si="154"/>
        <v>0</v>
      </c>
      <c r="AP332">
        <f t="shared" si="155"/>
        <v>0</v>
      </c>
      <c r="AQ332">
        <f t="shared" si="156"/>
        <v>0</v>
      </c>
      <c r="AR332">
        <f t="shared" si="157"/>
        <v>0</v>
      </c>
      <c r="AS332">
        <f t="shared" si="158"/>
        <v>0</v>
      </c>
      <c r="AT332">
        <f t="shared" si="159"/>
        <v>0</v>
      </c>
      <c r="AU332">
        <f t="shared" si="160"/>
        <v>0</v>
      </c>
      <c r="AV332">
        <f t="shared" si="161"/>
        <v>0</v>
      </c>
      <c r="AW332">
        <f t="shared" si="162"/>
        <v>0</v>
      </c>
      <c r="AX332">
        <f t="shared" si="163"/>
        <v>0</v>
      </c>
      <c r="AY332">
        <f t="shared" si="164"/>
        <v>0</v>
      </c>
      <c r="CS332"/>
      <c r="CT332"/>
      <c r="CU332"/>
      <c r="CV332"/>
      <c r="CW332"/>
      <c r="CX332"/>
      <c r="CY332"/>
      <c r="CZ332"/>
      <c r="DA332"/>
    </row>
    <row r="333" spans="1:105" ht="24" customHeight="1">
      <c r="A333" s="108"/>
      <c r="B333" s="38"/>
      <c r="C333" s="1109"/>
      <c r="D333" s="954"/>
      <c r="E333" s="956"/>
      <c r="F333" s="1103" t="s">
        <v>5052</v>
      </c>
      <c r="G333" s="1103"/>
      <c r="H333" s="1104" t="s">
        <v>5053</v>
      </c>
      <c r="I333" s="1105"/>
      <c r="J333" s="1105"/>
      <c r="K333" s="1105"/>
      <c r="L333" s="1105"/>
      <c r="M333" s="1105"/>
      <c r="N333" s="1105"/>
      <c r="O333" s="1106"/>
      <c r="P333" s="100"/>
      <c r="Q333" s="100"/>
      <c r="R333" s="100"/>
      <c r="S333" s="100"/>
      <c r="T333" s="100"/>
      <c r="U333" s="100"/>
      <c r="V333" s="100"/>
      <c r="W333" s="100"/>
      <c r="X333" s="100"/>
      <c r="Y333" s="100"/>
      <c r="Z333" s="100"/>
      <c r="AA333" s="100"/>
      <c r="AB333" s="100"/>
      <c r="AC333" s="100"/>
      <c r="AD333" s="100"/>
      <c r="AF333"/>
      <c r="AG333">
        <f t="shared" si="165"/>
        <v>0</v>
      </c>
      <c r="AH333">
        <f t="shared" si="166"/>
        <v>0</v>
      </c>
      <c r="AJ333">
        <f>IF(OR(P333="NS",P333="NA",$P$175=0,$P$175="NS",$P$175="NA"),0,IF((P333*(IFERROR(100/SUM(P317:P333),0)))&gt;25,1,0))</f>
        <v>0</v>
      </c>
      <c r="AK333">
        <f t="shared" si="150"/>
        <v>0</v>
      </c>
      <c r="AL333">
        <f t="shared" si="151"/>
        <v>0</v>
      </c>
      <c r="AM333">
        <f t="shared" si="152"/>
        <v>0</v>
      </c>
      <c r="AN333">
        <f t="shared" si="153"/>
        <v>0</v>
      </c>
      <c r="AO333">
        <f t="shared" si="154"/>
        <v>0</v>
      </c>
      <c r="AP333">
        <f t="shared" si="155"/>
        <v>0</v>
      </c>
      <c r="AQ333">
        <f t="shared" si="156"/>
        <v>0</v>
      </c>
      <c r="AR333">
        <f t="shared" si="157"/>
        <v>0</v>
      </c>
      <c r="AS333">
        <f t="shared" si="158"/>
        <v>0</v>
      </c>
      <c r="AT333">
        <f t="shared" si="159"/>
        <v>0</v>
      </c>
      <c r="AU333">
        <f t="shared" si="160"/>
        <v>0</v>
      </c>
      <c r="AV333">
        <f t="shared" si="161"/>
        <v>0</v>
      </c>
      <c r="AW333">
        <f t="shared" si="162"/>
        <v>0</v>
      </c>
      <c r="AX333">
        <f t="shared" si="163"/>
        <v>0</v>
      </c>
      <c r="AY333">
        <f t="shared" si="164"/>
        <v>0</v>
      </c>
      <c r="CS333"/>
      <c r="CT333"/>
      <c r="CU333"/>
      <c r="CV333"/>
      <c r="CW333"/>
      <c r="CX333"/>
      <c r="CY333"/>
      <c r="CZ333"/>
      <c r="DA333"/>
    </row>
    <row r="334" spans="1:105" ht="15" customHeight="1">
      <c r="A334" s="108"/>
      <c r="B334" s="38"/>
      <c r="C334" s="1108" t="s">
        <v>5054</v>
      </c>
      <c r="D334" s="874" t="s">
        <v>5055</v>
      </c>
      <c r="E334" s="874"/>
      <c r="F334" s="1103" t="s">
        <v>5056</v>
      </c>
      <c r="G334" s="1103"/>
      <c r="H334" s="1104" t="s">
        <v>5057</v>
      </c>
      <c r="I334" s="1105"/>
      <c r="J334" s="1105"/>
      <c r="K334" s="1105"/>
      <c r="L334" s="1105"/>
      <c r="M334" s="1105"/>
      <c r="N334" s="1105"/>
      <c r="O334" s="1106"/>
      <c r="P334" s="100"/>
      <c r="Q334" s="100"/>
      <c r="R334" s="100"/>
      <c r="S334" s="100"/>
      <c r="T334" s="100"/>
      <c r="U334" s="100"/>
      <c r="V334" s="100"/>
      <c r="W334" s="100"/>
      <c r="X334" s="100"/>
      <c r="Y334" s="100"/>
      <c r="Z334" s="100"/>
      <c r="AA334" s="100"/>
      <c r="AB334" s="100"/>
      <c r="AC334" s="100"/>
      <c r="AD334" s="100"/>
      <c r="AF334"/>
      <c r="AG334">
        <f t="shared" si="165"/>
        <v>0</v>
      </c>
      <c r="AH334">
        <f t="shared" si="166"/>
        <v>0</v>
      </c>
      <c r="AK334">
        <f t="shared" si="150"/>
        <v>0</v>
      </c>
      <c r="AL334">
        <f t="shared" si="151"/>
        <v>0</v>
      </c>
      <c r="AM334">
        <f t="shared" si="152"/>
        <v>0</v>
      </c>
      <c r="AN334">
        <f t="shared" si="153"/>
        <v>0</v>
      </c>
      <c r="AO334">
        <f t="shared" si="154"/>
        <v>0</v>
      </c>
      <c r="AP334">
        <f t="shared" si="155"/>
        <v>0</v>
      </c>
      <c r="AQ334">
        <f t="shared" si="156"/>
        <v>0</v>
      </c>
      <c r="AR334">
        <f t="shared" si="157"/>
        <v>0</v>
      </c>
      <c r="AS334">
        <f t="shared" si="158"/>
        <v>0</v>
      </c>
      <c r="AT334">
        <f t="shared" si="159"/>
        <v>0</v>
      </c>
      <c r="AU334">
        <f t="shared" si="160"/>
        <v>0</v>
      </c>
      <c r="AV334">
        <f t="shared" si="161"/>
        <v>0</v>
      </c>
      <c r="AW334">
        <f t="shared" si="162"/>
        <v>0</v>
      </c>
      <c r="AX334">
        <f t="shared" si="163"/>
        <v>0</v>
      </c>
      <c r="AY334">
        <f t="shared" si="164"/>
        <v>0</v>
      </c>
      <c r="CS334"/>
      <c r="CT334"/>
      <c r="CU334"/>
      <c r="CV334"/>
      <c r="CW334"/>
      <c r="CX334"/>
      <c r="CY334"/>
      <c r="CZ334"/>
      <c r="DA334"/>
    </row>
    <row r="335" spans="1:105" ht="15" customHeight="1">
      <c r="A335" s="108"/>
      <c r="B335" s="38"/>
      <c r="C335" s="1109"/>
      <c r="D335" s="874"/>
      <c r="E335" s="874"/>
      <c r="F335" s="1103" t="s">
        <v>5058</v>
      </c>
      <c r="G335" s="1103"/>
      <c r="H335" s="1104" t="s">
        <v>5059</v>
      </c>
      <c r="I335" s="1105"/>
      <c r="J335" s="1105"/>
      <c r="K335" s="1105"/>
      <c r="L335" s="1105"/>
      <c r="M335" s="1105"/>
      <c r="N335" s="1105"/>
      <c r="O335" s="1106"/>
      <c r="P335" s="100"/>
      <c r="Q335" s="100"/>
      <c r="R335" s="100"/>
      <c r="S335" s="100"/>
      <c r="T335" s="100"/>
      <c r="U335" s="100"/>
      <c r="V335" s="100"/>
      <c r="W335" s="100"/>
      <c r="X335" s="100"/>
      <c r="Y335" s="100"/>
      <c r="Z335" s="100"/>
      <c r="AA335" s="100"/>
      <c r="AB335" s="100"/>
      <c r="AC335" s="100"/>
      <c r="AD335" s="100"/>
      <c r="AF335"/>
      <c r="AG335">
        <f t="shared" si="165"/>
        <v>0</v>
      </c>
      <c r="AH335">
        <f t="shared" si="166"/>
        <v>0</v>
      </c>
      <c r="AK335">
        <f t="shared" si="150"/>
        <v>0</v>
      </c>
      <c r="AL335">
        <f t="shared" si="151"/>
        <v>0</v>
      </c>
      <c r="AM335">
        <f t="shared" si="152"/>
        <v>0</v>
      </c>
      <c r="AN335">
        <f t="shared" si="153"/>
        <v>0</v>
      </c>
      <c r="AO335">
        <f t="shared" si="154"/>
        <v>0</v>
      </c>
      <c r="AP335">
        <f t="shared" si="155"/>
        <v>0</v>
      </c>
      <c r="AQ335">
        <f t="shared" si="156"/>
        <v>0</v>
      </c>
      <c r="AR335">
        <f t="shared" si="157"/>
        <v>0</v>
      </c>
      <c r="AS335">
        <f t="shared" si="158"/>
        <v>0</v>
      </c>
      <c r="AT335">
        <f t="shared" si="159"/>
        <v>0</v>
      </c>
      <c r="AU335">
        <f t="shared" si="160"/>
        <v>0</v>
      </c>
      <c r="AV335">
        <f t="shared" si="161"/>
        <v>0</v>
      </c>
      <c r="AW335">
        <f t="shared" si="162"/>
        <v>0</v>
      </c>
      <c r="AX335">
        <f t="shared" si="163"/>
        <v>0</v>
      </c>
      <c r="AY335">
        <f t="shared" si="164"/>
        <v>0</v>
      </c>
      <c r="CS335"/>
      <c r="CT335"/>
      <c r="CU335"/>
      <c r="CV335"/>
      <c r="CW335"/>
      <c r="CX335"/>
      <c r="CY335"/>
      <c r="CZ335"/>
      <c r="DA335"/>
    </row>
    <row r="336" spans="1:105" ht="15" customHeight="1">
      <c r="A336" s="108"/>
      <c r="B336" s="38"/>
      <c r="C336" s="1109"/>
      <c r="D336" s="874"/>
      <c r="E336" s="874"/>
      <c r="F336" s="1103" t="s">
        <v>5060</v>
      </c>
      <c r="G336" s="1103"/>
      <c r="H336" s="1104" t="s">
        <v>5061</v>
      </c>
      <c r="I336" s="1105"/>
      <c r="J336" s="1105"/>
      <c r="K336" s="1105"/>
      <c r="L336" s="1105"/>
      <c r="M336" s="1105"/>
      <c r="N336" s="1105"/>
      <c r="O336" s="1106"/>
      <c r="P336" s="100"/>
      <c r="Q336" s="100"/>
      <c r="R336" s="100"/>
      <c r="S336" s="100"/>
      <c r="T336" s="100"/>
      <c r="U336" s="100"/>
      <c r="V336" s="100"/>
      <c r="W336" s="100"/>
      <c r="X336" s="100"/>
      <c r="Y336" s="100"/>
      <c r="Z336" s="100"/>
      <c r="AA336" s="100"/>
      <c r="AB336" s="100"/>
      <c r="AC336" s="100"/>
      <c r="AD336" s="100"/>
      <c r="AF336"/>
      <c r="AG336">
        <f t="shared" si="165"/>
        <v>0</v>
      </c>
      <c r="AH336">
        <f t="shared" si="166"/>
        <v>0</v>
      </c>
      <c r="AK336">
        <f t="shared" si="150"/>
        <v>0</v>
      </c>
      <c r="AL336">
        <f t="shared" si="151"/>
        <v>0</v>
      </c>
      <c r="AM336">
        <f t="shared" si="152"/>
        <v>0</v>
      </c>
      <c r="AN336">
        <f t="shared" si="153"/>
        <v>0</v>
      </c>
      <c r="AO336">
        <f t="shared" si="154"/>
        <v>0</v>
      </c>
      <c r="AP336">
        <f t="shared" si="155"/>
        <v>0</v>
      </c>
      <c r="AQ336">
        <f t="shared" si="156"/>
        <v>0</v>
      </c>
      <c r="AR336">
        <f t="shared" si="157"/>
        <v>0</v>
      </c>
      <c r="AS336">
        <f t="shared" si="158"/>
        <v>0</v>
      </c>
      <c r="AT336">
        <f t="shared" si="159"/>
        <v>0</v>
      </c>
      <c r="AU336">
        <f t="shared" si="160"/>
        <v>0</v>
      </c>
      <c r="AV336">
        <f t="shared" si="161"/>
        <v>0</v>
      </c>
      <c r="AW336">
        <f t="shared" si="162"/>
        <v>0</v>
      </c>
      <c r="AX336">
        <f t="shared" si="163"/>
        <v>0</v>
      </c>
      <c r="AY336">
        <f t="shared" si="164"/>
        <v>0</v>
      </c>
      <c r="CS336"/>
      <c r="CT336"/>
      <c r="CU336"/>
      <c r="CV336"/>
      <c r="CW336"/>
      <c r="CX336"/>
      <c r="CY336"/>
      <c r="CZ336"/>
      <c r="DA336"/>
    </row>
    <row r="337" spans="1:105">
      <c r="A337" s="108"/>
      <c r="B337" s="38"/>
      <c r="C337" s="1109"/>
      <c r="D337" s="874"/>
      <c r="E337" s="874"/>
      <c r="F337" s="1103" t="s">
        <v>5062</v>
      </c>
      <c r="G337" s="1103"/>
      <c r="H337" s="1104" t="s">
        <v>5063</v>
      </c>
      <c r="I337" s="1105"/>
      <c r="J337" s="1105"/>
      <c r="K337" s="1105"/>
      <c r="L337" s="1105"/>
      <c r="M337" s="1105"/>
      <c r="N337" s="1105"/>
      <c r="O337" s="1106"/>
      <c r="P337" s="100"/>
      <c r="Q337" s="100"/>
      <c r="R337" s="100"/>
      <c r="S337" s="100"/>
      <c r="T337" s="100"/>
      <c r="U337" s="100"/>
      <c r="V337" s="100"/>
      <c r="W337" s="100"/>
      <c r="X337" s="100"/>
      <c r="Y337" s="100"/>
      <c r="Z337" s="100"/>
      <c r="AA337" s="100"/>
      <c r="AB337" s="100"/>
      <c r="AC337" s="100"/>
      <c r="AD337" s="100"/>
      <c r="AF337"/>
      <c r="AG337">
        <f t="shared" si="165"/>
        <v>0</v>
      </c>
      <c r="AH337">
        <f t="shared" si="166"/>
        <v>0</v>
      </c>
      <c r="AK337">
        <f t="shared" si="150"/>
        <v>0</v>
      </c>
      <c r="AL337">
        <f t="shared" si="151"/>
        <v>0</v>
      </c>
      <c r="AM337">
        <f t="shared" si="152"/>
        <v>0</v>
      </c>
      <c r="AN337">
        <f t="shared" si="153"/>
        <v>0</v>
      </c>
      <c r="AO337">
        <f t="shared" si="154"/>
        <v>0</v>
      </c>
      <c r="AP337">
        <f t="shared" si="155"/>
        <v>0</v>
      </c>
      <c r="AQ337">
        <f t="shared" si="156"/>
        <v>0</v>
      </c>
      <c r="AR337">
        <f t="shared" si="157"/>
        <v>0</v>
      </c>
      <c r="AS337">
        <f t="shared" si="158"/>
        <v>0</v>
      </c>
      <c r="AT337">
        <f t="shared" si="159"/>
        <v>0</v>
      </c>
      <c r="AU337">
        <f t="shared" si="160"/>
        <v>0</v>
      </c>
      <c r="AV337">
        <f t="shared" si="161"/>
        <v>0</v>
      </c>
      <c r="AW337">
        <f t="shared" si="162"/>
        <v>0</v>
      </c>
      <c r="AX337">
        <f t="shared" si="163"/>
        <v>0</v>
      </c>
      <c r="AY337">
        <f t="shared" si="164"/>
        <v>0</v>
      </c>
      <c r="CS337"/>
      <c r="CT337"/>
      <c r="CU337"/>
      <c r="CV337"/>
      <c r="CW337"/>
      <c r="CX337"/>
      <c r="CY337"/>
      <c r="CZ337"/>
      <c r="DA337"/>
    </row>
    <row r="338" spans="1:105" ht="24" customHeight="1">
      <c r="A338" s="108"/>
      <c r="B338" s="38"/>
      <c r="C338" s="1109"/>
      <c r="D338" s="874"/>
      <c r="E338" s="874"/>
      <c r="F338" s="1103" t="s">
        <v>5064</v>
      </c>
      <c r="G338" s="1103"/>
      <c r="H338" s="1104" t="s">
        <v>5065</v>
      </c>
      <c r="I338" s="1105"/>
      <c r="J338" s="1105"/>
      <c r="K338" s="1105"/>
      <c r="L338" s="1105"/>
      <c r="M338" s="1105"/>
      <c r="N338" s="1105"/>
      <c r="O338" s="1106"/>
      <c r="P338" s="100"/>
      <c r="Q338" s="100"/>
      <c r="R338" s="100"/>
      <c r="S338" s="100"/>
      <c r="T338" s="100"/>
      <c r="U338" s="100"/>
      <c r="V338" s="100"/>
      <c r="W338" s="100"/>
      <c r="X338" s="100"/>
      <c r="Y338" s="100"/>
      <c r="Z338" s="100"/>
      <c r="AA338" s="100"/>
      <c r="AB338" s="100"/>
      <c r="AC338" s="100"/>
      <c r="AD338" s="100"/>
      <c r="AF338">
        <f>IF(P338="NA",IF(AND(COUNTIF(P339:P345,"="&amp;$AF$212)=0,COUNTIF(P339:P345,"&lt;&gt;NA")&gt;0),1,0),IF(AND(COUNTIF(P339:P345,"="&amp;$AF$212)=0,COUNTIF(P339:P345,"NA")=COUNTIF(P339:P345,"&lt;&gt;"&amp;$AF$212)),1,0))</f>
        <v>0</v>
      </c>
      <c r="AG338">
        <f t="shared" si="165"/>
        <v>0</v>
      </c>
      <c r="AH338">
        <f t="shared" si="166"/>
        <v>0</v>
      </c>
      <c r="AK338">
        <f t="shared" si="150"/>
        <v>0</v>
      </c>
      <c r="AL338">
        <f t="shared" si="151"/>
        <v>0</v>
      </c>
      <c r="AM338">
        <f t="shared" si="152"/>
        <v>0</v>
      </c>
      <c r="AN338">
        <f t="shared" si="153"/>
        <v>0</v>
      </c>
      <c r="AO338">
        <f t="shared" si="154"/>
        <v>0</v>
      </c>
      <c r="AP338">
        <f t="shared" si="155"/>
        <v>0</v>
      </c>
      <c r="AQ338">
        <f t="shared" si="156"/>
        <v>0</v>
      </c>
      <c r="AR338">
        <f t="shared" si="157"/>
        <v>0</v>
      </c>
      <c r="AS338">
        <f t="shared" si="158"/>
        <v>0</v>
      </c>
      <c r="AT338">
        <f t="shared" si="159"/>
        <v>0</v>
      </c>
      <c r="AU338">
        <f t="shared" si="160"/>
        <v>0</v>
      </c>
      <c r="AV338">
        <f t="shared" si="161"/>
        <v>0</v>
      </c>
      <c r="AW338">
        <f t="shared" si="162"/>
        <v>0</v>
      </c>
      <c r="AX338">
        <f t="shared" si="163"/>
        <v>0</v>
      </c>
      <c r="AY338">
        <f t="shared" si="164"/>
        <v>0</v>
      </c>
      <c r="CS338"/>
      <c r="CT338"/>
      <c r="CU338"/>
      <c r="CV338"/>
      <c r="CW338"/>
      <c r="CX338"/>
      <c r="CY338"/>
      <c r="CZ338"/>
      <c r="DA338"/>
    </row>
    <row r="339" spans="1:105" ht="36" customHeight="1">
      <c r="A339" s="108"/>
      <c r="B339" s="38"/>
      <c r="C339" s="1109"/>
      <c r="D339" s="874"/>
      <c r="E339" s="874"/>
      <c r="F339" s="1110" t="s">
        <v>5066</v>
      </c>
      <c r="G339" s="1110"/>
      <c r="H339" s="178"/>
      <c r="I339" s="1111" t="s">
        <v>5067</v>
      </c>
      <c r="J339" s="1111"/>
      <c r="K339" s="1111"/>
      <c r="L339" s="1111"/>
      <c r="M339" s="1111"/>
      <c r="N339" s="1111"/>
      <c r="O339" s="1112"/>
      <c r="P339" s="100"/>
      <c r="Q339" s="100"/>
      <c r="R339" s="100"/>
      <c r="S339" s="100"/>
      <c r="T339" s="100"/>
      <c r="U339" s="100"/>
      <c r="V339" s="100"/>
      <c r="W339" s="100"/>
      <c r="X339" s="100"/>
      <c r="Y339" s="100"/>
      <c r="Z339" s="100"/>
      <c r="AA339" s="100"/>
      <c r="AB339" s="100"/>
      <c r="AC339" s="100"/>
      <c r="AD339" s="100"/>
      <c r="AF339"/>
      <c r="AG339">
        <f t="shared" si="165"/>
        <v>0</v>
      </c>
      <c r="AH339">
        <f t="shared" si="166"/>
        <v>0</v>
      </c>
      <c r="AK339">
        <f t="shared" si="150"/>
        <v>0</v>
      </c>
      <c r="AL339">
        <f t="shared" si="151"/>
        <v>0</v>
      </c>
      <c r="AM339">
        <f t="shared" si="152"/>
        <v>0</v>
      </c>
      <c r="AN339">
        <f t="shared" si="153"/>
        <v>0</v>
      </c>
      <c r="AO339">
        <f t="shared" si="154"/>
        <v>0</v>
      </c>
      <c r="AP339">
        <f t="shared" si="155"/>
        <v>0</v>
      </c>
      <c r="AQ339">
        <f t="shared" si="156"/>
        <v>0</v>
      </c>
      <c r="AR339">
        <f t="shared" si="157"/>
        <v>0</v>
      </c>
      <c r="AS339">
        <f t="shared" si="158"/>
        <v>0</v>
      </c>
      <c r="AT339">
        <f t="shared" si="159"/>
        <v>0</v>
      </c>
      <c r="AU339">
        <f t="shared" si="160"/>
        <v>0</v>
      </c>
      <c r="AV339">
        <f t="shared" si="161"/>
        <v>0</v>
      </c>
      <c r="AW339">
        <f t="shared" si="162"/>
        <v>0</v>
      </c>
      <c r="AX339">
        <f t="shared" si="163"/>
        <v>0</v>
      </c>
      <c r="AY339">
        <f t="shared" si="164"/>
        <v>0</v>
      </c>
      <c r="CS339"/>
      <c r="CT339"/>
      <c r="CU339"/>
      <c r="CV339"/>
      <c r="CW339"/>
      <c r="CX339"/>
      <c r="CY339"/>
      <c r="CZ339"/>
      <c r="DA339"/>
    </row>
    <row r="340" spans="1:105" ht="36" customHeight="1">
      <c r="A340" s="108"/>
      <c r="B340" s="38"/>
      <c r="C340" s="1109"/>
      <c r="D340" s="874"/>
      <c r="E340" s="874"/>
      <c r="F340" s="1110" t="s">
        <v>5068</v>
      </c>
      <c r="G340" s="1110"/>
      <c r="H340" s="178"/>
      <c r="I340" s="1111" t="s">
        <v>5069</v>
      </c>
      <c r="J340" s="1111"/>
      <c r="K340" s="1111"/>
      <c r="L340" s="1111"/>
      <c r="M340" s="1111"/>
      <c r="N340" s="1111"/>
      <c r="O340" s="1112"/>
      <c r="P340" s="100"/>
      <c r="Q340" s="100"/>
      <c r="R340" s="100"/>
      <c r="S340" s="100"/>
      <c r="T340" s="100"/>
      <c r="U340" s="100"/>
      <c r="V340" s="100"/>
      <c r="W340" s="100"/>
      <c r="X340" s="100"/>
      <c r="Y340" s="100"/>
      <c r="Z340" s="100"/>
      <c r="AA340" s="100"/>
      <c r="AB340" s="100"/>
      <c r="AC340" s="100"/>
      <c r="AD340" s="100"/>
      <c r="AF340"/>
      <c r="AG340">
        <f t="shared" si="165"/>
        <v>0</v>
      </c>
      <c r="AH340">
        <f t="shared" si="166"/>
        <v>0</v>
      </c>
      <c r="AK340">
        <f t="shared" si="150"/>
        <v>0</v>
      </c>
      <c r="AL340">
        <f t="shared" si="151"/>
        <v>0</v>
      </c>
      <c r="AM340">
        <f t="shared" si="152"/>
        <v>0</v>
      </c>
      <c r="AN340">
        <f t="shared" si="153"/>
        <v>0</v>
      </c>
      <c r="AO340">
        <f t="shared" si="154"/>
        <v>0</v>
      </c>
      <c r="AP340">
        <f t="shared" si="155"/>
        <v>0</v>
      </c>
      <c r="AQ340">
        <f t="shared" si="156"/>
        <v>0</v>
      </c>
      <c r="AR340">
        <f t="shared" si="157"/>
        <v>0</v>
      </c>
      <c r="AS340">
        <f t="shared" si="158"/>
        <v>0</v>
      </c>
      <c r="AT340">
        <f t="shared" si="159"/>
        <v>0</v>
      </c>
      <c r="AU340">
        <f t="shared" si="160"/>
        <v>0</v>
      </c>
      <c r="AV340">
        <f t="shared" si="161"/>
        <v>0</v>
      </c>
      <c r="AW340">
        <f t="shared" si="162"/>
        <v>0</v>
      </c>
      <c r="AX340">
        <f t="shared" si="163"/>
        <v>0</v>
      </c>
      <c r="AY340">
        <f t="shared" si="164"/>
        <v>0</v>
      </c>
      <c r="CS340"/>
      <c r="CT340"/>
      <c r="CU340"/>
      <c r="CV340"/>
      <c r="CW340"/>
      <c r="CX340"/>
      <c r="CY340"/>
      <c r="CZ340"/>
      <c r="DA340"/>
    </row>
    <row r="341" spans="1:105" ht="48" customHeight="1">
      <c r="A341" s="108"/>
      <c r="B341" s="38"/>
      <c r="C341" s="1109"/>
      <c r="D341" s="874"/>
      <c r="E341" s="874"/>
      <c r="F341" s="1110" t="s">
        <v>5070</v>
      </c>
      <c r="G341" s="1110"/>
      <c r="H341" s="178"/>
      <c r="I341" s="1111" t="s">
        <v>5071</v>
      </c>
      <c r="J341" s="1111"/>
      <c r="K341" s="1111"/>
      <c r="L341" s="1111"/>
      <c r="M341" s="1111"/>
      <c r="N341" s="1111"/>
      <c r="O341" s="1112"/>
      <c r="P341" s="100"/>
      <c r="Q341" s="100"/>
      <c r="R341" s="100"/>
      <c r="S341" s="100"/>
      <c r="T341" s="100"/>
      <c r="U341" s="100"/>
      <c r="V341" s="100"/>
      <c r="W341" s="100"/>
      <c r="X341" s="100"/>
      <c r="Y341" s="100"/>
      <c r="Z341" s="100"/>
      <c r="AA341" s="100"/>
      <c r="AB341" s="100"/>
      <c r="AC341" s="100"/>
      <c r="AD341" s="100"/>
      <c r="AF341"/>
      <c r="AG341">
        <f t="shared" si="165"/>
        <v>0</v>
      </c>
      <c r="AH341">
        <f t="shared" si="166"/>
        <v>0</v>
      </c>
      <c r="AK341">
        <f t="shared" si="150"/>
        <v>0</v>
      </c>
      <c r="AL341">
        <f t="shared" si="151"/>
        <v>0</v>
      </c>
      <c r="AM341">
        <f t="shared" si="152"/>
        <v>0</v>
      </c>
      <c r="AN341">
        <f t="shared" si="153"/>
        <v>0</v>
      </c>
      <c r="AO341">
        <f t="shared" si="154"/>
        <v>0</v>
      </c>
      <c r="AP341">
        <f t="shared" si="155"/>
        <v>0</v>
      </c>
      <c r="AQ341">
        <f t="shared" si="156"/>
        <v>0</v>
      </c>
      <c r="AR341">
        <f t="shared" si="157"/>
        <v>0</v>
      </c>
      <c r="AS341">
        <f t="shared" si="158"/>
        <v>0</v>
      </c>
      <c r="AT341">
        <f t="shared" si="159"/>
        <v>0</v>
      </c>
      <c r="AU341">
        <f t="shared" si="160"/>
        <v>0</v>
      </c>
      <c r="AV341">
        <f t="shared" si="161"/>
        <v>0</v>
      </c>
      <c r="AW341">
        <f t="shared" si="162"/>
        <v>0</v>
      </c>
      <c r="AX341">
        <f t="shared" si="163"/>
        <v>0</v>
      </c>
      <c r="AY341">
        <f t="shared" si="164"/>
        <v>0</v>
      </c>
      <c r="CS341"/>
      <c r="CT341"/>
      <c r="CU341"/>
      <c r="CV341"/>
      <c r="CW341"/>
      <c r="CX341"/>
      <c r="CY341"/>
      <c r="CZ341"/>
      <c r="DA341"/>
    </row>
    <row r="342" spans="1:105" ht="24" customHeight="1">
      <c r="A342" s="108"/>
      <c r="B342" s="38"/>
      <c r="C342" s="1109"/>
      <c r="D342" s="874"/>
      <c r="E342" s="874"/>
      <c r="F342" s="1110" t="s">
        <v>5072</v>
      </c>
      <c r="G342" s="1110"/>
      <c r="H342" s="178"/>
      <c r="I342" s="1111" t="s">
        <v>5073</v>
      </c>
      <c r="J342" s="1111"/>
      <c r="K342" s="1111"/>
      <c r="L342" s="1111"/>
      <c r="M342" s="1111"/>
      <c r="N342" s="1111"/>
      <c r="O342" s="1112"/>
      <c r="P342" s="100"/>
      <c r="Q342" s="100"/>
      <c r="R342" s="100"/>
      <c r="S342" s="100"/>
      <c r="T342" s="100"/>
      <c r="U342" s="100"/>
      <c r="V342" s="100"/>
      <c r="W342" s="100"/>
      <c r="X342" s="100"/>
      <c r="Y342" s="100"/>
      <c r="Z342" s="100"/>
      <c r="AA342" s="100"/>
      <c r="AB342" s="100"/>
      <c r="AC342" s="100"/>
      <c r="AD342" s="100"/>
      <c r="AF342"/>
      <c r="AG342">
        <f t="shared" si="165"/>
        <v>0</v>
      </c>
      <c r="AH342">
        <f t="shared" si="166"/>
        <v>0</v>
      </c>
      <c r="AK342">
        <f t="shared" si="150"/>
        <v>0</v>
      </c>
      <c r="AL342">
        <f t="shared" si="151"/>
        <v>0</v>
      </c>
      <c r="AM342">
        <f t="shared" si="152"/>
        <v>0</v>
      </c>
      <c r="AN342">
        <f t="shared" si="153"/>
        <v>0</v>
      </c>
      <c r="AO342">
        <f t="shared" si="154"/>
        <v>0</v>
      </c>
      <c r="AP342">
        <f t="shared" si="155"/>
        <v>0</v>
      </c>
      <c r="AQ342">
        <f t="shared" si="156"/>
        <v>0</v>
      </c>
      <c r="AR342">
        <f t="shared" si="157"/>
        <v>0</v>
      </c>
      <c r="AS342">
        <f t="shared" si="158"/>
        <v>0</v>
      </c>
      <c r="AT342">
        <f t="shared" si="159"/>
        <v>0</v>
      </c>
      <c r="AU342">
        <f t="shared" si="160"/>
        <v>0</v>
      </c>
      <c r="AV342">
        <f t="shared" si="161"/>
        <v>0</v>
      </c>
      <c r="AW342">
        <f t="shared" si="162"/>
        <v>0</v>
      </c>
      <c r="AX342">
        <f t="shared" si="163"/>
        <v>0</v>
      </c>
      <c r="AY342">
        <f t="shared" si="164"/>
        <v>0</v>
      </c>
      <c r="CS342"/>
      <c r="CT342"/>
      <c r="CU342"/>
      <c r="CV342"/>
      <c r="CW342"/>
      <c r="CX342"/>
      <c r="CY342"/>
      <c r="CZ342"/>
      <c r="DA342"/>
    </row>
    <row r="343" spans="1:105" ht="24" customHeight="1">
      <c r="A343" s="108"/>
      <c r="B343" s="38"/>
      <c r="C343" s="1109"/>
      <c r="D343" s="874"/>
      <c r="E343" s="874"/>
      <c r="F343" s="1110" t="s">
        <v>5074</v>
      </c>
      <c r="G343" s="1110"/>
      <c r="H343" s="178"/>
      <c r="I343" s="1111" t="s">
        <v>5075</v>
      </c>
      <c r="J343" s="1111"/>
      <c r="K343" s="1111"/>
      <c r="L343" s="1111"/>
      <c r="M343" s="1111"/>
      <c r="N343" s="1111"/>
      <c r="O343" s="1112"/>
      <c r="P343" s="100"/>
      <c r="Q343" s="100"/>
      <c r="R343" s="100"/>
      <c r="S343" s="100"/>
      <c r="T343" s="100"/>
      <c r="U343" s="100"/>
      <c r="V343" s="100"/>
      <c r="W343" s="100"/>
      <c r="X343" s="100"/>
      <c r="Y343" s="100"/>
      <c r="Z343" s="100"/>
      <c r="AA343" s="100"/>
      <c r="AB343" s="100"/>
      <c r="AC343" s="100"/>
      <c r="AD343" s="100"/>
      <c r="AF343"/>
      <c r="AG343">
        <f t="shared" si="165"/>
        <v>0</v>
      </c>
      <c r="AH343">
        <f t="shared" si="166"/>
        <v>0</v>
      </c>
      <c r="AK343">
        <f t="shared" si="150"/>
        <v>0</v>
      </c>
      <c r="AL343">
        <f t="shared" si="151"/>
        <v>0</v>
      </c>
      <c r="AM343">
        <f t="shared" si="152"/>
        <v>0</v>
      </c>
      <c r="AN343">
        <f t="shared" si="153"/>
        <v>0</v>
      </c>
      <c r="AO343">
        <f t="shared" si="154"/>
        <v>0</v>
      </c>
      <c r="AP343">
        <f t="shared" si="155"/>
        <v>0</v>
      </c>
      <c r="AQ343">
        <f t="shared" si="156"/>
        <v>0</v>
      </c>
      <c r="AR343">
        <f t="shared" si="157"/>
        <v>0</v>
      </c>
      <c r="AS343">
        <f t="shared" si="158"/>
        <v>0</v>
      </c>
      <c r="AT343">
        <f t="shared" si="159"/>
        <v>0</v>
      </c>
      <c r="AU343">
        <f t="shared" si="160"/>
        <v>0</v>
      </c>
      <c r="AV343">
        <f t="shared" si="161"/>
        <v>0</v>
      </c>
      <c r="AW343">
        <f t="shared" si="162"/>
        <v>0</v>
      </c>
      <c r="AX343">
        <f t="shared" si="163"/>
        <v>0</v>
      </c>
      <c r="AY343">
        <f t="shared" si="164"/>
        <v>0</v>
      </c>
      <c r="CS343"/>
      <c r="CT343"/>
      <c r="CU343"/>
      <c r="CV343"/>
      <c r="CW343"/>
      <c r="CX343"/>
      <c r="CY343"/>
      <c r="CZ343"/>
      <c r="DA343"/>
    </row>
    <row r="344" spans="1:105" ht="36" customHeight="1">
      <c r="A344" s="108"/>
      <c r="B344" s="38"/>
      <c r="C344" s="1109"/>
      <c r="D344" s="874"/>
      <c r="E344" s="874"/>
      <c r="F344" s="1110" t="s">
        <v>5076</v>
      </c>
      <c r="G344" s="1110"/>
      <c r="H344" s="178"/>
      <c r="I344" s="1111" t="s">
        <v>5077</v>
      </c>
      <c r="J344" s="1111"/>
      <c r="K344" s="1111"/>
      <c r="L344" s="1111"/>
      <c r="M344" s="1111"/>
      <c r="N344" s="1111"/>
      <c r="O344" s="1112"/>
      <c r="P344" s="100"/>
      <c r="Q344" s="100"/>
      <c r="R344" s="100"/>
      <c r="S344" s="100"/>
      <c r="T344" s="100"/>
      <c r="U344" s="100"/>
      <c r="V344" s="100"/>
      <c r="W344" s="100"/>
      <c r="X344" s="100"/>
      <c r="Y344" s="100"/>
      <c r="Z344" s="100"/>
      <c r="AA344" s="100"/>
      <c r="AB344" s="100"/>
      <c r="AC344" s="100"/>
      <c r="AD344" s="100"/>
      <c r="AF344"/>
      <c r="AG344">
        <f t="shared" si="165"/>
        <v>0</v>
      </c>
      <c r="AH344">
        <f t="shared" si="166"/>
        <v>0</v>
      </c>
      <c r="AK344">
        <f t="shared" si="150"/>
        <v>0</v>
      </c>
      <c r="AL344">
        <f t="shared" si="151"/>
        <v>0</v>
      </c>
      <c r="AM344">
        <f t="shared" si="152"/>
        <v>0</v>
      </c>
      <c r="AN344">
        <f t="shared" si="153"/>
        <v>0</v>
      </c>
      <c r="AO344">
        <f t="shared" si="154"/>
        <v>0</v>
      </c>
      <c r="AP344">
        <f t="shared" si="155"/>
        <v>0</v>
      </c>
      <c r="AQ344">
        <f t="shared" si="156"/>
        <v>0</v>
      </c>
      <c r="AR344">
        <f t="shared" si="157"/>
        <v>0</v>
      </c>
      <c r="AS344">
        <f t="shared" si="158"/>
        <v>0</v>
      </c>
      <c r="AT344">
        <f t="shared" si="159"/>
        <v>0</v>
      </c>
      <c r="AU344">
        <f t="shared" si="160"/>
        <v>0</v>
      </c>
      <c r="AV344">
        <f t="shared" si="161"/>
        <v>0</v>
      </c>
      <c r="AW344">
        <f t="shared" si="162"/>
        <v>0</v>
      </c>
      <c r="AX344">
        <f t="shared" si="163"/>
        <v>0</v>
      </c>
      <c r="AY344">
        <f t="shared" si="164"/>
        <v>0</v>
      </c>
      <c r="CS344"/>
      <c r="CT344"/>
      <c r="CU344"/>
      <c r="CV344"/>
      <c r="CW344"/>
      <c r="CX344"/>
      <c r="CY344"/>
      <c r="CZ344"/>
      <c r="DA344"/>
    </row>
    <row r="345" spans="1:105" ht="15" customHeight="1">
      <c r="A345" s="108"/>
      <c r="B345" s="38"/>
      <c r="C345" s="1109"/>
      <c r="D345" s="874"/>
      <c r="E345" s="874"/>
      <c r="F345" s="1110" t="s">
        <v>5078</v>
      </c>
      <c r="G345" s="1110"/>
      <c r="H345" s="178"/>
      <c r="I345" s="1111" t="s">
        <v>2631</v>
      </c>
      <c r="J345" s="1111"/>
      <c r="K345" s="1111"/>
      <c r="L345" s="1111"/>
      <c r="M345" s="1111"/>
      <c r="N345" s="1111"/>
      <c r="O345" s="1112"/>
      <c r="P345" s="100"/>
      <c r="Q345" s="100"/>
      <c r="R345" s="100"/>
      <c r="S345" s="100"/>
      <c r="T345" s="100"/>
      <c r="U345" s="100"/>
      <c r="V345" s="100"/>
      <c r="W345" s="100"/>
      <c r="X345" s="100"/>
      <c r="Y345" s="100"/>
      <c r="Z345" s="100"/>
      <c r="AA345" s="100"/>
      <c r="AB345" s="100"/>
      <c r="AC345" s="100"/>
      <c r="AD345" s="100"/>
      <c r="AF345"/>
      <c r="AG345">
        <f t="shared" si="165"/>
        <v>0</v>
      </c>
      <c r="AH345">
        <f t="shared" si="166"/>
        <v>0</v>
      </c>
      <c r="AK345">
        <f t="shared" si="150"/>
        <v>0</v>
      </c>
      <c r="AL345">
        <f t="shared" si="151"/>
        <v>0</v>
      </c>
      <c r="AM345">
        <f t="shared" si="152"/>
        <v>0</v>
      </c>
      <c r="AN345">
        <f t="shared" si="153"/>
        <v>0</v>
      </c>
      <c r="AO345">
        <f t="shared" si="154"/>
        <v>0</v>
      </c>
      <c r="AP345">
        <f t="shared" si="155"/>
        <v>0</v>
      </c>
      <c r="AQ345">
        <f t="shared" si="156"/>
        <v>0</v>
      </c>
      <c r="AR345">
        <f t="shared" si="157"/>
        <v>0</v>
      </c>
      <c r="AS345">
        <f t="shared" si="158"/>
        <v>0</v>
      </c>
      <c r="AT345">
        <f t="shared" si="159"/>
        <v>0</v>
      </c>
      <c r="AU345">
        <f t="shared" si="160"/>
        <v>0</v>
      </c>
      <c r="AV345">
        <f t="shared" si="161"/>
        <v>0</v>
      </c>
      <c r="AW345">
        <f t="shared" si="162"/>
        <v>0</v>
      </c>
      <c r="AX345">
        <f t="shared" si="163"/>
        <v>0</v>
      </c>
      <c r="AY345">
        <f t="shared" si="164"/>
        <v>0</v>
      </c>
      <c r="CS345"/>
      <c r="CT345"/>
      <c r="CU345"/>
      <c r="CV345"/>
      <c r="CW345"/>
      <c r="CX345"/>
      <c r="CY345"/>
      <c r="CZ345"/>
      <c r="DA345"/>
    </row>
    <row r="346" spans="1:105" ht="24" customHeight="1">
      <c r="A346" s="108"/>
      <c r="B346" s="38"/>
      <c r="C346" s="1109"/>
      <c r="D346" s="874"/>
      <c r="E346" s="874"/>
      <c r="F346" s="1103" t="s">
        <v>5079</v>
      </c>
      <c r="G346" s="1103"/>
      <c r="H346" s="1104" t="s">
        <v>5080</v>
      </c>
      <c r="I346" s="1105"/>
      <c r="J346" s="1105"/>
      <c r="K346" s="1105"/>
      <c r="L346" s="1105"/>
      <c r="M346" s="1105"/>
      <c r="N346" s="1105"/>
      <c r="O346" s="1106"/>
      <c r="P346" s="100"/>
      <c r="Q346" s="100"/>
      <c r="R346" s="100"/>
      <c r="S346" s="100"/>
      <c r="T346" s="100"/>
      <c r="U346" s="100"/>
      <c r="V346" s="100"/>
      <c r="W346" s="100"/>
      <c r="X346" s="100"/>
      <c r="Y346" s="100"/>
      <c r="Z346" s="100"/>
      <c r="AA346" s="100"/>
      <c r="AB346" s="100"/>
      <c r="AC346" s="100"/>
      <c r="AD346" s="100"/>
      <c r="AF346"/>
      <c r="AG346">
        <f t="shared" si="165"/>
        <v>0</v>
      </c>
      <c r="AH346">
        <f t="shared" si="166"/>
        <v>0</v>
      </c>
      <c r="AK346">
        <f t="shared" si="150"/>
        <v>0</v>
      </c>
      <c r="AL346">
        <f t="shared" si="151"/>
        <v>0</v>
      </c>
      <c r="AM346">
        <f t="shared" si="152"/>
        <v>0</v>
      </c>
      <c r="AN346">
        <f t="shared" si="153"/>
        <v>0</v>
      </c>
      <c r="AO346">
        <f t="shared" si="154"/>
        <v>0</v>
      </c>
      <c r="AP346">
        <f t="shared" si="155"/>
        <v>0</v>
      </c>
      <c r="AQ346">
        <f t="shared" si="156"/>
        <v>0</v>
      </c>
      <c r="AR346">
        <f t="shared" si="157"/>
        <v>0</v>
      </c>
      <c r="AS346">
        <f t="shared" si="158"/>
        <v>0</v>
      </c>
      <c r="AT346">
        <f t="shared" si="159"/>
        <v>0</v>
      </c>
      <c r="AU346">
        <f t="shared" si="160"/>
        <v>0</v>
      </c>
      <c r="AV346">
        <f t="shared" si="161"/>
        <v>0</v>
      </c>
      <c r="AW346">
        <f t="shared" si="162"/>
        <v>0</v>
      </c>
      <c r="AX346">
        <f t="shared" si="163"/>
        <v>0</v>
      </c>
      <c r="AY346">
        <f t="shared" si="164"/>
        <v>0</v>
      </c>
      <c r="CS346"/>
      <c r="CT346"/>
      <c r="CU346"/>
      <c r="CV346"/>
      <c r="CW346"/>
      <c r="CX346"/>
      <c r="CY346"/>
      <c r="CZ346"/>
      <c r="DA346"/>
    </row>
    <row r="347" spans="1:105" ht="15" customHeight="1">
      <c r="A347" s="108"/>
      <c r="B347" s="38"/>
      <c r="C347" s="1109"/>
      <c r="D347" s="874"/>
      <c r="E347" s="874"/>
      <c r="F347" s="1103" t="s">
        <v>5081</v>
      </c>
      <c r="G347" s="1103"/>
      <c r="H347" s="1104" t="s">
        <v>5082</v>
      </c>
      <c r="I347" s="1105"/>
      <c r="J347" s="1105"/>
      <c r="K347" s="1105"/>
      <c r="L347" s="1105"/>
      <c r="M347" s="1105"/>
      <c r="N347" s="1105"/>
      <c r="O347" s="1106"/>
      <c r="P347" s="100"/>
      <c r="Q347" s="100"/>
      <c r="R347" s="100"/>
      <c r="S347" s="100"/>
      <c r="T347" s="100"/>
      <c r="U347" s="100"/>
      <c r="V347" s="100"/>
      <c r="W347" s="100"/>
      <c r="X347" s="100"/>
      <c r="Y347" s="100"/>
      <c r="Z347" s="100"/>
      <c r="AA347" s="100"/>
      <c r="AB347" s="100"/>
      <c r="AC347" s="100"/>
      <c r="AD347" s="100"/>
      <c r="AF347">
        <f>IF(P347="NA",IF(AND(COUNTIF(P348:P350,"="&amp;$AF$212)=0,COUNTIF(P348:P350,"&lt;&gt;NA")&gt;0),1,0),IF(AND(COUNTIF(P348:P350,"="&amp;$AF$212)=0,COUNTIF(P348:P350,"NA")=COUNTIF(P348:P350,"&lt;&gt;"&amp;$AF$212)),1,0))</f>
        <v>0</v>
      </c>
      <c r="AG347">
        <f t="shared" si="165"/>
        <v>0</v>
      </c>
      <c r="AH347">
        <f t="shared" si="166"/>
        <v>0</v>
      </c>
      <c r="AK347">
        <f t="shared" si="150"/>
        <v>0</v>
      </c>
      <c r="AL347">
        <f t="shared" si="151"/>
        <v>0</v>
      </c>
      <c r="AM347">
        <f t="shared" si="152"/>
        <v>0</v>
      </c>
      <c r="AN347">
        <f t="shared" si="153"/>
        <v>0</v>
      </c>
      <c r="AO347">
        <f t="shared" si="154"/>
        <v>0</v>
      </c>
      <c r="AP347">
        <f t="shared" si="155"/>
        <v>0</v>
      </c>
      <c r="AQ347">
        <f t="shared" si="156"/>
        <v>0</v>
      </c>
      <c r="AR347">
        <f t="shared" si="157"/>
        <v>0</v>
      </c>
      <c r="AS347">
        <f t="shared" si="158"/>
        <v>0</v>
      </c>
      <c r="AT347">
        <f t="shared" si="159"/>
        <v>0</v>
      </c>
      <c r="AU347">
        <f t="shared" si="160"/>
        <v>0</v>
      </c>
      <c r="AV347">
        <f t="shared" si="161"/>
        <v>0</v>
      </c>
      <c r="AW347">
        <f t="shared" si="162"/>
        <v>0</v>
      </c>
      <c r="AX347">
        <f t="shared" si="163"/>
        <v>0</v>
      </c>
      <c r="AY347">
        <f t="shared" si="164"/>
        <v>0</v>
      </c>
      <c r="CS347"/>
      <c r="CT347"/>
      <c r="CU347"/>
      <c r="CV347"/>
      <c r="CW347"/>
      <c r="CX347"/>
      <c r="CY347"/>
      <c r="CZ347"/>
      <c r="DA347"/>
    </row>
    <row r="348" spans="1:105" ht="15" customHeight="1">
      <c r="A348" s="108"/>
      <c r="B348" s="38"/>
      <c r="C348" s="1109"/>
      <c r="D348" s="874"/>
      <c r="E348" s="874"/>
      <c r="F348" s="1110" t="s">
        <v>5083</v>
      </c>
      <c r="G348" s="1110"/>
      <c r="H348" s="178"/>
      <c r="I348" s="1111" t="s">
        <v>5084</v>
      </c>
      <c r="J348" s="1111"/>
      <c r="K348" s="1111"/>
      <c r="L348" s="1111"/>
      <c r="M348" s="1111"/>
      <c r="N348" s="1111"/>
      <c r="O348" s="1112"/>
      <c r="P348" s="100"/>
      <c r="Q348" s="100"/>
      <c r="R348" s="100"/>
      <c r="S348" s="100"/>
      <c r="T348" s="100"/>
      <c r="U348" s="100"/>
      <c r="V348" s="100"/>
      <c r="W348" s="100"/>
      <c r="X348" s="100"/>
      <c r="Y348" s="100"/>
      <c r="Z348" s="100"/>
      <c r="AA348" s="100"/>
      <c r="AB348" s="100"/>
      <c r="AC348" s="100"/>
      <c r="AD348" s="100"/>
      <c r="AF348"/>
      <c r="AG348">
        <f t="shared" si="165"/>
        <v>0</v>
      </c>
      <c r="AH348">
        <f t="shared" si="166"/>
        <v>0</v>
      </c>
      <c r="AK348">
        <f t="shared" si="150"/>
        <v>0</v>
      </c>
      <c r="AL348">
        <f t="shared" si="151"/>
        <v>0</v>
      </c>
      <c r="AM348">
        <f t="shared" si="152"/>
        <v>0</v>
      </c>
      <c r="AN348">
        <f t="shared" si="153"/>
        <v>0</v>
      </c>
      <c r="AO348">
        <f t="shared" si="154"/>
        <v>0</v>
      </c>
      <c r="AP348">
        <f t="shared" si="155"/>
        <v>0</v>
      </c>
      <c r="AQ348">
        <f t="shared" si="156"/>
        <v>0</v>
      </c>
      <c r="AR348">
        <f t="shared" si="157"/>
        <v>0</v>
      </c>
      <c r="AS348">
        <f t="shared" si="158"/>
        <v>0</v>
      </c>
      <c r="AT348">
        <f t="shared" si="159"/>
        <v>0</v>
      </c>
      <c r="AU348">
        <f t="shared" si="160"/>
        <v>0</v>
      </c>
      <c r="AV348">
        <f t="shared" si="161"/>
        <v>0</v>
      </c>
      <c r="AW348">
        <f t="shared" si="162"/>
        <v>0</v>
      </c>
      <c r="AX348">
        <f t="shared" si="163"/>
        <v>0</v>
      </c>
      <c r="AY348">
        <f t="shared" si="164"/>
        <v>0</v>
      </c>
      <c r="CS348"/>
      <c r="CT348"/>
      <c r="CU348"/>
      <c r="CV348"/>
      <c r="CW348"/>
      <c r="CX348"/>
      <c r="CY348"/>
      <c r="CZ348"/>
      <c r="DA348"/>
    </row>
    <row r="349" spans="1:105" ht="24" customHeight="1">
      <c r="A349" s="108"/>
      <c r="B349" s="38"/>
      <c r="C349" s="1109"/>
      <c r="D349" s="874"/>
      <c r="E349" s="874"/>
      <c r="F349" s="1110" t="s">
        <v>5085</v>
      </c>
      <c r="G349" s="1110"/>
      <c r="H349" s="178"/>
      <c r="I349" s="1111" t="s">
        <v>5086</v>
      </c>
      <c r="J349" s="1111"/>
      <c r="K349" s="1111"/>
      <c r="L349" s="1111"/>
      <c r="M349" s="1111"/>
      <c r="N349" s="1111"/>
      <c r="O349" s="1112"/>
      <c r="P349" s="100"/>
      <c r="Q349" s="100"/>
      <c r="R349" s="100"/>
      <c r="S349" s="100"/>
      <c r="T349" s="100"/>
      <c r="U349" s="100"/>
      <c r="V349" s="100"/>
      <c r="W349" s="100"/>
      <c r="X349" s="100"/>
      <c r="Y349" s="100"/>
      <c r="Z349" s="100"/>
      <c r="AA349" s="100"/>
      <c r="AB349" s="100"/>
      <c r="AC349" s="100"/>
      <c r="AD349" s="100"/>
      <c r="AF349"/>
      <c r="AG349">
        <f t="shared" si="165"/>
        <v>0</v>
      </c>
      <c r="AH349">
        <f t="shared" si="166"/>
        <v>0</v>
      </c>
      <c r="AK349">
        <f t="shared" si="150"/>
        <v>0</v>
      </c>
      <c r="AL349">
        <f t="shared" si="151"/>
        <v>0</v>
      </c>
      <c r="AM349">
        <f t="shared" si="152"/>
        <v>0</v>
      </c>
      <c r="AN349">
        <f t="shared" si="153"/>
        <v>0</v>
      </c>
      <c r="AO349">
        <f t="shared" si="154"/>
        <v>0</v>
      </c>
      <c r="AP349">
        <f t="shared" si="155"/>
        <v>0</v>
      </c>
      <c r="AQ349">
        <f t="shared" si="156"/>
        <v>0</v>
      </c>
      <c r="AR349">
        <f t="shared" si="157"/>
        <v>0</v>
      </c>
      <c r="AS349">
        <f t="shared" si="158"/>
        <v>0</v>
      </c>
      <c r="AT349">
        <f t="shared" si="159"/>
        <v>0</v>
      </c>
      <c r="AU349">
        <f t="shared" si="160"/>
        <v>0</v>
      </c>
      <c r="AV349">
        <f t="shared" si="161"/>
        <v>0</v>
      </c>
      <c r="AW349">
        <f t="shared" si="162"/>
        <v>0</v>
      </c>
      <c r="AX349">
        <f t="shared" si="163"/>
        <v>0</v>
      </c>
      <c r="AY349">
        <f t="shared" si="164"/>
        <v>0</v>
      </c>
      <c r="CS349"/>
      <c r="CT349"/>
      <c r="CU349"/>
      <c r="CV349"/>
      <c r="CW349"/>
      <c r="CX349"/>
      <c r="CY349"/>
      <c r="CZ349"/>
      <c r="DA349"/>
    </row>
    <row r="350" spans="1:105" ht="15" customHeight="1">
      <c r="A350" s="108"/>
      <c r="B350" s="38"/>
      <c r="C350" s="1109"/>
      <c r="D350" s="874"/>
      <c r="E350" s="874"/>
      <c r="F350" s="1110" t="s">
        <v>5087</v>
      </c>
      <c r="G350" s="1110"/>
      <c r="H350" s="178"/>
      <c r="I350" s="1111" t="s">
        <v>2631</v>
      </c>
      <c r="J350" s="1111"/>
      <c r="K350" s="1111"/>
      <c r="L350" s="1111"/>
      <c r="M350" s="1111"/>
      <c r="N350" s="1111"/>
      <c r="O350" s="1112"/>
      <c r="P350" s="100"/>
      <c r="Q350" s="100"/>
      <c r="R350" s="100"/>
      <c r="S350" s="100"/>
      <c r="T350" s="100"/>
      <c r="U350" s="100"/>
      <c r="V350" s="100"/>
      <c r="W350" s="100"/>
      <c r="X350" s="100"/>
      <c r="Y350" s="100"/>
      <c r="Z350" s="100"/>
      <c r="AA350" s="100"/>
      <c r="AB350" s="100"/>
      <c r="AC350" s="100"/>
      <c r="AD350" s="100"/>
      <c r="AF350"/>
      <c r="AG350">
        <f t="shared" si="165"/>
        <v>0</v>
      </c>
      <c r="AH350">
        <f t="shared" si="166"/>
        <v>0</v>
      </c>
      <c r="AK350">
        <f t="shared" si="150"/>
        <v>0</v>
      </c>
      <c r="AL350">
        <f t="shared" si="151"/>
        <v>0</v>
      </c>
      <c r="AM350">
        <f t="shared" si="152"/>
        <v>0</v>
      </c>
      <c r="AN350">
        <f t="shared" si="153"/>
        <v>0</v>
      </c>
      <c r="AO350">
        <f t="shared" si="154"/>
        <v>0</v>
      </c>
      <c r="AP350">
        <f t="shared" si="155"/>
        <v>0</v>
      </c>
      <c r="AQ350">
        <f t="shared" si="156"/>
        <v>0</v>
      </c>
      <c r="AR350">
        <f t="shared" si="157"/>
        <v>0</v>
      </c>
      <c r="AS350">
        <f t="shared" si="158"/>
        <v>0</v>
      </c>
      <c r="AT350">
        <f t="shared" si="159"/>
        <v>0</v>
      </c>
      <c r="AU350">
        <f t="shared" si="160"/>
        <v>0</v>
      </c>
      <c r="AV350">
        <f t="shared" si="161"/>
        <v>0</v>
      </c>
      <c r="AW350">
        <f t="shared" si="162"/>
        <v>0</v>
      </c>
      <c r="AX350">
        <f t="shared" si="163"/>
        <v>0</v>
      </c>
      <c r="AY350">
        <f t="shared" si="164"/>
        <v>0</v>
      </c>
      <c r="CS350"/>
      <c r="CT350"/>
      <c r="CU350"/>
      <c r="CV350"/>
      <c r="CW350"/>
      <c r="CX350"/>
      <c r="CY350"/>
      <c r="CZ350"/>
      <c r="DA350"/>
    </row>
    <row r="351" spans="1:105" ht="15" customHeight="1">
      <c r="A351" s="108"/>
      <c r="B351" s="38"/>
      <c r="C351" s="1109"/>
      <c r="D351" s="874"/>
      <c r="E351" s="874"/>
      <c r="F351" s="1103" t="s">
        <v>5088</v>
      </c>
      <c r="G351" s="1103"/>
      <c r="H351" s="1104" t="s">
        <v>5089</v>
      </c>
      <c r="I351" s="1105"/>
      <c r="J351" s="1105"/>
      <c r="K351" s="1105"/>
      <c r="L351" s="1105"/>
      <c r="M351" s="1105"/>
      <c r="N351" s="1105"/>
      <c r="O351" s="1106"/>
      <c r="P351" s="100"/>
      <c r="Q351" s="100"/>
      <c r="R351" s="100"/>
      <c r="S351" s="100"/>
      <c r="T351" s="100"/>
      <c r="U351" s="100"/>
      <c r="V351" s="100"/>
      <c r="W351" s="100"/>
      <c r="X351" s="100"/>
      <c r="Y351" s="100"/>
      <c r="Z351" s="100"/>
      <c r="AA351" s="100"/>
      <c r="AB351" s="100"/>
      <c r="AC351" s="100"/>
      <c r="AD351" s="100"/>
      <c r="AF351"/>
      <c r="AG351">
        <f t="shared" si="165"/>
        <v>0</v>
      </c>
      <c r="AH351">
        <f t="shared" si="166"/>
        <v>0</v>
      </c>
      <c r="AK351">
        <f t="shared" si="150"/>
        <v>0</v>
      </c>
      <c r="AL351">
        <f t="shared" si="151"/>
        <v>0</v>
      </c>
      <c r="AM351">
        <f t="shared" si="152"/>
        <v>0</v>
      </c>
      <c r="AN351">
        <f t="shared" si="153"/>
        <v>0</v>
      </c>
      <c r="AO351">
        <f t="shared" si="154"/>
        <v>0</v>
      </c>
      <c r="AP351">
        <f t="shared" si="155"/>
        <v>0</v>
      </c>
      <c r="AQ351">
        <f t="shared" si="156"/>
        <v>0</v>
      </c>
      <c r="AR351">
        <f t="shared" si="157"/>
        <v>0</v>
      </c>
      <c r="AS351">
        <f t="shared" si="158"/>
        <v>0</v>
      </c>
      <c r="AT351">
        <f t="shared" si="159"/>
        <v>0</v>
      </c>
      <c r="AU351">
        <f t="shared" si="160"/>
        <v>0</v>
      </c>
      <c r="AV351">
        <f t="shared" si="161"/>
        <v>0</v>
      </c>
      <c r="AW351">
        <f t="shared" si="162"/>
        <v>0</v>
      </c>
      <c r="AX351">
        <f t="shared" si="163"/>
        <v>0</v>
      </c>
      <c r="AY351">
        <f t="shared" si="164"/>
        <v>0</v>
      </c>
      <c r="CS351"/>
      <c r="CT351"/>
      <c r="CU351"/>
      <c r="CV351"/>
      <c r="CW351"/>
      <c r="CX351"/>
      <c r="CY351"/>
      <c r="CZ351"/>
      <c r="DA351"/>
    </row>
    <row r="352" spans="1:105" ht="24" customHeight="1">
      <c r="A352" s="108"/>
      <c r="B352" s="38"/>
      <c r="C352" s="1109"/>
      <c r="D352" s="874"/>
      <c r="E352" s="874"/>
      <c r="F352" s="1103" t="s">
        <v>5090</v>
      </c>
      <c r="G352" s="1103"/>
      <c r="H352" s="1104" t="s">
        <v>5091</v>
      </c>
      <c r="I352" s="1105"/>
      <c r="J352" s="1105"/>
      <c r="K352" s="1105"/>
      <c r="L352" s="1105"/>
      <c r="M352" s="1105"/>
      <c r="N352" s="1105"/>
      <c r="O352" s="1106"/>
      <c r="P352" s="100"/>
      <c r="Q352" s="100"/>
      <c r="R352" s="100"/>
      <c r="S352" s="100"/>
      <c r="T352" s="100"/>
      <c r="U352" s="100"/>
      <c r="V352" s="100"/>
      <c r="W352" s="100"/>
      <c r="X352" s="100"/>
      <c r="Y352" s="100"/>
      <c r="Z352" s="100"/>
      <c r="AA352" s="100"/>
      <c r="AB352" s="100"/>
      <c r="AC352" s="100"/>
      <c r="AD352" s="100"/>
      <c r="AF352"/>
      <c r="AG352">
        <f t="shared" si="165"/>
        <v>0</v>
      </c>
      <c r="AH352">
        <f t="shared" si="166"/>
        <v>0</v>
      </c>
      <c r="AK352">
        <f t="shared" si="150"/>
        <v>0</v>
      </c>
      <c r="AL352">
        <f t="shared" si="151"/>
        <v>0</v>
      </c>
      <c r="AM352">
        <f t="shared" si="152"/>
        <v>0</v>
      </c>
      <c r="AN352">
        <f t="shared" si="153"/>
        <v>0</v>
      </c>
      <c r="AO352">
        <f t="shared" si="154"/>
        <v>0</v>
      </c>
      <c r="AP352">
        <f t="shared" si="155"/>
        <v>0</v>
      </c>
      <c r="AQ352">
        <f t="shared" si="156"/>
        <v>0</v>
      </c>
      <c r="AR352">
        <f t="shared" si="157"/>
        <v>0</v>
      </c>
      <c r="AS352">
        <f t="shared" si="158"/>
        <v>0</v>
      </c>
      <c r="AT352">
        <f t="shared" si="159"/>
        <v>0</v>
      </c>
      <c r="AU352">
        <f t="shared" si="160"/>
        <v>0</v>
      </c>
      <c r="AV352">
        <f t="shared" si="161"/>
        <v>0</v>
      </c>
      <c r="AW352">
        <f t="shared" si="162"/>
        <v>0</v>
      </c>
      <c r="AX352">
        <f t="shared" si="163"/>
        <v>0</v>
      </c>
      <c r="AY352">
        <f t="shared" si="164"/>
        <v>0</v>
      </c>
      <c r="CS352"/>
      <c r="CT352"/>
      <c r="CU352"/>
      <c r="CV352"/>
      <c r="CW352"/>
      <c r="CX352"/>
      <c r="CY352"/>
      <c r="CZ352"/>
      <c r="DA352"/>
    </row>
    <row r="353" spans="1:105" ht="15" customHeight="1">
      <c r="A353" s="108"/>
      <c r="B353" s="38"/>
      <c r="C353" s="1109"/>
      <c r="D353" s="874"/>
      <c r="E353" s="874"/>
      <c r="F353" s="1103" t="s">
        <v>5092</v>
      </c>
      <c r="G353" s="1103"/>
      <c r="H353" s="1104" t="s">
        <v>5093</v>
      </c>
      <c r="I353" s="1105"/>
      <c r="J353" s="1105"/>
      <c r="K353" s="1105"/>
      <c r="L353" s="1105"/>
      <c r="M353" s="1105"/>
      <c r="N353" s="1105"/>
      <c r="O353" s="1106"/>
      <c r="P353" s="100"/>
      <c r="Q353" s="100"/>
      <c r="R353" s="100"/>
      <c r="S353" s="100"/>
      <c r="T353" s="100"/>
      <c r="U353" s="100"/>
      <c r="V353" s="100"/>
      <c r="W353" s="100"/>
      <c r="X353" s="100"/>
      <c r="Y353" s="100"/>
      <c r="Z353" s="100"/>
      <c r="AA353" s="100"/>
      <c r="AB353" s="100"/>
      <c r="AC353" s="100"/>
      <c r="AD353" s="100"/>
      <c r="AF353"/>
      <c r="AG353">
        <f t="shared" si="165"/>
        <v>0</v>
      </c>
      <c r="AH353">
        <f t="shared" si="166"/>
        <v>0</v>
      </c>
      <c r="AK353">
        <f t="shared" si="150"/>
        <v>0</v>
      </c>
      <c r="AL353">
        <f t="shared" si="151"/>
        <v>0</v>
      </c>
      <c r="AM353">
        <f t="shared" si="152"/>
        <v>0</v>
      </c>
      <c r="AN353">
        <f t="shared" si="153"/>
        <v>0</v>
      </c>
      <c r="AO353">
        <f t="shared" si="154"/>
        <v>0</v>
      </c>
      <c r="AP353">
        <f t="shared" si="155"/>
        <v>0</v>
      </c>
      <c r="AQ353">
        <f t="shared" si="156"/>
        <v>0</v>
      </c>
      <c r="AR353">
        <f t="shared" si="157"/>
        <v>0</v>
      </c>
      <c r="AS353">
        <f t="shared" si="158"/>
        <v>0</v>
      </c>
      <c r="AT353">
        <f t="shared" si="159"/>
        <v>0</v>
      </c>
      <c r="AU353">
        <f t="shared" si="160"/>
        <v>0</v>
      </c>
      <c r="AV353">
        <f t="shared" si="161"/>
        <v>0</v>
      </c>
      <c r="AW353">
        <f t="shared" si="162"/>
        <v>0</v>
      </c>
      <c r="AX353">
        <f t="shared" si="163"/>
        <v>0</v>
      </c>
      <c r="AY353">
        <f t="shared" si="164"/>
        <v>0</v>
      </c>
      <c r="CS353"/>
      <c r="CT353"/>
      <c r="CU353"/>
      <c r="CV353"/>
      <c r="CW353"/>
      <c r="CX353"/>
      <c r="CY353"/>
      <c r="CZ353"/>
      <c r="DA353"/>
    </row>
    <row r="354" spans="1:105" ht="24" customHeight="1">
      <c r="A354" s="108"/>
      <c r="B354" s="38"/>
      <c r="C354" s="1109"/>
      <c r="D354" s="874"/>
      <c r="E354" s="874"/>
      <c r="F354" s="1103" t="s">
        <v>5094</v>
      </c>
      <c r="G354" s="1103"/>
      <c r="H354" s="1104" t="s">
        <v>5095</v>
      </c>
      <c r="I354" s="1105"/>
      <c r="J354" s="1105"/>
      <c r="K354" s="1105"/>
      <c r="L354" s="1105"/>
      <c r="M354" s="1105"/>
      <c r="N354" s="1105"/>
      <c r="O354" s="1106"/>
      <c r="P354" s="100"/>
      <c r="Q354" s="100"/>
      <c r="R354" s="100"/>
      <c r="S354" s="100"/>
      <c r="T354" s="100"/>
      <c r="U354" s="100"/>
      <c r="V354" s="100"/>
      <c r="W354" s="100"/>
      <c r="X354" s="100"/>
      <c r="Y354" s="100"/>
      <c r="Z354" s="100"/>
      <c r="AA354" s="100"/>
      <c r="AB354" s="100"/>
      <c r="AC354" s="100"/>
      <c r="AD354" s="100"/>
      <c r="AF354"/>
      <c r="AG354">
        <f t="shared" si="165"/>
        <v>0</v>
      </c>
      <c r="AH354">
        <f t="shared" si="166"/>
        <v>0</v>
      </c>
      <c r="AK354">
        <f t="shared" si="150"/>
        <v>0</v>
      </c>
      <c r="AL354">
        <f t="shared" si="151"/>
        <v>0</v>
      </c>
      <c r="AM354">
        <f t="shared" si="152"/>
        <v>0</v>
      </c>
      <c r="AN354">
        <f t="shared" si="153"/>
        <v>0</v>
      </c>
      <c r="AO354">
        <f t="shared" si="154"/>
        <v>0</v>
      </c>
      <c r="AP354">
        <f t="shared" si="155"/>
        <v>0</v>
      </c>
      <c r="AQ354">
        <f t="shared" si="156"/>
        <v>0</v>
      </c>
      <c r="AR354">
        <f t="shared" si="157"/>
        <v>0</v>
      </c>
      <c r="AS354">
        <f t="shared" si="158"/>
        <v>0</v>
      </c>
      <c r="AT354">
        <f t="shared" si="159"/>
        <v>0</v>
      </c>
      <c r="AU354">
        <f t="shared" si="160"/>
        <v>0</v>
      </c>
      <c r="AV354">
        <f t="shared" si="161"/>
        <v>0</v>
      </c>
      <c r="AW354">
        <f t="shared" si="162"/>
        <v>0</v>
      </c>
      <c r="AX354">
        <f t="shared" si="163"/>
        <v>0</v>
      </c>
      <c r="AY354">
        <f t="shared" si="164"/>
        <v>0</v>
      </c>
      <c r="CS354"/>
      <c r="CT354"/>
      <c r="CU354"/>
      <c r="CV354"/>
      <c r="CW354"/>
      <c r="CX354"/>
      <c r="CY354"/>
      <c r="CZ354"/>
      <c r="DA354"/>
    </row>
    <row r="355" spans="1:105" ht="15" customHeight="1">
      <c r="A355" s="108"/>
      <c r="B355" s="38"/>
      <c r="C355" s="1109"/>
      <c r="D355" s="874"/>
      <c r="E355" s="874"/>
      <c r="F355" s="1103" t="s">
        <v>5096</v>
      </c>
      <c r="G355" s="1103"/>
      <c r="H355" s="1104" t="s">
        <v>5097</v>
      </c>
      <c r="I355" s="1105"/>
      <c r="J355" s="1105"/>
      <c r="K355" s="1105"/>
      <c r="L355" s="1105"/>
      <c r="M355" s="1105"/>
      <c r="N355" s="1105"/>
      <c r="O355" s="1106"/>
      <c r="P355" s="100"/>
      <c r="Q355" s="100"/>
      <c r="R355" s="100"/>
      <c r="S355" s="100"/>
      <c r="T355" s="100"/>
      <c r="U355" s="100"/>
      <c r="V355" s="100"/>
      <c r="W355" s="100"/>
      <c r="X355" s="100"/>
      <c r="Y355" s="100"/>
      <c r="Z355" s="100"/>
      <c r="AA355" s="100"/>
      <c r="AB355" s="100"/>
      <c r="AC355" s="100"/>
      <c r="AD355" s="100"/>
      <c r="AF355"/>
      <c r="AG355">
        <f t="shared" si="165"/>
        <v>0</v>
      </c>
      <c r="AH355">
        <f t="shared" si="166"/>
        <v>0</v>
      </c>
      <c r="AK355">
        <f t="shared" si="150"/>
        <v>0</v>
      </c>
      <c r="AL355">
        <f t="shared" si="151"/>
        <v>0</v>
      </c>
      <c r="AM355">
        <f t="shared" si="152"/>
        <v>0</v>
      </c>
      <c r="AN355">
        <f t="shared" si="153"/>
        <v>0</v>
      </c>
      <c r="AO355">
        <f t="shared" si="154"/>
        <v>0</v>
      </c>
      <c r="AP355">
        <f t="shared" si="155"/>
        <v>0</v>
      </c>
      <c r="AQ355">
        <f t="shared" si="156"/>
        <v>0</v>
      </c>
      <c r="AR355">
        <f t="shared" si="157"/>
        <v>0</v>
      </c>
      <c r="AS355">
        <f t="shared" si="158"/>
        <v>0</v>
      </c>
      <c r="AT355">
        <f t="shared" si="159"/>
        <v>0</v>
      </c>
      <c r="AU355">
        <f t="shared" si="160"/>
        <v>0</v>
      </c>
      <c r="AV355">
        <f t="shared" si="161"/>
        <v>0</v>
      </c>
      <c r="AW355">
        <f t="shared" si="162"/>
        <v>0</v>
      </c>
      <c r="AX355">
        <f t="shared" si="163"/>
        <v>0</v>
      </c>
      <c r="AY355">
        <f t="shared" si="164"/>
        <v>0</v>
      </c>
      <c r="CS355"/>
      <c r="CT355"/>
      <c r="CU355"/>
      <c r="CV355"/>
      <c r="CW355"/>
      <c r="CX355"/>
      <c r="CY355"/>
      <c r="CZ355"/>
      <c r="DA355"/>
    </row>
    <row r="356" spans="1:105" ht="24" customHeight="1">
      <c r="A356" s="108"/>
      <c r="B356" s="38"/>
      <c r="C356" s="1109"/>
      <c r="D356" s="874"/>
      <c r="E356" s="874"/>
      <c r="F356" s="1103" t="s">
        <v>5098</v>
      </c>
      <c r="G356" s="1103"/>
      <c r="H356" s="1104" t="s">
        <v>5099</v>
      </c>
      <c r="I356" s="1105"/>
      <c r="J356" s="1105"/>
      <c r="K356" s="1105"/>
      <c r="L356" s="1105"/>
      <c r="M356" s="1105"/>
      <c r="N356" s="1105"/>
      <c r="O356" s="1106"/>
      <c r="P356" s="100"/>
      <c r="Q356" s="100"/>
      <c r="R356" s="100"/>
      <c r="S356" s="100"/>
      <c r="T356" s="100"/>
      <c r="U356" s="100"/>
      <c r="V356" s="100"/>
      <c r="W356" s="100"/>
      <c r="X356" s="100"/>
      <c r="Y356" s="100"/>
      <c r="Z356" s="100"/>
      <c r="AA356" s="100"/>
      <c r="AB356" s="100"/>
      <c r="AC356" s="100"/>
      <c r="AD356" s="100"/>
      <c r="AF356"/>
      <c r="AG356">
        <f t="shared" si="165"/>
        <v>0</v>
      </c>
      <c r="AH356">
        <f t="shared" si="166"/>
        <v>0</v>
      </c>
      <c r="AK356">
        <f t="shared" si="150"/>
        <v>0</v>
      </c>
      <c r="AL356">
        <f t="shared" si="151"/>
        <v>0</v>
      </c>
      <c r="AM356">
        <f t="shared" si="152"/>
        <v>0</v>
      </c>
      <c r="AN356">
        <f t="shared" si="153"/>
        <v>0</v>
      </c>
      <c r="AO356">
        <f t="shared" si="154"/>
        <v>0</v>
      </c>
      <c r="AP356">
        <f t="shared" si="155"/>
        <v>0</v>
      </c>
      <c r="AQ356">
        <f t="shared" si="156"/>
        <v>0</v>
      </c>
      <c r="AR356">
        <f t="shared" si="157"/>
        <v>0</v>
      </c>
      <c r="AS356">
        <f t="shared" si="158"/>
        <v>0</v>
      </c>
      <c r="AT356">
        <f t="shared" si="159"/>
        <v>0</v>
      </c>
      <c r="AU356">
        <f t="shared" si="160"/>
        <v>0</v>
      </c>
      <c r="AV356">
        <f t="shared" si="161"/>
        <v>0</v>
      </c>
      <c r="AW356">
        <f t="shared" si="162"/>
        <v>0</v>
      </c>
      <c r="AX356">
        <f t="shared" si="163"/>
        <v>0</v>
      </c>
      <c r="AY356">
        <f t="shared" si="164"/>
        <v>0</v>
      </c>
      <c r="CS356"/>
      <c r="CT356"/>
      <c r="CU356"/>
      <c r="CV356"/>
      <c r="CW356"/>
      <c r="CX356"/>
      <c r="CY356"/>
      <c r="CZ356"/>
      <c r="DA356"/>
    </row>
    <row r="357" spans="1:105" ht="15" customHeight="1">
      <c r="A357" s="108"/>
      <c r="B357" s="38"/>
      <c r="C357" s="1109"/>
      <c r="D357" s="874"/>
      <c r="E357" s="874"/>
      <c r="F357" s="1103" t="s">
        <v>5100</v>
      </c>
      <c r="G357" s="1103"/>
      <c r="H357" s="1104" t="s">
        <v>5101</v>
      </c>
      <c r="I357" s="1105"/>
      <c r="J357" s="1105"/>
      <c r="K357" s="1105"/>
      <c r="L357" s="1105"/>
      <c r="M357" s="1105"/>
      <c r="N357" s="1105"/>
      <c r="O357" s="1106"/>
      <c r="P357" s="100"/>
      <c r="Q357" s="100"/>
      <c r="R357" s="100"/>
      <c r="S357" s="100"/>
      <c r="T357" s="100"/>
      <c r="U357" s="100"/>
      <c r="V357" s="100"/>
      <c r="W357" s="100"/>
      <c r="X357" s="100"/>
      <c r="Y357" s="100"/>
      <c r="Z357" s="100"/>
      <c r="AA357" s="100"/>
      <c r="AB357" s="100"/>
      <c r="AC357" s="100"/>
      <c r="AD357" s="100"/>
      <c r="AF357"/>
      <c r="AG357">
        <f t="shared" si="165"/>
        <v>0</v>
      </c>
      <c r="AH357">
        <f t="shared" si="166"/>
        <v>0</v>
      </c>
      <c r="AK357">
        <f t="shared" si="150"/>
        <v>0</v>
      </c>
      <c r="AL357">
        <f t="shared" si="151"/>
        <v>0</v>
      </c>
      <c r="AM357">
        <f t="shared" si="152"/>
        <v>0</v>
      </c>
      <c r="AN357">
        <f t="shared" si="153"/>
        <v>0</v>
      </c>
      <c r="AO357">
        <f t="shared" si="154"/>
        <v>0</v>
      </c>
      <c r="AP357">
        <f t="shared" si="155"/>
        <v>0</v>
      </c>
      <c r="AQ357">
        <f t="shared" si="156"/>
        <v>0</v>
      </c>
      <c r="AR357">
        <f t="shared" si="157"/>
        <v>0</v>
      </c>
      <c r="AS357">
        <f t="shared" si="158"/>
        <v>0</v>
      </c>
      <c r="AT357">
        <f t="shared" si="159"/>
        <v>0</v>
      </c>
      <c r="AU357">
        <f t="shared" si="160"/>
        <v>0</v>
      </c>
      <c r="AV357">
        <f t="shared" si="161"/>
        <v>0</v>
      </c>
      <c r="AW357">
        <f t="shared" si="162"/>
        <v>0</v>
      </c>
      <c r="AX357">
        <f t="shared" si="163"/>
        <v>0</v>
      </c>
      <c r="AY357">
        <f t="shared" si="164"/>
        <v>0</v>
      </c>
      <c r="CS357"/>
      <c r="CT357"/>
      <c r="CU357"/>
      <c r="CV357"/>
      <c r="CW357"/>
      <c r="CX357"/>
      <c r="CY357"/>
      <c r="CZ357"/>
      <c r="DA357"/>
    </row>
    <row r="358" spans="1:105" ht="15" customHeight="1">
      <c r="A358" s="108"/>
      <c r="B358" s="38"/>
      <c r="C358" s="1109"/>
      <c r="D358" s="874"/>
      <c r="E358" s="874"/>
      <c r="F358" s="1103" t="s">
        <v>5102</v>
      </c>
      <c r="G358" s="1103"/>
      <c r="H358" s="1104" t="s">
        <v>5103</v>
      </c>
      <c r="I358" s="1105"/>
      <c r="J358" s="1105"/>
      <c r="K358" s="1105"/>
      <c r="L358" s="1105"/>
      <c r="M358" s="1105"/>
      <c r="N358" s="1105"/>
      <c r="O358" s="1106"/>
      <c r="P358" s="100"/>
      <c r="Q358" s="100"/>
      <c r="R358" s="100"/>
      <c r="S358" s="100"/>
      <c r="T358" s="100"/>
      <c r="U358" s="100"/>
      <c r="V358" s="100"/>
      <c r="W358" s="100"/>
      <c r="X358" s="100"/>
      <c r="Y358" s="100"/>
      <c r="Z358" s="100"/>
      <c r="AA358" s="100"/>
      <c r="AB358" s="100"/>
      <c r="AC358" s="100"/>
      <c r="AD358" s="100"/>
      <c r="AF358"/>
      <c r="AG358">
        <f t="shared" si="165"/>
        <v>0</v>
      </c>
      <c r="AH358">
        <f t="shared" si="166"/>
        <v>0</v>
      </c>
      <c r="AK358">
        <f t="shared" si="150"/>
        <v>0</v>
      </c>
      <c r="AL358">
        <f t="shared" si="151"/>
        <v>0</v>
      </c>
      <c r="AM358">
        <f t="shared" si="152"/>
        <v>0</v>
      </c>
      <c r="AN358">
        <f t="shared" si="153"/>
        <v>0</v>
      </c>
      <c r="AO358">
        <f t="shared" si="154"/>
        <v>0</v>
      </c>
      <c r="AP358">
        <f t="shared" si="155"/>
        <v>0</v>
      </c>
      <c r="AQ358">
        <f t="shared" si="156"/>
        <v>0</v>
      </c>
      <c r="AR358">
        <f t="shared" si="157"/>
        <v>0</v>
      </c>
      <c r="AS358">
        <f t="shared" si="158"/>
        <v>0</v>
      </c>
      <c r="AT358">
        <f t="shared" si="159"/>
        <v>0</v>
      </c>
      <c r="AU358">
        <f t="shared" si="160"/>
        <v>0</v>
      </c>
      <c r="AV358">
        <f t="shared" si="161"/>
        <v>0</v>
      </c>
      <c r="AW358">
        <f t="shared" si="162"/>
        <v>0</v>
      </c>
      <c r="AX358">
        <f t="shared" si="163"/>
        <v>0</v>
      </c>
      <c r="AY358">
        <f t="shared" si="164"/>
        <v>0</v>
      </c>
      <c r="CS358"/>
      <c r="CT358"/>
      <c r="CU358"/>
      <c r="CV358"/>
      <c r="CW358"/>
      <c r="CX358"/>
      <c r="CY358"/>
      <c r="CZ358"/>
      <c r="DA358"/>
    </row>
    <row r="359" spans="1:105" ht="24" customHeight="1">
      <c r="A359" s="108"/>
      <c r="B359" s="38"/>
      <c r="C359" s="1109"/>
      <c r="D359" s="874"/>
      <c r="E359" s="874"/>
      <c r="F359" s="1103" t="s">
        <v>5104</v>
      </c>
      <c r="G359" s="1103"/>
      <c r="H359" s="1104" t="s">
        <v>5105</v>
      </c>
      <c r="I359" s="1105"/>
      <c r="J359" s="1105"/>
      <c r="K359" s="1105"/>
      <c r="L359" s="1105"/>
      <c r="M359" s="1105"/>
      <c r="N359" s="1105"/>
      <c r="O359" s="1106"/>
      <c r="P359" s="100"/>
      <c r="Q359" s="100"/>
      <c r="R359" s="100"/>
      <c r="S359" s="100"/>
      <c r="T359" s="100"/>
      <c r="U359" s="100"/>
      <c r="V359" s="100"/>
      <c r="W359" s="100"/>
      <c r="X359" s="100"/>
      <c r="Y359" s="100"/>
      <c r="Z359" s="100"/>
      <c r="AA359" s="100"/>
      <c r="AB359" s="100"/>
      <c r="AC359" s="100"/>
      <c r="AD359" s="100"/>
      <c r="AF359">
        <f>IF(P359="NA",IF(AND(COUNTIF(P360:P364,"="&amp;$AF$212)=0,COUNTIF(P360:P364,"&lt;&gt;NA")&gt;0),1,0),IF(AND(COUNTIF(P360:P364,"="&amp;$AF$212)=0,COUNTIF(P360:P364,"NA")=COUNTIF(P360:P364,"&lt;&gt;"&amp;$AF$212)),1,0))</f>
        <v>0</v>
      </c>
      <c r="AG359">
        <f t="shared" si="165"/>
        <v>0</v>
      </c>
      <c r="AH359">
        <f t="shared" si="166"/>
        <v>0</v>
      </c>
      <c r="AK359">
        <f t="shared" si="150"/>
        <v>0</v>
      </c>
      <c r="AL359">
        <f t="shared" si="151"/>
        <v>0</v>
      </c>
      <c r="AM359">
        <f t="shared" si="152"/>
        <v>0</v>
      </c>
      <c r="AN359">
        <f t="shared" si="153"/>
        <v>0</v>
      </c>
      <c r="AO359">
        <f t="shared" si="154"/>
        <v>0</v>
      </c>
      <c r="AP359">
        <f t="shared" si="155"/>
        <v>0</v>
      </c>
      <c r="AQ359">
        <f t="shared" si="156"/>
        <v>0</v>
      </c>
      <c r="AR359">
        <f t="shared" si="157"/>
        <v>0</v>
      </c>
      <c r="AS359">
        <f t="shared" si="158"/>
        <v>0</v>
      </c>
      <c r="AT359">
        <f t="shared" si="159"/>
        <v>0</v>
      </c>
      <c r="AU359">
        <f t="shared" si="160"/>
        <v>0</v>
      </c>
      <c r="AV359">
        <f t="shared" si="161"/>
        <v>0</v>
      </c>
      <c r="AW359">
        <f t="shared" si="162"/>
        <v>0</v>
      </c>
      <c r="AX359">
        <f t="shared" si="163"/>
        <v>0</v>
      </c>
      <c r="AY359">
        <f t="shared" si="164"/>
        <v>0</v>
      </c>
      <c r="CS359"/>
      <c r="CT359"/>
      <c r="CU359"/>
      <c r="CV359"/>
      <c r="CW359"/>
      <c r="CX359"/>
      <c r="CY359"/>
      <c r="CZ359"/>
      <c r="DA359"/>
    </row>
    <row r="360" spans="1:105" ht="24" customHeight="1">
      <c r="A360" s="108"/>
      <c r="B360" s="38"/>
      <c r="C360" s="1109"/>
      <c r="D360" s="874"/>
      <c r="E360" s="874"/>
      <c r="F360" s="1119" t="s">
        <v>5106</v>
      </c>
      <c r="G360" s="1120"/>
      <c r="H360" s="178"/>
      <c r="I360" s="1111" t="s">
        <v>5107</v>
      </c>
      <c r="J360" s="1111"/>
      <c r="K360" s="1111"/>
      <c r="L360" s="1111"/>
      <c r="M360" s="1111"/>
      <c r="N360" s="1111"/>
      <c r="O360" s="1112"/>
      <c r="P360" s="100"/>
      <c r="Q360" s="100"/>
      <c r="R360" s="100"/>
      <c r="S360" s="100"/>
      <c r="T360" s="100"/>
      <c r="U360" s="100"/>
      <c r="V360" s="100"/>
      <c r="W360" s="100"/>
      <c r="X360" s="100"/>
      <c r="Y360" s="100"/>
      <c r="Z360" s="100"/>
      <c r="AA360" s="100"/>
      <c r="AB360" s="100"/>
      <c r="AC360" s="100"/>
      <c r="AD360" s="100"/>
      <c r="AF360"/>
      <c r="AG360">
        <f t="shared" si="165"/>
        <v>0</v>
      </c>
      <c r="AH360">
        <f t="shared" si="166"/>
        <v>0</v>
      </c>
      <c r="AK360">
        <f t="shared" si="150"/>
        <v>0</v>
      </c>
      <c r="AL360">
        <f t="shared" si="151"/>
        <v>0</v>
      </c>
      <c r="AM360">
        <f t="shared" si="152"/>
        <v>0</v>
      </c>
      <c r="AN360">
        <f t="shared" si="153"/>
        <v>0</v>
      </c>
      <c r="AO360">
        <f t="shared" si="154"/>
        <v>0</v>
      </c>
      <c r="AP360">
        <f t="shared" si="155"/>
        <v>0</v>
      </c>
      <c r="AQ360">
        <f t="shared" si="156"/>
        <v>0</v>
      </c>
      <c r="AR360">
        <f t="shared" si="157"/>
        <v>0</v>
      </c>
      <c r="AS360">
        <f t="shared" si="158"/>
        <v>0</v>
      </c>
      <c r="AT360">
        <f t="shared" si="159"/>
        <v>0</v>
      </c>
      <c r="AU360">
        <f t="shared" si="160"/>
        <v>0</v>
      </c>
      <c r="AV360">
        <f t="shared" si="161"/>
        <v>0</v>
      </c>
      <c r="AW360">
        <f t="shared" si="162"/>
        <v>0</v>
      </c>
      <c r="AX360">
        <f t="shared" si="163"/>
        <v>0</v>
      </c>
      <c r="AY360">
        <f t="shared" si="164"/>
        <v>0</v>
      </c>
      <c r="CS360"/>
      <c r="CT360"/>
      <c r="CU360"/>
      <c r="CV360"/>
      <c r="CW360"/>
      <c r="CX360"/>
      <c r="CY360"/>
      <c r="CZ360"/>
      <c r="DA360"/>
    </row>
    <row r="361" spans="1:105" ht="15" customHeight="1">
      <c r="A361" s="108"/>
      <c r="B361" s="38"/>
      <c r="C361" s="1109"/>
      <c r="D361" s="874"/>
      <c r="E361" s="874"/>
      <c r="F361" s="1119" t="s">
        <v>5108</v>
      </c>
      <c r="G361" s="1120"/>
      <c r="H361" s="178"/>
      <c r="I361" s="1111" t="s">
        <v>5109</v>
      </c>
      <c r="J361" s="1111"/>
      <c r="K361" s="1111"/>
      <c r="L361" s="1111"/>
      <c r="M361" s="1111"/>
      <c r="N361" s="1111"/>
      <c r="O361" s="1112"/>
      <c r="P361" s="100"/>
      <c r="Q361" s="100"/>
      <c r="R361" s="100"/>
      <c r="S361" s="100"/>
      <c r="T361" s="100"/>
      <c r="U361" s="100"/>
      <c r="V361" s="100"/>
      <c r="W361" s="100"/>
      <c r="X361" s="100"/>
      <c r="Y361" s="100"/>
      <c r="Z361" s="100"/>
      <c r="AA361" s="100"/>
      <c r="AB361" s="100"/>
      <c r="AC361" s="100"/>
      <c r="AD361" s="100"/>
      <c r="AF361"/>
      <c r="AG361">
        <f t="shared" si="165"/>
        <v>0</v>
      </c>
      <c r="AH361">
        <f t="shared" si="166"/>
        <v>0</v>
      </c>
      <c r="AK361">
        <f t="shared" si="150"/>
        <v>0</v>
      </c>
      <c r="AL361">
        <f t="shared" si="151"/>
        <v>0</v>
      </c>
      <c r="AM361">
        <f t="shared" si="152"/>
        <v>0</v>
      </c>
      <c r="AN361">
        <f t="shared" si="153"/>
        <v>0</v>
      </c>
      <c r="AO361">
        <f t="shared" si="154"/>
        <v>0</v>
      </c>
      <c r="AP361">
        <f t="shared" si="155"/>
        <v>0</v>
      </c>
      <c r="AQ361">
        <f t="shared" si="156"/>
        <v>0</v>
      </c>
      <c r="AR361">
        <f t="shared" si="157"/>
        <v>0</v>
      </c>
      <c r="AS361">
        <f t="shared" si="158"/>
        <v>0</v>
      </c>
      <c r="AT361">
        <f t="shared" si="159"/>
        <v>0</v>
      </c>
      <c r="AU361">
        <f t="shared" si="160"/>
        <v>0</v>
      </c>
      <c r="AV361">
        <f t="shared" si="161"/>
        <v>0</v>
      </c>
      <c r="AW361">
        <f t="shared" si="162"/>
        <v>0</v>
      </c>
      <c r="AX361">
        <f t="shared" si="163"/>
        <v>0</v>
      </c>
      <c r="AY361">
        <f t="shared" si="164"/>
        <v>0</v>
      </c>
      <c r="CS361"/>
      <c r="CT361"/>
      <c r="CU361"/>
      <c r="CV361"/>
      <c r="CW361"/>
      <c r="CX361"/>
      <c r="CY361"/>
      <c r="CZ361"/>
      <c r="DA361"/>
    </row>
    <row r="362" spans="1:105" ht="24" customHeight="1">
      <c r="A362" s="108"/>
      <c r="B362" s="38"/>
      <c r="C362" s="1109"/>
      <c r="D362" s="874"/>
      <c r="E362" s="874"/>
      <c r="F362" s="1119" t="s">
        <v>5110</v>
      </c>
      <c r="G362" s="1120"/>
      <c r="H362" s="178"/>
      <c r="I362" s="1111" t="s">
        <v>5111</v>
      </c>
      <c r="J362" s="1111"/>
      <c r="K362" s="1111"/>
      <c r="L362" s="1111"/>
      <c r="M362" s="1111"/>
      <c r="N362" s="1111"/>
      <c r="O362" s="1112"/>
      <c r="P362" s="100"/>
      <c r="Q362" s="100"/>
      <c r="R362" s="100"/>
      <c r="S362" s="100"/>
      <c r="T362" s="100"/>
      <c r="U362" s="100"/>
      <c r="V362" s="100"/>
      <c r="W362" s="100"/>
      <c r="X362" s="100"/>
      <c r="Y362" s="100"/>
      <c r="Z362" s="100"/>
      <c r="AA362" s="100"/>
      <c r="AB362" s="100"/>
      <c r="AC362" s="100"/>
      <c r="AD362" s="100"/>
      <c r="AF362"/>
      <c r="AG362">
        <f t="shared" si="165"/>
        <v>0</v>
      </c>
      <c r="AH362">
        <f t="shared" si="166"/>
        <v>0</v>
      </c>
      <c r="AK362">
        <f t="shared" si="150"/>
        <v>0</v>
      </c>
      <c r="AL362">
        <f t="shared" si="151"/>
        <v>0</v>
      </c>
      <c r="AM362">
        <f t="shared" si="152"/>
        <v>0</v>
      </c>
      <c r="AN362">
        <f t="shared" si="153"/>
        <v>0</v>
      </c>
      <c r="AO362">
        <f t="shared" si="154"/>
        <v>0</v>
      </c>
      <c r="AP362">
        <f t="shared" si="155"/>
        <v>0</v>
      </c>
      <c r="AQ362">
        <f t="shared" si="156"/>
        <v>0</v>
      </c>
      <c r="AR362">
        <f t="shared" si="157"/>
        <v>0</v>
      </c>
      <c r="AS362">
        <f t="shared" si="158"/>
        <v>0</v>
      </c>
      <c r="AT362">
        <f t="shared" si="159"/>
        <v>0</v>
      </c>
      <c r="AU362">
        <f t="shared" si="160"/>
        <v>0</v>
      </c>
      <c r="AV362">
        <f t="shared" si="161"/>
        <v>0</v>
      </c>
      <c r="AW362">
        <f t="shared" si="162"/>
        <v>0</v>
      </c>
      <c r="AX362">
        <f t="shared" si="163"/>
        <v>0</v>
      </c>
      <c r="AY362">
        <f t="shared" si="164"/>
        <v>0</v>
      </c>
      <c r="CS362"/>
      <c r="CT362"/>
      <c r="CU362"/>
      <c r="CV362"/>
      <c r="CW362"/>
      <c r="CX362"/>
      <c r="CY362"/>
      <c r="CZ362"/>
      <c r="DA362"/>
    </row>
    <row r="363" spans="1:105" ht="36" customHeight="1">
      <c r="A363" s="108"/>
      <c r="B363" s="38"/>
      <c r="C363" s="1109"/>
      <c r="D363" s="874"/>
      <c r="E363" s="874"/>
      <c r="F363" s="1119" t="s">
        <v>5112</v>
      </c>
      <c r="G363" s="1120"/>
      <c r="H363" s="178"/>
      <c r="I363" s="1111" t="s">
        <v>5113</v>
      </c>
      <c r="J363" s="1111"/>
      <c r="K363" s="1111"/>
      <c r="L363" s="1111"/>
      <c r="M363" s="1111"/>
      <c r="N363" s="1111"/>
      <c r="O363" s="1112"/>
      <c r="P363" s="100"/>
      <c r="Q363" s="100"/>
      <c r="R363" s="100"/>
      <c r="S363" s="100"/>
      <c r="T363" s="100"/>
      <c r="U363" s="100"/>
      <c r="V363" s="100"/>
      <c r="W363" s="100"/>
      <c r="X363" s="100"/>
      <c r="Y363" s="100"/>
      <c r="Z363" s="100"/>
      <c r="AA363" s="100"/>
      <c r="AB363" s="100"/>
      <c r="AC363" s="100"/>
      <c r="AD363" s="100"/>
      <c r="AF363"/>
      <c r="AG363">
        <f t="shared" si="165"/>
        <v>0</v>
      </c>
      <c r="AH363">
        <f t="shared" si="166"/>
        <v>0</v>
      </c>
      <c r="AK363">
        <f t="shared" si="150"/>
        <v>0</v>
      </c>
      <c r="AL363">
        <f t="shared" si="151"/>
        <v>0</v>
      </c>
      <c r="AM363">
        <f t="shared" si="152"/>
        <v>0</v>
      </c>
      <c r="AN363">
        <f t="shared" si="153"/>
        <v>0</v>
      </c>
      <c r="AO363">
        <f t="shared" si="154"/>
        <v>0</v>
      </c>
      <c r="AP363">
        <f t="shared" si="155"/>
        <v>0</v>
      </c>
      <c r="AQ363">
        <f t="shared" si="156"/>
        <v>0</v>
      </c>
      <c r="AR363">
        <f t="shared" si="157"/>
        <v>0</v>
      </c>
      <c r="AS363">
        <f t="shared" si="158"/>
        <v>0</v>
      </c>
      <c r="AT363">
        <f t="shared" si="159"/>
        <v>0</v>
      </c>
      <c r="AU363">
        <f t="shared" si="160"/>
        <v>0</v>
      </c>
      <c r="AV363">
        <f t="shared" si="161"/>
        <v>0</v>
      </c>
      <c r="AW363">
        <f t="shared" si="162"/>
        <v>0</v>
      </c>
      <c r="AX363">
        <f t="shared" si="163"/>
        <v>0</v>
      </c>
      <c r="AY363">
        <f t="shared" si="164"/>
        <v>0</v>
      </c>
      <c r="CS363"/>
      <c r="CT363"/>
      <c r="CU363"/>
      <c r="CV363"/>
      <c r="CW363"/>
      <c r="CX363"/>
      <c r="CY363"/>
      <c r="CZ363"/>
      <c r="DA363"/>
    </row>
    <row r="364" spans="1:105" ht="15" customHeight="1">
      <c r="A364" s="108"/>
      <c r="B364" s="38"/>
      <c r="C364" s="1109"/>
      <c r="D364" s="874"/>
      <c r="E364" s="874"/>
      <c r="F364" s="1119" t="s">
        <v>5114</v>
      </c>
      <c r="G364" s="1120"/>
      <c r="H364" s="178"/>
      <c r="I364" s="1111" t="s">
        <v>2631</v>
      </c>
      <c r="J364" s="1111"/>
      <c r="K364" s="1111"/>
      <c r="L364" s="1111"/>
      <c r="M364" s="1111"/>
      <c r="N364" s="1111"/>
      <c r="O364" s="1112"/>
      <c r="P364" s="100"/>
      <c r="Q364" s="100"/>
      <c r="R364" s="100"/>
      <c r="S364" s="100"/>
      <c r="T364" s="100"/>
      <c r="U364" s="100"/>
      <c r="V364" s="100"/>
      <c r="W364" s="100"/>
      <c r="X364" s="100"/>
      <c r="Y364" s="100"/>
      <c r="Z364" s="100"/>
      <c r="AA364" s="100"/>
      <c r="AB364" s="100"/>
      <c r="AC364" s="100"/>
      <c r="AD364" s="100"/>
      <c r="AF364"/>
      <c r="AG364">
        <f t="shared" si="165"/>
        <v>0</v>
      </c>
      <c r="AH364">
        <f t="shared" si="166"/>
        <v>0</v>
      </c>
      <c r="AK364">
        <f t="shared" si="150"/>
        <v>0</v>
      </c>
      <c r="AL364">
        <f t="shared" si="151"/>
        <v>0</v>
      </c>
      <c r="AM364">
        <f t="shared" si="152"/>
        <v>0</v>
      </c>
      <c r="AN364">
        <f t="shared" si="153"/>
        <v>0</v>
      </c>
      <c r="AO364">
        <f t="shared" si="154"/>
        <v>0</v>
      </c>
      <c r="AP364">
        <f t="shared" si="155"/>
        <v>0</v>
      </c>
      <c r="AQ364">
        <f t="shared" si="156"/>
        <v>0</v>
      </c>
      <c r="AR364">
        <f t="shared" si="157"/>
        <v>0</v>
      </c>
      <c r="AS364">
        <f t="shared" si="158"/>
        <v>0</v>
      </c>
      <c r="AT364">
        <f t="shared" si="159"/>
        <v>0</v>
      </c>
      <c r="AU364">
        <f t="shared" si="160"/>
        <v>0</v>
      </c>
      <c r="AV364">
        <f t="shared" si="161"/>
        <v>0</v>
      </c>
      <c r="AW364">
        <f t="shared" si="162"/>
        <v>0</v>
      </c>
      <c r="AX364">
        <f t="shared" si="163"/>
        <v>0</v>
      </c>
      <c r="AY364">
        <f t="shared" si="164"/>
        <v>0</v>
      </c>
      <c r="CS364"/>
      <c r="CT364"/>
      <c r="CU364"/>
      <c r="CV364"/>
      <c r="CW364"/>
      <c r="CX364"/>
      <c r="CY364"/>
      <c r="CZ364"/>
      <c r="DA364"/>
    </row>
    <row r="365" spans="1:105" ht="24" customHeight="1">
      <c r="A365" s="108"/>
      <c r="B365" s="38"/>
      <c r="C365" s="1109"/>
      <c r="D365" s="874"/>
      <c r="E365" s="874"/>
      <c r="F365" s="1103" t="s">
        <v>5115</v>
      </c>
      <c r="G365" s="1103"/>
      <c r="H365" s="1104" t="s">
        <v>5116</v>
      </c>
      <c r="I365" s="1105"/>
      <c r="J365" s="1105"/>
      <c r="K365" s="1105"/>
      <c r="L365" s="1105"/>
      <c r="M365" s="1105"/>
      <c r="N365" s="1105"/>
      <c r="O365" s="1106"/>
      <c r="P365" s="100"/>
      <c r="Q365" s="100"/>
      <c r="R365" s="100"/>
      <c r="S365" s="100"/>
      <c r="T365" s="100"/>
      <c r="U365" s="100"/>
      <c r="V365" s="100"/>
      <c r="W365" s="100"/>
      <c r="X365" s="100"/>
      <c r="Y365" s="100"/>
      <c r="Z365" s="100"/>
      <c r="AA365" s="100"/>
      <c r="AB365" s="100"/>
      <c r="AC365" s="100"/>
      <c r="AD365" s="100"/>
      <c r="AF365"/>
      <c r="AG365">
        <f t="shared" si="165"/>
        <v>0</v>
      </c>
      <c r="AH365">
        <f t="shared" si="166"/>
        <v>0</v>
      </c>
      <c r="AK365">
        <f t="shared" si="150"/>
        <v>0</v>
      </c>
      <c r="AL365">
        <f t="shared" si="151"/>
        <v>0</v>
      </c>
      <c r="AM365">
        <f t="shared" si="152"/>
        <v>0</v>
      </c>
      <c r="AN365">
        <f t="shared" si="153"/>
        <v>0</v>
      </c>
      <c r="AO365">
        <f t="shared" si="154"/>
        <v>0</v>
      </c>
      <c r="AP365">
        <f t="shared" si="155"/>
        <v>0</v>
      </c>
      <c r="AQ365">
        <f t="shared" si="156"/>
        <v>0</v>
      </c>
      <c r="AR365">
        <f t="shared" si="157"/>
        <v>0</v>
      </c>
      <c r="AS365">
        <f t="shared" si="158"/>
        <v>0</v>
      </c>
      <c r="AT365">
        <f t="shared" si="159"/>
        <v>0</v>
      </c>
      <c r="AU365">
        <f t="shared" si="160"/>
        <v>0</v>
      </c>
      <c r="AV365">
        <f t="shared" si="161"/>
        <v>0</v>
      </c>
      <c r="AW365">
        <f t="shared" si="162"/>
        <v>0</v>
      </c>
      <c r="AX365">
        <f t="shared" si="163"/>
        <v>0</v>
      </c>
      <c r="AY365">
        <f t="shared" si="164"/>
        <v>0</v>
      </c>
      <c r="CS365"/>
      <c r="CT365"/>
      <c r="CU365"/>
      <c r="CV365"/>
      <c r="CW365"/>
      <c r="CX365"/>
      <c r="CY365"/>
      <c r="CZ365"/>
      <c r="DA365"/>
    </row>
    <row r="366" spans="1:105" ht="15" customHeight="1">
      <c r="A366" s="108"/>
      <c r="B366" s="38"/>
      <c r="C366" s="1109"/>
      <c r="D366" s="874"/>
      <c r="E366" s="874"/>
      <c r="F366" s="1107" t="s">
        <v>5117</v>
      </c>
      <c r="G366" s="1107"/>
      <c r="H366" s="1104" t="s">
        <v>5118</v>
      </c>
      <c r="I366" s="1105"/>
      <c r="J366" s="1105"/>
      <c r="K366" s="1105"/>
      <c r="L366" s="1105"/>
      <c r="M366" s="1105"/>
      <c r="N366" s="1105"/>
      <c r="O366" s="1106"/>
      <c r="P366" s="100"/>
      <c r="Q366" s="100"/>
      <c r="R366" s="100"/>
      <c r="S366" s="100"/>
      <c r="T366" s="100"/>
      <c r="U366" s="100"/>
      <c r="V366" s="100"/>
      <c r="W366" s="100"/>
      <c r="X366" s="100"/>
      <c r="Y366" s="100"/>
      <c r="Z366" s="100"/>
      <c r="AA366" s="100"/>
      <c r="AB366" s="100"/>
      <c r="AC366" s="100"/>
      <c r="AD366" s="100"/>
      <c r="AF366"/>
      <c r="AG366">
        <f t="shared" si="165"/>
        <v>0</v>
      </c>
      <c r="AH366">
        <f t="shared" si="166"/>
        <v>0</v>
      </c>
      <c r="AJ366">
        <f>IF(OR(P366="NS",P366="NA",$P$175=0,$P$175="NS",$P$175="NA"),0,IF((P366*(IFERROR(100/SUM(P334:P366),0)))&gt;25,1,0))</f>
        <v>0</v>
      </c>
      <c r="AK366">
        <f t="shared" si="150"/>
        <v>0</v>
      </c>
      <c r="AL366">
        <f t="shared" si="151"/>
        <v>0</v>
      </c>
      <c r="AM366">
        <f t="shared" si="152"/>
        <v>0</v>
      </c>
      <c r="AN366">
        <f t="shared" si="153"/>
        <v>0</v>
      </c>
      <c r="AO366">
        <f t="shared" si="154"/>
        <v>0</v>
      </c>
      <c r="AP366">
        <f t="shared" si="155"/>
        <v>0</v>
      </c>
      <c r="AQ366">
        <f t="shared" si="156"/>
        <v>0</v>
      </c>
      <c r="AR366">
        <f t="shared" si="157"/>
        <v>0</v>
      </c>
      <c r="AS366">
        <f t="shared" si="158"/>
        <v>0</v>
      </c>
      <c r="AT366">
        <f t="shared" si="159"/>
        <v>0</v>
      </c>
      <c r="AU366">
        <f t="shared" si="160"/>
        <v>0</v>
      </c>
      <c r="AV366">
        <f t="shared" si="161"/>
        <v>0</v>
      </c>
      <c r="AW366">
        <f t="shared" si="162"/>
        <v>0</v>
      </c>
      <c r="AX366">
        <f t="shared" si="163"/>
        <v>0</v>
      </c>
      <c r="AY366">
        <f t="shared" si="164"/>
        <v>0</v>
      </c>
      <c r="CS366"/>
      <c r="CT366"/>
      <c r="CU366"/>
      <c r="CV366"/>
      <c r="CW366"/>
      <c r="CX366"/>
      <c r="CY366"/>
      <c r="CZ366"/>
      <c r="DA366"/>
    </row>
    <row r="367" spans="1:105">
      <c r="A367" s="108"/>
      <c r="B367" s="38"/>
      <c r="C367" s="739" t="s">
        <v>5119</v>
      </c>
      <c r="D367" s="740"/>
      <c r="E367" s="740"/>
      <c r="F367" s="740"/>
      <c r="G367" s="741"/>
      <c r="H367" s="1104" t="s">
        <v>2631</v>
      </c>
      <c r="I367" s="1105"/>
      <c r="J367" s="1105"/>
      <c r="K367" s="1105"/>
      <c r="L367" s="1105"/>
      <c r="M367" s="1105"/>
      <c r="N367" s="1105"/>
      <c r="O367" s="1106"/>
      <c r="P367" s="100"/>
      <c r="Q367" s="100"/>
      <c r="R367" s="100"/>
      <c r="S367" s="100"/>
      <c r="T367" s="100"/>
      <c r="U367" s="100"/>
      <c r="V367" s="100"/>
      <c r="W367" s="100"/>
      <c r="X367" s="100"/>
      <c r="Y367" s="100"/>
      <c r="Z367" s="100"/>
      <c r="AA367" s="100"/>
      <c r="AB367" s="100"/>
      <c r="AC367" s="100"/>
      <c r="AD367" s="100"/>
      <c r="AF367"/>
      <c r="AG367">
        <f>IF(OR($P$175=0,$P$175="NS",$P$175="NA",P367="NA"),0,IF(SUM(COUNTBLANK(P367:AD367),COUNTBLANK(G538:AD538))=0,0,1))</f>
        <v>0</v>
      </c>
      <c r="AH367">
        <f>IF(P367="NA",IF(COUNTA(Q367:AD367,G538:AD538)=0,0,1),0)</f>
        <v>0</v>
      </c>
      <c r="AK367">
        <f t="shared" si="150"/>
        <v>0</v>
      </c>
      <c r="AL367">
        <f t="shared" si="151"/>
        <v>0</v>
      </c>
      <c r="AM367">
        <f t="shared" si="152"/>
        <v>0</v>
      </c>
      <c r="AN367">
        <f t="shared" si="153"/>
        <v>0</v>
      </c>
      <c r="AO367">
        <f t="shared" si="154"/>
        <v>0</v>
      </c>
      <c r="AP367">
        <f t="shared" si="155"/>
        <v>0</v>
      </c>
      <c r="AQ367">
        <f t="shared" si="156"/>
        <v>0</v>
      </c>
      <c r="AR367">
        <f t="shared" si="157"/>
        <v>0</v>
      </c>
      <c r="AS367">
        <f t="shared" si="158"/>
        <v>0</v>
      </c>
      <c r="AT367">
        <f t="shared" si="159"/>
        <v>0</v>
      </c>
      <c r="AU367">
        <f t="shared" si="160"/>
        <v>0</v>
      </c>
      <c r="AV367">
        <f t="shared" si="161"/>
        <v>0</v>
      </c>
      <c r="AW367">
        <f t="shared" si="162"/>
        <v>0</v>
      </c>
      <c r="AX367">
        <f t="shared" si="163"/>
        <v>0</v>
      </c>
      <c r="AY367">
        <f t="shared" si="164"/>
        <v>0</v>
      </c>
      <c r="CS367"/>
      <c r="CT367"/>
      <c r="CU367"/>
      <c r="CV367"/>
      <c r="CW367"/>
      <c r="CX367"/>
      <c r="CY367"/>
      <c r="CZ367"/>
      <c r="DA367"/>
    </row>
    <row r="368" spans="1:105" ht="15" customHeight="1">
      <c r="A368" s="108"/>
      <c r="B368" s="38"/>
      <c r="C368" s="38"/>
      <c r="D368" s="38"/>
      <c r="E368" s="38"/>
      <c r="F368" s="38"/>
      <c r="G368" s="38"/>
      <c r="H368" s="38"/>
      <c r="I368" s="38"/>
      <c r="J368" s="191"/>
      <c r="K368" s="152"/>
      <c r="L368" s="117"/>
      <c r="M368" s="45"/>
      <c r="N368" s="45"/>
      <c r="O368" s="99" t="s">
        <v>2649</v>
      </c>
      <c r="P368" s="524">
        <f>IF(COUNTIF(P203:P367,"NA")=165,"NA",IF(AND(SUM(COUNTIF(P203:P213,"NS"),COUNTIF(P220:P224,"NS"),COUNTIF(P230:P233,"NS"),COUNTIF(P252,"NS"),COUNTIF(P258:P260,"NS"),COUNTIF(P264:P270,"NS"),COUNTIF(P278,"NS"),COUNTIF(P284:P288,"NS"),COUNTIF(P295,"NS"),COUNTIF(P304:P307,"NS"),COUNTIF(P314:P317,"NS"),COUNTIF(P327,"NS"),COUNTIF(P331:P338,"NS"),COUNTIF(P346:P347,"NS"),COUNTIF(P351:P359,"NS"),COUNTIF(P365:P367,"NS"))&gt;0,SUM(P203:P213,P220:P224,P230:P233,P252,P258:P260,P264:P270,P278,P284:P288,P295,P304:P307,P314:P317,P327,P331:P338,P346:P347,P351:P359,P365:P367)=0),"NS",SUM(P203:P213,P220:P224,P230:P233,P252,P258:P260,P264:P270,P278,P284:P288,P295,P304:P307,P314:P317,P327,P331:P338,P346:P347,P351:P359,P365:P367)))</f>
        <v>0</v>
      </c>
      <c r="Q368" s="524">
        <f t="shared" ref="Q368:AD368" si="167">IF(COUNTIF(Q203:Q367,"NA")=165,"NA",IF(AND(SUM(COUNTIF(Q203:Q213,"NS"),COUNTIF(Q220:Q224,"NS"),COUNTIF(Q230:Q233,"NS"),COUNTIF(Q252,"NS"),COUNTIF(Q258:Q260,"NS"),COUNTIF(Q264:Q270,"NS"),COUNTIF(Q278,"NS"),COUNTIF(Q284:Q288,"NS"),COUNTIF(Q295,"NS"),COUNTIF(Q304:Q307,"NS"),COUNTIF(Q314:Q317,"NS"),COUNTIF(Q327,"NS"),COUNTIF(Q331:Q338,"NS"),COUNTIF(Q346:Q347,"NS"),COUNTIF(Q351:Q359,"NS"),COUNTIF(Q365:Q367,"NS"))&gt;0,SUM(Q203:Q213,Q220:Q224,Q230:Q233,Q252,Q258:Q260,Q264:Q270,Q278,Q284:Q288,Q295,Q304:Q307,Q314:Q317,Q327,Q331:Q338,Q346:Q347,Q351:Q359,Q365:Q367)=0),"NS",SUM(Q203:Q213,Q220:Q224,Q230:Q233,Q252,Q258:Q260,Q264:Q270,Q278,Q284:Q288,Q295,Q304:Q307,Q314:Q317,Q327,Q331:Q338,Q346:Q347,Q351:Q359,Q365:Q367)))</f>
        <v>0</v>
      </c>
      <c r="R368" s="524">
        <f>IF(COUNTIF(R203:R367,"NA")=165,"NA",IF(AND(SUM(COUNTIF(R203:R213,"NS"),COUNTIF(R220:R224,"NS"),COUNTIF(R230:R233,"NS"),COUNTIF(R252,"NS"),COUNTIF(R258:R260,"NS"),COUNTIF(R264:R270,"NS"),COUNTIF(R278,"NS"),COUNTIF(R284:R288,"NS"),COUNTIF(R295,"NS"),COUNTIF(R304:R307,"NS"),COUNTIF(R314:R317,"NS"),COUNTIF(R327,"NS"),COUNTIF(R331:R338,"NS"),COUNTIF(R346:R347,"NS"),COUNTIF(R351:R359,"NS"),COUNTIF(R365:R367,"NS"))&gt;0,SUM(R203:R213,R220:R224,R230:R233,R252,R258:R260,R264:R270,R278,R284:R288,R295,R304:R307,R314:R317,R327,R331:R338,R346:R347,R351:R359,R365:R367)=0),"NS",SUM(R203:R213,R220:R224,R230:R233,R252,R258:R260,R264:R270,R278,R284:R288,R295,R304:R307,R314:R317,R327,R331:R338,R346:R347,R351:R359,R365:R367)))</f>
        <v>0</v>
      </c>
      <c r="S368" s="524">
        <f t="shared" si="167"/>
        <v>0</v>
      </c>
      <c r="T368" s="524">
        <f t="shared" si="167"/>
        <v>0</v>
      </c>
      <c r="U368" s="524">
        <f t="shared" si="167"/>
        <v>0</v>
      </c>
      <c r="V368" s="524">
        <f t="shared" si="167"/>
        <v>0</v>
      </c>
      <c r="W368" s="524">
        <f t="shared" si="167"/>
        <v>0</v>
      </c>
      <c r="X368" s="524">
        <f t="shared" si="167"/>
        <v>0</v>
      </c>
      <c r="Y368" s="524">
        <f t="shared" si="167"/>
        <v>0</v>
      </c>
      <c r="Z368" s="524">
        <f t="shared" si="167"/>
        <v>0</v>
      </c>
      <c r="AA368" s="524">
        <f t="shared" si="167"/>
        <v>0</v>
      </c>
      <c r="AB368" s="524">
        <f t="shared" si="167"/>
        <v>0</v>
      </c>
      <c r="AC368" s="524">
        <f t="shared" si="167"/>
        <v>0</v>
      </c>
      <c r="AD368" s="124">
        <f t="shared" si="167"/>
        <v>0</v>
      </c>
      <c r="AF368" s="506">
        <f>SUM(AF359,AF347,AF338,AF327,AF317,AF307,AF295,AF288,AF278,AF270,AF260,AF252,AF233,AF224,AF213)</f>
        <v>0</v>
      </c>
      <c r="AG368" s="507">
        <f>SUM(AG203:AG367)</f>
        <v>0</v>
      </c>
      <c r="AH368" s="507">
        <f>SUM(AH203:AH367,AI203)</f>
        <v>0</v>
      </c>
      <c r="AJ368" s="507">
        <f>SUM(AJ366,AJ333,AJ316,AJ287,AJ269,AJ266,AJ232,AJ220,AJ207)</f>
        <v>0</v>
      </c>
      <c r="AK368">
        <f>SUM(AK203:AK367)</f>
        <v>0</v>
      </c>
      <c r="AM368">
        <f>SUM(AM203:AM367)</f>
        <v>0</v>
      </c>
      <c r="AN368">
        <f>SUM(AN203:AN367)</f>
        <v>0</v>
      </c>
      <c r="AP368">
        <f>SUM(AP203:AP367)</f>
        <v>0</v>
      </c>
      <c r="AQ368">
        <f>SUM(AQ203:AQ367)</f>
        <v>0</v>
      </c>
      <c r="AS368">
        <f>SUM(AS203:AS367)</f>
        <v>0</v>
      </c>
      <c r="AT368">
        <f>SUM(AT203:AT367)</f>
        <v>0</v>
      </c>
      <c r="AV368">
        <f>SUM(AV203:AV367)</f>
        <v>0</v>
      </c>
      <c r="AW368">
        <f>SUM(AW203:AW367)</f>
        <v>0</v>
      </c>
      <c r="AY368">
        <f>SUM(AY203:AY367)</f>
        <v>0</v>
      </c>
      <c r="CS368"/>
      <c r="CT368"/>
      <c r="CU368"/>
      <c r="CV368"/>
      <c r="CW368"/>
      <c r="CX368"/>
      <c r="CY368"/>
      <c r="CZ368"/>
      <c r="DA368"/>
    </row>
    <row r="369" spans="1:105" ht="15" customHeight="1">
      <c r="A369" s="176"/>
      <c r="B369" s="57"/>
      <c r="C369" s="57"/>
      <c r="D369" s="57"/>
      <c r="E369" s="57"/>
      <c r="F369" s="57"/>
      <c r="G369" s="57"/>
      <c r="H369" s="57"/>
      <c r="I369" s="57"/>
      <c r="J369" s="57"/>
      <c r="K369" s="57"/>
      <c r="L369" s="57"/>
      <c r="M369" s="57"/>
      <c r="N369" s="180"/>
      <c r="O369" s="2"/>
      <c r="P369" s="2"/>
      <c r="Q369" s="2"/>
      <c r="R369" s="2"/>
      <c r="S369" s="2"/>
      <c r="T369" s="2"/>
      <c r="U369" s="2"/>
      <c r="V369" s="2"/>
      <c r="W369" s="2"/>
      <c r="X369" s="2"/>
      <c r="Y369" s="2"/>
      <c r="Z369" s="2"/>
      <c r="AA369" s="2"/>
      <c r="AB369" s="2"/>
      <c r="AC369" s="2"/>
      <c r="AD369" s="2"/>
      <c r="AF369"/>
      <c r="AK369" t="s">
        <v>2650</v>
      </c>
      <c r="AL369" s="427">
        <f>SUM(AM368,AP368,AS368,AV368,AY368)</f>
        <v>0</v>
      </c>
      <c r="AM369" t="s">
        <v>2651</v>
      </c>
      <c r="AN369" s="427">
        <f>SUM(AK368,AN368,AQ368,AT368,AW368)</f>
        <v>0</v>
      </c>
      <c r="CS369"/>
      <c r="CT369"/>
      <c r="CU369"/>
      <c r="CV369"/>
      <c r="CW369"/>
      <c r="CX369"/>
      <c r="CY369"/>
      <c r="CZ369"/>
      <c r="DA369"/>
    </row>
    <row r="370" spans="1:105" ht="15" customHeight="1">
      <c r="A370" s="108"/>
      <c r="B370" s="38"/>
      <c r="C370" s="75"/>
      <c r="D370" s="75"/>
      <c r="E370" s="75"/>
      <c r="F370" s="75"/>
      <c r="G370" s="75"/>
      <c r="H370" s="75"/>
      <c r="I370" s="75"/>
      <c r="J370" s="75"/>
      <c r="K370" s="75"/>
      <c r="L370" s="75"/>
      <c r="M370" s="75"/>
      <c r="N370" s="75"/>
      <c r="O370" s="75"/>
      <c r="P370" s="75"/>
      <c r="Q370" s="75"/>
      <c r="R370" s="75"/>
      <c r="S370" s="75"/>
      <c r="T370" s="75"/>
      <c r="U370" s="75"/>
      <c r="V370" s="75"/>
      <c r="W370" s="75"/>
      <c r="X370" s="75"/>
      <c r="Y370" s="75"/>
      <c r="Z370" s="75"/>
      <c r="AA370" s="873" t="s">
        <v>2668</v>
      </c>
      <c r="AB370" s="873"/>
      <c r="AC370" s="873"/>
      <c r="AD370" s="873"/>
      <c r="AF370"/>
      <c r="AK370" t="s">
        <v>2652</v>
      </c>
      <c r="AL370">
        <f>IF(AN369&gt;0,IF(SUM(P368)&gt;=SUM(S368,V368,Y368,AB368),0,1),IF(SUM(P368)&lt;&gt;SUM(S368,V368,Y368,AB368),1,0))</f>
        <v>0</v>
      </c>
      <c r="AM370" t="s">
        <v>2653</v>
      </c>
      <c r="AN370">
        <f>IF(AN369&gt;0,IF(SUM(Q368)&gt;=SUM(T368,W368,Z368,AC368),0,1),IF(SUM(Q368)&lt;&gt;SUM(T368,W368,Z368,AC368),1,0))</f>
        <v>0</v>
      </c>
      <c r="AO370" t="s">
        <v>2654</v>
      </c>
      <c r="AP370">
        <f>IF(AN369&gt;0,IF(SUM(R368)&gt;=SUM(U368,X368,AA368,AD368),0,1),IF(SUM(R368)&lt;&gt;SUM(U368,X368,AA368,AD368),1,0))</f>
        <v>0</v>
      </c>
      <c r="CS370"/>
      <c r="CT370"/>
      <c r="CU370"/>
      <c r="CV370"/>
      <c r="CW370"/>
      <c r="CX370"/>
      <c r="CY370"/>
      <c r="CZ370"/>
      <c r="DA370"/>
    </row>
    <row r="371" spans="1:105" ht="36" customHeight="1">
      <c r="A371" s="108"/>
      <c r="B371" s="38"/>
      <c r="C371" s="797" t="s">
        <v>4737</v>
      </c>
      <c r="D371" s="798"/>
      <c r="E371" s="798"/>
      <c r="F371" s="799"/>
      <c r="G371" s="732" t="s">
        <v>5582</v>
      </c>
      <c r="H371" s="732"/>
      <c r="I371" s="732"/>
      <c r="J371" s="732"/>
      <c r="K371" s="732"/>
      <c r="L371" s="732"/>
      <c r="M371" s="732"/>
      <c r="N371" s="732"/>
      <c r="O371" s="732"/>
      <c r="P371" s="732"/>
      <c r="Q371" s="732"/>
      <c r="R371" s="732"/>
      <c r="S371" s="732"/>
      <c r="T371" s="732"/>
      <c r="U371" s="732"/>
      <c r="V371" s="732"/>
      <c r="W371" s="732"/>
      <c r="X371" s="732"/>
      <c r="Y371" s="732"/>
      <c r="Z371" s="732"/>
      <c r="AA371" s="732"/>
      <c r="AB371" s="732"/>
      <c r="AC371" s="732"/>
      <c r="AD371" s="732"/>
      <c r="AF371"/>
      <c r="CS371"/>
      <c r="CT371"/>
      <c r="CU371"/>
      <c r="CV371"/>
      <c r="CW371"/>
      <c r="CX371"/>
      <c r="CY371"/>
      <c r="CZ371"/>
      <c r="DA371"/>
    </row>
    <row r="372" spans="1:105" ht="120" customHeight="1">
      <c r="A372" s="108"/>
      <c r="B372" s="38"/>
      <c r="C372" s="800"/>
      <c r="D372" s="801"/>
      <c r="E372" s="801"/>
      <c r="F372" s="802"/>
      <c r="G372" s="857" t="s">
        <v>5555</v>
      </c>
      <c r="H372" s="857"/>
      <c r="I372" s="857"/>
      <c r="J372" s="857" t="s">
        <v>5556</v>
      </c>
      <c r="K372" s="857"/>
      <c r="L372" s="857"/>
      <c r="M372" s="857" t="s">
        <v>5557</v>
      </c>
      <c r="N372" s="857"/>
      <c r="O372" s="857"/>
      <c r="P372" s="857" t="s">
        <v>5558</v>
      </c>
      <c r="Q372" s="857"/>
      <c r="R372" s="857"/>
      <c r="S372" s="857" t="s">
        <v>5559</v>
      </c>
      <c r="T372" s="857"/>
      <c r="U372" s="857"/>
      <c r="V372" s="857" t="s">
        <v>5560</v>
      </c>
      <c r="W372" s="857"/>
      <c r="X372" s="857"/>
      <c r="Y372" s="857" t="s">
        <v>5561</v>
      </c>
      <c r="Z372" s="857"/>
      <c r="AA372" s="857"/>
      <c r="AB372" s="857" t="s">
        <v>5578</v>
      </c>
      <c r="AC372" s="857"/>
      <c r="AD372" s="857"/>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row>
    <row r="373" spans="1:105" ht="48" customHeight="1">
      <c r="A373" s="108"/>
      <c r="B373" s="38"/>
      <c r="C373" s="803"/>
      <c r="D373" s="804"/>
      <c r="E373" s="804"/>
      <c r="F373" s="805"/>
      <c r="G373" s="129" t="s">
        <v>2635</v>
      </c>
      <c r="H373" s="128" t="s">
        <v>2629</v>
      </c>
      <c r="I373" s="128" t="s">
        <v>2630</v>
      </c>
      <c r="J373" s="129" t="s">
        <v>2635</v>
      </c>
      <c r="K373" s="128" t="s">
        <v>2629</v>
      </c>
      <c r="L373" s="128" t="s">
        <v>2630</v>
      </c>
      <c r="M373" s="129" t="s">
        <v>2635</v>
      </c>
      <c r="N373" s="128" t="s">
        <v>2629</v>
      </c>
      <c r="O373" s="128" t="s">
        <v>2630</v>
      </c>
      <c r="P373" s="129" t="s">
        <v>2635</v>
      </c>
      <c r="Q373" s="128" t="s">
        <v>2629</v>
      </c>
      <c r="R373" s="128" t="s">
        <v>2630</v>
      </c>
      <c r="S373" s="129" t="s">
        <v>2635</v>
      </c>
      <c r="T373" s="128" t="s">
        <v>2629</v>
      </c>
      <c r="U373" s="128" t="s">
        <v>2630</v>
      </c>
      <c r="V373" s="129" t="s">
        <v>2635</v>
      </c>
      <c r="W373" s="128" t="s">
        <v>2629</v>
      </c>
      <c r="X373" s="128" t="s">
        <v>2630</v>
      </c>
      <c r="Y373" s="129" t="s">
        <v>2635</v>
      </c>
      <c r="Z373" s="128" t="s">
        <v>2629</v>
      </c>
      <c r="AA373" s="128" t="s">
        <v>2630</v>
      </c>
      <c r="AB373" s="129" t="s">
        <v>2635</v>
      </c>
      <c r="AC373" s="128" t="s">
        <v>2629</v>
      </c>
      <c r="AD373" s="128" t="s">
        <v>2630</v>
      </c>
      <c r="AF373"/>
      <c r="AG373"/>
      <c r="AH373"/>
      <c r="AI373"/>
      <c r="AJ373"/>
      <c r="AK373" t="s">
        <v>4573</v>
      </c>
      <c r="AL373" t="s">
        <v>2638</v>
      </c>
      <c r="AM373" t="s">
        <v>2639</v>
      </c>
      <c r="AN373" t="s">
        <v>4574</v>
      </c>
      <c r="AO373" t="s">
        <v>2641</v>
      </c>
      <c r="AP373" t="s">
        <v>2642</v>
      </c>
      <c r="AQ373" t="s">
        <v>4575</v>
      </c>
      <c r="AR373" t="s">
        <v>2644</v>
      </c>
      <c r="AS373" t="s">
        <v>2645</v>
      </c>
      <c r="AT373" t="s">
        <v>4576</v>
      </c>
      <c r="AU373" t="s">
        <v>2647</v>
      </c>
      <c r="AV373" t="s">
        <v>2648</v>
      </c>
      <c r="AW373" t="s">
        <v>5177</v>
      </c>
      <c r="AX373" t="s">
        <v>2757</v>
      </c>
      <c r="AY373" t="s">
        <v>2758</v>
      </c>
      <c r="AZ373" t="s">
        <v>5194</v>
      </c>
      <c r="BA373" t="s">
        <v>2760</v>
      </c>
      <c r="BB373" t="s">
        <v>2761</v>
      </c>
      <c r="BC373" t="s">
        <v>5195</v>
      </c>
      <c r="BD373" t="s">
        <v>2763</v>
      </c>
      <c r="BE373" t="s">
        <v>2764</v>
      </c>
      <c r="BF373" t="s">
        <v>5563</v>
      </c>
      <c r="BG373" t="s">
        <v>2766</v>
      </c>
      <c r="BH373" t="s">
        <v>2767</v>
      </c>
    </row>
    <row r="374" spans="1:105" ht="15" customHeight="1">
      <c r="A374" s="206"/>
      <c r="B374" s="206"/>
      <c r="C374" s="1117" t="s">
        <v>4745</v>
      </c>
      <c r="D374" s="1136"/>
      <c r="E374" s="1136"/>
      <c r="F374" s="1118"/>
      <c r="G374" s="100"/>
      <c r="H374" s="100"/>
      <c r="I374" s="100"/>
      <c r="J374" s="100"/>
      <c r="K374" s="100"/>
      <c r="L374" s="100"/>
      <c r="M374" s="100"/>
      <c r="N374" s="100"/>
      <c r="O374" s="100"/>
      <c r="P374" s="100"/>
      <c r="Q374" s="100"/>
      <c r="R374" s="100"/>
      <c r="S374" s="100"/>
      <c r="T374" s="100"/>
      <c r="U374" s="100"/>
      <c r="V374" s="100"/>
      <c r="W374" s="100"/>
      <c r="X374" s="100"/>
      <c r="Y374" s="100"/>
      <c r="Z374" s="100"/>
      <c r="AA374" s="100"/>
      <c r="AB374" s="100"/>
      <c r="AC374" s="100"/>
      <c r="AD374" s="100"/>
      <c r="AF374"/>
      <c r="AG374"/>
      <c r="AH374"/>
      <c r="AI374"/>
      <c r="AJ374"/>
      <c r="AK374">
        <f t="shared" ref="AK374:AK437" si="168">COUNTIF(H374:I374,"NS")</f>
        <v>0</v>
      </c>
      <c r="AL374">
        <f t="shared" ref="AL374:AL437" si="169">SUM(H374:I374)</f>
        <v>0</v>
      </c>
      <c r="AM374">
        <f>IF(COUNTIF(G374:I374,"NA")=3,0,IF(COUNTA(G374:I374)=0,0,IF(OR(AND(G374=0,AK374&gt;0),AND(G374="ns",AL374&gt;0),AND(G374="ns",AK374=0,AL374=0)),1,IF(OR(AND(G374&gt;0,AK374=2),AND(G374="ns",AK374=2),AND(G374="ns",AL374=0,AK374&gt;0),G374=AL374),0,1))))</f>
        <v>0</v>
      </c>
      <c r="AN374">
        <f t="shared" ref="AN374:AN437" si="170">COUNTIF(K374:L374,"NS")</f>
        <v>0</v>
      </c>
      <c r="AO374">
        <f t="shared" ref="AO374:AO437" si="171">SUM(K374:L374)</f>
        <v>0</v>
      </c>
      <c r="AP374">
        <f t="shared" ref="AP374:AP437" si="172">IF(COUNTIF(J374:L374,"NA")=3,0,IF(COUNTA(J374:L374)=0,0,IF(OR(AND(J374=0,AN374&gt;0),AND(J374="ns",AO374&gt;0),AND(J374="ns",AN374=0,AO374=0)),1,IF(OR(AND(J374&gt;0,AN374=2),AND(J374="ns",AN374=2),AND(J374="ns",AO374=0,AN374&gt;0),J374=AO374),0,1))))</f>
        <v>0</v>
      </c>
      <c r="AQ374">
        <f t="shared" ref="AQ374:AQ437" si="173">COUNTIF(N374:O374,"NS")</f>
        <v>0</v>
      </c>
      <c r="AR374">
        <f t="shared" ref="AR374:AR437" si="174">SUM(N374:O374)</f>
        <v>0</v>
      </c>
      <c r="AS374">
        <f t="shared" ref="AS374:AS437" si="175">IF(COUNTIF(M374:O374,"NA")=3,0,IF(COUNTA(M374:O374)=0,0,IF(OR(AND(M374=0,AQ374&gt;0),AND(M374="ns",AR374&gt;0),AND(M374="ns",AQ374=0,AR374=0)),1,IF(OR(AND(M374&gt;0,AQ374=2),AND(M374="ns",AQ374=2),AND(M374="ns",AR374=0,AQ374&gt;0),M374=AR374),0,1))))</f>
        <v>0</v>
      </c>
      <c r="AT374">
        <f t="shared" ref="AT374:AT437" si="176">COUNTIF(Q374:R374,"NS")</f>
        <v>0</v>
      </c>
      <c r="AU374">
        <f t="shared" ref="AU374:AU437" si="177">SUM(Q374:R374)</f>
        <v>0</v>
      </c>
      <c r="AV374">
        <f t="shared" ref="AV374:AV437" si="178">IF(COUNTIF(P374:R374,"NA")=3,0,IF(COUNTA(P374:R374)=0,0,IF(OR(AND(P374=0,AT374&gt;0),AND(P374="ns",AU374&gt;0),AND(P374="ns",AT374=0,AU374=0)),1,IF(OR(AND(P374&gt;0,AT374=2),AND(P374="ns",AT374=2),AND(P374="ns",AU374=0,AT374&gt;0),P374=AU374),0,1))))</f>
        <v>0</v>
      </c>
      <c r="AW374">
        <f t="shared" ref="AW374:AW437" si="179">COUNTIF(T374:U374,"NS")</f>
        <v>0</v>
      </c>
      <c r="AX374">
        <f t="shared" ref="AX374:AX437" si="180">SUM(T374:U374)</f>
        <v>0</v>
      </c>
      <c r="AY374">
        <f t="shared" ref="AY374:AY437" si="181">IF(COUNTIF(S374:U374,"NA")=3,0,IF(COUNTA(S374:U374)=0,0,IF(OR(AND(S374=0,AW374&gt;0),AND(S374="ns",AX374&gt;0),AND(S374="ns",AW374=0,AX374=0)),1,IF(OR(AND(S374&gt;0,AW374=2),AND(S374="ns",AW374=2),AND(S374="ns",AX374=0,AW374&gt;0),S374=AX374),0,1))))</f>
        <v>0</v>
      </c>
      <c r="AZ374">
        <f t="shared" ref="AZ374:AZ437" si="182">COUNTIF(W374:X374,"NS")</f>
        <v>0</v>
      </c>
      <c r="BA374">
        <f t="shared" ref="BA374:BA437" si="183">SUM(W374:X374)</f>
        <v>0</v>
      </c>
      <c r="BB374">
        <f t="shared" ref="BB374:BB437" si="184">IF(COUNTIF(V374:X374,"NA")=3,0,IF(COUNTA(V374:X374)=0,0,IF(OR(AND(V374=0,AZ374&gt;0),AND(V374="ns",BA374&gt;0),AND(V374="ns",AZ374=0,BA374=0)),1,IF(OR(AND(V374&gt;0,AZ374=2),AND(V374="ns",AZ374=2),AND(V374="ns",BA374=0,AZ374&gt;0),V374=BA374),0,1))))</f>
        <v>0</v>
      </c>
      <c r="BC374">
        <f t="shared" ref="BC374:BC437" si="185">COUNTIF(Z374:AA374,"NS")</f>
        <v>0</v>
      </c>
      <c r="BD374">
        <f t="shared" ref="BD374:BD437" si="186">SUM(Z374:AA374)</f>
        <v>0</v>
      </c>
      <c r="BE374">
        <f t="shared" ref="BE374:BE437" si="187">IF(COUNTIF(Y374:AA374,"NA")=3,0,IF(COUNTA(Y374:AA374)=0,0,IF(OR(AND(Y374=0,BC374&gt;0),AND(Y374="ns",BD374&gt;0),AND(Y374="ns",BC374=0,BD374=0)),1,IF(OR(AND(Y374&gt;0,BC374=2),AND(Y374="ns",BC374=2),AND(Y374="ns",BD374=0,BC374&gt;0),Y374=BD374),0,1))))</f>
        <v>0</v>
      </c>
      <c r="BF374">
        <f t="shared" ref="BF374:BF437" si="188">COUNTIF(AC374:AD374,"NS")</f>
        <v>0</v>
      </c>
      <c r="BG374">
        <f t="shared" ref="BG374:BG437" si="189">SUM(AC374:AD374)</f>
        <v>0</v>
      </c>
      <c r="BH374">
        <f t="shared" ref="BH374:BH437" si="190">IF(COUNTIF(AB374:AD374,"NA")=3,0,IF(COUNTA(AB374:AD374)=0,0,IF(OR(AND(AB374=0,BF374&gt;0),AND(AB374="ns",BG374&gt;0),AND(AB374="ns",BF374=0,BG374=0)),1,IF(OR(AND(AB374&gt;0,BF374=2),AND(AB374="ns",BF374=2),AND(AB374="ns",BG374=0,BF374&gt;0),AB374=BG374),0,1))))</f>
        <v>0</v>
      </c>
    </row>
    <row r="375" spans="1:105" ht="15" customHeight="1">
      <c r="A375" s="206"/>
      <c r="B375" s="206"/>
      <c r="C375" s="1117" t="s">
        <v>4746</v>
      </c>
      <c r="D375" s="1136"/>
      <c r="E375" s="1136"/>
      <c r="F375" s="1118"/>
      <c r="G375" s="100"/>
      <c r="H375" s="100"/>
      <c r="I375" s="100"/>
      <c r="J375" s="100"/>
      <c r="K375" s="100"/>
      <c r="L375" s="100"/>
      <c r="M375" s="100"/>
      <c r="N375" s="100"/>
      <c r="O375" s="100"/>
      <c r="P375" s="100"/>
      <c r="Q375" s="100"/>
      <c r="R375" s="100"/>
      <c r="S375" s="100"/>
      <c r="T375" s="100"/>
      <c r="U375" s="100"/>
      <c r="V375" s="100"/>
      <c r="W375" s="100"/>
      <c r="X375" s="100"/>
      <c r="Y375" s="100"/>
      <c r="Z375" s="100"/>
      <c r="AA375" s="100"/>
      <c r="AB375" s="100"/>
      <c r="AC375" s="100"/>
      <c r="AD375" s="100"/>
      <c r="AF375"/>
      <c r="AG375"/>
      <c r="AH375"/>
      <c r="AI375"/>
      <c r="AJ375"/>
      <c r="AK375">
        <f t="shared" si="168"/>
        <v>0</v>
      </c>
      <c r="AL375">
        <f t="shared" si="169"/>
        <v>0</v>
      </c>
      <c r="AM375">
        <f t="shared" ref="AM375:AM438" si="191">IF(COUNTIF(G375:I375,"NA")=3,0,IF(COUNTA(G375:I375)=0,0,IF(OR(AND(G375=0,AK375&gt;0),AND(G375="ns",AL375&gt;0),AND(G375="ns",AK375=0,AL375=0)),1,IF(OR(AND(G375&gt;0,AK375=2),AND(G375="ns",AK375=2),AND(G375="ns",AL375=0,AK375&gt;0),G375=AL375),0,1))))</f>
        <v>0</v>
      </c>
      <c r="AN375">
        <f t="shared" si="170"/>
        <v>0</v>
      </c>
      <c r="AO375">
        <f t="shared" si="171"/>
        <v>0</v>
      </c>
      <c r="AP375">
        <f t="shared" si="172"/>
        <v>0</v>
      </c>
      <c r="AQ375">
        <f t="shared" si="173"/>
        <v>0</v>
      </c>
      <c r="AR375">
        <f t="shared" si="174"/>
        <v>0</v>
      </c>
      <c r="AS375">
        <f t="shared" si="175"/>
        <v>0</v>
      </c>
      <c r="AT375">
        <f t="shared" si="176"/>
        <v>0</v>
      </c>
      <c r="AU375">
        <f t="shared" si="177"/>
        <v>0</v>
      </c>
      <c r="AV375">
        <f t="shared" si="178"/>
        <v>0</v>
      </c>
      <c r="AW375">
        <f t="shared" si="179"/>
        <v>0</v>
      </c>
      <c r="AX375">
        <f t="shared" si="180"/>
        <v>0</v>
      </c>
      <c r="AY375">
        <f t="shared" si="181"/>
        <v>0</v>
      </c>
      <c r="AZ375">
        <f t="shared" si="182"/>
        <v>0</v>
      </c>
      <c r="BA375">
        <f t="shared" si="183"/>
        <v>0</v>
      </c>
      <c r="BB375">
        <f t="shared" si="184"/>
        <v>0</v>
      </c>
      <c r="BC375">
        <f t="shared" si="185"/>
        <v>0</v>
      </c>
      <c r="BD375">
        <f t="shared" si="186"/>
        <v>0</v>
      </c>
      <c r="BE375">
        <f t="shared" si="187"/>
        <v>0</v>
      </c>
      <c r="BF375">
        <f t="shared" si="188"/>
        <v>0</v>
      </c>
      <c r="BG375">
        <f t="shared" si="189"/>
        <v>0</v>
      </c>
      <c r="BH375">
        <f t="shared" si="190"/>
        <v>0</v>
      </c>
    </row>
    <row r="376" spans="1:105" ht="15" customHeight="1">
      <c r="A376" s="206"/>
      <c r="B376" s="206"/>
      <c r="C376" s="1117" t="s">
        <v>4748</v>
      </c>
      <c r="D376" s="1136"/>
      <c r="E376" s="1136"/>
      <c r="F376" s="1118"/>
      <c r="G376" s="100"/>
      <c r="H376" s="100"/>
      <c r="I376" s="100"/>
      <c r="J376" s="100"/>
      <c r="K376" s="100"/>
      <c r="L376" s="100"/>
      <c r="M376" s="100"/>
      <c r="N376" s="100"/>
      <c r="O376" s="100"/>
      <c r="P376" s="100"/>
      <c r="Q376" s="100"/>
      <c r="R376" s="100"/>
      <c r="S376" s="100"/>
      <c r="T376" s="100"/>
      <c r="U376" s="100"/>
      <c r="V376" s="100"/>
      <c r="W376" s="100"/>
      <c r="X376" s="100"/>
      <c r="Y376" s="100"/>
      <c r="Z376" s="100"/>
      <c r="AA376" s="100"/>
      <c r="AB376" s="100"/>
      <c r="AC376" s="100"/>
      <c r="AD376" s="100"/>
      <c r="AF376"/>
      <c r="AG376"/>
      <c r="AH376"/>
      <c r="AI376"/>
      <c r="AJ376"/>
      <c r="AK376">
        <f t="shared" si="168"/>
        <v>0</v>
      </c>
      <c r="AL376">
        <f t="shared" si="169"/>
        <v>0</v>
      </c>
      <c r="AM376">
        <f t="shared" si="191"/>
        <v>0</v>
      </c>
      <c r="AN376">
        <f t="shared" si="170"/>
        <v>0</v>
      </c>
      <c r="AO376">
        <f t="shared" si="171"/>
        <v>0</v>
      </c>
      <c r="AP376">
        <f t="shared" si="172"/>
        <v>0</v>
      </c>
      <c r="AQ376">
        <f t="shared" si="173"/>
        <v>0</v>
      </c>
      <c r="AR376">
        <f t="shared" si="174"/>
        <v>0</v>
      </c>
      <c r="AS376">
        <f t="shared" si="175"/>
        <v>0</v>
      </c>
      <c r="AT376">
        <f t="shared" si="176"/>
        <v>0</v>
      </c>
      <c r="AU376">
        <f t="shared" si="177"/>
        <v>0</v>
      </c>
      <c r="AV376">
        <f t="shared" si="178"/>
        <v>0</v>
      </c>
      <c r="AW376">
        <f t="shared" si="179"/>
        <v>0</v>
      </c>
      <c r="AX376">
        <f t="shared" si="180"/>
        <v>0</v>
      </c>
      <c r="AY376">
        <f t="shared" si="181"/>
        <v>0</v>
      </c>
      <c r="AZ376">
        <f t="shared" si="182"/>
        <v>0</v>
      </c>
      <c r="BA376">
        <f t="shared" si="183"/>
        <v>0</v>
      </c>
      <c r="BB376">
        <f t="shared" si="184"/>
        <v>0</v>
      </c>
      <c r="BC376">
        <f t="shared" si="185"/>
        <v>0</v>
      </c>
      <c r="BD376">
        <f t="shared" si="186"/>
        <v>0</v>
      </c>
      <c r="BE376">
        <f t="shared" si="187"/>
        <v>0</v>
      </c>
      <c r="BF376">
        <f t="shared" si="188"/>
        <v>0</v>
      </c>
      <c r="BG376">
        <f t="shared" si="189"/>
        <v>0</v>
      </c>
      <c r="BH376">
        <f t="shared" si="190"/>
        <v>0</v>
      </c>
    </row>
    <row r="377" spans="1:105" ht="15" customHeight="1">
      <c r="A377" s="206"/>
      <c r="B377" s="206"/>
      <c r="C377" s="1117" t="s">
        <v>4750</v>
      </c>
      <c r="D377" s="1136"/>
      <c r="E377" s="1136"/>
      <c r="F377" s="1118"/>
      <c r="G377" s="100"/>
      <c r="H377" s="100"/>
      <c r="I377" s="100"/>
      <c r="J377" s="100"/>
      <c r="K377" s="100"/>
      <c r="L377" s="100"/>
      <c r="M377" s="100"/>
      <c r="N377" s="100"/>
      <c r="O377" s="100"/>
      <c r="P377" s="100"/>
      <c r="Q377" s="100"/>
      <c r="R377" s="100"/>
      <c r="S377" s="100"/>
      <c r="T377" s="100"/>
      <c r="U377" s="100"/>
      <c r="V377" s="100"/>
      <c r="W377" s="100"/>
      <c r="X377" s="100"/>
      <c r="Y377" s="100"/>
      <c r="Z377" s="100"/>
      <c r="AA377" s="100"/>
      <c r="AB377" s="100"/>
      <c r="AC377" s="100"/>
      <c r="AD377" s="100"/>
      <c r="AF377"/>
      <c r="AG377"/>
      <c r="AH377"/>
      <c r="AI377"/>
      <c r="AJ377"/>
      <c r="AK377">
        <f t="shared" si="168"/>
        <v>0</v>
      </c>
      <c r="AL377">
        <f t="shared" si="169"/>
        <v>0</v>
      </c>
      <c r="AM377">
        <f t="shared" si="191"/>
        <v>0</v>
      </c>
      <c r="AN377">
        <f t="shared" si="170"/>
        <v>0</v>
      </c>
      <c r="AO377">
        <f t="shared" si="171"/>
        <v>0</v>
      </c>
      <c r="AP377">
        <f t="shared" si="172"/>
        <v>0</v>
      </c>
      <c r="AQ377">
        <f t="shared" si="173"/>
        <v>0</v>
      </c>
      <c r="AR377">
        <f t="shared" si="174"/>
        <v>0</v>
      </c>
      <c r="AS377">
        <f t="shared" si="175"/>
        <v>0</v>
      </c>
      <c r="AT377">
        <f t="shared" si="176"/>
        <v>0</v>
      </c>
      <c r="AU377">
        <f t="shared" si="177"/>
        <v>0</v>
      </c>
      <c r="AV377">
        <f t="shared" si="178"/>
        <v>0</v>
      </c>
      <c r="AW377">
        <f t="shared" si="179"/>
        <v>0</v>
      </c>
      <c r="AX377">
        <f t="shared" si="180"/>
        <v>0</v>
      </c>
      <c r="AY377">
        <f t="shared" si="181"/>
        <v>0</v>
      </c>
      <c r="AZ377">
        <f t="shared" si="182"/>
        <v>0</v>
      </c>
      <c r="BA377">
        <f t="shared" si="183"/>
        <v>0</v>
      </c>
      <c r="BB377">
        <f t="shared" si="184"/>
        <v>0</v>
      </c>
      <c r="BC377">
        <f t="shared" si="185"/>
        <v>0</v>
      </c>
      <c r="BD377">
        <f t="shared" si="186"/>
        <v>0</v>
      </c>
      <c r="BE377">
        <f t="shared" si="187"/>
        <v>0</v>
      </c>
      <c r="BF377">
        <f t="shared" si="188"/>
        <v>0</v>
      </c>
      <c r="BG377">
        <f t="shared" si="189"/>
        <v>0</v>
      </c>
      <c r="BH377">
        <f t="shared" si="190"/>
        <v>0</v>
      </c>
    </row>
    <row r="378" spans="1:105" ht="15" customHeight="1">
      <c r="A378" s="206"/>
      <c r="B378" s="206"/>
      <c r="C378" s="1117" t="s">
        <v>4752</v>
      </c>
      <c r="D378" s="1136"/>
      <c r="E378" s="1136"/>
      <c r="F378" s="1118"/>
      <c r="G378" s="100"/>
      <c r="H378" s="100"/>
      <c r="I378" s="100"/>
      <c r="J378" s="100"/>
      <c r="K378" s="100"/>
      <c r="L378" s="100"/>
      <c r="M378" s="100"/>
      <c r="N378" s="100"/>
      <c r="O378" s="100"/>
      <c r="P378" s="100"/>
      <c r="Q378" s="100"/>
      <c r="R378" s="100"/>
      <c r="S378" s="100"/>
      <c r="T378" s="100"/>
      <c r="U378" s="100"/>
      <c r="V378" s="100"/>
      <c r="W378" s="100"/>
      <c r="X378" s="100"/>
      <c r="Y378" s="100"/>
      <c r="Z378" s="100"/>
      <c r="AA378" s="100"/>
      <c r="AB378" s="100"/>
      <c r="AC378" s="100"/>
      <c r="AD378" s="100"/>
      <c r="AF378"/>
      <c r="AG378"/>
      <c r="AH378"/>
      <c r="AI378"/>
      <c r="AJ378"/>
      <c r="AK378">
        <f t="shared" si="168"/>
        <v>0</v>
      </c>
      <c r="AL378">
        <f t="shared" si="169"/>
        <v>0</v>
      </c>
      <c r="AM378">
        <f t="shared" si="191"/>
        <v>0</v>
      </c>
      <c r="AN378">
        <f t="shared" si="170"/>
        <v>0</v>
      </c>
      <c r="AO378">
        <f t="shared" si="171"/>
        <v>0</v>
      </c>
      <c r="AP378">
        <f t="shared" si="172"/>
        <v>0</v>
      </c>
      <c r="AQ378">
        <f t="shared" si="173"/>
        <v>0</v>
      </c>
      <c r="AR378">
        <f t="shared" si="174"/>
        <v>0</v>
      </c>
      <c r="AS378">
        <f t="shared" si="175"/>
        <v>0</v>
      </c>
      <c r="AT378">
        <f t="shared" si="176"/>
        <v>0</v>
      </c>
      <c r="AU378">
        <f t="shared" si="177"/>
        <v>0</v>
      </c>
      <c r="AV378">
        <f t="shared" si="178"/>
        <v>0</v>
      </c>
      <c r="AW378">
        <f t="shared" si="179"/>
        <v>0</v>
      </c>
      <c r="AX378">
        <f t="shared" si="180"/>
        <v>0</v>
      </c>
      <c r="AY378">
        <f t="shared" si="181"/>
        <v>0</v>
      </c>
      <c r="AZ378">
        <f t="shared" si="182"/>
        <v>0</v>
      </c>
      <c r="BA378">
        <f t="shared" si="183"/>
        <v>0</v>
      </c>
      <c r="BB378">
        <f t="shared" si="184"/>
        <v>0</v>
      </c>
      <c r="BC378">
        <f t="shared" si="185"/>
        <v>0</v>
      </c>
      <c r="BD378">
        <f t="shared" si="186"/>
        <v>0</v>
      </c>
      <c r="BE378">
        <f t="shared" si="187"/>
        <v>0</v>
      </c>
      <c r="BF378">
        <f t="shared" si="188"/>
        <v>0</v>
      </c>
      <c r="BG378">
        <f t="shared" si="189"/>
        <v>0</v>
      </c>
      <c r="BH378">
        <f t="shared" si="190"/>
        <v>0</v>
      </c>
    </row>
    <row r="379" spans="1:105" ht="15" customHeight="1">
      <c r="A379" s="207"/>
      <c r="B379" s="207"/>
      <c r="C379" s="1117" t="s">
        <v>4756</v>
      </c>
      <c r="D379" s="1136"/>
      <c r="E379" s="1136"/>
      <c r="F379" s="1118"/>
      <c r="G379" s="100"/>
      <c r="H379" s="100"/>
      <c r="I379" s="100"/>
      <c r="J379" s="100"/>
      <c r="K379" s="100"/>
      <c r="L379" s="100"/>
      <c r="M379" s="100"/>
      <c r="N379" s="100"/>
      <c r="O379" s="100"/>
      <c r="P379" s="100"/>
      <c r="Q379" s="100"/>
      <c r="R379" s="100"/>
      <c r="S379" s="100"/>
      <c r="T379" s="100"/>
      <c r="U379" s="100"/>
      <c r="V379" s="100"/>
      <c r="W379" s="100"/>
      <c r="X379" s="100"/>
      <c r="Y379" s="100"/>
      <c r="Z379" s="100"/>
      <c r="AA379" s="100"/>
      <c r="AB379" s="100"/>
      <c r="AC379" s="100"/>
      <c r="AD379" s="100"/>
      <c r="AF379"/>
      <c r="AG379"/>
      <c r="AH379"/>
      <c r="AI379"/>
      <c r="AJ379"/>
      <c r="AK379">
        <f t="shared" si="168"/>
        <v>0</v>
      </c>
      <c r="AL379">
        <f t="shared" si="169"/>
        <v>0</v>
      </c>
      <c r="AM379">
        <f t="shared" si="191"/>
        <v>0</v>
      </c>
      <c r="AN379">
        <f t="shared" si="170"/>
        <v>0</v>
      </c>
      <c r="AO379">
        <f t="shared" si="171"/>
        <v>0</v>
      </c>
      <c r="AP379">
        <f t="shared" si="172"/>
        <v>0</v>
      </c>
      <c r="AQ379">
        <f t="shared" si="173"/>
        <v>0</v>
      </c>
      <c r="AR379">
        <f t="shared" si="174"/>
        <v>0</v>
      </c>
      <c r="AS379">
        <f t="shared" si="175"/>
        <v>0</v>
      </c>
      <c r="AT379">
        <f t="shared" si="176"/>
        <v>0</v>
      </c>
      <c r="AU379">
        <f t="shared" si="177"/>
        <v>0</v>
      </c>
      <c r="AV379">
        <f t="shared" si="178"/>
        <v>0</v>
      </c>
      <c r="AW379">
        <f t="shared" si="179"/>
        <v>0</v>
      </c>
      <c r="AX379">
        <f t="shared" si="180"/>
        <v>0</v>
      </c>
      <c r="AY379">
        <f t="shared" si="181"/>
        <v>0</v>
      </c>
      <c r="AZ379">
        <f t="shared" si="182"/>
        <v>0</v>
      </c>
      <c r="BA379">
        <f t="shared" si="183"/>
        <v>0</v>
      </c>
      <c r="BB379">
        <f t="shared" si="184"/>
        <v>0</v>
      </c>
      <c r="BC379">
        <f t="shared" si="185"/>
        <v>0</v>
      </c>
      <c r="BD379">
        <f t="shared" si="186"/>
        <v>0</v>
      </c>
      <c r="BE379">
        <f t="shared" si="187"/>
        <v>0</v>
      </c>
      <c r="BF379">
        <f t="shared" si="188"/>
        <v>0</v>
      </c>
      <c r="BG379">
        <f t="shared" si="189"/>
        <v>0</v>
      </c>
      <c r="BH379">
        <f t="shared" si="190"/>
        <v>0</v>
      </c>
    </row>
    <row r="380" spans="1:105" ht="15" customHeight="1">
      <c r="A380" s="207"/>
      <c r="B380" s="207"/>
      <c r="C380" s="1117" t="s">
        <v>4758</v>
      </c>
      <c r="D380" s="1136"/>
      <c r="E380" s="1136"/>
      <c r="F380" s="1118"/>
      <c r="G380" s="100"/>
      <c r="H380" s="100"/>
      <c r="I380" s="100"/>
      <c r="J380" s="100"/>
      <c r="K380" s="100"/>
      <c r="L380" s="100"/>
      <c r="M380" s="100"/>
      <c r="N380" s="100"/>
      <c r="O380" s="100"/>
      <c r="P380" s="100"/>
      <c r="Q380" s="100"/>
      <c r="R380" s="100"/>
      <c r="S380" s="100"/>
      <c r="T380" s="100"/>
      <c r="U380" s="100"/>
      <c r="V380" s="100"/>
      <c r="W380" s="100"/>
      <c r="X380" s="100"/>
      <c r="Y380" s="100"/>
      <c r="Z380" s="100"/>
      <c r="AA380" s="100"/>
      <c r="AB380" s="100"/>
      <c r="AC380" s="100"/>
      <c r="AD380" s="100"/>
      <c r="AF380"/>
      <c r="AG380"/>
      <c r="AH380"/>
      <c r="AI380"/>
      <c r="AJ380"/>
      <c r="AK380">
        <f t="shared" si="168"/>
        <v>0</v>
      </c>
      <c r="AL380">
        <f t="shared" si="169"/>
        <v>0</v>
      </c>
      <c r="AM380">
        <f t="shared" si="191"/>
        <v>0</v>
      </c>
      <c r="AN380">
        <f t="shared" si="170"/>
        <v>0</v>
      </c>
      <c r="AO380">
        <f t="shared" si="171"/>
        <v>0</v>
      </c>
      <c r="AP380">
        <f t="shared" si="172"/>
        <v>0</v>
      </c>
      <c r="AQ380">
        <f t="shared" si="173"/>
        <v>0</v>
      </c>
      <c r="AR380">
        <f t="shared" si="174"/>
        <v>0</v>
      </c>
      <c r="AS380">
        <f t="shared" si="175"/>
        <v>0</v>
      </c>
      <c r="AT380">
        <f t="shared" si="176"/>
        <v>0</v>
      </c>
      <c r="AU380">
        <f t="shared" si="177"/>
        <v>0</v>
      </c>
      <c r="AV380">
        <f t="shared" si="178"/>
        <v>0</v>
      </c>
      <c r="AW380">
        <f t="shared" si="179"/>
        <v>0</v>
      </c>
      <c r="AX380">
        <f t="shared" si="180"/>
        <v>0</v>
      </c>
      <c r="AY380">
        <f t="shared" si="181"/>
        <v>0</v>
      </c>
      <c r="AZ380">
        <f t="shared" si="182"/>
        <v>0</v>
      </c>
      <c r="BA380">
        <f t="shared" si="183"/>
        <v>0</v>
      </c>
      <c r="BB380">
        <f t="shared" si="184"/>
        <v>0</v>
      </c>
      <c r="BC380">
        <f t="shared" si="185"/>
        <v>0</v>
      </c>
      <c r="BD380">
        <f t="shared" si="186"/>
        <v>0</v>
      </c>
      <c r="BE380">
        <f t="shared" si="187"/>
        <v>0</v>
      </c>
      <c r="BF380">
        <f t="shared" si="188"/>
        <v>0</v>
      </c>
      <c r="BG380">
        <f t="shared" si="189"/>
        <v>0</v>
      </c>
      <c r="BH380">
        <f t="shared" si="190"/>
        <v>0</v>
      </c>
    </row>
    <row r="381" spans="1:105" ht="15" customHeight="1">
      <c r="A381" s="207"/>
      <c r="B381" s="207"/>
      <c r="C381" s="1117" t="s">
        <v>4760</v>
      </c>
      <c r="D381" s="1136"/>
      <c r="E381" s="1136"/>
      <c r="F381" s="1118"/>
      <c r="G381" s="100"/>
      <c r="H381" s="100"/>
      <c r="I381" s="100"/>
      <c r="J381" s="100"/>
      <c r="K381" s="100"/>
      <c r="L381" s="100"/>
      <c r="M381" s="100"/>
      <c r="N381" s="100"/>
      <c r="O381" s="100"/>
      <c r="P381" s="100"/>
      <c r="Q381" s="100"/>
      <c r="R381" s="100"/>
      <c r="S381" s="100"/>
      <c r="T381" s="100"/>
      <c r="U381" s="100"/>
      <c r="V381" s="100"/>
      <c r="W381" s="100"/>
      <c r="X381" s="100"/>
      <c r="Y381" s="100"/>
      <c r="Z381" s="100"/>
      <c r="AA381" s="100"/>
      <c r="AB381" s="100"/>
      <c r="AC381" s="100"/>
      <c r="AD381" s="100"/>
      <c r="AF381"/>
      <c r="AG381"/>
      <c r="AH381"/>
      <c r="AI381"/>
      <c r="AJ381"/>
      <c r="AK381">
        <f t="shared" si="168"/>
        <v>0</v>
      </c>
      <c r="AL381">
        <f t="shared" si="169"/>
        <v>0</v>
      </c>
      <c r="AM381">
        <f t="shared" si="191"/>
        <v>0</v>
      </c>
      <c r="AN381">
        <f t="shared" si="170"/>
        <v>0</v>
      </c>
      <c r="AO381">
        <f t="shared" si="171"/>
        <v>0</v>
      </c>
      <c r="AP381">
        <f t="shared" si="172"/>
        <v>0</v>
      </c>
      <c r="AQ381">
        <f t="shared" si="173"/>
        <v>0</v>
      </c>
      <c r="AR381">
        <f t="shared" si="174"/>
        <v>0</v>
      </c>
      <c r="AS381">
        <f t="shared" si="175"/>
        <v>0</v>
      </c>
      <c r="AT381">
        <f t="shared" si="176"/>
        <v>0</v>
      </c>
      <c r="AU381">
        <f t="shared" si="177"/>
        <v>0</v>
      </c>
      <c r="AV381">
        <f t="shared" si="178"/>
        <v>0</v>
      </c>
      <c r="AW381">
        <f t="shared" si="179"/>
        <v>0</v>
      </c>
      <c r="AX381">
        <f t="shared" si="180"/>
        <v>0</v>
      </c>
      <c r="AY381">
        <f t="shared" si="181"/>
        <v>0</v>
      </c>
      <c r="AZ381">
        <f t="shared" si="182"/>
        <v>0</v>
      </c>
      <c r="BA381">
        <f t="shared" si="183"/>
        <v>0</v>
      </c>
      <c r="BB381">
        <f t="shared" si="184"/>
        <v>0</v>
      </c>
      <c r="BC381">
        <f t="shared" si="185"/>
        <v>0</v>
      </c>
      <c r="BD381">
        <f t="shared" si="186"/>
        <v>0</v>
      </c>
      <c r="BE381">
        <f t="shared" si="187"/>
        <v>0</v>
      </c>
      <c r="BF381">
        <f t="shared" si="188"/>
        <v>0</v>
      </c>
      <c r="BG381">
        <f t="shared" si="189"/>
        <v>0</v>
      </c>
      <c r="BH381">
        <f t="shared" si="190"/>
        <v>0</v>
      </c>
    </row>
    <row r="382" spans="1:105" ht="15" customHeight="1">
      <c r="A382" s="207"/>
      <c r="B382" s="207"/>
      <c r="C382" s="1117" t="s">
        <v>4762</v>
      </c>
      <c r="D382" s="1136"/>
      <c r="E382" s="1136"/>
      <c r="F382" s="1118"/>
      <c r="G382" s="100"/>
      <c r="H382" s="100"/>
      <c r="I382" s="100"/>
      <c r="J382" s="100"/>
      <c r="K382" s="100"/>
      <c r="L382" s="100"/>
      <c r="M382" s="100"/>
      <c r="N382" s="100"/>
      <c r="O382" s="100"/>
      <c r="P382" s="100"/>
      <c r="Q382" s="100"/>
      <c r="R382" s="100"/>
      <c r="S382" s="100"/>
      <c r="T382" s="100"/>
      <c r="U382" s="100"/>
      <c r="V382" s="100"/>
      <c r="W382" s="100"/>
      <c r="X382" s="100"/>
      <c r="Y382" s="100"/>
      <c r="Z382" s="100"/>
      <c r="AA382" s="100"/>
      <c r="AB382" s="100"/>
      <c r="AC382" s="100"/>
      <c r="AD382" s="100"/>
      <c r="AF382"/>
      <c r="AG382"/>
      <c r="AH382"/>
      <c r="AI382"/>
      <c r="AJ382"/>
      <c r="AK382">
        <f t="shared" si="168"/>
        <v>0</v>
      </c>
      <c r="AL382">
        <f t="shared" si="169"/>
        <v>0</v>
      </c>
      <c r="AM382">
        <f t="shared" si="191"/>
        <v>0</v>
      </c>
      <c r="AN382">
        <f t="shared" si="170"/>
        <v>0</v>
      </c>
      <c r="AO382">
        <f t="shared" si="171"/>
        <v>0</v>
      </c>
      <c r="AP382">
        <f t="shared" si="172"/>
        <v>0</v>
      </c>
      <c r="AQ382">
        <f t="shared" si="173"/>
        <v>0</v>
      </c>
      <c r="AR382">
        <f t="shared" si="174"/>
        <v>0</v>
      </c>
      <c r="AS382">
        <f t="shared" si="175"/>
        <v>0</v>
      </c>
      <c r="AT382">
        <f t="shared" si="176"/>
        <v>0</v>
      </c>
      <c r="AU382">
        <f t="shared" si="177"/>
        <v>0</v>
      </c>
      <c r="AV382">
        <f t="shared" si="178"/>
        <v>0</v>
      </c>
      <c r="AW382">
        <f t="shared" si="179"/>
        <v>0</v>
      </c>
      <c r="AX382">
        <f t="shared" si="180"/>
        <v>0</v>
      </c>
      <c r="AY382">
        <f t="shared" si="181"/>
        <v>0</v>
      </c>
      <c r="AZ382">
        <f t="shared" si="182"/>
        <v>0</v>
      </c>
      <c r="BA382">
        <f t="shared" si="183"/>
        <v>0</v>
      </c>
      <c r="BB382">
        <f t="shared" si="184"/>
        <v>0</v>
      </c>
      <c r="BC382">
        <f t="shared" si="185"/>
        <v>0</v>
      </c>
      <c r="BD382">
        <f t="shared" si="186"/>
        <v>0</v>
      </c>
      <c r="BE382">
        <f t="shared" si="187"/>
        <v>0</v>
      </c>
      <c r="BF382">
        <f t="shared" si="188"/>
        <v>0</v>
      </c>
      <c r="BG382">
        <f t="shared" si="189"/>
        <v>0</v>
      </c>
      <c r="BH382">
        <f t="shared" si="190"/>
        <v>0</v>
      </c>
    </row>
    <row r="383" spans="1:105" ht="15" customHeight="1">
      <c r="A383" s="207"/>
      <c r="B383" s="207"/>
      <c r="C383" s="1117" t="s">
        <v>4764</v>
      </c>
      <c r="D383" s="1136"/>
      <c r="E383" s="1136"/>
      <c r="F383" s="1118"/>
      <c r="G383" s="100"/>
      <c r="H383" s="100"/>
      <c r="I383" s="100"/>
      <c r="J383" s="100"/>
      <c r="K383" s="100"/>
      <c r="L383" s="100"/>
      <c r="M383" s="100"/>
      <c r="N383" s="100"/>
      <c r="O383" s="100"/>
      <c r="P383" s="100"/>
      <c r="Q383" s="100"/>
      <c r="R383" s="100"/>
      <c r="S383" s="100"/>
      <c r="T383" s="100"/>
      <c r="U383" s="100"/>
      <c r="V383" s="100"/>
      <c r="W383" s="100"/>
      <c r="X383" s="100"/>
      <c r="Y383" s="100"/>
      <c r="Z383" s="100"/>
      <c r="AA383" s="100"/>
      <c r="AB383" s="100"/>
      <c r="AC383" s="100"/>
      <c r="AD383" s="100"/>
      <c r="AF383"/>
      <c r="AG383"/>
      <c r="AH383"/>
      <c r="AI383"/>
      <c r="AJ383"/>
      <c r="AK383">
        <f t="shared" si="168"/>
        <v>0</v>
      </c>
      <c r="AL383">
        <f t="shared" si="169"/>
        <v>0</v>
      </c>
      <c r="AM383">
        <f t="shared" si="191"/>
        <v>0</v>
      </c>
      <c r="AN383">
        <f t="shared" si="170"/>
        <v>0</v>
      </c>
      <c r="AO383">
        <f t="shared" si="171"/>
        <v>0</v>
      </c>
      <c r="AP383">
        <f t="shared" si="172"/>
        <v>0</v>
      </c>
      <c r="AQ383">
        <f t="shared" si="173"/>
        <v>0</v>
      </c>
      <c r="AR383">
        <f t="shared" si="174"/>
        <v>0</v>
      </c>
      <c r="AS383">
        <f t="shared" si="175"/>
        <v>0</v>
      </c>
      <c r="AT383">
        <f t="shared" si="176"/>
        <v>0</v>
      </c>
      <c r="AU383">
        <f t="shared" si="177"/>
        <v>0</v>
      </c>
      <c r="AV383">
        <f t="shared" si="178"/>
        <v>0</v>
      </c>
      <c r="AW383">
        <f t="shared" si="179"/>
        <v>0</v>
      </c>
      <c r="AX383">
        <f t="shared" si="180"/>
        <v>0</v>
      </c>
      <c r="AY383">
        <f t="shared" si="181"/>
        <v>0</v>
      </c>
      <c r="AZ383">
        <f t="shared" si="182"/>
        <v>0</v>
      </c>
      <c r="BA383">
        <f t="shared" si="183"/>
        <v>0</v>
      </c>
      <c r="BB383">
        <f t="shared" si="184"/>
        <v>0</v>
      </c>
      <c r="BC383">
        <f t="shared" si="185"/>
        <v>0</v>
      </c>
      <c r="BD383">
        <f t="shared" si="186"/>
        <v>0</v>
      </c>
      <c r="BE383">
        <f t="shared" si="187"/>
        <v>0</v>
      </c>
      <c r="BF383">
        <f t="shared" si="188"/>
        <v>0</v>
      </c>
      <c r="BG383">
        <f t="shared" si="189"/>
        <v>0</v>
      </c>
      <c r="BH383">
        <f t="shared" si="190"/>
        <v>0</v>
      </c>
      <c r="BI383" t="s">
        <v>4766</v>
      </c>
      <c r="BJ383" t="s">
        <v>4767</v>
      </c>
      <c r="BK383" t="s">
        <v>4768</v>
      </c>
      <c r="BL383" t="s">
        <v>4769</v>
      </c>
      <c r="BM383" t="s">
        <v>4770</v>
      </c>
      <c r="BN383" t="s">
        <v>4771</v>
      </c>
      <c r="BO383" t="s">
        <v>4772</v>
      </c>
      <c r="BP383" t="s">
        <v>4773</v>
      </c>
      <c r="BQ383" t="s">
        <v>4774</v>
      </c>
      <c r="BR383" t="s">
        <v>4775</v>
      </c>
      <c r="BS383" t="s">
        <v>4776</v>
      </c>
      <c r="BT383" t="s">
        <v>4777</v>
      </c>
      <c r="BU383" t="s">
        <v>4778</v>
      </c>
      <c r="BV383" t="s">
        <v>4779</v>
      </c>
      <c r="BW383" t="s">
        <v>4780</v>
      </c>
      <c r="BX383" t="s">
        <v>4781</v>
      </c>
      <c r="BY383" t="s">
        <v>4782</v>
      </c>
      <c r="BZ383" t="s">
        <v>4783</v>
      </c>
      <c r="CA383" t="s">
        <v>4784</v>
      </c>
      <c r="CB383" t="s">
        <v>4785</v>
      </c>
      <c r="CC383" t="s">
        <v>4786</v>
      </c>
      <c r="CD383" t="s">
        <v>4787</v>
      </c>
      <c r="CE383" t="s">
        <v>4788</v>
      </c>
      <c r="CF383" t="s">
        <v>4789</v>
      </c>
      <c r="CG383" t="s">
        <v>4790</v>
      </c>
      <c r="CH383" t="s">
        <v>4791</v>
      </c>
      <c r="CI383" t="s">
        <v>4792</v>
      </c>
      <c r="CJ383" t="s">
        <v>4793</v>
      </c>
      <c r="CK383" t="s">
        <v>4794</v>
      </c>
      <c r="CL383" t="s">
        <v>4795</v>
      </c>
      <c r="CM383" t="s">
        <v>4796</v>
      </c>
      <c r="CN383" t="s">
        <v>4797</v>
      </c>
      <c r="CO383" t="s">
        <v>4798</v>
      </c>
      <c r="CP383" t="s">
        <v>4799</v>
      </c>
      <c r="CQ383" t="s">
        <v>4800</v>
      </c>
      <c r="CR383" t="s">
        <v>4801</v>
      </c>
      <c r="CS383" t="s">
        <v>4802</v>
      </c>
      <c r="CT383" t="s">
        <v>4803</v>
      </c>
      <c r="CU383" t="s">
        <v>4804</v>
      </c>
      <c r="CV383" t="s">
        <v>4805</v>
      </c>
      <c r="CW383" t="s">
        <v>4806</v>
      </c>
      <c r="CX383" t="s">
        <v>4807</v>
      </c>
      <c r="CY383" t="s">
        <v>4808</v>
      </c>
      <c r="CZ383" t="s">
        <v>4809</v>
      </c>
      <c r="DA383" t="s">
        <v>4810</v>
      </c>
    </row>
    <row r="384" spans="1:105" ht="15" customHeight="1">
      <c r="A384" s="207"/>
      <c r="B384" s="207"/>
      <c r="C384" s="1117" t="s">
        <v>4811</v>
      </c>
      <c r="D384" s="1136"/>
      <c r="E384" s="1136"/>
      <c r="F384" s="1118"/>
      <c r="G384" s="100"/>
      <c r="H384" s="100"/>
      <c r="I384" s="100"/>
      <c r="J384" s="100"/>
      <c r="K384" s="100"/>
      <c r="L384" s="100"/>
      <c r="M384" s="100"/>
      <c r="N384" s="100"/>
      <c r="O384" s="100"/>
      <c r="P384" s="100"/>
      <c r="Q384" s="100"/>
      <c r="R384" s="100"/>
      <c r="S384" s="100"/>
      <c r="T384" s="100"/>
      <c r="U384" s="100"/>
      <c r="V384" s="100"/>
      <c r="W384" s="100"/>
      <c r="X384" s="100"/>
      <c r="Y384" s="100"/>
      <c r="Z384" s="100"/>
      <c r="AA384" s="100"/>
      <c r="AB384" s="100"/>
      <c r="AC384" s="100"/>
      <c r="AD384" s="100"/>
      <c r="AF384"/>
      <c r="AG384"/>
      <c r="AH384"/>
      <c r="AI384"/>
      <c r="AJ384"/>
      <c r="AK384">
        <f t="shared" si="168"/>
        <v>0</v>
      </c>
      <c r="AL384">
        <f t="shared" si="169"/>
        <v>0</v>
      </c>
      <c r="AM384">
        <f t="shared" si="191"/>
        <v>0</v>
      </c>
      <c r="AN384">
        <f t="shared" si="170"/>
        <v>0</v>
      </c>
      <c r="AO384">
        <f t="shared" si="171"/>
        <v>0</v>
      </c>
      <c r="AP384">
        <f t="shared" si="172"/>
        <v>0</v>
      </c>
      <c r="AQ384">
        <f t="shared" si="173"/>
        <v>0</v>
      </c>
      <c r="AR384">
        <f t="shared" si="174"/>
        <v>0</v>
      </c>
      <c r="AS384">
        <f t="shared" si="175"/>
        <v>0</v>
      </c>
      <c r="AT384">
        <f t="shared" si="176"/>
        <v>0</v>
      </c>
      <c r="AU384">
        <f t="shared" si="177"/>
        <v>0</v>
      </c>
      <c r="AV384">
        <f t="shared" si="178"/>
        <v>0</v>
      </c>
      <c r="AW384">
        <f t="shared" si="179"/>
        <v>0</v>
      </c>
      <c r="AX384">
        <f t="shared" si="180"/>
        <v>0</v>
      </c>
      <c r="AY384">
        <f t="shared" si="181"/>
        <v>0</v>
      </c>
      <c r="AZ384">
        <f t="shared" si="182"/>
        <v>0</v>
      </c>
      <c r="BA384">
        <f t="shared" si="183"/>
        <v>0</v>
      </c>
      <c r="BB384">
        <f t="shared" si="184"/>
        <v>0</v>
      </c>
      <c r="BC384">
        <f t="shared" si="185"/>
        <v>0</v>
      </c>
      <c r="BD384">
        <f t="shared" si="186"/>
        <v>0</v>
      </c>
      <c r="BE384">
        <f t="shared" si="187"/>
        <v>0</v>
      </c>
      <c r="BF384">
        <f t="shared" si="188"/>
        <v>0</v>
      </c>
      <c r="BG384">
        <f t="shared" si="189"/>
        <v>0</v>
      </c>
      <c r="BH384">
        <f t="shared" si="190"/>
        <v>0</v>
      </c>
      <c r="BI384">
        <f>COUNTIF(G385:G390,"NS")</f>
        <v>0</v>
      </c>
      <c r="BJ384">
        <f>SUM(G385:G390)</f>
        <v>0</v>
      </c>
      <c r="BK384">
        <f>IF(COUNTA(G384:G390)=0,0,IF(OR(AND(G384=0,BI384&gt;0),AND(G384="ns",BJ384&gt;0),AND(G384="ns",BI384=0,BJ384=0)),1,IF(OR(AND(BI384&gt;=2,G384&gt;BJ384),AND(G384="ns",BJ384=0,BI384&gt;0),G384=BJ384),0,1)))</f>
        <v>0</v>
      </c>
      <c r="BL384">
        <f>COUNTIF(G396:G400,"NS")</f>
        <v>0</v>
      </c>
      <c r="BM384">
        <f>SUM(G396:G400)</f>
        <v>0</v>
      </c>
      <c r="BN384">
        <f>IF(COUNTA(G395:G400)=0,0,IF(OR(AND(G395=0,BL384&gt;0),AND(G395="ns",BM384&gt;0),AND(G395="ns",BL384=0,BM384=0)),1,IF(OR(AND(BL384&gt;=2,G395&gt;BM384),AND(G395="ns",BM384=0,BL384&gt;0),G395=BM384),0,1)))</f>
        <v>0</v>
      </c>
      <c r="BO384">
        <f>COUNTIF(G405:G422,"NS")</f>
        <v>0</v>
      </c>
      <c r="BP384">
        <f>SUM(G405:G422)</f>
        <v>0</v>
      </c>
      <c r="BQ384">
        <f>IF(COUNTA(G404:G422)=0,0,IF(OR(AND(G404=0,BO384&gt;0),AND(G404="ns",BP384&gt;0),AND(G404="ns",BO384=0,BP384=0)),1,IF(OR(AND(BO384&gt;=2,G404&gt;BP384),AND(G404="ns",BP384=0,BO384&gt;0),G404=BP384),0,1)))</f>
        <v>0</v>
      </c>
      <c r="BR384">
        <f>COUNTIF(G424:G428,"NS")</f>
        <v>0</v>
      </c>
      <c r="BS384">
        <f>SUM(G424:G428)</f>
        <v>0</v>
      </c>
      <c r="BT384">
        <f>IF(COUNTA(G423:G428)=0,0,IF(OR(AND(G423=0,BR384&gt;0),AND(G423="ns",BS384&gt;0),AND(G423="ns",BR384=0,BS384=0)),1,IF(OR(AND(BR384&gt;=2,G423&gt;BS384),AND(G423="ns",BS384=0,BR384&gt;0),G423=BS384),0,1)))</f>
        <v>0</v>
      </c>
      <c r="BU384">
        <f>COUNTIF(G432:G434,"NS")</f>
        <v>0</v>
      </c>
      <c r="BV384">
        <f>SUM(G432:G434)</f>
        <v>0</v>
      </c>
      <c r="BW384">
        <f>IF(COUNTA(G431:G434)=0,0,IF(OR(AND(G431=0,BU384&gt;0),AND(G431="ns",BV384&gt;0),AND(G431="ns",BU384=0,BV384=0)),1,IF(OR(AND(BU384&gt;=2,G431&gt;BV384),AND(G431="ns",BV384=0,BU384&gt;0),G431=BV384),0,1)))</f>
        <v>0</v>
      </c>
      <c r="BX384">
        <f>COUNTIF(G442:G448,"NS")</f>
        <v>0</v>
      </c>
      <c r="BY384">
        <f>SUM(G442:G448)</f>
        <v>0</v>
      </c>
      <c r="BZ384">
        <f>IF(COUNTA(G441:G448)=0,0,IF(OR(AND(G441=0,BX384&gt;0),AND(G441="ns",BY384&gt;0),AND(G441="ns",BX384=0,BY384=0)),1,IF(OR(AND(BX384&gt;=2,G441&gt;BY384),AND(G441="ns",BY384=0,BX384&gt;0),G441=BY384),0,1)))</f>
        <v>0</v>
      </c>
      <c r="CA384">
        <f>COUNTIF(G450:G454,"NS")</f>
        <v>0</v>
      </c>
      <c r="CB384">
        <f>SUM(G450:G454)</f>
        <v>0</v>
      </c>
      <c r="CC384">
        <f>IF(COUNTA(G449:G454)=0,0,IF(OR(AND(G449=0,CA384&gt;0),AND(G449="ns",CB384&gt;0),AND(G449="ns",CA384=0,CB384=0)),1,IF(OR(AND(CA384&gt;=2,G449&gt;CB384),AND(G449="ns",CB384=0,CA384&gt;0),G449=CB384),0,1)))</f>
        <v>0</v>
      </c>
      <c r="CD384">
        <f>COUNTIF(G460:G465,"NS")</f>
        <v>0</v>
      </c>
      <c r="CE384">
        <f>SUM(G460:G465)</f>
        <v>0</v>
      </c>
      <c r="CF384">
        <f>IF(COUNTA(G459:G465)=0,0,IF(OR(AND(G459=0,CD384&gt;0),AND(G459="ns",CE384&gt;0),AND(G459="ns",CD384=0,CE384=0)),1,IF(OR(AND(CD384&gt;=2,G459&gt;CE384),AND(G459="ns",CE384=0,CD384&gt;0),G459=CE384),0,1)))</f>
        <v>0</v>
      </c>
      <c r="CG384">
        <f>COUNTIF(G467:G474,"NS")</f>
        <v>0</v>
      </c>
      <c r="CH384">
        <f>SUM(G467:G474)</f>
        <v>0</v>
      </c>
      <c r="CI384">
        <f>IF(COUNTA(G466:G474)=0,0,IF(OR(AND(G466=0,CG384&gt;0),AND(G466="ns",CH384&gt;0),AND(G466="ns",CG384=0,CH384=0)),1,IF(OR(AND(CG384&gt;=2,G466&gt;CH384),AND(G466="ns",CH384=0,CG384&gt;0),G466=CH384),0,1)))</f>
        <v>0</v>
      </c>
      <c r="CJ384">
        <f>COUNTIF(G479:G484,"NS")</f>
        <v>0</v>
      </c>
      <c r="CK384">
        <f>SUM(G479:G484)</f>
        <v>0</v>
      </c>
      <c r="CL384">
        <f>IF(COUNTA(G478:G484)=0,0,IF(OR(AND(G478=0,CJ384&gt;0),AND(G478="ns",CK384&gt;0),AND(G478="ns",CJ384=0,CK384=0)),1,IF(OR(AND(CJ384&gt;=2,G478&gt;CK384),AND(G478="ns",CK384=0,CJ384&gt;0),G478=CK384),0,1)))</f>
        <v>0</v>
      </c>
      <c r="CM384">
        <f>COUNTIF(G489:G497,"NS")</f>
        <v>0</v>
      </c>
      <c r="CN384">
        <f>SUM(G489:G497)</f>
        <v>0</v>
      </c>
      <c r="CO384">
        <f>IF(COUNTA(G488:G497)=0,0,IF(OR(AND(G488=0,CM384&gt;0),AND(G488="ns",CN384&gt;0),AND(G488="ns",CM384=0,CN384=0)),1,IF(OR(AND(CM384&gt;=2,G488&gt;CN384),AND(G488="ns",CN384=0,CM384&gt;0),G488=CN384),0,1)))</f>
        <v>0</v>
      </c>
      <c r="CP384">
        <f>COUNTIF(G499:G501,"NS")</f>
        <v>0</v>
      </c>
      <c r="CQ384">
        <f>SUM(G499:G501)</f>
        <v>0</v>
      </c>
      <c r="CR384">
        <f>IF(COUNTA(G498:G501)=0,0,IF(OR(AND(G498=0,CP384&gt;0),AND(G498="ns",CQ384&gt;0),AND(G498="ns",CP384=0,CQ384=0)),1,IF(OR(AND(CP384&gt;=2,G498&gt;CQ384),AND(G498="ns",CQ384=0,CP384&gt;0),G498=CQ384),0,1)))</f>
        <v>0</v>
      </c>
      <c r="CS384">
        <f>COUNTIF(G510:G516,"NS")</f>
        <v>0</v>
      </c>
      <c r="CT384">
        <f>SUM(G510:G516)</f>
        <v>0</v>
      </c>
      <c r="CU384">
        <f>IF(COUNTA(G509:G516)=0,0,IF(OR(AND(G509=0,CS384&gt;0),AND(G509="ns",CT384&gt;0),AND(G509="ns",CS384=0,CT384=0)),1,IF(OR(AND(CS384&gt;=2,G509&gt;CT384),AND(G509="ns",CT384=0,CS384&gt;0),G509=CT384),0,1)))</f>
        <v>0</v>
      </c>
      <c r="CV384">
        <f>COUNTIF(G519:G521,"NS")</f>
        <v>0</v>
      </c>
      <c r="CW384">
        <f>SUM(G519:G521)</f>
        <v>0</v>
      </c>
      <c r="CX384">
        <f>IF(COUNTA(G518:G521)=0,0,IF(OR(AND(G518=0,CV384&gt;0),AND(G518="ns",CW384&gt;0),AND(G518="ns",CV384=0,CW384=0)),1,IF(OR(AND(CV384&gt;=2,G518&gt;CW384),AND(G518="ns",CW384=0,CV384&gt;0),G518=CW384),0,1)))</f>
        <v>0</v>
      </c>
      <c r="CY384">
        <f>COUNTIF(G531:G535,"NS")</f>
        <v>0</v>
      </c>
      <c r="CZ384">
        <f>SUM(G531:G535)</f>
        <v>0</v>
      </c>
      <c r="DA384">
        <f>IF(COUNTA(G530:G535)=0,0,IF(OR(AND(G530=0,CY384&gt;0),AND(G530="ns",CZ384&gt;0),AND(G530="ns",CY384=0,CZ384=0)),1,IF(OR(AND(CY384&gt;=2,G530&gt;CZ384),AND(G530="ns",CZ384=0,CY384&gt;0),G530=CZ384),0,1)))</f>
        <v>0</v>
      </c>
    </row>
    <row r="385" spans="1:105" ht="15" customHeight="1">
      <c r="A385" s="206"/>
      <c r="B385" s="201"/>
      <c r="C385" s="1119" t="s">
        <v>4813</v>
      </c>
      <c r="D385" s="1121"/>
      <c r="E385" s="1121"/>
      <c r="F385" s="1120"/>
      <c r="G385" s="100"/>
      <c r="H385" s="100"/>
      <c r="I385" s="100"/>
      <c r="J385" s="100"/>
      <c r="K385" s="100"/>
      <c r="L385" s="100"/>
      <c r="M385" s="100"/>
      <c r="N385" s="100"/>
      <c r="O385" s="100"/>
      <c r="P385" s="100"/>
      <c r="Q385" s="100"/>
      <c r="R385" s="100"/>
      <c r="S385" s="100"/>
      <c r="T385" s="100"/>
      <c r="U385" s="100"/>
      <c r="V385" s="100"/>
      <c r="W385" s="100"/>
      <c r="X385" s="100"/>
      <c r="Y385" s="100"/>
      <c r="Z385" s="100"/>
      <c r="AA385" s="100"/>
      <c r="AB385" s="100"/>
      <c r="AC385" s="100"/>
      <c r="AD385" s="100"/>
      <c r="AF385"/>
      <c r="AG385"/>
      <c r="AH385"/>
      <c r="AI385"/>
      <c r="AJ385"/>
      <c r="AK385">
        <f t="shared" si="168"/>
        <v>0</v>
      </c>
      <c r="AL385">
        <f t="shared" si="169"/>
        <v>0</v>
      </c>
      <c r="AM385">
        <f t="shared" si="191"/>
        <v>0</v>
      </c>
      <c r="AN385">
        <f t="shared" si="170"/>
        <v>0</v>
      </c>
      <c r="AO385">
        <f t="shared" si="171"/>
        <v>0</v>
      </c>
      <c r="AP385">
        <f t="shared" si="172"/>
        <v>0</v>
      </c>
      <c r="AQ385">
        <f t="shared" si="173"/>
        <v>0</v>
      </c>
      <c r="AR385">
        <f t="shared" si="174"/>
        <v>0</v>
      </c>
      <c r="AS385">
        <f t="shared" si="175"/>
        <v>0</v>
      </c>
      <c r="AT385">
        <f t="shared" si="176"/>
        <v>0</v>
      </c>
      <c r="AU385">
        <f t="shared" si="177"/>
        <v>0</v>
      </c>
      <c r="AV385">
        <f t="shared" si="178"/>
        <v>0</v>
      </c>
      <c r="AW385">
        <f t="shared" si="179"/>
        <v>0</v>
      </c>
      <c r="AX385">
        <f t="shared" si="180"/>
        <v>0</v>
      </c>
      <c r="AY385">
        <f t="shared" si="181"/>
        <v>0</v>
      </c>
      <c r="AZ385">
        <f t="shared" si="182"/>
        <v>0</v>
      </c>
      <c r="BA385">
        <f t="shared" si="183"/>
        <v>0</v>
      </c>
      <c r="BB385">
        <f t="shared" si="184"/>
        <v>0</v>
      </c>
      <c r="BC385">
        <f t="shared" si="185"/>
        <v>0</v>
      </c>
      <c r="BD385">
        <f t="shared" si="186"/>
        <v>0</v>
      </c>
      <c r="BE385">
        <f t="shared" si="187"/>
        <v>0</v>
      </c>
      <c r="BF385">
        <f t="shared" si="188"/>
        <v>0</v>
      </c>
      <c r="BG385">
        <f t="shared" si="189"/>
        <v>0</v>
      </c>
      <c r="BH385">
        <f t="shared" si="190"/>
        <v>0</v>
      </c>
      <c r="BI385">
        <f>COUNTIF(H385:H390,"NS")</f>
        <v>0</v>
      </c>
      <c r="BJ385">
        <f>SUM(H385:H390)</f>
        <v>0</v>
      </c>
      <c r="BK385">
        <f>IF(COUNTA(H384:H390)=0,0,IF(OR(AND(H384=0,BI385&gt;0),AND(H384="ns",BJ385&gt;0),AND(H384="ns",BI385=0,BJ385=0)),1,IF(OR(AND(BI385&gt;=2,H384&gt;BJ385),AND(H384="ns",BJ385=0,BI385&gt;0),H384=BJ385),0,1)))</f>
        <v>0</v>
      </c>
      <c r="BL385">
        <f>COUNTIF(H396:H400,"NS")</f>
        <v>0</v>
      </c>
      <c r="BM385">
        <f>SUM(H396:H400)</f>
        <v>0</v>
      </c>
      <c r="BN385">
        <f>IF(COUNTA(H395:H400)=0,0,IF(OR(AND(H395=0,BL385&gt;0),AND(H395="ns",BM385&gt;0),AND(H395="ns",BL385=0,BM385=0)),1,IF(OR(AND(BL385&gt;=2,H395&gt;BM385),AND(H395="ns",BM385=0,BL385&gt;0),H395=BM385),0,1)))</f>
        <v>0</v>
      </c>
      <c r="BO385">
        <f>COUNTIF(H405:H422,"NS")</f>
        <v>0</v>
      </c>
      <c r="BP385">
        <f>SUM(H405:H422)</f>
        <v>0</v>
      </c>
      <c r="BQ385">
        <f>IF(COUNTA(H404:H422)=0,0,IF(OR(AND(H404=0,BO385&gt;0),AND(H404="ns",BP385&gt;0),AND(H404="ns",BO385=0,BP385=0)),1,IF(OR(AND(BO385&gt;=2,H404&gt;BP385),AND(H404="ns",BP385=0,BO385&gt;0),H404=BP385),0,1)))</f>
        <v>0</v>
      </c>
      <c r="BR385">
        <f>COUNTIF(H424:H428,"NS")</f>
        <v>0</v>
      </c>
      <c r="BS385">
        <f>SUM(H424:H428)</f>
        <v>0</v>
      </c>
      <c r="BT385">
        <f>IF(COUNTA(H423:H428)=0,0,IF(OR(AND(H423=0,BR385&gt;0),AND(H423="ns",BS385&gt;0),AND(H423="ns",BR385=0,BS385=0)),1,IF(OR(AND(BR385&gt;=2,H423&gt;BS385),AND(H423="ns",BS385=0,BR385&gt;0),H423=BS385),0,1)))</f>
        <v>0</v>
      </c>
      <c r="BU385">
        <f>COUNTIF(H432:H434,"NS")</f>
        <v>0</v>
      </c>
      <c r="BV385">
        <f>SUM(H432:H434)</f>
        <v>0</v>
      </c>
      <c r="BW385">
        <f>IF(COUNTA(H431:H434)=0,0,IF(OR(AND(H431=0,BU385&gt;0),AND(H431="ns",BV385&gt;0),AND(H431="ns",BU385=0,BV385=0)),1,IF(OR(AND(BU385&gt;=2,H431&gt;BV385),AND(H431="ns",BV385=0,BU385&gt;0),H431=BV385),0,1)))</f>
        <v>0</v>
      </c>
      <c r="BX385">
        <f>COUNTIF(H442:H448,"NS")</f>
        <v>0</v>
      </c>
      <c r="BY385">
        <f>SUM(H442:H448)</f>
        <v>0</v>
      </c>
      <c r="BZ385">
        <f>IF(COUNTA(H441:H448)=0,0,IF(OR(AND(H441=0,BX385&gt;0),AND(H441="ns",BY385&gt;0),AND(H441="ns",BX385=0,BY385=0)),1,IF(OR(AND(BX385&gt;=2,H441&gt;BY385),AND(H441="ns",BY385=0,BX385&gt;0),H441=BY385),0,1)))</f>
        <v>0</v>
      </c>
      <c r="CA385">
        <f>COUNTIF(H450:H454,"NS")</f>
        <v>0</v>
      </c>
      <c r="CB385">
        <f>SUM(H450:H454)</f>
        <v>0</v>
      </c>
      <c r="CC385">
        <f>IF(COUNTA(H449:H454)=0,0,IF(OR(AND(H449=0,CA385&gt;0),AND(H449="ns",CB385&gt;0),AND(H449="ns",CA385=0,CB385=0)),1,IF(OR(AND(CA385&gt;=2,H449&gt;CB385),AND(H449="ns",CB385=0,CA385&gt;0),H449=CB385),0,1)))</f>
        <v>0</v>
      </c>
      <c r="CD385">
        <f>COUNTIF(H460:H465,"NS")</f>
        <v>0</v>
      </c>
      <c r="CE385">
        <f>SUM(H460:H465)</f>
        <v>0</v>
      </c>
      <c r="CF385">
        <f>IF(COUNTA(H459:H465)=0,0,IF(OR(AND(H459=0,CD385&gt;0),AND(H459="ns",CE385&gt;0),AND(H459="ns",CD385=0,CE385=0)),1,IF(OR(AND(CD385&gt;=2,H459&gt;CE385),AND(H459="ns",CE385=0,CD385&gt;0),H459=CE385),0,1)))</f>
        <v>0</v>
      </c>
      <c r="CG385">
        <f>COUNTIF(H467:H474,"NS")</f>
        <v>0</v>
      </c>
      <c r="CH385">
        <f>SUM(H467:H474)</f>
        <v>0</v>
      </c>
      <c r="CI385">
        <f>IF(COUNTA(H466:H474)=0,0,IF(OR(AND(H466=0,CG385&gt;0),AND(H466="ns",CH385&gt;0),AND(H466="ns",CG385=0,CH385=0)),1,IF(OR(AND(CG385&gt;=2,H466&gt;CH385),AND(H466="ns",CH385=0,CG385&gt;0),H466=CH385),0,1)))</f>
        <v>0</v>
      </c>
      <c r="CJ385">
        <f>COUNTIF(H479:H484,"NS")</f>
        <v>0</v>
      </c>
      <c r="CK385">
        <f>SUM(H479:H484)</f>
        <v>0</v>
      </c>
      <c r="CL385">
        <f>IF(COUNTA(H478:H484)=0,0,IF(OR(AND(H478=0,CJ385&gt;0),AND(H478="ns",CK385&gt;0),AND(H478="ns",CJ385=0,CK385=0)),1,IF(OR(AND(CJ385&gt;=2,H478&gt;CK385),AND(H478="ns",CK385=0,CJ385&gt;0),H478=CK385),0,1)))</f>
        <v>0</v>
      </c>
      <c r="CM385">
        <f>COUNTIF(H489:H497,"NS")</f>
        <v>0</v>
      </c>
      <c r="CN385">
        <f>SUM(H489:H497)</f>
        <v>0</v>
      </c>
      <c r="CO385">
        <f>IF(COUNTA(H488:H497)=0,0,IF(OR(AND(H488=0,CM385&gt;0),AND(H488="ns",CN385&gt;0),AND(H488="ns",CM385=0,CN385=0)),1,IF(OR(AND(CM385&gt;=2,H488&gt;CN385),AND(H488="ns",CN385=0,CM385&gt;0),H488=CN385),0,1)))</f>
        <v>0</v>
      </c>
      <c r="CP385">
        <f>COUNTIF(H499:H501,"NS")</f>
        <v>0</v>
      </c>
      <c r="CQ385">
        <f>SUM(H499:H501)</f>
        <v>0</v>
      </c>
      <c r="CR385">
        <f>IF(COUNTA(H498:H501)=0,0,IF(OR(AND(H498=0,CP385&gt;0),AND(H498="ns",CQ385&gt;0),AND(H498="ns",CP385=0,CQ385=0)),1,IF(OR(AND(CP385&gt;=2,H498&gt;CQ385),AND(H498="ns",CQ385=0,CP385&gt;0),H498=CQ385),0,1)))</f>
        <v>0</v>
      </c>
      <c r="CS385">
        <f>COUNTIF(H510:H516,"NS")</f>
        <v>0</v>
      </c>
      <c r="CT385">
        <f>SUM(H510:H516)</f>
        <v>0</v>
      </c>
      <c r="CU385">
        <f>IF(COUNTA(H509:H516)=0,0,IF(OR(AND(H509=0,CS385&gt;0),AND(H509="ns",CT385&gt;0),AND(H509="ns",CS385=0,CT385=0)),1,IF(OR(AND(CS385&gt;=2,H509&gt;CT385),AND(H509="ns",CT385=0,CS385&gt;0),H509=CT385),0,1)))</f>
        <v>0</v>
      </c>
      <c r="CV385">
        <f>COUNTIF(H519:H521,"NS")</f>
        <v>0</v>
      </c>
      <c r="CW385">
        <f>SUM(H519:H521)</f>
        <v>0</v>
      </c>
      <c r="CX385">
        <f>IF(COUNTA(H518:H521)=0,0,IF(OR(AND(H518=0,CV385&gt;0),AND(H518="ns",CW385&gt;0),AND(H518="ns",CV385=0,CW385=0)),1,IF(OR(AND(CV385&gt;=2,H518&gt;CW385),AND(H518="ns",CW385=0,CV385&gt;0),H518=CW385),0,1)))</f>
        <v>0</v>
      </c>
      <c r="CY385">
        <f>COUNTIF(H531:H535,"NS")</f>
        <v>0</v>
      </c>
      <c r="CZ385">
        <f>SUM(H531:H535)</f>
        <v>0</v>
      </c>
      <c r="DA385">
        <f>IF(COUNTA(H530:H535)=0,0,IF(OR(AND(H530=0,CY385&gt;0),AND(H530="ns",CZ385&gt;0),AND(H530="ns",CY385=0,CZ385=0)),1,IF(OR(AND(CY385&gt;=2,H530&gt;CZ385),AND(H530="ns",CZ385=0,CY385&gt;0),H530=CZ385),0,1)))</f>
        <v>0</v>
      </c>
    </row>
    <row r="386" spans="1:105" ht="15" customHeight="1">
      <c r="A386" s="206"/>
      <c r="B386" s="201"/>
      <c r="C386" s="1119" t="s">
        <v>4815</v>
      </c>
      <c r="D386" s="1121"/>
      <c r="E386" s="1121"/>
      <c r="F386" s="1120"/>
      <c r="G386" s="100"/>
      <c r="H386" s="100"/>
      <c r="I386" s="100"/>
      <c r="J386" s="100"/>
      <c r="K386" s="100"/>
      <c r="L386" s="100"/>
      <c r="M386" s="100"/>
      <c r="N386" s="100"/>
      <c r="O386" s="100"/>
      <c r="P386" s="100"/>
      <c r="Q386" s="100"/>
      <c r="R386" s="100"/>
      <c r="S386" s="100"/>
      <c r="T386" s="100"/>
      <c r="U386" s="100"/>
      <c r="V386" s="100"/>
      <c r="W386" s="100"/>
      <c r="X386" s="100"/>
      <c r="Y386" s="100"/>
      <c r="Z386" s="100"/>
      <c r="AA386" s="100"/>
      <c r="AB386" s="100"/>
      <c r="AC386" s="100"/>
      <c r="AD386" s="100"/>
      <c r="AF386"/>
      <c r="AG386"/>
      <c r="AH386"/>
      <c r="AI386"/>
      <c r="AJ386"/>
      <c r="AK386">
        <f t="shared" si="168"/>
        <v>0</v>
      </c>
      <c r="AL386">
        <f t="shared" si="169"/>
        <v>0</v>
      </c>
      <c r="AM386">
        <f t="shared" si="191"/>
        <v>0</v>
      </c>
      <c r="AN386">
        <f t="shared" si="170"/>
        <v>0</v>
      </c>
      <c r="AO386">
        <f t="shared" si="171"/>
        <v>0</v>
      </c>
      <c r="AP386">
        <f t="shared" si="172"/>
        <v>0</v>
      </c>
      <c r="AQ386">
        <f t="shared" si="173"/>
        <v>0</v>
      </c>
      <c r="AR386">
        <f t="shared" si="174"/>
        <v>0</v>
      </c>
      <c r="AS386">
        <f t="shared" si="175"/>
        <v>0</v>
      </c>
      <c r="AT386">
        <f t="shared" si="176"/>
        <v>0</v>
      </c>
      <c r="AU386">
        <f t="shared" si="177"/>
        <v>0</v>
      </c>
      <c r="AV386">
        <f t="shared" si="178"/>
        <v>0</v>
      </c>
      <c r="AW386">
        <f t="shared" si="179"/>
        <v>0</v>
      </c>
      <c r="AX386">
        <f t="shared" si="180"/>
        <v>0</v>
      </c>
      <c r="AY386">
        <f t="shared" si="181"/>
        <v>0</v>
      </c>
      <c r="AZ386">
        <f t="shared" si="182"/>
        <v>0</v>
      </c>
      <c r="BA386">
        <f t="shared" si="183"/>
        <v>0</v>
      </c>
      <c r="BB386">
        <f t="shared" si="184"/>
        <v>0</v>
      </c>
      <c r="BC386">
        <f t="shared" si="185"/>
        <v>0</v>
      </c>
      <c r="BD386">
        <f t="shared" si="186"/>
        <v>0</v>
      </c>
      <c r="BE386">
        <f t="shared" si="187"/>
        <v>0</v>
      </c>
      <c r="BF386">
        <f t="shared" si="188"/>
        <v>0</v>
      </c>
      <c r="BG386">
        <f t="shared" si="189"/>
        <v>0</v>
      </c>
      <c r="BH386">
        <f t="shared" si="190"/>
        <v>0</v>
      </c>
      <c r="BI386">
        <f>COUNTIF(I385:I390,"NS")</f>
        <v>0</v>
      </c>
      <c r="BJ386">
        <f>SUM(I385:I390)</f>
        <v>0</v>
      </c>
      <c r="BK386">
        <f>IF(COUNTA(I384:I390)=0,0,IF(OR(AND(I384=0,BI386&gt;0),AND(I384="ns",BJ386&gt;0),AND(I384="ns",BI386=0,BJ386=0)),1,IF(OR(AND(BI386&gt;=2,I384&gt;BJ386),AND(I384="ns",BJ386=0,BI386&gt;0),I384=BJ386),0,1)))</f>
        <v>0</v>
      </c>
      <c r="BL386">
        <f>COUNTIF(I396:I400,"NS")</f>
        <v>0</v>
      </c>
      <c r="BM386">
        <f>SUM(I396:I400)</f>
        <v>0</v>
      </c>
      <c r="BN386">
        <f>IF(COUNTA(I395:I400)=0,0,IF(OR(AND(I395=0,BL386&gt;0),AND(I395="ns",BM386&gt;0),AND(I395="ns",BL386=0,BM386=0)),1,IF(OR(AND(BL386&gt;=2,I395&gt;BM386),AND(I395="ns",BM386=0,BL386&gt;0),I395=BM386),0,1)))</f>
        <v>0</v>
      </c>
      <c r="BO386">
        <f>COUNTIF(I405:I422,"NS")</f>
        <v>0</v>
      </c>
      <c r="BP386">
        <f>SUM(I405:I422)</f>
        <v>0</v>
      </c>
      <c r="BQ386">
        <f>IF(COUNTA(I404:I422)=0,0,IF(OR(AND(I404=0,BO386&gt;0),AND(I404="ns",BP386&gt;0),AND(I404="ns",BO386=0,BP386=0)),1,IF(OR(AND(BO386&gt;=2,I404&gt;BP386),AND(I404="ns",BP386=0,BO386&gt;0),I404=BP386),0,1)))</f>
        <v>0</v>
      </c>
      <c r="BR386">
        <f>COUNTIF(I424:I428,"NS")</f>
        <v>0</v>
      </c>
      <c r="BS386">
        <f>SUM(I424:I428)</f>
        <v>0</v>
      </c>
      <c r="BT386">
        <f>IF(COUNTA(I423:I428)=0,0,IF(OR(AND(I423=0,BR386&gt;0),AND(I423="ns",BS386&gt;0),AND(I423="ns",BR386=0,BS386=0)),1,IF(OR(AND(BR386&gt;=2,I423&gt;BS386),AND(I423="ns",BS386=0,BR386&gt;0),I423=BS386),0,1)))</f>
        <v>0</v>
      </c>
      <c r="BU386">
        <f>COUNTIF(I432:I434,"NS")</f>
        <v>0</v>
      </c>
      <c r="BV386">
        <f>SUM(I432:I434)</f>
        <v>0</v>
      </c>
      <c r="BW386">
        <f>IF(COUNTA(I431:I434)=0,0,IF(OR(AND(I431=0,BU386&gt;0),AND(I431="ns",BV386&gt;0),AND(I431="ns",BU386=0,BV386=0)),1,IF(OR(AND(BU386&gt;=2,I431&gt;BV386),AND(I431="ns",BV386=0,BU386&gt;0),I431=BV386),0,1)))</f>
        <v>0</v>
      </c>
      <c r="BX386">
        <f>COUNTIF(I442:I448,"NS")</f>
        <v>0</v>
      </c>
      <c r="BY386">
        <f>SUM(I442:I448)</f>
        <v>0</v>
      </c>
      <c r="BZ386">
        <f>IF(COUNTA(I441:I448)=0,0,IF(OR(AND(I441=0,BX386&gt;0),AND(I441="ns",BY386&gt;0),AND(I441="ns",BX386=0,BY386=0)),1,IF(OR(AND(BX386&gt;=2,I441&gt;BY386),AND(I441="ns",BY386=0,BX386&gt;0),I441=BY386),0,1)))</f>
        <v>0</v>
      </c>
      <c r="CA386">
        <f>COUNTIF(I450:I454,"NS")</f>
        <v>0</v>
      </c>
      <c r="CB386">
        <f>SUM(I450:I454)</f>
        <v>0</v>
      </c>
      <c r="CC386">
        <f>IF(COUNTA(I449:I454)=0,0,IF(OR(AND(I449=0,CA386&gt;0),AND(I449="ns",CB386&gt;0),AND(I449="ns",CA386=0,CB386=0)),1,IF(OR(AND(CA386&gt;=2,I449&gt;CB386),AND(I449="ns",CB386=0,CA386&gt;0),I449=CB386),0,1)))</f>
        <v>0</v>
      </c>
      <c r="CD386">
        <f>COUNTIF(I460:I465,"NS")</f>
        <v>0</v>
      </c>
      <c r="CE386">
        <f>SUM(I460:I465)</f>
        <v>0</v>
      </c>
      <c r="CF386">
        <f>IF(COUNTA(I459:I465)=0,0,IF(OR(AND(I459=0,CD386&gt;0),AND(I459="ns",CE386&gt;0),AND(I459="ns",CD386=0,CE386=0)),1,IF(OR(AND(CD386&gt;=2,I459&gt;CE386),AND(I459="ns",CE386=0,CD386&gt;0),I459=CE386),0,1)))</f>
        <v>0</v>
      </c>
      <c r="CG386">
        <f>COUNTIF(I467:I474,"NS")</f>
        <v>0</v>
      </c>
      <c r="CH386">
        <f>SUM(I467:I474)</f>
        <v>0</v>
      </c>
      <c r="CI386">
        <f>IF(COUNTA(I466:I474)=0,0,IF(OR(AND(I466=0,CG386&gt;0),AND(I466="ns",CH386&gt;0),AND(I466="ns",CG386=0,CH386=0)),1,IF(OR(AND(CG386&gt;=2,I466&gt;CH386),AND(I466="ns",CH386=0,CG386&gt;0),I466=CH386),0,1)))</f>
        <v>0</v>
      </c>
      <c r="CJ386">
        <f>COUNTIF(I479:I484,"NS")</f>
        <v>0</v>
      </c>
      <c r="CK386">
        <f>SUM(I479:I484)</f>
        <v>0</v>
      </c>
      <c r="CL386">
        <f>IF(COUNTA(I478:I484)=0,0,IF(OR(AND(I478=0,CJ386&gt;0),AND(I478="ns",CK386&gt;0),AND(I478="ns",CJ386=0,CK386=0)),1,IF(OR(AND(CJ386&gt;=2,I478&gt;CK386),AND(I478="ns",CK386=0,CJ386&gt;0),I478=CK386),0,1)))</f>
        <v>0</v>
      </c>
      <c r="CM386">
        <f>COUNTIF(I489:I497,"NS")</f>
        <v>0</v>
      </c>
      <c r="CN386">
        <f>SUM(I489:I497)</f>
        <v>0</v>
      </c>
      <c r="CO386">
        <f>IF(COUNTA(I488:I497)=0,0,IF(OR(AND(I488=0,CM386&gt;0),AND(I488="ns",CN386&gt;0),AND(I488="ns",CM386=0,CN386=0)),1,IF(OR(AND(CM386&gt;=2,I488&gt;CN386),AND(I488="ns",CN386=0,CM386&gt;0),I488=CN386),0,1)))</f>
        <v>0</v>
      </c>
      <c r="CP386">
        <f>COUNTIF(I499:I501,"NS")</f>
        <v>0</v>
      </c>
      <c r="CQ386">
        <f>SUM(I499:I501)</f>
        <v>0</v>
      </c>
      <c r="CR386">
        <f>IF(COUNTA(I498:I501)=0,0,IF(OR(AND(I498=0,CP386&gt;0),AND(I498="ns",CQ386&gt;0),AND(I498="ns",CP386=0,CQ386=0)),1,IF(OR(AND(CP386&gt;=2,I498&gt;CQ386),AND(I498="ns",CQ386=0,CP386&gt;0),I498=CQ386),0,1)))</f>
        <v>0</v>
      </c>
      <c r="CS386">
        <f>COUNTIF(I510:I516,"NS")</f>
        <v>0</v>
      </c>
      <c r="CT386">
        <f>SUM(I510:I516)</f>
        <v>0</v>
      </c>
      <c r="CU386">
        <f>IF(COUNTA(I509:I516)=0,0,IF(OR(AND(I509=0,CS386&gt;0),AND(I509="ns",CT386&gt;0),AND(I509="ns",CS386=0,CT386=0)),1,IF(OR(AND(CS386&gt;=2,I509&gt;CT386),AND(I509="ns",CT386=0,CS386&gt;0),I509=CT386),0,1)))</f>
        <v>0</v>
      </c>
      <c r="CV386">
        <f>COUNTIF(I519:I521,"NS")</f>
        <v>0</v>
      </c>
      <c r="CW386">
        <f>SUM(I519:I521)</f>
        <v>0</v>
      </c>
      <c r="CX386">
        <f>IF(COUNTA(I518:I521)=0,0,IF(OR(AND(I518=0,CV386&gt;0),AND(I518="ns",CW386&gt;0),AND(I518="ns",CV386=0,CW386=0)),1,IF(OR(AND(CV386&gt;=2,I518&gt;CW386),AND(I518="ns",CW386=0,CV386&gt;0),I518=CW386),0,1)))</f>
        <v>0</v>
      </c>
      <c r="CY386">
        <f>COUNTIF(I531:I535,"NS")</f>
        <v>0</v>
      </c>
      <c r="CZ386">
        <f>SUM(I531:I535)</f>
        <v>0</v>
      </c>
      <c r="DA386">
        <f>IF(COUNTA(I530:I535)=0,0,IF(OR(AND(I530=0,CY386&gt;0),AND(I530="ns",CZ386&gt;0),AND(I530="ns",CY386=0,CZ386=0)),1,IF(OR(AND(CY386&gt;=2,I530&gt;CZ386),AND(I530="ns",CZ386=0,CY386&gt;0),I530=CZ386),0,1)))</f>
        <v>0</v>
      </c>
    </row>
    <row r="387" spans="1:105" ht="15" customHeight="1">
      <c r="A387" s="206"/>
      <c r="B387" s="201"/>
      <c r="C387" s="1119" t="s">
        <v>4817</v>
      </c>
      <c r="D387" s="1121"/>
      <c r="E387" s="1121"/>
      <c r="F387" s="1120"/>
      <c r="G387" s="100"/>
      <c r="H387" s="100"/>
      <c r="I387" s="100"/>
      <c r="J387" s="100"/>
      <c r="K387" s="100"/>
      <c r="L387" s="100"/>
      <c r="M387" s="100"/>
      <c r="N387" s="100"/>
      <c r="O387" s="100"/>
      <c r="P387" s="100"/>
      <c r="Q387" s="100"/>
      <c r="R387" s="100"/>
      <c r="S387" s="100"/>
      <c r="T387" s="100"/>
      <c r="U387" s="100"/>
      <c r="V387" s="100"/>
      <c r="W387" s="100"/>
      <c r="X387" s="100"/>
      <c r="Y387" s="100"/>
      <c r="Z387" s="100"/>
      <c r="AA387" s="100"/>
      <c r="AB387" s="100"/>
      <c r="AC387" s="100"/>
      <c r="AD387" s="100"/>
      <c r="AF387"/>
      <c r="AG387"/>
      <c r="AH387"/>
      <c r="AI387"/>
      <c r="AJ387"/>
      <c r="AK387">
        <f t="shared" si="168"/>
        <v>0</v>
      </c>
      <c r="AL387">
        <f t="shared" si="169"/>
        <v>0</v>
      </c>
      <c r="AM387">
        <f t="shared" si="191"/>
        <v>0</v>
      </c>
      <c r="AN387">
        <f t="shared" si="170"/>
        <v>0</v>
      </c>
      <c r="AO387">
        <f t="shared" si="171"/>
        <v>0</v>
      </c>
      <c r="AP387">
        <f t="shared" si="172"/>
        <v>0</v>
      </c>
      <c r="AQ387">
        <f t="shared" si="173"/>
        <v>0</v>
      </c>
      <c r="AR387">
        <f t="shared" si="174"/>
        <v>0</v>
      </c>
      <c r="AS387">
        <f t="shared" si="175"/>
        <v>0</v>
      </c>
      <c r="AT387">
        <f t="shared" si="176"/>
        <v>0</v>
      </c>
      <c r="AU387">
        <f t="shared" si="177"/>
        <v>0</v>
      </c>
      <c r="AV387">
        <f t="shared" si="178"/>
        <v>0</v>
      </c>
      <c r="AW387">
        <f t="shared" si="179"/>
        <v>0</v>
      </c>
      <c r="AX387">
        <f t="shared" si="180"/>
        <v>0</v>
      </c>
      <c r="AY387">
        <f t="shared" si="181"/>
        <v>0</v>
      </c>
      <c r="AZ387">
        <f t="shared" si="182"/>
        <v>0</v>
      </c>
      <c r="BA387">
        <f t="shared" si="183"/>
        <v>0</v>
      </c>
      <c r="BB387">
        <f t="shared" si="184"/>
        <v>0</v>
      </c>
      <c r="BC387">
        <f t="shared" si="185"/>
        <v>0</v>
      </c>
      <c r="BD387">
        <f t="shared" si="186"/>
        <v>0</v>
      </c>
      <c r="BE387">
        <f t="shared" si="187"/>
        <v>0</v>
      </c>
      <c r="BF387">
        <f t="shared" si="188"/>
        <v>0</v>
      </c>
      <c r="BG387">
        <f t="shared" si="189"/>
        <v>0</v>
      </c>
      <c r="BH387">
        <f t="shared" si="190"/>
        <v>0</v>
      </c>
      <c r="BI387">
        <f>COUNTIF(J385:J390,"NS")</f>
        <v>0</v>
      </c>
      <c r="BJ387">
        <f>SUM(J385:J390)</f>
        <v>0</v>
      </c>
      <c r="BK387">
        <f>IF(COUNTA(J384:J390)=0,0,IF(OR(AND(J384=0,BI387&gt;0),AND(J384="ns",BJ387&gt;0),AND(J384="ns",BI387=0,BJ387=0)),1,IF(OR(AND(BI387&gt;=2,J384&gt;BJ387),AND(J384="ns",BJ387=0,BI387&gt;0),J384=BJ387),0,1)))</f>
        <v>0</v>
      </c>
      <c r="BL387">
        <f>COUNTIF(J396:J400,"NS")</f>
        <v>0</v>
      </c>
      <c r="BM387">
        <f>SUM(J396:J400)</f>
        <v>0</v>
      </c>
      <c r="BN387">
        <f>IF(COUNTA(J395:J400)=0,0,IF(OR(AND(J395=0,BL387&gt;0),AND(J395="ns",BM387&gt;0),AND(J395="ns",BL387=0,BM387=0)),1,IF(OR(AND(BL387&gt;=2,J395&gt;BM387),AND(J395="ns",BM387=0,BL387&gt;0),J395=BM387),0,1)))</f>
        <v>0</v>
      </c>
      <c r="BO387">
        <f>COUNTIF(J405:J422,"NS")</f>
        <v>0</v>
      </c>
      <c r="BP387">
        <f>SUM(J405:J422)</f>
        <v>0</v>
      </c>
      <c r="BQ387">
        <f>IF(COUNTA(J404:J422)=0,0,IF(OR(AND(J404=0,BO387&gt;0),AND(J404="ns",BP387&gt;0),AND(J404="ns",BO387=0,BP387=0)),1,IF(OR(AND(BO387&gt;=2,J404&gt;BP387),AND(J404="ns",BP387=0,BO387&gt;0),J404=BP387),0,1)))</f>
        <v>0</v>
      </c>
      <c r="BR387">
        <f>COUNTIF(J424:J428,"NS")</f>
        <v>0</v>
      </c>
      <c r="BS387">
        <f>SUM(J424:J428)</f>
        <v>0</v>
      </c>
      <c r="BT387">
        <f>IF(COUNTA(J423:J428)=0,0,IF(OR(AND(J423=0,BR387&gt;0),AND(J423="ns",BS387&gt;0),AND(J423="ns",BR387=0,BS387=0)),1,IF(OR(AND(BR387&gt;=2,J423&gt;BS387),AND(J423="ns",BS387=0,BR387&gt;0),J423=BS387),0,1)))</f>
        <v>0</v>
      </c>
      <c r="BU387">
        <f>COUNTIF(J432:J434,"NS")</f>
        <v>0</v>
      </c>
      <c r="BV387">
        <f>SUM(J432:J434)</f>
        <v>0</v>
      </c>
      <c r="BW387">
        <f>IF(COUNTA(J431:J434)=0,0,IF(OR(AND(J431=0,BU387&gt;0),AND(J431="ns",BV387&gt;0),AND(J431="ns",BU387=0,BV387=0)),1,IF(OR(AND(BU387&gt;=2,J431&gt;BV387),AND(J431="ns",BV387=0,BU387&gt;0),J431=BV387),0,1)))</f>
        <v>0</v>
      </c>
      <c r="BX387">
        <f>COUNTIF(J442:J448,"NS")</f>
        <v>0</v>
      </c>
      <c r="BY387">
        <f>SUM(J442:J448)</f>
        <v>0</v>
      </c>
      <c r="BZ387">
        <f>IF(COUNTA(J441:J448)=0,0,IF(OR(AND(J441=0,BX387&gt;0),AND(J441="ns",BY387&gt;0),AND(J441="ns",BX387=0,BY387=0)),1,IF(OR(AND(BX387&gt;=2,J441&gt;BY387),AND(J441="ns",BY387=0,BX387&gt;0),J441=BY387),0,1)))</f>
        <v>0</v>
      </c>
      <c r="CA387">
        <f>COUNTIF(J450:J454,"NS")</f>
        <v>0</v>
      </c>
      <c r="CB387">
        <f>SUM(J450:J454)</f>
        <v>0</v>
      </c>
      <c r="CC387">
        <f>IF(COUNTA(J449:J454)=0,0,IF(OR(AND(J449=0,CA387&gt;0),AND(J449="ns",CB387&gt;0),AND(J449="ns",CA387=0,CB387=0)),1,IF(OR(AND(CA387&gt;=2,J449&gt;CB387),AND(J449="ns",CB387=0,CA387&gt;0),J449=CB387),0,1)))</f>
        <v>0</v>
      </c>
      <c r="CD387">
        <f>COUNTIF(J460:J465,"NS")</f>
        <v>0</v>
      </c>
      <c r="CE387">
        <f>SUM(J460:J465)</f>
        <v>0</v>
      </c>
      <c r="CF387">
        <f>IF(COUNTA(J459:J465)=0,0,IF(OR(AND(J459=0,CD387&gt;0),AND(J459="ns",CE387&gt;0),AND(J459="ns",CD387=0,CE387=0)),1,IF(OR(AND(CD387&gt;=2,J459&gt;CE387),AND(J459="ns",CE387=0,CD387&gt;0),J459=CE387),0,1)))</f>
        <v>0</v>
      </c>
      <c r="CG387">
        <f>COUNTIF(J467:J474,"NS")</f>
        <v>0</v>
      </c>
      <c r="CH387">
        <f>SUM(J467:J474)</f>
        <v>0</v>
      </c>
      <c r="CI387">
        <f>IF(COUNTA(J466:J474)=0,0,IF(OR(AND(J466=0,CG387&gt;0),AND(J466="ns",CH387&gt;0),AND(J466="ns",CG387=0,CH387=0)),1,IF(OR(AND(CG387&gt;=2,J466&gt;CH387),AND(J466="ns",CH387=0,CG387&gt;0),J466=CH387),0,1)))</f>
        <v>0</v>
      </c>
      <c r="CJ387">
        <f>COUNTIF(J479:J484,"NS")</f>
        <v>0</v>
      </c>
      <c r="CK387">
        <f>SUM(J479:J484)</f>
        <v>0</v>
      </c>
      <c r="CL387">
        <f>IF(COUNTA(J478:J484)=0,0,IF(OR(AND(J478=0,CJ387&gt;0),AND(J478="ns",CK387&gt;0),AND(J478="ns",CJ387=0,CK387=0)),1,IF(OR(AND(CJ387&gt;=2,J478&gt;CK387),AND(J478="ns",CK387=0,CJ387&gt;0),J478=CK387),0,1)))</f>
        <v>0</v>
      </c>
      <c r="CM387">
        <f>COUNTIF(J489:J497,"NS")</f>
        <v>0</v>
      </c>
      <c r="CN387">
        <f>SUM(J489:J497)</f>
        <v>0</v>
      </c>
      <c r="CO387">
        <f>IF(COUNTA(J488:J497)=0,0,IF(OR(AND(J488=0,CM387&gt;0),AND(J488="ns",CN387&gt;0),AND(J488="ns",CM387=0,CN387=0)),1,IF(OR(AND(CM387&gt;=2,J488&gt;CN387),AND(J488="ns",CN387=0,CM387&gt;0),J488=CN387),0,1)))</f>
        <v>0</v>
      </c>
      <c r="CP387">
        <f>COUNTIF(J499:J501,"NS")</f>
        <v>0</v>
      </c>
      <c r="CQ387">
        <f>SUM(J499:J501)</f>
        <v>0</v>
      </c>
      <c r="CR387">
        <f>IF(COUNTA(J498:J501)=0,0,IF(OR(AND(J498=0,CP387&gt;0),AND(J498="ns",CQ387&gt;0),AND(J498="ns",CP387=0,CQ387=0)),1,IF(OR(AND(CP387&gt;=2,J498&gt;CQ387),AND(J498="ns",CQ387=0,CP387&gt;0),J498=CQ387),0,1)))</f>
        <v>0</v>
      </c>
      <c r="CS387">
        <f>COUNTIF(J510:J516,"NS")</f>
        <v>0</v>
      </c>
      <c r="CT387">
        <f>SUM(J510:J516)</f>
        <v>0</v>
      </c>
      <c r="CU387">
        <f>IF(COUNTA(J509:J516)=0,0,IF(OR(AND(J509=0,CS387&gt;0),AND(J509="ns",CT387&gt;0),AND(J509="ns",CS387=0,CT387=0)),1,IF(OR(AND(CS387&gt;=2,J509&gt;CT387),AND(J509="ns",CT387=0,CS387&gt;0),J509=CT387),0,1)))</f>
        <v>0</v>
      </c>
      <c r="CV387">
        <f>COUNTIF(J519:J521,"NS")</f>
        <v>0</v>
      </c>
      <c r="CW387">
        <f>SUM(J519:J521)</f>
        <v>0</v>
      </c>
      <c r="CX387">
        <f>IF(COUNTA(J518:J521)=0,0,IF(OR(AND(J518=0,CV387&gt;0),AND(J518="ns",CW387&gt;0),AND(J518="ns",CV387=0,CW387=0)),1,IF(OR(AND(CV387&gt;=2,J518&gt;CW387),AND(J518="ns",CW387=0,CV387&gt;0),J518=CW387),0,1)))</f>
        <v>0</v>
      </c>
      <c r="CY387">
        <f>COUNTIF(J531:J535,"NS")</f>
        <v>0</v>
      </c>
      <c r="CZ387">
        <f>SUM(J531:J535)</f>
        <v>0</v>
      </c>
      <c r="DA387">
        <f>IF(COUNTA(J530:J535)=0,0,IF(OR(AND(J530=0,CY387&gt;0),AND(J530="ns",CZ387&gt;0),AND(J530="ns",CY387=0,CZ387=0)),1,IF(OR(AND(CY387&gt;=2,J530&gt;CZ387),AND(J530="ns",CZ387=0,CY387&gt;0),J530=CZ387),0,1)))</f>
        <v>0</v>
      </c>
    </row>
    <row r="388" spans="1:105" ht="15" customHeight="1">
      <c r="A388" s="206"/>
      <c r="B388" s="201"/>
      <c r="C388" s="1119" t="s">
        <v>4819</v>
      </c>
      <c r="D388" s="1121"/>
      <c r="E388" s="1121"/>
      <c r="F388" s="1120"/>
      <c r="G388" s="100"/>
      <c r="H388" s="100"/>
      <c r="I388" s="100"/>
      <c r="J388" s="100"/>
      <c r="K388" s="100"/>
      <c r="L388" s="100"/>
      <c r="M388" s="100"/>
      <c r="N388" s="100"/>
      <c r="O388" s="100"/>
      <c r="P388" s="100"/>
      <c r="Q388" s="100"/>
      <c r="R388" s="100"/>
      <c r="S388" s="100"/>
      <c r="T388" s="100"/>
      <c r="U388" s="100"/>
      <c r="V388" s="100"/>
      <c r="W388" s="100"/>
      <c r="X388" s="100"/>
      <c r="Y388" s="100"/>
      <c r="Z388" s="100"/>
      <c r="AA388" s="100"/>
      <c r="AB388" s="100"/>
      <c r="AC388" s="100"/>
      <c r="AD388" s="100"/>
      <c r="AF388"/>
      <c r="AG388"/>
      <c r="AH388"/>
      <c r="AI388"/>
      <c r="AJ388"/>
      <c r="AK388">
        <f t="shared" si="168"/>
        <v>0</v>
      </c>
      <c r="AL388">
        <f t="shared" si="169"/>
        <v>0</v>
      </c>
      <c r="AM388">
        <f t="shared" si="191"/>
        <v>0</v>
      </c>
      <c r="AN388">
        <f t="shared" si="170"/>
        <v>0</v>
      </c>
      <c r="AO388">
        <f t="shared" si="171"/>
        <v>0</v>
      </c>
      <c r="AP388">
        <f t="shared" si="172"/>
        <v>0</v>
      </c>
      <c r="AQ388">
        <f t="shared" si="173"/>
        <v>0</v>
      </c>
      <c r="AR388">
        <f t="shared" si="174"/>
        <v>0</v>
      </c>
      <c r="AS388">
        <f t="shared" si="175"/>
        <v>0</v>
      </c>
      <c r="AT388">
        <f t="shared" si="176"/>
        <v>0</v>
      </c>
      <c r="AU388">
        <f t="shared" si="177"/>
        <v>0</v>
      </c>
      <c r="AV388">
        <f t="shared" si="178"/>
        <v>0</v>
      </c>
      <c r="AW388">
        <f t="shared" si="179"/>
        <v>0</v>
      </c>
      <c r="AX388">
        <f t="shared" si="180"/>
        <v>0</v>
      </c>
      <c r="AY388">
        <f t="shared" si="181"/>
        <v>0</v>
      </c>
      <c r="AZ388">
        <f t="shared" si="182"/>
        <v>0</v>
      </c>
      <c r="BA388">
        <f t="shared" si="183"/>
        <v>0</v>
      </c>
      <c r="BB388">
        <f t="shared" si="184"/>
        <v>0</v>
      </c>
      <c r="BC388">
        <f t="shared" si="185"/>
        <v>0</v>
      </c>
      <c r="BD388">
        <f t="shared" si="186"/>
        <v>0</v>
      </c>
      <c r="BE388">
        <f t="shared" si="187"/>
        <v>0</v>
      </c>
      <c r="BF388">
        <f t="shared" si="188"/>
        <v>0</v>
      </c>
      <c r="BG388">
        <f t="shared" si="189"/>
        <v>0</v>
      </c>
      <c r="BH388">
        <f t="shared" si="190"/>
        <v>0</v>
      </c>
      <c r="BI388">
        <f>COUNTIF(K385:K390,"NS")</f>
        <v>0</v>
      </c>
      <c r="BJ388">
        <f>SUM(K385:K390)</f>
        <v>0</v>
      </c>
      <c r="BK388">
        <f>IF(COUNTA(K384:K390)=0,0,IF(OR(AND(K384=0,BI388&gt;0),AND(K384="ns",BJ388&gt;0),AND(K384="ns",BI388=0,BJ388=0)),1,IF(OR(AND(BI388&gt;=2,K384&gt;BJ388),AND(K384="ns",BJ388=0,BI388&gt;0),K384=BJ388),0,1)))</f>
        <v>0</v>
      </c>
      <c r="BL388">
        <f>COUNTIF(K396:K400,"NS")</f>
        <v>0</v>
      </c>
      <c r="BM388">
        <f>SUM(K396:K400)</f>
        <v>0</v>
      </c>
      <c r="BN388">
        <f>IF(COUNTA(K395:K400)=0,0,IF(OR(AND(K395=0,BL388&gt;0),AND(K395="ns",BM388&gt;0),AND(K395="ns",BL388=0,BM388=0)),1,IF(OR(AND(BL388&gt;=2,K395&gt;BM388),AND(K395="ns",BM388=0,BL388&gt;0),K395=BM388),0,1)))</f>
        <v>0</v>
      </c>
      <c r="BO388">
        <f>COUNTIF(K405:K422,"NS")</f>
        <v>0</v>
      </c>
      <c r="BP388">
        <f>SUM(K405:K422)</f>
        <v>0</v>
      </c>
      <c r="BQ388">
        <f>IF(COUNTA(K404:K422)=0,0,IF(OR(AND(K404=0,BO388&gt;0),AND(K404="ns",BP388&gt;0),AND(K404="ns",BO388=0,BP388=0)),1,IF(OR(AND(BO388&gt;=2,K404&gt;BP388),AND(K404="ns",BP388=0,BO388&gt;0),K404=BP388),0,1)))</f>
        <v>0</v>
      </c>
      <c r="BR388">
        <f>COUNTIF(K424:K428,"NS")</f>
        <v>0</v>
      </c>
      <c r="BS388">
        <f>SUM(K424:K428)</f>
        <v>0</v>
      </c>
      <c r="BT388">
        <f>IF(COUNTA(K423:K428)=0,0,IF(OR(AND(K423=0,BR388&gt;0),AND(K423="ns",BS388&gt;0),AND(K423="ns",BR388=0,BS388=0)),1,IF(OR(AND(BR388&gt;=2,K423&gt;BS388),AND(K423="ns",BS388=0,BR388&gt;0),K423=BS388),0,1)))</f>
        <v>0</v>
      </c>
      <c r="BU388">
        <f>COUNTIF(K432:K434,"NS")</f>
        <v>0</v>
      </c>
      <c r="BV388">
        <f>SUM(K432:K434)</f>
        <v>0</v>
      </c>
      <c r="BW388">
        <f>IF(COUNTA(K431:K434)=0,0,IF(OR(AND(K431=0,BU388&gt;0),AND(K431="ns",BV388&gt;0),AND(K431="ns",BU388=0,BV388=0)),1,IF(OR(AND(BU388&gt;=2,K431&gt;BV388),AND(K431="ns",BV388=0,BU388&gt;0),K431=BV388),0,1)))</f>
        <v>0</v>
      </c>
      <c r="BX388">
        <f>COUNTIF(K442:K448,"NS")</f>
        <v>0</v>
      </c>
      <c r="BY388">
        <f>SUM(K442:K448)</f>
        <v>0</v>
      </c>
      <c r="BZ388">
        <f>IF(COUNTA(K441:K448)=0,0,IF(OR(AND(K441=0,BX388&gt;0),AND(K441="ns",BY388&gt;0),AND(K441="ns",BX388=0,BY388=0)),1,IF(OR(AND(BX388&gt;=2,K441&gt;BY388),AND(K441="ns",BY388=0,BX388&gt;0),K441=BY388),0,1)))</f>
        <v>0</v>
      </c>
      <c r="CA388">
        <f>COUNTIF(K450:K454,"NS")</f>
        <v>0</v>
      </c>
      <c r="CB388">
        <f>SUM(K450:K454)</f>
        <v>0</v>
      </c>
      <c r="CC388">
        <f>IF(COUNTA(K449:K454)=0,0,IF(OR(AND(K449=0,CA388&gt;0),AND(K449="ns",CB388&gt;0),AND(K449="ns",CA388=0,CB388=0)),1,IF(OR(AND(CA388&gt;=2,K449&gt;CB388),AND(K449="ns",CB388=0,CA388&gt;0),K449=CB388),0,1)))</f>
        <v>0</v>
      </c>
      <c r="CD388">
        <f>COUNTIF(K460:K465,"NS")</f>
        <v>0</v>
      </c>
      <c r="CE388">
        <f>SUM(K460:K465)</f>
        <v>0</v>
      </c>
      <c r="CF388">
        <f>IF(COUNTA(K459:K465)=0,0,IF(OR(AND(K459=0,CD388&gt;0),AND(K459="ns",CE388&gt;0),AND(K459="ns",CD388=0,CE388=0)),1,IF(OR(AND(CD388&gt;=2,K459&gt;CE388),AND(K459="ns",CE388=0,CD388&gt;0),K459=CE388),0,1)))</f>
        <v>0</v>
      </c>
      <c r="CG388">
        <f>COUNTIF(K467:K474,"NS")</f>
        <v>0</v>
      </c>
      <c r="CH388">
        <f>SUM(K467:K474)</f>
        <v>0</v>
      </c>
      <c r="CI388">
        <f>IF(COUNTA(K466:K474)=0,0,IF(OR(AND(K466=0,CG388&gt;0),AND(K466="ns",CH388&gt;0),AND(K466="ns",CG388=0,CH388=0)),1,IF(OR(AND(CG388&gt;=2,K466&gt;CH388),AND(K466="ns",CH388=0,CG388&gt;0),K466=CH388),0,1)))</f>
        <v>0</v>
      </c>
      <c r="CJ388">
        <f>COUNTIF(K479:K484,"NS")</f>
        <v>0</v>
      </c>
      <c r="CK388">
        <f>SUM(K479:K484)</f>
        <v>0</v>
      </c>
      <c r="CL388">
        <f>IF(COUNTA(K478:K484)=0,0,IF(OR(AND(K478=0,CJ388&gt;0),AND(K478="ns",CK388&gt;0),AND(K478="ns",CJ388=0,CK388=0)),1,IF(OR(AND(CJ388&gt;=2,K478&gt;CK388),AND(K478="ns",CK388=0,CJ388&gt;0),K478=CK388),0,1)))</f>
        <v>0</v>
      </c>
      <c r="CM388">
        <f>COUNTIF(K489:K497,"NS")</f>
        <v>0</v>
      </c>
      <c r="CN388">
        <f>SUM(K489:K497)</f>
        <v>0</v>
      </c>
      <c r="CO388">
        <f>IF(COUNTA(K488:K497)=0,0,IF(OR(AND(K488=0,CM388&gt;0),AND(K488="ns",CN388&gt;0),AND(K488="ns",CM388=0,CN388=0)),1,IF(OR(AND(CM388&gt;=2,K488&gt;CN388),AND(K488="ns",CN388=0,CM388&gt;0),K488=CN388),0,1)))</f>
        <v>0</v>
      </c>
      <c r="CP388">
        <f>COUNTIF(K499:K501,"NS")</f>
        <v>0</v>
      </c>
      <c r="CQ388">
        <f>SUM(K499:K501)</f>
        <v>0</v>
      </c>
      <c r="CR388">
        <f>IF(COUNTA(K498:K501)=0,0,IF(OR(AND(K498=0,CP388&gt;0),AND(K498="ns",CQ388&gt;0),AND(K498="ns",CP388=0,CQ388=0)),1,IF(OR(AND(CP388&gt;=2,K498&gt;CQ388),AND(K498="ns",CQ388=0,CP388&gt;0),K498=CQ388),0,1)))</f>
        <v>0</v>
      </c>
      <c r="CS388">
        <f>COUNTIF(K510:K516,"NS")</f>
        <v>0</v>
      </c>
      <c r="CT388">
        <f>SUM(K510:K516)</f>
        <v>0</v>
      </c>
      <c r="CU388">
        <f>IF(COUNTA(K509:K516)=0,0,IF(OR(AND(K509=0,CS388&gt;0),AND(K509="ns",CT388&gt;0),AND(K509="ns",CS388=0,CT388=0)),1,IF(OR(AND(CS388&gt;=2,K509&gt;CT388),AND(K509="ns",CT388=0,CS388&gt;0),K509=CT388),0,1)))</f>
        <v>0</v>
      </c>
      <c r="CV388">
        <f>COUNTIF(K519:K521,"NS")</f>
        <v>0</v>
      </c>
      <c r="CW388">
        <f>SUM(K519:K521)</f>
        <v>0</v>
      </c>
      <c r="CX388">
        <f>IF(COUNTA(K518:K521)=0,0,IF(OR(AND(K518=0,CV388&gt;0),AND(K518="ns",CW388&gt;0),AND(K518="ns",CV388=0,CW388=0)),1,IF(OR(AND(CV388&gt;=2,K518&gt;CW388),AND(K518="ns",CW388=0,CV388&gt;0),K518=CW388),0,1)))</f>
        <v>0</v>
      </c>
      <c r="CY388">
        <f>COUNTIF(K531:K535,"NS")</f>
        <v>0</v>
      </c>
      <c r="CZ388">
        <f>SUM(K531:K535)</f>
        <v>0</v>
      </c>
      <c r="DA388">
        <f>IF(COUNTA(K530:K535)=0,0,IF(OR(AND(K530=0,CY388&gt;0),AND(K530="ns",CZ388&gt;0),AND(K530="ns",CY388=0,CZ388=0)),1,IF(OR(AND(CY388&gt;=2,K530&gt;CZ388),AND(K530="ns",CZ388=0,CY388&gt;0),K530=CZ388),0,1)))</f>
        <v>0</v>
      </c>
    </row>
    <row r="389" spans="1:105" ht="15" customHeight="1">
      <c r="A389" s="206"/>
      <c r="B389" s="201"/>
      <c r="C389" s="1119" t="s">
        <v>4821</v>
      </c>
      <c r="D389" s="1121"/>
      <c r="E389" s="1121"/>
      <c r="F389" s="1120"/>
      <c r="G389" s="100"/>
      <c r="H389" s="100"/>
      <c r="I389" s="100"/>
      <c r="J389" s="100"/>
      <c r="K389" s="100"/>
      <c r="L389" s="100"/>
      <c r="M389" s="100"/>
      <c r="N389" s="100"/>
      <c r="O389" s="100"/>
      <c r="P389" s="100"/>
      <c r="Q389" s="100"/>
      <c r="R389" s="100"/>
      <c r="S389" s="100"/>
      <c r="T389" s="100"/>
      <c r="U389" s="100"/>
      <c r="V389" s="100"/>
      <c r="W389" s="100"/>
      <c r="X389" s="100"/>
      <c r="Y389" s="100"/>
      <c r="Z389" s="100"/>
      <c r="AA389" s="100"/>
      <c r="AB389" s="100"/>
      <c r="AC389" s="100"/>
      <c r="AD389" s="100"/>
      <c r="AF389"/>
      <c r="AG389"/>
      <c r="AH389"/>
      <c r="AI389"/>
      <c r="AJ389"/>
      <c r="AK389">
        <f t="shared" si="168"/>
        <v>0</v>
      </c>
      <c r="AL389">
        <f t="shared" si="169"/>
        <v>0</v>
      </c>
      <c r="AM389">
        <f t="shared" si="191"/>
        <v>0</v>
      </c>
      <c r="AN389">
        <f t="shared" si="170"/>
        <v>0</v>
      </c>
      <c r="AO389">
        <f t="shared" si="171"/>
        <v>0</v>
      </c>
      <c r="AP389">
        <f t="shared" si="172"/>
        <v>0</v>
      </c>
      <c r="AQ389">
        <f t="shared" si="173"/>
        <v>0</v>
      </c>
      <c r="AR389">
        <f t="shared" si="174"/>
        <v>0</v>
      </c>
      <c r="AS389">
        <f t="shared" si="175"/>
        <v>0</v>
      </c>
      <c r="AT389">
        <f t="shared" si="176"/>
        <v>0</v>
      </c>
      <c r="AU389">
        <f t="shared" si="177"/>
        <v>0</v>
      </c>
      <c r="AV389">
        <f t="shared" si="178"/>
        <v>0</v>
      </c>
      <c r="AW389">
        <f t="shared" si="179"/>
        <v>0</v>
      </c>
      <c r="AX389">
        <f t="shared" si="180"/>
        <v>0</v>
      </c>
      <c r="AY389">
        <f t="shared" si="181"/>
        <v>0</v>
      </c>
      <c r="AZ389">
        <f t="shared" si="182"/>
        <v>0</v>
      </c>
      <c r="BA389">
        <f t="shared" si="183"/>
        <v>0</v>
      </c>
      <c r="BB389">
        <f t="shared" si="184"/>
        <v>0</v>
      </c>
      <c r="BC389">
        <f t="shared" si="185"/>
        <v>0</v>
      </c>
      <c r="BD389">
        <f t="shared" si="186"/>
        <v>0</v>
      </c>
      <c r="BE389">
        <f t="shared" si="187"/>
        <v>0</v>
      </c>
      <c r="BF389">
        <f t="shared" si="188"/>
        <v>0</v>
      </c>
      <c r="BG389">
        <f t="shared" si="189"/>
        <v>0</v>
      </c>
      <c r="BH389">
        <f t="shared" si="190"/>
        <v>0</v>
      </c>
      <c r="BI389">
        <f>COUNTIF(L385:L390,"NS")</f>
        <v>0</v>
      </c>
      <c r="BJ389">
        <f>SUM(L385:L390)</f>
        <v>0</v>
      </c>
      <c r="BK389">
        <f>IF(COUNTA(L384:L390)=0,0,IF(OR(AND(L384=0,BI389&gt;0),AND(L384="ns",BJ389&gt;0),AND(L384="ns",BI389=0,BJ389=0)),1,IF(OR(AND(BI389&gt;=2,L384&gt;BJ389),AND(L384="ns",BJ389=0,BI389&gt;0),L384=BJ389),0,1)))</f>
        <v>0</v>
      </c>
      <c r="BL389">
        <f>COUNTIF(L396:L400,"NS")</f>
        <v>0</v>
      </c>
      <c r="BM389">
        <f>SUM(L396:L400)</f>
        <v>0</v>
      </c>
      <c r="BN389">
        <f>IF(COUNTA(L395:L400)=0,0,IF(OR(AND(L395=0,BL389&gt;0),AND(L395="ns",BM389&gt;0),AND(L395="ns",BL389=0,BM389=0)),1,IF(OR(AND(BL389&gt;=2,L395&gt;BM389),AND(L395="ns",BM389=0,BL389&gt;0),L395=BM389),0,1)))</f>
        <v>0</v>
      </c>
      <c r="BO389">
        <f>COUNTIF(L405:L422,"NS")</f>
        <v>0</v>
      </c>
      <c r="BP389">
        <f>SUM(L405:L422)</f>
        <v>0</v>
      </c>
      <c r="BQ389">
        <f>IF(COUNTA(L404:L422)=0,0,IF(OR(AND(L404=0,BO389&gt;0),AND(L404="ns",BP389&gt;0),AND(L404="ns",BO389=0,BP389=0)),1,IF(OR(AND(BO389&gt;=2,L404&gt;BP389),AND(L404="ns",BP389=0,BO389&gt;0),L404=BP389),0,1)))</f>
        <v>0</v>
      </c>
      <c r="BR389">
        <f>COUNTIF(L424:L428,"NS")</f>
        <v>0</v>
      </c>
      <c r="BS389">
        <f>SUM(L424:L428)</f>
        <v>0</v>
      </c>
      <c r="BT389">
        <f>IF(COUNTA(L423:L428)=0,0,IF(OR(AND(L423=0,BR389&gt;0),AND(L423="ns",BS389&gt;0),AND(L423="ns",BR389=0,BS389=0)),1,IF(OR(AND(BR389&gt;=2,L423&gt;BS389),AND(L423="ns",BS389=0,BR389&gt;0),L423=BS389),0,1)))</f>
        <v>0</v>
      </c>
      <c r="BU389">
        <f>COUNTIF(L432:L434,"NS")</f>
        <v>0</v>
      </c>
      <c r="BV389">
        <f>SUM(L432:L434)</f>
        <v>0</v>
      </c>
      <c r="BW389">
        <f>IF(COUNTA(L431:L434)=0,0,IF(OR(AND(L431=0,BU389&gt;0),AND(L431="ns",BV389&gt;0),AND(L431="ns",BU389=0,BV389=0)),1,IF(OR(AND(BU389&gt;=2,L431&gt;BV389),AND(L431="ns",BV389=0,BU389&gt;0),L431=BV389),0,1)))</f>
        <v>0</v>
      </c>
      <c r="BX389">
        <f>COUNTIF(L442:L448,"NS")</f>
        <v>0</v>
      </c>
      <c r="BY389">
        <f>SUM(L442:L448)</f>
        <v>0</v>
      </c>
      <c r="BZ389">
        <f>IF(COUNTA(L441:L448)=0,0,IF(OR(AND(L441=0,BX389&gt;0),AND(L441="ns",BY389&gt;0),AND(L441="ns",BX389=0,BY389=0)),1,IF(OR(AND(BX389&gt;=2,L441&gt;BY389),AND(L441="ns",BY389=0,BX389&gt;0),L441=BY389),0,1)))</f>
        <v>0</v>
      </c>
      <c r="CA389">
        <f>COUNTIF(L450:L454,"NS")</f>
        <v>0</v>
      </c>
      <c r="CB389">
        <f>SUM(L450:L454)</f>
        <v>0</v>
      </c>
      <c r="CC389">
        <f>IF(COUNTA(L449:L454)=0,0,IF(OR(AND(L449=0,CA389&gt;0),AND(L449="ns",CB389&gt;0),AND(L449="ns",CA389=0,CB389=0)),1,IF(OR(AND(CA389&gt;=2,L449&gt;CB389),AND(L449="ns",CB389=0,CA389&gt;0),L449=CB389),0,1)))</f>
        <v>0</v>
      </c>
      <c r="CD389">
        <f>COUNTIF(L460:L465,"NS")</f>
        <v>0</v>
      </c>
      <c r="CE389">
        <f>SUM(L460:L465)</f>
        <v>0</v>
      </c>
      <c r="CF389">
        <f>IF(COUNTA(L459:L465)=0,0,IF(OR(AND(L459=0,CD389&gt;0),AND(L459="ns",CE389&gt;0),AND(L459="ns",CD389=0,CE389=0)),1,IF(OR(AND(CD389&gt;=2,L459&gt;CE389),AND(L459="ns",CE389=0,CD389&gt;0),L459=CE389),0,1)))</f>
        <v>0</v>
      </c>
      <c r="CG389">
        <f>COUNTIF(L467:L474,"NS")</f>
        <v>0</v>
      </c>
      <c r="CH389">
        <f>SUM(L467:L474)</f>
        <v>0</v>
      </c>
      <c r="CI389">
        <f>IF(COUNTA(L466:L474)=0,0,IF(OR(AND(L466=0,CG389&gt;0),AND(L466="ns",CH389&gt;0),AND(L466="ns",CG389=0,CH389=0)),1,IF(OR(AND(CG389&gt;=2,L466&gt;CH389),AND(L466="ns",CH389=0,CG389&gt;0),L466=CH389),0,1)))</f>
        <v>0</v>
      </c>
      <c r="CJ389">
        <f>COUNTIF(L479:L484,"NS")</f>
        <v>0</v>
      </c>
      <c r="CK389">
        <f>SUM(L479:L484)</f>
        <v>0</v>
      </c>
      <c r="CL389">
        <f>IF(COUNTA(L478:L484)=0,0,IF(OR(AND(L478=0,CJ389&gt;0),AND(L478="ns",CK389&gt;0),AND(L478="ns",CJ389=0,CK389=0)),1,IF(OR(AND(CJ389&gt;=2,L478&gt;CK389),AND(L478="ns",CK389=0,CJ389&gt;0),L478=CK389),0,1)))</f>
        <v>0</v>
      </c>
      <c r="CM389">
        <f>COUNTIF(L489:L497,"NS")</f>
        <v>0</v>
      </c>
      <c r="CN389">
        <f>SUM(L489:L497)</f>
        <v>0</v>
      </c>
      <c r="CO389">
        <f>IF(COUNTA(L488:L497)=0,0,IF(OR(AND(L488=0,CM389&gt;0),AND(L488="ns",CN389&gt;0),AND(L488="ns",CM389=0,CN389=0)),1,IF(OR(AND(CM389&gt;=2,L488&gt;CN389),AND(L488="ns",CN389=0,CM389&gt;0),L488=CN389),0,1)))</f>
        <v>0</v>
      </c>
      <c r="CP389">
        <f>COUNTIF(L499:L501,"NS")</f>
        <v>0</v>
      </c>
      <c r="CQ389">
        <f>SUM(L499:L501)</f>
        <v>0</v>
      </c>
      <c r="CR389">
        <f>IF(COUNTA(L498:L501)=0,0,IF(OR(AND(L498=0,CP389&gt;0),AND(L498="ns",CQ389&gt;0),AND(L498="ns",CP389=0,CQ389=0)),1,IF(OR(AND(CP389&gt;=2,L498&gt;CQ389),AND(L498="ns",CQ389=0,CP389&gt;0),L498=CQ389),0,1)))</f>
        <v>0</v>
      </c>
      <c r="CS389">
        <f>COUNTIF(L510:L516,"NS")</f>
        <v>0</v>
      </c>
      <c r="CT389">
        <f>SUM(L510:L516)</f>
        <v>0</v>
      </c>
      <c r="CU389">
        <f>IF(COUNTA(L509:L516)=0,0,IF(OR(AND(L509=0,CS389&gt;0),AND(L509="ns",CT389&gt;0),AND(L509="ns",CS389=0,CT389=0)),1,IF(OR(AND(CS389&gt;=2,L509&gt;CT389),AND(L509="ns",CT389=0,CS389&gt;0),L509=CT389),0,1)))</f>
        <v>0</v>
      </c>
      <c r="CV389">
        <f>COUNTIF(L519:L521,"NS")</f>
        <v>0</v>
      </c>
      <c r="CW389">
        <f>SUM(L519:L521)</f>
        <v>0</v>
      </c>
      <c r="CX389">
        <f>IF(COUNTA(L518:L521)=0,0,IF(OR(AND(L518=0,CV389&gt;0),AND(L518="ns",CW389&gt;0),AND(L518="ns",CV389=0,CW389=0)),1,IF(OR(AND(CV389&gt;=2,L518&gt;CW389),AND(L518="ns",CW389=0,CV389&gt;0),L518=CW389),0,1)))</f>
        <v>0</v>
      </c>
      <c r="CY389">
        <f>COUNTIF(L531:L535,"NS")</f>
        <v>0</v>
      </c>
      <c r="CZ389">
        <f>SUM(L531:L535)</f>
        <v>0</v>
      </c>
      <c r="DA389">
        <f>IF(COUNTA(L530:L535)=0,0,IF(OR(AND(L530=0,CY389&gt;0),AND(L530="ns",CZ389&gt;0),AND(L530="ns",CY389=0,CZ389=0)),1,IF(OR(AND(CY389&gt;=2,L530&gt;CZ389),AND(L530="ns",CZ389=0,CY389&gt;0),L530=CZ389),0,1)))</f>
        <v>0</v>
      </c>
    </row>
    <row r="390" spans="1:105" ht="15" customHeight="1">
      <c r="A390" s="206"/>
      <c r="B390" s="201"/>
      <c r="C390" s="1119" t="s">
        <v>4823</v>
      </c>
      <c r="D390" s="1121"/>
      <c r="E390" s="1121"/>
      <c r="F390" s="1120"/>
      <c r="G390" s="100"/>
      <c r="H390" s="100"/>
      <c r="I390" s="100"/>
      <c r="J390" s="100"/>
      <c r="K390" s="100"/>
      <c r="L390" s="100"/>
      <c r="M390" s="100"/>
      <c r="N390" s="100"/>
      <c r="O390" s="100"/>
      <c r="P390" s="100"/>
      <c r="Q390" s="100"/>
      <c r="R390" s="100"/>
      <c r="S390" s="100"/>
      <c r="T390" s="100"/>
      <c r="U390" s="100"/>
      <c r="V390" s="100"/>
      <c r="W390" s="100"/>
      <c r="X390" s="100"/>
      <c r="Y390" s="100"/>
      <c r="Z390" s="100"/>
      <c r="AA390" s="100"/>
      <c r="AB390" s="100"/>
      <c r="AC390" s="100"/>
      <c r="AD390" s="100"/>
      <c r="AF390"/>
      <c r="AG390"/>
      <c r="AH390"/>
      <c r="AI390"/>
      <c r="AJ390"/>
      <c r="AK390">
        <f t="shared" si="168"/>
        <v>0</v>
      </c>
      <c r="AL390">
        <f t="shared" si="169"/>
        <v>0</v>
      </c>
      <c r="AM390">
        <f t="shared" si="191"/>
        <v>0</v>
      </c>
      <c r="AN390">
        <f t="shared" si="170"/>
        <v>0</v>
      </c>
      <c r="AO390">
        <f t="shared" si="171"/>
        <v>0</v>
      </c>
      <c r="AP390">
        <f t="shared" si="172"/>
        <v>0</v>
      </c>
      <c r="AQ390">
        <f t="shared" si="173"/>
        <v>0</v>
      </c>
      <c r="AR390">
        <f t="shared" si="174"/>
        <v>0</v>
      </c>
      <c r="AS390">
        <f t="shared" si="175"/>
        <v>0</v>
      </c>
      <c r="AT390">
        <f t="shared" si="176"/>
        <v>0</v>
      </c>
      <c r="AU390">
        <f t="shared" si="177"/>
        <v>0</v>
      </c>
      <c r="AV390">
        <f t="shared" si="178"/>
        <v>0</v>
      </c>
      <c r="AW390">
        <f t="shared" si="179"/>
        <v>0</v>
      </c>
      <c r="AX390">
        <f t="shared" si="180"/>
        <v>0</v>
      </c>
      <c r="AY390">
        <f t="shared" si="181"/>
        <v>0</v>
      </c>
      <c r="AZ390">
        <f t="shared" si="182"/>
        <v>0</v>
      </c>
      <c r="BA390">
        <f t="shared" si="183"/>
        <v>0</v>
      </c>
      <c r="BB390">
        <f t="shared" si="184"/>
        <v>0</v>
      </c>
      <c r="BC390">
        <f t="shared" si="185"/>
        <v>0</v>
      </c>
      <c r="BD390">
        <f t="shared" si="186"/>
        <v>0</v>
      </c>
      <c r="BE390">
        <f t="shared" si="187"/>
        <v>0</v>
      </c>
      <c r="BF390">
        <f t="shared" si="188"/>
        <v>0</v>
      </c>
      <c r="BG390">
        <f t="shared" si="189"/>
        <v>0</v>
      </c>
      <c r="BH390">
        <f t="shared" si="190"/>
        <v>0</v>
      </c>
      <c r="BI390">
        <f>COUNTIF(M385:M390,"NS")</f>
        <v>0</v>
      </c>
      <c r="BJ390">
        <f>SUM(M385:M390)</f>
        <v>0</v>
      </c>
      <c r="BK390">
        <f>IF(COUNTA(M384:M390)=0,0,IF(OR(AND(M384=0,BI390&gt;0),AND(M384="ns",BJ390&gt;0),AND(M384="ns",BI390=0,BJ390=0)),1,IF(OR(AND(BI390&gt;=2,M384&gt;BJ390),AND(M384="ns",BJ390=0,BI390&gt;0),M384=BJ390),0,1)))</f>
        <v>0</v>
      </c>
      <c r="BL390">
        <f>COUNTIF(M396:M400,"NS")</f>
        <v>0</v>
      </c>
      <c r="BM390">
        <f>SUM(M396:M400)</f>
        <v>0</v>
      </c>
      <c r="BN390">
        <f>IF(COUNTA(M395:M400)=0,0,IF(OR(AND(M395=0,BL390&gt;0),AND(M395="ns",BM390&gt;0),AND(M395="ns",BL390=0,BM390=0)),1,IF(OR(AND(BL390&gt;=2,M395&gt;BM390),AND(M395="ns",BM390=0,BL390&gt;0),M395=BM390),0,1)))</f>
        <v>0</v>
      </c>
      <c r="BO390">
        <f>COUNTIF(M405:M422,"NS")</f>
        <v>0</v>
      </c>
      <c r="BP390">
        <f>SUM(M405:M422)</f>
        <v>0</v>
      </c>
      <c r="BQ390">
        <f>IF(COUNTA(M404:M422)=0,0,IF(OR(AND(M404=0,BO390&gt;0),AND(M404="ns",BP390&gt;0),AND(M404="ns",BO390=0,BP390=0)),1,IF(OR(AND(BO390&gt;=2,M404&gt;BP390),AND(M404="ns",BP390=0,BO390&gt;0),M404=BP390),0,1)))</f>
        <v>0</v>
      </c>
      <c r="BR390">
        <f>COUNTIF(M424:M428,"NS")</f>
        <v>0</v>
      </c>
      <c r="BS390">
        <f>SUM(M424:M428)</f>
        <v>0</v>
      </c>
      <c r="BT390">
        <f>IF(COUNTA(M423:M428)=0,0,IF(OR(AND(M423=0,BR390&gt;0),AND(M423="ns",BS390&gt;0),AND(M423="ns",BR390=0,BS390=0)),1,IF(OR(AND(BR390&gt;=2,M423&gt;BS390),AND(M423="ns",BS390=0,BR390&gt;0),M423=BS390),0,1)))</f>
        <v>0</v>
      </c>
      <c r="BU390">
        <f>COUNTIF(M432:M434,"NS")</f>
        <v>0</v>
      </c>
      <c r="BV390">
        <f>SUM(M432:M434)</f>
        <v>0</v>
      </c>
      <c r="BW390">
        <f>IF(COUNTA(M431:M434)=0,0,IF(OR(AND(M431=0,BU390&gt;0),AND(M431="ns",BV390&gt;0),AND(M431="ns",BU390=0,BV390=0)),1,IF(OR(AND(BU390&gt;=2,M431&gt;BV390),AND(M431="ns",BV390=0,BU390&gt;0),M431=BV390),0,1)))</f>
        <v>0</v>
      </c>
      <c r="BX390">
        <f>COUNTIF(M442:M448,"NS")</f>
        <v>0</v>
      </c>
      <c r="BY390">
        <f>SUM(M442:M448)</f>
        <v>0</v>
      </c>
      <c r="BZ390">
        <f>IF(COUNTA(M441:M448)=0,0,IF(OR(AND(M441=0,BX390&gt;0),AND(M441="ns",BY390&gt;0),AND(M441="ns",BX390=0,BY390=0)),1,IF(OR(AND(BX390&gt;=2,M441&gt;BY390),AND(M441="ns",BY390=0,BX390&gt;0),M441=BY390),0,1)))</f>
        <v>0</v>
      </c>
      <c r="CA390">
        <f>COUNTIF(M450:M454,"NS")</f>
        <v>0</v>
      </c>
      <c r="CB390">
        <f>SUM(M450:M454)</f>
        <v>0</v>
      </c>
      <c r="CC390">
        <f>IF(COUNTA(M449:M454)=0,0,IF(OR(AND(M449=0,CA390&gt;0),AND(M449="ns",CB390&gt;0),AND(M449="ns",CA390=0,CB390=0)),1,IF(OR(AND(CA390&gt;=2,M449&gt;CB390),AND(M449="ns",CB390=0,CA390&gt;0),M449=CB390),0,1)))</f>
        <v>0</v>
      </c>
      <c r="CD390">
        <f>COUNTIF(M460:M465,"NS")</f>
        <v>0</v>
      </c>
      <c r="CE390">
        <f>SUM(M460:M465)</f>
        <v>0</v>
      </c>
      <c r="CF390">
        <f>IF(COUNTA(M459:M465)=0,0,IF(OR(AND(M459=0,CD390&gt;0),AND(M459="ns",CE390&gt;0),AND(M459="ns",CD390=0,CE390=0)),1,IF(OR(AND(CD390&gt;=2,M459&gt;CE390),AND(M459="ns",CE390=0,CD390&gt;0),M459=CE390),0,1)))</f>
        <v>0</v>
      </c>
      <c r="CG390">
        <f>COUNTIF(M467:M474,"NS")</f>
        <v>0</v>
      </c>
      <c r="CH390">
        <f>SUM(M467:M474)</f>
        <v>0</v>
      </c>
      <c r="CI390">
        <f>IF(COUNTA(M466:M474)=0,0,IF(OR(AND(M466=0,CG390&gt;0),AND(M466="ns",CH390&gt;0),AND(M466="ns",CG390=0,CH390=0)),1,IF(OR(AND(CG390&gt;=2,M466&gt;CH390),AND(M466="ns",CH390=0,CG390&gt;0),M466=CH390),0,1)))</f>
        <v>0</v>
      </c>
      <c r="CJ390">
        <f>COUNTIF(M479:M484,"NS")</f>
        <v>0</v>
      </c>
      <c r="CK390">
        <f>SUM(M479:M484)</f>
        <v>0</v>
      </c>
      <c r="CL390">
        <f>IF(COUNTA(M478:M484)=0,0,IF(OR(AND(M478=0,CJ390&gt;0),AND(M478="ns",CK390&gt;0),AND(M478="ns",CJ390=0,CK390=0)),1,IF(OR(AND(CJ390&gt;=2,M478&gt;CK390),AND(M478="ns",CK390=0,CJ390&gt;0),M478=CK390),0,1)))</f>
        <v>0</v>
      </c>
      <c r="CM390">
        <f>COUNTIF(M489:M497,"NS")</f>
        <v>0</v>
      </c>
      <c r="CN390">
        <f>SUM(M489:M497)</f>
        <v>0</v>
      </c>
      <c r="CO390">
        <f>IF(COUNTA(M488:M497)=0,0,IF(OR(AND(M488=0,CM390&gt;0),AND(M488="ns",CN390&gt;0),AND(M488="ns",CM390=0,CN390=0)),1,IF(OR(AND(CM390&gt;=2,M488&gt;CN390),AND(M488="ns",CN390=0,CM390&gt;0),M488=CN390),0,1)))</f>
        <v>0</v>
      </c>
      <c r="CP390">
        <f>COUNTIF(M499:M501,"NS")</f>
        <v>0</v>
      </c>
      <c r="CQ390">
        <f>SUM(M499:M501)</f>
        <v>0</v>
      </c>
      <c r="CR390">
        <f>IF(COUNTA(M498:M501)=0,0,IF(OR(AND(M498=0,CP390&gt;0),AND(M498="ns",CQ390&gt;0),AND(M498="ns",CP390=0,CQ390=0)),1,IF(OR(AND(CP390&gt;=2,M498&gt;CQ390),AND(M498="ns",CQ390=0,CP390&gt;0),M498=CQ390),0,1)))</f>
        <v>0</v>
      </c>
      <c r="CS390">
        <f>COUNTIF(M510:M516,"NS")</f>
        <v>0</v>
      </c>
      <c r="CT390">
        <f>SUM(M510:M516)</f>
        <v>0</v>
      </c>
      <c r="CU390">
        <f>IF(COUNTA(M509:M516)=0,0,IF(OR(AND(M509=0,CS390&gt;0),AND(M509="ns",CT390&gt;0),AND(M509="ns",CS390=0,CT390=0)),1,IF(OR(AND(CS390&gt;=2,M509&gt;CT390),AND(M509="ns",CT390=0,CS390&gt;0),M509=CT390),0,1)))</f>
        <v>0</v>
      </c>
      <c r="CV390">
        <f>COUNTIF(M519:M521,"NS")</f>
        <v>0</v>
      </c>
      <c r="CW390">
        <f>SUM(M519:M521)</f>
        <v>0</v>
      </c>
      <c r="CX390">
        <f>IF(COUNTA(M518:M521)=0,0,IF(OR(AND(M518=0,CV390&gt;0),AND(M518="ns",CW390&gt;0),AND(M518="ns",CV390=0,CW390=0)),1,IF(OR(AND(CV390&gt;=2,M518&gt;CW390),AND(M518="ns",CW390=0,CV390&gt;0),M518=CW390),0,1)))</f>
        <v>0</v>
      </c>
      <c r="CY390">
        <f>COUNTIF(M531:M535,"NS")</f>
        <v>0</v>
      </c>
      <c r="CZ390">
        <f>SUM(M531:M535)</f>
        <v>0</v>
      </c>
      <c r="DA390">
        <f>IF(COUNTA(M530:M535)=0,0,IF(OR(AND(M530=0,CY390&gt;0),AND(M530="ns",CZ390&gt;0),AND(M530="ns",CY390=0,CZ390=0)),1,IF(OR(AND(CY390&gt;=2,M530&gt;CZ390),AND(M530="ns",CZ390=0,CY390&gt;0),M530=CZ390),0,1)))</f>
        <v>0</v>
      </c>
    </row>
    <row r="391" spans="1:105" ht="15" customHeight="1">
      <c r="A391" s="206"/>
      <c r="B391" s="206"/>
      <c r="C391" s="1117" t="s">
        <v>4824</v>
      </c>
      <c r="D391" s="1136"/>
      <c r="E391" s="1136"/>
      <c r="F391" s="1118"/>
      <c r="G391" s="100"/>
      <c r="H391" s="100"/>
      <c r="I391" s="100"/>
      <c r="J391" s="100"/>
      <c r="K391" s="100"/>
      <c r="L391" s="100"/>
      <c r="M391" s="100"/>
      <c r="N391" s="100"/>
      <c r="O391" s="100"/>
      <c r="P391" s="100"/>
      <c r="Q391" s="100"/>
      <c r="R391" s="100"/>
      <c r="S391" s="100"/>
      <c r="T391" s="100"/>
      <c r="U391" s="100"/>
      <c r="V391" s="100"/>
      <c r="W391" s="100"/>
      <c r="X391" s="100"/>
      <c r="Y391" s="100"/>
      <c r="Z391" s="100"/>
      <c r="AA391" s="100"/>
      <c r="AB391" s="100"/>
      <c r="AC391" s="100"/>
      <c r="AD391" s="100"/>
      <c r="AF391"/>
      <c r="AG391"/>
      <c r="AH391"/>
      <c r="AI391"/>
      <c r="AJ391"/>
      <c r="AK391">
        <f t="shared" si="168"/>
        <v>0</v>
      </c>
      <c r="AL391">
        <f t="shared" si="169"/>
        <v>0</v>
      </c>
      <c r="AM391">
        <f t="shared" si="191"/>
        <v>0</v>
      </c>
      <c r="AN391">
        <f t="shared" si="170"/>
        <v>0</v>
      </c>
      <c r="AO391">
        <f t="shared" si="171"/>
        <v>0</v>
      </c>
      <c r="AP391">
        <f t="shared" si="172"/>
        <v>0</v>
      </c>
      <c r="AQ391">
        <f t="shared" si="173"/>
        <v>0</v>
      </c>
      <c r="AR391">
        <f t="shared" si="174"/>
        <v>0</v>
      </c>
      <c r="AS391">
        <f t="shared" si="175"/>
        <v>0</v>
      </c>
      <c r="AT391">
        <f t="shared" si="176"/>
        <v>0</v>
      </c>
      <c r="AU391">
        <f t="shared" si="177"/>
        <v>0</v>
      </c>
      <c r="AV391">
        <f t="shared" si="178"/>
        <v>0</v>
      </c>
      <c r="AW391">
        <f t="shared" si="179"/>
        <v>0</v>
      </c>
      <c r="AX391">
        <f t="shared" si="180"/>
        <v>0</v>
      </c>
      <c r="AY391">
        <f t="shared" si="181"/>
        <v>0</v>
      </c>
      <c r="AZ391">
        <f t="shared" si="182"/>
        <v>0</v>
      </c>
      <c r="BA391">
        <f t="shared" si="183"/>
        <v>0</v>
      </c>
      <c r="BB391">
        <f t="shared" si="184"/>
        <v>0</v>
      </c>
      <c r="BC391">
        <f t="shared" si="185"/>
        <v>0</v>
      </c>
      <c r="BD391">
        <f t="shared" si="186"/>
        <v>0</v>
      </c>
      <c r="BE391">
        <f t="shared" si="187"/>
        <v>0</v>
      </c>
      <c r="BF391">
        <f t="shared" si="188"/>
        <v>0</v>
      </c>
      <c r="BG391">
        <f t="shared" si="189"/>
        <v>0</v>
      </c>
      <c r="BH391">
        <f t="shared" si="190"/>
        <v>0</v>
      </c>
      <c r="BI391">
        <f>COUNTIF(N385:N390,"NS")</f>
        <v>0</v>
      </c>
      <c r="BJ391">
        <f>SUM(N385:N390)</f>
        <v>0</v>
      </c>
      <c r="BK391">
        <f>IF(COUNTA(N384:N390)=0,0,IF(OR(AND(N384=0,BI391&gt;0),AND(N384="ns",BJ391&gt;0),AND(N384="ns",BI391=0,BJ391=0)),1,IF(OR(AND(BI391&gt;=2,N384&gt;BJ391),AND(N384="ns",BJ391=0,BI391&gt;0),N384=BJ391),0,1)))</f>
        <v>0</v>
      </c>
      <c r="BL391">
        <f>COUNTIF(N396:N400,"NS")</f>
        <v>0</v>
      </c>
      <c r="BM391">
        <f>SUM(N396:N400)</f>
        <v>0</v>
      </c>
      <c r="BN391">
        <f>IF(COUNTA(N395:N400)=0,0,IF(OR(AND(N395=0,BL391&gt;0),AND(N395="ns",BM391&gt;0),AND(N395="ns",BL391=0,BM391=0)),1,IF(OR(AND(BL391&gt;=2,N395&gt;BM391),AND(N395="ns",BM391=0,BL391&gt;0),N395=BM391),0,1)))</f>
        <v>0</v>
      </c>
      <c r="BO391">
        <f>COUNTIF(N405:N422,"NS")</f>
        <v>0</v>
      </c>
      <c r="BP391">
        <f>SUM(N405:N422)</f>
        <v>0</v>
      </c>
      <c r="BQ391">
        <f>IF(COUNTA(N404:N422)=0,0,IF(OR(AND(N404=0,BO391&gt;0),AND(N404="ns",BP391&gt;0),AND(N404="ns",BO391=0,BP391=0)),1,IF(OR(AND(BO391&gt;=2,N404&gt;BP391),AND(N404="ns",BP391=0,BO391&gt;0),N404=BP391),0,1)))</f>
        <v>0</v>
      </c>
      <c r="BR391">
        <f>COUNTIF(N424:N428,"NS")</f>
        <v>0</v>
      </c>
      <c r="BS391">
        <f>SUM(N424:N428)</f>
        <v>0</v>
      </c>
      <c r="BT391">
        <f>IF(COUNTA(N423:N428)=0,0,IF(OR(AND(N423=0,BR391&gt;0),AND(N423="ns",BS391&gt;0),AND(N423="ns",BR391=0,BS391=0)),1,IF(OR(AND(BR391&gt;=2,N423&gt;BS391),AND(N423="ns",BS391=0,BR391&gt;0),N423=BS391),0,1)))</f>
        <v>0</v>
      </c>
      <c r="BU391">
        <f>COUNTIF(N432:N434,"NS")</f>
        <v>0</v>
      </c>
      <c r="BV391">
        <f>SUM(N432:N434)</f>
        <v>0</v>
      </c>
      <c r="BW391">
        <f>IF(COUNTA(N431:N434)=0,0,IF(OR(AND(N431=0,BU391&gt;0),AND(N431="ns",BV391&gt;0),AND(N431="ns",BU391=0,BV391=0)),1,IF(OR(AND(BU391&gt;=2,N431&gt;BV391),AND(N431="ns",BV391=0,BU391&gt;0),N431=BV391),0,1)))</f>
        <v>0</v>
      </c>
      <c r="BX391">
        <f>COUNTIF(N442:N448,"NS")</f>
        <v>0</v>
      </c>
      <c r="BY391">
        <f>SUM(N442:N448)</f>
        <v>0</v>
      </c>
      <c r="BZ391">
        <f>IF(COUNTA(N441:N448)=0,0,IF(OR(AND(N441=0,BX391&gt;0),AND(N441="ns",BY391&gt;0),AND(N441="ns",BX391=0,BY391=0)),1,IF(OR(AND(BX391&gt;=2,N441&gt;BY391),AND(N441="ns",BY391=0,BX391&gt;0),N441=BY391),0,1)))</f>
        <v>0</v>
      </c>
      <c r="CA391">
        <f>COUNTIF(N450:N454,"NS")</f>
        <v>0</v>
      </c>
      <c r="CB391">
        <f>SUM(N450:N454)</f>
        <v>0</v>
      </c>
      <c r="CC391">
        <f>IF(COUNTA(N449:N454)=0,0,IF(OR(AND(N449=0,CA391&gt;0),AND(N449="ns",CB391&gt;0),AND(N449="ns",CA391=0,CB391=0)),1,IF(OR(AND(CA391&gt;=2,N449&gt;CB391),AND(N449="ns",CB391=0,CA391&gt;0),N449=CB391),0,1)))</f>
        <v>0</v>
      </c>
      <c r="CD391">
        <f>COUNTIF(N460:N465,"NS")</f>
        <v>0</v>
      </c>
      <c r="CE391">
        <f>SUM(N460:N465)</f>
        <v>0</v>
      </c>
      <c r="CF391">
        <f>IF(COUNTA(N459:N465)=0,0,IF(OR(AND(N459=0,CD391&gt;0),AND(N459="ns",CE391&gt;0),AND(N459="ns",CD391=0,CE391=0)),1,IF(OR(AND(CD391&gt;=2,N459&gt;CE391),AND(N459="ns",CE391=0,CD391&gt;0),N459=CE391),0,1)))</f>
        <v>0</v>
      </c>
      <c r="CG391">
        <f>COUNTIF(N467:N474,"NS")</f>
        <v>0</v>
      </c>
      <c r="CH391">
        <f>SUM(N467:N474)</f>
        <v>0</v>
      </c>
      <c r="CI391">
        <f>IF(COUNTA(N466:N474)=0,0,IF(OR(AND(N466=0,CG391&gt;0),AND(N466="ns",CH391&gt;0),AND(N466="ns",CG391=0,CH391=0)),1,IF(OR(AND(CG391&gt;=2,N466&gt;CH391),AND(N466="ns",CH391=0,CG391&gt;0),N466=CH391),0,1)))</f>
        <v>0</v>
      </c>
      <c r="CJ391">
        <f>COUNTIF(N479:N484,"NS")</f>
        <v>0</v>
      </c>
      <c r="CK391">
        <f>SUM(N479:N484)</f>
        <v>0</v>
      </c>
      <c r="CL391">
        <f>IF(COUNTA(N478:N484)=0,0,IF(OR(AND(N478=0,CJ391&gt;0),AND(N478="ns",CK391&gt;0),AND(N478="ns",CJ391=0,CK391=0)),1,IF(OR(AND(CJ391&gt;=2,N478&gt;CK391),AND(N478="ns",CK391=0,CJ391&gt;0),N478=CK391),0,1)))</f>
        <v>0</v>
      </c>
      <c r="CM391">
        <f>COUNTIF(N489:N497,"NS")</f>
        <v>0</v>
      </c>
      <c r="CN391">
        <f>SUM(N489:N497)</f>
        <v>0</v>
      </c>
      <c r="CO391">
        <f>IF(COUNTA(N488:N497)=0,0,IF(OR(AND(N488=0,CM391&gt;0),AND(N488="ns",CN391&gt;0),AND(N488="ns",CM391=0,CN391=0)),1,IF(OR(AND(CM391&gt;=2,N488&gt;CN391),AND(N488="ns",CN391=0,CM391&gt;0),N488=CN391),0,1)))</f>
        <v>0</v>
      </c>
      <c r="CP391">
        <f>COUNTIF(N499:N501,"NS")</f>
        <v>0</v>
      </c>
      <c r="CQ391">
        <f>SUM(N499:N501)</f>
        <v>0</v>
      </c>
      <c r="CR391">
        <f>IF(COUNTA(N498:N501)=0,0,IF(OR(AND(N498=0,CP391&gt;0),AND(N498="ns",CQ391&gt;0),AND(N498="ns",CP391=0,CQ391=0)),1,IF(OR(AND(CP391&gt;=2,N498&gt;CQ391),AND(N498="ns",CQ391=0,CP391&gt;0),N498=CQ391),0,1)))</f>
        <v>0</v>
      </c>
      <c r="CS391">
        <f>COUNTIF(N510:N516,"NS")</f>
        <v>0</v>
      </c>
      <c r="CT391">
        <f>SUM(N510:N516)</f>
        <v>0</v>
      </c>
      <c r="CU391">
        <f>IF(COUNTA(N509:N516)=0,0,IF(OR(AND(N509=0,CS391&gt;0),AND(N509="ns",CT391&gt;0),AND(N509="ns",CS391=0,CT391=0)),1,IF(OR(AND(CS391&gt;=2,N509&gt;CT391),AND(N509="ns",CT391=0,CS391&gt;0),N509=CT391),0,1)))</f>
        <v>0</v>
      </c>
      <c r="CV391">
        <f>COUNTIF(N519:N521,"NS")</f>
        <v>0</v>
      </c>
      <c r="CW391">
        <f>SUM(N519:N521)</f>
        <v>0</v>
      </c>
      <c r="CX391">
        <f>IF(COUNTA(N518:N521)=0,0,IF(OR(AND(N518=0,CV391&gt;0),AND(N518="ns",CW391&gt;0),AND(N518="ns",CV391=0,CW391=0)),1,IF(OR(AND(CV391&gt;=2,N518&gt;CW391),AND(N518="ns",CW391=0,CV391&gt;0),N518=CW391),0,1)))</f>
        <v>0</v>
      </c>
      <c r="CY391">
        <f>COUNTIF(N531:N535,"NS")</f>
        <v>0</v>
      </c>
      <c r="CZ391">
        <f>SUM(N531:N535)</f>
        <v>0</v>
      </c>
      <c r="DA391">
        <f>IF(COUNTA(N530:N535)=0,0,IF(OR(AND(N530=0,CY391&gt;0),AND(N530="ns",CZ391&gt;0),AND(N530="ns",CY391=0,CZ391=0)),1,IF(OR(AND(CY391&gt;=2,N530&gt;CZ391),AND(N530="ns",CZ391=0,CY391&gt;0),N530=CZ391),0,1)))</f>
        <v>0</v>
      </c>
    </row>
    <row r="392" spans="1:105" ht="15" customHeight="1">
      <c r="A392" s="206"/>
      <c r="B392" s="206"/>
      <c r="C392" s="1117" t="s">
        <v>4828</v>
      </c>
      <c r="D392" s="1136"/>
      <c r="E392" s="1136"/>
      <c r="F392" s="1118"/>
      <c r="G392" s="100"/>
      <c r="H392" s="100"/>
      <c r="I392" s="100"/>
      <c r="J392" s="100"/>
      <c r="K392" s="100"/>
      <c r="L392" s="100"/>
      <c r="M392" s="100"/>
      <c r="N392" s="100"/>
      <c r="O392" s="100"/>
      <c r="P392" s="100"/>
      <c r="Q392" s="100"/>
      <c r="R392" s="100"/>
      <c r="S392" s="100"/>
      <c r="T392" s="100"/>
      <c r="U392" s="100"/>
      <c r="V392" s="100"/>
      <c r="W392" s="100"/>
      <c r="X392" s="100"/>
      <c r="Y392" s="100"/>
      <c r="Z392" s="100"/>
      <c r="AA392" s="100"/>
      <c r="AB392" s="100"/>
      <c r="AC392" s="100"/>
      <c r="AD392" s="100"/>
      <c r="AF392"/>
      <c r="AG392"/>
      <c r="AH392"/>
      <c r="AI392"/>
      <c r="AJ392"/>
      <c r="AK392">
        <f t="shared" si="168"/>
        <v>0</v>
      </c>
      <c r="AL392">
        <f t="shared" si="169"/>
        <v>0</v>
      </c>
      <c r="AM392">
        <f t="shared" si="191"/>
        <v>0</v>
      </c>
      <c r="AN392">
        <f t="shared" si="170"/>
        <v>0</v>
      </c>
      <c r="AO392">
        <f t="shared" si="171"/>
        <v>0</v>
      </c>
      <c r="AP392">
        <f t="shared" si="172"/>
        <v>0</v>
      </c>
      <c r="AQ392">
        <f t="shared" si="173"/>
        <v>0</v>
      </c>
      <c r="AR392">
        <f t="shared" si="174"/>
        <v>0</v>
      </c>
      <c r="AS392">
        <f t="shared" si="175"/>
        <v>0</v>
      </c>
      <c r="AT392">
        <f t="shared" si="176"/>
        <v>0</v>
      </c>
      <c r="AU392">
        <f t="shared" si="177"/>
        <v>0</v>
      </c>
      <c r="AV392">
        <f t="shared" si="178"/>
        <v>0</v>
      </c>
      <c r="AW392">
        <f t="shared" si="179"/>
        <v>0</v>
      </c>
      <c r="AX392">
        <f t="shared" si="180"/>
        <v>0</v>
      </c>
      <c r="AY392">
        <f t="shared" si="181"/>
        <v>0</v>
      </c>
      <c r="AZ392">
        <f t="shared" si="182"/>
        <v>0</v>
      </c>
      <c r="BA392">
        <f t="shared" si="183"/>
        <v>0</v>
      </c>
      <c r="BB392">
        <f t="shared" si="184"/>
        <v>0</v>
      </c>
      <c r="BC392">
        <f t="shared" si="185"/>
        <v>0</v>
      </c>
      <c r="BD392">
        <f t="shared" si="186"/>
        <v>0</v>
      </c>
      <c r="BE392">
        <f t="shared" si="187"/>
        <v>0</v>
      </c>
      <c r="BF392">
        <f t="shared" si="188"/>
        <v>0</v>
      </c>
      <c r="BG392">
        <f t="shared" si="189"/>
        <v>0</v>
      </c>
      <c r="BH392">
        <f t="shared" si="190"/>
        <v>0</v>
      </c>
      <c r="BI392">
        <f>COUNTIF(O385:O390,"NS")</f>
        <v>0</v>
      </c>
      <c r="BJ392">
        <f>SUM(O385:O390)</f>
        <v>0</v>
      </c>
      <c r="BK392">
        <f>IF(COUNTA(O384:O390)=0,0,IF(OR(AND(O384=0,BI392&gt;0),AND(O384="ns",BJ392&gt;0),AND(O384="ns",BI392=0,BJ392=0)),1,IF(OR(AND(BI392&gt;=2,O384&gt;BJ392),AND(O384="ns",BJ392=0,BI392&gt;0),O384=BJ392),0,1)))</f>
        <v>0</v>
      </c>
      <c r="BL392">
        <f>COUNTIF(O396:O400,"NS")</f>
        <v>0</v>
      </c>
      <c r="BM392">
        <f>SUM(O396:O400)</f>
        <v>0</v>
      </c>
      <c r="BN392">
        <f>IF(COUNTA(O395:O400)=0,0,IF(OR(AND(O395=0,BL392&gt;0),AND(O395="ns",BM392&gt;0),AND(O395="ns",BL392=0,BM392=0)),1,IF(OR(AND(BL392&gt;=2,O395&gt;BM392),AND(O395="ns",BM392=0,BL392&gt;0),O395=BM392),0,1)))</f>
        <v>0</v>
      </c>
      <c r="BO392">
        <f>COUNTIF(O405:O422,"NS")</f>
        <v>0</v>
      </c>
      <c r="BP392">
        <f>SUM(O405:O422)</f>
        <v>0</v>
      </c>
      <c r="BQ392">
        <f>IF(COUNTA(O404:O422)=0,0,IF(OR(AND(O404=0,BO392&gt;0),AND(O404="ns",BP392&gt;0),AND(O404="ns",BO392=0,BP392=0)),1,IF(OR(AND(BO392&gt;=2,O404&gt;BP392),AND(O404="ns",BP392=0,BO392&gt;0),O404=BP392),0,1)))</f>
        <v>0</v>
      </c>
      <c r="BR392">
        <f>COUNTIF(O424:O428,"NS")</f>
        <v>0</v>
      </c>
      <c r="BS392">
        <f>SUM(O424:O428)</f>
        <v>0</v>
      </c>
      <c r="BT392">
        <f>IF(COUNTA(O423:O428)=0,0,IF(OR(AND(O423=0,BR392&gt;0),AND(O423="ns",BS392&gt;0),AND(O423="ns",BR392=0,BS392=0)),1,IF(OR(AND(BR392&gt;=2,O423&gt;BS392),AND(O423="ns",BS392=0,BR392&gt;0),O423=BS392),0,1)))</f>
        <v>0</v>
      </c>
      <c r="BU392">
        <f>COUNTIF(O432:O434,"NS")</f>
        <v>0</v>
      </c>
      <c r="BV392">
        <f>SUM(O432:O434)</f>
        <v>0</v>
      </c>
      <c r="BW392">
        <f>IF(COUNTA(O431:O434)=0,0,IF(OR(AND(O431=0,BU392&gt;0),AND(O431="ns",BV392&gt;0),AND(O431="ns",BU392=0,BV392=0)),1,IF(OR(AND(BU392&gt;=2,O431&gt;BV392),AND(O431="ns",BV392=0,BU392&gt;0),O431=BV392),0,1)))</f>
        <v>0</v>
      </c>
      <c r="BX392">
        <f>COUNTIF(O442:O448,"NS")</f>
        <v>0</v>
      </c>
      <c r="BY392">
        <f>SUM(O442:O448)</f>
        <v>0</v>
      </c>
      <c r="BZ392">
        <f>IF(COUNTA(O441:O448)=0,0,IF(OR(AND(O441=0,BX392&gt;0),AND(O441="ns",BY392&gt;0),AND(O441="ns",BX392=0,BY392=0)),1,IF(OR(AND(BX392&gt;=2,O441&gt;BY392),AND(O441="ns",BY392=0,BX392&gt;0),O441=BY392),0,1)))</f>
        <v>0</v>
      </c>
      <c r="CA392">
        <f>COUNTIF(O450:O454,"NS")</f>
        <v>0</v>
      </c>
      <c r="CB392">
        <f>SUM(O450:O454)</f>
        <v>0</v>
      </c>
      <c r="CC392">
        <f>IF(COUNTA(O449:O454)=0,0,IF(OR(AND(O449=0,CA392&gt;0),AND(O449="ns",CB392&gt;0),AND(O449="ns",CA392=0,CB392=0)),1,IF(OR(AND(CA392&gt;=2,O449&gt;CB392),AND(O449="ns",CB392=0,CA392&gt;0),O449=CB392),0,1)))</f>
        <v>0</v>
      </c>
      <c r="CD392">
        <f>COUNTIF(O460:O465,"NS")</f>
        <v>0</v>
      </c>
      <c r="CE392">
        <f>SUM(O460:O465)</f>
        <v>0</v>
      </c>
      <c r="CF392">
        <f>IF(COUNTA(O459:O465)=0,0,IF(OR(AND(O459=0,CD392&gt;0),AND(O459="ns",CE392&gt;0),AND(O459="ns",CD392=0,CE392=0)),1,IF(OR(AND(CD392&gt;=2,O459&gt;CE392),AND(O459="ns",CE392=0,CD392&gt;0),O459=CE392),0,1)))</f>
        <v>0</v>
      </c>
      <c r="CG392">
        <f>COUNTIF(O467:O474,"NS")</f>
        <v>0</v>
      </c>
      <c r="CH392">
        <f>SUM(O467:O474)</f>
        <v>0</v>
      </c>
      <c r="CI392">
        <f>IF(COUNTA(O466:O474)=0,0,IF(OR(AND(O466=0,CG392&gt;0),AND(O466="ns",CH392&gt;0),AND(O466="ns",CG392=0,CH392=0)),1,IF(OR(AND(CG392&gt;=2,O466&gt;CH392),AND(O466="ns",CH392=0,CG392&gt;0),O466=CH392),0,1)))</f>
        <v>0</v>
      </c>
      <c r="CJ392">
        <f>COUNTIF(O479:O484,"NS")</f>
        <v>0</v>
      </c>
      <c r="CK392">
        <f>SUM(O479:O484)</f>
        <v>0</v>
      </c>
      <c r="CL392">
        <f>IF(COUNTA(O478:O484)=0,0,IF(OR(AND(O478=0,CJ392&gt;0),AND(O478="ns",CK392&gt;0),AND(O478="ns",CJ392=0,CK392=0)),1,IF(OR(AND(CJ392&gt;=2,O478&gt;CK392),AND(O478="ns",CK392=0,CJ392&gt;0),O478=CK392),0,1)))</f>
        <v>0</v>
      </c>
      <c r="CM392">
        <f>COUNTIF(O489:O497,"NS")</f>
        <v>0</v>
      </c>
      <c r="CN392">
        <f>SUM(O489:O497)</f>
        <v>0</v>
      </c>
      <c r="CO392">
        <f>IF(COUNTA(O488:O497)=0,0,IF(OR(AND(O488=0,CM392&gt;0),AND(O488="ns",CN392&gt;0),AND(O488="ns",CM392=0,CN392=0)),1,IF(OR(AND(CM392&gt;=2,O488&gt;CN392),AND(O488="ns",CN392=0,CM392&gt;0),O488=CN392),0,1)))</f>
        <v>0</v>
      </c>
      <c r="CP392">
        <f>COUNTIF(O499:O501,"NS")</f>
        <v>0</v>
      </c>
      <c r="CQ392">
        <f>SUM(O499:O501)</f>
        <v>0</v>
      </c>
      <c r="CR392">
        <f>IF(COUNTA(O498:O501)=0,0,IF(OR(AND(O498=0,CP392&gt;0),AND(O498="ns",CQ392&gt;0),AND(O498="ns",CP392=0,CQ392=0)),1,IF(OR(AND(CP392&gt;=2,O498&gt;CQ392),AND(O498="ns",CQ392=0,CP392&gt;0),O498=CQ392),0,1)))</f>
        <v>0</v>
      </c>
      <c r="CS392">
        <f>COUNTIF(O510:O516,"NS")</f>
        <v>0</v>
      </c>
      <c r="CT392">
        <f>SUM(O510:O516)</f>
        <v>0</v>
      </c>
      <c r="CU392">
        <f>IF(COUNTA(O509:O516)=0,0,IF(OR(AND(O509=0,CS392&gt;0),AND(O509="ns",CT392&gt;0),AND(O509="ns",CS392=0,CT392=0)),1,IF(OR(AND(CS392&gt;=2,O509&gt;CT392),AND(O509="ns",CT392=0,CS392&gt;0),O509=CT392),0,1)))</f>
        <v>0</v>
      </c>
      <c r="CV392">
        <f>COUNTIF(O519:O521,"NS")</f>
        <v>0</v>
      </c>
      <c r="CW392">
        <f>SUM(O519:O521)</f>
        <v>0</v>
      </c>
      <c r="CX392">
        <f>IF(COUNTA(O518:O521)=0,0,IF(OR(AND(O518=0,CV392&gt;0),AND(O518="ns",CW392&gt;0),AND(O518="ns",CV392=0,CW392=0)),1,IF(OR(AND(CV392&gt;=2,O518&gt;CW392),AND(O518="ns",CW392=0,CV392&gt;0),O518=CW392),0,1)))</f>
        <v>0</v>
      </c>
      <c r="CY392">
        <f>COUNTIF(O531:O535,"NS")</f>
        <v>0</v>
      </c>
      <c r="CZ392">
        <f>SUM(O531:O535)</f>
        <v>0</v>
      </c>
      <c r="DA392">
        <f>IF(COUNTA(O530:O535)=0,0,IF(OR(AND(O530=0,CY392&gt;0),AND(O530="ns",CZ392&gt;0),AND(O530="ns",CY392=0,CZ392=0)),1,IF(OR(AND(CY392&gt;=2,O530&gt;CZ392),AND(O530="ns",CZ392=0,CY392&gt;0),O530=CZ392),0,1)))</f>
        <v>0</v>
      </c>
    </row>
    <row r="393" spans="1:105" ht="15" customHeight="1">
      <c r="A393" s="206"/>
      <c r="B393" s="206"/>
      <c r="C393" s="1117" t="s">
        <v>4830</v>
      </c>
      <c r="D393" s="1136"/>
      <c r="E393" s="1136"/>
      <c r="F393" s="1118"/>
      <c r="G393" s="100"/>
      <c r="H393" s="100"/>
      <c r="I393" s="100"/>
      <c r="J393" s="100"/>
      <c r="K393" s="100"/>
      <c r="L393" s="100"/>
      <c r="M393" s="100"/>
      <c r="N393" s="100"/>
      <c r="O393" s="100"/>
      <c r="P393" s="100"/>
      <c r="Q393" s="100"/>
      <c r="R393" s="100"/>
      <c r="S393" s="100"/>
      <c r="T393" s="100"/>
      <c r="U393" s="100"/>
      <c r="V393" s="100"/>
      <c r="W393" s="100"/>
      <c r="X393" s="100"/>
      <c r="Y393" s="100"/>
      <c r="Z393" s="100"/>
      <c r="AA393" s="100"/>
      <c r="AB393" s="100"/>
      <c r="AC393" s="100"/>
      <c r="AD393" s="100"/>
      <c r="AF393"/>
      <c r="AG393"/>
      <c r="AH393"/>
      <c r="AI393"/>
      <c r="AJ393"/>
      <c r="AK393">
        <f t="shared" si="168"/>
        <v>0</v>
      </c>
      <c r="AL393">
        <f t="shared" si="169"/>
        <v>0</v>
      </c>
      <c r="AM393">
        <f t="shared" si="191"/>
        <v>0</v>
      </c>
      <c r="AN393">
        <f t="shared" si="170"/>
        <v>0</v>
      </c>
      <c r="AO393">
        <f t="shared" si="171"/>
        <v>0</v>
      </c>
      <c r="AP393">
        <f t="shared" si="172"/>
        <v>0</v>
      </c>
      <c r="AQ393">
        <f t="shared" si="173"/>
        <v>0</v>
      </c>
      <c r="AR393">
        <f t="shared" si="174"/>
        <v>0</v>
      </c>
      <c r="AS393">
        <f t="shared" si="175"/>
        <v>0</v>
      </c>
      <c r="AT393">
        <f t="shared" si="176"/>
        <v>0</v>
      </c>
      <c r="AU393">
        <f t="shared" si="177"/>
        <v>0</v>
      </c>
      <c r="AV393">
        <f t="shared" si="178"/>
        <v>0</v>
      </c>
      <c r="AW393">
        <f t="shared" si="179"/>
        <v>0</v>
      </c>
      <c r="AX393">
        <f t="shared" si="180"/>
        <v>0</v>
      </c>
      <c r="AY393">
        <f t="shared" si="181"/>
        <v>0</v>
      </c>
      <c r="AZ393">
        <f t="shared" si="182"/>
        <v>0</v>
      </c>
      <c r="BA393">
        <f t="shared" si="183"/>
        <v>0</v>
      </c>
      <c r="BB393">
        <f t="shared" si="184"/>
        <v>0</v>
      </c>
      <c r="BC393">
        <f t="shared" si="185"/>
        <v>0</v>
      </c>
      <c r="BD393">
        <f t="shared" si="186"/>
        <v>0</v>
      </c>
      <c r="BE393">
        <f t="shared" si="187"/>
        <v>0</v>
      </c>
      <c r="BF393">
        <f t="shared" si="188"/>
        <v>0</v>
      </c>
      <c r="BG393">
        <f t="shared" si="189"/>
        <v>0</v>
      </c>
      <c r="BH393">
        <f t="shared" si="190"/>
        <v>0</v>
      </c>
      <c r="BI393">
        <f>COUNTIF(P385:P390,"NS")</f>
        <v>0</v>
      </c>
      <c r="BJ393">
        <f>SUM(P385:P390)</f>
        <v>0</v>
      </c>
      <c r="BK393">
        <f>IF(COUNTA(P384:P390)=0,0,IF(OR(AND(P384=0,BI393&gt;0),AND(P384="ns",BJ393&gt;0),AND(P384="ns",BI393=0,BJ393=0)),1,IF(OR(AND(BI393&gt;=2,P384&gt;BJ393),AND(P384="ns",BJ393=0,BI393&gt;0),P384=BJ393),0,1)))</f>
        <v>0</v>
      </c>
      <c r="BL393">
        <f>COUNTIF(P396:P400,"NS")</f>
        <v>0</v>
      </c>
      <c r="BM393">
        <f>SUM(P396:P400)</f>
        <v>0</v>
      </c>
      <c r="BN393">
        <f>IF(COUNTA(P395:P400)=0,0,IF(OR(AND(P395=0,BL393&gt;0),AND(P395="ns",BM393&gt;0),AND(P395="ns",BL393=0,BM393=0)),1,IF(OR(AND(BL393&gt;=2,P395&gt;BM393),AND(P395="ns",BM393=0,BL393&gt;0),P395=BM393),0,1)))</f>
        <v>0</v>
      </c>
      <c r="BO393">
        <f>COUNTIF(P405:P422,"NS")</f>
        <v>0</v>
      </c>
      <c r="BP393">
        <f>SUM(P405:P422)</f>
        <v>0</v>
      </c>
      <c r="BQ393">
        <f>IF(COUNTA(P404:P422)=0,0,IF(OR(AND(P404=0,BO393&gt;0),AND(P404="ns",BP393&gt;0),AND(P404="ns",BO393=0,BP393=0)),1,IF(OR(AND(BO393&gt;=2,P404&gt;BP393),AND(P404="ns",BP393=0,BO393&gt;0),P404=BP393),0,1)))</f>
        <v>0</v>
      </c>
      <c r="BR393">
        <f>COUNTIF(P424:P428,"NS")</f>
        <v>0</v>
      </c>
      <c r="BS393">
        <f>SUM(P424:P428)</f>
        <v>0</v>
      </c>
      <c r="BT393">
        <f>IF(COUNTA(P423:P428)=0,0,IF(OR(AND(P423=0,BR393&gt;0),AND(P423="ns",BS393&gt;0),AND(P423="ns",BR393=0,BS393=0)),1,IF(OR(AND(BR393&gt;=2,P423&gt;BS393),AND(P423="ns",BS393=0,BR393&gt;0),P423=BS393),0,1)))</f>
        <v>0</v>
      </c>
      <c r="BU393">
        <f>COUNTIF(P432:P434,"NS")</f>
        <v>0</v>
      </c>
      <c r="BV393">
        <f>SUM(P432:P434)</f>
        <v>0</v>
      </c>
      <c r="BW393">
        <f>IF(COUNTA(P431:P434)=0,0,IF(OR(AND(P431=0,BU393&gt;0),AND(P431="ns",BV393&gt;0),AND(P431="ns",BU393=0,BV393=0)),1,IF(OR(AND(BU393&gt;=2,P431&gt;BV393),AND(P431="ns",BV393=0,BU393&gt;0),P431=BV393),0,1)))</f>
        <v>0</v>
      </c>
      <c r="BX393">
        <f>COUNTIF(P442:P448,"NS")</f>
        <v>0</v>
      </c>
      <c r="BY393">
        <f>SUM(P442:P448)</f>
        <v>0</v>
      </c>
      <c r="BZ393">
        <f>IF(COUNTA(P441:P448)=0,0,IF(OR(AND(P441=0,BX393&gt;0),AND(P441="ns",BY393&gt;0),AND(P441="ns",BX393=0,BY393=0)),1,IF(OR(AND(BX393&gt;=2,P441&gt;BY393),AND(P441="ns",BY393=0,BX393&gt;0),P441=BY393),0,1)))</f>
        <v>0</v>
      </c>
      <c r="CA393">
        <f>COUNTIF(P450:P454,"NS")</f>
        <v>0</v>
      </c>
      <c r="CB393">
        <f>SUM(P450:P454)</f>
        <v>0</v>
      </c>
      <c r="CC393">
        <f>IF(COUNTA(P449:P454)=0,0,IF(OR(AND(P449=0,CA393&gt;0),AND(P449="ns",CB393&gt;0),AND(P449="ns",CA393=0,CB393=0)),1,IF(OR(AND(CA393&gt;=2,P449&gt;CB393),AND(P449="ns",CB393=0,CA393&gt;0),P449=CB393),0,1)))</f>
        <v>0</v>
      </c>
      <c r="CD393">
        <f>COUNTIF(P460:P465,"NS")</f>
        <v>0</v>
      </c>
      <c r="CE393">
        <f>SUM(P460:P465)</f>
        <v>0</v>
      </c>
      <c r="CF393">
        <f>IF(COUNTA(P459:P465)=0,0,IF(OR(AND(P459=0,CD393&gt;0),AND(P459="ns",CE393&gt;0),AND(P459="ns",CD393=0,CE393=0)),1,IF(OR(AND(CD393&gt;=2,P459&gt;CE393),AND(P459="ns",CE393=0,CD393&gt;0),P459=CE393),0,1)))</f>
        <v>0</v>
      </c>
      <c r="CG393">
        <f>COUNTIF(P467:P474,"NS")</f>
        <v>0</v>
      </c>
      <c r="CH393">
        <f>SUM(P467:P474)</f>
        <v>0</v>
      </c>
      <c r="CI393">
        <f>IF(COUNTA(P466:P474)=0,0,IF(OR(AND(P466=0,CG393&gt;0),AND(P466="ns",CH393&gt;0),AND(P466="ns",CG393=0,CH393=0)),1,IF(OR(AND(CG393&gt;=2,P466&gt;CH393),AND(P466="ns",CH393=0,CG393&gt;0),P466=CH393),0,1)))</f>
        <v>0</v>
      </c>
      <c r="CJ393">
        <f>COUNTIF(P479:P484,"NS")</f>
        <v>0</v>
      </c>
      <c r="CK393">
        <f>SUM(P479:P484)</f>
        <v>0</v>
      </c>
      <c r="CL393">
        <f>IF(COUNTA(P478:P484)=0,0,IF(OR(AND(P478=0,CJ393&gt;0),AND(P478="ns",CK393&gt;0),AND(P478="ns",CJ393=0,CK393=0)),1,IF(OR(AND(CJ393&gt;=2,P478&gt;CK393),AND(P478="ns",CK393=0,CJ393&gt;0),P478=CK393),0,1)))</f>
        <v>0</v>
      </c>
      <c r="CM393">
        <f>COUNTIF(P489:P497,"NS")</f>
        <v>0</v>
      </c>
      <c r="CN393">
        <f>SUM(P489:P497)</f>
        <v>0</v>
      </c>
      <c r="CO393">
        <f>IF(COUNTA(P488:P497)=0,0,IF(OR(AND(P488=0,CM393&gt;0),AND(P488="ns",CN393&gt;0),AND(P488="ns",CM393=0,CN393=0)),1,IF(OR(AND(CM393&gt;=2,P488&gt;CN393),AND(P488="ns",CN393=0,CM393&gt;0),P488=CN393),0,1)))</f>
        <v>0</v>
      </c>
      <c r="CP393">
        <f>COUNTIF(P499:P501,"NS")</f>
        <v>0</v>
      </c>
      <c r="CQ393">
        <f>SUM(P499:P501)</f>
        <v>0</v>
      </c>
      <c r="CR393">
        <f>IF(COUNTA(P498:P501)=0,0,IF(OR(AND(P498=0,CP393&gt;0),AND(P498="ns",CQ393&gt;0),AND(P498="ns",CP393=0,CQ393=0)),1,IF(OR(AND(CP393&gt;=2,P498&gt;CQ393),AND(P498="ns",CQ393=0,CP393&gt;0),P498=CQ393),0,1)))</f>
        <v>0</v>
      </c>
      <c r="CS393">
        <f>COUNTIF(P510:P516,"NS")</f>
        <v>0</v>
      </c>
      <c r="CT393">
        <f>SUM(P510:P516)</f>
        <v>0</v>
      </c>
      <c r="CU393">
        <f>IF(COUNTA(P509:P516)=0,0,IF(OR(AND(P509=0,CS393&gt;0),AND(P509="ns",CT393&gt;0),AND(P509="ns",CS393=0,CT393=0)),1,IF(OR(AND(CS393&gt;=2,P509&gt;CT393),AND(P509="ns",CT393=0,CS393&gt;0),P509=CT393),0,1)))</f>
        <v>0</v>
      </c>
      <c r="CV393">
        <f>COUNTIF(P519:P521,"NS")</f>
        <v>0</v>
      </c>
      <c r="CW393">
        <f>SUM(P519:P521)</f>
        <v>0</v>
      </c>
      <c r="CX393">
        <f>IF(COUNTA(P518:P521)=0,0,IF(OR(AND(P518=0,CV393&gt;0),AND(P518="ns",CW393&gt;0),AND(P518="ns",CV393=0,CW393=0)),1,IF(OR(AND(CV393&gt;=2,P518&gt;CW393),AND(P518="ns",CW393=0,CV393&gt;0),P518=CW393),0,1)))</f>
        <v>0</v>
      </c>
      <c r="CY393">
        <f>COUNTIF(P531:P535,"NS")</f>
        <v>0</v>
      </c>
      <c r="CZ393">
        <f>SUM(P531:P535)</f>
        <v>0</v>
      </c>
      <c r="DA393">
        <f>IF(COUNTA(P530:P535)=0,0,IF(OR(AND(P530=0,CY393&gt;0),AND(P530="ns",CZ393&gt;0),AND(P530="ns",CY393=0,CZ393=0)),1,IF(OR(AND(CY393&gt;=2,P530&gt;CZ393),AND(P530="ns",CZ393=0,CY393&gt;0),P530=CZ393),0,1)))</f>
        <v>0</v>
      </c>
    </row>
    <row r="394" spans="1:105" ht="15" customHeight="1">
      <c r="A394" s="206"/>
      <c r="B394" s="206"/>
      <c r="C394" s="1117" t="s">
        <v>4832</v>
      </c>
      <c r="D394" s="1136"/>
      <c r="E394" s="1136"/>
      <c r="F394" s="1118"/>
      <c r="G394" s="100"/>
      <c r="H394" s="100"/>
      <c r="I394" s="100"/>
      <c r="J394" s="100"/>
      <c r="K394" s="100"/>
      <c r="L394" s="100"/>
      <c r="M394" s="100"/>
      <c r="N394" s="100"/>
      <c r="O394" s="100"/>
      <c r="P394" s="100"/>
      <c r="Q394" s="100"/>
      <c r="R394" s="100"/>
      <c r="S394" s="100"/>
      <c r="T394" s="100"/>
      <c r="U394" s="100"/>
      <c r="V394" s="100"/>
      <c r="W394" s="100"/>
      <c r="X394" s="100"/>
      <c r="Y394" s="100"/>
      <c r="Z394" s="100"/>
      <c r="AA394" s="100"/>
      <c r="AB394" s="100"/>
      <c r="AC394" s="100"/>
      <c r="AD394" s="100"/>
      <c r="AF394"/>
      <c r="AG394"/>
      <c r="AH394"/>
      <c r="AI394"/>
      <c r="AJ394"/>
      <c r="AK394">
        <f t="shared" si="168"/>
        <v>0</v>
      </c>
      <c r="AL394">
        <f t="shared" si="169"/>
        <v>0</v>
      </c>
      <c r="AM394">
        <f t="shared" si="191"/>
        <v>0</v>
      </c>
      <c r="AN394">
        <f t="shared" si="170"/>
        <v>0</v>
      </c>
      <c r="AO394">
        <f t="shared" si="171"/>
        <v>0</v>
      </c>
      <c r="AP394">
        <f t="shared" si="172"/>
        <v>0</v>
      </c>
      <c r="AQ394">
        <f t="shared" si="173"/>
        <v>0</v>
      </c>
      <c r="AR394">
        <f t="shared" si="174"/>
        <v>0</v>
      </c>
      <c r="AS394">
        <f t="shared" si="175"/>
        <v>0</v>
      </c>
      <c r="AT394">
        <f t="shared" si="176"/>
        <v>0</v>
      </c>
      <c r="AU394">
        <f t="shared" si="177"/>
        <v>0</v>
      </c>
      <c r="AV394">
        <f t="shared" si="178"/>
        <v>0</v>
      </c>
      <c r="AW394">
        <f t="shared" si="179"/>
        <v>0</v>
      </c>
      <c r="AX394">
        <f t="shared" si="180"/>
        <v>0</v>
      </c>
      <c r="AY394">
        <f t="shared" si="181"/>
        <v>0</v>
      </c>
      <c r="AZ394">
        <f t="shared" si="182"/>
        <v>0</v>
      </c>
      <c r="BA394">
        <f t="shared" si="183"/>
        <v>0</v>
      </c>
      <c r="BB394">
        <f t="shared" si="184"/>
        <v>0</v>
      </c>
      <c r="BC394">
        <f t="shared" si="185"/>
        <v>0</v>
      </c>
      <c r="BD394">
        <f t="shared" si="186"/>
        <v>0</v>
      </c>
      <c r="BE394">
        <f t="shared" si="187"/>
        <v>0</v>
      </c>
      <c r="BF394">
        <f t="shared" si="188"/>
        <v>0</v>
      </c>
      <c r="BG394">
        <f t="shared" si="189"/>
        <v>0</v>
      </c>
      <c r="BH394">
        <f t="shared" si="190"/>
        <v>0</v>
      </c>
      <c r="BI394">
        <f>COUNTIF(Q385:Q390,"NS")</f>
        <v>0</v>
      </c>
      <c r="BJ394">
        <f>SUM(Q385:Q390)</f>
        <v>0</v>
      </c>
      <c r="BK394">
        <f>IF(COUNTA(Q384:Q390)=0,0,IF(OR(AND(Q384=0,BI394&gt;0),AND(Q384="ns",BJ394&gt;0),AND(Q384="ns",BI394=0,BJ394=0)),1,IF(OR(AND(BI394&gt;=2,Q384&gt;BJ394),AND(Q384="ns",BJ394=0,BI394&gt;0),Q384=BJ394),0,1)))</f>
        <v>0</v>
      </c>
      <c r="BL394">
        <f>COUNTIF(Q396:Q400,"NS")</f>
        <v>0</v>
      </c>
      <c r="BM394">
        <f>SUM(Q396:Q400)</f>
        <v>0</v>
      </c>
      <c r="BN394">
        <f>IF(COUNTA(Q395:Q400)=0,0,IF(OR(AND(Q395=0,BL394&gt;0),AND(Q395="ns",BM394&gt;0),AND(Q395="ns",BL394=0,BM394=0)),1,IF(OR(AND(BL394&gt;=2,Q395&gt;BM394),AND(Q395="ns",BM394=0,BL394&gt;0),Q395=BM394),0,1)))</f>
        <v>0</v>
      </c>
      <c r="BO394">
        <f>COUNTIF(Q405:Q422,"NS")</f>
        <v>0</v>
      </c>
      <c r="BP394">
        <f>SUM(Q405:Q422)</f>
        <v>0</v>
      </c>
      <c r="BQ394">
        <f>IF(COUNTA(Q404:Q422)=0,0,IF(OR(AND(Q404=0,BO394&gt;0),AND(Q404="ns",BP394&gt;0),AND(Q404="ns",BO394=0,BP394=0)),1,IF(OR(AND(BO394&gt;=2,Q404&gt;BP394),AND(Q404="ns",BP394=0,BO394&gt;0),Q404=BP394),0,1)))</f>
        <v>0</v>
      </c>
      <c r="BR394">
        <f>COUNTIF(Q424:Q428,"NS")</f>
        <v>0</v>
      </c>
      <c r="BS394">
        <f>SUM(Q424:Q428)</f>
        <v>0</v>
      </c>
      <c r="BT394">
        <f>IF(COUNTA(Q423:Q428)=0,0,IF(OR(AND(Q423=0,BR394&gt;0),AND(Q423="ns",BS394&gt;0),AND(Q423="ns",BR394=0,BS394=0)),1,IF(OR(AND(BR394&gt;=2,Q423&gt;BS394),AND(Q423="ns",BS394=0,BR394&gt;0),Q423=BS394),0,1)))</f>
        <v>0</v>
      </c>
      <c r="BU394">
        <f>COUNTIF(Q432:Q434,"NS")</f>
        <v>0</v>
      </c>
      <c r="BV394">
        <f>SUM(Q432:Q434)</f>
        <v>0</v>
      </c>
      <c r="BW394">
        <f>IF(COUNTA(Q431:Q434)=0,0,IF(OR(AND(Q431=0,BU394&gt;0),AND(Q431="ns",BV394&gt;0),AND(Q431="ns",BU394=0,BV394=0)),1,IF(OR(AND(BU394&gt;=2,Q431&gt;BV394),AND(Q431="ns",BV394=0,BU394&gt;0),Q431=BV394),0,1)))</f>
        <v>0</v>
      </c>
      <c r="BX394">
        <f>COUNTIF(Q442:Q448,"NS")</f>
        <v>0</v>
      </c>
      <c r="BY394">
        <f>SUM(Q442:Q448)</f>
        <v>0</v>
      </c>
      <c r="BZ394">
        <f>IF(COUNTA(Q441:Q448)=0,0,IF(OR(AND(Q441=0,BX394&gt;0),AND(Q441="ns",BY394&gt;0),AND(Q441="ns",BX394=0,BY394=0)),1,IF(OR(AND(BX394&gt;=2,Q441&gt;BY394),AND(Q441="ns",BY394=0,BX394&gt;0),Q441=BY394),0,1)))</f>
        <v>0</v>
      </c>
      <c r="CA394">
        <f>COUNTIF(Q450:Q454,"NS")</f>
        <v>0</v>
      </c>
      <c r="CB394">
        <f>SUM(Q450:Q454)</f>
        <v>0</v>
      </c>
      <c r="CC394">
        <f>IF(COUNTA(Q449:Q454)=0,0,IF(OR(AND(Q449=0,CA394&gt;0),AND(Q449="ns",CB394&gt;0),AND(Q449="ns",CA394=0,CB394=0)),1,IF(OR(AND(CA394&gt;=2,Q449&gt;CB394),AND(Q449="ns",CB394=0,CA394&gt;0),Q449=CB394),0,1)))</f>
        <v>0</v>
      </c>
      <c r="CD394">
        <f>COUNTIF(Q460:Q465,"NS")</f>
        <v>0</v>
      </c>
      <c r="CE394">
        <f>SUM(Q460:Q465)</f>
        <v>0</v>
      </c>
      <c r="CF394">
        <f>IF(COUNTA(Q459:Q465)=0,0,IF(OR(AND(Q459=0,CD394&gt;0),AND(Q459="ns",CE394&gt;0),AND(Q459="ns",CD394=0,CE394=0)),1,IF(OR(AND(CD394&gt;=2,Q459&gt;CE394),AND(Q459="ns",CE394=0,CD394&gt;0),Q459=CE394),0,1)))</f>
        <v>0</v>
      </c>
      <c r="CG394">
        <f>COUNTIF(Q467:Q474,"NS")</f>
        <v>0</v>
      </c>
      <c r="CH394">
        <f>SUM(Q467:Q474)</f>
        <v>0</v>
      </c>
      <c r="CI394">
        <f>IF(COUNTA(Q466:Q474)=0,0,IF(OR(AND(Q466=0,CG394&gt;0),AND(Q466="ns",CH394&gt;0),AND(Q466="ns",CG394=0,CH394=0)),1,IF(OR(AND(CG394&gt;=2,Q466&gt;CH394),AND(Q466="ns",CH394=0,CG394&gt;0),Q466=CH394),0,1)))</f>
        <v>0</v>
      </c>
      <c r="CJ394">
        <f>COUNTIF(Q479:Q484,"NS")</f>
        <v>0</v>
      </c>
      <c r="CK394">
        <f>SUM(Q479:Q484)</f>
        <v>0</v>
      </c>
      <c r="CL394">
        <f>IF(COUNTA(Q478:Q484)=0,0,IF(OR(AND(Q478=0,CJ394&gt;0),AND(Q478="ns",CK394&gt;0),AND(Q478="ns",CJ394=0,CK394=0)),1,IF(OR(AND(CJ394&gt;=2,Q478&gt;CK394),AND(Q478="ns",CK394=0,CJ394&gt;0),Q478=CK394),0,1)))</f>
        <v>0</v>
      </c>
      <c r="CM394">
        <f>COUNTIF(Q489:Q497,"NS")</f>
        <v>0</v>
      </c>
      <c r="CN394">
        <f>SUM(Q489:Q497)</f>
        <v>0</v>
      </c>
      <c r="CO394">
        <f>IF(COUNTA(Q488:Q497)=0,0,IF(OR(AND(Q488=0,CM394&gt;0),AND(Q488="ns",CN394&gt;0),AND(Q488="ns",CM394=0,CN394=0)),1,IF(OR(AND(CM394&gt;=2,Q488&gt;CN394),AND(Q488="ns",CN394=0,CM394&gt;0),Q488=CN394),0,1)))</f>
        <v>0</v>
      </c>
      <c r="CP394">
        <f>COUNTIF(Q499:Q501,"NS")</f>
        <v>0</v>
      </c>
      <c r="CQ394">
        <f>SUM(Q499:Q501)</f>
        <v>0</v>
      </c>
      <c r="CR394">
        <f>IF(COUNTA(Q498:Q501)=0,0,IF(OR(AND(Q498=0,CP394&gt;0),AND(Q498="ns",CQ394&gt;0),AND(Q498="ns",CP394=0,CQ394=0)),1,IF(OR(AND(CP394&gt;=2,Q498&gt;CQ394),AND(Q498="ns",CQ394=0,CP394&gt;0),Q498=CQ394),0,1)))</f>
        <v>0</v>
      </c>
      <c r="CS394">
        <f>COUNTIF(Q510:Q516,"NS")</f>
        <v>0</v>
      </c>
      <c r="CT394">
        <f>SUM(Q510:Q516)</f>
        <v>0</v>
      </c>
      <c r="CU394">
        <f>IF(COUNTA(Q509:Q516)=0,0,IF(OR(AND(Q509=0,CS394&gt;0),AND(Q509="ns",CT394&gt;0),AND(Q509="ns",CS394=0,CT394=0)),1,IF(OR(AND(CS394&gt;=2,Q509&gt;CT394),AND(Q509="ns",CT394=0,CS394&gt;0),Q509=CT394),0,1)))</f>
        <v>0</v>
      </c>
      <c r="CV394">
        <f>COUNTIF(Q519:Q521,"NS")</f>
        <v>0</v>
      </c>
      <c r="CW394">
        <f>SUM(Q519:Q521)</f>
        <v>0</v>
      </c>
      <c r="CX394">
        <f>IF(COUNTA(Q518:Q521)=0,0,IF(OR(AND(Q518=0,CV394&gt;0),AND(Q518="ns",CW394&gt;0),AND(Q518="ns",CV394=0,CW394=0)),1,IF(OR(AND(CV394&gt;=2,Q518&gt;CW394),AND(Q518="ns",CW394=0,CV394&gt;0),Q518=CW394),0,1)))</f>
        <v>0</v>
      </c>
      <c r="CY394">
        <f>COUNTIF(Q531:Q535,"NS")</f>
        <v>0</v>
      </c>
      <c r="CZ394">
        <f>SUM(Q531:Q535)</f>
        <v>0</v>
      </c>
      <c r="DA394">
        <f>IF(COUNTA(Q530:Q535)=0,0,IF(OR(AND(Q530=0,CY394&gt;0),AND(Q530="ns",CZ394&gt;0),AND(Q530="ns",CY394=0,CZ394=0)),1,IF(OR(AND(CY394&gt;=2,Q530&gt;CZ394),AND(Q530="ns",CZ394=0,CY394&gt;0),Q530=CZ394),0,1)))</f>
        <v>0</v>
      </c>
    </row>
    <row r="395" spans="1:105" ht="15" customHeight="1">
      <c r="A395" s="206"/>
      <c r="B395" s="206"/>
      <c r="C395" s="1117" t="s">
        <v>4834</v>
      </c>
      <c r="D395" s="1136"/>
      <c r="E395" s="1136"/>
      <c r="F395" s="1118"/>
      <c r="G395" s="100"/>
      <c r="H395" s="100"/>
      <c r="I395" s="100"/>
      <c r="J395" s="100"/>
      <c r="K395" s="100"/>
      <c r="L395" s="100"/>
      <c r="M395" s="100"/>
      <c r="N395" s="100"/>
      <c r="O395" s="100"/>
      <c r="P395" s="100"/>
      <c r="Q395" s="100"/>
      <c r="R395" s="100"/>
      <c r="S395" s="100"/>
      <c r="T395" s="100"/>
      <c r="U395" s="100"/>
      <c r="V395" s="100"/>
      <c r="W395" s="100"/>
      <c r="X395" s="100"/>
      <c r="Y395" s="100"/>
      <c r="Z395" s="100"/>
      <c r="AA395" s="100"/>
      <c r="AB395" s="100"/>
      <c r="AC395" s="100"/>
      <c r="AD395" s="100"/>
      <c r="AF395"/>
      <c r="AG395"/>
      <c r="AH395"/>
      <c r="AI395"/>
      <c r="AJ395"/>
      <c r="AK395">
        <f t="shared" si="168"/>
        <v>0</v>
      </c>
      <c r="AL395">
        <f t="shared" si="169"/>
        <v>0</v>
      </c>
      <c r="AM395">
        <f t="shared" si="191"/>
        <v>0</v>
      </c>
      <c r="AN395">
        <f t="shared" si="170"/>
        <v>0</v>
      </c>
      <c r="AO395">
        <f t="shared" si="171"/>
        <v>0</v>
      </c>
      <c r="AP395">
        <f t="shared" si="172"/>
        <v>0</v>
      </c>
      <c r="AQ395">
        <f t="shared" si="173"/>
        <v>0</v>
      </c>
      <c r="AR395">
        <f t="shared" si="174"/>
        <v>0</v>
      </c>
      <c r="AS395">
        <f t="shared" si="175"/>
        <v>0</v>
      </c>
      <c r="AT395">
        <f t="shared" si="176"/>
        <v>0</v>
      </c>
      <c r="AU395">
        <f t="shared" si="177"/>
        <v>0</v>
      </c>
      <c r="AV395">
        <f t="shared" si="178"/>
        <v>0</v>
      </c>
      <c r="AW395">
        <f t="shared" si="179"/>
        <v>0</v>
      </c>
      <c r="AX395">
        <f t="shared" si="180"/>
        <v>0</v>
      </c>
      <c r="AY395">
        <f t="shared" si="181"/>
        <v>0</v>
      </c>
      <c r="AZ395">
        <f t="shared" si="182"/>
        <v>0</v>
      </c>
      <c r="BA395">
        <f t="shared" si="183"/>
        <v>0</v>
      </c>
      <c r="BB395">
        <f t="shared" si="184"/>
        <v>0</v>
      </c>
      <c r="BC395">
        <f t="shared" si="185"/>
        <v>0</v>
      </c>
      <c r="BD395">
        <f t="shared" si="186"/>
        <v>0</v>
      </c>
      <c r="BE395">
        <f t="shared" si="187"/>
        <v>0</v>
      </c>
      <c r="BF395">
        <f t="shared" si="188"/>
        <v>0</v>
      </c>
      <c r="BG395">
        <f t="shared" si="189"/>
        <v>0</v>
      </c>
      <c r="BH395">
        <f t="shared" si="190"/>
        <v>0</v>
      </c>
      <c r="BI395">
        <f>COUNTIF(R385:R390,"NS")</f>
        <v>0</v>
      </c>
      <c r="BJ395">
        <f>SUM(R385:R390)</f>
        <v>0</v>
      </c>
      <c r="BK395">
        <f>IF(COUNTA(R384:R390)=0,0,IF(OR(AND(R384=0,BI395&gt;0),AND(R384="ns",BJ395&gt;0),AND(R384="ns",BI395=0,BJ395=0)),1,IF(OR(AND(BI395&gt;=2,R384&gt;BJ395),AND(R384="ns",BJ395=0,BI395&gt;0),R384=BJ395),0,1)))</f>
        <v>0</v>
      </c>
      <c r="BL395">
        <f>COUNTIF(R396:R400,"NS")</f>
        <v>0</v>
      </c>
      <c r="BM395">
        <f>SUM(R396:R400)</f>
        <v>0</v>
      </c>
      <c r="BN395">
        <f>IF(COUNTA(R395:R400)=0,0,IF(OR(AND(R395=0,BL395&gt;0),AND(R395="ns",BM395&gt;0),AND(R395="ns",BL395=0,BM395=0)),1,IF(OR(AND(BL395&gt;=2,R395&gt;BM395),AND(R395="ns",BM395=0,BL395&gt;0),R395=BM395),0,1)))</f>
        <v>0</v>
      </c>
      <c r="BO395">
        <f>COUNTIF(R405:R422,"NS")</f>
        <v>0</v>
      </c>
      <c r="BP395">
        <f>SUM(R405:R422)</f>
        <v>0</v>
      </c>
      <c r="BQ395">
        <f>IF(COUNTA(R404:R422)=0,0,IF(OR(AND(R404=0,BO395&gt;0),AND(R404="ns",BP395&gt;0),AND(R404="ns",BO395=0,BP395=0)),1,IF(OR(AND(BO395&gt;=2,R404&gt;BP395),AND(R404="ns",BP395=0,BO395&gt;0),R404=BP395),0,1)))</f>
        <v>0</v>
      </c>
      <c r="BR395">
        <f>COUNTIF(R424:R428,"NS")</f>
        <v>0</v>
      </c>
      <c r="BS395">
        <f>SUM(R424:R428)</f>
        <v>0</v>
      </c>
      <c r="BT395">
        <f>IF(COUNTA(R423:R428)=0,0,IF(OR(AND(R423=0,BR395&gt;0),AND(R423="ns",BS395&gt;0),AND(R423="ns",BR395=0,BS395=0)),1,IF(OR(AND(BR395&gt;=2,R423&gt;BS395),AND(R423="ns",BS395=0,BR395&gt;0),R423=BS395),0,1)))</f>
        <v>0</v>
      </c>
      <c r="BU395">
        <f>COUNTIF(R432:R434,"NS")</f>
        <v>0</v>
      </c>
      <c r="BV395">
        <f>SUM(R432:R434)</f>
        <v>0</v>
      </c>
      <c r="BW395">
        <f>IF(COUNTA(R431:R434)=0,0,IF(OR(AND(R431=0,BU395&gt;0),AND(R431="ns",BV395&gt;0),AND(R431="ns",BU395=0,BV395=0)),1,IF(OR(AND(BU395&gt;=2,R431&gt;BV395),AND(R431="ns",BV395=0,BU395&gt;0),R431=BV395),0,1)))</f>
        <v>0</v>
      </c>
      <c r="BX395">
        <f>COUNTIF(R442:R448,"NS")</f>
        <v>0</v>
      </c>
      <c r="BY395">
        <f>SUM(R442:R448)</f>
        <v>0</v>
      </c>
      <c r="BZ395">
        <f>IF(COUNTA(R441:R448)=0,0,IF(OR(AND(R441=0,BX395&gt;0),AND(R441="ns",BY395&gt;0),AND(R441="ns",BX395=0,BY395=0)),1,IF(OR(AND(BX395&gt;=2,R441&gt;BY395),AND(R441="ns",BY395=0,BX395&gt;0),R441=BY395),0,1)))</f>
        <v>0</v>
      </c>
      <c r="CA395">
        <f>COUNTIF(R450:R454,"NS")</f>
        <v>0</v>
      </c>
      <c r="CB395">
        <f>SUM(R450:R454)</f>
        <v>0</v>
      </c>
      <c r="CC395">
        <f>IF(COUNTA(R449:R454)=0,0,IF(OR(AND(R449=0,CA395&gt;0),AND(R449="ns",CB395&gt;0),AND(R449="ns",CA395=0,CB395=0)),1,IF(OR(AND(CA395&gt;=2,R449&gt;CB395),AND(R449="ns",CB395=0,CA395&gt;0),R449=CB395),0,1)))</f>
        <v>0</v>
      </c>
      <c r="CD395">
        <f>COUNTIF(R460:R465,"NS")</f>
        <v>0</v>
      </c>
      <c r="CE395">
        <f>SUM(R460:R465)</f>
        <v>0</v>
      </c>
      <c r="CF395">
        <f>IF(COUNTA(R459:R465)=0,0,IF(OR(AND(R459=0,CD395&gt;0),AND(R459="ns",CE395&gt;0),AND(R459="ns",CD395=0,CE395=0)),1,IF(OR(AND(CD395&gt;=2,R459&gt;CE395),AND(R459="ns",CE395=0,CD395&gt;0),R459=CE395),0,1)))</f>
        <v>0</v>
      </c>
      <c r="CG395">
        <f>COUNTIF(R467:R474,"NS")</f>
        <v>0</v>
      </c>
      <c r="CH395">
        <f>SUM(R467:R474)</f>
        <v>0</v>
      </c>
      <c r="CI395">
        <f>IF(COUNTA(R466:R474)=0,0,IF(OR(AND(R466=0,CG395&gt;0),AND(R466="ns",CH395&gt;0),AND(R466="ns",CG395=0,CH395=0)),1,IF(OR(AND(CG395&gt;=2,R466&gt;CH395),AND(R466="ns",CH395=0,CG395&gt;0),R466=CH395),0,1)))</f>
        <v>0</v>
      </c>
      <c r="CJ395">
        <f>COUNTIF(R479:R484,"NS")</f>
        <v>0</v>
      </c>
      <c r="CK395">
        <f>SUM(R479:R484)</f>
        <v>0</v>
      </c>
      <c r="CL395">
        <f>IF(COUNTA(R478:R484)=0,0,IF(OR(AND(R478=0,CJ395&gt;0),AND(R478="ns",CK395&gt;0),AND(R478="ns",CJ395=0,CK395=0)),1,IF(OR(AND(CJ395&gt;=2,R478&gt;CK395),AND(R478="ns",CK395=0,CJ395&gt;0),R478=CK395),0,1)))</f>
        <v>0</v>
      </c>
      <c r="CM395">
        <f>COUNTIF(R489:R497,"NS")</f>
        <v>0</v>
      </c>
      <c r="CN395">
        <f>SUM(R489:R497)</f>
        <v>0</v>
      </c>
      <c r="CO395">
        <f>IF(COUNTA(R488:R497)=0,0,IF(OR(AND(R488=0,CM395&gt;0),AND(R488="ns",CN395&gt;0),AND(R488="ns",CM395=0,CN395=0)),1,IF(OR(AND(CM395&gt;=2,R488&gt;CN395),AND(R488="ns",CN395=0,CM395&gt;0),R488=CN395),0,1)))</f>
        <v>0</v>
      </c>
      <c r="CP395">
        <f>COUNTIF(R499:R501,"NS")</f>
        <v>0</v>
      </c>
      <c r="CQ395">
        <f>SUM(R499:R501)</f>
        <v>0</v>
      </c>
      <c r="CR395">
        <f>IF(COUNTA(R498:R501)=0,0,IF(OR(AND(R498=0,CP395&gt;0),AND(R498="ns",CQ395&gt;0),AND(R498="ns",CP395=0,CQ395=0)),1,IF(OR(AND(CP395&gt;=2,R498&gt;CQ395),AND(R498="ns",CQ395=0,CP395&gt;0),R498=CQ395),0,1)))</f>
        <v>0</v>
      </c>
      <c r="CS395">
        <f>COUNTIF(R510:R516,"NS")</f>
        <v>0</v>
      </c>
      <c r="CT395">
        <f>SUM(R510:R516)</f>
        <v>0</v>
      </c>
      <c r="CU395">
        <f>IF(COUNTA(R509:R516)=0,0,IF(OR(AND(R509=0,CS395&gt;0),AND(R509="ns",CT395&gt;0),AND(R509="ns",CS395=0,CT395=0)),1,IF(OR(AND(CS395&gt;=2,R509&gt;CT395),AND(R509="ns",CT395=0,CS395&gt;0),R509=CT395),0,1)))</f>
        <v>0</v>
      </c>
      <c r="CV395">
        <f>COUNTIF(R519:R521,"NS")</f>
        <v>0</v>
      </c>
      <c r="CW395">
        <f>SUM(R519:R521)</f>
        <v>0</v>
      </c>
      <c r="CX395">
        <f>IF(COUNTA(R518:R521)=0,0,IF(OR(AND(R518=0,CV395&gt;0),AND(R518="ns",CW395&gt;0),AND(R518="ns",CV395=0,CW395=0)),1,IF(OR(AND(CV395&gt;=2,R518&gt;CW395),AND(R518="ns",CW395=0,CV395&gt;0),R518=CW395),0,1)))</f>
        <v>0</v>
      </c>
      <c r="CY395">
        <f>COUNTIF(R531:R535,"NS")</f>
        <v>0</v>
      </c>
      <c r="CZ395">
        <f>SUM(R531:R535)</f>
        <v>0</v>
      </c>
      <c r="DA395">
        <f>IF(COUNTA(R530:R535)=0,0,IF(OR(AND(R530=0,CY395&gt;0),AND(R530="ns",CZ395&gt;0),AND(R530="ns",CY395=0,CZ395=0)),1,IF(OR(AND(CY395&gt;=2,R530&gt;CZ395),AND(R530="ns",CZ395=0,CY395&gt;0),R530=CZ395),0,1)))</f>
        <v>0</v>
      </c>
    </row>
    <row r="396" spans="1:105" ht="15" customHeight="1">
      <c r="A396" s="206"/>
      <c r="B396" s="201"/>
      <c r="C396" s="1119" t="s">
        <v>4837</v>
      </c>
      <c r="D396" s="1121"/>
      <c r="E396" s="1121"/>
      <c r="F396" s="1120"/>
      <c r="G396" s="100"/>
      <c r="H396" s="100"/>
      <c r="I396" s="100"/>
      <c r="J396" s="100"/>
      <c r="K396" s="100"/>
      <c r="L396" s="100"/>
      <c r="M396" s="100"/>
      <c r="N396" s="100"/>
      <c r="O396" s="100"/>
      <c r="P396" s="100"/>
      <c r="Q396" s="100"/>
      <c r="R396" s="100"/>
      <c r="S396" s="100"/>
      <c r="T396" s="100"/>
      <c r="U396" s="100"/>
      <c r="V396" s="100"/>
      <c r="W396" s="100"/>
      <c r="X396" s="100"/>
      <c r="Y396" s="100"/>
      <c r="Z396" s="100"/>
      <c r="AA396" s="100"/>
      <c r="AB396" s="100"/>
      <c r="AC396" s="100"/>
      <c r="AD396" s="100"/>
      <c r="AF396"/>
      <c r="AG396"/>
      <c r="AH396"/>
      <c r="AI396"/>
      <c r="AJ396"/>
      <c r="AK396">
        <f t="shared" si="168"/>
        <v>0</v>
      </c>
      <c r="AL396">
        <f t="shared" si="169"/>
        <v>0</v>
      </c>
      <c r="AM396">
        <f t="shared" si="191"/>
        <v>0</v>
      </c>
      <c r="AN396">
        <f t="shared" si="170"/>
        <v>0</v>
      </c>
      <c r="AO396">
        <f t="shared" si="171"/>
        <v>0</v>
      </c>
      <c r="AP396">
        <f t="shared" si="172"/>
        <v>0</v>
      </c>
      <c r="AQ396">
        <f t="shared" si="173"/>
        <v>0</v>
      </c>
      <c r="AR396">
        <f t="shared" si="174"/>
        <v>0</v>
      </c>
      <c r="AS396">
        <f t="shared" si="175"/>
        <v>0</v>
      </c>
      <c r="AT396">
        <f t="shared" si="176"/>
        <v>0</v>
      </c>
      <c r="AU396">
        <f t="shared" si="177"/>
        <v>0</v>
      </c>
      <c r="AV396">
        <f t="shared" si="178"/>
        <v>0</v>
      </c>
      <c r="AW396">
        <f t="shared" si="179"/>
        <v>0</v>
      </c>
      <c r="AX396">
        <f t="shared" si="180"/>
        <v>0</v>
      </c>
      <c r="AY396">
        <f t="shared" si="181"/>
        <v>0</v>
      </c>
      <c r="AZ396">
        <f t="shared" si="182"/>
        <v>0</v>
      </c>
      <c r="BA396">
        <f t="shared" si="183"/>
        <v>0</v>
      </c>
      <c r="BB396">
        <f t="shared" si="184"/>
        <v>0</v>
      </c>
      <c r="BC396">
        <f t="shared" si="185"/>
        <v>0</v>
      </c>
      <c r="BD396">
        <f t="shared" si="186"/>
        <v>0</v>
      </c>
      <c r="BE396">
        <f t="shared" si="187"/>
        <v>0</v>
      </c>
      <c r="BF396">
        <f t="shared" si="188"/>
        <v>0</v>
      </c>
      <c r="BG396">
        <f t="shared" si="189"/>
        <v>0</v>
      </c>
      <c r="BH396">
        <f t="shared" si="190"/>
        <v>0</v>
      </c>
      <c r="BI396">
        <f>COUNTIF(S385:S390,"NS")</f>
        <v>0</v>
      </c>
      <c r="BJ396">
        <f>SUM(S385:S390)</f>
        <v>0</v>
      </c>
      <c r="BK396">
        <f>IF(COUNTA(S384:S390)=0,0,IF(OR(AND(S384=0,BI396&gt;0),AND(S384="ns",BJ396&gt;0),AND(S384="ns",BI396=0,BJ396=0)),1,IF(OR(AND(BI396&gt;=2,S384&gt;BJ396),AND(S384="ns",BJ396=0,BI396&gt;0),S384=BJ396),0,1)))</f>
        <v>0</v>
      </c>
      <c r="BL396">
        <f>COUNTIF(S396:S400,"NS")</f>
        <v>0</v>
      </c>
      <c r="BM396">
        <f>SUM(S396:S400)</f>
        <v>0</v>
      </c>
      <c r="BN396">
        <f>IF(COUNTA(S395:S400)=0,0,IF(OR(AND(S395=0,BL396&gt;0),AND(S395="ns",BM396&gt;0),AND(S395="ns",BL396=0,BM396=0)),1,IF(OR(AND(BL396&gt;=2,S395&gt;BM396),AND(S395="ns",BM396=0,BL396&gt;0),S395=BM396),0,1)))</f>
        <v>0</v>
      </c>
      <c r="BO396">
        <f>COUNTIF(S405:S422,"NS")</f>
        <v>0</v>
      </c>
      <c r="BP396">
        <f>SUM(S405:S422)</f>
        <v>0</v>
      </c>
      <c r="BQ396">
        <f>IF(COUNTA(S404:S422)=0,0,IF(OR(AND(S404=0,BO396&gt;0),AND(S404="ns",BP396&gt;0),AND(S404="ns",BO396=0,BP396=0)),1,IF(OR(AND(BO396&gt;=2,S404&gt;BP396),AND(S404="ns",BP396=0,BO396&gt;0),S404=BP396),0,1)))</f>
        <v>0</v>
      </c>
      <c r="BR396">
        <f>COUNTIF(S424:S428,"NS")</f>
        <v>0</v>
      </c>
      <c r="BS396">
        <f>SUM(S424:S428)</f>
        <v>0</v>
      </c>
      <c r="BT396">
        <f>IF(COUNTA(S423:S428)=0,0,IF(OR(AND(S423=0,BR396&gt;0),AND(S423="ns",BS396&gt;0),AND(S423="ns",BR396=0,BS396=0)),1,IF(OR(AND(BR396&gt;=2,S423&gt;BS396),AND(S423="ns",BS396=0,BR396&gt;0),S423=BS396),0,1)))</f>
        <v>0</v>
      </c>
      <c r="BU396">
        <f>COUNTIF(S432:S434,"NS")</f>
        <v>0</v>
      </c>
      <c r="BV396">
        <f>SUM(S432:S434)</f>
        <v>0</v>
      </c>
      <c r="BW396">
        <f>IF(COUNTA(S431:S434)=0,0,IF(OR(AND(S431=0,BU396&gt;0),AND(S431="ns",BV396&gt;0),AND(S431="ns",BU396=0,BV396=0)),1,IF(OR(AND(BU396&gt;=2,S431&gt;BV396),AND(S431="ns",BV396=0,BU396&gt;0),S431=BV396),0,1)))</f>
        <v>0</v>
      </c>
      <c r="BX396">
        <f>COUNTIF(S442:S448,"NS")</f>
        <v>0</v>
      </c>
      <c r="BY396">
        <f>SUM(S442:S448)</f>
        <v>0</v>
      </c>
      <c r="BZ396">
        <f>IF(COUNTA(S441:S448)=0,0,IF(OR(AND(S441=0,BX396&gt;0),AND(S441="ns",BY396&gt;0),AND(S441="ns",BX396=0,BY396=0)),1,IF(OR(AND(BX396&gt;=2,S441&gt;BY396),AND(S441="ns",BY396=0,BX396&gt;0),S441=BY396),0,1)))</f>
        <v>0</v>
      </c>
      <c r="CA396">
        <f>COUNTIF(S450:S454,"NS")</f>
        <v>0</v>
      </c>
      <c r="CB396">
        <f>SUM(S450:S454)</f>
        <v>0</v>
      </c>
      <c r="CC396">
        <f>IF(COUNTA(S449:S454)=0,0,IF(OR(AND(S449=0,CA396&gt;0),AND(S449="ns",CB396&gt;0),AND(S449="ns",CA396=0,CB396=0)),1,IF(OR(AND(CA396&gt;=2,S449&gt;CB396),AND(S449="ns",CB396=0,CA396&gt;0),S449=CB396),0,1)))</f>
        <v>0</v>
      </c>
      <c r="CD396">
        <f>COUNTIF(S460:S465,"NS")</f>
        <v>0</v>
      </c>
      <c r="CE396">
        <f>SUM(S460:S465)</f>
        <v>0</v>
      </c>
      <c r="CF396">
        <f>IF(COUNTA(S459:S465)=0,0,IF(OR(AND(S459=0,CD396&gt;0),AND(S459="ns",CE396&gt;0),AND(S459="ns",CD396=0,CE396=0)),1,IF(OR(AND(CD396&gt;=2,S459&gt;CE396),AND(S459="ns",CE396=0,CD396&gt;0),S459=CE396),0,1)))</f>
        <v>0</v>
      </c>
      <c r="CG396">
        <f>COUNTIF(S467:S474,"NS")</f>
        <v>0</v>
      </c>
      <c r="CH396">
        <f>SUM(S467:S474)</f>
        <v>0</v>
      </c>
      <c r="CI396">
        <f>IF(COUNTA(S466:S474)=0,0,IF(OR(AND(S466=0,CG396&gt;0),AND(S466="ns",CH396&gt;0),AND(S466="ns",CG396=0,CH396=0)),1,IF(OR(AND(CG396&gt;=2,S466&gt;CH396),AND(S466="ns",CH396=0,CG396&gt;0),S466=CH396),0,1)))</f>
        <v>0</v>
      </c>
      <c r="CJ396">
        <f>COUNTIF(S479:S484,"NS")</f>
        <v>0</v>
      </c>
      <c r="CK396">
        <f>SUM(S479:S484)</f>
        <v>0</v>
      </c>
      <c r="CL396">
        <f>IF(COUNTA(S478:S484)=0,0,IF(OR(AND(S478=0,CJ396&gt;0),AND(S478="ns",CK396&gt;0),AND(S478="ns",CJ396=0,CK396=0)),1,IF(OR(AND(CJ396&gt;=2,S478&gt;CK396),AND(S478="ns",CK396=0,CJ396&gt;0),S478=CK396),0,1)))</f>
        <v>0</v>
      </c>
      <c r="CM396">
        <f>COUNTIF(S489:S497,"NS")</f>
        <v>0</v>
      </c>
      <c r="CN396">
        <f>SUM(S489:S497)</f>
        <v>0</v>
      </c>
      <c r="CO396">
        <f>IF(COUNTA(S488:S497)=0,0,IF(OR(AND(S488=0,CM396&gt;0),AND(S488="ns",CN396&gt;0),AND(S488="ns",CM396=0,CN396=0)),1,IF(OR(AND(CM396&gt;=2,S488&gt;CN396),AND(S488="ns",CN396=0,CM396&gt;0),S488=CN396),0,1)))</f>
        <v>0</v>
      </c>
      <c r="CP396">
        <f>COUNTIF(S499:S501,"NS")</f>
        <v>0</v>
      </c>
      <c r="CQ396">
        <f>SUM(S499:S501)</f>
        <v>0</v>
      </c>
      <c r="CR396">
        <f>IF(COUNTA(S498:S501)=0,0,IF(OR(AND(S498=0,CP396&gt;0),AND(S498="ns",CQ396&gt;0),AND(S498="ns",CP396=0,CQ396=0)),1,IF(OR(AND(CP396&gt;=2,S498&gt;CQ396),AND(S498="ns",CQ396=0,CP396&gt;0),S498=CQ396),0,1)))</f>
        <v>0</v>
      </c>
      <c r="CS396">
        <f>COUNTIF(S510:S516,"NS")</f>
        <v>0</v>
      </c>
      <c r="CT396">
        <f>SUM(S510:S516)</f>
        <v>0</v>
      </c>
      <c r="CU396">
        <f>IF(COUNTA(S509:S516)=0,0,IF(OR(AND(S509=0,CS396&gt;0),AND(S509="ns",CT396&gt;0),AND(S509="ns",CS396=0,CT396=0)),1,IF(OR(AND(CS396&gt;=2,S509&gt;CT396),AND(S509="ns",CT396=0,CS396&gt;0),S509=CT396),0,1)))</f>
        <v>0</v>
      </c>
      <c r="CV396">
        <f>COUNTIF(S519:S521,"NS")</f>
        <v>0</v>
      </c>
      <c r="CW396">
        <f>SUM(S519:S521)</f>
        <v>0</v>
      </c>
      <c r="CX396">
        <f>IF(COUNTA(S518:S521)=0,0,IF(OR(AND(S518=0,CV396&gt;0),AND(S518="ns",CW396&gt;0),AND(S518="ns",CV396=0,CW396=0)),1,IF(OR(AND(CV396&gt;=2,S518&gt;CW396),AND(S518="ns",CW396=0,CV396&gt;0),S518=CW396),0,1)))</f>
        <v>0</v>
      </c>
      <c r="CY396">
        <f>COUNTIF(S531:S535,"NS")</f>
        <v>0</v>
      </c>
      <c r="CZ396">
        <f>SUM(S531:S535)</f>
        <v>0</v>
      </c>
      <c r="DA396">
        <f>IF(COUNTA(S530:S535)=0,0,IF(OR(AND(S530=0,CY396&gt;0),AND(S530="ns",CZ396&gt;0),AND(S530="ns",CY396=0,CZ396=0)),1,IF(OR(AND(CY396&gt;=2,S530&gt;CZ396),AND(S530="ns",CZ396=0,CY396&gt;0),S530=CZ396),0,1)))</f>
        <v>0</v>
      </c>
    </row>
    <row r="397" spans="1:105" ht="15" customHeight="1">
      <c r="A397" s="206"/>
      <c r="B397" s="201"/>
      <c r="C397" s="1119" t="s">
        <v>4839</v>
      </c>
      <c r="D397" s="1121"/>
      <c r="E397" s="1121"/>
      <c r="F397" s="1120"/>
      <c r="G397" s="100"/>
      <c r="H397" s="100"/>
      <c r="I397" s="100"/>
      <c r="J397" s="100"/>
      <c r="K397" s="100"/>
      <c r="L397" s="100"/>
      <c r="M397" s="100"/>
      <c r="N397" s="100"/>
      <c r="O397" s="100"/>
      <c r="P397" s="100"/>
      <c r="Q397" s="100"/>
      <c r="R397" s="100"/>
      <c r="S397" s="100"/>
      <c r="T397" s="100"/>
      <c r="U397" s="100"/>
      <c r="V397" s="100"/>
      <c r="W397" s="100"/>
      <c r="X397" s="100"/>
      <c r="Y397" s="100"/>
      <c r="Z397" s="100"/>
      <c r="AA397" s="100"/>
      <c r="AB397" s="100"/>
      <c r="AC397" s="100"/>
      <c r="AD397" s="100"/>
      <c r="AF397"/>
      <c r="AG397"/>
      <c r="AH397"/>
      <c r="AI397"/>
      <c r="AJ397"/>
      <c r="AK397">
        <f t="shared" si="168"/>
        <v>0</v>
      </c>
      <c r="AL397">
        <f t="shared" si="169"/>
        <v>0</v>
      </c>
      <c r="AM397">
        <f t="shared" si="191"/>
        <v>0</v>
      </c>
      <c r="AN397">
        <f t="shared" si="170"/>
        <v>0</v>
      </c>
      <c r="AO397">
        <f t="shared" si="171"/>
        <v>0</v>
      </c>
      <c r="AP397">
        <f t="shared" si="172"/>
        <v>0</v>
      </c>
      <c r="AQ397">
        <f t="shared" si="173"/>
        <v>0</v>
      </c>
      <c r="AR397">
        <f t="shared" si="174"/>
        <v>0</v>
      </c>
      <c r="AS397">
        <f t="shared" si="175"/>
        <v>0</v>
      </c>
      <c r="AT397">
        <f t="shared" si="176"/>
        <v>0</v>
      </c>
      <c r="AU397">
        <f t="shared" si="177"/>
        <v>0</v>
      </c>
      <c r="AV397">
        <f t="shared" si="178"/>
        <v>0</v>
      </c>
      <c r="AW397">
        <f t="shared" si="179"/>
        <v>0</v>
      </c>
      <c r="AX397">
        <f t="shared" si="180"/>
        <v>0</v>
      </c>
      <c r="AY397">
        <f t="shared" si="181"/>
        <v>0</v>
      </c>
      <c r="AZ397">
        <f t="shared" si="182"/>
        <v>0</v>
      </c>
      <c r="BA397">
        <f t="shared" si="183"/>
        <v>0</v>
      </c>
      <c r="BB397">
        <f t="shared" si="184"/>
        <v>0</v>
      </c>
      <c r="BC397">
        <f t="shared" si="185"/>
        <v>0</v>
      </c>
      <c r="BD397">
        <f t="shared" si="186"/>
        <v>0</v>
      </c>
      <c r="BE397">
        <f t="shared" si="187"/>
        <v>0</v>
      </c>
      <c r="BF397">
        <f t="shared" si="188"/>
        <v>0</v>
      </c>
      <c r="BG397">
        <f t="shared" si="189"/>
        <v>0</v>
      </c>
      <c r="BH397">
        <f t="shared" si="190"/>
        <v>0</v>
      </c>
      <c r="BI397">
        <f>COUNTIF(T385:T390,"NS")</f>
        <v>0</v>
      </c>
      <c r="BJ397">
        <f>SUM(T385:T390)</f>
        <v>0</v>
      </c>
      <c r="BK397">
        <f>IF(COUNTA(T384:T390)=0,0,IF(OR(AND(T384=0,BI397&gt;0),AND(T384="ns",BJ397&gt;0),AND(T384="ns",BI397=0,BJ397=0)),1,IF(OR(AND(BI397&gt;=2,T384&gt;BJ397),AND(T384="ns",BJ397=0,BI397&gt;0),T384=BJ397),0,1)))</f>
        <v>0</v>
      </c>
      <c r="BL397">
        <f>COUNTIF(T396:T400,"NS")</f>
        <v>0</v>
      </c>
      <c r="BM397">
        <f>SUM(T396:T400)</f>
        <v>0</v>
      </c>
      <c r="BN397">
        <f>IF(COUNTA(T395:T400)=0,0,IF(OR(AND(T395=0,BL397&gt;0),AND(T395="ns",BM397&gt;0),AND(T395="ns",BL397=0,BM397=0)),1,IF(OR(AND(BL397&gt;=2,T395&gt;BM397),AND(T395="ns",BM397=0,BL397&gt;0),T395=BM397),0,1)))</f>
        <v>0</v>
      </c>
      <c r="BO397">
        <f>COUNTIF(T405:T422,"NS")</f>
        <v>0</v>
      </c>
      <c r="BP397">
        <f>SUM(T405:T422)</f>
        <v>0</v>
      </c>
      <c r="BQ397">
        <f>IF(COUNTA(T404:T422)=0,0,IF(OR(AND(T404=0,BO397&gt;0),AND(T404="ns",BP397&gt;0),AND(T404="ns",BO397=0,BP397=0)),1,IF(OR(AND(BO397&gt;=2,T404&gt;BP397),AND(T404="ns",BP397=0,BO397&gt;0),T404=BP397),0,1)))</f>
        <v>0</v>
      </c>
      <c r="BR397">
        <f>COUNTIF(T424:T428,"NS")</f>
        <v>0</v>
      </c>
      <c r="BS397">
        <f>SUM(T424:T428)</f>
        <v>0</v>
      </c>
      <c r="BT397">
        <f>IF(COUNTA(T423:T428)=0,0,IF(OR(AND(T423=0,BR397&gt;0),AND(T423="ns",BS397&gt;0),AND(T423="ns",BR397=0,BS397=0)),1,IF(OR(AND(BR397&gt;=2,T423&gt;BS397),AND(T423="ns",BS397=0,BR397&gt;0),T423=BS397),0,1)))</f>
        <v>0</v>
      </c>
      <c r="BU397">
        <f>COUNTIF(T432:T434,"NS")</f>
        <v>0</v>
      </c>
      <c r="BV397">
        <f>SUM(T432:T434)</f>
        <v>0</v>
      </c>
      <c r="BW397">
        <f>IF(COUNTA(T431:T434)=0,0,IF(OR(AND(T431=0,BU397&gt;0),AND(T431="ns",BV397&gt;0),AND(T431="ns",BU397=0,BV397=0)),1,IF(OR(AND(BU397&gt;=2,T431&gt;BV397),AND(T431="ns",BV397=0,BU397&gt;0),T431=BV397),0,1)))</f>
        <v>0</v>
      </c>
      <c r="BX397">
        <f>COUNTIF(T442:T448,"NS")</f>
        <v>0</v>
      </c>
      <c r="BY397">
        <f>SUM(T442:T448)</f>
        <v>0</v>
      </c>
      <c r="BZ397">
        <f>IF(COUNTA(T441:T448)=0,0,IF(OR(AND(T441=0,BX397&gt;0),AND(T441="ns",BY397&gt;0),AND(T441="ns",BX397=0,BY397=0)),1,IF(OR(AND(BX397&gt;=2,T441&gt;BY397),AND(T441="ns",BY397=0,BX397&gt;0),T441=BY397),0,1)))</f>
        <v>0</v>
      </c>
      <c r="CA397">
        <f>COUNTIF(T450:T454,"NS")</f>
        <v>0</v>
      </c>
      <c r="CB397">
        <f>SUM(T450:T454)</f>
        <v>0</v>
      </c>
      <c r="CC397">
        <f>IF(COUNTA(T449:T454)=0,0,IF(OR(AND(T449=0,CA397&gt;0),AND(T449="ns",CB397&gt;0),AND(T449="ns",CA397=0,CB397=0)),1,IF(OR(AND(CA397&gt;=2,T449&gt;CB397),AND(T449="ns",CB397=0,CA397&gt;0),T449=CB397),0,1)))</f>
        <v>0</v>
      </c>
      <c r="CD397">
        <f>COUNTIF(T460:T465,"NS")</f>
        <v>0</v>
      </c>
      <c r="CE397">
        <f>SUM(T460:T465)</f>
        <v>0</v>
      </c>
      <c r="CF397">
        <f>IF(COUNTA(T459:T465)=0,0,IF(OR(AND(T459=0,CD397&gt;0),AND(T459="ns",CE397&gt;0),AND(T459="ns",CD397=0,CE397=0)),1,IF(OR(AND(CD397&gt;=2,T459&gt;CE397),AND(T459="ns",CE397=0,CD397&gt;0),T459=CE397),0,1)))</f>
        <v>0</v>
      </c>
      <c r="CG397">
        <f>COUNTIF(T467:T474,"NS")</f>
        <v>0</v>
      </c>
      <c r="CH397">
        <f>SUM(T467:T474)</f>
        <v>0</v>
      </c>
      <c r="CI397">
        <f>IF(COUNTA(T466:T474)=0,0,IF(OR(AND(T466=0,CG397&gt;0),AND(T466="ns",CH397&gt;0),AND(T466="ns",CG397=0,CH397=0)),1,IF(OR(AND(CG397&gt;=2,T466&gt;CH397),AND(T466="ns",CH397=0,CG397&gt;0),T466=CH397),0,1)))</f>
        <v>0</v>
      </c>
      <c r="CJ397">
        <f>COUNTIF(T479:T484,"NS")</f>
        <v>0</v>
      </c>
      <c r="CK397">
        <f>SUM(T479:T484)</f>
        <v>0</v>
      </c>
      <c r="CL397">
        <f>IF(COUNTA(T478:T484)=0,0,IF(OR(AND(T478=0,CJ397&gt;0),AND(T478="ns",CK397&gt;0),AND(T478="ns",CJ397=0,CK397=0)),1,IF(OR(AND(CJ397&gt;=2,T478&gt;CK397),AND(T478="ns",CK397=0,CJ397&gt;0),T478=CK397),0,1)))</f>
        <v>0</v>
      </c>
      <c r="CM397">
        <f>COUNTIF(T489:T497,"NS")</f>
        <v>0</v>
      </c>
      <c r="CN397">
        <f>SUM(T489:T497)</f>
        <v>0</v>
      </c>
      <c r="CO397">
        <f>IF(COUNTA(T488:T497)=0,0,IF(OR(AND(T488=0,CM397&gt;0),AND(T488="ns",CN397&gt;0),AND(T488="ns",CM397=0,CN397=0)),1,IF(OR(AND(CM397&gt;=2,T488&gt;CN397),AND(T488="ns",CN397=0,CM397&gt;0),T488=CN397),0,1)))</f>
        <v>0</v>
      </c>
      <c r="CP397">
        <f>COUNTIF(T499:T501,"NS")</f>
        <v>0</v>
      </c>
      <c r="CQ397">
        <f>SUM(T499:T501)</f>
        <v>0</v>
      </c>
      <c r="CR397">
        <f>IF(COUNTA(T498:T501)=0,0,IF(OR(AND(T498=0,CP397&gt;0),AND(T498="ns",CQ397&gt;0),AND(T498="ns",CP397=0,CQ397=0)),1,IF(OR(AND(CP397&gt;=2,T498&gt;CQ397),AND(T498="ns",CQ397=0,CP397&gt;0),T498=CQ397),0,1)))</f>
        <v>0</v>
      </c>
      <c r="CS397">
        <f>COUNTIF(T510:T516,"NS")</f>
        <v>0</v>
      </c>
      <c r="CT397">
        <f>SUM(T510:T516)</f>
        <v>0</v>
      </c>
      <c r="CU397">
        <f>IF(COUNTA(T509:T516)=0,0,IF(OR(AND(T509=0,CS397&gt;0),AND(T509="ns",CT397&gt;0),AND(T509="ns",CS397=0,CT397=0)),1,IF(OR(AND(CS397&gt;=2,T509&gt;CT397),AND(T509="ns",CT397=0,CS397&gt;0),T509=CT397),0,1)))</f>
        <v>0</v>
      </c>
      <c r="CV397">
        <f>COUNTIF(T519:T521,"NS")</f>
        <v>0</v>
      </c>
      <c r="CW397">
        <f>SUM(T519:T521)</f>
        <v>0</v>
      </c>
      <c r="CX397">
        <f>IF(COUNTA(T518:T521)=0,0,IF(OR(AND(T518=0,CV397&gt;0),AND(T518="ns",CW397&gt;0),AND(T518="ns",CV397=0,CW397=0)),1,IF(OR(AND(CV397&gt;=2,T518&gt;CW397),AND(T518="ns",CW397=0,CV397&gt;0),T518=CW397),0,1)))</f>
        <v>0</v>
      </c>
      <c r="CY397">
        <f>COUNTIF(T531:T535,"NS")</f>
        <v>0</v>
      </c>
      <c r="CZ397">
        <f>SUM(T531:T535)</f>
        <v>0</v>
      </c>
      <c r="DA397">
        <f>IF(COUNTA(T530:T535)=0,0,IF(OR(AND(T530=0,CY397&gt;0),AND(T530="ns",CZ397&gt;0),AND(T530="ns",CY397=0,CZ397=0)),1,IF(OR(AND(CY397&gt;=2,T530&gt;CZ397),AND(T530="ns",CZ397=0,CY397&gt;0),T530=CZ397),0,1)))</f>
        <v>0</v>
      </c>
    </row>
    <row r="398" spans="1:105" ht="15" customHeight="1">
      <c r="A398" s="206"/>
      <c r="B398" s="201"/>
      <c r="C398" s="1119" t="s">
        <v>4841</v>
      </c>
      <c r="D398" s="1121"/>
      <c r="E398" s="1121"/>
      <c r="F398" s="1120"/>
      <c r="G398" s="100"/>
      <c r="H398" s="100"/>
      <c r="I398" s="100"/>
      <c r="J398" s="100"/>
      <c r="K398" s="100"/>
      <c r="L398" s="100"/>
      <c r="M398" s="100"/>
      <c r="N398" s="100"/>
      <c r="O398" s="100"/>
      <c r="P398" s="100"/>
      <c r="Q398" s="100"/>
      <c r="R398" s="100"/>
      <c r="S398" s="100"/>
      <c r="T398" s="100"/>
      <c r="U398" s="100"/>
      <c r="V398" s="100"/>
      <c r="W398" s="100"/>
      <c r="X398" s="100"/>
      <c r="Y398" s="100"/>
      <c r="Z398" s="100"/>
      <c r="AA398" s="100"/>
      <c r="AB398" s="100"/>
      <c r="AC398" s="100"/>
      <c r="AD398" s="100"/>
      <c r="AF398"/>
      <c r="AG398"/>
      <c r="AH398"/>
      <c r="AI398"/>
      <c r="AJ398"/>
      <c r="AK398">
        <f t="shared" si="168"/>
        <v>0</v>
      </c>
      <c r="AL398">
        <f t="shared" si="169"/>
        <v>0</v>
      </c>
      <c r="AM398">
        <f t="shared" si="191"/>
        <v>0</v>
      </c>
      <c r="AN398">
        <f t="shared" si="170"/>
        <v>0</v>
      </c>
      <c r="AO398">
        <f t="shared" si="171"/>
        <v>0</v>
      </c>
      <c r="AP398">
        <f t="shared" si="172"/>
        <v>0</v>
      </c>
      <c r="AQ398">
        <f t="shared" si="173"/>
        <v>0</v>
      </c>
      <c r="AR398">
        <f t="shared" si="174"/>
        <v>0</v>
      </c>
      <c r="AS398">
        <f t="shared" si="175"/>
        <v>0</v>
      </c>
      <c r="AT398">
        <f t="shared" si="176"/>
        <v>0</v>
      </c>
      <c r="AU398">
        <f t="shared" si="177"/>
        <v>0</v>
      </c>
      <c r="AV398">
        <f t="shared" si="178"/>
        <v>0</v>
      </c>
      <c r="AW398">
        <f t="shared" si="179"/>
        <v>0</v>
      </c>
      <c r="AX398">
        <f t="shared" si="180"/>
        <v>0</v>
      </c>
      <c r="AY398">
        <f t="shared" si="181"/>
        <v>0</v>
      </c>
      <c r="AZ398">
        <f t="shared" si="182"/>
        <v>0</v>
      </c>
      <c r="BA398">
        <f t="shared" si="183"/>
        <v>0</v>
      </c>
      <c r="BB398">
        <f t="shared" si="184"/>
        <v>0</v>
      </c>
      <c r="BC398">
        <f t="shared" si="185"/>
        <v>0</v>
      </c>
      <c r="BD398">
        <f t="shared" si="186"/>
        <v>0</v>
      </c>
      <c r="BE398">
        <f t="shared" si="187"/>
        <v>0</v>
      </c>
      <c r="BF398">
        <f t="shared" si="188"/>
        <v>0</v>
      </c>
      <c r="BG398">
        <f t="shared" si="189"/>
        <v>0</v>
      </c>
      <c r="BH398">
        <f t="shared" si="190"/>
        <v>0</v>
      </c>
      <c r="BI398">
        <f>COUNTIF(U385:U390,"NS")</f>
        <v>0</v>
      </c>
      <c r="BJ398">
        <f>SUM(U385:U390)</f>
        <v>0</v>
      </c>
      <c r="BK398">
        <f>IF(COUNTA(U384:U390)=0,0,IF(OR(AND(U384=0,BI398&gt;0),AND(U384="ns",BJ398&gt;0),AND(U384="ns",BI398=0,BJ398=0)),1,IF(OR(AND(BI398&gt;=2,U384&gt;BJ398),AND(U384="ns",BJ398=0,BI398&gt;0),U384=BJ398),0,1)))</f>
        <v>0</v>
      </c>
      <c r="BL398">
        <f>COUNTIF(U396:U400,"NS")</f>
        <v>0</v>
      </c>
      <c r="BM398">
        <f>SUM(U396:U400)</f>
        <v>0</v>
      </c>
      <c r="BN398">
        <f>IF(COUNTA(U395:U400)=0,0,IF(OR(AND(U395=0,BL398&gt;0),AND(U395="ns",BM398&gt;0),AND(U395="ns",BL398=0,BM398=0)),1,IF(OR(AND(BL398&gt;=2,U395&gt;BM398),AND(U395="ns",BM398=0,BL398&gt;0),U395=BM398),0,1)))</f>
        <v>0</v>
      </c>
      <c r="BO398">
        <f>COUNTIF(U405:U422,"NS")</f>
        <v>0</v>
      </c>
      <c r="BP398">
        <f>SUM(U405:U422)</f>
        <v>0</v>
      </c>
      <c r="BQ398">
        <f>IF(COUNTA(U404:U422)=0,0,IF(OR(AND(U404=0,BO398&gt;0),AND(U404="ns",BP398&gt;0),AND(U404="ns",BO398=0,BP398=0)),1,IF(OR(AND(BO398&gt;=2,U404&gt;BP398),AND(U404="ns",BP398=0,BO398&gt;0),U404=BP398),0,1)))</f>
        <v>0</v>
      </c>
      <c r="BR398">
        <f>COUNTIF(U424:U428,"NS")</f>
        <v>0</v>
      </c>
      <c r="BS398">
        <f>SUM(U424:U428)</f>
        <v>0</v>
      </c>
      <c r="BT398">
        <f>IF(COUNTA(U423:U428)=0,0,IF(OR(AND(U423=0,BR398&gt;0),AND(U423="ns",BS398&gt;0),AND(U423="ns",BR398=0,BS398=0)),1,IF(OR(AND(BR398&gt;=2,U423&gt;BS398),AND(U423="ns",BS398=0,BR398&gt;0),U423=BS398),0,1)))</f>
        <v>0</v>
      </c>
      <c r="BU398">
        <f>COUNTIF(U432:U434,"NS")</f>
        <v>0</v>
      </c>
      <c r="BV398">
        <f>SUM(U432:U434)</f>
        <v>0</v>
      </c>
      <c r="BW398">
        <f>IF(COUNTA(U431:U434)=0,0,IF(OR(AND(U431=0,BU398&gt;0),AND(U431="ns",BV398&gt;0),AND(U431="ns",BU398=0,BV398=0)),1,IF(OR(AND(BU398&gt;=2,U431&gt;BV398),AND(U431="ns",BV398=0,BU398&gt;0),U431=BV398),0,1)))</f>
        <v>0</v>
      </c>
      <c r="BX398">
        <f>COUNTIF(U442:U448,"NS")</f>
        <v>0</v>
      </c>
      <c r="BY398">
        <f>SUM(U442:U448)</f>
        <v>0</v>
      </c>
      <c r="BZ398">
        <f>IF(COUNTA(U441:U448)=0,0,IF(OR(AND(U441=0,BX398&gt;0),AND(U441="ns",BY398&gt;0),AND(U441="ns",BX398=0,BY398=0)),1,IF(OR(AND(BX398&gt;=2,U441&gt;BY398),AND(U441="ns",BY398=0,BX398&gt;0),U441=BY398),0,1)))</f>
        <v>0</v>
      </c>
      <c r="CA398">
        <f>COUNTIF(U450:U454,"NS")</f>
        <v>0</v>
      </c>
      <c r="CB398">
        <f>SUM(U450:U454)</f>
        <v>0</v>
      </c>
      <c r="CC398">
        <f>IF(COUNTA(U449:U454)=0,0,IF(OR(AND(U449=0,CA398&gt;0),AND(U449="ns",CB398&gt;0),AND(U449="ns",CA398=0,CB398=0)),1,IF(OR(AND(CA398&gt;=2,U449&gt;CB398),AND(U449="ns",CB398=0,CA398&gt;0),U449=CB398),0,1)))</f>
        <v>0</v>
      </c>
      <c r="CD398">
        <f>COUNTIF(U460:U465,"NS")</f>
        <v>0</v>
      </c>
      <c r="CE398">
        <f>SUM(U460:U465)</f>
        <v>0</v>
      </c>
      <c r="CF398">
        <f>IF(COUNTA(U459:U465)=0,0,IF(OR(AND(U459=0,CD398&gt;0),AND(U459="ns",CE398&gt;0),AND(U459="ns",CD398=0,CE398=0)),1,IF(OR(AND(CD398&gt;=2,U459&gt;CE398),AND(U459="ns",CE398=0,CD398&gt;0),U459=CE398),0,1)))</f>
        <v>0</v>
      </c>
      <c r="CG398">
        <f>COUNTIF(U467:U474,"NS")</f>
        <v>0</v>
      </c>
      <c r="CH398">
        <f>SUM(U467:U474)</f>
        <v>0</v>
      </c>
      <c r="CI398">
        <f>IF(COUNTA(U466:U474)=0,0,IF(OR(AND(U466=0,CG398&gt;0),AND(U466="ns",CH398&gt;0),AND(U466="ns",CG398=0,CH398=0)),1,IF(OR(AND(CG398&gt;=2,U466&gt;CH398),AND(U466="ns",CH398=0,CG398&gt;0),U466=CH398),0,1)))</f>
        <v>0</v>
      </c>
      <c r="CJ398">
        <f>COUNTIF(U479:U484,"NS")</f>
        <v>0</v>
      </c>
      <c r="CK398">
        <f>SUM(U479:U484)</f>
        <v>0</v>
      </c>
      <c r="CL398">
        <f>IF(COUNTA(U478:U484)=0,0,IF(OR(AND(U478=0,CJ398&gt;0),AND(U478="ns",CK398&gt;0),AND(U478="ns",CJ398=0,CK398=0)),1,IF(OR(AND(CJ398&gt;=2,U478&gt;CK398),AND(U478="ns",CK398=0,CJ398&gt;0),U478=CK398),0,1)))</f>
        <v>0</v>
      </c>
      <c r="CM398">
        <f>COUNTIF(U489:U497,"NS")</f>
        <v>0</v>
      </c>
      <c r="CN398">
        <f>SUM(U489:U497)</f>
        <v>0</v>
      </c>
      <c r="CO398">
        <f>IF(COUNTA(U488:U497)=0,0,IF(OR(AND(U488=0,CM398&gt;0),AND(U488="ns",CN398&gt;0),AND(U488="ns",CM398=0,CN398=0)),1,IF(OR(AND(CM398&gt;=2,U488&gt;CN398),AND(U488="ns",CN398=0,CM398&gt;0),U488=CN398),0,1)))</f>
        <v>0</v>
      </c>
      <c r="CP398">
        <f>COUNTIF(U499:U501,"NS")</f>
        <v>0</v>
      </c>
      <c r="CQ398">
        <f>SUM(U499:U501)</f>
        <v>0</v>
      </c>
      <c r="CR398">
        <f>IF(COUNTA(U498:U501)=0,0,IF(OR(AND(U498=0,CP398&gt;0),AND(U498="ns",CQ398&gt;0),AND(U498="ns",CP398=0,CQ398=0)),1,IF(OR(AND(CP398&gt;=2,U498&gt;CQ398),AND(U498="ns",CQ398=0,CP398&gt;0),U498=CQ398),0,1)))</f>
        <v>0</v>
      </c>
      <c r="CS398">
        <f>COUNTIF(U510:U516,"NS")</f>
        <v>0</v>
      </c>
      <c r="CT398">
        <f>SUM(U510:U516)</f>
        <v>0</v>
      </c>
      <c r="CU398">
        <f>IF(COUNTA(U509:U516)=0,0,IF(OR(AND(U509=0,CS398&gt;0),AND(U509="ns",CT398&gt;0),AND(U509="ns",CS398=0,CT398=0)),1,IF(OR(AND(CS398&gt;=2,U509&gt;CT398),AND(U509="ns",CT398=0,CS398&gt;0),U509=CT398),0,1)))</f>
        <v>0</v>
      </c>
      <c r="CV398">
        <f>COUNTIF(U519:U521,"NS")</f>
        <v>0</v>
      </c>
      <c r="CW398">
        <f>SUM(U519:U521)</f>
        <v>0</v>
      </c>
      <c r="CX398">
        <f>IF(COUNTA(U518:U521)=0,0,IF(OR(AND(U518=0,CV398&gt;0),AND(U518="ns",CW398&gt;0),AND(U518="ns",CV398=0,CW398=0)),1,IF(OR(AND(CV398&gt;=2,U518&gt;CW398),AND(U518="ns",CW398=0,CV398&gt;0),U518=CW398),0,1)))</f>
        <v>0</v>
      </c>
      <c r="CY398">
        <f>COUNTIF(U531:U535,"NS")</f>
        <v>0</v>
      </c>
      <c r="CZ398">
        <f>SUM(U531:U535)</f>
        <v>0</v>
      </c>
      <c r="DA398">
        <f>IF(COUNTA(U530:U535)=0,0,IF(OR(AND(U530=0,CY398&gt;0),AND(U530="ns",CZ398&gt;0),AND(U530="ns",CY398=0,CZ398=0)),1,IF(OR(AND(CY398&gt;=2,U530&gt;CZ398),AND(U530="ns",CZ398=0,CY398&gt;0),U530=CZ398),0,1)))</f>
        <v>0</v>
      </c>
    </row>
    <row r="399" spans="1:105" ht="15" customHeight="1">
      <c r="A399" s="206"/>
      <c r="B399" s="201"/>
      <c r="C399" s="1119" t="s">
        <v>4843</v>
      </c>
      <c r="D399" s="1121"/>
      <c r="E399" s="1121"/>
      <c r="F399" s="1120"/>
      <c r="G399" s="100"/>
      <c r="H399" s="100"/>
      <c r="I399" s="100"/>
      <c r="J399" s="100"/>
      <c r="K399" s="100"/>
      <c r="L399" s="100"/>
      <c r="M399" s="100"/>
      <c r="N399" s="100"/>
      <c r="O399" s="100"/>
      <c r="P399" s="100"/>
      <c r="Q399" s="100"/>
      <c r="R399" s="100"/>
      <c r="S399" s="100"/>
      <c r="T399" s="100"/>
      <c r="U399" s="100"/>
      <c r="V399" s="100"/>
      <c r="W399" s="100"/>
      <c r="X399" s="100"/>
      <c r="Y399" s="100"/>
      <c r="Z399" s="100"/>
      <c r="AA399" s="100"/>
      <c r="AB399" s="100"/>
      <c r="AC399" s="100"/>
      <c r="AD399" s="100"/>
      <c r="AF399"/>
      <c r="AG399"/>
      <c r="AH399"/>
      <c r="AI399"/>
      <c r="AJ399"/>
      <c r="AK399">
        <f t="shared" si="168"/>
        <v>0</v>
      </c>
      <c r="AL399">
        <f t="shared" si="169"/>
        <v>0</v>
      </c>
      <c r="AM399">
        <f t="shared" si="191"/>
        <v>0</v>
      </c>
      <c r="AN399">
        <f t="shared" si="170"/>
        <v>0</v>
      </c>
      <c r="AO399">
        <f t="shared" si="171"/>
        <v>0</v>
      </c>
      <c r="AP399">
        <f t="shared" si="172"/>
        <v>0</v>
      </c>
      <c r="AQ399">
        <f t="shared" si="173"/>
        <v>0</v>
      </c>
      <c r="AR399">
        <f t="shared" si="174"/>
        <v>0</v>
      </c>
      <c r="AS399">
        <f t="shared" si="175"/>
        <v>0</v>
      </c>
      <c r="AT399">
        <f t="shared" si="176"/>
        <v>0</v>
      </c>
      <c r="AU399">
        <f t="shared" si="177"/>
        <v>0</v>
      </c>
      <c r="AV399">
        <f t="shared" si="178"/>
        <v>0</v>
      </c>
      <c r="AW399">
        <f t="shared" si="179"/>
        <v>0</v>
      </c>
      <c r="AX399">
        <f t="shared" si="180"/>
        <v>0</v>
      </c>
      <c r="AY399">
        <f t="shared" si="181"/>
        <v>0</v>
      </c>
      <c r="AZ399">
        <f t="shared" si="182"/>
        <v>0</v>
      </c>
      <c r="BA399">
        <f t="shared" si="183"/>
        <v>0</v>
      </c>
      <c r="BB399">
        <f t="shared" si="184"/>
        <v>0</v>
      </c>
      <c r="BC399">
        <f t="shared" si="185"/>
        <v>0</v>
      </c>
      <c r="BD399">
        <f t="shared" si="186"/>
        <v>0</v>
      </c>
      <c r="BE399">
        <f t="shared" si="187"/>
        <v>0</v>
      </c>
      <c r="BF399">
        <f t="shared" si="188"/>
        <v>0</v>
      </c>
      <c r="BG399">
        <f t="shared" si="189"/>
        <v>0</v>
      </c>
      <c r="BH399">
        <f t="shared" si="190"/>
        <v>0</v>
      </c>
      <c r="BI399">
        <f>COUNTIF(V385:V390,"NS")</f>
        <v>0</v>
      </c>
      <c r="BJ399">
        <f>SUM(V385:V390)</f>
        <v>0</v>
      </c>
      <c r="BK399">
        <f>IF(COUNTA(V384:V390)=0,0,IF(OR(AND(V384=0,BI399&gt;0),AND(V384="ns",BJ399&gt;0),AND(V384="ns",BI399=0,BJ399=0)),1,IF(OR(AND(BI399&gt;=2,V384&gt;BJ399),AND(V384="ns",BJ399=0,BI399&gt;0),V384=BJ399),0,1)))</f>
        <v>0</v>
      </c>
      <c r="BL399">
        <f>COUNTIF(V396:V400,"NS")</f>
        <v>0</v>
      </c>
      <c r="BM399">
        <f>SUM(V396:V400)</f>
        <v>0</v>
      </c>
      <c r="BN399">
        <f>IF(COUNTA(V395:V400)=0,0,IF(OR(AND(V395=0,BL399&gt;0),AND(V395="ns",BM399&gt;0),AND(V395="ns",BL399=0,BM399=0)),1,IF(OR(AND(BL399&gt;=2,V395&gt;BM399),AND(V395="ns",BM399=0,BL399&gt;0),V395=BM399),0,1)))</f>
        <v>0</v>
      </c>
      <c r="BO399">
        <f>COUNTIF(V405:V422,"NS")</f>
        <v>0</v>
      </c>
      <c r="BP399">
        <f>SUM(V405:V422)</f>
        <v>0</v>
      </c>
      <c r="BQ399">
        <f>IF(COUNTA(V404:V422)=0,0,IF(OR(AND(V404=0,BO399&gt;0),AND(V404="ns",BP399&gt;0),AND(V404="ns",BO399=0,BP399=0)),1,IF(OR(AND(BO399&gt;=2,V404&gt;BP399),AND(V404="ns",BP399=0,BO399&gt;0),V404=BP399),0,1)))</f>
        <v>0</v>
      </c>
      <c r="BR399">
        <f>COUNTIF(V424:V428,"NS")</f>
        <v>0</v>
      </c>
      <c r="BS399">
        <f>SUM(V424:V428)</f>
        <v>0</v>
      </c>
      <c r="BT399">
        <f>IF(COUNTA(V423:V428)=0,0,IF(OR(AND(V423=0,BR399&gt;0),AND(V423="ns",BS399&gt;0),AND(V423="ns",BR399=0,BS399=0)),1,IF(OR(AND(BR399&gt;=2,V423&gt;BS399),AND(V423="ns",BS399=0,BR399&gt;0),V423=BS399),0,1)))</f>
        <v>0</v>
      </c>
      <c r="BU399">
        <f>COUNTIF(V432:V434,"NS")</f>
        <v>0</v>
      </c>
      <c r="BV399">
        <f>SUM(V432:V434)</f>
        <v>0</v>
      </c>
      <c r="BW399">
        <f>IF(COUNTA(V431:V434)=0,0,IF(OR(AND(V431=0,BU399&gt;0),AND(V431="ns",BV399&gt;0),AND(V431="ns",BU399=0,BV399=0)),1,IF(OR(AND(BU399&gt;=2,V431&gt;BV399),AND(V431="ns",BV399=0,BU399&gt;0),V431=BV399),0,1)))</f>
        <v>0</v>
      </c>
      <c r="BX399">
        <f>COUNTIF(V442:V448,"NS")</f>
        <v>0</v>
      </c>
      <c r="BY399">
        <f>SUM(V442:V448)</f>
        <v>0</v>
      </c>
      <c r="BZ399">
        <f>IF(COUNTA(V441:V448)=0,0,IF(OR(AND(V441=0,BX399&gt;0),AND(V441="ns",BY399&gt;0),AND(V441="ns",BX399=0,BY399=0)),1,IF(OR(AND(BX399&gt;=2,V441&gt;BY399),AND(V441="ns",BY399=0,BX399&gt;0),V441=BY399),0,1)))</f>
        <v>0</v>
      </c>
      <c r="CA399">
        <f>COUNTIF(V450:V454,"NS")</f>
        <v>0</v>
      </c>
      <c r="CB399">
        <f>SUM(V450:V454)</f>
        <v>0</v>
      </c>
      <c r="CC399">
        <f>IF(COUNTA(V449:V454)=0,0,IF(OR(AND(V449=0,CA399&gt;0),AND(V449="ns",CB399&gt;0),AND(V449="ns",CA399=0,CB399=0)),1,IF(OR(AND(CA399&gt;=2,V449&gt;CB399),AND(V449="ns",CB399=0,CA399&gt;0),V449=CB399),0,1)))</f>
        <v>0</v>
      </c>
      <c r="CD399">
        <f>COUNTIF(V460:V465,"NS")</f>
        <v>0</v>
      </c>
      <c r="CE399">
        <f>SUM(V460:V465)</f>
        <v>0</v>
      </c>
      <c r="CF399">
        <f>IF(COUNTA(V459:V465)=0,0,IF(OR(AND(V459=0,CD399&gt;0),AND(V459="ns",CE399&gt;0),AND(V459="ns",CD399=0,CE399=0)),1,IF(OR(AND(CD399&gt;=2,V459&gt;CE399),AND(V459="ns",CE399=0,CD399&gt;0),V459=CE399),0,1)))</f>
        <v>0</v>
      </c>
      <c r="CG399">
        <f>COUNTIF(V467:V474,"NS")</f>
        <v>0</v>
      </c>
      <c r="CH399">
        <f>SUM(V467:V474)</f>
        <v>0</v>
      </c>
      <c r="CI399">
        <f>IF(COUNTA(V466:V474)=0,0,IF(OR(AND(V466=0,CG399&gt;0),AND(V466="ns",CH399&gt;0),AND(V466="ns",CG399=0,CH399=0)),1,IF(OR(AND(CG399&gt;=2,V466&gt;CH399),AND(V466="ns",CH399=0,CG399&gt;0),V466=CH399),0,1)))</f>
        <v>0</v>
      </c>
      <c r="CJ399">
        <f>COUNTIF(V479:V484,"NS")</f>
        <v>0</v>
      </c>
      <c r="CK399">
        <f>SUM(V479:V484)</f>
        <v>0</v>
      </c>
      <c r="CL399">
        <f>IF(COUNTA(V478:V484)=0,0,IF(OR(AND(V478=0,CJ399&gt;0),AND(V478="ns",CK399&gt;0),AND(V478="ns",CJ399=0,CK399=0)),1,IF(OR(AND(CJ399&gt;=2,V478&gt;CK399),AND(V478="ns",CK399=0,CJ399&gt;0),V478=CK399),0,1)))</f>
        <v>0</v>
      </c>
      <c r="CM399">
        <f>COUNTIF(V489:V497,"NS")</f>
        <v>0</v>
      </c>
      <c r="CN399">
        <f>SUM(V489:V497)</f>
        <v>0</v>
      </c>
      <c r="CO399">
        <f>IF(COUNTA(V488:V497)=0,0,IF(OR(AND(V488=0,CM399&gt;0),AND(V488="ns",CN399&gt;0),AND(V488="ns",CM399=0,CN399=0)),1,IF(OR(AND(CM399&gt;=2,V488&gt;CN399),AND(V488="ns",CN399=0,CM399&gt;0),V488=CN399),0,1)))</f>
        <v>0</v>
      </c>
      <c r="CP399">
        <f>COUNTIF(V499:V501,"NS")</f>
        <v>0</v>
      </c>
      <c r="CQ399">
        <f>SUM(V499:V501)</f>
        <v>0</v>
      </c>
      <c r="CR399">
        <f>IF(COUNTA(V498:V501)=0,0,IF(OR(AND(V498=0,CP399&gt;0),AND(V498="ns",CQ399&gt;0),AND(V498="ns",CP399=0,CQ399=0)),1,IF(OR(AND(CP399&gt;=2,V498&gt;CQ399),AND(V498="ns",CQ399=0,CP399&gt;0),V498=CQ399),0,1)))</f>
        <v>0</v>
      </c>
      <c r="CS399">
        <f>COUNTIF(V510:V516,"NS")</f>
        <v>0</v>
      </c>
      <c r="CT399">
        <f>SUM(V510:V516)</f>
        <v>0</v>
      </c>
      <c r="CU399">
        <f>IF(COUNTA(V509:V516)=0,0,IF(OR(AND(V509=0,CS399&gt;0),AND(V509="ns",CT399&gt;0),AND(V509="ns",CS399=0,CT399=0)),1,IF(OR(AND(CS399&gt;=2,V509&gt;CT399),AND(V509="ns",CT399=0,CS399&gt;0),V509=CT399),0,1)))</f>
        <v>0</v>
      </c>
      <c r="CV399">
        <f>COUNTIF(V519:V521,"NS")</f>
        <v>0</v>
      </c>
      <c r="CW399">
        <f>SUM(V519:V521)</f>
        <v>0</v>
      </c>
      <c r="CX399">
        <f>IF(COUNTA(V518:V521)=0,0,IF(OR(AND(V518=0,CV399&gt;0),AND(V518="ns",CW399&gt;0),AND(V518="ns",CV399=0,CW399=0)),1,IF(OR(AND(CV399&gt;=2,V518&gt;CW399),AND(V518="ns",CW399=0,CV399&gt;0),V518=CW399),0,1)))</f>
        <v>0</v>
      </c>
      <c r="CY399">
        <f>COUNTIF(V531:V535,"NS")</f>
        <v>0</v>
      </c>
      <c r="CZ399">
        <f>SUM(V531:V535)</f>
        <v>0</v>
      </c>
      <c r="DA399">
        <f>IF(COUNTA(V530:V535)=0,0,IF(OR(AND(V530=0,CY399&gt;0),AND(V530="ns",CZ399&gt;0),AND(V530="ns",CY399=0,CZ399=0)),1,IF(OR(AND(CY399&gt;=2,V530&gt;CZ399),AND(V530="ns",CZ399=0,CY399&gt;0),V530=CZ399),0,1)))</f>
        <v>0</v>
      </c>
    </row>
    <row r="400" spans="1:105" ht="15" customHeight="1">
      <c r="A400" s="206"/>
      <c r="B400" s="201"/>
      <c r="C400" s="1119" t="s">
        <v>4845</v>
      </c>
      <c r="D400" s="1121"/>
      <c r="E400" s="1121"/>
      <c r="F400" s="1120"/>
      <c r="G400" s="100"/>
      <c r="H400" s="100"/>
      <c r="I400" s="100"/>
      <c r="J400" s="100"/>
      <c r="K400" s="100"/>
      <c r="L400" s="100"/>
      <c r="M400" s="100"/>
      <c r="N400" s="100"/>
      <c r="O400" s="100"/>
      <c r="P400" s="100"/>
      <c r="Q400" s="100"/>
      <c r="R400" s="100"/>
      <c r="S400" s="100"/>
      <c r="T400" s="100"/>
      <c r="U400" s="100"/>
      <c r="V400" s="100"/>
      <c r="W400" s="100"/>
      <c r="X400" s="100"/>
      <c r="Y400" s="100"/>
      <c r="Z400" s="100"/>
      <c r="AA400" s="100"/>
      <c r="AB400" s="100"/>
      <c r="AC400" s="100"/>
      <c r="AD400" s="100"/>
      <c r="AF400"/>
      <c r="AG400"/>
      <c r="AH400"/>
      <c r="AI400"/>
      <c r="AJ400"/>
      <c r="AK400">
        <f t="shared" si="168"/>
        <v>0</v>
      </c>
      <c r="AL400">
        <f t="shared" si="169"/>
        <v>0</v>
      </c>
      <c r="AM400">
        <f t="shared" si="191"/>
        <v>0</v>
      </c>
      <c r="AN400">
        <f t="shared" si="170"/>
        <v>0</v>
      </c>
      <c r="AO400">
        <f t="shared" si="171"/>
        <v>0</v>
      </c>
      <c r="AP400">
        <f t="shared" si="172"/>
        <v>0</v>
      </c>
      <c r="AQ400">
        <f t="shared" si="173"/>
        <v>0</v>
      </c>
      <c r="AR400">
        <f t="shared" si="174"/>
        <v>0</v>
      </c>
      <c r="AS400">
        <f t="shared" si="175"/>
        <v>0</v>
      </c>
      <c r="AT400">
        <f t="shared" si="176"/>
        <v>0</v>
      </c>
      <c r="AU400">
        <f t="shared" si="177"/>
        <v>0</v>
      </c>
      <c r="AV400">
        <f t="shared" si="178"/>
        <v>0</v>
      </c>
      <c r="AW400">
        <f t="shared" si="179"/>
        <v>0</v>
      </c>
      <c r="AX400">
        <f t="shared" si="180"/>
        <v>0</v>
      </c>
      <c r="AY400">
        <f t="shared" si="181"/>
        <v>0</v>
      </c>
      <c r="AZ400">
        <f t="shared" si="182"/>
        <v>0</v>
      </c>
      <c r="BA400">
        <f t="shared" si="183"/>
        <v>0</v>
      </c>
      <c r="BB400">
        <f t="shared" si="184"/>
        <v>0</v>
      </c>
      <c r="BC400">
        <f t="shared" si="185"/>
        <v>0</v>
      </c>
      <c r="BD400">
        <f t="shared" si="186"/>
        <v>0</v>
      </c>
      <c r="BE400">
        <f t="shared" si="187"/>
        <v>0</v>
      </c>
      <c r="BF400">
        <f t="shared" si="188"/>
        <v>0</v>
      </c>
      <c r="BG400">
        <f t="shared" si="189"/>
        <v>0</v>
      </c>
      <c r="BH400">
        <f t="shared" si="190"/>
        <v>0</v>
      </c>
      <c r="BI400">
        <f>COUNTIF(W385:W390,"NS")</f>
        <v>0</v>
      </c>
      <c r="BJ400">
        <f>SUM(W385:W390)</f>
        <v>0</v>
      </c>
      <c r="BK400">
        <f>IF(COUNTA(W384:W390)=0,0,IF(OR(AND(W384=0,BI400&gt;0),AND(W384="ns",BJ400&gt;0),AND(W384="ns",BI400=0,BJ400=0)),1,IF(OR(AND(BI400&gt;=2,W384&gt;BJ400),AND(W384="ns",BJ400=0,BI400&gt;0),W384=BJ400),0,1)))</f>
        <v>0</v>
      </c>
      <c r="BL400">
        <f>COUNTIF(W396:W400,"NS")</f>
        <v>0</v>
      </c>
      <c r="BM400">
        <f>SUM(W396:W400)</f>
        <v>0</v>
      </c>
      <c r="BN400">
        <f>IF(COUNTA(W395:W400)=0,0,IF(OR(AND(W395=0,BL400&gt;0),AND(W395="ns",BM400&gt;0),AND(W395="ns",BL400=0,BM400=0)),1,IF(OR(AND(BL400&gt;=2,W395&gt;BM400),AND(W395="ns",BM400=0,BL400&gt;0),W395=BM400),0,1)))</f>
        <v>0</v>
      </c>
      <c r="BO400">
        <f>COUNTIF(W405:W422,"NS")</f>
        <v>0</v>
      </c>
      <c r="BP400">
        <f>SUM(W405:W422)</f>
        <v>0</v>
      </c>
      <c r="BQ400">
        <f>IF(COUNTA(W404:W422)=0,0,IF(OR(AND(W404=0,BO400&gt;0),AND(W404="ns",BP400&gt;0),AND(W404="ns",BO400=0,BP400=0)),1,IF(OR(AND(BO400&gt;=2,W404&gt;BP400),AND(W404="ns",BP400=0,BO400&gt;0),W404=BP400),0,1)))</f>
        <v>0</v>
      </c>
      <c r="BR400">
        <f>COUNTIF(W424:W428,"NS")</f>
        <v>0</v>
      </c>
      <c r="BS400">
        <f>SUM(W424:W428)</f>
        <v>0</v>
      </c>
      <c r="BT400">
        <f>IF(COUNTA(W423:W428)=0,0,IF(OR(AND(W423=0,BR400&gt;0),AND(W423="ns",BS400&gt;0),AND(W423="ns",BR400=0,BS400=0)),1,IF(OR(AND(BR400&gt;=2,W423&gt;BS400),AND(W423="ns",BS400=0,BR400&gt;0),W423=BS400),0,1)))</f>
        <v>0</v>
      </c>
      <c r="BU400">
        <f>COUNTIF(W432:W434,"NS")</f>
        <v>0</v>
      </c>
      <c r="BV400">
        <f>SUM(W432:W434)</f>
        <v>0</v>
      </c>
      <c r="BW400">
        <f>IF(COUNTA(W431:W434)=0,0,IF(OR(AND(W431=0,BU400&gt;0),AND(W431="ns",BV400&gt;0),AND(W431="ns",BU400=0,BV400=0)),1,IF(OR(AND(BU400&gt;=2,W431&gt;BV400),AND(W431="ns",BV400=0,BU400&gt;0),W431=BV400),0,1)))</f>
        <v>0</v>
      </c>
      <c r="BX400">
        <f>COUNTIF(W442:W448,"NS")</f>
        <v>0</v>
      </c>
      <c r="BY400">
        <f>SUM(W442:W448)</f>
        <v>0</v>
      </c>
      <c r="BZ400">
        <f>IF(COUNTA(W441:W448)=0,0,IF(OR(AND(W441=0,BX400&gt;0),AND(W441="ns",BY400&gt;0),AND(W441="ns",BX400=0,BY400=0)),1,IF(OR(AND(BX400&gt;=2,W441&gt;BY400),AND(W441="ns",BY400=0,BX400&gt;0),W441=BY400),0,1)))</f>
        <v>0</v>
      </c>
      <c r="CA400">
        <f>COUNTIF(W450:W454,"NS")</f>
        <v>0</v>
      </c>
      <c r="CB400">
        <f>SUM(W450:W454)</f>
        <v>0</v>
      </c>
      <c r="CC400">
        <f>IF(COUNTA(W449:W454)=0,0,IF(OR(AND(W449=0,CA400&gt;0),AND(W449="ns",CB400&gt;0),AND(W449="ns",CA400=0,CB400=0)),1,IF(OR(AND(CA400&gt;=2,W449&gt;CB400),AND(W449="ns",CB400=0,CA400&gt;0),W449=CB400),0,1)))</f>
        <v>0</v>
      </c>
      <c r="CD400">
        <f>COUNTIF(W460:W465,"NS")</f>
        <v>0</v>
      </c>
      <c r="CE400">
        <f>SUM(W460:W465)</f>
        <v>0</v>
      </c>
      <c r="CF400">
        <f>IF(COUNTA(W459:W465)=0,0,IF(OR(AND(W459=0,CD400&gt;0),AND(W459="ns",CE400&gt;0),AND(W459="ns",CD400=0,CE400=0)),1,IF(OR(AND(CD400&gt;=2,W459&gt;CE400),AND(W459="ns",CE400=0,CD400&gt;0),W459=CE400),0,1)))</f>
        <v>0</v>
      </c>
      <c r="CG400">
        <f>COUNTIF(W467:W474,"NS")</f>
        <v>0</v>
      </c>
      <c r="CH400">
        <f>SUM(W467:W474)</f>
        <v>0</v>
      </c>
      <c r="CI400">
        <f>IF(COUNTA(W466:W474)=0,0,IF(OR(AND(W466=0,CG400&gt;0),AND(W466="ns",CH400&gt;0),AND(W466="ns",CG400=0,CH400=0)),1,IF(OR(AND(CG400&gt;=2,W466&gt;CH400),AND(W466="ns",CH400=0,CG400&gt;0),W466=CH400),0,1)))</f>
        <v>0</v>
      </c>
      <c r="CJ400">
        <f>COUNTIF(W479:W484,"NS")</f>
        <v>0</v>
      </c>
      <c r="CK400">
        <f>SUM(W479:W484)</f>
        <v>0</v>
      </c>
      <c r="CL400">
        <f>IF(COUNTA(W478:W484)=0,0,IF(OR(AND(W478=0,CJ400&gt;0),AND(W478="ns",CK400&gt;0),AND(W478="ns",CJ400=0,CK400=0)),1,IF(OR(AND(CJ400&gt;=2,W478&gt;CK400),AND(W478="ns",CK400=0,CJ400&gt;0),W478=CK400),0,1)))</f>
        <v>0</v>
      </c>
      <c r="CM400">
        <f>COUNTIF(W489:W497,"NS")</f>
        <v>0</v>
      </c>
      <c r="CN400">
        <f>SUM(W489:W497)</f>
        <v>0</v>
      </c>
      <c r="CO400">
        <f>IF(COUNTA(W488:W497)=0,0,IF(OR(AND(W488=0,CM400&gt;0),AND(W488="ns",CN400&gt;0),AND(W488="ns",CM400=0,CN400=0)),1,IF(OR(AND(CM400&gt;=2,W488&gt;CN400),AND(W488="ns",CN400=0,CM400&gt;0),W488=CN400),0,1)))</f>
        <v>0</v>
      </c>
      <c r="CP400">
        <f>COUNTIF(W499:W501,"NS")</f>
        <v>0</v>
      </c>
      <c r="CQ400">
        <f>SUM(W499:W501)</f>
        <v>0</v>
      </c>
      <c r="CR400">
        <f>IF(COUNTA(W498:W501)=0,0,IF(OR(AND(W498=0,CP400&gt;0),AND(W498="ns",CQ400&gt;0),AND(W498="ns",CP400=0,CQ400=0)),1,IF(OR(AND(CP400&gt;=2,W498&gt;CQ400),AND(W498="ns",CQ400=0,CP400&gt;0),W498=CQ400),0,1)))</f>
        <v>0</v>
      </c>
      <c r="CS400">
        <f>COUNTIF(W510:W516,"NS")</f>
        <v>0</v>
      </c>
      <c r="CT400">
        <f>SUM(W510:W516)</f>
        <v>0</v>
      </c>
      <c r="CU400">
        <f>IF(COUNTA(W509:W516)=0,0,IF(OR(AND(W509=0,CS400&gt;0),AND(W509="ns",CT400&gt;0),AND(W509="ns",CS400=0,CT400=0)),1,IF(OR(AND(CS400&gt;=2,W509&gt;CT400),AND(W509="ns",CT400=0,CS400&gt;0),W509=CT400),0,1)))</f>
        <v>0</v>
      </c>
      <c r="CV400">
        <f>COUNTIF(W519:W521,"NS")</f>
        <v>0</v>
      </c>
      <c r="CW400">
        <f>SUM(W519:W521)</f>
        <v>0</v>
      </c>
      <c r="CX400">
        <f>IF(COUNTA(W518:W521)=0,0,IF(OR(AND(W518=0,CV400&gt;0),AND(W518="ns",CW400&gt;0),AND(W518="ns",CV400=0,CW400=0)),1,IF(OR(AND(CV400&gt;=2,W518&gt;CW400),AND(W518="ns",CW400=0,CV400&gt;0),W518=CW400),0,1)))</f>
        <v>0</v>
      </c>
      <c r="CY400">
        <f>COUNTIF(W531:W535,"NS")</f>
        <v>0</v>
      </c>
      <c r="CZ400">
        <f>SUM(W531:W535)</f>
        <v>0</v>
      </c>
      <c r="DA400">
        <f>IF(COUNTA(W530:W535)=0,0,IF(OR(AND(W530=0,CY400&gt;0),AND(W530="ns",CZ400&gt;0),AND(W530="ns",CY400=0,CZ400=0)),1,IF(OR(AND(CY400&gt;=2,W530&gt;CZ400),AND(W530="ns",CZ400=0,CY400&gt;0),W530=CZ400),0,1)))</f>
        <v>0</v>
      </c>
    </row>
    <row r="401" spans="1:105" ht="15" customHeight="1">
      <c r="A401" s="206"/>
      <c r="B401" s="206"/>
      <c r="C401" s="1117" t="s">
        <v>4846</v>
      </c>
      <c r="D401" s="1136"/>
      <c r="E401" s="1136"/>
      <c r="F401" s="1118"/>
      <c r="G401" s="100"/>
      <c r="H401" s="100"/>
      <c r="I401" s="100"/>
      <c r="J401" s="100"/>
      <c r="K401" s="100"/>
      <c r="L401" s="100"/>
      <c r="M401" s="100"/>
      <c r="N401" s="100"/>
      <c r="O401" s="100"/>
      <c r="P401" s="100"/>
      <c r="Q401" s="100"/>
      <c r="R401" s="100"/>
      <c r="S401" s="100"/>
      <c r="T401" s="100"/>
      <c r="U401" s="100"/>
      <c r="V401" s="100"/>
      <c r="W401" s="100"/>
      <c r="X401" s="100"/>
      <c r="Y401" s="100"/>
      <c r="Z401" s="100"/>
      <c r="AA401" s="100"/>
      <c r="AB401" s="100"/>
      <c r="AC401" s="100"/>
      <c r="AD401" s="100"/>
      <c r="AF401"/>
      <c r="AG401"/>
      <c r="AH401"/>
      <c r="AI401"/>
      <c r="AJ401"/>
      <c r="AK401">
        <f t="shared" si="168"/>
        <v>0</v>
      </c>
      <c r="AL401">
        <f t="shared" si="169"/>
        <v>0</v>
      </c>
      <c r="AM401">
        <f t="shared" si="191"/>
        <v>0</v>
      </c>
      <c r="AN401">
        <f t="shared" si="170"/>
        <v>0</v>
      </c>
      <c r="AO401">
        <f t="shared" si="171"/>
        <v>0</v>
      </c>
      <c r="AP401">
        <f t="shared" si="172"/>
        <v>0</v>
      </c>
      <c r="AQ401">
        <f t="shared" si="173"/>
        <v>0</v>
      </c>
      <c r="AR401">
        <f t="shared" si="174"/>
        <v>0</v>
      </c>
      <c r="AS401">
        <f t="shared" si="175"/>
        <v>0</v>
      </c>
      <c r="AT401">
        <f t="shared" si="176"/>
        <v>0</v>
      </c>
      <c r="AU401">
        <f t="shared" si="177"/>
        <v>0</v>
      </c>
      <c r="AV401">
        <f t="shared" si="178"/>
        <v>0</v>
      </c>
      <c r="AW401">
        <f t="shared" si="179"/>
        <v>0</v>
      </c>
      <c r="AX401">
        <f t="shared" si="180"/>
        <v>0</v>
      </c>
      <c r="AY401">
        <f t="shared" si="181"/>
        <v>0</v>
      </c>
      <c r="AZ401">
        <f t="shared" si="182"/>
        <v>0</v>
      </c>
      <c r="BA401">
        <f t="shared" si="183"/>
        <v>0</v>
      </c>
      <c r="BB401">
        <f t="shared" si="184"/>
        <v>0</v>
      </c>
      <c r="BC401">
        <f t="shared" si="185"/>
        <v>0</v>
      </c>
      <c r="BD401">
        <f t="shared" si="186"/>
        <v>0</v>
      </c>
      <c r="BE401">
        <f t="shared" si="187"/>
        <v>0</v>
      </c>
      <c r="BF401">
        <f t="shared" si="188"/>
        <v>0</v>
      </c>
      <c r="BG401">
        <f t="shared" si="189"/>
        <v>0</v>
      </c>
      <c r="BH401">
        <f t="shared" si="190"/>
        <v>0</v>
      </c>
      <c r="BI401">
        <f>COUNTIF(X385:X390,"NS")</f>
        <v>0</v>
      </c>
      <c r="BJ401">
        <f>SUM(X385:X390)</f>
        <v>0</v>
      </c>
      <c r="BK401">
        <f>IF(COUNTA(X384:X390)=0,0,IF(OR(AND(X384=0,BI401&gt;0),AND(X384="ns",BJ401&gt;0),AND(X384="ns",BI401=0,BJ401=0)),1,IF(OR(AND(BI401&gt;=2,X384&gt;BJ401),AND(X384="ns",BJ401=0,BI401&gt;0),X384=BJ401),0,1)))</f>
        <v>0</v>
      </c>
      <c r="BL401">
        <f>COUNTIF(X396:X400,"NS")</f>
        <v>0</v>
      </c>
      <c r="BM401">
        <f>SUM(X396:X400)</f>
        <v>0</v>
      </c>
      <c r="BN401">
        <f>IF(COUNTA(X395:X400)=0,0,IF(OR(AND(X395=0,BL401&gt;0),AND(X395="ns",BM401&gt;0),AND(X395="ns",BL401=0,BM401=0)),1,IF(OR(AND(BL401&gt;=2,X395&gt;BM401),AND(X395="ns",BM401=0,BL401&gt;0),X395=BM401),0,1)))</f>
        <v>0</v>
      </c>
      <c r="BO401">
        <f>COUNTIF(X405:X422,"NS")</f>
        <v>0</v>
      </c>
      <c r="BP401">
        <f>SUM(X405:X422)</f>
        <v>0</v>
      </c>
      <c r="BQ401">
        <f>IF(COUNTA(X404:X422)=0,0,IF(OR(AND(X404=0,BO401&gt;0),AND(X404="ns",BP401&gt;0),AND(X404="ns",BO401=0,BP401=0)),1,IF(OR(AND(BO401&gt;=2,X404&gt;BP401),AND(X404="ns",BP401=0,BO401&gt;0),X404=BP401),0,1)))</f>
        <v>0</v>
      </c>
      <c r="BR401">
        <f>COUNTIF(X424:X428,"NS")</f>
        <v>0</v>
      </c>
      <c r="BS401">
        <f>SUM(X424:X428)</f>
        <v>0</v>
      </c>
      <c r="BT401">
        <f>IF(COUNTA(X423:X428)=0,0,IF(OR(AND(X423=0,BR401&gt;0),AND(X423="ns",BS401&gt;0),AND(X423="ns",BR401=0,BS401=0)),1,IF(OR(AND(BR401&gt;=2,X423&gt;BS401),AND(X423="ns",BS401=0,BR401&gt;0),X423=BS401),0,1)))</f>
        <v>0</v>
      </c>
      <c r="BU401">
        <f>COUNTIF(X432:X434,"NS")</f>
        <v>0</v>
      </c>
      <c r="BV401">
        <f>SUM(X432:X434)</f>
        <v>0</v>
      </c>
      <c r="BW401">
        <f>IF(COUNTA(X431:X434)=0,0,IF(OR(AND(X431=0,BU401&gt;0),AND(X431="ns",BV401&gt;0),AND(X431="ns",BU401=0,BV401=0)),1,IF(OR(AND(BU401&gt;=2,X431&gt;BV401),AND(X431="ns",BV401=0,BU401&gt;0),X431=BV401),0,1)))</f>
        <v>0</v>
      </c>
      <c r="BX401">
        <f>COUNTIF(X442:X448,"NS")</f>
        <v>0</v>
      </c>
      <c r="BY401">
        <f>SUM(X442:X448)</f>
        <v>0</v>
      </c>
      <c r="BZ401">
        <f>IF(COUNTA(X441:X448)=0,0,IF(OR(AND(X441=0,BX401&gt;0),AND(X441="ns",BY401&gt;0),AND(X441="ns",BX401=0,BY401=0)),1,IF(OR(AND(BX401&gt;=2,X441&gt;BY401),AND(X441="ns",BY401=0,BX401&gt;0),X441=BY401),0,1)))</f>
        <v>0</v>
      </c>
      <c r="CA401">
        <f>COUNTIF(X450:X454,"NS")</f>
        <v>0</v>
      </c>
      <c r="CB401">
        <f>SUM(X450:X454)</f>
        <v>0</v>
      </c>
      <c r="CC401">
        <f>IF(COUNTA(X449:X454)=0,0,IF(OR(AND(X449=0,CA401&gt;0),AND(X449="ns",CB401&gt;0),AND(X449="ns",CA401=0,CB401=0)),1,IF(OR(AND(CA401&gt;=2,X449&gt;CB401),AND(X449="ns",CB401=0,CA401&gt;0),X449=CB401),0,1)))</f>
        <v>0</v>
      </c>
      <c r="CD401">
        <f>COUNTIF(X460:X465,"NS")</f>
        <v>0</v>
      </c>
      <c r="CE401">
        <f>SUM(X460:X465)</f>
        <v>0</v>
      </c>
      <c r="CF401">
        <f>IF(COUNTA(X459:X465)=0,0,IF(OR(AND(X459=0,CD401&gt;0),AND(X459="ns",CE401&gt;0),AND(X459="ns",CD401=0,CE401=0)),1,IF(OR(AND(CD401&gt;=2,X459&gt;CE401),AND(X459="ns",CE401=0,CD401&gt;0),X459=CE401),0,1)))</f>
        <v>0</v>
      </c>
      <c r="CG401">
        <f>COUNTIF(X467:X474,"NS")</f>
        <v>0</v>
      </c>
      <c r="CH401">
        <f>SUM(X467:X474)</f>
        <v>0</v>
      </c>
      <c r="CI401">
        <f>IF(COUNTA(X466:X474)=0,0,IF(OR(AND(X466=0,CG401&gt;0),AND(X466="ns",CH401&gt;0),AND(X466="ns",CG401=0,CH401=0)),1,IF(OR(AND(CG401&gt;=2,X466&gt;CH401),AND(X466="ns",CH401=0,CG401&gt;0),X466=CH401),0,1)))</f>
        <v>0</v>
      </c>
      <c r="CJ401">
        <f>COUNTIF(X479:X484,"NS")</f>
        <v>0</v>
      </c>
      <c r="CK401">
        <f>SUM(X479:X484)</f>
        <v>0</v>
      </c>
      <c r="CL401">
        <f>IF(COUNTA(X478:X484)=0,0,IF(OR(AND(X478=0,CJ401&gt;0),AND(X478="ns",CK401&gt;0),AND(X478="ns",CJ401=0,CK401=0)),1,IF(OR(AND(CJ401&gt;=2,X478&gt;CK401),AND(X478="ns",CK401=0,CJ401&gt;0),X478=CK401),0,1)))</f>
        <v>0</v>
      </c>
      <c r="CM401">
        <f>COUNTIF(X489:X497,"NS")</f>
        <v>0</v>
      </c>
      <c r="CN401">
        <f>SUM(X489:X497)</f>
        <v>0</v>
      </c>
      <c r="CO401">
        <f>IF(COUNTA(X488:X497)=0,0,IF(OR(AND(X488=0,CM401&gt;0),AND(X488="ns",CN401&gt;0),AND(X488="ns",CM401=0,CN401=0)),1,IF(OR(AND(CM401&gt;=2,X488&gt;CN401),AND(X488="ns",CN401=0,CM401&gt;0),X488=CN401),0,1)))</f>
        <v>0</v>
      </c>
      <c r="CP401">
        <f>COUNTIF(X499:X501,"NS")</f>
        <v>0</v>
      </c>
      <c r="CQ401">
        <f>SUM(X499:X501)</f>
        <v>0</v>
      </c>
      <c r="CR401">
        <f>IF(COUNTA(X498:X501)=0,0,IF(OR(AND(X498=0,CP401&gt;0),AND(X498="ns",CQ401&gt;0),AND(X498="ns",CP401=0,CQ401=0)),1,IF(OR(AND(CP401&gt;=2,X498&gt;CQ401),AND(X498="ns",CQ401=0,CP401&gt;0),X498=CQ401),0,1)))</f>
        <v>0</v>
      </c>
      <c r="CS401">
        <f>COUNTIF(X510:X516,"NS")</f>
        <v>0</v>
      </c>
      <c r="CT401">
        <f>SUM(X510:X516)</f>
        <v>0</v>
      </c>
      <c r="CU401">
        <f>IF(COUNTA(X509:X516)=0,0,IF(OR(AND(X509=0,CS401&gt;0),AND(X509="ns",CT401&gt;0),AND(X509="ns",CS401=0,CT401=0)),1,IF(OR(AND(CS401&gt;=2,X509&gt;CT401),AND(X509="ns",CT401=0,CS401&gt;0),X509=CT401),0,1)))</f>
        <v>0</v>
      </c>
      <c r="CV401">
        <f>COUNTIF(X519:X521,"NS")</f>
        <v>0</v>
      </c>
      <c r="CW401">
        <f>SUM(X519:X521)</f>
        <v>0</v>
      </c>
      <c r="CX401">
        <f>IF(COUNTA(X518:X521)=0,0,IF(OR(AND(X518=0,CV401&gt;0),AND(X518="ns",CW401&gt;0),AND(X518="ns",CV401=0,CW401=0)),1,IF(OR(AND(CV401&gt;=2,X518&gt;CW401),AND(X518="ns",CW401=0,CV401&gt;0),X518=CW401),0,1)))</f>
        <v>0</v>
      </c>
      <c r="CY401">
        <f>COUNTIF(X531:X535,"NS")</f>
        <v>0</v>
      </c>
      <c r="CZ401">
        <f>SUM(X531:X535)</f>
        <v>0</v>
      </c>
      <c r="DA401">
        <f>IF(COUNTA(X530:X535)=0,0,IF(OR(AND(X530=0,CY401&gt;0),AND(X530="ns",CZ401&gt;0),AND(X530="ns",CY401=0,CZ401=0)),1,IF(OR(AND(CY401&gt;=2,X530&gt;CZ401),AND(X530="ns",CZ401=0,CY401&gt;0),X530=CZ401),0,1)))</f>
        <v>0</v>
      </c>
    </row>
    <row r="402" spans="1:105" ht="15" customHeight="1">
      <c r="A402" s="206"/>
      <c r="B402" s="206"/>
      <c r="C402" s="1117" t="s">
        <v>4848</v>
      </c>
      <c r="D402" s="1136"/>
      <c r="E402" s="1136"/>
      <c r="F402" s="1118"/>
      <c r="G402" s="100"/>
      <c r="H402" s="100"/>
      <c r="I402" s="100"/>
      <c r="J402" s="100"/>
      <c r="K402" s="100"/>
      <c r="L402" s="100"/>
      <c r="M402" s="100"/>
      <c r="N402" s="100"/>
      <c r="O402" s="100"/>
      <c r="P402" s="100"/>
      <c r="Q402" s="100"/>
      <c r="R402" s="100"/>
      <c r="S402" s="100"/>
      <c r="T402" s="100"/>
      <c r="U402" s="100"/>
      <c r="V402" s="100"/>
      <c r="W402" s="100"/>
      <c r="X402" s="100"/>
      <c r="Y402" s="100"/>
      <c r="Z402" s="100"/>
      <c r="AA402" s="100"/>
      <c r="AB402" s="100"/>
      <c r="AC402" s="100"/>
      <c r="AD402" s="100"/>
      <c r="AF402"/>
      <c r="AG402"/>
      <c r="AH402"/>
      <c r="AI402"/>
      <c r="AJ402"/>
      <c r="AK402">
        <f t="shared" si="168"/>
        <v>0</v>
      </c>
      <c r="AL402">
        <f t="shared" si="169"/>
        <v>0</v>
      </c>
      <c r="AM402">
        <f t="shared" si="191"/>
        <v>0</v>
      </c>
      <c r="AN402">
        <f t="shared" si="170"/>
        <v>0</v>
      </c>
      <c r="AO402">
        <f t="shared" si="171"/>
        <v>0</v>
      </c>
      <c r="AP402">
        <f t="shared" si="172"/>
        <v>0</v>
      </c>
      <c r="AQ402">
        <f t="shared" si="173"/>
        <v>0</v>
      </c>
      <c r="AR402">
        <f t="shared" si="174"/>
        <v>0</v>
      </c>
      <c r="AS402">
        <f t="shared" si="175"/>
        <v>0</v>
      </c>
      <c r="AT402">
        <f t="shared" si="176"/>
        <v>0</v>
      </c>
      <c r="AU402">
        <f t="shared" si="177"/>
        <v>0</v>
      </c>
      <c r="AV402">
        <f t="shared" si="178"/>
        <v>0</v>
      </c>
      <c r="AW402">
        <f t="shared" si="179"/>
        <v>0</v>
      </c>
      <c r="AX402">
        <f t="shared" si="180"/>
        <v>0</v>
      </c>
      <c r="AY402">
        <f t="shared" si="181"/>
        <v>0</v>
      </c>
      <c r="AZ402">
        <f t="shared" si="182"/>
        <v>0</v>
      </c>
      <c r="BA402">
        <f t="shared" si="183"/>
        <v>0</v>
      </c>
      <c r="BB402">
        <f t="shared" si="184"/>
        <v>0</v>
      </c>
      <c r="BC402">
        <f t="shared" si="185"/>
        <v>0</v>
      </c>
      <c r="BD402">
        <f t="shared" si="186"/>
        <v>0</v>
      </c>
      <c r="BE402">
        <f t="shared" si="187"/>
        <v>0</v>
      </c>
      <c r="BF402">
        <f t="shared" si="188"/>
        <v>0</v>
      </c>
      <c r="BG402">
        <f t="shared" si="189"/>
        <v>0</v>
      </c>
      <c r="BH402">
        <f t="shared" si="190"/>
        <v>0</v>
      </c>
      <c r="BI402">
        <f>COUNTIF(Y385:Y390,"NS")</f>
        <v>0</v>
      </c>
      <c r="BJ402">
        <f>SUM(Y385:Y390)</f>
        <v>0</v>
      </c>
      <c r="BK402">
        <f>IF(COUNTA(Y384:Y390)=0,0,IF(OR(AND(Y384=0,BI402&gt;0),AND(Y384="ns",BJ402&gt;0),AND(Y384="ns",BI402=0,BJ402=0)),1,IF(OR(AND(BI402&gt;=2,Y384&gt;BJ402),AND(Y384="ns",BJ402=0,BI402&gt;0),Y384=BJ402),0,1)))</f>
        <v>0</v>
      </c>
      <c r="BL402">
        <f>COUNTIF(Y396:Y400,"NS")</f>
        <v>0</v>
      </c>
      <c r="BM402">
        <f>SUM(Y396:Y400)</f>
        <v>0</v>
      </c>
      <c r="BN402">
        <f>IF(COUNTA(Y395:Y400)=0,0,IF(OR(AND(Y395=0,BL402&gt;0),AND(Y395="ns",BM402&gt;0),AND(Y395="ns",BL402=0,BM402=0)),1,IF(OR(AND(BL402&gt;=2,Y395&gt;BM402),AND(Y395="ns",BM402=0,BL402&gt;0),Y395=BM402),0,1)))</f>
        <v>0</v>
      </c>
      <c r="BO402">
        <f>COUNTIF(Y405:Y422,"NS")</f>
        <v>0</v>
      </c>
      <c r="BP402">
        <f>SUM(Y405:Y422)</f>
        <v>0</v>
      </c>
      <c r="BQ402">
        <f>IF(COUNTA(Y404:Y422)=0,0,IF(OR(AND(Y404=0,BO402&gt;0),AND(Y404="ns",BP402&gt;0),AND(Y404="ns",BO402=0,BP402=0)),1,IF(OR(AND(BO402&gt;=2,Y404&gt;BP402),AND(Y404="ns",BP402=0,BO402&gt;0),Y404=BP402),0,1)))</f>
        <v>0</v>
      </c>
      <c r="BR402">
        <f>COUNTIF(Y424:Y428,"NS")</f>
        <v>0</v>
      </c>
      <c r="BS402">
        <f>SUM(Y424:Y428)</f>
        <v>0</v>
      </c>
      <c r="BT402">
        <f>IF(COUNTA(Y423:Y428)=0,0,IF(OR(AND(Y423=0,BR402&gt;0),AND(Y423="ns",BS402&gt;0),AND(Y423="ns",BR402=0,BS402=0)),1,IF(OR(AND(BR402&gt;=2,Y423&gt;BS402),AND(Y423="ns",BS402=0,BR402&gt;0),Y423=BS402),0,1)))</f>
        <v>0</v>
      </c>
      <c r="BU402">
        <f>COUNTIF(Y432:Y434,"NS")</f>
        <v>0</v>
      </c>
      <c r="BV402">
        <f>SUM(Y432:Y434)</f>
        <v>0</v>
      </c>
      <c r="BW402">
        <f>IF(COUNTA(Y431:Y434)=0,0,IF(OR(AND(Y431=0,BU402&gt;0),AND(Y431="ns",BV402&gt;0),AND(Y431="ns",BU402=0,BV402=0)),1,IF(OR(AND(BU402&gt;=2,Y431&gt;BV402),AND(Y431="ns",BV402=0,BU402&gt;0),Y431=BV402),0,1)))</f>
        <v>0</v>
      </c>
      <c r="BX402">
        <f>COUNTIF(Y442:Y448,"NS")</f>
        <v>0</v>
      </c>
      <c r="BY402">
        <f>SUM(Y442:Y448)</f>
        <v>0</v>
      </c>
      <c r="BZ402">
        <f>IF(COUNTA(Y441:Y448)=0,0,IF(OR(AND(Y441=0,BX402&gt;0),AND(Y441="ns",BY402&gt;0),AND(Y441="ns",BX402=0,BY402=0)),1,IF(OR(AND(BX402&gt;=2,Y441&gt;BY402),AND(Y441="ns",BY402=0,BX402&gt;0),Y441=BY402),0,1)))</f>
        <v>0</v>
      </c>
      <c r="CA402">
        <f>COUNTIF(Y450:Y454,"NS")</f>
        <v>0</v>
      </c>
      <c r="CB402">
        <f>SUM(Y450:Y454)</f>
        <v>0</v>
      </c>
      <c r="CC402">
        <f>IF(COUNTA(Y449:Y454)=0,0,IF(OR(AND(Y449=0,CA402&gt;0),AND(Y449="ns",CB402&gt;0),AND(Y449="ns",CA402=0,CB402=0)),1,IF(OR(AND(CA402&gt;=2,Y449&gt;CB402),AND(Y449="ns",CB402=0,CA402&gt;0),Y449=CB402),0,1)))</f>
        <v>0</v>
      </c>
      <c r="CD402">
        <f>COUNTIF(Y460:Y465,"NS")</f>
        <v>0</v>
      </c>
      <c r="CE402">
        <f>SUM(Y460:Y465)</f>
        <v>0</v>
      </c>
      <c r="CF402">
        <f>IF(COUNTA(Y459:Y465)=0,0,IF(OR(AND(Y459=0,CD402&gt;0),AND(Y459="ns",CE402&gt;0),AND(Y459="ns",CD402=0,CE402=0)),1,IF(OR(AND(CD402&gt;=2,Y459&gt;CE402),AND(Y459="ns",CE402=0,CD402&gt;0),Y459=CE402),0,1)))</f>
        <v>0</v>
      </c>
      <c r="CG402">
        <f>COUNTIF(Y467:Y474,"NS")</f>
        <v>0</v>
      </c>
      <c r="CH402">
        <f>SUM(Y467:Y474)</f>
        <v>0</v>
      </c>
      <c r="CI402">
        <f>IF(COUNTA(Y466:Y474)=0,0,IF(OR(AND(Y466=0,CG402&gt;0),AND(Y466="ns",CH402&gt;0),AND(Y466="ns",CG402=0,CH402=0)),1,IF(OR(AND(CG402&gt;=2,Y466&gt;CH402),AND(Y466="ns",CH402=0,CG402&gt;0),Y466=CH402),0,1)))</f>
        <v>0</v>
      </c>
      <c r="CJ402">
        <f>COUNTIF(Y479:Y484,"NS")</f>
        <v>0</v>
      </c>
      <c r="CK402">
        <f>SUM(Y479:Y484)</f>
        <v>0</v>
      </c>
      <c r="CL402">
        <f>IF(COUNTA(Y478:Y484)=0,0,IF(OR(AND(Y478=0,CJ402&gt;0),AND(Y478="ns",CK402&gt;0),AND(Y478="ns",CJ402=0,CK402=0)),1,IF(OR(AND(CJ402&gt;=2,Y478&gt;CK402),AND(Y478="ns",CK402=0,CJ402&gt;0),Y478=CK402),0,1)))</f>
        <v>0</v>
      </c>
      <c r="CM402">
        <f>COUNTIF(Y489:Y497,"NS")</f>
        <v>0</v>
      </c>
      <c r="CN402">
        <f>SUM(Y489:Y497)</f>
        <v>0</v>
      </c>
      <c r="CO402">
        <f>IF(COUNTA(Y488:Y497)=0,0,IF(OR(AND(Y488=0,CM402&gt;0),AND(Y488="ns",CN402&gt;0),AND(Y488="ns",CM402=0,CN402=0)),1,IF(OR(AND(CM402&gt;=2,Y488&gt;CN402),AND(Y488="ns",CN402=0,CM402&gt;0),Y488=CN402),0,1)))</f>
        <v>0</v>
      </c>
      <c r="CP402">
        <f>COUNTIF(Y499:Y501,"NS")</f>
        <v>0</v>
      </c>
      <c r="CQ402">
        <f>SUM(Y499:Y501)</f>
        <v>0</v>
      </c>
      <c r="CR402">
        <f>IF(COUNTA(Y498:Y501)=0,0,IF(OR(AND(Y498=0,CP402&gt;0),AND(Y498="ns",CQ402&gt;0),AND(Y498="ns",CP402=0,CQ402=0)),1,IF(OR(AND(CP402&gt;=2,Y498&gt;CQ402),AND(Y498="ns",CQ402=0,CP402&gt;0),Y498=CQ402),0,1)))</f>
        <v>0</v>
      </c>
      <c r="CS402">
        <f>COUNTIF(Y510:Y516,"NS")</f>
        <v>0</v>
      </c>
      <c r="CT402">
        <f>SUM(Y510:Y516)</f>
        <v>0</v>
      </c>
      <c r="CU402">
        <f>IF(COUNTA(Y509:Y516)=0,0,IF(OR(AND(Y509=0,CS402&gt;0),AND(Y509="ns",CT402&gt;0),AND(Y509="ns",CS402=0,CT402=0)),1,IF(OR(AND(CS402&gt;=2,Y509&gt;CT402),AND(Y509="ns",CT402=0,CS402&gt;0),Y509=CT402),0,1)))</f>
        <v>0</v>
      </c>
      <c r="CV402">
        <f>COUNTIF(Y519:Y521,"NS")</f>
        <v>0</v>
      </c>
      <c r="CW402">
        <f>SUM(Y519:Y521)</f>
        <v>0</v>
      </c>
      <c r="CX402">
        <f>IF(COUNTA(Y518:Y521)=0,0,IF(OR(AND(Y518=0,CV402&gt;0),AND(Y518="ns",CW402&gt;0),AND(Y518="ns",CV402=0,CW402=0)),1,IF(OR(AND(CV402&gt;=2,Y518&gt;CW402),AND(Y518="ns",CW402=0,CV402&gt;0),Y518=CW402),0,1)))</f>
        <v>0</v>
      </c>
      <c r="CY402">
        <f>COUNTIF(Y531:Y535,"NS")</f>
        <v>0</v>
      </c>
      <c r="CZ402">
        <f>SUM(Y531:Y535)</f>
        <v>0</v>
      </c>
      <c r="DA402">
        <f>IF(COUNTA(Y530:Y535)=0,0,IF(OR(AND(Y530=0,CY402&gt;0),AND(Y530="ns",CZ402&gt;0),AND(Y530="ns",CY402=0,CZ402=0)),1,IF(OR(AND(CY402&gt;=2,Y530&gt;CZ402),AND(Y530="ns",CZ402=0,CY402&gt;0),Y530=CZ402),0,1)))</f>
        <v>0</v>
      </c>
    </row>
    <row r="403" spans="1:105" ht="15" customHeight="1">
      <c r="A403" s="206"/>
      <c r="B403" s="206"/>
      <c r="C403" s="1117" t="s">
        <v>4850</v>
      </c>
      <c r="D403" s="1136"/>
      <c r="E403" s="1136"/>
      <c r="F403" s="1118"/>
      <c r="G403" s="100"/>
      <c r="H403" s="100"/>
      <c r="I403" s="100"/>
      <c r="J403" s="100"/>
      <c r="K403" s="100"/>
      <c r="L403" s="100"/>
      <c r="M403" s="100"/>
      <c r="N403" s="100"/>
      <c r="O403" s="100"/>
      <c r="P403" s="100"/>
      <c r="Q403" s="100"/>
      <c r="R403" s="100"/>
      <c r="S403" s="100"/>
      <c r="T403" s="100"/>
      <c r="U403" s="100"/>
      <c r="V403" s="100"/>
      <c r="W403" s="100"/>
      <c r="X403" s="100"/>
      <c r="Y403" s="100"/>
      <c r="Z403" s="100"/>
      <c r="AA403" s="100"/>
      <c r="AB403" s="100"/>
      <c r="AC403" s="100"/>
      <c r="AD403" s="100"/>
      <c r="AF403"/>
      <c r="AG403"/>
      <c r="AH403"/>
      <c r="AI403"/>
      <c r="AJ403"/>
      <c r="AK403">
        <f t="shared" si="168"/>
        <v>0</v>
      </c>
      <c r="AL403">
        <f t="shared" si="169"/>
        <v>0</v>
      </c>
      <c r="AM403">
        <f t="shared" si="191"/>
        <v>0</v>
      </c>
      <c r="AN403">
        <f t="shared" si="170"/>
        <v>0</v>
      </c>
      <c r="AO403">
        <f t="shared" si="171"/>
        <v>0</v>
      </c>
      <c r="AP403">
        <f t="shared" si="172"/>
        <v>0</v>
      </c>
      <c r="AQ403">
        <f t="shared" si="173"/>
        <v>0</v>
      </c>
      <c r="AR403">
        <f t="shared" si="174"/>
        <v>0</v>
      </c>
      <c r="AS403">
        <f t="shared" si="175"/>
        <v>0</v>
      </c>
      <c r="AT403">
        <f t="shared" si="176"/>
        <v>0</v>
      </c>
      <c r="AU403">
        <f t="shared" si="177"/>
        <v>0</v>
      </c>
      <c r="AV403">
        <f t="shared" si="178"/>
        <v>0</v>
      </c>
      <c r="AW403">
        <f t="shared" si="179"/>
        <v>0</v>
      </c>
      <c r="AX403">
        <f t="shared" si="180"/>
        <v>0</v>
      </c>
      <c r="AY403">
        <f t="shared" si="181"/>
        <v>0</v>
      </c>
      <c r="AZ403">
        <f t="shared" si="182"/>
        <v>0</v>
      </c>
      <c r="BA403">
        <f t="shared" si="183"/>
        <v>0</v>
      </c>
      <c r="BB403">
        <f t="shared" si="184"/>
        <v>0</v>
      </c>
      <c r="BC403">
        <f t="shared" si="185"/>
        <v>0</v>
      </c>
      <c r="BD403">
        <f t="shared" si="186"/>
        <v>0</v>
      </c>
      <c r="BE403">
        <f t="shared" si="187"/>
        <v>0</v>
      </c>
      <c r="BF403">
        <f t="shared" si="188"/>
        <v>0</v>
      </c>
      <c r="BG403">
        <f t="shared" si="189"/>
        <v>0</v>
      </c>
      <c r="BH403">
        <f t="shared" si="190"/>
        <v>0</v>
      </c>
      <c r="BI403">
        <f>COUNTIF(Z385:Z390,"NS")</f>
        <v>0</v>
      </c>
      <c r="BJ403">
        <f>SUM(Z385:Z390)</f>
        <v>0</v>
      </c>
      <c r="BK403">
        <f>IF(COUNTA(Z384:Z390)=0,0,IF(OR(AND(Z384=0,BI403&gt;0),AND(Z384="ns",BJ403&gt;0),AND(Z384="ns",BI403=0,BJ403=0)),1,IF(OR(AND(BI403&gt;=2,Z384&gt;BJ403),AND(Z384="ns",BJ403=0,BI403&gt;0),Z384=BJ403),0,1)))</f>
        <v>0</v>
      </c>
      <c r="BL403">
        <f>COUNTIF(Z396:Z400,"NS")</f>
        <v>0</v>
      </c>
      <c r="BM403">
        <f>SUM(Z396:Z400)</f>
        <v>0</v>
      </c>
      <c r="BN403">
        <f>IF(COUNTA(Z395:Z400)=0,0,IF(OR(AND(Z395=0,BL403&gt;0),AND(Z395="ns",BM403&gt;0),AND(Z395="ns",BL403=0,BM403=0)),1,IF(OR(AND(BL403&gt;=2,Z395&gt;BM403),AND(Z395="ns",BM403=0,BL403&gt;0),Z395=BM403),0,1)))</f>
        <v>0</v>
      </c>
      <c r="BO403">
        <f>COUNTIF(Z405:Z422,"NS")</f>
        <v>0</v>
      </c>
      <c r="BP403">
        <f>SUM(Z405:Z422)</f>
        <v>0</v>
      </c>
      <c r="BQ403">
        <f>IF(COUNTA(Z404:Z422)=0,0,IF(OR(AND(Z404=0,BO403&gt;0),AND(Z404="ns",BP403&gt;0),AND(Z404="ns",BO403=0,BP403=0)),1,IF(OR(AND(BO403&gt;=2,Z404&gt;BP403),AND(Z404="ns",BP403=0,BO403&gt;0),Z404=BP403),0,1)))</f>
        <v>0</v>
      </c>
      <c r="BR403">
        <f>COUNTIF(Z424:Z428,"NS")</f>
        <v>0</v>
      </c>
      <c r="BS403">
        <f>SUM(Z424:Z428)</f>
        <v>0</v>
      </c>
      <c r="BT403">
        <f>IF(COUNTA(Z423:Z428)=0,0,IF(OR(AND(Z423=0,BR403&gt;0),AND(Z423="ns",BS403&gt;0),AND(Z423="ns",BR403=0,BS403=0)),1,IF(OR(AND(BR403&gt;=2,Z423&gt;BS403),AND(Z423="ns",BS403=0,BR403&gt;0),Z423=BS403),0,1)))</f>
        <v>0</v>
      </c>
      <c r="BU403">
        <f>COUNTIF(Z432:Z434,"NS")</f>
        <v>0</v>
      </c>
      <c r="BV403">
        <f>SUM(Z432:Z434)</f>
        <v>0</v>
      </c>
      <c r="BW403">
        <f>IF(COUNTA(Z431:Z434)=0,0,IF(OR(AND(Z431=0,BU403&gt;0),AND(Z431="ns",BV403&gt;0),AND(Z431="ns",BU403=0,BV403=0)),1,IF(OR(AND(BU403&gt;=2,Z431&gt;BV403),AND(Z431="ns",BV403=0,BU403&gt;0),Z431=BV403),0,1)))</f>
        <v>0</v>
      </c>
      <c r="BX403">
        <f>COUNTIF(Z442:Z448,"NS")</f>
        <v>0</v>
      </c>
      <c r="BY403">
        <f>SUM(Z442:Z448)</f>
        <v>0</v>
      </c>
      <c r="BZ403">
        <f>IF(COUNTA(Z441:Z448)=0,0,IF(OR(AND(Z441=0,BX403&gt;0),AND(Z441="ns",BY403&gt;0),AND(Z441="ns",BX403=0,BY403=0)),1,IF(OR(AND(BX403&gt;=2,Z441&gt;BY403),AND(Z441="ns",BY403=0,BX403&gt;0),Z441=BY403),0,1)))</f>
        <v>0</v>
      </c>
      <c r="CA403">
        <f>COUNTIF(Z450:Z454,"NS")</f>
        <v>0</v>
      </c>
      <c r="CB403">
        <f>SUM(Z450:Z454)</f>
        <v>0</v>
      </c>
      <c r="CC403">
        <f>IF(COUNTA(Z449:Z454)=0,0,IF(OR(AND(Z449=0,CA403&gt;0),AND(Z449="ns",CB403&gt;0),AND(Z449="ns",CA403=0,CB403=0)),1,IF(OR(AND(CA403&gt;=2,Z449&gt;CB403),AND(Z449="ns",CB403=0,CA403&gt;0),Z449=CB403),0,1)))</f>
        <v>0</v>
      </c>
      <c r="CD403">
        <f>COUNTIF(Z460:Z465,"NS")</f>
        <v>0</v>
      </c>
      <c r="CE403">
        <f>SUM(Z460:Z465)</f>
        <v>0</v>
      </c>
      <c r="CF403">
        <f>IF(COUNTA(Z459:Z465)=0,0,IF(OR(AND(Z459=0,CD403&gt;0),AND(Z459="ns",CE403&gt;0),AND(Z459="ns",CD403=0,CE403=0)),1,IF(OR(AND(CD403&gt;=2,Z459&gt;CE403),AND(Z459="ns",CE403=0,CD403&gt;0),Z459=CE403),0,1)))</f>
        <v>0</v>
      </c>
      <c r="CG403">
        <f>COUNTIF(Z467:Z474,"NS")</f>
        <v>0</v>
      </c>
      <c r="CH403">
        <f>SUM(Z467:Z474)</f>
        <v>0</v>
      </c>
      <c r="CI403">
        <f>IF(COUNTA(Z466:Z474)=0,0,IF(OR(AND(Z466=0,CG403&gt;0),AND(Z466="ns",CH403&gt;0),AND(Z466="ns",CG403=0,CH403=0)),1,IF(OR(AND(CG403&gt;=2,Z466&gt;CH403),AND(Z466="ns",CH403=0,CG403&gt;0),Z466=CH403),0,1)))</f>
        <v>0</v>
      </c>
      <c r="CJ403">
        <f>COUNTIF(Z479:Z484,"NS")</f>
        <v>0</v>
      </c>
      <c r="CK403">
        <f>SUM(Z479:Z484)</f>
        <v>0</v>
      </c>
      <c r="CL403">
        <f>IF(COUNTA(Z478:Z484)=0,0,IF(OR(AND(Z478=0,CJ403&gt;0),AND(Z478="ns",CK403&gt;0),AND(Z478="ns",CJ403=0,CK403=0)),1,IF(OR(AND(CJ403&gt;=2,Z478&gt;CK403),AND(Z478="ns",CK403=0,CJ403&gt;0),Z478=CK403),0,1)))</f>
        <v>0</v>
      </c>
      <c r="CM403">
        <f>COUNTIF(Z489:Z497,"NS")</f>
        <v>0</v>
      </c>
      <c r="CN403">
        <f>SUM(Z489:Z497)</f>
        <v>0</v>
      </c>
      <c r="CO403">
        <f>IF(COUNTA(Z488:Z497)=0,0,IF(OR(AND(Z488=0,CM403&gt;0),AND(Z488="ns",CN403&gt;0),AND(Z488="ns",CM403=0,CN403=0)),1,IF(OR(AND(CM403&gt;=2,Z488&gt;CN403),AND(Z488="ns",CN403=0,CM403&gt;0),Z488=CN403),0,1)))</f>
        <v>0</v>
      </c>
      <c r="CP403">
        <f>COUNTIF(Z499:Z501,"NS")</f>
        <v>0</v>
      </c>
      <c r="CQ403">
        <f>SUM(Z499:Z501)</f>
        <v>0</v>
      </c>
      <c r="CR403">
        <f>IF(COUNTA(Z498:Z501)=0,0,IF(OR(AND(Z498=0,CP403&gt;0),AND(Z498="ns",CQ403&gt;0),AND(Z498="ns",CP403=0,CQ403=0)),1,IF(OR(AND(CP403&gt;=2,Z498&gt;CQ403),AND(Z498="ns",CQ403=0,CP403&gt;0),Z498=CQ403),0,1)))</f>
        <v>0</v>
      </c>
      <c r="CS403">
        <f>COUNTIF(Z510:Z516,"NS")</f>
        <v>0</v>
      </c>
      <c r="CT403">
        <f>SUM(Z510:Z516)</f>
        <v>0</v>
      </c>
      <c r="CU403">
        <f>IF(COUNTA(Z509:Z516)=0,0,IF(OR(AND(Z509=0,CS403&gt;0),AND(Z509="ns",CT403&gt;0),AND(Z509="ns",CS403=0,CT403=0)),1,IF(OR(AND(CS403&gt;=2,Z509&gt;CT403),AND(Z509="ns",CT403=0,CS403&gt;0),Z509=CT403),0,1)))</f>
        <v>0</v>
      </c>
      <c r="CV403">
        <f>COUNTIF(Z519:Z521,"NS")</f>
        <v>0</v>
      </c>
      <c r="CW403">
        <f>SUM(Z519:Z521)</f>
        <v>0</v>
      </c>
      <c r="CX403">
        <f>IF(COUNTA(Z518:Z521)=0,0,IF(OR(AND(Z518=0,CV403&gt;0),AND(Z518="ns",CW403&gt;0),AND(Z518="ns",CV403=0,CW403=0)),1,IF(OR(AND(CV403&gt;=2,Z518&gt;CW403),AND(Z518="ns",CW403=0,CV403&gt;0),Z518=CW403),0,1)))</f>
        <v>0</v>
      </c>
      <c r="CY403">
        <f>COUNTIF(Z531:Z535,"NS")</f>
        <v>0</v>
      </c>
      <c r="CZ403">
        <f>SUM(Z531:Z535)</f>
        <v>0</v>
      </c>
      <c r="DA403">
        <f>IF(COUNTA(Z530:Z535)=0,0,IF(OR(AND(Z530=0,CY403&gt;0),AND(Z530="ns",CZ403&gt;0),AND(Z530="ns",CY403=0,CZ403=0)),1,IF(OR(AND(CY403&gt;=2,Z530&gt;CZ403),AND(Z530="ns",CZ403=0,CY403&gt;0),Z530=CZ403),0,1)))</f>
        <v>0</v>
      </c>
    </row>
    <row r="404" spans="1:105" ht="15" customHeight="1">
      <c r="A404" s="206"/>
      <c r="B404" s="206"/>
      <c r="C404" s="1117" t="s">
        <v>4854</v>
      </c>
      <c r="D404" s="1136"/>
      <c r="E404" s="1136"/>
      <c r="F404" s="1118"/>
      <c r="G404" s="100"/>
      <c r="H404" s="100"/>
      <c r="I404" s="100"/>
      <c r="J404" s="100"/>
      <c r="K404" s="100"/>
      <c r="L404" s="100"/>
      <c r="M404" s="100"/>
      <c r="N404" s="100"/>
      <c r="O404" s="100"/>
      <c r="P404" s="100"/>
      <c r="Q404" s="100"/>
      <c r="R404" s="100"/>
      <c r="S404" s="100"/>
      <c r="T404" s="100"/>
      <c r="U404" s="100"/>
      <c r="V404" s="100"/>
      <c r="W404" s="100"/>
      <c r="X404" s="100"/>
      <c r="Y404" s="100"/>
      <c r="Z404" s="100"/>
      <c r="AA404" s="100"/>
      <c r="AB404" s="100"/>
      <c r="AC404" s="100"/>
      <c r="AD404" s="100"/>
      <c r="AF404"/>
      <c r="AG404"/>
      <c r="AH404"/>
      <c r="AI404"/>
      <c r="AJ404"/>
      <c r="AK404">
        <f t="shared" si="168"/>
        <v>0</v>
      </c>
      <c r="AL404">
        <f t="shared" si="169"/>
        <v>0</v>
      </c>
      <c r="AM404">
        <f t="shared" si="191"/>
        <v>0</v>
      </c>
      <c r="AN404">
        <f t="shared" si="170"/>
        <v>0</v>
      </c>
      <c r="AO404">
        <f t="shared" si="171"/>
        <v>0</v>
      </c>
      <c r="AP404">
        <f t="shared" si="172"/>
        <v>0</v>
      </c>
      <c r="AQ404">
        <f t="shared" si="173"/>
        <v>0</v>
      </c>
      <c r="AR404">
        <f t="shared" si="174"/>
        <v>0</v>
      </c>
      <c r="AS404">
        <f t="shared" si="175"/>
        <v>0</v>
      </c>
      <c r="AT404">
        <f t="shared" si="176"/>
        <v>0</v>
      </c>
      <c r="AU404">
        <f t="shared" si="177"/>
        <v>0</v>
      </c>
      <c r="AV404">
        <f t="shared" si="178"/>
        <v>0</v>
      </c>
      <c r="AW404">
        <f t="shared" si="179"/>
        <v>0</v>
      </c>
      <c r="AX404">
        <f t="shared" si="180"/>
        <v>0</v>
      </c>
      <c r="AY404">
        <f t="shared" si="181"/>
        <v>0</v>
      </c>
      <c r="AZ404">
        <f t="shared" si="182"/>
        <v>0</v>
      </c>
      <c r="BA404">
        <f t="shared" si="183"/>
        <v>0</v>
      </c>
      <c r="BB404">
        <f t="shared" si="184"/>
        <v>0</v>
      </c>
      <c r="BC404">
        <f t="shared" si="185"/>
        <v>0</v>
      </c>
      <c r="BD404">
        <f t="shared" si="186"/>
        <v>0</v>
      </c>
      <c r="BE404">
        <f t="shared" si="187"/>
        <v>0</v>
      </c>
      <c r="BF404">
        <f t="shared" si="188"/>
        <v>0</v>
      </c>
      <c r="BG404">
        <f t="shared" si="189"/>
        <v>0</v>
      </c>
      <c r="BH404">
        <f t="shared" si="190"/>
        <v>0</v>
      </c>
      <c r="BI404">
        <f>COUNTIF(AA385:AA390,"NS")</f>
        <v>0</v>
      </c>
      <c r="BJ404">
        <f>SUM(AA385:AA390)</f>
        <v>0</v>
      </c>
      <c r="BK404">
        <f>IF(COUNTA(AA384:AA390)=0,0,IF(OR(AND(AA384=0,BI404&gt;0),AND(AA384="ns",BJ404&gt;0),AND(AA384="ns",BI404=0,BJ404=0)),1,IF(OR(AND(BI404&gt;=2,AA384&gt;BJ404),AND(AA384="ns",BJ404=0,BI404&gt;0),AA384=BJ404),0,1)))</f>
        <v>0</v>
      </c>
      <c r="BL404">
        <f>COUNTIF(AA396:AA400,"NS")</f>
        <v>0</v>
      </c>
      <c r="BM404">
        <f>SUM(AA396:AA400)</f>
        <v>0</v>
      </c>
      <c r="BN404">
        <f>IF(COUNTA(AA395:AA400)=0,0,IF(OR(AND(AA395=0,BL404&gt;0),AND(AA395="ns",BM404&gt;0),AND(AA395="ns",BL404=0,BM404=0)),1,IF(OR(AND(BL404&gt;=2,AA395&gt;BM404),AND(AA395="ns",BM404=0,BL404&gt;0),AA395=BM404),0,1)))</f>
        <v>0</v>
      </c>
      <c r="BO404">
        <f>COUNTIF(AA405:AA422,"NS")</f>
        <v>0</v>
      </c>
      <c r="BP404">
        <f>SUM(AA405:AA422)</f>
        <v>0</v>
      </c>
      <c r="BQ404">
        <f>IF(COUNTA(AA404:AA422)=0,0,IF(OR(AND(AA404=0,BO404&gt;0),AND(AA404="ns",BP404&gt;0),AND(AA404="ns",BO404=0,BP404=0)),1,IF(OR(AND(BO404&gt;=2,AA404&gt;BP404),AND(AA404="ns",BP404=0,BO404&gt;0),AA404=BP404),0,1)))</f>
        <v>0</v>
      </c>
      <c r="BR404">
        <f>COUNTIF(AA424:AA428,"NS")</f>
        <v>0</v>
      </c>
      <c r="BS404">
        <f>SUM(AA424:AA428)</f>
        <v>0</v>
      </c>
      <c r="BT404">
        <f>IF(COUNTA(AA423:AA428)=0,0,IF(OR(AND(AA423=0,BR404&gt;0),AND(AA423="ns",BS404&gt;0),AND(AA423="ns",BR404=0,BS404=0)),1,IF(OR(AND(BR404&gt;=2,AA423&gt;BS404),AND(AA423="ns",BS404=0,BR404&gt;0),AA423=BS404),0,1)))</f>
        <v>0</v>
      </c>
      <c r="BU404">
        <f>COUNTIF(AA432:AA434,"NS")</f>
        <v>0</v>
      </c>
      <c r="BV404">
        <f>SUM(AA432:AA434)</f>
        <v>0</v>
      </c>
      <c r="BW404">
        <f>IF(COUNTA(AA431:AA434)=0,0,IF(OR(AND(AA431=0,BU404&gt;0),AND(AA431="ns",BV404&gt;0),AND(AA431="ns",BU404=0,BV404=0)),1,IF(OR(AND(BU404&gt;=2,AA431&gt;BV404),AND(AA431="ns",BV404=0,BU404&gt;0),AA431=BV404),0,1)))</f>
        <v>0</v>
      </c>
      <c r="BX404">
        <f>COUNTIF(AA442:AA448,"NS")</f>
        <v>0</v>
      </c>
      <c r="BY404">
        <f>SUM(AA442:AA448)</f>
        <v>0</v>
      </c>
      <c r="BZ404">
        <f>IF(COUNTA(AA441:AA448)=0,0,IF(OR(AND(AA441=0,BX404&gt;0),AND(AA441="ns",BY404&gt;0),AND(AA441="ns",BX404=0,BY404=0)),1,IF(OR(AND(BX404&gt;=2,AA441&gt;BY404),AND(AA441="ns",BY404=0,BX404&gt;0),AA441=BY404),0,1)))</f>
        <v>0</v>
      </c>
      <c r="CA404">
        <f>COUNTIF(AA450:AA454,"NS")</f>
        <v>0</v>
      </c>
      <c r="CB404">
        <f>SUM(AA450:AA454)</f>
        <v>0</v>
      </c>
      <c r="CC404">
        <f>IF(COUNTA(AA449:AA454)=0,0,IF(OR(AND(AA449=0,CA404&gt;0),AND(AA449="ns",CB404&gt;0),AND(AA449="ns",CA404=0,CB404=0)),1,IF(OR(AND(CA404&gt;=2,AA449&gt;CB404),AND(AA449="ns",CB404=0,CA404&gt;0),AA449=CB404),0,1)))</f>
        <v>0</v>
      </c>
      <c r="CD404">
        <f>COUNTIF(AA460:AA465,"NS")</f>
        <v>0</v>
      </c>
      <c r="CE404">
        <f>SUM(AA460:AA465)</f>
        <v>0</v>
      </c>
      <c r="CF404">
        <f>IF(COUNTA(AA459:AA465)=0,0,IF(OR(AND(AA459=0,CD404&gt;0),AND(AA459="ns",CE404&gt;0),AND(AA459="ns",CD404=0,CE404=0)),1,IF(OR(AND(CD404&gt;=2,AA459&gt;CE404),AND(AA459="ns",CE404=0,CD404&gt;0),AA459=CE404),0,1)))</f>
        <v>0</v>
      </c>
      <c r="CG404">
        <f>COUNTIF(AA467:AA474,"NS")</f>
        <v>0</v>
      </c>
      <c r="CH404">
        <f>SUM(AA467:AA474)</f>
        <v>0</v>
      </c>
      <c r="CI404">
        <f>IF(COUNTA(AA466:AA474)=0,0,IF(OR(AND(AA466=0,CG404&gt;0),AND(AA466="ns",CH404&gt;0),AND(AA466="ns",CG404=0,CH404=0)),1,IF(OR(AND(CG404&gt;=2,AA466&gt;CH404),AND(AA466="ns",CH404=0,CG404&gt;0),AA466=CH404),0,1)))</f>
        <v>0</v>
      </c>
      <c r="CJ404">
        <f>COUNTIF(AA479:AA484,"NS")</f>
        <v>0</v>
      </c>
      <c r="CK404">
        <f>SUM(AA479:AA484)</f>
        <v>0</v>
      </c>
      <c r="CL404">
        <f>IF(COUNTA(AA478:AA484)=0,0,IF(OR(AND(AA478=0,CJ404&gt;0),AND(AA478="ns",CK404&gt;0),AND(AA478="ns",CJ404=0,CK404=0)),1,IF(OR(AND(CJ404&gt;=2,AA478&gt;CK404),AND(AA478="ns",CK404=0,CJ404&gt;0),AA478=CK404),0,1)))</f>
        <v>0</v>
      </c>
      <c r="CM404">
        <f>COUNTIF(AA489:AA497,"NS")</f>
        <v>0</v>
      </c>
      <c r="CN404">
        <f>SUM(AA489:AA497)</f>
        <v>0</v>
      </c>
      <c r="CO404">
        <f>IF(COUNTA(AA488:AA497)=0,0,IF(OR(AND(AA488=0,CM404&gt;0),AND(AA488="ns",CN404&gt;0),AND(AA488="ns",CM404=0,CN404=0)),1,IF(OR(AND(CM404&gt;=2,AA488&gt;CN404),AND(AA488="ns",CN404=0,CM404&gt;0),AA488=CN404),0,1)))</f>
        <v>0</v>
      </c>
      <c r="CP404">
        <f>COUNTIF(AA499:AA501,"NS")</f>
        <v>0</v>
      </c>
      <c r="CQ404">
        <f>SUM(AA499:AA501)</f>
        <v>0</v>
      </c>
      <c r="CR404">
        <f>IF(COUNTA(AA498:AA501)=0,0,IF(OR(AND(AA498=0,CP404&gt;0),AND(AA498="ns",CQ404&gt;0),AND(AA498="ns",CP404=0,CQ404=0)),1,IF(OR(AND(CP404&gt;=2,AA498&gt;CQ404),AND(AA498="ns",CQ404=0,CP404&gt;0),AA498=CQ404),0,1)))</f>
        <v>0</v>
      </c>
      <c r="CS404">
        <f>COUNTIF(AA510:AA516,"NS")</f>
        <v>0</v>
      </c>
      <c r="CT404">
        <f>SUM(AA510:AA516)</f>
        <v>0</v>
      </c>
      <c r="CU404">
        <f>IF(COUNTA(AA509:AA516)=0,0,IF(OR(AND(AA509=0,CS404&gt;0),AND(AA509="ns",CT404&gt;0),AND(AA509="ns",CS404=0,CT404=0)),1,IF(OR(AND(CS404&gt;=2,AA509&gt;CT404),AND(AA509="ns",CT404=0,CS404&gt;0),AA509=CT404),0,1)))</f>
        <v>0</v>
      </c>
      <c r="CV404">
        <f>COUNTIF(AA519:AA521,"NS")</f>
        <v>0</v>
      </c>
      <c r="CW404">
        <f>SUM(AA519:AA521)</f>
        <v>0</v>
      </c>
      <c r="CX404">
        <f>IF(COUNTA(AA518:AA521)=0,0,IF(OR(AND(AA518=0,CV404&gt;0),AND(AA518="ns",CW404&gt;0),AND(AA518="ns",CV404=0,CW404=0)),1,IF(OR(AND(CV404&gt;=2,AA518&gt;CW404),AND(AA518="ns",CW404=0,CV404&gt;0),AA518=CW404),0,1)))</f>
        <v>0</v>
      </c>
      <c r="CY404">
        <f>COUNTIF(AA531:AA535,"NS")</f>
        <v>0</v>
      </c>
      <c r="CZ404">
        <f>SUM(AA531:AA535)</f>
        <v>0</v>
      </c>
      <c r="DA404">
        <f>IF(COUNTA(AA530:AA535)=0,0,IF(OR(AND(AA530=0,CY404&gt;0),AND(AA530="ns",CZ404&gt;0),AND(AA530="ns",CY404=0,CZ404=0)),1,IF(OR(AND(CY404&gt;=2,AA530&gt;CZ404),AND(AA530="ns",CZ404=0,CY404&gt;0),AA530=CZ404),0,1)))</f>
        <v>0</v>
      </c>
    </row>
    <row r="405" spans="1:105" ht="15" customHeight="1">
      <c r="A405" s="206"/>
      <c r="B405" s="201"/>
      <c r="C405" s="1119" t="s">
        <v>4856</v>
      </c>
      <c r="D405" s="1121"/>
      <c r="E405" s="1121"/>
      <c r="F405" s="1120"/>
      <c r="G405" s="100"/>
      <c r="H405" s="100"/>
      <c r="I405" s="100"/>
      <c r="J405" s="100"/>
      <c r="K405" s="100"/>
      <c r="L405" s="100"/>
      <c r="M405" s="100"/>
      <c r="N405" s="100"/>
      <c r="O405" s="100"/>
      <c r="P405" s="100"/>
      <c r="Q405" s="100"/>
      <c r="R405" s="100"/>
      <c r="S405" s="100"/>
      <c r="T405" s="100"/>
      <c r="U405" s="100"/>
      <c r="V405" s="100"/>
      <c r="W405" s="100"/>
      <c r="X405" s="100"/>
      <c r="Y405" s="100"/>
      <c r="Z405" s="100"/>
      <c r="AA405" s="100"/>
      <c r="AB405" s="100"/>
      <c r="AC405" s="100"/>
      <c r="AD405" s="100"/>
      <c r="AF405"/>
      <c r="AG405"/>
      <c r="AH405"/>
      <c r="AI405"/>
      <c r="AJ405"/>
      <c r="AK405">
        <f t="shared" si="168"/>
        <v>0</v>
      </c>
      <c r="AL405">
        <f t="shared" si="169"/>
        <v>0</v>
      </c>
      <c r="AM405">
        <f t="shared" si="191"/>
        <v>0</v>
      </c>
      <c r="AN405">
        <f t="shared" si="170"/>
        <v>0</v>
      </c>
      <c r="AO405">
        <f t="shared" si="171"/>
        <v>0</v>
      </c>
      <c r="AP405">
        <f t="shared" si="172"/>
        <v>0</v>
      </c>
      <c r="AQ405">
        <f t="shared" si="173"/>
        <v>0</v>
      </c>
      <c r="AR405">
        <f t="shared" si="174"/>
        <v>0</v>
      </c>
      <c r="AS405">
        <f t="shared" si="175"/>
        <v>0</v>
      </c>
      <c r="AT405">
        <f t="shared" si="176"/>
        <v>0</v>
      </c>
      <c r="AU405">
        <f t="shared" si="177"/>
        <v>0</v>
      </c>
      <c r="AV405">
        <f t="shared" si="178"/>
        <v>0</v>
      </c>
      <c r="AW405">
        <f t="shared" si="179"/>
        <v>0</v>
      </c>
      <c r="AX405">
        <f t="shared" si="180"/>
        <v>0</v>
      </c>
      <c r="AY405">
        <f t="shared" si="181"/>
        <v>0</v>
      </c>
      <c r="AZ405">
        <f t="shared" si="182"/>
        <v>0</v>
      </c>
      <c r="BA405">
        <f t="shared" si="183"/>
        <v>0</v>
      </c>
      <c r="BB405">
        <f t="shared" si="184"/>
        <v>0</v>
      </c>
      <c r="BC405">
        <f t="shared" si="185"/>
        <v>0</v>
      </c>
      <c r="BD405">
        <f t="shared" si="186"/>
        <v>0</v>
      </c>
      <c r="BE405">
        <f t="shared" si="187"/>
        <v>0</v>
      </c>
      <c r="BF405">
        <f t="shared" si="188"/>
        <v>0</v>
      </c>
      <c r="BG405">
        <f t="shared" si="189"/>
        <v>0</v>
      </c>
      <c r="BH405">
        <f t="shared" si="190"/>
        <v>0</v>
      </c>
      <c r="BI405">
        <f>COUNTIF(AB385:AB390,"NS")</f>
        <v>0</v>
      </c>
      <c r="BJ405">
        <f>SUM(AB385:AB390)</f>
        <v>0</v>
      </c>
      <c r="BK405">
        <f>IF(COUNTA(AB384:AB390)=0,0,IF(OR(AND(AB384=0,BI405&gt;0),AND(AB384="ns",BJ405&gt;0),AND(AB384="ns",BI405=0,BJ405=0)),1,IF(OR(AND(BI405&gt;=2,AB384&gt;BJ405),AND(AB384="ns",BJ405=0,BI405&gt;0),AB384=BJ405),0,1)))</f>
        <v>0</v>
      </c>
      <c r="BL405">
        <f>COUNTIF(AB396:AB400,"NS")</f>
        <v>0</v>
      </c>
      <c r="BM405">
        <f>SUM(AB396:AB400)</f>
        <v>0</v>
      </c>
      <c r="BN405">
        <f>IF(COUNTA(AB395:AB400)=0,0,IF(OR(AND(AB395=0,BL405&gt;0),AND(AB395="ns",BM405&gt;0),AND(AB395="ns",BL405=0,BM405=0)),1,IF(OR(AND(BL405&gt;=2,AB395&gt;BM405),AND(AB395="ns",BM405=0,BL405&gt;0),AB395=BM405),0,1)))</f>
        <v>0</v>
      </c>
      <c r="BO405">
        <f>COUNTIF(AB405:AB422,"NS")</f>
        <v>0</v>
      </c>
      <c r="BP405">
        <f>SUM(AB405:AB422)</f>
        <v>0</v>
      </c>
      <c r="BQ405">
        <f>IF(COUNTA(AB404:AB422)=0,0,IF(OR(AND(AB404=0,BO405&gt;0),AND(AB404="ns",BP405&gt;0),AND(AB404="ns",BO405=0,BP405=0)),1,IF(OR(AND(BO405&gt;=2,AB404&gt;BP405),AND(AB404="ns",BP405=0,BO405&gt;0),AB404=BP405),0,1)))</f>
        <v>0</v>
      </c>
      <c r="BR405">
        <f>COUNTIF(AB424:AB428,"NS")</f>
        <v>0</v>
      </c>
      <c r="BS405">
        <f>SUM(AB424:AB428)</f>
        <v>0</v>
      </c>
      <c r="BT405">
        <f>IF(COUNTA(AB423:AB428)=0,0,IF(OR(AND(AB423=0,BR405&gt;0),AND(AB423="ns",BS405&gt;0),AND(AB423="ns",BR405=0,BS405=0)),1,IF(OR(AND(BR405&gt;=2,AB423&gt;BS405),AND(AB423="ns",BS405=0,BR405&gt;0),AB423=BS405),0,1)))</f>
        <v>0</v>
      </c>
      <c r="BU405">
        <f>COUNTIF(AB432:AB434,"NS")</f>
        <v>0</v>
      </c>
      <c r="BV405">
        <f>SUM(AB432:AB434)</f>
        <v>0</v>
      </c>
      <c r="BW405">
        <f>IF(COUNTA(AB431:AB434)=0,0,IF(OR(AND(AB431=0,BU405&gt;0),AND(AB431="ns",BV405&gt;0),AND(AB431="ns",BU405=0,BV405=0)),1,IF(OR(AND(BU405&gt;=2,AB431&gt;BV405),AND(AB431="ns",BV405=0,BU405&gt;0),AB431=BV405),0,1)))</f>
        <v>0</v>
      </c>
      <c r="BX405">
        <f>COUNTIF(AB442:AB448,"NS")</f>
        <v>0</v>
      </c>
      <c r="BY405">
        <f>SUM(AB442:AB448)</f>
        <v>0</v>
      </c>
      <c r="BZ405">
        <f>IF(COUNTA(AB441:AB448)=0,0,IF(OR(AND(AB441=0,BX405&gt;0),AND(AB441="ns",BY405&gt;0),AND(AB441="ns",BX405=0,BY405=0)),1,IF(OR(AND(BX405&gt;=2,AB441&gt;BY405),AND(AB441="ns",BY405=0,BX405&gt;0),AB441=BY405),0,1)))</f>
        <v>0</v>
      </c>
      <c r="CA405">
        <f>COUNTIF(AB450:AB454,"NS")</f>
        <v>0</v>
      </c>
      <c r="CB405">
        <f>SUM(AB450:AB454)</f>
        <v>0</v>
      </c>
      <c r="CC405">
        <f>IF(COUNTA(AB449:AB454)=0,0,IF(OR(AND(AB449=0,CA405&gt;0),AND(AB449="ns",CB405&gt;0),AND(AB449="ns",CA405=0,CB405=0)),1,IF(OR(AND(CA405&gt;=2,AB449&gt;CB405),AND(AB449="ns",CB405=0,CA405&gt;0),AB449=CB405),0,1)))</f>
        <v>0</v>
      </c>
      <c r="CD405">
        <f>COUNTIF(AB460:AB465,"NS")</f>
        <v>0</v>
      </c>
      <c r="CE405">
        <f>SUM(AB460:AB465)</f>
        <v>0</v>
      </c>
      <c r="CF405">
        <f>IF(COUNTA(AB459:AB465)=0,0,IF(OR(AND(AB459=0,CD405&gt;0),AND(AB459="ns",CE405&gt;0),AND(AB459="ns",CD405=0,CE405=0)),1,IF(OR(AND(CD405&gt;=2,AB459&gt;CE405),AND(AB459="ns",CE405=0,CD405&gt;0),AB459=CE405),0,1)))</f>
        <v>0</v>
      </c>
      <c r="CG405">
        <f>COUNTIF(AB467:AB474,"NS")</f>
        <v>0</v>
      </c>
      <c r="CH405">
        <f>SUM(AB467:AB474)</f>
        <v>0</v>
      </c>
      <c r="CI405">
        <f>IF(COUNTA(AB466:AB474)=0,0,IF(OR(AND(AB466=0,CG405&gt;0),AND(AB466="ns",CH405&gt;0),AND(AB466="ns",CG405=0,CH405=0)),1,IF(OR(AND(CG405&gt;=2,AB466&gt;CH405),AND(AB466="ns",CH405=0,CG405&gt;0),AB466=CH405),0,1)))</f>
        <v>0</v>
      </c>
      <c r="CJ405">
        <f>COUNTIF(AB479:AB484,"NS")</f>
        <v>0</v>
      </c>
      <c r="CK405">
        <f>SUM(AB479:AB484)</f>
        <v>0</v>
      </c>
      <c r="CL405">
        <f>IF(COUNTA(AB478:AB484)=0,0,IF(OR(AND(AB478=0,CJ405&gt;0),AND(AB478="ns",CK405&gt;0),AND(AB478="ns",CJ405=0,CK405=0)),1,IF(OR(AND(CJ405&gt;=2,AB478&gt;CK405),AND(AB478="ns",CK405=0,CJ405&gt;0),AB478=CK405),0,1)))</f>
        <v>0</v>
      </c>
      <c r="CM405">
        <f>COUNTIF(AB489:AB497,"NS")</f>
        <v>0</v>
      </c>
      <c r="CN405">
        <f>SUM(AB489:AB497)</f>
        <v>0</v>
      </c>
      <c r="CO405">
        <f>IF(COUNTA(AB488:AB497)=0,0,IF(OR(AND(AB488=0,CM405&gt;0),AND(AB488="ns",CN405&gt;0),AND(AB488="ns",CM405=0,CN405=0)),1,IF(OR(AND(CM405&gt;=2,AB488&gt;CN405),AND(AB488="ns",CN405=0,CM405&gt;0),AB488=CN405),0,1)))</f>
        <v>0</v>
      </c>
      <c r="CP405">
        <f>COUNTIF(AB499:AB501,"NS")</f>
        <v>0</v>
      </c>
      <c r="CQ405">
        <f>SUM(AB499:AB501)</f>
        <v>0</v>
      </c>
      <c r="CR405">
        <f>IF(COUNTA(AB498:AB501)=0,0,IF(OR(AND(AB498=0,CP405&gt;0),AND(AB498="ns",CQ405&gt;0),AND(AB498="ns",CP405=0,CQ405=0)),1,IF(OR(AND(CP405&gt;=2,AB498&gt;CQ405),AND(AB498="ns",CQ405=0,CP405&gt;0),AB498=CQ405),0,1)))</f>
        <v>0</v>
      </c>
      <c r="CS405">
        <f>COUNTIF(AB510:AB516,"NS")</f>
        <v>0</v>
      </c>
      <c r="CT405">
        <f>SUM(AB510:AB516)</f>
        <v>0</v>
      </c>
      <c r="CU405">
        <f>IF(COUNTA(AB509:AB516)=0,0,IF(OR(AND(AB509=0,CS405&gt;0),AND(AB509="ns",CT405&gt;0),AND(AB509="ns",CS405=0,CT405=0)),1,IF(OR(AND(CS405&gt;=2,AB509&gt;CT405),AND(AB509="ns",CT405=0,CS405&gt;0),AB509=CT405),0,1)))</f>
        <v>0</v>
      </c>
      <c r="CV405">
        <f>COUNTIF(AB519:AB521,"NS")</f>
        <v>0</v>
      </c>
      <c r="CW405">
        <f>SUM(AB519:AB521)</f>
        <v>0</v>
      </c>
      <c r="CX405">
        <f>IF(COUNTA(AB518:AB521)=0,0,IF(OR(AND(AB518=0,CV405&gt;0),AND(AB518="ns",CW405&gt;0),AND(AB518="ns",CV405=0,CW405=0)),1,IF(OR(AND(CV405&gt;=2,AB518&gt;CW405),AND(AB518="ns",CW405=0,CV405&gt;0),AB518=CW405),0,1)))</f>
        <v>0</v>
      </c>
      <c r="CY405">
        <f>COUNTIF(AB531:AB535,"NS")</f>
        <v>0</v>
      </c>
      <c r="CZ405">
        <f>SUM(AB531:AB535)</f>
        <v>0</v>
      </c>
      <c r="DA405">
        <f>IF(COUNTA(AB530:AB535)=0,0,IF(OR(AND(AB530=0,CY405&gt;0),AND(AB530="ns",CZ405&gt;0),AND(AB530="ns",CY405=0,CZ405=0)),1,IF(OR(AND(CY405&gt;=2,AB530&gt;CZ405),AND(AB530="ns",CZ405=0,CY405&gt;0),AB530=CZ405),0,1)))</f>
        <v>0</v>
      </c>
    </row>
    <row r="406" spans="1:105" ht="15" customHeight="1">
      <c r="A406" s="206"/>
      <c r="B406" s="201"/>
      <c r="C406" s="1119" t="s">
        <v>4858</v>
      </c>
      <c r="D406" s="1121"/>
      <c r="E406" s="1121"/>
      <c r="F406" s="1120"/>
      <c r="G406" s="100"/>
      <c r="H406" s="100"/>
      <c r="I406" s="100"/>
      <c r="J406" s="100"/>
      <c r="K406" s="100"/>
      <c r="L406" s="100"/>
      <c r="M406" s="100"/>
      <c r="N406" s="100"/>
      <c r="O406" s="100"/>
      <c r="P406" s="100"/>
      <c r="Q406" s="100"/>
      <c r="R406" s="100"/>
      <c r="S406" s="100"/>
      <c r="T406" s="100"/>
      <c r="U406" s="100"/>
      <c r="V406" s="100"/>
      <c r="W406" s="100"/>
      <c r="X406" s="100"/>
      <c r="Y406" s="100"/>
      <c r="Z406" s="100"/>
      <c r="AA406" s="100"/>
      <c r="AB406" s="100"/>
      <c r="AC406" s="100"/>
      <c r="AD406" s="100"/>
      <c r="AF406"/>
      <c r="AG406"/>
      <c r="AH406"/>
      <c r="AI406"/>
      <c r="AJ406"/>
      <c r="AK406">
        <f t="shared" si="168"/>
        <v>0</v>
      </c>
      <c r="AL406">
        <f t="shared" si="169"/>
        <v>0</v>
      </c>
      <c r="AM406">
        <f t="shared" si="191"/>
        <v>0</v>
      </c>
      <c r="AN406">
        <f t="shared" si="170"/>
        <v>0</v>
      </c>
      <c r="AO406">
        <f t="shared" si="171"/>
        <v>0</v>
      </c>
      <c r="AP406">
        <f t="shared" si="172"/>
        <v>0</v>
      </c>
      <c r="AQ406">
        <f t="shared" si="173"/>
        <v>0</v>
      </c>
      <c r="AR406">
        <f t="shared" si="174"/>
        <v>0</v>
      </c>
      <c r="AS406">
        <f t="shared" si="175"/>
        <v>0</v>
      </c>
      <c r="AT406">
        <f t="shared" si="176"/>
        <v>0</v>
      </c>
      <c r="AU406">
        <f t="shared" si="177"/>
        <v>0</v>
      </c>
      <c r="AV406">
        <f t="shared" si="178"/>
        <v>0</v>
      </c>
      <c r="AW406">
        <f t="shared" si="179"/>
        <v>0</v>
      </c>
      <c r="AX406">
        <f t="shared" si="180"/>
        <v>0</v>
      </c>
      <c r="AY406">
        <f t="shared" si="181"/>
        <v>0</v>
      </c>
      <c r="AZ406">
        <f t="shared" si="182"/>
        <v>0</v>
      </c>
      <c r="BA406">
        <f t="shared" si="183"/>
        <v>0</v>
      </c>
      <c r="BB406">
        <f t="shared" si="184"/>
        <v>0</v>
      </c>
      <c r="BC406">
        <f t="shared" si="185"/>
        <v>0</v>
      </c>
      <c r="BD406">
        <f t="shared" si="186"/>
        <v>0</v>
      </c>
      <c r="BE406">
        <f t="shared" si="187"/>
        <v>0</v>
      </c>
      <c r="BF406">
        <f t="shared" si="188"/>
        <v>0</v>
      </c>
      <c r="BG406">
        <f t="shared" si="189"/>
        <v>0</v>
      </c>
      <c r="BH406">
        <f t="shared" si="190"/>
        <v>0</v>
      </c>
      <c r="BI406">
        <f>COUNTIF(AC385:AC390,"NS")</f>
        <v>0</v>
      </c>
      <c r="BJ406">
        <f>SUM(AC385:AC390)</f>
        <v>0</v>
      </c>
      <c r="BK406">
        <f>IF(COUNTA(AC384:AC390)=0,0,IF(OR(AND(AC384=0,BI406&gt;0),AND(AC384="ns",BJ406&gt;0),AND(AC384="ns",BI406=0,BJ406=0)),1,IF(OR(AND(BI406&gt;=2,AC384&gt;BJ406),AND(AC384="ns",BJ406=0,BI406&gt;0),AC384=BJ406),0,1)))</f>
        <v>0</v>
      </c>
      <c r="BL406">
        <f>COUNTIF(AC396:AC400,"NS")</f>
        <v>0</v>
      </c>
      <c r="BM406">
        <f>SUM(AC396:AC400)</f>
        <v>0</v>
      </c>
      <c r="BN406">
        <f>IF(COUNTA(AC395:AC400)=0,0,IF(OR(AND(AC395=0,BL406&gt;0),AND(AC395="ns",BM406&gt;0),AND(AC395="ns",BL406=0,BM406=0)),1,IF(OR(AND(BL406&gt;=2,AC395&gt;BM406),AND(AC395="ns",BM406=0,BL406&gt;0),AC395=BM406),0,1)))</f>
        <v>0</v>
      </c>
      <c r="BO406">
        <f>COUNTIF(AC405:AC422,"NS")</f>
        <v>0</v>
      </c>
      <c r="BP406">
        <f>SUM(AC405:AC422)</f>
        <v>0</v>
      </c>
      <c r="BQ406">
        <f>IF(COUNTA(AC404:AC422)=0,0,IF(OR(AND(AC404=0,BO406&gt;0),AND(AC404="ns",BP406&gt;0),AND(AC404="ns",BO406=0,BP406=0)),1,IF(OR(AND(BO406&gt;=2,AC404&gt;BP406),AND(AC404="ns",BP406=0,BO406&gt;0),AC404=BP406),0,1)))</f>
        <v>0</v>
      </c>
      <c r="BR406">
        <f>COUNTIF(AC424:AC428,"NS")</f>
        <v>0</v>
      </c>
      <c r="BS406">
        <f>SUM(AC424:AC428)</f>
        <v>0</v>
      </c>
      <c r="BT406">
        <f>IF(COUNTA(AC423:AC428)=0,0,IF(OR(AND(AC423=0,BR406&gt;0),AND(AC423="ns",BS406&gt;0),AND(AC423="ns",BR406=0,BS406=0)),1,IF(OR(AND(BR406&gt;=2,AC423&gt;BS406),AND(AC423="ns",BS406=0,BR406&gt;0),AC423=BS406),0,1)))</f>
        <v>0</v>
      </c>
      <c r="BU406">
        <f>COUNTIF(AC432:AC434,"NS")</f>
        <v>0</v>
      </c>
      <c r="BV406">
        <f>SUM(AC432:AC434)</f>
        <v>0</v>
      </c>
      <c r="BW406">
        <f>IF(COUNTA(AC431:AC434)=0,0,IF(OR(AND(AC431=0,BU406&gt;0),AND(AC431="ns",BV406&gt;0),AND(AC431="ns",BU406=0,BV406=0)),1,IF(OR(AND(BU406&gt;=2,AC431&gt;BV406),AND(AC431="ns",BV406=0,BU406&gt;0),AC431=BV406),0,1)))</f>
        <v>0</v>
      </c>
      <c r="BX406">
        <f>COUNTIF(AC442:AC448,"NS")</f>
        <v>0</v>
      </c>
      <c r="BY406">
        <f>SUM(AC442:AC448)</f>
        <v>0</v>
      </c>
      <c r="BZ406">
        <f>IF(COUNTA(AC441:AC448)=0,0,IF(OR(AND(AC441=0,BX406&gt;0),AND(AC441="ns",BY406&gt;0),AND(AC441="ns",BX406=0,BY406=0)),1,IF(OR(AND(BX406&gt;=2,AC441&gt;BY406),AND(AC441="ns",BY406=0,BX406&gt;0),AC441=BY406),0,1)))</f>
        <v>0</v>
      </c>
      <c r="CA406">
        <f>COUNTIF(AC450:AC454,"NS")</f>
        <v>0</v>
      </c>
      <c r="CB406">
        <f>SUM(AC450:AC454)</f>
        <v>0</v>
      </c>
      <c r="CC406">
        <f>IF(COUNTA(AC449:AC454)=0,0,IF(OR(AND(AC449=0,CA406&gt;0),AND(AC449="ns",CB406&gt;0),AND(AC449="ns",CA406=0,CB406=0)),1,IF(OR(AND(CA406&gt;=2,AC449&gt;CB406),AND(AC449="ns",CB406=0,CA406&gt;0),AC449=CB406),0,1)))</f>
        <v>0</v>
      </c>
      <c r="CD406">
        <f>COUNTIF(AC460:AC465,"NS")</f>
        <v>0</v>
      </c>
      <c r="CE406">
        <f>SUM(AC460:AC465)</f>
        <v>0</v>
      </c>
      <c r="CF406">
        <f>IF(COUNTA(AC459:AC465)=0,0,IF(OR(AND(AC459=0,CD406&gt;0),AND(AC459="ns",CE406&gt;0),AND(AC459="ns",CD406=0,CE406=0)),1,IF(OR(AND(CD406&gt;=2,AC459&gt;CE406),AND(AC459="ns",CE406=0,CD406&gt;0),AC459=CE406),0,1)))</f>
        <v>0</v>
      </c>
      <c r="CG406">
        <f>COUNTIF(AC467:AC474,"NS")</f>
        <v>0</v>
      </c>
      <c r="CH406">
        <f>SUM(AC467:AC474)</f>
        <v>0</v>
      </c>
      <c r="CI406">
        <f>IF(COUNTA(AC466:AC474)=0,0,IF(OR(AND(AC466=0,CG406&gt;0),AND(AC466="ns",CH406&gt;0),AND(AC466="ns",CG406=0,CH406=0)),1,IF(OR(AND(CG406&gt;=2,AC466&gt;CH406),AND(AC466="ns",CH406=0,CG406&gt;0),AC466=CH406),0,1)))</f>
        <v>0</v>
      </c>
      <c r="CJ406">
        <f>COUNTIF(AC479:AC484,"NS")</f>
        <v>0</v>
      </c>
      <c r="CK406">
        <f>SUM(AC479:AC484)</f>
        <v>0</v>
      </c>
      <c r="CL406">
        <f>IF(COUNTA(AC478:AC484)=0,0,IF(OR(AND(AC478=0,CJ406&gt;0),AND(AC478="ns",CK406&gt;0),AND(AC478="ns",CJ406=0,CK406=0)),1,IF(OR(AND(CJ406&gt;=2,AC478&gt;CK406),AND(AC478="ns",CK406=0,CJ406&gt;0),AC478=CK406),0,1)))</f>
        <v>0</v>
      </c>
      <c r="CM406">
        <f>COUNTIF(AC489:AC497,"NS")</f>
        <v>0</v>
      </c>
      <c r="CN406">
        <f>SUM(AC489:AC497)</f>
        <v>0</v>
      </c>
      <c r="CO406">
        <f>IF(COUNTA(AC488:AC497)=0,0,IF(OR(AND(AC488=0,CM406&gt;0),AND(AC488="ns",CN406&gt;0),AND(AC488="ns",CM406=0,CN406=0)),1,IF(OR(AND(CM406&gt;=2,AC488&gt;CN406),AND(AC488="ns",CN406=0,CM406&gt;0),AC488=CN406),0,1)))</f>
        <v>0</v>
      </c>
      <c r="CP406">
        <f>COUNTIF(AC499:AC501,"NS")</f>
        <v>0</v>
      </c>
      <c r="CQ406">
        <f>SUM(AC499:AC501)</f>
        <v>0</v>
      </c>
      <c r="CR406">
        <f>IF(COUNTA(AC498:AC501)=0,0,IF(OR(AND(AC498=0,CP406&gt;0),AND(AC498="ns",CQ406&gt;0),AND(AC498="ns",CP406=0,CQ406=0)),1,IF(OR(AND(CP406&gt;=2,AC498&gt;CQ406),AND(AC498="ns",CQ406=0,CP406&gt;0),AC498=CQ406),0,1)))</f>
        <v>0</v>
      </c>
      <c r="CS406">
        <f>COUNTIF(AC510:AC516,"NS")</f>
        <v>0</v>
      </c>
      <c r="CT406">
        <f>SUM(AC510:AC516)</f>
        <v>0</v>
      </c>
      <c r="CU406">
        <f>IF(COUNTA(AC509:AC516)=0,0,IF(OR(AND(AC509=0,CS406&gt;0),AND(AC509="ns",CT406&gt;0),AND(AC509="ns",CS406=0,CT406=0)),1,IF(OR(AND(CS406&gt;=2,AC509&gt;CT406),AND(AC509="ns",CT406=0,CS406&gt;0),AC509=CT406),0,1)))</f>
        <v>0</v>
      </c>
      <c r="CV406">
        <f>COUNTIF(AC519:AC521,"NS")</f>
        <v>0</v>
      </c>
      <c r="CW406">
        <f>SUM(AC519:AC521)</f>
        <v>0</v>
      </c>
      <c r="CX406">
        <f>IF(COUNTA(AC518:AC521)=0,0,IF(OR(AND(AC518=0,CV406&gt;0),AND(AC518="ns",CW406&gt;0),AND(AC518="ns",CV406=0,CW406=0)),1,IF(OR(AND(CV406&gt;=2,AC518&gt;CW406),AND(AC518="ns",CW406=0,CV406&gt;0),AC518=CW406),0,1)))</f>
        <v>0</v>
      </c>
      <c r="CY406">
        <f>COUNTIF(AC531:AC535,"NS")</f>
        <v>0</v>
      </c>
      <c r="CZ406">
        <f>SUM(AC531:AC535)</f>
        <v>0</v>
      </c>
      <c r="DA406">
        <f>IF(COUNTA(AC530:AC535)=0,0,IF(OR(AND(AC530=0,CY406&gt;0),AND(AC530="ns",CZ406&gt;0),AND(AC530="ns",CY406=0,CZ406=0)),1,IF(OR(AND(CY406&gt;=2,AC530&gt;CZ406),AND(AC530="ns",CZ406=0,CY406&gt;0),AC530=CZ406),0,1)))</f>
        <v>0</v>
      </c>
    </row>
    <row r="407" spans="1:105" ht="15" customHeight="1">
      <c r="A407" s="206"/>
      <c r="B407" s="201"/>
      <c r="C407" s="1119" t="s">
        <v>4860</v>
      </c>
      <c r="D407" s="1121"/>
      <c r="E407" s="1121"/>
      <c r="F407" s="1120"/>
      <c r="G407" s="100"/>
      <c r="H407" s="100"/>
      <c r="I407" s="100"/>
      <c r="J407" s="100"/>
      <c r="K407" s="100"/>
      <c r="L407" s="100"/>
      <c r="M407" s="100"/>
      <c r="N407" s="100"/>
      <c r="O407" s="100"/>
      <c r="P407" s="100"/>
      <c r="Q407" s="100"/>
      <c r="R407" s="100"/>
      <c r="S407" s="100"/>
      <c r="T407" s="100"/>
      <c r="U407" s="100"/>
      <c r="V407" s="100"/>
      <c r="W407" s="100"/>
      <c r="X407" s="100"/>
      <c r="Y407" s="100"/>
      <c r="Z407" s="100"/>
      <c r="AA407" s="100"/>
      <c r="AB407" s="100"/>
      <c r="AC407" s="100"/>
      <c r="AD407" s="100"/>
      <c r="AF407"/>
      <c r="AG407"/>
      <c r="AH407"/>
      <c r="AI407"/>
      <c r="AJ407"/>
      <c r="AK407">
        <f t="shared" si="168"/>
        <v>0</v>
      </c>
      <c r="AL407">
        <f t="shared" si="169"/>
        <v>0</v>
      </c>
      <c r="AM407">
        <f t="shared" si="191"/>
        <v>0</v>
      </c>
      <c r="AN407">
        <f t="shared" si="170"/>
        <v>0</v>
      </c>
      <c r="AO407">
        <f t="shared" si="171"/>
        <v>0</v>
      </c>
      <c r="AP407">
        <f t="shared" si="172"/>
        <v>0</v>
      </c>
      <c r="AQ407">
        <f t="shared" si="173"/>
        <v>0</v>
      </c>
      <c r="AR407">
        <f t="shared" si="174"/>
        <v>0</v>
      </c>
      <c r="AS407">
        <f t="shared" si="175"/>
        <v>0</v>
      </c>
      <c r="AT407">
        <f t="shared" si="176"/>
        <v>0</v>
      </c>
      <c r="AU407">
        <f t="shared" si="177"/>
        <v>0</v>
      </c>
      <c r="AV407">
        <f t="shared" si="178"/>
        <v>0</v>
      </c>
      <c r="AW407">
        <f t="shared" si="179"/>
        <v>0</v>
      </c>
      <c r="AX407">
        <f t="shared" si="180"/>
        <v>0</v>
      </c>
      <c r="AY407">
        <f t="shared" si="181"/>
        <v>0</v>
      </c>
      <c r="AZ407">
        <f t="shared" si="182"/>
        <v>0</v>
      </c>
      <c r="BA407">
        <f t="shared" si="183"/>
        <v>0</v>
      </c>
      <c r="BB407">
        <f t="shared" si="184"/>
        <v>0</v>
      </c>
      <c r="BC407">
        <f t="shared" si="185"/>
        <v>0</v>
      </c>
      <c r="BD407">
        <f t="shared" si="186"/>
        <v>0</v>
      </c>
      <c r="BE407">
        <f t="shared" si="187"/>
        <v>0</v>
      </c>
      <c r="BF407">
        <f t="shared" si="188"/>
        <v>0</v>
      </c>
      <c r="BG407">
        <f t="shared" si="189"/>
        <v>0</v>
      </c>
      <c r="BH407">
        <f t="shared" si="190"/>
        <v>0</v>
      </c>
      <c r="BI407">
        <f>COUNTIF(AD385:AD390,"NS")</f>
        <v>0</v>
      </c>
      <c r="BJ407">
        <f>SUM(AD385:AD390)</f>
        <v>0</v>
      </c>
      <c r="BK407">
        <f>IF(COUNTA(AD384:AD390)=0,0,IF(OR(AND(AD384=0,BI407&gt;0),AND(AD384="ns",BJ407&gt;0),AND(AD384="ns",BI407=0,BJ407=0)),1,IF(OR(AND(BI407&gt;=2,AD384&gt;BJ407),AND(AD384="ns",BJ407=0,BI407&gt;0),AD384=BJ407),0,1)))</f>
        <v>0</v>
      </c>
      <c r="BL407">
        <f>COUNTIF(AD396:AD400,"NS")</f>
        <v>0</v>
      </c>
      <c r="BM407">
        <f>SUM(AD396:AD400)</f>
        <v>0</v>
      </c>
      <c r="BN407">
        <f>IF(COUNTA(AD395:AD400)=0,0,IF(OR(AND(AD395=0,BL407&gt;0),AND(AD395="ns",BM407&gt;0),AND(AD395="ns",BL407=0,BM407=0)),1,IF(OR(AND(BL407&gt;=2,AD395&gt;BM407),AND(AD395="ns",BM407=0,BL407&gt;0),AD395=BM407),0,1)))</f>
        <v>0</v>
      </c>
      <c r="BO407">
        <f>COUNTIF(AD405:AD422,"NS")</f>
        <v>0</v>
      </c>
      <c r="BP407">
        <f>SUM(AD405:AD422)</f>
        <v>0</v>
      </c>
      <c r="BQ407">
        <f>IF(COUNTA(AD404:AD422)=0,0,IF(OR(AND(AD404=0,BO407&gt;0),AND(AD404="ns",BP407&gt;0),AND(AD404="ns",BO407=0,BP407=0)),1,IF(OR(AND(BO407&gt;=2,AD404&gt;BP407),AND(AD404="ns",BP407=0,BO407&gt;0),AD404=BP407),0,1)))</f>
        <v>0</v>
      </c>
      <c r="BR407">
        <f>COUNTIF(AD424:AD428,"NS")</f>
        <v>0</v>
      </c>
      <c r="BS407">
        <f>SUM(AD424:AD428)</f>
        <v>0</v>
      </c>
      <c r="BT407">
        <f>IF(COUNTA(AD423:AD428)=0,0,IF(OR(AND(AD423=0,BR407&gt;0),AND(AD423="ns",BS407&gt;0),AND(AD423="ns",BR407=0,BS407=0)),1,IF(OR(AND(BR407&gt;=2,AD423&gt;BS407),AND(AD423="ns",BS407=0,BR407&gt;0),AD423=BS407),0,1)))</f>
        <v>0</v>
      </c>
      <c r="BU407">
        <f>COUNTIF(AD432:AD434,"NS")</f>
        <v>0</v>
      </c>
      <c r="BV407">
        <f>SUM(AD432:AD434)</f>
        <v>0</v>
      </c>
      <c r="BW407">
        <f>IF(COUNTA(AD431:AD434)=0,0,IF(OR(AND(AD431=0,BU407&gt;0),AND(AD431="ns",BV407&gt;0),AND(AD431="ns",BU407=0,BV407=0)),1,IF(OR(AND(BU407&gt;=2,AD431&gt;BV407),AND(AD431="ns",BV407=0,BU407&gt;0),AD431=BV407),0,1)))</f>
        <v>0</v>
      </c>
      <c r="BX407">
        <f>COUNTIF(AD442:AD448,"NS")</f>
        <v>0</v>
      </c>
      <c r="BY407">
        <f>SUM(AD442:AD448)</f>
        <v>0</v>
      </c>
      <c r="BZ407">
        <f>IF(COUNTA(AD441:AD448)=0,0,IF(OR(AND(AD441=0,BX407&gt;0),AND(AD441="ns",BY407&gt;0),AND(AD441="ns",BX407=0,BY407=0)),1,IF(OR(AND(BX407&gt;=2,AD441&gt;BY407),AND(AD441="ns",BY407=0,BX407&gt;0),AD441=BY407),0,1)))</f>
        <v>0</v>
      </c>
      <c r="CA407">
        <f>COUNTIF(AD450:AD454,"NS")</f>
        <v>0</v>
      </c>
      <c r="CB407">
        <f>SUM(AD450:AD454)</f>
        <v>0</v>
      </c>
      <c r="CC407">
        <f>IF(COUNTA(AD449:AD454)=0,0,IF(OR(AND(AD449=0,CA407&gt;0),AND(AD449="ns",CB407&gt;0),AND(AD449="ns",CA407=0,CB407=0)),1,IF(OR(AND(CA407&gt;=2,AD449&gt;CB407),AND(AD449="ns",CB407=0,CA407&gt;0),AD449=CB407),0,1)))</f>
        <v>0</v>
      </c>
      <c r="CD407">
        <f>COUNTIF(AD460:AD465,"NS")</f>
        <v>0</v>
      </c>
      <c r="CE407">
        <f>SUM(AD460:AD465)</f>
        <v>0</v>
      </c>
      <c r="CF407">
        <f>IF(COUNTA(AD459:AD465)=0,0,IF(OR(AND(AD459=0,CD407&gt;0),AND(AD459="ns",CE407&gt;0),AND(AD459="ns",CD407=0,CE407=0)),1,IF(OR(AND(CD407&gt;=2,AD459&gt;CE407),AND(AD459="ns",CE407=0,CD407&gt;0),AD459=CE407),0,1)))</f>
        <v>0</v>
      </c>
      <c r="CG407">
        <f>COUNTIF(AD467:AD474,"NS")</f>
        <v>0</v>
      </c>
      <c r="CH407">
        <f>SUM(AD467:AD474)</f>
        <v>0</v>
      </c>
      <c r="CI407">
        <f>IF(COUNTA(AD466:AD474)=0,0,IF(OR(AND(AD466=0,CG407&gt;0),AND(AD466="ns",CH407&gt;0),AND(AD466="ns",CG407=0,CH407=0)),1,IF(OR(AND(CG407&gt;=2,AD466&gt;CH407),AND(AD466="ns",CH407=0,CG407&gt;0),AD466=CH407),0,1)))</f>
        <v>0</v>
      </c>
      <c r="CJ407">
        <f>COUNTIF(AD479:AD484,"NS")</f>
        <v>0</v>
      </c>
      <c r="CK407">
        <f>SUM(AD479:AD484)</f>
        <v>0</v>
      </c>
      <c r="CL407">
        <f>IF(COUNTA(AD478:AD484)=0,0,IF(OR(AND(AD478=0,CJ407&gt;0),AND(AD478="ns",CK407&gt;0),AND(AD478="ns",CJ407=0,CK407=0)),1,IF(OR(AND(CJ407&gt;=2,AD478&gt;CK407),AND(AD478="ns",CK407=0,CJ407&gt;0),AD478=CK407),0,1)))</f>
        <v>0</v>
      </c>
      <c r="CM407">
        <f>COUNTIF(AD489:AD497,"NS")</f>
        <v>0</v>
      </c>
      <c r="CN407">
        <f>SUM(AD489:AD497)</f>
        <v>0</v>
      </c>
      <c r="CO407">
        <f>IF(COUNTA(AD488:AD497)=0,0,IF(OR(AND(AD488=0,CM407&gt;0),AND(AD488="ns",CN407&gt;0),AND(AD488="ns",CM407=0,CN407=0)),1,IF(OR(AND(CM407&gt;=2,AD488&gt;CN407),AND(AD488="ns",CN407=0,CM407&gt;0),AD488=CN407),0,1)))</f>
        <v>0</v>
      </c>
      <c r="CP407">
        <f>COUNTIF(AD499:AD501,"NS")</f>
        <v>0</v>
      </c>
      <c r="CQ407">
        <f>SUM(AD499:AD501)</f>
        <v>0</v>
      </c>
      <c r="CR407">
        <f>IF(COUNTA(AD498:AD501)=0,0,IF(OR(AND(AD498=0,CP407&gt;0),AND(AD498="ns",CQ407&gt;0),AND(AD498="ns",CP407=0,CQ407=0)),1,IF(OR(AND(CP407&gt;=2,AD498&gt;CQ407),AND(AD498="ns",CQ407=0,CP407&gt;0),AD498=CQ407),0,1)))</f>
        <v>0</v>
      </c>
      <c r="CS407">
        <f>COUNTIF(AD510:AD516,"NS")</f>
        <v>0</v>
      </c>
      <c r="CT407">
        <f>SUM(AD510:AD516)</f>
        <v>0</v>
      </c>
      <c r="CU407">
        <f>IF(COUNTA(AD509:AD516)=0,0,IF(OR(AND(AD509=0,CS407&gt;0),AND(AD509="ns",CT407&gt;0),AND(AD509="ns",CS407=0,CT407=0)),1,IF(OR(AND(CS407&gt;=2,AD509&gt;CT407),AND(AD509="ns",CT407=0,CS407&gt;0),AD509=CT407),0,1)))</f>
        <v>0</v>
      </c>
      <c r="CV407">
        <f>COUNTIF(AD519:AD521,"NS")</f>
        <v>0</v>
      </c>
      <c r="CW407">
        <f>SUM(AD519:AD521)</f>
        <v>0</v>
      </c>
      <c r="CX407">
        <f>IF(COUNTA(AD518:AD521)=0,0,IF(OR(AND(AD518=0,CV407&gt;0),AND(AD518="ns",CW407&gt;0),AND(AD518="ns",CV407=0,CW407=0)),1,IF(OR(AND(CV407&gt;=2,AD518&gt;CW407),AND(AD518="ns",CW407=0,CV407&gt;0),AD518=CW407),0,1)))</f>
        <v>0</v>
      </c>
      <c r="CY407">
        <f>COUNTIF(AD531:AD535,"NS")</f>
        <v>0</v>
      </c>
      <c r="CZ407">
        <f>SUM(AD531:AD535)</f>
        <v>0</v>
      </c>
      <c r="DA407">
        <f>IF(COUNTA(AD530:AD535)=0,0,IF(OR(AND(AD530=0,CY407&gt;0),AND(AD530="ns",CZ407&gt;0),AND(AD530="ns",CY407=0,CZ407=0)),1,IF(OR(AND(CY407&gt;=2,AD530&gt;CZ407),AND(AD530="ns",CZ407=0,CY407&gt;0),AD530=CZ407),0,1)))</f>
        <v>0</v>
      </c>
    </row>
    <row r="408" spans="1:105" ht="15" customHeight="1">
      <c r="A408" s="206"/>
      <c r="B408" s="201"/>
      <c r="C408" s="1119" t="s">
        <v>4862</v>
      </c>
      <c r="D408" s="1121"/>
      <c r="E408" s="1121"/>
      <c r="F408" s="1120"/>
      <c r="G408" s="100"/>
      <c r="H408" s="100"/>
      <c r="I408" s="100"/>
      <c r="J408" s="100"/>
      <c r="K408" s="100"/>
      <c r="L408" s="100"/>
      <c r="M408" s="100"/>
      <c r="N408" s="100"/>
      <c r="O408" s="100"/>
      <c r="P408" s="100"/>
      <c r="Q408" s="100"/>
      <c r="R408" s="100"/>
      <c r="S408" s="100"/>
      <c r="T408" s="100"/>
      <c r="U408" s="100"/>
      <c r="V408" s="100"/>
      <c r="W408" s="100"/>
      <c r="X408" s="100"/>
      <c r="Y408" s="100"/>
      <c r="Z408" s="100"/>
      <c r="AA408" s="100"/>
      <c r="AB408" s="100"/>
      <c r="AC408" s="100"/>
      <c r="AD408" s="100"/>
      <c r="AF408"/>
      <c r="AG408"/>
      <c r="AH408"/>
      <c r="AI408"/>
      <c r="AJ408"/>
      <c r="AK408">
        <f t="shared" si="168"/>
        <v>0</v>
      </c>
      <c r="AL408">
        <f t="shared" si="169"/>
        <v>0</v>
      </c>
      <c r="AM408">
        <f t="shared" si="191"/>
        <v>0</v>
      </c>
      <c r="AN408">
        <f t="shared" si="170"/>
        <v>0</v>
      </c>
      <c r="AO408">
        <f t="shared" si="171"/>
        <v>0</v>
      </c>
      <c r="AP408">
        <f t="shared" si="172"/>
        <v>0</v>
      </c>
      <c r="AQ408">
        <f t="shared" si="173"/>
        <v>0</v>
      </c>
      <c r="AR408">
        <f t="shared" si="174"/>
        <v>0</v>
      </c>
      <c r="AS408">
        <f t="shared" si="175"/>
        <v>0</v>
      </c>
      <c r="AT408">
        <f t="shared" si="176"/>
        <v>0</v>
      </c>
      <c r="AU408">
        <f t="shared" si="177"/>
        <v>0</v>
      </c>
      <c r="AV408">
        <f t="shared" si="178"/>
        <v>0</v>
      </c>
      <c r="AW408">
        <f t="shared" si="179"/>
        <v>0</v>
      </c>
      <c r="AX408">
        <f t="shared" si="180"/>
        <v>0</v>
      </c>
      <c r="AY408">
        <f t="shared" si="181"/>
        <v>0</v>
      </c>
      <c r="AZ408">
        <f t="shared" si="182"/>
        <v>0</v>
      </c>
      <c r="BA408">
        <f t="shared" si="183"/>
        <v>0</v>
      </c>
      <c r="BB408">
        <f t="shared" si="184"/>
        <v>0</v>
      </c>
      <c r="BC408">
        <f t="shared" si="185"/>
        <v>0</v>
      </c>
      <c r="BD408">
        <f t="shared" si="186"/>
        <v>0</v>
      </c>
      <c r="BE408">
        <f t="shared" si="187"/>
        <v>0</v>
      </c>
      <c r="BF408">
        <f t="shared" si="188"/>
        <v>0</v>
      </c>
      <c r="BG408">
        <f t="shared" si="189"/>
        <v>0</v>
      </c>
      <c r="BH408">
        <f t="shared" si="190"/>
        <v>0</v>
      </c>
      <c r="BI408">
        <f>SUM(BI384:BI407)</f>
        <v>0</v>
      </c>
      <c r="BK408">
        <f>SUM(BK384:BK407)</f>
        <v>0</v>
      </c>
      <c r="BL408">
        <f>SUM(BL384:BL407)</f>
        <v>0</v>
      </c>
      <c r="BN408">
        <f>SUM(BN384:BN407)</f>
        <v>0</v>
      </c>
      <c r="BO408">
        <f>SUM(BO384:BO407)</f>
        <v>0</v>
      </c>
      <c r="BQ408">
        <f>SUM(BQ384:BQ407)</f>
        <v>0</v>
      </c>
      <c r="BR408">
        <f>SUM(BR384:BR407)</f>
        <v>0</v>
      </c>
      <c r="BT408">
        <f>SUM(BT384:BT407)</f>
        <v>0</v>
      </c>
      <c r="BU408">
        <f>SUM(BU384:BU407)</f>
        <v>0</v>
      </c>
      <c r="BW408">
        <f>SUM(BW384:BW407)</f>
        <v>0</v>
      </c>
      <c r="BX408">
        <f>SUM(BX384:BX407)</f>
        <v>0</v>
      </c>
      <c r="BZ408">
        <f>SUM(BZ384:BZ407)</f>
        <v>0</v>
      </c>
      <c r="CA408">
        <f>SUM(CA384:CA407)</f>
        <v>0</v>
      </c>
      <c r="CC408">
        <f>SUM(CC384:CC407)</f>
        <v>0</v>
      </c>
      <c r="CD408">
        <f>SUM(CD384:CD407)</f>
        <v>0</v>
      </c>
      <c r="CF408">
        <f>SUM(CF384:CF407)</f>
        <v>0</v>
      </c>
      <c r="CG408">
        <f>SUM(CG384:CG407)</f>
        <v>0</v>
      </c>
      <c r="CI408">
        <f>SUM(CI384:CI407)</f>
        <v>0</v>
      </c>
      <c r="CJ408">
        <f>SUM(CJ384:CJ407)</f>
        <v>0</v>
      </c>
      <c r="CL408">
        <f>SUM(CL384:CL407)</f>
        <v>0</v>
      </c>
      <c r="CM408">
        <f>SUM(CM384:CM407)</f>
        <v>0</v>
      </c>
      <c r="CO408">
        <f>SUM(CO384:CO407)</f>
        <v>0</v>
      </c>
      <c r="CP408">
        <f>SUM(CP384:CP407)</f>
        <v>0</v>
      </c>
      <c r="CR408">
        <f>SUM(CR384:CR407)</f>
        <v>0</v>
      </c>
      <c r="CS408">
        <f>SUM(CS384:CS407)</f>
        <v>0</v>
      </c>
      <c r="CU408">
        <f>SUM(CU384:CU407)</f>
        <v>0</v>
      </c>
      <c r="CV408">
        <f>SUM(CV384:CV407)</f>
        <v>0</v>
      </c>
      <c r="CX408">
        <f>SUM(CX384:CX407)</f>
        <v>0</v>
      </c>
      <c r="CY408">
        <f>SUM(CY384:CY407)</f>
        <v>0</v>
      </c>
      <c r="DA408">
        <f>SUM(DA384:DA407)</f>
        <v>0</v>
      </c>
    </row>
    <row r="409" spans="1:105" ht="15" customHeight="1">
      <c r="A409" s="206"/>
      <c r="B409" s="201"/>
      <c r="C409" s="1119" t="s">
        <v>4864</v>
      </c>
      <c r="D409" s="1121"/>
      <c r="E409" s="1121"/>
      <c r="F409" s="1120"/>
      <c r="G409" s="100"/>
      <c r="H409" s="100"/>
      <c r="I409" s="100"/>
      <c r="J409" s="100"/>
      <c r="K409" s="100"/>
      <c r="L409" s="100"/>
      <c r="M409" s="100"/>
      <c r="N409" s="100"/>
      <c r="O409" s="100"/>
      <c r="P409" s="100"/>
      <c r="Q409" s="100"/>
      <c r="R409" s="100"/>
      <c r="S409" s="100"/>
      <c r="T409" s="100"/>
      <c r="U409" s="100"/>
      <c r="V409" s="100"/>
      <c r="W409" s="100"/>
      <c r="X409" s="100"/>
      <c r="Y409" s="100"/>
      <c r="Z409" s="100"/>
      <c r="AA409" s="100"/>
      <c r="AB409" s="100"/>
      <c r="AC409" s="100"/>
      <c r="AD409" s="100"/>
      <c r="AF409"/>
      <c r="AG409"/>
      <c r="AH409"/>
      <c r="AI409"/>
      <c r="AJ409"/>
      <c r="AK409">
        <f t="shared" si="168"/>
        <v>0</v>
      </c>
      <c r="AL409">
        <f t="shared" si="169"/>
        <v>0</v>
      </c>
      <c r="AM409">
        <f t="shared" si="191"/>
        <v>0</v>
      </c>
      <c r="AN409">
        <f t="shared" si="170"/>
        <v>0</v>
      </c>
      <c r="AO409">
        <f t="shared" si="171"/>
        <v>0</v>
      </c>
      <c r="AP409">
        <f t="shared" si="172"/>
        <v>0</v>
      </c>
      <c r="AQ409">
        <f t="shared" si="173"/>
        <v>0</v>
      </c>
      <c r="AR409">
        <f t="shared" si="174"/>
        <v>0</v>
      </c>
      <c r="AS409">
        <f t="shared" si="175"/>
        <v>0</v>
      </c>
      <c r="AT409">
        <f t="shared" si="176"/>
        <v>0</v>
      </c>
      <c r="AU409">
        <f t="shared" si="177"/>
        <v>0</v>
      </c>
      <c r="AV409">
        <f t="shared" si="178"/>
        <v>0</v>
      </c>
      <c r="AW409">
        <f t="shared" si="179"/>
        <v>0</v>
      </c>
      <c r="AX409">
        <f t="shared" si="180"/>
        <v>0</v>
      </c>
      <c r="AY409">
        <f t="shared" si="181"/>
        <v>0</v>
      </c>
      <c r="AZ409">
        <f t="shared" si="182"/>
        <v>0</v>
      </c>
      <c r="BA409">
        <f t="shared" si="183"/>
        <v>0</v>
      </c>
      <c r="BB409">
        <f t="shared" si="184"/>
        <v>0</v>
      </c>
      <c r="BC409">
        <f t="shared" si="185"/>
        <v>0</v>
      </c>
      <c r="BD409">
        <f t="shared" si="186"/>
        <v>0</v>
      </c>
      <c r="BE409">
        <f t="shared" si="187"/>
        <v>0</v>
      </c>
      <c r="BF409">
        <f t="shared" si="188"/>
        <v>0</v>
      </c>
      <c r="BG409">
        <f t="shared" si="189"/>
        <v>0</v>
      </c>
      <c r="BH409">
        <f t="shared" si="190"/>
        <v>0</v>
      </c>
      <c r="DA409" s="427">
        <f>SUM(BK408,BN408,BQ408,BT408,BW408,BZ408,CC408,CF408,CI408,CL408,CO408,CR408,CU408,CX408,DA408)</f>
        <v>0</v>
      </c>
    </row>
    <row r="410" spans="1:105" ht="15" customHeight="1">
      <c r="A410" s="206"/>
      <c r="B410" s="201"/>
      <c r="C410" s="1119" t="s">
        <v>4866</v>
      </c>
      <c r="D410" s="1121"/>
      <c r="E410" s="1121"/>
      <c r="F410" s="1120"/>
      <c r="G410" s="100"/>
      <c r="H410" s="100"/>
      <c r="I410" s="100"/>
      <c r="J410" s="100"/>
      <c r="K410" s="100"/>
      <c r="L410" s="100"/>
      <c r="M410" s="100"/>
      <c r="N410" s="100"/>
      <c r="O410" s="100"/>
      <c r="P410" s="100"/>
      <c r="Q410" s="100"/>
      <c r="R410" s="100"/>
      <c r="S410" s="100"/>
      <c r="T410" s="100"/>
      <c r="U410" s="100"/>
      <c r="V410" s="100"/>
      <c r="W410" s="100"/>
      <c r="X410" s="100"/>
      <c r="Y410" s="100"/>
      <c r="Z410" s="100"/>
      <c r="AA410" s="100"/>
      <c r="AB410" s="100"/>
      <c r="AC410" s="100"/>
      <c r="AD410" s="100"/>
      <c r="AF410"/>
      <c r="AG410"/>
      <c r="AH410"/>
      <c r="AI410"/>
      <c r="AJ410"/>
      <c r="AK410">
        <f t="shared" si="168"/>
        <v>0</v>
      </c>
      <c r="AL410">
        <f t="shared" si="169"/>
        <v>0</v>
      </c>
      <c r="AM410">
        <f t="shared" si="191"/>
        <v>0</v>
      </c>
      <c r="AN410">
        <f t="shared" si="170"/>
        <v>0</v>
      </c>
      <c r="AO410">
        <f t="shared" si="171"/>
        <v>0</v>
      </c>
      <c r="AP410">
        <f t="shared" si="172"/>
        <v>0</v>
      </c>
      <c r="AQ410">
        <f t="shared" si="173"/>
        <v>0</v>
      </c>
      <c r="AR410">
        <f t="shared" si="174"/>
        <v>0</v>
      </c>
      <c r="AS410">
        <f t="shared" si="175"/>
        <v>0</v>
      </c>
      <c r="AT410">
        <f t="shared" si="176"/>
        <v>0</v>
      </c>
      <c r="AU410">
        <f t="shared" si="177"/>
        <v>0</v>
      </c>
      <c r="AV410">
        <f t="shared" si="178"/>
        <v>0</v>
      </c>
      <c r="AW410">
        <f t="shared" si="179"/>
        <v>0</v>
      </c>
      <c r="AX410">
        <f t="shared" si="180"/>
        <v>0</v>
      </c>
      <c r="AY410">
        <f t="shared" si="181"/>
        <v>0</v>
      </c>
      <c r="AZ410">
        <f t="shared" si="182"/>
        <v>0</v>
      </c>
      <c r="BA410">
        <f t="shared" si="183"/>
        <v>0</v>
      </c>
      <c r="BB410">
        <f t="shared" si="184"/>
        <v>0</v>
      </c>
      <c r="BC410">
        <f t="shared" si="185"/>
        <v>0</v>
      </c>
      <c r="BD410">
        <f t="shared" si="186"/>
        <v>0</v>
      </c>
      <c r="BE410">
        <f t="shared" si="187"/>
        <v>0</v>
      </c>
      <c r="BF410">
        <f t="shared" si="188"/>
        <v>0</v>
      </c>
      <c r="BG410">
        <f t="shared" si="189"/>
        <v>0</v>
      </c>
      <c r="BH410">
        <f t="shared" si="190"/>
        <v>0</v>
      </c>
      <c r="DA410" s="508">
        <f>SUM(CR229,DA409)</f>
        <v>0</v>
      </c>
    </row>
    <row r="411" spans="1:105" ht="15" customHeight="1">
      <c r="A411" s="206"/>
      <c r="B411" s="201"/>
      <c r="C411" s="1119" t="s">
        <v>4868</v>
      </c>
      <c r="D411" s="1121"/>
      <c r="E411" s="1121"/>
      <c r="F411" s="1120"/>
      <c r="G411" s="100"/>
      <c r="H411" s="100"/>
      <c r="I411" s="100"/>
      <c r="J411" s="100"/>
      <c r="K411" s="100"/>
      <c r="L411" s="100"/>
      <c r="M411" s="100"/>
      <c r="N411" s="100"/>
      <c r="O411" s="100"/>
      <c r="P411" s="100"/>
      <c r="Q411" s="100"/>
      <c r="R411" s="100"/>
      <c r="S411" s="100"/>
      <c r="T411" s="100"/>
      <c r="U411" s="100"/>
      <c r="V411" s="100"/>
      <c r="W411" s="100"/>
      <c r="X411" s="100"/>
      <c r="Y411" s="100"/>
      <c r="Z411" s="100"/>
      <c r="AA411" s="100"/>
      <c r="AB411" s="100"/>
      <c r="AC411" s="100"/>
      <c r="AD411" s="100"/>
      <c r="AF411"/>
      <c r="AG411"/>
      <c r="AH411"/>
      <c r="AI411"/>
      <c r="AJ411"/>
      <c r="AK411">
        <f t="shared" si="168"/>
        <v>0</v>
      </c>
      <c r="AL411">
        <f t="shared" si="169"/>
        <v>0</v>
      </c>
      <c r="AM411">
        <f t="shared" si="191"/>
        <v>0</v>
      </c>
      <c r="AN411">
        <f t="shared" si="170"/>
        <v>0</v>
      </c>
      <c r="AO411">
        <f t="shared" si="171"/>
        <v>0</v>
      </c>
      <c r="AP411">
        <f t="shared" si="172"/>
        <v>0</v>
      </c>
      <c r="AQ411">
        <f t="shared" si="173"/>
        <v>0</v>
      </c>
      <c r="AR411">
        <f t="shared" si="174"/>
        <v>0</v>
      </c>
      <c r="AS411">
        <f t="shared" si="175"/>
        <v>0</v>
      </c>
      <c r="AT411">
        <f t="shared" si="176"/>
        <v>0</v>
      </c>
      <c r="AU411">
        <f t="shared" si="177"/>
        <v>0</v>
      </c>
      <c r="AV411">
        <f t="shared" si="178"/>
        <v>0</v>
      </c>
      <c r="AW411">
        <f t="shared" si="179"/>
        <v>0</v>
      </c>
      <c r="AX411">
        <f t="shared" si="180"/>
        <v>0</v>
      </c>
      <c r="AY411">
        <f t="shared" si="181"/>
        <v>0</v>
      </c>
      <c r="AZ411">
        <f t="shared" si="182"/>
        <v>0</v>
      </c>
      <c r="BA411">
        <f t="shared" si="183"/>
        <v>0</v>
      </c>
      <c r="BB411">
        <f t="shared" si="184"/>
        <v>0</v>
      </c>
      <c r="BC411">
        <f t="shared" si="185"/>
        <v>0</v>
      </c>
      <c r="BD411">
        <f t="shared" si="186"/>
        <v>0</v>
      </c>
      <c r="BE411">
        <f t="shared" si="187"/>
        <v>0</v>
      </c>
      <c r="BF411">
        <f t="shared" si="188"/>
        <v>0</v>
      </c>
      <c r="BG411">
        <f t="shared" si="189"/>
        <v>0</v>
      </c>
      <c r="BH411">
        <f t="shared" si="190"/>
        <v>0</v>
      </c>
      <c r="CZ411" t="s">
        <v>4836</v>
      </c>
      <c r="DA411" s="506">
        <f>DA410-SUM(COUNTIF(P213,"NA"),COUNTIF(P224,"NA"),COUNTIF(P233,"NA"),COUNTIF(P252,"NA"),COUNTIF(P260,"NA"),COUNTIF(P270,"NA"),COUNTIF(P278,"NA"),COUNTIF(P288,"NA"),COUNTIF(P295,"NA"),COUNTIF(P307,"NA"),COUNTIF(P317,"NA"),COUNTIF(P327,"NA"),COUNTIF(P338,"NA"),COUNTIF(P347,"NA"),COUNTIF(P359,"NA"))</f>
        <v>0</v>
      </c>
    </row>
    <row r="412" spans="1:105" ht="15" customHeight="1">
      <c r="A412" s="206"/>
      <c r="B412" s="201"/>
      <c r="C412" s="1119" t="s">
        <v>4870</v>
      </c>
      <c r="D412" s="1121"/>
      <c r="E412" s="1121"/>
      <c r="F412" s="1120"/>
      <c r="G412" s="100"/>
      <c r="H412" s="100"/>
      <c r="I412" s="100"/>
      <c r="J412" s="100"/>
      <c r="K412" s="100"/>
      <c r="L412" s="100"/>
      <c r="M412" s="100"/>
      <c r="N412" s="100"/>
      <c r="O412" s="100"/>
      <c r="P412" s="100"/>
      <c r="Q412" s="100"/>
      <c r="R412" s="100"/>
      <c r="S412" s="100"/>
      <c r="T412" s="100"/>
      <c r="U412" s="100"/>
      <c r="V412" s="100"/>
      <c r="W412" s="100"/>
      <c r="X412" s="100"/>
      <c r="Y412" s="100"/>
      <c r="Z412" s="100"/>
      <c r="AA412" s="100"/>
      <c r="AB412" s="100"/>
      <c r="AC412" s="100"/>
      <c r="AD412" s="100"/>
      <c r="AF412"/>
      <c r="AG412"/>
      <c r="AH412"/>
      <c r="AI412"/>
      <c r="AJ412"/>
      <c r="AK412">
        <f t="shared" si="168"/>
        <v>0</v>
      </c>
      <c r="AL412">
        <f t="shared" si="169"/>
        <v>0</v>
      </c>
      <c r="AM412">
        <f t="shared" si="191"/>
        <v>0</v>
      </c>
      <c r="AN412">
        <f t="shared" si="170"/>
        <v>0</v>
      </c>
      <c r="AO412">
        <f t="shared" si="171"/>
        <v>0</v>
      </c>
      <c r="AP412">
        <f t="shared" si="172"/>
        <v>0</v>
      </c>
      <c r="AQ412">
        <f t="shared" si="173"/>
        <v>0</v>
      </c>
      <c r="AR412">
        <f t="shared" si="174"/>
        <v>0</v>
      </c>
      <c r="AS412">
        <f t="shared" si="175"/>
        <v>0</v>
      </c>
      <c r="AT412">
        <f t="shared" si="176"/>
        <v>0</v>
      </c>
      <c r="AU412">
        <f t="shared" si="177"/>
        <v>0</v>
      </c>
      <c r="AV412">
        <f t="shared" si="178"/>
        <v>0</v>
      </c>
      <c r="AW412">
        <f t="shared" si="179"/>
        <v>0</v>
      </c>
      <c r="AX412">
        <f t="shared" si="180"/>
        <v>0</v>
      </c>
      <c r="AY412">
        <f t="shared" si="181"/>
        <v>0</v>
      </c>
      <c r="AZ412">
        <f t="shared" si="182"/>
        <v>0</v>
      </c>
      <c r="BA412">
        <f t="shared" si="183"/>
        <v>0</v>
      </c>
      <c r="BB412">
        <f t="shared" si="184"/>
        <v>0</v>
      </c>
      <c r="BC412">
        <f t="shared" si="185"/>
        <v>0</v>
      </c>
      <c r="BD412">
        <f t="shared" si="186"/>
        <v>0</v>
      </c>
      <c r="BE412">
        <f t="shared" si="187"/>
        <v>0</v>
      </c>
      <c r="BF412">
        <f t="shared" si="188"/>
        <v>0</v>
      </c>
      <c r="BG412">
        <f t="shared" si="189"/>
        <v>0</v>
      </c>
      <c r="BH412">
        <f t="shared" si="190"/>
        <v>0</v>
      </c>
    </row>
    <row r="413" spans="1:105" ht="15" customHeight="1">
      <c r="A413" s="206"/>
      <c r="B413" s="201"/>
      <c r="C413" s="1119" t="s">
        <v>4872</v>
      </c>
      <c r="D413" s="1121"/>
      <c r="E413" s="1121"/>
      <c r="F413" s="1120"/>
      <c r="G413" s="100"/>
      <c r="H413" s="100"/>
      <c r="I413" s="100"/>
      <c r="J413" s="100"/>
      <c r="K413" s="100"/>
      <c r="L413" s="100"/>
      <c r="M413" s="100"/>
      <c r="N413" s="100"/>
      <c r="O413" s="100"/>
      <c r="P413" s="100"/>
      <c r="Q413" s="100"/>
      <c r="R413" s="100"/>
      <c r="S413" s="100"/>
      <c r="T413" s="100"/>
      <c r="U413" s="100"/>
      <c r="V413" s="100"/>
      <c r="W413" s="100"/>
      <c r="X413" s="100"/>
      <c r="Y413" s="100"/>
      <c r="Z413" s="100"/>
      <c r="AA413" s="100"/>
      <c r="AB413" s="100"/>
      <c r="AC413" s="100"/>
      <c r="AD413" s="100"/>
      <c r="AF413"/>
      <c r="AG413"/>
      <c r="AH413"/>
      <c r="AI413"/>
      <c r="AJ413"/>
      <c r="AK413">
        <f t="shared" si="168"/>
        <v>0</v>
      </c>
      <c r="AL413">
        <f t="shared" si="169"/>
        <v>0</v>
      </c>
      <c r="AM413">
        <f t="shared" si="191"/>
        <v>0</v>
      </c>
      <c r="AN413">
        <f t="shared" si="170"/>
        <v>0</v>
      </c>
      <c r="AO413">
        <f t="shared" si="171"/>
        <v>0</v>
      </c>
      <c r="AP413">
        <f t="shared" si="172"/>
        <v>0</v>
      </c>
      <c r="AQ413">
        <f t="shared" si="173"/>
        <v>0</v>
      </c>
      <c r="AR413">
        <f t="shared" si="174"/>
        <v>0</v>
      </c>
      <c r="AS413">
        <f t="shared" si="175"/>
        <v>0</v>
      </c>
      <c r="AT413">
        <f t="shared" si="176"/>
        <v>0</v>
      </c>
      <c r="AU413">
        <f t="shared" si="177"/>
        <v>0</v>
      </c>
      <c r="AV413">
        <f t="shared" si="178"/>
        <v>0</v>
      </c>
      <c r="AW413">
        <f t="shared" si="179"/>
        <v>0</v>
      </c>
      <c r="AX413">
        <f t="shared" si="180"/>
        <v>0</v>
      </c>
      <c r="AY413">
        <f t="shared" si="181"/>
        <v>0</v>
      </c>
      <c r="AZ413">
        <f t="shared" si="182"/>
        <v>0</v>
      </c>
      <c r="BA413">
        <f t="shared" si="183"/>
        <v>0</v>
      </c>
      <c r="BB413">
        <f t="shared" si="184"/>
        <v>0</v>
      </c>
      <c r="BC413">
        <f t="shared" si="185"/>
        <v>0</v>
      </c>
      <c r="BD413">
        <f t="shared" si="186"/>
        <v>0</v>
      </c>
      <c r="BE413">
        <f t="shared" si="187"/>
        <v>0</v>
      </c>
      <c r="BF413">
        <f t="shared" si="188"/>
        <v>0</v>
      </c>
      <c r="BG413">
        <f t="shared" si="189"/>
        <v>0</v>
      </c>
      <c r="BH413">
        <f t="shared" si="190"/>
        <v>0</v>
      </c>
    </row>
    <row r="414" spans="1:105" ht="15" customHeight="1">
      <c r="A414" s="206"/>
      <c r="B414" s="201"/>
      <c r="C414" s="1119" t="s">
        <v>4874</v>
      </c>
      <c r="D414" s="1121"/>
      <c r="E414" s="1121"/>
      <c r="F414" s="1120"/>
      <c r="G414" s="100"/>
      <c r="H414" s="100"/>
      <c r="I414" s="100"/>
      <c r="J414" s="100"/>
      <c r="K414" s="100"/>
      <c r="L414" s="100"/>
      <c r="M414" s="100"/>
      <c r="N414" s="100"/>
      <c r="O414" s="100"/>
      <c r="P414" s="100"/>
      <c r="Q414" s="100"/>
      <c r="R414" s="100"/>
      <c r="S414" s="100"/>
      <c r="T414" s="100"/>
      <c r="U414" s="100"/>
      <c r="V414" s="100"/>
      <c r="W414" s="100"/>
      <c r="X414" s="100"/>
      <c r="Y414" s="100"/>
      <c r="Z414" s="100"/>
      <c r="AA414" s="100"/>
      <c r="AB414" s="100"/>
      <c r="AC414" s="100"/>
      <c r="AD414" s="100"/>
      <c r="AF414"/>
      <c r="AG414"/>
      <c r="AH414"/>
      <c r="AI414"/>
      <c r="AJ414"/>
      <c r="AK414">
        <f t="shared" si="168"/>
        <v>0</v>
      </c>
      <c r="AL414">
        <f t="shared" si="169"/>
        <v>0</v>
      </c>
      <c r="AM414">
        <f t="shared" si="191"/>
        <v>0</v>
      </c>
      <c r="AN414">
        <f t="shared" si="170"/>
        <v>0</v>
      </c>
      <c r="AO414">
        <f t="shared" si="171"/>
        <v>0</v>
      </c>
      <c r="AP414">
        <f t="shared" si="172"/>
        <v>0</v>
      </c>
      <c r="AQ414">
        <f t="shared" si="173"/>
        <v>0</v>
      </c>
      <c r="AR414">
        <f t="shared" si="174"/>
        <v>0</v>
      </c>
      <c r="AS414">
        <f t="shared" si="175"/>
        <v>0</v>
      </c>
      <c r="AT414">
        <f t="shared" si="176"/>
        <v>0</v>
      </c>
      <c r="AU414">
        <f t="shared" si="177"/>
        <v>0</v>
      </c>
      <c r="AV414">
        <f t="shared" si="178"/>
        <v>0</v>
      </c>
      <c r="AW414">
        <f t="shared" si="179"/>
        <v>0</v>
      </c>
      <c r="AX414">
        <f t="shared" si="180"/>
        <v>0</v>
      </c>
      <c r="AY414">
        <f t="shared" si="181"/>
        <v>0</v>
      </c>
      <c r="AZ414">
        <f t="shared" si="182"/>
        <v>0</v>
      </c>
      <c r="BA414">
        <f t="shared" si="183"/>
        <v>0</v>
      </c>
      <c r="BB414">
        <f t="shared" si="184"/>
        <v>0</v>
      </c>
      <c r="BC414">
        <f t="shared" si="185"/>
        <v>0</v>
      </c>
      <c r="BD414">
        <f t="shared" si="186"/>
        <v>0</v>
      </c>
      <c r="BE414">
        <f t="shared" si="187"/>
        <v>0</v>
      </c>
      <c r="BF414">
        <f t="shared" si="188"/>
        <v>0</v>
      </c>
      <c r="BG414">
        <f t="shared" si="189"/>
        <v>0</v>
      </c>
      <c r="BH414">
        <f t="shared" si="190"/>
        <v>0</v>
      </c>
    </row>
    <row r="415" spans="1:105" ht="15" customHeight="1">
      <c r="A415" s="206"/>
      <c r="B415" s="201"/>
      <c r="C415" s="1119" t="s">
        <v>4876</v>
      </c>
      <c r="D415" s="1121"/>
      <c r="E415" s="1121"/>
      <c r="F415" s="1120"/>
      <c r="G415" s="100"/>
      <c r="H415" s="100"/>
      <c r="I415" s="100"/>
      <c r="J415" s="100"/>
      <c r="K415" s="100"/>
      <c r="L415" s="100"/>
      <c r="M415" s="100"/>
      <c r="N415" s="100"/>
      <c r="O415" s="100"/>
      <c r="P415" s="100"/>
      <c r="Q415" s="100"/>
      <c r="R415" s="100"/>
      <c r="S415" s="100"/>
      <c r="T415" s="100"/>
      <c r="U415" s="100"/>
      <c r="V415" s="100"/>
      <c r="W415" s="100"/>
      <c r="X415" s="100"/>
      <c r="Y415" s="100"/>
      <c r="Z415" s="100"/>
      <c r="AA415" s="100"/>
      <c r="AB415" s="100"/>
      <c r="AC415" s="100"/>
      <c r="AD415" s="100"/>
      <c r="AF415"/>
      <c r="AG415"/>
      <c r="AH415"/>
      <c r="AI415"/>
      <c r="AJ415"/>
      <c r="AK415">
        <f t="shared" si="168"/>
        <v>0</v>
      </c>
      <c r="AL415">
        <f t="shared" si="169"/>
        <v>0</v>
      </c>
      <c r="AM415">
        <f t="shared" si="191"/>
        <v>0</v>
      </c>
      <c r="AN415">
        <f t="shared" si="170"/>
        <v>0</v>
      </c>
      <c r="AO415">
        <f t="shared" si="171"/>
        <v>0</v>
      </c>
      <c r="AP415">
        <f t="shared" si="172"/>
        <v>0</v>
      </c>
      <c r="AQ415">
        <f t="shared" si="173"/>
        <v>0</v>
      </c>
      <c r="AR415">
        <f t="shared" si="174"/>
        <v>0</v>
      </c>
      <c r="AS415">
        <f t="shared" si="175"/>
        <v>0</v>
      </c>
      <c r="AT415">
        <f t="shared" si="176"/>
        <v>0</v>
      </c>
      <c r="AU415">
        <f t="shared" si="177"/>
        <v>0</v>
      </c>
      <c r="AV415">
        <f t="shared" si="178"/>
        <v>0</v>
      </c>
      <c r="AW415">
        <f t="shared" si="179"/>
        <v>0</v>
      </c>
      <c r="AX415">
        <f t="shared" si="180"/>
        <v>0</v>
      </c>
      <c r="AY415">
        <f t="shared" si="181"/>
        <v>0</v>
      </c>
      <c r="AZ415">
        <f t="shared" si="182"/>
        <v>0</v>
      </c>
      <c r="BA415">
        <f t="shared" si="183"/>
        <v>0</v>
      </c>
      <c r="BB415">
        <f t="shared" si="184"/>
        <v>0</v>
      </c>
      <c r="BC415">
        <f t="shared" si="185"/>
        <v>0</v>
      </c>
      <c r="BD415">
        <f t="shared" si="186"/>
        <v>0</v>
      </c>
      <c r="BE415">
        <f t="shared" si="187"/>
        <v>0</v>
      </c>
      <c r="BF415">
        <f t="shared" si="188"/>
        <v>0</v>
      </c>
      <c r="BG415">
        <f t="shared" si="189"/>
        <v>0</v>
      </c>
      <c r="BH415">
        <f t="shared" si="190"/>
        <v>0</v>
      </c>
    </row>
    <row r="416" spans="1:105" ht="15" customHeight="1">
      <c r="A416" s="206"/>
      <c r="B416" s="201"/>
      <c r="C416" s="1119" t="s">
        <v>4878</v>
      </c>
      <c r="D416" s="1121"/>
      <c r="E416" s="1121"/>
      <c r="F416" s="1120"/>
      <c r="G416" s="100"/>
      <c r="H416" s="100"/>
      <c r="I416" s="100"/>
      <c r="J416" s="100"/>
      <c r="K416" s="100"/>
      <c r="L416" s="100"/>
      <c r="M416" s="100"/>
      <c r="N416" s="100"/>
      <c r="O416" s="100"/>
      <c r="P416" s="100"/>
      <c r="Q416" s="100"/>
      <c r="R416" s="100"/>
      <c r="S416" s="100"/>
      <c r="T416" s="100"/>
      <c r="U416" s="100"/>
      <c r="V416" s="100"/>
      <c r="W416" s="100"/>
      <c r="X416" s="100"/>
      <c r="Y416" s="100"/>
      <c r="Z416" s="100"/>
      <c r="AA416" s="100"/>
      <c r="AB416" s="100"/>
      <c r="AC416" s="100"/>
      <c r="AD416" s="100"/>
      <c r="AF416"/>
      <c r="AG416"/>
      <c r="AH416"/>
      <c r="AI416"/>
      <c r="AJ416"/>
      <c r="AK416">
        <f t="shared" si="168"/>
        <v>0</v>
      </c>
      <c r="AL416">
        <f t="shared" si="169"/>
        <v>0</v>
      </c>
      <c r="AM416">
        <f t="shared" si="191"/>
        <v>0</v>
      </c>
      <c r="AN416">
        <f t="shared" si="170"/>
        <v>0</v>
      </c>
      <c r="AO416">
        <f t="shared" si="171"/>
        <v>0</v>
      </c>
      <c r="AP416">
        <f t="shared" si="172"/>
        <v>0</v>
      </c>
      <c r="AQ416">
        <f t="shared" si="173"/>
        <v>0</v>
      </c>
      <c r="AR416">
        <f t="shared" si="174"/>
        <v>0</v>
      </c>
      <c r="AS416">
        <f t="shared" si="175"/>
        <v>0</v>
      </c>
      <c r="AT416">
        <f t="shared" si="176"/>
        <v>0</v>
      </c>
      <c r="AU416">
        <f t="shared" si="177"/>
        <v>0</v>
      </c>
      <c r="AV416">
        <f t="shared" si="178"/>
        <v>0</v>
      </c>
      <c r="AW416">
        <f t="shared" si="179"/>
        <v>0</v>
      </c>
      <c r="AX416">
        <f t="shared" si="180"/>
        <v>0</v>
      </c>
      <c r="AY416">
        <f t="shared" si="181"/>
        <v>0</v>
      </c>
      <c r="AZ416">
        <f t="shared" si="182"/>
        <v>0</v>
      </c>
      <c r="BA416">
        <f t="shared" si="183"/>
        <v>0</v>
      </c>
      <c r="BB416">
        <f t="shared" si="184"/>
        <v>0</v>
      </c>
      <c r="BC416">
        <f t="shared" si="185"/>
        <v>0</v>
      </c>
      <c r="BD416">
        <f t="shared" si="186"/>
        <v>0</v>
      </c>
      <c r="BE416">
        <f t="shared" si="187"/>
        <v>0</v>
      </c>
      <c r="BF416">
        <f t="shared" si="188"/>
        <v>0</v>
      </c>
      <c r="BG416">
        <f t="shared" si="189"/>
        <v>0</v>
      </c>
      <c r="BH416">
        <f t="shared" si="190"/>
        <v>0</v>
      </c>
    </row>
    <row r="417" spans="1:60" ht="15" customHeight="1">
      <c r="A417" s="206"/>
      <c r="B417" s="201"/>
      <c r="C417" s="1119" t="s">
        <v>4880</v>
      </c>
      <c r="D417" s="1121"/>
      <c r="E417" s="1121"/>
      <c r="F417" s="1120"/>
      <c r="G417" s="100"/>
      <c r="H417" s="100"/>
      <c r="I417" s="100"/>
      <c r="J417" s="100"/>
      <c r="K417" s="100"/>
      <c r="L417" s="100"/>
      <c r="M417" s="100"/>
      <c r="N417" s="100"/>
      <c r="O417" s="100"/>
      <c r="P417" s="100"/>
      <c r="Q417" s="100"/>
      <c r="R417" s="100"/>
      <c r="S417" s="100"/>
      <c r="T417" s="100"/>
      <c r="U417" s="100"/>
      <c r="V417" s="100"/>
      <c r="W417" s="100"/>
      <c r="X417" s="100"/>
      <c r="Y417" s="100"/>
      <c r="Z417" s="100"/>
      <c r="AA417" s="100"/>
      <c r="AB417" s="100"/>
      <c r="AC417" s="100"/>
      <c r="AD417" s="100"/>
      <c r="AF417"/>
      <c r="AG417"/>
      <c r="AH417"/>
      <c r="AI417"/>
      <c r="AJ417"/>
      <c r="AK417">
        <f t="shared" si="168"/>
        <v>0</v>
      </c>
      <c r="AL417">
        <f t="shared" si="169"/>
        <v>0</v>
      </c>
      <c r="AM417">
        <f t="shared" si="191"/>
        <v>0</v>
      </c>
      <c r="AN417">
        <f t="shared" si="170"/>
        <v>0</v>
      </c>
      <c r="AO417">
        <f t="shared" si="171"/>
        <v>0</v>
      </c>
      <c r="AP417">
        <f t="shared" si="172"/>
        <v>0</v>
      </c>
      <c r="AQ417">
        <f t="shared" si="173"/>
        <v>0</v>
      </c>
      <c r="AR417">
        <f t="shared" si="174"/>
        <v>0</v>
      </c>
      <c r="AS417">
        <f t="shared" si="175"/>
        <v>0</v>
      </c>
      <c r="AT417">
        <f t="shared" si="176"/>
        <v>0</v>
      </c>
      <c r="AU417">
        <f t="shared" si="177"/>
        <v>0</v>
      </c>
      <c r="AV417">
        <f t="shared" si="178"/>
        <v>0</v>
      </c>
      <c r="AW417">
        <f t="shared" si="179"/>
        <v>0</v>
      </c>
      <c r="AX417">
        <f t="shared" si="180"/>
        <v>0</v>
      </c>
      <c r="AY417">
        <f t="shared" si="181"/>
        <v>0</v>
      </c>
      <c r="AZ417">
        <f t="shared" si="182"/>
        <v>0</v>
      </c>
      <c r="BA417">
        <f t="shared" si="183"/>
        <v>0</v>
      </c>
      <c r="BB417">
        <f t="shared" si="184"/>
        <v>0</v>
      </c>
      <c r="BC417">
        <f t="shared" si="185"/>
        <v>0</v>
      </c>
      <c r="BD417">
        <f t="shared" si="186"/>
        <v>0</v>
      </c>
      <c r="BE417">
        <f t="shared" si="187"/>
        <v>0</v>
      </c>
      <c r="BF417">
        <f t="shared" si="188"/>
        <v>0</v>
      </c>
      <c r="BG417">
        <f t="shared" si="189"/>
        <v>0</v>
      </c>
      <c r="BH417">
        <f t="shared" si="190"/>
        <v>0</v>
      </c>
    </row>
    <row r="418" spans="1:60" ht="15" customHeight="1">
      <c r="A418" s="206"/>
      <c r="B418" s="201"/>
      <c r="C418" s="1119" t="s">
        <v>4882</v>
      </c>
      <c r="D418" s="1121"/>
      <c r="E418" s="1121"/>
      <c r="F418" s="1120"/>
      <c r="G418" s="100"/>
      <c r="H418" s="100"/>
      <c r="I418" s="100"/>
      <c r="J418" s="100"/>
      <c r="K418" s="100"/>
      <c r="L418" s="100"/>
      <c r="M418" s="100"/>
      <c r="N418" s="100"/>
      <c r="O418" s="100"/>
      <c r="P418" s="100"/>
      <c r="Q418" s="100"/>
      <c r="R418" s="100"/>
      <c r="S418" s="100"/>
      <c r="T418" s="100"/>
      <c r="U418" s="100"/>
      <c r="V418" s="100"/>
      <c r="W418" s="100"/>
      <c r="X418" s="100"/>
      <c r="Y418" s="100"/>
      <c r="Z418" s="100"/>
      <c r="AA418" s="100"/>
      <c r="AB418" s="100"/>
      <c r="AC418" s="100"/>
      <c r="AD418" s="100"/>
      <c r="AF418"/>
      <c r="AG418"/>
      <c r="AH418"/>
      <c r="AI418"/>
      <c r="AJ418"/>
      <c r="AK418">
        <f t="shared" si="168"/>
        <v>0</v>
      </c>
      <c r="AL418">
        <f t="shared" si="169"/>
        <v>0</v>
      </c>
      <c r="AM418">
        <f t="shared" si="191"/>
        <v>0</v>
      </c>
      <c r="AN418">
        <f t="shared" si="170"/>
        <v>0</v>
      </c>
      <c r="AO418">
        <f t="shared" si="171"/>
        <v>0</v>
      </c>
      <c r="AP418">
        <f t="shared" si="172"/>
        <v>0</v>
      </c>
      <c r="AQ418">
        <f t="shared" si="173"/>
        <v>0</v>
      </c>
      <c r="AR418">
        <f t="shared" si="174"/>
        <v>0</v>
      </c>
      <c r="AS418">
        <f t="shared" si="175"/>
        <v>0</v>
      </c>
      <c r="AT418">
        <f t="shared" si="176"/>
        <v>0</v>
      </c>
      <c r="AU418">
        <f t="shared" si="177"/>
        <v>0</v>
      </c>
      <c r="AV418">
        <f t="shared" si="178"/>
        <v>0</v>
      </c>
      <c r="AW418">
        <f t="shared" si="179"/>
        <v>0</v>
      </c>
      <c r="AX418">
        <f t="shared" si="180"/>
        <v>0</v>
      </c>
      <c r="AY418">
        <f t="shared" si="181"/>
        <v>0</v>
      </c>
      <c r="AZ418">
        <f t="shared" si="182"/>
        <v>0</v>
      </c>
      <c r="BA418">
        <f t="shared" si="183"/>
        <v>0</v>
      </c>
      <c r="BB418">
        <f t="shared" si="184"/>
        <v>0</v>
      </c>
      <c r="BC418">
        <f t="shared" si="185"/>
        <v>0</v>
      </c>
      <c r="BD418">
        <f t="shared" si="186"/>
        <v>0</v>
      </c>
      <c r="BE418">
        <f t="shared" si="187"/>
        <v>0</v>
      </c>
      <c r="BF418">
        <f t="shared" si="188"/>
        <v>0</v>
      </c>
      <c r="BG418">
        <f t="shared" si="189"/>
        <v>0</v>
      </c>
      <c r="BH418">
        <f t="shared" si="190"/>
        <v>0</v>
      </c>
    </row>
    <row r="419" spans="1:60" ht="15" customHeight="1">
      <c r="A419" s="206"/>
      <c r="B419" s="201"/>
      <c r="C419" s="1119" t="s">
        <v>4884</v>
      </c>
      <c r="D419" s="1121"/>
      <c r="E419" s="1121"/>
      <c r="F419" s="1120"/>
      <c r="G419" s="100"/>
      <c r="H419" s="100"/>
      <c r="I419" s="100"/>
      <c r="J419" s="100"/>
      <c r="K419" s="100"/>
      <c r="L419" s="100"/>
      <c r="M419" s="100"/>
      <c r="N419" s="100"/>
      <c r="O419" s="100"/>
      <c r="P419" s="100"/>
      <c r="Q419" s="100"/>
      <c r="R419" s="100"/>
      <c r="S419" s="100"/>
      <c r="T419" s="100"/>
      <c r="U419" s="100"/>
      <c r="V419" s="100"/>
      <c r="W419" s="100"/>
      <c r="X419" s="100"/>
      <c r="Y419" s="100"/>
      <c r="Z419" s="100"/>
      <c r="AA419" s="100"/>
      <c r="AB419" s="100"/>
      <c r="AC419" s="100"/>
      <c r="AD419" s="100"/>
      <c r="AF419"/>
      <c r="AG419"/>
      <c r="AH419"/>
      <c r="AI419"/>
      <c r="AJ419"/>
      <c r="AK419">
        <f t="shared" si="168"/>
        <v>0</v>
      </c>
      <c r="AL419">
        <f t="shared" si="169"/>
        <v>0</v>
      </c>
      <c r="AM419">
        <f t="shared" si="191"/>
        <v>0</v>
      </c>
      <c r="AN419">
        <f t="shared" si="170"/>
        <v>0</v>
      </c>
      <c r="AO419">
        <f t="shared" si="171"/>
        <v>0</v>
      </c>
      <c r="AP419">
        <f t="shared" si="172"/>
        <v>0</v>
      </c>
      <c r="AQ419">
        <f t="shared" si="173"/>
        <v>0</v>
      </c>
      <c r="AR419">
        <f t="shared" si="174"/>
        <v>0</v>
      </c>
      <c r="AS419">
        <f t="shared" si="175"/>
        <v>0</v>
      </c>
      <c r="AT419">
        <f t="shared" si="176"/>
        <v>0</v>
      </c>
      <c r="AU419">
        <f t="shared" si="177"/>
        <v>0</v>
      </c>
      <c r="AV419">
        <f t="shared" si="178"/>
        <v>0</v>
      </c>
      <c r="AW419">
        <f t="shared" si="179"/>
        <v>0</v>
      </c>
      <c r="AX419">
        <f t="shared" si="180"/>
        <v>0</v>
      </c>
      <c r="AY419">
        <f t="shared" si="181"/>
        <v>0</v>
      </c>
      <c r="AZ419">
        <f t="shared" si="182"/>
        <v>0</v>
      </c>
      <c r="BA419">
        <f t="shared" si="183"/>
        <v>0</v>
      </c>
      <c r="BB419">
        <f t="shared" si="184"/>
        <v>0</v>
      </c>
      <c r="BC419">
        <f t="shared" si="185"/>
        <v>0</v>
      </c>
      <c r="BD419">
        <f t="shared" si="186"/>
        <v>0</v>
      </c>
      <c r="BE419">
        <f t="shared" si="187"/>
        <v>0</v>
      </c>
      <c r="BF419">
        <f t="shared" si="188"/>
        <v>0</v>
      </c>
      <c r="BG419">
        <f t="shared" si="189"/>
        <v>0</v>
      </c>
      <c r="BH419">
        <f t="shared" si="190"/>
        <v>0</v>
      </c>
    </row>
    <row r="420" spans="1:60" ht="15" customHeight="1">
      <c r="A420" s="206"/>
      <c r="B420" s="201"/>
      <c r="C420" s="1119" t="s">
        <v>4886</v>
      </c>
      <c r="D420" s="1121"/>
      <c r="E420" s="1121"/>
      <c r="F420" s="1120"/>
      <c r="G420" s="100"/>
      <c r="H420" s="100"/>
      <c r="I420" s="100"/>
      <c r="J420" s="100"/>
      <c r="K420" s="100"/>
      <c r="L420" s="100"/>
      <c r="M420" s="100"/>
      <c r="N420" s="100"/>
      <c r="O420" s="100"/>
      <c r="P420" s="100"/>
      <c r="Q420" s="100"/>
      <c r="R420" s="100"/>
      <c r="S420" s="100"/>
      <c r="T420" s="100"/>
      <c r="U420" s="100"/>
      <c r="V420" s="100"/>
      <c r="W420" s="100"/>
      <c r="X420" s="100"/>
      <c r="Y420" s="100"/>
      <c r="Z420" s="100"/>
      <c r="AA420" s="100"/>
      <c r="AB420" s="100"/>
      <c r="AC420" s="100"/>
      <c r="AD420" s="100"/>
      <c r="AF420"/>
      <c r="AG420"/>
      <c r="AH420"/>
      <c r="AI420"/>
      <c r="AJ420"/>
      <c r="AK420">
        <f t="shared" si="168"/>
        <v>0</v>
      </c>
      <c r="AL420">
        <f t="shared" si="169"/>
        <v>0</v>
      </c>
      <c r="AM420">
        <f t="shared" si="191"/>
        <v>0</v>
      </c>
      <c r="AN420">
        <f t="shared" si="170"/>
        <v>0</v>
      </c>
      <c r="AO420">
        <f t="shared" si="171"/>
        <v>0</v>
      </c>
      <c r="AP420">
        <f t="shared" si="172"/>
        <v>0</v>
      </c>
      <c r="AQ420">
        <f t="shared" si="173"/>
        <v>0</v>
      </c>
      <c r="AR420">
        <f t="shared" si="174"/>
        <v>0</v>
      </c>
      <c r="AS420">
        <f t="shared" si="175"/>
        <v>0</v>
      </c>
      <c r="AT420">
        <f t="shared" si="176"/>
        <v>0</v>
      </c>
      <c r="AU420">
        <f t="shared" si="177"/>
        <v>0</v>
      </c>
      <c r="AV420">
        <f t="shared" si="178"/>
        <v>0</v>
      </c>
      <c r="AW420">
        <f t="shared" si="179"/>
        <v>0</v>
      </c>
      <c r="AX420">
        <f t="shared" si="180"/>
        <v>0</v>
      </c>
      <c r="AY420">
        <f t="shared" si="181"/>
        <v>0</v>
      </c>
      <c r="AZ420">
        <f t="shared" si="182"/>
        <v>0</v>
      </c>
      <c r="BA420">
        <f t="shared" si="183"/>
        <v>0</v>
      </c>
      <c r="BB420">
        <f t="shared" si="184"/>
        <v>0</v>
      </c>
      <c r="BC420">
        <f t="shared" si="185"/>
        <v>0</v>
      </c>
      <c r="BD420">
        <f t="shared" si="186"/>
        <v>0</v>
      </c>
      <c r="BE420">
        <f t="shared" si="187"/>
        <v>0</v>
      </c>
      <c r="BF420">
        <f t="shared" si="188"/>
        <v>0</v>
      </c>
      <c r="BG420">
        <f t="shared" si="189"/>
        <v>0</v>
      </c>
      <c r="BH420">
        <f t="shared" si="190"/>
        <v>0</v>
      </c>
    </row>
    <row r="421" spans="1:60" ht="15" customHeight="1">
      <c r="A421" s="206"/>
      <c r="B421" s="201"/>
      <c r="C421" s="1119" t="s">
        <v>4888</v>
      </c>
      <c r="D421" s="1121"/>
      <c r="E421" s="1121"/>
      <c r="F421" s="1120"/>
      <c r="G421" s="100"/>
      <c r="H421" s="100"/>
      <c r="I421" s="100"/>
      <c r="J421" s="100"/>
      <c r="K421" s="100"/>
      <c r="L421" s="100"/>
      <c r="M421" s="100"/>
      <c r="N421" s="100"/>
      <c r="O421" s="100"/>
      <c r="P421" s="100"/>
      <c r="Q421" s="100"/>
      <c r="R421" s="100"/>
      <c r="S421" s="100"/>
      <c r="T421" s="100"/>
      <c r="U421" s="100"/>
      <c r="V421" s="100"/>
      <c r="W421" s="100"/>
      <c r="X421" s="100"/>
      <c r="Y421" s="100"/>
      <c r="Z421" s="100"/>
      <c r="AA421" s="100"/>
      <c r="AB421" s="100"/>
      <c r="AC421" s="100"/>
      <c r="AD421" s="100"/>
      <c r="AF421"/>
      <c r="AG421"/>
      <c r="AH421"/>
      <c r="AI421"/>
      <c r="AJ421"/>
      <c r="AK421">
        <f t="shared" si="168"/>
        <v>0</v>
      </c>
      <c r="AL421">
        <f t="shared" si="169"/>
        <v>0</v>
      </c>
      <c r="AM421">
        <f t="shared" si="191"/>
        <v>0</v>
      </c>
      <c r="AN421">
        <f t="shared" si="170"/>
        <v>0</v>
      </c>
      <c r="AO421">
        <f t="shared" si="171"/>
        <v>0</v>
      </c>
      <c r="AP421">
        <f t="shared" si="172"/>
        <v>0</v>
      </c>
      <c r="AQ421">
        <f t="shared" si="173"/>
        <v>0</v>
      </c>
      <c r="AR421">
        <f t="shared" si="174"/>
        <v>0</v>
      </c>
      <c r="AS421">
        <f t="shared" si="175"/>
        <v>0</v>
      </c>
      <c r="AT421">
        <f t="shared" si="176"/>
        <v>0</v>
      </c>
      <c r="AU421">
        <f t="shared" si="177"/>
        <v>0</v>
      </c>
      <c r="AV421">
        <f t="shared" si="178"/>
        <v>0</v>
      </c>
      <c r="AW421">
        <f t="shared" si="179"/>
        <v>0</v>
      </c>
      <c r="AX421">
        <f t="shared" si="180"/>
        <v>0</v>
      </c>
      <c r="AY421">
        <f t="shared" si="181"/>
        <v>0</v>
      </c>
      <c r="AZ421">
        <f t="shared" si="182"/>
        <v>0</v>
      </c>
      <c r="BA421">
        <f t="shared" si="183"/>
        <v>0</v>
      </c>
      <c r="BB421">
        <f t="shared" si="184"/>
        <v>0</v>
      </c>
      <c r="BC421">
        <f t="shared" si="185"/>
        <v>0</v>
      </c>
      <c r="BD421">
        <f t="shared" si="186"/>
        <v>0</v>
      </c>
      <c r="BE421">
        <f t="shared" si="187"/>
        <v>0</v>
      </c>
      <c r="BF421">
        <f t="shared" si="188"/>
        <v>0</v>
      </c>
      <c r="BG421">
        <f t="shared" si="189"/>
        <v>0</v>
      </c>
      <c r="BH421">
        <f t="shared" si="190"/>
        <v>0</v>
      </c>
    </row>
    <row r="422" spans="1:60" ht="15" customHeight="1">
      <c r="A422" s="206"/>
      <c r="B422" s="201"/>
      <c r="C422" s="1119" t="s">
        <v>4890</v>
      </c>
      <c r="D422" s="1121"/>
      <c r="E422" s="1121"/>
      <c r="F422" s="1120"/>
      <c r="G422" s="100"/>
      <c r="H422" s="100"/>
      <c r="I422" s="100"/>
      <c r="J422" s="100"/>
      <c r="K422" s="100"/>
      <c r="L422" s="100"/>
      <c r="M422" s="100"/>
      <c r="N422" s="100"/>
      <c r="O422" s="100"/>
      <c r="P422" s="100"/>
      <c r="Q422" s="100"/>
      <c r="R422" s="100"/>
      <c r="S422" s="100"/>
      <c r="T422" s="100"/>
      <c r="U422" s="100"/>
      <c r="V422" s="100"/>
      <c r="W422" s="100"/>
      <c r="X422" s="100"/>
      <c r="Y422" s="100"/>
      <c r="Z422" s="100"/>
      <c r="AA422" s="100"/>
      <c r="AB422" s="100"/>
      <c r="AC422" s="100"/>
      <c r="AD422" s="100"/>
      <c r="AF422"/>
      <c r="AG422"/>
      <c r="AH422"/>
      <c r="AI422"/>
      <c r="AJ422"/>
      <c r="AK422">
        <f t="shared" si="168"/>
        <v>0</v>
      </c>
      <c r="AL422">
        <f t="shared" si="169"/>
        <v>0</v>
      </c>
      <c r="AM422">
        <f t="shared" si="191"/>
        <v>0</v>
      </c>
      <c r="AN422">
        <f t="shared" si="170"/>
        <v>0</v>
      </c>
      <c r="AO422">
        <f t="shared" si="171"/>
        <v>0</v>
      </c>
      <c r="AP422">
        <f t="shared" si="172"/>
        <v>0</v>
      </c>
      <c r="AQ422">
        <f t="shared" si="173"/>
        <v>0</v>
      </c>
      <c r="AR422">
        <f t="shared" si="174"/>
        <v>0</v>
      </c>
      <c r="AS422">
        <f t="shared" si="175"/>
        <v>0</v>
      </c>
      <c r="AT422">
        <f t="shared" si="176"/>
        <v>0</v>
      </c>
      <c r="AU422">
        <f t="shared" si="177"/>
        <v>0</v>
      </c>
      <c r="AV422">
        <f t="shared" si="178"/>
        <v>0</v>
      </c>
      <c r="AW422">
        <f t="shared" si="179"/>
        <v>0</v>
      </c>
      <c r="AX422">
        <f t="shared" si="180"/>
        <v>0</v>
      </c>
      <c r="AY422">
        <f t="shared" si="181"/>
        <v>0</v>
      </c>
      <c r="AZ422">
        <f t="shared" si="182"/>
        <v>0</v>
      </c>
      <c r="BA422">
        <f t="shared" si="183"/>
        <v>0</v>
      </c>
      <c r="BB422">
        <f t="shared" si="184"/>
        <v>0</v>
      </c>
      <c r="BC422">
        <f t="shared" si="185"/>
        <v>0</v>
      </c>
      <c r="BD422">
        <f t="shared" si="186"/>
        <v>0</v>
      </c>
      <c r="BE422">
        <f t="shared" si="187"/>
        <v>0</v>
      </c>
      <c r="BF422">
        <f t="shared" si="188"/>
        <v>0</v>
      </c>
      <c r="BG422">
        <f t="shared" si="189"/>
        <v>0</v>
      </c>
      <c r="BH422">
        <f t="shared" si="190"/>
        <v>0</v>
      </c>
    </row>
    <row r="423" spans="1:60" ht="15" customHeight="1">
      <c r="A423" s="206"/>
      <c r="B423" s="206"/>
      <c r="C423" s="1117" t="s">
        <v>4891</v>
      </c>
      <c r="D423" s="1136"/>
      <c r="E423" s="1136"/>
      <c r="F423" s="1118"/>
      <c r="G423" s="100"/>
      <c r="H423" s="100"/>
      <c r="I423" s="100"/>
      <c r="J423" s="100"/>
      <c r="K423" s="100"/>
      <c r="L423" s="100"/>
      <c r="M423" s="100"/>
      <c r="N423" s="100"/>
      <c r="O423" s="100"/>
      <c r="P423" s="100"/>
      <c r="Q423" s="100"/>
      <c r="R423" s="100"/>
      <c r="S423" s="100"/>
      <c r="T423" s="100"/>
      <c r="U423" s="100"/>
      <c r="V423" s="100"/>
      <c r="W423" s="100"/>
      <c r="X423" s="100"/>
      <c r="Y423" s="100"/>
      <c r="Z423" s="100"/>
      <c r="AA423" s="100"/>
      <c r="AB423" s="100"/>
      <c r="AC423" s="100"/>
      <c r="AD423" s="100"/>
      <c r="AF423"/>
      <c r="AG423"/>
      <c r="AH423"/>
      <c r="AI423"/>
      <c r="AJ423"/>
      <c r="AK423">
        <f t="shared" si="168"/>
        <v>0</v>
      </c>
      <c r="AL423">
        <f t="shared" si="169"/>
        <v>0</v>
      </c>
      <c r="AM423">
        <f t="shared" si="191"/>
        <v>0</v>
      </c>
      <c r="AN423">
        <f t="shared" si="170"/>
        <v>0</v>
      </c>
      <c r="AO423">
        <f t="shared" si="171"/>
        <v>0</v>
      </c>
      <c r="AP423">
        <f t="shared" si="172"/>
        <v>0</v>
      </c>
      <c r="AQ423">
        <f t="shared" si="173"/>
        <v>0</v>
      </c>
      <c r="AR423">
        <f t="shared" si="174"/>
        <v>0</v>
      </c>
      <c r="AS423">
        <f t="shared" si="175"/>
        <v>0</v>
      </c>
      <c r="AT423">
        <f t="shared" si="176"/>
        <v>0</v>
      </c>
      <c r="AU423">
        <f t="shared" si="177"/>
        <v>0</v>
      </c>
      <c r="AV423">
        <f t="shared" si="178"/>
        <v>0</v>
      </c>
      <c r="AW423">
        <f t="shared" si="179"/>
        <v>0</v>
      </c>
      <c r="AX423">
        <f t="shared" si="180"/>
        <v>0</v>
      </c>
      <c r="AY423">
        <f t="shared" si="181"/>
        <v>0</v>
      </c>
      <c r="AZ423">
        <f t="shared" si="182"/>
        <v>0</v>
      </c>
      <c r="BA423">
        <f t="shared" si="183"/>
        <v>0</v>
      </c>
      <c r="BB423">
        <f t="shared" si="184"/>
        <v>0</v>
      </c>
      <c r="BC423">
        <f t="shared" si="185"/>
        <v>0</v>
      </c>
      <c r="BD423">
        <f t="shared" si="186"/>
        <v>0</v>
      </c>
      <c r="BE423">
        <f t="shared" si="187"/>
        <v>0</v>
      </c>
      <c r="BF423">
        <f t="shared" si="188"/>
        <v>0</v>
      </c>
      <c r="BG423">
        <f t="shared" si="189"/>
        <v>0</v>
      </c>
      <c r="BH423">
        <f t="shared" si="190"/>
        <v>0</v>
      </c>
    </row>
    <row r="424" spans="1:60" ht="15" customHeight="1">
      <c r="A424" s="206"/>
      <c r="B424" s="201"/>
      <c r="C424" s="1119" t="s">
        <v>4893</v>
      </c>
      <c r="D424" s="1121"/>
      <c r="E424" s="1121"/>
      <c r="F424" s="1120"/>
      <c r="G424" s="100"/>
      <c r="H424" s="100"/>
      <c r="I424" s="100"/>
      <c r="J424" s="100"/>
      <c r="K424" s="100"/>
      <c r="L424" s="100"/>
      <c r="M424" s="100"/>
      <c r="N424" s="100"/>
      <c r="O424" s="100"/>
      <c r="P424" s="100"/>
      <c r="Q424" s="100"/>
      <c r="R424" s="100"/>
      <c r="S424" s="100"/>
      <c r="T424" s="100"/>
      <c r="U424" s="100"/>
      <c r="V424" s="100"/>
      <c r="W424" s="100"/>
      <c r="X424" s="100"/>
      <c r="Y424" s="100"/>
      <c r="Z424" s="100"/>
      <c r="AA424" s="100"/>
      <c r="AB424" s="100"/>
      <c r="AC424" s="100"/>
      <c r="AD424" s="100"/>
      <c r="AF424"/>
      <c r="AG424"/>
      <c r="AH424"/>
      <c r="AI424"/>
      <c r="AJ424"/>
      <c r="AK424">
        <f t="shared" si="168"/>
        <v>0</v>
      </c>
      <c r="AL424">
        <f t="shared" si="169"/>
        <v>0</v>
      </c>
      <c r="AM424">
        <f t="shared" si="191"/>
        <v>0</v>
      </c>
      <c r="AN424">
        <f t="shared" si="170"/>
        <v>0</v>
      </c>
      <c r="AO424">
        <f t="shared" si="171"/>
        <v>0</v>
      </c>
      <c r="AP424">
        <f t="shared" si="172"/>
        <v>0</v>
      </c>
      <c r="AQ424">
        <f t="shared" si="173"/>
        <v>0</v>
      </c>
      <c r="AR424">
        <f t="shared" si="174"/>
        <v>0</v>
      </c>
      <c r="AS424">
        <f t="shared" si="175"/>
        <v>0</v>
      </c>
      <c r="AT424">
        <f t="shared" si="176"/>
        <v>0</v>
      </c>
      <c r="AU424">
        <f t="shared" si="177"/>
        <v>0</v>
      </c>
      <c r="AV424">
        <f t="shared" si="178"/>
        <v>0</v>
      </c>
      <c r="AW424">
        <f t="shared" si="179"/>
        <v>0</v>
      </c>
      <c r="AX424">
        <f t="shared" si="180"/>
        <v>0</v>
      </c>
      <c r="AY424">
        <f t="shared" si="181"/>
        <v>0</v>
      </c>
      <c r="AZ424">
        <f t="shared" si="182"/>
        <v>0</v>
      </c>
      <c r="BA424">
        <f t="shared" si="183"/>
        <v>0</v>
      </c>
      <c r="BB424">
        <f t="shared" si="184"/>
        <v>0</v>
      </c>
      <c r="BC424">
        <f t="shared" si="185"/>
        <v>0</v>
      </c>
      <c r="BD424">
        <f t="shared" si="186"/>
        <v>0</v>
      </c>
      <c r="BE424">
        <f t="shared" si="187"/>
        <v>0</v>
      </c>
      <c r="BF424">
        <f t="shared" si="188"/>
        <v>0</v>
      </c>
      <c r="BG424">
        <f t="shared" si="189"/>
        <v>0</v>
      </c>
      <c r="BH424">
        <f t="shared" si="190"/>
        <v>0</v>
      </c>
    </row>
    <row r="425" spans="1:60" ht="15" customHeight="1">
      <c r="A425" s="206"/>
      <c r="B425" s="201"/>
      <c r="C425" s="1119" t="s">
        <v>4895</v>
      </c>
      <c r="D425" s="1121"/>
      <c r="E425" s="1121"/>
      <c r="F425" s="1120"/>
      <c r="G425" s="100"/>
      <c r="H425" s="100"/>
      <c r="I425" s="100"/>
      <c r="J425" s="100"/>
      <c r="K425" s="100"/>
      <c r="L425" s="100"/>
      <c r="M425" s="100"/>
      <c r="N425" s="100"/>
      <c r="O425" s="100"/>
      <c r="P425" s="100"/>
      <c r="Q425" s="100"/>
      <c r="R425" s="100"/>
      <c r="S425" s="100"/>
      <c r="T425" s="100"/>
      <c r="U425" s="100"/>
      <c r="V425" s="100"/>
      <c r="W425" s="100"/>
      <c r="X425" s="100"/>
      <c r="Y425" s="100"/>
      <c r="Z425" s="100"/>
      <c r="AA425" s="100"/>
      <c r="AB425" s="100"/>
      <c r="AC425" s="100"/>
      <c r="AD425" s="100"/>
      <c r="AF425"/>
      <c r="AG425"/>
      <c r="AH425"/>
      <c r="AI425"/>
      <c r="AJ425"/>
      <c r="AK425">
        <f t="shared" si="168"/>
        <v>0</v>
      </c>
      <c r="AL425">
        <f t="shared" si="169"/>
        <v>0</v>
      </c>
      <c r="AM425">
        <f t="shared" si="191"/>
        <v>0</v>
      </c>
      <c r="AN425">
        <f t="shared" si="170"/>
        <v>0</v>
      </c>
      <c r="AO425">
        <f t="shared" si="171"/>
        <v>0</v>
      </c>
      <c r="AP425">
        <f t="shared" si="172"/>
        <v>0</v>
      </c>
      <c r="AQ425">
        <f t="shared" si="173"/>
        <v>0</v>
      </c>
      <c r="AR425">
        <f t="shared" si="174"/>
        <v>0</v>
      </c>
      <c r="AS425">
        <f t="shared" si="175"/>
        <v>0</v>
      </c>
      <c r="AT425">
        <f t="shared" si="176"/>
        <v>0</v>
      </c>
      <c r="AU425">
        <f t="shared" si="177"/>
        <v>0</v>
      </c>
      <c r="AV425">
        <f t="shared" si="178"/>
        <v>0</v>
      </c>
      <c r="AW425">
        <f t="shared" si="179"/>
        <v>0</v>
      </c>
      <c r="AX425">
        <f t="shared" si="180"/>
        <v>0</v>
      </c>
      <c r="AY425">
        <f t="shared" si="181"/>
        <v>0</v>
      </c>
      <c r="AZ425">
        <f t="shared" si="182"/>
        <v>0</v>
      </c>
      <c r="BA425">
        <f t="shared" si="183"/>
        <v>0</v>
      </c>
      <c r="BB425">
        <f t="shared" si="184"/>
        <v>0</v>
      </c>
      <c r="BC425">
        <f t="shared" si="185"/>
        <v>0</v>
      </c>
      <c r="BD425">
        <f t="shared" si="186"/>
        <v>0</v>
      </c>
      <c r="BE425">
        <f t="shared" si="187"/>
        <v>0</v>
      </c>
      <c r="BF425">
        <f t="shared" si="188"/>
        <v>0</v>
      </c>
      <c r="BG425">
        <f t="shared" si="189"/>
        <v>0</v>
      </c>
      <c r="BH425">
        <f t="shared" si="190"/>
        <v>0</v>
      </c>
    </row>
    <row r="426" spans="1:60" ht="15" customHeight="1">
      <c r="A426" s="206"/>
      <c r="B426" s="201"/>
      <c r="C426" s="1119" t="s">
        <v>4897</v>
      </c>
      <c r="D426" s="1121"/>
      <c r="E426" s="1121"/>
      <c r="F426" s="1120"/>
      <c r="G426" s="100"/>
      <c r="H426" s="100"/>
      <c r="I426" s="100"/>
      <c r="J426" s="100"/>
      <c r="K426" s="100"/>
      <c r="L426" s="100"/>
      <c r="M426" s="100"/>
      <c r="N426" s="100"/>
      <c r="O426" s="100"/>
      <c r="P426" s="100"/>
      <c r="Q426" s="100"/>
      <c r="R426" s="100"/>
      <c r="S426" s="100"/>
      <c r="T426" s="100"/>
      <c r="U426" s="100"/>
      <c r="V426" s="100"/>
      <c r="W426" s="100"/>
      <c r="X426" s="100"/>
      <c r="Y426" s="100"/>
      <c r="Z426" s="100"/>
      <c r="AA426" s="100"/>
      <c r="AB426" s="100"/>
      <c r="AC426" s="100"/>
      <c r="AD426" s="100"/>
      <c r="AF426"/>
      <c r="AG426"/>
      <c r="AH426"/>
      <c r="AI426"/>
      <c r="AJ426"/>
      <c r="AK426">
        <f t="shared" si="168"/>
        <v>0</v>
      </c>
      <c r="AL426">
        <f t="shared" si="169"/>
        <v>0</v>
      </c>
      <c r="AM426">
        <f t="shared" si="191"/>
        <v>0</v>
      </c>
      <c r="AN426">
        <f t="shared" si="170"/>
        <v>0</v>
      </c>
      <c r="AO426">
        <f t="shared" si="171"/>
        <v>0</v>
      </c>
      <c r="AP426">
        <f t="shared" si="172"/>
        <v>0</v>
      </c>
      <c r="AQ426">
        <f t="shared" si="173"/>
        <v>0</v>
      </c>
      <c r="AR426">
        <f t="shared" si="174"/>
        <v>0</v>
      </c>
      <c r="AS426">
        <f t="shared" si="175"/>
        <v>0</v>
      </c>
      <c r="AT426">
        <f t="shared" si="176"/>
        <v>0</v>
      </c>
      <c r="AU426">
        <f t="shared" si="177"/>
        <v>0</v>
      </c>
      <c r="AV426">
        <f t="shared" si="178"/>
        <v>0</v>
      </c>
      <c r="AW426">
        <f t="shared" si="179"/>
        <v>0</v>
      </c>
      <c r="AX426">
        <f t="shared" si="180"/>
        <v>0</v>
      </c>
      <c r="AY426">
        <f t="shared" si="181"/>
        <v>0</v>
      </c>
      <c r="AZ426">
        <f t="shared" si="182"/>
        <v>0</v>
      </c>
      <c r="BA426">
        <f t="shared" si="183"/>
        <v>0</v>
      </c>
      <c r="BB426">
        <f t="shared" si="184"/>
        <v>0</v>
      </c>
      <c r="BC426">
        <f t="shared" si="185"/>
        <v>0</v>
      </c>
      <c r="BD426">
        <f t="shared" si="186"/>
        <v>0</v>
      </c>
      <c r="BE426">
        <f t="shared" si="187"/>
        <v>0</v>
      </c>
      <c r="BF426">
        <f t="shared" si="188"/>
        <v>0</v>
      </c>
      <c r="BG426">
        <f t="shared" si="189"/>
        <v>0</v>
      </c>
      <c r="BH426">
        <f t="shared" si="190"/>
        <v>0</v>
      </c>
    </row>
    <row r="427" spans="1:60" ht="15" customHeight="1">
      <c r="A427" s="206"/>
      <c r="B427" s="201"/>
      <c r="C427" s="1119" t="s">
        <v>4899</v>
      </c>
      <c r="D427" s="1121"/>
      <c r="E427" s="1121"/>
      <c r="F427" s="1120"/>
      <c r="G427" s="100"/>
      <c r="H427" s="100"/>
      <c r="I427" s="100"/>
      <c r="J427" s="100"/>
      <c r="K427" s="100"/>
      <c r="L427" s="100"/>
      <c r="M427" s="100"/>
      <c r="N427" s="100"/>
      <c r="O427" s="100"/>
      <c r="P427" s="100"/>
      <c r="Q427" s="100"/>
      <c r="R427" s="100"/>
      <c r="S427" s="100"/>
      <c r="T427" s="100"/>
      <c r="U427" s="100"/>
      <c r="V427" s="100"/>
      <c r="W427" s="100"/>
      <c r="X427" s="100"/>
      <c r="Y427" s="100"/>
      <c r="Z427" s="100"/>
      <c r="AA427" s="100"/>
      <c r="AB427" s="100"/>
      <c r="AC427" s="100"/>
      <c r="AD427" s="100"/>
      <c r="AF427"/>
      <c r="AG427"/>
      <c r="AH427"/>
      <c r="AI427"/>
      <c r="AJ427"/>
      <c r="AK427">
        <f t="shared" si="168"/>
        <v>0</v>
      </c>
      <c r="AL427">
        <f t="shared" si="169"/>
        <v>0</v>
      </c>
      <c r="AM427">
        <f t="shared" si="191"/>
        <v>0</v>
      </c>
      <c r="AN427">
        <f t="shared" si="170"/>
        <v>0</v>
      </c>
      <c r="AO427">
        <f t="shared" si="171"/>
        <v>0</v>
      </c>
      <c r="AP427">
        <f t="shared" si="172"/>
        <v>0</v>
      </c>
      <c r="AQ427">
        <f t="shared" si="173"/>
        <v>0</v>
      </c>
      <c r="AR427">
        <f t="shared" si="174"/>
        <v>0</v>
      </c>
      <c r="AS427">
        <f t="shared" si="175"/>
        <v>0</v>
      </c>
      <c r="AT427">
        <f t="shared" si="176"/>
        <v>0</v>
      </c>
      <c r="AU427">
        <f t="shared" si="177"/>
        <v>0</v>
      </c>
      <c r="AV427">
        <f t="shared" si="178"/>
        <v>0</v>
      </c>
      <c r="AW427">
        <f t="shared" si="179"/>
        <v>0</v>
      </c>
      <c r="AX427">
        <f t="shared" si="180"/>
        <v>0</v>
      </c>
      <c r="AY427">
        <f t="shared" si="181"/>
        <v>0</v>
      </c>
      <c r="AZ427">
        <f t="shared" si="182"/>
        <v>0</v>
      </c>
      <c r="BA427">
        <f t="shared" si="183"/>
        <v>0</v>
      </c>
      <c r="BB427">
        <f t="shared" si="184"/>
        <v>0</v>
      </c>
      <c r="BC427">
        <f t="shared" si="185"/>
        <v>0</v>
      </c>
      <c r="BD427">
        <f t="shared" si="186"/>
        <v>0</v>
      </c>
      <c r="BE427">
        <f t="shared" si="187"/>
        <v>0</v>
      </c>
      <c r="BF427">
        <f t="shared" si="188"/>
        <v>0</v>
      </c>
      <c r="BG427">
        <f t="shared" si="189"/>
        <v>0</v>
      </c>
      <c r="BH427">
        <f t="shared" si="190"/>
        <v>0</v>
      </c>
    </row>
    <row r="428" spans="1:60" ht="15" customHeight="1">
      <c r="A428" s="206"/>
      <c r="B428" s="201"/>
      <c r="C428" s="1119" t="s">
        <v>4901</v>
      </c>
      <c r="D428" s="1121"/>
      <c r="E428" s="1121"/>
      <c r="F428" s="1120"/>
      <c r="G428" s="100"/>
      <c r="H428" s="100"/>
      <c r="I428" s="100"/>
      <c r="J428" s="100"/>
      <c r="K428" s="100"/>
      <c r="L428" s="100"/>
      <c r="M428" s="100"/>
      <c r="N428" s="100"/>
      <c r="O428" s="100"/>
      <c r="P428" s="100"/>
      <c r="Q428" s="100"/>
      <c r="R428" s="100"/>
      <c r="S428" s="100"/>
      <c r="T428" s="100"/>
      <c r="U428" s="100"/>
      <c r="V428" s="100"/>
      <c r="W428" s="100"/>
      <c r="X428" s="100"/>
      <c r="Y428" s="100"/>
      <c r="Z428" s="100"/>
      <c r="AA428" s="100"/>
      <c r="AB428" s="100"/>
      <c r="AC428" s="100"/>
      <c r="AD428" s="100"/>
      <c r="AF428"/>
      <c r="AG428"/>
      <c r="AH428"/>
      <c r="AI428"/>
      <c r="AJ428"/>
      <c r="AK428">
        <f t="shared" si="168"/>
        <v>0</v>
      </c>
      <c r="AL428">
        <f t="shared" si="169"/>
        <v>0</v>
      </c>
      <c r="AM428">
        <f t="shared" si="191"/>
        <v>0</v>
      </c>
      <c r="AN428">
        <f t="shared" si="170"/>
        <v>0</v>
      </c>
      <c r="AO428">
        <f t="shared" si="171"/>
        <v>0</v>
      </c>
      <c r="AP428">
        <f t="shared" si="172"/>
        <v>0</v>
      </c>
      <c r="AQ428">
        <f t="shared" si="173"/>
        <v>0</v>
      </c>
      <c r="AR428">
        <f t="shared" si="174"/>
        <v>0</v>
      </c>
      <c r="AS428">
        <f t="shared" si="175"/>
        <v>0</v>
      </c>
      <c r="AT428">
        <f t="shared" si="176"/>
        <v>0</v>
      </c>
      <c r="AU428">
        <f t="shared" si="177"/>
        <v>0</v>
      </c>
      <c r="AV428">
        <f t="shared" si="178"/>
        <v>0</v>
      </c>
      <c r="AW428">
        <f t="shared" si="179"/>
        <v>0</v>
      </c>
      <c r="AX428">
        <f t="shared" si="180"/>
        <v>0</v>
      </c>
      <c r="AY428">
        <f t="shared" si="181"/>
        <v>0</v>
      </c>
      <c r="AZ428">
        <f t="shared" si="182"/>
        <v>0</v>
      </c>
      <c r="BA428">
        <f t="shared" si="183"/>
        <v>0</v>
      </c>
      <c r="BB428">
        <f t="shared" si="184"/>
        <v>0</v>
      </c>
      <c r="BC428">
        <f t="shared" si="185"/>
        <v>0</v>
      </c>
      <c r="BD428">
        <f t="shared" si="186"/>
        <v>0</v>
      </c>
      <c r="BE428">
        <f t="shared" si="187"/>
        <v>0</v>
      </c>
      <c r="BF428">
        <f t="shared" si="188"/>
        <v>0</v>
      </c>
      <c r="BG428">
        <f t="shared" si="189"/>
        <v>0</v>
      </c>
      <c r="BH428">
        <f t="shared" si="190"/>
        <v>0</v>
      </c>
    </row>
    <row r="429" spans="1:60" ht="15" customHeight="1">
      <c r="A429" s="206"/>
      <c r="B429" s="206"/>
      <c r="C429" s="1117" t="s">
        <v>4902</v>
      </c>
      <c r="D429" s="1136"/>
      <c r="E429" s="1136"/>
      <c r="F429" s="1118"/>
      <c r="G429" s="100"/>
      <c r="H429" s="100"/>
      <c r="I429" s="100"/>
      <c r="J429" s="100"/>
      <c r="K429" s="100"/>
      <c r="L429" s="100"/>
      <c r="M429" s="100"/>
      <c r="N429" s="100"/>
      <c r="O429" s="100"/>
      <c r="P429" s="100"/>
      <c r="Q429" s="100"/>
      <c r="R429" s="100"/>
      <c r="S429" s="100"/>
      <c r="T429" s="100"/>
      <c r="U429" s="100"/>
      <c r="V429" s="100"/>
      <c r="W429" s="100"/>
      <c r="X429" s="100"/>
      <c r="Y429" s="100"/>
      <c r="Z429" s="100"/>
      <c r="AA429" s="100"/>
      <c r="AB429" s="100"/>
      <c r="AC429" s="100"/>
      <c r="AD429" s="100"/>
      <c r="AF429"/>
      <c r="AG429"/>
      <c r="AH429"/>
      <c r="AI429"/>
      <c r="AJ429"/>
      <c r="AK429">
        <f t="shared" si="168"/>
        <v>0</v>
      </c>
      <c r="AL429">
        <f t="shared" si="169"/>
        <v>0</v>
      </c>
      <c r="AM429">
        <f t="shared" si="191"/>
        <v>0</v>
      </c>
      <c r="AN429">
        <f t="shared" si="170"/>
        <v>0</v>
      </c>
      <c r="AO429">
        <f t="shared" si="171"/>
        <v>0</v>
      </c>
      <c r="AP429">
        <f t="shared" si="172"/>
        <v>0</v>
      </c>
      <c r="AQ429">
        <f t="shared" si="173"/>
        <v>0</v>
      </c>
      <c r="AR429">
        <f t="shared" si="174"/>
        <v>0</v>
      </c>
      <c r="AS429">
        <f t="shared" si="175"/>
        <v>0</v>
      </c>
      <c r="AT429">
        <f t="shared" si="176"/>
        <v>0</v>
      </c>
      <c r="AU429">
        <f t="shared" si="177"/>
        <v>0</v>
      </c>
      <c r="AV429">
        <f t="shared" si="178"/>
        <v>0</v>
      </c>
      <c r="AW429">
        <f t="shared" si="179"/>
        <v>0</v>
      </c>
      <c r="AX429">
        <f t="shared" si="180"/>
        <v>0</v>
      </c>
      <c r="AY429">
        <f t="shared" si="181"/>
        <v>0</v>
      </c>
      <c r="AZ429">
        <f t="shared" si="182"/>
        <v>0</v>
      </c>
      <c r="BA429">
        <f t="shared" si="183"/>
        <v>0</v>
      </c>
      <c r="BB429">
        <f t="shared" si="184"/>
        <v>0</v>
      </c>
      <c r="BC429">
        <f t="shared" si="185"/>
        <v>0</v>
      </c>
      <c r="BD429">
        <f t="shared" si="186"/>
        <v>0</v>
      </c>
      <c r="BE429">
        <f t="shared" si="187"/>
        <v>0</v>
      </c>
      <c r="BF429">
        <f t="shared" si="188"/>
        <v>0</v>
      </c>
      <c r="BG429">
        <f t="shared" si="189"/>
        <v>0</v>
      </c>
      <c r="BH429">
        <f t="shared" si="190"/>
        <v>0</v>
      </c>
    </row>
    <row r="430" spans="1:60" ht="15" customHeight="1">
      <c r="A430" s="206"/>
      <c r="B430" s="206"/>
      <c r="C430" s="1117" t="s">
        <v>4904</v>
      </c>
      <c r="D430" s="1136"/>
      <c r="E430" s="1136"/>
      <c r="F430" s="1118"/>
      <c r="G430" s="100"/>
      <c r="H430" s="100"/>
      <c r="I430" s="100"/>
      <c r="J430" s="100"/>
      <c r="K430" s="100"/>
      <c r="L430" s="100"/>
      <c r="M430" s="100"/>
      <c r="N430" s="100"/>
      <c r="O430" s="100"/>
      <c r="P430" s="100"/>
      <c r="Q430" s="100"/>
      <c r="R430" s="100"/>
      <c r="S430" s="100"/>
      <c r="T430" s="100"/>
      <c r="U430" s="100"/>
      <c r="V430" s="100"/>
      <c r="W430" s="100"/>
      <c r="X430" s="100"/>
      <c r="Y430" s="100"/>
      <c r="Z430" s="100"/>
      <c r="AA430" s="100"/>
      <c r="AB430" s="100"/>
      <c r="AC430" s="100"/>
      <c r="AD430" s="100"/>
      <c r="AF430"/>
      <c r="AG430"/>
      <c r="AH430"/>
      <c r="AI430"/>
      <c r="AJ430"/>
      <c r="AK430">
        <f t="shared" si="168"/>
        <v>0</v>
      </c>
      <c r="AL430">
        <f t="shared" si="169"/>
        <v>0</v>
      </c>
      <c r="AM430">
        <f t="shared" si="191"/>
        <v>0</v>
      </c>
      <c r="AN430">
        <f t="shared" si="170"/>
        <v>0</v>
      </c>
      <c r="AO430">
        <f t="shared" si="171"/>
        <v>0</v>
      </c>
      <c r="AP430">
        <f t="shared" si="172"/>
        <v>0</v>
      </c>
      <c r="AQ430">
        <f t="shared" si="173"/>
        <v>0</v>
      </c>
      <c r="AR430">
        <f t="shared" si="174"/>
        <v>0</v>
      </c>
      <c r="AS430">
        <f t="shared" si="175"/>
        <v>0</v>
      </c>
      <c r="AT430">
        <f t="shared" si="176"/>
        <v>0</v>
      </c>
      <c r="AU430">
        <f t="shared" si="177"/>
        <v>0</v>
      </c>
      <c r="AV430">
        <f t="shared" si="178"/>
        <v>0</v>
      </c>
      <c r="AW430">
        <f t="shared" si="179"/>
        <v>0</v>
      </c>
      <c r="AX430">
        <f t="shared" si="180"/>
        <v>0</v>
      </c>
      <c r="AY430">
        <f t="shared" si="181"/>
        <v>0</v>
      </c>
      <c r="AZ430">
        <f t="shared" si="182"/>
        <v>0</v>
      </c>
      <c r="BA430">
        <f t="shared" si="183"/>
        <v>0</v>
      </c>
      <c r="BB430">
        <f t="shared" si="184"/>
        <v>0</v>
      </c>
      <c r="BC430">
        <f t="shared" si="185"/>
        <v>0</v>
      </c>
      <c r="BD430">
        <f t="shared" si="186"/>
        <v>0</v>
      </c>
      <c r="BE430">
        <f t="shared" si="187"/>
        <v>0</v>
      </c>
      <c r="BF430">
        <f t="shared" si="188"/>
        <v>0</v>
      </c>
      <c r="BG430">
        <f t="shared" si="189"/>
        <v>0</v>
      </c>
      <c r="BH430">
        <f t="shared" si="190"/>
        <v>0</v>
      </c>
    </row>
    <row r="431" spans="1:60" ht="15" customHeight="1">
      <c r="A431" s="206"/>
      <c r="B431" s="206"/>
      <c r="C431" s="1117" t="s">
        <v>4906</v>
      </c>
      <c r="D431" s="1136"/>
      <c r="E431" s="1136"/>
      <c r="F431" s="1118"/>
      <c r="G431" s="100"/>
      <c r="H431" s="100"/>
      <c r="I431" s="100"/>
      <c r="J431" s="100"/>
      <c r="K431" s="100"/>
      <c r="L431" s="100"/>
      <c r="M431" s="100"/>
      <c r="N431" s="100"/>
      <c r="O431" s="100"/>
      <c r="P431" s="100"/>
      <c r="Q431" s="100"/>
      <c r="R431" s="100"/>
      <c r="S431" s="100"/>
      <c r="T431" s="100"/>
      <c r="U431" s="100"/>
      <c r="V431" s="100"/>
      <c r="W431" s="100"/>
      <c r="X431" s="100"/>
      <c r="Y431" s="100"/>
      <c r="Z431" s="100"/>
      <c r="AA431" s="100"/>
      <c r="AB431" s="100"/>
      <c r="AC431" s="100"/>
      <c r="AD431" s="100"/>
      <c r="AF431"/>
      <c r="AG431"/>
      <c r="AH431"/>
      <c r="AI431"/>
      <c r="AJ431"/>
      <c r="AK431">
        <f t="shared" si="168"/>
        <v>0</v>
      </c>
      <c r="AL431">
        <f t="shared" si="169"/>
        <v>0</v>
      </c>
      <c r="AM431">
        <f t="shared" si="191"/>
        <v>0</v>
      </c>
      <c r="AN431">
        <f t="shared" si="170"/>
        <v>0</v>
      </c>
      <c r="AO431">
        <f t="shared" si="171"/>
        <v>0</v>
      </c>
      <c r="AP431">
        <f t="shared" si="172"/>
        <v>0</v>
      </c>
      <c r="AQ431">
        <f t="shared" si="173"/>
        <v>0</v>
      </c>
      <c r="AR431">
        <f t="shared" si="174"/>
        <v>0</v>
      </c>
      <c r="AS431">
        <f t="shared" si="175"/>
        <v>0</v>
      </c>
      <c r="AT431">
        <f t="shared" si="176"/>
        <v>0</v>
      </c>
      <c r="AU431">
        <f t="shared" si="177"/>
        <v>0</v>
      </c>
      <c r="AV431">
        <f t="shared" si="178"/>
        <v>0</v>
      </c>
      <c r="AW431">
        <f t="shared" si="179"/>
        <v>0</v>
      </c>
      <c r="AX431">
        <f t="shared" si="180"/>
        <v>0</v>
      </c>
      <c r="AY431">
        <f t="shared" si="181"/>
        <v>0</v>
      </c>
      <c r="AZ431">
        <f t="shared" si="182"/>
        <v>0</v>
      </c>
      <c r="BA431">
        <f t="shared" si="183"/>
        <v>0</v>
      </c>
      <c r="BB431">
        <f t="shared" si="184"/>
        <v>0</v>
      </c>
      <c r="BC431">
        <f t="shared" si="185"/>
        <v>0</v>
      </c>
      <c r="BD431">
        <f t="shared" si="186"/>
        <v>0</v>
      </c>
      <c r="BE431">
        <f t="shared" si="187"/>
        <v>0</v>
      </c>
      <c r="BF431">
        <f t="shared" si="188"/>
        <v>0</v>
      </c>
      <c r="BG431">
        <f t="shared" si="189"/>
        <v>0</v>
      </c>
      <c r="BH431">
        <f t="shared" si="190"/>
        <v>0</v>
      </c>
    </row>
    <row r="432" spans="1:60" ht="15" customHeight="1">
      <c r="A432" s="206"/>
      <c r="B432" s="201"/>
      <c r="C432" s="1119" t="s">
        <v>4908</v>
      </c>
      <c r="D432" s="1121"/>
      <c r="E432" s="1121"/>
      <c r="F432" s="1120"/>
      <c r="G432" s="100"/>
      <c r="H432" s="100"/>
      <c r="I432" s="100"/>
      <c r="J432" s="100"/>
      <c r="K432" s="100"/>
      <c r="L432" s="100"/>
      <c r="M432" s="100"/>
      <c r="N432" s="100"/>
      <c r="O432" s="100"/>
      <c r="P432" s="100"/>
      <c r="Q432" s="100"/>
      <c r="R432" s="100"/>
      <c r="S432" s="100"/>
      <c r="T432" s="100"/>
      <c r="U432" s="100"/>
      <c r="V432" s="100"/>
      <c r="W432" s="100"/>
      <c r="X432" s="100"/>
      <c r="Y432" s="100"/>
      <c r="Z432" s="100"/>
      <c r="AA432" s="100"/>
      <c r="AB432" s="100"/>
      <c r="AC432" s="100"/>
      <c r="AD432" s="100"/>
      <c r="AF432"/>
      <c r="AG432"/>
      <c r="AH432"/>
      <c r="AI432"/>
      <c r="AJ432"/>
      <c r="AK432">
        <f t="shared" si="168"/>
        <v>0</v>
      </c>
      <c r="AL432">
        <f t="shared" si="169"/>
        <v>0</v>
      </c>
      <c r="AM432">
        <f t="shared" si="191"/>
        <v>0</v>
      </c>
      <c r="AN432">
        <f t="shared" si="170"/>
        <v>0</v>
      </c>
      <c r="AO432">
        <f t="shared" si="171"/>
        <v>0</v>
      </c>
      <c r="AP432">
        <f t="shared" si="172"/>
        <v>0</v>
      </c>
      <c r="AQ432">
        <f t="shared" si="173"/>
        <v>0</v>
      </c>
      <c r="AR432">
        <f t="shared" si="174"/>
        <v>0</v>
      </c>
      <c r="AS432">
        <f t="shared" si="175"/>
        <v>0</v>
      </c>
      <c r="AT432">
        <f t="shared" si="176"/>
        <v>0</v>
      </c>
      <c r="AU432">
        <f t="shared" si="177"/>
        <v>0</v>
      </c>
      <c r="AV432">
        <f t="shared" si="178"/>
        <v>0</v>
      </c>
      <c r="AW432">
        <f t="shared" si="179"/>
        <v>0</v>
      </c>
      <c r="AX432">
        <f t="shared" si="180"/>
        <v>0</v>
      </c>
      <c r="AY432">
        <f t="shared" si="181"/>
        <v>0</v>
      </c>
      <c r="AZ432">
        <f t="shared" si="182"/>
        <v>0</v>
      </c>
      <c r="BA432">
        <f t="shared" si="183"/>
        <v>0</v>
      </c>
      <c r="BB432">
        <f t="shared" si="184"/>
        <v>0</v>
      </c>
      <c r="BC432">
        <f t="shared" si="185"/>
        <v>0</v>
      </c>
      <c r="BD432">
        <f t="shared" si="186"/>
        <v>0</v>
      </c>
      <c r="BE432">
        <f t="shared" si="187"/>
        <v>0</v>
      </c>
      <c r="BF432">
        <f t="shared" si="188"/>
        <v>0</v>
      </c>
      <c r="BG432">
        <f t="shared" si="189"/>
        <v>0</v>
      </c>
      <c r="BH432">
        <f t="shared" si="190"/>
        <v>0</v>
      </c>
    </row>
    <row r="433" spans="1:60" ht="15" customHeight="1">
      <c r="A433" s="206"/>
      <c r="B433" s="201"/>
      <c r="C433" s="1119" t="s">
        <v>4910</v>
      </c>
      <c r="D433" s="1121"/>
      <c r="E433" s="1121"/>
      <c r="F433" s="1120"/>
      <c r="G433" s="100"/>
      <c r="H433" s="100"/>
      <c r="I433" s="100"/>
      <c r="J433" s="100"/>
      <c r="K433" s="100"/>
      <c r="L433" s="100"/>
      <c r="M433" s="100"/>
      <c r="N433" s="100"/>
      <c r="O433" s="100"/>
      <c r="P433" s="100"/>
      <c r="Q433" s="100"/>
      <c r="R433" s="100"/>
      <c r="S433" s="100"/>
      <c r="T433" s="100"/>
      <c r="U433" s="100"/>
      <c r="V433" s="100"/>
      <c r="W433" s="100"/>
      <c r="X433" s="100"/>
      <c r="Y433" s="100"/>
      <c r="Z433" s="100"/>
      <c r="AA433" s="100"/>
      <c r="AB433" s="100"/>
      <c r="AC433" s="100"/>
      <c r="AD433" s="100"/>
      <c r="AF433"/>
      <c r="AG433"/>
      <c r="AH433"/>
      <c r="AI433"/>
      <c r="AJ433"/>
      <c r="AK433">
        <f t="shared" si="168"/>
        <v>0</v>
      </c>
      <c r="AL433">
        <f t="shared" si="169"/>
        <v>0</v>
      </c>
      <c r="AM433">
        <f t="shared" si="191"/>
        <v>0</v>
      </c>
      <c r="AN433">
        <f t="shared" si="170"/>
        <v>0</v>
      </c>
      <c r="AO433">
        <f t="shared" si="171"/>
        <v>0</v>
      </c>
      <c r="AP433">
        <f t="shared" si="172"/>
        <v>0</v>
      </c>
      <c r="AQ433">
        <f t="shared" si="173"/>
        <v>0</v>
      </c>
      <c r="AR433">
        <f t="shared" si="174"/>
        <v>0</v>
      </c>
      <c r="AS433">
        <f t="shared" si="175"/>
        <v>0</v>
      </c>
      <c r="AT433">
        <f t="shared" si="176"/>
        <v>0</v>
      </c>
      <c r="AU433">
        <f t="shared" si="177"/>
        <v>0</v>
      </c>
      <c r="AV433">
        <f t="shared" si="178"/>
        <v>0</v>
      </c>
      <c r="AW433">
        <f t="shared" si="179"/>
        <v>0</v>
      </c>
      <c r="AX433">
        <f t="shared" si="180"/>
        <v>0</v>
      </c>
      <c r="AY433">
        <f t="shared" si="181"/>
        <v>0</v>
      </c>
      <c r="AZ433">
        <f t="shared" si="182"/>
        <v>0</v>
      </c>
      <c r="BA433">
        <f t="shared" si="183"/>
        <v>0</v>
      </c>
      <c r="BB433">
        <f t="shared" si="184"/>
        <v>0</v>
      </c>
      <c r="BC433">
        <f t="shared" si="185"/>
        <v>0</v>
      </c>
      <c r="BD433">
        <f t="shared" si="186"/>
        <v>0</v>
      </c>
      <c r="BE433">
        <f t="shared" si="187"/>
        <v>0</v>
      </c>
      <c r="BF433">
        <f t="shared" si="188"/>
        <v>0</v>
      </c>
      <c r="BG433">
        <f t="shared" si="189"/>
        <v>0</v>
      </c>
      <c r="BH433">
        <f t="shared" si="190"/>
        <v>0</v>
      </c>
    </row>
    <row r="434" spans="1:60" ht="15" customHeight="1">
      <c r="A434" s="206"/>
      <c r="B434" s="201"/>
      <c r="C434" s="1119" t="s">
        <v>4912</v>
      </c>
      <c r="D434" s="1121"/>
      <c r="E434" s="1121"/>
      <c r="F434" s="1120"/>
      <c r="G434" s="100"/>
      <c r="H434" s="100"/>
      <c r="I434" s="100"/>
      <c r="J434" s="100"/>
      <c r="K434" s="100"/>
      <c r="L434" s="100"/>
      <c r="M434" s="100"/>
      <c r="N434" s="100"/>
      <c r="O434" s="100"/>
      <c r="P434" s="100"/>
      <c r="Q434" s="100"/>
      <c r="R434" s="100"/>
      <c r="S434" s="100"/>
      <c r="T434" s="100"/>
      <c r="U434" s="100"/>
      <c r="V434" s="100"/>
      <c r="W434" s="100"/>
      <c r="X434" s="100"/>
      <c r="Y434" s="100"/>
      <c r="Z434" s="100"/>
      <c r="AA434" s="100"/>
      <c r="AB434" s="100"/>
      <c r="AC434" s="100"/>
      <c r="AD434" s="100"/>
      <c r="AF434"/>
      <c r="AG434"/>
      <c r="AH434"/>
      <c r="AI434"/>
      <c r="AJ434"/>
      <c r="AK434">
        <f t="shared" si="168"/>
        <v>0</v>
      </c>
      <c r="AL434">
        <f t="shared" si="169"/>
        <v>0</v>
      </c>
      <c r="AM434">
        <f t="shared" si="191"/>
        <v>0</v>
      </c>
      <c r="AN434">
        <f t="shared" si="170"/>
        <v>0</v>
      </c>
      <c r="AO434">
        <f t="shared" si="171"/>
        <v>0</v>
      </c>
      <c r="AP434">
        <f t="shared" si="172"/>
        <v>0</v>
      </c>
      <c r="AQ434">
        <f t="shared" si="173"/>
        <v>0</v>
      </c>
      <c r="AR434">
        <f t="shared" si="174"/>
        <v>0</v>
      </c>
      <c r="AS434">
        <f t="shared" si="175"/>
        <v>0</v>
      </c>
      <c r="AT434">
        <f t="shared" si="176"/>
        <v>0</v>
      </c>
      <c r="AU434">
        <f t="shared" si="177"/>
        <v>0</v>
      </c>
      <c r="AV434">
        <f t="shared" si="178"/>
        <v>0</v>
      </c>
      <c r="AW434">
        <f t="shared" si="179"/>
        <v>0</v>
      </c>
      <c r="AX434">
        <f t="shared" si="180"/>
        <v>0</v>
      </c>
      <c r="AY434">
        <f t="shared" si="181"/>
        <v>0</v>
      </c>
      <c r="AZ434">
        <f t="shared" si="182"/>
        <v>0</v>
      </c>
      <c r="BA434">
        <f t="shared" si="183"/>
        <v>0</v>
      </c>
      <c r="BB434">
        <f t="shared" si="184"/>
        <v>0</v>
      </c>
      <c r="BC434">
        <f t="shared" si="185"/>
        <v>0</v>
      </c>
      <c r="BD434">
        <f t="shared" si="186"/>
        <v>0</v>
      </c>
      <c r="BE434">
        <f t="shared" si="187"/>
        <v>0</v>
      </c>
      <c r="BF434">
        <f t="shared" si="188"/>
        <v>0</v>
      </c>
      <c r="BG434">
        <f t="shared" si="189"/>
        <v>0</v>
      </c>
      <c r="BH434">
        <f t="shared" si="190"/>
        <v>0</v>
      </c>
    </row>
    <row r="435" spans="1:60" ht="15" customHeight="1">
      <c r="A435" s="206"/>
      <c r="B435" s="206"/>
      <c r="C435" s="1117" t="s">
        <v>4913</v>
      </c>
      <c r="D435" s="1136"/>
      <c r="E435" s="1136"/>
      <c r="F435" s="1118"/>
      <c r="G435" s="100"/>
      <c r="H435" s="100"/>
      <c r="I435" s="100"/>
      <c r="J435" s="100"/>
      <c r="K435" s="100"/>
      <c r="L435" s="100"/>
      <c r="M435" s="100"/>
      <c r="N435" s="100"/>
      <c r="O435" s="100"/>
      <c r="P435" s="100"/>
      <c r="Q435" s="100"/>
      <c r="R435" s="100"/>
      <c r="S435" s="100"/>
      <c r="T435" s="100"/>
      <c r="U435" s="100"/>
      <c r="V435" s="100"/>
      <c r="W435" s="100"/>
      <c r="X435" s="100"/>
      <c r="Y435" s="100"/>
      <c r="Z435" s="100"/>
      <c r="AA435" s="100"/>
      <c r="AB435" s="100"/>
      <c r="AC435" s="100"/>
      <c r="AD435" s="100"/>
      <c r="AF435"/>
      <c r="AG435"/>
      <c r="AH435"/>
      <c r="AI435"/>
      <c r="AJ435"/>
      <c r="AK435">
        <f t="shared" si="168"/>
        <v>0</v>
      </c>
      <c r="AL435">
        <f t="shared" si="169"/>
        <v>0</v>
      </c>
      <c r="AM435">
        <f t="shared" si="191"/>
        <v>0</v>
      </c>
      <c r="AN435">
        <f t="shared" si="170"/>
        <v>0</v>
      </c>
      <c r="AO435">
        <f t="shared" si="171"/>
        <v>0</v>
      </c>
      <c r="AP435">
        <f t="shared" si="172"/>
        <v>0</v>
      </c>
      <c r="AQ435">
        <f t="shared" si="173"/>
        <v>0</v>
      </c>
      <c r="AR435">
        <f t="shared" si="174"/>
        <v>0</v>
      </c>
      <c r="AS435">
        <f t="shared" si="175"/>
        <v>0</v>
      </c>
      <c r="AT435">
        <f t="shared" si="176"/>
        <v>0</v>
      </c>
      <c r="AU435">
        <f t="shared" si="177"/>
        <v>0</v>
      </c>
      <c r="AV435">
        <f t="shared" si="178"/>
        <v>0</v>
      </c>
      <c r="AW435">
        <f t="shared" si="179"/>
        <v>0</v>
      </c>
      <c r="AX435">
        <f t="shared" si="180"/>
        <v>0</v>
      </c>
      <c r="AY435">
        <f t="shared" si="181"/>
        <v>0</v>
      </c>
      <c r="AZ435">
        <f t="shared" si="182"/>
        <v>0</v>
      </c>
      <c r="BA435">
        <f t="shared" si="183"/>
        <v>0</v>
      </c>
      <c r="BB435">
        <f t="shared" si="184"/>
        <v>0</v>
      </c>
      <c r="BC435">
        <f t="shared" si="185"/>
        <v>0</v>
      </c>
      <c r="BD435">
        <f t="shared" si="186"/>
        <v>0</v>
      </c>
      <c r="BE435">
        <f t="shared" si="187"/>
        <v>0</v>
      </c>
      <c r="BF435">
        <f t="shared" si="188"/>
        <v>0</v>
      </c>
      <c r="BG435">
        <f t="shared" si="189"/>
        <v>0</v>
      </c>
      <c r="BH435">
        <f t="shared" si="190"/>
        <v>0</v>
      </c>
    </row>
    <row r="436" spans="1:60" ht="15" customHeight="1">
      <c r="A436" s="206"/>
      <c r="B436" s="206"/>
      <c r="C436" s="1117" t="s">
        <v>4915</v>
      </c>
      <c r="D436" s="1136"/>
      <c r="E436" s="1136"/>
      <c r="F436" s="1118"/>
      <c r="G436" s="100"/>
      <c r="H436" s="100"/>
      <c r="I436" s="100"/>
      <c r="J436" s="100"/>
      <c r="K436" s="100"/>
      <c r="L436" s="100"/>
      <c r="M436" s="100"/>
      <c r="N436" s="100"/>
      <c r="O436" s="100"/>
      <c r="P436" s="100"/>
      <c r="Q436" s="100"/>
      <c r="R436" s="100"/>
      <c r="S436" s="100"/>
      <c r="T436" s="100"/>
      <c r="U436" s="100"/>
      <c r="V436" s="100"/>
      <c r="W436" s="100"/>
      <c r="X436" s="100"/>
      <c r="Y436" s="100"/>
      <c r="Z436" s="100"/>
      <c r="AA436" s="100"/>
      <c r="AB436" s="100"/>
      <c r="AC436" s="100"/>
      <c r="AD436" s="100"/>
      <c r="AF436"/>
      <c r="AG436"/>
      <c r="AH436"/>
      <c r="AI436"/>
      <c r="AJ436"/>
      <c r="AK436">
        <f t="shared" si="168"/>
        <v>0</v>
      </c>
      <c r="AL436">
        <f t="shared" si="169"/>
        <v>0</v>
      </c>
      <c r="AM436">
        <f t="shared" si="191"/>
        <v>0</v>
      </c>
      <c r="AN436">
        <f t="shared" si="170"/>
        <v>0</v>
      </c>
      <c r="AO436">
        <f t="shared" si="171"/>
        <v>0</v>
      </c>
      <c r="AP436">
        <f t="shared" si="172"/>
        <v>0</v>
      </c>
      <c r="AQ436">
        <f t="shared" si="173"/>
        <v>0</v>
      </c>
      <c r="AR436">
        <f t="shared" si="174"/>
        <v>0</v>
      </c>
      <c r="AS436">
        <f t="shared" si="175"/>
        <v>0</v>
      </c>
      <c r="AT436">
        <f t="shared" si="176"/>
        <v>0</v>
      </c>
      <c r="AU436">
        <f t="shared" si="177"/>
        <v>0</v>
      </c>
      <c r="AV436">
        <f t="shared" si="178"/>
        <v>0</v>
      </c>
      <c r="AW436">
        <f t="shared" si="179"/>
        <v>0</v>
      </c>
      <c r="AX436">
        <f t="shared" si="180"/>
        <v>0</v>
      </c>
      <c r="AY436">
        <f t="shared" si="181"/>
        <v>0</v>
      </c>
      <c r="AZ436">
        <f t="shared" si="182"/>
        <v>0</v>
      </c>
      <c r="BA436">
        <f t="shared" si="183"/>
        <v>0</v>
      </c>
      <c r="BB436">
        <f t="shared" si="184"/>
        <v>0</v>
      </c>
      <c r="BC436">
        <f t="shared" si="185"/>
        <v>0</v>
      </c>
      <c r="BD436">
        <f t="shared" si="186"/>
        <v>0</v>
      </c>
      <c r="BE436">
        <f t="shared" si="187"/>
        <v>0</v>
      </c>
      <c r="BF436">
        <f t="shared" si="188"/>
        <v>0</v>
      </c>
      <c r="BG436">
        <f t="shared" si="189"/>
        <v>0</v>
      </c>
      <c r="BH436">
        <f t="shared" si="190"/>
        <v>0</v>
      </c>
    </row>
    <row r="437" spans="1:60" ht="15" customHeight="1">
      <c r="A437" s="206"/>
      <c r="B437" s="206"/>
      <c r="C437" s="1117" t="s">
        <v>4917</v>
      </c>
      <c r="D437" s="1136"/>
      <c r="E437" s="1136"/>
      <c r="F437" s="1118"/>
      <c r="G437" s="100"/>
      <c r="H437" s="100"/>
      <c r="I437" s="100"/>
      <c r="J437" s="100"/>
      <c r="K437" s="100"/>
      <c r="L437" s="100"/>
      <c r="M437" s="100"/>
      <c r="N437" s="100"/>
      <c r="O437" s="100"/>
      <c r="P437" s="100"/>
      <c r="Q437" s="100"/>
      <c r="R437" s="100"/>
      <c r="S437" s="100"/>
      <c r="T437" s="100"/>
      <c r="U437" s="100"/>
      <c r="V437" s="100"/>
      <c r="W437" s="100"/>
      <c r="X437" s="100"/>
      <c r="Y437" s="100"/>
      <c r="Z437" s="100"/>
      <c r="AA437" s="100"/>
      <c r="AB437" s="100"/>
      <c r="AC437" s="100"/>
      <c r="AD437" s="100"/>
      <c r="AF437"/>
      <c r="AG437"/>
      <c r="AH437"/>
      <c r="AI437"/>
      <c r="AJ437"/>
      <c r="AK437">
        <f t="shared" si="168"/>
        <v>0</v>
      </c>
      <c r="AL437">
        <f t="shared" si="169"/>
        <v>0</v>
      </c>
      <c r="AM437">
        <f t="shared" si="191"/>
        <v>0</v>
      </c>
      <c r="AN437">
        <f t="shared" si="170"/>
        <v>0</v>
      </c>
      <c r="AO437">
        <f t="shared" si="171"/>
        <v>0</v>
      </c>
      <c r="AP437">
        <f t="shared" si="172"/>
        <v>0</v>
      </c>
      <c r="AQ437">
        <f t="shared" si="173"/>
        <v>0</v>
      </c>
      <c r="AR437">
        <f t="shared" si="174"/>
        <v>0</v>
      </c>
      <c r="AS437">
        <f t="shared" si="175"/>
        <v>0</v>
      </c>
      <c r="AT437">
        <f t="shared" si="176"/>
        <v>0</v>
      </c>
      <c r="AU437">
        <f t="shared" si="177"/>
        <v>0</v>
      </c>
      <c r="AV437">
        <f t="shared" si="178"/>
        <v>0</v>
      </c>
      <c r="AW437">
        <f t="shared" si="179"/>
        <v>0</v>
      </c>
      <c r="AX437">
        <f t="shared" si="180"/>
        <v>0</v>
      </c>
      <c r="AY437">
        <f t="shared" si="181"/>
        <v>0</v>
      </c>
      <c r="AZ437">
        <f t="shared" si="182"/>
        <v>0</v>
      </c>
      <c r="BA437">
        <f t="shared" si="183"/>
        <v>0</v>
      </c>
      <c r="BB437">
        <f t="shared" si="184"/>
        <v>0</v>
      </c>
      <c r="BC437">
        <f t="shared" si="185"/>
        <v>0</v>
      </c>
      <c r="BD437">
        <f t="shared" si="186"/>
        <v>0</v>
      </c>
      <c r="BE437">
        <f t="shared" si="187"/>
        <v>0</v>
      </c>
      <c r="BF437">
        <f t="shared" si="188"/>
        <v>0</v>
      </c>
      <c r="BG437">
        <f t="shared" si="189"/>
        <v>0</v>
      </c>
      <c r="BH437">
        <f t="shared" si="190"/>
        <v>0</v>
      </c>
    </row>
    <row r="438" spans="1:60" ht="15" customHeight="1">
      <c r="A438" s="206"/>
      <c r="B438" s="206"/>
      <c r="C438" s="1117" t="s">
        <v>4921</v>
      </c>
      <c r="D438" s="1136"/>
      <c r="E438" s="1136"/>
      <c r="F438" s="1118"/>
      <c r="G438" s="100"/>
      <c r="H438" s="100"/>
      <c r="I438" s="100"/>
      <c r="J438" s="100"/>
      <c r="K438" s="100"/>
      <c r="L438" s="100"/>
      <c r="M438" s="100"/>
      <c r="N438" s="100"/>
      <c r="O438" s="100"/>
      <c r="P438" s="100"/>
      <c r="Q438" s="100"/>
      <c r="R438" s="100"/>
      <c r="S438" s="100"/>
      <c r="T438" s="100"/>
      <c r="U438" s="100"/>
      <c r="V438" s="100"/>
      <c r="W438" s="100"/>
      <c r="X438" s="100"/>
      <c r="Y438" s="100"/>
      <c r="Z438" s="100"/>
      <c r="AA438" s="100"/>
      <c r="AB438" s="100"/>
      <c r="AC438" s="100"/>
      <c r="AD438" s="100"/>
      <c r="AF438"/>
      <c r="AG438"/>
      <c r="AH438"/>
      <c r="AI438"/>
      <c r="AJ438"/>
      <c r="AK438">
        <f t="shared" ref="AK438:AK501" si="192">COUNTIF(H438:I438,"NS")</f>
        <v>0</v>
      </c>
      <c r="AL438">
        <f t="shared" ref="AL438:AL501" si="193">SUM(H438:I438)</f>
        <v>0</v>
      </c>
      <c r="AM438">
        <f t="shared" si="191"/>
        <v>0</v>
      </c>
      <c r="AN438">
        <f t="shared" ref="AN438:AN501" si="194">COUNTIF(K438:L438,"NS")</f>
        <v>0</v>
      </c>
      <c r="AO438">
        <f t="shared" ref="AO438:AO501" si="195">SUM(K438:L438)</f>
        <v>0</v>
      </c>
      <c r="AP438">
        <f t="shared" ref="AP438:AP501" si="196">IF(COUNTIF(J438:L438,"NA")=3,0,IF(COUNTA(J438:L438)=0,0,IF(OR(AND(J438=0,AN438&gt;0),AND(J438="ns",AO438&gt;0),AND(J438="ns",AN438=0,AO438=0)),1,IF(OR(AND(J438&gt;0,AN438=2),AND(J438="ns",AN438=2),AND(J438="ns",AO438=0,AN438&gt;0),J438=AO438),0,1))))</f>
        <v>0</v>
      </c>
      <c r="AQ438">
        <f t="shared" ref="AQ438:AQ501" si="197">COUNTIF(N438:O438,"NS")</f>
        <v>0</v>
      </c>
      <c r="AR438">
        <f t="shared" ref="AR438:AR501" si="198">SUM(N438:O438)</f>
        <v>0</v>
      </c>
      <c r="AS438">
        <f t="shared" ref="AS438:AS501" si="199">IF(COUNTIF(M438:O438,"NA")=3,0,IF(COUNTA(M438:O438)=0,0,IF(OR(AND(M438=0,AQ438&gt;0),AND(M438="ns",AR438&gt;0),AND(M438="ns",AQ438=0,AR438=0)),1,IF(OR(AND(M438&gt;0,AQ438=2),AND(M438="ns",AQ438=2),AND(M438="ns",AR438=0,AQ438&gt;0),M438=AR438),0,1))))</f>
        <v>0</v>
      </c>
      <c r="AT438">
        <f t="shared" ref="AT438:AT501" si="200">COUNTIF(Q438:R438,"NS")</f>
        <v>0</v>
      </c>
      <c r="AU438">
        <f t="shared" ref="AU438:AU501" si="201">SUM(Q438:R438)</f>
        <v>0</v>
      </c>
      <c r="AV438">
        <f t="shared" ref="AV438:AV501" si="202">IF(COUNTIF(P438:R438,"NA")=3,0,IF(COUNTA(P438:R438)=0,0,IF(OR(AND(P438=0,AT438&gt;0),AND(P438="ns",AU438&gt;0),AND(P438="ns",AT438=0,AU438=0)),1,IF(OR(AND(P438&gt;0,AT438=2),AND(P438="ns",AT438=2),AND(P438="ns",AU438=0,AT438&gt;0),P438=AU438),0,1))))</f>
        <v>0</v>
      </c>
      <c r="AW438">
        <f t="shared" ref="AW438:AW501" si="203">COUNTIF(T438:U438,"NS")</f>
        <v>0</v>
      </c>
      <c r="AX438">
        <f t="shared" ref="AX438:AX501" si="204">SUM(T438:U438)</f>
        <v>0</v>
      </c>
      <c r="AY438">
        <f t="shared" ref="AY438:AY501" si="205">IF(COUNTIF(S438:U438,"NA")=3,0,IF(COUNTA(S438:U438)=0,0,IF(OR(AND(S438=0,AW438&gt;0),AND(S438="ns",AX438&gt;0),AND(S438="ns",AW438=0,AX438=0)),1,IF(OR(AND(S438&gt;0,AW438=2),AND(S438="ns",AW438=2),AND(S438="ns",AX438=0,AW438&gt;0),S438=AX438),0,1))))</f>
        <v>0</v>
      </c>
      <c r="AZ438">
        <f t="shared" ref="AZ438:AZ501" si="206">COUNTIF(W438:X438,"NS")</f>
        <v>0</v>
      </c>
      <c r="BA438">
        <f t="shared" ref="BA438:BA501" si="207">SUM(W438:X438)</f>
        <v>0</v>
      </c>
      <c r="BB438">
        <f t="shared" ref="BB438:BB501" si="208">IF(COUNTIF(V438:X438,"NA")=3,0,IF(COUNTA(V438:X438)=0,0,IF(OR(AND(V438=0,AZ438&gt;0),AND(V438="ns",BA438&gt;0),AND(V438="ns",AZ438=0,BA438=0)),1,IF(OR(AND(V438&gt;0,AZ438=2),AND(V438="ns",AZ438=2),AND(V438="ns",BA438=0,AZ438&gt;0),V438=BA438),0,1))))</f>
        <v>0</v>
      </c>
      <c r="BC438">
        <f t="shared" ref="BC438:BC501" si="209">COUNTIF(Z438:AA438,"NS")</f>
        <v>0</v>
      </c>
      <c r="BD438">
        <f t="shared" ref="BD438:BD501" si="210">SUM(Z438:AA438)</f>
        <v>0</v>
      </c>
      <c r="BE438">
        <f t="shared" ref="BE438:BE501" si="211">IF(COUNTIF(Y438:AA438,"NA")=3,0,IF(COUNTA(Y438:AA438)=0,0,IF(OR(AND(Y438=0,BC438&gt;0),AND(Y438="ns",BD438&gt;0),AND(Y438="ns",BC438=0,BD438=0)),1,IF(OR(AND(Y438&gt;0,BC438=2),AND(Y438="ns",BC438=2),AND(Y438="ns",BD438=0,BC438&gt;0),Y438=BD438),0,1))))</f>
        <v>0</v>
      </c>
      <c r="BF438">
        <f t="shared" ref="BF438:BF501" si="212">COUNTIF(AC438:AD438,"NS")</f>
        <v>0</v>
      </c>
      <c r="BG438">
        <f t="shared" ref="BG438:BG501" si="213">SUM(AC438:AD438)</f>
        <v>0</v>
      </c>
      <c r="BH438">
        <f t="shared" ref="BH438:BH501" si="214">IF(COUNTIF(AB438:AD438,"NA")=3,0,IF(COUNTA(AB438:AD438)=0,0,IF(OR(AND(AB438=0,BF438&gt;0),AND(AB438="ns",BG438&gt;0),AND(AB438="ns",BF438=0,BG438=0)),1,IF(OR(AND(AB438&gt;0,BF438=2),AND(AB438="ns",BF438=2),AND(AB438="ns",BG438=0,BF438&gt;0),AB438=BG438),0,1))))</f>
        <v>0</v>
      </c>
    </row>
    <row r="439" spans="1:60" ht="15" customHeight="1">
      <c r="A439" s="206"/>
      <c r="B439" s="206"/>
      <c r="C439" s="1117" t="s">
        <v>4923</v>
      </c>
      <c r="D439" s="1136"/>
      <c r="E439" s="1136"/>
      <c r="F439" s="1118"/>
      <c r="G439" s="100"/>
      <c r="H439" s="100"/>
      <c r="I439" s="100"/>
      <c r="J439" s="100"/>
      <c r="K439" s="100"/>
      <c r="L439" s="100"/>
      <c r="M439" s="100"/>
      <c r="N439" s="100"/>
      <c r="O439" s="100"/>
      <c r="P439" s="100"/>
      <c r="Q439" s="100"/>
      <c r="R439" s="100"/>
      <c r="S439" s="100"/>
      <c r="T439" s="100"/>
      <c r="U439" s="100"/>
      <c r="V439" s="100"/>
      <c r="W439" s="100"/>
      <c r="X439" s="100"/>
      <c r="Y439" s="100"/>
      <c r="Z439" s="100"/>
      <c r="AA439" s="100"/>
      <c r="AB439" s="100"/>
      <c r="AC439" s="100"/>
      <c r="AD439" s="100"/>
      <c r="AF439"/>
      <c r="AG439"/>
      <c r="AH439"/>
      <c r="AI439"/>
      <c r="AJ439"/>
      <c r="AK439">
        <f t="shared" si="192"/>
        <v>0</v>
      </c>
      <c r="AL439">
        <f t="shared" si="193"/>
        <v>0</v>
      </c>
      <c r="AM439">
        <f t="shared" ref="AM439:AM502" si="215">IF(COUNTIF(G439:I439,"NA")=3,0,IF(COUNTA(G439:I439)=0,0,IF(OR(AND(G439=0,AK439&gt;0),AND(G439="ns",AL439&gt;0),AND(G439="ns",AK439=0,AL439=0)),1,IF(OR(AND(G439&gt;0,AK439=2),AND(G439="ns",AK439=2),AND(G439="ns",AL439=0,AK439&gt;0),G439=AL439),0,1))))</f>
        <v>0</v>
      </c>
      <c r="AN439">
        <f t="shared" si="194"/>
        <v>0</v>
      </c>
      <c r="AO439">
        <f t="shared" si="195"/>
        <v>0</v>
      </c>
      <c r="AP439">
        <f t="shared" si="196"/>
        <v>0</v>
      </c>
      <c r="AQ439">
        <f t="shared" si="197"/>
        <v>0</v>
      </c>
      <c r="AR439">
        <f t="shared" si="198"/>
        <v>0</v>
      </c>
      <c r="AS439">
        <f t="shared" si="199"/>
        <v>0</v>
      </c>
      <c r="AT439">
        <f t="shared" si="200"/>
        <v>0</v>
      </c>
      <c r="AU439">
        <f t="shared" si="201"/>
        <v>0</v>
      </c>
      <c r="AV439">
        <f t="shared" si="202"/>
        <v>0</v>
      </c>
      <c r="AW439">
        <f t="shared" si="203"/>
        <v>0</v>
      </c>
      <c r="AX439">
        <f t="shared" si="204"/>
        <v>0</v>
      </c>
      <c r="AY439">
        <f t="shared" si="205"/>
        <v>0</v>
      </c>
      <c r="AZ439">
        <f t="shared" si="206"/>
        <v>0</v>
      </c>
      <c r="BA439">
        <f t="shared" si="207"/>
        <v>0</v>
      </c>
      <c r="BB439">
        <f t="shared" si="208"/>
        <v>0</v>
      </c>
      <c r="BC439">
        <f t="shared" si="209"/>
        <v>0</v>
      </c>
      <c r="BD439">
        <f t="shared" si="210"/>
        <v>0</v>
      </c>
      <c r="BE439">
        <f t="shared" si="211"/>
        <v>0</v>
      </c>
      <c r="BF439">
        <f t="shared" si="212"/>
        <v>0</v>
      </c>
      <c r="BG439">
        <f t="shared" si="213"/>
        <v>0</v>
      </c>
      <c r="BH439">
        <f t="shared" si="214"/>
        <v>0</v>
      </c>
    </row>
    <row r="440" spans="1:60" ht="15" customHeight="1">
      <c r="A440" s="206"/>
      <c r="B440" s="206"/>
      <c r="C440" s="1117" t="s">
        <v>4925</v>
      </c>
      <c r="D440" s="1136"/>
      <c r="E440" s="1136"/>
      <c r="F440" s="1118"/>
      <c r="G440" s="100"/>
      <c r="H440" s="100"/>
      <c r="I440" s="100"/>
      <c r="J440" s="100"/>
      <c r="K440" s="100"/>
      <c r="L440" s="100"/>
      <c r="M440" s="100"/>
      <c r="N440" s="100"/>
      <c r="O440" s="100"/>
      <c r="P440" s="100"/>
      <c r="Q440" s="100"/>
      <c r="R440" s="100"/>
      <c r="S440" s="100"/>
      <c r="T440" s="100"/>
      <c r="U440" s="100"/>
      <c r="V440" s="100"/>
      <c r="W440" s="100"/>
      <c r="X440" s="100"/>
      <c r="Y440" s="100"/>
      <c r="Z440" s="100"/>
      <c r="AA440" s="100"/>
      <c r="AB440" s="100"/>
      <c r="AC440" s="100"/>
      <c r="AD440" s="100"/>
      <c r="AF440"/>
      <c r="AG440"/>
      <c r="AH440"/>
      <c r="AI440"/>
      <c r="AJ440"/>
      <c r="AK440">
        <f t="shared" si="192"/>
        <v>0</v>
      </c>
      <c r="AL440">
        <f t="shared" si="193"/>
        <v>0</v>
      </c>
      <c r="AM440">
        <f t="shared" si="215"/>
        <v>0</v>
      </c>
      <c r="AN440">
        <f t="shared" si="194"/>
        <v>0</v>
      </c>
      <c r="AO440">
        <f t="shared" si="195"/>
        <v>0</v>
      </c>
      <c r="AP440">
        <f t="shared" si="196"/>
        <v>0</v>
      </c>
      <c r="AQ440">
        <f t="shared" si="197"/>
        <v>0</v>
      </c>
      <c r="AR440">
        <f t="shared" si="198"/>
        <v>0</v>
      </c>
      <c r="AS440">
        <f t="shared" si="199"/>
        <v>0</v>
      </c>
      <c r="AT440">
        <f t="shared" si="200"/>
        <v>0</v>
      </c>
      <c r="AU440">
        <f t="shared" si="201"/>
        <v>0</v>
      </c>
      <c r="AV440">
        <f t="shared" si="202"/>
        <v>0</v>
      </c>
      <c r="AW440">
        <f t="shared" si="203"/>
        <v>0</v>
      </c>
      <c r="AX440">
        <f t="shared" si="204"/>
        <v>0</v>
      </c>
      <c r="AY440">
        <f t="shared" si="205"/>
        <v>0</v>
      </c>
      <c r="AZ440">
        <f t="shared" si="206"/>
        <v>0</v>
      </c>
      <c r="BA440">
        <f t="shared" si="207"/>
        <v>0</v>
      </c>
      <c r="BB440">
        <f t="shared" si="208"/>
        <v>0</v>
      </c>
      <c r="BC440">
        <f t="shared" si="209"/>
        <v>0</v>
      </c>
      <c r="BD440">
        <f t="shared" si="210"/>
        <v>0</v>
      </c>
      <c r="BE440">
        <f t="shared" si="211"/>
        <v>0</v>
      </c>
      <c r="BF440">
        <f t="shared" si="212"/>
        <v>0</v>
      </c>
      <c r="BG440">
        <f t="shared" si="213"/>
        <v>0</v>
      </c>
      <c r="BH440">
        <f t="shared" si="214"/>
        <v>0</v>
      </c>
    </row>
    <row r="441" spans="1:60" ht="15" customHeight="1">
      <c r="A441" s="206"/>
      <c r="B441" s="206"/>
      <c r="C441" s="1117" t="s">
        <v>4929</v>
      </c>
      <c r="D441" s="1136"/>
      <c r="E441" s="1136"/>
      <c r="F441" s="1118"/>
      <c r="G441" s="100"/>
      <c r="H441" s="100"/>
      <c r="I441" s="100"/>
      <c r="J441" s="100"/>
      <c r="K441" s="100"/>
      <c r="L441" s="100"/>
      <c r="M441" s="100"/>
      <c r="N441" s="100"/>
      <c r="O441" s="100"/>
      <c r="P441" s="100"/>
      <c r="Q441" s="100"/>
      <c r="R441" s="100"/>
      <c r="S441" s="100"/>
      <c r="T441" s="100"/>
      <c r="U441" s="100"/>
      <c r="V441" s="100"/>
      <c r="W441" s="100"/>
      <c r="X441" s="100"/>
      <c r="Y441" s="100"/>
      <c r="Z441" s="100"/>
      <c r="AA441" s="100"/>
      <c r="AB441" s="100"/>
      <c r="AC441" s="100"/>
      <c r="AD441" s="100"/>
      <c r="AF441"/>
      <c r="AG441"/>
      <c r="AH441"/>
      <c r="AI441"/>
      <c r="AJ441"/>
      <c r="AK441">
        <f t="shared" si="192"/>
        <v>0</v>
      </c>
      <c r="AL441">
        <f t="shared" si="193"/>
        <v>0</v>
      </c>
      <c r="AM441">
        <f t="shared" si="215"/>
        <v>0</v>
      </c>
      <c r="AN441">
        <f t="shared" si="194"/>
        <v>0</v>
      </c>
      <c r="AO441">
        <f t="shared" si="195"/>
        <v>0</v>
      </c>
      <c r="AP441">
        <f t="shared" si="196"/>
        <v>0</v>
      </c>
      <c r="AQ441">
        <f t="shared" si="197"/>
        <v>0</v>
      </c>
      <c r="AR441">
        <f t="shared" si="198"/>
        <v>0</v>
      </c>
      <c r="AS441">
        <f t="shared" si="199"/>
        <v>0</v>
      </c>
      <c r="AT441">
        <f t="shared" si="200"/>
        <v>0</v>
      </c>
      <c r="AU441">
        <f t="shared" si="201"/>
        <v>0</v>
      </c>
      <c r="AV441">
        <f t="shared" si="202"/>
        <v>0</v>
      </c>
      <c r="AW441">
        <f t="shared" si="203"/>
        <v>0</v>
      </c>
      <c r="AX441">
        <f t="shared" si="204"/>
        <v>0</v>
      </c>
      <c r="AY441">
        <f t="shared" si="205"/>
        <v>0</v>
      </c>
      <c r="AZ441">
        <f t="shared" si="206"/>
        <v>0</v>
      </c>
      <c r="BA441">
        <f t="shared" si="207"/>
        <v>0</v>
      </c>
      <c r="BB441">
        <f t="shared" si="208"/>
        <v>0</v>
      </c>
      <c r="BC441">
        <f t="shared" si="209"/>
        <v>0</v>
      </c>
      <c r="BD441">
        <f t="shared" si="210"/>
        <v>0</v>
      </c>
      <c r="BE441">
        <f t="shared" si="211"/>
        <v>0</v>
      </c>
      <c r="BF441">
        <f t="shared" si="212"/>
        <v>0</v>
      </c>
      <c r="BG441">
        <f t="shared" si="213"/>
        <v>0</v>
      </c>
      <c r="BH441">
        <f t="shared" si="214"/>
        <v>0</v>
      </c>
    </row>
    <row r="442" spans="1:60" ht="15" customHeight="1">
      <c r="A442" s="206"/>
      <c r="B442" s="201"/>
      <c r="C442" s="1119" t="s">
        <v>4931</v>
      </c>
      <c r="D442" s="1121"/>
      <c r="E442" s="1121"/>
      <c r="F442" s="1120"/>
      <c r="G442" s="100"/>
      <c r="H442" s="100"/>
      <c r="I442" s="100"/>
      <c r="J442" s="100"/>
      <c r="K442" s="100"/>
      <c r="L442" s="100"/>
      <c r="M442" s="100"/>
      <c r="N442" s="100"/>
      <c r="O442" s="100"/>
      <c r="P442" s="100"/>
      <c r="Q442" s="100"/>
      <c r="R442" s="100"/>
      <c r="S442" s="100"/>
      <c r="T442" s="100"/>
      <c r="U442" s="100"/>
      <c r="V442" s="100"/>
      <c r="W442" s="100"/>
      <c r="X442" s="100"/>
      <c r="Y442" s="100"/>
      <c r="Z442" s="100"/>
      <c r="AA442" s="100"/>
      <c r="AB442" s="100"/>
      <c r="AC442" s="100"/>
      <c r="AD442" s="100"/>
      <c r="AF442"/>
      <c r="AG442"/>
      <c r="AH442"/>
      <c r="AI442"/>
      <c r="AJ442"/>
      <c r="AK442">
        <f t="shared" si="192"/>
        <v>0</v>
      </c>
      <c r="AL442">
        <f t="shared" si="193"/>
        <v>0</v>
      </c>
      <c r="AM442">
        <f t="shared" si="215"/>
        <v>0</v>
      </c>
      <c r="AN442">
        <f t="shared" si="194"/>
        <v>0</v>
      </c>
      <c r="AO442">
        <f t="shared" si="195"/>
        <v>0</v>
      </c>
      <c r="AP442">
        <f t="shared" si="196"/>
        <v>0</v>
      </c>
      <c r="AQ442">
        <f t="shared" si="197"/>
        <v>0</v>
      </c>
      <c r="AR442">
        <f t="shared" si="198"/>
        <v>0</v>
      </c>
      <c r="AS442">
        <f t="shared" si="199"/>
        <v>0</v>
      </c>
      <c r="AT442">
        <f t="shared" si="200"/>
        <v>0</v>
      </c>
      <c r="AU442">
        <f t="shared" si="201"/>
        <v>0</v>
      </c>
      <c r="AV442">
        <f t="shared" si="202"/>
        <v>0</v>
      </c>
      <c r="AW442">
        <f t="shared" si="203"/>
        <v>0</v>
      </c>
      <c r="AX442">
        <f t="shared" si="204"/>
        <v>0</v>
      </c>
      <c r="AY442">
        <f t="shared" si="205"/>
        <v>0</v>
      </c>
      <c r="AZ442">
        <f t="shared" si="206"/>
        <v>0</v>
      </c>
      <c r="BA442">
        <f t="shared" si="207"/>
        <v>0</v>
      </c>
      <c r="BB442">
        <f t="shared" si="208"/>
        <v>0</v>
      </c>
      <c r="BC442">
        <f t="shared" si="209"/>
        <v>0</v>
      </c>
      <c r="BD442">
        <f t="shared" si="210"/>
        <v>0</v>
      </c>
      <c r="BE442">
        <f t="shared" si="211"/>
        <v>0</v>
      </c>
      <c r="BF442">
        <f t="shared" si="212"/>
        <v>0</v>
      </c>
      <c r="BG442">
        <f t="shared" si="213"/>
        <v>0</v>
      </c>
      <c r="BH442">
        <f t="shared" si="214"/>
        <v>0</v>
      </c>
    </row>
    <row r="443" spans="1:60" ht="15" customHeight="1">
      <c r="A443" s="206"/>
      <c r="B443" s="201"/>
      <c r="C443" s="1119" t="s">
        <v>4933</v>
      </c>
      <c r="D443" s="1121"/>
      <c r="E443" s="1121"/>
      <c r="F443" s="1120"/>
      <c r="G443" s="100"/>
      <c r="H443" s="100"/>
      <c r="I443" s="100"/>
      <c r="J443" s="100"/>
      <c r="K443" s="100"/>
      <c r="L443" s="100"/>
      <c r="M443" s="100"/>
      <c r="N443" s="100"/>
      <c r="O443" s="100"/>
      <c r="P443" s="100"/>
      <c r="Q443" s="100"/>
      <c r="R443" s="100"/>
      <c r="S443" s="100"/>
      <c r="T443" s="100"/>
      <c r="U443" s="100"/>
      <c r="V443" s="100"/>
      <c r="W443" s="100"/>
      <c r="X443" s="100"/>
      <c r="Y443" s="100"/>
      <c r="Z443" s="100"/>
      <c r="AA443" s="100"/>
      <c r="AB443" s="100"/>
      <c r="AC443" s="100"/>
      <c r="AD443" s="100"/>
      <c r="AF443"/>
      <c r="AG443"/>
      <c r="AH443"/>
      <c r="AI443"/>
      <c r="AJ443"/>
      <c r="AK443">
        <f t="shared" si="192"/>
        <v>0</v>
      </c>
      <c r="AL443">
        <f t="shared" si="193"/>
        <v>0</v>
      </c>
      <c r="AM443">
        <f t="shared" si="215"/>
        <v>0</v>
      </c>
      <c r="AN443">
        <f t="shared" si="194"/>
        <v>0</v>
      </c>
      <c r="AO443">
        <f t="shared" si="195"/>
        <v>0</v>
      </c>
      <c r="AP443">
        <f t="shared" si="196"/>
        <v>0</v>
      </c>
      <c r="AQ443">
        <f t="shared" si="197"/>
        <v>0</v>
      </c>
      <c r="AR443">
        <f t="shared" si="198"/>
        <v>0</v>
      </c>
      <c r="AS443">
        <f t="shared" si="199"/>
        <v>0</v>
      </c>
      <c r="AT443">
        <f t="shared" si="200"/>
        <v>0</v>
      </c>
      <c r="AU443">
        <f t="shared" si="201"/>
        <v>0</v>
      </c>
      <c r="AV443">
        <f t="shared" si="202"/>
        <v>0</v>
      </c>
      <c r="AW443">
        <f t="shared" si="203"/>
        <v>0</v>
      </c>
      <c r="AX443">
        <f t="shared" si="204"/>
        <v>0</v>
      </c>
      <c r="AY443">
        <f t="shared" si="205"/>
        <v>0</v>
      </c>
      <c r="AZ443">
        <f t="shared" si="206"/>
        <v>0</v>
      </c>
      <c r="BA443">
        <f t="shared" si="207"/>
        <v>0</v>
      </c>
      <c r="BB443">
        <f t="shared" si="208"/>
        <v>0</v>
      </c>
      <c r="BC443">
        <f t="shared" si="209"/>
        <v>0</v>
      </c>
      <c r="BD443">
        <f t="shared" si="210"/>
        <v>0</v>
      </c>
      <c r="BE443">
        <f t="shared" si="211"/>
        <v>0</v>
      </c>
      <c r="BF443">
        <f t="shared" si="212"/>
        <v>0</v>
      </c>
      <c r="BG443">
        <f t="shared" si="213"/>
        <v>0</v>
      </c>
      <c r="BH443">
        <f t="shared" si="214"/>
        <v>0</v>
      </c>
    </row>
    <row r="444" spans="1:60" ht="15" customHeight="1">
      <c r="A444" s="206"/>
      <c r="B444" s="201"/>
      <c r="C444" s="1119" t="s">
        <v>4935</v>
      </c>
      <c r="D444" s="1121"/>
      <c r="E444" s="1121"/>
      <c r="F444" s="1120"/>
      <c r="G444" s="100"/>
      <c r="H444" s="100"/>
      <c r="I444" s="100"/>
      <c r="J444" s="100"/>
      <c r="K444" s="100"/>
      <c r="L444" s="100"/>
      <c r="M444" s="100"/>
      <c r="N444" s="100"/>
      <c r="O444" s="100"/>
      <c r="P444" s="100"/>
      <c r="Q444" s="100"/>
      <c r="R444" s="100"/>
      <c r="S444" s="100"/>
      <c r="T444" s="100"/>
      <c r="U444" s="100"/>
      <c r="V444" s="100"/>
      <c r="W444" s="100"/>
      <c r="X444" s="100"/>
      <c r="Y444" s="100"/>
      <c r="Z444" s="100"/>
      <c r="AA444" s="100"/>
      <c r="AB444" s="100"/>
      <c r="AC444" s="100"/>
      <c r="AD444" s="100"/>
      <c r="AF444"/>
      <c r="AG444"/>
      <c r="AH444"/>
      <c r="AI444"/>
      <c r="AJ444"/>
      <c r="AK444">
        <f t="shared" si="192"/>
        <v>0</v>
      </c>
      <c r="AL444">
        <f t="shared" si="193"/>
        <v>0</v>
      </c>
      <c r="AM444">
        <f t="shared" si="215"/>
        <v>0</v>
      </c>
      <c r="AN444">
        <f t="shared" si="194"/>
        <v>0</v>
      </c>
      <c r="AO444">
        <f t="shared" si="195"/>
        <v>0</v>
      </c>
      <c r="AP444">
        <f t="shared" si="196"/>
        <v>0</v>
      </c>
      <c r="AQ444">
        <f t="shared" si="197"/>
        <v>0</v>
      </c>
      <c r="AR444">
        <f t="shared" si="198"/>
        <v>0</v>
      </c>
      <c r="AS444">
        <f t="shared" si="199"/>
        <v>0</v>
      </c>
      <c r="AT444">
        <f t="shared" si="200"/>
        <v>0</v>
      </c>
      <c r="AU444">
        <f t="shared" si="201"/>
        <v>0</v>
      </c>
      <c r="AV444">
        <f t="shared" si="202"/>
        <v>0</v>
      </c>
      <c r="AW444">
        <f t="shared" si="203"/>
        <v>0</v>
      </c>
      <c r="AX444">
        <f t="shared" si="204"/>
        <v>0</v>
      </c>
      <c r="AY444">
        <f t="shared" si="205"/>
        <v>0</v>
      </c>
      <c r="AZ444">
        <f t="shared" si="206"/>
        <v>0</v>
      </c>
      <c r="BA444">
        <f t="shared" si="207"/>
        <v>0</v>
      </c>
      <c r="BB444">
        <f t="shared" si="208"/>
        <v>0</v>
      </c>
      <c r="BC444">
        <f t="shared" si="209"/>
        <v>0</v>
      </c>
      <c r="BD444">
        <f t="shared" si="210"/>
        <v>0</v>
      </c>
      <c r="BE444">
        <f t="shared" si="211"/>
        <v>0</v>
      </c>
      <c r="BF444">
        <f t="shared" si="212"/>
        <v>0</v>
      </c>
      <c r="BG444">
        <f t="shared" si="213"/>
        <v>0</v>
      </c>
      <c r="BH444">
        <f t="shared" si="214"/>
        <v>0</v>
      </c>
    </row>
    <row r="445" spans="1:60" ht="15" customHeight="1">
      <c r="A445" s="206"/>
      <c r="B445" s="201"/>
      <c r="C445" s="1119" t="s">
        <v>4937</v>
      </c>
      <c r="D445" s="1121"/>
      <c r="E445" s="1121"/>
      <c r="F445" s="1120"/>
      <c r="G445" s="100"/>
      <c r="H445" s="100"/>
      <c r="I445" s="100"/>
      <c r="J445" s="100"/>
      <c r="K445" s="100"/>
      <c r="L445" s="100"/>
      <c r="M445" s="100"/>
      <c r="N445" s="100"/>
      <c r="O445" s="100"/>
      <c r="P445" s="100"/>
      <c r="Q445" s="100"/>
      <c r="R445" s="100"/>
      <c r="S445" s="100"/>
      <c r="T445" s="100"/>
      <c r="U445" s="100"/>
      <c r="V445" s="100"/>
      <c r="W445" s="100"/>
      <c r="X445" s="100"/>
      <c r="Y445" s="100"/>
      <c r="Z445" s="100"/>
      <c r="AA445" s="100"/>
      <c r="AB445" s="100"/>
      <c r="AC445" s="100"/>
      <c r="AD445" s="100"/>
      <c r="AF445"/>
      <c r="AG445"/>
      <c r="AH445"/>
      <c r="AI445"/>
      <c r="AJ445"/>
      <c r="AK445">
        <f t="shared" si="192"/>
        <v>0</v>
      </c>
      <c r="AL445">
        <f t="shared" si="193"/>
        <v>0</v>
      </c>
      <c r="AM445">
        <f t="shared" si="215"/>
        <v>0</v>
      </c>
      <c r="AN445">
        <f t="shared" si="194"/>
        <v>0</v>
      </c>
      <c r="AO445">
        <f t="shared" si="195"/>
        <v>0</v>
      </c>
      <c r="AP445">
        <f t="shared" si="196"/>
        <v>0</v>
      </c>
      <c r="AQ445">
        <f t="shared" si="197"/>
        <v>0</v>
      </c>
      <c r="AR445">
        <f t="shared" si="198"/>
        <v>0</v>
      </c>
      <c r="AS445">
        <f t="shared" si="199"/>
        <v>0</v>
      </c>
      <c r="AT445">
        <f t="shared" si="200"/>
        <v>0</v>
      </c>
      <c r="AU445">
        <f t="shared" si="201"/>
        <v>0</v>
      </c>
      <c r="AV445">
        <f t="shared" si="202"/>
        <v>0</v>
      </c>
      <c r="AW445">
        <f t="shared" si="203"/>
        <v>0</v>
      </c>
      <c r="AX445">
        <f t="shared" si="204"/>
        <v>0</v>
      </c>
      <c r="AY445">
        <f t="shared" si="205"/>
        <v>0</v>
      </c>
      <c r="AZ445">
        <f t="shared" si="206"/>
        <v>0</v>
      </c>
      <c r="BA445">
        <f t="shared" si="207"/>
        <v>0</v>
      </c>
      <c r="BB445">
        <f t="shared" si="208"/>
        <v>0</v>
      </c>
      <c r="BC445">
        <f t="shared" si="209"/>
        <v>0</v>
      </c>
      <c r="BD445">
        <f t="shared" si="210"/>
        <v>0</v>
      </c>
      <c r="BE445">
        <f t="shared" si="211"/>
        <v>0</v>
      </c>
      <c r="BF445">
        <f t="shared" si="212"/>
        <v>0</v>
      </c>
      <c r="BG445">
        <f t="shared" si="213"/>
        <v>0</v>
      </c>
      <c r="BH445">
        <f t="shared" si="214"/>
        <v>0</v>
      </c>
    </row>
    <row r="446" spans="1:60" ht="15" customHeight="1">
      <c r="A446" s="206"/>
      <c r="B446" s="201"/>
      <c r="C446" s="1119" t="s">
        <v>4939</v>
      </c>
      <c r="D446" s="1121"/>
      <c r="E446" s="1121"/>
      <c r="F446" s="1120"/>
      <c r="G446" s="100"/>
      <c r="H446" s="100"/>
      <c r="I446" s="100"/>
      <c r="J446" s="100"/>
      <c r="K446" s="100"/>
      <c r="L446" s="100"/>
      <c r="M446" s="100"/>
      <c r="N446" s="100"/>
      <c r="O446" s="100"/>
      <c r="P446" s="100"/>
      <c r="Q446" s="100"/>
      <c r="R446" s="100"/>
      <c r="S446" s="100"/>
      <c r="T446" s="100"/>
      <c r="U446" s="100"/>
      <c r="V446" s="100"/>
      <c r="W446" s="100"/>
      <c r="X446" s="100"/>
      <c r="Y446" s="100"/>
      <c r="Z446" s="100"/>
      <c r="AA446" s="100"/>
      <c r="AB446" s="100"/>
      <c r="AC446" s="100"/>
      <c r="AD446" s="100"/>
      <c r="AF446"/>
      <c r="AG446"/>
      <c r="AH446"/>
      <c r="AI446"/>
      <c r="AJ446"/>
      <c r="AK446">
        <f t="shared" si="192"/>
        <v>0</v>
      </c>
      <c r="AL446">
        <f t="shared" si="193"/>
        <v>0</v>
      </c>
      <c r="AM446">
        <f t="shared" si="215"/>
        <v>0</v>
      </c>
      <c r="AN446">
        <f t="shared" si="194"/>
        <v>0</v>
      </c>
      <c r="AO446">
        <f t="shared" si="195"/>
        <v>0</v>
      </c>
      <c r="AP446">
        <f t="shared" si="196"/>
        <v>0</v>
      </c>
      <c r="AQ446">
        <f t="shared" si="197"/>
        <v>0</v>
      </c>
      <c r="AR446">
        <f t="shared" si="198"/>
        <v>0</v>
      </c>
      <c r="AS446">
        <f t="shared" si="199"/>
        <v>0</v>
      </c>
      <c r="AT446">
        <f t="shared" si="200"/>
        <v>0</v>
      </c>
      <c r="AU446">
        <f t="shared" si="201"/>
        <v>0</v>
      </c>
      <c r="AV446">
        <f t="shared" si="202"/>
        <v>0</v>
      </c>
      <c r="AW446">
        <f t="shared" si="203"/>
        <v>0</v>
      </c>
      <c r="AX446">
        <f t="shared" si="204"/>
        <v>0</v>
      </c>
      <c r="AY446">
        <f t="shared" si="205"/>
        <v>0</v>
      </c>
      <c r="AZ446">
        <f t="shared" si="206"/>
        <v>0</v>
      </c>
      <c r="BA446">
        <f t="shared" si="207"/>
        <v>0</v>
      </c>
      <c r="BB446">
        <f t="shared" si="208"/>
        <v>0</v>
      </c>
      <c r="BC446">
        <f t="shared" si="209"/>
        <v>0</v>
      </c>
      <c r="BD446">
        <f t="shared" si="210"/>
        <v>0</v>
      </c>
      <c r="BE446">
        <f t="shared" si="211"/>
        <v>0</v>
      </c>
      <c r="BF446">
        <f t="shared" si="212"/>
        <v>0</v>
      </c>
      <c r="BG446">
        <f t="shared" si="213"/>
        <v>0</v>
      </c>
      <c r="BH446">
        <f t="shared" si="214"/>
        <v>0</v>
      </c>
    </row>
    <row r="447" spans="1:60" ht="15" customHeight="1">
      <c r="A447" s="206"/>
      <c r="B447" s="201"/>
      <c r="C447" s="1119" t="s">
        <v>4941</v>
      </c>
      <c r="D447" s="1121"/>
      <c r="E447" s="1121"/>
      <c r="F447" s="1120"/>
      <c r="G447" s="100"/>
      <c r="H447" s="100"/>
      <c r="I447" s="100"/>
      <c r="J447" s="100"/>
      <c r="K447" s="100"/>
      <c r="L447" s="100"/>
      <c r="M447" s="100"/>
      <c r="N447" s="100"/>
      <c r="O447" s="100"/>
      <c r="P447" s="100"/>
      <c r="Q447" s="100"/>
      <c r="R447" s="100"/>
      <c r="S447" s="100"/>
      <c r="T447" s="100"/>
      <c r="U447" s="100"/>
      <c r="V447" s="100"/>
      <c r="W447" s="100"/>
      <c r="X447" s="100"/>
      <c r="Y447" s="100"/>
      <c r="Z447" s="100"/>
      <c r="AA447" s="100"/>
      <c r="AB447" s="100"/>
      <c r="AC447" s="100"/>
      <c r="AD447" s="100"/>
      <c r="AF447"/>
      <c r="AG447"/>
      <c r="AH447"/>
      <c r="AI447"/>
      <c r="AJ447"/>
      <c r="AK447">
        <f t="shared" si="192"/>
        <v>0</v>
      </c>
      <c r="AL447">
        <f t="shared" si="193"/>
        <v>0</v>
      </c>
      <c r="AM447">
        <f t="shared" si="215"/>
        <v>0</v>
      </c>
      <c r="AN447">
        <f t="shared" si="194"/>
        <v>0</v>
      </c>
      <c r="AO447">
        <f t="shared" si="195"/>
        <v>0</v>
      </c>
      <c r="AP447">
        <f t="shared" si="196"/>
        <v>0</v>
      </c>
      <c r="AQ447">
        <f t="shared" si="197"/>
        <v>0</v>
      </c>
      <c r="AR447">
        <f t="shared" si="198"/>
        <v>0</v>
      </c>
      <c r="AS447">
        <f t="shared" si="199"/>
        <v>0</v>
      </c>
      <c r="AT447">
        <f t="shared" si="200"/>
        <v>0</v>
      </c>
      <c r="AU447">
        <f t="shared" si="201"/>
        <v>0</v>
      </c>
      <c r="AV447">
        <f t="shared" si="202"/>
        <v>0</v>
      </c>
      <c r="AW447">
        <f t="shared" si="203"/>
        <v>0</v>
      </c>
      <c r="AX447">
        <f t="shared" si="204"/>
        <v>0</v>
      </c>
      <c r="AY447">
        <f t="shared" si="205"/>
        <v>0</v>
      </c>
      <c r="AZ447">
        <f t="shared" si="206"/>
        <v>0</v>
      </c>
      <c r="BA447">
        <f t="shared" si="207"/>
        <v>0</v>
      </c>
      <c r="BB447">
        <f t="shared" si="208"/>
        <v>0</v>
      </c>
      <c r="BC447">
        <f t="shared" si="209"/>
        <v>0</v>
      </c>
      <c r="BD447">
        <f t="shared" si="210"/>
        <v>0</v>
      </c>
      <c r="BE447">
        <f t="shared" si="211"/>
        <v>0</v>
      </c>
      <c r="BF447">
        <f t="shared" si="212"/>
        <v>0</v>
      </c>
      <c r="BG447">
        <f t="shared" si="213"/>
        <v>0</v>
      </c>
      <c r="BH447">
        <f t="shared" si="214"/>
        <v>0</v>
      </c>
    </row>
    <row r="448" spans="1:60" ht="15" customHeight="1">
      <c r="A448" s="206"/>
      <c r="B448" s="201"/>
      <c r="C448" s="1119" t="s">
        <v>4943</v>
      </c>
      <c r="D448" s="1121"/>
      <c r="E448" s="1121"/>
      <c r="F448" s="1120"/>
      <c r="G448" s="100"/>
      <c r="H448" s="100"/>
      <c r="I448" s="100"/>
      <c r="J448" s="100"/>
      <c r="K448" s="100"/>
      <c r="L448" s="100"/>
      <c r="M448" s="100"/>
      <c r="N448" s="100"/>
      <c r="O448" s="100"/>
      <c r="P448" s="100"/>
      <c r="Q448" s="100"/>
      <c r="R448" s="100"/>
      <c r="S448" s="100"/>
      <c r="T448" s="100"/>
      <c r="U448" s="100"/>
      <c r="V448" s="100"/>
      <c r="W448" s="100"/>
      <c r="X448" s="100"/>
      <c r="Y448" s="100"/>
      <c r="Z448" s="100"/>
      <c r="AA448" s="100"/>
      <c r="AB448" s="100"/>
      <c r="AC448" s="100"/>
      <c r="AD448" s="100"/>
      <c r="AF448"/>
      <c r="AG448"/>
      <c r="AH448"/>
      <c r="AI448"/>
      <c r="AJ448"/>
      <c r="AK448">
        <f t="shared" si="192"/>
        <v>0</v>
      </c>
      <c r="AL448">
        <f t="shared" si="193"/>
        <v>0</v>
      </c>
      <c r="AM448">
        <f t="shared" si="215"/>
        <v>0</v>
      </c>
      <c r="AN448">
        <f t="shared" si="194"/>
        <v>0</v>
      </c>
      <c r="AO448">
        <f t="shared" si="195"/>
        <v>0</v>
      </c>
      <c r="AP448">
        <f t="shared" si="196"/>
        <v>0</v>
      </c>
      <c r="AQ448">
        <f t="shared" si="197"/>
        <v>0</v>
      </c>
      <c r="AR448">
        <f t="shared" si="198"/>
        <v>0</v>
      </c>
      <c r="AS448">
        <f t="shared" si="199"/>
        <v>0</v>
      </c>
      <c r="AT448">
        <f t="shared" si="200"/>
        <v>0</v>
      </c>
      <c r="AU448">
        <f t="shared" si="201"/>
        <v>0</v>
      </c>
      <c r="AV448">
        <f t="shared" si="202"/>
        <v>0</v>
      </c>
      <c r="AW448">
        <f t="shared" si="203"/>
        <v>0</v>
      </c>
      <c r="AX448">
        <f t="shared" si="204"/>
        <v>0</v>
      </c>
      <c r="AY448">
        <f t="shared" si="205"/>
        <v>0</v>
      </c>
      <c r="AZ448">
        <f t="shared" si="206"/>
        <v>0</v>
      </c>
      <c r="BA448">
        <f t="shared" si="207"/>
        <v>0</v>
      </c>
      <c r="BB448">
        <f t="shared" si="208"/>
        <v>0</v>
      </c>
      <c r="BC448">
        <f t="shared" si="209"/>
        <v>0</v>
      </c>
      <c r="BD448">
        <f t="shared" si="210"/>
        <v>0</v>
      </c>
      <c r="BE448">
        <f t="shared" si="211"/>
        <v>0</v>
      </c>
      <c r="BF448">
        <f t="shared" si="212"/>
        <v>0</v>
      </c>
      <c r="BG448">
        <f t="shared" si="213"/>
        <v>0</v>
      </c>
      <c r="BH448">
        <f t="shared" si="214"/>
        <v>0</v>
      </c>
    </row>
    <row r="449" spans="1:60" ht="15" customHeight="1">
      <c r="A449" s="206"/>
      <c r="B449" s="206"/>
      <c r="C449" s="1117" t="s">
        <v>4944</v>
      </c>
      <c r="D449" s="1136"/>
      <c r="E449" s="1136"/>
      <c r="F449" s="1118"/>
      <c r="G449" s="100"/>
      <c r="H449" s="100"/>
      <c r="I449" s="100"/>
      <c r="J449" s="100"/>
      <c r="K449" s="100"/>
      <c r="L449" s="100"/>
      <c r="M449" s="100"/>
      <c r="N449" s="100"/>
      <c r="O449" s="100"/>
      <c r="P449" s="100"/>
      <c r="Q449" s="100"/>
      <c r="R449" s="100"/>
      <c r="S449" s="100"/>
      <c r="T449" s="100"/>
      <c r="U449" s="100"/>
      <c r="V449" s="100"/>
      <c r="W449" s="100"/>
      <c r="X449" s="100"/>
      <c r="Y449" s="100"/>
      <c r="Z449" s="100"/>
      <c r="AA449" s="100"/>
      <c r="AB449" s="100"/>
      <c r="AC449" s="100"/>
      <c r="AD449" s="100"/>
      <c r="AF449"/>
      <c r="AG449"/>
      <c r="AH449"/>
      <c r="AI449"/>
      <c r="AJ449"/>
      <c r="AK449">
        <f t="shared" si="192"/>
        <v>0</v>
      </c>
      <c r="AL449">
        <f t="shared" si="193"/>
        <v>0</v>
      </c>
      <c r="AM449">
        <f t="shared" si="215"/>
        <v>0</v>
      </c>
      <c r="AN449">
        <f t="shared" si="194"/>
        <v>0</v>
      </c>
      <c r="AO449">
        <f t="shared" si="195"/>
        <v>0</v>
      </c>
      <c r="AP449">
        <f t="shared" si="196"/>
        <v>0</v>
      </c>
      <c r="AQ449">
        <f t="shared" si="197"/>
        <v>0</v>
      </c>
      <c r="AR449">
        <f t="shared" si="198"/>
        <v>0</v>
      </c>
      <c r="AS449">
        <f t="shared" si="199"/>
        <v>0</v>
      </c>
      <c r="AT449">
        <f t="shared" si="200"/>
        <v>0</v>
      </c>
      <c r="AU449">
        <f t="shared" si="201"/>
        <v>0</v>
      </c>
      <c r="AV449">
        <f t="shared" si="202"/>
        <v>0</v>
      </c>
      <c r="AW449">
        <f t="shared" si="203"/>
        <v>0</v>
      </c>
      <c r="AX449">
        <f t="shared" si="204"/>
        <v>0</v>
      </c>
      <c r="AY449">
        <f t="shared" si="205"/>
        <v>0</v>
      </c>
      <c r="AZ449">
        <f t="shared" si="206"/>
        <v>0</v>
      </c>
      <c r="BA449">
        <f t="shared" si="207"/>
        <v>0</v>
      </c>
      <c r="BB449">
        <f t="shared" si="208"/>
        <v>0</v>
      </c>
      <c r="BC449">
        <f t="shared" si="209"/>
        <v>0</v>
      </c>
      <c r="BD449">
        <f t="shared" si="210"/>
        <v>0</v>
      </c>
      <c r="BE449">
        <f t="shared" si="211"/>
        <v>0</v>
      </c>
      <c r="BF449">
        <f t="shared" si="212"/>
        <v>0</v>
      </c>
      <c r="BG449">
        <f t="shared" si="213"/>
        <v>0</v>
      </c>
      <c r="BH449">
        <f t="shared" si="214"/>
        <v>0</v>
      </c>
    </row>
    <row r="450" spans="1:60" ht="15" customHeight="1">
      <c r="A450" s="206"/>
      <c r="B450" s="201"/>
      <c r="C450" s="1119" t="s">
        <v>4946</v>
      </c>
      <c r="D450" s="1121"/>
      <c r="E450" s="1121"/>
      <c r="F450" s="1120"/>
      <c r="G450" s="100"/>
      <c r="H450" s="100"/>
      <c r="I450" s="100"/>
      <c r="J450" s="100"/>
      <c r="K450" s="100"/>
      <c r="L450" s="100"/>
      <c r="M450" s="100"/>
      <c r="N450" s="100"/>
      <c r="O450" s="100"/>
      <c r="P450" s="100"/>
      <c r="Q450" s="100"/>
      <c r="R450" s="100"/>
      <c r="S450" s="100"/>
      <c r="T450" s="100"/>
      <c r="U450" s="100"/>
      <c r="V450" s="100"/>
      <c r="W450" s="100"/>
      <c r="X450" s="100"/>
      <c r="Y450" s="100"/>
      <c r="Z450" s="100"/>
      <c r="AA450" s="100"/>
      <c r="AB450" s="100"/>
      <c r="AC450" s="100"/>
      <c r="AD450" s="100"/>
      <c r="AF450"/>
      <c r="AG450"/>
      <c r="AH450"/>
      <c r="AI450"/>
      <c r="AJ450"/>
      <c r="AK450">
        <f t="shared" si="192"/>
        <v>0</v>
      </c>
      <c r="AL450">
        <f t="shared" si="193"/>
        <v>0</v>
      </c>
      <c r="AM450">
        <f t="shared" si="215"/>
        <v>0</v>
      </c>
      <c r="AN450">
        <f t="shared" si="194"/>
        <v>0</v>
      </c>
      <c r="AO450">
        <f t="shared" si="195"/>
        <v>0</v>
      </c>
      <c r="AP450">
        <f t="shared" si="196"/>
        <v>0</v>
      </c>
      <c r="AQ450">
        <f t="shared" si="197"/>
        <v>0</v>
      </c>
      <c r="AR450">
        <f t="shared" si="198"/>
        <v>0</v>
      </c>
      <c r="AS450">
        <f t="shared" si="199"/>
        <v>0</v>
      </c>
      <c r="AT450">
        <f t="shared" si="200"/>
        <v>0</v>
      </c>
      <c r="AU450">
        <f t="shared" si="201"/>
        <v>0</v>
      </c>
      <c r="AV450">
        <f t="shared" si="202"/>
        <v>0</v>
      </c>
      <c r="AW450">
        <f t="shared" si="203"/>
        <v>0</v>
      </c>
      <c r="AX450">
        <f t="shared" si="204"/>
        <v>0</v>
      </c>
      <c r="AY450">
        <f t="shared" si="205"/>
        <v>0</v>
      </c>
      <c r="AZ450">
        <f t="shared" si="206"/>
        <v>0</v>
      </c>
      <c r="BA450">
        <f t="shared" si="207"/>
        <v>0</v>
      </c>
      <c r="BB450">
        <f t="shared" si="208"/>
        <v>0</v>
      </c>
      <c r="BC450">
        <f t="shared" si="209"/>
        <v>0</v>
      </c>
      <c r="BD450">
        <f t="shared" si="210"/>
        <v>0</v>
      </c>
      <c r="BE450">
        <f t="shared" si="211"/>
        <v>0</v>
      </c>
      <c r="BF450">
        <f t="shared" si="212"/>
        <v>0</v>
      </c>
      <c r="BG450">
        <f t="shared" si="213"/>
        <v>0</v>
      </c>
      <c r="BH450">
        <f t="shared" si="214"/>
        <v>0</v>
      </c>
    </row>
    <row r="451" spans="1:60" ht="15" customHeight="1">
      <c r="A451" s="206"/>
      <c r="B451" s="201"/>
      <c r="C451" s="1119" t="s">
        <v>4948</v>
      </c>
      <c r="D451" s="1121"/>
      <c r="E451" s="1121"/>
      <c r="F451" s="1120"/>
      <c r="G451" s="100"/>
      <c r="H451" s="100"/>
      <c r="I451" s="100"/>
      <c r="J451" s="100"/>
      <c r="K451" s="100"/>
      <c r="L451" s="100"/>
      <c r="M451" s="100"/>
      <c r="N451" s="100"/>
      <c r="O451" s="100"/>
      <c r="P451" s="100"/>
      <c r="Q451" s="100"/>
      <c r="R451" s="100"/>
      <c r="S451" s="100"/>
      <c r="T451" s="100"/>
      <c r="U451" s="100"/>
      <c r="V451" s="100"/>
      <c r="W451" s="100"/>
      <c r="X451" s="100"/>
      <c r="Y451" s="100"/>
      <c r="Z451" s="100"/>
      <c r="AA451" s="100"/>
      <c r="AB451" s="100"/>
      <c r="AC451" s="100"/>
      <c r="AD451" s="100"/>
      <c r="AF451"/>
      <c r="AG451"/>
      <c r="AH451"/>
      <c r="AI451"/>
      <c r="AJ451"/>
      <c r="AK451">
        <f t="shared" si="192"/>
        <v>0</v>
      </c>
      <c r="AL451">
        <f t="shared" si="193"/>
        <v>0</v>
      </c>
      <c r="AM451">
        <f t="shared" si="215"/>
        <v>0</v>
      </c>
      <c r="AN451">
        <f t="shared" si="194"/>
        <v>0</v>
      </c>
      <c r="AO451">
        <f t="shared" si="195"/>
        <v>0</v>
      </c>
      <c r="AP451">
        <f t="shared" si="196"/>
        <v>0</v>
      </c>
      <c r="AQ451">
        <f t="shared" si="197"/>
        <v>0</v>
      </c>
      <c r="AR451">
        <f t="shared" si="198"/>
        <v>0</v>
      </c>
      <c r="AS451">
        <f t="shared" si="199"/>
        <v>0</v>
      </c>
      <c r="AT451">
        <f t="shared" si="200"/>
        <v>0</v>
      </c>
      <c r="AU451">
        <f t="shared" si="201"/>
        <v>0</v>
      </c>
      <c r="AV451">
        <f t="shared" si="202"/>
        <v>0</v>
      </c>
      <c r="AW451">
        <f t="shared" si="203"/>
        <v>0</v>
      </c>
      <c r="AX451">
        <f t="shared" si="204"/>
        <v>0</v>
      </c>
      <c r="AY451">
        <f t="shared" si="205"/>
        <v>0</v>
      </c>
      <c r="AZ451">
        <f t="shared" si="206"/>
        <v>0</v>
      </c>
      <c r="BA451">
        <f t="shared" si="207"/>
        <v>0</v>
      </c>
      <c r="BB451">
        <f t="shared" si="208"/>
        <v>0</v>
      </c>
      <c r="BC451">
        <f t="shared" si="209"/>
        <v>0</v>
      </c>
      <c r="BD451">
        <f t="shared" si="210"/>
        <v>0</v>
      </c>
      <c r="BE451">
        <f t="shared" si="211"/>
        <v>0</v>
      </c>
      <c r="BF451">
        <f t="shared" si="212"/>
        <v>0</v>
      </c>
      <c r="BG451">
        <f t="shared" si="213"/>
        <v>0</v>
      </c>
      <c r="BH451">
        <f t="shared" si="214"/>
        <v>0</v>
      </c>
    </row>
    <row r="452" spans="1:60" ht="15" customHeight="1">
      <c r="A452" s="206"/>
      <c r="B452" s="201"/>
      <c r="C452" s="1119" t="s">
        <v>4950</v>
      </c>
      <c r="D452" s="1121"/>
      <c r="E452" s="1121"/>
      <c r="F452" s="1120"/>
      <c r="G452" s="100"/>
      <c r="H452" s="100"/>
      <c r="I452" s="100"/>
      <c r="J452" s="100"/>
      <c r="K452" s="100"/>
      <c r="L452" s="100"/>
      <c r="M452" s="100"/>
      <c r="N452" s="100"/>
      <c r="O452" s="100"/>
      <c r="P452" s="100"/>
      <c r="Q452" s="100"/>
      <c r="R452" s="100"/>
      <c r="S452" s="100"/>
      <c r="T452" s="100"/>
      <c r="U452" s="100"/>
      <c r="V452" s="100"/>
      <c r="W452" s="100"/>
      <c r="X452" s="100"/>
      <c r="Y452" s="100"/>
      <c r="Z452" s="100"/>
      <c r="AA452" s="100"/>
      <c r="AB452" s="100"/>
      <c r="AC452" s="100"/>
      <c r="AD452" s="100"/>
      <c r="AF452"/>
      <c r="AG452"/>
      <c r="AH452"/>
      <c r="AI452"/>
      <c r="AJ452"/>
      <c r="AK452">
        <f t="shared" si="192"/>
        <v>0</v>
      </c>
      <c r="AL452">
        <f t="shared" si="193"/>
        <v>0</v>
      </c>
      <c r="AM452">
        <f t="shared" si="215"/>
        <v>0</v>
      </c>
      <c r="AN452">
        <f t="shared" si="194"/>
        <v>0</v>
      </c>
      <c r="AO452">
        <f t="shared" si="195"/>
        <v>0</v>
      </c>
      <c r="AP452">
        <f t="shared" si="196"/>
        <v>0</v>
      </c>
      <c r="AQ452">
        <f t="shared" si="197"/>
        <v>0</v>
      </c>
      <c r="AR452">
        <f t="shared" si="198"/>
        <v>0</v>
      </c>
      <c r="AS452">
        <f t="shared" si="199"/>
        <v>0</v>
      </c>
      <c r="AT452">
        <f t="shared" si="200"/>
        <v>0</v>
      </c>
      <c r="AU452">
        <f t="shared" si="201"/>
        <v>0</v>
      </c>
      <c r="AV452">
        <f t="shared" si="202"/>
        <v>0</v>
      </c>
      <c r="AW452">
        <f t="shared" si="203"/>
        <v>0</v>
      </c>
      <c r="AX452">
        <f t="shared" si="204"/>
        <v>0</v>
      </c>
      <c r="AY452">
        <f t="shared" si="205"/>
        <v>0</v>
      </c>
      <c r="AZ452">
        <f t="shared" si="206"/>
        <v>0</v>
      </c>
      <c r="BA452">
        <f t="shared" si="207"/>
        <v>0</v>
      </c>
      <c r="BB452">
        <f t="shared" si="208"/>
        <v>0</v>
      </c>
      <c r="BC452">
        <f t="shared" si="209"/>
        <v>0</v>
      </c>
      <c r="BD452">
        <f t="shared" si="210"/>
        <v>0</v>
      </c>
      <c r="BE452">
        <f t="shared" si="211"/>
        <v>0</v>
      </c>
      <c r="BF452">
        <f t="shared" si="212"/>
        <v>0</v>
      </c>
      <c r="BG452">
        <f t="shared" si="213"/>
        <v>0</v>
      </c>
      <c r="BH452">
        <f t="shared" si="214"/>
        <v>0</v>
      </c>
    </row>
    <row r="453" spans="1:60" ht="15" customHeight="1">
      <c r="A453" s="206"/>
      <c r="B453" s="201"/>
      <c r="C453" s="1119" t="s">
        <v>4952</v>
      </c>
      <c r="D453" s="1121"/>
      <c r="E453" s="1121"/>
      <c r="F453" s="1120"/>
      <c r="G453" s="100"/>
      <c r="H453" s="100"/>
      <c r="I453" s="100"/>
      <c r="J453" s="100"/>
      <c r="K453" s="100"/>
      <c r="L453" s="100"/>
      <c r="M453" s="100"/>
      <c r="N453" s="100"/>
      <c r="O453" s="100"/>
      <c r="P453" s="100"/>
      <c r="Q453" s="100"/>
      <c r="R453" s="100"/>
      <c r="S453" s="100"/>
      <c r="T453" s="100"/>
      <c r="U453" s="100"/>
      <c r="V453" s="100"/>
      <c r="W453" s="100"/>
      <c r="X453" s="100"/>
      <c r="Y453" s="100"/>
      <c r="Z453" s="100"/>
      <c r="AA453" s="100"/>
      <c r="AB453" s="100"/>
      <c r="AC453" s="100"/>
      <c r="AD453" s="100"/>
      <c r="AF453"/>
      <c r="AG453"/>
      <c r="AH453"/>
      <c r="AI453"/>
      <c r="AJ453"/>
      <c r="AK453">
        <f t="shared" si="192"/>
        <v>0</v>
      </c>
      <c r="AL453">
        <f t="shared" si="193"/>
        <v>0</v>
      </c>
      <c r="AM453">
        <f t="shared" si="215"/>
        <v>0</v>
      </c>
      <c r="AN453">
        <f t="shared" si="194"/>
        <v>0</v>
      </c>
      <c r="AO453">
        <f t="shared" si="195"/>
        <v>0</v>
      </c>
      <c r="AP453">
        <f t="shared" si="196"/>
        <v>0</v>
      </c>
      <c r="AQ453">
        <f t="shared" si="197"/>
        <v>0</v>
      </c>
      <c r="AR453">
        <f t="shared" si="198"/>
        <v>0</v>
      </c>
      <c r="AS453">
        <f t="shared" si="199"/>
        <v>0</v>
      </c>
      <c r="AT453">
        <f t="shared" si="200"/>
        <v>0</v>
      </c>
      <c r="AU453">
        <f t="shared" si="201"/>
        <v>0</v>
      </c>
      <c r="AV453">
        <f t="shared" si="202"/>
        <v>0</v>
      </c>
      <c r="AW453">
        <f t="shared" si="203"/>
        <v>0</v>
      </c>
      <c r="AX453">
        <f t="shared" si="204"/>
        <v>0</v>
      </c>
      <c r="AY453">
        <f t="shared" si="205"/>
        <v>0</v>
      </c>
      <c r="AZ453">
        <f t="shared" si="206"/>
        <v>0</v>
      </c>
      <c r="BA453">
        <f t="shared" si="207"/>
        <v>0</v>
      </c>
      <c r="BB453">
        <f t="shared" si="208"/>
        <v>0</v>
      </c>
      <c r="BC453">
        <f t="shared" si="209"/>
        <v>0</v>
      </c>
      <c r="BD453">
        <f t="shared" si="210"/>
        <v>0</v>
      </c>
      <c r="BE453">
        <f t="shared" si="211"/>
        <v>0</v>
      </c>
      <c r="BF453">
        <f t="shared" si="212"/>
        <v>0</v>
      </c>
      <c r="BG453">
        <f t="shared" si="213"/>
        <v>0</v>
      </c>
      <c r="BH453">
        <f t="shared" si="214"/>
        <v>0</v>
      </c>
    </row>
    <row r="454" spans="1:60" ht="15" customHeight="1">
      <c r="A454" s="206"/>
      <c r="B454" s="201"/>
      <c r="C454" s="1119" t="s">
        <v>4954</v>
      </c>
      <c r="D454" s="1121"/>
      <c r="E454" s="1121"/>
      <c r="F454" s="1120"/>
      <c r="G454" s="100"/>
      <c r="H454" s="100"/>
      <c r="I454" s="100"/>
      <c r="J454" s="100"/>
      <c r="K454" s="100"/>
      <c r="L454" s="100"/>
      <c r="M454" s="100"/>
      <c r="N454" s="100"/>
      <c r="O454" s="100"/>
      <c r="P454" s="100"/>
      <c r="Q454" s="100"/>
      <c r="R454" s="100"/>
      <c r="S454" s="100"/>
      <c r="T454" s="100"/>
      <c r="U454" s="100"/>
      <c r="V454" s="100"/>
      <c r="W454" s="100"/>
      <c r="X454" s="100"/>
      <c r="Y454" s="100"/>
      <c r="Z454" s="100"/>
      <c r="AA454" s="100"/>
      <c r="AB454" s="100"/>
      <c r="AC454" s="100"/>
      <c r="AD454" s="100"/>
      <c r="AF454"/>
      <c r="AG454"/>
      <c r="AH454"/>
      <c r="AI454"/>
      <c r="AJ454"/>
      <c r="AK454">
        <f t="shared" si="192"/>
        <v>0</v>
      </c>
      <c r="AL454">
        <f t="shared" si="193"/>
        <v>0</v>
      </c>
      <c r="AM454">
        <f t="shared" si="215"/>
        <v>0</v>
      </c>
      <c r="AN454">
        <f t="shared" si="194"/>
        <v>0</v>
      </c>
      <c r="AO454">
        <f t="shared" si="195"/>
        <v>0</v>
      </c>
      <c r="AP454">
        <f t="shared" si="196"/>
        <v>0</v>
      </c>
      <c r="AQ454">
        <f t="shared" si="197"/>
        <v>0</v>
      </c>
      <c r="AR454">
        <f t="shared" si="198"/>
        <v>0</v>
      </c>
      <c r="AS454">
        <f t="shared" si="199"/>
        <v>0</v>
      </c>
      <c r="AT454">
        <f t="shared" si="200"/>
        <v>0</v>
      </c>
      <c r="AU454">
        <f t="shared" si="201"/>
        <v>0</v>
      </c>
      <c r="AV454">
        <f t="shared" si="202"/>
        <v>0</v>
      </c>
      <c r="AW454">
        <f t="shared" si="203"/>
        <v>0</v>
      </c>
      <c r="AX454">
        <f t="shared" si="204"/>
        <v>0</v>
      </c>
      <c r="AY454">
        <f t="shared" si="205"/>
        <v>0</v>
      </c>
      <c r="AZ454">
        <f t="shared" si="206"/>
        <v>0</v>
      </c>
      <c r="BA454">
        <f t="shared" si="207"/>
        <v>0</v>
      </c>
      <c r="BB454">
        <f t="shared" si="208"/>
        <v>0</v>
      </c>
      <c r="BC454">
        <f t="shared" si="209"/>
        <v>0</v>
      </c>
      <c r="BD454">
        <f t="shared" si="210"/>
        <v>0</v>
      </c>
      <c r="BE454">
        <f t="shared" si="211"/>
        <v>0</v>
      </c>
      <c r="BF454">
        <f t="shared" si="212"/>
        <v>0</v>
      </c>
      <c r="BG454">
        <f t="shared" si="213"/>
        <v>0</v>
      </c>
      <c r="BH454">
        <f t="shared" si="214"/>
        <v>0</v>
      </c>
    </row>
    <row r="455" spans="1:60" ht="15" customHeight="1">
      <c r="A455" s="206"/>
      <c r="B455" s="206"/>
      <c r="C455" s="1117" t="s">
        <v>4955</v>
      </c>
      <c r="D455" s="1136"/>
      <c r="E455" s="1136"/>
      <c r="F455" s="1118"/>
      <c r="G455" s="100"/>
      <c r="H455" s="100"/>
      <c r="I455" s="100"/>
      <c r="J455" s="100"/>
      <c r="K455" s="100"/>
      <c r="L455" s="100"/>
      <c r="M455" s="100"/>
      <c r="N455" s="100"/>
      <c r="O455" s="100"/>
      <c r="P455" s="100"/>
      <c r="Q455" s="100"/>
      <c r="R455" s="100"/>
      <c r="S455" s="100"/>
      <c r="T455" s="100"/>
      <c r="U455" s="100"/>
      <c r="V455" s="100"/>
      <c r="W455" s="100"/>
      <c r="X455" s="100"/>
      <c r="Y455" s="100"/>
      <c r="Z455" s="100"/>
      <c r="AA455" s="100"/>
      <c r="AB455" s="100"/>
      <c r="AC455" s="100"/>
      <c r="AD455" s="100"/>
      <c r="AF455"/>
      <c r="AG455"/>
      <c r="AH455"/>
      <c r="AI455"/>
      <c r="AJ455"/>
      <c r="AK455">
        <f t="shared" si="192"/>
        <v>0</v>
      </c>
      <c r="AL455">
        <f t="shared" si="193"/>
        <v>0</v>
      </c>
      <c r="AM455">
        <f t="shared" si="215"/>
        <v>0</v>
      </c>
      <c r="AN455">
        <f t="shared" si="194"/>
        <v>0</v>
      </c>
      <c r="AO455">
        <f t="shared" si="195"/>
        <v>0</v>
      </c>
      <c r="AP455">
        <f t="shared" si="196"/>
        <v>0</v>
      </c>
      <c r="AQ455">
        <f t="shared" si="197"/>
        <v>0</v>
      </c>
      <c r="AR455">
        <f t="shared" si="198"/>
        <v>0</v>
      </c>
      <c r="AS455">
        <f t="shared" si="199"/>
        <v>0</v>
      </c>
      <c r="AT455">
        <f t="shared" si="200"/>
        <v>0</v>
      </c>
      <c r="AU455">
        <f t="shared" si="201"/>
        <v>0</v>
      </c>
      <c r="AV455">
        <f t="shared" si="202"/>
        <v>0</v>
      </c>
      <c r="AW455">
        <f t="shared" si="203"/>
        <v>0</v>
      </c>
      <c r="AX455">
        <f t="shared" si="204"/>
        <v>0</v>
      </c>
      <c r="AY455">
        <f t="shared" si="205"/>
        <v>0</v>
      </c>
      <c r="AZ455">
        <f t="shared" si="206"/>
        <v>0</v>
      </c>
      <c r="BA455">
        <f t="shared" si="207"/>
        <v>0</v>
      </c>
      <c r="BB455">
        <f t="shared" si="208"/>
        <v>0</v>
      </c>
      <c r="BC455">
        <f t="shared" si="209"/>
        <v>0</v>
      </c>
      <c r="BD455">
        <f t="shared" si="210"/>
        <v>0</v>
      </c>
      <c r="BE455">
        <f t="shared" si="211"/>
        <v>0</v>
      </c>
      <c r="BF455">
        <f t="shared" si="212"/>
        <v>0</v>
      </c>
      <c r="BG455">
        <f t="shared" si="213"/>
        <v>0</v>
      </c>
      <c r="BH455">
        <f t="shared" si="214"/>
        <v>0</v>
      </c>
    </row>
    <row r="456" spans="1:60" ht="15" customHeight="1">
      <c r="A456" s="206"/>
      <c r="B456" s="206"/>
      <c r="C456" s="1117" t="s">
        <v>4957</v>
      </c>
      <c r="D456" s="1136"/>
      <c r="E456" s="1136"/>
      <c r="F456" s="1118"/>
      <c r="G456" s="100"/>
      <c r="H456" s="100"/>
      <c r="I456" s="100"/>
      <c r="J456" s="100"/>
      <c r="K456" s="100"/>
      <c r="L456" s="100"/>
      <c r="M456" s="100"/>
      <c r="N456" s="100"/>
      <c r="O456" s="100"/>
      <c r="P456" s="100"/>
      <c r="Q456" s="100"/>
      <c r="R456" s="100"/>
      <c r="S456" s="100"/>
      <c r="T456" s="100"/>
      <c r="U456" s="100"/>
      <c r="V456" s="100"/>
      <c r="W456" s="100"/>
      <c r="X456" s="100"/>
      <c r="Y456" s="100"/>
      <c r="Z456" s="100"/>
      <c r="AA456" s="100"/>
      <c r="AB456" s="100"/>
      <c r="AC456" s="100"/>
      <c r="AD456" s="100"/>
      <c r="AF456"/>
      <c r="AG456"/>
      <c r="AH456"/>
      <c r="AI456"/>
      <c r="AJ456"/>
      <c r="AK456">
        <f t="shared" si="192"/>
        <v>0</v>
      </c>
      <c r="AL456">
        <f t="shared" si="193"/>
        <v>0</v>
      </c>
      <c r="AM456">
        <f t="shared" si="215"/>
        <v>0</v>
      </c>
      <c r="AN456">
        <f t="shared" si="194"/>
        <v>0</v>
      </c>
      <c r="AO456">
        <f t="shared" si="195"/>
        <v>0</v>
      </c>
      <c r="AP456">
        <f t="shared" si="196"/>
        <v>0</v>
      </c>
      <c r="AQ456">
        <f t="shared" si="197"/>
        <v>0</v>
      </c>
      <c r="AR456">
        <f t="shared" si="198"/>
        <v>0</v>
      </c>
      <c r="AS456">
        <f t="shared" si="199"/>
        <v>0</v>
      </c>
      <c r="AT456">
        <f t="shared" si="200"/>
        <v>0</v>
      </c>
      <c r="AU456">
        <f t="shared" si="201"/>
        <v>0</v>
      </c>
      <c r="AV456">
        <f t="shared" si="202"/>
        <v>0</v>
      </c>
      <c r="AW456">
        <f t="shared" si="203"/>
        <v>0</v>
      </c>
      <c r="AX456">
        <f t="shared" si="204"/>
        <v>0</v>
      </c>
      <c r="AY456">
        <f t="shared" si="205"/>
        <v>0</v>
      </c>
      <c r="AZ456">
        <f t="shared" si="206"/>
        <v>0</v>
      </c>
      <c r="BA456">
        <f t="shared" si="207"/>
        <v>0</v>
      </c>
      <c r="BB456">
        <f t="shared" si="208"/>
        <v>0</v>
      </c>
      <c r="BC456">
        <f t="shared" si="209"/>
        <v>0</v>
      </c>
      <c r="BD456">
        <f t="shared" si="210"/>
        <v>0</v>
      </c>
      <c r="BE456">
        <f t="shared" si="211"/>
        <v>0</v>
      </c>
      <c r="BF456">
        <f t="shared" si="212"/>
        <v>0</v>
      </c>
      <c r="BG456">
        <f t="shared" si="213"/>
        <v>0</v>
      </c>
      <c r="BH456">
        <f t="shared" si="214"/>
        <v>0</v>
      </c>
    </row>
    <row r="457" spans="1:60" ht="15" customHeight="1">
      <c r="A457" s="206"/>
      <c r="B457" s="206"/>
      <c r="C457" s="1117" t="s">
        <v>4959</v>
      </c>
      <c r="D457" s="1136"/>
      <c r="E457" s="1136"/>
      <c r="F457" s="1118"/>
      <c r="G457" s="100"/>
      <c r="H457" s="100"/>
      <c r="I457" s="100"/>
      <c r="J457" s="100"/>
      <c r="K457" s="100"/>
      <c r="L457" s="100"/>
      <c r="M457" s="100"/>
      <c r="N457" s="100"/>
      <c r="O457" s="100"/>
      <c r="P457" s="100"/>
      <c r="Q457" s="100"/>
      <c r="R457" s="100"/>
      <c r="S457" s="100"/>
      <c r="T457" s="100"/>
      <c r="U457" s="100"/>
      <c r="V457" s="100"/>
      <c r="W457" s="100"/>
      <c r="X457" s="100"/>
      <c r="Y457" s="100"/>
      <c r="Z457" s="100"/>
      <c r="AA457" s="100"/>
      <c r="AB457" s="100"/>
      <c r="AC457" s="100"/>
      <c r="AD457" s="100"/>
      <c r="AF457"/>
      <c r="AG457"/>
      <c r="AH457"/>
      <c r="AI457"/>
      <c r="AJ457"/>
      <c r="AK457">
        <f t="shared" si="192"/>
        <v>0</v>
      </c>
      <c r="AL457">
        <f t="shared" si="193"/>
        <v>0</v>
      </c>
      <c r="AM457">
        <f t="shared" si="215"/>
        <v>0</v>
      </c>
      <c r="AN457">
        <f t="shared" si="194"/>
        <v>0</v>
      </c>
      <c r="AO457">
        <f t="shared" si="195"/>
        <v>0</v>
      </c>
      <c r="AP457">
        <f t="shared" si="196"/>
        <v>0</v>
      </c>
      <c r="AQ457">
        <f t="shared" si="197"/>
        <v>0</v>
      </c>
      <c r="AR457">
        <f t="shared" si="198"/>
        <v>0</v>
      </c>
      <c r="AS457">
        <f t="shared" si="199"/>
        <v>0</v>
      </c>
      <c r="AT457">
        <f t="shared" si="200"/>
        <v>0</v>
      </c>
      <c r="AU457">
        <f t="shared" si="201"/>
        <v>0</v>
      </c>
      <c r="AV457">
        <f t="shared" si="202"/>
        <v>0</v>
      </c>
      <c r="AW457">
        <f t="shared" si="203"/>
        <v>0</v>
      </c>
      <c r="AX457">
        <f t="shared" si="204"/>
        <v>0</v>
      </c>
      <c r="AY457">
        <f t="shared" si="205"/>
        <v>0</v>
      </c>
      <c r="AZ457">
        <f t="shared" si="206"/>
        <v>0</v>
      </c>
      <c r="BA457">
        <f t="shared" si="207"/>
        <v>0</v>
      </c>
      <c r="BB457">
        <f t="shared" si="208"/>
        <v>0</v>
      </c>
      <c r="BC457">
        <f t="shared" si="209"/>
        <v>0</v>
      </c>
      <c r="BD457">
        <f t="shared" si="210"/>
        <v>0</v>
      </c>
      <c r="BE457">
        <f t="shared" si="211"/>
        <v>0</v>
      </c>
      <c r="BF457">
        <f t="shared" si="212"/>
        <v>0</v>
      </c>
      <c r="BG457">
        <f t="shared" si="213"/>
        <v>0</v>
      </c>
      <c r="BH457">
        <f t="shared" si="214"/>
        <v>0</v>
      </c>
    </row>
    <row r="458" spans="1:60" ht="15" customHeight="1">
      <c r="A458" s="206"/>
      <c r="B458" s="206"/>
      <c r="C458" s="1117" t="s">
        <v>4961</v>
      </c>
      <c r="D458" s="1136"/>
      <c r="E458" s="1136"/>
      <c r="F458" s="1118"/>
      <c r="G458" s="100"/>
      <c r="H458" s="100"/>
      <c r="I458" s="100"/>
      <c r="J458" s="100"/>
      <c r="K458" s="100"/>
      <c r="L458" s="100"/>
      <c r="M458" s="100"/>
      <c r="N458" s="100"/>
      <c r="O458" s="100"/>
      <c r="P458" s="100"/>
      <c r="Q458" s="100"/>
      <c r="R458" s="100"/>
      <c r="S458" s="100"/>
      <c r="T458" s="100"/>
      <c r="U458" s="100"/>
      <c r="V458" s="100"/>
      <c r="W458" s="100"/>
      <c r="X458" s="100"/>
      <c r="Y458" s="100"/>
      <c r="Z458" s="100"/>
      <c r="AA458" s="100"/>
      <c r="AB458" s="100"/>
      <c r="AC458" s="100"/>
      <c r="AD458" s="100"/>
      <c r="AF458"/>
      <c r="AG458"/>
      <c r="AH458"/>
      <c r="AI458"/>
      <c r="AJ458"/>
      <c r="AK458">
        <f t="shared" si="192"/>
        <v>0</v>
      </c>
      <c r="AL458">
        <f t="shared" si="193"/>
        <v>0</v>
      </c>
      <c r="AM458">
        <f t="shared" si="215"/>
        <v>0</v>
      </c>
      <c r="AN458">
        <f t="shared" si="194"/>
        <v>0</v>
      </c>
      <c r="AO458">
        <f t="shared" si="195"/>
        <v>0</v>
      </c>
      <c r="AP458">
        <f t="shared" si="196"/>
        <v>0</v>
      </c>
      <c r="AQ458">
        <f t="shared" si="197"/>
        <v>0</v>
      </c>
      <c r="AR458">
        <f t="shared" si="198"/>
        <v>0</v>
      </c>
      <c r="AS458">
        <f t="shared" si="199"/>
        <v>0</v>
      </c>
      <c r="AT458">
        <f t="shared" si="200"/>
        <v>0</v>
      </c>
      <c r="AU458">
        <f t="shared" si="201"/>
        <v>0</v>
      </c>
      <c r="AV458">
        <f t="shared" si="202"/>
        <v>0</v>
      </c>
      <c r="AW458">
        <f t="shared" si="203"/>
        <v>0</v>
      </c>
      <c r="AX458">
        <f t="shared" si="204"/>
        <v>0</v>
      </c>
      <c r="AY458">
        <f t="shared" si="205"/>
        <v>0</v>
      </c>
      <c r="AZ458">
        <f t="shared" si="206"/>
        <v>0</v>
      </c>
      <c r="BA458">
        <f t="shared" si="207"/>
        <v>0</v>
      </c>
      <c r="BB458">
        <f t="shared" si="208"/>
        <v>0</v>
      </c>
      <c r="BC458">
        <f t="shared" si="209"/>
        <v>0</v>
      </c>
      <c r="BD458">
        <f t="shared" si="210"/>
        <v>0</v>
      </c>
      <c r="BE458">
        <f t="shared" si="211"/>
        <v>0</v>
      </c>
      <c r="BF458">
        <f t="shared" si="212"/>
        <v>0</v>
      </c>
      <c r="BG458">
        <f t="shared" si="213"/>
        <v>0</v>
      </c>
      <c r="BH458">
        <f t="shared" si="214"/>
        <v>0</v>
      </c>
    </row>
    <row r="459" spans="1:60" ht="15" customHeight="1">
      <c r="A459" s="206"/>
      <c r="B459" s="206"/>
      <c r="C459" s="1117" t="s">
        <v>4965</v>
      </c>
      <c r="D459" s="1136"/>
      <c r="E459" s="1136"/>
      <c r="F459" s="1118"/>
      <c r="G459" s="100"/>
      <c r="H459" s="100"/>
      <c r="I459" s="100"/>
      <c r="J459" s="100"/>
      <c r="K459" s="100"/>
      <c r="L459" s="100"/>
      <c r="M459" s="100"/>
      <c r="N459" s="100"/>
      <c r="O459" s="100"/>
      <c r="P459" s="100"/>
      <c r="Q459" s="100"/>
      <c r="R459" s="100"/>
      <c r="S459" s="100"/>
      <c r="T459" s="100"/>
      <c r="U459" s="100"/>
      <c r="V459" s="100"/>
      <c r="W459" s="100"/>
      <c r="X459" s="100"/>
      <c r="Y459" s="100"/>
      <c r="Z459" s="100"/>
      <c r="AA459" s="100"/>
      <c r="AB459" s="100"/>
      <c r="AC459" s="100"/>
      <c r="AD459" s="100"/>
      <c r="AF459"/>
      <c r="AG459"/>
      <c r="AH459"/>
      <c r="AI459"/>
      <c r="AJ459"/>
      <c r="AK459">
        <f t="shared" si="192"/>
        <v>0</v>
      </c>
      <c r="AL459">
        <f t="shared" si="193"/>
        <v>0</v>
      </c>
      <c r="AM459">
        <f t="shared" si="215"/>
        <v>0</v>
      </c>
      <c r="AN459">
        <f t="shared" si="194"/>
        <v>0</v>
      </c>
      <c r="AO459">
        <f t="shared" si="195"/>
        <v>0</v>
      </c>
      <c r="AP459">
        <f t="shared" si="196"/>
        <v>0</v>
      </c>
      <c r="AQ459">
        <f t="shared" si="197"/>
        <v>0</v>
      </c>
      <c r="AR459">
        <f t="shared" si="198"/>
        <v>0</v>
      </c>
      <c r="AS459">
        <f t="shared" si="199"/>
        <v>0</v>
      </c>
      <c r="AT459">
        <f t="shared" si="200"/>
        <v>0</v>
      </c>
      <c r="AU459">
        <f t="shared" si="201"/>
        <v>0</v>
      </c>
      <c r="AV459">
        <f t="shared" si="202"/>
        <v>0</v>
      </c>
      <c r="AW459">
        <f t="shared" si="203"/>
        <v>0</v>
      </c>
      <c r="AX459">
        <f t="shared" si="204"/>
        <v>0</v>
      </c>
      <c r="AY459">
        <f t="shared" si="205"/>
        <v>0</v>
      </c>
      <c r="AZ459">
        <f t="shared" si="206"/>
        <v>0</v>
      </c>
      <c r="BA459">
        <f t="shared" si="207"/>
        <v>0</v>
      </c>
      <c r="BB459">
        <f t="shared" si="208"/>
        <v>0</v>
      </c>
      <c r="BC459">
        <f t="shared" si="209"/>
        <v>0</v>
      </c>
      <c r="BD459">
        <f t="shared" si="210"/>
        <v>0</v>
      </c>
      <c r="BE459">
        <f t="shared" si="211"/>
        <v>0</v>
      </c>
      <c r="BF459">
        <f t="shared" si="212"/>
        <v>0</v>
      </c>
      <c r="BG459">
        <f t="shared" si="213"/>
        <v>0</v>
      </c>
      <c r="BH459">
        <f t="shared" si="214"/>
        <v>0</v>
      </c>
    </row>
    <row r="460" spans="1:60" ht="15" customHeight="1">
      <c r="A460" s="206"/>
      <c r="B460" s="201"/>
      <c r="C460" s="1119" t="s">
        <v>4967</v>
      </c>
      <c r="D460" s="1121"/>
      <c r="E460" s="1121"/>
      <c r="F460" s="1120"/>
      <c r="G460" s="100"/>
      <c r="H460" s="100"/>
      <c r="I460" s="100"/>
      <c r="J460" s="100"/>
      <c r="K460" s="100"/>
      <c r="L460" s="100"/>
      <c r="M460" s="100"/>
      <c r="N460" s="100"/>
      <c r="O460" s="100"/>
      <c r="P460" s="100"/>
      <c r="Q460" s="100"/>
      <c r="R460" s="100"/>
      <c r="S460" s="100"/>
      <c r="T460" s="100"/>
      <c r="U460" s="100"/>
      <c r="V460" s="100"/>
      <c r="W460" s="100"/>
      <c r="X460" s="100"/>
      <c r="Y460" s="100"/>
      <c r="Z460" s="100"/>
      <c r="AA460" s="100"/>
      <c r="AB460" s="100"/>
      <c r="AC460" s="100"/>
      <c r="AD460" s="100"/>
      <c r="AF460"/>
      <c r="AG460"/>
      <c r="AH460"/>
      <c r="AI460"/>
      <c r="AJ460"/>
      <c r="AK460">
        <f t="shared" si="192"/>
        <v>0</v>
      </c>
      <c r="AL460">
        <f t="shared" si="193"/>
        <v>0</v>
      </c>
      <c r="AM460">
        <f t="shared" si="215"/>
        <v>0</v>
      </c>
      <c r="AN460">
        <f t="shared" si="194"/>
        <v>0</v>
      </c>
      <c r="AO460">
        <f t="shared" si="195"/>
        <v>0</v>
      </c>
      <c r="AP460">
        <f t="shared" si="196"/>
        <v>0</v>
      </c>
      <c r="AQ460">
        <f t="shared" si="197"/>
        <v>0</v>
      </c>
      <c r="AR460">
        <f t="shared" si="198"/>
        <v>0</v>
      </c>
      <c r="AS460">
        <f t="shared" si="199"/>
        <v>0</v>
      </c>
      <c r="AT460">
        <f t="shared" si="200"/>
        <v>0</v>
      </c>
      <c r="AU460">
        <f t="shared" si="201"/>
        <v>0</v>
      </c>
      <c r="AV460">
        <f t="shared" si="202"/>
        <v>0</v>
      </c>
      <c r="AW460">
        <f t="shared" si="203"/>
        <v>0</v>
      </c>
      <c r="AX460">
        <f t="shared" si="204"/>
        <v>0</v>
      </c>
      <c r="AY460">
        <f t="shared" si="205"/>
        <v>0</v>
      </c>
      <c r="AZ460">
        <f t="shared" si="206"/>
        <v>0</v>
      </c>
      <c r="BA460">
        <f t="shared" si="207"/>
        <v>0</v>
      </c>
      <c r="BB460">
        <f t="shared" si="208"/>
        <v>0</v>
      </c>
      <c r="BC460">
        <f t="shared" si="209"/>
        <v>0</v>
      </c>
      <c r="BD460">
        <f t="shared" si="210"/>
        <v>0</v>
      </c>
      <c r="BE460">
        <f t="shared" si="211"/>
        <v>0</v>
      </c>
      <c r="BF460">
        <f t="shared" si="212"/>
        <v>0</v>
      </c>
      <c r="BG460">
        <f t="shared" si="213"/>
        <v>0</v>
      </c>
      <c r="BH460">
        <f t="shared" si="214"/>
        <v>0</v>
      </c>
    </row>
    <row r="461" spans="1:60" ht="15" customHeight="1">
      <c r="A461" s="206"/>
      <c r="B461" s="201"/>
      <c r="C461" s="1119" t="s">
        <v>4969</v>
      </c>
      <c r="D461" s="1121"/>
      <c r="E461" s="1121"/>
      <c r="F461" s="1120"/>
      <c r="G461" s="100"/>
      <c r="H461" s="100"/>
      <c r="I461" s="100"/>
      <c r="J461" s="100"/>
      <c r="K461" s="100"/>
      <c r="L461" s="100"/>
      <c r="M461" s="100"/>
      <c r="N461" s="100"/>
      <c r="O461" s="100"/>
      <c r="P461" s="100"/>
      <c r="Q461" s="100"/>
      <c r="R461" s="100"/>
      <c r="S461" s="100"/>
      <c r="T461" s="100"/>
      <c r="U461" s="100"/>
      <c r="V461" s="100"/>
      <c r="W461" s="100"/>
      <c r="X461" s="100"/>
      <c r="Y461" s="100"/>
      <c r="Z461" s="100"/>
      <c r="AA461" s="100"/>
      <c r="AB461" s="100"/>
      <c r="AC461" s="100"/>
      <c r="AD461" s="100"/>
      <c r="AF461"/>
      <c r="AG461"/>
      <c r="AH461"/>
      <c r="AI461"/>
      <c r="AJ461"/>
      <c r="AK461">
        <f t="shared" si="192"/>
        <v>0</v>
      </c>
      <c r="AL461">
        <f t="shared" si="193"/>
        <v>0</v>
      </c>
      <c r="AM461">
        <f t="shared" si="215"/>
        <v>0</v>
      </c>
      <c r="AN461">
        <f t="shared" si="194"/>
        <v>0</v>
      </c>
      <c r="AO461">
        <f t="shared" si="195"/>
        <v>0</v>
      </c>
      <c r="AP461">
        <f t="shared" si="196"/>
        <v>0</v>
      </c>
      <c r="AQ461">
        <f t="shared" si="197"/>
        <v>0</v>
      </c>
      <c r="AR461">
        <f t="shared" si="198"/>
        <v>0</v>
      </c>
      <c r="AS461">
        <f t="shared" si="199"/>
        <v>0</v>
      </c>
      <c r="AT461">
        <f t="shared" si="200"/>
        <v>0</v>
      </c>
      <c r="AU461">
        <f t="shared" si="201"/>
        <v>0</v>
      </c>
      <c r="AV461">
        <f t="shared" si="202"/>
        <v>0</v>
      </c>
      <c r="AW461">
        <f t="shared" si="203"/>
        <v>0</v>
      </c>
      <c r="AX461">
        <f t="shared" si="204"/>
        <v>0</v>
      </c>
      <c r="AY461">
        <f t="shared" si="205"/>
        <v>0</v>
      </c>
      <c r="AZ461">
        <f t="shared" si="206"/>
        <v>0</v>
      </c>
      <c r="BA461">
        <f t="shared" si="207"/>
        <v>0</v>
      </c>
      <c r="BB461">
        <f t="shared" si="208"/>
        <v>0</v>
      </c>
      <c r="BC461">
        <f t="shared" si="209"/>
        <v>0</v>
      </c>
      <c r="BD461">
        <f t="shared" si="210"/>
        <v>0</v>
      </c>
      <c r="BE461">
        <f t="shared" si="211"/>
        <v>0</v>
      </c>
      <c r="BF461">
        <f t="shared" si="212"/>
        <v>0</v>
      </c>
      <c r="BG461">
        <f t="shared" si="213"/>
        <v>0</v>
      </c>
      <c r="BH461">
        <f t="shared" si="214"/>
        <v>0</v>
      </c>
    </row>
    <row r="462" spans="1:60" ht="15" customHeight="1">
      <c r="A462" s="206"/>
      <c r="B462" s="201"/>
      <c r="C462" s="1119" t="s">
        <v>4971</v>
      </c>
      <c r="D462" s="1121"/>
      <c r="E462" s="1121"/>
      <c r="F462" s="1120"/>
      <c r="G462" s="100"/>
      <c r="H462" s="100"/>
      <c r="I462" s="100"/>
      <c r="J462" s="100"/>
      <c r="K462" s="100"/>
      <c r="L462" s="100"/>
      <c r="M462" s="100"/>
      <c r="N462" s="100"/>
      <c r="O462" s="100"/>
      <c r="P462" s="100"/>
      <c r="Q462" s="100"/>
      <c r="R462" s="100"/>
      <c r="S462" s="100"/>
      <c r="T462" s="100"/>
      <c r="U462" s="100"/>
      <c r="V462" s="100"/>
      <c r="W462" s="100"/>
      <c r="X462" s="100"/>
      <c r="Y462" s="100"/>
      <c r="Z462" s="100"/>
      <c r="AA462" s="100"/>
      <c r="AB462" s="100"/>
      <c r="AC462" s="100"/>
      <c r="AD462" s="100"/>
      <c r="AF462"/>
      <c r="AG462"/>
      <c r="AH462"/>
      <c r="AI462"/>
      <c r="AJ462"/>
      <c r="AK462">
        <f t="shared" si="192"/>
        <v>0</v>
      </c>
      <c r="AL462">
        <f t="shared" si="193"/>
        <v>0</v>
      </c>
      <c r="AM462">
        <f t="shared" si="215"/>
        <v>0</v>
      </c>
      <c r="AN462">
        <f t="shared" si="194"/>
        <v>0</v>
      </c>
      <c r="AO462">
        <f t="shared" si="195"/>
        <v>0</v>
      </c>
      <c r="AP462">
        <f t="shared" si="196"/>
        <v>0</v>
      </c>
      <c r="AQ462">
        <f t="shared" si="197"/>
        <v>0</v>
      </c>
      <c r="AR462">
        <f t="shared" si="198"/>
        <v>0</v>
      </c>
      <c r="AS462">
        <f t="shared" si="199"/>
        <v>0</v>
      </c>
      <c r="AT462">
        <f t="shared" si="200"/>
        <v>0</v>
      </c>
      <c r="AU462">
        <f t="shared" si="201"/>
        <v>0</v>
      </c>
      <c r="AV462">
        <f t="shared" si="202"/>
        <v>0</v>
      </c>
      <c r="AW462">
        <f t="shared" si="203"/>
        <v>0</v>
      </c>
      <c r="AX462">
        <f t="shared" si="204"/>
        <v>0</v>
      </c>
      <c r="AY462">
        <f t="shared" si="205"/>
        <v>0</v>
      </c>
      <c r="AZ462">
        <f t="shared" si="206"/>
        <v>0</v>
      </c>
      <c r="BA462">
        <f t="shared" si="207"/>
        <v>0</v>
      </c>
      <c r="BB462">
        <f t="shared" si="208"/>
        <v>0</v>
      </c>
      <c r="BC462">
        <f t="shared" si="209"/>
        <v>0</v>
      </c>
      <c r="BD462">
        <f t="shared" si="210"/>
        <v>0</v>
      </c>
      <c r="BE462">
        <f t="shared" si="211"/>
        <v>0</v>
      </c>
      <c r="BF462">
        <f t="shared" si="212"/>
        <v>0</v>
      </c>
      <c r="BG462">
        <f t="shared" si="213"/>
        <v>0</v>
      </c>
      <c r="BH462">
        <f t="shared" si="214"/>
        <v>0</v>
      </c>
    </row>
    <row r="463" spans="1:60" ht="15" customHeight="1">
      <c r="A463" s="206"/>
      <c r="B463" s="201"/>
      <c r="C463" s="1119" t="s">
        <v>4973</v>
      </c>
      <c r="D463" s="1121"/>
      <c r="E463" s="1121"/>
      <c r="F463" s="1120"/>
      <c r="G463" s="100"/>
      <c r="H463" s="100"/>
      <c r="I463" s="100"/>
      <c r="J463" s="100"/>
      <c r="K463" s="100"/>
      <c r="L463" s="100"/>
      <c r="M463" s="100"/>
      <c r="N463" s="100"/>
      <c r="O463" s="100"/>
      <c r="P463" s="100"/>
      <c r="Q463" s="100"/>
      <c r="R463" s="100"/>
      <c r="S463" s="100"/>
      <c r="T463" s="100"/>
      <c r="U463" s="100"/>
      <c r="V463" s="100"/>
      <c r="W463" s="100"/>
      <c r="X463" s="100"/>
      <c r="Y463" s="100"/>
      <c r="Z463" s="100"/>
      <c r="AA463" s="100"/>
      <c r="AB463" s="100"/>
      <c r="AC463" s="100"/>
      <c r="AD463" s="100"/>
      <c r="AF463"/>
      <c r="AG463"/>
      <c r="AH463"/>
      <c r="AI463"/>
      <c r="AJ463"/>
      <c r="AK463">
        <f t="shared" si="192"/>
        <v>0</v>
      </c>
      <c r="AL463">
        <f t="shared" si="193"/>
        <v>0</v>
      </c>
      <c r="AM463">
        <f t="shared" si="215"/>
        <v>0</v>
      </c>
      <c r="AN463">
        <f t="shared" si="194"/>
        <v>0</v>
      </c>
      <c r="AO463">
        <f t="shared" si="195"/>
        <v>0</v>
      </c>
      <c r="AP463">
        <f t="shared" si="196"/>
        <v>0</v>
      </c>
      <c r="AQ463">
        <f t="shared" si="197"/>
        <v>0</v>
      </c>
      <c r="AR463">
        <f t="shared" si="198"/>
        <v>0</v>
      </c>
      <c r="AS463">
        <f t="shared" si="199"/>
        <v>0</v>
      </c>
      <c r="AT463">
        <f t="shared" si="200"/>
        <v>0</v>
      </c>
      <c r="AU463">
        <f t="shared" si="201"/>
        <v>0</v>
      </c>
      <c r="AV463">
        <f t="shared" si="202"/>
        <v>0</v>
      </c>
      <c r="AW463">
        <f t="shared" si="203"/>
        <v>0</v>
      </c>
      <c r="AX463">
        <f t="shared" si="204"/>
        <v>0</v>
      </c>
      <c r="AY463">
        <f t="shared" si="205"/>
        <v>0</v>
      </c>
      <c r="AZ463">
        <f t="shared" si="206"/>
        <v>0</v>
      </c>
      <c r="BA463">
        <f t="shared" si="207"/>
        <v>0</v>
      </c>
      <c r="BB463">
        <f t="shared" si="208"/>
        <v>0</v>
      </c>
      <c r="BC463">
        <f t="shared" si="209"/>
        <v>0</v>
      </c>
      <c r="BD463">
        <f t="shared" si="210"/>
        <v>0</v>
      </c>
      <c r="BE463">
        <f t="shared" si="211"/>
        <v>0</v>
      </c>
      <c r="BF463">
        <f t="shared" si="212"/>
        <v>0</v>
      </c>
      <c r="BG463">
        <f t="shared" si="213"/>
        <v>0</v>
      </c>
      <c r="BH463">
        <f t="shared" si="214"/>
        <v>0</v>
      </c>
    </row>
    <row r="464" spans="1:60" ht="15" customHeight="1">
      <c r="A464" s="206"/>
      <c r="B464" s="201"/>
      <c r="C464" s="1119" t="s">
        <v>4975</v>
      </c>
      <c r="D464" s="1121"/>
      <c r="E464" s="1121"/>
      <c r="F464" s="1120"/>
      <c r="G464" s="100"/>
      <c r="H464" s="100"/>
      <c r="I464" s="100"/>
      <c r="J464" s="100"/>
      <c r="K464" s="100"/>
      <c r="L464" s="100"/>
      <c r="M464" s="100"/>
      <c r="N464" s="100"/>
      <c r="O464" s="100"/>
      <c r="P464" s="100"/>
      <c r="Q464" s="100"/>
      <c r="R464" s="100"/>
      <c r="S464" s="100"/>
      <c r="T464" s="100"/>
      <c r="U464" s="100"/>
      <c r="V464" s="100"/>
      <c r="W464" s="100"/>
      <c r="X464" s="100"/>
      <c r="Y464" s="100"/>
      <c r="Z464" s="100"/>
      <c r="AA464" s="100"/>
      <c r="AB464" s="100"/>
      <c r="AC464" s="100"/>
      <c r="AD464" s="100"/>
      <c r="AF464"/>
      <c r="AG464"/>
      <c r="AH464"/>
      <c r="AI464"/>
      <c r="AJ464"/>
      <c r="AK464">
        <f t="shared" si="192"/>
        <v>0</v>
      </c>
      <c r="AL464">
        <f t="shared" si="193"/>
        <v>0</v>
      </c>
      <c r="AM464">
        <f t="shared" si="215"/>
        <v>0</v>
      </c>
      <c r="AN464">
        <f t="shared" si="194"/>
        <v>0</v>
      </c>
      <c r="AO464">
        <f t="shared" si="195"/>
        <v>0</v>
      </c>
      <c r="AP464">
        <f t="shared" si="196"/>
        <v>0</v>
      </c>
      <c r="AQ464">
        <f t="shared" si="197"/>
        <v>0</v>
      </c>
      <c r="AR464">
        <f t="shared" si="198"/>
        <v>0</v>
      </c>
      <c r="AS464">
        <f t="shared" si="199"/>
        <v>0</v>
      </c>
      <c r="AT464">
        <f t="shared" si="200"/>
        <v>0</v>
      </c>
      <c r="AU464">
        <f t="shared" si="201"/>
        <v>0</v>
      </c>
      <c r="AV464">
        <f t="shared" si="202"/>
        <v>0</v>
      </c>
      <c r="AW464">
        <f t="shared" si="203"/>
        <v>0</v>
      </c>
      <c r="AX464">
        <f t="shared" si="204"/>
        <v>0</v>
      </c>
      <c r="AY464">
        <f t="shared" si="205"/>
        <v>0</v>
      </c>
      <c r="AZ464">
        <f t="shared" si="206"/>
        <v>0</v>
      </c>
      <c r="BA464">
        <f t="shared" si="207"/>
        <v>0</v>
      </c>
      <c r="BB464">
        <f t="shared" si="208"/>
        <v>0</v>
      </c>
      <c r="BC464">
        <f t="shared" si="209"/>
        <v>0</v>
      </c>
      <c r="BD464">
        <f t="shared" si="210"/>
        <v>0</v>
      </c>
      <c r="BE464">
        <f t="shared" si="211"/>
        <v>0</v>
      </c>
      <c r="BF464">
        <f t="shared" si="212"/>
        <v>0</v>
      </c>
      <c r="BG464">
        <f t="shared" si="213"/>
        <v>0</v>
      </c>
      <c r="BH464">
        <f t="shared" si="214"/>
        <v>0</v>
      </c>
    </row>
    <row r="465" spans="1:60" ht="15" customHeight="1">
      <c r="A465" s="206"/>
      <c r="B465" s="201"/>
      <c r="C465" s="1119" t="s">
        <v>4977</v>
      </c>
      <c r="D465" s="1121"/>
      <c r="E465" s="1121"/>
      <c r="F465" s="1120"/>
      <c r="G465" s="100"/>
      <c r="H465" s="100"/>
      <c r="I465" s="100"/>
      <c r="J465" s="100"/>
      <c r="K465" s="100"/>
      <c r="L465" s="100"/>
      <c r="M465" s="100"/>
      <c r="N465" s="100"/>
      <c r="O465" s="100"/>
      <c r="P465" s="100"/>
      <c r="Q465" s="100"/>
      <c r="R465" s="100"/>
      <c r="S465" s="100"/>
      <c r="T465" s="100"/>
      <c r="U465" s="100"/>
      <c r="V465" s="100"/>
      <c r="W465" s="100"/>
      <c r="X465" s="100"/>
      <c r="Y465" s="100"/>
      <c r="Z465" s="100"/>
      <c r="AA465" s="100"/>
      <c r="AB465" s="100"/>
      <c r="AC465" s="100"/>
      <c r="AD465" s="100"/>
      <c r="AF465"/>
      <c r="AG465"/>
      <c r="AH465"/>
      <c r="AI465"/>
      <c r="AJ465"/>
      <c r="AK465">
        <f t="shared" si="192"/>
        <v>0</v>
      </c>
      <c r="AL465">
        <f t="shared" si="193"/>
        <v>0</v>
      </c>
      <c r="AM465">
        <f t="shared" si="215"/>
        <v>0</v>
      </c>
      <c r="AN465">
        <f t="shared" si="194"/>
        <v>0</v>
      </c>
      <c r="AO465">
        <f t="shared" si="195"/>
        <v>0</v>
      </c>
      <c r="AP465">
        <f t="shared" si="196"/>
        <v>0</v>
      </c>
      <c r="AQ465">
        <f t="shared" si="197"/>
        <v>0</v>
      </c>
      <c r="AR465">
        <f t="shared" si="198"/>
        <v>0</v>
      </c>
      <c r="AS465">
        <f t="shared" si="199"/>
        <v>0</v>
      </c>
      <c r="AT465">
        <f t="shared" si="200"/>
        <v>0</v>
      </c>
      <c r="AU465">
        <f t="shared" si="201"/>
        <v>0</v>
      </c>
      <c r="AV465">
        <f t="shared" si="202"/>
        <v>0</v>
      </c>
      <c r="AW465">
        <f t="shared" si="203"/>
        <v>0</v>
      </c>
      <c r="AX465">
        <f t="shared" si="204"/>
        <v>0</v>
      </c>
      <c r="AY465">
        <f t="shared" si="205"/>
        <v>0</v>
      </c>
      <c r="AZ465">
        <f t="shared" si="206"/>
        <v>0</v>
      </c>
      <c r="BA465">
        <f t="shared" si="207"/>
        <v>0</v>
      </c>
      <c r="BB465">
        <f t="shared" si="208"/>
        <v>0</v>
      </c>
      <c r="BC465">
        <f t="shared" si="209"/>
        <v>0</v>
      </c>
      <c r="BD465">
        <f t="shared" si="210"/>
        <v>0</v>
      </c>
      <c r="BE465">
        <f t="shared" si="211"/>
        <v>0</v>
      </c>
      <c r="BF465">
        <f t="shared" si="212"/>
        <v>0</v>
      </c>
      <c r="BG465">
        <f t="shared" si="213"/>
        <v>0</v>
      </c>
      <c r="BH465">
        <f t="shared" si="214"/>
        <v>0</v>
      </c>
    </row>
    <row r="466" spans="1:60" ht="15" customHeight="1">
      <c r="A466" s="206"/>
      <c r="B466" s="206"/>
      <c r="C466" s="1117" t="s">
        <v>4978</v>
      </c>
      <c r="D466" s="1136"/>
      <c r="E466" s="1136"/>
      <c r="F466" s="1118"/>
      <c r="G466" s="100"/>
      <c r="H466" s="100"/>
      <c r="I466" s="100"/>
      <c r="J466" s="100"/>
      <c r="K466" s="100"/>
      <c r="L466" s="100"/>
      <c r="M466" s="100"/>
      <c r="N466" s="100"/>
      <c r="O466" s="100"/>
      <c r="P466" s="100"/>
      <c r="Q466" s="100"/>
      <c r="R466" s="100"/>
      <c r="S466" s="100"/>
      <c r="T466" s="100"/>
      <c r="U466" s="100"/>
      <c r="V466" s="100"/>
      <c r="W466" s="100"/>
      <c r="X466" s="100"/>
      <c r="Y466" s="100"/>
      <c r="Z466" s="100"/>
      <c r="AA466" s="100"/>
      <c r="AB466" s="100"/>
      <c r="AC466" s="100"/>
      <c r="AD466" s="100"/>
      <c r="AF466"/>
      <c r="AG466"/>
      <c r="AH466"/>
      <c r="AI466"/>
      <c r="AJ466"/>
      <c r="AK466">
        <f t="shared" si="192"/>
        <v>0</v>
      </c>
      <c r="AL466">
        <f t="shared" si="193"/>
        <v>0</v>
      </c>
      <c r="AM466">
        <f t="shared" si="215"/>
        <v>0</v>
      </c>
      <c r="AN466">
        <f t="shared" si="194"/>
        <v>0</v>
      </c>
      <c r="AO466">
        <f t="shared" si="195"/>
        <v>0</v>
      </c>
      <c r="AP466">
        <f t="shared" si="196"/>
        <v>0</v>
      </c>
      <c r="AQ466">
        <f t="shared" si="197"/>
        <v>0</v>
      </c>
      <c r="AR466">
        <f t="shared" si="198"/>
        <v>0</v>
      </c>
      <c r="AS466">
        <f t="shared" si="199"/>
        <v>0</v>
      </c>
      <c r="AT466">
        <f t="shared" si="200"/>
        <v>0</v>
      </c>
      <c r="AU466">
        <f t="shared" si="201"/>
        <v>0</v>
      </c>
      <c r="AV466">
        <f t="shared" si="202"/>
        <v>0</v>
      </c>
      <c r="AW466">
        <f t="shared" si="203"/>
        <v>0</v>
      </c>
      <c r="AX466">
        <f t="shared" si="204"/>
        <v>0</v>
      </c>
      <c r="AY466">
        <f t="shared" si="205"/>
        <v>0</v>
      </c>
      <c r="AZ466">
        <f t="shared" si="206"/>
        <v>0</v>
      </c>
      <c r="BA466">
        <f t="shared" si="207"/>
        <v>0</v>
      </c>
      <c r="BB466">
        <f t="shared" si="208"/>
        <v>0</v>
      </c>
      <c r="BC466">
        <f t="shared" si="209"/>
        <v>0</v>
      </c>
      <c r="BD466">
        <f t="shared" si="210"/>
        <v>0</v>
      </c>
      <c r="BE466">
        <f t="shared" si="211"/>
        <v>0</v>
      </c>
      <c r="BF466">
        <f t="shared" si="212"/>
        <v>0</v>
      </c>
      <c r="BG466">
        <f t="shared" si="213"/>
        <v>0</v>
      </c>
      <c r="BH466">
        <f t="shared" si="214"/>
        <v>0</v>
      </c>
    </row>
    <row r="467" spans="1:60" ht="15" customHeight="1">
      <c r="A467" s="206"/>
      <c r="B467" s="201"/>
      <c r="C467" s="1119" t="s">
        <v>4980</v>
      </c>
      <c r="D467" s="1121"/>
      <c r="E467" s="1121"/>
      <c r="F467" s="1120"/>
      <c r="G467" s="100"/>
      <c r="H467" s="100"/>
      <c r="I467" s="100"/>
      <c r="J467" s="100"/>
      <c r="K467" s="100"/>
      <c r="L467" s="100"/>
      <c r="M467" s="100"/>
      <c r="N467" s="100"/>
      <c r="O467" s="100"/>
      <c r="P467" s="100"/>
      <c r="Q467" s="100"/>
      <c r="R467" s="100"/>
      <c r="S467" s="100"/>
      <c r="T467" s="100"/>
      <c r="U467" s="100"/>
      <c r="V467" s="100"/>
      <c r="W467" s="100"/>
      <c r="X467" s="100"/>
      <c r="Y467" s="100"/>
      <c r="Z467" s="100"/>
      <c r="AA467" s="100"/>
      <c r="AB467" s="100"/>
      <c r="AC467" s="100"/>
      <c r="AD467" s="100"/>
      <c r="AF467"/>
      <c r="AG467"/>
      <c r="AH467"/>
      <c r="AI467"/>
      <c r="AJ467"/>
      <c r="AK467">
        <f t="shared" si="192"/>
        <v>0</v>
      </c>
      <c r="AL467">
        <f t="shared" si="193"/>
        <v>0</v>
      </c>
      <c r="AM467">
        <f t="shared" si="215"/>
        <v>0</v>
      </c>
      <c r="AN467">
        <f t="shared" si="194"/>
        <v>0</v>
      </c>
      <c r="AO467">
        <f t="shared" si="195"/>
        <v>0</v>
      </c>
      <c r="AP467">
        <f t="shared" si="196"/>
        <v>0</v>
      </c>
      <c r="AQ467">
        <f t="shared" si="197"/>
        <v>0</v>
      </c>
      <c r="AR467">
        <f t="shared" si="198"/>
        <v>0</v>
      </c>
      <c r="AS467">
        <f t="shared" si="199"/>
        <v>0</v>
      </c>
      <c r="AT467">
        <f t="shared" si="200"/>
        <v>0</v>
      </c>
      <c r="AU467">
        <f t="shared" si="201"/>
        <v>0</v>
      </c>
      <c r="AV467">
        <f t="shared" si="202"/>
        <v>0</v>
      </c>
      <c r="AW467">
        <f t="shared" si="203"/>
        <v>0</v>
      </c>
      <c r="AX467">
        <f t="shared" si="204"/>
        <v>0</v>
      </c>
      <c r="AY467">
        <f t="shared" si="205"/>
        <v>0</v>
      </c>
      <c r="AZ467">
        <f t="shared" si="206"/>
        <v>0</v>
      </c>
      <c r="BA467">
        <f t="shared" si="207"/>
        <v>0</v>
      </c>
      <c r="BB467">
        <f t="shared" si="208"/>
        <v>0</v>
      </c>
      <c r="BC467">
        <f t="shared" si="209"/>
        <v>0</v>
      </c>
      <c r="BD467">
        <f t="shared" si="210"/>
        <v>0</v>
      </c>
      <c r="BE467">
        <f t="shared" si="211"/>
        <v>0</v>
      </c>
      <c r="BF467">
        <f t="shared" si="212"/>
        <v>0</v>
      </c>
      <c r="BG467">
        <f t="shared" si="213"/>
        <v>0</v>
      </c>
      <c r="BH467">
        <f t="shared" si="214"/>
        <v>0</v>
      </c>
    </row>
    <row r="468" spans="1:60" ht="15" customHeight="1">
      <c r="A468" s="206"/>
      <c r="B468" s="201"/>
      <c r="C468" s="1119" t="s">
        <v>4982</v>
      </c>
      <c r="D468" s="1121"/>
      <c r="E468" s="1121"/>
      <c r="F468" s="1120"/>
      <c r="G468" s="100"/>
      <c r="H468" s="100"/>
      <c r="I468" s="100"/>
      <c r="J468" s="100"/>
      <c r="K468" s="100"/>
      <c r="L468" s="100"/>
      <c r="M468" s="100"/>
      <c r="N468" s="100"/>
      <c r="O468" s="100"/>
      <c r="P468" s="100"/>
      <c r="Q468" s="100"/>
      <c r="R468" s="100"/>
      <c r="S468" s="100"/>
      <c r="T468" s="100"/>
      <c r="U468" s="100"/>
      <c r="V468" s="100"/>
      <c r="W468" s="100"/>
      <c r="X468" s="100"/>
      <c r="Y468" s="100"/>
      <c r="Z468" s="100"/>
      <c r="AA468" s="100"/>
      <c r="AB468" s="100"/>
      <c r="AC468" s="100"/>
      <c r="AD468" s="100"/>
      <c r="AF468"/>
      <c r="AG468"/>
      <c r="AH468"/>
      <c r="AI468"/>
      <c r="AJ468"/>
      <c r="AK468">
        <f t="shared" si="192"/>
        <v>0</v>
      </c>
      <c r="AL468">
        <f t="shared" si="193"/>
        <v>0</v>
      </c>
      <c r="AM468">
        <f t="shared" si="215"/>
        <v>0</v>
      </c>
      <c r="AN468">
        <f t="shared" si="194"/>
        <v>0</v>
      </c>
      <c r="AO468">
        <f t="shared" si="195"/>
        <v>0</v>
      </c>
      <c r="AP468">
        <f t="shared" si="196"/>
        <v>0</v>
      </c>
      <c r="AQ468">
        <f t="shared" si="197"/>
        <v>0</v>
      </c>
      <c r="AR468">
        <f t="shared" si="198"/>
        <v>0</v>
      </c>
      <c r="AS468">
        <f t="shared" si="199"/>
        <v>0</v>
      </c>
      <c r="AT468">
        <f t="shared" si="200"/>
        <v>0</v>
      </c>
      <c r="AU468">
        <f t="shared" si="201"/>
        <v>0</v>
      </c>
      <c r="AV468">
        <f t="shared" si="202"/>
        <v>0</v>
      </c>
      <c r="AW468">
        <f t="shared" si="203"/>
        <v>0</v>
      </c>
      <c r="AX468">
        <f t="shared" si="204"/>
        <v>0</v>
      </c>
      <c r="AY468">
        <f t="shared" si="205"/>
        <v>0</v>
      </c>
      <c r="AZ468">
        <f t="shared" si="206"/>
        <v>0</v>
      </c>
      <c r="BA468">
        <f t="shared" si="207"/>
        <v>0</v>
      </c>
      <c r="BB468">
        <f t="shared" si="208"/>
        <v>0</v>
      </c>
      <c r="BC468">
        <f t="shared" si="209"/>
        <v>0</v>
      </c>
      <c r="BD468">
        <f t="shared" si="210"/>
        <v>0</v>
      </c>
      <c r="BE468">
        <f t="shared" si="211"/>
        <v>0</v>
      </c>
      <c r="BF468">
        <f t="shared" si="212"/>
        <v>0</v>
      </c>
      <c r="BG468">
        <f t="shared" si="213"/>
        <v>0</v>
      </c>
      <c r="BH468">
        <f t="shared" si="214"/>
        <v>0</v>
      </c>
    </row>
    <row r="469" spans="1:60" ht="15" customHeight="1">
      <c r="A469" s="206"/>
      <c r="B469" s="201"/>
      <c r="C469" s="1119" t="s">
        <v>4984</v>
      </c>
      <c r="D469" s="1121"/>
      <c r="E469" s="1121"/>
      <c r="F469" s="1120"/>
      <c r="G469" s="100"/>
      <c r="H469" s="100"/>
      <c r="I469" s="100"/>
      <c r="J469" s="100"/>
      <c r="K469" s="100"/>
      <c r="L469" s="100"/>
      <c r="M469" s="100"/>
      <c r="N469" s="100"/>
      <c r="O469" s="100"/>
      <c r="P469" s="100"/>
      <c r="Q469" s="100"/>
      <c r="R469" s="100"/>
      <c r="S469" s="100"/>
      <c r="T469" s="100"/>
      <c r="U469" s="100"/>
      <c r="V469" s="100"/>
      <c r="W469" s="100"/>
      <c r="X469" s="100"/>
      <c r="Y469" s="100"/>
      <c r="Z469" s="100"/>
      <c r="AA469" s="100"/>
      <c r="AB469" s="100"/>
      <c r="AC469" s="100"/>
      <c r="AD469" s="100"/>
      <c r="AF469"/>
      <c r="AG469"/>
      <c r="AH469"/>
      <c r="AI469"/>
      <c r="AJ469"/>
      <c r="AK469">
        <f t="shared" si="192"/>
        <v>0</v>
      </c>
      <c r="AL469">
        <f t="shared" si="193"/>
        <v>0</v>
      </c>
      <c r="AM469">
        <f t="shared" si="215"/>
        <v>0</v>
      </c>
      <c r="AN469">
        <f t="shared" si="194"/>
        <v>0</v>
      </c>
      <c r="AO469">
        <f t="shared" si="195"/>
        <v>0</v>
      </c>
      <c r="AP469">
        <f t="shared" si="196"/>
        <v>0</v>
      </c>
      <c r="AQ469">
        <f t="shared" si="197"/>
        <v>0</v>
      </c>
      <c r="AR469">
        <f t="shared" si="198"/>
        <v>0</v>
      </c>
      <c r="AS469">
        <f t="shared" si="199"/>
        <v>0</v>
      </c>
      <c r="AT469">
        <f t="shared" si="200"/>
        <v>0</v>
      </c>
      <c r="AU469">
        <f t="shared" si="201"/>
        <v>0</v>
      </c>
      <c r="AV469">
        <f t="shared" si="202"/>
        <v>0</v>
      </c>
      <c r="AW469">
        <f t="shared" si="203"/>
        <v>0</v>
      </c>
      <c r="AX469">
        <f t="shared" si="204"/>
        <v>0</v>
      </c>
      <c r="AY469">
        <f t="shared" si="205"/>
        <v>0</v>
      </c>
      <c r="AZ469">
        <f t="shared" si="206"/>
        <v>0</v>
      </c>
      <c r="BA469">
        <f t="shared" si="207"/>
        <v>0</v>
      </c>
      <c r="BB469">
        <f t="shared" si="208"/>
        <v>0</v>
      </c>
      <c r="BC469">
        <f t="shared" si="209"/>
        <v>0</v>
      </c>
      <c r="BD469">
        <f t="shared" si="210"/>
        <v>0</v>
      </c>
      <c r="BE469">
        <f t="shared" si="211"/>
        <v>0</v>
      </c>
      <c r="BF469">
        <f t="shared" si="212"/>
        <v>0</v>
      </c>
      <c r="BG469">
        <f t="shared" si="213"/>
        <v>0</v>
      </c>
      <c r="BH469">
        <f t="shared" si="214"/>
        <v>0</v>
      </c>
    </row>
    <row r="470" spans="1:60" ht="15" customHeight="1">
      <c r="A470" s="206"/>
      <c r="B470" s="201"/>
      <c r="C470" s="1119" t="s">
        <v>4986</v>
      </c>
      <c r="D470" s="1121"/>
      <c r="E470" s="1121"/>
      <c r="F470" s="1120"/>
      <c r="G470" s="100"/>
      <c r="H470" s="100"/>
      <c r="I470" s="100"/>
      <c r="J470" s="100"/>
      <c r="K470" s="100"/>
      <c r="L470" s="100"/>
      <c r="M470" s="100"/>
      <c r="N470" s="100"/>
      <c r="O470" s="100"/>
      <c r="P470" s="100"/>
      <c r="Q470" s="100"/>
      <c r="R470" s="100"/>
      <c r="S470" s="100"/>
      <c r="T470" s="100"/>
      <c r="U470" s="100"/>
      <c r="V470" s="100"/>
      <c r="W470" s="100"/>
      <c r="X470" s="100"/>
      <c r="Y470" s="100"/>
      <c r="Z470" s="100"/>
      <c r="AA470" s="100"/>
      <c r="AB470" s="100"/>
      <c r="AC470" s="100"/>
      <c r="AD470" s="100"/>
      <c r="AF470"/>
      <c r="AG470"/>
      <c r="AH470"/>
      <c r="AI470"/>
      <c r="AJ470"/>
      <c r="AK470">
        <f t="shared" si="192"/>
        <v>0</v>
      </c>
      <c r="AL470">
        <f t="shared" si="193"/>
        <v>0</v>
      </c>
      <c r="AM470">
        <f t="shared" si="215"/>
        <v>0</v>
      </c>
      <c r="AN470">
        <f t="shared" si="194"/>
        <v>0</v>
      </c>
      <c r="AO470">
        <f t="shared" si="195"/>
        <v>0</v>
      </c>
      <c r="AP470">
        <f t="shared" si="196"/>
        <v>0</v>
      </c>
      <c r="AQ470">
        <f t="shared" si="197"/>
        <v>0</v>
      </c>
      <c r="AR470">
        <f t="shared" si="198"/>
        <v>0</v>
      </c>
      <c r="AS470">
        <f t="shared" si="199"/>
        <v>0</v>
      </c>
      <c r="AT470">
        <f t="shared" si="200"/>
        <v>0</v>
      </c>
      <c r="AU470">
        <f t="shared" si="201"/>
        <v>0</v>
      </c>
      <c r="AV470">
        <f t="shared" si="202"/>
        <v>0</v>
      </c>
      <c r="AW470">
        <f t="shared" si="203"/>
        <v>0</v>
      </c>
      <c r="AX470">
        <f t="shared" si="204"/>
        <v>0</v>
      </c>
      <c r="AY470">
        <f t="shared" si="205"/>
        <v>0</v>
      </c>
      <c r="AZ470">
        <f t="shared" si="206"/>
        <v>0</v>
      </c>
      <c r="BA470">
        <f t="shared" si="207"/>
        <v>0</v>
      </c>
      <c r="BB470">
        <f t="shared" si="208"/>
        <v>0</v>
      </c>
      <c r="BC470">
        <f t="shared" si="209"/>
        <v>0</v>
      </c>
      <c r="BD470">
        <f t="shared" si="210"/>
        <v>0</v>
      </c>
      <c r="BE470">
        <f t="shared" si="211"/>
        <v>0</v>
      </c>
      <c r="BF470">
        <f t="shared" si="212"/>
        <v>0</v>
      </c>
      <c r="BG470">
        <f t="shared" si="213"/>
        <v>0</v>
      </c>
      <c r="BH470">
        <f t="shared" si="214"/>
        <v>0</v>
      </c>
    </row>
    <row r="471" spans="1:60" ht="15" customHeight="1">
      <c r="A471" s="206"/>
      <c r="B471" s="201"/>
      <c r="C471" s="1119" t="s">
        <v>4988</v>
      </c>
      <c r="D471" s="1121"/>
      <c r="E471" s="1121"/>
      <c r="F471" s="1120"/>
      <c r="G471" s="100"/>
      <c r="H471" s="100"/>
      <c r="I471" s="100"/>
      <c r="J471" s="100"/>
      <c r="K471" s="100"/>
      <c r="L471" s="100"/>
      <c r="M471" s="100"/>
      <c r="N471" s="100"/>
      <c r="O471" s="100"/>
      <c r="P471" s="100"/>
      <c r="Q471" s="100"/>
      <c r="R471" s="100"/>
      <c r="S471" s="100"/>
      <c r="T471" s="100"/>
      <c r="U471" s="100"/>
      <c r="V471" s="100"/>
      <c r="W471" s="100"/>
      <c r="X471" s="100"/>
      <c r="Y471" s="100"/>
      <c r="Z471" s="100"/>
      <c r="AA471" s="100"/>
      <c r="AB471" s="100"/>
      <c r="AC471" s="100"/>
      <c r="AD471" s="100"/>
      <c r="AF471"/>
      <c r="AG471"/>
      <c r="AH471"/>
      <c r="AI471"/>
      <c r="AJ471"/>
      <c r="AK471">
        <f t="shared" si="192"/>
        <v>0</v>
      </c>
      <c r="AL471">
        <f t="shared" si="193"/>
        <v>0</v>
      </c>
      <c r="AM471">
        <f t="shared" si="215"/>
        <v>0</v>
      </c>
      <c r="AN471">
        <f t="shared" si="194"/>
        <v>0</v>
      </c>
      <c r="AO471">
        <f t="shared" si="195"/>
        <v>0</v>
      </c>
      <c r="AP471">
        <f t="shared" si="196"/>
        <v>0</v>
      </c>
      <c r="AQ471">
        <f t="shared" si="197"/>
        <v>0</v>
      </c>
      <c r="AR471">
        <f t="shared" si="198"/>
        <v>0</v>
      </c>
      <c r="AS471">
        <f t="shared" si="199"/>
        <v>0</v>
      </c>
      <c r="AT471">
        <f t="shared" si="200"/>
        <v>0</v>
      </c>
      <c r="AU471">
        <f t="shared" si="201"/>
        <v>0</v>
      </c>
      <c r="AV471">
        <f t="shared" si="202"/>
        <v>0</v>
      </c>
      <c r="AW471">
        <f t="shared" si="203"/>
        <v>0</v>
      </c>
      <c r="AX471">
        <f t="shared" si="204"/>
        <v>0</v>
      </c>
      <c r="AY471">
        <f t="shared" si="205"/>
        <v>0</v>
      </c>
      <c r="AZ471">
        <f t="shared" si="206"/>
        <v>0</v>
      </c>
      <c r="BA471">
        <f t="shared" si="207"/>
        <v>0</v>
      </c>
      <c r="BB471">
        <f t="shared" si="208"/>
        <v>0</v>
      </c>
      <c r="BC471">
        <f t="shared" si="209"/>
        <v>0</v>
      </c>
      <c r="BD471">
        <f t="shared" si="210"/>
        <v>0</v>
      </c>
      <c r="BE471">
        <f t="shared" si="211"/>
        <v>0</v>
      </c>
      <c r="BF471">
        <f t="shared" si="212"/>
        <v>0</v>
      </c>
      <c r="BG471">
        <f t="shared" si="213"/>
        <v>0</v>
      </c>
      <c r="BH471">
        <f t="shared" si="214"/>
        <v>0</v>
      </c>
    </row>
    <row r="472" spans="1:60" ht="15" customHeight="1">
      <c r="A472" s="206"/>
      <c r="B472" s="201"/>
      <c r="C472" s="1119" t="s">
        <v>4990</v>
      </c>
      <c r="D472" s="1121"/>
      <c r="E472" s="1121"/>
      <c r="F472" s="1120"/>
      <c r="G472" s="100"/>
      <c r="H472" s="100"/>
      <c r="I472" s="100"/>
      <c r="J472" s="100"/>
      <c r="K472" s="100"/>
      <c r="L472" s="100"/>
      <c r="M472" s="100"/>
      <c r="N472" s="100"/>
      <c r="O472" s="100"/>
      <c r="P472" s="100"/>
      <c r="Q472" s="100"/>
      <c r="R472" s="100"/>
      <c r="S472" s="100"/>
      <c r="T472" s="100"/>
      <c r="U472" s="100"/>
      <c r="V472" s="100"/>
      <c r="W472" s="100"/>
      <c r="X472" s="100"/>
      <c r="Y472" s="100"/>
      <c r="Z472" s="100"/>
      <c r="AA472" s="100"/>
      <c r="AB472" s="100"/>
      <c r="AC472" s="100"/>
      <c r="AD472" s="100"/>
      <c r="AF472"/>
      <c r="AG472"/>
      <c r="AH472"/>
      <c r="AI472"/>
      <c r="AJ472"/>
      <c r="AK472">
        <f t="shared" si="192"/>
        <v>0</v>
      </c>
      <c r="AL472">
        <f t="shared" si="193"/>
        <v>0</v>
      </c>
      <c r="AM472">
        <f t="shared" si="215"/>
        <v>0</v>
      </c>
      <c r="AN472">
        <f t="shared" si="194"/>
        <v>0</v>
      </c>
      <c r="AO472">
        <f t="shared" si="195"/>
        <v>0</v>
      </c>
      <c r="AP472">
        <f t="shared" si="196"/>
        <v>0</v>
      </c>
      <c r="AQ472">
        <f t="shared" si="197"/>
        <v>0</v>
      </c>
      <c r="AR472">
        <f t="shared" si="198"/>
        <v>0</v>
      </c>
      <c r="AS472">
        <f t="shared" si="199"/>
        <v>0</v>
      </c>
      <c r="AT472">
        <f t="shared" si="200"/>
        <v>0</v>
      </c>
      <c r="AU472">
        <f t="shared" si="201"/>
        <v>0</v>
      </c>
      <c r="AV472">
        <f t="shared" si="202"/>
        <v>0</v>
      </c>
      <c r="AW472">
        <f t="shared" si="203"/>
        <v>0</v>
      </c>
      <c r="AX472">
        <f t="shared" si="204"/>
        <v>0</v>
      </c>
      <c r="AY472">
        <f t="shared" si="205"/>
        <v>0</v>
      </c>
      <c r="AZ472">
        <f t="shared" si="206"/>
        <v>0</v>
      </c>
      <c r="BA472">
        <f t="shared" si="207"/>
        <v>0</v>
      </c>
      <c r="BB472">
        <f t="shared" si="208"/>
        <v>0</v>
      </c>
      <c r="BC472">
        <f t="shared" si="209"/>
        <v>0</v>
      </c>
      <c r="BD472">
        <f t="shared" si="210"/>
        <v>0</v>
      </c>
      <c r="BE472">
        <f t="shared" si="211"/>
        <v>0</v>
      </c>
      <c r="BF472">
        <f t="shared" si="212"/>
        <v>0</v>
      </c>
      <c r="BG472">
        <f t="shared" si="213"/>
        <v>0</v>
      </c>
      <c r="BH472">
        <f t="shared" si="214"/>
        <v>0</v>
      </c>
    </row>
    <row r="473" spans="1:60" ht="15" customHeight="1">
      <c r="A473" s="206"/>
      <c r="B473" s="201"/>
      <c r="C473" s="1119" t="s">
        <v>4992</v>
      </c>
      <c r="D473" s="1121"/>
      <c r="E473" s="1121"/>
      <c r="F473" s="1120"/>
      <c r="G473" s="100"/>
      <c r="H473" s="100"/>
      <c r="I473" s="100"/>
      <c r="J473" s="100"/>
      <c r="K473" s="100"/>
      <c r="L473" s="100"/>
      <c r="M473" s="100"/>
      <c r="N473" s="100"/>
      <c r="O473" s="100"/>
      <c r="P473" s="100"/>
      <c r="Q473" s="100"/>
      <c r="R473" s="100"/>
      <c r="S473" s="100"/>
      <c r="T473" s="100"/>
      <c r="U473" s="100"/>
      <c r="V473" s="100"/>
      <c r="W473" s="100"/>
      <c r="X473" s="100"/>
      <c r="Y473" s="100"/>
      <c r="Z473" s="100"/>
      <c r="AA473" s="100"/>
      <c r="AB473" s="100"/>
      <c r="AC473" s="100"/>
      <c r="AD473" s="100"/>
      <c r="AF473"/>
      <c r="AG473"/>
      <c r="AH473"/>
      <c r="AI473"/>
      <c r="AJ473"/>
      <c r="AK473">
        <f t="shared" si="192"/>
        <v>0</v>
      </c>
      <c r="AL473">
        <f t="shared" si="193"/>
        <v>0</v>
      </c>
      <c r="AM473">
        <f t="shared" si="215"/>
        <v>0</v>
      </c>
      <c r="AN473">
        <f t="shared" si="194"/>
        <v>0</v>
      </c>
      <c r="AO473">
        <f t="shared" si="195"/>
        <v>0</v>
      </c>
      <c r="AP473">
        <f t="shared" si="196"/>
        <v>0</v>
      </c>
      <c r="AQ473">
        <f t="shared" si="197"/>
        <v>0</v>
      </c>
      <c r="AR473">
        <f t="shared" si="198"/>
        <v>0</v>
      </c>
      <c r="AS473">
        <f t="shared" si="199"/>
        <v>0</v>
      </c>
      <c r="AT473">
        <f t="shared" si="200"/>
        <v>0</v>
      </c>
      <c r="AU473">
        <f t="shared" si="201"/>
        <v>0</v>
      </c>
      <c r="AV473">
        <f t="shared" si="202"/>
        <v>0</v>
      </c>
      <c r="AW473">
        <f t="shared" si="203"/>
        <v>0</v>
      </c>
      <c r="AX473">
        <f t="shared" si="204"/>
        <v>0</v>
      </c>
      <c r="AY473">
        <f t="shared" si="205"/>
        <v>0</v>
      </c>
      <c r="AZ473">
        <f t="shared" si="206"/>
        <v>0</v>
      </c>
      <c r="BA473">
        <f t="shared" si="207"/>
        <v>0</v>
      </c>
      <c r="BB473">
        <f t="shared" si="208"/>
        <v>0</v>
      </c>
      <c r="BC473">
        <f t="shared" si="209"/>
        <v>0</v>
      </c>
      <c r="BD473">
        <f t="shared" si="210"/>
        <v>0</v>
      </c>
      <c r="BE473">
        <f t="shared" si="211"/>
        <v>0</v>
      </c>
      <c r="BF473">
        <f t="shared" si="212"/>
        <v>0</v>
      </c>
      <c r="BG473">
        <f t="shared" si="213"/>
        <v>0</v>
      </c>
      <c r="BH473">
        <f t="shared" si="214"/>
        <v>0</v>
      </c>
    </row>
    <row r="474" spans="1:60" ht="15" customHeight="1">
      <c r="A474" s="206"/>
      <c r="B474" s="201"/>
      <c r="C474" s="1119" t="s">
        <v>4994</v>
      </c>
      <c r="D474" s="1121"/>
      <c r="E474" s="1121"/>
      <c r="F474" s="1120"/>
      <c r="G474" s="100"/>
      <c r="H474" s="100"/>
      <c r="I474" s="100"/>
      <c r="J474" s="100"/>
      <c r="K474" s="100"/>
      <c r="L474" s="100"/>
      <c r="M474" s="100"/>
      <c r="N474" s="100"/>
      <c r="O474" s="100"/>
      <c r="P474" s="100"/>
      <c r="Q474" s="100"/>
      <c r="R474" s="100"/>
      <c r="S474" s="100"/>
      <c r="T474" s="100"/>
      <c r="U474" s="100"/>
      <c r="V474" s="100"/>
      <c r="W474" s="100"/>
      <c r="X474" s="100"/>
      <c r="Y474" s="100"/>
      <c r="Z474" s="100"/>
      <c r="AA474" s="100"/>
      <c r="AB474" s="100"/>
      <c r="AC474" s="100"/>
      <c r="AD474" s="100"/>
      <c r="AF474"/>
      <c r="AG474"/>
      <c r="AH474"/>
      <c r="AI474"/>
      <c r="AJ474"/>
      <c r="AK474">
        <f t="shared" si="192"/>
        <v>0</v>
      </c>
      <c r="AL474">
        <f t="shared" si="193"/>
        <v>0</v>
      </c>
      <c r="AM474">
        <f t="shared" si="215"/>
        <v>0</v>
      </c>
      <c r="AN474">
        <f t="shared" si="194"/>
        <v>0</v>
      </c>
      <c r="AO474">
        <f t="shared" si="195"/>
        <v>0</v>
      </c>
      <c r="AP474">
        <f t="shared" si="196"/>
        <v>0</v>
      </c>
      <c r="AQ474">
        <f t="shared" si="197"/>
        <v>0</v>
      </c>
      <c r="AR474">
        <f t="shared" si="198"/>
        <v>0</v>
      </c>
      <c r="AS474">
        <f t="shared" si="199"/>
        <v>0</v>
      </c>
      <c r="AT474">
        <f t="shared" si="200"/>
        <v>0</v>
      </c>
      <c r="AU474">
        <f t="shared" si="201"/>
        <v>0</v>
      </c>
      <c r="AV474">
        <f t="shared" si="202"/>
        <v>0</v>
      </c>
      <c r="AW474">
        <f t="shared" si="203"/>
        <v>0</v>
      </c>
      <c r="AX474">
        <f t="shared" si="204"/>
        <v>0</v>
      </c>
      <c r="AY474">
        <f t="shared" si="205"/>
        <v>0</v>
      </c>
      <c r="AZ474">
        <f t="shared" si="206"/>
        <v>0</v>
      </c>
      <c r="BA474">
        <f t="shared" si="207"/>
        <v>0</v>
      </c>
      <c r="BB474">
        <f t="shared" si="208"/>
        <v>0</v>
      </c>
      <c r="BC474">
        <f t="shared" si="209"/>
        <v>0</v>
      </c>
      <c r="BD474">
        <f t="shared" si="210"/>
        <v>0</v>
      </c>
      <c r="BE474">
        <f t="shared" si="211"/>
        <v>0</v>
      </c>
      <c r="BF474">
        <f t="shared" si="212"/>
        <v>0</v>
      </c>
      <c r="BG474">
        <f t="shared" si="213"/>
        <v>0</v>
      </c>
      <c r="BH474">
        <f t="shared" si="214"/>
        <v>0</v>
      </c>
    </row>
    <row r="475" spans="1:60" ht="15" customHeight="1">
      <c r="A475" s="206"/>
      <c r="B475" s="206"/>
      <c r="C475" s="1117" t="s">
        <v>4995</v>
      </c>
      <c r="D475" s="1136"/>
      <c r="E475" s="1136"/>
      <c r="F475" s="1118"/>
      <c r="G475" s="100"/>
      <c r="H475" s="100"/>
      <c r="I475" s="100"/>
      <c r="J475" s="100"/>
      <c r="K475" s="100"/>
      <c r="L475" s="100"/>
      <c r="M475" s="100"/>
      <c r="N475" s="100"/>
      <c r="O475" s="100"/>
      <c r="P475" s="100"/>
      <c r="Q475" s="100"/>
      <c r="R475" s="100"/>
      <c r="S475" s="100"/>
      <c r="T475" s="100"/>
      <c r="U475" s="100"/>
      <c r="V475" s="100"/>
      <c r="W475" s="100"/>
      <c r="X475" s="100"/>
      <c r="Y475" s="100"/>
      <c r="Z475" s="100"/>
      <c r="AA475" s="100"/>
      <c r="AB475" s="100"/>
      <c r="AC475" s="100"/>
      <c r="AD475" s="100"/>
      <c r="AF475"/>
      <c r="AG475"/>
      <c r="AH475"/>
      <c r="AI475"/>
      <c r="AJ475"/>
      <c r="AK475">
        <f t="shared" si="192"/>
        <v>0</v>
      </c>
      <c r="AL475">
        <f t="shared" si="193"/>
        <v>0</v>
      </c>
      <c r="AM475">
        <f t="shared" si="215"/>
        <v>0</v>
      </c>
      <c r="AN475">
        <f t="shared" si="194"/>
        <v>0</v>
      </c>
      <c r="AO475">
        <f t="shared" si="195"/>
        <v>0</v>
      </c>
      <c r="AP475">
        <f t="shared" si="196"/>
        <v>0</v>
      </c>
      <c r="AQ475">
        <f t="shared" si="197"/>
        <v>0</v>
      </c>
      <c r="AR475">
        <f t="shared" si="198"/>
        <v>0</v>
      </c>
      <c r="AS475">
        <f t="shared" si="199"/>
        <v>0</v>
      </c>
      <c r="AT475">
        <f t="shared" si="200"/>
        <v>0</v>
      </c>
      <c r="AU475">
        <f t="shared" si="201"/>
        <v>0</v>
      </c>
      <c r="AV475">
        <f t="shared" si="202"/>
        <v>0</v>
      </c>
      <c r="AW475">
        <f t="shared" si="203"/>
        <v>0</v>
      </c>
      <c r="AX475">
        <f t="shared" si="204"/>
        <v>0</v>
      </c>
      <c r="AY475">
        <f t="shared" si="205"/>
        <v>0</v>
      </c>
      <c r="AZ475">
        <f t="shared" si="206"/>
        <v>0</v>
      </c>
      <c r="BA475">
        <f t="shared" si="207"/>
        <v>0</v>
      </c>
      <c r="BB475">
        <f t="shared" si="208"/>
        <v>0</v>
      </c>
      <c r="BC475">
        <f t="shared" si="209"/>
        <v>0</v>
      </c>
      <c r="BD475">
        <f t="shared" si="210"/>
        <v>0</v>
      </c>
      <c r="BE475">
        <f t="shared" si="211"/>
        <v>0</v>
      </c>
      <c r="BF475">
        <f t="shared" si="212"/>
        <v>0</v>
      </c>
      <c r="BG475">
        <f t="shared" si="213"/>
        <v>0</v>
      </c>
      <c r="BH475">
        <f t="shared" si="214"/>
        <v>0</v>
      </c>
    </row>
    <row r="476" spans="1:60" ht="15" customHeight="1">
      <c r="A476" s="206"/>
      <c r="B476" s="206"/>
      <c r="C476" s="1117" t="s">
        <v>4997</v>
      </c>
      <c r="D476" s="1136"/>
      <c r="E476" s="1136"/>
      <c r="F476" s="1118"/>
      <c r="G476" s="100"/>
      <c r="H476" s="100"/>
      <c r="I476" s="100"/>
      <c r="J476" s="100"/>
      <c r="K476" s="100"/>
      <c r="L476" s="100"/>
      <c r="M476" s="100"/>
      <c r="N476" s="100"/>
      <c r="O476" s="100"/>
      <c r="P476" s="100"/>
      <c r="Q476" s="100"/>
      <c r="R476" s="100"/>
      <c r="S476" s="100"/>
      <c r="T476" s="100"/>
      <c r="U476" s="100"/>
      <c r="V476" s="100"/>
      <c r="W476" s="100"/>
      <c r="X476" s="100"/>
      <c r="Y476" s="100"/>
      <c r="Z476" s="100"/>
      <c r="AA476" s="100"/>
      <c r="AB476" s="100"/>
      <c r="AC476" s="100"/>
      <c r="AD476" s="100"/>
      <c r="AF476"/>
      <c r="AG476"/>
      <c r="AH476"/>
      <c r="AI476"/>
      <c r="AJ476"/>
      <c r="AK476">
        <f t="shared" si="192"/>
        <v>0</v>
      </c>
      <c r="AL476">
        <f t="shared" si="193"/>
        <v>0</v>
      </c>
      <c r="AM476">
        <f t="shared" si="215"/>
        <v>0</v>
      </c>
      <c r="AN476">
        <f t="shared" si="194"/>
        <v>0</v>
      </c>
      <c r="AO476">
        <f t="shared" si="195"/>
        <v>0</v>
      </c>
      <c r="AP476">
        <f t="shared" si="196"/>
        <v>0</v>
      </c>
      <c r="AQ476">
        <f t="shared" si="197"/>
        <v>0</v>
      </c>
      <c r="AR476">
        <f t="shared" si="198"/>
        <v>0</v>
      </c>
      <c r="AS476">
        <f t="shared" si="199"/>
        <v>0</v>
      </c>
      <c r="AT476">
        <f t="shared" si="200"/>
        <v>0</v>
      </c>
      <c r="AU476">
        <f t="shared" si="201"/>
        <v>0</v>
      </c>
      <c r="AV476">
        <f t="shared" si="202"/>
        <v>0</v>
      </c>
      <c r="AW476">
        <f t="shared" si="203"/>
        <v>0</v>
      </c>
      <c r="AX476">
        <f t="shared" si="204"/>
        <v>0</v>
      </c>
      <c r="AY476">
        <f t="shared" si="205"/>
        <v>0</v>
      </c>
      <c r="AZ476">
        <f t="shared" si="206"/>
        <v>0</v>
      </c>
      <c r="BA476">
        <f t="shared" si="207"/>
        <v>0</v>
      </c>
      <c r="BB476">
        <f t="shared" si="208"/>
        <v>0</v>
      </c>
      <c r="BC476">
        <f t="shared" si="209"/>
        <v>0</v>
      </c>
      <c r="BD476">
        <f t="shared" si="210"/>
        <v>0</v>
      </c>
      <c r="BE476">
        <f t="shared" si="211"/>
        <v>0</v>
      </c>
      <c r="BF476">
        <f t="shared" si="212"/>
        <v>0</v>
      </c>
      <c r="BG476">
        <f t="shared" si="213"/>
        <v>0</v>
      </c>
      <c r="BH476">
        <f t="shared" si="214"/>
        <v>0</v>
      </c>
    </row>
    <row r="477" spans="1:60" ht="15" customHeight="1">
      <c r="A477" s="206"/>
      <c r="B477" s="206"/>
      <c r="C477" s="1117" t="s">
        <v>4999</v>
      </c>
      <c r="D477" s="1136"/>
      <c r="E477" s="1136"/>
      <c r="F477" s="1118"/>
      <c r="G477" s="100"/>
      <c r="H477" s="100"/>
      <c r="I477" s="100"/>
      <c r="J477" s="100"/>
      <c r="K477" s="100"/>
      <c r="L477" s="100"/>
      <c r="M477" s="100"/>
      <c r="N477" s="100"/>
      <c r="O477" s="100"/>
      <c r="P477" s="100"/>
      <c r="Q477" s="100"/>
      <c r="R477" s="100"/>
      <c r="S477" s="100"/>
      <c r="T477" s="100"/>
      <c r="U477" s="100"/>
      <c r="V477" s="100"/>
      <c r="W477" s="100"/>
      <c r="X477" s="100"/>
      <c r="Y477" s="100"/>
      <c r="Z477" s="100"/>
      <c r="AA477" s="100"/>
      <c r="AB477" s="100"/>
      <c r="AC477" s="100"/>
      <c r="AD477" s="100"/>
      <c r="AF477"/>
      <c r="AG477"/>
      <c r="AH477"/>
      <c r="AI477"/>
      <c r="AJ477"/>
      <c r="AK477">
        <f t="shared" si="192"/>
        <v>0</v>
      </c>
      <c r="AL477">
        <f t="shared" si="193"/>
        <v>0</v>
      </c>
      <c r="AM477">
        <f t="shared" si="215"/>
        <v>0</v>
      </c>
      <c r="AN477">
        <f t="shared" si="194"/>
        <v>0</v>
      </c>
      <c r="AO477">
        <f t="shared" si="195"/>
        <v>0</v>
      </c>
      <c r="AP477">
        <f t="shared" si="196"/>
        <v>0</v>
      </c>
      <c r="AQ477">
        <f t="shared" si="197"/>
        <v>0</v>
      </c>
      <c r="AR477">
        <f t="shared" si="198"/>
        <v>0</v>
      </c>
      <c r="AS477">
        <f t="shared" si="199"/>
        <v>0</v>
      </c>
      <c r="AT477">
        <f t="shared" si="200"/>
        <v>0</v>
      </c>
      <c r="AU477">
        <f t="shared" si="201"/>
        <v>0</v>
      </c>
      <c r="AV477">
        <f t="shared" si="202"/>
        <v>0</v>
      </c>
      <c r="AW477">
        <f t="shared" si="203"/>
        <v>0</v>
      </c>
      <c r="AX477">
        <f t="shared" si="204"/>
        <v>0</v>
      </c>
      <c r="AY477">
        <f t="shared" si="205"/>
        <v>0</v>
      </c>
      <c r="AZ477">
        <f t="shared" si="206"/>
        <v>0</v>
      </c>
      <c r="BA477">
        <f t="shared" si="207"/>
        <v>0</v>
      </c>
      <c r="BB477">
        <f t="shared" si="208"/>
        <v>0</v>
      </c>
      <c r="BC477">
        <f t="shared" si="209"/>
        <v>0</v>
      </c>
      <c r="BD477">
        <f t="shared" si="210"/>
        <v>0</v>
      </c>
      <c r="BE477">
        <f t="shared" si="211"/>
        <v>0</v>
      </c>
      <c r="BF477">
        <f t="shared" si="212"/>
        <v>0</v>
      </c>
      <c r="BG477">
        <f t="shared" si="213"/>
        <v>0</v>
      </c>
      <c r="BH477">
        <f t="shared" si="214"/>
        <v>0</v>
      </c>
    </row>
    <row r="478" spans="1:60" ht="15" customHeight="1">
      <c r="A478" s="206"/>
      <c r="B478" s="206"/>
      <c r="C478" s="1117" t="s">
        <v>5001</v>
      </c>
      <c r="D478" s="1136"/>
      <c r="E478" s="1136"/>
      <c r="F478" s="1118"/>
      <c r="G478" s="100"/>
      <c r="H478" s="100"/>
      <c r="I478" s="100"/>
      <c r="J478" s="100"/>
      <c r="K478" s="100"/>
      <c r="L478" s="100"/>
      <c r="M478" s="100"/>
      <c r="N478" s="100"/>
      <c r="O478" s="100"/>
      <c r="P478" s="100"/>
      <c r="Q478" s="100"/>
      <c r="R478" s="100"/>
      <c r="S478" s="100"/>
      <c r="T478" s="100"/>
      <c r="U478" s="100"/>
      <c r="V478" s="100"/>
      <c r="W478" s="100"/>
      <c r="X478" s="100"/>
      <c r="Y478" s="100"/>
      <c r="Z478" s="100"/>
      <c r="AA478" s="100"/>
      <c r="AB478" s="100"/>
      <c r="AC478" s="100"/>
      <c r="AD478" s="100"/>
      <c r="AF478"/>
      <c r="AG478"/>
      <c r="AH478"/>
      <c r="AI478"/>
      <c r="AJ478"/>
      <c r="AK478">
        <f t="shared" si="192"/>
        <v>0</v>
      </c>
      <c r="AL478">
        <f t="shared" si="193"/>
        <v>0</v>
      </c>
      <c r="AM478">
        <f t="shared" si="215"/>
        <v>0</v>
      </c>
      <c r="AN478">
        <f t="shared" si="194"/>
        <v>0</v>
      </c>
      <c r="AO478">
        <f t="shared" si="195"/>
        <v>0</v>
      </c>
      <c r="AP478">
        <f t="shared" si="196"/>
        <v>0</v>
      </c>
      <c r="AQ478">
        <f t="shared" si="197"/>
        <v>0</v>
      </c>
      <c r="AR478">
        <f t="shared" si="198"/>
        <v>0</v>
      </c>
      <c r="AS478">
        <f t="shared" si="199"/>
        <v>0</v>
      </c>
      <c r="AT478">
        <f t="shared" si="200"/>
        <v>0</v>
      </c>
      <c r="AU478">
        <f t="shared" si="201"/>
        <v>0</v>
      </c>
      <c r="AV478">
        <f t="shared" si="202"/>
        <v>0</v>
      </c>
      <c r="AW478">
        <f t="shared" si="203"/>
        <v>0</v>
      </c>
      <c r="AX478">
        <f t="shared" si="204"/>
        <v>0</v>
      </c>
      <c r="AY478">
        <f t="shared" si="205"/>
        <v>0</v>
      </c>
      <c r="AZ478">
        <f t="shared" si="206"/>
        <v>0</v>
      </c>
      <c r="BA478">
        <f t="shared" si="207"/>
        <v>0</v>
      </c>
      <c r="BB478">
        <f t="shared" si="208"/>
        <v>0</v>
      </c>
      <c r="BC478">
        <f t="shared" si="209"/>
        <v>0</v>
      </c>
      <c r="BD478">
        <f t="shared" si="210"/>
        <v>0</v>
      </c>
      <c r="BE478">
        <f t="shared" si="211"/>
        <v>0</v>
      </c>
      <c r="BF478">
        <f t="shared" si="212"/>
        <v>0</v>
      </c>
      <c r="BG478">
        <f t="shared" si="213"/>
        <v>0</v>
      </c>
      <c r="BH478">
        <f t="shared" si="214"/>
        <v>0</v>
      </c>
    </row>
    <row r="479" spans="1:60" ht="15" customHeight="1">
      <c r="A479" s="206"/>
      <c r="B479" s="201"/>
      <c r="C479" s="1119" t="s">
        <v>5003</v>
      </c>
      <c r="D479" s="1121"/>
      <c r="E479" s="1121"/>
      <c r="F479" s="1120"/>
      <c r="G479" s="100"/>
      <c r="H479" s="100"/>
      <c r="I479" s="100"/>
      <c r="J479" s="100"/>
      <c r="K479" s="100"/>
      <c r="L479" s="100"/>
      <c r="M479" s="100"/>
      <c r="N479" s="100"/>
      <c r="O479" s="100"/>
      <c r="P479" s="100"/>
      <c r="Q479" s="100"/>
      <c r="R479" s="100"/>
      <c r="S479" s="100"/>
      <c r="T479" s="100"/>
      <c r="U479" s="100"/>
      <c r="V479" s="100"/>
      <c r="W479" s="100"/>
      <c r="X479" s="100"/>
      <c r="Y479" s="100"/>
      <c r="Z479" s="100"/>
      <c r="AA479" s="100"/>
      <c r="AB479" s="100"/>
      <c r="AC479" s="100"/>
      <c r="AD479" s="100"/>
      <c r="AF479"/>
      <c r="AG479"/>
      <c r="AH479"/>
      <c r="AI479"/>
      <c r="AJ479"/>
      <c r="AK479">
        <f t="shared" si="192"/>
        <v>0</v>
      </c>
      <c r="AL479">
        <f t="shared" si="193"/>
        <v>0</v>
      </c>
      <c r="AM479">
        <f t="shared" si="215"/>
        <v>0</v>
      </c>
      <c r="AN479">
        <f t="shared" si="194"/>
        <v>0</v>
      </c>
      <c r="AO479">
        <f t="shared" si="195"/>
        <v>0</v>
      </c>
      <c r="AP479">
        <f t="shared" si="196"/>
        <v>0</v>
      </c>
      <c r="AQ479">
        <f t="shared" si="197"/>
        <v>0</v>
      </c>
      <c r="AR479">
        <f t="shared" si="198"/>
        <v>0</v>
      </c>
      <c r="AS479">
        <f t="shared" si="199"/>
        <v>0</v>
      </c>
      <c r="AT479">
        <f t="shared" si="200"/>
        <v>0</v>
      </c>
      <c r="AU479">
        <f t="shared" si="201"/>
        <v>0</v>
      </c>
      <c r="AV479">
        <f t="shared" si="202"/>
        <v>0</v>
      </c>
      <c r="AW479">
        <f t="shared" si="203"/>
        <v>0</v>
      </c>
      <c r="AX479">
        <f t="shared" si="204"/>
        <v>0</v>
      </c>
      <c r="AY479">
        <f t="shared" si="205"/>
        <v>0</v>
      </c>
      <c r="AZ479">
        <f t="shared" si="206"/>
        <v>0</v>
      </c>
      <c r="BA479">
        <f t="shared" si="207"/>
        <v>0</v>
      </c>
      <c r="BB479">
        <f t="shared" si="208"/>
        <v>0</v>
      </c>
      <c r="BC479">
        <f t="shared" si="209"/>
        <v>0</v>
      </c>
      <c r="BD479">
        <f t="shared" si="210"/>
        <v>0</v>
      </c>
      <c r="BE479">
        <f t="shared" si="211"/>
        <v>0</v>
      </c>
      <c r="BF479">
        <f t="shared" si="212"/>
        <v>0</v>
      </c>
      <c r="BG479">
        <f t="shared" si="213"/>
        <v>0</v>
      </c>
      <c r="BH479">
        <f t="shared" si="214"/>
        <v>0</v>
      </c>
    </row>
    <row r="480" spans="1:60" ht="15" customHeight="1">
      <c r="A480" s="206"/>
      <c r="B480" s="201"/>
      <c r="C480" s="1119" t="s">
        <v>5005</v>
      </c>
      <c r="D480" s="1121"/>
      <c r="E480" s="1121"/>
      <c r="F480" s="1120"/>
      <c r="G480" s="100"/>
      <c r="H480" s="100"/>
      <c r="I480" s="100"/>
      <c r="J480" s="100"/>
      <c r="K480" s="100"/>
      <c r="L480" s="100"/>
      <c r="M480" s="100"/>
      <c r="N480" s="100"/>
      <c r="O480" s="100"/>
      <c r="P480" s="100"/>
      <c r="Q480" s="100"/>
      <c r="R480" s="100"/>
      <c r="S480" s="100"/>
      <c r="T480" s="100"/>
      <c r="U480" s="100"/>
      <c r="V480" s="100"/>
      <c r="W480" s="100"/>
      <c r="X480" s="100"/>
      <c r="Y480" s="100"/>
      <c r="Z480" s="100"/>
      <c r="AA480" s="100"/>
      <c r="AB480" s="100"/>
      <c r="AC480" s="100"/>
      <c r="AD480" s="100"/>
      <c r="AF480"/>
      <c r="AG480"/>
      <c r="AH480"/>
      <c r="AI480"/>
      <c r="AJ480"/>
      <c r="AK480">
        <f t="shared" si="192"/>
        <v>0</v>
      </c>
      <c r="AL480">
        <f t="shared" si="193"/>
        <v>0</v>
      </c>
      <c r="AM480">
        <f t="shared" si="215"/>
        <v>0</v>
      </c>
      <c r="AN480">
        <f t="shared" si="194"/>
        <v>0</v>
      </c>
      <c r="AO480">
        <f t="shared" si="195"/>
        <v>0</v>
      </c>
      <c r="AP480">
        <f t="shared" si="196"/>
        <v>0</v>
      </c>
      <c r="AQ480">
        <f t="shared" si="197"/>
        <v>0</v>
      </c>
      <c r="AR480">
        <f t="shared" si="198"/>
        <v>0</v>
      </c>
      <c r="AS480">
        <f t="shared" si="199"/>
        <v>0</v>
      </c>
      <c r="AT480">
        <f t="shared" si="200"/>
        <v>0</v>
      </c>
      <c r="AU480">
        <f t="shared" si="201"/>
        <v>0</v>
      </c>
      <c r="AV480">
        <f t="shared" si="202"/>
        <v>0</v>
      </c>
      <c r="AW480">
        <f t="shared" si="203"/>
        <v>0</v>
      </c>
      <c r="AX480">
        <f t="shared" si="204"/>
        <v>0</v>
      </c>
      <c r="AY480">
        <f t="shared" si="205"/>
        <v>0</v>
      </c>
      <c r="AZ480">
        <f t="shared" si="206"/>
        <v>0</v>
      </c>
      <c r="BA480">
        <f t="shared" si="207"/>
        <v>0</v>
      </c>
      <c r="BB480">
        <f t="shared" si="208"/>
        <v>0</v>
      </c>
      <c r="BC480">
        <f t="shared" si="209"/>
        <v>0</v>
      </c>
      <c r="BD480">
        <f t="shared" si="210"/>
        <v>0</v>
      </c>
      <c r="BE480">
        <f t="shared" si="211"/>
        <v>0</v>
      </c>
      <c r="BF480">
        <f t="shared" si="212"/>
        <v>0</v>
      </c>
      <c r="BG480">
        <f t="shared" si="213"/>
        <v>0</v>
      </c>
      <c r="BH480">
        <f t="shared" si="214"/>
        <v>0</v>
      </c>
    </row>
    <row r="481" spans="1:60" ht="15" customHeight="1">
      <c r="A481" s="206"/>
      <c r="B481" s="201"/>
      <c r="C481" s="1119" t="s">
        <v>5007</v>
      </c>
      <c r="D481" s="1121"/>
      <c r="E481" s="1121"/>
      <c r="F481" s="1120"/>
      <c r="G481" s="100"/>
      <c r="H481" s="100"/>
      <c r="I481" s="100"/>
      <c r="J481" s="100"/>
      <c r="K481" s="100"/>
      <c r="L481" s="100"/>
      <c r="M481" s="100"/>
      <c r="N481" s="100"/>
      <c r="O481" s="100"/>
      <c r="P481" s="100"/>
      <c r="Q481" s="100"/>
      <c r="R481" s="100"/>
      <c r="S481" s="100"/>
      <c r="T481" s="100"/>
      <c r="U481" s="100"/>
      <c r="V481" s="100"/>
      <c r="W481" s="100"/>
      <c r="X481" s="100"/>
      <c r="Y481" s="100"/>
      <c r="Z481" s="100"/>
      <c r="AA481" s="100"/>
      <c r="AB481" s="100"/>
      <c r="AC481" s="100"/>
      <c r="AD481" s="100"/>
      <c r="AF481"/>
      <c r="AG481"/>
      <c r="AH481"/>
      <c r="AI481"/>
      <c r="AJ481"/>
      <c r="AK481">
        <f t="shared" si="192"/>
        <v>0</v>
      </c>
      <c r="AL481">
        <f t="shared" si="193"/>
        <v>0</v>
      </c>
      <c r="AM481">
        <f t="shared" si="215"/>
        <v>0</v>
      </c>
      <c r="AN481">
        <f t="shared" si="194"/>
        <v>0</v>
      </c>
      <c r="AO481">
        <f t="shared" si="195"/>
        <v>0</v>
      </c>
      <c r="AP481">
        <f t="shared" si="196"/>
        <v>0</v>
      </c>
      <c r="AQ481">
        <f t="shared" si="197"/>
        <v>0</v>
      </c>
      <c r="AR481">
        <f t="shared" si="198"/>
        <v>0</v>
      </c>
      <c r="AS481">
        <f t="shared" si="199"/>
        <v>0</v>
      </c>
      <c r="AT481">
        <f t="shared" si="200"/>
        <v>0</v>
      </c>
      <c r="AU481">
        <f t="shared" si="201"/>
        <v>0</v>
      </c>
      <c r="AV481">
        <f t="shared" si="202"/>
        <v>0</v>
      </c>
      <c r="AW481">
        <f t="shared" si="203"/>
        <v>0</v>
      </c>
      <c r="AX481">
        <f t="shared" si="204"/>
        <v>0</v>
      </c>
      <c r="AY481">
        <f t="shared" si="205"/>
        <v>0</v>
      </c>
      <c r="AZ481">
        <f t="shared" si="206"/>
        <v>0</v>
      </c>
      <c r="BA481">
        <f t="shared" si="207"/>
        <v>0</v>
      </c>
      <c r="BB481">
        <f t="shared" si="208"/>
        <v>0</v>
      </c>
      <c r="BC481">
        <f t="shared" si="209"/>
        <v>0</v>
      </c>
      <c r="BD481">
        <f t="shared" si="210"/>
        <v>0</v>
      </c>
      <c r="BE481">
        <f t="shared" si="211"/>
        <v>0</v>
      </c>
      <c r="BF481">
        <f t="shared" si="212"/>
        <v>0</v>
      </c>
      <c r="BG481">
        <f t="shared" si="213"/>
        <v>0</v>
      </c>
      <c r="BH481">
        <f t="shared" si="214"/>
        <v>0</v>
      </c>
    </row>
    <row r="482" spans="1:60" ht="15" customHeight="1">
      <c r="A482" s="206"/>
      <c r="B482" s="201"/>
      <c r="C482" s="1119" t="s">
        <v>5009</v>
      </c>
      <c r="D482" s="1121"/>
      <c r="E482" s="1121"/>
      <c r="F482" s="1120"/>
      <c r="G482" s="100"/>
      <c r="H482" s="100"/>
      <c r="I482" s="100"/>
      <c r="J482" s="100"/>
      <c r="K482" s="100"/>
      <c r="L482" s="100"/>
      <c r="M482" s="100"/>
      <c r="N482" s="100"/>
      <c r="O482" s="100"/>
      <c r="P482" s="100"/>
      <c r="Q482" s="100"/>
      <c r="R482" s="100"/>
      <c r="S482" s="100"/>
      <c r="T482" s="100"/>
      <c r="U482" s="100"/>
      <c r="V482" s="100"/>
      <c r="W482" s="100"/>
      <c r="X482" s="100"/>
      <c r="Y482" s="100"/>
      <c r="Z482" s="100"/>
      <c r="AA482" s="100"/>
      <c r="AB482" s="100"/>
      <c r="AC482" s="100"/>
      <c r="AD482" s="100"/>
      <c r="AF482"/>
      <c r="AG482"/>
      <c r="AH482"/>
      <c r="AI482"/>
      <c r="AJ482"/>
      <c r="AK482">
        <f t="shared" si="192"/>
        <v>0</v>
      </c>
      <c r="AL482">
        <f t="shared" si="193"/>
        <v>0</v>
      </c>
      <c r="AM482">
        <f t="shared" si="215"/>
        <v>0</v>
      </c>
      <c r="AN482">
        <f t="shared" si="194"/>
        <v>0</v>
      </c>
      <c r="AO482">
        <f t="shared" si="195"/>
        <v>0</v>
      </c>
      <c r="AP482">
        <f t="shared" si="196"/>
        <v>0</v>
      </c>
      <c r="AQ482">
        <f t="shared" si="197"/>
        <v>0</v>
      </c>
      <c r="AR482">
        <f t="shared" si="198"/>
        <v>0</v>
      </c>
      <c r="AS482">
        <f t="shared" si="199"/>
        <v>0</v>
      </c>
      <c r="AT482">
        <f t="shared" si="200"/>
        <v>0</v>
      </c>
      <c r="AU482">
        <f t="shared" si="201"/>
        <v>0</v>
      </c>
      <c r="AV482">
        <f t="shared" si="202"/>
        <v>0</v>
      </c>
      <c r="AW482">
        <f t="shared" si="203"/>
        <v>0</v>
      </c>
      <c r="AX482">
        <f t="shared" si="204"/>
        <v>0</v>
      </c>
      <c r="AY482">
        <f t="shared" si="205"/>
        <v>0</v>
      </c>
      <c r="AZ482">
        <f t="shared" si="206"/>
        <v>0</v>
      </c>
      <c r="BA482">
        <f t="shared" si="207"/>
        <v>0</v>
      </c>
      <c r="BB482">
        <f t="shared" si="208"/>
        <v>0</v>
      </c>
      <c r="BC482">
        <f t="shared" si="209"/>
        <v>0</v>
      </c>
      <c r="BD482">
        <f t="shared" si="210"/>
        <v>0</v>
      </c>
      <c r="BE482">
        <f t="shared" si="211"/>
        <v>0</v>
      </c>
      <c r="BF482">
        <f t="shared" si="212"/>
        <v>0</v>
      </c>
      <c r="BG482">
        <f t="shared" si="213"/>
        <v>0</v>
      </c>
      <c r="BH482">
        <f t="shared" si="214"/>
        <v>0</v>
      </c>
    </row>
    <row r="483" spans="1:60" ht="15" customHeight="1">
      <c r="A483" s="206"/>
      <c r="B483" s="201"/>
      <c r="C483" s="1119" t="s">
        <v>5011</v>
      </c>
      <c r="D483" s="1121"/>
      <c r="E483" s="1121"/>
      <c r="F483" s="1120"/>
      <c r="G483" s="100"/>
      <c r="H483" s="100"/>
      <c r="I483" s="100"/>
      <c r="J483" s="100"/>
      <c r="K483" s="100"/>
      <c r="L483" s="100"/>
      <c r="M483" s="100"/>
      <c r="N483" s="100"/>
      <c r="O483" s="100"/>
      <c r="P483" s="100"/>
      <c r="Q483" s="100"/>
      <c r="R483" s="100"/>
      <c r="S483" s="100"/>
      <c r="T483" s="100"/>
      <c r="U483" s="100"/>
      <c r="V483" s="100"/>
      <c r="W483" s="100"/>
      <c r="X483" s="100"/>
      <c r="Y483" s="100"/>
      <c r="Z483" s="100"/>
      <c r="AA483" s="100"/>
      <c r="AB483" s="100"/>
      <c r="AC483" s="100"/>
      <c r="AD483" s="100"/>
      <c r="AF483"/>
      <c r="AG483"/>
      <c r="AH483"/>
      <c r="AI483"/>
      <c r="AJ483"/>
      <c r="AK483">
        <f t="shared" si="192"/>
        <v>0</v>
      </c>
      <c r="AL483">
        <f t="shared" si="193"/>
        <v>0</v>
      </c>
      <c r="AM483">
        <f t="shared" si="215"/>
        <v>0</v>
      </c>
      <c r="AN483">
        <f t="shared" si="194"/>
        <v>0</v>
      </c>
      <c r="AO483">
        <f t="shared" si="195"/>
        <v>0</v>
      </c>
      <c r="AP483">
        <f t="shared" si="196"/>
        <v>0</v>
      </c>
      <c r="AQ483">
        <f t="shared" si="197"/>
        <v>0</v>
      </c>
      <c r="AR483">
        <f t="shared" si="198"/>
        <v>0</v>
      </c>
      <c r="AS483">
        <f t="shared" si="199"/>
        <v>0</v>
      </c>
      <c r="AT483">
        <f t="shared" si="200"/>
        <v>0</v>
      </c>
      <c r="AU483">
        <f t="shared" si="201"/>
        <v>0</v>
      </c>
      <c r="AV483">
        <f t="shared" si="202"/>
        <v>0</v>
      </c>
      <c r="AW483">
        <f t="shared" si="203"/>
        <v>0</v>
      </c>
      <c r="AX483">
        <f t="shared" si="204"/>
        <v>0</v>
      </c>
      <c r="AY483">
        <f t="shared" si="205"/>
        <v>0</v>
      </c>
      <c r="AZ483">
        <f t="shared" si="206"/>
        <v>0</v>
      </c>
      <c r="BA483">
        <f t="shared" si="207"/>
        <v>0</v>
      </c>
      <c r="BB483">
        <f t="shared" si="208"/>
        <v>0</v>
      </c>
      <c r="BC483">
        <f t="shared" si="209"/>
        <v>0</v>
      </c>
      <c r="BD483">
        <f t="shared" si="210"/>
        <v>0</v>
      </c>
      <c r="BE483">
        <f t="shared" si="211"/>
        <v>0</v>
      </c>
      <c r="BF483">
        <f t="shared" si="212"/>
        <v>0</v>
      </c>
      <c r="BG483">
        <f t="shared" si="213"/>
        <v>0</v>
      </c>
      <c r="BH483">
        <f t="shared" si="214"/>
        <v>0</v>
      </c>
    </row>
    <row r="484" spans="1:60" ht="15" customHeight="1">
      <c r="A484" s="206"/>
      <c r="B484" s="201"/>
      <c r="C484" s="1119" t="s">
        <v>5418</v>
      </c>
      <c r="D484" s="1121"/>
      <c r="E484" s="1121"/>
      <c r="F484" s="1120"/>
      <c r="G484" s="100"/>
      <c r="H484" s="100"/>
      <c r="I484" s="100"/>
      <c r="J484" s="100"/>
      <c r="K484" s="100"/>
      <c r="L484" s="100"/>
      <c r="M484" s="100"/>
      <c r="N484" s="100"/>
      <c r="O484" s="100"/>
      <c r="P484" s="100"/>
      <c r="Q484" s="100"/>
      <c r="R484" s="100"/>
      <c r="S484" s="100"/>
      <c r="T484" s="100"/>
      <c r="U484" s="100"/>
      <c r="V484" s="100"/>
      <c r="W484" s="100"/>
      <c r="X484" s="100"/>
      <c r="Y484" s="100"/>
      <c r="Z484" s="100"/>
      <c r="AA484" s="100"/>
      <c r="AB484" s="100"/>
      <c r="AC484" s="100"/>
      <c r="AD484" s="100"/>
      <c r="AF484"/>
      <c r="AG484"/>
      <c r="AH484"/>
      <c r="AI484"/>
      <c r="AJ484"/>
      <c r="AK484">
        <f t="shared" si="192"/>
        <v>0</v>
      </c>
      <c r="AL484">
        <f t="shared" si="193"/>
        <v>0</v>
      </c>
      <c r="AM484">
        <f t="shared" si="215"/>
        <v>0</v>
      </c>
      <c r="AN484">
        <f t="shared" si="194"/>
        <v>0</v>
      </c>
      <c r="AO484">
        <f t="shared" si="195"/>
        <v>0</v>
      </c>
      <c r="AP484">
        <f t="shared" si="196"/>
        <v>0</v>
      </c>
      <c r="AQ484">
        <f t="shared" si="197"/>
        <v>0</v>
      </c>
      <c r="AR484">
        <f t="shared" si="198"/>
        <v>0</v>
      </c>
      <c r="AS484">
        <f t="shared" si="199"/>
        <v>0</v>
      </c>
      <c r="AT484">
        <f t="shared" si="200"/>
        <v>0</v>
      </c>
      <c r="AU484">
        <f t="shared" si="201"/>
        <v>0</v>
      </c>
      <c r="AV484">
        <f t="shared" si="202"/>
        <v>0</v>
      </c>
      <c r="AW484">
        <f t="shared" si="203"/>
        <v>0</v>
      </c>
      <c r="AX484">
        <f t="shared" si="204"/>
        <v>0</v>
      </c>
      <c r="AY484">
        <f t="shared" si="205"/>
        <v>0</v>
      </c>
      <c r="AZ484">
        <f t="shared" si="206"/>
        <v>0</v>
      </c>
      <c r="BA484">
        <f t="shared" si="207"/>
        <v>0</v>
      </c>
      <c r="BB484">
        <f t="shared" si="208"/>
        <v>0</v>
      </c>
      <c r="BC484">
        <f t="shared" si="209"/>
        <v>0</v>
      </c>
      <c r="BD484">
        <f t="shared" si="210"/>
        <v>0</v>
      </c>
      <c r="BE484">
        <f t="shared" si="211"/>
        <v>0</v>
      </c>
      <c r="BF484">
        <f t="shared" si="212"/>
        <v>0</v>
      </c>
      <c r="BG484">
        <f t="shared" si="213"/>
        <v>0</v>
      </c>
      <c r="BH484">
        <f t="shared" si="214"/>
        <v>0</v>
      </c>
    </row>
    <row r="485" spans="1:60" ht="15" customHeight="1">
      <c r="A485" s="206"/>
      <c r="B485" s="206"/>
      <c r="C485" s="1117" t="s">
        <v>5014</v>
      </c>
      <c r="D485" s="1136"/>
      <c r="E485" s="1136"/>
      <c r="F485" s="1118"/>
      <c r="G485" s="100"/>
      <c r="H485" s="100"/>
      <c r="I485" s="100"/>
      <c r="J485" s="100"/>
      <c r="K485" s="100"/>
      <c r="L485" s="100"/>
      <c r="M485" s="100"/>
      <c r="N485" s="100"/>
      <c r="O485" s="100"/>
      <c r="P485" s="100"/>
      <c r="Q485" s="100"/>
      <c r="R485" s="100"/>
      <c r="S485" s="100"/>
      <c r="T485" s="100"/>
      <c r="U485" s="100"/>
      <c r="V485" s="100"/>
      <c r="W485" s="100"/>
      <c r="X485" s="100"/>
      <c r="Y485" s="100"/>
      <c r="Z485" s="100"/>
      <c r="AA485" s="100"/>
      <c r="AB485" s="100"/>
      <c r="AC485" s="100"/>
      <c r="AD485" s="100"/>
      <c r="AF485"/>
      <c r="AG485"/>
      <c r="AH485"/>
      <c r="AI485"/>
      <c r="AJ485"/>
      <c r="AK485">
        <f t="shared" si="192"/>
        <v>0</v>
      </c>
      <c r="AL485">
        <f t="shared" si="193"/>
        <v>0</v>
      </c>
      <c r="AM485">
        <f t="shared" si="215"/>
        <v>0</v>
      </c>
      <c r="AN485">
        <f t="shared" si="194"/>
        <v>0</v>
      </c>
      <c r="AO485">
        <f t="shared" si="195"/>
        <v>0</v>
      </c>
      <c r="AP485">
        <f t="shared" si="196"/>
        <v>0</v>
      </c>
      <c r="AQ485">
        <f t="shared" si="197"/>
        <v>0</v>
      </c>
      <c r="AR485">
        <f t="shared" si="198"/>
        <v>0</v>
      </c>
      <c r="AS485">
        <f t="shared" si="199"/>
        <v>0</v>
      </c>
      <c r="AT485">
        <f t="shared" si="200"/>
        <v>0</v>
      </c>
      <c r="AU485">
        <f t="shared" si="201"/>
        <v>0</v>
      </c>
      <c r="AV485">
        <f t="shared" si="202"/>
        <v>0</v>
      </c>
      <c r="AW485">
        <f t="shared" si="203"/>
        <v>0</v>
      </c>
      <c r="AX485">
        <f t="shared" si="204"/>
        <v>0</v>
      </c>
      <c r="AY485">
        <f t="shared" si="205"/>
        <v>0</v>
      </c>
      <c r="AZ485">
        <f t="shared" si="206"/>
        <v>0</v>
      </c>
      <c r="BA485">
        <f t="shared" si="207"/>
        <v>0</v>
      </c>
      <c r="BB485">
        <f t="shared" si="208"/>
        <v>0</v>
      </c>
      <c r="BC485">
        <f t="shared" si="209"/>
        <v>0</v>
      </c>
      <c r="BD485">
        <f t="shared" si="210"/>
        <v>0</v>
      </c>
      <c r="BE485">
        <f t="shared" si="211"/>
        <v>0</v>
      </c>
      <c r="BF485">
        <f t="shared" si="212"/>
        <v>0</v>
      </c>
      <c r="BG485">
        <f t="shared" si="213"/>
        <v>0</v>
      </c>
      <c r="BH485">
        <f t="shared" si="214"/>
        <v>0</v>
      </c>
    </row>
    <row r="486" spans="1:60" ht="15" customHeight="1">
      <c r="A486" s="206"/>
      <c r="B486" s="206"/>
      <c r="C486" s="1117" t="s">
        <v>5016</v>
      </c>
      <c r="D486" s="1136"/>
      <c r="E486" s="1136"/>
      <c r="F486" s="1118"/>
      <c r="G486" s="100"/>
      <c r="H486" s="100"/>
      <c r="I486" s="100"/>
      <c r="J486" s="100"/>
      <c r="K486" s="100"/>
      <c r="L486" s="100"/>
      <c r="M486" s="100"/>
      <c r="N486" s="100"/>
      <c r="O486" s="100"/>
      <c r="P486" s="100"/>
      <c r="Q486" s="100"/>
      <c r="R486" s="100"/>
      <c r="S486" s="100"/>
      <c r="T486" s="100"/>
      <c r="U486" s="100"/>
      <c r="V486" s="100"/>
      <c r="W486" s="100"/>
      <c r="X486" s="100"/>
      <c r="Y486" s="100"/>
      <c r="Z486" s="100"/>
      <c r="AA486" s="100"/>
      <c r="AB486" s="100"/>
      <c r="AC486" s="100"/>
      <c r="AD486" s="100"/>
      <c r="AF486"/>
      <c r="AG486"/>
      <c r="AH486"/>
      <c r="AI486"/>
      <c r="AJ486"/>
      <c r="AK486">
        <f t="shared" si="192"/>
        <v>0</v>
      </c>
      <c r="AL486">
        <f t="shared" si="193"/>
        <v>0</v>
      </c>
      <c r="AM486">
        <f t="shared" si="215"/>
        <v>0</v>
      </c>
      <c r="AN486">
        <f t="shared" si="194"/>
        <v>0</v>
      </c>
      <c r="AO486">
        <f t="shared" si="195"/>
        <v>0</v>
      </c>
      <c r="AP486">
        <f t="shared" si="196"/>
        <v>0</v>
      </c>
      <c r="AQ486">
        <f t="shared" si="197"/>
        <v>0</v>
      </c>
      <c r="AR486">
        <f t="shared" si="198"/>
        <v>0</v>
      </c>
      <c r="AS486">
        <f t="shared" si="199"/>
        <v>0</v>
      </c>
      <c r="AT486">
        <f t="shared" si="200"/>
        <v>0</v>
      </c>
      <c r="AU486">
        <f t="shared" si="201"/>
        <v>0</v>
      </c>
      <c r="AV486">
        <f t="shared" si="202"/>
        <v>0</v>
      </c>
      <c r="AW486">
        <f t="shared" si="203"/>
        <v>0</v>
      </c>
      <c r="AX486">
        <f t="shared" si="204"/>
        <v>0</v>
      </c>
      <c r="AY486">
        <f t="shared" si="205"/>
        <v>0</v>
      </c>
      <c r="AZ486">
        <f t="shared" si="206"/>
        <v>0</v>
      </c>
      <c r="BA486">
        <f t="shared" si="207"/>
        <v>0</v>
      </c>
      <c r="BB486">
        <f t="shared" si="208"/>
        <v>0</v>
      </c>
      <c r="BC486">
        <f t="shared" si="209"/>
        <v>0</v>
      </c>
      <c r="BD486">
        <f t="shared" si="210"/>
        <v>0</v>
      </c>
      <c r="BE486">
        <f t="shared" si="211"/>
        <v>0</v>
      </c>
      <c r="BF486">
        <f t="shared" si="212"/>
        <v>0</v>
      </c>
      <c r="BG486">
        <f t="shared" si="213"/>
        <v>0</v>
      </c>
      <c r="BH486">
        <f t="shared" si="214"/>
        <v>0</v>
      </c>
    </row>
    <row r="487" spans="1:60" ht="15" customHeight="1">
      <c r="A487" s="206"/>
      <c r="B487" s="206"/>
      <c r="C487" s="1117" t="s">
        <v>5018</v>
      </c>
      <c r="D487" s="1136"/>
      <c r="E487" s="1136"/>
      <c r="F487" s="1118"/>
      <c r="G487" s="100"/>
      <c r="H487" s="100"/>
      <c r="I487" s="100"/>
      <c r="J487" s="100"/>
      <c r="K487" s="100"/>
      <c r="L487" s="100"/>
      <c r="M487" s="100"/>
      <c r="N487" s="100"/>
      <c r="O487" s="100"/>
      <c r="P487" s="100"/>
      <c r="Q487" s="100"/>
      <c r="R487" s="100"/>
      <c r="S487" s="100"/>
      <c r="T487" s="100"/>
      <c r="U487" s="100"/>
      <c r="V487" s="100"/>
      <c r="W487" s="100"/>
      <c r="X487" s="100"/>
      <c r="Y487" s="100"/>
      <c r="Z487" s="100"/>
      <c r="AA487" s="100"/>
      <c r="AB487" s="100"/>
      <c r="AC487" s="100"/>
      <c r="AD487" s="100"/>
      <c r="AF487"/>
      <c r="AG487"/>
      <c r="AH487"/>
      <c r="AI487"/>
      <c r="AJ487"/>
      <c r="AK487">
        <f t="shared" si="192"/>
        <v>0</v>
      </c>
      <c r="AL487">
        <f t="shared" si="193"/>
        <v>0</v>
      </c>
      <c r="AM487">
        <f t="shared" si="215"/>
        <v>0</v>
      </c>
      <c r="AN487">
        <f t="shared" si="194"/>
        <v>0</v>
      </c>
      <c r="AO487">
        <f t="shared" si="195"/>
        <v>0</v>
      </c>
      <c r="AP487">
        <f t="shared" si="196"/>
        <v>0</v>
      </c>
      <c r="AQ487">
        <f t="shared" si="197"/>
        <v>0</v>
      </c>
      <c r="AR487">
        <f t="shared" si="198"/>
        <v>0</v>
      </c>
      <c r="AS487">
        <f t="shared" si="199"/>
        <v>0</v>
      </c>
      <c r="AT487">
        <f t="shared" si="200"/>
        <v>0</v>
      </c>
      <c r="AU487">
        <f t="shared" si="201"/>
        <v>0</v>
      </c>
      <c r="AV487">
        <f t="shared" si="202"/>
        <v>0</v>
      </c>
      <c r="AW487">
        <f t="shared" si="203"/>
        <v>0</v>
      </c>
      <c r="AX487">
        <f t="shared" si="204"/>
        <v>0</v>
      </c>
      <c r="AY487">
        <f t="shared" si="205"/>
        <v>0</v>
      </c>
      <c r="AZ487">
        <f t="shared" si="206"/>
        <v>0</v>
      </c>
      <c r="BA487">
        <f t="shared" si="207"/>
        <v>0</v>
      </c>
      <c r="BB487">
        <f t="shared" si="208"/>
        <v>0</v>
      </c>
      <c r="BC487">
        <f t="shared" si="209"/>
        <v>0</v>
      </c>
      <c r="BD487">
        <f t="shared" si="210"/>
        <v>0</v>
      </c>
      <c r="BE487">
        <f t="shared" si="211"/>
        <v>0</v>
      </c>
      <c r="BF487">
        <f t="shared" si="212"/>
        <v>0</v>
      </c>
      <c r="BG487">
        <f t="shared" si="213"/>
        <v>0</v>
      </c>
      <c r="BH487">
        <f t="shared" si="214"/>
        <v>0</v>
      </c>
    </row>
    <row r="488" spans="1:60" ht="15" customHeight="1">
      <c r="A488" s="206"/>
      <c r="B488" s="206"/>
      <c r="C488" s="1117" t="s">
        <v>5022</v>
      </c>
      <c r="D488" s="1136"/>
      <c r="E488" s="1136"/>
      <c r="F488" s="1118"/>
      <c r="G488" s="100"/>
      <c r="H488" s="100"/>
      <c r="I488" s="100"/>
      <c r="J488" s="100"/>
      <c r="K488" s="100"/>
      <c r="L488" s="100"/>
      <c r="M488" s="100"/>
      <c r="N488" s="100"/>
      <c r="O488" s="100"/>
      <c r="P488" s="100"/>
      <c r="Q488" s="100"/>
      <c r="R488" s="100"/>
      <c r="S488" s="100"/>
      <c r="T488" s="100"/>
      <c r="U488" s="100"/>
      <c r="V488" s="100"/>
      <c r="W488" s="100"/>
      <c r="X488" s="100"/>
      <c r="Y488" s="100"/>
      <c r="Z488" s="100"/>
      <c r="AA488" s="100"/>
      <c r="AB488" s="100"/>
      <c r="AC488" s="100"/>
      <c r="AD488" s="100"/>
      <c r="AF488"/>
      <c r="AG488"/>
      <c r="AH488"/>
      <c r="AI488"/>
      <c r="AJ488"/>
      <c r="AK488">
        <f t="shared" si="192"/>
        <v>0</v>
      </c>
      <c r="AL488">
        <f t="shared" si="193"/>
        <v>0</v>
      </c>
      <c r="AM488">
        <f t="shared" si="215"/>
        <v>0</v>
      </c>
      <c r="AN488">
        <f t="shared" si="194"/>
        <v>0</v>
      </c>
      <c r="AO488">
        <f t="shared" si="195"/>
        <v>0</v>
      </c>
      <c r="AP488">
        <f t="shared" si="196"/>
        <v>0</v>
      </c>
      <c r="AQ488">
        <f t="shared" si="197"/>
        <v>0</v>
      </c>
      <c r="AR488">
        <f t="shared" si="198"/>
        <v>0</v>
      </c>
      <c r="AS488">
        <f t="shared" si="199"/>
        <v>0</v>
      </c>
      <c r="AT488">
        <f t="shared" si="200"/>
        <v>0</v>
      </c>
      <c r="AU488">
        <f t="shared" si="201"/>
        <v>0</v>
      </c>
      <c r="AV488">
        <f t="shared" si="202"/>
        <v>0</v>
      </c>
      <c r="AW488">
        <f t="shared" si="203"/>
        <v>0</v>
      </c>
      <c r="AX488">
        <f t="shared" si="204"/>
        <v>0</v>
      </c>
      <c r="AY488">
        <f t="shared" si="205"/>
        <v>0</v>
      </c>
      <c r="AZ488">
        <f t="shared" si="206"/>
        <v>0</v>
      </c>
      <c r="BA488">
        <f t="shared" si="207"/>
        <v>0</v>
      </c>
      <c r="BB488">
        <f t="shared" si="208"/>
        <v>0</v>
      </c>
      <c r="BC488">
        <f t="shared" si="209"/>
        <v>0</v>
      </c>
      <c r="BD488">
        <f t="shared" si="210"/>
        <v>0</v>
      </c>
      <c r="BE488">
        <f t="shared" si="211"/>
        <v>0</v>
      </c>
      <c r="BF488">
        <f t="shared" si="212"/>
        <v>0</v>
      </c>
      <c r="BG488">
        <f t="shared" si="213"/>
        <v>0</v>
      </c>
      <c r="BH488">
        <f t="shared" si="214"/>
        <v>0</v>
      </c>
    </row>
    <row r="489" spans="1:60" ht="15" customHeight="1">
      <c r="A489" s="206"/>
      <c r="B489" s="201"/>
      <c r="C489" s="1119" t="s">
        <v>5024</v>
      </c>
      <c r="D489" s="1121"/>
      <c r="E489" s="1121"/>
      <c r="F489" s="1120"/>
      <c r="G489" s="100"/>
      <c r="H489" s="100"/>
      <c r="I489" s="100"/>
      <c r="J489" s="100"/>
      <c r="K489" s="100"/>
      <c r="L489" s="100"/>
      <c r="M489" s="100"/>
      <c r="N489" s="100"/>
      <c r="O489" s="100"/>
      <c r="P489" s="100"/>
      <c r="Q489" s="100"/>
      <c r="R489" s="100"/>
      <c r="S489" s="100"/>
      <c r="T489" s="100"/>
      <c r="U489" s="100"/>
      <c r="V489" s="100"/>
      <c r="W489" s="100"/>
      <c r="X489" s="100"/>
      <c r="Y489" s="100"/>
      <c r="Z489" s="100"/>
      <c r="AA489" s="100"/>
      <c r="AB489" s="100"/>
      <c r="AC489" s="100"/>
      <c r="AD489" s="100"/>
      <c r="AF489"/>
      <c r="AG489"/>
      <c r="AH489"/>
      <c r="AI489"/>
      <c r="AJ489"/>
      <c r="AK489">
        <f t="shared" si="192"/>
        <v>0</v>
      </c>
      <c r="AL489">
        <f t="shared" si="193"/>
        <v>0</v>
      </c>
      <c r="AM489">
        <f t="shared" si="215"/>
        <v>0</v>
      </c>
      <c r="AN489">
        <f t="shared" si="194"/>
        <v>0</v>
      </c>
      <c r="AO489">
        <f t="shared" si="195"/>
        <v>0</v>
      </c>
      <c r="AP489">
        <f t="shared" si="196"/>
        <v>0</v>
      </c>
      <c r="AQ489">
        <f t="shared" si="197"/>
        <v>0</v>
      </c>
      <c r="AR489">
        <f t="shared" si="198"/>
        <v>0</v>
      </c>
      <c r="AS489">
        <f t="shared" si="199"/>
        <v>0</v>
      </c>
      <c r="AT489">
        <f t="shared" si="200"/>
        <v>0</v>
      </c>
      <c r="AU489">
        <f t="shared" si="201"/>
        <v>0</v>
      </c>
      <c r="AV489">
        <f t="shared" si="202"/>
        <v>0</v>
      </c>
      <c r="AW489">
        <f t="shared" si="203"/>
        <v>0</v>
      </c>
      <c r="AX489">
        <f t="shared" si="204"/>
        <v>0</v>
      </c>
      <c r="AY489">
        <f t="shared" si="205"/>
        <v>0</v>
      </c>
      <c r="AZ489">
        <f t="shared" si="206"/>
        <v>0</v>
      </c>
      <c r="BA489">
        <f t="shared" si="207"/>
        <v>0</v>
      </c>
      <c r="BB489">
        <f t="shared" si="208"/>
        <v>0</v>
      </c>
      <c r="BC489">
        <f t="shared" si="209"/>
        <v>0</v>
      </c>
      <c r="BD489">
        <f t="shared" si="210"/>
        <v>0</v>
      </c>
      <c r="BE489">
        <f t="shared" si="211"/>
        <v>0</v>
      </c>
      <c r="BF489">
        <f t="shared" si="212"/>
        <v>0</v>
      </c>
      <c r="BG489">
        <f t="shared" si="213"/>
        <v>0</v>
      </c>
      <c r="BH489">
        <f t="shared" si="214"/>
        <v>0</v>
      </c>
    </row>
    <row r="490" spans="1:60" ht="15" customHeight="1">
      <c r="A490" s="206"/>
      <c r="B490" s="201"/>
      <c r="C490" s="1119" t="s">
        <v>5026</v>
      </c>
      <c r="D490" s="1121"/>
      <c r="E490" s="1121"/>
      <c r="F490" s="1120"/>
      <c r="G490" s="100"/>
      <c r="H490" s="100"/>
      <c r="I490" s="100"/>
      <c r="J490" s="100"/>
      <c r="K490" s="100"/>
      <c r="L490" s="100"/>
      <c r="M490" s="100"/>
      <c r="N490" s="100"/>
      <c r="O490" s="100"/>
      <c r="P490" s="100"/>
      <c r="Q490" s="100"/>
      <c r="R490" s="100"/>
      <c r="S490" s="100"/>
      <c r="T490" s="100"/>
      <c r="U490" s="100"/>
      <c r="V490" s="100"/>
      <c r="W490" s="100"/>
      <c r="X490" s="100"/>
      <c r="Y490" s="100"/>
      <c r="Z490" s="100"/>
      <c r="AA490" s="100"/>
      <c r="AB490" s="100"/>
      <c r="AC490" s="100"/>
      <c r="AD490" s="100"/>
      <c r="AF490"/>
      <c r="AG490"/>
      <c r="AH490"/>
      <c r="AI490"/>
      <c r="AJ490"/>
      <c r="AK490">
        <f t="shared" si="192"/>
        <v>0</v>
      </c>
      <c r="AL490">
        <f t="shared" si="193"/>
        <v>0</v>
      </c>
      <c r="AM490">
        <f t="shared" si="215"/>
        <v>0</v>
      </c>
      <c r="AN490">
        <f t="shared" si="194"/>
        <v>0</v>
      </c>
      <c r="AO490">
        <f t="shared" si="195"/>
        <v>0</v>
      </c>
      <c r="AP490">
        <f t="shared" si="196"/>
        <v>0</v>
      </c>
      <c r="AQ490">
        <f t="shared" si="197"/>
        <v>0</v>
      </c>
      <c r="AR490">
        <f t="shared" si="198"/>
        <v>0</v>
      </c>
      <c r="AS490">
        <f t="shared" si="199"/>
        <v>0</v>
      </c>
      <c r="AT490">
        <f t="shared" si="200"/>
        <v>0</v>
      </c>
      <c r="AU490">
        <f t="shared" si="201"/>
        <v>0</v>
      </c>
      <c r="AV490">
        <f t="shared" si="202"/>
        <v>0</v>
      </c>
      <c r="AW490">
        <f t="shared" si="203"/>
        <v>0</v>
      </c>
      <c r="AX490">
        <f t="shared" si="204"/>
        <v>0</v>
      </c>
      <c r="AY490">
        <f t="shared" si="205"/>
        <v>0</v>
      </c>
      <c r="AZ490">
        <f t="shared" si="206"/>
        <v>0</v>
      </c>
      <c r="BA490">
        <f t="shared" si="207"/>
        <v>0</v>
      </c>
      <c r="BB490">
        <f t="shared" si="208"/>
        <v>0</v>
      </c>
      <c r="BC490">
        <f t="shared" si="209"/>
        <v>0</v>
      </c>
      <c r="BD490">
        <f t="shared" si="210"/>
        <v>0</v>
      </c>
      <c r="BE490">
        <f t="shared" si="211"/>
        <v>0</v>
      </c>
      <c r="BF490">
        <f t="shared" si="212"/>
        <v>0</v>
      </c>
      <c r="BG490">
        <f t="shared" si="213"/>
        <v>0</v>
      </c>
      <c r="BH490">
        <f t="shared" si="214"/>
        <v>0</v>
      </c>
    </row>
    <row r="491" spans="1:60" ht="15" customHeight="1">
      <c r="A491" s="206"/>
      <c r="B491" s="201"/>
      <c r="C491" s="1119" t="s">
        <v>5028</v>
      </c>
      <c r="D491" s="1121"/>
      <c r="E491" s="1121"/>
      <c r="F491" s="1120"/>
      <c r="G491" s="100"/>
      <c r="H491" s="100"/>
      <c r="I491" s="100"/>
      <c r="J491" s="100"/>
      <c r="K491" s="100"/>
      <c r="L491" s="100"/>
      <c r="M491" s="100"/>
      <c r="N491" s="100"/>
      <c r="O491" s="100"/>
      <c r="P491" s="100"/>
      <c r="Q491" s="100"/>
      <c r="R491" s="100"/>
      <c r="S491" s="100"/>
      <c r="T491" s="100"/>
      <c r="U491" s="100"/>
      <c r="V491" s="100"/>
      <c r="W491" s="100"/>
      <c r="X491" s="100"/>
      <c r="Y491" s="100"/>
      <c r="Z491" s="100"/>
      <c r="AA491" s="100"/>
      <c r="AB491" s="100"/>
      <c r="AC491" s="100"/>
      <c r="AD491" s="100"/>
      <c r="AF491"/>
      <c r="AG491"/>
      <c r="AH491"/>
      <c r="AI491"/>
      <c r="AJ491"/>
      <c r="AK491">
        <f t="shared" si="192"/>
        <v>0</v>
      </c>
      <c r="AL491">
        <f t="shared" si="193"/>
        <v>0</v>
      </c>
      <c r="AM491">
        <f t="shared" si="215"/>
        <v>0</v>
      </c>
      <c r="AN491">
        <f t="shared" si="194"/>
        <v>0</v>
      </c>
      <c r="AO491">
        <f t="shared" si="195"/>
        <v>0</v>
      </c>
      <c r="AP491">
        <f t="shared" si="196"/>
        <v>0</v>
      </c>
      <c r="AQ491">
        <f t="shared" si="197"/>
        <v>0</v>
      </c>
      <c r="AR491">
        <f t="shared" si="198"/>
        <v>0</v>
      </c>
      <c r="AS491">
        <f t="shared" si="199"/>
        <v>0</v>
      </c>
      <c r="AT491">
        <f t="shared" si="200"/>
        <v>0</v>
      </c>
      <c r="AU491">
        <f t="shared" si="201"/>
        <v>0</v>
      </c>
      <c r="AV491">
        <f t="shared" si="202"/>
        <v>0</v>
      </c>
      <c r="AW491">
        <f t="shared" si="203"/>
        <v>0</v>
      </c>
      <c r="AX491">
        <f t="shared" si="204"/>
        <v>0</v>
      </c>
      <c r="AY491">
        <f t="shared" si="205"/>
        <v>0</v>
      </c>
      <c r="AZ491">
        <f t="shared" si="206"/>
        <v>0</v>
      </c>
      <c r="BA491">
        <f t="shared" si="207"/>
        <v>0</v>
      </c>
      <c r="BB491">
        <f t="shared" si="208"/>
        <v>0</v>
      </c>
      <c r="BC491">
        <f t="shared" si="209"/>
        <v>0</v>
      </c>
      <c r="BD491">
        <f t="shared" si="210"/>
        <v>0</v>
      </c>
      <c r="BE491">
        <f t="shared" si="211"/>
        <v>0</v>
      </c>
      <c r="BF491">
        <f t="shared" si="212"/>
        <v>0</v>
      </c>
      <c r="BG491">
        <f t="shared" si="213"/>
        <v>0</v>
      </c>
      <c r="BH491">
        <f t="shared" si="214"/>
        <v>0</v>
      </c>
    </row>
    <row r="492" spans="1:60" ht="15" customHeight="1">
      <c r="A492" s="206"/>
      <c r="B492" s="201"/>
      <c r="C492" s="1119" t="s">
        <v>5030</v>
      </c>
      <c r="D492" s="1121"/>
      <c r="E492" s="1121"/>
      <c r="F492" s="1120"/>
      <c r="G492" s="100"/>
      <c r="H492" s="100"/>
      <c r="I492" s="100"/>
      <c r="J492" s="100"/>
      <c r="K492" s="100"/>
      <c r="L492" s="100"/>
      <c r="M492" s="100"/>
      <c r="N492" s="100"/>
      <c r="O492" s="100"/>
      <c r="P492" s="100"/>
      <c r="Q492" s="100"/>
      <c r="R492" s="100"/>
      <c r="S492" s="100"/>
      <c r="T492" s="100"/>
      <c r="U492" s="100"/>
      <c r="V492" s="100"/>
      <c r="W492" s="100"/>
      <c r="X492" s="100"/>
      <c r="Y492" s="100"/>
      <c r="Z492" s="100"/>
      <c r="AA492" s="100"/>
      <c r="AB492" s="100"/>
      <c r="AC492" s="100"/>
      <c r="AD492" s="100"/>
      <c r="AF492"/>
      <c r="AG492"/>
      <c r="AH492"/>
      <c r="AI492"/>
      <c r="AJ492"/>
      <c r="AK492">
        <f t="shared" si="192"/>
        <v>0</v>
      </c>
      <c r="AL492">
        <f t="shared" si="193"/>
        <v>0</v>
      </c>
      <c r="AM492">
        <f t="shared" si="215"/>
        <v>0</v>
      </c>
      <c r="AN492">
        <f t="shared" si="194"/>
        <v>0</v>
      </c>
      <c r="AO492">
        <f t="shared" si="195"/>
        <v>0</v>
      </c>
      <c r="AP492">
        <f t="shared" si="196"/>
        <v>0</v>
      </c>
      <c r="AQ492">
        <f t="shared" si="197"/>
        <v>0</v>
      </c>
      <c r="AR492">
        <f t="shared" si="198"/>
        <v>0</v>
      </c>
      <c r="AS492">
        <f t="shared" si="199"/>
        <v>0</v>
      </c>
      <c r="AT492">
        <f t="shared" si="200"/>
        <v>0</v>
      </c>
      <c r="AU492">
        <f t="shared" si="201"/>
        <v>0</v>
      </c>
      <c r="AV492">
        <f t="shared" si="202"/>
        <v>0</v>
      </c>
      <c r="AW492">
        <f t="shared" si="203"/>
        <v>0</v>
      </c>
      <c r="AX492">
        <f t="shared" si="204"/>
        <v>0</v>
      </c>
      <c r="AY492">
        <f t="shared" si="205"/>
        <v>0</v>
      </c>
      <c r="AZ492">
        <f t="shared" si="206"/>
        <v>0</v>
      </c>
      <c r="BA492">
        <f t="shared" si="207"/>
        <v>0</v>
      </c>
      <c r="BB492">
        <f t="shared" si="208"/>
        <v>0</v>
      </c>
      <c r="BC492">
        <f t="shared" si="209"/>
        <v>0</v>
      </c>
      <c r="BD492">
        <f t="shared" si="210"/>
        <v>0</v>
      </c>
      <c r="BE492">
        <f t="shared" si="211"/>
        <v>0</v>
      </c>
      <c r="BF492">
        <f t="shared" si="212"/>
        <v>0</v>
      </c>
      <c r="BG492">
        <f t="shared" si="213"/>
        <v>0</v>
      </c>
      <c r="BH492">
        <f t="shared" si="214"/>
        <v>0</v>
      </c>
    </row>
    <row r="493" spans="1:60" ht="15" customHeight="1">
      <c r="A493" s="206"/>
      <c r="B493" s="201"/>
      <c r="C493" s="1119" t="s">
        <v>5032</v>
      </c>
      <c r="D493" s="1121"/>
      <c r="E493" s="1121"/>
      <c r="F493" s="1120"/>
      <c r="G493" s="100"/>
      <c r="H493" s="100"/>
      <c r="I493" s="100"/>
      <c r="J493" s="100"/>
      <c r="K493" s="100"/>
      <c r="L493" s="100"/>
      <c r="M493" s="100"/>
      <c r="N493" s="100"/>
      <c r="O493" s="100"/>
      <c r="P493" s="100"/>
      <c r="Q493" s="100"/>
      <c r="R493" s="100"/>
      <c r="S493" s="100"/>
      <c r="T493" s="100"/>
      <c r="U493" s="100"/>
      <c r="V493" s="100"/>
      <c r="W493" s="100"/>
      <c r="X493" s="100"/>
      <c r="Y493" s="100"/>
      <c r="Z493" s="100"/>
      <c r="AA493" s="100"/>
      <c r="AB493" s="100"/>
      <c r="AC493" s="100"/>
      <c r="AD493" s="100"/>
      <c r="AF493"/>
      <c r="AG493"/>
      <c r="AH493"/>
      <c r="AI493"/>
      <c r="AJ493"/>
      <c r="AK493">
        <f t="shared" si="192"/>
        <v>0</v>
      </c>
      <c r="AL493">
        <f t="shared" si="193"/>
        <v>0</v>
      </c>
      <c r="AM493">
        <f t="shared" si="215"/>
        <v>0</v>
      </c>
      <c r="AN493">
        <f t="shared" si="194"/>
        <v>0</v>
      </c>
      <c r="AO493">
        <f t="shared" si="195"/>
        <v>0</v>
      </c>
      <c r="AP493">
        <f t="shared" si="196"/>
        <v>0</v>
      </c>
      <c r="AQ493">
        <f t="shared" si="197"/>
        <v>0</v>
      </c>
      <c r="AR493">
        <f t="shared" si="198"/>
        <v>0</v>
      </c>
      <c r="AS493">
        <f t="shared" si="199"/>
        <v>0</v>
      </c>
      <c r="AT493">
        <f t="shared" si="200"/>
        <v>0</v>
      </c>
      <c r="AU493">
        <f t="shared" si="201"/>
        <v>0</v>
      </c>
      <c r="AV493">
        <f t="shared" si="202"/>
        <v>0</v>
      </c>
      <c r="AW493">
        <f t="shared" si="203"/>
        <v>0</v>
      </c>
      <c r="AX493">
        <f t="shared" si="204"/>
        <v>0</v>
      </c>
      <c r="AY493">
        <f t="shared" si="205"/>
        <v>0</v>
      </c>
      <c r="AZ493">
        <f t="shared" si="206"/>
        <v>0</v>
      </c>
      <c r="BA493">
        <f t="shared" si="207"/>
        <v>0</v>
      </c>
      <c r="BB493">
        <f t="shared" si="208"/>
        <v>0</v>
      </c>
      <c r="BC493">
        <f t="shared" si="209"/>
        <v>0</v>
      </c>
      <c r="BD493">
        <f t="shared" si="210"/>
        <v>0</v>
      </c>
      <c r="BE493">
        <f t="shared" si="211"/>
        <v>0</v>
      </c>
      <c r="BF493">
        <f t="shared" si="212"/>
        <v>0</v>
      </c>
      <c r="BG493">
        <f t="shared" si="213"/>
        <v>0</v>
      </c>
      <c r="BH493">
        <f t="shared" si="214"/>
        <v>0</v>
      </c>
    </row>
    <row r="494" spans="1:60" ht="15" customHeight="1">
      <c r="A494" s="206"/>
      <c r="B494" s="201"/>
      <c r="C494" s="1119" t="s">
        <v>5034</v>
      </c>
      <c r="D494" s="1121"/>
      <c r="E494" s="1121"/>
      <c r="F494" s="1120"/>
      <c r="G494" s="100"/>
      <c r="H494" s="100"/>
      <c r="I494" s="100"/>
      <c r="J494" s="100"/>
      <c r="K494" s="100"/>
      <c r="L494" s="100"/>
      <c r="M494" s="100"/>
      <c r="N494" s="100"/>
      <c r="O494" s="100"/>
      <c r="P494" s="100"/>
      <c r="Q494" s="100"/>
      <c r="R494" s="100"/>
      <c r="S494" s="100"/>
      <c r="T494" s="100"/>
      <c r="U494" s="100"/>
      <c r="V494" s="100"/>
      <c r="W494" s="100"/>
      <c r="X494" s="100"/>
      <c r="Y494" s="100"/>
      <c r="Z494" s="100"/>
      <c r="AA494" s="100"/>
      <c r="AB494" s="100"/>
      <c r="AC494" s="100"/>
      <c r="AD494" s="100"/>
      <c r="AF494"/>
      <c r="AG494"/>
      <c r="AH494"/>
      <c r="AI494"/>
      <c r="AJ494"/>
      <c r="AK494">
        <f t="shared" si="192"/>
        <v>0</v>
      </c>
      <c r="AL494">
        <f t="shared" si="193"/>
        <v>0</v>
      </c>
      <c r="AM494">
        <f t="shared" si="215"/>
        <v>0</v>
      </c>
      <c r="AN494">
        <f t="shared" si="194"/>
        <v>0</v>
      </c>
      <c r="AO494">
        <f t="shared" si="195"/>
        <v>0</v>
      </c>
      <c r="AP494">
        <f t="shared" si="196"/>
        <v>0</v>
      </c>
      <c r="AQ494">
        <f t="shared" si="197"/>
        <v>0</v>
      </c>
      <c r="AR494">
        <f t="shared" si="198"/>
        <v>0</v>
      </c>
      <c r="AS494">
        <f t="shared" si="199"/>
        <v>0</v>
      </c>
      <c r="AT494">
        <f t="shared" si="200"/>
        <v>0</v>
      </c>
      <c r="AU494">
        <f t="shared" si="201"/>
        <v>0</v>
      </c>
      <c r="AV494">
        <f t="shared" si="202"/>
        <v>0</v>
      </c>
      <c r="AW494">
        <f t="shared" si="203"/>
        <v>0</v>
      </c>
      <c r="AX494">
        <f t="shared" si="204"/>
        <v>0</v>
      </c>
      <c r="AY494">
        <f t="shared" si="205"/>
        <v>0</v>
      </c>
      <c r="AZ494">
        <f t="shared" si="206"/>
        <v>0</v>
      </c>
      <c r="BA494">
        <f t="shared" si="207"/>
        <v>0</v>
      </c>
      <c r="BB494">
        <f t="shared" si="208"/>
        <v>0</v>
      </c>
      <c r="BC494">
        <f t="shared" si="209"/>
        <v>0</v>
      </c>
      <c r="BD494">
        <f t="shared" si="210"/>
        <v>0</v>
      </c>
      <c r="BE494">
        <f t="shared" si="211"/>
        <v>0</v>
      </c>
      <c r="BF494">
        <f t="shared" si="212"/>
        <v>0</v>
      </c>
      <c r="BG494">
        <f t="shared" si="213"/>
        <v>0</v>
      </c>
      <c r="BH494">
        <f t="shared" si="214"/>
        <v>0</v>
      </c>
    </row>
    <row r="495" spans="1:60" ht="15" customHeight="1">
      <c r="A495" s="206"/>
      <c r="B495" s="201"/>
      <c r="C495" s="1119" t="s">
        <v>5036</v>
      </c>
      <c r="D495" s="1121"/>
      <c r="E495" s="1121"/>
      <c r="F495" s="1120"/>
      <c r="G495" s="100"/>
      <c r="H495" s="100"/>
      <c r="I495" s="100"/>
      <c r="J495" s="100"/>
      <c r="K495" s="100"/>
      <c r="L495" s="100"/>
      <c r="M495" s="100"/>
      <c r="N495" s="100"/>
      <c r="O495" s="100"/>
      <c r="P495" s="100"/>
      <c r="Q495" s="100"/>
      <c r="R495" s="100"/>
      <c r="S495" s="100"/>
      <c r="T495" s="100"/>
      <c r="U495" s="100"/>
      <c r="V495" s="100"/>
      <c r="W495" s="100"/>
      <c r="X495" s="100"/>
      <c r="Y495" s="100"/>
      <c r="Z495" s="100"/>
      <c r="AA495" s="100"/>
      <c r="AB495" s="100"/>
      <c r="AC495" s="100"/>
      <c r="AD495" s="100"/>
      <c r="AF495"/>
      <c r="AG495"/>
      <c r="AH495"/>
      <c r="AI495"/>
      <c r="AJ495"/>
      <c r="AK495">
        <f t="shared" si="192"/>
        <v>0</v>
      </c>
      <c r="AL495">
        <f t="shared" si="193"/>
        <v>0</v>
      </c>
      <c r="AM495">
        <f t="shared" si="215"/>
        <v>0</v>
      </c>
      <c r="AN495">
        <f t="shared" si="194"/>
        <v>0</v>
      </c>
      <c r="AO495">
        <f t="shared" si="195"/>
        <v>0</v>
      </c>
      <c r="AP495">
        <f t="shared" si="196"/>
        <v>0</v>
      </c>
      <c r="AQ495">
        <f t="shared" si="197"/>
        <v>0</v>
      </c>
      <c r="AR495">
        <f t="shared" si="198"/>
        <v>0</v>
      </c>
      <c r="AS495">
        <f t="shared" si="199"/>
        <v>0</v>
      </c>
      <c r="AT495">
        <f t="shared" si="200"/>
        <v>0</v>
      </c>
      <c r="AU495">
        <f t="shared" si="201"/>
        <v>0</v>
      </c>
      <c r="AV495">
        <f t="shared" si="202"/>
        <v>0</v>
      </c>
      <c r="AW495">
        <f t="shared" si="203"/>
        <v>0</v>
      </c>
      <c r="AX495">
        <f t="shared" si="204"/>
        <v>0</v>
      </c>
      <c r="AY495">
        <f t="shared" si="205"/>
        <v>0</v>
      </c>
      <c r="AZ495">
        <f t="shared" si="206"/>
        <v>0</v>
      </c>
      <c r="BA495">
        <f t="shared" si="207"/>
        <v>0</v>
      </c>
      <c r="BB495">
        <f t="shared" si="208"/>
        <v>0</v>
      </c>
      <c r="BC495">
        <f t="shared" si="209"/>
        <v>0</v>
      </c>
      <c r="BD495">
        <f t="shared" si="210"/>
        <v>0</v>
      </c>
      <c r="BE495">
        <f t="shared" si="211"/>
        <v>0</v>
      </c>
      <c r="BF495">
        <f t="shared" si="212"/>
        <v>0</v>
      </c>
      <c r="BG495">
        <f t="shared" si="213"/>
        <v>0</v>
      </c>
      <c r="BH495">
        <f t="shared" si="214"/>
        <v>0</v>
      </c>
    </row>
    <row r="496" spans="1:60" ht="15" customHeight="1">
      <c r="A496" s="206"/>
      <c r="B496" s="201"/>
      <c r="C496" s="1119" t="s">
        <v>5038</v>
      </c>
      <c r="D496" s="1121"/>
      <c r="E496" s="1121"/>
      <c r="F496" s="1120"/>
      <c r="G496" s="100"/>
      <c r="H496" s="100"/>
      <c r="I496" s="100"/>
      <c r="J496" s="100"/>
      <c r="K496" s="100"/>
      <c r="L496" s="100"/>
      <c r="M496" s="100"/>
      <c r="N496" s="100"/>
      <c r="O496" s="100"/>
      <c r="P496" s="100"/>
      <c r="Q496" s="100"/>
      <c r="R496" s="100"/>
      <c r="S496" s="100"/>
      <c r="T496" s="100"/>
      <c r="U496" s="100"/>
      <c r="V496" s="100"/>
      <c r="W496" s="100"/>
      <c r="X496" s="100"/>
      <c r="Y496" s="100"/>
      <c r="Z496" s="100"/>
      <c r="AA496" s="100"/>
      <c r="AB496" s="100"/>
      <c r="AC496" s="100"/>
      <c r="AD496" s="100"/>
      <c r="AF496"/>
      <c r="AG496"/>
      <c r="AH496"/>
      <c r="AI496"/>
      <c r="AJ496"/>
      <c r="AK496">
        <f t="shared" si="192"/>
        <v>0</v>
      </c>
      <c r="AL496">
        <f t="shared" si="193"/>
        <v>0</v>
      </c>
      <c r="AM496">
        <f t="shared" si="215"/>
        <v>0</v>
      </c>
      <c r="AN496">
        <f t="shared" si="194"/>
        <v>0</v>
      </c>
      <c r="AO496">
        <f t="shared" si="195"/>
        <v>0</v>
      </c>
      <c r="AP496">
        <f t="shared" si="196"/>
        <v>0</v>
      </c>
      <c r="AQ496">
        <f t="shared" si="197"/>
        <v>0</v>
      </c>
      <c r="AR496">
        <f t="shared" si="198"/>
        <v>0</v>
      </c>
      <c r="AS496">
        <f t="shared" si="199"/>
        <v>0</v>
      </c>
      <c r="AT496">
        <f t="shared" si="200"/>
        <v>0</v>
      </c>
      <c r="AU496">
        <f t="shared" si="201"/>
        <v>0</v>
      </c>
      <c r="AV496">
        <f t="shared" si="202"/>
        <v>0</v>
      </c>
      <c r="AW496">
        <f t="shared" si="203"/>
        <v>0</v>
      </c>
      <c r="AX496">
        <f t="shared" si="204"/>
        <v>0</v>
      </c>
      <c r="AY496">
        <f t="shared" si="205"/>
        <v>0</v>
      </c>
      <c r="AZ496">
        <f t="shared" si="206"/>
        <v>0</v>
      </c>
      <c r="BA496">
        <f t="shared" si="207"/>
        <v>0</v>
      </c>
      <c r="BB496">
        <f t="shared" si="208"/>
        <v>0</v>
      </c>
      <c r="BC496">
        <f t="shared" si="209"/>
        <v>0</v>
      </c>
      <c r="BD496">
        <f t="shared" si="210"/>
        <v>0</v>
      </c>
      <c r="BE496">
        <f t="shared" si="211"/>
        <v>0</v>
      </c>
      <c r="BF496">
        <f t="shared" si="212"/>
        <v>0</v>
      </c>
      <c r="BG496">
        <f t="shared" si="213"/>
        <v>0</v>
      </c>
      <c r="BH496">
        <f t="shared" si="214"/>
        <v>0</v>
      </c>
    </row>
    <row r="497" spans="1:60" ht="15" customHeight="1">
      <c r="A497" s="206"/>
      <c r="B497" s="201"/>
      <c r="C497" s="1119" t="s">
        <v>5040</v>
      </c>
      <c r="D497" s="1121"/>
      <c r="E497" s="1121"/>
      <c r="F497" s="1120"/>
      <c r="G497" s="100"/>
      <c r="H497" s="100"/>
      <c r="I497" s="100"/>
      <c r="J497" s="100"/>
      <c r="K497" s="100"/>
      <c r="L497" s="100"/>
      <c r="M497" s="100"/>
      <c r="N497" s="100"/>
      <c r="O497" s="100"/>
      <c r="P497" s="100"/>
      <c r="Q497" s="100"/>
      <c r="R497" s="100"/>
      <c r="S497" s="100"/>
      <c r="T497" s="100"/>
      <c r="U497" s="100"/>
      <c r="V497" s="100"/>
      <c r="W497" s="100"/>
      <c r="X497" s="100"/>
      <c r="Y497" s="100"/>
      <c r="Z497" s="100"/>
      <c r="AA497" s="100"/>
      <c r="AB497" s="100"/>
      <c r="AC497" s="100"/>
      <c r="AD497" s="100"/>
      <c r="AF497"/>
      <c r="AG497"/>
      <c r="AH497"/>
      <c r="AI497"/>
      <c r="AJ497"/>
      <c r="AK497">
        <f t="shared" si="192"/>
        <v>0</v>
      </c>
      <c r="AL497">
        <f t="shared" si="193"/>
        <v>0</v>
      </c>
      <c r="AM497">
        <f t="shared" si="215"/>
        <v>0</v>
      </c>
      <c r="AN497">
        <f t="shared" si="194"/>
        <v>0</v>
      </c>
      <c r="AO497">
        <f t="shared" si="195"/>
        <v>0</v>
      </c>
      <c r="AP497">
        <f t="shared" si="196"/>
        <v>0</v>
      </c>
      <c r="AQ497">
        <f t="shared" si="197"/>
        <v>0</v>
      </c>
      <c r="AR497">
        <f t="shared" si="198"/>
        <v>0</v>
      </c>
      <c r="AS497">
        <f t="shared" si="199"/>
        <v>0</v>
      </c>
      <c r="AT497">
        <f t="shared" si="200"/>
        <v>0</v>
      </c>
      <c r="AU497">
        <f t="shared" si="201"/>
        <v>0</v>
      </c>
      <c r="AV497">
        <f t="shared" si="202"/>
        <v>0</v>
      </c>
      <c r="AW497">
        <f t="shared" si="203"/>
        <v>0</v>
      </c>
      <c r="AX497">
        <f t="shared" si="204"/>
        <v>0</v>
      </c>
      <c r="AY497">
        <f t="shared" si="205"/>
        <v>0</v>
      </c>
      <c r="AZ497">
        <f t="shared" si="206"/>
        <v>0</v>
      </c>
      <c r="BA497">
        <f t="shared" si="207"/>
        <v>0</v>
      </c>
      <c r="BB497">
        <f t="shared" si="208"/>
        <v>0</v>
      </c>
      <c r="BC497">
        <f t="shared" si="209"/>
        <v>0</v>
      </c>
      <c r="BD497">
        <f t="shared" si="210"/>
        <v>0</v>
      </c>
      <c r="BE497">
        <f t="shared" si="211"/>
        <v>0</v>
      </c>
      <c r="BF497">
        <f t="shared" si="212"/>
        <v>0</v>
      </c>
      <c r="BG497">
        <f t="shared" si="213"/>
        <v>0</v>
      </c>
      <c r="BH497">
        <f t="shared" si="214"/>
        <v>0</v>
      </c>
    </row>
    <row r="498" spans="1:60" ht="15" customHeight="1">
      <c r="A498" s="206"/>
      <c r="B498" s="206"/>
      <c r="C498" s="1117" t="s">
        <v>5041</v>
      </c>
      <c r="D498" s="1136"/>
      <c r="E498" s="1136"/>
      <c r="F498" s="1118"/>
      <c r="G498" s="100"/>
      <c r="H498" s="100"/>
      <c r="I498" s="100"/>
      <c r="J498" s="100"/>
      <c r="K498" s="100"/>
      <c r="L498" s="100"/>
      <c r="M498" s="100"/>
      <c r="N498" s="100"/>
      <c r="O498" s="100"/>
      <c r="P498" s="100"/>
      <c r="Q498" s="100"/>
      <c r="R498" s="100"/>
      <c r="S498" s="100"/>
      <c r="T498" s="100"/>
      <c r="U498" s="100"/>
      <c r="V498" s="100"/>
      <c r="W498" s="100"/>
      <c r="X498" s="100"/>
      <c r="Y498" s="100"/>
      <c r="Z498" s="100"/>
      <c r="AA498" s="100"/>
      <c r="AB498" s="100"/>
      <c r="AC498" s="100"/>
      <c r="AD498" s="100"/>
      <c r="AF498"/>
      <c r="AG498"/>
      <c r="AH498"/>
      <c r="AI498"/>
      <c r="AJ498"/>
      <c r="AK498">
        <f t="shared" si="192"/>
        <v>0</v>
      </c>
      <c r="AL498">
        <f t="shared" si="193"/>
        <v>0</v>
      </c>
      <c r="AM498">
        <f t="shared" si="215"/>
        <v>0</v>
      </c>
      <c r="AN498">
        <f t="shared" si="194"/>
        <v>0</v>
      </c>
      <c r="AO498">
        <f t="shared" si="195"/>
        <v>0</v>
      </c>
      <c r="AP498">
        <f t="shared" si="196"/>
        <v>0</v>
      </c>
      <c r="AQ498">
        <f t="shared" si="197"/>
        <v>0</v>
      </c>
      <c r="AR498">
        <f t="shared" si="198"/>
        <v>0</v>
      </c>
      <c r="AS498">
        <f t="shared" si="199"/>
        <v>0</v>
      </c>
      <c r="AT498">
        <f t="shared" si="200"/>
        <v>0</v>
      </c>
      <c r="AU498">
        <f t="shared" si="201"/>
        <v>0</v>
      </c>
      <c r="AV498">
        <f t="shared" si="202"/>
        <v>0</v>
      </c>
      <c r="AW498">
        <f t="shared" si="203"/>
        <v>0</v>
      </c>
      <c r="AX498">
        <f t="shared" si="204"/>
        <v>0</v>
      </c>
      <c r="AY498">
        <f t="shared" si="205"/>
        <v>0</v>
      </c>
      <c r="AZ498">
        <f t="shared" si="206"/>
        <v>0</v>
      </c>
      <c r="BA498">
        <f t="shared" si="207"/>
        <v>0</v>
      </c>
      <c r="BB498">
        <f t="shared" si="208"/>
        <v>0</v>
      </c>
      <c r="BC498">
        <f t="shared" si="209"/>
        <v>0</v>
      </c>
      <c r="BD498">
        <f t="shared" si="210"/>
        <v>0</v>
      </c>
      <c r="BE498">
        <f t="shared" si="211"/>
        <v>0</v>
      </c>
      <c r="BF498">
        <f t="shared" si="212"/>
        <v>0</v>
      </c>
      <c r="BG498">
        <f t="shared" si="213"/>
        <v>0</v>
      </c>
      <c r="BH498">
        <f t="shared" si="214"/>
        <v>0</v>
      </c>
    </row>
    <row r="499" spans="1:60" ht="15" customHeight="1">
      <c r="A499" s="206"/>
      <c r="B499" s="201"/>
      <c r="C499" s="1119" t="s">
        <v>5043</v>
      </c>
      <c r="D499" s="1121"/>
      <c r="E499" s="1121"/>
      <c r="F499" s="1120"/>
      <c r="G499" s="100"/>
      <c r="H499" s="100"/>
      <c r="I499" s="100"/>
      <c r="J499" s="100"/>
      <c r="K499" s="100"/>
      <c r="L499" s="100"/>
      <c r="M499" s="100"/>
      <c r="N499" s="100"/>
      <c r="O499" s="100"/>
      <c r="P499" s="100"/>
      <c r="Q499" s="100"/>
      <c r="R499" s="100"/>
      <c r="S499" s="100"/>
      <c r="T499" s="100"/>
      <c r="U499" s="100"/>
      <c r="V499" s="100"/>
      <c r="W499" s="100"/>
      <c r="X499" s="100"/>
      <c r="Y499" s="100"/>
      <c r="Z499" s="100"/>
      <c r="AA499" s="100"/>
      <c r="AB499" s="100"/>
      <c r="AC499" s="100"/>
      <c r="AD499" s="100"/>
      <c r="AF499"/>
      <c r="AG499"/>
      <c r="AH499"/>
      <c r="AI499"/>
      <c r="AJ499"/>
      <c r="AK499">
        <f t="shared" si="192"/>
        <v>0</v>
      </c>
      <c r="AL499">
        <f t="shared" si="193"/>
        <v>0</v>
      </c>
      <c r="AM499">
        <f t="shared" si="215"/>
        <v>0</v>
      </c>
      <c r="AN499">
        <f t="shared" si="194"/>
        <v>0</v>
      </c>
      <c r="AO499">
        <f t="shared" si="195"/>
        <v>0</v>
      </c>
      <c r="AP499">
        <f t="shared" si="196"/>
        <v>0</v>
      </c>
      <c r="AQ499">
        <f t="shared" si="197"/>
        <v>0</v>
      </c>
      <c r="AR499">
        <f t="shared" si="198"/>
        <v>0</v>
      </c>
      <c r="AS499">
        <f t="shared" si="199"/>
        <v>0</v>
      </c>
      <c r="AT499">
        <f t="shared" si="200"/>
        <v>0</v>
      </c>
      <c r="AU499">
        <f t="shared" si="201"/>
        <v>0</v>
      </c>
      <c r="AV499">
        <f t="shared" si="202"/>
        <v>0</v>
      </c>
      <c r="AW499">
        <f t="shared" si="203"/>
        <v>0</v>
      </c>
      <c r="AX499">
        <f t="shared" si="204"/>
        <v>0</v>
      </c>
      <c r="AY499">
        <f t="shared" si="205"/>
        <v>0</v>
      </c>
      <c r="AZ499">
        <f t="shared" si="206"/>
        <v>0</v>
      </c>
      <c r="BA499">
        <f t="shared" si="207"/>
        <v>0</v>
      </c>
      <c r="BB499">
        <f t="shared" si="208"/>
        <v>0</v>
      </c>
      <c r="BC499">
        <f t="shared" si="209"/>
        <v>0</v>
      </c>
      <c r="BD499">
        <f t="shared" si="210"/>
        <v>0</v>
      </c>
      <c r="BE499">
        <f t="shared" si="211"/>
        <v>0</v>
      </c>
      <c r="BF499">
        <f t="shared" si="212"/>
        <v>0</v>
      </c>
      <c r="BG499">
        <f t="shared" si="213"/>
        <v>0</v>
      </c>
      <c r="BH499">
        <f t="shared" si="214"/>
        <v>0</v>
      </c>
    </row>
    <row r="500" spans="1:60" ht="15" customHeight="1">
      <c r="A500" s="206"/>
      <c r="B500" s="201"/>
      <c r="C500" s="1119" t="s">
        <v>5045</v>
      </c>
      <c r="D500" s="1121"/>
      <c r="E500" s="1121"/>
      <c r="F500" s="1120"/>
      <c r="G500" s="100"/>
      <c r="H500" s="100"/>
      <c r="I500" s="100"/>
      <c r="J500" s="100"/>
      <c r="K500" s="100"/>
      <c r="L500" s="100"/>
      <c r="M500" s="100"/>
      <c r="N500" s="100"/>
      <c r="O500" s="100"/>
      <c r="P500" s="100"/>
      <c r="Q500" s="100"/>
      <c r="R500" s="100"/>
      <c r="S500" s="100"/>
      <c r="T500" s="100"/>
      <c r="U500" s="100"/>
      <c r="V500" s="100"/>
      <c r="W500" s="100"/>
      <c r="X500" s="100"/>
      <c r="Y500" s="100"/>
      <c r="Z500" s="100"/>
      <c r="AA500" s="100"/>
      <c r="AB500" s="100"/>
      <c r="AC500" s="100"/>
      <c r="AD500" s="100"/>
      <c r="AF500"/>
      <c r="AG500"/>
      <c r="AH500"/>
      <c r="AI500"/>
      <c r="AJ500"/>
      <c r="AK500">
        <f t="shared" si="192"/>
        <v>0</v>
      </c>
      <c r="AL500">
        <f t="shared" si="193"/>
        <v>0</v>
      </c>
      <c r="AM500">
        <f t="shared" si="215"/>
        <v>0</v>
      </c>
      <c r="AN500">
        <f t="shared" si="194"/>
        <v>0</v>
      </c>
      <c r="AO500">
        <f t="shared" si="195"/>
        <v>0</v>
      </c>
      <c r="AP500">
        <f t="shared" si="196"/>
        <v>0</v>
      </c>
      <c r="AQ500">
        <f t="shared" si="197"/>
        <v>0</v>
      </c>
      <c r="AR500">
        <f t="shared" si="198"/>
        <v>0</v>
      </c>
      <c r="AS500">
        <f t="shared" si="199"/>
        <v>0</v>
      </c>
      <c r="AT500">
        <f t="shared" si="200"/>
        <v>0</v>
      </c>
      <c r="AU500">
        <f t="shared" si="201"/>
        <v>0</v>
      </c>
      <c r="AV500">
        <f t="shared" si="202"/>
        <v>0</v>
      </c>
      <c r="AW500">
        <f t="shared" si="203"/>
        <v>0</v>
      </c>
      <c r="AX500">
        <f t="shared" si="204"/>
        <v>0</v>
      </c>
      <c r="AY500">
        <f t="shared" si="205"/>
        <v>0</v>
      </c>
      <c r="AZ500">
        <f t="shared" si="206"/>
        <v>0</v>
      </c>
      <c r="BA500">
        <f t="shared" si="207"/>
        <v>0</v>
      </c>
      <c r="BB500">
        <f t="shared" si="208"/>
        <v>0</v>
      </c>
      <c r="BC500">
        <f t="shared" si="209"/>
        <v>0</v>
      </c>
      <c r="BD500">
        <f t="shared" si="210"/>
        <v>0</v>
      </c>
      <c r="BE500">
        <f t="shared" si="211"/>
        <v>0</v>
      </c>
      <c r="BF500">
        <f t="shared" si="212"/>
        <v>0</v>
      </c>
      <c r="BG500">
        <f t="shared" si="213"/>
        <v>0</v>
      </c>
      <c r="BH500">
        <f t="shared" si="214"/>
        <v>0</v>
      </c>
    </row>
    <row r="501" spans="1:60" ht="15" customHeight="1">
      <c r="A501" s="206"/>
      <c r="B501" s="201"/>
      <c r="C501" s="1119" t="s">
        <v>5047</v>
      </c>
      <c r="D501" s="1121"/>
      <c r="E501" s="1121"/>
      <c r="F501" s="1120"/>
      <c r="G501" s="100"/>
      <c r="H501" s="100"/>
      <c r="I501" s="100"/>
      <c r="J501" s="100"/>
      <c r="K501" s="100"/>
      <c r="L501" s="100"/>
      <c r="M501" s="100"/>
      <c r="N501" s="100"/>
      <c r="O501" s="100"/>
      <c r="P501" s="100"/>
      <c r="Q501" s="100"/>
      <c r="R501" s="100"/>
      <c r="S501" s="100"/>
      <c r="T501" s="100"/>
      <c r="U501" s="100"/>
      <c r="V501" s="100"/>
      <c r="W501" s="100"/>
      <c r="X501" s="100"/>
      <c r="Y501" s="100"/>
      <c r="Z501" s="100"/>
      <c r="AA501" s="100"/>
      <c r="AB501" s="100"/>
      <c r="AC501" s="100"/>
      <c r="AD501" s="100"/>
      <c r="AF501"/>
      <c r="AG501"/>
      <c r="AH501"/>
      <c r="AI501"/>
      <c r="AJ501"/>
      <c r="AK501">
        <f t="shared" si="192"/>
        <v>0</v>
      </c>
      <c r="AL501">
        <f t="shared" si="193"/>
        <v>0</v>
      </c>
      <c r="AM501">
        <f t="shared" si="215"/>
        <v>0</v>
      </c>
      <c r="AN501">
        <f t="shared" si="194"/>
        <v>0</v>
      </c>
      <c r="AO501">
        <f t="shared" si="195"/>
        <v>0</v>
      </c>
      <c r="AP501">
        <f t="shared" si="196"/>
        <v>0</v>
      </c>
      <c r="AQ501">
        <f t="shared" si="197"/>
        <v>0</v>
      </c>
      <c r="AR501">
        <f t="shared" si="198"/>
        <v>0</v>
      </c>
      <c r="AS501">
        <f t="shared" si="199"/>
        <v>0</v>
      </c>
      <c r="AT501">
        <f t="shared" si="200"/>
        <v>0</v>
      </c>
      <c r="AU501">
        <f t="shared" si="201"/>
        <v>0</v>
      </c>
      <c r="AV501">
        <f t="shared" si="202"/>
        <v>0</v>
      </c>
      <c r="AW501">
        <f t="shared" si="203"/>
        <v>0</v>
      </c>
      <c r="AX501">
        <f t="shared" si="204"/>
        <v>0</v>
      </c>
      <c r="AY501">
        <f t="shared" si="205"/>
        <v>0</v>
      </c>
      <c r="AZ501">
        <f t="shared" si="206"/>
        <v>0</v>
      </c>
      <c r="BA501">
        <f t="shared" si="207"/>
        <v>0</v>
      </c>
      <c r="BB501">
        <f t="shared" si="208"/>
        <v>0</v>
      </c>
      <c r="BC501">
        <f t="shared" si="209"/>
        <v>0</v>
      </c>
      <c r="BD501">
        <f t="shared" si="210"/>
        <v>0</v>
      </c>
      <c r="BE501">
        <f t="shared" si="211"/>
        <v>0</v>
      </c>
      <c r="BF501">
        <f t="shared" si="212"/>
        <v>0</v>
      </c>
      <c r="BG501">
        <f t="shared" si="213"/>
        <v>0</v>
      </c>
      <c r="BH501">
        <f t="shared" si="214"/>
        <v>0</v>
      </c>
    </row>
    <row r="502" spans="1:60" ht="15" customHeight="1">
      <c r="A502" s="206"/>
      <c r="B502" s="206"/>
      <c r="C502" s="1117" t="s">
        <v>5048</v>
      </c>
      <c r="D502" s="1136"/>
      <c r="E502" s="1136"/>
      <c r="F502" s="1118"/>
      <c r="G502" s="100"/>
      <c r="H502" s="100"/>
      <c r="I502" s="100"/>
      <c r="J502" s="100"/>
      <c r="K502" s="100"/>
      <c r="L502" s="100"/>
      <c r="M502" s="100"/>
      <c r="N502" s="100"/>
      <c r="O502" s="100"/>
      <c r="P502" s="100"/>
      <c r="Q502" s="100"/>
      <c r="R502" s="100"/>
      <c r="S502" s="100"/>
      <c r="T502" s="100"/>
      <c r="U502" s="100"/>
      <c r="V502" s="100"/>
      <c r="W502" s="100"/>
      <c r="X502" s="100"/>
      <c r="Y502" s="100"/>
      <c r="Z502" s="100"/>
      <c r="AA502" s="100"/>
      <c r="AB502" s="100"/>
      <c r="AC502" s="100"/>
      <c r="AD502" s="100"/>
      <c r="AF502"/>
      <c r="AG502"/>
      <c r="AH502"/>
      <c r="AI502"/>
      <c r="AJ502"/>
      <c r="AK502">
        <f t="shared" ref="AK502:AK538" si="216">COUNTIF(H502:I502,"NS")</f>
        <v>0</v>
      </c>
      <c r="AL502">
        <f t="shared" ref="AL502:AL538" si="217">SUM(H502:I502)</f>
        <v>0</v>
      </c>
      <c r="AM502">
        <f t="shared" si="215"/>
        <v>0</v>
      </c>
      <c r="AN502">
        <f t="shared" ref="AN502:AN538" si="218">COUNTIF(K502:L502,"NS")</f>
        <v>0</v>
      </c>
      <c r="AO502">
        <f t="shared" ref="AO502:AO538" si="219">SUM(K502:L502)</f>
        <v>0</v>
      </c>
      <c r="AP502">
        <f t="shared" ref="AP502:AP538" si="220">IF(COUNTIF(J502:L502,"NA")=3,0,IF(COUNTA(J502:L502)=0,0,IF(OR(AND(J502=0,AN502&gt;0),AND(J502="ns",AO502&gt;0),AND(J502="ns",AN502=0,AO502=0)),1,IF(OR(AND(J502&gt;0,AN502=2),AND(J502="ns",AN502=2),AND(J502="ns",AO502=0,AN502&gt;0),J502=AO502),0,1))))</f>
        <v>0</v>
      </c>
      <c r="AQ502">
        <f t="shared" ref="AQ502:AQ538" si="221">COUNTIF(N502:O502,"NS")</f>
        <v>0</v>
      </c>
      <c r="AR502">
        <f t="shared" ref="AR502:AR538" si="222">SUM(N502:O502)</f>
        <v>0</v>
      </c>
      <c r="AS502">
        <f t="shared" ref="AS502:AS538" si="223">IF(COUNTIF(M502:O502,"NA")=3,0,IF(COUNTA(M502:O502)=0,0,IF(OR(AND(M502=0,AQ502&gt;0),AND(M502="ns",AR502&gt;0),AND(M502="ns",AQ502=0,AR502=0)),1,IF(OR(AND(M502&gt;0,AQ502=2),AND(M502="ns",AQ502=2),AND(M502="ns",AR502=0,AQ502&gt;0),M502=AR502),0,1))))</f>
        <v>0</v>
      </c>
      <c r="AT502">
        <f t="shared" ref="AT502:AT538" si="224">COUNTIF(Q502:R502,"NS")</f>
        <v>0</v>
      </c>
      <c r="AU502">
        <f t="shared" ref="AU502:AU538" si="225">SUM(Q502:R502)</f>
        <v>0</v>
      </c>
      <c r="AV502">
        <f t="shared" ref="AV502:AV538" si="226">IF(COUNTIF(P502:R502,"NA")=3,0,IF(COUNTA(P502:R502)=0,0,IF(OR(AND(P502=0,AT502&gt;0),AND(P502="ns",AU502&gt;0),AND(P502="ns",AT502=0,AU502=0)),1,IF(OR(AND(P502&gt;0,AT502=2),AND(P502="ns",AT502=2),AND(P502="ns",AU502=0,AT502&gt;0),P502=AU502),0,1))))</f>
        <v>0</v>
      </c>
      <c r="AW502">
        <f t="shared" ref="AW502:AW538" si="227">COUNTIF(T502:U502,"NS")</f>
        <v>0</v>
      </c>
      <c r="AX502">
        <f t="shared" ref="AX502:AX538" si="228">SUM(T502:U502)</f>
        <v>0</v>
      </c>
      <c r="AY502">
        <f t="shared" ref="AY502:AY538" si="229">IF(COUNTIF(S502:U502,"NA")=3,0,IF(COUNTA(S502:U502)=0,0,IF(OR(AND(S502=0,AW502&gt;0),AND(S502="ns",AX502&gt;0),AND(S502="ns",AW502=0,AX502=0)),1,IF(OR(AND(S502&gt;0,AW502=2),AND(S502="ns",AW502=2),AND(S502="ns",AX502=0,AW502&gt;0),S502=AX502),0,1))))</f>
        <v>0</v>
      </c>
      <c r="AZ502">
        <f t="shared" ref="AZ502:AZ538" si="230">COUNTIF(W502:X502,"NS")</f>
        <v>0</v>
      </c>
      <c r="BA502">
        <f t="shared" ref="BA502:BA538" si="231">SUM(W502:X502)</f>
        <v>0</v>
      </c>
      <c r="BB502">
        <f t="shared" ref="BB502:BB538" si="232">IF(COUNTIF(V502:X502,"NA")=3,0,IF(COUNTA(V502:X502)=0,0,IF(OR(AND(V502=0,AZ502&gt;0),AND(V502="ns",BA502&gt;0),AND(V502="ns",AZ502=0,BA502=0)),1,IF(OR(AND(V502&gt;0,AZ502=2),AND(V502="ns",AZ502=2),AND(V502="ns",BA502=0,AZ502&gt;0),V502=BA502),0,1))))</f>
        <v>0</v>
      </c>
      <c r="BC502">
        <f t="shared" ref="BC502:BC538" si="233">COUNTIF(Z502:AA502,"NS")</f>
        <v>0</v>
      </c>
      <c r="BD502">
        <f t="shared" ref="BD502:BD538" si="234">SUM(Z502:AA502)</f>
        <v>0</v>
      </c>
      <c r="BE502">
        <f t="shared" ref="BE502:BE538" si="235">IF(COUNTIF(Y502:AA502,"NA")=3,0,IF(COUNTA(Y502:AA502)=0,0,IF(OR(AND(Y502=0,BC502&gt;0),AND(Y502="ns",BD502&gt;0),AND(Y502="ns",BC502=0,BD502=0)),1,IF(OR(AND(Y502&gt;0,BC502=2),AND(Y502="ns",BC502=2),AND(Y502="ns",BD502=0,BC502&gt;0),Y502=BD502),0,1))))</f>
        <v>0</v>
      </c>
      <c r="BF502">
        <f t="shared" ref="BF502:BF538" si="236">COUNTIF(AC502:AD502,"NS")</f>
        <v>0</v>
      </c>
      <c r="BG502">
        <f t="shared" ref="BG502:BG538" si="237">SUM(AC502:AD502)</f>
        <v>0</v>
      </c>
      <c r="BH502">
        <f t="shared" ref="BH502:BH538" si="238">IF(COUNTIF(AB502:AD502,"NA")=3,0,IF(COUNTA(AB502:AD502)=0,0,IF(OR(AND(AB502=0,BF502&gt;0),AND(AB502="ns",BG502&gt;0),AND(AB502="ns",BF502=0,BG502=0)),1,IF(OR(AND(AB502&gt;0,BF502=2),AND(AB502="ns",BF502=2),AND(AB502="ns",BG502=0,BF502&gt;0),AB502=BG502),0,1))))</f>
        <v>0</v>
      </c>
    </row>
    <row r="503" spans="1:60" ht="15" customHeight="1">
      <c r="A503" s="206"/>
      <c r="B503" s="206"/>
      <c r="C503" s="1117" t="s">
        <v>5050</v>
      </c>
      <c r="D503" s="1136"/>
      <c r="E503" s="1136"/>
      <c r="F503" s="1118"/>
      <c r="G503" s="100"/>
      <c r="H503" s="100"/>
      <c r="I503" s="100"/>
      <c r="J503" s="100"/>
      <c r="K503" s="100"/>
      <c r="L503" s="100"/>
      <c r="M503" s="100"/>
      <c r="N503" s="100"/>
      <c r="O503" s="100"/>
      <c r="P503" s="100"/>
      <c r="Q503" s="100"/>
      <c r="R503" s="100"/>
      <c r="S503" s="100"/>
      <c r="T503" s="100"/>
      <c r="U503" s="100"/>
      <c r="V503" s="100"/>
      <c r="W503" s="100"/>
      <c r="X503" s="100"/>
      <c r="Y503" s="100"/>
      <c r="Z503" s="100"/>
      <c r="AA503" s="100"/>
      <c r="AB503" s="100"/>
      <c r="AC503" s="100"/>
      <c r="AD503" s="100"/>
      <c r="AF503"/>
      <c r="AG503"/>
      <c r="AH503"/>
      <c r="AI503"/>
      <c r="AJ503"/>
      <c r="AK503">
        <f t="shared" si="216"/>
        <v>0</v>
      </c>
      <c r="AL503">
        <f t="shared" si="217"/>
        <v>0</v>
      </c>
      <c r="AM503">
        <f t="shared" ref="AM503:AM538" si="239">IF(COUNTIF(G503:I503,"NA")=3,0,IF(COUNTA(G503:I503)=0,0,IF(OR(AND(G503=0,AK503&gt;0),AND(G503="ns",AL503&gt;0),AND(G503="ns",AK503=0,AL503=0)),1,IF(OR(AND(G503&gt;0,AK503=2),AND(G503="ns",AK503=2),AND(G503="ns",AL503=0,AK503&gt;0),G503=AL503),0,1))))</f>
        <v>0</v>
      </c>
      <c r="AN503">
        <f t="shared" si="218"/>
        <v>0</v>
      </c>
      <c r="AO503">
        <f t="shared" si="219"/>
        <v>0</v>
      </c>
      <c r="AP503">
        <f t="shared" si="220"/>
        <v>0</v>
      </c>
      <c r="AQ503">
        <f t="shared" si="221"/>
        <v>0</v>
      </c>
      <c r="AR503">
        <f t="shared" si="222"/>
        <v>0</v>
      </c>
      <c r="AS503">
        <f t="shared" si="223"/>
        <v>0</v>
      </c>
      <c r="AT503">
        <f t="shared" si="224"/>
        <v>0</v>
      </c>
      <c r="AU503">
        <f t="shared" si="225"/>
        <v>0</v>
      </c>
      <c r="AV503">
        <f t="shared" si="226"/>
        <v>0</v>
      </c>
      <c r="AW503">
        <f t="shared" si="227"/>
        <v>0</v>
      </c>
      <c r="AX503">
        <f t="shared" si="228"/>
        <v>0</v>
      </c>
      <c r="AY503">
        <f t="shared" si="229"/>
        <v>0</v>
      </c>
      <c r="AZ503">
        <f t="shared" si="230"/>
        <v>0</v>
      </c>
      <c r="BA503">
        <f t="shared" si="231"/>
        <v>0</v>
      </c>
      <c r="BB503">
        <f t="shared" si="232"/>
        <v>0</v>
      </c>
      <c r="BC503">
        <f t="shared" si="233"/>
        <v>0</v>
      </c>
      <c r="BD503">
        <f t="shared" si="234"/>
        <v>0</v>
      </c>
      <c r="BE503">
        <f t="shared" si="235"/>
        <v>0</v>
      </c>
      <c r="BF503">
        <f t="shared" si="236"/>
        <v>0</v>
      </c>
      <c r="BG503">
        <f t="shared" si="237"/>
        <v>0</v>
      </c>
      <c r="BH503">
        <f t="shared" si="238"/>
        <v>0</v>
      </c>
    </row>
    <row r="504" spans="1:60" ht="15" customHeight="1">
      <c r="A504" s="206"/>
      <c r="B504" s="206"/>
      <c r="C504" s="1117" t="s">
        <v>5052</v>
      </c>
      <c r="D504" s="1136"/>
      <c r="E504" s="1136"/>
      <c r="F504" s="1118"/>
      <c r="G504" s="100"/>
      <c r="H504" s="100"/>
      <c r="I504" s="100"/>
      <c r="J504" s="100"/>
      <c r="K504" s="100"/>
      <c r="L504" s="100"/>
      <c r="M504" s="100"/>
      <c r="N504" s="100"/>
      <c r="O504" s="100"/>
      <c r="P504" s="100"/>
      <c r="Q504" s="100"/>
      <c r="R504" s="100"/>
      <c r="S504" s="100"/>
      <c r="T504" s="100"/>
      <c r="U504" s="100"/>
      <c r="V504" s="100"/>
      <c r="W504" s="100"/>
      <c r="X504" s="100"/>
      <c r="Y504" s="100"/>
      <c r="Z504" s="100"/>
      <c r="AA504" s="100"/>
      <c r="AB504" s="100"/>
      <c r="AC504" s="100"/>
      <c r="AD504" s="100"/>
      <c r="AF504"/>
      <c r="AG504"/>
      <c r="AH504"/>
      <c r="AI504"/>
      <c r="AJ504"/>
      <c r="AK504">
        <f t="shared" si="216"/>
        <v>0</v>
      </c>
      <c r="AL504">
        <f t="shared" si="217"/>
        <v>0</v>
      </c>
      <c r="AM504">
        <f t="shared" si="239"/>
        <v>0</v>
      </c>
      <c r="AN504">
        <f t="shared" si="218"/>
        <v>0</v>
      </c>
      <c r="AO504">
        <f t="shared" si="219"/>
        <v>0</v>
      </c>
      <c r="AP504">
        <f t="shared" si="220"/>
        <v>0</v>
      </c>
      <c r="AQ504">
        <f t="shared" si="221"/>
        <v>0</v>
      </c>
      <c r="AR504">
        <f t="shared" si="222"/>
        <v>0</v>
      </c>
      <c r="AS504">
        <f t="shared" si="223"/>
        <v>0</v>
      </c>
      <c r="AT504">
        <f t="shared" si="224"/>
        <v>0</v>
      </c>
      <c r="AU504">
        <f t="shared" si="225"/>
        <v>0</v>
      </c>
      <c r="AV504">
        <f t="shared" si="226"/>
        <v>0</v>
      </c>
      <c r="AW504">
        <f t="shared" si="227"/>
        <v>0</v>
      </c>
      <c r="AX504">
        <f t="shared" si="228"/>
        <v>0</v>
      </c>
      <c r="AY504">
        <f t="shared" si="229"/>
        <v>0</v>
      </c>
      <c r="AZ504">
        <f t="shared" si="230"/>
        <v>0</v>
      </c>
      <c r="BA504">
        <f t="shared" si="231"/>
        <v>0</v>
      </c>
      <c r="BB504">
        <f t="shared" si="232"/>
        <v>0</v>
      </c>
      <c r="BC504">
        <f t="shared" si="233"/>
        <v>0</v>
      </c>
      <c r="BD504">
        <f t="shared" si="234"/>
        <v>0</v>
      </c>
      <c r="BE504">
        <f t="shared" si="235"/>
        <v>0</v>
      </c>
      <c r="BF504">
        <f t="shared" si="236"/>
        <v>0</v>
      </c>
      <c r="BG504">
        <f t="shared" si="237"/>
        <v>0</v>
      </c>
      <c r="BH504">
        <f t="shared" si="238"/>
        <v>0</v>
      </c>
    </row>
    <row r="505" spans="1:60" ht="15" customHeight="1">
      <c r="A505" s="206"/>
      <c r="B505" s="206"/>
      <c r="C505" s="1117" t="s">
        <v>5056</v>
      </c>
      <c r="D505" s="1136"/>
      <c r="E505" s="1136"/>
      <c r="F505" s="1118"/>
      <c r="G505" s="100"/>
      <c r="H505" s="100"/>
      <c r="I505" s="100"/>
      <c r="J505" s="100"/>
      <c r="K505" s="100"/>
      <c r="L505" s="100"/>
      <c r="M505" s="100"/>
      <c r="N505" s="100"/>
      <c r="O505" s="100"/>
      <c r="P505" s="100"/>
      <c r="Q505" s="100"/>
      <c r="R505" s="100"/>
      <c r="S505" s="100"/>
      <c r="T505" s="100"/>
      <c r="U505" s="100"/>
      <c r="V505" s="100"/>
      <c r="W505" s="100"/>
      <c r="X505" s="100"/>
      <c r="Y505" s="100"/>
      <c r="Z505" s="100"/>
      <c r="AA505" s="100"/>
      <c r="AB505" s="100"/>
      <c r="AC505" s="100"/>
      <c r="AD505" s="100"/>
      <c r="AF505"/>
      <c r="AG505"/>
      <c r="AH505"/>
      <c r="AI505"/>
      <c r="AJ505"/>
      <c r="AK505">
        <f t="shared" si="216"/>
        <v>0</v>
      </c>
      <c r="AL505">
        <f t="shared" si="217"/>
        <v>0</v>
      </c>
      <c r="AM505">
        <f t="shared" si="239"/>
        <v>0</v>
      </c>
      <c r="AN505">
        <f t="shared" si="218"/>
        <v>0</v>
      </c>
      <c r="AO505">
        <f t="shared" si="219"/>
        <v>0</v>
      </c>
      <c r="AP505">
        <f t="shared" si="220"/>
        <v>0</v>
      </c>
      <c r="AQ505">
        <f t="shared" si="221"/>
        <v>0</v>
      </c>
      <c r="AR505">
        <f t="shared" si="222"/>
        <v>0</v>
      </c>
      <c r="AS505">
        <f t="shared" si="223"/>
        <v>0</v>
      </c>
      <c r="AT505">
        <f t="shared" si="224"/>
        <v>0</v>
      </c>
      <c r="AU505">
        <f t="shared" si="225"/>
        <v>0</v>
      </c>
      <c r="AV505">
        <f t="shared" si="226"/>
        <v>0</v>
      </c>
      <c r="AW505">
        <f t="shared" si="227"/>
        <v>0</v>
      </c>
      <c r="AX505">
        <f t="shared" si="228"/>
        <v>0</v>
      </c>
      <c r="AY505">
        <f t="shared" si="229"/>
        <v>0</v>
      </c>
      <c r="AZ505">
        <f t="shared" si="230"/>
        <v>0</v>
      </c>
      <c r="BA505">
        <f t="shared" si="231"/>
        <v>0</v>
      </c>
      <c r="BB505">
        <f t="shared" si="232"/>
        <v>0</v>
      </c>
      <c r="BC505">
        <f t="shared" si="233"/>
        <v>0</v>
      </c>
      <c r="BD505">
        <f t="shared" si="234"/>
        <v>0</v>
      </c>
      <c r="BE505">
        <f t="shared" si="235"/>
        <v>0</v>
      </c>
      <c r="BF505">
        <f t="shared" si="236"/>
        <v>0</v>
      </c>
      <c r="BG505">
        <f t="shared" si="237"/>
        <v>0</v>
      </c>
      <c r="BH505">
        <f t="shared" si="238"/>
        <v>0</v>
      </c>
    </row>
    <row r="506" spans="1:60" ht="15" customHeight="1">
      <c r="A506" s="206"/>
      <c r="B506" s="206"/>
      <c r="C506" s="1117" t="s">
        <v>5058</v>
      </c>
      <c r="D506" s="1136"/>
      <c r="E506" s="1136"/>
      <c r="F506" s="1118"/>
      <c r="G506" s="100"/>
      <c r="H506" s="100"/>
      <c r="I506" s="100"/>
      <c r="J506" s="100"/>
      <c r="K506" s="100"/>
      <c r="L506" s="100"/>
      <c r="M506" s="100"/>
      <c r="N506" s="100"/>
      <c r="O506" s="100"/>
      <c r="P506" s="100"/>
      <c r="Q506" s="100"/>
      <c r="R506" s="100"/>
      <c r="S506" s="100"/>
      <c r="T506" s="100"/>
      <c r="U506" s="100"/>
      <c r="V506" s="100"/>
      <c r="W506" s="100"/>
      <c r="X506" s="100"/>
      <c r="Y506" s="100"/>
      <c r="Z506" s="100"/>
      <c r="AA506" s="100"/>
      <c r="AB506" s="100"/>
      <c r="AC506" s="100"/>
      <c r="AD506" s="100"/>
      <c r="AF506"/>
      <c r="AG506"/>
      <c r="AH506"/>
      <c r="AI506"/>
      <c r="AJ506"/>
      <c r="AK506">
        <f t="shared" si="216"/>
        <v>0</v>
      </c>
      <c r="AL506">
        <f t="shared" si="217"/>
        <v>0</v>
      </c>
      <c r="AM506">
        <f t="shared" si="239"/>
        <v>0</v>
      </c>
      <c r="AN506">
        <f t="shared" si="218"/>
        <v>0</v>
      </c>
      <c r="AO506">
        <f t="shared" si="219"/>
        <v>0</v>
      </c>
      <c r="AP506">
        <f t="shared" si="220"/>
        <v>0</v>
      </c>
      <c r="AQ506">
        <f t="shared" si="221"/>
        <v>0</v>
      </c>
      <c r="AR506">
        <f t="shared" si="222"/>
        <v>0</v>
      </c>
      <c r="AS506">
        <f t="shared" si="223"/>
        <v>0</v>
      </c>
      <c r="AT506">
        <f t="shared" si="224"/>
        <v>0</v>
      </c>
      <c r="AU506">
        <f t="shared" si="225"/>
        <v>0</v>
      </c>
      <c r="AV506">
        <f t="shared" si="226"/>
        <v>0</v>
      </c>
      <c r="AW506">
        <f t="shared" si="227"/>
        <v>0</v>
      </c>
      <c r="AX506">
        <f t="shared" si="228"/>
        <v>0</v>
      </c>
      <c r="AY506">
        <f t="shared" si="229"/>
        <v>0</v>
      </c>
      <c r="AZ506">
        <f t="shared" si="230"/>
        <v>0</v>
      </c>
      <c r="BA506">
        <f t="shared" si="231"/>
        <v>0</v>
      </c>
      <c r="BB506">
        <f t="shared" si="232"/>
        <v>0</v>
      </c>
      <c r="BC506">
        <f t="shared" si="233"/>
        <v>0</v>
      </c>
      <c r="BD506">
        <f t="shared" si="234"/>
        <v>0</v>
      </c>
      <c r="BE506">
        <f t="shared" si="235"/>
        <v>0</v>
      </c>
      <c r="BF506">
        <f t="shared" si="236"/>
        <v>0</v>
      </c>
      <c r="BG506">
        <f t="shared" si="237"/>
        <v>0</v>
      </c>
      <c r="BH506">
        <f t="shared" si="238"/>
        <v>0</v>
      </c>
    </row>
    <row r="507" spans="1:60" ht="15" customHeight="1">
      <c r="A507" s="206"/>
      <c r="B507" s="206"/>
      <c r="C507" s="1117" t="s">
        <v>5060</v>
      </c>
      <c r="D507" s="1136"/>
      <c r="E507" s="1136"/>
      <c r="F507" s="1118"/>
      <c r="G507" s="100"/>
      <c r="H507" s="100"/>
      <c r="I507" s="100"/>
      <c r="J507" s="100"/>
      <c r="K507" s="100"/>
      <c r="L507" s="100"/>
      <c r="M507" s="100"/>
      <c r="N507" s="100"/>
      <c r="O507" s="100"/>
      <c r="P507" s="100"/>
      <c r="Q507" s="100"/>
      <c r="R507" s="100"/>
      <c r="S507" s="100"/>
      <c r="T507" s="100"/>
      <c r="U507" s="100"/>
      <c r="V507" s="100"/>
      <c r="W507" s="100"/>
      <c r="X507" s="100"/>
      <c r="Y507" s="100"/>
      <c r="Z507" s="100"/>
      <c r="AA507" s="100"/>
      <c r="AB507" s="100"/>
      <c r="AC507" s="100"/>
      <c r="AD507" s="100"/>
      <c r="AF507"/>
      <c r="AG507"/>
      <c r="AH507"/>
      <c r="AI507"/>
      <c r="AJ507"/>
      <c r="AK507">
        <f t="shared" si="216"/>
        <v>0</v>
      </c>
      <c r="AL507">
        <f t="shared" si="217"/>
        <v>0</v>
      </c>
      <c r="AM507">
        <f t="shared" si="239"/>
        <v>0</v>
      </c>
      <c r="AN507">
        <f t="shared" si="218"/>
        <v>0</v>
      </c>
      <c r="AO507">
        <f t="shared" si="219"/>
        <v>0</v>
      </c>
      <c r="AP507">
        <f t="shared" si="220"/>
        <v>0</v>
      </c>
      <c r="AQ507">
        <f t="shared" si="221"/>
        <v>0</v>
      </c>
      <c r="AR507">
        <f t="shared" si="222"/>
        <v>0</v>
      </c>
      <c r="AS507">
        <f t="shared" si="223"/>
        <v>0</v>
      </c>
      <c r="AT507">
        <f t="shared" si="224"/>
        <v>0</v>
      </c>
      <c r="AU507">
        <f t="shared" si="225"/>
        <v>0</v>
      </c>
      <c r="AV507">
        <f t="shared" si="226"/>
        <v>0</v>
      </c>
      <c r="AW507">
        <f t="shared" si="227"/>
        <v>0</v>
      </c>
      <c r="AX507">
        <f t="shared" si="228"/>
        <v>0</v>
      </c>
      <c r="AY507">
        <f t="shared" si="229"/>
        <v>0</v>
      </c>
      <c r="AZ507">
        <f t="shared" si="230"/>
        <v>0</v>
      </c>
      <c r="BA507">
        <f t="shared" si="231"/>
        <v>0</v>
      </c>
      <c r="BB507">
        <f t="shared" si="232"/>
        <v>0</v>
      </c>
      <c r="BC507">
        <f t="shared" si="233"/>
        <v>0</v>
      </c>
      <c r="BD507">
        <f t="shared" si="234"/>
        <v>0</v>
      </c>
      <c r="BE507">
        <f t="shared" si="235"/>
        <v>0</v>
      </c>
      <c r="BF507">
        <f t="shared" si="236"/>
        <v>0</v>
      </c>
      <c r="BG507">
        <f t="shared" si="237"/>
        <v>0</v>
      </c>
      <c r="BH507">
        <f t="shared" si="238"/>
        <v>0</v>
      </c>
    </row>
    <row r="508" spans="1:60" ht="15" customHeight="1">
      <c r="A508" s="206"/>
      <c r="B508" s="206"/>
      <c r="C508" s="1117" t="s">
        <v>5062</v>
      </c>
      <c r="D508" s="1136"/>
      <c r="E508" s="1136"/>
      <c r="F508" s="1118"/>
      <c r="G508" s="100"/>
      <c r="H508" s="100"/>
      <c r="I508" s="100"/>
      <c r="J508" s="100"/>
      <c r="K508" s="100"/>
      <c r="L508" s="100"/>
      <c r="M508" s="100"/>
      <c r="N508" s="100"/>
      <c r="O508" s="100"/>
      <c r="P508" s="100"/>
      <c r="Q508" s="100"/>
      <c r="R508" s="100"/>
      <c r="S508" s="100"/>
      <c r="T508" s="100"/>
      <c r="U508" s="100"/>
      <c r="V508" s="100"/>
      <c r="W508" s="100"/>
      <c r="X508" s="100"/>
      <c r="Y508" s="100"/>
      <c r="Z508" s="100"/>
      <c r="AA508" s="100"/>
      <c r="AB508" s="100"/>
      <c r="AC508" s="100"/>
      <c r="AD508" s="100"/>
      <c r="AF508"/>
      <c r="AG508"/>
      <c r="AH508"/>
      <c r="AI508"/>
      <c r="AJ508"/>
      <c r="AK508">
        <f t="shared" si="216"/>
        <v>0</v>
      </c>
      <c r="AL508">
        <f t="shared" si="217"/>
        <v>0</v>
      </c>
      <c r="AM508">
        <f t="shared" si="239"/>
        <v>0</v>
      </c>
      <c r="AN508">
        <f t="shared" si="218"/>
        <v>0</v>
      </c>
      <c r="AO508">
        <f t="shared" si="219"/>
        <v>0</v>
      </c>
      <c r="AP508">
        <f t="shared" si="220"/>
        <v>0</v>
      </c>
      <c r="AQ508">
        <f t="shared" si="221"/>
        <v>0</v>
      </c>
      <c r="AR508">
        <f t="shared" si="222"/>
        <v>0</v>
      </c>
      <c r="AS508">
        <f t="shared" si="223"/>
        <v>0</v>
      </c>
      <c r="AT508">
        <f t="shared" si="224"/>
        <v>0</v>
      </c>
      <c r="AU508">
        <f t="shared" si="225"/>
        <v>0</v>
      </c>
      <c r="AV508">
        <f t="shared" si="226"/>
        <v>0</v>
      </c>
      <c r="AW508">
        <f t="shared" si="227"/>
        <v>0</v>
      </c>
      <c r="AX508">
        <f t="shared" si="228"/>
        <v>0</v>
      </c>
      <c r="AY508">
        <f t="shared" si="229"/>
        <v>0</v>
      </c>
      <c r="AZ508">
        <f t="shared" si="230"/>
        <v>0</v>
      </c>
      <c r="BA508">
        <f t="shared" si="231"/>
        <v>0</v>
      </c>
      <c r="BB508">
        <f t="shared" si="232"/>
        <v>0</v>
      </c>
      <c r="BC508">
        <f t="shared" si="233"/>
        <v>0</v>
      </c>
      <c r="BD508">
        <f t="shared" si="234"/>
        <v>0</v>
      </c>
      <c r="BE508">
        <f t="shared" si="235"/>
        <v>0</v>
      </c>
      <c r="BF508">
        <f t="shared" si="236"/>
        <v>0</v>
      </c>
      <c r="BG508">
        <f t="shared" si="237"/>
        <v>0</v>
      </c>
      <c r="BH508">
        <f t="shared" si="238"/>
        <v>0</v>
      </c>
    </row>
    <row r="509" spans="1:60" ht="15" customHeight="1">
      <c r="A509" s="206"/>
      <c r="B509" s="206"/>
      <c r="C509" s="1117" t="s">
        <v>5064</v>
      </c>
      <c r="D509" s="1136"/>
      <c r="E509" s="1136"/>
      <c r="F509" s="1118"/>
      <c r="G509" s="100"/>
      <c r="H509" s="100"/>
      <c r="I509" s="100"/>
      <c r="J509" s="100"/>
      <c r="K509" s="100"/>
      <c r="L509" s="100"/>
      <c r="M509" s="100"/>
      <c r="N509" s="100"/>
      <c r="O509" s="100"/>
      <c r="P509" s="100"/>
      <c r="Q509" s="100"/>
      <c r="R509" s="100"/>
      <c r="S509" s="100"/>
      <c r="T509" s="100"/>
      <c r="U509" s="100"/>
      <c r="V509" s="100"/>
      <c r="W509" s="100"/>
      <c r="X509" s="100"/>
      <c r="Y509" s="100"/>
      <c r="Z509" s="100"/>
      <c r="AA509" s="100"/>
      <c r="AB509" s="100"/>
      <c r="AC509" s="100"/>
      <c r="AD509" s="100"/>
      <c r="AF509"/>
      <c r="AG509"/>
      <c r="AH509"/>
      <c r="AI509"/>
      <c r="AJ509"/>
      <c r="AK509">
        <f t="shared" si="216"/>
        <v>0</v>
      </c>
      <c r="AL509">
        <f t="shared" si="217"/>
        <v>0</v>
      </c>
      <c r="AM509">
        <f t="shared" si="239"/>
        <v>0</v>
      </c>
      <c r="AN509">
        <f t="shared" si="218"/>
        <v>0</v>
      </c>
      <c r="AO509">
        <f t="shared" si="219"/>
        <v>0</v>
      </c>
      <c r="AP509">
        <f t="shared" si="220"/>
        <v>0</v>
      </c>
      <c r="AQ509">
        <f t="shared" si="221"/>
        <v>0</v>
      </c>
      <c r="AR509">
        <f t="shared" si="222"/>
        <v>0</v>
      </c>
      <c r="AS509">
        <f t="shared" si="223"/>
        <v>0</v>
      </c>
      <c r="AT509">
        <f t="shared" si="224"/>
        <v>0</v>
      </c>
      <c r="AU509">
        <f t="shared" si="225"/>
        <v>0</v>
      </c>
      <c r="AV509">
        <f t="shared" si="226"/>
        <v>0</v>
      </c>
      <c r="AW509">
        <f t="shared" si="227"/>
        <v>0</v>
      </c>
      <c r="AX509">
        <f t="shared" si="228"/>
        <v>0</v>
      </c>
      <c r="AY509">
        <f t="shared" si="229"/>
        <v>0</v>
      </c>
      <c r="AZ509">
        <f t="shared" si="230"/>
        <v>0</v>
      </c>
      <c r="BA509">
        <f t="shared" si="231"/>
        <v>0</v>
      </c>
      <c r="BB509">
        <f t="shared" si="232"/>
        <v>0</v>
      </c>
      <c r="BC509">
        <f t="shared" si="233"/>
        <v>0</v>
      </c>
      <c r="BD509">
        <f t="shared" si="234"/>
        <v>0</v>
      </c>
      <c r="BE509">
        <f t="shared" si="235"/>
        <v>0</v>
      </c>
      <c r="BF509">
        <f t="shared" si="236"/>
        <v>0</v>
      </c>
      <c r="BG509">
        <f t="shared" si="237"/>
        <v>0</v>
      </c>
      <c r="BH509">
        <f t="shared" si="238"/>
        <v>0</v>
      </c>
    </row>
    <row r="510" spans="1:60" ht="15" customHeight="1">
      <c r="A510" s="206"/>
      <c r="B510" s="201"/>
      <c r="C510" s="1119" t="s">
        <v>5066</v>
      </c>
      <c r="D510" s="1121"/>
      <c r="E510" s="1121"/>
      <c r="F510" s="1120"/>
      <c r="G510" s="100"/>
      <c r="H510" s="100"/>
      <c r="I510" s="100"/>
      <c r="J510" s="100"/>
      <c r="K510" s="100"/>
      <c r="L510" s="100"/>
      <c r="M510" s="100"/>
      <c r="N510" s="100"/>
      <c r="O510" s="100"/>
      <c r="P510" s="100"/>
      <c r="Q510" s="100"/>
      <c r="R510" s="100"/>
      <c r="S510" s="100"/>
      <c r="T510" s="100"/>
      <c r="U510" s="100"/>
      <c r="V510" s="100"/>
      <c r="W510" s="100"/>
      <c r="X510" s="100"/>
      <c r="Y510" s="100"/>
      <c r="Z510" s="100"/>
      <c r="AA510" s="100"/>
      <c r="AB510" s="100"/>
      <c r="AC510" s="100"/>
      <c r="AD510" s="100"/>
      <c r="AF510"/>
      <c r="AG510"/>
      <c r="AH510"/>
      <c r="AI510"/>
      <c r="AJ510"/>
      <c r="AK510">
        <f t="shared" si="216"/>
        <v>0</v>
      </c>
      <c r="AL510">
        <f t="shared" si="217"/>
        <v>0</v>
      </c>
      <c r="AM510">
        <f t="shared" si="239"/>
        <v>0</v>
      </c>
      <c r="AN510">
        <f t="shared" si="218"/>
        <v>0</v>
      </c>
      <c r="AO510">
        <f t="shared" si="219"/>
        <v>0</v>
      </c>
      <c r="AP510">
        <f t="shared" si="220"/>
        <v>0</v>
      </c>
      <c r="AQ510">
        <f t="shared" si="221"/>
        <v>0</v>
      </c>
      <c r="AR510">
        <f t="shared" si="222"/>
        <v>0</v>
      </c>
      <c r="AS510">
        <f t="shared" si="223"/>
        <v>0</v>
      </c>
      <c r="AT510">
        <f t="shared" si="224"/>
        <v>0</v>
      </c>
      <c r="AU510">
        <f t="shared" si="225"/>
        <v>0</v>
      </c>
      <c r="AV510">
        <f t="shared" si="226"/>
        <v>0</v>
      </c>
      <c r="AW510">
        <f t="shared" si="227"/>
        <v>0</v>
      </c>
      <c r="AX510">
        <f t="shared" si="228"/>
        <v>0</v>
      </c>
      <c r="AY510">
        <f t="shared" si="229"/>
        <v>0</v>
      </c>
      <c r="AZ510">
        <f t="shared" si="230"/>
        <v>0</v>
      </c>
      <c r="BA510">
        <f t="shared" si="231"/>
        <v>0</v>
      </c>
      <c r="BB510">
        <f t="shared" si="232"/>
        <v>0</v>
      </c>
      <c r="BC510">
        <f t="shared" si="233"/>
        <v>0</v>
      </c>
      <c r="BD510">
        <f t="shared" si="234"/>
        <v>0</v>
      </c>
      <c r="BE510">
        <f t="shared" si="235"/>
        <v>0</v>
      </c>
      <c r="BF510">
        <f t="shared" si="236"/>
        <v>0</v>
      </c>
      <c r="BG510">
        <f t="shared" si="237"/>
        <v>0</v>
      </c>
      <c r="BH510">
        <f t="shared" si="238"/>
        <v>0</v>
      </c>
    </row>
    <row r="511" spans="1:60" ht="15" customHeight="1">
      <c r="A511" s="206"/>
      <c r="B511" s="201"/>
      <c r="C511" s="1119" t="s">
        <v>5068</v>
      </c>
      <c r="D511" s="1121"/>
      <c r="E511" s="1121"/>
      <c r="F511" s="1120"/>
      <c r="G511" s="100"/>
      <c r="H511" s="100"/>
      <c r="I511" s="100"/>
      <c r="J511" s="100"/>
      <c r="K511" s="100"/>
      <c r="L511" s="100"/>
      <c r="M511" s="100"/>
      <c r="N511" s="100"/>
      <c r="O511" s="100"/>
      <c r="P511" s="100"/>
      <c r="Q511" s="100"/>
      <c r="R511" s="100"/>
      <c r="S511" s="100"/>
      <c r="T511" s="100"/>
      <c r="U511" s="100"/>
      <c r="V511" s="100"/>
      <c r="W511" s="100"/>
      <c r="X511" s="100"/>
      <c r="Y511" s="100"/>
      <c r="Z511" s="100"/>
      <c r="AA511" s="100"/>
      <c r="AB511" s="100"/>
      <c r="AC511" s="100"/>
      <c r="AD511" s="100"/>
      <c r="AF511"/>
      <c r="AG511"/>
      <c r="AH511"/>
      <c r="AI511"/>
      <c r="AJ511"/>
      <c r="AK511">
        <f t="shared" si="216"/>
        <v>0</v>
      </c>
      <c r="AL511">
        <f t="shared" si="217"/>
        <v>0</v>
      </c>
      <c r="AM511">
        <f t="shared" si="239"/>
        <v>0</v>
      </c>
      <c r="AN511">
        <f t="shared" si="218"/>
        <v>0</v>
      </c>
      <c r="AO511">
        <f t="shared" si="219"/>
        <v>0</v>
      </c>
      <c r="AP511">
        <f t="shared" si="220"/>
        <v>0</v>
      </c>
      <c r="AQ511">
        <f t="shared" si="221"/>
        <v>0</v>
      </c>
      <c r="AR511">
        <f t="shared" si="222"/>
        <v>0</v>
      </c>
      <c r="AS511">
        <f t="shared" si="223"/>
        <v>0</v>
      </c>
      <c r="AT511">
        <f t="shared" si="224"/>
        <v>0</v>
      </c>
      <c r="AU511">
        <f t="shared" si="225"/>
        <v>0</v>
      </c>
      <c r="AV511">
        <f t="shared" si="226"/>
        <v>0</v>
      </c>
      <c r="AW511">
        <f t="shared" si="227"/>
        <v>0</v>
      </c>
      <c r="AX511">
        <f t="shared" si="228"/>
        <v>0</v>
      </c>
      <c r="AY511">
        <f t="shared" si="229"/>
        <v>0</v>
      </c>
      <c r="AZ511">
        <f t="shared" si="230"/>
        <v>0</v>
      </c>
      <c r="BA511">
        <f t="shared" si="231"/>
        <v>0</v>
      </c>
      <c r="BB511">
        <f t="shared" si="232"/>
        <v>0</v>
      </c>
      <c r="BC511">
        <f t="shared" si="233"/>
        <v>0</v>
      </c>
      <c r="BD511">
        <f t="shared" si="234"/>
        <v>0</v>
      </c>
      <c r="BE511">
        <f t="shared" si="235"/>
        <v>0</v>
      </c>
      <c r="BF511">
        <f t="shared" si="236"/>
        <v>0</v>
      </c>
      <c r="BG511">
        <f t="shared" si="237"/>
        <v>0</v>
      </c>
      <c r="BH511">
        <f t="shared" si="238"/>
        <v>0</v>
      </c>
    </row>
    <row r="512" spans="1:60" ht="15" customHeight="1">
      <c r="A512" s="206"/>
      <c r="B512" s="201"/>
      <c r="C512" s="1119" t="s">
        <v>5070</v>
      </c>
      <c r="D512" s="1121"/>
      <c r="E512" s="1121"/>
      <c r="F512" s="1120"/>
      <c r="G512" s="100"/>
      <c r="H512" s="100"/>
      <c r="I512" s="100"/>
      <c r="J512" s="100"/>
      <c r="K512" s="100"/>
      <c r="L512" s="100"/>
      <c r="M512" s="100"/>
      <c r="N512" s="100"/>
      <c r="O512" s="100"/>
      <c r="P512" s="100"/>
      <c r="Q512" s="100"/>
      <c r="R512" s="100"/>
      <c r="S512" s="100"/>
      <c r="T512" s="100"/>
      <c r="U512" s="100"/>
      <c r="V512" s="100"/>
      <c r="W512" s="100"/>
      <c r="X512" s="100"/>
      <c r="Y512" s="100"/>
      <c r="Z512" s="100"/>
      <c r="AA512" s="100"/>
      <c r="AB512" s="100"/>
      <c r="AC512" s="100"/>
      <c r="AD512" s="100"/>
      <c r="AF512"/>
      <c r="AG512"/>
      <c r="AH512"/>
      <c r="AI512"/>
      <c r="AJ512"/>
      <c r="AK512">
        <f t="shared" si="216"/>
        <v>0</v>
      </c>
      <c r="AL512">
        <f t="shared" si="217"/>
        <v>0</v>
      </c>
      <c r="AM512">
        <f t="shared" si="239"/>
        <v>0</v>
      </c>
      <c r="AN512">
        <f t="shared" si="218"/>
        <v>0</v>
      </c>
      <c r="AO512">
        <f t="shared" si="219"/>
        <v>0</v>
      </c>
      <c r="AP512">
        <f t="shared" si="220"/>
        <v>0</v>
      </c>
      <c r="AQ512">
        <f t="shared" si="221"/>
        <v>0</v>
      </c>
      <c r="AR512">
        <f t="shared" si="222"/>
        <v>0</v>
      </c>
      <c r="AS512">
        <f t="shared" si="223"/>
        <v>0</v>
      </c>
      <c r="AT512">
        <f t="shared" si="224"/>
        <v>0</v>
      </c>
      <c r="AU512">
        <f t="shared" si="225"/>
        <v>0</v>
      </c>
      <c r="AV512">
        <f t="shared" si="226"/>
        <v>0</v>
      </c>
      <c r="AW512">
        <f t="shared" si="227"/>
        <v>0</v>
      </c>
      <c r="AX512">
        <f t="shared" si="228"/>
        <v>0</v>
      </c>
      <c r="AY512">
        <f t="shared" si="229"/>
        <v>0</v>
      </c>
      <c r="AZ512">
        <f t="shared" si="230"/>
        <v>0</v>
      </c>
      <c r="BA512">
        <f t="shared" si="231"/>
        <v>0</v>
      </c>
      <c r="BB512">
        <f t="shared" si="232"/>
        <v>0</v>
      </c>
      <c r="BC512">
        <f t="shared" si="233"/>
        <v>0</v>
      </c>
      <c r="BD512">
        <f t="shared" si="234"/>
        <v>0</v>
      </c>
      <c r="BE512">
        <f t="shared" si="235"/>
        <v>0</v>
      </c>
      <c r="BF512">
        <f t="shared" si="236"/>
        <v>0</v>
      </c>
      <c r="BG512">
        <f t="shared" si="237"/>
        <v>0</v>
      </c>
      <c r="BH512">
        <f t="shared" si="238"/>
        <v>0</v>
      </c>
    </row>
    <row r="513" spans="1:60" ht="15" customHeight="1">
      <c r="A513" s="206"/>
      <c r="B513" s="201"/>
      <c r="C513" s="1119" t="s">
        <v>5072</v>
      </c>
      <c r="D513" s="1121"/>
      <c r="E513" s="1121"/>
      <c r="F513" s="1120"/>
      <c r="G513" s="100"/>
      <c r="H513" s="100"/>
      <c r="I513" s="100"/>
      <c r="J513" s="100"/>
      <c r="K513" s="100"/>
      <c r="L513" s="100"/>
      <c r="M513" s="100"/>
      <c r="N513" s="100"/>
      <c r="O513" s="100"/>
      <c r="P513" s="100"/>
      <c r="Q513" s="100"/>
      <c r="R513" s="100"/>
      <c r="S513" s="100"/>
      <c r="T513" s="100"/>
      <c r="U513" s="100"/>
      <c r="V513" s="100"/>
      <c r="W513" s="100"/>
      <c r="X513" s="100"/>
      <c r="Y513" s="100"/>
      <c r="Z513" s="100"/>
      <c r="AA513" s="100"/>
      <c r="AB513" s="100"/>
      <c r="AC513" s="100"/>
      <c r="AD513" s="100"/>
      <c r="AF513"/>
      <c r="AG513"/>
      <c r="AH513"/>
      <c r="AI513"/>
      <c r="AJ513"/>
      <c r="AK513">
        <f t="shared" si="216"/>
        <v>0</v>
      </c>
      <c r="AL513">
        <f t="shared" si="217"/>
        <v>0</v>
      </c>
      <c r="AM513">
        <f t="shared" si="239"/>
        <v>0</v>
      </c>
      <c r="AN513">
        <f t="shared" si="218"/>
        <v>0</v>
      </c>
      <c r="AO513">
        <f t="shared" si="219"/>
        <v>0</v>
      </c>
      <c r="AP513">
        <f t="shared" si="220"/>
        <v>0</v>
      </c>
      <c r="AQ513">
        <f t="shared" si="221"/>
        <v>0</v>
      </c>
      <c r="AR513">
        <f t="shared" si="222"/>
        <v>0</v>
      </c>
      <c r="AS513">
        <f t="shared" si="223"/>
        <v>0</v>
      </c>
      <c r="AT513">
        <f t="shared" si="224"/>
        <v>0</v>
      </c>
      <c r="AU513">
        <f t="shared" si="225"/>
        <v>0</v>
      </c>
      <c r="AV513">
        <f t="shared" si="226"/>
        <v>0</v>
      </c>
      <c r="AW513">
        <f t="shared" si="227"/>
        <v>0</v>
      </c>
      <c r="AX513">
        <f t="shared" si="228"/>
        <v>0</v>
      </c>
      <c r="AY513">
        <f t="shared" si="229"/>
        <v>0</v>
      </c>
      <c r="AZ513">
        <f t="shared" si="230"/>
        <v>0</v>
      </c>
      <c r="BA513">
        <f t="shared" si="231"/>
        <v>0</v>
      </c>
      <c r="BB513">
        <f t="shared" si="232"/>
        <v>0</v>
      </c>
      <c r="BC513">
        <f t="shared" si="233"/>
        <v>0</v>
      </c>
      <c r="BD513">
        <f t="shared" si="234"/>
        <v>0</v>
      </c>
      <c r="BE513">
        <f t="shared" si="235"/>
        <v>0</v>
      </c>
      <c r="BF513">
        <f t="shared" si="236"/>
        <v>0</v>
      </c>
      <c r="BG513">
        <f t="shared" si="237"/>
        <v>0</v>
      </c>
      <c r="BH513">
        <f t="shared" si="238"/>
        <v>0</v>
      </c>
    </row>
    <row r="514" spans="1:60" ht="15" customHeight="1">
      <c r="A514" s="206"/>
      <c r="B514" s="201"/>
      <c r="C514" s="1119" t="s">
        <v>5074</v>
      </c>
      <c r="D514" s="1121"/>
      <c r="E514" s="1121"/>
      <c r="F514" s="1120"/>
      <c r="G514" s="100"/>
      <c r="H514" s="100"/>
      <c r="I514" s="100"/>
      <c r="J514" s="100"/>
      <c r="K514" s="100"/>
      <c r="L514" s="100"/>
      <c r="M514" s="100"/>
      <c r="N514" s="100"/>
      <c r="O514" s="100"/>
      <c r="P514" s="100"/>
      <c r="Q514" s="100"/>
      <c r="R514" s="100"/>
      <c r="S514" s="100"/>
      <c r="T514" s="100"/>
      <c r="U514" s="100"/>
      <c r="V514" s="100"/>
      <c r="W514" s="100"/>
      <c r="X514" s="100"/>
      <c r="Y514" s="100"/>
      <c r="Z514" s="100"/>
      <c r="AA514" s="100"/>
      <c r="AB514" s="100"/>
      <c r="AC514" s="100"/>
      <c r="AD514" s="100"/>
      <c r="AF514"/>
      <c r="AG514"/>
      <c r="AH514"/>
      <c r="AI514"/>
      <c r="AJ514"/>
      <c r="AK514">
        <f t="shared" si="216"/>
        <v>0</v>
      </c>
      <c r="AL514">
        <f t="shared" si="217"/>
        <v>0</v>
      </c>
      <c r="AM514">
        <f t="shared" si="239"/>
        <v>0</v>
      </c>
      <c r="AN514">
        <f t="shared" si="218"/>
        <v>0</v>
      </c>
      <c r="AO514">
        <f t="shared" si="219"/>
        <v>0</v>
      </c>
      <c r="AP514">
        <f t="shared" si="220"/>
        <v>0</v>
      </c>
      <c r="AQ514">
        <f t="shared" si="221"/>
        <v>0</v>
      </c>
      <c r="AR514">
        <f t="shared" si="222"/>
        <v>0</v>
      </c>
      <c r="AS514">
        <f t="shared" si="223"/>
        <v>0</v>
      </c>
      <c r="AT514">
        <f t="shared" si="224"/>
        <v>0</v>
      </c>
      <c r="AU514">
        <f t="shared" si="225"/>
        <v>0</v>
      </c>
      <c r="AV514">
        <f t="shared" si="226"/>
        <v>0</v>
      </c>
      <c r="AW514">
        <f t="shared" si="227"/>
        <v>0</v>
      </c>
      <c r="AX514">
        <f t="shared" si="228"/>
        <v>0</v>
      </c>
      <c r="AY514">
        <f t="shared" si="229"/>
        <v>0</v>
      </c>
      <c r="AZ514">
        <f t="shared" si="230"/>
        <v>0</v>
      </c>
      <c r="BA514">
        <f t="shared" si="231"/>
        <v>0</v>
      </c>
      <c r="BB514">
        <f t="shared" si="232"/>
        <v>0</v>
      </c>
      <c r="BC514">
        <f t="shared" si="233"/>
        <v>0</v>
      </c>
      <c r="BD514">
        <f t="shared" si="234"/>
        <v>0</v>
      </c>
      <c r="BE514">
        <f t="shared" si="235"/>
        <v>0</v>
      </c>
      <c r="BF514">
        <f t="shared" si="236"/>
        <v>0</v>
      </c>
      <c r="BG514">
        <f t="shared" si="237"/>
        <v>0</v>
      </c>
      <c r="BH514">
        <f t="shared" si="238"/>
        <v>0</v>
      </c>
    </row>
    <row r="515" spans="1:60" ht="15" customHeight="1">
      <c r="A515" s="206"/>
      <c r="B515" s="201"/>
      <c r="C515" s="1119" t="s">
        <v>5076</v>
      </c>
      <c r="D515" s="1121"/>
      <c r="E515" s="1121"/>
      <c r="F515" s="1120"/>
      <c r="G515" s="100"/>
      <c r="H515" s="100"/>
      <c r="I515" s="100"/>
      <c r="J515" s="100"/>
      <c r="K515" s="100"/>
      <c r="L515" s="100"/>
      <c r="M515" s="100"/>
      <c r="N515" s="100"/>
      <c r="O515" s="100"/>
      <c r="P515" s="100"/>
      <c r="Q515" s="100"/>
      <c r="R515" s="100"/>
      <c r="S515" s="100"/>
      <c r="T515" s="100"/>
      <c r="U515" s="100"/>
      <c r="V515" s="100"/>
      <c r="W515" s="100"/>
      <c r="X515" s="100"/>
      <c r="Y515" s="100"/>
      <c r="Z515" s="100"/>
      <c r="AA515" s="100"/>
      <c r="AB515" s="100"/>
      <c r="AC515" s="100"/>
      <c r="AD515" s="100"/>
      <c r="AF515"/>
      <c r="AG515"/>
      <c r="AH515"/>
      <c r="AI515"/>
      <c r="AJ515"/>
      <c r="AK515">
        <f t="shared" si="216"/>
        <v>0</v>
      </c>
      <c r="AL515">
        <f t="shared" si="217"/>
        <v>0</v>
      </c>
      <c r="AM515">
        <f t="shared" si="239"/>
        <v>0</v>
      </c>
      <c r="AN515">
        <f t="shared" si="218"/>
        <v>0</v>
      </c>
      <c r="AO515">
        <f t="shared" si="219"/>
        <v>0</v>
      </c>
      <c r="AP515">
        <f t="shared" si="220"/>
        <v>0</v>
      </c>
      <c r="AQ515">
        <f t="shared" si="221"/>
        <v>0</v>
      </c>
      <c r="AR515">
        <f t="shared" si="222"/>
        <v>0</v>
      </c>
      <c r="AS515">
        <f t="shared" si="223"/>
        <v>0</v>
      </c>
      <c r="AT515">
        <f t="shared" si="224"/>
        <v>0</v>
      </c>
      <c r="AU515">
        <f t="shared" si="225"/>
        <v>0</v>
      </c>
      <c r="AV515">
        <f t="shared" si="226"/>
        <v>0</v>
      </c>
      <c r="AW515">
        <f t="shared" si="227"/>
        <v>0</v>
      </c>
      <c r="AX515">
        <f t="shared" si="228"/>
        <v>0</v>
      </c>
      <c r="AY515">
        <f t="shared" si="229"/>
        <v>0</v>
      </c>
      <c r="AZ515">
        <f t="shared" si="230"/>
        <v>0</v>
      </c>
      <c r="BA515">
        <f t="shared" si="231"/>
        <v>0</v>
      </c>
      <c r="BB515">
        <f t="shared" si="232"/>
        <v>0</v>
      </c>
      <c r="BC515">
        <f t="shared" si="233"/>
        <v>0</v>
      </c>
      <c r="BD515">
        <f t="shared" si="234"/>
        <v>0</v>
      </c>
      <c r="BE515">
        <f t="shared" si="235"/>
        <v>0</v>
      </c>
      <c r="BF515">
        <f t="shared" si="236"/>
        <v>0</v>
      </c>
      <c r="BG515">
        <f t="shared" si="237"/>
        <v>0</v>
      </c>
      <c r="BH515">
        <f t="shared" si="238"/>
        <v>0</v>
      </c>
    </row>
    <row r="516" spans="1:60" ht="15" customHeight="1">
      <c r="A516" s="206"/>
      <c r="B516" s="201"/>
      <c r="C516" s="1119" t="s">
        <v>5078</v>
      </c>
      <c r="D516" s="1121"/>
      <c r="E516" s="1121"/>
      <c r="F516" s="1120"/>
      <c r="G516" s="100"/>
      <c r="H516" s="100"/>
      <c r="I516" s="100"/>
      <c r="J516" s="100"/>
      <c r="K516" s="100"/>
      <c r="L516" s="100"/>
      <c r="M516" s="100"/>
      <c r="N516" s="100"/>
      <c r="O516" s="100"/>
      <c r="P516" s="100"/>
      <c r="Q516" s="100"/>
      <c r="R516" s="100"/>
      <c r="S516" s="100"/>
      <c r="T516" s="100"/>
      <c r="U516" s="100"/>
      <c r="V516" s="100"/>
      <c r="W516" s="100"/>
      <c r="X516" s="100"/>
      <c r="Y516" s="100"/>
      <c r="Z516" s="100"/>
      <c r="AA516" s="100"/>
      <c r="AB516" s="100"/>
      <c r="AC516" s="100"/>
      <c r="AD516" s="100"/>
      <c r="AF516"/>
      <c r="AG516"/>
      <c r="AH516"/>
      <c r="AI516"/>
      <c r="AJ516"/>
      <c r="AK516">
        <f t="shared" si="216"/>
        <v>0</v>
      </c>
      <c r="AL516">
        <f t="shared" si="217"/>
        <v>0</v>
      </c>
      <c r="AM516">
        <f t="shared" si="239"/>
        <v>0</v>
      </c>
      <c r="AN516">
        <f t="shared" si="218"/>
        <v>0</v>
      </c>
      <c r="AO516">
        <f t="shared" si="219"/>
        <v>0</v>
      </c>
      <c r="AP516">
        <f t="shared" si="220"/>
        <v>0</v>
      </c>
      <c r="AQ516">
        <f t="shared" si="221"/>
        <v>0</v>
      </c>
      <c r="AR516">
        <f t="shared" si="222"/>
        <v>0</v>
      </c>
      <c r="AS516">
        <f t="shared" si="223"/>
        <v>0</v>
      </c>
      <c r="AT516">
        <f t="shared" si="224"/>
        <v>0</v>
      </c>
      <c r="AU516">
        <f t="shared" si="225"/>
        <v>0</v>
      </c>
      <c r="AV516">
        <f t="shared" si="226"/>
        <v>0</v>
      </c>
      <c r="AW516">
        <f t="shared" si="227"/>
        <v>0</v>
      </c>
      <c r="AX516">
        <f t="shared" si="228"/>
        <v>0</v>
      </c>
      <c r="AY516">
        <f t="shared" si="229"/>
        <v>0</v>
      </c>
      <c r="AZ516">
        <f t="shared" si="230"/>
        <v>0</v>
      </c>
      <c r="BA516">
        <f t="shared" si="231"/>
        <v>0</v>
      </c>
      <c r="BB516">
        <f t="shared" si="232"/>
        <v>0</v>
      </c>
      <c r="BC516">
        <f t="shared" si="233"/>
        <v>0</v>
      </c>
      <c r="BD516">
        <f t="shared" si="234"/>
        <v>0</v>
      </c>
      <c r="BE516">
        <f t="shared" si="235"/>
        <v>0</v>
      </c>
      <c r="BF516">
        <f t="shared" si="236"/>
        <v>0</v>
      </c>
      <c r="BG516">
        <f t="shared" si="237"/>
        <v>0</v>
      </c>
      <c r="BH516">
        <f t="shared" si="238"/>
        <v>0</v>
      </c>
    </row>
    <row r="517" spans="1:60" ht="15" customHeight="1">
      <c r="A517" s="206"/>
      <c r="B517" s="206"/>
      <c r="C517" s="1117" t="s">
        <v>5079</v>
      </c>
      <c r="D517" s="1136"/>
      <c r="E517" s="1136"/>
      <c r="F517" s="1118"/>
      <c r="G517" s="100"/>
      <c r="H517" s="100"/>
      <c r="I517" s="100"/>
      <c r="J517" s="100"/>
      <c r="K517" s="100"/>
      <c r="L517" s="100"/>
      <c r="M517" s="100"/>
      <c r="N517" s="100"/>
      <c r="O517" s="100"/>
      <c r="P517" s="100"/>
      <c r="Q517" s="100"/>
      <c r="R517" s="100"/>
      <c r="S517" s="100"/>
      <c r="T517" s="100"/>
      <c r="U517" s="100"/>
      <c r="V517" s="100"/>
      <c r="W517" s="100"/>
      <c r="X517" s="100"/>
      <c r="Y517" s="100"/>
      <c r="Z517" s="100"/>
      <c r="AA517" s="100"/>
      <c r="AB517" s="100"/>
      <c r="AC517" s="100"/>
      <c r="AD517" s="100"/>
      <c r="AF517"/>
      <c r="AG517"/>
      <c r="AH517"/>
      <c r="AI517"/>
      <c r="AJ517"/>
      <c r="AK517">
        <f t="shared" si="216"/>
        <v>0</v>
      </c>
      <c r="AL517">
        <f t="shared" si="217"/>
        <v>0</v>
      </c>
      <c r="AM517">
        <f t="shared" si="239"/>
        <v>0</v>
      </c>
      <c r="AN517">
        <f t="shared" si="218"/>
        <v>0</v>
      </c>
      <c r="AO517">
        <f t="shared" si="219"/>
        <v>0</v>
      </c>
      <c r="AP517">
        <f t="shared" si="220"/>
        <v>0</v>
      </c>
      <c r="AQ517">
        <f t="shared" si="221"/>
        <v>0</v>
      </c>
      <c r="AR517">
        <f t="shared" si="222"/>
        <v>0</v>
      </c>
      <c r="AS517">
        <f t="shared" si="223"/>
        <v>0</v>
      </c>
      <c r="AT517">
        <f t="shared" si="224"/>
        <v>0</v>
      </c>
      <c r="AU517">
        <f t="shared" si="225"/>
        <v>0</v>
      </c>
      <c r="AV517">
        <f t="shared" si="226"/>
        <v>0</v>
      </c>
      <c r="AW517">
        <f t="shared" si="227"/>
        <v>0</v>
      </c>
      <c r="AX517">
        <f t="shared" si="228"/>
        <v>0</v>
      </c>
      <c r="AY517">
        <f t="shared" si="229"/>
        <v>0</v>
      </c>
      <c r="AZ517">
        <f t="shared" si="230"/>
        <v>0</v>
      </c>
      <c r="BA517">
        <f t="shared" si="231"/>
        <v>0</v>
      </c>
      <c r="BB517">
        <f t="shared" si="232"/>
        <v>0</v>
      </c>
      <c r="BC517">
        <f t="shared" si="233"/>
        <v>0</v>
      </c>
      <c r="BD517">
        <f t="shared" si="234"/>
        <v>0</v>
      </c>
      <c r="BE517">
        <f t="shared" si="235"/>
        <v>0</v>
      </c>
      <c r="BF517">
        <f t="shared" si="236"/>
        <v>0</v>
      </c>
      <c r="BG517">
        <f t="shared" si="237"/>
        <v>0</v>
      </c>
      <c r="BH517">
        <f t="shared" si="238"/>
        <v>0</v>
      </c>
    </row>
    <row r="518" spans="1:60" ht="15" customHeight="1">
      <c r="A518" s="206"/>
      <c r="B518" s="206"/>
      <c r="C518" s="1117" t="s">
        <v>5081</v>
      </c>
      <c r="D518" s="1136"/>
      <c r="E518" s="1136"/>
      <c r="F518" s="1118"/>
      <c r="G518" s="100"/>
      <c r="H518" s="100"/>
      <c r="I518" s="100"/>
      <c r="J518" s="100"/>
      <c r="K518" s="100"/>
      <c r="L518" s="100"/>
      <c r="M518" s="100"/>
      <c r="N518" s="100"/>
      <c r="O518" s="100"/>
      <c r="P518" s="100"/>
      <c r="Q518" s="100"/>
      <c r="R518" s="100"/>
      <c r="S518" s="100"/>
      <c r="T518" s="100"/>
      <c r="U518" s="100"/>
      <c r="V518" s="100"/>
      <c r="W518" s="100"/>
      <c r="X518" s="100"/>
      <c r="Y518" s="100"/>
      <c r="Z518" s="100"/>
      <c r="AA518" s="100"/>
      <c r="AB518" s="100"/>
      <c r="AC518" s="100"/>
      <c r="AD518" s="100"/>
      <c r="AF518"/>
      <c r="AG518"/>
      <c r="AH518"/>
      <c r="AI518"/>
      <c r="AJ518"/>
      <c r="AK518">
        <f t="shared" si="216"/>
        <v>0</v>
      </c>
      <c r="AL518">
        <f t="shared" si="217"/>
        <v>0</v>
      </c>
      <c r="AM518">
        <f t="shared" si="239"/>
        <v>0</v>
      </c>
      <c r="AN518">
        <f t="shared" si="218"/>
        <v>0</v>
      </c>
      <c r="AO518">
        <f t="shared" si="219"/>
        <v>0</v>
      </c>
      <c r="AP518">
        <f t="shared" si="220"/>
        <v>0</v>
      </c>
      <c r="AQ518">
        <f t="shared" si="221"/>
        <v>0</v>
      </c>
      <c r="AR518">
        <f t="shared" si="222"/>
        <v>0</v>
      </c>
      <c r="AS518">
        <f t="shared" si="223"/>
        <v>0</v>
      </c>
      <c r="AT518">
        <f t="shared" si="224"/>
        <v>0</v>
      </c>
      <c r="AU518">
        <f t="shared" si="225"/>
        <v>0</v>
      </c>
      <c r="AV518">
        <f t="shared" si="226"/>
        <v>0</v>
      </c>
      <c r="AW518">
        <f t="shared" si="227"/>
        <v>0</v>
      </c>
      <c r="AX518">
        <f t="shared" si="228"/>
        <v>0</v>
      </c>
      <c r="AY518">
        <f t="shared" si="229"/>
        <v>0</v>
      </c>
      <c r="AZ518">
        <f t="shared" si="230"/>
        <v>0</v>
      </c>
      <c r="BA518">
        <f t="shared" si="231"/>
        <v>0</v>
      </c>
      <c r="BB518">
        <f t="shared" si="232"/>
        <v>0</v>
      </c>
      <c r="BC518">
        <f t="shared" si="233"/>
        <v>0</v>
      </c>
      <c r="BD518">
        <f t="shared" si="234"/>
        <v>0</v>
      </c>
      <c r="BE518">
        <f t="shared" si="235"/>
        <v>0</v>
      </c>
      <c r="BF518">
        <f t="shared" si="236"/>
        <v>0</v>
      </c>
      <c r="BG518">
        <f t="shared" si="237"/>
        <v>0</v>
      </c>
      <c r="BH518">
        <f t="shared" si="238"/>
        <v>0</v>
      </c>
    </row>
    <row r="519" spans="1:60" ht="15" customHeight="1">
      <c r="A519" s="206"/>
      <c r="B519" s="201"/>
      <c r="C519" s="1119" t="s">
        <v>5083</v>
      </c>
      <c r="D519" s="1121"/>
      <c r="E519" s="1121"/>
      <c r="F519" s="1120"/>
      <c r="G519" s="100"/>
      <c r="H519" s="100"/>
      <c r="I519" s="100"/>
      <c r="J519" s="100"/>
      <c r="K519" s="100"/>
      <c r="L519" s="100"/>
      <c r="M519" s="100"/>
      <c r="N519" s="100"/>
      <c r="O519" s="100"/>
      <c r="P519" s="100"/>
      <c r="Q519" s="100"/>
      <c r="R519" s="100"/>
      <c r="S519" s="100"/>
      <c r="T519" s="100"/>
      <c r="U519" s="100"/>
      <c r="V519" s="100"/>
      <c r="W519" s="100"/>
      <c r="X519" s="100"/>
      <c r="Y519" s="100"/>
      <c r="Z519" s="100"/>
      <c r="AA519" s="100"/>
      <c r="AB519" s="100"/>
      <c r="AC519" s="100"/>
      <c r="AD519" s="100"/>
      <c r="AF519"/>
      <c r="AG519"/>
      <c r="AH519"/>
      <c r="AI519"/>
      <c r="AJ519"/>
      <c r="AK519">
        <f t="shared" si="216"/>
        <v>0</v>
      </c>
      <c r="AL519">
        <f t="shared" si="217"/>
        <v>0</v>
      </c>
      <c r="AM519">
        <f t="shared" si="239"/>
        <v>0</v>
      </c>
      <c r="AN519">
        <f t="shared" si="218"/>
        <v>0</v>
      </c>
      <c r="AO519">
        <f t="shared" si="219"/>
        <v>0</v>
      </c>
      <c r="AP519">
        <f t="shared" si="220"/>
        <v>0</v>
      </c>
      <c r="AQ519">
        <f t="shared" si="221"/>
        <v>0</v>
      </c>
      <c r="AR519">
        <f t="shared" si="222"/>
        <v>0</v>
      </c>
      <c r="AS519">
        <f t="shared" si="223"/>
        <v>0</v>
      </c>
      <c r="AT519">
        <f t="shared" si="224"/>
        <v>0</v>
      </c>
      <c r="AU519">
        <f t="shared" si="225"/>
        <v>0</v>
      </c>
      <c r="AV519">
        <f t="shared" si="226"/>
        <v>0</v>
      </c>
      <c r="AW519">
        <f t="shared" si="227"/>
        <v>0</v>
      </c>
      <c r="AX519">
        <f t="shared" si="228"/>
        <v>0</v>
      </c>
      <c r="AY519">
        <f t="shared" si="229"/>
        <v>0</v>
      </c>
      <c r="AZ519">
        <f t="shared" si="230"/>
        <v>0</v>
      </c>
      <c r="BA519">
        <f t="shared" si="231"/>
        <v>0</v>
      </c>
      <c r="BB519">
        <f t="shared" si="232"/>
        <v>0</v>
      </c>
      <c r="BC519">
        <f t="shared" si="233"/>
        <v>0</v>
      </c>
      <c r="BD519">
        <f t="shared" si="234"/>
        <v>0</v>
      </c>
      <c r="BE519">
        <f t="shared" si="235"/>
        <v>0</v>
      </c>
      <c r="BF519">
        <f t="shared" si="236"/>
        <v>0</v>
      </c>
      <c r="BG519">
        <f t="shared" si="237"/>
        <v>0</v>
      </c>
      <c r="BH519">
        <f t="shared" si="238"/>
        <v>0</v>
      </c>
    </row>
    <row r="520" spans="1:60" ht="15" customHeight="1">
      <c r="A520" s="206"/>
      <c r="B520" s="201"/>
      <c r="C520" s="1119" t="s">
        <v>5085</v>
      </c>
      <c r="D520" s="1121"/>
      <c r="E520" s="1121"/>
      <c r="F520" s="1120"/>
      <c r="G520" s="100"/>
      <c r="H520" s="100"/>
      <c r="I520" s="100"/>
      <c r="J520" s="100"/>
      <c r="K520" s="100"/>
      <c r="L520" s="100"/>
      <c r="M520" s="100"/>
      <c r="N520" s="100"/>
      <c r="O520" s="100"/>
      <c r="P520" s="100"/>
      <c r="Q520" s="100"/>
      <c r="R520" s="100"/>
      <c r="S520" s="100"/>
      <c r="T520" s="100"/>
      <c r="U520" s="100"/>
      <c r="V520" s="100"/>
      <c r="W520" s="100"/>
      <c r="X520" s="100"/>
      <c r="Y520" s="100"/>
      <c r="Z520" s="100"/>
      <c r="AA520" s="100"/>
      <c r="AB520" s="100"/>
      <c r="AC520" s="100"/>
      <c r="AD520" s="100"/>
      <c r="AF520"/>
      <c r="AG520"/>
      <c r="AH520"/>
      <c r="AI520"/>
      <c r="AJ520"/>
      <c r="AK520">
        <f t="shared" si="216"/>
        <v>0</v>
      </c>
      <c r="AL520">
        <f t="shared" si="217"/>
        <v>0</v>
      </c>
      <c r="AM520">
        <f t="shared" si="239"/>
        <v>0</v>
      </c>
      <c r="AN520">
        <f t="shared" si="218"/>
        <v>0</v>
      </c>
      <c r="AO520">
        <f t="shared" si="219"/>
        <v>0</v>
      </c>
      <c r="AP520">
        <f t="shared" si="220"/>
        <v>0</v>
      </c>
      <c r="AQ520">
        <f t="shared" si="221"/>
        <v>0</v>
      </c>
      <c r="AR520">
        <f t="shared" si="222"/>
        <v>0</v>
      </c>
      <c r="AS520">
        <f t="shared" si="223"/>
        <v>0</v>
      </c>
      <c r="AT520">
        <f t="shared" si="224"/>
        <v>0</v>
      </c>
      <c r="AU520">
        <f t="shared" si="225"/>
        <v>0</v>
      </c>
      <c r="AV520">
        <f t="shared" si="226"/>
        <v>0</v>
      </c>
      <c r="AW520">
        <f t="shared" si="227"/>
        <v>0</v>
      </c>
      <c r="AX520">
        <f t="shared" si="228"/>
        <v>0</v>
      </c>
      <c r="AY520">
        <f t="shared" si="229"/>
        <v>0</v>
      </c>
      <c r="AZ520">
        <f t="shared" si="230"/>
        <v>0</v>
      </c>
      <c r="BA520">
        <f t="shared" si="231"/>
        <v>0</v>
      </c>
      <c r="BB520">
        <f t="shared" si="232"/>
        <v>0</v>
      </c>
      <c r="BC520">
        <f t="shared" si="233"/>
        <v>0</v>
      </c>
      <c r="BD520">
        <f t="shared" si="234"/>
        <v>0</v>
      </c>
      <c r="BE520">
        <f t="shared" si="235"/>
        <v>0</v>
      </c>
      <c r="BF520">
        <f t="shared" si="236"/>
        <v>0</v>
      </c>
      <c r="BG520">
        <f t="shared" si="237"/>
        <v>0</v>
      </c>
      <c r="BH520">
        <f t="shared" si="238"/>
        <v>0</v>
      </c>
    </row>
    <row r="521" spans="1:60" ht="15" customHeight="1">
      <c r="A521" s="206"/>
      <c r="B521" s="201"/>
      <c r="C521" s="1119" t="s">
        <v>5087</v>
      </c>
      <c r="D521" s="1121"/>
      <c r="E521" s="1121"/>
      <c r="F521" s="1120"/>
      <c r="G521" s="100"/>
      <c r="H521" s="100"/>
      <c r="I521" s="100"/>
      <c r="J521" s="100"/>
      <c r="K521" s="100"/>
      <c r="L521" s="100"/>
      <c r="M521" s="100"/>
      <c r="N521" s="100"/>
      <c r="O521" s="100"/>
      <c r="P521" s="100"/>
      <c r="Q521" s="100"/>
      <c r="R521" s="100"/>
      <c r="S521" s="100"/>
      <c r="T521" s="100"/>
      <c r="U521" s="100"/>
      <c r="V521" s="100"/>
      <c r="W521" s="100"/>
      <c r="X521" s="100"/>
      <c r="Y521" s="100"/>
      <c r="Z521" s="100"/>
      <c r="AA521" s="100"/>
      <c r="AB521" s="100"/>
      <c r="AC521" s="100"/>
      <c r="AD521" s="100"/>
      <c r="AF521"/>
      <c r="AG521"/>
      <c r="AH521"/>
      <c r="AI521"/>
      <c r="AJ521"/>
      <c r="AK521">
        <f t="shared" si="216"/>
        <v>0</v>
      </c>
      <c r="AL521">
        <f t="shared" si="217"/>
        <v>0</v>
      </c>
      <c r="AM521">
        <f t="shared" si="239"/>
        <v>0</v>
      </c>
      <c r="AN521">
        <f t="shared" si="218"/>
        <v>0</v>
      </c>
      <c r="AO521">
        <f t="shared" si="219"/>
        <v>0</v>
      </c>
      <c r="AP521">
        <f t="shared" si="220"/>
        <v>0</v>
      </c>
      <c r="AQ521">
        <f t="shared" si="221"/>
        <v>0</v>
      </c>
      <c r="AR521">
        <f t="shared" si="222"/>
        <v>0</v>
      </c>
      <c r="AS521">
        <f t="shared" si="223"/>
        <v>0</v>
      </c>
      <c r="AT521">
        <f t="shared" si="224"/>
        <v>0</v>
      </c>
      <c r="AU521">
        <f t="shared" si="225"/>
        <v>0</v>
      </c>
      <c r="AV521">
        <f t="shared" si="226"/>
        <v>0</v>
      </c>
      <c r="AW521">
        <f t="shared" si="227"/>
        <v>0</v>
      </c>
      <c r="AX521">
        <f t="shared" si="228"/>
        <v>0</v>
      </c>
      <c r="AY521">
        <f t="shared" si="229"/>
        <v>0</v>
      </c>
      <c r="AZ521">
        <f t="shared" si="230"/>
        <v>0</v>
      </c>
      <c r="BA521">
        <f t="shared" si="231"/>
        <v>0</v>
      </c>
      <c r="BB521">
        <f t="shared" si="232"/>
        <v>0</v>
      </c>
      <c r="BC521">
        <f t="shared" si="233"/>
        <v>0</v>
      </c>
      <c r="BD521">
        <f t="shared" si="234"/>
        <v>0</v>
      </c>
      <c r="BE521">
        <f t="shared" si="235"/>
        <v>0</v>
      </c>
      <c r="BF521">
        <f t="shared" si="236"/>
        <v>0</v>
      </c>
      <c r="BG521">
        <f t="shared" si="237"/>
        <v>0</v>
      </c>
      <c r="BH521">
        <f t="shared" si="238"/>
        <v>0</v>
      </c>
    </row>
    <row r="522" spans="1:60" ht="15" customHeight="1">
      <c r="A522" s="206"/>
      <c r="B522" s="206"/>
      <c r="C522" s="1117" t="s">
        <v>5088</v>
      </c>
      <c r="D522" s="1136"/>
      <c r="E522" s="1136"/>
      <c r="F522" s="1118"/>
      <c r="G522" s="100"/>
      <c r="H522" s="100"/>
      <c r="I522" s="100"/>
      <c r="J522" s="100"/>
      <c r="K522" s="100"/>
      <c r="L522" s="100"/>
      <c r="M522" s="100"/>
      <c r="N522" s="100"/>
      <c r="O522" s="100"/>
      <c r="P522" s="100"/>
      <c r="Q522" s="100"/>
      <c r="R522" s="100"/>
      <c r="S522" s="100"/>
      <c r="T522" s="100"/>
      <c r="U522" s="100"/>
      <c r="V522" s="100"/>
      <c r="W522" s="100"/>
      <c r="X522" s="100"/>
      <c r="Y522" s="100"/>
      <c r="Z522" s="100"/>
      <c r="AA522" s="100"/>
      <c r="AB522" s="100"/>
      <c r="AC522" s="100"/>
      <c r="AD522" s="100"/>
      <c r="AF522"/>
      <c r="AG522"/>
      <c r="AH522"/>
      <c r="AI522"/>
      <c r="AJ522"/>
      <c r="AK522">
        <f t="shared" si="216"/>
        <v>0</v>
      </c>
      <c r="AL522">
        <f t="shared" si="217"/>
        <v>0</v>
      </c>
      <c r="AM522">
        <f t="shared" si="239"/>
        <v>0</v>
      </c>
      <c r="AN522">
        <f t="shared" si="218"/>
        <v>0</v>
      </c>
      <c r="AO522">
        <f t="shared" si="219"/>
        <v>0</v>
      </c>
      <c r="AP522">
        <f t="shared" si="220"/>
        <v>0</v>
      </c>
      <c r="AQ522">
        <f t="shared" si="221"/>
        <v>0</v>
      </c>
      <c r="AR522">
        <f t="shared" si="222"/>
        <v>0</v>
      </c>
      <c r="AS522">
        <f t="shared" si="223"/>
        <v>0</v>
      </c>
      <c r="AT522">
        <f t="shared" si="224"/>
        <v>0</v>
      </c>
      <c r="AU522">
        <f t="shared" si="225"/>
        <v>0</v>
      </c>
      <c r="AV522">
        <f t="shared" si="226"/>
        <v>0</v>
      </c>
      <c r="AW522">
        <f t="shared" si="227"/>
        <v>0</v>
      </c>
      <c r="AX522">
        <f t="shared" si="228"/>
        <v>0</v>
      </c>
      <c r="AY522">
        <f t="shared" si="229"/>
        <v>0</v>
      </c>
      <c r="AZ522">
        <f t="shared" si="230"/>
        <v>0</v>
      </c>
      <c r="BA522">
        <f t="shared" si="231"/>
        <v>0</v>
      </c>
      <c r="BB522">
        <f t="shared" si="232"/>
        <v>0</v>
      </c>
      <c r="BC522">
        <f t="shared" si="233"/>
        <v>0</v>
      </c>
      <c r="BD522">
        <f t="shared" si="234"/>
        <v>0</v>
      </c>
      <c r="BE522">
        <f t="shared" si="235"/>
        <v>0</v>
      </c>
      <c r="BF522">
        <f t="shared" si="236"/>
        <v>0</v>
      </c>
      <c r="BG522">
        <f t="shared" si="237"/>
        <v>0</v>
      </c>
      <c r="BH522">
        <f t="shared" si="238"/>
        <v>0</v>
      </c>
    </row>
    <row r="523" spans="1:60" ht="15" customHeight="1">
      <c r="A523" s="206"/>
      <c r="B523" s="206"/>
      <c r="C523" s="1117" t="s">
        <v>5090</v>
      </c>
      <c r="D523" s="1136"/>
      <c r="E523" s="1136"/>
      <c r="F523" s="1118"/>
      <c r="G523" s="100"/>
      <c r="H523" s="100"/>
      <c r="I523" s="100"/>
      <c r="J523" s="100"/>
      <c r="K523" s="100"/>
      <c r="L523" s="100"/>
      <c r="M523" s="100"/>
      <c r="N523" s="100"/>
      <c r="O523" s="100"/>
      <c r="P523" s="100"/>
      <c r="Q523" s="100"/>
      <c r="R523" s="100"/>
      <c r="S523" s="100"/>
      <c r="T523" s="100"/>
      <c r="U523" s="100"/>
      <c r="V523" s="100"/>
      <c r="W523" s="100"/>
      <c r="X523" s="100"/>
      <c r="Y523" s="100"/>
      <c r="Z523" s="100"/>
      <c r="AA523" s="100"/>
      <c r="AB523" s="100"/>
      <c r="AC523" s="100"/>
      <c r="AD523" s="100"/>
      <c r="AF523"/>
      <c r="AG523"/>
      <c r="AH523"/>
      <c r="AI523"/>
      <c r="AJ523"/>
      <c r="AK523">
        <f t="shared" si="216"/>
        <v>0</v>
      </c>
      <c r="AL523">
        <f t="shared" si="217"/>
        <v>0</v>
      </c>
      <c r="AM523">
        <f t="shared" si="239"/>
        <v>0</v>
      </c>
      <c r="AN523">
        <f t="shared" si="218"/>
        <v>0</v>
      </c>
      <c r="AO523">
        <f t="shared" si="219"/>
        <v>0</v>
      </c>
      <c r="AP523">
        <f t="shared" si="220"/>
        <v>0</v>
      </c>
      <c r="AQ523">
        <f t="shared" si="221"/>
        <v>0</v>
      </c>
      <c r="AR523">
        <f t="shared" si="222"/>
        <v>0</v>
      </c>
      <c r="AS523">
        <f t="shared" si="223"/>
        <v>0</v>
      </c>
      <c r="AT523">
        <f t="shared" si="224"/>
        <v>0</v>
      </c>
      <c r="AU523">
        <f t="shared" si="225"/>
        <v>0</v>
      </c>
      <c r="AV523">
        <f t="shared" si="226"/>
        <v>0</v>
      </c>
      <c r="AW523">
        <f t="shared" si="227"/>
        <v>0</v>
      </c>
      <c r="AX523">
        <f t="shared" si="228"/>
        <v>0</v>
      </c>
      <c r="AY523">
        <f t="shared" si="229"/>
        <v>0</v>
      </c>
      <c r="AZ523">
        <f t="shared" si="230"/>
        <v>0</v>
      </c>
      <c r="BA523">
        <f t="shared" si="231"/>
        <v>0</v>
      </c>
      <c r="BB523">
        <f t="shared" si="232"/>
        <v>0</v>
      </c>
      <c r="BC523">
        <f t="shared" si="233"/>
        <v>0</v>
      </c>
      <c r="BD523">
        <f t="shared" si="234"/>
        <v>0</v>
      </c>
      <c r="BE523">
        <f t="shared" si="235"/>
        <v>0</v>
      </c>
      <c r="BF523">
        <f t="shared" si="236"/>
        <v>0</v>
      </c>
      <c r="BG523">
        <f t="shared" si="237"/>
        <v>0</v>
      </c>
      <c r="BH523">
        <f t="shared" si="238"/>
        <v>0</v>
      </c>
    </row>
    <row r="524" spans="1:60" ht="15" customHeight="1">
      <c r="A524" s="206"/>
      <c r="B524" s="206"/>
      <c r="C524" s="1117" t="s">
        <v>5092</v>
      </c>
      <c r="D524" s="1136"/>
      <c r="E524" s="1136"/>
      <c r="F524" s="1118"/>
      <c r="G524" s="100"/>
      <c r="H524" s="100"/>
      <c r="I524" s="100"/>
      <c r="J524" s="100"/>
      <c r="K524" s="100"/>
      <c r="L524" s="100"/>
      <c r="M524" s="100"/>
      <c r="N524" s="100"/>
      <c r="O524" s="100"/>
      <c r="P524" s="100"/>
      <c r="Q524" s="100"/>
      <c r="R524" s="100"/>
      <c r="S524" s="100"/>
      <c r="T524" s="100"/>
      <c r="U524" s="100"/>
      <c r="V524" s="100"/>
      <c r="W524" s="100"/>
      <c r="X524" s="100"/>
      <c r="Y524" s="100"/>
      <c r="Z524" s="100"/>
      <c r="AA524" s="100"/>
      <c r="AB524" s="100"/>
      <c r="AC524" s="100"/>
      <c r="AD524" s="100"/>
      <c r="AF524"/>
      <c r="AG524"/>
      <c r="AH524"/>
      <c r="AI524"/>
      <c r="AJ524"/>
      <c r="AK524">
        <f t="shared" si="216"/>
        <v>0</v>
      </c>
      <c r="AL524">
        <f t="shared" si="217"/>
        <v>0</v>
      </c>
      <c r="AM524">
        <f t="shared" si="239"/>
        <v>0</v>
      </c>
      <c r="AN524">
        <f t="shared" si="218"/>
        <v>0</v>
      </c>
      <c r="AO524">
        <f t="shared" si="219"/>
        <v>0</v>
      </c>
      <c r="AP524">
        <f t="shared" si="220"/>
        <v>0</v>
      </c>
      <c r="AQ524">
        <f t="shared" si="221"/>
        <v>0</v>
      </c>
      <c r="AR524">
        <f t="shared" si="222"/>
        <v>0</v>
      </c>
      <c r="AS524">
        <f t="shared" si="223"/>
        <v>0</v>
      </c>
      <c r="AT524">
        <f t="shared" si="224"/>
        <v>0</v>
      </c>
      <c r="AU524">
        <f t="shared" si="225"/>
        <v>0</v>
      </c>
      <c r="AV524">
        <f t="shared" si="226"/>
        <v>0</v>
      </c>
      <c r="AW524">
        <f t="shared" si="227"/>
        <v>0</v>
      </c>
      <c r="AX524">
        <f t="shared" si="228"/>
        <v>0</v>
      </c>
      <c r="AY524">
        <f t="shared" si="229"/>
        <v>0</v>
      </c>
      <c r="AZ524">
        <f t="shared" si="230"/>
        <v>0</v>
      </c>
      <c r="BA524">
        <f t="shared" si="231"/>
        <v>0</v>
      </c>
      <c r="BB524">
        <f t="shared" si="232"/>
        <v>0</v>
      </c>
      <c r="BC524">
        <f t="shared" si="233"/>
        <v>0</v>
      </c>
      <c r="BD524">
        <f t="shared" si="234"/>
        <v>0</v>
      </c>
      <c r="BE524">
        <f t="shared" si="235"/>
        <v>0</v>
      </c>
      <c r="BF524">
        <f t="shared" si="236"/>
        <v>0</v>
      </c>
      <c r="BG524">
        <f t="shared" si="237"/>
        <v>0</v>
      </c>
      <c r="BH524">
        <f t="shared" si="238"/>
        <v>0</v>
      </c>
    </row>
    <row r="525" spans="1:60" ht="15" customHeight="1">
      <c r="A525" s="206"/>
      <c r="B525" s="206"/>
      <c r="C525" s="1117" t="s">
        <v>5094</v>
      </c>
      <c r="D525" s="1136"/>
      <c r="E525" s="1136"/>
      <c r="F525" s="1118"/>
      <c r="G525" s="100"/>
      <c r="H525" s="100"/>
      <c r="I525" s="100"/>
      <c r="J525" s="100"/>
      <c r="K525" s="100"/>
      <c r="L525" s="100"/>
      <c r="M525" s="100"/>
      <c r="N525" s="100"/>
      <c r="O525" s="100"/>
      <c r="P525" s="100"/>
      <c r="Q525" s="100"/>
      <c r="R525" s="100"/>
      <c r="S525" s="100"/>
      <c r="T525" s="100"/>
      <c r="U525" s="100"/>
      <c r="V525" s="100"/>
      <c r="W525" s="100"/>
      <c r="X525" s="100"/>
      <c r="Y525" s="100"/>
      <c r="Z525" s="100"/>
      <c r="AA525" s="100"/>
      <c r="AB525" s="100"/>
      <c r="AC525" s="100"/>
      <c r="AD525" s="100"/>
      <c r="AF525"/>
      <c r="AG525"/>
      <c r="AH525"/>
      <c r="AI525"/>
      <c r="AJ525"/>
      <c r="AK525">
        <f t="shared" si="216"/>
        <v>0</v>
      </c>
      <c r="AL525">
        <f t="shared" si="217"/>
        <v>0</v>
      </c>
      <c r="AM525">
        <f t="shared" si="239"/>
        <v>0</v>
      </c>
      <c r="AN525">
        <f t="shared" si="218"/>
        <v>0</v>
      </c>
      <c r="AO525">
        <f t="shared" si="219"/>
        <v>0</v>
      </c>
      <c r="AP525">
        <f t="shared" si="220"/>
        <v>0</v>
      </c>
      <c r="AQ525">
        <f t="shared" si="221"/>
        <v>0</v>
      </c>
      <c r="AR525">
        <f t="shared" si="222"/>
        <v>0</v>
      </c>
      <c r="AS525">
        <f t="shared" si="223"/>
        <v>0</v>
      </c>
      <c r="AT525">
        <f t="shared" si="224"/>
        <v>0</v>
      </c>
      <c r="AU525">
        <f t="shared" si="225"/>
        <v>0</v>
      </c>
      <c r="AV525">
        <f t="shared" si="226"/>
        <v>0</v>
      </c>
      <c r="AW525">
        <f t="shared" si="227"/>
        <v>0</v>
      </c>
      <c r="AX525">
        <f t="shared" si="228"/>
        <v>0</v>
      </c>
      <c r="AY525">
        <f t="shared" si="229"/>
        <v>0</v>
      </c>
      <c r="AZ525">
        <f t="shared" si="230"/>
        <v>0</v>
      </c>
      <c r="BA525">
        <f t="shared" si="231"/>
        <v>0</v>
      </c>
      <c r="BB525">
        <f t="shared" si="232"/>
        <v>0</v>
      </c>
      <c r="BC525">
        <f t="shared" si="233"/>
        <v>0</v>
      </c>
      <c r="BD525">
        <f t="shared" si="234"/>
        <v>0</v>
      </c>
      <c r="BE525">
        <f t="shared" si="235"/>
        <v>0</v>
      </c>
      <c r="BF525">
        <f t="shared" si="236"/>
        <v>0</v>
      </c>
      <c r="BG525">
        <f t="shared" si="237"/>
        <v>0</v>
      </c>
      <c r="BH525">
        <f t="shared" si="238"/>
        <v>0</v>
      </c>
    </row>
    <row r="526" spans="1:60" ht="15" customHeight="1">
      <c r="A526" s="206"/>
      <c r="B526" s="206"/>
      <c r="C526" s="1117" t="s">
        <v>5096</v>
      </c>
      <c r="D526" s="1136"/>
      <c r="E526" s="1136"/>
      <c r="F526" s="1118"/>
      <c r="G526" s="100"/>
      <c r="H526" s="100"/>
      <c r="I526" s="100"/>
      <c r="J526" s="100"/>
      <c r="K526" s="100"/>
      <c r="L526" s="100"/>
      <c r="M526" s="100"/>
      <c r="N526" s="100"/>
      <c r="O526" s="100"/>
      <c r="P526" s="100"/>
      <c r="Q526" s="100"/>
      <c r="R526" s="100"/>
      <c r="S526" s="100"/>
      <c r="T526" s="100"/>
      <c r="U526" s="100"/>
      <c r="V526" s="100"/>
      <c r="W526" s="100"/>
      <c r="X526" s="100"/>
      <c r="Y526" s="100"/>
      <c r="Z526" s="100"/>
      <c r="AA526" s="100"/>
      <c r="AB526" s="100"/>
      <c r="AC526" s="100"/>
      <c r="AD526" s="100"/>
      <c r="AF526"/>
      <c r="AG526"/>
      <c r="AH526"/>
      <c r="AI526"/>
      <c r="AJ526"/>
      <c r="AK526">
        <f t="shared" si="216"/>
        <v>0</v>
      </c>
      <c r="AL526">
        <f t="shared" si="217"/>
        <v>0</v>
      </c>
      <c r="AM526">
        <f t="shared" si="239"/>
        <v>0</v>
      </c>
      <c r="AN526">
        <f t="shared" si="218"/>
        <v>0</v>
      </c>
      <c r="AO526">
        <f t="shared" si="219"/>
        <v>0</v>
      </c>
      <c r="AP526">
        <f t="shared" si="220"/>
        <v>0</v>
      </c>
      <c r="AQ526">
        <f t="shared" si="221"/>
        <v>0</v>
      </c>
      <c r="AR526">
        <f t="shared" si="222"/>
        <v>0</v>
      </c>
      <c r="AS526">
        <f t="shared" si="223"/>
        <v>0</v>
      </c>
      <c r="AT526">
        <f t="shared" si="224"/>
        <v>0</v>
      </c>
      <c r="AU526">
        <f t="shared" si="225"/>
        <v>0</v>
      </c>
      <c r="AV526">
        <f t="shared" si="226"/>
        <v>0</v>
      </c>
      <c r="AW526">
        <f t="shared" si="227"/>
        <v>0</v>
      </c>
      <c r="AX526">
        <f t="shared" si="228"/>
        <v>0</v>
      </c>
      <c r="AY526">
        <f t="shared" si="229"/>
        <v>0</v>
      </c>
      <c r="AZ526">
        <f t="shared" si="230"/>
        <v>0</v>
      </c>
      <c r="BA526">
        <f t="shared" si="231"/>
        <v>0</v>
      </c>
      <c r="BB526">
        <f t="shared" si="232"/>
        <v>0</v>
      </c>
      <c r="BC526">
        <f t="shared" si="233"/>
        <v>0</v>
      </c>
      <c r="BD526">
        <f t="shared" si="234"/>
        <v>0</v>
      </c>
      <c r="BE526">
        <f t="shared" si="235"/>
        <v>0</v>
      </c>
      <c r="BF526">
        <f t="shared" si="236"/>
        <v>0</v>
      </c>
      <c r="BG526">
        <f t="shared" si="237"/>
        <v>0</v>
      </c>
      <c r="BH526">
        <f t="shared" si="238"/>
        <v>0</v>
      </c>
    </row>
    <row r="527" spans="1:60" ht="15" customHeight="1">
      <c r="A527" s="206"/>
      <c r="B527" s="206"/>
      <c r="C527" s="1117" t="s">
        <v>5098</v>
      </c>
      <c r="D527" s="1136"/>
      <c r="E527" s="1136"/>
      <c r="F527" s="1118"/>
      <c r="G527" s="100"/>
      <c r="H527" s="100"/>
      <c r="I527" s="100"/>
      <c r="J527" s="100"/>
      <c r="K527" s="100"/>
      <c r="L527" s="100"/>
      <c r="M527" s="100"/>
      <c r="N527" s="100"/>
      <c r="O527" s="100"/>
      <c r="P527" s="100"/>
      <c r="Q527" s="100"/>
      <c r="R527" s="100"/>
      <c r="S527" s="100"/>
      <c r="T527" s="100"/>
      <c r="U527" s="100"/>
      <c r="V527" s="100"/>
      <c r="W527" s="100"/>
      <c r="X527" s="100"/>
      <c r="Y527" s="100"/>
      <c r="Z527" s="100"/>
      <c r="AA527" s="100"/>
      <c r="AB527" s="100"/>
      <c r="AC527" s="100"/>
      <c r="AD527" s="100"/>
      <c r="AF527"/>
      <c r="AG527"/>
      <c r="AH527"/>
      <c r="AI527"/>
      <c r="AJ527"/>
      <c r="AK527">
        <f t="shared" si="216"/>
        <v>0</v>
      </c>
      <c r="AL527">
        <f t="shared" si="217"/>
        <v>0</v>
      </c>
      <c r="AM527">
        <f t="shared" si="239"/>
        <v>0</v>
      </c>
      <c r="AN527">
        <f t="shared" si="218"/>
        <v>0</v>
      </c>
      <c r="AO527">
        <f t="shared" si="219"/>
        <v>0</v>
      </c>
      <c r="AP527">
        <f t="shared" si="220"/>
        <v>0</v>
      </c>
      <c r="AQ527">
        <f t="shared" si="221"/>
        <v>0</v>
      </c>
      <c r="AR527">
        <f t="shared" si="222"/>
        <v>0</v>
      </c>
      <c r="AS527">
        <f t="shared" si="223"/>
        <v>0</v>
      </c>
      <c r="AT527">
        <f t="shared" si="224"/>
        <v>0</v>
      </c>
      <c r="AU527">
        <f t="shared" si="225"/>
        <v>0</v>
      </c>
      <c r="AV527">
        <f t="shared" si="226"/>
        <v>0</v>
      </c>
      <c r="AW527">
        <f t="shared" si="227"/>
        <v>0</v>
      </c>
      <c r="AX527">
        <f t="shared" si="228"/>
        <v>0</v>
      </c>
      <c r="AY527">
        <f t="shared" si="229"/>
        <v>0</v>
      </c>
      <c r="AZ527">
        <f t="shared" si="230"/>
        <v>0</v>
      </c>
      <c r="BA527">
        <f t="shared" si="231"/>
        <v>0</v>
      </c>
      <c r="BB527">
        <f t="shared" si="232"/>
        <v>0</v>
      </c>
      <c r="BC527">
        <f t="shared" si="233"/>
        <v>0</v>
      </c>
      <c r="BD527">
        <f t="shared" si="234"/>
        <v>0</v>
      </c>
      <c r="BE527">
        <f t="shared" si="235"/>
        <v>0</v>
      </c>
      <c r="BF527">
        <f t="shared" si="236"/>
        <v>0</v>
      </c>
      <c r="BG527">
        <f t="shared" si="237"/>
        <v>0</v>
      </c>
      <c r="BH527">
        <f t="shared" si="238"/>
        <v>0</v>
      </c>
    </row>
    <row r="528" spans="1:60" ht="15" customHeight="1">
      <c r="A528" s="206"/>
      <c r="B528" s="206"/>
      <c r="C528" s="1117" t="s">
        <v>5100</v>
      </c>
      <c r="D528" s="1136"/>
      <c r="E528" s="1136"/>
      <c r="F528" s="1118"/>
      <c r="G528" s="100"/>
      <c r="H528" s="100"/>
      <c r="I528" s="100"/>
      <c r="J528" s="100"/>
      <c r="K528" s="100"/>
      <c r="L528" s="100"/>
      <c r="M528" s="100"/>
      <c r="N528" s="100"/>
      <c r="O528" s="100"/>
      <c r="P528" s="100"/>
      <c r="Q528" s="100"/>
      <c r="R528" s="100"/>
      <c r="S528" s="100"/>
      <c r="T528" s="100"/>
      <c r="U528" s="100"/>
      <c r="V528" s="100"/>
      <c r="W528" s="100"/>
      <c r="X528" s="100"/>
      <c r="Y528" s="100"/>
      <c r="Z528" s="100"/>
      <c r="AA528" s="100"/>
      <c r="AB528" s="100"/>
      <c r="AC528" s="100"/>
      <c r="AD528" s="100"/>
      <c r="AF528"/>
      <c r="AG528"/>
      <c r="AH528"/>
      <c r="AI528"/>
      <c r="AJ528"/>
      <c r="AK528">
        <f t="shared" si="216"/>
        <v>0</v>
      </c>
      <c r="AL528">
        <f t="shared" si="217"/>
        <v>0</v>
      </c>
      <c r="AM528">
        <f t="shared" si="239"/>
        <v>0</v>
      </c>
      <c r="AN528">
        <f t="shared" si="218"/>
        <v>0</v>
      </c>
      <c r="AO528">
        <f t="shared" si="219"/>
        <v>0</v>
      </c>
      <c r="AP528">
        <f t="shared" si="220"/>
        <v>0</v>
      </c>
      <c r="AQ528">
        <f t="shared" si="221"/>
        <v>0</v>
      </c>
      <c r="AR528">
        <f t="shared" si="222"/>
        <v>0</v>
      </c>
      <c r="AS528">
        <f t="shared" si="223"/>
        <v>0</v>
      </c>
      <c r="AT528">
        <f t="shared" si="224"/>
        <v>0</v>
      </c>
      <c r="AU528">
        <f t="shared" si="225"/>
        <v>0</v>
      </c>
      <c r="AV528">
        <f t="shared" si="226"/>
        <v>0</v>
      </c>
      <c r="AW528">
        <f t="shared" si="227"/>
        <v>0</v>
      </c>
      <c r="AX528">
        <f t="shared" si="228"/>
        <v>0</v>
      </c>
      <c r="AY528">
        <f t="shared" si="229"/>
        <v>0</v>
      </c>
      <c r="AZ528">
        <f t="shared" si="230"/>
        <v>0</v>
      </c>
      <c r="BA528">
        <f t="shared" si="231"/>
        <v>0</v>
      </c>
      <c r="BB528">
        <f t="shared" si="232"/>
        <v>0</v>
      </c>
      <c r="BC528">
        <f t="shared" si="233"/>
        <v>0</v>
      </c>
      <c r="BD528">
        <f t="shared" si="234"/>
        <v>0</v>
      </c>
      <c r="BE528">
        <f t="shared" si="235"/>
        <v>0</v>
      </c>
      <c r="BF528">
        <f t="shared" si="236"/>
        <v>0</v>
      </c>
      <c r="BG528">
        <f t="shared" si="237"/>
        <v>0</v>
      </c>
      <c r="BH528">
        <f t="shared" si="238"/>
        <v>0</v>
      </c>
    </row>
    <row r="529" spans="1:60" ht="15" customHeight="1">
      <c r="A529" s="206"/>
      <c r="B529" s="206"/>
      <c r="C529" s="1117" t="s">
        <v>5102</v>
      </c>
      <c r="D529" s="1136"/>
      <c r="E529" s="1136"/>
      <c r="F529" s="1118"/>
      <c r="G529" s="100"/>
      <c r="H529" s="100"/>
      <c r="I529" s="100"/>
      <c r="J529" s="100"/>
      <c r="K529" s="100"/>
      <c r="L529" s="100"/>
      <c r="M529" s="100"/>
      <c r="N529" s="100"/>
      <c r="O529" s="100"/>
      <c r="P529" s="100"/>
      <c r="Q529" s="100"/>
      <c r="R529" s="100"/>
      <c r="S529" s="100"/>
      <c r="T529" s="100"/>
      <c r="U529" s="100"/>
      <c r="V529" s="100"/>
      <c r="W529" s="100"/>
      <c r="X529" s="100"/>
      <c r="Y529" s="100"/>
      <c r="Z529" s="100"/>
      <c r="AA529" s="100"/>
      <c r="AB529" s="100"/>
      <c r="AC529" s="100"/>
      <c r="AD529" s="100"/>
      <c r="AF529"/>
      <c r="AG529"/>
      <c r="AH529"/>
      <c r="AI529"/>
      <c r="AJ529"/>
      <c r="AK529">
        <f t="shared" si="216"/>
        <v>0</v>
      </c>
      <c r="AL529">
        <f t="shared" si="217"/>
        <v>0</v>
      </c>
      <c r="AM529">
        <f t="shared" si="239"/>
        <v>0</v>
      </c>
      <c r="AN529">
        <f t="shared" si="218"/>
        <v>0</v>
      </c>
      <c r="AO529">
        <f t="shared" si="219"/>
        <v>0</v>
      </c>
      <c r="AP529">
        <f t="shared" si="220"/>
        <v>0</v>
      </c>
      <c r="AQ529">
        <f t="shared" si="221"/>
        <v>0</v>
      </c>
      <c r="AR529">
        <f t="shared" si="222"/>
        <v>0</v>
      </c>
      <c r="AS529">
        <f t="shared" si="223"/>
        <v>0</v>
      </c>
      <c r="AT529">
        <f t="shared" si="224"/>
        <v>0</v>
      </c>
      <c r="AU529">
        <f t="shared" si="225"/>
        <v>0</v>
      </c>
      <c r="AV529">
        <f t="shared" si="226"/>
        <v>0</v>
      </c>
      <c r="AW529">
        <f t="shared" si="227"/>
        <v>0</v>
      </c>
      <c r="AX529">
        <f t="shared" si="228"/>
        <v>0</v>
      </c>
      <c r="AY529">
        <f t="shared" si="229"/>
        <v>0</v>
      </c>
      <c r="AZ529">
        <f t="shared" si="230"/>
        <v>0</v>
      </c>
      <c r="BA529">
        <f t="shared" si="231"/>
        <v>0</v>
      </c>
      <c r="BB529">
        <f t="shared" si="232"/>
        <v>0</v>
      </c>
      <c r="BC529">
        <f t="shared" si="233"/>
        <v>0</v>
      </c>
      <c r="BD529">
        <f t="shared" si="234"/>
        <v>0</v>
      </c>
      <c r="BE529">
        <f t="shared" si="235"/>
        <v>0</v>
      </c>
      <c r="BF529">
        <f t="shared" si="236"/>
        <v>0</v>
      </c>
      <c r="BG529">
        <f t="shared" si="237"/>
        <v>0</v>
      </c>
      <c r="BH529">
        <f t="shared" si="238"/>
        <v>0</v>
      </c>
    </row>
    <row r="530" spans="1:60" ht="15" customHeight="1">
      <c r="A530" s="206"/>
      <c r="B530" s="206"/>
      <c r="C530" s="1117" t="s">
        <v>5104</v>
      </c>
      <c r="D530" s="1136"/>
      <c r="E530" s="1136"/>
      <c r="F530" s="1118"/>
      <c r="G530" s="100"/>
      <c r="H530" s="100"/>
      <c r="I530" s="100"/>
      <c r="J530" s="100"/>
      <c r="K530" s="100"/>
      <c r="L530" s="100"/>
      <c r="M530" s="100"/>
      <c r="N530" s="100"/>
      <c r="O530" s="100"/>
      <c r="P530" s="100"/>
      <c r="Q530" s="100"/>
      <c r="R530" s="100"/>
      <c r="S530" s="100"/>
      <c r="T530" s="100"/>
      <c r="U530" s="100"/>
      <c r="V530" s="100"/>
      <c r="W530" s="100"/>
      <c r="X530" s="100"/>
      <c r="Y530" s="100"/>
      <c r="Z530" s="100"/>
      <c r="AA530" s="100"/>
      <c r="AB530" s="100"/>
      <c r="AC530" s="100"/>
      <c r="AD530" s="100"/>
      <c r="AF530"/>
      <c r="AG530"/>
      <c r="AH530"/>
      <c r="AI530"/>
      <c r="AJ530"/>
      <c r="AK530">
        <f t="shared" si="216"/>
        <v>0</v>
      </c>
      <c r="AL530">
        <f t="shared" si="217"/>
        <v>0</v>
      </c>
      <c r="AM530">
        <f t="shared" si="239"/>
        <v>0</v>
      </c>
      <c r="AN530">
        <f t="shared" si="218"/>
        <v>0</v>
      </c>
      <c r="AO530">
        <f t="shared" si="219"/>
        <v>0</v>
      </c>
      <c r="AP530">
        <f t="shared" si="220"/>
        <v>0</v>
      </c>
      <c r="AQ530">
        <f t="shared" si="221"/>
        <v>0</v>
      </c>
      <c r="AR530">
        <f t="shared" si="222"/>
        <v>0</v>
      </c>
      <c r="AS530">
        <f t="shared" si="223"/>
        <v>0</v>
      </c>
      <c r="AT530">
        <f t="shared" si="224"/>
        <v>0</v>
      </c>
      <c r="AU530">
        <f t="shared" si="225"/>
        <v>0</v>
      </c>
      <c r="AV530">
        <f t="shared" si="226"/>
        <v>0</v>
      </c>
      <c r="AW530">
        <f t="shared" si="227"/>
        <v>0</v>
      </c>
      <c r="AX530">
        <f t="shared" si="228"/>
        <v>0</v>
      </c>
      <c r="AY530">
        <f t="shared" si="229"/>
        <v>0</v>
      </c>
      <c r="AZ530">
        <f t="shared" si="230"/>
        <v>0</v>
      </c>
      <c r="BA530">
        <f t="shared" si="231"/>
        <v>0</v>
      </c>
      <c r="BB530">
        <f t="shared" si="232"/>
        <v>0</v>
      </c>
      <c r="BC530">
        <f t="shared" si="233"/>
        <v>0</v>
      </c>
      <c r="BD530">
        <f t="shared" si="234"/>
        <v>0</v>
      </c>
      <c r="BE530">
        <f t="shared" si="235"/>
        <v>0</v>
      </c>
      <c r="BF530">
        <f t="shared" si="236"/>
        <v>0</v>
      </c>
      <c r="BG530">
        <f t="shared" si="237"/>
        <v>0</v>
      </c>
      <c r="BH530">
        <f t="shared" si="238"/>
        <v>0</v>
      </c>
    </row>
    <row r="531" spans="1:60" ht="15" customHeight="1">
      <c r="A531" s="206"/>
      <c r="B531" s="201"/>
      <c r="C531" s="1119" t="s">
        <v>5106</v>
      </c>
      <c r="D531" s="1121"/>
      <c r="E531" s="1121"/>
      <c r="F531" s="1120"/>
      <c r="G531" s="100"/>
      <c r="H531" s="100"/>
      <c r="I531" s="100"/>
      <c r="J531" s="100"/>
      <c r="K531" s="100"/>
      <c r="L531" s="100"/>
      <c r="M531" s="100"/>
      <c r="N531" s="100"/>
      <c r="O531" s="100"/>
      <c r="P531" s="100"/>
      <c r="Q531" s="100"/>
      <c r="R531" s="100"/>
      <c r="S531" s="100"/>
      <c r="T531" s="100"/>
      <c r="U531" s="100"/>
      <c r="V531" s="100"/>
      <c r="W531" s="100"/>
      <c r="X531" s="100"/>
      <c r="Y531" s="100"/>
      <c r="Z531" s="100"/>
      <c r="AA531" s="100"/>
      <c r="AB531" s="100"/>
      <c r="AC531" s="100"/>
      <c r="AD531" s="100"/>
      <c r="AF531"/>
      <c r="AG531"/>
      <c r="AH531"/>
      <c r="AI531"/>
      <c r="AJ531"/>
      <c r="AK531">
        <f t="shared" si="216"/>
        <v>0</v>
      </c>
      <c r="AL531">
        <f t="shared" si="217"/>
        <v>0</v>
      </c>
      <c r="AM531">
        <f t="shared" si="239"/>
        <v>0</v>
      </c>
      <c r="AN531">
        <f t="shared" si="218"/>
        <v>0</v>
      </c>
      <c r="AO531">
        <f t="shared" si="219"/>
        <v>0</v>
      </c>
      <c r="AP531">
        <f t="shared" si="220"/>
        <v>0</v>
      </c>
      <c r="AQ531">
        <f t="shared" si="221"/>
        <v>0</v>
      </c>
      <c r="AR531">
        <f t="shared" si="222"/>
        <v>0</v>
      </c>
      <c r="AS531">
        <f t="shared" si="223"/>
        <v>0</v>
      </c>
      <c r="AT531">
        <f t="shared" si="224"/>
        <v>0</v>
      </c>
      <c r="AU531">
        <f t="shared" si="225"/>
        <v>0</v>
      </c>
      <c r="AV531">
        <f t="shared" si="226"/>
        <v>0</v>
      </c>
      <c r="AW531">
        <f t="shared" si="227"/>
        <v>0</v>
      </c>
      <c r="AX531">
        <f t="shared" si="228"/>
        <v>0</v>
      </c>
      <c r="AY531">
        <f t="shared" si="229"/>
        <v>0</v>
      </c>
      <c r="AZ531">
        <f t="shared" si="230"/>
        <v>0</v>
      </c>
      <c r="BA531">
        <f t="shared" si="231"/>
        <v>0</v>
      </c>
      <c r="BB531">
        <f t="shared" si="232"/>
        <v>0</v>
      </c>
      <c r="BC531">
        <f t="shared" si="233"/>
        <v>0</v>
      </c>
      <c r="BD531">
        <f t="shared" si="234"/>
        <v>0</v>
      </c>
      <c r="BE531">
        <f t="shared" si="235"/>
        <v>0</v>
      </c>
      <c r="BF531">
        <f t="shared" si="236"/>
        <v>0</v>
      </c>
      <c r="BG531">
        <f t="shared" si="237"/>
        <v>0</v>
      </c>
      <c r="BH531">
        <f t="shared" si="238"/>
        <v>0</v>
      </c>
    </row>
    <row r="532" spans="1:60" ht="15" customHeight="1">
      <c r="A532" s="206"/>
      <c r="B532" s="201"/>
      <c r="C532" s="1119" t="s">
        <v>5108</v>
      </c>
      <c r="D532" s="1121"/>
      <c r="E532" s="1121"/>
      <c r="F532" s="1120"/>
      <c r="G532" s="100"/>
      <c r="H532" s="100"/>
      <c r="I532" s="100"/>
      <c r="J532" s="100"/>
      <c r="K532" s="100"/>
      <c r="L532" s="100"/>
      <c r="M532" s="100"/>
      <c r="N532" s="100"/>
      <c r="O532" s="100"/>
      <c r="P532" s="100"/>
      <c r="Q532" s="100"/>
      <c r="R532" s="100"/>
      <c r="S532" s="100"/>
      <c r="T532" s="100"/>
      <c r="U532" s="100"/>
      <c r="V532" s="100"/>
      <c r="W532" s="100"/>
      <c r="X532" s="100"/>
      <c r="Y532" s="100"/>
      <c r="Z532" s="100"/>
      <c r="AA532" s="100"/>
      <c r="AB532" s="100"/>
      <c r="AC532" s="100"/>
      <c r="AD532" s="100"/>
      <c r="AF532"/>
      <c r="AG532"/>
      <c r="AH532"/>
      <c r="AI532"/>
      <c r="AJ532"/>
      <c r="AK532">
        <f t="shared" si="216"/>
        <v>0</v>
      </c>
      <c r="AL532">
        <f t="shared" si="217"/>
        <v>0</v>
      </c>
      <c r="AM532">
        <f t="shared" si="239"/>
        <v>0</v>
      </c>
      <c r="AN532">
        <f t="shared" si="218"/>
        <v>0</v>
      </c>
      <c r="AO532">
        <f t="shared" si="219"/>
        <v>0</v>
      </c>
      <c r="AP532">
        <f t="shared" si="220"/>
        <v>0</v>
      </c>
      <c r="AQ532">
        <f t="shared" si="221"/>
        <v>0</v>
      </c>
      <c r="AR532">
        <f t="shared" si="222"/>
        <v>0</v>
      </c>
      <c r="AS532">
        <f t="shared" si="223"/>
        <v>0</v>
      </c>
      <c r="AT532">
        <f t="shared" si="224"/>
        <v>0</v>
      </c>
      <c r="AU532">
        <f t="shared" si="225"/>
        <v>0</v>
      </c>
      <c r="AV532">
        <f t="shared" si="226"/>
        <v>0</v>
      </c>
      <c r="AW532">
        <f t="shared" si="227"/>
        <v>0</v>
      </c>
      <c r="AX532">
        <f t="shared" si="228"/>
        <v>0</v>
      </c>
      <c r="AY532">
        <f t="shared" si="229"/>
        <v>0</v>
      </c>
      <c r="AZ532">
        <f t="shared" si="230"/>
        <v>0</v>
      </c>
      <c r="BA532">
        <f t="shared" si="231"/>
        <v>0</v>
      </c>
      <c r="BB532">
        <f t="shared" si="232"/>
        <v>0</v>
      </c>
      <c r="BC532">
        <f t="shared" si="233"/>
        <v>0</v>
      </c>
      <c r="BD532">
        <f t="shared" si="234"/>
        <v>0</v>
      </c>
      <c r="BE532">
        <f t="shared" si="235"/>
        <v>0</v>
      </c>
      <c r="BF532">
        <f t="shared" si="236"/>
        <v>0</v>
      </c>
      <c r="BG532">
        <f t="shared" si="237"/>
        <v>0</v>
      </c>
      <c r="BH532">
        <f t="shared" si="238"/>
        <v>0</v>
      </c>
    </row>
    <row r="533" spans="1:60" ht="15" customHeight="1">
      <c r="A533" s="206"/>
      <c r="B533" s="201"/>
      <c r="C533" s="1119" t="s">
        <v>5110</v>
      </c>
      <c r="D533" s="1121"/>
      <c r="E533" s="1121"/>
      <c r="F533" s="1120"/>
      <c r="G533" s="100"/>
      <c r="H533" s="100"/>
      <c r="I533" s="100"/>
      <c r="J533" s="100"/>
      <c r="K533" s="100"/>
      <c r="L533" s="100"/>
      <c r="M533" s="100"/>
      <c r="N533" s="100"/>
      <c r="O533" s="100"/>
      <c r="P533" s="100"/>
      <c r="Q533" s="100"/>
      <c r="R533" s="100"/>
      <c r="S533" s="100"/>
      <c r="T533" s="100"/>
      <c r="U533" s="100"/>
      <c r="V533" s="100"/>
      <c r="W533" s="100"/>
      <c r="X533" s="100"/>
      <c r="Y533" s="100"/>
      <c r="Z533" s="100"/>
      <c r="AA533" s="100"/>
      <c r="AB533" s="100"/>
      <c r="AC533" s="100"/>
      <c r="AD533" s="100"/>
      <c r="AF533"/>
      <c r="AG533"/>
      <c r="AH533"/>
      <c r="AI533"/>
      <c r="AJ533"/>
      <c r="AK533">
        <f t="shared" si="216"/>
        <v>0</v>
      </c>
      <c r="AL533">
        <f t="shared" si="217"/>
        <v>0</v>
      </c>
      <c r="AM533">
        <f t="shared" si="239"/>
        <v>0</v>
      </c>
      <c r="AN533">
        <f t="shared" si="218"/>
        <v>0</v>
      </c>
      <c r="AO533">
        <f t="shared" si="219"/>
        <v>0</v>
      </c>
      <c r="AP533">
        <f t="shared" si="220"/>
        <v>0</v>
      </c>
      <c r="AQ533">
        <f t="shared" si="221"/>
        <v>0</v>
      </c>
      <c r="AR533">
        <f t="shared" si="222"/>
        <v>0</v>
      </c>
      <c r="AS533">
        <f t="shared" si="223"/>
        <v>0</v>
      </c>
      <c r="AT533">
        <f t="shared" si="224"/>
        <v>0</v>
      </c>
      <c r="AU533">
        <f t="shared" si="225"/>
        <v>0</v>
      </c>
      <c r="AV533">
        <f t="shared" si="226"/>
        <v>0</v>
      </c>
      <c r="AW533">
        <f t="shared" si="227"/>
        <v>0</v>
      </c>
      <c r="AX533">
        <f t="shared" si="228"/>
        <v>0</v>
      </c>
      <c r="AY533">
        <f t="shared" si="229"/>
        <v>0</v>
      </c>
      <c r="AZ533">
        <f t="shared" si="230"/>
        <v>0</v>
      </c>
      <c r="BA533">
        <f t="shared" si="231"/>
        <v>0</v>
      </c>
      <c r="BB533">
        <f t="shared" si="232"/>
        <v>0</v>
      </c>
      <c r="BC533">
        <f t="shared" si="233"/>
        <v>0</v>
      </c>
      <c r="BD533">
        <f t="shared" si="234"/>
        <v>0</v>
      </c>
      <c r="BE533">
        <f t="shared" si="235"/>
        <v>0</v>
      </c>
      <c r="BF533">
        <f t="shared" si="236"/>
        <v>0</v>
      </c>
      <c r="BG533">
        <f t="shared" si="237"/>
        <v>0</v>
      </c>
      <c r="BH533">
        <f t="shared" si="238"/>
        <v>0</v>
      </c>
    </row>
    <row r="534" spans="1:60" ht="15" customHeight="1">
      <c r="A534" s="206"/>
      <c r="B534" s="201"/>
      <c r="C534" s="1119" t="s">
        <v>5112</v>
      </c>
      <c r="D534" s="1121"/>
      <c r="E534" s="1121"/>
      <c r="F534" s="1120"/>
      <c r="G534" s="100"/>
      <c r="H534" s="100"/>
      <c r="I534" s="100"/>
      <c r="J534" s="100"/>
      <c r="K534" s="100"/>
      <c r="L534" s="100"/>
      <c r="M534" s="100"/>
      <c r="N534" s="100"/>
      <c r="O534" s="100"/>
      <c r="P534" s="100"/>
      <c r="Q534" s="100"/>
      <c r="R534" s="100"/>
      <c r="S534" s="100"/>
      <c r="T534" s="100"/>
      <c r="U534" s="100"/>
      <c r="V534" s="100"/>
      <c r="W534" s="100"/>
      <c r="X534" s="100"/>
      <c r="Y534" s="100"/>
      <c r="Z534" s="100"/>
      <c r="AA534" s="100"/>
      <c r="AB534" s="100"/>
      <c r="AC534" s="100"/>
      <c r="AD534" s="100"/>
      <c r="AF534"/>
      <c r="AG534"/>
      <c r="AH534"/>
      <c r="AI534"/>
      <c r="AJ534"/>
      <c r="AK534">
        <f t="shared" si="216"/>
        <v>0</v>
      </c>
      <c r="AL534">
        <f t="shared" si="217"/>
        <v>0</v>
      </c>
      <c r="AM534">
        <f t="shared" si="239"/>
        <v>0</v>
      </c>
      <c r="AN534">
        <f t="shared" si="218"/>
        <v>0</v>
      </c>
      <c r="AO534">
        <f t="shared" si="219"/>
        <v>0</v>
      </c>
      <c r="AP534">
        <f t="shared" si="220"/>
        <v>0</v>
      </c>
      <c r="AQ534">
        <f t="shared" si="221"/>
        <v>0</v>
      </c>
      <c r="AR534">
        <f t="shared" si="222"/>
        <v>0</v>
      </c>
      <c r="AS534">
        <f t="shared" si="223"/>
        <v>0</v>
      </c>
      <c r="AT534">
        <f t="shared" si="224"/>
        <v>0</v>
      </c>
      <c r="AU534">
        <f t="shared" si="225"/>
        <v>0</v>
      </c>
      <c r="AV534">
        <f t="shared" si="226"/>
        <v>0</v>
      </c>
      <c r="AW534">
        <f t="shared" si="227"/>
        <v>0</v>
      </c>
      <c r="AX534">
        <f t="shared" si="228"/>
        <v>0</v>
      </c>
      <c r="AY534">
        <f t="shared" si="229"/>
        <v>0</v>
      </c>
      <c r="AZ534">
        <f t="shared" si="230"/>
        <v>0</v>
      </c>
      <c r="BA534">
        <f t="shared" si="231"/>
        <v>0</v>
      </c>
      <c r="BB534">
        <f t="shared" si="232"/>
        <v>0</v>
      </c>
      <c r="BC534">
        <f t="shared" si="233"/>
        <v>0</v>
      </c>
      <c r="BD534">
        <f t="shared" si="234"/>
        <v>0</v>
      </c>
      <c r="BE534">
        <f t="shared" si="235"/>
        <v>0</v>
      </c>
      <c r="BF534">
        <f t="shared" si="236"/>
        <v>0</v>
      </c>
      <c r="BG534">
        <f t="shared" si="237"/>
        <v>0</v>
      </c>
      <c r="BH534">
        <f t="shared" si="238"/>
        <v>0</v>
      </c>
    </row>
    <row r="535" spans="1:60" ht="15" customHeight="1">
      <c r="A535" s="206"/>
      <c r="B535" s="201"/>
      <c r="C535" s="1119" t="s">
        <v>5114</v>
      </c>
      <c r="D535" s="1121"/>
      <c r="E535" s="1121"/>
      <c r="F535" s="1120"/>
      <c r="G535" s="100"/>
      <c r="H535" s="100"/>
      <c r="I535" s="100"/>
      <c r="J535" s="100"/>
      <c r="K535" s="100"/>
      <c r="L535" s="100"/>
      <c r="M535" s="100"/>
      <c r="N535" s="100"/>
      <c r="O535" s="100"/>
      <c r="P535" s="100"/>
      <c r="Q535" s="100"/>
      <c r="R535" s="100"/>
      <c r="S535" s="100"/>
      <c r="T535" s="100"/>
      <c r="U535" s="100"/>
      <c r="V535" s="100"/>
      <c r="W535" s="100"/>
      <c r="X535" s="100"/>
      <c r="Y535" s="100"/>
      <c r="Z535" s="100"/>
      <c r="AA535" s="100"/>
      <c r="AB535" s="100"/>
      <c r="AC535" s="100"/>
      <c r="AD535" s="100"/>
      <c r="AF535"/>
      <c r="AG535"/>
      <c r="AH535"/>
      <c r="AI535"/>
      <c r="AJ535"/>
      <c r="AK535">
        <f t="shared" si="216"/>
        <v>0</v>
      </c>
      <c r="AL535">
        <f t="shared" si="217"/>
        <v>0</v>
      </c>
      <c r="AM535">
        <f t="shared" si="239"/>
        <v>0</v>
      </c>
      <c r="AN535">
        <f t="shared" si="218"/>
        <v>0</v>
      </c>
      <c r="AO535">
        <f t="shared" si="219"/>
        <v>0</v>
      </c>
      <c r="AP535">
        <f t="shared" si="220"/>
        <v>0</v>
      </c>
      <c r="AQ535">
        <f t="shared" si="221"/>
        <v>0</v>
      </c>
      <c r="AR535">
        <f t="shared" si="222"/>
        <v>0</v>
      </c>
      <c r="AS535">
        <f t="shared" si="223"/>
        <v>0</v>
      </c>
      <c r="AT535">
        <f t="shared" si="224"/>
        <v>0</v>
      </c>
      <c r="AU535">
        <f t="shared" si="225"/>
        <v>0</v>
      </c>
      <c r="AV535">
        <f t="shared" si="226"/>
        <v>0</v>
      </c>
      <c r="AW535">
        <f t="shared" si="227"/>
        <v>0</v>
      </c>
      <c r="AX535">
        <f t="shared" si="228"/>
        <v>0</v>
      </c>
      <c r="AY535">
        <f t="shared" si="229"/>
        <v>0</v>
      </c>
      <c r="AZ535">
        <f t="shared" si="230"/>
        <v>0</v>
      </c>
      <c r="BA535">
        <f t="shared" si="231"/>
        <v>0</v>
      </c>
      <c r="BB535">
        <f t="shared" si="232"/>
        <v>0</v>
      </c>
      <c r="BC535">
        <f t="shared" si="233"/>
        <v>0</v>
      </c>
      <c r="BD535">
        <f t="shared" si="234"/>
        <v>0</v>
      </c>
      <c r="BE535">
        <f t="shared" si="235"/>
        <v>0</v>
      </c>
      <c r="BF535">
        <f t="shared" si="236"/>
        <v>0</v>
      </c>
      <c r="BG535">
        <f t="shared" si="237"/>
        <v>0</v>
      </c>
      <c r="BH535">
        <f t="shared" si="238"/>
        <v>0</v>
      </c>
    </row>
    <row r="536" spans="1:60" ht="15" customHeight="1">
      <c r="A536" s="206"/>
      <c r="B536" s="206"/>
      <c r="C536" s="1117" t="s">
        <v>5115</v>
      </c>
      <c r="D536" s="1136"/>
      <c r="E536" s="1136"/>
      <c r="F536" s="1118"/>
      <c r="G536" s="100"/>
      <c r="H536" s="100"/>
      <c r="I536" s="100"/>
      <c r="J536" s="100"/>
      <c r="K536" s="100"/>
      <c r="L536" s="100"/>
      <c r="M536" s="100"/>
      <c r="N536" s="100"/>
      <c r="O536" s="100"/>
      <c r="P536" s="100"/>
      <c r="Q536" s="100"/>
      <c r="R536" s="100"/>
      <c r="S536" s="100"/>
      <c r="T536" s="100"/>
      <c r="U536" s="100"/>
      <c r="V536" s="100"/>
      <c r="W536" s="100"/>
      <c r="X536" s="100"/>
      <c r="Y536" s="100"/>
      <c r="Z536" s="100"/>
      <c r="AA536" s="100"/>
      <c r="AB536" s="100"/>
      <c r="AC536" s="100"/>
      <c r="AD536" s="100"/>
      <c r="AF536"/>
      <c r="AG536"/>
      <c r="AH536"/>
      <c r="AI536"/>
      <c r="AJ536"/>
      <c r="AK536">
        <f t="shared" si="216"/>
        <v>0</v>
      </c>
      <c r="AL536">
        <f t="shared" si="217"/>
        <v>0</v>
      </c>
      <c r="AM536">
        <f t="shared" si="239"/>
        <v>0</v>
      </c>
      <c r="AN536">
        <f t="shared" si="218"/>
        <v>0</v>
      </c>
      <c r="AO536">
        <f t="shared" si="219"/>
        <v>0</v>
      </c>
      <c r="AP536">
        <f t="shared" si="220"/>
        <v>0</v>
      </c>
      <c r="AQ536">
        <f t="shared" si="221"/>
        <v>0</v>
      </c>
      <c r="AR536">
        <f t="shared" si="222"/>
        <v>0</v>
      </c>
      <c r="AS536">
        <f t="shared" si="223"/>
        <v>0</v>
      </c>
      <c r="AT536">
        <f t="shared" si="224"/>
        <v>0</v>
      </c>
      <c r="AU536">
        <f t="shared" si="225"/>
        <v>0</v>
      </c>
      <c r="AV536">
        <f t="shared" si="226"/>
        <v>0</v>
      </c>
      <c r="AW536">
        <f t="shared" si="227"/>
        <v>0</v>
      </c>
      <c r="AX536">
        <f t="shared" si="228"/>
        <v>0</v>
      </c>
      <c r="AY536">
        <f t="shared" si="229"/>
        <v>0</v>
      </c>
      <c r="AZ536">
        <f t="shared" si="230"/>
        <v>0</v>
      </c>
      <c r="BA536">
        <f t="shared" si="231"/>
        <v>0</v>
      </c>
      <c r="BB536">
        <f t="shared" si="232"/>
        <v>0</v>
      </c>
      <c r="BC536">
        <f t="shared" si="233"/>
        <v>0</v>
      </c>
      <c r="BD536">
        <f t="shared" si="234"/>
        <v>0</v>
      </c>
      <c r="BE536">
        <f t="shared" si="235"/>
        <v>0</v>
      </c>
      <c r="BF536">
        <f t="shared" si="236"/>
        <v>0</v>
      </c>
      <c r="BG536">
        <f t="shared" si="237"/>
        <v>0</v>
      </c>
      <c r="BH536">
        <f t="shared" si="238"/>
        <v>0</v>
      </c>
    </row>
    <row r="537" spans="1:60" ht="15" customHeight="1">
      <c r="A537" s="206"/>
      <c r="B537" s="206"/>
      <c r="C537" s="1117" t="s">
        <v>5117</v>
      </c>
      <c r="D537" s="1136"/>
      <c r="E537" s="1136"/>
      <c r="F537" s="1118"/>
      <c r="G537" s="116"/>
      <c r="H537" s="100"/>
      <c r="I537" s="100"/>
      <c r="J537" s="100"/>
      <c r="K537" s="100"/>
      <c r="L537" s="100"/>
      <c r="M537" s="100"/>
      <c r="N537" s="100"/>
      <c r="O537" s="100"/>
      <c r="P537" s="100"/>
      <c r="Q537" s="100"/>
      <c r="R537" s="100"/>
      <c r="S537" s="100"/>
      <c r="T537" s="100"/>
      <c r="U537" s="100"/>
      <c r="V537" s="100"/>
      <c r="W537" s="100"/>
      <c r="X537" s="100"/>
      <c r="Y537" s="100"/>
      <c r="Z537" s="100"/>
      <c r="AA537" s="100"/>
      <c r="AB537" s="100"/>
      <c r="AC537" s="100"/>
      <c r="AD537" s="100"/>
      <c r="AF537"/>
      <c r="AG537"/>
      <c r="AH537"/>
      <c r="AI537"/>
      <c r="AJ537"/>
      <c r="AK537">
        <f t="shared" si="216"/>
        <v>0</v>
      </c>
      <c r="AL537">
        <f t="shared" si="217"/>
        <v>0</v>
      </c>
      <c r="AM537">
        <f t="shared" si="239"/>
        <v>0</v>
      </c>
      <c r="AN537">
        <f t="shared" si="218"/>
        <v>0</v>
      </c>
      <c r="AO537">
        <f t="shared" si="219"/>
        <v>0</v>
      </c>
      <c r="AP537">
        <f t="shared" si="220"/>
        <v>0</v>
      </c>
      <c r="AQ537">
        <f t="shared" si="221"/>
        <v>0</v>
      </c>
      <c r="AR537">
        <f t="shared" si="222"/>
        <v>0</v>
      </c>
      <c r="AS537">
        <f t="shared" si="223"/>
        <v>0</v>
      </c>
      <c r="AT537">
        <f t="shared" si="224"/>
        <v>0</v>
      </c>
      <c r="AU537">
        <f t="shared" si="225"/>
        <v>0</v>
      </c>
      <c r="AV537">
        <f t="shared" si="226"/>
        <v>0</v>
      </c>
      <c r="AW537">
        <f t="shared" si="227"/>
        <v>0</v>
      </c>
      <c r="AX537">
        <f t="shared" si="228"/>
        <v>0</v>
      </c>
      <c r="AY537">
        <f t="shared" si="229"/>
        <v>0</v>
      </c>
      <c r="AZ537">
        <f t="shared" si="230"/>
        <v>0</v>
      </c>
      <c r="BA537">
        <f t="shared" si="231"/>
        <v>0</v>
      </c>
      <c r="BB537">
        <f t="shared" si="232"/>
        <v>0</v>
      </c>
      <c r="BC537">
        <f t="shared" si="233"/>
        <v>0</v>
      </c>
      <c r="BD537">
        <f t="shared" si="234"/>
        <v>0</v>
      </c>
      <c r="BE537">
        <f t="shared" si="235"/>
        <v>0</v>
      </c>
      <c r="BF537">
        <f t="shared" si="236"/>
        <v>0</v>
      </c>
      <c r="BG537">
        <f t="shared" si="237"/>
        <v>0</v>
      </c>
      <c r="BH537">
        <f t="shared" si="238"/>
        <v>0</v>
      </c>
    </row>
    <row r="538" spans="1:60" ht="15" customHeight="1">
      <c r="A538" s="206"/>
      <c r="B538" s="201"/>
      <c r="C538" s="1117" t="s">
        <v>5119</v>
      </c>
      <c r="D538" s="1136"/>
      <c r="E538" s="1136"/>
      <c r="F538" s="1118"/>
      <c r="G538" s="100"/>
      <c r="H538" s="100"/>
      <c r="I538" s="100"/>
      <c r="J538" s="100"/>
      <c r="K538" s="100"/>
      <c r="L538" s="100"/>
      <c r="M538" s="100"/>
      <c r="N538" s="100"/>
      <c r="O538" s="100"/>
      <c r="P538" s="100"/>
      <c r="Q538" s="100"/>
      <c r="R538" s="100"/>
      <c r="S538" s="100"/>
      <c r="T538" s="100"/>
      <c r="U538" s="100"/>
      <c r="V538" s="100"/>
      <c r="W538" s="100"/>
      <c r="X538" s="100"/>
      <c r="Y538" s="100"/>
      <c r="Z538" s="100"/>
      <c r="AA538" s="100"/>
      <c r="AB538" s="100"/>
      <c r="AC538" s="100"/>
      <c r="AD538" s="100"/>
      <c r="AF538"/>
      <c r="AG538"/>
      <c r="AH538"/>
      <c r="AI538"/>
      <c r="AJ538"/>
      <c r="AK538">
        <f t="shared" si="216"/>
        <v>0</v>
      </c>
      <c r="AL538">
        <f t="shared" si="217"/>
        <v>0</v>
      </c>
      <c r="AM538">
        <f t="shared" si="239"/>
        <v>0</v>
      </c>
      <c r="AN538">
        <f t="shared" si="218"/>
        <v>0</v>
      </c>
      <c r="AO538">
        <f t="shared" si="219"/>
        <v>0</v>
      </c>
      <c r="AP538">
        <f t="shared" si="220"/>
        <v>0</v>
      </c>
      <c r="AQ538">
        <f t="shared" si="221"/>
        <v>0</v>
      </c>
      <c r="AR538">
        <f t="shared" si="222"/>
        <v>0</v>
      </c>
      <c r="AS538">
        <f t="shared" si="223"/>
        <v>0</v>
      </c>
      <c r="AT538">
        <f t="shared" si="224"/>
        <v>0</v>
      </c>
      <c r="AU538">
        <f t="shared" si="225"/>
        <v>0</v>
      </c>
      <c r="AV538">
        <f t="shared" si="226"/>
        <v>0</v>
      </c>
      <c r="AW538">
        <f t="shared" si="227"/>
        <v>0</v>
      </c>
      <c r="AX538">
        <f t="shared" si="228"/>
        <v>0</v>
      </c>
      <c r="AY538">
        <f t="shared" si="229"/>
        <v>0</v>
      </c>
      <c r="AZ538">
        <f t="shared" si="230"/>
        <v>0</v>
      </c>
      <c r="BA538">
        <f t="shared" si="231"/>
        <v>0</v>
      </c>
      <c r="BB538">
        <f t="shared" si="232"/>
        <v>0</v>
      </c>
      <c r="BC538">
        <f t="shared" si="233"/>
        <v>0</v>
      </c>
      <c r="BD538">
        <f t="shared" si="234"/>
        <v>0</v>
      </c>
      <c r="BE538">
        <f t="shared" si="235"/>
        <v>0</v>
      </c>
      <c r="BF538">
        <f t="shared" si="236"/>
        <v>0</v>
      </c>
      <c r="BG538">
        <f t="shared" si="237"/>
        <v>0</v>
      </c>
      <c r="BH538">
        <f t="shared" si="238"/>
        <v>0</v>
      </c>
    </row>
    <row r="539" spans="1:60" ht="15" customHeight="1">
      <c r="A539" s="108"/>
      <c r="B539" s="38"/>
      <c r="C539" s="77"/>
      <c r="D539" s="120"/>
      <c r="E539" s="84"/>
      <c r="F539" s="84"/>
      <c r="G539" s="524">
        <f>IF(COUNTIF(G374:G538,"NA")=165,"NA",IF(AND(SUM(COUNTIF(G374:G384,"NS"),COUNTIF(G391:G395,"NS"),COUNTIF(G401:G404,"NS"),COUNTIF(G423,"NS"),COUNTIF(G429:G431,"NS"),COUNTIF(G435:G441,"NS"),COUNTIF(G449,"NS"),COUNTIF(G455:G459,"NS"),COUNTIF(G466,"NS"),COUNTIF(G475:G478,"NS"),COUNTIF(G485:G488,"NS"),COUNTIF(G498,"NS"),COUNTIF(G502:G509,"NS"),COUNTIF(G517:G518,"NS"),COUNTIF(G522:G530,"NS"),COUNTIF(G536:G538,"NS"))&gt;0,SUM(G374:G384,G391:G395,G401:G404,G423,G429:G431,G435:G441,G449,G455:G459,G466,G475:G478,G485:G488,G498,G502:G509,G517:G518,G522:G530,G536:G538)=0),"NS",SUM(G374:G384,G391:G395,G401:G404,G423,G429:G431,G435:G441,G449,G455:G459,G466,G475:G478,G485:G488,G498,G502:G509,G517:G518,G522:G530,G536:G538)))</f>
        <v>0</v>
      </c>
      <c r="H539" s="524">
        <f t="shared" ref="H539:AD539" si="240">IF(COUNTIF(H374:H538,"NA")=165,"NA",IF(AND(SUM(COUNTIF(H374:H384,"NS"),COUNTIF(H391:H395,"NS"),COUNTIF(H401:H404,"NS"),COUNTIF(H423,"NS"),COUNTIF(H429:H431,"NS"),COUNTIF(H435:H441,"NS"),COUNTIF(H449,"NS"),COUNTIF(H455:H459,"NS"),COUNTIF(H466,"NS"),COUNTIF(H475:H478,"NS"),COUNTIF(H485:H488,"NS"),COUNTIF(H498,"NS"),COUNTIF(H502:H509,"NS"),COUNTIF(H517:H518,"NS"),COUNTIF(H522:H530,"NS"),COUNTIF(H536:H538,"NS"))&gt;0,SUM(H374:H384,H391:H395,H401:H404,H423,H429:H431,H435:H441,H449,H455:H459,H466,H475:H478,H485:H488,H498,H502:H509,H517:H518,H522:H530,H536:H538)=0),"NS",SUM(H374:H384,H391:H395,H401:H404,H423,H429:H431,H435:H441,H449,H455:H459,H466,H475:H478,H485:H488,H498,H502:H509,H517:H518,H522:H530,H536:H538)))</f>
        <v>0</v>
      </c>
      <c r="I539" s="524">
        <f t="shared" si="240"/>
        <v>0</v>
      </c>
      <c r="J539" s="524">
        <f t="shared" si="240"/>
        <v>0</v>
      </c>
      <c r="K539" s="524">
        <f t="shared" si="240"/>
        <v>0</v>
      </c>
      <c r="L539" s="524">
        <f t="shared" si="240"/>
        <v>0</v>
      </c>
      <c r="M539" s="524">
        <f t="shared" si="240"/>
        <v>0</v>
      </c>
      <c r="N539" s="524">
        <f t="shared" si="240"/>
        <v>0</v>
      </c>
      <c r="O539" s="524">
        <f t="shared" si="240"/>
        <v>0</v>
      </c>
      <c r="P539" s="524">
        <f t="shared" si="240"/>
        <v>0</v>
      </c>
      <c r="Q539" s="524">
        <f t="shared" si="240"/>
        <v>0</v>
      </c>
      <c r="R539" s="524">
        <f t="shared" si="240"/>
        <v>0</v>
      </c>
      <c r="S539" s="524">
        <f t="shared" si="240"/>
        <v>0</v>
      </c>
      <c r="T539" s="524">
        <f t="shared" si="240"/>
        <v>0</v>
      </c>
      <c r="U539" s="524">
        <f t="shared" si="240"/>
        <v>0</v>
      </c>
      <c r="V539" s="524">
        <f t="shared" si="240"/>
        <v>0</v>
      </c>
      <c r="W539" s="524">
        <f t="shared" si="240"/>
        <v>0</v>
      </c>
      <c r="X539" s="524">
        <f t="shared" si="240"/>
        <v>0</v>
      </c>
      <c r="Y539" s="524">
        <f t="shared" si="240"/>
        <v>0</v>
      </c>
      <c r="Z539" s="524">
        <f t="shared" si="240"/>
        <v>0</v>
      </c>
      <c r="AA539" s="524">
        <f t="shared" si="240"/>
        <v>0</v>
      </c>
      <c r="AB539" s="524">
        <f t="shared" si="240"/>
        <v>0</v>
      </c>
      <c r="AC539" s="524">
        <f>IF(COUNTIF(AC374:AC538,"NA")=165,"NA",IF(AND(SUM(COUNTIF(AC374:AC384,"NS"),COUNTIF(AC391:AC395,"NS"),COUNTIF(AC401:AC404,"NS"),COUNTIF(AC423,"NS"),COUNTIF(AC429:AC431,"NS"),COUNTIF(AC435:AC441,"NS"),COUNTIF(AC449,"NS"),COUNTIF(AC455:AC459,"NS"),COUNTIF(AC466,"NS"),COUNTIF(AC475:AC478,"NS"),COUNTIF(AC485:AC488,"NS"),COUNTIF(AC498,"NS"),COUNTIF(AC502:AC509,"NS"),COUNTIF(AC517:AC518,"NS"),COUNTIF(AC522:AC530,"NS"),COUNTIF(AC536:AC538,"NS"))&gt;0,SUM(AC374:AC384,AC391:AC395,AC401:AC404,AC423,AC429:AC431,AC435:AC441,AC449,AC455:AC459,AC466,AC475:AC478,AC485:AC488,AC498,AC502:AC509,AC517:AC518,AC522:AC530,AC536:AC538)=0),"NS",SUM(AC374:AC384,AC391:AC395,AC401:AC404,AC423,AC429:AC431,AC435:AC441,AC449,AC455:AC459,AC466,AC475:AC478,AC485:AC488,AC498,AC502:AC509,AC517:AC518,AC522:AC530,AC536:AC538)))</f>
        <v>0</v>
      </c>
      <c r="AD539" s="124">
        <f t="shared" si="240"/>
        <v>0</v>
      </c>
      <c r="AF539"/>
      <c r="AG539"/>
      <c r="AH539"/>
      <c r="AI539"/>
      <c r="AJ539"/>
      <c r="AK539">
        <f>SUM(AK374:AK538)</f>
        <v>0</v>
      </c>
      <c r="AM539">
        <f>SUM(AM374:AM538)</f>
        <v>0</v>
      </c>
      <c r="AN539">
        <f>SUM(AN374:AN538)</f>
        <v>0</v>
      </c>
      <c r="AP539">
        <f>SUM(AP374:AP538)</f>
        <v>0</v>
      </c>
      <c r="AQ539">
        <f>SUM(AQ374:AQ538)</f>
        <v>0</v>
      </c>
      <c r="AS539">
        <f>SUM(AS374:AS538)</f>
        <v>0</v>
      </c>
      <c r="AT539">
        <f>SUM(AT374:AT538)</f>
        <v>0</v>
      </c>
      <c r="AV539">
        <f>SUM(AV374:AV538)</f>
        <v>0</v>
      </c>
      <c r="AW539">
        <f>SUM(AW374:AW538)</f>
        <v>0</v>
      </c>
      <c r="AY539">
        <f>SUM(AY374:AY538)</f>
        <v>0</v>
      </c>
      <c r="AZ539">
        <f>SUM(AZ374:AZ538)</f>
        <v>0</v>
      </c>
      <c r="BB539">
        <f>SUM(BB374:BB538)</f>
        <v>0</v>
      </c>
      <c r="BC539">
        <f>SUM(BC374:BC538)</f>
        <v>0</v>
      </c>
      <c r="BE539">
        <f>SUM(BE374:BE538)</f>
        <v>0</v>
      </c>
      <c r="BF539">
        <f>SUM(BF374:BF538)</f>
        <v>0</v>
      </c>
      <c r="BH539">
        <f>SUM(BH374:BH538)</f>
        <v>0</v>
      </c>
    </row>
    <row r="540" spans="1:60" ht="15" customHeight="1">
      <c r="A540" s="108"/>
      <c r="B540" s="1087" t="str">
        <f>IF(OR(AND(P252&gt;0,ISNONTEXT(P252)),AND(P253&gt;0,ISNONTEXT(P253)),AND(P254&gt;0,ISNONTEXT(P254)),AND(P255&gt;0,ISNONTEXT(P255)),AND(P256&gt;0,ISNONTEXT(P256)),AND(P257&gt;0,ISNONTEXT(P257)),AND(P295&gt;0,ISNONTEXT(P295)),AND(P296&gt;0,ISNONTEXT(P296)),AND(P297&gt;0,ISNONTEXT(P297)),AND(P298&gt;0,ISNONTEXT(P298)),AND(P299&gt;0,ISNONTEXT(P299)),AND(P300&gt;0,ISNONTEXT(P300)),AND(P301&gt;0,ISNONTEXT(P301)),AND(P302&gt;0,ISNONTEXT(P302)),AND(P303&gt;0,ISNONTEXT(P303)),AND(P306&gt;0,ISNONTEXT(P306)),AND(P307&gt;0,ISNONTEXT(P307)),AND(P308&gt;0,ISNONTEXT(P308)),AND(P309&gt;0,ISNONTEXT(P309)),AND(P310&gt;0,ISNONTEXT(P310)),AND(P311&gt;0,ISNONTEXT(P311)),AND(P312&gt;0,ISNONTEXT(P312)),AND(P313&gt;0,ISNONTEXT(P313)),AND(P328&gt;0,ISNONTEXT(P328)),AND(P347&gt;0,ISNONTEXT(P347)),AND(P348&gt;0,ISNONTEXT(P348)),AND(P349&gt;0,ISNONTEXT(P349)),AND(P350&gt;0,ISNONTEXT(P350))),"Alerta: debido a que cuenta con registros del fuero federal mayores a cero, proporcione una justificación en el área de comentarios","")</f>
        <v/>
      </c>
      <c r="C540" s="1087"/>
      <c r="D540" s="1087"/>
      <c r="E540" s="1087"/>
      <c r="F540" s="1087"/>
      <c r="G540" s="1087"/>
      <c r="H540" s="1087"/>
      <c r="I540" s="1087"/>
      <c r="J540" s="1087"/>
      <c r="K540" s="1087"/>
      <c r="L540" s="1087"/>
      <c r="M540" s="1087"/>
      <c r="N540" s="1087"/>
      <c r="O540" s="1087"/>
      <c r="P540" s="1087"/>
      <c r="Q540" s="1087"/>
      <c r="R540" s="1087"/>
      <c r="S540" s="1087"/>
      <c r="T540" s="1087"/>
      <c r="U540" s="1087"/>
      <c r="V540" s="1087"/>
      <c r="W540" s="1087"/>
      <c r="X540" s="1087"/>
      <c r="Y540" s="1087"/>
      <c r="Z540" s="1087"/>
      <c r="AA540" s="1087"/>
      <c r="AB540" s="1087"/>
      <c r="AC540" s="1087"/>
      <c r="AD540" s="1087"/>
      <c r="AE540" s="1087"/>
      <c r="AF540"/>
      <c r="AG540"/>
      <c r="AH540"/>
      <c r="AI540"/>
      <c r="AJ540"/>
      <c r="AK540" t="s">
        <v>2650</v>
      </c>
      <c r="AL540" s="427">
        <f>SUM(AM539,AP539,AS539,AV539,AY539,BB539,BE539,BH539)</f>
        <v>0</v>
      </c>
      <c r="AM540" t="s">
        <v>2651</v>
      </c>
      <c r="AN540" s="427">
        <f>SUM(AK539,AN539,AQ539,AT539,AW539,AZ539,BC539,BF539)</f>
        <v>0</v>
      </c>
    </row>
    <row r="541" spans="1:60" ht="24" customHeight="1">
      <c r="A541" s="108"/>
      <c r="B541" s="38"/>
      <c r="C541" s="855" t="s">
        <v>2611</v>
      </c>
      <c r="D541" s="855"/>
      <c r="E541" s="855"/>
      <c r="F541" s="855"/>
      <c r="G541" s="855"/>
      <c r="H541" s="855"/>
      <c r="I541" s="855"/>
      <c r="J541" s="855"/>
      <c r="K541" s="855"/>
      <c r="L541" s="855"/>
      <c r="M541" s="855"/>
      <c r="N541" s="855"/>
      <c r="O541" s="855"/>
      <c r="P541" s="855"/>
      <c r="Q541" s="855"/>
      <c r="R541" s="855"/>
      <c r="S541" s="855"/>
      <c r="T541" s="855"/>
      <c r="U541" s="855"/>
      <c r="V541" s="855"/>
      <c r="W541" s="855"/>
      <c r="X541" s="855"/>
      <c r="Y541" s="855"/>
      <c r="Z541" s="855"/>
      <c r="AA541" s="855"/>
      <c r="AB541" s="855"/>
      <c r="AC541" s="855"/>
      <c r="AD541" s="855"/>
      <c r="AF541"/>
      <c r="AG541"/>
      <c r="AH541"/>
      <c r="AI541"/>
      <c r="AJ541"/>
      <c r="AK541" t="s">
        <v>2652</v>
      </c>
      <c r="AL541">
        <f>IF(AN540&gt;0,IF(SUM(G539)&gt;=SUM(J539,M539,P539,S539,V539,Y539,AB539),0,1),IF(SUM(G539)&lt;&gt;SUM(J539,M539,P539,S539,V539,Y539,AB539),1,0))</f>
        <v>0</v>
      </c>
      <c r="AM541" t="s">
        <v>2653</v>
      </c>
      <c r="AN541">
        <f>IF(AN540&gt;0,IF(SUM(H539)&gt;=SUM(K539,N539,Q539,T539,W539,Z539,AC539),0,1),IF(SUM(H539)&lt;&gt;SUM(K539,N539,Q539,T539,W539,Z539,AC539),1,0))</f>
        <v>0</v>
      </c>
      <c r="AO541" t="s">
        <v>2654</v>
      </c>
      <c r="AP541">
        <f>IF(AN540&gt;0,IF(SUM(I539)&gt;=SUM(L539,O539,R539,U539,X539,AA539,AD539),0,1),IF(SUM(I539)&lt;&gt;SUM(L539,O539,R539,U539,X539,AA539,AD539),1,0))</f>
        <v>0</v>
      </c>
    </row>
    <row r="542" spans="1:60" ht="60" customHeight="1">
      <c r="A542" s="108"/>
      <c r="B542" s="38"/>
      <c r="C542" s="851"/>
      <c r="D542" s="851"/>
      <c r="E542" s="851"/>
      <c r="F542" s="851"/>
      <c r="G542" s="851"/>
      <c r="H542" s="851"/>
      <c r="I542" s="851"/>
      <c r="J542" s="851"/>
      <c r="K542" s="851"/>
      <c r="L542" s="851"/>
      <c r="M542" s="851"/>
      <c r="N542" s="851"/>
      <c r="O542" s="851"/>
      <c r="P542" s="851"/>
      <c r="Q542" s="851"/>
      <c r="R542" s="851"/>
      <c r="S542" s="851"/>
      <c r="T542" s="851"/>
      <c r="U542" s="851"/>
      <c r="V542" s="851"/>
      <c r="W542" s="851"/>
      <c r="X542" s="851"/>
      <c r="Y542" s="851"/>
      <c r="Z542" s="851"/>
      <c r="AA542" s="851"/>
      <c r="AB542" s="851"/>
      <c r="AC542" s="851"/>
      <c r="AD542" s="851"/>
      <c r="AF542"/>
      <c r="AG542"/>
      <c r="AH542"/>
      <c r="AI542"/>
      <c r="AJ542"/>
      <c r="AK542" t="s">
        <v>5179</v>
      </c>
      <c r="AL542" s="369">
        <f>SUM(AL369,AL540)</f>
        <v>0</v>
      </c>
      <c r="AM542" t="s">
        <v>5180</v>
      </c>
      <c r="AN542" s="369">
        <f>SUM(AN369,AN540)</f>
        <v>0</v>
      </c>
    </row>
    <row r="543" spans="1:60" ht="15" customHeight="1">
      <c r="A543" s="176"/>
      <c r="B543" s="1003" t="str">
        <f>IF(AG368=0,"","Favor de ingresar toda la información requerida en la pregunta")</f>
        <v/>
      </c>
      <c r="C543" s="1003"/>
      <c r="D543" s="1003"/>
      <c r="E543" s="1003"/>
      <c r="F543" s="1003"/>
      <c r="G543" s="1003"/>
      <c r="H543" s="1003"/>
      <c r="I543" s="1003"/>
      <c r="J543" s="1003"/>
      <c r="K543" s="1003"/>
      <c r="L543" s="1003"/>
      <c r="M543" s="1003"/>
      <c r="N543" s="1003"/>
      <c r="O543" s="1003"/>
      <c r="P543" s="1003"/>
      <c r="Q543" s="1003"/>
      <c r="R543" s="1003"/>
      <c r="S543" s="1003"/>
      <c r="T543" s="1003"/>
      <c r="U543" s="1003"/>
      <c r="V543" s="1003"/>
      <c r="W543" s="1003"/>
      <c r="X543" s="1003"/>
      <c r="Y543" s="1003"/>
      <c r="Z543" s="1003"/>
      <c r="AA543" s="1003"/>
      <c r="AB543" s="1003"/>
      <c r="AC543" s="1003"/>
      <c r="AD543" s="1003"/>
      <c r="AE543" s="1003"/>
      <c r="AF543"/>
      <c r="AG543"/>
      <c r="AH543"/>
      <c r="AI543"/>
      <c r="AJ543"/>
      <c r="AK543" t="s">
        <v>5181</v>
      </c>
      <c r="AL543" s="506">
        <f>IF(AN542&gt;0,IF(SUM(P368)&gt;=SUM(S368,V368,Y368,AB368,G539,J539,M539,P539,S539,V539,Y539,AB539),0,1),IF(SUM(P368)&lt;&gt;SUM(S368,V368,Y368,AB368,G539,J539,M539,P539,S539,V539,Y539,AB539),1,0))</f>
        <v>0</v>
      </c>
      <c r="AM543" t="s">
        <v>5182</v>
      </c>
      <c r="AN543" s="506">
        <f>IF(AN542&gt;0,IF(SUM(Q368)&gt;=SUM(T368,W368,Z368,AC368,H539,K539,N539,Q539,T539,W539,Z539,AC539),0,1),IF(SUM(Q368)&lt;&gt;SUM(T368,W368,Z368,AC368,H539,K539,N539,Q539,T539,W539,Z539,AC539),1,0))</f>
        <v>0</v>
      </c>
      <c r="AO543" t="s">
        <v>5183</v>
      </c>
      <c r="AP543" s="506">
        <f>IF(AN542&gt;0,IF(SUM(R368)&gt;=SUM(U368,X368,AA368,AD368,I539,L539,O539,R539,U539,X539,AA539,AD539),0,1),IF(SUM(R368)&lt;&gt;SUM(U368,X368,AA368,AD368,I539,L539,O539,R539,U539,X539,AA539,AD539),1,0))</f>
        <v>0</v>
      </c>
    </row>
    <row r="544" spans="1:60" ht="15" customHeight="1">
      <c r="A544" s="176"/>
      <c r="B544" s="1087" t="str">
        <f>IF(OR($P$175=0,$P$175="NS",$P$175="NA"),"",IF(SUM(COUNTIF(P203:AD367,"NS"),COUNTIF(G374:AD538,"NS"))&lt;&gt;0,"Alerta: debido a que cuenta con registros NS, debe proporcionar una justificación en el area de comentarios al final de la pregunta",""))</f>
        <v/>
      </c>
      <c r="C544" s="1087"/>
      <c r="D544" s="1087"/>
      <c r="E544" s="1087"/>
      <c r="F544" s="1087"/>
      <c r="G544" s="1087"/>
      <c r="H544" s="1087"/>
      <c r="I544" s="1087"/>
      <c r="J544" s="1087"/>
      <c r="K544" s="1087"/>
      <c r="L544" s="1087"/>
      <c r="M544" s="1087"/>
      <c r="N544" s="1087"/>
      <c r="O544" s="1087"/>
      <c r="P544" s="1087"/>
      <c r="Q544" s="1087"/>
      <c r="R544" s="1087"/>
      <c r="S544" s="1087"/>
      <c r="T544" s="1087"/>
      <c r="U544" s="1087"/>
      <c r="V544" s="1087"/>
      <c r="W544" s="1087"/>
      <c r="X544" s="1087"/>
      <c r="Y544" s="1087"/>
      <c r="Z544" s="1087"/>
      <c r="AA544" s="1087"/>
      <c r="AB544" s="1087"/>
      <c r="AC544" s="1087"/>
      <c r="AD544" s="1087"/>
      <c r="AE544" s="1087"/>
      <c r="AF544"/>
      <c r="AG544"/>
      <c r="AH544"/>
      <c r="AI544"/>
      <c r="AJ544"/>
      <c r="AK544" t="s">
        <v>4836</v>
      </c>
      <c r="AL544" s="506">
        <f>AL542-COUNTIF(P203:P367,"NA")</f>
        <v>0</v>
      </c>
    </row>
    <row r="545" spans="1:105" ht="15" customHeight="1">
      <c r="A545" s="185"/>
      <c r="B545" s="1003" t="str">
        <f>IF(AH368=0,"","Revise la información capturada, ya que tiene datos ingresados en celdas que están sombreadas")</f>
        <v/>
      </c>
      <c r="C545" s="1003"/>
      <c r="D545" s="1003"/>
      <c r="E545" s="1003"/>
      <c r="F545" s="1003"/>
      <c r="G545" s="1003"/>
      <c r="H545" s="1003"/>
      <c r="I545" s="1003"/>
      <c r="J545" s="1003"/>
      <c r="K545" s="1003"/>
      <c r="L545" s="1003"/>
      <c r="M545" s="1003"/>
      <c r="N545" s="1003"/>
      <c r="O545" s="1003"/>
      <c r="P545" s="1003"/>
      <c r="Q545" s="1003"/>
      <c r="R545" s="1003"/>
      <c r="S545" s="1003"/>
      <c r="T545" s="1003"/>
      <c r="U545" s="1003"/>
      <c r="V545" s="1003"/>
      <c r="W545" s="1003"/>
      <c r="X545" s="1003"/>
      <c r="Y545" s="1003"/>
      <c r="Z545" s="1003"/>
      <c r="AA545" s="1003"/>
      <c r="AB545" s="1003"/>
      <c r="AC545" s="1003"/>
      <c r="AD545" s="1003"/>
      <c r="AE545" s="1003"/>
      <c r="AF545"/>
      <c r="AG545"/>
      <c r="AH545"/>
      <c r="AI545"/>
      <c r="AJ545"/>
    </row>
    <row r="546" spans="1:105" ht="15" customHeight="1">
      <c r="A546" s="185"/>
      <c r="B546" s="1003" t="str">
        <f>IF(OR($P$175=0,$P$175="NS",$P$175="NA"),"",IF(OR(AL544&gt;=1,AL543&gt;=1,AN543&gt;=1,AP543&gt;=1),"Favor de revisar la suma y consistencia de totales y/o subtotales por filas (numéricos y NS)",IF(DA411&gt;0,"Favor de revisar la suma y consistencia de totales y/o subtotales de las desagregaciones de los tipos específicos","")))</f>
        <v/>
      </c>
      <c r="C546" s="1003"/>
      <c r="D546" s="1003"/>
      <c r="E546" s="1003"/>
      <c r="F546" s="1003"/>
      <c r="G546" s="1003"/>
      <c r="H546" s="1003"/>
      <c r="I546" s="1003"/>
      <c r="J546" s="1003"/>
      <c r="K546" s="1003"/>
      <c r="L546" s="1003"/>
      <c r="M546" s="1003"/>
      <c r="N546" s="1003"/>
      <c r="O546" s="1003"/>
      <c r="P546" s="1003"/>
      <c r="Q546" s="1003"/>
      <c r="R546" s="1003"/>
      <c r="S546" s="1003"/>
      <c r="T546" s="1003"/>
      <c r="U546" s="1003"/>
      <c r="V546" s="1003"/>
      <c r="W546" s="1003"/>
      <c r="X546" s="1003"/>
      <c r="Y546" s="1003"/>
      <c r="Z546" s="1003"/>
      <c r="AA546" s="1003"/>
      <c r="AB546" s="1003"/>
      <c r="AC546" s="1003"/>
      <c r="AD546" s="1003"/>
      <c r="AE546" s="1003"/>
      <c r="AF546"/>
      <c r="AG546"/>
      <c r="AH546"/>
      <c r="AI546"/>
      <c r="AJ546"/>
    </row>
    <row r="547" spans="1:105" ht="15" customHeight="1">
      <c r="A547" s="185"/>
      <c r="B547" s="1003" t="str">
        <f>IF(OR($P$175=0,$P$175="NS",$P$175="NA"),"",IF(AND(P175=P368,Q175=Q368,R175=R368,S175=S368,T368=T175,U368=U175,V175=V368,W368=W175,X368=X175,Y175=Y368,Z368=Z175,AA368=AA175,AB175=AB368,AC368=AC175,AD368=AD175,G183=G539,H539=H183,I539=I183,J183=J539,K539=K183,L539=L183,M183=M539,N539=N183,O539=O183,P183=P539,Q539=Q183,R539=R183,S183=S539,T539=T183,U539=U183,V183=V539,W539=W183,X539=X183,Y183=Y539,Z539=Z183,AA539=AA183,AB183=AB539,AC539=AC183,AD539=AD183),IF(AF368&gt;0,"Debido a que reportó NA para cierto delito, también anote NA en sus respectivos tipos específicos",""),"Las cantidades de Hombres y Mujeres debe corresponder con los datos reportados en la preg. Anterior del numeral 1"))</f>
        <v/>
      </c>
      <c r="C547" s="1003"/>
      <c r="D547" s="1003"/>
      <c r="E547" s="1003"/>
      <c r="F547" s="1003"/>
      <c r="G547" s="1003"/>
      <c r="H547" s="1003"/>
      <c r="I547" s="1003"/>
      <c r="J547" s="1003"/>
      <c r="K547" s="1003"/>
      <c r="L547" s="1003"/>
      <c r="M547" s="1003"/>
      <c r="N547" s="1003"/>
      <c r="O547" s="1003"/>
      <c r="P547" s="1003"/>
      <c r="Q547" s="1003"/>
      <c r="R547" s="1003"/>
      <c r="S547" s="1003"/>
      <c r="T547" s="1003"/>
      <c r="U547" s="1003"/>
      <c r="V547" s="1003"/>
      <c r="W547" s="1003"/>
      <c r="X547" s="1003"/>
      <c r="Y547" s="1003"/>
      <c r="Z547" s="1003"/>
      <c r="AA547" s="1003"/>
      <c r="AB547" s="1003"/>
      <c r="AC547" s="1003"/>
      <c r="AD547" s="1003"/>
      <c r="AE547" s="1003"/>
    </row>
    <row r="548" spans="1:105" ht="15" customHeight="1">
      <c r="A548" s="185"/>
      <c r="B548" s="1087" t="str">
        <f>IF(AJ368&gt;0,"Alerta: si el total en Otros delitos es mayor al 25% por bien jurídico, anote el n. de los delitos en la casilla al final de la pregunta","")</f>
        <v/>
      </c>
      <c r="C548" s="1087"/>
      <c r="D548" s="1087"/>
      <c r="E548" s="1087"/>
      <c r="F548" s="1087"/>
      <c r="G548" s="1087"/>
      <c r="H548" s="1087"/>
      <c r="I548" s="1087"/>
      <c r="J548" s="1087"/>
      <c r="K548" s="1087"/>
      <c r="L548" s="1087"/>
      <c r="M548" s="1087"/>
      <c r="N548" s="1087"/>
      <c r="O548" s="1087"/>
      <c r="P548" s="1087"/>
      <c r="Q548" s="1087"/>
      <c r="R548" s="1087"/>
      <c r="S548" s="1087"/>
      <c r="T548" s="1087"/>
      <c r="U548" s="1087"/>
      <c r="V548" s="1087"/>
      <c r="W548" s="1087"/>
      <c r="X548" s="1087"/>
      <c r="Y548" s="1087"/>
      <c r="Z548" s="1087"/>
      <c r="AA548" s="1087"/>
      <c r="AB548" s="1087"/>
      <c r="AC548" s="1087"/>
      <c r="AD548" s="1087"/>
      <c r="AE548" s="1087"/>
    </row>
    <row r="549" spans="1:105" ht="24" customHeight="1">
      <c r="A549" s="49" t="s">
        <v>5583</v>
      </c>
      <c r="B549" s="829" t="s">
        <v>5584</v>
      </c>
      <c r="C549" s="829"/>
      <c r="D549" s="829"/>
      <c r="E549" s="829"/>
      <c r="F549" s="829"/>
      <c r="G549" s="829"/>
      <c r="H549" s="829"/>
      <c r="I549" s="829"/>
      <c r="J549" s="829"/>
      <c r="K549" s="829"/>
      <c r="L549" s="829"/>
      <c r="M549" s="829"/>
      <c r="N549" s="829"/>
      <c r="O549" s="829"/>
      <c r="P549" s="829"/>
      <c r="Q549" s="829"/>
      <c r="R549" s="829"/>
      <c r="S549" s="829"/>
      <c r="T549" s="829"/>
      <c r="U549" s="829"/>
      <c r="V549" s="829"/>
      <c r="W549" s="829"/>
      <c r="X549" s="829"/>
      <c r="Y549" s="829"/>
      <c r="Z549" s="829"/>
      <c r="AA549" s="829"/>
      <c r="AB549" s="829"/>
      <c r="AC549" s="829"/>
      <c r="AD549" s="829"/>
    </row>
    <row r="550" spans="1:105" ht="24" customHeight="1">
      <c r="A550" s="49"/>
      <c r="B550" s="105"/>
      <c r="C550" s="754" t="s">
        <v>5585</v>
      </c>
      <c r="D550" s="754"/>
      <c r="E550" s="754"/>
      <c r="F550" s="754"/>
      <c r="G550" s="754"/>
      <c r="H550" s="754"/>
      <c r="I550" s="754"/>
      <c r="J550" s="754"/>
      <c r="K550" s="754"/>
      <c r="L550" s="754"/>
      <c r="M550" s="754"/>
      <c r="N550" s="754"/>
      <c r="O550" s="754"/>
      <c r="P550" s="754"/>
      <c r="Q550" s="754"/>
      <c r="R550" s="754"/>
      <c r="S550" s="754"/>
      <c r="T550" s="754"/>
      <c r="U550" s="754"/>
      <c r="V550" s="754"/>
      <c r="W550" s="754"/>
      <c r="X550" s="754"/>
      <c r="Y550" s="754"/>
      <c r="Z550" s="754"/>
      <c r="AA550" s="754"/>
      <c r="AB550" s="754"/>
      <c r="AC550" s="754"/>
      <c r="AD550" s="754"/>
    </row>
    <row r="551" spans="1:105" ht="24" customHeight="1">
      <c r="A551" s="49"/>
      <c r="B551" s="38"/>
      <c r="C551" s="754" t="s">
        <v>5586</v>
      </c>
      <c r="D551" s="754"/>
      <c r="E551" s="754"/>
      <c r="F551" s="754"/>
      <c r="G551" s="754"/>
      <c r="H551" s="754"/>
      <c r="I551" s="754"/>
      <c r="J551" s="754"/>
      <c r="K551" s="754"/>
      <c r="L551" s="754"/>
      <c r="M551" s="754"/>
      <c r="N551" s="754"/>
      <c r="O551" s="754"/>
      <c r="P551" s="754"/>
      <c r="Q551" s="754"/>
      <c r="R551" s="754"/>
      <c r="S551" s="754"/>
      <c r="T551" s="754"/>
      <c r="U551" s="754"/>
      <c r="V551" s="754"/>
      <c r="W551" s="754"/>
      <c r="X551" s="754"/>
      <c r="Y551" s="754"/>
      <c r="Z551" s="754"/>
      <c r="AA551" s="754"/>
      <c r="AB551" s="754"/>
      <c r="AC551" s="754"/>
      <c r="AD551" s="754"/>
    </row>
    <row r="552" spans="1:105" ht="15" customHeight="1">
      <c r="A552" s="185"/>
      <c r="B552" s="90"/>
      <c r="C552" s="90"/>
      <c r="D552" s="90"/>
      <c r="E552" s="90"/>
      <c r="F552" s="90"/>
      <c r="G552" s="90"/>
      <c r="H552" s="90"/>
      <c r="I552" s="90"/>
      <c r="J552" s="90"/>
      <c r="K552" s="90"/>
      <c r="L552" s="90"/>
      <c r="M552" s="90"/>
      <c r="N552" s="90"/>
      <c r="O552" s="90"/>
      <c r="P552" s="90"/>
      <c r="Q552" s="90"/>
      <c r="R552" s="90"/>
      <c r="S552" s="90"/>
      <c r="T552" s="90"/>
      <c r="U552" s="90"/>
      <c r="V552" s="90"/>
      <c r="W552" s="90"/>
      <c r="X552" s="90"/>
      <c r="Y552" s="90"/>
      <c r="Z552" s="90"/>
      <c r="AA552" s="90"/>
      <c r="AB552" s="90"/>
      <c r="AC552" s="90"/>
      <c r="AD552" s="90"/>
    </row>
    <row r="553" spans="1:105" ht="15" customHeight="1">
      <c r="A553" s="108"/>
      <c r="B553" s="38"/>
      <c r="C553" s="75"/>
      <c r="D553" s="75"/>
      <c r="E553" s="75"/>
      <c r="F553" s="75"/>
      <c r="G553" s="75"/>
      <c r="H553" s="75"/>
      <c r="I553" s="75"/>
      <c r="J553" s="75"/>
      <c r="K553" s="75"/>
      <c r="L553" s="75"/>
      <c r="M553" s="75"/>
      <c r="N553" s="75"/>
      <c r="O553" s="75"/>
      <c r="P553" s="75"/>
      <c r="Q553" s="75"/>
      <c r="R553" s="75"/>
      <c r="S553" s="75"/>
      <c r="T553" s="75"/>
      <c r="U553" s="75"/>
      <c r="V553" s="75"/>
      <c r="W553" s="75"/>
      <c r="X553" s="75"/>
      <c r="Y553" s="75"/>
      <c r="Z553" s="75"/>
      <c r="AA553" s="873" t="s">
        <v>2664</v>
      </c>
      <c r="AB553" s="873"/>
      <c r="AC553" s="873"/>
      <c r="AD553" s="873"/>
    </row>
    <row r="554" spans="1:105" ht="36" customHeight="1">
      <c r="A554" s="108"/>
      <c r="B554" s="38"/>
      <c r="C554" s="797" t="s">
        <v>4736</v>
      </c>
      <c r="D554" s="798"/>
      <c r="E554" s="799"/>
      <c r="F554" s="732" t="s">
        <v>4737</v>
      </c>
      <c r="G554" s="732"/>
      <c r="H554" s="797" t="s">
        <v>4738</v>
      </c>
      <c r="I554" s="798"/>
      <c r="J554" s="798"/>
      <c r="K554" s="798"/>
      <c r="L554" s="798"/>
      <c r="M554" s="798"/>
      <c r="N554" s="798"/>
      <c r="O554" s="799"/>
      <c r="P554" s="739" t="s">
        <v>5587</v>
      </c>
      <c r="Q554" s="740"/>
      <c r="R554" s="740"/>
      <c r="S554" s="740"/>
      <c r="T554" s="740"/>
      <c r="U554" s="740"/>
      <c r="V554" s="740"/>
      <c r="W554" s="740"/>
      <c r="X554" s="740"/>
      <c r="Y554" s="740"/>
      <c r="Z554" s="740"/>
      <c r="AA554" s="740"/>
      <c r="AB554" s="740"/>
      <c r="AC554" s="740"/>
      <c r="AD554" s="741"/>
    </row>
    <row r="555" spans="1:105" ht="120" customHeight="1">
      <c r="A555" s="108"/>
      <c r="B555" s="38"/>
      <c r="C555" s="800"/>
      <c r="D555" s="801"/>
      <c r="E555" s="802"/>
      <c r="F555" s="732"/>
      <c r="G555" s="732"/>
      <c r="H555" s="800"/>
      <c r="I555" s="801"/>
      <c r="J555" s="801"/>
      <c r="K555" s="801"/>
      <c r="L555" s="801"/>
      <c r="M555" s="801"/>
      <c r="N555" s="801"/>
      <c r="O555" s="802"/>
      <c r="P555" s="887" t="s">
        <v>2628</v>
      </c>
      <c r="Q555" s="889" t="s">
        <v>2629</v>
      </c>
      <c r="R555" s="889" t="s">
        <v>2630</v>
      </c>
      <c r="S555" s="858" t="s">
        <v>5551</v>
      </c>
      <c r="T555" s="859"/>
      <c r="U555" s="860"/>
      <c r="V555" s="857" t="s">
        <v>5552</v>
      </c>
      <c r="W555" s="857"/>
      <c r="X555" s="857"/>
      <c r="Y555" s="857" t="s">
        <v>5553</v>
      </c>
      <c r="Z555" s="857"/>
      <c r="AA555" s="857"/>
      <c r="AB555" s="857" t="s">
        <v>5554</v>
      </c>
      <c r="AC555" s="857"/>
      <c r="AD555" s="857"/>
    </row>
    <row r="556" spans="1:105" ht="48" customHeight="1">
      <c r="A556" s="108"/>
      <c r="B556" s="38"/>
      <c r="C556" s="803"/>
      <c r="D556" s="804"/>
      <c r="E556" s="805"/>
      <c r="F556" s="732"/>
      <c r="G556" s="732"/>
      <c r="H556" s="803"/>
      <c r="I556" s="804"/>
      <c r="J556" s="804"/>
      <c r="K556" s="804"/>
      <c r="L556" s="804"/>
      <c r="M556" s="804"/>
      <c r="N556" s="804"/>
      <c r="O556" s="805"/>
      <c r="P556" s="888"/>
      <c r="Q556" s="890"/>
      <c r="R556" s="890"/>
      <c r="S556" s="129" t="s">
        <v>2635</v>
      </c>
      <c r="T556" s="128" t="s">
        <v>2629</v>
      </c>
      <c r="U556" s="128" t="s">
        <v>2630</v>
      </c>
      <c r="V556" s="129" t="s">
        <v>2635</v>
      </c>
      <c r="W556" s="128" t="s">
        <v>2629</v>
      </c>
      <c r="X556" s="128" t="s">
        <v>2630</v>
      </c>
      <c r="Y556" s="129" t="s">
        <v>2635</v>
      </c>
      <c r="Z556" s="128" t="s">
        <v>2629</v>
      </c>
      <c r="AA556" s="128" t="s">
        <v>2630</v>
      </c>
      <c r="AB556" s="129" t="s">
        <v>2635</v>
      </c>
      <c r="AC556" s="128" t="s">
        <v>2629</v>
      </c>
      <c r="AD556" s="128" t="s">
        <v>2630</v>
      </c>
      <c r="AF556" s="576" t="s">
        <v>4740</v>
      </c>
      <c r="AG556" t="s">
        <v>2586</v>
      </c>
      <c r="AH556" t="s">
        <v>4599</v>
      </c>
      <c r="AI556" t="s">
        <v>4741</v>
      </c>
      <c r="AJ556" t="s">
        <v>4742</v>
      </c>
      <c r="AK556" t="s">
        <v>4573</v>
      </c>
      <c r="AL556" t="s">
        <v>2638</v>
      </c>
      <c r="AM556" t="s">
        <v>2639</v>
      </c>
      <c r="AN556" t="s">
        <v>4574</v>
      </c>
      <c r="AO556" t="s">
        <v>2641</v>
      </c>
      <c r="AP556" t="s">
        <v>2642</v>
      </c>
      <c r="AQ556" t="s">
        <v>4575</v>
      </c>
      <c r="AR556" t="s">
        <v>2644</v>
      </c>
      <c r="AS556" t="s">
        <v>2645</v>
      </c>
      <c r="AT556" t="s">
        <v>4576</v>
      </c>
      <c r="AU556" t="s">
        <v>2647</v>
      </c>
      <c r="AV556" t="s">
        <v>2648</v>
      </c>
      <c r="AW556" t="s">
        <v>5177</v>
      </c>
      <c r="AX556" t="s">
        <v>2757</v>
      </c>
      <c r="AY556" t="s">
        <v>2758</v>
      </c>
      <c r="CS556"/>
      <c r="CT556"/>
      <c r="CU556"/>
      <c r="CV556"/>
      <c r="CW556"/>
      <c r="CX556"/>
      <c r="CY556"/>
      <c r="CZ556"/>
      <c r="DA556"/>
    </row>
    <row r="557" spans="1:105" ht="15" customHeight="1">
      <c r="A557" s="108"/>
      <c r="B557" s="38"/>
      <c r="C557" s="1108" t="s">
        <v>4743</v>
      </c>
      <c r="D557" s="847" t="s">
        <v>5416</v>
      </c>
      <c r="E557" s="848"/>
      <c r="F557" s="1103" t="s">
        <v>4745</v>
      </c>
      <c r="G557" s="1103"/>
      <c r="H557" s="1104" t="s">
        <v>3875</v>
      </c>
      <c r="I557" s="1105"/>
      <c r="J557" s="1105"/>
      <c r="K557" s="1105"/>
      <c r="L557" s="1105"/>
      <c r="M557" s="1105"/>
      <c r="N557" s="1105"/>
      <c r="O557" s="1106"/>
      <c r="P557" s="100"/>
      <c r="Q557" s="100"/>
      <c r="R557" s="100"/>
      <c r="S557" s="100"/>
      <c r="T557" s="100"/>
      <c r="U557" s="100"/>
      <c r="V557" s="100"/>
      <c r="W557" s="100"/>
      <c r="X557" s="100"/>
      <c r="Y557" s="100"/>
      <c r="Z557" s="100"/>
      <c r="AA557" s="100"/>
      <c r="AB557" s="100"/>
      <c r="AC557" s="100"/>
      <c r="AD557" s="100"/>
      <c r="AF557"/>
      <c r="AG557">
        <f>IF(OR($P$176=0,$P$176="NS",$P$176="NA",P557="NA"),0,IF(SUM(COUNTBLANK(P557:AD557),COUNTBLANK(G728:AD728))=0,0,1))</f>
        <v>0</v>
      </c>
      <c r="AH557">
        <f>IF(P557="NA",IF(COUNTA(Q557:AD557,G728:AD728)=0,0,1),0)</f>
        <v>0</v>
      </c>
      <c r="AI557">
        <f>IF(OR($P$176=0,$P$176="NS",$P$176="NA"),IF(COUNTA(P557:AD721,G728:AD892)=0,0,1),0)</f>
        <v>0</v>
      </c>
      <c r="AK557">
        <f t="shared" ref="AK557:AK620" si="241">COUNTIF(Q557:R557,"NS")</f>
        <v>0</v>
      </c>
      <c r="AL557">
        <f t="shared" ref="AL557:AL620" si="242">SUM(Q557:R557)</f>
        <v>0</v>
      </c>
      <c r="AM557">
        <f t="shared" ref="AM557:AM620" si="243">IF(COUNTIF(P557:R557,"NA")=3,0,IF(COUNTA(P557:R557)=0,0,IF(OR(AND(P557=0,AK557&gt;0),AND(P557="ns",AL557&gt;0),AND(P557="ns",AK557=0,AL557=0)),1,IF(OR(AND(P557&gt;0,AK557=2),AND(P557="ns",AK557=2),AND(P557="ns",AL557=0,AK557&gt;0),P557=AL557),0,1))))</f>
        <v>0</v>
      </c>
      <c r="AN557">
        <f t="shared" ref="AN557:AN620" si="244">COUNTIF(T557:U557,"NS")</f>
        <v>0</v>
      </c>
      <c r="AO557">
        <f t="shared" ref="AO557:AO620" si="245">SUM(T557:U557)</f>
        <v>0</v>
      </c>
      <c r="AP557">
        <f t="shared" ref="AP557:AP620" si="246">IF(COUNTIF(S557:U557,"NA")=3,0,IF(COUNTA(S557:U557)=0,0,IF(OR(AND(S557=0,AN557&gt;0),AND(S557="ns",AO557&gt;0),AND(S557="ns",AN557=0,AO557=0)),1,IF(OR(AND(S557&gt;0,AN557=2),AND(S557="ns",AN557=2),AND(S557="ns",AO557=0,AN557&gt;0),S557=AO557),0,1))))</f>
        <v>0</v>
      </c>
      <c r="AQ557">
        <f t="shared" ref="AQ557:AQ620" si="247">COUNTIF(W557:X557,"NS")</f>
        <v>0</v>
      </c>
      <c r="AR557">
        <f t="shared" ref="AR557:AR620" si="248">SUM(W557:X557)</f>
        <v>0</v>
      </c>
      <c r="AS557">
        <f t="shared" ref="AS557:AS620" si="249">IF(COUNTIF(V557:X557,"NA")=3,0,IF(COUNTA(V557:X557)=0,0,IF(OR(AND(V557=0,AQ557&gt;0),AND(V557="ns",AR557&gt;0),AND(V557="ns",AQ557=0,AR557=0)),1,IF(OR(AND(V557&gt;0,AQ557=2),AND(V557="ns",AQ557=2),AND(V557="ns",AR557=0,AQ557&gt;0),V557=AR557),0,1))))</f>
        <v>0</v>
      </c>
      <c r="AT557">
        <f t="shared" ref="AT557:AT620" si="250">COUNTIF(Z557:AA557,"NS")</f>
        <v>0</v>
      </c>
      <c r="AU557">
        <f t="shared" ref="AU557:AU620" si="251">SUM(Z557:AA557)</f>
        <v>0</v>
      </c>
      <c r="AV557">
        <f t="shared" ref="AV557:AV620" si="252">IF(COUNTIF(Y557:AA557,"NA")=3,0,IF(COUNTA(Y557:AA557)=0,0,IF(OR(AND(Y557=0,AT557&gt;0),AND(Y557="ns",AU557&gt;0),AND(Y557="ns",AT557=0,AU557=0)),1,IF(OR(AND(Y557&gt;0,AT557=2),AND(Y557="ns",AT557=2),AND(Y557="ns",AU557=0,AT557&gt;0),Y557=AU557),0,1))))</f>
        <v>0</v>
      </c>
      <c r="AW557">
        <f t="shared" ref="AW557:AW620" si="253">COUNTIF(AC557:AD557,"NS")</f>
        <v>0</v>
      </c>
      <c r="AX557">
        <f t="shared" ref="AX557:AX620" si="254">SUM(AC557:AD557)</f>
        <v>0</v>
      </c>
      <c r="AY557">
        <f t="shared" ref="AY557:AY620" si="255">IF(COUNTIF(AB557:AD557,"NA")=3,0,IF(COUNTA(AB557:AD557)=0,0,IF(OR(AND(AB557=0,AW557&gt;0),AND(AB557="ns",AX557&gt;0),AND(AB557="ns",AW557=0,AX557=0)),1,IF(OR(AND(AB557&gt;0,AW557=2),AND(AB557="ns",AW557=2),AND(AB557="ns",AX557=0,AW557&gt;0),AB557=AX557),0,1))))</f>
        <v>0</v>
      </c>
      <c r="CS557"/>
      <c r="CT557"/>
      <c r="CU557"/>
      <c r="CV557"/>
      <c r="CW557"/>
      <c r="CX557"/>
      <c r="CY557"/>
      <c r="CZ557"/>
      <c r="DA557"/>
    </row>
    <row r="558" spans="1:105" ht="15" customHeight="1">
      <c r="A558" s="108"/>
      <c r="B558" s="38"/>
      <c r="C558" s="1109"/>
      <c r="D558" s="954"/>
      <c r="E558" s="956"/>
      <c r="F558" s="1103" t="s">
        <v>4746</v>
      </c>
      <c r="G558" s="1103"/>
      <c r="H558" s="1104" t="s">
        <v>4747</v>
      </c>
      <c r="I558" s="1105"/>
      <c r="J558" s="1105"/>
      <c r="K558" s="1105"/>
      <c r="L558" s="1105"/>
      <c r="M558" s="1105"/>
      <c r="N558" s="1105"/>
      <c r="O558" s="1106"/>
      <c r="P558" s="100"/>
      <c r="Q558" s="100"/>
      <c r="R558" s="100"/>
      <c r="S558" s="100"/>
      <c r="T558" s="100"/>
      <c r="U558" s="100"/>
      <c r="V558" s="100"/>
      <c r="W558" s="100"/>
      <c r="X558" s="100"/>
      <c r="Y558" s="100"/>
      <c r="Z558" s="100"/>
      <c r="AA558" s="100"/>
      <c r="AB558" s="100"/>
      <c r="AC558" s="100"/>
      <c r="AD558" s="100"/>
      <c r="AF558"/>
      <c r="AG558">
        <f t="shared" ref="AG558:AG621" si="256">IF(OR($P$176=0,$P$176="NS",$P$176="NA",P558="NA"),0,IF(SUM(COUNTBLANK(P558:AD558),COUNTBLANK(G729:AD729))=0,0,1))</f>
        <v>0</v>
      </c>
      <c r="AH558">
        <f t="shared" ref="AH558:AH621" si="257">IF(P558="NA",IF(COUNTA(Q558:AD558,G729:AD729)=0,0,1),0)</f>
        <v>0</v>
      </c>
      <c r="AK558">
        <f t="shared" si="241"/>
        <v>0</v>
      </c>
      <c r="AL558">
        <f t="shared" si="242"/>
        <v>0</v>
      </c>
      <c r="AM558">
        <f t="shared" si="243"/>
        <v>0</v>
      </c>
      <c r="AN558">
        <f t="shared" si="244"/>
        <v>0</v>
      </c>
      <c r="AO558">
        <f t="shared" si="245"/>
        <v>0</v>
      </c>
      <c r="AP558">
        <f t="shared" si="246"/>
        <v>0</v>
      </c>
      <c r="AQ558">
        <f t="shared" si="247"/>
        <v>0</v>
      </c>
      <c r="AR558">
        <f t="shared" si="248"/>
        <v>0</v>
      </c>
      <c r="AS558">
        <f t="shared" si="249"/>
        <v>0</v>
      </c>
      <c r="AT558">
        <f t="shared" si="250"/>
        <v>0</v>
      </c>
      <c r="AU558">
        <f t="shared" si="251"/>
        <v>0</v>
      </c>
      <c r="AV558">
        <f t="shared" si="252"/>
        <v>0</v>
      </c>
      <c r="AW558">
        <f t="shared" si="253"/>
        <v>0</v>
      </c>
      <c r="AX558">
        <f t="shared" si="254"/>
        <v>0</v>
      </c>
      <c r="AY558">
        <f t="shared" si="255"/>
        <v>0</v>
      </c>
      <c r="CS558"/>
      <c r="CT558"/>
      <c r="CU558"/>
      <c r="CV558"/>
      <c r="CW558"/>
      <c r="CX558"/>
      <c r="CY558"/>
      <c r="CZ558"/>
      <c r="DA558"/>
    </row>
    <row r="559" spans="1:105" ht="15" customHeight="1">
      <c r="A559" s="108"/>
      <c r="B559" s="38"/>
      <c r="C559" s="1109"/>
      <c r="D559" s="954"/>
      <c r="E559" s="956"/>
      <c r="F559" s="1103" t="s">
        <v>4748</v>
      </c>
      <c r="G559" s="1103"/>
      <c r="H559" s="1104" t="s">
        <v>4749</v>
      </c>
      <c r="I559" s="1105"/>
      <c r="J559" s="1105"/>
      <c r="K559" s="1105"/>
      <c r="L559" s="1105"/>
      <c r="M559" s="1105"/>
      <c r="N559" s="1105"/>
      <c r="O559" s="1106"/>
      <c r="P559" s="100"/>
      <c r="Q559" s="100"/>
      <c r="R559" s="100"/>
      <c r="S559" s="100"/>
      <c r="T559" s="100"/>
      <c r="U559" s="100"/>
      <c r="V559" s="100"/>
      <c r="W559" s="100"/>
      <c r="X559" s="100"/>
      <c r="Y559" s="100"/>
      <c r="Z559" s="100"/>
      <c r="AA559" s="100"/>
      <c r="AB559" s="100"/>
      <c r="AC559" s="100"/>
      <c r="AD559" s="100"/>
      <c r="AF559"/>
      <c r="AG559">
        <f t="shared" si="256"/>
        <v>0</v>
      </c>
      <c r="AH559">
        <f t="shared" si="257"/>
        <v>0</v>
      </c>
      <c r="AK559">
        <f t="shared" si="241"/>
        <v>0</v>
      </c>
      <c r="AL559">
        <f t="shared" si="242"/>
        <v>0</v>
      </c>
      <c r="AM559">
        <f t="shared" si="243"/>
        <v>0</v>
      </c>
      <c r="AN559">
        <f t="shared" si="244"/>
        <v>0</v>
      </c>
      <c r="AO559">
        <f t="shared" si="245"/>
        <v>0</v>
      </c>
      <c r="AP559">
        <f t="shared" si="246"/>
        <v>0</v>
      </c>
      <c r="AQ559">
        <f t="shared" si="247"/>
        <v>0</v>
      </c>
      <c r="AR559">
        <f t="shared" si="248"/>
        <v>0</v>
      </c>
      <c r="AS559">
        <f t="shared" si="249"/>
        <v>0</v>
      </c>
      <c r="AT559">
        <f t="shared" si="250"/>
        <v>0</v>
      </c>
      <c r="AU559">
        <f t="shared" si="251"/>
        <v>0</v>
      </c>
      <c r="AV559">
        <f t="shared" si="252"/>
        <v>0</v>
      </c>
      <c r="AW559">
        <f t="shared" si="253"/>
        <v>0</v>
      </c>
      <c r="AX559">
        <f t="shared" si="254"/>
        <v>0</v>
      </c>
      <c r="AY559">
        <f t="shared" si="255"/>
        <v>0</v>
      </c>
      <c r="CS559"/>
      <c r="CT559"/>
      <c r="CU559"/>
      <c r="CV559"/>
      <c r="CW559"/>
      <c r="CX559"/>
      <c r="CY559"/>
      <c r="CZ559"/>
      <c r="DA559"/>
    </row>
    <row r="560" spans="1:105" ht="15" customHeight="1">
      <c r="A560" s="108"/>
      <c r="B560" s="38"/>
      <c r="C560" s="1109"/>
      <c r="D560" s="954"/>
      <c r="E560" s="956"/>
      <c r="F560" s="1103" t="s">
        <v>4750</v>
      </c>
      <c r="G560" s="1103"/>
      <c r="H560" s="1104" t="s">
        <v>4751</v>
      </c>
      <c r="I560" s="1105"/>
      <c r="J560" s="1105"/>
      <c r="K560" s="1105"/>
      <c r="L560" s="1105"/>
      <c r="M560" s="1105"/>
      <c r="N560" s="1105"/>
      <c r="O560" s="1106"/>
      <c r="P560" s="100"/>
      <c r="Q560" s="100"/>
      <c r="R560" s="100"/>
      <c r="S560" s="100"/>
      <c r="T560" s="100"/>
      <c r="U560" s="100"/>
      <c r="V560" s="100"/>
      <c r="W560" s="100"/>
      <c r="X560" s="100"/>
      <c r="Y560" s="100"/>
      <c r="Z560" s="100"/>
      <c r="AA560" s="100"/>
      <c r="AB560" s="100"/>
      <c r="AC560" s="100"/>
      <c r="AD560" s="100"/>
      <c r="AF560"/>
      <c r="AG560">
        <f t="shared" si="256"/>
        <v>0</v>
      </c>
      <c r="AH560">
        <f t="shared" si="257"/>
        <v>0</v>
      </c>
      <c r="AK560">
        <f t="shared" si="241"/>
        <v>0</v>
      </c>
      <c r="AL560">
        <f t="shared" si="242"/>
        <v>0</v>
      </c>
      <c r="AM560">
        <f t="shared" si="243"/>
        <v>0</v>
      </c>
      <c r="AN560">
        <f t="shared" si="244"/>
        <v>0</v>
      </c>
      <c r="AO560">
        <f t="shared" si="245"/>
        <v>0</v>
      </c>
      <c r="AP560">
        <f t="shared" si="246"/>
        <v>0</v>
      </c>
      <c r="AQ560">
        <f t="shared" si="247"/>
        <v>0</v>
      </c>
      <c r="AR560">
        <f t="shared" si="248"/>
        <v>0</v>
      </c>
      <c r="AS560">
        <f t="shared" si="249"/>
        <v>0</v>
      </c>
      <c r="AT560">
        <f t="shared" si="250"/>
        <v>0</v>
      </c>
      <c r="AU560">
        <f t="shared" si="251"/>
        <v>0</v>
      </c>
      <c r="AV560">
        <f t="shared" si="252"/>
        <v>0</v>
      </c>
      <c r="AW560">
        <f t="shared" si="253"/>
        <v>0</v>
      </c>
      <c r="AX560">
        <f t="shared" si="254"/>
        <v>0</v>
      </c>
      <c r="AY560">
        <f t="shared" si="255"/>
        <v>0</v>
      </c>
      <c r="CS560"/>
      <c r="CT560"/>
      <c r="CU560"/>
      <c r="CV560"/>
      <c r="CW560"/>
      <c r="CX560"/>
      <c r="CY560"/>
      <c r="CZ560"/>
      <c r="DA560"/>
    </row>
    <row r="561" spans="1:105" ht="24" customHeight="1">
      <c r="A561" s="108"/>
      <c r="B561" s="38"/>
      <c r="C561" s="1109"/>
      <c r="D561" s="954"/>
      <c r="E561" s="956"/>
      <c r="F561" s="1117" t="s">
        <v>4752</v>
      </c>
      <c r="G561" s="1118"/>
      <c r="H561" s="1104" t="s">
        <v>4753</v>
      </c>
      <c r="I561" s="1105"/>
      <c r="J561" s="1105"/>
      <c r="K561" s="1105"/>
      <c r="L561" s="1105"/>
      <c r="M561" s="1105"/>
      <c r="N561" s="1105"/>
      <c r="O561" s="1106"/>
      <c r="P561" s="100"/>
      <c r="Q561" s="100"/>
      <c r="R561" s="100"/>
      <c r="S561" s="100"/>
      <c r="T561" s="100"/>
      <c r="U561" s="100"/>
      <c r="V561" s="100"/>
      <c r="W561" s="100"/>
      <c r="X561" s="100"/>
      <c r="Y561" s="100"/>
      <c r="Z561" s="100"/>
      <c r="AA561" s="100"/>
      <c r="AB561" s="100"/>
      <c r="AC561" s="100"/>
      <c r="AD561" s="100"/>
      <c r="AF561"/>
      <c r="AG561">
        <f t="shared" si="256"/>
        <v>0</v>
      </c>
      <c r="AH561">
        <f t="shared" si="257"/>
        <v>0</v>
      </c>
      <c r="AJ561">
        <f>IF(OR(P561="NS",P561="NA",$P$176=0,$P$176="NS",$P$176="NA"),0,IF((P561*(IFERROR(100/SUM(P557:P561),0)))&gt;25,1,0))</f>
        <v>0</v>
      </c>
      <c r="AK561">
        <f t="shared" si="241"/>
        <v>0</v>
      </c>
      <c r="AL561">
        <f t="shared" si="242"/>
        <v>0</v>
      </c>
      <c r="AM561">
        <f t="shared" si="243"/>
        <v>0</v>
      </c>
      <c r="AN561">
        <f t="shared" si="244"/>
        <v>0</v>
      </c>
      <c r="AO561">
        <f t="shared" si="245"/>
        <v>0</v>
      </c>
      <c r="AP561">
        <f t="shared" si="246"/>
        <v>0</v>
      </c>
      <c r="AQ561">
        <f t="shared" si="247"/>
        <v>0</v>
      </c>
      <c r="AR561">
        <f t="shared" si="248"/>
        <v>0</v>
      </c>
      <c r="AS561">
        <f t="shared" si="249"/>
        <v>0</v>
      </c>
      <c r="AT561">
        <f t="shared" si="250"/>
        <v>0</v>
      </c>
      <c r="AU561">
        <f t="shared" si="251"/>
        <v>0</v>
      </c>
      <c r="AV561">
        <f t="shared" si="252"/>
        <v>0</v>
      </c>
      <c r="AW561">
        <f t="shared" si="253"/>
        <v>0</v>
      </c>
      <c r="AX561">
        <f t="shared" si="254"/>
        <v>0</v>
      </c>
      <c r="AY561">
        <f t="shared" si="255"/>
        <v>0</v>
      </c>
      <c r="CS561"/>
      <c r="CT561"/>
      <c r="CU561"/>
      <c r="CV561"/>
      <c r="CW561"/>
      <c r="CX561"/>
      <c r="CY561"/>
      <c r="CZ561"/>
      <c r="DA561"/>
    </row>
    <row r="562" spans="1:105" ht="15" customHeight="1">
      <c r="A562" s="108"/>
      <c r="B562" s="38"/>
      <c r="C562" s="1108" t="s">
        <v>4754</v>
      </c>
      <c r="D562" s="847" t="s">
        <v>4755</v>
      </c>
      <c r="E562" s="848"/>
      <c r="F562" s="1103" t="s">
        <v>4756</v>
      </c>
      <c r="G562" s="1103"/>
      <c r="H562" s="1104" t="s">
        <v>4757</v>
      </c>
      <c r="I562" s="1105"/>
      <c r="J562" s="1105"/>
      <c r="K562" s="1105"/>
      <c r="L562" s="1105"/>
      <c r="M562" s="1105"/>
      <c r="N562" s="1105"/>
      <c r="O562" s="1106"/>
      <c r="P562" s="100"/>
      <c r="Q562" s="100"/>
      <c r="R562" s="100"/>
      <c r="S562" s="100"/>
      <c r="T562" s="100"/>
      <c r="U562" s="100"/>
      <c r="V562" s="100"/>
      <c r="W562" s="100"/>
      <c r="X562" s="100"/>
      <c r="Y562" s="100"/>
      <c r="Z562" s="100"/>
      <c r="AA562" s="100"/>
      <c r="AB562" s="100"/>
      <c r="AC562" s="100"/>
      <c r="AD562" s="100"/>
      <c r="AF562"/>
      <c r="AG562">
        <f t="shared" si="256"/>
        <v>0</v>
      </c>
      <c r="AH562">
        <f t="shared" si="257"/>
        <v>0</v>
      </c>
      <c r="AK562">
        <f t="shared" si="241"/>
        <v>0</v>
      </c>
      <c r="AL562">
        <f t="shared" si="242"/>
        <v>0</v>
      </c>
      <c r="AM562">
        <f t="shared" si="243"/>
        <v>0</v>
      </c>
      <c r="AN562">
        <f t="shared" si="244"/>
        <v>0</v>
      </c>
      <c r="AO562">
        <f t="shared" si="245"/>
        <v>0</v>
      </c>
      <c r="AP562">
        <f t="shared" si="246"/>
        <v>0</v>
      </c>
      <c r="AQ562">
        <f t="shared" si="247"/>
        <v>0</v>
      </c>
      <c r="AR562">
        <f t="shared" si="248"/>
        <v>0</v>
      </c>
      <c r="AS562">
        <f t="shared" si="249"/>
        <v>0</v>
      </c>
      <c r="AT562">
        <f t="shared" si="250"/>
        <v>0</v>
      </c>
      <c r="AU562">
        <f t="shared" si="251"/>
        <v>0</v>
      </c>
      <c r="AV562">
        <f t="shared" si="252"/>
        <v>0</v>
      </c>
      <c r="AW562">
        <f t="shared" si="253"/>
        <v>0</v>
      </c>
      <c r="AX562">
        <f t="shared" si="254"/>
        <v>0</v>
      </c>
      <c r="AY562">
        <f t="shared" si="255"/>
        <v>0</v>
      </c>
      <c r="CS562"/>
      <c r="CT562"/>
      <c r="CU562"/>
      <c r="CV562"/>
      <c r="CW562"/>
      <c r="CX562"/>
      <c r="CY562"/>
      <c r="CZ562"/>
      <c r="DA562"/>
    </row>
    <row r="563" spans="1:105" ht="15" customHeight="1">
      <c r="A563" s="108"/>
      <c r="B563" s="38"/>
      <c r="C563" s="1109"/>
      <c r="D563" s="954"/>
      <c r="E563" s="956"/>
      <c r="F563" s="1103" t="s">
        <v>4758</v>
      </c>
      <c r="G563" s="1103"/>
      <c r="H563" s="1104" t="s">
        <v>4759</v>
      </c>
      <c r="I563" s="1105"/>
      <c r="J563" s="1105"/>
      <c r="K563" s="1105"/>
      <c r="L563" s="1105"/>
      <c r="M563" s="1105"/>
      <c r="N563" s="1105"/>
      <c r="O563" s="1106"/>
      <c r="P563" s="100"/>
      <c r="Q563" s="100"/>
      <c r="R563" s="100"/>
      <c r="S563" s="100"/>
      <c r="T563" s="100"/>
      <c r="U563" s="100"/>
      <c r="V563" s="100"/>
      <c r="W563" s="100"/>
      <c r="X563" s="100"/>
      <c r="Y563" s="100"/>
      <c r="Z563" s="100"/>
      <c r="AA563" s="100"/>
      <c r="AB563" s="100"/>
      <c r="AC563" s="100"/>
      <c r="AD563" s="100"/>
      <c r="AF563"/>
      <c r="AG563">
        <f t="shared" si="256"/>
        <v>0</v>
      </c>
      <c r="AH563">
        <f t="shared" si="257"/>
        <v>0</v>
      </c>
      <c r="AK563">
        <f t="shared" si="241"/>
        <v>0</v>
      </c>
      <c r="AL563">
        <f t="shared" si="242"/>
        <v>0</v>
      </c>
      <c r="AM563">
        <f t="shared" si="243"/>
        <v>0</v>
      </c>
      <c r="AN563">
        <f t="shared" si="244"/>
        <v>0</v>
      </c>
      <c r="AO563">
        <f t="shared" si="245"/>
        <v>0</v>
      </c>
      <c r="AP563">
        <f t="shared" si="246"/>
        <v>0</v>
      </c>
      <c r="AQ563">
        <f t="shared" si="247"/>
        <v>0</v>
      </c>
      <c r="AR563">
        <f t="shared" si="248"/>
        <v>0</v>
      </c>
      <c r="AS563">
        <f t="shared" si="249"/>
        <v>0</v>
      </c>
      <c r="AT563">
        <f t="shared" si="250"/>
        <v>0</v>
      </c>
      <c r="AU563">
        <f t="shared" si="251"/>
        <v>0</v>
      </c>
      <c r="AV563">
        <f t="shared" si="252"/>
        <v>0</v>
      </c>
      <c r="AW563">
        <f t="shared" si="253"/>
        <v>0</v>
      </c>
      <c r="AX563">
        <f t="shared" si="254"/>
        <v>0</v>
      </c>
      <c r="AY563">
        <f t="shared" si="255"/>
        <v>0</v>
      </c>
      <c r="CS563"/>
      <c r="CT563"/>
      <c r="CU563"/>
      <c r="CV563"/>
      <c r="CW563"/>
      <c r="CX563"/>
      <c r="CY563"/>
      <c r="CZ563"/>
      <c r="DA563"/>
    </row>
    <row r="564" spans="1:105" ht="24" customHeight="1">
      <c r="A564" s="108"/>
      <c r="B564" s="38"/>
      <c r="C564" s="1109"/>
      <c r="D564" s="954"/>
      <c r="E564" s="956"/>
      <c r="F564" s="1103" t="s">
        <v>4760</v>
      </c>
      <c r="G564" s="1103"/>
      <c r="H564" s="1104" t="s">
        <v>4761</v>
      </c>
      <c r="I564" s="1105"/>
      <c r="J564" s="1105"/>
      <c r="K564" s="1105"/>
      <c r="L564" s="1105"/>
      <c r="M564" s="1105"/>
      <c r="N564" s="1105"/>
      <c r="O564" s="1106"/>
      <c r="P564" s="100"/>
      <c r="Q564" s="100"/>
      <c r="R564" s="100"/>
      <c r="S564" s="100"/>
      <c r="T564" s="100"/>
      <c r="U564" s="100"/>
      <c r="V564" s="100"/>
      <c r="W564" s="100"/>
      <c r="X564" s="100"/>
      <c r="Y564" s="100"/>
      <c r="Z564" s="100"/>
      <c r="AA564" s="100"/>
      <c r="AB564" s="100"/>
      <c r="AC564" s="100"/>
      <c r="AD564" s="100"/>
      <c r="AF564"/>
      <c r="AG564">
        <f t="shared" si="256"/>
        <v>0</v>
      </c>
      <c r="AH564">
        <f t="shared" si="257"/>
        <v>0</v>
      </c>
      <c r="AK564">
        <f t="shared" si="241"/>
        <v>0</v>
      </c>
      <c r="AL564">
        <f t="shared" si="242"/>
        <v>0</v>
      </c>
      <c r="AM564">
        <f t="shared" si="243"/>
        <v>0</v>
      </c>
      <c r="AN564">
        <f t="shared" si="244"/>
        <v>0</v>
      </c>
      <c r="AO564">
        <f t="shared" si="245"/>
        <v>0</v>
      </c>
      <c r="AP564">
        <f t="shared" si="246"/>
        <v>0</v>
      </c>
      <c r="AQ564">
        <f t="shared" si="247"/>
        <v>0</v>
      </c>
      <c r="AR564">
        <f t="shared" si="248"/>
        <v>0</v>
      </c>
      <c r="AS564">
        <f t="shared" si="249"/>
        <v>0</v>
      </c>
      <c r="AT564">
        <f t="shared" si="250"/>
        <v>0</v>
      </c>
      <c r="AU564">
        <f t="shared" si="251"/>
        <v>0</v>
      </c>
      <c r="AV564">
        <f t="shared" si="252"/>
        <v>0</v>
      </c>
      <c r="AW564">
        <f t="shared" si="253"/>
        <v>0</v>
      </c>
      <c r="AX564">
        <f t="shared" si="254"/>
        <v>0</v>
      </c>
      <c r="AY564">
        <f t="shared" si="255"/>
        <v>0</v>
      </c>
      <c r="CS564"/>
      <c r="CT564"/>
      <c r="CU564"/>
      <c r="CV564"/>
      <c r="CW564"/>
      <c r="CX564"/>
      <c r="CY564"/>
      <c r="CZ564"/>
      <c r="DA564"/>
    </row>
    <row r="565" spans="1:105" ht="15" customHeight="1">
      <c r="A565" s="108"/>
      <c r="B565" s="38"/>
      <c r="C565" s="1109"/>
      <c r="D565" s="954"/>
      <c r="E565" s="956"/>
      <c r="F565" s="1103" t="s">
        <v>4762</v>
      </c>
      <c r="G565" s="1103"/>
      <c r="H565" s="1104" t="s">
        <v>4763</v>
      </c>
      <c r="I565" s="1105"/>
      <c r="J565" s="1105"/>
      <c r="K565" s="1105"/>
      <c r="L565" s="1105"/>
      <c r="M565" s="1105"/>
      <c r="N565" s="1105"/>
      <c r="O565" s="1106"/>
      <c r="P565" s="100"/>
      <c r="Q565" s="100"/>
      <c r="R565" s="100"/>
      <c r="S565" s="100"/>
      <c r="T565" s="100"/>
      <c r="U565" s="100"/>
      <c r="V565" s="100"/>
      <c r="W565" s="100"/>
      <c r="X565" s="100"/>
      <c r="Y565" s="100"/>
      <c r="Z565" s="100"/>
      <c r="AA565" s="100"/>
      <c r="AB565" s="100"/>
      <c r="AC565" s="100"/>
      <c r="AD565" s="100"/>
      <c r="AF565"/>
      <c r="AG565">
        <f t="shared" si="256"/>
        <v>0</v>
      </c>
      <c r="AH565">
        <f t="shared" si="257"/>
        <v>0</v>
      </c>
      <c r="AK565">
        <f t="shared" si="241"/>
        <v>0</v>
      </c>
      <c r="AL565">
        <f t="shared" si="242"/>
        <v>0</v>
      </c>
      <c r="AM565">
        <f t="shared" si="243"/>
        <v>0</v>
      </c>
      <c r="AN565">
        <f t="shared" si="244"/>
        <v>0</v>
      </c>
      <c r="AO565">
        <f t="shared" si="245"/>
        <v>0</v>
      </c>
      <c r="AP565">
        <f t="shared" si="246"/>
        <v>0</v>
      </c>
      <c r="AQ565">
        <f t="shared" si="247"/>
        <v>0</v>
      </c>
      <c r="AR565">
        <f t="shared" si="248"/>
        <v>0</v>
      </c>
      <c r="AS565">
        <f t="shared" si="249"/>
        <v>0</v>
      </c>
      <c r="AT565">
        <f t="shared" si="250"/>
        <v>0</v>
      </c>
      <c r="AU565">
        <f t="shared" si="251"/>
        <v>0</v>
      </c>
      <c r="AV565">
        <f t="shared" si="252"/>
        <v>0</v>
      </c>
      <c r="AW565">
        <f t="shared" si="253"/>
        <v>0</v>
      </c>
      <c r="AX565">
        <f t="shared" si="254"/>
        <v>0</v>
      </c>
      <c r="AY565">
        <f t="shared" si="255"/>
        <v>0</v>
      </c>
      <c r="CS565"/>
      <c r="CT565"/>
      <c r="CU565"/>
      <c r="CV565"/>
      <c r="CW565"/>
      <c r="CX565"/>
      <c r="CY565"/>
      <c r="CZ565"/>
      <c r="DA565"/>
    </row>
    <row r="566" spans="1:105" ht="15" customHeight="1">
      <c r="A566" s="108"/>
      <c r="B566" s="38"/>
      <c r="C566" s="1109"/>
      <c r="D566" s="954"/>
      <c r="E566" s="956"/>
      <c r="F566" s="1103" t="s">
        <v>4764</v>
      </c>
      <c r="G566" s="1103"/>
      <c r="H566" s="1104" t="s">
        <v>4765</v>
      </c>
      <c r="I566" s="1105"/>
      <c r="J566" s="1105"/>
      <c r="K566" s="1105"/>
      <c r="L566" s="1105"/>
      <c r="M566" s="1105"/>
      <c r="N566" s="1105"/>
      <c r="O566" s="1106"/>
      <c r="P566" s="100"/>
      <c r="Q566" s="100"/>
      <c r="R566" s="100"/>
      <c r="S566" s="100"/>
      <c r="T566" s="100"/>
      <c r="U566" s="100"/>
      <c r="V566" s="100"/>
      <c r="W566" s="100"/>
      <c r="X566" s="100"/>
      <c r="Y566" s="100"/>
      <c r="Z566" s="100"/>
      <c r="AA566" s="100"/>
      <c r="AB566" s="100"/>
      <c r="AC566" s="100"/>
      <c r="AD566" s="100"/>
      <c r="AF566"/>
      <c r="AG566">
        <f t="shared" si="256"/>
        <v>0</v>
      </c>
      <c r="AH566">
        <f t="shared" si="257"/>
        <v>0</v>
      </c>
      <c r="AK566">
        <f t="shared" si="241"/>
        <v>0</v>
      </c>
      <c r="AL566">
        <f t="shared" si="242"/>
        <v>0</v>
      </c>
      <c r="AM566">
        <f t="shared" si="243"/>
        <v>0</v>
      </c>
      <c r="AN566">
        <f t="shared" si="244"/>
        <v>0</v>
      </c>
      <c r="AO566">
        <f t="shared" si="245"/>
        <v>0</v>
      </c>
      <c r="AP566">
        <f t="shared" si="246"/>
        <v>0</v>
      </c>
      <c r="AQ566">
        <f t="shared" si="247"/>
        <v>0</v>
      </c>
      <c r="AR566">
        <f t="shared" si="248"/>
        <v>0</v>
      </c>
      <c r="AS566">
        <f t="shared" si="249"/>
        <v>0</v>
      </c>
      <c r="AT566">
        <f t="shared" si="250"/>
        <v>0</v>
      </c>
      <c r="AU566">
        <f t="shared" si="251"/>
        <v>0</v>
      </c>
      <c r="AV566">
        <f t="shared" si="252"/>
        <v>0</v>
      </c>
      <c r="AW566">
        <f t="shared" si="253"/>
        <v>0</v>
      </c>
      <c r="AX566">
        <f t="shared" si="254"/>
        <v>0</v>
      </c>
      <c r="AY566">
        <f t="shared" si="255"/>
        <v>0</v>
      </c>
      <c r="AZ566" t="s">
        <v>4766</v>
      </c>
      <c r="BA566" t="s">
        <v>4767</v>
      </c>
      <c r="BB566" t="s">
        <v>4768</v>
      </c>
      <c r="BC566" t="s">
        <v>4769</v>
      </c>
      <c r="BD566" t="s">
        <v>4770</v>
      </c>
      <c r="BE566" t="s">
        <v>4771</v>
      </c>
      <c r="BF566" t="s">
        <v>4772</v>
      </c>
      <c r="BG566" t="s">
        <v>4773</v>
      </c>
      <c r="BH566" t="s">
        <v>4774</v>
      </c>
      <c r="BI566" t="s">
        <v>4775</v>
      </c>
      <c r="BJ566" t="s">
        <v>4776</v>
      </c>
      <c r="BK566" t="s">
        <v>4777</v>
      </c>
      <c r="BL566" t="s">
        <v>4778</v>
      </c>
      <c r="BM566" t="s">
        <v>4779</v>
      </c>
      <c r="BN566" t="s">
        <v>4780</v>
      </c>
      <c r="BO566" t="s">
        <v>4781</v>
      </c>
      <c r="BP566" t="s">
        <v>4782</v>
      </c>
      <c r="BQ566" t="s">
        <v>4783</v>
      </c>
      <c r="BR566" t="s">
        <v>4784</v>
      </c>
      <c r="BS566" t="s">
        <v>4785</v>
      </c>
      <c r="BT566" t="s">
        <v>4786</v>
      </c>
      <c r="BU566" t="s">
        <v>4787</v>
      </c>
      <c r="BV566" t="s">
        <v>4788</v>
      </c>
      <c r="BW566" t="s">
        <v>4789</v>
      </c>
      <c r="BX566" t="s">
        <v>4790</v>
      </c>
      <c r="BY566" t="s">
        <v>4791</v>
      </c>
      <c r="BZ566" t="s">
        <v>4792</v>
      </c>
      <c r="CA566" t="s">
        <v>4793</v>
      </c>
      <c r="CB566" t="s">
        <v>4794</v>
      </c>
      <c r="CC566" t="s">
        <v>4795</v>
      </c>
      <c r="CD566" t="s">
        <v>4796</v>
      </c>
      <c r="CE566" t="s">
        <v>4797</v>
      </c>
      <c r="CF566" t="s">
        <v>4798</v>
      </c>
      <c r="CG566" t="s">
        <v>4799</v>
      </c>
      <c r="CH566" t="s">
        <v>4800</v>
      </c>
      <c r="CI566" t="s">
        <v>4801</v>
      </c>
      <c r="CJ566" t="s">
        <v>4802</v>
      </c>
      <c r="CK566" t="s">
        <v>4803</v>
      </c>
      <c r="CL566" t="s">
        <v>4804</v>
      </c>
      <c r="CM566" t="s">
        <v>4805</v>
      </c>
      <c r="CN566" t="s">
        <v>4806</v>
      </c>
      <c r="CO566" t="s">
        <v>4807</v>
      </c>
      <c r="CP566" t="s">
        <v>4808</v>
      </c>
      <c r="CQ566" t="s">
        <v>4809</v>
      </c>
      <c r="CR566" t="s">
        <v>4810</v>
      </c>
      <c r="CS566"/>
      <c r="CT566"/>
      <c r="CU566"/>
      <c r="CV566"/>
      <c r="CW566"/>
      <c r="CX566"/>
      <c r="CY566"/>
      <c r="CZ566"/>
      <c r="DA566"/>
    </row>
    <row r="567" spans="1:105" ht="15" customHeight="1">
      <c r="A567" s="108"/>
      <c r="B567" s="38"/>
      <c r="C567" s="1109"/>
      <c r="D567" s="954"/>
      <c r="E567" s="956"/>
      <c r="F567" s="1103" t="s">
        <v>4811</v>
      </c>
      <c r="G567" s="1103"/>
      <c r="H567" s="1104" t="s">
        <v>4812</v>
      </c>
      <c r="I567" s="1105"/>
      <c r="J567" s="1105"/>
      <c r="K567" s="1105"/>
      <c r="L567" s="1105"/>
      <c r="M567" s="1105"/>
      <c r="N567" s="1105"/>
      <c r="O567" s="1106"/>
      <c r="P567" s="100"/>
      <c r="Q567" s="100"/>
      <c r="R567" s="100"/>
      <c r="S567" s="100"/>
      <c r="T567" s="100"/>
      <c r="U567" s="100"/>
      <c r="V567" s="100"/>
      <c r="W567" s="100"/>
      <c r="X567" s="100"/>
      <c r="Y567" s="100"/>
      <c r="Z567" s="100"/>
      <c r="AA567" s="100"/>
      <c r="AB567" s="100"/>
      <c r="AC567" s="100"/>
      <c r="AD567" s="100"/>
      <c r="AF567">
        <f>IF(P567="NA",IF(AND(COUNTIF(P568:P573,"="&amp;$AF$212)=0,COUNTIF(P568:P573,"&lt;&gt;NA")&gt;0),1,0),IF(AND(COUNTIF(P568:P573,"="&amp;$AF$212)=0,COUNTIF(P568:P573,"NA")=COUNTIF(P568:P573,"&lt;&gt;"&amp;$AF$212)),1,0))</f>
        <v>0</v>
      </c>
      <c r="AG567">
        <f t="shared" si="256"/>
        <v>0</v>
      </c>
      <c r="AH567">
        <f t="shared" si="257"/>
        <v>0</v>
      </c>
      <c r="AK567">
        <f t="shared" si="241"/>
        <v>0</v>
      </c>
      <c r="AL567">
        <f t="shared" si="242"/>
        <v>0</v>
      </c>
      <c r="AM567">
        <f t="shared" si="243"/>
        <v>0</v>
      </c>
      <c r="AN567">
        <f t="shared" si="244"/>
        <v>0</v>
      </c>
      <c r="AO567">
        <f t="shared" si="245"/>
        <v>0</v>
      </c>
      <c r="AP567">
        <f t="shared" si="246"/>
        <v>0</v>
      </c>
      <c r="AQ567">
        <f t="shared" si="247"/>
        <v>0</v>
      </c>
      <c r="AR567">
        <f t="shared" si="248"/>
        <v>0</v>
      </c>
      <c r="AS567">
        <f t="shared" si="249"/>
        <v>0</v>
      </c>
      <c r="AT567">
        <f t="shared" si="250"/>
        <v>0</v>
      </c>
      <c r="AU567">
        <f t="shared" si="251"/>
        <v>0</v>
      </c>
      <c r="AV567">
        <f t="shared" si="252"/>
        <v>0</v>
      </c>
      <c r="AW567">
        <f t="shared" si="253"/>
        <v>0</v>
      </c>
      <c r="AX567">
        <f t="shared" si="254"/>
        <v>0</v>
      </c>
      <c r="AY567">
        <f t="shared" si="255"/>
        <v>0</v>
      </c>
      <c r="AZ567">
        <f>COUNTIF(P568:P573,"NS")</f>
        <v>0</v>
      </c>
      <c r="BA567">
        <f>SUM(P568:P573)</f>
        <v>0</v>
      </c>
      <c r="BB567">
        <f>IF(COUNTA(P567:P573)=0,0,IF(OR(AND(P567=0,AZ567&gt;0),AND(P567="ns",BA567&gt;0),AND(P567="ns",AZ567=0,BA567=0)),1,IF(OR(AND(AZ567&gt;=2,P567&gt;BA567),AND(P567="ns",BA567=0,AZ567&gt;0),P567=BA567),0,1)))</f>
        <v>0</v>
      </c>
      <c r="BC567">
        <f>COUNTIF(P579:P583,"NS")</f>
        <v>0</v>
      </c>
      <c r="BD567">
        <f>SUM(P579:P583)</f>
        <v>0</v>
      </c>
      <c r="BE567">
        <f>IF(COUNTA(P578:P583)=0,0,IF(OR(AND(P578=0,BC567&gt;0),AND(P578="ns",BD567&gt;0),AND(P578="ns",BC567=0,BD567=0)),1,IF(OR(AND(BC567&gt;=2,P578&gt;BD567),AND(P578="ns",BD567=0,BC567&gt;0),P578=BD567),0,1)))</f>
        <v>0</v>
      </c>
      <c r="BF567">
        <f>COUNTIF(P588:P605,"NS")</f>
        <v>0</v>
      </c>
      <c r="BG567">
        <f>SUM(P588:P605)</f>
        <v>0</v>
      </c>
      <c r="BH567">
        <f>IF(COUNTA(P587:P605)=0,0,IF(OR(AND(P587=0,BF567&gt;0),AND(P587="ns",BG567&gt;0),AND(P587="ns",BF567=0,BG567=0)),1,IF(OR(AND(BF567&gt;=2,P587&gt;BG567),AND(P587="ns",BG567=0,BF567&gt;0),P587=BG567),0,1)))</f>
        <v>0</v>
      </c>
      <c r="BI567">
        <f>COUNTIF(P607:P611,"NS")</f>
        <v>0</v>
      </c>
      <c r="BJ567">
        <f>SUM(P607:P611)</f>
        <v>0</v>
      </c>
      <c r="BK567">
        <f>IF(COUNTA(P606:P611)=0,0,IF(OR(AND(P606=0,BI567&gt;0),AND(P606="ns",BJ567&gt;0),AND(P606="ns",BI567=0,BJ567=0)),1,IF(OR(AND(BI567&gt;=2,P606&gt;BJ567),AND(P606="ns",BJ567=0,BI567&gt;0),P606=BJ567),0,1)))</f>
        <v>0</v>
      </c>
      <c r="BL567">
        <f>COUNTIF(P615:P617,"NS")</f>
        <v>0</v>
      </c>
      <c r="BM567">
        <f>SUM(P615:P617)</f>
        <v>0</v>
      </c>
      <c r="BN567">
        <f>IF(COUNTA(P614:P617)=0,0,IF(OR(AND(P614=0,BL567&gt;0),AND(P614="ns",BM567&gt;0),AND(P614="ns",BL567=0,BM567=0)),1,IF(OR(AND(BL567&gt;=2,P614&gt;BM567),AND(P614="ns",BM567=0,BL567&gt;0),P614=BM567),0,1)))</f>
        <v>0</v>
      </c>
      <c r="BO567">
        <f>COUNTIF(P625:P631,"NS")</f>
        <v>0</v>
      </c>
      <c r="BP567">
        <f>SUM(P625:P631)</f>
        <v>0</v>
      </c>
      <c r="BQ567">
        <f>IF(COUNTA(P624:P631)=0,0,IF(OR(AND(P624=0,BO567&gt;0),AND(P624="ns",BP567&gt;0),AND(P624="ns",BO567=0,BP567=0)),1,IF(OR(AND(BO567&gt;=2,P624&gt;BP567),AND(P624="ns",BP567=0,BO567&gt;0),P624=BP567),0,1)))</f>
        <v>0</v>
      </c>
      <c r="BR567">
        <f>COUNTIF(P633:P637,"NS")</f>
        <v>0</v>
      </c>
      <c r="BS567">
        <f>SUM(P633:P637)</f>
        <v>0</v>
      </c>
      <c r="BT567">
        <f>IF(COUNTA(P632:P637)=0,0,IF(OR(AND(P632=0,BR567&gt;0),AND(P632="ns",BS567&gt;0),AND(P632="ns",BR567=0,BS567=0)),1,IF(OR(AND(BR567&gt;=2,P632&gt;BS567),AND(P632="ns",BS567=0,BR567&gt;0),P632=BS567),0,1)))</f>
        <v>0</v>
      </c>
      <c r="BU567">
        <f>COUNTIF(P643:P648,"NS")</f>
        <v>0</v>
      </c>
      <c r="BV567">
        <f>SUM(P643:P648)</f>
        <v>0</v>
      </c>
      <c r="BW567">
        <f>IF(COUNTA(P642:P648)=0,0,IF(OR(AND(P642=0,BU567&gt;0),AND(P642="ns",BV567&gt;0),AND(P642="ns",BU567=0,BV567=0)),1,IF(OR(AND(BU567&gt;=2,P642&gt;BV567),AND(P642="ns",BV567=0,BU567&gt;0),P642=BV567),0,1)))</f>
        <v>0</v>
      </c>
      <c r="BX567">
        <f>COUNTIF(P650:P657,"NS")</f>
        <v>0</v>
      </c>
      <c r="BY567">
        <f>SUM(P650:P657)</f>
        <v>0</v>
      </c>
      <c r="BZ567">
        <f>IF(COUNTA(P649:P657)=0,0,IF(OR(AND(P649=0,BX567&gt;0),AND(P649="ns",BY567&gt;0),AND(P649="ns",BX567=0,BY567=0)),1,IF(OR(AND(BX567&gt;=2,P649&gt;BY567),AND(P649="ns",BY567=0,BX567&gt;0),P649=BY567),0,1)))</f>
        <v>0</v>
      </c>
      <c r="CA567">
        <f>COUNTIF(P662:P667,"NS")</f>
        <v>0</v>
      </c>
      <c r="CB567">
        <f>SUM(P662:P667)</f>
        <v>0</v>
      </c>
      <c r="CC567">
        <f>IF(COUNTA(P661:P667)=0,0,IF(OR(AND(P661=0,CA567&gt;0),AND(P661="ns",CB567&gt;0),AND(P661="ns",CA567=0,CB567=0)),1,IF(OR(AND(CA567&gt;=2,P661&gt;CB567),AND(P661="ns",CB567=0,CA567&gt;0),P661=CB567),0,1)))</f>
        <v>0</v>
      </c>
      <c r="CD567">
        <f>COUNTIF(P672:P680,"NS")</f>
        <v>0</v>
      </c>
      <c r="CE567">
        <f>SUM(P672:P680)</f>
        <v>0</v>
      </c>
      <c r="CF567">
        <f>IF(COUNTA(P671:P680)=0,0,IF(OR(AND(P671=0,CD567&gt;0),AND(P671="ns",CE567&gt;0),AND(P671="ns",CD567=0,CE567=0)),1,IF(OR(AND(CD567&gt;=2,P671&gt;CE567),AND(P671="ns",CE567=0,CD567&gt;0),P671=CE567),0,1)))</f>
        <v>0</v>
      </c>
      <c r="CG567">
        <f>COUNTIF(P682:P684,"NS")</f>
        <v>0</v>
      </c>
      <c r="CH567">
        <f>SUM(P682:P684)</f>
        <v>0</v>
      </c>
      <c r="CI567">
        <f>IF(COUNTA(P681:P684)=0,0,IF(OR(AND(P681=0,CG567&gt;0),AND(P681="ns",CH567&gt;0),AND(P681="ns",CG567=0,CH567=0)),1,IF(OR(AND(CG567&gt;=2,P681&gt;CH567),AND(P681="ns",CH567=0,CG567&gt;0),P681=CH567),0,1)))</f>
        <v>0</v>
      </c>
      <c r="CJ567">
        <f>COUNTIF(P693:P699,"NS")</f>
        <v>0</v>
      </c>
      <c r="CK567">
        <f>SUM(P693:P699)</f>
        <v>0</v>
      </c>
      <c r="CL567">
        <f>IF(COUNTA(P692:P699)=0,0,IF(OR(AND(P692=0,CJ567&gt;0),AND(P692="ns",CK567&gt;0),AND(P692="ns",CJ567=0,CK567=0)),1,IF(OR(AND(CJ567&gt;=2,P692&gt;CK567),AND(P692="ns",CK567=0,CJ567&gt;0),P692=CK567),0,1)))</f>
        <v>0</v>
      </c>
      <c r="CM567">
        <f>COUNTIF(P702:P704,"NS")</f>
        <v>0</v>
      </c>
      <c r="CN567">
        <f>SUM(P702:P704)</f>
        <v>0</v>
      </c>
      <c r="CO567">
        <f>IF(COUNTA(P701:P704)=0,0,IF(OR(AND(P701=0,CM567&gt;0),AND(P701="ns",CN567&gt;0),AND(P701="ns",CM567=0,CN567=0)),1,IF(OR(AND(CM567&gt;=2,P701&gt;CN567),AND(P701="ns",CN567=0,CM567&gt;0),P701=CN567),0,1)))</f>
        <v>0</v>
      </c>
      <c r="CP567">
        <f>COUNTIF(P714:P718,"NS")</f>
        <v>0</v>
      </c>
      <c r="CQ567">
        <f>SUM(P714:P718)</f>
        <v>0</v>
      </c>
      <c r="CR567">
        <f>IF(COUNTA(P713:P718)=0,0,IF(OR(AND(P713=0,CP567&gt;0),AND(P713="ns",CQ567&gt;0),AND(P713="ns",CP567=0,CQ567=0)),1,IF(OR(AND(CP567&gt;=2,P713&gt;CQ567),AND(P713="ns",CQ567=0,CP567&gt;0),P713=CQ567),0,1)))</f>
        <v>0</v>
      </c>
      <c r="CS567"/>
      <c r="CT567"/>
      <c r="CU567"/>
      <c r="CV567"/>
      <c r="CW567"/>
      <c r="CX567"/>
      <c r="CY567"/>
      <c r="CZ567"/>
      <c r="DA567"/>
    </row>
    <row r="568" spans="1:105" ht="15" customHeight="1">
      <c r="A568" s="108"/>
      <c r="B568" s="38"/>
      <c r="C568" s="1109"/>
      <c r="D568" s="954"/>
      <c r="E568" s="956"/>
      <c r="F568" s="1110" t="s">
        <v>4813</v>
      </c>
      <c r="G568" s="1110"/>
      <c r="H568" s="177"/>
      <c r="I568" s="1115" t="s">
        <v>4814</v>
      </c>
      <c r="J568" s="1115"/>
      <c r="K568" s="1115"/>
      <c r="L568" s="1115"/>
      <c r="M568" s="1115"/>
      <c r="N568" s="1115"/>
      <c r="O568" s="1116"/>
      <c r="P568" s="100"/>
      <c r="Q568" s="100"/>
      <c r="R568" s="100"/>
      <c r="S568" s="100"/>
      <c r="T568" s="100"/>
      <c r="U568" s="100"/>
      <c r="V568" s="100"/>
      <c r="W568" s="100"/>
      <c r="X568" s="100"/>
      <c r="Y568" s="100"/>
      <c r="Z568" s="100"/>
      <c r="AA568" s="100"/>
      <c r="AB568" s="100"/>
      <c r="AC568" s="100"/>
      <c r="AD568" s="100"/>
      <c r="AF568"/>
      <c r="AG568">
        <f t="shared" si="256"/>
        <v>0</v>
      </c>
      <c r="AH568">
        <f t="shared" si="257"/>
        <v>0</v>
      </c>
      <c r="AK568">
        <f t="shared" si="241"/>
        <v>0</v>
      </c>
      <c r="AL568">
        <f t="shared" si="242"/>
        <v>0</v>
      </c>
      <c r="AM568">
        <f t="shared" si="243"/>
        <v>0</v>
      </c>
      <c r="AN568">
        <f t="shared" si="244"/>
        <v>0</v>
      </c>
      <c r="AO568">
        <f t="shared" si="245"/>
        <v>0</v>
      </c>
      <c r="AP568">
        <f t="shared" si="246"/>
        <v>0</v>
      </c>
      <c r="AQ568">
        <f t="shared" si="247"/>
        <v>0</v>
      </c>
      <c r="AR568">
        <f t="shared" si="248"/>
        <v>0</v>
      </c>
      <c r="AS568">
        <f t="shared" si="249"/>
        <v>0</v>
      </c>
      <c r="AT568">
        <f t="shared" si="250"/>
        <v>0</v>
      </c>
      <c r="AU568">
        <f t="shared" si="251"/>
        <v>0</v>
      </c>
      <c r="AV568">
        <f t="shared" si="252"/>
        <v>0</v>
      </c>
      <c r="AW568">
        <f t="shared" si="253"/>
        <v>0</v>
      </c>
      <c r="AX568">
        <f t="shared" si="254"/>
        <v>0</v>
      </c>
      <c r="AY568">
        <f t="shared" si="255"/>
        <v>0</v>
      </c>
      <c r="AZ568">
        <f>COUNTIF(Q568:Q573,"NS")</f>
        <v>0</v>
      </c>
      <c r="BA568">
        <f>SUM(Q568:Q573)</f>
        <v>0</v>
      </c>
      <c r="BB568">
        <f>IF(COUNTA(Q567:Q573)=0,0,IF(OR(AND(Q567=0,AZ568&gt;0),AND(Q567="ns",BA568&gt;0),AND(Q567="ns",AZ568=0,BA568=0)),1,IF(OR(AND(AZ568&gt;=2,Q567&gt;BA568),AND(Q567="ns",BA568=0,AZ568&gt;0),Q567=BA568),0,1)))</f>
        <v>0</v>
      </c>
      <c r="BC568">
        <f>COUNTIF(Q579:Q583,"NS")</f>
        <v>0</v>
      </c>
      <c r="BD568">
        <f>SUM(Q579:Q583)</f>
        <v>0</v>
      </c>
      <c r="BE568">
        <f>IF(COUNTA(Q578:Q583)=0,0,IF(OR(AND(Q578=0,BC568&gt;0),AND(Q578="ns",BD568&gt;0),AND(Q578="ns",BC568=0,BD568=0)),1,IF(OR(AND(BC568&gt;=2,Q578&gt;BD568),AND(Q578="ns",BD568=0,BC568&gt;0),Q578=BD568),0,1)))</f>
        <v>0</v>
      </c>
      <c r="BF568">
        <f>COUNTIF(Q588:Q605,"NS")</f>
        <v>0</v>
      </c>
      <c r="BG568">
        <f>SUM(Q588:Q605)</f>
        <v>0</v>
      </c>
      <c r="BH568">
        <f>IF(COUNTA(Q587:Q605)=0,0,IF(OR(AND(Q587=0,BF568&gt;0),AND(Q587="ns",BG568&gt;0),AND(Q587="ns",BF568=0,BG568=0)),1,IF(OR(AND(BF568&gt;=2,Q587&gt;BG568),AND(Q587="ns",BG568=0,BF568&gt;0),Q587=BG568),0,1)))</f>
        <v>0</v>
      </c>
      <c r="BI568">
        <f>COUNTIF(Q607:Q611,"NS")</f>
        <v>0</v>
      </c>
      <c r="BJ568">
        <f>SUM(Q607:Q611)</f>
        <v>0</v>
      </c>
      <c r="BK568">
        <f>IF(COUNTA(Q606:Q611)=0,0,IF(OR(AND(Q606=0,BI568&gt;0),AND(Q606="ns",BJ568&gt;0),AND(Q606="ns",BI568=0,BJ568=0)),1,IF(OR(AND(BI568&gt;=2,Q606&gt;BJ568),AND(Q606="ns",BJ568=0,BI568&gt;0),Q606=BJ568),0,1)))</f>
        <v>0</v>
      </c>
      <c r="BL568">
        <f>COUNTIF(Q615:Q617,"NS")</f>
        <v>0</v>
      </c>
      <c r="BM568">
        <f>SUM(Q615:Q617)</f>
        <v>0</v>
      </c>
      <c r="BN568">
        <f>IF(COUNTA(Q614:Q617)=0,0,IF(OR(AND(Q614=0,BL568&gt;0),AND(Q614="ns",BM568&gt;0),AND(Q614="ns",BL568=0,BM568=0)),1,IF(OR(AND(BL568&gt;=2,Q614&gt;BM568),AND(Q614="ns",BM568=0,BL568&gt;0),Q614=BM568),0,1)))</f>
        <v>0</v>
      </c>
      <c r="BO568">
        <f>COUNTIF(Q625:Q631,"NS")</f>
        <v>0</v>
      </c>
      <c r="BP568">
        <f>SUM(Q625:Q631)</f>
        <v>0</v>
      </c>
      <c r="BQ568">
        <f>IF(COUNTA(Q624:Q631)=0,0,IF(OR(AND(Q624=0,BO568&gt;0),AND(Q624="ns",BP568&gt;0),AND(Q624="ns",BO568=0,BP568=0)),1,IF(OR(AND(BO568&gt;=2,Q624&gt;BP568),AND(Q624="ns",BP568=0,BO568&gt;0),Q624=BP568),0,1)))</f>
        <v>0</v>
      </c>
      <c r="BR568">
        <f>COUNTIF(Q633:Q637,"NS")</f>
        <v>0</v>
      </c>
      <c r="BS568">
        <f>SUM(Q633:Q637)</f>
        <v>0</v>
      </c>
      <c r="BT568">
        <f>IF(COUNTA(Q632:Q637)=0,0,IF(OR(AND(Q632=0,BR568&gt;0),AND(Q632="ns",BS568&gt;0),AND(Q632="ns",BR568=0,BS568=0)),1,IF(OR(AND(BR568&gt;=2,Q632&gt;BS568),AND(Q632="ns",BS568=0,BR568&gt;0),Q632=BS568),0,1)))</f>
        <v>0</v>
      </c>
      <c r="BU568">
        <f>COUNTIF(Q643:Q648,"NS")</f>
        <v>0</v>
      </c>
      <c r="BV568">
        <f>SUM(Q643:Q648)</f>
        <v>0</v>
      </c>
      <c r="BW568">
        <f>IF(COUNTA(Q642:Q648)=0,0,IF(OR(AND(Q642=0,BU568&gt;0),AND(Q642="ns",BV568&gt;0),AND(Q642="ns",BU568=0,BV568=0)),1,IF(OR(AND(BU568&gt;=2,Q642&gt;BV568),AND(Q642="ns",BV568=0,BU568&gt;0),Q642=BV568),0,1)))</f>
        <v>0</v>
      </c>
      <c r="BX568">
        <f>COUNTIF(Q650:Q657,"NS")</f>
        <v>0</v>
      </c>
      <c r="BY568">
        <f>SUM(Q650:Q657)</f>
        <v>0</v>
      </c>
      <c r="BZ568">
        <f>IF(COUNTA(Q649:Q657)=0,0,IF(OR(AND(Q649=0,BX568&gt;0),AND(Q649="ns",BY568&gt;0),AND(Q649="ns",BX568=0,BY568=0)),1,IF(OR(AND(BX568&gt;=2,Q649&gt;BY568),AND(Q649="ns",BY568=0,BX568&gt;0),Q649=BY568),0,1)))</f>
        <v>0</v>
      </c>
      <c r="CA568">
        <f>COUNTIF(Q662:Q667,"NS")</f>
        <v>0</v>
      </c>
      <c r="CB568">
        <f>SUM(Q662:Q667)</f>
        <v>0</v>
      </c>
      <c r="CC568">
        <f>IF(COUNTA(Q661:Q667)=0,0,IF(OR(AND(Q661=0,CA568&gt;0),AND(Q661="ns",CB568&gt;0),AND(Q661="ns",CA568=0,CB568=0)),1,IF(OR(AND(CA568&gt;=2,Q661&gt;CB568),AND(Q661="ns",CB568=0,CA568&gt;0),Q661=CB568),0,1)))</f>
        <v>0</v>
      </c>
      <c r="CD568">
        <f>COUNTIF(Q672:Q680,"NS")</f>
        <v>0</v>
      </c>
      <c r="CE568">
        <f>SUM(Q672:Q680)</f>
        <v>0</v>
      </c>
      <c r="CF568">
        <f>IF(COUNTA(Q671:Q680)=0,0,IF(OR(AND(Q671=0,CD568&gt;0),AND(Q671="ns",CE568&gt;0),AND(Q671="ns",CD568=0,CE568=0)),1,IF(OR(AND(CD568&gt;=2,Q671&gt;CE568),AND(Q671="ns",CE568=0,CD568&gt;0),Q671=CE568),0,1)))</f>
        <v>0</v>
      </c>
      <c r="CG568">
        <f>COUNTIF(Q682:Q684,"NS")</f>
        <v>0</v>
      </c>
      <c r="CH568">
        <f>SUM(Q682:Q684)</f>
        <v>0</v>
      </c>
      <c r="CI568">
        <f>IF(COUNTA(Q681:Q684)=0,0,IF(OR(AND(Q681=0,CG568&gt;0),AND(Q681="ns",CH568&gt;0),AND(Q681="ns",CG568=0,CH568=0)),1,IF(OR(AND(CG568&gt;=2,Q681&gt;CH568),AND(Q681="ns",CH568=0,CG568&gt;0),Q681=CH568),0,1)))</f>
        <v>0</v>
      </c>
      <c r="CJ568">
        <f>COUNTIF(Q693:Q699,"NS")</f>
        <v>0</v>
      </c>
      <c r="CK568">
        <f>SUM(Q693:Q699)</f>
        <v>0</v>
      </c>
      <c r="CL568">
        <f>IF(COUNTA(Q692:Q699)=0,0,IF(OR(AND(Q692=0,CJ568&gt;0),AND(Q692="ns",CK568&gt;0),AND(Q692="ns",CJ568=0,CK568=0)),1,IF(OR(AND(CJ568&gt;=2,Q692&gt;CK568),AND(Q692="ns",CK568=0,CJ568&gt;0),Q692=CK568),0,1)))</f>
        <v>0</v>
      </c>
      <c r="CM568">
        <f>COUNTIF(Q702:Q704,"NS")</f>
        <v>0</v>
      </c>
      <c r="CN568">
        <f>SUM(Q702:Q704)</f>
        <v>0</v>
      </c>
      <c r="CO568">
        <f>IF(COUNTA(Q701:Q704)=0,0,IF(OR(AND(Q701=0,CM568&gt;0),AND(Q701="ns",CN568&gt;0),AND(Q701="ns",CM568=0,CN568=0)),1,IF(OR(AND(CM568&gt;=2,Q701&gt;CN568),AND(Q701="ns",CN568=0,CM568&gt;0),Q701=CN568),0,1)))</f>
        <v>0</v>
      </c>
      <c r="CP568">
        <f>COUNTIF(Q714:Q718,"NS")</f>
        <v>0</v>
      </c>
      <c r="CQ568">
        <f>SUM(Q714:Q718)</f>
        <v>0</v>
      </c>
      <c r="CR568">
        <f>IF(COUNTA(Q713:Q718)=0,0,IF(OR(AND(Q713=0,CP568&gt;0),AND(Q713="ns",CQ568&gt;0),AND(Q713="ns",CP568=0,CQ568=0)),1,IF(OR(AND(CP568&gt;=2,Q713&gt;CQ568),AND(Q713="ns",CQ568=0,CP568&gt;0),Q713=CQ568),0,1)))</f>
        <v>0</v>
      </c>
      <c r="CS568"/>
      <c r="CT568"/>
      <c r="CU568"/>
      <c r="CV568"/>
      <c r="CW568"/>
      <c r="CX568"/>
      <c r="CY568"/>
      <c r="CZ568"/>
      <c r="DA568"/>
    </row>
    <row r="569" spans="1:105" ht="15" customHeight="1">
      <c r="A569" s="108"/>
      <c r="B569" s="38"/>
      <c r="C569" s="1109"/>
      <c r="D569" s="954"/>
      <c r="E569" s="956"/>
      <c r="F569" s="1110" t="s">
        <v>4815</v>
      </c>
      <c r="G569" s="1110"/>
      <c r="H569" s="178"/>
      <c r="I569" s="1111" t="s">
        <v>4816</v>
      </c>
      <c r="J569" s="1111"/>
      <c r="K569" s="1111"/>
      <c r="L569" s="1111"/>
      <c r="M569" s="1111"/>
      <c r="N569" s="1111"/>
      <c r="O569" s="1112"/>
      <c r="P569" s="100"/>
      <c r="Q569" s="100"/>
      <c r="R569" s="100"/>
      <c r="S569" s="100"/>
      <c r="T569" s="100"/>
      <c r="U569" s="100"/>
      <c r="V569" s="100"/>
      <c r="W569" s="100"/>
      <c r="X569" s="100"/>
      <c r="Y569" s="100"/>
      <c r="Z569" s="100"/>
      <c r="AA569" s="100"/>
      <c r="AB569" s="100"/>
      <c r="AC569" s="100"/>
      <c r="AD569" s="100"/>
      <c r="AF569"/>
      <c r="AG569">
        <f t="shared" si="256"/>
        <v>0</v>
      </c>
      <c r="AH569">
        <f t="shared" si="257"/>
        <v>0</v>
      </c>
      <c r="AK569">
        <f t="shared" si="241"/>
        <v>0</v>
      </c>
      <c r="AL569">
        <f t="shared" si="242"/>
        <v>0</v>
      </c>
      <c r="AM569">
        <f t="shared" si="243"/>
        <v>0</v>
      </c>
      <c r="AN569">
        <f t="shared" si="244"/>
        <v>0</v>
      </c>
      <c r="AO569">
        <f t="shared" si="245"/>
        <v>0</v>
      </c>
      <c r="AP569">
        <f t="shared" si="246"/>
        <v>0</v>
      </c>
      <c r="AQ569">
        <f t="shared" si="247"/>
        <v>0</v>
      </c>
      <c r="AR569">
        <f t="shared" si="248"/>
        <v>0</v>
      </c>
      <c r="AS569">
        <f t="shared" si="249"/>
        <v>0</v>
      </c>
      <c r="AT569">
        <f t="shared" si="250"/>
        <v>0</v>
      </c>
      <c r="AU569">
        <f t="shared" si="251"/>
        <v>0</v>
      </c>
      <c r="AV569">
        <f t="shared" si="252"/>
        <v>0</v>
      </c>
      <c r="AW569">
        <f t="shared" si="253"/>
        <v>0</v>
      </c>
      <c r="AX569">
        <f t="shared" si="254"/>
        <v>0</v>
      </c>
      <c r="AY569">
        <f t="shared" si="255"/>
        <v>0</v>
      </c>
      <c r="AZ569">
        <f>COUNTIF(R568:R573,"NS")</f>
        <v>0</v>
      </c>
      <c r="BA569">
        <f>SUM(R568:R573)</f>
        <v>0</v>
      </c>
      <c r="BB569">
        <f>IF(COUNTA(R567:R573)=0,0,IF(OR(AND(R567=0,AZ569&gt;0),AND(R567="ns",BA569&gt;0),AND(R567="ns",AZ569=0,BA569=0)),1,IF(OR(AND(AZ569&gt;=2,R567&gt;BA569),AND(R567="ns",BA569=0,AZ569&gt;0),R567=BA569),0,1)))</f>
        <v>0</v>
      </c>
      <c r="BC569">
        <f>COUNTIF(R579:R583,"NS")</f>
        <v>0</v>
      </c>
      <c r="BD569">
        <f>SUM(R579:R583)</f>
        <v>0</v>
      </c>
      <c r="BE569">
        <f>IF(COUNTA(R578:R583)=0,0,IF(OR(AND(R578=0,BC569&gt;0),AND(R578="ns",BD569&gt;0),AND(R578="ns",BC569=0,BD569=0)),1,IF(OR(AND(BC569&gt;=2,R578&gt;BD569),AND(R578="ns",BD569=0,BC569&gt;0),R578=BD569),0,1)))</f>
        <v>0</v>
      </c>
      <c r="BF569">
        <f>COUNTIF(R588:R605,"NS")</f>
        <v>0</v>
      </c>
      <c r="BG569">
        <f>SUM(R588:R605)</f>
        <v>0</v>
      </c>
      <c r="BH569">
        <f>IF(COUNTA(R587:R605)=0,0,IF(OR(AND(R587=0,BF569&gt;0),AND(R587="ns",BG569&gt;0),AND(R587="ns",BF569=0,BG569=0)),1,IF(OR(AND(BF569&gt;=2,R587&gt;BG569),AND(R587="ns",BG569=0,BF569&gt;0),R587=BG569),0,1)))</f>
        <v>0</v>
      </c>
      <c r="BI569">
        <f>COUNTIF(R607:R611,"NS")</f>
        <v>0</v>
      </c>
      <c r="BJ569">
        <f>SUM(R607:R611)</f>
        <v>0</v>
      </c>
      <c r="BK569">
        <f>IF(COUNTA(R606:R611)=0,0,IF(OR(AND(R606=0,BI569&gt;0),AND(R606="ns",BJ569&gt;0),AND(R606="ns",BI569=0,BJ569=0)),1,IF(OR(AND(BI569&gt;=2,R606&gt;BJ569),AND(R606="ns",BJ569=0,BI569&gt;0),R606=BJ569),0,1)))</f>
        <v>0</v>
      </c>
      <c r="BL569">
        <f>COUNTIF(R615:R617,"NS")</f>
        <v>0</v>
      </c>
      <c r="BM569">
        <f>SUM(R615:R617)</f>
        <v>0</v>
      </c>
      <c r="BN569">
        <f>IF(COUNTA(R614:R617)=0,0,IF(OR(AND(R614=0,BL569&gt;0),AND(R614="ns",BM569&gt;0),AND(R614="ns",BL569=0,BM569=0)),1,IF(OR(AND(BL569&gt;=2,R614&gt;BM569),AND(R614="ns",BM569=0,BL569&gt;0),R614=BM569),0,1)))</f>
        <v>0</v>
      </c>
      <c r="BO569">
        <f>COUNTIF(R625:R631,"NS")</f>
        <v>0</v>
      </c>
      <c r="BP569">
        <f>SUM(R625:R631)</f>
        <v>0</v>
      </c>
      <c r="BQ569">
        <f>IF(COUNTA(R624:R631)=0,0,IF(OR(AND(R624=0,BO569&gt;0),AND(R624="ns",BP569&gt;0),AND(R624="ns",BO569=0,BP569=0)),1,IF(OR(AND(BO569&gt;=2,R624&gt;BP569),AND(R624="ns",BP569=0,BO569&gt;0),R624=BP569),0,1)))</f>
        <v>0</v>
      </c>
      <c r="BR569">
        <f>COUNTIF(R633:R637,"NS")</f>
        <v>0</v>
      </c>
      <c r="BS569">
        <f>SUM(R633:R637)</f>
        <v>0</v>
      </c>
      <c r="BT569">
        <f>IF(COUNTA(R632:R637)=0,0,IF(OR(AND(R632=0,BR569&gt;0),AND(R632="ns",BS569&gt;0),AND(R632="ns",BR569=0,BS569=0)),1,IF(OR(AND(BR569&gt;=2,R632&gt;BS569),AND(R632="ns",BS569=0,BR569&gt;0),R632=BS569),0,1)))</f>
        <v>0</v>
      </c>
      <c r="BU569">
        <f>COUNTIF(R643:R648,"NS")</f>
        <v>0</v>
      </c>
      <c r="BV569">
        <f>SUM(R643:R648)</f>
        <v>0</v>
      </c>
      <c r="BW569">
        <f>IF(COUNTA(R642:R648)=0,0,IF(OR(AND(R642=0,BU569&gt;0),AND(R642="ns",BV569&gt;0),AND(R642="ns",BU569=0,BV569=0)),1,IF(OR(AND(BU569&gt;=2,R642&gt;BV569),AND(R642="ns",BV569=0,BU569&gt;0),R642=BV569),0,1)))</f>
        <v>0</v>
      </c>
      <c r="BX569">
        <f>COUNTIF(R650:R657,"NS")</f>
        <v>0</v>
      </c>
      <c r="BY569">
        <f>SUM(R650:R657)</f>
        <v>0</v>
      </c>
      <c r="BZ569">
        <f>IF(COUNTA(R649:R657)=0,0,IF(OR(AND(R649=0,BX569&gt;0),AND(R649="ns",BY569&gt;0),AND(R649="ns",BX569=0,BY569=0)),1,IF(OR(AND(BX569&gt;=2,R649&gt;BY569),AND(R649="ns",BY569=0,BX569&gt;0),R649=BY569),0,1)))</f>
        <v>0</v>
      </c>
      <c r="CA569">
        <f>COUNTIF(R662:R667,"NS")</f>
        <v>0</v>
      </c>
      <c r="CB569">
        <f>SUM(R662:R667)</f>
        <v>0</v>
      </c>
      <c r="CC569">
        <f>IF(COUNTA(R661:R667)=0,0,IF(OR(AND(R661=0,CA569&gt;0),AND(R661="ns",CB569&gt;0),AND(R661="ns",CA569=0,CB569=0)),1,IF(OR(AND(CA569&gt;=2,R661&gt;CB569),AND(R661="ns",CB569=0,CA569&gt;0),R661=CB569),0,1)))</f>
        <v>0</v>
      </c>
      <c r="CD569">
        <f>COUNTIF(R672:R680,"NS")</f>
        <v>0</v>
      </c>
      <c r="CE569">
        <f>SUM(R672:R680)</f>
        <v>0</v>
      </c>
      <c r="CF569">
        <f>IF(COUNTA(R671:R680)=0,0,IF(OR(AND(R671=0,CD569&gt;0),AND(R671="ns",CE569&gt;0),AND(R671="ns",CD569=0,CE569=0)),1,IF(OR(AND(CD569&gt;=2,R671&gt;CE569),AND(R671="ns",CE569=0,CD569&gt;0),R671=CE569),0,1)))</f>
        <v>0</v>
      </c>
      <c r="CG569">
        <f>COUNTIF(R682:R684,"NS")</f>
        <v>0</v>
      </c>
      <c r="CH569">
        <f>SUM(R682:R684)</f>
        <v>0</v>
      </c>
      <c r="CI569">
        <f>IF(COUNTA(R681:R684)=0,0,IF(OR(AND(R681=0,CG569&gt;0),AND(R681="ns",CH569&gt;0),AND(R681="ns",CG569=0,CH569=0)),1,IF(OR(AND(CG569&gt;=2,R681&gt;CH569),AND(R681="ns",CH569=0,CG569&gt;0),R681=CH569),0,1)))</f>
        <v>0</v>
      </c>
      <c r="CJ569">
        <f>COUNTIF(R693:R699,"NS")</f>
        <v>0</v>
      </c>
      <c r="CK569">
        <f>SUM(R693:R699)</f>
        <v>0</v>
      </c>
      <c r="CL569">
        <f>IF(COUNTA(R692:R699)=0,0,IF(OR(AND(R692=0,CJ569&gt;0),AND(R692="ns",CK569&gt;0),AND(R692="ns",CJ569=0,CK569=0)),1,IF(OR(AND(CJ569&gt;=2,R692&gt;CK569),AND(R692="ns",CK569=0,CJ569&gt;0),R692=CK569),0,1)))</f>
        <v>0</v>
      </c>
      <c r="CM569">
        <f>COUNTIF(R702:R704,"NS")</f>
        <v>0</v>
      </c>
      <c r="CN569">
        <f>SUM(R702:R704)</f>
        <v>0</v>
      </c>
      <c r="CO569">
        <f>IF(COUNTA(R701:R704)=0,0,IF(OR(AND(R701=0,CM569&gt;0),AND(R701="ns",CN569&gt;0),AND(R701="ns",CM569=0,CN569=0)),1,IF(OR(AND(CM569&gt;=2,R701&gt;CN569),AND(R701="ns",CN569=0,CM569&gt;0),R701=CN569),0,1)))</f>
        <v>0</v>
      </c>
      <c r="CP569">
        <f>COUNTIF(R714:R718,"NS")</f>
        <v>0</v>
      </c>
      <c r="CQ569">
        <f>SUM(R714:R718)</f>
        <v>0</v>
      </c>
      <c r="CR569">
        <f>IF(COUNTA(R713:R718)=0,0,IF(OR(AND(R713=0,CP569&gt;0),AND(R713="ns",CQ569&gt;0),AND(R713="ns",CP569=0,CQ569=0)),1,IF(OR(AND(CP569&gt;=2,R713&gt;CQ569),AND(R713="ns",CQ569=0,CP569&gt;0),R713=CQ569),0,1)))</f>
        <v>0</v>
      </c>
      <c r="CS569"/>
      <c r="CT569"/>
      <c r="CU569"/>
      <c r="CV569"/>
      <c r="CW569"/>
      <c r="CX569"/>
      <c r="CY569"/>
      <c r="CZ569"/>
      <c r="DA569"/>
    </row>
    <row r="570" spans="1:105" ht="15" customHeight="1">
      <c r="A570" s="108"/>
      <c r="B570" s="38"/>
      <c r="C570" s="1109"/>
      <c r="D570" s="954"/>
      <c r="E570" s="956"/>
      <c r="F570" s="1110" t="s">
        <v>4817</v>
      </c>
      <c r="G570" s="1110"/>
      <c r="H570" s="178"/>
      <c r="I570" s="1111" t="s">
        <v>4818</v>
      </c>
      <c r="J570" s="1111"/>
      <c r="K570" s="1111"/>
      <c r="L570" s="1111"/>
      <c r="M570" s="1111"/>
      <c r="N570" s="1111"/>
      <c r="O570" s="1112"/>
      <c r="P570" s="100"/>
      <c r="Q570" s="100"/>
      <c r="R570" s="100"/>
      <c r="S570" s="100"/>
      <c r="T570" s="100"/>
      <c r="U570" s="100"/>
      <c r="V570" s="100"/>
      <c r="W570" s="100"/>
      <c r="X570" s="100"/>
      <c r="Y570" s="100"/>
      <c r="Z570" s="100"/>
      <c r="AA570" s="100"/>
      <c r="AB570" s="100"/>
      <c r="AC570" s="100"/>
      <c r="AD570" s="100"/>
      <c r="AF570"/>
      <c r="AG570">
        <f t="shared" si="256"/>
        <v>0</v>
      </c>
      <c r="AH570">
        <f t="shared" si="257"/>
        <v>0</v>
      </c>
      <c r="AK570">
        <f t="shared" si="241"/>
        <v>0</v>
      </c>
      <c r="AL570">
        <f t="shared" si="242"/>
        <v>0</v>
      </c>
      <c r="AM570">
        <f t="shared" si="243"/>
        <v>0</v>
      </c>
      <c r="AN570">
        <f t="shared" si="244"/>
        <v>0</v>
      </c>
      <c r="AO570">
        <f t="shared" si="245"/>
        <v>0</v>
      </c>
      <c r="AP570">
        <f t="shared" si="246"/>
        <v>0</v>
      </c>
      <c r="AQ570">
        <f t="shared" si="247"/>
        <v>0</v>
      </c>
      <c r="AR570">
        <f t="shared" si="248"/>
        <v>0</v>
      </c>
      <c r="AS570">
        <f t="shared" si="249"/>
        <v>0</v>
      </c>
      <c r="AT570">
        <f t="shared" si="250"/>
        <v>0</v>
      </c>
      <c r="AU570">
        <f t="shared" si="251"/>
        <v>0</v>
      </c>
      <c r="AV570">
        <f t="shared" si="252"/>
        <v>0</v>
      </c>
      <c r="AW570">
        <f t="shared" si="253"/>
        <v>0</v>
      </c>
      <c r="AX570">
        <f t="shared" si="254"/>
        <v>0</v>
      </c>
      <c r="AY570">
        <f t="shared" si="255"/>
        <v>0</v>
      </c>
      <c r="AZ570">
        <f>COUNTIF(S568:S573,"NS")</f>
        <v>0</v>
      </c>
      <c r="BA570">
        <f>SUM(S568:S573)</f>
        <v>0</v>
      </c>
      <c r="BB570">
        <f>IF(COUNTA(S567:S573)=0,0,IF(OR(AND(S567=0,AZ570&gt;0),AND(S567="ns",BA570&gt;0),AND(S567="ns",AZ570=0,BA570=0)),1,IF(OR(AND(AZ570&gt;=2,S567&gt;BA570),AND(S567="ns",BA570=0,AZ570&gt;0),S567=BA570),0,1)))</f>
        <v>0</v>
      </c>
      <c r="BC570">
        <f>COUNTIF(S579:S583,"NS")</f>
        <v>0</v>
      </c>
      <c r="BD570">
        <f>SUM(S579:S583)</f>
        <v>0</v>
      </c>
      <c r="BE570">
        <f>IF(COUNTA(S578:S583)=0,0,IF(OR(AND(S578=0,BC570&gt;0),AND(S578="ns",BD570&gt;0),AND(S578="ns",BC570=0,BD570=0)),1,IF(OR(AND(BC570&gt;=2,S578&gt;BD570),AND(S578="ns",BD570=0,BC570&gt;0),S578=BD570),0,1)))</f>
        <v>0</v>
      </c>
      <c r="BF570">
        <f>COUNTIF(S588:S605,"NS")</f>
        <v>0</v>
      </c>
      <c r="BG570">
        <f>SUM(S588:S605)</f>
        <v>0</v>
      </c>
      <c r="BH570">
        <f>IF(COUNTA(S587:S605)=0,0,IF(OR(AND(S587=0,BF570&gt;0),AND(S587="ns",BG570&gt;0),AND(S587="ns",BF570=0,BG570=0)),1,IF(OR(AND(BF570&gt;=2,S587&gt;BG570),AND(S587="ns",BG570=0,BF570&gt;0),S587=BG570),0,1)))</f>
        <v>0</v>
      </c>
      <c r="BI570">
        <f>COUNTIF(S607:S611,"NS")</f>
        <v>0</v>
      </c>
      <c r="BJ570">
        <f>SUM(S607:S611)</f>
        <v>0</v>
      </c>
      <c r="BK570">
        <f>IF(COUNTA(S606:S611)=0,0,IF(OR(AND(S606=0,BI570&gt;0),AND(S606="ns",BJ570&gt;0),AND(S606="ns",BI570=0,BJ570=0)),1,IF(OR(AND(BI570&gt;=2,S606&gt;BJ570),AND(S606="ns",BJ570=0,BI570&gt;0),S606=BJ570),0,1)))</f>
        <v>0</v>
      </c>
      <c r="BL570">
        <f>COUNTIF(S615:S617,"NS")</f>
        <v>0</v>
      </c>
      <c r="BM570">
        <f>SUM(S615:S617)</f>
        <v>0</v>
      </c>
      <c r="BN570">
        <f>IF(COUNTA(S614:S617)=0,0,IF(OR(AND(S614=0,BL570&gt;0),AND(S614="ns",BM570&gt;0),AND(S614="ns",BL570=0,BM570=0)),1,IF(OR(AND(BL570&gt;=2,S614&gt;BM570),AND(S614="ns",BM570=0,BL570&gt;0),S614=BM570),0,1)))</f>
        <v>0</v>
      </c>
      <c r="BO570">
        <f>COUNTIF(S625:S631,"NS")</f>
        <v>0</v>
      </c>
      <c r="BP570">
        <f>SUM(S625:S631)</f>
        <v>0</v>
      </c>
      <c r="BQ570">
        <f>IF(COUNTA(S624:S631)=0,0,IF(OR(AND(S624=0,BO570&gt;0),AND(S624="ns",BP570&gt;0),AND(S624="ns",BO570=0,BP570=0)),1,IF(OR(AND(BO570&gt;=2,S624&gt;BP570),AND(S624="ns",BP570=0,BO570&gt;0),S624=BP570),0,1)))</f>
        <v>0</v>
      </c>
      <c r="BR570">
        <f>COUNTIF(S633:S637,"NS")</f>
        <v>0</v>
      </c>
      <c r="BS570">
        <f>SUM(S633:S637)</f>
        <v>0</v>
      </c>
      <c r="BT570">
        <f>IF(COUNTA(S632:S637)=0,0,IF(OR(AND(S632=0,BR570&gt;0),AND(S632="ns",BS570&gt;0),AND(S632="ns",BR570=0,BS570=0)),1,IF(OR(AND(BR570&gt;=2,S632&gt;BS570),AND(S632="ns",BS570=0,BR570&gt;0),S632=BS570),0,1)))</f>
        <v>0</v>
      </c>
      <c r="BU570">
        <f>COUNTIF(S643:S648,"NS")</f>
        <v>0</v>
      </c>
      <c r="BV570">
        <f>SUM(S643:S648)</f>
        <v>0</v>
      </c>
      <c r="BW570">
        <f>IF(COUNTA(S642:S648)=0,0,IF(OR(AND(S642=0,BU570&gt;0),AND(S642="ns",BV570&gt;0),AND(S642="ns",BU570=0,BV570=0)),1,IF(OR(AND(BU570&gt;=2,S642&gt;BV570),AND(S642="ns",BV570=0,BU570&gt;0),S642=BV570),0,1)))</f>
        <v>0</v>
      </c>
      <c r="BX570">
        <f>COUNTIF(S650:S657,"NS")</f>
        <v>0</v>
      </c>
      <c r="BY570">
        <f>SUM(S650:S657)</f>
        <v>0</v>
      </c>
      <c r="BZ570">
        <f>IF(COUNTA(S649:S657)=0,0,IF(OR(AND(S649=0,BX570&gt;0),AND(S649="ns",BY570&gt;0),AND(S649="ns",BX570=0,BY570=0)),1,IF(OR(AND(BX570&gt;=2,S649&gt;BY570),AND(S649="ns",BY570=0,BX570&gt;0),S649=BY570),0,1)))</f>
        <v>0</v>
      </c>
      <c r="CA570">
        <f>COUNTIF(S662:S667,"NS")</f>
        <v>0</v>
      </c>
      <c r="CB570">
        <f>SUM(S662:S667)</f>
        <v>0</v>
      </c>
      <c r="CC570">
        <f>IF(COUNTA(S661:S667)=0,0,IF(OR(AND(S661=0,CA570&gt;0),AND(S661="ns",CB570&gt;0),AND(S661="ns",CA570=0,CB570=0)),1,IF(OR(AND(CA570&gt;=2,S661&gt;CB570),AND(S661="ns",CB570=0,CA570&gt;0),S661=CB570),0,1)))</f>
        <v>0</v>
      </c>
      <c r="CD570">
        <f>COUNTIF(S672:S680,"NS")</f>
        <v>0</v>
      </c>
      <c r="CE570">
        <f>SUM(S672:S680)</f>
        <v>0</v>
      </c>
      <c r="CF570">
        <f>IF(COUNTA(S671:S680)=0,0,IF(OR(AND(S671=0,CD570&gt;0),AND(S671="ns",CE570&gt;0),AND(S671="ns",CD570=0,CE570=0)),1,IF(OR(AND(CD570&gt;=2,S671&gt;CE570),AND(S671="ns",CE570=0,CD570&gt;0),S671=CE570),0,1)))</f>
        <v>0</v>
      </c>
      <c r="CG570">
        <f>COUNTIF(S682:S684,"NS")</f>
        <v>0</v>
      </c>
      <c r="CH570">
        <f>SUM(S682:S684)</f>
        <v>0</v>
      </c>
      <c r="CI570">
        <f>IF(COUNTA(S681:S684)=0,0,IF(OR(AND(S681=0,CG570&gt;0),AND(S681="ns",CH570&gt;0),AND(S681="ns",CG570=0,CH570=0)),1,IF(OR(AND(CG570&gt;=2,S681&gt;CH570),AND(S681="ns",CH570=0,CG570&gt;0),S681=CH570),0,1)))</f>
        <v>0</v>
      </c>
      <c r="CJ570">
        <f>COUNTIF(S693:S699,"NS")</f>
        <v>0</v>
      </c>
      <c r="CK570">
        <f>SUM(S693:S699)</f>
        <v>0</v>
      </c>
      <c r="CL570">
        <f>IF(COUNTA(S692:S699)=0,0,IF(OR(AND(S692=0,CJ570&gt;0),AND(S692="ns",CK570&gt;0),AND(S692="ns",CJ570=0,CK570=0)),1,IF(OR(AND(CJ570&gt;=2,S692&gt;CK570),AND(S692="ns",CK570=0,CJ570&gt;0),S692=CK570),0,1)))</f>
        <v>0</v>
      </c>
      <c r="CM570">
        <f>COUNTIF(S702:S704,"NS")</f>
        <v>0</v>
      </c>
      <c r="CN570">
        <f>SUM(S702:S704)</f>
        <v>0</v>
      </c>
      <c r="CO570">
        <f>IF(COUNTA(S701:S704)=0,0,IF(OR(AND(S701=0,CM570&gt;0),AND(S701="ns",CN570&gt;0),AND(S701="ns",CM570=0,CN570=0)),1,IF(OR(AND(CM570&gt;=2,S701&gt;CN570),AND(S701="ns",CN570=0,CM570&gt;0),S701=CN570),0,1)))</f>
        <v>0</v>
      </c>
      <c r="CP570">
        <f>COUNTIF(S714:S718,"NS")</f>
        <v>0</v>
      </c>
      <c r="CQ570">
        <f>SUM(S714:S718)</f>
        <v>0</v>
      </c>
      <c r="CR570">
        <f>IF(COUNTA(S713:S718)=0,0,IF(OR(AND(S713=0,CP570&gt;0),AND(S713="ns",CQ570&gt;0),AND(S713="ns",CP570=0,CQ570=0)),1,IF(OR(AND(CP570&gt;=2,S713&gt;CQ570),AND(S713="ns",CQ570=0,CP570&gt;0),S713=CQ570),0,1)))</f>
        <v>0</v>
      </c>
      <c r="CS570"/>
      <c r="CT570"/>
      <c r="CU570"/>
      <c r="CV570"/>
      <c r="CW570"/>
      <c r="CX570"/>
      <c r="CY570"/>
      <c r="CZ570"/>
      <c r="DA570"/>
    </row>
    <row r="571" spans="1:105" ht="15" customHeight="1">
      <c r="A571" s="108"/>
      <c r="B571" s="38"/>
      <c r="C571" s="1109"/>
      <c r="D571" s="954"/>
      <c r="E571" s="956"/>
      <c r="F571" s="1110" t="s">
        <v>4819</v>
      </c>
      <c r="G571" s="1110"/>
      <c r="H571" s="178"/>
      <c r="I571" s="1111" t="s">
        <v>4820</v>
      </c>
      <c r="J571" s="1111"/>
      <c r="K571" s="1111"/>
      <c r="L571" s="1111"/>
      <c r="M571" s="1111"/>
      <c r="N571" s="1111"/>
      <c r="O571" s="1112"/>
      <c r="P571" s="100"/>
      <c r="Q571" s="100"/>
      <c r="R571" s="100"/>
      <c r="S571" s="100"/>
      <c r="T571" s="100"/>
      <c r="U571" s="100"/>
      <c r="V571" s="100"/>
      <c r="W571" s="100"/>
      <c r="X571" s="100"/>
      <c r="Y571" s="100"/>
      <c r="Z571" s="100"/>
      <c r="AA571" s="100"/>
      <c r="AB571" s="100"/>
      <c r="AC571" s="100"/>
      <c r="AD571" s="100"/>
      <c r="AF571"/>
      <c r="AG571">
        <f t="shared" si="256"/>
        <v>0</v>
      </c>
      <c r="AH571">
        <f t="shared" si="257"/>
        <v>0</v>
      </c>
      <c r="AK571">
        <f t="shared" si="241"/>
        <v>0</v>
      </c>
      <c r="AL571">
        <f t="shared" si="242"/>
        <v>0</v>
      </c>
      <c r="AM571">
        <f t="shared" si="243"/>
        <v>0</v>
      </c>
      <c r="AN571">
        <f t="shared" si="244"/>
        <v>0</v>
      </c>
      <c r="AO571">
        <f t="shared" si="245"/>
        <v>0</v>
      </c>
      <c r="AP571">
        <f t="shared" si="246"/>
        <v>0</v>
      </c>
      <c r="AQ571">
        <f t="shared" si="247"/>
        <v>0</v>
      </c>
      <c r="AR571">
        <f t="shared" si="248"/>
        <v>0</v>
      </c>
      <c r="AS571">
        <f t="shared" si="249"/>
        <v>0</v>
      </c>
      <c r="AT571">
        <f t="shared" si="250"/>
        <v>0</v>
      </c>
      <c r="AU571">
        <f t="shared" si="251"/>
        <v>0</v>
      </c>
      <c r="AV571">
        <f t="shared" si="252"/>
        <v>0</v>
      </c>
      <c r="AW571">
        <f t="shared" si="253"/>
        <v>0</v>
      </c>
      <c r="AX571">
        <f t="shared" si="254"/>
        <v>0</v>
      </c>
      <c r="AY571">
        <f t="shared" si="255"/>
        <v>0</v>
      </c>
      <c r="AZ571">
        <f>COUNTIF(T568:T573,"NS")</f>
        <v>0</v>
      </c>
      <c r="BA571">
        <f>SUM(T568:T573)</f>
        <v>0</v>
      </c>
      <c r="BB571">
        <f>IF(COUNTA(T567:T573)=0,0,IF(OR(AND(T567=0,AZ571&gt;0),AND(T567="ns",BA571&gt;0),AND(T567="ns",AZ571=0,BA571=0)),1,IF(OR(AND(AZ571&gt;=2,T567&gt;BA571),AND(T567="ns",BA571=0,AZ571&gt;0),T567=BA571),0,1)))</f>
        <v>0</v>
      </c>
      <c r="BC571">
        <f>COUNTIF(T579:T583,"NS")</f>
        <v>0</v>
      </c>
      <c r="BD571">
        <f>SUM(T579:T583)</f>
        <v>0</v>
      </c>
      <c r="BE571">
        <f>IF(COUNTA(T578:T583)=0,0,IF(OR(AND(T578=0,BC571&gt;0),AND(T578="ns",BD571&gt;0),AND(T578="ns",BC571=0,BD571=0)),1,IF(OR(AND(BC571&gt;=2,T578&gt;BD571),AND(T578="ns",BD571=0,BC571&gt;0),T578=BD571),0,1)))</f>
        <v>0</v>
      </c>
      <c r="BF571">
        <f>COUNTIF(T588:T605,"NS")</f>
        <v>0</v>
      </c>
      <c r="BG571">
        <f>SUM(T588:T605)</f>
        <v>0</v>
      </c>
      <c r="BH571">
        <f>IF(COUNTA(T587:T605)=0,0,IF(OR(AND(T587=0,BF571&gt;0),AND(T587="ns",BG571&gt;0),AND(T587="ns",BF571=0,BG571=0)),1,IF(OR(AND(BF571&gt;=2,T587&gt;BG571),AND(T587="ns",BG571=0,BF571&gt;0),T587=BG571),0,1)))</f>
        <v>0</v>
      </c>
      <c r="BI571">
        <f>COUNTIF(T607:T611,"NS")</f>
        <v>0</v>
      </c>
      <c r="BJ571">
        <f>SUM(T607:T611)</f>
        <v>0</v>
      </c>
      <c r="BK571">
        <f>IF(COUNTA(T606:T611)=0,0,IF(OR(AND(T606=0,BI571&gt;0),AND(T606="ns",BJ571&gt;0),AND(T606="ns",BI571=0,BJ571=0)),1,IF(OR(AND(BI571&gt;=2,T606&gt;BJ571),AND(T606="ns",BJ571=0,BI571&gt;0),T606=BJ571),0,1)))</f>
        <v>0</v>
      </c>
      <c r="BL571">
        <f>COUNTIF(T615:T617,"NS")</f>
        <v>0</v>
      </c>
      <c r="BM571">
        <f>SUM(T615:T617)</f>
        <v>0</v>
      </c>
      <c r="BN571">
        <f>IF(COUNTA(T614:T617)=0,0,IF(OR(AND(T614=0,BL571&gt;0),AND(T614="ns",BM571&gt;0),AND(T614="ns",BL571=0,BM571=0)),1,IF(OR(AND(BL571&gt;=2,T614&gt;BM571),AND(T614="ns",BM571=0,BL571&gt;0),T614=BM571),0,1)))</f>
        <v>0</v>
      </c>
      <c r="BO571">
        <f>COUNTIF(T625:T631,"NS")</f>
        <v>0</v>
      </c>
      <c r="BP571">
        <f>SUM(T625:T631)</f>
        <v>0</v>
      </c>
      <c r="BQ571">
        <f>IF(COUNTA(T624:T631)=0,0,IF(OR(AND(T624=0,BO571&gt;0),AND(T624="ns",BP571&gt;0),AND(T624="ns",BO571=0,BP571=0)),1,IF(OR(AND(BO571&gt;=2,T624&gt;BP571),AND(T624="ns",BP571=0,BO571&gt;0),T624=BP571),0,1)))</f>
        <v>0</v>
      </c>
      <c r="BR571">
        <f>COUNTIF(T633:T637,"NS")</f>
        <v>0</v>
      </c>
      <c r="BS571">
        <f>SUM(T633:T637)</f>
        <v>0</v>
      </c>
      <c r="BT571">
        <f>IF(COUNTA(T632:T637)=0,0,IF(OR(AND(T632=0,BR571&gt;0),AND(T632="ns",BS571&gt;0),AND(T632="ns",BR571=0,BS571=0)),1,IF(OR(AND(BR571&gt;=2,T632&gt;BS571),AND(T632="ns",BS571=0,BR571&gt;0),T632=BS571),0,1)))</f>
        <v>0</v>
      </c>
      <c r="BU571">
        <f>COUNTIF(T643:T648,"NS")</f>
        <v>0</v>
      </c>
      <c r="BV571">
        <f>SUM(T643:T648)</f>
        <v>0</v>
      </c>
      <c r="BW571">
        <f>IF(COUNTA(T642:T648)=0,0,IF(OR(AND(T642=0,BU571&gt;0),AND(T642="ns",BV571&gt;0),AND(T642="ns",BU571=0,BV571=0)),1,IF(OR(AND(BU571&gt;=2,T642&gt;BV571),AND(T642="ns",BV571=0,BU571&gt;0),T642=BV571),0,1)))</f>
        <v>0</v>
      </c>
      <c r="BX571">
        <f>COUNTIF(T650:T657,"NS")</f>
        <v>0</v>
      </c>
      <c r="BY571">
        <f>SUM(T650:T657)</f>
        <v>0</v>
      </c>
      <c r="BZ571">
        <f>IF(COUNTA(T649:T657)=0,0,IF(OR(AND(T649=0,BX571&gt;0),AND(T649="ns",BY571&gt;0),AND(T649="ns",BX571=0,BY571=0)),1,IF(OR(AND(BX571&gt;=2,T649&gt;BY571),AND(T649="ns",BY571=0,BX571&gt;0),T649=BY571),0,1)))</f>
        <v>0</v>
      </c>
      <c r="CA571">
        <f>COUNTIF(T662:T667,"NS")</f>
        <v>0</v>
      </c>
      <c r="CB571">
        <f>SUM(T662:T667)</f>
        <v>0</v>
      </c>
      <c r="CC571">
        <f>IF(COUNTA(T661:T667)=0,0,IF(OR(AND(T661=0,CA571&gt;0),AND(T661="ns",CB571&gt;0),AND(T661="ns",CA571=0,CB571=0)),1,IF(OR(AND(CA571&gt;=2,T661&gt;CB571),AND(T661="ns",CB571=0,CA571&gt;0),T661=CB571),0,1)))</f>
        <v>0</v>
      </c>
      <c r="CD571">
        <f>COUNTIF(T672:T680,"NS")</f>
        <v>0</v>
      </c>
      <c r="CE571">
        <f>SUM(T672:T680)</f>
        <v>0</v>
      </c>
      <c r="CF571">
        <f>IF(COUNTA(T671:T680)=0,0,IF(OR(AND(T671=0,CD571&gt;0),AND(T671="ns",CE571&gt;0),AND(T671="ns",CD571=0,CE571=0)),1,IF(OR(AND(CD571&gt;=2,T671&gt;CE571),AND(T671="ns",CE571=0,CD571&gt;0),T671=CE571),0,1)))</f>
        <v>0</v>
      </c>
      <c r="CG571">
        <f>COUNTIF(T682:T684,"NS")</f>
        <v>0</v>
      </c>
      <c r="CH571">
        <f>SUM(T682:T684)</f>
        <v>0</v>
      </c>
      <c r="CI571">
        <f>IF(COUNTA(T681:T684)=0,0,IF(OR(AND(T681=0,CG571&gt;0),AND(T681="ns",CH571&gt;0),AND(T681="ns",CG571=0,CH571=0)),1,IF(OR(AND(CG571&gt;=2,T681&gt;CH571),AND(T681="ns",CH571=0,CG571&gt;0),T681=CH571),0,1)))</f>
        <v>0</v>
      </c>
      <c r="CJ571">
        <f>COUNTIF(T693:T699,"NS")</f>
        <v>0</v>
      </c>
      <c r="CK571">
        <f>SUM(T693:T699)</f>
        <v>0</v>
      </c>
      <c r="CL571">
        <f>IF(COUNTA(T692:T699)=0,0,IF(OR(AND(T692=0,CJ571&gt;0),AND(T692="ns",CK571&gt;0),AND(T692="ns",CJ571=0,CK571=0)),1,IF(OR(AND(CJ571&gt;=2,T692&gt;CK571),AND(T692="ns",CK571=0,CJ571&gt;0),T692=CK571),0,1)))</f>
        <v>0</v>
      </c>
      <c r="CM571">
        <f>COUNTIF(T702:T704,"NS")</f>
        <v>0</v>
      </c>
      <c r="CN571">
        <f>SUM(T702:T704)</f>
        <v>0</v>
      </c>
      <c r="CO571">
        <f>IF(COUNTA(T701:T704)=0,0,IF(OR(AND(T701=0,CM571&gt;0),AND(T701="ns",CN571&gt;0),AND(T701="ns",CM571=0,CN571=0)),1,IF(OR(AND(CM571&gt;=2,T701&gt;CN571),AND(T701="ns",CN571=0,CM571&gt;0),T701=CN571),0,1)))</f>
        <v>0</v>
      </c>
      <c r="CP571">
        <f>COUNTIF(T714:T718,"NS")</f>
        <v>0</v>
      </c>
      <c r="CQ571">
        <f>SUM(T714:T718)</f>
        <v>0</v>
      </c>
      <c r="CR571">
        <f>IF(COUNTA(T713:T718)=0,0,IF(OR(AND(T713=0,CP571&gt;0),AND(T713="ns",CQ571&gt;0),AND(T713="ns",CP571=0,CQ571=0)),1,IF(OR(AND(CP571&gt;=2,T713&gt;CQ571),AND(T713="ns",CQ571=0,CP571&gt;0),T713=CQ571),0,1)))</f>
        <v>0</v>
      </c>
      <c r="CS571"/>
      <c r="CT571"/>
      <c r="CU571"/>
      <c r="CV571"/>
      <c r="CW571"/>
      <c r="CX571"/>
      <c r="CY571"/>
      <c r="CZ571"/>
      <c r="DA571"/>
    </row>
    <row r="572" spans="1:105" ht="15" customHeight="1">
      <c r="A572" s="108"/>
      <c r="B572" s="38"/>
      <c r="C572" s="1109"/>
      <c r="D572" s="954"/>
      <c r="E572" s="956"/>
      <c r="F572" s="1110" t="s">
        <v>4821</v>
      </c>
      <c r="G572" s="1110"/>
      <c r="H572" s="178"/>
      <c r="I572" s="1111" t="s">
        <v>4822</v>
      </c>
      <c r="J572" s="1111"/>
      <c r="K572" s="1111"/>
      <c r="L572" s="1111"/>
      <c r="M572" s="1111"/>
      <c r="N572" s="1111"/>
      <c r="O572" s="1112"/>
      <c r="P572" s="100"/>
      <c r="Q572" s="100"/>
      <c r="R572" s="100"/>
      <c r="S572" s="100"/>
      <c r="T572" s="100"/>
      <c r="U572" s="100"/>
      <c r="V572" s="100"/>
      <c r="W572" s="100"/>
      <c r="X572" s="100"/>
      <c r="Y572" s="100"/>
      <c r="Z572" s="100"/>
      <c r="AA572" s="100"/>
      <c r="AB572" s="100"/>
      <c r="AC572" s="100"/>
      <c r="AD572" s="100"/>
      <c r="AF572"/>
      <c r="AG572">
        <f t="shared" si="256"/>
        <v>0</v>
      </c>
      <c r="AH572">
        <f t="shared" si="257"/>
        <v>0</v>
      </c>
      <c r="AK572">
        <f t="shared" si="241"/>
        <v>0</v>
      </c>
      <c r="AL572">
        <f t="shared" si="242"/>
        <v>0</v>
      </c>
      <c r="AM572">
        <f t="shared" si="243"/>
        <v>0</v>
      </c>
      <c r="AN572">
        <f t="shared" si="244"/>
        <v>0</v>
      </c>
      <c r="AO572">
        <f t="shared" si="245"/>
        <v>0</v>
      </c>
      <c r="AP572">
        <f t="shared" si="246"/>
        <v>0</v>
      </c>
      <c r="AQ572">
        <f t="shared" si="247"/>
        <v>0</v>
      </c>
      <c r="AR572">
        <f t="shared" si="248"/>
        <v>0</v>
      </c>
      <c r="AS572">
        <f t="shared" si="249"/>
        <v>0</v>
      </c>
      <c r="AT572">
        <f t="shared" si="250"/>
        <v>0</v>
      </c>
      <c r="AU572">
        <f t="shared" si="251"/>
        <v>0</v>
      </c>
      <c r="AV572">
        <f t="shared" si="252"/>
        <v>0</v>
      </c>
      <c r="AW572">
        <f t="shared" si="253"/>
        <v>0</v>
      </c>
      <c r="AX572">
        <f t="shared" si="254"/>
        <v>0</v>
      </c>
      <c r="AY572">
        <f t="shared" si="255"/>
        <v>0</v>
      </c>
      <c r="AZ572">
        <f>COUNTIF(U568:U573,"NS")</f>
        <v>0</v>
      </c>
      <c r="BA572">
        <f>SUM(U568:U573)</f>
        <v>0</v>
      </c>
      <c r="BB572">
        <f>IF(COUNTA(U567:U573)=0,0,IF(OR(AND(U567=0,AZ572&gt;0),AND(U567="ns",BA572&gt;0),AND(U567="ns",AZ572=0,BA572=0)),1,IF(OR(AND(AZ572&gt;=2,U567&gt;BA572),AND(U567="ns",BA572=0,AZ572&gt;0),U567=BA572),0,1)))</f>
        <v>0</v>
      </c>
      <c r="BC572">
        <f>COUNTIF(U579:U583,"NS")</f>
        <v>0</v>
      </c>
      <c r="BD572">
        <f>SUM(U579:U583)</f>
        <v>0</v>
      </c>
      <c r="BE572">
        <f>IF(COUNTA(U578:U583)=0,0,IF(OR(AND(U578=0,BC572&gt;0),AND(U578="ns",BD572&gt;0),AND(U578="ns",BC572=0,BD572=0)),1,IF(OR(AND(BC572&gt;=2,U578&gt;BD572),AND(U578="ns",BD572=0,BC572&gt;0),U578=BD572),0,1)))</f>
        <v>0</v>
      </c>
      <c r="BF572">
        <f>COUNTIF(U588:U605,"NS")</f>
        <v>0</v>
      </c>
      <c r="BG572">
        <f>SUM(U588:U605)</f>
        <v>0</v>
      </c>
      <c r="BH572">
        <f>IF(COUNTA(U587:U605)=0,0,IF(OR(AND(U587=0,BF572&gt;0),AND(U587="ns",BG572&gt;0),AND(U587="ns",BF572=0,BG572=0)),1,IF(OR(AND(BF572&gt;=2,U587&gt;BG572),AND(U587="ns",BG572=0,BF572&gt;0),U587=BG572),0,1)))</f>
        <v>0</v>
      </c>
      <c r="BI572">
        <f>COUNTIF(U607:U611,"NS")</f>
        <v>0</v>
      </c>
      <c r="BJ572">
        <f>SUM(U607:U611)</f>
        <v>0</v>
      </c>
      <c r="BK572">
        <f>IF(COUNTA(U606:U611)=0,0,IF(OR(AND(U606=0,BI572&gt;0),AND(U606="ns",BJ572&gt;0),AND(U606="ns",BI572=0,BJ572=0)),1,IF(OR(AND(BI572&gt;=2,U606&gt;BJ572),AND(U606="ns",BJ572=0,BI572&gt;0),U606=BJ572),0,1)))</f>
        <v>0</v>
      </c>
      <c r="BL572">
        <f>COUNTIF(U615:U617,"NS")</f>
        <v>0</v>
      </c>
      <c r="BM572">
        <f>SUM(U615:U617)</f>
        <v>0</v>
      </c>
      <c r="BN572">
        <f>IF(COUNTA(U614:U617)=0,0,IF(OR(AND(U614=0,BL572&gt;0),AND(U614="ns",BM572&gt;0),AND(U614="ns",BL572=0,BM572=0)),1,IF(OR(AND(BL572&gt;=2,U614&gt;BM572),AND(U614="ns",BM572=0,BL572&gt;0),U614=BM572),0,1)))</f>
        <v>0</v>
      </c>
      <c r="BO572">
        <f>COUNTIF(U625:U631,"NS")</f>
        <v>0</v>
      </c>
      <c r="BP572">
        <f>SUM(U625:U631)</f>
        <v>0</v>
      </c>
      <c r="BQ572">
        <f>IF(COUNTA(U624:U631)=0,0,IF(OR(AND(U624=0,BO572&gt;0),AND(U624="ns",BP572&gt;0),AND(U624="ns",BO572=0,BP572=0)),1,IF(OR(AND(BO572&gt;=2,U624&gt;BP572),AND(U624="ns",BP572=0,BO572&gt;0),U624=BP572),0,1)))</f>
        <v>0</v>
      </c>
      <c r="BR572">
        <f>COUNTIF(U633:U637,"NS")</f>
        <v>0</v>
      </c>
      <c r="BS572">
        <f>SUM(U633:U637)</f>
        <v>0</v>
      </c>
      <c r="BT572">
        <f>IF(COUNTA(U632:U637)=0,0,IF(OR(AND(U632=0,BR572&gt;0),AND(U632="ns",BS572&gt;0),AND(U632="ns",BR572=0,BS572=0)),1,IF(OR(AND(BR572&gt;=2,U632&gt;BS572),AND(U632="ns",BS572=0,BR572&gt;0),U632=BS572),0,1)))</f>
        <v>0</v>
      </c>
      <c r="BU572">
        <f>COUNTIF(U643:U648,"NS")</f>
        <v>0</v>
      </c>
      <c r="BV572">
        <f>SUM(U643:U648)</f>
        <v>0</v>
      </c>
      <c r="BW572">
        <f>IF(COUNTA(U642:U648)=0,0,IF(OR(AND(U642=0,BU572&gt;0),AND(U642="ns",BV572&gt;0),AND(U642="ns",BU572=0,BV572=0)),1,IF(OR(AND(BU572&gt;=2,U642&gt;BV572),AND(U642="ns",BV572=0,BU572&gt;0),U642=BV572),0,1)))</f>
        <v>0</v>
      </c>
      <c r="BX572">
        <f>COUNTIF(U650:U657,"NS")</f>
        <v>0</v>
      </c>
      <c r="BY572">
        <f>SUM(U650:U657)</f>
        <v>0</v>
      </c>
      <c r="BZ572">
        <f>IF(COUNTA(U649:U657)=0,0,IF(OR(AND(U649=0,BX572&gt;0),AND(U649="ns",BY572&gt;0),AND(U649="ns",BX572=0,BY572=0)),1,IF(OR(AND(BX572&gt;=2,U649&gt;BY572),AND(U649="ns",BY572=0,BX572&gt;0),U649=BY572),0,1)))</f>
        <v>0</v>
      </c>
      <c r="CA572">
        <f>COUNTIF(U662:U667,"NS")</f>
        <v>0</v>
      </c>
      <c r="CB572">
        <f>SUM(U662:U667)</f>
        <v>0</v>
      </c>
      <c r="CC572">
        <f>IF(COUNTA(U661:U667)=0,0,IF(OR(AND(U661=0,CA572&gt;0),AND(U661="ns",CB572&gt;0),AND(U661="ns",CA572=0,CB572=0)),1,IF(OR(AND(CA572&gt;=2,U661&gt;CB572),AND(U661="ns",CB572=0,CA572&gt;0),U661=CB572),0,1)))</f>
        <v>0</v>
      </c>
      <c r="CD572">
        <f>COUNTIF(U672:U680,"NS")</f>
        <v>0</v>
      </c>
      <c r="CE572">
        <f>SUM(U672:U680)</f>
        <v>0</v>
      </c>
      <c r="CF572">
        <f>IF(COUNTA(U671:U680)=0,0,IF(OR(AND(U671=0,CD572&gt;0),AND(U671="ns",CE572&gt;0),AND(U671="ns",CD572=0,CE572=0)),1,IF(OR(AND(CD572&gt;=2,U671&gt;CE572),AND(U671="ns",CE572=0,CD572&gt;0),U671=CE572),0,1)))</f>
        <v>0</v>
      </c>
      <c r="CG572">
        <f>COUNTIF(U682:U684,"NS")</f>
        <v>0</v>
      </c>
      <c r="CH572">
        <f>SUM(U682:U684)</f>
        <v>0</v>
      </c>
      <c r="CI572">
        <f>IF(COUNTA(U681:U684)=0,0,IF(OR(AND(U681=0,CG572&gt;0),AND(U681="ns",CH572&gt;0),AND(U681="ns",CG572=0,CH572=0)),1,IF(OR(AND(CG572&gt;=2,U681&gt;CH572),AND(U681="ns",CH572=0,CG572&gt;0),U681=CH572),0,1)))</f>
        <v>0</v>
      </c>
      <c r="CJ572">
        <f>COUNTIF(U693:U699,"NS")</f>
        <v>0</v>
      </c>
      <c r="CK572">
        <f>SUM(U693:U699)</f>
        <v>0</v>
      </c>
      <c r="CL572">
        <f>IF(COUNTA(U692:U699)=0,0,IF(OR(AND(U692=0,CJ572&gt;0),AND(U692="ns",CK572&gt;0),AND(U692="ns",CJ572=0,CK572=0)),1,IF(OR(AND(CJ572&gt;=2,U692&gt;CK572),AND(U692="ns",CK572=0,CJ572&gt;0),U692=CK572),0,1)))</f>
        <v>0</v>
      </c>
      <c r="CM572">
        <f>COUNTIF(U702:U704,"NS")</f>
        <v>0</v>
      </c>
      <c r="CN572">
        <f>SUM(U702:U704)</f>
        <v>0</v>
      </c>
      <c r="CO572">
        <f>IF(COUNTA(U701:U704)=0,0,IF(OR(AND(U701=0,CM572&gt;0),AND(U701="ns",CN572&gt;0),AND(U701="ns",CM572=0,CN572=0)),1,IF(OR(AND(CM572&gt;=2,U701&gt;CN572),AND(U701="ns",CN572=0,CM572&gt;0),U701=CN572),0,1)))</f>
        <v>0</v>
      </c>
      <c r="CP572">
        <f>COUNTIF(U714:U718,"NS")</f>
        <v>0</v>
      </c>
      <c r="CQ572">
        <f>SUM(U714:U718)</f>
        <v>0</v>
      </c>
      <c r="CR572">
        <f>IF(COUNTA(U713:U718)=0,0,IF(OR(AND(U713=0,CP572&gt;0),AND(U713="ns",CQ572&gt;0),AND(U713="ns",CP572=0,CQ572=0)),1,IF(OR(AND(CP572&gt;=2,U713&gt;CQ572),AND(U713="ns",CQ572=0,CP572&gt;0),U713=CQ572),0,1)))</f>
        <v>0</v>
      </c>
      <c r="CS572"/>
      <c r="CT572"/>
      <c r="CU572"/>
      <c r="CV572"/>
      <c r="CW572"/>
      <c r="CX572"/>
      <c r="CY572"/>
      <c r="CZ572"/>
      <c r="DA572"/>
    </row>
    <row r="573" spans="1:105" ht="15" customHeight="1">
      <c r="A573" s="108"/>
      <c r="B573" s="38"/>
      <c r="C573" s="1109"/>
      <c r="D573" s="954"/>
      <c r="E573" s="956"/>
      <c r="F573" s="1110" t="s">
        <v>4823</v>
      </c>
      <c r="G573" s="1110"/>
      <c r="H573" s="179"/>
      <c r="I573" s="1111" t="s">
        <v>2631</v>
      </c>
      <c r="J573" s="1111"/>
      <c r="K573" s="1111"/>
      <c r="L573" s="1111"/>
      <c r="M573" s="1111"/>
      <c r="N573" s="1111"/>
      <c r="O573" s="1112"/>
      <c r="P573" s="100"/>
      <c r="Q573" s="100"/>
      <c r="R573" s="100"/>
      <c r="S573" s="100"/>
      <c r="T573" s="100"/>
      <c r="U573" s="100"/>
      <c r="V573" s="100"/>
      <c r="W573" s="100"/>
      <c r="X573" s="100"/>
      <c r="Y573" s="100"/>
      <c r="Z573" s="100"/>
      <c r="AA573" s="100"/>
      <c r="AB573" s="100"/>
      <c r="AC573" s="100"/>
      <c r="AD573" s="100"/>
      <c r="AF573"/>
      <c r="AG573">
        <f t="shared" si="256"/>
        <v>0</v>
      </c>
      <c r="AH573">
        <f t="shared" si="257"/>
        <v>0</v>
      </c>
      <c r="AK573">
        <f t="shared" si="241"/>
        <v>0</v>
      </c>
      <c r="AL573">
        <f t="shared" si="242"/>
        <v>0</v>
      </c>
      <c r="AM573">
        <f t="shared" si="243"/>
        <v>0</v>
      </c>
      <c r="AN573">
        <f t="shared" si="244"/>
        <v>0</v>
      </c>
      <c r="AO573">
        <f t="shared" si="245"/>
        <v>0</v>
      </c>
      <c r="AP573">
        <f t="shared" si="246"/>
        <v>0</v>
      </c>
      <c r="AQ573">
        <f t="shared" si="247"/>
        <v>0</v>
      </c>
      <c r="AR573">
        <f t="shared" si="248"/>
        <v>0</v>
      </c>
      <c r="AS573">
        <f t="shared" si="249"/>
        <v>0</v>
      </c>
      <c r="AT573">
        <f t="shared" si="250"/>
        <v>0</v>
      </c>
      <c r="AU573">
        <f t="shared" si="251"/>
        <v>0</v>
      </c>
      <c r="AV573">
        <f t="shared" si="252"/>
        <v>0</v>
      </c>
      <c r="AW573">
        <f t="shared" si="253"/>
        <v>0</v>
      </c>
      <c r="AX573">
        <f t="shared" si="254"/>
        <v>0</v>
      </c>
      <c r="AY573">
        <f t="shared" si="255"/>
        <v>0</v>
      </c>
      <c r="AZ573">
        <f>COUNTIF(V568:V573,"NS")</f>
        <v>0</v>
      </c>
      <c r="BA573">
        <f>SUM(V568:V573)</f>
        <v>0</v>
      </c>
      <c r="BB573">
        <f>IF(COUNTA(V567:V573)=0,0,IF(OR(AND(V567=0,AZ573&gt;0),AND(V567="ns",BA573&gt;0),AND(V567="ns",AZ573=0,BA573=0)),1,IF(OR(AND(AZ573&gt;=2,V567&gt;BA573),AND(V567="ns",BA573=0,AZ573&gt;0),V567=BA573),0,1)))</f>
        <v>0</v>
      </c>
      <c r="BC573">
        <f>COUNTIF(V579:V583,"NS")</f>
        <v>0</v>
      </c>
      <c r="BD573">
        <f>SUM(V579:V583)</f>
        <v>0</v>
      </c>
      <c r="BE573">
        <f>IF(COUNTA(V578:V583)=0,0,IF(OR(AND(V578=0,BC573&gt;0),AND(V578="ns",BD573&gt;0),AND(V578="ns",BC573=0,BD573=0)),1,IF(OR(AND(BC573&gt;=2,V578&gt;BD573),AND(V578="ns",BD573=0,BC573&gt;0),V578=BD573),0,1)))</f>
        <v>0</v>
      </c>
      <c r="BF573">
        <f>COUNTIF(V588:V605,"NS")</f>
        <v>0</v>
      </c>
      <c r="BG573">
        <f>SUM(V588:V605)</f>
        <v>0</v>
      </c>
      <c r="BH573">
        <f>IF(COUNTA(V587:V605)=0,0,IF(OR(AND(V587=0,BF573&gt;0),AND(V587="ns",BG573&gt;0),AND(V587="ns",BF573=0,BG573=0)),1,IF(OR(AND(BF573&gt;=2,V587&gt;BG573),AND(V587="ns",BG573=0,BF573&gt;0),V587=BG573),0,1)))</f>
        <v>0</v>
      </c>
      <c r="BI573">
        <f>COUNTIF(V607:V611,"NS")</f>
        <v>0</v>
      </c>
      <c r="BJ573">
        <f>SUM(V607:V611)</f>
        <v>0</v>
      </c>
      <c r="BK573">
        <f>IF(COUNTA(V606:V611)=0,0,IF(OR(AND(V606=0,BI573&gt;0),AND(V606="ns",BJ573&gt;0),AND(V606="ns",BI573=0,BJ573=0)),1,IF(OR(AND(BI573&gt;=2,V606&gt;BJ573),AND(V606="ns",BJ573=0,BI573&gt;0),V606=BJ573),0,1)))</f>
        <v>0</v>
      </c>
      <c r="BL573">
        <f>COUNTIF(V615:V617,"NS")</f>
        <v>0</v>
      </c>
      <c r="BM573">
        <f>SUM(V615:V617)</f>
        <v>0</v>
      </c>
      <c r="BN573">
        <f>IF(COUNTA(V614:V617)=0,0,IF(OR(AND(V614=0,BL573&gt;0),AND(V614="ns",BM573&gt;0),AND(V614="ns",BL573=0,BM573=0)),1,IF(OR(AND(BL573&gt;=2,V614&gt;BM573),AND(V614="ns",BM573=0,BL573&gt;0),V614=BM573),0,1)))</f>
        <v>0</v>
      </c>
      <c r="BO573">
        <f>COUNTIF(V625:V631,"NS")</f>
        <v>0</v>
      </c>
      <c r="BP573">
        <f>SUM(V625:V631)</f>
        <v>0</v>
      </c>
      <c r="BQ573">
        <f>IF(COUNTA(V624:V631)=0,0,IF(OR(AND(V624=0,BO573&gt;0),AND(V624="ns",BP573&gt;0),AND(V624="ns",BO573=0,BP573=0)),1,IF(OR(AND(BO573&gt;=2,V624&gt;BP573),AND(V624="ns",BP573=0,BO573&gt;0),V624=BP573),0,1)))</f>
        <v>0</v>
      </c>
      <c r="BR573">
        <f>COUNTIF(V633:V637,"NS")</f>
        <v>0</v>
      </c>
      <c r="BS573">
        <f>SUM(V633:V637)</f>
        <v>0</v>
      </c>
      <c r="BT573">
        <f>IF(COUNTA(V632:V637)=0,0,IF(OR(AND(V632=0,BR573&gt;0),AND(V632="ns",BS573&gt;0),AND(V632="ns",BR573=0,BS573=0)),1,IF(OR(AND(BR573&gt;=2,V632&gt;BS573),AND(V632="ns",BS573=0,BR573&gt;0),V632=BS573),0,1)))</f>
        <v>0</v>
      </c>
      <c r="BU573">
        <f>COUNTIF(V643:V648,"NS")</f>
        <v>0</v>
      </c>
      <c r="BV573">
        <f>SUM(V643:V648)</f>
        <v>0</v>
      </c>
      <c r="BW573">
        <f>IF(COUNTA(V642:V648)=0,0,IF(OR(AND(V642=0,BU573&gt;0),AND(V642="ns",BV573&gt;0),AND(V642="ns",BU573=0,BV573=0)),1,IF(OR(AND(BU573&gt;=2,V642&gt;BV573),AND(V642="ns",BV573=0,BU573&gt;0),V642=BV573),0,1)))</f>
        <v>0</v>
      </c>
      <c r="BX573">
        <f>COUNTIF(V650:V657,"NS")</f>
        <v>0</v>
      </c>
      <c r="BY573">
        <f>SUM(V650:V657)</f>
        <v>0</v>
      </c>
      <c r="BZ573">
        <f>IF(COUNTA(V649:V657)=0,0,IF(OR(AND(V649=0,BX573&gt;0),AND(V649="ns",BY573&gt;0),AND(V649="ns",BX573=0,BY573=0)),1,IF(OR(AND(BX573&gt;=2,V649&gt;BY573),AND(V649="ns",BY573=0,BX573&gt;0),V649=BY573),0,1)))</f>
        <v>0</v>
      </c>
      <c r="CA573">
        <f>COUNTIF(V662:V667,"NS")</f>
        <v>0</v>
      </c>
      <c r="CB573">
        <f>SUM(V662:V667)</f>
        <v>0</v>
      </c>
      <c r="CC573">
        <f>IF(COUNTA(V661:V667)=0,0,IF(OR(AND(V661=0,CA573&gt;0),AND(V661="ns",CB573&gt;0),AND(V661="ns",CA573=0,CB573=0)),1,IF(OR(AND(CA573&gt;=2,V661&gt;CB573),AND(V661="ns",CB573=0,CA573&gt;0),V661=CB573),0,1)))</f>
        <v>0</v>
      </c>
      <c r="CD573">
        <f>COUNTIF(V672:V680,"NS")</f>
        <v>0</v>
      </c>
      <c r="CE573">
        <f>SUM(V672:V680)</f>
        <v>0</v>
      </c>
      <c r="CF573">
        <f>IF(COUNTA(V671:V680)=0,0,IF(OR(AND(V671=0,CD573&gt;0),AND(V671="ns",CE573&gt;0),AND(V671="ns",CD573=0,CE573=0)),1,IF(OR(AND(CD573&gt;=2,V671&gt;CE573),AND(V671="ns",CE573=0,CD573&gt;0),V671=CE573),0,1)))</f>
        <v>0</v>
      </c>
      <c r="CG573">
        <f>COUNTIF(V682:V684,"NS")</f>
        <v>0</v>
      </c>
      <c r="CH573">
        <f>SUM(V682:V684)</f>
        <v>0</v>
      </c>
      <c r="CI573">
        <f>IF(COUNTA(V681:V684)=0,0,IF(OR(AND(V681=0,CG573&gt;0),AND(V681="ns",CH573&gt;0),AND(V681="ns",CG573=0,CH573=0)),1,IF(OR(AND(CG573&gt;=2,V681&gt;CH573),AND(V681="ns",CH573=0,CG573&gt;0),V681=CH573),0,1)))</f>
        <v>0</v>
      </c>
      <c r="CJ573">
        <f>COUNTIF(V693:V699,"NS")</f>
        <v>0</v>
      </c>
      <c r="CK573">
        <f>SUM(V693:V699)</f>
        <v>0</v>
      </c>
      <c r="CL573">
        <f>IF(COUNTA(V692:V699)=0,0,IF(OR(AND(V692=0,CJ573&gt;0),AND(V692="ns",CK573&gt;0),AND(V692="ns",CJ573=0,CK573=0)),1,IF(OR(AND(CJ573&gt;=2,V692&gt;CK573),AND(V692="ns",CK573=0,CJ573&gt;0),V692=CK573),0,1)))</f>
        <v>0</v>
      </c>
      <c r="CM573">
        <f>COUNTIF(V702:V704,"NS")</f>
        <v>0</v>
      </c>
      <c r="CN573">
        <f>SUM(V702:V704)</f>
        <v>0</v>
      </c>
      <c r="CO573">
        <f>IF(COUNTA(V701:V704)=0,0,IF(OR(AND(V701=0,CM573&gt;0),AND(V701="ns",CN573&gt;0),AND(V701="ns",CM573=0,CN573=0)),1,IF(OR(AND(CM573&gt;=2,V701&gt;CN573),AND(V701="ns",CN573=0,CM573&gt;0),V701=CN573),0,1)))</f>
        <v>0</v>
      </c>
      <c r="CP573">
        <f>COUNTIF(V714:V718,"NS")</f>
        <v>0</v>
      </c>
      <c r="CQ573">
        <f>SUM(V714:V718)</f>
        <v>0</v>
      </c>
      <c r="CR573">
        <f>IF(COUNTA(V713:V718)=0,0,IF(OR(AND(V713=0,CP573&gt;0),AND(V713="ns",CQ573&gt;0),AND(V713="ns",CP573=0,CQ573=0)),1,IF(OR(AND(CP573&gt;=2,V713&gt;CQ573),AND(V713="ns",CQ573=0,CP573&gt;0),V713=CQ573),0,1)))</f>
        <v>0</v>
      </c>
      <c r="CS573"/>
      <c r="CT573"/>
      <c r="CU573"/>
      <c r="CV573"/>
      <c r="CW573"/>
      <c r="CX573"/>
      <c r="CY573"/>
      <c r="CZ573"/>
      <c r="DA573"/>
    </row>
    <row r="574" spans="1:105" ht="24" customHeight="1">
      <c r="A574" s="108"/>
      <c r="B574" s="38"/>
      <c r="C574" s="1109"/>
      <c r="D574" s="954"/>
      <c r="E574" s="956"/>
      <c r="F574" s="1103" t="s">
        <v>4824</v>
      </c>
      <c r="G574" s="1103"/>
      <c r="H574" s="1104" t="s">
        <v>4825</v>
      </c>
      <c r="I574" s="1105"/>
      <c r="J574" s="1105"/>
      <c r="K574" s="1105"/>
      <c r="L574" s="1105"/>
      <c r="M574" s="1105"/>
      <c r="N574" s="1105"/>
      <c r="O574" s="1106"/>
      <c r="P574" s="100"/>
      <c r="Q574" s="100"/>
      <c r="R574" s="100"/>
      <c r="S574" s="100"/>
      <c r="T574" s="100"/>
      <c r="U574" s="100"/>
      <c r="V574" s="100"/>
      <c r="W574" s="100"/>
      <c r="X574" s="100"/>
      <c r="Y574" s="100"/>
      <c r="Z574" s="100"/>
      <c r="AA574" s="100"/>
      <c r="AB574" s="100"/>
      <c r="AC574" s="100"/>
      <c r="AD574" s="100"/>
      <c r="AF574"/>
      <c r="AG574">
        <f t="shared" si="256"/>
        <v>0</v>
      </c>
      <c r="AH574">
        <f t="shared" si="257"/>
        <v>0</v>
      </c>
      <c r="AJ574">
        <f>IF(OR(P574="NS",P574="NA",$P$176=0,$P$176="NS",$P$176="NA"),0,IF((P574*(IFERROR(100/SUM(P562:P574),0)))&gt;25,1,0))</f>
        <v>0</v>
      </c>
      <c r="AK574">
        <f t="shared" si="241"/>
        <v>0</v>
      </c>
      <c r="AL574">
        <f t="shared" si="242"/>
        <v>0</v>
      </c>
      <c r="AM574">
        <f t="shared" si="243"/>
        <v>0</v>
      </c>
      <c r="AN574">
        <f t="shared" si="244"/>
        <v>0</v>
      </c>
      <c r="AO574">
        <f t="shared" si="245"/>
        <v>0</v>
      </c>
      <c r="AP574">
        <f t="shared" si="246"/>
        <v>0</v>
      </c>
      <c r="AQ574">
        <f t="shared" si="247"/>
        <v>0</v>
      </c>
      <c r="AR574">
        <f t="shared" si="248"/>
        <v>0</v>
      </c>
      <c r="AS574">
        <f t="shared" si="249"/>
        <v>0</v>
      </c>
      <c r="AT574">
        <f t="shared" si="250"/>
        <v>0</v>
      </c>
      <c r="AU574">
        <f t="shared" si="251"/>
        <v>0</v>
      </c>
      <c r="AV574">
        <f t="shared" si="252"/>
        <v>0</v>
      </c>
      <c r="AW574">
        <f t="shared" si="253"/>
        <v>0</v>
      </c>
      <c r="AX574">
        <f t="shared" si="254"/>
        <v>0</v>
      </c>
      <c r="AY574">
        <f t="shared" si="255"/>
        <v>0</v>
      </c>
      <c r="AZ574">
        <f>COUNTIF(W568:W573,"NS")</f>
        <v>0</v>
      </c>
      <c r="BA574">
        <f>SUM(W568:W573)</f>
        <v>0</v>
      </c>
      <c r="BB574">
        <f>IF(COUNTA(W567:W573)=0,0,IF(OR(AND(W567=0,AZ574&gt;0),AND(W567="ns",BA574&gt;0),AND(W567="ns",AZ574=0,BA574=0)),1,IF(OR(AND(AZ574&gt;=2,W567&gt;BA574),AND(W567="ns",BA574=0,AZ574&gt;0),W567=BA574),0,1)))</f>
        <v>0</v>
      </c>
      <c r="BC574">
        <f>COUNTIF(W579:W583,"NS")</f>
        <v>0</v>
      </c>
      <c r="BD574">
        <f>SUM(W579:W583)</f>
        <v>0</v>
      </c>
      <c r="BE574">
        <f>IF(COUNTA(W578:W583)=0,0,IF(OR(AND(W578=0,BC574&gt;0),AND(W578="ns",BD574&gt;0),AND(W578="ns",BC574=0,BD574=0)),1,IF(OR(AND(BC574&gt;=2,W578&gt;BD574),AND(W578="ns",BD574=0,BC574&gt;0),W578=BD574),0,1)))</f>
        <v>0</v>
      </c>
      <c r="BF574">
        <f>COUNTIF(W588:W605,"NS")</f>
        <v>0</v>
      </c>
      <c r="BG574">
        <f>SUM(W588:W605)</f>
        <v>0</v>
      </c>
      <c r="BH574">
        <f>IF(COUNTA(W587:W605)=0,0,IF(OR(AND(W587=0,BF574&gt;0),AND(W587="ns",BG574&gt;0),AND(W587="ns",BF574=0,BG574=0)),1,IF(OR(AND(BF574&gt;=2,W587&gt;BG574),AND(W587="ns",BG574=0,BF574&gt;0),W587=BG574),0,1)))</f>
        <v>0</v>
      </c>
      <c r="BI574">
        <f>COUNTIF(W607:W611,"NS")</f>
        <v>0</v>
      </c>
      <c r="BJ574">
        <f>SUM(W607:W611)</f>
        <v>0</v>
      </c>
      <c r="BK574">
        <f>IF(COUNTA(W606:W611)=0,0,IF(OR(AND(W606=0,BI574&gt;0),AND(W606="ns",BJ574&gt;0),AND(W606="ns",BI574=0,BJ574=0)),1,IF(OR(AND(BI574&gt;=2,W606&gt;BJ574),AND(W606="ns",BJ574=0,BI574&gt;0),W606=BJ574),0,1)))</f>
        <v>0</v>
      </c>
      <c r="BL574">
        <f>COUNTIF(W615:W617,"NS")</f>
        <v>0</v>
      </c>
      <c r="BM574">
        <f>SUM(W615:W617)</f>
        <v>0</v>
      </c>
      <c r="BN574">
        <f>IF(COUNTA(W614:W617)=0,0,IF(OR(AND(W614=0,BL574&gt;0),AND(W614="ns",BM574&gt;0),AND(W614="ns",BL574=0,BM574=0)),1,IF(OR(AND(BL574&gt;=2,W614&gt;BM574),AND(W614="ns",BM574=0,BL574&gt;0),W614=BM574),0,1)))</f>
        <v>0</v>
      </c>
      <c r="BO574">
        <f>COUNTIF(W625:W631,"NS")</f>
        <v>0</v>
      </c>
      <c r="BP574">
        <f>SUM(W625:W631)</f>
        <v>0</v>
      </c>
      <c r="BQ574">
        <f>IF(COUNTA(W624:W631)=0,0,IF(OR(AND(W624=0,BO574&gt;0),AND(W624="ns",BP574&gt;0),AND(W624="ns",BO574=0,BP574=0)),1,IF(OR(AND(BO574&gt;=2,W624&gt;BP574),AND(W624="ns",BP574=0,BO574&gt;0),W624=BP574),0,1)))</f>
        <v>0</v>
      </c>
      <c r="BR574">
        <f>COUNTIF(W633:W637,"NS")</f>
        <v>0</v>
      </c>
      <c r="BS574">
        <f>SUM(W633:W637)</f>
        <v>0</v>
      </c>
      <c r="BT574">
        <f>IF(COUNTA(W632:W637)=0,0,IF(OR(AND(W632=0,BR574&gt;0),AND(W632="ns",BS574&gt;0),AND(W632="ns",BR574=0,BS574=0)),1,IF(OR(AND(BR574&gt;=2,W632&gt;BS574),AND(W632="ns",BS574=0,BR574&gt;0),W632=BS574),0,1)))</f>
        <v>0</v>
      </c>
      <c r="BU574">
        <f>COUNTIF(W643:W648,"NS")</f>
        <v>0</v>
      </c>
      <c r="BV574">
        <f>SUM(W643:W648)</f>
        <v>0</v>
      </c>
      <c r="BW574">
        <f>IF(COUNTA(W642:W648)=0,0,IF(OR(AND(W642=0,BU574&gt;0),AND(W642="ns",BV574&gt;0),AND(W642="ns",BU574=0,BV574=0)),1,IF(OR(AND(BU574&gt;=2,W642&gt;BV574),AND(W642="ns",BV574=0,BU574&gt;0),W642=BV574),0,1)))</f>
        <v>0</v>
      </c>
      <c r="BX574">
        <f>COUNTIF(W650:W657,"NS")</f>
        <v>0</v>
      </c>
      <c r="BY574">
        <f>SUM(W650:W657)</f>
        <v>0</v>
      </c>
      <c r="BZ574">
        <f>IF(COUNTA(W649:W657)=0,0,IF(OR(AND(W649=0,BX574&gt;0),AND(W649="ns",BY574&gt;0),AND(W649="ns",BX574=0,BY574=0)),1,IF(OR(AND(BX574&gt;=2,W649&gt;BY574),AND(W649="ns",BY574=0,BX574&gt;0),W649=BY574),0,1)))</f>
        <v>0</v>
      </c>
      <c r="CA574">
        <f>COUNTIF(W662:W667,"NS")</f>
        <v>0</v>
      </c>
      <c r="CB574">
        <f>SUM(W662:W667)</f>
        <v>0</v>
      </c>
      <c r="CC574">
        <f>IF(COUNTA(W661:W667)=0,0,IF(OR(AND(W661=0,CA574&gt;0),AND(W661="ns",CB574&gt;0),AND(W661="ns",CA574=0,CB574=0)),1,IF(OR(AND(CA574&gt;=2,W661&gt;CB574),AND(W661="ns",CB574=0,CA574&gt;0),W661=CB574),0,1)))</f>
        <v>0</v>
      </c>
      <c r="CD574">
        <f>COUNTIF(W672:W680,"NS")</f>
        <v>0</v>
      </c>
      <c r="CE574">
        <f>SUM(W672:W680)</f>
        <v>0</v>
      </c>
      <c r="CF574">
        <f>IF(COUNTA(W671:W680)=0,0,IF(OR(AND(W671=0,CD574&gt;0),AND(W671="ns",CE574&gt;0),AND(W671="ns",CD574=0,CE574=0)),1,IF(OR(AND(CD574&gt;=2,W671&gt;CE574),AND(W671="ns",CE574=0,CD574&gt;0),W671=CE574),0,1)))</f>
        <v>0</v>
      </c>
      <c r="CG574">
        <f>COUNTIF(W682:W684,"NS")</f>
        <v>0</v>
      </c>
      <c r="CH574">
        <f>SUM(W682:W684)</f>
        <v>0</v>
      </c>
      <c r="CI574">
        <f>IF(COUNTA(W681:W684)=0,0,IF(OR(AND(W681=0,CG574&gt;0),AND(W681="ns",CH574&gt;0),AND(W681="ns",CG574=0,CH574=0)),1,IF(OR(AND(CG574&gt;=2,W681&gt;CH574),AND(W681="ns",CH574=0,CG574&gt;0),W681=CH574),0,1)))</f>
        <v>0</v>
      </c>
      <c r="CJ574">
        <f>COUNTIF(W693:W699,"NS")</f>
        <v>0</v>
      </c>
      <c r="CK574">
        <f>SUM(W693:W699)</f>
        <v>0</v>
      </c>
      <c r="CL574">
        <f>IF(COUNTA(W692:W699)=0,0,IF(OR(AND(W692=0,CJ574&gt;0),AND(W692="ns",CK574&gt;0),AND(W692="ns",CJ574=0,CK574=0)),1,IF(OR(AND(CJ574&gt;=2,W692&gt;CK574),AND(W692="ns",CK574=0,CJ574&gt;0),W692=CK574),0,1)))</f>
        <v>0</v>
      </c>
      <c r="CM574">
        <f>COUNTIF(W702:W704,"NS")</f>
        <v>0</v>
      </c>
      <c r="CN574">
        <f>SUM(W702:W704)</f>
        <v>0</v>
      </c>
      <c r="CO574">
        <f>IF(COUNTA(W701:W704)=0,0,IF(OR(AND(W701=0,CM574&gt;0),AND(W701="ns",CN574&gt;0),AND(W701="ns",CM574=0,CN574=0)),1,IF(OR(AND(CM574&gt;=2,W701&gt;CN574),AND(W701="ns",CN574=0,CM574&gt;0),W701=CN574),0,1)))</f>
        <v>0</v>
      </c>
      <c r="CP574">
        <f>COUNTIF(W714:W718,"NS")</f>
        <v>0</v>
      </c>
      <c r="CQ574">
        <f>SUM(W714:W718)</f>
        <v>0</v>
      </c>
      <c r="CR574">
        <f>IF(COUNTA(W713:W718)=0,0,IF(OR(AND(W713=0,CP574&gt;0),AND(W713="ns",CQ574&gt;0),AND(W713="ns",CP574=0,CQ574=0)),1,IF(OR(AND(CP574&gt;=2,W713&gt;CQ574),AND(W713="ns",CQ574=0,CP574&gt;0),W713=CQ574),0,1)))</f>
        <v>0</v>
      </c>
      <c r="CS574"/>
      <c r="CT574"/>
      <c r="CU574"/>
      <c r="CV574"/>
      <c r="CW574"/>
      <c r="CX574"/>
      <c r="CY574"/>
      <c r="CZ574"/>
      <c r="DA574"/>
    </row>
    <row r="575" spans="1:105" ht="15" customHeight="1">
      <c r="A575" s="108"/>
      <c r="B575" s="38"/>
      <c r="C575" s="1108" t="s">
        <v>4826</v>
      </c>
      <c r="D575" s="847" t="s">
        <v>4827</v>
      </c>
      <c r="E575" s="848"/>
      <c r="F575" s="1103" t="s">
        <v>4828</v>
      </c>
      <c r="G575" s="1103"/>
      <c r="H575" s="1104" t="s">
        <v>4829</v>
      </c>
      <c r="I575" s="1105"/>
      <c r="J575" s="1105"/>
      <c r="K575" s="1105"/>
      <c r="L575" s="1105"/>
      <c r="M575" s="1105"/>
      <c r="N575" s="1105"/>
      <c r="O575" s="1106"/>
      <c r="P575" s="100"/>
      <c r="Q575" s="100"/>
      <c r="R575" s="100"/>
      <c r="S575" s="100"/>
      <c r="T575" s="100"/>
      <c r="U575" s="100"/>
      <c r="V575" s="100"/>
      <c r="W575" s="100"/>
      <c r="X575" s="100"/>
      <c r="Y575" s="100"/>
      <c r="Z575" s="100"/>
      <c r="AA575" s="100"/>
      <c r="AB575" s="100"/>
      <c r="AC575" s="100"/>
      <c r="AD575" s="100"/>
      <c r="AF575"/>
      <c r="AG575">
        <f t="shared" si="256"/>
        <v>0</v>
      </c>
      <c r="AH575">
        <f t="shared" si="257"/>
        <v>0</v>
      </c>
      <c r="AK575">
        <f t="shared" si="241"/>
        <v>0</v>
      </c>
      <c r="AL575">
        <f t="shared" si="242"/>
        <v>0</v>
      </c>
      <c r="AM575">
        <f t="shared" si="243"/>
        <v>0</v>
      </c>
      <c r="AN575">
        <f t="shared" si="244"/>
        <v>0</v>
      </c>
      <c r="AO575">
        <f t="shared" si="245"/>
        <v>0</v>
      </c>
      <c r="AP575">
        <f t="shared" si="246"/>
        <v>0</v>
      </c>
      <c r="AQ575">
        <f t="shared" si="247"/>
        <v>0</v>
      </c>
      <c r="AR575">
        <f t="shared" si="248"/>
        <v>0</v>
      </c>
      <c r="AS575">
        <f t="shared" si="249"/>
        <v>0</v>
      </c>
      <c r="AT575">
        <f t="shared" si="250"/>
        <v>0</v>
      </c>
      <c r="AU575">
        <f t="shared" si="251"/>
        <v>0</v>
      </c>
      <c r="AV575">
        <f t="shared" si="252"/>
        <v>0</v>
      </c>
      <c r="AW575">
        <f t="shared" si="253"/>
        <v>0</v>
      </c>
      <c r="AX575">
        <f t="shared" si="254"/>
        <v>0</v>
      </c>
      <c r="AY575">
        <f t="shared" si="255"/>
        <v>0</v>
      </c>
      <c r="AZ575">
        <f>COUNTIF(X568:X573,"NS")</f>
        <v>0</v>
      </c>
      <c r="BA575">
        <f>SUM(X568:X573)</f>
        <v>0</v>
      </c>
      <c r="BB575">
        <f>IF(COUNTA(X567:X573)=0,0,IF(OR(AND(X567=0,AZ575&gt;0),AND(X567="ns",BA575&gt;0),AND(X567="ns",AZ575=0,BA575=0)),1,IF(OR(AND(AZ575&gt;=2,X567&gt;BA575),AND(X567="ns",BA575=0,AZ575&gt;0),X567=BA575),0,1)))</f>
        <v>0</v>
      </c>
      <c r="BC575">
        <f>COUNTIF(X579:X583,"NS")</f>
        <v>0</v>
      </c>
      <c r="BD575">
        <f>SUM(X579:X583)</f>
        <v>0</v>
      </c>
      <c r="BE575">
        <f>IF(COUNTA(X578:X583)=0,0,IF(OR(AND(X578=0,BC575&gt;0),AND(X578="ns",BD575&gt;0),AND(X578="ns",BC575=0,BD575=0)),1,IF(OR(AND(BC575&gt;=2,X578&gt;BD575),AND(X578="ns",BD575=0,BC575&gt;0),X578=BD575),0,1)))</f>
        <v>0</v>
      </c>
      <c r="BF575">
        <f>COUNTIF(X588:X605,"NS")</f>
        <v>0</v>
      </c>
      <c r="BG575">
        <f>SUM(X588:X605)</f>
        <v>0</v>
      </c>
      <c r="BH575">
        <f>IF(COUNTA(X587:X605)=0,0,IF(OR(AND(X587=0,BF575&gt;0),AND(X587="ns",BG575&gt;0),AND(X587="ns",BF575=0,BG575=0)),1,IF(OR(AND(BF575&gt;=2,X587&gt;BG575),AND(X587="ns",BG575=0,BF575&gt;0),X587=BG575),0,1)))</f>
        <v>0</v>
      </c>
      <c r="BI575">
        <f>COUNTIF(X607:X611,"NS")</f>
        <v>0</v>
      </c>
      <c r="BJ575">
        <f>SUM(X607:X611)</f>
        <v>0</v>
      </c>
      <c r="BK575">
        <f>IF(COUNTA(X606:X611)=0,0,IF(OR(AND(X606=0,BI575&gt;0),AND(X606="ns",BJ575&gt;0),AND(X606="ns",BI575=0,BJ575=0)),1,IF(OR(AND(BI575&gt;=2,X606&gt;BJ575),AND(X606="ns",BJ575=0,BI575&gt;0),X606=BJ575),0,1)))</f>
        <v>0</v>
      </c>
      <c r="BL575">
        <f>COUNTIF(X615:X617,"NS")</f>
        <v>0</v>
      </c>
      <c r="BM575">
        <f>SUM(X615:X617)</f>
        <v>0</v>
      </c>
      <c r="BN575">
        <f>IF(COUNTA(X614:X617)=0,0,IF(OR(AND(X614=0,BL575&gt;0),AND(X614="ns",BM575&gt;0),AND(X614="ns",BL575=0,BM575=0)),1,IF(OR(AND(BL575&gt;=2,X614&gt;BM575),AND(X614="ns",BM575=0,BL575&gt;0),X614=BM575),0,1)))</f>
        <v>0</v>
      </c>
      <c r="BO575">
        <f>COUNTIF(X625:X631,"NS")</f>
        <v>0</v>
      </c>
      <c r="BP575">
        <f>SUM(X625:X631)</f>
        <v>0</v>
      </c>
      <c r="BQ575">
        <f>IF(COUNTA(X624:X631)=0,0,IF(OR(AND(X624=0,BO575&gt;0),AND(X624="ns",BP575&gt;0),AND(X624="ns",BO575=0,BP575=0)),1,IF(OR(AND(BO575&gt;=2,X624&gt;BP575),AND(X624="ns",BP575=0,BO575&gt;0),X624=BP575),0,1)))</f>
        <v>0</v>
      </c>
      <c r="BR575">
        <f>COUNTIF(X633:X637,"NS")</f>
        <v>0</v>
      </c>
      <c r="BS575">
        <f>SUM(X633:X637)</f>
        <v>0</v>
      </c>
      <c r="BT575">
        <f>IF(COUNTA(X632:X637)=0,0,IF(OR(AND(X632=0,BR575&gt;0),AND(X632="ns",BS575&gt;0),AND(X632="ns",BR575=0,BS575=0)),1,IF(OR(AND(BR575&gt;=2,X632&gt;BS575),AND(X632="ns",BS575=0,BR575&gt;0),X632=BS575),0,1)))</f>
        <v>0</v>
      </c>
      <c r="BU575">
        <f>COUNTIF(X643:X648,"NS")</f>
        <v>0</v>
      </c>
      <c r="BV575">
        <f>SUM(X643:X648)</f>
        <v>0</v>
      </c>
      <c r="BW575">
        <f>IF(COUNTA(X642:X648)=0,0,IF(OR(AND(X642=0,BU575&gt;0),AND(X642="ns",BV575&gt;0),AND(X642="ns",BU575=0,BV575=0)),1,IF(OR(AND(BU575&gt;=2,X642&gt;BV575),AND(X642="ns",BV575=0,BU575&gt;0),X642=BV575),0,1)))</f>
        <v>0</v>
      </c>
      <c r="BX575">
        <f>COUNTIF(X650:X657,"NS")</f>
        <v>0</v>
      </c>
      <c r="BY575">
        <f>SUM(X650:X657)</f>
        <v>0</v>
      </c>
      <c r="BZ575">
        <f>IF(COUNTA(X649:X657)=0,0,IF(OR(AND(X649=0,BX575&gt;0),AND(X649="ns",BY575&gt;0),AND(X649="ns",BX575=0,BY575=0)),1,IF(OR(AND(BX575&gt;=2,X649&gt;BY575),AND(X649="ns",BY575=0,BX575&gt;0),X649=BY575),0,1)))</f>
        <v>0</v>
      </c>
      <c r="CA575">
        <f>COUNTIF(X662:X667,"NS")</f>
        <v>0</v>
      </c>
      <c r="CB575">
        <f>SUM(X662:X667)</f>
        <v>0</v>
      </c>
      <c r="CC575">
        <f>IF(COUNTA(X661:X667)=0,0,IF(OR(AND(X661=0,CA575&gt;0),AND(X661="ns",CB575&gt;0),AND(X661="ns",CA575=0,CB575=0)),1,IF(OR(AND(CA575&gt;=2,X661&gt;CB575),AND(X661="ns",CB575=0,CA575&gt;0),X661=CB575),0,1)))</f>
        <v>0</v>
      </c>
      <c r="CD575">
        <f>COUNTIF(X672:X680,"NS")</f>
        <v>0</v>
      </c>
      <c r="CE575">
        <f>SUM(X672:X680)</f>
        <v>0</v>
      </c>
      <c r="CF575">
        <f>IF(COUNTA(X671:X680)=0,0,IF(OR(AND(X671=0,CD575&gt;0),AND(X671="ns",CE575&gt;0),AND(X671="ns",CD575=0,CE575=0)),1,IF(OR(AND(CD575&gt;=2,X671&gt;CE575),AND(X671="ns",CE575=0,CD575&gt;0),X671=CE575),0,1)))</f>
        <v>0</v>
      </c>
      <c r="CG575">
        <f>COUNTIF(X682:X684,"NS")</f>
        <v>0</v>
      </c>
      <c r="CH575">
        <f>SUM(X682:X684)</f>
        <v>0</v>
      </c>
      <c r="CI575">
        <f>IF(COUNTA(X681:X684)=0,0,IF(OR(AND(X681=0,CG575&gt;0),AND(X681="ns",CH575&gt;0),AND(X681="ns",CG575=0,CH575=0)),1,IF(OR(AND(CG575&gt;=2,X681&gt;CH575),AND(X681="ns",CH575=0,CG575&gt;0),X681=CH575),0,1)))</f>
        <v>0</v>
      </c>
      <c r="CJ575">
        <f>COUNTIF(X693:X699,"NS")</f>
        <v>0</v>
      </c>
      <c r="CK575">
        <f>SUM(X693:X699)</f>
        <v>0</v>
      </c>
      <c r="CL575">
        <f>IF(COUNTA(X692:X699)=0,0,IF(OR(AND(X692=0,CJ575&gt;0),AND(X692="ns",CK575&gt;0),AND(X692="ns",CJ575=0,CK575=0)),1,IF(OR(AND(CJ575&gt;=2,X692&gt;CK575),AND(X692="ns",CK575=0,CJ575&gt;0),X692=CK575),0,1)))</f>
        <v>0</v>
      </c>
      <c r="CM575">
        <f>COUNTIF(X702:X704,"NS")</f>
        <v>0</v>
      </c>
      <c r="CN575">
        <f>SUM(X702:X704)</f>
        <v>0</v>
      </c>
      <c r="CO575">
        <f>IF(COUNTA(X701:X704)=0,0,IF(OR(AND(X701=0,CM575&gt;0),AND(X701="ns",CN575&gt;0),AND(X701="ns",CM575=0,CN575=0)),1,IF(OR(AND(CM575&gt;=2,X701&gt;CN575),AND(X701="ns",CN575=0,CM575&gt;0),X701=CN575),0,1)))</f>
        <v>0</v>
      </c>
      <c r="CP575">
        <f>COUNTIF(X714:X718,"NS")</f>
        <v>0</v>
      </c>
      <c r="CQ575">
        <f>SUM(X714:X718)</f>
        <v>0</v>
      </c>
      <c r="CR575">
        <f>IF(COUNTA(X713:X718)=0,0,IF(OR(AND(X713=0,CP575&gt;0),AND(X713="ns",CQ575&gt;0),AND(X713="ns",CP575=0,CQ575=0)),1,IF(OR(AND(CP575&gt;=2,X713&gt;CQ575),AND(X713="ns",CQ575=0,CP575&gt;0),X713=CQ575),0,1)))</f>
        <v>0</v>
      </c>
      <c r="CS575"/>
      <c r="CT575"/>
      <c r="CU575"/>
      <c r="CV575"/>
      <c r="CW575"/>
      <c r="CX575"/>
      <c r="CY575"/>
      <c r="CZ575"/>
      <c r="DA575"/>
    </row>
    <row r="576" spans="1:105" ht="15" customHeight="1">
      <c r="A576" s="108"/>
      <c r="B576" s="38"/>
      <c r="C576" s="1109"/>
      <c r="D576" s="954"/>
      <c r="E576" s="956"/>
      <c r="F576" s="1103" t="s">
        <v>4830</v>
      </c>
      <c r="G576" s="1103"/>
      <c r="H576" s="1104" t="s">
        <v>4831</v>
      </c>
      <c r="I576" s="1105"/>
      <c r="J576" s="1105"/>
      <c r="K576" s="1105"/>
      <c r="L576" s="1105"/>
      <c r="M576" s="1105"/>
      <c r="N576" s="1105"/>
      <c r="O576" s="1106"/>
      <c r="P576" s="100"/>
      <c r="Q576" s="100"/>
      <c r="R576" s="100"/>
      <c r="S576" s="100"/>
      <c r="T576" s="100"/>
      <c r="U576" s="100"/>
      <c r="V576" s="100"/>
      <c r="W576" s="100"/>
      <c r="X576" s="100"/>
      <c r="Y576" s="100"/>
      <c r="Z576" s="100"/>
      <c r="AA576" s="100"/>
      <c r="AB576" s="100"/>
      <c r="AC576" s="100"/>
      <c r="AD576" s="100"/>
      <c r="AF576"/>
      <c r="AG576">
        <f t="shared" si="256"/>
        <v>0</v>
      </c>
      <c r="AH576">
        <f t="shared" si="257"/>
        <v>0</v>
      </c>
      <c r="AK576">
        <f t="shared" si="241"/>
        <v>0</v>
      </c>
      <c r="AL576">
        <f t="shared" si="242"/>
        <v>0</v>
      </c>
      <c r="AM576">
        <f t="shared" si="243"/>
        <v>0</v>
      </c>
      <c r="AN576">
        <f t="shared" si="244"/>
        <v>0</v>
      </c>
      <c r="AO576">
        <f t="shared" si="245"/>
        <v>0</v>
      </c>
      <c r="AP576">
        <f t="shared" si="246"/>
        <v>0</v>
      </c>
      <c r="AQ576">
        <f t="shared" si="247"/>
        <v>0</v>
      </c>
      <c r="AR576">
        <f t="shared" si="248"/>
        <v>0</v>
      </c>
      <c r="AS576">
        <f t="shared" si="249"/>
        <v>0</v>
      </c>
      <c r="AT576">
        <f t="shared" si="250"/>
        <v>0</v>
      </c>
      <c r="AU576">
        <f t="shared" si="251"/>
        <v>0</v>
      </c>
      <c r="AV576">
        <f t="shared" si="252"/>
        <v>0</v>
      </c>
      <c r="AW576">
        <f t="shared" si="253"/>
        <v>0</v>
      </c>
      <c r="AX576">
        <f t="shared" si="254"/>
        <v>0</v>
      </c>
      <c r="AY576">
        <f t="shared" si="255"/>
        <v>0</v>
      </c>
      <c r="AZ576">
        <f>COUNTIF(Y568:Y573,"NS")</f>
        <v>0</v>
      </c>
      <c r="BA576">
        <f>SUM(Y568:Y573)</f>
        <v>0</v>
      </c>
      <c r="BB576">
        <f>IF(COUNTA(Y567:Y573)=0,0,IF(OR(AND(Y567=0,AZ576&gt;0),AND(Y567="ns",BA576&gt;0),AND(Y567="ns",AZ576=0,BA576=0)),1,IF(OR(AND(AZ576&gt;=2,Y567&gt;BA576),AND(Y567="ns",BA576=0,AZ576&gt;0),Y567=BA576),0,1)))</f>
        <v>0</v>
      </c>
      <c r="BC576">
        <f>COUNTIF(Y579:Y583,"NS")</f>
        <v>0</v>
      </c>
      <c r="BD576">
        <f>SUM(Y579:Y583)</f>
        <v>0</v>
      </c>
      <c r="BE576">
        <f>IF(COUNTA(Y578:Y583)=0,0,IF(OR(AND(Y578=0,BC576&gt;0),AND(Y578="ns",BD576&gt;0),AND(Y578="ns",BC576=0,BD576=0)),1,IF(OR(AND(BC576&gt;=2,Y578&gt;BD576),AND(Y578="ns",BD576=0,BC576&gt;0),Y578=BD576),0,1)))</f>
        <v>0</v>
      </c>
      <c r="BF576">
        <f>COUNTIF(Y588:Y605,"NS")</f>
        <v>0</v>
      </c>
      <c r="BG576">
        <f>SUM(Y588:Y605)</f>
        <v>0</v>
      </c>
      <c r="BH576">
        <f>IF(COUNTA(Y587:Y605)=0,0,IF(OR(AND(Y587=0,BF576&gt;0),AND(Y587="ns",BG576&gt;0),AND(Y587="ns",BF576=0,BG576=0)),1,IF(OR(AND(BF576&gt;=2,Y587&gt;BG576),AND(Y587="ns",BG576=0,BF576&gt;0),Y587=BG576),0,1)))</f>
        <v>0</v>
      </c>
      <c r="BI576">
        <f>COUNTIF(Y607:Y611,"NS")</f>
        <v>0</v>
      </c>
      <c r="BJ576">
        <f>SUM(Y607:Y611)</f>
        <v>0</v>
      </c>
      <c r="BK576">
        <f>IF(COUNTA(Y606:Y611)=0,0,IF(OR(AND(Y606=0,BI576&gt;0),AND(Y606="ns",BJ576&gt;0),AND(Y606="ns",BI576=0,BJ576=0)),1,IF(OR(AND(BI576&gt;=2,Y606&gt;BJ576),AND(Y606="ns",BJ576=0,BI576&gt;0),Y606=BJ576),0,1)))</f>
        <v>0</v>
      </c>
      <c r="BL576">
        <f>COUNTIF(Y615:Y617,"NS")</f>
        <v>0</v>
      </c>
      <c r="BM576">
        <f>SUM(Y615:Y617)</f>
        <v>0</v>
      </c>
      <c r="BN576">
        <f>IF(COUNTA(Y614:Y617)=0,0,IF(OR(AND(Y614=0,BL576&gt;0),AND(Y614="ns",BM576&gt;0),AND(Y614="ns",BL576=0,BM576=0)),1,IF(OR(AND(BL576&gt;=2,Y614&gt;BM576),AND(Y614="ns",BM576=0,BL576&gt;0),Y614=BM576),0,1)))</f>
        <v>0</v>
      </c>
      <c r="BO576">
        <f>COUNTIF(Y625:Y631,"NS")</f>
        <v>0</v>
      </c>
      <c r="BP576">
        <f>SUM(Y625:Y631)</f>
        <v>0</v>
      </c>
      <c r="BQ576">
        <f>IF(COUNTA(Y624:Y631)=0,0,IF(OR(AND(Y624=0,BO576&gt;0),AND(Y624="ns",BP576&gt;0),AND(Y624="ns",BO576=0,BP576=0)),1,IF(OR(AND(BO576&gt;=2,Y624&gt;BP576),AND(Y624="ns",BP576=0,BO576&gt;0),Y624=BP576),0,1)))</f>
        <v>0</v>
      </c>
      <c r="BR576">
        <f>COUNTIF(Y633:Y637,"NS")</f>
        <v>0</v>
      </c>
      <c r="BS576">
        <f>SUM(Y633:Y637)</f>
        <v>0</v>
      </c>
      <c r="BT576">
        <f>IF(COUNTA(Y632:Y637)=0,0,IF(OR(AND(Y632=0,BR576&gt;0),AND(Y632="ns",BS576&gt;0),AND(Y632="ns",BR576=0,BS576=0)),1,IF(OR(AND(BR576&gt;=2,Y632&gt;BS576),AND(Y632="ns",BS576=0,BR576&gt;0),Y632=BS576),0,1)))</f>
        <v>0</v>
      </c>
      <c r="BU576">
        <f>COUNTIF(Y643:Y648,"NS")</f>
        <v>0</v>
      </c>
      <c r="BV576">
        <f>SUM(Y643:Y648)</f>
        <v>0</v>
      </c>
      <c r="BW576">
        <f>IF(COUNTA(Y642:Y648)=0,0,IF(OR(AND(Y642=0,BU576&gt;0),AND(Y642="ns",BV576&gt;0),AND(Y642="ns",BU576=0,BV576=0)),1,IF(OR(AND(BU576&gt;=2,Y642&gt;BV576),AND(Y642="ns",BV576=0,BU576&gt;0),Y642=BV576),0,1)))</f>
        <v>0</v>
      </c>
      <c r="BX576">
        <f>COUNTIF(Y650:Y657,"NS")</f>
        <v>0</v>
      </c>
      <c r="BY576">
        <f>SUM(Y650:Y657)</f>
        <v>0</v>
      </c>
      <c r="BZ576">
        <f>IF(COUNTA(Y649:Y657)=0,0,IF(OR(AND(Y649=0,BX576&gt;0),AND(Y649="ns",BY576&gt;0),AND(Y649="ns",BX576=0,BY576=0)),1,IF(OR(AND(BX576&gt;=2,Y649&gt;BY576),AND(Y649="ns",BY576=0,BX576&gt;0),Y649=BY576),0,1)))</f>
        <v>0</v>
      </c>
      <c r="CA576">
        <f>COUNTIF(Y662:Y667,"NS")</f>
        <v>0</v>
      </c>
      <c r="CB576">
        <f>SUM(Y662:Y667)</f>
        <v>0</v>
      </c>
      <c r="CC576">
        <f>IF(COUNTA(Y661:Y667)=0,0,IF(OR(AND(Y661=0,CA576&gt;0),AND(Y661="ns",CB576&gt;0),AND(Y661="ns",CA576=0,CB576=0)),1,IF(OR(AND(CA576&gt;=2,Y661&gt;CB576),AND(Y661="ns",CB576=0,CA576&gt;0),Y661=CB576),0,1)))</f>
        <v>0</v>
      </c>
      <c r="CD576">
        <f>COUNTIF(Y672:Y680,"NS")</f>
        <v>0</v>
      </c>
      <c r="CE576">
        <f>SUM(Y672:Y680)</f>
        <v>0</v>
      </c>
      <c r="CF576">
        <f>IF(COUNTA(Y671:Y680)=0,0,IF(OR(AND(Y671=0,CD576&gt;0),AND(Y671="ns",CE576&gt;0),AND(Y671="ns",CD576=0,CE576=0)),1,IF(OR(AND(CD576&gt;=2,Y671&gt;CE576),AND(Y671="ns",CE576=0,CD576&gt;0),Y671=CE576),0,1)))</f>
        <v>0</v>
      </c>
      <c r="CG576">
        <f>COUNTIF(Y682:Y684,"NS")</f>
        <v>0</v>
      </c>
      <c r="CH576">
        <f>SUM(Y682:Y684)</f>
        <v>0</v>
      </c>
      <c r="CI576">
        <f>IF(COUNTA(Y681:Y684)=0,0,IF(OR(AND(Y681=0,CG576&gt;0),AND(Y681="ns",CH576&gt;0),AND(Y681="ns",CG576=0,CH576=0)),1,IF(OR(AND(CG576&gt;=2,Y681&gt;CH576),AND(Y681="ns",CH576=0,CG576&gt;0),Y681=CH576),0,1)))</f>
        <v>0</v>
      </c>
      <c r="CJ576">
        <f>COUNTIF(Y693:Y699,"NS")</f>
        <v>0</v>
      </c>
      <c r="CK576">
        <f>SUM(Y693:Y699)</f>
        <v>0</v>
      </c>
      <c r="CL576">
        <f>IF(COUNTA(Y692:Y699)=0,0,IF(OR(AND(Y692=0,CJ576&gt;0),AND(Y692="ns",CK576&gt;0),AND(Y692="ns",CJ576=0,CK576=0)),1,IF(OR(AND(CJ576&gt;=2,Y692&gt;CK576),AND(Y692="ns",CK576=0,CJ576&gt;0),Y692=CK576),0,1)))</f>
        <v>0</v>
      </c>
      <c r="CM576">
        <f>COUNTIF(Y702:Y704,"NS")</f>
        <v>0</v>
      </c>
      <c r="CN576">
        <f>SUM(Y702:Y704)</f>
        <v>0</v>
      </c>
      <c r="CO576">
        <f>IF(COUNTA(Y701:Y704)=0,0,IF(OR(AND(Y701=0,CM576&gt;0),AND(Y701="ns",CN576&gt;0),AND(Y701="ns",CM576=0,CN576=0)),1,IF(OR(AND(CM576&gt;=2,Y701&gt;CN576),AND(Y701="ns",CN576=0,CM576&gt;0),Y701=CN576),0,1)))</f>
        <v>0</v>
      </c>
      <c r="CP576">
        <f>COUNTIF(Y714:Y718,"NS")</f>
        <v>0</v>
      </c>
      <c r="CQ576">
        <f>SUM(Y714:Y718)</f>
        <v>0</v>
      </c>
      <c r="CR576">
        <f>IF(COUNTA(Y713:Y718)=0,0,IF(OR(AND(Y713=0,CP576&gt;0),AND(Y713="ns",CQ576&gt;0),AND(Y713="ns",CP576=0,CQ576=0)),1,IF(OR(AND(CP576&gt;=2,Y713&gt;CQ576),AND(Y713="ns",CQ576=0,CP576&gt;0),Y713=CQ576),0,1)))</f>
        <v>0</v>
      </c>
      <c r="CS576"/>
      <c r="CT576"/>
      <c r="CU576"/>
      <c r="CV576"/>
      <c r="CW576"/>
      <c r="CX576"/>
      <c r="CY576"/>
      <c r="CZ576"/>
      <c r="DA576"/>
    </row>
    <row r="577" spans="1:105" ht="15" customHeight="1">
      <c r="A577" s="108"/>
      <c r="B577" s="38"/>
      <c r="C577" s="1109"/>
      <c r="D577" s="954"/>
      <c r="E577" s="956"/>
      <c r="F577" s="1103" t="s">
        <v>4832</v>
      </c>
      <c r="G577" s="1103"/>
      <c r="H577" s="1104" t="s">
        <v>4833</v>
      </c>
      <c r="I577" s="1105"/>
      <c r="J577" s="1105"/>
      <c r="K577" s="1105"/>
      <c r="L577" s="1105"/>
      <c r="M577" s="1105"/>
      <c r="N577" s="1105"/>
      <c r="O577" s="1106"/>
      <c r="P577" s="100"/>
      <c r="Q577" s="100"/>
      <c r="R577" s="100"/>
      <c r="S577" s="100"/>
      <c r="T577" s="100"/>
      <c r="U577" s="100"/>
      <c r="V577" s="100"/>
      <c r="W577" s="100"/>
      <c r="X577" s="100"/>
      <c r="Y577" s="100"/>
      <c r="Z577" s="100"/>
      <c r="AA577" s="100"/>
      <c r="AB577" s="100"/>
      <c r="AC577" s="100"/>
      <c r="AD577" s="100"/>
      <c r="AF577"/>
      <c r="AG577">
        <f t="shared" si="256"/>
        <v>0</v>
      </c>
      <c r="AH577">
        <f t="shared" si="257"/>
        <v>0</v>
      </c>
      <c r="AK577">
        <f t="shared" si="241"/>
        <v>0</v>
      </c>
      <c r="AL577">
        <f t="shared" si="242"/>
        <v>0</v>
      </c>
      <c r="AM577">
        <f t="shared" si="243"/>
        <v>0</v>
      </c>
      <c r="AN577">
        <f t="shared" si="244"/>
        <v>0</v>
      </c>
      <c r="AO577">
        <f t="shared" si="245"/>
        <v>0</v>
      </c>
      <c r="AP577">
        <f t="shared" si="246"/>
        <v>0</v>
      </c>
      <c r="AQ577">
        <f t="shared" si="247"/>
        <v>0</v>
      </c>
      <c r="AR577">
        <f t="shared" si="248"/>
        <v>0</v>
      </c>
      <c r="AS577">
        <f t="shared" si="249"/>
        <v>0</v>
      </c>
      <c r="AT577">
        <f t="shared" si="250"/>
        <v>0</v>
      </c>
      <c r="AU577">
        <f t="shared" si="251"/>
        <v>0</v>
      </c>
      <c r="AV577">
        <f t="shared" si="252"/>
        <v>0</v>
      </c>
      <c r="AW577">
        <f t="shared" si="253"/>
        <v>0</v>
      </c>
      <c r="AX577">
        <f t="shared" si="254"/>
        <v>0</v>
      </c>
      <c r="AY577">
        <f t="shared" si="255"/>
        <v>0</v>
      </c>
      <c r="AZ577">
        <f>COUNTIF(Z568:Z573,"NS")</f>
        <v>0</v>
      </c>
      <c r="BA577">
        <f>SUM(Z568:Z573)</f>
        <v>0</v>
      </c>
      <c r="BB577">
        <f>IF(COUNTA(Z567:Z573)=0,0,IF(OR(AND(Z567=0,AZ577&gt;0),AND(Z567="ns",BA577&gt;0),AND(Z567="ns",AZ577=0,BA577=0)),1,IF(OR(AND(AZ577&gt;=2,Z567&gt;BA577),AND(Z567="ns",BA577=0,AZ577&gt;0),Z567=BA577),0,1)))</f>
        <v>0</v>
      </c>
      <c r="BC577">
        <f>COUNTIF(Z579:Z583,"NS")</f>
        <v>0</v>
      </c>
      <c r="BD577">
        <f>SUM(Z579:Z583)</f>
        <v>0</v>
      </c>
      <c r="BE577">
        <f>IF(COUNTA(Z578:Z583)=0,0,IF(OR(AND(Z578=0,BC577&gt;0),AND(Z578="ns",BD577&gt;0),AND(Z578="ns",BC577=0,BD577=0)),1,IF(OR(AND(BC577&gt;=2,Z578&gt;BD577),AND(Z578="ns",BD577=0,BC577&gt;0),Z578=BD577),0,1)))</f>
        <v>0</v>
      </c>
      <c r="BF577">
        <f>COUNTIF(Z588:Z605,"NS")</f>
        <v>0</v>
      </c>
      <c r="BG577">
        <f>SUM(Z588:Z605)</f>
        <v>0</v>
      </c>
      <c r="BH577">
        <f>IF(COUNTA(Z587:Z605)=0,0,IF(OR(AND(Z587=0,BF577&gt;0),AND(Z587="ns",BG577&gt;0),AND(Z587="ns",BF577=0,BG577=0)),1,IF(OR(AND(BF577&gt;=2,Z587&gt;BG577),AND(Z587="ns",BG577=0,BF577&gt;0),Z587=BG577),0,1)))</f>
        <v>0</v>
      </c>
      <c r="BI577">
        <f>COUNTIF(Z607:Z611,"NS")</f>
        <v>0</v>
      </c>
      <c r="BJ577">
        <f>SUM(Z607:Z611)</f>
        <v>0</v>
      </c>
      <c r="BK577">
        <f>IF(COUNTA(Z606:Z611)=0,0,IF(OR(AND(Z606=0,BI577&gt;0),AND(Z606="ns",BJ577&gt;0),AND(Z606="ns",BI577=0,BJ577=0)),1,IF(OR(AND(BI577&gt;=2,Z606&gt;BJ577),AND(Z606="ns",BJ577=0,BI577&gt;0),Z606=BJ577),0,1)))</f>
        <v>0</v>
      </c>
      <c r="BL577">
        <f>COUNTIF(Z615:Z617,"NS")</f>
        <v>0</v>
      </c>
      <c r="BM577">
        <f>SUM(Z615:Z617)</f>
        <v>0</v>
      </c>
      <c r="BN577">
        <f>IF(COUNTA(Z614:Z617)=0,0,IF(OR(AND(Z614=0,BL577&gt;0),AND(Z614="ns",BM577&gt;0),AND(Z614="ns",BL577=0,BM577=0)),1,IF(OR(AND(BL577&gt;=2,Z614&gt;BM577),AND(Z614="ns",BM577=0,BL577&gt;0),Z614=BM577),0,1)))</f>
        <v>0</v>
      </c>
      <c r="BO577">
        <f>COUNTIF(Z625:Z631,"NS")</f>
        <v>0</v>
      </c>
      <c r="BP577">
        <f>SUM(Z625:Z631)</f>
        <v>0</v>
      </c>
      <c r="BQ577">
        <f>IF(COUNTA(Z624:Z631)=0,0,IF(OR(AND(Z624=0,BO577&gt;0),AND(Z624="ns",BP577&gt;0),AND(Z624="ns",BO577=0,BP577=0)),1,IF(OR(AND(BO577&gt;=2,Z624&gt;BP577),AND(Z624="ns",BP577=0,BO577&gt;0),Z624=BP577),0,1)))</f>
        <v>0</v>
      </c>
      <c r="BR577">
        <f>COUNTIF(Z633:Z637,"NS")</f>
        <v>0</v>
      </c>
      <c r="BS577">
        <f>SUM(Z633:Z637)</f>
        <v>0</v>
      </c>
      <c r="BT577">
        <f>IF(COUNTA(Z632:Z637)=0,0,IF(OR(AND(Z632=0,BR577&gt;0),AND(Z632="ns",BS577&gt;0),AND(Z632="ns",BR577=0,BS577=0)),1,IF(OR(AND(BR577&gt;=2,Z632&gt;BS577),AND(Z632="ns",BS577=0,BR577&gt;0),Z632=BS577),0,1)))</f>
        <v>0</v>
      </c>
      <c r="BU577">
        <f>COUNTIF(Z643:Z648,"NS")</f>
        <v>0</v>
      </c>
      <c r="BV577">
        <f>SUM(Z643:Z648)</f>
        <v>0</v>
      </c>
      <c r="BW577">
        <f>IF(COUNTA(Z642:Z648)=0,0,IF(OR(AND(Z642=0,BU577&gt;0),AND(Z642="ns",BV577&gt;0),AND(Z642="ns",BU577=0,BV577=0)),1,IF(OR(AND(BU577&gt;=2,Z642&gt;BV577),AND(Z642="ns",BV577=0,BU577&gt;0),Z642=BV577),0,1)))</f>
        <v>0</v>
      </c>
      <c r="BX577">
        <f>COUNTIF(Z650:Z657,"NS")</f>
        <v>0</v>
      </c>
      <c r="BY577">
        <f>SUM(Z650:Z657)</f>
        <v>0</v>
      </c>
      <c r="BZ577">
        <f>IF(COUNTA(Z649:Z657)=0,0,IF(OR(AND(Z649=0,BX577&gt;0),AND(Z649="ns",BY577&gt;0),AND(Z649="ns",BX577=0,BY577=0)),1,IF(OR(AND(BX577&gt;=2,Z649&gt;BY577),AND(Z649="ns",BY577=0,BX577&gt;0),Z649=BY577),0,1)))</f>
        <v>0</v>
      </c>
      <c r="CA577">
        <f>COUNTIF(Z662:Z667,"NS")</f>
        <v>0</v>
      </c>
      <c r="CB577">
        <f>SUM(Z662:Z667)</f>
        <v>0</v>
      </c>
      <c r="CC577">
        <f>IF(COUNTA(Z661:Z667)=0,0,IF(OR(AND(Z661=0,CA577&gt;0),AND(Z661="ns",CB577&gt;0),AND(Z661="ns",CA577=0,CB577=0)),1,IF(OR(AND(CA577&gt;=2,Z661&gt;CB577),AND(Z661="ns",CB577=0,CA577&gt;0),Z661=CB577),0,1)))</f>
        <v>0</v>
      </c>
      <c r="CD577">
        <f>COUNTIF(Z672:Z680,"NS")</f>
        <v>0</v>
      </c>
      <c r="CE577">
        <f>SUM(Z672:Z680)</f>
        <v>0</v>
      </c>
      <c r="CF577">
        <f>IF(COUNTA(Z671:Z680)=0,0,IF(OR(AND(Z671=0,CD577&gt;0),AND(Z671="ns",CE577&gt;0),AND(Z671="ns",CD577=0,CE577=0)),1,IF(OR(AND(CD577&gt;=2,Z671&gt;CE577),AND(Z671="ns",CE577=0,CD577&gt;0),Z671=CE577),0,1)))</f>
        <v>0</v>
      </c>
      <c r="CG577">
        <f>COUNTIF(Z682:Z684,"NS")</f>
        <v>0</v>
      </c>
      <c r="CH577">
        <f>SUM(Z682:Z684)</f>
        <v>0</v>
      </c>
      <c r="CI577">
        <f>IF(COUNTA(Z681:Z684)=0,0,IF(OR(AND(Z681=0,CG577&gt;0),AND(Z681="ns",CH577&gt;0),AND(Z681="ns",CG577=0,CH577=0)),1,IF(OR(AND(CG577&gt;=2,Z681&gt;CH577),AND(Z681="ns",CH577=0,CG577&gt;0),Z681=CH577),0,1)))</f>
        <v>0</v>
      </c>
      <c r="CJ577">
        <f>COUNTIF(Z693:Z699,"NS")</f>
        <v>0</v>
      </c>
      <c r="CK577">
        <f>SUM(Z693:Z699)</f>
        <v>0</v>
      </c>
      <c r="CL577">
        <f>IF(COUNTA(Z692:Z699)=0,0,IF(OR(AND(Z692=0,CJ577&gt;0),AND(Z692="ns",CK577&gt;0),AND(Z692="ns",CJ577=0,CK577=0)),1,IF(OR(AND(CJ577&gt;=2,Z692&gt;CK577),AND(Z692="ns",CK577=0,CJ577&gt;0),Z692=CK577),0,1)))</f>
        <v>0</v>
      </c>
      <c r="CM577">
        <f>COUNTIF(Z702:Z704,"NS")</f>
        <v>0</v>
      </c>
      <c r="CN577">
        <f>SUM(Z702:Z704)</f>
        <v>0</v>
      </c>
      <c r="CO577">
        <f>IF(COUNTA(Z701:Z704)=0,0,IF(OR(AND(Z701=0,CM577&gt;0),AND(Z701="ns",CN577&gt;0),AND(Z701="ns",CM577=0,CN577=0)),1,IF(OR(AND(CM577&gt;=2,Z701&gt;CN577),AND(Z701="ns",CN577=0,CM577&gt;0),Z701=CN577),0,1)))</f>
        <v>0</v>
      </c>
      <c r="CP577">
        <f>COUNTIF(Z714:Z718,"NS")</f>
        <v>0</v>
      </c>
      <c r="CQ577">
        <f>SUM(Z714:Z718)</f>
        <v>0</v>
      </c>
      <c r="CR577">
        <f>IF(COUNTA(Z713:Z718)=0,0,IF(OR(AND(Z713=0,CP577&gt;0),AND(Z713="ns",CQ577&gt;0),AND(Z713="ns",CP577=0,CQ577=0)),1,IF(OR(AND(CP577&gt;=2,Z713&gt;CQ577),AND(Z713="ns",CQ577=0,CP577&gt;0),Z713=CQ577),0,1)))</f>
        <v>0</v>
      </c>
      <c r="CS577"/>
      <c r="CT577"/>
      <c r="CU577"/>
      <c r="CV577"/>
      <c r="CW577"/>
      <c r="CX577"/>
      <c r="CY577"/>
      <c r="CZ577"/>
      <c r="DA577"/>
    </row>
    <row r="578" spans="1:105" ht="15" customHeight="1">
      <c r="A578" s="108"/>
      <c r="B578" s="38"/>
      <c r="C578" s="1109"/>
      <c r="D578" s="954"/>
      <c r="E578" s="956"/>
      <c r="F578" s="1103" t="s">
        <v>4834</v>
      </c>
      <c r="G578" s="1103"/>
      <c r="H578" s="1104" t="s">
        <v>4835</v>
      </c>
      <c r="I578" s="1105"/>
      <c r="J578" s="1105"/>
      <c r="K578" s="1105"/>
      <c r="L578" s="1105"/>
      <c r="M578" s="1105"/>
      <c r="N578" s="1105"/>
      <c r="O578" s="1106"/>
      <c r="P578" s="100"/>
      <c r="Q578" s="100"/>
      <c r="R578" s="100"/>
      <c r="S578" s="100"/>
      <c r="T578" s="100"/>
      <c r="U578" s="100"/>
      <c r="V578" s="100"/>
      <c r="W578" s="100"/>
      <c r="X578" s="100"/>
      <c r="Y578" s="100"/>
      <c r="Z578" s="100"/>
      <c r="AA578" s="100"/>
      <c r="AB578" s="100"/>
      <c r="AC578" s="100"/>
      <c r="AD578" s="100"/>
      <c r="AF578">
        <f>IF(P578="NA",IF(AND(COUNTIF(P579:P583,"="&amp;$AF$212)=0,COUNTIF(P579:P583,"&lt;&gt;NA")&gt;0),1,0),IF(AND(COUNTIF(P579:P583,"="&amp;$AF$212)=0,COUNTIF(P579:P583,"NA")=COUNTIF(P579:P583,"&lt;&gt;"&amp;$AF$212)),1,0))</f>
        <v>0</v>
      </c>
      <c r="AG578">
        <f t="shared" si="256"/>
        <v>0</v>
      </c>
      <c r="AH578">
        <f t="shared" si="257"/>
        <v>0</v>
      </c>
      <c r="AK578">
        <f t="shared" si="241"/>
        <v>0</v>
      </c>
      <c r="AL578">
        <f t="shared" si="242"/>
        <v>0</v>
      </c>
      <c r="AM578">
        <f t="shared" si="243"/>
        <v>0</v>
      </c>
      <c r="AN578">
        <f t="shared" si="244"/>
        <v>0</v>
      </c>
      <c r="AO578">
        <f t="shared" si="245"/>
        <v>0</v>
      </c>
      <c r="AP578">
        <f t="shared" si="246"/>
        <v>0</v>
      </c>
      <c r="AQ578">
        <f t="shared" si="247"/>
        <v>0</v>
      </c>
      <c r="AR578">
        <f t="shared" si="248"/>
        <v>0</v>
      </c>
      <c r="AS578">
        <f t="shared" si="249"/>
        <v>0</v>
      </c>
      <c r="AT578">
        <f t="shared" si="250"/>
        <v>0</v>
      </c>
      <c r="AU578">
        <f t="shared" si="251"/>
        <v>0</v>
      </c>
      <c r="AV578">
        <f t="shared" si="252"/>
        <v>0</v>
      </c>
      <c r="AW578">
        <f t="shared" si="253"/>
        <v>0</v>
      </c>
      <c r="AX578">
        <f t="shared" si="254"/>
        <v>0</v>
      </c>
      <c r="AY578">
        <f t="shared" si="255"/>
        <v>0</v>
      </c>
      <c r="AZ578">
        <f>COUNTIF(AA568:AA573,"NS")</f>
        <v>0</v>
      </c>
      <c r="BA578">
        <f>SUM(AA568:AA573)</f>
        <v>0</v>
      </c>
      <c r="BB578">
        <f>IF(COUNTA(AA567:AA573)=0,0,IF(OR(AND(AA567=0,AZ578&gt;0),AND(AA567="ns",BA578&gt;0),AND(AA567="ns",AZ578=0,BA578=0)),1,IF(OR(AND(AZ578&gt;=2,AA567&gt;BA578),AND(AA567="ns",BA578=0,AZ578&gt;0),AA567=BA578),0,1)))</f>
        <v>0</v>
      </c>
      <c r="BC578">
        <f>COUNTIF(AA579:AA583,"NS")</f>
        <v>0</v>
      </c>
      <c r="BD578">
        <f>SUM(AA579:AA583)</f>
        <v>0</v>
      </c>
      <c r="BE578">
        <f>IF(COUNTA(AA578:AA583)=0,0,IF(OR(AND(AA578=0,BC578&gt;0),AND(AA578="ns",BD578&gt;0),AND(AA578="ns",BC578=0,BD578=0)),1,IF(OR(AND(BC578&gt;=2,AA578&gt;BD578),AND(AA578="ns",BD578=0,BC578&gt;0),AA578=BD578),0,1)))</f>
        <v>0</v>
      </c>
      <c r="BF578">
        <f>COUNTIF(AA588:AA605,"NS")</f>
        <v>0</v>
      </c>
      <c r="BG578">
        <f>SUM(AA588:AA605)</f>
        <v>0</v>
      </c>
      <c r="BH578">
        <f>IF(COUNTA(AA587:AA605)=0,0,IF(OR(AND(AA587=0,BF578&gt;0),AND(AA587="ns",BG578&gt;0),AND(AA587="ns",BF578=0,BG578=0)),1,IF(OR(AND(BF578&gt;=2,AA587&gt;BG578),AND(AA587="ns",BG578=0,BF578&gt;0),AA587=BG578),0,1)))</f>
        <v>0</v>
      </c>
      <c r="BI578">
        <f>COUNTIF(AA607:AA611,"NS")</f>
        <v>0</v>
      </c>
      <c r="BJ578">
        <f>SUM(AA607:AA611)</f>
        <v>0</v>
      </c>
      <c r="BK578">
        <f>IF(COUNTA(AA606:AA611)=0,0,IF(OR(AND(AA606=0,BI578&gt;0),AND(AA606="ns",BJ578&gt;0),AND(AA606="ns",BI578=0,BJ578=0)),1,IF(OR(AND(BI578&gt;=2,AA606&gt;BJ578),AND(AA606="ns",BJ578=0,BI578&gt;0),AA606=BJ578),0,1)))</f>
        <v>0</v>
      </c>
      <c r="BL578">
        <f>COUNTIF(AA615:AA617,"NS")</f>
        <v>0</v>
      </c>
      <c r="BM578">
        <f>SUM(AA615:AA617)</f>
        <v>0</v>
      </c>
      <c r="BN578">
        <f>IF(COUNTA(AA614:AA617)=0,0,IF(OR(AND(AA614=0,BL578&gt;0),AND(AA614="ns",BM578&gt;0),AND(AA614="ns",BL578=0,BM578=0)),1,IF(OR(AND(BL578&gt;=2,AA614&gt;BM578),AND(AA614="ns",BM578=0,BL578&gt;0),AA614=BM578),0,1)))</f>
        <v>0</v>
      </c>
      <c r="BO578">
        <f>COUNTIF(AA625:AA631,"NS")</f>
        <v>0</v>
      </c>
      <c r="BP578">
        <f>SUM(AA625:AA631)</f>
        <v>0</v>
      </c>
      <c r="BQ578">
        <f>IF(COUNTA(AA624:AA631)=0,0,IF(OR(AND(AA624=0,BO578&gt;0),AND(AA624="ns",BP578&gt;0),AND(AA624="ns",BO578=0,BP578=0)),1,IF(OR(AND(BO578&gt;=2,AA624&gt;BP578),AND(AA624="ns",BP578=0,BO578&gt;0),AA624=BP578),0,1)))</f>
        <v>0</v>
      </c>
      <c r="BR578">
        <f>COUNTIF(AA633:AA637,"NS")</f>
        <v>0</v>
      </c>
      <c r="BS578">
        <f>SUM(AA633:AA637)</f>
        <v>0</v>
      </c>
      <c r="BT578">
        <f>IF(COUNTA(AA632:AA637)=0,0,IF(OR(AND(AA632=0,BR578&gt;0),AND(AA632="ns",BS578&gt;0),AND(AA632="ns",BR578=0,BS578=0)),1,IF(OR(AND(BR578&gt;=2,AA632&gt;BS578),AND(AA632="ns",BS578=0,BR578&gt;0),AA632=BS578),0,1)))</f>
        <v>0</v>
      </c>
      <c r="BU578">
        <f>COUNTIF(AA643:AA648,"NS")</f>
        <v>0</v>
      </c>
      <c r="BV578">
        <f>SUM(AA643:AA648)</f>
        <v>0</v>
      </c>
      <c r="BW578">
        <f>IF(COUNTA(AA642:AA648)=0,0,IF(OR(AND(AA642=0,BU578&gt;0),AND(AA642="ns",BV578&gt;0),AND(AA642="ns",BU578=0,BV578=0)),1,IF(OR(AND(BU578&gt;=2,AA642&gt;BV578),AND(AA642="ns",BV578=0,BU578&gt;0),AA642=BV578),0,1)))</f>
        <v>0</v>
      </c>
      <c r="BX578">
        <f>COUNTIF(AA650:AA657,"NS")</f>
        <v>0</v>
      </c>
      <c r="BY578">
        <f>SUM(AA650:AA657)</f>
        <v>0</v>
      </c>
      <c r="BZ578">
        <f>IF(COUNTA(AA649:AA657)=0,0,IF(OR(AND(AA649=0,BX578&gt;0),AND(AA649="ns",BY578&gt;0),AND(AA649="ns",BX578=0,BY578=0)),1,IF(OR(AND(BX578&gt;=2,AA649&gt;BY578),AND(AA649="ns",BY578=0,BX578&gt;0),AA649=BY578),0,1)))</f>
        <v>0</v>
      </c>
      <c r="CA578">
        <f>COUNTIF(AA662:AA667,"NS")</f>
        <v>0</v>
      </c>
      <c r="CB578">
        <f>SUM(AA662:AA667)</f>
        <v>0</v>
      </c>
      <c r="CC578">
        <f>IF(COUNTA(AA661:AA667)=0,0,IF(OR(AND(AA661=0,CA578&gt;0),AND(AA661="ns",CB578&gt;0),AND(AA661="ns",CA578=0,CB578=0)),1,IF(OR(AND(CA578&gt;=2,AA661&gt;CB578),AND(AA661="ns",CB578=0,CA578&gt;0),AA661=CB578),0,1)))</f>
        <v>0</v>
      </c>
      <c r="CD578">
        <f>COUNTIF(AA672:AA680,"NS")</f>
        <v>0</v>
      </c>
      <c r="CE578">
        <f>SUM(AA672:AA680)</f>
        <v>0</v>
      </c>
      <c r="CF578">
        <f>IF(COUNTA(AA671:AA680)=0,0,IF(OR(AND(AA671=0,CD578&gt;0),AND(AA671="ns",CE578&gt;0),AND(AA671="ns",CD578=0,CE578=0)),1,IF(OR(AND(CD578&gt;=2,AA671&gt;CE578),AND(AA671="ns",CE578=0,CD578&gt;0),AA671=CE578),0,1)))</f>
        <v>0</v>
      </c>
      <c r="CG578">
        <f>COUNTIF(AA682:AA684,"NS")</f>
        <v>0</v>
      </c>
      <c r="CH578">
        <f>SUM(AA682:AA684)</f>
        <v>0</v>
      </c>
      <c r="CI578">
        <f>IF(COUNTA(AA681:AA684)=0,0,IF(OR(AND(AA681=0,CG578&gt;0),AND(AA681="ns",CH578&gt;0),AND(AA681="ns",CG578=0,CH578=0)),1,IF(OR(AND(CG578&gt;=2,AA681&gt;CH578),AND(AA681="ns",CH578=0,CG578&gt;0),AA681=CH578),0,1)))</f>
        <v>0</v>
      </c>
      <c r="CJ578">
        <f>COUNTIF(AA693:AA699,"NS")</f>
        <v>0</v>
      </c>
      <c r="CK578">
        <f>SUM(AA693:AA699)</f>
        <v>0</v>
      </c>
      <c r="CL578">
        <f>IF(COUNTA(AA692:AA699)=0,0,IF(OR(AND(AA692=0,CJ578&gt;0),AND(AA692="ns",CK578&gt;0),AND(AA692="ns",CJ578=0,CK578=0)),1,IF(OR(AND(CJ578&gt;=2,AA692&gt;CK578),AND(AA692="ns",CK578=0,CJ578&gt;0),AA692=CK578),0,1)))</f>
        <v>0</v>
      </c>
      <c r="CM578">
        <f>COUNTIF(AA702:AA704,"NS")</f>
        <v>0</v>
      </c>
      <c r="CN578">
        <f>SUM(AA702:AA704)</f>
        <v>0</v>
      </c>
      <c r="CO578">
        <f>IF(COUNTA(AA701:AA704)=0,0,IF(OR(AND(AA701=0,CM578&gt;0),AND(AA701="ns",CN578&gt;0),AND(AA701="ns",CM578=0,CN578=0)),1,IF(OR(AND(CM578&gt;=2,AA701&gt;CN578),AND(AA701="ns",CN578=0,CM578&gt;0),AA701=CN578),0,1)))</f>
        <v>0</v>
      </c>
      <c r="CP578">
        <f>COUNTIF(AA714:AA718,"NS")</f>
        <v>0</v>
      </c>
      <c r="CQ578">
        <f>SUM(AA714:AA718)</f>
        <v>0</v>
      </c>
      <c r="CR578">
        <f>IF(COUNTA(AA713:AA718)=0,0,IF(OR(AND(AA713=0,CP578&gt;0),AND(AA713="ns",CQ578&gt;0),AND(AA713="ns",CP578=0,CQ578=0)),1,IF(OR(AND(CP578&gt;=2,AA713&gt;CQ578),AND(AA713="ns",CQ578=0,CP578&gt;0),AA713=CQ578),0,1)))</f>
        <v>0</v>
      </c>
      <c r="CS578"/>
      <c r="CT578"/>
      <c r="CU578"/>
      <c r="CV578"/>
      <c r="CW578"/>
      <c r="CX578"/>
      <c r="CY578"/>
      <c r="CZ578"/>
      <c r="DA578"/>
    </row>
    <row r="579" spans="1:105" ht="15" customHeight="1">
      <c r="A579" s="108"/>
      <c r="B579" s="38"/>
      <c r="C579" s="1109"/>
      <c r="D579" s="954"/>
      <c r="E579" s="956"/>
      <c r="F579" s="1110" t="s">
        <v>4837</v>
      </c>
      <c r="G579" s="1110"/>
      <c r="H579" s="177"/>
      <c r="I579" s="1115" t="s">
        <v>4838</v>
      </c>
      <c r="J579" s="1115"/>
      <c r="K579" s="1115"/>
      <c r="L579" s="1115"/>
      <c r="M579" s="1115"/>
      <c r="N579" s="1115"/>
      <c r="O579" s="1116"/>
      <c r="P579" s="100"/>
      <c r="Q579" s="100"/>
      <c r="R579" s="100"/>
      <c r="S579" s="100"/>
      <c r="T579" s="100"/>
      <c r="U579" s="100"/>
      <c r="V579" s="100"/>
      <c r="W579" s="100"/>
      <c r="X579" s="100"/>
      <c r="Y579" s="100"/>
      <c r="Z579" s="100"/>
      <c r="AA579" s="100"/>
      <c r="AB579" s="100"/>
      <c r="AC579" s="100"/>
      <c r="AD579" s="100"/>
      <c r="AF579"/>
      <c r="AG579">
        <f t="shared" si="256"/>
        <v>0</v>
      </c>
      <c r="AH579">
        <f t="shared" si="257"/>
        <v>0</v>
      </c>
      <c r="AK579">
        <f t="shared" si="241"/>
        <v>0</v>
      </c>
      <c r="AL579">
        <f t="shared" si="242"/>
        <v>0</v>
      </c>
      <c r="AM579">
        <f t="shared" si="243"/>
        <v>0</v>
      </c>
      <c r="AN579">
        <f t="shared" si="244"/>
        <v>0</v>
      </c>
      <c r="AO579">
        <f t="shared" si="245"/>
        <v>0</v>
      </c>
      <c r="AP579">
        <f t="shared" si="246"/>
        <v>0</v>
      </c>
      <c r="AQ579">
        <f t="shared" si="247"/>
        <v>0</v>
      </c>
      <c r="AR579">
        <f t="shared" si="248"/>
        <v>0</v>
      </c>
      <c r="AS579">
        <f t="shared" si="249"/>
        <v>0</v>
      </c>
      <c r="AT579">
        <f t="shared" si="250"/>
        <v>0</v>
      </c>
      <c r="AU579">
        <f t="shared" si="251"/>
        <v>0</v>
      </c>
      <c r="AV579">
        <f t="shared" si="252"/>
        <v>0</v>
      </c>
      <c r="AW579">
        <f t="shared" si="253"/>
        <v>0</v>
      </c>
      <c r="AX579">
        <f t="shared" si="254"/>
        <v>0</v>
      </c>
      <c r="AY579">
        <f t="shared" si="255"/>
        <v>0</v>
      </c>
      <c r="AZ579">
        <f>COUNTIF(AB568:AB573,"NS")</f>
        <v>0</v>
      </c>
      <c r="BA579">
        <f>SUM(AB568:AB573)</f>
        <v>0</v>
      </c>
      <c r="BB579">
        <f>IF(COUNTA(AB567:AB573)=0,0,IF(OR(AND(AB567=0,AZ579&gt;0),AND(AB567="ns",BA579&gt;0),AND(AB567="ns",AZ579=0,BA579=0)),1,IF(OR(AND(AZ579&gt;=2,AB567&gt;BA579),AND(AB567="ns",BA579=0,AZ579&gt;0),AB567=BA579),0,1)))</f>
        <v>0</v>
      </c>
      <c r="BC579">
        <f>COUNTIF(AB579:AB583,"NS")</f>
        <v>0</v>
      </c>
      <c r="BD579">
        <f>SUM(AB579:AB583)</f>
        <v>0</v>
      </c>
      <c r="BE579">
        <f>IF(COUNTA(AB578:AB583)=0,0,IF(OR(AND(AB578=0,BC579&gt;0),AND(AB578="ns",BD579&gt;0),AND(AB578="ns",BC579=0,BD579=0)),1,IF(OR(AND(BC579&gt;=2,AB578&gt;BD579),AND(AB578="ns",BD579=0,BC579&gt;0),AB578=BD579),0,1)))</f>
        <v>0</v>
      </c>
      <c r="BF579">
        <f>COUNTIF(AB588:AB605,"NS")</f>
        <v>0</v>
      </c>
      <c r="BG579">
        <f>SUM(AB588:AB605)</f>
        <v>0</v>
      </c>
      <c r="BH579">
        <f>IF(COUNTA(AB587:AB605)=0,0,IF(OR(AND(AB587=0,BF579&gt;0),AND(AB587="ns",BG579&gt;0),AND(AB587="ns",BF579=0,BG579=0)),1,IF(OR(AND(BF579&gt;=2,AB587&gt;BG579),AND(AB587="ns",BG579=0,BF579&gt;0),AB587=BG579),0,1)))</f>
        <v>0</v>
      </c>
      <c r="BI579">
        <f>COUNTIF(AB607:AB611,"NS")</f>
        <v>0</v>
      </c>
      <c r="BJ579">
        <f>SUM(AB607:AB611)</f>
        <v>0</v>
      </c>
      <c r="BK579">
        <f>IF(COUNTA(AB606:AB611)=0,0,IF(OR(AND(AB606=0,BI579&gt;0),AND(AB606="ns",BJ579&gt;0),AND(AB606="ns",BI579=0,BJ579=0)),1,IF(OR(AND(BI579&gt;=2,AB606&gt;BJ579),AND(AB606="ns",BJ579=0,BI579&gt;0),AB606=BJ579),0,1)))</f>
        <v>0</v>
      </c>
      <c r="BL579">
        <f>COUNTIF(AB615:AB617,"NS")</f>
        <v>0</v>
      </c>
      <c r="BM579">
        <f>SUM(AB615:AB617)</f>
        <v>0</v>
      </c>
      <c r="BN579">
        <f>IF(COUNTA(AB614:AB617)=0,0,IF(OR(AND(AB614=0,BL579&gt;0),AND(AB614="ns",BM579&gt;0),AND(AB614="ns",BL579=0,BM579=0)),1,IF(OR(AND(BL579&gt;=2,AB614&gt;BM579),AND(AB614="ns",BM579=0,BL579&gt;0),AB614=BM579),0,1)))</f>
        <v>0</v>
      </c>
      <c r="BO579">
        <f>COUNTIF(AB625:AB631,"NS")</f>
        <v>0</v>
      </c>
      <c r="BP579">
        <f>SUM(AB625:AB631)</f>
        <v>0</v>
      </c>
      <c r="BQ579">
        <f>IF(COUNTA(AB624:AB631)=0,0,IF(OR(AND(AB624=0,BO579&gt;0),AND(AB624="ns",BP579&gt;0),AND(AB624="ns",BO579=0,BP579=0)),1,IF(OR(AND(BO579&gt;=2,AB624&gt;BP579),AND(AB624="ns",BP579=0,BO579&gt;0),AB624=BP579),0,1)))</f>
        <v>0</v>
      </c>
      <c r="BR579">
        <f>COUNTIF(AB633:AB637,"NS")</f>
        <v>0</v>
      </c>
      <c r="BS579">
        <f>SUM(AB633:AB637)</f>
        <v>0</v>
      </c>
      <c r="BT579">
        <f>IF(COUNTA(AB632:AB637)=0,0,IF(OR(AND(AB632=0,BR579&gt;0),AND(AB632="ns",BS579&gt;0),AND(AB632="ns",BR579=0,BS579=0)),1,IF(OR(AND(BR579&gt;=2,AB632&gt;BS579),AND(AB632="ns",BS579=0,BR579&gt;0),AB632=BS579),0,1)))</f>
        <v>0</v>
      </c>
      <c r="BU579">
        <f>COUNTIF(AB643:AB648,"NS")</f>
        <v>0</v>
      </c>
      <c r="BV579">
        <f>SUM(AB643:AB648)</f>
        <v>0</v>
      </c>
      <c r="BW579">
        <f>IF(COUNTA(AB642:AB648)=0,0,IF(OR(AND(AB642=0,BU579&gt;0),AND(AB642="ns",BV579&gt;0),AND(AB642="ns",BU579=0,BV579=0)),1,IF(OR(AND(BU579&gt;=2,AB642&gt;BV579),AND(AB642="ns",BV579=0,BU579&gt;0),AB642=BV579),0,1)))</f>
        <v>0</v>
      </c>
      <c r="BX579">
        <f>COUNTIF(AB650:AB657,"NS")</f>
        <v>0</v>
      </c>
      <c r="BY579">
        <f>SUM(AB650:AB657)</f>
        <v>0</v>
      </c>
      <c r="BZ579">
        <f>IF(COUNTA(AB649:AB657)=0,0,IF(OR(AND(AB649=0,BX579&gt;0),AND(AB649="ns",BY579&gt;0),AND(AB649="ns",BX579=0,BY579=0)),1,IF(OR(AND(BX579&gt;=2,AB649&gt;BY579),AND(AB649="ns",BY579=0,BX579&gt;0),AB649=BY579),0,1)))</f>
        <v>0</v>
      </c>
      <c r="CA579">
        <f>COUNTIF(AB662:AB667,"NS")</f>
        <v>0</v>
      </c>
      <c r="CB579">
        <f>SUM(AB662:AB667)</f>
        <v>0</v>
      </c>
      <c r="CC579">
        <f>IF(COUNTA(AB661:AB667)=0,0,IF(OR(AND(AB661=0,CA579&gt;0),AND(AB661="ns",CB579&gt;0),AND(AB661="ns",CA579=0,CB579=0)),1,IF(OR(AND(CA579&gt;=2,AB661&gt;CB579),AND(AB661="ns",CB579=0,CA579&gt;0),AB661=CB579),0,1)))</f>
        <v>0</v>
      </c>
      <c r="CD579">
        <f>COUNTIF(AB672:AB680,"NS")</f>
        <v>0</v>
      </c>
      <c r="CE579">
        <f>SUM(AB672:AB680)</f>
        <v>0</v>
      </c>
      <c r="CF579">
        <f>IF(COUNTA(AB671:AB680)=0,0,IF(OR(AND(AB671=0,CD579&gt;0),AND(AB671="ns",CE579&gt;0),AND(AB671="ns",CD579=0,CE579=0)),1,IF(OR(AND(CD579&gt;=2,AB671&gt;CE579),AND(AB671="ns",CE579=0,CD579&gt;0),AB671=CE579),0,1)))</f>
        <v>0</v>
      </c>
      <c r="CG579">
        <f>COUNTIF(AB682:AB684,"NS")</f>
        <v>0</v>
      </c>
      <c r="CH579">
        <f>SUM(AB682:AB684)</f>
        <v>0</v>
      </c>
      <c r="CI579">
        <f>IF(COUNTA(AB681:AB684)=0,0,IF(OR(AND(AB681=0,CG579&gt;0),AND(AB681="ns",CH579&gt;0),AND(AB681="ns",CG579=0,CH579=0)),1,IF(OR(AND(CG579&gt;=2,AB681&gt;CH579),AND(AB681="ns",CH579=0,CG579&gt;0),AB681=CH579),0,1)))</f>
        <v>0</v>
      </c>
      <c r="CJ579">
        <f>COUNTIF(AB693:AB699,"NS")</f>
        <v>0</v>
      </c>
      <c r="CK579">
        <f>SUM(AB693:AB699)</f>
        <v>0</v>
      </c>
      <c r="CL579">
        <f>IF(COUNTA(AB692:AB699)=0,0,IF(OR(AND(AB692=0,CJ579&gt;0),AND(AB692="ns",CK579&gt;0),AND(AB692="ns",CJ579=0,CK579=0)),1,IF(OR(AND(CJ579&gt;=2,AB692&gt;CK579),AND(AB692="ns",CK579=0,CJ579&gt;0),AB692=CK579),0,1)))</f>
        <v>0</v>
      </c>
      <c r="CM579">
        <f>COUNTIF(AB702:AB704,"NS")</f>
        <v>0</v>
      </c>
      <c r="CN579">
        <f>SUM(AB702:AB704)</f>
        <v>0</v>
      </c>
      <c r="CO579">
        <f>IF(COUNTA(AB701:AB704)=0,0,IF(OR(AND(AB701=0,CM579&gt;0),AND(AB701="ns",CN579&gt;0),AND(AB701="ns",CM579=0,CN579=0)),1,IF(OR(AND(CM579&gt;=2,AB701&gt;CN579),AND(AB701="ns",CN579=0,CM579&gt;0),AB701=CN579),0,1)))</f>
        <v>0</v>
      </c>
      <c r="CP579">
        <f>COUNTIF(AB714:AB718,"NS")</f>
        <v>0</v>
      </c>
      <c r="CQ579">
        <f>SUM(AB714:AB718)</f>
        <v>0</v>
      </c>
      <c r="CR579">
        <f>IF(COUNTA(AB713:AB718)=0,0,IF(OR(AND(AB713=0,CP579&gt;0),AND(AB713="ns",CQ579&gt;0),AND(AB713="ns",CP579=0,CQ579=0)),1,IF(OR(AND(CP579&gt;=2,AB713&gt;CQ579),AND(AB713="ns",CQ579=0,CP579&gt;0),AB713=CQ579),0,1)))</f>
        <v>0</v>
      </c>
      <c r="CS579"/>
      <c r="CT579"/>
      <c r="CU579"/>
      <c r="CV579"/>
      <c r="CW579"/>
      <c r="CX579"/>
      <c r="CY579"/>
      <c r="CZ579"/>
      <c r="DA579"/>
    </row>
    <row r="580" spans="1:105" ht="48" customHeight="1">
      <c r="A580" s="108"/>
      <c r="B580" s="38"/>
      <c r="C580" s="1109"/>
      <c r="D580" s="954"/>
      <c r="E580" s="956"/>
      <c r="F580" s="1110" t="s">
        <v>4839</v>
      </c>
      <c r="G580" s="1110"/>
      <c r="H580" s="178"/>
      <c r="I580" s="1111" t="s">
        <v>4840</v>
      </c>
      <c r="J580" s="1111"/>
      <c r="K580" s="1111"/>
      <c r="L580" s="1111"/>
      <c r="M580" s="1111"/>
      <c r="N580" s="1111"/>
      <c r="O580" s="1112"/>
      <c r="P580" s="100"/>
      <c r="Q580" s="100"/>
      <c r="R580" s="100"/>
      <c r="S580" s="100"/>
      <c r="T580" s="100"/>
      <c r="U580" s="100"/>
      <c r="V580" s="100"/>
      <c r="W580" s="100"/>
      <c r="X580" s="100"/>
      <c r="Y580" s="100"/>
      <c r="Z580" s="100"/>
      <c r="AA580" s="100"/>
      <c r="AB580" s="100"/>
      <c r="AC580" s="100"/>
      <c r="AD580" s="100"/>
      <c r="AF580"/>
      <c r="AG580">
        <f t="shared" si="256"/>
        <v>0</v>
      </c>
      <c r="AH580">
        <f t="shared" si="257"/>
        <v>0</v>
      </c>
      <c r="AK580">
        <f t="shared" si="241"/>
        <v>0</v>
      </c>
      <c r="AL580">
        <f t="shared" si="242"/>
        <v>0</v>
      </c>
      <c r="AM580">
        <f t="shared" si="243"/>
        <v>0</v>
      </c>
      <c r="AN580">
        <f t="shared" si="244"/>
        <v>0</v>
      </c>
      <c r="AO580">
        <f t="shared" si="245"/>
        <v>0</v>
      </c>
      <c r="AP580">
        <f t="shared" si="246"/>
        <v>0</v>
      </c>
      <c r="AQ580">
        <f t="shared" si="247"/>
        <v>0</v>
      </c>
      <c r="AR580">
        <f t="shared" si="248"/>
        <v>0</v>
      </c>
      <c r="AS580">
        <f t="shared" si="249"/>
        <v>0</v>
      </c>
      <c r="AT580">
        <f t="shared" si="250"/>
        <v>0</v>
      </c>
      <c r="AU580">
        <f t="shared" si="251"/>
        <v>0</v>
      </c>
      <c r="AV580">
        <f t="shared" si="252"/>
        <v>0</v>
      </c>
      <c r="AW580">
        <f t="shared" si="253"/>
        <v>0</v>
      </c>
      <c r="AX580">
        <f t="shared" si="254"/>
        <v>0</v>
      </c>
      <c r="AY580">
        <f t="shared" si="255"/>
        <v>0</v>
      </c>
      <c r="AZ580">
        <f>COUNTIF(AC568:AC573,"NS")</f>
        <v>0</v>
      </c>
      <c r="BA580">
        <f>SUM(AC568:AC573)</f>
        <v>0</v>
      </c>
      <c r="BB580">
        <f>IF(COUNTA(AC567:AC573)=0,0,IF(OR(AND(AC567=0,AZ580&gt;0),AND(AC567="ns",BA580&gt;0),AND(AC567="ns",AZ580=0,BA580=0)),1,IF(OR(AND(AZ580&gt;=2,AC567&gt;BA580),AND(AC567="ns",BA580=0,AZ580&gt;0),AC567=BA580),0,1)))</f>
        <v>0</v>
      </c>
      <c r="BC580">
        <f>COUNTIF(AC579:AC583,"NS")</f>
        <v>0</v>
      </c>
      <c r="BD580">
        <f>SUM(AC579:AC583)</f>
        <v>0</v>
      </c>
      <c r="BE580">
        <f>IF(COUNTA(AC578:AC583)=0,0,IF(OR(AND(AC578=0,BC580&gt;0),AND(AC578="ns",BD580&gt;0),AND(AC578="ns",BC580=0,BD580=0)),1,IF(OR(AND(BC580&gt;=2,AC578&gt;BD580),AND(AC578="ns",BD580=0,BC580&gt;0),AC578=BD580),0,1)))</f>
        <v>0</v>
      </c>
      <c r="BF580">
        <f>COUNTIF(AC588:AC605,"NS")</f>
        <v>0</v>
      </c>
      <c r="BG580">
        <f>SUM(AC588:AC605)</f>
        <v>0</v>
      </c>
      <c r="BH580">
        <f>IF(COUNTA(AC587:AC605)=0,0,IF(OR(AND(AC587=0,BF580&gt;0),AND(AC587="ns",BG580&gt;0),AND(AC587="ns",BF580=0,BG580=0)),1,IF(OR(AND(BF580&gt;=2,AC587&gt;BG580),AND(AC587="ns",BG580=0,BF580&gt;0),AC587=BG580),0,1)))</f>
        <v>0</v>
      </c>
      <c r="BI580">
        <f>COUNTIF(AC607:AC611,"NS")</f>
        <v>0</v>
      </c>
      <c r="BJ580">
        <f>SUM(AC607:AC611)</f>
        <v>0</v>
      </c>
      <c r="BK580">
        <f>IF(COUNTA(AC606:AC611)=0,0,IF(OR(AND(AC606=0,BI580&gt;0),AND(AC606="ns",BJ580&gt;0),AND(AC606="ns",BI580=0,BJ580=0)),1,IF(OR(AND(BI580&gt;=2,AC606&gt;BJ580),AND(AC606="ns",BJ580=0,BI580&gt;0),AC606=BJ580),0,1)))</f>
        <v>0</v>
      </c>
      <c r="BL580">
        <f>COUNTIF(AC615:AC617,"NS")</f>
        <v>0</v>
      </c>
      <c r="BM580">
        <f>SUM(AC615:AC617)</f>
        <v>0</v>
      </c>
      <c r="BN580">
        <f>IF(COUNTA(AC614:AC617)=0,0,IF(OR(AND(AC614=0,BL580&gt;0),AND(AC614="ns",BM580&gt;0),AND(AC614="ns",BL580=0,BM580=0)),1,IF(OR(AND(BL580&gt;=2,AC614&gt;BM580),AND(AC614="ns",BM580=0,BL580&gt;0),AC614=BM580),0,1)))</f>
        <v>0</v>
      </c>
      <c r="BO580">
        <f>COUNTIF(AC625:AC631,"NS")</f>
        <v>0</v>
      </c>
      <c r="BP580">
        <f>SUM(AC625:AC631)</f>
        <v>0</v>
      </c>
      <c r="BQ580">
        <f>IF(COUNTA(AC624:AC631)=0,0,IF(OR(AND(AC624=0,BO580&gt;0),AND(AC624="ns",BP580&gt;0),AND(AC624="ns",BO580=0,BP580=0)),1,IF(OR(AND(BO580&gt;=2,AC624&gt;BP580),AND(AC624="ns",BP580=0,BO580&gt;0),AC624=BP580),0,1)))</f>
        <v>0</v>
      </c>
      <c r="BR580">
        <f>COUNTIF(AC633:AC637,"NS")</f>
        <v>0</v>
      </c>
      <c r="BS580">
        <f>SUM(AC633:AC637)</f>
        <v>0</v>
      </c>
      <c r="BT580">
        <f>IF(COUNTA(AC632:AC637)=0,0,IF(OR(AND(AC632=0,BR580&gt;0),AND(AC632="ns",BS580&gt;0),AND(AC632="ns",BR580=0,BS580=0)),1,IF(OR(AND(BR580&gt;=2,AC632&gt;BS580),AND(AC632="ns",BS580=0,BR580&gt;0),AC632=BS580),0,1)))</f>
        <v>0</v>
      </c>
      <c r="BU580">
        <f>COUNTIF(AC643:AC648,"NS")</f>
        <v>0</v>
      </c>
      <c r="BV580">
        <f>SUM(AC643:AC648)</f>
        <v>0</v>
      </c>
      <c r="BW580">
        <f>IF(COUNTA(AC642:AC648)=0,0,IF(OR(AND(AC642=0,BU580&gt;0),AND(AC642="ns",BV580&gt;0),AND(AC642="ns",BU580=0,BV580=0)),1,IF(OR(AND(BU580&gt;=2,AC642&gt;BV580),AND(AC642="ns",BV580=0,BU580&gt;0),AC642=BV580),0,1)))</f>
        <v>0</v>
      </c>
      <c r="BX580">
        <f>COUNTIF(AC650:AC657,"NS")</f>
        <v>0</v>
      </c>
      <c r="BY580">
        <f>SUM(AC650:AC657)</f>
        <v>0</v>
      </c>
      <c r="BZ580">
        <f>IF(COUNTA(AC649:AC657)=0,0,IF(OR(AND(AC649=0,BX580&gt;0),AND(AC649="ns",BY580&gt;0),AND(AC649="ns",BX580=0,BY580=0)),1,IF(OR(AND(BX580&gt;=2,AC649&gt;BY580),AND(AC649="ns",BY580=0,BX580&gt;0),AC649=BY580),0,1)))</f>
        <v>0</v>
      </c>
      <c r="CA580">
        <f>COUNTIF(AC662:AC667,"NS")</f>
        <v>0</v>
      </c>
      <c r="CB580">
        <f>SUM(AC662:AC667)</f>
        <v>0</v>
      </c>
      <c r="CC580">
        <f>IF(COUNTA(AC661:AC667)=0,0,IF(OR(AND(AC661=0,CA580&gt;0),AND(AC661="ns",CB580&gt;0),AND(AC661="ns",CA580=0,CB580=0)),1,IF(OR(AND(CA580&gt;=2,AC661&gt;CB580),AND(AC661="ns",CB580=0,CA580&gt;0),AC661=CB580),0,1)))</f>
        <v>0</v>
      </c>
      <c r="CD580">
        <f>COUNTIF(AC672:AC680,"NS")</f>
        <v>0</v>
      </c>
      <c r="CE580">
        <f>SUM(AC672:AC680)</f>
        <v>0</v>
      </c>
      <c r="CF580">
        <f>IF(COUNTA(AC671:AC680)=0,0,IF(OR(AND(AC671=0,CD580&gt;0),AND(AC671="ns",CE580&gt;0),AND(AC671="ns",CD580=0,CE580=0)),1,IF(OR(AND(CD580&gt;=2,AC671&gt;CE580),AND(AC671="ns",CE580=0,CD580&gt;0),AC671=CE580),0,1)))</f>
        <v>0</v>
      </c>
      <c r="CG580">
        <f>COUNTIF(AC682:AC684,"NS")</f>
        <v>0</v>
      </c>
      <c r="CH580">
        <f>SUM(AC682:AC684)</f>
        <v>0</v>
      </c>
      <c r="CI580">
        <f>IF(COUNTA(AC681:AC684)=0,0,IF(OR(AND(AC681=0,CG580&gt;0),AND(AC681="ns",CH580&gt;0),AND(AC681="ns",CG580=0,CH580=0)),1,IF(OR(AND(CG580&gt;=2,AC681&gt;CH580),AND(AC681="ns",CH580=0,CG580&gt;0),AC681=CH580),0,1)))</f>
        <v>0</v>
      </c>
      <c r="CJ580">
        <f>COUNTIF(AC693:AC699,"NS")</f>
        <v>0</v>
      </c>
      <c r="CK580">
        <f>SUM(AC693:AC699)</f>
        <v>0</v>
      </c>
      <c r="CL580">
        <f>IF(COUNTA(AC692:AC699)=0,0,IF(OR(AND(AC692=0,CJ580&gt;0),AND(AC692="ns",CK580&gt;0),AND(AC692="ns",CJ580=0,CK580=0)),1,IF(OR(AND(CJ580&gt;=2,AC692&gt;CK580),AND(AC692="ns",CK580=0,CJ580&gt;0),AC692=CK580),0,1)))</f>
        <v>0</v>
      </c>
      <c r="CM580">
        <f>COUNTIF(AC702:AC704,"NS")</f>
        <v>0</v>
      </c>
      <c r="CN580">
        <f>SUM(AC702:AC704)</f>
        <v>0</v>
      </c>
      <c r="CO580">
        <f>IF(COUNTA(AC701:AC704)=0,0,IF(OR(AND(AC701=0,CM580&gt;0),AND(AC701="ns",CN580&gt;0),AND(AC701="ns",CM580=0,CN580=0)),1,IF(OR(AND(CM580&gt;=2,AC701&gt;CN580),AND(AC701="ns",CN580=0,CM580&gt;0),AC701=CN580),0,1)))</f>
        <v>0</v>
      </c>
      <c r="CP580">
        <f>COUNTIF(AC714:AC718,"NS")</f>
        <v>0</v>
      </c>
      <c r="CQ580">
        <f>SUM(AC714:AC718)</f>
        <v>0</v>
      </c>
      <c r="CR580">
        <f>IF(COUNTA(AC713:AC718)=0,0,IF(OR(AND(AC713=0,CP580&gt;0),AND(AC713="ns",CQ580&gt;0),AND(AC713="ns",CP580=0,CQ580=0)),1,IF(OR(AND(CP580&gt;=2,AC713&gt;CQ580),AND(AC713="ns",CQ580=0,CP580&gt;0),AC713=CQ580),0,1)))</f>
        <v>0</v>
      </c>
      <c r="CS580"/>
      <c r="CT580"/>
      <c r="CU580"/>
      <c r="CV580"/>
      <c r="CW580"/>
      <c r="CX580"/>
      <c r="CY580"/>
      <c r="CZ580"/>
      <c r="DA580"/>
    </row>
    <row r="581" spans="1:105" ht="24" customHeight="1">
      <c r="A581" s="108"/>
      <c r="B581" s="38"/>
      <c r="C581" s="1109"/>
      <c r="D581" s="954"/>
      <c r="E581" s="956"/>
      <c r="F581" s="1110" t="s">
        <v>4841</v>
      </c>
      <c r="G581" s="1110"/>
      <c r="H581" s="178"/>
      <c r="I581" s="1111" t="s">
        <v>4842</v>
      </c>
      <c r="J581" s="1111"/>
      <c r="K581" s="1111"/>
      <c r="L581" s="1111"/>
      <c r="M581" s="1111"/>
      <c r="N581" s="1111"/>
      <c r="O581" s="1112"/>
      <c r="P581" s="100"/>
      <c r="Q581" s="100"/>
      <c r="R581" s="100"/>
      <c r="S581" s="100"/>
      <c r="T581" s="100"/>
      <c r="U581" s="100"/>
      <c r="V581" s="100"/>
      <c r="W581" s="100"/>
      <c r="X581" s="100"/>
      <c r="Y581" s="100"/>
      <c r="Z581" s="100"/>
      <c r="AA581" s="100"/>
      <c r="AB581" s="100"/>
      <c r="AC581" s="100"/>
      <c r="AD581" s="100"/>
      <c r="AF581"/>
      <c r="AG581">
        <f t="shared" si="256"/>
        <v>0</v>
      </c>
      <c r="AH581">
        <f t="shared" si="257"/>
        <v>0</v>
      </c>
      <c r="AK581">
        <f t="shared" si="241"/>
        <v>0</v>
      </c>
      <c r="AL581">
        <f t="shared" si="242"/>
        <v>0</v>
      </c>
      <c r="AM581">
        <f t="shared" si="243"/>
        <v>0</v>
      </c>
      <c r="AN581">
        <f t="shared" si="244"/>
        <v>0</v>
      </c>
      <c r="AO581">
        <f t="shared" si="245"/>
        <v>0</v>
      </c>
      <c r="AP581">
        <f t="shared" si="246"/>
        <v>0</v>
      </c>
      <c r="AQ581">
        <f t="shared" si="247"/>
        <v>0</v>
      </c>
      <c r="AR581">
        <f t="shared" si="248"/>
        <v>0</v>
      </c>
      <c r="AS581">
        <f t="shared" si="249"/>
        <v>0</v>
      </c>
      <c r="AT581">
        <f t="shared" si="250"/>
        <v>0</v>
      </c>
      <c r="AU581">
        <f t="shared" si="251"/>
        <v>0</v>
      </c>
      <c r="AV581">
        <f t="shared" si="252"/>
        <v>0</v>
      </c>
      <c r="AW581">
        <f t="shared" si="253"/>
        <v>0</v>
      </c>
      <c r="AX581">
        <f t="shared" si="254"/>
        <v>0</v>
      </c>
      <c r="AY581">
        <f t="shared" si="255"/>
        <v>0</v>
      </c>
      <c r="AZ581">
        <f>COUNTIF(AD568:AD573,"NS")</f>
        <v>0</v>
      </c>
      <c r="BA581">
        <f>SUM(AD568:AD573)</f>
        <v>0</v>
      </c>
      <c r="BB581">
        <f>IF(COUNTA(AD567:AD573)=0,0,IF(OR(AND(AD567=0,AZ581&gt;0),AND(AD567="ns",BA581&gt;0),AND(AD567="ns",AZ581=0,BA581=0)),1,IF(OR(AND(AZ581&gt;=2,AD567&gt;BA581),AND(AD567="ns",BA581=0,AZ581&gt;0),AD567=BA581),0,1)))</f>
        <v>0</v>
      </c>
      <c r="BC581">
        <f>COUNTIF(AD579:AD583,"NS")</f>
        <v>0</v>
      </c>
      <c r="BD581">
        <f>SUM(AD579:AD583)</f>
        <v>0</v>
      </c>
      <c r="BE581">
        <f>IF(COUNTA(AD578:AD583)=0,0,IF(OR(AND(AD578=0,BC581&gt;0),AND(AD578="ns",BD581&gt;0),AND(AD578="ns",BC581=0,BD581=0)),1,IF(OR(AND(BC581&gt;=2,AD578&gt;BD581),AND(AD578="ns",BD581=0,BC581&gt;0),AD578=BD581),0,1)))</f>
        <v>0</v>
      </c>
      <c r="BF581">
        <f>COUNTIF(AD588:AD605,"NS")</f>
        <v>0</v>
      </c>
      <c r="BG581">
        <f>SUM(AD588:AD605)</f>
        <v>0</v>
      </c>
      <c r="BH581">
        <f>IF(COUNTA(AD587:AD605)=0,0,IF(OR(AND(AD587=0,BF581&gt;0),AND(AD587="ns",BG581&gt;0),AND(AD587="ns",BF581=0,BG581=0)),1,IF(OR(AND(BF581&gt;=2,AD587&gt;BG581),AND(AD587="ns",BG581=0,BF581&gt;0),AD587=BG581),0,1)))</f>
        <v>0</v>
      </c>
      <c r="BI581">
        <f>COUNTIF(AD607:AD611,"NS")</f>
        <v>0</v>
      </c>
      <c r="BJ581">
        <f>SUM(AD607:AD611)</f>
        <v>0</v>
      </c>
      <c r="BK581">
        <f>IF(COUNTA(AD606:AD611)=0,0,IF(OR(AND(AD606=0,BI581&gt;0),AND(AD606="ns",BJ581&gt;0),AND(AD606="ns",BI581=0,BJ581=0)),1,IF(OR(AND(BI581&gt;=2,AD606&gt;BJ581),AND(AD606="ns",BJ581=0,BI581&gt;0),AD606=BJ581),0,1)))</f>
        <v>0</v>
      </c>
      <c r="BL581">
        <f>COUNTIF(AD615:AD617,"NS")</f>
        <v>0</v>
      </c>
      <c r="BM581">
        <f>SUM(AD615:AD617)</f>
        <v>0</v>
      </c>
      <c r="BN581">
        <f>IF(COUNTA(AD614:AD617)=0,0,IF(OR(AND(AD614=0,BL581&gt;0),AND(AD614="ns",BM581&gt;0),AND(AD614="ns",BL581=0,BM581=0)),1,IF(OR(AND(BL581&gt;=2,AD614&gt;BM581),AND(AD614="ns",BM581=0,BL581&gt;0),AD614=BM581),0,1)))</f>
        <v>0</v>
      </c>
      <c r="BO581">
        <f>COUNTIF(AD625:AD631,"NS")</f>
        <v>0</v>
      </c>
      <c r="BP581">
        <f>SUM(AD625:AD631)</f>
        <v>0</v>
      </c>
      <c r="BQ581">
        <f>IF(COUNTA(AD624:AD631)=0,0,IF(OR(AND(AD624=0,BO581&gt;0),AND(AD624="ns",BP581&gt;0),AND(AD624="ns",BO581=0,BP581=0)),1,IF(OR(AND(BO581&gt;=2,AD624&gt;BP581),AND(AD624="ns",BP581=0,BO581&gt;0),AD624=BP581),0,1)))</f>
        <v>0</v>
      </c>
      <c r="BR581">
        <f>COUNTIF(AD633:AD637,"NS")</f>
        <v>0</v>
      </c>
      <c r="BS581">
        <f>SUM(AD633:AD637)</f>
        <v>0</v>
      </c>
      <c r="BT581">
        <f>IF(COUNTA(AD632:AD637)=0,0,IF(OR(AND(AD632=0,BR581&gt;0),AND(AD632="ns",BS581&gt;0),AND(AD632="ns",BR581=0,BS581=0)),1,IF(OR(AND(BR581&gt;=2,AD632&gt;BS581),AND(AD632="ns",BS581=0,BR581&gt;0),AD632=BS581),0,1)))</f>
        <v>0</v>
      </c>
      <c r="BU581">
        <f>COUNTIF(AD643:AD648,"NS")</f>
        <v>0</v>
      </c>
      <c r="BV581">
        <f>SUM(AD643:AD648)</f>
        <v>0</v>
      </c>
      <c r="BW581">
        <f>IF(COUNTA(AD642:AD648)=0,0,IF(OR(AND(AD642=0,BU581&gt;0),AND(AD642="ns",BV581&gt;0),AND(AD642="ns",BU581=0,BV581=0)),1,IF(OR(AND(BU581&gt;=2,AD642&gt;BV581),AND(AD642="ns",BV581=0,BU581&gt;0),AD642=BV581),0,1)))</f>
        <v>0</v>
      </c>
      <c r="BX581">
        <f>COUNTIF(AD650:AD657,"NS")</f>
        <v>0</v>
      </c>
      <c r="BY581">
        <f>SUM(AD650:AD657)</f>
        <v>0</v>
      </c>
      <c r="BZ581">
        <f>IF(COUNTA(AD649:AD657)=0,0,IF(OR(AND(AD649=0,BX581&gt;0),AND(AD649="ns",BY581&gt;0),AND(AD649="ns",BX581=0,BY581=0)),1,IF(OR(AND(BX581&gt;=2,AD649&gt;BY581),AND(AD649="ns",BY581=0,BX581&gt;0),AD649=BY581),0,1)))</f>
        <v>0</v>
      </c>
      <c r="CA581">
        <f>COUNTIF(AD662:AD667,"NS")</f>
        <v>0</v>
      </c>
      <c r="CB581">
        <f>SUM(AD662:AD667)</f>
        <v>0</v>
      </c>
      <c r="CC581">
        <f>IF(COUNTA(AD661:AD667)=0,0,IF(OR(AND(AD661=0,CA581&gt;0),AND(AD661="ns",CB581&gt;0),AND(AD661="ns",CA581=0,CB581=0)),1,IF(OR(AND(CA581&gt;=2,AD661&gt;CB581),AND(AD661="ns",CB581=0,CA581&gt;0),AD661=CB581),0,1)))</f>
        <v>0</v>
      </c>
      <c r="CD581">
        <f>COUNTIF(AD672:AD680,"NS")</f>
        <v>0</v>
      </c>
      <c r="CE581">
        <f>SUM(AD672:AD680)</f>
        <v>0</v>
      </c>
      <c r="CF581">
        <f>IF(COUNTA(AD671:AD680)=0,0,IF(OR(AND(AD671=0,CD581&gt;0),AND(AD671="ns",CE581&gt;0),AND(AD671="ns",CD581=0,CE581=0)),1,IF(OR(AND(CD581&gt;=2,AD671&gt;CE581),AND(AD671="ns",CE581=0,CD581&gt;0),AD671=CE581),0,1)))</f>
        <v>0</v>
      </c>
      <c r="CG581">
        <f>COUNTIF(AD682:AD684,"NS")</f>
        <v>0</v>
      </c>
      <c r="CH581">
        <f>SUM(AD682:AD684)</f>
        <v>0</v>
      </c>
      <c r="CI581">
        <f>IF(COUNTA(AD681:AD684)=0,0,IF(OR(AND(AD681=0,CG581&gt;0),AND(AD681="ns",CH581&gt;0),AND(AD681="ns",CG581=0,CH581=0)),1,IF(OR(AND(CG581&gt;=2,AD681&gt;CH581),AND(AD681="ns",CH581=0,CG581&gt;0),AD681=CH581),0,1)))</f>
        <v>0</v>
      </c>
      <c r="CJ581">
        <f>COUNTIF(AD693:AD699,"NS")</f>
        <v>0</v>
      </c>
      <c r="CK581">
        <f>SUM(AD693:AD699)</f>
        <v>0</v>
      </c>
      <c r="CL581">
        <f>IF(COUNTA(AD692:AD699)=0,0,IF(OR(AND(AD692=0,CJ581&gt;0),AND(AD692="ns",CK581&gt;0),AND(AD692="ns",CJ581=0,CK581=0)),1,IF(OR(AND(CJ581&gt;=2,AD692&gt;CK581),AND(AD692="ns",CK581=0,CJ581&gt;0),AD692=CK581),0,1)))</f>
        <v>0</v>
      </c>
      <c r="CM581">
        <f>COUNTIF(AD702:AD704,"NS")</f>
        <v>0</v>
      </c>
      <c r="CN581">
        <f>SUM(AD702:AD704)</f>
        <v>0</v>
      </c>
      <c r="CO581">
        <f>IF(COUNTA(AD701:AD704)=0,0,IF(OR(AND(AD701=0,CM581&gt;0),AND(AD701="ns",CN581&gt;0),AND(AD701="ns",CM581=0,CN581=0)),1,IF(OR(AND(CM581&gt;=2,AD701&gt;CN581),AND(AD701="ns",CN581=0,CM581&gt;0),AD701=CN581),0,1)))</f>
        <v>0</v>
      </c>
      <c r="CP581">
        <f>COUNTIF(AD714:AD718,"NS")</f>
        <v>0</v>
      </c>
      <c r="CQ581">
        <f>SUM(AD714:AD718)</f>
        <v>0</v>
      </c>
      <c r="CR581">
        <f>IF(COUNTA(AD713:AD718)=0,0,IF(OR(AND(AD713=0,CP581&gt;0),AND(AD713="ns",CQ581&gt;0),AND(AD713="ns",CP581=0,CQ581=0)),1,IF(OR(AND(CP581&gt;=2,AD713&gt;CQ581),AND(AD713="ns",CQ581=0,CP581&gt;0),AD713=CQ581),0,1)))</f>
        <v>0</v>
      </c>
      <c r="CS581"/>
      <c r="CT581"/>
      <c r="CU581"/>
      <c r="CV581"/>
      <c r="CW581"/>
      <c r="CX581"/>
      <c r="CY581"/>
      <c r="CZ581"/>
      <c r="DA581"/>
    </row>
    <row r="582" spans="1:105" ht="15" customHeight="1">
      <c r="A582" s="108"/>
      <c r="B582" s="38"/>
      <c r="C582" s="1109"/>
      <c r="D582" s="954"/>
      <c r="E582" s="956"/>
      <c r="F582" s="1110" t="s">
        <v>4843</v>
      </c>
      <c r="G582" s="1110"/>
      <c r="H582" s="178"/>
      <c r="I582" s="1111" t="s">
        <v>4844</v>
      </c>
      <c r="J582" s="1111"/>
      <c r="K582" s="1111"/>
      <c r="L582" s="1111"/>
      <c r="M582" s="1111"/>
      <c r="N582" s="1111"/>
      <c r="O582" s="1112"/>
      <c r="P582" s="100"/>
      <c r="Q582" s="100"/>
      <c r="R582" s="100"/>
      <c r="S582" s="100"/>
      <c r="T582" s="100"/>
      <c r="U582" s="100"/>
      <c r="V582" s="100"/>
      <c r="W582" s="100"/>
      <c r="X582" s="100"/>
      <c r="Y582" s="100"/>
      <c r="Z582" s="100"/>
      <c r="AA582" s="100"/>
      <c r="AB582" s="100"/>
      <c r="AC582" s="100"/>
      <c r="AD582" s="100"/>
      <c r="AF582"/>
      <c r="AG582">
        <f t="shared" si="256"/>
        <v>0</v>
      </c>
      <c r="AH582">
        <f t="shared" si="257"/>
        <v>0</v>
      </c>
      <c r="AK582">
        <f t="shared" si="241"/>
        <v>0</v>
      </c>
      <c r="AL582">
        <f t="shared" si="242"/>
        <v>0</v>
      </c>
      <c r="AM582">
        <f t="shared" si="243"/>
        <v>0</v>
      </c>
      <c r="AN582">
        <f t="shared" si="244"/>
        <v>0</v>
      </c>
      <c r="AO582">
        <f t="shared" si="245"/>
        <v>0</v>
      </c>
      <c r="AP582">
        <f t="shared" si="246"/>
        <v>0</v>
      </c>
      <c r="AQ582">
        <f t="shared" si="247"/>
        <v>0</v>
      </c>
      <c r="AR582">
        <f t="shared" si="248"/>
        <v>0</v>
      </c>
      <c r="AS582">
        <f t="shared" si="249"/>
        <v>0</v>
      </c>
      <c r="AT582">
        <f t="shared" si="250"/>
        <v>0</v>
      </c>
      <c r="AU582">
        <f t="shared" si="251"/>
        <v>0</v>
      </c>
      <c r="AV582">
        <f t="shared" si="252"/>
        <v>0</v>
      </c>
      <c r="AW582">
        <f t="shared" si="253"/>
        <v>0</v>
      </c>
      <c r="AX582">
        <f t="shared" si="254"/>
        <v>0</v>
      </c>
      <c r="AY582">
        <f t="shared" si="255"/>
        <v>0</v>
      </c>
      <c r="AZ582">
        <f>SUM(AZ567:AZ581)</f>
        <v>0</v>
      </c>
      <c r="BB582">
        <f>SUM(BB567:BB581)</f>
        <v>0</v>
      </c>
      <c r="BC582">
        <f>SUM(BC567:BC581)</f>
        <v>0</v>
      </c>
      <c r="BE582">
        <f>SUM(BE567:BE581)</f>
        <v>0</v>
      </c>
      <c r="BF582">
        <f>SUM(BF567:BF581)</f>
        <v>0</v>
      </c>
      <c r="BH582">
        <f>SUM(BH567:BH581)</f>
        <v>0</v>
      </c>
      <c r="BI582">
        <f>SUM(BI567:BI581)</f>
        <v>0</v>
      </c>
      <c r="BK582">
        <f>SUM(BK567:BK581)</f>
        <v>0</v>
      </c>
      <c r="BL582">
        <f>SUM(BL567:BL581)</f>
        <v>0</v>
      </c>
      <c r="BN582">
        <f>SUM(BN567:BN581)</f>
        <v>0</v>
      </c>
      <c r="BO582">
        <f>SUM(BO567:BO581)</f>
        <v>0</v>
      </c>
      <c r="BQ582">
        <f>SUM(BQ567:BQ581)</f>
        <v>0</v>
      </c>
      <c r="BR582">
        <f>SUM(BR567:BR581)</f>
        <v>0</v>
      </c>
      <c r="BT582">
        <f>SUM(BT567:BT581)</f>
        <v>0</v>
      </c>
      <c r="BU582">
        <f>SUM(BU567:BU581)</f>
        <v>0</v>
      </c>
      <c r="BW582">
        <f>SUM(BW567:BW581)</f>
        <v>0</v>
      </c>
      <c r="BX582">
        <f>SUM(BX567:BX581)</f>
        <v>0</v>
      </c>
      <c r="BZ582">
        <f>SUM(BZ567:BZ581)</f>
        <v>0</v>
      </c>
      <c r="CA582">
        <f>SUM(CA567:CA581)</f>
        <v>0</v>
      </c>
      <c r="CC582">
        <f>SUM(CC567:CC581)</f>
        <v>0</v>
      </c>
      <c r="CD582">
        <f>SUM(CD567:CD581)</f>
        <v>0</v>
      </c>
      <c r="CF582">
        <f>SUM(CF567:CF581)</f>
        <v>0</v>
      </c>
      <c r="CG582">
        <f>SUM(CG567:CG581)</f>
        <v>0</v>
      </c>
      <c r="CI582">
        <f>SUM(CI567:CI581)</f>
        <v>0</v>
      </c>
      <c r="CJ582">
        <f>SUM(CJ567:CJ581)</f>
        <v>0</v>
      </c>
      <c r="CL582">
        <f>SUM(CL567:CL581)</f>
        <v>0</v>
      </c>
      <c r="CM582">
        <f>SUM(CM567:CM581)</f>
        <v>0</v>
      </c>
      <c r="CO582">
        <f>SUM(CO567:CO581)</f>
        <v>0</v>
      </c>
      <c r="CP582">
        <f>SUM(CP567:CP581)</f>
        <v>0</v>
      </c>
      <c r="CR582">
        <f>SUM(CR567:CR581)</f>
        <v>0</v>
      </c>
      <c r="CS582"/>
      <c r="CT582"/>
      <c r="CU582"/>
      <c r="CV582"/>
      <c r="CW582"/>
      <c r="CX582"/>
      <c r="CY582"/>
      <c r="CZ582"/>
      <c r="DA582"/>
    </row>
    <row r="583" spans="1:105" ht="15" customHeight="1">
      <c r="A583" s="108"/>
      <c r="B583" s="38"/>
      <c r="C583" s="1109"/>
      <c r="D583" s="954"/>
      <c r="E583" s="956"/>
      <c r="F583" s="1110" t="s">
        <v>4845</v>
      </c>
      <c r="G583" s="1110"/>
      <c r="H583" s="179"/>
      <c r="I583" s="1111" t="s">
        <v>2631</v>
      </c>
      <c r="J583" s="1111"/>
      <c r="K583" s="1111"/>
      <c r="L583" s="1111"/>
      <c r="M583" s="1111"/>
      <c r="N583" s="1111"/>
      <c r="O583" s="1112"/>
      <c r="P583" s="100"/>
      <c r="Q583" s="100"/>
      <c r="R583" s="100"/>
      <c r="S583" s="100"/>
      <c r="T583" s="100"/>
      <c r="U583" s="100"/>
      <c r="V583" s="100"/>
      <c r="W583" s="100"/>
      <c r="X583" s="100"/>
      <c r="Y583" s="100"/>
      <c r="Z583" s="100"/>
      <c r="AA583" s="100"/>
      <c r="AB583" s="100"/>
      <c r="AC583" s="100"/>
      <c r="AD583" s="100"/>
      <c r="AF583"/>
      <c r="AG583">
        <f t="shared" si="256"/>
        <v>0</v>
      </c>
      <c r="AH583">
        <f t="shared" si="257"/>
        <v>0</v>
      </c>
      <c r="AK583">
        <f t="shared" si="241"/>
        <v>0</v>
      </c>
      <c r="AL583">
        <f t="shared" si="242"/>
        <v>0</v>
      </c>
      <c r="AM583">
        <f t="shared" si="243"/>
        <v>0</v>
      </c>
      <c r="AN583">
        <f t="shared" si="244"/>
        <v>0</v>
      </c>
      <c r="AO583">
        <f t="shared" si="245"/>
        <v>0</v>
      </c>
      <c r="AP583">
        <f t="shared" si="246"/>
        <v>0</v>
      </c>
      <c r="AQ583">
        <f t="shared" si="247"/>
        <v>0</v>
      </c>
      <c r="AR583">
        <f t="shared" si="248"/>
        <v>0</v>
      </c>
      <c r="AS583">
        <f t="shared" si="249"/>
        <v>0</v>
      </c>
      <c r="AT583">
        <f t="shared" si="250"/>
        <v>0</v>
      </c>
      <c r="AU583">
        <f t="shared" si="251"/>
        <v>0</v>
      </c>
      <c r="AV583">
        <f t="shared" si="252"/>
        <v>0</v>
      </c>
      <c r="AW583">
        <f t="shared" si="253"/>
        <v>0</v>
      </c>
      <c r="AX583">
        <f t="shared" si="254"/>
        <v>0</v>
      </c>
      <c r="AY583">
        <f t="shared" si="255"/>
        <v>0</v>
      </c>
      <c r="CR583" s="427">
        <f>SUM(BB582,BE582,BH582,BK582,BN582,BQ582,BT582,BW582,BZ582,CC582,CF582,CI582,CL582,CO582,CR582)</f>
        <v>0</v>
      </c>
      <c r="CS583"/>
      <c r="CT583"/>
      <c r="CU583"/>
      <c r="CV583"/>
      <c r="CW583"/>
      <c r="CX583"/>
      <c r="CY583"/>
      <c r="CZ583"/>
      <c r="DA583"/>
    </row>
    <row r="584" spans="1:105" ht="15" customHeight="1">
      <c r="A584" s="108"/>
      <c r="B584" s="38"/>
      <c r="C584" s="1109"/>
      <c r="D584" s="954"/>
      <c r="E584" s="956"/>
      <c r="F584" s="1103" t="s">
        <v>4846</v>
      </c>
      <c r="G584" s="1103"/>
      <c r="H584" s="1104" t="s">
        <v>4847</v>
      </c>
      <c r="I584" s="1105"/>
      <c r="J584" s="1105"/>
      <c r="K584" s="1105"/>
      <c r="L584" s="1105"/>
      <c r="M584" s="1105"/>
      <c r="N584" s="1105"/>
      <c r="O584" s="1106"/>
      <c r="P584" s="100"/>
      <c r="Q584" s="100"/>
      <c r="R584" s="100"/>
      <c r="S584" s="100"/>
      <c r="T584" s="100"/>
      <c r="U584" s="100"/>
      <c r="V584" s="100"/>
      <c r="W584" s="100"/>
      <c r="X584" s="100"/>
      <c r="Y584" s="100"/>
      <c r="Z584" s="100"/>
      <c r="AA584" s="100"/>
      <c r="AB584" s="100"/>
      <c r="AC584" s="100"/>
      <c r="AD584" s="100"/>
      <c r="AF584"/>
      <c r="AG584">
        <f t="shared" si="256"/>
        <v>0</v>
      </c>
      <c r="AH584">
        <f t="shared" si="257"/>
        <v>0</v>
      </c>
      <c r="AK584">
        <f t="shared" si="241"/>
        <v>0</v>
      </c>
      <c r="AL584">
        <f t="shared" si="242"/>
        <v>0</v>
      </c>
      <c r="AM584">
        <f t="shared" si="243"/>
        <v>0</v>
      </c>
      <c r="AN584">
        <f t="shared" si="244"/>
        <v>0</v>
      </c>
      <c r="AO584">
        <f t="shared" si="245"/>
        <v>0</v>
      </c>
      <c r="AP584">
        <f t="shared" si="246"/>
        <v>0</v>
      </c>
      <c r="AQ584">
        <f t="shared" si="247"/>
        <v>0</v>
      </c>
      <c r="AR584">
        <f t="shared" si="248"/>
        <v>0</v>
      </c>
      <c r="AS584">
        <f t="shared" si="249"/>
        <v>0</v>
      </c>
      <c r="AT584">
        <f t="shared" si="250"/>
        <v>0</v>
      </c>
      <c r="AU584">
        <f t="shared" si="251"/>
        <v>0</v>
      </c>
      <c r="AV584">
        <f t="shared" si="252"/>
        <v>0</v>
      </c>
      <c r="AW584">
        <f t="shared" si="253"/>
        <v>0</v>
      </c>
      <c r="AX584">
        <f t="shared" si="254"/>
        <v>0</v>
      </c>
      <c r="AY584">
        <f t="shared" si="255"/>
        <v>0</v>
      </c>
      <c r="CS584"/>
      <c r="CT584"/>
      <c r="CU584"/>
      <c r="CV584"/>
      <c r="CW584"/>
      <c r="CX584"/>
      <c r="CY584"/>
      <c r="CZ584"/>
      <c r="DA584"/>
    </row>
    <row r="585" spans="1:105" ht="15" customHeight="1">
      <c r="A585" s="108"/>
      <c r="B585" s="38"/>
      <c r="C585" s="1109"/>
      <c r="D585" s="954"/>
      <c r="E585" s="956"/>
      <c r="F585" s="1103" t="s">
        <v>4848</v>
      </c>
      <c r="G585" s="1103"/>
      <c r="H585" s="1104" t="s">
        <v>4849</v>
      </c>
      <c r="I585" s="1105"/>
      <c r="J585" s="1105"/>
      <c r="K585" s="1105"/>
      <c r="L585" s="1105"/>
      <c r="M585" s="1105"/>
      <c r="N585" s="1105"/>
      <c r="O585" s="1106"/>
      <c r="P585" s="100"/>
      <c r="Q585" s="100"/>
      <c r="R585" s="100"/>
      <c r="S585" s="100"/>
      <c r="T585" s="100"/>
      <c r="U585" s="100"/>
      <c r="V585" s="100"/>
      <c r="W585" s="100"/>
      <c r="X585" s="100"/>
      <c r="Y585" s="100"/>
      <c r="Z585" s="100"/>
      <c r="AA585" s="100"/>
      <c r="AB585" s="100"/>
      <c r="AC585" s="100"/>
      <c r="AD585" s="100"/>
      <c r="AF585"/>
      <c r="AG585">
        <f t="shared" si="256"/>
        <v>0</v>
      </c>
      <c r="AH585">
        <f t="shared" si="257"/>
        <v>0</v>
      </c>
      <c r="AK585">
        <f t="shared" si="241"/>
        <v>0</v>
      </c>
      <c r="AL585">
        <f t="shared" si="242"/>
        <v>0</v>
      </c>
      <c r="AM585">
        <f t="shared" si="243"/>
        <v>0</v>
      </c>
      <c r="AN585">
        <f t="shared" si="244"/>
        <v>0</v>
      </c>
      <c r="AO585">
        <f t="shared" si="245"/>
        <v>0</v>
      </c>
      <c r="AP585">
        <f t="shared" si="246"/>
        <v>0</v>
      </c>
      <c r="AQ585">
        <f t="shared" si="247"/>
        <v>0</v>
      </c>
      <c r="AR585">
        <f t="shared" si="248"/>
        <v>0</v>
      </c>
      <c r="AS585">
        <f t="shared" si="249"/>
        <v>0</v>
      </c>
      <c r="AT585">
        <f t="shared" si="250"/>
        <v>0</v>
      </c>
      <c r="AU585">
        <f t="shared" si="251"/>
        <v>0</v>
      </c>
      <c r="AV585">
        <f t="shared" si="252"/>
        <v>0</v>
      </c>
      <c r="AW585">
        <f t="shared" si="253"/>
        <v>0</v>
      </c>
      <c r="AX585">
        <f t="shared" si="254"/>
        <v>0</v>
      </c>
      <c r="AY585">
        <f t="shared" si="255"/>
        <v>0</v>
      </c>
      <c r="CS585"/>
      <c r="CT585"/>
      <c r="CU585"/>
      <c r="CV585"/>
      <c r="CW585"/>
      <c r="CX585"/>
      <c r="CY585"/>
      <c r="CZ585"/>
      <c r="DA585"/>
    </row>
    <row r="586" spans="1:105" ht="24" customHeight="1">
      <c r="A586" s="108"/>
      <c r="B586" s="38"/>
      <c r="C586" s="1109"/>
      <c r="D586" s="954"/>
      <c r="E586" s="956"/>
      <c r="F586" s="1103" t="s">
        <v>4850</v>
      </c>
      <c r="G586" s="1103"/>
      <c r="H586" s="1104" t="s">
        <v>4851</v>
      </c>
      <c r="I586" s="1105"/>
      <c r="J586" s="1105"/>
      <c r="K586" s="1105"/>
      <c r="L586" s="1105"/>
      <c r="M586" s="1105"/>
      <c r="N586" s="1105"/>
      <c r="O586" s="1106"/>
      <c r="P586" s="100"/>
      <c r="Q586" s="100"/>
      <c r="R586" s="100"/>
      <c r="S586" s="100"/>
      <c r="T586" s="100"/>
      <c r="U586" s="100"/>
      <c r="V586" s="100"/>
      <c r="W586" s="100"/>
      <c r="X586" s="100"/>
      <c r="Y586" s="100"/>
      <c r="Z586" s="100"/>
      <c r="AA586" s="100"/>
      <c r="AB586" s="100"/>
      <c r="AC586" s="100"/>
      <c r="AD586" s="100"/>
      <c r="AF586"/>
      <c r="AG586">
        <f t="shared" si="256"/>
        <v>0</v>
      </c>
      <c r="AH586">
        <f t="shared" si="257"/>
        <v>0</v>
      </c>
      <c r="AJ586">
        <f>IF(OR(P586="NS",P586="NA",$P$176=0,$P$176="NS",$P$176="NA"),0,IF((P586*(IFERROR(100/SUM(P575:P586),0)))&gt;25,1,0))</f>
        <v>0</v>
      </c>
      <c r="AK586">
        <f t="shared" si="241"/>
        <v>0</v>
      </c>
      <c r="AL586">
        <f t="shared" si="242"/>
        <v>0</v>
      </c>
      <c r="AM586">
        <f t="shared" si="243"/>
        <v>0</v>
      </c>
      <c r="AN586">
        <f t="shared" si="244"/>
        <v>0</v>
      </c>
      <c r="AO586">
        <f t="shared" si="245"/>
        <v>0</v>
      </c>
      <c r="AP586">
        <f t="shared" si="246"/>
        <v>0</v>
      </c>
      <c r="AQ586">
        <f t="shared" si="247"/>
        <v>0</v>
      </c>
      <c r="AR586">
        <f t="shared" si="248"/>
        <v>0</v>
      </c>
      <c r="AS586">
        <f t="shared" si="249"/>
        <v>0</v>
      </c>
      <c r="AT586">
        <f t="shared" si="250"/>
        <v>0</v>
      </c>
      <c r="AU586">
        <f t="shared" si="251"/>
        <v>0</v>
      </c>
      <c r="AV586">
        <f t="shared" si="252"/>
        <v>0</v>
      </c>
      <c r="AW586">
        <f t="shared" si="253"/>
        <v>0</v>
      </c>
      <c r="AX586">
        <f t="shared" si="254"/>
        <v>0</v>
      </c>
      <c r="AY586">
        <f t="shared" si="255"/>
        <v>0</v>
      </c>
      <c r="CS586"/>
      <c r="CT586"/>
      <c r="CU586"/>
      <c r="CV586"/>
      <c r="CW586"/>
      <c r="CX586"/>
      <c r="CY586"/>
      <c r="CZ586"/>
      <c r="DA586"/>
    </row>
    <row r="587" spans="1:105" ht="15" customHeight="1">
      <c r="A587" s="108"/>
      <c r="B587" s="38"/>
      <c r="C587" s="1108" t="s">
        <v>4852</v>
      </c>
      <c r="D587" s="847" t="s">
        <v>4853</v>
      </c>
      <c r="E587" s="848"/>
      <c r="F587" s="1103" t="s">
        <v>4854</v>
      </c>
      <c r="G587" s="1103"/>
      <c r="H587" s="1104" t="s">
        <v>4855</v>
      </c>
      <c r="I587" s="1105"/>
      <c r="J587" s="1105"/>
      <c r="K587" s="1105"/>
      <c r="L587" s="1105"/>
      <c r="M587" s="1105"/>
      <c r="N587" s="1105"/>
      <c r="O587" s="1106"/>
      <c r="P587" s="100"/>
      <c r="Q587" s="100"/>
      <c r="R587" s="100"/>
      <c r="S587" s="100"/>
      <c r="T587" s="100"/>
      <c r="U587" s="100"/>
      <c r="V587" s="100"/>
      <c r="W587" s="100"/>
      <c r="X587" s="100"/>
      <c r="Y587" s="100"/>
      <c r="Z587" s="100"/>
      <c r="AA587" s="100"/>
      <c r="AB587" s="100"/>
      <c r="AC587" s="100"/>
      <c r="AD587" s="100"/>
      <c r="AF587">
        <f>IF(P587="NA",IF(AND(COUNTIF(P588:P605,"="&amp;$AF$212)=0,COUNTIF(P588:P605,"&lt;&gt;NA")&gt;0),1,0),IF(AND(COUNTIF(P588:P605,"="&amp;$AF$212)=0,COUNTIF(P588:P605,"NA")=COUNTIF(P588:P605,"&lt;&gt;"&amp;$AF$212)),1,0))</f>
        <v>0</v>
      </c>
      <c r="AG587">
        <f t="shared" si="256"/>
        <v>0</v>
      </c>
      <c r="AH587">
        <f t="shared" si="257"/>
        <v>0</v>
      </c>
      <c r="AK587">
        <f t="shared" si="241"/>
        <v>0</v>
      </c>
      <c r="AL587">
        <f t="shared" si="242"/>
        <v>0</v>
      </c>
      <c r="AM587">
        <f t="shared" si="243"/>
        <v>0</v>
      </c>
      <c r="AN587">
        <f t="shared" si="244"/>
        <v>0</v>
      </c>
      <c r="AO587">
        <f t="shared" si="245"/>
        <v>0</v>
      </c>
      <c r="AP587">
        <f t="shared" si="246"/>
        <v>0</v>
      </c>
      <c r="AQ587">
        <f t="shared" si="247"/>
        <v>0</v>
      </c>
      <c r="AR587">
        <f t="shared" si="248"/>
        <v>0</v>
      </c>
      <c r="AS587">
        <f t="shared" si="249"/>
        <v>0</v>
      </c>
      <c r="AT587">
        <f t="shared" si="250"/>
        <v>0</v>
      </c>
      <c r="AU587">
        <f t="shared" si="251"/>
        <v>0</v>
      </c>
      <c r="AV587">
        <f t="shared" si="252"/>
        <v>0</v>
      </c>
      <c r="AW587">
        <f t="shared" si="253"/>
        <v>0</v>
      </c>
      <c r="AX587">
        <f t="shared" si="254"/>
        <v>0</v>
      </c>
      <c r="AY587">
        <f t="shared" si="255"/>
        <v>0</v>
      </c>
      <c r="CS587"/>
      <c r="CT587"/>
      <c r="CU587"/>
      <c r="CV587"/>
      <c r="CW587"/>
      <c r="CX587"/>
      <c r="CY587"/>
      <c r="CZ587"/>
      <c r="DA587"/>
    </row>
    <row r="588" spans="1:105" ht="15" customHeight="1">
      <c r="A588" s="108"/>
      <c r="B588" s="38"/>
      <c r="C588" s="1109"/>
      <c r="D588" s="954"/>
      <c r="E588" s="956"/>
      <c r="F588" s="1110" t="s">
        <v>4856</v>
      </c>
      <c r="G588" s="1110"/>
      <c r="H588" s="177"/>
      <c r="I588" s="1115" t="s">
        <v>4857</v>
      </c>
      <c r="J588" s="1115"/>
      <c r="K588" s="1115"/>
      <c r="L588" s="1115"/>
      <c r="M588" s="1115"/>
      <c r="N588" s="1115"/>
      <c r="O588" s="1116"/>
      <c r="P588" s="100"/>
      <c r="Q588" s="100"/>
      <c r="R588" s="100"/>
      <c r="S588" s="100"/>
      <c r="T588" s="100"/>
      <c r="U588" s="100"/>
      <c r="V588" s="100"/>
      <c r="W588" s="100"/>
      <c r="X588" s="100"/>
      <c r="Y588" s="100"/>
      <c r="Z588" s="100"/>
      <c r="AA588" s="100"/>
      <c r="AB588" s="100"/>
      <c r="AC588" s="100"/>
      <c r="AD588" s="100"/>
      <c r="AF588"/>
      <c r="AG588">
        <f t="shared" si="256"/>
        <v>0</v>
      </c>
      <c r="AH588">
        <f t="shared" si="257"/>
        <v>0</v>
      </c>
      <c r="AK588">
        <f t="shared" si="241"/>
        <v>0</v>
      </c>
      <c r="AL588">
        <f t="shared" si="242"/>
        <v>0</v>
      </c>
      <c r="AM588">
        <f t="shared" si="243"/>
        <v>0</v>
      </c>
      <c r="AN588">
        <f t="shared" si="244"/>
        <v>0</v>
      </c>
      <c r="AO588">
        <f t="shared" si="245"/>
        <v>0</v>
      </c>
      <c r="AP588">
        <f t="shared" si="246"/>
        <v>0</v>
      </c>
      <c r="AQ588">
        <f t="shared" si="247"/>
        <v>0</v>
      </c>
      <c r="AR588">
        <f t="shared" si="248"/>
        <v>0</v>
      </c>
      <c r="AS588">
        <f t="shared" si="249"/>
        <v>0</v>
      </c>
      <c r="AT588">
        <f t="shared" si="250"/>
        <v>0</v>
      </c>
      <c r="AU588">
        <f t="shared" si="251"/>
        <v>0</v>
      </c>
      <c r="AV588">
        <f t="shared" si="252"/>
        <v>0</v>
      </c>
      <c r="AW588">
        <f t="shared" si="253"/>
        <v>0</v>
      </c>
      <c r="AX588">
        <f t="shared" si="254"/>
        <v>0</v>
      </c>
      <c r="AY588">
        <f t="shared" si="255"/>
        <v>0</v>
      </c>
      <c r="CS588"/>
      <c r="CT588"/>
      <c r="CU588"/>
      <c r="CV588"/>
      <c r="CW588"/>
      <c r="CX588"/>
      <c r="CY588"/>
      <c r="CZ588"/>
      <c r="DA588"/>
    </row>
    <row r="589" spans="1:105" ht="15" customHeight="1">
      <c r="A589" s="108"/>
      <c r="B589" s="38"/>
      <c r="C589" s="1109"/>
      <c r="D589" s="954"/>
      <c r="E589" s="956"/>
      <c r="F589" s="1110" t="s">
        <v>4858</v>
      </c>
      <c r="G589" s="1110"/>
      <c r="H589" s="178"/>
      <c r="I589" s="1111" t="s">
        <v>4859</v>
      </c>
      <c r="J589" s="1111"/>
      <c r="K589" s="1111"/>
      <c r="L589" s="1111"/>
      <c r="M589" s="1111"/>
      <c r="N589" s="1111"/>
      <c r="O589" s="1112"/>
      <c r="P589" s="100"/>
      <c r="Q589" s="100"/>
      <c r="R589" s="100"/>
      <c r="S589" s="100"/>
      <c r="T589" s="100"/>
      <c r="U589" s="100"/>
      <c r="V589" s="100"/>
      <c r="W589" s="100"/>
      <c r="X589" s="100"/>
      <c r="Y589" s="100"/>
      <c r="Z589" s="100"/>
      <c r="AA589" s="100"/>
      <c r="AB589" s="100"/>
      <c r="AC589" s="100"/>
      <c r="AD589" s="100"/>
      <c r="AF589"/>
      <c r="AG589">
        <f t="shared" si="256"/>
        <v>0</v>
      </c>
      <c r="AH589">
        <f t="shared" si="257"/>
        <v>0</v>
      </c>
      <c r="AK589">
        <f t="shared" si="241"/>
        <v>0</v>
      </c>
      <c r="AL589">
        <f t="shared" si="242"/>
        <v>0</v>
      </c>
      <c r="AM589">
        <f t="shared" si="243"/>
        <v>0</v>
      </c>
      <c r="AN589">
        <f t="shared" si="244"/>
        <v>0</v>
      </c>
      <c r="AO589">
        <f t="shared" si="245"/>
        <v>0</v>
      </c>
      <c r="AP589">
        <f t="shared" si="246"/>
        <v>0</v>
      </c>
      <c r="AQ589">
        <f t="shared" si="247"/>
        <v>0</v>
      </c>
      <c r="AR589">
        <f t="shared" si="248"/>
        <v>0</v>
      </c>
      <c r="AS589">
        <f t="shared" si="249"/>
        <v>0</v>
      </c>
      <c r="AT589">
        <f t="shared" si="250"/>
        <v>0</v>
      </c>
      <c r="AU589">
        <f t="shared" si="251"/>
        <v>0</v>
      </c>
      <c r="AV589">
        <f t="shared" si="252"/>
        <v>0</v>
      </c>
      <c r="AW589">
        <f t="shared" si="253"/>
        <v>0</v>
      </c>
      <c r="AX589">
        <f t="shared" si="254"/>
        <v>0</v>
      </c>
      <c r="AY589">
        <f t="shared" si="255"/>
        <v>0</v>
      </c>
      <c r="CS589"/>
      <c r="CT589"/>
      <c r="CU589"/>
      <c r="CV589"/>
      <c r="CW589"/>
      <c r="CX589"/>
      <c r="CY589"/>
      <c r="CZ589"/>
      <c r="DA589"/>
    </row>
    <row r="590" spans="1:105" ht="15" customHeight="1">
      <c r="A590" s="108"/>
      <c r="B590" s="38"/>
      <c r="C590" s="1109"/>
      <c r="D590" s="954"/>
      <c r="E590" s="956"/>
      <c r="F590" s="1110" t="s">
        <v>4860</v>
      </c>
      <c r="G590" s="1110"/>
      <c r="H590" s="178"/>
      <c r="I590" s="1111" t="s">
        <v>4861</v>
      </c>
      <c r="J590" s="1111"/>
      <c r="K590" s="1111"/>
      <c r="L590" s="1111"/>
      <c r="M590" s="1111"/>
      <c r="N590" s="1111"/>
      <c r="O590" s="1112"/>
      <c r="P590" s="100"/>
      <c r="Q590" s="100"/>
      <c r="R590" s="100"/>
      <c r="S590" s="100"/>
      <c r="T590" s="100"/>
      <c r="U590" s="100"/>
      <c r="V590" s="100"/>
      <c r="W590" s="100"/>
      <c r="X590" s="100"/>
      <c r="Y590" s="100"/>
      <c r="Z590" s="100"/>
      <c r="AA590" s="100"/>
      <c r="AB590" s="100"/>
      <c r="AC590" s="100"/>
      <c r="AD590" s="100"/>
      <c r="AF590"/>
      <c r="AG590">
        <f t="shared" si="256"/>
        <v>0</v>
      </c>
      <c r="AH590">
        <f t="shared" si="257"/>
        <v>0</v>
      </c>
      <c r="AK590">
        <f t="shared" si="241"/>
        <v>0</v>
      </c>
      <c r="AL590">
        <f t="shared" si="242"/>
        <v>0</v>
      </c>
      <c r="AM590">
        <f t="shared" si="243"/>
        <v>0</v>
      </c>
      <c r="AN590">
        <f t="shared" si="244"/>
        <v>0</v>
      </c>
      <c r="AO590">
        <f t="shared" si="245"/>
        <v>0</v>
      </c>
      <c r="AP590">
        <f t="shared" si="246"/>
        <v>0</v>
      </c>
      <c r="AQ590">
        <f t="shared" si="247"/>
        <v>0</v>
      </c>
      <c r="AR590">
        <f t="shared" si="248"/>
        <v>0</v>
      </c>
      <c r="AS590">
        <f t="shared" si="249"/>
        <v>0</v>
      </c>
      <c r="AT590">
        <f t="shared" si="250"/>
        <v>0</v>
      </c>
      <c r="AU590">
        <f t="shared" si="251"/>
        <v>0</v>
      </c>
      <c r="AV590">
        <f t="shared" si="252"/>
        <v>0</v>
      </c>
      <c r="AW590">
        <f t="shared" si="253"/>
        <v>0</v>
      </c>
      <c r="AX590">
        <f t="shared" si="254"/>
        <v>0</v>
      </c>
      <c r="AY590">
        <f t="shared" si="255"/>
        <v>0</v>
      </c>
      <c r="CS590"/>
      <c r="CT590"/>
      <c r="CU590"/>
      <c r="CV590"/>
      <c r="CW590"/>
      <c r="CX590"/>
      <c r="CY590"/>
      <c r="CZ590"/>
      <c r="DA590"/>
    </row>
    <row r="591" spans="1:105" ht="15" customHeight="1">
      <c r="A591" s="108"/>
      <c r="B591" s="38"/>
      <c r="C591" s="1109"/>
      <c r="D591" s="954"/>
      <c r="E591" s="956"/>
      <c r="F591" s="1110" t="s">
        <v>4862</v>
      </c>
      <c r="G591" s="1110"/>
      <c r="H591" s="178"/>
      <c r="I591" s="1111" t="s">
        <v>4863</v>
      </c>
      <c r="J591" s="1111"/>
      <c r="K591" s="1111"/>
      <c r="L591" s="1111"/>
      <c r="M591" s="1111"/>
      <c r="N591" s="1111"/>
      <c r="O591" s="1112"/>
      <c r="P591" s="100"/>
      <c r="Q591" s="100"/>
      <c r="R591" s="100"/>
      <c r="S591" s="100"/>
      <c r="T591" s="100"/>
      <c r="U591" s="100"/>
      <c r="V591" s="100"/>
      <c r="W591" s="100"/>
      <c r="X591" s="100"/>
      <c r="Y591" s="100"/>
      <c r="Z591" s="100"/>
      <c r="AA591" s="100"/>
      <c r="AB591" s="100"/>
      <c r="AC591" s="100"/>
      <c r="AD591" s="100"/>
      <c r="AF591"/>
      <c r="AG591">
        <f t="shared" si="256"/>
        <v>0</v>
      </c>
      <c r="AH591">
        <f t="shared" si="257"/>
        <v>0</v>
      </c>
      <c r="AK591">
        <f t="shared" si="241"/>
        <v>0</v>
      </c>
      <c r="AL591">
        <f t="shared" si="242"/>
        <v>0</v>
      </c>
      <c r="AM591">
        <f t="shared" si="243"/>
        <v>0</v>
      </c>
      <c r="AN591">
        <f t="shared" si="244"/>
        <v>0</v>
      </c>
      <c r="AO591">
        <f t="shared" si="245"/>
        <v>0</v>
      </c>
      <c r="AP591">
        <f t="shared" si="246"/>
        <v>0</v>
      </c>
      <c r="AQ591">
        <f t="shared" si="247"/>
        <v>0</v>
      </c>
      <c r="AR591">
        <f t="shared" si="248"/>
        <v>0</v>
      </c>
      <c r="AS591">
        <f t="shared" si="249"/>
        <v>0</v>
      </c>
      <c r="AT591">
        <f t="shared" si="250"/>
        <v>0</v>
      </c>
      <c r="AU591">
        <f t="shared" si="251"/>
        <v>0</v>
      </c>
      <c r="AV591">
        <f t="shared" si="252"/>
        <v>0</v>
      </c>
      <c r="AW591">
        <f t="shared" si="253"/>
        <v>0</v>
      </c>
      <c r="AX591">
        <f t="shared" si="254"/>
        <v>0</v>
      </c>
      <c r="AY591">
        <f t="shared" si="255"/>
        <v>0</v>
      </c>
      <c r="CS591"/>
      <c r="CT591"/>
      <c r="CU591"/>
      <c r="CV591"/>
      <c r="CW591"/>
      <c r="CX591"/>
      <c r="CY591"/>
      <c r="CZ591"/>
      <c r="DA591"/>
    </row>
    <row r="592" spans="1:105" ht="15" customHeight="1">
      <c r="A592" s="108"/>
      <c r="B592" s="38"/>
      <c r="C592" s="1109"/>
      <c r="D592" s="954"/>
      <c r="E592" s="956"/>
      <c r="F592" s="1110" t="s">
        <v>4864</v>
      </c>
      <c r="G592" s="1110"/>
      <c r="H592" s="178"/>
      <c r="I592" s="1111" t="s">
        <v>4865</v>
      </c>
      <c r="J592" s="1111"/>
      <c r="K592" s="1111"/>
      <c r="L592" s="1111"/>
      <c r="M592" s="1111"/>
      <c r="N592" s="1111"/>
      <c r="O592" s="1112"/>
      <c r="P592" s="100"/>
      <c r="Q592" s="100"/>
      <c r="R592" s="100"/>
      <c r="S592" s="100"/>
      <c r="T592" s="100"/>
      <c r="U592" s="100"/>
      <c r="V592" s="100"/>
      <c r="W592" s="100"/>
      <c r="X592" s="100"/>
      <c r="Y592" s="100"/>
      <c r="Z592" s="100"/>
      <c r="AA592" s="100"/>
      <c r="AB592" s="100"/>
      <c r="AC592" s="100"/>
      <c r="AD592" s="100"/>
      <c r="AF592"/>
      <c r="AG592">
        <f t="shared" si="256"/>
        <v>0</v>
      </c>
      <c r="AH592">
        <f t="shared" si="257"/>
        <v>0</v>
      </c>
      <c r="AK592">
        <f t="shared" si="241"/>
        <v>0</v>
      </c>
      <c r="AL592">
        <f t="shared" si="242"/>
        <v>0</v>
      </c>
      <c r="AM592">
        <f t="shared" si="243"/>
        <v>0</v>
      </c>
      <c r="AN592">
        <f t="shared" si="244"/>
        <v>0</v>
      </c>
      <c r="AO592">
        <f t="shared" si="245"/>
        <v>0</v>
      </c>
      <c r="AP592">
        <f t="shared" si="246"/>
        <v>0</v>
      </c>
      <c r="AQ592">
        <f t="shared" si="247"/>
        <v>0</v>
      </c>
      <c r="AR592">
        <f t="shared" si="248"/>
        <v>0</v>
      </c>
      <c r="AS592">
        <f t="shared" si="249"/>
        <v>0</v>
      </c>
      <c r="AT592">
        <f t="shared" si="250"/>
        <v>0</v>
      </c>
      <c r="AU592">
        <f t="shared" si="251"/>
        <v>0</v>
      </c>
      <c r="AV592">
        <f t="shared" si="252"/>
        <v>0</v>
      </c>
      <c r="AW592">
        <f t="shared" si="253"/>
        <v>0</v>
      </c>
      <c r="AX592">
        <f t="shared" si="254"/>
        <v>0</v>
      </c>
      <c r="AY592">
        <f t="shared" si="255"/>
        <v>0</v>
      </c>
      <c r="CS592"/>
      <c r="CT592"/>
      <c r="CU592"/>
      <c r="CV592"/>
      <c r="CW592"/>
      <c r="CX592"/>
      <c r="CY592"/>
      <c r="CZ592"/>
      <c r="DA592"/>
    </row>
    <row r="593" spans="1:105" ht="24" customHeight="1">
      <c r="A593" s="108"/>
      <c r="B593" s="38"/>
      <c r="C593" s="1109"/>
      <c r="D593" s="954"/>
      <c r="E593" s="956"/>
      <c r="F593" s="1110" t="s">
        <v>4866</v>
      </c>
      <c r="G593" s="1110"/>
      <c r="H593" s="178"/>
      <c r="I593" s="1111" t="s">
        <v>4867</v>
      </c>
      <c r="J593" s="1111"/>
      <c r="K593" s="1111"/>
      <c r="L593" s="1111"/>
      <c r="M593" s="1111"/>
      <c r="N593" s="1111"/>
      <c r="O593" s="1112"/>
      <c r="P593" s="100"/>
      <c r="Q593" s="100"/>
      <c r="R593" s="100"/>
      <c r="S593" s="100"/>
      <c r="T593" s="100"/>
      <c r="U593" s="100"/>
      <c r="V593" s="100"/>
      <c r="W593" s="100"/>
      <c r="X593" s="100"/>
      <c r="Y593" s="100"/>
      <c r="Z593" s="100"/>
      <c r="AA593" s="100"/>
      <c r="AB593" s="100"/>
      <c r="AC593" s="100"/>
      <c r="AD593" s="100"/>
      <c r="AF593"/>
      <c r="AG593">
        <f t="shared" si="256"/>
        <v>0</v>
      </c>
      <c r="AH593">
        <f t="shared" si="257"/>
        <v>0</v>
      </c>
      <c r="AK593">
        <f t="shared" si="241"/>
        <v>0</v>
      </c>
      <c r="AL593">
        <f t="shared" si="242"/>
        <v>0</v>
      </c>
      <c r="AM593">
        <f t="shared" si="243"/>
        <v>0</v>
      </c>
      <c r="AN593">
        <f t="shared" si="244"/>
        <v>0</v>
      </c>
      <c r="AO593">
        <f t="shared" si="245"/>
        <v>0</v>
      </c>
      <c r="AP593">
        <f t="shared" si="246"/>
        <v>0</v>
      </c>
      <c r="AQ593">
        <f t="shared" si="247"/>
        <v>0</v>
      </c>
      <c r="AR593">
        <f t="shared" si="248"/>
        <v>0</v>
      </c>
      <c r="AS593">
        <f t="shared" si="249"/>
        <v>0</v>
      </c>
      <c r="AT593">
        <f t="shared" si="250"/>
        <v>0</v>
      </c>
      <c r="AU593">
        <f t="shared" si="251"/>
        <v>0</v>
      </c>
      <c r="AV593">
        <f t="shared" si="252"/>
        <v>0</v>
      </c>
      <c r="AW593">
        <f t="shared" si="253"/>
        <v>0</v>
      </c>
      <c r="AX593">
        <f t="shared" si="254"/>
        <v>0</v>
      </c>
      <c r="AY593">
        <f t="shared" si="255"/>
        <v>0</v>
      </c>
      <c r="CS593"/>
      <c r="CT593"/>
      <c r="CU593"/>
      <c r="CV593"/>
      <c r="CW593"/>
      <c r="CX593"/>
      <c r="CY593"/>
      <c r="CZ593"/>
      <c r="DA593"/>
    </row>
    <row r="594" spans="1:105" ht="15" customHeight="1">
      <c r="A594" s="108"/>
      <c r="B594" s="38"/>
      <c r="C594" s="1109"/>
      <c r="D594" s="954"/>
      <c r="E594" s="956"/>
      <c r="F594" s="1110" t="s">
        <v>4868</v>
      </c>
      <c r="G594" s="1110"/>
      <c r="H594" s="178"/>
      <c r="I594" s="1111" t="s">
        <v>4869</v>
      </c>
      <c r="J594" s="1111"/>
      <c r="K594" s="1111"/>
      <c r="L594" s="1111"/>
      <c r="M594" s="1111"/>
      <c r="N594" s="1111"/>
      <c r="O594" s="1112"/>
      <c r="P594" s="100"/>
      <c r="Q594" s="100"/>
      <c r="R594" s="100"/>
      <c r="S594" s="100"/>
      <c r="T594" s="100"/>
      <c r="U594" s="100"/>
      <c r="V594" s="100"/>
      <c r="W594" s="100"/>
      <c r="X594" s="100"/>
      <c r="Y594" s="100"/>
      <c r="Z594" s="100"/>
      <c r="AA594" s="100"/>
      <c r="AB594" s="100"/>
      <c r="AC594" s="100"/>
      <c r="AD594" s="100"/>
      <c r="AF594"/>
      <c r="AG594">
        <f t="shared" si="256"/>
        <v>0</v>
      </c>
      <c r="AH594">
        <f t="shared" si="257"/>
        <v>0</v>
      </c>
      <c r="AK594">
        <f t="shared" si="241"/>
        <v>0</v>
      </c>
      <c r="AL594">
        <f t="shared" si="242"/>
        <v>0</v>
      </c>
      <c r="AM594">
        <f t="shared" si="243"/>
        <v>0</v>
      </c>
      <c r="AN594">
        <f t="shared" si="244"/>
        <v>0</v>
      </c>
      <c r="AO594">
        <f t="shared" si="245"/>
        <v>0</v>
      </c>
      <c r="AP594">
        <f t="shared" si="246"/>
        <v>0</v>
      </c>
      <c r="AQ594">
        <f t="shared" si="247"/>
        <v>0</v>
      </c>
      <c r="AR594">
        <f t="shared" si="248"/>
        <v>0</v>
      </c>
      <c r="AS594">
        <f t="shared" si="249"/>
        <v>0</v>
      </c>
      <c r="AT594">
        <f t="shared" si="250"/>
        <v>0</v>
      </c>
      <c r="AU594">
        <f t="shared" si="251"/>
        <v>0</v>
      </c>
      <c r="AV594">
        <f t="shared" si="252"/>
        <v>0</v>
      </c>
      <c r="AW594">
        <f t="shared" si="253"/>
        <v>0</v>
      </c>
      <c r="AX594">
        <f t="shared" si="254"/>
        <v>0</v>
      </c>
      <c r="AY594">
        <f t="shared" si="255"/>
        <v>0</v>
      </c>
      <c r="CS594"/>
      <c r="CT594"/>
      <c r="CU594"/>
      <c r="CV594"/>
      <c r="CW594"/>
      <c r="CX594"/>
      <c r="CY594"/>
      <c r="CZ594"/>
      <c r="DA594"/>
    </row>
    <row r="595" spans="1:105" ht="15" customHeight="1">
      <c r="A595" s="108"/>
      <c r="B595" s="38"/>
      <c r="C595" s="1109"/>
      <c r="D595" s="954"/>
      <c r="E595" s="956"/>
      <c r="F595" s="1110" t="s">
        <v>4870</v>
      </c>
      <c r="G595" s="1110"/>
      <c r="H595" s="178"/>
      <c r="I595" s="1111" t="s">
        <v>4871</v>
      </c>
      <c r="J595" s="1111"/>
      <c r="K595" s="1111"/>
      <c r="L595" s="1111"/>
      <c r="M595" s="1111"/>
      <c r="N595" s="1111"/>
      <c r="O595" s="1112"/>
      <c r="P595" s="100"/>
      <c r="Q595" s="100"/>
      <c r="R595" s="100"/>
      <c r="S595" s="100"/>
      <c r="T595" s="100"/>
      <c r="U595" s="100"/>
      <c r="V595" s="100"/>
      <c r="W595" s="100"/>
      <c r="X595" s="100"/>
      <c r="Y595" s="100"/>
      <c r="Z595" s="100"/>
      <c r="AA595" s="100"/>
      <c r="AB595" s="100"/>
      <c r="AC595" s="100"/>
      <c r="AD595" s="100"/>
      <c r="AF595"/>
      <c r="AG595">
        <f t="shared" si="256"/>
        <v>0</v>
      </c>
      <c r="AH595">
        <f t="shared" si="257"/>
        <v>0</v>
      </c>
      <c r="AK595">
        <f t="shared" si="241"/>
        <v>0</v>
      </c>
      <c r="AL595">
        <f t="shared" si="242"/>
        <v>0</v>
      </c>
      <c r="AM595">
        <f t="shared" si="243"/>
        <v>0</v>
      </c>
      <c r="AN595">
        <f t="shared" si="244"/>
        <v>0</v>
      </c>
      <c r="AO595">
        <f t="shared" si="245"/>
        <v>0</v>
      </c>
      <c r="AP595">
        <f t="shared" si="246"/>
        <v>0</v>
      </c>
      <c r="AQ595">
        <f t="shared" si="247"/>
        <v>0</v>
      </c>
      <c r="AR595">
        <f t="shared" si="248"/>
        <v>0</v>
      </c>
      <c r="AS595">
        <f t="shared" si="249"/>
        <v>0</v>
      </c>
      <c r="AT595">
        <f t="shared" si="250"/>
        <v>0</v>
      </c>
      <c r="AU595">
        <f t="shared" si="251"/>
        <v>0</v>
      </c>
      <c r="AV595">
        <f t="shared" si="252"/>
        <v>0</v>
      </c>
      <c r="AW595">
        <f t="shared" si="253"/>
        <v>0</v>
      </c>
      <c r="AX595">
        <f t="shared" si="254"/>
        <v>0</v>
      </c>
      <c r="AY595">
        <f t="shared" si="255"/>
        <v>0</v>
      </c>
      <c r="CS595"/>
      <c r="CT595"/>
      <c r="CU595"/>
      <c r="CV595"/>
      <c r="CW595"/>
      <c r="CX595"/>
      <c r="CY595"/>
      <c r="CZ595"/>
      <c r="DA595"/>
    </row>
    <row r="596" spans="1:105" ht="15" customHeight="1">
      <c r="A596" s="108"/>
      <c r="B596" s="38"/>
      <c r="C596" s="1109"/>
      <c r="D596" s="954"/>
      <c r="E596" s="956"/>
      <c r="F596" s="1110" t="s">
        <v>4872</v>
      </c>
      <c r="G596" s="1110"/>
      <c r="H596" s="178"/>
      <c r="I596" s="1111" t="s">
        <v>4873</v>
      </c>
      <c r="J596" s="1111"/>
      <c r="K596" s="1111"/>
      <c r="L596" s="1111"/>
      <c r="M596" s="1111"/>
      <c r="N596" s="1111"/>
      <c r="O596" s="1112"/>
      <c r="P596" s="100"/>
      <c r="Q596" s="100"/>
      <c r="R596" s="100"/>
      <c r="S596" s="100"/>
      <c r="T596" s="100"/>
      <c r="U596" s="100"/>
      <c r="V596" s="100"/>
      <c r="W596" s="100"/>
      <c r="X596" s="100"/>
      <c r="Y596" s="100"/>
      <c r="Z596" s="100"/>
      <c r="AA596" s="100"/>
      <c r="AB596" s="100"/>
      <c r="AC596" s="100"/>
      <c r="AD596" s="100"/>
      <c r="AF596"/>
      <c r="AG596">
        <f t="shared" si="256"/>
        <v>0</v>
      </c>
      <c r="AH596">
        <f t="shared" si="257"/>
        <v>0</v>
      </c>
      <c r="AK596">
        <f t="shared" si="241"/>
        <v>0</v>
      </c>
      <c r="AL596">
        <f t="shared" si="242"/>
        <v>0</v>
      </c>
      <c r="AM596">
        <f t="shared" si="243"/>
        <v>0</v>
      </c>
      <c r="AN596">
        <f t="shared" si="244"/>
        <v>0</v>
      </c>
      <c r="AO596">
        <f t="shared" si="245"/>
        <v>0</v>
      </c>
      <c r="AP596">
        <f t="shared" si="246"/>
        <v>0</v>
      </c>
      <c r="AQ596">
        <f t="shared" si="247"/>
        <v>0</v>
      </c>
      <c r="AR596">
        <f t="shared" si="248"/>
        <v>0</v>
      </c>
      <c r="AS596">
        <f t="shared" si="249"/>
        <v>0</v>
      </c>
      <c r="AT596">
        <f t="shared" si="250"/>
        <v>0</v>
      </c>
      <c r="AU596">
        <f t="shared" si="251"/>
        <v>0</v>
      </c>
      <c r="AV596">
        <f t="shared" si="252"/>
        <v>0</v>
      </c>
      <c r="AW596">
        <f t="shared" si="253"/>
        <v>0</v>
      </c>
      <c r="AX596">
        <f t="shared" si="254"/>
        <v>0</v>
      </c>
      <c r="AY596">
        <f t="shared" si="255"/>
        <v>0</v>
      </c>
      <c r="CS596"/>
      <c r="CT596"/>
      <c r="CU596"/>
      <c r="CV596"/>
      <c r="CW596"/>
      <c r="CX596"/>
      <c r="CY596"/>
      <c r="CZ596"/>
      <c r="DA596"/>
    </row>
    <row r="597" spans="1:105" ht="15" customHeight="1">
      <c r="A597" s="108"/>
      <c r="B597" s="38"/>
      <c r="C597" s="1109"/>
      <c r="D597" s="954"/>
      <c r="E597" s="956"/>
      <c r="F597" s="1110" t="s">
        <v>4874</v>
      </c>
      <c r="G597" s="1110"/>
      <c r="H597" s="178"/>
      <c r="I597" s="1111" t="s">
        <v>4875</v>
      </c>
      <c r="J597" s="1111"/>
      <c r="K597" s="1111"/>
      <c r="L597" s="1111"/>
      <c r="M597" s="1111"/>
      <c r="N597" s="1111"/>
      <c r="O597" s="1112"/>
      <c r="P597" s="100"/>
      <c r="Q597" s="100"/>
      <c r="R597" s="100"/>
      <c r="S597" s="100"/>
      <c r="T597" s="100"/>
      <c r="U597" s="100"/>
      <c r="V597" s="100"/>
      <c r="W597" s="100"/>
      <c r="X597" s="100"/>
      <c r="Y597" s="100"/>
      <c r="Z597" s="100"/>
      <c r="AA597" s="100"/>
      <c r="AB597" s="100"/>
      <c r="AC597" s="100"/>
      <c r="AD597" s="100"/>
      <c r="AF597"/>
      <c r="AG597">
        <f t="shared" si="256"/>
        <v>0</v>
      </c>
      <c r="AH597">
        <f t="shared" si="257"/>
        <v>0</v>
      </c>
      <c r="AK597">
        <f t="shared" si="241"/>
        <v>0</v>
      </c>
      <c r="AL597">
        <f t="shared" si="242"/>
        <v>0</v>
      </c>
      <c r="AM597">
        <f t="shared" si="243"/>
        <v>0</v>
      </c>
      <c r="AN597">
        <f t="shared" si="244"/>
        <v>0</v>
      </c>
      <c r="AO597">
        <f t="shared" si="245"/>
        <v>0</v>
      </c>
      <c r="AP597">
        <f t="shared" si="246"/>
        <v>0</v>
      </c>
      <c r="AQ597">
        <f t="shared" si="247"/>
        <v>0</v>
      </c>
      <c r="AR597">
        <f t="shared" si="248"/>
        <v>0</v>
      </c>
      <c r="AS597">
        <f t="shared" si="249"/>
        <v>0</v>
      </c>
      <c r="AT597">
        <f t="shared" si="250"/>
        <v>0</v>
      </c>
      <c r="AU597">
        <f t="shared" si="251"/>
        <v>0</v>
      </c>
      <c r="AV597">
        <f t="shared" si="252"/>
        <v>0</v>
      </c>
      <c r="AW597">
        <f t="shared" si="253"/>
        <v>0</v>
      </c>
      <c r="AX597">
        <f t="shared" si="254"/>
        <v>0</v>
      </c>
      <c r="AY597">
        <f t="shared" si="255"/>
        <v>0</v>
      </c>
      <c r="CS597"/>
      <c r="CT597"/>
      <c r="CU597"/>
      <c r="CV597"/>
      <c r="CW597"/>
      <c r="CX597"/>
      <c r="CY597"/>
      <c r="CZ597"/>
      <c r="DA597"/>
    </row>
    <row r="598" spans="1:105" ht="15" customHeight="1">
      <c r="A598" s="108"/>
      <c r="B598" s="38"/>
      <c r="C598" s="1109"/>
      <c r="D598" s="954"/>
      <c r="E598" s="956"/>
      <c r="F598" s="1110" t="s">
        <v>4876</v>
      </c>
      <c r="G598" s="1110"/>
      <c r="H598" s="178"/>
      <c r="I598" s="1111" t="s">
        <v>4877</v>
      </c>
      <c r="J598" s="1111"/>
      <c r="K598" s="1111"/>
      <c r="L598" s="1111"/>
      <c r="M598" s="1111"/>
      <c r="N598" s="1111"/>
      <c r="O598" s="1112"/>
      <c r="P598" s="100"/>
      <c r="Q598" s="100"/>
      <c r="R598" s="100"/>
      <c r="S598" s="100"/>
      <c r="T598" s="100"/>
      <c r="U598" s="100"/>
      <c r="V598" s="100"/>
      <c r="W598" s="100"/>
      <c r="X598" s="100"/>
      <c r="Y598" s="100"/>
      <c r="Z598" s="100"/>
      <c r="AA598" s="100"/>
      <c r="AB598" s="100"/>
      <c r="AC598" s="100"/>
      <c r="AD598" s="100"/>
      <c r="AF598"/>
      <c r="AG598">
        <f t="shared" si="256"/>
        <v>0</v>
      </c>
      <c r="AH598">
        <f t="shared" si="257"/>
        <v>0</v>
      </c>
      <c r="AK598">
        <f t="shared" si="241"/>
        <v>0</v>
      </c>
      <c r="AL598">
        <f t="shared" si="242"/>
        <v>0</v>
      </c>
      <c r="AM598">
        <f t="shared" si="243"/>
        <v>0</v>
      </c>
      <c r="AN598">
        <f t="shared" si="244"/>
        <v>0</v>
      </c>
      <c r="AO598">
        <f t="shared" si="245"/>
        <v>0</v>
      </c>
      <c r="AP598">
        <f t="shared" si="246"/>
        <v>0</v>
      </c>
      <c r="AQ598">
        <f t="shared" si="247"/>
        <v>0</v>
      </c>
      <c r="AR598">
        <f t="shared" si="248"/>
        <v>0</v>
      </c>
      <c r="AS598">
        <f t="shared" si="249"/>
        <v>0</v>
      </c>
      <c r="AT598">
        <f t="shared" si="250"/>
        <v>0</v>
      </c>
      <c r="AU598">
        <f t="shared" si="251"/>
        <v>0</v>
      </c>
      <c r="AV598">
        <f t="shared" si="252"/>
        <v>0</v>
      </c>
      <c r="AW598">
        <f t="shared" si="253"/>
        <v>0</v>
      </c>
      <c r="AX598">
        <f t="shared" si="254"/>
        <v>0</v>
      </c>
      <c r="AY598">
        <f t="shared" si="255"/>
        <v>0</v>
      </c>
      <c r="CS598"/>
      <c r="CT598"/>
      <c r="CU598"/>
      <c r="CV598"/>
      <c r="CW598"/>
      <c r="CX598"/>
      <c r="CY598"/>
      <c r="CZ598"/>
      <c r="DA598"/>
    </row>
    <row r="599" spans="1:105" ht="15" customHeight="1">
      <c r="A599" s="108"/>
      <c r="B599" s="38"/>
      <c r="C599" s="1109"/>
      <c r="D599" s="954"/>
      <c r="E599" s="956"/>
      <c r="F599" s="1110" t="s">
        <v>4878</v>
      </c>
      <c r="G599" s="1110"/>
      <c r="H599" s="178"/>
      <c r="I599" s="1111" t="s">
        <v>4879</v>
      </c>
      <c r="J599" s="1111"/>
      <c r="K599" s="1111"/>
      <c r="L599" s="1111"/>
      <c r="M599" s="1111"/>
      <c r="N599" s="1111"/>
      <c r="O599" s="1112"/>
      <c r="P599" s="100"/>
      <c r="Q599" s="100"/>
      <c r="R599" s="100"/>
      <c r="S599" s="100"/>
      <c r="T599" s="100"/>
      <c r="U599" s="100"/>
      <c r="V599" s="100"/>
      <c r="W599" s="100"/>
      <c r="X599" s="100"/>
      <c r="Y599" s="100"/>
      <c r="Z599" s="100"/>
      <c r="AA599" s="100"/>
      <c r="AB599" s="100"/>
      <c r="AC599" s="100"/>
      <c r="AD599" s="100"/>
      <c r="AF599"/>
      <c r="AG599">
        <f t="shared" si="256"/>
        <v>0</v>
      </c>
      <c r="AH599">
        <f t="shared" si="257"/>
        <v>0</v>
      </c>
      <c r="AK599">
        <f t="shared" si="241"/>
        <v>0</v>
      </c>
      <c r="AL599">
        <f t="shared" si="242"/>
        <v>0</v>
      </c>
      <c r="AM599">
        <f t="shared" si="243"/>
        <v>0</v>
      </c>
      <c r="AN599">
        <f t="shared" si="244"/>
        <v>0</v>
      </c>
      <c r="AO599">
        <f t="shared" si="245"/>
        <v>0</v>
      </c>
      <c r="AP599">
        <f t="shared" si="246"/>
        <v>0</v>
      </c>
      <c r="AQ599">
        <f t="shared" si="247"/>
        <v>0</v>
      </c>
      <c r="AR599">
        <f t="shared" si="248"/>
        <v>0</v>
      </c>
      <c r="AS599">
        <f t="shared" si="249"/>
        <v>0</v>
      </c>
      <c r="AT599">
        <f t="shared" si="250"/>
        <v>0</v>
      </c>
      <c r="AU599">
        <f t="shared" si="251"/>
        <v>0</v>
      </c>
      <c r="AV599">
        <f t="shared" si="252"/>
        <v>0</v>
      </c>
      <c r="AW599">
        <f t="shared" si="253"/>
        <v>0</v>
      </c>
      <c r="AX599">
        <f t="shared" si="254"/>
        <v>0</v>
      </c>
      <c r="AY599">
        <f t="shared" si="255"/>
        <v>0</v>
      </c>
      <c r="CS599"/>
      <c r="CT599"/>
      <c r="CU599"/>
      <c r="CV599"/>
      <c r="CW599"/>
      <c r="CX599"/>
      <c r="CY599"/>
      <c r="CZ599"/>
      <c r="DA599"/>
    </row>
    <row r="600" spans="1:105" ht="15" customHeight="1">
      <c r="A600" s="108"/>
      <c r="B600" s="38"/>
      <c r="C600" s="1109"/>
      <c r="D600" s="954"/>
      <c r="E600" s="956"/>
      <c r="F600" s="1110" t="s">
        <v>4880</v>
      </c>
      <c r="G600" s="1110"/>
      <c r="H600" s="178"/>
      <c r="I600" s="1111" t="s">
        <v>4881</v>
      </c>
      <c r="J600" s="1111"/>
      <c r="K600" s="1111"/>
      <c r="L600" s="1111"/>
      <c r="M600" s="1111"/>
      <c r="N600" s="1111"/>
      <c r="O600" s="1112"/>
      <c r="P600" s="100"/>
      <c r="Q600" s="100"/>
      <c r="R600" s="100"/>
      <c r="S600" s="100"/>
      <c r="T600" s="100"/>
      <c r="U600" s="100"/>
      <c r="V600" s="100"/>
      <c r="W600" s="100"/>
      <c r="X600" s="100"/>
      <c r="Y600" s="100"/>
      <c r="Z600" s="100"/>
      <c r="AA600" s="100"/>
      <c r="AB600" s="100"/>
      <c r="AC600" s="100"/>
      <c r="AD600" s="100"/>
      <c r="AF600"/>
      <c r="AG600">
        <f t="shared" si="256"/>
        <v>0</v>
      </c>
      <c r="AH600">
        <f t="shared" si="257"/>
        <v>0</v>
      </c>
      <c r="AK600">
        <f t="shared" si="241"/>
        <v>0</v>
      </c>
      <c r="AL600">
        <f t="shared" si="242"/>
        <v>0</v>
      </c>
      <c r="AM600">
        <f t="shared" si="243"/>
        <v>0</v>
      </c>
      <c r="AN600">
        <f t="shared" si="244"/>
        <v>0</v>
      </c>
      <c r="AO600">
        <f t="shared" si="245"/>
        <v>0</v>
      </c>
      <c r="AP600">
        <f t="shared" si="246"/>
        <v>0</v>
      </c>
      <c r="AQ600">
        <f t="shared" si="247"/>
        <v>0</v>
      </c>
      <c r="AR600">
        <f t="shared" si="248"/>
        <v>0</v>
      </c>
      <c r="AS600">
        <f t="shared" si="249"/>
        <v>0</v>
      </c>
      <c r="AT600">
        <f t="shared" si="250"/>
        <v>0</v>
      </c>
      <c r="AU600">
        <f t="shared" si="251"/>
        <v>0</v>
      </c>
      <c r="AV600">
        <f t="shared" si="252"/>
        <v>0</v>
      </c>
      <c r="AW600">
        <f t="shared" si="253"/>
        <v>0</v>
      </c>
      <c r="AX600">
        <f t="shared" si="254"/>
        <v>0</v>
      </c>
      <c r="AY600">
        <f t="shared" si="255"/>
        <v>0</v>
      </c>
      <c r="CS600"/>
      <c r="CT600"/>
      <c r="CU600"/>
      <c r="CV600"/>
      <c r="CW600"/>
      <c r="CX600"/>
      <c r="CY600"/>
      <c r="CZ600"/>
      <c r="DA600"/>
    </row>
    <row r="601" spans="1:105" ht="15" customHeight="1">
      <c r="A601" s="108"/>
      <c r="B601" s="38"/>
      <c r="C601" s="1109"/>
      <c r="D601" s="954"/>
      <c r="E601" s="956"/>
      <c r="F601" s="1110" t="s">
        <v>4882</v>
      </c>
      <c r="G601" s="1110"/>
      <c r="H601" s="178"/>
      <c r="I601" s="1111" t="s">
        <v>4883</v>
      </c>
      <c r="J601" s="1111"/>
      <c r="K601" s="1111"/>
      <c r="L601" s="1111"/>
      <c r="M601" s="1111"/>
      <c r="N601" s="1111"/>
      <c r="O601" s="1112"/>
      <c r="P601" s="100"/>
      <c r="Q601" s="100"/>
      <c r="R601" s="100"/>
      <c r="S601" s="100"/>
      <c r="T601" s="100"/>
      <c r="U601" s="100"/>
      <c r="V601" s="100"/>
      <c r="W601" s="100"/>
      <c r="X601" s="100"/>
      <c r="Y601" s="100"/>
      <c r="Z601" s="100"/>
      <c r="AA601" s="100"/>
      <c r="AB601" s="100"/>
      <c r="AC601" s="100"/>
      <c r="AD601" s="100"/>
      <c r="AF601"/>
      <c r="AG601">
        <f t="shared" si="256"/>
        <v>0</v>
      </c>
      <c r="AH601">
        <f t="shared" si="257"/>
        <v>0</v>
      </c>
      <c r="AK601">
        <f t="shared" si="241"/>
        <v>0</v>
      </c>
      <c r="AL601">
        <f t="shared" si="242"/>
        <v>0</v>
      </c>
      <c r="AM601">
        <f t="shared" si="243"/>
        <v>0</v>
      </c>
      <c r="AN601">
        <f t="shared" si="244"/>
        <v>0</v>
      </c>
      <c r="AO601">
        <f t="shared" si="245"/>
        <v>0</v>
      </c>
      <c r="AP601">
        <f t="shared" si="246"/>
        <v>0</v>
      </c>
      <c r="AQ601">
        <f t="shared" si="247"/>
        <v>0</v>
      </c>
      <c r="AR601">
        <f t="shared" si="248"/>
        <v>0</v>
      </c>
      <c r="AS601">
        <f t="shared" si="249"/>
        <v>0</v>
      </c>
      <c r="AT601">
        <f t="shared" si="250"/>
        <v>0</v>
      </c>
      <c r="AU601">
        <f t="shared" si="251"/>
        <v>0</v>
      </c>
      <c r="AV601">
        <f t="shared" si="252"/>
        <v>0</v>
      </c>
      <c r="AW601">
        <f t="shared" si="253"/>
        <v>0</v>
      </c>
      <c r="AX601">
        <f t="shared" si="254"/>
        <v>0</v>
      </c>
      <c r="AY601">
        <f t="shared" si="255"/>
        <v>0</v>
      </c>
      <c r="CS601"/>
      <c r="CT601"/>
      <c r="CU601"/>
      <c r="CV601"/>
      <c r="CW601"/>
      <c r="CX601"/>
      <c r="CY601"/>
      <c r="CZ601"/>
      <c r="DA601"/>
    </row>
    <row r="602" spans="1:105" ht="15" customHeight="1">
      <c r="A602" s="108"/>
      <c r="B602" s="38"/>
      <c r="C602" s="1109"/>
      <c r="D602" s="954"/>
      <c r="E602" s="956"/>
      <c r="F602" s="1110" t="s">
        <v>4884</v>
      </c>
      <c r="G602" s="1110"/>
      <c r="H602" s="178"/>
      <c r="I602" s="1111" t="s">
        <v>4885</v>
      </c>
      <c r="J602" s="1111"/>
      <c r="K602" s="1111"/>
      <c r="L602" s="1111"/>
      <c r="M602" s="1111"/>
      <c r="N602" s="1111"/>
      <c r="O602" s="1112"/>
      <c r="P602" s="100"/>
      <c r="Q602" s="100"/>
      <c r="R602" s="100"/>
      <c r="S602" s="100"/>
      <c r="T602" s="100"/>
      <c r="U602" s="100"/>
      <c r="V602" s="100"/>
      <c r="W602" s="100"/>
      <c r="X602" s="100"/>
      <c r="Y602" s="100"/>
      <c r="Z602" s="100"/>
      <c r="AA602" s="100"/>
      <c r="AB602" s="100"/>
      <c r="AC602" s="100"/>
      <c r="AD602" s="100"/>
      <c r="AF602"/>
      <c r="AG602">
        <f t="shared" si="256"/>
        <v>0</v>
      </c>
      <c r="AH602">
        <f t="shared" si="257"/>
        <v>0</v>
      </c>
      <c r="AK602">
        <f t="shared" si="241"/>
        <v>0</v>
      </c>
      <c r="AL602">
        <f t="shared" si="242"/>
        <v>0</v>
      </c>
      <c r="AM602">
        <f t="shared" si="243"/>
        <v>0</v>
      </c>
      <c r="AN602">
        <f t="shared" si="244"/>
        <v>0</v>
      </c>
      <c r="AO602">
        <f t="shared" si="245"/>
        <v>0</v>
      </c>
      <c r="AP602">
        <f t="shared" si="246"/>
        <v>0</v>
      </c>
      <c r="AQ602">
        <f t="shared" si="247"/>
        <v>0</v>
      </c>
      <c r="AR602">
        <f t="shared" si="248"/>
        <v>0</v>
      </c>
      <c r="AS602">
        <f t="shared" si="249"/>
        <v>0</v>
      </c>
      <c r="AT602">
        <f t="shared" si="250"/>
        <v>0</v>
      </c>
      <c r="AU602">
        <f t="shared" si="251"/>
        <v>0</v>
      </c>
      <c r="AV602">
        <f t="shared" si="252"/>
        <v>0</v>
      </c>
      <c r="AW602">
        <f t="shared" si="253"/>
        <v>0</v>
      </c>
      <c r="AX602">
        <f t="shared" si="254"/>
        <v>0</v>
      </c>
      <c r="AY602">
        <f t="shared" si="255"/>
        <v>0</v>
      </c>
      <c r="CS602"/>
      <c r="CT602"/>
      <c r="CU602"/>
      <c r="CV602"/>
      <c r="CW602"/>
      <c r="CX602"/>
      <c r="CY602"/>
      <c r="CZ602"/>
      <c r="DA602"/>
    </row>
    <row r="603" spans="1:105" ht="15.75" customHeight="1">
      <c r="A603" s="108"/>
      <c r="B603" s="38"/>
      <c r="C603" s="1109"/>
      <c r="D603" s="954"/>
      <c r="E603" s="956"/>
      <c r="F603" s="1110" t="s">
        <v>4886</v>
      </c>
      <c r="G603" s="1110"/>
      <c r="H603" s="178"/>
      <c r="I603" s="1111" t="s">
        <v>4887</v>
      </c>
      <c r="J603" s="1111"/>
      <c r="K603" s="1111"/>
      <c r="L603" s="1111"/>
      <c r="M603" s="1111"/>
      <c r="N603" s="1111"/>
      <c r="O603" s="1112"/>
      <c r="P603" s="100"/>
      <c r="Q603" s="100"/>
      <c r="R603" s="100"/>
      <c r="S603" s="100"/>
      <c r="T603" s="100"/>
      <c r="U603" s="100"/>
      <c r="V603" s="100"/>
      <c r="W603" s="100"/>
      <c r="X603" s="100"/>
      <c r="Y603" s="100"/>
      <c r="Z603" s="100"/>
      <c r="AA603" s="100"/>
      <c r="AB603" s="100"/>
      <c r="AC603" s="100"/>
      <c r="AD603" s="100"/>
      <c r="AF603"/>
      <c r="AG603">
        <f t="shared" si="256"/>
        <v>0</v>
      </c>
      <c r="AH603">
        <f t="shared" si="257"/>
        <v>0</v>
      </c>
      <c r="AK603">
        <f t="shared" si="241"/>
        <v>0</v>
      </c>
      <c r="AL603">
        <f t="shared" si="242"/>
        <v>0</v>
      </c>
      <c r="AM603">
        <f t="shared" si="243"/>
        <v>0</v>
      </c>
      <c r="AN603">
        <f t="shared" si="244"/>
        <v>0</v>
      </c>
      <c r="AO603">
        <f t="shared" si="245"/>
        <v>0</v>
      </c>
      <c r="AP603">
        <f t="shared" si="246"/>
        <v>0</v>
      </c>
      <c r="AQ603">
        <f t="shared" si="247"/>
        <v>0</v>
      </c>
      <c r="AR603">
        <f t="shared" si="248"/>
        <v>0</v>
      </c>
      <c r="AS603">
        <f t="shared" si="249"/>
        <v>0</v>
      </c>
      <c r="AT603">
        <f t="shared" si="250"/>
        <v>0</v>
      </c>
      <c r="AU603">
        <f t="shared" si="251"/>
        <v>0</v>
      </c>
      <c r="AV603">
        <f t="shared" si="252"/>
        <v>0</v>
      </c>
      <c r="AW603">
        <f t="shared" si="253"/>
        <v>0</v>
      </c>
      <c r="AX603">
        <f t="shared" si="254"/>
        <v>0</v>
      </c>
      <c r="AY603">
        <f t="shared" si="255"/>
        <v>0</v>
      </c>
      <c r="CS603"/>
      <c r="CT603"/>
      <c r="CU603"/>
      <c r="CV603"/>
      <c r="CW603"/>
      <c r="CX603"/>
      <c r="CY603"/>
      <c r="CZ603"/>
      <c r="DA603"/>
    </row>
    <row r="604" spans="1:105" ht="15" customHeight="1">
      <c r="A604" s="108"/>
      <c r="B604" s="38"/>
      <c r="C604" s="1109"/>
      <c r="D604" s="954"/>
      <c r="E604" s="956"/>
      <c r="F604" s="1110" t="s">
        <v>4888</v>
      </c>
      <c r="G604" s="1110"/>
      <c r="H604" s="178"/>
      <c r="I604" s="1111" t="s">
        <v>4889</v>
      </c>
      <c r="J604" s="1111"/>
      <c r="K604" s="1111"/>
      <c r="L604" s="1111"/>
      <c r="M604" s="1111"/>
      <c r="N604" s="1111"/>
      <c r="O604" s="1112"/>
      <c r="P604" s="100"/>
      <c r="Q604" s="100"/>
      <c r="R604" s="100"/>
      <c r="S604" s="100"/>
      <c r="T604" s="100"/>
      <c r="U604" s="100"/>
      <c r="V604" s="100"/>
      <c r="W604" s="100"/>
      <c r="X604" s="100"/>
      <c r="Y604" s="100"/>
      <c r="Z604" s="100"/>
      <c r="AA604" s="100"/>
      <c r="AB604" s="100"/>
      <c r="AC604" s="100"/>
      <c r="AD604" s="100"/>
      <c r="AF604"/>
      <c r="AG604">
        <f t="shared" si="256"/>
        <v>0</v>
      </c>
      <c r="AH604">
        <f t="shared" si="257"/>
        <v>0</v>
      </c>
      <c r="AK604">
        <f t="shared" si="241"/>
        <v>0</v>
      </c>
      <c r="AL604">
        <f t="shared" si="242"/>
        <v>0</v>
      </c>
      <c r="AM604">
        <f t="shared" si="243"/>
        <v>0</v>
      </c>
      <c r="AN604">
        <f t="shared" si="244"/>
        <v>0</v>
      </c>
      <c r="AO604">
        <f t="shared" si="245"/>
        <v>0</v>
      </c>
      <c r="AP604">
        <f t="shared" si="246"/>
        <v>0</v>
      </c>
      <c r="AQ604">
        <f t="shared" si="247"/>
        <v>0</v>
      </c>
      <c r="AR604">
        <f t="shared" si="248"/>
        <v>0</v>
      </c>
      <c r="AS604">
        <f t="shared" si="249"/>
        <v>0</v>
      </c>
      <c r="AT604">
        <f t="shared" si="250"/>
        <v>0</v>
      </c>
      <c r="AU604">
        <f t="shared" si="251"/>
        <v>0</v>
      </c>
      <c r="AV604">
        <f t="shared" si="252"/>
        <v>0</v>
      </c>
      <c r="AW604">
        <f t="shared" si="253"/>
        <v>0</v>
      </c>
      <c r="AX604">
        <f t="shared" si="254"/>
        <v>0</v>
      </c>
      <c r="AY604">
        <f t="shared" si="255"/>
        <v>0</v>
      </c>
      <c r="CS604"/>
      <c r="CT604"/>
      <c r="CU604"/>
      <c r="CV604"/>
      <c r="CW604"/>
      <c r="CX604"/>
      <c r="CY604"/>
      <c r="CZ604"/>
      <c r="DA604"/>
    </row>
    <row r="605" spans="1:105" ht="15" customHeight="1">
      <c r="A605" s="108"/>
      <c r="B605" s="38"/>
      <c r="C605" s="1109"/>
      <c r="D605" s="954"/>
      <c r="E605" s="956"/>
      <c r="F605" s="1110" t="s">
        <v>4890</v>
      </c>
      <c r="G605" s="1110"/>
      <c r="H605" s="178"/>
      <c r="I605" s="1111" t="s">
        <v>2631</v>
      </c>
      <c r="J605" s="1111"/>
      <c r="K605" s="1111"/>
      <c r="L605" s="1111"/>
      <c r="M605" s="1111"/>
      <c r="N605" s="1111"/>
      <c r="O605" s="1112"/>
      <c r="P605" s="100"/>
      <c r="Q605" s="100"/>
      <c r="R605" s="100"/>
      <c r="S605" s="100"/>
      <c r="T605" s="100"/>
      <c r="U605" s="100"/>
      <c r="V605" s="100"/>
      <c r="W605" s="100"/>
      <c r="X605" s="100"/>
      <c r="Y605" s="100"/>
      <c r="Z605" s="100"/>
      <c r="AA605" s="100"/>
      <c r="AB605" s="100"/>
      <c r="AC605" s="100"/>
      <c r="AD605" s="100"/>
      <c r="AF605"/>
      <c r="AG605">
        <f t="shared" si="256"/>
        <v>0</v>
      </c>
      <c r="AH605">
        <f t="shared" si="257"/>
        <v>0</v>
      </c>
      <c r="AK605">
        <f t="shared" si="241"/>
        <v>0</v>
      </c>
      <c r="AL605">
        <f t="shared" si="242"/>
        <v>0</v>
      </c>
      <c r="AM605">
        <f t="shared" si="243"/>
        <v>0</v>
      </c>
      <c r="AN605">
        <f t="shared" si="244"/>
        <v>0</v>
      </c>
      <c r="AO605">
        <f t="shared" si="245"/>
        <v>0</v>
      </c>
      <c r="AP605">
        <f t="shared" si="246"/>
        <v>0</v>
      </c>
      <c r="AQ605">
        <f t="shared" si="247"/>
        <v>0</v>
      </c>
      <c r="AR605">
        <f t="shared" si="248"/>
        <v>0</v>
      </c>
      <c r="AS605">
        <f t="shared" si="249"/>
        <v>0</v>
      </c>
      <c r="AT605">
        <f t="shared" si="250"/>
        <v>0</v>
      </c>
      <c r="AU605">
        <f t="shared" si="251"/>
        <v>0</v>
      </c>
      <c r="AV605">
        <f t="shared" si="252"/>
        <v>0</v>
      </c>
      <c r="AW605">
        <f t="shared" si="253"/>
        <v>0</v>
      </c>
      <c r="AX605">
        <f t="shared" si="254"/>
        <v>0</v>
      </c>
      <c r="AY605">
        <f t="shared" si="255"/>
        <v>0</v>
      </c>
      <c r="CS605"/>
      <c r="CT605"/>
      <c r="CU605"/>
      <c r="CV605"/>
      <c r="CW605"/>
      <c r="CX605"/>
      <c r="CY605"/>
      <c r="CZ605"/>
      <c r="DA605"/>
    </row>
    <row r="606" spans="1:105" ht="24" customHeight="1">
      <c r="A606" s="108"/>
      <c r="B606" s="38"/>
      <c r="C606" s="1109"/>
      <c r="D606" s="954"/>
      <c r="E606" s="956"/>
      <c r="F606" s="1103" t="s">
        <v>4891</v>
      </c>
      <c r="G606" s="1103"/>
      <c r="H606" s="1104" t="s">
        <v>4892</v>
      </c>
      <c r="I606" s="1105"/>
      <c r="J606" s="1105"/>
      <c r="K606" s="1105"/>
      <c r="L606" s="1105"/>
      <c r="M606" s="1105"/>
      <c r="N606" s="1105"/>
      <c r="O606" s="1106"/>
      <c r="P606" s="100"/>
      <c r="Q606" s="100"/>
      <c r="R606" s="100"/>
      <c r="S606" s="100"/>
      <c r="T606" s="100"/>
      <c r="U606" s="100"/>
      <c r="V606" s="100"/>
      <c r="W606" s="100"/>
      <c r="X606" s="100"/>
      <c r="Y606" s="100"/>
      <c r="Z606" s="100"/>
      <c r="AA606" s="100"/>
      <c r="AB606" s="100"/>
      <c r="AC606" s="100"/>
      <c r="AD606" s="100"/>
      <c r="AF606">
        <f>IF(P606="NA",IF(AND(COUNTIF(P607:P611,"="&amp;$AF$212)=0,COUNTIF(P607:P611,"&lt;&gt;NA")&gt;0),1,0),IF(AND(COUNTIF(P607:P611,"="&amp;$AF$212)=0,COUNTIF(P607:P611,"NA")=COUNTIF(P607:P611,"&lt;&gt;"&amp;$AF$212)),1,0))</f>
        <v>0</v>
      </c>
      <c r="AG606">
        <f t="shared" si="256"/>
        <v>0</v>
      </c>
      <c r="AH606">
        <f t="shared" si="257"/>
        <v>0</v>
      </c>
      <c r="AK606">
        <f t="shared" si="241"/>
        <v>0</v>
      </c>
      <c r="AL606">
        <f t="shared" si="242"/>
        <v>0</v>
      </c>
      <c r="AM606">
        <f t="shared" si="243"/>
        <v>0</v>
      </c>
      <c r="AN606">
        <f t="shared" si="244"/>
        <v>0</v>
      </c>
      <c r="AO606">
        <f t="shared" si="245"/>
        <v>0</v>
      </c>
      <c r="AP606">
        <f t="shared" si="246"/>
        <v>0</v>
      </c>
      <c r="AQ606">
        <f t="shared" si="247"/>
        <v>0</v>
      </c>
      <c r="AR606">
        <f t="shared" si="248"/>
        <v>0</v>
      </c>
      <c r="AS606">
        <f t="shared" si="249"/>
        <v>0</v>
      </c>
      <c r="AT606">
        <f t="shared" si="250"/>
        <v>0</v>
      </c>
      <c r="AU606">
        <f t="shared" si="251"/>
        <v>0</v>
      </c>
      <c r="AV606">
        <f t="shared" si="252"/>
        <v>0</v>
      </c>
      <c r="AW606">
        <f t="shared" si="253"/>
        <v>0</v>
      </c>
      <c r="AX606">
        <f t="shared" si="254"/>
        <v>0</v>
      </c>
      <c r="AY606">
        <f t="shared" si="255"/>
        <v>0</v>
      </c>
      <c r="CS606"/>
      <c r="CT606"/>
      <c r="CU606"/>
      <c r="CV606"/>
      <c r="CW606"/>
      <c r="CX606"/>
      <c r="CY606"/>
      <c r="CZ606"/>
      <c r="DA606"/>
    </row>
    <row r="607" spans="1:105" ht="24" customHeight="1">
      <c r="A607" s="108"/>
      <c r="B607" s="38"/>
      <c r="C607" s="1109"/>
      <c r="D607" s="954"/>
      <c r="E607" s="956"/>
      <c r="F607" s="1110" t="s">
        <v>4893</v>
      </c>
      <c r="G607" s="1110"/>
      <c r="H607" s="177"/>
      <c r="I607" s="1115" t="s">
        <v>4894</v>
      </c>
      <c r="J607" s="1115"/>
      <c r="K607" s="1115"/>
      <c r="L607" s="1115"/>
      <c r="M607" s="1115"/>
      <c r="N607" s="1115"/>
      <c r="O607" s="1116"/>
      <c r="P607" s="100"/>
      <c r="Q607" s="100"/>
      <c r="R607" s="100"/>
      <c r="S607" s="100"/>
      <c r="T607" s="100"/>
      <c r="U607" s="100"/>
      <c r="V607" s="100"/>
      <c r="W607" s="100"/>
      <c r="X607" s="100"/>
      <c r="Y607" s="100"/>
      <c r="Z607" s="100"/>
      <c r="AA607" s="100"/>
      <c r="AB607" s="100"/>
      <c r="AC607" s="100"/>
      <c r="AD607" s="100"/>
      <c r="AF607"/>
      <c r="AG607">
        <f t="shared" si="256"/>
        <v>0</v>
      </c>
      <c r="AH607">
        <f t="shared" si="257"/>
        <v>0</v>
      </c>
      <c r="AK607">
        <f t="shared" si="241"/>
        <v>0</v>
      </c>
      <c r="AL607">
        <f t="shared" si="242"/>
        <v>0</v>
      </c>
      <c r="AM607">
        <f t="shared" si="243"/>
        <v>0</v>
      </c>
      <c r="AN607">
        <f t="shared" si="244"/>
        <v>0</v>
      </c>
      <c r="AO607">
        <f t="shared" si="245"/>
        <v>0</v>
      </c>
      <c r="AP607">
        <f t="shared" si="246"/>
        <v>0</v>
      </c>
      <c r="AQ607">
        <f t="shared" si="247"/>
        <v>0</v>
      </c>
      <c r="AR607">
        <f t="shared" si="248"/>
        <v>0</v>
      </c>
      <c r="AS607">
        <f t="shared" si="249"/>
        <v>0</v>
      </c>
      <c r="AT607">
        <f t="shared" si="250"/>
        <v>0</v>
      </c>
      <c r="AU607">
        <f t="shared" si="251"/>
        <v>0</v>
      </c>
      <c r="AV607">
        <f t="shared" si="252"/>
        <v>0</v>
      </c>
      <c r="AW607">
        <f t="shared" si="253"/>
        <v>0</v>
      </c>
      <c r="AX607">
        <f t="shared" si="254"/>
        <v>0</v>
      </c>
      <c r="AY607">
        <f t="shared" si="255"/>
        <v>0</v>
      </c>
      <c r="CS607"/>
      <c r="CT607"/>
      <c r="CU607"/>
      <c r="CV607"/>
      <c r="CW607"/>
      <c r="CX607"/>
      <c r="CY607"/>
      <c r="CZ607"/>
      <c r="DA607"/>
    </row>
    <row r="608" spans="1:105" ht="24" customHeight="1">
      <c r="A608" s="108"/>
      <c r="B608" s="38"/>
      <c r="C608" s="1109"/>
      <c r="D608" s="954"/>
      <c r="E608" s="956"/>
      <c r="F608" s="1110" t="s">
        <v>4895</v>
      </c>
      <c r="G608" s="1110"/>
      <c r="H608" s="178"/>
      <c r="I608" s="1111" t="s">
        <v>4896</v>
      </c>
      <c r="J608" s="1111"/>
      <c r="K608" s="1111"/>
      <c r="L608" s="1111"/>
      <c r="M608" s="1111"/>
      <c r="N608" s="1111"/>
      <c r="O608" s="1112"/>
      <c r="P608" s="100"/>
      <c r="Q608" s="100"/>
      <c r="R608" s="100"/>
      <c r="S608" s="100"/>
      <c r="T608" s="100"/>
      <c r="U608" s="100"/>
      <c r="V608" s="100"/>
      <c r="W608" s="100"/>
      <c r="X608" s="100"/>
      <c r="Y608" s="100"/>
      <c r="Z608" s="100"/>
      <c r="AA608" s="100"/>
      <c r="AB608" s="100"/>
      <c r="AC608" s="100"/>
      <c r="AD608" s="100"/>
      <c r="AF608"/>
      <c r="AG608">
        <f t="shared" si="256"/>
        <v>0</v>
      </c>
      <c r="AH608">
        <f t="shared" si="257"/>
        <v>0</v>
      </c>
      <c r="AK608">
        <f t="shared" si="241"/>
        <v>0</v>
      </c>
      <c r="AL608">
        <f t="shared" si="242"/>
        <v>0</v>
      </c>
      <c r="AM608">
        <f t="shared" si="243"/>
        <v>0</v>
      </c>
      <c r="AN608">
        <f t="shared" si="244"/>
        <v>0</v>
      </c>
      <c r="AO608">
        <f t="shared" si="245"/>
        <v>0</v>
      </c>
      <c r="AP608">
        <f t="shared" si="246"/>
        <v>0</v>
      </c>
      <c r="AQ608">
        <f t="shared" si="247"/>
        <v>0</v>
      </c>
      <c r="AR608">
        <f t="shared" si="248"/>
        <v>0</v>
      </c>
      <c r="AS608">
        <f t="shared" si="249"/>
        <v>0</v>
      </c>
      <c r="AT608">
        <f t="shared" si="250"/>
        <v>0</v>
      </c>
      <c r="AU608">
        <f t="shared" si="251"/>
        <v>0</v>
      </c>
      <c r="AV608">
        <f t="shared" si="252"/>
        <v>0</v>
      </c>
      <c r="AW608">
        <f t="shared" si="253"/>
        <v>0</v>
      </c>
      <c r="AX608">
        <f t="shared" si="254"/>
        <v>0</v>
      </c>
      <c r="AY608">
        <f t="shared" si="255"/>
        <v>0</v>
      </c>
      <c r="CS608"/>
      <c r="CT608"/>
      <c r="CU608"/>
      <c r="CV608"/>
      <c r="CW608"/>
      <c r="CX608"/>
      <c r="CY608"/>
      <c r="CZ608"/>
      <c r="DA608"/>
    </row>
    <row r="609" spans="1:105" ht="24" customHeight="1">
      <c r="A609" s="108"/>
      <c r="B609" s="38"/>
      <c r="C609" s="1109"/>
      <c r="D609" s="954"/>
      <c r="E609" s="956"/>
      <c r="F609" s="1110" t="s">
        <v>4897</v>
      </c>
      <c r="G609" s="1110"/>
      <c r="H609" s="178"/>
      <c r="I609" s="1111" t="s">
        <v>4898</v>
      </c>
      <c r="J609" s="1111"/>
      <c r="K609" s="1111"/>
      <c r="L609" s="1111"/>
      <c r="M609" s="1111"/>
      <c r="N609" s="1111"/>
      <c r="O609" s="1112"/>
      <c r="P609" s="100"/>
      <c r="Q609" s="100"/>
      <c r="R609" s="100"/>
      <c r="S609" s="100"/>
      <c r="T609" s="100"/>
      <c r="U609" s="100"/>
      <c r="V609" s="100"/>
      <c r="W609" s="100"/>
      <c r="X609" s="100"/>
      <c r="Y609" s="100"/>
      <c r="Z609" s="100"/>
      <c r="AA609" s="100"/>
      <c r="AB609" s="100"/>
      <c r="AC609" s="100"/>
      <c r="AD609" s="100"/>
      <c r="AF609"/>
      <c r="AG609">
        <f t="shared" si="256"/>
        <v>0</v>
      </c>
      <c r="AH609">
        <f t="shared" si="257"/>
        <v>0</v>
      </c>
      <c r="AK609">
        <f t="shared" si="241"/>
        <v>0</v>
      </c>
      <c r="AL609">
        <f t="shared" si="242"/>
        <v>0</v>
      </c>
      <c r="AM609">
        <f t="shared" si="243"/>
        <v>0</v>
      </c>
      <c r="AN609">
        <f t="shared" si="244"/>
        <v>0</v>
      </c>
      <c r="AO609">
        <f t="shared" si="245"/>
        <v>0</v>
      </c>
      <c r="AP609">
        <f t="shared" si="246"/>
        <v>0</v>
      </c>
      <c r="AQ609">
        <f t="shared" si="247"/>
        <v>0</v>
      </c>
      <c r="AR609">
        <f t="shared" si="248"/>
        <v>0</v>
      </c>
      <c r="AS609">
        <f t="shared" si="249"/>
        <v>0</v>
      </c>
      <c r="AT609">
        <f t="shared" si="250"/>
        <v>0</v>
      </c>
      <c r="AU609">
        <f t="shared" si="251"/>
        <v>0</v>
      </c>
      <c r="AV609">
        <f t="shared" si="252"/>
        <v>0</v>
      </c>
      <c r="AW609">
        <f t="shared" si="253"/>
        <v>0</v>
      </c>
      <c r="AX609">
        <f t="shared" si="254"/>
        <v>0</v>
      </c>
      <c r="AY609">
        <f t="shared" si="255"/>
        <v>0</v>
      </c>
      <c r="CS609"/>
      <c r="CT609"/>
      <c r="CU609"/>
      <c r="CV609"/>
      <c r="CW609"/>
      <c r="CX609"/>
      <c r="CY609"/>
      <c r="CZ609"/>
      <c r="DA609"/>
    </row>
    <row r="610" spans="1:105" ht="24" customHeight="1">
      <c r="A610" s="108"/>
      <c r="B610" s="38"/>
      <c r="C610" s="1109"/>
      <c r="D610" s="954"/>
      <c r="E610" s="956"/>
      <c r="F610" s="1110" t="s">
        <v>4899</v>
      </c>
      <c r="G610" s="1110"/>
      <c r="H610" s="178"/>
      <c r="I610" s="1111" t="s">
        <v>4900</v>
      </c>
      <c r="J610" s="1111"/>
      <c r="K610" s="1111"/>
      <c r="L610" s="1111"/>
      <c r="M610" s="1111"/>
      <c r="N610" s="1111"/>
      <c r="O610" s="1112"/>
      <c r="P610" s="100"/>
      <c r="Q610" s="100"/>
      <c r="R610" s="100"/>
      <c r="S610" s="100"/>
      <c r="T610" s="100"/>
      <c r="U610" s="100"/>
      <c r="V610" s="100"/>
      <c r="W610" s="100"/>
      <c r="X610" s="100"/>
      <c r="Y610" s="100"/>
      <c r="Z610" s="100"/>
      <c r="AA610" s="100"/>
      <c r="AB610" s="100"/>
      <c r="AC610" s="100"/>
      <c r="AD610" s="100"/>
      <c r="AF610"/>
      <c r="AG610">
        <f t="shared" si="256"/>
        <v>0</v>
      </c>
      <c r="AH610">
        <f t="shared" si="257"/>
        <v>0</v>
      </c>
      <c r="AK610">
        <f t="shared" si="241"/>
        <v>0</v>
      </c>
      <c r="AL610">
        <f t="shared" si="242"/>
        <v>0</v>
      </c>
      <c r="AM610">
        <f t="shared" si="243"/>
        <v>0</v>
      </c>
      <c r="AN610">
        <f t="shared" si="244"/>
        <v>0</v>
      </c>
      <c r="AO610">
        <f t="shared" si="245"/>
        <v>0</v>
      </c>
      <c r="AP610">
        <f t="shared" si="246"/>
        <v>0</v>
      </c>
      <c r="AQ610">
        <f t="shared" si="247"/>
        <v>0</v>
      </c>
      <c r="AR610">
        <f t="shared" si="248"/>
        <v>0</v>
      </c>
      <c r="AS610">
        <f t="shared" si="249"/>
        <v>0</v>
      </c>
      <c r="AT610">
        <f t="shared" si="250"/>
        <v>0</v>
      </c>
      <c r="AU610">
        <f t="shared" si="251"/>
        <v>0</v>
      </c>
      <c r="AV610">
        <f t="shared" si="252"/>
        <v>0</v>
      </c>
      <c r="AW610">
        <f t="shared" si="253"/>
        <v>0</v>
      </c>
      <c r="AX610">
        <f t="shared" si="254"/>
        <v>0</v>
      </c>
      <c r="AY610">
        <f t="shared" si="255"/>
        <v>0</v>
      </c>
      <c r="CS610"/>
      <c r="CT610"/>
      <c r="CU610"/>
      <c r="CV610"/>
      <c r="CW610"/>
      <c r="CX610"/>
      <c r="CY610"/>
      <c r="CZ610"/>
      <c r="DA610"/>
    </row>
    <row r="611" spans="1:105" ht="15" customHeight="1">
      <c r="A611" s="108"/>
      <c r="B611" s="38"/>
      <c r="C611" s="1109"/>
      <c r="D611" s="954"/>
      <c r="E611" s="956"/>
      <c r="F611" s="1110" t="s">
        <v>4901</v>
      </c>
      <c r="G611" s="1110"/>
      <c r="H611" s="178"/>
      <c r="I611" s="1111" t="s">
        <v>2631</v>
      </c>
      <c r="J611" s="1111"/>
      <c r="K611" s="1111"/>
      <c r="L611" s="1111"/>
      <c r="M611" s="1111"/>
      <c r="N611" s="1111"/>
      <c r="O611" s="1112"/>
      <c r="P611" s="100"/>
      <c r="Q611" s="100"/>
      <c r="R611" s="100"/>
      <c r="S611" s="100"/>
      <c r="T611" s="100"/>
      <c r="U611" s="100"/>
      <c r="V611" s="100"/>
      <c r="W611" s="100"/>
      <c r="X611" s="100"/>
      <c r="Y611" s="100"/>
      <c r="Z611" s="100"/>
      <c r="AA611" s="100"/>
      <c r="AB611" s="100"/>
      <c r="AC611" s="100"/>
      <c r="AD611" s="100"/>
      <c r="AF611"/>
      <c r="AG611">
        <f t="shared" si="256"/>
        <v>0</v>
      </c>
      <c r="AH611">
        <f t="shared" si="257"/>
        <v>0</v>
      </c>
      <c r="AK611">
        <f t="shared" si="241"/>
        <v>0</v>
      </c>
      <c r="AL611">
        <f t="shared" si="242"/>
        <v>0</v>
      </c>
      <c r="AM611">
        <f t="shared" si="243"/>
        <v>0</v>
      </c>
      <c r="AN611">
        <f t="shared" si="244"/>
        <v>0</v>
      </c>
      <c r="AO611">
        <f t="shared" si="245"/>
        <v>0</v>
      </c>
      <c r="AP611">
        <f t="shared" si="246"/>
        <v>0</v>
      </c>
      <c r="AQ611">
        <f t="shared" si="247"/>
        <v>0</v>
      </c>
      <c r="AR611">
        <f t="shared" si="248"/>
        <v>0</v>
      </c>
      <c r="AS611">
        <f t="shared" si="249"/>
        <v>0</v>
      </c>
      <c r="AT611">
        <f t="shared" si="250"/>
        <v>0</v>
      </c>
      <c r="AU611">
        <f t="shared" si="251"/>
        <v>0</v>
      </c>
      <c r="AV611">
        <f t="shared" si="252"/>
        <v>0</v>
      </c>
      <c r="AW611">
        <f t="shared" si="253"/>
        <v>0</v>
      </c>
      <c r="AX611">
        <f t="shared" si="254"/>
        <v>0</v>
      </c>
      <c r="AY611">
        <f t="shared" si="255"/>
        <v>0</v>
      </c>
      <c r="CS611"/>
      <c r="CT611"/>
      <c r="CU611"/>
      <c r="CV611"/>
      <c r="CW611"/>
      <c r="CX611"/>
      <c r="CY611"/>
      <c r="CZ611"/>
      <c r="DA611"/>
    </row>
    <row r="612" spans="1:105" ht="15" customHeight="1">
      <c r="A612" s="108"/>
      <c r="B612" s="38"/>
      <c r="C612" s="1109"/>
      <c r="D612" s="954"/>
      <c r="E612" s="956"/>
      <c r="F612" s="1103" t="s">
        <v>4902</v>
      </c>
      <c r="G612" s="1103"/>
      <c r="H612" s="1104" t="s">
        <v>4903</v>
      </c>
      <c r="I612" s="1105"/>
      <c r="J612" s="1105"/>
      <c r="K612" s="1105"/>
      <c r="L612" s="1105"/>
      <c r="M612" s="1105"/>
      <c r="N612" s="1105"/>
      <c r="O612" s="1106"/>
      <c r="P612" s="100"/>
      <c r="Q612" s="100"/>
      <c r="R612" s="100"/>
      <c r="S612" s="100"/>
      <c r="T612" s="100"/>
      <c r="U612" s="100"/>
      <c r="V612" s="100"/>
      <c r="W612" s="100"/>
      <c r="X612" s="100"/>
      <c r="Y612" s="100"/>
      <c r="Z612" s="100"/>
      <c r="AA612" s="100"/>
      <c r="AB612" s="100"/>
      <c r="AC612" s="100"/>
      <c r="AD612" s="100"/>
      <c r="AF612"/>
      <c r="AG612">
        <f t="shared" si="256"/>
        <v>0</v>
      </c>
      <c r="AH612">
        <f t="shared" si="257"/>
        <v>0</v>
      </c>
      <c r="AK612">
        <f t="shared" si="241"/>
        <v>0</v>
      </c>
      <c r="AL612">
        <f t="shared" si="242"/>
        <v>0</v>
      </c>
      <c r="AM612">
        <f t="shared" si="243"/>
        <v>0</v>
      </c>
      <c r="AN612">
        <f t="shared" si="244"/>
        <v>0</v>
      </c>
      <c r="AO612">
        <f t="shared" si="245"/>
        <v>0</v>
      </c>
      <c r="AP612">
        <f t="shared" si="246"/>
        <v>0</v>
      </c>
      <c r="AQ612">
        <f t="shared" si="247"/>
        <v>0</v>
      </c>
      <c r="AR612">
        <f t="shared" si="248"/>
        <v>0</v>
      </c>
      <c r="AS612">
        <f t="shared" si="249"/>
        <v>0</v>
      </c>
      <c r="AT612">
        <f t="shared" si="250"/>
        <v>0</v>
      </c>
      <c r="AU612">
        <f t="shared" si="251"/>
        <v>0</v>
      </c>
      <c r="AV612">
        <f t="shared" si="252"/>
        <v>0</v>
      </c>
      <c r="AW612">
        <f t="shared" si="253"/>
        <v>0</v>
      </c>
      <c r="AX612">
        <f t="shared" si="254"/>
        <v>0</v>
      </c>
      <c r="AY612">
        <f t="shared" si="255"/>
        <v>0</v>
      </c>
      <c r="CS612"/>
      <c r="CT612"/>
      <c r="CU612"/>
      <c r="CV612"/>
      <c r="CW612"/>
      <c r="CX612"/>
      <c r="CY612"/>
      <c r="CZ612"/>
      <c r="DA612"/>
    </row>
    <row r="613" spans="1:105" ht="15" customHeight="1">
      <c r="A613" s="108"/>
      <c r="B613" s="38"/>
      <c r="C613" s="1109"/>
      <c r="D613" s="954"/>
      <c r="E613" s="956"/>
      <c r="F613" s="1103" t="s">
        <v>4904</v>
      </c>
      <c r="G613" s="1103"/>
      <c r="H613" s="1104" t="s">
        <v>4905</v>
      </c>
      <c r="I613" s="1105"/>
      <c r="J613" s="1105"/>
      <c r="K613" s="1105"/>
      <c r="L613" s="1105"/>
      <c r="M613" s="1105"/>
      <c r="N613" s="1105"/>
      <c r="O613" s="1106"/>
      <c r="P613" s="100"/>
      <c r="Q613" s="100"/>
      <c r="R613" s="100"/>
      <c r="S613" s="100"/>
      <c r="T613" s="100"/>
      <c r="U613" s="100"/>
      <c r="V613" s="100"/>
      <c r="W613" s="100"/>
      <c r="X613" s="100"/>
      <c r="Y613" s="100"/>
      <c r="Z613" s="100"/>
      <c r="AA613" s="100"/>
      <c r="AB613" s="100"/>
      <c r="AC613" s="100"/>
      <c r="AD613" s="100"/>
      <c r="AF613"/>
      <c r="AG613">
        <f t="shared" si="256"/>
        <v>0</v>
      </c>
      <c r="AH613">
        <f t="shared" si="257"/>
        <v>0</v>
      </c>
      <c r="AK613">
        <f t="shared" si="241"/>
        <v>0</v>
      </c>
      <c r="AL613">
        <f t="shared" si="242"/>
        <v>0</v>
      </c>
      <c r="AM613">
        <f t="shared" si="243"/>
        <v>0</v>
      </c>
      <c r="AN613">
        <f t="shared" si="244"/>
        <v>0</v>
      </c>
      <c r="AO613">
        <f t="shared" si="245"/>
        <v>0</v>
      </c>
      <c r="AP613">
        <f t="shared" si="246"/>
        <v>0</v>
      </c>
      <c r="AQ613">
        <f t="shared" si="247"/>
        <v>0</v>
      </c>
      <c r="AR613">
        <f t="shared" si="248"/>
        <v>0</v>
      </c>
      <c r="AS613">
        <f t="shared" si="249"/>
        <v>0</v>
      </c>
      <c r="AT613">
        <f t="shared" si="250"/>
        <v>0</v>
      </c>
      <c r="AU613">
        <f t="shared" si="251"/>
        <v>0</v>
      </c>
      <c r="AV613">
        <f t="shared" si="252"/>
        <v>0</v>
      </c>
      <c r="AW613">
        <f t="shared" si="253"/>
        <v>0</v>
      </c>
      <c r="AX613">
        <f t="shared" si="254"/>
        <v>0</v>
      </c>
      <c r="AY613">
        <f t="shared" si="255"/>
        <v>0</v>
      </c>
      <c r="CS613"/>
      <c r="CT613"/>
      <c r="CU613"/>
      <c r="CV613"/>
      <c r="CW613"/>
      <c r="CX613"/>
      <c r="CY613"/>
      <c r="CZ613"/>
      <c r="DA613"/>
    </row>
    <row r="614" spans="1:105" ht="15" customHeight="1">
      <c r="A614" s="108"/>
      <c r="B614" s="38"/>
      <c r="C614" s="1109"/>
      <c r="D614" s="954"/>
      <c r="E614" s="956"/>
      <c r="F614" s="1103" t="s">
        <v>4906</v>
      </c>
      <c r="G614" s="1103"/>
      <c r="H614" s="1104" t="s">
        <v>4907</v>
      </c>
      <c r="I614" s="1105"/>
      <c r="J614" s="1105"/>
      <c r="K614" s="1105"/>
      <c r="L614" s="1105"/>
      <c r="M614" s="1105"/>
      <c r="N614" s="1105"/>
      <c r="O614" s="1106"/>
      <c r="P614" s="100"/>
      <c r="Q614" s="100"/>
      <c r="R614" s="100"/>
      <c r="S614" s="100"/>
      <c r="T614" s="100"/>
      <c r="U614" s="100"/>
      <c r="V614" s="100"/>
      <c r="W614" s="100"/>
      <c r="X614" s="100"/>
      <c r="Y614" s="100"/>
      <c r="Z614" s="100"/>
      <c r="AA614" s="100"/>
      <c r="AB614" s="100"/>
      <c r="AC614" s="100"/>
      <c r="AD614" s="100"/>
      <c r="AF614">
        <f>IF(P614="NA",IF(AND(COUNTIF(P615:P617,"="&amp;$AF$212)=0,COUNTIF(P615:P617,"&lt;&gt;NA")&gt;0),1,0),IF(AND(COUNTIF(P615:P617,"="&amp;$AF$212)=0,COUNTIF(P615:P617,"NA")=COUNTIF(P615:P617,"&lt;&gt;"&amp;$AF$212)),1,0))</f>
        <v>0</v>
      </c>
      <c r="AG614">
        <f t="shared" si="256"/>
        <v>0</v>
      </c>
      <c r="AH614">
        <f t="shared" si="257"/>
        <v>0</v>
      </c>
      <c r="AK614">
        <f t="shared" si="241"/>
        <v>0</v>
      </c>
      <c r="AL614">
        <f t="shared" si="242"/>
        <v>0</v>
      </c>
      <c r="AM614">
        <f t="shared" si="243"/>
        <v>0</v>
      </c>
      <c r="AN614">
        <f t="shared" si="244"/>
        <v>0</v>
      </c>
      <c r="AO614">
        <f t="shared" si="245"/>
        <v>0</v>
      </c>
      <c r="AP614">
        <f t="shared" si="246"/>
        <v>0</v>
      </c>
      <c r="AQ614">
        <f t="shared" si="247"/>
        <v>0</v>
      </c>
      <c r="AR614">
        <f t="shared" si="248"/>
        <v>0</v>
      </c>
      <c r="AS614">
        <f t="shared" si="249"/>
        <v>0</v>
      </c>
      <c r="AT614">
        <f t="shared" si="250"/>
        <v>0</v>
      </c>
      <c r="AU614">
        <f t="shared" si="251"/>
        <v>0</v>
      </c>
      <c r="AV614">
        <f t="shared" si="252"/>
        <v>0</v>
      </c>
      <c r="AW614">
        <f t="shared" si="253"/>
        <v>0</v>
      </c>
      <c r="AX614">
        <f t="shared" si="254"/>
        <v>0</v>
      </c>
      <c r="AY614">
        <f t="shared" si="255"/>
        <v>0</v>
      </c>
      <c r="CS614"/>
      <c r="CT614"/>
      <c r="CU614"/>
      <c r="CV614"/>
      <c r="CW614"/>
      <c r="CX614"/>
      <c r="CY614"/>
      <c r="CZ614"/>
      <c r="DA614"/>
    </row>
    <row r="615" spans="1:105" ht="36" customHeight="1">
      <c r="A615" s="108"/>
      <c r="B615" s="38"/>
      <c r="C615" s="1109"/>
      <c r="D615" s="954"/>
      <c r="E615" s="956"/>
      <c r="F615" s="1110" t="s">
        <v>4908</v>
      </c>
      <c r="G615" s="1110"/>
      <c r="H615" s="178"/>
      <c r="I615" s="1111" t="s">
        <v>4909</v>
      </c>
      <c r="J615" s="1111"/>
      <c r="K615" s="1111"/>
      <c r="L615" s="1111"/>
      <c r="M615" s="1111"/>
      <c r="N615" s="1111"/>
      <c r="O615" s="1112"/>
      <c r="P615" s="100"/>
      <c r="Q615" s="100"/>
      <c r="R615" s="100"/>
      <c r="S615" s="100"/>
      <c r="T615" s="100"/>
      <c r="U615" s="100"/>
      <c r="V615" s="100"/>
      <c r="W615" s="100"/>
      <c r="X615" s="100"/>
      <c r="Y615" s="100"/>
      <c r="Z615" s="100"/>
      <c r="AA615" s="100"/>
      <c r="AB615" s="100"/>
      <c r="AC615" s="100"/>
      <c r="AD615" s="100"/>
      <c r="AF615"/>
      <c r="AG615">
        <f t="shared" si="256"/>
        <v>0</v>
      </c>
      <c r="AH615">
        <f t="shared" si="257"/>
        <v>0</v>
      </c>
      <c r="AK615">
        <f t="shared" si="241"/>
        <v>0</v>
      </c>
      <c r="AL615">
        <f t="shared" si="242"/>
        <v>0</v>
      </c>
      <c r="AM615">
        <f t="shared" si="243"/>
        <v>0</v>
      </c>
      <c r="AN615">
        <f t="shared" si="244"/>
        <v>0</v>
      </c>
      <c r="AO615">
        <f t="shared" si="245"/>
        <v>0</v>
      </c>
      <c r="AP615">
        <f t="shared" si="246"/>
        <v>0</v>
      </c>
      <c r="AQ615">
        <f t="shared" si="247"/>
        <v>0</v>
      </c>
      <c r="AR615">
        <f t="shared" si="248"/>
        <v>0</v>
      </c>
      <c r="AS615">
        <f t="shared" si="249"/>
        <v>0</v>
      </c>
      <c r="AT615">
        <f t="shared" si="250"/>
        <v>0</v>
      </c>
      <c r="AU615">
        <f t="shared" si="251"/>
        <v>0</v>
      </c>
      <c r="AV615">
        <f t="shared" si="252"/>
        <v>0</v>
      </c>
      <c r="AW615">
        <f t="shared" si="253"/>
        <v>0</v>
      </c>
      <c r="AX615">
        <f t="shared" si="254"/>
        <v>0</v>
      </c>
      <c r="AY615">
        <f t="shared" si="255"/>
        <v>0</v>
      </c>
      <c r="CS615"/>
      <c r="CT615"/>
      <c r="CU615"/>
      <c r="CV615"/>
      <c r="CW615"/>
      <c r="CX615"/>
      <c r="CY615"/>
      <c r="CZ615"/>
      <c r="DA615"/>
    </row>
    <row r="616" spans="1:105" ht="15" customHeight="1">
      <c r="A616" s="108"/>
      <c r="B616" s="38"/>
      <c r="C616" s="1109"/>
      <c r="D616" s="954"/>
      <c r="E616" s="956"/>
      <c r="F616" s="1110" t="s">
        <v>4910</v>
      </c>
      <c r="G616" s="1110"/>
      <c r="H616" s="178"/>
      <c r="I616" s="1111" t="s">
        <v>4911</v>
      </c>
      <c r="J616" s="1111"/>
      <c r="K616" s="1111"/>
      <c r="L616" s="1111"/>
      <c r="M616" s="1111"/>
      <c r="N616" s="1111"/>
      <c r="O616" s="1112"/>
      <c r="P616" s="100"/>
      <c r="Q616" s="100"/>
      <c r="R616" s="100"/>
      <c r="S616" s="100"/>
      <c r="T616" s="100"/>
      <c r="U616" s="100"/>
      <c r="V616" s="100"/>
      <c r="W616" s="100"/>
      <c r="X616" s="100"/>
      <c r="Y616" s="100"/>
      <c r="Z616" s="100"/>
      <c r="AA616" s="100"/>
      <c r="AB616" s="100"/>
      <c r="AC616" s="100"/>
      <c r="AD616" s="100"/>
      <c r="AF616"/>
      <c r="AG616">
        <f t="shared" si="256"/>
        <v>0</v>
      </c>
      <c r="AH616">
        <f t="shared" si="257"/>
        <v>0</v>
      </c>
      <c r="AK616">
        <f t="shared" si="241"/>
        <v>0</v>
      </c>
      <c r="AL616">
        <f t="shared" si="242"/>
        <v>0</v>
      </c>
      <c r="AM616">
        <f t="shared" si="243"/>
        <v>0</v>
      </c>
      <c r="AN616">
        <f t="shared" si="244"/>
        <v>0</v>
      </c>
      <c r="AO616">
        <f t="shared" si="245"/>
        <v>0</v>
      </c>
      <c r="AP616">
        <f t="shared" si="246"/>
        <v>0</v>
      </c>
      <c r="AQ616">
        <f t="shared" si="247"/>
        <v>0</v>
      </c>
      <c r="AR616">
        <f t="shared" si="248"/>
        <v>0</v>
      </c>
      <c r="AS616">
        <f t="shared" si="249"/>
        <v>0</v>
      </c>
      <c r="AT616">
        <f t="shared" si="250"/>
        <v>0</v>
      </c>
      <c r="AU616">
        <f t="shared" si="251"/>
        <v>0</v>
      </c>
      <c r="AV616">
        <f t="shared" si="252"/>
        <v>0</v>
      </c>
      <c r="AW616">
        <f t="shared" si="253"/>
        <v>0</v>
      </c>
      <c r="AX616">
        <f t="shared" si="254"/>
        <v>0</v>
      </c>
      <c r="AY616">
        <f t="shared" si="255"/>
        <v>0</v>
      </c>
      <c r="CS616"/>
      <c r="CT616"/>
      <c r="CU616"/>
      <c r="CV616"/>
      <c r="CW616"/>
      <c r="CX616"/>
      <c r="CY616"/>
      <c r="CZ616"/>
      <c r="DA616"/>
    </row>
    <row r="617" spans="1:105" ht="15" customHeight="1">
      <c r="A617" s="108"/>
      <c r="B617" s="38"/>
      <c r="C617" s="1109"/>
      <c r="D617" s="954"/>
      <c r="E617" s="956"/>
      <c r="F617" s="1110" t="s">
        <v>4912</v>
      </c>
      <c r="G617" s="1110"/>
      <c r="H617" s="178"/>
      <c r="I617" s="1111" t="s">
        <v>2631</v>
      </c>
      <c r="J617" s="1111"/>
      <c r="K617" s="1111"/>
      <c r="L617" s="1111"/>
      <c r="M617" s="1111"/>
      <c r="N617" s="1111"/>
      <c r="O617" s="1112"/>
      <c r="P617" s="100"/>
      <c r="Q617" s="100"/>
      <c r="R617" s="100"/>
      <c r="S617" s="100"/>
      <c r="T617" s="100"/>
      <c r="U617" s="100"/>
      <c r="V617" s="100"/>
      <c r="W617" s="100"/>
      <c r="X617" s="100"/>
      <c r="Y617" s="100"/>
      <c r="Z617" s="100"/>
      <c r="AA617" s="100"/>
      <c r="AB617" s="100"/>
      <c r="AC617" s="100"/>
      <c r="AD617" s="100"/>
      <c r="AF617"/>
      <c r="AG617">
        <f t="shared" si="256"/>
        <v>0</v>
      </c>
      <c r="AH617">
        <f t="shared" si="257"/>
        <v>0</v>
      </c>
      <c r="AK617">
        <f t="shared" si="241"/>
        <v>0</v>
      </c>
      <c r="AL617">
        <f t="shared" si="242"/>
        <v>0</v>
      </c>
      <c r="AM617">
        <f t="shared" si="243"/>
        <v>0</v>
      </c>
      <c r="AN617">
        <f t="shared" si="244"/>
        <v>0</v>
      </c>
      <c r="AO617">
        <f t="shared" si="245"/>
        <v>0</v>
      </c>
      <c r="AP617">
        <f t="shared" si="246"/>
        <v>0</v>
      </c>
      <c r="AQ617">
        <f t="shared" si="247"/>
        <v>0</v>
      </c>
      <c r="AR617">
        <f t="shared" si="248"/>
        <v>0</v>
      </c>
      <c r="AS617">
        <f t="shared" si="249"/>
        <v>0</v>
      </c>
      <c r="AT617">
        <f t="shared" si="250"/>
        <v>0</v>
      </c>
      <c r="AU617">
        <f t="shared" si="251"/>
        <v>0</v>
      </c>
      <c r="AV617">
        <f t="shared" si="252"/>
        <v>0</v>
      </c>
      <c r="AW617">
        <f t="shared" si="253"/>
        <v>0</v>
      </c>
      <c r="AX617">
        <f t="shared" si="254"/>
        <v>0</v>
      </c>
      <c r="AY617">
        <f t="shared" si="255"/>
        <v>0</v>
      </c>
      <c r="CS617"/>
      <c r="CT617"/>
      <c r="CU617"/>
      <c r="CV617"/>
      <c r="CW617"/>
      <c r="CX617"/>
      <c r="CY617"/>
      <c r="CZ617"/>
      <c r="DA617"/>
    </row>
    <row r="618" spans="1:105" ht="15" customHeight="1">
      <c r="A618" s="108"/>
      <c r="B618" s="38"/>
      <c r="C618" s="1109"/>
      <c r="D618" s="954"/>
      <c r="E618" s="956"/>
      <c r="F618" s="1103" t="s">
        <v>4913</v>
      </c>
      <c r="G618" s="1103"/>
      <c r="H618" s="1104" t="s">
        <v>4914</v>
      </c>
      <c r="I618" s="1105"/>
      <c r="J618" s="1105"/>
      <c r="K618" s="1105"/>
      <c r="L618" s="1105"/>
      <c r="M618" s="1105"/>
      <c r="N618" s="1105"/>
      <c r="O618" s="1106"/>
      <c r="P618" s="100"/>
      <c r="Q618" s="100"/>
      <c r="R618" s="100"/>
      <c r="S618" s="100"/>
      <c r="T618" s="100"/>
      <c r="U618" s="100"/>
      <c r="V618" s="100"/>
      <c r="W618" s="100"/>
      <c r="X618" s="100"/>
      <c r="Y618" s="100"/>
      <c r="Z618" s="100"/>
      <c r="AA618" s="100"/>
      <c r="AB618" s="100"/>
      <c r="AC618" s="100"/>
      <c r="AD618" s="100"/>
      <c r="AF618"/>
      <c r="AG618">
        <f t="shared" si="256"/>
        <v>0</v>
      </c>
      <c r="AH618">
        <f t="shared" si="257"/>
        <v>0</v>
      </c>
      <c r="AK618">
        <f t="shared" si="241"/>
        <v>0</v>
      </c>
      <c r="AL618">
        <f t="shared" si="242"/>
        <v>0</v>
      </c>
      <c r="AM618">
        <f t="shared" si="243"/>
        <v>0</v>
      </c>
      <c r="AN618">
        <f t="shared" si="244"/>
        <v>0</v>
      </c>
      <c r="AO618">
        <f t="shared" si="245"/>
        <v>0</v>
      </c>
      <c r="AP618">
        <f t="shared" si="246"/>
        <v>0</v>
      </c>
      <c r="AQ618">
        <f t="shared" si="247"/>
        <v>0</v>
      </c>
      <c r="AR618">
        <f t="shared" si="248"/>
        <v>0</v>
      </c>
      <c r="AS618">
        <f t="shared" si="249"/>
        <v>0</v>
      </c>
      <c r="AT618">
        <f t="shared" si="250"/>
        <v>0</v>
      </c>
      <c r="AU618">
        <f t="shared" si="251"/>
        <v>0</v>
      </c>
      <c r="AV618">
        <f t="shared" si="252"/>
        <v>0</v>
      </c>
      <c r="AW618">
        <f t="shared" si="253"/>
        <v>0</v>
      </c>
      <c r="AX618">
        <f t="shared" si="254"/>
        <v>0</v>
      </c>
      <c r="AY618">
        <f t="shared" si="255"/>
        <v>0</v>
      </c>
      <c r="CS618"/>
      <c r="CT618"/>
      <c r="CU618"/>
      <c r="CV618"/>
      <c r="CW618"/>
      <c r="CX618"/>
      <c r="CY618"/>
      <c r="CZ618"/>
      <c r="DA618"/>
    </row>
    <row r="619" spans="1:105" ht="15" customHeight="1">
      <c r="A619" s="108"/>
      <c r="B619" s="38"/>
      <c r="C619" s="1109"/>
      <c r="D619" s="954"/>
      <c r="E619" s="956"/>
      <c r="F619" s="1103" t="s">
        <v>4915</v>
      </c>
      <c r="G619" s="1103"/>
      <c r="H619" s="1104" t="s">
        <v>4916</v>
      </c>
      <c r="I619" s="1105"/>
      <c r="J619" s="1105"/>
      <c r="K619" s="1105"/>
      <c r="L619" s="1105"/>
      <c r="M619" s="1105"/>
      <c r="N619" s="1105"/>
      <c r="O619" s="1106"/>
      <c r="P619" s="100"/>
      <c r="Q619" s="100"/>
      <c r="R619" s="100"/>
      <c r="S619" s="100"/>
      <c r="T619" s="100"/>
      <c r="U619" s="100"/>
      <c r="V619" s="100"/>
      <c r="W619" s="100"/>
      <c r="X619" s="100"/>
      <c r="Y619" s="100"/>
      <c r="Z619" s="100"/>
      <c r="AA619" s="100"/>
      <c r="AB619" s="100"/>
      <c r="AC619" s="100"/>
      <c r="AD619" s="100"/>
      <c r="AF619"/>
      <c r="AG619">
        <f t="shared" si="256"/>
        <v>0</v>
      </c>
      <c r="AH619">
        <f t="shared" si="257"/>
        <v>0</v>
      </c>
      <c r="AK619">
        <f t="shared" si="241"/>
        <v>0</v>
      </c>
      <c r="AL619">
        <f t="shared" si="242"/>
        <v>0</v>
      </c>
      <c r="AM619">
        <f t="shared" si="243"/>
        <v>0</v>
      </c>
      <c r="AN619">
        <f t="shared" si="244"/>
        <v>0</v>
      </c>
      <c r="AO619">
        <f t="shared" si="245"/>
        <v>0</v>
      </c>
      <c r="AP619">
        <f t="shared" si="246"/>
        <v>0</v>
      </c>
      <c r="AQ619">
        <f t="shared" si="247"/>
        <v>0</v>
      </c>
      <c r="AR619">
        <f t="shared" si="248"/>
        <v>0</v>
      </c>
      <c r="AS619">
        <f t="shared" si="249"/>
        <v>0</v>
      </c>
      <c r="AT619">
        <f t="shared" si="250"/>
        <v>0</v>
      </c>
      <c r="AU619">
        <f t="shared" si="251"/>
        <v>0</v>
      </c>
      <c r="AV619">
        <f t="shared" si="252"/>
        <v>0</v>
      </c>
      <c r="AW619">
        <f t="shared" si="253"/>
        <v>0</v>
      </c>
      <c r="AX619">
        <f t="shared" si="254"/>
        <v>0</v>
      </c>
      <c r="AY619">
        <f t="shared" si="255"/>
        <v>0</v>
      </c>
      <c r="CS619"/>
      <c r="CT619"/>
      <c r="CU619"/>
      <c r="CV619"/>
      <c r="CW619"/>
      <c r="CX619"/>
      <c r="CY619"/>
      <c r="CZ619"/>
      <c r="DA619"/>
    </row>
    <row r="620" spans="1:105" ht="24" customHeight="1">
      <c r="A620" s="108"/>
      <c r="B620" s="38"/>
      <c r="C620" s="1109"/>
      <c r="D620" s="954"/>
      <c r="E620" s="956"/>
      <c r="F620" s="1103" t="s">
        <v>4917</v>
      </c>
      <c r="G620" s="1103"/>
      <c r="H620" s="1104" t="s">
        <v>4918</v>
      </c>
      <c r="I620" s="1105"/>
      <c r="J620" s="1105"/>
      <c r="K620" s="1105"/>
      <c r="L620" s="1105"/>
      <c r="M620" s="1105"/>
      <c r="N620" s="1105"/>
      <c r="O620" s="1106"/>
      <c r="P620" s="100"/>
      <c r="Q620" s="100"/>
      <c r="R620" s="100"/>
      <c r="S620" s="100"/>
      <c r="T620" s="100"/>
      <c r="U620" s="100"/>
      <c r="V620" s="100"/>
      <c r="W620" s="100"/>
      <c r="X620" s="100"/>
      <c r="Y620" s="100"/>
      <c r="Z620" s="100"/>
      <c r="AA620" s="100"/>
      <c r="AB620" s="100"/>
      <c r="AC620" s="100"/>
      <c r="AD620" s="100"/>
      <c r="AF620"/>
      <c r="AG620">
        <f t="shared" si="256"/>
        <v>0</v>
      </c>
      <c r="AH620">
        <f t="shared" si="257"/>
        <v>0</v>
      </c>
      <c r="AJ620">
        <f>IF(OR(P620="NS",P620="NA",$P$176=0,$P$176="NS",$P$176="NA"),0,IF((P620*(IFERROR(100/SUM(P587:P620),0)))&gt;25,1,0))</f>
        <v>0</v>
      </c>
      <c r="AK620">
        <f t="shared" si="241"/>
        <v>0</v>
      </c>
      <c r="AL620">
        <f t="shared" si="242"/>
        <v>0</v>
      </c>
      <c r="AM620">
        <f t="shared" si="243"/>
        <v>0</v>
      </c>
      <c r="AN620">
        <f t="shared" si="244"/>
        <v>0</v>
      </c>
      <c r="AO620">
        <f t="shared" si="245"/>
        <v>0</v>
      </c>
      <c r="AP620">
        <f t="shared" si="246"/>
        <v>0</v>
      </c>
      <c r="AQ620">
        <f t="shared" si="247"/>
        <v>0</v>
      </c>
      <c r="AR620">
        <f t="shared" si="248"/>
        <v>0</v>
      </c>
      <c r="AS620">
        <f t="shared" si="249"/>
        <v>0</v>
      </c>
      <c r="AT620">
        <f t="shared" si="250"/>
        <v>0</v>
      </c>
      <c r="AU620">
        <f t="shared" si="251"/>
        <v>0</v>
      </c>
      <c r="AV620">
        <f t="shared" si="252"/>
        <v>0</v>
      </c>
      <c r="AW620">
        <f t="shared" si="253"/>
        <v>0</v>
      </c>
      <c r="AX620">
        <f t="shared" si="254"/>
        <v>0</v>
      </c>
      <c r="AY620">
        <f t="shared" si="255"/>
        <v>0</v>
      </c>
      <c r="CS620"/>
      <c r="CT620"/>
      <c r="CU620"/>
      <c r="CV620"/>
      <c r="CW620"/>
      <c r="CX620"/>
      <c r="CY620"/>
      <c r="CZ620"/>
      <c r="DA620"/>
    </row>
    <row r="621" spans="1:105" ht="15" customHeight="1">
      <c r="A621" s="108"/>
      <c r="B621" s="38"/>
      <c r="C621" s="1108" t="s">
        <v>4919</v>
      </c>
      <c r="D621" s="847" t="s">
        <v>4920</v>
      </c>
      <c r="E621" s="848"/>
      <c r="F621" s="1103" t="s">
        <v>4921</v>
      </c>
      <c r="G621" s="1103"/>
      <c r="H621" s="1104" t="s">
        <v>4922</v>
      </c>
      <c r="I621" s="1105"/>
      <c r="J621" s="1105"/>
      <c r="K621" s="1105"/>
      <c r="L621" s="1105"/>
      <c r="M621" s="1105"/>
      <c r="N621" s="1105"/>
      <c r="O621" s="1106"/>
      <c r="P621" s="100"/>
      <c r="Q621" s="100"/>
      <c r="R621" s="100"/>
      <c r="S621" s="100"/>
      <c r="T621" s="100"/>
      <c r="U621" s="100"/>
      <c r="V621" s="100"/>
      <c r="W621" s="100"/>
      <c r="X621" s="100"/>
      <c r="Y621" s="100"/>
      <c r="Z621" s="100"/>
      <c r="AA621" s="100"/>
      <c r="AB621" s="100"/>
      <c r="AC621" s="100"/>
      <c r="AD621" s="100"/>
      <c r="AF621"/>
      <c r="AG621">
        <f t="shared" si="256"/>
        <v>0</v>
      </c>
      <c r="AH621">
        <f t="shared" si="257"/>
        <v>0</v>
      </c>
      <c r="AK621">
        <f t="shared" ref="AK621:AK684" si="258">COUNTIF(Q621:R621,"NS")</f>
        <v>0</v>
      </c>
      <c r="AL621">
        <f t="shared" ref="AL621:AL684" si="259">SUM(Q621:R621)</f>
        <v>0</v>
      </c>
      <c r="AM621">
        <f t="shared" ref="AM621:AM684" si="260">IF(COUNTIF(P621:R621,"NA")=3,0,IF(COUNTA(P621:R621)=0,0,IF(OR(AND(P621=0,AK621&gt;0),AND(P621="ns",AL621&gt;0),AND(P621="ns",AK621=0,AL621=0)),1,IF(OR(AND(P621&gt;0,AK621=2),AND(P621="ns",AK621=2),AND(P621="ns",AL621=0,AK621&gt;0),P621=AL621),0,1))))</f>
        <v>0</v>
      </c>
      <c r="AN621">
        <f t="shared" ref="AN621:AN684" si="261">COUNTIF(T621:U621,"NS")</f>
        <v>0</v>
      </c>
      <c r="AO621">
        <f t="shared" ref="AO621:AO684" si="262">SUM(T621:U621)</f>
        <v>0</v>
      </c>
      <c r="AP621">
        <f t="shared" ref="AP621:AP684" si="263">IF(COUNTIF(S621:U621,"NA")=3,0,IF(COUNTA(S621:U621)=0,0,IF(OR(AND(S621=0,AN621&gt;0),AND(S621="ns",AO621&gt;0),AND(S621="ns",AN621=0,AO621=0)),1,IF(OR(AND(S621&gt;0,AN621=2),AND(S621="ns",AN621=2),AND(S621="ns",AO621=0,AN621&gt;0),S621=AO621),0,1))))</f>
        <v>0</v>
      </c>
      <c r="AQ621">
        <f t="shared" ref="AQ621:AQ684" si="264">COUNTIF(W621:X621,"NS")</f>
        <v>0</v>
      </c>
      <c r="AR621">
        <f t="shared" ref="AR621:AR684" si="265">SUM(W621:X621)</f>
        <v>0</v>
      </c>
      <c r="AS621">
        <f t="shared" ref="AS621:AS684" si="266">IF(COUNTIF(V621:X621,"NA")=3,0,IF(COUNTA(V621:X621)=0,0,IF(OR(AND(V621=0,AQ621&gt;0),AND(V621="ns",AR621&gt;0),AND(V621="ns",AQ621=0,AR621=0)),1,IF(OR(AND(V621&gt;0,AQ621=2),AND(V621="ns",AQ621=2),AND(V621="ns",AR621=0,AQ621&gt;0),V621=AR621),0,1))))</f>
        <v>0</v>
      </c>
      <c r="AT621">
        <f t="shared" ref="AT621:AT684" si="267">COUNTIF(Z621:AA621,"NS")</f>
        <v>0</v>
      </c>
      <c r="AU621">
        <f t="shared" ref="AU621:AU684" si="268">SUM(Z621:AA621)</f>
        <v>0</v>
      </c>
      <c r="AV621">
        <f t="shared" ref="AV621:AV684" si="269">IF(COUNTIF(Y621:AA621,"NA")=3,0,IF(COUNTA(Y621:AA621)=0,0,IF(OR(AND(Y621=0,AT621&gt;0),AND(Y621="ns",AU621&gt;0),AND(Y621="ns",AT621=0,AU621=0)),1,IF(OR(AND(Y621&gt;0,AT621=2),AND(Y621="ns",AT621=2),AND(Y621="ns",AU621=0,AT621&gt;0),Y621=AU621),0,1))))</f>
        <v>0</v>
      </c>
      <c r="AW621">
        <f t="shared" ref="AW621:AW684" si="270">COUNTIF(AC621:AD621,"NS")</f>
        <v>0</v>
      </c>
      <c r="AX621">
        <f t="shared" ref="AX621:AX684" si="271">SUM(AC621:AD621)</f>
        <v>0</v>
      </c>
      <c r="AY621">
        <f t="shared" ref="AY621:AY684" si="272">IF(COUNTIF(AB621:AD621,"NA")=3,0,IF(COUNTA(AB621:AD621)=0,0,IF(OR(AND(AB621=0,AW621&gt;0),AND(AB621="ns",AX621&gt;0),AND(AB621="ns",AW621=0,AX621=0)),1,IF(OR(AND(AB621&gt;0,AW621=2),AND(AB621="ns",AW621=2),AND(AB621="ns",AX621=0,AW621&gt;0),AB621=AX621),0,1))))</f>
        <v>0</v>
      </c>
      <c r="CS621"/>
      <c r="CT621"/>
      <c r="CU621"/>
      <c r="CV621"/>
      <c r="CW621"/>
      <c r="CX621"/>
      <c r="CY621"/>
      <c r="CZ621"/>
      <c r="DA621"/>
    </row>
    <row r="622" spans="1:105" ht="15" customHeight="1">
      <c r="A622" s="108"/>
      <c r="B622" s="38"/>
      <c r="C622" s="1109"/>
      <c r="D622" s="954"/>
      <c r="E622" s="956"/>
      <c r="F622" s="1103" t="s">
        <v>4923</v>
      </c>
      <c r="G622" s="1103"/>
      <c r="H622" s="1104" t="s">
        <v>4924</v>
      </c>
      <c r="I622" s="1105"/>
      <c r="J622" s="1105"/>
      <c r="K622" s="1105"/>
      <c r="L622" s="1105"/>
      <c r="M622" s="1105"/>
      <c r="N622" s="1105"/>
      <c r="O622" s="1106"/>
      <c r="P622" s="100"/>
      <c r="Q622" s="100"/>
      <c r="R622" s="100"/>
      <c r="S622" s="100"/>
      <c r="T622" s="100"/>
      <c r="U622" s="100"/>
      <c r="V622" s="100"/>
      <c r="W622" s="100"/>
      <c r="X622" s="100"/>
      <c r="Y622" s="100"/>
      <c r="Z622" s="100"/>
      <c r="AA622" s="100"/>
      <c r="AB622" s="100"/>
      <c r="AC622" s="100"/>
      <c r="AD622" s="100"/>
      <c r="AF622"/>
      <c r="AG622">
        <f t="shared" ref="AG622:AG685" si="273">IF(OR($P$176=0,$P$176="NS",$P$176="NA",P622="NA"),0,IF(SUM(COUNTBLANK(P622:AD622),COUNTBLANK(G793:AD793))=0,0,1))</f>
        <v>0</v>
      </c>
      <c r="AH622">
        <f t="shared" ref="AH622:AH685" si="274">IF(P622="NA",IF(COUNTA(Q622:AD622,G793:AD793)=0,0,1),0)</f>
        <v>0</v>
      </c>
      <c r="AK622">
        <f t="shared" si="258"/>
        <v>0</v>
      </c>
      <c r="AL622">
        <f t="shared" si="259"/>
        <v>0</v>
      </c>
      <c r="AM622">
        <f t="shared" si="260"/>
        <v>0</v>
      </c>
      <c r="AN622">
        <f t="shared" si="261"/>
        <v>0</v>
      </c>
      <c r="AO622">
        <f t="shared" si="262"/>
        <v>0</v>
      </c>
      <c r="AP622">
        <f t="shared" si="263"/>
        <v>0</v>
      </c>
      <c r="AQ622">
        <f t="shared" si="264"/>
        <v>0</v>
      </c>
      <c r="AR622">
        <f t="shared" si="265"/>
        <v>0</v>
      </c>
      <c r="AS622">
        <f t="shared" si="266"/>
        <v>0</v>
      </c>
      <c r="AT622">
        <f t="shared" si="267"/>
        <v>0</v>
      </c>
      <c r="AU622">
        <f t="shared" si="268"/>
        <v>0</v>
      </c>
      <c r="AV622">
        <f t="shared" si="269"/>
        <v>0</v>
      </c>
      <c r="AW622">
        <f t="shared" si="270"/>
        <v>0</v>
      </c>
      <c r="AX622">
        <f t="shared" si="271"/>
        <v>0</v>
      </c>
      <c r="AY622">
        <f t="shared" si="272"/>
        <v>0</v>
      </c>
      <c r="CS622"/>
      <c r="CT622"/>
      <c r="CU622"/>
      <c r="CV622"/>
      <c r="CW622"/>
      <c r="CX622"/>
      <c r="CY622"/>
      <c r="CZ622"/>
      <c r="DA622"/>
    </row>
    <row r="623" spans="1:105" ht="15" customHeight="1">
      <c r="A623" s="108"/>
      <c r="B623" s="38"/>
      <c r="C623" s="1109"/>
      <c r="D623" s="954"/>
      <c r="E623" s="956"/>
      <c r="F623" s="1103" t="s">
        <v>4925</v>
      </c>
      <c r="G623" s="1103"/>
      <c r="H623" s="1104" t="s">
        <v>4926</v>
      </c>
      <c r="I623" s="1105"/>
      <c r="J623" s="1105"/>
      <c r="K623" s="1105"/>
      <c r="L623" s="1105"/>
      <c r="M623" s="1105"/>
      <c r="N623" s="1105"/>
      <c r="O623" s="1106"/>
      <c r="P623" s="100"/>
      <c r="Q623" s="100"/>
      <c r="R623" s="100"/>
      <c r="S623" s="100"/>
      <c r="T623" s="100"/>
      <c r="U623" s="100"/>
      <c r="V623" s="100"/>
      <c r="W623" s="100"/>
      <c r="X623" s="100"/>
      <c r="Y623" s="100"/>
      <c r="Z623" s="100"/>
      <c r="AA623" s="100"/>
      <c r="AB623" s="100"/>
      <c r="AC623" s="100"/>
      <c r="AD623" s="100"/>
      <c r="AF623"/>
      <c r="AG623">
        <f t="shared" si="273"/>
        <v>0</v>
      </c>
      <c r="AH623">
        <f t="shared" si="274"/>
        <v>0</v>
      </c>
      <c r="AJ623">
        <f>IF(OR(P623="NS",P623="NA",$P$176=0,$P$176="NS",$P$176="NA"),0,IF((P623*(IFERROR(100/SUM(P621:P623),0)))&gt;25,1,0))</f>
        <v>0</v>
      </c>
      <c r="AK623">
        <f t="shared" si="258"/>
        <v>0</v>
      </c>
      <c r="AL623">
        <f t="shared" si="259"/>
        <v>0</v>
      </c>
      <c r="AM623">
        <f t="shared" si="260"/>
        <v>0</v>
      </c>
      <c r="AN623">
        <f t="shared" si="261"/>
        <v>0</v>
      </c>
      <c r="AO623">
        <f t="shared" si="262"/>
        <v>0</v>
      </c>
      <c r="AP623">
        <f t="shared" si="263"/>
        <v>0</v>
      </c>
      <c r="AQ623">
        <f t="shared" si="264"/>
        <v>0</v>
      </c>
      <c r="AR623">
        <f t="shared" si="265"/>
        <v>0</v>
      </c>
      <c r="AS623">
        <f t="shared" si="266"/>
        <v>0</v>
      </c>
      <c r="AT623">
        <f t="shared" si="267"/>
        <v>0</v>
      </c>
      <c r="AU623">
        <f t="shared" si="268"/>
        <v>0</v>
      </c>
      <c r="AV623">
        <f t="shared" si="269"/>
        <v>0</v>
      </c>
      <c r="AW623">
        <f t="shared" si="270"/>
        <v>0</v>
      </c>
      <c r="AX623">
        <f t="shared" si="271"/>
        <v>0</v>
      </c>
      <c r="AY623">
        <f t="shared" si="272"/>
        <v>0</v>
      </c>
      <c r="CS623"/>
      <c r="CT623"/>
      <c r="CU623"/>
      <c r="CV623"/>
      <c r="CW623"/>
      <c r="CX623"/>
      <c r="CY623"/>
      <c r="CZ623"/>
      <c r="DA623"/>
    </row>
    <row r="624" spans="1:105" ht="24" customHeight="1">
      <c r="A624" s="108"/>
      <c r="B624" s="38"/>
      <c r="C624" s="1108" t="s">
        <v>4927</v>
      </c>
      <c r="D624" s="847" t="s">
        <v>5417</v>
      </c>
      <c r="E624" s="848"/>
      <c r="F624" s="1103" t="s">
        <v>4929</v>
      </c>
      <c r="G624" s="1103"/>
      <c r="H624" s="1104" t="s">
        <v>4930</v>
      </c>
      <c r="I624" s="1105"/>
      <c r="J624" s="1105"/>
      <c r="K624" s="1105"/>
      <c r="L624" s="1105"/>
      <c r="M624" s="1105"/>
      <c r="N624" s="1105"/>
      <c r="O624" s="1106"/>
      <c r="P624" s="100"/>
      <c r="Q624" s="100"/>
      <c r="R624" s="100"/>
      <c r="S624" s="100"/>
      <c r="T624" s="100"/>
      <c r="U624" s="100"/>
      <c r="V624" s="100"/>
      <c r="W624" s="100"/>
      <c r="X624" s="100"/>
      <c r="Y624" s="100"/>
      <c r="Z624" s="100"/>
      <c r="AA624" s="100"/>
      <c r="AB624" s="100"/>
      <c r="AC624" s="100"/>
      <c r="AD624" s="100"/>
      <c r="AF624">
        <f>IF(P624="NA",IF(AND(COUNTIF(P625:P631,"="&amp;$AF$212)=0,COUNTIF(P625:P631,"&lt;&gt;NA")&gt;0),1,0),IF(AND(COUNTIF(P625:P631,"="&amp;$AF$212)=0,COUNTIF(P625:P631,"NA")=COUNTIF(P625:P631,"&lt;&gt;"&amp;$AF$212)),1,0))</f>
        <v>0</v>
      </c>
      <c r="AG624">
        <f t="shared" si="273"/>
        <v>0</v>
      </c>
      <c r="AH624">
        <f t="shared" si="274"/>
        <v>0</v>
      </c>
      <c r="AK624">
        <f t="shared" si="258"/>
        <v>0</v>
      </c>
      <c r="AL624">
        <f t="shared" si="259"/>
        <v>0</v>
      </c>
      <c r="AM624">
        <f t="shared" si="260"/>
        <v>0</v>
      </c>
      <c r="AN624">
        <f t="shared" si="261"/>
        <v>0</v>
      </c>
      <c r="AO624">
        <f t="shared" si="262"/>
        <v>0</v>
      </c>
      <c r="AP624">
        <f t="shared" si="263"/>
        <v>0</v>
      </c>
      <c r="AQ624">
        <f t="shared" si="264"/>
        <v>0</v>
      </c>
      <c r="AR624">
        <f t="shared" si="265"/>
        <v>0</v>
      </c>
      <c r="AS624">
        <f t="shared" si="266"/>
        <v>0</v>
      </c>
      <c r="AT624">
        <f t="shared" si="267"/>
        <v>0</v>
      </c>
      <c r="AU624">
        <f t="shared" si="268"/>
        <v>0</v>
      </c>
      <c r="AV624">
        <f t="shared" si="269"/>
        <v>0</v>
      </c>
      <c r="AW624">
        <f t="shared" si="270"/>
        <v>0</v>
      </c>
      <c r="AX624">
        <f t="shared" si="271"/>
        <v>0</v>
      </c>
      <c r="AY624">
        <f t="shared" si="272"/>
        <v>0</v>
      </c>
      <c r="CS624"/>
      <c r="CT624"/>
      <c r="CU624"/>
      <c r="CV624"/>
      <c r="CW624"/>
      <c r="CX624"/>
      <c r="CY624"/>
      <c r="CZ624"/>
      <c r="DA624"/>
    </row>
    <row r="625" spans="1:105" ht="15" customHeight="1">
      <c r="A625" s="108"/>
      <c r="B625" s="38"/>
      <c r="C625" s="1109"/>
      <c r="D625" s="954"/>
      <c r="E625" s="956"/>
      <c r="F625" s="1110" t="s">
        <v>4931</v>
      </c>
      <c r="G625" s="1110"/>
      <c r="H625" s="178"/>
      <c r="I625" s="1111" t="s">
        <v>4932</v>
      </c>
      <c r="J625" s="1111"/>
      <c r="K625" s="1111"/>
      <c r="L625" s="1111"/>
      <c r="M625" s="1111"/>
      <c r="N625" s="1111"/>
      <c r="O625" s="1112"/>
      <c r="P625" s="100"/>
      <c r="Q625" s="100"/>
      <c r="R625" s="100"/>
      <c r="S625" s="100"/>
      <c r="T625" s="100"/>
      <c r="U625" s="100"/>
      <c r="V625" s="100"/>
      <c r="W625" s="100"/>
      <c r="X625" s="100"/>
      <c r="Y625" s="100"/>
      <c r="Z625" s="100"/>
      <c r="AA625" s="100"/>
      <c r="AB625" s="100"/>
      <c r="AC625" s="100"/>
      <c r="AD625" s="100"/>
      <c r="AF625"/>
      <c r="AG625">
        <f t="shared" si="273"/>
        <v>0</v>
      </c>
      <c r="AH625">
        <f t="shared" si="274"/>
        <v>0</v>
      </c>
      <c r="AK625">
        <f t="shared" si="258"/>
        <v>0</v>
      </c>
      <c r="AL625">
        <f t="shared" si="259"/>
        <v>0</v>
      </c>
      <c r="AM625">
        <f t="shared" si="260"/>
        <v>0</v>
      </c>
      <c r="AN625">
        <f t="shared" si="261"/>
        <v>0</v>
      </c>
      <c r="AO625">
        <f t="shared" si="262"/>
        <v>0</v>
      </c>
      <c r="AP625">
        <f t="shared" si="263"/>
        <v>0</v>
      </c>
      <c r="AQ625">
        <f t="shared" si="264"/>
        <v>0</v>
      </c>
      <c r="AR625">
        <f t="shared" si="265"/>
        <v>0</v>
      </c>
      <c r="AS625">
        <f t="shared" si="266"/>
        <v>0</v>
      </c>
      <c r="AT625">
        <f t="shared" si="267"/>
        <v>0</v>
      </c>
      <c r="AU625">
        <f t="shared" si="268"/>
        <v>0</v>
      </c>
      <c r="AV625">
        <f t="shared" si="269"/>
        <v>0</v>
      </c>
      <c r="AW625">
        <f t="shared" si="270"/>
        <v>0</v>
      </c>
      <c r="AX625">
        <f t="shared" si="271"/>
        <v>0</v>
      </c>
      <c r="AY625">
        <f t="shared" si="272"/>
        <v>0</v>
      </c>
      <c r="CS625"/>
      <c r="CT625"/>
      <c r="CU625"/>
      <c r="CV625"/>
      <c r="CW625"/>
      <c r="CX625"/>
      <c r="CY625"/>
      <c r="CZ625"/>
      <c r="DA625"/>
    </row>
    <row r="626" spans="1:105" ht="24" customHeight="1">
      <c r="A626" s="108"/>
      <c r="B626" s="38"/>
      <c r="C626" s="1109"/>
      <c r="D626" s="954"/>
      <c r="E626" s="956"/>
      <c r="F626" s="1110" t="s">
        <v>4933</v>
      </c>
      <c r="G626" s="1110"/>
      <c r="H626" s="178"/>
      <c r="I626" s="1111" t="s">
        <v>4934</v>
      </c>
      <c r="J626" s="1111"/>
      <c r="K626" s="1111"/>
      <c r="L626" s="1111"/>
      <c r="M626" s="1111"/>
      <c r="N626" s="1111"/>
      <c r="O626" s="1112"/>
      <c r="P626" s="100"/>
      <c r="Q626" s="100"/>
      <c r="R626" s="100"/>
      <c r="S626" s="100"/>
      <c r="T626" s="100"/>
      <c r="U626" s="100"/>
      <c r="V626" s="100"/>
      <c r="W626" s="100"/>
      <c r="X626" s="100"/>
      <c r="Y626" s="100"/>
      <c r="Z626" s="100"/>
      <c r="AA626" s="100"/>
      <c r="AB626" s="100"/>
      <c r="AC626" s="100"/>
      <c r="AD626" s="100"/>
      <c r="AF626"/>
      <c r="AG626">
        <f t="shared" si="273"/>
        <v>0</v>
      </c>
      <c r="AH626">
        <f t="shared" si="274"/>
        <v>0</v>
      </c>
      <c r="AK626">
        <f t="shared" si="258"/>
        <v>0</v>
      </c>
      <c r="AL626">
        <f t="shared" si="259"/>
        <v>0</v>
      </c>
      <c r="AM626">
        <f t="shared" si="260"/>
        <v>0</v>
      </c>
      <c r="AN626">
        <f t="shared" si="261"/>
        <v>0</v>
      </c>
      <c r="AO626">
        <f t="shared" si="262"/>
        <v>0</v>
      </c>
      <c r="AP626">
        <f t="shared" si="263"/>
        <v>0</v>
      </c>
      <c r="AQ626">
        <f t="shared" si="264"/>
        <v>0</v>
      </c>
      <c r="AR626">
        <f t="shared" si="265"/>
        <v>0</v>
      </c>
      <c r="AS626">
        <f t="shared" si="266"/>
        <v>0</v>
      </c>
      <c r="AT626">
        <f t="shared" si="267"/>
        <v>0</v>
      </c>
      <c r="AU626">
        <f t="shared" si="268"/>
        <v>0</v>
      </c>
      <c r="AV626">
        <f t="shared" si="269"/>
        <v>0</v>
      </c>
      <c r="AW626">
        <f t="shared" si="270"/>
        <v>0</v>
      </c>
      <c r="AX626">
        <f t="shared" si="271"/>
        <v>0</v>
      </c>
      <c r="AY626">
        <f t="shared" si="272"/>
        <v>0</v>
      </c>
      <c r="CS626"/>
      <c r="CT626"/>
      <c r="CU626"/>
      <c r="CV626"/>
      <c r="CW626"/>
      <c r="CX626"/>
      <c r="CY626"/>
      <c r="CZ626"/>
      <c r="DA626"/>
    </row>
    <row r="627" spans="1:105" ht="15" customHeight="1">
      <c r="A627" s="108"/>
      <c r="B627" s="38"/>
      <c r="C627" s="1109"/>
      <c r="D627" s="954"/>
      <c r="E627" s="956"/>
      <c r="F627" s="1110" t="s">
        <v>4935</v>
      </c>
      <c r="G627" s="1110"/>
      <c r="H627" s="178"/>
      <c r="I627" s="1111" t="s">
        <v>4936</v>
      </c>
      <c r="J627" s="1111"/>
      <c r="K627" s="1111"/>
      <c r="L627" s="1111"/>
      <c r="M627" s="1111"/>
      <c r="N627" s="1111"/>
      <c r="O627" s="1112"/>
      <c r="P627" s="100"/>
      <c r="Q627" s="100"/>
      <c r="R627" s="100"/>
      <c r="S627" s="100"/>
      <c r="T627" s="100"/>
      <c r="U627" s="100"/>
      <c r="V627" s="100"/>
      <c r="W627" s="100"/>
      <c r="X627" s="100"/>
      <c r="Y627" s="100"/>
      <c r="Z627" s="100"/>
      <c r="AA627" s="100"/>
      <c r="AB627" s="100"/>
      <c r="AC627" s="100"/>
      <c r="AD627" s="100"/>
      <c r="AF627"/>
      <c r="AG627">
        <f t="shared" si="273"/>
        <v>0</v>
      </c>
      <c r="AH627">
        <f t="shared" si="274"/>
        <v>0</v>
      </c>
      <c r="AK627">
        <f t="shared" si="258"/>
        <v>0</v>
      </c>
      <c r="AL627">
        <f t="shared" si="259"/>
        <v>0</v>
      </c>
      <c r="AM627">
        <f t="shared" si="260"/>
        <v>0</v>
      </c>
      <c r="AN627">
        <f t="shared" si="261"/>
        <v>0</v>
      </c>
      <c r="AO627">
        <f t="shared" si="262"/>
        <v>0</v>
      </c>
      <c r="AP627">
        <f t="shared" si="263"/>
        <v>0</v>
      </c>
      <c r="AQ627">
        <f t="shared" si="264"/>
        <v>0</v>
      </c>
      <c r="AR627">
        <f t="shared" si="265"/>
        <v>0</v>
      </c>
      <c r="AS627">
        <f t="shared" si="266"/>
        <v>0</v>
      </c>
      <c r="AT627">
        <f t="shared" si="267"/>
        <v>0</v>
      </c>
      <c r="AU627">
        <f t="shared" si="268"/>
        <v>0</v>
      </c>
      <c r="AV627">
        <f t="shared" si="269"/>
        <v>0</v>
      </c>
      <c r="AW627">
        <f t="shared" si="270"/>
        <v>0</v>
      </c>
      <c r="AX627">
        <f t="shared" si="271"/>
        <v>0</v>
      </c>
      <c r="AY627">
        <f t="shared" si="272"/>
        <v>0</v>
      </c>
      <c r="CS627"/>
      <c r="CT627"/>
      <c r="CU627"/>
      <c r="CV627"/>
      <c r="CW627"/>
      <c r="CX627"/>
      <c r="CY627"/>
      <c r="CZ627"/>
      <c r="DA627"/>
    </row>
    <row r="628" spans="1:105" ht="15" customHeight="1">
      <c r="A628" s="108"/>
      <c r="B628" s="38"/>
      <c r="C628" s="1109"/>
      <c r="D628" s="954"/>
      <c r="E628" s="956"/>
      <c r="F628" s="1110" t="s">
        <v>4937</v>
      </c>
      <c r="G628" s="1110"/>
      <c r="H628" s="178"/>
      <c r="I628" s="1111" t="s">
        <v>4938</v>
      </c>
      <c r="J628" s="1111"/>
      <c r="K628" s="1111"/>
      <c r="L628" s="1111"/>
      <c r="M628" s="1111"/>
      <c r="N628" s="1111"/>
      <c r="O628" s="1112"/>
      <c r="P628" s="100"/>
      <c r="Q628" s="100"/>
      <c r="R628" s="100"/>
      <c r="S628" s="100"/>
      <c r="T628" s="100"/>
      <c r="U628" s="100"/>
      <c r="V628" s="100"/>
      <c r="W628" s="100"/>
      <c r="X628" s="100"/>
      <c r="Y628" s="100"/>
      <c r="Z628" s="100"/>
      <c r="AA628" s="100"/>
      <c r="AB628" s="100"/>
      <c r="AC628" s="100"/>
      <c r="AD628" s="100"/>
      <c r="AF628"/>
      <c r="AG628">
        <f t="shared" si="273"/>
        <v>0</v>
      </c>
      <c r="AH628">
        <f t="shared" si="274"/>
        <v>0</v>
      </c>
      <c r="AK628">
        <f t="shared" si="258"/>
        <v>0</v>
      </c>
      <c r="AL628">
        <f t="shared" si="259"/>
        <v>0</v>
      </c>
      <c r="AM628">
        <f t="shared" si="260"/>
        <v>0</v>
      </c>
      <c r="AN628">
        <f t="shared" si="261"/>
        <v>0</v>
      </c>
      <c r="AO628">
        <f t="shared" si="262"/>
        <v>0</v>
      </c>
      <c r="AP628">
        <f t="shared" si="263"/>
        <v>0</v>
      </c>
      <c r="AQ628">
        <f t="shared" si="264"/>
        <v>0</v>
      </c>
      <c r="AR628">
        <f t="shared" si="265"/>
        <v>0</v>
      </c>
      <c r="AS628">
        <f t="shared" si="266"/>
        <v>0</v>
      </c>
      <c r="AT628">
        <f t="shared" si="267"/>
        <v>0</v>
      </c>
      <c r="AU628">
        <f t="shared" si="268"/>
        <v>0</v>
      </c>
      <c r="AV628">
        <f t="shared" si="269"/>
        <v>0</v>
      </c>
      <c r="AW628">
        <f t="shared" si="270"/>
        <v>0</v>
      </c>
      <c r="AX628">
        <f t="shared" si="271"/>
        <v>0</v>
      </c>
      <c r="AY628">
        <f t="shared" si="272"/>
        <v>0</v>
      </c>
      <c r="CS628"/>
      <c r="CT628"/>
      <c r="CU628"/>
      <c r="CV628"/>
      <c r="CW628"/>
      <c r="CX628"/>
      <c r="CY628"/>
      <c r="CZ628"/>
      <c r="DA628"/>
    </row>
    <row r="629" spans="1:105" ht="15" customHeight="1">
      <c r="A629" s="108"/>
      <c r="B629" s="38"/>
      <c r="C629" s="1109"/>
      <c r="D629" s="954"/>
      <c r="E629" s="956"/>
      <c r="F629" s="1110" t="s">
        <v>4939</v>
      </c>
      <c r="G629" s="1110"/>
      <c r="H629" s="178"/>
      <c r="I629" s="1111" t="s">
        <v>4940</v>
      </c>
      <c r="J629" s="1111"/>
      <c r="K629" s="1111"/>
      <c r="L629" s="1111"/>
      <c r="M629" s="1111"/>
      <c r="N629" s="1111"/>
      <c r="O629" s="1112"/>
      <c r="P629" s="100"/>
      <c r="Q629" s="100"/>
      <c r="R629" s="100"/>
      <c r="S629" s="100"/>
      <c r="T629" s="100"/>
      <c r="U629" s="100"/>
      <c r="V629" s="100"/>
      <c r="W629" s="100"/>
      <c r="X629" s="100"/>
      <c r="Y629" s="100"/>
      <c r="Z629" s="100"/>
      <c r="AA629" s="100"/>
      <c r="AB629" s="100"/>
      <c r="AC629" s="100"/>
      <c r="AD629" s="100"/>
      <c r="AF629"/>
      <c r="AG629">
        <f t="shared" si="273"/>
        <v>0</v>
      </c>
      <c r="AH629">
        <f t="shared" si="274"/>
        <v>0</v>
      </c>
      <c r="AK629">
        <f t="shared" si="258"/>
        <v>0</v>
      </c>
      <c r="AL629">
        <f t="shared" si="259"/>
        <v>0</v>
      </c>
      <c r="AM629">
        <f t="shared" si="260"/>
        <v>0</v>
      </c>
      <c r="AN629">
        <f t="shared" si="261"/>
        <v>0</v>
      </c>
      <c r="AO629">
        <f t="shared" si="262"/>
        <v>0</v>
      </c>
      <c r="AP629">
        <f t="shared" si="263"/>
        <v>0</v>
      </c>
      <c r="AQ629">
        <f t="shared" si="264"/>
        <v>0</v>
      </c>
      <c r="AR629">
        <f t="shared" si="265"/>
        <v>0</v>
      </c>
      <c r="AS629">
        <f t="shared" si="266"/>
        <v>0</v>
      </c>
      <c r="AT629">
        <f t="shared" si="267"/>
        <v>0</v>
      </c>
      <c r="AU629">
        <f t="shared" si="268"/>
        <v>0</v>
      </c>
      <c r="AV629">
        <f t="shared" si="269"/>
        <v>0</v>
      </c>
      <c r="AW629">
        <f t="shared" si="270"/>
        <v>0</v>
      </c>
      <c r="AX629">
        <f t="shared" si="271"/>
        <v>0</v>
      </c>
      <c r="AY629">
        <f t="shared" si="272"/>
        <v>0</v>
      </c>
      <c r="CS629"/>
      <c r="CT629"/>
      <c r="CU629"/>
      <c r="CV629"/>
      <c r="CW629"/>
      <c r="CX629"/>
      <c r="CY629"/>
      <c r="CZ629"/>
      <c r="DA629"/>
    </row>
    <row r="630" spans="1:105" ht="24" customHeight="1">
      <c r="A630" s="108"/>
      <c r="B630" s="38"/>
      <c r="C630" s="1109"/>
      <c r="D630" s="954"/>
      <c r="E630" s="956"/>
      <c r="F630" s="1110" t="s">
        <v>4941</v>
      </c>
      <c r="G630" s="1110"/>
      <c r="H630" s="178"/>
      <c r="I630" s="1111" t="s">
        <v>4942</v>
      </c>
      <c r="J630" s="1111"/>
      <c r="K630" s="1111"/>
      <c r="L630" s="1111"/>
      <c r="M630" s="1111"/>
      <c r="N630" s="1111"/>
      <c r="O630" s="1112"/>
      <c r="P630" s="100"/>
      <c r="Q630" s="100"/>
      <c r="R630" s="100"/>
      <c r="S630" s="100"/>
      <c r="T630" s="100"/>
      <c r="U630" s="100"/>
      <c r="V630" s="100"/>
      <c r="W630" s="100"/>
      <c r="X630" s="100"/>
      <c r="Y630" s="100"/>
      <c r="Z630" s="100"/>
      <c r="AA630" s="100"/>
      <c r="AB630" s="100"/>
      <c r="AC630" s="100"/>
      <c r="AD630" s="100"/>
      <c r="AF630"/>
      <c r="AG630">
        <f t="shared" si="273"/>
        <v>0</v>
      </c>
      <c r="AH630">
        <f t="shared" si="274"/>
        <v>0</v>
      </c>
      <c r="AK630">
        <f t="shared" si="258"/>
        <v>0</v>
      </c>
      <c r="AL630">
        <f t="shared" si="259"/>
        <v>0</v>
      </c>
      <c r="AM630">
        <f t="shared" si="260"/>
        <v>0</v>
      </c>
      <c r="AN630">
        <f t="shared" si="261"/>
        <v>0</v>
      </c>
      <c r="AO630">
        <f t="shared" si="262"/>
        <v>0</v>
      </c>
      <c r="AP630">
        <f t="shared" si="263"/>
        <v>0</v>
      </c>
      <c r="AQ630">
        <f t="shared" si="264"/>
        <v>0</v>
      </c>
      <c r="AR630">
        <f t="shared" si="265"/>
        <v>0</v>
      </c>
      <c r="AS630">
        <f t="shared" si="266"/>
        <v>0</v>
      </c>
      <c r="AT630">
        <f t="shared" si="267"/>
        <v>0</v>
      </c>
      <c r="AU630">
        <f t="shared" si="268"/>
        <v>0</v>
      </c>
      <c r="AV630">
        <f t="shared" si="269"/>
        <v>0</v>
      </c>
      <c r="AW630">
        <f t="shared" si="270"/>
        <v>0</v>
      </c>
      <c r="AX630">
        <f t="shared" si="271"/>
        <v>0</v>
      </c>
      <c r="AY630">
        <f t="shared" si="272"/>
        <v>0</v>
      </c>
      <c r="CS630"/>
      <c r="CT630"/>
      <c r="CU630"/>
      <c r="CV630"/>
      <c r="CW630"/>
      <c r="CX630"/>
      <c r="CY630"/>
      <c r="CZ630"/>
      <c r="DA630"/>
    </row>
    <row r="631" spans="1:105" ht="15" customHeight="1">
      <c r="A631" s="108"/>
      <c r="B631" s="38"/>
      <c r="C631" s="1109"/>
      <c r="D631" s="954"/>
      <c r="E631" s="956"/>
      <c r="F631" s="1110" t="s">
        <v>4943</v>
      </c>
      <c r="G631" s="1110"/>
      <c r="H631" s="178"/>
      <c r="I631" s="1111" t="s">
        <v>2631</v>
      </c>
      <c r="J631" s="1111"/>
      <c r="K631" s="1111"/>
      <c r="L631" s="1111"/>
      <c r="M631" s="1111"/>
      <c r="N631" s="1111"/>
      <c r="O631" s="1112"/>
      <c r="P631" s="100"/>
      <c r="Q631" s="100"/>
      <c r="R631" s="100"/>
      <c r="S631" s="100"/>
      <c r="T631" s="100"/>
      <c r="U631" s="100"/>
      <c r="V631" s="100"/>
      <c r="W631" s="100"/>
      <c r="X631" s="100"/>
      <c r="Y631" s="100"/>
      <c r="Z631" s="100"/>
      <c r="AA631" s="100"/>
      <c r="AB631" s="100"/>
      <c r="AC631" s="100"/>
      <c r="AD631" s="100"/>
      <c r="AF631"/>
      <c r="AG631">
        <f t="shared" si="273"/>
        <v>0</v>
      </c>
      <c r="AH631">
        <f t="shared" si="274"/>
        <v>0</v>
      </c>
      <c r="AK631">
        <f t="shared" si="258"/>
        <v>0</v>
      </c>
      <c r="AL631">
        <f t="shared" si="259"/>
        <v>0</v>
      </c>
      <c r="AM631">
        <f t="shared" si="260"/>
        <v>0</v>
      </c>
      <c r="AN631">
        <f t="shared" si="261"/>
        <v>0</v>
      </c>
      <c r="AO631">
        <f t="shared" si="262"/>
        <v>0</v>
      </c>
      <c r="AP631">
        <f t="shared" si="263"/>
        <v>0</v>
      </c>
      <c r="AQ631">
        <f t="shared" si="264"/>
        <v>0</v>
      </c>
      <c r="AR631">
        <f t="shared" si="265"/>
        <v>0</v>
      </c>
      <c r="AS631">
        <f t="shared" si="266"/>
        <v>0</v>
      </c>
      <c r="AT631">
        <f t="shared" si="267"/>
        <v>0</v>
      </c>
      <c r="AU631">
        <f t="shared" si="268"/>
        <v>0</v>
      </c>
      <c r="AV631">
        <f t="shared" si="269"/>
        <v>0</v>
      </c>
      <c r="AW631">
        <f t="shared" si="270"/>
        <v>0</v>
      </c>
      <c r="AX631">
        <f t="shared" si="271"/>
        <v>0</v>
      </c>
      <c r="AY631">
        <f t="shared" si="272"/>
        <v>0</v>
      </c>
      <c r="CS631"/>
      <c r="CT631"/>
      <c r="CU631"/>
      <c r="CV631"/>
      <c r="CW631"/>
      <c r="CX631"/>
      <c r="CY631"/>
      <c r="CZ631"/>
      <c r="DA631"/>
    </row>
    <row r="632" spans="1:105" ht="15" customHeight="1">
      <c r="A632" s="108"/>
      <c r="B632" s="38"/>
      <c r="C632" s="1109"/>
      <c r="D632" s="954"/>
      <c r="E632" s="956"/>
      <c r="F632" s="1117" t="s">
        <v>4944</v>
      </c>
      <c r="G632" s="1118"/>
      <c r="H632" s="1104" t="s">
        <v>4945</v>
      </c>
      <c r="I632" s="1105"/>
      <c r="J632" s="1105"/>
      <c r="K632" s="1105"/>
      <c r="L632" s="1105"/>
      <c r="M632" s="1105"/>
      <c r="N632" s="1105"/>
      <c r="O632" s="1106"/>
      <c r="P632" s="100"/>
      <c r="Q632" s="100"/>
      <c r="R632" s="100"/>
      <c r="S632" s="100"/>
      <c r="T632" s="100"/>
      <c r="U632" s="100"/>
      <c r="V632" s="100"/>
      <c r="W632" s="100"/>
      <c r="X632" s="100"/>
      <c r="Y632" s="100"/>
      <c r="Z632" s="100"/>
      <c r="AA632" s="100"/>
      <c r="AB632" s="100"/>
      <c r="AC632" s="100"/>
      <c r="AD632" s="100"/>
      <c r="AF632">
        <f>IF(P632="NA",IF(AND(COUNTIF(P633:P637,"="&amp;$AF$212)=0,COUNTIF(P633:P637,"&lt;&gt;NA")&gt;0),1,0),IF(AND(COUNTIF(P633:P637,"="&amp;$AF$212)=0,COUNTIF(P633:P637,"NA")=COUNTIF(P633:P637,"&lt;&gt;"&amp;$AF$212)),1,0))</f>
        <v>0</v>
      </c>
      <c r="AG632">
        <f t="shared" si="273"/>
        <v>0</v>
      </c>
      <c r="AH632">
        <f t="shared" si="274"/>
        <v>0</v>
      </c>
      <c r="AK632">
        <f t="shared" si="258"/>
        <v>0</v>
      </c>
      <c r="AL632">
        <f t="shared" si="259"/>
        <v>0</v>
      </c>
      <c r="AM632">
        <f t="shared" si="260"/>
        <v>0</v>
      </c>
      <c r="AN632">
        <f t="shared" si="261"/>
        <v>0</v>
      </c>
      <c r="AO632">
        <f t="shared" si="262"/>
        <v>0</v>
      </c>
      <c r="AP632">
        <f t="shared" si="263"/>
        <v>0</v>
      </c>
      <c r="AQ632">
        <f t="shared" si="264"/>
        <v>0</v>
      </c>
      <c r="AR632">
        <f t="shared" si="265"/>
        <v>0</v>
      </c>
      <c r="AS632">
        <f t="shared" si="266"/>
        <v>0</v>
      </c>
      <c r="AT632">
        <f t="shared" si="267"/>
        <v>0</v>
      </c>
      <c r="AU632">
        <f t="shared" si="268"/>
        <v>0</v>
      </c>
      <c r="AV632">
        <f t="shared" si="269"/>
        <v>0</v>
      </c>
      <c r="AW632">
        <f t="shared" si="270"/>
        <v>0</v>
      </c>
      <c r="AX632">
        <f t="shared" si="271"/>
        <v>0</v>
      </c>
      <c r="AY632">
        <f t="shared" si="272"/>
        <v>0</v>
      </c>
      <c r="CS632"/>
      <c r="CT632"/>
      <c r="CU632"/>
      <c r="CV632"/>
      <c r="CW632"/>
      <c r="CX632"/>
      <c r="CY632"/>
      <c r="CZ632"/>
      <c r="DA632"/>
    </row>
    <row r="633" spans="1:105" ht="24" customHeight="1">
      <c r="A633" s="108"/>
      <c r="B633" s="38"/>
      <c r="C633" s="1109"/>
      <c r="D633" s="954"/>
      <c r="E633" s="956"/>
      <c r="F633" s="1119" t="s">
        <v>4946</v>
      </c>
      <c r="G633" s="1120"/>
      <c r="H633" s="178"/>
      <c r="I633" s="1111" t="s">
        <v>4947</v>
      </c>
      <c r="J633" s="1111"/>
      <c r="K633" s="1111"/>
      <c r="L633" s="1111"/>
      <c r="M633" s="1111"/>
      <c r="N633" s="1111"/>
      <c r="O633" s="1112"/>
      <c r="P633" s="100"/>
      <c r="Q633" s="100"/>
      <c r="R633" s="100"/>
      <c r="S633" s="100"/>
      <c r="T633" s="100"/>
      <c r="U633" s="100"/>
      <c r="V633" s="100"/>
      <c r="W633" s="100"/>
      <c r="X633" s="100"/>
      <c r="Y633" s="100"/>
      <c r="Z633" s="100"/>
      <c r="AA633" s="100"/>
      <c r="AB633" s="100"/>
      <c r="AC633" s="100"/>
      <c r="AD633" s="100"/>
      <c r="AF633"/>
      <c r="AG633">
        <f t="shared" si="273"/>
        <v>0</v>
      </c>
      <c r="AH633">
        <f t="shared" si="274"/>
        <v>0</v>
      </c>
      <c r="AK633">
        <f t="shared" si="258"/>
        <v>0</v>
      </c>
      <c r="AL633">
        <f t="shared" si="259"/>
        <v>0</v>
      </c>
      <c r="AM633">
        <f t="shared" si="260"/>
        <v>0</v>
      </c>
      <c r="AN633">
        <f t="shared" si="261"/>
        <v>0</v>
      </c>
      <c r="AO633">
        <f t="shared" si="262"/>
        <v>0</v>
      </c>
      <c r="AP633">
        <f t="shared" si="263"/>
        <v>0</v>
      </c>
      <c r="AQ633">
        <f t="shared" si="264"/>
        <v>0</v>
      </c>
      <c r="AR633">
        <f t="shared" si="265"/>
        <v>0</v>
      </c>
      <c r="AS633">
        <f t="shared" si="266"/>
        <v>0</v>
      </c>
      <c r="AT633">
        <f t="shared" si="267"/>
        <v>0</v>
      </c>
      <c r="AU633">
        <f t="shared" si="268"/>
        <v>0</v>
      </c>
      <c r="AV633">
        <f t="shared" si="269"/>
        <v>0</v>
      </c>
      <c r="AW633">
        <f t="shared" si="270"/>
        <v>0</v>
      </c>
      <c r="AX633">
        <f t="shared" si="271"/>
        <v>0</v>
      </c>
      <c r="AY633">
        <f t="shared" si="272"/>
        <v>0</v>
      </c>
      <c r="CS633"/>
      <c r="CT633"/>
      <c r="CU633"/>
      <c r="CV633"/>
      <c r="CW633"/>
      <c r="CX633"/>
      <c r="CY633"/>
      <c r="CZ633"/>
      <c r="DA633"/>
    </row>
    <row r="634" spans="1:105" ht="24" customHeight="1">
      <c r="A634" s="108"/>
      <c r="B634" s="38"/>
      <c r="C634" s="1109"/>
      <c r="D634" s="954"/>
      <c r="E634" s="956"/>
      <c r="F634" s="1119" t="s">
        <v>4948</v>
      </c>
      <c r="G634" s="1120"/>
      <c r="H634" s="178"/>
      <c r="I634" s="1111" t="s">
        <v>4949</v>
      </c>
      <c r="J634" s="1111"/>
      <c r="K634" s="1111"/>
      <c r="L634" s="1111"/>
      <c r="M634" s="1111"/>
      <c r="N634" s="1111"/>
      <c r="O634" s="1112"/>
      <c r="P634" s="100"/>
      <c r="Q634" s="100"/>
      <c r="R634" s="100"/>
      <c r="S634" s="100"/>
      <c r="T634" s="100"/>
      <c r="U634" s="100"/>
      <c r="V634" s="100"/>
      <c r="W634" s="100"/>
      <c r="X634" s="100"/>
      <c r="Y634" s="100"/>
      <c r="Z634" s="100"/>
      <c r="AA634" s="100"/>
      <c r="AB634" s="100"/>
      <c r="AC634" s="100"/>
      <c r="AD634" s="100"/>
      <c r="AF634"/>
      <c r="AG634">
        <f t="shared" si="273"/>
        <v>0</v>
      </c>
      <c r="AH634">
        <f t="shared" si="274"/>
        <v>0</v>
      </c>
      <c r="AK634">
        <f t="shared" si="258"/>
        <v>0</v>
      </c>
      <c r="AL634">
        <f t="shared" si="259"/>
        <v>0</v>
      </c>
      <c r="AM634">
        <f t="shared" si="260"/>
        <v>0</v>
      </c>
      <c r="AN634">
        <f t="shared" si="261"/>
        <v>0</v>
      </c>
      <c r="AO634">
        <f t="shared" si="262"/>
        <v>0</v>
      </c>
      <c r="AP634">
        <f t="shared" si="263"/>
        <v>0</v>
      </c>
      <c r="AQ634">
        <f t="shared" si="264"/>
        <v>0</v>
      </c>
      <c r="AR634">
        <f t="shared" si="265"/>
        <v>0</v>
      </c>
      <c r="AS634">
        <f t="shared" si="266"/>
        <v>0</v>
      </c>
      <c r="AT634">
        <f t="shared" si="267"/>
        <v>0</v>
      </c>
      <c r="AU634">
        <f t="shared" si="268"/>
        <v>0</v>
      </c>
      <c r="AV634">
        <f t="shared" si="269"/>
        <v>0</v>
      </c>
      <c r="AW634">
        <f t="shared" si="270"/>
        <v>0</v>
      </c>
      <c r="AX634">
        <f t="shared" si="271"/>
        <v>0</v>
      </c>
      <c r="AY634">
        <f t="shared" si="272"/>
        <v>0</v>
      </c>
      <c r="CS634"/>
      <c r="CT634"/>
      <c r="CU634"/>
      <c r="CV634"/>
      <c r="CW634"/>
      <c r="CX634"/>
      <c r="CY634"/>
      <c r="CZ634"/>
      <c r="DA634"/>
    </row>
    <row r="635" spans="1:105" ht="24" customHeight="1">
      <c r="A635" s="108"/>
      <c r="B635" s="38"/>
      <c r="C635" s="1109"/>
      <c r="D635" s="954"/>
      <c r="E635" s="956"/>
      <c r="F635" s="1119" t="s">
        <v>4950</v>
      </c>
      <c r="G635" s="1120"/>
      <c r="H635" s="178"/>
      <c r="I635" s="1111" t="s">
        <v>4951</v>
      </c>
      <c r="J635" s="1111"/>
      <c r="K635" s="1111"/>
      <c r="L635" s="1111"/>
      <c r="M635" s="1111"/>
      <c r="N635" s="1111"/>
      <c r="O635" s="1112"/>
      <c r="P635" s="100"/>
      <c r="Q635" s="100"/>
      <c r="R635" s="100"/>
      <c r="S635" s="100"/>
      <c r="T635" s="100"/>
      <c r="U635" s="100"/>
      <c r="V635" s="100"/>
      <c r="W635" s="100"/>
      <c r="X635" s="100"/>
      <c r="Y635" s="100"/>
      <c r="Z635" s="100"/>
      <c r="AA635" s="100"/>
      <c r="AB635" s="100"/>
      <c r="AC635" s="100"/>
      <c r="AD635" s="100"/>
      <c r="AF635"/>
      <c r="AG635">
        <f t="shared" si="273"/>
        <v>0</v>
      </c>
      <c r="AH635">
        <f t="shared" si="274"/>
        <v>0</v>
      </c>
      <c r="AK635">
        <f t="shared" si="258"/>
        <v>0</v>
      </c>
      <c r="AL635">
        <f t="shared" si="259"/>
        <v>0</v>
      </c>
      <c r="AM635">
        <f t="shared" si="260"/>
        <v>0</v>
      </c>
      <c r="AN635">
        <f t="shared" si="261"/>
        <v>0</v>
      </c>
      <c r="AO635">
        <f t="shared" si="262"/>
        <v>0</v>
      </c>
      <c r="AP635">
        <f t="shared" si="263"/>
        <v>0</v>
      </c>
      <c r="AQ635">
        <f t="shared" si="264"/>
        <v>0</v>
      </c>
      <c r="AR635">
        <f t="shared" si="265"/>
        <v>0</v>
      </c>
      <c r="AS635">
        <f t="shared" si="266"/>
        <v>0</v>
      </c>
      <c r="AT635">
        <f t="shared" si="267"/>
        <v>0</v>
      </c>
      <c r="AU635">
        <f t="shared" si="268"/>
        <v>0</v>
      </c>
      <c r="AV635">
        <f t="shared" si="269"/>
        <v>0</v>
      </c>
      <c r="AW635">
        <f t="shared" si="270"/>
        <v>0</v>
      </c>
      <c r="AX635">
        <f t="shared" si="271"/>
        <v>0</v>
      </c>
      <c r="AY635">
        <f t="shared" si="272"/>
        <v>0</v>
      </c>
      <c r="CS635"/>
      <c r="CT635"/>
      <c r="CU635"/>
      <c r="CV635"/>
      <c r="CW635"/>
      <c r="CX635"/>
      <c r="CY635"/>
      <c r="CZ635"/>
      <c r="DA635"/>
    </row>
    <row r="636" spans="1:105" ht="15" customHeight="1">
      <c r="A636" s="108"/>
      <c r="B636" s="38"/>
      <c r="C636" s="1109"/>
      <c r="D636" s="954"/>
      <c r="E636" s="956"/>
      <c r="F636" s="1119" t="s">
        <v>4952</v>
      </c>
      <c r="G636" s="1120"/>
      <c r="H636" s="178"/>
      <c r="I636" s="1111" t="s">
        <v>4953</v>
      </c>
      <c r="J636" s="1111"/>
      <c r="K636" s="1111"/>
      <c r="L636" s="1111"/>
      <c r="M636" s="1111"/>
      <c r="N636" s="1111"/>
      <c r="O636" s="1112"/>
      <c r="P636" s="100"/>
      <c r="Q636" s="100"/>
      <c r="R636" s="100"/>
      <c r="S636" s="100"/>
      <c r="T636" s="100"/>
      <c r="U636" s="100"/>
      <c r="V636" s="100"/>
      <c r="W636" s="100"/>
      <c r="X636" s="100"/>
      <c r="Y636" s="100"/>
      <c r="Z636" s="100"/>
      <c r="AA636" s="100"/>
      <c r="AB636" s="100"/>
      <c r="AC636" s="100"/>
      <c r="AD636" s="100"/>
      <c r="AF636"/>
      <c r="AG636">
        <f t="shared" si="273"/>
        <v>0</v>
      </c>
      <c r="AH636">
        <f t="shared" si="274"/>
        <v>0</v>
      </c>
      <c r="AK636">
        <f t="shared" si="258"/>
        <v>0</v>
      </c>
      <c r="AL636">
        <f t="shared" si="259"/>
        <v>0</v>
      </c>
      <c r="AM636">
        <f t="shared" si="260"/>
        <v>0</v>
      </c>
      <c r="AN636">
        <f t="shared" si="261"/>
        <v>0</v>
      </c>
      <c r="AO636">
        <f t="shared" si="262"/>
        <v>0</v>
      </c>
      <c r="AP636">
        <f t="shared" si="263"/>
        <v>0</v>
      </c>
      <c r="AQ636">
        <f t="shared" si="264"/>
        <v>0</v>
      </c>
      <c r="AR636">
        <f t="shared" si="265"/>
        <v>0</v>
      </c>
      <c r="AS636">
        <f t="shared" si="266"/>
        <v>0</v>
      </c>
      <c r="AT636">
        <f t="shared" si="267"/>
        <v>0</v>
      </c>
      <c r="AU636">
        <f t="shared" si="268"/>
        <v>0</v>
      </c>
      <c r="AV636">
        <f t="shared" si="269"/>
        <v>0</v>
      </c>
      <c r="AW636">
        <f t="shared" si="270"/>
        <v>0</v>
      </c>
      <c r="AX636">
        <f t="shared" si="271"/>
        <v>0</v>
      </c>
      <c r="AY636">
        <f t="shared" si="272"/>
        <v>0</v>
      </c>
      <c r="CS636"/>
      <c r="CT636"/>
      <c r="CU636"/>
      <c r="CV636"/>
      <c r="CW636"/>
      <c r="CX636"/>
      <c r="CY636"/>
      <c r="CZ636"/>
      <c r="DA636"/>
    </row>
    <row r="637" spans="1:105" ht="15" customHeight="1">
      <c r="A637" s="108"/>
      <c r="B637" s="38"/>
      <c r="C637" s="1109"/>
      <c r="D637" s="954"/>
      <c r="E637" s="956"/>
      <c r="F637" s="1119" t="s">
        <v>4954</v>
      </c>
      <c r="G637" s="1120"/>
      <c r="H637" s="178"/>
      <c r="I637" s="1111" t="s">
        <v>2631</v>
      </c>
      <c r="J637" s="1111"/>
      <c r="K637" s="1111"/>
      <c r="L637" s="1111"/>
      <c r="M637" s="1111"/>
      <c r="N637" s="1111"/>
      <c r="O637" s="1112"/>
      <c r="P637" s="100"/>
      <c r="Q637" s="100"/>
      <c r="R637" s="100"/>
      <c r="S637" s="100"/>
      <c r="T637" s="100"/>
      <c r="U637" s="100"/>
      <c r="V637" s="100"/>
      <c r="W637" s="100"/>
      <c r="X637" s="100"/>
      <c r="Y637" s="100"/>
      <c r="Z637" s="100"/>
      <c r="AA637" s="100"/>
      <c r="AB637" s="100"/>
      <c r="AC637" s="100"/>
      <c r="AD637" s="100"/>
      <c r="AF637"/>
      <c r="AG637">
        <f t="shared" si="273"/>
        <v>0</v>
      </c>
      <c r="AH637">
        <f t="shared" si="274"/>
        <v>0</v>
      </c>
      <c r="AK637">
        <f t="shared" si="258"/>
        <v>0</v>
      </c>
      <c r="AL637">
        <f t="shared" si="259"/>
        <v>0</v>
      </c>
      <c r="AM637">
        <f t="shared" si="260"/>
        <v>0</v>
      </c>
      <c r="AN637">
        <f t="shared" si="261"/>
        <v>0</v>
      </c>
      <c r="AO637">
        <f t="shared" si="262"/>
        <v>0</v>
      </c>
      <c r="AP637">
        <f t="shared" si="263"/>
        <v>0</v>
      </c>
      <c r="AQ637">
        <f t="shared" si="264"/>
        <v>0</v>
      </c>
      <c r="AR637">
        <f t="shared" si="265"/>
        <v>0</v>
      </c>
      <c r="AS637">
        <f t="shared" si="266"/>
        <v>0</v>
      </c>
      <c r="AT637">
        <f t="shared" si="267"/>
        <v>0</v>
      </c>
      <c r="AU637">
        <f t="shared" si="268"/>
        <v>0</v>
      </c>
      <c r="AV637">
        <f t="shared" si="269"/>
        <v>0</v>
      </c>
      <c r="AW637">
        <f t="shared" si="270"/>
        <v>0</v>
      </c>
      <c r="AX637">
        <f t="shared" si="271"/>
        <v>0</v>
      </c>
      <c r="AY637">
        <f t="shared" si="272"/>
        <v>0</v>
      </c>
      <c r="CS637"/>
      <c r="CT637"/>
      <c r="CU637"/>
      <c r="CV637"/>
      <c r="CW637"/>
      <c r="CX637"/>
      <c r="CY637"/>
      <c r="CZ637"/>
      <c r="DA637"/>
    </row>
    <row r="638" spans="1:105" ht="24" customHeight="1">
      <c r="A638" s="108"/>
      <c r="B638" s="38"/>
      <c r="C638" s="1109"/>
      <c r="D638" s="954"/>
      <c r="E638" s="956"/>
      <c r="F638" s="1103" t="s">
        <v>4955</v>
      </c>
      <c r="G638" s="1103"/>
      <c r="H638" s="1104" t="s">
        <v>4956</v>
      </c>
      <c r="I638" s="1105"/>
      <c r="J638" s="1105"/>
      <c r="K638" s="1105"/>
      <c r="L638" s="1105"/>
      <c r="M638" s="1105"/>
      <c r="N638" s="1105"/>
      <c r="O638" s="1106"/>
      <c r="P638" s="100"/>
      <c r="Q638" s="100"/>
      <c r="R638" s="100"/>
      <c r="S638" s="100"/>
      <c r="T638" s="100"/>
      <c r="U638" s="100"/>
      <c r="V638" s="100"/>
      <c r="W638" s="100"/>
      <c r="X638" s="100"/>
      <c r="Y638" s="100"/>
      <c r="Z638" s="100"/>
      <c r="AA638" s="100"/>
      <c r="AB638" s="100"/>
      <c r="AC638" s="100"/>
      <c r="AD638" s="100"/>
      <c r="AF638"/>
      <c r="AG638">
        <f t="shared" si="273"/>
        <v>0</v>
      </c>
      <c r="AH638">
        <f t="shared" si="274"/>
        <v>0</v>
      </c>
      <c r="AK638">
        <f t="shared" si="258"/>
        <v>0</v>
      </c>
      <c r="AL638">
        <f t="shared" si="259"/>
        <v>0</v>
      </c>
      <c r="AM638">
        <f t="shared" si="260"/>
        <v>0</v>
      </c>
      <c r="AN638">
        <f t="shared" si="261"/>
        <v>0</v>
      </c>
      <c r="AO638">
        <f t="shared" si="262"/>
        <v>0</v>
      </c>
      <c r="AP638">
        <f t="shared" si="263"/>
        <v>0</v>
      </c>
      <c r="AQ638">
        <f t="shared" si="264"/>
        <v>0</v>
      </c>
      <c r="AR638">
        <f t="shared" si="265"/>
        <v>0</v>
      </c>
      <c r="AS638">
        <f t="shared" si="266"/>
        <v>0</v>
      </c>
      <c r="AT638">
        <f t="shared" si="267"/>
        <v>0</v>
      </c>
      <c r="AU638">
        <f t="shared" si="268"/>
        <v>0</v>
      </c>
      <c r="AV638">
        <f t="shared" si="269"/>
        <v>0</v>
      </c>
      <c r="AW638">
        <f t="shared" si="270"/>
        <v>0</v>
      </c>
      <c r="AX638">
        <f t="shared" si="271"/>
        <v>0</v>
      </c>
      <c r="AY638">
        <f t="shared" si="272"/>
        <v>0</v>
      </c>
      <c r="CS638"/>
      <c r="CT638"/>
      <c r="CU638"/>
      <c r="CV638"/>
      <c r="CW638"/>
      <c r="CX638"/>
      <c r="CY638"/>
      <c r="CZ638"/>
      <c r="DA638"/>
    </row>
    <row r="639" spans="1:105" ht="15" customHeight="1">
      <c r="A639" s="108"/>
      <c r="B639" s="38"/>
      <c r="C639" s="1109"/>
      <c r="D639" s="954"/>
      <c r="E639" s="956"/>
      <c r="F639" s="1103" t="s">
        <v>4957</v>
      </c>
      <c r="G639" s="1103"/>
      <c r="H639" s="1104" t="s">
        <v>4958</v>
      </c>
      <c r="I639" s="1105"/>
      <c r="J639" s="1105"/>
      <c r="K639" s="1105"/>
      <c r="L639" s="1105"/>
      <c r="M639" s="1105"/>
      <c r="N639" s="1105"/>
      <c r="O639" s="1106"/>
      <c r="P639" s="100"/>
      <c r="Q639" s="100"/>
      <c r="R639" s="100"/>
      <c r="S639" s="100"/>
      <c r="T639" s="100"/>
      <c r="U639" s="100"/>
      <c r="V639" s="100"/>
      <c r="W639" s="100"/>
      <c r="X639" s="100"/>
      <c r="Y639" s="100"/>
      <c r="Z639" s="100"/>
      <c r="AA639" s="100"/>
      <c r="AB639" s="100"/>
      <c r="AC639" s="100"/>
      <c r="AD639" s="100"/>
      <c r="AF639"/>
      <c r="AG639">
        <f t="shared" si="273"/>
        <v>0</v>
      </c>
      <c r="AH639">
        <f t="shared" si="274"/>
        <v>0</v>
      </c>
      <c r="AK639">
        <f t="shared" si="258"/>
        <v>0</v>
      </c>
      <c r="AL639">
        <f t="shared" si="259"/>
        <v>0</v>
      </c>
      <c r="AM639">
        <f t="shared" si="260"/>
        <v>0</v>
      </c>
      <c r="AN639">
        <f t="shared" si="261"/>
        <v>0</v>
      </c>
      <c r="AO639">
        <f t="shared" si="262"/>
        <v>0</v>
      </c>
      <c r="AP639">
        <f t="shared" si="263"/>
        <v>0</v>
      </c>
      <c r="AQ639">
        <f t="shared" si="264"/>
        <v>0</v>
      </c>
      <c r="AR639">
        <f t="shared" si="265"/>
        <v>0</v>
      </c>
      <c r="AS639">
        <f t="shared" si="266"/>
        <v>0</v>
      </c>
      <c r="AT639">
        <f t="shared" si="267"/>
        <v>0</v>
      </c>
      <c r="AU639">
        <f t="shared" si="268"/>
        <v>0</v>
      </c>
      <c r="AV639">
        <f t="shared" si="269"/>
        <v>0</v>
      </c>
      <c r="AW639">
        <f t="shared" si="270"/>
        <v>0</v>
      </c>
      <c r="AX639">
        <f t="shared" si="271"/>
        <v>0</v>
      </c>
      <c r="AY639">
        <f t="shared" si="272"/>
        <v>0</v>
      </c>
      <c r="CS639"/>
      <c r="CT639"/>
      <c r="CU639"/>
      <c r="CV639"/>
      <c r="CW639"/>
      <c r="CX639"/>
      <c r="CY639"/>
      <c r="CZ639"/>
      <c r="DA639"/>
    </row>
    <row r="640" spans="1:105" ht="15" customHeight="1">
      <c r="A640" s="108"/>
      <c r="B640" s="38"/>
      <c r="C640" s="1109"/>
      <c r="D640" s="954"/>
      <c r="E640" s="956"/>
      <c r="F640" s="1103" t="s">
        <v>4959</v>
      </c>
      <c r="G640" s="1103"/>
      <c r="H640" s="1104" t="s">
        <v>4960</v>
      </c>
      <c r="I640" s="1105"/>
      <c r="J640" s="1105"/>
      <c r="K640" s="1105"/>
      <c r="L640" s="1105"/>
      <c r="M640" s="1105"/>
      <c r="N640" s="1105"/>
      <c r="O640" s="1106"/>
      <c r="P640" s="100"/>
      <c r="Q640" s="100"/>
      <c r="R640" s="100"/>
      <c r="S640" s="100"/>
      <c r="T640" s="100"/>
      <c r="U640" s="100"/>
      <c r="V640" s="100"/>
      <c r="W640" s="100"/>
      <c r="X640" s="100"/>
      <c r="Y640" s="100"/>
      <c r="Z640" s="100"/>
      <c r="AA640" s="100"/>
      <c r="AB640" s="100"/>
      <c r="AC640" s="100"/>
      <c r="AD640" s="100"/>
      <c r="AF640"/>
      <c r="AG640">
        <f t="shared" si="273"/>
        <v>0</v>
      </c>
      <c r="AH640">
        <f t="shared" si="274"/>
        <v>0</v>
      </c>
      <c r="AK640">
        <f t="shared" si="258"/>
        <v>0</v>
      </c>
      <c r="AL640">
        <f t="shared" si="259"/>
        <v>0</v>
      </c>
      <c r="AM640">
        <f t="shared" si="260"/>
        <v>0</v>
      </c>
      <c r="AN640">
        <f t="shared" si="261"/>
        <v>0</v>
      </c>
      <c r="AO640">
        <f t="shared" si="262"/>
        <v>0</v>
      </c>
      <c r="AP640">
        <f t="shared" si="263"/>
        <v>0</v>
      </c>
      <c r="AQ640">
        <f t="shared" si="264"/>
        <v>0</v>
      </c>
      <c r="AR640">
        <f t="shared" si="265"/>
        <v>0</v>
      </c>
      <c r="AS640">
        <f t="shared" si="266"/>
        <v>0</v>
      </c>
      <c r="AT640">
        <f t="shared" si="267"/>
        <v>0</v>
      </c>
      <c r="AU640">
        <f t="shared" si="268"/>
        <v>0</v>
      </c>
      <c r="AV640">
        <f t="shared" si="269"/>
        <v>0</v>
      </c>
      <c r="AW640">
        <f t="shared" si="270"/>
        <v>0</v>
      </c>
      <c r="AX640">
        <f t="shared" si="271"/>
        <v>0</v>
      </c>
      <c r="AY640">
        <f t="shared" si="272"/>
        <v>0</v>
      </c>
      <c r="CS640"/>
      <c r="CT640"/>
      <c r="CU640"/>
      <c r="CV640"/>
      <c r="CW640"/>
      <c r="CX640"/>
      <c r="CY640"/>
      <c r="CZ640"/>
      <c r="DA640"/>
    </row>
    <row r="641" spans="1:105" ht="15" customHeight="1">
      <c r="A641" s="108"/>
      <c r="B641" s="38"/>
      <c r="C641" s="1109"/>
      <c r="D641" s="954"/>
      <c r="E641" s="956"/>
      <c r="F641" s="1103" t="s">
        <v>4961</v>
      </c>
      <c r="G641" s="1103"/>
      <c r="H641" s="1104" t="s">
        <v>4962</v>
      </c>
      <c r="I641" s="1105"/>
      <c r="J641" s="1105"/>
      <c r="K641" s="1105"/>
      <c r="L641" s="1105"/>
      <c r="M641" s="1105"/>
      <c r="N641" s="1105"/>
      <c r="O641" s="1106"/>
      <c r="P641" s="100"/>
      <c r="Q641" s="100"/>
      <c r="R641" s="100"/>
      <c r="S641" s="100"/>
      <c r="T641" s="100"/>
      <c r="U641" s="100"/>
      <c r="V641" s="100"/>
      <c r="W641" s="100"/>
      <c r="X641" s="100"/>
      <c r="Y641" s="100"/>
      <c r="Z641" s="100"/>
      <c r="AA641" s="100"/>
      <c r="AB641" s="100"/>
      <c r="AC641" s="100"/>
      <c r="AD641" s="100"/>
      <c r="AF641"/>
      <c r="AG641">
        <f t="shared" si="273"/>
        <v>0</v>
      </c>
      <c r="AH641">
        <f t="shared" si="274"/>
        <v>0</v>
      </c>
      <c r="AJ641">
        <f>IF(OR(P641="NS",P641="NA",$P$176=0,$P$176="NS",$P$176="NA"),0,IF((P641*(IFERROR(100/SUM(P624:P641),0)))&gt;25,1,0))</f>
        <v>0</v>
      </c>
      <c r="AK641">
        <f t="shared" si="258"/>
        <v>0</v>
      </c>
      <c r="AL641">
        <f t="shared" si="259"/>
        <v>0</v>
      </c>
      <c r="AM641">
        <f t="shared" si="260"/>
        <v>0</v>
      </c>
      <c r="AN641">
        <f t="shared" si="261"/>
        <v>0</v>
      </c>
      <c r="AO641">
        <f t="shared" si="262"/>
        <v>0</v>
      </c>
      <c r="AP641">
        <f t="shared" si="263"/>
        <v>0</v>
      </c>
      <c r="AQ641">
        <f t="shared" si="264"/>
        <v>0</v>
      </c>
      <c r="AR641">
        <f t="shared" si="265"/>
        <v>0</v>
      </c>
      <c r="AS641">
        <f t="shared" si="266"/>
        <v>0</v>
      </c>
      <c r="AT641">
        <f t="shared" si="267"/>
        <v>0</v>
      </c>
      <c r="AU641">
        <f t="shared" si="268"/>
        <v>0</v>
      </c>
      <c r="AV641">
        <f t="shared" si="269"/>
        <v>0</v>
      </c>
      <c r="AW641">
        <f t="shared" si="270"/>
        <v>0</v>
      </c>
      <c r="AX641">
        <f t="shared" si="271"/>
        <v>0</v>
      </c>
      <c r="AY641">
        <f t="shared" si="272"/>
        <v>0</v>
      </c>
      <c r="CS641"/>
      <c r="CT641"/>
      <c r="CU641"/>
      <c r="CV641"/>
      <c r="CW641"/>
      <c r="CX641"/>
      <c r="CY641"/>
      <c r="CZ641"/>
      <c r="DA641"/>
    </row>
    <row r="642" spans="1:105" ht="36" customHeight="1">
      <c r="A642" s="108"/>
      <c r="B642" s="38"/>
      <c r="C642" s="1108" t="s">
        <v>4963</v>
      </c>
      <c r="D642" s="847" t="s">
        <v>4964</v>
      </c>
      <c r="E642" s="848"/>
      <c r="F642" s="1103" t="s">
        <v>4965</v>
      </c>
      <c r="G642" s="1103"/>
      <c r="H642" s="1104" t="s">
        <v>4966</v>
      </c>
      <c r="I642" s="1105"/>
      <c r="J642" s="1105"/>
      <c r="K642" s="1105"/>
      <c r="L642" s="1105"/>
      <c r="M642" s="1105"/>
      <c r="N642" s="1105"/>
      <c r="O642" s="1106"/>
      <c r="P642" s="100"/>
      <c r="Q642" s="100"/>
      <c r="R642" s="100"/>
      <c r="S642" s="100"/>
      <c r="T642" s="100"/>
      <c r="U642" s="100"/>
      <c r="V642" s="100"/>
      <c r="W642" s="100"/>
      <c r="X642" s="100"/>
      <c r="Y642" s="100"/>
      <c r="Z642" s="100"/>
      <c r="AA642" s="100"/>
      <c r="AB642" s="100"/>
      <c r="AC642" s="100"/>
      <c r="AD642" s="100"/>
      <c r="AF642">
        <f>IF(P642="NA",IF(AND(COUNTIF(P643:P648,"="&amp;$AF$212)=0,COUNTIF(P643:P648,"&lt;&gt;NA")&gt;0),1,0),IF(AND(COUNTIF(P643:P648,"="&amp;$AF$212)=0,COUNTIF(P643:P648,"NA")=COUNTIF(P643:P648,"&lt;&gt;"&amp;$AF$212)),1,0))</f>
        <v>0</v>
      </c>
      <c r="AG642">
        <f t="shared" si="273"/>
        <v>0</v>
      </c>
      <c r="AH642">
        <f t="shared" si="274"/>
        <v>0</v>
      </c>
      <c r="AK642">
        <f t="shared" si="258"/>
        <v>0</v>
      </c>
      <c r="AL642">
        <f t="shared" si="259"/>
        <v>0</v>
      </c>
      <c r="AM642">
        <f t="shared" si="260"/>
        <v>0</v>
      </c>
      <c r="AN642">
        <f t="shared" si="261"/>
        <v>0</v>
      </c>
      <c r="AO642">
        <f t="shared" si="262"/>
        <v>0</v>
      </c>
      <c r="AP642">
        <f t="shared" si="263"/>
        <v>0</v>
      </c>
      <c r="AQ642">
        <f t="shared" si="264"/>
        <v>0</v>
      </c>
      <c r="AR642">
        <f t="shared" si="265"/>
        <v>0</v>
      </c>
      <c r="AS642">
        <f t="shared" si="266"/>
        <v>0</v>
      </c>
      <c r="AT642">
        <f t="shared" si="267"/>
        <v>0</v>
      </c>
      <c r="AU642">
        <f t="shared" si="268"/>
        <v>0</v>
      </c>
      <c r="AV642">
        <f t="shared" si="269"/>
        <v>0</v>
      </c>
      <c r="AW642">
        <f t="shared" si="270"/>
        <v>0</v>
      </c>
      <c r="AX642">
        <f t="shared" si="271"/>
        <v>0</v>
      </c>
      <c r="AY642">
        <f t="shared" si="272"/>
        <v>0</v>
      </c>
      <c r="CS642"/>
      <c r="CT642"/>
      <c r="CU642"/>
      <c r="CV642"/>
      <c r="CW642"/>
      <c r="CX642"/>
      <c r="CY642"/>
      <c r="CZ642"/>
      <c r="DA642"/>
    </row>
    <row r="643" spans="1:105" ht="15" customHeight="1">
      <c r="A643" s="108"/>
      <c r="B643" s="38"/>
      <c r="C643" s="1109"/>
      <c r="D643" s="954"/>
      <c r="E643" s="956"/>
      <c r="F643" s="1110" t="s">
        <v>4967</v>
      </c>
      <c r="G643" s="1110"/>
      <c r="H643" s="178"/>
      <c r="I643" s="1111" t="s">
        <v>4968</v>
      </c>
      <c r="J643" s="1111"/>
      <c r="K643" s="1111"/>
      <c r="L643" s="1111"/>
      <c r="M643" s="1111"/>
      <c r="N643" s="1111"/>
      <c r="O643" s="1112"/>
      <c r="P643" s="100"/>
      <c r="Q643" s="100"/>
      <c r="R643" s="100"/>
      <c r="S643" s="100"/>
      <c r="T643" s="100"/>
      <c r="U643" s="100"/>
      <c r="V643" s="100"/>
      <c r="W643" s="100"/>
      <c r="X643" s="100"/>
      <c r="Y643" s="100"/>
      <c r="Z643" s="100"/>
      <c r="AA643" s="100"/>
      <c r="AB643" s="100"/>
      <c r="AC643" s="100"/>
      <c r="AD643" s="100"/>
      <c r="AF643"/>
      <c r="AG643">
        <f t="shared" si="273"/>
        <v>0</v>
      </c>
      <c r="AH643">
        <f t="shared" si="274"/>
        <v>0</v>
      </c>
      <c r="AK643">
        <f t="shared" si="258"/>
        <v>0</v>
      </c>
      <c r="AL643">
        <f t="shared" si="259"/>
        <v>0</v>
      </c>
      <c r="AM643">
        <f t="shared" si="260"/>
        <v>0</v>
      </c>
      <c r="AN643">
        <f t="shared" si="261"/>
        <v>0</v>
      </c>
      <c r="AO643">
        <f t="shared" si="262"/>
        <v>0</v>
      </c>
      <c r="AP643">
        <f t="shared" si="263"/>
        <v>0</v>
      </c>
      <c r="AQ643">
        <f t="shared" si="264"/>
        <v>0</v>
      </c>
      <c r="AR643">
        <f t="shared" si="265"/>
        <v>0</v>
      </c>
      <c r="AS643">
        <f t="shared" si="266"/>
        <v>0</v>
      </c>
      <c r="AT643">
        <f t="shared" si="267"/>
        <v>0</v>
      </c>
      <c r="AU643">
        <f t="shared" si="268"/>
        <v>0</v>
      </c>
      <c r="AV643">
        <f t="shared" si="269"/>
        <v>0</v>
      </c>
      <c r="AW643">
        <f t="shared" si="270"/>
        <v>0</v>
      </c>
      <c r="AX643">
        <f t="shared" si="271"/>
        <v>0</v>
      </c>
      <c r="AY643">
        <f t="shared" si="272"/>
        <v>0</v>
      </c>
      <c r="CS643"/>
      <c r="CT643"/>
      <c r="CU643"/>
      <c r="CV643"/>
      <c r="CW643"/>
      <c r="CX643"/>
      <c r="CY643"/>
      <c r="CZ643"/>
      <c r="DA643"/>
    </row>
    <row r="644" spans="1:105" ht="24" customHeight="1">
      <c r="A644" s="108"/>
      <c r="B644" s="38"/>
      <c r="C644" s="1109"/>
      <c r="D644" s="954"/>
      <c r="E644" s="956"/>
      <c r="F644" s="1110" t="s">
        <v>4969</v>
      </c>
      <c r="G644" s="1110"/>
      <c r="H644" s="178"/>
      <c r="I644" s="1111" t="s">
        <v>4970</v>
      </c>
      <c r="J644" s="1111"/>
      <c r="K644" s="1111"/>
      <c r="L644" s="1111"/>
      <c r="M644" s="1111"/>
      <c r="N644" s="1111"/>
      <c r="O644" s="1112"/>
      <c r="P644" s="100"/>
      <c r="Q644" s="100"/>
      <c r="R644" s="100"/>
      <c r="S644" s="100"/>
      <c r="T644" s="100"/>
      <c r="U644" s="100"/>
      <c r="V644" s="100"/>
      <c r="W644" s="100"/>
      <c r="X644" s="100"/>
      <c r="Y644" s="100"/>
      <c r="Z644" s="100"/>
      <c r="AA644" s="100"/>
      <c r="AB644" s="100"/>
      <c r="AC644" s="100"/>
      <c r="AD644" s="100"/>
      <c r="AF644"/>
      <c r="AG644">
        <f t="shared" si="273"/>
        <v>0</v>
      </c>
      <c r="AH644">
        <f t="shared" si="274"/>
        <v>0</v>
      </c>
      <c r="AK644">
        <f t="shared" si="258"/>
        <v>0</v>
      </c>
      <c r="AL644">
        <f t="shared" si="259"/>
        <v>0</v>
      </c>
      <c r="AM644">
        <f t="shared" si="260"/>
        <v>0</v>
      </c>
      <c r="AN644">
        <f t="shared" si="261"/>
        <v>0</v>
      </c>
      <c r="AO644">
        <f t="shared" si="262"/>
        <v>0</v>
      </c>
      <c r="AP644">
        <f t="shared" si="263"/>
        <v>0</v>
      </c>
      <c r="AQ644">
        <f t="shared" si="264"/>
        <v>0</v>
      </c>
      <c r="AR644">
        <f t="shared" si="265"/>
        <v>0</v>
      </c>
      <c r="AS644">
        <f t="shared" si="266"/>
        <v>0</v>
      </c>
      <c r="AT644">
        <f t="shared" si="267"/>
        <v>0</v>
      </c>
      <c r="AU644">
        <f t="shared" si="268"/>
        <v>0</v>
      </c>
      <c r="AV644">
        <f t="shared" si="269"/>
        <v>0</v>
      </c>
      <c r="AW644">
        <f t="shared" si="270"/>
        <v>0</v>
      </c>
      <c r="AX644">
        <f t="shared" si="271"/>
        <v>0</v>
      </c>
      <c r="AY644">
        <f t="shared" si="272"/>
        <v>0</v>
      </c>
      <c r="CS644"/>
      <c r="CT644"/>
      <c r="CU644"/>
      <c r="CV644"/>
      <c r="CW644"/>
      <c r="CX644"/>
      <c r="CY644"/>
      <c r="CZ644"/>
      <c r="DA644"/>
    </row>
    <row r="645" spans="1:105" ht="15" customHeight="1">
      <c r="A645" s="108"/>
      <c r="B645" s="38"/>
      <c r="C645" s="1109"/>
      <c r="D645" s="954"/>
      <c r="E645" s="956"/>
      <c r="F645" s="1110" t="s">
        <v>4971</v>
      </c>
      <c r="G645" s="1110"/>
      <c r="H645" s="178"/>
      <c r="I645" s="1111" t="s">
        <v>4972</v>
      </c>
      <c r="J645" s="1111"/>
      <c r="K645" s="1111"/>
      <c r="L645" s="1111"/>
      <c r="M645" s="1111"/>
      <c r="N645" s="1111"/>
      <c r="O645" s="1112"/>
      <c r="P645" s="100"/>
      <c r="Q645" s="100"/>
      <c r="R645" s="100"/>
      <c r="S645" s="100"/>
      <c r="T645" s="100"/>
      <c r="U645" s="100"/>
      <c r="V645" s="100"/>
      <c r="W645" s="100"/>
      <c r="X645" s="100"/>
      <c r="Y645" s="100"/>
      <c r="Z645" s="100"/>
      <c r="AA645" s="100"/>
      <c r="AB645" s="100"/>
      <c r="AC645" s="100"/>
      <c r="AD645" s="100"/>
      <c r="AF645"/>
      <c r="AG645">
        <f t="shared" si="273"/>
        <v>0</v>
      </c>
      <c r="AH645">
        <f t="shared" si="274"/>
        <v>0</v>
      </c>
      <c r="AK645">
        <f t="shared" si="258"/>
        <v>0</v>
      </c>
      <c r="AL645">
        <f t="shared" si="259"/>
        <v>0</v>
      </c>
      <c r="AM645">
        <f t="shared" si="260"/>
        <v>0</v>
      </c>
      <c r="AN645">
        <f t="shared" si="261"/>
        <v>0</v>
      </c>
      <c r="AO645">
        <f t="shared" si="262"/>
        <v>0</v>
      </c>
      <c r="AP645">
        <f t="shared" si="263"/>
        <v>0</v>
      </c>
      <c r="AQ645">
        <f t="shared" si="264"/>
        <v>0</v>
      </c>
      <c r="AR645">
        <f t="shared" si="265"/>
        <v>0</v>
      </c>
      <c r="AS645">
        <f t="shared" si="266"/>
        <v>0</v>
      </c>
      <c r="AT645">
        <f t="shared" si="267"/>
        <v>0</v>
      </c>
      <c r="AU645">
        <f t="shared" si="268"/>
        <v>0</v>
      </c>
      <c r="AV645">
        <f t="shared" si="269"/>
        <v>0</v>
      </c>
      <c r="AW645">
        <f t="shared" si="270"/>
        <v>0</v>
      </c>
      <c r="AX645">
        <f t="shared" si="271"/>
        <v>0</v>
      </c>
      <c r="AY645">
        <f t="shared" si="272"/>
        <v>0</v>
      </c>
      <c r="CS645"/>
      <c r="CT645"/>
      <c r="CU645"/>
      <c r="CV645"/>
      <c r="CW645"/>
      <c r="CX645"/>
      <c r="CY645"/>
      <c r="CZ645"/>
      <c r="DA645"/>
    </row>
    <row r="646" spans="1:105" ht="15" customHeight="1">
      <c r="A646" s="108"/>
      <c r="B646" s="38"/>
      <c r="C646" s="1109"/>
      <c r="D646" s="954"/>
      <c r="E646" s="956"/>
      <c r="F646" s="1110" t="s">
        <v>4973</v>
      </c>
      <c r="G646" s="1110"/>
      <c r="H646" s="178"/>
      <c r="I646" s="1111" t="s">
        <v>4974</v>
      </c>
      <c r="J646" s="1111"/>
      <c r="K646" s="1111"/>
      <c r="L646" s="1111"/>
      <c r="M646" s="1111"/>
      <c r="N646" s="1111"/>
      <c r="O646" s="1112"/>
      <c r="P646" s="100"/>
      <c r="Q646" s="100"/>
      <c r="R646" s="100"/>
      <c r="S646" s="100"/>
      <c r="T646" s="100"/>
      <c r="U646" s="100"/>
      <c r="V646" s="100"/>
      <c r="W646" s="100"/>
      <c r="X646" s="100"/>
      <c r="Y646" s="100"/>
      <c r="Z646" s="100"/>
      <c r="AA646" s="100"/>
      <c r="AB646" s="100"/>
      <c r="AC646" s="100"/>
      <c r="AD646" s="100"/>
      <c r="AF646"/>
      <c r="AG646">
        <f t="shared" si="273"/>
        <v>0</v>
      </c>
      <c r="AH646">
        <f t="shared" si="274"/>
        <v>0</v>
      </c>
      <c r="AK646">
        <f t="shared" si="258"/>
        <v>0</v>
      </c>
      <c r="AL646">
        <f t="shared" si="259"/>
        <v>0</v>
      </c>
      <c r="AM646">
        <f t="shared" si="260"/>
        <v>0</v>
      </c>
      <c r="AN646">
        <f t="shared" si="261"/>
        <v>0</v>
      </c>
      <c r="AO646">
        <f t="shared" si="262"/>
        <v>0</v>
      </c>
      <c r="AP646">
        <f t="shared" si="263"/>
        <v>0</v>
      </c>
      <c r="AQ646">
        <f t="shared" si="264"/>
        <v>0</v>
      </c>
      <c r="AR646">
        <f t="shared" si="265"/>
        <v>0</v>
      </c>
      <c r="AS646">
        <f t="shared" si="266"/>
        <v>0</v>
      </c>
      <c r="AT646">
        <f t="shared" si="267"/>
        <v>0</v>
      </c>
      <c r="AU646">
        <f t="shared" si="268"/>
        <v>0</v>
      </c>
      <c r="AV646">
        <f t="shared" si="269"/>
        <v>0</v>
      </c>
      <c r="AW646">
        <f t="shared" si="270"/>
        <v>0</v>
      </c>
      <c r="AX646">
        <f t="shared" si="271"/>
        <v>0</v>
      </c>
      <c r="AY646">
        <f t="shared" si="272"/>
        <v>0</v>
      </c>
      <c r="CS646"/>
      <c r="CT646"/>
      <c r="CU646"/>
      <c r="CV646"/>
      <c r="CW646"/>
      <c r="CX646"/>
      <c r="CY646"/>
      <c r="CZ646"/>
      <c r="DA646"/>
    </row>
    <row r="647" spans="1:105" ht="36" customHeight="1">
      <c r="A647" s="108"/>
      <c r="B647" s="38"/>
      <c r="C647" s="1109"/>
      <c r="D647" s="954"/>
      <c r="E647" s="956"/>
      <c r="F647" s="1110" t="s">
        <v>4975</v>
      </c>
      <c r="G647" s="1110"/>
      <c r="H647" s="178"/>
      <c r="I647" s="1111" t="s">
        <v>4976</v>
      </c>
      <c r="J647" s="1111"/>
      <c r="K647" s="1111"/>
      <c r="L647" s="1111"/>
      <c r="M647" s="1111"/>
      <c r="N647" s="1111"/>
      <c r="O647" s="1112"/>
      <c r="P647" s="100"/>
      <c r="Q647" s="100"/>
      <c r="R647" s="100"/>
      <c r="S647" s="100"/>
      <c r="T647" s="100"/>
      <c r="U647" s="100"/>
      <c r="V647" s="100"/>
      <c r="W647" s="100"/>
      <c r="X647" s="100"/>
      <c r="Y647" s="100"/>
      <c r="Z647" s="100"/>
      <c r="AA647" s="100"/>
      <c r="AB647" s="100"/>
      <c r="AC647" s="100"/>
      <c r="AD647" s="100"/>
      <c r="AF647"/>
      <c r="AG647">
        <f t="shared" si="273"/>
        <v>0</v>
      </c>
      <c r="AH647">
        <f t="shared" si="274"/>
        <v>0</v>
      </c>
      <c r="AK647">
        <f t="shared" si="258"/>
        <v>0</v>
      </c>
      <c r="AL647">
        <f t="shared" si="259"/>
        <v>0</v>
      </c>
      <c r="AM647">
        <f t="shared" si="260"/>
        <v>0</v>
      </c>
      <c r="AN647">
        <f t="shared" si="261"/>
        <v>0</v>
      </c>
      <c r="AO647">
        <f t="shared" si="262"/>
        <v>0</v>
      </c>
      <c r="AP647">
        <f t="shared" si="263"/>
        <v>0</v>
      </c>
      <c r="AQ647">
        <f t="shared" si="264"/>
        <v>0</v>
      </c>
      <c r="AR647">
        <f t="shared" si="265"/>
        <v>0</v>
      </c>
      <c r="AS647">
        <f t="shared" si="266"/>
        <v>0</v>
      </c>
      <c r="AT647">
        <f t="shared" si="267"/>
        <v>0</v>
      </c>
      <c r="AU647">
        <f t="shared" si="268"/>
        <v>0</v>
      </c>
      <c r="AV647">
        <f t="shared" si="269"/>
        <v>0</v>
      </c>
      <c r="AW647">
        <f t="shared" si="270"/>
        <v>0</v>
      </c>
      <c r="AX647">
        <f t="shared" si="271"/>
        <v>0</v>
      </c>
      <c r="AY647">
        <f t="shared" si="272"/>
        <v>0</v>
      </c>
      <c r="CS647"/>
      <c r="CT647"/>
      <c r="CU647"/>
      <c r="CV647"/>
      <c r="CW647"/>
      <c r="CX647"/>
      <c r="CY647"/>
      <c r="CZ647"/>
      <c r="DA647"/>
    </row>
    <row r="648" spans="1:105" ht="15" customHeight="1">
      <c r="A648" s="108"/>
      <c r="B648" s="38"/>
      <c r="C648" s="1109"/>
      <c r="D648" s="954"/>
      <c r="E648" s="956"/>
      <c r="F648" s="1110" t="s">
        <v>4977</v>
      </c>
      <c r="G648" s="1110"/>
      <c r="H648" s="178"/>
      <c r="I648" s="1111" t="s">
        <v>2631</v>
      </c>
      <c r="J648" s="1111"/>
      <c r="K648" s="1111"/>
      <c r="L648" s="1111"/>
      <c r="M648" s="1111"/>
      <c r="N648" s="1111"/>
      <c r="O648" s="1112"/>
      <c r="P648" s="100"/>
      <c r="Q648" s="100"/>
      <c r="R648" s="100"/>
      <c r="S648" s="100"/>
      <c r="T648" s="100"/>
      <c r="U648" s="100"/>
      <c r="V648" s="100"/>
      <c r="W648" s="100"/>
      <c r="X648" s="100"/>
      <c r="Y648" s="100"/>
      <c r="Z648" s="100"/>
      <c r="AA648" s="100"/>
      <c r="AB648" s="100"/>
      <c r="AC648" s="100"/>
      <c r="AD648" s="100"/>
      <c r="AF648"/>
      <c r="AG648">
        <f t="shared" si="273"/>
        <v>0</v>
      </c>
      <c r="AH648">
        <f t="shared" si="274"/>
        <v>0</v>
      </c>
      <c r="AK648">
        <f t="shared" si="258"/>
        <v>0</v>
      </c>
      <c r="AL648">
        <f t="shared" si="259"/>
        <v>0</v>
      </c>
      <c r="AM648">
        <f t="shared" si="260"/>
        <v>0</v>
      </c>
      <c r="AN648">
        <f t="shared" si="261"/>
        <v>0</v>
      </c>
      <c r="AO648">
        <f t="shared" si="262"/>
        <v>0</v>
      </c>
      <c r="AP648">
        <f t="shared" si="263"/>
        <v>0</v>
      </c>
      <c r="AQ648">
        <f t="shared" si="264"/>
        <v>0</v>
      </c>
      <c r="AR648">
        <f t="shared" si="265"/>
        <v>0</v>
      </c>
      <c r="AS648">
        <f t="shared" si="266"/>
        <v>0</v>
      </c>
      <c r="AT648">
        <f t="shared" si="267"/>
        <v>0</v>
      </c>
      <c r="AU648">
        <f t="shared" si="268"/>
        <v>0</v>
      </c>
      <c r="AV648">
        <f t="shared" si="269"/>
        <v>0</v>
      </c>
      <c r="AW648">
        <f t="shared" si="270"/>
        <v>0</v>
      </c>
      <c r="AX648">
        <f t="shared" si="271"/>
        <v>0</v>
      </c>
      <c r="AY648">
        <f t="shared" si="272"/>
        <v>0</v>
      </c>
      <c r="CS648"/>
      <c r="CT648"/>
      <c r="CU648"/>
      <c r="CV648"/>
      <c r="CW648"/>
      <c r="CX648"/>
      <c r="CY648"/>
      <c r="CZ648"/>
      <c r="DA648"/>
    </row>
    <row r="649" spans="1:105" ht="24" customHeight="1">
      <c r="A649" s="108"/>
      <c r="B649" s="38"/>
      <c r="C649" s="1109"/>
      <c r="D649" s="954"/>
      <c r="E649" s="956"/>
      <c r="F649" s="1103" t="s">
        <v>4978</v>
      </c>
      <c r="G649" s="1103"/>
      <c r="H649" s="1104" t="s">
        <v>4979</v>
      </c>
      <c r="I649" s="1105"/>
      <c r="J649" s="1105"/>
      <c r="K649" s="1105"/>
      <c r="L649" s="1105"/>
      <c r="M649" s="1105"/>
      <c r="N649" s="1105"/>
      <c r="O649" s="1106"/>
      <c r="P649" s="100"/>
      <c r="Q649" s="100"/>
      <c r="R649" s="100"/>
      <c r="S649" s="100"/>
      <c r="T649" s="100"/>
      <c r="U649" s="100"/>
      <c r="V649" s="100"/>
      <c r="W649" s="100"/>
      <c r="X649" s="100"/>
      <c r="Y649" s="100"/>
      <c r="Z649" s="100"/>
      <c r="AA649" s="100"/>
      <c r="AB649" s="100"/>
      <c r="AC649" s="100"/>
      <c r="AD649" s="100"/>
      <c r="AF649">
        <f>IF(P649="NA",IF(AND(COUNTIF(P650:P657,"="&amp;$AF$212)=0,COUNTIF(P650:P657,"&lt;&gt;NA")&gt;0),1,0),IF(AND(COUNTIF(P650:P657,"="&amp;$AF$212)=0,COUNTIF(P650:P657,"NA")=COUNTIF(P650:P657,"&lt;&gt;"&amp;$AF$212)),1,0))</f>
        <v>0</v>
      </c>
      <c r="AG649">
        <f t="shared" si="273"/>
        <v>0</v>
      </c>
      <c r="AH649">
        <f t="shared" si="274"/>
        <v>0</v>
      </c>
      <c r="AK649">
        <f t="shared" si="258"/>
        <v>0</v>
      </c>
      <c r="AL649">
        <f t="shared" si="259"/>
        <v>0</v>
      </c>
      <c r="AM649">
        <f t="shared" si="260"/>
        <v>0</v>
      </c>
      <c r="AN649">
        <f t="shared" si="261"/>
        <v>0</v>
      </c>
      <c r="AO649">
        <f t="shared" si="262"/>
        <v>0</v>
      </c>
      <c r="AP649">
        <f t="shared" si="263"/>
        <v>0</v>
      </c>
      <c r="AQ649">
        <f t="shared" si="264"/>
        <v>0</v>
      </c>
      <c r="AR649">
        <f t="shared" si="265"/>
        <v>0</v>
      </c>
      <c r="AS649">
        <f t="shared" si="266"/>
        <v>0</v>
      </c>
      <c r="AT649">
        <f t="shared" si="267"/>
        <v>0</v>
      </c>
      <c r="AU649">
        <f t="shared" si="268"/>
        <v>0</v>
      </c>
      <c r="AV649">
        <f t="shared" si="269"/>
        <v>0</v>
      </c>
      <c r="AW649">
        <f t="shared" si="270"/>
        <v>0</v>
      </c>
      <c r="AX649">
        <f t="shared" si="271"/>
        <v>0</v>
      </c>
      <c r="AY649">
        <f t="shared" si="272"/>
        <v>0</v>
      </c>
      <c r="CS649"/>
      <c r="CT649"/>
      <c r="CU649"/>
      <c r="CV649"/>
      <c r="CW649"/>
      <c r="CX649"/>
      <c r="CY649"/>
      <c r="CZ649"/>
      <c r="DA649"/>
    </row>
    <row r="650" spans="1:105" ht="15" customHeight="1">
      <c r="A650" s="108"/>
      <c r="B650" s="38"/>
      <c r="C650" s="1109"/>
      <c r="D650" s="954"/>
      <c r="E650" s="956"/>
      <c r="F650" s="1110" t="s">
        <v>4980</v>
      </c>
      <c r="G650" s="1110"/>
      <c r="H650" s="178"/>
      <c r="I650" s="1111" t="s">
        <v>4981</v>
      </c>
      <c r="J650" s="1111"/>
      <c r="K650" s="1111"/>
      <c r="L650" s="1111"/>
      <c r="M650" s="1111"/>
      <c r="N650" s="1111"/>
      <c r="O650" s="1112"/>
      <c r="P650" s="100"/>
      <c r="Q650" s="100"/>
      <c r="R650" s="100"/>
      <c r="S650" s="100"/>
      <c r="T650" s="100"/>
      <c r="U650" s="100"/>
      <c r="V650" s="100"/>
      <c r="W650" s="100"/>
      <c r="X650" s="100"/>
      <c r="Y650" s="100"/>
      <c r="Z650" s="100"/>
      <c r="AA650" s="100"/>
      <c r="AB650" s="100"/>
      <c r="AC650" s="100"/>
      <c r="AD650" s="100"/>
      <c r="AF650"/>
      <c r="AG650">
        <f t="shared" si="273"/>
        <v>0</v>
      </c>
      <c r="AH650">
        <f t="shared" si="274"/>
        <v>0</v>
      </c>
      <c r="AK650">
        <f t="shared" si="258"/>
        <v>0</v>
      </c>
      <c r="AL650">
        <f t="shared" si="259"/>
        <v>0</v>
      </c>
      <c r="AM650">
        <f t="shared" si="260"/>
        <v>0</v>
      </c>
      <c r="AN650">
        <f t="shared" si="261"/>
        <v>0</v>
      </c>
      <c r="AO650">
        <f t="shared" si="262"/>
        <v>0</v>
      </c>
      <c r="AP650">
        <f t="shared" si="263"/>
        <v>0</v>
      </c>
      <c r="AQ650">
        <f t="shared" si="264"/>
        <v>0</v>
      </c>
      <c r="AR650">
        <f t="shared" si="265"/>
        <v>0</v>
      </c>
      <c r="AS650">
        <f t="shared" si="266"/>
        <v>0</v>
      </c>
      <c r="AT650">
        <f t="shared" si="267"/>
        <v>0</v>
      </c>
      <c r="AU650">
        <f t="shared" si="268"/>
        <v>0</v>
      </c>
      <c r="AV650">
        <f t="shared" si="269"/>
        <v>0</v>
      </c>
      <c r="AW650">
        <f t="shared" si="270"/>
        <v>0</v>
      </c>
      <c r="AX650">
        <f t="shared" si="271"/>
        <v>0</v>
      </c>
      <c r="AY650">
        <f t="shared" si="272"/>
        <v>0</v>
      </c>
      <c r="CS650"/>
      <c r="CT650"/>
      <c r="CU650"/>
      <c r="CV650"/>
      <c r="CW650"/>
      <c r="CX650"/>
      <c r="CY650"/>
      <c r="CZ650"/>
      <c r="DA650"/>
    </row>
    <row r="651" spans="1:105" ht="15" customHeight="1">
      <c r="A651" s="108"/>
      <c r="B651" s="38"/>
      <c r="C651" s="1109"/>
      <c r="D651" s="954"/>
      <c r="E651" s="956"/>
      <c r="F651" s="1110" t="s">
        <v>4982</v>
      </c>
      <c r="G651" s="1110"/>
      <c r="H651" s="178"/>
      <c r="I651" s="1111" t="s">
        <v>4983</v>
      </c>
      <c r="J651" s="1111"/>
      <c r="K651" s="1111"/>
      <c r="L651" s="1111"/>
      <c r="M651" s="1111"/>
      <c r="N651" s="1111"/>
      <c r="O651" s="1112"/>
      <c r="P651" s="100"/>
      <c r="Q651" s="100"/>
      <c r="R651" s="100"/>
      <c r="S651" s="100"/>
      <c r="T651" s="100"/>
      <c r="U651" s="100"/>
      <c r="V651" s="100"/>
      <c r="W651" s="100"/>
      <c r="X651" s="100"/>
      <c r="Y651" s="100"/>
      <c r="Z651" s="100"/>
      <c r="AA651" s="100"/>
      <c r="AB651" s="100"/>
      <c r="AC651" s="100"/>
      <c r="AD651" s="100"/>
      <c r="AF651"/>
      <c r="AG651">
        <f t="shared" si="273"/>
        <v>0</v>
      </c>
      <c r="AH651">
        <f t="shared" si="274"/>
        <v>0</v>
      </c>
      <c r="AK651">
        <f t="shared" si="258"/>
        <v>0</v>
      </c>
      <c r="AL651">
        <f t="shared" si="259"/>
        <v>0</v>
      </c>
      <c r="AM651">
        <f t="shared" si="260"/>
        <v>0</v>
      </c>
      <c r="AN651">
        <f t="shared" si="261"/>
        <v>0</v>
      </c>
      <c r="AO651">
        <f t="shared" si="262"/>
        <v>0</v>
      </c>
      <c r="AP651">
        <f t="shared" si="263"/>
        <v>0</v>
      </c>
      <c r="AQ651">
        <f t="shared" si="264"/>
        <v>0</v>
      </c>
      <c r="AR651">
        <f t="shared" si="265"/>
        <v>0</v>
      </c>
      <c r="AS651">
        <f t="shared" si="266"/>
        <v>0</v>
      </c>
      <c r="AT651">
        <f t="shared" si="267"/>
        <v>0</v>
      </c>
      <c r="AU651">
        <f t="shared" si="268"/>
        <v>0</v>
      </c>
      <c r="AV651">
        <f t="shared" si="269"/>
        <v>0</v>
      </c>
      <c r="AW651">
        <f t="shared" si="270"/>
        <v>0</v>
      </c>
      <c r="AX651">
        <f t="shared" si="271"/>
        <v>0</v>
      </c>
      <c r="AY651">
        <f t="shared" si="272"/>
        <v>0</v>
      </c>
      <c r="CS651"/>
      <c r="CT651"/>
      <c r="CU651"/>
      <c r="CV651"/>
      <c r="CW651"/>
      <c r="CX651"/>
      <c r="CY651"/>
      <c r="CZ651"/>
      <c r="DA651"/>
    </row>
    <row r="652" spans="1:105" ht="15" customHeight="1">
      <c r="A652" s="108"/>
      <c r="B652" s="38"/>
      <c r="C652" s="1109"/>
      <c r="D652" s="954"/>
      <c r="E652" s="956"/>
      <c r="F652" s="1110" t="s">
        <v>4984</v>
      </c>
      <c r="G652" s="1110"/>
      <c r="H652" s="178"/>
      <c r="I652" s="1111" t="s">
        <v>4985</v>
      </c>
      <c r="J652" s="1111"/>
      <c r="K652" s="1111"/>
      <c r="L652" s="1111"/>
      <c r="M652" s="1111"/>
      <c r="N652" s="1111"/>
      <c r="O652" s="1112"/>
      <c r="P652" s="100"/>
      <c r="Q652" s="100"/>
      <c r="R652" s="100"/>
      <c r="S652" s="100"/>
      <c r="T652" s="100"/>
      <c r="U652" s="100"/>
      <c r="V652" s="100"/>
      <c r="W652" s="100"/>
      <c r="X652" s="100"/>
      <c r="Y652" s="100"/>
      <c r="Z652" s="100"/>
      <c r="AA652" s="100"/>
      <c r="AB652" s="100"/>
      <c r="AC652" s="100"/>
      <c r="AD652" s="100"/>
      <c r="AF652"/>
      <c r="AG652">
        <f t="shared" si="273"/>
        <v>0</v>
      </c>
      <c r="AH652">
        <f t="shared" si="274"/>
        <v>0</v>
      </c>
      <c r="AK652">
        <f t="shared" si="258"/>
        <v>0</v>
      </c>
      <c r="AL652">
        <f t="shared" si="259"/>
        <v>0</v>
      </c>
      <c r="AM652">
        <f t="shared" si="260"/>
        <v>0</v>
      </c>
      <c r="AN652">
        <f t="shared" si="261"/>
        <v>0</v>
      </c>
      <c r="AO652">
        <f t="shared" si="262"/>
        <v>0</v>
      </c>
      <c r="AP652">
        <f t="shared" si="263"/>
        <v>0</v>
      </c>
      <c r="AQ652">
        <f t="shared" si="264"/>
        <v>0</v>
      </c>
      <c r="AR652">
        <f t="shared" si="265"/>
        <v>0</v>
      </c>
      <c r="AS652">
        <f t="shared" si="266"/>
        <v>0</v>
      </c>
      <c r="AT652">
        <f t="shared" si="267"/>
        <v>0</v>
      </c>
      <c r="AU652">
        <f t="shared" si="268"/>
        <v>0</v>
      </c>
      <c r="AV652">
        <f t="shared" si="269"/>
        <v>0</v>
      </c>
      <c r="AW652">
        <f t="shared" si="270"/>
        <v>0</v>
      </c>
      <c r="AX652">
        <f t="shared" si="271"/>
        <v>0</v>
      </c>
      <c r="AY652">
        <f t="shared" si="272"/>
        <v>0</v>
      </c>
      <c r="CS652"/>
      <c r="CT652"/>
      <c r="CU652"/>
      <c r="CV652"/>
      <c r="CW652"/>
      <c r="CX652"/>
      <c r="CY652"/>
      <c r="CZ652"/>
      <c r="DA652"/>
    </row>
    <row r="653" spans="1:105" ht="15" customHeight="1">
      <c r="A653" s="108"/>
      <c r="B653" s="38"/>
      <c r="C653" s="1109"/>
      <c r="D653" s="954"/>
      <c r="E653" s="956"/>
      <c r="F653" s="1110" t="s">
        <v>4986</v>
      </c>
      <c r="G653" s="1110"/>
      <c r="H653" s="178"/>
      <c r="I653" s="1111" t="s">
        <v>4987</v>
      </c>
      <c r="J653" s="1111"/>
      <c r="K653" s="1111"/>
      <c r="L653" s="1111"/>
      <c r="M653" s="1111"/>
      <c r="N653" s="1111"/>
      <c r="O653" s="1112"/>
      <c r="P653" s="100"/>
      <c r="Q653" s="100"/>
      <c r="R653" s="100"/>
      <c r="S653" s="100"/>
      <c r="T653" s="100"/>
      <c r="U653" s="100"/>
      <c r="V653" s="100"/>
      <c r="W653" s="100"/>
      <c r="X653" s="100"/>
      <c r="Y653" s="100"/>
      <c r="Z653" s="100"/>
      <c r="AA653" s="100"/>
      <c r="AB653" s="100"/>
      <c r="AC653" s="100"/>
      <c r="AD653" s="100"/>
      <c r="AF653"/>
      <c r="AG653">
        <f t="shared" si="273"/>
        <v>0</v>
      </c>
      <c r="AH653">
        <f t="shared" si="274"/>
        <v>0</v>
      </c>
      <c r="AK653">
        <f t="shared" si="258"/>
        <v>0</v>
      </c>
      <c r="AL653">
        <f t="shared" si="259"/>
        <v>0</v>
      </c>
      <c r="AM653">
        <f t="shared" si="260"/>
        <v>0</v>
      </c>
      <c r="AN653">
        <f t="shared" si="261"/>
        <v>0</v>
      </c>
      <c r="AO653">
        <f t="shared" si="262"/>
        <v>0</v>
      </c>
      <c r="AP653">
        <f t="shared" si="263"/>
        <v>0</v>
      </c>
      <c r="AQ653">
        <f t="shared" si="264"/>
        <v>0</v>
      </c>
      <c r="AR653">
        <f t="shared" si="265"/>
        <v>0</v>
      </c>
      <c r="AS653">
        <f t="shared" si="266"/>
        <v>0</v>
      </c>
      <c r="AT653">
        <f t="shared" si="267"/>
        <v>0</v>
      </c>
      <c r="AU653">
        <f t="shared" si="268"/>
        <v>0</v>
      </c>
      <c r="AV653">
        <f t="shared" si="269"/>
        <v>0</v>
      </c>
      <c r="AW653">
        <f t="shared" si="270"/>
        <v>0</v>
      </c>
      <c r="AX653">
        <f t="shared" si="271"/>
        <v>0</v>
      </c>
      <c r="AY653">
        <f t="shared" si="272"/>
        <v>0</v>
      </c>
      <c r="CS653"/>
      <c r="CT653"/>
      <c r="CU653"/>
      <c r="CV653"/>
      <c r="CW653"/>
      <c r="CX653"/>
      <c r="CY653"/>
      <c r="CZ653"/>
      <c r="DA653"/>
    </row>
    <row r="654" spans="1:105" ht="15" customHeight="1">
      <c r="A654" s="108"/>
      <c r="B654" s="38"/>
      <c r="C654" s="1109"/>
      <c r="D654" s="954"/>
      <c r="E654" s="956"/>
      <c r="F654" s="1110" t="s">
        <v>4988</v>
      </c>
      <c r="G654" s="1110"/>
      <c r="H654" s="178"/>
      <c r="I654" s="1111" t="s">
        <v>4989</v>
      </c>
      <c r="J654" s="1111"/>
      <c r="K654" s="1111"/>
      <c r="L654" s="1111"/>
      <c r="M654" s="1111"/>
      <c r="N654" s="1111"/>
      <c r="O654" s="1112"/>
      <c r="P654" s="100"/>
      <c r="Q654" s="100"/>
      <c r="R654" s="100"/>
      <c r="S654" s="100"/>
      <c r="T654" s="100"/>
      <c r="U654" s="100"/>
      <c r="V654" s="100"/>
      <c r="W654" s="100"/>
      <c r="X654" s="100"/>
      <c r="Y654" s="100"/>
      <c r="Z654" s="100"/>
      <c r="AA654" s="100"/>
      <c r="AB654" s="100"/>
      <c r="AC654" s="100"/>
      <c r="AD654" s="100"/>
      <c r="AF654"/>
      <c r="AG654">
        <f t="shared" si="273"/>
        <v>0</v>
      </c>
      <c r="AH654">
        <f t="shared" si="274"/>
        <v>0</v>
      </c>
      <c r="AK654">
        <f t="shared" si="258"/>
        <v>0</v>
      </c>
      <c r="AL654">
        <f t="shared" si="259"/>
        <v>0</v>
      </c>
      <c r="AM654">
        <f t="shared" si="260"/>
        <v>0</v>
      </c>
      <c r="AN654">
        <f t="shared" si="261"/>
        <v>0</v>
      </c>
      <c r="AO654">
        <f t="shared" si="262"/>
        <v>0</v>
      </c>
      <c r="AP654">
        <f t="shared" si="263"/>
        <v>0</v>
      </c>
      <c r="AQ654">
        <f t="shared" si="264"/>
        <v>0</v>
      </c>
      <c r="AR654">
        <f t="shared" si="265"/>
        <v>0</v>
      </c>
      <c r="AS654">
        <f t="shared" si="266"/>
        <v>0</v>
      </c>
      <c r="AT654">
        <f t="shared" si="267"/>
        <v>0</v>
      </c>
      <c r="AU654">
        <f t="shared" si="268"/>
        <v>0</v>
      </c>
      <c r="AV654">
        <f t="shared" si="269"/>
        <v>0</v>
      </c>
      <c r="AW654">
        <f t="shared" si="270"/>
        <v>0</v>
      </c>
      <c r="AX654">
        <f t="shared" si="271"/>
        <v>0</v>
      </c>
      <c r="AY654">
        <f t="shared" si="272"/>
        <v>0</v>
      </c>
      <c r="CS654"/>
      <c r="CT654"/>
      <c r="CU654"/>
      <c r="CV654"/>
      <c r="CW654"/>
      <c r="CX654"/>
      <c r="CY654"/>
      <c r="CZ654"/>
      <c r="DA654"/>
    </row>
    <row r="655" spans="1:105" ht="15" customHeight="1">
      <c r="A655" s="108"/>
      <c r="B655" s="38"/>
      <c r="C655" s="1109"/>
      <c r="D655" s="954"/>
      <c r="E655" s="956"/>
      <c r="F655" s="1110" t="s">
        <v>4990</v>
      </c>
      <c r="G655" s="1110"/>
      <c r="H655" s="178"/>
      <c r="I655" s="1111" t="s">
        <v>4991</v>
      </c>
      <c r="J655" s="1111"/>
      <c r="K655" s="1111"/>
      <c r="L655" s="1111"/>
      <c r="M655" s="1111"/>
      <c r="N655" s="1111"/>
      <c r="O655" s="1112"/>
      <c r="P655" s="100"/>
      <c r="Q655" s="100"/>
      <c r="R655" s="100"/>
      <c r="S655" s="100"/>
      <c r="T655" s="100"/>
      <c r="U655" s="100"/>
      <c r="V655" s="100"/>
      <c r="W655" s="100"/>
      <c r="X655" s="100"/>
      <c r="Y655" s="100"/>
      <c r="Z655" s="100"/>
      <c r="AA655" s="100"/>
      <c r="AB655" s="100"/>
      <c r="AC655" s="100"/>
      <c r="AD655" s="100"/>
      <c r="AF655"/>
      <c r="AG655">
        <f t="shared" si="273"/>
        <v>0</v>
      </c>
      <c r="AH655">
        <f t="shared" si="274"/>
        <v>0</v>
      </c>
      <c r="AK655">
        <f t="shared" si="258"/>
        <v>0</v>
      </c>
      <c r="AL655">
        <f t="shared" si="259"/>
        <v>0</v>
      </c>
      <c r="AM655">
        <f t="shared" si="260"/>
        <v>0</v>
      </c>
      <c r="AN655">
        <f t="shared" si="261"/>
        <v>0</v>
      </c>
      <c r="AO655">
        <f t="shared" si="262"/>
        <v>0</v>
      </c>
      <c r="AP655">
        <f t="shared" si="263"/>
        <v>0</v>
      </c>
      <c r="AQ655">
        <f t="shared" si="264"/>
        <v>0</v>
      </c>
      <c r="AR655">
        <f t="shared" si="265"/>
        <v>0</v>
      </c>
      <c r="AS655">
        <f t="shared" si="266"/>
        <v>0</v>
      </c>
      <c r="AT655">
        <f t="shared" si="267"/>
        <v>0</v>
      </c>
      <c r="AU655">
        <f t="shared" si="268"/>
        <v>0</v>
      </c>
      <c r="AV655">
        <f t="shared" si="269"/>
        <v>0</v>
      </c>
      <c r="AW655">
        <f t="shared" si="270"/>
        <v>0</v>
      </c>
      <c r="AX655">
        <f t="shared" si="271"/>
        <v>0</v>
      </c>
      <c r="AY655">
        <f t="shared" si="272"/>
        <v>0</v>
      </c>
      <c r="CS655"/>
      <c r="CT655"/>
      <c r="CU655"/>
      <c r="CV655"/>
      <c r="CW655"/>
      <c r="CX655"/>
      <c r="CY655"/>
      <c r="CZ655"/>
      <c r="DA655"/>
    </row>
    <row r="656" spans="1:105" ht="24" customHeight="1">
      <c r="A656" s="108"/>
      <c r="B656" s="38"/>
      <c r="C656" s="1109"/>
      <c r="D656" s="954"/>
      <c r="E656" s="956"/>
      <c r="F656" s="1110" t="s">
        <v>4992</v>
      </c>
      <c r="G656" s="1110"/>
      <c r="H656" s="178"/>
      <c r="I656" s="1111" t="s">
        <v>4993</v>
      </c>
      <c r="J656" s="1111"/>
      <c r="K656" s="1111"/>
      <c r="L656" s="1111"/>
      <c r="M656" s="1111"/>
      <c r="N656" s="1111"/>
      <c r="O656" s="1112"/>
      <c r="P656" s="100"/>
      <c r="Q656" s="100"/>
      <c r="R656" s="100"/>
      <c r="S656" s="100"/>
      <c r="T656" s="100"/>
      <c r="U656" s="100"/>
      <c r="V656" s="100"/>
      <c r="W656" s="100"/>
      <c r="X656" s="100"/>
      <c r="Y656" s="100"/>
      <c r="Z656" s="100"/>
      <c r="AA656" s="100"/>
      <c r="AB656" s="100"/>
      <c r="AC656" s="100"/>
      <c r="AD656" s="100"/>
      <c r="AF656"/>
      <c r="AG656">
        <f t="shared" si="273"/>
        <v>0</v>
      </c>
      <c r="AH656">
        <f t="shared" si="274"/>
        <v>0</v>
      </c>
      <c r="AK656">
        <f t="shared" si="258"/>
        <v>0</v>
      </c>
      <c r="AL656">
        <f t="shared" si="259"/>
        <v>0</v>
      </c>
      <c r="AM656">
        <f t="shared" si="260"/>
        <v>0</v>
      </c>
      <c r="AN656">
        <f t="shared" si="261"/>
        <v>0</v>
      </c>
      <c r="AO656">
        <f t="shared" si="262"/>
        <v>0</v>
      </c>
      <c r="AP656">
        <f t="shared" si="263"/>
        <v>0</v>
      </c>
      <c r="AQ656">
        <f t="shared" si="264"/>
        <v>0</v>
      </c>
      <c r="AR656">
        <f t="shared" si="265"/>
        <v>0</v>
      </c>
      <c r="AS656">
        <f t="shared" si="266"/>
        <v>0</v>
      </c>
      <c r="AT656">
        <f t="shared" si="267"/>
        <v>0</v>
      </c>
      <c r="AU656">
        <f t="shared" si="268"/>
        <v>0</v>
      </c>
      <c r="AV656">
        <f t="shared" si="269"/>
        <v>0</v>
      </c>
      <c r="AW656">
        <f t="shared" si="270"/>
        <v>0</v>
      </c>
      <c r="AX656">
        <f t="shared" si="271"/>
        <v>0</v>
      </c>
      <c r="AY656">
        <f t="shared" si="272"/>
        <v>0</v>
      </c>
      <c r="CS656"/>
      <c r="CT656"/>
      <c r="CU656"/>
      <c r="CV656"/>
      <c r="CW656"/>
      <c r="CX656"/>
      <c r="CY656"/>
      <c r="CZ656"/>
      <c r="DA656"/>
    </row>
    <row r="657" spans="1:105" ht="15" customHeight="1">
      <c r="A657" s="108"/>
      <c r="B657" s="38"/>
      <c r="C657" s="1109"/>
      <c r="D657" s="954"/>
      <c r="E657" s="956"/>
      <c r="F657" s="1110" t="s">
        <v>4994</v>
      </c>
      <c r="G657" s="1110"/>
      <c r="H657" s="178"/>
      <c r="I657" s="1111" t="s">
        <v>2631</v>
      </c>
      <c r="J657" s="1111"/>
      <c r="K657" s="1111"/>
      <c r="L657" s="1111"/>
      <c r="M657" s="1111"/>
      <c r="N657" s="1111"/>
      <c r="O657" s="1112"/>
      <c r="P657" s="100"/>
      <c r="Q657" s="100"/>
      <c r="R657" s="100"/>
      <c r="S657" s="100"/>
      <c r="T657" s="100"/>
      <c r="U657" s="100"/>
      <c r="V657" s="100"/>
      <c r="W657" s="100"/>
      <c r="X657" s="100"/>
      <c r="Y657" s="100"/>
      <c r="Z657" s="100"/>
      <c r="AA657" s="100"/>
      <c r="AB657" s="100"/>
      <c r="AC657" s="100"/>
      <c r="AD657" s="100"/>
      <c r="AF657"/>
      <c r="AG657">
        <f t="shared" si="273"/>
        <v>0</v>
      </c>
      <c r="AH657">
        <f t="shared" si="274"/>
        <v>0</v>
      </c>
      <c r="AK657">
        <f t="shared" si="258"/>
        <v>0</v>
      </c>
      <c r="AL657">
        <f t="shared" si="259"/>
        <v>0</v>
      </c>
      <c r="AM657">
        <f t="shared" si="260"/>
        <v>0</v>
      </c>
      <c r="AN657">
        <f t="shared" si="261"/>
        <v>0</v>
      </c>
      <c r="AO657">
        <f t="shared" si="262"/>
        <v>0</v>
      </c>
      <c r="AP657">
        <f t="shared" si="263"/>
        <v>0</v>
      </c>
      <c r="AQ657">
        <f t="shared" si="264"/>
        <v>0</v>
      </c>
      <c r="AR657">
        <f t="shared" si="265"/>
        <v>0</v>
      </c>
      <c r="AS657">
        <f t="shared" si="266"/>
        <v>0</v>
      </c>
      <c r="AT657">
        <f t="shared" si="267"/>
        <v>0</v>
      </c>
      <c r="AU657">
        <f t="shared" si="268"/>
        <v>0</v>
      </c>
      <c r="AV657">
        <f t="shared" si="269"/>
        <v>0</v>
      </c>
      <c r="AW657">
        <f t="shared" si="270"/>
        <v>0</v>
      </c>
      <c r="AX657">
        <f t="shared" si="271"/>
        <v>0</v>
      </c>
      <c r="AY657">
        <f t="shared" si="272"/>
        <v>0</v>
      </c>
      <c r="CS657"/>
      <c r="CT657"/>
      <c r="CU657"/>
      <c r="CV657"/>
      <c r="CW657"/>
      <c r="CX657"/>
      <c r="CY657"/>
      <c r="CZ657"/>
      <c r="DA657"/>
    </row>
    <row r="658" spans="1:105" ht="15" customHeight="1">
      <c r="A658" s="108"/>
      <c r="B658" s="38"/>
      <c r="C658" s="1109"/>
      <c r="D658" s="954"/>
      <c r="E658" s="956"/>
      <c r="F658" s="1117" t="s">
        <v>4995</v>
      </c>
      <c r="G658" s="1118"/>
      <c r="H658" s="1104" t="s">
        <v>4996</v>
      </c>
      <c r="I658" s="1105"/>
      <c r="J658" s="1105"/>
      <c r="K658" s="1105"/>
      <c r="L658" s="1105"/>
      <c r="M658" s="1105"/>
      <c r="N658" s="1105"/>
      <c r="O658" s="1106"/>
      <c r="P658" s="100"/>
      <c r="Q658" s="100"/>
      <c r="R658" s="100"/>
      <c r="S658" s="100"/>
      <c r="T658" s="100"/>
      <c r="U658" s="100"/>
      <c r="V658" s="100"/>
      <c r="W658" s="100"/>
      <c r="X658" s="100"/>
      <c r="Y658" s="100"/>
      <c r="Z658" s="100"/>
      <c r="AA658" s="100"/>
      <c r="AB658" s="100"/>
      <c r="AC658" s="100"/>
      <c r="AD658" s="100"/>
      <c r="AF658"/>
      <c r="AG658">
        <f t="shared" si="273"/>
        <v>0</v>
      </c>
      <c r="AH658">
        <f t="shared" si="274"/>
        <v>0</v>
      </c>
      <c r="AK658">
        <f t="shared" si="258"/>
        <v>0</v>
      </c>
      <c r="AL658">
        <f t="shared" si="259"/>
        <v>0</v>
      </c>
      <c r="AM658">
        <f t="shared" si="260"/>
        <v>0</v>
      </c>
      <c r="AN658">
        <f t="shared" si="261"/>
        <v>0</v>
      </c>
      <c r="AO658">
        <f t="shared" si="262"/>
        <v>0</v>
      </c>
      <c r="AP658">
        <f t="shared" si="263"/>
        <v>0</v>
      </c>
      <c r="AQ658">
        <f t="shared" si="264"/>
        <v>0</v>
      </c>
      <c r="AR658">
        <f t="shared" si="265"/>
        <v>0</v>
      </c>
      <c r="AS658">
        <f t="shared" si="266"/>
        <v>0</v>
      </c>
      <c r="AT658">
        <f t="shared" si="267"/>
        <v>0</v>
      </c>
      <c r="AU658">
        <f t="shared" si="268"/>
        <v>0</v>
      </c>
      <c r="AV658">
        <f t="shared" si="269"/>
        <v>0</v>
      </c>
      <c r="AW658">
        <f t="shared" si="270"/>
        <v>0</v>
      </c>
      <c r="AX658">
        <f t="shared" si="271"/>
        <v>0</v>
      </c>
      <c r="AY658">
        <f t="shared" si="272"/>
        <v>0</v>
      </c>
      <c r="CS658"/>
      <c r="CT658"/>
      <c r="CU658"/>
      <c r="CV658"/>
      <c r="CW658"/>
      <c r="CX658"/>
      <c r="CY658"/>
      <c r="CZ658"/>
      <c r="DA658"/>
    </row>
    <row r="659" spans="1:105" ht="24" customHeight="1">
      <c r="A659" s="108"/>
      <c r="B659" s="38"/>
      <c r="C659" s="1109"/>
      <c r="D659" s="954"/>
      <c r="E659" s="956"/>
      <c r="F659" s="1103" t="s">
        <v>4997</v>
      </c>
      <c r="G659" s="1103"/>
      <c r="H659" s="1104" t="s">
        <v>4998</v>
      </c>
      <c r="I659" s="1105"/>
      <c r="J659" s="1105"/>
      <c r="K659" s="1105"/>
      <c r="L659" s="1105"/>
      <c r="M659" s="1105"/>
      <c r="N659" s="1105"/>
      <c r="O659" s="1106"/>
      <c r="P659" s="100"/>
      <c r="Q659" s="100"/>
      <c r="R659" s="100"/>
      <c r="S659" s="100"/>
      <c r="T659" s="100"/>
      <c r="U659" s="100"/>
      <c r="V659" s="100"/>
      <c r="W659" s="100"/>
      <c r="X659" s="100"/>
      <c r="Y659" s="100"/>
      <c r="Z659" s="100"/>
      <c r="AA659" s="100"/>
      <c r="AB659" s="100"/>
      <c r="AC659" s="100"/>
      <c r="AD659" s="100"/>
      <c r="AF659"/>
      <c r="AG659">
        <f t="shared" si="273"/>
        <v>0</v>
      </c>
      <c r="AH659">
        <f t="shared" si="274"/>
        <v>0</v>
      </c>
      <c r="AK659">
        <f t="shared" si="258"/>
        <v>0</v>
      </c>
      <c r="AL659">
        <f t="shared" si="259"/>
        <v>0</v>
      </c>
      <c r="AM659">
        <f t="shared" si="260"/>
        <v>0</v>
      </c>
      <c r="AN659">
        <f t="shared" si="261"/>
        <v>0</v>
      </c>
      <c r="AO659">
        <f t="shared" si="262"/>
        <v>0</v>
      </c>
      <c r="AP659">
        <f t="shared" si="263"/>
        <v>0</v>
      </c>
      <c r="AQ659">
        <f t="shared" si="264"/>
        <v>0</v>
      </c>
      <c r="AR659">
        <f t="shared" si="265"/>
        <v>0</v>
      </c>
      <c r="AS659">
        <f t="shared" si="266"/>
        <v>0</v>
      </c>
      <c r="AT659">
        <f t="shared" si="267"/>
        <v>0</v>
      </c>
      <c r="AU659">
        <f t="shared" si="268"/>
        <v>0</v>
      </c>
      <c r="AV659">
        <f t="shared" si="269"/>
        <v>0</v>
      </c>
      <c r="AW659">
        <f t="shared" si="270"/>
        <v>0</v>
      </c>
      <c r="AX659">
        <f t="shared" si="271"/>
        <v>0</v>
      </c>
      <c r="AY659">
        <f t="shared" si="272"/>
        <v>0</v>
      </c>
      <c r="CS659"/>
      <c r="CT659"/>
      <c r="CU659"/>
      <c r="CV659"/>
      <c r="CW659"/>
      <c r="CX659"/>
      <c r="CY659"/>
      <c r="CZ659"/>
      <c r="DA659"/>
    </row>
    <row r="660" spans="1:105" ht="15" customHeight="1">
      <c r="A660" s="108"/>
      <c r="B660" s="38"/>
      <c r="C660" s="1109"/>
      <c r="D660" s="954"/>
      <c r="E660" s="956"/>
      <c r="F660" s="1103" t="s">
        <v>4999</v>
      </c>
      <c r="G660" s="1103"/>
      <c r="H660" s="1104" t="s">
        <v>5000</v>
      </c>
      <c r="I660" s="1105"/>
      <c r="J660" s="1105"/>
      <c r="K660" s="1105"/>
      <c r="L660" s="1105"/>
      <c r="M660" s="1105"/>
      <c r="N660" s="1105"/>
      <c r="O660" s="1106"/>
      <c r="P660" s="100"/>
      <c r="Q660" s="100"/>
      <c r="R660" s="100"/>
      <c r="S660" s="100"/>
      <c r="T660" s="100"/>
      <c r="U660" s="100"/>
      <c r="V660" s="100"/>
      <c r="W660" s="100"/>
      <c r="X660" s="100"/>
      <c r="Y660" s="100"/>
      <c r="Z660" s="100"/>
      <c r="AA660" s="100"/>
      <c r="AB660" s="100"/>
      <c r="AC660" s="100"/>
      <c r="AD660" s="100"/>
      <c r="AF660"/>
      <c r="AG660">
        <f t="shared" si="273"/>
        <v>0</v>
      </c>
      <c r="AH660">
        <f t="shared" si="274"/>
        <v>0</v>
      </c>
      <c r="AK660">
        <f t="shared" si="258"/>
        <v>0</v>
      </c>
      <c r="AL660">
        <f t="shared" si="259"/>
        <v>0</v>
      </c>
      <c r="AM660">
        <f t="shared" si="260"/>
        <v>0</v>
      </c>
      <c r="AN660">
        <f t="shared" si="261"/>
        <v>0</v>
      </c>
      <c r="AO660">
        <f t="shared" si="262"/>
        <v>0</v>
      </c>
      <c r="AP660">
        <f t="shared" si="263"/>
        <v>0</v>
      </c>
      <c r="AQ660">
        <f t="shared" si="264"/>
        <v>0</v>
      </c>
      <c r="AR660">
        <f t="shared" si="265"/>
        <v>0</v>
      </c>
      <c r="AS660">
        <f t="shared" si="266"/>
        <v>0</v>
      </c>
      <c r="AT660">
        <f t="shared" si="267"/>
        <v>0</v>
      </c>
      <c r="AU660">
        <f t="shared" si="268"/>
        <v>0</v>
      </c>
      <c r="AV660">
        <f t="shared" si="269"/>
        <v>0</v>
      </c>
      <c r="AW660">
        <f t="shared" si="270"/>
        <v>0</v>
      </c>
      <c r="AX660">
        <f t="shared" si="271"/>
        <v>0</v>
      </c>
      <c r="AY660">
        <f t="shared" si="272"/>
        <v>0</v>
      </c>
      <c r="CS660"/>
      <c r="CT660"/>
      <c r="CU660"/>
      <c r="CV660"/>
      <c r="CW660"/>
      <c r="CX660"/>
      <c r="CY660"/>
      <c r="CZ660"/>
      <c r="DA660"/>
    </row>
    <row r="661" spans="1:105" ht="24" customHeight="1">
      <c r="A661" s="108"/>
      <c r="B661" s="38"/>
      <c r="C661" s="1109"/>
      <c r="D661" s="954"/>
      <c r="E661" s="956"/>
      <c r="F661" s="1103" t="s">
        <v>5001</v>
      </c>
      <c r="G661" s="1103"/>
      <c r="H661" s="1104" t="s">
        <v>5002</v>
      </c>
      <c r="I661" s="1105"/>
      <c r="J661" s="1105"/>
      <c r="K661" s="1105"/>
      <c r="L661" s="1105"/>
      <c r="M661" s="1105"/>
      <c r="N661" s="1105"/>
      <c r="O661" s="1106"/>
      <c r="P661" s="100"/>
      <c r="Q661" s="100"/>
      <c r="R661" s="100"/>
      <c r="S661" s="100"/>
      <c r="T661" s="100"/>
      <c r="U661" s="100"/>
      <c r="V661" s="100"/>
      <c r="W661" s="100"/>
      <c r="X661" s="100"/>
      <c r="Y661" s="100"/>
      <c r="Z661" s="100"/>
      <c r="AA661" s="100"/>
      <c r="AB661" s="100"/>
      <c r="AC661" s="100"/>
      <c r="AD661" s="100"/>
      <c r="AF661">
        <f>IF(P661="NA",IF(AND(COUNTIF(P662:P667,"="&amp;$AF$212)=0,COUNTIF(P662:P667,"&lt;&gt;NA")&gt;0),1,0),IF(AND(COUNTIF(P662:P667,"="&amp;$AF$212)=0,COUNTIF(P662:P667,"NA")=COUNTIF(P662:P667,"&lt;&gt;"&amp;$AF$212)),1,0))</f>
        <v>0</v>
      </c>
      <c r="AG661">
        <f t="shared" si="273"/>
        <v>0</v>
      </c>
      <c r="AH661">
        <f t="shared" si="274"/>
        <v>0</v>
      </c>
      <c r="AK661">
        <f t="shared" si="258"/>
        <v>0</v>
      </c>
      <c r="AL661">
        <f t="shared" si="259"/>
        <v>0</v>
      </c>
      <c r="AM661">
        <f t="shared" si="260"/>
        <v>0</v>
      </c>
      <c r="AN661">
        <f t="shared" si="261"/>
        <v>0</v>
      </c>
      <c r="AO661">
        <f t="shared" si="262"/>
        <v>0</v>
      </c>
      <c r="AP661">
        <f t="shared" si="263"/>
        <v>0</v>
      </c>
      <c r="AQ661">
        <f t="shared" si="264"/>
        <v>0</v>
      </c>
      <c r="AR661">
        <f t="shared" si="265"/>
        <v>0</v>
      </c>
      <c r="AS661">
        <f t="shared" si="266"/>
        <v>0</v>
      </c>
      <c r="AT661">
        <f t="shared" si="267"/>
        <v>0</v>
      </c>
      <c r="AU661">
        <f t="shared" si="268"/>
        <v>0</v>
      </c>
      <c r="AV661">
        <f t="shared" si="269"/>
        <v>0</v>
      </c>
      <c r="AW661">
        <f t="shared" si="270"/>
        <v>0</v>
      </c>
      <c r="AX661">
        <f t="shared" si="271"/>
        <v>0</v>
      </c>
      <c r="AY661">
        <f t="shared" si="272"/>
        <v>0</v>
      </c>
      <c r="CS661"/>
      <c r="CT661"/>
      <c r="CU661"/>
      <c r="CV661"/>
      <c r="CW661"/>
      <c r="CX661"/>
      <c r="CY661"/>
      <c r="CZ661"/>
      <c r="DA661"/>
    </row>
    <row r="662" spans="1:105" ht="15" customHeight="1">
      <c r="A662" s="108"/>
      <c r="B662" s="38"/>
      <c r="C662" s="1109"/>
      <c r="D662" s="954"/>
      <c r="E662" s="956"/>
      <c r="F662" s="1110" t="s">
        <v>5003</v>
      </c>
      <c r="G662" s="1110"/>
      <c r="H662" s="178"/>
      <c r="I662" s="1111" t="s">
        <v>5004</v>
      </c>
      <c r="J662" s="1111"/>
      <c r="K662" s="1111"/>
      <c r="L662" s="1111"/>
      <c r="M662" s="1111"/>
      <c r="N662" s="1111"/>
      <c r="O662" s="1112"/>
      <c r="P662" s="100"/>
      <c r="Q662" s="100"/>
      <c r="R662" s="100"/>
      <c r="S662" s="100"/>
      <c r="T662" s="100"/>
      <c r="U662" s="100"/>
      <c r="V662" s="100"/>
      <c r="W662" s="100"/>
      <c r="X662" s="100"/>
      <c r="Y662" s="100"/>
      <c r="Z662" s="100"/>
      <c r="AA662" s="100"/>
      <c r="AB662" s="100"/>
      <c r="AC662" s="100"/>
      <c r="AD662" s="100"/>
      <c r="AF662"/>
      <c r="AG662">
        <f t="shared" si="273"/>
        <v>0</v>
      </c>
      <c r="AH662">
        <f t="shared" si="274"/>
        <v>0</v>
      </c>
      <c r="AK662">
        <f t="shared" si="258"/>
        <v>0</v>
      </c>
      <c r="AL662">
        <f t="shared" si="259"/>
        <v>0</v>
      </c>
      <c r="AM662">
        <f t="shared" si="260"/>
        <v>0</v>
      </c>
      <c r="AN662">
        <f t="shared" si="261"/>
        <v>0</v>
      </c>
      <c r="AO662">
        <f t="shared" si="262"/>
        <v>0</v>
      </c>
      <c r="AP662">
        <f t="shared" si="263"/>
        <v>0</v>
      </c>
      <c r="AQ662">
        <f t="shared" si="264"/>
        <v>0</v>
      </c>
      <c r="AR662">
        <f t="shared" si="265"/>
        <v>0</v>
      </c>
      <c r="AS662">
        <f t="shared" si="266"/>
        <v>0</v>
      </c>
      <c r="AT662">
        <f t="shared" si="267"/>
        <v>0</v>
      </c>
      <c r="AU662">
        <f t="shared" si="268"/>
        <v>0</v>
      </c>
      <c r="AV662">
        <f t="shared" si="269"/>
        <v>0</v>
      </c>
      <c r="AW662">
        <f t="shared" si="270"/>
        <v>0</v>
      </c>
      <c r="AX662">
        <f t="shared" si="271"/>
        <v>0</v>
      </c>
      <c r="AY662">
        <f t="shared" si="272"/>
        <v>0</v>
      </c>
      <c r="CS662"/>
      <c r="CT662"/>
      <c r="CU662"/>
      <c r="CV662"/>
      <c r="CW662"/>
      <c r="CX662"/>
      <c r="CY662"/>
      <c r="CZ662"/>
      <c r="DA662"/>
    </row>
    <row r="663" spans="1:105" ht="24" customHeight="1">
      <c r="A663" s="108"/>
      <c r="B663" s="38"/>
      <c r="C663" s="1109"/>
      <c r="D663" s="954"/>
      <c r="E663" s="956"/>
      <c r="F663" s="1110" t="s">
        <v>5005</v>
      </c>
      <c r="G663" s="1110"/>
      <c r="H663" s="178"/>
      <c r="I663" s="1111" t="s">
        <v>5006</v>
      </c>
      <c r="J663" s="1111"/>
      <c r="K663" s="1111"/>
      <c r="L663" s="1111"/>
      <c r="M663" s="1111"/>
      <c r="N663" s="1111"/>
      <c r="O663" s="1112"/>
      <c r="P663" s="100"/>
      <c r="Q663" s="100"/>
      <c r="R663" s="100"/>
      <c r="S663" s="100"/>
      <c r="T663" s="100"/>
      <c r="U663" s="100"/>
      <c r="V663" s="100"/>
      <c r="W663" s="100"/>
      <c r="X663" s="100"/>
      <c r="Y663" s="100"/>
      <c r="Z663" s="100"/>
      <c r="AA663" s="100"/>
      <c r="AB663" s="100"/>
      <c r="AC663" s="100"/>
      <c r="AD663" s="100"/>
      <c r="AF663"/>
      <c r="AG663">
        <f t="shared" si="273"/>
        <v>0</v>
      </c>
      <c r="AH663">
        <f t="shared" si="274"/>
        <v>0</v>
      </c>
      <c r="AK663">
        <f t="shared" si="258"/>
        <v>0</v>
      </c>
      <c r="AL663">
        <f t="shared" si="259"/>
        <v>0</v>
      </c>
      <c r="AM663">
        <f t="shared" si="260"/>
        <v>0</v>
      </c>
      <c r="AN663">
        <f t="shared" si="261"/>
        <v>0</v>
      </c>
      <c r="AO663">
        <f t="shared" si="262"/>
        <v>0</v>
      </c>
      <c r="AP663">
        <f t="shared" si="263"/>
        <v>0</v>
      </c>
      <c r="AQ663">
        <f t="shared" si="264"/>
        <v>0</v>
      </c>
      <c r="AR663">
        <f t="shared" si="265"/>
        <v>0</v>
      </c>
      <c r="AS663">
        <f t="shared" si="266"/>
        <v>0</v>
      </c>
      <c r="AT663">
        <f t="shared" si="267"/>
        <v>0</v>
      </c>
      <c r="AU663">
        <f t="shared" si="268"/>
        <v>0</v>
      </c>
      <c r="AV663">
        <f t="shared" si="269"/>
        <v>0</v>
      </c>
      <c r="AW663">
        <f t="shared" si="270"/>
        <v>0</v>
      </c>
      <c r="AX663">
        <f t="shared" si="271"/>
        <v>0</v>
      </c>
      <c r="AY663">
        <f t="shared" si="272"/>
        <v>0</v>
      </c>
      <c r="CS663"/>
      <c r="CT663"/>
      <c r="CU663"/>
      <c r="CV663"/>
      <c r="CW663"/>
      <c r="CX663"/>
      <c r="CY663"/>
      <c r="CZ663"/>
      <c r="DA663"/>
    </row>
    <row r="664" spans="1:105" ht="15" customHeight="1">
      <c r="A664" s="108"/>
      <c r="B664" s="38"/>
      <c r="C664" s="1109"/>
      <c r="D664" s="954"/>
      <c r="E664" s="956"/>
      <c r="F664" s="1110" t="s">
        <v>5007</v>
      </c>
      <c r="G664" s="1110"/>
      <c r="H664" s="178"/>
      <c r="I664" s="1111" t="s">
        <v>5008</v>
      </c>
      <c r="J664" s="1111"/>
      <c r="K664" s="1111"/>
      <c r="L664" s="1111"/>
      <c r="M664" s="1111"/>
      <c r="N664" s="1111"/>
      <c r="O664" s="1112"/>
      <c r="P664" s="100"/>
      <c r="Q664" s="100"/>
      <c r="R664" s="100"/>
      <c r="S664" s="100"/>
      <c r="T664" s="100"/>
      <c r="U664" s="100"/>
      <c r="V664" s="100"/>
      <c r="W664" s="100"/>
      <c r="X664" s="100"/>
      <c r="Y664" s="100"/>
      <c r="Z664" s="100"/>
      <c r="AA664" s="100"/>
      <c r="AB664" s="100"/>
      <c r="AC664" s="100"/>
      <c r="AD664" s="100"/>
      <c r="AF664"/>
      <c r="AG664">
        <f t="shared" si="273"/>
        <v>0</v>
      </c>
      <c r="AH664">
        <f t="shared" si="274"/>
        <v>0</v>
      </c>
      <c r="AK664">
        <f t="shared" si="258"/>
        <v>0</v>
      </c>
      <c r="AL664">
        <f t="shared" si="259"/>
        <v>0</v>
      </c>
      <c r="AM664">
        <f t="shared" si="260"/>
        <v>0</v>
      </c>
      <c r="AN664">
        <f t="shared" si="261"/>
        <v>0</v>
      </c>
      <c r="AO664">
        <f t="shared" si="262"/>
        <v>0</v>
      </c>
      <c r="AP664">
        <f t="shared" si="263"/>
        <v>0</v>
      </c>
      <c r="AQ664">
        <f t="shared" si="264"/>
        <v>0</v>
      </c>
      <c r="AR664">
        <f t="shared" si="265"/>
        <v>0</v>
      </c>
      <c r="AS664">
        <f t="shared" si="266"/>
        <v>0</v>
      </c>
      <c r="AT664">
        <f t="shared" si="267"/>
        <v>0</v>
      </c>
      <c r="AU664">
        <f t="shared" si="268"/>
        <v>0</v>
      </c>
      <c r="AV664">
        <f t="shared" si="269"/>
        <v>0</v>
      </c>
      <c r="AW664">
        <f t="shared" si="270"/>
        <v>0</v>
      </c>
      <c r="AX664">
        <f t="shared" si="271"/>
        <v>0</v>
      </c>
      <c r="AY664">
        <f t="shared" si="272"/>
        <v>0</v>
      </c>
      <c r="CS664"/>
      <c r="CT664"/>
      <c r="CU664"/>
      <c r="CV664"/>
      <c r="CW664"/>
      <c r="CX664"/>
      <c r="CY664"/>
      <c r="CZ664"/>
      <c r="DA664"/>
    </row>
    <row r="665" spans="1:105" ht="24" customHeight="1">
      <c r="A665" s="108"/>
      <c r="B665" s="38"/>
      <c r="C665" s="1109"/>
      <c r="D665" s="954"/>
      <c r="E665" s="956"/>
      <c r="F665" s="1110" t="s">
        <v>5009</v>
      </c>
      <c r="G665" s="1110"/>
      <c r="H665" s="178"/>
      <c r="I665" s="1111" t="s">
        <v>5010</v>
      </c>
      <c r="J665" s="1111"/>
      <c r="K665" s="1111"/>
      <c r="L665" s="1111"/>
      <c r="M665" s="1111"/>
      <c r="N665" s="1111"/>
      <c r="O665" s="1112"/>
      <c r="P665" s="100"/>
      <c r="Q665" s="100"/>
      <c r="R665" s="100"/>
      <c r="S665" s="100"/>
      <c r="T665" s="100"/>
      <c r="U665" s="100"/>
      <c r="V665" s="100"/>
      <c r="W665" s="100"/>
      <c r="X665" s="100"/>
      <c r="Y665" s="100"/>
      <c r="Z665" s="100"/>
      <c r="AA665" s="100"/>
      <c r="AB665" s="100"/>
      <c r="AC665" s="100"/>
      <c r="AD665" s="100"/>
      <c r="AF665"/>
      <c r="AG665">
        <f t="shared" si="273"/>
        <v>0</v>
      </c>
      <c r="AH665">
        <f t="shared" si="274"/>
        <v>0</v>
      </c>
      <c r="AK665">
        <f t="shared" si="258"/>
        <v>0</v>
      </c>
      <c r="AL665">
        <f t="shared" si="259"/>
        <v>0</v>
      </c>
      <c r="AM665">
        <f t="shared" si="260"/>
        <v>0</v>
      </c>
      <c r="AN665">
        <f t="shared" si="261"/>
        <v>0</v>
      </c>
      <c r="AO665">
        <f t="shared" si="262"/>
        <v>0</v>
      </c>
      <c r="AP665">
        <f t="shared" si="263"/>
        <v>0</v>
      </c>
      <c r="AQ665">
        <f t="shared" si="264"/>
        <v>0</v>
      </c>
      <c r="AR665">
        <f t="shared" si="265"/>
        <v>0</v>
      </c>
      <c r="AS665">
        <f t="shared" si="266"/>
        <v>0</v>
      </c>
      <c r="AT665">
        <f t="shared" si="267"/>
        <v>0</v>
      </c>
      <c r="AU665">
        <f t="shared" si="268"/>
        <v>0</v>
      </c>
      <c r="AV665">
        <f t="shared" si="269"/>
        <v>0</v>
      </c>
      <c r="AW665">
        <f t="shared" si="270"/>
        <v>0</v>
      </c>
      <c r="AX665">
        <f t="shared" si="271"/>
        <v>0</v>
      </c>
      <c r="AY665">
        <f t="shared" si="272"/>
        <v>0</v>
      </c>
      <c r="CS665"/>
      <c r="CT665"/>
      <c r="CU665"/>
      <c r="CV665"/>
      <c r="CW665"/>
      <c r="CX665"/>
      <c r="CY665"/>
      <c r="CZ665"/>
      <c r="DA665"/>
    </row>
    <row r="666" spans="1:105" ht="36" customHeight="1">
      <c r="A666" s="108"/>
      <c r="B666" s="38"/>
      <c r="C666" s="1109"/>
      <c r="D666" s="954"/>
      <c r="E666" s="956"/>
      <c r="F666" s="1110" t="s">
        <v>5011</v>
      </c>
      <c r="G666" s="1110"/>
      <c r="H666" s="178"/>
      <c r="I666" s="1111" t="s">
        <v>5012</v>
      </c>
      <c r="J666" s="1111"/>
      <c r="K666" s="1111"/>
      <c r="L666" s="1111"/>
      <c r="M666" s="1111"/>
      <c r="N666" s="1111"/>
      <c r="O666" s="1112"/>
      <c r="P666" s="100"/>
      <c r="Q666" s="100"/>
      <c r="R666" s="100"/>
      <c r="S666" s="100"/>
      <c r="T666" s="100"/>
      <c r="U666" s="100"/>
      <c r="V666" s="100"/>
      <c r="W666" s="100"/>
      <c r="X666" s="100"/>
      <c r="Y666" s="100"/>
      <c r="Z666" s="100"/>
      <c r="AA666" s="100"/>
      <c r="AB666" s="100"/>
      <c r="AC666" s="100"/>
      <c r="AD666" s="100"/>
      <c r="AF666"/>
      <c r="AG666">
        <f t="shared" si="273"/>
        <v>0</v>
      </c>
      <c r="AH666">
        <f t="shared" si="274"/>
        <v>0</v>
      </c>
      <c r="AK666">
        <f t="shared" si="258"/>
        <v>0</v>
      </c>
      <c r="AL666">
        <f t="shared" si="259"/>
        <v>0</v>
      </c>
      <c r="AM666">
        <f t="shared" si="260"/>
        <v>0</v>
      </c>
      <c r="AN666">
        <f t="shared" si="261"/>
        <v>0</v>
      </c>
      <c r="AO666">
        <f t="shared" si="262"/>
        <v>0</v>
      </c>
      <c r="AP666">
        <f t="shared" si="263"/>
        <v>0</v>
      </c>
      <c r="AQ666">
        <f t="shared" si="264"/>
        <v>0</v>
      </c>
      <c r="AR666">
        <f t="shared" si="265"/>
        <v>0</v>
      </c>
      <c r="AS666">
        <f t="shared" si="266"/>
        <v>0</v>
      </c>
      <c r="AT666">
        <f t="shared" si="267"/>
        <v>0</v>
      </c>
      <c r="AU666">
        <f t="shared" si="268"/>
        <v>0</v>
      </c>
      <c r="AV666">
        <f t="shared" si="269"/>
        <v>0</v>
      </c>
      <c r="AW666">
        <f t="shared" si="270"/>
        <v>0</v>
      </c>
      <c r="AX666">
        <f t="shared" si="271"/>
        <v>0</v>
      </c>
      <c r="AY666">
        <f t="shared" si="272"/>
        <v>0</v>
      </c>
      <c r="CS666"/>
      <c r="CT666"/>
      <c r="CU666"/>
      <c r="CV666"/>
      <c r="CW666"/>
      <c r="CX666"/>
      <c r="CY666"/>
      <c r="CZ666"/>
      <c r="DA666"/>
    </row>
    <row r="667" spans="1:105" ht="15" customHeight="1">
      <c r="A667" s="108"/>
      <c r="B667" s="38"/>
      <c r="C667" s="1109"/>
      <c r="D667" s="954"/>
      <c r="E667" s="956"/>
      <c r="F667" s="1110" t="s">
        <v>5013</v>
      </c>
      <c r="G667" s="1110"/>
      <c r="H667" s="178"/>
      <c r="I667" s="1111" t="s">
        <v>2631</v>
      </c>
      <c r="J667" s="1111"/>
      <c r="K667" s="1111"/>
      <c r="L667" s="1111"/>
      <c r="M667" s="1111"/>
      <c r="N667" s="1111"/>
      <c r="O667" s="1112"/>
      <c r="P667" s="100"/>
      <c r="Q667" s="100"/>
      <c r="R667" s="100"/>
      <c r="S667" s="100"/>
      <c r="T667" s="100"/>
      <c r="U667" s="100"/>
      <c r="V667" s="100"/>
      <c r="W667" s="100"/>
      <c r="X667" s="100"/>
      <c r="Y667" s="100"/>
      <c r="Z667" s="100"/>
      <c r="AA667" s="100"/>
      <c r="AB667" s="100"/>
      <c r="AC667" s="100"/>
      <c r="AD667" s="100"/>
      <c r="AF667"/>
      <c r="AG667">
        <f t="shared" si="273"/>
        <v>0</v>
      </c>
      <c r="AH667">
        <f t="shared" si="274"/>
        <v>0</v>
      </c>
      <c r="AK667">
        <f t="shared" si="258"/>
        <v>0</v>
      </c>
      <c r="AL667">
        <f t="shared" si="259"/>
        <v>0</v>
      </c>
      <c r="AM667">
        <f t="shared" si="260"/>
        <v>0</v>
      </c>
      <c r="AN667">
        <f t="shared" si="261"/>
        <v>0</v>
      </c>
      <c r="AO667">
        <f t="shared" si="262"/>
        <v>0</v>
      </c>
      <c r="AP667">
        <f t="shared" si="263"/>
        <v>0</v>
      </c>
      <c r="AQ667">
        <f t="shared" si="264"/>
        <v>0</v>
      </c>
      <c r="AR667">
        <f t="shared" si="265"/>
        <v>0</v>
      </c>
      <c r="AS667">
        <f t="shared" si="266"/>
        <v>0</v>
      </c>
      <c r="AT667">
        <f t="shared" si="267"/>
        <v>0</v>
      </c>
      <c r="AU667">
        <f t="shared" si="268"/>
        <v>0</v>
      </c>
      <c r="AV667">
        <f t="shared" si="269"/>
        <v>0</v>
      </c>
      <c r="AW667">
        <f t="shared" si="270"/>
        <v>0</v>
      </c>
      <c r="AX667">
        <f t="shared" si="271"/>
        <v>0</v>
      </c>
      <c r="AY667">
        <f t="shared" si="272"/>
        <v>0</v>
      </c>
      <c r="CS667"/>
      <c r="CT667"/>
      <c r="CU667"/>
      <c r="CV667"/>
      <c r="CW667"/>
      <c r="CX667"/>
      <c r="CY667"/>
      <c r="CZ667"/>
      <c r="DA667"/>
    </row>
    <row r="668" spans="1:105" ht="15" customHeight="1">
      <c r="A668" s="108"/>
      <c r="B668" s="38"/>
      <c r="C668" s="1109"/>
      <c r="D668" s="954"/>
      <c r="E668" s="956"/>
      <c r="F668" s="1103" t="s">
        <v>5014</v>
      </c>
      <c r="G668" s="1103"/>
      <c r="H668" s="1104" t="s">
        <v>5015</v>
      </c>
      <c r="I668" s="1105"/>
      <c r="J668" s="1105"/>
      <c r="K668" s="1105"/>
      <c r="L668" s="1105"/>
      <c r="M668" s="1105"/>
      <c r="N668" s="1105"/>
      <c r="O668" s="1106"/>
      <c r="P668" s="100"/>
      <c r="Q668" s="100"/>
      <c r="R668" s="100"/>
      <c r="S668" s="100"/>
      <c r="T668" s="100"/>
      <c r="U668" s="100"/>
      <c r="V668" s="100"/>
      <c r="W668" s="100"/>
      <c r="X668" s="100"/>
      <c r="Y668" s="100"/>
      <c r="Z668" s="100"/>
      <c r="AA668" s="100"/>
      <c r="AB668" s="100"/>
      <c r="AC668" s="100"/>
      <c r="AD668" s="100"/>
      <c r="AF668"/>
      <c r="AG668">
        <f t="shared" si="273"/>
        <v>0</v>
      </c>
      <c r="AH668">
        <f t="shared" si="274"/>
        <v>0</v>
      </c>
      <c r="AK668">
        <f t="shared" si="258"/>
        <v>0</v>
      </c>
      <c r="AL668">
        <f t="shared" si="259"/>
        <v>0</v>
      </c>
      <c r="AM668">
        <f t="shared" si="260"/>
        <v>0</v>
      </c>
      <c r="AN668">
        <f t="shared" si="261"/>
        <v>0</v>
      </c>
      <c r="AO668">
        <f t="shared" si="262"/>
        <v>0</v>
      </c>
      <c r="AP668">
        <f t="shared" si="263"/>
        <v>0</v>
      </c>
      <c r="AQ668">
        <f t="shared" si="264"/>
        <v>0</v>
      </c>
      <c r="AR668">
        <f t="shared" si="265"/>
        <v>0</v>
      </c>
      <c r="AS668">
        <f t="shared" si="266"/>
        <v>0</v>
      </c>
      <c r="AT668">
        <f t="shared" si="267"/>
        <v>0</v>
      </c>
      <c r="AU668">
        <f t="shared" si="268"/>
        <v>0</v>
      </c>
      <c r="AV668">
        <f t="shared" si="269"/>
        <v>0</v>
      </c>
      <c r="AW668">
        <f t="shared" si="270"/>
        <v>0</v>
      </c>
      <c r="AX668">
        <f t="shared" si="271"/>
        <v>0</v>
      </c>
      <c r="AY668">
        <f t="shared" si="272"/>
        <v>0</v>
      </c>
      <c r="CS668"/>
      <c r="CT668"/>
      <c r="CU668"/>
      <c r="CV668"/>
      <c r="CW668"/>
      <c r="CX668"/>
      <c r="CY668"/>
      <c r="CZ668"/>
      <c r="DA668"/>
    </row>
    <row r="669" spans="1:105" ht="15" customHeight="1">
      <c r="A669" s="108"/>
      <c r="B669" s="38"/>
      <c r="C669" s="1109"/>
      <c r="D669" s="954"/>
      <c r="E669" s="956"/>
      <c r="F669" s="1103" t="s">
        <v>5016</v>
      </c>
      <c r="G669" s="1103"/>
      <c r="H669" s="1104" t="s">
        <v>5017</v>
      </c>
      <c r="I669" s="1105"/>
      <c r="J669" s="1105"/>
      <c r="K669" s="1105"/>
      <c r="L669" s="1105"/>
      <c r="M669" s="1105"/>
      <c r="N669" s="1105"/>
      <c r="O669" s="1106"/>
      <c r="P669" s="100"/>
      <c r="Q669" s="100"/>
      <c r="R669" s="100"/>
      <c r="S669" s="100"/>
      <c r="T669" s="100"/>
      <c r="U669" s="100"/>
      <c r="V669" s="100"/>
      <c r="W669" s="100"/>
      <c r="X669" s="100"/>
      <c r="Y669" s="100"/>
      <c r="Z669" s="100"/>
      <c r="AA669" s="100"/>
      <c r="AB669" s="100"/>
      <c r="AC669" s="100"/>
      <c r="AD669" s="100"/>
      <c r="AF669"/>
      <c r="AG669">
        <f t="shared" si="273"/>
        <v>0</v>
      </c>
      <c r="AH669">
        <f t="shared" si="274"/>
        <v>0</v>
      </c>
      <c r="AK669">
        <f t="shared" si="258"/>
        <v>0</v>
      </c>
      <c r="AL669">
        <f t="shared" si="259"/>
        <v>0</v>
      </c>
      <c r="AM669">
        <f t="shared" si="260"/>
        <v>0</v>
      </c>
      <c r="AN669">
        <f t="shared" si="261"/>
        <v>0</v>
      </c>
      <c r="AO669">
        <f t="shared" si="262"/>
        <v>0</v>
      </c>
      <c r="AP669">
        <f t="shared" si="263"/>
        <v>0</v>
      </c>
      <c r="AQ669">
        <f t="shared" si="264"/>
        <v>0</v>
      </c>
      <c r="AR669">
        <f t="shared" si="265"/>
        <v>0</v>
      </c>
      <c r="AS669">
        <f t="shared" si="266"/>
        <v>0</v>
      </c>
      <c r="AT669">
        <f t="shared" si="267"/>
        <v>0</v>
      </c>
      <c r="AU669">
        <f t="shared" si="268"/>
        <v>0</v>
      </c>
      <c r="AV669">
        <f t="shared" si="269"/>
        <v>0</v>
      </c>
      <c r="AW669">
        <f t="shared" si="270"/>
        <v>0</v>
      </c>
      <c r="AX669">
        <f t="shared" si="271"/>
        <v>0</v>
      </c>
      <c r="AY669">
        <f t="shared" si="272"/>
        <v>0</v>
      </c>
      <c r="CS669"/>
      <c r="CT669"/>
      <c r="CU669"/>
      <c r="CV669"/>
      <c r="CW669"/>
      <c r="CX669"/>
      <c r="CY669"/>
      <c r="CZ669"/>
      <c r="DA669"/>
    </row>
    <row r="670" spans="1:105" ht="24" customHeight="1">
      <c r="A670" s="108"/>
      <c r="B670" s="38"/>
      <c r="C670" s="1109"/>
      <c r="D670" s="954"/>
      <c r="E670" s="956"/>
      <c r="F670" s="1103" t="s">
        <v>5018</v>
      </c>
      <c r="G670" s="1103"/>
      <c r="H670" s="1104" t="s">
        <v>5019</v>
      </c>
      <c r="I670" s="1105"/>
      <c r="J670" s="1105"/>
      <c r="K670" s="1105"/>
      <c r="L670" s="1105"/>
      <c r="M670" s="1105"/>
      <c r="N670" s="1105"/>
      <c r="O670" s="1106"/>
      <c r="P670" s="100"/>
      <c r="Q670" s="100"/>
      <c r="R670" s="100"/>
      <c r="S670" s="100"/>
      <c r="T670" s="100"/>
      <c r="U670" s="100"/>
      <c r="V670" s="100"/>
      <c r="W670" s="100"/>
      <c r="X670" s="100"/>
      <c r="Y670" s="100"/>
      <c r="Z670" s="100"/>
      <c r="AA670" s="100"/>
      <c r="AB670" s="100"/>
      <c r="AC670" s="100"/>
      <c r="AD670" s="100"/>
      <c r="AF670"/>
      <c r="AG670">
        <f t="shared" si="273"/>
        <v>0</v>
      </c>
      <c r="AH670">
        <f t="shared" si="274"/>
        <v>0</v>
      </c>
      <c r="AJ670">
        <f>IF(OR(P670="NS",P670="NA",$P$176=0,$P$176="NS",$P$176="NA"),0,IF((P670*(IFERROR(100/SUM(P642:P670),0)))&gt;25,1,0))</f>
        <v>0</v>
      </c>
      <c r="AK670">
        <f t="shared" si="258"/>
        <v>0</v>
      </c>
      <c r="AL670">
        <f t="shared" si="259"/>
        <v>0</v>
      </c>
      <c r="AM670">
        <f t="shared" si="260"/>
        <v>0</v>
      </c>
      <c r="AN670">
        <f t="shared" si="261"/>
        <v>0</v>
      </c>
      <c r="AO670">
        <f t="shared" si="262"/>
        <v>0</v>
      </c>
      <c r="AP670">
        <f t="shared" si="263"/>
        <v>0</v>
      </c>
      <c r="AQ670">
        <f t="shared" si="264"/>
        <v>0</v>
      </c>
      <c r="AR670">
        <f t="shared" si="265"/>
        <v>0</v>
      </c>
      <c r="AS670">
        <f t="shared" si="266"/>
        <v>0</v>
      </c>
      <c r="AT670">
        <f t="shared" si="267"/>
        <v>0</v>
      </c>
      <c r="AU670">
        <f t="shared" si="268"/>
        <v>0</v>
      </c>
      <c r="AV670">
        <f t="shared" si="269"/>
        <v>0</v>
      </c>
      <c r="AW670">
        <f t="shared" si="270"/>
        <v>0</v>
      </c>
      <c r="AX670">
        <f t="shared" si="271"/>
        <v>0</v>
      </c>
      <c r="AY670">
        <f t="shared" si="272"/>
        <v>0</v>
      </c>
      <c r="CS670"/>
      <c r="CT670"/>
      <c r="CU670"/>
      <c r="CV670"/>
      <c r="CW670"/>
      <c r="CX670"/>
      <c r="CY670"/>
      <c r="CZ670"/>
      <c r="DA670"/>
    </row>
    <row r="671" spans="1:105" ht="15" customHeight="1">
      <c r="A671" s="108"/>
      <c r="B671" s="38"/>
      <c r="C671" s="1108" t="s">
        <v>5020</v>
      </c>
      <c r="D671" s="847" t="s">
        <v>5021</v>
      </c>
      <c r="E671" s="848"/>
      <c r="F671" s="1103" t="s">
        <v>5022</v>
      </c>
      <c r="G671" s="1103"/>
      <c r="H671" s="1104" t="s">
        <v>5023</v>
      </c>
      <c r="I671" s="1105"/>
      <c r="J671" s="1105"/>
      <c r="K671" s="1105"/>
      <c r="L671" s="1105"/>
      <c r="M671" s="1105"/>
      <c r="N671" s="1105"/>
      <c r="O671" s="1106"/>
      <c r="P671" s="100"/>
      <c r="Q671" s="100"/>
      <c r="R671" s="100"/>
      <c r="S671" s="100"/>
      <c r="T671" s="100"/>
      <c r="U671" s="100"/>
      <c r="V671" s="100"/>
      <c r="W671" s="100"/>
      <c r="X671" s="100"/>
      <c r="Y671" s="100"/>
      <c r="Z671" s="100"/>
      <c r="AA671" s="100"/>
      <c r="AB671" s="100"/>
      <c r="AC671" s="100"/>
      <c r="AD671" s="100"/>
      <c r="AF671">
        <f>IF(P671="NA",IF(AND(COUNTIF(P672:P680,"="&amp;$AF$212)=0,COUNTIF(P672:P680,"&lt;&gt;NA")&gt;0),1,0),IF(AND(COUNTIF(P672:P680,"="&amp;$AF$212)=0,COUNTIF(P672:P680,"NA")=COUNTIF(P672:P680,"&lt;&gt;"&amp;$AF$212)),1,0))</f>
        <v>0</v>
      </c>
      <c r="AG671">
        <f t="shared" si="273"/>
        <v>0</v>
      </c>
      <c r="AH671">
        <f t="shared" si="274"/>
        <v>0</v>
      </c>
      <c r="AK671">
        <f t="shared" si="258"/>
        <v>0</v>
      </c>
      <c r="AL671">
        <f t="shared" si="259"/>
        <v>0</v>
      </c>
      <c r="AM671">
        <f t="shared" si="260"/>
        <v>0</v>
      </c>
      <c r="AN671">
        <f t="shared" si="261"/>
        <v>0</v>
      </c>
      <c r="AO671">
        <f t="shared" si="262"/>
        <v>0</v>
      </c>
      <c r="AP671">
        <f t="shared" si="263"/>
        <v>0</v>
      </c>
      <c r="AQ671">
        <f t="shared" si="264"/>
        <v>0</v>
      </c>
      <c r="AR671">
        <f t="shared" si="265"/>
        <v>0</v>
      </c>
      <c r="AS671">
        <f t="shared" si="266"/>
        <v>0</v>
      </c>
      <c r="AT671">
        <f t="shared" si="267"/>
        <v>0</v>
      </c>
      <c r="AU671">
        <f t="shared" si="268"/>
        <v>0</v>
      </c>
      <c r="AV671">
        <f t="shared" si="269"/>
        <v>0</v>
      </c>
      <c r="AW671">
        <f t="shared" si="270"/>
        <v>0</v>
      </c>
      <c r="AX671">
        <f t="shared" si="271"/>
        <v>0</v>
      </c>
      <c r="AY671">
        <f t="shared" si="272"/>
        <v>0</v>
      </c>
      <c r="CS671"/>
      <c r="CT671"/>
      <c r="CU671"/>
      <c r="CV671"/>
      <c r="CW671"/>
      <c r="CX671"/>
      <c r="CY671"/>
      <c r="CZ671"/>
      <c r="DA671"/>
    </row>
    <row r="672" spans="1:105" ht="24" customHeight="1">
      <c r="A672" s="108"/>
      <c r="B672" s="38"/>
      <c r="C672" s="1109"/>
      <c r="D672" s="954"/>
      <c r="E672" s="956"/>
      <c r="F672" s="1110" t="s">
        <v>5024</v>
      </c>
      <c r="G672" s="1110"/>
      <c r="H672" s="178"/>
      <c r="I672" s="1111" t="s">
        <v>5025</v>
      </c>
      <c r="J672" s="1111"/>
      <c r="K672" s="1111"/>
      <c r="L672" s="1111"/>
      <c r="M672" s="1111"/>
      <c r="N672" s="1111"/>
      <c r="O672" s="1112"/>
      <c r="P672" s="100"/>
      <c r="Q672" s="100"/>
      <c r="R672" s="100"/>
      <c r="S672" s="100"/>
      <c r="T672" s="100"/>
      <c r="U672" s="100"/>
      <c r="V672" s="100"/>
      <c r="W672" s="100"/>
      <c r="X672" s="100"/>
      <c r="Y672" s="100"/>
      <c r="Z672" s="100"/>
      <c r="AA672" s="100"/>
      <c r="AB672" s="100"/>
      <c r="AC672" s="100"/>
      <c r="AD672" s="100"/>
      <c r="AF672"/>
      <c r="AG672">
        <f t="shared" si="273"/>
        <v>0</v>
      </c>
      <c r="AH672">
        <f t="shared" si="274"/>
        <v>0</v>
      </c>
      <c r="AK672">
        <f t="shared" si="258"/>
        <v>0</v>
      </c>
      <c r="AL672">
        <f t="shared" si="259"/>
        <v>0</v>
      </c>
      <c r="AM672">
        <f t="shared" si="260"/>
        <v>0</v>
      </c>
      <c r="AN672">
        <f t="shared" si="261"/>
        <v>0</v>
      </c>
      <c r="AO672">
        <f t="shared" si="262"/>
        <v>0</v>
      </c>
      <c r="AP672">
        <f t="shared" si="263"/>
        <v>0</v>
      </c>
      <c r="AQ672">
        <f t="shared" si="264"/>
        <v>0</v>
      </c>
      <c r="AR672">
        <f t="shared" si="265"/>
        <v>0</v>
      </c>
      <c r="AS672">
        <f t="shared" si="266"/>
        <v>0</v>
      </c>
      <c r="AT672">
        <f t="shared" si="267"/>
        <v>0</v>
      </c>
      <c r="AU672">
        <f t="shared" si="268"/>
        <v>0</v>
      </c>
      <c r="AV672">
        <f t="shared" si="269"/>
        <v>0</v>
      </c>
      <c r="AW672">
        <f t="shared" si="270"/>
        <v>0</v>
      </c>
      <c r="AX672">
        <f t="shared" si="271"/>
        <v>0</v>
      </c>
      <c r="AY672">
        <f t="shared" si="272"/>
        <v>0</v>
      </c>
      <c r="CS672"/>
      <c r="CT672"/>
      <c r="CU672"/>
      <c r="CV672"/>
      <c r="CW672"/>
      <c r="CX672"/>
      <c r="CY672"/>
      <c r="CZ672"/>
      <c r="DA672"/>
    </row>
    <row r="673" spans="1:105" ht="15" customHeight="1">
      <c r="A673" s="108"/>
      <c r="B673" s="38"/>
      <c r="C673" s="1109"/>
      <c r="D673" s="954"/>
      <c r="E673" s="956"/>
      <c r="F673" s="1110" t="s">
        <v>5026</v>
      </c>
      <c r="G673" s="1110"/>
      <c r="H673" s="178"/>
      <c r="I673" s="1111" t="s">
        <v>5027</v>
      </c>
      <c r="J673" s="1111"/>
      <c r="K673" s="1111"/>
      <c r="L673" s="1111"/>
      <c r="M673" s="1111"/>
      <c r="N673" s="1111"/>
      <c r="O673" s="1112"/>
      <c r="P673" s="100"/>
      <c r="Q673" s="100"/>
      <c r="R673" s="100"/>
      <c r="S673" s="100"/>
      <c r="T673" s="100"/>
      <c r="U673" s="100"/>
      <c r="V673" s="100"/>
      <c r="W673" s="100"/>
      <c r="X673" s="100"/>
      <c r="Y673" s="100"/>
      <c r="Z673" s="100"/>
      <c r="AA673" s="100"/>
      <c r="AB673" s="100"/>
      <c r="AC673" s="100"/>
      <c r="AD673" s="100"/>
      <c r="AF673"/>
      <c r="AG673">
        <f t="shared" si="273"/>
        <v>0</v>
      </c>
      <c r="AH673">
        <f t="shared" si="274"/>
        <v>0</v>
      </c>
      <c r="AK673">
        <f t="shared" si="258"/>
        <v>0</v>
      </c>
      <c r="AL673">
        <f t="shared" si="259"/>
        <v>0</v>
      </c>
      <c r="AM673">
        <f t="shared" si="260"/>
        <v>0</v>
      </c>
      <c r="AN673">
        <f t="shared" si="261"/>
        <v>0</v>
      </c>
      <c r="AO673">
        <f t="shared" si="262"/>
        <v>0</v>
      </c>
      <c r="AP673">
        <f t="shared" si="263"/>
        <v>0</v>
      </c>
      <c r="AQ673">
        <f t="shared" si="264"/>
        <v>0</v>
      </c>
      <c r="AR673">
        <f t="shared" si="265"/>
        <v>0</v>
      </c>
      <c r="AS673">
        <f t="shared" si="266"/>
        <v>0</v>
      </c>
      <c r="AT673">
        <f t="shared" si="267"/>
        <v>0</v>
      </c>
      <c r="AU673">
        <f t="shared" si="268"/>
        <v>0</v>
      </c>
      <c r="AV673">
        <f t="shared" si="269"/>
        <v>0</v>
      </c>
      <c r="AW673">
        <f t="shared" si="270"/>
        <v>0</v>
      </c>
      <c r="AX673">
        <f t="shared" si="271"/>
        <v>0</v>
      </c>
      <c r="AY673">
        <f t="shared" si="272"/>
        <v>0</v>
      </c>
      <c r="CS673"/>
      <c r="CT673"/>
      <c r="CU673"/>
      <c r="CV673"/>
      <c r="CW673"/>
      <c r="CX673"/>
      <c r="CY673"/>
      <c r="CZ673"/>
      <c r="DA673"/>
    </row>
    <row r="674" spans="1:105" ht="15" customHeight="1">
      <c r="A674" s="108"/>
      <c r="B674" s="38"/>
      <c r="C674" s="1109"/>
      <c r="D674" s="954"/>
      <c r="E674" s="956"/>
      <c r="F674" s="1110" t="s">
        <v>5028</v>
      </c>
      <c r="G674" s="1110"/>
      <c r="H674" s="178"/>
      <c r="I674" s="1111" t="s">
        <v>5029</v>
      </c>
      <c r="J674" s="1111"/>
      <c r="K674" s="1111"/>
      <c r="L674" s="1111"/>
      <c r="M674" s="1111"/>
      <c r="N674" s="1111"/>
      <c r="O674" s="1112"/>
      <c r="P674" s="100"/>
      <c r="Q674" s="100"/>
      <c r="R674" s="100"/>
      <c r="S674" s="100"/>
      <c r="T674" s="100"/>
      <c r="U674" s="100"/>
      <c r="V674" s="100"/>
      <c r="W674" s="100"/>
      <c r="X674" s="100"/>
      <c r="Y674" s="100"/>
      <c r="Z674" s="100"/>
      <c r="AA674" s="100"/>
      <c r="AB674" s="100"/>
      <c r="AC674" s="100"/>
      <c r="AD674" s="100"/>
      <c r="AF674"/>
      <c r="AG674">
        <f t="shared" si="273"/>
        <v>0</v>
      </c>
      <c r="AH674">
        <f t="shared" si="274"/>
        <v>0</v>
      </c>
      <c r="AK674">
        <f t="shared" si="258"/>
        <v>0</v>
      </c>
      <c r="AL674">
        <f t="shared" si="259"/>
        <v>0</v>
      </c>
      <c r="AM674">
        <f t="shared" si="260"/>
        <v>0</v>
      </c>
      <c r="AN674">
        <f t="shared" si="261"/>
        <v>0</v>
      </c>
      <c r="AO674">
        <f t="shared" si="262"/>
        <v>0</v>
      </c>
      <c r="AP674">
        <f t="shared" si="263"/>
        <v>0</v>
      </c>
      <c r="AQ674">
        <f t="shared" si="264"/>
        <v>0</v>
      </c>
      <c r="AR674">
        <f t="shared" si="265"/>
        <v>0</v>
      </c>
      <c r="AS674">
        <f t="shared" si="266"/>
        <v>0</v>
      </c>
      <c r="AT674">
        <f t="shared" si="267"/>
        <v>0</v>
      </c>
      <c r="AU674">
        <f t="shared" si="268"/>
        <v>0</v>
      </c>
      <c r="AV674">
        <f t="shared" si="269"/>
        <v>0</v>
      </c>
      <c r="AW674">
        <f t="shared" si="270"/>
        <v>0</v>
      </c>
      <c r="AX674">
        <f t="shared" si="271"/>
        <v>0</v>
      </c>
      <c r="AY674">
        <f t="shared" si="272"/>
        <v>0</v>
      </c>
      <c r="CS674"/>
      <c r="CT674"/>
      <c r="CU674"/>
      <c r="CV674"/>
      <c r="CW674"/>
      <c r="CX674"/>
      <c r="CY674"/>
      <c r="CZ674"/>
      <c r="DA674"/>
    </row>
    <row r="675" spans="1:105" ht="15" customHeight="1">
      <c r="A675" s="108"/>
      <c r="B675" s="38"/>
      <c r="C675" s="1109"/>
      <c r="D675" s="954"/>
      <c r="E675" s="956"/>
      <c r="F675" s="1110" t="s">
        <v>5030</v>
      </c>
      <c r="G675" s="1110"/>
      <c r="H675" s="178"/>
      <c r="I675" s="1111" t="s">
        <v>5031</v>
      </c>
      <c r="J675" s="1111"/>
      <c r="K675" s="1111"/>
      <c r="L675" s="1111"/>
      <c r="M675" s="1111"/>
      <c r="N675" s="1111"/>
      <c r="O675" s="1112"/>
      <c r="P675" s="100"/>
      <c r="Q675" s="100"/>
      <c r="R675" s="100"/>
      <c r="S675" s="100"/>
      <c r="T675" s="100"/>
      <c r="U675" s="100"/>
      <c r="V675" s="100"/>
      <c r="W675" s="100"/>
      <c r="X675" s="100"/>
      <c r="Y675" s="100"/>
      <c r="Z675" s="100"/>
      <c r="AA675" s="100"/>
      <c r="AB675" s="100"/>
      <c r="AC675" s="100"/>
      <c r="AD675" s="100"/>
      <c r="AF675"/>
      <c r="AG675">
        <f t="shared" si="273"/>
        <v>0</v>
      </c>
      <c r="AH675">
        <f t="shared" si="274"/>
        <v>0</v>
      </c>
      <c r="AK675">
        <f t="shared" si="258"/>
        <v>0</v>
      </c>
      <c r="AL675">
        <f t="shared" si="259"/>
        <v>0</v>
      </c>
      <c r="AM675">
        <f t="shared" si="260"/>
        <v>0</v>
      </c>
      <c r="AN675">
        <f t="shared" si="261"/>
        <v>0</v>
      </c>
      <c r="AO675">
        <f t="shared" si="262"/>
        <v>0</v>
      </c>
      <c r="AP675">
        <f t="shared" si="263"/>
        <v>0</v>
      </c>
      <c r="AQ675">
        <f t="shared" si="264"/>
        <v>0</v>
      </c>
      <c r="AR675">
        <f t="shared" si="265"/>
        <v>0</v>
      </c>
      <c r="AS675">
        <f t="shared" si="266"/>
        <v>0</v>
      </c>
      <c r="AT675">
        <f t="shared" si="267"/>
        <v>0</v>
      </c>
      <c r="AU675">
        <f t="shared" si="268"/>
        <v>0</v>
      </c>
      <c r="AV675">
        <f t="shared" si="269"/>
        <v>0</v>
      </c>
      <c r="AW675">
        <f t="shared" si="270"/>
        <v>0</v>
      </c>
      <c r="AX675">
        <f t="shared" si="271"/>
        <v>0</v>
      </c>
      <c r="AY675">
        <f t="shared" si="272"/>
        <v>0</v>
      </c>
      <c r="CS675"/>
      <c r="CT675"/>
      <c r="CU675"/>
      <c r="CV675"/>
      <c r="CW675"/>
      <c r="CX675"/>
      <c r="CY675"/>
      <c r="CZ675"/>
      <c r="DA675"/>
    </row>
    <row r="676" spans="1:105" ht="15" customHeight="1">
      <c r="A676" s="108"/>
      <c r="B676" s="38"/>
      <c r="C676" s="1109"/>
      <c r="D676" s="954"/>
      <c r="E676" s="956"/>
      <c r="F676" s="1110" t="s">
        <v>5032</v>
      </c>
      <c r="G676" s="1110"/>
      <c r="H676" s="178"/>
      <c r="I676" s="1111" t="s">
        <v>5033</v>
      </c>
      <c r="J676" s="1111"/>
      <c r="K676" s="1111"/>
      <c r="L676" s="1111"/>
      <c r="M676" s="1111"/>
      <c r="N676" s="1111"/>
      <c r="O676" s="1112"/>
      <c r="P676" s="100"/>
      <c r="Q676" s="100"/>
      <c r="R676" s="100"/>
      <c r="S676" s="100"/>
      <c r="T676" s="100"/>
      <c r="U676" s="100"/>
      <c r="V676" s="100"/>
      <c r="W676" s="100"/>
      <c r="X676" s="100"/>
      <c r="Y676" s="100"/>
      <c r="Z676" s="100"/>
      <c r="AA676" s="100"/>
      <c r="AB676" s="100"/>
      <c r="AC676" s="100"/>
      <c r="AD676" s="100"/>
      <c r="AF676"/>
      <c r="AG676">
        <f t="shared" si="273"/>
        <v>0</v>
      </c>
      <c r="AH676">
        <f t="shared" si="274"/>
        <v>0</v>
      </c>
      <c r="AK676">
        <f t="shared" si="258"/>
        <v>0</v>
      </c>
      <c r="AL676">
        <f t="shared" si="259"/>
        <v>0</v>
      </c>
      <c r="AM676">
        <f t="shared" si="260"/>
        <v>0</v>
      </c>
      <c r="AN676">
        <f t="shared" si="261"/>
        <v>0</v>
      </c>
      <c r="AO676">
        <f t="shared" si="262"/>
        <v>0</v>
      </c>
      <c r="AP676">
        <f t="shared" si="263"/>
        <v>0</v>
      </c>
      <c r="AQ676">
        <f t="shared" si="264"/>
        <v>0</v>
      </c>
      <c r="AR676">
        <f t="shared" si="265"/>
        <v>0</v>
      </c>
      <c r="AS676">
        <f t="shared" si="266"/>
        <v>0</v>
      </c>
      <c r="AT676">
        <f t="shared" si="267"/>
        <v>0</v>
      </c>
      <c r="AU676">
        <f t="shared" si="268"/>
        <v>0</v>
      </c>
      <c r="AV676">
        <f t="shared" si="269"/>
        <v>0</v>
      </c>
      <c r="AW676">
        <f t="shared" si="270"/>
        <v>0</v>
      </c>
      <c r="AX676">
        <f t="shared" si="271"/>
        <v>0</v>
      </c>
      <c r="AY676">
        <f t="shared" si="272"/>
        <v>0</v>
      </c>
      <c r="CS676"/>
      <c r="CT676"/>
      <c r="CU676"/>
      <c r="CV676"/>
      <c r="CW676"/>
      <c r="CX676"/>
      <c r="CY676"/>
      <c r="CZ676"/>
      <c r="DA676"/>
    </row>
    <row r="677" spans="1:105" ht="15" customHeight="1">
      <c r="A677" s="108"/>
      <c r="B677" s="38"/>
      <c r="C677" s="1109"/>
      <c r="D677" s="954"/>
      <c r="E677" s="956"/>
      <c r="F677" s="1110" t="s">
        <v>5034</v>
      </c>
      <c r="G677" s="1110"/>
      <c r="H677" s="178"/>
      <c r="I677" s="1111" t="s">
        <v>5035</v>
      </c>
      <c r="J677" s="1111"/>
      <c r="K677" s="1111"/>
      <c r="L677" s="1111"/>
      <c r="M677" s="1111"/>
      <c r="N677" s="1111"/>
      <c r="O677" s="1112"/>
      <c r="P677" s="100"/>
      <c r="Q677" s="100"/>
      <c r="R677" s="100"/>
      <c r="S677" s="100"/>
      <c r="T677" s="100"/>
      <c r="U677" s="100"/>
      <c r="V677" s="100"/>
      <c r="W677" s="100"/>
      <c r="X677" s="100"/>
      <c r="Y677" s="100"/>
      <c r="Z677" s="100"/>
      <c r="AA677" s="100"/>
      <c r="AB677" s="100"/>
      <c r="AC677" s="100"/>
      <c r="AD677" s="100"/>
      <c r="AF677"/>
      <c r="AG677">
        <f t="shared" si="273"/>
        <v>0</v>
      </c>
      <c r="AH677">
        <f t="shared" si="274"/>
        <v>0</v>
      </c>
      <c r="AK677">
        <f t="shared" si="258"/>
        <v>0</v>
      </c>
      <c r="AL677">
        <f t="shared" si="259"/>
        <v>0</v>
      </c>
      <c r="AM677">
        <f t="shared" si="260"/>
        <v>0</v>
      </c>
      <c r="AN677">
        <f t="shared" si="261"/>
        <v>0</v>
      </c>
      <c r="AO677">
        <f t="shared" si="262"/>
        <v>0</v>
      </c>
      <c r="AP677">
        <f t="shared" si="263"/>
        <v>0</v>
      </c>
      <c r="AQ677">
        <f t="shared" si="264"/>
        <v>0</v>
      </c>
      <c r="AR677">
        <f t="shared" si="265"/>
        <v>0</v>
      </c>
      <c r="AS677">
        <f t="shared" si="266"/>
        <v>0</v>
      </c>
      <c r="AT677">
        <f t="shared" si="267"/>
        <v>0</v>
      </c>
      <c r="AU677">
        <f t="shared" si="268"/>
        <v>0</v>
      </c>
      <c r="AV677">
        <f t="shared" si="269"/>
        <v>0</v>
      </c>
      <c r="AW677">
        <f t="shared" si="270"/>
        <v>0</v>
      </c>
      <c r="AX677">
        <f t="shared" si="271"/>
        <v>0</v>
      </c>
      <c r="AY677">
        <f t="shared" si="272"/>
        <v>0</v>
      </c>
      <c r="CS677"/>
      <c r="CT677"/>
      <c r="CU677"/>
      <c r="CV677"/>
      <c r="CW677"/>
      <c r="CX677"/>
      <c r="CY677"/>
      <c r="CZ677"/>
      <c r="DA677"/>
    </row>
    <row r="678" spans="1:105" ht="15" customHeight="1">
      <c r="A678" s="108"/>
      <c r="B678" s="38"/>
      <c r="C678" s="1109"/>
      <c r="D678" s="954"/>
      <c r="E678" s="956"/>
      <c r="F678" s="1110" t="s">
        <v>5036</v>
      </c>
      <c r="G678" s="1110"/>
      <c r="H678" s="178"/>
      <c r="I678" s="1111" t="s">
        <v>5037</v>
      </c>
      <c r="J678" s="1111"/>
      <c r="K678" s="1111"/>
      <c r="L678" s="1111"/>
      <c r="M678" s="1111"/>
      <c r="N678" s="1111"/>
      <c r="O678" s="1112"/>
      <c r="P678" s="100"/>
      <c r="Q678" s="100"/>
      <c r="R678" s="100"/>
      <c r="S678" s="100"/>
      <c r="T678" s="100"/>
      <c r="U678" s="100"/>
      <c r="V678" s="100"/>
      <c r="W678" s="100"/>
      <c r="X678" s="100"/>
      <c r="Y678" s="100"/>
      <c r="Z678" s="100"/>
      <c r="AA678" s="100"/>
      <c r="AB678" s="100"/>
      <c r="AC678" s="100"/>
      <c r="AD678" s="100"/>
      <c r="AF678"/>
      <c r="AG678">
        <f t="shared" si="273"/>
        <v>0</v>
      </c>
      <c r="AH678">
        <f t="shared" si="274"/>
        <v>0</v>
      </c>
      <c r="AK678">
        <f t="shared" si="258"/>
        <v>0</v>
      </c>
      <c r="AL678">
        <f t="shared" si="259"/>
        <v>0</v>
      </c>
      <c r="AM678">
        <f t="shared" si="260"/>
        <v>0</v>
      </c>
      <c r="AN678">
        <f t="shared" si="261"/>
        <v>0</v>
      </c>
      <c r="AO678">
        <f t="shared" si="262"/>
        <v>0</v>
      </c>
      <c r="AP678">
        <f t="shared" si="263"/>
        <v>0</v>
      </c>
      <c r="AQ678">
        <f t="shared" si="264"/>
        <v>0</v>
      </c>
      <c r="AR678">
        <f t="shared" si="265"/>
        <v>0</v>
      </c>
      <c r="AS678">
        <f t="shared" si="266"/>
        <v>0</v>
      </c>
      <c r="AT678">
        <f t="shared" si="267"/>
        <v>0</v>
      </c>
      <c r="AU678">
        <f t="shared" si="268"/>
        <v>0</v>
      </c>
      <c r="AV678">
        <f t="shared" si="269"/>
        <v>0</v>
      </c>
      <c r="AW678">
        <f t="shared" si="270"/>
        <v>0</v>
      </c>
      <c r="AX678">
        <f t="shared" si="271"/>
        <v>0</v>
      </c>
      <c r="AY678">
        <f t="shared" si="272"/>
        <v>0</v>
      </c>
      <c r="CS678"/>
      <c r="CT678"/>
      <c r="CU678"/>
      <c r="CV678"/>
      <c r="CW678"/>
      <c r="CX678"/>
      <c r="CY678"/>
      <c r="CZ678"/>
      <c r="DA678"/>
    </row>
    <row r="679" spans="1:105" ht="24" customHeight="1">
      <c r="A679" s="108"/>
      <c r="B679" s="38"/>
      <c r="C679" s="1109"/>
      <c r="D679" s="954"/>
      <c r="E679" s="956"/>
      <c r="F679" s="1110" t="s">
        <v>5038</v>
      </c>
      <c r="G679" s="1110"/>
      <c r="H679" s="178"/>
      <c r="I679" s="1111" t="s">
        <v>5039</v>
      </c>
      <c r="J679" s="1111"/>
      <c r="K679" s="1111"/>
      <c r="L679" s="1111"/>
      <c r="M679" s="1111"/>
      <c r="N679" s="1111"/>
      <c r="O679" s="1112"/>
      <c r="P679" s="100"/>
      <c r="Q679" s="100"/>
      <c r="R679" s="100"/>
      <c r="S679" s="100"/>
      <c r="T679" s="100"/>
      <c r="U679" s="100"/>
      <c r="V679" s="100"/>
      <c r="W679" s="100"/>
      <c r="X679" s="100"/>
      <c r="Y679" s="100"/>
      <c r="Z679" s="100"/>
      <c r="AA679" s="100"/>
      <c r="AB679" s="100"/>
      <c r="AC679" s="100"/>
      <c r="AD679" s="100"/>
      <c r="AF679"/>
      <c r="AG679">
        <f t="shared" si="273"/>
        <v>0</v>
      </c>
      <c r="AH679">
        <f t="shared" si="274"/>
        <v>0</v>
      </c>
      <c r="AK679">
        <f t="shared" si="258"/>
        <v>0</v>
      </c>
      <c r="AL679">
        <f t="shared" si="259"/>
        <v>0</v>
      </c>
      <c r="AM679">
        <f t="shared" si="260"/>
        <v>0</v>
      </c>
      <c r="AN679">
        <f t="shared" si="261"/>
        <v>0</v>
      </c>
      <c r="AO679">
        <f t="shared" si="262"/>
        <v>0</v>
      </c>
      <c r="AP679">
        <f t="shared" si="263"/>
        <v>0</v>
      </c>
      <c r="AQ679">
        <f t="shared" si="264"/>
        <v>0</v>
      </c>
      <c r="AR679">
        <f t="shared" si="265"/>
        <v>0</v>
      </c>
      <c r="AS679">
        <f t="shared" si="266"/>
        <v>0</v>
      </c>
      <c r="AT679">
        <f t="shared" si="267"/>
        <v>0</v>
      </c>
      <c r="AU679">
        <f t="shared" si="268"/>
        <v>0</v>
      </c>
      <c r="AV679">
        <f t="shared" si="269"/>
        <v>0</v>
      </c>
      <c r="AW679">
        <f t="shared" si="270"/>
        <v>0</v>
      </c>
      <c r="AX679">
        <f t="shared" si="271"/>
        <v>0</v>
      </c>
      <c r="AY679">
        <f t="shared" si="272"/>
        <v>0</v>
      </c>
      <c r="CS679"/>
      <c r="CT679"/>
      <c r="CU679"/>
      <c r="CV679"/>
      <c r="CW679"/>
      <c r="CX679"/>
      <c r="CY679"/>
      <c r="CZ679"/>
      <c r="DA679"/>
    </row>
    <row r="680" spans="1:105" ht="15" customHeight="1">
      <c r="A680" s="108"/>
      <c r="B680" s="38"/>
      <c r="C680" s="1109"/>
      <c r="D680" s="954"/>
      <c r="E680" s="956"/>
      <c r="F680" s="1110" t="s">
        <v>5040</v>
      </c>
      <c r="G680" s="1110"/>
      <c r="H680" s="178"/>
      <c r="I680" s="1111" t="s">
        <v>2631</v>
      </c>
      <c r="J680" s="1111"/>
      <c r="K680" s="1111"/>
      <c r="L680" s="1111"/>
      <c r="M680" s="1111"/>
      <c r="N680" s="1111"/>
      <c r="O680" s="1112"/>
      <c r="P680" s="100"/>
      <c r="Q680" s="100"/>
      <c r="R680" s="100"/>
      <c r="S680" s="100"/>
      <c r="T680" s="100"/>
      <c r="U680" s="100"/>
      <c r="V680" s="100"/>
      <c r="W680" s="100"/>
      <c r="X680" s="100"/>
      <c r="Y680" s="100"/>
      <c r="Z680" s="100"/>
      <c r="AA680" s="100"/>
      <c r="AB680" s="100"/>
      <c r="AC680" s="100"/>
      <c r="AD680" s="100"/>
      <c r="AF680"/>
      <c r="AG680">
        <f t="shared" si="273"/>
        <v>0</v>
      </c>
      <c r="AH680">
        <f t="shared" si="274"/>
        <v>0</v>
      </c>
      <c r="AK680">
        <f t="shared" si="258"/>
        <v>0</v>
      </c>
      <c r="AL680">
        <f t="shared" si="259"/>
        <v>0</v>
      </c>
      <c r="AM680">
        <f t="shared" si="260"/>
        <v>0</v>
      </c>
      <c r="AN680">
        <f t="shared" si="261"/>
        <v>0</v>
      </c>
      <c r="AO680">
        <f t="shared" si="262"/>
        <v>0</v>
      </c>
      <c r="AP680">
        <f t="shared" si="263"/>
        <v>0</v>
      </c>
      <c r="AQ680">
        <f t="shared" si="264"/>
        <v>0</v>
      </c>
      <c r="AR680">
        <f t="shared" si="265"/>
        <v>0</v>
      </c>
      <c r="AS680">
        <f t="shared" si="266"/>
        <v>0</v>
      </c>
      <c r="AT680">
        <f t="shared" si="267"/>
        <v>0</v>
      </c>
      <c r="AU680">
        <f t="shared" si="268"/>
        <v>0</v>
      </c>
      <c r="AV680">
        <f t="shared" si="269"/>
        <v>0</v>
      </c>
      <c r="AW680">
        <f t="shared" si="270"/>
        <v>0</v>
      </c>
      <c r="AX680">
        <f t="shared" si="271"/>
        <v>0</v>
      </c>
      <c r="AY680">
        <f t="shared" si="272"/>
        <v>0</v>
      </c>
      <c r="CS680"/>
      <c r="CT680"/>
      <c r="CU680"/>
      <c r="CV680"/>
      <c r="CW680"/>
      <c r="CX680"/>
      <c r="CY680"/>
      <c r="CZ680"/>
      <c r="DA680"/>
    </row>
    <row r="681" spans="1:105" ht="15" customHeight="1">
      <c r="A681" s="108"/>
      <c r="B681" s="38"/>
      <c r="C681" s="1109"/>
      <c r="D681" s="954"/>
      <c r="E681" s="956"/>
      <c r="F681" s="1103" t="s">
        <v>5041</v>
      </c>
      <c r="G681" s="1103"/>
      <c r="H681" s="1104" t="s">
        <v>5042</v>
      </c>
      <c r="I681" s="1105"/>
      <c r="J681" s="1105"/>
      <c r="K681" s="1105"/>
      <c r="L681" s="1105"/>
      <c r="M681" s="1105"/>
      <c r="N681" s="1105"/>
      <c r="O681" s="1106"/>
      <c r="P681" s="100"/>
      <c r="Q681" s="100"/>
      <c r="R681" s="100"/>
      <c r="S681" s="100"/>
      <c r="T681" s="100"/>
      <c r="U681" s="100"/>
      <c r="V681" s="100"/>
      <c r="W681" s="100"/>
      <c r="X681" s="100"/>
      <c r="Y681" s="100"/>
      <c r="Z681" s="100"/>
      <c r="AA681" s="100"/>
      <c r="AB681" s="100"/>
      <c r="AC681" s="100"/>
      <c r="AD681" s="100"/>
      <c r="AF681">
        <f>IF(P681="NA",IF(AND(COUNTIF(P682:P684,"="&amp;$AF$212)=0,COUNTIF(P682:P684,"&lt;&gt;NA")&gt;0),1,0),IF(AND(COUNTIF(P682:P684,"="&amp;$AF$212)=0,COUNTIF(P682:P684,"NA")=COUNTIF(P682:P684,"&lt;&gt;"&amp;$AF$212)),1,0))</f>
        <v>0</v>
      </c>
      <c r="AG681">
        <f t="shared" si="273"/>
        <v>0</v>
      </c>
      <c r="AH681">
        <f t="shared" si="274"/>
        <v>0</v>
      </c>
      <c r="AK681">
        <f t="shared" si="258"/>
        <v>0</v>
      </c>
      <c r="AL681">
        <f t="shared" si="259"/>
        <v>0</v>
      </c>
      <c r="AM681">
        <f t="shared" si="260"/>
        <v>0</v>
      </c>
      <c r="AN681">
        <f t="shared" si="261"/>
        <v>0</v>
      </c>
      <c r="AO681">
        <f t="shared" si="262"/>
        <v>0</v>
      </c>
      <c r="AP681">
        <f t="shared" si="263"/>
        <v>0</v>
      </c>
      <c r="AQ681">
        <f t="shared" si="264"/>
        <v>0</v>
      </c>
      <c r="AR681">
        <f t="shared" si="265"/>
        <v>0</v>
      </c>
      <c r="AS681">
        <f t="shared" si="266"/>
        <v>0</v>
      </c>
      <c r="AT681">
        <f t="shared" si="267"/>
        <v>0</v>
      </c>
      <c r="AU681">
        <f t="shared" si="268"/>
        <v>0</v>
      </c>
      <c r="AV681">
        <f t="shared" si="269"/>
        <v>0</v>
      </c>
      <c r="AW681">
        <f t="shared" si="270"/>
        <v>0</v>
      </c>
      <c r="AX681">
        <f t="shared" si="271"/>
        <v>0</v>
      </c>
      <c r="AY681">
        <f t="shared" si="272"/>
        <v>0</v>
      </c>
      <c r="CS681"/>
      <c r="CT681"/>
      <c r="CU681"/>
      <c r="CV681"/>
      <c r="CW681"/>
      <c r="CX681"/>
      <c r="CY681"/>
      <c r="CZ681"/>
      <c r="DA681"/>
    </row>
    <row r="682" spans="1:105" ht="15" customHeight="1">
      <c r="A682" s="108"/>
      <c r="B682" s="38"/>
      <c r="C682" s="1109"/>
      <c r="D682" s="954"/>
      <c r="E682" s="956"/>
      <c r="F682" s="1119" t="s">
        <v>5043</v>
      </c>
      <c r="G682" s="1120"/>
      <c r="H682" s="178"/>
      <c r="I682" s="1111" t="s">
        <v>5044</v>
      </c>
      <c r="J682" s="1111"/>
      <c r="K682" s="1111"/>
      <c r="L682" s="1111"/>
      <c r="M682" s="1111"/>
      <c r="N682" s="1111"/>
      <c r="O682" s="1112"/>
      <c r="P682" s="100"/>
      <c r="Q682" s="100"/>
      <c r="R682" s="100"/>
      <c r="S682" s="100"/>
      <c r="T682" s="100"/>
      <c r="U682" s="100"/>
      <c r="V682" s="100"/>
      <c r="W682" s="100"/>
      <c r="X682" s="100"/>
      <c r="Y682" s="100"/>
      <c r="Z682" s="100"/>
      <c r="AA682" s="100"/>
      <c r="AB682" s="100"/>
      <c r="AC682" s="100"/>
      <c r="AD682" s="100"/>
      <c r="AF682"/>
      <c r="AG682">
        <f t="shared" si="273"/>
        <v>0</v>
      </c>
      <c r="AH682">
        <f t="shared" si="274"/>
        <v>0</v>
      </c>
      <c r="AK682">
        <f t="shared" si="258"/>
        <v>0</v>
      </c>
      <c r="AL682">
        <f t="shared" si="259"/>
        <v>0</v>
      </c>
      <c r="AM682">
        <f t="shared" si="260"/>
        <v>0</v>
      </c>
      <c r="AN682">
        <f t="shared" si="261"/>
        <v>0</v>
      </c>
      <c r="AO682">
        <f t="shared" si="262"/>
        <v>0</v>
      </c>
      <c r="AP682">
        <f t="shared" si="263"/>
        <v>0</v>
      </c>
      <c r="AQ682">
        <f t="shared" si="264"/>
        <v>0</v>
      </c>
      <c r="AR682">
        <f t="shared" si="265"/>
        <v>0</v>
      </c>
      <c r="AS682">
        <f t="shared" si="266"/>
        <v>0</v>
      </c>
      <c r="AT682">
        <f t="shared" si="267"/>
        <v>0</v>
      </c>
      <c r="AU682">
        <f t="shared" si="268"/>
        <v>0</v>
      </c>
      <c r="AV682">
        <f t="shared" si="269"/>
        <v>0</v>
      </c>
      <c r="AW682">
        <f t="shared" si="270"/>
        <v>0</v>
      </c>
      <c r="AX682">
        <f t="shared" si="271"/>
        <v>0</v>
      </c>
      <c r="AY682">
        <f t="shared" si="272"/>
        <v>0</v>
      </c>
      <c r="CS682"/>
      <c r="CT682"/>
      <c r="CU682"/>
      <c r="CV682"/>
      <c r="CW682"/>
      <c r="CX682"/>
      <c r="CY682"/>
      <c r="CZ682"/>
      <c r="DA682"/>
    </row>
    <row r="683" spans="1:105" ht="24" customHeight="1">
      <c r="A683" s="108"/>
      <c r="B683" s="38"/>
      <c r="C683" s="1109"/>
      <c r="D683" s="954"/>
      <c r="E683" s="956"/>
      <c r="F683" s="1119" t="s">
        <v>5045</v>
      </c>
      <c r="G683" s="1120"/>
      <c r="H683" s="178"/>
      <c r="I683" s="1111" t="s">
        <v>5046</v>
      </c>
      <c r="J683" s="1111"/>
      <c r="K683" s="1111"/>
      <c r="L683" s="1111"/>
      <c r="M683" s="1111"/>
      <c r="N683" s="1111"/>
      <c r="O683" s="1112"/>
      <c r="P683" s="100"/>
      <c r="Q683" s="100"/>
      <c r="R683" s="100"/>
      <c r="S683" s="100"/>
      <c r="T683" s="100"/>
      <c r="U683" s="100"/>
      <c r="V683" s="100"/>
      <c r="W683" s="100"/>
      <c r="X683" s="100"/>
      <c r="Y683" s="100"/>
      <c r="Z683" s="100"/>
      <c r="AA683" s="100"/>
      <c r="AB683" s="100"/>
      <c r="AC683" s="100"/>
      <c r="AD683" s="100"/>
      <c r="AF683"/>
      <c r="AG683">
        <f t="shared" si="273"/>
        <v>0</v>
      </c>
      <c r="AH683">
        <f t="shared" si="274"/>
        <v>0</v>
      </c>
      <c r="AK683">
        <f t="shared" si="258"/>
        <v>0</v>
      </c>
      <c r="AL683">
        <f t="shared" si="259"/>
        <v>0</v>
      </c>
      <c r="AM683">
        <f t="shared" si="260"/>
        <v>0</v>
      </c>
      <c r="AN683">
        <f t="shared" si="261"/>
        <v>0</v>
      </c>
      <c r="AO683">
        <f t="shared" si="262"/>
        <v>0</v>
      </c>
      <c r="AP683">
        <f t="shared" si="263"/>
        <v>0</v>
      </c>
      <c r="AQ683">
        <f t="shared" si="264"/>
        <v>0</v>
      </c>
      <c r="AR683">
        <f t="shared" si="265"/>
        <v>0</v>
      </c>
      <c r="AS683">
        <f t="shared" si="266"/>
        <v>0</v>
      </c>
      <c r="AT683">
        <f t="shared" si="267"/>
        <v>0</v>
      </c>
      <c r="AU683">
        <f t="shared" si="268"/>
        <v>0</v>
      </c>
      <c r="AV683">
        <f t="shared" si="269"/>
        <v>0</v>
      </c>
      <c r="AW683">
        <f t="shared" si="270"/>
        <v>0</v>
      </c>
      <c r="AX683">
        <f t="shared" si="271"/>
        <v>0</v>
      </c>
      <c r="AY683">
        <f t="shared" si="272"/>
        <v>0</v>
      </c>
      <c r="CS683"/>
      <c r="CT683"/>
      <c r="CU683"/>
      <c r="CV683"/>
      <c r="CW683"/>
      <c r="CX683"/>
      <c r="CY683"/>
      <c r="CZ683"/>
      <c r="DA683"/>
    </row>
    <row r="684" spans="1:105" ht="15" customHeight="1">
      <c r="A684" s="108"/>
      <c r="B684" s="38"/>
      <c r="C684" s="1109"/>
      <c r="D684" s="954"/>
      <c r="E684" s="956"/>
      <c r="F684" s="1119" t="s">
        <v>5047</v>
      </c>
      <c r="G684" s="1120"/>
      <c r="H684" s="178"/>
      <c r="I684" s="1111" t="s">
        <v>2631</v>
      </c>
      <c r="J684" s="1111"/>
      <c r="K684" s="1111"/>
      <c r="L684" s="1111"/>
      <c r="M684" s="1111"/>
      <c r="N684" s="1111"/>
      <c r="O684" s="1112"/>
      <c r="P684" s="100"/>
      <c r="Q684" s="100"/>
      <c r="R684" s="100"/>
      <c r="S684" s="100"/>
      <c r="T684" s="100"/>
      <c r="U684" s="100"/>
      <c r="V684" s="100"/>
      <c r="W684" s="100"/>
      <c r="X684" s="100"/>
      <c r="Y684" s="100"/>
      <c r="Z684" s="100"/>
      <c r="AA684" s="100"/>
      <c r="AB684" s="100"/>
      <c r="AC684" s="100"/>
      <c r="AD684" s="100"/>
      <c r="AF684"/>
      <c r="AG684">
        <f t="shared" si="273"/>
        <v>0</v>
      </c>
      <c r="AH684">
        <f t="shared" si="274"/>
        <v>0</v>
      </c>
      <c r="AK684">
        <f t="shared" si="258"/>
        <v>0</v>
      </c>
      <c r="AL684">
        <f t="shared" si="259"/>
        <v>0</v>
      </c>
      <c r="AM684">
        <f t="shared" si="260"/>
        <v>0</v>
      </c>
      <c r="AN684">
        <f t="shared" si="261"/>
        <v>0</v>
      </c>
      <c r="AO684">
        <f t="shared" si="262"/>
        <v>0</v>
      </c>
      <c r="AP684">
        <f t="shared" si="263"/>
        <v>0</v>
      </c>
      <c r="AQ684">
        <f t="shared" si="264"/>
        <v>0</v>
      </c>
      <c r="AR684">
        <f t="shared" si="265"/>
        <v>0</v>
      </c>
      <c r="AS684">
        <f t="shared" si="266"/>
        <v>0</v>
      </c>
      <c r="AT684">
        <f t="shared" si="267"/>
        <v>0</v>
      </c>
      <c r="AU684">
        <f t="shared" si="268"/>
        <v>0</v>
      </c>
      <c r="AV684">
        <f t="shared" si="269"/>
        <v>0</v>
      </c>
      <c r="AW684">
        <f t="shared" si="270"/>
        <v>0</v>
      </c>
      <c r="AX684">
        <f t="shared" si="271"/>
        <v>0</v>
      </c>
      <c r="AY684">
        <f t="shared" si="272"/>
        <v>0</v>
      </c>
      <c r="CS684"/>
      <c r="CT684"/>
      <c r="CU684"/>
      <c r="CV684"/>
      <c r="CW684"/>
      <c r="CX684"/>
      <c r="CY684"/>
      <c r="CZ684"/>
      <c r="DA684"/>
    </row>
    <row r="685" spans="1:105" ht="15" customHeight="1">
      <c r="A685" s="108"/>
      <c r="B685" s="38"/>
      <c r="C685" s="1109"/>
      <c r="D685" s="954"/>
      <c r="E685" s="956"/>
      <c r="F685" s="1103" t="s">
        <v>5048</v>
      </c>
      <c r="G685" s="1103"/>
      <c r="H685" s="1104" t="s">
        <v>5049</v>
      </c>
      <c r="I685" s="1105"/>
      <c r="J685" s="1105"/>
      <c r="K685" s="1105"/>
      <c r="L685" s="1105"/>
      <c r="M685" s="1105"/>
      <c r="N685" s="1105"/>
      <c r="O685" s="1106"/>
      <c r="P685" s="100"/>
      <c r="Q685" s="100"/>
      <c r="R685" s="100"/>
      <c r="S685" s="100"/>
      <c r="T685" s="100"/>
      <c r="U685" s="100"/>
      <c r="V685" s="100"/>
      <c r="W685" s="100"/>
      <c r="X685" s="100"/>
      <c r="Y685" s="100"/>
      <c r="Z685" s="100"/>
      <c r="AA685" s="100"/>
      <c r="AB685" s="100"/>
      <c r="AC685" s="100"/>
      <c r="AD685" s="100"/>
      <c r="AF685"/>
      <c r="AG685">
        <f t="shared" si="273"/>
        <v>0</v>
      </c>
      <c r="AH685">
        <f t="shared" si="274"/>
        <v>0</v>
      </c>
      <c r="AK685">
        <f t="shared" ref="AK685:AK721" si="275">COUNTIF(Q685:R685,"NS")</f>
        <v>0</v>
      </c>
      <c r="AL685">
        <f t="shared" ref="AL685:AL721" si="276">SUM(Q685:R685)</f>
        <v>0</v>
      </c>
      <c r="AM685">
        <f t="shared" ref="AM685:AM721" si="277">IF(COUNTIF(P685:R685,"NA")=3,0,IF(COUNTA(P685:R685)=0,0,IF(OR(AND(P685=0,AK685&gt;0),AND(P685="ns",AL685&gt;0),AND(P685="ns",AK685=0,AL685=0)),1,IF(OR(AND(P685&gt;0,AK685=2),AND(P685="ns",AK685=2),AND(P685="ns",AL685=0,AK685&gt;0),P685=AL685),0,1))))</f>
        <v>0</v>
      </c>
      <c r="AN685">
        <f t="shared" ref="AN685:AN721" si="278">COUNTIF(T685:U685,"NS")</f>
        <v>0</v>
      </c>
      <c r="AO685">
        <f t="shared" ref="AO685:AO721" si="279">SUM(T685:U685)</f>
        <v>0</v>
      </c>
      <c r="AP685">
        <f t="shared" ref="AP685:AP721" si="280">IF(COUNTIF(S685:U685,"NA")=3,0,IF(COUNTA(S685:U685)=0,0,IF(OR(AND(S685=0,AN685&gt;0),AND(S685="ns",AO685&gt;0),AND(S685="ns",AN685=0,AO685=0)),1,IF(OR(AND(S685&gt;0,AN685=2),AND(S685="ns",AN685=2),AND(S685="ns",AO685=0,AN685&gt;0),S685=AO685),0,1))))</f>
        <v>0</v>
      </c>
      <c r="AQ685">
        <f t="shared" ref="AQ685:AQ721" si="281">COUNTIF(W685:X685,"NS")</f>
        <v>0</v>
      </c>
      <c r="AR685">
        <f t="shared" ref="AR685:AR721" si="282">SUM(W685:X685)</f>
        <v>0</v>
      </c>
      <c r="AS685">
        <f t="shared" ref="AS685:AS721" si="283">IF(COUNTIF(V685:X685,"NA")=3,0,IF(COUNTA(V685:X685)=0,0,IF(OR(AND(V685=0,AQ685&gt;0),AND(V685="ns",AR685&gt;0),AND(V685="ns",AQ685=0,AR685=0)),1,IF(OR(AND(V685&gt;0,AQ685=2),AND(V685="ns",AQ685=2),AND(V685="ns",AR685=0,AQ685&gt;0),V685=AR685),0,1))))</f>
        <v>0</v>
      </c>
      <c r="AT685">
        <f t="shared" ref="AT685:AT721" si="284">COUNTIF(Z685:AA685,"NS")</f>
        <v>0</v>
      </c>
      <c r="AU685">
        <f t="shared" ref="AU685:AU721" si="285">SUM(Z685:AA685)</f>
        <v>0</v>
      </c>
      <c r="AV685">
        <f t="shared" ref="AV685:AV721" si="286">IF(COUNTIF(Y685:AA685,"NA")=3,0,IF(COUNTA(Y685:AA685)=0,0,IF(OR(AND(Y685=0,AT685&gt;0),AND(Y685="ns",AU685&gt;0),AND(Y685="ns",AT685=0,AU685=0)),1,IF(OR(AND(Y685&gt;0,AT685=2),AND(Y685="ns",AT685=2),AND(Y685="ns",AU685=0,AT685&gt;0),Y685=AU685),0,1))))</f>
        <v>0</v>
      </c>
      <c r="AW685">
        <f t="shared" ref="AW685:AW721" si="287">COUNTIF(AC685:AD685,"NS")</f>
        <v>0</v>
      </c>
      <c r="AX685">
        <f t="shared" ref="AX685:AX721" si="288">SUM(AC685:AD685)</f>
        <v>0</v>
      </c>
      <c r="AY685">
        <f t="shared" ref="AY685:AY721" si="289">IF(COUNTIF(AB685:AD685,"NA")=3,0,IF(COUNTA(AB685:AD685)=0,0,IF(OR(AND(AB685=0,AW685&gt;0),AND(AB685="ns",AX685&gt;0),AND(AB685="ns",AW685=0,AX685=0)),1,IF(OR(AND(AB685&gt;0,AW685=2),AND(AB685="ns",AW685=2),AND(AB685="ns",AX685=0,AW685&gt;0),AB685=AX685),0,1))))</f>
        <v>0</v>
      </c>
      <c r="CS685"/>
      <c r="CT685"/>
      <c r="CU685"/>
      <c r="CV685"/>
      <c r="CW685"/>
      <c r="CX685"/>
      <c r="CY685"/>
      <c r="CZ685"/>
      <c r="DA685"/>
    </row>
    <row r="686" spans="1:105" ht="15" customHeight="1">
      <c r="A686" s="108"/>
      <c r="B686" s="38"/>
      <c r="C686" s="1109"/>
      <c r="D686" s="954"/>
      <c r="E686" s="956"/>
      <c r="F686" s="1103" t="s">
        <v>5050</v>
      </c>
      <c r="G686" s="1103"/>
      <c r="H686" s="1104" t="s">
        <v>5051</v>
      </c>
      <c r="I686" s="1105"/>
      <c r="J686" s="1105"/>
      <c r="K686" s="1105"/>
      <c r="L686" s="1105"/>
      <c r="M686" s="1105"/>
      <c r="N686" s="1105"/>
      <c r="O686" s="1106"/>
      <c r="P686" s="100"/>
      <c r="Q686" s="100"/>
      <c r="R686" s="100"/>
      <c r="S686" s="100"/>
      <c r="T686" s="100"/>
      <c r="U686" s="100"/>
      <c r="V686" s="100"/>
      <c r="W686" s="100"/>
      <c r="X686" s="100"/>
      <c r="Y686" s="100"/>
      <c r="Z686" s="100"/>
      <c r="AA686" s="100"/>
      <c r="AB686" s="100"/>
      <c r="AC686" s="100"/>
      <c r="AD686" s="100"/>
      <c r="AF686"/>
      <c r="AG686">
        <f t="shared" ref="AG686:AG720" si="290">IF(OR($P$176=0,$P$176="NS",$P$176="NA",P686="NA"),0,IF(SUM(COUNTBLANK(P686:AD686),COUNTBLANK(G857:AD857))=0,0,1))</f>
        <v>0</v>
      </c>
      <c r="AH686">
        <f t="shared" ref="AH686:AH721" si="291">IF(P686="NA",IF(COUNTA(Q686:AD686,G857:AD857)=0,0,1),0)</f>
        <v>0</v>
      </c>
      <c r="AK686">
        <f t="shared" si="275"/>
        <v>0</v>
      </c>
      <c r="AL686">
        <f t="shared" si="276"/>
        <v>0</v>
      </c>
      <c r="AM686">
        <f t="shared" si="277"/>
        <v>0</v>
      </c>
      <c r="AN686">
        <f t="shared" si="278"/>
        <v>0</v>
      </c>
      <c r="AO686">
        <f t="shared" si="279"/>
        <v>0</v>
      </c>
      <c r="AP686">
        <f t="shared" si="280"/>
        <v>0</v>
      </c>
      <c r="AQ686">
        <f t="shared" si="281"/>
        <v>0</v>
      </c>
      <c r="AR686">
        <f t="shared" si="282"/>
        <v>0</v>
      </c>
      <c r="AS686">
        <f t="shared" si="283"/>
        <v>0</v>
      </c>
      <c r="AT686">
        <f t="shared" si="284"/>
        <v>0</v>
      </c>
      <c r="AU686">
        <f t="shared" si="285"/>
        <v>0</v>
      </c>
      <c r="AV686">
        <f t="shared" si="286"/>
        <v>0</v>
      </c>
      <c r="AW686">
        <f t="shared" si="287"/>
        <v>0</v>
      </c>
      <c r="AX686">
        <f t="shared" si="288"/>
        <v>0</v>
      </c>
      <c r="AY686">
        <f t="shared" si="289"/>
        <v>0</v>
      </c>
      <c r="CS686"/>
      <c r="CT686"/>
      <c r="CU686"/>
      <c r="CV686"/>
      <c r="CW686"/>
      <c r="CX686"/>
      <c r="CY686"/>
      <c r="CZ686"/>
      <c r="DA686"/>
    </row>
    <row r="687" spans="1:105" ht="24" customHeight="1">
      <c r="A687" s="108"/>
      <c r="B687" s="38"/>
      <c r="C687" s="1109"/>
      <c r="D687" s="954"/>
      <c r="E687" s="956"/>
      <c r="F687" s="1103" t="s">
        <v>5052</v>
      </c>
      <c r="G687" s="1103"/>
      <c r="H687" s="1104" t="s">
        <v>5053</v>
      </c>
      <c r="I687" s="1105"/>
      <c r="J687" s="1105"/>
      <c r="K687" s="1105"/>
      <c r="L687" s="1105"/>
      <c r="M687" s="1105"/>
      <c r="N687" s="1105"/>
      <c r="O687" s="1106"/>
      <c r="P687" s="100"/>
      <c r="Q687" s="100"/>
      <c r="R687" s="100"/>
      <c r="S687" s="100"/>
      <c r="T687" s="100"/>
      <c r="U687" s="100"/>
      <c r="V687" s="100"/>
      <c r="W687" s="100"/>
      <c r="X687" s="100"/>
      <c r="Y687" s="100"/>
      <c r="Z687" s="100"/>
      <c r="AA687" s="100"/>
      <c r="AB687" s="100"/>
      <c r="AC687" s="100"/>
      <c r="AD687" s="100"/>
      <c r="AF687"/>
      <c r="AG687">
        <f t="shared" si="290"/>
        <v>0</v>
      </c>
      <c r="AH687">
        <f t="shared" si="291"/>
        <v>0</v>
      </c>
      <c r="AJ687">
        <f>IF(OR(P687="NS",P687="NA",$P$176=0,$P$176="NS",$P$176="NA"),0,IF((P687*(IFERROR(100/SUM(P671:P687),0)))&gt;25,1,0))</f>
        <v>0</v>
      </c>
      <c r="AK687">
        <f t="shared" si="275"/>
        <v>0</v>
      </c>
      <c r="AL687">
        <f t="shared" si="276"/>
        <v>0</v>
      </c>
      <c r="AM687">
        <f t="shared" si="277"/>
        <v>0</v>
      </c>
      <c r="AN687">
        <f t="shared" si="278"/>
        <v>0</v>
      </c>
      <c r="AO687">
        <f t="shared" si="279"/>
        <v>0</v>
      </c>
      <c r="AP687">
        <f t="shared" si="280"/>
        <v>0</v>
      </c>
      <c r="AQ687">
        <f t="shared" si="281"/>
        <v>0</v>
      </c>
      <c r="AR687">
        <f t="shared" si="282"/>
        <v>0</v>
      </c>
      <c r="AS687">
        <f t="shared" si="283"/>
        <v>0</v>
      </c>
      <c r="AT687">
        <f t="shared" si="284"/>
        <v>0</v>
      </c>
      <c r="AU687">
        <f t="shared" si="285"/>
        <v>0</v>
      </c>
      <c r="AV687">
        <f t="shared" si="286"/>
        <v>0</v>
      </c>
      <c r="AW687">
        <f t="shared" si="287"/>
        <v>0</v>
      </c>
      <c r="AX687">
        <f t="shared" si="288"/>
        <v>0</v>
      </c>
      <c r="AY687">
        <f t="shared" si="289"/>
        <v>0</v>
      </c>
      <c r="CS687"/>
      <c r="CT687"/>
      <c r="CU687"/>
      <c r="CV687"/>
      <c r="CW687"/>
      <c r="CX687"/>
      <c r="CY687"/>
      <c r="CZ687"/>
      <c r="DA687"/>
    </row>
    <row r="688" spans="1:105" ht="15" customHeight="1">
      <c r="A688" s="108"/>
      <c r="B688" s="38"/>
      <c r="C688" s="1108" t="s">
        <v>5588</v>
      </c>
      <c r="D688" s="874" t="s">
        <v>5055</v>
      </c>
      <c r="E688" s="874"/>
      <c r="F688" s="1103" t="s">
        <v>5056</v>
      </c>
      <c r="G688" s="1103"/>
      <c r="H688" s="1104" t="s">
        <v>5057</v>
      </c>
      <c r="I688" s="1105"/>
      <c r="J688" s="1105"/>
      <c r="K688" s="1105"/>
      <c r="L688" s="1105"/>
      <c r="M688" s="1105"/>
      <c r="N688" s="1105"/>
      <c r="O688" s="1106"/>
      <c r="P688" s="100"/>
      <c r="Q688" s="100"/>
      <c r="R688" s="100"/>
      <c r="S688" s="100"/>
      <c r="T688" s="100"/>
      <c r="U688" s="100"/>
      <c r="V688" s="100"/>
      <c r="W688" s="100"/>
      <c r="X688" s="100"/>
      <c r="Y688" s="100"/>
      <c r="Z688" s="100"/>
      <c r="AA688" s="100"/>
      <c r="AB688" s="100"/>
      <c r="AC688" s="100"/>
      <c r="AD688" s="100"/>
      <c r="AF688"/>
      <c r="AG688">
        <f t="shared" si="290"/>
        <v>0</v>
      </c>
      <c r="AH688">
        <f t="shared" si="291"/>
        <v>0</v>
      </c>
      <c r="AK688">
        <f t="shared" si="275"/>
        <v>0</v>
      </c>
      <c r="AL688">
        <f t="shared" si="276"/>
        <v>0</v>
      </c>
      <c r="AM688">
        <f t="shared" si="277"/>
        <v>0</v>
      </c>
      <c r="AN688">
        <f t="shared" si="278"/>
        <v>0</v>
      </c>
      <c r="AO688">
        <f t="shared" si="279"/>
        <v>0</v>
      </c>
      <c r="AP688">
        <f t="shared" si="280"/>
        <v>0</v>
      </c>
      <c r="AQ688">
        <f t="shared" si="281"/>
        <v>0</v>
      </c>
      <c r="AR688">
        <f t="shared" si="282"/>
        <v>0</v>
      </c>
      <c r="AS688">
        <f t="shared" si="283"/>
        <v>0</v>
      </c>
      <c r="AT688">
        <f t="shared" si="284"/>
        <v>0</v>
      </c>
      <c r="AU688">
        <f t="shared" si="285"/>
        <v>0</v>
      </c>
      <c r="AV688">
        <f t="shared" si="286"/>
        <v>0</v>
      </c>
      <c r="AW688">
        <f t="shared" si="287"/>
        <v>0</v>
      </c>
      <c r="AX688">
        <f t="shared" si="288"/>
        <v>0</v>
      </c>
      <c r="AY688">
        <f t="shared" si="289"/>
        <v>0</v>
      </c>
      <c r="CS688"/>
      <c r="CT688"/>
      <c r="CU688"/>
      <c r="CV688"/>
      <c r="CW688"/>
      <c r="CX688"/>
      <c r="CY688"/>
      <c r="CZ688"/>
      <c r="DA688"/>
    </row>
    <row r="689" spans="1:105" ht="15" customHeight="1">
      <c r="A689" s="108"/>
      <c r="B689" s="38"/>
      <c r="C689" s="1109"/>
      <c r="D689" s="874"/>
      <c r="E689" s="874"/>
      <c r="F689" s="1103" t="s">
        <v>5058</v>
      </c>
      <c r="G689" s="1103"/>
      <c r="H689" s="1104" t="s">
        <v>5059</v>
      </c>
      <c r="I689" s="1105"/>
      <c r="J689" s="1105"/>
      <c r="K689" s="1105"/>
      <c r="L689" s="1105"/>
      <c r="M689" s="1105"/>
      <c r="N689" s="1105"/>
      <c r="O689" s="1106"/>
      <c r="P689" s="100"/>
      <c r="Q689" s="100"/>
      <c r="R689" s="100"/>
      <c r="S689" s="100"/>
      <c r="T689" s="100"/>
      <c r="U689" s="100"/>
      <c r="V689" s="100"/>
      <c r="W689" s="100"/>
      <c r="X689" s="100"/>
      <c r="Y689" s="100"/>
      <c r="Z689" s="100"/>
      <c r="AA689" s="100"/>
      <c r="AB689" s="100"/>
      <c r="AC689" s="100"/>
      <c r="AD689" s="100"/>
      <c r="AF689"/>
      <c r="AG689">
        <f t="shared" si="290"/>
        <v>0</v>
      </c>
      <c r="AH689">
        <f t="shared" si="291"/>
        <v>0</v>
      </c>
      <c r="AK689">
        <f t="shared" si="275"/>
        <v>0</v>
      </c>
      <c r="AL689">
        <f t="shared" si="276"/>
        <v>0</v>
      </c>
      <c r="AM689">
        <f t="shared" si="277"/>
        <v>0</v>
      </c>
      <c r="AN689">
        <f t="shared" si="278"/>
        <v>0</v>
      </c>
      <c r="AO689">
        <f t="shared" si="279"/>
        <v>0</v>
      </c>
      <c r="AP689">
        <f t="shared" si="280"/>
        <v>0</v>
      </c>
      <c r="AQ689">
        <f t="shared" si="281"/>
        <v>0</v>
      </c>
      <c r="AR689">
        <f t="shared" si="282"/>
        <v>0</v>
      </c>
      <c r="AS689">
        <f t="shared" si="283"/>
        <v>0</v>
      </c>
      <c r="AT689">
        <f t="shared" si="284"/>
        <v>0</v>
      </c>
      <c r="AU689">
        <f t="shared" si="285"/>
        <v>0</v>
      </c>
      <c r="AV689">
        <f t="shared" si="286"/>
        <v>0</v>
      </c>
      <c r="AW689">
        <f t="shared" si="287"/>
        <v>0</v>
      </c>
      <c r="AX689">
        <f t="shared" si="288"/>
        <v>0</v>
      </c>
      <c r="AY689">
        <f t="shared" si="289"/>
        <v>0</v>
      </c>
      <c r="CS689"/>
      <c r="CT689"/>
      <c r="CU689"/>
      <c r="CV689"/>
      <c r="CW689"/>
      <c r="CX689"/>
      <c r="CY689"/>
      <c r="CZ689"/>
      <c r="DA689"/>
    </row>
    <row r="690" spans="1:105" ht="15" customHeight="1">
      <c r="A690" s="108"/>
      <c r="B690" s="38"/>
      <c r="C690" s="1109"/>
      <c r="D690" s="874"/>
      <c r="E690" s="874"/>
      <c r="F690" s="1103" t="s">
        <v>5060</v>
      </c>
      <c r="G690" s="1103"/>
      <c r="H690" s="1104" t="s">
        <v>5061</v>
      </c>
      <c r="I690" s="1105"/>
      <c r="J690" s="1105"/>
      <c r="K690" s="1105"/>
      <c r="L690" s="1105"/>
      <c r="M690" s="1105"/>
      <c r="N690" s="1105"/>
      <c r="O690" s="1106"/>
      <c r="P690" s="100"/>
      <c r="Q690" s="100"/>
      <c r="R690" s="100"/>
      <c r="S690" s="100"/>
      <c r="T690" s="100"/>
      <c r="U690" s="100"/>
      <c r="V690" s="100"/>
      <c r="W690" s="100"/>
      <c r="X690" s="100"/>
      <c r="Y690" s="100"/>
      <c r="Z690" s="100"/>
      <c r="AA690" s="100"/>
      <c r="AB690" s="100"/>
      <c r="AC690" s="100"/>
      <c r="AD690" s="100"/>
      <c r="AF690"/>
      <c r="AG690">
        <f t="shared" si="290"/>
        <v>0</v>
      </c>
      <c r="AH690">
        <f t="shared" si="291"/>
        <v>0</v>
      </c>
      <c r="AK690">
        <f t="shared" si="275"/>
        <v>0</v>
      </c>
      <c r="AL690">
        <f t="shared" si="276"/>
        <v>0</v>
      </c>
      <c r="AM690">
        <f t="shared" si="277"/>
        <v>0</v>
      </c>
      <c r="AN690">
        <f t="shared" si="278"/>
        <v>0</v>
      </c>
      <c r="AO690">
        <f t="shared" si="279"/>
        <v>0</v>
      </c>
      <c r="AP690">
        <f t="shared" si="280"/>
        <v>0</v>
      </c>
      <c r="AQ690">
        <f t="shared" si="281"/>
        <v>0</v>
      </c>
      <c r="AR690">
        <f t="shared" si="282"/>
        <v>0</v>
      </c>
      <c r="AS690">
        <f t="shared" si="283"/>
        <v>0</v>
      </c>
      <c r="AT690">
        <f t="shared" si="284"/>
        <v>0</v>
      </c>
      <c r="AU690">
        <f t="shared" si="285"/>
        <v>0</v>
      </c>
      <c r="AV690">
        <f t="shared" si="286"/>
        <v>0</v>
      </c>
      <c r="AW690">
        <f t="shared" si="287"/>
        <v>0</v>
      </c>
      <c r="AX690">
        <f t="shared" si="288"/>
        <v>0</v>
      </c>
      <c r="AY690">
        <f t="shared" si="289"/>
        <v>0</v>
      </c>
      <c r="CS690"/>
      <c r="CT690"/>
      <c r="CU690"/>
      <c r="CV690"/>
      <c r="CW690"/>
      <c r="CX690"/>
      <c r="CY690"/>
      <c r="CZ690"/>
      <c r="DA690"/>
    </row>
    <row r="691" spans="1:105">
      <c r="A691" s="108"/>
      <c r="B691" s="38"/>
      <c r="C691" s="1109"/>
      <c r="D691" s="874"/>
      <c r="E691" s="874"/>
      <c r="F691" s="1103" t="s">
        <v>5062</v>
      </c>
      <c r="G691" s="1103"/>
      <c r="H691" s="1104" t="s">
        <v>5063</v>
      </c>
      <c r="I691" s="1105"/>
      <c r="J691" s="1105"/>
      <c r="K691" s="1105"/>
      <c r="L691" s="1105"/>
      <c r="M691" s="1105"/>
      <c r="N691" s="1105"/>
      <c r="O691" s="1106"/>
      <c r="P691" s="100"/>
      <c r="Q691" s="100"/>
      <c r="R691" s="100"/>
      <c r="S691" s="100"/>
      <c r="T691" s="100"/>
      <c r="U691" s="100"/>
      <c r="V691" s="100"/>
      <c r="W691" s="100"/>
      <c r="X691" s="100"/>
      <c r="Y691" s="100"/>
      <c r="Z691" s="100"/>
      <c r="AA691" s="100"/>
      <c r="AB691" s="100"/>
      <c r="AC691" s="100"/>
      <c r="AD691" s="100"/>
      <c r="AF691"/>
      <c r="AG691">
        <f t="shared" si="290"/>
        <v>0</v>
      </c>
      <c r="AH691">
        <f t="shared" si="291"/>
        <v>0</v>
      </c>
      <c r="AK691">
        <f t="shared" si="275"/>
        <v>0</v>
      </c>
      <c r="AL691">
        <f t="shared" si="276"/>
        <v>0</v>
      </c>
      <c r="AM691">
        <f t="shared" si="277"/>
        <v>0</v>
      </c>
      <c r="AN691">
        <f t="shared" si="278"/>
        <v>0</v>
      </c>
      <c r="AO691">
        <f t="shared" si="279"/>
        <v>0</v>
      </c>
      <c r="AP691">
        <f t="shared" si="280"/>
        <v>0</v>
      </c>
      <c r="AQ691">
        <f t="shared" si="281"/>
        <v>0</v>
      </c>
      <c r="AR691">
        <f t="shared" si="282"/>
        <v>0</v>
      </c>
      <c r="AS691">
        <f t="shared" si="283"/>
        <v>0</v>
      </c>
      <c r="AT691">
        <f t="shared" si="284"/>
        <v>0</v>
      </c>
      <c r="AU691">
        <f t="shared" si="285"/>
        <v>0</v>
      </c>
      <c r="AV691">
        <f t="shared" si="286"/>
        <v>0</v>
      </c>
      <c r="AW691">
        <f t="shared" si="287"/>
        <v>0</v>
      </c>
      <c r="AX691">
        <f t="shared" si="288"/>
        <v>0</v>
      </c>
      <c r="AY691">
        <f t="shared" si="289"/>
        <v>0</v>
      </c>
      <c r="CS691"/>
      <c r="CT691"/>
      <c r="CU691"/>
      <c r="CV691"/>
      <c r="CW691"/>
      <c r="CX691"/>
      <c r="CY691"/>
      <c r="CZ691"/>
      <c r="DA691"/>
    </row>
    <row r="692" spans="1:105" ht="24" customHeight="1">
      <c r="A692" s="108"/>
      <c r="B692" s="38"/>
      <c r="C692" s="1109"/>
      <c r="D692" s="874"/>
      <c r="E692" s="874"/>
      <c r="F692" s="1103" t="s">
        <v>5064</v>
      </c>
      <c r="G692" s="1103"/>
      <c r="H692" s="1104" t="s">
        <v>5065</v>
      </c>
      <c r="I692" s="1105"/>
      <c r="J692" s="1105"/>
      <c r="K692" s="1105"/>
      <c r="L692" s="1105"/>
      <c r="M692" s="1105"/>
      <c r="N692" s="1105"/>
      <c r="O692" s="1106"/>
      <c r="P692" s="100"/>
      <c r="Q692" s="100"/>
      <c r="R692" s="100"/>
      <c r="S692" s="100"/>
      <c r="T692" s="100"/>
      <c r="U692" s="100"/>
      <c r="V692" s="100"/>
      <c r="W692" s="100"/>
      <c r="X692" s="100"/>
      <c r="Y692" s="100"/>
      <c r="Z692" s="100"/>
      <c r="AA692" s="100"/>
      <c r="AB692" s="100"/>
      <c r="AC692" s="100"/>
      <c r="AD692" s="100"/>
      <c r="AF692">
        <f>IF(P692="NA",IF(AND(COUNTIF(P693:P699,"="&amp;$AF$212)=0,COUNTIF(P693:P699,"&lt;&gt;NA")&gt;0),1,0),IF(AND(COUNTIF(P693:P699,"="&amp;$AF$212)=0,COUNTIF(P693:P699,"NA")=COUNTIF(P693:P699,"&lt;&gt;"&amp;$AF$212)),1,0))</f>
        <v>0</v>
      </c>
      <c r="AG692">
        <f t="shared" si="290"/>
        <v>0</v>
      </c>
      <c r="AH692">
        <f t="shared" si="291"/>
        <v>0</v>
      </c>
      <c r="AK692">
        <f t="shared" si="275"/>
        <v>0</v>
      </c>
      <c r="AL692">
        <f t="shared" si="276"/>
        <v>0</v>
      </c>
      <c r="AM692">
        <f t="shared" si="277"/>
        <v>0</v>
      </c>
      <c r="AN692">
        <f t="shared" si="278"/>
        <v>0</v>
      </c>
      <c r="AO692">
        <f t="shared" si="279"/>
        <v>0</v>
      </c>
      <c r="AP692">
        <f t="shared" si="280"/>
        <v>0</v>
      </c>
      <c r="AQ692">
        <f t="shared" si="281"/>
        <v>0</v>
      </c>
      <c r="AR692">
        <f t="shared" si="282"/>
        <v>0</v>
      </c>
      <c r="AS692">
        <f t="shared" si="283"/>
        <v>0</v>
      </c>
      <c r="AT692">
        <f t="shared" si="284"/>
        <v>0</v>
      </c>
      <c r="AU692">
        <f t="shared" si="285"/>
        <v>0</v>
      </c>
      <c r="AV692">
        <f t="shared" si="286"/>
        <v>0</v>
      </c>
      <c r="AW692">
        <f t="shared" si="287"/>
        <v>0</v>
      </c>
      <c r="AX692">
        <f t="shared" si="288"/>
        <v>0</v>
      </c>
      <c r="AY692">
        <f t="shared" si="289"/>
        <v>0</v>
      </c>
      <c r="CS692"/>
      <c r="CT692"/>
      <c r="CU692"/>
      <c r="CV692"/>
      <c r="CW692"/>
      <c r="CX692"/>
      <c r="CY692"/>
      <c r="CZ692"/>
      <c r="DA692"/>
    </row>
    <row r="693" spans="1:105" ht="36" customHeight="1">
      <c r="A693" s="108"/>
      <c r="B693" s="38"/>
      <c r="C693" s="1109"/>
      <c r="D693" s="874"/>
      <c r="E693" s="874"/>
      <c r="F693" s="1110" t="s">
        <v>5066</v>
      </c>
      <c r="G693" s="1110"/>
      <c r="H693" s="178"/>
      <c r="I693" s="1111" t="s">
        <v>5067</v>
      </c>
      <c r="J693" s="1111"/>
      <c r="K693" s="1111"/>
      <c r="L693" s="1111"/>
      <c r="M693" s="1111"/>
      <c r="N693" s="1111"/>
      <c r="O693" s="1112"/>
      <c r="P693" s="100"/>
      <c r="Q693" s="100"/>
      <c r="R693" s="100"/>
      <c r="S693" s="100"/>
      <c r="T693" s="100"/>
      <c r="U693" s="100"/>
      <c r="V693" s="100"/>
      <c r="W693" s="100"/>
      <c r="X693" s="100"/>
      <c r="Y693" s="100"/>
      <c r="Z693" s="100"/>
      <c r="AA693" s="100"/>
      <c r="AB693" s="100"/>
      <c r="AC693" s="100"/>
      <c r="AD693" s="100"/>
      <c r="AF693"/>
      <c r="AG693">
        <f t="shared" si="290"/>
        <v>0</v>
      </c>
      <c r="AH693">
        <f t="shared" si="291"/>
        <v>0</v>
      </c>
      <c r="AK693">
        <f t="shared" si="275"/>
        <v>0</v>
      </c>
      <c r="AL693">
        <f t="shared" si="276"/>
        <v>0</v>
      </c>
      <c r="AM693">
        <f t="shared" si="277"/>
        <v>0</v>
      </c>
      <c r="AN693">
        <f t="shared" si="278"/>
        <v>0</v>
      </c>
      <c r="AO693">
        <f t="shared" si="279"/>
        <v>0</v>
      </c>
      <c r="AP693">
        <f t="shared" si="280"/>
        <v>0</v>
      </c>
      <c r="AQ693">
        <f t="shared" si="281"/>
        <v>0</v>
      </c>
      <c r="AR693">
        <f t="shared" si="282"/>
        <v>0</v>
      </c>
      <c r="AS693">
        <f t="shared" si="283"/>
        <v>0</v>
      </c>
      <c r="AT693">
        <f t="shared" si="284"/>
        <v>0</v>
      </c>
      <c r="AU693">
        <f t="shared" si="285"/>
        <v>0</v>
      </c>
      <c r="AV693">
        <f t="shared" si="286"/>
        <v>0</v>
      </c>
      <c r="AW693">
        <f t="shared" si="287"/>
        <v>0</v>
      </c>
      <c r="AX693">
        <f t="shared" si="288"/>
        <v>0</v>
      </c>
      <c r="AY693">
        <f t="shared" si="289"/>
        <v>0</v>
      </c>
      <c r="CS693"/>
      <c r="CT693"/>
      <c r="CU693"/>
      <c r="CV693"/>
      <c r="CW693"/>
      <c r="CX693"/>
      <c r="CY693"/>
      <c r="CZ693"/>
      <c r="DA693"/>
    </row>
    <row r="694" spans="1:105" ht="36" customHeight="1">
      <c r="A694" s="108"/>
      <c r="B694" s="38"/>
      <c r="C694" s="1109"/>
      <c r="D694" s="874"/>
      <c r="E694" s="874"/>
      <c r="F694" s="1110" t="s">
        <v>5068</v>
      </c>
      <c r="G694" s="1110"/>
      <c r="H694" s="178"/>
      <c r="I694" s="1111" t="s">
        <v>5069</v>
      </c>
      <c r="J694" s="1111"/>
      <c r="K694" s="1111"/>
      <c r="L694" s="1111"/>
      <c r="M694" s="1111"/>
      <c r="N694" s="1111"/>
      <c r="O694" s="1112"/>
      <c r="P694" s="100"/>
      <c r="Q694" s="100"/>
      <c r="R694" s="100"/>
      <c r="S694" s="100"/>
      <c r="T694" s="100"/>
      <c r="U694" s="100"/>
      <c r="V694" s="100"/>
      <c r="W694" s="100"/>
      <c r="X694" s="100"/>
      <c r="Y694" s="100"/>
      <c r="Z694" s="100"/>
      <c r="AA694" s="100"/>
      <c r="AB694" s="100"/>
      <c r="AC694" s="100"/>
      <c r="AD694" s="100"/>
      <c r="AF694"/>
      <c r="AG694">
        <f t="shared" si="290"/>
        <v>0</v>
      </c>
      <c r="AH694">
        <f t="shared" si="291"/>
        <v>0</v>
      </c>
      <c r="AK694">
        <f t="shared" si="275"/>
        <v>0</v>
      </c>
      <c r="AL694">
        <f t="shared" si="276"/>
        <v>0</v>
      </c>
      <c r="AM694">
        <f t="shared" si="277"/>
        <v>0</v>
      </c>
      <c r="AN694">
        <f t="shared" si="278"/>
        <v>0</v>
      </c>
      <c r="AO694">
        <f t="shared" si="279"/>
        <v>0</v>
      </c>
      <c r="AP694">
        <f t="shared" si="280"/>
        <v>0</v>
      </c>
      <c r="AQ694">
        <f t="shared" si="281"/>
        <v>0</v>
      </c>
      <c r="AR694">
        <f t="shared" si="282"/>
        <v>0</v>
      </c>
      <c r="AS694">
        <f t="shared" si="283"/>
        <v>0</v>
      </c>
      <c r="AT694">
        <f t="shared" si="284"/>
        <v>0</v>
      </c>
      <c r="AU694">
        <f t="shared" si="285"/>
        <v>0</v>
      </c>
      <c r="AV694">
        <f t="shared" si="286"/>
        <v>0</v>
      </c>
      <c r="AW694">
        <f t="shared" si="287"/>
        <v>0</v>
      </c>
      <c r="AX694">
        <f t="shared" si="288"/>
        <v>0</v>
      </c>
      <c r="AY694">
        <f t="shared" si="289"/>
        <v>0</v>
      </c>
      <c r="CS694"/>
      <c r="CT694"/>
      <c r="CU694"/>
      <c r="CV694"/>
      <c r="CW694"/>
      <c r="CX694"/>
      <c r="CY694"/>
      <c r="CZ694"/>
      <c r="DA694"/>
    </row>
    <row r="695" spans="1:105" ht="48" customHeight="1">
      <c r="A695" s="108"/>
      <c r="B695" s="38"/>
      <c r="C695" s="1109"/>
      <c r="D695" s="874"/>
      <c r="E695" s="874"/>
      <c r="F695" s="1110" t="s">
        <v>5070</v>
      </c>
      <c r="G695" s="1110"/>
      <c r="H695" s="178"/>
      <c r="I695" s="1111" t="s">
        <v>5071</v>
      </c>
      <c r="J695" s="1111"/>
      <c r="K695" s="1111"/>
      <c r="L695" s="1111"/>
      <c r="M695" s="1111"/>
      <c r="N695" s="1111"/>
      <c r="O695" s="1112"/>
      <c r="P695" s="100"/>
      <c r="Q695" s="100"/>
      <c r="R695" s="100"/>
      <c r="S695" s="100"/>
      <c r="T695" s="100"/>
      <c r="U695" s="100"/>
      <c r="V695" s="100"/>
      <c r="W695" s="100"/>
      <c r="X695" s="100"/>
      <c r="Y695" s="100"/>
      <c r="Z695" s="100"/>
      <c r="AA695" s="100"/>
      <c r="AB695" s="100"/>
      <c r="AC695" s="100"/>
      <c r="AD695" s="100"/>
      <c r="AF695"/>
      <c r="AG695">
        <f t="shared" si="290"/>
        <v>0</v>
      </c>
      <c r="AH695">
        <f t="shared" si="291"/>
        <v>0</v>
      </c>
      <c r="AK695">
        <f t="shared" si="275"/>
        <v>0</v>
      </c>
      <c r="AL695">
        <f t="shared" si="276"/>
        <v>0</v>
      </c>
      <c r="AM695">
        <f t="shared" si="277"/>
        <v>0</v>
      </c>
      <c r="AN695">
        <f t="shared" si="278"/>
        <v>0</v>
      </c>
      <c r="AO695">
        <f t="shared" si="279"/>
        <v>0</v>
      </c>
      <c r="AP695">
        <f t="shared" si="280"/>
        <v>0</v>
      </c>
      <c r="AQ695">
        <f t="shared" si="281"/>
        <v>0</v>
      </c>
      <c r="AR695">
        <f t="shared" si="282"/>
        <v>0</v>
      </c>
      <c r="AS695">
        <f t="shared" si="283"/>
        <v>0</v>
      </c>
      <c r="AT695">
        <f t="shared" si="284"/>
        <v>0</v>
      </c>
      <c r="AU695">
        <f t="shared" si="285"/>
        <v>0</v>
      </c>
      <c r="AV695">
        <f t="shared" si="286"/>
        <v>0</v>
      </c>
      <c r="AW695">
        <f t="shared" si="287"/>
        <v>0</v>
      </c>
      <c r="AX695">
        <f t="shared" si="288"/>
        <v>0</v>
      </c>
      <c r="AY695">
        <f t="shared" si="289"/>
        <v>0</v>
      </c>
      <c r="CS695"/>
      <c r="CT695"/>
      <c r="CU695"/>
      <c r="CV695"/>
      <c r="CW695"/>
      <c r="CX695"/>
      <c r="CY695"/>
      <c r="CZ695"/>
      <c r="DA695"/>
    </row>
    <row r="696" spans="1:105" ht="24" customHeight="1">
      <c r="A696" s="108"/>
      <c r="B696" s="38"/>
      <c r="C696" s="1109"/>
      <c r="D696" s="874"/>
      <c r="E696" s="874"/>
      <c r="F696" s="1110" t="s">
        <v>5072</v>
      </c>
      <c r="G696" s="1110"/>
      <c r="H696" s="178"/>
      <c r="I696" s="1111" t="s">
        <v>5073</v>
      </c>
      <c r="J696" s="1111"/>
      <c r="K696" s="1111"/>
      <c r="L696" s="1111"/>
      <c r="M696" s="1111"/>
      <c r="N696" s="1111"/>
      <c r="O696" s="1112"/>
      <c r="P696" s="100"/>
      <c r="Q696" s="100"/>
      <c r="R696" s="100"/>
      <c r="S696" s="100"/>
      <c r="T696" s="100"/>
      <c r="U696" s="100"/>
      <c r="V696" s="100"/>
      <c r="W696" s="100"/>
      <c r="X696" s="100"/>
      <c r="Y696" s="100"/>
      <c r="Z696" s="100"/>
      <c r="AA696" s="100"/>
      <c r="AB696" s="100"/>
      <c r="AC696" s="100"/>
      <c r="AD696" s="100"/>
      <c r="AF696"/>
      <c r="AG696">
        <f t="shared" si="290"/>
        <v>0</v>
      </c>
      <c r="AH696">
        <f t="shared" si="291"/>
        <v>0</v>
      </c>
      <c r="AK696">
        <f t="shared" si="275"/>
        <v>0</v>
      </c>
      <c r="AL696">
        <f t="shared" si="276"/>
        <v>0</v>
      </c>
      <c r="AM696">
        <f t="shared" si="277"/>
        <v>0</v>
      </c>
      <c r="AN696">
        <f t="shared" si="278"/>
        <v>0</v>
      </c>
      <c r="AO696">
        <f t="shared" si="279"/>
        <v>0</v>
      </c>
      <c r="AP696">
        <f t="shared" si="280"/>
        <v>0</v>
      </c>
      <c r="AQ696">
        <f t="shared" si="281"/>
        <v>0</v>
      </c>
      <c r="AR696">
        <f t="shared" si="282"/>
        <v>0</v>
      </c>
      <c r="AS696">
        <f t="shared" si="283"/>
        <v>0</v>
      </c>
      <c r="AT696">
        <f t="shared" si="284"/>
        <v>0</v>
      </c>
      <c r="AU696">
        <f t="shared" si="285"/>
        <v>0</v>
      </c>
      <c r="AV696">
        <f t="shared" si="286"/>
        <v>0</v>
      </c>
      <c r="AW696">
        <f t="shared" si="287"/>
        <v>0</v>
      </c>
      <c r="AX696">
        <f t="shared" si="288"/>
        <v>0</v>
      </c>
      <c r="AY696">
        <f t="shared" si="289"/>
        <v>0</v>
      </c>
      <c r="CS696"/>
      <c r="CT696"/>
      <c r="CU696"/>
      <c r="CV696"/>
      <c r="CW696"/>
      <c r="CX696"/>
      <c r="CY696"/>
      <c r="CZ696"/>
      <c r="DA696"/>
    </row>
    <row r="697" spans="1:105" ht="24" customHeight="1">
      <c r="A697" s="108"/>
      <c r="B697" s="38"/>
      <c r="C697" s="1109"/>
      <c r="D697" s="874"/>
      <c r="E697" s="874"/>
      <c r="F697" s="1110" t="s">
        <v>5074</v>
      </c>
      <c r="G697" s="1110"/>
      <c r="H697" s="178"/>
      <c r="I697" s="1111" t="s">
        <v>5075</v>
      </c>
      <c r="J697" s="1111"/>
      <c r="K697" s="1111"/>
      <c r="L697" s="1111"/>
      <c r="M697" s="1111"/>
      <c r="N697" s="1111"/>
      <c r="O697" s="1112"/>
      <c r="P697" s="100"/>
      <c r="Q697" s="100"/>
      <c r="R697" s="100"/>
      <c r="S697" s="100"/>
      <c r="T697" s="100"/>
      <c r="U697" s="100"/>
      <c r="V697" s="100"/>
      <c r="W697" s="100"/>
      <c r="X697" s="100"/>
      <c r="Y697" s="100"/>
      <c r="Z697" s="100"/>
      <c r="AA697" s="100"/>
      <c r="AB697" s="100"/>
      <c r="AC697" s="100"/>
      <c r="AD697" s="100"/>
      <c r="AF697"/>
      <c r="AG697">
        <f t="shared" si="290"/>
        <v>0</v>
      </c>
      <c r="AH697">
        <f t="shared" si="291"/>
        <v>0</v>
      </c>
      <c r="AK697">
        <f t="shared" si="275"/>
        <v>0</v>
      </c>
      <c r="AL697">
        <f t="shared" si="276"/>
        <v>0</v>
      </c>
      <c r="AM697">
        <f t="shared" si="277"/>
        <v>0</v>
      </c>
      <c r="AN697">
        <f t="shared" si="278"/>
        <v>0</v>
      </c>
      <c r="AO697">
        <f t="shared" si="279"/>
        <v>0</v>
      </c>
      <c r="AP697">
        <f t="shared" si="280"/>
        <v>0</v>
      </c>
      <c r="AQ697">
        <f t="shared" si="281"/>
        <v>0</v>
      </c>
      <c r="AR697">
        <f t="shared" si="282"/>
        <v>0</v>
      </c>
      <c r="AS697">
        <f t="shared" si="283"/>
        <v>0</v>
      </c>
      <c r="AT697">
        <f t="shared" si="284"/>
        <v>0</v>
      </c>
      <c r="AU697">
        <f t="shared" si="285"/>
        <v>0</v>
      </c>
      <c r="AV697">
        <f t="shared" si="286"/>
        <v>0</v>
      </c>
      <c r="AW697">
        <f t="shared" si="287"/>
        <v>0</v>
      </c>
      <c r="AX697">
        <f t="shared" si="288"/>
        <v>0</v>
      </c>
      <c r="AY697">
        <f t="shared" si="289"/>
        <v>0</v>
      </c>
      <c r="CS697"/>
      <c r="CT697"/>
      <c r="CU697"/>
      <c r="CV697"/>
      <c r="CW697"/>
      <c r="CX697"/>
      <c r="CY697"/>
      <c r="CZ697"/>
      <c r="DA697"/>
    </row>
    <row r="698" spans="1:105" ht="36" customHeight="1">
      <c r="A698" s="108"/>
      <c r="B698" s="38"/>
      <c r="C698" s="1109"/>
      <c r="D698" s="874"/>
      <c r="E698" s="874"/>
      <c r="F698" s="1110" t="s">
        <v>5076</v>
      </c>
      <c r="G698" s="1110"/>
      <c r="H698" s="178"/>
      <c r="I698" s="1111" t="s">
        <v>5077</v>
      </c>
      <c r="J698" s="1111"/>
      <c r="K698" s="1111"/>
      <c r="L698" s="1111"/>
      <c r="M698" s="1111"/>
      <c r="N698" s="1111"/>
      <c r="O698" s="1112"/>
      <c r="P698" s="100"/>
      <c r="Q698" s="100"/>
      <c r="R698" s="100"/>
      <c r="S698" s="100"/>
      <c r="T698" s="100"/>
      <c r="U698" s="100"/>
      <c r="V698" s="100"/>
      <c r="W698" s="100"/>
      <c r="X698" s="100"/>
      <c r="Y698" s="100"/>
      <c r="Z698" s="100"/>
      <c r="AA698" s="100"/>
      <c r="AB698" s="100"/>
      <c r="AC698" s="100"/>
      <c r="AD698" s="100"/>
      <c r="AF698"/>
      <c r="AG698">
        <f t="shared" si="290"/>
        <v>0</v>
      </c>
      <c r="AH698">
        <f t="shared" si="291"/>
        <v>0</v>
      </c>
      <c r="AK698">
        <f t="shared" si="275"/>
        <v>0</v>
      </c>
      <c r="AL698">
        <f t="shared" si="276"/>
        <v>0</v>
      </c>
      <c r="AM698">
        <f t="shared" si="277"/>
        <v>0</v>
      </c>
      <c r="AN698">
        <f t="shared" si="278"/>
        <v>0</v>
      </c>
      <c r="AO698">
        <f t="shared" si="279"/>
        <v>0</v>
      </c>
      <c r="AP698">
        <f t="shared" si="280"/>
        <v>0</v>
      </c>
      <c r="AQ698">
        <f t="shared" si="281"/>
        <v>0</v>
      </c>
      <c r="AR698">
        <f t="shared" si="282"/>
        <v>0</v>
      </c>
      <c r="AS698">
        <f t="shared" si="283"/>
        <v>0</v>
      </c>
      <c r="AT698">
        <f t="shared" si="284"/>
        <v>0</v>
      </c>
      <c r="AU698">
        <f t="shared" si="285"/>
        <v>0</v>
      </c>
      <c r="AV698">
        <f t="shared" si="286"/>
        <v>0</v>
      </c>
      <c r="AW698">
        <f t="shared" si="287"/>
        <v>0</v>
      </c>
      <c r="AX698">
        <f t="shared" si="288"/>
        <v>0</v>
      </c>
      <c r="AY698">
        <f t="shared" si="289"/>
        <v>0</v>
      </c>
      <c r="CS698"/>
      <c r="CT698"/>
      <c r="CU698"/>
      <c r="CV698"/>
      <c r="CW698"/>
      <c r="CX698"/>
      <c r="CY698"/>
      <c r="CZ698"/>
      <c r="DA698"/>
    </row>
    <row r="699" spans="1:105" ht="15" customHeight="1">
      <c r="A699" s="108"/>
      <c r="B699" s="38"/>
      <c r="C699" s="1109"/>
      <c r="D699" s="874"/>
      <c r="E699" s="874"/>
      <c r="F699" s="1110" t="s">
        <v>5078</v>
      </c>
      <c r="G699" s="1110"/>
      <c r="H699" s="178"/>
      <c r="I699" s="1111" t="s">
        <v>2631</v>
      </c>
      <c r="J699" s="1111"/>
      <c r="K699" s="1111"/>
      <c r="L699" s="1111"/>
      <c r="M699" s="1111"/>
      <c r="N699" s="1111"/>
      <c r="O699" s="1112"/>
      <c r="P699" s="100"/>
      <c r="Q699" s="100"/>
      <c r="R699" s="100"/>
      <c r="S699" s="100"/>
      <c r="T699" s="100"/>
      <c r="U699" s="100"/>
      <c r="V699" s="100"/>
      <c r="W699" s="100"/>
      <c r="X699" s="100"/>
      <c r="Y699" s="100"/>
      <c r="Z699" s="100"/>
      <c r="AA699" s="100"/>
      <c r="AB699" s="100"/>
      <c r="AC699" s="100"/>
      <c r="AD699" s="100"/>
      <c r="AF699"/>
      <c r="AG699">
        <f t="shared" si="290"/>
        <v>0</v>
      </c>
      <c r="AH699">
        <f t="shared" si="291"/>
        <v>0</v>
      </c>
      <c r="AK699">
        <f t="shared" si="275"/>
        <v>0</v>
      </c>
      <c r="AL699">
        <f t="shared" si="276"/>
        <v>0</v>
      </c>
      <c r="AM699">
        <f t="shared" si="277"/>
        <v>0</v>
      </c>
      <c r="AN699">
        <f t="shared" si="278"/>
        <v>0</v>
      </c>
      <c r="AO699">
        <f t="shared" si="279"/>
        <v>0</v>
      </c>
      <c r="AP699">
        <f t="shared" si="280"/>
        <v>0</v>
      </c>
      <c r="AQ699">
        <f t="shared" si="281"/>
        <v>0</v>
      </c>
      <c r="AR699">
        <f t="shared" si="282"/>
        <v>0</v>
      </c>
      <c r="AS699">
        <f t="shared" si="283"/>
        <v>0</v>
      </c>
      <c r="AT699">
        <f t="shared" si="284"/>
        <v>0</v>
      </c>
      <c r="AU699">
        <f t="shared" si="285"/>
        <v>0</v>
      </c>
      <c r="AV699">
        <f t="shared" si="286"/>
        <v>0</v>
      </c>
      <c r="AW699">
        <f t="shared" si="287"/>
        <v>0</v>
      </c>
      <c r="AX699">
        <f t="shared" si="288"/>
        <v>0</v>
      </c>
      <c r="AY699">
        <f t="shared" si="289"/>
        <v>0</v>
      </c>
      <c r="CS699"/>
      <c r="CT699"/>
      <c r="CU699"/>
      <c r="CV699"/>
      <c r="CW699"/>
      <c r="CX699"/>
      <c r="CY699"/>
      <c r="CZ699"/>
      <c r="DA699"/>
    </row>
    <row r="700" spans="1:105" ht="24" customHeight="1">
      <c r="A700" s="108"/>
      <c r="B700" s="38"/>
      <c r="C700" s="1109"/>
      <c r="D700" s="874"/>
      <c r="E700" s="874"/>
      <c r="F700" s="1103" t="s">
        <v>5079</v>
      </c>
      <c r="G700" s="1103"/>
      <c r="H700" s="1104" t="s">
        <v>5080</v>
      </c>
      <c r="I700" s="1105"/>
      <c r="J700" s="1105"/>
      <c r="K700" s="1105"/>
      <c r="L700" s="1105"/>
      <c r="M700" s="1105"/>
      <c r="N700" s="1105"/>
      <c r="O700" s="1106"/>
      <c r="P700" s="100"/>
      <c r="Q700" s="100"/>
      <c r="R700" s="100"/>
      <c r="S700" s="100"/>
      <c r="T700" s="100"/>
      <c r="U700" s="100"/>
      <c r="V700" s="100"/>
      <c r="W700" s="100"/>
      <c r="X700" s="100"/>
      <c r="Y700" s="100"/>
      <c r="Z700" s="100"/>
      <c r="AA700" s="100"/>
      <c r="AB700" s="100"/>
      <c r="AC700" s="100"/>
      <c r="AD700" s="100"/>
      <c r="AF700"/>
      <c r="AG700">
        <f t="shared" si="290"/>
        <v>0</v>
      </c>
      <c r="AH700">
        <f t="shared" si="291"/>
        <v>0</v>
      </c>
      <c r="AK700">
        <f t="shared" si="275"/>
        <v>0</v>
      </c>
      <c r="AL700">
        <f t="shared" si="276"/>
        <v>0</v>
      </c>
      <c r="AM700">
        <f t="shared" si="277"/>
        <v>0</v>
      </c>
      <c r="AN700">
        <f t="shared" si="278"/>
        <v>0</v>
      </c>
      <c r="AO700">
        <f t="shared" si="279"/>
        <v>0</v>
      </c>
      <c r="AP700">
        <f t="shared" si="280"/>
        <v>0</v>
      </c>
      <c r="AQ700">
        <f t="shared" si="281"/>
        <v>0</v>
      </c>
      <c r="AR700">
        <f t="shared" si="282"/>
        <v>0</v>
      </c>
      <c r="AS700">
        <f t="shared" si="283"/>
        <v>0</v>
      </c>
      <c r="AT700">
        <f t="shared" si="284"/>
        <v>0</v>
      </c>
      <c r="AU700">
        <f t="shared" si="285"/>
        <v>0</v>
      </c>
      <c r="AV700">
        <f t="shared" si="286"/>
        <v>0</v>
      </c>
      <c r="AW700">
        <f t="shared" si="287"/>
        <v>0</v>
      </c>
      <c r="AX700">
        <f t="shared" si="288"/>
        <v>0</v>
      </c>
      <c r="AY700">
        <f t="shared" si="289"/>
        <v>0</v>
      </c>
      <c r="CS700"/>
      <c r="CT700"/>
      <c r="CU700"/>
      <c r="CV700"/>
      <c r="CW700"/>
      <c r="CX700"/>
      <c r="CY700"/>
      <c r="CZ700"/>
      <c r="DA700"/>
    </row>
    <row r="701" spans="1:105" ht="15" customHeight="1">
      <c r="A701" s="108"/>
      <c r="B701" s="38"/>
      <c r="C701" s="1109"/>
      <c r="D701" s="874"/>
      <c r="E701" s="874"/>
      <c r="F701" s="1103" t="s">
        <v>5081</v>
      </c>
      <c r="G701" s="1103"/>
      <c r="H701" s="1104" t="s">
        <v>5082</v>
      </c>
      <c r="I701" s="1105"/>
      <c r="J701" s="1105"/>
      <c r="K701" s="1105"/>
      <c r="L701" s="1105"/>
      <c r="M701" s="1105"/>
      <c r="N701" s="1105"/>
      <c r="O701" s="1106"/>
      <c r="P701" s="100"/>
      <c r="Q701" s="100"/>
      <c r="R701" s="100"/>
      <c r="S701" s="100"/>
      <c r="T701" s="100"/>
      <c r="U701" s="100"/>
      <c r="V701" s="100"/>
      <c r="W701" s="100"/>
      <c r="X701" s="100"/>
      <c r="Y701" s="100"/>
      <c r="Z701" s="100"/>
      <c r="AA701" s="100"/>
      <c r="AB701" s="100"/>
      <c r="AC701" s="100"/>
      <c r="AD701" s="100"/>
      <c r="AF701">
        <f>IF(P701="NA",IF(AND(COUNTIF(P702:P704,"="&amp;$AF$212)=0,COUNTIF(P702:P704,"&lt;&gt;NA")&gt;0),1,0),IF(AND(COUNTIF(P702:P704,"="&amp;$AF$212)=0,COUNTIF(P702:P704,"NA")=COUNTIF(P702:P704,"&lt;&gt;"&amp;$AF$212)),1,0))</f>
        <v>0</v>
      </c>
      <c r="AG701">
        <f t="shared" si="290"/>
        <v>0</v>
      </c>
      <c r="AH701">
        <f t="shared" si="291"/>
        <v>0</v>
      </c>
      <c r="AK701">
        <f t="shared" si="275"/>
        <v>0</v>
      </c>
      <c r="AL701">
        <f t="shared" si="276"/>
        <v>0</v>
      </c>
      <c r="AM701">
        <f t="shared" si="277"/>
        <v>0</v>
      </c>
      <c r="AN701">
        <f t="shared" si="278"/>
        <v>0</v>
      </c>
      <c r="AO701">
        <f t="shared" si="279"/>
        <v>0</v>
      </c>
      <c r="AP701">
        <f t="shared" si="280"/>
        <v>0</v>
      </c>
      <c r="AQ701">
        <f t="shared" si="281"/>
        <v>0</v>
      </c>
      <c r="AR701">
        <f t="shared" si="282"/>
        <v>0</v>
      </c>
      <c r="AS701">
        <f t="shared" si="283"/>
        <v>0</v>
      </c>
      <c r="AT701">
        <f t="shared" si="284"/>
        <v>0</v>
      </c>
      <c r="AU701">
        <f t="shared" si="285"/>
        <v>0</v>
      </c>
      <c r="AV701">
        <f t="shared" si="286"/>
        <v>0</v>
      </c>
      <c r="AW701">
        <f t="shared" si="287"/>
        <v>0</v>
      </c>
      <c r="AX701">
        <f t="shared" si="288"/>
        <v>0</v>
      </c>
      <c r="AY701">
        <f t="shared" si="289"/>
        <v>0</v>
      </c>
      <c r="CS701"/>
      <c r="CT701"/>
      <c r="CU701"/>
      <c r="CV701"/>
      <c r="CW701"/>
      <c r="CX701"/>
      <c r="CY701"/>
      <c r="CZ701"/>
      <c r="DA701"/>
    </row>
    <row r="702" spans="1:105" ht="15" customHeight="1">
      <c r="A702" s="108"/>
      <c r="B702" s="38"/>
      <c r="C702" s="1109"/>
      <c r="D702" s="874"/>
      <c r="E702" s="874"/>
      <c r="F702" s="1110" t="s">
        <v>5083</v>
      </c>
      <c r="G702" s="1110"/>
      <c r="H702" s="178"/>
      <c r="I702" s="1111" t="s">
        <v>5084</v>
      </c>
      <c r="J702" s="1111"/>
      <c r="K702" s="1111"/>
      <c r="L702" s="1111"/>
      <c r="M702" s="1111"/>
      <c r="N702" s="1111"/>
      <c r="O702" s="1112"/>
      <c r="P702" s="100"/>
      <c r="Q702" s="100"/>
      <c r="R702" s="100"/>
      <c r="S702" s="100"/>
      <c r="T702" s="100"/>
      <c r="U702" s="100"/>
      <c r="V702" s="100"/>
      <c r="W702" s="100"/>
      <c r="X702" s="100"/>
      <c r="Y702" s="100"/>
      <c r="Z702" s="100"/>
      <c r="AA702" s="100"/>
      <c r="AB702" s="100"/>
      <c r="AC702" s="100"/>
      <c r="AD702" s="100"/>
      <c r="AF702"/>
      <c r="AG702">
        <f t="shared" si="290"/>
        <v>0</v>
      </c>
      <c r="AH702">
        <f t="shared" si="291"/>
        <v>0</v>
      </c>
      <c r="AK702">
        <f t="shared" si="275"/>
        <v>0</v>
      </c>
      <c r="AL702">
        <f t="shared" si="276"/>
        <v>0</v>
      </c>
      <c r="AM702">
        <f t="shared" si="277"/>
        <v>0</v>
      </c>
      <c r="AN702">
        <f t="shared" si="278"/>
        <v>0</v>
      </c>
      <c r="AO702">
        <f t="shared" si="279"/>
        <v>0</v>
      </c>
      <c r="AP702">
        <f t="shared" si="280"/>
        <v>0</v>
      </c>
      <c r="AQ702">
        <f t="shared" si="281"/>
        <v>0</v>
      </c>
      <c r="AR702">
        <f t="shared" si="282"/>
        <v>0</v>
      </c>
      <c r="AS702">
        <f t="shared" si="283"/>
        <v>0</v>
      </c>
      <c r="AT702">
        <f t="shared" si="284"/>
        <v>0</v>
      </c>
      <c r="AU702">
        <f t="shared" si="285"/>
        <v>0</v>
      </c>
      <c r="AV702">
        <f t="shared" si="286"/>
        <v>0</v>
      </c>
      <c r="AW702">
        <f t="shared" si="287"/>
        <v>0</v>
      </c>
      <c r="AX702">
        <f t="shared" si="288"/>
        <v>0</v>
      </c>
      <c r="AY702">
        <f t="shared" si="289"/>
        <v>0</v>
      </c>
      <c r="CS702"/>
      <c r="CT702"/>
      <c r="CU702"/>
      <c r="CV702"/>
      <c r="CW702"/>
      <c r="CX702"/>
      <c r="CY702"/>
      <c r="CZ702"/>
      <c r="DA702"/>
    </row>
    <row r="703" spans="1:105" ht="24" customHeight="1">
      <c r="A703" s="108"/>
      <c r="B703" s="38"/>
      <c r="C703" s="1109"/>
      <c r="D703" s="874"/>
      <c r="E703" s="874"/>
      <c r="F703" s="1110" t="s">
        <v>5085</v>
      </c>
      <c r="G703" s="1110"/>
      <c r="H703" s="178"/>
      <c r="I703" s="1111" t="s">
        <v>5086</v>
      </c>
      <c r="J703" s="1111"/>
      <c r="K703" s="1111"/>
      <c r="L703" s="1111"/>
      <c r="M703" s="1111"/>
      <c r="N703" s="1111"/>
      <c r="O703" s="1112"/>
      <c r="P703" s="100"/>
      <c r="Q703" s="100"/>
      <c r="R703" s="100"/>
      <c r="S703" s="100"/>
      <c r="T703" s="100"/>
      <c r="U703" s="100"/>
      <c r="V703" s="100"/>
      <c r="W703" s="100"/>
      <c r="X703" s="100"/>
      <c r="Y703" s="100"/>
      <c r="Z703" s="100"/>
      <c r="AA703" s="100"/>
      <c r="AB703" s="100"/>
      <c r="AC703" s="100"/>
      <c r="AD703" s="100"/>
      <c r="AF703"/>
      <c r="AG703">
        <f t="shared" si="290"/>
        <v>0</v>
      </c>
      <c r="AH703">
        <f t="shared" si="291"/>
        <v>0</v>
      </c>
      <c r="AK703">
        <f t="shared" si="275"/>
        <v>0</v>
      </c>
      <c r="AL703">
        <f t="shared" si="276"/>
        <v>0</v>
      </c>
      <c r="AM703">
        <f t="shared" si="277"/>
        <v>0</v>
      </c>
      <c r="AN703">
        <f t="shared" si="278"/>
        <v>0</v>
      </c>
      <c r="AO703">
        <f t="shared" si="279"/>
        <v>0</v>
      </c>
      <c r="AP703">
        <f t="shared" si="280"/>
        <v>0</v>
      </c>
      <c r="AQ703">
        <f t="shared" si="281"/>
        <v>0</v>
      </c>
      <c r="AR703">
        <f t="shared" si="282"/>
        <v>0</v>
      </c>
      <c r="AS703">
        <f t="shared" si="283"/>
        <v>0</v>
      </c>
      <c r="AT703">
        <f t="shared" si="284"/>
        <v>0</v>
      </c>
      <c r="AU703">
        <f t="shared" si="285"/>
        <v>0</v>
      </c>
      <c r="AV703">
        <f t="shared" si="286"/>
        <v>0</v>
      </c>
      <c r="AW703">
        <f t="shared" si="287"/>
        <v>0</v>
      </c>
      <c r="AX703">
        <f t="shared" si="288"/>
        <v>0</v>
      </c>
      <c r="AY703">
        <f t="shared" si="289"/>
        <v>0</v>
      </c>
      <c r="CS703"/>
      <c r="CT703"/>
      <c r="CU703"/>
      <c r="CV703"/>
      <c r="CW703"/>
      <c r="CX703"/>
      <c r="CY703"/>
      <c r="CZ703"/>
      <c r="DA703"/>
    </row>
    <row r="704" spans="1:105" ht="15" customHeight="1">
      <c r="A704" s="108"/>
      <c r="B704" s="38"/>
      <c r="C704" s="1109"/>
      <c r="D704" s="874"/>
      <c r="E704" s="874"/>
      <c r="F704" s="1110" t="s">
        <v>5087</v>
      </c>
      <c r="G704" s="1110"/>
      <c r="H704" s="178"/>
      <c r="I704" s="1111" t="s">
        <v>2631</v>
      </c>
      <c r="J704" s="1111"/>
      <c r="K704" s="1111"/>
      <c r="L704" s="1111"/>
      <c r="M704" s="1111"/>
      <c r="N704" s="1111"/>
      <c r="O704" s="1112"/>
      <c r="P704" s="100"/>
      <c r="Q704" s="100"/>
      <c r="R704" s="100"/>
      <c r="S704" s="100"/>
      <c r="T704" s="100"/>
      <c r="U704" s="100"/>
      <c r="V704" s="100"/>
      <c r="W704" s="100"/>
      <c r="X704" s="100"/>
      <c r="Y704" s="100"/>
      <c r="Z704" s="100"/>
      <c r="AA704" s="100"/>
      <c r="AB704" s="100"/>
      <c r="AC704" s="100"/>
      <c r="AD704" s="100"/>
      <c r="AF704"/>
      <c r="AG704">
        <f t="shared" si="290"/>
        <v>0</v>
      </c>
      <c r="AH704">
        <f t="shared" si="291"/>
        <v>0</v>
      </c>
      <c r="AK704">
        <f t="shared" si="275"/>
        <v>0</v>
      </c>
      <c r="AL704">
        <f t="shared" si="276"/>
        <v>0</v>
      </c>
      <c r="AM704">
        <f t="shared" si="277"/>
        <v>0</v>
      </c>
      <c r="AN704">
        <f t="shared" si="278"/>
        <v>0</v>
      </c>
      <c r="AO704">
        <f t="shared" si="279"/>
        <v>0</v>
      </c>
      <c r="AP704">
        <f t="shared" si="280"/>
        <v>0</v>
      </c>
      <c r="AQ704">
        <f t="shared" si="281"/>
        <v>0</v>
      </c>
      <c r="AR704">
        <f t="shared" si="282"/>
        <v>0</v>
      </c>
      <c r="AS704">
        <f t="shared" si="283"/>
        <v>0</v>
      </c>
      <c r="AT704">
        <f t="shared" si="284"/>
        <v>0</v>
      </c>
      <c r="AU704">
        <f t="shared" si="285"/>
        <v>0</v>
      </c>
      <c r="AV704">
        <f t="shared" si="286"/>
        <v>0</v>
      </c>
      <c r="AW704">
        <f t="shared" si="287"/>
        <v>0</v>
      </c>
      <c r="AX704">
        <f t="shared" si="288"/>
        <v>0</v>
      </c>
      <c r="AY704">
        <f t="shared" si="289"/>
        <v>0</v>
      </c>
      <c r="CS704"/>
      <c r="CT704"/>
      <c r="CU704"/>
      <c r="CV704"/>
      <c r="CW704"/>
      <c r="CX704"/>
      <c r="CY704"/>
      <c r="CZ704"/>
      <c r="DA704"/>
    </row>
    <row r="705" spans="1:105" ht="15" customHeight="1">
      <c r="A705" s="108"/>
      <c r="B705" s="38"/>
      <c r="C705" s="1109"/>
      <c r="D705" s="874"/>
      <c r="E705" s="874"/>
      <c r="F705" s="1103" t="s">
        <v>5088</v>
      </c>
      <c r="G705" s="1103"/>
      <c r="H705" s="1104" t="s">
        <v>5089</v>
      </c>
      <c r="I705" s="1105"/>
      <c r="J705" s="1105"/>
      <c r="K705" s="1105"/>
      <c r="L705" s="1105"/>
      <c r="M705" s="1105"/>
      <c r="N705" s="1105"/>
      <c r="O705" s="1106"/>
      <c r="P705" s="100"/>
      <c r="Q705" s="100"/>
      <c r="R705" s="100"/>
      <c r="S705" s="100"/>
      <c r="T705" s="100"/>
      <c r="U705" s="100"/>
      <c r="V705" s="100"/>
      <c r="W705" s="100"/>
      <c r="X705" s="100"/>
      <c r="Y705" s="100"/>
      <c r="Z705" s="100"/>
      <c r="AA705" s="100"/>
      <c r="AB705" s="100"/>
      <c r="AC705" s="100"/>
      <c r="AD705" s="100"/>
      <c r="AF705"/>
      <c r="AG705">
        <f t="shared" si="290"/>
        <v>0</v>
      </c>
      <c r="AH705">
        <f t="shared" si="291"/>
        <v>0</v>
      </c>
      <c r="AK705">
        <f t="shared" si="275"/>
        <v>0</v>
      </c>
      <c r="AL705">
        <f t="shared" si="276"/>
        <v>0</v>
      </c>
      <c r="AM705">
        <f t="shared" si="277"/>
        <v>0</v>
      </c>
      <c r="AN705">
        <f t="shared" si="278"/>
        <v>0</v>
      </c>
      <c r="AO705">
        <f t="shared" si="279"/>
        <v>0</v>
      </c>
      <c r="AP705">
        <f t="shared" si="280"/>
        <v>0</v>
      </c>
      <c r="AQ705">
        <f t="shared" si="281"/>
        <v>0</v>
      </c>
      <c r="AR705">
        <f t="shared" si="282"/>
        <v>0</v>
      </c>
      <c r="AS705">
        <f t="shared" si="283"/>
        <v>0</v>
      </c>
      <c r="AT705">
        <f t="shared" si="284"/>
        <v>0</v>
      </c>
      <c r="AU705">
        <f t="shared" si="285"/>
        <v>0</v>
      </c>
      <c r="AV705">
        <f t="shared" si="286"/>
        <v>0</v>
      </c>
      <c r="AW705">
        <f t="shared" si="287"/>
        <v>0</v>
      </c>
      <c r="AX705">
        <f t="shared" si="288"/>
        <v>0</v>
      </c>
      <c r="AY705">
        <f t="shared" si="289"/>
        <v>0</v>
      </c>
      <c r="CS705"/>
      <c r="CT705"/>
      <c r="CU705"/>
      <c r="CV705"/>
      <c r="CW705"/>
      <c r="CX705"/>
      <c r="CY705"/>
      <c r="CZ705"/>
      <c r="DA705"/>
    </row>
    <row r="706" spans="1:105" ht="24" customHeight="1">
      <c r="A706" s="108"/>
      <c r="B706" s="38"/>
      <c r="C706" s="1109"/>
      <c r="D706" s="874"/>
      <c r="E706" s="874"/>
      <c r="F706" s="1103" t="s">
        <v>5090</v>
      </c>
      <c r="G706" s="1103"/>
      <c r="H706" s="1104" t="s">
        <v>5091</v>
      </c>
      <c r="I706" s="1105"/>
      <c r="J706" s="1105"/>
      <c r="K706" s="1105"/>
      <c r="L706" s="1105"/>
      <c r="M706" s="1105"/>
      <c r="N706" s="1105"/>
      <c r="O706" s="1106"/>
      <c r="P706" s="100"/>
      <c r="Q706" s="100"/>
      <c r="R706" s="100"/>
      <c r="S706" s="100"/>
      <c r="T706" s="100"/>
      <c r="U706" s="100"/>
      <c r="V706" s="100"/>
      <c r="W706" s="100"/>
      <c r="X706" s="100"/>
      <c r="Y706" s="100"/>
      <c r="Z706" s="100"/>
      <c r="AA706" s="100"/>
      <c r="AB706" s="100"/>
      <c r="AC706" s="100"/>
      <c r="AD706" s="100"/>
      <c r="AF706"/>
      <c r="AG706">
        <f t="shared" si="290"/>
        <v>0</v>
      </c>
      <c r="AH706">
        <f t="shared" si="291"/>
        <v>0</v>
      </c>
      <c r="AK706">
        <f t="shared" si="275"/>
        <v>0</v>
      </c>
      <c r="AL706">
        <f t="shared" si="276"/>
        <v>0</v>
      </c>
      <c r="AM706">
        <f t="shared" si="277"/>
        <v>0</v>
      </c>
      <c r="AN706">
        <f t="shared" si="278"/>
        <v>0</v>
      </c>
      <c r="AO706">
        <f t="shared" si="279"/>
        <v>0</v>
      </c>
      <c r="AP706">
        <f t="shared" si="280"/>
        <v>0</v>
      </c>
      <c r="AQ706">
        <f t="shared" si="281"/>
        <v>0</v>
      </c>
      <c r="AR706">
        <f t="shared" si="282"/>
        <v>0</v>
      </c>
      <c r="AS706">
        <f t="shared" si="283"/>
        <v>0</v>
      </c>
      <c r="AT706">
        <f t="shared" si="284"/>
        <v>0</v>
      </c>
      <c r="AU706">
        <f t="shared" si="285"/>
        <v>0</v>
      </c>
      <c r="AV706">
        <f t="shared" si="286"/>
        <v>0</v>
      </c>
      <c r="AW706">
        <f t="shared" si="287"/>
        <v>0</v>
      </c>
      <c r="AX706">
        <f t="shared" si="288"/>
        <v>0</v>
      </c>
      <c r="AY706">
        <f t="shared" si="289"/>
        <v>0</v>
      </c>
      <c r="CS706"/>
      <c r="CT706"/>
      <c r="CU706"/>
      <c r="CV706"/>
      <c r="CW706"/>
      <c r="CX706"/>
      <c r="CY706"/>
      <c r="CZ706"/>
      <c r="DA706"/>
    </row>
    <row r="707" spans="1:105" ht="15" customHeight="1">
      <c r="A707" s="108"/>
      <c r="B707" s="38"/>
      <c r="C707" s="1109"/>
      <c r="D707" s="874"/>
      <c r="E707" s="874"/>
      <c r="F707" s="1103" t="s">
        <v>5092</v>
      </c>
      <c r="G707" s="1103"/>
      <c r="H707" s="1104" t="s">
        <v>5093</v>
      </c>
      <c r="I707" s="1105"/>
      <c r="J707" s="1105"/>
      <c r="K707" s="1105"/>
      <c r="L707" s="1105"/>
      <c r="M707" s="1105"/>
      <c r="N707" s="1105"/>
      <c r="O707" s="1106"/>
      <c r="P707" s="100"/>
      <c r="Q707" s="100"/>
      <c r="R707" s="100"/>
      <c r="S707" s="100"/>
      <c r="T707" s="100"/>
      <c r="U707" s="100"/>
      <c r="V707" s="100"/>
      <c r="W707" s="100"/>
      <c r="X707" s="100"/>
      <c r="Y707" s="100"/>
      <c r="Z707" s="100"/>
      <c r="AA707" s="100"/>
      <c r="AB707" s="100"/>
      <c r="AC707" s="100"/>
      <c r="AD707" s="100"/>
      <c r="AF707"/>
      <c r="AG707">
        <f t="shared" si="290"/>
        <v>0</v>
      </c>
      <c r="AH707">
        <f t="shared" si="291"/>
        <v>0</v>
      </c>
      <c r="AK707">
        <f t="shared" si="275"/>
        <v>0</v>
      </c>
      <c r="AL707">
        <f t="shared" si="276"/>
        <v>0</v>
      </c>
      <c r="AM707">
        <f t="shared" si="277"/>
        <v>0</v>
      </c>
      <c r="AN707">
        <f t="shared" si="278"/>
        <v>0</v>
      </c>
      <c r="AO707">
        <f t="shared" si="279"/>
        <v>0</v>
      </c>
      <c r="AP707">
        <f t="shared" si="280"/>
        <v>0</v>
      </c>
      <c r="AQ707">
        <f t="shared" si="281"/>
        <v>0</v>
      </c>
      <c r="AR707">
        <f t="shared" si="282"/>
        <v>0</v>
      </c>
      <c r="AS707">
        <f t="shared" si="283"/>
        <v>0</v>
      </c>
      <c r="AT707">
        <f t="shared" si="284"/>
        <v>0</v>
      </c>
      <c r="AU707">
        <f t="shared" si="285"/>
        <v>0</v>
      </c>
      <c r="AV707">
        <f t="shared" si="286"/>
        <v>0</v>
      </c>
      <c r="AW707">
        <f t="shared" si="287"/>
        <v>0</v>
      </c>
      <c r="AX707">
        <f t="shared" si="288"/>
        <v>0</v>
      </c>
      <c r="AY707">
        <f t="shared" si="289"/>
        <v>0</v>
      </c>
      <c r="CS707"/>
      <c r="CT707"/>
      <c r="CU707"/>
      <c r="CV707"/>
      <c r="CW707"/>
      <c r="CX707"/>
      <c r="CY707"/>
      <c r="CZ707"/>
      <c r="DA707"/>
    </row>
    <row r="708" spans="1:105" ht="24" customHeight="1">
      <c r="A708" s="108"/>
      <c r="B708" s="38"/>
      <c r="C708" s="1109"/>
      <c r="D708" s="874"/>
      <c r="E708" s="874"/>
      <c r="F708" s="1103" t="s">
        <v>5094</v>
      </c>
      <c r="G708" s="1103"/>
      <c r="H708" s="1104" t="s">
        <v>5095</v>
      </c>
      <c r="I708" s="1105"/>
      <c r="J708" s="1105"/>
      <c r="K708" s="1105"/>
      <c r="L708" s="1105"/>
      <c r="M708" s="1105"/>
      <c r="N708" s="1105"/>
      <c r="O708" s="1106"/>
      <c r="P708" s="100"/>
      <c r="Q708" s="100"/>
      <c r="R708" s="100"/>
      <c r="S708" s="100"/>
      <c r="T708" s="100"/>
      <c r="U708" s="100"/>
      <c r="V708" s="100"/>
      <c r="W708" s="100"/>
      <c r="X708" s="100"/>
      <c r="Y708" s="100"/>
      <c r="Z708" s="100"/>
      <c r="AA708" s="100"/>
      <c r="AB708" s="100"/>
      <c r="AC708" s="100"/>
      <c r="AD708" s="100"/>
      <c r="AF708"/>
      <c r="AG708">
        <f t="shared" si="290"/>
        <v>0</v>
      </c>
      <c r="AH708">
        <f t="shared" si="291"/>
        <v>0</v>
      </c>
      <c r="AK708">
        <f t="shared" si="275"/>
        <v>0</v>
      </c>
      <c r="AL708">
        <f t="shared" si="276"/>
        <v>0</v>
      </c>
      <c r="AM708">
        <f t="shared" si="277"/>
        <v>0</v>
      </c>
      <c r="AN708">
        <f t="shared" si="278"/>
        <v>0</v>
      </c>
      <c r="AO708">
        <f t="shared" si="279"/>
        <v>0</v>
      </c>
      <c r="AP708">
        <f t="shared" si="280"/>
        <v>0</v>
      </c>
      <c r="AQ708">
        <f t="shared" si="281"/>
        <v>0</v>
      </c>
      <c r="AR708">
        <f t="shared" si="282"/>
        <v>0</v>
      </c>
      <c r="AS708">
        <f t="shared" si="283"/>
        <v>0</v>
      </c>
      <c r="AT708">
        <f t="shared" si="284"/>
        <v>0</v>
      </c>
      <c r="AU708">
        <f t="shared" si="285"/>
        <v>0</v>
      </c>
      <c r="AV708">
        <f t="shared" si="286"/>
        <v>0</v>
      </c>
      <c r="AW708">
        <f t="shared" si="287"/>
        <v>0</v>
      </c>
      <c r="AX708">
        <f t="shared" si="288"/>
        <v>0</v>
      </c>
      <c r="AY708">
        <f t="shared" si="289"/>
        <v>0</v>
      </c>
      <c r="CS708"/>
      <c r="CT708"/>
      <c r="CU708"/>
      <c r="CV708"/>
      <c r="CW708"/>
      <c r="CX708"/>
      <c r="CY708"/>
      <c r="CZ708"/>
      <c r="DA708"/>
    </row>
    <row r="709" spans="1:105" ht="15" customHeight="1">
      <c r="A709" s="108"/>
      <c r="B709" s="38"/>
      <c r="C709" s="1109"/>
      <c r="D709" s="874"/>
      <c r="E709" s="874"/>
      <c r="F709" s="1103" t="s">
        <v>5096</v>
      </c>
      <c r="G709" s="1103"/>
      <c r="H709" s="1104" t="s">
        <v>5097</v>
      </c>
      <c r="I709" s="1105"/>
      <c r="J709" s="1105"/>
      <c r="K709" s="1105"/>
      <c r="L709" s="1105"/>
      <c r="M709" s="1105"/>
      <c r="N709" s="1105"/>
      <c r="O709" s="1106"/>
      <c r="P709" s="100"/>
      <c r="Q709" s="100"/>
      <c r="R709" s="100"/>
      <c r="S709" s="100"/>
      <c r="T709" s="100"/>
      <c r="U709" s="100"/>
      <c r="V709" s="100"/>
      <c r="W709" s="100"/>
      <c r="X709" s="100"/>
      <c r="Y709" s="100"/>
      <c r="Z709" s="100"/>
      <c r="AA709" s="100"/>
      <c r="AB709" s="100"/>
      <c r="AC709" s="100"/>
      <c r="AD709" s="100"/>
      <c r="AF709"/>
      <c r="AG709">
        <f t="shared" si="290"/>
        <v>0</v>
      </c>
      <c r="AH709">
        <f t="shared" si="291"/>
        <v>0</v>
      </c>
      <c r="AK709">
        <f t="shared" si="275"/>
        <v>0</v>
      </c>
      <c r="AL709">
        <f t="shared" si="276"/>
        <v>0</v>
      </c>
      <c r="AM709">
        <f t="shared" si="277"/>
        <v>0</v>
      </c>
      <c r="AN709">
        <f t="shared" si="278"/>
        <v>0</v>
      </c>
      <c r="AO709">
        <f t="shared" si="279"/>
        <v>0</v>
      </c>
      <c r="AP709">
        <f t="shared" si="280"/>
        <v>0</v>
      </c>
      <c r="AQ709">
        <f t="shared" si="281"/>
        <v>0</v>
      </c>
      <c r="AR709">
        <f t="shared" si="282"/>
        <v>0</v>
      </c>
      <c r="AS709">
        <f t="shared" si="283"/>
        <v>0</v>
      </c>
      <c r="AT709">
        <f t="shared" si="284"/>
        <v>0</v>
      </c>
      <c r="AU709">
        <f t="shared" si="285"/>
        <v>0</v>
      </c>
      <c r="AV709">
        <f t="shared" si="286"/>
        <v>0</v>
      </c>
      <c r="AW709">
        <f t="shared" si="287"/>
        <v>0</v>
      </c>
      <c r="AX709">
        <f t="shared" si="288"/>
        <v>0</v>
      </c>
      <c r="AY709">
        <f t="shared" si="289"/>
        <v>0</v>
      </c>
      <c r="CS709"/>
      <c r="CT709"/>
      <c r="CU709"/>
      <c r="CV709"/>
      <c r="CW709"/>
      <c r="CX709"/>
      <c r="CY709"/>
      <c r="CZ709"/>
      <c r="DA709"/>
    </row>
    <row r="710" spans="1:105" ht="24" customHeight="1">
      <c r="A710" s="108"/>
      <c r="B710" s="38"/>
      <c r="C710" s="1109"/>
      <c r="D710" s="874"/>
      <c r="E710" s="874"/>
      <c r="F710" s="1103" t="s">
        <v>5098</v>
      </c>
      <c r="G710" s="1103"/>
      <c r="H710" s="1104" t="s">
        <v>5099</v>
      </c>
      <c r="I710" s="1105"/>
      <c r="J710" s="1105"/>
      <c r="K710" s="1105"/>
      <c r="L710" s="1105"/>
      <c r="M710" s="1105"/>
      <c r="N710" s="1105"/>
      <c r="O710" s="1106"/>
      <c r="P710" s="100"/>
      <c r="Q710" s="100"/>
      <c r="R710" s="100"/>
      <c r="S710" s="100"/>
      <c r="T710" s="100"/>
      <c r="U710" s="100"/>
      <c r="V710" s="100"/>
      <c r="W710" s="100"/>
      <c r="X710" s="100"/>
      <c r="Y710" s="100"/>
      <c r="Z710" s="100"/>
      <c r="AA710" s="100"/>
      <c r="AB710" s="100"/>
      <c r="AC710" s="100"/>
      <c r="AD710" s="100"/>
      <c r="AF710"/>
      <c r="AG710">
        <f t="shared" si="290"/>
        <v>0</v>
      </c>
      <c r="AH710">
        <f t="shared" si="291"/>
        <v>0</v>
      </c>
      <c r="AK710">
        <f t="shared" si="275"/>
        <v>0</v>
      </c>
      <c r="AL710">
        <f t="shared" si="276"/>
        <v>0</v>
      </c>
      <c r="AM710">
        <f t="shared" si="277"/>
        <v>0</v>
      </c>
      <c r="AN710">
        <f t="shared" si="278"/>
        <v>0</v>
      </c>
      <c r="AO710">
        <f t="shared" si="279"/>
        <v>0</v>
      </c>
      <c r="AP710">
        <f t="shared" si="280"/>
        <v>0</v>
      </c>
      <c r="AQ710">
        <f t="shared" si="281"/>
        <v>0</v>
      </c>
      <c r="AR710">
        <f t="shared" si="282"/>
        <v>0</v>
      </c>
      <c r="AS710">
        <f t="shared" si="283"/>
        <v>0</v>
      </c>
      <c r="AT710">
        <f t="shared" si="284"/>
        <v>0</v>
      </c>
      <c r="AU710">
        <f t="shared" si="285"/>
        <v>0</v>
      </c>
      <c r="AV710">
        <f t="shared" si="286"/>
        <v>0</v>
      </c>
      <c r="AW710">
        <f t="shared" si="287"/>
        <v>0</v>
      </c>
      <c r="AX710">
        <f t="shared" si="288"/>
        <v>0</v>
      </c>
      <c r="AY710">
        <f t="shared" si="289"/>
        <v>0</v>
      </c>
      <c r="CS710"/>
      <c r="CT710"/>
      <c r="CU710"/>
      <c r="CV710"/>
      <c r="CW710"/>
      <c r="CX710"/>
      <c r="CY710"/>
      <c r="CZ710"/>
      <c r="DA710"/>
    </row>
    <row r="711" spans="1:105" ht="15" customHeight="1">
      <c r="A711" s="108"/>
      <c r="B711" s="38"/>
      <c r="C711" s="1109"/>
      <c r="D711" s="874"/>
      <c r="E711" s="874"/>
      <c r="F711" s="1103" t="s">
        <v>5100</v>
      </c>
      <c r="G711" s="1103"/>
      <c r="H711" s="1104" t="s">
        <v>5101</v>
      </c>
      <c r="I711" s="1105"/>
      <c r="J711" s="1105"/>
      <c r="K711" s="1105"/>
      <c r="L711" s="1105"/>
      <c r="M711" s="1105"/>
      <c r="N711" s="1105"/>
      <c r="O711" s="1106"/>
      <c r="P711" s="100"/>
      <c r="Q711" s="100"/>
      <c r="R711" s="100"/>
      <c r="S711" s="100"/>
      <c r="T711" s="100"/>
      <c r="U711" s="100"/>
      <c r="V711" s="100"/>
      <c r="W711" s="100"/>
      <c r="X711" s="100"/>
      <c r="Y711" s="100"/>
      <c r="Z711" s="100"/>
      <c r="AA711" s="100"/>
      <c r="AB711" s="100"/>
      <c r="AC711" s="100"/>
      <c r="AD711" s="100"/>
      <c r="AF711"/>
      <c r="AG711">
        <f t="shared" si="290"/>
        <v>0</v>
      </c>
      <c r="AH711">
        <f t="shared" si="291"/>
        <v>0</v>
      </c>
      <c r="AK711">
        <f t="shared" si="275"/>
        <v>0</v>
      </c>
      <c r="AL711">
        <f t="shared" si="276"/>
        <v>0</v>
      </c>
      <c r="AM711">
        <f t="shared" si="277"/>
        <v>0</v>
      </c>
      <c r="AN711">
        <f t="shared" si="278"/>
        <v>0</v>
      </c>
      <c r="AO711">
        <f t="shared" si="279"/>
        <v>0</v>
      </c>
      <c r="AP711">
        <f t="shared" si="280"/>
        <v>0</v>
      </c>
      <c r="AQ711">
        <f t="shared" si="281"/>
        <v>0</v>
      </c>
      <c r="AR711">
        <f t="shared" si="282"/>
        <v>0</v>
      </c>
      <c r="AS711">
        <f t="shared" si="283"/>
        <v>0</v>
      </c>
      <c r="AT711">
        <f t="shared" si="284"/>
        <v>0</v>
      </c>
      <c r="AU711">
        <f t="shared" si="285"/>
        <v>0</v>
      </c>
      <c r="AV711">
        <f t="shared" si="286"/>
        <v>0</v>
      </c>
      <c r="AW711">
        <f t="shared" si="287"/>
        <v>0</v>
      </c>
      <c r="AX711">
        <f t="shared" si="288"/>
        <v>0</v>
      </c>
      <c r="AY711">
        <f t="shared" si="289"/>
        <v>0</v>
      </c>
      <c r="CS711"/>
      <c r="CT711"/>
      <c r="CU711"/>
      <c r="CV711"/>
      <c r="CW711"/>
      <c r="CX711"/>
      <c r="CY711"/>
      <c r="CZ711"/>
      <c r="DA711"/>
    </row>
    <row r="712" spans="1:105" ht="15" customHeight="1">
      <c r="A712" s="108"/>
      <c r="B712" s="38"/>
      <c r="C712" s="1109"/>
      <c r="D712" s="874"/>
      <c r="E712" s="874"/>
      <c r="F712" s="1103" t="s">
        <v>5102</v>
      </c>
      <c r="G712" s="1103"/>
      <c r="H712" s="1104" t="s">
        <v>5103</v>
      </c>
      <c r="I712" s="1105"/>
      <c r="J712" s="1105"/>
      <c r="K712" s="1105"/>
      <c r="L712" s="1105"/>
      <c r="M712" s="1105"/>
      <c r="N712" s="1105"/>
      <c r="O712" s="1106"/>
      <c r="P712" s="100"/>
      <c r="Q712" s="100"/>
      <c r="R712" s="100"/>
      <c r="S712" s="100"/>
      <c r="T712" s="100"/>
      <c r="U712" s="100"/>
      <c r="V712" s="100"/>
      <c r="W712" s="100"/>
      <c r="X712" s="100"/>
      <c r="Y712" s="100"/>
      <c r="Z712" s="100"/>
      <c r="AA712" s="100"/>
      <c r="AB712" s="100"/>
      <c r="AC712" s="100"/>
      <c r="AD712" s="100"/>
      <c r="AF712"/>
      <c r="AG712">
        <f t="shared" si="290"/>
        <v>0</v>
      </c>
      <c r="AH712">
        <f t="shared" si="291"/>
        <v>0</v>
      </c>
      <c r="AK712">
        <f t="shared" si="275"/>
        <v>0</v>
      </c>
      <c r="AL712">
        <f t="shared" si="276"/>
        <v>0</v>
      </c>
      <c r="AM712">
        <f t="shared" si="277"/>
        <v>0</v>
      </c>
      <c r="AN712">
        <f t="shared" si="278"/>
        <v>0</v>
      </c>
      <c r="AO712">
        <f t="shared" si="279"/>
        <v>0</v>
      </c>
      <c r="AP712">
        <f t="shared" si="280"/>
        <v>0</v>
      </c>
      <c r="AQ712">
        <f t="shared" si="281"/>
        <v>0</v>
      </c>
      <c r="AR712">
        <f t="shared" si="282"/>
        <v>0</v>
      </c>
      <c r="AS712">
        <f t="shared" si="283"/>
        <v>0</v>
      </c>
      <c r="AT712">
        <f t="shared" si="284"/>
        <v>0</v>
      </c>
      <c r="AU712">
        <f t="shared" si="285"/>
        <v>0</v>
      </c>
      <c r="AV712">
        <f t="shared" si="286"/>
        <v>0</v>
      </c>
      <c r="AW712">
        <f t="shared" si="287"/>
        <v>0</v>
      </c>
      <c r="AX712">
        <f t="shared" si="288"/>
        <v>0</v>
      </c>
      <c r="AY712">
        <f t="shared" si="289"/>
        <v>0</v>
      </c>
      <c r="CS712"/>
      <c r="CT712"/>
      <c r="CU712"/>
      <c r="CV712"/>
      <c r="CW712"/>
      <c r="CX712"/>
      <c r="CY712"/>
      <c r="CZ712"/>
      <c r="DA712"/>
    </row>
    <row r="713" spans="1:105" ht="24" customHeight="1">
      <c r="A713" s="108"/>
      <c r="B713" s="38"/>
      <c r="C713" s="1109"/>
      <c r="D713" s="874"/>
      <c r="E713" s="874"/>
      <c r="F713" s="1103" t="s">
        <v>5104</v>
      </c>
      <c r="G713" s="1103"/>
      <c r="H713" s="1104" t="s">
        <v>5105</v>
      </c>
      <c r="I713" s="1105"/>
      <c r="J713" s="1105"/>
      <c r="K713" s="1105"/>
      <c r="L713" s="1105"/>
      <c r="M713" s="1105"/>
      <c r="N713" s="1105"/>
      <c r="O713" s="1106"/>
      <c r="P713" s="100"/>
      <c r="Q713" s="100"/>
      <c r="R713" s="100"/>
      <c r="S713" s="100"/>
      <c r="T713" s="100"/>
      <c r="U713" s="100"/>
      <c r="V713" s="100"/>
      <c r="W713" s="100"/>
      <c r="X713" s="100"/>
      <c r="Y713" s="100"/>
      <c r="Z713" s="100"/>
      <c r="AA713" s="100"/>
      <c r="AB713" s="100"/>
      <c r="AC713" s="100"/>
      <c r="AD713" s="100"/>
      <c r="AF713">
        <f>IF(P713="NA",IF(AND(COUNTIF(P714:P718,"="&amp;$AF$212)=0,COUNTIF(P714:P718,"&lt;&gt;NA")&gt;0),1,0),IF(AND(COUNTIF(P714:P718,"="&amp;$AF$212)=0,COUNTIF(P714:P718,"NA")=COUNTIF(P714:P718,"&lt;&gt;"&amp;$AF$212)),1,0))</f>
        <v>0</v>
      </c>
      <c r="AG713">
        <f t="shared" si="290"/>
        <v>0</v>
      </c>
      <c r="AH713">
        <f t="shared" si="291"/>
        <v>0</v>
      </c>
      <c r="AK713">
        <f t="shared" si="275"/>
        <v>0</v>
      </c>
      <c r="AL713">
        <f t="shared" si="276"/>
        <v>0</v>
      </c>
      <c r="AM713">
        <f t="shared" si="277"/>
        <v>0</v>
      </c>
      <c r="AN713">
        <f t="shared" si="278"/>
        <v>0</v>
      </c>
      <c r="AO713">
        <f t="shared" si="279"/>
        <v>0</v>
      </c>
      <c r="AP713">
        <f t="shared" si="280"/>
        <v>0</v>
      </c>
      <c r="AQ713">
        <f t="shared" si="281"/>
        <v>0</v>
      </c>
      <c r="AR713">
        <f t="shared" si="282"/>
        <v>0</v>
      </c>
      <c r="AS713">
        <f t="shared" si="283"/>
        <v>0</v>
      </c>
      <c r="AT713">
        <f t="shared" si="284"/>
        <v>0</v>
      </c>
      <c r="AU713">
        <f t="shared" si="285"/>
        <v>0</v>
      </c>
      <c r="AV713">
        <f t="shared" si="286"/>
        <v>0</v>
      </c>
      <c r="AW713">
        <f t="shared" si="287"/>
        <v>0</v>
      </c>
      <c r="AX713">
        <f t="shared" si="288"/>
        <v>0</v>
      </c>
      <c r="AY713">
        <f t="shared" si="289"/>
        <v>0</v>
      </c>
      <c r="CS713"/>
      <c r="CT713"/>
      <c r="CU713"/>
      <c r="CV713"/>
      <c r="CW713"/>
      <c r="CX713"/>
      <c r="CY713"/>
      <c r="CZ713"/>
      <c r="DA713"/>
    </row>
    <row r="714" spans="1:105" ht="24" customHeight="1">
      <c r="A714" s="108"/>
      <c r="B714" s="38"/>
      <c r="C714" s="1109"/>
      <c r="D714" s="874"/>
      <c r="E714" s="874"/>
      <c r="F714" s="1119" t="s">
        <v>5106</v>
      </c>
      <c r="G714" s="1120"/>
      <c r="H714" s="178"/>
      <c r="I714" s="1111" t="s">
        <v>5107</v>
      </c>
      <c r="J714" s="1111"/>
      <c r="K714" s="1111"/>
      <c r="L714" s="1111"/>
      <c r="M714" s="1111"/>
      <c r="N714" s="1111"/>
      <c r="O714" s="1112"/>
      <c r="P714" s="100"/>
      <c r="Q714" s="100"/>
      <c r="R714" s="100"/>
      <c r="S714" s="100"/>
      <c r="T714" s="100"/>
      <c r="U714" s="100"/>
      <c r="V714" s="100"/>
      <c r="W714" s="100"/>
      <c r="X714" s="100"/>
      <c r="Y714" s="100"/>
      <c r="Z714" s="100"/>
      <c r="AA714" s="100"/>
      <c r="AB714" s="100"/>
      <c r="AC714" s="100"/>
      <c r="AD714" s="100"/>
      <c r="AF714"/>
      <c r="AG714">
        <f t="shared" si="290"/>
        <v>0</v>
      </c>
      <c r="AH714">
        <f t="shared" si="291"/>
        <v>0</v>
      </c>
      <c r="AK714">
        <f t="shared" si="275"/>
        <v>0</v>
      </c>
      <c r="AL714">
        <f t="shared" si="276"/>
        <v>0</v>
      </c>
      <c r="AM714">
        <f t="shared" si="277"/>
        <v>0</v>
      </c>
      <c r="AN714">
        <f t="shared" si="278"/>
        <v>0</v>
      </c>
      <c r="AO714">
        <f t="shared" si="279"/>
        <v>0</v>
      </c>
      <c r="AP714">
        <f t="shared" si="280"/>
        <v>0</v>
      </c>
      <c r="AQ714">
        <f t="shared" si="281"/>
        <v>0</v>
      </c>
      <c r="AR714">
        <f t="shared" si="282"/>
        <v>0</v>
      </c>
      <c r="AS714">
        <f t="shared" si="283"/>
        <v>0</v>
      </c>
      <c r="AT714">
        <f t="shared" si="284"/>
        <v>0</v>
      </c>
      <c r="AU714">
        <f t="shared" si="285"/>
        <v>0</v>
      </c>
      <c r="AV714">
        <f t="shared" si="286"/>
        <v>0</v>
      </c>
      <c r="AW714">
        <f t="shared" si="287"/>
        <v>0</v>
      </c>
      <c r="AX714">
        <f t="shared" si="288"/>
        <v>0</v>
      </c>
      <c r="AY714">
        <f t="shared" si="289"/>
        <v>0</v>
      </c>
      <c r="CS714"/>
      <c r="CT714"/>
      <c r="CU714"/>
      <c r="CV714"/>
      <c r="CW714"/>
      <c r="CX714"/>
      <c r="CY714"/>
      <c r="CZ714"/>
      <c r="DA714"/>
    </row>
    <row r="715" spans="1:105" ht="15" customHeight="1">
      <c r="A715" s="108"/>
      <c r="B715" s="38"/>
      <c r="C715" s="1109"/>
      <c r="D715" s="874"/>
      <c r="E715" s="874"/>
      <c r="F715" s="1119" t="s">
        <v>5108</v>
      </c>
      <c r="G715" s="1120"/>
      <c r="H715" s="178"/>
      <c r="I715" s="1111" t="s">
        <v>5109</v>
      </c>
      <c r="J715" s="1111"/>
      <c r="K715" s="1111"/>
      <c r="L715" s="1111"/>
      <c r="M715" s="1111"/>
      <c r="N715" s="1111"/>
      <c r="O715" s="1112"/>
      <c r="P715" s="100"/>
      <c r="Q715" s="100"/>
      <c r="R715" s="100"/>
      <c r="S715" s="100"/>
      <c r="T715" s="100"/>
      <c r="U715" s="100"/>
      <c r="V715" s="100"/>
      <c r="W715" s="100"/>
      <c r="X715" s="100"/>
      <c r="Y715" s="100"/>
      <c r="Z715" s="100"/>
      <c r="AA715" s="100"/>
      <c r="AB715" s="100"/>
      <c r="AC715" s="100"/>
      <c r="AD715" s="100"/>
      <c r="AF715"/>
      <c r="AG715">
        <f t="shared" si="290"/>
        <v>0</v>
      </c>
      <c r="AH715">
        <f t="shared" si="291"/>
        <v>0</v>
      </c>
      <c r="AK715">
        <f t="shared" si="275"/>
        <v>0</v>
      </c>
      <c r="AL715">
        <f t="shared" si="276"/>
        <v>0</v>
      </c>
      <c r="AM715">
        <f t="shared" si="277"/>
        <v>0</v>
      </c>
      <c r="AN715">
        <f t="shared" si="278"/>
        <v>0</v>
      </c>
      <c r="AO715">
        <f t="shared" si="279"/>
        <v>0</v>
      </c>
      <c r="AP715">
        <f t="shared" si="280"/>
        <v>0</v>
      </c>
      <c r="AQ715">
        <f t="shared" si="281"/>
        <v>0</v>
      </c>
      <c r="AR715">
        <f t="shared" si="282"/>
        <v>0</v>
      </c>
      <c r="AS715">
        <f t="shared" si="283"/>
        <v>0</v>
      </c>
      <c r="AT715">
        <f t="shared" si="284"/>
        <v>0</v>
      </c>
      <c r="AU715">
        <f t="shared" si="285"/>
        <v>0</v>
      </c>
      <c r="AV715">
        <f t="shared" si="286"/>
        <v>0</v>
      </c>
      <c r="AW715">
        <f t="shared" si="287"/>
        <v>0</v>
      </c>
      <c r="AX715">
        <f t="shared" si="288"/>
        <v>0</v>
      </c>
      <c r="AY715">
        <f t="shared" si="289"/>
        <v>0</v>
      </c>
      <c r="CS715"/>
      <c r="CT715"/>
      <c r="CU715"/>
      <c r="CV715"/>
      <c r="CW715"/>
      <c r="CX715"/>
      <c r="CY715"/>
      <c r="CZ715"/>
      <c r="DA715"/>
    </row>
    <row r="716" spans="1:105" ht="24" customHeight="1">
      <c r="A716" s="108"/>
      <c r="B716" s="38"/>
      <c r="C716" s="1109"/>
      <c r="D716" s="874"/>
      <c r="E716" s="874"/>
      <c r="F716" s="1119" t="s">
        <v>5110</v>
      </c>
      <c r="G716" s="1120"/>
      <c r="H716" s="178"/>
      <c r="I716" s="1111" t="s">
        <v>5111</v>
      </c>
      <c r="J716" s="1111"/>
      <c r="K716" s="1111"/>
      <c r="L716" s="1111"/>
      <c r="M716" s="1111"/>
      <c r="N716" s="1111"/>
      <c r="O716" s="1112"/>
      <c r="P716" s="100"/>
      <c r="Q716" s="100"/>
      <c r="R716" s="100"/>
      <c r="S716" s="100"/>
      <c r="T716" s="100"/>
      <c r="U716" s="100"/>
      <c r="V716" s="100"/>
      <c r="W716" s="100"/>
      <c r="X716" s="100"/>
      <c r="Y716" s="100"/>
      <c r="Z716" s="100"/>
      <c r="AA716" s="100"/>
      <c r="AB716" s="100"/>
      <c r="AC716" s="100"/>
      <c r="AD716" s="100"/>
      <c r="AF716"/>
      <c r="AG716">
        <f t="shared" si="290"/>
        <v>0</v>
      </c>
      <c r="AH716">
        <f t="shared" si="291"/>
        <v>0</v>
      </c>
      <c r="AK716">
        <f t="shared" si="275"/>
        <v>0</v>
      </c>
      <c r="AL716">
        <f t="shared" si="276"/>
        <v>0</v>
      </c>
      <c r="AM716">
        <f t="shared" si="277"/>
        <v>0</v>
      </c>
      <c r="AN716">
        <f t="shared" si="278"/>
        <v>0</v>
      </c>
      <c r="AO716">
        <f t="shared" si="279"/>
        <v>0</v>
      </c>
      <c r="AP716">
        <f t="shared" si="280"/>
        <v>0</v>
      </c>
      <c r="AQ716">
        <f t="shared" si="281"/>
        <v>0</v>
      </c>
      <c r="AR716">
        <f t="shared" si="282"/>
        <v>0</v>
      </c>
      <c r="AS716">
        <f t="shared" si="283"/>
        <v>0</v>
      </c>
      <c r="AT716">
        <f t="shared" si="284"/>
        <v>0</v>
      </c>
      <c r="AU716">
        <f t="shared" si="285"/>
        <v>0</v>
      </c>
      <c r="AV716">
        <f t="shared" si="286"/>
        <v>0</v>
      </c>
      <c r="AW716">
        <f t="shared" si="287"/>
        <v>0</v>
      </c>
      <c r="AX716">
        <f t="shared" si="288"/>
        <v>0</v>
      </c>
      <c r="AY716">
        <f t="shared" si="289"/>
        <v>0</v>
      </c>
      <c r="CS716"/>
      <c r="CT716"/>
      <c r="CU716"/>
      <c r="CV716"/>
      <c r="CW716"/>
      <c r="CX716"/>
      <c r="CY716"/>
      <c r="CZ716"/>
      <c r="DA716"/>
    </row>
    <row r="717" spans="1:105" ht="36" customHeight="1">
      <c r="A717" s="108"/>
      <c r="B717" s="38"/>
      <c r="C717" s="1109"/>
      <c r="D717" s="874"/>
      <c r="E717" s="874"/>
      <c r="F717" s="1119" t="s">
        <v>5112</v>
      </c>
      <c r="G717" s="1120"/>
      <c r="H717" s="178"/>
      <c r="I717" s="1111" t="s">
        <v>5113</v>
      </c>
      <c r="J717" s="1111"/>
      <c r="K717" s="1111"/>
      <c r="L717" s="1111"/>
      <c r="M717" s="1111"/>
      <c r="N717" s="1111"/>
      <c r="O717" s="1112"/>
      <c r="P717" s="100"/>
      <c r="Q717" s="100"/>
      <c r="R717" s="100"/>
      <c r="S717" s="100"/>
      <c r="T717" s="100"/>
      <c r="U717" s="100"/>
      <c r="V717" s="100"/>
      <c r="W717" s="100"/>
      <c r="X717" s="100"/>
      <c r="Y717" s="100"/>
      <c r="Z717" s="100"/>
      <c r="AA717" s="100"/>
      <c r="AB717" s="100"/>
      <c r="AC717" s="100"/>
      <c r="AD717" s="100"/>
      <c r="AF717"/>
      <c r="AG717">
        <f t="shared" si="290"/>
        <v>0</v>
      </c>
      <c r="AH717">
        <f t="shared" si="291"/>
        <v>0</v>
      </c>
      <c r="AK717">
        <f t="shared" si="275"/>
        <v>0</v>
      </c>
      <c r="AL717">
        <f t="shared" si="276"/>
        <v>0</v>
      </c>
      <c r="AM717">
        <f t="shared" si="277"/>
        <v>0</v>
      </c>
      <c r="AN717">
        <f t="shared" si="278"/>
        <v>0</v>
      </c>
      <c r="AO717">
        <f t="shared" si="279"/>
        <v>0</v>
      </c>
      <c r="AP717">
        <f t="shared" si="280"/>
        <v>0</v>
      </c>
      <c r="AQ717">
        <f t="shared" si="281"/>
        <v>0</v>
      </c>
      <c r="AR717">
        <f t="shared" si="282"/>
        <v>0</v>
      </c>
      <c r="AS717">
        <f t="shared" si="283"/>
        <v>0</v>
      </c>
      <c r="AT717">
        <f t="shared" si="284"/>
        <v>0</v>
      </c>
      <c r="AU717">
        <f t="shared" si="285"/>
        <v>0</v>
      </c>
      <c r="AV717">
        <f t="shared" si="286"/>
        <v>0</v>
      </c>
      <c r="AW717">
        <f t="shared" si="287"/>
        <v>0</v>
      </c>
      <c r="AX717">
        <f t="shared" si="288"/>
        <v>0</v>
      </c>
      <c r="AY717">
        <f t="shared" si="289"/>
        <v>0</v>
      </c>
      <c r="CS717"/>
      <c r="CT717"/>
      <c r="CU717"/>
      <c r="CV717"/>
      <c r="CW717"/>
      <c r="CX717"/>
      <c r="CY717"/>
      <c r="CZ717"/>
      <c r="DA717"/>
    </row>
    <row r="718" spans="1:105" ht="15" customHeight="1">
      <c r="A718" s="108"/>
      <c r="B718" s="38"/>
      <c r="C718" s="1109"/>
      <c r="D718" s="874"/>
      <c r="E718" s="874"/>
      <c r="F718" s="1119" t="s">
        <v>5114</v>
      </c>
      <c r="G718" s="1120"/>
      <c r="H718" s="178"/>
      <c r="I718" s="1111" t="s">
        <v>2631</v>
      </c>
      <c r="J718" s="1111"/>
      <c r="K718" s="1111"/>
      <c r="L718" s="1111"/>
      <c r="M718" s="1111"/>
      <c r="N718" s="1111"/>
      <c r="O718" s="1112"/>
      <c r="P718" s="100"/>
      <c r="Q718" s="100"/>
      <c r="R718" s="100"/>
      <c r="S718" s="100"/>
      <c r="T718" s="100"/>
      <c r="U718" s="100"/>
      <c r="V718" s="100"/>
      <c r="W718" s="100"/>
      <c r="X718" s="100"/>
      <c r="Y718" s="100"/>
      <c r="Z718" s="100"/>
      <c r="AA718" s="100"/>
      <c r="AB718" s="100"/>
      <c r="AC718" s="100"/>
      <c r="AD718" s="100"/>
      <c r="AF718"/>
      <c r="AG718">
        <f t="shared" si="290"/>
        <v>0</v>
      </c>
      <c r="AH718">
        <f t="shared" si="291"/>
        <v>0</v>
      </c>
      <c r="AK718">
        <f t="shared" si="275"/>
        <v>0</v>
      </c>
      <c r="AL718">
        <f t="shared" si="276"/>
        <v>0</v>
      </c>
      <c r="AM718">
        <f t="shared" si="277"/>
        <v>0</v>
      </c>
      <c r="AN718">
        <f t="shared" si="278"/>
        <v>0</v>
      </c>
      <c r="AO718">
        <f t="shared" si="279"/>
        <v>0</v>
      </c>
      <c r="AP718">
        <f t="shared" si="280"/>
        <v>0</v>
      </c>
      <c r="AQ718">
        <f t="shared" si="281"/>
        <v>0</v>
      </c>
      <c r="AR718">
        <f t="shared" si="282"/>
        <v>0</v>
      </c>
      <c r="AS718">
        <f t="shared" si="283"/>
        <v>0</v>
      </c>
      <c r="AT718">
        <f t="shared" si="284"/>
        <v>0</v>
      </c>
      <c r="AU718">
        <f t="shared" si="285"/>
        <v>0</v>
      </c>
      <c r="AV718">
        <f t="shared" si="286"/>
        <v>0</v>
      </c>
      <c r="AW718">
        <f t="shared" si="287"/>
        <v>0</v>
      </c>
      <c r="AX718">
        <f t="shared" si="288"/>
        <v>0</v>
      </c>
      <c r="AY718">
        <f t="shared" si="289"/>
        <v>0</v>
      </c>
      <c r="CS718"/>
      <c r="CT718"/>
      <c r="CU718"/>
      <c r="CV718"/>
      <c r="CW718"/>
      <c r="CX718"/>
      <c r="CY718"/>
      <c r="CZ718"/>
      <c r="DA718"/>
    </row>
    <row r="719" spans="1:105" ht="24" customHeight="1">
      <c r="A719" s="108"/>
      <c r="B719" s="38"/>
      <c r="C719" s="1109"/>
      <c r="D719" s="874"/>
      <c r="E719" s="874"/>
      <c r="F719" s="1103" t="s">
        <v>5115</v>
      </c>
      <c r="G719" s="1103"/>
      <c r="H719" s="1104" t="s">
        <v>5116</v>
      </c>
      <c r="I719" s="1105"/>
      <c r="J719" s="1105"/>
      <c r="K719" s="1105"/>
      <c r="L719" s="1105"/>
      <c r="M719" s="1105"/>
      <c r="N719" s="1105"/>
      <c r="O719" s="1106"/>
      <c r="P719" s="100"/>
      <c r="Q719" s="100"/>
      <c r="R719" s="100"/>
      <c r="S719" s="100"/>
      <c r="T719" s="100"/>
      <c r="U719" s="100"/>
      <c r="V719" s="100"/>
      <c r="W719" s="100"/>
      <c r="X719" s="100"/>
      <c r="Y719" s="100"/>
      <c r="Z719" s="100"/>
      <c r="AA719" s="100"/>
      <c r="AB719" s="100"/>
      <c r="AC719" s="100"/>
      <c r="AD719" s="100"/>
      <c r="AF719"/>
      <c r="AG719">
        <f t="shared" si="290"/>
        <v>0</v>
      </c>
      <c r="AH719">
        <f t="shared" si="291"/>
        <v>0</v>
      </c>
      <c r="AK719">
        <f t="shared" si="275"/>
        <v>0</v>
      </c>
      <c r="AL719">
        <f t="shared" si="276"/>
        <v>0</v>
      </c>
      <c r="AM719">
        <f t="shared" si="277"/>
        <v>0</v>
      </c>
      <c r="AN719">
        <f t="shared" si="278"/>
        <v>0</v>
      </c>
      <c r="AO719">
        <f t="shared" si="279"/>
        <v>0</v>
      </c>
      <c r="AP719">
        <f t="shared" si="280"/>
        <v>0</v>
      </c>
      <c r="AQ719">
        <f t="shared" si="281"/>
        <v>0</v>
      </c>
      <c r="AR719">
        <f t="shared" si="282"/>
        <v>0</v>
      </c>
      <c r="AS719">
        <f t="shared" si="283"/>
        <v>0</v>
      </c>
      <c r="AT719">
        <f t="shared" si="284"/>
        <v>0</v>
      </c>
      <c r="AU719">
        <f t="shared" si="285"/>
        <v>0</v>
      </c>
      <c r="AV719">
        <f t="shared" si="286"/>
        <v>0</v>
      </c>
      <c r="AW719">
        <f t="shared" si="287"/>
        <v>0</v>
      </c>
      <c r="AX719">
        <f t="shared" si="288"/>
        <v>0</v>
      </c>
      <c r="AY719">
        <f t="shared" si="289"/>
        <v>0</v>
      </c>
      <c r="CS719"/>
      <c r="CT719"/>
      <c r="CU719"/>
      <c r="CV719"/>
      <c r="CW719"/>
      <c r="CX719"/>
      <c r="CY719"/>
      <c r="CZ719"/>
      <c r="DA719"/>
    </row>
    <row r="720" spans="1:105" ht="15" customHeight="1">
      <c r="A720" s="108"/>
      <c r="B720" s="38"/>
      <c r="C720" s="1109"/>
      <c r="D720" s="874"/>
      <c r="E720" s="874"/>
      <c r="F720" s="1107" t="s">
        <v>5117</v>
      </c>
      <c r="G720" s="1107"/>
      <c r="H720" s="1104" t="s">
        <v>5118</v>
      </c>
      <c r="I720" s="1105"/>
      <c r="J720" s="1105"/>
      <c r="K720" s="1105"/>
      <c r="L720" s="1105"/>
      <c r="M720" s="1105"/>
      <c r="N720" s="1105"/>
      <c r="O720" s="1106"/>
      <c r="P720" s="100"/>
      <c r="Q720" s="100"/>
      <c r="R720" s="100"/>
      <c r="S720" s="100"/>
      <c r="T720" s="100"/>
      <c r="U720" s="100"/>
      <c r="V720" s="100"/>
      <c r="W720" s="100"/>
      <c r="X720" s="100"/>
      <c r="Y720" s="100"/>
      <c r="Z720" s="100"/>
      <c r="AA720" s="100"/>
      <c r="AB720" s="100"/>
      <c r="AC720" s="100"/>
      <c r="AD720" s="100"/>
      <c r="AF720"/>
      <c r="AG720">
        <f t="shared" si="290"/>
        <v>0</v>
      </c>
      <c r="AH720">
        <f t="shared" si="291"/>
        <v>0</v>
      </c>
      <c r="AJ720">
        <f>IF(OR(P720="NS",P720="NA",$P$176=0,$P$176="NS",$P$176="NA"),0,IF((P720*(IFERROR(100/SUM(P688:P720),0)))&gt;25,1,0))</f>
        <v>0</v>
      </c>
      <c r="AK720">
        <f t="shared" si="275"/>
        <v>0</v>
      </c>
      <c r="AL720">
        <f t="shared" si="276"/>
        <v>0</v>
      </c>
      <c r="AM720">
        <f t="shared" si="277"/>
        <v>0</v>
      </c>
      <c r="AN720">
        <f t="shared" si="278"/>
        <v>0</v>
      </c>
      <c r="AO720">
        <f t="shared" si="279"/>
        <v>0</v>
      </c>
      <c r="AP720">
        <f t="shared" si="280"/>
        <v>0</v>
      </c>
      <c r="AQ720">
        <f t="shared" si="281"/>
        <v>0</v>
      </c>
      <c r="AR720">
        <f t="shared" si="282"/>
        <v>0</v>
      </c>
      <c r="AS720">
        <f t="shared" si="283"/>
        <v>0</v>
      </c>
      <c r="AT720">
        <f t="shared" si="284"/>
        <v>0</v>
      </c>
      <c r="AU720">
        <f t="shared" si="285"/>
        <v>0</v>
      </c>
      <c r="AV720">
        <f t="shared" si="286"/>
        <v>0</v>
      </c>
      <c r="AW720">
        <f t="shared" si="287"/>
        <v>0</v>
      </c>
      <c r="AX720">
        <f t="shared" si="288"/>
        <v>0</v>
      </c>
      <c r="AY720">
        <f t="shared" si="289"/>
        <v>0</v>
      </c>
      <c r="CS720"/>
      <c r="CT720"/>
      <c r="CU720"/>
      <c r="CV720"/>
      <c r="CW720"/>
      <c r="CX720"/>
      <c r="CY720"/>
      <c r="CZ720"/>
      <c r="DA720"/>
    </row>
    <row r="721" spans="1:105" ht="15" customHeight="1">
      <c r="A721" s="108"/>
      <c r="B721" s="38"/>
      <c r="C721" s="739" t="s">
        <v>5119</v>
      </c>
      <c r="D721" s="740"/>
      <c r="E721" s="740"/>
      <c r="F721" s="740"/>
      <c r="G721" s="741"/>
      <c r="H721" s="1104" t="s">
        <v>2631</v>
      </c>
      <c r="I721" s="1105"/>
      <c r="J721" s="1105"/>
      <c r="K721" s="1105"/>
      <c r="L721" s="1105"/>
      <c r="M721" s="1105"/>
      <c r="N721" s="1105"/>
      <c r="O721" s="1106"/>
      <c r="P721" s="100"/>
      <c r="Q721" s="100"/>
      <c r="R721" s="100"/>
      <c r="S721" s="100"/>
      <c r="T721" s="100"/>
      <c r="U721" s="100"/>
      <c r="V721" s="100"/>
      <c r="W721" s="100"/>
      <c r="X721" s="100"/>
      <c r="Y721" s="100"/>
      <c r="Z721" s="100"/>
      <c r="AA721" s="100"/>
      <c r="AB721" s="100"/>
      <c r="AC721" s="100"/>
      <c r="AD721" s="100"/>
      <c r="AF721"/>
      <c r="AG721">
        <f>IF(OR($P$176=0,$P$176="NS",$P$176="NA",P721="NA"),0,IF(SUM(COUNTBLANK(P721:AD721),COUNTBLANK(G892:AD892))=0,0,1))</f>
        <v>0</v>
      </c>
      <c r="AH721">
        <f t="shared" si="291"/>
        <v>0</v>
      </c>
      <c r="AK721">
        <f t="shared" si="275"/>
        <v>0</v>
      </c>
      <c r="AL721">
        <f t="shared" si="276"/>
        <v>0</v>
      </c>
      <c r="AM721">
        <f t="shared" si="277"/>
        <v>0</v>
      </c>
      <c r="AN721">
        <f t="shared" si="278"/>
        <v>0</v>
      </c>
      <c r="AO721">
        <f t="shared" si="279"/>
        <v>0</v>
      </c>
      <c r="AP721">
        <f t="shared" si="280"/>
        <v>0</v>
      </c>
      <c r="AQ721">
        <f t="shared" si="281"/>
        <v>0</v>
      </c>
      <c r="AR721">
        <f t="shared" si="282"/>
        <v>0</v>
      </c>
      <c r="AS721">
        <f t="shared" si="283"/>
        <v>0</v>
      </c>
      <c r="AT721">
        <f t="shared" si="284"/>
        <v>0</v>
      </c>
      <c r="AU721">
        <f t="shared" si="285"/>
        <v>0</v>
      </c>
      <c r="AV721">
        <f t="shared" si="286"/>
        <v>0</v>
      </c>
      <c r="AW721">
        <f t="shared" si="287"/>
        <v>0</v>
      </c>
      <c r="AX721">
        <f t="shared" si="288"/>
        <v>0</v>
      </c>
      <c r="AY721">
        <f t="shared" si="289"/>
        <v>0</v>
      </c>
      <c r="CS721"/>
      <c r="CT721"/>
      <c r="CU721"/>
      <c r="CV721"/>
      <c r="CW721"/>
      <c r="CX721"/>
      <c r="CY721"/>
      <c r="CZ721"/>
      <c r="DA721"/>
    </row>
    <row r="722" spans="1:105" ht="15" customHeight="1">
      <c r="A722" s="108"/>
      <c r="B722" s="38"/>
      <c r="C722" s="38"/>
      <c r="D722" s="38"/>
      <c r="E722" s="38"/>
      <c r="F722" s="38"/>
      <c r="G722" s="38"/>
      <c r="H722" s="38"/>
      <c r="I722" s="38"/>
      <c r="J722" s="191"/>
      <c r="K722" s="152"/>
      <c r="L722" s="117"/>
      <c r="M722" s="45"/>
      <c r="N722" s="45"/>
      <c r="O722" s="99" t="s">
        <v>2649</v>
      </c>
      <c r="P722" s="524">
        <f>IF(COUNTIF(P557:P721,"NA")=165,"NA",IF(AND(SUM(COUNTIF(P557:P567,"NS"),COUNTIF(P574:P578,"NS"),COUNTIF(P584:P587,"NS"),COUNTIF(P606,"NS"),COUNTIF(P612:P614,"NS"),COUNTIF(P618:P624,"NS"),COUNTIF(P632,"NS"),COUNTIF(P638:P642,"NS"),COUNTIF(P649,"NS"),COUNTIF(P658:P661,"NS"),COUNTIF(P668:P671,"NS"),COUNTIF(P681,"NS"),COUNTIF(P685:P692,"NS"),COUNTIF(P700:P701,"NS"),COUNTIF(P705:P713,"NS"),COUNTIF(P719:P721,"NS"))&gt;0,SUM(P557:P567,P574:P578,P584:P587,P606,P612:P614,P618:P624,P632,P638:P642,P649,P658:P661,P668:P671,P681,P685:P692,P700:P701,P705:P713,P719:P721)=0),"NS",SUM(P557:P567,P574:P578,P584:P587,P606,P612:P614,P618:P624,P632,P638:P642,P649,P658:P661,P668:P671,P681,P685:P692,P700:P701,P705:P713,P719:P721)))</f>
        <v>0</v>
      </c>
      <c r="Q722" s="524">
        <f t="shared" ref="Q722:AD722" si="292">IF(COUNTIF(Q557:Q721,"NA")=165,"NA",IF(AND(SUM(COUNTIF(Q557:Q567,"NS"),COUNTIF(Q574:Q578,"NS"),COUNTIF(Q584:Q587,"NS"),COUNTIF(Q606,"NS"),COUNTIF(Q612:Q614,"NS"),COUNTIF(Q618:Q624,"NS"),COUNTIF(Q632,"NS"),COUNTIF(Q638:Q642,"NS"),COUNTIF(Q649,"NS"),COUNTIF(Q658:Q661,"NS"),COUNTIF(Q668:Q671,"NS"),COUNTIF(Q681,"NS"),COUNTIF(Q685:Q692,"NS"),COUNTIF(Q700:Q701,"NS"),COUNTIF(Q705:Q713,"NS"),COUNTIF(Q719:Q721,"NS"))&gt;0,SUM(Q557:Q567,Q574:Q578,Q584:Q587,Q606,Q612:Q614,Q618:Q624,Q632,Q638:Q642,Q649,Q658:Q661,Q668:Q671,Q681,Q685:Q692,Q700:Q701,Q705:Q713,Q719:Q721)=0),"NS",SUM(Q557:Q567,Q574:Q578,Q584:Q587,Q606,Q612:Q614,Q618:Q624,Q632,Q638:Q642,Q649,Q658:Q661,Q668:Q671,Q681,Q685:Q692,Q700:Q701,Q705:Q713,Q719:Q721)))</f>
        <v>0</v>
      </c>
      <c r="R722" s="524">
        <f>IF(COUNTIF(R557:R721,"NA")=165,"NA",IF(AND(SUM(COUNTIF(R557:R567,"NS"),COUNTIF(R574:R578,"NS"),COUNTIF(R584:R587,"NS"),COUNTIF(R606,"NS"),COUNTIF(R612:R614,"NS"),COUNTIF(R618:R624,"NS"),COUNTIF(R632,"NS"),COUNTIF(R638:R642,"NS"),COUNTIF(R649,"NS"),COUNTIF(R658:R661,"NS"),COUNTIF(R668:R671,"NS"),COUNTIF(R681,"NS"),COUNTIF(R685:R692,"NS"),COUNTIF(R700:R701,"NS"),COUNTIF(R705:R713,"NS"),COUNTIF(R719:R721,"NS"))&gt;0,SUM(R557:R567,R574:R578,R584:R587,R606,R612:R614,R618:R624,R632,R638:R642,R649,R658:R661,R668:R671,R681,R685:R692,R700:R701,R705:R713,R719:R721)=0),"NS",SUM(R557:R567,R574:R578,R584:R587,R606,R612:R614,R618:R624,R632,R638:R642,R649,R658:R661,R668:R671,R681,R685:R692,R700:R701,R705:R713,R719:R721)))</f>
        <v>0</v>
      </c>
      <c r="S722" s="524">
        <f t="shared" si="292"/>
        <v>0</v>
      </c>
      <c r="T722" s="524">
        <f t="shared" si="292"/>
        <v>0</v>
      </c>
      <c r="U722" s="524">
        <f t="shared" si="292"/>
        <v>0</v>
      </c>
      <c r="V722" s="524">
        <f t="shared" si="292"/>
        <v>0</v>
      </c>
      <c r="W722" s="524">
        <f t="shared" si="292"/>
        <v>0</v>
      </c>
      <c r="X722" s="524">
        <f t="shared" si="292"/>
        <v>0</v>
      </c>
      <c r="Y722" s="524">
        <f t="shared" si="292"/>
        <v>0</v>
      </c>
      <c r="Z722" s="524">
        <f t="shared" si="292"/>
        <v>0</v>
      </c>
      <c r="AA722" s="524">
        <f t="shared" si="292"/>
        <v>0</v>
      </c>
      <c r="AB722" s="524">
        <f t="shared" si="292"/>
        <v>0</v>
      </c>
      <c r="AC722" s="524">
        <f t="shared" si="292"/>
        <v>0</v>
      </c>
      <c r="AD722" s="124">
        <f t="shared" si="292"/>
        <v>0</v>
      </c>
      <c r="AF722" s="506">
        <f>SUM(AF713,AF701,AF692,AF681,AF671,AF661,AF649,AF642,AF632,AF624,AF614,AF606,AF587,AF578,AF567)</f>
        <v>0</v>
      </c>
      <c r="AG722" s="507">
        <f>SUM(AG557:AG721)</f>
        <v>0</v>
      </c>
      <c r="AH722" s="507">
        <f>SUM(AH557:AH721,AI557)</f>
        <v>0</v>
      </c>
      <c r="AJ722" s="507">
        <f>SUM(AJ720,AJ687,AJ670,AJ641,AJ623,AJ620,AJ586,AJ574,AJ561)</f>
        <v>0</v>
      </c>
      <c r="AK722">
        <f>SUM(AK557:AK721)</f>
        <v>0</v>
      </c>
      <c r="AM722">
        <f>SUM(AM557:AM721)</f>
        <v>0</v>
      </c>
      <c r="AN722">
        <f>SUM(AN557:AN721)</f>
        <v>0</v>
      </c>
      <c r="AP722">
        <f>SUM(AP557:AP721)</f>
        <v>0</v>
      </c>
      <c r="AQ722">
        <f>SUM(AQ557:AQ721)</f>
        <v>0</v>
      </c>
      <c r="AS722">
        <f>SUM(AS557:AS721)</f>
        <v>0</v>
      </c>
      <c r="AT722">
        <f>SUM(AT557:AT721)</f>
        <v>0</v>
      </c>
      <c r="AV722">
        <f>SUM(AV557:AV721)</f>
        <v>0</v>
      </c>
      <c r="AW722">
        <f>SUM(AW557:AW721)</f>
        <v>0</v>
      </c>
      <c r="AY722">
        <f>SUM(AY557:AY721)</f>
        <v>0</v>
      </c>
      <c r="CS722"/>
      <c r="CT722"/>
      <c r="CU722"/>
      <c r="CV722"/>
      <c r="CW722"/>
      <c r="CX722"/>
      <c r="CY722"/>
      <c r="CZ722"/>
      <c r="DA722"/>
    </row>
    <row r="723" spans="1:105" ht="15" customHeight="1">
      <c r="A723" s="176"/>
      <c r="B723" s="57"/>
      <c r="C723" s="57"/>
      <c r="D723" s="57"/>
      <c r="E723" s="57"/>
      <c r="F723" s="57"/>
      <c r="G723" s="57"/>
      <c r="H723" s="57"/>
      <c r="I723" s="57"/>
      <c r="J723" s="57"/>
      <c r="K723" s="57"/>
      <c r="L723" s="57"/>
      <c r="M723" s="57"/>
      <c r="N723" s="180"/>
      <c r="O723" s="2"/>
      <c r="P723" s="2"/>
      <c r="Q723" s="2"/>
      <c r="R723" s="2"/>
      <c r="S723" s="2"/>
      <c r="T723" s="2"/>
      <c r="U723" s="2"/>
      <c r="V723" s="2"/>
      <c r="W723" s="2"/>
      <c r="X723" s="2"/>
      <c r="Y723" s="2"/>
      <c r="Z723" s="2"/>
      <c r="AA723" s="2"/>
      <c r="AB723" s="2"/>
      <c r="AC723" s="2"/>
      <c r="AD723" s="2"/>
      <c r="AF723"/>
      <c r="AK723" t="s">
        <v>2650</v>
      </c>
      <c r="AL723" s="427">
        <f>SUM(AM722,AP722,AS722,AV722,AY722)</f>
        <v>0</v>
      </c>
      <c r="AM723" t="s">
        <v>2651</v>
      </c>
      <c r="AN723" s="427">
        <f>SUM(AK722,AN722,AQ722,AT722,AW722)</f>
        <v>0</v>
      </c>
      <c r="CS723"/>
      <c r="CT723"/>
      <c r="CU723"/>
      <c r="CV723"/>
      <c r="CW723"/>
      <c r="CX723"/>
      <c r="CY723"/>
      <c r="CZ723"/>
      <c r="DA723"/>
    </row>
    <row r="724" spans="1:105" ht="15" customHeight="1">
      <c r="A724" s="108"/>
      <c r="B724" s="38"/>
      <c r="C724" s="75"/>
      <c r="D724" s="75"/>
      <c r="E724" s="75"/>
      <c r="F724" s="75"/>
      <c r="G724" s="75"/>
      <c r="H724" s="75"/>
      <c r="I724" s="75"/>
      <c r="J724" s="75"/>
      <c r="K724" s="75"/>
      <c r="L724" s="75"/>
      <c r="M724" s="75"/>
      <c r="N724" s="75"/>
      <c r="O724" s="75"/>
      <c r="P724" s="75"/>
      <c r="Q724" s="75"/>
      <c r="R724" s="75"/>
      <c r="S724" s="75"/>
      <c r="T724" s="75"/>
      <c r="U724" s="75"/>
      <c r="V724" s="75"/>
      <c r="W724" s="75"/>
      <c r="X724" s="75"/>
      <c r="Y724" s="75"/>
      <c r="Z724" s="75"/>
      <c r="AA724" s="873" t="s">
        <v>2668</v>
      </c>
      <c r="AB724" s="873"/>
      <c r="AC724" s="873"/>
      <c r="AD724" s="873"/>
      <c r="AF724"/>
      <c r="AK724" t="s">
        <v>2652</v>
      </c>
      <c r="AL724">
        <f>IF(AN723&gt;0,IF(SUM(P722)&gt;=SUM(S722,V722,Y722,AB722),0,1),IF(SUM(P722)&lt;&gt;SUM(S722,V722,Y722,AB722),1,0))</f>
        <v>0</v>
      </c>
      <c r="AM724" t="s">
        <v>2653</v>
      </c>
      <c r="AN724">
        <f>IF(AN723&gt;0,IF(SUM(Q722)&gt;=SUM(T722,W722,Z722,AC722),0,1),IF(SUM(Q722)&lt;&gt;SUM(T722,W722,Z722,AC722),1,0))</f>
        <v>0</v>
      </c>
      <c r="AO724" t="s">
        <v>2654</v>
      </c>
      <c r="AP724">
        <f>IF(AN723&gt;0,IF(SUM(R722)&gt;=SUM(U722,X722,AA722,AD722),0,1),IF(SUM(R722)&lt;&gt;SUM(U722,X722,AA722,AD722),1,0))</f>
        <v>0</v>
      </c>
      <c r="CS724"/>
      <c r="CT724"/>
      <c r="CU724"/>
      <c r="CV724"/>
      <c r="CW724"/>
      <c r="CX724"/>
      <c r="CY724"/>
      <c r="CZ724"/>
      <c r="DA724"/>
    </row>
    <row r="725" spans="1:105" ht="36" customHeight="1">
      <c r="A725" s="108"/>
      <c r="B725" s="38"/>
      <c r="C725" s="797" t="s">
        <v>4737</v>
      </c>
      <c r="D725" s="798"/>
      <c r="E725" s="798"/>
      <c r="F725" s="799"/>
      <c r="G725" s="732" t="s">
        <v>5587</v>
      </c>
      <c r="H725" s="732"/>
      <c r="I725" s="732"/>
      <c r="J725" s="732"/>
      <c r="K725" s="732"/>
      <c r="L725" s="732"/>
      <c r="M725" s="732"/>
      <c r="N725" s="732"/>
      <c r="O725" s="732"/>
      <c r="P725" s="732"/>
      <c r="Q725" s="732"/>
      <c r="R725" s="732"/>
      <c r="S725" s="732"/>
      <c r="T725" s="732"/>
      <c r="U725" s="732"/>
      <c r="V725" s="732"/>
      <c r="W725" s="732"/>
      <c r="X725" s="732"/>
      <c r="Y725" s="732"/>
      <c r="Z725" s="732"/>
      <c r="AA725" s="732"/>
      <c r="AB725" s="732"/>
      <c r="AC725" s="732"/>
      <c r="AD725" s="732"/>
      <c r="AF725"/>
      <c r="CS725"/>
      <c r="CT725"/>
      <c r="CU725"/>
      <c r="CV725"/>
      <c r="CW725"/>
      <c r="CX725"/>
      <c r="CY725"/>
      <c r="CZ725"/>
      <c r="DA725"/>
    </row>
    <row r="726" spans="1:105" ht="120" customHeight="1">
      <c r="A726" s="108"/>
      <c r="B726" s="38"/>
      <c r="C726" s="800"/>
      <c r="D726" s="801"/>
      <c r="E726" s="801"/>
      <c r="F726" s="802"/>
      <c r="G726" s="857" t="s">
        <v>5555</v>
      </c>
      <c r="H726" s="857"/>
      <c r="I726" s="857"/>
      <c r="J726" s="857" t="s">
        <v>5556</v>
      </c>
      <c r="K726" s="857"/>
      <c r="L726" s="857"/>
      <c r="M726" s="857" t="s">
        <v>5557</v>
      </c>
      <c r="N726" s="857"/>
      <c r="O726" s="857"/>
      <c r="P726" s="857" t="s">
        <v>5558</v>
      </c>
      <c r="Q726" s="857"/>
      <c r="R726" s="857"/>
      <c r="S726" s="857" t="s">
        <v>5559</v>
      </c>
      <c r="T726" s="857"/>
      <c r="U726" s="857"/>
      <c r="V726" s="857" t="s">
        <v>5560</v>
      </c>
      <c r="W726" s="857"/>
      <c r="X726" s="857"/>
      <c r="Y726" s="857" t="s">
        <v>5561</v>
      </c>
      <c r="Z726" s="857"/>
      <c r="AA726" s="857"/>
      <c r="AB726" s="857" t="s">
        <v>5578</v>
      </c>
      <c r="AC726" s="857"/>
      <c r="AD726" s="857"/>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c r="BY726"/>
      <c r="BZ726"/>
      <c r="CA726"/>
      <c r="CB726"/>
      <c r="CC726"/>
      <c r="CD726"/>
      <c r="CE726"/>
      <c r="CF726"/>
      <c r="CG726"/>
      <c r="CH726"/>
      <c r="CI726"/>
      <c r="CJ726"/>
      <c r="CK726"/>
      <c r="CL726"/>
      <c r="CM726"/>
      <c r="CN726"/>
      <c r="CO726"/>
      <c r="CP726"/>
      <c r="CQ726"/>
      <c r="CR726"/>
      <c r="CS726"/>
      <c r="CT726"/>
      <c r="CU726"/>
      <c r="CV726"/>
      <c r="CW726"/>
      <c r="CX726"/>
      <c r="CY726"/>
      <c r="CZ726"/>
      <c r="DA726"/>
    </row>
    <row r="727" spans="1:105" ht="48" customHeight="1">
      <c r="A727" s="108"/>
      <c r="B727" s="38"/>
      <c r="C727" s="803"/>
      <c r="D727" s="804"/>
      <c r="E727" s="804"/>
      <c r="F727" s="805"/>
      <c r="G727" s="129" t="s">
        <v>2635</v>
      </c>
      <c r="H727" s="128" t="s">
        <v>2629</v>
      </c>
      <c r="I727" s="128" t="s">
        <v>2630</v>
      </c>
      <c r="J727" s="129" t="s">
        <v>2635</v>
      </c>
      <c r="K727" s="128" t="s">
        <v>2629</v>
      </c>
      <c r="L727" s="128" t="s">
        <v>2630</v>
      </c>
      <c r="M727" s="129" t="s">
        <v>2635</v>
      </c>
      <c r="N727" s="128" t="s">
        <v>2629</v>
      </c>
      <c r="O727" s="128" t="s">
        <v>2630</v>
      </c>
      <c r="P727" s="129" t="s">
        <v>2635</v>
      </c>
      <c r="Q727" s="128" t="s">
        <v>2629</v>
      </c>
      <c r="R727" s="128" t="s">
        <v>2630</v>
      </c>
      <c r="S727" s="129" t="s">
        <v>2635</v>
      </c>
      <c r="T727" s="128" t="s">
        <v>2629</v>
      </c>
      <c r="U727" s="128" t="s">
        <v>2630</v>
      </c>
      <c r="V727" s="129" t="s">
        <v>2635</v>
      </c>
      <c r="W727" s="128" t="s">
        <v>2629</v>
      </c>
      <c r="X727" s="128" t="s">
        <v>2630</v>
      </c>
      <c r="Y727" s="129" t="s">
        <v>2635</v>
      </c>
      <c r="Z727" s="128" t="s">
        <v>2629</v>
      </c>
      <c r="AA727" s="128" t="s">
        <v>2630</v>
      </c>
      <c r="AB727" s="129" t="s">
        <v>2635</v>
      </c>
      <c r="AC727" s="128" t="s">
        <v>2629</v>
      </c>
      <c r="AD727" s="128" t="s">
        <v>2630</v>
      </c>
      <c r="AF727"/>
      <c r="AG727"/>
      <c r="AH727"/>
      <c r="AI727"/>
      <c r="AJ727"/>
      <c r="AK727" t="s">
        <v>4573</v>
      </c>
      <c r="AL727" t="s">
        <v>2638</v>
      </c>
      <c r="AM727" t="s">
        <v>2639</v>
      </c>
      <c r="AN727" t="s">
        <v>4574</v>
      </c>
      <c r="AO727" t="s">
        <v>2641</v>
      </c>
      <c r="AP727" t="s">
        <v>2642</v>
      </c>
      <c r="AQ727" t="s">
        <v>4575</v>
      </c>
      <c r="AR727" t="s">
        <v>2644</v>
      </c>
      <c r="AS727" t="s">
        <v>2645</v>
      </c>
      <c r="AT727" t="s">
        <v>4576</v>
      </c>
      <c r="AU727" t="s">
        <v>2647</v>
      </c>
      <c r="AV727" t="s">
        <v>2648</v>
      </c>
      <c r="AW727" t="s">
        <v>5177</v>
      </c>
      <c r="AX727" t="s">
        <v>2757</v>
      </c>
      <c r="AY727" t="s">
        <v>2758</v>
      </c>
      <c r="AZ727" t="s">
        <v>5194</v>
      </c>
      <c r="BA727" t="s">
        <v>2760</v>
      </c>
      <c r="BB727" t="s">
        <v>2761</v>
      </c>
      <c r="BC727" t="s">
        <v>5195</v>
      </c>
      <c r="BD727" t="s">
        <v>2763</v>
      </c>
      <c r="BE727" t="s">
        <v>2764</v>
      </c>
      <c r="BF727" t="s">
        <v>5563</v>
      </c>
      <c r="BG727" t="s">
        <v>2766</v>
      </c>
      <c r="BH727" t="s">
        <v>2767</v>
      </c>
    </row>
    <row r="728" spans="1:105" ht="15" customHeight="1">
      <c r="A728" s="206"/>
      <c r="B728" s="206"/>
      <c r="C728" s="1117" t="s">
        <v>4745</v>
      </c>
      <c r="D728" s="1136"/>
      <c r="E728" s="1136"/>
      <c r="F728" s="1118"/>
      <c r="G728" s="100"/>
      <c r="H728" s="100"/>
      <c r="I728" s="100"/>
      <c r="J728" s="100"/>
      <c r="K728" s="100"/>
      <c r="L728" s="100"/>
      <c r="M728" s="100"/>
      <c r="N728" s="100"/>
      <c r="O728" s="100"/>
      <c r="P728" s="100"/>
      <c r="Q728" s="100"/>
      <c r="R728" s="100"/>
      <c r="S728" s="100"/>
      <c r="T728" s="100"/>
      <c r="U728" s="100"/>
      <c r="V728" s="100"/>
      <c r="W728" s="100"/>
      <c r="X728" s="100"/>
      <c r="Y728" s="100"/>
      <c r="Z728" s="100"/>
      <c r="AA728" s="100"/>
      <c r="AB728" s="100"/>
      <c r="AC728" s="100"/>
      <c r="AD728" s="100"/>
      <c r="AF728"/>
      <c r="AG728"/>
      <c r="AH728"/>
      <c r="AI728"/>
      <c r="AJ728"/>
      <c r="AK728">
        <f t="shared" ref="AK728:AK791" si="293">COUNTIF(H728:I728,"NS")</f>
        <v>0</v>
      </c>
      <c r="AL728">
        <f t="shared" ref="AL728:AL791" si="294">SUM(H728:I728)</f>
        <v>0</v>
      </c>
      <c r="AM728">
        <f>IF(COUNTIF(G728:I728,"NA")=3,0,IF(COUNTA(G728:I728)=0,0,IF(OR(AND(G728=0,AK728&gt;0),AND(G728="ns",AL728&gt;0),AND(G728="ns",AK728=0,AL728=0)),1,IF(OR(AND(G728&gt;0,AK728=2),AND(G728="ns",AK728=2),AND(G728="ns",AL728=0,AK728&gt;0),G728=AL728),0,1))))</f>
        <v>0</v>
      </c>
      <c r="AN728">
        <f t="shared" ref="AN728:AN791" si="295">COUNTIF(K728:L728,"NS")</f>
        <v>0</v>
      </c>
      <c r="AO728">
        <f t="shared" ref="AO728:AO791" si="296">SUM(K728:L728)</f>
        <v>0</v>
      </c>
      <c r="AP728">
        <f t="shared" ref="AP728:AP791" si="297">IF(COUNTIF(J728:L728,"NA")=3,0,IF(COUNTA(J728:L728)=0,0,IF(OR(AND(J728=0,AN728&gt;0),AND(J728="ns",AO728&gt;0),AND(J728="ns",AN728=0,AO728=0)),1,IF(OR(AND(J728&gt;0,AN728=2),AND(J728="ns",AN728=2),AND(J728="ns",AO728=0,AN728&gt;0),J728=AO728),0,1))))</f>
        <v>0</v>
      </c>
      <c r="AQ728">
        <f t="shared" ref="AQ728:AQ791" si="298">COUNTIF(N728:O728,"NS")</f>
        <v>0</v>
      </c>
      <c r="AR728">
        <f t="shared" ref="AR728:AR791" si="299">SUM(N728:O728)</f>
        <v>0</v>
      </c>
      <c r="AS728">
        <f t="shared" ref="AS728:AS791" si="300">IF(COUNTIF(M728:O728,"NA")=3,0,IF(COUNTA(M728:O728)=0,0,IF(OR(AND(M728=0,AQ728&gt;0),AND(M728="ns",AR728&gt;0),AND(M728="ns",AQ728=0,AR728=0)),1,IF(OR(AND(M728&gt;0,AQ728=2),AND(M728="ns",AQ728=2),AND(M728="ns",AR728=0,AQ728&gt;0),M728=AR728),0,1))))</f>
        <v>0</v>
      </c>
      <c r="AT728">
        <f t="shared" ref="AT728:AT791" si="301">COUNTIF(Q728:R728,"NS")</f>
        <v>0</v>
      </c>
      <c r="AU728">
        <f t="shared" ref="AU728:AU791" si="302">SUM(Q728:R728)</f>
        <v>0</v>
      </c>
      <c r="AV728">
        <f t="shared" ref="AV728:AV791" si="303">IF(COUNTIF(P728:R728,"NA")=3,0,IF(COUNTA(P728:R728)=0,0,IF(OR(AND(P728=0,AT728&gt;0),AND(P728="ns",AU728&gt;0),AND(P728="ns",AT728=0,AU728=0)),1,IF(OR(AND(P728&gt;0,AT728=2),AND(P728="ns",AT728=2),AND(P728="ns",AU728=0,AT728&gt;0),P728=AU728),0,1))))</f>
        <v>0</v>
      </c>
      <c r="AW728">
        <f t="shared" ref="AW728:AW791" si="304">COUNTIF(T728:U728,"NS")</f>
        <v>0</v>
      </c>
      <c r="AX728">
        <f t="shared" ref="AX728:AX791" si="305">SUM(T728:U728)</f>
        <v>0</v>
      </c>
      <c r="AY728">
        <f t="shared" ref="AY728:AY791" si="306">IF(COUNTIF(S728:U728,"NA")=3,0,IF(COUNTA(S728:U728)=0,0,IF(OR(AND(S728=0,AW728&gt;0),AND(S728="ns",AX728&gt;0),AND(S728="ns",AW728=0,AX728=0)),1,IF(OR(AND(S728&gt;0,AW728=2),AND(S728="ns",AW728=2),AND(S728="ns",AX728=0,AW728&gt;0),S728=AX728),0,1))))</f>
        <v>0</v>
      </c>
      <c r="AZ728">
        <f t="shared" ref="AZ728:AZ791" si="307">COUNTIF(W728:X728,"NS")</f>
        <v>0</v>
      </c>
      <c r="BA728">
        <f t="shared" ref="BA728:BA791" si="308">SUM(W728:X728)</f>
        <v>0</v>
      </c>
      <c r="BB728">
        <f t="shared" ref="BB728:BB791" si="309">IF(COUNTIF(V728:X728,"NA")=3,0,IF(COUNTA(V728:X728)=0,0,IF(OR(AND(V728=0,AZ728&gt;0),AND(V728="ns",BA728&gt;0),AND(V728="ns",AZ728=0,BA728=0)),1,IF(OR(AND(V728&gt;0,AZ728=2),AND(V728="ns",AZ728=2),AND(V728="ns",BA728=0,AZ728&gt;0),V728=BA728),0,1))))</f>
        <v>0</v>
      </c>
      <c r="BC728">
        <f t="shared" ref="BC728:BC791" si="310">COUNTIF(Z728:AA728,"NS")</f>
        <v>0</v>
      </c>
      <c r="BD728">
        <f t="shared" ref="BD728:BD791" si="311">SUM(Z728:AA728)</f>
        <v>0</v>
      </c>
      <c r="BE728">
        <f t="shared" ref="BE728:BE791" si="312">IF(COUNTIF(Y728:AA728,"NA")=3,0,IF(COUNTA(Y728:AA728)=0,0,IF(OR(AND(Y728=0,BC728&gt;0),AND(Y728="ns",BD728&gt;0),AND(Y728="ns",BC728=0,BD728=0)),1,IF(OR(AND(Y728&gt;0,BC728=2),AND(Y728="ns",BC728=2),AND(Y728="ns",BD728=0,BC728&gt;0),Y728=BD728),0,1))))</f>
        <v>0</v>
      </c>
      <c r="BF728">
        <f t="shared" ref="BF728:BF791" si="313">COUNTIF(AC728:AD728,"NS")</f>
        <v>0</v>
      </c>
      <c r="BG728">
        <f t="shared" ref="BG728:BG791" si="314">SUM(AC728:AD728)</f>
        <v>0</v>
      </c>
      <c r="BH728">
        <f t="shared" ref="BH728:BH791" si="315">IF(COUNTIF(AB728:AD728,"NA")=3,0,IF(COUNTA(AB728:AD728)=0,0,IF(OR(AND(AB728=0,BF728&gt;0),AND(AB728="ns",BG728&gt;0),AND(AB728="ns",BF728=0,BG728=0)),1,IF(OR(AND(AB728&gt;0,BF728=2),AND(AB728="ns",BF728=2),AND(AB728="ns",BG728=0,BF728&gt;0),AB728=BG728),0,1))))</f>
        <v>0</v>
      </c>
    </row>
    <row r="729" spans="1:105" ht="15" customHeight="1">
      <c r="A729" s="206"/>
      <c r="B729" s="206"/>
      <c r="C729" s="1117" t="s">
        <v>4746</v>
      </c>
      <c r="D729" s="1136"/>
      <c r="E729" s="1136"/>
      <c r="F729" s="1118"/>
      <c r="G729" s="100"/>
      <c r="H729" s="100"/>
      <c r="I729" s="100"/>
      <c r="J729" s="100"/>
      <c r="K729" s="100"/>
      <c r="L729" s="100"/>
      <c r="M729" s="100"/>
      <c r="N729" s="100"/>
      <c r="O729" s="100"/>
      <c r="P729" s="100"/>
      <c r="Q729" s="100"/>
      <c r="R729" s="100"/>
      <c r="S729" s="100"/>
      <c r="T729" s="100"/>
      <c r="U729" s="100"/>
      <c r="V729" s="100"/>
      <c r="W729" s="100"/>
      <c r="X729" s="100"/>
      <c r="Y729" s="100"/>
      <c r="Z729" s="100"/>
      <c r="AA729" s="100"/>
      <c r="AB729" s="100"/>
      <c r="AC729" s="100"/>
      <c r="AD729" s="100"/>
      <c r="AF729"/>
      <c r="AG729"/>
      <c r="AH729"/>
      <c r="AI729"/>
      <c r="AJ729"/>
      <c r="AK729">
        <f t="shared" si="293"/>
        <v>0</v>
      </c>
      <c r="AL729">
        <f t="shared" si="294"/>
        <v>0</v>
      </c>
      <c r="AM729">
        <f t="shared" ref="AM729:AM792" si="316">IF(COUNTIF(G729:I729,"NA")=3,0,IF(COUNTA(G729:I729)=0,0,IF(OR(AND(G729=0,AK729&gt;0),AND(G729="ns",AL729&gt;0),AND(G729="ns",AK729=0,AL729=0)),1,IF(OR(AND(G729&gt;0,AK729=2),AND(G729="ns",AK729=2),AND(G729="ns",AL729=0,AK729&gt;0),G729=AL729),0,1))))</f>
        <v>0</v>
      </c>
      <c r="AN729">
        <f t="shared" si="295"/>
        <v>0</v>
      </c>
      <c r="AO729">
        <f t="shared" si="296"/>
        <v>0</v>
      </c>
      <c r="AP729">
        <f t="shared" si="297"/>
        <v>0</v>
      </c>
      <c r="AQ729">
        <f t="shared" si="298"/>
        <v>0</v>
      </c>
      <c r="AR729">
        <f t="shared" si="299"/>
        <v>0</v>
      </c>
      <c r="AS729">
        <f t="shared" si="300"/>
        <v>0</v>
      </c>
      <c r="AT729">
        <f t="shared" si="301"/>
        <v>0</v>
      </c>
      <c r="AU729">
        <f t="shared" si="302"/>
        <v>0</v>
      </c>
      <c r="AV729">
        <f t="shared" si="303"/>
        <v>0</v>
      </c>
      <c r="AW729">
        <f t="shared" si="304"/>
        <v>0</v>
      </c>
      <c r="AX729">
        <f t="shared" si="305"/>
        <v>0</v>
      </c>
      <c r="AY729">
        <f t="shared" si="306"/>
        <v>0</v>
      </c>
      <c r="AZ729">
        <f t="shared" si="307"/>
        <v>0</v>
      </c>
      <c r="BA729">
        <f t="shared" si="308"/>
        <v>0</v>
      </c>
      <c r="BB729">
        <f t="shared" si="309"/>
        <v>0</v>
      </c>
      <c r="BC729">
        <f t="shared" si="310"/>
        <v>0</v>
      </c>
      <c r="BD729">
        <f t="shared" si="311"/>
        <v>0</v>
      </c>
      <c r="BE729">
        <f t="shared" si="312"/>
        <v>0</v>
      </c>
      <c r="BF729">
        <f t="shared" si="313"/>
        <v>0</v>
      </c>
      <c r="BG729">
        <f t="shared" si="314"/>
        <v>0</v>
      </c>
      <c r="BH729">
        <f t="shared" si="315"/>
        <v>0</v>
      </c>
    </row>
    <row r="730" spans="1:105" ht="15" customHeight="1">
      <c r="A730" s="206"/>
      <c r="B730" s="206"/>
      <c r="C730" s="1117" t="s">
        <v>4748</v>
      </c>
      <c r="D730" s="1136"/>
      <c r="E730" s="1136"/>
      <c r="F730" s="1118"/>
      <c r="G730" s="100"/>
      <c r="H730" s="100"/>
      <c r="I730" s="100"/>
      <c r="J730" s="100"/>
      <c r="K730" s="100"/>
      <c r="L730" s="100"/>
      <c r="M730" s="100"/>
      <c r="N730" s="100"/>
      <c r="O730" s="100"/>
      <c r="P730" s="100"/>
      <c r="Q730" s="100"/>
      <c r="R730" s="100"/>
      <c r="S730" s="100"/>
      <c r="T730" s="100"/>
      <c r="U730" s="100"/>
      <c r="V730" s="100"/>
      <c r="W730" s="100"/>
      <c r="X730" s="100"/>
      <c r="Y730" s="100"/>
      <c r="Z730" s="100"/>
      <c r="AA730" s="100"/>
      <c r="AB730" s="100"/>
      <c r="AC730" s="100"/>
      <c r="AD730" s="100"/>
      <c r="AF730"/>
      <c r="AG730"/>
      <c r="AH730"/>
      <c r="AI730"/>
      <c r="AJ730"/>
      <c r="AK730">
        <f t="shared" si="293"/>
        <v>0</v>
      </c>
      <c r="AL730">
        <f t="shared" si="294"/>
        <v>0</v>
      </c>
      <c r="AM730">
        <f t="shared" si="316"/>
        <v>0</v>
      </c>
      <c r="AN730">
        <f t="shared" si="295"/>
        <v>0</v>
      </c>
      <c r="AO730">
        <f t="shared" si="296"/>
        <v>0</v>
      </c>
      <c r="AP730">
        <f t="shared" si="297"/>
        <v>0</v>
      </c>
      <c r="AQ730">
        <f t="shared" si="298"/>
        <v>0</v>
      </c>
      <c r="AR730">
        <f t="shared" si="299"/>
        <v>0</v>
      </c>
      <c r="AS730">
        <f t="shared" si="300"/>
        <v>0</v>
      </c>
      <c r="AT730">
        <f t="shared" si="301"/>
        <v>0</v>
      </c>
      <c r="AU730">
        <f t="shared" si="302"/>
        <v>0</v>
      </c>
      <c r="AV730">
        <f t="shared" si="303"/>
        <v>0</v>
      </c>
      <c r="AW730">
        <f t="shared" si="304"/>
        <v>0</v>
      </c>
      <c r="AX730">
        <f t="shared" si="305"/>
        <v>0</v>
      </c>
      <c r="AY730">
        <f t="shared" si="306"/>
        <v>0</v>
      </c>
      <c r="AZ730">
        <f t="shared" si="307"/>
        <v>0</v>
      </c>
      <c r="BA730">
        <f t="shared" si="308"/>
        <v>0</v>
      </c>
      <c r="BB730">
        <f t="shared" si="309"/>
        <v>0</v>
      </c>
      <c r="BC730">
        <f t="shared" si="310"/>
        <v>0</v>
      </c>
      <c r="BD730">
        <f t="shared" si="311"/>
        <v>0</v>
      </c>
      <c r="BE730">
        <f t="shared" si="312"/>
        <v>0</v>
      </c>
      <c r="BF730">
        <f t="shared" si="313"/>
        <v>0</v>
      </c>
      <c r="BG730">
        <f t="shared" si="314"/>
        <v>0</v>
      </c>
      <c r="BH730">
        <f t="shared" si="315"/>
        <v>0</v>
      </c>
    </row>
    <row r="731" spans="1:105" ht="15" customHeight="1">
      <c r="A731" s="206"/>
      <c r="B731" s="206"/>
      <c r="C731" s="1117" t="s">
        <v>4750</v>
      </c>
      <c r="D731" s="1136"/>
      <c r="E731" s="1136"/>
      <c r="F731" s="1118"/>
      <c r="G731" s="100"/>
      <c r="H731" s="100"/>
      <c r="I731" s="100"/>
      <c r="J731" s="100"/>
      <c r="K731" s="100"/>
      <c r="L731" s="100"/>
      <c r="M731" s="100"/>
      <c r="N731" s="100"/>
      <c r="O731" s="100"/>
      <c r="P731" s="100"/>
      <c r="Q731" s="100"/>
      <c r="R731" s="100"/>
      <c r="S731" s="100"/>
      <c r="T731" s="100"/>
      <c r="U731" s="100"/>
      <c r="V731" s="100"/>
      <c r="W731" s="100"/>
      <c r="X731" s="100"/>
      <c r="Y731" s="100"/>
      <c r="Z731" s="100"/>
      <c r="AA731" s="100"/>
      <c r="AB731" s="100"/>
      <c r="AC731" s="100"/>
      <c r="AD731" s="100"/>
      <c r="AF731"/>
      <c r="AG731"/>
      <c r="AH731"/>
      <c r="AI731"/>
      <c r="AJ731"/>
      <c r="AK731">
        <f t="shared" si="293"/>
        <v>0</v>
      </c>
      <c r="AL731">
        <f t="shared" si="294"/>
        <v>0</v>
      </c>
      <c r="AM731">
        <f t="shared" si="316"/>
        <v>0</v>
      </c>
      <c r="AN731">
        <f t="shared" si="295"/>
        <v>0</v>
      </c>
      <c r="AO731">
        <f t="shared" si="296"/>
        <v>0</v>
      </c>
      <c r="AP731">
        <f t="shared" si="297"/>
        <v>0</v>
      </c>
      <c r="AQ731">
        <f t="shared" si="298"/>
        <v>0</v>
      </c>
      <c r="AR731">
        <f t="shared" si="299"/>
        <v>0</v>
      </c>
      <c r="AS731">
        <f t="shared" si="300"/>
        <v>0</v>
      </c>
      <c r="AT731">
        <f t="shared" si="301"/>
        <v>0</v>
      </c>
      <c r="AU731">
        <f t="shared" si="302"/>
        <v>0</v>
      </c>
      <c r="AV731">
        <f t="shared" si="303"/>
        <v>0</v>
      </c>
      <c r="AW731">
        <f t="shared" si="304"/>
        <v>0</v>
      </c>
      <c r="AX731">
        <f t="shared" si="305"/>
        <v>0</v>
      </c>
      <c r="AY731">
        <f t="shared" si="306"/>
        <v>0</v>
      </c>
      <c r="AZ731">
        <f t="shared" si="307"/>
        <v>0</v>
      </c>
      <c r="BA731">
        <f t="shared" si="308"/>
        <v>0</v>
      </c>
      <c r="BB731">
        <f t="shared" si="309"/>
        <v>0</v>
      </c>
      <c r="BC731">
        <f t="shared" si="310"/>
        <v>0</v>
      </c>
      <c r="BD731">
        <f t="shared" si="311"/>
        <v>0</v>
      </c>
      <c r="BE731">
        <f t="shared" si="312"/>
        <v>0</v>
      </c>
      <c r="BF731">
        <f t="shared" si="313"/>
        <v>0</v>
      </c>
      <c r="BG731">
        <f t="shared" si="314"/>
        <v>0</v>
      </c>
      <c r="BH731">
        <f t="shared" si="315"/>
        <v>0</v>
      </c>
    </row>
    <row r="732" spans="1:105" ht="15" customHeight="1">
      <c r="A732" s="206"/>
      <c r="B732" s="206"/>
      <c r="C732" s="1117" t="s">
        <v>4752</v>
      </c>
      <c r="D732" s="1136"/>
      <c r="E732" s="1136"/>
      <c r="F732" s="1118"/>
      <c r="G732" s="100"/>
      <c r="H732" s="100"/>
      <c r="I732" s="100"/>
      <c r="J732" s="100"/>
      <c r="K732" s="100"/>
      <c r="L732" s="100"/>
      <c r="M732" s="100"/>
      <c r="N732" s="100"/>
      <c r="O732" s="100"/>
      <c r="P732" s="100"/>
      <c r="Q732" s="100"/>
      <c r="R732" s="100"/>
      <c r="S732" s="100"/>
      <c r="T732" s="100"/>
      <c r="U732" s="100"/>
      <c r="V732" s="100"/>
      <c r="W732" s="100"/>
      <c r="X732" s="100"/>
      <c r="Y732" s="100"/>
      <c r="Z732" s="100"/>
      <c r="AA732" s="100"/>
      <c r="AB732" s="100"/>
      <c r="AC732" s="100"/>
      <c r="AD732" s="100"/>
      <c r="AF732"/>
      <c r="AG732"/>
      <c r="AH732"/>
      <c r="AI732"/>
      <c r="AJ732"/>
      <c r="AK732">
        <f t="shared" si="293"/>
        <v>0</v>
      </c>
      <c r="AL732">
        <f t="shared" si="294"/>
        <v>0</v>
      </c>
      <c r="AM732">
        <f t="shared" si="316"/>
        <v>0</v>
      </c>
      <c r="AN732">
        <f t="shared" si="295"/>
        <v>0</v>
      </c>
      <c r="AO732">
        <f t="shared" si="296"/>
        <v>0</v>
      </c>
      <c r="AP732">
        <f t="shared" si="297"/>
        <v>0</v>
      </c>
      <c r="AQ732">
        <f t="shared" si="298"/>
        <v>0</v>
      </c>
      <c r="AR732">
        <f t="shared" si="299"/>
        <v>0</v>
      </c>
      <c r="AS732">
        <f t="shared" si="300"/>
        <v>0</v>
      </c>
      <c r="AT732">
        <f t="shared" si="301"/>
        <v>0</v>
      </c>
      <c r="AU732">
        <f t="shared" si="302"/>
        <v>0</v>
      </c>
      <c r="AV732">
        <f t="shared" si="303"/>
        <v>0</v>
      </c>
      <c r="AW732">
        <f t="shared" si="304"/>
        <v>0</v>
      </c>
      <c r="AX732">
        <f t="shared" si="305"/>
        <v>0</v>
      </c>
      <c r="AY732">
        <f t="shared" si="306"/>
        <v>0</v>
      </c>
      <c r="AZ732">
        <f t="shared" si="307"/>
        <v>0</v>
      </c>
      <c r="BA732">
        <f t="shared" si="308"/>
        <v>0</v>
      </c>
      <c r="BB732">
        <f t="shared" si="309"/>
        <v>0</v>
      </c>
      <c r="BC732">
        <f t="shared" si="310"/>
        <v>0</v>
      </c>
      <c r="BD732">
        <f t="shared" si="311"/>
        <v>0</v>
      </c>
      <c r="BE732">
        <f t="shared" si="312"/>
        <v>0</v>
      </c>
      <c r="BF732">
        <f t="shared" si="313"/>
        <v>0</v>
      </c>
      <c r="BG732">
        <f t="shared" si="314"/>
        <v>0</v>
      </c>
      <c r="BH732">
        <f t="shared" si="315"/>
        <v>0</v>
      </c>
    </row>
    <row r="733" spans="1:105" ht="15" customHeight="1">
      <c r="A733" s="207"/>
      <c r="B733" s="207"/>
      <c r="C733" s="1117" t="s">
        <v>4756</v>
      </c>
      <c r="D733" s="1136"/>
      <c r="E733" s="1136"/>
      <c r="F733" s="1118"/>
      <c r="G733" s="100"/>
      <c r="H733" s="100"/>
      <c r="I733" s="100"/>
      <c r="J733" s="100"/>
      <c r="K733" s="100"/>
      <c r="L733" s="100"/>
      <c r="M733" s="100"/>
      <c r="N733" s="100"/>
      <c r="O733" s="100"/>
      <c r="P733" s="100"/>
      <c r="Q733" s="100"/>
      <c r="R733" s="100"/>
      <c r="S733" s="100"/>
      <c r="T733" s="100"/>
      <c r="U733" s="100"/>
      <c r="V733" s="100"/>
      <c r="W733" s="100"/>
      <c r="X733" s="100"/>
      <c r="Y733" s="100"/>
      <c r="Z733" s="100"/>
      <c r="AA733" s="100"/>
      <c r="AB733" s="100"/>
      <c r="AC733" s="100"/>
      <c r="AD733" s="100"/>
      <c r="AF733"/>
      <c r="AG733"/>
      <c r="AH733"/>
      <c r="AI733"/>
      <c r="AJ733"/>
      <c r="AK733">
        <f t="shared" si="293"/>
        <v>0</v>
      </c>
      <c r="AL733">
        <f t="shared" si="294"/>
        <v>0</v>
      </c>
      <c r="AM733">
        <f t="shared" si="316"/>
        <v>0</v>
      </c>
      <c r="AN733">
        <f t="shared" si="295"/>
        <v>0</v>
      </c>
      <c r="AO733">
        <f t="shared" si="296"/>
        <v>0</v>
      </c>
      <c r="AP733">
        <f t="shared" si="297"/>
        <v>0</v>
      </c>
      <c r="AQ733">
        <f t="shared" si="298"/>
        <v>0</v>
      </c>
      <c r="AR733">
        <f t="shared" si="299"/>
        <v>0</v>
      </c>
      <c r="AS733">
        <f t="shared" si="300"/>
        <v>0</v>
      </c>
      <c r="AT733">
        <f t="shared" si="301"/>
        <v>0</v>
      </c>
      <c r="AU733">
        <f t="shared" si="302"/>
        <v>0</v>
      </c>
      <c r="AV733">
        <f t="shared" si="303"/>
        <v>0</v>
      </c>
      <c r="AW733">
        <f t="shared" si="304"/>
        <v>0</v>
      </c>
      <c r="AX733">
        <f t="shared" si="305"/>
        <v>0</v>
      </c>
      <c r="AY733">
        <f t="shared" si="306"/>
        <v>0</v>
      </c>
      <c r="AZ733">
        <f t="shared" si="307"/>
        <v>0</v>
      </c>
      <c r="BA733">
        <f t="shared" si="308"/>
        <v>0</v>
      </c>
      <c r="BB733">
        <f t="shared" si="309"/>
        <v>0</v>
      </c>
      <c r="BC733">
        <f t="shared" si="310"/>
        <v>0</v>
      </c>
      <c r="BD733">
        <f t="shared" si="311"/>
        <v>0</v>
      </c>
      <c r="BE733">
        <f t="shared" si="312"/>
        <v>0</v>
      </c>
      <c r="BF733">
        <f t="shared" si="313"/>
        <v>0</v>
      </c>
      <c r="BG733">
        <f t="shared" si="314"/>
        <v>0</v>
      </c>
      <c r="BH733">
        <f t="shared" si="315"/>
        <v>0</v>
      </c>
    </row>
    <row r="734" spans="1:105" ht="15" customHeight="1">
      <c r="A734" s="207"/>
      <c r="B734" s="207"/>
      <c r="C734" s="1117" t="s">
        <v>4758</v>
      </c>
      <c r="D734" s="1136"/>
      <c r="E734" s="1136"/>
      <c r="F734" s="1118"/>
      <c r="G734" s="100"/>
      <c r="H734" s="100"/>
      <c r="I734" s="100"/>
      <c r="J734" s="100"/>
      <c r="K734" s="100"/>
      <c r="L734" s="100"/>
      <c r="M734" s="100"/>
      <c r="N734" s="100"/>
      <c r="O734" s="100"/>
      <c r="P734" s="100"/>
      <c r="Q734" s="100"/>
      <c r="R734" s="100"/>
      <c r="S734" s="100"/>
      <c r="T734" s="100"/>
      <c r="U734" s="100"/>
      <c r="V734" s="100"/>
      <c r="W734" s="100"/>
      <c r="X734" s="100"/>
      <c r="Y734" s="100"/>
      <c r="Z734" s="100"/>
      <c r="AA734" s="100"/>
      <c r="AB734" s="100"/>
      <c r="AC734" s="100"/>
      <c r="AD734" s="100"/>
      <c r="AF734"/>
      <c r="AG734"/>
      <c r="AH734"/>
      <c r="AI734"/>
      <c r="AJ734"/>
      <c r="AK734">
        <f t="shared" si="293"/>
        <v>0</v>
      </c>
      <c r="AL734">
        <f t="shared" si="294"/>
        <v>0</v>
      </c>
      <c r="AM734">
        <f t="shared" si="316"/>
        <v>0</v>
      </c>
      <c r="AN734">
        <f t="shared" si="295"/>
        <v>0</v>
      </c>
      <c r="AO734">
        <f t="shared" si="296"/>
        <v>0</v>
      </c>
      <c r="AP734">
        <f t="shared" si="297"/>
        <v>0</v>
      </c>
      <c r="AQ734">
        <f t="shared" si="298"/>
        <v>0</v>
      </c>
      <c r="AR734">
        <f t="shared" si="299"/>
        <v>0</v>
      </c>
      <c r="AS734">
        <f t="shared" si="300"/>
        <v>0</v>
      </c>
      <c r="AT734">
        <f t="shared" si="301"/>
        <v>0</v>
      </c>
      <c r="AU734">
        <f t="shared" si="302"/>
        <v>0</v>
      </c>
      <c r="AV734">
        <f t="shared" si="303"/>
        <v>0</v>
      </c>
      <c r="AW734">
        <f t="shared" si="304"/>
        <v>0</v>
      </c>
      <c r="AX734">
        <f t="shared" si="305"/>
        <v>0</v>
      </c>
      <c r="AY734">
        <f t="shared" si="306"/>
        <v>0</v>
      </c>
      <c r="AZ734">
        <f t="shared" si="307"/>
        <v>0</v>
      </c>
      <c r="BA734">
        <f t="shared" si="308"/>
        <v>0</v>
      </c>
      <c r="BB734">
        <f t="shared" si="309"/>
        <v>0</v>
      </c>
      <c r="BC734">
        <f t="shared" si="310"/>
        <v>0</v>
      </c>
      <c r="BD734">
        <f t="shared" si="311"/>
        <v>0</v>
      </c>
      <c r="BE734">
        <f t="shared" si="312"/>
        <v>0</v>
      </c>
      <c r="BF734">
        <f t="shared" si="313"/>
        <v>0</v>
      </c>
      <c r="BG734">
        <f t="shared" si="314"/>
        <v>0</v>
      </c>
      <c r="BH734">
        <f t="shared" si="315"/>
        <v>0</v>
      </c>
    </row>
    <row r="735" spans="1:105" ht="15" customHeight="1">
      <c r="A735" s="207"/>
      <c r="B735" s="207"/>
      <c r="C735" s="1117" t="s">
        <v>4760</v>
      </c>
      <c r="D735" s="1136"/>
      <c r="E735" s="1136"/>
      <c r="F735" s="1118"/>
      <c r="G735" s="100"/>
      <c r="H735" s="100"/>
      <c r="I735" s="100"/>
      <c r="J735" s="100"/>
      <c r="K735" s="100"/>
      <c r="L735" s="100"/>
      <c r="M735" s="100"/>
      <c r="N735" s="100"/>
      <c r="O735" s="100"/>
      <c r="P735" s="100"/>
      <c r="Q735" s="100"/>
      <c r="R735" s="100"/>
      <c r="S735" s="100"/>
      <c r="T735" s="100"/>
      <c r="U735" s="100"/>
      <c r="V735" s="100"/>
      <c r="W735" s="100"/>
      <c r="X735" s="100"/>
      <c r="Y735" s="100"/>
      <c r="Z735" s="100"/>
      <c r="AA735" s="100"/>
      <c r="AB735" s="100"/>
      <c r="AC735" s="100"/>
      <c r="AD735" s="100"/>
      <c r="AF735"/>
      <c r="AG735"/>
      <c r="AH735"/>
      <c r="AI735"/>
      <c r="AJ735"/>
      <c r="AK735">
        <f t="shared" si="293"/>
        <v>0</v>
      </c>
      <c r="AL735">
        <f t="shared" si="294"/>
        <v>0</v>
      </c>
      <c r="AM735">
        <f t="shared" si="316"/>
        <v>0</v>
      </c>
      <c r="AN735">
        <f t="shared" si="295"/>
        <v>0</v>
      </c>
      <c r="AO735">
        <f t="shared" si="296"/>
        <v>0</v>
      </c>
      <c r="AP735">
        <f t="shared" si="297"/>
        <v>0</v>
      </c>
      <c r="AQ735">
        <f t="shared" si="298"/>
        <v>0</v>
      </c>
      <c r="AR735">
        <f t="shared" si="299"/>
        <v>0</v>
      </c>
      <c r="AS735">
        <f t="shared" si="300"/>
        <v>0</v>
      </c>
      <c r="AT735">
        <f t="shared" si="301"/>
        <v>0</v>
      </c>
      <c r="AU735">
        <f t="shared" si="302"/>
        <v>0</v>
      </c>
      <c r="AV735">
        <f t="shared" si="303"/>
        <v>0</v>
      </c>
      <c r="AW735">
        <f t="shared" si="304"/>
        <v>0</v>
      </c>
      <c r="AX735">
        <f t="shared" si="305"/>
        <v>0</v>
      </c>
      <c r="AY735">
        <f t="shared" si="306"/>
        <v>0</v>
      </c>
      <c r="AZ735">
        <f t="shared" si="307"/>
        <v>0</v>
      </c>
      <c r="BA735">
        <f t="shared" si="308"/>
        <v>0</v>
      </c>
      <c r="BB735">
        <f t="shared" si="309"/>
        <v>0</v>
      </c>
      <c r="BC735">
        <f t="shared" si="310"/>
        <v>0</v>
      </c>
      <c r="BD735">
        <f t="shared" si="311"/>
        <v>0</v>
      </c>
      <c r="BE735">
        <f t="shared" si="312"/>
        <v>0</v>
      </c>
      <c r="BF735">
        <f t="shared" si="313"/>
        <v>0</v>
      </c>
      <c r="BG735">
        <f t="shared" si="314"/>
        <v>0</v>
      </c>
      <c r="BH735">
        <f t="shared" si="315"/>
        <v>0</v>
      </c>
    </row>
    <row r="736" spans="1:105" ht="15" customHeight="1">
      <c r="A736" s="207"/>
      <c r="B736" s="207"/>
      <c r="C736" s="1117" t="s">
        <v>4762</v>
      </c>
      <c r="D736" s="1136"/>
      <c r="E736" s="1136"/>
      <c r="F736" s="1118"/>
      <c r="G736" s="100"/>
      <c r="H736" s="100"/>
      <c r="I736" s="100"/>
      <c r="J736" s="100"/>
      <c r="K736" s="100"/>
      <c r="L736" s="100"/>
      <c r="M736" s="100"/>
      <c r="N736" s="100"/>
      <c r="O736" s="100"/>
      <c r="P736" s="100"/>
      <c r="Q736" s="100"/>
      <c r="R736" s="100"/>
      <c r="S736" s="100"/>
      <c r="T736" s="100"/>
      <c r="U736" s="100"/>
      <c r="V736" s="100"/>
      <c r="W736" s="100"/>
      <c r="X736" s="100"/>
      <c r="Y736" s="100"/>
      <c r="Z736" s="100"/>
      <c r="AA736" s="100"/>
      <c r="AB736" s="100"/>
      <c r="AC736" s="100"/>
      <c r="AD736" s="100"/>
      <c r="AF736"/>
      <c r="AG736"/>
      <c r="AH736"/>
      <c r="AI736"/>
      <c r="AJ736"/>
      <c r="AK736">
        <f t="shared" si="293"/>
        <v>0</v>
      </c>
      <c r="AL736">
        <f t="shared" si="294"/>
        <v>0</v>
      </c>
      <c r="AM736">
        <f t="shared" si="316"/>
        <v>0</v>
      </c>
      <c r="AN736">
        <f t="shared" si="295"/>
        <v>0</v>
      </c>
      <c r="AO736">
        <f t="shared" si="296"/>
        <v>0</v>
      </c>
      <c r="AP736">
        <f t="shared" si="297"/>
        <v>0</v>
      </c>
      <c r="AQ736">
        <f t="shared" si="298"/>
        <v>0</v>
      </c>
      <c r="AR736">
        <f t="shared" si="299"/>
        <v>0</v>
      </c>
      <c r="AS736">
        <f t="shared" si="300"/>
        <v>0</v>
      </c>
      <c r="AT736">
        <f t="shared" si="301"/>
        <v>0</v>
      </c>
      <c r="AU736">
        <f t="shared" si="302"/>
        <v>0</v>
      </c>
      <c r="AV736">
        <f t="shared" si="303"/>
        <v>0</v>
      </c>
      <c r="AW736">
        <f t="shared" si="304"/>
        <v>0</v>
      </c>
      <c r="AX736">
        <f t="shared" si="305"/>
        <v>0</v>
      </c>
      <c r="AY736">
        <f t="shared" si="306"/>
        <v>0</v>
      </c>
      <c r="AZ736">
        <f t="shared" si="307"/>
        <v>0</v>
      </c>
      <c r="BA736">
        <f t="shared" si="308"/>
        <v>0</v>
      </c>
      <c r="BB736">
        <f t="shared" si="309"/>
        <v>0</v>
      </c>
      <c r="BC736">
        <f t="shared" si="310"/>
        <v>0</v>
      </c>
      <c r="BD736">
        <f t="shared" si="311"/>
        <v>0</v>
      </c>
      <c r="BE736">
        <f t="shared" si="312"/>
        <v>0</v>
      </c>
      <c r="BF736">
        <f t="shared" si="313"/>
        <v>0</v>
      </c>
      <c r="BG736">
        <f t="shared" si="314"/>
        <v>0</v>
      </c>
      <c r="BH736">
        <f t="shared" si="315"/>
        <v>0</v>
      </c>
    </row>
    <row r="737" spans="1:105" ht="15" customHeight="1">
      <c r="A737" s="207"/>
      <c r="B737" s="207"/>
      <c r="C737" s="1117" t="s">
        <v>4764</v>
      </c>
      <c r="D737" s="1136"/>
      <c r="E737" s="1136"/>
      <c r="F737" s="1118"/>
      <c r="G737" s="100"/>
      <c r="H737" s="100"/>
      <c r="I737" s="100"/>
      <c r="J737" s="100"/>
      <c r="K737" s="100"/>
      <c r="L737" s="100"/>
      <c r="M737" s="100"/>
      <c r="N737" s="100"/>
      <c r="O737" s="100"/>
      <c r="P737" s="100"/>
      <c r="Q737" s="100"/>
      <c r="R737" s="100"/>
      <c r="S737" s="100"/>
      <c r="T737" s="100"/>
      <c r="U737" s="100"/>
      <c r="V737" s="100"/>
      <c r="W737" s="100"/>
      <c r="X737" s="100"/>
      <c r="Y737" s="100"/>
      <c r="Z737" s="100"/>
      <c r="AA737" s="100"/>
      <c r="AB737" s="100"/>
      <c r="AC737" s="100"/>
      <c r="AD737" s="100"/>
      <c r="AF737"/>
      <c r="AG737"/>
      <c r="AH737"/>
      <c r="AI737"/>
      <c r="AJ737"/>
      <c r="AK737">
        <f t="shared" si="293"/>
        <v>0</v>
      </c>
      <c r="AL737">
        <f t="shared" si="294"/>
        <v>0</v>
      </c>
      <c r="AM737">
        <f t="shared" si="316"/>
        <v>0</v>
      </c>
      <c r="AN737">
        <f t="shared" si="295"/>
        <v>0</v>
      </c>
      <c r="AO737">
        <f t="shared" si="296"/>
        <v>0</v>
      </c>
      <c r="AP737">
        <f t="shared" si="297"/>
        <v>0</v>
      </c>
      <c r="AQ737">
        <f t="shared" si="298"/>
        <v>0</v>
      </c>
      <c r="AR737">
        <f t="shared" si="299"/>
        <v>0</v>
      </c>
      <c r="AS737">
        <f t="shared" si="300"/>
        <v>0</v>
      </c>
      <c r="AT737">
        <f t="shared" si="301"/>
        <v>0</v>
      </c>
      <c r="AU737">
        <f t="shared" si="302"/>
        <v>0</v>
      </c>
      <c r="AV737">
        <f t="shared" si="303"/>
        <v>0</v>
      </c>
      <c r="AW737">
        <f t="shared" si="304"/>
        <v>0</v>
      </c>
      <c r="AX737">
        <f t="shared" si="305"/>
        <v>0</v>
      </c>
      <c r="AY737">
        <f t="shared" si="306"/>
        <v>0</v>
      </c>
      <c r="AZ737">
        <f t="shared" si="307"/>
        <v>0</v>
      </c>
      <c r="BA737">
        <f t="shared" si="308"/>
        <v>0</v>
      </c>
      <c r="BB737">
        <f t="shared" si="309"/>
        <v>0</v>
      </c>
      <c r="BC737">
        <f t="shared" si="310"/>
        <v>0</v>
      </c>
      <c r="BD737">
        <f t="shared" si="311"/>
        <v>0</v>
      </c>
      <c r="BE737">
        <f t="shared" si="312"/>
        <v>0</v>
      </c>
      <c r="BF737">
        <f t="shared" si="313"/>
        <v>0</v>
      </c>
      <c r="BG737">
        <f t="shared" si="314"/>
        <v>0</v>
      </c>
      <c r="BH737">
        <f t="shared" si="315"/>
        <v>0</v>
      </c>
      <c r="BI737" t="s">
        <v>4766</v>
      </c>
      <c r="BJ737" t="s">
        <v>4767</v>
      </c>
      <c r="BK737" t="s">
        <v>4768</v>
      </c>
      <c r="BL737" t="s">
        <v>4769</v>
      </c>
      <c r="BM737" t="s">
        <v>4770</v>
      </c>
      <c r="BN737" t="s">
        <v>4771</v>
      </c>
      <c r="BO737" t="s">
        <v>4772</v>
      </c>
      <c r="BP737" t="s">
        <v>4773</v>
      </c>
      <c r="BQ737" t="s">
        <v>4774</v>
      </c>
      <c r="BR737" t="s">
        <v>4775</v>
      </c>
      <c r="BS737" t="s">
        <v>4776</v>
      </c>
      <c r="BT737" t="s">
        <v>4777</v>
      </c>
      <c r="BU737" t="s">
        <v>4778</v>
      </c>
      <c r="BV737" t="s">
        <v>4779</v>
      </c>
      <c r="BW737" t="s">
        <v>4780</v>
      </c>
      <c r="BX737" t="s">
        <v>4781</v>
      </c>
      <c r="BY737" t="s">
        <v>4782</v>
      </c>
      <c r="BZ737" t="s">
        <v>4783</v>
      </c>
      <c r="CA737" t="s">
        <v>4784</v>
      </c>
      <c r="CB737" t="s">
        <v>4785</v>
      </c>
      <c r="CC737" t="s">
        <v>4786</v>
      </c>
      <c r="CD737" t="s">
        <v>4787</v>
      </c>
      <c r="CE737" t="s">
        <v>4788</v>
      </c>
      <c r="CF737" t="s">
        <v>4789</v>
      </c>
      <c r="CG737" t="s">
        <v>4790</v>
      </c>
      <c r="CH737" t="s">
        <v>4791</v>
      </c>
      <c r="CI737" t="s">
        <v>4792</v>
      </c>
      <c r="CJ737" t="s">
        <v>4793</v>
      </c>
      <c r="CK737" t="s">
        <v>4794</v>
      </c>
      <c r="CL737" t="s">
        <v>4795</v>
      </c>
      <c r="CM737" t="s">
        <v>4796</v>
      </c>
      <c r="CN737" t="s">
        <v>4797</v>
      </c>
      <c r="CO737" t="s">
        <v>4798</v>
      </c>
      <c r="CP737" t="s">
        <v>4799</v>
      </c>
      <c r="CQ737" t="s">
        <v>4800</v>
      </c>
      <c r="CR737" t="s">
        <v>4801</v>
      </c>
      <c r="CS737" t="s">
        <v>4802</v>
      </c>
      <c r="CT737" t="s">
        <v>4803</v>
      </c>
      <c r="CU737" t="s">
        <v>4804</v>
      </c>
      <c r="CV737" t="s">
        <v>4805</v>
      </c>
      <c r="CW737" t="s">
        <v>4806</v>
      </c>
      <c r="CX737" t="s">
        <v>4807</v>
      </c>
      <c r="CY737" t="s">
        <v>4808</v>
      </c>
      <c r="CZ737" t="s">
        <v>4809</v>
      </c>
      <c r="DA737" t="s">
        <v>4810</v>
      </c>
    </row>
    <row r="738" spans="1:105" ht="15" customHeight="1">
      <c r="A738" s="207"/>
      <c r="B738" s="207"/>
      <c r="C738" s="1117" t="s">
        <v>4811</v>
      </c>
      <c r="D738" s="1136"/>
      <c r="E738" s="1136"/>
      <c r="F738" s="1118"/>
      <c r="G738" s="100"/>
      <c r="H738" s="100"/>
      <c r="I738" s="100"/>
      <c r="J738" s="100"/>
      <c r="K738" s="100"/>
      <c r="L738" s="100"/>
      <c r="M738" s="100"/>
      <c r="N738" s="100"/>
      <c r="O738" s="100"/>
      <c r="P738" s="100"/>
      <c r="Q738" s="100"/>
      <c r="R738" s="100"/>
      <c r="S738" s="100"/>
      <c r="T738" s="100"/>
      <c r="U738" s="100"/>
      <c r="V738" s="100"/>
      <c r="W738" s="100"/>
      <c r="X738" s="100"/>
      <c r="Y738" s="100"/>
      <c r="Z738" s="100"/>
      <c r="AA738" s="100"/>
      <c r="AB738" s="100"/>
      <c r="AC738" s="100"/>
      <c r="AD738" s="100"/>
      <c r="AF738"/>
      <c r="AG738"/>
      <c r="AH738"/>
      <c r="AI738"/>
      <c r="AJ738"/>
      <c r="AK738">
        <f t="shared" si="293"/>
        <v>0</v>
      </c>
      <c r="AL738">
        <f t="shared" si="294"/>
        <v>0</v>
      </c>
      <c r="AM738">
        <f t="shared" si="316"/>
        <v>0</v>
      </c>
      <c r="AN738">
        <f t="shared" si="295"/>
        <v>0</v>
      </c>
      <c r="AO738">
        <f t="shared" si="296"/>
        <v>0</v>
      </c>
      <c r="AP738">
        <f t="shared" si="297"/>
        <v>0</v>
      </c>
      <c r="AQ738">
        <f t="shared" si="298"/>
        <v>0</v>
      </c>
      <c r="AR738">
        <f t="shared" si="299"/>
        <v>0</v>
      </c>
      <c r="AS738">
        <f t="shared" si="300"/>
        <v>0</v>
      </c>
      <c r="AT738">
        <f t="shared" si="301"/>
        <v>0</v>
      </c>
      <c r="AU738">
        <f t="shared" si="302"/>
        <v>0</v>
      </c>
      <c r="AV738">
        <f t="shared" si="303"/>
        <v>0</v>
      </c>
      <c r="AW738">
        <f t="shared" si="304"/>
        <v>0</v>
      </c>
      <c r="AX738">
        <f t="shared" si="305"/>
        <v>0</v>
      </c>
      <c r="AY738">
        <f t="shared" si="306"/>
        <v>0</v>
      </c>
      <c r="AZ738">
        <f t="shared" si="307"/>
        <v>0</v>
      </c>
      <c r="BA738">
        <f t="shared" si="308"/>
        <v>0</v>
      </c>
      <c r="BB738">
        <f t="shared" si="309"/>
        <v>0</v>
      </c>
      <c r="BC738">
        <f t="shared" si="310"/>
        <v>0</v>
      </c>
      <c r="BD738">
        <f t="shared" si="311"/>
        <v>0</v>
      </c>
      <c r="BE738">
        <f t="shared" si="312"/>
        <v>0</v>
      </c>
      <c r="BF738">
        <f t="shared" si="313"/>
        <v>0</v>
      </c>
      <c r="BG738">
        <f t="shared" si="314"/>
        <v>0</v>
      </c>
      <c r="BH738">
        <f t="shared" si="315"/>
        <v>0</v>
      </c>
      <c r="BI738">
        <f>COUNTIF(G739:G744,"NS")</f>
        <v>0</v>
      </c>
      <c r="BJ738">
        <f>SUM(G739:G744)</f>
        <v>0</v>
      </c>
      <c r="BK738">
        <f>IF(COUNTA(G738:G744)=0,0,IF(OR(AND(G738=0,BI738&gt;0),AND(G738="ns",BJ738&gt;0),AND(G738="ns",BI738=0,BJ738=0)),1,IF(OR(AND(BI738&gt;=2,G738&gt;BJ738),AND(G738="ns",BJ738=0,BI738&gt;0),G738=BJ738),0,1)))</f>
        <v>0</v>
      </c>
      <c r="BL738">
        <f>COUNTIF(G750:G754,"NS")</f>
        <v>0</v>
      </c>
      <c r="BM738">
        <f>SUM(G750:G754)</f>
        <v>0</v>
      </c>
      <c r="BN738">
        <f>IF(COUNTA(G749:G754)=0,0,IF(OR(AND(G749=0,BL738&gt;0),AND(G749="ns",BM738&gt;0),AND(G749="ns",BL738=0,BM738=0)),1,IF(OR(AND(BL738&gt;=2,G749&gt;BM738),AND(G749="ns",BM738=0,BL738&gt;0),G749=BM738),0,1)))</f>
        <v>0</v>
      </c>
      <c r="BO738">
        <f>COUNTIF(G759:G776,"NS")</f>
        <v>0</v>
      </c>
      <c r="BP738">
        <f>SUM(G759:G776)</f>
        <v>0</v>
      </c>
      <c r="BQ738">
        <f>IF(COUNTA(G758:G776)=0,0,IF(OR(AND(G758=0,BO738&gt;0),AND(G758="ns",BP738&gt;0),AND(G758="ns",BO738=0,BP738=0)),1,IF(OR(AND(BO738&gt;=2,G758&gt;BP738),AND(G758="ns",BP738=0,BO738&gt;0),G758=BP738),0,1)))</f>
        <v>0</v>
      </c>
      <c r="BR738">
        <f>COUNTIF(G778:G782,"NS")</f>
        <v>0</v>
      </c>
      <c r="BS738">
        <f>SUM(G778:G782)</f>
        <v>0</v>
      </c>
      <c r="BT738">
        <f>IF(COUNTA(G777:G782)=0,0,IF(OR(AND(G777=0,BR738&gt;0),AND(G777="ns",BS738&gt;0),AND(G777="ns",BR738=0,BS738=0)),1,IF(OR(AND(BR738&gt;=2,G777&gt;BS738),AND(G777="ns",BS738=0,BR738&gt;0),G777=BS738),0,1)))</f>
        <v>0</v>
      </c>
      <c r="BU738">
        <f>COUNTIF(G786:G788,"NS")</f>
        <v>0</v>
      </c>
      <c r="BV738">
        <f>SUM(G786:G788)</f>
        <v>0</v>
      </c>
      <c r="BW738">
        <f>IF(COUNTA(G785:G788)=0,0,IF(OR(AND(G785=0,BU738&gt;0),AND(G785="ns",BV738&gt;0),AND(G785="ns",BU738=0,BV738=0)),1,IF(OR(AND(BU738&gt;=2,G785&gt;BV738),AND(G785="ns",BV738=0,BU738&gt;0),G785=BV738),0,1)))</f>
        <v>0</v>
      </c>
      <c r="BX738">
        <f>COUNTIF(G796:G802,"NS")</f>
        <v>0</v>
      </c>
      <c r="BY738">
        <f>SUM(G796:G802)</f>
        <v>0</v>
      </c>
      <c r="BZ738">
        <f>IF(COUNTA(G795:G802)=0,0,IF(OR(AND(G795=0,BX738&gt;0),AND(G795="ns",BY738&gt;0),AND(G795="ns",BX738=0,BY738=0)),1,IF(OR(AND(BX738&gt;=2,G795&gt;BY738),AND(G795="ns",BY738=0,BX738&gt;0),G795=BY738),0,1)))</f>
        <v>0</v>
      </c>
      <c r="CA738">
        <f>COUNTIF(G804:G808,"NS")</f>
        <v>0</v>
      </c>
      <c r="CB738">
        <f>SUM(G804:G808)</f>
        <v>0</v>
      </c>
      <c r="CC738">
        <f>IF(COUNTA(G803:G808)=0,0,IF(OR(AND(G803=0,CA738&gt;0),AND(G803="ns",CB738&gt;0),AND(G803="ns",CA738=0,CB738=0)),1,IF(OR(AND(CA738&gt;=2,G803&gt;CB738),AND(G803="ns",CB738=0,CA738&gt;0),G803=CB738),0,1)))</f>
        <v>0</v>
      </c>
      <c r="CD738">
        <f>COUNTIF(G814:G819,"NS")</f>
        <v>0</v>
      </c>
      <c r="CE738">
        <f>SUM(G814:G819)</f>
        <v>0</v>
      </c>
      <c r="CF738">
        <f>IF(COUNTA(G813:G819)=0,0,IF(OR(AND(G813=0,CD738&gt;0),AND(G813="ns",CE738&gt;0),AND(G813="ns",CD738=0,CE738=0)),1,IF(OR(AND(CD738&gt;=2,G813&gt;CE738),AND(G813="ns",CE738=0,CD738&gt;0),G813=CE738),0,1)))</f>
        <v>0</v>
      </c>
      <c r="CG738">
        <f>COUNTIF(G821:G828,"NS")</f>
        <v>0</v>
      </c>
      <c r="CH738">
        <f>SUM(G821:G828)</f>
        <v>0</v>
      </c>
      <c r="CI738">
        <f>IF(COUNTA(G820:G828)=0,0,IF(OR(AND(G820=0,CG738&gt;0),AND(G820="ns",CH738&gt;0),AND(G820="ns",CG738=0,CH738=0)),1,IF(OR(AND(CG738&gt;=2,G820&gt;CH738),AND(G820="ns",CH738=0,CG738&gt;0),G820=CH738),0,1)))</f>
        <v>0</v>
      </c>
      <c r="CJ738">
        <f>COUNTIF(G833:G838,"NS")</f>
        <v>0</v>
      </c>
      <c r="CK738">
        <f>SUM(G833:G838)</f>
        <v>0</v>
      </c>
      <c r="CL738">
        <f>IF(COUNTA(G832:G838)=0,0,IF(OR(AND(G832=0,CJ738&gt;0),AND(G832="ns",CK738&gt;0),AND(G832="ns",CJ738=0,CK738=0)),1,IF(OR(AND(CJ738&gt;=2,G832&gt;CK738),AND(G832="ns",CK738=0,CJ738&gt;0),G832=CK738),0,1)))</f>
        <v>0</v>
      </c>
      <c r="CM738">
        <f>COUNTIF(G843:G851,"NS")</f>
        <v>0</v>
      </c>
      <c r="CN738">
        <f>SUM(G843:G851)</f>
        <v>0</v>
      </c>
      <c r="CO738">
        <f>IF(COUNTA(G842:G851)=0,0,IF(OR(AND(G842=0,CM738&gt;0),AND(G842="ns",CN738&gt;0),AND(G842="ns",CM738=0,CN738=0)),1,IF(OR(AND(CM738&gt;=2,G842&gt;CN738),AND(G842="ns",CN738=0,CM738&gt;0),G842=CN738),0,1)))</f>
        <v>0</v>
      </c>
      <c r="CP738">
        <f>COUNTIF(G853:G855,"NS")</f>
        <v>0</v>
      </c>
      <c r="CQ738">
        <f>SUM(G853:G855)</f>
        <v>0</v>
      </c>
      <c r="CR738">
        <f>IF(COUNTA(G852:G855)=0,0,IF(OR(AND(G852=0,CP738&gt;0),AND(G852="ns",CQ738&gt;0),AND(G852="ns",CP738=0,CQ738=0)),1,IF(OR(AND(CP738&gt;=2,G852&gt;CQ738),AND(G852="ns",CQ738=0,CP738&gt;0),G852=CQ738),0,1)))</f>
        <v>0</v>
      </c>
      <c r="CS738">
        <f>COUNTIF(G864:G870,"NS")</f>
        <v>0</v>
      </c>
      <c r="CT738">
        <f>SUM(G864:G870)</f>
        <v>0</v>
      </c>
      <c r="CU738">
        <f>IF(COUNTA(G863:G870)=0,0,IF(OR(AND(G863=0,CS738&gt;0),AND(G863="ns",CT738&gt;0),AND(G863="ns",CS738=0,CT738=0)),1,IF(OR(AND(CS738&gt;=2,G863&gt;CT738),AND(G863="ns",CT738=0,CS738&gt;0),G863=CT738),0,1)))</f>
        <v>0</v>
      </c>
      <c r="CV738">
        <f>COUNTIF(G873:G875,"NS")</f>
        <v>0</v>
      </c>
      <c r="CW738">
        <f>SUM(G873:G875)</f>
        <v>0</v>
      </c>
      <c r="CX738">
        <f>IF(COUNTA(G872:G875)=0,0,IF(OR(AND(G872=0,CV738&gt;0),AND(G872="ns",CW738&gt;0),AND(G872="ns",CV738=0,CW738=0)),1,IF(OR(AND(CV738&gt;=2,G872&gt;CW738),AND(G872="ns",CW738=0,CV738&gt;0),G872=CW738),0,1)))</f>
        <v>0</v>
      </c>
      <c r="CY738">
        <f>COUNTIF(G885:G889,"NS")</f>
        <v>0</v>
      </c>
      <c r="CZ738">
        <f>SUM(G885:G889)</f>
        <v>0</v>
      </c>
      <c r="DA738">
        <f>IF(COUNTA(G884:G889)=0,0,IF(OR(AND(G884=0,CY738&gt;0),AND(G884="ns",CZ738&gt;0),AND(G884="ns",CY738=0,CZ738=0)),1,IF(OR(AND(CY738&gt;=2,G884&gt;CZ738),AND(G884="ns",CZ738=0,CY738&gt;0),G884=CZ738),0,1)))</f>
        <v>0</v>
      </c>
    </row>
    <row r="739" spans="1:105" ht="15" customHeight="1">
      <c r="A739" s="206"/>
      <c r="B739" s="201"/>
      <c r="C739" s="1119" t="s">
        <v>4813</v>
      </c>
      <c r="D739" s="1121"/>
      <c r="E739" s="1121"/>
      <c r="F739" s="1120"/>
      <c r="G739" s="100"/>
      <c r="H739" s="100"/>
      <c r="I739" s="100"/>
      <c r="J739" s="100"/>
      <c r="K739" s="100"/>
      <c r="L739" s="100"/>
      <c r="M739" s="100"/>
      <c r="N739" s="100"/>
      <c r="O739" s="100"/>
      <c r="P739" s="100"/>
      <c r="Q739" s="100"/>
      <c r="R739" s="100"/>
      <c r="S739" s="100"/>
      <c r="T739" s="100"/>
      <c r="U739" s="100"/>
      <c r="V739" s="100"/>
      <c r="W739" s="100"/>
      <c r="X739" s="100"/>
      <c r="Y739" s="100"/>
      <c r="Z739" s="100"/>
      <c r="AA739" s="100"/>
      <c r="AB739" s="100"/>
      <c r="AC739" s="100"/>
      <c r="AD739" s="100"/>
      <c r="AF739"/>
      <c r="AG739"/>
      <c r="AH739"/>
      <c r="AI739"/>
      <c r="AJ739"/>
      <c r="AK739">
        <f t="shared" si="293"/>
        <v>0</v>
      </c>
      <c r="AL739">
        <f t="shared" si="294"/>
        <v>0</v>
      </c>
      <c r="AM739">
        <f t="shared" si="316"/>
        <v>0</v>
      </c>
      <c r="AN739">
        <f t="shared" si="295"/>
        <v>0</v>
      </c>
      <c r="AO739">
        <f t="shared" si="296"/>
        <v>0</v>
      </c>
      <c r="AP739">
        <f t="shared" si="297"/>
        <v>0</v>
      </c>
      <c r="AQ739">
        <f t="shared" si="298"/>
        <v>0</v>
      </c>
      <c r="AR739">
        <f t="shared" si="299"/>
        <v>0</v>
      </c>
      <c r="AS739">
        <f t="shared" si="300"/>
        <v>0</v>
      </c>
      <c r="AT739">
        <f t="shared" si="301"/>
        <v>0</v>
      </c>
      <c r="AU739">
        <f t="shared" si="302"/>
        <v>0</v>
      </c>
      <c r="AV739">
        <f t="shared" si="303"/>
        <v>0</v>
      </c>
      <c r="AW739">
        <f t="shared" si="304"/>
        <v>0</v>
      </c>
      <c r="AX739">
        <f t="shared" si="305"/>
        <v>0</v>
      </c>
      <c r="AY739">
        <f t="shared" si="306"/>
        <v>0</v>
      </c>
      <c r="AZ739">
        <f t="shared" si="307"/>
        <v>0</v>
      </c>
      <c r="BA739">
        <f t="shared" si="308"/>
        <v>0</v>
      </c>
      <c r="BB739">
        <f t="shared" si="309"/>
        <v>0</v>
      </c>
      <c r="BC739">
        <f t="shared" si="310"/>
        <v>0</v>
      </c>
      <c r="BD739">
        <f t="shared" si="311"/>
        <v>0</v>
      </c>
      <c r="BE739">
        <f t="shared" si="312"/>
        <v>0</v>
      </c>
      <c r="BF739">
        <f t="shared" si="313"/>
        <v>0</v>
      </c>
      <c r="BG739">
        <f t="shared" si="314"/>
        <v>0</v>
      </c>
      <c r="BH739">
        <f t="shared" si="315"/>
        <v>0</v>
      </c>
      <c r="BI739">
        <f>COUNTIF(H739:H744,"NS")</f>
        <v>0</v>
      </c>
      <c r="BJ739">
        <f>SUM(H739:H744)</f>
        <v>0</v>
      </c>
      <c r="BK739">
        <f>IF(COUNTA(H738:H744)=0,0,IF(OR(AND(H738=0,BI739&gt;0),AND(H738="ns",BJ739&gt;0),AND(H738="ns",BI739=0,BJ739=0)),1,IF(OR(AND(BI739&gt;=2,H738&gt;BJ739),AND(H738="ns",BJ739=0,BI739&gt;0),H738=BJ739),0,1)))</f>
        <v>0</v>
      </c>
      <c r="BL739">
        <f>COUNTIF(H750:H754,"NS")</f>
        <v>0</v>
      </c>
      <c r="BM739">
        <f>SUM(H750:H754)</f>
        <v>0</v>
      </c>
      <c r="BN739">
        <f>IF(COUNTA(H749:H754)=0,0,IF(OR(AND(H749=0,BL739&gt;0),AND(H749="ns",BM739&gt;0),AND(H749="ns",BL739=0,BM739=0)),1,IF(OR(AND(BL739&gt;=2,H749&gt;BM739),AND(H749="ns",BM739=0,BL739&gt;0),H749=BM739),0,1)))</f>
        <v>0</v>
      </c>
      <c r="BO739">
        <f>COUNTIF(H759:H776,"NS")</f>
        <v>0</v>
      </c>
      <c r="BP739">
        <f>SUM(H759:H776)</f>
        <v>0</v>
      </c>
      <c r="BQ739">
        <f>IF(COUNTA(H758:H776)=0,0,IF(OR(AND(H758=0,BO739&gt;0),AND(H758="ns",BP739&gt;0),AND(H758="ns",BO739=0,BP739=0)),1,IF(OR(AND(BO739&gt;=2,H758&gt;BP739),AND(H758="ns",BP739=0,BO739&gt;0),H758=BP739),0,1)))</f>
        <v>0</v>
      </c>
      <c r="BR739">
        <f>COUNTIF(H778:H782,"NS")</f>
        <v>0</v>
      </c>
      <c r="BS739">
        <f>SUM(H778:H782)</f>
        <v>0</v>
      </c>
      <c r="BT739">
        <f>IF(COUNTA(H777:H782)=0,0,IF(OR(AND(H777=0,BR739&gt;0),AND(H777="ns",BS739&gt;0),AND(H777="ns",BR739=0,BS739=0)),1,IF(OR(AND(BR739&gt;=2,H777&gt;BS739),AND(H777="ns",BS739=0,BR739&gt;0),H777=BS739),0,1)))</f>
        <v>0</v>
      </c>
      <c r="BU739">
        <f>COUNTIF(H786:H788,"NS")</f>
        <v>0</v>
      </c>
      <c r="BV739">
        <f>SUM(H786:H788)</f>
        <v>0</v>
      </c>
      <c r="BW739">
        <f>IF(COUNTA(H785:H788)=0,0,IF(OR(AND(H785=0,BU739&gt;0),AND(H785="ns",BV739&gt;0),AND(H785="ns",BU739=0,BV739=0)),1,IF(OR(AND(BU739&gt;=2,H785&gt;BV739),AND(H785="ns",BV739=0,BU739&gt;0),H785=BV739),0,1)))</f>
        <v>0</v>
      </c>
      <c r="BX739">
        <f>COUNTIF(H796:H802,"NS")</f>
        <v>0</v>
      </c>
      <c r="BY739">
        <f>SUM(H796:H802)</f>
        <v>0</v>
      </c>
      <c r="BZ739">
        <f>IF(COUNTA(H795:H802)=0,0,IF(OR(AND(H795=0,BX739&gt;0),AND(H795="ns",BY739&gt;0),AND(H795="ns",BX739=0,BY739=0)),1,IF(OR(AND(BX739&gt;=2,H795&gt;BY739),AND(H795="ns",BY739=0,BX739&gt;0),H795=BY739),0,1)))</f>
        <v>0</v>
      </c>
      <c r="CA739">
        <f>COUNTIF(H804:H808,"NS")</f>
        <v>0</v>
      </c>
      <c r="CB739">
        <f>SUM(H804:H808)</f>
        <v>0</v>
      </c>
      <c r="CC739">
        <f>IF(COUNTA(H803:H808)=0,0,IF(OR(AND(H803=0,CA739&gt;0),AND(H803="ns",CB739&gt;0),AND(H803="ns",CA739=0,CB739=0)),1,IF(OR(AND(CA739&gt;=2,H803&gt;CB739),AND(H803="ns",CB739=0,CA739&gt;0),H803=CB739),0,1)))</f>
        <v>0</v>
      </c>
      <c r="CD739">
        <f>COUNTIF(H814:H819,"NS")</f>
        <v>0</v>
      </c>
      <c r="CE739">
        <f>SUM(H814:H819)</f>
        <v>0</v>
      </c>
      <c r="CF739">
        <f>IF(COUNTA(H813:H819)=0,0,IF(OR(AND(H813=0,CD739&gt;0),AND(H813="ns",CE739&gt;0),AND(H813="ns",CD739=0,CE739=0)),1,IF(OR(AND(CD739&gt;=2,H813&gt;CE739),AND(H813="ns",CE739=0,CD739&gt;0),H813=CE739),0,1)))</f>
        <v>0</v>
      </c>
      <c r="CG739">
        <f>COUNTIF(H821:H828,"NS")</f>
        <v>0</v>
      </c>
      <c r="CH739">
        <f>SUM(H821:H828)</f>
        <v>0</v>
      </c>
      <c r="CI739">
        <f>IF(COUNTA(H820:H828)=0,0,IF(OR(AND(H820=0,CG739&gt;0),AND(H820="ns",CH739&gt;0),AND(H820="ns",CG739=0,CH739=0)),1,IF(OR(AND(CG739&gt;=2,H820&gt;CH739),AND(H820="ns",CH739=0,CG739&gt;0),H820=CH739),0,1)))</f>
        <v>0</v>
      </c>
      <c r="CJ739">
        <f>COUNTIF(H833:H838,"NS")</f>
        <v>0</v>
      </c>
      <c r="CK739">
        <f>SUM(H833:H838)</f>
        <v>0</v>
      </c>
      <c r="CL739">
        <f>IF(COUNTA(H832:H838)=0,0,IF(OR(AND(H832=0,CJ739&gt;0),AND(H832="ns",CK739&gt;0),AND(H832="ns",CJ739=0,CK739=0)),1,IF(OR(AND(CJ739&gt;=2,H832&gt;CK739),AND(H832="ns",CK739=0,CJ739&gt;0),H832=CK739),0,1)))</f>
        <v>0</v>
      </c>
      <c r="CM739">
        <f>COUNTIF(H843:H851,"NS")</f>
        <v>0</v>
      </c>
      <c r="CN739">
        <f>SUM(H843:H851)</f>
        <v>0</v>
      </c>
      <c r="CO739">
        <f>IF(COUNTA(H842:H851)=0,0,IF(OR(AND(H842=0,CM739&gt;0),AND(H842="ns",CN739&gt;0),AND(H842="ns",CM739=0,CN739=0)),1,IF(OR(AND(CM739&gt;=2,H842&gt;CN739),AND(H842="ns",CN739=0,CM739&gt;0),H842=CN739),0,1)))</f>
        <v>0</v>
      </c>
      <c r="CP739">
        <f>COUNTIF(H853:H855,"NS")</f>
        <v>0</v>
      </c>
      <c r="CQ739">
        <f>SUM(H853:H855)</f>
        <v>0</v>
      </c>
      <c r="CR739">
        <f>IF(COUNTA(H852:H855)=0,0,IF(OR(AND(H852=0,CP739&gt;0),AND(H852="ns",CQ739&gt;0),AND(H852="ns",CP739=0,CQ739=0)),1,IF(OR(AND(CP739&gt;=2,H852&gt;CQ739),AND(H852="ns",CQ739=0,CP739&gt;0),H852=CQ739),0,1)))</f>
        <v>0</v>
      </c>
      <c r="CS739">
        <f>COUNTIF(H864:H870,"NS")</f>
        <v>0</v>
      </c>
      <c r="CT739">
        <f>SUM(H864:H870)</f>
        <v>0</v>
      </c>
      <c r="CU739">
        <f>IF(COUNTA(H863:H870)=0,0,IF(OR(AND(H863=0,CS739&gt;0),AND(H863="ns",CT739&gt;0),AND(H863="ns",CS739=0,CT739=0)),1,IF(OR(AND(CS739&gt;=2,H863&gt;CT739),AND(H863="ns",CT739=0,CS739&gt;0),H863=CT739),0,1)))</f>
        <v>0</v>
      </c>
      <c r="CV739">
        <f>COUNTIF(H873:H875,"NS")</f>
        <v>0</v>
      </c>
      <c r="CW739">
        <f>SUM(H873:H875)</f>
        <v>0</v>
      </c>
      <c r="CX739">
        <f>IF(COUNTA(H872:H875)=0,0,IF(OR(AND(H872=0,CV739&gt;0),AND(H872="ns",CW739&gt;0),AND(H872="ns",CV739=0,CW739=0)),1,IF(OR(AND(CV739&gt;=2,H872&gt;CW739),AND(H872="ns",CW739=0,CV739&gt;0),H872=CW739),0,1)))</f>
        <v>0</v>
      </c>
      <c r="CY739">
        <f>COUNTIF(H885:H889,"NS")</f>
        <v>0</v>
      </c>
      <c r="CZ739">
        <f>SUM(H885:H889)</f>
        <v>0</v>
      </c>
      <c r="DA739">
        <f>IF(COUNTA(H884:H889)=0,0,IF(OR(AND(H884=0,CY739&gt;0),AND(H884="ns",CZ739&gt;0),AND(H884="ns",CY739=0,CZ739=0)),1,IF(OR(AND(CY739&gt;=2,H884&gt;CZ739),AND(H884="ns",CZ739=0,CY739&gt;0),H884=CZ739),0,1)))</f>
        <v>0</v>
      </c>
    </row>
    <row r="740" spans="1:105" ht="15" customHeight="1">
      <c r="A740" s="206"/>
      <c r="B740" s="201"/>
      <c r="C740" s="1119" t="s">
        <v>4815</v>
      </c>
      <c r="D740" s="1121"/>
      <c r="E740" s="1121"/>
      <c r="F740" s="1120"/>
      <c r="G740" s="100"/>
      <c r="H740" s="100"/>
      <c r="I740" s="100"/>
      <c r="J740" s="100"/>
      <c r="K740" s="100"/>
      <c r="L740" s="100"/>
      <c r="M740" s="100"/>
      <c r="N740" s="100"/>
      <c r="O740" s="100"/>
      <c r="P740" s="100"/>
      <c r="Q740" s="100"/>
      <c r="R740" s="100"/>
      <c r="S740" s="100"/>
      <c r="T740" s="100"/>
      <c r="U740" s="100"/>
      <c r="V740" s="100"/>
      <c r="W740" s="100"/>
      <c r="X740" s="100"/>
      <c r="Y740" s="100"/>
      <c r="Z740" s="100"/>
      <c r="AA740" s="100"/>
      <c r="AB740" s="100"/>
      <c r="AC740" s="100"/>
      <c r="AD740" s="100"/>
      <c r="AF740"/>
      <c r="AG740"/>
      <c r="AH740"/>
      <c r="AI740"/>
      <c r="AJ740"/>
      <c r="AK740">
        <f t="shared" si="293"/>
        <v>0</v>
      </c>
      <c r="AL740">
        <f t="shared" si="294"/>
        <v>0</v>
      </c>
      <c r="AM740">
        <f t="shared" si="316"/>
        <v>0</v>
      </c>
      <c r="AN740">
        <f t="shared" si="295"/>
        <v>0</v>
      </c>
      <c r="AO740">
        <f t="shared" si="296"/>
        <v>0</v>
      </c>
      <c r="AP740">
        <f t="shared" si="297"/>
        <v>0</v>
      </c>
      <c r="AQ740">
        <f t="shared" si="298"/>
        <v>0</v>
      </c>
      <c r="AR740">
        <f t="shared" si="299"/>
        <v>0</v>
      </c>
      <c r="AS740">
        <f t="shared" si="300"/>
        <v>0</v>
      </c>
      <c r="AT740">
        <f t="shared" si="301"/>
        <v>0</v>
      </c>
      <c r="AU740">
        <f t="shared" si="302"/>
        <v>0</v>
      </c>
      <c r="AV740">
        <f t="shared" si="303"/>
        <v>0</v>
      </c>
      <c r="AW740">
        <f t="shared" si="304"/>
        <v>0</v>
      </c>
      <c r="AX740">
        <f t="shared" si="305"/>
        <v>0</v>
      </c>
      <c r="AY740">
        <f t="shared" si="306"/>
        <v>0</v>
      </c>
      <c r="AZ740">
        <f t="shared" si="307"/>
        <v>0</v>
      </c>
      <c r="BA740">
        <f t="shared" si="308"/>
        <v>0</v>
      </c>
      <c r="BB740">
        <f t="shared" si="309"/>
        <v>0</v>
      </c>
      <c r="BC740">
        <f t="shared" si="310"/>
        <v>0</v>
      </c>
      <c r="BD740">
        <f t="shared" si="311"/>
        <v>0</v>
      </c>
      <c r="BE740">
        <f t="shared" si="312"/>
        <v>0</v>
      </c>
      <c r="BF740">
        <f t="shared" si="313"/>
        <v>0</v>
      </c>
      <c r="BG740">
        <f t="shared" si="314"/>
        <v>0</v>
      </c>
      <c r="BH740">
        <f t="shared" si="315"/>
        <v>0</v>
      </c>
      <c r="BI740">
        <f>COUNTIF(I739:I744,"NS")</f>
        <v>0</v>
      </c>
      <c r="BJ740">
        <f>SUM(I739:I744)</f>
        <v>0</v>
      </c>
      <c r="BK740">
        <f>IF(COUNTA(I738:I744)=0,0,IF(OR(AND(I738=0,BI740&gt;0),AND(I738="ns",BJ740&gt;0),AND(I738="ns",BI740=0,BJ740=0)),1,IF(OR(AND(BI740&gt;=2,I738&gt;BJ740),AND(I738="ns",BJ740=0,BI740&gt;0),I738=BJ740),0,1)))</f>
        <v>0</v>
      </c>
      <c r="BL740">
        <f>COUNTIF(I750:I754,"NS")</f>
        <v>0</v>
      </c>
      <c r="BM740">
        <f>SUM(I750:I754)</f>
        <v>0</v>
      </c>
      <c r="BN740">
        <f>IF(COUNTA(I749:I754)=0,0,IF(OR(AND(I749=0,BL740&gt;0),AND(I749="ns",BM740&gt;0),AND(I749="ns",BL740=0,BM740=0)),1,IF(OR(AND(BL740&gt;=2,I749&gt;BM740),AND(I749="ns",BM740=0,BL740&gt;0),I749=BM740),0,1)))</f>
        <v>0</v>
      </c>
      <c r="BO740">
        <f>COUNTIF(I759:I776,"NS")</f>
        <v>0</v>
      </c>
      <c r="BP740">
        <f>SUM(I759:I776)</f>
        <v>0</v>
      </c>
      <c r="BQ740">
        <f>IF(COUNTA(I758:I776)=0,0,IF(OR(AND(I758=0,BO740&gt;0),AND(I758="ns",BP740&gt;0),AND(I758="ns",BO740=0,BP740=0)),1,IF(OR(AND(BO740&gt;=2,I758&gt;BP740),AND(I758="ns",BP740=0,BO740&gt;0),I758=BP740),0,1)))</f>
        <v>0</v>
      </c>
      <c r="BR740">
        <f>COUNTIF(I778:I782,"NS")</f>
        <v>0</v>
      </c>
      <c r="BS740">
        <f>SUM(I778:I782)</f>
        <v>0</v>
      </c>
      <c r="BT740">
        <f>IF(COUNTA(I777:I782)=0,0,IF(OR(AND(I777=0,BR740&gt;0),AND(I777="ns",BS740&gt;0),AND(I777="ns",BR740=0,BS740=0)),1,IF(OR(AND(BR740&gt;=2,I777&gt;BS740),AND(I777="ns",BS740=0,BR740&gt;0),I777=BS740),0,1)))</f>
        <v>0</v>
      </c>
      <c r="BU740">
        <f>COUNTIF(I786:I788,"NS")</f>
        <v>0</v>
      </c>
      <c r="BV740">
        <f>SUM(I786:I788)</f>
        <v>0</v>
      </c>
      <c r="BW740">
        <f>IF(COUNTA(I785:I788)=0,0,IF(OR(AND(I785=0,BU740&gt;0),AND(I785="ns",BV740&gt;0),AND(I785="ns",BU740=0,BV740=0)),1,IF(OR(AND(BU740&gt;=2,I785&gt;BV740),AND(I785="ns",BV740=0,BU740&gt;0),I785=BV740),0,1)))</f>
        <v>0</v>
      </c>
      <c r="BX740">
        <f>COUNTIF(I796:I802,"NS")</f>
        <v>0</v>
      </c>
      <c r="BY740">
        <f>SUM(I796:I802)</f>
        <v>0</v>
      </c>
      <c r="BZ740">
        <f>IF(COUNTA(I795:I802)=0,0,IF(OR(AND(I795=0,BX740&gt;0),AND(I795="ns",BY740&gt;0),AND(I795="ns",BX740=0,BY740=0)),1,IF(OR(AND(BX740&gt;=2,I795&gt;BY740),AND(I795="ns",BY740=0,BX740&gt;0),I795=BY740),0,1)))</f>
        <v>0</v>
      </c>
      <c r="CA740">
        <f>COUNTIF(I804:I808,"NS")</f>
        <v>0</v>
      </c>
      <c r="CB740">
        <f>SUM(I804:I808)</f>
        <v>0</v>
      </c>
      <c r="CC740">
        <f>IF(COUNTA(I803:I808)=0,0,IF(OR(AND(I803=0,CA740&gt;0),AND(I803="ns",CB740&gt;0),AND(I803="ns",CA740=0,CB740=0)),1,IF(OR(AND(CA740&gt;=2,I803&gt;CB740),AND(I803="ns",CB740=0,CA740&gt;0),I803=CB740),0,1)))</f>
        <v>0</v>
      </c>
      <c r="CD740">
        <f>COUNTIF(I814:I819,"NS")</f>
        <v>0</v>
      </c>
      <c r="CE740">
        <f>SUM(I814:I819)</f>
        <v>0</v>
      </c>
      <c r="CF740">
        <f>IF(COUNTA(I813:I819)=0,0,IF(OR(AND(I813=0,CD740&gt;0),AND(I813="ns",CE740&gt;0),AND(I813="ns",CD740=0,CE740=0)),1,IF(OR(AND(CD740&gt;=2,I813&gt;CE740),AND(I813="ns",CE740=0,CD740&gt;0),I813=CE740),0,1)))</f>
        <v>0</v>
      </c>
      <c r="CG740">
        <f>COUNTIF(I821:I828,"NS")</f>
        <v>0</v>
      </c>
      <c r="CH740">
        <f>SUM(I821:I828)</f>
        <v>0</v>
      </c>
      <c r="CI740">
        <f>IF(COUNTA(I820:I828)=0,0,IF(OR(AND(I820=0,CG740&gt;0),AND(I820="ns",CH740&gt;0),AND(I820="ns",CG740=0,CH740=0)),1,IF(OR(AND(CG740&gt;=2,I820&gt;CH740),AND(I820="ns",CH740=0,CG740&gt;0),I820=CH740),0,1)))</f>
        <v>0</v>
      </c>
      <c r="CJ740">
        <f>COUNTIF(I833:I838,"NS")</f>
        <v>0</v>
      </c>
      <c r="CK740">
        <f>SUM(I833:I838)</f>
        <v>0</v>
      </c>
      <c r="CL740">
        <f>IF(COUNTA(I832:I838)=0,0,IF(OR(AND(I832=0,CJ740&gt;0),AND(I832="ns",CK740&gt;0),AND(I832="ns",CJ740=0,CK740=0)),1,IF(OR(AND(CJ740&gt;=2,I832&gt;CK740),AND(I832="ns",CK740=0,CJ740&gt;0),I832=CK740),0,1)))</f>
        <v>0</v>
      </c>
      <c r="CM740">
        <f>COUNTIF(I843:I851,"NS")</f>
        <v>0</v>
      </c>
      <c r="CN740">
        <f>SUM(I843:I851)</f>
        <v>0</v>
      </c>
      <c r="CO740">
        <f>IF(COUNTA(I842:I851)=0,0,IF(OR(AND(I842=0,CM740&gt;0),AND(I842="ns",CN740&gt;0),AND(I842="ns",CM740=0,CN740=0)),1,IF(OR(AND(CM740&gt;=2,I842&gt;CN740),AND(I842="ns",CN740=0,CM740&gt;0),I842=CN740),0,1)))</f>
        <v>0</v>
      </c>
      <c r="CP740">
        <f>COUNTIF(I853:I855,"NS")</f>
        <v>0</v>
      </c>
      <c r="CQ740">
        <f>SUM(I853:I855)</f>
        <v>0</v>
      </c>
      <c r="CR740">
        <f>IF(COUNTA(I852:I855)=0,0,IF(OR(AND(I852=0,CP740&gt;0),AND(I852="ns",CQ740&gt;0),AND(I852="ns",CP740=0,CQ740=0)),1,IF(OR(AND(CP740&gt;=2,I852&gt;CQ740),AND(I852="ns",CQ740=0,CP740&gt;0),I852=CQ740),0,1)))</f>
        <v>0</v>
      </c>
      <c r="CS740">
        <f>COUNTIF(I864:I870,"NS")</f>
        <v>0</v>
      </c>
      <c r="CT740">
        <f>SUM(I864:I870)</f>
        <v>0</v>
      </c>
      <c r="CU740">
        <f>IF(COUNTA(I863:I870)=0,0,IF(OR(AND(I863=0,CS740&gt;0),AND(I863="ns",CT740&gt;0),AND(I863="ns",CS740=0,CT740=0)),1,IF(OR(AND(CS740&gt;=2,I863&gt;CT740),AND(I863="ns",CT740=0,CS740&gt;0),I863=CT740),0,1)))</f>
        <v>0</v>
      </c>
      <c r="CV740">
        <f>COUNTIF(I873:I875,"NS")</f>
        <v>0</v>
      </c>
      <c r="CW740">
        <f>SUM(I873:I875)</f>
        <v>0</v>
      </c>
      <c r="CX740">
        <f>IF(COUNTA(I872:I875)=0,0,IF(OR(AND(I872=0,CV740&gt;0),AND(I872="ns",CW740&gt;0),AND(I872="ns",CV740=0,CW740=0)),1,IF(OR(AND(CV740&gt;=2,I872&gt;CW740),AND(I872="ns",CW740=0,CV740&gt;0),I872=CW740),0,1)))</f>
        <v>0</v>
      </c>
      <c r="CY740">
        <f>COUNTIF(I885:I889,"NS")</f>
        <v>0</v>
      </c>
      <c r="CZ740">
        <f>SUM(I885:I889)</f>
        <v>0</v>
      </c>
      <c r="DA740">
        <f>IF(COUNTA(I884:I889)=0,0,IF(OR(AND(I884=0,CY740&gt;0),AND(I884="ns",CZ740&gt;0),AND(I884="ns",CY740=0,CZ740=0)),1,IF(OR(AND(CY740&gt;=2,I884&gt;CZ740),AND(I884="ns",CZ740=0,CY740&gt;0),I884=CZ740),0,1)))</f>
        <v>0</v>
      </c>
    </row>
    <row r="741" spans="1:105" ht="15" customHeight="1">
      <c r="A741" s="206"/>
      <c r="B741" s="201"/>
      <c r="C741" s="1119" t="s">
        <v>4817</v>
      </c>
      <c r="D741" s="1121"/>
      <c r="E741" s="1121"/>
      <c r="F741" s="1120"/>
      <c r="G741" s="100"/>
      <c r="H741" s="100"/>
      <c r="I741" s="100"/>
      <c r="J741" s="100"/>
      <c r="K741" s="100"/>
      <c r="L741" s="100"/>
      <c r="M741" s="100"/>
      <c r="N741" s="100"/>
      <c r="O741" s="100"/>
      <c r="P741" s="100"/>
      <c r="Q741" s="100"/>
      <c r="R741" s="100"/>
      <c r="S741" s="100"/>
      <c r="T741" s="100"/>
      <c r="U741" s="100"/>
      <c r="V741" s="100"/>
      <c r="W741" s="100"/>
      <c r="X741" s="100"/>
      <c r="Y741" s="100"/>
      <c r="Z741" s="100"/>
      <c r="AA741" s="100"/>
      <c r="AB741" s="100"/>
      <c r="AC741" s="100"/>
      <c r="AD741" s="100"/>
      <c r="AF741"/>
      <c r="AG741"/>
      <c r="AH741"/>
      <c r="AI741"/>
      <c r="AJ741"/>
      <c r="AK741">
        <f t="shared" si="293"/>
        <v>0</v>
      </c>
      <c r="AL741">
        <f t="shared" si="294"/>
        <v>0</v>
      </c>
      <c r="AM741">
        <f t="shared" si="316"/>
        <v>0</v>
      </c>
      <c r="AN741">
        <f t="shared" si="295"/>
        <v>0</v>
      </c>
      <c r="AO741">
        <f t="shared" si="296"/>
        <v>0</v>
      </c>
      <c r="AP741">
        <f t="shared" si="297"/>
        <v>0</v>
      </c>
      <c r="AQ741">
        <f t="shared" si="298"/>
        <v>0</v>
      </c>
      <c r="AR741">
        <f t="shared" si="299"/>
        <v>0</v>
      </c>
      <c r="AS741">
        <f t="shared" si="300"/>
        <v>0</v>
      </c>
      <c r="AT741">
        <f t="shared" si="301"/>
        <v>0</v>
      </c>
      <c r="AU741">
        <f t="shared" si="302"/>
        <v>0</v>
      </c>
      <c r="AV741">
        <f t="shared" si="303"/>
        <v>0</v>
      </c>
      <c r="AW741">
        <f t="shared" si="304"/>
        <v>0</v>
      </c>
      <c r="AX741">
        <f t="shared" si="305"/>
        <v>0</v>
      </c>
      <c r="AY741">
        <f t="shared" si="306"/>
        <v>0</v>
      </c>
      <c r="AZ741">
        <f t="shared" si="307"/>
        <v>0</v>
      </c>
      <c r="BA741">
        <f t="shared" si="308"/>
        <v>0</v>
      </c>
      <c r="BB741">
        <f t="shared" si="309"/>
        <v>0</v>
      </c>
      <c r="BC741">
        <f t="shared" si="310"/>
        <v>0</v>
      </c>
      <c r="BD741">
        <f t="shared" si="311"/>
        <v>0</v>
      </c>
      <c r="BE741">
        <f t="shared" si="312"/>
        <v>0</v>
      </c>
      <c r="BF741">
        <f t="shared" si="313"/>
        <v>0</v>
      </c>
      <c r="BG741">
        <f t="shared" si="314"/>
        <v>0</v>
      </c>
      <c r="BH741">
        <f t="shared" si="315"/>
        <v>0</v>
      </c>
      <c r="BI741">
        <f>COUNTIF(J739:J744,"NS")</f>
        <v>0</v>
      </c>
      <c r="BJ741">
        <f>SUM(J739:J744)</f>
        <v>0</v>
      </c>
      <c r="BK741">
        <f>IF(COUNTA(J738:J744)=0,0,IF(OR(AND(J738=0,BI741&gt;0),AND(J738="ns",BJ741&gt;0),AND(J738="ns",BI741=0,BJ741=0)),1,IF(OR(AND(BI741&gt;=2,J738&gt;BJ741),AND(J738="ns",BJ741=0,BI741&gt;0),J738=BJ741),0,1)))</f>
        <v>0</v>
      </c>
      <c r="BL741">
        <f>COUNTIF(J750:J754,"NS")</f>
        <v>0</v>
      </c>
      <c r="BM741">
        <f>SUM(J750:J754)</f>
        <v>0</v>
      </c>
      <c r="BN741">
        <f>IF(COUNTA(J749:J754)=0,0,IF(OR(AND(J749=0,BL741&gt;0),AND(J749="ns",BM741&gt;0),AND(J749="ns",BL741=0,BM741=0)),1,IF(OR(AND(BL741&gt;=2,J749&gt;BM741),AND(J749="ns",BM741=0,BL741&gt;0),J749=BM741),0,1)))</f>
        <v>0</v>
      </c>
      <c r="BO741">
        <f>COUNTIF(J759:J776,"NS")</f>
        <v>0</v>
      </c>
      <c r="BP741">
        <f>SUM(J759:J776)</f>
        <v>0</v>
      </c>
      <c r="BQ741">
        <f>IF(COUNTA(J758:J776)=0,0,IF(OR(AND(J758=0,BO741&gt;0),AND(J758="ns",BP741&gt;0),AND(J758="ns",BO741=0,BP741=0)),1,IF(OR(AND(BO741&gt;=2,J758&gt;BP741),AND(J758="ns",BP741=0,BO741&gt;0),J758=BP741),0,1)))</f>
        <v>0</v>
      </c>
      <c r="BR741">
        <f>COUNTIF(J778:J782,"NS")</f>
        <v>0</v>
      </c>
      <c r="BS741">
        <f>SUM(J778:J782)</f>
        <v>0</v>
      </c>
      <c r="BT741">
        <f>IF(COUNTA(J777:J782)=0,0,IF(OR(AND(J777=0,BR741&gt;0),AND(J777="ns",BS741&gt;0),AND(J777="ns",BR741=0,BS741=0)),1,IF(OR(AND(BR741&gt;=2,J777&gt;BS741),AND(J777="ns",BS741=0,BR741&gt;0),J777=BS741),0,1)))</f>
        <v>0</v>
      </c>
      <c r="BU741">
        <f>COUNTIF(J786:J788,"NS")</f>
        <v>0</v>
      </c>
      <c r="BV741">
        <f>SUM(J786:J788)</f>
        <v>0</v>
      </c>
      <c r="BW741">
        <f>IF(COUNTA(J785:J788)=0,0,IF(OR(AND(J785=0,BU741&gt;0),AND(J785="ns",BV741&gt;0),AND(J785="ns",BU741=0,BV741=0)),1,IF(OR(AND(BU741&gt;=2,J785&gt;BV741),AND(J785="ns",BV741=0,BU741&gt;0),J785=BV741),0,1)))</f>
        <v>0</v>
      </c>
      <c r="BX741">
        <f>COUNTIF(J796:J802,"NS")</f>
        <v>0</v>
      </c>
      <c r="BY741">
        <f>SUM(J796:J802)</f>
        <v>0</v>
      </c>
      <c r="BZ741">
        <f>IF(COUNTA(J795:J802)=0,0,IF(OR(AND(J795=0,BX741&gt;0),AND(J795="ns",BY741&gt;0),AND(J795="ns",BX741=0,BY741=0)),1,IF(OR(AND(BX741&gt;=2,J795&gt;BY741),AND(J795="ns",BY741=0,BX741&gt;0),J795=BY741),0,1)))</f>
        <v>0</v>
      </c>
      <c r="CA741">
        <f>COUNTIF(J804:J808,"NS")</f>
        <v>0</v>
      </c>
      <c r="CB741">
        <f>SUM(J804:J808)</f>
        <v>0</v>
      </c>
      <c r="CC741">
        <f>IF(COUNTA(J803:J808)=0,0,IF(OR(AND(J803=0,CA741&gt;0),AND(J803="ns",CB741&gt;0),AND(J803="ns",CA741=0,CB741=0)),1,IF(OR(AND(CA741&gt;=2,J803&gt;CB741),AND(J803="ns",CB741=0,CA741&gt;0),J803=CB741),0,1)))</f>
        <v>0</v>
      </c>
      <c r="CD741">
        <f>COUNTIF(J814:J819,"NS")</f>
        <v>0</v>
      </c>
      <c r="CE741">
        <f>SUM(J814:J819)</f>
        <v>0</v>
      </c>
      <c r="CF741">
        <f>IF(COUNTA(J813:J819)=0,0,IF(OR(AND(J813=0,CD741&gt;0),AND(J813="ns",CE741&gt;0),AND(J813="ns",CD741=0,CE741=0)),1,IF(OR(AND(CD741&gt;=2,J813&gt;CE741),AND(J813="ns",CE741=0,CD741&gt;0),J813=CE741),0,1)))</f>
        <v>0</v>
      </c>
      <c r="CG741">
        <f>COUNTIF(J821:J828,"NS")</f>
        <v>0</v>
      </c>
      <c r="CH741">
        <f>SUM(J821:J828)</f>
        <v>0</v>
      </c>
      <c r="CI741">
        <f>IF(COUNTA(J820:J828)=0,0,IF(OR(AND(J820=0,CG741&gt;0),AND(J820="ns",CH741&gt;0),AND(J820="ns",CG741=0,CH741=0)),1,IF(OR(AND(CG741&gt;=2,J820&gt;CH741),AND(J820="ns",CH741=0,CG741&gt;0),J820=CH741),0,1)))</f>
        <v>0</v>
      </c>
      <c r="CJ741">
        <f>COUNTIF(J833:J838,"NS")</f>
        <v>0</v>
      </c>
      <c r="CK741">
        <f>SUM(J833:J838)</f>
        <v>0</v>
      </c>
      <c r="CL741">
        <f>IF(COUNTA(J832:J838)=0,0,IF(OR(AND(J832=0,CJ741&gt;0),AND(J832="ns",CK741&gt;0),AND(J832="ns",CJ741=0,CK741=0)),1,IF(OR(AND(CJ741&gt;=2,J832&gt;CK741),AND(J832="ns",CK741=0,CJ741&gt;0),J832=CK741),0,1)))</f>
        <v>0</v>
      </c>
      <c r="CM741">
        <f>COUNTIF(J843:J851,"NS")</f>
        <v>0</v>
      </c>
      <c r="CN741">
        <f>SUM(J843:J851)</f>
        <v>0</v>
      </c>
      <c r="CO741">
        <f>IF(COUNTA(J842:J851)=0,0,IF(OR(AND(J842=0,CM741&gt;0),AND(J842="ns",CN741&gt;0),AND(J842="ns",CM741=0,CN741=0)),1,IF(OR(AND(CM741&gt;=2,J842&gt;CN741),AND(J842="ns",CN741=0,CM741&gt;0),J842=CN741),0,1)))</f>
        <v>0</v>
      </c>
      <c r="CP741">
        <f>COUNTIF(J853:J855,"NS")</f>
        <v>0</v>
      </c>
      <c r="CQ741">
        <f>SUM(J853:J855)</f>
        <v>0</v>
      </c>
      <c r="CR741">
        <f>IF(COUNTA(J852:J855)=0,0,IF(OR(AND(J852=0,CP741&gt;0),AND(J852="ns",CQ741&gt;0),AND(J852="ns",CP741=0,CQ741=0)),1,IF(OR(AND(CP741&gt;=2,J852&gt;CQ741),AND(J852="ns",CQ741=0,CP741&gt;0),J852=CQ741),0,1)))</f>
        <v>0</v>
      </c>
      <c r="CS741">
        <f>COUNTIF(J864:J870,"NS")</f>
        <v>0</v>
      </c>
      <c r="CT741">
        <f>SUM(J864:J870)</f>
        <v>0</v>
      </c>
      <c r="CU741">
        <f>IF(COUNTA(J863:J870)=0,0,IF(OR(AND(J863=0,CS741&gt;0),AND(J863="ns",CT741&gt;0),AND(J863="ns",CS741=0,CT741=0)),1,IF(OR(AND(CS741&gt;=2,J863&gt;CT741),AND(J863="ns",CT741=0,CS741&gt;0),J863=CT741),0,1)))</f>
        <v>0</v>
      </c>
      <c r="CV741">
        <f>COUNTIF(J873:J875,"NS")</f>
        <v>0</v>
      </c>
      <c r="CW741">
        <f>SUM(J873:J875)</f>
        <v>0</v>
      </c>
      <c r="CX741">
        <f>IF(COUNTA(J872:J875)=0,0,IF(OR(AND(J872=0,CV741&gt;0),AND(J872="ns",CW741&gt;0),AND(J872="ns",CV741=0,CW741=0)),1,IF(OR(AND(CV741&gt;=2,J872&gt;CW741),AND(J872="ns",CW741=0,CV741&gt;0),J872=CW741),0,1)))</f>
        <v>0</v>
      </c>
      <c r="CY741">
        <f>COUNTIF(J885:J889,"NS")</f>
        <v>0</v>
      </c>
      <c r="CZ741">
        <f>SUM(J885:J889)</f>
        <v>0</v>
      </c>
      <c r="DA741">
        <f>IF(COUNTA(J884:J889)=0,0,IF(OR(AND(J884=0,CY741&gt;0),AND(J884="ns",CZ741&gt;0),AND(J884="ns",CY741=0,CZ741=0)),1,IF(OR(AND(CY741&gt;=2,J884&gt;CZ741),AND(J884="ns",CZ741=0,CY741&gt;0),J884=CZ741),0,1)))</f>
        <v>0</v>
      </c>
    </row>
    <row r="742" spans="1:105" ht="15" customHeight="1">
      <c r="A742" s="206"/>
      <c r="B742" s="201"/>
      <c r="C742" s="1119" t="s">
        <v>4819</v>
      </c>
      <c r="D742" s="1121"/>
      <c r="E742" s="1121"/>
      <c r="F742" s="1120"/>
      <c r="G742" s="100"/>
      <c r="H742" s="100"/>
      <c r="I742" s="100"/>
      <c r="J742" s="100"/>
      <c r="K742" s="100"/>
      <c r="L742" s="100"/>
      <c r="M742" s="100"/>
      <c r="N742" s="100"/>
      <c r="O742" s="100"/>
      <c r="P742" s="100"/>
      <c r="Q742" s="100"/>
      <c r="R742" s="100"/>
      <c r="S742" s="100"/>
      <c r="T742" s="100"/>
      <c r="U742" s="100"/>
      <c r="V742" s="100"/>
      <c r="W742" s="100"/>
      <c r="X742" s="100"/>
      <c r="Y742" s="100"/>
      <c r="Z742" s="100"/>
      <c r="AA742" s="100"/>
      <c r="AB742" s="100"/>
      <c r="AC742" s="100"/>
      <c r="AD742" s="100"/>
      <c r="AF742"/>
      <c r="AG742"/>
      <c r="AH742"/>
      <c r="AI742"/>
      <c r="AJ742"/>
      <c r="AK742">
        <f t="shared" si="293"/>
        <v>0</v>
      </c>
      <c r="AL742">
        <f t="shared" si="294"/>
        <v>0</v>
      </c>
      <c r="AM742">
        <f t="shared" si="316"/>
        <v>0</v>
      </c>
      <c r="AN742">
        <f t="shared" si="295"/>
        <v>0</v>
      </c>
      <c r="AO742">
        <f t="shared" si="296"/>
        <v>0</v>
      </c>
      <c r="AP742">
        <f t="shared" si="297"/>
        <v>0</v>
      </c>
      <c r="AQ742">
        <f t="shared" si="298"/>
        <v>0</v>
      </c>
      <c r="AR742">
        <f t="shared" si="299"/>
        <v>0</v>
      </c>
      <c r="AS742">
        <f t="shared" si="300"/>
        <v>0</v>
      </c>
      <c r="AT742">
        <f t="shared" si="301"/>
        <v>0</v>
      </c>
      <c r="AU742">
        <f t="shared" si="302"/>
        <v>0</v>
      </c>
      <c r="AV742">
        <f t="shared" si="303"/>
        <v>0</v>
      </c>
      <c r="AW742">
        <f t="shared" si="304"/>
        <v>0</v>
      </c>
      <c r="AX742">
        <f t="shared" si="305"/>
        <v>0</v>
      </c>
      <c r="AY742">
        <f t="shared" si="306"/>
        <v>0</v>
      </c>
      <c r="AZ742">
        <f t="shared" si="307"/>
        <v>0</v>
      </c>
      <c r="BA742">
        <f t="shared" si="308"/>
        <v>0</v>
      </c>
      <c r="BB742">
        <f t="shared" si="309"/>
        <v>0</v>
      </c>
      <c r="BC742">
        <f t="shared" si="310"/>
        <v>0</v>
      </c>
      <c r="BD742">
        <f t="shared" si="311"/>
        <v>0</v>
      </c>
      <c r="BE742">
        <f t="shared" si="312"/>
        <v>0</v>
      </c>
      <c r="BF742">
        <f t="shared" si="313"/>
        <v>0</v>
      </c>
      <c r="BG742">
        <f t="shared" si="314"/>
        <v>0</v>
      </c>
      <c r="BH742">
        <f t="shared" si="315"/>
        <v>0</v>
      </c>
      <c r="BI742">
        <f>COUNTIF(K739:K744,"NS")</f>
        <v>0</v>
      </c>
      <c r="BJ742">
        <f>SUM(K739:K744)</f>
        <v>0</v>
      </c>
      <c r="BK742">
        <f>IF(COUNTA(K738:K744)=0,0,IF(OR(AND(K738=0,BI742&gt;0),AND(K738="ns",BJ742&gt;0),AND(K738="ns",BI742=0,BJ742=0)),1,IF(OR(AND(BI742&gt;=2,K738&gt;BJ742),AND(K738="ns",BJ742=0,BI742&gt;0),K738=BJ742),0,1)))</f>
        <v>0</v>
      </c>
      <c r="BL742">
        <f>COUNTIF(K750:K754,"NS")</f>
        <v>0</v>
      </c>
      <c r="BM742">
        <f>SUM(K750:K754)</f>
        <v>0</v>
      </c>
      <c r="BN742">
        <f>IF(COUNTA(K749:K754)=0,0,IF(OR(AND(K749=0,BL742&gt;0),AND(K749="ns",BM742&gt;0),AND(K749="ns",BL742=0,BM742=0)),1,IF(OR(AND(BL742&gt;=2,K749&gt;BM742),AND(K749="ns",BM742=0,BL742&gt;0),K749=BM742),0,1)))</f>
        <v>0</v>
      </c>
      <c r="BO742">
        <f>COUNTIF(K759:K776,"NS")</f>
        <v>0</v>
      </c>
      <c r="BP742">
        <f>SUM(K759:K776)</f>
        <v>0</v>
      </c>
      <c r="BQ742">
        <f>IF(COUNTA(K758:K776)=0,0,IF(OR(AND(K758=0,BO742&gt;0),AND(K758="ns",BP742&gt;0),AND(K758="ns",BO742=0,BP742=0)),1,IF(OR(AND(BO742&gt;=2,K758&gt;BP742),AND(K758="ns",BP742=0,BO742&gt;0),K758=BP742),0,1)))</f>
        <v>0</v>
      </c>
      <c r="BR742">
        <f>COUNTIF(K778:K782,"NS")</f>
        <v>0</v>
      </c>
      <c r="BS742">
        <f>SUM(K778:K782)</f>
        <v>0</v>
      </c>
      <c r="BT742">
        <f>IF(COUNTA(K777:K782)=0,0,IF(OR(AND(K777=0,BR742&gt;0),AND(K777="ns",BS742&gt;0),AND(K777="ns",BR742=0,BS742=0)),1,IF(OR(AND(BR742&gt;=2,K777&gt;BS742),AND(K777="ns",BS742=0,BR742&gt;0),K777=BS742),0,1)))</f>
        <v>0</v>
      </c>
      <c r="BU742">
        <f>COUNTIF(K786:K788,"NS")</f>
        <v>0</v>
      </c>
      <c r="BV742">
        <f>SUM(K786:K788)</f>
        <v>0</v>
      </c>
      <c r="BW742">
        <f>IF(COUNTA(K785:K788)=0,0,IF(OR(AND(K785=0,BU742&gt;0),AND(K785="ns",BV742&gt;0),AND(K785="ns",BU742=0,BV742=0)),1,IF(OR(AND(BU742&gt;=2,K785&gt;BV742),AND(K785="ns",BV742=0,BU742&gt;0),K785=BV742),0,1)))</f>
        <v>0</v>
      </c>
      <c r="BX742">
        <f>COUNTIF(K796:K802,"NS")</f>
        <v>0</v>
      </c>
      <c r="BY742">
        <f>SUM(K796:K802)</f>
        <v>0</v>
      </c>
      <c r="BZ742">
        <f>IF(COUNTA(K795:K802)=0,0,IF(OR(AND(K795=0,BX742&gt;0),AND(K795="ns",BY742&gt;0),AND(K795="ns",BX742=0,BY742=0)),1,IF(OR(AND(BX742&gt;=2,K795&gt;BY742),AND(K795="ns",BY742=0,BX742&gt;0),K795=BY742),0,1)))</f>
        <v>0</v>
      </c>
      <c r="CA742">
        <f>COUNTIF(K804:K808,"NS")</f>
        <v>0</v>
      </c>
      <c r="CB742">
        <f>SUM(K804:K808)</f>
        <v>0</v>
      </c>
      <c r="CC742">
        <f>IF(COUNTA(K803:K808)=0,0,IF(OR(AND(K803=0,CA742&gt;0),AND(K803="ns",CB742&gt;0),AND(K803="ns",CA742=0,CB742=0)),1,IF(OR(AND(CA742&gt;=2,K803&gt;CB742),AND(K803="ns",CB742=0,CA742&gt;0),K803=CB742),0,1)))</f>
        <v>0</v>
      </c>
      <c r="CD742">
        <f>COUNTIF(K814:K819,"NS")</f>
        <v>0</v>
      </c>
      <c r="CE742">
        <f>SUM(K814:K819)</f>
        <v>0</v>
      </c>
      <c r="CF742">
        <f>IF(COUNTA(K813:K819)=0,0,IF(OR(AND(K813=0,CD742&gt;0),AND(K813="ns",CE742&gt;0),AND(K813="ns",CD742=0,CE742=0)),1,IF(OR(AND(CD742&gt;=2,K813&gt;CE742),AND(K813="ns",CE742=0,CD742&gt;0),K813=CE742),0,1)))</f>
        <v>0</v>
      </c>
      <c r="CG742">
        <f>COUNTIF(K821:K828,"NS")</f>
        <v>0</v>
      </c>
      <c r="CH742">
        <f>SUM(K821:K828)</f>
        <v>0</v>
      </c>
      <c r="CI742">
        <f>IF(COUNTA(K820:K828)=0,0,IF(OR(AND(K820=0,CG742&gt;0),AND(K820="ns",CH742&gt;0),AND(K820="ns",CG742=0,CH742=0)),1,IF(OR(AND(CG742&gt;=2,K820&gt;CH742),AND(K820="ns",CH742=0,CG742&gt;0),K820=CH742),0,1)))</f>
        <v>0</v>
      </c>
      <c r="CJ742">
        <f>COUNTIF(K833:K838,"NS")</f>
        <v>0</v>
      </c>
      <c r="CK742">
        <f>SUM(K833:K838)</f>
        <v>0</v>
      </c>
      <c r="CL742">
        <f>IF(COUNTA(K832:K838)=0,0,IF(OR(AND(K832=0,CJ742&gt;0),AND(K832="ns",CK742&gt;0),AND(K832="ns",CJ742=0,CK742=0)),1,IF(OR(AND(CJ742&gt;=2,K832&gt;CK742),AND(K832="ns",CK742=0,CJ742&gt;0),K832=CK742),0,1)))</f>
        <v>0</v>
      </c>
      <c r="CM742">
        <f>COUNTIF(K843:K851,"NS")</f>
        <v>0</v>
      </c>
      <c r="CN742">
        <f>SUM(K843:K851)</f>
        <v>0</v>
      </c>
      <c r="CO742">
        <f>IF(COUNTA(K842:K851)=0,0,IF(OR(AND(K842=0,CM742&gt;0),AND(K842="ns",CN742&gt;0),AND(K842="ns",CM742=0,CN742=0)),1,IF(OR(AND(CM742&gt;=2,K842&gt;CN742),AND(K842="ns",CN742=0,CM742&gt;0),K842=CN742),0,1)))</f>
        <v>0</v>
      </c>
      <c r="CP742">
        <f>COUNTIF(K853:K855,"NS")</f>
        <v>0</v>
      </c>
      <c r="CQ742">
        <f>SUM(K853:K855)</f>
        <v>0</v>
      </c>
      <c r="CR742">
        <f>IF(COUNTA(K852:K855)=0,0,IF(OR(AND(K852=0,CP742&gt;0),AND(K852="ns",CQ742&gt;0),AND(K852="ns",CP742=0,CQ742=0)),1,IF(OR(AND(CP742&gt;=2,K852&gt;CQ742),AND(K852="ns",CQ742=0,CP742&gt;0),K852=CQ742),0,1)))</f>
        <v>0</v>
      </c>
      <c r="CS742">
        <f>COUNTIF(K864:K870,"NS")</f>
        <v>0</v>
      </c>
      <c r="CT742">
        <f>SUM(K864:K870)</f>
        <v>0</v>
      </c>
      <c r="CU742">
        <f>IF(COUNTA(K863:K870)=0,0,IF(OR(AND(K863=0,CS742&gt;0),AND(K863="ns",CT742&gt;0),AND(K863="ns",CS742=0,CT742=0)),1,IF(OR(AND(CS742&gt;=2,K863&gt;CT742),AND(K863="ns",CT742=0,CS742&gt;0),K863=CT742),0,1)))</f>
        <v>0</v>
      </c>
      <c r="CV742">
        <f>COUNTIF(K873:K875,"NS")</f>
        <v>0</v>
      </c>
      <c r="CW742">
        <f>SUM(K873:K875)</f>
        <v>0</v>
      </c>
      <c r="CX742">
        <f>IF(COUNTA(K872:K875)=0,0,IF(OR(AND(K872=0,CV742&gt;0),AND(K872="ns",CW742&gt;0),AND(K872="ns",CV742=0,CW742=0)),1,IF(OR(AND(CV742&gt;=2,K872&gt;CW742),AND(K872="ns",CW742=0,CV742&gt;0),K872=CW742),0,1)))</f>
        <v>0</v>
      </c>
      <c r="CY742">
        <f>COUNTIF(K885:K889,"NS")</f>
        <v>0</v>
      </c>
      <c r="CZ742">
        <f>SUM(K885:K889)</f>
        <v>0</v>
      </c>
      <c r="DA742">
        <f>IF(COUNTA(K884:K889)=0,0,IF(OR(AND(K884=0,CY742&gt;0),AND(K884="ns",CZ742&gt;0),AND(K884="ns",CY742=0,CZ742=0)),1,IF(OR(AND(CY742&gt;=2,K884&gt;CZ742),AND(K884="ns",CZ742=0,CY742&gt;0),K884=CZ742),0,1)))</f>
        <v>0</v>
      </c>
    </row>
    <row r="743" spans="1:105" ht="15" customHeight="1">
      <c r="A743" s="206"/>
      <c r="B743" s="201"/>
      <c r="C743" s="1119" t="s">
        <v>4821</v>
      </c>
      <c r="D743" s="1121"/>
      <c r="E743" s="1121"/>
      <c r="F743" s="1120"/>
      <c r="G743" s="100"/>
      <c r="H743" s="100"/>
      <c r="I743" s="100"/>
      <c r="J743" s="100"/>
      <c r="K743" s="100"/>
      <c r="L743" s="100"/>
      <c r="M743" s="100"/>
      <c r="N743" s="100"/>
      <c r="O743" s="100"/>
      <c r="P743" s="100"/>
      <c r="Q743" s="100"/>
      <c r="R743" s="100"/>
      <c r="S743" s="100"/>
      <c r="T743" s="100"/>
      <c r="U743" s="100"/>
      <c r="V743" s="100"/>
      <c r="W743" s="100"/>
      <c r="X743" s="100"/>
      <c r="Y743" s="100"/>
      <c r="Z743" s="100"/>
      <c r="AA743" s="100"/>
      <c r="AB743" s="100"/>
      <c r="AC743" s="100"/>
      <c r="AD743" s="100"/>
      <c r="AF743"/>
      <c r="AG743"/>
      <c r="AH743"/>
      <c r="AI743"/>
      <c r="AJ743"/>
      <c r="AK743">
        <f t="shared" si="293"/>
        <v>0</v>
      </c>
      <c r="AL743">
        <f t="shared" si="294"/>
        <v>0</v>
      </c>
      <c r="AM743">
        <f t="shared" si="316"/>
        <v>0</v>
      </c>
      <c r="AN743">
        <f t="shared" si="295"/>
        <v>0</v>
      </c>
      <c r="AO743">
        <f t="shared" si="296"/>
        <v>0</v>
      </c>
      <c r="AP743">
        <f t="shared" si="297"/>
        <v>0</v>
      </c>
      <c r="AQ743">
        <f t="shared" si="298"/>
        <v>0</v>
      </c>
      <c r="AR743">
        <f t="shared" si="299"/>
        <v>0</v>
      </c>
      <c r="AS743">
        <f t="shared" si="300"/>
        <v>0</v>
      </c>
      <c r="AT743">
        <f t="shared" si="301"/>
        <v>0</v>
      </c>
      <c r="AU743">
        <f t="shared" si="302"/>
        <v>0</v>
      </c>
      <c r="AV743">
        <f t="shared" si="303"/>
        <v>0</v>
      </c>
      <c r="AW743">
        <f t="shared" si="304"/>
        <v>0</v>
      </c>
      <c r="AX743">
        <f t="shared" si="305"/>
        <v>0</v>
      </c>
      <c r="AY743">
        <f t="shared" si="306"/>
        <v>0</v>
      </c>
      <c r="AZ743">
        <f t="shared" si="307"/>
        <v>0</v>
      </c>
      <c r="BA743">
        <f t="shared" si="308"/>
        <v>0</v>
      </c>
      <c r="BB743">
        <f t="shared" si="309"/>
        <v>0</v>
      </c>
      <c r="BC743">
        <f t="shared" si="310"/>
        <v>0</v>
      </c>
      <c r="BD743">
        <f t="shared" si="311"/>
        <v>0</v>
      </c>
      <c r="BE743">
        <f t="shared" si="312"/>
        <v>0</v>
      </c>
      <c r="BF743">
        <f t="shared" si="313"/>
        <v>0</v>
      </c>
      <c r="BG743">
        <f t="shared" si="314"/>
        <v>0</v>
      </c>
      <c r="BH743">
        <f t="shared" si="315"/>
        <v>0</v>
      </c>
      <c r="BI743">
        <f>COUNTIF(L739:L744,"NS")</f>
        <v>0</v>
      </c>
      <c r="BJ743">
        <f>SUM(L739:L744)</f>
        <v>0</v>
      </c>
      <c r="BK743">
        <f>IF(COUNTA(L738:L744)=0,0,IF(OR(AND(L738=0,BI743&gt;0),AND(L738="ns",BJ743&gt;0),AND(L738="ns",BI743=0,BJ743=0)),1,IF(OR(AND(BI743&gt;=2,L738&gt;BJ743),AND(L738="ns",BJ743=0,BI743&gt;0),L738=BJ743),0,1)))</f>
        <v>0</v>
      </c>
      <c r="BL743">
        <f>COUNTIF(L750:L754,"NS")</f>
        <v>0</v>
      </c>
      <c r="BM743">
        <f>SUM(L750:L754)</f>
        <v>0</v>
      </c>
      <c r="BN743">
        <f>IF(COUNTA(L749:L754)=0,0,IF(OR(AND(L749=0,BL743&gt;0),AND(L749="ns",BM743&gt;0),AND(L749="ns",BL743=0,BM743=0)),1,IF(OR(AND(BL743&gt;=2,L749&gt;BM743),AND(L749="ns",BM743=0,BL743&gt;0),L749=BM743),0,1)))</f>
        <v>0</v>
      </c>
      <c r="BO743">
        <f>COUNTIF(L759:L776,"NS")</f>
        <v>0</v>
      </c>
      <c r="BP743">
        <f>SUM(L759:L776)</f>
        <v>0</v>
      </c>
      <c r="BQ743">
        <f>IF(COUNTA(L758:L776)=0,0,IF(OR(AND(L758=0,BO743&gt;0),AND(L758="ns",BP743&gt;0),AND(L758="ns",BO743=0,BP743=0)),1,IF(OR(AND(BO743&gt;=2,L758&gt;BP743),AND(L758="ns",BP743=0,BO743&gt;0),L758=BP743),0,1)))</f>
        <v>0</v>
      </c>
      <c r="BR743">
        <f>COUNTIF(L778:L782,"NS")</f>
        <v>0</v>
      </c>
      <c r="BS743">
        <f>SUM(L778:L782)</f>
        <v>0</v>
      </c>
      <c r="BT743">
        <f>IF(COUNTA(L777:L782)=0,0,IF(OR(AND(L777=0,BR743&gt;0),AND(L777="ns",BS743&gt;0),AND(L777="ns",BR743=0,BS743=0)),1,IF(OR(AND(BR743&gt;=2,L777&gt;BS743),AND(L777="ns",BS743=0,BR743&gt;0),L777=BS743),0,1)))</f>
        <v>0</v>
      </c>
      <c r="BU743">
        <f>COUNTIF(L786:L788,"NS")</f>
        <v>0</v>
      </c>
      <c r="BV743">
        <f>SUM(L786:L788)</f>
        <v>0</v>
      </c>
      <c r="BW743">
        <f>IF(COUNTA(L785:L788)=0,0,IF(OR(AND(L785=0,BU743&gt;0),AND(L785="ns",BV743&gt;0),AND(L785="ns",BU743=0,BV743=0)),1,IF(OR(AND(BU743&gt;=2,L785&gt;BV743),AND(L785="ns",BV743=0,BU743&gt;0),L785=BV743),0,1)))</f>
        <v>0</v>
      </c>
      <c r="BX743">
        <f>COUNTIF(L796:L802,"NS")</f>
        <v>0</v>
      </c>
      <c r="BY743">
        <f>SUM(L796:L802)</f>
        <v>0</v>
      </c>
      <c r="BZ743">
        <f>IF(COUNTA(L795:L802)=0,0,IF(OR(AND(L795=0,BX743&gt;0),AND(L795="ns",BY743&gt;0),AND(L795="ns",BX743=0,BY743=0)),1,IF(OR(AND(BX743&gt;=2,L795&gt;BY743),AND(L795="ns",BY743=0,BX743&gt;0),L795=BY743),0,1)))</f>
        <v>0</v>
      </c>
      <c r="CA743">
        <f>COUNTIF(L804:L808,"NS")</f>
        <v>0</v>
      </c>
      <c r="CB743">
        <f>SUM(L804:L808)</f>
        <v>0</v>
      </c>
      <c r="CC743">
        <f>IF(COUNTA(L803:L808)=0,0,IF(OR(AND(L803=0,CA743&gt;0),AND(L803="ns",CB743&gt;0),AND(L803="ns",CA743=0,CB743=0)),1,IF(OR(AND(CA743&gt;=2,L803&gt;CB743),AND(L803="ns",CB743=0,CA743&gt;0),L803=CB743),0,1)))</f>
        <v>0</v>
      </c>
      <c r="CD743">
        <f>COUNTIF(L814:L819,"NS")</f>
        <v>0</v>
      </c>
      <c r="CE743">
        <f>SUM(L814:L819)</f>
        <v>0</v>
      </c>
      <c r="CF743">
        <f>IF(COUNTA(L813:L819)=0,0,IF(OR(AND(L813=0,CD743&gt;0),AND(L813="ns",CE743&gt;0),AND(L813="ns",CD743=0,CE743=0)),1,IF(OR(AND(CD743&gt;=2,L813&gt;CE743),AND(L813="ns",CE743=0,CD743&gt;0),L813=CE743),0,1)))</f>
        <v>0</v>
      </c>
      <c r="CG743">
        <f>COUNTIF(L821:L828,"NS")</f>
        <v>0</v>
      </c>
      <c r="CH743">
        <f>SUM(L821:L828)</f>
        <v>0</v>
      </c>
      <c r="CI743">
        <f>IF(COUNTA(L820:L828)=0,0,IF(OR(AND(L820=0,CG743&gt;0),AND(L820="ns",CH743&gt;0),AND(L820="ns",CG743=0,CH743=0)),1,IF(OR(AND(CG743&gt;=2,L820&gt;CH743),AND(L820="ns",CH743=0,CG743&gt;0),L820=CH743),0,1)))</f>
        <v>0</v>
      </c>
      <c r="CJ743">
        <f>COUNTIF(L833:L838,"NS")</f>
        <v>0</v>
      </c>
      <c r="CK743">
        <f>SUM(L833:L838)</f>
        <v>0</v>
      </c>
      <c r="CL743">
        <f>IF(COUNTA(L832:L838)=0,0,IF(OR(AND(L832=0,CJ743&gt;0),AND(L832="ns",CK743&gt;0),AND(L832="ns",CJ743=0,CK743=0)),1,IF(OR(AND(CJ743&gt;=2,L832&gt;CK743),AND(L832="ns",CK743=0,CJ743&gt;0),L832=CK743),0,1)))</f>
        <v>0</v>
      </c>
      <c r="CM743">
        <f>COUNTIF(L843:L851,"NS")</f>
        <v>0</v>
      </c>
      <c r="CN743">
        <f>SUM(L843:L851)</f>
        <v>0</v>
      </c>
      <c r="CO743">
        <f>IF(COUNTA(L842:L851)=0,0,IF(OR(AND(L842=0,CM743&gt;0),AND(L842="ns",CN743&gt;0),AND(L842="ns",CM743=0,CN743=0)),1,IF(OR(AND(CM743&gt;=2,L842&gt;CN743),AND(L842="ns",CN743=0,CM743&gt;0),L842=CN743),0,1)))</f>
        <v>0</v>
      </c>
      <c r="CP743">
        <f>COUNTIF(L853:L855,"NS")</f>
        <v>0</v>
      </c>
      <c r="CQ743">
        <f>SUM(L853:L855)</f>
        <v>0</v>
      </c>
      <c r="CR743">
        <f>IF(COUNTA(L852:L855)=0,0,IF(OR(AND(L852=0,CP743&gt;0),AND(L852="ns",CQ743&gt;0),AND(L852="ns",CP743=0,CQ743=0)),1,IF(OR(AND(CP743&gt;=2,L852&gt;CQ743),AND(L852="ns",CQ743=0,CP743&gt;0),L852=CQ743),0,1)))</f>
        <v>0</v>
      </c>
      <c r="CS743">
        <f>COUNTIF(L864:L870,"NS")</f>
        <v>0</v>
      </c>
      <c r="CT743">
        <f>SUM(L864:L870)</f>
        <v>0</v>
      </c>
      <c r="CU743">
        <f>IF(COUNTA(L863:L870)=0,0,IF(OR(AND(L863=0,CS743&gt;0),AND(L863="ns",CT743&gt;0),AND(L863="ns",CS743=0,CT743=0)),1,IF(OR(AND(CS743&gt;=2,L863&gt;CT743),AND(L863="ns",CT743=0,CS743&gt;0),L863=CT743),0,1)))</f>
        <v>0</v>
      </c>
      <c r="CV743">
        <f>COUNTIF(L873:L875,"NS")</f>
        <v>0</v>
      </c>
      <c r="CW743">
        <f>SUM(L873:L875)</f>
        <v>0</v>
      </c>
      <c r="CX743">
        <f>IF(COUNTA(L872:L875)=0,0,IF(OR(AND(L872=0,CV743&gt;0),AND(L872="ns",CW743&gt;0),AND(L872="ns",CV743=0,CW743=0)),1,IF(OR(AND(CV743&gt;=2,L872&gt;CW743),AND(L872="ns",CW743=0,CV743&gt;0),L872=CW743),0,1)))</f>
        <v>0</v>
      </c>
      <c r="CY743">
        <f>COUNTIF(L885:L889,"NS")</f>
        <v>0</v>
      </c>
      <c r="CZ743">
        <f>SUM(L885:L889)</f>
        <v>0</v>
      </c>
      <c r="DA743">
        <f>IF(COUNTA(L884:L889)=0,0,IF(OR(AND(L884=0,CY743&gt;0),AND(L884="ns",CZ743&gt;0),AND(L884="ns",CY743=0,CZ743=0)),1,IF(OR(AND(CY743&gt;=2,L884&gt;CZ743),AND(L884="ns",CZ743=0,CY743&gt;0),L884=CZ743),0,1)))</f>
        <v>0</v>
      </c>
    </row>
    <row r="744" spans="1:105" ht="15" customHeight="1">
      <c r="A744" s="206"/>
      <c r="B744" s="201"/>
      <c r="C744" s="1119" t="s">
        <v>4823</v>
      </c>
      <c r="D744" s="1121"/>
      <c r="E744" s="1121"/>
      <c r="F744" s="1120"/>
      <c r="G744" s="100"/>
      <c r="H744" s="100"/>
      <c r="I744" s="100"/>
      <c r="J744" s="100"/>
      <c r="K744" s="100"/>
      <c r="L744" s="100"/>
      <c r="M744" s="100"/>
      <c r="N744" s="100"/>
      <c r="O744" s="100"/>
      <c r="P744" s="100"/>
      <c r="Q744" s="100"/>
      <c r="R744" s="100"/>
      <c r="S744" s="100"/>
      <c r="T744" s="100"/>
      <c r="U744" s="100"/>
      <c r="V744" s="100"/>
      <c r="W744" s="100"/>
      <c r="X744" s="100"/>
      <c r="Y744" s="100"/>
      <c r="Z744" s="100"/>
      <c r="AA744" s="100"/>
      <c r="AB744" s="100"/>
      <c r="AC744" s="100"/>
      <c r="AD744" s="100"/>
      <c r="AF744"/>
      <c r="AG744"/>
      <c r="AH744"/>
      <c r="AI744"/>
      <c r="AJ744"/>
      <c r="AK744">
        <f t="shared" si="293"/>
        <v>0</v>
      </c>
      <c r="AL744">
        <f t="shared" si="294"/>
        <v>0</v>
      </c>
      <c r="AM744">
        <f t="shared" si="316"/>
        <v>0</v>
      </c>
      <c r="AN744">
        <f t="shared" si="295"/>
        <v>0</v>
      </c>
      <c r="AO744">
        <f t="shared" si="296"/>
        <v>0</v>
      </c>
      <c r="AP744">
        <f t="shared" si="297"/>
        <v>0</v>
      </c>
      <c r="AQ744">
        <f t="shared" si="298"/>
        <v>0</v>
      </c>
      <c r="AR744">
        <f t="shared" si="299"/>
        <v>0</v>
      </c>
      <c r="AS744">
        <f t="shared" si="300"/>
        <v>0</v>
      </c>
      <c r="AT744">
        <f t="shared" si="301"/>
        <v>0</v>
      </c>
      <c r="AU744">
        <f t="shared" si="302"/>
        <v>0</v>
      </c>
      <c r="AV744">
        <f t="shared" si="303"/>
        <v>0</v>
      </c>
      <c r="AW744">
        <f t="shared" si="304"/>
        <v>0</v>
      </c>
      <c r="AX744">
        <f t="shared" si="305"/>
        <v>0</v>
      </c>
      <c r="AY744">
        <f t="shared" si="306"/>
        <v>0</v>
      </c>
      <c r="AZ744">
        <f t="shared" si="307"/>
        <v>0</v>
      </c>
      <c r="BA744">
        <f t="shared" si="308"/>
        <v>0</v>
      </c>
      <c r="BB744">
        <f t="shared" si="309"/>
        <v>0</v>
      </c>
      <c r="BC744">
        <f t="shared" si="310"/>
        <v>0</v>
      </c>
      <c r="BD744">
        <f t="shared" si="311"/>
        <v>0</v>
      </c>
      <c r="BE744">
        <f t="shared" si="312"/>
        <v>0</v>
      </c>
      <c r="BF744">
        <f t="shared" si="313"/>
        <v>0</v>
      </c>
      <c r="BG744">
        <f t="shared" si="314"/>
        <v>0</v>
      </c>
      <c r="BH744">
        <f t="shared" si="315"/>
        <v>0</v>
      </c>
      <c r="BI744">
        <f>COUNTIF(M739:M744,"NS")</f>
        <v>0</v>
      </c>
      <c r="BJ744">
        <f>SUM(M739:M744)</f>
        <v>0</v>
      </c>
      <c r="BK744">
        <f>IF(COUNTA(M738:M744)=0,0,IF(OR(AND(M738=0,BI744&gt;0),AND(M738="ns",BJ744&gt;0),AND(M738="ns",BI744=0,BJ744=0)),1,IF(OR(AND(BI744&gt;=2,M738&gt;BJ744),AND(M738="ns",BJ744=0,BI744&gt;0),M738=BJ744),0,1)))</f>
        <v>0</v>
      </c>
      <c r="BL744">
        <f>COUNTIF(M750:M754,"NS")</f>
        <v>0</v>
      </c>
      <c r="BM744">
        <f>SUM(M750:M754)</f>
        <v>0</v>
      </c>
      <c r="BN744">
        <f>IF(COUNTA(M749:M754)=0,0,IF(OR(AND(M749=0,BL744&gt;0),AND(M749="ns",BM744&gt;0),AND(M749="ns",BL744=0,BM744=0)),1,IF(OR(AND(BL744&gt;=2,M749&gt;BM744),AND(M749="ns",BM744=0,BL744&gt;0),M749=BM744),0,1)))</f>
        <v>0</v>
      </c>
      <c r="BO744">
        <f>COUNTIF(M759:M776,"NS")</f>
        <v>0</v>
      </c>
      <c r="BP744">
        <f>SUM(M759:M776)</f>
        <v>0</v>
      </c>
      <c r="BQ744">
        <f>IF(COUNTA(M758:M776)=0,0,IF(OR(AND(M758=0,BO744&gt;0),AND(M758="ns",BP744&gt;0),AND(M758="ns",BO744=0,BP744=0)),1,IF(OR(AND(BO744&gt;=2,M758&gt;BP744),AND(M758="ns",BP744=0,BO744&gt;0),M758=BP744),0,1)))</f>
        <v>0</v>
      </c>
      <c r="BR744">
        <f>COUNTIF(M778:M782,"NS")</f>
        <v>0</v>
      </c>
      <c r="BS744">
        <f>SUM(M778:M782)</f>
        <v>0</v>
      </c>
      <c r="BT744">
        <f>IF(COUNTA(M777:M782)=0,0,IF(OR(AND(M777=0,BR744&gt;0),AND(M777="ns",BS744&gt;0),AND(M777="ns",BR744=0,BS744=0)),1,IF(OR(AND(BR744&gt;=2,M777&gt;BS744),AND(M777="ns",BS744=0,BR744&gt;0),M777=BS744),0,1)))</f>
        <v>0</v>
      </c>
      <c r="BU744">
        <f>COUNTIF(M786:M788,"NS")</f>
        <v>0</v>
      </c>
      <c r="BV744">
        <f>SUM(M786:M788)</f>
        <v>0</v>
      </c>
      <c r="BW744">
        <f>IF(COUNTA(M785:M788)=0,0,IF(OR(AND(M785=0,BU744&gt;0),AND(M785="ns",BV744&gt;0),AND(M785="ns",BU744=0,BV744=0)),1,IF(OR(AND(BU744&gt;=2,M785&gt;BV744),AND(M785="ns",BV744=0,BU744&gt;0),M785=BV744),0,1)))</f>
        <v>0</v>
      </c>
      <c r="BX744">
        <f>COUNTIF(M796:M802,"NS")</f>
        <v>0</v>
      </c>
      <c r="BY744">
        <f>SUM(M796:M802)</f>
        <v>0</v>
      </c>
      <c r="BZ744">
        <f>IF(COUNTA(M795:M802)=0,0,IF(OR(AND(M795=0,BX744&gt;0),AND(M795="ns",BY744&gt;0),AND(M795="ns",BX744=0,BY744=0)),1,IF(OR(AND(BX744&gt;=2,M795&gt;BY744),AND(M795="ns",BY744=0,BX744&gt;0),M795=BY744),0,1)))</f>
        <v>0</v>
      </c>
      <c r="CA744">
        <f>COUNTIF(M804:M808,"NS")</f>
        <v>0</v>
      </c>
      <c r="CB744">
        <f>SUM(M804:M808)</f>
        <v>0</v>
      </c>
      <c r="CC744">
        <f>IF(COUNTA(M803:M808)=0,0,IF(OR(AND(M803=0,CA744&gt;0),AND(M803="ns",CB744&gt;0),AND(M803="ns",CA744=0,CB744=0)),1,IF(OR(AND(CA744&gt;=2,M803&gt;CB744),AND(M803="ns",CB744=0,CA744&gt;0),M803=CB744),0,1)))</f>
        <v>0</v>
      </c>
      <c r="CD744">
        <f>COUNTIF(M814:M819,"NS")</f>
        <v>0</v>
      </c>
      <c r="CE744">
        <f>SUM(M814:M819)</f>
        <v>0</v>
      </c>
      <c r="CF744">
        <f>IF(COUNTA(M813:M819)=0,0,IF(OR(AND(M813=0,CD744&gt;0),AND(M813="ns",CE744&gt;0),AND(M813="ns",CD744=0,CE744=0)),1,IF(OR(AND(CD744&gt;=2,M813&gt;CE744),AND(M813="ns",CE744=0,CD744&gt;0),M813=CE744),0,1)))</f>
        <v>0</v>
      </c>
      <c r="CG744">
        <f>COUNTIF(M821:M828,"NS")</f>
        <v>0</v>
      </c>
      <c r="CH744">
        <f>SUM(M821:M828)</f>
        <v>0</v>
      </c>
      <c r="CI744">
        <f>IF(COUNTA(M820:M828)=0,0,IF(OR(AND(M820=0,CG744&gt;0),AND(M820="ns",CH744&gt;0),AND(M820="ns",CG744=0,CH744=0)),1,IF(OR(AND(CG744&gt;=2,M820&gt;CH744),AND(M820="ns",CH744=0,CG744&gt;0),M820=CH744),0,1)))</f>
        <v>0</v>
      </c>
      <c r="CJ744">
        <f>COUNTIF(M833:M838,"NS")</f>
        <v>0</v>
      </c>
      <c r="CK744">
        <f>SUM(M833:M838)</f>
        <v>0</v>
      </c>
      <c r="CL744">
        <f>IF(COUNTA(M832:M838)=0,0,IF(OR(AND(M832=0,CJ744&gt;0),AND(M832="ns",CK744&gt;0),AND(M832="ns",CJ744=0,CK744=0)),1,IF(OR(AND(CJ744&gt;=2,M832&gt;CK744),AND(M832="ns",CK744=0,CJ744&gt;0),M832=CK744),0,1)))</f>
        <v>0</v>
      </c>
      <c r="CM744">
        <f>COUNTIF(M843:M851,"NS")</f>
        <v>0</v>
      </c>
      <c r="CN744">
        <f>SUM(M843:M851)</f>
        <v>0</v>
      </c>
      <c r="CO744">
        <f>IF(COUNTA(M842:M851)=0,0,IF(OR(AND(M842=0,CM744&gt;0),AND(M842="ns",CN744&gt;0),AND(M842="ns",CM744=0,CN744=0)),1,IF(OR(AND(CM744&gt;=2,M842&gt;CN744),AND(M842="ns",CN744=0,CM744&gt;0),M842=CN744),0,1)))</f>
        <v>0</v>
      </c>
      <c r="CP744">
        <f>COUNTIF(M853:M855,"NS")</f>
        <v>0</v>
      </c>
      <c r="CQ744">
        <f>SUM(M853:M855)</f>
        <v>0</v>
      </c>
      <c r="CR744">
        <f>IF(COUNTA(M852:M855)=0,0,IF(OR(AND(M852=0,CP744&gt;0),AND(M852="ns",CQ744&gt;0),AND(M852="ns",CP744=0,CQ744=0)),1,IF(OR(AND(CP744&gt;=2,M852&gt;CQ744),AND(M852="ns",CQ744=0,CP744&gt;0),M852=CQ744),0,1)))</f>
        <v>0</v>
      </c>
      <c r="CS744">
        <f>COUNTIF(M864:M870,"NS")</f>
        <v>0</v>
      </c>
      <c r="CT744">
        <f>SUM(M864:M870)</f>
        <v>0</v>
      </c>
      <c r="CU744">
        <f>IF(COUNTA(M863:M870)=0,0,IF(OR(AND(M863=0,CS744&gt;0),AND(M863="ns",CT744&gt;0),AND(M863="ns",CS744=0,CT744=0)),1,IF(OR(AND(CS744&gt;=2,M863&gt;CT744),AND(M863="ns",CT744=0,CS744&gt;0),M863=CT744),0,1)))</f>
        <v>0</v>
      </c>
      <c r="CV744">
        <f>COUNTIF(M873:M875,"NS")</f>
        <v>0</v>
      </c>
      <c r="CW744">
        <f>SUM(M873:M875)</f>
        <v>0</v>
      </c>
      <c r="CX744">
        <f>IF(COUNTA(M872:M875)=0,0,IF(OR(AND(M872=0,CV744&gt;0),AND(M872="ns",CW744&gt;0),AND(M872="ns",CV744=0,CW744=0)),1,IF(OR(AND(CV744&gt;=2,M872&gt;CW744),AND(M872="ns",CW744=0,CV744&gt;0),M872=CW744),0,1)))</f>
        <v>0</v>
      </c>
      <c r="CY744">
        <f>COUNTIF(M885:M889,"NS")</f>
        <v>0</v>
      </c>
      <c r="CZ744">
        <f>SUM(M885:M889)</f>
        <v>0</v>
      </c>
      <c r="DA744">
        <f>IF(COUNTA(M884:M889)=0,0,IF(OR(AND(M884=0,CY744&gt;0),AND(M884="ns",CZ744&gt;0),AND(M884="ns",CY744=0,CZ744=0)),1,IF(OR(AND(CY744&gt;=2,M884&gt;CZ744),AND(M884="ns",CZ744=0,CY744&gt;0),M884=CZ744),0,1)))</f>
        <v>0</v>
      </c>
    </row>
    <row r="745" spans="1:105" ht="15" customHeight="1">
      <c r="A745" s="206"/>
      <c r="B745" s="206"/>
      <c r="C745" s="1117" t="s">
        <v>4824</v>
      </c>
      <c r="D745" s="1136"/>
      <c r="E745" s="1136"/>
      <c r="F745" s="1118"/>
      <c r="G745" s="100"/>
      <c r="H745" s="100"/>
      <c r="I745" s="100"/>
      <c r="J745" s="100"/>
      <c r="K745" s="100"/>
      <c r="L745" s="100"/>
      <c r="M745" s="100"/>
      <c r="N745" s="100"/>
      <c r="O745" s="100"/>
      <c r="P745" s="100"/>
      <c r="Q745" s="100"/>
      <c r="R745" s="100"/>
      <c r="S745" s="100"/>
      <c r="T745" s="100"/>
      <c r="U745" s="100"/>
      <c r="V745" s="100"/>
      <c r="W745" s="100"/>
      <c r="X745" s="100"/>
      <c r="Y745" s="100"/>
      <c r="Z745" s="100"/>
      <c r="AA745" s="100"/>
      <c r="AB745" s="100"/>
      <c r="AC745" s="100"/>
      <c r="AD745" s="100"/>
      <c r="AF745"/>
      <c r="AG745"/>
      <c r="AH745"/>
      <c r="AI745"/>
      <c r="AJ745"/>
      <c r="AK745">
        <f t="shared" si="293"/>
        <v>0</v>
      </c>
      <c r="AL745">
        <f t="shared" si="294"/>
        <v>0</v>
      </c>
      <c r="AM745">
        <f t="shared" si="316"/>
        <v>0</v>
      </c>
      <c r="AN745">
        <f t="shared" si="295"/>
        <v>0</v>
      </c>
      <c r="AO745">
        <f t="shared" si="296"/>
        <v>0</v>
      </c>
      <c r="AP745">
        <f t="shared" si="297"/>
        <v>0</v>
      </c>
      <c r="AQ745">
        <f t="shared" si="298"/>
        <v>0</v>
      </c>
      <c r="AR745">
        <f t="shared" si="299"/>
        <v>0</v>
      </c>
      <c r="AS745">
        <f t="shared" si="300"/>
        <v>0</v>
      </c>
      <c r="AT745">
        <f t="shared" si="301"/>
        <v>0</v>
      </c>
      <c r="AU745">
        <f t="shared" si="302"/>
        <v>0</v>
      </c>
      <c r="AV745">
        <f t="shared" si="303"/>
        <v>0</v>
      </c>
      <c r="AW745">
        <f t="shared" si="304"/>
        <v>0</v>
      </c>
      <c r="AX745">
        <f t="shared" si="305"/>
        <v>0</v>
      </c>
      <c r="AY745">
        <f t="shared" si="306"/>
        <v>0</v>
      </c>
      <c r="AZ745">
        <f t="shared" si="307"/>
        <v>0</v>
      </c>
      <c r="BA745">
        <f t="shared" si="308"/>
        <v>0</v>
      </c>
      <c r="BB745">
        <f t="shared" si="309"/>
        <v>0</v>
      </c>
      <c r="BC745">
        <f t="shared" si="310"/>
        <v>0</v>
      </c>
      <c r="BD745">
        <f t="shared" si="311"/>
        <v>0</v>
      </c>
      <c r="BE745">
        <f t="shared" si="312"/>
        <v>0</v>
      </c>
      <c r="BF745">
        <f t="shared" si="313"/>
        <v>0</v>
      </c>
      <c r="BG745">
        <f t="shared" si="314"/>
        <v>0</v>
      </c>
      <c r="BH745">
        <f t="shared" si="315"/>
        <v>0</v>
      </c>
      <c r="BI745">
        <f>COUNTIF(N739:N744,"NS")</f>
        <v>0</v>
      </c>
      <c r="BJ745">
        <f>SUM(N739:N744)</f>
        <v>0</v>
      </c>
      <c r="BK745">
        <f>IF(COUNTA(N738:N744)=0,0,IF(OR(AND(N738=0,BI745&gt;0),AND(N738="ns",BJ745&gt;0),AND(N738="ns",BI745=0,BJ745=0)),1,IF(OR(AND(BI745&gt;=2,N738&gt;BJ745),AND(N738="ns",BJ745=0,BI745&gt;0),N738=BJ745),0,1)))</f>
        <v>0</v>
      </c>
      <c r="BL745">
        <f>COUNTIF(N750:N754,"NS")</f>
        <v>0</v>
      </c>
      <c r="BM745">
        <f>SUM(N750:N754)</f>
        <v>0</v>
      </c>
      <c r="BN745">
        <f>IF(COUNTA(N749:N754)=0,0,IF(OR(AND(N749=0,BL745&gt;0),AND(N749="ns",BM745&gt;0),AND(N749="ns",BL745=0,BM745=0)),1,IF(OR(AND(BL745&gt;=2,N749&gt;BM745),AND(N749="ns",BM745=0,BL745&gt;0),N749=BM745),0,1)))</f>
        <v>0</v>
      </c>
      <c r="BO745">
        <f>COUNTIF(N759:N776,"NS")</f>
        <v>0</v>
      </c>
      <c r="BP745">
        <f>SUM(N759:N776)</f>
        <v>0</v>
      </c>
      <c r="BQ745">
        <f>IF(COUNTA(N758:N776)=0,0,IF(OR(AND(N758=0,BO745&gt;0),AND(N758="ns",BP745&gt;0),AND(N758="ns",BO745=0,BP745=0)),1,IF(OR(AND(BO745&gt;=2,N758&gt;BP745),AND(N758="ns",BP745=0,BO745&gt;0),N758=BP745),0,1)))</f>
        <v>0</v>
      </c>
      <c r="BR745">
        <f>COUNTIF(N778:N782,"NS")</f>
        <v>0</v>
      </c>
      <c r="BS745">
        <f>SUM(N778:N782)</f>
        <v>0</v>
      </c>
      <c r="BT745">
        <f>IF(COUNTA(N777:N782)=0,0,IF(OR(AND(N777=0,BR745&gt;0),AND(N777="ns",BS745&gt;0),AND(N777="ns",BR745=0,BS745=0)),1,IF(OR(AND(BR745&gt;=2,N777&gt;BS745),AND(N777="ns",BS745=0,BR745&gt;0),N777=BS745),0,1)))</f>
        <v>0</v>
      </c>
      <c r="BU745">
        <f>COUNTIF(N786:N788,"NS")</f>
        <v>0</v>
      </c>
      <c r="BV745">
        <f>SUM(N786:N788)</f>
        <v>0</v>
      </c>
      <c r="BW745">
        <f>IF(COUNTA(N785:N788)=0,0,IF(OR(AND(N785=0,BU745&gt;0),AND(N785="ns",BV745&gt;0),AND(N785="ns",BU745=0,BV745=0)),1,IF(OR(AND(BU745&gt;=2,N785&gt;BV745),AND(N785="ns",BV745=0,BU745&gt;0),N785=BV745),0,1)))</f>
        <v>0</v>
      </c>
      <c r="BX745">
        <f>COUNTIF(N796:N802,"NS")</f>
        <v>0</v>
      </c>
      <c r="BY745">
        <f>SUM(N796:N802)</f>
        <v>0</v>
      </c>
      <c r="BZ745">
        <f>IF(COUNTA(N795:N802)=0,0,IF(OR(AND(N795=0,BX745&gt;0),AND(N795="ns",BY745&gt;0),AND(N795="ns",BX745=0,BY745=0)),1,IF(OR(AND(BX745&gt;=2,N795&gt;BY745),AND(N795="ns",BY745=0,BX745&gt;0),N795=BY745),0,1)))</f>
        <v>0</v>
      </c>
      <c r="CA745">
        <f>COUNTIF(N804:N808,"NS")</f>
        <v>0</v>
      </c>
      <c r="CB745">
        <f>SUM(N804:N808)</f>
        <v>0</v>
      </c>
      <c r="CC745">
        <f>IF(COUNTA(N803:N808)=0,0,IF(OR(AND(N803=0,CA745&gt;0),AND(N803="ns",CB745&gt;0),AND(N803="ns",CA745=0,CB745=0)),1,IF(OR(AND(CA745&gt;=2,N803&gt;CB745),AND(N803="ns",CB745=0,CA745&gt;0),N803=CB745),0,1)))</f>
        <v>0</v>
      </c>
      <c r="CD745">
        <f>COUNTIF(N814:N819,"NS")</f>
        <v>0</v>
      </c>
      <c r="CE745">
        <f>SUM(N814:N819)</f>
        <v>0</v>
      </c>
      <c r="CF745">
        <f>IF(COUNTA(N813:N819)=0,0,IF(OR(AND(N813=0,CD745&gt;0),AND(N813="ns",CE745&gt;0),AND(N813="ns",CD745=0,CE745=0)),1,IF(OR(AND(CD745&gt;=2,N813&gt;CE745),AND(N813="ns",CE745=0,CD745&gt;0),N813=CE745),0,1)))</f>
        <v>0</v>
      </c>
      <c r="CG745">
        <f>COUNTIF(N821:N828,"NS")</f>
        <v>0</v>
      </c>
      <c r="CH745">
        <f>SUM(N821:N828)</f>
        <v>0</v>
      </c>
      <c r="CI745">
        <f>IF(COUNTA(N820:N828)=0,0,IF(OR(AND(N820=0,CG745&gt;0),AND(N820="ns",CH745&gt;0),AND(N820="ns",CG745=0,CH745=0)),1,IF(OR(AND(CG745&gt;=2,N820&gt;CH745),AND(N820="ns",CH745=0,CG745&gt;0),N820=CH745),0,1)))</f>
        <v>0</v>
      </c>
      <c r="CJ745">
        <f>COUNTIF(N833:N838,"NS")</f>
        <v>0</v>
      </c>
      <c r="CK745">
        <f>SUM(N833:N838)</f>
        <v>0</v>
      </c>
      <c r="CL745">
        <f>IF(COUNTA(N832:N838)=0,0,IF(OR(AND(N832=0,CJ745&gt;0),AND(N832="ns",CK745&gt;0),AND(N832="ns",CJ745=0,CK745=0)),1,IF(OR(AND(CJ745&gt;=2,N832&gt;CK745),AND(N832="ns",CK745=0,CJ745&gt;0),N832=CK745),0,1)))</f>
        <v>0</v>
      </c>
      <c r="CM745">
        <f>COUNTIF(N843:N851,"NS")</f>
        <v>0</v>
      </c>
      <c r="CN745">
        <f>SUM(N843:N851)</f>
        <v>0</v>
      </c>
      <c r="CO745">
        <f>IF(COUNTA(N842:N851)=0,0,IF(OR(AND(N842=0,CM745&gt;0),AND(N842="ns",CN745&gt;0),AND(N842="ns",CM745=0,CN745=0)),1,IF(OR(AND(CM745&gt;=2,N842&gt;CN745),AND(N842="ns",CN745=0,CM745&gt;0),N842=CN745),0,1)))</f>
        <v>0</v>
      </c>
      <c r="CP745">
        <f>COUNTIF(N853:N855,"NS")</f>
        <v>0</v>
      </c>
      <c r="CQ745">
        <f>SUM(N853:N855)</f>
        <v>0</v>
      </c>
      <c r="CR745">
        <f>IF(COUNTA(N852:N855)=0,0,IF(OR(AND(N852=0,CP745&gt;0),AND(N852="ns",CQ745&gt;0),AND(N852="ns",CP745=0,CQ745=0)),1,IF(OR(AND(CP745&gt;=2,N852&gt;CQ745),AND(N852="ns",CQ745=0,CP745&gt;0),N852=CQ745),0,1)))</f>
        <v>0</v>
      </c>
      <c r="CS745">
        <f>COUNTIF(N864:N870,"NS")</f>
        <v>0</v>
      </c>
      <c r="CT745">
        <f>SUM(N864:N870)</f>
        <v>0</v>
      </c>
      <c r="CU745">
        <f>IF(COUNTA(N863:N870)=0,0,IF(OR(AND(N863=0,CS745&gt;0),AND(N863="ns",CT745&gt;0),AND(N863="ns",CS745=0,CT745=0)),1,IF(OR(AND(CS745&gt;=2,N863&gt;CT745),AND(N863="ns",CT745=0,CS745&gt;0),N863=CT745),0,1)))</f>
        <v>0</v>
      </c>
      <c r="CV745">
        <f>COUNTIF(N873:N875,"NS")</f>
        <v>0</v>
      </c>
      <c r="CW745">
        <f>SUM(N873:N875)</f>
        <v>0</v>
      </c>
      <c r="CX745">
        <f>IF(COUNTA(N872:N875)=0,0,IF(OR(AND(N872=0,CV745&gt;0),AND(N872="ns",CW745&gt;0),AND(N872="ns",CV745=0,CW745=0)),1,IF(OR(AND(CV745&gt;=2,N872&gt;CW745),AND(N872="ns",CW745=0,CV745&gt;0),N872=CW745),0,1)))</f>
        <v>0</v>
      </c>
      <c r="CY745">
        <f>COUNTIF(N885:N889,"NS")</f>
        <v>0</v>
      </c>
      <c r="CZ745">
        <f>SUM(N885:N889)</f>
        <v>0</v>
      </c>
      <c r="DA745">
        <f>IF(COUNTA(N884:N889)=0,0,IF(OR(AND(N884=0,CY745&gt;0),AND(N884="ns",CZ745&gt;0),AND(N884="ns",CY745=0,CZ745=0)),1,IF(OR(AND(CY745&gt;=2,N884&gt;CZ745),AND(N884="ns",CZ745=0,CY745&gt;0),N884=CZ745),0,1)))</f>
        <v>0</v>
      </c>
    </row>
    <row r="746" spans="1:105" ht="15" customHeight="1">
      <c r="A746" s="206"/>
      <c r="B746" s="206"/>
      <c r="C746" s="1117" t="s">
        <v>4828</v>
      </c>
      <c r="D746" s="1136"/>
      <c r="E746" s="1136"/>
      <c r="F746" s="1118"/>
      <c r="G746" s="100"/>
      <c r="H746" s="100"/>
      <c r="I746" s="100"/>
      <c r="J746" s="100"/>
      <c r="K746" s="100"/>
      <c r="L746" s="100"/>
      <c r="M746" s="100"/>
      <c r="N746" s="100"/>
      <c r="O746" s="100"/>
      <c r="P746" s="100"/>
      <c r="Q746" s="100"/>
      <c r="R746" s="100"/>
      <c r="S746" s="100"/>
      <c r="T746" s="100"/>
      <c r="U746" s="100"/>
      <c r="V746" s="100"/>
      <c r="W746" s="100"/>
      <c r="X746" s="100"/>
      <c r="Y746" s="100"/>
      <c r="Z746" s="100"/>
      <c r="AA746" s="100"/>
      <c r="AB746" s="100"/>
      <c r="AC746" s="100"/>
      <c r="AD746" s="100"/>
      <c r="AF746"/>
      <c r="AG746"/>
      <c r="AH746"/>
      <c r="AI746"/>
      <c r="AJ746"/>
      <c r="AK746">
        <f t="shared" si="293"/>
        <v>0</v>
      </c>
      <c r="AL746">
        <f t="shared" si="294"/>
        <v>0</v>
      </c>
      <c r="AM746">
        <f t="shared" si="316"/>
        <v>0</v>
      </c>
      <c r="AN746">
        <f t="shared" si="295"/>
        <v>0</v>
      </c>
      <c r="AO746">
        <f t="shared" si="296"/>
        <v>0</v>
      </c>
      <c r="AP746">
        <f t="shared" si="297"/>
        <v>0</v>
      </c>
      <c r="AQ746">
        <f t="shared" si="298"/>
        <v>0</v>
      </c>
      <c r="AR746">
        <f t="shared" si="299"/>
        <v>0</v>
      </c>
      <c r="AS746">
        <f t="shared" si="300"/>
        <v>0</v>
      </c>
      <c r="AT746">
        <f t="shared" si="301"/>
        <v>0</v>
      </c>
      <c r="AU746">
        <f t="shared" si="302"/>
        <v>0</v>
      </c>
      <c r="AV746">
        <f t="shared" si="303"/>
        <v>0</v>
      </c>
      <c r="AW746">
        <f t="shared" si="304"/>
        <v>0</v>
      </c>
      <c r="AX746">
        <f t="shared" si="305"/>
        <v>0</v>
      </c>
      <c r="AY746">
        <f t="shared" si="306"/>
        <v>0</v>
      </c>
      <c r="AZ746">
        <f t="shared" si="307"/>
        <v>0</v>
      </c>
      <c r="BA746">
        <f t="shared" si="308"/>
        <v>0</v>
      </c>
      <c r="BB746">
        <f t="shared" si="309"/>
        <v>0</v>
      </c>
      <c r="BC746">
        <f t="shared" si="310"/>
        <v>0</v>
      </c>
      <c r="BD746">
        <f t="shared" si="311"/>
        <v>0</v>
      </c>
      <c r="BE746">
        <f t="shared" si="312"/>
        <v>0</v>
      </c>
      <c r="BF746">
        <f t="shared" si="313"/>
        <v>0</v>
      </c>
      <c r="BG746">
        <f t="shared" si="314"/>
        <v>0</v>
      </c>
      <c r="BH746">
        <f t="shared" si="315"/>
        <v>0</v>
      </c>
      <c r="BI746">
        <f>COUNTIF(O739:O744,"NS")</f>
        <v>0</v>
      </c>
      <c r="BJ746">
        <f>SUM(O739:O744)</f>
        <v>0</v>
      </c>
      <c r="BK746">
        <f>IF(COUNTA(O738:O744)=0,0,IF(OR(AND(O738=0,BI746&gt;0),AND(O738="ns",BJ746&gt;0),AND(O738="ns",BI746=0,BJ746=0)),1,IF(OR(AND(BI746&gt;=2,O738&gt;BJ746),AND(O738="ns",BJ746=0,BI746&gt;0),O738=BJ746),0,1)))</f>
        <v>0</v>
      </c>
      <c r="BL746">
        <f>COUNTIF(O750:O754,"NS")</f>
        <v>0</v>
      </c>
      <c r="BM746">
        <f>SUM(O750:O754)</f>
        <v>0</v>
      </c>
      <c r="BN746">
        <f>IF(COUNTA(O749:O754)=0,0,IF(OR(AND(O749=0,BL746&gt;0),AND(O749="ns",BM746&gt;0),AND(O749="ns",BL746=0,BM746=0)),1,IF(OR(AND(BL746&gt;=2,O749&gt;BM746),AND(O749="ns",BM746=0,BL746&gt;0),O749=BM746),0,1)))</f>
        <v>0</v>
      </c>
      <c r="BO746">
        <f>COUNTIF(O759:O776,"NS")</f>
        <v>0</v>
      </c>
      <c r="BP746">
        <f>SUM(O759:O776)</f>
        <v>0</v>
      </c>
      <c r="BQ746">
        <f>IF(COUNTA(O758:O776)=0,0,IF(OR(AND(O758=0,BO746&gt;0),AND(O758="ns",BP746&gt;0),AND(O758="ns",BO746=0,BP746=0)),1,IF(OR(AND(BO746&gt;=2,O758&gt;BP746),AND(O758="ns",BP746=0,BO746&gt;0),O758=BP746),0,1)))</f>
        <v>0</v>
      </c>
      <c r="BR746">
        <f>COUNTIF(O778:O782,"NS")</f>
        <v>0</v>
      </c>
      <c r="BS746">
        <f>SUM(O778:O782)</f>
        <v>0</v>
      </c>
      <c r="BT746">
        <f>IF(COUNTA(O777:O782)=0,0,IF(OR(AND(O777=0,BR746&gt;0),AND(O777="ns",BS746&gt;0),AND(O777="ns",BR746=0,BS746=0)),1,IF(OR(AND(BR746&gt;=2,O777&gt;BS746),AND(O777="ns",BS746=0,BR746&gt;0),O777=BS746),0,1)))</f>
        <v>0</v>
      </c>
      <c r="BU746">
        <f>COUNTIF(O786:O788,"NS")</f>
        <v>0</v>
      </c>
      <c r="BV746">
        <f>SUM(O786:O788)</f>
        <v>0</v>
      </c>
      <c r="BW746">
        <f>IF(COUNTA(O785:O788)=0,0,IF(OR(AND(O785=0,BU746&gt;0),AND(O785="ns",BV746&gt;0),AND(O785="ns",BU746=0,BV746=0)),1,IF(OR(AND(BU746&gt;=2,O785&gt;BV746),AND(O785="ns",BV746=0,BU746&gt;0),O785=BV746),0,1)))</f>
        <v>0</v>
      </c>
      <c r="BX746">
        <f>COUNTIF(O796:O802,"NS")</f>
        <v>0</v>
      </c>
      <c r="BY746">
        <f>SUM(O796:O802)</f>
        <v>0</v>
      </c>
      <c r="BZ746">
        <f>IF(COUNTA(O795:O802)=0,0,IF(OR(AND(O795=0,BX746&gt;0),AND(O795="ns",BY746&gt;0),AND(O795="ns",BX746=0,BY746=0)),1,IF(OR(AND(BX746&gt;=2,O795&gt;BY746),AND(O795="ns",BY746=0,BX746&gt;0),O795=BY746),0,1)))</f>
        <v>0</v>
      </c>
      <c r="CA746">
        <f>COUNTIF(O804:O808,"NS")</f>
        <v>0</v>
      </c>
      <c r="CB746">
        <f>SUM(O804:O808)</f>
        <v>0</v>
      </c>
      <c r="CC746">
        <f>IF(COUNTA(O803:O808)=0,0,IF(OR(AND(O803=0,CA746&gt;0),AND(O803="ns",CB746&gt;0),AND(O803="ns",CA746=0,CB746=0)),1,IF(OR(AND(CA746&gt;=2,O803&gt;CB746),AND(O803="ns",CB746=0,CA746&gt;0),O803=CB746),0,1)))</f>
        <v>0</v>
      </c>
      <c r="CD746">
        <f>COUNTIF(O814:O819,"NS")</f>
        <v>0</v>
      </c>
      <c r="CE746">
        <f>SUM(O814:O819)</f>
        <v>0</v>
      </c>
      <c r="CF746">
        <f>IF(COUNTA(O813:O819)=0,0,IF(OR(AND(O813=0,CD746&gt;0),AND(O813="ns",CE746&gt;0),AND(O813="ns",CD746=0,CE746=0)),1,IF(OR(AND(CD746&gt;=2,O813&gt;CE746),AND(O813="ns",CE746=0,CD746&gt;0),O813=CE746),0,1)))</f>
        <v>0</v>
      </c>
      <c r="CG746">
        <f>COUNTIF(O821:O828,"NS")</f>
        <v>0</v>
      </c>
      <c r="CH746">
        <f>SUM(O821:O828)</f>
        <v>0</v>
      </c>
      <c r="CI746">
        <f>IF(COUNTA(O820:O828)=0,0,IF(OR(AND(O820=0,CG746&gt;0),AND(O820="ns",CH746&gt;0),AND(O820="ns",CG746=0,CH746=0)),1,IF(OR(AND(CG746&gt;=2,O820&gt;CH746),AND(O820="ns",CH746=0,CG746&gt;0),O820=CH746),0,1)))</f>
        <v>0</v>
      </c>
      <c r="CJ746">
        <f>COUNTIF(O833:O838,"NS")</f>
        <v>0</v>
      </c>
      <c r="CK746">
        <f>SUM(O833:O838)</f>
        <v>0</v>
      </c>
      <c r="CL746">
        <f>IF(COUNTA(O832:O838)=0,0,IF(OR(AND(O832=0,CJ746&gt;0),AND(O832="ns",CK746&gt;0),AND(O832="ns",CJ746=0,CK746=0)),1,IF(OR(AND(CJ746&gt;=2,O832&gt;CK746),AND(O832="ns",CK746=0,CJ746&gt;0),O832=CK746),0,1)))</f>
        <v>0</v>
      </c>
      <c r="CM746">
        <f>COUNTIF(O843:O851,"NS")</f>
        <v>0</v>
      </c>
      <c r="CN746">
        <f>SUM(O843:O851)</f>
        <v>0</v>
      </c>
      <c r="CO746">
        <f>IF(COUNTA(O842:O851)=0,0,IF(OR(AND(O842=0,CM746&gt;0),AND(O842="ns",CN746&gt;0),AND(O842="ns",CM746=0,CN746=0)),1,IF(OR(AND(CM746&gt;=2,O842&gt;CN746),AND(O842="ns",CN746=0,CM746&gt;0),O842=CN746),0,1)))</f>
        <v>0</v>
      </c>
      <c r="CP746">
        <f>COUNTIF(O853:O855,"NS")</f>
        <v>0</v>
      </c>
      <c r="CQ746">
        <f>SUM(O853:O855)</f>
        <v>0</v>
      </c>
      <c r="CR746">
        <f>IF(COUNTA(O852:O855)=0,0,IF(OR(AND(O852=0,CP746&gt;0),AND(O852="ns",CQ746&gt;0),AND(O852="ns",CP746=0,CQ746=0)),1,IF(OR(AND(CP746&gt;=2,O852&gt;CQ746),AND(O852="ns",CQ746=0,CP746&gt;0),O852=CQ746),0,1)))</f>
        <v>0</v>
      </c>
      <c r="CS746">
        <f>COUNTIF(O864:O870,"NS")</f>
        <v>0</v>
      </c>
      <c r="CT746">
        <f>SUM(O864:O870)</f>
        <v>0</v>
      </c>
      <c r="CU746">
        <f>IF(COUNTA(O863:O870)=0,0,IF(OR(AND(O863=0,CS746&gt;0),AND(O863="ns",CT746&gt;0),AND(O863="ns",CS746=0,CT746=0)),1,IF(OR(AND(CS746&gt;=2,O863&gt;CT746),AND(O863="ns",CT746=0,CS746&gt;0),O863=CT746),0,1)))</f>
        <v>0</v>
      </c>
      <c r="CV746">
        <f>COUNTIF(O873:O875,"NS")</f>
        <v>0</v>
      </c>
      <c r="CW746">
        <f>SUM(O873:O875)</f>
        <v>0</v>
      </c>
      <c r="CX746">
        <f>IF(COUNTA(O872:O875)=0,0,IF(OR(AND(O872=0,CV746&gt;0),AND(O872="ns",CW746&gt;0),AND(O872="ns",CV746=0,CW746=0)),1,IF(OR(AND(CV746&gt;=2,O872&gt;CW746),AND(O872="ns",CW746=0,CV746&gt;0),O872=CW746),0,1)))</f>
        <v>0</v>
      </c>
      <c r="CY746">
        <f>COUNTIF(O885:O889,"NS")</f>
        <v>0</v>
      </c>
      <c r="CZ746">
        <f>SUM(O885:O889)</f>
        <v>0</v>
      </c>
      <c r="DA746">
        <f>IF(COUNTA(O884:O889)=0,0,IF(OR(AND(O884=0,CY746&gt;0),AND(O884="ns",CZ746&gt;0),AND(O884="ns",CY746=0,CZ746=0)),1,IF(OR(AND(CY746&gt;=2,O884&gt;CZ746),AND(O884="ns",CZ746=0,CY746&gt;0),O884=CZ746),0,1)))</f>
        <v>0</v>
      </c>
    </row>
    <row r="747" spans="1:105" ht="15" customHeight="1">
      <c r="A747" s="206"/>
      <c r="B747" s="206"/>
      <c r="C747" s="1117" t="s">
        <v>4830</v>
      </c>
      <c r="D747" s="1136"/>
      <c r="E747" s="1136"/>
      <c r="F747" s="1118"/>
      <c r="G747" s="100"/>
      <c r="H747" s="100"/>
      <c r="I747" s="100"/>
      <c r="J747" s="100"/>
      <c r="K747" s="100"/>
      <c r="L747" s="100"/>
      <c r="M747" s="100"/>
      <c r="N747" s="100"/>
      <c r="O747" s="100"/>
      <c r="P747" s="100"/>
      <c r="Q747" s="100"/>
      <c r="R747" s="100"/>
      <c r="S747" s="100"/>
      <c r="T747" s="100"/>
      <c r="U747" s="100"/>
      <c r="V747" s="100"/>
      <c r="W747" s="100"/>
      <c r="X747" s="100"/>
      <c r="Y747" s="100"/>
      <c r="Z747" s="100"/>
      <c r="AA747" s="100"/>
      <c r="AB747" s="100"/>
      <c r="AC747" s="100"/>
      <c r="AD747" s="100"/>
      <c r="AF747"/>
      <c r="AG747"/>
      <c r="AH747"/>
      <c r="AI747"/>
      <c r="AJ747"/>
      <c r="AK747">
        <f t="shared" si="293"/>
        <v>0</v>
      </c>
      <c r="AL747">
        <f t="shared" si="294"/>
        <v>0</v>
      </c>
      <c r="AM747">
        <f t="shared" si="316"/>
        <v>0</v>
      </c>
      <c r="AN747">
        <f t="shared" si="295"/>
        <v>0</v>
      </c>
      <c r="AO747">
        <f t="shared" si="296"/>
        <v>0</v>
      </c>
      <c r="AP747">
        <f t="shared" si="297"/>
        <v>0</v>
      </c>
      <c r="AQ747">
        <f t="shared" si="298"/>
        <v>0</v>
      </c>
      <c r="AR747">
        <f t="shared" si="299"/>
        <v>0</v>
      </c>
      <c r="AS747">
        <f t="shared" si="300"/>
        <v>0</v>
      </c>
      <c r="AT747">
        <f t="shared" si="301"/>
        <v>0</v>
      </c>
      <c r="AU747">
        <f t="shared" si="302"/>
        <v>0</v>
      </c>
      <c r="AV747">
        <f t="shared" si="303"/>
        <v>0</v>
      </c>
      <c r="AW747">
        <f t="shared" si="304"/>
        <v>0</v>
      </c>
      <c r="AX747">
        <f t="shared" si="305"/>
        <v>0</v>
      </c>
      <c r="AY747">
        <f t="shared" si="306"/>
        <v>0</v>
      </c>
      <c r="AZ747">
        <f t="shared" si="307"/>
        <v>0</v>
      </c>
      <c r="BA747">
        <f t="shared" si="308"/>
        <v>0</v>
      </c>
      <c r="BB747">
        <f t="shared" si="309"/>
        <v>0</v>
      </c>
      <c r="BC747">
        <f t="shared" si="310"/>
        <v>0</v>
      </c>
      <c r="BD747">
        <f t="shared" si="311"/>
        <v>0</v>
      </c>
      <c r="BE747">
        <f t="shared" si="312"/>
        <v>0</v>
      </c>
      <c r="BF747">
        <f t="shared" si="313"/>
        <v>0</v>
      </c>
      <c r="BG747">
        <f t="shared" si="314"/>
        <v>0</v>
      </c>
      <c r="BH747">
        <f t="shared" si="315"/>
        <v>0</v>
      </c>
      <c r="BI747">
        <f>COUNTIF(P739:P744,"NS")</f>
        <v>0</v>
      </c>
      <c r="BJ747">
        <f>SUM(P739:P744)</f>
        <v>0</v>
      </c>
      <c r="BK747">
        <f>IF(COUNTA(P738:P744)=0,0,IF(OR(AND(P738=0,BI747&gt;0),AND(P738="ns",BJ747&gt;0),AND(P738="ns",BI747=0,BJ747=0)),1,IF(OR(AND(BI747&gt;=2,P738&gt;BJ747),AND(P738="ns",BJ747=0,BI747&gt;0),P738=BJ747),0,1)))</f>
        <v>0</v>
      </c>
      <c r="BL747">
        <f>COUNTIF(P750:P754,"NS")</f>
        <v>0</v>
      </c>
      <c r="BM747">
        <f>SUM(P750:P754)</f>
        <v>0</v>
      </c>
      <c r="BN747">
        <f>IF(COUNTA(P749:P754)=0,0,IF(OR(AND(P749=0,BL747&gt;0),AND(P749="ns",BM747&gt;0),AND(P749="ns",BL747=0,BM747=0)),1,IF(OR(AND(BL747&gt;=2,P749&gt;BM747),AND(P749="ns",BM747=0,BL747&gt;0),P749=BM747),0,1)))</f>
        <v>0</v>
      </c>
      <c r="BO747">
        <f>COUNTIF(P759:P776,"NS")</f>
        <v>0</v>
      </c>
      <c r="BP747">
        <f>SUM(P759:P776)</f>
        <v>0</v>
      </c>
      <c r="BQ747">
        <f>IF(COUNTA(P758:P776)=0,0,IF(OR(AND(P758=0,BO747&gt;0),AND(P758="ns",BP747&gt;0),AND(P758="ns",BO747=0,BP747=0)),1,IF(OR(AND(BO747&gt;=2,P758&gt;BP747),AND(P758="ns",BP747=0,BO747&gt;0),P758=BP747),0,1)))</f>
        <v>0</v>
      </c>
      <c r="BR747">
        <f>COUNTIF(P778:P782,"NS")</f>
        <v>0</v>
      </c>
      <c r="BS747">
        <f>SUM(P778:P782)</f>
        <v>0</v>
      </c>
      <c r="BT747">
        <f>IF(COUNTA(P777:P782)=0,0,IF(OR(AND(P777=0,BR747&gt;0),AND(P777="ns",BS747&gt;0),AND(P777="ns",BR747=0,BS747=0)),1,IF(OR(AND(BR747&gt;=2,P777&gt;BS747),AND(P777="ns",BS747=0,BR747&gt;0),P777=BS747),0,1)))</f>
        <v>0</v>
      </c>
      <c r="BU747">
        <f>COUNTIF(P786:P788,"NS")</f>
        <v>0</v>
      </c>
      <c r="BV747">
        <f>SUM(P786:P788)</f>
        <v>0</v>
      </c>
      <c r="BW747">
        <f>IF(COUNTA(P785:P788)=0,0,IF(OR(AND(P785=0,BU747&gt;0),AND(P785="ns",BV747&gt;0),AND(P785="ns",BU747=0,BV747=0)),1,IF(OR(AND(BU747&gt;=2,P785&gt;BV747),AND(P785="ns",BV747=0,BU747&gt;0),P785=BV747),0,1)))</f>
        <v>0</v>
      </c>
      <c r="BX747">
        <f>COUNTIF(P796:P802,"NS")</f>
        <v>0</v>
      </c>
      <c r="BY747">
        <f>SUM(P796:P802)</f>
        <v>0</v>
      </c>
      <c r="BZ747">
        <f>IF(COUNTA(P795:P802)=0,0,IF(OR(AND(P795=0,BX747&gt;0),AND(P795="ns",BY747&gt;0),AND(P795="ns",BX747=0,BY747=0)),1,IF(OR(AND(BX747&gt;=2,P795&gt;BY747),AND(P795="ns",BY747=0,BX747&gt;0),P795=BY747),0,1)))</f>
        <v>0</v>
      </c>
      <c r="CA747">
        <f>COUNTIF(P804:P808,"NS")</f>
        <v>0</v>
      </c>
      <c r="CB747">
        <f>SUM(P804:P808)</f>
        <v>0</v>
      </c>
      <c r="CC747">
        <f>IF(COUNTA(P803:P808)=0,0,IF(OR(AND(P803=0,CA747&gt;0),AND(P803="ns",CB747&gt;0),AND(P803="ns",CA747=0,CB747=0)),1,IF(OR(AND(CA747&gt;=2,P803&gt;CB747),AND(P803="ns",CB747=0,CA747&gt;0),P803=CB747),0,1)))</f>
        <v>0</v>
      </c>
      <c r="CD747">
        <f>COUNTIF(P814:P819,"NS")</f>
        <v>0</v>
      </c>
      <c r="CE747">
        <f>SUM(P814:P819)</f>
        <v>0</v>
      </c>
      <c r="CF747">
        <f>IF(COUNTA(P813:P819)=0,0,IF(OR(AND(P813=0,CD747&gt;0),AND(P813="ns",CE747&gt;0),AND(P813="ns",CD747=0,CE747=0)),1,IF(OR(AND(CD747&gt;=2,P813&gt;CE747),AND(P813="ns",CE747=0,CD747&gt;0),P813=CE747),0,1)))</f>
        <v>0</v>
      </c>
      <c r="CG747">
        <f>COUNTIF(P821:P828,"NS")</f>
        <v>0</v>
      </c>
      <c r="CH747">
        <f>SUM(P821:P828)</f>
        <v>0</v>
      </c>
      <c r="CI747">
        <f>IF(COUNTA(P820:P828)=0,0,IF(OR(AND(P820=0,CG747&gt;0),AND(P820="ns",CH747&gt;0),AND(P820="ns",CG747=0,CH747=0)),1,IF(OR(AND(CG747&gt;=2,P820&gt;CH747),AND(P820="ns",CH747=0,CG747&gt;0),P820=CH747),0,1)))</f>
        <v>0</v>
      </c>
      <c r="CJ747">
        <f>COUNTIF(P833:P838,"NS")</f>
        <v>0</v>
      </c>
      <c r="CK747">
        <f>SUM(P833:P838)</f>
        <v>0</v>
      </c>
      <c r="CL747">
        <f>IF(COUNTA(P832:P838)=0,0,IF(OR(AND(P832=0,CJ747&gt;0),AND(P832="ns",CK747&gt;0),AND(P832="ns",CJ747=0,CK747=0)),1,IF(OR(AND(CJ747&gt;=2,P832&gt;CK747),AND(P832="ns",CK747=0,CJ747&gt;0),P832=CK747),0,1)))</f>
        <v>0</v>
      </c>
      <c r="CM747">
        <f>COUNTIF(P843:P851,"NS")</f>
        <v>0</v>
      </c>
      <c r="CN747">
        <f>SUM(P843:P851)</f>
        <v>0</v>
      </c>
      <c r="CO747">
        <f>IF(COUNTA(P842:P851)=0,0,IF(OR(AND(P842=0,CM747&gt;0),AND(P842="ns",CN747&gt;0),AND(P842="ns",CM747=0,CN747=0)),1,IF(OR(AND(CM747&gt;=2,P842&gt;CN747),AND(P842="ns",CN747=0,CM747&gt;0),P842=CN747),0,1)))</f>
        <v>0</v>
      </c>
      <c r="CP747">
        <f>COUNTIF(P853:P855,"NS")</f>
        <v>0</v>
      </c>
      <c r="CQ747">
        <f>SUM(P853:P855)</f>
        <v>0</v>
      </c>
      <c r="CR747">
        <f>IF(COUNTA(P852:P855)=0,0,IF(OR(AND(P852=0,CP747&gt;0),AND(P852="ns",CQ747&gt;0),AND(P852="ns",CP747=0,CQ747=0)),1,IF(OR(AND(CP747&gt;=2,P852&gt;CQ747),AND(P852="ns",CQ747=0,CP747&gt;0),P852=CQ747),0,1)))</f>
        <v>0</v>
      </c>
      <c r="CS747">
        <f>COUNTIF(P864:P870,"NS")</f>
        <v>0</v>
      </c>
      <c r="CT747">
        <f>SUM(P864:P870)</f>
        <v>0</v>
      </c>
      <c r="CU747">
        <f>IF(COUNTA(P863:P870)=0,0,IF(OR(AND(P863=0,CS747&gt;0),AND(P863="ns",CT747&gt;0),AND(P863="ns",CS747=0,CT747=0)),1,IF(OR(AND(CS747&gt;=2,P863&gt;CT747),AND(P863="ns",CT747=0,CS747&gt;0),P863=CT747),0,1)))</f>
        <v>0</v>
      </c>
      <c r="CV747">
        <f>COUNTIF(P873:P875,"NS")</f>
        <v>0</v>
      </c>
      <c r="CW747">
        <f>SUM(P873:P875)</f>
        <v>0</v>
      </c>
      <c r="CX747">
        <f>IF(COUNTA(P872:P875)=0,0,IF(OR(AND(P872=0,CV747&gt;0),AND(P872="ns",CW747&gt;0),AND(P872="ns",CV747=0,CW747=0)),1,IF(OR(AND(CV747&gt;=2,P872&gt;CW747),AND(P872="ns",CW747=0,CV747&gt;0),P872=CW747),0,1)))</f>
        <v>0</v>
      </c>
      <c r="CY747">
        <f>COUNTIF(P885:P889,"NS")</f>
        <v>0</v>
      </c>
      <c r="CZ747">
        <f>SUM(P885:P889)</f>
        <v>0</v>
      </c>
      <c r="DA747">
        <f>IF(COUNTA(P884:P889)=0,0,IF(OR(AND(P884=0,CY747&gt;0),AND(P884="ns",CZ747&gt;0),AND(P884="ns",CY747=0,CZ747=0)),1,IF(OR(AND(CY747&gt;=2,P884&gt;CZ747),AND(P884="ns",CZ747=0,CY747&gt;0),P884=CZ747),0,1)))</f>
        <v>0</v>
      </c>
    </row>
    <row r="748" spans="1:105" ht="15" customHeight="1">
      <c r="A748" s="206"/>
      <c r="B748" s="206"/>
      <c r="C748" s="1117" t="s">
        <v>4832</v>
      </c>
      <c r="D748" s="1136"/>
      <c r="E748" s="1136"/>
      <c r="F748" s="1118"/>
      <c r="G748" s="100"/>
      <c r="H748" s="100"/>
      <c r="I748" s="100"/>
      <c r="J748" s="100"/>
      <c r="K748" s="100"/>
      <c r="L748" s="100"/>
      <c r="M748" s="100"/>
      <c r="N748" s="100"/>
      <c r="O748" s="100"/>
      <c r="P748" s="100"/>
      <c r="Q748" s="100"/>
      <c r="R748" s="100"/>
      <c r="S748" s="100"/>
      <c r="T748" s="100"/>
      <c r="U748" s="100"/>
      <c r="V748" s="100"/>
      <c r="W748" s="100"/>
      <c r="X748" s="100"/>
      <c r="Y748" s="100"/>
      <c r="Z748" s="100"/>
      <c r="AA748" s="100"/>
      <c r="AB748" s="100"/>
      <c r="AC748" s="100"/>
      <c r="AD748" s="100"/>
      <c r="AF748"/>
      <c r="AG748"/>
      <c r="AH748"/>
      <c r="AI748"/>
      <c r="AJ748"/>
      <c r="AK748">
        <f t="shared" si="293"/>
        <v>0</v>
      </c>
      <c r="AL748">
        <f t="shared" si="294"/>
        <v>0</v>
      </c>
      <c r="AM748">
        <f t="shared" si="316"/>
        <v>0</v>
      </c>
      <c r="AN748">
        <f t="shared" si="295"/>
        <v>0</v>
      </c>
      <c r="AO748">
        <f t="shared" si="296"/>
        <v>0</v>
      </c>
      <c r="AP748">
        <f t="shared" si="297"/>
        <v>0</v>
      </c>
      <c r="AQ748">
        <f t="shared" si="298"/>
        <v>0</v>
      </c>
      <c r="AR748">
        <f t="shared" si="299"/>
        <v>0</v>
      </c>
      <c r="AS748">
        <f t="shared" si="300"/>
        <v>0</v>
      </c>
      <c r="AT748">
        <f t="shared" si="301"/>
        <v>0</v>
      </c>
      <c r="AU748">
        <f t="shared" si="302"/>
        <v>0</v>
      </c>
      <c r="AV748">
        <f t="shared" si="303"/>
        <v>0</v>
      </c>
      <c r="AW748">
        <f t="shared" si="304"/>
        <v>0</v>
      </c>
      <c r="AX748">
        <f t="shared" si="305"/>
        <v>0</v>
      </c>
      <c r="AY748">
        <f t="shared" si="306"/>
        <v>0</v>
      </c>
      <c r="AZ748">
        <f t="shared" si="307"/>
        <v>0</v>
      </c>
      <c r="BA748">
        <f t="shared" si="308"/>
        <v>0</v>
      </c>
      <c r="BB748">
        <f t="shared" si="309"/>
        <v>0</v>
      </c>
      <c r="BC748">
        <f t="shared" si="310"/>
        <v>0</v>
      </c>
      <c r="BD748">
        <f t="shared" si="311"/>
        <v>0</v>
      </c>
      <c r="BE748">
        <f t="shared" si="312"/>
        <v>0</v>
      </c>
      <c r="BF748">
        <f t="shared" si="313"/>
        <v>0</v>
      </c>
      <c r="BG748">
        <f t="shared" si="314"/>
        <v>0</v>
      </c>
      <c r="BH748">
        <f t="shared" si="315"/>
        <v>0</v>
      </c>
      <c r="BI748">
        <f>COUNTIF(Q739:Q744,"NS")</f>
        <v>0</v>
      </c>
      <c r="BJ748">
        <f>SUM(Q739:Q744)</f>
        <v>0</v>
      </c>
      <c r="BK748">
        <f>IF(COUNTA(Q738:Q744)=0,0,IF(OR(AND(Q738=0,BI748&gt;0),AND(Q738="ns",BJ748&gt;0),AND(Q738="ns",BI748=0,BJ748=0)),1,IF(OR(AND(BI748&gt;=2,Q738&gt;BJ748),AND(Q738="ns",BJ748=0,BI748&gt;0),Q738=BJ748),0,1)))</f>
        <v>0</v>
      </c>
      <c r="BL748">
        <f>COUNTIF(Q750:Q754,"NS")</f>
        <v>0</v>
      </c>
      <c r="BM748">
        <f>SUM(Q750:Q754)</f>
        <v>0</v>
      </c>
      <c r="BN748">
        <f>IF(COUNTA(Q749:Q754)=0,0,IF(OR(AND(Q749=0,BL748&gt;0),AND(Q749="ns",BM748&gt;0),AND(Q749="ns",BL748=0,BM748=0)),1,IF(OR(AND(BL748&gt;=2,Q749&gt;BM748),AND(Q749="ns",BM748=0,BL748&gt;0),Q749=BM748),0,1)))</f>
        <v>0</v>
      </c>
      <c r="BO748">
        <f>COUNTIF(Q759:Q776,"NS")</f>
        <v>0</v>
      </c>
      <c r="BP748">
        <f>SUM(Q759:Q776)</f>
        <v>0</v>
      </c>
      <c r="BQ748">
        <f>IF(COUNTA(Q758:Q776)=0,0,IF(OR(AND(Q758=0,BO748&gt;0),AND(Q758="ns",BP748&gt;0),AND(Q758="ns",BO748=0,BP748=0)),1,IF(OR(AND(BO748&gt;=2,Q758&gt;BP748),AND(Q758="ns",BP748=0,BO748&gt;0),Q758=BP748),0,1)))</f>
        <v>0</v>
      </c>
      <c r="BR748">
        <f>COUNTIF(Q778:Q782,"NS")</f>
        <v>0</v>
      </c>
      <c r="BS748">
        <f>SUM(Q778:Q782)</f>
        <v>0</v>
      </c>
      <c r="BT748">
        <f>IF(COUNTA(Q777:Q782)=0,0,IF(OR(AND(Q777=0,BR748&gt;0),AND(Q777="ns",BS748&gt;0),AND(Q777="ns",BR748=0,BS748=0)),1,IF(OR(AND(BR748&gt;=2,Q777&gt;BS748),AND(Q777="ns",BS748=0,BR748&gt;0),Q777=BS748),0,1)))</f>
        <v>0</v>
      </c>
      <c r="BU748">
        <f>COUNTIF(Q786:Q788,"NS")</f>
        <v>0</v>
      </c>
      <c r="BV748">
        <f>SUM(Q786:Q788)</f>
        <v>0</v>
      </c>
      <c r="BW748">
        <f>IF(COUNTA(Q785:Q788)=0,0,IF(OR(AND(Q785=0,BU748&gt;0),AND(Q785="ns",BV748&gt;0),AND(Q785="ns",BU748=0,BV748=0)),1,IF(OR(AND(BU748&gt;=2,Q785&gt;BV748),AND(Q785="ns",BV748=0,BU748&gt;0),Q785=BV748),0,1)))</f>
        <v>0</v>
      </c>
      <c r="BX748">
        <f>COUNTIF(Q796:Q802,"NS")</f>
        <v>0</v>
      </c>
      <c r="BY748">
        <f>SUM(Q796:Q802)</f>
        <v>0</v>
      </c>
      <c r="BZ748">
        <f>IF(COUNTA(Q795:Q802)=0,0,IF(OR(AND(Q795=0,BX748&gt;0),AND(Q795="ns",BY748&gt;0),AND(Q795="ns",BX748=0,BY748=0)),1,IF(OR(AND(BX748&gt;=2,Q795&gt;BY748),AND(Q795="ns",BY748=0,BX748&gt;0),Q795=BY748),0,1)))</f>
        <v>0</v>
      </c>
      <c r="CA748">
        <f>COUNTIF(Q804:Q808,"NS")</f>
        <v>0</v>
      </c>
      <c r="CB748">
        <f>SUM(Q804:Q808)</f>
        <v>0</v>
      </c>
      <c r="CC748">
        <f>IF(COUNTA(Q803:Q808)=0,0,IF(OR(AND(Q803=0,CA748&gt;0),AND(Q803="ns",CB748&gt;0),AND(Q803="ns",CA748=0,CB748=0)),1,IF(OR(AND(CA748&gt;=2,Q803&gt;CB748),AND(Q803="ns",CB748=0,CA748&gt;0),Q803=CB748),0,1)))</f>
        <v>0</v>
      </c>
      <c r="CD748">
        <f>COUNTIF(Q814:Q819,"NS")</f>
        <v>0</v>
      </c>
      <c r="CE748">
        <f>SUM(Q814:Q819)</f>
        <v>0</v>
      </c>
      <c r="CF748">
        <f>IF(COUNTA(Q813:Q819)=0,0,IF(OR(AND(Q813=0,CD748&gt;0),AND(Q813="ns",CE748&gt;0),AND(Q813="ns",CD748=0,CE748=0)),1,IF(OR(AND(CD748&gt;=2,Q813&gt;CE748),AND(Q813="ns",CE748=0,CD748&gt;0),Q813=CE748),0,1)))</f>
        <v>0</v>
      </c>
      <c r="CG748">
        <f>COUNTIF(Q821:Q828,"NS")</f>
        <v>0</v>
      </c>
      <c r="CH748">
        <f>SUM(Q821:Q828)</f>
        <v>0</v>
      </c>
      <c r="CI748">
        <f>IF(COUNTA(Q820:Q828)=0,0,IF(OR(AND(Q820=0,CG748&gt;0),AND(Q820="ns",CH748&gt;0),AND(Q820="ns",CG748=0,CH748=0)),1,IF(OR(AND(CG748&gt;=2,Q820&gt;CH748),AND(Q820="ns",CH748=0,CG748&gt;0),Q820=CH748),0,1)))</f>
        <v>0</v>
      </c>
      <c r="CJ748">
        <f>COUNTIF(Q833:Q838,"NS")</f>
        <v>0</v>
      </c>
      <c r="CK748">
        <f>SUM(Q833:Q838)</f>
        <v>0</v>
      </c>
      <c r="CL748">
        <f>IF(COUNTA(Q832:Q838)=0,0,IF(OR(AND(Q832=0,CJ748&gt;0),AND(Q832="ns",CK748&gt;0),AND(Q832="ns",CJ748=0,CK748=0)),1,IF(OR(AND(CJ748&gt;=2,Q832&gt;CK748),AND(Q832="ns",CK748=0,CJ748&gt;0),Q832=CK748),0,1)))</f>
        <v>0</v>
      </c>
      <c r="CM748">
        <f>COUNTIF(Q843:Q851,"NS")</f>
        <v>0</v>
      </c>
      <c r="CN748">
        <f>SUM(Q843:Q851)</f>
        <v>0</v>
      </c>
      <c r="CO748">
        <f>IF(COUNTA(Q842:Q851)=0,0,IF(OR(AND(Q842=0,CM748&gt;0),AND(Q842="ns",CN748&gt;0),AND(Q842="ns",CM748=0,CN748=0)),1,IF(OR(AND(CM748&gt;=2,Q842&gt;CN748),AND(Q842="ns",CN748=0,CM748&gt;0),Q842=CN748),0,1)))</f>
        <v>0</v>
      </c>
      <c r="CP748">
        <f>COUNTIF(Q853:Q855,"NS")</f>
        <v>0</v>
      </c>
      <c r="CQ748">
        <f>SUM(Q853:Q855)</f>
        <v>0</v>
      </c>
      <c r="CR748">
        <f>IF(COUNTA(Q852:Q855)=0,0,IF(OR(AND(Q852=0,CP748&gt;0),AND(Q852="ns",CQ748&gt;0),AND(Q852="ns",CP748=0,CQ748=0)),1,IF(OR(AND(CP748&gt;=2,Q852&gt;CQ748),AND(Q852="ns",CQ748=0,CP748&gt;0),Q852=CQ748),0,1)))</f>
        <v>0</v>
      </c>
      <c r="CS748">
        <f>COUNTIF(Q864:Q870,"NS")</f>
        <v>0</v>
      </c>
      <c r="CT748">
        <f>SUM(Q864:Q870)</f>
        <v>0</v>
      </c>
      <c r="CU748">
        <f>IF(COUNTA(Q863:Q870)=0,0,IF(OR(AND(Q863=0,CS748&gt;0),AND(Q863="ns",CT748&gt;0),AND(Q863="ns",CS748=0,CT748=0)),1,IF(OR(AND(CS748&gt;=2,Q863&gt;CT748),AND(Q863="ns",CT748=0,CS748&gt;0),Q863=CT748),0,1)))</f>
        <v>0</v>
      </c>
      <c r="CV748">
        <f>COUNTIF(Q873:Q875,"NS")</f>
        <v>0</v>
      </c>
      <c r="CW748">
        <f>SUM(Q873:Q875)</f>
        <v>0</v>
      </c>
      <c r="CX748">
        <f>IF(COUNTA(Q872:Q875)=0,0,IF(OR(AND(Q872=0,CV748&gt;0),AND(Q872="ns",CW748&gt;0),AND(Q872="ns",CV748=0,CW748=0)),1,IF(OR(AND(CV748&gt;=2,Q872&gt;CW748),AND(Q872="ns",CW748=0,CV748&gt;0),Q872=CW748),0,1)))</f>
        <v>0</v>
      </c>
      <c r="CY748">
        <f>COUNTIF(Q885:Q889,"NS")</f>
        <v>0</v>
      </c>
      <c r="CZ748">
        <f>SUM(Q885:Q889)</f>
        <v>0</v>
      </c>
      <c r="DA748">
        <f>IF(COUNTA(Q884:Q889)=0,0,IF(OR(AND(Q884=0,CY748&gt;0),AND(Q884="ns",CZ748&gt;0),AND(Q884="ns",CY748=0,CZ748=0)),1,IF(OR(AND(CY748&gt;=2,Q884&gt;CZ748),AND(Q884="ns",CZ748=0,CY748&gt;0),Q884=CZ748),0,1)))</f>
        <v>0</v>
      </c>
    </row>
    <row r="749" spans="1:105" ht="15" customHeight="1">
      <c r="A749" s="206"/>
      <c r="B749" s="206"/>
      <c r="C749" s="1117" t="s">
        <v>4834</v>
      </c>
      <c r="D749" s="1136"/>
      <c r="E749" s="1136"/>
      <c r="F749" s="1118"/>
      <c r="G749" s="100"/>
      <c r="H749" s="100"/>
      <c r="I749" s="100"/>
      <c r="J749" s="100"/>
      <c r="K749" s="100"/>
      <c r="L749" s="100"/>
      <c r="M749" s="100"/>
      <c r="N749" s="100"/>
      <c r="O749" s="100"/>
      <c r="P749" s="100"/>
      <c r="Q749" s="100"/>
      <c r="R749" s="100"/>
      <c r="S749" s="100"/>
      <c r="T749" s="100"/>
      <c r="U749" s="100"/>
      <c r="V749" s="100"/>
      <c r="W749" s="100"/>
      <c r="X749" s="100"/>
      <c r="Y749" s="100"/>
      <c r="Z749" s="100"/>
      <c r="AA749" s="100"/>
      <c r="AB749" s="100"/>
      <c r="AC749" s="100"/>
      <c r="AD749" s="100"/>
      <c r="AF749"/>
      <c r="AG749"/>
      <c r="AH749"/>
      <c r="AI749"/>
      <c r="AJ749"/>
      <c r="AK749">
        <f t="shared" si="293"/>
        <v>0</v>
      </c>
      <c r="AL749">
        <f t="shared" si="294"/>
        <v>0</v>
      </c>
      <c r="AM749">
        <f t="shared" si="316"/>
        <v>0</v>
      </c>
      <c r="AN749">
        <f t="shared" si="295"/>
        <v>0</v>
      </c>
      <c r="AO749">
        <f t="shared" si="296"/>
        <v>0</v>
      </c>
      <c r="AP749">
        <f t="shared" si="297"/>
        <v>0</v>
      </c>
      <c r="AQ749">
        <f t="shared" si="298"/>
        <v>0</v>
      </c>
      <c r="AR749">
        <f t="shared" si="299"/>
        <v>0</v>
      </c>
      <c r="AS749">
        <f t="shared" si="300"/>
        <v>0</v>
      </c>
      <c r="AT749">
        <f t="shared" si="301"/>
        <v>0</v>
      </c>
      <c r="AU749">
        <f t="shared" si="302"/>
        <v>0</v>
      </c>
      <c r="AV749">
        <f t="shared" si="303"/>
        <v>0</v>
      </c>
      <c r="AW749">
        <f t="shared" si="304"/>
        <v>0</v>
      </c>
      <c r="AX749">
        <f t="shared" si="305"/>
        <v>0</v>
      </c>
      <c r="AY749">
        <f t="shared" si="306"/>
        <v>0</v>
      </c>
      <c r="AZ749">
        <f t="shared" si="307"/>
        <v>0</v>
      </c>
      <c r="BA749">
        <f t="shared" si="308"/>
        <v>0</v>
      </c>
      <c r="BB749">
        <f t="shared" si="309"/>
        <v>0</v>
      </c>
      <c r="BC749">
        <f t="shared" si="310"/>
        <v>0</v>
      </c>
      <c r="BD749">
        <f t="shared" si="311"/>
        <v>0</v>
      </c>
      <c r="BE749">
        <f t="shared" si="312"/>
        <v>0</v>
      </c>
      <c r="BF749">
        <f t="shared" si="313"/>
        <v>0</v>
      </c>
      <c r="BG749">
        <f t="shared" si="314"/>
        <v>0</v>
      </c>
      <c r="BH749">
        <f t="shared" si="315"/>
        <v>0</v>
      </c>
      <c r="BI749">
        <f>COUNTIF(R739:R744,"NS")</f>
        <v>0</v>
      </c>
      <c r="BJ749">
        <f>SUM(R739:R744)</f>
        <v>0</v>
      </c>
      <c r="BK749">
        <f>IF(COUNTA(R738:R744)=0,0,IF(OR(AND(R738=0,BI749&gt;0),AND(R738="ns",BJ749&gt;0),AND(R738="ns",BI749=0,BJ749=0)),1,IF(OR(AND(BI749&gt;=2,R738&gt;BJ749),AND(R738="ns",BJ749=0,BI749&gt;0),R738=BJ749),0,1)))</f>
        <v>0</v>
      </c>
      <c r="BL749">
        <f>COUNTIF(R750:R754,"NS")</f>
        <v>0</v>
      </c>
      <c r="BM749">
        <f>SUM(R750:R754)</f>
        <v>0</v>
      </c>
      <c r="BN749">
        <f>IF(COUNTA(R749:R754)=0,0,IF(OR(AND(R749=0,BL749&gt;0),AND(R749="ns",BM749&gt;0),AND(R749="ns",BL749=0,BM749=0)),1,IF(OR(AND(BL749&gt;=2,R749&gt;BM749),AND(R749="ns",BM749=0,BL749&gt;0),R749=BM749),0,1)))</f>
        <v>0</v>
      </c>
      <c r="BO749">
        <f>COUNTIF(R759:R776,"NS")</f>
        <v>0</v>
      </c>
      <c r="BP749">
        <f>SUM(R759:R776)</f>
        <v>0</v>
      </c>
      <c r="BQ749">
        <f>IF(COUNTA(R758:R776)=0,0,IF(OR(AND(R758=0,BO749&gt;0),AND(R758="ns",BP749&gt;0),AND(R758="ns",BO749=0,BP749=0)),1,IF(OR(AND(BO749&gt;=2,R758&gt;BP749),AND(R758="ns",BP749=0,BO749&gt;0),R758=BP749),0,1)))</f>
        <v>0</v>
      </c>
      <c r="BR749">
        <f>COUNTIF(R778:R782,"NS")</f>
        <v>0</v>
      </c>
      <c r="BS749">
        <f>SUM(R778:R782)</f>
        <v>0</v>
      </c>
      <c r="BT749">
        <f>IF(COUNTA(R777:R782)=0,0,IF(OR(AND(R777=0,BR749&gt;0),AND(R777="ns",BS749&gt;0),AND(R777="ns",BR749=0,BS749=0)),1,IF(OR(AND(BR749&gt;=2,R777&gt;BS749),AND(R777="ns",BS749=0,BR749&gt;0),R777=BS749),0,1)))</f>
        <v>0</v>
      </c>
      <c r="BU749">
        <f>COUNTIF(R786:R788,"NS")</f>
        <v>0</v>
      </c>
      <c r="BV749">
        <f>SUM(R786:R788)</f>
        <v>0</v>
      </c>
      <c r="BW749">
        <f>IF(COUNTA(R785:R788)=0,0,IF(OR(AND(R785=0,BU749&gt;0),AND(R785="ns",BV749&gt;0),AND(R785="ns",BU749=0,BV749=0)),1,IF(OR(AND(BU749&gt;=2,R785&gt;BV749),AND(R785="ns",BV749=0,BU749&gt;0),R785=BV749),0,1)))</f>
        <v>0</v>
      </c>
      <c r="BX749">
        <f>COUNTIF(R796:R802,"NS")</f>
        <v>0</v>
      </c>
      <c r="BY749">
        <f>SUM(R796:R802)</f>
        <v>0</v>
      </c>
      <c r="BZ749">
        <f>IF(COUNTA(R795:R802)=0,0,IF(OR(AND(R795=0,BX749&gt;0),AND(R795="ns",BY749&gt;0),AND(R795="ns",BX749=0,BY749=0)),1,IF(OR(AND(BX749&gt;=2,R795&gt;BY749),AND(R795="ns",BY749=0,BX749&gt;0),R795=BY749),0,1)))</f>
        <v>0</v>
      </c>
      <c r="CA749">
        <f>COUNTIF(R804:R808,"NS")</f>
        <v>0</v>
      </c>
      <c r="CB749">
        <f>SUM(R804:R808)</f>
        <v>0</v>
      </c>
      <c r="CC749">
        <f>IF(COUNTA(R803:R808)=0,0,IF(OR(AND(R803=0,CA749&gt;0),AND(R803="ns",CB749&gt;0),AND(R803="ns",CA749=0,CB749=0)),1,IF(OR(AND(CA749&gt;=2,R803&gt;CB749),AND(R803="ns",CB749=0,CA749&gt;0),R803=CB749),0,1)))</f>
        <v>0</v>
      </c>
      <c r="CD749">
        <f>COUNTIF(R814:R819,"NS")</f>
        <v>0</v>
      </c>
      <c r="CE749">
        <f>SUM(R814:R819)</f>
        <v>0</v>
      </c>
      <c r="CF749">
        <f>IF(COUNTA(R813:R819)=0,0,IF(OR(AND(R813=0,CD749&gt;0),AND(R813="ns",CE749&gt;0),AND(R813="ns",CD749=0,CE749=0)),1,IF(OR(AND(CD749&gt;=2,R813&gt;CE749),AND(R813="ns",CE749=0,CD749&gt;0),R813=CE749),0,1)))</f>
        <v>0</v>
      </c>
      <c r="CG749">
        <f>COUNTIF(R821:R828,"NS")</f>
        <v>0</v>
      </c>
      <c r="CH749">
        <f>SUM(R821:R828)</f>
        <v>0</v>
      </c>
      <c r="CI749">
        <f>IF(COUNTA(R820:R828)=0,0,IF(OR(AND(R820=0,CG749&gt;0),AND(R820="ns",CH749&gt;0),AND(R820="ns",CG749=0,CH749=0)),1,IF(OR(AND(CG749&gt;=2,R820&gt;CH749),AND(R820="ns",CH749=0,CG749&gt;0),R820=CH749),0,1)))</f>
        <v>0</v>
      </c>
      <c r="CJ749">
        <f>COUNTIF(R833:R838,"NS")</f>
        <v>0</v>
      </c>
      <c r="CK749">
        <f>SUM(R833:R838)</f>
        <v>0</v>
      </c>
      <c r="CL749">
        <f>IF(COUNTA(R832:R838)=0,0,IF(OR(AND(R832=0,CJ749&gt;0),AND(R832="ns",CK749&gt;0),AND(R832="ns",CJ749=0,CK749=0)),1,IF(OR(AND(CJ749&gt;=2,R832&gt;CK749),AND(R832="ns",CK749=0,CJ749&gt;0),R832=CK749),0,1)))</f>
        <v>0</v>
      </c>
      <c r="CM749">
        <f>COUNTIF(R843:R851,"NS")</f>
        <v>0</v>
      </c>
      <c r="CN749">
        <f>SUM(R843:R851)</f>
        <v>0</v>
      </c>
      <c r="CO749">
        <f>IF(COUNTA(R842:R851)=0,0,IF(OR(AND(R842=0,CM749&gt;0),AND(R842="ns",CN749&gt;0),AND(R842="ns",CM749=0,CN749=0)),1,IF(OR(AND(CM749&gt;=2,R842&gt;CN749),AND(R842="ns",CN749=0,CM749&gt;0),R842=CN749),0,1)))</f>
        <v>0</v>
      </c>
      <c r="CP749">
        <f>COUNTIF(R853:R855,"NS")</f>
        <v>0</v>
      </c>
      <c r="CQ749">
        <f>SUM(R853:R855)</f>
        <v>0</v>
      </c>
      <c r="CR749">
        <f>IF(COUNTA(R852:R855)=0,0,IF(OR(AND(R852=0,CP749&gt;0),AND(R852="ns",CQ749&gt;0),AND(R852="ns",CP749=0,CQ749=0)),1,IF(OR(AND(CP749&gt;=2,R852&gt;CQ749),AND(R852="ns",CQ749=0,CP749&gt;0),R852=CQ749),0,1)))</f>
        <v>0</v>
      </c>
      <c r="CS749">
        <f>COUNTIF(R864:R870,"NS")</f>
        <v>0</v>
      </c>
      <c r="CT749">
        <f>SUM(R864:R870)</f>
        <v>0</v>
      </c>
      <c r="CU749">
        <f>IF(COUNTA(R863:R870)=0,0,IF(OR(AND(R863=0,CS749&gt;0),AND(R863="ns",CT749&gt;0),AND(R863="ns",CS749=0,CT749=0)),1,IF(OR(AND(CS749&gt;=2,R863&gt;CT749),AND(R863="ns",CT749=0,CS749&gt;0),R863=CT749),0,1)))</f>
        <v>0</v>
      </c>
      <c r="CV749">
        <f>COUNTIF(R873:R875,"NS")</f>
        <v>0</v>
      </c>
      <c r="CW749">
        <f>SUM(R873:R875)</f>
        <v>0</v>
      </c>
      <c r="CX749">
        <f>IF(COUNTA(R872:R875)=0,0,IF(OR(AND(R872=0,CV749&gt;0),AND(R872="ns",CW749&gt;0),AND(R872="ns",CV749=0,CW749=0)),1,IF(OR(AND(CV749&gt;=2,R872&gt;CW749),AND(R872="ns",CW749=0,CV749&gt;0),R872=CW749),0,1)))</f>
        <v>0</v>
      </c>
      <c r="CY749">
        <f>COUNTIF(R885:R889,"NS")</f>
        <v>0</v>
      </c>
      <c r="CZ749">
        <f>SUM(R885:R889)</f>
        <v>0</v>
      </c>
      <c r="DA749">
        <f>IF(COUNTA(R884:R889)=0,0,IF(OR(AND(R884=0,CY749&gt;0),AND(R884="ns",CZ749&gt;0),AND(R884="ns",CY749=0,CZ749=0)),1,IF(OR(AND(CY749&gt;=2,R884&gt;CZ749),AND(R884="ns",CZ749=0,CY749&gt;0),R884=CZ749),0,1)))</f>
        <v>0</v>
      </c>
    </row>
    <row r="750" spans="1:105" ht="15" customHeight="1">
      <c r="A750" s="206"/>
      <c r="B750" s="201"/>
      <c r="C750" s="1119" t="s">
        <v>4837</v>
      </c>
      <c r="D750" s="1121"/>
      <c r="E750" s="1121"/>
      <c r="F750" s="1120"/>
      <c r="G750" s="100"/>
      <c r="H750" s="100"/>
      <c r="I750" s="100"/>
      <c r="J750" s="100"/>
      <c r="K750" s="100"/>
      <c r="L750" s="100"/>
      <c r="M750" s="100"/>
      <c r="N750" s="100"/>
      <c r="O750" s="100"/>
      <c r="P750" s="100"/>
      <c r="Q750" s="100"/>
      <c r="R750" s="100"/>
      <c r="S750" s="100"/>
      <c r="T750" s="100"/>
      <c r="U750" s="100"/>
      <c r="V750" s="100"/>
      <c r="W750" s="100"/>
      <c r="X750" s="100"/>
      <c r="Y750" s="100"/>
      <c r="Z750" s="100"/>
      <c r="AA750" s="100"/>
      <c r="AB750" s="100"/>
      <c r="AC750" s="100"/>
      <c r="AD750" s="100"/>
      <c r="AF750"/>
      <c r="AG750"/>
      <c r="AH750"/>
      <c r="AI750"/>
      <c r="AJ750"/>
      <c r="AK750">
        <f t="shared" si="293"/>
        <v>0</v>
      </c>
      <c r="AL750">
        <f t="shared" si="294"/>
        <v>0</v>
      </c>
      <c r="AM750">
        <f t="shared" si="316"/>
        <v>0</v>
      </c>
      <c r="AN750">
        <f t="shared" si="295"/>
        <v>0</v>
      </c>
      <c r="AO750">
        <f t="shared" si="296"/>
        <v>0</v>
      </c>
      <c r="AP750">
        <f t="shared" si="297"/>
        <v>0</v>
      </c>
      <c r="AQ750">
        <f t="shared" si="298"/>
        <v>0</v>
      </c>
      <c r="AR750">
        <f t="shared" si="299"/>
        <v>0</v>
      </c>
      <c r="AS750">
        <f t="shared" si="300"/>
        <v>0</v>
      </c>
      <c r="AT750">
        <f t="shared" si="301"/>
        <v>0</v>
      </c>
      <c r="AU750">
        <f t="shared" si="302"/>
        <v>0</v>
      </c>
      <c r="AV750">
        <f t="shared" si="303"/>
        <v>0</v>
      </c>
      <c r="AW750">
        <f t="shared" si="304"/>
        <v>0</v>
      </c>
      <c r="AX750">
        <f t="shared" si="305"/>
        <v>0</v>
      </c>
      <c r="AY750">
        <f t="shared" si="306"/>
        <v>0</v>
      </c>
      <c r="AZ750">
        <f t="shared" si="307"/>
        <v>0</v>
      </c>
      <c r="BA750">
        <f t="shared" si="308"/>
        <v>0</v>
      </c>
      <c r="BB750">
        <f t="shared" si="309"/>
        <v>0</v>
      </c>
      <c r="BC750">
        <f t="shared" si="310"/>
        <v>0</v>
      </c>
      <c r="BD750">
        <f t="shared" si="311"/>
        <v>0</v>
      </c>
      <c r="BE750">
        <f t="shared" si="312"/>
        <v>0</v>
      </c>
      <c r="BF750">
        <f t="shared" si="313"/>
        <v>0</v>
      </c>
      <c r="BG750">
        <f t="shared" si="314"/>
        <v>0</v>
      </c>
      <c r="BH750">
        <f t="shared" si="315"/>
        <v>0</v>
      </c>
      <c r="BI750">
        <f>COUNTIF(S739:S744,"NS")</f>
        <v>0</v>
      </c>
      <c r="BJ750">
        <f>SUM(S739:S744)</f>
        <v>0</v>
      </c>
      <c r="BK750">
        <f>IF(COUNTA(S738:S744)=0,0,IF(OR(AND(S738=0,BI750&gt;0),AND(S738="ns",BJ750&gt;0),AND(S738="ns",BI750=0,BJ750=0)),1,IF(OR(AND(BI750&gt;=2,S738&gt;BJ750),AND(S738="ns",BJ750=0,BI750&gt;0),S738=BJ750),0,1)))</f>
        <v>0</v>
      </c>
      <c r="BL750">
        <f>COUNTIF(S750:S754,"NS")</f>
        <v>0</v>
      </c>
      <c r="BM750">
        <f>SUM(S750:S754)</f>
        <v>0</v>
      </c>
      <c r="BN750">
        <f>IF(COUNTA(S749:S754)=0,0,IF(OR(AND(S749=0,BL750&gt;0),AND(S749="ns",BM750&gt;0),AND(S749="ns",BL750=0,BM750=0)),1,IF(OR(AND(BL750&gt;=2,S749&gt;BM750),AND(S749="ns",BM750=0,BL750&gt;0),S749=BM750),0,1)))</f>
        <v>0</v>
      </c>
      <c r="BO750">
        <f>COUNTIF(S759:S776,"NS")</f>
        <v>0</v>
      </c>
      <c r="BP750">
        <f>SUM(S759:S776)</f>
        <v>0</v>
      </c>
      <c r="BQ750">
        <f>IF(COUNTA(S758:S776)=0,0,IF(OR(AND(S758=0,BO750&gt;0),AND(S758="ns",BP750&gt;0),AND(S758="ns",BO750=0,BP750=0)),1,IF(OR(AND(BO750&gt;=2,S758&gt;BP750),AND(S758="ns",BP750=0,BO750&gt;0),S758=BP750),0,1)))</f>
        <v>0</v>
      </c>
      <c r="BR750">
        <f>COUNTIF(S778:S782,"NS")</f>
        <v>0</v>
      </c>
      <c r="BS750">
        <f>SUM(S778:S782)</f>
        <v>0</v>
      </c>
      <c r="BT750">
        <f>IF(COUNTA(S777:S782)=0,0,IF(OR(AND(S777=0,BR750&gt;0),AND(S777="ns",BS750&gt;0),AND(S777="ns",BR750=0,BS750=0)),1,IF(OR(AND(BR750&gt;=2,S777&gt;BS750),AND(S777="ns",BS750=0,BR750&gt;0),S777=BS750),0,1)))</f>
        <v>0</v>
      </c>
      <c r="BU750">
        <f>COUNTIF(S786:S788,"NS")</f>
        <v>0</v>
      </c>
      <c r="BV750">
        <f>SUM(S786:S788)</f>
        <v>0</v>
      </c>
      <c r="BW750">
        <f>IF(COUNTA(S785:S788)=0,0,IF(OR(AND(S785=0,BU750&gt;0),AND(S785="ns",BV750&gt;0),AND(S785="ns",BU750=0,BV750=0)),1,IF(OR(AND(BU750&gt;=2,S785&gt;BV750),AND(S785="ns",BV750=0,BU750&gt;0),S785=BV750),0,1)))</f>
        <v>0</v>
      </c>
      <c r="BX750">
        <f>COUNTIF(S796:S802,"NS")</f>
        <v>0</v>
      </c>
      <c r="BY750">
        <f>SUM(S796:S802)</f>
        <v>0</v>
      </c>
      <c r="BZ750">
        <f>IF(COUNTA(S795:S802)=0,0,IF(OR(AND(S795=0,BX750&gt;0),AND(S795="ns",BY750&gt;0),AND(S795="ns",BX750=0,BY750=0)),1,IF(OR(AND(BX750&gt;=2,S795&gt;BY750),AND(S795="ns",BY750=0,BX750&gt;0),S795=BY750),0,1)))</f>
        <v>0</v>
      </c>
      <c r="CA750">
        <f>COUNTIF(S804:S808,"NS")</f>
        <v>0</v>
      </c>
      <c r="CB750">
        <f>SUM(S804:S808)</f>
        <v>0</v>
      </c>
      <c r="CC750">
        <f>IF(COUNTA(S803:S808)=0,0,IF(OR(AND(S803=0,CA750&gt;0),AND(S803="ns",CB750&gt;0),AND(S803="ns",CA750=0,CB750=0)),1,IF(OR(AND(CA750&gt;=2,S803&gt;CB750),AND(S803="ns",CB750=0,CA750&gt;0),S803=CB750),0,1)))</f>
        <v>0</v>
      </c>
      <c r="CD750">
        <f>COUNTIF(S814:S819,"NS")</f>
        <v>0</v>
      </c>
      <c r="CE750">
        <f>SUM(S814:S819)</f>
        <v>0</v>
      </c>
      <c r="CF750">
        <f>IF(COUNTA(S813:S819)=0,0,IF(OR(AND(S813=0,CD750&gt;0),AND(S813="ns",CE750&gt;0),AND(S813="ns",CD750=0,CE750=0)),1,IF(OR(AND(CD750&gt;=2,S813&gt;CE750),AND(S813="ns",CE750=0,CD750&gt;0),S813=CE750),0,1)))</f>
        <v>0</v>
      </c>
      <c r="CG750">
        <f>COUNTIF(S821:S828,"NS")</f>
        <v>0</v>
      </c>
      <c r="CH750">
        <f>SUM(S821:S828)</f>
        <v>0</v>
      </c>
      <c r="CI750">
        <f>IF(COUNTA(S820:S828)=0,0,IF(OR(AND(S820=0,CG750&gt;0),AND(S820="ns",CH750&gt;0),AND(S820="ns",CG750=0,CH750=0)),1,IF(OR(AND(CG750&gt;=2,S820&gt;CH750),AND(S820="ns",CH750=0,CG750&gt;0),S820=CH750),0,1)))</f>
        <v>0</v>
      </c>
      <c r="CJ750">
        <f>COUNTIF(S833:S838,"NS")</f>
        <v>0</v>
      </c>
      <c r="CK750">
        <f>SUM(S833:S838)</f>
        <v>0</v>
      </c>
      <c r="CL750">
        <f>IF(COUNTA(S832:S838)=0,0,IF(OR(AND(S832=0,CJ750&gt;0),AND(S832="ns",CK750&gt;0),AND(S832="ns",CJ750=0,CK750=0)),1,IF(OR(AND(CJ750&gt;=2,S832&gt;CK750),AND(S832="ns",CK750=0,CJ750&gt;0),S832=CK750),0,1)))</f>
        <v>0</v>
      </c>
      <c r="CM750">
        <f>COUNTIF(S843:S851,"NS")</f>
        <v>0</v>
      </c>
      <c r="CN750">
        <f>SUM(S843:S851)</f>
        <v>0</v>
      </c>
      <c r="CO750">
        <f>IF(COUNTA(S842:S851)=0,0,IF(OR(AND(S842=0,CM750&gt;0),AND(S842="ns",CN750&gt;0),AND(S842="ns",CM750=0,CN750=0)),1,IF(OR(AND(CM750&gt;=2,S842&gt;CN750),AND(S842="ns",CN750=0,CM750&gt;0),S842=CN750),0,1)))</f>
        <v>0</v>
      </c>
      <c r="CP750">
        <f>COUNTIF(S853:S855,"NS")</f>
        <v>0</v>
      </c>
      <c r="CQ750">
        <f>SUM(S853:S855)</f>
        <v>0</v>
      </c>
      <c r="CR750">
        <f>IF(COUNTA(S852:S855)=0,0,IF(OR(AND(S852=0,CP750&gt;0),AND(S852="ns",CQ750&gt;0),AND(S852="ns",CP750=0,CQ750=0)),1,IF(OR(AND(CP750&gt;=2,S852&gt;CQ750),AND(S852="ns",CQ750=0,CP750&gt;0),S852=CQ750),0,1)))</f>
        <v>0</v>
      </c>
      <c r="CS750">
        <f>COUNTIF(S864:S870,"NS")</f>
        <v>0</v>
      </c>
      <c r="CT750">
        <f>SUM(S864:S870)</f>
        <v>0</v>
      </c>
      <c r="CU750">
        <f>IF(COUNTA(S863:S870)=0,0,IF(OR(AND(S863=0,CS750&gt;0),AND(S863="ns",CT750&gt;0),AND(S863="ns",CS750=0,CT750=0)),1,IF(OR(AND(CS750&gt;=2,S863&gt;CT750),AND(S863="ns",CT750=0,CS750&gt;0),S863=CT750),0,1)))</f>
        <v>0</v>
      </c>
      <c r="CV750">
        <f>COUNTIF(S873:S875,"NS")</f>
        <v>0</v>
      </c>
      <c r="CW750">
        <f>SUM(S873:S875)</f>
        <v>0</v>
      </c>
      <c r="CX750">
        <f>IF(COUNTA(S872:S875)=0,0,IF(OR(AND(S872=0,CV750&gt;0),AND(S872="ns",CW750&gt;0),AND(S872="ns",CV750=0,CW750=0)),1,IF(OR(AND(CV750&gt;=2,S872&gt;CW750),AND(S872="ns",CW750=0,CV750&gt;0),S872=CW750),0,1)))</f>
        <v>0</v>
      </c>
      <c r="CY750">
        <f>COUNTIF(S885:S889,"NS")</f>
        <v>0</v>
      </c>
      <c r="CZ750">
        <f>SUM(S885:S889)</f>
        <v>0</v>
      </c>
      <c r="DA750">
        <f>IF(COUNTA(S884:S889)=0,0,IF(OR(AND(S884=0,CY750&gt;0),AND(S884="ns",CZ750&gt;0),AND(S884="ns",CY750=0,CZ750=0)),1,IF(OR(AND(CY750&gt;=2,S884&gt;CZ750),AND(S884="ns",CZ750=0,CY750&gt;0),S884=CZ750),0,1)))</f>
        <v>0</v>
      </c>
    </row>
    <row r="751" spans="1:105" ht="15" customHeight="1">
      <c r="A751" s="206"/>
      <c r="B751" s="201"/>
      <c r="C751" s="1119" t="s">
        <v>4839</v>
      </c>
      <c r="D751" s="1121"/>
      <c r="E751" s="1121"/>
      <c r="F751" s="1120"/>
      <c r="G751" s="100"/>
      <c r="H751" s="100"/>
      <c r="I751" s="100"/>
      <c r="J751" s="100"/>
      <c r="K751" s="100"/>
      <c r="L751" s="100"/>
      <c r="M751" s="100"/>
      <c r="N751" s="100"/>
      <c r="O751" s="100"/>
      <c r="P751" s="100"/>
      <c r="Q751" s="100"/>
      <c r="R751" s="100"/>
      <c r="S751" s="100"/>
      <c r="T751" s="100"/>
      <c r="U751" s="100"/>
      <c r="V751" s="100"/>
      <c r="W751" s="100"/>
      <c r="X751" s="100"/>
      <c r="Y751" s="100"/>
      <c r="Z751" s="100"/>
      <c r="AA751" s="100"/>
      <c r="AB751" s="100"/>
      <c r="AC751" s="100"/>
      <c r="AD751" s="100"/>
      <c r="AF751"/>
      <c r="AG751"/>
      <c r="AH751"/>
      <c r="AI751"/>
      <c r="AJ751"/>
      <c r="AK751">
        <f t="shared" si="293"/>
        <v>0</v>
      </c>
      <c r="AL751">
        <f t="shared" si="294"/>
        <v>0</v>
      </c>
      <c r="AM751">
        <f t="shared" si="316"/>
        <v>0</v>
      </c>
      <c r="AN751">
        <f t="shared" si="295"/>
        <v>0</v>
      </c>
      <c r="AO751">
        <f t="shared" si="296"/>
        <v>0</v>
      </c>
      <c r="AP751">
        <f t="shared" si="297"/>
        <v>0</v>
      </c>
      <c r="AQ751">
        <f t="shared" si="298"/>
        <v>0</v>
      </c>
      <c r="AR751">
        <f t="shared" si="299"/>
        <v>0</v>
      </c>
      <c r="AS751">
        <f t="shared" si="300"/>
        <v>0</v>
      </c>
      <c r="AT751">
        <f t="shared" si="301"/>
        <v>0</v>
      </c>
      <c r="AU751">
        <f t="shared" si="302"/>
        <v>0</v>
      </c>
      <c r="AV751">
        <f t="shared" si="303"/>
        <v>0</v>
      </c>
      <c r="AW751">
        <f t="shared" si="304"/>
        <v>0</v>
      </c>
      <c r="AX751">
        <f t="shared" si="305"/>
        <v>0</v>
      </c>
      <c r="AY751">
        <f t="shared" si="306"/>
        <v>0</v>
      </c>
      <c r="AZ751">
        <f t="shared" si="307"/>
        <v>0</v>
      </c>
      <c r="BA751">
        <f t="shared" si="308"/>
        <v>0</v>
      </c>
      <c r="BB751">
        <f t="shared" si="309"/>
        <v>0</v>
      </c>
      <c r="BC751">
        <f t="shared" si="310"/>
        <v>0</v>
      </c>
      <c r="BD751">
        <f t="shared" si="311"/>
        <v>0</v>
      </c>
      <c r="BE751">
        <f t="shared" si="312"/>
        <v>0</v>
      </c>
      <c r="BF751">
        <f t="shared" si="313"/>
        <v>0</v>
      </c>
      <c r="BG751">
        <f t="shared" si="314"/>
        <v>0</v>
      </c>
      <c r="BH751">
        <f t="shared" si="315"/>
        <v>0</v>
      </c>
      <c r="BI751">
        <f>COUNTIF(T739:T744,"NS")</f>
        <v>0</v>
      </c>
      <c r="BJ751">
        <f>SUM(T739:T744)</f>
        <v>0</v>
      </c>
      <c r="BK751">
        <f>IF(COUNTA(T738:T744)=0,0,IF(OR(AND(T738=0,BI751&gt;0),AND(T738="ns",BJ751&gt;0),AND(T738="ns",BI751=0,BJ751=0)),1,IF(OR(AND(BI751&gt;=2,T738&gt;BJ751),AND(T738="ns",BJ751=0,BI751&gt;0),T738=BJ751),0,1)))</f>
        <v>0</v>
      </c>
      <c r="BL751">
        <f>COUNTIF(T750:T754,"NS")</f>
        <v>0</v>
      </c>
      <c r="BM751">
        <f>SUM(T750:T754)</f>
        <v>0</v>
      </c>
      <c r="BN751">
        <f>IF(COUNTA(T749:T754)=0,0,IF(OR(AND(T749=0,BL751&gt;0),AND(T749="ns",BM751&gt;0),AND(T749="ns",BL751=0,BM751=0)),1,IF(OR(AND(BL751&gt;=2,T749&gt;BM751),AND(T749="ns",BM751=0,BL751&gt;0),T749=BM751),0,1)))</f>
        <v>0</v>
      </c>
      <c r="BO751">
        <f>COUNTIF(T759:T776,"NS")</f>
        <v>0</v>
      </c>
      <c r="BP751">
        <f>SUM(T759:T776)</f>
        <v>0</v>
      </c>
      <c r="BQ751">
        <f>IF(COUNTA(T758:T776)=0,0,IF(OR(AND(T758=0,BO751&gt;0),AND(T758="ns",BP751&gt;0),AND(T758="ns",BO751=0,BP751=0)),1,IF(OR(AND(BO751&gt;=2,T758&gt;BP751),AND(T758="ns",BP751=0,BO751&gt;0),T758=BP751),0,1)))</f>
        <v>0</v>
      </c>
      <c r="BR751">
        <f>COUNTIF(T778:T782,"NS")</f>
        <v>0</v>
      </c>
      <c r="BS751">
        <f>SUM(T778:T782)</f>
        <v>0</v>
      </c>
      <c r="BT751">
        <f>IF(COUNTA(T777:T782)=0,0,IF(OR(AND(T777=0,BR751&gt;0),AND(T777="ns",BS751&gt;0),AND(T777="ns",BR751=0,BS751=0)),1,IF(OR(AND(BR751&gt;=2,T777&gt;BS751),AND(T777="ns",BS751=0,BR751&gt;0),T777=BS751),0,1)))</f>
        <v>0</v>
      </c>
      <c r="BU751">
        <f>COUNTIF(T786:T788,"NS")</f>
        <v>0</v>
      </c>
      <c r="BV751">
        <f>SUM(T786:T788)</f>
        <v>0</v>
      </c>
      <c r="BW751">
        <f>IF(COUNTA(T785:T788)=0,0,IF(OR(AND(T785=0,BU751&gt;0),AND(T785="ns",BV751&gt;0),AND(T785="ns",BU751=0,BV751=0)),1,IF(OR(AND(BU751&gt;=2,T785&gt;BV751),AND(T785="ns",BV751=0,BU751&gt;0),T785=BV751),0,1)))</f>
        <v>0</v>
      </c>
      <c r="BX751">
        <f>COUNTIF(T796:T802,"NS")</f>
        <v>0</v>
      </c>
      <c r="BY751">
        <f>SUM(T796:T802)</f>
        <v>0</v>
      </c>
      <c r="BZ751">
        <f>IF(COUNTA(T795:T802)=0,0,IF(OR(AND(T795=0,BX751&gt;0),AND(T795="ns",BY751&gt;0),AND(T795="ns",BX751=0,BY751=0)),1,IF(OR(AND(BX751&gt;=2,T795&gt;BY751),AND(T795="ns",BY751=0,BX751&gt;0),T795=BY751),0,1)))</f>
        <v>0</v>
      </c>
      <c r="CA751">
        <f>COUNTIF(T804:T808,"NS")</f>
        <v>0</v>
      </c>
      <c r="CB751">
        <f>SUM(T804:T808)</f>
        <v>0</v>
      </c>
      <c r="CC751">
        <f>IF(COUNTA(T803:T808)=0,0,IF(OR(AND(T803=0,CA751&gt;0),AND(T803="ns",CB751&gt;0),AND(T803="ns",CA751=0,CB751=0)),1,IF(OR(AND(CA751&gt;=2,T803&gt;CB751),AND(T803="ns",CB751=0,CA751&gt;0),T803=CB751),0,1)))</f>
        <v>0</v>
      </c>
      <c r="CD751">
        <f>COUNTIF(T814:T819,"NS")</f>
        <v>0</v>
      </c>
      <c r="CE751">
        <f>SUM(T814:T819)</f>
        <v>0</v>
      </c>
      <c r="CF751">
        <f>IF(COUNTA(T813:T819)=0,0,IF(OR(AND(T813=0,CD751&gt;0),AND(T813="ns",CE751&gt;0),AND(T813="ns",CD751=0,CE751=0)),1,IF(OR(AND(CD751&gt;=2,T813&gt;CE751),AND(T813="ns",CE751=0,CD751&gt;0),T813=CE751),0,1)))</f>
        <v>0</v>
      </c>
      <c r="CG751">
        <f>COUNTIF(T821:T828,"NS")</f>
        <v>0</v>
      </c>
      <c r="CH751">
        <f>SUM(T821:T828)</f>
        <v>0</v>
      </c>
      <c r="CI751">
        <f>IF(COUNTA(T820:T828)=0,0,IF(OR(AND(T820=0,CG751&gt;0),AND(T820="ns",CH751&gt;0),AND(T820="ns",CG751=0,CH751=0)),1,IF(OR(AND(CG751&gt;=2,T820&gt;CH751),AND(T820="ns",CH751=0,CG751&gt;0),T820=CH751),0,1)))</f>
        <v>0</v>
      </c>
      <c r="CJ751">
        <f>COUNTIF(T833:T838,"NS")</f>
        <v>0</v>
      </c>
      <c r="CK751">
        <f>SUM(T833:T838)</f>
        <v>0</v>
      </c>
      <c r="CL751">
        <f>IF(COUNTA(T832:T838)=0,0,IF(OR(AND(T832=0,CJ751&gt;0),AND(T832="ns",CK751&gt;0),AND(T832="ns",CJ751=0,CK751=0)),1,IF(OR(AND(CJ751&gt;=2,T832&gt;CK751),AND(T832="ns",CK751=0,CJ751&gt;0),T832=CK751),0,1)))</f>
        <v>0</v>
      </c>
      <c r="CM751">
        <f>COUNTIF(T843:T851,"NS")</f>
        <v>0</v>
      </c>
      <c r="CN751">
        <f>SUM(T843:T851)</f>
        <v>0</v>
      </c>
      <c r="CO751">
        <f>IF(COUNTA(T842:T851)=0,0,IF(OR(AND(T842=0,CM751&gt;0),AND(T842="ns",CN751&gt;0),AND(T842="ns",CM751=0,CN751=0)),1,IF(OR(AND(CM751&gt;=2,T842&gt;CN751),AND(T842="ns",CN751=0,CM751&gt;0),T842=CN751),0,1)))</f>
        <v>0</v>
      </c>
      <c r="CP751">
        <f>COUNTIF(T853:T855,"NS")</f>
        <v>0</v>
      </c>
      <c r="CQ751">
        <f>SUM(T853:T855)</f>
        <v>0</v>
      </c>
      <c r="CR751">
        <f>IF(COUNTA(T852:T855)=0,0,IF(OR(AND(T852=0,CP751&gt;0),AND(T852="ns",CQ751&gt;0),AND(T852="ns",CP751=0,CQ751=0)),1,IF(OR(AND(CP751&gt;=2,T852&gt;CQ751),AND(T852="ns",CQ751=0,CP751&gt;0),T852=CQ751),0,1)))</f>
        <v>0</v>
      </c>
      <c r="CS751">
        <f>COUNTIF(T864:T870,"NS")</f>
        <v>0</v>
      </c>
      <c r="CT751">
        <f>SUM(T864:T870)</f>
        <v>0</v>
      </c>
      <c r="CU751">
        <f>IF(COUNTA(T863:T870)=0,0,IF(OR(AND(T863=0,CS751&gt;0),AND(T863="ns",CT751&gt;0),AND(T863="ns",CS751=0,CT751=0)),1,IF(OR(AND(CS751&gt;=2,T863&gt;CT751),AND(T863="ns",CT751=0,CS751&gt;0),T863=CT751),0,1)))</f>
        <v>0</v>
      </c>
      <c r="CV751">
        <f>COUNTIF(T873:T875,"NS")</f>
        <v>0</v>
      </c>
      <c r="CW751">
        <f>SUM(T873:T875)</f>
        <v>0</v>
      </c>
      <c r="CX751">
        <f>IF(COUNTA(T872:T875)=0,0,IF(OR(AND(T872=0,CV751&gt;0),AND(T872="ns",CW751&gt;0),AND(T872="ns",CV751=0,CW751=0)),1,IF(OR(AND(CV751&gt;=2,T872&gt;CW751),AND(T872="ns",CW751=0,CV751&gt;0),T872=CW751),0,1)))</f>
        <v>0</v>
      </c>
      <c r="CY751">
        <f>COUNTIF(T885:T889,"NS")</f>
        <v>0</v>
      </c>
      <c r="CZ751">
        <f>SUM(T885:T889)</f>
        <v>0</v>
      </c>
      <c r="DA751">
        <f>IF(COUNTA(T884:T889)=0,0,IF(OR(AND(T884=0,CY751&gt;0),AND(T884="ns",CZ751&gt;0),AND(T884="ns",CY751=0,CZ751=0)),1,IF(OR(AND(CY751&gt;=2,T884&gt;CZ751),AND(T884="ns",CZ751=0,CY751&gt;0),T884=CZ751),0,1)))</f>
        <v>0</v>
      </c>
    </row>
    <row r="752" spans="1:105" ht="15" customHeight="1">
      <c r="A752" s="206"/>
      <c r="B752" s="201"/>
      <c r="C752" s="1119" t="s">
        <v>4841</v>
      </c>
      <c r="D752" s="1121"/>
      <c r="E752" s="1121"/>
      <c r="F752" s="1120"/>
      <c r="G752" s="100"/>
      <c r="H752" s="100"/>
      <c r="I752" s="100"/>
      <c r="J752" s="100"/>
      <c r="K752" s="100"/>
      <c r="L752" s="100"/>
      <c r="M752" s="100"/>
      <c r="N752" s="100"/>
      <c r="O752" s="100"/>
      <c r="P752" s="100"/>
      <c r="Q752" s="100"/>
      <c r="R752" s="100"/>
      <c r="S752" s="100"/>
      <c r="T752" s="100"/>
      <c r="U752" s="100"/>
      <c r="V752" s="100"/>
      <c r="W752" s="100"/>
      <c r="X752" s="100"/>
      <c r="Y752" s="100"/>
      <c r="Z752" s="100"/>
      <c r="AA752" s="100"/>
      <c r="AB752" s="100"/>
      <c r="AC752" s="100"/>
      <c r="AD752" s="100"/>
      <c r="AF752"/>
      <c r="AG752"/>
      <c r="AH752"/>
      <c r="AI752"/>
      <c r="AJ752"/>
      <c r="AK752">
        <f t="shared" si="293"/>
        <v>0</v>
      </c>
      <c r="AL752">
        <f t="shared" si="294"/>
        <v>0</v>
      </c>
      <c r="AM752">
        <f t="shared" si="316"/>
        <v>0</v>
      </c>
      <c r="AN752">
        <f t="shared" si="295"/>
        <v>0</v>
      </c>
      <c r="AO752">
        <f t="shared" si="296"/>
        <v>0</v>
      </c>
      <c r="AP752">
        <f t="shared" si="297"/>
        <v>0</v>
      </c>
      <c r="AQ752">
        <f t="shared" si="298"/>
        <v>0</v>
      </c>
      <c r="AR752">
        <f t="shared" si="299"/>
        <v>0</v>
      </c>
      <c r="AS752">
        <f t="shared" si="300"/>
        <v>0</v>
      </c>
      <c r="AT752">
        <f t="shared" si="301"/>
        <v>0</v>
      </c>
      <c r="AU752">
        <f t="shared" si="302"/>
        <v>0</v>
      </c>
      <c r="AV752">
        <f t="shared" si="303"/>
        <v>0</v>
      </c>
      <c r="AW752">
        <f t="shared" si="304"/>
        <v>0</v>
      </c>
      <c r="AX752">
        <f t="shared" si="305"/>
        <v>0</v>
      </c>
      <c r="AY752">
        <f t="shared" si="306"/>
        <v>0</v>
      </c>
      <c r="AZ752">
        <f t="shared" si="307"/>
        <v>0</v>
      </c>
      <c r="BA752">
        <f t="shared" si="308"/>
        <v>0</v>
      </c>
      <c r="BB752">
        <f t="shared" si="309"/>
        <v>0</v>
      </c>
      <c r="BC752">
        <f t="shared" si="310"/>
        <v>0</v>
      </c>
      <c r="BD752">
        <f t="shared" si="311"/>
        <v>0</v>
      </c>
      <c r="BE752">
        <f t="shared" si="312"/>
        <v>0</v>
      </c>
      <c r="BF752">
        <f t="shared" si="313"/>
        <v>0</v>
      </c>
      <c r="BG752">
        <f t="shared" si="314"/>
        <v>0</v>
      </c>
      <c r="BH752">
        <f t="shared" si="315"/>
        <v>0</v>
      </c>
      <c r="BI752">
        <f>COUNTIF(U739:U744,"NS")</f>
        <v>0</v>
      </c>
      <c r="BJ752">
        <f>SUM(U739:U744)</f>
        <v>0</v>
      </c>
      <c r="BK752">
        <f>IF(COUNTA(U738:U744)=0,0,IF(OR(AND(U738=0,BI752&gt;0),AND(U738="ns",BJ752&gt;0),AND(U738="ns",BI752=0,BJ752=0)),1,IF(OR(AND(BI752&gt;=2,U738&gt;BJ752),AND(U738="ns",BJ752=0,BI752&gt;0),U738=BJ752),0,1)))</f>
        <v>0</v>
      </c>
      <c r="BL752">
        <f>COUNTIF(U750:U754,"NS")</f>
        <v>0</v>
      </c>
      <c r="BM752">
        <f>SUM(U750:U754)</f>
        <v>0</v>
      </c>
      <c r="BN752">
        <f>IF(COUNTA(U749:U754)=0,0,IF(OR(AND(U749=0,BL752&gt;0),AND(U749="ns",BM752&gt;0),AND(U749="ns",BL752=0,BM752=0)),1,IF(OR(AND(BL752&gt;=2,U749&gt;BM752),AND(U749="ns",BM752=0,BL752&gt;0),U749=BM752),0,1)))</f>
        <v>0</v>
      </c>
      <c r="BO752">
        <f>COUNTIF(U759:U776,"NS")</f>
        <v>0</v>
      </c>
      <c r="BP752">
        <f>SUM(U759:U776)</f>
        <v>0</v>
      </c>
      <c r="BQ752">
        <f>IF(COUNTA(U758:U776)=0,0,IF(OR(AND(U758=0,BO752&gt;0),AND(U758="ns",BP752&gt;0),AND(U758="ns",BO752=0,BP752=0)),1,IF(OR(AND(BO752&gt;=2,U758&gt;BP752),AND(U758="ns",BP752=0,BO752&gt;0),U758=BP752),0,1)))</f>
        <v>0</v>
      </c>
      <c r="BR752">
        <f>COUNTIF(U778:U782,"NS")</f>
        <v>0</v>
      </c>
      <c r="BS752">
        <f>SUM(U778:U782)</f>
        <v>0</v>
      </c>
      <c r="BT752">
        <f>IF(COUNTA(U777:U782)=0,0,IF(OR(AND(U777=0,BR752&gt;0),AND(U777="ns",BS752&gt;0),AND(U777="ns",BR752=0,BS752=0)),1,IF(OR(AND(BR752&gt;=2,U777&gt;BS752),AND(U777="ns",BS752=0,BR752&gt;0),U777=BS752),0,1)))</f>
        <v>0</v>
      </c>
      <c r="BU752">
        <f>COUNTIF(U786:U788,"NS")</f>
        <v>0</v>
      </c>
      <c r="BV752">
        <f>SUM(U786:U788)</f>
        <v>0</v>
      </c>
      <c r="BW752">
        <f>IF(COUNTA(U785:U788)=0,0,IF(OR(AND(U785=0,BU752&gt;0),AND(U785="ns",BV752&gt;0),AND(U785="ns",BU752=0,BV752=0)),1,IF(OR(AND(BU752&gt;=2,U785&gt;BV752),AND(U785="ns",BV752=0,BU752&gt;0),U785=BV752),0,1)))</f>
        <v>0</v>
      </c>
      <c r="BX752">
        <f>COUNTIF(U796:U802,"NS")</f>
        <v>0</v>
      </c>
      <c r="BY752">
        <f>SUM(U796:U802)</f>
        <v>0</v>
      </c>
      <c r="BZ752">
        <f>IF(COUNTA(U795:U802)=0,0,IF(OR(AND(U795=0,BX752&gt;0),AND(U795="ns",BY752&gt;0),AND(U795="ns",BX752=0,BY752=0)),1,IF(OR(AND(BX752&gt;=2,U795&gt;BY752),AND(U795="ns",BY752=0,BX752&gt;0),U795=BY752),0,1)))</f>
        <v>0</v>
      </c>
      <c r="CA752">
        <f>COUNTIF(U804:U808,"NS")</f>
        <v>0</v>
      </c>
      <c r="CB752">
        <f>SUM(U804:U808)</f>
        <v>0</v>
      </c>
      <c r="CC752">
        <f>IF(COUNTA(U803:U808)=0,0,IF(OR(AND(U803=0,CA752&gt;0),AND(U803="ns",CB752&gt;0),AND(U803="ns",CA752=0,CB752=0)),1,IF(OR(AND(CA752&gt;=2,U803&gt;CB752),AND(U803="ns",CB752=0,CA752&gt;0),U803=CB752),0,1)))</f>
        <v>0</v>
      </c>
      <c r="CD752">
        <f>COUNTIF(U814:U819,"NS")</f>
        <v>0</v>
      </c>
      <c r="CE752">
        <f>SUM(U814:U819)</f>
        <v>0</v>
      </c>
      <c r="CF752">
        <f>IF(COUNTA(U813:U819)=0,0,IF(OR(AND(U813=0,CD752&gt;0),AND(U813="ns",CE752&gt;0),AND(U813="ns",CD752=0,CE752=0)),1,IF(OR(AND(CD752&gt;=2,U813&gt;CE752),AND(U813="ns",CE752=0,CD752&gt;0),U813=CE752),0,1)))</f>
        <v>0</v>
      </c>
      <c r="CG752">
        <f>COUNTIF(U821:U828,"NS")</f>
        <v>0</v>
      </c>
      <c r="CH752">
        <f>SUM(U821:U828)</f>
        <v>0</v>
      </c>
      <c r="CI752">
        <f>IF(COUNTA(U820:U828)=0,0,IF(OR(AND(U820=0,CG752&gt;0),AND(U820="ns",CH752&gt;0),AND(U820="ns",CG752=0,CH752=0)),1,IF(OR(AND(CG752&gt;=2,U820&gt;CH752),AND(U820="ns",CH752=0,CG752&gt;0),U820=CH752),0,1)))</f>
        <v>0</v>
      </c>
      <c r="CJ752">
        <f>COUNTIF(U833:U838,"NS")</f>
        <v>0</v>
      </c>
      <c r="CK752">
        <f>SUM(U833:U838)</f>
        <v>0</v>
      </c>
      <c r="CL752">
        <f>IF(COUNTA(U832:U838)=0,0,IF(OR(AND(U832=0,CJ752&gt;0),AND(U832="ns",CK752&gt;0),AND(U832="ns",CJ752=0,CK752=0)),1,IF(OR(AND(CJ752&gt;=2,U832&gt;CK752),AND(U832="ns",CK752=0,CJ752&gt;0),U832=CK752),0,1)))</f>
        <v>0</v>
      </c>
      <c r="CM752">
        <f>COUNTIF(U843:U851,"NS")</f>
        <v>0</v>
      </c>
      <c r="CN752">
        <f>SUM(U843:U851)</f>
        <v>0</v>
      </c>
      <c r="CO752">
        <f>IF(COUNTA(U842:U851)=0,0,IF(OR(AND(U842=0,CM752&gt;0),AND(U842="ns",CN752&gt;0),AND(U842="ns",CM752=0,CN752=0)),1,IF(OR(AND(CM752&gt;=2,U842&gt;CN752),AND(U842="ns",CN752=0,CM752&gt;0),U842=CN752),0,1)))</f>
        <v>0</v>
      </c>
      <c r="CP752">
        <f>COUNTIF(U853:U855,"NS")</f>
        <v>0</v>
      </c>
      <c r="CQ752">
        <f>SUM(U853:U855)</f>
        <v>0</v>
      </c>
      <c r="CR752">
        <f>IF(COUNTA(U852:U855)=0,0,IF(OR(AND(U852=0,CP752&gt;0),AND(U852="ns",CQ752&gt;0),AND(U852="ns",CP752=0,CQ752=0)),1,IF(OR(AND(CP752&gt;=2,U852&gt;CQ752),AND(U852="ns",CQ752=0,CP752&gt;0),U852=CQ752),0,1)))</f>
        <v>0</v>
      </c>
      <c r="CS752">
        <f>COUNTIF(U864:U870,"NS")</f>
        <v>0</v>
      </c>
      <c r="CT752">
        <f>SUM(U864:U870)</f>
        <v>0</v>
      </c>
      <c r="CU752">
        <f>IF(COUNTA(U863:U870)=0,0,IF(OR(AND(U863=0,CS752&gt;0),AND(U863="ns",CT752&gt;0),AND(U863="ns",CS752=0,CT752=0)),1,IF(OR(AND(CS752&gt;=2,U863&gt;CT752),AND(U863="ns",CT752=0,CS752&gt;0),U863=CT752),0,1)))</f>
        <v>0</v>
      </c>
      <c r="CV752">
        <f>COUNTIF(U873:U875,"NS")</f>
        <v>0</v>
      </c>
      <c r="CW752">
        <f>SUM(U873:U875)</f>
        <v>0</v>
      </c>
      <c r="CX752">
        <f>IF(COUNTA(U872:U875)=0,0,IF(OR(AND(U872=0,CV752&gt;0),AND(U872="ns",CW752&gt;0),AND(U872="ns",CV752=0,CW752=0)),1,IF(OR(AND(CV752&gt;=2,U872&gt;CW752),AND(U872="ns",CW752=0,CV752&gt;0),U872=CW752),0,1)))</f>
        <v>0</v>
      </c>
      <c r="CY752">
        <f>COUNTIF(U885:U889,"NS")</f>
        <v>0</v>
      </c>
      <c r="CZ752">
        <f>SUM(U885:U889)</f>
        <v>0</v>
      </c>
      <c r="DA752">
        <f>IF(COUNTA(U884:U889)=0,0,IF(OR(AND(U884=0,CY752&gt;0),AND(U884="ns",CZ752&gt;0),AND(U884="ns",CY752=0,CZ752=0)),1,IF(OR(AND(CY752&gt;=2,U884&gt;CZ752),AND(U884="ns",CZ752=0,CY752&gt;0),U884=CZ752),0,1)))</f>
        <v>0</v>
      </c>
    </row>
    <row r="753" spans="1:105" ht="15" customHeight="1">
      <c r="A753" s="206"/>
      <c r="B753" s="201"/>
      <c r="C753" s="1119" t="s">
        <v>4843</v>
      </c>
      <c r="D753" s="1121"/>
      <c r="E753" s="1121"/>
      <c r="F753" s="1120"/>
      <c r="G753" s="100"/>
      <c r="H753" s="100"/>
      <c r="I753" s="100"/>
      <c r="J753" s="100"/>
      <c r="K753" s="100"/>
      <c r="L753" s="100"/>
      <c r="M753" s="100"/>
      <c r="N753" s="100"/>
      <c r="O753" s="100"/>
      <c r="P753" s="100"/>
      <c r="Q753" s="100"/>
      <c r="R753" s="100"/>
      <c r="S753" s="100"/>
      <c r="T753" s="100"/>
      <c r="U753" s="100"/>
      <c r="V753" s="100"/>
      <c r="W753" s="100"/>
      <c r="X753" s="100"/>
      <c r="Y753" s="100"/>
      <c r="Z753" s="100"/>
      <c r="AA753" s="100"/>
      <c r="AB753" s="100"/>
      <c r="AC753" s="100"/>
      <c r="AD753" s="100"/>
      <c r="AF753"/>
      <c r="AG753"/>
      <c r="AH753"/>
      <c r="AI753"/>
      <c r="AJ753"/>
      <c r="AK753">
        <f t="shared" si="293"/>
        <v>0</v>
      </c>
      <c r="AL753">
        <f t="shared" si="294"/>
        <v>0</v>
      </c>
      <c r="AM753">
        <f t="shared" si="316"/>
        <v>0</v>
      </c>
      <c r="AN753">
        <f t="shared" si="295"/>
        <v>0</v>
      </c>
      <c r="AO753">
        <f t="shared" si="296"/>
        <v>0</v>
      </c>
      <c r="AP753">
        <f t="shared" si="297"/>
        <v>0</v>
      </c>
      <c r="AQ753">
        <f t="shared" si="298"/>
        <v>0</v>
      </c>
      <c r="AR753">
        <f t="shared" si="299"/>
        <v>0</v>
      </c>
      <c r="AS753">
        <f t="shared" si="300"/>
        <v>0</v>
      </c>
      <c r="AT753">
        <f t="shared" si="301"/>
        <v>0</v>
      </c>
      <c r="AU753">
        <f t="shared" si="302"/>
        <v>0</v>
      </c>
      <c r="AV753">
        <f t="shared" si="303"/>
        <v>0</v>
      </c>
      <c r="AW753">
        <f t="shared" si="304"/>
        <v>0</v>
      </c>
      <c r="AX753">
        <f t="shared" si="305"/>
        <v>0</v>
      </c>
      <c r="AY753">
        <f t="shared" si="306"/>
        <v>0</v>
      </c>
      <c r="AZ753">
        <f t="shared" si="307"/>
        <v>0</v>
      </c>
      <c r="BA753">
        <f t="shared" si="308"/>
        <v>0</v>
      </c>
      <c r="BB753">
        <f t="shared" si="309"/>
        <v>0</v>
      </c>
      <c r="BC753">
        <f t="shared" si="310"/>
        <v>0</v>
      </c>
      <c r="BD753">
        <f t="shared" si="311"/>
        <v>0</v>
      </c>
      <c r="BE753">
        <f t="shared" si="312"/>
        <v>0</v>
      </c>
      <c r="BF753">
        <f t="shared" si="313"/>
        <v>0</v>
      </c>
      <c r="BG753">
        <f t="shared" si="314"/>
        <v>0</v>
      </c>
      <c r="BH753">
        <f t="shared" si="315"/>
        <v>0</v>
      </c>
      <c r="BI753">
        <f>COUNTIF(V739:V744,"NS")</f>
        <v>0</v>
      </c>
      <c r="BJ753">
        <f>SUM(V739:V744)</f>
        <v>0</v>
      </c>
      <c r="BK753">
        <f>IF(COUNTA(V738:V744)=0,0,IF(OR(AND(V738=0,BI753&gt;0),AND(V738="ns",BJ753&gt;0),AND(V738="ns",BI753=0,BJ753=0)),1,IF(OR(AND(BI753&gt;=2,V738&gt;BJ753),AND(V738="ns",BJ753=0,BI753&gt;0),V738=BJ753),0,1)))</f>
        <v>0</v>
      </c>
      <c r="BL753">
        <f>COUNTIF(V750:V754,"NS")</f>
        <v>0</v>
      </c>
      <c r="BM753">
        <f>SUM(V750:V754)</f>
        <v>0</v>
      </c>
      <c r="BN753">
        <f>IF(COUNTA(V749:V754)=0,0,IF(OR(AND(V749=0,BL753&gt;0),AND(V749="ns",BM753&gt;0),AND(V749="ns",BL753=0,BM753=0)),1,IF(OR(AND(BL753&gt;=2,V749&gt;BM753),AND(V749="ns",BM753=0,BL753&gt;0),V749=BM753),0,1)))</f>
        <v>0</v>
      </c>
      <c r="BO753">
        <f>COUNTIF(V759:V776,"NS")</f>
        <v>0</v>
      </c>
      <c r="BP753">
        <f>SUM(V759:V776)</f>
        <v>0</v>
      </c>
      <c r="BQ753">
        <f>IF(COUNTA(V758:V776)=0,0,IF(OR(AND(V758=0,BO753&gt;0),AND(V758="ns",BP753&gt;0),AND(V758="ns",BO753=0,BP753=0)),1,IF(OR(AND(BO753&gt;=2,V758&gt;BP753),AND(V758="ns",BP753=0,BO753&gt;0),V758=BP753),0,1)))</f>
        <v>0</v>
      </c>
      <c r="BR753">
        <f>COUNTIF(V778:V782,"NS")</f>
        <v>0</v>
      </c>
      <c r="BS753">
        <f>SUM(V778:V782)</f>
        <v>0</v>
      </c>
      <c r="BT753">
        <f>IF(COUNTA(V777:V782)=0,0,IF(OR(AND(V777=0,BR753&gt;0),AND(V777="ns",BS753&gt;0),AND(V777="ns",BR753=0,BS753=0)),1,IF(OR(AND(BR753&gt;=2,V777&gt;BS753),AND(V777="ns",BS753=0,BR753&gt;0),V777=BS753),0,1)))</f>
        <v>0</v>
      </c>
      <c r="BU753">
        <f>COUNTIF(V786:V788,"NS")</f>
        <v>0</v>
      </c>
      <c r="BV753">
        <f>SUM(V786:V788)</f>
        <v>0</v>
      </c>
      <c r="BW753">
        <f>IF(COUNTA(V785:V788)=0,0,IF(OR(AND(V785=0,BU753&gt;0),AND(V785="ns",BV753&gt;0),AND(V785="ns",BU753=0,BV753=0)),1,IF(OR(AND(BU753&gt;=2,V785&gt;BV753),AND(V785="ns",BV753=0,BU753&gt;0),V785=BV753),0,1)))</f>
        <v>0</v>
      </c>
      <c r="BX753">
        <f>COUNTIF(V796:V802,"NS")</f>
        <v>0</v>
      </c>
      <c r="BY753">
        <f>SUM(V796:V802)</f>
        <v>0</v>
      </c>
      <c r="BZ753">
        <f>IF(COUNTA(V795:V802)=0,0,IF(OR(AND(V795=0,BX753&gt;0),AND(V795="ns",BY753&gt;0),AND(V795="ns",BX753=0,BY753=0)),1,IF(OR(AND(BX753&gt;=2,V795&gt;BY753),AND(V795="ns",BY753=0,BX753&gt;0),V795=BY753),0,1)))</f>
        <v>0</v>
      </c>
      <c r="CA753">
        <f>COUNTIF(V804:V808,"NS")</f>
        <v>0</v>
      </c>
      <c r="CB753">
        <f>SUM(V804:V808)</f>
        <v>0</v>
      </c>
      <c r="CC753">
        <f>IF(COUNTA(V803:V808)=0,0,IF(OR(AND(V803=0,CA753&gt;0),AND(V803="ns",CB753&gt;0),AND(V803="ns",CA753=0,CB753=0)),1,IF(OR(AND(CA753&gt;=2,V803&gt;CB753),AND(V803="ns",CB753=0,CA753&gt;0),V803=CB753),0,1)))</f>
        <v>0</v>
      </c>
      <c r="CD753">
        <f>COUNTIF(V814:V819,"NS")</f>
        <v>0</v>
      </c>
      <c r="CE753">
        <f>SUM(V814:V819)</f>
        <v>0</v>
      </c>
      <c r="CF753">
        <f>IF(COUNTA(V813:V819)=0,0,IF(OR(AND(V813=0,CD753&gt;0),AND(V813="ns",CE753&gt;0),AND(V813="ns",CD753=0,CE753=0)),1,IF(OR(AND(CD753&gt;=2,V813&gt;CE753),AND(V813="ns",CE753=0,CD753&gt;0),V813=CE753),0,1)))</f>
        <v>0</v>
      </c>
      <c r="CG753">
        <f>COUNTIF(V821:V828,"NS")</f>
        <v>0</v>
      </c>
      <c r="CH753">
        <f>SUM(V821:V828)</f>
        <v>0</v>
      </c>
      <c r="CI753">
        <f>IF(COUNTA(V820:V828)=0,0,IF(OR(AND(V820=0,CG753&gt;0),AND(V820="ns",CH753&gt;0),AND(V820="ns",CG753=0,CH753=0)),1,IF(OR(AND(CG753&gt;=2,V820&gt;CH753),AND(V820="ns",CH753=0,CG753&gt;0),V820=CH753),0,1)))</f>
        <v>0</v>
      </c>
      <c r="CJ753">
        <f>COUNTIF(V833:V838,"NS")</f>
        <v>0</v>
      </c>
      <c r="CK753">
        <f>SUM(V833:V838)</f>
        <v>0</v>
      </c>
      <c r="CL753">
        <f>IF(COUNTA(V832:V838)=0,0,IF(OR(AND(V832=0,CJ753&gt;0),AND(V832="ns",CK753&gt;0),AND(V832="ns",CJ753=0,CK753=0)),1,IF(OR(AND(CJ753&gt;=2,V832&gt;CK753),AND(V832="ns",CK753=0,CJ753&gt;0),V832=CK753),0,1)))</f>
        <v>0</v>
      </c>
      <c r="CM753">
        <f>COUNTIF(V843:V851,"NS")</f>
        <v>0</v>
      </c>
      <c r="CN753">
        <f>SUM(V843:V851)</f>
        <v>0</v>
      </c>
      <c r="CO753">
        <f>IF(COUNTA(V842:V851)=0,0,IF(OR(AND(V842=0,CM753&gt;0),AND(V842="ns",CN753&gt;0),AND(V842="ns",CM753=0,CN753=0)),1,IF(OR(AND(CM753&gt;=2,V842&gt;CN753),AND(V842="ns",CN753=0,CM753&gt;0),V842=CN753),0,1)))</f>
        <v>0</v>
      </c>
      <c r="CP753">
        <f>COUNTIF(V853:V855,"NS")</f>
        <v>0</v>
      </c>
      <c r="CQ753">
        <f>SUM(V853:V855)</f>
        <v>0</v>
      </c>
      <c r="CR753">
        <f>IF(COUNTA(V852:V855)=0,0,IF(OR(AND(V852=0,CP753&gt;0),AND(V852="ns",CQ753&gt;0),AND(V852="ns",CP753=0,CQ753=0)),1,IF(OR(AND(CP753&gt;=2,V852&gt;CQ753),AND(V852="ns",CQ753=0,CP753&gt;0),V852=CQ753),0,1)))</f>
        <v>0</v>
      </c>
      <c r="CS753">
        <f>COUNTIF(V864:V870,"NS")</f>
        <v>0</v>
      </c>
      <c r="CT753">
        <f>SUM(V864:V870)</f>
        <v>0</v>
      </c>
      <c r="CU753">
        <f>IF(COUNTA(V863:V870)=0,0,IF(OR(AND(V863=0,CS753&gt;0),AND(V863="ns",CT753&gt;0),AND(V863="ns",CS753=0,CT753=0)),1,IF(OR(AND(CS753&gt;=2,V863&gt;CT753),AND(V863="ns",CT753=0,CS753&gt;0),V863=CT753),0,1)))</f>
        <v>0</v>
      </c>
      <c r="CV753">
        <f>COUNTIF(V873:V875,"NS")</f>
        <v>0</v>
      </c>
      <c r="CW753">
        <f>SUM(V873:V875)</f>
        <v>0</v>
      </c>
      <c r="CX753">
        <f>IF(COUNTA(V872:V875)=0,0,IF(OR(AND(V872=0,CV753&gt;0),AND(V872="ns",CW753&gt;0),AND(V872="ns",CV753=0,CW753=0)),1,IF(OR(AND(CV753&gt;=2,V872&gt;CW753),AND(V872="ns",CW753=0,CV753&gt;0),V872=CW753),0,1)))</f>
        <v>0</v>
      </c>
      <c r="CY753">
        <f>COUNTIF(V885:V889,"NS")</f>
        <v>0</v>
      </c>
      <c r="CZ753">
        <f>SUM(V885:V889)</f>
        <v>0</v>
      </c>
      <c r="DA753">
        <f>IF(COUNTA(V884:V889)=0,0,IF(OR(AND(V884=0,CY753&gt;0),AND(V884="ns",CZ753&gt;0),AND(V884="ns",CY753=0,CZ753=0)),1,IF(OR(AND(CY753&gt;=2,V884&gt;CZ753),AND(V884="ns",CZ753=0,CY753&gt;0),V884=CZ753),0,1)))</f>
        <v>0</v>
      </c>
    </row>
    <row r="754" spans="1:105" ht="15" customHeight="1">
      <c r="A754" s="206"/>
      <c r="B754" s="201"/>
      <c r="C754" s="1119" t="s">
        <v>4845</v>
      </c>
      <c r="D754" s="1121"/>
      <c r="E754" s="1121"/>
      <c r="F754" s="1120"/>
      <c r="G754" s="100"/>
      <c r="H754" s="100"/>
      <c r="I754" s="100"/>
      <c r="J754" s="100"/>
      <c r="K754" s="100"/>
      <c r="L754" s="100"/>
      <c r="M754" s="100"/>
      <c r="N754" s="100"/>
      <c r="O754" s="100"/>
      <c r="P754" s="100"/>
      <c r="Q754" s="100"/>
      <c r="R754" s="100"/>
      <c r="S754" s="100"/>
      <c r="T754" s="100"/>
      <c r="U754" s="100"/>
      <c r="V754" s="100"/>
      <c r="W754" s="100"/>
      <c r="X754" s="100"/>
      <c r="Y754" s="100"/>
      <c r="Z754" s="100"/>
      <c r="AA754" s="100"/>
      <c r="AB754" s="100"/>
      <c r="AC754" s="100"/>
      <c r="AD754" s="100"/>
      <c r="AF754"/>
      <c r="AG754"/>
      <c r="AH754"/>
      <c r="AI754"/>
      <c r="AJ754"/>
      <c r="AK754">
        <f t="shared" si="293"/>
        <v>0</v>
      </c>
      <c r="AL754">
        <f t="shared" si="294"/>
        <v>0</v>
      </c>
      <c r="AM754">
        <f t="shared" si="316"/>
        <v>0</v>
      </c>
      <c r="AN754">
        <f t="shared" si="295"/>
        <v>0</v>
      </c>
      <c r="AO754">
        <f t="shared" si="296"/>
        <v>0</v>
      </c>
      <c r="AP754">
        <f t="shared" si="297"/>
        <v>0</v>
      </c>
      <c r="AQ754">
        <f t="shared" si="298"/>
        <v>0</v>
      </c>
      <c r="AR754">
        <f t="shared" si="299"/>
        <v>0</v>
      </c>
      <c r="AS754">
        <f t="shared" si="300"/>
        <v>0</v>
      </c>
      <c r="AT754">
        <f t="shared" si="301"/>
        <v>0</v>
      </c>
      <c r="AU754">
        <f t="shared" si="302"/>
        <v>0</v>
      </c>
      <c r="AV754">
        <f t="shared" si="303"/>
        <v>0</v>
      </c>
      <c r="AW754">
        <f t="shared" si="304"/>
        <v>0</v>
      </c>
      <c r="AX754">
        <f t="shared" si="305"/>
        <v>0</v>
      </c>
      <c r="AY754">
        <f t="shared" si="306"/>
        <v>0</v>
      </c>
      <c r="AZ754">
        <f t="shared" si="307"/>
        <v>0</v>
      </c>
      <c r="BA754">
        <f t="shared" si="308"/>
        <v>0</v>
      </c>
      <c r="BB754">
        <f t="shared" si="309"/>
        <v>0</v>
      </c>
      <c r="BC754">
        <f t="shared" si="310"/>
        <v>0</v>
      </c>
      <c r="BD754">
        <f t="shared" si="311"/>
        <v>0</v>
      </c>
      <c r="BE754">
        <f t="shared" si="312"/>
        <v>0</v>
      </c>
      <c r="BF754">
        <f t="shared" si="313"/>
        <v>0</v>
      </c>
      <c r="BG754">
        <f t="shared" si="314"/>
        <v>0</v>
      </c>
      <c r="BH754">
        <f t="shared" si="315"/>
        <v>0</v>
      </c>
      <c r="BI754">
        <f>COUNTIF(W739:W744,"NS")</f>
        <v>0</v>
      </c>
      <c r="BJ754">
        <f>SUM(W739:W744)</f>
        <v>0</v>
      </c>
      <c r="BK754">
        <f>IF(COUNTA(W738:W744)=0,0,IF(OR(AND(W738=0,BI754&gt;0),AND(W738="ns",BJ754&gt;0),AND(W738="ns",BI754=0,BJ754=0)),1,IF(OR(AND(BI754&gt;=2,W738&gt;BJ754),AND(W738="ns",BJ754=0,BI754&gt;0),W738=BJ754),0,1)))</f>
        <v>0</v>
      </c>
      <c r="BL754">
        <f>COUNTIF(W750:W754,"NS")</f>
        <v>0</v>
      </c>
      <c r="BM754">
        <f>SUM(W750:W754)</f>
        <v>0</v>
      </c>
      <c r="BN754">
        <f>IF(COUNTA(W749:W754)=0,0,IF(OR(AND(W749=0,BL754&gt;0),AND(W749="ns",BM754&gt;0),AND(W749="ns",BL754=0,BM754=0)),1,IF(OR(AND(BL754&gt;=2,W749&gt;BM754),AND(W749="ns",BM754=0,BL754&gt;0),W749=BM754),0,1)))</f>
        <v>0</v>
      </c>
      <c r="BO754">
        <f>COUNTIF(W759:W776,"NS")</f>
        <v>0</v>
      </c>
      <c r="BP754">
        <f>SUM(W759:W776)</f>
        <v>0</v>
      </c>
      <c r="BQ754">
        <f>IF(COUNTA(W758:W776)=0,0,IF(OR(AND(W758=0,BO754&gt;0),AND(W758="ns",BP754&gt;0),AND(W758="ns",BO754=0,BP754=0)),1,IF(OR(AND(BO754&gt;=2,W758&gt;BP754),AND(W758="ns",BP754=0,BO754&gt;0),W758=BP754),0,1)))</f>
        <v>0</v>
      </c>
      <c r="BR754">
        <f>COUNTIF(W778:W782,"NS")</f>
        <v>0</v>
      </c>
      <c r="BS754">
        <f>SUM(W778:W782)</f>
        <v>0</v>
      </c>
      <c r="BT754">
        <f>IF(COUNTA(W777:W782)=0,0,IF(OR(AND(W777=0,BR754&gt;0),AND(W777="ns",BS754&gt;0),AND(W777="ns",BR754=0,BS754=0)),1,IF(OR(AND(BR754&gt;=2,W777&gt;BS754),AND(W777="ns",BS754=0,BR754&gt;0),W777=BS754),0,1)))</f>
        <v>0</v>
      </c>
      <c r="BU754">
        <f>COUNTIF(W786:W788,"NS")</f>
        <v>0</v>
      </c>
      <c r="BV754">
        <f>SUM(W786:W788)</f>
        <v>0</v>
      </c>
      <c r="BW754">
        <f>IF(COUNTA(W785:W788)=0,0,IF(OR(AND(W785=0,BU754&gt;0),AND(W785="ns",BV754&gt;0),AND(W785="ns",BU754=0,BV754=0)),1,IF(OR(AND(BU754&gt;=2,W785&gt;BV754),AND(W785="ns",BV754=0,BU754&gt;0),W785=BV754),0,1)))</f>
        <v>0</v>
      </c>
      <c r="BX754">
        <f>COUNTIF(W796:W802,"NS")</f>
        <v>0</v>
      </c>
      <c r="BY754">
        <f>SUM(W796:W802)</f>
        <v>0</v>
      </c>
      <c r="BZ754">
        <f>IF(COUNTA(W795:W802)=0,0,IF(OR(AND(W795=0,BX754&gt;0),AND(W795="ns",BY754&gt;0),AND(W795="ns",BX754=0,BY754=0)),1,IF(OR(AND(BX754&gt;=2,W795&gt;BY754),AND(W795="ns",BY754=0,BX754&gt;0),W795=BY754),0,1)))</f>
        <v>0</v>
      </c>
      <c r="CA754">
        <f>COUNTIF(W804:W808,"NS")</f>
        <v>0</v>
      </c>
      <c r="CB754">
        <f>SUM(W804:W808)</f>
        <v>0</v>
      </c>
      <c r="CC754">
        <f>IF(COUNTA(W803:W808)=0,0,IF(OR(AND(W803=0,CA754&gt;0),AND(W803="ns",CB754&gt;0),AND(W803="ns",CA754=0,CB754=0)),1,IF(OR(AND(CA754&gt;=2,W803&gt;CB754),AND(W803="ns",CB754=0,CA754&gt;0),W803=CB754),0,1)))</f>
        <v>0</v>
      </c>
      <c r="CD754">
        <f>COUNTIF(W814:W819,"NS")</f>
        <v>0</v>
      </c>
      <c r="CE754">
        <f>SUM(W814:W819)</f>
        <v>0</v>
      </c>
      <c r="CF754">
        <f>IF(COUNTA(W813:W819)=0,0,IF(OR(AND(W813=0,CD754&gt;0),AND(W813="ns",CE754&gt;0),AND(W813="ns",CD754=0,CE754=0)),1,IF(OR(AND(CD754&gt;=2,W813&gt;CE754),AND(W813="ns",CE754=0,CD754&gt;0),W813=CE754),0,1)))</f>
        <v>0</v>
      </c>
      <c r="CG754">
        <f>COUNTIF(W821:W828,"NS")</f>
        <v>0</v>
      </c>
      <c r="CH754">
        <f>SUM(W821:W828)</f>
        <v>0</v>
      </c>
      <c r="CI754">
        <f>IF(COUNTA(W820:W828)=0,0,IF(OR(AND(W820=0,CG754&gt;0),AND(W820="ns",CH754&gt;0),AND(W820="ns",CG754=0,CH754=0)),1,IF(OR(AND(CG754&gt;=2,W820&gt;CH754),AND(W820="ns",CH754=0,CG754&gt;0),W820=CH754),0,1)))</f>
        <v>0</v>
      </c>
      <c r="CJ754">
        <f>COUNTIF(W833:W838,"NS")</f>
        <v>0</v>
      </c>
      <c r="CK754">
        <f>SUM(W833:W838)</f>
        <v>0</v>
      </c>
      <c r="CL754">
        <f>IF(COUNTA(W832:W838)=0,0,IF(OR(AND(W832=0,CJ754&gt;0),AND(W832="ns",CK754&gt;0),AND(W832="ns",CJ754=0,CK754=0)),1,IF(OR(AND(CJ754&gt;=2,W832&gt;CK754),AND(W832="ns",CK754=0,CJ754&gt;0),W832=CK754),0,1)))</f>
        <v>0</v>
      </c>
      <c r="CM754">
        <f>COUNTIF(W843:W851,"NS")</f>
        <v>0</v>
      </c>
      <c r="CN754">
        <f>SUM(W843:W851)</f>
        <v>0</v>
      </c>
      <c r="CO754">
        <f>IF(COUNTA(W842:W851)=0,0,IF(OR(AND(W842=0,CM754&gt;0),AND(W842="ns",CN754&gt;0),AND(W842="ns",CM754=0,CN754=0)),1,IF(OR(AND(CM754&gt;=2,W842&gt;CN754),AND(W842="ns",CN754=0,CM754&gt;0),W842=CN754),0,1)))</f>
        <v>0</v>
      </c>
      <c r="CP754">
        <f>COUNTIF(W853:W855,"NS")</f>
        <v>0</v>
      </c>
      <c r="CQ754">
        <f>SUM(W853:W855)</f>
        <v>0</v>
      </c>
      <c r="CR754">
        <f>IF(COUNTA(W852:W855)=0,0,IF(OR(AND(W852=0,CP754&gt;0),AND(W852="ns",CQ754&gt;0),AND(W852="ns",CP754=0,CQ754=0)),1,IF(OR(AND(CP754&gt;=2,W852&gt;CQ754),AND(W852="ns",CQ754=0,CP754&gt;0),W852=CQ754),0,1)))</f>
        <v>0</v>
      </c>
      <c r="CS754">
        <f>COUNTIF(W864:W870,"NS")</f>
        <v>0</v>
      </c>
      <c r="CT754">
        <f>SUM(W864:W870)</f>
        <v>0</v>
      </c>
      <c r="CU754">
        <f>IF(COUNTA(W863:W870)=0,0,IF(OR(AND(W863=0,CS754&gt;0),AND(W863="ns",CT754&gt;0),AND(W863="ns",CS754=0,CT754=0)),1,IF(OR(AND(CS754&gt;=2,W863&gt;CT754),AND(W863="ns",CT754=0,CS754&gt;0),W863=CT754),0,1)))</f>
        <v>0</v>
      </c>
      <c r="CV754">
        <f>COUNTIF(W873:W875,"NS")</f>
        <v>0</v>
      </c>
      <c r="CW754">
        <f>SUM(W873:W875)</f>
        <v>0</v>
      </c>
      <c r="CX754">
        <f>IF(COUNTA(W872:W875)=0,0,IF(OR(AND(W872=0,CV754&gt;0),AND(W872="ns",CW754&gt;0),AND(W872="ns",CV754=0,CW754=0)),1,IF(OR(AND(CV754&gt;=2,W872&gt;CW754),AND(W872="ns",CW754=0,CV754&gt;0),W872=CW754),0,1)))</f>
        <v>0</v>
      </c>
      <c r="CY754">
        <f>COUNTIF(W885:W889,"NS")</f>
        <v>0</v>
      </c>
      <c r="CZ754">
        <f>SUM(W885:W889)</f>
        <v>0</v>
      </c>
      <c r="DA754">
        <f>IF(COUNTA(W884:W889)=0,0,IF(OR(AND(W884=0,CY754&gt;0),AND(W884="ns",CZ754&gt;0),AND(W884="ns",CY754=0,CZ754=0)),1,IF(OR(AND(CY754&gt;=2,W884&gt;CZ754),AND(W884="ns",CZ754=0,CY754&gt;0),W884=CZ754),0,1)))</f>
        <v>0</v>
      </c>
    </row>
    <row r="755" spans="1:105" ht="15" customHeight="1">
      <c r="A755" s="206"/>
      <c r="B755" s="206"/>
      <c r="C755" s="1117" t="s">
        <v>4846</v>
      </c>
      <c r="D755" s="1136"/>
      <c r="E755" s="1136"/>
      <c r="F755" s="1118"/>
      <c r="G755" s="100"/>
      <c r="H755" s="100"/>
      <c r="I755" s="100"/>
      <c r="J755" s="100"/>
      <c r="K755" s="100"/>
      <c r="L755" s="100"/>
      <c r="M755" s="100"/>
      <c r="N755" s="100"/>
      <c r="O755" s="100"/>
      <c r="P755" s="100"/>
      <c r="Q755" s="100"/>
      <c r="R755" s="100"/>
      <c r="S755" s="100"/>
      <c r="T755" s="100"/>
      <c r="U755" s="100"/>
      <c r="V755" s="100"/>
      <c r="W755" s="100"/>
      <c r="X755" s="100"/>
      <c r="Y755" s="100"/>
      <c r="Z755" s="100"/>
      <c r="AA755" s="100"/>
      <c r="AB755" s="100"/>
      <c r="AC755" s="100"/>
      <c r="AD755" s="100"/>
      <c r="AF755"/>
      <c r="AG755"/>
      <c r="AH755"/>
      <c r="AI755"/>
      <c r="AJ755"/>
      <c r="AK755">
        <f t="shared" si="293"/>
        <v>0</v>
      </c>
      <c r="AL755">
        <f t="shared" si="294"/>
        <v>0</v>
      </c>
      <c r="AM755">
        <f t="shared" si="316"/>
        <v>0</v>
      </c>
      <c r="AN755">
        <f t="shared" si="295"/>
        <v>0</v>
      </c>
      <c r="AO755">
        <f t="shared" si="296"/>
        <v>0</v>
      </c>
      <c r="AP755">
        <f t="shared" si="297"/>
        <v>0</v>
      </c>
      <c r="AQ755">
        <f t="shared" si="298"/>
        <v>0</v>
      </c>
      <c r="AR755">
        <f t="shared" si="299"/>
        <v>0</v>
      </c>
      <c r="AS755">
        <f t="shared" si="300"/>
        <v>0</v>
      </c>
      <c r="AT755">
        <f t="shared" si="301"/>
        <v>0</v>
      </c>
      <c r="AU755">
        <f t="shared" si="302"/>
        <v>0</v>
      </c>
      <c r="AV755">
        <f t="shared" si="303"/>
        <v>0</v>
      </c>
      <c r="AW755">
        <f t="shared" si="304"/>
        <v>0</v>
      </c>
      <c r="AX755">
        <f t="shared" si="305"/>
        <v>0</v>
      </c>
      <c r="AY755">
        <f t="shared" si="306"/>
        <v>0</v>
      </c>
      <c r="AZ755">
        <f t="shared" si="307"/>
        <v>0</v>
      </c>
      <c r="BA755">
        <f t="shared" si="308"/>
        <v>0</v>
      </c>
      <c r="BB755">
        <f t="shared" si="309"/>
        <v>0</v>
      </c>
      <c r="BC755">
        <f t="shared" si="310"/>
        <v>0</v>
      </c>
      <c r="BD755">
        <f t="shared" si="311"/>
        <v>0</v>
      </c>
      <c r="BE755">
        <f t="shared" si="312"/>
        <v>0</v>
      </c>
      <c r="BF755">
        <f t="shared" si="313"/>
        <v>0</v>
      </c>
      <c r="BG755">
        <f t="shared" si="314"/>
        <v>0</v>
      </c>
      <c r="BH755">
        <f t="shared" si="315"/>
        <v>0</v>
      </c>
      <c r="BI755">
        <f>COUNTIF(X739:X744,"NS")</f>
        <v>0</v>
      </c>
      <c r="BJ755">
        <f>SUM(X739:X744)</f>
        <v>0</v>
      </c>
      <c r="BK755">
        <f>IF(COUNTA(X738:X744)=0,0,IF(OR(AND(X738=0,BI755&gt;0),AND(X738="ns",BJ755&gt;0),AND(X738="ns",BI755=0,BJ755=0)),1,IF(OR(AND(BI755&gt;=2,X738&gt;BJ755),AND(X738="ns",BJ755=0,BI755&gt;0),X738=BJ755),0,1)))</f>
        <v>0</v>
      </c>
      <c r="BL755">
        <f>COUNTIF(X750:X754,"NS")</f>
        <v>0</v>
      </c>
      <c r="BM755">
        <f>SUM(X750:X754)</f>
        <v>0</v>
      </c>
      <c r="BN755">
        <f>IF(COUNTA(X749:X754)=0,0,IF(OR(AND(X749=0,BL755&gt;0),AND(X749="ns",BM755&gt;0),AND(X749="ns",BL755=0,BM755=0)),1,IF(OR(AND(BL755&gt;=2,X749&gt;BM755),AND(X749="ns",BM755=0,BL755&gt;0),X749=BM755),0,1)))</f>
        <v>0</v>
      </c>
      <c r="BO755">
        <f>COUNTIF(X759:X776,"NS")</f>
        <v>0</v>
      </c>
      <c r="BP755">
        <f>SUM(X759:X776)</f>
        <v>0</v>
      </c>
      <c r="BQ755">
        <f>IF(COUNTA(X758:X776)=0,0,IF(OR(AND(X758=0,BO755&gt;0),AND(X758="ns",BP755&gt;0),AND(X758="ns",BO755=0,BP755=0)),1,IF(OR(AND(BO755&gt;=2,X758&gt;BP755),AND(X758="ns",BP755=0,BO755&gt;0),X758=BP755),0,1)))</f>
        <v>0</v>
      </c>
      <c r="BR755">
        <f>COUNTIF(X778:X782,"NS")</f>
        <v>0</v>
      </c>
      <c r="BS755">
        <f>SUM(X778:X782)</f>
        <v>0</v>
      </c>
      <c r="BT755">
        <f>IF(COUNTA(X777:X782)=0,0,IF(OR(AND(X777=0,BR755&gt;0),AND(X777="ns",BS755&gt;0),AND(X777="ns",BR755=0,BS755=0)),1,IF(OR(AND(BR755&gt;=2,X777&gt;BS755),AND(X777="ns",BS755=0,BR755&gt;0),X777=BS755),0,1)))</f>
        <v>0</v>
      </c>
      <c r="BU755">
        <f>COUNTIF(X786:X788,"NS")</f>
        <v>0</v>
      </c>
      <c r="BV755">
        <f>SUM(X786:X788)</f>
        <v>0</v>
      </c>
      <c r="BW755">
        <f>IF(COUNTA(X785:X788)=0,0,IF(OR(AND(X785=0,BU755&gt;0),AND(X785="ns",BV755&gt;0),AND(X785="ns",BU755=0,BV755=0)),1,IF(OR(AND(BU755&gt;=2,X785&gt;BV755),AND(X785="ns",BV755=0,BU755&gt;0),X785=BV755),0,1)))</f>
        <v>0</v>
      </c>
      <c r="BX755">
        <f>COUNTIF(X796:X802,"NS")</f>
        <v>0</v>
      </c>
      <c r="BY755">
        <f>SUM(X796:X802)</f>
        <v>0</v>
      </c>
      <c r="BZ755">
        <f>IF(COUNTA(X795:X802)=0,0,IF(OR(AND(X795=0,BX755&gt;0),AND(X795="ns",BY755&gt;0),AND(X795="ns",BX755=0,BY755=0)),1,IF(OR(AND(BX755&gt;=2,X795&gt;BY755),AND(X795="ns",BY755=0,BX755&gt;0),X795=BY755),0,1)))</f>
        <v>0</v>
      </c>
      <c r="CA755">
        <f>COUNTIF(X804:X808,"NS")</f>
        <v>0</v>
      </c>
      <c r="CB755">
        <f>SUM(X804:X808)</f>
        <v>0</v>
      </c>
      <c r="CC755">
        <f>IF(COUNTA(X803:X808)=0,0,IF(OR(AND(X803=0,CA755&gt;0),AND(X803="ns",CB755&gt;0),AND(X803="ns",CA755=0,CB755=0)),1,IF(OR(AND(CA755&gt;=2,X803&gt;CB755),AND(X803="ns",CB755=0,CA755&gt;0),X803=CB755),0,1)))</f>
        <v>0</v>
      </c>
      <c r="CD755">
        <f>COUNTIF(X814:X819,"NS")</f>
        <v>0</v>
      </c>
      <c r="CE755">
        <f>SUM(X814:X819)</f>
        <v>0</v>
      </c>
      <c r="CF755">
        <f>IF(COUNTA(X813:X819)=0,0,IF(OR(AND(X813=0,CD755&gt;0),AND(X813="ns",CE755&gt;0),AND(X813="ns",CD755=0,CE755=0)),1,IF(OR(AND(CD755&gt;=2,X813&gt;CE755),AND(X813="ns",CE755=0,CD755&gt;0),X813=CE755),0,1)))</f>
        <v>0</v>
      </c>
      <c r="CG755">
        <f>COUNTIF(X821:X828,"NS")</f>
        <v>0</v>
      </c>
      <c r="CH755">
        <f>SUM(X821:X828)</f>
        <v>0</v>
      </c>
      <c r="CI755">
        <f>IF(COUNTA(X820:X828)=0,0,IF(OR(AND(X820=0,CG755&gt;0),AND(X820="ns",CH755&gt;0),AND(X820="ns",CG755=0,CH755=0)),1,IF(OR(AND(CG755&gt;=2,X820&gt;CH755),AND(X820="ns",CH755=0,CG755&gt;0),X820=CH755),0,1)))</f>
        <v>0</v>
      </c>
      <c r="CJ755">
        <f>COUNTIF(X833:X838,"NS")</f>
        <v>0</v>
      </c>
      <c r="CK755">
        <f>SUM(X833:X838)</f>
        <v>0</v>
      </c>
      <c r="CL755">
        <f>IF(COUNTA(X832:X838)=0,0,IF(OR(AND(X832=0,CJ755&gt;0),AND(X832="ns",CK755&gt;0),AND(X832="ns",CJ755=0,CK755=0)),1,IF(OR(AND(CJ755&gt;=2,X832&gt;CK755),AND(X832="ns",CK755=0,CJ755&gt;0),X832=CK755),0,1)))</f>
        <v>0</v>
      </c>
      <c r="CM755">
        <f>COUNTIF(X843:X851,"NS")</f>
        <v>0</v>
      </c>
      <c r="CN755">
        <f>SUM(X843:X851)</f>
        <v>0</v>
      </c>
      <c r="CO755">
        <f>IF(COUNTA(X842:X851)=0,0,IF(OR(AND(X842=0,CM755&gt;0),AND(X842="ns",CN755&gt;0),AND(X842="ns",CM755=0,CN755=0)),1,IF(OR(AND(CM755&gt;=2,X842&gt;CN755),AND(X842="ns",CN755=0,CM755&gt;0),X842=CN755),0,1)))</f>
        <v>0</v>
      </c>
      <c r="CP755">
        <f>COUNTIF(X853:X855,"NS")</f>
        <v>0</v>
      </c>
      <c r="CQ755">
        <f>SUM(X853:X855)</f>
        <v>0</v>
      </c>
      <c r="CR755">
        <f>IF(COUNTA(X852:X855)=0,0,IF(OR(AND(X852=0,CP755&gt;0),AND(X852="ns",CQ755&gt;0),AND(X852="ns",CP755=0,CQ755=0)),1,IF(OR(AND(CP755&gt;=2,X852&gt;CQ755),AND(X852="ns",CQ755=0,CP755&gt;0),X852=CQ755),0,1)))</f>
        <v>0</v>
      </c>
      <c r="CS755">
        <f>COUNTIF(X864:X870,"NS")</f>
        <v>0</v>
      </c>
      <c r="CT755">
        <f>SUM(X864:X870)</f>
        <v>0</v>
      </c>
      <c r="CU755">
        <f>IF(COUNTA(X863:X870)=0,0,IF(OR(AND(X863=0,CS755&gt;0),AND(X863="ns",CT755&gt;0),AND(X863="ns",CS755=0,CT755=0)),1,IF(OR(AND(CS755&gt;=2,X863&gt;CT755),AND(X863="ns",CT755=0,CS755&gt;0),X863=CT755),0,1)))</f>
        <v>0</v>
      </c>
      <c r="CV755">
        <f>COUNTIF(X873:X875,"NS")</f>
        <v>0</v>
      </c>
      <c r="CW755">
        <f>SUM(X873:X875)</f>
        <v>0</v>
      </c>
      <c r="CX755">
        <f>IF(COUNTA(X872:X875)=0,0,IF(OR(AND(X872=0,CV755&gt;0),AND(X872="ns",CW755&gt;0),AND(X872="ns",CV755=0,CW755=0)),1,IF(OR(AND(CV755&gt;=2,X872&gt;CW755),AND(X872="ns",CW755=0,CV755&gt;0),X872=CW755),0,1)))</f>
        <v>0</v>
      </c>
      <c r="CY755">
        <f>COUNTIF(X885:X889,"NS")</f>
        <v>0</v>
      </c>
      <c r="CZ755">
        <f>SUM(X885:X889)</f>
        <v>0</v>
      </c>
      <c r="DA755">
        <f>IF(COUNTA(X884:X889)=0,0,IF(OR(AND(X884=0,CY755&gt;0),AND(X884="ns",CZ755&gt;0),AND(X884="ns",CY755=0,CZ755=0)),1,IF(OR(AND(CY755&gt;=2,X884&gt;CZ755),AND(X884="ns",CZ755=0,CY755&gt;0),X884=CZ755),0,1)))</f>
        <v>0</v>
      </c>
    </row>
    <row r="756" spans="1:105" ht="15" customHeight="1">
      <c r="A756" s="206"/>
      <c r="B756" s="206"/>
      <c r="C756" s="1117" t="s">
        <v>4848</v>
      </c>
      <c r="D756" s="1136"/>
      <c r="E756" s="1136"/>
      <c r="F756" s="1118"/>
      <c r="G756" s="100"/>
      <c r="H756" s="100"/>
      <c r="I756" s="100"/>
      <c r="J756" s="100"/>
      <c r="K756" s="100"/>
      <c r="L756" s="100"/>
      <c r="M756" s="100"/>
      <c r="N756" s="100"/>
      <c r="O756" s="100"/>
      <c r="P756" s="100"/>
      <c r="Q756" s="100"/>
      <c r="R756" s="100"/>
      <c r="S756" s="100"/>
      <c r="T756" s="100"/>
      <c r="U756" s="100"/>
      <c r="V756" s="100"/>
      <c r="W756" s="100"/>
      <c r="X756" s="100"/>
      <c r="Y756" s="100"/>
      <c r="Z756" s="100"/>
      <c r="AA756" s="100"/>
      <c r="AB756" s="100"/>
      <c r="AC756" s="100"/>
      <c r="AD756" s="100"/>
      <c r="AF756"/>
      <c r="AG756"/>
      <c r="AH756"/>
      <c r="AI756"/>
      <c r="AJ756"/>
      <c r="AK756">
        <f t="shared" si="293"/>
        <v>0</v>
      </c>
      <c r="AL756">
        <f t="shared" si="294"/>
        <v>0</v>
      </c>
      <c r="AM756">
        <f t="shared" si="316"/>
        <v>0</v>
      </c>
      <c r="AN756">
        <f t="shared" si="295"/>
        <v>0</v>
      </c>
      <c r="AO756">
        <f t="shared" si="296"/>
        <v>0</v>
      </c>
      <c r="AP756">
        <f t="shared" si="297"/>
        <v>0</v>
      </c>
      <c r="AQ756">
        <f t="shared" si="298"/>
        <v>0</v>
      </c>
      <c r="AR756">
        <f t="shared" si="299"/>
        <v>0</v>
      </c>
      <c r="AS756">
        <f t="shared" si="300"/>
        <v>0</v>
      </c>
      <c r="AT756">
        <f t="shared" si="301"/>
        <v>0</v>
      </c>
      <c r="AU756">
        <f t="shared" si="302"/>
        <v>0</v>
      </c>
      <c r="AV756">
        <f t="shared" si="303"/>
        <v>0</v>
      </c>
      <c r="AW756">
        <f t="shared" si="304"/>
        <v>0</v>
      </c>
      <c r="AX756">
        <f t="shared" si="305"/>
        <v>0</v>
      </c>
      <c r="AY756">
        <f t="shared" si="306"/>
        <v>0</v>
      </c>
      <c r="AZ756">
        <f t="shared" si="307"/>
        <v>0</v>
      </c>
      <c r="BA756">
        <f t="shared" si="308"/>
        <v>0</v>
      </c>
      <c r="BB756">
        <f t="shared" si="309"/>
        <v>0</v>
      </c>
      <c r="BC756">
        <f t="shared" si="310"/>
        <v>0</v>
      </c>
      <c r="BD756">
        <f t="shared" si="311"/>
        <v>0</v>
      </c>
      <c r="BE756">
        <f t="shared" si="312"/>
        <v>0</v>
      </c>
      <c r="BF756">
        <f t="shared" si="313"/>
        <v>0</v>
      </c>
      <c r="BG756">
        <f t="shared" si="314"/>
        <v>0</v>
      </c>
      <c r="BH756">
        <f t="shared" si="315"/>
        <v>0</v>
      </c>
      <c r="BI756">
        <f>COUNTIF(Y739:Y744,"NS")</f>
        <v>0</v>
      </c>
      <c r="BJ756">
        <f>SUM(Y739:Y744)</f>
        <v>0</v>
      </c>
      <c r="BK756">
        <f>IF(COUNTA(Y738:Y744)=0,0,IF(OR(AND(Y738=0,BI756&gt;0),AND(Y738="ns",BJ756&gt;0),AND(Y738="ns",BI756=0,BJ756=0)),1,IF(OR(AND(BI756&gt;=2,Y738&gt;BJ756),AND(Y738="ns",BJ756=0,BI756&gt;0),Y738=BJ756),0,1)))</f>
        <v>0</v>
      </c>
      <c r="BL756">
        <f>COUNTIF(Y750:Y754,"NS")</f>
        <v>0</v>
      </c>
      <c r="BM756">
        <f>SUM(Y750:Y754)</f>
        <v>0</v>
      </c>
      <c r="BN756">
        <f>IF(COUNTA(Y749:Y754)=0,0,IF(OR(AND(Y749=0,BL756&gt;0),AND(Y749="ns",BM756&gt;0),AND(Y749="ns",BL756=0,BM756=0)),1,IF(OR(AND(BL756&gt;=2,Y749&gt;BM756),AND(Y749="ns",BM756=0,BL756&gt;0),Y749=BM756),0,1)))</f>
        <v>0</v>
      </c>
      <c r="BO756">
        <f>COUNTIF(Y759:Y776,"NS")</f>
        <v>0</v>
      </c>
      <c r="BP756">
        <f>SUM(Y759:Y776)</f>
        <v>0</v>
      </c>
      <c r="BQ756">
        <f>IF(COUNTA(Y758:Y776)=0,0,IF(OR(AND(Y758=0,BO756&gt;0),AND(Y758="ns",BP756&gt;0),AND(Y758="ns",BO756=0,BP756=0)),1,IF(OR(AND(BO756&gt;=2,Y758&gt;BP756),AND(Y758="ns",BP756=0,BO756&gt;0),Y758=BP756),0,1)))</f>
        <v>0</v>
      </c>
      <c r="BR756">
        <f>COUNTIF(Y778:Y782,"NS")</f>
        <v>0</v>
      </c>
      <c r="BS756">
        <f>SUM(Y778:Y782)</f>
        <v>0</v>
      </c>
      <c r="BT756">
        <f>IF(COUNTA(Y777:Y782)=0,0,IF(OR(AND(Y777=0,BR756&gt;0),AND(Y777="ns",BS756&gt;0),AND(Y777="ns",BR756=0,BS756=0)),1,IF(OR(AND(BR756&gt;=2,Y777&gt;BS756),AND(Y777="ns",BS756=0,BR756&gt;0),Y777=BS756),0,1)))</f>
        <v>0</v>
      </c>
      <c r="BU756">
        <f>COUNTIF(Y786:Y788,"NS")</f>
        <v>0</v>
      </c>
      <c r="BV756">
        <f>SUM(Y786:Y788)</f>
        <v>0</v>
      </c>
      <c r="BW756">
        <f>IF(COUNTA(Y785:Y788)=0,0,IF(OR(AND(Y785=0,BU756&gt;0),AND(Y785="ns",BV756&gt;0),AND(Y785="ns",BU756=0,BV756=0)),1,IF(OR(AND(BU756&gt;=2,Y785&gt;BV756),AND(Y785="ns",BV756=0,BU756&gt;0),Y785=BV756),0,1)))</f>
        <v>0</v>
      </c>
      <c r="BX756">
        <f>COUNTIF(Y796:Y802,"NS")</f>
        <v>0</v>
      </c>
      <c r="BY756">
        <f>SUM(Y796:Y802)</f>
        <v>0</v>
      </c>
      <c r="BZ756">
        <f>IF(COUNTA(Y795:Y802)=0,0,IF(OR(AND(Y795=0,BX756&gt;0),AND(Y795="ns",BY756&gt;0),AND(Y795="ns",BX756=0,BY756=0)),1,IF(OR(AND(BX756&gt;=2,Y795&gt;BY756),AND(Y795="ns",BY756=0,BX756&gt;0),Y795=BY756),0,1)))</f>
        <v>0</v>
      </c>
      <c r="CA756">
        <f>COUNTIF(Y804:Y808,"NS")</f>
        <v>0</v>
      </c>
      <c r="CB756">
        <f>SUM(Y804:Y808)</f>
        <v>0</v>
      </c>
      <c r="CC756">
        <f>IF(COUNTA(Y803:Y808)=0,0,IF(OR(AND(Y803=0,CA756&gt;0),AND(Y803="ns",CB756&gt;0),AND(Y803="ns",CA756=0,CB756=0)),1,IF(OR(AND(CA756&gt;=2,Y803&gt;CB756),AND(Y803="ns",CB756=0,CA756&gt;0),Y803=CB756),0,1)))</f>
        <v>0</v>
      </c>
      <c r="CD756">
        <f>COUNTIF(Y814:Y819,"NS")</f>
        <v>0</v>
      </c>
      <c r="CE756">
        <f>SUM(Y814:Y819)</f>
        <v>0</v>
      </c>
      <c r="CF756">
        <f>IF(COUNTA(Y813:Y819)=0,0,IF(OR(AND(Y813=0,CD756&gt;0),AND(Y813="ns",CE756&gt;0),AND(Y813="ns",CD756=0,CE756=0)),1,IF(OR(AND(CD756&gt;=2,Y813&gt;CE756),AND(Y813="ns",CE756=0,CD756&gt;0),Y813=CE756),0,1)))</f>
        <v>0</v>
      </c>
      <c r="CG756">
        <f>COUNTIF(Y821:Y828,"NS")</f>
        <v>0</v>
      </c>
      <c r="CH756">
        <f>SUM(Y821:Y828)</f>
        <v>0</v>
      </c>
      <c r="CI756">
        <f>IF(COUNTA(Y820:Y828)=0,0,IF(OR(AND(Y820=0,CG756&gt;0),AND(Y820="ns",CH756&gt;0),AND(Y820="ns",CG756=0,CH756=0)),1,IF(OR(AND(CG756&gt;=2,Y820&gt;CH756),AND(Y820="ns",CH756=0,CG756&gt;0),Y820=CH756),0,1)))</f>
        <v>0</v>
      </c>
      <c r="CJ756">
        <f>COUNTIF(Y833:Y838,"NS")</f>
        <v>0</v>
      </c>
      <c r="CK756">
        <f>SUM(Y833:Y838)</f>
        <v>0</v>
      </c>
      <c r="CL756">
        <f>IF(COUNTA(Y832:Y838)=0,0,IF(OR(AND(Y832=0,CJ756&gt;0),AND(Y832="ns",CK756&gt;0),AND(Y832="ns",CJ756=0,CK756=0)),1,IF(OR(AND(CJ756&gt;=2,Y832&gt;CK756),AND(Y832="ns",CK756=0,CJ756&gt;0),Y832=CK756),0,1)))</f>
        <v>0</v>
      </c>
      <c r="CM756">
        <f>COUNTIF(Y843:Y851,"NS")</f>
        <v>0</v>
      </c>
      <c r="CN756">
        <f>SUM(Y843:Y851)</f>
        <v>0</v>
      </c>
      <c r="CO756">
        <f>IF(COUNTA(Y842:Y851)=0,0,IF(OR(AND(Y842=0,CM756&gt;0),AND(Y842="ns",CN756&gt;0),AND(Y842="ns",CM756=0,CN756=0)),1,IF(OR(AND(CM756&gt;=2,Y842&gt;CN756),AND(Y842="ns",CN756=0,CM756&gt;0),Y842=CN756),0,1)))</f>
        <v>0</v>
      </c>
      <c r="CP756">
        <f>COUNTIF(Y853:Y855,"NS")</f>
        <v>0</v>
      </c>
      <c r="CQ756">
        <f>SUM(Y853:Y855)</f>
        <v>0</v>
      </c>
      <c r="CR756">
        <f>IF(COUNTA(Y852:Y855)=0,0,IF(OR(AND(Y852=0,CP756&gt;0),AND(Y852="ns",CQ756&gt;0),AND(Y852="ns",CP756=0,CQ756=0)),1,IF(OR(AND(CP756&gt;=2,Y852&gt;CQ756),AND(Y852="ns",CQ756=0,CP756&gt;0),Y852=CQ756),0,1)))</f>
        <v>0</v>
      </c>
      <c r="CS756">
        <f>COUNTIF(Y864:Y870,"NS")</f>
        <v>0</v>
      </c>
      <c r="CT756">
        <f>SUM(Y864:Y870)</f>
        <v>0</v>
      </c>
      <c r="CU756">
        <f>IF(COUNTA(Y863:Y870)=0,0,IF(OR(AND(Y863=0,CS756&gt;0),AND(Y863="ns",CT756&gt;0),AND(Y863="ns",CS756=0,CT756=0)),1,IF(OR(AND(CS756&gt;=2,Y863&gt;CT756),AND(Y863="ns",CT756=0,CS756&gt;0),Y863=CT756),0,1)))</f>
        <v>0</v>
      </c>
      <c r="CV756">
        <f>COUNTIF(Y873:Y875,"NS")</f>
        <v>0</v>
      </c>
      <c r="CW756">
        <f>SUM(Y873:Y875)</f>
        <v>0</v>
      </c>
      <c r="CX756">
        <f>IF(COUNTA(Y872:Y875)=0,0,IF(OR(AND(Y872=0,CV756&gt;0),AND(Y872="ns",CW756&gt;0),AND(Y872="ns",CV756=0,CW756=0)),1,IF(OR(AND(CV756&gt;=2,Y872&gt;CW756),AND(Y872="ns",CW756=0,CV756&gt;0),Y872=CW756),0,1)))</f>
        <v>0</v>
      </c>
      <c r="CY756">
        <f>COUNTIF(Y885:Y889,"NS")</f>
        <v>0</v>
      </c>
      <c r="CZ756">
        <f>SUM(Y885:Y889)</f>
        <v>0</v>
      </c>
      <c r="DA756">
        <f>IF(COUNTA(Y884:Y889)=0,0,IF(OR(AND(Y884=0,CY756&gt;0),AND(Y884="ns",CZ756&gt;0),AND(Y884="ns",CY756=0,CZ756=0)),1,IF(OR(AND(CY756&gt;=2,Y884&gt;CZ756),AND(Y884="ns",CZ756=0,CY756&gt;0),Y884=CZ756),0,1)))</f>
        <v>0</v>
      </c>
    </row>
    <row r="757" spans="1:105" ht="15" customHeight="1">
      <c r="A757" s="206"/>
      <c r="B757" s="206"/>
      <c r="C757" s="1117" t="s">
        <v>4850</v>
      </c>
      <c r="D757" s="1136"/>
      <c r="E757" s="1136"/>
      <c r="F757" s="1118"/>
      <c r="G757" s="100"/>
      <c r="H757" s="100"/>
      <c r="I757" s="100"/>
      <c r="J757" s="100"/>
      <c r="K757" s="100"/>
      <c r="L757" s="100"/>
      <c r="M757" s="100"/>
      <c r="N757" s="100"/>
      <c r="O757" s="100"/>
      <c r="P757" s="100"/>
      <c r="Q757" s="100"/>
      <c r="R757" s="100"/>
      <c r="S757" s="100"/>
      <c r="T757" s="100"/>
      <c r="U757" s="100"/>
      <c r="V757" s="100"/>
      <c r="W757" s="100"/>
      <c r="X757" s="100"/>
      <c r="Y757" s="100"/>
      <c r="Z757" s="100"/>
      <c r="AA757" s="100"/>
      <c r="AB757" s="100"/>
      <c r="AC757" s="100"/>
      <c r="AD757" s="100"/>
      <c r="AF757"/>
      <c r="AG757"/>
      <c r="AH757"/>
      <c r="AI757"/>
      <c r="AJ757"/>
      <c r="AK757">
        <f t="shared" si="293"/>
        <v>0</v>
      </c>
      <c r="AL757">
        <f t="shared" si="294"/>
        <v>0</v>
      </c>
      <c r="AM757">
        <f t="shared" si="316"/>
        <v>0</v>
      </c>
      <c r="AN757">
        <f t="shared" si="295"/>
        <v>0</v>
      </c>
      <c r="AO757">
        <f t="shared" si="296"/>
        <v>0</v>
      </c>
      <c r="AP757">
        <f t="shared" si="297"/>
        <v>0</v>
      </c>
      <c r="AQ757">
        <f t="shared" si="298"/>
        <v>0</v>
      </c>
      <c r="AR757">
        <f t="shared" si="299"/>
        <v>0</v>
      </c>
      <c r="AS757">
        <f t="shared" si="300"/>
        <v>0</v>
      </c>
      <c r="AT757">
        <f t="shared" si="301"/>
        <v>0</v>
      </c>
      <c r="AU757">
        <f t="shared" si="302"/>
        <v>0</v>
      </c>
      <c r="AV757">
        <f t="shared" si="303"/>
        <v>0</v>
      </c>
      <c r="AW757">
        <f t="shared" si="304"/>
        <v>0</v>
      </c>
      <c r="AX757">
        <f t="shared" si="305"/>
        <v>0</v>
      </c>
      <c r="AY757">
        <f t="shared" si="306"/>
        <v>0</v>
      </c>
      <c r="AZ757">
        <f t="shared" si="307"/>
        <v>0</v>
      </c>
      <c r="BA757">
        <f t="shared" si="308"/>
        <v>0</v>
      </c>
      <c r="BB757">
        <f t="shared" si="309"/>
        <v>0</v>
      </c>
      <c r="BC757">
        <f t="shared" si="310"/>
        <v>0</v>
      </c>
      <c r="BD757">
        <f t="shared" si="311"/>
        <v>0</v>
      </c>
      <c r="BE757">
        <f t="shared" si="312"/>
        <v>0</v>
      </c>
      <c r="BF757">
        <f t="shared" si="313"/>
        <v>0</v>
      </c>
      <c r="BG757">
        <f t="shared" si="314"/>
        <v>0</v>
      </c>
      <c r="BH757">
        <f t="shared" si="315"/>
        <v>0</v>
      </c>
      <c r="BI757">
        <f>COUNTIF(Z739:Z744,"NS")</f>
        <v>0</v>
      </c>
      <c r="BJ757">
        <f>SUM(Z739:Z744)</f>
        <v>0</v>
      </c>
      <c r="BK757">
        <f>IF(COUNTA(Z738:Z744)=0,0,IF(OR(AND(Z738=0,BI757&gt;0),AND(Z738="ns",BJ757&gt;0),AND(Z738="ns",BI757=0,BJ757=0)),1,IF(OR(AND(BI757&gt;=2,Z738&gt;BJ757),AND(Z738="ns",BJ757=0,BI757&gt;0),Z738=BJ757),0,1)))</f>
        <v>0</v>
      </c>
      <c r="BL757">
        <f>COUNTIF(Z750:Z754,"NS")</f>
        <v>0</v>
      </c>
      <c r="BM757">
        <f>SUM(Z750:Z754)</f>
        <v>0</v>
      </c>
      <c r="BN757">
        <f>IF(COUNTA(Z749:Z754)=0,0,IF(OR(AND(Z749=0,BL757&gt;0),AND(Z749="ns",BM757&gt;0),AND(Z749="ns",BL757=0,BM757=0)),1,IF(OR(AND(BL757&gt;=2,Z749&gt;BM757),AND(Z749="ns",BM757=0,BL757&gt;0),Z749=BM757),0,1)))</f>
        <v>0</v>
      </c>
      <c r="BO757">
        <f>COUNTIF(Z759:Z776,"NS")</f>
        <v>0</v>
      </c>
      <c r="BP757">
        <f>SUM(Z759:Z776)</f>
        <v>0</v>
      </c>
      <c r="BQ757">
        <f>IF(COUNTA(Z758:Z776)=0,0,IF(OR(AND(Z758=0,BO757&gt;0),AND(Z758="ns",BP757&gt;0),AND(Z758="ns",BO757=0,BP757=0)),1,IF(OR(AND(BO757&gt;=2,Z758&gt;BP757),AND(Z758="ns",BP757=0,BO757&gt;0),Z758=BP757),0,1)))</f>
        <v>0</v>
      </c>
      <c r="BR757">
        <f>COUNTIF(Z778:Z782,"NS")</f>
        <v>0</v>
      </c>
      <c r="BS757">
        <f>SUM(Z778:Z782)</f>
        <v>0</v>
      </c>
      <c r="BT757">
        <f>IF(COUNTA(Z777:Z782)=0,0,IF(OR(AND(Z777=0,BR757&gt;0),AND(Z777="ns",BS757&gt;0),AND(Z777="ns",BR757=0,BS757=0)),1,IF(OR(AND(BR757&gt;=2,Z777&gt;BS757),AND(Z777="ns",BS757=0,BR757&gt;0),Z777=BS757),0,1)))</f>
        <v>0</v>
      </c>
      <c r="BU757">
        <f>COUNTIF(Z786:Z788,"NS")</f>
        <v>0</v>
      </c>
      <c r="BV757">
        <f>SUM(Z786:Z788)</f>
        <v>0</v>
      </c>
      <c r="BW757">
        <f>IF(COUNTA(Z785:Z788)=0,0,IF(OR(AND(Z785=0,BU757&gt;0),AND(Z785="ns",BV757&gt;0),AND(Z785="ns",BU757=0,BV757=0)),1,IF(OR(AND(BU757&gt;=2,Z785&gt;BV757),AND(Z785="ns",BV757=0,BU757&gt;0),Z785=BV757),0,1)))</f>
        <v>0</v>
      </c>
      <c r="BX757">
        <f>COUNTIF(Z796:Z802,"NS")</f>
        <v>0</v>
      </c>
      <c r="BY757">
        <f>SUM(Z796:Z802)</f>
        <v>0</v>
      </c>
      <c r="BZ757">
        <f>IF(COUNTA(Z795:Z802)=0,0,IF(OR(AND(Z795=0,BX757&gt;0),AND(Z795="ns",BY757&gt;0),AND(Z795="ns",BX757=0,BY757=0)),1,IF(OR(AND(BX757&gt;=2,Z795&gt;BY757),AND(Z795="ns",BY757=0,BX757&gt;0),Z795=BY757),0,1)))</f>
        <v>0</v>
      </c>
      <c r="CA757">
        <f>COUNTIF(Z804:Z808,"NS")</f>
        <v>0</v>
      </c>
      <c r="CB757">
        <f>SUM(Z804:Z808)</f>
        <v>0</v>
      </c>
      <c r="CC757">
        <f>IF(COUNTA(Z803:Z808)=0,0,IF(OR(AND(Z803=0,CA757&gt;0),AND(Z803="ns",CB757&gt;0),AND(Z803="ns",CA757=0,CB757=0)),1,IF(OR(AND(CA757&gt;=2,Z803&gt;CB757),AND(Z803="ns",CB757=0,CA757&gt;0),Z803=CB757),0,1)))</f>
        <v>0</v>
      </c>
      <c r="CD757">
        <f>COUNTIF(Z814:Z819,"NS")</f>
        <v>0</v>
      </c>
      <c r="CE757">
        <f>SUM(Z814:Z819)</f>
        <v>0</v>
      </c>
      <c r="CF757">
        <f>IF(COUNTA(Z813:Z819)=0,0,IF(OR(AND(Z813=0,CD757&gt;0),AND(Z813="ns",CE757&gt;0),AND(Z813="ns",CD757=0,CE757=0)),1,IF(OR(AND(CD757&gt;=2,Z813&gt;CE757),AND(Z813="ns",CE757=0,CD757&gt;0),Z813=CE757),0,1)))</f>
        <v>0</v>
      </c>
      <c r="CG757">
        <f>COUNTIF(Z821:Z828,"NS")</f>
        <v>0</v>
      </c>
      <c r="CH757">
        <f>SUM(Z821:Z828)</f>
        <v>0</v>
      </c>
      <c r="CI757">
        <f>IF(COUNTA(Z820:Z828)=0,0,IF(OR(AND(Z820=0,CG757&gt;0),AND(Z820="ns",CH757&gt;0),AND(Z820="ns",CG757=0,CH757=0)),1,IF(OR(AND(CG757&gt;=2,Z820&gt;CH757),AND(Z820="ns",CH757=0,CG757&gt;0),Z820=CH757),0,1)))</f>
        <v>0</v>
      </c>
      <c r="CJ757">
        <f>COUNTIF(Z833:Z838,"NS")</f>
        <v>0</v>
      </c>
      <c r="CK757">
        <f>SUM(Z833:Z838)</f>
        <v>0</v>
      </c>
      <c r="CL757">
        <f>IF(COUNTA(Z832:Z838)=0,0,IF(OR(AND(Z832=0,CJ757&gt;0),AND(Z832="ns",CK757&gt;0),AND(Z832="ns",CJ757=0,CK757=0)),1,IF(OR(AND(CJ757&gt;=2,Z832&gt;CK757),AND(Z832="ns",CK757=0,CJ757&gt;0),Z832=CK757),0,1)))</f>
        <v>0</v>
      </c>
      <c r="CM757">
        <f>COUNTIF(Z843:Z851,"NS")</f>
        <v>0</v>
      </c>
      <c r="CN757">
        <f>SUM(Z843:Z851)</f>
        <v>0</v>
      </c>
      <c r="CO757">
        <f>IF(COUNTA(Z842:Z851)=0,0,IF(OR(AND(Z842=0,CM757&gt;0),AND(Z842="ns",CN757&gt;0),AND(Z842="ns",CM757=0,CN757=0)),1,IF(OR(AND(CM757&gt;=2,Z842&gt;CN757),AND(Z842="ns",CN757=0,CM757&gt;0),Z842=CN757),0,1)))</f>
        <v>0</v>
      </c>
      <c r="CP757">
        <f>COUNTIF(Z853:Z855,"NS")</f>
        <v>0</v>
      </c>
      <c r="CQ757">
        <f>SUM(Z853:Z855)</f>
        <v>0</v>
      </c>
      <c r="CR757">
        <f>IF(COUNTA(Z852:Z855)=0,0,IF(OR(AND(Z852=0,CP757&gt;0),AND(Z852="ns",CQ757&gt;0),AND(Z852="ns",CP757=0,CQ757=0)),1,IF(OR(AND(CP757&gt;=2,Z852&gt;CQ757),AND(Z852="ns",CQ757=0,CP757&gt;0),Z852=CQ757),0,1)))</f>
        <v>0</v>
      </c>
      <c r="CS757">
        <f>COUNTIF(Z864:Z870,"NS")</f>
        <v>0</v>
      </c>
      <c r="CT757">
        <f>SUM(Z864:Z870)</f>
        <v>0</v>
      </c>
      <c r="CU757">
        <f>IF(COUNTA(Z863:Z870)=0,0,IF(OR(AND(Z863=0,CS757&gt;0),AND(Z863="ns",CT757&gt;0),AND(Z863="ns",CS757=0,CT757=0)),1,IF(OR(AND(CS757&gt;=2,Z863&gt;CT757),AND(Z863="ns",CT757=0,CS757&gt;0),Z863=CT757),0,1)))</f>
        <v>0</v>
      </c>
      <c r="CV757">
        <f>COUNTIF(Z873:Z875,"NS")</f>
        <v>0</v>
      </c>
      <c r="CW757">
        <f>SUM(Z873:Z875)</f>
        <v>0</v>
      </c>
      <c r="CX757">
        <f>IF(COUNTA(Z872:Z875)=0,0,IF(OR(AND(Z872=0,CV757&gt;0),AND(Z872="ns",CW757&gt;0),AND(Z872="ns",CV757=0,CW757=0)),1,IF(OR(AND(CV757&gt;=2,Z872&gt;CW757),AND(Z872="ns",CW757=0,CV757&gt;0),Z872=CW757),0,1)))</f>
        <v>0</v>
      </c>
      <c r="CY757">
        <f>COUNTIF(Z885:Z889,"NS")</f>
        <v>0</v>
      </c>
      <c r="CZ757">
        <f>SUM(Z885:Z889)</f>
        <v>0</v>
      </c>
      <c r="DA757">
        <f>IF(COUNTA(Z884:Z889)=0,0,IF(OR(AND(Z884=0,CY757&gt;0),AND(Z884="ns",CZ757&gt;0),AND(Z884="ns",CY757=0,CZ757=0)),1,IF(OR(AND(CY757&gt;=2,Z884&gt;CZ757),AND(Z884="ns",CZ757=0,CY757&gt;0),Z884=CZ757),0,1)))</f>
        <v>0</v>
      </c>
    </row>
    <row r="758" spans="1:105" ht="15" customHeight="1">
      <c r="A758" s="206"/>
      <c r="B758" s="206"/>
      <c r="C758" s="1117" t="s">
        <v>4854</v>
      </c>
      <c r="D758" s="1136"/>
      <c r="E758" s="1136"/>
      <c r="F758" s="1118"/>
      <c r="G758" s="100"/>
      <c r="H758" s="100"/>
      <c r="I758" s="100"/>
      <c r="J758" s="100"/>
      <c r="K758" s="100"/>
      <c r="L758" s="100"/>
      <c r="M758" s="100"/>
      <c r="N758" s="100"/>
      <c r="O758" s="100"/>
      <c r="P758" s="100"/>
      <c r="Q758" s="100"/>
      <c r="R758" s="100"/>
      <c r="S758" s="100"/>
      <c r="T758" s="100"/>
      <c r="U758" s="100"/>
      <c r="V758" s="100"/>
      <c r="W758" s="100"/>
      <c r="X758" s="100"/>
      <c r="Y758" s="100"/>
      <c r="Z758" s="100"/>
      <c r="AA758" s="100"/>
      <c r="AB758" s="100"/>
      <c r="AC758" s="100"/>
      <c r="AD758" s="100"/>
      <c r="AF758"/>
      <c r="AG758"/>
      <c r="AH758"/>
      <c r="AI758"/>
      <c r="AJ758"/>
      <c r="AK758">
        <f t="shared" si="293"/>
        <v>0</v>
      </c>
      <c r="AL758">
        <f t="shared" si="294"/>
        <v>0</v>
      </c>
      <c r="AM758">
        <f t="shared" si="316"/>
        <v>0</v>
      </c>
      <c r="AN758">
        <f t="shared" si="295"/>
        <v>0</v>
      </c>
      <c r="AO758">
        <f t="shared" si="296"/>
        <v>0</v>
      </c>
      <c r="AP758">
        <f t="shared" si="297"/>
        <v>0</v>
      </c>
      <c r="AQ758">
        <f t="shared" si="298"/>
        <v>0</v>
      </c>
      <c r="AR758">
        <f t="shared" si="299"/>
        <v>0</v>
      </c>
      <c r="AS758">
        <f t="shared" si="300"/>
        <v>0</v>
      </c>
      <c r="AT758">
        <f t="shared" si="301"/>
        <v>0</v>
      </c>
      <c r="AU758">
        <f t="shared" si="302"/>
        <v>0</v>
      </c>
      <c r="AV758">
        <f t="shared" si="303"/>
        <v>0</v>
      </c>
      <c r="AW758">
        <f t="shared" si="304"/>
        <v>0</v>
      </c>
      <c r="AX758">
        <f t="shared" si="305"/>
        <v>0</v>
      </c>
      <c r="AY758">
        <f t="shared" si="306"/>
        <v>0</v>
      </c>
      <c r="AZ758">
        <f t="shared" si="307"/>
        <v>0</v>
      </c>
      <c r="BA758">
        <f t="shared" si="308"/>
        <v>0</v>
      </c>
      <c r="BB758">
        <f t="shared" si="309"/>
        <v>0</v>
      </c>
      <c r="BC758">
        <f t="shared" si="310"/>
        <v>0</v>
      </c>
      <c r="BD758">
        <f t="shared" si="311"/>
        <v>0</v>
      </c>
      <c r="BE758">
        <f t="shared" si="312"/>
        <v>0</v>
      </c>
      <c r="BF758">
        <f t="shared" si="313"/>
        <v>0</v>
      </c>
      <c r="BG758">
        <f t="shared" si="314"/>
        <v>0</v>
      </c>
      <c r="BH758">
        <f t="shared" si="315"/>
        <v>0</v>
      </c>
      <c r="BI758">
        <f>COUNTIF(AA739:AA744,"NS")</f>
        <v>0</v>
      </c>
      <c r="BJ758">
        <f>SUM(AA739:AA744)</f>
        <v>0</v>
      </c>
      <c r="BK758">
        <f>IF(COUNTA(AA738:AA744)=0,0,IF(OR(AND(AA738=0,BI758&gt;0),AND(AA738="ns",BJ758&gt;0),AND(AA738="ns",BI758=0,BJ758=0)),1,IF(OR(AND(BI758&gt;=2,AA738&gt;BJ758),AND(AA738="ns",BJ758=0,BI758&gt;0),AA738=BJ758),0,1)))</f>
        <v>0</v>
      </c>
      <c r="BL758">
        <f>COUNTIF(AA750:AA754,"NS")</f>
        <v>0</v>
      </c>
      <c r="BM758">
        <f>SUM(AA750:AA754)</f>
        <v>0</v>
      </c>
      <c r="BN758">
        <f>IF(COUNTA(AA749:AA754)=0,0,IF(OR(AND(AA749=0,BL758&gt;0),AND(AA749="ns",BM758&gt;0),AND(AA749="ns",BL758=0,BM758=0)),1,IF(OR(AND(BL758&gt;=2,AA749&gt;BM758),AND(AA749="ns",BM758=0,BL758&gt;0),AA749=BM758),0,1)))</f>
        <v>0</v>
      </c>
      <c r="BO758">
        <f>COUNTIF(AA759:AA776,"NS")</f>
        <v>0</v>
      </c>
      <c r="BP758">
        <f>SUM(AA759:AA776)</f>
        <v>0</v>
      </c>
      <c r="BQ758">
        <f>IF(COUNTA(AA758:AA776)=0,0,IF(OR(AND(AA758=0,BO758&gt;0),AND(AA758="ns",BP758&gt;0),AND(AA758="ns",BO758=0,BP758=0)),1,IF(OR(AND(BO758&gt;=2,AA758&gt;BP758),AND(AA758="ns",BP758=0,BO758&gt;0),AA758=BP758),0,1)))</f>
        <v>0</v>
      </c>
      <c r="BR758">
        <f>COUNTIF(AA778:AA782,"NS")</f>
        <v>0</v>
      </c>
      <c r="BS758">
        <f>SUM(AA778:AA782)</f>
        <v>0</v>
      </c>
      <c r="BT758">
        <f>IF(COUNTA(AA777:AA782)=0,0,IF(OR(AND(AA777=0,BR758&gt;0),AND(AA777="ns",BS758&gt;0),AND(AA777="ns",BR758=0,BS758=0)),1,IF(OR(AND(BR758&gt;=2,AA777&gt;BS758),AND(AA777="ns",BS758=0,BR758&gt;0),AA777=BS758),0,1)))</f>
        <v>0</v>
      </c>
      <c r="BU758">
        <f>COUNTIF(AA786:AA788,"NS")</f>
        <v>0</v>
      </c>
      <c r="BV758">
        <f>SUM(AA786:AA788)</f>
        <v>0</v>
      </c>
      <c r="BW758">
        <f>IF(COUNTA(AA785:AA788)=0,0,IF(OR(AND(AA785=0,BU758&gt;0),AND(AA785="ns",BV758&gt;0),AND(AA785="ns",BU758=0,BV758=0)),1,IF(OR(AND(BU758&gt;=2,AA785&gt;BV758),AND(AA785="ns",BV758=0,BU758&gt;0),AA785=BV758),0,1)))</f>
        <v>0</v>
      </c>
      <c r="BX758">
        <f>COUNTIF(AA796:AA802,"NS")</f>
        <v>0</v>
      </c>
      <c r="BY758">
        <f>SUM(AA796:AA802)</f>
        <v>0</v>
      </c>
      <c r="BZ758">
        <f>IF(COUNTA(AA795:AA802)=0,0,IF(OR(AND(AA795=0,BX758&gt;0),AND(AA795="ns",BY758&gt;0),AND(AA795="ns",BX758=0,BY758=0)),1,IF(OR(AND(BX758&gt;=2,AA795&gt;BY758),AND(AA795="ns",BY758=0,BX758&gt;0),AA795=BY758),0,1)))</f>
        <v>0</v>
      </c>
      <c r="CA758">
        <f>COUNTIF(AA804:AA808,"NS")</f>
        <v>0</v>
      </c>
      <c r="CB758">
        <f>SUM(AA804:AA808)</f>
        <v>0</v>
      </c>
      <c r="CC758">
        <f>IF(COUNTA(AA803:AA808)=0,0,IF(OR(AND(AA803=0,CA758&gt;0),AND(AA803="ns",CB758&gt;0),AND(AA803="ns",CA758=0,CB758=0)),1,IF(OR(AND(CA758&gt;=2,AA803&gt;CB758),AND(AA803="ns",CB758=0,CA758&gt;0),AA803=CB758),0,1)))</f>
        <v>0</v>
      </c>
      <c r="CD758">
        <f>COUNTIF(AA814:AA819,"NS")</f>
        <v>0</v>
      </c>
      <c r="CE758">
        <f>SUM(AA814:AA819)</f>
        <v>0</v>
      </c>
      <c r="CF758">
        <f>IF(COUNTA(AA813:AA819)=0,0,IF(OR(AND(AA813=0,CD758&gt;0),AND(AA813="ns",CE758&gt;0),AND(AA813="ns",CD758=0,CE758=0)),1,IF(OR(AND(CD758&gt;=2,AA813&gt;CE758),AND(AA813="ns",CE758=0,CD758&gt;0),AA813=CE758),0,1)))</f>
        <v>0</v>
      </c>
      <c r="CG758">
        <f>COUNTIF(AA821:AA828,"NS")</f>
        <v>0</v>
      </c>
      <c r="CH758">
        <f>SUM(AA821:AA828)</f>
        <v>0</v>
      </c>
      <c r="CI758">
        <f>IF(COUNTA(AA820:AA828)=0,0,IF(OR(AND(AA820=0,CG758&gt;0),AND(AA820="ns",CH758&gt;0),AND(AA820="ns",CG758=0,CH758=0)),1,IF(OR(AND(CG758&gt;=2,AA820&gt;CH758),AND(AA820="ns",CH758=0,CG758&gt;0),AA820=CH758),0,1)))</f>
        <v>0</v>
      </c>
      <c r="CJ758">
        <f>COUNTIF(AA833:AA838,"NS")</f>
        <v>0</v>
      </c>
      <c r="CK758">
        <f>SUM(AA833:AA838)</f>
        <v>0</v>
      </c>
      <c r="CL758">
        <f>IF(COUNTA(AA832:AA838)=0,0,IF(OR(AND(AA832=0,CJ758&gt;0),AND(AA832="ns",CK758&gt;0),AND(AA832="ns",CJ758=0,CK758=0)),1,IF(OR(AND(CJ758&gt;=2,AA832&gt;CK758),AND(AA832="ns",CK758=0,CJ758&gt;0),AA832=CK758),0,1)))</f>
        <v>0</v>
      </c>
      <c r="CM758">
        <f>COUNTIF(AA843:AA851,"NS")</f>
        <v>0</v>
      </c>
      <c r="CN758">
        <f>SUM(AA843:AA851)</f>
        <v>0</v>
      </c>
      <c r="CO758">
        <f>IF(COUNTA(AA842:AA851)=0,0,IF(OR(AND(AA842=0,CM758&gt;0),AND(AA842="ns",CN758&gt;0),AND(AA842="ns",CM758=0,CN758=0)),1,IF(OR(AND(CM758&gt;=2,AA842&gt;CN758),AND(AA842="ns",CN758=0,CM758&gt;0),AA842=CN758),0,1)))</f>
        <v>0</v>
      </c>
      <c r="CP758">
        <f>COUNTIF(AA853:AA855,"NS")</f>
        <v>0</v>
      </c>
      <c r="CQ758">
        <f>SUM(AA853:AA855)</f>
        <v>0</v>
      </c>
      <c r="CR758">
        <f>IF(COUNTA(AA852:AA855)=0,0,IF(OR(AND(AA852=0,CP758&gt;0),AND(AA852="ns",CQ758&gt;0),AND(AA852="ns",CP758=0,CQ758=0)),1,IF(OR(AND(CP758&gt;=2,AA852&gt;CQ758),AND(AA852="ns",CQ758=0,CP758&gt;0),AA852=CQ758),0,1)))</f>
        <v>0</v>
      </c>
      <c r="CS758">
        <f>COUNTIF(AA864:AA870,"NS")</f>
        <v>0</v>
      </c>
      <c r="CT758">
        <f>SUM(AA864:AA870)</f>
        <v>0</v>
      </c>
      <c r="CU758">
        <f>IF(COUNTA(AA863:AA870)=0,0,IF(OR(AND(AA863=0,CS758&gt;0),AND(AA863="ns",CT758&gt;0),AND(AA863="ns",CS758=0,CT758=0)),1,IF(OR(AND(CS758&gt;=2,AA863&gt;CT758),AND(AA863="ns",CT758=0,CS758&gt;0),AA863=CT758),0,1)))</f>
        <v>0</v>
      </c>
      <c r="CV758">
        <f>COUNTIF(AA873:AA875,"NS")</f>
        <v>0</v>
      </c>
      <c r="CW758">
        <f>SUM(AA873:AA875)</f>
        <v>0</v>
      </c>
      <c r="CX758">
        <f>IF(COUNTA(AA872:AA875)=0,0,IF(OR(AND(AA872=0,CV758&gt;0),AND(AA872="ns",CW758&gt;0),AND(AA872="ns",CV758=0,CW758=0)),1,IF(OR(AND(CV758&gt;=2,AA872&gt;CW758),AND(AA872="ns",CW758=0,CV758&gt;0),AA872=CW758),0,1)))</f>
        <v>0</v>
      </c>
      <c r="CY758">
        <f>COUNTIF(AA885:AA889,"NS")</f>
        <v>0</v>
      </c>
      <c r="CZ758">
        <f>SUM(AA885:AA889)</f>
        <v>0</v>
      </c>
      <c r="DA758">
        <f>IF(COUNTA(AA884:AA889)=0,0,IF(OR(AND(AA884=0,CY758&gt;0),AND(AA884="ns",CZ758&gt;0),AND(AA884="ns",CY758=0,CZ758=0)),1,IF(OR(AND(CY758&gt;=2,AA884&gt;CZ758),AND(AA884="ns",CZ758=0,CY758&gt;0),AA884=CZ758),0,1)))</f>
        <v>0</v>
      </c>
    </row>
    <row r="759" spans="1:105" ht="15" customHeight="1">
      <c r="A759" s="206"/>
      <c r="B759" s="201"/>
      <c r="C759" s="1119" t="s">
        <v>4856</v>
      </c>
      <c r="D759" s="1121"/>
      <c r="E759" s="1121"/>
      <c r="F759" s="1120"/>
      <c r="G759" s="100"/>
      <c r="H759" s="100"/>
      <c r="I759" s="100"/>
      <c r="J759" s="100"/>
      <c r="K759" s="100"/>
      <c r="L759" s="100"/>
      <c r="M759" s="100"/>
      <c r="N759" s="100"/>
      <c r="O759" s="100"/>
      <c r="P759" s="100"/>
      <c r="Q759" s="100"/>
      <c r="R759" s="100"/>
      <c r="S759" s="100"/>
      <c r="T759" s="100"/>
      <c r="U759" s="100"/>
      <c r="V759" s="100"/>
      <c r="W759" s="100"/>
      <c r="X759" s="100"/>
      <c r="Y759" s="100"/>
      <c r="Z759" s="100"/>
      <c r="AA759" s="100"/>
      <c r="AB759" s="100"/>
      <c r="AC759" s="100"/>
      <c r="AD759" s="100"/>
      <c r="AF759"/>
      <c r="AG759"/>
      <c r="AH759"/>
      <c r="AI759"/>
      <c r="AJ759"/>
      <c r="AK759">
        <f t="shared" si="293"/>
        <v>0</v>
      </c>
      <c r="AL759">
        <f t="shared" si="294"/>
        <v>0</v>
      </c>
      <c r="AM759">
        <f t="shared" si="316"/>
        <v>0</v>
      </c>
      <c r="AN759">
        <f t="shared" si="295"/>
        <v>0</v>
      </c>
      <c r="AO759">
        <f t="shared" si="296"/>
        <v>0</v>
      </c>
      <c r="AP759">
        <f t="shared" si="297"/>
        <v>0</v>
      </c>
      <c r="AQ759">
        <f t="shared" si="298"/>
        <v>0</v>
      </c>
      <c r="AR759">
        <f t="shared" si="299"/>
        <v>0</v>
      </c>
      <c r="AS759">
        <f t="shared" si="300"/>
        <v>0</v>
      </c>
      <c r="AT759">
        <f t="shared" si="301"/>
        <v>0</v>
      </c>
      <c r="AU759">
        <f t="shared" si="302"/>
        <v>0</v>
      </c>
      <c r="AV759">
        <f t="shared" si="303"/>
        <v>0</v>
      </c>
      <c r="AW759">
        <f t="shared" si="304"/>
        <v>0</v>
      </c>
      <c r="AX759">
        <f t="shared" si="305"/>
        <v>0</v>
      </c>
      <c r="AY759">
        <f t="shared" si="306"/>
        <v>0</v>
      </c>
      <c r="AZ759">
        <f t="shared" si="307"/>
        <v>0</v>
      </c>
      <c r="BA759">
        <f t="shared" si="308"/>
        <v>0</v>
      </c>
      <c r="BB759">
        <f t="shared" si="309"/>
        <v>0</v>
      </c>
      <c r="BC759">
        <f t="shared" si="310"/>
        <v>0</v>
      </c>
      <c r="BD759">
        <f t="shared" si="311"/>
        <v>0</v>
      </c>
      <c r="BE759">
        <f t="shared" si="312"/>
        <v>0</v>
      </c>
      <c r="BF759">
        <f t="shared" si="313"/>
        <v>0</v>
      </c>
      <c r="BG759">
        <f t="shared" si="314"/>
        <v>0</v>
      </c>
      <c r="BH759">
        <f t="shared" si="315"/>
        <v>0</v>
      </c>
      <c r="BI759">
        <f>COUNTIF(AB739:AB744,"NS")</f>
        <v>0</v>
      </c>
      <c r="BJ759">
        <f>SUM(AB739:AB744)</f>
        <v>0</v>
      </c>
      <c r="BK759">
        <f>IF(COUNTA(AB738:AB744)=0,0,IF(OR(AND(AB738=0,BI759&gt;0),AND(AB738="ns",BJ759&gt;0),AND(AB738="ns",BI759=0,BJ759=0)),1,IF(OR(AND(BI759&gt;=2,AB738&gt;BJ759),AND(AB738="ns",BJ759=0,BI759&gt;0),AB738=BJ759),0,1)))</f>
        <v>0</v>
      </c>
      <c r="BL759">
        <f>COUNTIF(AB750:AB754,"NS")</f>
        <v>0</v>
      </c>
      <c r="BM759">
        <f>SUM(AB750:AB754)</f>
        <v>0</v>
      </c>
      <c r="BN759">
        <f>IF(COUNTA(AB749:AB754)=0,0,IF(OR(AND(AB749=0,BL759&gt;0),AND(AB749="ns",BM759&gt;0),AND(AB749="ns",BL759=0,BM759=0)),1,IF(OR(AND(BL759&gt;=2,AB749&gt;BM759),AND(AB749="ns",BM759=0,BL759&gt;0),AB749=BM759),0,1)))</f>
        <v>0</v>
      </c>
      <c r="BO759">
        <f>COUNTIF(AB759:AB776,"NS")</f>
        <v>0</v>
      </c>
      <c r="BP759">
        <f>SUM(AB759:AB776)</f>
        <v>0</v>
      </c>
      <c r="BQ759">
        <f>IF(COUNTA(AB758:AB776)=0,0,IF(OR(AND(AB758=0,BO759&gt;0),AND(AB758="ns",BP759&gt;0),AND(AB758="ns",BO759=0,BP759=0)),1,IF(OR(AND(BO759&gt;=2,AB758&gt;BP759),AND(AB758="ns",BP759=0,BO759&gt;0),AB758=BP759),0,1)))</f>
        <v>0</v>
      </c>
      <c r="BR759">
        <f>COUNTIF(AB778:AB782,"NS")</f>
        <v>0</v>
      </c>
      <c r="BS759">
        <f>SUM(AB778:AB782)</f>
        <v>0</v>
      </c>
      <c r="BT759">
        <f>IF(COUNTA(AB777:AB782)=0,0,IF(OR(AND(AB777=0,BR759&gt;0),AND(AB777="ns",BS759&gt;0),AND(AB777="ns",BR759=0,BS759=0)),1,IF(OR(AND(BR759&gt;=2,AB777&gt;BS759),AND(AB777="ns",BS759=0,BR759&gt;0),AB777=BS759),0,1)))</f>
        <v>0</v>
      </c>
      <c r="BU759">
        <f>COUNTIF(AB786:AB788,"NS")</f>
        <v>0</v>
      </c>
      <c r="BV759">
        <f>SUM(AB786:AB788)</f>
        <v>0</v>
      </c>
      <c r="BW759">
        <f>IF(COUNTA(AB785:AB788)=0,0,IF(OR(AND(AB785=0,BU759&gt;0),AND(AB785="ns",BV759&gt;0),AND(AB785="ns",BU759=0,BV759=0)),1,IF(OR(AND(BU759&gt;=2,AB785&gt;BV759),AND(AB785="ns",BV759=0,BU759&gt;0),AB785=BV759),0,1)))</f>
        <v>0</v>
      </c>
      <c r="BX759">
        <f>COUNTIF(AB796:AB802,"NS")</f>
        <v>0</v>
      </c>
      <c r="BY759">
        <f>SUM(AB796:AB802)</f>
        <v>0</v>
      </c>
      <c r="BZ759">
        <f>IF(COUNTA(AB795:AB802)=0,0,IF(OR(AND(AB795=0,BX759&gt;0),AND(AB795="ns",BY759&gt;0),AND(AB795="ns",BX759=0,BY759=0)),1,IF(OR(AND(BX759&gt;=2,AB795&gt;BY759),AND(AB795="ns",BY759=0,BX759&gt;0),AB795=BY759),0,1)))</f>
        <v>0</v>
      </c>
      <c r="CA759">
        <f>COUNTIF(AB804:AB808,"NS")</f>
        <v>0</v>
      </c>
      <c r="CB759">
        <f>SUM(AB804:AB808)</f>
        <v>0</v>
      </c>
      <c r="CC759">
        <f>IF(COUNTA(AB803:AB808)=0,0,IF(OR(AND(AB803=0,CA759&gt;0),AND(AB803="ns",CB759&gt;0),AND(AB803="ns",CA759=0,CB759=0)),1,IF(OR(AND(CA759&gt;=2,AB803&gt;CB759),AND(AB803="ns",CB759=0,CA759&gt;0),AB803=CB759),0,1)))</f>
        <v>0</v>
      </c>
      <c r="CD759">
        <f>COUNTIF(AB814:AB819,"NS")</f>
        <v>0</v>
      </c>
      <c r="CE759">
        <f>SUM(AB814:AB819)</f>
        <v>0</v>
      </c>
      <c r="CF759">
        <f>IF(COUNTA(AB813:AB819)=0,0,IF(OR(AND(AB813=0,CD759&gt;0),AND(AB813="ns",CE759&gt;0),AND(AB813="ns",CD759=0,CE759=0)),1,IF(OR(AND(CD759&gt;=2,AB813&gt;CE759),AND(AB813="ns",CE759=0,CD759&gt;0),AB813=CE759),0,1)))</f>
        <v>0</v>
      </c>
      <c r="CG759">
        <f>COUNTIF(AB821:AB828,"NS")</f>
        <v>0</v>
      </c>
      <c r="CH759">
        <f>SUM(AB821:AB828)</f>
        <v>0</v>
      </c>
      <c r="CI759">
        <f>IF(COUNTA(AB820:AB828)=0,0,IF(OR(AND(AB820=0,CG759&gt;0),AND(AB820="ns",CH759&gt;0),AND(AB820="ns",CG759=0,CH759=0)),1,IF(OR(AND(CG759&gt;=2,AB820&gt;CH759),AND(AB820="ns",CH759=0,CG759&gt;0),AB820=CH759),0,1)))</f>
        <v>0</v>
      </c>
      <c r="CJ759">
        <f>COUNTIF(AB833:AB838,"NS")</f>
        <v>0</v>
      </c>
      <c r="CK759">
        <f>SUM(AB833:AB838)</f>
        <v>0</v>
      </c>
      <c r="CL759">
        <f>IF(COUNTA(AB832:AB838)=0,0,IF(OR(AND(AB832=0,CJ759&gt;0),AND(AB832="ns",CK759&gt;0),AND(AB832="ns",CJ759=0,CK759=0)),1,IF(OR(AND(CJ759&gt;=2,AB832&gt;CK759),AND(AB832="ns",CK759=0,CJ759&gt;0),AB832=CK759),0,1)))</f>
        <v>0</v>
      </c>
      <c r="CM759">
        <f>COUNTIF(AB843:AB851,"NS")</f>
        <v>0</v>
      </c>
      <c r="CN759">
        <f>SUM(AB843:AB851)</f>
        <v>0</v>
      </c>
      <c r="CO759">
        <f>IF(COUNTA(AB842:AB851)=0,0,IF(OR(AND(AB842=0,CM759&gt;0),AND(AB842="ns",CN759&gt;0),AND(AB842="ns",CM759=0,CN759=0)),1,IF(OR(AND(CM759&gt;=2,AB842&gt;CN759),AND(AB842="ns",CN759=0,CM759&gt;0),AB842=CN759),0,1)))</f>
        <v>0</v>
      </c>
      <c r="CP759">
        <f>COUNTIF(AB853:AB855,"NS")</f>
        <v>0</v>
      </c>
      <c r="CQ759">
        <f>SUM(AB853:AB855)</f>
        <v>0</v>
      </c>
      <c r="CR759">
        <f>IF(COUNTA(AB852:AB855)=0,0,IF(OR(AND(AB852=0,CP759&gt;0),AND(AB852="ns",CQ759&gt;0),AND(AB852="ns",CP759=0,CQ759=0)),1,IF(OR(AND(CP759&gt;=2,AB852&gt;CQ759),AND(AB852="ns",CQ759=0,CP759&gt;0),AB852=CQ759),0,1)))</f>
        <v>0</v>
      </c>
      <c r="CS759">
        <f>COUNTIF(AB864:AB870,"NS")</f>
        <v>0</v>
      </c>
      <c r="CT759">
        <f>SUM(AB864:AB870)</f>
        <v>0</v>
      </c>
      <c r="CU759">
        <f>IF(COUNTA(AB863:AB870)=0,0,IF(OR(AND(AB863=0,CS759&gt;0),AND(AB863="ns",CT759&gt;0),AND(AB863="ns",CS759=0,CT759=0)),1,IF(OR(AND(CS759&gt;=2,AB863&gt;CT759),AND(AB863="ns",CT759=0,CS759&gt;0),AB863=CT759),0,1)))</f>
        <v>0</v>
      </c>
      <c r="CV759">
        <f>COUNTIF(AB873:AB875,"NS")</f>
        <v>0</v>
      </c>
      <c r="CW759">
        <f>SUM(AB873:AB875)</f>
        <v>0</v>
      </c>
      <c r="CX759">
        <f>IF(COUNTA(AB872:AB875)=0,0,IF(OR(AND(AB872=0,CV759&gt;0),AND(AB872="ns",CW759&gt;0),AND(AB872="ns",CV759=0,CW759=0)),1,IF(OR(AND(CV759&gt;=2,AB872&gt;CW759),AND(AB872="ns",CW759=0,CV759&gt;0),AB872=CW759),0,1)))</f>
        <v>0</v>
      </c>
      <c r="CY759">
        <f>COUNTIF(AB885:AB889,"NS")</f>
        <v>0</v>
      </c>
      <c r="CZ759">
        <f>SUM(AB885:AB889)</f>
        <v>0</v>
      </c>
      <c r="DA759">
        <f>IF(COUNTA(AB884:AB889)=0,0,IF(OR(AND(AB884=0,CY759&gt;0),AND(AB884="ns",CZ759&gt;0),AND(AB884="ns",CY759=0,CZ759=0)),1,IF(OR(AND(CY759&gt;=2,AB884&gt;CZ759),AND(AB884="ns",CZ759=0,CY759&gt;0),AB884=CZ759),0,1)))</f>
        <v>0</v>
      </c>
    </row>
    <row r="760" spans="1:105" ht="15" customHeight="1">
      <c r="A760" s="206"/>
      <c r="B760" s="201"/>
      <c r="C760" s="1119" t="s">
        <v>4858</v>
      </c>
      <c r="D760" s="1121"/>
      <c r="E760" s="1121"/>
      <c r="F760" s="1120"/>
      <c r="G760" s="100"/>
      <c r="H760" s="100"/>
      <c r="I760" s="100"/>
      <c r="J760" s="100"/>
      <c r="K760" s="100"/>
      <c r="L760" s="100"/>
      <c r="M760" s="100"/>
      <c r="N760" s="100"/>
      <c r="O760" s="100"/>
      <c r="P760" s="100"/>
      <c r="Q760" s="100"/>
      <c r="R760" s="100"/>
      <c r="S760" s="100"/>
      <c r="T760" s="100"/>
      <c r="U760" s="100"/>
      <c r="V760" s="100"/>
      <c r="W760" s="100"/>
      <c r="X760" s="100"/>
      <c r="Y760" s="100"/>
      <c r="Z760" s="100"/>
      <c r="AA760" s="100"/>
      <c r="AB760" s="100"/>
      <c r="AC760" s="100"/>
      <c r="AD760" s="100"/>
      <c r="AF760"/>
      <c r="AG760"/>
      <c r="AH760"/>
      <c r="AI760"/>
      <c r="AJ760"/>
      <c r="AK760">
        <f t="shared" si="293"/>
        <v>0</v>
      </c>
      <c r="AL760">
        <f t="shared" si="294"/>
        <v>0</v>
      </c>
      <c r="AM760">
        <f t="shared" si="316"/>
        <v>0</v>
      </c>
      <c r="AN760">
        <f t="shared" si="295"/>
        <v>0</v>
      </c>
      <c r="AO760">
        <f t="shared" si="296"/>
        <v>0</v>
      </c>
      <c r="AP760">
        <f t="shared" si="297"/>
        <v>0</v>
      </c>
      <c r="AQ760">
        <f t="shared" si="298"/>
        <v>0</v>
      </c>
      <c r="AR760">
        <f t="shared" si="299"/>
        <v>0</v>
      </c>
      <c r="AS760">
        <f t="shared" si="300"/>
        <v>0</v>
      </c>
      <c r="AT760">
        <f t="shared" si="301"/>
        <v>0</v>
      </c>
      <c r="AU760">
        <f t="shared" si="302"/>
        <v>0</v>
      </c>
      <c r="AV760">
        <f t="shared" si="303"/>
        <v>0</v>
      </c>
      <c r="AW760">
        <f t="shared" si="304"/>
        <v>0</v>
      </c>
      <c r="AX760">
        <f t="shared" si="305"/>
        <v>0</v>
      </c>
      <c r="AY760">
        <f t="shared" si="306"/>
        <v>0</v>
      </c>
      <c r="AZ760">
        <f t="shared" si="307"/>
        <v>0</v>
      </c>
      <c r="BA760">
        <f t="shared" si="308"/>
        <v>0</v>
      </c>
      <c r="BB760">
        <f t="shared" si="309"/>
        <v>0</v>
      </c>
      <c r="BC760">
        <f t="shared" si="310"/>
        <v>0</v>
      </c>
      <c r="BD760">
        <f t="shared" si="311"/>
        <v>0</v>
      </c>
      <c r="BE760">
        <f t="shared" si="312"/>
        <v>0</v>
      </c>
      <c r="BF760">
        <f t="shared" si="313"/>
        <v>0</v>
      </c>
      <c r="BG760">
        <f t="shared" si="314"/>
        <v>0</v>
      </c>
      <c r="BH760">
        <f t="shared" si="315"/>
        <v>0</v>
      </c>
      <c r="BI760">
        <f>COUNTIF(AC739:AC744,"NS")</f>
        <v>0</v>
      </c>
      <c r="BJ760">
        <f>SUM(AC739:AC744)</f>
        <v>0</v>
      </c>
      <c r="BK760">
        <f>IF(COUNTA(AC738:AC744)=0,0,IF(OR(AND(AC738=0,BI760&gt;0),AND(AC738="ns",BJ760&gt;0),AND(AC738="ns",BI760=0,BJ760=0)),1,IF(OR(AND(BI760&gt;=2,AC738&gt;BJ760),AND(AC738="ns",BJ760=0,BI760&gt;0),AC738=BJ760),0,1)))</f>
        <v>0</v>
      </c>
      <c r="BL760">
        <f>COUNTIF(AC750:AC754,"NS")</f>
        <v>0</v>
      </c>
      <c r="BM760">
        <f>SUM(AC750:AC754)</f>
        <v>0</v>
      </c>
      <c r="BN760">
        <f>IF(COUNTA(AC749:AC754)=0,0,IF(OR(AND(AC749=0,BL760&gt;0),AND(AC749="ns",BM760&gt;0),AND(AC749="ns",BL760=0,BM760=0)),1,IF(OR(AND(BL760&gt;=2,AC749&gt;BM760),AND(AC749="ns",BM760=0,BL760&gt;0),AC749=BM760),0,1)))</f>
        <v>0</v>
      </c>
      <c r="BO760">
        <f>COUNTIF(AC759:AC776,"NS")</f>
        <v>0</v>
      </c>
      <c r="BP760">
        <f>SUM(AC759:AC776)</f>
        <v>0</v>
      </c>
      <c r="BQ760">
        <f>IF(COUNTA(AC758:AC776)=0,0,IF(OR(AND(AC758=0,BO760&gt;0),AND(AC758="ns",BP760&gt;0),AND(AC758="ns",BO760=0,BP760=0)),1,IF(OR(AND(BO760&gt;=2,AC758&gt;BP760),AND(AC758="ns",BP760=0,BO760&gt;0),AC758=BP760),0,1)))</f>
        <v>0</v>
      </c>
      <c r="BR760">
        <f>COUNTIF(AC778:AC782,"NS")</f>
        <v>0</v>
      </c>
      <c r="BS760">
        <f>SUM(AC778:AC782)</f>
        <v>0</v>
      </c>
      <c r="BT760">
        <f>IF(COUNTA(AC777:AC782)=0,0,IF(OR(AND(AC777=0,BR760&gt;0),AND(AC777="ns",BS760&gt;0),AND(AC777="ns",BR760=0,BS760=0)),1,IF(OR(AND(BR760&gt;=2,AC777&gt;BS760),AND(AC777="ns",BS760=0,BR760&gt;0),AC777=BS760),0,1)))</f>
        <v>0</v>
      </c>
      <c r="BU760">
        <f>COUNTIF(AC786:AC788,"NS")</f>
        <v>0</v>
      </c>
      <c r="BV760">
        <f>SUM(AC786:AC788)</f>
        <v>0</v>
      </c>
      <c r="BW760">
        <f>IF(COUNTA(AC785:AC788)=0,0,IF(OR(AND(AC785=0,BU760&gt;0),AND(AC785="ns",BV760&gt;0),AND(AC785="ns",BU760=0,BV760=0)),1,IF(OR(AND(BU760&gt;=2,AC785&gt;BV760),AND(AC785="ns",BV760=0,BU760&gt;0),AC785=BV760),0,1)))</f>
        <v>0</v>
      </c>
      <c r="BX760">
        <f>COUNTIF(AC796:AC802,"NS")</f>
        <v>0</v>
      </c>
      <c r="BY760">
        <f>SUM(AC796:AC802)</f>
        <v>0</v>
      </c>
      <c r="BZ760">
        <f>IF(COUNTA(AC795:AC802)=0,0,IF(OR(AND(AC795=0,BX760&gt;0),AND(AC795="ns",BY760&gt;0),AND(AC795="ns",BX760=0,BY760=0)),1,IF(OR(AND(BX760&gt;=2,AC795&gt;BY760),AND(AC795="ns",BY760=0,BX760&gt;0),AC795=BY760),0,1)))</f>
        <v>0</v>
      </c>
      <c r="CA760">
        <f>COUNTIF(AC804:AC808,"NS")</f>
        <v>0</v>
      </c>
      <c r="CB760">
        <f>SUM(AC804:AC808)</f>
        <v>0</v>
      </c>
      <c r="CC760">
        <f>IF(COUNTA(AC803:AC808)=0,0,IF(OR(AND(AC803=0,CA760&gt;0),AND(AC803="ns",CB760&gt;0),AND(AC803="ns",CA760=0,CB760=0)),1,IF(OR(AND(CA760&gt;=2,AC803&gt;CB760),AND(AC803="ns",CB760=0,CA760&gt;0),AC803=CB760),0,1)))</f>
        <v>0</v>
      </c>
      <c r="CD760">
        <f>COUNTIF(AC814:AC819,"NS")</f>
        <v>0</v>
      </c>
      <c r="CE760">
        <f>SUM(AC814:AC819)</f>
        <v>0</v>
      </c>
      <c r="CF760">
        <f>IF(COUNTA(AC813:AC819)=0,0,IF(OR(AND(AC813=0,CD760&gt;0),AND(AC813="ns",CE760&gt;0),AND(AC813="ns",CD760=0,CE760=0)),1,IF(OR(AND(CD760&gt;=2,AC813&gt;CE760),AND(AC813="ns",CE760=0,CD760&gt;0),AC813=CE760),0,1)))</f>
        <v>0</v>
      </c>
      <c r="CG760">
        <f>COUNTIF(AC821:AC828,"NS")</f>
        <v>0</v>
      </c>
      <c r="CH760">
        <f>SUM(AC821:AC828)</f>
        <v>0</v>
      </c>
      <c r="CI760">
        <f>IF(COUNTA(AC820:AC828)=0,0,IF(OR(AND(AC820=0,CG760&gt;0),AND(AC820="ns",CH760&gt;0),AND(AC820="ns",CG760=0,CH760=0)),1,IF(OR(AND(CG760&gt;=2,AC820&gt;CH760),AND(AC820="ns",CH760=0,CG760&gt;0),AC820=CH760),0,1)))</f>
        <v>0</v>
      </c>
      <c r="CJ760">
        <f>COUNTIF(AC833:AC838,"NS")</f>
        <v>0</v>
      </c>
      <c r="CK760">
        <f>SUM(AC833:AC838)</f>
        <v>0</v>
      </c>
      <c r="CL760">
        <f>IF(COUNTA(AC832:AC838)=0,0,IF(OR(AND(AC832=0,CJ760&gt;0),AND(AC832="ns",CK760&gt;0),AND(AC832="ns",CJ760=0,CK760=0)),1,IF(OR(AND(CJ760&gt;=2,AC832&gt;CK760),AND(AC832="ns",CK760=0,CJ760&gt;0),AC832=CK760),0,1)))</f>
        <v>0</v>
      </c>
      <c r="CM760">
        <f>COUNTIF(AC843:AC851,"NS")</f>
        <v>0</v>
      </c>
      <c r="CN760">
        <f>SUM(AC843:AC851)</f>
        <v>0</v>
      </c>
      <c r="CO760">
        <f>IF(COUNTA(AC842:AC851)=0,0,IF(OR(AND(AC842=0,CM760&gt;0),AND(AC842="ns",CN760&gt;0),AND(AC842="ns",CM760=0,CN760=0)),1,IF(OR(AND(CM760&gt;=2,AC842&gt;CN760),AND(AC842="ns",CN760=0,CM760&gt;0),AC842=CN760),0,1)))</f>
        <v>0</v>
      </c>
      <c r="CP760">
        <f>COUNTIF(AC853:AC855,"NS")</f>
        <v>0</v>
      </c>
      <c r="CQ760">
        <f>SUM(AC853:AC855)</f>
        <v>0</v>
      </c>
      <c r="CR760">
        <f>IF(COUNTA(AC852:AC855)=0,0,IF(OR(AND(AC852=0,CP760&gt;0),AND(AC852="ns",CQ760&gt;0),AND(AC852="ns",CP760=0,CQ760=0)),1,IF(OR(AND(CP760&gt;=2,AC852&gt;CQ760),AND(AC852="ns",CQ760=0,CP760&gt;0),AC852=CQ760),0,1)))</f>
        <v>0</v>
      </c>
      <c r="CS760">
        <f>COUNTIF(AC864:AC870,"NS")</f>
        <v>0</v>
      </c>
      <c r="CT760">
        <f>SUM(AC864:AC870)</f>
        <v>0</v>
      </c>
      <c r="CU760">
        <f>IF(COUNTA(AC863:AC870)=0,0,IF(OR(AND(AC863=0,CS760&gt;0),AND(AC863="ns",CT760&gt;0),AND(AC863="ns",CS760=0,CT760=0)),1,IF(OR(AND(CS760&gt;=2,AC863&gt;CT760),AND(AC863="ns",CT760=0,CS760&gt;0),AC863=CT760),0,1)))</f>
        <v>0</v>
      </c>
      <c r="CV760">
        <f>COUNTIF(AC873:AC875,"NS")</f>
        <v>0</v>
      </c>
      <c r="CW760">
        <f>SUM(AC873:AC875)</f>
        <v>0</v>
      </c>
      <c r="CX760">
        <f>IF(COUNTA(AC872:AC875)=0,0,IF(OR(AND(AC872=0,CV760&gt;0),AND(AC872="ns",CW760&gt;0),AND(AC872="ns",CV760=0,CW760=0)),1,IF(OR(AND(CV760&gt;=2,AC872&gt;CW760),AND(AC872="ns",CW760=0,CV760&gt;0),AC872=CW760),0,1)))</f>
        <v>0</v>
      </c>
      <c r="CY760">
        <f>COUNTIF(AC885:AC889,"NS")</f>
        <v>0</v>
      </c>
      <c r="CZ760">
        <f>SUM(AC885:AC889)</f>
        <v>0</v>
      </c>
      <c r="DA760">
        <f>IF(COUNTA(AC884:AC889)=0,0,IF(OR(AND(AC884=0,CY760&gt;0),AND(AC884="ns",CZ760&gt;0),AND(AC884="ns",CY760=0,CZ760=0)),1,IF(OR(AND(CY760&gt;=2,AC884&gt;CZ760),AND(AC884="ns",CZ760=0,CY760&gt;0),AC884=CZ760),0,1)))</f>
        <v>0</v>
      </c>
    </row>
    <row r="761" spans="1:105" ht="15" customHeight="1">
      <c r="A761" s="206"/>
      <c r="B761" s="201"/>
      <c r="C761" s="1119" t="s">
        <v>4860</v>
      </c>
      <c r="D761" s="1121"/>
      <c r="E761" s="1121"/>
      <c r="F761" s="1120"/>
      <c r="G761" s="100"/>
      <c r="H761" s="100"/>
      <c r="I761" s="100"/>
      <c r="J761" s="100"/>
      <c r="K761" s="100"/>
      <c r="L761" s="100"/>
      <c r="M761" s="100"/>
      <c r="N761" s="100"/>
      <c r="O761" s="100"/>
      <c r="P761" s="100"/>
      <c r="Q761" s="100"/>
      <c r="R761" s="100"/>
      <c r="S761" s="100"/>
      <c r="T761" s="100"/>
      <c r="U761" s="100"/>
      <c r="V761" s="100"/>
      <c r="W761" s="100"/>
      <c r="X761" s="100"/>
      <c r="Y761" s="100"/>
      <c r="Z761" s="100"/>
      <c r="AA761" s="100"/>
      <c r="AB761" s="100"/>
      <c r="AC761" s="100"/>
      <c r="AD761" s="100"/>
      <c r="AF761"/>
      <c r="AG761"/>
      <c r="AH761"/>
      <c r="AI761"/>
      <c r="AJ761"/>
      <c r="AK761">
        <f t="shared" si="293"/>
        <v>0</v>
      </c>
      <c r="AL761">
        <f t="shared" si="294"/>
        <v>0</v>
      </c>
      <c r="AM761">
        <f t="shared" si="316"/>
        <v>0</v>
      </c>
      <c r="AN761">
        <f t="shared" si="295"/>
        <v>0</v>
      </c>
      <c r="AO761">
        <f t="shared" si="296"/>
        <v>0</v>
      </c>
      <c r="AP761">
        <f t="shared" si="297"/>
        <v>0</v>
      </c>
      <c r="AQ761">
        <f t="shared" si="298"/>
        <v>0</v>
      </c>
      <c r="AR761">
        <f t="shared" si="299"/>
        <v>0</v>
      </c>
      <c r="AS761">
        <f t="shared" si="300"/>
        <v>0</v>
      </c>
      <c r="AT761">
        <f t="shared" si="301"/>
        <v>0</v>
      </c>
      <c r="AU761">
        <f t="shared" si="302"/>
        <v>0</v>
      </c>
      <c r="AV761">
        <f t="shared" si="303"/>
        <v>0</v>
      </c>
      <c r="AW761">
        <f t="shared" si="304"/>
        <v>0</v>
      </c>
      <c r="AX761">
        <f t="shared" si="305"/>
        <v>0</v>
      </c>
      <c r="AY761">
        <f t="shared" si="306"/>
        <v>0</v>
      </c>
      <c r="AZ761">
        <f t="shared" si="307"/>
        <v>0</v>
      </c>
      <c r="BA761">
        <f t="shared" si="308"/>
        <v>0</v>
      </c>
      <c r="BB761">
        <f t="shared" si="309"/>
        <v>0</v>
      </c>
      <c r="BC761">
        <f t="shared" si="310"/>
        <v>0</v>
      </c>
      <c r="BD761">
        <f t="shared" si="311"/>
        <v>0</v>
      </c>
      <c r="BE761">
        <f t="shared" si="312"/>
        <v>0</v>
      </c>
      <c r="BF761">
        <f t="shared" si="313"/>
        <v>0</v>
      </c>
      <c r="BG761">
        <f t="shared" si="314"/>
        <v>0</v>
      </c>
      <c r="BH761">
        <f t="shared" si="315"/>
        <v>0</v>
      </c>
      <c r="BI761">
        <f>COUNTIF(AD739:AD744,"NS")</f>
        <v>0</v>
      </c>
      <c r="BJ761">
        <f>SUM(AD739:AD744)</f>
        <v>0</v>
      </c>
      <c r="BK761">
        <f>IF(COUNTA(AD738:AD744)=0,0,IF(OR(AND(AD738=0,BI761&gt;0),AND(AD738="ns",BJ761&gt;0),AND(AD738="ns",BI761=0,BJ761=0)),1,IF(OR(AND(BI761&gt;=2,AD738&gt;BJ761),AND(AD738="ns",BJ761=0,BI761&gt;0),AD738=BJ761),0,1)))</f>
        <v>0</v>
      </c>
      <c r="BL761">
        <f>COUNTIF(AD750:AD754,"NS")</f>
        <v>0</v>
      </c>
      <c r="BM761">
        <f>SUM(AD750:AD754)</f>
        <v>0</v>
      </c>
      <c r="BN761">
        <f>IF(COUNTA(AD749:AD754)=0,0,IF(OR(AND(AD749=0,BL761&gt;0),AND(AD749="ns",BM761&gt;0),AND(AD749="ns",BL761=0,BM761=0)),1,IF(OR(AND(BL761&gt;=2,AD749&gt;BM761),AND(AD749="ns",BM761=0,BL761&gt;0),AD749=BM761),0,1)))</f>
        <v>0</v>
      </c>
      <c r="BO761">
        <f>COUNTIF(AD759:AD776,"NS")</f>
        <v>0</v>
      </c>
      <c r="BP761">
        <f>SUM(AD759:AD776)</f>
        <v>0</v>
      </c>
      <c r="BQ761">
        <f>IF(COUNTA(AD758:AD776)=0,0,IF(OR(AND(AD758=0,BO761&gt;0),AND(AD758="ns",BP761&gt;0),AND(AD758="ns",BO761=0,BP761=0)),1,IF(OR(AND(BO761&gt;=2,AD758&gt;BP761),AND(AD758="ns",BP761=0,BO761&gt;0),AD758=BP761),0,1)))</f>
        <v>0</v>
      </c>
      <c r="BR761">
        <f>COUNTIF(AD778:AD782,"NS")</f>
        <v>0</v>
      </c>
      <c r="BS761">
        <f>SUM(AD778:AD782)</f>
        <v>0</v>
      </c>
      <c r="BT761">
        <f>IF(COUNTA(AD777:AD782)=0,0,IF(OR(AND(AD777=0,BR761&gt;0),AND(AD777="ns",BS761&gt;0),AND(AD777="ns",BR761=0,BS761=0)),1,IF(OR(AND(BR761&gt;=2,AD777&gt;BS761),AND(AD777="ns",BS761=0,BR761&gt;0),AD777=BS761),0,1)))</f>
        <v>0</v>
      </c>
      <c r="BU761">
        <f>COUNTIF(AD786:AD788,"NS")</f>
        <v>0</v>
      </c>
      <c r="BV761">
        <f>SUM(AD786:AD788)</f>
        <v>0</v>
      </c>
      <c r="BW761">
        <f>IF(COUNTA(AD785:AD788)=0,0,IF(OR(AND(AD785=0,BU761&gt;0),AND(AD785="ns",BV761&gt;0),AND(AD785="ns",BU761=0,BV761=0)),1,IF(OR(AND(BU761&gt;=2,AD785&gt;BV761),AND(AD785="ns",BV761=0,BU761&gt;0),AD785=BV761),0,1)))</f>
        <v>0</v>
      </c>
      <c r="BX761">
        <f>COUNTIF(AD796:AD802,"NS")</f>
        <v>0</v>
      </c>
      <c r="BY761">
        <f>SUM(AD796:AD802)</f>
        <v>0</v>
      </c>
      <c r="BZ761">
        <f>IF(COUNTA(AD795:AD802)=0,0,IF(OR(AND(AD795=0,BX761&gt;0),AND(AD795="ns",BY761&gt;0),AND(AD795="ns",BX761=0,BY761=0)),1,IF(OR(AND(BX761&gt;=2,AD795&gt;BY761),AND(AD795="ns",BY761=0,BX761&gt;0),AD795=BY761),0,1)))</f>
        <v>0</v>
      </c>
      <c r="CA761">
        <f>COUNTIF(AD804:AD808,"NS")</f>
        <v>0</v>
      </c>
      <c r="CB761">
        <f>SUM(AD804:AD808)</f>
        <v>0</v>
      </c>
      <c r="CC761">
        <f>IF(COUNTA(AD803:AD808)=0,0,IF(OR(AND(AD803=0,CA761&gt;0),AND(AD803="ns",CB761&gt;0),AND(AD803="ns",CA761=0,CB761=0)),1,IF(OR(AND(CA761&gt;=2,AD803&gt;CB761),AND(AD803="ns",CB761=0,CA761&gt;0),AD803=CB761),0,1)))</f>
        <v>0</v>
      </c>
      <c r="CD761">
        <f>COUNTIF(AD814:AD819,"NS")</f>
        <v>0</v>
      </c>
      <c r="CE761">
        <f>SUM(AD814:AD819)</f>
        <v>0</v>
      </c>
      <c r="CF761">
        <f>IF(COUNTA(AD813:AD819)=0,0,IF(OR(AND(AD813=0,CD761&gt;0),AND(AD813="ns",CE761&gt;0),AND(AD813="ns",CD761=0,CE761=0)),1,IF(OR(AND(CD761&gt;=2,AD813&gt;CE761),AND(AD813="ns",CE761=0,CD761&gt;0),AD813=CE761),0,1)))</f>
        <v>0</v>
      </c>
      <c r="CG761">
        <f>COUNTIF(AD821:AD828,"NS")</f>
        <v>0</v>
      </c>
      <c r="CH761">
        <f>SUM(AD821:AD828)</f>
        <v>0</v>
      </c>
      <c r="CI761">
        <f>IF(COUNTA(AD820:AD828)=0,0,IF(OR(AND(AD820=0,CG761&gt;0),AND(AD820="ns",CH761&gt;0),AND(AD820="ns",CG761=0,CH761=0)),1,IF(OR(AND(CG761&gt;=2,AD820&gt;CH761),AND(AD820="ns",CH761=0,CG761&gt;0),AD820=CH761),0,1)))</f>
        <v>0</v>
      </c>
      <c r="CJ761">
        <f>COUNTIF(AD833:AD838,"NS")</f>
        <v>0</v>
      </c>
      <c r="CK761">
        <f>SUM(AD833:AD838)</f>
        <v>0</v>
      </c>
      <c r="CL761">
        <f>IF(COUNTA(AD832:AD838)=0,0,IF(OR(AND(AD832=0,CJ761&gt;0),AND(AD832="ns",CK761&gt;0),AND(AD832="ns",CJ761=0,CK761=0)),1,IF(OR(AND(CJ761&gt;=2,AD832&gt;CK761),AND(AD832="ns",CK761=0,CJ761&gt;0),AD832=CK761),0,1)))</f>
        <v>0</v>
      </c>
      <c r="CM761">
        <f>COUNTIF(AD843:AD851,"NS")</f>
        <v>0</v>
      </c>
      <c r="CN761">
        <f>SUM(AD843:AD851)</f>
        <v>0</v>
      </c>
      <c r="CO761">
        <f>IF(COUNTA(AD842:AD851)=0,0,IF(OR(AND(AD842=0,CM761&gt;0),AND(AD842="ns",CN761&gt;0),AND(AD842="ns",CM761=0,CN761=0)),1,IF(OR(AND(CM761&gt;=2,AD842&gt;CN761),AND(AD842="ns",CN761=0,CM761&gt;0),AD842=CN761),0,1)))</f>
        <v>0</v>
      </c>
      <c r="CP761">
        <f>COUNTIF(AD853:AD855,"NS")</f>
        <v>0</v>
      </c>
      <c r="CQ761">
        <f>SUM(AD853:AD855)</f>
        <v>0</v>
      </c>
      <c r="CR761">
        <f>IF(COUNTA(AD852:AD855)=0,0,IF(OR(AND(AD852=0,CP761&gt;0),AND(AD852="ns",CQ761&gt;0),AND(AD852="ns",CP761=0,CQ761=0)),1,IF(OR(AND(CP761&gt;=2,AD852&gt;CQ761),AND(AD852="ns",CQ761=0,CP761&gt;0),AD852=CQ761),0,1)))</f>
        <v>0</v>
      </c>
      <c r="CS761">
        <f>COUNTIF(AD864:AD870,"NS")</f>
        <v>0</v>
      </c>
      <c r="CT761">
        <f>SUM(AD864:AD870)</f>
        <v>0</v>
      </c>
      <c r="CU761">
        <f>IF(COUNTA(AD863:AD870)=0,0,IF(OR(AND(AD863=0,CS761&gt;0),AND(AD863="ns",CT761&gt;0),AND(AD863="ns",CS761=0,CT761=0)),1,IF(OR(AND(CS761&gt;=2,AD863&gt;CT761),AND(AD863="ns",CT761=0,CS761&gt;0),AD863=CT761),0,1)))</f>
        <v>0</v>
      </c>
      <c r="CV761">
        <f>COUNTIF(AD873:AD875,"NS")</f>
        <v>0</v>
      </c>
      <c r="CW761">
        <f>SUM(AD873:AD875)</f>
        <v>0</v>
      </c>
      <c r="CX761">
        <f>IF(COUNTA(AD872:AD875)=0,0,IF(OR(AND(AD872=0,CV761&gt;0),AND(AD872="ns",CW761&gt;0),AND(AD872="ns",CV761=0,CW761=0)),1,IF(OR(AND(CV761&gt;=2,AD872&gt;CW761),AND(AD872="ns",CW761=0,CV761&gt;0),AD872=CW761),0,1)))</f>
        <v>0</v>
      </c>
      <c r="CY761">
        <f>COUNTIF(AD885:AD889,"NS")</f>
        <v>0</v>
      </c>
      <c r="CZ761">
        <f>SUM(AD885:AD889)</f>
        <v>0</v>
      </c>
      <c r="DA761">
        <f>IF(COUNTA(AD884:AD889)=0,0,IF(OR(AND(AD884=0,CY761&gt;0),AND(AD884="ns",CZ761&gt;0),AND(AD884="ns",CY761=0,CZ761=0)),1,IF(OR(AND(CY761&gt;=2,AD884&gt;CZ761),AND(AD884="ns",CZ761=0,CY761&gt;0),AD884=CZ761),0,1)))</f>
        <v>0</v>
      </c>
    </row>
    <row r="762" spans="1:105" ht="15" customHeight="1">
      <c r="A762" s="206"/>
      <c r="B762" s="201"/>
      <c r="C762" s="1119" t="s">
        <v>4862</v>
      </c>
      <c r="D762" s="1121"/>
      <c r="E762" s="1121"/>
      <c r="F762" s="1120"/>
      <c r="G762" s="100"/>
      <c r="H762" s="100"/>
      <c r="I762" s="100"/>
      <c r="J762" s="100"/>
      <c r="K762" s="100"/>
      <c r="L762" s="100"/>
      <c r="M762" s="100"/>
      <c r="N762" s="100"/>
      <c r="O762" s="100"/>
      <c r="P762" s="100"/>
      <c r="Q762" s="100"/>
      <c r="R762" s="100"/>
      <c r="S762" s="100"/>
      <c r="T762" s="100"/>
      <c r="U762" s="100"/>
      <c r="V762" s="100"/>
      <c r="W762" s="100"/>
      <c r="X762" s="100"/>
      <c r="Y762" s="100"/>
      <c r="Z762" s="100"/>
      <c r="AA762" s="100"/>
      <c r="AB762" s="100"/>
      <c r="AC762" s="100"/>
      <c r="AD762" s="100"/>
      <c r="AF762"/>
      <c r="AG762"/>
      <c r="AH762"/>
      <c r="AI762"/>
      <c r="AJ762"/>
      <c r="AK762">
        <f t="shared" si="293"/>
        <v>0</v>
      </c>
      <c r="AL762">
        <f t="shared" si="294"/>
        <v>0</v>
      </c>
      <c r="AM762">
        <f t="shared" si="316"/>
        <v>0</v>
      </c>
      <c r="AN762">
        <f t="shared" si="295"/>
        <v>0</v>
      </c>
      <c r="AO762">
        <f t="shared" si="296"/>
        <v>0</v>
      </c>
      <c r="AP762">
        <f t="shared" si="297"/>
        <v>0</v>
      </c>
      <c r="AQ762">
        <f t="shared" si="298"/>
        <v>0</v>
      </c>
      <c r="AR762">
        <f t="shared" si="299"/>
        <v>0</v>
      </c>
      <c r="AS762">
        <f t="shared" si="300"/>
        <v>0</v>
      </c>
      <c r="AT762">
        <f t="shared" si="301"/>
        <v>0</v>
      </c>
      <c r="AU762">
        <f t="shared" si="302"/>
        <v>0</v>
      </c>
      <c r="AV762">
        <f t="shared" si="303"/>
        <v>0</v>
      </c>
      <c r="AW762">
        <f t="shared" si="304"/>
        <v>0</v>
      </c>
      <c r="AX762">
        <f t="shared" si="305"/>
        <v>0</v>
      </c>
      <c r="AY762">
        <f t="shared" si="306"/>
        <v>0</v>
      </c>
      <c r="AZ762">
        <f t="shared" si="307"/>
        <v>0</v>
      </c>
      <c r="BA762">
        <f t="shared" si="308"/>
        <v>0</v>
      </c>
      <c r="BB762">
        <f t="shared" si="309"/>
        <v>0</v>
      </c>
      <c r="BC762">
        <f t="shared" si="310"/>
        <v>0</v>
      </c>
      <c r="BD762">
        <f t="shared" si="311"/>
        <v>0</v>
      </c>
      <c r="BE762">
        <f t="shared" si="312"/>
        <v>0</v>
      </c>
      <c r="BF762">
        <f t="shared" si="313"/>
        <v>0</v>
      </c>
      <c r="BG762">
        <f t="shared" si="314"/>
        <v>0</v>
      </c>
      <c r="BH762">
        <f t="shared" si="315"/>
        <v>0</v>
      </c>
      <c r="BI762">
        <f>SUM(BI738:BI761)</f>
        <v>0</v>
      </c>
      <c r="BK762">
        <f>SUM(BK738:BK761)</f>
        <v>0</v>
      </c>
      <c r="BL762">
        <f>SUM(BL738:BL761)</f>
        <v>0</v>
      </c>
      <c r="BN762">
        <f>SUM(BN738:BN761)</f>
        <v>0</v>
      </c>
      <c r="BO762">
        <f>SUM(BO738:BO761)</f>
        <v>0</v>
      </c>
      <c r="BQ762">
        <f>SUM(BQ738:BQ761)</f>
        <v>0</v>
      </c>
      <c r="BR762">
        <f>SUM(BR738:BR761)</f>
        <v>0</v>
      </c>
      <c r="BT762">
        <f>SUM(BT738:BT761)</f>
        <v>0</v>
      </c>
      <c r="BU762">
        <f>SUM(BU738:BU761)</f>
        <v>0</v>
      </c>
      <c r="BW762">
        <f>SUM(BW738:BW761)</f>
        <v>0</v>
      </c>
      <c r="BX762">
        <f>SUM(BX738:BX761)</f>
        <v>0</v>
      </c>
      <c r="BZ762">
        <f>SUM(BZ738:BZ761)</f>
        <v>0</v>
      </c>
      <c r="CA762">
        <f>SUM(CA738:CA761)</f>
        <v>0</v>
      </c>
      <c r="CC762">
        <f>SUM(CC738:CC761)</f>
        <v>0</v>
      </c>
      <c r="CD762">
        <f>SUM(CD738:CD761)</f>
        <v>0</v>
      </c>
      <c r="CF762">
        <f>SUM(CF738:CF761)</f>
        <v>0</v>
      </c>
      <c r="CG762">
        <f>SUM(CG738:CG761)</f>
        <v>0</v>
      </c>
      <c r="CI762">
        <f>SUM(CI738:CI761)</f>
        <v>0</v>
      </c>
      <c r="CJ762">
        <f>SUM(CJ738:CJ761)</f>
        <v>0</v>
      </c>
      <c r="CL762">
        <f>SUM(CL738:CL761)</f>
        <v>0</v>
      </c>
      <c r="CM762">
        <f>SUM(CM738:CM761)</f>
        <v>0</v>
      </c>
      <c r="CO762">
        <f>SUM(CO738:CO761)</f>
        <v>0</v>
      </c>
      <c r="CP762">
        <f>SUM(CP738:CP761)</f>
        <v>0</v>
      </c>
      <c r="CR762">
        <f>SUM(CR738:CR761)</f>
        <v>0</v>
      </c>
      <c r="CS762">
        <f>SUM(CS738:CS761)</f>
        <v>0</v>
      </c>
      <c r="CU762">
        <f>SUM(CU738:CU761)</f>
        <v>0</v>
      </c>
      <c r="CV762">
        <f>SUM(CV738:CV761)</f>
        <v>0</v>
      </c>
      <c r="CX762">
        <f>SUM(CX738:CX761)</f>
        <v>0</v>
      </c>
      <c r="CY762">
        <f>SUM(CY738:CY761)</f>
        <v>0</v>
      </c>
      <c r="DA762">
        <f>SUM(DA738:DA761)</f>
        <v>0</v>
      </c>
    </row>
    <row r="763" spans="1:105" ht="15" customHeight="1">
      <c r="A763" s="206"/>
      <c r="B763" s="201"/>
      <c r="C763" s="1119" t="s">
        <v>4864</v>
      </c>
      <c r="D763" s="1121"/>
      <c r="E763" s="1121"/>
      <c r="F763" s="1120"/>
      <c r="G763" s="100"/>
      <c r="H763" s="100"/>
      <c r="I763" s="100"/>
      <c r="J763" s="100"/>
      <c r="K763" s="100"/>
      <c r="L763" s="100"/>
      <c r="M763" s="100"/>
      <c r="N763" s="100"/>
      <c r="O763" s="100"/>
      <c r="P763" s="100"/>
      <c r="Q763" s="100"/>
      <c r="R763" s="100"/>
      <c r="S763" s="100"/>
      <c r="T763" s="100"/>
      <c r="U763" s="100"/>
      <c r="V763" s="100"/>
      <c r="W763" s="100"/>
      <c r="X763" s="100"/>
      <c r="Y763" s="100"/>
      <c r="Z763" s="100"/>
      <c r="AA763" s="100"/>
      <c r="AB763" s="100"/>
      <c r="AC763" s="100"/>
      <c r="AD763" s="100"/>
      <c r="AF763"/>
      <c r="AG763"/>
      <c r="AH763"/>
      <c r="AI763"/>
      <c r="AJ763"/>
      <c r="AK763">
        <f t="shared" si="293"/>
        <v>0</v>
      </c>
      <c r="AL763">
        <f t="shared" si="294"/>
        <v>0</v>
      </c>
      <c r="AM763">
        <f t="shared" si="316"/>
        <v>0</v>
      </c>
      <c r="AN763">
        <f t="shared" si="295"/>
        <v>0</v>
      </c>
      <c r="AO763">
        <f t="shared" si="296"/>
        <v>0</v>
      </c>
      <c r="AP763">
        <f t="shared" si="297"/>
        <v>0</v>
      </c>
      <c r="AQ763">
        <f t="shared" si="298"/>
        <v>0</v>
      </c>
      <c r="AR763">
        <f t="shared" si="299"/>
        <v>0</v>
      </c>
      <c r="AS763">
        <f t="shared" si="300"/>
        <v>0</v>
      </c>
      <c r="AT763">
        <f t="shared" si="301"/>
        <v>0</v>
      </c>
      <c r="AU763">
        <f t="shared" si="302"/>
        <v>0</v>
      </c>
      <c r="AV763">
        <f t="shared" si="303"/>
        <v>0</v>
      </c>
      <c r="AW763">
        <f t="shared" si="304"/>
        <v>0</v>
      </c>
      <c r="AX763">
        <f t="shared" si="305"/>
        <v>0</v>
      </c>
      <c r="AY763">
        <f t="shared" si="306"/>
        <v>0</v>
      </c>
      <c r="AZ763">
        <f t="shared" si="307"/>
        <v>0</v>
      </c>
      <c r="BA763">
        <f t="shared" si="308"/>
        <v>0</v>
      </c>
      <c r="BB763">
        <f t="shared" si="309"/>
        <v>0</v>
      </c>
      <c r="BC763">
        <f t="shared" si="310"/>
        <v>0</v>
      </c>
      <c r="BD763">
        <f t="shared" si="311"/>
        <v>0</v>
      </c>
      <c r="BE763">
        <f t="shared" si="312"/>
        <v>0</v>
      </c>
      <c r="BF763">
        <f t="shared" si="313"/>
        <v>0</v>
      </c>
      <c r="BG763">
        <f t="shared" si="314"/>
        <v>0</v>
      </c>
      <c r="BH763">
        <f t="shared" si="315"/>
        <v>0</v>
      </c>
      <c r="DA763" s="427">
        <f>SUM(BK762,BN762,BQ762,BT762,BW762,BZ762,CC762,CF762,CI762,CL762,CO762,CR762,CU762,CX762,DA762)</f>
        <v>0</v>
      </c>
    </row>
    <row r="764" spans="1:105" ht="15" customHeight="1">
      <c r="A764" s="206"/>
      <c r="B764" s="201"/>
      <c r="C764" s="1119" t="s">
        <v>4866</v>
      </c>
      <c r="D764" s="1121"/>
      <c r="E764" s="1121"/>
      <c r="F764" s="1120"/>
      <c r="G764" s="100"/>
      <c r="H764" s="100"/>
      <c r="I764" s="100"/>
      <c r="J764" s="100"/>
      <c r="K764" s="100"/>
      <c r="L764" s="100"/>
      <c r="M764" s="100"/>
      <c r="N764" s="100"/>
      <c r="O764" s="100"/>
      <c r="P764" s="100"/>
      <c r="Q764" s="100"/>
      <c r="R764" s="100"/>
      <c r="S764" s="100"/>
      <c r="T764" s="100"/>
      <c r="U764" s="100"/>
      <c r="V764" s="100"/>
      <c r="W764" s="100"/>
      <c r="X764" s="100"/>
      <c r="Y764" s="100"/>
      <c r="Z764" s="100"/>
      <c r="AA764" s="100"/>
      <c r="AB764" s="100"/>
      <c r="AC764" s="100"/>
      <c r="AD764" s="100"/>
      <c r="AF764"/>
      <c r="AG764"/>
      <c r="AH764"/>
      <c r="AI764"/>
      <c r="AJ764"/>
      <c r="AK764">
        <f t="shared" si="293"/>
        <v>0</v>
      </c>
      <c r="AL764">
        <f t="shared" si="294"/>
        <v>0</v>
      </c>
      <c r="AM764">
        <f t="shared" si="316"/>
        <v>0</v>
      </c>
      <c r="AN764">
        <f t="shared" si="295"/>
        <v>0</v>
      </c>
      <c r="AO764">
        <f t="shared" si="296"/>
        <v>0</v>
      </c>
      <c r="AP764">
        <f t="shared" si="297"/>
        <v>0</v>
      </c>
      <c r="AQ764">
        <f t="shared" si="298"/>
        <v>0</v>
      </c>
      <c r="AR764">
        <f t="shared" si="299"/>
        <v>0</v>
      </c>
      <c r="AS764">
        <f t="shared" si="300"/>
        <v>0</v>
      </c>
      <c r="AT764">
        <f t="shared" si="301"/>
        <v>0</v>
      </c>
      <c r="AU764">
        <f t="shared" si="302"/>
        <v>0</v>
      </c>
      <c r="AV764">
        <f t="shared" si="303"/>
        <v>0</v>
      </c>
      <c r="AW764">
        <f t="shared" si="304"/>
        <v>0</v>
      </c>
      <c r="AX764">
        <f t="shared" si="305"/>
        <v>0</v>
      </c>
      <c r="AY764">
        <f t="shared" si="306"/>
        <v>0</v>
      </c>
      <c r="AZ764">
        <f t="shared" si="307"/>
        <v>0</v>
      </c>
      <c r="BA764">
        <f t="shared" si="308"/>
        <v>0</v>
      </c>
      <c r="BB764">
        <f t="shared" si="309"/>
        <v>0</v>
      </c>
      <c r="BC764">
        <f t="shared" si="310"/>
        <v>0</v>
      </c>
      <c r="BD764">
        <f t="shared" si="311"/>
        <v>0</v>
      </c>
      <c r="BE764">
        <f t="shared" si="312"/>
        <v>0</v>
      </c>
      <c r="BF764">
        <f t="shared" si="313"/>
        <v>0</v>
      </c>
      <c r="BG764">
        <f t="shared" si="314"/>
        <v>0</v>
      </c>
      <c r="BH764">
        <f t="shared" si="315"/>
        <v>0</v>
      </c>
      <c r="DA764" s="508">
        <f>SUM(CR583,DA763)</f>
        <v>0</v>
      </c>
    </row>
    <row r="765" spans="1:105" ht="15" customHeight="1">
      <c r="A765" s="206"/>
      <c r="B765" s="201"/>
      <c r="C765" s="1119" t="s">
        <v>4868</v>
      </c>
      <c r="D765" s="1121"/>
      <c r="E765" s="1121"/>
      <c r="F765" s="1120"/>
      <c r="G765" s="100"/>
      <c r="H765" s="100"/>
      <c r="I765" s="100"/>
      <c r="J765" s="100"/>
      <c r="K765" s="100"/>
      <c r="L765" s="100"/>
      <c r="M765" s="100"/>
      <c r="N765" s="100"/>
      <c r="O765" s="100"/>
      <c r="P765" s="100"/>
      <c r="Q765" s="100"/>
      <c r="R765" s="100"/>
      <c r="S765" s="100"/>
      <c r="T765" s="100"/>
      <c r="U765" s="100"/>
      <c r="V765" s="100"/>
      <c r="W765" s="100"/>
      <c r="X765" s="100"/>
      <c r="Y765" s="100"/>
      <c r="Z765" s="100"/>
      <c r="AA765" s="100"/>
      <c r="AB765" s="100"/>
      <c r="AC765" s="100"/>
      <c r="AD765" s="100"/>
      <c r="AF765"/>
      <c r="AG765"/>
      <c r="AH765"/>
      <c r="AI765"/>
      <c r="AJ765"/>
      <c r="AK765">
        <f t="shared" si="293"/>
        <v>0</v>
      </c>
      <c r="AL765">
        <f t="shared" si="294"/>
        <v>0</v>
      </c>
      <c r="AM765">
        <f t="shared" si="316"/>
        <v>0</v>
      </c>
      <c r="AN765">
        <f t="shared" si="295"/>
        <v>0</v>
      </c>
      <c r="AO765">
        <f t="shared" si="296"/>
        <v>0</v>
      </c>
      <c r="AP765">
        <f t="shared" si="297"/>
        <v>0</v>
      </c>
      <c r="AQ765">
        <f t="shared" si="298"/>
        <v>0</v>
      </c>
      <c r="AR765">
        <f t="shared" si="299"/>
        <v>0</v>
      </c>
      <c r="AS765">
        <f t="shared" si="300"/>
        <v>0</v>
      </c>
      <c r="AT765">
        <f t="shared" si="301"/>
        <v>0</v>
      </c>
      <c r="AU765">
        <f t="shared" si="302"/>
        <v>0</v>
      </c>
      <c r="AV765">
        <f t="shared" si="303"/>
        <v>0</v>
      </c>
      <c r="AW765">
        <f t="shared" si="304"/>
        <v>0</v>
      </c>
      <c r="AX765">
        <f t="shared" si="305"/>
        <v>0</v>
      </c>
      <c r="AY765">
        <f t="shared" si="306"/>
        <v>0</v>
      </c>
      <c r="AZ765">
        <f t="shared" si="307"/>
        <v>0</v>
      </c>
      <c r="BA765">
        <f t="shared" si="308"/>
        <v>0</v>
      </c>
      <c r="BB765">
        <f t="shared" si="309"/>
        <v>0</v>
      </c>
      <c r="BC765">
        <f t="shared" si="310"/>
        <v>0</v>
      </c>
      <c r="BD765">
        <f t="shared" si="311"/>
        <v>0</v>
      </c>
      <c r="BE765">
        <f t="shared" si="312"/>
        <v>0</v>
      </c>
      <c r="BF765">
        <f t="shared" si="313"/>
        <v>0</v>
      </c>
      <c r="BG765">
        <f t="shared" si="314"/>
        <v>0</v>
      </c>
      <c r="BH765">
        <f t="shared" si="315"/>
        <v>0</v>
      </c>
      <c r="CZ765" t="s">
        <v>4836</v>
      </c>
      <c r="DA765" s="506">
        <f>DA764-SUM(COUNTIF(P567,"NA"),COUNTIF(P578,"NA"),COUNTIF(P587,"NA"),COUNTIF(P606,"NA"),COUNTIF(P614,"NA"),COUNTIF(P624,"NA"),COUNTIF(P632,"NA"),COUNTIF(P642,"NA"),COUNTIF(P649,"NA"),COUNTIF(P661,"NA"),COUNTIF(P671,"NA"),COUNTIF(P681,"NA"),COUNTIF(P692,"NA"),COUNTIF(P701,"NA"),COUNTIF(P713,"NA"))</f>
        <v>0</v>
      </c>
    </row>
    <row r="766" spans="1:105" ht="15" customHeight="1">
      <c r="A766" s="206"/>
      <c r="B766" s="201"/>
      <c r="C766" s="1119" t="s">
        <v>4870</v>
      </c>
      <c r="D766" s="1121"/>
      <c r="E766" s="1121"/>
      <c r="F766" s="1120"/>
      <c r="G766" s="100"/>
      <c r="H766" s="100"/>
      <c r="I766" s="100"/>
      <c r="J766" s="100"/>
      <c r="K766" s="100"/>
      <c r="L766" s="100"/>
      <c r="M766" s="100"/>
      <c r="N766" s="100"/>
      <c r="O766" s="100"/>
      <c r="P766" s="100"/>
      <c r="Q766" s="100"/>
      <c r="R766" s="100"/>
      <c r="S766" s="100"/>
      <c r="T766" s="100"/>
      <c r="U766" s="100"/>
      <c r="V766" s="100"/>
      <c r="W766" s="100"/>
      <c r="X766" s="100"/>
      <c r="Y766" s="100"/>
      <c r="Z766" s="100"/>
      <c r="AA766" s="100"/>
      <c r="AB766" s="100"/>
      <c r="AC766" s="100"/>
      <c r="AD766" s="100"/>
      <c r="AF766"/>
      <c r="AG766"/>
      <c r="AH766"/>
      <c r="AI766"/>
      <c r="AJ766"/>
      <c r="AK766">
        <f t="shared" si="293"/>
        <v>0</v>
      </c>
      <c r="AL766">
        <f t="shared" si="294"/>
        <v>0</v>
      </c>
      <c r="AM766">
        <f t="shared" si="316"/>
        <v>0</v>
      </c>
      <c r="AN766">
        <f t="shared" si="295"/>
        <v>0</v>
      </c>
      <c r="AO766">
        <f t="shared" si="296"/>
        <v>0</v>
      </c>
      <c r="AP766">
        <f t="shared" si="297"/>
        <v>0</v>
      </c>
      <c r="AQ766">
        <f t="shared" si="298"/>
        <v>0</v>
      </c>
      <c r="AR766">
        <f t="shared" si="299"/>
        <v>0</v>
      </c>
      <c r="AS766">
        <f t="shared" si="300"/>
        <v>0</v>
      </c>
      <c r="AT766">
        <f t="shared" si="301"/>
        <v>0</v>
      </c>
      <c r="AU766">
        <f t="shared" si="302"/>
        <v>0</v>
      </c>
      <c r="AV766">
        <f t="shared" si="303"/>
        <v>0</v>
      </c>
      <c r="AW766">
        <f t="shared" si="304"/>
        <v>0</v>
      </c>
      <c r="AX766">
        <f t="shared" si="305"/>
        <v>0</v>
      </c>
      <c r="AY766">
        <f t="shared" si="306"/>
        <v>0</v>
      </c>
      <c r="AZ766">
        <f t="shared" si="307"/>
        <v>0</v>
      </c>
      <c r="BA766">
        <f t="shared" si="308"/>
        <v>0</v>
      </c>
      <c r="BB766">
        <f t="shared" si="309"/>
        <v>0</v>
      </c>
      <c r="BC766">
        <f t="shared" si="310"/>
        <v>0</v>
      </c>
      <c r="BD766">
        <f t="shared" si="311"/>
        <v>0</v>
      </c>
      <c r="BE766">
        <f t="shared" si="312"/>
        <v>0</v>
      </c>
      <c r="BF766">
        <f t="shared" si="313"/>
        <v>0</v>
      </c>
      <c r="BG766">
        <f t="shared" si="314"/>
        <v>0</v>
      </c>
      <c r="BH766">
        <f t="shared" si="315"/>
        <v>0</v>
      </c>
    </row>
    <row r="767" spans="1:105" ht="15" customHeight="1">
      <c r="A767" s="206"/>
      <c r="B767" s="201"/>
      <c r="C767" s="1119" t="s">
        <v>4872</v>
      </c>
      <c r="D767" s="1121"/>
      <c r="E767" s="1121"/>
      <c r="F767" s="1120"/>
      <c r="G767" s="100"/>
      <c r="H767" s="100"/>
      <c r="I767" s="100"/>
      <c r="J767" s="100"/>
      <c r="K767" s="100"/>
      <c r="L767" s="100"/>
      <c r="M767" s="100"/>
      <c r="N767" s="100"/>
      <c r="O767" s="100"/>
      <c r="P767" s="100"/>
      <c r="Q767" s="100"/>
      <c r="R767" s="100"/>
      <c r="S767" s="100"/>
      <c r="T767" s="100"/>
      <c r="U767" s="100"/>
      <c r="V767" s="100"/>
      <c r="W767" s="100"/>
      <c r="X767" s="100"/>
      <c r="Y767" s="100"/>
      <c r="Z767" s="100"/>
      <c r="AA767" s="100"/>
      <c r="AB767" s="100"/>
      <c r="AC767" s="100"/>
      <c r="AD767" s="100"/>
      <c r="AF767"/>
      <c r="AG767"/>
      <c r="AH767"/>
      <c r="AI767"/>
      <c r="AJ767"/>
      <c r="AK767">
        <f t="shared" si="293"/>
        <v>0</v>
      </c>
      <c r="AL767">
        <f t="shared" si="294"/>
        <v>0</v>
      </c>
      <c r="AM767">
        <f t="shared" si="316"/>
        <v>0</v>
      </c>
      <c r="AN767">
        <f t="shared" si="295"/>
        <v>0</v>
      </c>
      <c r="AO767">
        <f t="shared" si="296"/>
        <v>0</v>
      </c>
      <c r="AP767">
        <f t="shared" si="297"/>
        <v>0</v>
      </c>
      <c r="AQ767">
        <f t="shared" si="298"/>
        <v>0</v>
      </c>
      <c r="AR767">
        <f t="shared" si="299"/>
        <v>0</v>
      </c>
      <c r="AS767">
        <f t="shared" si="300"/>
        <v>0</v>
      </c>
      <c r="AT767">
        <f t="shared" si="301"/>
        <v>0</v>
      </c>
      <c r="AU767">
        <f t="shared" si="302"/>
        <v>0</v>
      </c>
      <c r="AV767">
        <f t="shared" si="303"/>
        <v>0</v>
      </c>
      <c r="AW767">
        <f t="shared" si="304"/>
        <v>0</v>
      </c>
      <c r="AX767">
        <f t="shared" si="305"/>
        <v>0</v>
      </c>
      <c r="AY767">
        <f t="shared" si="306"/>
        <v>0</v>
      </c>
      <c r="AZ767">
        <f t="shared" si="307"/>
        <v>0</v>
      </c>
      <c r="BA767">
        <f t="shared" si="308"/>
        <v>0</v>
      </c>
      <c r="BB767">
        <f t="shared" si="309"/>
        <v>0</v>
      </c>
      <c r="BC767">
        <f t="shared" si="310"/>
        <v>0</v>
      </c>
      <c r="BD767">
        <f t="shared" si="311"/>
        <v>0</v>
      </c>
      <c r="BE767">
        <f t="shared" si="312"/>
        <v>0</v>
      </c>
      <c r="BF767">
        <f t="shared" si="313"/>
        <v>0</v>
      </c>
      <c r="BG767">
        <f t="shared" si="314"/>
        <v>0</v>
      </c>
      <c r="BH767">
        <f t="shared" si="315"/>
        <v>0</v>
      </c>
    </row>
    <row r="768" spans="1:105" ht="15" customHeight="1">
      <c r="A768" s="206"/>
      <c r="B768" s="201"/>
      <c r="C768" s="1119" t="s">
        <v>4874</v>
      </c>
      <c r="D768" s="1121"/>
      <c r="E768" s="1121"/>
      <c r="F768" s="1120"/>
      <c r="G768" s="100"/>
      <c r="H768" s="100"/>
      <c r="I768" s="100"/>
      <c r="J768" s="100"/>
      <c r="K768" s="100"/>
      <c r="L768" s="100"/>
      <c r="M768" s="100"/>
      <c r="N768" s="100"/>
      <c r="O768" s="100"/>
      <c r="P768" s="100"/>
      <c r="Q768" s="100"/>
      <c r="R768" s="100"/>
      <c r="S768" s="100"/>
      <c r="T768" s="100"/>
      <c r="U768" s="100"/>
      <c r="V768" s="100"/>
      <c r="W768" s="100"/>
      <c r="X768" s="100"/>
      <c r="Y768" s="100"/>
      <c r="Z768" s="100"/>
      <c r="AA768" s="100"/>
      <c r="AB768" s="100"/>
      <c r="AC768" s="100"/>
      <c r="AD768" s="100"/>
      <c r="AF768"/>
      <c r="AG768"/>
      <c r="AH768"/>
      <c r="AI768"/>
      <c r="AJ768"/>
      <c r="AK768">
        <f t="shared" si="293"/>
        <v>0</v>
      </c>
      <c r="AL768">
        <f t="shared" si="294"/>
        <v>0</v>
      </c>
      <c r="AM768">
        <f t="shared" si="316"/>
        <v>0</v>
      </c>
      <c r="AN768">
        <f t="shared" si="295"/>
        <v>0</v>
      </c>
      <c r="AO768">
        <f t="shared" si="296"/>
        <v>0</v>
      </c>
      <c r="AP768">
        <f t="shared" si="297"/>
        <v>0</v>
      </c>
      <c r="AQ768">
        <f t="shared" si="298"/>
        <v>0</v>
      </c>
      <c r="AR768">
        <f t="shared" si="299"/>
        <v>0</v>
      </c>
      <c r="AS768">
        <f t="shared" si="300"/>
        <v>0</v>
      </c>
      <c r="AT768">
        <f t="shared" si="301"/>
        <v>0</v>
      </c>
      <c r="AU768">
        <f t="shared" si="302"/>
        <v>0</v>
      </c>
      <c r="AV768">
        <f t="shared" si="303"/>
        <v>0</v>
      </c>
      <c r="AW768">
        <f t="shared" si="304"/>
        <v>0</v>
      </c>
      <c r="AX768">
        <f t="shared" si="305"/>
        <v>0</v>
      </c>
      <c r="AY768">
        <f t="shared" si="306"/>
        <v>0</v>
      </c>
      <c r="AZ768">
        <f t="shared" si="307"/>
        <v>0</v>
      </c>
      <c r="BA768">
        <f t="shared" si="308"/>
        <v>0</v>
      </c>
      <c r="BB768">
        <f t="shared" si="309"/>
        <v>0</v>
      </c>
      <c r="BC768">
        <f t="shared" si="310"/>
        <v>0</v>
      </c>
      <c r="BD768">
        <f t="shared" si="311"/>
        <v>0</v>
      </c>
      <c r="BE768">
        <f t="shared" si="312"/>
        <v>0</v>
      </c>
      <c r="BF768">
        <f t="shared" si="313"/>
        <v>0</v>
      </c>
      <c r="BG768">
        <f t="shared" si="314"/>
        <v>0</v>
      </c>
      <c r="BH768">
        <f t="shared" si="315"/>
        <v>0</v>
      </c>
    </row>
    <row r="769" spans="1:60" ht="15" customHeight="1">
      <c r="A769" s="206"/>
      <c r="B769" s="201"/>
      <c r="C769" s="1119" t="s">
        <v>4876</v>
      </c>
      <c r="D769" s="1121"/>
      <c r="E769" s="1121"/>
      <c r="F769" s="1120"/>
      <c r="G769" s="100"/>
      <c r="H769" s="100"/>
      <c r="I769" s="100"/>
      <c r="J769" s="100"/>
      <c r="K769" s="100"/>
      <c r="L769" s="100"/>
      <c r="M769" s="100"/>
      <c r="N769" s="100"/>
      <c r="O769" s="100"/>
      <c r="P769" s="100"/>
      <c r="Q769" s="100"/>
      <c r="R769" s="100"/>
      <c r="S769" s="100"/>
      <c r="T769" s="100"/>
      <c r="U769" s="100"/>
      <c r="V769" s="100"/>
      <c r="W769" s="100"/>
      <c r="X769" s="100"/>
      <c r="Y769" s="100"/>
      <c r="Z769" s="100"/>
      <c r="AA769" s="100"/>
      <c r="AB769" s="100"/>
      <c r="AC769" s="100"/>
      <c r="AD769" s="100"/>
      <c r="AF769"/>
      <c r="AG769"/>
      <c r="AH769"/>
      <c r="AI769"/>
      <c r="AJ769"/>
      <c r="AK769">
        <f t="shared" si="293"/>
        <v>0</v>
      </c>
      <c r="AL769">
        <f t="shared" si="294"/>
        <v>0</v>
      </c>
      <c r="AM769">
        <f t="shared" si="316"/>
        <v>0</v>
      </c>
      <c r="AN769">
        <f t="shared" si="295"/>
        <v>0</v>
      </c>
      <c r="AO769">
        <f t="shared" si="296"/>
        <v>0</v>
      </c>
      <c r="AP769">
        <f t="shared" si="297"/>
        <v>0</v>
      </c>
      <c r="AQ769">
        <f t="shared" si="298"/>
        <v>0</v>
      </c>
      <c r="AR769">
        <f t="shared" si="299"/>
        <v>0</v>
      </c>
      <c r="AS769">
        <f t="shared" si="300"/>
        <v>0</v>
      </c>
      <c r="AT769">
        <f t="shared" si="301"/>
        <v>0</v>
      </c>
      <c r="AU769">
        <f t="shared" si="302"/>
        <v>0</v>
      </c>
      <c r="AV769">
        <f t="shared" si="303"/>
        <v>0</v>
      </c>
      <c r="AW769">
        <f t="shared" si="304"/>
        <v>0</v>
      </c>
      <c r="AX769">
        <f t="shared" si="305"/>
        <v>0</v>
      </c>
      <c r="AY769">
        <f t="shared" si="306"/>
        <v>0</v>
      </c>
      <c r="AZ769">
        <f t="shared" si="307"/>
        <v>0</v>
      </c>
      <c r="BA769">
        <f t="shared" si="308"/>
        <v>0</v>
      </c>
      <c r="BB769">
        <f t="shared" si="309"/>
        <v>0</v>
      </c>
      <c r="BC769">
        <f t="shared" si="310"/>
        <v>0</v>
      </c>
      <c r="BD769">
        <f t="shared" si="311"/>
        <v>0</v>
      </c>
      <c r="BE769">
        <f t="shared" si="312"/>
        <v>0</v>
      </c>
      <c r="BF769">
        <f t="shared" si="313"/>
        <v>0</v>
      </c>
      <c r="BG769">
        <f t="shared" si="314"/>
        <v>0</v>
      </c>
      <c r="BH769">
        <f t="shared" si="315"/>
        <v>0</v>
      </c>
    </row>
    <row r="770" spans="1:60" ht="15" customHeight="1">
      <c r="A770" s="206"/>
      <c r="B770" s="201"/>
      <c r="C770" s="1119" t="s">
        <v>4878</v>
      </c>
      <c r="D770" s="1121"/>
      <c r="E770" s="1121"/>
      <c r="F770" s="1120"/>
      <c r="G770" s="100"/>
      <c r="H770" s="100"/>
      <c r="I770" s="100"/>
      <c r="J770" s="100"/>
      <c r="K770" s="100"/>
      <c r="L770" s="100"/>
      <c r="M770" s="100"/>
      <c r="N770" s="100"/>
      <c r="O770" s="100"/>
      <c r="P770" s="100"/>
      <c r="Q770" s="100"/>
      <c r="R770" s="100"/>
      <c r="S770" s="100"/>
      <c r="T770" s="100"/>
      <c r="U770" s="100"/>
      <c r="V770" s="100"/>
      <c r="W770" s="100"/>
      <c r="X770" s="100"/>
      <c r="Y770" s="100"/>
      <c r="Z770" s="100"/>
      <c r="AA770" s="100"/>
      <c r="AB770" s="100"/>
      <c r="AC770" s="100"/>
      <c r="AD770" s="100"/>
      <c r="AF770"/>
      <c r="AG770"/>
      <c r="AH770"/>
      <c r="AI770"/>
      <c r="AJ770"/>
      <c r="AK770">
        <f t="shared" si="293"/>
        <v>0</v>
      </c>
      <c r="AL770">
        <f t="shared" si="294"/>
        <v>0</v>
      </c>
      <c r="AM770">
        <f t="shared" si="316"/>
        <v>0</v>
      </c>
      <c r="AN770">
        <f t="shared" si="295"/>
        <v>0</v>
      </c>
      <c r="AO770">
        <f t="shared" si="296"/>
        <v>0</v>
      </c>
      <c r="AP770">
        <f t="shared" si="297"/>
        <v>0</v>
      </c>
      <c r="AQ770">
        <f t="shared" si="298"/>
        <v>0</v>
      </c>
      <c r="AR770">
        <f t="shared" si="299"/>
        <v>0</v>
      </c>
      <c r="AS770">
        <f t="shared" si="300"/>
        <v>0</v>
      </c>
      <c r="AT770">
        <f t="shared" si="301"/>
        <v>0</v>
      </c>
      <c r="AU770">
        <f t="shared" si="302"/>
        <v>0</v>
      </c>
      <c r="AV770">
        <f t="shared" si="303"/>
        <v>0</v>
      </c>
      <c r="AW770">
        <f t="shared" si="304"/>
        <v>0</v>
      </c>
      <c r="AX770">
        <f t="shared" si="305"/>
        <v>0</v>
      </c>
      <c r="AY770">
        <f t="shared" si="306"/>
        <v>0</v>
      </c>
      <c r="AZ770">
        <f t="shared" si="307"/>
        <v>0</v>
      </c>
      <c r="BA770">
        <f t="shared" si="308"/>
        <v>0</v>
      </c>
      <c r="BB770">
        <f t="shared" si="309"/>
        <v>0</v>
      </c>
      <c r="BC770">
        <f t="shared" si="310"/>
        <v>0</v>
      </c>
      <c r="BD770">
        <f t="shared" si="311"/>
        <v>0</v>
      </c>
      <c r="BE770">
        <f t="shared" si="312"/>
        <v>0</v>
      </c>
      <c r="BF770">
        <f t="shared" si="313"/>
        <v>0</v>
      </c>
      <c r="BG770">
        <f t="shared" si="314"/>
        <v>0</v>
      </c>
      <c r="BH770">
        <f t="shared" si="315"/>
        <v>0</v>
      </c>
    </row>
    <row r="771" spans="1:60" ht="15" customHeight="1">
      <c r="A771" s="206"/>
      <c r="B771" s="201"/>
      <c r="C771" s="1119" t="s">
        <v>4880</v>
      </c>
      <c r="D771" s="1121"/>
      <c r="E771" s="1121"/>
      <c r="F771" s="1120"/>
      <c r="G771" s="100"/>
      <c r="H771" s="100"/>
      <c r="I771" s="100"/>
      <c r="J771" s="100"/>
      <c r="K771" s="100"/>
      <c r="L771" s="100"/>
      <c r="M771" s="100"/>
      <c r="N771" s="100"/>
      <c r="O771" s="100"/>
      <c r="P771" s="100"/>
      <c r="Q771" s="100"/>
      <c r="R771" s="100"/>
      <c r="S771" s="100"/>
      <c r="T771" s="100"/>
      <c r="U771" s="100"/>
      <c r="V771" s="100"/>
      <c r="W771" s="100"/>
      <c r="X771" s="100"/>
      <c r="Y771" s="100"/>
      <c r="Z771" s="100"/>
      <c r="AA771" s="100"/>
      <c r="AB771" s="100"/>
      <c r="AC771" s="100"/>
      <c r="AD771" s="100"/>
      <c r="AF771"/>
      <c r="AG771"/>
      <c r="AH771"/>
      <c r="AI771"/>
      <c r="AJ771"/>
      <c r="AK771">
        <f t="shared" si="293"/>
        <v>0</v>
      </c>
      <c r="AL771">
        <f t="shared" si="294"/>
        <v>0</v>
      </c>
      <c r="AM771">
        <f t="shared" si="316"/>
        <v>0</v>
      </c>
      <c r="AN771">
        <f t="shared" si="295"/>
        <v>0</v>
      </c>
      <c r="AO771">
        <f t="shared" si="296"/>
        <v>0</v>
      </c>
      <c r="AP771">
        <f t="shared" si="297"/>
        <v>0</v>
      </c>
      <c r="AQ771">
        <f t="shared" si="298"/>
        <v>0</v>
      </c>
      <c r="AR771">
        <f t="shared" si="299"/>
        <v>0</v>
      </c>
      <c r="AS771">
        <f t="shared" si="300"/>
        <v>0</v>
      </c>
      <c r="AT771">
        <f t="shared" si="301"/>
        <v>0</v>
      </c>
      <c r="AU771">
        <f t="shared" si="302"/>
        <v>0</v>
      </c>
      <c r="AV771">
        <f t="shared" si="303"/>
        <v>0</v>
      </c>
      <c r="AW771">
        <f t="shared" si="304"/>
        <v>0</v>
      </c>
      <c r="AX771">
        <f t="shared" si="305"/>
        <v>0</v>
      </c>
      <c r="AY771">
        <f t="shared" si="306"/>
        <v>0</v>
      </c>
      <c r="AZ771">
        <f t="shared" si="307"/>
        <v>0</v>
      </c>
      <c r="BA771">
        <f t="shared" si="308"/>
        <v>0</v>
      </c>
      <c r="BB771">
        <f t="shared" si="309"/>
        <v>0</v>
      </c>
      <c r="BC771">
        <f t="shared" si="310"/>
        <v>0</v>
      </c>
      <c r="BD771">
        <f t="shared" si="311"/>
        <v>0</v>
      </c>
      <c r="BE771">
        <f t="shared" si="312"/>
        <v>0</v>
      </c>
      <c r="BF771">
        <f t="shared" si="313"/>
        <v>0</v>
      </c>
      <c r="BG771">
        <f t="shared" si="314"/>
        <v>0</v>
      </c>
      <c r="BH771">
        <f t="shared" si="315"/>
        <v>0</v>
      </c>
    </row>
    <row r="772" spans="1:60" ht="15" customHeight="1">
      <c r="A772" s="206"/>
      <c r="B772" s="201"/>
      <c r="C772" s="1119" t="s">
        <v>4882</v>
      </c>
      <c r="D772" s="1121"/>
      <c r="E772" s="1121"/>
      <c r="F772" s="1120"/>
      <c r="G772" s="100"/>
      <c r="H772" s="100"/>
      <c r="I772" s="100"/>
      <c r="J772" s="100"/>
      <c r="K772" s="100"/>
      <c r="L772" s="100"/>
      <c r="M772" s="100"/>
      <c r="N772" s="100"/>
      <c r="O772" s="100"/>
      <c r="P772" s="100"/>
      <c r="Q772" s="100"/>
      <c r="R772" s="100"/>
      <c r="S772" s="100"/>
      <c r="T772" s="100"/>
      <c r="U772" s="100"/>
      <c r="V772" s="100"/>
      <c r="W772" s="100"/>
      <c r="X772" s="100"/>
      <c r="Y772" s="100"/>
      <c r="Z772" s="100"/>
      <c r="AA772" s="100"/>
      <c r="AB772" s="100"/>
      <c r="AC772" s="100"/>
      <c r="AD772" s="100"/>
      <c r="AF772"/>
      <c r="AG772"/>
      <c r="AH772"/>
      <c r="AI772"/>
      <c r="AJ772"/>
      <c r="AK772">
        <f t="shared" si="293"/>
        <v>0</v>
      </c>
      <c r="AL772">
        <f t="shared" si="294"/>
        <v>0</v>
      </c>
      <c r="AM772">
        <f t="shared" si="316"/>
        <v>0</v>
      </c>
      <c r="AN772">
        <f t="shared" si="295"/>
        <v>0</v>
      </c>
      <c r="AO772">
        <f t="shared" si="296"/>
        <v>0</v>
      </c>
      <c r="AP772">
        <f t="shared" si="297"/>
        <v>0</v>
      </c>
      <c r="AQ772">
        <f t="shared" si="298"/>
        <v>0</v>
      </c>
      <c r="AR772">
        <f t="shared" si="299"/>
        <v>0</v>
      </c>
      <c r="AS772">
        <f t="shared" si="300"/>
        <v>0</v>
      </c>
      <c r="AT772">
        <f t="shared" si="301"/>
        <v>0</v>
      </c>
      <c r="AU772">
        <f t="shared" si="302"/>
        <v>0</v>
      </c>
      <c r="AV772">
        <f t="shared" si="303"/>
        <v>0</v>
      </c>
      <c r="AW772">
        <f t="shared" si="304"/>
        <v>0</v>
      </c>
      <c r="AX772">
        <f t="shared" si="305"/>
        <v>0</v>
      </c>
      <c r="AY772">
        <f t="shared" si="306"/>
        <v>0</v>
      </c>
      <c r="AZ772">
        <f t="shared" si="307"/>
        <v>0</v>
      </c>
      <c r="BA772">
        <f t="shared" si="308"/>
        <v>0</v>
      </c>
      <c r="BB772">
        <f t="shared" si="309"/>
        <v>0</v>
      </c>
      <c r="BC772">
        <f t="shared" si="310"/>
        <v>0</v>
      </c>
      <c r="BD772">
        <f t="shared" si="311"/>
        <v>0</v>
      </c>
      <c r="BE772">
        <f t="shared" si="312"/>
        <v>0</v>
      </c>
      <c r="BF772">
        <f t="shared" si="313"/>
        <v>0</v>
      </c>
      <c r="BG772">
        <f t="shared" si="314"/>
        <v>0</v>
      </c>
      <c r="BH772">
        <f t="shared" si="315"/>
        <v>0</v>
      </c>
    </row>
    <row r="773" spans="1:60" ht="15" customHeight="1">
      <c r="A773" s="206"/>
      <c r="B773" s="201"/>
      <c r="C773" s="1119" t="s">
        <v>4884</v>
      </c>
      <c r="D773" s="1121"/>
      <c r="E773" s="1121"/>
      <c r="F773" s="1120"/>
      <c r="G773" s="100"/>
      <c r="H773" s="100"/>
      <c r="I773" s="100"/>
      <c r="J773" s="100"/>
      <c r="K773" s="100"/>
      <c r="L773" s="100"/>
      <c r="M773" s="100"/>
      <c r="N773" s="100"/>
      <c r="O773" s="100"/>
      <c r="P773" s="100"/>
      <c r="Q773" s="100"/>
      <c r="R773" s="100"/>
      <c r="S773" s="100"/>
      <c r="T773" s="100"/>
      <c r="U773" s="100"/>
      <c r="V773" s="100"/>
      <c r="W773" s="100"/>
      <c r="X773" s="100"/>
      <c r="Y773" s="100"/>
      <c r="Z773" s="100"/>
      <c r="AA773" s="100"/>
      <c r="AB773" s="100"/>
      <c r="AC773" s="100"/>
      <c r="AD773" s="100"/>
      <c r="AF773"/>
      <c r="AG773"/>
      <c r="AH773"/>
      <c r="AI773"/>
      <c r="AJ773"/>
      <c r="AK773">
        <f t="shared" si="293"/>
        <v>0</v>
      </c>
      <c r="AL773">
        <f t="shared" si="294"/>
        <v>0</v>
      </c>
      <c r="AM773">
        <f t="shared" si="316"/>
        <v>0</v>
      </c>
      <c r="AN773">
        <f t="shared" si="295"/>
        <v>0</v>
      </c>
      <c r="AO773">
        <f t="shared" si="296"/>
        <v>0</v>
      </c>
      <c r="AP773">
        <f t="shared" si="297"/>
        <v>0</v>
      </c>
      <c r="AQ773">
        <f t="shared" si="298"/>
        <v>0</v>
      </c>
      <c r="AR773">
        <f t="shared" si="299"/>
        <v>0</v>
      </c>
      <c r="AS773">
        <f t="shared" si="300"/>
        <v>0</v>
      </c>
      <c r="AT773">
        <f t="shared" si="301"/>
        <v>0</v>
      </c>
      <c r="AU773">
        <f t="shared" si="302"/>
        <v>0</v>
      </c>
      <c r="AV773">
        <f t="shared" si="303"/>
        <v>0</v>
      </c>
      <c r="AW773">
        <f t="shared" si="304"/>
        <v>0</v>
      </c>
      <c r="AX773">
        <f t="shared" si="305"/>
        <v>0</v>
      </c>
      <c r="AY773">
        <f t="shared" si="306"/>
        <v>0</v>
      </c>
      <c r="AZ773">
        <f t="shared" si="307"/>
        <v>0</v>
      </c>
      <c r="BA773">
        <f t="shared" si="308"/>
        <v>0</v>
      </c>
      <c r="BB773">
        <f t="shared" si="309"/>
        <v>0</v>
      </c>
      <c r="BC773">
        <f t="shared" si="310"/>
        <v>0</v>
      </c>
      <c r="BD773">
        <f t="shared" si="311"/>
        <v>0</v>
      </c>
      <c r="BE773">
        <f t="shared" si="312"/>
        <v>0</v>
      </c>
      <c r="BF773">
        <f t="shared" si="313"/>
        <v>0</v>
      </c>
      <c r="BG773">
        <f t="shared" si="314"/>
        <v>0</v>
      </c>
      <c r="BH773">
        <f t="shared" si="315"/>
        <v>0</v>
      </c>
    </row>
    <row r="774" spans="1:60" ht="15" customHeight="1">
      <c r="A774" s="206"/>
      <c r="B774" s="201"/>
      <c r="C774" s="1119" t="s">
        <v>4886</v>
      </c>
      <c r="D774" s="1121"/>
      <c r="E774" s="1121"/>
      <c r="F774" s="1120"/>
      <c r="G774" s="100"/>
      <c r="H774" s="100"/>
      <c r="I774" s="100"/>
      <c r="J774" s="100"/>
      <c r="K774" s="100"/>
      <c r="L774" s="100"/>
      <c r="M774" s="100"/>
      <c r="N774" s="100"/>
      <c r="O774" s="100"/>
      <c r="P774" s="100"/>
      <c r="Q774" s="100"/>
      <c r="R774" s="100"/>
      <c r="S774" s="100"/>
      <c r="T774" s="100"/>
      <c r="U774" s="100"/>
      <c r="V774" s="100"/>
      <c r="W774" s="100"/>
      <c r="X774" s="100"/>
      <c r="Y774" s="100"/>
      <c r="Z774" s="100"/>
      <c r="AA774" s="100"/>
      <c r="AB774" s="100"/>
      <c r="AC774" s="100"/>
      <c r="AD774" s="100"/>
      <c r="AF774"/>
      <c r="AG774"/>
      <c r="AH774"/>
      <c r="AI774"/>
      <c r="AJ774"/>
      <c r="AK774">
        <f t="shared" si="293"/>
        <v>0</v>
      </c>
      <c r="AL774">
        <f t="shared" si="294"/>
        <v>0</v>
      </c>
      <c r="AM774">
        <f t="shared" si="316"/>
        <v>0</v>
      </c>
      <c r="AN774">
        <f t="shared" si="295"/>
        <v>0</v>
      </c>
      <c r="AO774">
        <f t="shared" si="296"/>
        <v>0</v>
      </c>
      <c r="AP774">
        <f t="shared" si="297"/>
        <v>0</v>
      </c>
      <c r="AQ774">
        <f t="shared" si="298"/>
        <v>0</v>
      </c>
      <c r="AR774">
        <f t="shared" si="299"/>
        <v>0</v>
      </c>
      <c r="AS774">
        <f t="shared" si="300"/>
        <v>0</v>
      </c>
      <c r="AT774">
        <f t="shared" si="301"/>
        <v>0</v>
      </c>
      <c r="AU774">
        <f t="shared" si="302"/>
        <v>0</v>
      </c>
      <c r="AV774">
        <f t="shared" si="303"/>
        <v>0</v>
      </c>
      <c r="AW774">
        <f t="shared" si="304"/>
        <v>0</v>
      </c>
      <c r="AX774">
        <f t="shared" si="305"/>
        <v>0</v>
      </c>
      <c r="AY774">
        <f t="shared" si="306"/>
        <v>0</v>
      </c>
      <c r="AZ774">
        <f t="shared" si="307"/>
        <v>0</v>
      </c>
      <c r="BA774">
        <f t="shared" si="308"/>
        <v>0</v>
      </c>
      <c r="BB774">
        <f t="shared" si="309"/>
        <v>0</v>
      </c>
      <c r="BC774">
        <f t="shared" si="310"/>
        <v>0</v>
      </c>
      <c r="BD774">
        <f t="shared" si="311"/>
        <v>0</v>
      </c>
      <c r="BE774">
        <f t="shared" si="312"/>
        <v>0</v>
      </c>
      <c r="BF774">
        <f t="shared" si="313"/>
        <v>0</v>
      </c>
      <c r="BG774">
        <f t="shared" si="314"/>
        <v>0</v>
      </c>
      <c r="BH774">
        <f t="shared" si="315"/>
        <v>0</v>
      </c>
    </row>
    <row r="775" spans="1:60" ht="15" customHeight="1">
      <c r="A775" s="206"/>
      <c r="B775" s="201"/>
      <c r="C775" s="1119" t="s">
        <v>4888</v>
      </c>
      <c r="D775" s="1121"/>
      <c r="E775" s="1121"/>
      <c r="F775" s="1120"/>
      <c r="G775" s="100"/>
      <c r="H775" s="100"/>
      <c r="I775" s="100"/>
      <c r="J775" s="100"/>
      <c r="K775" s="100"/>
      <c r="L775" s="100"/>
      <c r="M775" s="100"/>
      <c r="N775" s="100"/>
      <c r="O775" s="100"/>
      <c r="P775" s="100"/>
      <c r="Q775" s="100"/>
      <c r="R775" s="100"/>
      <c r="S775" s="100"/>
      <c r="T775" s="100"/>
      <c r="U775" s="100"/>
      <c r="V775" s="100"/>
      <c r="W775" s="100"/>
      <c r="X775" s="100"/>
      <c r="Y775" s="100"/>
      <c r="Z775" s="100"/>
      <c r="AA775" s="100"/>
      <c r="AB775" s="100"/>
      <c r="AC775" s="100"/>
      <c r="AD775" s="100"/>
      <c r="AF775"/>
      <c r="AG775"/>
      <c r="AH775"/>
      <c r="AI775"/>
      <c r="AJ775"/>
      <c r="AK775">
        <f t="shared" si="293"/>
        <v>0</v>
      </c>
      <c r="AL775">
        <f t="shared" si="294"/>
        <v>0</v>
      </c>
      <c r="AM775">
        <f t="shared" si="316"/>
        <v>0</v>
      </c>
      <c r="AN775">
        <f t="shared" si="295"/>
        <v>0</v>
      </c>
      <c r="AO775">
        <f t="shared" si="296"/>
        <v>0</v>
      </c>
      <c r="AP775">
        <f t="shared" si="297"/>
        <v>0</v>
      </c>
      <c r="AQ775">
        <f t="shared" si="298"/>
        <v>0</v>
      </c>
      <c r="AR775">
        <f t="shared" si="299"/>
        <v>0</v>
      </c>
      <c r="AS775">
        <f t="shared" si="300"/>
        <v>0</v>
      </c>
      <c r="AT775">
        <f t="shared" si="301"/>
        <v>0</v>
      </c>
      <c r="AU775">
        <f t="shared" si="302"/>
        <v>0</v>
      </c>
      <c r="AV775">
        <f t="shared" si="303"/>
        <v>0</v>
      </c>
      <c r="AW775">
        <f t="shared" si="304"/>
        <v>0</v>
      </c>
      <c r="AX775">
        <f t="shared" si="305"/>
        <v>0</v>
      </c>
      <c r="AY775">
        <f t="shared" si="306"/>
        <v>0</v>
      </c>
      <c r="AZ775">
        <f t="shared" si="307"/>
        <v>0</v>
      </c>
      <c r="BA775">
        <f t="shared" si="308"/>
        <v>0</v>
      </c>
      <c r="BB775">
        <f t="shared" si="309"/>
        <v>0</v>
      </c>
      <c r="BC775">
        <f t="shared" si="310"/>
        <v>0</v>
      </c>
      <c r="BD775">
        <f t="shared" si="311"/>
        <v>0</v>
      </c>
      <c r="BE775">
        <f t="shared" si="312"/>
        <v>0</v>
      </c>
      <c r="BF775">
        <f t="shared" si="313"/>
        <v>0</v>
      </c>
      <c r="BG775">
        <f t="shared" si="314"/>
        <v>0</v>
      </c>
      <c r="BH775">
        <f t="shared" si="315"/>
        <v>0</v>
      </c>
    </row>
    <row r="776" spans="1:60" ht="15" customHeight="1">
      <c r="A776" s="206"/>
      <c r="B776" s="201"/>
      <c r="C776" s="1119" t="s">
        <v>4890</v>
      </c>
      <c r="D776" s="1121"/>
      <c r="E776" s="1121"/>
      <c r="F776" s="1120"/>
      <c r="G776" s="100"/>
      <c r="H776" s="100"/>
      <c r="I776" s="100"/>
      <c r="J776" s="100"/>
      <c r="K776" s="100"/>
      <c r="L776" s="100"/>
      <c r="M776" s="100"/>
      <c r="N776" s="100"/>
      <c r="O776" s="100"/>
      <c r="P776" s="100"/>
      <c r="Q776" s="100"/>
      <c r="R776" s="100"/>
      <c r="S776" s="100"/>
      <c r="T776" s="100"/>
      <c r="U776" s="100"/>
      <c r="V776" s="100"/>
      <c r="W776" s="100"/>
      <c r="X776" s="100"/>
      <c r="Y776" s="100"/>
      <c r="Z776" s="100"/>
      <c r="AA776" s="100"/>
      <c r="AB776" s="100"/>
      <c r="AC776" s="100"/>
      <c r="AD776" s="100"/>
      <c r="AF776"/>
      <c r="AG776"/>
      <c r="AH776"/>
      <c r="AI776"/>
      <c r="AJ776"/>
      <c r="AK776">
        <f t="shared" si="293"/>
        <v>0</v>
      </c>
      <c r="AL776">
        <f t="shared" si="294"/>
        <v>0</v>
      </c>
      <c r="AM776">
        <f t="shared" si="316"/>
        <v>0</v>
      </c>
      <c r="AN776">
        <f t="shared" si="295"/>
        <v>0</v>
      </c>
      <c r="AO776">
        <f t="shared" si="296"/>
        <v>0</v>
      </c>
      <c r="AP776">
        <f t="shared" si="297"/>
        <v>0</v>
      </c>
      <c r="AQ776">
        <f t="shared" si="298"/>
        <v>0</v>
      </c>
      <c r="AR776">
        <f t="shared" si="299"/>
        <v>0</v>
      </c>
      <c r="AS776">
        <f t="shared" si="300"/>
        <v>0</v>
      </c>
      <c r="AT776">
        <f t="shared" si="301"/>
        <v>0</v>
      </c>
      <c r="AU776">
        <f t="shared" si="302"/>
        <v>0</v>
      </c>
      <c r="AV776">
        <f t="shared" si="303"/>
        <v>0</v>
      </c>
      <c r="AW776">
        <f t="shared" si="304"/>
        <v>0</v>
      </c>
      <c r="AX776">
        <f t="shared" si="305"/>
        <v>0</v>
      </c>
      <c r="AY776">
        <f t="shared" si="306"/>
        <v>0</v>
      </c>
      <c r="AZ776">
        <f t="shared" si="307"/>
        <v>0</v>
      </c>
      <c r="BA776">
        <f t="shared" si="308"/>
        <v>0</v>
      </c>
      <c r="BB776">
        <f t="shared" si="309"/>
        <v>0</v>
      </c>
      <c r="BC776">
        <f t="shared" si="310"/>
        <v>0</v>
      </c>
      <c r="BD776">
        <f t="shared" si="311"/>
        <v>0</v>
      </c>
      <c r="BE776">
        <f t="shared" si="312"/>
        <v>0</v>
      </c>
      <c r="BF776">
        <f t="shared" si="313"/>
        <v>0</v>
      </c>
      <c r="BG776">
        <f t="shared" si="314"/>
        <v>0</v>
      </c>
      <c r="BH776">
        <f t="shared" si="315"/>
        <v>0</v>
      </c>
    </row>
    <row r="777" spans="1:60" ht="15" customHeight="1">
      <c r="A777" s="206"/>
      <c r="B777" s="206"/>
      <c r="C777" s="1117" t="s">
        <v>4891</v>
      </c>
      <c r="D777" s="1136"/>
      <c r="E777" s="1136"/>
      <c r="F777" s="1118"/>
      <c r="G777" s="100"/>
      <c r="H777" s="100"/>
      <c r="I777" s="100"/>
      <c r="J777" s="100"/>
      <c r="K777" s="100"/>
      <c r="L777" s="100"/>
      <c r="M777" s="100"/>
      <c r="N777" s="100"/>
      <c r="O777" s="100"/>
      <c r="P777" s="100"/>
      <c r="Q777" s="100"/>
      <c r="R777" s="100"/>
      <c r="S777" s="100"/>
      <c r="T777" s="100"/>
      <c r="U777" s="100"/>
      <c r="V777" s="100"/>
      <c r="W777" s="100"/>
      <c r="X777" s="100"/>
      <c r="Y777" s="100"/>
      <c r="Z777" s="100"/>
      <c r="AA777" s="100"/>
      <c r="AB777" s="100"/>
      <c r="AC777" s="100"/>
      <c r="AD777" s="100"/>
      <c r="AF777"/>
      <c r="AG777"/>
      <c r="AH777"/>
      <c r="AI777"/>
      <c r="AJ777"/>
      <c r="AK777">
        <f t="shared" si="293"/>
        <v>0</v>
      </c>
      <c r="AL777">
        <f t="shared" si="294"/>
        <v>0</v>
      </c>
      <c r="AM777">
        <f t="shared" si="316"/>
        <v>0</v>
      </c>
      <c r="AN777">
        <f t="shared" si="295"/>
        <v>0</v>
      </c>
      <c r="AO777">
        <f t="shared" si="296"/>
        <v>0</v>
      </c>
      <c r="AP777">
        <f t="shared" si="297"/>
        <v>0</v>
      </c>
      <c r="AQ777">
        <f t="shared" si="298"/>
        <v>0</v>
      </c>
      <c r="AR777">
        <f t="shared" si="299"/>
        <v>0</v>
      </c>
      <c r="AS777">
        <f t="shared" si="300"/>
        <v>0</v>
      </c>
      <c r="AT777">
        <f t="shared" si="301"/>
        <v>0</v>
      </c>
      <c r="AU777">
        <f t="shared" si="302"/>
        <v>0</v>
      </c>
      <c r="AV777">
        <f t="shared" si="303"/>
        <v>0</v>
      </c>
      <c r="AW777">
        <f t="shared" si="304"/>
        <v>0</v>
      </c>
      <c r="AX777">
        <f t="shared" si="305"/>
        <v>0</v>
      </c>
      <c r="AY777">
        <f t="shared" si="306"/>
        <v>0</v>
      </c>
      <c r="AZ777">
        <f t="shared" si="307"/>
        <v>0</v>
      </c>
      <c r="BA777">
        <f t="shared" si="308"/>
        <v>0</v>
      </c>
      <c r="BB777">
        <f t="shared" si="309"/>
        <v>0</v>
      </c>
      <c r="BC777">
        <f t="shared" si="310"/>
        <v>0</v>
      </c>
      <c r="BD777">
        <f t="shared" si="311"/>
        <v>0</v>
      </c>
      <c r="BE777">
        <f t="shared" si="312"/>
        <v>0</v>
      </c>
      <c r="BF777">
        <f t="shared" si="313"/>
        <v>0</v>
      </c>
      <c r="BG777">
        <f t="shared" si="314"/>
        <v>0</v>
      </c>
      <c r="BH777">
        <f t="shared" si="315"/>
        <v>0</v>
      </c>
    </row>
    <row r="778" spans="1:60" ht="15" customHeight="1">
      <c r="A778" s="206"/>
      <c r="B778" s="201"/>
      <c r="C778" s="1119" t="s">
        <v>4893</v>
      </c>
      <c r="D778" s="1121"/>
      <c r="E778" s="1121"/>
      <c r="F778" s="1120"/>
      <c r="G778" s="100"/>
      <c r="H778" s="100"/>
      <c r="I778" s="100"/>
      <c r="J778" s="100"/>
      <c r="K778" s="100"/>
      <c r="L778" s="100"/>
      <c r="M778" s="100"/>
      <c r="N778" s="100"/>
      <c r="O778" s="100"/>
      <c r="P778" s="100"/>
      <c r="Q778" s="100"/>
      <c r="R778" s="100"/>
      <c r="S778" s="100"/>
      <c r="T778" s="100"/>
      <c r="U778" s="100"/>
      <c r="V778" s="100"/>
      <c r="W778" s="100"/>
      <c r="X778" s="100"/>
      <c r="Y778" s="100"/>
      <c r="Z778" s="100"/>
      <c r="AA778" s="100"/>
      <c r="AB778" s="100"/>
      <c r="AC778" s="100"/>
      <c r="AD778" s="100"/>
      <c r="AF778"/>
      <c r="AG778"/>
      <c r="AH778"/>
      <c r="AI778"/>
      <c r="AJ778"/>
      <c r="AK778">
        <f t="shared" si="293"/>
        <v>0</v>
      </c>
      <c r="AL778">
        <f t="shared" si="294"/>
        <v>0</v>
      </c>
      <c r="AM778">
        <f t="shared" si="316"/>
        <v>0</v>
      </c>
      <c r="AN778">
        <f t="shared" si="295"/>
        <v>0</v>
      </c>
      <c r="AO778">
        <f t="shared" si="296"/>
        <v>0</v>
      </c>
      <c r="AP778">
        <f t="shared" si="297"/>
        <v>0</v>
      </c>
      <c r="AQ778">
        <f t="shared" si="298"/>
        <v>0</v>
      </c>
      <c r="AR778">
        <f t="shared" si="299"/>
        <v>0</v>
      </c>
      <c r="AS778">
        <f t="shared" si="300"/>
        <v>0</v>
      </c>
      <c r="AT778">
        <f t="shared" si="301"/>
        <v>0</v>
      </c>
      <c r="AU778">
        <f t="shared" si="302"/>
        <v>0</v>
      </c>
      <c r="AV778">
        <f t="shared" si="303"/>
        <v>0</v>
      </c>
      <c r="AW778">
        <f t="shared" si="304"/>
        <v>0</v>
      </c>
      <c r="AX778">
        <f t="shared" si="305"/>
        <v>0</v>
      </c>
      <c r="AY778">
        <f t="shared" si="306"/>
        <v>0</v>
      </c>
      <c r="AZ778">
        <f t="shared" si="307"/>
        <v>0</v>
      </c>
      <c r="BA778">
        <f t="shared" si="308"/>
        <v>0</v>
      </c>
      <c r="BB778">
        <f t="shared" si="309"/>
        <v>0</v>
      </c>
      <c r="BC778">
        <f t="shared" si="310"/>
        <v>0</v>
      </c>
      <c r="BD778">
        <f t="shared" si="311"/>
        <v>0</v>
      </c>
      <c r="BE778">
        <f t="shared" si="312"/>
        <v>0</v>
      </c>
      <c r="BF778">
        <f t="shared" si="313"/>
        <v>0</v>
      </c>
      <c r="BG778">
        <f t="shared" si="314"/>
        <v>0</v>
      </c>
      <c r="BH778">
        <f t="shared" si="315"/>
        <v>0</v>
      </c>
    </row>
    <row r="779" spans="1:60" ht="15" customHeight="1">
      <c r="A779" s="206"/>
      <c r="B779" s="201"/>
      <c r="C779" s="1119" t="s">
        <v>4895</v>
      </c>
      <c r="D779" s="1121"/>
      <c r="E779" s="1121"/>
      <c r="F779" s="1120"/>
      <c r="G779" s="100"/>
      <c r="H779" s="100"/>
      <c r="I779" s="100"/>
      <c r="J779" s="100"/>
      <c r="K779" s="100"/>
      <c r="L779" s="100"/>
      <c r="M779" s="100"/>
      <c r="N779" s="100"/>
      <c r="O779" s="100"/>
      <c r="P779" s="100"/>
      <c r="Q779" s="100"/>
      <c r="R779" s="100"/>
      <c r="S779" s="100"/>
      <c r="T779" s="100"/>
      <c r="U779" s="100"/>
      <c r="V779" s="100"/>
      <c r="W779" s="100"/>
      <c r="X779" s="100"/>
      <c r="Y779" s="100"/>
      <c r="Z779" s="100"/>
      <c r="AA779" s="100"/>
      <c r="AB779" s="100"/>
      <c r="AC779" s="100"/>
      <c r="AD779" s="100"/>
      <c r="AF779"/>
      <c r="AG779"/>
      <c r="AH779"/>
      <c r="AI779"/>
      <c r="AJ779"/>
      <c r="AK779">
        <f t="shared" si="293"/>
        <v>0</v>
      </c>
      <c r="AL779">
        <f t="shared" si="294"/>
        <v>0</v>
      </c>
      <c r="AM779">
        <f t="shared" si="316"/>
        <v>0</v>
      </c>
      <c r="AN779">
        <f t="shared" si="295"/>
        <v>0</v>
      </c>
      <c r="AO779">
        <f t="shared" si="296"/>
        <v>0</v>
      </c>
      <c r="AP779">
        <f t="shared" si="297"/>
        <v>0</v>
      </c>
      <c r="AQ779">
        <f t="shared" si="298"/>
        <v>0</v>
      </c>
      <c r="AR779">
        <f t="shared" si="299"/>
        <v>0</v>
      </c>
      <c r="AS779">
        <f t="shared" si="300"/>
        <v>0</v>
      </c>
      <c r="AT779">
        <f t="shared" si="301"/>
        <v>0</v>
      </c>
      <c r="AU779">
        <f t="shared" si="302"/>
        <v>0</v>
      </c>
      <c r="AV779">
        <f t="shared" si="303"/>
        <v>0</v>
      </c>
      <c r="AW779">
        <f t="shared" si="304"/>
        <v>0</v>
      </c>
      <c r="AX779">
        <f t="shared" si="305"/>
        <v>0</v>
      </c>
      <c r="AY779">
        <f t="shared" si="306"/>
        <v>0</v>
      </c>
      <c r="AZ779">
        <f t="shared" si="307"/>
        <v>0</v>
      </c>
      <c r="BA779">
        <f t="shared" si="308"/>
        <v>0</v>
      </c>
      <c r="BB779">
        <f t="shared" si="309"/>
        <v>0</v>
      </c>
      <c r="BC779">
        <f t="shared" si="310"/>
        <v>0</v>
      </c>
      <c r="BD779">
        <f t="shared" si="311"/>
        <v>0</v>
      </c>
      <c r="BE779">
        <f t="shared" si="312"/>
        <v>0</v>
      </c>
      <c r="BF779">
        <f t="shared" si="313"/>
        <v>0</v>
      </c>
      <c r="BG779">
        <f t="shared" si="314"/>
        <v>0</v>
      </c>
      <c r="BH779">
        <f t="shared" si="315"/>
        <v>0</v>
      </c>
    </row>
    <row r="780" spans="1:60" ht="15" customHeight="1">
      <c r="A780" s="206"/>
      <c r="B780" s="201"/>
      <c r="C780" s="1119" t="s">
        <v>4897</v>
      </c>
      <c r="D780" s="1121"/>
      <c r="E780" s="1121"/>
      <c r="F780" s="1120"/>
      <c r="G780" s="100"/>
      <c r="H780" s="100"/>
      <c r="I780" s="100"/>
      <c r="J780" s="100"/>
      <c r="K780" s="100"/>
      <c r="L780" s="100"/>
      <c r="M780" s="100"/>
      <c r="N780" s="100"/>
      <c r="O780" s="100"/>
      <c r="P780" s="100"/>
      <c r="Q780" s="100"/>
      <c r="R780" s="100"/>
      <c r="S780" s="100"/>
      <c r="T780" s="100"/>
      <c r="U780" s="100"/>
      <c r="V780" s="100"/>
      <c r="W780" s="100"/>
      <c r="X780" s="100"/>
      <c r="Y780" s="100"/>
      <c r="Z780" s="100"/>
      <c r="AA780" s="100"/>
      <c r="AB780" s="100"/>
      <c r="AC780" s="100"/>
      <c r="AD780" s="100"/>
      <c r="AF780"/>
      <c r="AG780"/>
      <c r="AH780"/>
      <c r="AI780"/>
      <c r="AJ780"/>
      <c r="AK780">
        <f t="shared" si="293"/>
        <v>0</v>
      </c>
      <c r="AL780">
        <f t="shared" si="294"/>
        <v>0</v>
      </c>
      <c r="AM780">
        <f t="shared" si="316"/>
        <v>0</v>
      </c>
      <c r="AN780">
        <f t="shared" si="295"/>
        <v>0</v>
      </c>
      <c r="AO780">
        <f t="shared" si="296"/>
        <v>0</v>
      </c>
      <c r="AP780">
        <f t="shared" si="297"/>
        <v>0</v>
      </c>
      <c r="AQ780">
        <f t="shared" si="298"/>
        <v>0</v>
      </c>
      <c r="AR780">
        <f t="shared" si="299"/>
        <v>0</v>
      </c>
      <c r="AS780">
        <f t="shared" si="300"/>
        <v>0</v>
      </c>
      <c r="AT780">
        <f t="shared" si="301"/>
        <v>0</v>
      </c>
      <c r="AU780">
        <f t="shared" si="302"/>
        <v>0</v>
      </c>
      <c r="AV780">
        <f t="shared" si="303"/>
        <v>0</v>
      </c>
      <c r="AW780">
        <f t="shared" si="304"/>
        <v>0</v>
      </c>
      <c r="AX780">
        <f t="shared" si="305"/>
        <v>0</v>
      </c>
      <c r="AY780">
        <f t="shared" si="306"/>
        <v>0</v>
      </c>
      <c r="AZ780">
        <f t="shared" si="307"/>
        <v>0</v>
      </c>
      <c r="BA780">
        <f t="shared" si="308"/>
        <v>0</v>
      </c>
      <c r="BB780">
        <f t="shared" si="309"/>
        <v>0</v>
      </c>
      <c r="BC780">
        <f t="shared" si="310"/>
        <v>0</v>
      </c>
      <c r="BD780">
        <f t="shared" si="311"/>
        <v>0</v>
      </c>
      <c r="BE780">
        <f t="shared" si="312"/>
        <v>0</v>
      </c>
      <c r="BF780">
        <f t="shared" si="313"/>
        <v>0</v>
      </c>
      <c r="BG780">
        <f t="shared" si="314"/>
        <v>0</v>
      </c>
      <c r="BH780">
        <f t="shared" si="315"/>
        <v>0</v>
      </c>
    </row>
    <row r="781" spans="1:60" ht="15" customHeight="1">
      <c r="A781" s="206"/>
      <c r="B781" s="201"/>
      <c r="C781" s="1119" t="s">
        <v>4899</v>
      </c>
      <c r="D781" s="1121"/>
      <c r="E781" s="1121"/>
      <c r="F781" s="1120"/>
      <c r="G781" s="100"/>
      <c r="H781" s="100"/>
      <c r="I781" s="100"/>
      <c r="J781" s="100"/>
      <c r="K781" s="100"/>
      <c r="L781" s="100"/>
      <c r="M781" s="100"/>
      <c r="N781" s="100"/>
      <c r="O781" s="100"/>
      <c r="P781" s="100"/>
      <c r="Q781" s="100"/>
      <c r="R781" s="100"/>
      <c r="S781" s="100"/>
      <c r="T781" s="100"/>
      <c r="U781" s="100"/>
      <c r="V781" s="100"/>
      <c r="W781" s="100"/>
      <c r="X781" s="100"/>
      <c r="Y781" s="100"/>
      <c r="Z781" s="100"/>
      <c r="AA781" s="100"/>
      <c r="AB781" s="100"/>
      <c r="AC781" s="100"/>
      <c r="AD781" s="100"/>
      <c r="AF781"/>
      <c r="AG781"/>
      <c r="AH781"/>
      <c r="AI781"/>
      <c r="AJ781"/>
      <c r="AK781">
        <f t="shared" si="293"/>
        <v>0</v>
      </c>
      <c r="AL781">
        <f t="shared" si="294"/>
        <v>0</v>
      </c>
      <c r="AM781">
        <f t="shared" si="316"/>
        <v>0</v>
      </c>
      <c r="AN781">
        <f t="shared" si="295"/>
        <v>0</v>
      </c>
      <c r="AO781">
        <f t="shared" si="296"/>
        <v>0</v>
      </c>
      <c r="AP781">
        <f t="shared" si="297"/>
        <v>0</v>
      </c>
      <c r="AQ781">
        <f t="shared" si="298"/>
        <v>0</v>
      </c>
      <c r="AR781">
        <f t="shared" si="299"/>
        <v>0</v>
      </c>
      <c r="AS781">
        <f t="shared" si="300"/>
        <v>0</v>
      </c>
      <c r="AT781">
        <f t="shared" si="301"/>
        <v>0</v>
      </c>
      <c r="AU781">
        <f t="shared" si="302"/>
        <v>0</v>
      </c>
      <c r="AV781">
        <f t="shared" si="303"/>
        <v>0</v>
      </c>
      <c r="AW781">
        <f t="shared" si="304"/>
        <v>0</v>
      </c>
      <c r="AX781">
        <f t="shared" si="305"/>
        <v>0</v>
      </c>
      <c r="AY781">
        <f t="shared" si="306"/>
        <v>0</v>
      </c>
      <c r="AZ781">
        <f t="shared" si="307"/>
        <v>0</v>
      </c>
      <c r="BA781">
        <f t="shared" si="308"/>
        <v>0</v>
      </c>
      <c r="BB781">
        <f t="shared" si="309"/>
        <v>0</v>
      </c>
      <c r="BC781">
        <f t="shared" si="310"/>
        <v>0</v>
      </c>
      <c r="BD781">
        <f t="shared" si="311"/>
        <v>0</v>
      </c>
      <c r="BE781">
        <f t="shared" si="312"/>
        <v>0</v>
      </c>
      <c r="BF781">
        <f t="shared" si="313"/>
        <v>0</v>
      </c>
      <c r="BG781">
        <f t="shared" si="314"/>
        <v>0</v>
      </c>
      <c r="BH781">
        <f t="shared" si="315"/>
        <v>0</v>
      </c>
    </row>
    <row r="782" spans="1:60" ht="15" customHeight="1">
      <c r="A782" s="206"/>
      <c r="B782" s="201"/>
      <c r="C782" s="1119" t="s">
        <v>4901</v>
      </c>
      <c r="D782" s="1121"/>
      <c r="E782" s="1121"/>
      <c r="F782" s="1120"/>
      <c r="G782" s="100"/>
      <c r="H782" s="100"/>
      <c r="I782" s="100"/>
      <c r="J782" s="100"/>
      <c r="K782" s="100"/>
      <c r="L782" s="100"/>
      <c r="M782" s="100"/>
      <c r="N782" s="100"/>
      <c r="O782" s="100"/>
      <c r="P782" s="100"/>
      <c r="Q782" s="100"/>
      <c r="R782" s="100"/>
      <c r="S782" s="100"/>
      <c r="T782" s="100"/>
      <c r="U782" s="100"/>
      <c r="V782" s="100"/>
      <c r="W782" s="100"/>
      <c r="X782" s="100"/>
      <c r="Y782" s="100"/>
      <c r="Z782" s="100"/>
      <c r="AA782" s="100"/>
      <c r="AB782" s="100"/>
      <c r="AC782" s="100"/>
      <c r="AD782" s="100"/>
      <c r="AF782"/>
      <c r="AG782"/>
      <c r="AH782"/>
      <c r="AI782"/>
      <c r="AJ782"/>
      <c r="AK782">
        <f t="shared" si="293"/>
        <v>0</v>
      </c>
      <c r="AL782">
        <f t="shared" si="294"/>
        <v>0</v>
      </c>
      <c r="AM782">
        <f t="shared" si="316"/>
        <v>0</v>
      </c>
      <c r="AN782">
        <f t="shared" si="295"/>
        <v>0</v>
      </c>
      <c r="AO782">
        <f t="shared" si="296"/>
        <v>0</v>
      </c>
      <c r="AP782">
        <f t="shared" si="297"/>
        <v>0</v>
      </c>
      <c r="AQ782">
        <f t="shared" si="298"/>
        <v>0</v>
      </c>
      <c r="AR782">
        <f t="shared" si="299"/>
        <v>0</v>
      </c>
      <c r="AS782">
        <f t="shared" si="300"/>
        <v>0</v>
      </c>
      <c r="AT782">
        <f t="shared" si="301"/>
        <v>0</v>
      </c>
      <c r="AU782">
        <f t="shared" si="302"/>
        <v>0</v>
      </c>
      <c r="AV782">
        <f t="shared" si="303"/>
        <v>0</v>
      </c>
      <c r="AW782">
        <f t="shared" si="304"/>
        <v>0</v>
      </c>
      <c r="AX782">
        <f t="shared" si="305"/>
        <v>0</v>
      </c>
      <c r="AY782">
        <f t="shared" si="306"/>
        <v>0</v>
      </c>
      <c r="AZ782">
        <f t="shared" si="307"/>
        <v>0</v>
      </c>
      <c r="BA782">
        <f t="shared" si="308"/>
        <v>0</v>
      </c>
      <c r="BB782">
        <f t="shared" si="309"/>
        <v>0</v>
      </c>
      <c r="BC782">
        <f t="shared" si="310"/>
        <v>0</v>
      </c>
      <c r="BD782">
        <f t="shared" si="311"/>
        <v>0</v>
      </c>
      <c r="BE782">
        <f t="shared" si="312"/>
        <v>0</v>
      </c>
      <c r="BF782">
        <f t="shared" si="313"/>
        <v>0</v>
      </c>
      <c r="BG782">
        <f t="shared" si="314"/>
        <v>0</v>
      </c>
      <c r="BH782">
        <f t="shared" si="315"/>
        <v>0</v>
      </c>
    </row>
    <row r="783" spans="1:60" ht="15" customHeight="1">
      <c r="A783" s="206"/>
      <c r="B783" s="206"/>
      <c r="C783" s="1117" t="s">
        <v>4902</v>
      </c>
      <c r="D783" s="1136"/>
      <c r="E783" s="1136"/>
      <c r="F783" s="1118"/>
      <c r="G783" s="100"/>
      <c r="H783" s="100"/>
      <c r="I783" s="100"/>
      <c r="J783" s="100"/>
      <c r="K783" s="100"/>
      <c r="L783" s="100"/>
      <c r="M783" s="100"/>
      <c r="N783" s="100"/>
      <c r="O783" s="100"/>
      <c r="P783" s="100"/>
      <c r="Q783" s="100"/>
      <c r="R783" s="100"/>
      <c r="S783" s="100"/>
      <c r="T783" s="100"/>
      <c r="U783" s="100"/>
      <c r="V783" s="100"/>
      <c r="W783" s="100"/>
      <c r="X783" s="100"/>
      <c r="Y783" s="100"/>
      <c r="Z783" s="100"/>
      <c r="AA783" s="100"/>
      <c r="AB783" s="100"/>
      <c r="AC783" s="100"/>
      <c r="AD783" s="100"/>
      <c r="AF783"/>
      <c r="AG783"/>
      <c r="AH783"/>
      <c r="AI783"/>
      <c r="AJ783"/>
      <c r="AK783">
        <f t="shared" si="293"/>
        <v>0</v>
      </c>
      <c r="AL783">
        <f t="shared" si="294"/>
        <v>0</v>
      </c>
      <c r="AM783">
        <f t="shared" si="316"/>
        <v>0</v>
      </c>
      <c r="AN783">
        <f t="shared" si="295"/>
        <v>0</v>
      </c>
      <c r="AO783">
        <f t="shared" si="296"/>
        <v>0</v>
      </c>
      <c r="AP783">
        <f t="shared" si="297"/>
        <v>0</v>
      </c>
      <c r="AQ783">
        <f t="shared" si="298"/>
        <v>0</v>
      </c>
      <c r="AR783">
        <f t="shared" si="299"/>
        <v>0</v>
      </c>
      <c r="AS783">
        <f t="shared" si="300"/>
        <v>0</v>
      </c>
      <c r="AT783">
        <f t="shared" si="301"/>
        <v>0</v>
      </c>
      <c r="AU783">
        <f t="shared" si="302"/>
        <v>0</v>
      </c>
      <c r="AV783">
        <f t="shared" si="303"/>
        <v>0</v>
      </c>
      <c r="AW783">
        <f t="shared" si="304"/>
        <v>0</v>
      </c>
      <c r="AX783">
        <f t="shared" si="305"/>
        <v>0</v>
      </c>
      <c r="AY783">
        <f t="shared" si="306"/>
        <v>0</v>
      </c>
      <c r="AZ783">
        <f t="shared" si="307"/>
        <v>0</v>
      </c>
      <c r="BA783">
        <f t="shared" si="308"/>
        <v>0</v>
      </c>
      <c r="BB783">
        <f t="shared" si="309"/>
        <v>0</v>
      </c>
      <c r="BC783">
        <f t="shared" si="310"/>
        <v>0</v>
      </c>
      <c r="BD783">
        <f t="shared" si="311"/>
        <v>0</v>
      </c>
      <c r="BE783">
        <f t="shared" si="312"/>
        <v>0</v>
      </c>
      <c r="BF783">
        <f t="shared" si="313"/>
        <v>0</v>
      </c>
      <c r="BG783">
        <f t="shared" si="314"/>
        <v>0</v>
      </c>
      <c r="BH783">
        <f t="shared" si="315"/>
        <v>0</v>
      </c>
    </row>
    <row r="784" spans="1:60" ht="15" customHeight="1">
      <c r="A784" s="206"/>
      <c r="B784" s="206"/>
      <c r="C784" s="1117" t="s">
        <v>4904</v>
      </c>
      <c r="D784" s="1136"/>
      <c r="E784" s="1136"/>
      <c r="F784" s="1118"/>
      <c r="G784" s="100"/>
      <c r="H784" s="100"/>
      <c r="I784" s="100"/>
      <c r="J784" s="100"/>
      <c r="K784" s="100"/>
      <c r="L784" s="100"/>
      <c r="M784" s="100"/>
      <c r="N784" s="100"/>
      <c r="O784" s="100"/>
      <c r="P784" s="100"/>
      <c r="Q784" s="100"/>
      <c r="R784" s="100"/>
      <c r="S784" s="100"/>
      <c r="T784" s="100"/>
      <c r="U784" s="100"/>
      <c r="V784" s="100"/>
      <c r="W784" s="100"/>
      <c r="X784" s="100"/>
      <c r="Y784" s="100"/>
      <c r="Z784" s="100"/>
      <c r="AA784" s="100"/>
      <c r="AB784" s="100"/>
      <c r="AC784" s="100"/>
      <c r="AD784" s="100"/>
      <c r="AF784"/>
      <c r="AG784"/>
      <c r="AH784"/>
      <c r="AI784"/>
      <c r="AJ784"/>
      <c r="AK784">
        <f t="shared" si="293"/>
        <v>0</v>
      </c>
      <c r="AL784">
        <f t="shared" si="294"/>
        <v>0</v>
      </c>
      <c r="AM784">
        <f t="shared" si="316"/>
        <v>0</v>
      </c>
      <c r="AN784">
        <f t="shared" si="295"/>
        <v>0</v>
      </c>
      <c r="AO784">
        <f t="shared" si="296"/>
        <v>0</v>
      </c>
      <c r="AP784">
        <f t="shared" si="297"/>
        <v>0</v>
      </c>
      <c r="AQ784">
        <f t="shared" si="298"/>
        <v>0</v>
      </c>
      <c r="AR784">
        <f t="shared" si="299"/>
        <v>0</v>
      </c>
      <c r="AS784">
        <f t="shared" si="300"/>
        <v>0</v>
      </c>
      <c r="AT784">
        <f t="shared" si="301"/>
        <v>0</v>
      </c>
      <c r="AU784">
        <f t="shared" si="302"/>
        <v>0</v>
      </c>
      <c r="AV784">
        <f t="shared" si="303"/>
        <v>0</v>
      </c>
      <c r="AW784">
        <f t="shared" si="304"/>
        <v>0</v>
      </c>
      <c r="AX784">
        <f t="shared" si="305"/>
        <v>0</v>
      </c>
      <c r="AY784">
        <f t="shared" si="306"/>
        <v>0</v>
      </c>
      <c r="AZ784">
        <f t="shared" si="307"/>
        <v>0</v>
      </c>
      <c r="BA784">
        <f t="shared" si="308"/>
        <v>0</v>
      </c>
      <c r="BB784">
        <f t="shared" si="309"/>
        <v>0</v>
      </c>
      <c r="BC784">
        <f t="shared" si="310"/>
        <v>0</v>
      </c>
      <c r="BD784">
        <f t="shared" si="311"/>
        <v>0</v>
      </c>
      <c r="BE784">
        <f t="shared" si="312"/>
        <v>0</v>
      </c>
      <c r="BF784">
        <f t="shared" si="313"/>
        <v>0</v>
      </c>
      <c r="BG784">
        <f t="shared" si="314"/>
        <v>0</v>
      </c>
      <c r="BH784">
        <f t="shared" si="315"/>
        <v>0</v>
      </c>
    </row>
    <row r="785" spans="1:60" ht="15" customHeight="1">
      <c r="A785" s="206"/>
      <c r="B785" s="206"/>
      <c r="C785" s="1117" t="s">
        <v>4906</v>
      </c>
      <c r="D785" s="1136"/>
      <c r="E785" s="1136"/>
      <c r="F785" s="1118"/>
      <c r="G785" s="100"/>
      <c r="H785" s="100"/>
      <c r="I785" s="100"/>
      <c r="J785" s="100"/>
      <c r="K785" s="100"/>
      <c r="L785" s="100"/>
      <c r="M785" s="100"/>
      <c r="N785" s="100"/>
      <c r="O785" s="100"/>
      <c r="P785" s="100"/>
      <c r="Q785" s="100"/>
      <c r="R785" s="100"/>
      <c r="S785" s="100"/>
      <c r="T785" s="100"/>
      <c r="U785" s="100"/>
      <c r="V785" s="100"/>
      <c r="W785" s="100"/>
      <c r="X785" s="100"/>
      <c r="Y785" s="100"/>
      <c r="Z785" s="100"/>
      <c r="AA785" s="100"/>
      <c r="AB785" s="100"/>
      <c r="AC785" s="100"/>
      <c r="AD785" s="100"/>
      <c r="AF785"/>
      <c r="AG785"/>
      <c r="AH785"/>
      <c r="AI785"/>
      <c r="AJ785"/>
      <c r="AK785">
        <f t="shared" si="293"/>
        <v>0</v>
      </c>
      <c r="AL785">
        <f t="shared" si="294"/>
        <v>0</v>
      </c>
      <c r="AM785">
        <f t="shared" si="316"/>
        <v>0</v>
      </c>
      <c r="AN785">
        <f t="shared" si="295"/>
        <v>0</v>
      </c>
      <c r="AO785">
        <f t="shared" si="296"/>
        <v>0</v>
      </c>
      <c r="AP785">
        <f t="shared" si="297"/>
        <v>0</v>
      </c>
      <c r="AQ785">
        <f t="shared" si="298"/>
        <v>0</v>
      </c>
      <c r="AR785">
        <f t="shared" si="299"/>
        <v>0</v>
      </c>
      <c r="AS785">
        <f t="shared" si="300"/>
        <v>0</v>
      </c>
      <c r="AT785">
        <f t="shared" si="301"/>
        <v>0</v>
      </c>
      <c r="AU785">
        <f t="shared" si="302"/>
        <v>0</v>
      </c>
      <c r="AV785">
        <f t="shared" si="303"/>
        <v>0</v>
      </c>
      <c r="AW785">
        <f t="shared" si="304"/>
        <v>0</v>
      </c>
      <c r="AX785">
        <f t="shared" si="305"/>
        <v>0</v>
      </c>
      <c r="AY785">
        <f t="shared" si="306"/>
        <v>0</v>
      </c>
      <c r="AZ785">
        <f t="shared" si="307"/>
        <v>0</v>
      </c>
      <c r="BA785">
        <f t="shared" si="308"/>
        <v>0</v>
      </c>
      <c r="BB785">
        <f t="shared" si="309"/>
        <v>0</v>
      </c>
      <c r="BC785">
        <f t="shared" si="310"/>
        <v>0</v>
      </c>
      <c r="BD785">
        <f t="shared" si="311"/>
        <v>0</v>
      </c>
      <c r="BE785">
        <f t="shared" si="312"/>
        <v>0</v>
      </c>
      <c r="BF785">
        <f t="shared" si="313"/>
        <v>0</v>
      </c>
      <c r="BG785">
        <f t="shared" si="314"/>
        <v>0</v>
      </c>
      <c r="BH785">
        <f t="shared" si="315"/>
        <v>0</v>
      </c>
    </row>
    <row r="786" spans="1:60" ht="15" customHeight="1">
      <c r="A786" s="206"/>
      <c r="B786" s="201"/>
      <c r="C786" s="1119" t="s">
        <v>4908</v>
      </c>
      <c r="D786" s="1121"/>
      <c r="E786" s="1121"/>
      <c r="F786" s="1120"/>
      <c r="G786" s="100"/>
      <c r="H786" s="100"/>
      <c r="I786" s="100"/>
      <c r="J786" s="100"/>
      <c r="K786" s="100"/>
      <c r="L786" s="100"/>
      <c r="M786" s="100"/>
      <c r="N786" s="100"/>
      <c r="O786" s="100"/>
      <c r="P786" s="100"/>
      <c r="Q786" s="100"/>
      <c r="R786" s="100"/>
      <c r="S786" s="100"/>
      <c r="T786" s="100"/>
      <c r="U786" s="100"/>
      <c r="V786" s="100"/>
      <c r="W786" s="100"/>
      <c r="X786" s="100"/>
      <c r="Y786" s="100"/>
      <c r="Z786" s="100"/>
      <c r="AA786" s="100"/>
      <c r="AB786" s="100"/>
      <c r="AC786" s="100"/>
      <c r="AD786" s="100"/>
      <c r="AF786"/>
      <c r="AG786"/>
      <c r="AH786"/>
      <c r="AI786"/>
      <c r="AJ786"/>
      <c r="AK786">
        <f t="shared" si="293"/>
        <v>0</v>
      </c>
      <c r="AL786">
        <f t="shared" si="294"/>
        <v>0</v>
      </c>
      <c r="AM786">
        <f t="shared" si="316"/>
        <v>0</v>
      </c>
      <c r="AN786">
        <f t="shared" si="295"/>
        <v>0</v>
      </c>
      <c r="AO786">
        <f t="shared" si="296"/>
        <v>0</v>
      </c>
      <c r="AP786">
        <f t="shared" si="297"/>
        <v>0</v>
      </c>
      <c r="AQ786">
        <f t="shared" si="298"/>
        <v>0</v>
      </c>
      <c r="AR786">
        <f t="shared" si="299"/>
        <v>0</v>
      </c>
      <c r="AS786">
        <f t="shared" si="300"/>
        <v>0</v>
      </c>
      <c r="AT786">
        <f t="shared" si="301"/>
        <v>0</v>
      </c>
      <c r="AU786">
        <f t="shared" si="302"/>
        <v>0</v>
      </c>
      <c r="AV786">
        <f t="shared" si="303"/>
        <v>0</v>
      </c>
      <c r="AW786">
        <f t="shared" si="304"/>
        <v>0</v>
      </c>
      <c r="AX786">
        <f t="shared" si="305"/>
        <v>0</v>
      </c>
      <c r="AY786">
        <f t="shared" si="306"/>
        <v>0</v>
      </c>
      <c r="AZ786">
        <f t="shared" si="307"/>
        <v>0</v>
      </c>
      <c r="BA786">
        <f t="shared" si="308"/>
        <v>0</v>
      </c>
      <c r="BB786">
        <f t="shared" si="309"/>
        <v>0</v>
      </c>
      <c r="BC786">
        <f t="shared" si="310"/>
        <v>0</v>
      </c>
      <c r="BD786">
        <f t="shared" si="311"/>
        <v>0</v>
      </c>
      <c r="BE786">
        <f t="shared" si="312"/>
        <v>0</v>
      </c>
      <c r="BF786">
        <f t="shared" si="313"/>
        <v>0</v>
      </c>
      <c r="BG786">
        <f t="shared" si="314"/>
        <v>0</v>
      </c>
      <c r="BH786">
        <f t="shared" si="315"/>
        <v>0</v>
      </c>
    </row>
    <row r="787" spans="1:60" ht="15" customHeight="1">
      <c r="A787" s="206"/>
      <c r="B787" s="201"/>
      <c r="C787" s="1119" t="s">
        <v>4910</v>
      </c>
      <c r="D787" s="1121"/>
      <c r="E787" s="1121"/>
      <c r="F787" s="1120"/>
      <c r="G787" s="100"/>
      <c r="H787" s="100"/>
      <c r="I787" s="100"/>
      <c r="J787" s="100"/>
      <c r="K787" s="100"/>
      <c r="L787" s="100"/>
      <c r="M787" s="100"/>
      <c r="N787" s="100"/>
      <c r="O787" s="100"/>
      <c r="P787" s="100"/>
      <c r="Q787" s="100"/>
      <c r="R787" s="100"/>
      <c r="S787" s="100"/>
      <c r="T787" s="100"/>
      <c r="U787" s="100"/>
      <c r="V787" s="100"/>
      <c r="W787" s="100"/>
      <c r="X787" s="100"/>
      <c r="Y787" s="100"/>
      <c r="Z787" s="100"/>
      <c r="AA787" s="100"/>
      <c r="AB787" s="100"/>
      <c r="AC787" s="100"/>
      <c r="AD787" s="100"/>
      <c r="AF787"/>
      <c r="AG787"/>
      <c r="AH787"/>
      <c r="AI787"/>
      <c r="AJ787"/>
      <c r="AK787">
        <f t="shared" si="293"/>
        <v>0</v>
      </c>
      <c r="AL787">
        <f t="shared" si="294"/>
        <v>0</v>
      </c>
      <c r="AM787">
        <f t="shared" si="316"/>
        <v>0</v>
      </c>
      <c r="AN787">
        <f t="shared" si="295"/>
        <v>0</v>
      </c>
      <c r="AO787">
        <f t="shared" si="296"/>
        <v>0</v>
      </c>
      <c r="AP787">
        <f t="shared" si="297"/>
        <v>0</v>
      </c>
      <c r="AQ787">
        <f t="shared" si="298"/>
        <v>0</v>
      </c>
      <c r="AR787">
        <f t="shared" si="299"/>
        <v>0</v>
      </c>
      <c r="AS787">
        <f t="shared" si="300"/>
        <v>0</v>
      </c>
      <c r="AT787">
        <f t="shared" si="301"/>
        <v>0</v>
      </c>
      <c r="AU787">
        <f t="shared" si="302"/>
        <v>0</v>
      </c>
      <c r="AV787">
        <f t="shared" si="303"/>
        <v>0</v>
      </c>
      <c r="AW787">
        <f t="shared" si="304"/>
        <v>0</v>
      </c>
      <c r="AX787">
        <f t="shared" si="305"/>
        <v>0</v>
      </c>
      <c r="AY787">
        <f t="shared" si="306"/>
        <v>0</v>
      </c>
      <c r="AZ787">
        <f t="shared" si="307"/>
        <v>0</v>
      </c>
      <c r="BA787">
        <f t="shared" si="308"/>
        <v>0</v>
      </c>
      <c r="BB787">
        <f t="shared" si="309"/>
        <v>0</v>
      </c>
      <c r="BC787">
        <f t="shared" si="310"/>
        <v>0</v>
      </c>
      <c r="BD787">
        <f t="shared" si="311"/>
        <v>0</v>
      </c>
      <c r="BE787">
        <f t="shared" si="312"/>
        <v>0</v>
      </c>
      <c r="BF787">
        <f t="shared" si="313"/>
        <v>0</v>
      </c>
      <c r="BG787">
        <f t="shared" si="314"/>
        <v>0</v>
      </c>
      <c r="BH787">
        <f t="shared" si="315"/>
        <v>0</v>
      </c>
    </row>
    <row r="788" spans="1:60" ht="15" customHeight="1">
      <c r="A788" s="206"/>
      <c r="B788" s="201"/>
      <c r="C788" s="1119" t="s">
        <v>4912</v>
      </c>
      <c r="D788" s="1121"/>
      <c r="E788" s="1121"/>
      <c r="F788" s="1120"/>
      <c r="G788" s="100"/>
      <c r="H788" s="100"/>
      <c r="I788" s="100"/>
      <c r="J788" s="100"/>
      <c r="K788" s="100"/>
      <c r="L788" s="100"/>
      <c r="M788" s="100"/>
      <c r="N788" s="100"/>
      <c r="O788" s="100"/>
      <c r="P788" s="100"/>
      <c r="Q788" s="100"/>
      <c r="R788" s="100"/>
      <c r="S788" s="100"/>
      <c r="T788" s="100"/>
      <c r="U788" s="100"/>
      <c r="V788" s="100"/>
      <c r="W788" s="100"/>
      <c r="X788" s="100"/>
      <c r="Y788" s="100"/>
      <c r="Z788" s="100"/>
      <c r="AA788" s="100"/>
      <c r="AB788" s="100"/>
      <c r="AC788" s="100"/>
      <c r="AD788" s="100"/>
      <c r="AF788"/>
      <c r="AG788"/>
      <c r="AH788"/>
      <c r="AI788"/>
      <c r="AJ788"/>
      <c r="AK788">
        <f t="shared" si="293"/>
        <v>0</v>
      </c>
      <c r="AL788">
        <f t="shared" si="294"/>
        <v>0</v>
      </c>
      <c r="AM788">
        <f t="shared" si="316"/>
        <v>0</v>
      </c>
      <c r="AN788">
        <f t="shared" si="295"/>
        <v>0</v>
      </c>
      <c r="AO788">
        <f t="shared" si="296"/>
        <v>0</v>
      </c>
      <c r="AP788">
        <f t="shared" si="297"/>
        <v>0</v>
      </c>
      <c r="AQ788">
        <f t="shared" si="298"/>
        <v>0</v>
      </c>
      <c r="AR788">
        <f t="shared" si="299"/>
        <v>0</v>
      </c>
      <c r="AS788">
        <f t="shared" si="300"/>
        <v>0</v>
      </c>
      <c r="AT788">
        <f t="shared" si="301"/>
        <v>0</v>
      </c>
      <c r="AU788">
        <f t="shared" si="302"/>
        <v>0</v>
      </c>
      <c r="AV788">
        <f t="shared" si="303"/>
        <v>0</v>
      </c>
      <c r="AW788">
        <f t="shared" si="304"/>
        <v>0</v>
      </c>
      <c r="AX788">
        <f t="shared" si="305"/>
        <v>0</v>
      </c>
      <c r="AY788">
        <f t="shared" si="306"/>
        <v>0</v>
      </c>
      <c r="AZ788">
        <f t="shared" si="307"/>
        <v>0</v>
      </c>
      <c r="BA788">
        <f t="shared" si="308"/>
        <v>0</v>
      </c>
      <c r="BB788">
        <f t="shared" si="309"/>
        <v>0</v>
      </c>
      <c r="BC788">
        <f t="shared" si="310"/>
        <v>0</v>
      </c>
      <c r="BD788">
        <f t="shared" si="311"/>
        <v>0</v>
      </c>
      <c r="BE788">
        <f t="shared" si="312"/>
        <v>0</v>
      </c>
      <c r="BF788">
        <f t="shared" si="313"/>
        <v>0</v>
      </c>
      <c r="BG788">
        <f t="shared" si="314"/>
        <v>0</v>
      </c>
      <c r="BH788">
        <f t="shared" si="315"/>
        <v>0</v>
      </c>
    </row>
    <row r="789" spans="1:60" ht="15" customHeight="1">
      <c r="A789" s="206"/>
      <c r="B789" s="206"/>
      <c r="C789" s="1117" t="s">
        <v>4913</v>
      </c>
      <c r="D789" s="1136"/>
      <c r="E789" s="1136"/>
      <c r="F789" s="1118"/>
      <c r="G789" s="100"/>
      <c r="H789" s="100"/>
      <c r="I789" s="100"/>
      <c r="J789" s="100"/>
      <c r="K789" s="100"/>
      <c r="L789" s="100"/>
      <c r="M789" s="100"/>
      <c r="N789" s="100"/>
      <c r="O789" s="100"/>
      <c r="P789" s="100"/>
      <c r="Q789" s="100"/>
      <c r="R789" s="100"/>
      <c r="S789" s="100"/>
      <c r="T789" s="100"/>
      <c r="U789" s="100"/>
      <c r="V789" s="100"/>
      <c r="W789" s="100"/>
      <c r="X789" s="100"/>
      <c r="Y789" s="100"/>
      <c r="Z789" s="100"/>
      <c r="AA789" s="100"/>
      <c r="AB789" s="100"/>
      <c r="AC789" s="100"/>
      <c r="AD789" s="100"/>
      <c r="AF789"/>
      <c r="AG789"/>
      <c r="AH789"/>
      <c r="AI789"/>
      <c r="AJ789"/>
      <c r="AK789">
        <f t="shared" si="293"/>
        <v>0</v>
      </c>
      <c r="AL789">
        <f t="shared" si="294"/>
        <v>0</v>
      </c>
      <c r="AM789">
        <f t="shared" si="316"/>
        <v>0</v>
      </c>
      <c r="AN789">
        <f t="shared" si="295"/>
        <v>0</v>
      </c>
      <c r="AO789">
        <f t="shared" si="296"/>
        <v>0</v>
      </c>
      <c r="AP789">
        <f t="shared" si="297"/>
        <v>0</v>
      </c>
      <c r="AQ789">
        <f t="shared" si="298"/>
        <v>0</v>
      </c>
      <c r="AR789">
        <f t="shared" si="299"/>
        <v>0</v>
      </c>
      <c r="AS789">
        <f t="shared" si="300"/>
        <v>0</v>
      </c>
      <c r="AT789">
        <f t="shared" si="301"/>
        <v>0</v>
      </c>
      <c r="AU789">
        <f t="shared" si="302"/>
        <v>0</v>
      </c>
      <c r="AV789">
        <f t="shared" si="303"/>
        <v>0</v>
      </c>
      <c r="AW789">
        <f t="shared" si="304"/>
        <v>0</v>
      </c>
      <c r="AX789">
        <f t="shared" si="305"/>
        <v>0</v>
      </c>
      <c r="AY789">
        <f t="shared" si="306"/>
        <v>0</v>
      </c>
      <c r="AZ789">
        <f t="shared" si="307"/>
        <v>0</v>
      </c>
      <c r="BA789">
        <f t="shared" si="308"/>
        <v>0</v>
      </c>
      <c r="BB789">
        <f t="shared" si="309"/>
        <v>0</v>
      </c>
      <c r="BC789">
        <f t="shared" si="310"/>
        <v>0</v>
      </c>
      <c r="BD789">
        <f t="shared" si="311"/>
        <v>0</v>
      </c>
      <c r="BE789">
        <f t="shared" si="312"/>
        <v>0</v>
      </c>
      <c r="BF789">
        <f t="shared" si="313"/>
        <v>0</v>
      </c>
      <c r="BG789">
        <f t="shared" si="314"/>
        <v>0</v>
      </c>
      <c r="BH789">
        <f t="shared" si="315"/>
        <v>0</v>
      </c>
    </row>
    <row r="790" spans="1:60" ht="15" customHeight="1">
      <c r="A790" s="206"/>
      <c r="B790" s="206"/>
      <c r="C790" s="1117" t="s">
        <v>4915</v>
      </c>
      <c r="D790" s="1136"/>
      <c r="E790" s="1136"/>
      <c r="F790" s="1118"/>
      <c r="G790" s="100"/>
      <c r="H790" s="100"/>
      <c r="I790" s="100"/>
      <c r="J790" s="100"/>
      <c r="K790" s="100"/>
      <c r="L790" s="100"/>
      <c r="M790" s="100"/>
      <c r="N790" s="100"/>
      <c r="O790" s="100"/>
      <c r="P790" s="100"/>
      <c r="Q790" s="100"/>
      <c r="R790" s="100"/>
      <c r="S790" s="100"/>
      <c r="T790" s="100"/>
      <c r="U790" s="100"/>
      <c r="V790" s="100"/>
      <c r="W790" s="100"/>
      <c r="X790" s="100"/>
      <c r="Y790" s="100"/>
      <c r="Z790" s="100"/>
      <c r="AA790" s="100"/>
      <c r="AB790" s="100"/>
      <c r="AC790" s="100"/>
      <c r="AD790" s="100"/>
      <c r="AF790"/>
      <c r="AG790"/>
      <c r="AH790"/>
      <c r="AI790"/>
      <c r="AJ790"/>
      <c r="AK790">
        <f t="shared" si="293"/>
        <v>0</v>
      </c>
      <c r="AL790">
        <f t="shared" si="294"/>
        <v>0</v>
      </c>
      <c r="AM790">
        <f t="shared" si="316"/>
        <v>0</v>
      </c>
      <c r="AN790">
        <f t="shared" si="295"/>
        <v>0</v>
      </c>
      <c r="AO790">
        <f t="shared" si="296"/>
        <v>0</v>
      </c>
      <c r="AP790">
        <f t="shared" si="297"/>
        <v>0</v>
      </c>
      <c r="AQ790">
        <f t="shared" si="298"/>
        <v>0</v>
      </c>
      <c r="AR790">
        <f t="shared" si="299"/>
        <v>0</v>
      </c>
      <c r="AS790">
        <f t="shared" si="300"/>
        <v>0</v>
      </c>
      <c r="AT790">
        <f t="shared" si="301"/>
        <v>0</v>
      </c>
      <c r="AU790">
        <f t="shared" si="302"/>
        <v>0</v>
      </c>
      <c r="AV790">
        <f t="shared" si="303"/>
        <v>0</v>
      </c>
      <c r="AW790">
        <f t="shared" si="304"/>
        <v>0</v>
      </c>
      <c r="AX790">
        <f t="shared" si="305"/>
        <v>0</v>
      </c>
      <c r="AY790">
        <f t="shared" si="306"/>
        <v>0</v>
      </c>
      <c r="AZ790">
        <f t="shared" si="307"/>
        <v>0</v>
      </c>
      <c r="BA790">
        <f t="shared" si="308"/>
        <v>0</v>
      </c>
      <c r="BB790">
        <f t="shared" si="309"/>
        <v>0</v>
      </c>
      <c r="BC790">
        <f t="shared" si="310"/>
        <v>0</v>
      </c>
      <c r="BD790">
        <f t="shared" si="311"/>
        <v>0</v>
      </c>
      <c r="BE790">
        <f t="shared" si="312"/>
        <v>0</v>
      </c>
      <c r="BF790">
        <f t="shared" si="313"/>
        <v>0</v>
      </c>
      <c r="BG790">
        <f t="shared" si="314"/>
        <v>0</v>
      </c>
      <c r="BH790">
        <f t="shared" si="315"/>
        <v>0</v>
      </c>
    </row>
    <row r="791" spans="1:60" ht="15" customHeight="1">
      <c r="A791" s="206"/>
      <c r="B791" s="206"/>
      <c r="C791" s="1117" t="s">
        <v>4917</v>
      </c>
      <c r="D791" s="1136"/>
      <c r="E791" s="1136"/>
      <c r="F791" s="1118"/>
      <c r="G791" s="100"/>
      <c r="H791" s="100"/>
      <c r="I791" s="100"/>
      <c r="J791" s="100"/>
      <c r="K791" s="100"/>
      <c r="L791" s="100"/>
      <c r="M791" s="100"/>
      <c r="N791" s="100"/>
      <c r="O791" s="100"/>
      <c r="P791" s="100"/>
      <c r="Q791" s="100"/>
      <c r="R791" s="100"/>
      <c r="S791" s="100"/>
      <c r="T791" s="100"/>
      <c r="U791" s="100"/>
      <c r="V791" s="100"/>
      <c r="W791" s="100"/>
      <c r="X791" s="100"/>
      <c r="Y791" s="100"/>
      <c r="Z791" s="100"/>
      <c r="AA791" s="100"/>
      <c r="AB791" s="100"/>
      <c r="AC791" s="100"/>
      <c r="AD791" s="100"/>
      <c r="AF791"/>
      <c r="AG791"/>
      <c r="AH791"/>
      <c r="AI791"/>
      <c r="AJ791"/>
      <c r="AK791">
        <f t="shared" si="293"/>
        <v>0</v>
      </c>
      <c r="AL791">
        <f t="shared" si="294"/>
        <v>0</v>
      </c>
      <c r="AM791">
        <f t="shared" si="316"/>
        <v>0</v>
      </c>
      <c r="AN791">
        <f t="shared" si="295"/>
        <v>0</v>
      </c>
      <c r="AO791">
        <f t="shared" si="296"/>
        <v>0</v>
      </c>
      <c r="AP791">
        <f t="shared" si="297"/>
        <v>0</v>
      </c>
      <c r="AQ791">
        <f t="shared" si="298"/>
        <v>0</v>
      </c>
      <c r="AR791">
        <f t="shared" si="299"/>
        <v>0</v>
      </c>
      <c r="AS791">
        <f t="shared" si="300"/>
        <v>0</v>
      </c>
      <c r="AT791">
        <f t="shared" si="301"/>
        <v>0</v>
      </c>
      <c r="AU791">
        <f t="shared" si="302"/>
        <v>0</v>
      </c>
      <c r="AV791">
        <f t="shared" si="303"/>
        <v>0</v>
      </c>
      <c r="AW791">
        <f t="shared" si="304"/>
        <v>0</v>
      </c>
      <c r="AX791">
        <f t="shared" si="305"/>
        <v>0</v>
      </c>
      <c r="AY791">
        <f t="shared" si="306"/>
        <v>0</v>
      </c>
      <c r="AZ791">
        <f t="shared" si="307"/>
        <v>0</v>
      </c>
      <c r="BA791">
        <f t="shared" si="308"/>
        <v>0</v>
      </c>
      <c r="BB791">
        <f t="shared" si="309"/>
        <v>0</v>
      </c>
      <c r="BC791">
        <f t="shared" si="310"/>
        <v>0</v>
      </c>
      <c r="BD791">
        <f t="shared" si="311"/>
        <v>0</v>
      </c>
      <c r="BE791">
        <f t="shared" si="312"/>
        <v>0</v>
      </c>
      <c r="BF791">
        <f t="shared" si="313"/>
        <v>0</v>
      </c>
      <c r="BG791">
        <f t="shared" si="314"/>
        <v>0</v>
      </c>
      <c r="BH791">
        <f t="shared" si="315"/>
        <v>0</v>
      </c>
    </row>
    <row r="792" spans="1:60" ht="15" customHeight="1">
      <c r="A792" s="206"/>
      <c r="B792" s="206"/>
      <c r="C792" s="1117" t="s">
        <v>4921</v>
      </c>
      <c r="D792" s="1136"/>
      <c r="E792" s="1136"/>
      <c r="F792" s="1118"/>
      <c r="G792" s="100"/>
      <c r="H792" s="100"/>
      <c r="I792" s="100"/>
      <c r="J792" s="100"/>
      <c r="K792" s="100"/>
      <c r="L792" s="100"/>
      <c r="M792" s="100"/>
      <c r="N792" s="100"/>
      <c r="O792" s="100"/>
      <c r="P792" s="100"/>
      <c r="Q792" s="100"/>
      <c r="R792" s="100"/>
      <c r="S792" s="100"/>
      <c r="T792" s="100"/>
      <c r="U792" s="100"/>
      <c r="V792" s="100"/>
      <c r="W792" s="100"/>
      <c r="X792" s="100"/>
      <c r="Y792" s="100"/>
      <c r="Z792" s="100"/>
      <c r="AA792" s="100"/>
      <c r="AB792" s="100"/>
      <c r="AC792" s="100"/>
      <c r="AD792" s="100"/>
      <c r="AF792"/>
      <c r="AG792"/>
      <c r="AH792"/>
      <c r="AI792"/>
      <c r="AJ792"/>
      <c r="AK792">
        <f t="shared" ref="AK792:AK855" si="317">COUNTIF(H792:I792,"NS")</f>
        <v>0</v>
      </c>
      <c r="AL792">
        <f t="shared" ref="AL792:AL855" si="318">SUM(H792:I792)</f>
        <v>0</v>
      </c>
      <c r="AM792">
        <f t="shared" si="316"/>
        <v>0</v>
      </c>
      <c r="AN792">
        <f t="shared" ref="AN792:AN855" si="319">COUNTIF(K792:L792,"NS")</f>
        <v>0</v>
      </c>
      <c r="AO792">
        <f t="shared" ref="AO792:AO855" si="320">SUM(K792:L792)</f>
        <v>0</v>
      </c>
      <c r="AP792">
        <f t="shared" ref="AP792:AP855" si="321">IF(COUNTIF(J792:L792,"NA")=3,0,IF(COUNTA(J792:L792)=0,0,IF(OR(AND(J792=0,AN792&gt;0),AND(J792="ns",AO792&gt;0),AND(J792="ns",AN792=0,AO792=0)),1,IF(OR(AND(J792&gt;0,AN792=2),AND(J792="ns",AN792=2),AND(J792="ns",AO792=0,AN792&gt;0),J792=AO792),0,1))))</f>
        <v>0</v>
      </c>
      <c r="AQ792">
        <f t="shared" ref="AQ792:AQ855" si="322">COUNTIF(N792:O792,"NS")</f>
        <v>0</v>
      </c>
      <c r="AR792">
        <f t="shared" ref="AR792:AR855" si="323">SUM(N792:O792)</f>
        <v>0</v>
      </c>
      <c r="AS792">
        <f t="shared" ref="AS792:AS855" si="324">IF(COUNTIF(M792:O792,"NA")=3,0,IF(COUNTA(M792:O792)=0,0,IF(OR(AND(M792=0,AQ792&gt;0),AND(M792="ns",AR792&gt;0),AND(M792="ns",AQ792=0,AR792=0)),1,IF(OR(AND(M792&gt;0,AQ792=2),AND(M792="ns",AQ792=2),AND(M792="ns",AR792=0,AQ792&gt;0),M792=AR792),0,1))))</f>
        <v>0</v>
      </c>
      <c r="AT792">
        <f t="shared" ref="AT792:AT855" si="325">COUNTIF(Q792:R792,"NS")</f>
        <v>0</v>
      </c>
      <c r="AU792">
        <f t="shared" ref="AU792:AU855" si="326">SUM(Q792:R792)</f>
        <v>0</v>
      </c>
      <c r="AV792">
        <f t="shared" ref="AV792:AV855" si="327">IF(COUNTIF(P792:R792,"NA")=3,0,IF(COUNTA(P792:R792)=0,0,IF(OR(AND(P792=0,AT792&gt;0),AND(P792="ns",AU792&gt;0),AND(P792="ns",AT792=0,AU792=0)),1,IF(OR(AND(P792&gt;0,AT792=2),AND(P792="ns",AT792=2),AND(P792="ns",AU792=0,AT792&gt;0),P792=AU792),0,1))))</f>
        <v>0</v>
      </c>
      <c r="AW792">
        <f t="shared" ref="AW792:AW855" si="328">COUNTIF(T792:U792,"NS")</f>
        <v>0</v>
      </c>
      <c r="AX792">
        <f t="shared" ref="AX792:AX855" si="329">SUM(T792:U792)</f>
        <v>0</v>
      </c>
      <c r="AY792">
        <f t="shared" ref="AY792:AY855" si="330">IF(COUNTIF(S792:U792,"NA")=3,0,IF(COUNTA(S792:U792)=0,0,IF(OR(AND(S792=0,AW792&gt;0),AND(S792="ns",AX792&gt;0),AND(S792="ns",AW792=0,AX792=0)),1,IF(OR(AND(S792&gt;0,AW792=2),AND(S792="ns",AW792=2),AND(S792="ns",AX792=0,AW792&gt;0),S792=AX792),0,1))))</f>
        <v>0</v>
      </c>
      <c r="AZ792">
        <f t="shared" ref="AZ792:AZ855" si="331">COUNTIF(W792:X792,"NS")</f>
        <v>0</v>
      </c>
      <c r="BA792">
        <f t="shared" ref="BA792:BA855" si="332">SUM(W792:X792)</f>
        <v>0</v>
      </c>
      <c r="BB792">
        <f t="shared" ref="BB792:BB855" si="333">IF(COUNTIF(V792:X792,"NA")=3,0,IF(COUNTA(V792:X792)=0,0,IF(OR(AND(V792=0,AZ792&gt;0),AND(V792="ns",BA792&gt;0),AND(V792="ns",AZ792=0,BA792=0)),1,IF(OR(AND(V792&gt;0,AZ792=2),AND(V792="ns",AZ792=2),AND(V792="ns",BA792=0,AZ792&gt;0),V792=BA792),0,1))))</f>
        <v>0</v>
      </c>
      <c r="BC792">
        <f t="shared" ref="BC792:BC855" si="334">COUNTIF(Z792:AA792,"NS")</f>
        <v>0</v>
      </c>
      <c r="BD792">
        <f t="shared" ref="BD792:BD855" si="335">SUM(Z792:AA792)</f>
        <v>0</v>
      </c>
      <c r="BE792">
        <f t="shared" ref="BE792:BE855" si="336">IF(COUNTIF(Y792:AA792,"NA")=3,0,IF(COUNTA(Y792:AA792)=0,0,IF(OR(AND(Y792=0,BC792&gt;0),AND(Y792="ns",BD792&gt;0),AND(Y792="ns",BC792=0,BD792=0)),1,IF(OR(AND(Y792&gt;0,BC792=2),AND(Y792="ns",BC792=2),AND(Y792="ns",BD792=0,BC792&gt;0),Y792=BD792),0,1))))</f>
        <v>0</v>
      </c>
      <c r="BF792">
        <f t="shared" ref="BF792:BF855" si="337">COUNTIF(AC792:AD792,"NS")</f>
        <v>0</v>
      </c>
      <c r="BG792">
        <f t="shared" ref="BG792:BG855" si="338">SUM(AC792:AD792)</f>
        <v>0</v>
      </c>
      <c r="BH792">
        <f t="shared" ref="BH792:BH855" si="339">IF(COUNTIF(AB792:AD792,"NA")=3,0,IF(COUNTA(AB792:AD792)=0,0,IF(OR(AND(AB792=0,BF792&gt;0),AND(AB792="ns",BG792&gt;0),AND(AB792="ns",BF792=0,BG792=0)),1,IF(OR(AND(AB792&gt;0,BF792=2),AND(AB792="ns",BF792=2),AND(AB792="ns",BG792=0,BF792&gt;0),AB792=BG792),0,1))))</f>
        <v>0</v>
      </c>
    </row>
    <row r="793" spans="1:60" ht="15" customHeight="1">
      <c r="A793" s="206"/>
      <c r="B793" s="206"/>
      <c r="C793" s="1117" t="s">
        <v>4923</v>
      </c>
      <c r="D793" s="1136"/>
      <c r="E793" s="1136"/>
      <c r="F793" s="1118"/>
      <c r="G793" s="100"/>
      <c r="H793" s="100"/>
      <c r="I793" s="100"/>
      <c r="J793" s="100"/>
      <c r="K793" s="100"/>
      <c r="L793" s="100"/>
      <c r="M793" s="100"/>
      <c r="N793" s="100"/>
      <c r="O793" s="100"/>
      <c r="P793" s="100"/>
      <c r="Q793" s="100"/>
      <c r="R793" s="100"/>
      <c r="S793" s="100"/>
      <c r="T793" s="100"/>
      <c r="U793" s="100"/>
      <c r="V793" s="100"/>
      <c r="W793" s="100"/>
      <c r="X793" s="100"/>
      <c r="Y793" s="100"/>
      <c r="Z793" s="100"/>
      <c r="AA793" s="100"/>
      <c r="AB793" s="100"/>
      <c r="AC793" s="100"/>
      <c r="AD793" s="100"/>
      <c r="AF793"/>
      <c r="AG793"/>
      <c r="AH793"/>
      <c r="AI793"/>
      <c r="AJ793"/>
      <c r="AK793">
        <f t="shared" si="317"/>
        <v>0</v>
      </c>
      <c r="AL793">
        <f t="shared" si="318"/>
        <v>0</v>
      </c>
      <c r="AM793">
        <f t="shared" ref="AM793:AM856" si="340">IF(COUNTIF(G793:I793,"NA")=3,0,IF(COUNTA(G793:I793)=0,0,IF(OR(AND(G793=0,AK793&gt;0),AND(G793="ns",AL793&gt;0),AND(G793="ns",AK793=0,AL793=0)),1,IF(OR(AND(G793&gt;0,AK793=2),AND(G793="ns",AK793=2),AND(G793="ns",AL793=0,AK793&gt;0),G793=AL793),0,1))))</f>
        <v>0</v>
      </c>
      <c r="AN793">
        <f t="shared" si="319"/>
        <v>0</v>
      </c>
      <c r="AO793">
        <f t="shared" si="320"/>
        <v>0</v>
      </c>
      <c r="AP793">
        <f t="shared" si="321"/>
        <v>0</v>
      </c>
      <c r="AQ793">
        <f t="shared" si="322"/>
        <v>0</v>
      </c>
      <c r="AR793">
        <f t="shared" si="323"/>
        <v>0</v>
      </c>
      <c r="AS793">
        <f t="shared" si="324"/>
        <v>0</v>
      </c>
      <c r="AT793">
        <f t="shared" si="325"/>
        <v>0</v>
      </c>
      <c r="AU793">
        <f t="shared" si="326"/>
        <v>0</v>
      </c>
      <c r="AV793">
        <f t="shared" si="327"/>
        <v>0</v>
      </c>
      <c r="AW793">
        <f t="shared" si="328"/>
        <v>0</v>
      </c>
      <c r="AX793">
        <f t="shared" si="329"/>
        <v>0</v>
      </c>
      <c r="AY793">
        <f t="shared" si="330"/>
        <v>0</v>
      </c>
      <c r="AZ793">
        <f t="shared" si="331"/>
        <v>0</v>
      </c>
      <c r="BA793">
        <f t="shared" si="332"/>
        <v>0</v>
      </c>
      <c r="BB793">
        <f t="shared" si="333"/>
        <v>0</v>
      </c>
      <c r="BC793">
        <f t="shared" si="334"/>
        <v>0</v>
      </c>
      <c r="BD793">
        <f t="shared" si="335"/>
        <v>0</v>
      </c>
      <c r="BE793">
        <f t="shared" si="336"/>
        <v>0</v>
      </c>
      <c r="BF793">
        <f t="shared" si="337"/>
        <v>0</v>
      </c>
      <c r="BG793">
        <f t="shared" si="338"/>
        <v>0</v>
      </c>
      <c r="BH793">
        <f t="shared" si="339"/>
        <v>0</v>
      </c>
    </row>
    <row r="794" spans="1:60" ht="15" customHeight="1">
      <c r="A794" s="206"/>
      <c r="B794" s="206"/>
      <c r="C794" s="1117" t="s">
        <v>4925</v>
      </c>
      <c r="D794" s="1136"/>
      <c r="E794" s="1136"/>
      <c r="F794" s="1118"/>
      <c r="G794" s="100"/>
      <c r="H794" s="100"/>
      <c r="I794" s="100"/>
      <c r="J794" s="100"/>
      <c r="K794" s="100"/>
      <c r="L794" s="100"/>
      <c r="M794" s="100"/>
      <c r="N794" s="100"/>
      <c r="O794" s="100"/>
      <c r="P794" s="100"/>
      <c r="Q794" s="100"/>
      <c r="R794" s="100"/>
      <c r="S794" s="100"/>
      <c r="T794" s="100"/>
      <c r="U794" s="100"/>
      <c r="V794" s="100"/>
      <c r="W794" s="100"/>
      <c r="X794" s="100"/>
      <c r="Y794" s="100"/>
      <c r="Z794" s="100"/>
      <c r="AA794" s="100"/>
      <c r="AB794" s="100"/>
      <c r="AC794" s="100"/>
      <c r="AD794" s="100"/>
      <c r="AF794"/>
      <c r="AG794"/>
      <c r="AH794"/>
      <c r="AI794"/>
      <c r="AJ794"/>
      <c r="AK794">
        <f t="shared" si="317"/>
        <v>0</v>
      </c>
      <c r="AL794">
        <f t="shared" si="318"/>
        <v>0</v>
      </c>
      <c r="AM794">
        <f t="shared" si="340"/>
        <v>0</v>
      </c>
      <c r="AN794">
        <f t="shared" si="319"/>
        <v>0</v>
      </c>
      <c r="AO794">
        <f t="shared" si="320"/>
        <v>0</v>
      </c>
      <c r="AP794">
        <f t="shared" si="321"/>
        <v>0</v>
      </c>
      <c r="AQ794">
        <f t="shared" si="322"/>
        <v>0</v>
      </c>
      <c r="AR794">
        <f t="shared" si="323"/>
        <v>0</v>
      </c>
      <c r="AS794">
        <f t="shared" si="324"/>
        <v>0</v>
      </c>
      <c r="AT794">
        <f t="shared" si="325"/>
        <v>0</v>
      </c>
      <c r="AU794">
        <f t="shared" si="326"/>
        <v>0</v>
      </c>
      <c r="AV794">
        <f t="shared" si="327"/>
        <v>0</v>
      </c>
      <c r="AW794">
        <f t="shared" si="328"/>
        <v>0</v>
      </c>
      <c r="AX794">
        <f t="shared" si="329"/>
        <v>0</v>
      </c>
      <c r="AY794">
        <f t="shared" si="330"/>
        <v>0</v>
      </c>
      <c r="AZ794">
        <f t="shared" si="331"/>
        <v>0</v>
      </c>
      <c r="BA794">
        <f t="shared" si="332"/>
        <v>0</v>
      </c>
      <c r="BB794">
        <f t="shared" si="333"/>
        <v>0</v>
      </c>
      <c r="BC794">
        <f t="shared" si="334"/>
        <v>0</v>
      </c>
      <c r="BD794">
        <f t="shared" si="335"/>
        <v>0</v>
      </c>
      <c r="BE794">
        <f t="shared" si="336"/>
        <v>0</v>
      </c>
      <c r="BF794">
        <f t="shared" si="337"/>
        <v>0</v>
      </c>
      <c r="BG794">
        <f t="shared" si="338"/>
        <v>0</v>
      </c>
      <c r="BH794">
        <f t="shared" si="339"/>
        <v>0</v>
      </c>
    </row>
    <row r="795" spans="1:60" ht="15" customHeight="1">
      <c r="A795" s="206"/>
      <c r="B795" s="206"/>
      <c r="C795" s="1117" t="s">
        <v>4929</v>
      </c>
      <c r="D795" s="1136"/>
      <c r="E795" s="1136"/>
      <c r="F795" s="1118"/>
      <c r="G795" s="100"/>
      <c r="H795" s="100"/>
      <c r="I795" s="100"/>
      <c r="J795" s="100"/>
      <c r="K795" s="100"/>
      <c r="L795" s="100"/>
      <c r="M795" s="100"/>
      <c r="N795" s="100"/>
      <c r="O795" s="100"/>
      <c r="P795" s="100"/>
      <c r="Q795" s="100"/>
      <c r="R795" s="100"/>
      <c r="S795" s="100"/>
      <c r="T795" s="100"/>
      <c r="U795" s="100"/>
      <c r="V795" s="100"/>
      <c r="W795" s="100"/>
      <c r="X795" s="100"/>
      <c r="Y795" s="100"/>
      <c r="Z795" s="100"/>
      <c r="AA795" s="100"/>
      <c r="AB795" s="100"/>
      <c r="AC795" s="100"/>
      <c r="AD795" s="100"/>
      <c r="AF795"/>
      <c r="AG795"/>
      <c r="AH795"/>
      <c r="AI795"/>
      <c r="AJ795"/>
      <c r="AK795">
        <f t="shared" si="317"/>
        <v>0</v>
      </c>
      <c r="AL795">
        <f t="shared" si="318"/>
        <v>0</v>
      </c>
      <c r="AM795">
        <f t="shared" si="340"/>
        <v>0</v>
      </c>
      <c r="AN795">
        <f t="shared" si="319"/>
        <v>0</v>
      </c>
      <c r="AO795">
        <f t="shared" si="320"/>
        <v>0</v>
      </c>
      <c r="AP795">
        <f t="shared" si="321"/>
        <v>0</v>
      </c>
      <c r="AQ795">
        <f t="shared" si="322"/>
        <v>0</v>
      </c>
      <c r="AR795">
        <f t="shared" si="323"/>
        <v>0</v>
      </c>
      <c r="AS795">
        <f t="shared" si="324"/>
        <v>0</v>
      </c>
      <c r="AT795">
        <f t="shared" si="325"/>
        <v>0</v>
      </c>
      <c r="AU795">
        <f t="shared" si="326"/>
        <v>0</v>
      </c>
      <c r="AV795">
        <f t="shared" si="327"/>
        <v>0</v>
      </c>
      <c r="AW795">
        <f t="shared" si="328"/>
        <v>0</v>
      </c>
      <c r="AX795">
        <f t="shared" si="329"/>
        <v>0</v>
      </c>
      <c r="AY795">
        <f t="shared" si="330"/>
        <v>0</v>
      </c>
      <c r="AZ795">
        <f t="shared" si="331"/>
        <v>0</v>
      </c>
      <c r="BA795">
        <f t="shared" si="332"/>
        <v>0</v>
      </c>
      <c r="BB795">
        <f t="shared" si="333"/>
        <v>0</v>
      </c>
      <c r="BC795">
        <f t="shared" si="334"/>
        <v>0</v>
      </c>
      <c r="BD795">
        <f t="shared" si="335"/>
        <v>0</v>
      </c>
      <c r="BE795">
        <f t="shared" si="336"/>
        <v>0</v>
      </c>
      <c r="BF795">
        <f t="shared" si="337"/>
        <v>0</v>
      </c>
      <c r="BG795">
        <f t="shared" si="338"/>
        <v>0</v>
      </c>
      <c r="BH795">
        <f t="shared" si="339"/>
        <v>0</v>
      </c>
    </row>
    <row r="796" spans="1:60" ht="15" customHeight="1">
      <c r="A796" s="206"/>
      <c r="B796" s="201"/>
      <c r="C796" s="1119" t="s">
        <v>4931</v>
      </c>
      <c r="D796" s="1121"/>
      <c r="E796" s="1121"/>
      <c r="F796" s="1120"/>
      <c r="G796" s="100"/>
      <c r="H796" s="100"/>
      <c r="I796" s="100"/>
      <c r="J796" s="100"/>
      <c r="K796" s="100"/>
      <c r="L796" s="100"/>
      <c r="M796" s="100"/>
      <c r="N796" s="100"/>
      <c r="O796" s="100"/>
      <c r="P796" s="100"/>
      <c r="Q796" s="100"/>
      <c r="R796" s="100"/>
      <c r="S796" s="100"/>
      <c r="T796" s="100"/>
      <c r="U796" s="100"/>
      <c r="V796" s="100"/>
      <c r="W796" s="100"/>
      <c r="X796" s="100"/>
      <c r="Y796" s="100"/>
      <c r="Z796" s="100"/>
      <c r="AA796" s="100"/>
      <c r="AB796" s="100"/>
      <c r="AC796" s="100"/>
      <c r="AD796" s="100"/>
      <c r="AF796"/>
      <c r="AG796"/>
      <c r="AH796"/>
      <c r="AI796"/>
      <c r="AJ796"/>
      <c r="AK796">
        <f t="shared" si="317"/>
        <v>0</v>
      </c>
      <c r="AL796">
        <f t="shared" si="318"/>
        <v>0</v>
      </c>
      <c r="AM796">
        <f t="shared" si="340"/>
        <v>0</v>
      </c>
      <c r="AN796">
        <f t="shared" si="319"/>
        <v>0</v>
      </c>
      <c r="AO796">
        <f t="shared" si="320"/>
        <v>0</v>
      </c>
      <c r="AP796">
        <f t="shared" si="321"/>
        <v>0</v>
      </c>
      <c r="AQ796">
        <f t="shared" si="322"/>
        <v>0</v>
      </c>
      <c r="AR796">
        <f t="shared" si="323"/>
        <v>0</v>
      </c>
      <c r="AS796">
        <f t="shared" si="324"/>
        <v>0</v>
      </c>
      <c r="AT796">
        <f t="shared" si="325"/>
        <v>0</v>
      </c>
      <c r="AU796">
        <f t="shared" si="326"/>
        <v>0</v>
      </c>
      <c r="AV796">
        <f t="shared" si="327"/>
        <v>0</v>
      </c>
      <c r="AW796">
        <f t="shared" si="328"/>
        <v>0</v>
      </c>
      <c r="AX796">
        <f t="shared" si="329"/>
        <v>0</v>
      </c>
      <c r="AY796">
        <f t="shared" si="330"/>
        <v>0</v>
      </c>
      <c r="AZ796">
        <f t="shared" si="331"/>
        <v>0</v>
      </c>
      <c r="BA796">
        <f t="shared" si="332"/>
        <v>0</v>
      </c>
      <c r="BB796">
        <f t="shared" si="333"/>
        <v>0</v>
      </c>
      <c r="BC796">
        <f t="shared" si="334"/>
        <v>0</v>
      </c>
      <c r="BD796">
        <f t="shared" si="335"/>
        <v>0</v>
      </c>
      <c r="BE796">
        <f t="shared" si="336"/>
        <v>0</v>
      </c>
      <c r="BF796">
        <f t="shared" si="337"/>
        <v>0</v>
      </c>
      <c r="BG796">
        <f t="shared" si="338"/>
        <v>0</v>
      </c>
      <c r="BH796">
        <f t="shared" si="339"/>
        <v>0</v>
      </c>
    </row>
    <row r="797" spans="1:60" ht="15" customHeight="1">
      <c r="A797" s="206"/>
      <c r="B797" s="201"/>
      <c r="C797" s="1119" t="s">
        <v>4933</v>
      </c>
      <c r="D797" s="1121"/>
      <c r="E797" s="1121"/>
      <c r="F797" s="1120"/>
      <c r="G797" s="100"/>
      <c r="H797" s="100"/>
      <c r="I797" s="100"/>
      <c r="J797" s="100"/>
      <c r="K797" s="100"/>
      <c r="L797" s="100"/>
      <c r="M797" s="100"/>
      <c r="N797" s="100"/>
      <c r="O797" s="100"/>
      <c r="P797" s="100"/>
      <c r="Q797" s="100"/>
      <c r="R797" s="100"/>
      <c r="S797" s="100"/>
      <c r="T797" s="100"/>
      <c r="U797" s="100"/>
      <c r="V797" s="100"/>
      <c r="W797" s="100"/>
      <c r="X797" s="100"/>
      <c r="Y797" s="100"/>
      <c r="Z797" s="100"/>
      <c r="AA797" s="100"/>
      <c r="AB797" s="100"/>
      <c r="AC797" s="100"/>
      <c r="AD797" s="100"/>
      <c r="AF797"/>
      <c r="AG797"/>
      <c r="AH797"/>
      <c r="AI797"/>
      <c r="AJ797"/>
      <c r="AK797">
        <f t="shared" si="317"/>
        <v>0</v>
      </c>
      <c r="AL797">
        <f t="shared" si="318"/>
        <v>0</v>
      </c>
      <c r="AM797">
        <f t="shared" si="340"/>
        <v>0</v>
      </c>
      <c r="AN797">
        <f t="shared" si="319"/>
        <v>0</v>
      </c>
      <c r="AO797">
        <f t="shared" si="320"/>
        <v>0</v>
      </c>
      <c r="AP797">
        <f t="shared" si="321"/>
        <v>0</v>
      </c>
      <c r="AQ797">
        <f t="shared" si="322"/>
        <v>0</v>
      </c>
      <c r="AR797">
        <f t="shared" si="323"/>
        <v>0</v>
      </c>
      <c r="AS797">
        <f t="shared" si="324"/>
        <v>0</v>
      </c>
      <c r="AT797">
        <f t="shared" si="325"/>
        <v>0</v>
      </c>
      <c r="AU797">
        <f t="shared" si="326"/>
        <v>0</v>
      </c>
      <c r="AV797">
        <f t="shared" si="327"/>
        <v>0</v>
      </c>
      <c r="AW797">
        <f t="shared" si="328"/>
        <v>0</v>
      </c>
      <c r="AX797">
        <f t="shared" si="329"/>
        <v>0</v>
      </c>
      <c r="AY797">
        <f t="shared" si="330"/>
        <v>0</v>
      </c>
      <c r="AZ797">
        <f t="shared" si="331"/>
        <v>0</v>
      </c>
      <c r="BA797">
        <f t="shared" si="332"/>
        <v>0</v>
      </c>
      <c r="BB797">
        <f t="shared" si="333"/>
        <v>0</v>
      </c>
      <c r="BC797">
        <f t="shared" si="334"/>
        <v>0</v>
      </c>
      <c r="BD797">
        <f t="shared" si="335"/>
        <v>0</v>
      </c>
      <c r="BE797">
        <f t="shared" si="336"/>
        <v>0</v>
      </c>
      <c r="BF797">
        <f t="shared" si="337"/>
        <v>0</v>
      </c>
      <c r="BG797">
        <f t="shared" si="338"/>
        <v>0</v>
      </c>
      <c r="BH797">
        <f t="shared" si="339"/>
        <v>0</v>
      </c>
    </row>
    <row r="798" spans="1:60" ht="15" customHeight="1">
      <c r="A798" s="206"/>
      <c r="B798" s="201"/>
      <c r="C798" s="1119" t="s">
        <v>4935</v>
      </c>
      <c r="D798" s="1121"/>
      <c r="E798" s="1121"/>
      <c r="F798" s="1120"/>
      <c r="G798" s="100"/>
      <c r="H798" s="100"/>
      <c r="I798" s="100"/>
      <c r="J798" s="100"/>
      <c r="K798" s="100"/>
      <c r="L798" s="100"/>
      <c r="M798" s="100"/>
      <c r="N798" s="100"/>
      <c r="O798" s="100"/>
      <c r="P798" s="100"/>
      <c r="Q798" s="100"/>
      <c r="R798" s="100"/>
      <c r="S798" s="100"/>
      <c r="T798" s="100"/>
      <c r="U798" s="100"/>
      <c r="V798" s="100"/>
      <c r="W798" s="100"/>
      <c r="X798" s="100"/>
      <c r="Y798" s="100"/>
      <c r="Z798" s="100"/>
      <c r="AA798" s="100"/>
      <c r="AB798" s="100"/>
      <c r="AC798" s="100"/>
      <c r="AD798" s="100"/>
      <c r="AF798"/>
      <c r="AG798"/>
      <c r="AH798"/>
      <c r="AI798"/>
      <c r="AJ798"/>
      <c r="AK798">
        <f t="shared" si="317"/>
        <v>0</v>
      </c>
      <c r="AL798">
        <f t="shared" si="318"/>
        <v>0</v>
      </c>
      <c r="AM798">
        <f t="shared" si="340"/>
        <v>0</v>
      </c>
      <c r="AN798">
        <f t="shared" si="319"/>
        <v>0</v>
      </c>
      <c r="AO798">
        <f t="shared" si="320"/>
        <v>0</v>
      </c>
      <c r="AP798">
        <f t="shared" si="321"/>
        <v>0</v>
      </c>
      <c r="AQ798">
        <f t="shared" si="322"/>
        <v>0</v>
      </c>
      <c r="AR798">
        <f t="shared" si="323"/>
        <v>0</v>
      </c>
      <c r="AS798">
        <f t="shared" si="324"/>
        <v>0</v>
      </c>
      <c r="AT798">
        <f t="shared" si="325"/>
        <v>0</v>
      </c>
      <c r="AU798">
        <f t="shared" si="326"/>
        <v>0</v>
      </c>
      <c r="AV798">
        <f t="shared" si="327"/>
        <v>0</v>
      </c>
      <c r="AW798">
        <f t="shared" si="328"/>
        <v>0</v>
      </c>
      <c r="AX798">
        <f t="shared" si="329"/>
        <v>0</v>
      </c>
      <c r="AY798">
        <f t="shared" si="330"/>
        <v>0</v>
      </c>
      <c r="AZ798">
        <f t="shared" si="331"/>
        <v>0</v>
      </c>
      <c r="BA798">
        <f t="shared" si="332"/>
        <v>0</v>
      </c>
      <c r="BB798">
        <f t="shared" si="333"/>
        <v>0</v>
      </c>
      <c r="BC798">
        <f t="shared" si="334"/>
        <v>0</v>
      </c>
      <c r="BD798">
        <f t="shared" si="335"/>
        <v>0</v>
      </c>
      <c r="BE798">
        <f t="shared" si="336"/>
        <v>0</v>
      </c>
      <c r="BF798">
        <f t="shared" si="337"/>
        <v>0</v>
      </c>
      <c r="BG798">
        <f t="shared" si="338"/>
        <v>0</v>
      </c>
      <c r="BH798">
        <f t="shared" si="339"/>
        <v>0</v>
      </c>
    </row>
    <row r="799" spans="1:60" ht="15" customHeight="1">
      <c r="A799" s="206"/>
      <c r="B799" s="201"/>
      <c r="C799" s="1119" t="s">
        <v>4937</v>
      </c>
      <c r="D799" s="1121"/>
      <c r="E799" s="1121"/>
      <c r="F799" s="1120"/>
      <c r="G799" s="100"/>
      <c r="H799" s="100"/>
      <c r="I799" s="100"/>
      <c r="J799" s="100"/>
      <c r="K799" s="100"/>
      <c r="L799" s="100"/>
      <c r="M799" s="100"/>
      <c r="N799" s="100"/>
      <c r="O799" s="100"/>
      <c r="P799" s="100"/>
      <c r="Q799" s="100"/>
      <c r="R799" s="100"/>
      <c r="S799" s="100"/>
      <c r="T799" s="100"/>
      <c r="U799" s="100"/>
      <c r="V799" s="100"/>
      <c r="W799" s="100"/>
      <c r="X799" s="100"/>
      <c r="Y799" s="100"/>
      <c r="Z799" s="100"/>
      <c r="AA799" s="100"/>
      <c r="AB799" s="100"/>
      <c r="AC799" s="100"/>
      <c r="AD799" s="100"/>
      <c r="AF799"/>
      <c r="AG799"/>
      <c r="AH799"/>
      <c r="AI799"/>
      <c r="AJ799"/>
      <c r="AK799">
        <f t="shared" si="317"/>
        <v>0</v>
      </c>
      <c r="AL799">
        <f t="shared" si="318"/>
        <v>0</v>
      </c>
      <c r="AM799">
        <f t="shared" si="340"/>
        <v>0</v>
      </c>
      <c r="AN799">
        <f t="shared" si="319"/>
        <v>0</v>
      </c>
      <c r="AO799">
        <f t="shared" si="320"/>
        <v>0</v>
      </c>
      <c r="AP799">
        <f t="shared" si="321"/>
        <v>0</v>
      </c>
      <c r="AQ799">
        <f t="shared" si="322"/>
        <v>0</v>
      </c>
      <c r="AR799">
        <f t="shared" si="323"/>
        <v>0</v>
      </c>
      <c r="AS799">
        <f t="shared" si="324"/>
        <v>0</v>
      </c>
      <c r="AT799">
        <f t="shared" si="325"/>
        <v>0</v>
      </c>
      <c r="AU799">
        <f t="shared" si="326"/>
        <v>0</v>
      </c>
      <c r="AV799">
        <f t="shared" si="327"/>
        <v>0</v>
      </c>
      <c r="AW799">
        <f t="shared" si="328"/>
        <v>0</v>
      </c>
      <c r="AX799">
        <f t="shared" si="329"/>
        <v>0</v>
      </c>
      <c r="AY799">
        <f t="shared" si="330"/>
        <v>0</v>
      </c>
      <c r="AZ799">
        <f t="shared" si="331"/>
        <v>0</v>
      </c>
      <c r="BA799">
        <f t="shared" si="332"/>
        <v>0</v>
      </c>
      <c r="BB799">
        <f t="shared" si="333"/>
        <v>0</v>
      </c>
      <c r="BC799">
        <f t="shared" si="334"/>
        <v>0</v>
      </c>
      <c r="BD799">
        <f t="shared" si="335"/>
        <v>0</v>
      </c>
      <c r="BE799">
        <f t="shared" si="336"/>
        <v>0</v>
      </c>
      <c r="BF799">
        <f t="shared" si="337"/>
        <v>0</v>
      </c>
      <c r="BG799">
        <f t="shared" si="338"/>
        <v>0</v>
      </c>
      <c r="BH799">
        <f t="shared" si="339"/>
        <v>0</v>
      </c>
    </row>
    <row r="800" spans="1:60" ht="15" customHeight="1">
      <c r="A800" s="206"/>
      <c r="B800" s="201"/>
      <c r="C800" s="1119" t="s">
        <v>4939</v>
      </c>
      <c r="D800" s="1121"/>
      <c r="E800" s="1121"/>
      <c r="F800" s="1120"/>
      <c r="G800" s="100"/>
      <c r="H800" s="100"/>
      <c r="I800" s="100"/>
      <c r="J800" s="100"/>
      <c r="K800" s="100"/>
      <c r="L800" s="100"/>
      <c r="M800" s="100"/>
      <c r="N800" s="100"/>
      <c r="O800" s="100"/>
      <c r="P800" s="100"/>
      <c r="Q800" s="100"/>
      <c r="R800" s="100"/>
      <c r="S800" s="100"/>
      <c r="T800" s="100"/>
      <c r="U800" s="100"/>
      <c r="V800" s="100"/>
      <c r="W800" s="100"/>
      <c r="X800" s="100"/>
      <c r="Y800" s="100"/>
      <c r="Z800" s="100"/>
      <c r="AA800" s="100"/>
      <c r="AB800" s="100"/>
      <c r="AC800" s="100"/>
      <c r="AD800" s="100"/>
      <c r="AF800"/>
      <c r="AG800"/>
      <c r="AH800"/>
      <c r="AI800"/>
      <c r="AJ800"/>
      <c r="AK800">
        <f t="shared" si="317"/>
        <v>0</v>
      </c>
      <c r="AL800">
        <f t="shared" si="318"/>
        <v>0</v>
      </c>
      <c r="AM800">
        <f t="shared" si="340"/>
        <v>0</v>
      </c>
      <c r="AN800">
        <f t="shared" si="319"/>
        <v>0</v>
      </c>
      <c r="AO800">
        <f t="shared" si="320"/>
        <v>0</v>
      </c>
      <c r="AP800">
        <f t="shared" si="321"/>
        <v>0</v>
      </c>
      <c r="AQ800">
        <f t="shared" si="322"/>
        <v>0</v>
      </c>
      <c r="AR800">
        <f t="shared" si="323"/>
        <v>0</v>
      </c>
      <c r="AS800">
        <f t="shared" si="324"/>
        <v>0</v>
      </c>
      <c r="AT800">
        <f t="shared" si="325"/>
        <v>0</v>
      </c>
      <c r="AU800">
        <f t="shared" si="326"/>
        <v>0</v>
      </c>
      <c r="AV800">
        <f t="shared" si="327"/>
        <v>0</v>
      </c>
      <c r="AW800">
        <f t="shared" si="328"/>
        <v>0</v>
      </c>
      <c r="AX800">
        <f t="shared" si="329"/>
        <v>0</v>
      </c>
      <c r="AY800">
        <f t="shared" si="330"/>
        <v>0</v>
      </c>
      <c r="AZ800">
        <f t="shared" si="331"/>
        <v>0</v>
      </c>
      <c r="BA800">
        <f t="shared" si="332"/>
        <v>0</v>
      </c>
      <c r="BB800">
        <f t="shared" si="333"/>
        <v>0</v>
      </c>
      <c r="BC800">
        <f t="shared" si="334"/>
        <v>0</v>
      </c>
      <c r="BD800">
        <f t="shared" si="335"/>
        <v>0</v>
      </c>
      <c r="BE800">
        <f t="shared" si="336"/>
        <v>0</v>
      </c>
      <c r="BF800">
        <f t="shared" si="337"/>
        <v>0</v>
      </c>
      <c r="BG800">
        <f t="shared" si="338"/>
        <v>0</v>
      </c>
      <c r="BH800">
        <f t="shared" si="339"/>
        <v>0</v>
      </c>
    </row>
    <row r="801" spans="1:60" ht="15" customHeight="1">
      <c r="A801" s="206"/>
      <c r="B801" s="201"/>
      <c r="C801" s="1119" t="s">
        <v>4941</v>
      </c>
      <c r="D801" s="1121"/>
      <c r="E801" s="1121"/>
      <c r="F801" s="1120"/>
      <c r="G801" s="100"/>
      <c r="H801" s="100"/>
      <c r="I801" s="100"/>
      <c r="J801" s="100"/>
      <c r="K801" s="100"/>
      <c r="L801" s="100"/>
      <c r="M801" s="100"/>
      <c r="N801" s="100"/>
      <c r="O801" s="100"/>
      <c r="P801" s="100"/>
      <c r="Q801" s="100"/>
      <c r="R801" s="100"/>
      <c r="S801" s="100"/>
      <c r="T801" s="100"/>
      <c r="U801" s="100"/>
      <c r="V801" s="100"/>
      <c r="W801" s="100"/>
      <c r="X801" s="100"/>
      <c r="Y801" s="100"/>
      <c r="Z801" s="100"/>
      <c r="AA801" s="100"/>
      <c r="AB801" s="100"/>
      <c r="AC801" s="100"/>
      <c r="AD801" s="100"/>
      <c r="AF801"/>
      <c r="AG801"/>
      <c r="AH801"/>
      <c r="AI801"/>
      <c r="AJ801"/>
      <c r="AK801">
        <f t="shared" si="317"/>
        <v>0</v>
      </c>
      <c r="AL801">
        <f t="shared" si="318"/>
        <v>0</v>
      </c>
      <c r="AM801">
        <f t="shared" si="340"/>
        <v>0</v>
      </c>
      <c r="AN801">
        <f t="shared" si="319"/>
        <v>0</v>
      </c>
      <c r="AO801">
        <f t="shared" si="320"/>
        <v>0</v>
      </c>
      <c r="AP801">
        <f t="shared" si="321"/>
        <v>0</v>
      </c>
      <c r="AQ801">
        <f t="shared" si="322"/>
        <v>0</v>
      </c>
      <c r="AR801">
        <f t="shared" si="323"/>
        <v>0</v>
      </c>
      <c r="AS801">
        <f t="shared" si="324"/>
        <v>0</v>
      </c>
      <c r="AT801">
        <f t="shared" si="325"/>
        <v>0</v>
      </c>
      <c r="AU801">
        <f t="shared" si="326"/>
        <v>0</v>
      </c>
      <c r="AV801">
        <f t="shared" si="327"/>
        <v>0</v>
      </c>
      <c r="AW801">
        <f t="shared" si="328"/>
        <v>0</v>
      </c>
      <c r="AX801">
        <f t="shared" si="329"/>
        <v>0</v>
      </c>
      <c r="AY801">
        <f t="shared" si="330"/>
        <v>0</v>
      </c>
      <c r="AZ801">
        <f t="shared" si="331"/>
        <v>0</v>
      </c>
      <c r="BA801">
        <f t="shared" si="332"/>
        <v>0</v>
      </c>
      <c r="BB801">
        <f t="shared" si="333"/>
        <v>0</v>
      </c>
      <c r="BC801">
        <f t="shared" si="334"/>
        <v>0</v>
      </c>
      <c r="BD801">
        <f t="shared" si="335"/>
        <v>0</v>
      </c>
      <c r="BE801">
        <f t="shared" si="336"/>
        <v>0</v>
      </c>
      <c r="BF801">
        <f t="shared" si="337"/>
        <v>0</v>
      </c>
      <c r="BG801">
        <f t="shared" si="338"/>
        <v>0</v>
      </c>
      <c r="BH801">
        <f t="shared" si="339"/>
        <v>0</v>
      </c>
    </row>
    <row r="802" spans="1:60" ht="15" customHeight="1">
      <c r="A802" s="206"/>
      <c r="B802" s="201"/>
      <c r="C802" s="1119" t="s">
        <v>4943</v>
      </c>
      <c r="D802" s="1121"/>
      <c r="E802" s="1121"/>
      <c r="F802" s="1120"/>
      <c r="G802" s="100"/>
      <c r="H802" s="100"/>
      <c r="I802" s="100"/>
      <c r="J802" s="100"/>
      <c r="K802" s="100"/>
      <c r="L802" s="100"/>
      <c r="M802" s="100"/>
      <c r="N802" s="100"/>
      <c r="O802" s="100"/>
      <c r="P802" s="100"/>
      <c r="Q802" s="100"/>
      <c r="R802" s="100"/>
      <c r="S802" s="100"/>
      <c r="T802" s="100"/>
      <c r="U802" s="100"/>
      <c r="V802" s="100"/>
      <c r="W802" s="100"/>
      <c r="X802" s="100"/>
      <c r="Y802" s="100"/>
      <c r="Z802" s="100"/>
      <c r="AA802" s="100"/>
      <c r="AB802" s="100"/>
      <c r="AC802" s="100"/>
      <c r="AD802" s="100"/>
      <c r="AF802"/>
      <c r="AG802"/>
      <c r="AH802"/>
      <c r="AI802"/>
      <c r="AJ802"/>
      <c r="AK802">
        <f t="shared" si="317"/>
        <v>0</v>
      </c>
      <c r="AL802">
        <f t="shared" si="318"/>
        <v>0</v>
      </c>
      <c r="AM802">
        <f t="shared" si="340"/>
        <v>0</v>
      </c>
      <c r="AN802">
        <f t="shared" si="319"/>
        <v>0</v>
      </c>
      <c r="AO802">
        <f t="shared" si="320"/>
        <v>0</v>
      </c>
      <c r="AP802">
        <f t="shared" si="321"/>
        <v>0</v>
      </c>
      <c r="AQ802">
        <f t="shared" si="322"/>
        <v>0</v>
      </c>
      <c r="AR802">
        <f t="shared" si="323"/>
        <v>0</v>
      </c>
      <c r="AS802">
        <f t="shared" si="324"/>
        <v>0</v>
      </c>
      <c r="AT802">
        <f t="shared" si="325"/>
        <v>0</v>
      </c>
      <c r="AU802">
        <f t="shared" si="326"/>
        <v>0</v>
      </c>
      <c r="AV802">
        <f t="shared" si="327"/>
        <v>0</v>
      </c>
      <c r="AW802">
        <f t="shared" si="328"/>
        <v>0</v>
      </c>
      <c r="AX802">
        <f t="shared" si="329"/>
        <v>0</v>
      </c>
      <c r="AY802">
        <f t="shared" si="330"/>
        <v>0</v>
      </c>
      <c r="AZ802">
        <f t="shared" si="331"/>
        <v>0</v>
      </c>
      <c r="BA802">
        <f t="shared" si="332"/>
        <v>0</v>
      </c>
      <c r="BB802">
        <f t="shared" si="333"/>
        <v>0</v>
      </c>
      <c r="BC802">
        <f t="shared" si="334"/>
        <v>0</v>
      </c>
      <c r="BD802">
        <f t="shared" si="335"/>
        <v>0</v>
      </c>
      <c r="BE802">
        <f t="shared" si="336"/>
        <v>0</v>
      </c>
      <c r="BF802">
        <f t="shared" si="337"/>
        <v>0</v>
      </c>
      <c r="BG802">
        <f t="shared" si="338"/>
        <v>0</v>
      </c>
      <c r="BH802">
        <f t="shared" si="339"/>
        <v>0</v>
      </c>
    </row>
    <row r="803" spans="1:60" ht="15" customHeight="1">
      <c r="A803" s="206"/>
      <c r="B803" s="206"/>
      <c r="C803" s="1117" t="s">
        <v>4944</v>
      </c>
      <c r="D803" s="1136"/>
      <c r="E803" s="1136"/>
      <c r="F803" s="1118"/>
      <c r="G803" s="100"/>
      <c r="H803" s="100"/>
      <c r="I803" s="100"/>
      <c r="J803" s="100"/>
      <c r="K803" s="100"/>
      <c r="L803" s="100"/>
      <c r="M803" s="100"/>
      <c r="N803" s="100"/>
      <c r="O803" s="100"/>
      <c r="P803" s="100"/>
      <c r="Q803" s="100"/>
      <c r="R803" s="100"/>
      <c r="S803" s="100"/>
      <c r="T803" s="100"/>
      <c r="U803" s="100"/>
      <c r="V803" s="100"/>
      <c r="W803" s="100"/>
      <c r="X803" s="100"/>
      <c r="Y803" s="100"/>
      <c r="Z803" s="100"/>
      <c r="AA803" s="100"/>
      <c r="AB803" s="100"/>
      <c r="AC803" s="100"/>
      <c r="AD803" s="100"/>
      <c r="AF803"/>
      <c r="AG803"/>
      <c r="AH803"/>
      <c r="AI803"/>
      <c r="AJ803"/>
      <c r="AK803">
        <f t="shared" si="317"/>
        <v>0</v>
      </c>
      <c r="AL803">
        <f t="shared" si="318"/>
        <v>0</v>
      </c>
      <c r="AM803">
        <f t="shared" si="340"/>
        <v>0</v>
      </c>
      <c r="AN803">
        <f t="shared" si="319"/>
        <v>0</v>
      </c>
      <c r="AO803">
        <f t="shared" si="320"/>
        <v>0</v>
      </c>
      <c r="AP803">
        <f t="shared" si="321"/>
        <v>0</v>
      </c>
      <c r="AQ803">
        <f t="shared" si="322"/>
        <v>0</v>
      </c>
      <c r="AR803">
        <f t="shared" si="323"/>
        <v>0</v>
      </c>
      <c r="AS803">
        <f t="shared" si="324"/>
        <v>0</v>
      </c>
      <c r="AT803">
        <f t="shared" si="325"/>
        <v>0</v>
      </c>
      <c r="AU803">
        <f t="shared" si="326"/>
        <v>0</v>
      </c>
      <c r="AV803">
        <f t="shared" si="327"/>
        <v>0</v>
      </c>
      <c r="AW803">
        <f t="shared" si="328"/>
        <v>0</v>
      </c>
      <c r="AX803">
        <f t="shared" si="329"/>
        <v>0</v>
      </c>
      <c r="AY803">
        <f t="shared" si="330"/>
        <v>0</v>
      </c>
      <c r="AZ803">
        <f t="shared" si="331"/>
        <v>0</v>
      </c>
      <c r="BA803">
        <f t="shared" si="332"/>
        <v>0</v>
      </c>
      <c r="BB803">
        <f t="shared" si="333"/>
        <v>0</v>
      </c>
      <c r="BC803">
        <f t="shared" si="334"/>
        <v>0</v>
      </c>
      <c r="BD803">
        <f t="shared" si="335"/>
        <v>0</v>
      </c>
      <c r="BE803">
        <f t="shared" si="336"/>
        <v>0</v>
      </c>
      <c r="BF803">
        <f t="shared" si="337"/>
        <v>0</v>
      </c>
      <c r="BG803">
        <f t="shared" si="338"/>
        <v>0</v>
      </c>
      <c r="BH803">
        <f t="shared" si="339"/>
        <v>0</v>
      </c>
    </row>
    <row r="804" spans="1:60" ht="15" customHeight="1">
      <c r="A804" s="206"/>
      <c r="B804" s="201"/>
      <c r="C804" s="1119" t="s">
        <v>4946</v>
      </c>
      <c r="D804" s="1121"/>
      <c r="E804" s="1121"/>
      <c r="F804" s="1120"/>
      <c r="G804" s="100"/>
      <c r="H804" s="100"/>
      <c r="I804" s="100"/>
      <c r="J804" s="100"/>
      <c r="K804" s="100"/>
      <c r="L804" s="100"/>
      <c r="M804" s="100"/>
      <c r="N804" s="100"/>
      <c r="O804" s="100"/>
      <c r="P804" s="100"/>
      <c r="Q804" s="100"/>
      <c r="R804" s="100"/>
      <c r="S804" s="100"/>
      <c r="T804" s="100"/>
      <c r="U804" s="100"/>
      <c r="V804" s="100"/>
      <c r="W804" s="100"/>
      <c r="X804" s="100"/>
      <c r="Y804" s="100"/>
      <c r="Z804" s="100"/>
      <c r="AA804" s="100"/>
      <c r="AB804" s="100"/>
      <c r="AC804" s="100"/>
      <c r="AD804" s="100"/>
      <c r="AF804"/>
      <c r="AG804"/>
      <c r="AH804"/>
      <c r="AI804"/>
      <c r="AJ804"/>
      <c r="AK804">
        <f t="shared" si="317"/>
        <v>0</v>
      </c>
      <c r="AL804">
        <f t="shared" si="318"/>
        <v>0</v>
      </c>
      <c r="AM804">
        <f t="shared" si="340"/>
        <v>0</v>
      </c>
      <c r="AN804">
        <f t="shared" si="319"/>
        <v>0</v>
      </c>
      <c r="AO804">
        <f t="shared" si="320"/>
        <v>0</v>
      </c>
      <c r="AP804">
        <f t="shared" si="321"/>
        <v>0</v>
      </c>
      <c r="AQ804">
        <f t="shared" si="322"/>
        <v>0</v>
      </c>
      <c r="AR804">
        <f t="shared" si="323"/>
        <v>0</v>
      </c>
      <c r="AS804">
        <f t="shared" si="324"/>
        <v>0</v>
      </c>
      <c r="AT804">
        <f t="shared" si="325"/>
        <v>0</v>
      </c>
      <c r="AU804">
        <f t="shared" si="326"/>
        <v>0</v>
      </c>
      <c r="AV804">
        <f t="shared" si="327"/>
        <v>0</v>
      </c>
      <c r="AW804">
        <f t="shared" si="328"/>
        <v>0</v>
      </c>
      <c r="AX804">
        <f t="shared" si="329"/>
        <v>0</v>
      </c>
      <c r="AY804">
        <f t="shared" si="330"/>
        <v>0</v>
      </c>
      <c r="AZ804">
        <f t="shared" si="331"/>
        <v>0</v>
      </c>
      <c r="BA804">
        <f t="shared" si="332"/>
        <v>0</v>
      </c>
      <c r="BB804">
        <f t="shared" si="333"/>
        <v>0</v>
      </c>
      <c r="BC804">
        <f t="shared" si="334"/>
        <v>0</v>
      </c>
      <c r="BD804">
        <f t="shared" si="335"/>
        <v>0</v>
      </c>
      <c r="BE804">
        <f t="shared" si="336"/>
        <v>0</v>
      </c>
      <c r="BF804">
        <f t="shared" si="337"/>
        <v>0</v>
      </c>
      <c r="BG804">
        <f t="shared" si="338"/>
        <v>0</v>
      </c>
      <c r="BH804">
        <f t="shared" si="339"/>
        <v>0</v>
      </c>
    </row>
    <row r="805" spans="1:60" ht="15" customHeight="1">
      <c r="A805" s="206"/>
      <c r="B805" s="201"/>
      <c r="C805" s="1119" t="s">
        <v>4948</v>
      </c>
      <c r="D805" s="1121"/>
      <c r="E805" s="1121"/>
      <c r="F805" s="1120"/>
      <c r="G805" s="100"/>
      <c r="H805" s="100"/>
      <c r="I805" s="100"/>
      <c r="J805" s="100"/>
      <c r="K805" s="100"/>
      <c r="L805" s="100"/>
      <c r="M805" s="100"/>
      <c r="N805" s="100"/>
      <c r="O805" s="100"/>
      <c r="P805" s="100"/>
      <c r="Q805" s="100"/>
      <c r="R805" s="100"/>
      <c r="S805" s="100"/>
      <c r="T805" s="100"/>
      <c r="U805" s="100"/>
      <c r="V805" s="100"/>
      <c r="W805" s="100"/>
      <c r="X805" s="100"/>
      <c r="Y805" s="100"/>
      <c r="Z805" s="100"/>
      <c r="AA805" s="100"/>
      <c r="AB805" s="100"/>
      <c r="AC805" s="100"/>
      <c r="AD805" s="100"/>
      <c r="AF805"/>
      <c r="AG805"/>
      <c r="AH805"/>
      <c r="AI805"/>
      <c r="AJ805"/>
      <c r="AK805">
        <f t="shared" si="317"/>
        <v>0</v>
      </c>
      <c r="AL805">
        <f t="shared" si="318"/>
        <v>0</v>
      </c>
      <c r="AM805">
        <f t="shared" si="340"/>
        <v>0</v>
      </c>
      <c r="AN805">
        <f t="shared" si="319"/>
        <v>0</v>
      </c>
      <c r="AO805">
        <f t="shared" si="320"/>
        <v>0</v>
      </c>
      <c r="AP805">
        <f t="shared" si="321"/>
        <v>0</v>
      </c>
      <c r="AQ805">
        <f t="shared" si="322"/>
        <v>0</v>
      </c>
      <c r="AR805">
        <f t="shared" si="323"/>
        <v>0</v>
      </c>
      <c r="AS805">
        <f t="shared" si="324"/>
        <v>0</v>
      </c>
      <c r="AT805">
        <f t="shared" si="325"/>
        <v>0</v>
      </c>
      <c r="AU805">
        <f t="shared" si="326"/>
        <v>0</v>
      </c>
      <c r="AV805">
        <f t="shared" si="327"/>
        <v>0</v>
      </c>
      <c r="AW805">
        <f t="shared" si="328"/>
        <v>0</v>
      </c>
      <c r="AX805">
        <f t="shared" si="329"/>
        <v>0</v>
      </c>
      <c r="AY805">
        <f t="shared" si="330"/>
        <v>0</v>
      </c>
      <c r="AZ805">
        <f t="shared" si="331"/>
        <v>0</v>
      </c>
      <c r="BA805">
        <f t="shared" si="332"/>
        <v>0</v>
      </c>
      <c r="BB805">
        <f t="shared" si="333"/>
        <v>0</v>
      </c>
      <c r="BC805">
        <f t="shared" si="334"/>
        <v>0</v>
      </c>
      <c r="BD805">
        <f t="shared" si="335"/>
        <v>0</v>
      </c>
      <c r="BE805">
        <f t="shared" si="336"/>
        <v>0</v>
      </c>
      <c r="BF805">
        <f t="shared" si="337"/>
        <v>0</v>
      </c>
      <c r="BG805">
        <f t="shared" si="338"/>
        <v>0</v>
      </c>
      <c r="BH805">
        <f t="shared" si="339"/>
        <v>0</v>
      </c>
    </row>
    <row r="806" spans="1:60" ht="15" customHeight="1">
      <c r="A806" s="206"/>
      <c r="B806" s="201"/>
      <c r="C806" s="1119" t="s">
        <v>4950</v>
      </c>
      <c r="D806" s="1121"/>
      <c r="E806" s="1121"/>
      <c r="F806" s="1120"/>
      <c r="G806" s="100"/>
      <c r="H806" s="100"/>
      <c r="I806" s="100"/>
      <c r="J806" s="100"/>
      <c r="K806" s="100"/>
      <c r="L806" s="100"/>
      <c r="M806" s="100"/>
      <c r="N806" s="100"/>
      <c r="O806" s="100"/>
      <c r="P806" s="100"/>
      <c r="Q806" s="100"/>
      <c r="R806" s="100"/>
      <c r="S806" s="100"/>
      <c r="T806" s="100"/>
      <c r="U806" s="100"/>
      <c r="V806" s="100"/>
      <c r="W806" s="100"/>
      <c r="X806" s="100"/>
      <c r="Y806" s="100"/>
      <c r="Z806" s="100"/>
      <c r="AA806" s="100"/>
      <c r="AB806" s="100"/>
      <c r="AC806" s="100"/>
      <c r="AD806" s="100"/>
      <c r="AF806"/>
      <c r="AG806"/>
      <c r="AH806"/>
      <c r="AI806"/>
      <c r="AJ806"/>
      <c r="AK806">
        <f t="shared" si="317"/>
        <v>0</v>
      </c>
      <c r="AL806">
        <f t="shared" si="318"/>
        <v>0</v>
      </c>
      <c r="AM806">
        <f t="shared" si="340"/>
        <v>0</v>
      </c>
      <c r="AN806">
        <f t="shared" si="319"/>
        <v>0</v>
      </c>
      <c r="AO806">
        <f t="shared" si="320"/>
        <v>0</v>
      </c>
      <c r="AP806">
        <f t="shared" si="321"/>
        <v>0</v>
      </c>
      <c r="AQ806">
        <f t="shared" si="322"/>
        <v>0</v>
      </c>
      <c r="AR806">
        <f t="shared" si="323"/>
        <v>0</v>
      </c>
      <c r="AS806">
        <f t="shared" si="324"/>
        <v>0</v>
      </c>
      <c r="AT806">
        <f t="shared" si="325"/>
        <v>0</v>
      </c>
      <c r="AU806">
        <f t="shared" si="326"/>
        <v>0</v>
      </c>
      <c r="AV806">
        <f t="shared" si="327"/>
        <v>0</v>
      </c>
      <c r="AW806">
        <f t="shared" si="328"/>
        <v>0</v>
      </c>
      <c r="AX806">
        <f t="shared" si="329"/>
        <v>0</v>
      </c>
      <c r="AY806">
        <f t="shared" si="330"/>
        <v>0</v>
      </c>
      <c r="AZ806">
        <f t="shared" si="331"/>
        <v>0</v>
      </c>
      <c r="BA806">
        <f t="shared" si="332"/>
        <v>0</v>
      </c>
      <c r="BB806">
        <f t="shared" si="333"/>
        <v>0</v>
      </c>
      <c r="BC806">
        <f t="shared" si="334"/>
        <v>0</v>
      </c>
      <c r="BD806">
        <f t="shared" si="335"/>
        <v>0</v>
      </c>
      <c r="BE806">
        <f t="shared" si="336"/>
        <v>0</v>
      </c>
      <c r="BF806">
        <f t="shared" si="337"/>
        <v>0</v>
      </c>
      <c r="BG806">
        <f t="shared" si="338"/>
        <v>0</v>
      </c>
      <c r="BH806">
        <f t="shared" si="339"/>
        <v>0</v>
      </c>
    </row>
    <row r="807" spans="1:60" ht="15" customHeight="1">
      <c r="A807" s="206"/>
      <c r="B807" s="201"/>
      <c r="C807" s="1119" t="s">
        <v>4952</v>
      </c>
      <c r="D807" s="1121"/>
      <c r="E807" s="1121"/>
      <c r="F807" s="1120"/>
      <c r="G807" s="100"/>
      <c r="H807" s="100"/>
      <c r="I807" s="100"/>
      <c r="J807" s="100"/>
      <c r="K807" s="100"/>
      <c r="L807" s="100"/>
      <c r="M807" s="100"/>
      <c r="N807" s="100"/>
      <c r="O807" s="100"/>
      <c r="P807" s="100"/>
      <c r="Q807" s="100"/>
      <c r="R807" s="100"/>
      <c r="S807" s="100"/>
      <c r="T807" s="100"/>
      <c r="U807" s="100"/>
      <c r="V807" s="100"/>
      <c r="W807" s="100"/>
      <c r="X807" s="100"/>
      <c r="Y807" s="100"/>
      <c r="Z807" s="100"/>
      <c r="AA807" s="100"/>
      <c r="AB807" s="100"/>
      <c r="AC807" s="100"/>
      <c r="AD807" s="100"/>
      <c r="AF807"/>
      <c r="AG807"/>
      <c r="AH807"/>
      <c r="AI807"/>
      <c r="AJ807"/>
      <c r="AK807">
        <f t="shared" si="317"/>
        <v>0</v>
      </c>
      <c r="AL807">
        <f t="shared" si="318"/>
        <v>0</v>
      </c>
      <c r="AM807">
        <f t="shared" si="340"/>
        <v>0</v>
      </c>
      <c r="AN807">
        <f t="shared" si="319"/>
        <v>0</v>
      </c>
      <c r="AO807">
        <f t="shared" si="320"/>
        <v>0</v>
      </c>
      <c r="AP807">
        <f t="shared" si="321"/>
        <v>0</v>
      </c>
      <c r="AQ807">
        <f t="shared" si="322"/>
        <v>0</v>
      </c>
      <c r="AR807">
        <f t="shared" si="323"/>
        <v>0</v>
      </c>
      <c r="AS807">
        <f t="shared" si="324"/>
        <v>0</v>
      </c>
      <c r="AT807">
        <f t="shared" si="325"/>
        <v>0</v>
      </c>
      <c r="AU807">
        <f t="shared" si="326"/>
        <v>0</v>
      </c>
      <c r="AV807">
        <f t="shared" si="327"/>
        <v>0</v>
      </c>
      <c r="AW807">
        <f t="shared" si="328"/>
        <v>0</v>
      </c>
      <c r="AX807">
        <f t="shared" si="329"/>
        <v>0</v>
      </c>
      <c r="AY807">
        <f t="shared" si="330"/>
        <v>0</v>
      </c>
      <c r="AZ807">
        <f t="shared" si="331"/>
        <v>0</v>
      </c>
      <c r="BA807">
        <f t="shared" si="332"/>
        <v>0</v>
      </c>
      <c r="BB807">
        <f t="shared" si="333"/>
        <v>0</v>
      </c>
      <c r="BC807">
        <f t="shared" si="334"/>
        <v>0</v>
      </c>
      <c r="BD807">
        <f t="shared" si="335"/>
        <v>0</v>
      </c>
      <c r="BE807">
        <f t="shared" si="336"/>
        <v>0</v>
      </c>
      <c r="BF807">
        <f t="shared" si="337"/>
        <v>0</v>
      </c>
      <c r="BG807">
        <f t="shared" si="338"/>
        <v>0</v>
      </c>
      <c r="BH807">
        <f t="shared" si="339"/>
        <v>0</v>
      </c>
    </row>
    <row r="808" spans="1:60" ht="15" customHeight="1">
      <c r="A808" s="206"/>
      <c r="B808" s="201"/>
      <c r="C808" s="1119" t="s">
        <v>4954</v>
      </c>
      <c r="D808" s="1121"/>
      <c r="E808" s="1121"/>
      <c r="F808" s="1120"/>
      <c r="G808" s="100"/>
      <c r="H808" s="100"/>
      <c r="I808" s="100"/>
      <c r="J808" s="100"/>
      <c r="K808" s="100"/>
      <c r="L808" s="100"/>
      <c r="M808" s="100"/>
      <c r="N808" s="100"/>
      <c r="O808" s="100"/>
      <c r="P808" s="100"/>
      <c r="Q808" s="100"/>
      <c r="R808" s="100"/>
      <c r="S808" s="100"/>
      <c r="T808" s="100"/>
      <c r="U808" s="100"/>
      <c r="V808" s="100"/>
      <c r="W808" s="100"/>
      <c r="X808" s="100"/>
      <c r="Y808" s="100"/>
      <c r="Z808" s="100"/>
      <c r="AA808" s="100"/>
      <c r="AB808" s="100"/>
      <c r="AC808" s="100"/>
      <c r="AD808" s="100"/>
      <c r="AF808"/>
      <c r="AG808"/>
      <c r="AH808"/>
      <c r="AI808"/>
      <c r="AJ808"/>
      <c r="AK808">
        <f t="shared" si="317"/>
        <v>0</v>
      </c>
      <c r="AL808">
        <f t="shared" si="318"/>
        <v>0</v>
      </c>
      <c r="AM808">
        <f t="shared" si="340"/>
        <v>0</v>
      </c>
      <c r="AN808">
        <f t="shared" si="319"/>
        <v>0</v>
      </c>
      <c r="AO808">
        <f t="shared" si="320"/>
        <v>0</v>
      </c>
      <c r="AP808">
        <f t="shared" si="321"/>
        <v>0</v>
      </c>
      <c r="AQ808">
        <f t="shared" si="322"/>
        <v>0</v>
      </c>
      <c r="AR808">
        <f t="shared" si="323"/>
        <v>0</v>
      </c>
      <c r="AS808">
        <f t="shared" si="324"/>
        <v>0</v>
      </c>
      <c r="AT808">
        <f t="shared" si="325"/>
        <v>0</v>
      </c>
      <c r="AU808">
        <f t="shared" si="326"/>
        <v>0</v>
      </c>
      <c r="AV808">
        <f t="shared" si="327"/>
        <v>0</v>
      </c>
      <c r="AW808">
        <f t="shared" si="328"/>
        <v>0</v>
      </c>
      <c r="AX808">
        <f t="shared" si="329"/>
        <v>0</v>
      </c>
      <c r="AY808">
        <f t="shared" si="330"/>
        <v>0</v>
      </c>
      <c r="AZ808">
        <f t="shared" si="331"/>
        <v>0</v>
      </c>
      <c r="BA808">
        <f t="shared" si="332"/>
        <v>0</v>
      </c>
      <c r="BB808">
        <f t="shared" si="333"/>
        <v>0</v>
      </c>
      <c r="BC808">
        <f t="shared" si="334"/>
        <v>0</v>
      </c>
      <c r="BD808">
        <f t="shared" si="335"/>
        <v>0</v>
      </c>
      <c r="BE808">
        <f t="shared" si="336"/>
        <v>0</v>
      </c>
      <c r="BF808">
        <f t="shared" si="337"/>
        <v>0</v>
      </c>
      <c r="BG808">
        <f t="shared" si="338"/>
        <v>0</v>
      </c>
      <c r="BH808">
        <f t="shared" si="339"/>
        <v>0</v>
      </c>
    </row>
    <row r="809" spans="1:60" ht="15" customHeight="1">
      <c r="A809" s="206"/>
      <c r="B809" s="206"/>
      <c r="C809" s="1117" t="s">
        <v>4955</v>
      </c>
      <c r="D809" s="1136"/>
      <c r="E809" s="1136"/>
      <c r="F809" s="1118"/>
      <c r="G809" s="100"/>
      <c r="H809" s="100"/>
      <c r="I809" s="100"/>
      <c r="J809" s="100"/>
      <c r="K809" s="100"/>
      <c r="L809" s="100"/>
      <c r="M809" s="100"/>
      <c r="N809" s="100"/>
      <c r="O809" s="100"/>
      <c r="P809" s="100"/>
      <c r="Q809" s="100"/>
      <c r="R809" s="100"/>
      <c r="S809" s="100"/>
      <c r="T809" s="100"/>
      <c r="U809" s="100"/>
      <c r="V809" s="100"/>
      <c r="W809" s="100"/>
      <c r="X809" s="100"/>
      <c r="Y809" s="100"/>
      <c r="Z809" s="100"/>
      <c r="AA809" s="100"/>
      <c r="AB809" s="100"/>
      <c r="AC809" s="100"/>
      <c r="AD809" s="100"/>
      <c r="AF809"/>
      <c r="AG809"/>
      <c r="AH809"/>
      <c r="AI809"/>
      <c r="AJ809"/>
      <c r="AK809">
        <f t="shared" si="317"/>
        <v>0</v>
      </c>
      <c r="AL809">
        <f t="shared" si="318"/>
        <v>0</v>
      </c>
      <c r="AM809">
        <f t="shared" si="340"/>
        <v>0</v>
      </c>
      <c r="AN809">
        <f t="shared" si="319"/>
        <v>0</v>
      </c>
      <c r="AO809">
        <f t="shared" si="320"/>
        <v>0</v>
      </c>
      <c r="AP809">
        <f t="shared" si="321"/>
        <v>0</v>
      </c>
      <c r="AQ809">
        <f t="shared" si="322"/>
        <v>0</v>
      </c>
      <c r="AR809">
        <f t="shared" si="323"/>
        <v>0</v>
      </c>
      <c r="AS809">
        <f t="shared" si="324"/>
        <v>0</v>
      </c>
      <c r="AT809">
        <f t="shared" si="325"/>
        <v>0</v>
      </c>
      <c r="AU809">
        <f t="shared" si="326"/>
        <v>0</v>
      </c>
      <c r="AV809">
        <f t="shared" si="327"/>
        <v>0</v>
      </c>
      <c r="AW809">
        <f t="shared" si="328"/>
        <v>0</v>
      </c>
      <c r="AX809">
        <f t="shared" si="329"/>
        <v>0</v>
      </c>
      <c r="AY809">
        <f t="shared" si="330"/>
        <v>0</v>
      </c>
      <c r="AZ809">
        <f t="shared" si="331"/>
        <v>0</v>
      </c>
      <c r="BA809">
        <f t="shared" si="332"/>
        <v>0</v>
      </c>
      <c r="BB809">
        <f t="shared" si="333"/>
        <v>0</v>
      </c>
      <c r="BC809">
        <f t="shared" si="334"/>
        <v>0</v>
      </c>
      <c r="BD809">
        <f t="shared" si="335"/>
        <v>0</v>
      </c>
      <c r="BE809">
        <f t="shared" si="336"/>
        <v>0</v>
      </c>
      <c r="BF809">
        <f t="shared" si="337"/>
        <v>0</v>
      </c>
      <c r="BG809">
        <f t="shared" si="338"/>
        <v>0</v>
      </c>
      <c r="BH809">
        <f t="shared" si="339"/>
        <v>0</v>
      </c>
    </row>
    <row r="810" spans="1:60" ht="15" customHeight="1">
      <c r="A810" s="206"/>
      <c r="B810" s="206"/>
      <c r="C810" s="1117" t="s">
        <v>4957</v>
      </c>
      <c r="D810" s="1136"/>
      <c r="E810" s="1136"/>
      <c r="F810" s="1118"/>
      <c r="G810" s="100"/>
      <c r="H810" s="100"/>
      <c r="I810" s="100"/>
      <c r="J810" s="100"/>
      <c r="K810" s="100"/>
      <c r="L810" s="100"/>
      <c r="M810" s="100"/>
      <c r="N810" s="100"/>
      <c r="O810" s="100"/>
      <c r="P810" s="100"/>
      <c r="Q810" s="100"/>
      <c r="R810" s="100"/>
      <c r="S810" s="100"/>
      <c r="T810" s="100"/>
      <c r="U810" s="100"/>
      <c r="V810" s="100"/>
      <c r="W810" s="100"/>
      <c r="X810" s="100"/>
      <c r="Y810" s="100"/>
      <c r="Z810" s="100"/>
      <c r="AA810" s="100"/>
      <c r="AB810" s="100"/>
      <c r="AC810" s="100"/>
      <c r="AD810" s="100"/>
      <c r="AF810"/>
      <c r="AG810"/>
      <c r="AH810"/>
      <c r="AI810"/>
      <c r="AJ810"/>
      <c r="AK810">
        <f t="shared" si="317"/>
        <v>0</v>
      </c>
      <c r="AL810">
        <f t="shared" si="318"/>
        <v>0</v>
      </c>
      <c r="AM810">
        <f t="shared" si="340"/>
        <v>0</v>
      </c>
      <c r="AN810">
        <f t="shared" si="319"/>
        <v>0</v>
      </c>
      <c r="AO810">
        <f t="shared" si="320"/>
        <v>0</v>
      </c>
      <c r="AP810">
        <f t="shared" si="321"/>
        <v>0</v>
      </c>
      <c r="AQ810">
        <f t="shared" si="322"/>
        <v>0</v>
      </c>
      <c r="AR810">
        <f t="shared" si="323"/>
        <v>0</v>
      </c>
      <c r="AS810">
        <f t="shared" si="324"/>
        <v>0</v>
      </c>
      <c r="AT810">
        <f t="shared" si="325"/>
        <v>0</v>
      </c>
      <c r="AU810">
        <f t="shared" si="326"/>
        <v>0</v>
      </c>
      <c r="AV810">
        <f t="shared" si="327"/>
        <v>0</v>
      </c>
      <c r="AW810">
        <f t="shared" si="328"/>
        <v>0</v>
      </c>
      <c r="AX810">
        <f t="shared" si="329"/>
        <v>0</v>
      </c>
      <c r="AY810">
        <f t="shared" si="330"/>
        <v>0</v>
      </c>
      <c r="AZ810">
        <f t="shared" si="331"/>
        <v>0</v>
      </c>
      <c r="BA810">
        <f t="shared" si="332"/>
        <v>0</v>
      </c>
      <c r="BB810">
        <f t="shared" si="333"/>
        <v>0</v>
      </c>
      <c r="BC810">
        <f t="shared" si="334"/>
        <v>0</v>
      </c>
      <c r="BD810">
        <f t="shared" si="335"/>
        <v>0</v>
      </c>
      <c r="BE810">
        <f t="shared" si="336"/>
        <v>0</v>
      </c>
      <c r="BF810">
        <f t="shared" si="337"/>
        <v>0</v>
      </c>
      <c r="BG810">
        <f t="shared" si="338"/>
        <v>0</v>
      </c>
      <c r="BH810">
        <f t="shared" si="339"/>
        <v>0</v>
      </c>
    </row>
    <row r="811" spans="1:60" ht="15" customHeight="1">
      <c r="A811" s="206"/>
      <c r="B811" s="206"/>
      <c r="C811" s="1117" t="s">
        <v>4959</v>
      </c>
      <c r="D811" s="1136"/>
      <c r="E811" s="1136"/>
      <c r="F811" s="1118"/>
      <c r="G811" s="100"/>
      <c r="H811" s="100"/>
      <c r="I811" s="100"/>
      <c r="J811" s="100"/>
      <c r="K811" s="100"/>
      <c r="L811" s="100"/>
      <c r="M811" s="100"/>
      <c r="N811" s="100"/>
      <c r="O811" s="100"/>
      <c r="P811" s="100"/>
      <c r="Q811" s="100"/>
      <c r="R811" s="100"/>
      <c r="S811" s="100"/>
      <c r="T811" s="100"/>
      <c r="U811" s="100"/>
      <c r="V811" s="100"/>
      <c r="W811" s="100"/>
      <c r="X811" s="100"/>
      <c r="Y811" s="100"/>
      <c r="Z811" s="100"/>
      <c r="AA811" s="100"/>
      <c r="AB811" s="100"/>
      <c r="AC811" s="100"/>
      <c r="AD811" s="100"/>
      <c r="AF811"/>
      <c r="AG811"/>
      <c r="AH811"/>
      <c r="AI811"/>
      <c r="AJ811"/>
      <c r="AK811">
        <f t="shared" si="317"/>
        <v>0</v>
      </c>
      <c r="AL811">
        <f t="shared" si="318"/>
        <v>0</v>
      </c>
      <c r="AM811">
        <f t="shared" si="340"/>
        <v>0</v>
      </c>
      <c r="AN811">
        <f t="shared" si="319"/>
        <v>0</v>
      </c>
      <c r="AO811">
        <f t="shared" si="320"/>
        <v>0</v>
      </c>
      <c r="AP811">
        <f t="shared" si="321"/>
        <v>0</v>
      </c>
      <c r="AQ811">
        <f t="shared" si="322"/>
        <v>0</v>
      </c>
      <c r="AR811">
        <f t="shared" si="323"/>
        <v>0</v>
      </c>
      <c r="AS811">
        <f t="shared" si="324"/>
        <v>0</v>
      </c>
      <c r="AT811">
        <f t="shared" si="325"/>
        <v>0</v>
      </c>
      <c r="AU811">
        <f t="shared" si="326"/>
        <v>0</v>
      </c>
      <c r="AV811">
        <f t="shared" si="327"/>
        <v>0</v>
      </c>
      <c r="AW811">
        <f t="shared" si="328"/>
        <v>0</v>
      </c>
      <c r="AX811">
        <f t="shared" si="329"/>
        <v>0</v>
      </c>
      <c r="AY811">
        <f t="shared" si="330"/>
        <v>0</v>
      </c>
      <c r="AZ811">
        <f t="shared" si="331"/>
        <v>0</v>
      </c>
      <c r="BA811">
        <f t="shared" si="332"/>
        <v>0</v>
      </c>
      <c r="BB811">
        <f t="shared" si="333"/>
        <v>0</v>
      </c>
      <c r="BC811">
        <f t="shared" si="334"/>
        <v>0</v>
      </c>
      <c r="BD811">
        <f t="shared" si="335"/>
        <v>0</v>
      </c>
      <c r="BE811">
        <f t="shared" si="336"/>
        <v>0</v>
      </c>
      <c r="BF811">
        <f t="shared" si="337"/>
        <v>0</v>
      </c>
      <c r="BG811">
        <f t="shared" si="338"/>
        <v>0</v>
      </c>
      <c r="BH811">
        <f t="shared" si="339"/>
        <v>0</v>
      </c>
    </row>
    <row r="812" spans="1:60" ht="15" customHeight="1">
      <c r="A812" s="206"/>
      <c r="B812" s="206"/>
      <c r="C812" s="1117" t="s">
        <v>4961</v>
      </c>
      <c r="D812" s="1136"/>
      <c r="E812" s="1136"/>
      <c r="F812" s="1118"/>
      <c r="G812" s="100"/>
      <c r="H812" s="100"/>
      <c r="I812" s="100"/>
      <c r="J812" s="100"/>
      <c r="K812" s="100"/>
      <c r="L812" s="100"/>
      <c r="M812" s="100"/>
      <c r="N812" s="100"/>
      <c r="O812" s="100"/>
      <c r="P812" s="100"/>
      <c r="Q812" s="100"/>
      <c r="R812" s="100"/>
      <c r="S812" s="100"/>
      <c r="T812" s="100"/>
      <c r="U812" s="100"/>
      <c r="V812" s="100"/>
      <c r="W812" s="100"/>
      <c r="X812" s="100"/>
      <c r="Y812" s="100"/>
      <c r="Z812" s="100"/>
      <c r="AA812" s="100"/>
      <c r="AB812" s="100"/>
      <c r="AC812" s="100"/>
      <c r="AD812" s="100"/>
      <c r="AF812"/>
      <c r="AG812"/>
      <c r="AH812"/>
      <c r="AI812"/>
      <c r="AJ812"/>
      <c r="AK812">
        <f t="shared" si="317"/>
        <v>0</v>
      </c>
      <c r="AL812">
        <f t="shared" si="318"/>
        <v>0</v>
      </c>
      <c r="AM812">
        <f t="shared" si="340"/>
        <v>0</v>
      </c>
      <c r="AN812">
        <f t="shared" si="319"/>
        <v>0</v>
      </c>
      <c r="AO812">
        <f t="shared" si="320"/>
        <v>0</v>
      </c>
      <c r="AP812">
        <f t="shared" si="321"/>
        <v>0</v>
      </c>
      <c r="AQ812">
        <f t="shared" si="322"/>
        <v>0</v>
      </c>
      <c r="AR812">
        <f t="shared" si="323"/>
        <v>0</v>
      </c>
      <c r="AS812">
        <f t="shared" si="324"/>
        <v>0</v>
      </c>
      <c r="AT812">
        <f t="shared" si="325"/>
        <v>0</v>
      </c>
      <c r="AU812">
        <f t="shared" si="326"/>
        <v>0</v>
      </c>
      <c r="AV812">
        <f t="shared" si="327"/>
        <v>0</v>
      </c>
      <c r="AW812">
        <f t="shared" si="328"/>
        <v>0</v>
      </c>
      <c r="AX812">
        <f t="shared" si="329"/>
        <v>0</v>
      </c>
      <c r="AY812">
        <f t="shared" si="330"/>
        <v>0</v>
      </c>
      <c r="AZ812">
        <f t="shared" si="331"/>
        <v>0</v>
      </c>
      <c r="BA812">
        <f t="shared" si="332"/>
        <v>0</v>
      </c>
      <c r="BB812">
        <f t="shared" si="333"/>
        <v>0</v>
      </c>
      <c r="BC812">
        <f t="shared" si="334"/>
        <v>0</v>
      </c>
      <c r="BD812">
        <f t="shared" si="335"/>
        <v>0</v>
      </c>
      <c r="BE812">
        <f t="shared" si="336"/>
        <v>0</v>
      </c>
      <c r="BF812">
        <f t="shared" si="337"/>
        <v>0</v>
      </c>
      <c r="BG812">
        <f t="shared" si="338"/>
        <v>0</v>
      </c>
      <c r="BH812">
        <f t="shared" si="339"/>
        <v>0</v>
      </c>
    </row>
    <row r="813" spans="1:60" ht="15" customHeight="1">
      <c r="A813" s="206"/>
      <c r="B813" s="206"/>
      <c r="C813" s="1117" t="s">
        <v>4965</v>
      </c>
      <c r="D813" s="1136"/>
      <c r="E813" s="1136"/>
      <c r="F813" s="1118"/>
      <c r="G813" s="100"/>
      <c r="H813" s="100"/>
      <c r="I813" s="100"/>
      <c r="J813" s="100"/>
      <c r="K813" s="100"/>
      <c r="L813" s="100"/>
      <c r="M813" s="100"/>
      <c r="N813" s="100"/>
      <c r="O813" s="100"/>
      <c r="P813" s="100"/>
      <c r="Q813" s="100"/>
      <c r="R813" s="100"/>
      <c r="S813" s="100"/>
      <c r="T813" s="100"/>
      <c r="U813" s="100"/>
      <c r="V813" s="100"/>
      <c r="W813" s="100"/>
      <c r="X813" s="100"/>
      <c r="Y813" s="100"/>
      <c r="Z813" s="100"/>
      <c r="AA813" s="100"/>
      <c r="AB813" s="100"/>
      <c r="AC813" s="100"/>
      <c r="AD813" s="100"/>
      <c r="AF813"/>
      <c r="AG813"/>
      <c r="AH813"/>
      <c r="AI813"/>
      <c r="AJ813"/>
      <c r="AK813">
        <f t="shared" si="317"/>
        <v>0</v>
      </c>
      <c r="AL813">
        <f t="shared" si="318"/>
        <v>0</v>
      </c>
      <c r="AM813">
        <f t="shared" si="340"/>
        <v>0</v>
      </c>
      <c r="AN813">
        <f t="shared" si="319"/>
        <v>0</v>
      </c>
      <c r="AO813">
        <f t="shared" si="320"/>
        <v>0</v>
      </c>
      <c r="AP813">
        <f t="shared" si="321"/>
        <v>0</v>
      </c>
      <c r="AQ813">
        <f t="shared" si="322"/>
        <v>0</v>
      </c>
      <c r="AR813">
        <f t="shared" si="323"/>
        <v>0</v>
      </c>
      <c r="AS813">
        <f t="shared" si="324"/>
        <v>0</v>
      </c>
      <c r="AT813">
        <f t="shared" si="325"/>
        <v>0</v>
      </c>
      <c r="AU813">
        <f t="shared" si="326"/>
        <v>0</v>
      </c>
      <c r="AV813">
        <f t="shared" si="327"/>
        <v>0</v>
      </c>
      <c r="AW813">
        <f t="shared" si="328"/>
        <v>0</v>
      </c>
      <c r="AX813">
        <f t="shared" si="329"/>
        <v>0</v>
      </c>
      <c r="AY813">
        <f t="shared" si="330"/>
        <v>0</v>
      </c>
      <c r="AZ813">
        <f t="shared" si="331"/>
        <v>0</v>
      </c>
      <c r="BA813">
        <f t="shared" si="332"/>
        <v>0</v>
      </c>
      <c r="BB813">
        <f t="shared" si="333"/>
        <v>0</v>
      </c>
      <c r="BC813">
        <f t="shared" si="334"/>
        <v>0</v>
      </c>
      <c r="BD813">
        <f t="shared" si="335"/>
        <v>0</v>
      </c>
      <c r="BE813">
        <f t="shared" si="336"/>
        <v>0</v>
      </c>
      <c r="BF813">
        <f t="shared" si="337"/>
        <v>0</v>
      </c>
      <c r="BG813">
        <f t="shared" si="338"/>
        <v>0</v>
      </c>
      <c r="BH813">
        <f t="shared" si="339"/>
        <v>0</v>
      </c>
    </row>
    <row r="814" spans="1:60" ht="15" customHeight="1">
      <c r="A814" s="206"/>
      <c r="B814" s="201"/>
      <c r="C814" s="1119" t="s">
        <v>4967</v>
      </c>
      <c r="D814" s="1121"/>
      <c r="E814" s="1121"/>
      <c r="F814" s="1120"/>
      <c r="G814" s="100"/>
      <c r="H814" s="100"/>
      <c r="I814" s="100"/>
      <c r="J814" s="100"/>
      <c r="K814" s="100"/>
      <c r="L814" s="100"/>
      <c r="M814" s="100"/>
      <c r="N814" s="100"/>
      <c r="O814" s="100"/>
      <c r="P814" s="100"/>
      <c r="Q814" s="100"/>
      <c r="R814" s="100"/>
      <c r="S814" s="100"/>
      <c r="T814" s="100"/>
      <c r="U814" s="100"/>
      <c r="V814" s="100"/>
      <c r="W814" s="100"/>
      <c r="X814" s="100"/>
      <c r="Y814" s="100"/>
      <c r="Z814" s="100"/>
      <c r="AA814" s="100"/>
      <c r="AB814" s="100"/>
      <c r="AC814" s="100"/>
      <c r="AD814" s="100"/>
      <c r="AF814"/>
      <c r="AG814"/>
      <c r="AH814"/>
      <c r="AI814"/>
      <c r="AJ814"/>
      <c r="AK814">
        <f t="shared" si="317"/>
        <v>0</v>
      </c>
      <c r="AL814">
        <f t="shared" si="318"/>
        <v>0</v>
      </c>
      <c r="AM814">
        <f t="shared" si="340"/>
        <v>0</v>
      </c>
      <c r="AN814">
        <f t="shared" si="319"/>
        <v>0</v>
      </c>
      <c r="AO814">
        <f t="shared" si="320"/>
        <v>0</v>
      </c>
      <c r="AP814">
        <f t="shared" si="321"/>
        <v>0</v>
      </c>
      <c r="AQ814">
        <f t="shared" si="322"/>
        <v>0</v>
      </c>
      <c r="AR814">
        <f t="shared" si="323"/>
        <v>0</v>
      </c>
      <c r="AS814">
        <f t="shared" si="324"/>
        <v>0</v>
      </c>
      <c r="AT814">
        <f t="shared" si="325"/>
        <v>0</v>
      </c>
      <c r="AU814">
        <f t="shared" si="326"/>
        <v>0</v>
      </c>
      <c r="AV814">
        <f t="shared" si="327"/>
        <v>0</v>
      </c>
      <c r="AW814">
        <f t="shared" si="328"/>
        <v>0</v>
      </c>
      <c r="AX814">
        <f t="shared" si="329"/>
        <v>0</v>
      </c>
      <c r="AY814">
        <f t="shared" si="330"/>
        <v>0</v>
      </c>
      <c r="AZ814">
        <f t="shared" si="331"/>
        <v>0</v>
      </c>
      <c r="BA814">
        <f t="shared" si="332"/>
        <v>0</v>
      </c>
      <c r="BB814">
        <f t="shared" si="333"/>
        <v>0</v>
      </c>
      <c r="BC814">
        <f t="shared" si="334"/>
        <v>0</v>
      </c>
      <c r="BD814">
        <f t="shared" si="335"/>
        <v>0</v>
      </c>
      <c r="BE814">
        <f t="shared" si="336"/>
        <v>0</v>
      </c>
      <c r="BF814">
        <f t="shared" si="337"/>
        <v>0</v>
      </c>
      <c r="BG814">
        <f t="shared" si="338"/>
        <v>0</v>
      </c>
      <c r="BH814">
        <f t="shared" si="339"/>
        <v>0</v>
      </c>
    </row>
    <row r="815" spans="1:60" ht="15" customHeight="1">
      <c r="A815" s="206"/>
      <c r="B815" s="201"/>
      <c r="C815" s="1119" t="s">
        <v>4969</v>
      </c>
      <c r="D815" s="1121"/>
      <c r="E815" s="1121"/>
      <c r="F815" s="1120"/>
      <c r="G815" s="100"/>
      <c r="H815" s="100"/>
      <c r="I815" s="100"/>
      <c r="J815" s="100"/>
      <c r="K815" s="100"/>
      <c r="L815" s="100"/>
      <c r="M815" s="100"/>
      <c r="N815" s="100"/>
      <c r="O815" s="100"/>
      <c r="P815" s="100"/>
      <c r="Q815" s="100"/>
      <c r="R815" s="100"/>
      <c r="S815" s="100"/>
      <c r="T815" s="100"/>
      <c r="U815" s="100"/>
      <c r="V815" s="100"/>
      <c r="W815" s="100"/>
      <c r="X815" s="100"/>
      <c r="Y815" s="100"/>
      <c r="Z815" s="100"/>
      <c r="AA815" s="100"/>
      <c r="AB815" s="100"/>
      <c r="AC815" s="100"/>
      <c r="AD815" s="100"/>
      <c r="AF815"/>
      <c r="AG815"/>
      <c r="AH815"/>
      <c r="AI815"/>
      <c r="AJ815"/>
      <c r="AK815">
        <f t="shared" si="317"/>
        <v>0</v>
      </c>
      <c r="AL815">
        <f t="shared" si="318"/>
        <v>0</v>
      </c>
      <c r="AM815">
        <f t="shared" si="340"/>
        <v>0</v>
      </c>
      <c r="AN815">
        <f t="shared" si="319"/>
        <v>0</v>
      </c>
      <c r="AO815">
        <f t="shared" si="320"/>
        <v>0</v>
      </c>
      <c r="AP815">
        <f t="shared" si="321"/>
        <v>0</v>
      </c>
      <c r="AQ815">
        <f t="shared" si="322"/>
        <v>0</v>
      </c>
      <c r="AR815">
        <f t="shared" si="323"/>
        <v>0</v>
      </c>
      <c r="AS815">
        <f t="shared" si="324"/>
        <v>0</v>
      </c>
      <c r="AT815">
        <f t="shared" si="325"/>
        <v>0</v>
      </c>
      <c r="AU815">
        <f t="shared" si="326"/>
        <v>0</v>
      </c>
      <c r="AV815">
        <f t="shared" si="327"/>
        <v>0</v>
      </c>
      <c r="AW815">
        <f t="shared" si="328"/>
        <v>0</v>
      </c>
      <c r="AX815">
        <f t="shared" si="329"/>
        <v>0</v>
      </c>
      <c r="AY815">
        <f t="shared" si="330"/>
        <v>0</v>
      </c>
      <c r="AZ815">
        <f t="shared" si="331"/>
        <v>0</v>
      </c>
      <c r="BA815">
        <f t="shared" si="332"/>
        <v>0</v>
      </c>
      <c r="BB815">
        <f t="shared" si="333"/>
        <v>0</v>
      </c>
      <c r="BC815">
        <f t="shared" si="334"/>
        <v>0</v>
      </c>
      <c r="BD815">
        <f t="shared" si="335"/>
        <v>0</v>
      </c>
      <c r="BE815">
        <f t="shared" si="336"/>
        <v>0</v>
      </c>
      <c r="BF815">
        <f t="shared" si="337"/>
        <v>0</v>
      </c>
      <c r="BG815">
        <f t="shared" si="338"/>
        <v>0</v>
      </c>
      <c r="BH815">
        <f t="shared" si="339"/>
        <v>0</v>
      </c>
    </row>
    <row r="816" spans="1:60" ht="15" customHeight="1">
      <c r="A816" s="206"/>
      <c r="B816" s="201"/>
      <c r="C816" s="1119" t="s">
        <v>4971</v>
      </c>
      <c r="D816" s="1121"/>
      <c r="E816" s="1121"/>
      <c r="F816" s="1120"/>
      <c r="G816" s="100"/>
      <c r="H816" s="100"/>
      <c r="I816" s="100"/>
      <c r="J816" s="100"/>
      <c r="K816" s="100"/>
      <c r="L816" s="100"/>
      <c r="M816" s="100"/>
      <c r="N816" s="100"/>
      <c r="O816" s="100"/>
      <c r="P816" s="100"/>
      <c r="Q816" s="100"/>
      <c r="R816" s="100"/>
      <c r="S816" s="100"/>
      <c r="T816" s="100"/>
      <c r="U816" s="100"/>
      <c r="V816" s="100"/>
      <c r="W816" s="100"/>
      <c r="X816" s="100"/>
      <c r="Y816" s="100"/>
      <c r="Z816" s="100"/>
      <c r="AA816" s="100"/>
      <c r="AB816" s="100"/>
      <c r="AC816" s="100"/>
      <c r="AD816" s="100"/>
      <c r="AF816"/>
      <c r="AG816"/>
      <c r="AH816"/>
      <c r="AI816"/>
      <c r="AJ816"/>
      <c r="AK816">
        <f t="shared" si="317"/>
        <v>0</v>
      </c>
      <c r="AL816">
        <f t="shared" si="318"/>
        <v>0</v>
      </c>
      <c r="AM816">
        <f t="shared" si="340"/>
        <v>0</v>
      </c>
      <c r="AN816">
        <f t="shared" si="319"/>
        <v>0</v>
      </c>
      <c r="AO816">
        <f t="shared" si="320"/>
        <v>0</v>
      </c>
      <c r="AP816">
        <f t="shared" si="321"/>
        <v>0</v>
      </c>
      <c r="AQ816">
        <f t="shared" si="322"/>
        <v>0</v>
      </c>
      <c r="AR816">
        <f t="shared" si="323"/>
        <v>0</v>
      </c>
      <c r="AS816">
        <f t="shared" si="324"/>
        <v>0</v>
      </c>
      <c r="AT816">
        <f t="shared" si="325"/>
        <v>0</v>
      </c>
      <c r="AU816">
        <f t="shared" si="326"/>
        <v>0</v>
      </c>
      <c r="AV816">
        <f t="shared" si="327"/>
        <v>0</v>
      </c>
      <c r="AW816">
        <f t="shared" si="328"/>
        <v>0</v>
      </c>
      <c r="AX816">
        <f t="shared" si="329"/>
        <v>0</v>
      </c>
      <c r="AY816">
        <f t="shared" si="330"/>
        <v>0</v>
      </c>
      <c r="AZ816">
        <f t="shared" si="331"/>
        <v>0</v>
      </c>
      <c r="BA816">
        <f t="shared" si="332"/>
        <v>0</v>
      </c>
      <c r="BB816">
        <f t="shared" si="333"/>
        <v>0</v>
      </c>
      <c r="BC816">
        <f t="shared" si="334"/>
        <v>0</v>
      </c>
      <c r="BD816">
        <f t="shared" si="335"/>
        <v>0</v>
      </c>
      <c r="BE816">
        <f t="shared" si="336"/>
        <v>0</v>
      </c>
      <c r="BF816">
        <f t="shared" si="337"/>
        <v>0</v>
      </c>
      <c r="BG816">
        <f t="shared" si="338"/>
        <v>0</v>
      </c>
      <c r="BH816">
        <f t="shared" si="339"/>
        <v>0</v>
      </c>
    </row>
    <row r="817" spans="1:60" ht="15" customHeight="1">
      <c r="A817" s="206"/>
      <c r="B817" s="201"/>
      <c r="C817" s="1119" t="s">
        <v>4973</v>
      </c>
      <c r="D817" s="1121"/>
      <c r="E817" s="1121"/>
      <c r="F817" s="1120"/>
      <c r="G817" s="100"/>
      <c r="H817" s="100"/>
      <c r="I817" s="100"/>
      <c r="J817" s="100"/>
      <c r="K817" s="100"/>
      <c r="L817" s="100"/>
      <c r="M817" s="100"/>
      <c r="N817" s="100"/>
      <c r="O817" s="100"/>
      <c r="P817" s="100"/>
      <c r="Q817" s="100"/>
      <c r="R817" s="100"/>
      <c r="S817" s="100"/>
      <c r="T817" s="100"/>
      <c r="U817" s="100"/>
      <c r="V817" s="100"/>
      <c r="W817" s="100"/>
      <c r="X817" s="100"/>
      <c r="Y817" s="100"/>
      <c r="Z817" s="100"/>
      <c r="AA817" s="100"/>
      <c r="AB817" s="100"/>
      <c r="AC817" s="100"/>
      <c r="AD817" s="100"/>
      <c r="AF817"/>
      <c r="AG817"/>
      <c r="AH817"/>
      <c r="AI817"/>
      <c r="AJ817"/>
      <c r="AK817">
        <f t="shared" si="317"/>
        <v>0</v>
      </c>
      <c r="AL817">
        <f t="shared" si="318"/>
        <v>0</v>
      </c>
      <c r="AM817">
        <f t="shared" si="340"/>
        <v>0</v>
      </c>
      <c r="AN817">
        <f t="shared" si="319"/>
        <v>0</v>
      </c>
      <c r="AO817">
        <f t="shared" si="320"/>
        <v>0</v>
      </c>
      <c r="AP817">
        <f t="shared" si="321"/>
        <v>0</v>
      </c>
      <c r="AQ817">
        <f t="shared" si="322"/>
        <v>0</v>
      </c>
      <c r="AR817">
        <f t="shared" si="323"/>
        <v>0</v>
      </c>
      <c r="AS817">
        <f t="shared" si="324"/>
        <v>0</v>
      </c>
      <c r="AT817">
        <f t="shared" si="325"/>
        <v>0</v>
      </c>
      <c r="AU817">
        <f t="shared" si="326"/>
        <v>0</v>
      </c>
      <c r="AV817">
        <f t="shared" si="327"/>
        <v>0</v>
      </c>
      <c r="AW817">
        <f t="shared" si="328"/>
        <v>0</v>
      </c>
      <c r="AX817">
        <f t="shared" si="329"/>
        <v>0</v>
      </c>
      <c r="AY817">
        <f t="shared" si="330"/>
        <v>0</v>
      </c>
      <c r="AZ817">
        <f t="shared" si="331"/>
        <v>0</v>
      </c>
      <c r="BA817">
        <f t="shared" si="332"/>
        <v>0</v>
      </c>
      <c r="BB817">
        <f t="shared" si="333"/>
        <v>0</v>
      </c>
      <c r="BC817">
        <f t="shared" si="334"/>
        <v>0</v>
      </c>
      <c r="BD817">
        <f t="shared" si="335"/>
        <v>0</v>
      </c>
      <c r="BE817">
        <f t="shared" si="336"/>
        <v>0</v>
      </c>
      <c r="BF817">
        <f t="shared" si="337"/>
        <v>0</v>
      </c>
      <c r="BG817">
        <f t="shared" si="338"/>
        <v>0</v>
      </c>
      <c r="BH817">
        <f t="shared" si="339"/>
        <v>0</v>
      </c>
    </row>
    <row r="818" spans="1:60" ht="15" customHeight="1">
      <c r="A818" s="206"/>
      <c r="B818" s="201"/>
      <c r="C818" s="1119" t="s">
        <v>4975</v>
      </c>
      <c r="D818" s="1121"/>
      <c r="E818" s="1121"/>
      <c r="F818" s="1120"/>
      <c r="G818" s="100"/>
      <c r="H818" s="100"/>
      <c r="I818" s="100"/>
      <c r="J818" s="100"/>
      <c r="K818" s="100"/>
      <c r="L818" s="100"/>
      <c r="M818" s="100"/>
      <c r="N818" s="100"/>
      <c r="O818" s="100"/>
      <c r="P818" s="100"/>
      <c r="Q818" s="100"/>
      <c r="R818" s="100"/>
      <c r="S818" s="100"/>
      <c r="T818" s="100"/>
      <c r="U818" s="100"/>
      <c r="V818" s="100"/>
      <c r="W818" s="100"/>
      <c r="X818" s="100"/>
      <c r="Y818" s="100"/>
      <c r="Z818" s="100"/>
      <c r="AA818" s="100"/>
      <c r="AB818" s="100"/>
      <c r="AC818" s="100"/>
      <c r="AD818" s="100"/>
      <c r="AF818"/>
      <c r="AG818"/>
      <c r="AH818"/>
      <c r="AI818"/>
      <c r="AJ818"/>
      <c r="AK818">
        <f t="shared" si="317"/>
        <v>0</v>
      </c>
      <c r="AL818">
        <f t="shared" si="318"/>
        <v>0</v>
      </c>
      <c r="AM818">
        <f t="shared" si="340"/>
        <v>0</v>
      </c>
      <c r="AN818">
        <f t="shared" si="319"/>
        <v>0</v>
      </c>
      <c r="AO818">
        <f t="shared" si="320"/>
        <v>0</v>
      </c>
      <c r="AP818">
        <f t="shared" si="321"/>
        <v>0</v>
      </c>
      <c r="AQ818">
        <f t="shared" si="322"/>
        <v>0</v>
      </c>
      <c r="AR818">
        <f t="shared" si="323"/>
        <v>0</v>
      </c>
      <c r="AS818">
        <f t="shared" si="324"/>
        <v>0</v>
      </c>
      <c r="AT818">
        <f t="shared" si="325"/>
        <v>0</v>
      </c>
      <c r="AU818">
        <f t="shared" si="326"/>
        <v>0</v>
      </c>
      <c r="AV818">
        <f t="shared" si="327"/>
        <v>0</v>
      </c>
      <c r="AW818">
        <f t="shared" si="328"/>
        <v>0</v>
      </c>
      <c r="AX818">
        <f t="shared" si="329"/>
        <v>0</v>
      </c>
      <c r="AY818">
        <f t="shared" si="330"/>
        <v>0</v>
      </c>
      <c r="AZ818">
        <f t="shared" si="331"/>
        <v>0</v>
      </c>
      <c r="BA818">
        <f t="shared" si="332"/>
        <v>0</v>
      </c>
      <c r="BB818">
        <f t="shared" si="333"/>
        <v>0</v>
      </c>
      <c r="BC818">
        <f t="shared" si="334"/>
        <v>0</v>
      </c>
      <c r="BD818">
        <f t="shared" si="335"/>
        <v>0</v>
      </c>
      <c r="BE818">
        <f t="shared" si="336"/>
        <v>0</v>
      </c>
      <c r="BF818">
        <f t="shared" si="337"/>
        <v>0</v>
      </c>
      <c r="BG818">
        <f t="shared" si="338"/>
        <v>0</v>
      </c>
      <c r="BH818">
        <f t="shared" si="339"/>
        <v>0</v>
      </c>
    </row>
    <row r="819" spans="1:60" ht="15" customHeight="1">
      <c r="A819" s="206"/>
      <c r="B819" s="201"/>
      <c r="C819" s="1119" t="s">
        <v>4977</v>
      </c>
      <c r="D819" s="1121"/>
      <c r="E819" s="1121"/>
      <c r="F819" s="1120"/>
      <c r="G819" s="100"/>
      <c r="H819" s="100"/>
      <c r="I819" s="100"/>
      <c r="J819" s="100"/>
      <c r="K819" s="100"/>
      <c r="L819" s="100"/>
      <c r="M819" s="100"/>
      <c r="N819" s="100"/>
      <c r="O819" s="100"/>
      <c r="P819" s="100"/>
      <c r="Q819" s="100"/>
      <c r="R819" s="100"/>
      <c r="S819" s="100"/>
      <c r="T819" s="100"/>
      <c r="U819" s="100"/>
      <c r="V819" s="100"/>
      <c r="W819" s="100"/>
      <c r="X819" s="100"/>
      <c r="Y819" s="100"/>
      <c r="Z819" s="100"/>
      <c r="AA819" s="100"/>
      <c r="AB819" s="100"/>
      <c r="AC819" s="100"/>
      <c r="AD819" s="100"/>
      <c r="AF819"/>
      <c r="AG819"/>
      <c r="AH819"/>
      <c r="AI819"/>
      <c r="AJ819"/>
      <c r="AK819">
        <f t="shared" si="317"/>
        <v>0</v>
      </c>
      <c r="AL819">
        <f t="shared" si="318"/>
        <v>0</v>
      </c>
      <c r="AM819">
        <f t="shared" si="340"/>
        <v>0</v>
      </c>
      <c r="AN819">
        <f t="shared" si="319"/>
        <v>0</v>
      </c>
      <c r="AO819">
        <f t="shared" si="320"/>
        <v>0</v>
      </c>
      <c r="AP819">
        <f t="shared" si="321"/>
        <v>0</v>
      </c>
      <c r="AQ819">
        <f t="shared" si="322"/>
        <v>0</v>
      </c>
      <c r="AR819">
        <f t="shared" si="323"/>
        <v>0</v>
      </c>
      <c r="AS819">
        <f t="shared" si="324"/>
        <v>0</v>
      </c>
      <c r="AT819">
        <f t="shared" si="325"/>
        <v>0</v>
      </c>
      <c r="AU819">
        <f t="shared" si="326"/>
        <v>0</v>
      </c>
      <c r="AV819">
        <f t="shared" si="327"/>
        <v>0</v>
      </c>
      <c r="AW819">
        <f t="shared" si="328"/>
        <v>0</v>
      </c>
      <c r="AX819">
        <f t="shared" si="329"/>
        <v>0</v>
      </c>
      <c r="AY819">
        <f t="shared" si="330"/>
        <v>0</v>
      </c>
      <c r="AZ819">
        <f t="shared" si="331"/>
        <v>0</v>
      </c>
      <c r="BA819">
        <f t="shared" si="332"/>
        <v>0</v>
      </c>
      <c r="BB819">
        <f t="shared" si="333"/>
        <v>0</v>
      </c>
      <c r="BC819">
        <f t="shared" si="334"/>
        <v>0</v>
      </c>
      <c r="BD819">
        <f t="shared" si="335"/>
        <v>0</v>
      </c>
      <c r="BE819">
        <f t="shared" si="336"/>
        <v>0</v>
      </c>
      <c r="BF819">
        <f t="shared" si="337"/>
        <v>0</v>
      </c>
      <c r="BG819">
        <f t="shared" si="338"/>
        <v>0</v>
      </c>
      <c r="BH819">
        <f t="shared" si="339"/>
        <v>0</v>
      </c>
    </row>
    <row r="820" spans="1:60" ht="15" customHeight="1">
      <c r="A820" s="206"/>
      <c r="B820" s="206"/>
      <c r="C820" s="1117" t="s">
        <v>4978</v>
      </c>
      <c r="D820" s="1136"/>
      <c r="E820" s="1136"/>
      <c r="F820" s="1118"/>
      <c r="G820" s="100"/>
      <c r="H820" s="100"/>
      <c r="I820" s="100"/>
      <c r="J820" s="100"/>
      <c r="K820" s="100"/>
      <c r="L820" s="100"/>
      <c r="M820" s="100"/>
      <c r="N820" s="100"/>
      <c r="O820" s="100"/>
      <c r="P820" s="100"/>
      <c r="Q820" s="100"/>
      <c r="R820" s="100"/>
      <c r="S820" s="100"/>
      <c r="T820" s="100"/>
      <c r="U820" s="100"/>
      <c r="V820" s="100"/>
      <c r="W820" s="100"/>
      <c r="X820" s="100"/>
      <c r="Y820" s="100"/>
      <c r="Z820" s="100"/>
      <c r="AA820" s="100"/>
      <c r="AB820" s="100"/>
      <c r="AC820" s="100"/>
      <c r="AD820" s="100"/>
      <c r="AF820"/>
      <c r="AG820"/>
      <c r="AH820"/>
      <c r="AI820"/>
      <c r="AJ820"/>
      <c r="AK820">
        <f t="shared" si="317"/>
        <v>0</v>
      </c>
      <c r="AL820">
        <f t="shared" si="318"/>
        <v>0</v>
      </c>
      <c r="AM820">
        <f t="shared" si="340"/>
        <v>0</v>
      </c>
      <c r="AN820">
        <f t="shared" si="319"/>
        <v>0</v>
      </c>
      <c r="AO820">
        <f t="shared" si="320"/>
        <v>0</v>
      </c>
      <c r="AP820">
        <f t="shared" si="321"/>
        <v>0</v>
      </c>
      <c r="AQ820">
        <f t="shared" si="322"/>
        <v>0</v>
      </c>
      <c r="AR820">
        <f t="shared" si="323"/>
        <v>0</v>
      </c>
      <c r="AS820">
        <f t="shared" si="324"/>
        <v>0</v>
      </c>
      <c r="AT820">
        <f t="shared" si="325"/>
        <v>0</v>
      </c>
      <c r="AU820">
        <f t="shared" si="326"/>
        <v>0</v>
      </c>
      <c r="AV820">
        <f t="shared" si="327"/>
        <v>0</v>
      </c>
      <c r="AW820">
        <f t="shared" si="328"/>
        <v>0</v>
      </c>
      <c r="AX820">
        <f t="shared" si="329"/>
        <v>0</v>
      </c>
      <c r="AY820">
        <f t="shared" si="330"/>
        <v>0</v>
      </c>
      <c r="AZ820">
        <f t="shared" si="331"/>
        <v>0</v>
      </c>
      <c r="BA820">
        <f t="shared" si="332"/>
        <v>0</v>
      </c>
      <c r="BB820">
        <f t="shared" si="333"/>
        <v>0</v>
      </c>
      <c r="BC820">
        <f t="shared" si="334"/>
        <v>0</v>
      </c>
      <c r="BD820">
        <f t="shared" si="335"/>
        <v>0</v>
      </c>
      <c r="BE820">
        <f t="shared" si="336"/>
        <v>0</v>
      </c>
      <c r="BF820">
        <f t="shared" si="337"/>
        <v>0</v>
      </c>
      <c r="BG820">
        <f t="shared" si="338"/>
        <v>0</v>
      </c>
      <c r="BH820">
        <f t="shared" si="339"/>
        <v>0</v>
      </c>
    </row>
    <row r="821" spans="1:60" ht="15" customHeight="1">
      <c r="A821" s="206"/>
      <c r="B821" s="201"/>
      <c r="C821" s="1119" t="s">
        <v>4980</v>
      </c>
      <c r="D821" s="1121"/>
      <c r="E821" s="1121"/>
      <c r="F821" s="1120"/>
      <c r="G821" s="100"/>
      <c r="H821" s="100"/>
      <c r="I821" s="100"/>
      <c r="J821" s="100"/>
      <c r="K821" s="100"/>
      <c r="L821" s="100"/>
      <c r="M821" s="100"/>
      <c r="N821" s="100"/>
      <c r="O821" s="100"/>
      <c r="P821" s="100"/>
      <c r="Q821" s="100"/>
      <c r="R821" s="100"/>
      <c r="S821" s="100"/>
      <c r="T821" s="100"/>
      <c r="U821" s="100"/>
      <c r="V821" s="100"/>
      <c r="W821" s="100"/>
      <c r="X821" s="100"/>
      <c r="Y821" s="100"/>
      <c r="Z821" s="100"/>
      <c r="AA821" s="100"/>
      <c r="AB821" s="100"/>
      <c r="AC821" s="100"/>
      <c r="AD821" s="100"/>
      <c r="AF821"/>
      <c r="AG821"/>
      <c r="AH821"/>
      <c r="AI821"/>
      <c r="AJ821"/>
      <c r="AK821">
        <f t="shared" si="317"/>
        <v>0</v>
      </c>
      <c r="AL821">
        <f t="shared" si="318"/>
        <v>0</v>
      </c>
      <c r="AM821">
        <f t="shared" si="340"/>
        <v>0</v>
      </c>
      <c r="AN821">
        <f t="shared" si="319"/>
        <v>0</v>
      </c>
      <c r="AO821">
        <f t="shared" si="320"/>
        <v>0</v>
      </c>
      <c r="AP821">
        <f t="shared" si="321"/>
        <v>0</v>
      </c>
      <c r="AQ821">
        <f t="shared" si="322"/>
        <v>0</v>
      </c>
      <c r="AR821">
        <f t="shared" si="323"/>
        <v>0</v>
      </c>
      <c r="AS821">
        <f t="shared" si="324"/>
        <v>0</v>
      </c>
      <c r="AT821">
        <f t="shared" si="325"/>
        <v>0</v>
      </c>
      <c r="AU821">
        <f t="shared" si="326"/>
        <v>0</v>
      </c>
      <c r="AV821">
        <f t="shared" si="327"/>
        <v>0</v>
      </c>
      <c r="AW821">
        <f t="shared" si="328"/>
        <v>0</v>
      </c>
      <c r="AX821">
        <f t="shared" si="329"/>
        <v>0</v>
      </c>
      <c r="AY821">
        <f t="shared" si="330"/>
        <v>0</v>
      </c>
      <c r="AZ821">
        <f t="shared" si="331"/>
        <v>0</v>
      </c>
      <c r="BA821">
        <f t="shared" si="332"/>
        <v>0</v>
      </c>
      <c r="BB821">
        <f t="shared" si="333"/>
        <v>0</v>
      </c>
      <c r="BC821">
        <f t="shared" si="334"/>
        <v>0</v>
      </c>
      <c r="BD821">
        <f t="shared" si="335"/>
        <v>0</v>
      </c>
      <c r="BE821">
        <f t="shared" si="336"/>
        <v>0</v>
      </c>
      <c r="BF821">
        <f t="shared" si="337"/>
        <v>0</v>
      </c>
      <c r="BG821">
        <f t="shared" si="338"/>
        <v>0</v>
      </c>
      <c r="BH821">
        <f t="shared" si="339"/>
        <v>0</v>
      </c>
    </row>
    <row r="822" spans="1:60" ht="15" customHeight="1">
      <c r="A822" s="206"/>
      <c r="B822" s="201"/>
      <c r="C822" s="1119" t="s">
        <v>4982</v>
      </c>
      <c r="D822" s="1121"/>
      <c r="E822" s="1121"/>
      <c r="F822" s="1120"/>
      <c r="G822" s="100"/>
      <c r="H822" s="100"/>
      <c r="I822" s="100"/>
      <c r="J822" s="100"/>
      <c r="K822" s="100"/>
      <c r="L822" s="100"/>
      <c r="M822" s="100"/>
      <c r="N822" s="100"/>
      <c r="O822" s="100"/>
      <c r="P822" s="100"/>
      <c r="Q822" s="100"/>
      <c r="R822" s="100"/>
      <c r="S822" s="100"/>
      <c r="T822" s="100"/>
      <c r="U822" s="100"/>
      <c r="V822" s="100"/>
      <c r="W822" s="100"/>
      <c r="X822" s="100"/>
      <c r="Y822" s="100"/>
      <c r="Z822" s="100"/>
      <c r="AA822" s="100"/>
      <c r="AB822" s="100"/>
      <c r="AC822" s="100"/>
      <c r="AD822" s="100"/>
      <c r="AF822"/>
      <c r="AG822"/>
      <c r="AH822"/>
      <c r="AI822"/>
      <c r="AJ822"/>
      <c r="AK822">
        <f t="shared" si="317"/>
        <v>0</v>
      </c>
      <c r="AL822">
        <f t="shared" si="318"/>
        <v>0</v>
      </c>
      <c r="AM822">
        <f t="shared" si="340"/>
        <v>0</v>
      </c>
      <c r="AN822">
        <f t="shared" si="319"/>
        <v>0</v>
      </c>
      <c r="AO822">
        <f t="shared" si="320"/>
        <v>0</v>
      </c>
      <c r="AP822">
        <f t="shared" si="321"/>
        <v>0</v>
      </c>
      <c r="AQ822">
        <f t="shared" si="322"/>
        <v>0</v>
      </c>
      <c r="AR822">
        <f t="shared" si="323"/>
        <v>0</v>
      </c>
      <c r="AS822">
        <f t="shared" si="324"/>
        <v>0</v>
      </c>
      <c r="AT822">
        <f t="shared" si="325"/>
        <v>0</v>
      </c>
      <c r="AU822">
        <f t="shared" si="326"/>
        <v>0</v>
      </c>
      <c r="AV822">
        <f t="shared" si="327"/>
        <v>0</v>
      </c>
      <c r="AW822">
        <f t="shared" si="328"/>
        <v>0</v>
      </c>
      <c r="AX822">
        <f t="shared" si="329"/>
        <v>0</v>
      </c>
      <c r="AY822">
        <f t="shared" si="330"/>
        <v>0</v>
      </c>
      <c r="AZ822">
        <f t="shared" si="331"/>
        <v>0</v>
      </c>
      <c r="BA822">
        <f t="shared" si="332"/>
        <v>0</v>
      </c>
      <c r="BB822">
        <f t="shared" si="333"/>
        <v>0</v>
      </c>
      <c r="BC822">
        <f t="shared" si="334"/>
        <v>0</v>
      </c>
      <c r="BD822">
        <f t="shared" si="335"/>
        <v>0</v>
      </c>
      <c r="BE822">
        <f t="shared" si="336"/>
        <v>0</v>
      </c>
      <c r="BF822">
        <f t="shared" si="337"/>
        <v>0</v>
      </c>
      <c r="BG822">
        <f t="shared" si="338"/>
        <v>0</v>
      </c>
      <c r="BH822">
        <f t="shared" si="339"/>
        <v>0</v>
      </c>
    </row>
    <row r="823" spans="1:60" ht="15" customHeight="1">
      <c r="A823" s="206"/>
      <c r="B823" s="201"/>
      <c r="C823" s="1119" t="s">
        <v>4984</v>
      </c>
      <c r="D823" s="1121"/>
      <c r="E823" s="1121"/>
      <c r="F823" s="1120"/>
      <c r="G823" s="100"/>
      <c r="H823" s="100"/>
      <c r="I823" s="100"/>
      <c r="J823" s="100"/>
      <c r="K823" s="100"/>
      <c r="L823" s="100"/>
      <c r="M823" s="100"/>
      <c r="N823" s="100"/>
      <c r="O823" s="100"/>
      <c r="P823" s="100"/>
      <c r="Q823" s="100"/>
      <c r="R823" s="100"/>
      <c r="S823" s="100"/>
      <c r="T823" s="100"/>
      <c r="U823" s="100"/>
      <c r="V823" s="100"/>
      <c r="W823" s="100"/>
      <c r="X823" s="100"/>
      <c r="Y823" s="100"/>
      <c r="Z823" s="100"/>
      <c r="AA823" s="100"/>
      <c r="AB823" s="100"/>
      <c r="AC823" s="100"/>
      <c r="AD823" s="100"/>
      <c r="AF823"/>
      <c r="AG823"/>
      <c r="AH823"/>
      <c r="AI823"/>
      <c r="AJ823"/>
      <c r="AK823">
        <f t="shared" si="317"/>
        <v>0</v>
      </c>
      <c r="AL823">
        <f t="shared" si="318"/>
        <v>0</v>
      </c>
      <c r="AM823">
        <f t="shared" si="340"/>
        <v>0</v>
      </c>
      <c r="AN823">
        <f t="shared" si="319"/>
        <v>0</v>
      </c>
      <c r="AO823">
        <f t="shared" si="320"/>
        <v>0</v>
      </c>
      <c r="AP823">
        <f t="shared" si="321"/>
        <v>0</v>
      </c>
      <c r="AQ823">
        <f t="shared" si="322"/>
        <v>0</v>
      </c>
      <c r="AR823">
        <f t="shared" si="323"/>
        <v>0</v>
      </c>
      <c r="AS823">
        <f t="shared" si="324"/>
        <v>0</v>
      </c>
      <c r="AT823">
        <f t="shared" si="325"/>
        <v>0</v>
      </c>
      <c r="AU823">
        <f t="shared" si="326"/>
        <v>0</v>
      </c>
      <c r="AV823">
        <f t="shared" si="327"/>
        <v>0</v>
      </c>
      <c r="AW823">
        <f t="shared" si="328"/>
        <v>0</v>
      </c>
      <c r="AX823">
        <f t="shared" si="329"/>
        <v>0</v>
      </c>
      <c r="AY823">
        <f t="shared" si="330"/>
        <v>0</v>
      </c>
      <c r="AZ823">
        <f t="shared" si="331"/>
        <v>0</v>
      </c>
      <c r="BA823">
        <f t="shared" si="332"/>
        <v>0</v>
      </c>
      <c r="BB823">
        <f t="shared" si="333"/>
        <v>0</v>
      </c>
      <c r="BC823">
        <f t="shared" si="334"/>
        <v>0</v>
      </c>
      <c r="BD823">
        <f t="shared" si="335"/>
        <v>0</v>
      </c>
      <c r="BE823">
        <f t="shared" si="336"/>
        <v>0</v>
      </c>
      <c r="BF823">
        <f t="shared" si="337"/>
        <v>0</v>
      </c>
      <c r="BG823">
        <f t="shared" si="338"/>
        <v>0</v>
      </c>
      <c r="BH823">
        <f t="shared" si="339"/>
        <v>0</v>
      </c>
    </row>
    <row r="824" spans="1:60" ht="15" customHeight="1">
      <c r="A824" s="206"/>
      <c r="B824" s="201"/>
      <c r="C824" s="1119" t="s">
        <v>4986</v>
      </c>
      <c r="D824" s="1121"/>
      <c r="E824" s="1121"/>
      <c r="F824" s="1120"/>
      <c r="G824" s="100"/>
      <c r="H824" s="100"/>
      <c r="I824" s="100"/>
      <c r="J824" s="100"/>
      <c r="K824" s="100"/>
      <c r="L824" s="100"/>
      <c r="M824" s="100"/>
      <c r="N824" s="100"/>
      <c r="O824" s="100"/>
      <c r="P824" s="100"/>
      <c r="Q824" s="100"/>
      <c r="R824" s="100"/>
      <c r="S824" s="100"/>
      <c r="T824" s="100"/>
      <c r="U824" s="100"/>
      <c r="V824" s="100"/>
      <c r="W824" s="100"/>
      <c r="X824" s="100"/>
      <c r="Y824" s="100"/>
      <c r="Z824" s="100"/>
      <c r="AA824" s="100"/>
      <c r="AB824" s="100"/>
      <c r="AC824" s="100"/>
      <c r="AD824" s="100"/>
      <c r="AF824"/>
      <c r="AG824"/>
      <c r="AH824"/>
      <c r="AI824"/>
      <c r="AJ824"/>
      <c r="AK824">
        <f t="shared" si="317"/>
        <v>0</v>
      </c>
      <c r="AL824">
        <f t="shared" si="318"/>
        <v>0</v>
      </c>
      <c r="AM824">
        <f t="shared" si="340"/>
        <v>0</v>
      </c>
      <c r="AN824">
        <f t="shared" si="319"/>
        <v>0</v>
      </c>
      <c r="AO824">
        <f t="shared" si="320"/>
        <v>0</v>
      </c>
      <c r="AP824">
        <f t="shared" si="321"/>
        <v>0</v>
      </c>
      <c r="AQ824">
        <f t="shared" si="322"/>
        <v>0</v>
      </c>
      <c r="AR824">
        <f t="shared" si="323"/>
        <v>0</v>
      </c>
      <c r="AS824">
        <f t="shared" si="324"/>
        <v>0</v>
      </c>
      <c r="AT824">
        <f t="shared" si="325"/>
        <v>0</v>
      </c>
      <c r="AU824">
        <f t="shared" si="326"/>
        <v>0</v>
      </c>
      <c r="AV824">
        <f t="shared" si="327"/>
        <v>0</v>
      </c>
      <c r="AW824">
        <f t="shared" si="328"/>
        <v>0</v>
      </c>
      <c r="AX824">
        <f t="shared" si="329"/>
        <v>0</v>
      </c>
      <c r="AY824">
        <f t="shared" si="330"/>
        <v>0</v>
      </c>
      <c r="AZ824">
        <f t="shared" si="331"/>
        <v>0</v>
      </c>
      <c r="BA824">
        <f t="shared" si="332"/>
        <v>0</v>
      </c>
      <c r="BB824">
        <f t="shared" si="333"/>
        <v>0</v>
      </c>
      <c r="BC824">
        <f t="shared" si="334"/>
        <v>0</v>
      </c>
      <c r="BD824">
        <f t="shared" si="335"/>
        <v>0</v>
      </c>
      <c r="BE824">
        <f t="shared" si="336"/>
        <v>0</v>
      </c>
      <c r="BF824">
        <f t="shared" si="337"/>
        <v>0</v>
      </c>
      <c r="BG824">
        <f t="shared" si="338"/>
        <v>0</v>
      </c>
      <c r="BH824">
        <f t="shared" si="339"/>
        <v>0</v>
      </c>
    </row>
    <row r="825" spans="1:60" ht="15" customHeight="1">
      <c r="A825" s="206"/>
      <c r="B825" s="201"/>
      <c r="C825" s="1119" t="s">
        <v>4988</v>
      </c>
      <c r="D825" s="1121"/>
      <c r="E825" s="1121"/>
      <c r="F825" s="1120"/>
      <c r="G825" s="100"/>
      <c r="H825" s="100"/>
      <c r="I825" s="100"/>
      <c r="J825" s="100"/>
      <c r="K825" s="100"/>
      <c r="L825" s="100"/>
      <c r="M825" s="100"/>
      <c r="N825" s="100"/>
      <c r="O825" s="100"/>
      <c r="P825" s="100"/>
      <c r="Q825" s="100"/>
      <c r="R825" s="100"/>
      <c r="S825" s="100"/>
      <c r="T825" s="100"/>
      <c r="U825" s="100"/>
      <c r="V825" s="100"/>
      <c r="W825" s="100"/>
      <c r="X825" s="100"/>
      <c r="Y825" s="100"/>
      <c r="Z825" s="100"/>
      <c r="AA825" s="100"/>
      <c r="AB825" s="100"/>
      <c r="AC825" s="100"/>
      <c r="AD825" s="100"/>
      <c r="AF825"/>
      <c r="AG825"/>
      <c r="AH825"/>
      <c r="AI825"/>
      <c r="AJ825"/>
      <c r="AK825">
        <f t="shared" si="317"/>
        <v>0</v>
      </c>
      <c r="AL825">
        <f t="shared" si="318"/>
        <v>0</v>
      </c>
      <c r="AM825">
        <f t="shared" si="340"/>
        <v>0</v>
      </c>
      <c r="AN825">
        <f t="shared" si="319"/>
        <v>0</v>
      </c>
      <c r="AO825">
        <f t="shared" si="320"/>
        <v>0</v>
      </c>
      <c r="AP825">
        <f t="shared" si="321"/>
        <v>0</v>
      </c>
      <c r="AQ825">
        <f t="shared" si="322"/>
        <v>0</v>
      </c>
      <c r="AR825">
        <f t="shared" si="323"/>
        <v>0</v>
      </c>
      <c r="AS825">
        <f t="shared" si="324"/>
        <v>0</v>
      </c>
      <c r="AT825">
        <f t="shared" si="325"/>
        <v>0</v>
      </c>
      <c r="AU825">
        <f t="shared" si="326"/>
        <v>0</v>
      </c>
      <c r="AV825">
        <f t="shared" si="327"/>
        <v>0</v>
      </c>
      <c r="AW825">
        <f t="shared" si="328"/>
        <v>0</v>
      </c>
      <c r="AX825">
        <f t="shared" si="329"/>
        <v>0</v>
      </c>
      <c r="AY825">
        <f t="shared" si="330"/>
        <v>0</v>
      </c>
      <c r="AZ825">
        <f t="shared" si="331"/>
        <v>0</v>
      </c>
      <c r="BA825">
        <f t="shared" si="332"/>
        <v>0</v>
      </c>
      <c r="BB825">
        <f t="shared" si="333"/>
        <v>0</v>
      </c>
      <c r="BC825">
        <f t="shared" si="334"/>
        <v>0</v>
      </c>
      <c r="BD825">
        <f t="shared" si="335"/>
        <v>0</v>
      </c>
      <c r="BE825">
        <f t="shared" si="336"/>
        <v>0</v>
      </c>
      <c r="BF825">
        <f t="shared" si="337"/>
        <v>0</v>
      </c>
      <c r="BG825">
        <f t="shared" si="338"/>
        <v>0</v>
      </c>
      <c r="BH825">
        <f t="shared" si="339"/>
        <v>0</v>
      </c>
    </row>
    <row r="826" spans="1:60" ht="15" customHeight="1">
      <c r="A826" s="206"/>
      <c r="B826" s="201"/>
      <c r="C826" s="1119" t="s">
        <v>4990</v>
      </c>
      <c r="D826" s="1121"/>
      <c r="E826" s="1121"/>
      <c r="F826" s="1120"/>
      <c r="G826" s="100"/>
      <c r="H826" s="100"/>
      <c r="I826" s="100"/>
      <c r="J826" s="100"/>
      <c r="K826" s="100"/>
      <c r="L826" s="100"/>
      <c r="M826" s="100"/>
      <c r="N826" s="100"/>
      <c r="O826" s="100"/>
      <c r="P826" s="100"/>
      <c r="Q826" s="100"/>
      <c r="R826" s="100"/>
      <c r="S826" s="100"/>
      <c r="T826" s="100"/>
      <c r="U826" s="100"/>
      <c r="V826" s="100"/>
      <c r="W826" s="100"/>
      <c r="X826" s="100"/>
      <c r="Y826" s="100"/>
      <c r="Z826" s="100"/>
      <c r="AA826" s="100"/>
      <c r="AB826" s="100"/>
      <c r="AC826" s="100"/>
      <c r="AD826" s="100"/>
      <c r="AF826"/>
      <c r="AG826"/>
      <c r="AH826"/>
      <c r="AI826"/>
      <c r="AJ826"/>
      <c r="AK826">
        <f t="shared" si="317"/>
        <v>0</v>
      </c>
      <c r="AL826">
        <f t="shared" si="318"/>
        <v>0</v>
      </c>
      <c r="AM826">
        <f t="shared" si="340"/>
        <v>0</v>
      </c>
      <c r="AN826">
        <f t="shared" si="319"/>
        <v>0</v>
      </c>
      <c r="AO826">
        <f t="shared" si="320"/>
        <v>0</v>
      </c>
      <c r="AP826">
        <f t="shared" si="321"/>
        <v>0</v>
      </c>
      <c r="AQ826">
        <f t="shared" si="322"/>
        <v>0</v>
      </c>
      <c r="AR826">
        <f t="shared" si="323"/>
        <v>0</v>
      </c>
      <c r="AS826">
        <f t="shared" si="324"/>
        <v>0</v>
      </c>
      <c r="AT826">
        <f t="shared" si="325"/>
        <v>0</v>
      </c>
      <c r="AU826">
        <f t="shared" si="326"/>
        <v>0</v>
      </c>
      <c r="AV826">
        <f t="shared" si="327"/>
        <v>0</v>
      </c>
      <c r="AW826">
        <f t="shared" si="328"/>
        <v>0</v>
      </c>
      <c r="AX826">
        <f t="shared" si="329"/>
        <v>0</v>
      </c>
      <c r="AY826">
        <f t="shared" si="330"/>
        <v>0</v>
      </c>
      <c r="AZ826">
        <f t="shared" si="331"/>
        <v>0</v>
      </c>
      <c r="BA826">
        <f t="shared" si="332"/>
        <v>0</v>
      </c>
      <c r="BB826">
        <f t="shared" si="333"/>
        <v>0</v>
      </c>
      <c r="BC826">
        <f t="shared" si="334"/>
        <v>0</v>
      </c>
      <c r="BD826">
        <f t="shared" si="335"/>
        <v>0</v>
      </c>
      <c r="BE826">
        <f t="shared" si="336"/>
        <v>0</v>
      </c>
      <c r="BF826">
        <f t="shared" si="337"/>
        <v>0</v>
      </c>
      <c r="BG826">
        <f t="shared" si="338"/>
        <v>0</v>
      </c>
      <c r="BH826">
        <f t="shared" si="339"/>
        <v>0</v>
      </c>
    </row>
    <row r="827" spans="1:60" ht="15" customHeight="1">
      <c r="A827" s="206"/>
      <c r="B827" s="201"/>
      <c r="C827" s="1119" t="s">
        <v>4992</v>
      </c>
      <c r="D827" s="1121"/>
      <c r="E827" s="1121"/>
      <c r="F827" s="1120"/>
      <c r="G827" s="100"/>
      <c r="H827" s="100"/>
      <c r="I827" s="100"/>
      <c r="J827" s="100"/>
      <c r="K827" s="100"/>
      <c r="L827" s="100"/>
      <c r="M827" s="100"/>
      <c r="N827" s="100"/>
      <c r="O827" s="100"/>
      <c r="P827" s="100"/>
      <c r="Q827" s="100"/>
      <c r="R827" s="100"/>
      <c r="S827" s="100"/>
      <c r="T827" s="100"/>
      <c r="U827" s="100"/>
      <c r="V827" s="100"/>
      <c r="W827" s="100"/>
      <c r="X827" s="100"/>
      <c r="Y827" s="100"/>
      <c r="Z827" s="100"/>
      <c r="AA827" s="100"/>
      <c r="AB827" s="100"/>
      <c r="AC827" s="100"/>
      <c r="AD827" s="100"/>
      <c r="AF827"/>
      <c r="AG827"/>
      <c r="AH827"/>
      <c r="AI827"/>
      <c r="AJ827"/>
      <c r="AK827">
        <f t="shared" si="317"/>
        <v>0</v>
      </c>
      <c r="AL827">
        <f t="shared" si="318"/>
        <v>0</v>
      </c>
      <c r="AM827">
        <f t="shared" si="340"/>
        <v>0</v>
      </c>
      <c r="AN827">
        <f t="shared" si="319"/>
        <v>0</v>
      </c>
      <c r="AO827">
        <f t="shared" si="320"/>
        <v>0</v>
      </c>
      <c r="AP827">
        <f t="shared" si="321"/>
        <v>0</v>
      </c>
      <c r="AQ827">
        <f t="shared" si="322"/>
        <v>0</v>
      </c>
      <c r="AR827">
        <f t="shared" si="323"/>
        <v>0</v>
      </c>
      <c r="AS827">
        <f t="shared" si="324"/>
        <v>0</v>
      </c>
      <c r="AT827">
        <f t="shared" si="325"/>
        <v>0</v>
      </c>
      <c r="AU827">
        <f t="shared" si="326"/>
        <v>0</v>
      </c>
      <c r="AV827">
        <f t="shared" si="327"/>
        <v>0</v>
      </c>
      <c r="AW827">
        <f t="shared" si="328"/>
        <v>0</v>
      </c>
      <c r="AX827">
        <f t="shared" si="329"/>
        <v>0</v>
      </c>
      <c r="AY827">
        <f t="shared" si="330"/>
        <v>0</v>
      </c>
      <c r="AZ827">
        <f t="shared" si="331"/>
        <v>0</v>
      </c>
      <c r="BA827">
        <f t="shared" si="332"/>
        <v>0</v>
      </c>
      <c r="BB827">
        <f t="shared" si="333"/>
        <v>0</v>
      </c>
      <c r="BC827">
        <f t="shared" si="334"/>
        <v>0</v>
      </c>
      <c r="BD827">
        <f t="shared" si="335"/>
        <v>0</v>
      </c>
      <c r="BE827">
        <f t="shared" si="336"/>
        <v>0</v>
      </c>
      <c r="BF827">
        <f t="shared" si="337"/>
        <v>0</v>
      </c>
      <c r="BG827">
        <f t="shared" si="338"/>
        <v>0</v>
      </c>
      <c r="BH827">
        <f t="shared" si="339"/>
        <v>0</v>
      </c>
    </row>
    <row r="828" spans="1:60" ht="15" customHeight="1">
      <c r="A828" s="206"/>
      <c r="B828" s="201"/>
      <c r="C828" s="1119" t="s">
        <v>4994</v>
      </c>
      <c r="D828" s="1121"/>
      <c r="E828" s="1121"/>
      <c r="F828" s="1120"/>
      <c r="G828" s="100"/>
      <c r="H828" s="100"/>
      <c r="I828" s="100"/>
      <c r="J828" s="100"/>
      <c r="K828" s="100"/>
      <c r="L828" s="100"/>
      <c r="M828" s="100"/>
      <c r="N828" s="100"/>
      <c r="O828" s="100"/>
      <c r="P828" s="100"/>
      <c r="Q828" s="100"/>
      <c r="R828" s="100"/>
      <c r="S828" s="100"/>
      <c r="T828" s="100"/>
      <c r="U828" s="100"/>
      <c r="V828" s="100"/>
      <c r="W828" s="100"/>
      <c r="X828" s="100"/>
      <c r="Y828" s="100"/>
      <c r="Z828" s="100"/>
      <c r="AA828" s="100"/>
      <c r="AB828" s="100"/>
      <c r="AC828" s="100"/>
      <c r="AD828" s="100"/>
      <c r="AF828"/>
      <c r="AG828"/>
      <c r="AH828"/>
      <c r="AI828"/>
      <c r="AJ828"/>
      <c r="AK828">
        <f t="shared" si="317"/>
        <v>0</v>
      </c>
      <c r="AL828">
        <f t="shared" si="318"/>
        <v>0</v>
      </c>
      <c r="AM828">
        <f t="shared" si="340"/>
        <v>0</v>
      </c>
      <c r="AN828">
        <f t="shared" si="319"/>
        <v>0</v>
      </c>
      <c r="AO828">
        <f t="shared" si="320"/>
        <v>0</v>
      </c>
      <c r="AP828">
        <f t="shared" si="321"/>
        <v>0</v>
      </c>
      <c r="AQ828">
        <f t="shared" si="322"/>
        <v>0</v>
      </c>
      <c r="AR828">
        <f t="shared" si="323"/>
        <v>0</v>
      </c>
      <c r="AS828">
        <f t="shared" si="324"/>
        <v>0</v>
      </c>
      <c r="AT828">
        <f t="shared" si="325"/>
        <v>0</v>
      </c>
      <c r="AU828">
        <f t="shared" si="326"/>
        <v>0</v>
      </c>
      <c r="AV828">
        <f t="shared" si="327"/>
        <v>0</v>
      </c>
      <c r="AW828">
        <f t="shared" si="328"/>
        <v>0</v>
      </c>
      <c r="AX828">
        <f t="shared" si="329"/>
        <v>0</v>
      </c>
      <c r="AY828">
        <f t="shared" si="330"/>
        <v>0</v>
      </c>
      <c r="AZ828">
        <f t="shared" si="331"/>
        <v>0</v>
      </c>
      <c r="BA828">
        <f t="shared" si="332"/>
        <v>0</v>
      </c>
      <c r="BB828">
        <f t="shared" si="333"/>
        <v>0</v>
      </c>
      <c r="BC828">
        <f t="shared" si="334"/>
        <v>0</v>
      </c>
      <c r="BD828">
        <f t="shared" si="335"/>
        <v>0</v>
      </c>
      <c r="BE828">
        <f t="shared" si="336"/>
        <v>0</v>
      </c>
      <c r="BF828">
        <f t="shared" si="337"/>
        <v>0</v>
      </c>
      <c r="BG828">
        <f t="shared" si="338"/>
        <v>0</v>
      </c>
      <c r="BH828">
        <f t="shared" si="339"/>
        <v>0</v>
      </c>
    </row>
    <row r="829" spans="1:60" ht="15" customHeight="1">
      <c r="A829" s="206"/>
      <c r="B829" s="206"/>
      <c r="C829" s="1117" t="s">
        <v>4995</v>
      </c>
      <c r="D829" s="1136"/>
      <c r="E829" s="1136"/>
      <c r="F829" s="1118"/>
      <c r="G829" s="100"/>
      <c r="H829" s="100"/>
      <c r="I829" s="100"/>
      <c r="J829" s="100"/>
      <c r="K829" s="100"/>
      <c r="L829" s="100"/>
      <c r="M829" s="100"/>
      <c r="N829" s="100"/>
      <c r="O829" s="100"/>
      <c r="P829" s="100"/>
      <c r="Q829" s="100"/>
      <c r="R829" s="100"/>
      <c r="S829" s="100"/>
      <c r="T829" s="100"/>
      <c r="U829" s="100"/>
      <c r="V829" s="100"/>
      <c r="W829" s="100"/>
      <c r="X829" s="100"/>
      <c r="Y829" s="100"/>
      <c r="Z829" s="100"/>
      <c r="AA829" s="100"/>
      <c r="AB829" s="100"/>
      <c r="AC829" s="100"/>
      <c r="AD829" s="100"/>
      <c r="AF829"/>
      <c r="AG829"/>
      <c r="AH829"/>
      <c r="AI829"/>
      <c r="AJ829"/>
      <c r="AK829">
        <f t="shared" si="317"/>
        <v>0</v>
      </c>
      <c r="AL829">
        <f t="shared" si="318"/>
        <v>0</v>
      </c>
      <c r="AM829">
        <f t="shared" si="340"/>
        <v>0</v>
      </c>
      <c r="AN829">
        <f t="shared" si="319"/>
        <v>0</v>
      </c>
      <c r="AO829">
        <f t="shared" si="320"/>
        <v>0</v>
      </c>
      <c r="AP829">
        <f t="shared" si="321"/>
        <v>0</v>
      </c>
      <c r="AQ829">
        <f t="shared" si="322"/>
        <v>0</v>
      </c>
      <c r="AR829">
        <f t="shared" si="323"/>
        <v>0</v>
      </c>
      <c r="AS829">
        <f t="shared" si="324"/>
        <v>0</v>
      </c>
      <c r="AT829">
        <f t="shared" si="325"/>
        <v>0</v>
      </c>
      <c r="AU829">
        <f t="shared" si="326"/>
        <v>0</v>
      </c>
      <c r="AV829">
        <f t="shared" si="327"/>
        <v>0</v>
      </c>
      <c r="AW829">
        <f t="shared" si="328"/>
        <v>0</v>
      </c>
      <c r="AX829">
        <f t="shared" si="329"/>
        <v>0</v>
      </c>
      <c r="AY829">
        <f t="shared" si="330"/>
        <v>0</v>
      </c>
      <c r="AZ829">
        <f t="shared" si="331"/>
        <v>0</v>
      </c>
      <c r="BA829">
        <f t="shared" si="332"/>
        <v>0</v>
      </c>
      <c r="BB829">
        <f t="shared" si="333"/>
        <v>0</v>
      </c>
      <c r="BC829">
        <f t="shared" si="334"/>
        <v>0</v>
      </c>
      <c r="BD829">
        <f t="shared" si="335"/>
        <v>0</v>
      </c>
      <c r="BE829">
        <f t="shared" si="336"/>
        <v>0</v>
      </c>
      <c r="BF829">
        <f t="shared" si="337"/>
        <v>0</v>
      </c>
      <c r="BG829">
        <f t="shared" si="338"/>
        <v>0</v>
      </c>
      <c r="BH829">
        <f t="shared" si="339"/>
        <v>0</v>
      </c>
    </row>
    <row r="830" spans="1:60" ht="15" customHeight="1">
      <c r="A830" s="206"/>
      <c r="B830" s="206"/>
      <c r="C830" s="1117" t="s">
        <v>4997</v>
      </c>
      <c r="D830" s="1136"/>
      <c r="E830" s="1136"/>
      <c r="F830" s="1118"/>
      <c r="G830" s="100"/>
      <c r="H830" s="100"/>
      <c r="I830" s="100"/>
      <c r="J830" s="100"/>
      <c r="K830" s="100"/>
      <c r="L830" s="100"/>
      <c r="M830" s="100"/>
      <c r="N830" s="100"/>
      <c r="O830" s="100"/>
      <c r="P830" s="100"/>
      <c r="Q830" s="100"/>
      <c r="R830" s="100"/>
      <c r="S830" s="100"/>
      <c r="T830" s="100"/>
      <c r="U830" s="100"/>
      <c r="V830" s="100"/>
      <c r="W830" s="100"/>
      <c r="X830" s="100"/>
      <c r="Y830" s="100"/>
      <c r="Z830" s="100"/>
      <c r="AA830" s="100"/>
      <c r="AB830" s="100"/>
      <c r="AC830" s="100"/>
      <c r="AD830" s="100"/>
      <c r="AF830"/>
      <c r="AG830"/>
      <c r="AH830"/>
      <c r="AI830"/>
      <c r="AJ830"/>
      <c r="AK830">
        <f t="shared" si="317"/>
        <v>0</v>
      </c>
      <c r="AL830">
        <f t="shared" si="318"/>
        <v>0</v>
      </c>
      <c r="AM830">
        <f t="shared" si="340"/>
        <v>0</v>
      </c>
      <c r="AN830">
        <f t="shared" si="319"/>
        <v>0</v>
      </c>
      <c r="AO830">
        <f t="shared" si="320"/>
        <v>0</v>
      </c>
      <c r="AP830">
        <f t="shared" si="321"/>
        <v>0</v>
      </c>
      <c r="AQ830">
        <f t="shared" si="322"/>
        <v>0</v>
      </c>
      <c r="AR830">
        <f t="shared" si="323"/>
        <v>0</v>
      </c>
      <c r="AS830">
        <f t="shared" si="324"/>
        <v>0</v>
      </c>
      <c r="AT830">
        <f t="shared" si="325"/>
        <v>0</v>
      </c>
      <c r="AU830">
        <f t="shared" si="326"/>
        <v>0</v>
      </c>
      <c r="AV830">
        <f t="shared" si="327"/>
        <v>0</v>
      </c>
      <c r="AW830">
        <f t="shared" si="328"/>
        <v>0</v>
      </c>
      <c r="AX830">
        <f t="shared" si="329"/>
        <v>0</v>
      </c>
      <c r="AY830">
        <f t="shared" si="330"/>
        <v>0</v>
      </c>
      <c r="AZ830">
        <f t="shared" si="331"/>
        <v>0</v>
      </c>
      <c r="BA830">
        <f t="shared" si="332"/>
        <v>0</v>
      </c>
      <c r="BB830">
        <f t="shared" si="333"/>
        <v>0</v>
      </c>
      <c r="BC830">
        <f t="shared" si="334"/>
        <v>0</v>
      </c>
      <c r="BD830">
        <f t="shared" si="335"/>
        <v>0</v>
      </c>
      <c r="BE830">
        <f t="shared" si="336"/>
        <v>0</v>
      </c>
      <c r="BF830">
        <f t="shared" si="337"/>
        <v>0</v>
      </c>
      <c r="BG830">
        <f t="shared" si="338"/>
        <v>0</v>
      </c>
      <c r="BH830">
        <f t="shared" si="339"/>
        <v>0</v>
      </c>
    </row>
    <row r="831" spans="1:60" ht="15" customHeight="1">
      <c r="A831" s="206"/>
      <c r="B831" s="206"/>
      <c r="C831" s="1117" t="s">
        <v>4999</v>
      </c>
      <c r="D831" s="1136"/>
      <c r="E831" s="1136"/>
      <c r="F831" s="1118"/>
      <c r="G831" s="100"/>
      <c r="H831" s="100"/>
      <c r="I831" s="100"/>
      <c r="J831" s="100"/>
      <c r="K831" s="100"/>
      <c r="L831" s="100"/>
      <c r="M831" s="100"/>
      <c r="N831" s="100"/>
      <c r="O831" s="100"/>
      <c r="P831" s="100"/>
      <c r="Q831" s="100"/>
      <c r="R831" s="100"/>
      <c r="S831" s="100"/>
      <c r="T831" s="100"/>
      <c r="U831" s="100"/>
      <c r="V831" s="100"/>
      <c r="W831" s="100"/>
      <c r="X831" s="100"/>
      <c r="Y831" s="100"/>
      <c r="Z831" s="100"/>
      <c r="AA831" s="100"/>
      <c r="AB831" s="100"/>
      <c r="AC831" s="100"/>
      <c r="AD831" s="100"/>
      <c r="AF831"/>
      <c r="AG831"/>
      <c r="AH831"/>
      <c r="AI831"/>
      <c r="AJ831"/>
      <c r="AK831">
        <f t="shared" si="317"/>
        <v>0</v>
      </c>
      <c r="AL831">
        <f t="shared" si="318"/>
        <v>0</v>
      </c>
      <c r="AM831">
        <f t="shared" si="340"/>
        <v>0</v>
      </c>
      <c r="AN831">
        <f t="shared" si="319"/>
        <v>0</v>
      </c>
      <c r="AO831">
        <f t="shared" si="320"/>
        <v>0</v>
      </c>
      <c r="AP831">
        <f t="shared" si="321"/>
        <v>0</v>
      </c>
      <c r="AQ831">
        <f t="shared" si="322"/>
        <v>0</v>
      </c>
      <c r="AR831">
        <f t="shared" si="323"/>
        <v>0</v>
      </c>
      <c r="AS831">
        <f t="shared" si="324"/>
        <v>0</v>
      </c>
      <c r="AT831">
        <f t="shared" si="325"/>
        <v>0</v>
      </c>
      <c r="AU831">
        <f t="shared" si="326"/>
        <v>0</v>
      </c>
      <c r="AV831">
        <f t="shared" si="327"/>
        <v>0</v>
      </c>
      <c r="AW831">
        <f t="shared" si="328"/>
        <v>0</v>
      </c>
      <c r="AX831">
        <f t="shared" si="329"/>
        <v>0</v>
      </c>
      <c r="AY831">
        <f t="shared" si="330"/>
        <v>0</v>
      </c>
      <c r="AZ831">
        <f t="shared" si="331"/>
        <v>0</v>
      </c>
      <c r="BA831">
        <f t="shared" si="332"/>
        <v>0</v>
      </c>
      <c r="BB831">
        <f t="shared" si="333"/>
        <v>0</v>
      </c>
      <c r="BC831">
        <f t="shared" si="334"/>
        <v>0</v>
      </c>
      <c r="BD831">
        <f t="shared" si="335"/>
        <v>0</v>
      </c>
      <c r="BE831">
        <f t="shared" si="336"/>
        <v>0</v>
      </c>
      <c r="BF831">
        <f t="shared" si="337"/>
        <v>0</v>
      </c>
      <c r="BG831">
        <f t="shared" si="338"/>
        <v>0</v>
      </c>
      <c r="BH831">
        <f t="shared" si="339"/>
        <v>0</v>
      </c>
    </row>
    <row r="832" spans="1:60" ht="15" customHeight="1">
      <c r="A832" s="206"/>
      <c r="B832" s="206"/>
      <c r="C832" s="1117" t="s">
        <v>5001</v>
      </c>
      <c r="D832" s="1136"/>
      <c r="E832" s="1136"/>
      <c r="F832" s="1118"/>
      <c r="G832" s="100"/>
      <c r="H832" s="100"/>
      <c r="I832" s="100"/>
      <c r="J832" s="100"/>
      <c r="K832" s="100"/>
      <c r="L832" s="100"/>
      <c r="M832" s="100"/>
      <c r="N832" s="100"/>
      <c r="O832" s="100"/>
      <c r="P832" s="100"/>
      <c r="Q832" s="100"/>
      <c r="R832" s="100"/>
      <c r="S832" s="100"/>
      <c r="T832" s="100"/>
      <c r="U832" s="100"/>
      <c r="V832" s="100"/>
      <c r="W832" s="100"/>
      <c r="X832" s="100"/>
      <c r="Y832" s="100"/>
      <c r="Z832" s="100"/>
      <c r="AA832" s="100"/>
      <c r="AB832" s="100"/>
      <c r="AC832" s="100"/>
      <c r="AD832" s="100"/>
      <c r="AF832"/>
      <c r="AG832"/>
      <c r="AH832"/>
      <c r="AI832"/>
      <c r="AJ832"/>
      <c r="AK832">
        <f t="shared" si="317"/>
        <v>0</v>
      </c>
      <c r="AL832">
        <f t="shared" si="318"/>
        <v>0</v>
      </c>
      <c r="AM832">
        <f t="shared" si="340"/>
        <v>0</v>
      </c>
      <c r="AN832">
        <f t="shared" si="319"/>
        <v>0</v>
      </c>
      <c r="AO832">
        <f t="shared" si="320"/>
        <v>0</v>
      </c>
      <c r="AP832">
        <f t="shared" si="321"/>
        <v>0</v>
      </c>
      <c r="AQ832">
        <f t="shared" si="322"/>
        <v>0</v>
      </c>
      <c r="AR832">
        <f t="shared" si="323"/>
        <v>0</v>
      </c>
      <c r="AS832">
        <f t="shared" si="324"/>
        <v>0</v>
      </c>
      <c r="AT832">
        <f t="shared" si="325"/>
        <v>0</v>
      </c>
      <c r="AU832">
        <f t="shared" si="326"/>
        <v>0</v>
      </c>
      <c r="AV832">
        <f t="shared" si="327"/>
        <v>0</v>
      </c>
      <c r="AW832">
        <f t="shared" si="328"/>
        <v>0</v>
      </c>
      <c r="AX832">
        <f t="shared" si="329"/>
        <v>0</v>
      </c>
      <c r="AY832">
        <f t="shared" si="330"/>
        <v>0</v>
      </c>
      <c r="AZ832">
        <f t="shared" si="331"/>
        <v>0</v>
      </c>
      <c r="BA832">
        <f t="shared" si="332"/>
        <v>0</v>
      </c>
      <c r="BB832">
        <f t="shared" si="333"/>
        <v>0</v>
      </c>
      <c r="BC832">
        <f t="shared" si="334"/>
        <v>0</v>
      </c>
      <c r="BD832">
        <f t="shared" si="335"/>
        <v>0</v>
      </c>
      <c r="BE832">
        <f t="shared" si="336"/>
        <v>0</v>
      </c>
      <c r="BF832">
        <f t="shared" si="337"/>
        <v>0</v>
      </c>
      <c r="BG832">
        <f t="shared" si="338"/>
        <v>0</v>
      </c>
      <c r="BH832">
        <f t="shared" si="339"/>
        <v>0</v>
      </c>
    </row>
    <row r="833" spans="1:60" ht="15" customHeight="1">
      <c r="A833" s="206"/>
      <c r="B833" s="201"/>
      <c r="C833" s="1119" t="s">
        <v>5003</v>
      </c>
      <c r="D833" s="1121"/>
      <c r="E833" s="1121"/>
      <c r="F833" s="1120"/>
      <c r="G833" s="100"/>
      <c r="H833" s="100"/>
      <c r="I833" s="100"/>
      <c r="J833" s="100"/>
      <c r="K833" s="100"/>
      <c r="L833" s="100"/>
      <c r="M833" s="100"/>
      <c r="N833" s="100"/>
      <c r="O833" s="100"/>
      <c r="P833" s="100"/>
      <c r="Q833" s="100"/>
      <c r="R833" s="100"/>
      <c r="S833" s="100"/>
      <c r="T833" s="100"/>
      <c r="U833" s="100"/>
      <c r="V833" s="100"/>
      <c r="W833" s="100"/>
      <c r="X833" s="100"/>
      <c r="Y833" s="100"/>
      <c r="Z833" s="100"/>
      <c r="AA833" s="100"/>
      <c r="AB833" s="100"/>
      <c r="AC833" s="100"/>
      <c r="AD833" s="100"/>
      <c r="AF833"/>
      <c r="AG833"/>
      <c r="AH833"/>
      <c r="AI833"/>
      <c r="AJ833"/>
      <c r="AK833">
        <f t="shared" si="317"/>
        <v>0</v>
      </c>
      <c r="AL833">
        <f t="shared" si="318"/>
        <v>0</v>
      </c>
      <c r="AM833">
        <f t="shared" si="340"/>
        <v>0</v>
      </c>
      <c r="AN833">
        <f t="shared" si="319"/>
        <v>0</v>
      </c>
      <c r="AO833">
        <f t="shared" si="320"/>
        <v>0</v>
      </c>
      <c r="AP833">
        <f t="shared" si="321"/>
        <v>0</v>
      </c>
      <c r="AQ833">
        <f t="shared" si="322"/>
        <v>0</v>
      </c>
      <c r="AR833">
        <f t="shared" si="323"/>
        <v>0</v>
      </c>
      <c r="AS833">
        <f t="shared" si="324"/>
        <v>0</v>
      </c>
      <c r="AT833">
        <f t="shared" si="325"/>
        <v>0</v>
      </c>
      <c r="AU833">
        <f t="shared" si="326"/>
        <v>0</v>
      </c>
      <c r="AV833">
        <f t="shared" si="327"/>
        <v>0</v>
      </c>
      <c r="AW833">
        <f t="shared" si="328"/>
        <v>0</v>
      </c>
      <c r="AX833">
        <f t="shared" si="329"/>
        <v>0</v>
      </c>
      <c r="AY833">
        <f t="shared" si="330"/>
        <v>0</v>
      </c>
      <c r="AZ833">
        <f t="shared" si="331"/>
        <v>0</v>
      </c>
      <c r="BA833">
        <f t="shared" si="332"/>
        <v>0</v>
      </c>
      <c r="BB833">
        <f t="shared" si="333"/>
        <v>0</v>
      </c>
      <c r="BC833">
        <f t="shared" si="334"/>
        <v>0</v>
      </c>
      <c r="BD833">
        <f t="shared" si="335"/>
        <v>0</v>
      </c>
      <c r="BE833">
        <f t="shared" si="336"/>
        <v>0</v>
      </c>
      <c r="BF833">
        <f t="shared" si="337"/>
        <v>0</v>
      </c>
      <c r="BG833">
        <f t="shared" si="338"/>
        <v>0</v>
      </c>
      <c r="BH833">
        <f t="shared" si="339"/>
        <v>0</v>
      </c>
    </row>
    <row r="834" spans="1:60" ht="15" customHeight="1">
      <c r="A834" s="206"/>
      <c r="B834" s="201"/>
      <c r="C834" s="1119" t="s">
        <v>5005</v>
      </c>
      <c r="D834" s="1121"/>
      <c r="E834" s="1121"/>
      <c r="F834" s="1120"/>
      <c r="G834" s="100"/>
      <c r="H834" s="100"/>
      <c r="I834" s="100"/>
      <c r="J834" s="100"/>
      <c r="K834" s="100"/>
      <c r="L834" s="100"/>
      <c r="M834" s="100"/>
      <c r="N834" s="100"/>
      <c r="O834" s="100"/>
      <c r="P834" s="100"/>
      <c r="Q834" s="100"/>
      <c r="R834" s="100"/>
      <c r="S834" s="100"/>
      <c r="T834" s="100"/>
      <c r="U834" s="100"/>
      <c r="V834" s="100"/>
      <c r="W834" s="100"/>
      <c r="X834" s="100"/>
      <c r="Y834" s="100"/>
      <c r="Z834" s="100"/>
      <c r="AA834" s="100"/>
      <c r="AB834" s="100"/>
      <c r="AC834" s="100"/>
      <c r="AD834" s="100"/>
      <c r="AF834"/>
      <c r="AG834"/>
      <c r="AH834"/>
      <c r="AI834"/>
      <c r="AJ834"/>
      <c r="AK834">
        <f t="shared" si="317"/>
        <v>0</v>
      </c>
      <c r="AL834">
        <f t="shared" si="318"/>
        <v>0</v>
      </c>
      <c r="AM834">
        <f t="shared" si="340"/>
        <v>0</v>
      </c>
      <c r="AN834">
        <f t="shared" si="319"/>
        <v>0</v>
      </c>
      <c r="AO834">
        <f t="shared" si="320"/>
        <v>0</v>
      </c>
      <c r="AP834">
        <f t="shared" si="321"/>
        <v>0</v>
      </c>
      <c r="AQ834">
        <f t="shared" si="322"/>
        <v>0</v>
      </c>
      <c r="AR834">
        <f t="shared" si="323"/>
        <v>0</v>
      </c>
      <c r="AS834">
        <f t="shared" si="324"/>
        <v>0</v>
      </c>
      <c r="AT834">
        <f t="shared" si="325"/>
        <v>0</v>
      </c>
      <c r="AU834">
        <f t="shared" si="326"/>
        <v>0</v>
      </c>
      <c r="AV834">
        <f t="shared" si="327"/>
        <v>0</v>
      </c>
      <c r="AW834">
        <f t="shared" si="328"/>
        <v>0</v>
      </c>
      <c r="AX834">
        <f t="shared" si="329"/>
        <v>0</v>
      </c>
      <c r="AY834">
        <f t="shared" si="330"/>
        <v>0</v>
      </c>
      <c r="AZ834">
        <f t="shared" si="331"/>
        <v>0</v>
      </c>
      <c r="BA834">
        <f t="shared" si="332"/>
        <v>0</v>
      </c>
      <c r="BB834">
        <f t="shared" si="333"/>
        <v>0</v>
      </c>
      <c r="BC834">
        <f t="shared" si="334"/>
        <v>0</v>
      </c>
      <c r="BD834">
        <f t="shared" si="335"/>
        <v>0</v>
      </c>
      <c r="BE834">
        <f t="shared" si="336"/>
        <v>0</v>
      </c>
      <c r="BF834">
        <f t="shared" si="337"/>
        <v>0</v>
      </c>
      <c r="BG834">
        <f t="shared" si="338"/>
        <v>0</v>
      </c>
      <c r="BH834">
        <f t="shared" si="339"/>
        <v>0</v>
      </c>
    </row>
    <row r="835" spans="1:60" ht="15" customHeight="1">
      <c r="A835" s="206"/>
      <c r="B835" s="201"/>
      <c r="C835" s="1119" t="s">
        <v>5007</v>
      </c>
      <c r="D835" s="1121"/>
      <c r="E835" s="1121"/>
      <c r="F835" s="1120"/>
      <c r="G835" s="100"/>
      <c r="H835" s="100"/>
      <c r="I835" s="100"/>
      <c r="J835" s="100"/>
      <c r="K835" s="100"/>
      <c r="L835" s="100"/>
      <c r="M835" s="100"/>
      <c r="N835" s="100"/>
      <c r="O835" s="100"/>
      <c r="P835" s="100"/>
      <c r="Q835" s="100"/>
      <c r="R835" s="100"/>
      <c r="S835" s="100"/>
      <c r="T835" s="100"/>
      <c r="U835" s="100"/>
      <c r="V835" s="100"/>
      <c r="W835" s="100"/>
      <c r="X835" s="100"/>
      <c r="Y835" s="100"/>
      <c r="Z835" s="100"/>
      <c r="AA835" s="100"/>
      <c r="AB835" s="100"/>
      <c r="AC835" s="100"/>
      <c r="AD835" s="100"/>
      <c r="AF835"/>
      <c r="AG835"/>
      <c r="AH835"/>
      <c r="AI835"/>
      <c r="AJ835"/>
      <c r="AK835">
        <f t="shared" si="317"/>
        <v>0</v>
      </c>
      <c r="AL835">
        <f t="shared" si="318"/>
        <v>0</v>
      </c>
      <c r="AM835">
        <f t="shared" si="340"/>
        <v>0</v>
      </c>
      <c r="AN835">
        <f t="shared" si="319"/>
        <v>0</v>
      </c>
      <c r="AO835">
        <f t="shared" si="320"/>
        <v>0</v>
      </c>
      <c r="AP835">
        <f t="shared" si="321"/>
        <v>0</v>
      </c>
      <c r="AQ835">
        <f t="shared" si="322"/>
        <v>0</v>
      </c>
      <c r="AR835">
        <f t="shared" si="323"/>
        <v>0</v>
      </c>
      <c r="AS835">
        <f t="shared" si="324"/>
        <v>0</v>
      </c>
      <c r="AT835">
        <f t="shared" si="325"/>
        <v>0</v>
      </c>
      <c r="AU835">
        <f t="shared" si="326"/>
        <v>0</v>
      </c>
      <c r="AV835">
        <f t="shared" si="327"/>
        <v>0</v>
      </c>
      <c r="AW835">
        <f t="shared" si="328"/>
        <v>0</v>
      </c>
      <c r="AX835">
        <f t="shared" si="329"/>
        <v>0</v>
      </c>
      <c r="AY835">
        <f t="shared" si="330"/>
        <v>0</v>
      </c>
      <c r="AZ835">
        <f t="shared" si="331"/>
        <v>0</v>
      </c>
      <c r="BA835">
        <f t="shared" si="332"/>
        <v>0</v>
      </c>
      <c r="BB835">
        <f t="shared" si="333"/>
        <v>0</v>
      </c>
      <c r="BC835">
        <f t="shared" si="334"/>
        <v>0</v>
      </c>
      <c r="BD835">
        <f t="shared" si="335"/>
        <v>0</v>
      </c>
      <c r="BE835">
        <f t="shared" si="336"/>
        <v>0</v>
      </c>
      <c r="BF835">
        <f t="shared" si="337"/>
        <v>0</v>
      </c>
      <c r="BG835">
        <f t="shared" si="338"/>
        <v>0</v>
      </c>
      <c r="BH835">
        <f t="shared" si="339"/>
        <v>0</v>
      </c>
    </row>
    <row r="836" spans="1:60" ht="15" customHeight="1">
      <c r="A836" s="206"/>
      <c r="B836" s="201"/>
      <c r="C836" s="1119" t="s">
        <v>5009</v>
      </c>
      <c r="D836" s="1121"/>
      <c r="E836" s="1121"/>
      <c r="F836" s="1120"/>
      <c r="G836" s="100"/>
      <c r="H836" s="100"/>
      <c r="I836" s="100"/>
      <c r="J836" s="100"/>
      <c r="K836" s="100"/>
      <c r="L836" s="100"/>
      <c r="M836" s="100"/>
      <c r="N836" s="100"/>
      <c r="O836" s="100"/>
      <c r="P836" s="100"/>
      <c r="Q836" s="100"/>
      <c r="R836" s="100"/>
      <c r="S836" s="100"/>
      <c r="T836" s="100"/>
      <c r="U836" s="100"/>
      <c r="V836" s="100"/>
      <c r="W836" s="100"/>
      <c r="X836" s="100"/>
      <c r="Y836" s="100"/>
      <c r="Z836" s="100"/>
      <c r="AA836" s="100"/>
      <c r="AB836" s="100"/>
      <c r="AC836" s="100"/>
      <c r="AD836" s="100"/>
      <c r="AF836"/>
      <c r="AG836"/>
      <c r="AH836"/>
      <c r="AI836"/>
      <c r="AJ836"/>
      <c r="AK836">
        <f t="shared" si="317"/>
        <v>0</v>
      </c>
      <c r="AL836">
        <f t="shared" si="318"/>
        <v>0</v>
      </c>
      <c r="AM836">
        <f t="shared" si="340"/>
        <v>0</v>
      </c>
      <c r="AN836">
        <f t="shared" si="319"/>
        <v>0</v>
      </c>
      <c r="AO836">
        <f t="shared" si="320"/>
        <v>0</v>
      </c>
      <c r="AP836">
        <f t="shared" si="321"/>
        <v>0</v>
      </c>
      <c r="AQ836">
        <f t="shared" si="322"/>
        <v>0</v>
      </c>
      <c r="AR836">
        <f t="shared" si="323"/>
        <v>0</v>
      </c>
      <c r="AS836">
        <f t="shared" si="324"/>
        <v>0</v>
      </c>
      <c r="AT836">
        <f t="shared" si="325"/>
        <v>0</v>
      </c>
      <c r="AU836">
        <f t="shared" si="326"/>
        <v>0</v>
      </c>
      <c r="AV836">
        <f t="shared" si="327"/>
        <v>0</v>
      </c>
      <c r="AW836">
        <f t="shared" si="328"/>
        <v>0</v>
      </c>
      <c r="AX836">
        <f t="shared" si="329"/>
        <v>0</v>
      </c>
      <c r="AY836">
        <f t="shared" si="330"/>
        <v>0</v>
      </c>
      <c r="AZ836">
        <f t="shared" si="331"/>
        <v>0</v>
      </c>
      <c r="BA836">
        <f t="shared" si="332"/>
        <v>0</v>
      </c>
      <c r="BB836">
        <f t="shared" si="333"/>
        <v>0</v>
      </c>
      <c r="BC836">
        <f t="shared" si="334"/>
        <v>0</v>
      </c>
      <c r="BD836">
        <f t="shared" si="335"/>
        <v>0</v>
      </c>
      <c r="BE836">
        <f t="shared" si="336"/>
        <v>0</v>
      </c>
      <c r="BF836">
        <f t="shared" si="337"/>
        <v>0</v>
      </c>
      <c r="BG836">
        <f t="shared" si="338"/>
        <v>0</v>
      </c>
      <c r="BH836">
        <f t="shared" si="339"/>
        <v>0</v>
      </c>
    </row>
    <row r="837" spans="1:60" ht="15" customHeight="1">
      <c r="A837" s="206"/>
      <c r="B837" s="201"/>
      <c r="C837" s="1119" t="s">
        <v>5011</v>
      </c>
      <c r="D837" s="1121"/>
      <c r="E837" s="1121"/>
      <c r="F837" s="1120"/>
      <c r="G837" s="100"/>
      <c r="H837" s="100"/>
      <c r="I837" s="100"/>
      <c r="J837" s="100"/>
      <c r="K837" s="100"/>
      <c r="L837" s="100"/>
      <c r="M837" s="100"/>
      <c r="N837" s="100"/>
      <c r="O837" s="100"/>
      <c r="P837" s="100"/>
      <c r="Q837" s="100"/>
      <c r="R837" s="100"/>
      <c r="S837" s="100"/>
      <c r="T837" s="100"/>
      <c r="U837" s="100"/>
      <c r="V837" s="100"/>
      <c r="W837" s="100"/>
      <c r="X837" s="100"/>
      <c r="Y837" s="100"/>
      <c r="Z837" s="100"/>
      <c r="AA837" s="100"/>
      <c r="AB837" s="100"/>
      <c r="AC837" s="100"/>
      <c r="AD837" s="100"/>
      <c r="AF837"/>
      <c r="AG837"/>
      <c r="AH837"/>
      <c r="AI837"/>
      <c r="AJ837"/>
      <c r="AK837">
        <f t="shared" si="317"/>
        <v>0</v>
      </c>
      <c r="AL837">
        <f t="shared" si="318"/>
        <v>0</v>
      </c>
      <c r="AM837">
        <f t="shared" si="340"/>
        <v>0</v>
      </c>
      <c r="AN837">
        <f t="shared" si="319"/>
        <v>0</v>
      </c>
      <c r="AO837">
        <f t="shared" si="320"/>
        <v>0</v>
      </c>
      <c r="AP837">
        <f t="shared" si="321"/>
        <v>0</v>
      </c>
      <c r="AQ837">
        <f t="shared" si="322"/>
        <v>0</v>
      </c>
      <c r="AR837">
        <f t="shared" si="323"/>
        <v>0</v>
      </c>
      <c r="AS837">
        <f t="shared" si="324"/>
        <v>0</v>
      </c>
      <c r="AT837">
        <f t="shared" si="325"/>
        <v>0</v>
      </c>
      <c r="AU837">
        <f t="shared" si="326"/>
        <v>0</v>
      </c>
      <c r="AV837">
        <f t="shared" si="327"/>
        <v>0</v>
      </c>
      <c r="AW837">
        <f t="shared" si="328"/>
        <v>0</v>
      </c>
      <c r="AX837">
        <f t="shared" si="329"/>
        <v>0</v>
      </c>
      <c r="AY837">
        <f t="shared" si="330"/>
        <v>0</v>
      </c>
      <c r="AZ837">
        <f t="shared" si="331"/>
        <v>0</v>
      </c>
      <c r="BA837">
        <f t="shared" si="332"/>
        <v>0</v>
      </c>
      <c r="BB837">
        <f t="shared" si="333"/>
        <v>0</v>
      </c>
      <c r="BC837">
        <f t="shared" si="334"/>
        <v>0</v>
      </c>
      <c r="BD837">
        <f t="shared" si="335"/>
        <v>0</v>
      </c>
      <c r="BE837">
        <f t="shared" si="336"/>
        <v>0</v>
      </c>
      <c r="BF837">
        <f t="shared" si="337"/>
        <v>0</v>
      </c>
      <c r="BG837">
        <f t="shared" si="338"/>
        <v>0</v>
      </c>
      <c r="BH837">
        <f t="shared" si="339"/>
        <v>0</v>
      </c>
    </row>
    <row r="838" spans="1:60" ht="15" customHeight="1">
      <c r="A838" s="206"/>
      <c r="B838" s="201"/>
      <c r="C838" s="1119" t="s">
        <v>5418</v>
      </c>
      <c r="D838" s="1121"/>
      <c r="E838" s="1121"/>
      <c r="F838" s="1120"/>
      <c r="G838" s="100"/>
      <c r="H838" s="100"/>
      <c r="I838" s="100"/>
      <c r="J838" s="100"/>
      <c r="K838" s="100"/>
      <c r="L838" s="100"/>
      <c r="M838" s="100"/>
      <c r="N838" s="100"/>
      <c r="O838" s="100"/>
      <c r="P838" s="100"/>
      <c r="Q838" s="100"/>
      <c r="R838" s="100"/>
      <c r="S838" s="100"/>
      <c r="T838" s="100"/>
      <c r="U838" s="100"/>
      <c r="V838" s="100"/>
      <c r="W838" s="100"/>
      <c r="X838" s="100"/>
      <c r="Y838" s="100"/>
      <c r="Z838" s="100"/>
      <c r="AA838" s="100"/>
      <c r="AB838" s="100"/>
      <c r="AC838" s="100"/>
      <c r="AD838" s="100"/>
      <c r="AF838"/>
      <c r="AG838"/>
      <c r="AH838"/>
      <c r="AI838"/>
      <c r="AJ838"/>
      <c r="AK838">
        <f t="shared" si="317"/>
        <v>0</v>
      </c>
      <c r="AL838">
        <f t="shared" si="318"/>
        <v>0</v>
      </c>
      <c r="AM838">
        <f t="shared" si="340"/>
        <v>0</v>
      </c>
      <c r="AN838">
        <f t="shared" si="319"/>
        <v>0</v>
      </c>
      <c r="AO838">
        <f t="shared" si="320"/>
        <v>0</v>
      </c>
      <c r="AP838">
        <f t="shared" si="321"/>
        <v>0</v>
      </c>
      <c r="AQ838">
        <f t="shared" si="322"/>
        <v>0</v>
      </c>
      <c r="AR838">
        <f t="shared" si="323"/>
        <v>0</v>
      </c>
      <c r="AS838">
        <f t="shared" si="324"/>
        <v>0</v>
      </c>
      <c r="AT838">
        <f t="shared" si="325"/>
        <v>0</v>
      </c>
      <c r="AU838">
        <f t="shared" si="326"/>
        <v>0</v>
      </c>
      <c r="AV838">
        <f t="shared" si="327"/>
        <v>0</v>
      </c>
      <c r="AW838">
        <f t="shared" si="328"/>
        <v>0</v>
      </c>
      <c r="AX838">
        <f t="shared" si="329"/>
        <v>0</v>
      </c>
      <c r="AY838">
        <f t="shared" si="330"/>
        <v>0</v>
      </c>
      <c r="AZ838">
        <f t="shared" si="331"/>
        <v>0</v>
      </c>
      <c r="BA838">
        <f t="shared" si="332"/>
        <v>0</v>
      </c>
      <c r="BB838">
        <f t="shared" si="333"/>
        <v>0</v>
      </c>
      <c r="BC838">
        <f t="shared" si="334"/>
        <v>0</v>
      </c>
      <c r="BD838">
        <f t="shared" si="335"/>
        <v>0</v>
      </c>
      <c r="BE838">
        <f t="shared" si="336"/>
        <v>0</v>
      </c>
      <c r="BF838">
        <f t="shared" si="337"/>
        <v>0</v>
      </c>
      <c r="BG838">
        <f t="shared" si="338"/>
        <v>0</v>
      </c>
      <c r="BH838">
        <f t="shared" si="339"/>
        <v>0</v>
      </c>
    </row>
    <row r="839" spans="1:60" ht="15" customHeight="1">
      <c r="A839" s="206"/>
      <c r="B839" s="206"/>
      <c r="C839" s="1117" t="s">
        <v>5014</v>
      </c>
      <c r="D839" s="1136"/>
      <c r="E839" s="1136"/>
      <c r="F839" s="1118"/>
      <c r="G839" s="100"/>
      <c r="H839" s="100"/>
      <c r="I839" s="100"/>
      <c r="J839" s="100"/>
      <c r="K839" s="100"/>
      <c r="L839" s="100"/>
      <c r="M839" s="100"/>
      <c r="N839" s="100"/>
      <c r="O839" s="100"/>
      <c r="P839" s="100"/>
      <c r="Q839" s="100"/>
      <c r="R839" s="100"/>
      <c r="S839" s="100"/>
      <c r="T839" s="100"/>
      <c r="U839" s="100"/>
      <c r="V839" s="100"/>
      <c r="W839" s="100"/>
      <c r="X839" s="100"/>
      <c r="Y839" s="100"/>
      <c r="Z839" s="100"/>
      <c r="AA839" s="100"/>
      <c r="AB839" s="100"/>
      <c r="AC839" s="100"/>
      <c r="AD839" s="100"/>
      <c r="AF839"/>
      <c r="AG839"/>
      <c r="AH839"/>
      <c r="AI839"/>
      <c r="AJ839"/>
      <c r="AK839">
        <f t="shared" si="317"/>
        <v>0</v>
      </c>
      <c r="AL839">
        <f t="shared" si="318"/>
        <v>0</v>
      </c>
      <c r="AM839">
        <f t="shared" si="340"/>
        <v>0</v>
      </c>
      <c r="AN839">
        <f t="shared" si="319"/>
        <v>0</v>
      </c>
      <c r="AO839">
        <f t="shared" si="320"/>
        <v>0</v>
      </c>
      <c r="AP839">
        <f t="shared" si="321"/>
        <v>0</v>
      </c>
      <c r="AQ839">
        <f t="shared" si="322"/>
        <v>0</v>
      </c>
      <c r="AR839">
        <f t="shared" si="323"/>
        <v>0</v>
      </c>
      <c r="AS839">
        <f t="shared" si="324"/>
        <v>0</v>
      </c>
      <c r="AT839">
        <f t="shared" si="325"/>
        <v>0</v>
      </c>
      <c r="AU839">
        <f t="shared" si="326"/>
        <v>0</v>
      </c>
      <c r="AV839">
        <f t="shared" si="327"/>
        <v>0</v>
      </c>
      <c r="AW839">
        <f t="shared" si="328"/>
        <v>0</v>
      </c>
      <c r="AX839">
        <f t="shared" si="329"/>
        <v>0</v>
      </c>
      <c r="AY839">
        <f t="shared" si="330"/>
        <v>0</v>
      </c>
      <c r="AZ839">
        <f t="shared" si="331"/>
        <v>0</v>
      </c>
      <c r="BA839">
        <f t="shared" si="332"/>
        <v>0</v>
      </c>
      <c r="BB839">
        <f t="shared" si="333"/>
        <v>0</v>
      </c>
      <c r="BC839">
        <f t="shared" si="334"/>
        <v>0</v>
      </c>
      <c r="BD839">
        <f t="shared" si="335"/>
        <v>0</v>
      </c>
      <c r="BE839">
        <f t="shared" si="336"/>
        <v>0</v>
      </c>
      <c r="BF839">
        <f t="shared" si="337"/>
        <v>0</v>
      </c>
      <c r="BG839">
        <f t="shared" si="338"/>
        <v>0</v>
      </c>
      <c r="BH839">
        <f t="shared" si="339"/>
        <v>0</v>
      </c>
    </row>
    <row r="840" spans="1:60" ht="15" customHeight="1">
      <c r="A840" s="206"/>
      <c r="B840" s="206"/>
      <c r="C840" s="1117" t="s">
        <v>5016</v>
      </c>
      <c r="D840" s="1136"/>
      <c r="E840" s="1136"/>
      <c r="F840" s="1118"/>
      <c r="G840" s="100"/>
      <c r="H840" s="100"/>
      <c r="I840" s="100"/>
      <c r="J840" s="100"/>
      <c r="K840" s="100"/>
      <c r="L840" s="100"/>
      <c r="M840" s="100"/>
      <c r="N840" s="100"/>
      <c r="O840" s="100"/>
      <c r="P840" s="100"/>
      <c r="Q840" s="100"/>
      <c r="R840" s="100"/>
      <c r="S840" s="100"/>
      <c r="T840" s="100"/>
      <c r="U840" s="100"/>
      <c r="V840" s="100"/>
      <c r="W840" s="100"/>
      <c r="X840" s="100"/>
      <c r="Y840" s="100"/>
      <c r="Z840" s="100"/>
      <c r="AA840" s="100"/>
      <c r="AB840" s="100"/>
      <c r="AC840" s="100"/>
      <c r="AD840" s="100"/>
      <c r="AF840"/>
      <c r="AG840"/>
      <c r="AH840"/>
      <c r="AI840"/>
      <c r="AJ840"/>
      <c r="AK840">
        <f t="shared" si="317"/>
        <v>0</v>
      </c>
      <c r="AL840">
        <f t="shared" si="318"/>
        <v>0</v>
      </c>
      <c r="AM840">
        <f t="shared" si="340"/>
        <v>0</v>
      </c>
      <c r="AN840">
        <f t="shared" si="319"/>
        <v>0</v>
      </c>
      <c r="AO840">
        <f t="shared" si="320"/>
        <v>0</v>
      </c>
      <c r="AP840">
        <f t="shared" si="321"/>
        <v>0</v>
      </c>
      <c r="AQ840">
        <f t="shared" si="322"/>
        <v>0</v>
      </c>
      <c r="AR840">
        <f t="shared" si="323"/>
        <v>0</v>
      </c>
      <c r="AS840">
        <f t="shared" si="324"/>
        <v>0</v>
      </c>
      <c r="AT840">
        <f t="shared" si="325"/>
        <v>0</v>
      </c>
      <c r="AU840">
        <f t="shared" si="326"/>
        <v>0</v>
      </c>
      <c r="AV840">
        <f t="shared" si="327"/>
        <v>0</v>
      </c>
      <c r="AW840">
        <f t="shared" si="328"/>
        <v>0</v>
      </c>
      <c r="AX840">
        <f t="shared" si="329"/>
        <v>0</v>
      </c>
      <c r="AY840">
        <f t="shared" si="330"/>
        <v>0</v>
      </c>
      <c r="AZ840">
        <f t="shared" si="331"/>
        <v>0</v>
      </c>
      <c r="BA840">
        <f t="shared" si="332"/>
        <v>0</v>
      </c>
      <c r="BB840">
        <f t="shared" si="333"/>
        <v>0</v>
      </c>
      <c r="BC840">
        <f t="shared" si="334"/>
        <v>0</v>
      </c>
      <c r="BD840">
        <f t="shared" si="335"/>
        <v>0</v>
      </c>
      <c r="BE840">
        <f t="shared" si="336"/>
        <v>0</v>
      </c>
      <c r="BF840">
        <f t="shared" si="337"/>
        <v>0</v>
      </c>
      <c r="BG840">
        <f t="shared" si="338"/>
        <v>0</v>
      </c>
      <c r="BH840">
        <f t="shared" si="339"/>
        <v>0</v>
      </c>
    </row>
    <row r="841" spans="1:60" ht="15" customHeight="1">
      <c r="A841" s="206"/>
      <c r="B841" s="206"/>
      <c r="C841" s="1117" t="s">
        <v>5018</v>
      </c>
      <c r="D841" s="1136"/>
      <c r="E841" s="1136"/>
      <c r="F841" s="1118"/>
      <c r="G841" s="100"/>
      <c r="H841" s="100"/>
      <c r="I841" s="100"/>
      <c r="J841" s="100"/>
      <c r="K841" s="100"/>
      <c r="L841" s="100"/>
      <c r="M841" s="100"/>
      <c r="N841" s="100"/>
      <c r="O841" s="100"/>
      <c r="P841" s="100"/>
      <c r="Q841" s="100"/>
      <c r="R841" s="100"/>
      <c r="S841" s="100"/>
      <c r="T841" s="100"/>
      <c r="U841" s="100"/>
      <c r="V841" s="100"/>
      <c r="W841" s="100"/>
      <c r="X841" s="100"/>
      <c r="Y841" s="100"/>
      <c r="Z841" s="100"/>
      <c r="AA841" s="100"/>
      <c r="AB841" s="100"/>
      <c r="AC841" s="100"/>
      <c r="AD841" s="100"/>
      <c r="AF841"/>
      <c r="AG841"/>
      <c r="AH841"/>
      <c r="AI841"/>
      <c r="AJ841"/>
      <c r="AK841">
        <f t="shared" si="317"/>
        <v>0</v>
      </c>
      <c r="AL841">
        <f t="shared" si="318"/>
        <v>0</v>
      </c>
      <c r="AM841">
        <f t="shared" si="340"/>
        <v>0</v>
      </c>
      <c r="AN841">
        <f t="shared" si="319"/>
        <v>0</v>
      </c>
      <c r="AO841">
        <f t="shared" si="320"/>
        <v>0</v>
      </c>
      <c r="AP841">
        <f t="shared" si="321"/>
        <v>0</v>
      </c>
      <c r="AQ841">
        <f t="shared" si="322"/>
        <v>0</v>
      </c>
      <c r="AR841">
        <f t="shared" si="323"/>
        <v>0</v>
      </c>
      <c r="AS841">
        <f t="shared" si="324"/>
        <v>0</v>
      </c>
      <c r="AT841">
        <f t="shared" si="325"/>
        <v>0</v>
      </c>
      <c r="AU841">
        <f t="shared" si="326"/>
        <v>0</v>
      </c>
      <c r="AV841">
        <f t="shared" si="327"/>
        <v>0</v>
      </c>
      <c r="AW841">
        <f t="shared" si="328"/>
        <v>0</v>
      </c>
      <c r="AX841">
        <f t="shared" si="329"/>
        <v>0</v>
      </c>
      <c r="AY841">
        <f t="shared" si="330"/>
        <v>0</v>
      </c>
      <c r="AZ841">
        <f t="shared" si="331"/>
        <v>0</v>
      </c>
      <c r="BA841">
        <f t="shared" si="332"/>
        <v>0</v>
      </c>
      <c r="BB841">
        <f t="shared" si="333"/>
        <v>0</v>
      </c>
      <c r="BC841">
        <f t="shared" si="334"/>
        <v>0</v>
      </c>
      <c r="BD841">
        <f t="shared" si="335"/>
        <v>0</v>
      </c>
      <c r="BE841">
        <f t="shared" si="336"/>
        <v>0</v>
      </c>
      <c r="BF841">
        <f t="shared" si="337"/>
        <v>0</v>
      </c>
      <c r="BG841">
        <f t="shared" si="338"/>
        <v>0</v>
      </c>
      <c r="BH841">
        <f t="shared" si="339"/>
        <v>0</v>
      </c>
    </row>
    <row r="842" spans="1:60" ht="15" customHeight="1">
      <c r="A842" s="206"/>
      <c r="B842" s="206"/>
      <c r="C842" s="1117" t="s">
        <v>5022</v>
      </c>
      <c r="D842" s="1136"/>
      <c r="E842" s="1136"/>
      <c r="F842" s="1118"/>
      <c r="G842" s="100"/>
      <c r="H842" s="100"/>
      <c r="I842" s="100"/>
      <c r="J842" s="100"/>
      <c r="K842" s="100"/>
      <c r="L842" s="100"/>
      <c r="M842" s="100"/>
      <c r="N842" s="100"/>
      <c r="O842" s="100"/>
      <c r="P842" s="100"/>
      <c r="Q842" s="100"/>
      <c r="R842" s="100"/>
      <c r="S842" s="100"/>
      <c r="T842" s="100"/>
      <c r="U842" s="100"/>
      <c r="V842" s="100"/>
      <c r="W842" s="100"/>
      <c r="X842" s="100"/>
      <c r="Y842" s="100"/>
      <c r="Z842" s="100"/>
      <c r="AA842" s="100"/>
      <c r="AB842" s="100"/>
      <c r="AC842" s="100"/>
      <c r="AD842" s="100"/>
      <c r="AF842"/>
      <c r="AG842"/>
      <c r="AH842"/>
      <c r="AI842"/>
      <c r="AJ842"/>
      <c r="AK842">
        <f t="shared" si="317"/>
        <v>0</v>
      </c>
      <c r="AL842">
        <f t="shared" si="318"/>
        <v>0</v>
      </c>
      <c r="AM842">
        <f t="shared" si="340"/>
        <v>0</v>
      </c>
      <c r="AN842">
        <f t="shared" si="319"/>
        <v>0</v>
      </c>
      <c r="AO842">
        <f t="shared" si="320"/>
        <v>0</v>
      </c>
      <c r="AP842">
        <f t="shared" si="321"/>
        <v>0</v>
      </c>
      <c r="AQ842">
        <f t="shared" si="322"/>
        <v>0</v>
      </c>
      <c r="AR842">
        <f t="shared" si="323"/>
        <v>0</v>
      </c>
      <c r="AS842">
        <f t="shared" si="324"/>
        <v>0</v>
      </c>
      <c r="AT842">
        <f t="shared" si="325"/>
        <v>0</v>
      </c>
      <c r="AU842">
        <f t="shared" si="326"/>
        <v>0</v>
      </c>
      <c r="AV842">
        <f t="shared" si="327"/>
        <v>0</v>
      </c>
      <c r="AW842">
        <f t="shared" si="328"/>
        <v>0</v>
      </c>
      <c r="AX842">
        <f t="shared" si="329"/>
        <v>0</v>
      </c>
      <c r="AY842">
        <f t="shared" si="330"/>
        <v>0</v>
      </c>
      <c r="AZ842">
        <f t="shared" si="331"/>
        <v>0</v>
      </c>
      <c r="BA842">
        <f t="shared" si="332"/>
        <v>0</v>
      </c>
      <c r="BB842">
        <f t="shared" si="333"/>
        <v>0</v>
      </c>
      <c r="BC842">
        <f t="shared" si="334"/>
        <v>0</v>
      </c>
      <c r="BD842">
        <f t="shared" si="335"/>
        <v>0</v>
      </c>
      <c r="BE842">
        <f t="shared" si="336"/>
        <v>0</v>
      </c>
      <c r="BF842">
        <f t="shared" si="337"/>
        <v>0</v>
      </c>
      <c r="BG842">
        <f t="shared" si="338"/>
        <v>0</v>
      </c>
      <c r="BH842">
        <f t="shared" si="339"/>
        <v>0</v>
      </c>
    </row>
    <row r="843" spans="1:60" ht="15" customHeight="1">
      <c r="A843" s="206"/>
      <c r="B843" s="201"/>
      <c r="C843" s="1119" t="s">
        <v>5024</v>
      </c>
      <c r="D843" s="1121"/>
      <c r="E843" s="1121"/>
      <c r="F843" s="1120"/>
      <c r="G843" s="100"/>
      <c r="H843" s="100"/>
      <c r="I843" s="100"/>
      <c r="J843" s="100"/>
      <c r="K843" s="100"/>
      <c r="L843" s="100"/>
      <c r="M843" s="100"/>
      <c r="N843" s="100"/>
      <c r="O843" s="100"/>
      <c r="P843" s="100"/>
      <c r="Q843" s="100"/>
      <c r="R843" s="100"/>
      <c r="S843" s="100"/>
      <c r="T843" s="100"/>
      <c r="U843" s="100"/>
      <c r="V843" s="100"/>
      <c r="W843" s="100"/>
      <c r="X843" s="100"/>
      <c r="Y843" s="100"/>
      <c r="Z843" s="100"/>
      <c r="AA843" s="100"/>
      <c r="AB843" s="100"/>
      <c r="AC843" s="100"/>
      <c r="AD843" s="100"/>
      <c r="AF843"/>
      <c r="AG843"/>
      <c r="AH843"/>
      <c r="AI843"/>
      <c r="AJ843"/>
      <c r="AK843">
        <f t="shared" si="317"/>
        <v>0</v>
      </c>
      <c r="AL843">
        <f t="shared" si="318"/>
        <v>0</v>
      </c>
      <c r="AM843">
        <f t="shared" si="340"/>
        <v>0</v>
      </c>
      <c r="AN843">
        <f t="shared" si="319"/>
        <v>0</v>
      </c>
      <c r="AO843">
        <f t="shared" si="320"/>
        <v>0</v>
      </c>
      <c r="AP843">
        <f t="shared" si="321"/>
        <v>0</v>
      </c>
      <c r="AQ843">
        <f t="shared" si="322"/>
        <v>0</v>
      </c>
      <c r="AR843">
        <f t="shared" si="323"/>
        <v>0</v>
      </c>
      <c r="AS843">
        <f t="shared" si="324"/>
        <v>0</v>
      </c>
      <c r="AT843">
        <f t="shared" si="325"/>
        <v>0</v>
      </c>
      <c r="AU843">
        <f t="shared" si="326"/>
        <v>0</v>
      </c>
      <c r="AV843">
        <f t="shared" si="327"/>
        <v>0</v>
      </c>
      <c r="AW843">
        <f t="shared" si="328"/>
        <v>0</v>
      </c>
      <c r="AX843">
        <f t="shared" si="329"/>
        <v>0</v>
      </c>
      <c r="AY843">
        <f t="shared" si="330"/>
        <v>0</v>
      </c>
      <c r="AZ843">
        <f t="shared" si="331"/>
        <v>0</v>
      </c>
      <c r="BA843">
        <f t="shared" si="332"/>
        <v>0</v>
      </c>
      <c r="BB843">
        <f t="shared" si="333"/>
        <v>0</v>
      </c>
      <c r="BC843">
        <f t="shared" si="334"/>
        <v>0</v>
      </c>
      <c r="BD843">
        <f t="shared" si="335"/>
        <v>0</v>
      </c>
      <c r="BE843">
        <f t="shared" si="336"/>
        <v>0</v>
      </c>
      <c r="BF843">
        <f t="shared" si="337"/>
        <v>0</v>
      </c>
      <c r="BG843">
        <f t="shared" si="338"/>
        <v>0</v>
      </c>
      <c r="BH843">
        <f t="shared" si="339"/>
        <v>0</v>
      </c>
    </row>
    <row r="844" spans="1:60" ht="15" customHeight="1">
      <c r="A844" s="206"/>
      <c r="B844" s="201"/>
      <c r="C844" s="1119" t="s">
        <v>5026</v>
      </c>
      <c r="D844" s="1121"/>
      <c r="E844" s="1121"/>
      <c r="F844" s="1120"/>
      <c r="G844" s="100"/>
      <c r="H844" s="100"/>
      <c r="I844" s="100"/>
      <c r="J844" s="100"/>
      <c r="K844" s="100"/>
      <c r="L844" s="100"/>
      <c r="M844" s="100"/>
      <c r="N844" s="100"/>
      <c r="O844" s="100"/>
      <c r="P844" s="100"/>
      <c r="Q844" s="100"/>
      <c r="R844" s="100"/>
      <c r="S844" s="100"/>
      <c r="T844" s="100"/>
      <c r="U844" s="100"/>
      <c r="V844" s="100"/>
      <c r="W844" s="100"/>
      <c r="X844" s="100"/>
      <c r="Y844" s="100"/>
      <c r="Z844" s="100"/>
      <c r="AA844" s="100"/>
      <c r="AB844" s="100"/>
      <c r="AC844" s="100"/>
      <c r="AD844" s="100"/>
      <c r="AF844"/>
      <c r="AG844"/>
      <c r="AH844"/>
      <c r="AI844"/>
      <c r="AJ844"/>
      <c r="AK844">
        <f t="shared" si="317"/>
        <v>0</v>
      </c>
      <c r="AL844">
        <f t="shared" si="318"/>
        <v>0</v>
      </c>
      <c r="AM844">
        <f t="shared" si="340"/>
        <v>0</v>
      </c>
      <c r="AN844">
        <f t="shared" si="319"/>
        <v>0</v>
      </c>
      <c r="AO844">
        <f t="shared" si="320"/>
        <v>0</v>
      </c>
      <c r="AP844">
        <f t="shared" si="321"/>
        <v>0</v>
      </c>
      <c r="AQ844">
        <f t="shared" si="322"/>
        <v>0</v>
      </c>
      <c r="AR844">
        <f t="shared" si="323"/>
        <v>0</v>
      </c>
      <c r="AS844">
        <f t="shared" si="324"/>
        <v>0</v>
      </c>
      <c r="AT844">
        <f t="shared" si="325"/>
        <v>0</v>
      </c>
      <c r="AU844">
        <f t="shared" si="326"/>
        <v>0</v>
      </c>
      <c r="AV844">
        <f t="shared" si="327"/>
        <v>0</v>
      </c>
      <c r="AW844">
        <f t="shared" si="328"/>
        <v>0</v>
      </c>
      <c r="AX844">
        <f t="shared" si="329"/>
        <v>0</v>
      </c>
      <c r="AY844">
        <f t="shared" si="330"/>
        <v>0</v>
      </c>
      <c r="AZ844">
        <f t="shared" si="331"/>
        <v>0</v>
      </c>
      <c r="BA844">
        <f t="shared" si="332"/>
        <v>0</v>
      </c>
      <c r="BB844">
        <f t="shared" si="333"/>
        <v>0</v>
      </c>
      <c r="BC844">
        <f t="shared" si="334"/>
        <v>0</v>
      </c>
      <c r="BD844">
        <f t="shared" si="335"/>
        <v>0</v>
      </c>
      <c r="BE844">
        <f t="shared" si="336"/>
        <v>0</v>
      </c>
      <c r="BF844">
        <f t="shared" si="337"/>
        <v>0</v>
      </c>
      <c r="BG844">
        <f t="shared" si="338"/>
        <v>0</v>
      </c>
      <c r="BH844">
        <f t="shared" si="339"/>
        <v>0</v>
      </c>
    </row>
    <row r="845" spans="1:60" ht="15" customHeight="1">
      <c r="A845" s="206"/>
      <c r="B845" s="201"/>
      <c r="C845" s="1119" t="s">
        <v>5028</v>
      </c>
      <c r="D845" s="1121"/>
      <c r="E845" s="1121"/>
      <c r="F845" s="1120"/>
      <c r="G845" s="100"/>
      <c r="H845" s="100"/>
      <c r="I845" s="100"/>
      <c r="J845" s="100"/>
      <c r="K845" s="100"/>
      <c r="L845" s="100"/>
      <c r="M845" s="100"/>
      <c r="N845" s="100"/>
      <c r="O845" s="100"/>
      <c r="P845" s="100"/>
      <c r="Q845" s="100"/>
      <c r="R845" s="100"/>
      <c r="S845" s="100"/>
      <c r="T845" s="100"/>
      <c r="U845" s="100"/>
      <c r="V845" s="100"/>
      <c r="W845" s="100"/>
      <c r="X845" s="100"/>
      <c r="Y845" s="100"/>
      <c r="Z845" s="100"/>
      <c r="AA845" s="100"/>
      <c r="AB845" s="100"/>
      <c r="AC845" s="100"/>
      <c r="AD845" s="100"/>
      <c r="AF845"/>
      <c r="AG845"/>
      <c r="AH845"/>
      <c r="AI845"/>
      <c r="AJ845"/>
      <c r="AK845">
        <f t="shared" si="317"/>
        <v>0</v>
      </c>
      <c r="AL845">
        <f t="shared" si="318"/>
        <v>0</v>
      </c>
      <c r="AM845">
        <f t="shared" si="340"/>
        <v>0</v>
      </c>
      <c r="AN845">
        <f t="shared" si="319"/>
        <v>0</v>
      </c>
      <c r="AO845">
        <f t="shared" si="320"/>
        <v>0</v>
      </c>
      <c r="AP845">
        <f t="shared" si="321"/>
        <v>0</v>
      </c>
      <c r="AQ845">
        <f t="shared" si="322"/>
        <v>0</v>
      </c>
      <c r="AR845">
        <f t="shared" si="323"/>
        <v>0</v>
      </c>
      <c r="AS845">
        <f t="shared" si="324"/>
        <v>0</v>
      </c>
      <c r="AT845">
        <f t="shared" si="325"/>
        <v>0</v>
      </c>
      <c r="AU845">
        <f t="shared" si="326"/>
        <v>0</v>
      </c>
      <c r="AV845">
        <f t="shared" si="327"/>
        <v>0</v>
      </c>
      <c r="AW845">
        <f t="shared" si="328"/>
        <v>0</v>
      </c>
      <c r="AX845">
        <f t="shared" si="329"/>
        <v>0</v>
      </c>
      <c r="AY845">
        <f t="shared" si="330"/>
        <v>0</v>
      </c>
      <c r="AZ845">
        <f t="shared" si="331"/>
        <v>0</v>
      </c>
      <c r="BA845">
        <f t="shared" si="332"/>
        <v>0</v>
      </c>
      <c r="BB845">
        <f t="shared" si="333"/>
        <v>0</v>
      </c>
      <c r="BC845">
        <f t="shared" si="334"/>
        <v>0</v>
      </c>
      <c r="BD845">
        <f t="shared" si="335"/>
        <v>0</v>
      </c>
      <c r="BE845">
        <f t="shared" si="336"/>
        <v>0</v>
      </c>
      <c r="BF845">
        <f t="shared" si="337"/>
        <v>0</v>
      </c>
      <c r="BG845">
        <f t="shared" si="338"/>
        <v>0</v>
      </c>
      <c r="BH845">
        <f t="shared" si="339"/>
        <v>0</v>
      </c>
    </row>
    <row r="846" spans="1:60" ht="15" customHeight="1">
      <c r="A846" s="206"/>
      <c r="B846" s="201"/>
      <c r="C846" s="1119" t="s">
        <v>5030</v>
      </c>
      <c r="D846" s="1121"/>
      <c r="E846" s="1121"/>
      <c r="F846" s="1120"/>
      <c r="G846" s="100"/>
      <c r="H846" s="100"/>
      <c r="I846" s="100"/>
      <c r="J846" s="100"/>
      <c r="K846" s="100"/>
      <c r="L846" s="100"/>
      <c r="M846" s="100"/>
      <c r="N846" s="100"/>
      <c r="O846" s="100"/>
      <c r="P846" s="100"/>
      <c r="Q846" s="100"/>
      <c r="R846" s="100"/>
      <c r="S846" s="100"/>
      <c r="T846" s="100"/>
      <c r="U846" s="100"/>
      <c r="V846" s="100"/>
      <c r="W846" s="100"/>
      <c r="X846" s="100"/>
      <c r="Y846" s="100"/>
      <c r="Z846" s="100"/>
      <c r="AA846" s="100"/>
      <c r="AB846" s="100"/>
      <c r="AC846" s="100"/>
      <c r="AD846" s="100"/>
      <c r="AF846"/>
      <c r="AG846"/>
      <c r="AH846"/>
      <c r="AI846"/>
      <c r="AJ846"/>
      <c r="AK846">
        <f t="shared" si="317"/>
        <v>0</v>
      </c>
      <c r="AL846">
        <f t="shared" si="318"/>
        <v>0</v>
      </c>
      <c r="AM846">
        <f t="shared" si="340"/>
        <v>0</v>
      </c>
      <c r="AN846">
        <f t="shared" si="319"/>
        <v>0</v>
      </c>
      <c r="AO846">
        <f t="shared" si="320"/>
        <v>0</v>
      </c>
      <c r="AP846">
        <f t="shared" si="321"/>
        <v>0</v>
      </c>
      <c r="AQ846">
        <f t="shared" si="322"/>
        <v>0</v>
      </c>
      <c r="AR846">
        <f t="shared" si="323"/>
        <v>0</v>
      </c>
      <c r="AS846">
        <f t="shared" si="324"/>
        <v>0</v>
      </c>
      <c r="AT846">
        <f t="shared" si="325"/>
        <v>0</v>
      </c>
      <c r="AU846">
        <f t="shared" si="326"/>
        <v>0</v>
      </c>
      <c r="AV846">
        <f t="shared" si="327"/>
        <v>0</v>
      </c>
      <c r="AW846">
        <f t="shared" si="328"/>
        <v>0</v>
      </c>
      <c r="AX846">
        <f t="shared" si="329"/>
        <v>0</v>
      </c>
      <c r="AY846">
        <f t="shared" si="330"/>
        <v>0</v>
      </c>
      <c r="AZ846">
        <f t="shared" si="331"/>
        <v>0</v>
      </c>
      <c r="BA846">
        <f t="shared" si="332"/>
        <v>0</v>
      </c>
      <c r="BB846">
        <f t="shared" si="333"/>
        <v>0</v>
      </c>
      <c r="BC846">
        <f t="shared" si="334"/>
        <v>0</v>
      </c>
      <c r="BD846">
        <f t="shared" si="335"/>
        <v>0</v>
      </c>
      <c r="BE846">
        <f t="shared" si="336"/>
        <v>0</v>
      </c>
      <c r="BF846">
        <f t="shared" si="337"/>
        <v>0</v>
      </c>
      <c r="BG846">
        <f t="shared" si="338"/>
        <v>0</v>
      </c>
      <c r="BH846">
        <f t="shared" si="339"/>
        <v>0</v>
      </c>
    </row>
    <row r="847" spans="1:60" ht="15" customHeight="1">
      <c r="A847" s="206"/>
      <c r="B847" s="201"/>
      <c r="C847" s="1119" t="s">
        <v>5032</v>
      </c>
      <c r="D847" s="1121"/>
      <c r="E847" s="1121"/>
      <c r="F847" s="1120"/>
      <c r="G847" s="100"/>
      <c r="H847" s="100"/>
      <c r="I847" s="100"/>
      <c r="J847" s="100"/>
      <c r="K847" s="100"/>
      <c r="L847" s="100"/>
      <c r="M847" s="100"/>
      <c r="N847" s="100"/>
      <c r="O847" s="100"/>
      <c r="P847" s="100"/>
      <c r="Q847" s="100"/>
      <c r="R847" s="100"/>
      <c r="S847" s="100"/>
      <c r="T847" s="100"/>
      <c r="U847" s="100"/>
      <c r="V847" s="100"/>
      <c r="W847" s="100"/>
      <c r="X847" s="100"/>
      <c r="Y847" s="100"/>
      <c r="Z847" s="100"/>
      <c r="AA847" s="100"/>
      <c r="AB847" s="100"/>
      <c r="AC847" s="100"/>
      <c r="AD847" s="100"/>
      <c r="AF847"/>
      <c r="AG847"/>
      <c r="AH847"/>
      <c r="AI847"/>
      <c r="AJ847"/>
      <c r="AK847">
        <f t="shared" si="317"/>
        <v>0</v>
      </c>
      <c r="AL847">
        <f t="shared" si="318"/>
        <v>0</v>
      </c>
      <c r="AM847">
        <f t="shared" si="340"/>
        <v>0</v>
      </c>
      <c r="AN847">
        <f t="shared" si="319"/>
        <v>0</v>
      </c>
      <c r="AO847">
        <f t="shared" si="320"/>
        <v>0</v>
      </c>
      <c r="AP847">
        <f t="shared" si="321"/>
        <v>0</v>
      </c>
      <c r="AQ847">
        <f t="shared" si="322"/>
        <v>0</v>
      </c>
      <c r="AR847">
        <f t="shared" si="323"/>
        <v>0</v>
      </c>
      <c r="AS847">
        <f t="shared" si="324"/>
        <v>0</v>
      </c>
      <c r="AT847">
        <f t="shared" si="325"/>
        <v>0</v>
      </c>
      <c r="AU847">
        <f t="shared" si="326"/>
        <v>0</v>
      </c>
      <c r="AV847">
        <f t="shared" si="327"/>
        <v>0</v>
      </c>
      <c r="AW847">
        <f t="shared" si="328"/>
        <v>0</v>
      </c>
      <c r="AX847">
        <f t="shared" si="329"/>
        <v>0</v>
      </c>
      <c r="AY847">
        <f t="shared" si="330"/>
        <v>0</v>
      </c>
      <c r="AZ847">
        <f t="shared" si="331"/>
        <v>0</v>
      </c>
      <c r="BA847">
        <f t="shared" si="332"/>
        <v>0</v>
      </c>
      <c r="BB847">
        <f t="shared" si="333"/>
        <v>0</v>
      </c>
      <c r="BC847">
        <f t="shared" si="334"/>
        <v>0</v>
      </c>
      <c r="BD847">
        <f t="shared" si="335"/>
        <v>0</v>
      </c>
      <c r="BE847">
        <f t="shared" si="336"/>
        <v>0</v>
      </c>
      <c r="BF847">
        <f t="shared" si="337"/>
        <v>0</v>
      </c>
      <c r="BG847">
        <f t="shared" si="338"/>
        <v>0</v>
      </c>
      <c r="BH847">
        <f t="shared" si="339"/>
        <v>0</v>
      </c>
    </row>
    <row r="848" spans="1:60" ht="15" customHeight="1">
      <c r="A848" s="206"/>
      <c r="B848" s="201"/>
      <c r="C848" s="1119" t="s">
        <v>5034</v>
      </c>
      <c r="D848" s="1121"/>
      <c r="E848" s="1121"/>
      <c r="F848" s="1120"/>
      <c r="G848" s="100"/>
      <c r="H848" s="100"/>
      <c r="I848" s="100"/>
      <c r="J848" s="100"/>
      <c r="K848" s="100"/>
      <c r="L848" s="100"/>
      <c r="M848" s="100"/>
      <c r="N848" s="100"/>
      <c r="O848" s="100"/>
      <c r="P848" s="100"/>
      <c r="Q848" s="100"/>
      <c r="R848" s="100"/>
      <c r="S848" s="100"/>
      <c r="T848" s="100"/>
      <c r="U848" s="100"/>
      <c r="V848" s="100"/>
      <c r="W848" s="100"/>
      <c r="X848" s="100"/>
      <c r="Y848" s="100"/>
      <c r="Z848" s="100"/>
      <c r="AA848" s="100"/>
      <c r="AB848" s="100"/>
      <c r="AC848" s="100"/>
      <c r="AD848" s="100"/>
      <c r="AF848"/>
      <c r="AG848"/>
      <c r="AH848"/>
      <c r="AI848"/>
      <c r="AJ848"/>
      <c r="AK848">
        <f t="shared" si="317"/>
        <v>0</v>
      </c>
      <c r="AL848">
        <f t="shared" si="318"/>
        <v>0</v>
      </c>
      <c r="AM848">
        <f t="shared" si="340"/>
        <v>0</v>
      </c>
      <c r="AN848">
        <f t="shared" si="319"/>
        <v>0</v>
      </c>
      <c r="AO848">
        <f t="shared" si="320"/>
        <v>0</v>
      </c>
      <c r="AP848">
        <f t="shared" si="321"/>
        <v>0</v>
      </c>
      <c r="AQ848">
        <f t="shared" si="322"/>
        <v>0</v>
      </c>
      <c r="AR848">
        <f t="shared" si="323"/>
        <v>0</v>
      </c>
      <c r="AS848">
        <f t="shared" si="324"/>
        <v>0</v>
      </c>
      <c r="AT848">
        <f t="shared" si="325"/>
        <v>0</v>
      </c>
      <c r="AU848">
        <f t="shared" si="326"/>
        <v>0</v>
      </c>
      <c r="AV848">
        <f t="shared" si="327"/>
        <v>0</v>
      </c>
      <c r="AW848">
        <f t="shared" si="328"/>
        <v>0</v>
      </c>
      <c r="AX848">
        <f t="shared" si="329"/>
        <v>0</v>
      </c>
      <c r="AY848">
        <f t="shared" si="330"/>
        <v>0</v>
      </c>
      <c r="AZ848">
        <f t="shared" si="331"/>
        <v>0</v>
      </c>
      <c r="BA848">
        <f t="shared" si="332"/>
        <v>0</v>
      </c>
      <c r="BB848">
        <f t="shared" si="333"/>
        <v>0</v>
      </c>
      <c r="BC848">
        <f t="shared" si="334"/>
        <v>0</v>
      </c>
      <c r="BD848">
        <f t="shared" si="335"/>
        <v>0</v>
      </c>
      <c r="BE848">
        <f t="shared" si="336"/>
        <v>0</v>
      </c>
      <c r="BF848">
        <f t="shared" si="337"/>
        <v>0</v>
      </c>
      <c r="BG848">
        <f t="shared" si="338"/>
        <v>0</v>
      </c>
      <c r="BH848">
        <f t="shared" si="339"/>
        <v>0</v>
      </c>
    </row>
    <row r="849" spans="1:60" ht="15" customHeight="1">
      <c r="A849" s="206"/>
      <c r="B849" s="201"/>
      <c r="C849" s="1119" t="s">
        <v>5036</v>
      </c>
      <c r="D849" s="1121"/>
      <c r="E849" s="1121"/>
      <c r="F849" s="1120"/>
      <c r="G849" s="100"/>
      <c r="H849" s="100"/>
      <c r="I849" s="100"/>
      <c r="J849" s="100"/>
      <c r="K849" s="100"/>
      <c r="L849" s="100"/>
      <c r="M849" s="100"/>
      <c r="N849" s="100"/>
      <c r="O849" s="100"/>
      <c r="P849" s="100"/>
      <c r="Q849" s="100"/>
      <c r="R849" s="100"/>
      <c r="S849" s="100"/>
      <c r="T849" s="100"/>
      <c r="U849" s="100"/>
      <c r="V849" s="100"/>
      <c r="W849" s="100"/>
      <c r="X849" s="100"/>
      <c r="Y849" s="100"/>
      <c r="Z849" s="100"/>
      <c r="AA849" s="100"/>
      <c r="AB849" s="100"/>
      <c r="AC849" s="100"/>
      <c r="AD849" s="100"/>
      <c r="AF849"/>
      <c r="AG849"/>
      <c r="AH849"/>
      <c r="AI849"/>
      <c r="AJ849"/>
      <c r="AK849">
        <f t="shared" si="317"/>
        <v>0</v>
      </c>
      <c r="AL849">
        <f t="shared" si="318"/>
        <v>0</v>
      </c>
      <c r="AM849">
        <f t="shared" si="340"/>
        <v>0</v>
      </c>
      <c r="AN849">
        <f t="shared" si="319"/>
        <v>0</v>
      </c>
      <c r="AO849">
        <f t="shared" si="320"/>
        <v>0</v>
      </c>
      <c r="AP849">
        <f t="shared" si="321"/>
        <v>0</v>
      </c>
      <c r="AQ849">
        <f t="shared" si="322"/>
        <v>0</v>
      </c>
      <c r="AR849">
        <f t="shared" si="323"/>
        <v>0</v>
      </c>
      <c r="AS849">
        <f t="shared" si="324"/>
        <v>0</v>
      </c>
      <c r="AT849">
        <f t="shared" si="325"/>
        <v>0</v>
      </c>
      <c r="AU849">
        <f t="shared" si="326"/>
        <v>0</v>
      </c>
      <c r="AV849">
        <f t="shared" si="327"/>
        <v>0</v>
      </c>
      <c r="AW849">
        <f t="shared" si="328"/>
        <v>0</v>
      </c>
      <c r="AX849">
        <f t="shared" si="329"/>
        <v>0</v>
      </c>
      <c r="AY849">
        <f t="shared" si="330"/>
        <v>0</v>
      </c>
      <c r="AZ849">
        <f t="shared" si="331"/>
        <v>0</v>
      </c>
      <c r="BA849">
        <f t="shared" si="332"/>
        <v>0</v>
      </c>
      <c r="BB849">
        <f t="shared" si="333"/>
        <v>0</v>
      </c>
      <c r="BC849">
        <f t="shared" si="334"/>
        <v>0</v>
      </c>
      <c r="BD849">
        <f t="shared" si="335"/>
        <v>0</v>
      </c>
      <c r="BE849">
        <f t="shared" si="336"/>
        <v>0</v>
      </c>
      <c r="BF849">
        <f t="shared" si="337"/>
        <v>0</v>
      </c>
      <c r="BG849">
        <f t="shared" si="338"/>
        <v>0</v>
      </c>
      <c r="BH849">
        <f t="shared" si="339"/>
        <v>0</v>
      </c>
    </row>
    <row r="850" spans="1:60" ht="15" customHeight="1">
      <c r="A850" s="206"/>
      <c r="B850" s="201"/>
      <c r="C850" s="1119" t="s">
        <v>5038</v>
      </c>
      <c r="D850" s="1121"/>
      <c r="E850" s="1121"/>
      <c r="F850" s="1120"/>
      <c r="G850" s="100"/>
      <c r="H850" s="100"/>
      <c r="I850" s="100"/>
      <c r="J850" s="100"/>
      <c r="K850" s="100"/>
      <c r="L850" s="100"/>
      <c r="M850" s="100"/>
      <c r="N850" s="100"/>
      <c r="O850" s="100"/>
      <c r="P850" s="100"/>
      <c r="Q850" s="100"/>
      <c r="R850" s="100"/>
      <c r="S850" s="100"/>
      <c r="T850" s="100"/>
      <c r="U850" s="100"/>
      <c r="V850" s="100"/>
      <c r="W850" s="100"/>
      <c r="X850" s="100"/>
      <c r="Y850" s="100"/>
      <c r="Z850" s="100"/>
      <c r="AA850" s="100"/>
      <c r="AB850" s="100"/>
      <c r="AC850" s="100"/>
      <c r="AD850" s="100"/>
      <c r="AF850"/>
      <c r="AG850"/>
      <c r="AH850"/>
      <c r="AI850"/>
      <c r="AJ850"/>
      <c r="AK850">
        <f t="shared" si="317"/>
        <v>0</v>
      </c>
      <c r="AL850">
        <f t="shared" si="318"/>
        <v>0</v>
      </c>
      <c r="AM850">
        <f t="shared" si="340"/>
        <v>0</v>
      </c>
      <c r="AN850">
        <f t="shared" si="319"/>
        <v>0</v>
      </c>
      <c r="AO850">
        <f t="shared" si="320"/>
        <v>0</v>
      </c>
      <c r="AP850">
        <f t="shared" si="321"/>
        <v>0</v>
      </c>
      <c r="AQ850">
        <f t="shared" si="322"/>
        <v>0</v>
      </c>
      <c r="AR850">
        <f t="shared" si="323"/>
        <v>0</v>
      </c>
      <c r="AS850">
        <f t="shared" si="324"/>
        <v>0</v>
      </c>
      <c r="AT850">
        <f t="shared" si="325"/>
        <v>0</v>
      </c>
      <c r="AU850">
        <f t="shared" si="326"/>
        <v>0</v>
      </c>
      <c r="AV850">
        <f t="shared" si="327"/>
        <v>0</v>
      </c>
      <c r="AW850">
        <f t="shared" si="328"/>
        <v>0</v>
      </c>
      <c r="AX850">
        <f t="shared" si="329"/>
        <v>0</v>
      </c>
      <c r="AY850">
        <f t="shared" si="330"/>
        <v>0</v>
      </c>
      <c r="AZ850">
        <f t="shared" si="331"/>
        <v>0</v>
      </c>
      <c r="BA850">
        <f t="shared" si="332"/>
        <v>0</v>
      </c>
      <c r="BB850">
        <f t="shared" si="333"/>
        <v>0</v>
      </c>
      <c r="BC850">
        <f t="shared" si="334"/>
        <v>0</v>
      </c>
      <c r="BD850">
        <f t="shared" si="335"/>
        <v>0</v>
      </c>
      <c r="BE850">
        <f t="shared" si="336"/>
        <v>0</v>
      </c>
      <c r="BF850">
        <f t="shared" si="337"/>
        <v>0</v>
      </c>
      <c r="BG850">
        <f t="shared" si="338"/>
        <v>0</v>
      </c>
      <c r="BH850">
        <f t="shared" si="339"/>
        <v>0</v>
      </c>
    </row>
    <row r="851" spans="1:60" ht="15" customHeight="1">
      <c r="A851" s="206"/>
      <c r="B851" s="201"/>
      <c r="C851" s="1119" t="s">
        <v>5040</v>
      </c>
      <c r="D851" s="1121"/>
      <c r="E851" s="1121"/>
      <c r="F851" s="1120"/>
      <c r="G851" s="100"/>
      <c r="H851" s="100"/>
      <c r="I851" s="100"/>
      <c r="J851" s="100"/>
      <c r="K851" s="100"/>
      <c r="L851" s="100"/>
      <c r="M851" s="100"/>
      <c r="N851" s="100"/>
      <c r="O851" s="100"/>
      <c r="P851" s="100"/>
      <c r="Q851" s="100"/>
      <c r="R851" s="100"/>
      <c r="S851" s="100"/>
      <c r="T851" s="100"/>
      <c r="U851" s="100"/>
      <c r="V851" s="100"/>
      <c r="W851" s="100"/>
      <c r="X851" s="100"/>
      <c r="Y851" s="100"/>
      <c r="Z851" s="100"/>
      <c r="AA851" s="100"/>
      <c r="AB851" s="100"/>
      <c r="AC851" s="100"/>
      <c r="AD851" s="100"/>
      <c r="AF851"/>
      <c r="AG851"/>
      <c r="AH851"/>
      <c r="AI851"/>
      <c r="AJ851"/>
      <c r="AK851">
        <f t="shared" si="317"/>
        <v>0</v>
      </c>
      <c r="AL851">
        <f t="shared" si="318"/>
        <v>0</v>
      </c>
      <c r="AM851">
        <f t="shared" si="340"/>
        <v>0</v>
      </c>
      <c r="AN851">
        <f t="shared" si="319"/>
        <v>0</v>
      </c>
      <c r="AO851">
        <f t="shared" si="320"/>
        <v>0</v>
      </c>
      <c r="AP851">
        <f t="shared" si="321"/>
        <v>0</v>
      </c>
      <c r="AQ851">
        <f t="shared" si="322"/>
        <v>0</v>
      </c>
      <c r="AR851">
        <f t="shared" si="323"/>
        <v>0</v>
      </c>
      <c r="AS851">
        <f t="shared" si="324"/>
        <v>0</v>
      </c>
      <c r="AT851">
        <f t="shared" si="325"/>
        <v>0</v>
      </c>
      <c r="AU851">
        <f t="shared" si="326"/>
        <v>0</v>
      </c>
      <c r="AV851">
        <f t="shared" si="327"/>
        <v>0</v>
      </c>
      <c r="AW851">
        <f t="shared" si="328"/>
        <v>0</v>
      </c>
      <c r="AX851">
        <f t="shared" si="329"/>
        <v>0</v>
      </c>
      <c r="AY851">
        <f t="shared" si="330"/>
        <v>0</v>
      </c>
      <c r="AZ851">
        <f t="shared" si="331"/>
        <v>0</v>
      </c>
      <c r="BA851">
        <f t="shared" si="332"/>
        <v>0</v>
      </c>
      <c r="BB851">
        <f t="shared" si="333"/>
        <v>0</v>
      </c>
      <c r="BC851">
        <f t="shared" si="334"/>
        <v>0</v>
      </c>
      <c r="BD851">
        <f t="shared" si="335"/>
        <v>0</v>
      </c>
      <c r="BE851">
        <f t="shared" si="336"/>
        <v>0</v>
      </c>
      <c r="BF851">
        <f t="shared" si="337"/>
        <v>0</v>
      </c>
      <c r="BG851">
        <f t="shared" si="338"/>
        <v>0</v>
      </c>
      <c r="BH851">
        <f t="shared" si="339"/>
        <v>0</v>
      </c>
    </row>
    <row r="852" spans="1:60" ht="15" customHeight="1">
      <c r="A852" s="206"/>
      <c r="B852" s="206"/>
      <c r="C852" s="1117" t="s">
        <v>5041</v>
      </c>
      <c r="D852" s="1136"/>
      <c r="E852" s="1136"/>
      <c r="F852" s="1118"/>
      <c r="G852" s="100"/>
      <c r="H852" s="100"/>
      <c r="I852" s="100"/>
      <c r="J852" s="100"/>
      <c r="K852" s="100"/>
      <c r="L852" s="100"/>
      <c r="M852" s="100"/>
      <c r="N852" s="100"/>
      <c r="O852" s="100"/>
      <c r="P852" s="100"/>
      <c r="Q852" s="100"/>
      <c r="R852" s="100"/>
      <c r="S852" s="100"/>
      <c r="T852" s="100"/>
      <c r="U852" s="100"/>
      <c r="V852" s="100"/>
      <c r="W852" s="100"/>
      <c r="X852" s="100"/>
      <c r="Y852" s="100"/>
      <c r="Z852" s="100"/>
      <c r="AA852" s="100"/>
      <c r="AB852" s="100"/>
      <c r="AC852" s="100"/>
      <c r="AD852" s="100"/>
      <c r="AF852"/>
      <c r="AG852"/>
      <c r="AH852"/>
      <c r="AI852"/>
      <c r="AJ852"/>
      <c r="AK852">
        <f t="shared" si="317"/>
        <v>0</v>
      </c>
      <c r="AL852">
        <f t="shared" si="318"/>
        <v>0</v>
      </c>
      <c r="AM852">
        <f t="shared" si="340"/>
        <v>0</v>
      </c>
      <c r="AN852">
        <f t="shared" si="319"/>
        <v>0</v>
      </c>
      <c r="AO852">
        <f t="shared" si="320"/>
        <v>0</v>
      </c>
      <c r="AP852">
        <f t="shared" si="321"/>
        <v>0</v>
      </c>
      <c r="AQ852">
        <f t="shared" si="322"/>
        <v>0</v>
      </c>
      <c r="AR852">
        <f t="shared" si="323"/>
        <v>0</v>
      </c>
      <c r="AS852">
        <f t="shared" si="324"/>
        <v>0</v>
      </c>
      <c r="AT852">
        <f t="shared" si="325"/>
        <v>0</v>
      </c>
      <c r="AU852">
        <f t="shared" si="326"/>
        <v>0</v>
      </c>
      <c r="AV852">
        <f t="shared" si="327"/>
        <v>0</v>
      </c>
      <c r="AW852">
        <f t="shared" si="328"/>
        <v>0</v>
      </c>
      <c r="AX852">
        <f t="shared" si="329"/>
        <v>0</v>
      </c>
      <c r="AY852">
        <f t="shared" si="330"/>
        <v>0</v>
      </c>
      <c r="AZ852">
        <f t="shared" si="331"/>
        <v>0</v>
      </c>
      <c r="BA852">
        <f t="shared" si="332"/>
        <v>0</v>
      </c>
      <c r="BB852">
        <f t="shared" si="333"/>
        <v>0</v>
      </c>
      <c r="BC852">
        <f t="shared" si="334"/>
        <v>0</v>
      </c>
      <c r="BD852">
        <f t="shared" si="335"/>
        <v>0</v>
      </c>
      <c r="BE852">
        <f t="shared" si="336"/>
        <v>0</v>
      </c>
      <c r="BF852">
        <f t="shared" si="337"/>
        <v>0</v>
      </c>
      <c r="BG852">
        <f t="shared" si="338"/>
        <v>0</v>
      </c>
      <c r="BH852">
        <f t="shared" si="339"/>
        <v>0</v>
      </c>
    </row>
    <row r="853" spans="1:60" ht="15" customHeight="1">
      <c r="A853" s="206"/>
      <c r="B853" s="201"/>
      <c r="C853" s="1119" t="s">
        <v>5043</v>
      </c>
      <c r="D853" s="1121"/>
      <c r="E853" s="1121"/>
      <c r="F853" s="1120"/>
      <c r="G853" s="100"/>
      <c r="H853" s="100"/>
      <c r="I853" s="100"/>
      <c r="J853" s="100"/>
      <c r="K853" s="100"/>
      <c r="L853" s="100"/>
      <c r="M853" s="100"/>
      <c r="N853" s="100"/>
      <c r="O853" s="100"/>
      <c r="P853" s="100"/>
      <c r="Q853" s="100"/>
      <c r="R853" s="100"/>
      <c r="S853" s="100"/>
      <c r="T853" s="100"/>
      <c r="U853" s="100"/>
      <c r="V853" s="100"/>
      <c r="W853" s="100"/>
      <c r="X853" s="100"/>
      <c r="Y853" s="100"/>
      <c r="Z853" s="100"/>
      <c r="AA853" s="100"/>
      <c r="AB853" s="100"/>
      <c r="AC853" s="100"/>
      <c r="AD853" s="100"/>
      <c r="AF853"/>
      <c r="AG853"/>
      <c r="AH853"/>
      <c r="AI853"/>
      <c r="AJ853"/>
      <c r="AK853">
        <f t="shared" si="317"/>
        <v>0</v>
      </c>
      <c r="AL853">
        <f t="shared" si="318"/>
        <v>0</v>
      </c>
      <c r="AM853">
        <f t="shared" si="340"/>
        <v>0</v>
      </c>
      <c r="AN853">
        <f t="shared" si="319"/>
        <v>0</v>
      </c>
      <c r="AO853">
        <f t="shared" si="320"/>
        <v>0</v>
      </c>
      <c r="AP853">
        <f t="shared" si="321"/>
        <v>0</v>
      </c>
      <c r="AQ853">
        <f t="shared" si="322"/>
        <v>0</v>
      </c>
      <c r="AR853">
        <f t="shared" si="323"/>
        <v>0</v>
      </c>
      <c r="AS853">
        <f t="shared" si="324"/>
        <v>0</v>
      </c>
      <c r="AT853">
        <f t="shared" si="325"/>
        <v>0</v>
      </c>
      <c r="AU853">
        <f t="shared" si="326"/>
        <v>0</v>
      </c>
      <c r="AV853">
        <f t="shared" si="327"/>
        <v>0</v>
      </c>
      <c r="AW853">
        <f t="shared" si="328"/>
        <v>0</v>
      </c>
      <c r="AX853">
        <f t="shared" si="329"/>
        <v>0</v>
      </c>
      <c r="AY853">
        <f t="shared" si="330"/>
        <v>0</v>
      </c>
      <c r="AZ853">
        <f t="shared" si="331"/>
        <v>0</v>
      </c>
      <c r="BA853">
        <f t="shared" si="332"/>
        <v>0</v>
      </c>
      <c r="BB853">
        <f t="shared" si="333"/>
        <v>0</v>
      </c>
      <c r="BC853">
        <f t="shared" si="334"/>
        <v>0</v>
      </c>
      <c r="BD853">
        <f t="shared" si="335"/>
        <v>0</v>
      </c>
      <c r="BE853">
        <f t="shared" si="336"/>
        <v>0</v>
      </c>
      <c r="BF853">
        <f t="shared" si="337"/>
        <v>0</v>
      </c>
      <c r="BG853">
        <f t="shared" si="338"/>
        <v>0</v>
      </c>
      <c r="BH853">
        <f t="shared" si="339"/>
        <v>0</v>
      </c>
    </row>
    <row r="854" spans="1:60" ht="15" customHeight="1">
      <c r="A854" s="206"/>
      <c r="B854" s="201"/>
      <c r="C854" s="1119" t="s">
        <v>5045</v>
      </c>
      <c r="D854" s="1121"/>
      <c r="E854" s="1121"/>
      <c r="F854" s="1120"/>
      <c r="G854" s="100"/>
      <c r="H854" s="100"/>
      <c r="I854" s="100"/>
      <c r="J854" s="100"/>
      <c r="K854" s="100"/>
      <c r="L854" s="100"/>
      <c r="M854" s="100"/>
      <c r="N854" s="100"/>
      <c r="O854" s="100"/>
      <c r="P854" s="100"/>
      <c r="Q854" s="100"/>
      <c r="R854" s="100"/>
      <c r="S854" s="100"/>
      <c r="T854" s="100"/>
      <c r="U854" s="100"/>
      <c r="V854" s="100"/>
      <c r="W854" s="100"/>
      <c r="X854" s="100"/>
      <c r="Y854" s="100"/>
      <c r="Z854" s="100"/>
      <c r="AA854" s="100"/>
      <c r="AB854" s="100"/>
      <c r="AC854" s="100"/>
      <c r="AD854" s="100"/>
      <c r="AF854"/>
      <c r="AG854"/>
      <c r="AH854"/>
      <c r="AI854"/>
      <c r="AJ854"/>
      <c r="AK854">
        <f t="shared" si="317"/>
        <v>0</v>
      </c>
      <c r="AL854">
        <f t="shared" si="318"/>
        <v>0</v>
      </c>
      <c r="AM854">
        <f t="shared" si="340"/>
        <v>0</v>
      </c>
      <c r="AN854">
        <f t="shared" si="319"/>
        <v>0</v>
      </c>
      <c r="AO854">
        <f t="shared" si="320"/>
        <v>0</v>
      </c>
      <c r="AP854">
        <f t="shared" si="321"/>
        <v>0</v>
      </c>
      <c r="AQ854">
        <f t="shared" si="322"/>
        <v>0</v>
      </c>
      <c r="AR854">
        <f t="shared" si="323"/>
        <v>0</v>
      </c>
      <c r="AS854">
        <f t="shared" si="324"/>
        <v>0</v>
      </c>
      <c r="AT854">
        <f t="shared" si="325"/>
        <v>0</v>
      </c>
      <c r="AU854">
        <f t="shared" si="326"/>
        <v>0</v>
      </c>
      <c r="AV854">
        <f t="shared" si="327"/>
        <v>0</v>
      </c>
      <c r="AW854">
        <f t="shared" si="328"/>
        <v>0</v>
      </c>
      <c r="AX854">
        <f t="shared" si="329"/>
        <v>0</v>
      </c>
      <c r="AY854">
        <f t="shared" si="330"/>
        <v>0</v>
      </c>
      <c r="AZ854">
        <f t="shared" si="331"/>
        <v>0</v>
      </c>
      <c r="BA854">
        <f t="shared" si="332"/>
        <v>0</v>
      </c>
      <c r="BB854">
        <f t="shared" si="333"/>
        <v>0</v>
      </c>
      <c r="BC854">
        <f t="shared" si="334"/>
        <v>0</v>
      </c>
      <c r="BD854">
        <f t="shared" si="335"/>
        <v>0</v>
      </c>
      <c r="BE854">
        <f t="shared" si="336"/>
        <v>0</v>
      </c>
      <c r="BF854">
        <f t="shared" si="337"/>
        <v>0</v>
      </c>
      <c r="BG854">
        <f t="shared" si="338"/>
        <v>0</v>
      </c>
      <c r="BH854">
        <f t="shared" si="339"/>
        <v>0</v>
      </c>
    </row>
    <row r="855" spans="1:60" ht="15" customHeight="1">
      <c r="A855" s="206"/>
      <c r="B855" s="201"/>
      <c r="C855" s="1119" t="s">
        <v>5047</v>
      </c>
      <c r="D855" s="1121"/>
      <c r="E855" s="1121"/>
      <c r="F855" s="1120"/>
      <c r="G855" s="100"/>
      <c r="H855" s="100"/>
      <c r="I855" s="100"/>
      <c r="J855" s="100"/>
      <c r="K855" s="100"/>
      <c r="L855" s="100"/>
      <c r="M855" s="100"/>
      <c r="N855" s="100"/>
      <c r="O855" s="100"/>
      <c r="P855" s="100"/>
      <c r="Q855" s="100"/>
      <c r="R855" s="100"/>
      <c r="S855" s="100"/>
      <c r="T855" s="100"/>
      <c r="U855" s="100"/>
      <c r="V855" s="100"/>
      <c r="W855" s="100"/>
      <c r="X855" s="100"/>
      <c r="Y855" s="100"/>
      <c r="Z855" s="100"/>
      <c r="AA855" s="100"/>
      <c r="AB855" s="100"/>
      <c r="AC855" s="100"/>
      <c r="AD855" s="100"/>
      <c r="AF855"/>
      <c r="AG855"/>
      <c r="AH855"/>
      <c r="AI855"/>
      <c r="AJ855"/>
      <c r="AK855">
        <f t="shared" si="317"/>
        <v>0</v>
      </c>
      <c r="AL855">
        <f t="shared" si="318"/>
        <v>0</v>
      </c>
      <c r="AM855">
        <f t="shared" si="340"/>
        <v>0</v>
      </c>
      <c r="AN855">
        <f t="shared" si="319"/>
        <v>0</v>
      </c>
      <c r="AO855">
        <f t="shared" si="320"/>
        <v>0</v>
      </c>
      <c r="AP855">
        <f t="shared" si="321"/>
        <v>0</v>
      </c>
      <c r="AQ855">
        <f t="shared" si="322"/>
        <v>0</v>
      </c>
      <c r="AR855">
        <f t="shared" si="323"/>
        <v>0</v>
      </c>
      <c r="AS855">
        <f t="shared" si="324"/>
        <v>0</v>
      </c>
      <c r="AT855">
        <f t="shared" si="325"/>
        <v>0</v>
      </c>
      <c r="AU855">
        <f t="shared" si="326"/>
        <v>0</v>
      </c>
      <c r="AV855">
        <f t="shared" si="327"/>
        <v>0</v>
      </c>
      <c r="AW855">
        <f t="shared" si="328"/>
        <v>0</v>
      </c>
      <c r="AX855">
        <f t="shared" si="329"/>
        <v>0</v>
      </c>
      <c r="AY855">
        <f t="shared" si="330"/>
        <v>0</v>
      </c>
      <c r="AZ855">
        <f t="shared" si="331"/>
        <v>0</v>
      </c>
      <c r="BA855">
        <f t="shared" si="332"/>
        <v>0</v>
      </c>
      <c r="BB855">
        <f t="shared" si="333"/>
        <v>0</v>
      </c>
      <c r="BC855">
        <f t="shared" si="334"/>
        <v>0</v>
      </c>
      <c r="BD855">
        <f t="shared" si="335"/>
        <v>0</v>
      </c>
      <c r="BE855">
        <f t="shared" si="336"/>
        <v>0</v>
      </c>
      <c r="BF855">
        <f t="shared" si="337"/>
        <v>0</v>
      </c>
      <c r="BG855">
        <f t="shared" si="338"/>
        <v>0</v>
      </c>
      <c r="BH855">
        <f t="shared" si="339"/>
        <v>0</v>
      </c>
    </row>
    <row r="856" spans="1:60" ht="15" customHeight="1">
      <c r="A856" s="206"/>
      <c r="B856" s="206"/>
      <c r="C856" s="1117" t="s">
        <v>5048</v>
      </c>
      <c r="D856" s="1136"/>
      <c r="E856" s="1136"/>
      <c r="F856" s="1118"/>
      <c r="G856" s="100"/>
      <c r="H856" s="100"/>
      <c r="I856" s="100"/>
      <c r="J856" s="100"/>
      <c r="K856" s="100"/>
      <c r="L856" s="100"/>
      <c r="M856" s="100"/>
      <c r="N856" s="100"/>
      <c r="O856" s="100"/>
      <c r="P856" s="100"/>
      <c r="Q856" s="100"/>
      <c r="R856" s="100"/>
      <c r="S856" s="100"/>
      <c r="T856" s="100"/>
      <c r="U856" s="100"/>
      <c r="V856" s="100"/>
      <c r="W856" s="100"/>
      <c r="X856" s="100"/>
      <c r="Y856" s="100"/>
      <c r="Z856" s="100"/>
      <c r="AA856" s="100"/>
      <c r="AB856" s="100"/>
      <c r="AC856" s="100"/>
      <c r="AD856" s="100"/>
      <c r="AF856"/>
      <c r="AG856"/>
      <c r="AH856"/>
      <c r="AI856"/>
      <c r="AJ856"/>
      <c r="AK856">
        <f t="shared" ref="AK856:AK892" si="341">COUNTIF(H856:I856,"NS")</f>
        <v>0</v>
      </c>
      <c r="AL856">
        <f t="shared" ref="AL856:AL892" si="342">SUM(H856:I856)</f>
        <v>0</v>
      </c>
      <c r="AM856">
        <f t="shared" si="340"/>
        <v>0</v>
      </c>
      <c r="AN856">
        <f t="shared" ref="AN856:AN892" si="343">COUNTIF(K856:L856,"NS")</f>
        <v>0</v>
      </c>
      <c r="AO856">
        <f t="shared" ref="AO856:AO892" si="344">SUM(K856:L856)</f>
        <v>0</v>
      </c>
      <c r="AP856">
        <f t="shared" ref="AP856:AP892" si="345">IF(COUNTIF(J856:L856,"NA")=3,0,IF(COUNTA(J856:L856)=0,0,IF(OR(AND(J856=0,AN856&gt;0),AND(J856="ns",AO856&gt;0),AND(J856="ns",AN856=0,AO856=0)),1,IF(OR(AND(J856&gt;0,AN856=2),AND(J856="ns",AN856=2),AND(J856="ns",AO856=0,AN856&gt;0),J856=AO856),0,1))))</f>
        <v>0</v>
      </c>
      <c r="AQ856">
        <f t="shared" ref="AQ856:AQ892" si="346">COUNTIF(N856:O856,"NS")</f>
        <v>0</v>
      </c>
      <c r="AR856">
        <f t="shared" ref="AR856:AR892" si="347">SUM(N856:O856)</f>
        <v>0</v>
      </c>
      <c r="AS856">
        <f t="shared" ref="AS856:AS892" si="348">IF(COUNTIF(M856:O856,"NA")=3,0,IF(COUNTA(M856:O856)=0,0,IF(OR(AND(M856=0,AQ856&gt;0),AND(M856="ns",AR856&gt;0),AND(M856="ns",AQ856=0,AR856=0)),1,IF(OR(AND(M856&gt;0,AQ856=2),AND(M856="ns",AQ856=2),AND(M856="ns",AR856=0,AQ856&gt;0),M856=AR856),0,1))))</f>
        <v>0</v>
      </c>
      <c r="AT856">
        <f t="shared" ref="AT856:AT892" si="349">COUNTIF(Q856:R856,"NS")</f>
        <v>0</v>
      </c>
      <c r="AU856">
        <f t="shared" ref="AU856:AU892" si="350">SUM(Q856:R856)</f>
        <v>0</v>
      </c>
      <c r="AV856">
        <f t="shared" ref="AV856:AV892" si="351">IF(COUNTIF(P856:R856,"NA")=3,0,IF(COUNTA(P856:R856)=0,0,IF(OR(AND(P856=0,AT856&gt;0),AND(P856="ns",AU856&gt;0),AND(P856="ns",AT856=0,AU856=0)),1,IF(OR(AND(P856&gt;0,AT856=2),AND(P856="ns",AT856=2),AND(P856="ns",AU856=0,AT856&gt;0),P856=AU856),0,1))))</f>
        <v>0</v>
      </c>
      <c r="AW856">
        <f t="shared" ref="AW856:AW892" si="352">COUNTIF(T856:U856,"NS")</f>
        <v>0</v>
      </c>
      <c r="AX856">
        <f t="shared" ref="AX856:AX892" si="353">SUM(T856:U856)</f>
        <v>0</v>
      </c>
      <c r="AY856">
        <f t="shared" ref="AY856:AY892" si="354">IF(COUNTIF(S856:U856,"NA")=3,0,IF(COUNTA(S856:U856)=0,0,IF(OR(AND(S856=0,AW856&gt;0),AND(S856="ns",AX856&gt;0),AND(S856="ns",AW856=0,AX856=0)),1,IF(OR(AND(S856&gt;0,AW856=2),AND(S856="ns",AW856=2),AND(S856="ns",AX856=0,AW856&gt;0),S856=AX856),0,1))))</f>
        <v>0</v>
      </c>
      <c r="AZ856">
        <f t="shared" ref="AZ856:AZ892" si="355">COUNTIF(W856:X856,"NS")</f>
        <v>0</v>
      </c>
      <c r="BA856">
        <f t="shared" ref="BA856:BA892" si="356">SUM(W856:X856)</f>
        <v>0</v>
      </c>
      <c r="BB856">
        <f t="shared" ref="BB856:BB892" si="357">IF(COUNTIF(V856:X856,"NA")=3,0,IF(COUNTA(V856:X856)=0,0,IF(OR(AND(V856=0,AZ856&gt;0),AND(V856="ns",BA856&gt;0),AND(V856="ns",AZ856=0,BA856=0)),1,IF(OR(AND(V856&gt;0,AZ856=2),AND(V856="ns",AZ856=2),AND(V856="ns",BA856=0,AZ856&gt;0),V856=BA856),0,1))))</f>
        <v>0</v>
      </c>
      <c r="BC856">
        <f t="shared" ref="BC856:BC892" si="358">COUNTIF(Z856:AA856,"NS")</f>
        <v>0</v>
      </c>
      <c r="BD856">
        <f t="shared" ref="BD856:BD892" si="359">SUM(Z856:AA856)</f>
        <v>0</v>
      </c>
      <c r="BE856">
        <f t="shared" ref="BE856:BE892" si="360">IF(COUNTIF(Y856:AA856,"NA")=3,0,IF(COUNTA(Y856:AA856)=0,0,IF(OR(AND(Y856=0,BC856&gt;0),AND(Y856="ns",BD856&gt;0),AND(Y856="ns",BC856=0,BD856=0)),1,IF(OR(AND(Y856&gt;0,BC856=2),AND(Y856="ns",BC856=2),AND(Y856="ns",BD856=0,BC856&gt;0),Y856=BD856),0,1))))</f>
        <v>0</v>
      </c>
      <c r="BF856">
        <f t="shared" ref="BF856:BF892" si="361">COUNTIF(AC856:AD856,"NS")</f>
        <v>0</v>
      </c>
      <c r="BG856">
        <f t="shared" ref="BG856:BG892" si="362">SUM(AC856:AD856)</f>
        <v>0</v>
      </c>
      <c r="BH856">
        <f t="shared" ref="BH856:BH892" si="363">IF(COUNTIF(AB856:AD856,"NA")=3,0,IF(COUNTA(AB856:AD856)=0,0,IF(OR(AND(AB856=0,BF856&gt;0),AND(AB856="ns",BG856&gt;0),AND(AB856="ns",BF856=0,BG856=0)),1,IF(OR(AND(AB856&gt;0,BF856=2),AND(AB856="ns",BF856=2),AND(AB856="ns",BG856=0,BF856&gt;0),AB856=BG856),0,1))))</f>
        <v>0</v>
      </c>
    </row>
    <row r="857" spans="1:60" ht="15" customHeight="1">
      <c r="A857" s="206"/>
      <c r="B857" s="206"/>
      <c r="C857" s="1117" t="s">
        <v>5050</v>
      </c>
      <c r="D857" s="1136"/>
      <c r="E857" s="1136"/>
      <c r="F857" s="1118"/>
      <c r="G857" s="100"/>
      <c r="H857" s="100"/>
      <c r="I857" s="100"/>
      <c r="J857" s="100"/>
      <c r="K857" s="100"/>
      <c r="L857" s="100"/>
      <c r="M857" s="100"/>
      <c r="N857" s="100"/>
      <c r="O857" s="100"/>
      <c r="P857" s="100"/>
      <c r="Q857" s="100"/>
      <c r="R857" s="100"/>
      <c r="S857" s="100"/>
      <c r="T857" s="100"/>
      <c r="U857" s="100"/>
      <c r="V857" s="100"/>
      <c r="W857" s="100"/>
      <c r="X857" s="100"/>
      <c r="Y857" s="100"/>
      <c r="Z857" s="100"/>
      <c r="AA857" s="100"/>
      <c r="AB857" s="100"/>
      <c r="AC857" s="100"/>
      <c r="AD857" s="100"/>
      <c r="AF857"/>
      <c r="AG857"/>
      <c r="AH857"/>
      <c r="AI857"/>
      <c r="AJ857"/>
      <c r="AK857">
        <f t="shared" si="341"/>
        <v>0</v>
      </c>
      <c r="AL857">
        <f t="shared" si="342"/>
        <v>0</v>
      </c>
      <c r="AM857">
        <f t="shared" ref="AM857:AM892" si="364">IF(COUNTIF(G857:I857,"NA")=3,0,IF(COUNTA(G857:I857)=0,0,IF(OR(AND(G857=0,AK857&gt;0),AND(G857="ns",AL857&gt;0),AND(G857="ns",AK857=0,AL857=0)),1,IF(OR(AND(G857&gt;0,AK857=2),AND(G857="ns",AK857=2),AND(G857="ns",AL857=0,AK857&gt;0),G857=AL857),0,1))))</f>
        <v>0</v>
      </c>
      <c r="AN857">
        <f t="shared" si="343"/>
        <v>0</v>
      </c>
      <c r="AO857">
        <f t="shared" si="344"/>
        <v>0</v>
      </c>
      <c r="AP857">
        <f t="shared" si="345"/>
        <v>0</v>
      </c>
      <c r="AQ857">
        <f t="shared" si="346"/>
        <v>0</v>
      </c>
      <c r="AR857">
        <f t="shared" si="347"/>
        <v>0</v>
      </c>
      <c r="AS857">
        <f t="shared" si="348"/>
        <v>0</v>
      </c>
      <c r="AT857">
        <f t="shared" si="349"/>
        <v>0</v>
      </c>
      <c r="AU857">
        <f t="shared" si="350"/>
        <v>0</v>
      </c>
      <c r="AV857">
        <f t="shared" si="351"/>
        <v>0</v>
      </c>
      <c r="AW857">
        <f t="shared" si="352"/>
        <v>0</v>
      </c>
      <c r="AX857">
        <f t="shared" si="353"/>
        <v>0</v>
      </c>
      <c r="AY857">
        <f t="shared" si="354"/>
        <v>0</v>
      </c>
      <c r="AZ857">
        <f t="shared" si="355"/>
        <v>0</v>
      </c>
      <c r="BA857">
        <f t="shared" si="356"/>
        <v>0</v>
      </c>
      <c r="BB857">
        <f t="shared" si="357"/>
        <v>0</v>
      </c>
      <c r="BC857">
        <f t="shared" si="358"/>
        <v>0</v>
      </c>
      <c r="BD857">
        <f t="shared" si="359"/>
        <v>0</v>
      </c>
      <c r="BE857">
        <f t="shared" si="360"/>
        <v>0</v>
      </c>
      <c r="BF857">
        <f t="shared" si="361"/>
        <v>0</v>
      </c>
      <c r="BG857">
        <f t="shared" si="362"/>
        <v>0</v>
      </c>
      <c r="BH857">
        <f t="shared" si="363"/>
        <v>0</v>
      </c>
    </row>
    <row r="858" spans="1:60" ht="15" customHeight="1">
      <c r="A858" s="206"/>
      <c r="B858" s="206"/>
      <c r="C858" s="1117" t="s">
        <v>5052</v>
      </c>
      <c r="D858" s="1136"/>
      <c r="E858" s="1136"/>
      <c r="F858" s="1118"/>
      <c r="G858" s="100"/>
      <c r="H858" s="100"/>
      <c r="I858" s="100"/>
      <c r="J858" s="100"/>
      <c r="K858" s="100"/>
      <c r="L858" s="100"/>
      <c r="M858" s="100"/>
      <c r="N858" s="100"/>
      <c r="O858" s="100"/>
      <c r="P858" s="100"/>
      <c r="Q858" s="100"/>
      <c r="R858" s="100"/>
      <c r="S858" s="100"/>
      <c r="T858" s="100"/>
      <c r="U858" s="100"/>
      <c r="V858" s="100"/>
      <c r="W858" s="100"/>
      <c r="X858" s="100"/>
      <c r="Y858" s="100"/>
      <c r="Z858" s="100"/>
      <c r="AA858" s="100"/>
      <c r="AB858" s="100"/>
      <c r="AC858" s="100"/>
      <c r="AD858" s="100"/>
      <c r="AF858"/>
      <c r="AG858"/>
      <c r="AH858"/>
      <c r="AI858"/>
      <c r="AJ858"/>
      <c r="AK858">
        <f t="shared" si="341"/>
        <v>0</v>
      </c>
      <c r="AL858">
        <f t="shared" si="342"/>
        <v>0</v>
      </c>
      <c r="AM858">
        <f t="shared" si="364"/>
        <v>0</v>
      </c>
      <c r="AN858">
        <f t="shared" si="343"/>
        <v>0</v>
      </c>
      <c r="AO858">
        <f t="shared" si="344"/>
        <v>0</v>
      </c>
      <c r="AP858">
        <f t="shared" si="345"/>
        <v>0</v>
      </c>
      <c r="AQ858">
        <f t="shared" si="346"/>
        <v>0</v>
      </c>
      <c r="AR858">
        <f t="shared" si="347"/>
        <v>0</v>
      </c>
      <c r="AS858">
        <f t="shared" si="348"/>
        <v>0</v>
      </c>
      <c r="AT858">
        <f t="shared" si="349"/>
        <v>0</v>
      </c>
      <c r="AU858">
        <f t="shared" si="350"/>
        <v>0</v>
      </c>
      <c r="AV858">
        <f t="shared" si="351"/>
        <v>0</v>
      </c>
      <c r="AW858">
        <f t="shared" si="352"/>
        <v>0</v>
      </c>
      <c r="AX858">
        <f t="shared" si="353"/>
        <v>0</v>
      </c>
      <c r="AY858">
        <f t="shared" si="354"/>
        <v>0</v>
      </c>
      <c r="AZ858">
        <f t="shared" si="355"/>
        <v>0</v>
      </c>
      <c r="BA858">
        <f t="shared" si="356"/>
        <v>0</v>
      </c>
      <c r="BB858">
        <f t="shared" si="357"/>
        <v>0</v>
      </c>
      <c r="BC858">
        <f t="shared" si="358"/>
        <v>0</v>
      </c>
      <c r="BD858">
        <f t="shared" si="359"/>
        <v>0</v>
      </c>
      <c r="BE858">
        <f t="shared" si="360"/>
        <v>0</v>
      </c>
      <c r="BF858">
        <f t="shared" si="361"/>
        <v>0</v>
      </c>
      <c r="BG858">
        <f t="shared" si="362"/>
        <v>0</v>
      </c>
      <c r="BH858">
        <f t="shared" si="363"/>
        <v>0</v>
      </c>
    </row>
    <row r="859" spans="1:60" ht="15" customHeight="1">
      <c r="A859" s="206"/>
      <c r="B859" s="206"/>
      <c r="C859" s="1117" t="s">
        <v>5056</v>
      </c>
      <c r="D859" s="1136"/>
      <c r="E859" s="1136"/>
      <c r="F859" s="1118"/>
      <c r="G859" s="100"/>
      <c r="H859" s="100"/>
      <c r="I859" s="100"/>
      <c r="J859" s="100"/>
      <c r="K859" s="100"/>
      <c r="L859" s="100"/>
      <c r="M859" s="100"/>
      <c r="N859" s="100"/>
      <c r="O859" s="100"/>
      <c r="P859" s="100"/>
      <c r="Q859" s="100"/>
      <c r="R859" s="100"/>
      <c r="S859" s="100"/>
      <c r="T859" s="100"/>
      <c r="U859" s="100"/>
      <c r="V859" s="100"/>
      <c r="W859" s="100"/>
      <c r="X859" s="100"/>
      <c r="Y859" s="100"/>
      <c r="Z859" s="100"/>
      <c r="AA859" s="100"/>
      <c r="AB859" s="100"/>
      <c r="AC859" s="100"/>
      <c r="AD859" s="100"/>
      <c r="AF859"/>
      <c r="AG859"/>
      <c r="AH859"/>
      <c r="AI859"/>
      <c r="AJ859"/>
      <c r="AK859">
        <f t="shared" si="341"/>
        <v>0</v>
      </c>
      <c r="AL859">
        <f t="shared" si="342"/>
        <v>0</v>
      </c>
      <c r="AM859">
        <f t="shared" si="364"/>
        <v>0</v>
      </c>
      <c r="AN859">
        <f t="shared" si="343"/>
        <v>0</v>
      </c>
      <c r="AO859">
        <f t="shared" si="344"/>
        <v>0</v>
      </c>
      <c r="AP859">
        <f t="shared" si="345"/>
        <v>0</v>
      </c>
      <c r="AQ859">
        <f t="shared" si="346"/>
        <v>0</v>
      </c>
      <c r="AR859">
        <f t="shared" si="347"/>
        <v>0</v>
      </c>
      <c r="AS859">
        <f t="shared" si="348"/>
        <v>0</v>
      </c>
      <c r="AT859">
        <f t="shared" si="349"/>
        <v>0</v>
      </c>
      <c r="AU859">
        <f t="shared" si="350"/>
        <v>0</v>
      </c>
      <c r="AV859">
        <f t="shared" si="351"/>
        <v>0</v>
      </c>
      <c r="AW859">
        <f t="shared" si="352"/>
        <v>0</v>
      </c>
      <c r="AX859">
        <f t="shared" si="353"/>
        <v>0</v>
      </c>
      <c r="AY859">
        <f t="shared" si="354"/>
        <v>0</v>
      </c>
      <c r="AZ859">
        <f t="shared" si="355"/>
        <v>0</v>
      </c>
      <c r="BA859">
        <f t="shared" si="356"/>
        <v>0</v>
      </c>
      <c r="BB859">
        <f t="shared" si="357"/>
        <v>0</v>
      </c>
      <c r="BC859">
        <f t="shared" si="358"/>
        <v>0</v>
      </c>
      <c r="BD859">
        <f t="shared" si="359"/>
        <v>0</v>
      </c>
      <c r="BE859">
        <f t="shared" si="360"/>
        <v>0</v>
      </c>
      <c r="BF859">
        <f t="shared" si="361"/>
        <v>0</v>
      </c>
      <c r="BG859">
        <f t="shared" si="362"/>
        <v>0</v>
      </c>
      <c r="BH859">
        <f t="shared" si="363"/>
        <v>0</v>
      </c>
    </row>
    <row r="860" spans="1:60" ht="15" customHeight="1">
      <c r="A860" s="206"/>
      <c r="B860" s="206"/>
      <c r="C860" s="1117" t="s">
        <v>5058</v>
      </c>
      <c r="D860" s="1136"/>
      <c r="E860" s="1136"/>
      <c r="F860" s="1118"/>
      <c r="G860" s="100"/>
      <c r="H860" s="100"/>
      <c r="I860" s="100"/>
      <c r="J860" s="100"/>
      <c r="K860" s="100"/>
      <c r="L860" s="100"/>
      <c r="M860" s="100"/>
      <c r="N860" s="100"/>
      <c r="O860" s="100"/>
      <c r="P860" s="100"/>
      <c r="Q860" s="100"/>
      <c r="R860" s="100"/>
      <c r="S860" s="100"/>
      <c r="T860" s="100"/>
      <c r="U860" s="100"/>
      <c r="V860" s="100"/>
      <c r="W860" s="100"/>
      <c r="X860" s="100"/>
      <c r="Y860" s="100"/>
      <c r="Z860" s="100"/>
      <c r="AA860" s="100"/>
      <c r="AB860" s="100"/>
      <c r="AC860" s="100"/>
      <c r="AD860" s="100"/>
      <c r="AF860"/>
      <c r="AG860"/>
      <c r="AH860"/>
      <c r="AI860"/>
      <c r="AJ860"/>
      <c r="AK860">
        <f t="shared" si="341"/>
        <v>0</v>
      </c>
      <c r="AL860">
        <f t="shared" si="342"/>
        <v>0</v>
      </c>
      <c r="AM860">
        <f t="shared" si="364"/>
        <v>0</v>
      </c>
      <c r="AN860">
        <f t="shared" si="343"/>
        <v>0</v>
      </c>
      <c r="AO860">
        <f t="shared" si="344"/>
        <v>0</v>
      </c>
      <c r="AP860">
        <f t="shared" si="345"/>
        <v>0</v>
      </c>
      <c r="AQ860">
        <f t="shared" si="346"/>
        <v>0</v>
      </c>
      <c r="AR860">
        <f t="shared" si="347"/>
        <v>0</v>
      </c>
      <c r="AS860">
        <f t="shared" si="348"/>
        <v>0</v>
      </c>
      <c r="AT860">
        <f t="shared" si="349"/>
        <v>0</v>
      </c>
      <c r="AU860">
        <f t="shared" si="350"/>
        <v>0</v>
      </c>
      <c r="AV860">
        <f t="shared" si="351"/>
        <v>0</v>
      </c>
      <c r="AW860">
        <f t="shared" si="352"/>
        <v>0</v>
      </c>
      <c r="AX860">
        <f t="shared" si="353"/>
        <v>0</v>
      </c>
      <c r="AY860">
        <f t="shared" si="354"/>
        <v>0</v>
      </c>
      <c r="AZ860">
        <f t="shared" si="355"/>
        <v>0</v>
      </c>
      <c r="BA860">
        <f t="shared" si="356"/>
        <v>0</v>
      </c>
      <c r="BB860">
        <f t="shared" si="357"/>
        <v>0</v>
      </c>
      <c r="BC860">
        <f t="shared" si="358"/>
        <v>0</v>
      </c>
      <c r="BD860">
        <f t="shared" si="359"/>
        <v>0</v>
      </c>
      <c r="BE860">
        <f t="shared" si="360"/>
        <v>0</v>
      </c>
      <c r="BF860">
        <f t="shared" si="361"/>
        <v>0</v>
      </c>
      <c r="BG860">
        <f t="shared" si="362"/>
        <v>0</v>
      </c>
      <c r="BH860">
        <f t="shared" si="363"/>
        <v>0</v>
      </c>
    </row>
    <row r="861" spans="1:60" ht="15" customHeight="1">
      <c r="A861" s="206"/>
      <c r="B861" s="206"/>
      <c r="C861" s="1117" t="s">
        <v>5060</v>
      </c>
      <c r="D861" s="1136"/>
      <c r="E861" s="1136"/>
      <c r="F861" s="1118"/>
      <c r="G861" s="100"/>
      <c r="H861" s="100"/>
      <c r="I861" s="100"/>
      <c r="J861" s="100"/>
      <c r="K861" s="100"/>
      <c r="L861" s="100"/>
      <c r="M861" s="100"/>
      <c r="N861" s="100"/>
      <c r="O861" s="100"/>
      <c r="P861" s="100"/>
      <c r="Q861" s="100"/>
      <c r="R861" s="100"/>
      <c r="S861" s="100"/>
      <c r="T861" s="100"/>
      <c r="U861" s="100"/>
      <c r="V861" s="100"/>
      <c r="W861" s="100"/>
      <c r="X861" s="100"/>
      <c r="Y861" s="100"/>
      <c r="Z861" s="100"/>
      <c r="AA861" s="100"/>
      <c r="AB861" s="100"/>
      <c r="AC861" s="100"/>
      <c r="AD861" s="100"/>
      <c r="AF861"/>
      <c r="AG861"/>
      <c r="AH861"/>
      <c r="AI861"/>
      <c r="AJ861"/>
      <c r="AK861">
        <f t="shared" si="341"/>
        <v>0</v>
      </c>
      <c r="AL861">
        <f t="shared" si="342"/>
        <v>0</v>
      </c>
      <c r="AM861">
        <f t="shared" si="364"/>
        <v>0</v>
      </c>
      <c r="AN861">
        <f t="shared" si="343"/>
        <v>0</v>
      </c>
      <c r="AO861">
        <f t="shared" si="344"/>
        <v>0</v>
      </c>
      <c r="AP861">
        <f t="shared" si="345"/>
        <v>0</v>
      </c>
      <c r="AQ861">
        <f t="shared" si="346"/>
        <v>0</v>
      </c>
      <c r="AR861">
        <f t="shared" si="347"/>
        <v>0</v>
      </c>
      <c r="AS861">
        <f t="shared" si="348"/>
        <v>0</v>
      </c>
      <c r="AT861">
        <f t="shared" si="349"/>
        <v>0</v>
      </c>
      <c r="AU861">
        <f t="shared" si="350"/>
        <v>0</v>
      </c>
      <c r="AV861">
        <f t="shared" si="351"/>
        <v>0</v>
      </c>
      <c r="AW861">
        <f t="shared" si="352"/>
        <v>0</v>
      </c>
      <c r="AX861">
        <f t="shared" si="353"/>
        <v>0</v>
      </c>
      <c r="AY861">
        <f t="shared" si="354"/>
        <v>0</v>
      </c>
      <c r="AZ861">
        <f t="shared" si="355"/>
        <v>0</v>
      </c>
      <c r="BA861">
        <f t="shared" si="356"/>
        <v>0</v>
      </c>
      <c r="BB861">
        <f t="shared" si="357"/>
        <v>0</v>
      </c>
      <c r="BC861">
        <f t="shared" si="358"/>
        <v>0</v>
      </c>
      <c r="BD861">
        <f t="shared" si="359"/>
        <v>0</v>
      </c>
      <c r="BE861">
        <f t="shared" si="360"/>
        <v>0</v>
      </c>
      <c r="BF861">
        <f t="shared" si="361"/>
        <v>0</v>
      </c>
      <c r="BG861">
        <f t="shared" si="362"/>
        <v>0</v>
      </c>
      <c r="BH861">
        <f t="shared" si="363"/>
        <v>0</v>
      </c>
    </row>
    <row r="862" spans="1:60" ht="15" customHeight="1">
      <c r="A862" s="206"/>
      <c r="B862" s="206"/>
      <c r="C862" s="1117" t="s">
        <v>5062</v>
      </c>
      <c r="D862" s="1136"/>
      <c r="E862" s="1136"/>
      <c r="F862" s="1118"/>
      <c r="G862" s="100"/>
      <c r="H862" s="100"/>
      <c r="I862" s="100"/>
      <c r="J862" s="100"/>
      <c r="K862" s="100"/>
      <c r="L862" s="100"/>
      <c r="M862" s="100"/>
      <c r="N862" s="100"/>
      <c r="O862" s="100"/>
      <c r="P862" s="100"/>
      <c r="Q862" s="100"/>
      <c r="R862" s="100"/>
      <c r="S862" s="100"/>
      <c r="T862" s="100"/>
      <c r="U862" s="100"/>
      <c r="V862" s="100"/>
      <c r="W862" s="100"/>
      <c r="X862" s="100"/>
      <c r="Y862" s="100"/>
      <c r="Z862" s="100"/>
      <c r="AA862" s="100"/>
      <c r="AB862" s="100"/>
      <c r="AC862" s="100"/>
      <c r="AD862" s="100"/>
      <c r="AF862"/>
      <c r="AG862"/>
      <c r="AH862"/>
      <c r="AI862"/>
      <c r="AJ862"/>
      <c r="AK862">
        <f t="shared" si="341"/>
        <v>0</v>
      </c>
      <c r="AL862">
        <f t="shared" si="342"/>
        <v>0</v>
      </c>
      <c r="AM862">
        <f t="shared" si="364"/>
        <v>0</v>
      </c>
      <c r="AN862">
        <f t="shared" si="343"/>
        <v>0</v>
      </c>
      <c r="AO862">
        <f t="shared" si="344"/>
        <v>0</v>
      </c>
      <c r="AP862">
        <f t="shared" si="345"/>
        <v>0</v>
      </c>
      <c r="AQ862">
        <f t="shared" si="346"/>
        <v>0</v>
      </c>
      <c r="AR862">
        <f t="shared" si="347"/>
        <v>0</v>
      </c>
      <c r="AS862">
        <f t="shared" si="348"/>
        <v>0</v>
      </c>
      <c r="AT862">
        <f t="shared" si="349"/>
        <v>0</v>
      </c>
      <c r="AU862">
        <f t="shared" si="350"/>
        <v>0</v>
      </c>
      <c r="AV862">
        <f t="shared" si="351"/>
        <v>0</v>
      </c>
      <c r="AW862">
        <f t="shared" si="352"/>
        <v>0</v>
      </c>
      <c r="AX862">
        <f t="shared" si="353"/>
        <v>0</v>
      </c>
      <c r="AY862">
        <f t="shared" si="354"/>
        <v>0</v>
      </c>
      <c r="AZ862">
        <f t="shared" si="355"/>
        <v>0</v>
      </c>
      <c r="BA862">
        <f t="shared" si="356"/>
        <v>0</v>
      </c>
      <c r="BB862">
        <f t="shared" si="357"/>
        <v>0</v>
      </c>
      <c r="BC862">
        <f t="shared" si="358"/>
        <v>0</v>
      </c>
      <c r="BD862">
        <f t="shared" si="359"/>
        <v>0</v>
      </c>
      <c r="BE862">
        <f t="shared" si="360"/>
        <v>0</v>
      </c>
      <c r="BF862">
        <f t="shared" si="361"/>
        <v>0</v>
      </c>
      <c r="BG862">
        <f t="shared" si="362"/>
        <v>0</v>
      </c>
      <c r="BH862">
        <f t="shared" si="363"/>
        <v>0</v>
      </c>
    </row>
    <row r="863" spans="1:60" ht="15" customHeight="1">
      <c r="A863" s="206"/>
      <c r="B863" s="206"/>
      <c r="C863" s="1117" t="s">
        <v>5064</v>
      </c>
      <c r="D863" s="1136"/>
      <c r="E863" s="1136"/>
      <c r="F863" s="1118"/>
      <c r="G863" s="100"/>
      <c r="H863" s="100"/>
      <c r="I863" s="100"/>
      <c r="J863" s="100"/>
      <c r="K863" s="100"/>
      <c r="L863" s="100"/>
      <c r="M863" s="100"/>
      <c r="N863" s="100"/>
      <c r="O863" s="100"/>
      <c r="P863" s="100"/>
      <c r="Q863" s="100"/>
      <c r="R863" s="100"/>
      <c r="S863" s="100"/>
      <c r="T863" s="100"/>
      <c r="U863" s="100"/>
      <c r="V863" s="100"/>
      <c r="W863" s="100"/>
      <c r="X863" s="100"/>
      <c r="Y863" s="100"/>
      <c r="Z863" s="100"/>
      <c r="AA863" s="100"/>
      <c r="AB863" s="100"/>
      <c r="AC863" s="100"/>
      <c r="AD863" s="100"/>
      <c r="AF863"/>
      <c r="AG863"/>
      <c r="AH863"/>
      <c r="AI863"/>
      <c r="AJ863"/>
      <c r="AK863">
        <f t="shared" si="341"/>
        <v>0</v>
      </c>
      <c r="AL863">
        <f t="shared" si="342"/>
        <v>0</v>
      </c>
      <c r="AM863">
        <f t="shared" si="364"/>
        <v>0</v>
      </c>
      <c r="AN863">
        <f t="shared" si="343"/>
        <v>0</v>
      </c>
      <c r="AO863">
        <f t="shared" si="344"/>
        <v>0</v>
      </c>
      <c r="AP863">
        <f t="shared" si="345"/>
        <v>0</v>
      </c>
      <c r="AQ863">
        <f t="shared" si="346"/>
        <v>0</v>
      </c>
      <c r="AR863">
        <f t="shared" si="347"/>
        <v>0</v>
      </c>
      <c r="AS863">
        <f t="shared" si="348"/>
        <v>0</v>
      </c>
      <c r="AT863">
        <f t="shared" si="349"/>
        <v>0</v>
      </c>
      <c r="AU863">
        <f t="shared" si="350"/>
        <v>0</v>
      </c>
      <c r="AV863">
        <f t="shared" si="351"/>
        <v>0</v>
      </c>
      <c r="AW863">
        <f t="shared" si="352"/>
        <v>0</v>
      </c>
      <c r="AX863">
        <f t="shared" si="353"/>
        <v>0</v>
      </c>
      <c r="AY863">
        <f t="shared" si="354"/>
        <v>0</v>
      </c>
      <c r="AZ863">
        <f t="shared" si="355"/>
        <v>0</v>
      </c>
      <c r="BA863">
        <f t="shared" si="356"/>
        <v>0</v>
      </c>
      <c r="BB863">
        <f t="shared" si="357"/>
        <v>0</v>
      </c>
      <c r="BC863">
        <f t="shared" si="358"/>
        <v>0</v>
      </c>
      <c r="BD863">
        <f t="shared" si="359"/>
        <v>0</v>
      </c>
      <c r="BE863">
        <f t="shared" si="360"/>
        <v>0</v>
      </c>
      <c r="BF863">
        <f t="shared" si="361"/>
        <v>0</v>
      </c>
      <c r="BG863">
        <f t="shared" si="362"/>
        <v>0</v>
      </c>
      <c r="BH863">
        <f t="shared" si="363"/>
        <v>0</v>
      </c>
    </row>
    <row r="864" spans="1:60" ht="15" customHeight="1">
      <c r="A864" s="206"/>
      <c r="B864" s="201"/>
      <c r="C864" s="1119" t="s">
        <v>5066</v>
      </c>
      <c r="D864" s="1121"/>
      <c r="E864" s="1121"/>
      <c r="F864" s="1120"/>
      <c r="G864" s="100"/>
      <c r="H864" s="100"/>
      <c r="I864" s="100"/>
      <c r="J864" s="100"/>
      <c r="K864" s="100"/>
      <c r="L864" s="100"/>
      <c r="M864" s="100"/>
      <c r="N864" s="100"/>
      <c r="O864" s="100"/>
      <c r="P864" s="100"/>
      <c r="Q864" s="100"/>
      <c r="R864" s="100"/>
      <c r="S864" s="100"/>
      <c r="T864" s="100"/>
      <c r="U864" s="100"/>
      <c r="V864" s="100"/>
      <c r="W864" s="100"/>
      <c r="X864" s="100"/>
      <c r="Y864" s="100"/>
      <c r="Z864" s="100"/>
      <c r="AA864" s="100"/>
      <c r="AB864" s="100"/>
      <c r="AC864" s="100"/>
      <c r="AD864" s="100"/>
      <c r="AF864"/>
      <c r="AG864"/>
      <c r="AH864"/>
      <c r="AI864"/>
      <c r="AJ864"/>
      <c r="AK864">
        <f t="shared" si="341"/>
        <v>0</v>
      </c>
      <c r="AL864">
        <f t="shared" si="342"/>
        <v>0</v>
      </c>
      <c r="AM864">
        <f t="shared" si="364"/>
        <v>0</v>
      </c>
      <c r="AN864">
        <f t="shared" si="343"/>
        <v>0</v>
      </c>
      <c r="AO864">
        <f t="shared" si="344"/>
        <v>0</v>
      </c>
      <c r="AP864">
        <f t="shared" si="345"/>
        <v>0</v>
      </c>
      <c r="AQ864">
        <f t="shared" si="346"/>
        <v>0</v>
      </c>
      <c r="AR864">
        <f t="shared" si="347"/>
        <v>0</v>
      </c>
      <c r="AS864">
        <f t="shared" si="348"/>
        <v>0</v>
      </c>
      <c r="AT864">
        <f t="shared" si="349"/>
        <v>0</v>
      </c>
      <c r="AU864">
        <f t="shared" si="350"/>
        <v>0</v>
      </c>
      <c r="AV864">
        <f t="shared" si="351"/>
        <v>0</v>
      </c>
      <c r="AW864">
        <f t="shared" si="352"/>
        <v>0</v>
      </c>
      <c r="AX864">
        <f t="shared" si="353"/>
        <v>0</v>
      </c>
      <c r="AY864">
        <f t="shared" si="354"/>
        <v>0</v>
      </c>
      <c r="AZ864">
        <f t="shared" si="355"/>
        <v>0</v>
      </c>
      <c r="BA864">
        <f t="shared" si="356"/>
        <v>0</v>
      </c>
      <c r="BB864">
        <f t="shared" si="357"/>
        <v>0</v>
      </c>
      <c r="BC864">
        <f t="shared" si="358"/>
        <v>0</v>
      </c>
      <c r="BD864">
        <f t="shared" si="359"/>
        <v>0</v>
      </c>
      <c r="BE864">
        <f t="shared" si="360"/>
        <v>0</v>
      </c>
      <c r="BF864">
        <f t="shared" si="361"/>
        <v>0</v>
      </c>
      <c r="BG864">
        <f t="shared" si="362"/>
        <v>0</v>
      </c>
      <c r="BH864">
        <f t="shared" si="363"/>
        <v>0</v>
      </c>
    </row>
    <row r="865" spans="1:60" ht="15" customHeight="1">
      <c r="A865" s="206"/>
      <c r="B865" s="201"/>
      <c r="C865" s="1119" t="s">
        <v>5068</v>
      </c>
      <c r="D865" s="1121"/>
      <c r="E865" s="1121"/>
      <c r="F865" s="1120"/>
      <c r="G865" s="100"/>
      <c r="H865" s="100"/>
      <c r="I865" s="100"/>
      <c r="J865" s="100"/>
      <c r="K865" s="100"/>
      <c r="L865" s="100"/>
      <c r="M865" s="100"/>
      <c r="N865" s="100"/>
      <c r="O865" s="100"/>
      <c r="P865" s="100"/>
      <c r="Q865" s="100"/>
      <c r="R865" s="100"/>
      <c r="S865" s="100"/>
      <c r="T865" s="100"/>
      <c r="U865" s="100"/>
      <c r="V865" s="100"/>
      <c r="W865" s="100"/>
      <c r="X865" s="100"/>
      <c r="Y865" s="100"/>
      <c r="Z865" s="100"/>
      <c r="AA865" s="100"/>
      <c r="AB865" s="100"/>
      <c r="AC865" s="100"/>
      <c r="AD865" s="100"/>
      <c r="AF865"/>
      <c r="AG865"/>
      <c r="AH865"/>
      <c r="AI865"/>
      <c r="AJ865"/>
      <c r="AK865">
        <f t="shared" si="341"/>
        <v>0</v>
      </c>
      <c r="AL865">
        <f t="shared" si="342"/>
        <v>0</v>
      </c>
      <c r="AM865">
        <f t="shared" si="364"/>
        <v>0</v>
      </c>
      <c r="AN865">
        <f t="shared" si="343"/>
        <v>0</v>
      </c>
      <c r="AO865">
        <f t="shared" si="344"/>
        <v>0</v>
      </c>
      <c r="AP865">
        <f t="shared" si="345"/>
        <v>0</v>
      </c>
      <c r="AQ865">
        <f t="shared" si="346"/>
        <v>0</v>
      </c>
      <c r="AR865">
        <f t="shared" si="347"/>
        <v>0</v>
      </c>
      <c r="AS865">
        <f t="shared" si="348"/>
        <v>0</v>
      </c>
      <c r="AT865">
        <f t="shared" si="349"/>
        <v>0</v>
      </c>
      <c r="AU865">
        <f t="shared" si="350"/>
        <v>0</v>
      </c>
      <c r="AV865">
        <f t="shared" si="351"/>
        <v>0</v>
      </c>
      <c r="AW865">
        <f t="shared" si="352"/>
        <v>0</v>
      </c>
      <c r="AX865">
        <f t="shared" si="353"/>
        <v>0</v>
      </c>
      <c r="AY865">
        <f t="shared" si="354"/>
        <v>0</v>
      </c>
      <c r="AZ865">
        <f t="shared" si="355"/>
        <v>0</v>
      </c>
      <c r="BA865">
        <f t="shared" si="356"/>
        <v>0</v>
      </c>
      <c r="BB865">
        <f t="shared" si="357"/>
        <v>0</v>
      </c>
      <c r="BC865">
        <f t="shared" si="358"/>
        <v>0</v>
      </c>
      <c r="BD865">
        <f t="shared" si="359"/>
        <v>0</v>
      </c>
      <c r="BE865">
        <f t="shared" si="360"/>
        <v>0</v>
      </c>
      <c r="BF865">
        <f t="shared" si="361"/>
        <v>0</v>
      </c>
      <c r="BG865">
        <f t="shared" si="362"/>
        <v>0</v>
      </c>
      <c r="BH865">
        <f t="shared" si="363"/>
        <v>0</v>
      </c>
    </row>
    <row r="866" spans="1:60" ht="15" customHeight="1">
      <c r="A866" s="206"/>
      <c r="B866" s="201"/>
      <c r="C866" s="1119" t="s">
        <v>5070</v>
      </c>
      <c r="D866" s="1121"/>
      <c r="E866" s="1121"/>
      <c r="F866" s="1120"/>
      <c r="G866" s="100"/>
      <c r="H866" s="100"/>
      <c r="I866" s="100"/>
      <c r="J866" s="100"/>
      <c r="K866" s="100"/>
      <c r="L866" s="100"/>
      <c r="M866" s="100"/>
      <c r="N866" s="100"/>
      <c r="O866" s="100"/>
      <c r="P866" s="100"/>
      <c r="Q866" s="100"/>
      <c r="R866" s="100"/>
      <c r="S866" s="100"/>
      <c r="T866" s="100"/>
      <c r="U866" s="100"/>
      <c r="V866" s="100"/>
      <c r="W866" s="100"/>
      <c r="X866" s="100"/>
      <c r="Y866" s="100"/>
      <c r="Z866" s="100"/>
      <c r="AA866" s="100"/>
      <c r="AB866" s="100"/>
      <c r="AC866" s="100"/>
      <c r="AD866" s="100"/>
      <c r="AF866"/>
      <c r="AG866"/>
      <c r="AH866"/>
      <c r="AI866"/>
      <c r="AJ866"/>
      <c r="AK866">
        <f t="shared" si="341"/>
        <v>0</v>
      </c>
      <c r="AL866">
        <f t="shared" si="342"/>
        <v>0</v>
      </c>
      <c r="AM866">
        <f t="shared" si="364"/>
        <v>0</v>
      </c>
      <c r="AN866">
        <f t="shared" si="343"/>
        <v>0</v>
      </c>
      <c r="AO866">
        <f t="shared" si="344"/>
        <v>0</v>
      </c>
      <c r="AP866">
        <f t="shared" si="345"/>
        <v>0</v>
      </c>
      <c r="AQ866">
        <f t="shared" si="346"/>
        <v>0</v>
      </c>
      <c r="AR866">
        <f t="shared" si="347"/>
        <v>0</v>
      </c>
      <c r="AS866">
        <f t="shared" si="348"/>
        <v>0</v>
      </c>
      <c r="AT866">
        <f t="shared" si="349"/>
        <v>0</v>
      </c>
      <c r="AU866">
        <f t="shared" si="350"/>
        <v>0</v>
      </c>
      <c r="AV866">
        <f t="shared" si="351"/>
        <v>0</v>
      </c>
      <c r="AW866">
        <f t="shared" si="352"/>
        <v>0</v>
      </c>
      <c r="AX866">
        <f t="shared" si="353"/>
        <v>0</v>
      </c>
      <c r="AY866">
        <f t="shared" si="354"/>
        <v>0</v>
      </c>
      <c r="AZ866">
        <f t="shared" si="355"/>
        <v>0</v>
      </c>
      <c r="BA866">
        <f t="shared" si="356"/>
        <v>0</v>
      </c>
      <c r="BB866">
        <f t="shared" si="357"/>
        <v>0</v>
      </c>
      <c r="BC866">
        <f t="shared" si="358"/>
        <v>0</v>
      </c>
      <c r="BD866">
        <f t="shared" si="359"/>
        <v>0</v>
      </c>
      <c r="BE866">
        <f t="shared" si="360"/>
        <v>0</v>
      </c>
      <c r="BF866">
        <f t="shared" si="361"/>
        <v>0</v>
      </c>
      <c r="BG866">
        <f t="shared" si="362"/>
        <v>0</v>
      </c>
      <c r="BH866">
        <f t="shared" si="363"/>
        <v>0</v>
      </c>
    </row>
    <row r="867" spans="1:60" ht="15" customHeight="1">
      <c r="A867" s="206"/>
      <c r="B867" s="201"/>
      <c r="C867" s="1119" t="s">
        <v>5072</v>
      </c>
      <c r="D867" s="1121"/>
      <c r="E867" s="1121"/>
      <c r="F867" s="1120"/>
      <c r="G867" s="100"/>
      <c r="H867" s="100"/>
      <c r="I867" s="100"/>
      <c r="J867" s="100"/>
      <c r="K867" s="100"/>
      <c r="L867" s="100"/>
      <c r="M867" s="100"/>
      <c r="N867" s="100"/>
      <c r="O867" s="100"/>
      <c r="P867" s="100"/>
      <c r="Q867" s="100"/>
      <c r="R867" s="100"/>
      <c r="S867" s="100"/>
      <c r="T867" s="100"/>
      <c r="U867" s="100"/>
      <c r="V867" s="100"/>
      <c r="W867" s="100"/>
      <c r="X867" s="100"/>
      <c r="Y867" s="100"/>
      <c r="Z867" s="100"/>
      <c r="AA867" s="100"/>
      <c r="AB867" s="100"/>
      <c r="AC867" s="100"/>
      <c r="AD867" s="100"/>
      <c r="AF867"/>
      <c r="AG867"/>
      <c r="AH867"/>
      <c r="AI867"/>
      <c r="AJ867"/>
      <c r="AK867">
        <f t="shared" si="341"/>
        <v>0</v>
      </c>
      <c r="AL867">
        <f t="shared" si="342"/>
        <v>0</v>
      </c>
      <c r="AM867">
        <f t="shared" si="364"/>
        <v>0</v>
      </c>
      <c r="AN867">
        <f t="shared" si="343"/>
        <v>0</v>
      </c>
      <c r="AO867">
        <f t="shared" si="344"/>
        <v>0</v>
      </c>
      <c r="AP867">
        <f t="shared" si="345"/>
        <v>0</v>
      </c>
      <c r="AQ867">
        <f t="shared" si="346"/>
        <v>0</v>
      </c>
      <c r="AR867">
        <f t="shared" si="347"/>
        <v>0</v>
      </c>
      <c r="AS867">
        <f t="shared" si="348"/>
        <v>0</v>
      </c>
      <c r="AT867">
        <f t="shared" si="349"/>
        <v>0</v>
      </c>
      <c r="AU867">
        <f t="shared" si="350"/>
        <v>0</v>
      </c>
      <c r="AV867">
        <f t="shared" si="351"/>
        <v>0</v>
      </c>
      <c r="AW867">
        <f t="shared" si="352"/>
        <v>0</v>
      </c>
      <c r="AX867">
        <f t="shared" si="353"/>
        <v>0</v>
      </c>
      <c r="AY867">
        <f t="shared" si="354"/>
        <v>0</v>
      </c>
      <c r="AZ867">
        <f t="shared" si="355"/>
        <v>0</v>
      </c>
      <c r="BA867">
        <f t="shared" si="356"/>
        <v>0</v>
      </c>
      <c r="BB867">
        <f t="shared" si="357"/>
        <v>0</v>
      </c>
      <c r="BC867">
        <f t="shared" si="358"/>
        <v>0</v>
      </c>
      <c r="BD867">
        <f t="shared" si="359"/>
        <v>0</v>
      </c>
      <c r="BE867">
        <f t="shared" si="360"/>
        <v>0</v>
      </c>
      <c r="BF867">
        <f t="shared" si="361"/>
        <v>0</v>
      </c>
      <c r="BG867">
        <f t="shared" si="362"/>
        <v>0</v>
      </c>
      <c r="BH867">
        <f t="shared" si="363"/>
        <v>0</v>
      </c>
    </row>
    <row r="868" spans="1:60" ht="15" customHeight="1">
      <c r="A868" s="206"/>
      <c r="B868" s="201"/>
      <c r="C868" s="1119" t="s">
        <v>5074</v>
      </c>
      <c r="D868" s="1121"/>
      <c r="E868" s="1121"/>
      <c r="F868" s="1120"/>
      <c r="G868" s="100"/>
      <c r="H868" s="100"/>
      <c r="I868" s="100"/>
      <c r="J868" s="100"/>
      <c r="K868" s="100"/>
      <c r="L868" s="100"/>
      <c r="M868" s="100"/>
      <c r="N868" s="100"/>
      <c r="O868" s="100"/>
      <c r="P868" s="100"/>
      <c r="Q868" s="100"/>
      <c r="R868" s="100"/>
      <c r="S868" s="100"/>
      <c r="T868" s="100"/>
      <c r="U868" s="100"/>
      <c r="V868" s="100"/>
      <c r="W868" s="100"/>
      <c r="X868" s="100"/>
      <c r="Y868" s="100"/>
      <c r="Z868" s="100"/>
      <c r="AA868" s="100"/>
      <c r="AB868" s="100"/>
      <c r="AC868" s="100"/>
      <c r="AD868" s="100"/>
      <c r="AF868"/>
      <c r="AG868"/>
      <c r="AH868"/>
      <c r="AI868"/>
      <c r="AJ868"/>
      <c r="AK868">
        <f t="shared" si="341"/>
        <v>0</v>
      </c>
      <c r="AL868">
        <f t="shared" si="342"/>
        <v>0</v>
      </c>
      <c r="AM868">
        <f t="shared" si="364"/>
        <v>0</v>
      </c>
      <c r="AN868">
        <f t="shared" si="343"/>
        <v>0</v>
      </c>
      <c r="AO868">
        <f t="shared" si="344"/>
        <v>0</v>
      </c>
      <c r="AP868">
        <f t="shared" si="345"/>
        <v>0</v>
      </c>
      <c r="AQ868">
        <f t="shared" si="346"/>
        <v>0</v>
      </c>
      <c r="AR868">
        <f t="shared" si="347"/>
        <v>0</v>
      </c>
      <c r="AS868">
        <f t="shared" si="348"/>
        <v>0</v>
      </c>
      <c r="AT868">
        <f t="shared" si="349"/>
        <v>0</v>
      </c>
      <c r="AU868">
        <f t="shared" si="350"/>
        <v>0</v>
      </c>
      <c r="AV868">
        <f t="shared" si="351"/>
        <v>0</v>
      </c>
      <c r="AW868">
        <f t="shared" si="352"/>
        <v>0</v>
      </c>
      <c r="AX868">
        <f t="shared" si="353"/>
        <v>0</v>
      </c>
      <c r="AY868">
        <f t="shared" si="354"/>
        <v>0</v>
      </c>
      <c r="AZ868">
        <f t="shared" si="355"/>
        <v>0</v>
      </c>
      <c r="BA868">
        <f t="shared" si="356"/>
        <v>0</v>
      </c>
      <c r="BB868">
        <f t="shared" si="357"/>
        <v>0</v>
      </c>
      <c r="BC868">
        <f t="shared" si="358"/>
        <v>0</v>
      </c>
      <c r="BD868">
        <f t="shared" si="359"/>
        <v>0</v>
      </c>
      <c r="BE868">
        <f t="shared" si="360"/>
        <v>0</v>
      </c>
      <c r="BF868">
        <f t="shared" si="361"/>
        <v>0</v>
      </c>
      <c r="BG868">
        <f t="shared" si="362"/>
        <v>0</v>
      </c>
      <c r="BH868">
        <f t="shared" si="363"/>
        <v>0</v>
      </c>
    </row>
    <row r="869" spans="1:60" ht="15" customHeight="1">
      <c r="A869" s="206"/>
      <c r="B869" s="201"/>
      <c r="C869" s="1119" t="s">
        <v>5076</v>
      </c>
      <c r="D869" s="1121"/>
      <c r="E869" s="1121"/>
      <c r="F869" s="1120"/>
      <c r="G869" s="100"/>
      <c r="H869" s="100"/>
      <c r="I869" s="100"/>
      <c r="J869" s="100"/>
      <c r="K869" s="100"/>
      <c r="L869" s="100"/>
      <c r="M869" s="100"/>
      <c r="N869" s="100"/>
      <c r="O869" s="100"/>
      <c r="P869" s="100"/>
      <c r="Q869" s="100"/>
      <c r="R869" s="100"/>
      <c r="S869" s="100"/>
      <c r="T869" s="100"/>
      <c r="U869" s="100"/>
      <c r="V869" s="100"/>
      <c r="W869" s="100"/>
      <c r="X869" s="100"/>
      <c r="Y869" s="100"/>
      <c r="Z869" s="100"/>
      <c r="AA869" s="100"/>
      <c r="AB869" s="100"/>
      <c r="AC869" s="100"/>
      <c r="AD869" s="100"/>
      <c r="AF869"/>
      <c r="AG869"/>
      <c r="AH869"/>
      <c r="AI869"/>
      <c r="AJ869"/>
      <c r="AK869">
        <f t="shared" si="341"/>
        <v>0</v>
      </c>
      <c r="AL869">
        <f t="shared" si="342"/>
        <v>0</v>
      </c>
      <c r="AM869">
        <f t="shared" si="364"/>
        <v>0</v>
      </c>
      <c r="AN869">
        <f t="shared" si="343"/>
        <v>0</v>
      </c>
      <c r="AO869">
        <f t="shared" si="344"/>
        <v>0</v>
      </c>
      <c r="AP869">
        <f t="shared" si="345"/>
        <v>0</v>
      </c>
      <c r="AQ869">
        <f t="shared" si="346"/>
        <v>0</v>
      </c>
      <c r="AR869">
        <f t="shared" si="347"/>
        <v>0</v>
      </c>
      <c r="AS869">
        <f t="shared" si="348"/>
        <v>0</v>
      </c>
      <c r="AT869">
        <f t="shared" si="349"/>
        <v>0</v>
      </c>
      <c r="AU869">
        <f t="shared" si="350"/>
        <v>0</v>
      </c>
      <c r="AV869">
        <f t="shared" si="351"/>
        <v>0</v>
      </c>
      <c r="AW869">
        <f t="shared" si="352"/>
        <v>0</v>
      </c>
      <c r="AX869">
        <f t="shared" si="353"/>
        <v>0</v>
      </c>
      <c r="AY869">
        <f t="shared" si="354"/>
        <v>0</v>
      </c>
      <c r="AZ869">
        <f t="shared" si="355"/>
        <v>0</v>
      </c>
      <c r="BA869">
        <f t="shared" si="356"/>
        <v>0</v>
      </c>
      <c r="BB869">
        <f t="shared" si="357"/>
        <v>0</v>
      </c>
      <c r="BC869">
        <f t="shared" si="358"/>
        <v>0</v>
      </c>
      <c r="BD869">
        <f t="shared" si="359"/>
        <v>0</v>
      </c>
      <c r="BE869">
        <f t="shared" si="360"/>
        <v>0</v>
      </c>
      <c r="BF869">
        <f t="shared" si="361"/>
        <v>0</v>
      </c>
      <c r="BG869">
        <f t="shared" si="362"/>
        <v>0</v>
      </c>
      <c r="BH869">
        <f t="shared" si="363"/>
        <v>0</v>
      </c>
    </row>
    <row r="870" spans="1:60" ht="15" customHeight="1">
      <c r="A870" s="206"/>
      <c r="B870" s="201"/>
      <c r="C870" s="1119" t="s">
        <v>5078</v>
      </c>
      <c r="D870" s="1121"/>
      <c r="E870" s="1121"/>
      <c r="F870" s="1120"/>
      <c r="G870" s="100"/>
      <c r="H870" s="100"/>
      <c r="I870" s="100"/>
      <c r="J870" s="100"/>
      <c r="K870" s="100"/>
      <c r="L870" s="100"/>
      <c r="M870" s="100"/>
      <c r="N870" s="100"/>
      <c r="O870" s="100"/>
      <c r="P870" s="100"/>
      <c r="Q870" s="100"/>
      <c r="R870" s="100"/>
      <c r="S870" s="100"/>
      <c r="T870" s="100"/>
      <c r="U870" s="100"/>
      <c r="V870" s="100"/>
      <c r="W870" s="100"/>
      <c r="X870" s="100"/>
      <c r="Y870" s="100"/>
      <c r="Z870" s="100"/>
      <c r="AA870" s="100"/>
      <c r="AB870" s="100"/>
      <c r="AC870" s="100"/>
      <c r="AD870" s="100"/>
      <c r="AF870"/>
      <c r="AG870"/>
      <c r="AH870"/>
      <c r="AI870"/>
      <c r="AJ870"/>
      <c r="AK870">
        <f t="shared" si="341"/>
        <v>0</v>
      </c>
      <c r="AL870">
        <f t="shared" si="342"/>
        <v>0</v>
      </c>
      <c r="AM870">
        <f t="shared" si="364"/>
        <v>0</v>
      </c>
      <c r="AN870">
        <f t="shared" si="343"/>
        <v>0</v>
      </c>
      <c r="AO870">
        <f t="shared" si="344"/>
        <v>0</v>
      </c>
      <c r="AP870">
        <f t="shared" si="345"/>
        <v>0</v>
      </c>
      <c r="AQ870">
        <f t="shared" si="346"/>
        <v>0</v>
      </c>
      <c r="AR870">
        <f t="shared" si="347"/>
        <v>0</v>
      </c>
      <c r="AS870">
        <f t="shared" si="348"/>
        <v>0</v>
      </c>
      <c r="AT870">
        <f t="shared" si="349"/>
        <v>0</v>
      </c>
      <c r="AU870">
        <f t="shared" si="350"/>
        <v>0</v>
      </c>
      <c r="AV870">
        <f t="shared" si="351"/>
        <v>0</v>
      </c>
      <c r="AW870">
        <f t="shared" si="352"/>
        <v>0</v>
      </c>
      <c r="AX870">
        <f t="shared" si="353"/>
        <v>0</v>
      </c>
      <c r="AY870">
        <f t="shared" si="354"/>
        <v>0</v>
      </c>
      <c r="AZ870">
        <f t="shared" si="355"/>
        <v>0</v>
      </c>
      <c r="BA870">
        <f t="shared" si="356"/>
        <v>0</v>
      </c>
      <c r="BB870">
        <f t="shared" si="357"/>
        <v>0</v>
      </c>
      <c r="BC870">
        <f t="shared" si="358"/>
        <v>0</v>
      </c>
      <c r="BD870">
        <f t="shared" si="359"/>
        <v>0</v>
      </c>
      <c r="BE870">
        <f t="shared" si="360"/>
        <v>0</v>
      </c>
      <c r="BF870">
        <f t="shared" si="361"/>
        <v>0</v>
      </c>
      <c r="BG870">
        <f t="shared" si="362"/>
        <v>0</v>
      </c>
      <c r="BH870">
        <f t="shared" si="363"/>
        <v>0</v>
      </c>
    </row>
    <row r="871" spans="1:60" ht="15" customHeight="1">
      <c r="A871" s="206"/>
      <c r="B871" s="206"/>
      <c r="C871" s="1117" t="s">
        <v>5079</v>
      </c>
      <c r="D871" s="1136"/>
      <c r="E871" s="1136"/>
      <c r="F871" s="1118"/>
      <c r="G871" s="100"/>
      <c r="H871" s="100"/>
      <c r="I871" s="100"/>
      <c r="J871" s="100"/>
      <c r="K871" s="100"/>
      <c r="L871" s="100"/>
      <c r="M871" s="100"/>
      <c r="N871" s="100"/>
      <c r="O871" s="100"/>
      <c r="P871" s="100"/>
      <c r="Q871" s="100"/>
      <c r="R871" s="100"/>
      <c r="S871" s="100"/>
      <c r="T871" s="100"/>
      <c r="U871" s="100"/>
      <c r="V871" s="100"/>
      <c r="W871" s="100"/>
      <c r="X871" s="100"/>
      <c r="Y871" s="100"/>
      <c r="Z871" s="100"/>
      <c r="AA871" s="100"/>
      <c r="AB871" s="100"/>
      <c r="AC871" s="100"/>
      <c r="AD871" s="100"/>
      <c r="AF871"/>
      <c r="AG871"/>
      <c r="AH871"/>
      <c r="AI871"/>
      <c r="AJ871"/>
      <c r="AK871">
        <f t="shared" si="341"/>
        <v>0</v>
      </c>
      <c r="AL871">
        <f t="shared" si="342"/>
        <v>0</v>
      </c>
      <c r="AM871">
        <f t="shared" si="364"/>
        <v>0</v>
      </c>
      <c r="AN871">
        <f t="shared" si="343"/>
        <v>0</v>
      </c>
      <c r="AO871">
        <f t="shared" si="344"/>
        <v>0</v>
      </c>
      <c r="AP871">
        <f t="shared" si="345"/>
        <v>0</v>
      </c>
      <c r="AQ871">
        <f t="shared" si="346"/>
        <v>0</v>
      </c>
      <c r="AR871">
        <f t="shared" si="347"/>
        <v>0</v>
      </c>
      <c r="AS871">
        <f t="shared" si="348"/>
        <v>0</v>
      </c>
      <c r="AT871">
        <f t="shared" si="349"/>
        <v>0</v>
      </c>
      <c r="AU871">
        <f t="shared" si="350"/>
        <v>0</v>
      </c>
      <c r="AV871">
        <f t="shared" si="351"/>
        <v>0</v>
      </c>
      <c r="AW871">
        <f t="shared" si="352"/>
        <v>0</v>
      </c>
      <c r="AX871">
        <f t="shared" si="353"/>
        <v>0</v>
      </c>
      <c r="AY871">
        <f t="shared" si="354"/>
        <v>0</v>
      </c>
      <c r="AZ871">
        <f t="shared" si="355"/>
        <v>0</v>
      </c>
      <c r="BA871">
        <f t="shared" si="356"/>
        <v>0</v>
      </c>
      <c r="BB871">
        <f t="shared" si="357"/>
        <v>0</v>
      </c>
      <c r="BC871">
        <f t="shared" si="358"/>
        <v>0</v>
      </c>
      <c r="BD871">
        <f t="shared" si="359"/>
        <v>0</v>
      </c>
      <c r="BE871">
        <f t="shared" si="360"/>
        <v>0</v>
      </c>
      <c r="BF871">
        <f t="shared" si="361"/>
        <v>0</v>
      </c>
      <c r="BG871">
        <f t="shared" si="362"/>
        <v>0</v>
      </c>
      <c r="BH871">
        <f t="shared" si="363"/>
        <v>0</v>
      </c>
    </row>
    <row r="872" spans="1:60" ht="15" customHeight="1">
      <c r="A872" s="206"/>
      <c r="B872" s="206"/>
      <c r="C872" s="1117" t="s">
        <v>5081</v>
      </c>
      <c r="D872" s="1136"/>
      <c r="E872" s="1136"/>
      <c r="F872" s="1118"/>
      <c r="G872" s="100"/>
      <c r="H872" s="100"/>
      <c r="I872" s="100"/>
      <c r="J872" s="100"/>
      <c r="K872" s="100"/>
      <c r="L872" s="100"/>
      <c r="M872" s="100"/>
      <c r="N872" s="100"/>
      <c r="O872" s="100"/>
      <c r="P872" s="100"/>
      <c r="Q872" s="100"/>
      <c r="R872" s="100"/>
      <c r="S872" s="100"/>
      <c r="T872" s="100"/>
      <c r="U872" s="100"/>
      <c r="V872" s="100"/>
      <c r="W872" s="100"/>
      <c r="X872" s="100"/>
      <c r="Y872" s="100"/>
      <c r="Z872" s="100"/>
      <c r="AA872" s="100"/>
      <c r="AB872" s="100"/>
      <c r="AC872" s="100"/>
      <c r="AD872" s="100"/>
      <c r="AF872"/>
      <c r="AG872"/>
      <c r="AH872"/>
      <c r="AI872"/>
      <c r="AJ872"/>
      <c r="AK872">
        <f t="shared" si="341"/>
        <v>0</v>
      </c>
      <c r="AL872">
        <f t="shared" si="342"/>
        <v>0</v>
      </c>
      <c r="AM872">
        <f t="shared" si="364"/>
        <v>0</v>
      </c>
      <c r="AN872">
        <f t="shared" si="343"/>
        <v>0</v>
      </c>
      <c r="AO872">
        <f t="shared" si="344"/>
        <v>0</v>
      </c>
      <c r="AP872">
        <f t="shared" si="345"/>
        <v>0</v>
      </c>
      <c r="AQ872">
        <f t="shared" si="346"/>
        <v>0</v>
      </c>
      <c r="AR872">
        <f t="shared" si="347"/>
        <v>0</v>
      </c>
      <c r="AS872">
        <f t="shared" si="348"/>
        <v>0</v>
      </c>
      <c r="AT872">
        <f t="shared" si="349"/>
        <v>0</v>
      </c>
      <c r="AU872">
        <f t="shared" si="350"/>
        <v>0</v>
      </c>
      <c r="AV872">
        <f t="shared" si="351"/>
        <v>0</v>
      </c>
      <c r="AW872">
        <f t="shared" si="352"/>
        <v>0</v>
      </c>
      <c r="AX872">
        <f t="shared" si="353"/>
        <v>0</v>
      </c>
      <c r="AY872">
        <f t="shared" si="354"/>
        <v>0</v>
      </c>
      <c r="AZ872">
        <f t="shared" si="355"/>
        <v>0</v>
      </c>
      <c r="BA872">
        <f t="shared" si="356"/>
        <v>0</v>
      </c>
      <c r="BB872">
        <f t="shared" si="357"/>
        <v>0</v>
      </c>
      <c r="BC872">
        <f t="shared" si="358"/>
        <v>0</v>
      </c>
      <c r="BD872">
        <f t="shared" si="359"/>
        <v>0</v>
      </c>
      <c r="BE872">
        <f t="shared" si="360"/>
        <v>0</v>
      </c>
      <c r="BF872">
        <f t="shared" si="361"/>
        <v>0</v>
      </c>
      <c r="BG872">
        <f t="shared" si="362"/>
        <v>0</v>
      </c>
      <c r="BH872">
        <f t="shared" si="363"/>
        <v>0</v>
      </c>
    </row>
    <row r="873" spans="1:60" ht="15" customHeight="1">
      <c r="A873" s="206"/>
      <c r="B873" s="201"/>
      <c r="C873" s="1119" t="s">
        <v>5083</v>
      </c>
      <c r="D873" s="1121"/>
      <c r="E873" s="1121"/>
      <c r="F873" s="1120"/>
      <c r="G873" s="100"/>
      <c r="H873" s="100"/>
      <c r="I873" s="100"/>
      <c r="J873" s="100"/>
      <c r="K873" s="100"/>
      <c r="L873" s="100"/>
      <c r="M873" s="100"/>
      <c r="N873" s="100"/>
      <c r="O873" s="100"/>
      <c r="P873" s="100"/>
      <c r="Q873" s="100"/>
      <c r="R873" s="100"/>
      <c r="S873" s="100"/>
      <c r="T873" s="100"/>
      <c r="U873" s="100"/>
      <c r="V873" s="100"/>
      <c r="W873" s="100"/>
      <c r="X873" s="100"/>
      <c r="Y873" s="100"/>
      <c r="Z873" s="100"/>
      <c r="AA873" s="100"/>
      <c r="AB873" s="100"/>
      <c r="AC873" s="100"/>
      <c r="AD873" s="100"/>
      <c r="AF873"/>
      <c r="AG873"/>
      <c r="AH873"/>
      <c r="AI873"/>
      <c r="AJ873"/>
      <c r="AK873">
        <f t="shared" si="341"/>
        <v>0</v>
      </c>
      <c r="AL873">
        <f t="shared" si="342"/>
        <v>0</v>
      </c>
      <c r="AM873">
        <f t="shared" si="364"/>
        <v>0</v>
      </c>
      <c r="AN873">
        <f t="shared" si="343"/>
        <v>0</v>
      </c>
      <c r="AO873">
        <f t="shared" si="344"/>
        <v>0</v>
      </c>
      <c r="AP873">
        <f t="shared" si="345"/>
        <v>0</v>
      </c>
      <c r="AQ873">
        <f t="shared" si="346"/>
        <v>0</v>
      </c>
      <c r="AR873">
        <f t="shared" si="347"/>
        <v>0</v>
      </c>
      <c r="AS873">
        <f t="shared" si="348"/>
        <v>0</v>
      </c>
      <c r="AT873">
        <f t="shared" si="349"/>
        <v>0</v>
      </c>
      <c r="AU873">
        <f t="shared" si="350"/>
        <v>0</v>
      </c>
      <c r="AV873">
        <f t="shared" si="351"/>
        <v>0</v>
      </c>
      <c r="AW873">
        <f t="shared" si="352"/>
        <v>0</v>
      </c>
      <c r="AX873">
        <f t="shared" si="353"/>
        <v>0</v>
      </c>
      <c r="AY873">
        <f t="shared" si="354"/>
        <v>0</v>
      </c>
      <c r="AZ873">
        <f t="shared" si="355"/>
        <v>0</v>
      </c>
      <c r="BA873">
        <f t="shared" si="356"/>
        <v>0</v>
      </c>
      <c r="BB873">
        <f t="shared" si="357"/>
        <v>0</v>
      </c>
      <c r="BC873">
        <f t="shared" si="358"/>
        <v>0</v>
      </c>
      <c r="BD873">
        <f t="shared" si="359"/>
        <v>0</v>
      </c>
      <c r="BE873">
        <f t="shared" si="360"/>
        <v>0</v>
      </c>
      <c r="BF873">
        <f t="shared" si="361"/>
        <v>0</v>
      </c>
      <c r="BG873">
        <f t="shared" si="362"/>
        <v>0</v>
      </c>
      <c r="BH873">
        <f t="shared" si="363"/>
        <v>0</v>
      </c>
    </row>
    <row r="874" spans="1:60" ht="15" customHeight="1">
      <c r="A874" s="206"/>
      <c r="B874" s="201"/>
      <c r="C874" s="1119" t="s">
        <v>5085</v>
      </c>
      <c r="D874" s="1121"/>
      <c r="E874" s="1121"/>
      <c r="F874" s="1120"/>
      <c r="G874" s="100"/>
      <c r="H874" s="100"/>
      <c r="I874" s="100"/>
      <c r="J874" s="100"/>
      <c r="K874" s="100"/>
      <c r="L874" s="100"/>
      <c r="M874" s="100"/>
      <c r="N874" s="100"/>
      <c r="O874" s="100"/>
      <c r="P874" s="100"/>
      <c r="Q874" s="100"/>
      <c r="R874" s="100"/>
      <c r="S874" s="100"/>
      <c r="T874" s="100"/>
      <c r="U874" s="100"/>
      <c r="V874" s="100"/>
      <c r="W874" s="100"/>
      <c r="X874" s="100"/>
      <c r="Y874" s="100"/>
      <c r="Z874" s="100"/>
      <c r="AA874" s="100"/>
      <c r="AB874" s="100"/>
      <c r="AC874" s="100"/>
      <c r="AD874" s="100"/>
      <c r="AF874"/>
      <c r="AG874"/>
      <c r="AH874"/>
      <c r="AI874"/>
      <c r="AJ874"/>
      <c r="AK874">
        <f t="shared" si="341"/>
        <v>0</v>
      </c>
      <c r="AL874">
        <f t="shared" si="342"/>
        <v>0</v>
      </c>
      <c r="AM874">
        <f t="shared" si="364"/>
        <v>0</v>
      </c>
      <c r="AN874">
        <f t="shared" si="343"/>
        <v>0</v>
      </c>
      <c r="AO874">
        <f t="shared" si="344"/>
        <v>0</v>
      </c>
      <c r="AP874">
        <f t="shared" si="345"/>
        <v>0</v>
      </c>
      <c r="AQ874">
        <f t="shared" si="346"/>
        <v>0</v>
      </c>
      <c r="AR874">
        <f t="shared" si="347"/>
        <v>0</v>
      </c>
      <c r="AS874">
        <f t="shared" si="348"/>
        <v>0</v>
      </c>
      <c r="AT874">
        <f t="shared" si="349"/>
        <v>0</v>
      </c>
      <c r="AU874">
        <f t="shared" si="350"/>
        <v>0</v>
      </c>
      <c r="AV874">
        <f t="shared" si="351"/>
        <v>0</v>
      </c>
      <c r="AW874">
        <f t="shared" si="352"/>
        <v>0</v>
      </c>
      <c r="AX874">
        <f t="shared" si="353"/>
        <v>0</v>
      </c>
      <c r="AY874">
        <f t="shared" si="354"/>
        <v>0</v>
      </c>
      <c r="AZ874">
        <f t="shared" si="355"/>
        <v>0</v>
      </c>
      <c r="BA874">
        <f t="shared" si="356"/>
        <v>0</v>
      </c>
      <c r="BB874">
        <f t="shared" si="357"/>
        <v>0</v>
      </c>
      <c r="BC874">
        <f t="shared" si="358"/>
        <v>0</v>
      </c>
      <c r="BD874">
        <f t="shared" si="359"/>
        <v>0</v>
      </c>
      <c r="BE874">
        <f t="shared" si="360"/>
        <v>0</v>
      </c>
      <c r="BF874">
        <f t="shared" si="361"/>
        <v>0</v>
      </c>
      <c r="BG874">
        <f t="shared" si="362"/>
        <v>0</v>
      </c>
      <c r="BH874">
        <f t="shared" si="363"/>
        <v>0</v>
      </c>
    </row>
    <row r="875" spans="1:60" ht="15" customHeight="1">
      <c r="A875" s="206"/>
      <c r="B875" s="201"/>
      <c r="C875" s="1119" t="s">
        <v>5087</v>
      </c>
      <c r="D875" s="1121"/>
      <c r="E875" s="1121"/>
      <c r="F875" s="1120"/>
      <c r="G875" s="100"/>
      <c r="H875" s="100"/>
      <c r="I875" s="100"/>
      <c r="J875" s="100"/>
      <c r="K875" s="100"/>
      <c r="L875" s="100"/>
      <c r="M875" s="100"/>
      <c r="N875" s="100"/>
      <c r="O875" s="100"/>
      <c r="P875" s="100"/>
      <c r="Q875" s="100"/>
      <c r="R875" s="100"/>
      <c r="S875" s="100"/>
      <c r="T875" s="100"/>
      <c r="U875" s="100"/>
      <c r="V875" s="100"/>
      <c r="W875" s="100"/>
      <c r="X875" s="100"/>
      <c r="Y875" s="100"/>
      <c r="Z875" s="100"/>
      <c r="AA875" s="100"/>
      <c r="AB875" s="100"/>
      <c r="AC875" s="100"/>
      <c r="AD875" s="100"/>
      <c r="AF875"/>
      <c r="AG875"/>
      <c r="AH875"/>
      <c r="AI875"/>
      <c r="AJ875"/>
      <c r="AK875">
        <f t="shared" si="341"/>
        <v>0</v>
      </c>
      <c r="AL875">
        <f t="shared" si="342"/>
        <v>0</v>
      </c>
      <c r="AM875">
        <f t="shared" si="364"/>
        <v>0</v>
      </c>
      <c r="AN875">
        <f t="shared" si="343"/>
        <v>0</v>
      </c>
      <c r="AO875">
        <f t="shared" si="344"/>
        <v>0</v>
      </c>
      <c r="AP875">
        <f t="shared" si="345"/>
        <v>0</v>
      </c>
      <c r="AQ875">
        <f t="shared" si="346"/>
        <v>0</v>
      </c>
      <c r="AR875">
        <f t="shared" si="347"/>
        <v>0</v>
      </c>
      <c r="AS875">
        <f t="shared" si="348"/>
        <v>0</v>
      </c>
      <c r="AT875">
        <f t="shared" si="349"/>
        <v>0</v>
      </c>
      <c r="AU875">
        <f t="shared" si="350"/>
        <v>0</v>
      </c>
      <c r="AV875">
        <f t="shared" si="351"/>
        <v>0</v>
      </c>
      <c r="AW875">
        <f t="shared" si="352"/>
        <v>0</v>
      </c>
      <c r="AX875">
        <f t="shared" si="353"/>
        <v>0</v>
      </c>
      <c r="AY875">
        <f t="shared" si="354"/>
        <v>0</v>
      </c>
      <c r="AZ875">
        <f t="shared" si="355"/>
        <v>0</v>
      </c>
      <c r="BA875">
        <f t="shared" si="356"/>
        <v>0</v>
      </c>
      <c r="BB875">
        <f t="shared" si="357"/>
        <v>0</v>
      </c>
      <c r="BC875">
        <f t="shared" si="358"/>
        <v>0</v>
      </c>
      <c r="BD875">
        <f t="shared" si="359"/>
        <v>0</v>
      </c>
      <c r="BE875">
        <f t="shared" si="360"/>
        <v>0</v>
      </c>
      <c r="BF875">
        <f t="shared" si="361"/>
        <v>0</v>
      </c>
      <c r="BG875">
        <f t="shared" si="362"/>
        <v>0</v>
      </c>
      <c r="BH875">
        <f t="shared" si="363"/>
        <v>0</v>
      </c>
    </row>
    <row r="876" spans="1:60" ht="15" customHeight="1">
      <c r="A876" s="206"/>
      <c r="B876" s="206"/>
      <c r="C876" s="1117" t="s">
        <v>5088</v>
      </c>
      <c r="D876" s="1136"/>
      <c r="E876" s="1136"/>
      <c r="F876" s="1118"/>
      <c r="G876" s="100"/>
      <c r="H876" s="100"/>
      <c r="I876" s="100"/>
      <c r="J876" s="100"/>
      <c r="K876" s="100"/>
      <c r="L876" s="100"/>
      <c r="M876" s="100"/>
      <c r="N876" s="100"/>
      <c r="O876" s="100"/>
      <c r="P876" s="100"/>
      <c r="Q876" s="100"/>
      <c r="R876" s="100"/>
      <c r="S876" s="100"/>
      <c r="T876" s="100"/>
      <c r="U876" s="100"/>
      <c r="V876" s="100"/>
      <c r="W876" s="100"/>
      <c r="X876" s="100"/>
      <c r="Y876" s="100"/>
      <c r="Z876" s="100"/>
      <c r="AA876" s="100"/>
      <c r="AB876" s="100"/>
      <c r="AC876" s="100"/>
      <c r="AD876" s="100"/>
      <c r="AF876"/>
      <c r="AG876"/>
      <c r="AH876"/>
      <c r="AI876"/>
      <c r="AJ876"/>
      <c r="AK876">
        <f t="shared" si="341"/>
        <v>0</v>
      </c>
      <c r="AL876">
        <f t="shared" si="342"/>
        <v>0</v>
      </c>
      <c r="AM876">
        <f t="shared" si="364"/>
        <v>0</v>
      </c>
      <c r="AN876">
        <f t="shared" si="343"/>
        <v>0</v>
      </c>
      <c r="AO876">
        <f t="shared" si="344"/>
        <v>0</v>
      </c>
      <c r="AP876">
        <f t="shared" si="345"/>
        <v>0</v>
      </c>
      <c r="AQ876">
        <f t="shared" si="346"/>
        <v>0</v>
      </c>
      <c r="AR876">
        <f t="shared" si="347"/>
        <v>0</v>
      </c>
      <c r="AS876">
        <f t="shared" si="348"/>
        <v>0</v>
      </c>
      <c r="AT876">
        <f t="shared" si="349"/>
        <v>0</v>
      </c>
      <c r="AU876">
        <f t="shared" si="350"/>
        <v>0</v>
      </c>
      <c r="AV876">
        <f t="shared" si="351"/>
        <v>0</v>
      </c>
      <c r="AW876">
        <f t="shared" si="352"/>
        <v>0</v>
      </c>
      <c r="AX876">
        <f t="shared" si="353"/>
        <v>0</v>
      </c>
      <c r="AY876">
        <f t="shared" si="354"/>
        <v>0</v>
      </c>
      <c r="AZ876">
        <f t="shared" si="355"/>
        <v>0</v>
      </c>
      <c r="BA876">
        <f t="shared" si="356"/>
        <v>0</v>
      </c>
      <c r="BB876">
        <f t="shared" si="357"/>
        <v>0</v>
      </c>
      <c r="BC876">
        <f t="shared" si="358"/>
        <v>0</v>
      </c>
      <c r="BD876">
        <f t="shared" si="359"/>
        <v>0</v>
      </c>
      <c r="BE876">
        <f t="shared" si="360"/>
        <v>0</v>
      </c>
      <c r="BF876">
        <f t="shared" si="361"/>
        <v>0</v>
      </c>
      <c r="BG876">
        <f t="shared" si="362"/>
        <v>0</v>
      </c>
      <c r="BH876">
        <f t="shared" si="363"/>
        <v>0</v>
      </c>
    </row>
    <row r="877" spans="1:60" ht="15" customHeight="1">
      <c r="A877" s="206"/>
      <c r="B877" s="206"/>
      <c r="C877" s="1117" t="s">
        <v>5090</v>
      </c>
      <c r="D877" s="1136"/>
      <c r="E877" s="1136"/>
      <c r="F877" s="1118"/>
      <c r="G877" s="100"/>
      <c r="H877" s="100"/>
      <c r="I877" s="100"/>
      <c r="J877" s="100"/>
      <c r="K877" s="100"/>
      <c r="L877" s="100"/>
      <c r="M877" s="100"/>
      <c r="N877" s="100"/>
      <c r="O877" s="100"/>
      <c r="P877" s="100"/>
      <c r="Q877" s="100"/>
      <c r="R877" s="100"/>
      <c r="S877" s="100"/>
      <c r="T877" s="100"/>
      <c r="U877" s="100"/>
      <c r="V877" s="100"/>
      <c r="W877" s="100"/>
      <c r="X877" s="100"/>
      <c r="Y877" s="100"/>
      <c r="Z877" s="100"/>
      <c r="AA877" s="100"/>
      <c r="AB877" s="100"/>
      <c r="AC877" s="100"/>
      <c r="AD877" s="100"/>
      <c r="AF877"/>
      <c r="AG877"/>
      <c r="AH877"/>
      <c r="AI877"/>
      <c r="AJ877"/>
      <c r="AK877">
        <f t="shared" si="341"/>
        <v>0</v>
      </c>
      <c r="AL877">
        <f t="shared" si="342"/>
        <v>0</v>
      </c>
      <c r="AM877">
        <f t="shared" si="364"/>
        <v>0</v>
      </c>
      <c r="AN877">
        <f t="shared" si="343"/>
        <v>0</v>
      </c>
      <c r="AO877">
        <f t="shared" si="344"/>
        <v>0</v>
      </c>
      <c r="AP877">
        <f t="shared" si="345"/>
        <v>0</v>
      </c>
      <c r="AQ877">
        <f t="shared" si="346"/>
        <v>0</v>
      </c>
      <c r="AR877">
        <f t="shared" si="347"/>
        <v>0</v>
      </c>
      <c r="AS877">
        <f t="shared" si="348"/>
        <v>0</v>
      </c>
      <c r="AT877">
        <f t="shared" si="349"/>
        <v>0</v>
      </c>
      <c r="AU877">
        <f t="shared" si="350"/>
        <v>0</v>
      </c>
      <c r="AV877">
        <f t="shared" si="351"/>
        <v>0</v>
      </c>
      <c r="AW877">
        <f t="shared" si="352"/>
        <v>0</v>
      </c>
      <c r="AX877">
        <f t="shared" si="353"/>
        <v>0</v>
      </c>
      <c r="AY877">
        <f t="shared" si="354"/>
        <v>0</v>
      </c>
      <c r="AZ877">
        <f t="shared" si="355"/>
        <v>0</v>
      </c>
      <c r="BA877">
        <f t="shared" si="356"/>
        <v>0</v>
      </c>
      <c r="BB877">
        <f t="shared" si="357"/>
        <v>0</v>
      </c>
      <c r="BC877">
        <f t="shared" si="358"/>
        <v>0</v>
      </c>
      <c r="BD877">
        <f t="shared" si="359"/>
        <v>0</v>
      </c>
      <c r="BE877">
        <f t="shared" si="360"/>
        <v>0</v>
      </c>
      <c r="BF877">
        <f t="shared" si="361"/>
        <v>0</v>
      </c>
      <c r="BG877">
        <f t="shared" si="362"/>
        <v>0</v>
      </c>
      <c r="BH877">
        <f t="shared" si="363"/>
        <v>0</v>
      </c>
    </row>
    <row r="878" spans="1:60" ht="15" customHeight="1">
      <c r="A878" s="206"/>
      <c r="B878" s="206"/>
      <c r="C878" s="1117" t="s">
        <v>5092</v>
      </c>
      <c r="D878" s="1136"/>
      <c r="E878" s="1136"/>
      <c r="F878" s="1118"/>
      <c r="G878" s="100"/>
      <c r="H878" s="100"/>
      <c r="I878" s="100"/>
      <c r="J878" s="100"/>
      <c r="K878" s="100"/>
      <c r="L878" s="100"/>
      <c r="M878" s="100"/>
      <c r="N878" s="100"/>
      <c r="O878" s="100"/>
      <c r="P878" s="100"/>
      <c r="Q878" s="100"/>
      <c r="R878" s="100"/>
      <c r="S878" s="100"/>
      <c r="T878" s="100"/>
      <c r="U878" s="100"/>
      <c r="V878" s="100"/>
      <c r="W878" s="100"/>
      <c r="X878" s="100"/>
      <c r="Y878" s="100"/>
      <c r="Z878" s="100"/>
      <c r="AA878" s="100"/>
      <c r="AB878" s="100"/>
      <c r="AC878" s="100"/>
      <c r="AD878" s="100"/>
      <c r="AF878"/>
      <c r="AG878"/>
      <c r="AH878"/>
      <c r="AI878"/>
      <c r="AJ878"/>
      <c r="AK878">
        <f t="shared" si="341"/>
        <v>0</v>
      </c>
      <c r="AL878">
        <f t="shared" si="342"/>
        <v>0</v>
      </c>
      <c r="AM878">
        <f t="shared" si="364"/>
        <v>0</v>
      </c>
      <c r="AN878">
        <f t="shared" si="343"/>
        <v>0</v>
      </c>
      <c r="AO878">
        <f t="shared" si="344"/>
        <v>0</v>
      </c>
      <c r="AP878">
        <f t="shared" si="345"/>
        <v>0</v>
      </c>
      <c r="AQ878">
        <f t="shared" si="346"/>
        <v>0</v>
      </c>
      <c r="AR878">
        <f t="shared" si="347"/>
        <v>0</v>
      </c>
      <c r="AS878">
        <f t="shared" si="348"/>
        <v>0</v>
      </c>
      <c r="AT878">
        <f t="shared" si="349"/>
        <v>0</v>
      </c>
      <c r="AU878">
        <f t="shared" si="350"/>
        <v>0</v>
      </c>
      <c r="AV878">
        <f t="shared" si="351"/>
        <v>0</v>
      </c>
      <c r="AW878">
        <f t="shared" si="352"/>
        <v>0</v>
      </c>
      <c r="AX878">
        <f t="shared" si="353"/>
        <v>0</v>
      </c>
      <c r="AY878">
        <f t="shared" si="354"/>
        <v>0</v>
      </c>
      <c r="AZ878">
        <f t="shared" si="355"/>
        <v>0</v>
      </c>
      <c r="BA878">
        <f t="shared" si="356"/>
        <v>0</v>
      </c>
      <c r="BB878">
        <f t="shared" si="357"/>
        <v>0</v>
      </c>
      <c r="BC878">
        <f t="shared" si="358"/>
        <v>0</v>
      </c>
      <c r="BD878">
        <f t="shared" si="359"/>
        <v>0</v>
      </c>
      <c r="BE878">
        <f t="shared" si="360"/>
        <v>0</v>
      </c>
      <c r="BF878">
        <f t="shared" si="361"/>
        <v>0</v>
      </c>
      <c r="BG878">
        <f t="shared" si="362"/>
        <v>0</v>
      </c>
      <c r="BH878">
        <f t="shared" si="363"/>
        <v>0</v>
      </c>
    </row>
    <row r="879" spans="1:60" ht="15" customHeight="1">
      <c r="A879" s="206"/>
      <c r="B879" s="206"/>
      <c r="C879" s="1117" t="s">
        <v>5094</v>
      </c>
      <c r="D879" s="1136"/>
      <c r="E879" s="1136"/>
      <c r="F879" s="1118"/>
      <c r="G879" s="100"/>
      <c r="H879" s="100"/>
      <c r="I879" s="100"/>
      <c r="J879" s="100"/>
      <c r="K879" s="100"/>
      <c r="L879" s="100"/>
      <c r="M879" s="100"/>
      <c r="N879" s="100"/>
      <c r="O879" s="100"/>
      <c r="P879" s="100"/>
      <c r="Q879" s="100"/>
      <c r="R879" s="100"/>
      <c r="S879" s="100"/>
      <c r="T879" s="100"/>
      <c r="U879" s="100"/>
      <c r="V879" s="100"/>
      <c r="W879" s="100"/>
      <c r="X879" s="100"/>
      <c r="Y879" s="100"/>
      <c r="Z879" s="100"/>
      <c r="AA879" s="100"/>
      <c r="AB879" s="100"/>
      <c r="AC879" s="100"/>
      <c r="AD879" s="100"/>
      <c r="AF879"/>
      <c r="AG879"/>
      <c r="AH879"/>
      <c r="AI879"/>
      <c r="AJ879"/>
      <c r="AK879">
        <f t="shared" si="341"/>
        <v>0</v>
      </c>
      <c r="AL879">
        <f t="shared" si="342"/>
        <v>0</v>
      </c>
      <c r="AM879">
        <f t="shared" si="364"/>
        <v>0</v>
      </c>
      <c r="AN879">
        <f t="shared" si="343"/>
        <v>0</v>
      </c>
      <c r="AO879">
        <f t="shared" si="344"/>
        <v>0</v>
      </c>
      <c r="AP879">
        <f t="shared" si="345"/>
        <v>0</v>
      </c>
      <c r="AQ879">
        <f t="shared" si="346"/>
        <v>0</v>
      </c>
      <c r="AR879">
        <f t="shared" si="347"/>
        <v>0</v>
      </c>
      <c r="AS879">
        <f t="shared" si="348"/>
        <v>0</v>
      </c>
      <c r="AT879">
        <f t="shared" si="349"/>
        <v>0</v>
      </c>
      <c r="AU879">
        <f t="shared" si="350"/>
        <v>0</v>
      </c>
      <c r="AV879">
        <f t="shared" si="351"/>
        <v>0</v>
      </c>
      <c r="AW879">
        <f t="shared" si="352"/>
        <v>0</v>
      </c>
      <c r="AX879">
        <f t="shared" si="353"/>
        <v>0</v>
      </c>
      <c r="AY879">
        <f t="shared" si="354"/>
        <v>0</v>
      </c>
      <c r="AZ879">
        <f t="shared" si="355"/>
        <v>0</v>
      </c>
      <c r="BA879">
        <f t="shared" si="356"/>
        <v>0</v>
      </c>
      <c r="BB879">
        <f t="shared" si="357"/>
        <v>0</v>
      </c>
      <c r="BC879">
        <f t="shared" si="358"/>
        <v>0</v>
      </c>
      <c r="BD879">
        <f t="shared" si="359"/>
        <v>0</v>
      </c>
      <c r="BE879">
        <f t="shared" si="360"/>
        <v>0</v>
      </c>
      <c r="BF879">
        <f t="shared" si="361"/>
        <v>0</v>
      </c>
      <c r="BG879">
        <f t="shared" si="362"/>
        <v>0</v>
      </c>
      <c r="BH879">
        <f t="shared" si="363"/>
        <v>0</v>
      </c>
    </row>
    <row r="880" spans="1:60" ht="15" customHeight="1">
      <c r="A880" s="206"/>
      <c r="B880" s="206"/>
      <c r="C880" s="1117" t="s">
        <v>5096</v>
      </c>
      <c r="D880" s="1136"/>
      <c r="E880" s="1136"/>
      <c r="F880" s="1118"/>
      <c r="G880" s="100"/>
      <c r="H880" s="100"/>
      <c r="I880" s="100"/>
      <c r="J880" s="100"/>
      <c r="K880" s="100"/>
      <c r="L880" s="100"/>
      <c r="M880" s="100"/>
      <c r="N880" s="100"/>
      <c r="O880" s="100"/>
      <c r="P880" s="100"/>
      <c r="Q880" s="100"/>
      <c r="R880" s="100"/>
      <c r="S880" s="100"/>
      <c r="T880" s="100"/>
      <c r="U880" s="100"/>
      <c r="V880" s="100"/>
      <c r="W880" s="100"/>
      <c r="X880" s="100"/>
      <c r="Y880" s="100"/>
      <c r="Z880" s="100"/>
      <c r="AA880" s="100"/>
      <c r="AB880" s="100"/>
      <c r="AC880" s="100"/>
      <c r="AD880" s="100"/>
      <c r="AF880"/>
      <c r="AG880"/>
      <c r="AH880"/>
      <c r="AI880"/>
      <c r="AJ880"/>
      <c r="AK880">
        <f t="shared" si="341"/>
        <v>0</v>
      </c>
      <c r="AL880">
        <f t="shared" si="342"/>
        <v>0</v>
      </c>
      <c r="AM880">
        <f t="shared" si="364"/>
        <v>0</v>
      </c>
      <c r="AN880">
        <f t="shared" si="343"/>
        <v>0</v>
      </c>
      <c r="AO880">
        <f t="shared" si="344"/>
        <v>0</v>
      </c>
      <c r="AP880">
        <f t="shared" si="345"/>
        <v>0</v>
      </c>
      <c r="AQ880">
        <f t="shared" si="346"/>
        <v>0</v>
      </c>
      <c r="AR880">
        <f t="shared" si="347"/>
        <v>0</v>
      </c>
      <c r="AS880">
        <f t="shared" si="348"/>
        <v>0</v>
      </c>
      <c r="AT880">
        <f t="shared" si="349"/>
        <v>0</v>
      </c>
      <c r="AU880">
        <f t="shared" si="350"/>
        <v>0</v>
      </c>
      <c r="AV880">
        <f t="shared" si="351"/>
        <v>0</v>
      </c>
      <c r="AW880">
        <f t="shared" si="352"/>
        <v>0</v>
      </c>
      <c r="AX880">
        <f t="shared" si="353"/>
        <v>0</v>
      </c>
      <c r="AY880">
        <f t="shared" si="354"/>
        <v>0</v>
      </c>
      <c r="AZ880">
        <f t="shared" si="355"/>
        <v>0</v>
      </c>
      <c r="BA880">
        <f t="shared" si="356"/>
        <v>0</v>
      </c>
      <c r="BB880">
        <f t="shared" si="357"/>
        <v>0</v>
      </c>
      <c r="BC880">
        <f t="shared" si="358"/>
        <v>0</v>
      </c>
      <c r="BD880">
        <f t="shared" si="359"/>
        <v>0</v>
      </c>
      <c r="BE880">
        <f t="shared" si="360"/>
        <v>0</v>
      </c>
      <c r="BF880">
        <f t="shared" si="361"/>
        <v>0</v>
      </c>
      <c r="BG880">
        <f t="shared" si="362"/>
        <v>0</v>
      </c>
      <c r="BH880">
        <f t="shared" si="363"/>
        <v>0</v>
      </c>
    </row>
    <row r="881" spans="1:60" ht="15" customHeight="1">
      <c r="A881" s="206"/>
      <c r="B881" s="206"/>
      <c r="C881" s="1117" t="s">
        <v>5098</v>
      </c>
      <c r="D881" s="1136"/>
      <c r="E881" s="1136"/>
      <c r="F881" s="1118"/>
      <c r="G881" s="100"/>
      <c r="H881" s="100"/>
      <c r="I881" s="100"/>
      <c r="J881" s="100"/>
      <c r="K881" s="100"/>
      <c r="L881" s="100"/>
      <c r="M881" s="100"/>
      <c r="N881" s="100"/>
      <c r="O881" s="100"/>
      <c r="P881" s="100"/>
      <c r="Q881" s="100"/>
      <c r="R881" s="100"/>
      <c r="S881" s="100"/>
      <c r="T881" s="100"/>
      <c r="U881" s="100"/>
      <c r="V881" s="100"/>
      <c r="W881" s="100"/>
      <c r="X881" s="100"/>
      <c r="Y881" s="100"/>
      <c r="Z881" s="100"/>
      <c r="AA881" s="100"/>
      <c r="AB881" s="100"/>
      <c r="AC881" s="100"/>
      <c r="AD881" s="100"/>
      <c r="AF881"/>
      <c r="AG881"/>
      <c r="AH881"/>
      <c r="AI881"/>
      <c r="AJ881"/>
      <c r="AK881">
        <f t="shared" si="341"/>
        <v>0</v>
      </c>
      <c r="AL881">
        <f t="shared" si="342"/>
        <v>0</v>
      </c>
      <c r="AM881">
        <f t="shared" si="364"/>
        <v>0</v>
      </c>
      <c r="AN881">
        <f t="shared" si="343"/>
        <v>0</v>
      </c>
      <c r="AO881">
        <f t="shared" si="344"/>
        <v>0</v>
      </c>
      <c r="AP881">
        <f t="shared" si="345"/>
        <v>0</v>
      </c>
      <c r="AQ881">
        <f t="shared" si="346"/>
        <v>0</v>
      </c>
      <c r="AR881">
        <f t="shared" si="347"/>
        <v>0</v>
      </c>
      <c r="AS881">
        <f t="shared" si="348"/>
        <v>0</v>
      </c>
      <c r="AT881">
        <f t="shared" si="349"/>
        <v>0</v>
      </c>
      <c r="AU881">
        <f t="shared" si="350"/>
        <v>0</v>
      </c>
      <c r="AV881">
        <f t="shared" si="351"/>
        <v>0</v>
      </c>
      <c r="AW881">
        <f t="shared" si="352"/>
        <v>0</v>
      </c>
      <c r="AX881">
        <f t="shared" si="353"/>
        <v>0</v>
      </c>
      <c r="AY881">
        <f t="shared" si="354"/>
        <v>0</v>
      </c>
      <c r="AZ881">
        <f t="shared" si="355"/>
        <v>0</v>
      </c>
      <c r="BA881">
        <f t="shared" si="356"/>
        <v>0</v>
      </c>
      <c r="BB881">
        <f t="shared" si="357"/>
        <v>0</v>
      </c>
      <c r="BC881">
        <f t="shared" si="358"/>
        <v>0</v>
      </c>
      <c r="BD881">
        <f t="shared" si="359"/>
        <v>0</v>
      </c>
      <c r="BE881">
        <f t="shared" si="360"/>
        <v>0</v>
      </c>
      <c r="BF881">
        <f t="shared" si="361"/>
        <v>0</v>
      </c>
      <c r="BG881">
        <f t="shared" si="362"/>
        <v>0</v>
      </c>
      <c r="BH881">
        <f t="shared" si="363"/>
        <v>0</v>
      </c>
    </row>
    <row r="882" spans="1:60" ht="15" customHeight="1">
      <c r="A882" s="206"/>
      <c r="B882" s="206"/>
      <c r="C882" s="1117" t="s">
        <v>5100</v>
      </c>
      <c r="D882" s="1136"/>
      <c r="E882" s="1136"/>
      <c r="F882" s="1118"/>
      <c r="G882" s="100"/>
      <c r="H882" s="100"/>
      <c r="I882" s="100"/>
      <c r="J882" s="100"/>
      <c r="K882" s="100"/>
      <c r="L882" s="100"/>
      <c r="M882" s="100"/>
      <c r="N882" s="100"/>
      <c r="O882" s="100"/>
      <c r="P882" s="100"/>
      <c r="Q882" s="100"/>
      <c r="R882" s="100"/>
      <c r="S882" s="100"/>
      <c r="T882" s="100"/>
      <c r="U882" s="100"/>
      <c r="V882" s="100"/>
      <c r="W882" s="100"/>
      <c r="X882" s="100"/>
      <c r="Y882" s="100"/>
      <c r="Z882" s="100"/>
      <c r="AA882" s="100"/>
      <c r="AB882" s="100"/>
      <c r="AC882" s="100"/>
      <c r="AD882" s="100"/>
      <c r="AF882"/>
      <c r="AG882"/>
      <c r="AH882"/>
      <c r="AI882"/>
      <c r="AJ882"/>
      <c r="AK882">
        <f t="shared" si="341"/>
        <v>0</v>
      </c>
      <c r="AL882">
        <f t="shared" si="342"/>
        <v>0</v>
      </c>
      <c r="AM882">
        <f t="shared" si="364"/>
        <v>0</v>
      </c>
      <c r="AN882">
        <f t="shared" si="343"/>
        <v>0</v>
      </c>
      <c r="AO882">
        <f t="shared" si="344"/>
        <v>0</v>
      </c>
      <c r="AP882">
        <f t="shared" si="345"/>
        <v>0</v>
      </c>
      <c r="AQ882">
        <f t="shared" si="346"/>
        <v>0</v>
      </c>
      <c r="AR882">
        <f t="shared" si="347"/>
        <v>0</v>
      </c>
      <c r="AS882">
        <f t="shared" si="348"/>
        <v>0</v>
      </c>
      <c r="AT882">
        <f t="shared" si="349"/>
        <v>0</v>
      </c>
      <c r="AU882">
        <f t="shared" si="350"/>
        <v>0</v>
      </c>
      <c r="AV882">
        <f t="shared" si="351"/>
        <v>0</v>
      </c>
      <c r="AW882">
        <f t="shared" si="352"/>
        <v>0</v>
      </c>
      <c r="AX882">
        <f t="shared" si="353"/>
        <v>0</v>
      </c>
      <c r="AY882">
        <f t="shared" si="354"/>
        <v>0</v>
      </c>
      <c r="AZ882">
        <f t="shared" si="355"/>
        <v>0</v>
      </c>
      <c r="BA882">
        <f t="shared" si="356"/>
        <v>0</v>
      </c>
      <c r="BB882">
        <f t="shared" si="357"/>
        <v>0</v>
      </c>
      <c r="BC882">
        <f t="shared" si="358"/>
        <v>0</v>
      </c>
      <c r="BD882">
        <f t="shared" si="359"/>
        <v>0</v>
      </c>
      <c r="BE882">
        <f t="shared" si="360"/>
        <v>0</v>
      </c>
      <c r="BF882">
        <f t="shared" si="361"/>
        <v>0</v>
      </c>
      <c r="BG882">
        <f t="shared" si="362"/>
        <v>0</v>
      </c>
      <c r="BH882">
        <f t="shared" si="363"/>
        <v>0</v>
      </c>
    </row>
    <row r="883" spans="1:60" ht="15" customHeight="1">
      <c r="A883" s="206"/>
      <c r="B883" s="206"/>
      <c r="C883" s="1117" t="s">
        <v>5102</v>
      </c>
      <c r="D883" s="1136"/>
      <c r="E883" s="1136"/>
      <c r="F883" s="1118"/>
      <c r="G883" s="100"/>
      <c r="H883" s="100"/>
      <c r="I883" s="100"/>
      <c r="J883" s="100"/>
      <c r="K883" s="100"/>
      <c r="L883" s="100"/>
      <c r="M883" s="100"/>
      <c r="N883" s="100"/>
      <c r="O883" s="100"/>
      <c r="P883" s="100"/>
      <c r="Q883" s="100"/>
      <c r="R883" s="100"/>
      <c r="S883" s="100"/>
      <c r="T883" s="100"/>
      <c r="U883" s="100"/>
      <c r="V883" s="100"/>
      <c r="W883" s="100"/>
      <c r="X883" s="100"/>
      <c r="Y883" s="100"/>
      <c r="Z883" s="100"/>
      <c r="AA883" s="100"/>
      <c r="AB883" s="100"/>
      <c r="AC883" s="100"/>
      <c r="AD883" s="100"/>
      <c r="AF883"/>
      <c r="AG883"/>
      <c r="AH883"/>
      <c r="AI883"/>
      <c r="AJ883"/>
      <c r="AK883">
        <f t="shared" si="341"/>
        <v>0</v>
      </c>
      <c r="AL883">
        <f t="shared" si="342"/>
        <v>0</v>
      </c>
      <c r="AM883">
        <f t="shared" si="364"/>
        <v>0</v>
      </c>
      <c r="AN883">
        <f t="shared" si="343"/>
        <v>0</v>
      </c>
      <c r="AO883">
        <f t="shared" si="344"/>
        <v>0</v>
      </c>
      <c r="AP883">
        <f t="shared" si="345"/>
        <v>0</v>
      </c>
      <c r="AQ883">
        <f t="shared" si="346"/>
        <v>0</v>
      </c>
      <c r="AR883">
        <f t="shared" si="347"/>
        <v>0</v>
      </c>
      <c r="AS883">
        <f t="shared" si="348"/>
        <v>0</v>
      </c>
      <c r="AT883">
        <f t="shared" si="349"/>
        <v>0</v>
      </c>
      <c r="AU883">
        <f t="shared" si="350"/>
        <v>0</v>
      </c>
      <c r="AV883">
        <f t="shared" si="351"/>
        <v>0</v>
      </c>
      <c r="AW883">
        <f t="shared" si="352"/>
        <v>0</v>
      </c>
      <c r="AX883">
        <f t="shared" si="353"/>
        <v>0</v>
      </c>
      <c r="AY883">
        <f t="shared" si="354"/>
        <v>0</v>
      </c>
      <c r="AZ883">
        <f t="shared" si="355"/>
        <v>0</v>
      </c>
      <c r="BA883">
        <f t="shared" si="356"/>
        <v>0</v>
      </c>
      <c r="BB883">
        <f t="shared" si="357"/>
        <v>0</v>
      </c>
      <c r="BC883">
        <f t="shared" si="358"/>
        <v>0</v>
      </c>
      <c r="BD883">
        <f t="shared" si="359"/>
        <v>0</v>
      </c>
      <c r="BE883">
        <f t="shared" si="360"/>
        <v>0</v>
      </c>
      <c r="BF883">
        <f t="shared" si="361"/>
        <v>0</v>
      </c>
      <c r="BG883">
        <f t="shared" si="362"/>
        <v>0</v>
      </c>
      <c r="BH883">
        <f t="shared" si="363"/>
        <v>0</v>
      </c>
    </row>
    <row r="884" spans="1:60" ht="15" customHeight="1">
      <c r="A884" s="206"/>
      <c r="B884" s="206"/>
      <c r="C884" s="1117" t="s">
        <v>5104</v>
      </c>
      <c r="D884" s="1136"/>
      <c r="E884" s="1136"/>
      <c r="F884" s="1118"/>
      <c r="G884" s="100"/>
      <c r="H884" s="100"/>
      <c r="I884" s="100"/>
      <c r="J884" s="100"/>
      <c r="K884" s="100"/>
      <c r="L884" s="100"/>
      <c r="M884" s="100"/>
      <c r="N884" s="100"/>
      <c r="O884" s="100"/>
      <c r="P884" s="100"/>
      <c r="Q884" s="100"/>
      <c r="R884" s="100"/>
      <c r="S884" s="100"/>
      <c r="T884" s="100"/>
      <c r="U884" s="100"/>
      <c r="V884" s="100"/>
      <c r="W884" s="100"/>
      <c r="X884" s="100"/>
      <c r="Y884" s="100"/>
      <c r="Z884" s="100"/>
      <c r="AA884" s="100"/>
      <c r="AB884" s="100"/>
      <c r="AC884" s="100"/>
      <c r="AD884" s="100"/>
      <c r="AF884"/>
      <c r="AG884"/>
      <c r="AH884"/>
      <c r="AI884"/>
      <c r="AJ884"/>
      <c r="AK884">
        <f t="shared" si="341"/>
        <v>0</v>
      </c>
      <c r="AL884">
        <f t="shared" si="342"/>
        <v>0</v>
      </c>
      <c r="AM884">
        <f t="shared" si="364"/>
        <v>0</v>
      </c>
      <c r="AN884">
        <f t="shared" si="343"/>
        <v>0</v>
      </c>
      <c r="AO884">
        <f t="shared" si="344"/>
        <v>0</v>
      </c>
      <c r="AP884">
        <f t="shared" si="345"/>
        <v>0</v>
      </c>
      <c r="AQ884">
        <f t="shared" si="346"/>
        <v>0</v>
      </c>
      <c r="AR884">
        <f t="shared" si="347"/>
        <v>0</v>
      </c>
      <c r="AS884">
        <f t="shared" si="348"/>
        <v>0</v>
      </c>
      <c r="AT884">
        <f t="shared" si="349"/>
        <v>0</v>
      </c>
      <c r="AU884">
        <f t="shared" si="350"/>
        <v>0</v>
      </c>
      <c r="AV884">
        <f t="shared" si="351"/>
        <v>0</v>
      </c>
      <c r="AW884">
        <f t="shared" si="352"/>
        <v>0</v>
      </c>
      <c r="AX884">
        <f t="shared" si="353"/>
        <v>0</v>
      </c>
      <c r="AY884">
        <f t="shared" si="354"/>
        <v>0</v>
      </c>
      <c r="AZ884">
        <f t="shared" si="355"/>
        <v>0</v>
      </c>
      <c r="BA884">
        <f t="shared" si="356"/>
        <v>0</v>
      </c>
      <c r="BB884">
        <f t="shared" si="357"/>
        <v>0</v>
      </c>
      <c r="BC884">
        <f t="shared" si="358"/>
        <v>0</v>
      </c>
      <c r="BD884">
        <f t="shared" si="359"/>
        <v>0</v>
      </c>
      <c r="BE884">
        <f t="shared" si="360"/>
        <v>0</v>
      </c>
      <c r="BF884">
        <f t="shared" si="361"/>
        <v>0</v>
      </c>
      <c r="BG884">
        <f t="shared" si="362"/>
        <v>0</v>
      </c>
      <c r="BH884">
        <f t="shared" si="363"/>
        <v>0</v>
      </c>
    </row>
    <row r="885" spans="1:60" ht="15" customHeight="1">
      <c r="A885" s="206"/>
      <c r="B885" s="201"/>
      <c r="C885" s="1119" t="s">
        <v>5106</v>
      </c>
      <c r="D885" s="1121"/>
      <c r="E885" s="1121"/>
      <c r="F885" s="1120"/>
      <c r="G885" s="100"/>
      <c r="H885" s="100"/>
      <c r="I885" s="100"/>
      <c r="J885" s="100"/>
      <c r="K885" s="100"/>
      <c r="L885" s="100"/>
      <c r="M885" s="100"/>
      <c r="N885" s="100"/>
      <c r="O885" s="100"/>
      <c r="P885" s="100"/>
      <c r="Q885" s="100"/>
      <c r="R885" s="100"/>
      <c r="S885" s="100"/>
      <c r="T885" s="100"/>
      <c r="U885" s="100"/>
      <c r="V885" s="100"/>
      <c r="W885" s="100"/>
      <c r="X885" s="100"/>
      <c r="Y885" s="100"/>
      <c r="Z885" s="100"/>
      <c r="AA885" s="100"/>
      <c r="AB885" s="100"/>
      <c r="AC885" s="100"/>
      <c r="AD885" s="100"/>
      <c r="AF885"/>
      <c r="AG885"/>
      <c r="AH885"/>
      <c r="AI885"/>
      <c r="AJ885"/>
      <c r="AK885">
        <f t="shared" si="341"/>
        <v>0</v>
      </c>
      <c r="AL885">
        <f t="shared" si="342"/>
        <v>0</v>
      </c>
      <c r="AM885">
        <f t="shared" si="364"/>
        <v>0</v>
      </c>
      <c r="AN885">
        <f t="shared" si="343"/>
        <v>0</v>
      </c>
      <c r="AO885">
        <f t="shared" si="344"/>
        <v>0</v>
      </c>
      <c r="AP885">
        <f t="shared" si="345"/>
        <v>0</v>
      </c>
      <c r="AQ885">
        <f t="shared" si="346"/>
        <v>0</v>
      </c>
      <c r="AR885">
        <f t="shared" si="347"/>
        <v>0</v>
      </c>
      <c r="AS885">
        <f t="shared" si="348"/>
        <v>0</v>
      </c>
      <c r="AT885">
        <f t="shared" si="349"/>
        <v>0</v>
      </c>
      <c r="AU885">
        <f t="shared" si="350"/>
        <v>0</v>
      </c>
      <c r="AV885">
        <f t="shared" si="351"/>
        <v>0</v>
      </c>
      <c r="AW885">
        <f t="shared" si="352"/>
        <v>0</v>
      </c>
      <c r="AX885">
        <f t="shared" si="353"/>
        <v>0</v>
      </c>
      <c r="AY885">
        <f t="shared" si="354"/>
        <v>0</v>
      </c>
      <c r="AZ885">
        <f t="shared" si="355"/>
        <v>0</v>
      </c>
      <c r="BA885">
        <f t="shared" si="356"/>
        <v>0</v>
      </c>
      <c r="BB885">
        <f t="shared" si="357"/>
        <v>0</v>
      </c>
      <c r="BC885">
        <f t="shared" si="358"/>
        <v>0</v>
      </c>
      <c r="BD885">
        <f t="shared" si="359"/>
        <v>0</v>
      </c>
      <c r="BE885">
        <f t="shared" si="360"/>
        <v>0</v>
      </c>
      <c r="BF885">
        <f t="shared" si="361"/>
        <v>0</v>
      </c>
      <c r="BG885">
        <f t="shared" si="362"/>
        <v>0</v>
      </c>
      <c r="BH885">
        <f t="shared" si="363"/>
        <v>0</v>
      </c>
    </row>
    <row r="886" spans="1:60" ht="15" customHeight="1">
      <c r="A886" s="206"/>
      <c r="B886" s="201"/>
      <c r="C886" s="1119" t="s">
        <v>5108</v>
      </c>
      <c r="D886" s="1121"/>
      <c r="E886" s="1121"/>
      <c r="F886" s="1120"/>
      <c r="G886" s="100"/>
      <c r="H886" s="100"/>
      <c r="I886" s="100"/>
      <c r="J886" s="100"/>
      <c r="K886" s="100"/>
      <c r="L886" s="100"/>
      <c r="M886" s="100"/>
      <c r="N886" s="100"/>
      <c r="O886" s="100"/>
      <c r="P886" s="100"/>
      <c r="Q886" s="100"/>
      <c r="R886" s="100"/>
      <c r="S886" s="100"/>
      <c r="T886" s="100"/>
      <c r="U886" s="100"/>
      <c r="V886" s="100"/>
      <c r="W886" s="100"/>
      <c r="X886" s="100"/>
      <c r="Y886" s="100"/>
      <c r="Z886" s="100"/>
      <c r="AA886" s="100"/>
      <c r="AB886" s="100"/>
      <c r="AC886" s="100"/>
      <c r="AD886" s="100"/>
      <c r="AF886"/>
      <c r="AG886"/>
      <c r="AH886"/>
      <c r="AI886"/>
      <c r="AJ886"/>
      <c r="AK886">
        <f t="shared" si="341"/>
        <v>0</v>
      </c>
      <c r="AL886">
        <f t="shared" si="342"/>
        <v>0</v>
      </c>
      <c r="AM886">
        <f t="shared" si="364"/>
        <v>0</v>
      </c>
      <c r="AN886">
        <f t="shared" si="343"/>
        <v>0</v>
      </c>
      <c r="AO886">
        <f t="shared" si="344"/>
        <v>0</v>
      </c>
      <c r="AP886">
        <f t="shared" si="345"/>
        <v>0</v>
      </c>
      <c r="AQ886">
        <f t="shared" si="346"/>
        <v>0</v>
      </c>
      <c r="AR886">
        <f t="shared" si="347"/>
        <v>0</v>
      </c>
      <c r="AS886">
        <f t="shared" si="348"/>
        <v>0</v>
      </c>
      <c r="AT886">
        <f t="shared" si="349"/>
        <v>0</v>
      </c>
      <c r="AU886">
        <f t="shared" si="350"/>
        <v>0</v>
      </c>
      <c r="AV886">
        <f t="shared" si="351"/>
        <v>0</v>
      </c>
      <c r="AW886">
        <f t="shared" si="352"/>
        <v>0</v>
      </c>
      <c r="AX886">
        <f t="shared" si="353"/>
        <v>0</v>
      </c>
      <c r="AY886">
        <f t="shared" si="354"/>
        <v>0</v>
      </c>
      <c r="AZ886">
        <f t="shared" si="355"/>
        <v>0</v>
      </c>
      <c r="BA886">
        <f t="shared" si="356"/>
        <v>0</v>
      </c>
      <c r="BB886">
        <f t="shared" si="357"/>
        <v>0</v>
      </c>
      <c r="BC886">
        <f t="shared" si="358"/>
        <v>0</v>
      </c>
      <c r="BD886">
        <f t="shared" si="359"/>
        <v>0</v>
      </c>
      <c r="BE886">
        <f t="shared" si="360"/>
        <v>0</v>
      </c>
      <c r="BF886">
        <f t="shared" si="361"/>
        <v>0</v>
      </c>
      <c r="BG886">
        <f t="shared" si="362"/>
        <v>0</v>
      </c>
      <c r="BH886">
        <f t="shared" si="363"/>
        <v>0</v>
      </c>
    </row>
    <row r="887" spans="1:60" ht="15" customHeight="1">
      <c r="A887" s="206"/>
      <c r="B887" s="201"/>
      <c r="C887" s="1119" t="s">
        <v>5110</v>
      </c>
      <c r="D887" s="1121"/>
      <c r="E887" s="1121"/>
      <c r="F887" s="1120"/>
      <c r="G887" s="100"/>
      <c r="H887" s="100"/>
      <c r="I887" s="100"/>
      <c r="J887" s="100"/>
      <c r="K887" s="100"/>
      <c r="L887" s="100"/>
      <c r="M887" s="100"/>
      <c r="N887" s="100"/>
      <c r="O887" s="100"/>
      <c r="P887" s="100"/>
      <c r="Q887" s="100"/>
      <c r="R887" s="100"/>
      <c r="S887" s="100"/>
      <c r="T887" s="100"/>
      <c r="U887" s="100"/>
      <c r="V887" s="100"/>
      <c r="W887" s="100"/>
      <c r="X887" s="100"/>
      <c r="Y887" s="100"/>
      <c r="Z887" s="100"/>
      <c r="AA887" s="100"/>
      <c r="AB887" s="100"/>
      <c r="AC887" s="100"/>
      <c r="AD887" s="100"/>
      <c r="AF887"/>
      <c r="AG887"/>
      <c r="AH887"/>
      <c r="AI887"/>
      <c r="AJ887"/>
      <c r="AK887">
        <f t="shared" si="341"/>
        <v>0</v>
      </c>
      <c r="AL887">
        <f t="shared" si="342"/>
        <v>0</v>
      </c>
      <c r="AM887">
        <f t="shared" si="364"/>
        <v>0</v>
      </c>
      <c r="AN887">
        <f t="shared" si="343"/>
        <v>0</v>
      </c>
      <c r="AO887">
        <f t="shared" si="344"/>
        <v>0</v>
      </c>
      <c r="AP887">
        <f t="shared" si="345"/>
        <v>0</v>
      </c>
      <c r="AQ887">
        <f t="shared" si="346"/>
        <v>0</v>
      </c>
      <c r="AR887">
        <f t="shared" si="347"/>
        <v>0</v>
      </c>
      <c r="AS887">
        <f t="shared" si="348"/>
        <v>0</v>
      </c>
      <c r="AT887">
        <f t="shared" si="349"/>
        <v>0</v>
      </c>
      <c r="AU887">
        <f t="shared" si="350"/>
        <v>0</v>
      </c>
      <c r="AV887">
        <f t="shared" si="351"/>
        <v>0</v>
      </c>
      <c r="AW887">
        <f t="shared" si="352"/>
        <v>0</v>
      </c>
      <c r="AX887">
        <f t="shared" si="353"/>
        <v>0</v>
      </c>
      <c r="AY887">
        <f t="shared" si="354"/>
        <v>0</v>
      </c>
      <c r="AZ887">
        <f t="shared" si="355"/>
        <v>0</v>
      </c>
      <c r="BA887">
        <f t="shared" si="356"/>
        <v>0</v>
      </c>
      <c r="BB887">
        <f t="shared" si="357"/>
        <v>0</v>
      </c>
      <c r="BC887">
        <f t="shared" si="358"/>
        <v>0</v>
      </c>
      <c r="BD887">
        <f t="shared" si="359"/>
        <v>0</v>
      </c>
      <c r="BE887">
        <f t="shared" si="360"/>
        <v>0</v>
      </c>
      <c r="BF887">
        <f t="shared" si="361"/>
        <v>0</v>
      </c>
      <c r="BG887">
        <f t="shared" si="362"/>
        <v>0</v>
      </c>
      <c r="BH887">
        <f t="shared" si="363"/>
        <v>0</v>
      </c>
    </row>
    <row r="888" spans="1:60" ht="15" customHeight="1">
      <c r="A888" s="206"/>
      <c r="B888" s="201"/>
      <c r="C888" s="1119" t="s">
        <v>5112</v>
      </c>
      <c r="D888" s="1121"/>
      <c r="E888" s="1121"/>
      <c r="F888" s="1120"/>
      <c r="G888" s="100"/>
      <c r="H888" s="100"/>
      <c r="I888" s="100"/>
      <c r="J888" s="100"/>
      <c r="K888" s="100"/>
      <c r="L888" s="100"/>
      <c r="M888" s="100"/>
      <c r="N888" s="100"/>
      <c r="O888" s="100"/>
      <c r="P888" s="100"/>
      <c r="Q888" s="100"/>
      <c r="R888" s="100"/>
      <c r="S888" s="100"/>
      <c r="T888" s="100"/>
      <c r="U888" s="100"/>
      <c r="V888" s="100"/>
      <c r="W888" s="100"/>
      <c r="X888" s="100"/>
      <c r="Y888" s="100"/>
      <c r="Z888" s="100"/>
      <c r="AA888" s="100"/>
      <c r="AB888" s="100"/>
      <c r="AC888" s="100"/>
      <c r="AD888" s="100"/>
      <c r="AF888"/>
      <c r="AG888"/>
      <c r="AH888"/>
      <c r="AI888"/>
      <c r="AJ888"/>
      <c r="AK888">
        <f t="shared" si="341"/>
        <v>0</v>
      </c>
      <c r="AL888">
        <f t="shared" si="342"/>
        <v>0</v>
      </c>
      <c r="AM888">
        <f t="shared" si="364"/>
        <v>0</v>
      </c>
      <c r="AN888">
        <f t="shared" si="343"/>
        <v>0</v>
      </c>
      <c r="AO888">
        <f t="shared" si="344"/>
        <v>0</v>
      </c>
      <c r="AP888">
        <f t="shared" si="345"/>
        <v>0</v>
      </c>
      <c r="AQ888">
        <f t="shared" si="346"/>
        <v>0</v>
      </c>
      <c r="AR888">
        <f t="shared" si="347"/>
        <v>0</v>
      </c>
      <c r="AS888">
        <f t="shared" si="348"/>
        <v>0</v>
      </c>
      <c r="AT888">
        <f t="shared" si="349"/>
        <v>0</v>
      </c>
      <c r="AU888">
        <f t="shared" si="350"/>
        <v>0</v>
      </c>
      <c r="AV888">
        <f t="shared" si="351"/>
        <v>0</v>
      </c>
      <c r="AW888">
        <f t="shared" si="352"/>
        <v>0</v>
      </c>
      <c r="AX888">
        <f t="shared" si="353"/>
        <v>0</v>
      </c>
      <c r="AY888">
        <f t="shared" si="354"/>
        <v>0</v>
      </c>
      <c r="AZ888">
        <f t="shared" si="355"/>
        <v>0</v>
      </c>
      <c r="BA888">
        <f t="shared" si="356"/>
        <v>0</v>
      </c>
      <c r="BB888">
        <f t="shared" si="357"/>
        <v>0</v>
      </c>
      <c r="BC888">
        <f t="shared" si="358"/>
        <v>0</v>
      </c>
      <c r="BD888">
        <f t="shared" si="359"/>
        <v>0</v>
      </c>
      <c r="BE888">
        <f t="shared" si="360"/>
        <v>0</v>
      </c>
      <c r="BF888">
        <f t="shared" si="361"/>
        <v>0</v>
      </c>
      <c r="BG888">
        <f t="shared" si="362"/>
        <v>0</v>
      </c>
      <c r="BH888">
        <f t="shared" si="363"/>
        <v>0</v>
      </c>
    </row>
    <row r="889" spans="1:60" ht="15" customHeight="1">
      <c r="A889" s="206"/>
      <c r="B889" s="201"/>
      <c r="C889" s="1119" t="s">
        <v>5114</v>
      </c>
      <c r="D889" s="1121"/>
      <c r="E889" s="1121"/>
      <c r="F889" s="1120"/>
      <c r="G889" s="100"/>
      <c r="H889" s="100"/>
      <c r="I889" s="100"/>
      <c r="J889" s="100"/>
      <c r="K889" s="100"/>
      <c r="L889" s="100"/>
      <c r="M889" s="100"/>
      <c r="N889" s="100"/>
      <c r="O889" s="100"/>
      <c r="P889" s="100"/>
      <c r="Q889" s="100"/>
      <c r="R889" s="100"/>
      <c r="S889" s="100"/>
      <c r="T889" s="100"/>
      <c r="U889" s="100"/>
      <c r="V889" s="100"/>
      <c r="W889" s="100"/>
      <c r="X889" s="100"/>
      <c r="Y889" s="100"/>
      <c r="Z889" s="100"/>
      <c r="AA889" s="100"/>
      <c r="AB889" s="100"/>
      <c r="AC889" s="100"/>
      <c r="AD889" s="100"/>
      <c r="AF889"/>
      <c r="AG889"/>
      <c r="AH889"/>
      <c r="AI889"/>
      <c r="AJ889"/>
      <c r="AK889">
        <f t="shared" si="341"/>
        <v>0</v>
      </c>
      <c r="AL889">
        <f t="shared" si="342"/>
        <v>0</v>
      </c>
      <c r="AM889">
        <f t="shared" si="364"/>
        <v>0</v>
      </c>
      <c r="AN889">
        <f t="shared" si="343"/>
        <v>0</v>
      </c>
      <c r="AO889">
        <f t="shared" si="344"/>
        <v>0</v>
      </c>
      <c r="AP889">
        <f t="shared" si="345"/>
        <v>0</v>
      </c>
      <c r="AQ889">
        <f t="shared" si="346"/>
        <v>0</v>
      </c>
      <c r="AR889">
        <f t="shared" si="347"/>
        <v>0</v>
      </c>
      <c r="AS889">
        <f t="shared" si="348"/>
        <v>0</v>
      </c>
      <c r="AT889">
        <f t="shared" si="349"/>
        <v>0</v>
      </c>
      <c r="AU889">
        <f t="shared" si="350"/>
        <v>0</v>
      </c>
      <c r="AV889">
        <f t="shared" si="351"/>
        <v>0</v>
      </c>
      <c r="AW889">
        <f t="shared" si="352"/>
        <v>0</v>
      </c>
      <c r="AX889">
        <f t="shared" si="353"/>
        <v>0</v>
      </c>
      <c r="AY889">
        <f t="shared" si="354"/>
        <v>0</v>
      </c>
      <c r="AZ889">
        <f t="shared" si="355"/>
        <v>0</v>
      </c>
      <c r="BA889">
        <f t="shared" si="356"/>
        <v>0</v>
      </c>
      <c r="BB889">
        <f t="shared" si="357"/>
        <v>0</v>
      </c>
      <c r="BC889">
        <f t="shared" si="358"/>
        <v>0</v>
      </c>
      <c r="BD889">
        <f t="shared" si="359"/>
        <v>0</v>
      </c>
      <c r="BE889">
        <f t="shared" si="360"/>
        <v>0</v>
      </c>
      <c r="BF889">
        <f t="shared" si="361"/>
        <v>0</v>
      </c>
      <c r="BG889">
        <f t="shared" si="362"/>
        <v>0</v>
      </c>
      <c r="BH889">
        <f t="shared" si="363"/>
        <v>0</v>
      </c>
    </row>
    <row r="890" spans="1:60" ht="15" customHeight="1">
      <c r="A890" s="206"/>
      <c r="B890" s="206"/>
      <c r="C890" s="1117" t="s">
        <v>5115</v>
      </c>
      <c r="D890" s="1136"/>
      <c r="E890" s="1136"/>
      <c r="F890" s="1118"/>
      <c r="G890" s="100"/>
      <c r="H890" s="100"/>
      <c r="I890" s="100"/>
      <c r="J890" s="100"/>
      <c r="K890" s="100"/>
      <c r="L890" s="100"/>
      <c r="M890" s="100"/>
      <c r="N890" s="100"/>
      <c r="O890" s="100"/>
      <c r="P890" s="100"/>
      <c r="Q890" s="100"/>
      <c r="R890" s="100"/>
      <c r="S890" s="100"/>
      <c r="T890" s="100"/>
      <c r="U890" s="100"/>
      <c r="V890" s="100"/>
      <c r="W890" s="100"/>
      <c r="X890" s="100"/>
      <c r="Y890" s="100"/>
      <c r="Z890" s="100"/>
      <c r="AA890" s="100"/>
      <c r="AB890" s="100"/>
      <c r="AC890" s="100"/>
      <c r="AD890" s="100"/>
      <c r="AF890"/>
      <c r="AG890"/>
      <c r="AH890"/>
      <c r="AI890"/>
      <c r="AJ890"/>
      <c r="AK890">
        <f t="shared" si="341"/>
        <v>0</v>
      </c>
      <c r="AL890">
        <f t="shared" si="342"/>
        <v>0</v>
      </c>
      <c r="AM890">
        <f t="shared" si="364"/>
        <v>0</v>
      </c>
      <c r="AN890">
        <f t="shared" si="343"/>
        <v>0</v>
      </c>
      <c r="AO890">
        <f t="shared" si="344"/>
        <v>0</v>
      </c>
      <c r="AP890">
        <f t="shared" si="345"/>
        <v>0</v>
      </c>
      <c r="AQ890">
        <f t="shared" si="346"/>
        <v>0</v>
      </c>
      <c r="AR890">
        <f t="shared" si="347"/>
        <v>0</v>
      </c>
      <c r="AS890">
        <f t="shared" si="348"/>
        <v>0</v>
      </c>
      <c r="AT890">
        <f t="shared" si="349"/>
        <v>0</v>
      </c>
      <c r="AU890">
        <f t="shared" si="350"/>
        <v>0</v>
      </c>
      <c r="AV890">
        <f t="shared" si="351"/>
        <v>0</v>
      </c>
      <c r="AW890">
        <f t="shared" si="352"/>
        <v>0</v>
      </c>
      <c r="AX890">
        <f t="shared" si="353"/>
        <v>0</v>
      </c>
      <c r="AY890">
        <f t="shared" si="354"/>
        <v>0</v>
      </c>
      <c r="AZ890">
        <f t="shared" si="355"/>
        <v>0</v>
      </c>
      <c r="BA890">
        <f t="shared" si="356"/>
        <v>0</v>
      </c>
      <c r="BB890">
        <f t="shared" si="357"/>
        <v>0</v>
      </c>
      <c r="BC890">
        <f t="shared" si="358"/>
        <v>0</v>
      </c>
      <c r="BD890">
        <f t="shared" si="359"/>
        <v>0</v>
      </c>
      <c r="BE890">
        <f t="shared" si="360"/>
        <v>0</v>
      </c>
      <c r="BF890">
        <f t="shared" si="361"/>
        <v>0</v>
      </c>
      <c r="BG890">
        <f t="shared" si="362"/>
        <v>0</v>
      </c>
      <c r="BH890">
        <f t="shared" si="363"/>
        <v>0</v>
      </c>
    </row>
    <row r="891" spans="1:60" ht="15" customHeight="1">
      <c r="A891" s="206"/>
      <c r="B891" s="206"/>
      <c r="C891" s="1117" t="s">
        <v>5117</v>
      </c>
      <c r="D891" s="1136"/>
      <c r="E891" s="1136"/>
      <c r="F891" s="1118"/>
      <c r="G891" s="116"/>
      <c r="H891" s="100"/>
      <c r="I891" s="100"/>
      <c r="J891" s="100"/>
      <c r="K891" s="100"/>
      <c r="L891" s="100"/>
      <c r="M891" s="100"/>
      <c r="N891" s="100"/>
      <c r="O891" s="100"/>
      <c r="P891" s="100"/>
      <c r="Q891" s="100"/>
      <c r="R891" s="100"/>
      <c r="S891" s="100"/>
      <c r="T891" s="100"/>
      <c r="U891" s="100"/>
      <c r="V891" s="100"/>
      <c r="W891" s="100"/>
      <c r="X891" s="100"/>
      <c r="Y891" s="100"/>
      <c r="Z891" s="100"/>
      <c r="AA891" s="100"/>
      <c r="AB891" s="100"/>
      <c r="AC891" s="100"/>
      <c r="AD891" s="100"/>
      <c r="AF891"/>
      <c r="AG891"/>
      <c r="AH891"/>
      <c r="AI891"/>
      <c r="AJ891"/>
      <c r="AK891">
        <f t="shared" si="341"/>
        <v>0</v>
      </c>
      <c r="AL891">
        <f t="shared" si="342"/>
        <v>0</v>
      </c>
      <c r="AM891">
        <f t="shared" si="364"/>
        <v>0</v>
      </c>
      <c r="AN891">
        <f t="shared" si="343"/>
        <v>0</v>
      </c>
      <c r="AO891">
        <f t="shared" si="344"/>
        <v>0</v>
      </c>
      <c r="AP891">
        <f t="shared" si="345"/>
        <v>0</v>
      </c>
      <c r="AQ891">
        <f t="shared" si="346"/>
        <v>0</v>
      </c>
      <c r="AR891">
        <f t="shared" si="347"/>
        <v>0</v>
      </c>
      <c r="AS891">
        <f t="shared" si="348"/>
        <v>0</v>
      </c>
      <c r="AT891">
        <f t="shared" si="349"/>
        <v>0</v>
      </c>
      <c r="AU891">
        <f t="shared" si="350"/>
        <v>0</v>
      </c>
      <c r="AV891">
        <f t="shared" si="351"/>
        <v>0</v>
      </c>
      <c r="AW891">
        <f t="shared" si="352"/>
        <v>0</v>
      </c>
      <c r="AX891">
        <f t="shared" si="353"/>
        <v>0</v>
      </c>
      <c r="AY891">
        <f t="shared" si="354"/>
        <v>0</v>
      </c>
      <c r="AZ891">
        <f t="shared" si="355"/>
        <v>0</v>
      </c>
      <c r="BA891">
        <f t="shared" si="356"/>
        <v>0</v>
      </c>
      <c r="BB891">
        <f t="shared" si="357"/>
        <v>0</v>
      </c>
      <c r="BC891">
        <f t="shared" si="358"/>
        <v>0</v>
      </c>
      <c r="BD891">
        <f t="shared" si="359"/>
        <v>0</v>
      </c>
      <c r="BE891">
        <f t="shared" si="360"/>
        <v>0</v>
      </c>
      <c r="BF891">
        <f t="shared" si="361"/>
        <v>0</v>
      </c>
      <c r="BG891">
        <f t="shared" si="362"/>
        <v>0</v>
      </c>
      <c r="BH891">
        <f t="shared" si="363"/>
        <v>0</v>
      </c>
    </row>
    <row r="892" spans="1:60" ht="15" customHeight="1">
      <c r="A892" s="206"/>
      <c r="B892" s="201"/>
      <c r="C892" s="1117" t="s">
        <v>5119</v>
      </c>
      <c r="D892" s="1136"/>
      <c r="E892" s="1136"/>
      <c r="F892" s="1118"/>
      <c r="G892" s="100"/>
      <c r="H892" s="100"/>
      <c r="I892" s="100"/>
      <c r="J892" s="100"/>
      <c r="K892" s="100"/>
      <c r="L892" s="100"/>
      <c r="M892" s="100"/>
      <c r="N892" s="100"/>
      <c r="O892" s="100"/>
      <c r="P892" s="100"/>
      <c r="Q892" s="100"/>
      <c r="R892" s="100"/>
      <c r="S892" s="100"/>
      <c r="T892" s="100"/>
      <c r="U892" s="100"/>
      <c r="V892" s="100"/>
      <c r="W892" s="100"/>
      <c r="X892" s="100"/>
      <c r="Y892" s="100"/>
      <c r="Z892" s="100"/>
      <c r="AA892" s="100"/>
      <c r="AB892" s="100"/>
      <c r="AC892" s="100"/>
      <c r="AD892" s="100"/>
      <c r="AF892"/>
      <c r="AG892"/>
      <c r="AH892"/>
      <c r="AI892"/>
      <c r="AJ892"/>
      <c r="AK892">
        <f t="shared" si="341"/>
        <v>0</v>
      </c>
      <c r="AL892">
        <f t="shared" si="342"/>
        <v>0</v>
      </c>
      <c r="AM892">
        <f t="shared" si="364"/>
        <v>0</v>
      </c>
      <c r="AN892">
        <f t="shared" si="343"/>
        <v>0</v>
      </c>
      <c r="AO892">
        <f t="shared" si="344"/>
        <v>0</v>
      </c>
      <c r="AP892">
        <f t="shared" si="345"/>
        <v>0</v>
      </c>
      <c r="AQ892">
        <f t="shared" si="346"/>
        <v>0</v>
      </c>
      <c r="AR892">
        <f t="shared" si="347"/>
        <v>0</v>
      </c>
      <c r="AS892">
        <f t="shared" si="348"/>
        <v>0</v>
      </c>
      <c r="AT892">
        <f t="shared" si="349"/>
        <v>0</v>
      </c>
      <c r="AU892">
        <f t="shared" si="350"/>
        <v>0</v>
      </c>
      <c r="AV892">
        <f t="shared" si="351"/>
        <v>0</v>
      </c>
      <c r="AW892">
        <f t="shared" si="352"/>
        <v>0</v>
      </c>
      <c r="AX892">
        <f t="shared" si="353"/>
        <v>0</v>
      </c>
      <c r="AY892">
        <f t="shared" si="354"/>
        <v>0</v>
      </c>
      <c r="AZ892">
        <f t="shared" si="355"/>
        <v>0</v>
      </c>
      <c r="BA892">
        <f t="shared" si="356"/>
        <v>0</v>
      </c>
      <c r="BB892">
        <f t="shared" si="357"/>
        <v>0</v>
      </c>
      <c r="BC892">
        <f t="shared" si="358"/>
        <v>0</v>
      </c>
      <c r="BD892">
        <f t="shared" si="359"/>
        <v>0</v>
      </c>
      <c r="BE892">
        <f t="shared" si="360"/>
        <v>0</v>
      </c>
      <c r="BF892">
        <f t="shared" si="361"/>
        <v>0</v>
      </c>
      <c r="BG892">
        <f t="shared" si="362"/>
        <v>0</v>
      </c>
      <c r="BH892">
        <f t="shared" si="363"/>
        <v>0</v>
      </c>
    </row>
    <row r="893" spans="1:60" ht="15" customHeight="1">
      <c r="A893" s="108"/>
      <c r="B893" s="38"/>
      <c r="C893" s="77"/>
      <c r="D893" s="120"/>
      <c r="E893" s="84"/>
      <c r="F893" s="84"/>
      <c r="G893" s="524">
        <f>IF(COUNTIF(G728:G892,"NA")=165,"NA",IF(AND(SUM(COUNTIF(G728:G738,"NS"),COUNTIF(G745:G749,"NS"),COUNTIF(G755:G758,"NS"),COUNTIF(G777,"NS"),COUNTIF(G783:G785,"NS"),COUNTIF(G789:G795,"NS"),COUNTIF(G803,"NS"),COUNTIF(G809:G813,"NS"),COUNTIF(G820,"NS"),COUNTIF(G829:G832,"NS"),COUNTIF(G839:G842,"NS"),COUNTIF(G852,"NS"),COUNTIF(G856:G863,"NS"),COUNTIF(G871:G872,"NS"),COUNTIF(G876:G884,"NS"),COUNTIF(G890:G892,"NS"))&gt;0,SUM(G728:G738,G745:G749,G755:G758,G777,G783:G785,G789:G795,G803,G809:G813,G820,G829:G832,G839:G842,G852,G856:G863,G871:G872,G876:G884,G890:G892)=0),"NS",SUM(G728:G738,G745:G749,G755:G758,G777,G783:G785,G789:G795,G803,G809:G813,G820,G829:G832,G839:G842,G852,G856:G863,G871:G872,G876:G884,G890:G892)))</f>
        <v>0</v>
      </c>
      <c r="H893" s="524">
        <f t="shared" ref="H893:AD893" si="365">IF(COUNTIF(H728:H892,"NA")=165,"NA",IF(AND(SUM(COUNTIF(H728:H738,"NS"),COUNTIF(H745:H749,"NS"),COUNTIF(H755:H758,"NS"),COUNTIF(H777,"NS"),COUNTIF(H783:H785,"NS"),COUNTIF(H789:H795,"NS"),COUNTIF(H803,"NS"),COUNTIF(H809:H813,"NS"),COUNTIF(H820,"NS"),COUNTIF(H829:H832,"NS"),COUNTIF(H839:H842,"NS"),COUNTIF(H852,"NS"),COUNTIF(H856:H863,"NS"),COUNTIF(H871:H872,"NS"),COUNTIF(H876:H884,"NS"),COUNTIF(H890:H892,"NS"))&gt;0,SUM(H728:H738,H745:H749,H755:H758,H777,H783:H785,H789:H795,H803,H809:H813,H820,H829:H832,H839:H842,H852,H856:H863,H871:H872,H876:H884,H890:H892)=0),"NS",SUM(H728:H738,H745:H749,H755:H758,H777,H783:H785,H789:H795,H803,H809:H813,H820,H829:H832,H839:H842,H852,H856:H863,H871:H872,H876:H884,H890:H892)))</f>
        <v>0</v>
      </c>
      <c r="I893" s="524">
        <f t="shared" si="365"/>
        <v>0</v>
      </c>
      <c r="J893" s="524">
        <f t="shared" si="365"/>
        <v>0</v>
      </c>
      <c r="K893" s="524">
        <f t="shared" si="365"/>
        <v>0</v>
      </c>
      <c r="L893" s="524">
        <f t="shared" si="365"/>
        <v>0</v>
      </c>
      <c r="M893" s="524">
        <f t="shared" si="365"/>
        <v>0</v>
      </c>
      <c r="N893" s="524">
        <f t="shared" si="365"/>
        <v>0</v>
      </c>
      <c r="O893" s="524">
        <f t="shared" si="365"/>
        <v>0</v>
      </c>
      <c r="P893" s="524">
        <f t="shared" si="365"/>
        <v>0</v>
      </c>
      <c r="Q893" s="524">
        <f t="shared" si="365"/>
        <v>0</v>
      </c>
      <c r="R893" s="524">
        <f t="shared" si="365"/>
        <v>0</v>
      </c>
      <c r="S893" s="524">
        <f t="shared" si="365"/>
        <v>0</v>
      </c>
      <c r="T893" s="524">
        <f t="shared" si="365"/>
        <v>0</v>
      </c>
      <c r="U893" s="524">
        <f t="shared" si="365"/>
        <v>0</v>
      </c>
      <c r="V893" s="524">
        <f t="shared" si="365"/>
        <v>0</v>
      </c>
      <c r="W893" s="524">
        <f t="shared" si="365"/>
        <v>0</v>
      </c>
      <c r="X893" s="524">
        <f t="shared" si="365"/>
        <v>0</v>
      </c>
      <c r="Y893" s="524">
        <f t="shared" si="365"/>
        <v>0</v>
      </c>
      <c r="Z893" s="524">
        <f t="shared" si="365"/>
        <v>0</v>
      </c>
      <c r="AA893" s="524">
        <f t="shared" si="365"/>
        <v>0</v>
      </c>
      <c r="AB893" s="524">
        <f t="shared" si="365"/>
        <v>0</v>
      </c>
      <c r="AC893" s="524">
        <f>IF(COUNTIF(AC728:AC892,"NA")=165,"NA",IF(AND(SUM(COUNTIF(AC728:AC738,"NS"),COUNTIF(AC745:AC749,"NS"),COUNTIF(AC755:AC758,"NS"),COUNTIF(AC777,"NS"),COUNTIF(AC783:AC785,"NS"),COUNTIF(AC789:AC795,"NS"),COUNTIF(AC803,"NS"),COUNTIF(AC809:AC813,"NS"),COUNTIF(AC820,"NS"),COUNTIF(AC829:AC832,"NS"),COUNTIF(AC839:AC842,"NS"),COUNTIF(AC852,"NS"),COUNTIF(AC856:AC863,"NS"),COUNTIF(AC871:AC872,"NS"),COUNTIF(AC876:AC884,"NS"),COUNTIF(AC890:AC892,"NS"))&gt;0,SUM(AC728:AC738,AC745:AC749,AC755:AC758,AC777,AC783:AC785,AC789:AC795,AC803,AC809:AC813,AC820,AC829:AC832,AC839:AC842,AC852,AC856:AC863,AC871:AC872,AC876:AC884,AC890:AC892)=0),"NS",SUM(AC728:AC738,AC745:AC749,AC755:AC758,AC777,AC783:AC785,AC789:AC795,AC803,AC809:AC813,AC820,AC829:AC832,AC839:AC842,AC852,AC856:AC863,AC871:AC872,AC876:AC884,AC890:AC892)))</f>
        <v>0</v>
      </c>
      <c r="AD893" s="124">
        <f t="shared" si="365"/>
        <v>0</v>
      </c>
      <c r="AF893"/>
      <c r="AG893"/>
      <c r="AH893"/>
      <c r="AI893"/>
      <c r="AJ893"/>
      <c r="AK893">
        <f>SUM(AK728:AK892)</f>
        <v>0</v>
      </c>
      <c r="AM893">
        <f>SUM(AM728:AM892)</f>
        <v>0</v>
      </c>
      <c r="AN893">
        <f>SUM(AN728:AN892)</f>
        <v>0</v>
      </c>
      <c r="AP893">
        <f>SUM(AP728:AP892)</f>
        <v>0</v>
      </c>
      <c r="AQ893">
        <f>SUM(AQ728:AQ892)</f>
        <v>0</v>
      </c>
      <c r="AS893">
        <f>SUM(AS728:AS892)</f>
        <v>0</v>
      </c>
      <c r="AT893">
        <f>SUM(AT728:AT892)</f>
        <v>0</v>
      </c>
      <c r="AV893">
        <f>SUM(AV728:AV892)</f>
        <v>0</v>
      </c>
      <c r="AW893">
        <f>SUM(AW728:AW892)</f>
        <v>0</v>
      </c>
      <c r="AY893">
        <f>SUM(AY728:AY892)</f>
        <v>0</v>
      </c>
      <c r="AZ893">
        <f>SUM(AZ728:AZ892)</f>
        <v>0</v>
      </c>
      <c r="BB893">
        <f>SUM(BB728:BB892)</f>
        <v>0</v>
      </c>
      <c r="BC893">
        <f>SUM(BC728:BC892)</f>
        <v>0</v>
      </c>
      <c r="BE893">
        <f>SUM(BE728:BE892)</f>
        <v>0</v>
      </c>
      <c r="BF893">
        <f>SUM(BF728:BF892)</f>
        <v>0</v>
      </c>
      <c r="BH893">
        <f>SUM(BH728:BH892)</f>
        <v>0</v>
      </c>
    </row>
    <row r="894" spans="1:60" ht="15" customHeight="1">
      <c r="A894" s="108"/>
      <c r="B894" s="1087" t="str">
        <f>IF(OR(AND(P565&gt;0,ISNONTEXT(P565)),AND(P576&gt;0,ISNONTEXT(P576)),AND(P592&gt;0,ISNONTEXT(P592)),AND(P593&gt;0,ISNONTEXT(P593)),AND(P626&gt;0,ISNONTEXT(P626)),AND(P638&gt;0,ISNONTEXT(P638))),"Alerta: debido a que cuenta con registros del fuero común mayores a cero, proporcione una justificación en el área de comentarios","")</f>
        <v/>
      </c>
      <c r="C894" s="1087"/>
      <c r="D894" s="1087"/>
      <c r="E894" s="1087"/>
      <c r="F894" s="1087"/>
      <c r="G894" s="1087"/>
      <c r="H894" s="1087"/>
      <c r="I894" s="1087"/>
      <c r="J894" s="1087"/>
      <c r="K894" s="1087"/>
      <c r="L894" s="1087"/>
      <c r="M894" s="1087"/>
      <c r="N894" s="1087"/>
      <c r="O894" s="1087"/>
      <c r="P894" s="1087"/>
      <c r="Q894" s="1087"/>
      <c r="R894" s="1087"/>
      <c r="S894" s="1087"/>
      <c r="T894" s="1087"/>
      <c r="U894" s="1087"/>
      <c r="V894" s="1087"/>
      <c r="W894" s="1087"/>
      <c r="X894" s="1087"/>
      <c r="Y894" s="1087"/>
      <c r="Z894" s="1087"/>
      <c r="AA894" s="1087"/>
      <c r="AB894" s="1087"/>
      <c r="AC894" s="1087"/>
      <c r="AD894" s="1087"/>
      <c r="AE894" s="1087"/>
      <c r="AF894"/>
      <c r="AG894"/>
      <c r="AH894"/>
      <c r="AI894"/>
      <c r="AJ894"/>
      <c r="AK894" t="s">
        <v>2650</v>
      </c>
      <c r="AL894" s="427">
        <f>SUM(AM893,AP893,AS893,AV893,AY893,BB893,BE893,BH893)</f>
        <v>0</v>
      </c>
      <c r="AM894" t="s">
        <v>2651</v>
      </c>
      <c r="AN894" s="427">
        <f>SUM(AK893,AN893,AQ893,AT893,AW893,AZ893,BC893,BF893)</f>
        <v>0</v>
      </c>
    </row>
    <row r="895" spans="1:60" ht="24" customHeight="1">
      <c r="A895" s="108"/>
      <c r="B895" s="38"/>
      <c r="C895" s="855" t="s">
        <v>2611</v>
      </c>
      <c r="D895" s="855"/>
      <c r="E895" s="855"/>
      <c r="F895" s="855"/>
      <c r="G895" s="855"/>
      <c r="H895" s="855"/>
      <c r="I895" s="855"/>
      <c r="J895" s="855"/>
      <c r="K895" s="855"/>
      <c r="L895" s="855"/>
      <c r="M895" s="855"/>
      <c r="N895" s="855"/>
      <c r="O895" s="855"/>
      <c r="P895" s="855"/>
      <c r="Q895" s="855"/>
      <c r="R895" s="855"/>
      <c r="S895" s="855"/>
      <c r="T895" s="855"/>
      <c r="U895" s="855"/>
      <c r="V895" s="855"/>
      <c r="W895" s="855"/>
      <c r="X895" s="855"/>
      <c r="Y895" s="855"/>
      <c r="Z895" s="855"/>
      <c r="AA895" s="855"/>
      <c r="AB895" s="855"/>
      <c r="AC895" s="855"/>
      <c r="AD895" s="855"/>
      <c r="AF895"/>
      <c r="AG895"/>
      <c r="AH895"/>
      <c r="AI895"/>
      <c r="AJ895"/>
      <c r="AK895" t="s">
        <v>2652</v>
      </c>
      <c r="AL895">
        <f>IF(AN894&gt;0,IF(SUM(G893)&gt;=SUM(J893,M893,P893,S893,V893,Y893,AB893),0,1),IF(SUM(G893)&lt;&gt;SUM(J893,M893,P893,S893,V893,Y893,AB893),1,0))</f>
        <v>0</v>
      </c>
      <c r="AM895" t="s">
        <v>2653</v>
      </c>
      <c r="AN895">
        <f>IF(AN894&gt;0,IF(SUM(H893)&gt;=SUM(K893,N893,Q893,T893,W893,Z893,AC893),0,1),IF(SUM(H893)&lt;&gt;SUM(K893,N893,Q893,T893,W893,Z893,AC893),1,0))</f>
        <v>0</v>
      </c>
      <c r="AO895" t="s">
        <v>2654</v>
      </c>
      <c r="AP895">
        <f>IF(AN894&gt;0,IF(SUM(I893)&gt;=SUM(L893,O893,R893,U893,X893,AA893,AD893),0,1),IF(SUM(I893)&lt;&gt;SUM(L893,O893,R893,U893,X893,AA893,AD893),1,0))</f>
        <v>0</v>
      </c>
    </row>
    <row r="896" spans="1:60" ht="60" customHeight="1">
      <c r="A896" s="108"/>
      <c r="B896" s="38"/>
      <c r="C896" s="851"/>
      <c r="D896" s="851"/>
      <c r="E896" s="851"/>
      <c r="F896" s="851"/>
      <c r="G896" s="851"/>
      <c r="H896" s="851"/>
      <c r="I896" s="851"/>
      <c r="J896" s="851"/>
      <c r="K896" s="851"/>
      <c r="L896" s="851"/>
      <c r="M896" s="851"/>
      <c r="N896" s="851"/>
      <c r="O896" s="851"/>
      <c r="P896" s="851"/>
      <c r="Q896" s="851"/>
      <c r="R896" s="851"/>
      <c r="S896" s="851"/>
      <c r="T896" s="851"/>
      <c r="U896" s="851"/>
      <c r="V896" s="851"/>
      <c r="W896" s="851"/>
      <c r="X896" s="851"/>
      <c r="Y896" s="851"/>
      <c r="Z896" s="851"/>
      <c r="AA896" s="851"/>
      <c r="AB896" s="851"/>
      <c r="AC896" s="851"/>
      <c r="AD896" s="851"/>
      <c r="AF896"/>
      <c r="AG896"/>
      <c r="AH896"/>
      <c r="AI896"/>
      <c r="AJ896"/>
      <c r="AK896" t="s">
        <v>5179</v>
      </c>
      <c r="AL896" s="369">
        <f>SUM(AL723,AL894)</f>
        <v>0</v>
      </c>
      <c r="AM896" t="s">
        <v>5180</v>
      </c>
      <c r="AN896" s="369">
        <f>SUM(AN723,AN894)</f>
        <v>0</v>
      </c>
    </row>
    <row r="897" spans="2:42" ht="15" customHeight="1">
      <c r="B897" s="1003" t="str">
        <f>IF(AG722=0,"","Favor de ingresar toda la información requerida en la pregunta")</f>
        <v/>
      </c>
      <c r="C897" s="1003"/>
      <c r="D897" s="1003"/>
      <c r="E897" s="1003"/>
      <c r="F897" s="1003"/>
      <c r="G897" s="1003"/>
      <c r="H897" s="1003"/>
      <c r="I897" s="1003"/>
      <c r="J897" s="1003"/>
      <c r="K897" s="1003"/>
      <c r="L897" s="1003"/>
      <c r="M897" s="1003"/>
      <c r="N897" s="1003"/>
      <c r="O897" s="1003"/>
      <c r="P897" s="1003"/>
      <c r="Q897" s="1003"/>
      <c r="R897" s="1003"/>
      <c r="S897" s="1003"/>
      <c r="T897" s="1003"/>
      <c r="U897" s="1003"/>
      <c r="V897" s="1003"/>
      <c r="W897" s="1003"/>
      <c r="X897" s="1003"/>
      <c r="Y897" s="1003"/>
      <c r="Z897" s="1003"/>
      <c r="AA897" s="1003"/>
      <c r="AB897" s="1003"/>
      <c r="AC897" s="1003"/>
      <c r="AD897" s="1003"/>
      <c r="AE897" s="1003"/>
      <c r="AF897"/>
      <c r="AG897"/>
      <c r="AH897"/>
      <c r="AI897"/>
      <c r="AJ897"/>
      <c r="AK897" t="s">
        <v>5181</v>
      </c>
      <c r="AL897" s="506">
        <f>IF(AN896&gt;0,IF(SUM(P722)&gt;=SUM(S722,V722,Y722,AB722,G893,J893,M893,P893,S893,V893,Y893,AB893),0,1),IF(SUM(P722)&lt;&gt;SUM(S722,V722,Y722,AB722,G893,J893,M893,P893,S893,V893,Y893,AB893),1,0))</f>
        <v>0</v>
      </c>
      <c r="AM897" t="s">
        <v>5182</v>
      </c>
      <c r="AN897" s="506">
        <f>IF(AN896&gt;0,IF(SUM(Q722)&gt;=SUM(T722,W722,Z722,AC722,H893,K893,N893,Q893,T893,W893,Z893,AC893),0,1),IF(SUM(Q722)&lt;&gt;SUM(T722,W722,Z722,AC722,H893,K893,N893,Q893,T893,W893,Z893,AC893),1,0))</f>
        <v>0</v>
      </c>
      <c r="AO897" t="s">
        <v>5183</v>
      </c>
      <c r="AP897" s="506">
        <f>IF(AN896&gt;0,IF(SUM(R722)&gt;=SUM(U722,X722,AA722,AD722,I893,L893,O893,R893,U893,X893,AA893,AD893),0,1),IF(SUM(R722)&lt;&gt;SUM(U722,X722,AA722,AD722,I893,L893,O893,R893,U893,X893,AA893,AD893),1,0))</f>
        <v>0</v>
      </c>
    </row>
    <row r="898" spans="2:42" ht="15" customHeight="1">
      <c r="B898" s="1087" t="str">
        <f>IF(OR($P$176=0,$P$176="NS",$P$176="NA"),"",IF(SUM(COUNTIF(P557:AD721,"NS"),COUNTIF(G728:AD892,"NS"))&lt;&gt;0,"Alerta: debido a que cuenta con registros NS, debe proporcionar una justificación en el area de comentarios al final de la pregunta",""))</f>
        <v/>
      </c>
      <c r="C898" s="1087"/>
      <c r="D898" s="1087"/>
      <c r="E898" s="1087"/>
      <c r="F898" s="1087"/>
      <c r="G898" s="1087"/>
      <c r="H898" s="1087"/>
      <c r="I898" s="1087"/>
      <c r="J898" s="1087"/>
      <c r="K898" s="1087"/>
      <c r="L898" s="1087"/>
      <c r="M898" s="1087"/>
      <c r="N898" s="1087"/>
      <c r="O898" s="1087"/>
      <c r="P898" s="1087"/>
      <c r="Q898" s="1087"/>
      <c r="R898" s="1087"/>
      <c r="S898" s="1087"/>
      <c r="T898" s="1087"/>
      <c r="U898" s="1087"/>
      <c r="V898" s="1087"/>
      <c r="W898" s="1087"/>
      <c r="X898" s="1087"/>
      <c r="Y898" s="1087"/>
      <c r="Z898" s="1087"/>
      <c r="AA898" s="1087"/>
      <c r="AB898" s="1087"/>
      <c r="AC898" s="1087"/>
      <c r="AD898" s="1087"/>
      <c r="AE898" s="1087"/>
      <c r="AF898"/>
      <c r="AG898"/>
      <c r="AH898"/>
      <c r="AI898"/>
      <c r="AJ898"/>
      <c r="AK898" t="s">
        <v>4836</v>
      </c>
      <c r="AL898" s="506">
        <f>AL896-COUNTIF(P557:P721,"NA")</f>
        <v>0</v>
      </c>
    </row>
    <row r="899" spans="2:42" ht="15" customHeight="1">
      <c r="B899" s="1003" t="str">
        <f>IF(AH722=0,"","Revise la información capturada, ya que tiene datos ingresados en celdas que están sombreadas")</f>
        <v/>
      </c>
      <c r="C899" s="1003"/>
      <c r="D899" s="1003"/>
      <c r="E899" s="1003"/>
      <c r="F899" s="1003"/>
      <c r="G899" s="1003"/>
      <c r="H899" s="1003"/>
      <c r="I899" s="1003"/>
      <c r="J899" s="1003"/>
      <c r="K899" s="1003"/>
      <c r="L899" s="1003"/>
      <c r="M899" s="1003"/>
      <c r="N899" s="1003"/>
      <c r="O899" s="1003"/>
      <c r="P899" s="1003"/>
      <c r="Q899" s="1003"/>
      <c r="R899" s="1003"/>
      <c r="S899" s="1003"/>
      <c r="T899" s="1003"/>
      <c r="U899" s="1003"/>
      <c r="V899" s="1003"/>
      <c r="W899" s="1003"/>
      <c r="X899" s="1003"/>
      <c r="Y899" s="1003"/>
      <c r="Z899" s="1003"/>
      <c r="AA899" s="1003"/>
      <c r="AB899" s="1003"/>
      <c r="AC899" s="1003"/>
      <c r="AD899" s="1003"/>
      <c r="AE899" s="1003"/>
      <c r="AF899"/>
      <c r="AG899"/>
      <c r="AH899"/>
      <c r="AI899"/>
      <c r="AJ899"/>
    </row>
    <row r="900" spans="2:42" ht="15" customHeight="1">
      <c r="B900" s="1003" t="str">
        <f>IF(OR($P$176=0,$P$176="NS",$P$176="NA"),"",IF(OR(AL898&gt;=1,AL897&gt;=1,AN897&gt;=1,AP897&gt;=1),"Favor de revisar la suma y consistencia de totales y/o subtotales por filas (numéricos y NS)",IF(DA765&gt;0,"Favor de revisar la suma y consistencia de totales y/o subtotales de las desagregaciones de los tipos específicos","")))</f>
        <v/>
      </c>
      <c r="C900" s="1003"/>
      <c r="D900" s="1003"/>
      <c r="E900" s="1003"/>
      <c r="F900" s="1003"/>
      <c r="G900" s="1003"/>
      <c r="H900" s="1003"/>
      <c r="I900" s="1003"/>
      <c r="J900" s="1003"/>
      <c r="K900" s="1003"/>
      <c r="L900" s="1003"/>
      <c r="M900" s="1003"/>
      <c r="N900" s="1003"/>
      <c r="O900" s="1003"/>
      <c r="P900" s="1003"/>
      <c r="Q900" s="1003"/>
      <c r="R900" s="1003"/>
      <c r="S900" s="1003"/>
      <c r="T900" s="1003"/>
      <c r="U900" s="1003"/>
      <c r="V900" s="1003"/>
      <c r="W900" s="1003"/>
      <c r="X900" s="1003"/>
      <c r="Y900" s="1003"/>
      <c r="Z900" s="1003"/>
      <c r="AA900" s="1003"/>
      <c r="AB900" s="1003"/>
      <c r="AC900" s="1003"/>
      <c r="AD900" s="1003"/>
      <c r="AE900" s="1003"/>
    </row>
    <row r="901" spans="2:42" ht="15" customHeight="1">
      <c r="B901" s="1003" t="str">
        <f>IF(OR($P$176=0,$P$176="NS",$P$176="NA"),"",IF(AND(P722=P176,Q722=Q176,R722=R176,S722=S176,T722=T176,U722=U176,V722=V176,W722=W176,X722=X176,Y722=Y176,Z722=Z176,AA722=AA176,AB722=AB176,AC722=AC176,AD722=AD176,G893=G184,H893=H184,I893=I184,J893=J184,K893=K184,L893=L184,M893=M184,N893=N184,O893=O184,P893=P184,Q893=Q184,R893=R184,S893=S184,T893=T184,U893=U184,V893=V184,W893=W184,X893=X184,Y893=Y184,Z893=Z184,AA893=AA184,AB893=AB184,AC893=AC184,AD893=AD184),IF(AF722&gt;0,"Debido a que reportó NA para cierto delito, también anote NA en sus respectivos tipos específicos",""),"Las cantidades de Hombres y Mujeres debe corresponder con los datos reportados en la preg. 10.5 del numeral 2"))</f>
        <v/>
      </c>
      <c r="C901" s="1003"/>
      <c r="D901" s="1003"/>
      <c r="E901" s="1003"/>
      <c r="F901" s="1003"/>
      <c r="G901" s="1003"/>
      <c r="H901" s="1003"/>
      <c r="I901" s="1003"/>
      <c r="J901" s="1003"/>
      <c r="K901" s="1003"/>
      <c r="L901" s="1003"/>
      <c r="M901" s="1003"/>
      <c r="N901" s="1003"/>
      <c r="O901" s="1003"/>
      <c r="P901" s="1003"/>
      <c r="Q901" s="1003"/>
      <c r="R901" s="1003"/>
      <c r="S901" s="1003"/>
      <c r="T901" s="1003"/>
      <c r="U901" s="1003"/>
      <c r="V901" s="1003"/>
      <c r="W901" s="1003"/>
      <c r="X901" s="1003"/>
      <c r="Y901" s="1003"/>
      <c r="Z901" s="1003"/>
      <c r="AA901" s="1003"/>
      <c r="AB901" s="1003"/>
      <c r="AC901" s="1003"/>
      <c r="AD901" s="1003"/>
      <c r="AE901" s="1003"/>
    </row>
    <row r="902" spans="2:42" ht="15" customHeight="1">
      <c r="B902" s="1087" t="str">
        <f>IF(AJ722&gt;0,"Alerta: si el total en Otros delitos es mayor al 25% por bien jurídico, anote el n. de los delitos en la casilla al final de la pregunta","")</f>
        <v/>
      </c>
      <c r="C902" s="1087"/>
      <c r="D902" s="1087"/>
      <c r="E902" s="1087"/>
      <c r="F902" s="1087"/>
      <c r="G902" s="1087"/>
      <c r="H902" s="1087"/>
      <c r="I902" s="1087"/>
      <c r="J902" s="1087"/>
      <c r="K902" s="1087"/>
      <c r="L902" s="1087"/>
      <c r="M902" s="1087"/>
      <c r="N902" s="1087"/>
      <c r="O902" s="1087"/>
      <c r="P902" s="1087"/>
      <c r="Q902" s="1087"/>
      <c r="R902" s="1087"/>
      <c r="S902" s="1087"/>
      <c r="T902" s="1087"/>
      <c r="U902" s="1087"/>
      <c r="V902" s="1087"/>
      <c r="W902" s="1087"/>
      <c r="X902" s="1087"/>
      <c r="Y902" s="1087"/>
      <c r="Z902" s="1087"/>
      <c r="AA902" s="1087"/>
      <c r="AB902" s="1087"/>
      <c r="AC902" s="1087"/>
      <c r="AD902" s="1087"/>
      <c r="AE902" s="1087"/>
    </row>
  </sheetData>
  <sheetProtection algorithmName="SHA-512" hashValue="+CDsZVTdfNQYvp8xVSAuF/z5d7QLDhr4Hi+xfP/2joUqwVKGMBWu5GFhNyZo95C+fUR+ET5w2l8zHMXRzryLCA==" saltValue="fpVmt+5T+65CclU4y4zW9g==" spinCount="100000" sheet="1" objects="1" scenarios="1"/>
  <mergeCells count="1323">
    <mergeCell ref="B897:AE897"/>
    <mergeCell ref="B898:AE898"/>
    <mergeCell ref="B899:AE899"/>
    <mergeCell ref="B900:AE900"/>
    <mergeCell ref="B901:AE901"/>
    <mergeCell ref="B902:AE902"/>
    <mergeCell ref="C869:F869"/>
    <mergeCell ref="C870:F870"/>
    <mergeCell ref="C871:F871"/>
    <mergeCell ref="C872:F872"/>
    <mergeCell ref="C873:F873"/>
    <mergeCell ref="C874:F874"/>
    <mergeCell ref="C863:F863"/>
    <mergeCell ref="C864:F864"/>
    <mergeCell ref="C865:F865"/>
    <mergeCell ref="C866:F866"/>
    <mergeCell ref="C867:F867"/>
    <mergeCell ref="C868:F868"/>
    <mergeCell ref="C857:F857"/>
    <mergeCell ref="C858:F858"/>
    <mergeCell ref="C859:F859"/>
    <mergeCell ref="C860:F860"/>
    <mergeCell ref="C861:F861"/>
    <mergeCell ref="C862:F862"/>
    <mergeCell ref="C896:AD896"/>
    <mergeCell ref="C887:F887"/>
    <mergeCell ref="C888:F888"/>
    <mergeCell ref="C889:F889"/>
    <mergeCell ref="C890:F890"/>
    <mergeCell ref="C891:F891"/>
    <mergeCell ref="C892:F892"/>
    <mergeCell ref="C881:F881"/>
    <mergeCell ref="C882:F882"/>
    <mergeCell ref="C883:F883"/>
    <mergeCell ref="C884:F884"/>
    <mergeCell ref="C885:F885"/>
    <mergeCell ref="C886:F886"/>
    <mergeCell ref="C875:F875"/>
    <mergeCell ref="C876:F876"/>
    <mergeCell ref="C877:F877"/>
    <mergeCell ref="C878:F878"/>
    <mergeCell ref="C879:F879"/>
    <mergeCell ref="C880:F880"/>
    <mergeCell ref="C895:AD895"/>
    <mergeCell ref="B894:AE894"/>
    <mergeCell ref="C852:F852"/>
    <mergeCell ref="C853:F853"/>
    <mergeCell ref="C854:F854"/>
    <mergeCell ref="C855:F855"/>
    <mergeCell ref="C856:F856"/>
    <mergeCell ref="C845:F845"/>
    <mergeCell ref="C846:F846"/>
    <mergeCell ref="C847:F847"/>
    <mergeCell ref="C848:F848"/>
    <mergeCell ref="C849:F849"/>
    <mergeCell ref="C850:F850"/>
    <mergeCell ref="C839:F839"/>
    <mergeCell ref="C840:F840"/>
    <mergeCell ref="C841:F841"/>
    <mergeCell ref="C842:F842"/>
    <mergeCell ref="C843:F843"/>
    <mergeCell ref="C844:F844"/>
    <mergeCell ref="C851:F851"/>
    <mergeCell ref="C833:F833"/>
    <mergeCell ref="C834:F834"/>
    <mergeCell ref="C835:F835"/>
    <mergeCell ref="C836:F836"/>
    <mergeCell ref="C837:F837"/>
    <mergeCell ref="C838:F838"/>
    <mergeCell ref="C827:F827"/>
    <mergeCell ref="C828:F828"/>
    <mergeCell ref="C829:F829"/>
    <mergeCell ref="C830:F830"/>
    <mergeCell ref="C831:F831"/>
    <mergeCell ref="C832:F832"/>
    <mergeCell ref="C821:F821"/>
    <mergeCell ref="C822:F822"/>
    <mergeCell ref="C823:F823"/>
    <mergeCell ref="C824:F824"/>
    <mergeCell ref="C825:F825"/>
    <mergeCell ref="C826:F826"/>
    <mergeCell ref="C815:F815"/>
    <mergeCell ref="C816:F816"/>
    <mergeCell ref="C817:F817"/>
    <mergeCell ref="C818:F818"/>
    <mergeCell ref="C819:F819"/>
    <mergeCell ref="C820:F820"/>
    <mergeCell ref="C809:F809"/>
    <mergeCell ref="C810:F810"/>
    <mergeCell ref="C811:F811"/>
    <mergeCell ref="C812:F812"/>
    <mergeCell ref="C813:F813"/>
    <mergeCell ref="C814:F814"/>
    <mergeCell ref="C803:F803"/>
    <mergeCell ref="C804:F804"/>
    <mergeCell ref="C805:F805"/>
    <mergeCell ref="C806:F806"/>
    <mergeCell ref="C807:F807"/>
    <mergeCell ref="C808:F808"/>
    <mergeCell ref="C797:F797"/>
    <mergeCell ref="C798:F798"/>
    <mergeCell ref="C799:F799"/>
    <mergeCell ref="C800:F800"/>
    <mergeCell ref="C801:F801"/>
    <mergeCell ref="C802:F802"/>
    <mergeCell ref="C791:F791"/>
    <mergeCell ref="C792:F792"/>
    <mergeCell ref="C793:F793"/>
    <mergeCell ref="C794:F794"/>
    <mergeCell ref="C795:F795"/>
    <mergeCell ref="C796:F796"/>
    <mergeCell ref="C785:F785"/>
    <mergeCell ref="C786:F786"/>
    <mergeCell ref="C787:F787"/>
    <mergeCell ref="C788:F788"/>
    <mergeCell ref="C789:F789"/>
    <mergeCell ref="C790:F790"/>
    <mergeCell ref="C779:F779"/>
    <mergeCell ref="C780:F780"/>
    <mergeCell ref="C781:F781"/>
    <mergeCell ref="C782:F782"/>
    <mergeCell ref="C783:F783"/>
    <mergeCell ref="C784:F784"/>
    <mergeCell ref="C773:F773"/>
    <mergeCell ref="C774:F774"/>
    <mergeCell ref="C775:F775"/>
    <mergeCell ref="C776:F776"/>
    <mergeCell ref="C777:F777"/>
    <mergeCell ref="C778:F778"/>
    <mergeCell ref="C767:F767"/>
    <mergeCell ref="C768:F768"/>
    <mergeCell ref="C769:F769"/>
    <mergeCell ref="C770:F770"/>
    <mergeCell ref="C771:F771"/>
    <mergeCell ref="C772:F772"/>
    <mergeCell ref="C761:F761"/>
    <mergeCell ref="C762:F762"/>
    <mergeCell ref="C763:F763"/>
    <mergeCell ref="C764:F764"/>
    <mergeCell ref="C765:F765"/>
    <mergeCell ref="C766:F766"/>
    <mergeCell ref="C755:F755"/>
    <mergeCell ref="C756:F756"/>
    <mergeCell ref="C757:F757"/>
    <mergeCell ref="C758:F758"/>
    <mergeCell ref="C759:F759"/>
    <mergeCell ref="C760:F760"/>
    <mergeCell ref="C749:F749"/>
    <mergeCell ref="C750:F750"/>
    <mergeCell ref="C751:F751"/>
    <mergeCell ref="C752:F752"/>
    <mergeCell ref="C753:F753"/>
    <mergeCell ref="C754:F754"/>
    <mergeCell ref="C743:F743"/>
    <mergeCell ref="C744:F744"/>
    <mergeCell ref="C745:F745"/>
    <mergeCell ref="C746:F746"/>
    <mergeCell ref="C747:F747"/>
    <mergeCell ref="C748:F748"/>
    <mergeCell ref="C737:F737"/>
    <mergeCell ref="C738:F738"/>
    <mergeCell ref="C739:F739"/>
    <mergeCell ref="C740:F740"/>
    <mergeCell ref="C741:F741"/>
    <mergeCell ref="C742:F742"/>
    <mergeCell ref="C731:F731"/>
    <mergeCell ref="C732:F732"/>
    <mergeCell ref="C733:F733"/>
    <mergeCell ref="C734:F734"/>
    <mergeCell ref="C735:F735"/>
    <mergeCell ref="C736:F736"/>
    <mergeCell ref="V726:X726"/>
    <mergeCell ref="Y726:AA726"/>
    <mergeCell ref="AB726:AD726"/>
    <mergeCell ref="C728:F728"/>
    <mergeCell ref="C729:F729"/>
    <mergeCell ref="C730:F730"/>
    <mergeCell ref="C721:G721"/>
    <mergeCell ref="H721:O721"/>
    <mergeCell ref="AA724:AD724"/>
    <mergeCell ref="C725:F727"/>
    <mergeCell ref="G725:AD725"/>
    <mergeCell ref="G726:I726"/>
    <mergeCell ref="J726:L726"/>
    <mergeCell ref="M726:O726"/>
    <mergeCell ref="P726:R726"/>
    <mergeCell ref="S726:U726"/>
    <mergeCell ref="F718:G718"/>
    <mergeCell ref="I718:O718"/>
    <mergeCell ref="F719:G719"/>
    <mergeCell ref="H719:O719"/>
    <mergeCell ref="F720:G720"/>
    <mergeCell ref="H720:O720"/>
    <mergeCell ref="C688:C720"/>
    <mergeCell ref="D688:E720"/>
    <mergeCell ref="F688:G688"/>
    <mergeCell ref="H688:O688"/>
    <mergeCell ref="F689:G689"/>
    <mergeCell ref="H689:O689"/>
    <mergeCell ref="F690:G690"/>
    <mergeCell ref="H690:O690"/>
    <mergeCell ref="F715:G715"/>
    <mergeCell ref="I715:O715"/>
    <mergeCell ref="F716:G716"/>
    <mergeCell ref="I716:O716"/>
    <mergeCell ref="F717:G717"/>
    <mergeCell ref="I717:O717"/>
    <mergeCell ref="F712:G712"/>
    <mergeCell ref="H712:O712"/>
    <mergeCell ref="F713:G713"/>
    <mergeCell ref="H713:O713"/>
    <mergeCell ref="F714:G714"/>
    <mergeCell ref="I714:O714"/>
    <mergeCell ref="F709:G709"/>
    <mergeCell ref="H709:O709"/>
    <mergeCell ref="F710:G710"/>
    <mergeCell ref="H710:O710"/>
    <mergeCell ref="F711:G711"/>
    <mergeCell ref="H711:O711"/>
    <mergeCell ref="F706:G706"/>
    <mergeCell ref="H706:O706"/>
    <mergeCell ref="F707:G707"/>
    <mergeCell ref="H707:O707"/>
    <mergeCell ref="F708:G708"/>
    <mergeCell ref="H708:O708"/>
    <mergeCell ref="F703:G703"/>
    <mergeCell ref="I703:O703"/>
    <mergeCell ref="F704:G704"/>
    <mergeCell ref="I704:O704"/>
    <mergeCell ref="F705:G705"/>
    <mergeCell ref="H705:O705"/>
    <mergeCell ref="F700:G700"/>
    <mergeCell ref="H700:O700"/>
    <mergeCell ref="F701:G701"/>
    <mergeCell ref="H701:O701"/>
    <mergeCell ref="F702:G702"/>
    <mergeCell ref="I702:O702"/>
    <mergeCell ref="F682:G682"/>
    <mergeCell ref="I682:O682"/>
    <mergeCell ref="F683:G683"/>
    <mergeCell ref="I683:O683"/>
    <mergeCell ref="F697:G697"/>
    <mergeCell ref="I697:O697"/>
    <mergeCell ref="F698:G698"/>
    <mergeCell ref="I698:O698"/>
    <mergeCell ref="F699:G699"/>
    <mergeCell ref="I699:O699"/>
    <mergeCell ref="F694:G694"/>
    <mergeCell ref="I694:O694"/>
    <mergeCell ref="F695:G695"/>
    <mergeCell ref="I695:O695"/>
    <mergeCell ref="F696:G696"/>
    <mergeCell ref="I696:O696"/>
    <mergeCell ref="F691:G691"/>
    <mergeCell ref="H691:O691"/>
    <mergeCell ref="F692:G692"/>
    <mergeCell ref="H692:O692"/>
    <mergeCell ref="F693:G693"/>
    <mergeCell ref="I693:O693"/>
    <mergeCell ref="F678:G678"/>
    <mergeCell ref="I678:O678"/>
    <mergeCell ref="F679:G679"/>
    <mergeCell ref="I679:O679"/>
    <mergeCell ref="F680:G680"/>
    <mergeCell ref="I680:O680"/>
    <mergeCell ref="F675:G675"/>
    <mergeCell ref="I675:O675"/>
    <mergeCell ref="F676:G676"/>
    <mergeCell ref="I676:O676"/>
    <mergeCell ref="F677:G677"/>
    <mergeCell ref="I677:O677"/>
    <mergeCell ref="C671:C687"/>
    <mergeCell ref="D671:E687"/>
    <mergeCell ref="F671:G671"/>
    <mergeCell ref="H671:O671"/>
    <mergeCell ref="F672:G672"/>
    <mergeCell ref="I672:O672"/>
    <mergeCell ref="F673:G673"/>
    <mergeCell ref="I673:O673"/>
    <mergeCell ref="F674:G674"/>
    <mergeCell ref="I674:O674"/>
    <mergeCell ref="F687:G687"/>
    <mergeCell ref="H687:O687"/>
    <mergeCell ref="F684:G684"/>
    <mergeCell ref="I684:O684"/>
    <mergeCell ref="F685:G685"/>
    <mergeCell ref="H685:O685"/>
    <mergeCell ref="F686:G686"/>
    <mergeCell ref="H686:O686"/>
    <mergeCell ref="F681:G681"/>
    <mergeCell ref="H681:O681"/>
    <mergeCell ref="F668:G668"/>
    <mergeCell ref="H668:O668"/>
    <mergeCell ref="F669:G669"/>
    <mergeCell ref="H669:O669"/>
    <mergeCell ref="F670:G670"/>
    <mergeCell ref="H670:O670"/>
    <mergeCell ref="F665:G665"/>
    <mergeCell ref="I665:O665"/>
    <mergeCell ref="F666:G666"/>
    <mergeCell ref="I666:O666"/>
    <mergeCell ref="F667:G667"/>
    <mergeCell ref="I667:O667"/>
    <mergeCell ref="F662:G662"/>
    <mergeCell ref="I662:O662"/>
    <mergeCell ref="F663:G663"/>
    <mergeCell ref="I663:O663"/>
    <mergeCell ref="F664:G664"/>
    <mergeCell ref="I664:O664"/>
    <mergeCell ref="F645:G645"/>
    <mergeCell ref="I645:O645"/>
    <mergeCell ref="F646:G646"/>
    <mergeCell ref="I646:O646"/>
    <mergeCell ref="F659:G659"/>
    <mergeCell ref="H659:O659"/>
    <mergeCell ref="F660:G660"/>
    <mergeCell ref="H660:O660"/>
    <mergeCell ref="F661:G661"/>
    <mergeCell ref="H661:O661"/>
    <mergeCell ref="F656:G656"/>
    <mergeCell ref="I656:O656"/>
    <mergeCell ref="F657:G657"/>
    <mergeCell ref="I657:O657"/>
    <mergeCell ref="F658:G658"/>
    <mergeCell ref="H658:O658"/>
    <mergeCell ref="F653:G653"/>
    <mergeCell ref="I653:O653"/>
    <mergeCell ref="F654:G654"/>
    <mergeCell ref="I654:O654"/>
    <mergeCell ref="F655:G655"/>
    <mergeCell ref="I655:O655"/>
    <mergeCell ref="C642:C670"/>
    <mergeCell ref="D642:E670"/>
    <mergeCell ref="F642:G642"/>
    <mergeCell ref="H642:O642"/>
    <mergeCell ref="F643:G643"/>
    <mergeCell ref="I643:O643"/>
    <mergeCell ref="F637:G637"/>
    <mergeCell ref="I637:O637"/>
    <mergeCell ref="F638:G638"/>
    <mergeCell ref="H638:O638"/>
    <mergeCell ref="F639:G639"/>
    <mergeCell ref="H639:O639"/>
    <mergeCell ref="F634:G634"/>
    <mergeCell ref="I634:O634"/>
    <mergeCell ref="F635:G635"/>
    <mergeCell ref="I635:O635"/>
    <mergeCell ref="F636:G636"/>
    <mergeCell ref="I636:O636"/>
    <mergeCell ref="F650:G650"/>
    <mergeCell ref="I650:O650"/>
    <mergeCell ref="F651:G651"/>
    <mergeCell ref="I651:O651"/>
    <mergeCell ref="F652:G652"/>
    <mergeCell ref="I652:O652"/>
    <mergeCell ref="F647:G647"/>
    <mergeCell ref="I647:O647"/>
    <mergeCell ref="F648:G648"/>
    <mergeCell ref="I648:O648"/>
    <mergeCell ref="F649:G649"/>
    <mergeCell ref="H649:O649"/>
    <mergeCell ref="F644:G644"/>
    <mergeCell ref="I644:O644"/>
    <mergeCell ref="F631:G631"/>
    <mergeCell ref="I631:O631"/>
    <mergeCell ref="F632:G632"/>
    <mergeCell ref="H632:O632"/>
    <mergeCell ref="F633:G633"/>
    <mergeCell ref="I633:O633"/>
    <mergeCell ref="F628:G628"/>
    <mergeCell ref="I628:O628"/>
    <mergeCell ref="F629:G629"/>
    <mergeCell ref="I629:O629"/>
    <mergeCell ref="F630:G630"/>
    <mergeCell ref="I630:O630"/>
    <mergeCell ref="C624:C641"/>
    <mergeCell ref="D624:E641"/>
    <mergeCell ref="F624:G624"/>
    <mergeCell ref="H624:O624"/>
    <mergeCell ref="F625:G625"/>
    <mergeCell ref="I625:O625"/>
    <mergeCell ref="F626:G626"/>
    <mergeCell ref="I626:O626"/>
    <mergeCell ref="F627:G627"/>
    <mergeCell ref="I627:O627"/>
    <mergeCell ref="F640:G640"/>
    <mergeCell ref="H640:O640"/>
    <mergeCell ref="F641:G641"/>
    <mergeCell ref="H641:O641"/>
    <mergeCell ref="C621:C623"/>
    <mergeCell ref="D621:E623"/>
    <mergeCell ref="F621:G621"/>
    <mergeCell ref="H621:O621"/>
    <mergeCell ref="F622:G622"/>
    <mergeCell ref="H622:O622"/>
    <mergeCell ref="F623:G623"/>
    <mergeCell ref="H623:O623"/>
    <mergeCell ref="F618:G618"/>
    <mergeCell ref="H618:O618"/>
    <mergeCell ref="F619:G619"/>
    <mergeCell ref="H619:O619"/>
    <mergeCell ref="F620:G620"/>
    <mergeCell ref="H620:O620"/>
    <mergeCell ref="F615:G615"/>
    <mergeCell ref="I615:O615"/>
    <mergeCell ref="F616:G616"/>
    <mergeCell ref="I616:O616"/>
    <mergeCell ref="F617:G617"/>
    <mergeCell ref="I617:O617"/>
    <mergeCell ref="C587:C620"/>
    <mergeCell ref="D587:E620"/>
    <mergeCell ref="F587:G587"/>
    <mergeCell ref="H587:O587"/>
    <mergeCell ref="F605:G605"/>
    <mergeCell ref="I605:O605"/>
    <mergeCell ref="F600:G600"/>
    <mergeCell ref="I600:O600"/>
    <mergeCell ref="F601:G601"/>
    <mergeCell ref="I601:O601"/>
    <mergeCell ref="F602:G602"/>
    <mergeCell ref="I602:O602"/>
    <mergeCell ref="F597:G597"/>
    <mergeCell ref="I597:O597"/>
    <mergeCell ref="F598:G598"/>
    <mergeCell ref="I598:O598"/>
    <mergeCell ref="F599:G599"/>
    <mergeCell ref="I599:O599"/>
    <mergeCell ref="F614:G614"/>
    <mergeCell ref="H614:O614"/>
    <mergeCell ref="F609:G609"/>
    <mergeCell ref="I609:O609"/>
    <mergeCell ref="F610:G610"/>
    <mergeCell ref="I610:O610"/>
    <mergeCell ref="F611:G611"/>
    <mergeCell ref="I611:O611"/>
    <mergeCell ref="F606:G606"/>
    <mergeCell ref="H606:O606"/>
    <mergeCell ref="F607:G607"/>
    <mergeCell ref="I607:O607"/>
    <mergeCell ref="F608:G608"/>
    <mergeCell ref="I608:O608"/>
    <mergeCell ref="F612:G612"/>
    <mergeCell ref="H612:O612"/>
    <mergeCell ref="F613:G613"/>
    <mergeCell ref="H613:O613"/>
    <mergeCell ref="F603:G603"/>
    <mergeCell ref="I603:O603"/>
    <mergeCell ref="F604:G604"/>
    <mergeCell ref="I604:O604"/>
    <mergeCell ref="F578:G578"/>
    <mergeCell ref="H578:O578"/>
    <mergeCell ref="F579:G579"/>
    <mergeCell ref="I579:O579"/>
    <mergeCell ref="F580:G580"/>
    <mergeCell ref="I580:O580"/>
    <mergeCell ref="F594:G594"/>
    <mergeCell ref="I594:O594"/>
    <mergeCell ref="F595:G595"/>
    <mergeCell ref="I595:O595"/>
    <mergeCell ref="F596:G596"/>
    <mergeCell ref="I596:O596"/>
    <mergeCell ref="F591:G591"/>
    <mergeCell ref="I591:O591"/>
    <mergeCell ref="F592:G592"/>
    <mergeCell ref="I592:O592"/>
    <mergeCell ref="F593:G593"/>
    <mergeCell ref="I593:O593"/>
    <mergeCell ref="F588:G588"/>
    <mergeCell ref="I588:O588"/>
    <mergeCell ref="F589:G589"/>
    <mergeCell ref="I589:O589"/>
    <mergeCell ref="F590:G590"/>
    <mergeCell ref="I590:O590"/>
    <mergeCell ref="C575:C586"/>
    <mergeCell ref="D575:E586"/>
    <mergeCell ref="F575:G575"/>
    <mergeCell ref="H575:O575"/>
    <mergeCell ref="F576:G576"/>
    <mergeCell ref="H576:O576"/>
    <mergeCell ref="F577:G577"/>
    <mergeCell ref="H577:O577"/>
    <mergeCell ref="F571:G571"/>
    <mergeCell ref="I571:O571"/>
    <mergeCell ref="F572:G572"/>
    <mergeCell ref="I572:O572"/>
    <mergeCell ref="F573:G573"/>
    <mergeCell ref="I573:O573"/>
    <mergeCell ref="F568:G568"/>
    <mergeCell ref="I568:O568"/>
    <mergeCell ref="F569:G569"/>
    <mergeCell ref="I569:O569"/>
    <mergeCell ref="F570:G570"/>
    <mergeCell ref="I570:O570"/>
    <mergeCell ref="F584:G584"/>
    <mergeCell ref="H584:O584"/>
    <mergeCell ref="F585:G585"/>
    <mergeCell ref="H585:O585"/>
    <mergeCell ref="F586:G586"/>
    <mergeCell ref="H586:O586"/>
    <mergeCell ref="F581:G581"/>
    <mergeCell ref="I581:O581"/>
    <mergeCell ref="F582:G582"/>
    <mergeCell ref="I582:O582"/>
    <mergeCell ref="F583:G583"/>
    <mergeCell ref="I583:O583"/>
    <mergeCell ref="H564:O564"/>
    <mergeCell ref="F565:G565"/>
    <mergeCell ref="H565:O565"/>
    <mergeCell ref="F566:G566"/>
    <mergeCell ref="H566:O566"/>
    <mergeCell ref="F567:G567"/>
    <mergeCell ref="H567:O567"/>
    <mergeCell ref="H560:O560"/>
    <mergeCell ref="F561:G561"/>
    <mergeCell ref="H561:O561"/>
    <mergeCell ref="C562:C574"/>
    <mergeCell ref="D562:E574"/>
    <mergeCell ref="F562:G562"/>
    <mergeCell ref="H562:O562"/>
    <mergeCell ref="F563:G563"/>
    <mergeCell ref="H563:O563"/>
    <mergeCell ref="F564:G564"/>
    <mergeCell ref="F574:G574"/>
    <mergeCell ref="H574:O574"/>
    <mergeCell ref="AB555:AD555"/>
    <mergeCell ref="C557:C561"/>
    <mergeCell ref="D557:E561"/>
    <mergeCell ref="F557:G557"/>
    <mergeCell ref="H557:O557"/>
    <mergeCell ref="F558:G558"/>
    <mergeCell ref="H558:O558"/>
    <mergeCell ref="F559:G559"/>
    <mergeCell ref="H559:O559"/>
    <mergeCell ref="F560:G560"/>
    <mergeCell ref="C554:E556"/>
    <mergeCell ref="F554:G556"/>
    <mergeCell ref="H554:O556"/>
    <mergeCell ref="P554:AD554"/>
    <mergeCell ref="P555:P556"/>
    <mergeCell ref="Q555:Q556"/>
    <mergeCell ref="R555:R556"/>
    <mergeCell ref="S555:U555"/>
    <mergeCell ref="V555:X555"/>
    <mergeCell ref="Y555:AA555"/>
    <mergeCell ref="C541:AD541"/>
    <mergeCell ref="C542:AD542"/>
    <mergeCell ref="B549:AD549"/>
    <mergeCell ref="C550:AD550"/>
    <mergeCell ref="C551:AD551"/>
    <mergeCell ref="AA553:AD553"/>
    <mergeCell ref="C533:F533"/>
    <mergeCell ref="C534:F534"/>
    <mergeCell ref="C535:F535"/>
    <mergeCell ref="C536:F536"/>
    <mergeCell ref="C537:F537"/>
    <mergeCell ref="C538:F538"/>
    <mergeCell ref="C527:F527"/>
    <mergeCell ref="C528:F528"/>
    <mergeCell ref="C529:F529"/>
    <mergeCell ref="C530:F530"/>
    <mergeCell ref="C531:F531"/>
    <mergeCell ref="C532:F532"/>
    <mergeCell ref="B540:AE540"/>
    <mergeCell ref="B543:AE543"/>
    <mergeCell ref="B544:AE544"/>
    <mergeCell ref="B545:AE545"/>
    <mergeCell ref="B546:AE546"/>
    <mergeCell ref="B547:AE547"/>
    <mergeCell ref="B548:AE548"/>
    <mergeCell ref="C521:F521"/>
    <mergeCell ref="C522:F522"/>
    <mergeCell ref="C523:F523"/>
    <mergeCell ref="C524:F524"/>
    <mergeCell ref="C525:F525"/>
    <mergeCell ref="C526:F526"/>
    <mergeCell ref="C515:F515"/>
    <mergeCell ref="C516:F516"/>
    <mergeCell ref="C517:F517"/>
    <mergeCell ref="C518:F518"/>
    <mergeCell ref="C519:F519"/>
    <mergeCell ref="C520:F520"/>
    <mergeCell ref="C509:F509"/>
    <mergeCell ref="C510:F510"/>
    <mergeCell ref="C511:F511"/>
    <mergeCell ref="C512:F512"/>
    <mergeCell ref="C513:F513"/>
    <mergeCell ref="C514:F514"/>
    <mergeCell ref="C503:F503"/>
    <mergeCell ref="C504:F504"/>
    <mergeCell ref="C505:F505"/>
    <mergeCell ref="C506:F506"/>
    <mergeCell ref="C507:F507"/>
    <mergeCell ref="C508:F508"/>
    <mergeCell ref="C497:F497"/>
    <mergeCell ref="C498:F498"/>
    <mergeCell ref="C499:F499"/>
    <mergeCell ref="C500:F500"/>
    <mergeCell ref="C501:F501"/>
    <mergeCell ref="C502:F502"/>
    <mergeCell ref="C491:F491"/>
    <mergeCell ref="C492:F492"/>
    <mergeCell ref="C493:F493"/>
    <mergeCell ref="C494:F494"/>
    <mergeCell ref="C495:F495"/>
    <mergeCell ref="C496:F496"/>
    <mergeCell ref="C485:F485"/>
    <mergeCell ref="C486:F486"/>
    <mergeCell ref="C487:F487"/>
    <mergeCell ref="C488:F488"/>
    <mergeCell ref="C489:F489"/>
    <mergeCell ref="C490:F490"/>
    <mergeCell ref="C479:F479"/>
    <mergeCell ref="C480:F480"/>
    <mergeCell ref="C481:F481"/>
    <mergeCell ref="C482:F482"/>
    <mergeCell ref="C483:F483"/>
    <mergeCell ref="C484:F484"/>
    <mergeCell ref="C473:F473"/>
    <mergeCell ref="C474:F474"/>
    <mergeCell ref="C475:F475"/>
    <mergeCell ref="C476:F476"/>
    <mergeCell ref="C477:F477"/>
    <mergeCell ref="C478:F478"/>
    <mergeCell ref="C467:F467"/>
    <mergeCell ref="C468:F468"/>
    <mergeCell ref="C469:F469"/>
    <mergeCell ref="C470:F470"/>
    <mergeCell ref="C471:F471"/>
    <mergeCell ref="C472:F472"/>
    <mergeCell ref="C461:F461"/>
    <mergeCell ref="C462:F462"/>
    <mergeCell ref="C463:F463"/>
    <mergeCell ref="C464:F464"/>
    <mergeCell ref="C465:F465"/>
    <mergeCell ref="C466:F466"/>
    <mergeCell ref="C455:F455"/>
    <mergeCell ref="C456:F456"/>
    <mergeCell ref="C457:F457"/>
    <mergeCell ref="C458:F458"/>
    <mergeCell ref="C459:F459"/>
    <mergeCell ref="C460:F460"/>
    <mergeCell ref="C449:F449"/>
    <mergeCell ref="C450:F450"/>
    <mergeCell ref="C451:F451"/>
    <mergeCell ref="C452:F452"/>
    <mergeCell ref="C453:F453"/>
    <mergeCell ref="C454:F454"/>
    <mergeCell ref="C443:F443"/>
    <mergeCell ref="C444:F444"/>
    <mergeCell ref="C445:F445"/>
    <mergeCell ref="C446:F446"/>
    <mergeCell ref="C447:F447"/>
    <mergeCell ref="C448:F448"/>
    <mergeCell ref="C437:F437"/>
    <mergeCell ref="C438:F438"/>
    <mergeCell ref="C439:F439"/>
    <mergeCell ref="C440:F440"/>
    <mergeCell ref="C441:F441"/>
    <mergeCell ref="C442:F442"/>
    <mergeCell ref="C431:F431"/>
    <mergeCell ref="C432:F432"/>
    <mergeCell ref="C433:F433"/>
    <mergeCell ref="C434:F434"/>
    <mergeCell ref="C435:F435"/>
    <mergeCell ref="C436:F436"/>
    <mergeCell ref="C425:F425"/>
    <mergeCell ref="C426:F426"/>
    <mergeCell ref="C427:F427"/>
    <mergeCell ref="C428:F428"/>
    <mergeCell ref="C429:F429"/>
    <mergeCell ref="C430:F430"/>
    <mergeCell ref="C419:F419"/>
    <mergeCell ref="C420:F420"/>
    <mergeCell ref="C421:F421"/>
    <mergeCell ref="C422:F422"/>
    <mergeCell ref="C423:F423"/>
    <mergeCell ref="C424:F424"/>
    <mergeCell ref="C413:F413"/>
    <mergeCell ref="C414:F414"/>
    <mergeCell ref="C415:F415"/>
    <mergeCell ref="C416:F416"/>
    <mergeCell ref="C417:F417"/>
    <mergeCell ref="C418:F418"/>
    <mergeCell ref="C407:F407"/>
    <mergeCell ref="C408:F408"/>
    <mergeCell ref="C409:F409"/>
    <mergeCell ref="C410:F410"/>
    <mergeCell ref="C411:F411"/>
    <mergeCell ref="C412:F412"/>
    <mergeCell ref="C401:F401"/>
    <mergeCell ref="C402:F402"/>
    <mergeCell ref="C403:F403"/>
    <mergeCell ref="C404:F404"/>
    <mergeCell ref="C405:F405"/>
    <mergeCell ref="C406:F406"/>
    <mergeCell ref="C395:F395"/>
    <mergeCell ref="C396:F396"/>
    <mergeCell ref="C397:F397"/>
    <mergeCell ref="C398:F398"/>
    <mergeCell ref="C399:F399"/>
    <mergeCell ref="C400:F400"/>
    <mergeCell ref="C389:F389"/>
    <mergeCell ref="C390:F390"/>
    <mergeCell ref="C391:F391"/>
    <mergeCell ref="C392:F392"/>
    <mergeCell ref="C393:F393"/>
    <mergeCell ref="C394:F394"/>
    <mergeCell ref="C383:F383"/>
    <mergeCell ref="C384:F384"/>
    <mergeCell ref="C385:F385"/>
    <mergeCell ref="C386:F386"/>
    <mergeCell ref="C387:F387"/>
    <mergeCell ref="C388:F388"/>
    <mergeCell ref="C377:F377"/>
    <mergeCell ref="C378:F378"/>
    <mergeCell ref="C379:F379"/>
    <mergeCell ref="C380:F380"/>
    <mergeCell ref="C381:F381"/>
    <mergeCell ref="C382:F382"/>
    <mergeCell ref="V372:X372"/>
    <mergeCell ref="Y372:AA372"/>
    <mergeCell ref="AB372:AD372"/>
    <mergeCell ref="C374:F374"/>
    <mergeCell ref="C375:F375"/>
    <mergeCell ref="C376:F376"/>
    <mergeCell ref="C367:G367"/>
    <mergeCell ref="H367:O367"/>
    <mergeCell ref="AA370:AD370"/>
    <mergeCell ref="C371:F373"/>
    <mergeCell ref="G371:AD371"/>
    <mergeCell ref="G372:I372"/>
    <mergeCell ref="J372:L372"/>
    <mergeCell ref="M372:O372"/>
    <mergeCell ref="P372:R372"/>
    <mergeCell ref="S372:U372"/>
    <mergeCell ref="F364:G364"/>
    <mergeCell ref="I364:O364"/>
    <mergeCell ref="F365:G365"/>
    <mergeCell ref="H365:O365"/>
    <mergeCell ref="F366:G366"/>
    <mergeCell ref="H366:O366"/>
    <mergeCell ref="F361:G361"/>
    <mergeCell ref="I361:O361"/>
    <mergeCell ref="F362:G362"/>
    <mergeCell ref="I362:O362"/>
    <mergeCell ref="F363:G363"/>
    <mergeCell ref="I363:O363"/>
    <mergeCell ref="F358:G358"/>
    <mergeCell ref="H358:O358"/>
    <mergeCell ref="F359:G359"/>
    <mergeCell ref="H359:O359"/>
    <mergeCell ref="F360:G360"/>
    <mergeCell ref="I360:O360"/>
    <mergeCell ref="F355:G355"/>
    <mergeCell ref="H355:O355"/>
    <mergeCell ref="F356:G356"/>
    <mergeCell ref="H356:O356"/>
    <mergeCell ref="F357:G357"/>
    <mergeCell ref="H357:O357"/>
    <mergeCell ref="F352:G352"/>
    <mergeCell ref="H352:O352"/>
    <mergeCell ref="F353:G353"/>
    <mergeCell ref="H353:O353"/>
    <mergeCell ref="F354:G354"/>
    <mergeCell ref="H354:O354"/>
    <mergeCell ref="F349:G349"/>
    <mergeCell ref="I349:O349"/>
    <mergeCell ref="F350:G350"/>
    <mergeCell ref="I350:O350"/>
    <mergeCell ref="F351:G351"/>
    <mergeCell ref="H351:O351"/>
    <mergeCell ref="F346:G346"/>
    <mergeCell ref="H346:O346"/>
    <mergeCell ref="F347:G347"/>
    <mergeCell ref="H347:O347"/>
    <mergeCell ref="F348:G348"/>
    <mergeCell ref="I348:O348"/>
    <mergeCell ref="F343:G343"/>
    <mergeCell ref="I343:O343"/>
    <mergeCell ref="F344:G344"/>
    <mergeCell ref="I344:O344"/>
    <mergeCell ref="F345:G345"/>
    <mergeCell ref="I345:O345"/>
    <mergeCell ref="F340:G340"/>
    <mergeCell ref="I340:O340"/>
    <mergeCell ref="F341:G341"/>
    <mergeCell ref="I341:O341"/>
    <mergeCell ref="F342:G342"/>
    <mergeCell ref="I342:O342"/>
    <mergeCell ref="F337:G337"/>
    <mergeCell ref="H337:O337"/>
    <mergeCell ref="F338:G338"/>
    <mergeCell ref="H338:O338"/>
    <mergeCell ref="F339:G339"/>
    <mergeCell ref="I339:O339"/>
    <mergeCell ref="F333:G333"/>
    <mergeCell ref="H333:O333"/>
    <mergeCell ref="C334:C366"/>
    <mergeCell ref="D334:E366"/>
    <mergeCell ref="F334:G334"/>
    <mergeCell ref="H334:O334"/>
    <mergeCell ref="F335:G335"/>
    <mergeCell ref="H335:O335"/>
    <mergeCell ref="F336:G336"/>
    <mergeCell ref="H336:O336"/>
    <mergeCell ref="F330:G330"/>
    <mergeCell ref="I330:O330"/>
    <mergeCell ref="F331:G331"/>
    <mergeCell ref="H331:O331"/>
    <mergeCell ref="F332:G332"/>
    <mergeCell ref="H332:O332"/>
    <mergeCell ref="C317:C333"/>
    <mergeCell ref="D317:E333"/>
    <mergeCell ref="F317:G317"/>
    <mergeCell ref="H317:O317"/>
    <mergeCell ref="F318:G318"/>
    <mergeCell ref="I318:O318"/>
    <mergeCell ref="F319:G319"/>
    <mergeCell ref="I319:O319"/>
    <mergeCell ref="F320:G320"/>
    <mergeCell ref="I320:O320"/>
    <mergeCell ref="F327:G327"/>
    <mergeCell ref="H327:O327"/>
    <mergeCell ref="F328:G328"/>
    <mergeCell ref="I328:O328"/>
    <mergeCell ref="F329:G329"/>
    <mergeCell ref="I329:O329"/>
    <mergeCell ref="F324:G324"/>
    <mergeCell ref="I324:O324"/>
    <mergeCell ref="F325:G325"/>
    <mergeCell ref="I325:O325"/>
    <mergeCell ref="F326:G326"/>
    <mergeCell ref="I326:O326"/>
    <mergeCell ref="F321:G321"/>
    <mergeCell ref="I321:O321"/>
    <mergeCell ref="F322:G322"/>
    <mergeCell ref="I322:O322"/>
    <mergeCell ref="F323:G323"/>
    <mergeCell ref="I323:O323"/>
    <mergeCell ref="F314:G314"/>
    <mergeCell ref="H314:O314"/>
    <mergeCell ref="F315:G315"/>
    <mergeCell ref="H315:O315"/>
    <mergeCell ref="F316:G316"/>
    <mergeCell ref="H316:O316"/>
    <mergeCell ref="F311:G311"/>
    <mergeCell ref="I311:O311"/>
    <mergeCell ref="F312:G312"/>
    <mergeCell ref="I312:O312"/>
    <mergeCell ref="F313:G313"/>
    <mergeCell ref="I313:O313"/>
    <mergeCell ref="F308:G308"/>
    <mergeCell ref="I308:O308"/>
    <mergeCell ref="F309:G309"/>
    <mergeCell ref="I309:O309"/>
    <mergeCell ref="F310:G310"/>
    <mergeCell ref="I310:O310"/>
    <mergeCell ref="F291:G291"/>
    <mergeCell ref="I291:O291"/>
    <mergeCell ref="F292:G292"/>
    <mergeCell ref="I292:O292"/>
    <mergeCell ref="F305:G305"/>
    <mergeCell ref="H305:O305"/>
    <mergeCell ref="F306:G306"/>
    <mergeCell ref="H306:O306"/>
    <mergeCell ref="F307:G307"/>
    <mergeCell ref="H307:O307"/>
    <mergeCell ref="F302:G302"/>
    <mergeCell ref="I302:O302"/>
    <mergeCell ref="F303:G303"/>
    <mergeCell ref="I303:O303"/>
    <mergeCell ref="F304:G304"/>
    <mergeCell ref="H304:O304"/>
    <mergeCell ref="F299:G299"/>
    <mergeCell ref="I299:O299"/>
    <mergeCell ref="F300:G300"/>
    <mergeCell ref="I300:O300"/>
    <mergeCell ref="F301:G301"/>
    <mergeCell ref="I301:O301"/>
    <mergeCell ref="C288:C316"/>
    <mergeCell ref="D288:E316"/>
    <mergeCell ref="F288:G288"/>
    <mergeCell ref="H288:O288"/>
    <mergeCell ref="F289:G289"/>
    <mergeCell ref="I289:O289"/>
    <mergeCell ref="F283:G283"/>
    <mergeCell ref="I283:O283"/>
    <mergeCell ref="F284:G284"/>
    <mergeCell ref="H284:O284"/>
    <mergeCell ref="F285:G285"/>
    <mergeCell ref="H285:O285"/>
    <mergeCell ref="F280:G280"/>
    <mergeCell ref="I280:O280"/>
    <mergeCell ref="F281:G281"/>
    <mergeCell ref="I281:O281"/>
    <mergeCell ref="F282:G282"/>
    <mergeCell ref="I282:O282"/>
    <mergeCell ref="F296:G296"/>
    <mergeCell ref="I296:O296"/>
    <mergeCell ref="F297:G297"/>
    <mergeCell ref="I297:O297"/>
    <mergeCell ref="F298:G298"/>
    <mergeCell ref="I298:O298"/>
    <mergeCell ref="F293:G293"/>
    <mergeCell ref="I293:O293"/>
    <mergeCell ref="F294:G294"/>
    <mergeCell ref="I294:O294"/>
    <mergeCell ref="F295:G295"/>
    <mergeCell ref="H295:O295"/>
    <mergeCell ref="F290:G290"/>
    <mergeCell ref="I290:O290"/>
    <mergeCell ref="F277:G277"/>
    <mergeCell ref="I277:O277"/>
    <mergeCell ref="F278:G278"/>
    <mergeCell ref="H278:O278"/>
    <mergeCell ref="F279:G279"/>
    <mergeCell ref="I279:O279"/>
    <mergeCell ref="F274:G274"/>
    <mergeCell ref="I274:O274"/>
    <mergeCell ref="F275:G275"/>
    <mergeCell ref="I275:O275"/>
    <mergeCell ref="F276:G276"/>
    <mergeCell ref="I276:O276"/>
    <mergeCell ref="C270:C287"/>
    <mergeCell ref="D270:E287"/>
    <mergeCell ref="F270:G270"/>
    <mergeCell ref="H270:O270"/>
    <mergeCell ref="F271:G271"/>
    <mergeCell ref="I271:O271"/>
    <mergeCell ref="F272:G272"/>
    <mergeCell ref="I272:O272"/>
    <mergeCell ref="F273:G273"/>
    <mergeCell ref="I273:O273"/>
    <mergeCell ref="F286:G286"/>
    <mergeCell ref="H286:O286"/>
    <mergeCell ref="F287:G287"/>
    <mergeCell ref="H287:O287"/>
    <mergeCell ref="C267:C269"/>
    <mergeCell ref="D267:E269"/>
    <mergeCell ref="F267:G267"/>
    <mergeCell ref="H267:O267"/>
    <mergeCell ref="F268:G268"/>
    <mergeCell ref="H268:O268"/>
    <mergeCell ref="F269:G269"/>
    <mergeCell ref="H269:O269"/>
    <mergeCell ref="F264:G264"/>
    <mergeCell ref="H264:O264"/>
    <mergeCell ref="F265:G265"/>
    <mergeCell ref="H265:O265"/>
    <mergeCell ref="F266:G266"/>
    <mergeCell ref="H266:O266"/>
    <mergeCell ref="F261:G261"/>
    <mergeCell ref="I261:O261"/>
    <mergeCell ref="F262:G262"/>
    <mergeCell ref="I262:O262"/>
    <mergeCell ref="F263:G263"/>
    <mergeCell ref="I263:O263"/>
    <mergeCell ref="C233:C266"/>
    <mergeCell ref="D233:E266"/>
    <mergeCell ref="F233:G233"/>
    <mergeCell ref="H233:O233"/>
    <mergeCell ref="F251:G251"/>
    <mergeCell ref="I251:O251"/>
    <mergeCell ref="F246:G246"/>
    <mergeCell ref="I246:O246"/>
    <mergeCell ref="F247:G247"/>
    <mergeCell ref="I247:O247"/>
    <mergeCell ref="F248:G248"/>
    <mergeCell ref="I248:O248"/>
    <mergeCell ref="F243:G243"/>
    <mergeCell ref="I243:O243"/>
    <mergeCell ref="F244:G244"/>
    <mergeCell ref="I244:O244"/>
    <mergeCell ref="F245:G245"/>
    <mergeCell ref="I245:O245"/>
    <mergeCell ref="F260:G260"/>
    <mergeCell ref="H260:O260"/>
    <mergeCell ref="F255:G255"/>
    <mergeCell ref="I255:O255"/>
    <mergeCell ref="F256:G256"/>
    <mergeCell ref="I256:O256"/>
    <mergeCell ref="F257:G257"/>
    <mergeCell ref="I257:O257"/>
    <mergeCell ref="F252:G252"/>
    <mergeCell ref="H252:O252"/>
    <mergeCell ref="F253:G253"/>
    <mergeCell ref="I253:O253"/>
    <mergeCell ref="F254:G254"/>
    <mergeCell ref="I254:O254"/>
    <mergeCell ref="F258:G258"/>
    <mergeCell ref="H258:O258"/>
    <mergeCell ref="F259:G259"/>
    <mergeCell ref="H259:O259"/>
    <mergeCell ref="F249:G249"/>
    <mergeCell ref="I249:O249"/>
    <mergeCell ref="F250:G250"/>
    <mergeCell ref="I250:O250"/>
    <mergeCell ref="F224:G224"/>
    <mergeCell ref="H224:O224"/>
    <mergeCell ref="F225:G225"/>
    <mergeCell ref="I225:O225"/>
    <mergeCell ref="F226:G226"/>
    <mergeCell ref="I226:O226"/>
    <mergeCell ref="F240:G240"/>
    <mergeCell ref="I240:O240"/>
    <mergeCell ref="F241:G241"/>
    <mergeCell ref="I241:O241"/>
    <mergeCell ref="F242:G242"/>
    <mergeCell ref="I242:O242"/>
    <mergeCell ref="F237:G237"/>
    <mergeCell ref="I237:O237"/>
    <mergeCell ref="F238:G238"/>
    <mergeCell ref="I238:O238"/>
    <mergeCell ref="F239:G239"/>
    <mergeCell ref="I239:O239"/>
    <mergeCell ref="F234:G234"/>
    <mergeCell ref="I234:O234"/>
    <mergeCell ref="F235:G235"/>
    <mergeCell ref="I235:O235"/>
    <mergeCell ref="F236:G236"/>
    <mergeCell ref="I236:O236"/>
    <mergeCell ref="C221:C232"/>
    <mergeCell ref="D221:E232"/>
    <mergeCell ref="F221:G221"/>
    <mergeCell ref="H221:O221"/>
    <mergeCell ref="F222:G222"/>
    <mergeCell ref="H222:O222"/>
    <mergeCell ref="F223:G223"/>
    <mergeCell ref="H223:O223"/>
    <mergeCell ref="F217:G217"/>
    <mergeCell ref="I217:O217"/>
    <mergeCell ref="F218:G218"/>
    <mergeCell ref="I218:O218"/>
    <mergeCell ref="F219:G219"/>
    <mergeCell ref="I219:O219"/>
    <mergeCell ref="F214:G214"/>
    <mergeCell ref="I214:O214"/>
    <mergeCell ref="F215:G215"/>
    <mergeCell ref="I215:O215"/>
    <mergeCell ref="F216:G216"/>
    <mergeCell ref="I216:O216"/>
    <mergeCell ref="F230:G230"/>
    <mergeCell ref="H230:O230"/>
    <mergeCell ref="F231:G231"/>
    <mergeCell ref="H231:O231"/>
    <mergeCell ref="F232:G232"/>
    <mergeCell ref="H232:O232"/>
    <mergeCell ref="F227:G227"/>
    <mergeCell ref="I227:O227"/>
    <mergeCell ref="F228:G228"/>
    <mergeCell ref="I228:O228"/>
    <mergeCell ref="F229:G229"/>
    <mergeCell ref="I229:O229"/>
    <mergeCell ref="F211:G211"/>
    <mergeCell ref="H211:O211"/>
    <mergeCell ref="F212:G212"/>
    <mergeCell ref="H212:O212"/>
    <mergeCell ref="F213:G213"/>
    <mergeCell ref="H213:O213"/>
    <mergeCell ref="F207:G207"/>
    <mergeCell ref="H207:O207"/>
    <mergeCell ref="C208:C220"/>
    <mergeCell ref="D208:E220"/>
    <mergeCell ref="F208:G208"/>
    <mergeCell ref="H208:O208"/>
    <mergeCell ref="F209:G209"/>
    <mergeCell ref="H209:O209"/>
    <mergeCell ref="F210:G210"/>
    <mergeCell ref="H210:O210"/>
    <mergeCell ref="C203:C207"/>
    <mergeCell ref="D203:E207"/>
    <mergeCell ref="F203:G203"/>
    <mergeCell ref="H203:O203"/>
    <mergeCell ref="F204:G204"/>
    <mergeCell ref="H204:O204"/>
    <mergeCell ref="F205:G205"/>
    <mergeCell ref="H205:O205"/>
    <mergeCell ref="F206:G206"/>
    <mergeCell ref="H206:O206"/>
    <mergeCell ref="F220:G220"/>
    <mergeCell ref="H220:O220"/>
    <mergeCell ref="Q201:Q202"/>
    <mergeCell ref="R201:R202"/>
    <mergeCell ref="S201:U201"/>
    <mergeCell ref="V201:X201"/>
    <mergeCell ref="Y201:AA201"/>
    <mergeCell ref="AB201:AD201"/>
    <mergeCell ref="C188:AD188"/>
    <mergeCell ref="B195:AD195"/>
    <mergeCell ref="C196:AD196"/>
    <mergeCell ref="C197:AD197"/>
    <mergeCell ref="AA199:AD199"/>
    <mergeCell ref="C200:E202"/>
    <mergeCell ref="F200:G202"/>
    <mergeCell ref="H200:O202"/>
    <mergeCell ref="P200:AD200"/>
    <mergeCell ref="P201:P202"/>
    <mergeCell ref="V181:X181"/>
    <mergeCell ref="Y181:AA181"/>
    <mergeCell ref="AB181:AD181"/>
    <mergeCell ref="D183:F183"/>
    <mergeCell ref="D184:F184"/>
    <mergeCell ref="C187:AD187"/>
    <mergeCell ref="B189:AE189"/>
    <mergeCell ref="B190:AE190"/>
    <mergeCell ref="B191:AE191"/>
    <mergeCell ref="B192:AE192"/>
    <mergeCell ref="B193:AE193"/>
    <mergeCell ref="B194:AE194"/>
    <mergeCell ref="D175:O175"/>
    <mergeCell ref="D176:O176"/>
    <mergeCell ref="AA179:AD179"/>
    <mergeCell ref="C180:F182"/>
    <mergeCell ref="G180:AD180"/>
    <mergeCell ref="G181:I181"/>
    <mergeCell ref="J181:L181"/>
    <mergeCell ref="M181:O181"/>
    <mergeCell ref="P181:R181"/>
    <mergeCell ref="S181:U181"/>
    <mergeCell ref="AA171:AD171"/>
    <mergeCell ref="C172:O174"/>
    <mergeCell ref="P172:AD172"/>
    <mergeCell ref="P173:P174"/>
    <mergeCell ref="Q173:Q174"/>
    <mergeCell ref="R173:R174"/>
    <mergeCell ref="S173:U173"/>
    <mergeCell ref="V173:X173"/>
    <mergeCell ref="Y173:AA173"/>
    <mergeCell ref="AB173:AD173"/>
    <mergeCell ref="C167:AD167"/>
    <mergeCell ref="C168:AD168"/>
    <mergeCell ref="C169:AD169"/>
    <mergeCell ref="B157:AD157"/>
    <mergeCell ref="B156:AD156"/>
    <mergeCell ref="C158:AD158"/>
    <mergeCell ref="C159:AD159"/>
    <mergeCell ref="D143:F143"/>
    <mergeCell ref="C146:E146"/>
    <mergeCell ref="F146:AD146"/>
    <mergeCell ref="C148:AD148"/>
    <mergeCell ref="C149:AD149"/>
    <mergeCell ref="D137:F137"/>
    <mergeCell ref="D138:F138"/>
    <mergeCell ref="D139:F139"/>
    <mergeCell ref="D140:F140"/>
    <mergeCell ref="D141:F141"/>
    <mergeCell ref="D142:F142"/>
    <mergeCell ref="C160:AD160"/>
    <mergeCell ref="C161:AD161"/>
    <mergeCell ref="C162:AD162"/>
    <mergeCell ref="C163:AD163"/>
    <mergeCell ref="C164:AD164"/>
    <mergeCell ref="B166:AD166"/>
    <mergeCell ref="B147:AE147"/>
    <mergeCell ref="B150:AE150"/>
    <mergeCell ref="B151:AE151"/>
    <mergeCell ref="B152:AE152"/>
    <mergeCell ref="B153:AE153"/>
    <mergeCell ref="B154:AE154"/>
    <mergeCell ref="P134:R134"/>
    <mergeCell ref="S134:U134"/>
    <mergeCell ref="V134:X134"/>
    <mergeCell ref="Y134:AA134"/>
    <mergeCell ref="AB134:AD134"/>
    <mergeCell ref="D136:F136"/>
    <mergeCell ref="D126:O126"/>
    <mergeCell ref="D127:O127"/>
    <mergeCell ref="D128:O128"/>
    <mergeCell ref="D129:O129"/>
    <mergeCell ref="AA132:AD132"/>
    <mergeCell ref="C133:F135"/>
    <mergeCell ref="G133:AD133"/>
    <mergeCell ref="G134:I134"/>
    <mergeCell ref="J134:L134"/>
    <mergeCell ref="M134:O134"/>
    <mergeCell ref="Y120:AA120"/>
    <mergeCell ref="AB120:AD120"/>
    <mergeCell ref="D122:O122"/>
    <mergeCell ref="D123:O123"/>
    <mergeCell ref="D124:O124"/>
    <mergeCell ref="D125:O125"/>
    <mergeCell ref="C115:AD115"/>
    <mergeCell ref="C116:AD116"/>
    <mergeCell ref="AA118:AD118"/>
    <mergeCell ref="C119:O121"/>
    <mergeCell ref="P119:AD119"/>
    <mergeCell ref="P120:P121"/>
    <mergeCell ref="Q120:Q121"/>
    <mergeCell ref="R120:R121"/>
    <mergeCell ref="S120:U120"/>
    <mergeCell ref="V120:X120"/>
    <mergeCell ref="D101:R101"/>
    <mergeCell ref="D102:R102"/>
    <mergeCell ref="C105:AD105"/>
    <mergeCell ref="C106:AD106"/>
    <mergeCell ref="B113:AD113"/>
    <mergeCell ref="C114:AD114"/>
    <mergeCell ref="D95:R95"/>
    <mergeCell ref="D96:R96"/>
    <mergeCell ref="D97:R97"/>
    <mergeCell ref="D98:R98"/>
    <mergeCell ref="D99:R99"/>
    <mergeCell ref="D100:R100"/>
    <mergeCell ref="B107:AE107"/>
    <mergeCell ref="B108:AE108"/>
    <mergeCell ref="B109:AE109"/>
    <mergeCell ref="B110:AE110"/>
    <mergeCell ref="B111:AE111"/>
    <mergeCell ref="C90:AD90"/>
    <mergeCell ref="C92:R94"/>
    <mergeCell ref="S92:AD92"/>
    <mergeCell ref="S93:S94"/>
    <mergeCell ref="T93:T94"/>
    <mergeCell ref="U93:U94"/>
    <mergeCell ref="V93:X93"/>
    <mergeCell ref="Y93:AA93"/>
    <mergeCell ref="AB93:AD93"/>
    <mergeCell ref="D75:O75"/>
    <mergeCell ref="D76:O76"/>
    <mergeCell ref="C79:AD79"/>
    <mergeCell ref="C80:AD80"/>
    <mergeCell ref="B87:AD87"/>
    <mergeCell ref="C88:AD88"/>
    <mergeCell ref="D69:O69"/>
    <mergeCell ref="D70:O70"/>
    <mergeCell ref="D71:O71"/>
    <mergeCell ref="D72:O72"/>
    <mergeCell ref="D73:O73"/>
    <mergeCell ref="D74:O74"/>
    <mergeCell ref="C89:AD89"/>
    <mergeCell ref="B81:AE81"/>
    <mergeCell ref="B82:AE82"/>
    <mergeCell ref="B83:AE83"/>
    <mergeCell ref="C63:AD63"/>
    <mergeCell ref="C65:O68"/>
    <mergeCell ref="P65:AD65"/>
    <mergeCell ref="P66:U66"/>
    <mergeCell ref="V66:X67"/>
    <mergeCell ref="Y66:AA67"/>
    <mergeCell ref="AB66:AD67"/>
    <mergeCell ref="P67:R67"/>
    <mergeCell ref="S67:U67"/>
    <mergeCell ref="M51:R51"/>
    <mergeCell ref="S51:X51"/>
    <mergeCell ref="Y51:AD51"/>
    <mergeCell ref="C53:AD53"/>
    <mergeCell ref="C54:AD54"/>
    <mergeCell ref="B61:AD61"/>
    <mergeCell ref="D49:L49"/>
    <mergeCell ref="M49:R49"/>
    <mergeCell ref="S49:X49"/>
    <mergeCell ref="Y49:AD49"/>
    <mergeCell ref="D50:L50"/>
    <mergeCell ref="M50:R50"/>
    <mergeCell ref="S50:X50"/>
    <mergeCell ref="Y50:AD50"/>
    <mergeCell ref="B55:AE55"/>
    <mergeCell ref="B56:AE56"/>
    <mergeCell ref="B57:AE57"/>
    <mergeCell ref="C11:AD11"/>
    <mergeCell ref="C12:AD12"/>
    <mergeCell ref="C13:AD13"/>
    <mergeCell ref="D47:L47"/>
    <mergeCell ref="M47:R47"/>
    <mergeCell ref="S47:X47"/>
    <mergeCell ref="Y47:AD47"/>
    <mergeCell ref="D48:L48"/>
    <mergeCell ref="M48:R48"/>
    <mergeCell ref="S48:X48"/>
    <mergeCell ref="Y48:AD48"/>
    <mergeCell ref="D45:L45"/>
    <mergeCell ref="M45:R45"/>
    <mergeCell ref="S45:X45"/>
    <mergeCell ref="Y45:AD45"/>
    <mergeCell ref="D46:L46"/>
    <mergeCell ref="M46:R46"/>
    <mergeCell ref="S46:X46"/>
    <mergeCell ref="Y46:AD46"/>
    <mergeCell ref="D43:L43"/>
    <mergeCell ref="M43:R43"/>
    <mergeCell ref="S43:X43"/>
    <mergeCell ref="Y43:AD43"/>
    <mergeCell ref="D44:L44"/>
    <mergeCell ref="M44:R44"/>
    <mergeCell ref="S44:X44"/>
    <mergeCell ref="Y44:AD44"/>
    <mergeCell ref="C14:AD14"/>
    <mergeCell ref="C18:AD18"/>
    <mergeCell ref="C19:AD19"/>
    <mergeCell ref="C20:AD20"/>
    <mergeCell ref="C17:AD17"/>
    <mergeCell ref="D23:AD23"/>
    <mergeCell ref="C16:AD16"/>
    <mergeCell ref="C15:AD15"/>
    <mergeCell ref="B21:AD21"/>
    <mergeCell ref="C22:AD22"/>
    <mergeCell ref="C39:AD39"/>
    <mergeCell ref="C62:AD62"/>
    <mergeCell ref="B1:AD1"/>
    <mergeCell ref="B3:AD3"/>
    <mergeCell ref="B5:AD5"/>
    <mergeCell ref="AA7:AD7"/>
    <mergeCell ref="B8:L8"/>
    <mergeCell ref="N8:O8"/>
    <mergeCell ref="B36:AD36"/>
    <mergeCell ref="B38:AD38"/>
    <mergeCell ref="C41:L42"/>
    <mergeCell ref="M41:AD41"/>
    <mergeCell ref="M42:R42"/>
    <mergeCell ref="S42:X42"/>
    <mergeCell ref="Y42:AD42"/>
    <mergeCell ref="D29:AD29"/>
    <mergeCell ref="D30:AD30"/>
    <mergeCell ref="D31:AD31"/>
    <mergeCell ref="D32:AD32"/>
    <mergeCell ref="D33:AD33"/>
    <mergeCell ref="D34:AD34"/>
    <mergeCell ref="D24:AD24"/>
    <mergeCell ref="D25:AD25"/>
    <mergeCell ref="D26:AD26"/>
    <mergeCell ref="D27:AD27"/>
    <mergeCell ref="D28:AD28"/>
    <mergeCell ref="B10:AD10"/>
  </mergeCells>
  <conditionalFormatting sqref="C168:AD168">
    <cfRule type="expression" dxfId="484" priority="12">
      <formula>AND(BJ178&gt;0,C188="")</formula>
    </cfRule>
  </conditionalFormatting>
  <conditionalFormatting sqref="C169:AD169">
    <cfRule type="expression" dxfId="483" priority="11">
      <formula>AND(CX175&gt;0,C188="")</formula>
    </cfRule>
  </conditionalFormatting>
  <conditionalFormatting sqref="F146:AD146">
    <cfRule type="expression" dxfId="482" priority="15">
      <formula>OR(AB144=0,AB144="NA",AB144="NS")</formula>
    </cfRule>
    <cfRule type="expression" dxfId="481" priority="16">
      <formula>AND(AB144&gt;0,AB144&lt;&gt;"NA",AB144&lt;&gt;"NS",F146="")</formula>
    </cfRule>
  </conditionalFormatting>
  <conditionalFormatting sqref="G136:AD143">
    <cfRule type="expression" dxfId="480" priority="17">
      <formula>OR($M43=0,$M43="NS",$M43="NA")</formula>
    </cfRule>
  </conditionalFormatting>
  <conditionalFormatting sqref="G183:AD184">
    <cfRule type="expression" dxfId="479" priority="13">
      <formula>OR($M$51=0,$M$51="NS",$M$51="NA")</formula>
    </cfRule>
  </conditionalFormatting>
  <conditionalFormatting sqref="G374:AD538">
    <cfRule type="expression" dxfId="478" priority="7">
      <formula>OR($P$175=0,$P$175="NS",$P$175="NA")</formula>
    </cfRule>
    <cfRule type="expression" dxfId="477" priority="9">
      <formula>$P203="NA"</formula>
    </cfRule>
  </conditionalFormatting>
  <conditionalFormatting sqref="G728:AD892">
    <cfRule type="expression" dxfId="476" priority="3">
      <formula>OR($P$176=0,$P$176="NS",$P$176="NA")</formula>
    </cfRule>
    <cfRule type="expression" dxfId="475" priority="5">
      <formula>$P557="NA"</formula>
    </cfRule>
  </conditionalFormatting>
  <conditionalFormatting sqref="P122:AD129">
    <cfRule type="expression" dxfId="474" priority="18">
      <formula>OR($M43=0,$M43="NS",$M43="NA")</formula>
    </cfRule>
  </conditionalFormatting>
  <conditionalFormatting sqref="P175:AD176">
    <cfRule type="expression" dxfId="473" priority="14">
      <formula>OR($M$51=0,$M$51="NS",$M$51="NA")</formula>
    </cfRule>
  </conditionalFormatting>
  <conditionalFormatting sqref="P203:AD367">
    <cfRule type="expression" dxfId="472" priority="8">
      <formula>OR($P$175=0,$P$175="NS",$P$175="NA")</formula>
    </cfRule>
  </conditionalFormatting>
  <conditionalFormatting sqref="P557:AD721">
    <cfRule type="expression" dxfId="471" priority="4">
      <formula>OR($P$176=0,$P$176="NS",$P$176="NA")</formula>
    </cfRule>
  </conditionalFormatting>
  <conditionalFormatting sqref="Q203:AD367">
    <cfRule type="expression" dxfId="470" priority="10">
      <formula>$P203="NA"</formula>
    </cfRule>
  </conditionalFormatting>
  <conditionalFormatting sqref="Q557:AD721">
    <cfRule type="expression" dxfId="469" priority="6">
      <formula>$P557="NA"</formula>
    </cfRule>
  </conditionalFormatting>
  <conditionalFormatting sqref="S95:AD102">
    <cfRule type="expression" dxfId="468" priority="19">
      <formula>OR($M43=0,$M43="NS",$M43="NA")</formula>
    </cfRule>
  </conditionalFormatting>
  <hyperlinks>
    <hyperlink ref="AA7:AD7" location="Índice!B33" display="Índice" xr:uid="{F0C96E36-FD97-4220-BDD9-55F5C48499F7}"/>
  </hyperlinks>
  <printOptions horizontalCentered="1"/>
  <pageMargins left="0.70866141732283472" right="0.70866141732283472" top="0.74803149606299213" bottom="0.74803149606299213" header="0.31496062992125984" footer="0.31496062992125984"/>
  <pageSetup scale="75" orientation="portrait" r:id="rId1"/>
  <headerFooter>
    <oddHeader>&amp;CMódulo 2 Sección X
Cuestionario</oddHeader>
    <oddFooter>&amp;LCenso Nacional de Sistemas Penitenciarios Estatales 2024&amp;R&amp;P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47639-88B6-4B23-B907-10AEF6E4BDE6}">
  <dimension ref="A1:CF733"/>
  <sheetViews>
    <sheetView showGridLines="0" zoomScaleNormal="100" workbookViewId="0"/>
  </sheetViews>
  <sheetFormatPr baseColWidth="10" defaultColWidth="0" defaultRowHeight="0" customHeight="1" zeroHeight="1"/>
  <cols>
    <col min="1" max="1" width="5.7109375" style="115" customWidth="1"/>
    <col min="2" max="30" width="3.7109375" style="3" customWidth="1"/>
    <col min="31" max="31" width="5.7109375" style="3" customWidth="1"/>
    <col min="32" max="84" width="0" style="3" hidden="1" customWidth="1"/>
    <col min="85" max="16384" width="9.28515625" style="3" hidden="1"/>
  </cols>
  <sheetData>
    <row r="1" spans="1:30" ht="173.25" customHeight="1">
      <c r="A1" s="147"/>
      <c r="B1" s="718" t="s">
        <v>0</v>
      </c>
      <c r="C1" s="719"/>
      <c r="D1" s="719"/>
      <c r="E1" s="719"/>
      <c r="F1" s="719"/>
      <c r="G1" s="719"/>
      <c r="H1" s="719"/>
      <c r="I1" s="719"/>
      <c r="J1" s="719"/>
      <c r="K1" s="719"/>
      <c r="L1" s="719"/>
      <c r="M1" s="719"/>
      <c r="N1" s="719"/>
      <c r="O1" s="719"/>
      <c r="P1" s="719"/>
      <c r="Q1" s="719"/>
      <c r="R1" s="719"/>
      <c r="S1" s="719"/>
      <c r="T1" s="719"/>
      <c r="U1" s="719"/>
      <c r="V1" s="719"/>
      <c r="W1" s="719"/>
      <c r="X1" s="719"/>
      <c r="Y1" s="719"/>
      <c r="Z1" s="719"/>
      <c r="AA1" s="719"/>
      <c r="AB1" s="719"/>
      <c r="AC1" s="719"/>
      <c r="AD1" s="719"/>
    </row>
    <row r="2" spans="1:30" ht="15" customHeight="1">
      <c r="A2" s="147"/>
    </row>
    <row r="3" spans="1:30" ht="45" customHeight="1">
      <c r="A3" s="147"/>
      <c r="B3" s="720" t="s">
        <v>1</v>
      </c>
      <c r="C3" s="721"/>
      <c r="D3" s="721"/>
      <c r="E3" s="721"/>
      <c r="F3" s="721"/>
      <c r="G3" s="721"/>
      <c r="H3" s="721"/>
      <c r="I3" s="721"/>
      <c r="J3" s="721"/>
      <c r="K3" s="721"/>
      <c r="L3" s="721"/>
      <c r="M3" s="721"/>
      <c r="N3" s="721"/>
      <c r="O3" s="721"/>
      <c r="P3" s="721"/>
      <c r="Q3" s="721"/>
      <c r="R3" s="721"/>
      <c r="S3" s="721"/>
      <c r="T3" s="721"/>
      <c r="U3" s="721"/>
      <c r="V3" s="721"/>
      <c r="W3" s="721"/>
      <c r="X3" s="721"/>
      <c r="Y3" s="721"/>
      <c r="Z3" s="721"/>
      <c r="AA3" s="721"/>
      <c r="AB3" s="721"/>
      <c r="AC3" s="721"/>
      <c r="AD3" s="721"/>
    </row>
    <row r="4" spans="1:30" ht="15" customHeight="1">
      <c r="A4" s="147"/>
    </row>
    <row r="5" spans="1:30" ht="45" customHeight="1">
      <c r="A5" s="147"/>
      <c r="B5" s="720" t="s">
        <v>28</v>
      </c>
      <c r="C5" s="721"/>
      <c r="D5" s="721"/>
      <c r="E5" s="721"/>
      <c r="F5" s="721"/>
      <c r="G5" s="721"/>
      <c r="H5" s="721"/>
      <c r="I5" s="721"/>
      <c r="J5" s="721"/>
      <c r="K5" s="721"/>
      <c r="L5" s="721"/>
      <c r="M5" s="721"/>
      <c r="N5" s="721"/>
      <c r="O5" s="721"/>
      <c r="P5" s="721"/>
      <c r="Q5" s="721"/>
      <c r="R5" s="721"/>
      <c r="S5" s="721"/>
      <c r="T5" s="721"/>
      <c r="U5" s="721"/>
      <c r="V5" s="721"/>
      <c r="W5" s="721"/>
      <c r="X5" s="721"/>
      <c r="Y5" s="721"/>
      <c r="Z5" s="721"/>
      <c r="AA5" s="721"/>
      <c r="AB5" s="721"/>
      <c r="AC5" s="721"/>
      <c r="AD5" s="721"/>
    </row>
    <row r="6" spans="1:30" ht="15" customHeight="1">
      <c r="A6" s="147"/>
    </row>
    <row r="7" spans="1:30" ht="15" customHeight="1" thickBot="1">
      <c r="A7" s="147"/>
      <c r="B7" s="23" t="s">
        <v>3</v>
      </c>
      <c r="N7" s="23" t="s">
        <v>4</v>
      </c>
      <c r="P7" s="24"/>
      <c r="Q7" s="24"/>
      <c r="R7" s="24"/>
      <c r="S7" s="24"/>
      <c r="T7" s="24"/>
      <c r="U7" s="24"/>
      <c r="V7" s="24"/>
      <c r="W7" s="24"/>
      <c r="X7" s="24"/>
      <c r="Y7" s="24"/>
      <c r="Z7" s="24"/>
      <c r="AA7" s="758" t="s">
        <v>2</v>
      </c>
      <c r="AB7" s="758"/>
      <c r="AC7" s="758"/>
      <c r="AD7" s="758"/>
    </row>
    <row r="8" spans="1:30" ht="15" customHeight="1" thickBot="1">
      <c r="A8" s="49"/>
      <c r="B8" s="722" t="str">
        <f>IF(Presentación!B8="","",Presentación!B8)</f>
        <v>Puebla</v>
      </c>
      <c r="C8" s="723"/>
      <c r="D8" s="723"/>
      <c r="E8" s="723"/>
      <c r="F8" s="723"/>
      <c r="G8" s="723"/>
      <c r="H8" s="723"/>
      <c r="I8" s="723"/>
      <c r="J8" s="723"/>
      <c r="K8" s="723"/>
      <c r="L8" s="724"/>
      <c r="M8" s="25"/>
      <c r="N8" s="722">
        <f>IF(Presentación!N8="","",Presentación!N8)</f>
        <v>221</v>
      </c>
      <c r="O8" s="724"/>
      <c r="P8" s="107"/>
      <c r="Q8" s="107"/>
      <c r="R8" s="107"/>
      <c r="S8" s="109"/>
      <c r="T8" s="107"/>
      <c r="U8" s="107"/>
      <c r="V8" s="107"/>
      <c r="W8" s="107"/>
      <c r="X8" s="107"/>
      <c r="Y8" s="107"/>
      <c r="Z8" s="107"/>
      <c r="AA8" s="107"/>
      <c r="AB8" s="107"/>
      <c r="AC8" s="107"/>
      <c r="AD8" s="107"/>
    </row>
    <row r="9" spans="1:30" ht="15" customHeight="1">
      <c r="A9" s="147"/>
      <c r="C9" s="24"/>
      <c r="D9" s="24"/>
      <c r="E9" s="24"/>
      <c r="F9" s="24"/>
      <c r="G9" s="24"/>
      <c r="H9" s="24"/>
      <c r="I9" s="24"/>
      <c r="J9" s="24"/>
      <c r="K9" s="24"/>
      <c r="L9" s="24"/>
      <c r="M9" s="24"/>
      <c r="N9" s="24"/>
      <c r="O9" s="24"/>
      <c r="P9" s="24"/>
      <c r="Q9" s="24"/>
      <c r="R9" s="24"/>
      <c r="S9" s="24"/>
      <c r="T9" s="24"/>
      <c r="U9" s="24"/>
      <c r="V9" s="24"/>
      <c r="W9" s="24"/>
      <c r="X9" s="24"/>
      <c r="Y9" s="24"/>
      <c r="Z9" s="24"/>
      <c r="AA9" s="24"/>
      <c r="AB9" s="24"/>
      <c r="AC9" s="24"/>
    </row>
    <row r="10" spans="1:30" ht="15" customHeight="1">
      <c r="A10" s="94"/>
      <c r="B10" s="892" t="s">
        <v>2552</v>
      </c>
      <c r="C10" s="893"/>
      <c r="D10" s="893"/>
      <c r="E10" s="893"/>
      <c r="F10" s="893"/>
      <c r="G10" s="893"/>
      <c r="H10" s="893"/>
      <c r="I10" s="893"/>
      <c r="J10" s="893"/>
      <c r="K10" s="893"/>
      <c r="L10" s="893"/>
      <c r="M10" s="893"/>
      <c r="N10" s="893"/>
      <c r="O10" s="893"/>
      <c r="P10" s="893"/>
      <c r="Q10" s="893"/>
      <c r="R10" s="893"/>
      <c r="S10" s="893"/>
      <c r="T10" s="893"/>
      <c r="U10" s="893"/>
      <c r="V10" s="893"/>
      <c r="W10" s="893"/>
      <c r="X10" s="893"/>
      <c r="Y10" s="893"/>
      <c r="Z10" s="893"/>
      <c r="AA10" s="893"/>
      <c r="AB10" s="893"/>
      <c r="AC10" s="893"/>
      <c r="AD10" s="894"/>
    </row>
    <row r="11" spans="1:30" ht="36" customHeight="1">
      <c r="A11" s="94"/>
      <c r="B11" s="654"/>
      <c r="C11" s="754" t="s">
        <v>2553</v>
      </c>
      <c r="D11" s="830"/>
      <c r="E11" s="830"/>
      <c r="F11" s="830"/>
      <c r="G11" s="830"/>
      <c r="H11" s="830"/>
      <c r="I11" s="830"/>
      <c r="J11" s="830"/>
      <c r="K11" s="830"/>
      <c r="L11" s="830"/>
      <c r="M11" s="830"/>
      <c r="N11" s="830"/>
      <c r="O11" s="830"/>
      <c r="P11" s="830"/>
      <c r="Q11" s="830"/>
      <c r="R11" s="830"/>
      <c r="S11" s="830"/>
      <c r="T11" s="830"/>
      <c r="U11" s="830"/>
      <c r="V11" s="830"/>
      <c r="W11" s="830"/>
      <c r="X11" s="830"/>
      <c r="Y11" s="830"/>
      <c r="Z11" s="830"/>
      <c r="AA11" s="830"/>
      <c r="AB11" s="830"/>
      <c r="AC11" s="830"/>
      <c r="AD11" s="895"/>
    </row>
    <row r="12" spans="1:30" ht="24" customHeight="1">
      <c r="A12" s="94"/>
      <c r="B12" s="654"/>
      <c r="C12" s="754" t="s">
        <v>2554</v>
      </c>
      <c r="D12" s="830"/>
      <c r="E12" s="830"/>
      <c r="F12" s="830"/>
      <c r="G12" s="830"/>
      <c r="H12" s="830"/>
      <c r="I12" s="830"/>
      <c r="J12" s="830"/>
      <c r="K12" s="830"/>
      <c r="L12" s="830"/>
      <c r="M12" s="830"/>
      <c r="N12" s="830"/>
      <c r="O12" s="830"/>
      <c r="P12" s="830"/>
      <c r="Q12" s="830"/>
      <c r="R12" s="830"/>
      <c r="S12" s="830"/>
      <c r="T12" s="830"/>
      <c r="U12" s="830"/>
      <c r="V12" s="830"/>
      <c r="W12" s="830"/>
      <c r="X12" s="830"/>
      <c r="Y12" s="830"/>
      <c r="Z12" s="830"/>
      <c r="AA12" s="830"/>
      <c r="AB12" s="830"/>
      <c r="AC12" s="830"/>
      <c r="AD12" s="895"/>
    </row>
    <row r="13" spans="1:30" ht="60" customHeight="1">
      <c r="A13" s="146"/>
      <c r="B13" s="654"/>
      <c r="C13" s="754" t="s">
        <v>2555</v>
      </c>
      <c r="D13" s="830"/>
      <c r="E13" s="830"/>
      <c r="F13" s="830"/>
      <c r="G13" s="830"/>
      <c r="H13" s="830"/>
      <c r="I13" s="830"/>
      <c r="J13" s="830"/>
      <c r="K13" s="830"/>
      <c r="L13" s="830"/>
      <c r="M13" s="830"/>
      <c r="N13" s="830"/>
      <c r="O13" s="830"/>
      <c r="P13" s="830"/>
      <c r="Q13" s="830"/>
      <c r="R13" s="830"/>
      <c r="S13" s="830"/>
      <c r="T13" s="830"/>
      <c r="U13" s="830"/>
      <c r="V13" s="830"/>
      <c r="W13" s="830"/>
      <c r="X13" s="830"/>
      <c r="Y13" s="830"/>
      <c r="Z13" s="830"/>
      <c r="AA13" s="830"/>
      <c r="AB13" s="830"/>
      <c r="AC13" s="830"/>
      <c r="AD13" s="895"/>
    </row>
    <row r="14" spans="1:30" ht="36" customHeight="1">
      <c r="A14" s="110"/>
      <c r="B14" s="111"/>
      <c r="C14" s="754" t="s">
        <v>5589</v>
      </c>
      <c r="D14" s="754"/>
      <c r="E14" s="754"/>
      <c r="F14" s="754"/>
      <c r="G14" s="754"/>
      <c r="H14" s="754"/>
      <c r="I14" s="754"/>
      <c r="J14" s="754"/>
      <c r="K14" s="754"/>
      <c r="L14" s="754"/>
      <c r="M14" s="754"/>
      <c r="N14" s="754"/>
      <c r="O14" s="754"/>
      <c r="P14" s="754"/>
      <c r="Q14" s="754"/>
      <c r="R14" s="754"/>
      <c r="S14" s="754"/>
      <c r="T14" s="754"/>
      <c r="U14" s="754"/>
      <c r="V14" s="754"/>
      <c r="W14" s="754"/>
      <c r="X14" s="754"/>
      <c r="Y14" s="754"/>
      <c r="Z14" s="754"/>
      <c r="AA14" s="754"/>
      <c r="AB14" s="754"/>
      <c r="AC14" s="754"/>
      <c r="AD14" s="755"/>
    </row>
    <row r="15" spans="1:30" ht="48" customHeight="1">
      <c r="A15" s="146"/>
      <c r="B15" s="654"/>
      <c r="C15" s="754" t="s">
        <v>5590</v>
      </c>
      <c r="D15" s="754"/>
      <c r="E15" s="754"/>
      <c r="F15" s="754"/>
      <c r="G15" s="754"/>
      <c r="H15" s="754"/>
      <c r="I15" s="754"/>
      <c r="J15" s="754"/>
      <c r="K15" s="754"/>
      <c r="L15" s="754"/>
      <c r="M15" s="754"/>
      <c r="N15" s="754"/>
      <c r="O15" s="754"/>
      <c r="P15" s="754"/>
      <c r="Q15" s="754"/>
      <c r="R15" s="754"/>
      <c r="S15" s="754"/>
      <c r="T15" s="754"/>
      <c r="U15" s="754"/>
      <c r="V15" s="754"/>
      <c r="W15" s="754"/>
      <c r="X15" s="754"/>
      <c r="Y15" s="754"/>
      <c r="Z15" s="754"/>
      <c r="AA15" s="754"/>
      <c r="AB15" s="754"/>
      <c r="AC15" s="754"/>
      <c r="AD15" s="755"/>
    </row>
    <row r="16" spans="1:30" ht="15" customHeight="1">
      <c r="A16" s="94"/>
      <c r="B16" s="209"/>
      <c r="C16" s="764" t="s">
        <v>5591</v>
      </c>
      <c r="D16" s="764"/>
      <c r="E16" s="764"/>
      <c r="F16" s="764"/>
      <c r="G16" s="764"/>
      <c r="H16" s="764"/>
      <c r="I16" s="764"/>
      <c r="J16" s="764"/>
      <c r="K16" s="764"/>
      <c r="L16" s="764"/>
      <c r="M16" s="764"/>
      <c r="N16" s="764"/>
      <c r="O16" s="764"/>
      <c r="P16" s="764"/>
      <c r="Q16" s="764"/>
      <c r="R16" s="764"/>
      <c r="S16" s="764"/>
      <c r="T16" s="764"/>
      <c r="U16" s="764"/>
      <c r="V16" s="764"/>
      <c r="W16" s="764"/>
      <c r="X16" s="764"/>
      <c r="Y16" s="764"/>
      <c r="Z16" s="764"/>
      <c r="AA16" s="764"/>
      <c r="AB16" s="764"/>
      <c r="AC16" s="764"/>
      <c r="AD16" s="765"/>
    </row>
    <row r="17" spans="1:37" ht="15" customHeight="1" thickBot="1">
      <c r="A17" s="147"/>
      <c r="C17" s="24"/>
      <c r="D17" s="24"/>
      <c r="E17" s="24"/>
      <c r="F17" s="24"/>
      <c r="G17" s="24"/>
      <c r="H17" s="24"/>
      <c r="I17" s="24"/>
      <c r="J17" s="24"/>
      <c r="K17" s="24"/>
      <c r="L17" s="24"/>
      <c r="M17" s="24"/>
      <c r="N17" s="24"/>
      <c r="O17" s="24"/>
      <c r="P17" s="24"/>
      <c r="Q17" s="24"/>
      <c r="R17" s="24"/>
      <c r="S17" s="24"/>
      <c r="T17" s="24"/>
      <c r="U17" s="24"/>
      <c r="V17" s="24"/>
      <c r="W17" s="24"/>
      <c r="X17" s="24"/>
      <c r="Y17" s="24"/>
      <c r="Z17" s="24"/>
      <c r="AA17" s="24"/>
      <c r="AB17" s="24"/>
      <c r="AC17" s="24"/>
    </row>
    <row r="18" spans="1:37" customFormat="1" ht="15" customHeight="1" thickBot="1">
      <c r="A18" s="153" t="s">
        <v>2563</v>
      </c>
      <c r="B18" s="1081" t="s">
        <v>5592</v>
      </c>
      <c r="C18" s="1082"/>
      <c r="D18" s="1082"/>
      <c r="E18" s="1082"/>
      <c r="F18" s="1082"/>
      <c r="G18" s="1082"/>
      <c r="H18" s="1082"/>
      <c r="I18" s="1082"/>
      <c r="J18" s="1082"/>
      <c r="K18" s="1082"/>
      <c r="L18" s="1082"/>
      <c r="M18" s="1082"/>
      <c r="N18" s="1082"/>
      <c r="O18" s="1082"/>
      <c r="P18" s="1082"/>
      <c r="Q18" s="1082"/>
      <c r="R18" s="1082"/>
      <c r="S18" s="1082"/>
      <c r="T18" s="1082"/>
      <c r="U18" s="1082"/>
      <c r="V18" s="1082"/>
      <c r="W18" s="1082"/>
      <c r="X18" s="1082"/>
      <c r="Y18" s="1082"/>
      <c r="Z18" s="1082"/>
      <c r="AA18" s="1082"/>
      <c r="AB18" s="1082"/>
      <c r="AC18" s="1082"/>
      <c r="AD18" s="1083"/>
      <c r="AE18" s="3"/>
    </row>
    <row r="19" spans="1:37" ht="15" customHeight="1">
      <c r="A19" s="49"/>
      <c r="B19" s="941" t="s">
        <v>2565</v>
      </c>
      <c r="C19" s="839"/>
      <c r="D19" s="839"/>
      <c r="E19" s="839"/>
      <c r="F19" s="839"/>
      <c r="G19" s="839"/>
      <c r="H19" s="839"/>
      <c r="I19" s="839"/>
      <c r="J19" s="839"/>
      <c r="K19" s="839"/>
      <c r="L19" s="839"/>
      <c r="M19" s="839"/>
      <c r="N19" s="839"/>
      <c r="O19" s="839"/>
      <c r="P19" s="839"/>
      <c r="Q19" s="839"/>
      <c r="R19" s="839"/>
      <c r="S19" s="839"/>
      <c r="T19" s="839"/>
      <c r="U19" s="839"/>
      <c r="V19" s="839"/>
      <c r="W19" s="839"/>
      <c r="X19" s="839"/>
      <c r="Y19" s="839"/>
      <c r="Z19" s="839"/>
      <c r="AA19" s="839"/>
      <c r="AB19" s="839"/>
      <c r="AC19" s="839"/>
      <c r="AD19" s="942"/>
    </row>
    <row r="20" spans="1:37" ht="24" customHeight="1">
      <c r="A20" s="49"/>
      <c r="B20" s="149"/>
      <c r="C20" s="754" t="s">
        <v>4544</v>
      </c>
      <c r="D20" s="830"/>
      <c r="E20" s="830"/>
      <c r="F20" s="830"/>
      <c r="G20" s="830"/>
      <c r="H20" s="830"/>
      <c r="I20" s="830"/>
      <c r="J20" s="830"/>
      <c r="K20" s="830"/>
      <c r="L20" s="830"/>
      <c r="M20" s="830"/>
      <c r="N20" s="830"/>
      <c r="O20" s="830"/>
      <c r="P20" s="830"/>
      <c r="Q20" s="830"/>
      <c r="R20" s="830"/>
      <c r="S20" s="830"/>
      <c r="T20" s="830"/>
      <c r="U20" s="830"/>
      <c r="V20" s="830"/>
      <c r="W20" s="830"/>
      <c r="X20" s="830"/>
      <c r="Y20" s="830"/>
      <c r="Z20" s="830"/>
      <c r="AA20" s="830"/>
      <c r="AB20" s="830"/>
      <c r="AC20" s="830"/>
      <c r="AD20" s="886"/>
    </row>
    <row r="21" spans="1:37" ht="36" customHeight="1">
      <c r="A21" s="49"/>
      <c r="B21" s="209"/>
      <c r="C21" s="764" t="s">
        <v>5593</v>
      </c>
      <c r="D21" s="876"/>
      <c r="E21" s="876"/>
      <c r="F21" s="876"/>
      <c r="G21" s="876"/>
      <c r="H21" s="876"/>
      <c r="I21" s="876"/>
      <c r="J21" s="876"/>
      <c r="K21" s="876"/>
      <c r="L21" s="876"/>
      <c r="M21" s="876"/>
      <c r="N21" s="876"/>
      <c r="O21" s="876"/>
      <c r="P21" s="876"/>
      <c r="Q21" s="876"/>
      <c r="R21" s="876"/>
      <c r="S21" s="876"/>
      <c r="T21" s="876"/>
      <c r="U21" s="876"/>
      <c r="V21" s="876"/>
      <c r="W21" s="876"/>
      <c r="X21" s="876"/>
      <c r="Y21" s="876"/>
      <c r="Z21" s="876"/>
      <c r="AA21" s="876"/>
      <c r="AB21" s="876"/>
      <c r="AC21" s="876"/>
      <c r="AD21" s="877"/>
    </row>
    <row r="22" spans="1:37" ht="15" customHeight="1" thickBot="1">
      <c r="A22" s="94"/>
    </row>
    <row r="23" spans="1:37" customFormat="1" ht="15" customHeight="1" thickBot="1">
      <c r="A23" s="153" t="s">
        <v>2563</v>
      </c>
      <c r="B23" s="1137" t="s">
        <v>5594</v>
      </c>
      <c r="C23" s="1138"/>
      <c r="D23" s="1138"/>
      <c r="E23" s="1138"/>
      <c r="F23" s="1138"/>
      <c r="G23" s="1138"/>
      <c r="H23" s="1138"/>
      <c r="I23" s="1138"/>
      <c r="J23" s="1138"/>
      <c r="K23" s="1138"/>
      <c r="L23" s="1138"/>
      <c r="M23" s="1138"/>
      <c r="N23" s="1138"/>
      <c r="O23" s="1138"/>
      <c r="P23" s="1138"/>
      <c r="Q23" s="1138"/>
      <c r="R23" s="1138"/>
      <c r="S23" s="1138"/>
      <c r="T23" s="1138"/>
      <c r="U23" s="1138"/>
      <c r="V23" s="1138"/>
      <c r="W23" s="1138"/>
      <c r="X23" s="1138"/>
      <c r="Y23" s="1138"/>
      <c r="Z23" s="1138"/>
      <c r="AA23" s="1138"/>
      <c r="AB23" s="1138"/>
      <c r="AC23" s="1138"/>
      <c r="AD23" s="1139"/>
      <c r="AE23" s="3"/>
    </row>
    <row r="24" spans="1:37" ht="15" customHeight="1">
      <c r="A24" s="94"/>
      <c r="B24" s="941" t="s">
        <v>3388</v>
      </c>
      <c r="C24" s="839"/>
      <c r="D24" s="839"/>
      <c r="E24" s="839"/>
      <c r="F24" s="839"/>
      <c r="G24" s="839"/>
      <c r="H24" s="839"/>
      <c r="I24" s="839"/>
      <c r="J24" s="839"/>
      <c r="K24" s="839"/>
      <c r="L24" s="839"/>
      <c r="M24" s="839"/>
      <c r="N24" s="839"/>
      <c r="O24" s="839"/>
      <c r="P24" s="839"/>
      <c r="Q24" s="839"/>
      <c r="R24" s="839"/>
      <c r="S24" s="839"/>
      <c r="T24" s="839"/>
      <c r="U24" s="839"/>
      <c r="V24" s="839"/>
      <c r="W24" s="839"/>
      <c r="X24" s="839"/>
      <c r="Y24" s="839"/>
      <c r="Z24" s="839"/>
      <c r="AA24" s="839"/>
      <c r="AB24" s="839"/>
      <c r="AC24" s="839"/>
      <c r="AD24" s="942"/>
    </row>
    <row r="25" spans="1:37" ht="24" customHeight="1">
      <c r="A25" s="146"/>
      <c r="B25" s="76"/>
      <c r="C25" s="754" t="s">
        <v>5595</v>
      </c>
      <c r="D25" s="754"/>
      <c r="E25" s="754"/>
      <c r="F25" s="754"/>
      <c r="G25" s="754"/>
      <c r="H25" s="754"/>
      <c r="I25" s="754"/>
      <c r="J25" s="754"/>
      <c r="K25" s="754"/>
      <c r="L25" s="754"/>
      <c r="M25" s="754"/>
      <c r="N25" s="754"/>
      <c r="O25" s="754"/>
      <c r="P25" s="754"/>
      <c r="Q25" s="754"/>
      <c r="R25" s="754"/>
      <c r="S25" s="754"/>
      <c r="T25" s="754"/>
      <c r="U25" s="754"/>
      <c r="V25" s="754"/>
      <c r="W25" s="754"/>
      <c r="X25" s="754"/>
      <c r="Y25" s="754"/>
      <c r="Z25" s="754"/>
      <c r="AA25" s="754"/>
      <c r="AB25" s="754"/>
      <c r="AC25" s="754"/>
      <c r="AD25" s="755"/>
    </row>
    <row r="26" spans="1:37" ht="24" customHeight="1">
      <c r="A26" s="94"/>
      <c r="B26" s="114"/>
      <c r="C26" s="764" t="s">
        <v>5596</v>
      </c>
      <c r="D26" s="764"/>
      <c r="E26" s="764"/>
      <c r="F26" s="764"/>
      <c r="G26" s="764"/>
      <c r="H26" s="764"/>
      <c r="I26" s="764"/>
      <c r="J26" s="764"/>
      <c r="K26" s="764"/>
      <c r="L26" s="764"/>
      <c r="M26" s="764"/>
      <c r="N26" s="764"/>
      <c r="O26" s="764"/>
      <c r="P26" s="764"/>
      <c r="Q26" s="764"/>
      <c r="R26" s="764"/>
      <c r="S26" s="764"/>
      <c r="T26" s="764"/>
      <c r="U26" s="764"/>
      <c r="V26" s="764"/>
      <c r="W26" s="764"/>
      <c r="X26" s="764"/>
      <c r="Y26" s="764"/>
      <c r="Z26" s="764"/>
      <c r="AA26" s="764"/>
      <c r="AB26" s="764"/>
      <c r="AC26" s="764"/>
      <c r="AD26" s="837"/>
    </row>
    <row r="27" spans="1:37" ht="15" customHeight="1">
      <c r="A27" s="94"/>
    </row>
    <row r="28" spans="1:37" ht="36" customHeight="1">
      <c r="A28" s="49" t="s">
        <v>5597</v>
      </c>
      <c r="B28" s="829" t="s">
        <v>5598</v>
      </c>
      <c r="C28" s="829"/>
      <c r="D28" s="829"/>
      <c r="E28" s="829"/>
      <c r="F28" s="829"/>
      <c r="G28" s="829"/>
      <c r="H28" s="829"/>
      <c r="I28" s="829"/>
      <c r="J28" s="829"/>
      <c r="K28" s="829"/>
      <c r="L28" s="829"/>
      <c r="M28" s="829"/>
      <c r="N28" s="829"/>
      <c r="O28" s="829"/>
      <c r="P28" s="829"/>
      <c r="Q28" s="829"/>
      <c r="R28" s="829"/>
      <c r="S28" s="829"/>
      <c r="T28" s="829"/>
      <c r="U28" s="829"/>
      <c r="V28" s="829"/>
      <c r="W28" s="829"/>
      <c r="X28" s="829"/>
      <c r="Y28" s="829"/>
      <c r="Z28" s="829"/>
      <c r="AA28" s="829"/>
      <c r="AB28" s="829"/>
      <c r="AC28" s="829"/>
      <c r="AD28" s="829"/>
    </row>
    <row r="29" spans="1:37" ht="36" customHeight="1">
      <c r="A29" s="49"/>
      <c r="B29" s="38"/>
      <c r="C29" s="830" t="s">
        <v>5599</v>
      </c>
      <c r="D29" s="830"/>
      <c r="E29" s="830"/>
      <c r="F29" s="830"/>
      <c r="G29" s="830"/>
      <c r="H29" s="830"/>
      <c r="I29" s="830"/>
      <c r="J29" s="830"/>
      <c r="K29" s="830"/>
      <c r="L29" s="830"/>
      <c r="M29" s="830"/>
      <c r="N29" s="830"/>
      <c r="O29" s="830"/>
      <c r="P29" s="830"/>
      <c r="Q29" s="830"/>
      <c r="R29" s="830"/>
      <c r="S29" s="830"/>
      <c r="T29" s="830"/>
      <c r="U29" s="830"/>
      <c r="V29" s="830"/>
      <c r="W29" s="830"/>
      <c r="X29" s="830"/>
      <c r="Y29" s="830"/>
      <c r="Z29" s="830"/>
      <c r="AA29" s="830"/>
      <c r="AB29" s="830"/>
      <c r="AC29" s="830"/>
      <c r="AD29" s="830"/>
    </row>
    <row r="30" spans="1:37" ht="15">
      <c r="A30" s="49"/>
      <c r="B30" s="38"/>
    </row>
    <row r="31" spans="1:37" ht="36" customHeight="1">
      <c r="A31" s="49"/>
      <c r="B31" s="38"/>
      <c r="C31" s="797" t="s">
        <v>5600</v>
      </c>
      <c r="D31" s="798"/>
      <c r="E31" s="798"/>
      <c r="F31" s="798"/>
      <c r="G31" s="798"/>
      <c r="H31" s="798"/>
      <c r="I31" s="798"/>
      <c r="J31" s="798"/>
      <c r="K31" s="798"/>
      <c r="L31" s="798"/>
      <c r="M31" s="798"/>
      <c r="N31" s="798"/>
      <c r="O31" s="799"/>
      <c r="P31" s="739" t="s">
        <v>5601</v>
      </c>
      <c r="Q31" s="740"/>
      <c r="R31" s="740"/>
      <c r="S31" s="740"/>
      <c r="T31" s="740"/>
      <c r="U31" s="740"/>
      <c r="V31" s="740"/>
      <c r="W31" s="740"/>
      <c r="X31" s="740"/>
      <c r="Y31" s="740"/>
      <c r="Z31" s="740"/>
      <c r="AA31" s="740"/>
      <c r="AB31" s="740"/>
      <c r="AC31" s="740"/>
      <c r="AD31" s="741"/>
    </row>
    <row r="32" spans="1:37" ht="15" customHeight="1">
      <c r="A32" s="49"/>
      <c r="B32" s="38"/>
      <c r="C32" s="803"/>
      <c r="D32" s="804"/>
      <c r="E32" s="804"/>
      <c r="F32" s="804"/>
      <c r="G32" s="804"/>
      <c r="H32" s="804"/>
      <c r="I32" s="804"/>
      <c r="J32" s="804"/>
      <c r="K32" s="804"/>
      <c r="L32" s="804"/>
      <c r="M32" s="804"/>
      <c r="N32" s="804"/>
      <c r="O32" s="805"/>
      <c r="P32" s="739" t="s">
        <v>2628</v>
      </c>
      <c r="Q32" s="740"/>
      <c r="R32" s="740"/>
      <c r="S32" s="740"/>
      <c r="T32" s="740"/>
      <c r="U32" s="733" t="s">
        <v>2629</v>
      </c>
      <c r="V32" s="734"/>
      <c r="W32" s="734"/>
      <c r="X32" s="734"/>
      <c r="Y32" s="734"/>
      <c r="Z32" s="736" t="s">
        <v>2630</v>
      </c>
      <c r="AA32" s="736"/>
      <c r="AB32" s="736"/>
      <c r="AC32" s="736"/>
      <c r="AD32" s="736"/>
      <c r="AF32" t="s">
        <v>4713</v>
      </c>
      <c r="AG32" t="s">
        <v>2586</v>
      </c>
      <c r="AH32" t="s">
        <v>4581</v>
      </c>
      <c r="AI32" t="s">
        <v>2590</v>
      </c>
      <c r="AJ32" t="s">
        <v>3163</v>
      </c>
      <c r="AK32" t="s">
        <v>4564</v>
      </c>
    </row>
    <row r="33" spans="1:37" ht="15">
      <c r="A33" s="49"/>
      <c r="B33" s="38"/>
      <c r="C33" s="816"/>
      <c r="D33" s="738"/>
      <c r="E33" s="738"/>
      <c r="F33" s="738"/>
      <c r="G33" s="738"/>
      <c r="H33" s="738"/>
      <c r="I33" s="738"/>
      <c r="J33" s="738"/>
      <c r="K33" s="738"/>
      <c r="L33" s="738"/>
      <c r="M33" s="738"/>
      <c r="N33" s="738"/>
      <c r="O33" s="817"/>
      <c r="P33" s="816"/>
      <c r="Q33" s="738"/>
      <c r="R33" s="738"/>
      <c r="S33" s="738"/>
      <c r="T33" s="738"/>
      <c r="U33" s="816"/>
      <c r="V33" s="738"/>
      <c r="W33" s="738"/>
      <c r="X33" s="738"/>
      <c r="Y33" s="738"/>
      <c r="Z33" s="749"/>
      <c r="AA33" s="749"/>
      <c r="AB33" s="749"/>
      <c r="AC33" s="749"/>
      <c r="AD33" s="749"/>
      <c r="AF33" s="506">
        <f>IF(AND(C33=1,P33=0),1,0)</f>
        <v>0</v>
      </c>
      <c r="AG33">
        <f>IF(C33=1,IF(COUNTA(P33:AD33)=3,0,1),IF(AND(C33="",COUNTA(P33:AD33)&gt;0),1,0))</f>
        <v>0</v>
      </c>
      <c r="AH33">
        <f>IF(C33&gt;1,IF(COUNTA(P33:AD33)=0,0,1),0)</f>
        <v>0</v>
      </c>
      <c r="AI33">
        <f>COUNTIF(U33:AD33,"NS")</f>
        <v>0</v>
      </c>
      <c r="AJ33">
        <f>SUM(U33:AD33)</f>
        <v>0</v>
      </c>
      <c r="AK33">
        <f>IF(COUNTIF(P33:AD33,"NA")=3,0,IF(COUNTA(P33:AD33)=0,0,IF(OR(AND(P33=0,AI33&gt;0),AND(P33="ns",AJ33&gt;0),AND(P33="ns",AI33=0,AJ33=0)),1,IF(OR(AND(P33&gt;0,AI33=2),AND(P33="ns",AI33=2),AND(P33="ns",AJ33=0,AI33&gt;0),P33=AJ33),0,1))))</f>
        <v>0</v>
      </c>
    </row>
    <row r="34" spans="1:37" ht="15">
      <c r="A34" s="49"/>
      <c r="B34" s="38"/>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G34" s="507">
        <f>SUM(AG33:AG33)</f>
        <v>0</v>
      </c>
      <c r="AH34" s="507">
        <f>SUM(AH33:AH33)</f>
        <v>0</v>
      </c>
      <c r="AI34">
        <f>SUM(AI33:AI33)</f>
        <v>0</v>
      </c>
      <c r="AK34" s="506">
        <f>SUM(AK33:AK33)</f>
        <v>0</v>
      </c>
    </row>
    <row r="35" spans="1:37" ht="24" customHeight="1">
      <c r="A35" s="49"/>
      <c r="B35" s="38"/>
      <c r="C35" s="754" t="s">
        <v>2611</v>
      </c>
      <c r="D35" s="754"/>
      <c r="E35" s="754"/>
      <c r="F35" s="754"/>
      <c r="G35" s="754"/>
      <c r="H35" s="754"/>
      <c r="I35" s="754"/>
      <c r="J35" s="754"/>
      <c r="K35" s="754"/>
      <c r="L35" s="754"/>
      <c r="M35" s="754"/>
      <c r="N35" s="754"/>
      <c r="O35" s="754"/>
      <c r="P35" s="754"/>
      <c r="Q35" s="754"/>
      <c r="R35" s="754"/>
      <c r="S35" s="754"/>
      <c r="T35" s="754"/>
      <c r="U35" s="754"/>
      <c r="V35" s="754"/>
      <c r="W35" s="754"/>
      <c r="X35" s="754"/>
      <c r="Y35" s="754"/>
      <c r="Z35" s="754"/>
      <c r="AA35" s="754"/>
      <c r="AB35" s="754"/>
      <c r="AC35" s="754"/>
      <c r="AD35" s="754"/>
    </row>
    <row r="36" spans="1:37" ht="60" customHeight="1">
      <c r="A36" s="49"/>
      <c r="B36" s="38"/>
      <c r="C36" s="851"/>
      <c r="D36" s="851"/>
      <c r="E36" s="851"/>
      <c r="F36" s="851"/>
      <c r="G36" s="851"/>
      <c r="H36" s="851"/>
      <c r="I36" s="851"/>
      <c r="J36" s="851"/>
      <c r="K36" s="851"/>
      <c r="L36" s="851"/>
      <c r="M36" s="851"/>
      <c r="N36" s="851"/>
      <c r="O36" s="851"/>
      <c r="P36" s="851"/>
      <c r="Q36" s="851"/>
      <c r="R36" s="851"/>
      <c r="S36" s="851"/>
      <c r="T36" s="851"/>
      <c r="U36" s="851"/>
      <c r="V36" s="851"/>
      <c r="W36" s="851"/>
      <c r="X36" s="851"/>
      <c r="Y36" s="851"/>
      <c r="Z36" s="851"/>
      <c r="AA36" s="851"/>
      <c r="AB36" s="851"/>
      <c r="AC36" s="851"/>
      <c r="AD36" s="851"/>
    </row>
    <row r="37" spans="1:37" ht="15">
      <c r="A37" s="49"/>
      <c r="B37" s="794" t="str">
        <f>IF(AG34=0,"","Favor de ingresar toda la información requerida en la pregunta")</f>
        <v/>
      </c>
      <c r="C37" s="794"/>
      <c r="D37" s="794"/>
      <c r="E37" s="794"/>
      <c r="F37" s="794"/>
      <c r="G37" s="794"/>
      <c r="H37" s="794"/>
      <c r="I37" s="794"/>
      <c r="J37" s="794"/>
      <c r="K37" s="794"/>
      <c r="L37" s="794"/>
      <c r="M37" s="794"/>
      <c r="N37" s="794"/>
      <c r="O37" s="794"/>
      <c r="P37" s="794"/>
      <c r="Q37" s="794"/>
      <c r="R37" s="794"/>
      <c r="S37" s="794"/>
      <c r="T37" s="794"/>
      <c r="U37" s="794"/>
      <c r="V37" s="794"/>
      <c r="W37" s="794"/>
      <c r="X37" s="794"/>
      <c r="Y37" s="794"/>
      <c r="Z37" s="794"/>
      <c r="AA37" s="794"/>
      <c r="AB37" s="794"/>
      <c r="AC37" s="794"/>
      <c r="AD37" s="794"/>
      <c r="AE37" s="794"/>
    </row>
    <row r="38" spans="1:37" ht="15">
      <c r="A38" s="103"/>
      <c r="B38" s="1087" t="str">
        <f>IF(C33&gt;1,"",IF(COUNTIF(P33:AD33,"NS")&lt;&gt;0,"Alerta: debido a que cuenta con registros NS, debe proporcionar una justificación en el area de comentarios al final de la pregunta",""))</f>
        <v/>
      </c>
      <c r="C38" s="1087"/>
      <c r="D38" s="1087"/>
      <c r="E38" s="1087"/>
      <c r="F38" s="1087"/>
      <c r="G38" s="1087"/>
      <c r="H38" s="1087"/>
      <c r="I38" s="1087"/>
      <c r="J38" s="1087"/>
      <c r="K38" s="1087"/>
      <c r="L38" s="1087"/>
      <c r="M38" s="1087"/>
      <c r="N38" s="1087"/>
      <c r="O38" s="1087"/>
      <c r="P38" s="1087"/>
      <c r="Q38" s="1087"/>
      <c r="R38" s="1087"/>
      <c r="S38" s="1087"/>
      <c r="T38" s="1087"/>
      <c r="U38" s="1087"/>
      <c r="V38" s="1087"/>
      <c r="W38" s="1087"/>
      <c r="X38" s="1087"/>
      <c r="Y38" s="1087"/>
      <c r="Z38" s="1087"/>
      <c r="AA38" s="1087"/>
      <c r="AB38" s="1087"/>
      <c r="AC38" s="1087"/>
      <c r="AD38" s="1087"/>
      <c r="AE38" s="1087"/>
    </row>
    <row r="39" spans="1:37" ht="15">
      <c r="A39" s="103"/>
      <c r="B39" s="1003" t="str">
        <f>IF(AH34&gt;0,"Revise la información capturada, ya que tiene datos ingresados en celdas que están sombreadas","")</f>
        <v/>
      </c>
      <c r="C39" s="1003"/>
      <c r="D39" s="1003"/>
      <c r="E39" s="1003"/>
      <c r="F39" s="1003"/>
      <c r="G39" s="1003"/>
      <c r="H39" s="1003"/>
      <c r="I39" s="1003"/>
      <c r="J39" s="1003"/>
      <c r="K39" s="1003"/>
      <c r="L39" s="1003"/>
      <c r="M39" s="1003"/>
      <c r="N39" s="1003"/>
      <c r="O39" s="1003"/>
      <c r="P39" s="1003"/>
      <c r="Q39" s="1003"/>
      <c r="R39" s="1003"/>
      <c r="S39" s="1003"/>
      <c r="T39" s="1003"/>
      <c r="U39" s="1003"/>
      <c r="V39" s="1003"/>
      <c r="W39" s="1003"/>
      <c r="X39" s="1003"/>
      <c r="Y39" s="1003"/>
      <c r="Z39" s="1003"/>
      <c r="AA39" s="1003"/>
      <c r="AB39" s="1003"/>
      <c r="AC39" s="1003"/>
      <c r="AD39" s="1003"/>
      <c r="AE39" s="1003"/>
    </row>
    <row r="40" spans="1:37" ht="15">
      <c r="A40" s="49"/>
      <c r="B40" s="1003" t="str">
        <f>IF(C33&gt;1,"",IF(AK34&gt;0,"Favor de revisar la suma y consistencia de totales y/o subtotales por filas (numéricos y NS)",""))</f>
        <v/>
      </c>
      <c r="C40" s="1003"/>
      <c r="D40" s="1003"/>
      <c r="E40" s="1003"/>
      <c r="F40" s="1003"/>
      <c r="G40" s="1003"/>
      <c r="H40" s="1003"/>
      <c r="I40" s="1003"/>
      <c r="J40" s="1003"/>
      <c r="K40" s="1003"/>
      <c r="L40" s="1003"/>
      <c r="M40" s="1003"/>
      <c r="N40" s="1003"/>
      <c r="O40" s="1003"/>
      <c r="P40" s="1003"/>
      <c r="Q40" s="1003"/>
      <c r="R40" s="1003"/>
      <c r="S40" s="1003"/>
      <c r="T40" s="1003"/>
      <c r="U40" s="1003"/>
      <c r="V40" s="1003"/>
      <c r="W40" s="1003"/>
      <c r="X40" s="1003"/>
      <c r="Y40" s="1003"/>
      <c r="Z40" s="1003"/>
      <c r="AA40" s="1003"/>
      <c r="AB40" s="1003"/>
      <c r="AC40" s="1003"/>
      <c r="AD40" s="1003"/>
      <c r="AE40" s="1003"/>
    </row>
    <row r="41" spans="1:37" ht="15">
      <c r="A41" s="49"/>
      <c r="B41" s="794" t="str">
        <f>IF(AF33=0,"","Debido a que cuenta con registro(s) con el código 1, el total de la fila respectiva debe ser mayor a cero")</f>
        <v/>
      </c>
      <c r="C41" s="794"/>
      <c r="D41" s="794"/>
      <c r="E41" s="794"/>
      <c r="F41" s="794"/>
      <c r="G41" s="794"/>
      <c r="H41" s="794"/>
      <c r="I41" s="794"/>
      <c r="J41" s="794"/>
      <c r="K41" s="794"/>
      <c r="L41" s="794"/>
      <c r="M41" s="794"/>
      <c r="N41" s="794"/>
      <c r="O41" s="794"/>
      <c r="P41" s="794"/>
      <c r="Q41" s="794"/>
      <c r="R41" s="794"/>
      <c r="S41" s="794"/>
      <c r="T41" s="794"/>
      <c r="U41" s="794"/>
      <c r="V41" s="794"/>
      <c r="W41" s="794"/>
      <c r="X41" s="794"/>
      <c r="Y41" s="794"/>
      <c r="Z41" s="794"/>
      <c r="AA41" s="794"/>
      <c r="AB41" s="794"/>
      <c r="AC41" s="794"/>
      <c r="AD41" s="794"/>
      <c r="AE41" s="794"/>
    </row>
    <row r="42" spans="1:37" ht="15">
      <c r="A42" s="103"/>
      <c r="B42" s="57"/>
      <c r="C42" s="57"/>
      <c r="D42" s="57"/>
      <c r="E42" s="57"/>
      <c r="F42" s="57"/>
      <c r="G42" s="57"/>
      <c r="H42" s="57"/>
      <c r="I42" s="57"/>
      <c r="J42" s="57"/>
      <c r="K42" s="57"/>
      <c r="L42" s="57"/>
      <c r="M42" s="57"/>
      <c r="N42" s="57"/>
      <c r="O42" s="57"/>
      <c r="P42" s="57"/>
      <c r="Q42" s="57"/>
      <c r="R42" s="57"/>
      <c r="S42" s="57"/>
      <c r="T42" s="57"/>
      <c r="U42" s="57"/>
      <c r="V42" s="57"/>
      <c r="W42" s="57"/>
      <c r="X42" s="57"/>
      <c r="Y42" s="57"/>
      <c r="Z42" s="57"/>
      <c r="AA42" s="57"/>
      <c r="AB42" s="57"/>
      <c r="AC42" s="57"/>
      <c r="AD42" s="57"/>
    </row>
    <row r="43" spans="1:37" ht="24" customHeight="1">
      <c r="A43" s="49" t="s">
        <v>5602</v>
      </c>
      <c r="B43" s="829" t="s">
        <v>5603</v>
      </c>
      <c r="C43" s="829"/>
      <c r="D43" s="829"/>
      <c r="E43" s="829"/>
      <c r="F43" s="829"/>
      <c r="G43" s="829"/>
      <c r="H43" s="829"/>
      <c r="I43" s="829"/>
      <c r="J43" s="829"/>
      <c r="K43" s="829"/>
      <c r="L43" s="829"/>
      <c r="M43" s="829"/>
      <c r="N43" s="829"/>
      <c r="O43" s="829"/>
      <c r="P43" s="829"/>
      <c r="Q43" s="829"/>
      <c r="R43" s="829"/>
      <c r="S43" s="829"/>
      <c r="T43" s="829"/>
      <c r="U43" s="829"/>
      <c r="V43" s="829"/>
      <c r="W43" s="829"/>
      <c r="X43" s="829"/>
      <c r="Y43" s="829"/>
      <c r="Z43" s="829"/>
      <c r="AA43" s="829"/>
      <c r="AB43" s="829"/>
      <c r="AC43" s="829"/>
      <c r="AD43" s="829"/>
    </row>
    <row r="44" spans="1:37" ht="36" customHeight="1">
      <c r="A44" s="50"/>
      <c r="B44" s="38"/>
      <c r="C44" s="830" t="s">
        <v>5604</v>
      </c>
      <c r="D44" s="830"/>
      <c r="E44" s="830"/>
      <c r="F44" s="830"/>
      <c r="G44" s="830"/>
      <c r="H44" s="830"/>
      <c r="I44" s="830"/>
      <c r="J44" s="830"/>
      <c r="K44" s="830"/>
      <c r="L44" s="830"/>
      <c r="M44" s="830"/>
      <c r="N44" s="830"/>
      <c r="O44" s="830"/>
      <c r="P44" s="830"/>
      <c r="Q44" s="830"/>
      <c r="R44" s="830"/>
      <c r="S44" s="830"/>
      <c r="T44" s="830"/>
      <c r="U44" s="830"/>
      <c r="V44" s="830"/>
      <c r="W44" s="830"/>
      <c r="X44" s="830"/>
      <c r="Y44" s="830"/>
      <c r="Z44" s="830"/>
      <c r="AA44" s="830"/>
      <c r="AB44" s="830"/>
      <c r="AC44" s="830"/>
      <c r="AD44" s="830"/>
    </row>
    <row r="45" spans="1:37" ht="15" customHeight="1">
      <c r="A45" s="110"/>
      <c r="B45" s="57"/>
      <c r="C45" s="57"/>
      <c r="D45" s="57"/>
      <c r="E45" s="57"/>
      <c r="F45" s="57"/>
      <c r="G45" s="57"/>
      <c r="H45" s="57"/>
      <c r="I45" s="57"/>
      <c r="J45" s="57"/>
      <c r="K45" s="57"/>
      <c r="L45" s="57"/>
      <c r="M45" s="57"/>
      <c r="N45" s="57"/>
      <c r="O45" s="57"/>
      <c r="P45" s="57"/>
      <c r="Q45" s="57"/>
      <c r="R45" s="57"/>
      <c r="S45" s="57"/>
      <c r="T45" s="57"/>
      <c r="U45" s="57"/>
      <c r="V45" s="57"/>
      <c r="W45" s="57"/>
      <c r="X45" s="57"/>
      <c r="Y45" s="57"/>
      <c r="Z45" s="57"/>
      <c r="AA45" s="57"/>
      <c r="AB45" s="57"/>
      <c r="AC45" s="57"/>
      <c r="AD45" s="57"/>
    </row>
    <row r="46" spans="1:37" ht="15" customHeight="1">
      <c r="A46" s="110"/>
      <c r="B46" s="57"/>
      <c r="C46" s="732" t="s">
        <v>4728</v>
      </c>
      <c r="D46" s="732"/>
      <c r="E46" s="732"/>
      <c r="F46" s="732"/>
      <c r="G46" s="732"/>
      <c r="H46" s="732"/>
      <c r="I46" s="732"/>
      <c r="J46" s="732"/>
      <c r="K46" s="732"/>
      <c r="L46" s="732"/>
      <c r="M46" s="732" t="s">
        <v>5601</v>
      </c>
      <c r="N46" s="732"/>
      <c r="O46" s="732"/>
      <c r="P46" s="732"/>
      <c r="Q46" s="732"/>
      <c r="R46" s="732"/>
      <c r="S46" s="732"/>
      <c r="T46" s="732"/>
      <c r="U46" s="732"/>
      <c r="V46" s="732"/>
      <c r="W46" s="732"/>
      <c r="X46" s="732"/>
      <c r="Y46" s="732"/>
      <c r="Z46" s="732"/>
      <c r="AA46" s="732"/>
      <c r="AB46" s="732"/>
      <c r="AC46" s="732"/>
      <c r="AD46" s="732"/>
    </row>
    <row r="47" spans="1:37" ht="15" customHeight="1">
      <c r="A47" s="110"/>
      <c r="B47" s="57"/>
      <c r="C47" s="732"/>
      <c r="D47" s="732"/>
      <c r="E47" s="732"/>
      <c r="F47" s="732"/>
      <c r="G47" s="732"/>
      <c r="H47" s="732"/>
      <c r="I47" s="732"/>
      <c r="J47" s="732"/>
      <c r="K47" s="732"/>
      <c r="L47" s="732"/>
      <c r="M47" s="739" t="s">
        <v>2628</v>
      </c>
      <c r="N47" s="740"/>
      <c r="O47" s="740"/>
      <c r="P47" s="740"/>
      <c r="Q47" s="740"/>
      <c r="R47" s="741"/>
      <c r="S47" s="733" t="s">
        <v>2629</v>
      </c>
      <c r="T47" s="734"/>
      <c r="U47" s="734"/>
      <c r="V47" s="734"/>
      <c r="W47" s="734"/>
      <c r="X47" s="735"/>
      <c r="Y47" s="733" t="s">
        <v>2630</v>
      </c>
      <c r="Z47" s="734"/>
      <c r="AA47" s="734"/>
      <c r="AB47" s="734"/>
      <c r="AC47" s="734"/>
      <c r="AD47" s="735"/>
      <c r="AG47" t="s">
        <v>2586</v>
      </c>
      <c r="AH47" t="s">
        <v>4599</v>
      </c>
      <c r="AI47" t="s">
        <v>2590</v>
      </c>
      <c r="AJ47" t="s">
        <v>3163</v>
      </c>
      <c r="AK47" t="s">
        <v>4564</v>
      </c>
    </row>
    <row r="48" spans="1:37" ht="15" customHeight="1">
      <c r="A48" s="110"/>
      <c r="B48" s="57"/>
      <c r="C48" s="97" t="s">
        <v>2516</v>
      </c>
      <c r="D48" s="1084" t="s">
        <v>4570</v>
      </c>
      <c r="E48" s="1084"/>
      <c r="F48" s="1084"/>
      <c r="G48" s="1084"/>
      <c r="H48" s="1084"/>
      <c r="I48" s="1084"/>
      <c r="J48" s="1084"/>
      <c r="K48" s="1084"/>
      <c r="L48" s="1084"/>
      <c r="M48" s="816"/>
      <c r="N48" s="738"/>
      <c r="O48" s="738"/>
      <c r="P48" s="738"/>
      <c r="Q48" s="738"/>
      <c r="R48" s="817"/>
      <c r="S48" s="816"/>
      <c r="T48" s="738"/>
      <c r="U48" s="738"/>
      <c r="V48" s="738"/>
      <c r="W48" s="738"/>
      <c r="X48" s="817"/>
      <c r="Y48" s="816"/>
      <c r="Z48" s="738"/>
      <c r="AA48" s="738"/>
      <c r="AB48" s="738"/>
      <c r="AC48" s="738"/>
      <c r="AD48" s="817"/>
      <c r="AG48" s="506">
        <f>IF(OR($C$33&gt;1,$C$33=""),0,IF(COUNTBLANK(M48:AD50)=45,0,1))</f>
        <v>0</v>
      </c>
      <c r="AH48" s="506">
        <f>IF($C$33&lt;&gt;1,IF(COUNTBLANK(M48:AD50)=54,0,1),0)</f>
        <v>0</v>
      </c>
      <c r="AI48">
        <f>COUNTIF(S48:AD48,"NS")</f>
        <v>0</v>
      </c>
      <c r="AJ48">
        <f>SUM(S48:AD48)</f>
        <v>0</v>
      </c>
      <c r="AK48">
        <f>IF(COUNTIF(M48:AD48,"NA")=3,0,IF(COUNTA(M48:AD48)=0,0,IF(OR(AND(M48=0,AI48&gt;0),AND(M48="ns",AJ48&gt;0),AND(M48="ns",AI48=0,AJ48=0)),1,IF(OR(AND(M48&gt;0,AI48=2),AND(M48="ns",AI48=2),AND(M48="ns",AJ48=0,AI48&gt;0),M48=AJ48),0,1))))</f>
        <v>0</v>
      </c>
    </row>
    <row r="49" spans="1:37" ht="15" customHeight="1">
      <c r="A49" s="110"/>
      <c r="B49" s="57"/>
      <c r="C49" s="98" t="s">
        <v>2517</v>
      </c>
      <c r="D49" s="796" t="s">
        <v>4571</v>
      </c>
      <c r="E49" s="796"/>
      <c r="F49" s="796"/>
      <c r="G49" s="796"/>
      <c r="H49" s="796"/>
      <c r="I49" s="796"/>
      <c r="J49" s="796"/>
      <c r="K49" s="796"/>
      <c r="L49" s="796"/>
      <c r="M49" s="816"/>
      <c r="N49" s="738"/>
      <c r="O49" s="738"/>
      <c r="P49" s="738"/>
      <c r="Q49" s="738"/>
      <c r="R49" s="817"/>
      <c r="S49" s="816"/>
      <c r="T49" s="738"/>
      <c r="U49" s="738"/>
      <c r="V49" s="738"/>
      <c r="W49" s="738"/>
      <c r="X49" s="817"/>
      <c r="Y49" s="816"/>
      <c r="Z49" s="738"/>
      <c r="AA49" s="738"/>
      <c r="AB49" s="738"/>
      <c r="AC49" s="738"/>
      <c r="AD49" s="817"/>
      <c r="AI49">
        <f t="shared" ref="AI49:AI50" si="0">COUNTIF(S49:AD49,"NS")</f>
        <v>0</v>
      </c>
      <c r="AJ49">
        <f t="shared" ref="AJ49:AJ50" si="1">SUM(S49:AD49)</f>
        <v>0</v>
      </c>
      <c r="AK49">
        <f t="shared" ref="AK49:AK50" si="2">IF(COUNTIF(M49:AD49,"NA")=3,0,IF(COUNTA(M49:AD49)=0,0,IF(OR(AND(M49=0,AI49&gt;0),AND(M49="ns",AJ49&gt;0),AND(M49="ns",AI49=0,AJ49=0)),1,IF(OR(AND(M49&gt;0,AI49=2),AND(M49="ns",AI49=2),AND(M49="ns",AJ49=0,AI49&gt;0),M49=AJ49),0,1))))</f>
        <v>0</v>
      </c>
    </row>
    <row r="50" spans="1:37" ht="24" customHeight="1">
      <c r="A50" s="110"/>
      <c r="B50" s="57"/>
      <c r="C50" s="98" t="s">
        <v>2518</v>
      </c>
      <c r="D50" s="796" t="s">
        <v>4572</v>
      </c>
      <c r="E50" s="796"/>
      <c r="F50" s="796"/>
      <c r="G50" s="796"/>
      <c r="H50" s="796"/>
      <c r="I50" s="796"/>
      <c r="J50" s="796"/>
      <c r="K50" s="796"/>
      <c r="L50" s="796"/>
      <c r="M50" s="816"/>
      <c r="N50" s="738"/>
      <c r="O50" s="738"/>
      <c r="P50" s="738"/>
      <c r="Q50" s="738"/>
      <c r="R50" s="817"/>
      <c r="S50" s="816"/>
      <c r="T50" s="738"/>
      <c r="U50" s="738"/>
      <c r="V50" s="738"/>
      <c r="W50" s="738"/>
      <c r="X50" s="817"/>
      <c r="Y50" s="816"/>
      <c r="Z50" s="738"/>
      <c r="AA50" s="738"/>
      <c r="AB50" s="738"/>
      <c r="AC50" s="738"/>
      <c r="AD50" s="817"/>
      <c r="AI50">
        <f t="shared" si="0"/>
        <v>0</v>
      </c>
      <c r="AJ50">
        <f t="shared" si="1"/>
        <v>0</v>
      </c>
      <c r="AK50">
        <f t="shared" si="2"/>
        <v>0</v>
      </c>
    </row>
    <row r="51" spans="1:37" ht="15" customHeight="1">
      <c r="A51" s="110"/>
      <c r="B51" s="57"/>
      <c r="C51" s="70"/>
      <c r="D51" s="36"/>
      <c r="E51" s="36"/>
      <c r="F51" s="36"/>
      <c r="G51" s="36"/>
      <c r="H51" s="36"/>
      <c r="I51" s="36"/>
      <c r="J51" s="36"/>
      <c r="K51" s="36"/>
      <c r="L51" s="117" t="s">
        <v>2649</v>
      </c>
      <c r="M51" s="736">
        <f>IF(AND(SUM(M48:M50)=0,COUNTIF(M48:M50,"NS")&gt;0),"NS",IF(AND(SUM(M48:M50)=0,COUNTIF(M48:M50,0)&gt;0),0,IF(AND(SUM(M48:M50)=0,COUNTIF(M48:M50,"NA")&gt;0),"NA",SUM(M48:M50))))</f>
        <v>0</v>
      </c>
      <c r="N51" s="1085"/>
      <c r="O51" s="1085"/>
      <c r="P51" s="1085"/>
      <c r="Q51" s="1085"/>
      <c r="R51" s="1086"/>
      <c r="S51" s="736">
        <f>IF(AND(SUM(S48:S50)=0,COUNTIF(S48:S50,"NS")&gt;0),"NS",IF(AND(SUM(S48:S50)=0,COUNTIF(S48:S50,0)&gt;0),0,IF(AND(SUM(S48:S50)=0,COUNTIF(S48:S50,"NA")&gt;0),"NA",SUM(S48:S50))))</f>
        <v>0</v>
      </c>
      <c r="T51" s="1085"/>
      <c r="U51" s="1085"/>
      <c r="V51" s="1085"/>
      <c r="W51" s="1085"/>
      <c r="X51" s="1086"/>
      <c r="Y51" s="736">
        <f>IF(AND(SUM(Y48:Y50)=0,COUNTIF(Y48:Y50,"NS")&gt;0),"NS",IF(AND(SUM(Y48:Y50)=0,COUNTIF(Y48:Y50,0)&gt;0),0,IF(AND(SUM(Y48:Y50)=0,COUNTIF(Y48:Y50,"NA")&gt;0),"NA",SUM(Y48:Y50))))</f>
        <v>0</v>
      </c>
      <c r="Z51" s="1085"/>
      <c r="AA51" s="1085"/>
      <c r="AB51" s="1085"/>
      <c r="AC51" s="1085"/>
      <c r="AD51" s="1086"/>
      <c r="AI51">
        <f>SUM(AI48:AI50)</f>
        <v>0</v>
      </c>
      <c r="AK51" s="506">
        <f>SUM(AK48:AK50)</f>
        <v>0</v>
      </c>
    </row>
    <row r="52" spans="1:37" ht="15" customHeight="1">
      <c r="A52" s="110"/>
      <c r="B52" s="57"/>
      <c r="C52" s="70"/>
      <c r="D52" s="36"/>
      <c r="E52" s="36"/>
      <c r="F52" s="36"/>
      <c r="G52" s="36"/>
      <c r="H52" s="36"/>
      <c r="I52" s="36"/>
      <c r="J52" s="36"/>
      <c r="K52" s="36"/>
      <c r="L52" s="117"/>
      <c r="M52" s="192"/>
      <c r="N52" s="192"/>
      <c r="O52" s="192"/>
      <c r="P52" s="192"/>
      <c r="Q52" s="192"/>
      <c r="R52" s="192"/>
      <c r="S52" s="192"/>
      <c r="T52" s="192"/>
      <c r="U52" s="192"/>
      <c r="V52" s="192"/>
      <c r="W52" s="192"/>
      <c r="X52" s="192"/>
      <c r="Y52" s="192"/>
      <c r="Z52" s="192"/>
      <c r="AA52" s="192"/>
      <c r="AB52" s="192"/>
      <c r="AC52" s="192"/>
      <c r="AD52" s="192"/>
    </row>
    <row r="53" spans="1:37" ht="24" customHeight="1">
      <c r="A53" s="49"/>
      <c r="B53" s="38"/>
      <c r="C53" s="754" t="s">
        <v>2611</v>
      </c>
      <c r="D53" s="754"/>
      <c r="E53" s="754"/>
      <c r="F53" s="754"/>
      <c r="G53" s="754"/>
      <c r="H53" s="754"/>
      <c r="I53" s="754"/>
      <c r="J53" s="754"/>
      <c r="K53" s="754"/>
      <c r="L53" s="754"/>
      <c r="M53" s="754"/>
      <c r="N53" s="754"/>
      <c r="O53" s="754"/>
      <c r="P53" s="754"/>
      <c r="Q53" s="754"/>
      <c r="R53" s="754"/>
      <c r="S53" s="754"/>
      <c r="T53" s="754"/>
      <c r="U53" s="754"/>
      <c r="V53" s="754"/>
      <c r="W53" s="754"/>
      <c r="X53" s="754"/>
      <c r="Y53" s="754"/>
      <c r="Z53" s="754"/>
      <c r="AA53" s="754"/>
      <c r="AB53" s="754"/>
      <c r="AC53" s="754"/>
      <c r="AD53" s="754"/>
    </row>
    <row r="54" spans="1:37" ht="60" customHeight="1">
      <c r="A54" s="49"/>
      <c r="B54" s="38"/>
      <c r="C54" s="851"/>
      <c r="D54" s="851"/>
      <c r="E54" s="851"/>
      <c r="F54" s="851"/>
      <c r="G54" s="851"/>
      <c r="H54" s="851"/>
      <c r="I54" s="851"/>
      <c r="J54" s="851"/>
      <c r="K54" s="851"/>
      <c r="L54" s="851"/>
      <c r="M54" s="851"/>
      <c r="N54" s="851"/>
      <c r="O54" s="851"/>
      <c r="P54" s="851"/>
      <c r="Q54" s="851"/>
      <c r="R54" s="851"/>
      <c r="S54" s="851"/>
      <c r="T54" s="851"/>
      <c r="U54" s="851"/>
      <c r="V54" s="851"/>
      <c r="W54" s="851"/>
      <c r="X54" s="851"/>
      <c r="Y54" s="851"/>
      <c r="Z54" s="851"/>
      <c r="AA54" s="851"/>
      <c r="AB54" s="851"/>
      <c r="AC54" s="851"/>
      <c r="AD54" s="851"/>
    </row>
    <row r="55" spans="1:37" ht="15" customHeight="1">
      <c r="A55" s="49"/>
      <c r="B55" s="794" t="str">
        <f>IF(AG48=0,"","Favor de ingresar toda la información requerida en la pregunta")</f>
        <v/>
      </c>
      <c r="C55" s="794"/>
      <c r="D55" s="794"/>
      <c r="E55" s="794"/>
      <c r="F55" s="794"/>
      <c r="G55" s="794"/>
      <c r="H55" s="794"/>
      <c r="I55" s="794"/>
      <c r="J55" s="794"/>
      <c r="K55" s="794"/>
      <c r="L55" s="794"/>
      <c r="M55" s="794"/>
      <c r="N55" s="794"/>
      <c r="O55" s="794"/>
      <c r="P55" s="794"/>
      <c r="Q55" s="794"/>
      <c r="R55" s="794"/>
      <c r="S55" s="794"/>
      <c r="T55" s="794"/>
      <c r="U55" s="794"/>
      <c r="V55" s="794"/>
      <c r="W55" s="794"/>
      <c r="X55" s="794"/>
      <c r="Y55" s="794"/>
      <c r="Z55" s="794"/>
      <c r="AA55" s="794"/>
      <c r="AB55" s="794"/>
      <c r="AC55" s="794"/>
      <c r="AD55" s="794"/>
      <c r="AE55" s="794"/>
    </row>
    <row r="56" spans="1:37" ht="15" customHeight="1">
      <c r="A56" s="103"/>
      <c r="B56" s="1087" t="str">
        <f>IF($C$33&lt;&gt;1,"",IF(COUNTIF(M48:AD50,"NS")&lt;&gt;0,"Alerta: debido a que cuenta con registros NS, debe proporcionar una justificación en el area de comentarios al final de la pregunta",""))</f>
        <v/>
      </c>
      <c r="C56" s="1087"/>
      <c r="D56" s="1087"/>
      <c r="E56" s="1087"/>
      <c r="F56" s="1087"/>
      <c r="G56" s="1087"/>
      <c r="H56" s="1087"/>
      <c r="I56" s="1087"/>
      <c r="J56" s="1087"/>
      <c r="K56" s="1087"/>
      <c r="L56" s="1087"/>
      <c r="M56" s="1087"/>
      <c r="N56" s="1087"/>
      <c r="O56" s="1087"/>
      <c r="P56" s="1087"/>
      <c r="Q56" s="1087"/>
      <c r="R56" s="1087"/>
      <c r="S56" s="1087"/>
      <c r="T56" s="1087"/>
      <c r="U56" s="1087"/>
      <c r="V56" s="1087"/>
      <c r="W56" s="1087"/>
      <c r="X56" s="1087"/>
      <c r="Y56" s="1087"/>
      <c r="Z56" s="1087"/>
      <c r="AA56" s="1087"/>
      <c r="AB56" s="1087"/>
      <c r="AC56" s="1087"/>
      <c r="AD56" s="1087"/>
      <c r="AE56" s="1087"/>
    </row>
    <row r="57" spans="1:37" ht="15" customHeight="1">
      <c r="A57" s="103"/>
      <c r="B57" s="1003" t="str">
        <f>IF(AH48&gt;0,"Revise la información capturada, ya que tiene datos ingresados en celdas que están sombreadas","")</f>
        <v/>
      </c>
      <c r="C57" s="1003"/>
      <c r="D57" s="1003"/>
      <c r="E57" s="1003"/>
      <c r="F57" s="1003"/>
      <c r="G57" s="1003"/>
      <c r="H57" s="1003"/>
      <c r="I57" s="1003"/>
      <c r="J57" s="1003"/>
      <c r="K57" s="1003"/>
      <c r="L57" s="1003"/>
      <c r="M57" s="1003"/>
      <c r="N57" s="1003"/>
      <c r="O57" s="1003"/>
      <c r="P57" s="1003"/>
      <c r="Q57" s="1003"/>
      <c r="R57" s="1003"/>
      <c r="S57" s="1003"/>
      <c r="T57" s="1003"/>
      <c r="U57" s="1003"/>
      <c r="V57" s="1003"/>
      <c r="W57" s="1003"/>
      <c r="X57" s="1003"/>
      <c r="Y57" s="1003"/>
      <c r="Z57" s="1003"/>
      <c r="AA57" s="1003"/>
      <c r="AB57" s="1003"/>
      <c r="AC57" s="1003"/>
      <c r="AD57" s="1003"/>
      <c r="AE57" s="1003"/>
    </row>
    <row r="58" spans="1:37" ht="15" customHeight="1">
      <c r="A58" s="103"/>
      <c r="B58" s="1003" t="str">
        <f>IF($C$33&lt;&gt;1,"",IF(AK51&gt;0,"Favor de revisar la suma y consistencia de totales y/o subtotales por filas (numéricos y NS)",""))</f>
        <v/>
      </c>
      <c r="C58" s="1003"/>
      <c r="D58" s="1003"/>
      <c r="E58" s="1003"/>
      <c r="F58" s="1003"/>
      <c r="G58" s="1003"/>
      <c r="H58" s="1003"/>
      <c r="I58" s="1003"/>
      <c r="J58" s="1003"/>
      <c r="K58" s="1003"/>
      <c r="L58" s="1003"/>
      <c r="M58" s="1003"/>
      <c r="N58" s="1003"/>
      <c r="O58" s="1003"/>
      <c r="P58" s="1003"/>
      <c r="Q58" s="1003"/>
      <c r="R58" s="1003"/>
      <c r="S58" s="1003"/>
      <c r="T58" s="1003"/>
      <c r="U58" s="1003"/>
      <c r="V58" s="1003"/>
      <c r="W58" s="1003"/>
      <c r="X58" s="1003"/>
      <c r="Y58" s="1003"/>
      <c r="Z58" s="1003"/>
      <c r="AA58" s="1003"/>
      <c r="AB58" s="1003"/>
      <c r="AC58" s="1003"/>
      <c r="AD58" s="1003"/>
      <c r="AE58" s="1003"/>
    </row>
    <row r="59" spans="1:37" ht="15" customHeight="1">
      <c r="A59" s="110"/>
      <c r="B59" s="1003" t="str">
        <f>IF($C$33&lt;&gt;1,"",IF(AND($P$33=M51,$U$33=S51,$Z$33=Y51),"","Las cantidades de Hombres y Mujeres debe corresponder con los datos reportados en la preg. 11.1"))</f>
        <v/>
      </c>
      <c r="C59" s="1003"/>
      <c r="D59" s="1003"/>
      <c r="E59" s="1003"/>
      <c r="F59" s="1003"/>
      <c r="G59" s="1003"/>
      <c r="H59" s="1003"/>
      <c r="I59" s="1003"/>
      <c r="J59" s="1003"/>
      <c r="K59" s="1003"/>
      <c r="L59" s="1003"/>
      <c r="M59" s="1003"/>
      <c r="N59" s="1003"/>
      <c r="O59" s="1003"/>
      <c r="P59" s="1003"/>
      <c r="Q59" s="1003"/>
      <c r="R59" s="1003"/>
      <c r="S59" s="1003"/>
      <c r="T59" s="1003"/>
      <c r="U59" s="1003"/>
      <c r="V59" s="1003"/>
      <c r="W59" s="1003"/>
      <c r="X59" s="1003"/>
      <c r="Y59" s="1003"/>
      <c r="Z59" s="1003"/>
      <c r="AA59" s="1003"/>
      <c r="AB59" s="1003"/>
      <c r="AC59" s="1003"/>
      <c r="AD59" s="1003"/>
      <c r="AE59" s="1003"/>
    </row>
    <row r="60" spans="1:37" ht="15" customHeight="1">
      <c r="A60" s="110"/>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row>
    <row r="61" spans="1:37" ht="24" customHeight="1">
      <c r="A61" s="49" t="s">
        <v>5605</v>
      </c>
      <c r="B61" s="1140" t="s">
        <v>5606</v>
      </c>
      <c r="C61" s="1140"/>
      <c r="D61" s="1140"/>
      <c r="E61" s="1140"/>
      <c r="F61" s="1140"/>
      <c r="G61" s="1140"/>
      <c r="H61" s="1140"/>
      <c r="I61" s="1140"/>
      <c r="J61" s="1140"/>
      <c r="K61" s="1140"/>
      <c r="L61" s="1140"/>
      <c r="M61" s="1140"/>
      <c r="N61" s="1140"/>
      <c r="O61" s="1140"/>
      <c r="P61" s="1140"/>
      <c r="Q61" s="1140"/>
      <c r="R61" s="1140"/>
      <c r="S61" s="1140"/>
      <c r="T61" s="1140"/>
      <c r="U61" s="1140"/>
      <c r="V61" s="1140"/>
      <c r="W61" s="1140"/>
      <c r="X61" s="1140"/>
      <c r="Y61" s="1140"/>
      <c r="Z61" s="1140"/>
      <c r="AA61" s="1140"/>
      <c r="AB61" s="1140"/>
      <c r="AC61" s="1140"/>
      <c r="AD61" s="1140"/>
    </row>
    <row r="62" spans="1:37" ht="15" customHeight="1">
      <c r="A62" s="49"/>
      <c r="B62" s="38"/>
      <c r="C62" s="830" t="s">
        <v>5607</v>
      </c>
      <c r="D62" s="830"/>
      <c r="E62" s="830"/>
      <c r="F62" s="830"/>
      <c r="G62" s="830"/>
      <c r="H62" s="830"/>
      <c r="I62" s="830"/>
      <c r="J62" s="830"/>
      <c r="K62" s="830"/>
      <c r="L62" s="830"/>
      <c r="M62" s="830"/>
      <c r="N62" s="830"/>
      <c r="O62" s="830"/>
      <c r="P62" s="830"/>
      <c r="Q62" s="830"/>
      <c r="R62" s="830"/>
      <c r="S62" s="830"/>
      <c r="T62" s="830"/>
      <c r="U62" s="830"/>
      <c r="V62" s="830"/>
      <c r="W62" s="830"/>
      <c r="X62" s="830"/>
      <c r="Y62" s="830"/>
      <c r="Z62" s="830"/>
      <c r="AA62" s="830"/>
      <c r="AB62" s="830"/>
      <c r="AC62" s="830"/>
      <c r="AD62" s="830"/>
    </row>
    <row r="63" spans="1:37" ht="24" customHeight="1">
      <c r="A63" s="245"/>
      <c r="B63" s="38"/>
      <c r="C63" s="754" t="s">
        <v>5608</v>
      </c>
      <c r="D63" s="754"/>
      <c r="E63" s="754"/>
      <c r="F63" s="754"/>
      <c r="G63" s="754"/>
      <c r="H63" s="754"/>
      <c r="I63" s="754"/>
      <c r="J63" s="754"/>
      <c r="K63" s="754"/>
      <c r="L63" s="754"/>
      <c r="M63" s="754"/>
      <c r="N63" s="754"/>
      <c r="O63" s="754"/>
      <c r="P63" s="754"/>
      <c r="Q63" s="754"/>
      <c r="R63" s="754"/>
      <c r="S63" s="754"/>
      <c r="T63" s="754"/>
      <c r="U63" s="754"/>
      <c r="V63" s="754"/>
      <c r="W63" s="754"/>
      <c r="X63" s="754"/>
      <c r="Y63" s="754"/>
      <c r="Z63" s="754"/>
      <c r="AA63" s="754"/>
      <c r="AB63" s="754"/>
      <c r="AC63" s="754"/>
      <c r="AD63" s="754"/>
    </row>
    <row r="64" spans="1:37" ht="15" customHeight="1">
      <c r="A64" s="49"/>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row>
    <row r="65" spans="1:37" ht="15" customHeight="1">
      <c r="A65" s="110"/>
      <c r="B65" s="57"/>
      <c r="C65" s="968" t="s">
        <v>4598</v>
      </c>
      <c r="D65" s="969"/>
      <c r="E65" s="969"/>
      <c r="F65" s="969"/>
      <c r="G65" s="969"/>
      <c r="H65" s="969"/>
      <c r="I65" s="969"/>
      <c r="J65" s="969"/>
      <c r="K65" s="969"/>
      <c r="L65" s="970"/>
      <c r="M65" s="732" t="s">
        <v>5601</v>
      </c>
      <c r="N65" s="732"/>
      <c r="O65" s="732"/>
      <c r="P65" s="732"/>
      <c r="Q65" s="732"/>
      <c r="R65" s="732"/>
      <c r="S65" s="732"/>
      <c r="T65" s="732"/>
      <c r="U65" s="732"/>
      <c r="V65" s="732"/>
      <c r="W65" s="732"/>
      <c r="X65" s="732"/>
      <c r="Y65" s="732"/>
      <c r="Z65" s="732"/>
      <c r="AA65" s="732"/>
      <c r="AB65" s="732"/>
      <c r="AC65" s="732"/>
      <c r="AD65" s="732"/>
    </row>
    <row r="66" spans="1:37" ht="15" customHeight="1">
      <c r="A66" s="110"/>
      <c r="B66" s="57"/>
      <c r="C66" s="971"/>
      <c r="D66" s="972"/>
      <c r="E66" s="972"/>
      <c r="F66" s="972"/>
      <c r="G66" s="972"/>
      <c r="H66" s="972"/>
      <c r="I66" s="972"/>
      <c r="J66" s="972"/>
      <c r="K66" s="972"/>
      <c r="L66" s="973"/>
      <c r="M66" s="987" t="s">
        <v>2628</v>
      </c>
      <c r="N66" s="988"/>
      <c r="O66" s="988"/>
      <c r="P66" s="988"/>
      <c r="Q66" s="988"/>
      <c r="R66" s="988"/>
      <c r="S66" s="989" t="s">
        <v>2629</v>
      </c>
      <c r="T66" s="990"/>
      <c r="U66" s="990"/>
      <c r="V66" s="990"/>
      <c r="W66" s="990"/>
      <c r="X66" s="990"/>
      <c r="Y66" s="989" t="s">
        <v>2630</v>
      </c>
      <c r="Z66" s="990"/>
      <c r="AA66" s="990"/>
      <c r="AB66" s="990"/>
      <c r="AC66" s="990"/>
      <c r="AD66" s="990"/>
      <c r="AG66" t="s">
        <v>2586</v>
      </c>
      <c r="AH66" t="s">
        <v>4599</v>
      </c>
      <c r="AI66" t="s">
        <v>2590</v>
      </c>
      <c r="AJ66" t="s">
        <v>3163</v>
      </c>
      <c r="AK66" t="s">
        <v>4564</v>
      </c>
    </row>
    <row r="67" spans="1:37" ht="15" customHeight="1">
      <c r="A67" s="110"/>
      <c r="B67" s="57"/>
      <c r="C67" s="44" t="s">
        <v>2516</v>
      </c>
      <c r="D67" s="796" t="s">
        <v>4600</v>
      </c>
      <c r="E67" s="796"/>
      <c r="F67" s="796"/>
      <c r="G67" s="796"/>
      <c r="H67" s="796"/>
      <c r="I67" s="796"/>
      <c r="J67" s="796"/>
      <c r="K67" s="796"/>
      <c r="L67" s="796"/>
      <c r="M67" s="749"/>
      <c r="N67" s="749"/>
      <c r="O67" s="749"/>
      <c r="P67" s="749"/>
      <c r="Q67" s="749"/>
      <c r="R67" s="749"/>
      <c r="S67" s="749"/>
      <c r="T67" s="749"/>
      <c r="U67" s="749"/>
      <c r="V67" s="749"/>
      <c r="W67" s="749"/>
      <c r="X67" s="749"/>
      <c r="Y67" s="749"/>
      <c r="Z67" s="749"/>
      <c r="AA67" s="749"/>
      <c r="AB67" s="749"/>
      <c r="AC67" s="749"/>
      <c r="AD67" s="749"/>
      <c r="AG67" s="506">
        <f>IF(OR($C$33&gt;1,$C$33=""),0,IF(COUNTBLANK(M67:AD74)=120,0,1))</f>
        <v>0</v>
      </c>
      <c r="AH67" s="506">
        <f>IF($C$33&lt;&gt;1,IF(COUNTBLANK(M67:AD74)=144,0,1),0)</f>
        <v>0</v>
      </c>
      <c r="AI67">
        <f t="shared" ref="AI67" si="3">COUNTIF(S67:AD67,"NS")</f>
        <v>0</v>
      </c>
      <c r="AJ67">
        <f t="shared" ref="AJ67" si="4">SUM(S67:AD67)</f>
        <v>0</v>
      </c>
      <c r="AK67">
        <f>IF(COUNTIF(M67:AD67,"NA")=3,0,IF(COUNTA(M67:AD67)=0,0,IF(OR(AND(M67=0,AI67&gt;0),AND(M67="ns",AJ67&gt;0),AND(M67="ns",AI67=0,AJ67=0)),1,IF(OR(AND(M67&gt;0,AI67=2),AND(M67="ns",AI67=2),AND(M67="ns",AJ67=0,AI67&gt;0),M67=AJ67),0,1))))</f>
        <v>0</v>
      </c>
    </row>
    <row r="68" spans="1:37" ht="15" customHeight="1">
      <c r="A68" s="110"/>
      <c r="B68" s="57"/>
      <c r="C68" s="44" t="s">
        <v>2517</v>
      </c>
      <c r="D68" s="796" t="s">
        <v>4601</v>
      </c>
      <c r="E68" s="796"/>
      <c r="F68" s="796"/>
      <c r="G68" s="796"/>
      <c r="H68" s="796"/>
      <c r="I68" s="796"/>
      <c r="J68" s="796"/>
      <c r="K68" s="796"/>
      <c r="L68" s="796"/>
      <c r="M68" s="749"/>
      <c r="N68" s="749"/>
      <c r="O68" s="749"/>
      <c r="P68" s="749"/>
      <c r="Q68" s="749"/>
      <c r="R68" s="749"/>
      <c r="S68" s="749"/>
      <c r="T68" s="749"/>
      <c r="U68" s="749"/>
      <c r="V68" s="749"/>
      <c r="W68" s="749"/>
      <c r="X68" s="749"/>
      <c r="Y68" s="749"/>
      <c r="Z68" s="749"/>
      <c r="AA68" s="749"/>
      <c r="AB68" s="749"/>
      <c r="AC68" s="749"/>
      <c r="AD68" s="749"/>
      <c r="AI68">
        <f t="shared" ref="AI68:AI74" si="5">COUNTIF(S68:AD68,"NS")</f>
        <v>0</v>
      </c>
      <c r="AJ68">
        <f t="shared" ref="AJ68:AJ74" si="6">SUM(S68:AD68)</f>
        <v>0</v>
      </c>
      <c r="AK68">
        <f t="shared" ref="AK68:AK74" si="7">IF(COUNTIF(M68:AD68,"NA")=3,0,IF(COUNTA(M68:AD68)=0,0,IF(OR(AND(M68=0,AI68&gt;0),AND(M68="ns",AJ68&gt;0),AND(M68="ns",AI68=0,AJ68=0)),1,IF(OR(AND(M68&gt;0,AI68=2),AND(M68="ns",AI68=2),AND(M68="ns",AJ68=0,AI68&gt;0),M68=AJ68),0,1))))</f>
        <v>0</v>
      </c>
    </row>
    <row r="69" spans="1:37" ht="15" customHeight="1">
      <c r="A69" s="110"/>
      <c r="B69" s="57"/>
      <c r="C69" s="44" t="s">
        <v>2518</v>
      </c>
      <c r="D69" s="796" t="s">
        <v>4602</v>
      </c>
      <c r="E69" s="796"/>
      <c r="F69" s="796"/>
      <c r="G69" s="796"/>
      <c r="H69" s="796"/>
      <c r="I69" s="796"/>
      <c r="J69" s="796"/>
      <c r="K69" s="796"/>
      <c r="L69" s="796"/>
      <c r="M69" s="749"/>
      <c r="N69" s="749"/>
      <c r="O69" s="749"/>
      <c r="P69" s="749"/>
      <c r="Q69" s="749"/>
      <c r="R69" s="749"/>
      <c r="S69" s="749"/>
      <c r="T69" s="749"/>
      <c r="U69" s="749"/>
      <c r="V69" s="749"/>
      <c r="W69" s="749"/>
      <c r="X69" s="749"/>
      <c r="Y69" s="749"/>
      <c r="Z69" s="749"/>
      <c r="AA69" s="749"/>
      <c r="AB69" s="749"/>
      <c r="AC69" s="749"/>
      <c r="AD69" s="749"/>
      <c r="AI69">
        <f t="shared" si="5"/>
        <v>0</v>
      </c>
      <c r="AJ69">
        <f t="shared" si="6"/>
        <v>0</v>
      </c>
      <c r="AK69">
        <f t="shared" si="7"/>
        <v>0</v>
      </c>
    </row>
    <row r="70" spans="1:37" ht="15" customHeight="1">
      <c r="A70" s="110"/>
      <c r="B70" s="57"/>
      <c r="C70" s="44" t="s">
        <v>2519</v>
      </c>
      <c r="D70" s="796" t="s">
        <v>4603</v>
      </c>
      <c r="E70" s="796"/>
      <c r="F70" s="796"/>
      <c r="G70" s="796"/>
      <c r="H70" s="796"/>
      <c r="I70" s="796"/>
      <c r="J70" s="796"/>
      <c r="K70" s="796"/>
      <c r="L70" s="796"/>
      <c r="M70" s="749"/>
      <c r="N70" s="749"/>
      <c r="O70" s="749"/>
      <c r="P70" s="749"/>
      <c r="Q70" s="749"/>
      <c r="R70" s="749"/>
      <c r="S70" s="749"/>
      <c r="T70" s="749"/>
      <c r="U70" s="749"/>
      <c r="V70" s="749"/>
      <c r="W70" s="749"/>
      <c r="X70" s="749"/>
      <c r="Y70" s="749"/>
      <c r="Z70" s="749"/>
      <c r="AA70" s="749"/>
      <c r="AB70" s="749"/>
      <c r="AC70" s="749"/>
      <c r="AD70" s="749"/>
      <c r="AI70">
        <f t="shared" si="5"/>
        <v>0</v>
      </c>
      <c r="AJ70">
        <f t="shared" si="6"/>
        <v>0</v>
      </c>
      <c r="AK70">
        <f t="shared" si="7"/>
        <v>0</v>
      </c>
    </row>
    <row r="71" spans="1:37" ht="15" customHeight="1">
      <c r="A71" s="110"/>
      <c r="B71" s="57"/>
      <c r="C71" s="44" t="s">
        <v>2520</v>
      </c>
      <c r="D71" s="796" t="s">
        <v>4604</v>
      </c>
      <c r="E71" s="796"/>
      <c r="F71" s="796"/>
      <c r="G71" s="796"/>
      <c r="H71" s="796"/>
      <c r="I71" s="796"/>
      <c r="J71" s="796"/>
      <c r="K71" s="796"/>
      <c r="L71" s="796"/>
      <c r="M71" s="749"/>
      <c r="N71" s="749"/>
      <c r="O71" s="749"/>
      <c r="P71" s="749"/>
      <c r="Q71" s="749"/>
      <c r="R71" s="749"/>
      <c r="S71" s="749"/>
      <c r="T71" s="749"/>
      <c r="U71" s="749"/>
      <c r="V71" s="749"/>
      <c r="W71" s="749"/>
      <c r="X71" s="749"/>
      <c r="Y71" s="749"/>
      <c r="Z71" s="749"/>
      <c r="AA71" s="749"/>
      <c r="AB71" s="749"/>
      <c r="AC71" s="749"/>
      <c r="AD71" s="749"/>
      <c r="AI71">
        <f t="shared" si="5"/>
        <v>0</v>
      </c>
      <c r="AJ71">
        <f t="shared" si="6"/>
        <v>0</v>
      </c>
      <c r="AK71">
        <f t="shared" si="7"/>
        <v>0</v>
      </c>
    </row>
    <row r="72" spans="1:37" ht="15" customHeight="1">
      <c r="A72" s="110"/>
      <c r="B72" s="57"/>
      <c r="C72" s="44" t="s">
        <v>2521</v>
      </c>
      <c r="D72" s="796" t="s">
        <v>4605</v>
      </c>
      <c r="E72" s="796"/>
      <c r="F72" s="796"/>
      <c r="G72" s="796"/>
      <c r="H72" s="796"/>
      <c r="I72" s="796"/>
      <c r="J72" s="796"/>
      <c r="K72" s="796"/>
      <c r="L72" s="796"/>
      <c r="M72" s="749"/>
      <c r="N72" s="749"/>
      <c r="O72" s="749"/>
      <c r="P72" s="749"/>
      <c r="Q72" s="749"/>
      <c r="R72" s="749"/>
      <c r="S72" s="749"/>
      <c r="T72" s="749"/>
      <c r="U72" s="749"/>
      <c r="V72" s="749"/>
      <c r="W72" s="749"/>
      <c r="X72" s="749"/>
      <c r="Y72" s="749"/>
      <c r="Z72" s="749"/>
      <c r="AA72" s="749"/>
      <c r="AB72" s="749"/>
      <c r="AC72" s="749"/>
      <c r="AD72" s="749"/>
      <c r="AI72">
        <f t="shared" si="5"/>
        <v>0</v>
      </c>
      <c r="AJ72">
        <f t="shared" si="6"/>
        <v>0</v>
      </c>
      <c r="AK72">
        <f t="shared" si="7"/>
        <v>0</v>
      </c>
    </row>
    <row r="73" spans="1:37" ht="15" customHeight="1">
      <c r="A73" s="110"/>
      <c r="B73" s="57"/>
      <c r="C73" s="44" t="s">
        <v>2522</v>
      </c>
      <c r="D73" s="796" t="s">
        <v>4606</v>
      </c>
      <c r="E73" s="796"/>
      <c r="F73" s="796"/>
      <c r="G73" s="796"/>
      <c r="H73" s="796"/>
      <c r="I73" s="796"/>
      <c r="J73" s="796"/>
      <c r="K73" s="796"/>
      <c r="L73" s="796"/>
      <c r="M73" s="749"/>
      <c r="N73" s="749"/>
      <c r="O73" s="749"/>
      <c r="P73" s="749"/>
      <c r="Q73" s="749"/>
      <c r="R73" s="749"/>
      <c r="S73" s="749"/>
      <c r="T73" s="749"/>
      <c r="U73" s="749"/>
      <c r="V73" s="749"/>
      <c r="W73" s="749"/>
      <c r="X73" s="749"/>
      <c r="Y73" s="749"/>
      <c r="Z73" s="749"/>
      <c r="AA73" s="749"/>
      <c r="AB73" s="749"/>
      <c r="AC73" s="749"/>
      <c r="AD73" s="749"/>
      <c r="AI73">
        <f t="shared" si="5"/>
        <v>0</v>
      </c>
      <c r="AJ73">
        <f t="shared" si="6"/>
        <v>0</v>
      </c>
      <c r="AK73">
        <f t="shared" si="7"/>
        <v>0</v>
      </c>
    </row>
    <row r="74" spans="1:37" ht="15" customHeight="1">
      <c r="A74" s="110"/>
      <c r="B74" s="57"/>
      <c r="C74" s="44" t="s">
        <v>2523</v>
      </c>
      <c r="D74" s="796" t="s">
        <v>201</v>
      </c>
      <c r="E74" s="796"/>
      <c r="F74" s="796"/>
      <c r="G74" s="796"/>
      <c r="H74" s="796"/>
      <c r="I74" s="796"/>
      <c r="J74" s="796"/>
      <c r="K74" s="796"/>
      <c r="L74" s="796"/>
      <c r="M74" s="749"/>
      <c r="N74" s="749"/>
      <c r="O74" s="749"/>
      <c r="P74" s="749"/>
      <c r="Q74" s="749"/>
      <c r="R74" s="749"/>
      <c r="S74" s="749"/>
      <c r="T74" s="749"/>
      <c r="U74" s="749"/>
      <c r="V74" s="749"/>
      <c r="W74" s="749"/>
      <c r="X74" s="749"/>
      <c r="Y74" s="749"/>
      <c r="Z74" s="749"/>
      <c r="AA74" s="749"/>
      <c r="AB74" s="749"/>
      <c r="AC74" s="749"/>
      <c r="AD74" s="749"/>
      <c r="AI74">
        <f t="shared" si="5"/>
        <v>0</v>
      </c>
      <c r="AJ74">
        <f t="shared" si="6"/>
        <v>0</v>
      </c>
      <c r="AK74">
        <f t="shared" si="7"/>
        <v>0</v>
      </c>
    </row>
    <row r="75" spans="1:37" ht="15" customHeight="1">
      <c r="A75" s="110"/>
      <c r="B75" s="57"/>
      <c r="C75" s="38"/>
      <c r="D75" s="38"/>
      <c r="E75" s="38"/>
      <c r="F75" s="38"/>
      <c r="G75" s="38"/>
      <c r="H75" s="38"/>
      <c r="I75" s="38"/>
      <c r="J75" s="38"/>
      <c r="K75" s="38"/>
      <c r="L75" s="99" t="s">
        <v>2649</v>
      </c>
      <c r="M75" s="736">
        <f>IF(AND(SUM(M67:M74)=0,COUNTIF(M67:M74,"NS")&gt;0),"NS",IF(AND(SUM(M67:M74)=0,COUNTIF(M67:M74,0)&gt;0),0,IF(AND(SUM(M67:M74)=0,COUNTIF(M67:M74,"NA")&gt;0),"NA",SUM(M67:M74))))</f>
        <v>0</v>
      </c>
      <c r="N75" s="1085"/>
      <c r="O75" s="1085"/>
      <c r="P75" s="1085"/>
      <c r="Q75" s="1085"/>
      <c r="R75" s="1086"/>
      <c r="S75" s="736">
        <f>IF(AND(SUM(S67:S74)=0,COUNTIF(S67:S74,"NS")&gt;0),"NS",IF(AND(SUM(S67:S74)=0,COUNTIF(S67:S74,0)&gt;0),0,IF(AND(SUM(S67:S74)=0,COUNTIF(S67:S74,"NA")&gt;0),"NA",SUM(S67:S74))))</f>
        <v>0</v>
      </c>
      <c r="T75" s="1085"/>
      <c r="U75" s="1085"/>
      <c r="V75" s="1085"/>
      <c r="W75" s="1085"/>
      <c r="X75" s="1086"/>
      <c r="Y75" s="736">
        <f>IF(AND(SUM(Y67:Y74)=0,COUNTIF(Y67:Y74,"NS")&gt;0),"NS",IF(AND(SUM(Y67:Y74)=0,COUNTIF(Y67:Y74,0)&gt;0),0,IF(AND(SUM(Y67:Y74)=0,COUNTIF(Y67:Y74,"NA")&gt;0),"NA",SUM(Y67:Y74))))</f>
        <v>0</v>
      </c>
      <c r="Z75" s="1085"/>
      <c r="AA75" s="1085"/>
      <c r="AB75" s="1085"/>
      <c r="AC75" s="1085"/>
      <c r="AD75" s="1086"/>
      <c r="AI75">
        <f>SUM(AI67:AI74)</f>
        <v>0</v>
      </c>
      <c r="AK75" s="506">
        <f>SUM(AK67:AK74)</f>
        <v>0</v>
      </c>
    </row>
    <row r="76" spans="1:37" ht="15" customHeight="1">
      <c r="A76" s="110"/>
      <c r="B76" s="57"/>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row>
    <row r="77" spans="1:37" ht="24" customHeight="1">
      <c r="A77" s="49"/>
      <c r="B77" s="38"/>
      <c r="C77" s="754" t="s">
        <v>2611</v>
      </c>
      <c r="D77" s="754"/>
      <c r="E77" s="754"/>
      <c r="F77" s="754"/>
      <c r="G77" s="754"/>
      <c r="H77" s="754"/>
      <c r="I77" s="754"/>
      <c r="J77" s="754"/>
      <c r="K77" s="754"/>
      <c r="L77" s="754"/>
      <c r="M77" s="754"/>
      <c r="N77" s="754"/>
      <c r="O77" s="754"/>
      <c r="P77" s="754"/>
      <c r="Q77" s="754"/>
      <c r="R77" s="754"/>
      <c r="S77" s="754"/>
      <c r="T77" s="754"/>
      <c r="U77" s="754"/>
      <c r="V77" s="754"/>
      <c r="W77" s="754"/>
      <c r="X77" s="754"/>
      <c r="Y77" s="754"/>
      <c r="Z77" s="754"/>
      <c r="AA77" s="754"/>
      <c r="AB77" s="754"/>
      <c r="AC77" s="754"/>
      <c r="AD77" s="754"/>
    </row>
    <row r="78" spans="1:37" ht="60" customHeight="1">
      <c r="A78" s="49"/>
      <c r="B78" s="38"/>
      <c r="C78" s="851"/>
      <c r="D78" s="851"/>
      <c r="E78" s="851"/>
      <c r="F78" s="851"/>
      <c r="G78" s="851"/>
      <c r="H78" s="851"/>
      <c r="I78" s="851"/>
      <c r="J78" s="851"/>
      <c r="K78" s="851"/>
      <c r="L78" s="851"/>
      <c r="M78" s="851"/>
      <c r="N78" s="851"/>
      <c r="O78" s="851"/>
      <c r="P78" s="851"/>
      <c r="Q78" s="851"/>
      <c r="R78" s="851"/>
      <c r="S78" s="851"/>
      <c r="T78" s="851"/>
      <c r="U78" s="851"/>
      <c r="V78" s="851"/>
      <c r="W78" s="851"/>
      <c r="X78" s="851"/>
      <c r="Y78" s="851"/>
      <c r="Z78" s="851"/>
      <c r="AA78" s="851"/>
      <c r="AB78" s="851"/>
      <c r="AC78" s="851"/>
      <c r="AD78" s="851"/>
    </row>
    <row r="79" spans="1:37" ht="15" customHeight="1">
      <c r="A79" s="49"/>
      <c r="B79" s="794" t="str">
        <f>IF(AG67=0,"","Favor de ingresar toda la información requerida en la pregunta")</f>
        <v/>
      </c>
      <c r="C79" s="794"/>
      <c r="D79" s="794"/>
      <c r="E79" s="794"/>
      <c r="F79" s="794"/>
      <c r="G79" s="794"/>
      <c r="H79" s="794"/>
      <c r="I79" s="794"/>
      <c r="J79" s="794"/>
      <c r="K79" s="794"/>
      <c r="L79" s="794"/>
      <c r="M79" s="794"/>
      <c r="N79" s="794"/>
      <c r="O79" s="794"/>
      <c r="P79" s="794"/>
      <c r="Q79" s="794"/>
      <c r="R79" s="794"/>
      <c r="S79" s="794"/>
      <c r="T79" s="794"/>
      <c r="U79" s="794"/>
      <c r="V79" s="794"/>
      <c r="W79" s="794"/>
      <c r="X79" s="794"/>
      <c r="Y79" s="794"/>
      <c r="Z79" s="794"/>
      <c r="AA79" s="794"/>
      <c r="AB79" s="794"/>
      <c r="AC79" s="794"/>
      <c r="AD79" s="794"/>
      <c r="AE79" s="794"/>
    </row>
    <row r="80" spans="1:37" ht="15" customHeight="1">
      <c r="A80" s="103"/>
      <c r="B80" s="1087" t="str">
        <f>IF($C$33&lt;&gt;1,"",IF(COUNTIF(M67:AD74,"NS")&lt;&gt;0,"Alerta: debido a que cuenta con registros NS, debe proporcionar una justificación en el area de comentarios al final de la pregunta",""))</f>
        <v/>
      </c>
      <c r="C80" s="1087"/>
      <c r="D80" s="1087"/>
      <c r="E80" s="1087"/>
      <c r="F80" s="1087"/>
      <c r="G80" s="1087"/>
      <c r="H80" s="1087"/>
      <c r="I80" s="1087"/>
      <c r="J80" s="1087"/>
      <c r="K80" s="1087"/>
      <c r="L80" s="1087"/>
      <c r="M80" s="1087"/>
      <c r="N80" s="1087"/>
      <c r="O80" s="1087"/>
      <c r="P80" s="1087"/>
      <c r="Q80" s="1087"/>
      <c r="R80" s="1087"/>
      <c r="S80" s="1087"/>
      <c r="T80" s="1087"/>
      <c r="U80" s="1087"/>
      <c r="V80" s="1087"/>
      <c r="W80" s="1087"/>
      <c r="X80" s="1087"/>
      <c r="Y80" s="1087"/>
      <c r="Z80" s="1087"/>
      <c r="AA80" s="1087"/>
      <c r="AB80" s="1087"/>
      <c r="AC80" s="1087"/>
      <c r="AD80" s="1087"/>
      <c r="AE80" s="1087"/>
    </row>
    <row r="81" spans="1:37" ht="15" customHeight="1">
      <c r="A81" s="103"/>
      <c r="B81" s="1003" t="str">
        <f>IF(AH67&gt;0,"Revise la información capturada, ya que tiene datos ingresados en celdas que están sombreadas","")</f>
        <v/>
      </c>
      <c r="C81" s="1003"/>
      <c r="D81" s="1003"/>
      <c r="E81" s="1003"/>
      <c r="F81" s="1003"/>
      <c r="G81" s="1003"/>
      <c r="H81" s="1003"/>
      <c r="I81" s="1003"/>
      <c r="J81" s="1003"/>
      <c r="K81" s="1003"/>
      <c r="L81" s="1003"/>
      <c r="M81" s="1003"/>
      <c r="N81" s="1003"/>
      <c r="O81" s="1003"/>
      <c r="P81" s="1003"/>
      <c r="Q81" s="1003"/>
      <c r="R81" s="1003"/>
      <c r="S81" s="1003"/>
      <c r="T81" s="1003"/>
      <c r="U81" s="1003"/>
      <c r="V81" s="1003"/>
      <c r="W81" s="1003"/>
      <c r="X81" s="1003"/>
      <c r="Y81" s="1003"/>
      <c r="Z81" s="1003"/>
      <c r="AA81" s="1003"/>
      <c r="AB81" s="1003"/>
      <c r="AC81" s="1003"/>
      <c r="AD81" s="1003"/>
      <c r="AE81" s="1003"/>
    </row>
    <row r="82" spans="1:37" ht="15" customHeight="1">
      <c r="A82" s="103"/>
      <c r="B82" s="1003" t="str">
        <f>IF($C$33&lt;&gt;1,"",IF(AK75&gt;0,"Favor de revisar la suma y consistencia de totales y/o subtotales por filas (numéricos y NS)",""))</f>
        <v/>
      </c>
      <c r="C82" s="1003"/>
      <c r="D82" s="1003"/>
      <c r="E82" s="1003"/>
      <c r="F82" s="1003"/>
      <c r="G82" s="1003"/>
      <c r="H82" s="1003"/>
      <c r="I82" s="1003"/>
      <c r="J82" s="1003"/>
      <c r="K82" s="1003"/>
      <c r="L82" s="1003"/>
      <c r="M82" s="1003"/>
      <c r="N82" s="1003"/>
      <c r="O82" s="1003"/>
      <c r="P82" s="1003"/>
      <c r="Q82" s="1003"/>
      <c r="R82" s="1003"/>
      <c r="S82" s="1003"/>
      <c r="T82" s="1003"/>
      <c r="U82" s="1003"/>
      <c r="V82" s="1003"/>
      <c r="W82" s="1003"/>
      <c r="X82" s="1003"/>
      <c r="Y82" s="1003"/>
      <c r="Z82" s="1003"/>
      <c r="AA82" s="1003"/>
      <c r="AB82" s="1003"/>
      <c r="AC82" s="1003"/>
      <c r="AD82" s="1003"/>
      <c r="AE82" s="1003"/>
    </row>
    <row r="83" spans="1:37" ht="15" customHeight="1">
      <c r="A83" s="110"/>
      <c r="B83" s="1003" t="str">
        <f>IF($C$33&lt;&gt;1,"",IF(AND($P$33=M75,$U$33=S75,$Z$33=Y75),"","Las cantidades de Hombres y Mujeres debe corresponder con los datos reportados en la preg. 11.1"))</f>
        <v/>
      </c>
      <c r="C83" s="1003"/>
      <c r="D83" s="1003"/>
      <c r="E83" s="1003"/>
      <c r="F83" s="1003"/>
      <c r="G83" s="1003"/>
      <c r="H83" s="1003"/>
      <c r="I83" s="1003"/>
      <c r="J83" s="1003"/>
      <c r="K83" s="1003"/>
      <c r="L83" s="1003"/>
      <c r="M83" s="1003"/>
      <c r="N83" s="1003"/>
      <c r="O83" s="1003"/>
      <c r="P83" s="1003"/>
      <c r="Q83" s="1003"/>
      <c r="R83" s="1003"/>
      <c r="S83" s="1003"/>
      <c r="T83" s="1003"/>
      <c r="U83" s="1003"/>
      <c r="V83" s="1003"/>
      <c r="W83" s="1003"/>
      <c r="X83" s="1003"/>
      <c r="Y83" s="1003"/>
      <c r="Z83" s="1003"/>
      <c r="AA83" s="1003"/>
      <c r="AB83" s="1003"/>
      <c r="AC83" s="1003"/>
      <c r="AD83" s="1003"/>
      <c r="AE83" s="1003"/>
    </row>
    <row r="84" spans="1:37" ht="15" customHeight="1">
      <c r="A84" s="110"/>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row>
    <row r="85" spans="1:37" ht="24" customHeight="1">
      <c r="A85" s="49" t="s">
        <v>5609</v>
      </c>
      <c r="B85" s="829" t="s">
        <v>5610</v>
      </c>
      <c r="C85" s="829"/>
      <c r="D85" s="829"/>
      <c r="E85" s="829"/>
      <c r="F85" s="829"/>
      <c r="G85" s="829"/>
      <c r="H85" s="829"/>
      <c r="I85" s="829"/>
      <c r="J85" s="829"/>
      <c r="K85" s="829"/>
      <c r="L85" s="829"/>
      <c r="M85" s="829"/>
      <c r="N85" s="829"/>
      <c r="O85" s="829"/>
      <c r="P85" s="829"/>
      <c r="Q85" s="829"/>
      <c r="R85" s="829"/>
      <c r="S85" s="829"/>
      <c r="T85" s="829"/>
      <c r="U85" s="829"/>
      <c r="V85" s="829"/>
      <c r="W85" s="829"/>
      <c r="X85" s="829"/>
      <c r="Y85" s="829"/>
      <c r="Z85" s="829"/>
      <c r="AA85" s="829"/>
      <c r="AB85" s="829"/>
      <c r="AC85" s="829"/>
      <c r="AD85" s="829"/>
    </row>
    <row r="86" spans="1:37" ht="24" customHeight="1">
      <c r="A86" s="49"/>
      <c r="B86" s="38"/>
      <c r="C86" s="830" t="s">
        <v>5611</v>
      </c>
      <c r="D86" s="830"/>
      <c r="E86" s="830"/>
      <c r="F86" s="830"/>
      <c r="G86" s="830"/>
      <c r="H86" s="830"/>
      <c r="I86" s="830"/>
      <c r="J86" s="830"/>
      <c r="K86" s="830"/>
      <c r="L86" s="830"/>
      <c r="M86" s="830"/>
      <c r="N86" s="830"/>
      <c r="O86" s="830"/>
      <c r="P86" s="830"/>
      <c r="Q86" s="830"/>
      <c r="R86" s="830"/>
      <c r="S86" s="830"/>
      <c r="T86" s="830"/>
      <c r="U86" s="830"/>
      <c r="V86" s="830"/>
      <c r="W86" s="830"/>
      <c r="X86" s="830"/>
      <c r="Y86" s="830"/>
      <c r="Z86" s="830"/>
      <c r="AA86" s="830"/>
      <c r="AB86" s="830"/>
      <c r="AC86" s="830"/>
      <c r="AD86" s="830"/>
    </row>
    <row r="87" spans="1:37" ht="15" customHeight="1">
      <c r="A87" s="49"/>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row>
    <row r="88" spans="1:37" ht="15" customHeight="1">
      <c r="A88" s="49"/>
      <c r="B88" s="38"/>
      <c r="C88" s="880" t="s">
        <v>4610</v>
      </c>
      <c r="D88" s="880"/>
      <c r="E88" s="880"/>
      <c r="F88" s="880"/>
      <c r="G88" s="880"/>
      <c r="H88" s="880"/>
      <c r="I88" s="880"/>
      <c r="J88" s="880"/>
      <c r="K88" s="880"/>
      <c r="L88" s="880"/>
      <c r="M88" s="732" t="s">
        <v>5601</v>
      </c>
      <c r="N88" s="732"/>
      <c r="O88" s="732"/>
      <c r="P88" s="732"/>
      <c r="Q88" s="732"/>
      <c r="R88" s="732"/>
      <c r="S88" s="732"/>
      <c r="T88" s="732"/>
      <c r="U88" s="732"/>
      <c r="V88" s="732"/>
      <c r="W88" s="732"/>
      <c r="X88" s="732"/>
      <c r="Y88" s="732"/>
      <c r="Z88" s="732"/>
      <c r="AA88" s="732"/>
      <c r="AB88" s="732"/>
      <c r="AC88" s="732"/>
      <c r="AD88" s="732"/>
    </row>
    <row r="89" spans="1:37" ht="15" customHeight="1">
      <c r="A89" s="49"/>
      <c r="B89" s="38"/>
      <c r="C89" s="880"/>
      <c r="D89" s="880"/>
      <c r="E89" s="880"/>
      <c r="F89" s="880"/>
      <c r="G89" s="880"/>
      <c r="H89" s="880"/>
      <c r="I89" s="880"/>
      <c r="J89" s="880"/>
      <c r="K89" s="880"/>
      <c r="L89" s="880"/>
      <c r="M89" s="987" t="s">
        <v>2628</v>
      </c>
      <c r="N89" s="988"/>
      <c r="O89" s="988"/>
      <c r="P89" s="988"/>
      <c r="Q89" s="988"/>
      <c r="R89" s="988"/>
      <c r="S89" s="989" t="s">
        <v>2629</v>
      </c>
      <c r="T89" s="990"/>
      <c r="U89" s="990"/>
      <c r="V89" s="990"/>
      <c r="W89" s="990"/>
      <c r="X89" s="990"/>
      <c r="Y89" s="989" t="s">
        <v>2630</v>
      </c>
      <c r="Z89" s="990"/>
      <c r="AA89" s="990"/>
      <c r="AB89" s="990"/>
      <c r="AC89" s="990"/>
      <c r="AD89" s="990"/>
      <c r="AG89" t="s">
        <v>2586</v>
      </c>
      <c r="AH89" t="s">
        <v>4599</v>
      </c>
      <c r="AI89" t="s">
        <v>2590</v>
      </c>
      <c r="AJ89" t="s">
        <v>3163</v>
      </c>
      <c r="AK89" t="s">
        <v>4564</v>
      </c>
    </row>
    <row r="90" spans="1:37" ht="15" customHeight="1">
      <c r="A90" s="166"/>
      <c r="B90" s="57"/>
      <c r="C90" s="97" t="s">
        <v>2516</v>
      </c>
      <c r="D90" s="813" t="s">
        <v>3099</v>
      </c>
      <c r="E90" s="814"/>
      <c r="F90" s="814"/>
      <c r="G90" s="814"/>
      <c r="H90" s="814"/>
      <c r="I90" s="814"/>
      <c r="J90" s="814"/>
      <c r="K90" s="814"/>
      <c r="L90" s="815"/>
      <c r="M90" s="749"/>
      <c r="N90" s="749"/>
      <c r="O90" s="749"/>
      <c r="P90" s="749"/>
      <c r="Q90" s="749"/>
      <c r="R90" s="749"/>
      <c r="S90" s="749"/>
      <c r="T90" s="749"/>
      <c r="U90" s="749"/>
      <c r="V90" s="749"/>
      <c r="W90" s="749"/>
      <c r="X90" s="749"/>
      <c r="Y90" s="749"/>
      <c r="Z90" s="749"/>
      <c r="AA90" s="749"/>
      <c r="AB90" s="749"/>
      <c r="AC90" s="749"/>
      <c r="AD90" s="749"/>
      <c r="AG90" s="506">
        <f>IF(OR($C$33&gt;1,$C$33=""),0,IF(COUNTA(M90:AD98)=27,0,1))</f>
        <v>0</v>
      </c>
      <c r="AH90" s="506">
        <f>IF($C$33&lt;&gt;1,IF(COUNTA(M90:AD98)=0,0,1),0)</f>
        <v>0</v>
      </c>
      <c r="AI90">
        <f t="shared" ref="AI90" si="8">COUNTIF(S90:AD90,"NS")</f>
        <v>0</v>
      </c>
      <c r="AJ90">
        <f t="shared" ref="AJ90" si="9">SUM(S90:AD90)</f>
        <v>0</v>
      </c>
      <c r="AK90">
        <f>IF(COUNTIF(M90:AD90,"NA")=3,0,IF(COUNTA(M90:AD90)=0,0,IF(OR(AND(M90=0,AI90&gt;0),AND(M90="ns",AJ90&gt;0),AND(M90="ns",AI90=0,AJ90=0)),1,IF(OR(AND(M90&gt;0,AI90=2),AND(M90="ns",AI90=2),AND(M90="ns",AJ90=0,AI90&gt;0),M90=AJ90),0,1))))</f>
        <v>0</v>
      </c>
    </row>
    <row r="91" spans="1:37" ht="15" customHeight="1">
      <c r="A91" s="166"/>
      <c r="B91" s="57"/>
      <c r="C91" s="98" t="s">
        <v>2517</v>
      </c>
      <c r="D91" s="813" t="s">
        <v>3102</v>
      </c>
      <c r="E91" s="814"/>
      <c r="F91" s="814"/>
      <c r="G91" s="814"/>
      <c r="H91" s="814"/>
      <c r="I91" s="814"/>
      <c r="J91" s="814"/>
      <c r="K91" s="814"/>
      <c r="L91" s="815"/>
      <c r="M91" s="749"/>
      <c r="N91" s="749"/>
      <c r="O91" s="749"/>
      <c r="P91" s="749"/>
      <c r="Q91" s="749"/>
      <c r="R91" s="749"/>
      <c r="S91" s="749"/>
      <c r="T91" s="749"/>
      <c r="U91" s="749"/>
      <c r="V91" s="749"/>
      <c r="W91" s="749"/>
      <c r="X91" s="749"/>
      <c r="Y91" s="749"/>
      <c r="Z91" s="749"/>
      <c r="AA91" s="749"/>
      <c r="AB91" s="749"/>
      <c r="AC91" s="749"/>
      <c r="AD91" s="749"/>
      <c r="AI91">
        <f t="shared" ref="AI91:AI98" si="10">COUNTIF(S91:AD91,"NS")</f>
        <v>0</v>
      </c>
      <c r="AJ91">
        <f t="shared" ref="AJ91:AJ98" si="11">SUM(S91:AD91)</f>
        <v>0</v>
      </c>
      <c r="AK91">
        <f t="shared" ref="AK91:AK98" si="12">IF(COUNTIF(M91:AD91,"NA")=3,0,IF(COUNTA(M91:AD91)=0,0,IF(OR(AND(M91=0,AI91&gt;0),AND(M91="ns",AJ91&gt;0),AND(M91="ns",AI91=0,AJ91=0)),1,IF(OR(AND(M91&gt;0,AI91=2),AND(M91="ns",AI91=2),AND(M91="ns",AJ91=0,AI91&gt;0),M91=AJ91),0,1))))</f>
        <v>0</v>
      </c>
    </row>
    <row r="92" spans="1:37" ht="15" customHeight="1">
      <c r="A92" s="166"/>
      <c r="B92" s="57"/>
      <c r="C92" s="98" t="s">
        <v>2518</v>
      </c>
      <c r="D92" s="813" t="s">
        <v>3105</v>
      </c>
      <c r="E92" s="814"/>
      <c r="F92" s="814"/>
      <c r="G92" s="814"/>
      <c r="H92" s="814"/>
      <c r="I92" s="814"/>
      <c r="J92" s="814"/>
      <c r="K92" s="814"/>
      <c r="L92" s="815"/>
      <c r="M92" s="749"/>
      <c r="N92" s="749"/>
      <c r="O92" s="749"/>
      <c r="P92" s="749"/>
      <c r="Q92" s="749"/>
      <c r="R92" s="749"/>
      <c r="S92" s="749"/>
      <c r="T92" s="749"/>
      <c r="U92" s="749"/>
      <c r="V92" s="749"/>
      <c r="W92" s="749"/>
      <c r="X92" s="749"/>
      <c r="Y92" s="749"/>
      <c r="Z92" s="749"/>
      <c r="AA92" s="749"/>
      <c r="AB92" s="749"/>
      <c r="AC92" s="749"/>
      <c r="AD92" s="749"/>
      <c r="AI92">
        <f t="shared" si="10"/>
        <v>0</v>
      </c>
      <c r="AJ92">
        <f t="shared" si="11"/>
        <v>0</v>
      </c>
      <c r="AK92">
        <f t="shared" si="12"/>
        <v>0</v>
      </c>
    </row>
    <row r="93" spans="1:37" ht="15" customHeight="1">
      <c r="A93" s="166"/>
      <c r="B93" s="57"/>
      <c r="C93" s="98" t="s">
        <v>2519</v>
      </c>
      <c r="D93" s="813" t="s">
        <v>3108</v>
      </c>
      <c r="E93" s="814"/>
      <c r="F93" s="814"/>
      <c r="G93" s="814"/>
      <c r="H93" s="814"/>
      <c r="I93" s="814"/>
      <c r="J93" s="814"/>
      <c r="K93" s="814"/>
      <c r="L93" s="815"/>
      <c r="M93" s="749"/>
      <c r="N93" s="749"/>
      <c r="O93" s="749"/>
      <c r="P93" s="749"/>
      <c r="Q93" s="749"/>
      <c r="R93" s="749"/>
      <c r="S93" s="749"/>
      <c r="T93" s="749"/>
      <c r="U93" s="749"/>
      <c r="V93" s="749"/>
      <c r="W93" s="749"/>
      <c r="X93" s="749"/>
      <c r="Y93" s="749"/>
      <c r="Z93" s="749"/>
      <c r="AA93" s="749"/>
      <c r="AB93" s="749"/>
      <c r="AC93" s="749"/>
      <c r="AD93" s="749"/>
      <c r="AI93">
        <f t="shared" si="10"/>
        <v>0</v>
      </c>
      <c r="AJ93">
        <f t="shared" si="11"/>
        <v>0</v>
      </c>
      <c r="AK93">
        <f t="shared" si="12"/>
        <v>0</v>
      </c>
    </row>
    <row r="94" spans="1:37" ht="15" customHeight="1">
      <c r="A94" s="166"/>
      <c r="B94" s="57"/>
      <c r="C94" s="98" t="s">
        <v>2520</v>
      </c>
      <c r="D94" s="813" t="s">
        <v>3111</v>
      </c>
      <c r="E94" s="814"/>
      <c r="F94" s="814"/>
      <c r="G94" s="814"/>
      <c r="H94" s="814"/>
      <c r="I94" s="814"/>
      <c r="J94" s="814"/>
      <c r="K94" s="814"/>
      <c r="L94" s="815"/>
      <c r="M94" s="749"/>
      <c r="N94" s="749"/>
      <c r="O94" s="749"/>
      <c r="P94" s="749"/>
      <c r="Q94" s="749"/>
      <c r="R94" s="749"/>
      <c r="S94" s="749"/>
      <c r="T94" s="749"/>
      <c r="U94" s="749"/>
      <c r="V94" s="749"/>
      <c r="W94" s="749"/>
      <c r="X94" s="749"/>
      <c r="Y94" s="749"/>
      <c r="Z94" s="749"/>
      <c r="AA94" s="749"/>
      <c r="AB94" s="749"/>
      <c r="AC94" s="749"/>
      <c r="AD94" s="749"/>
      <c r="AI94">
        <f t="shared" si="10"/>
        <v>0</v>
      </c>
      <c r="AJ94">
        <f t="shared" si="11"/>
        <v>0</v>
      </c>
      <c r="AK94">
        <f t="shared" si="12"/>
        <v>0</v>
      </c>
    </row>
    <row r="95" spans="1:37" ht="15" customHeight="1">
      <c r="A95" s="166"/>
      <c r="B95" s="57"/>
      <c r="C95" s="98" t="s">
        <v>2521</v>
      </c>
      <c r="D95" s="813" t="s">
        <v>3114</v>
      </c>
      <c r="E95" s="814"/>
      <c r="F95" s="814"/>
      <c r="G95" s="814"/>
      <c r="H95" s="814"/>
      <c r="I95" s="814"/>
      <c r="J95" s="814"/>
      <c r="K95" s="814"/>
      <c r="L95" s="815"/>
      <c r="M95" s="749"/>
      <c r="N95" s="749"/>
      <c r="O95" s="749"/>
      <c r="P95" s="749"/>
      <c r="Q95" s="749"/>
      <c r="R95" s="749"/>
      <c r="S95" s="749"/>
      <c r="T95" s="749"/>
      <c r="U95" s="749"/>
      <c r="V95" s="749"/>
      <c r="W95" s="749"/>
      <c r="X95" s="749"/>
      <c r="Y95" s="749"/>
      <c r="Z95" s="749"/>
      <c r="AA95" s="749"/>
      <c r="AB95" s="749"/>
      <c r="AC95" s="749"/>
      <c r="AD95" s="749"/>
      <c r="AI95">
        <f t="shared" si="10"/>
        <v>0</v>
      </c>
      <c r="AJ95">
        <f t="shared" si="11"/>
        <v>0</v>
      </c>
      <c r="AK95">
        <f t="shared" si="12"/>
        <v>0</v>
      </c>
    </row>
    <row r="96" spans="1:37" ht="15" customHeight="1">
      <c r="A96" s="166"/>
      <c r="B96" s="57"/>
      <c r="C96" s="98" t="s">
        <v>2522</v>
      </c>
      <c r="D96" s="813" t="s">
        <v>3117</v>
      </c>
      <c r="E96" s="814"/>
      <c r="F96" s="814"/>
      <c r="G96" s="814"/>
      <c r="H96" s="814"/>
      <c r="I96" s="814"/>
      <c r="J96" s="814"/>
      <c r="K96" s="814"/>
      <c r="L96" s="815"/>
      <c r="M96" s="749"/>
      <c r="N96" s="749"/>
      <c r="O96" s="749"/>
      <c r="P96" s="749"/>
      <c r="Q96" s="749"/>
      <c r="R96" s="749"/>
      <c r="S96" s="749"/>
      <c r="T96" s="749"/>
      <c r="U96" s="749"/>
      <c r="V96" s="749"/>
      <c r="W96" s="749"/>
      <c r="X96" s="749"/>
      <c r="Y96" s="749"/>
      <c r="Z96" s="749"/>
      <c r="AA96" s="749"/>
      <c r="AB96" s="749"/>
      <c r="AC96" s="749"/>
      <c r="AD96" s="749"/>
      <c r="AI96">
        <f t="shared" si="10"/>
        <v>0</v>
      </c>
      <c r="AJ96">
        <f t="shared" si="11"/>
        <v>0</v>
      </c>
      <c r="AK96">
        <f t="shared" si="12"/>
        <v>0</v>
      </c>
    </row>
    <row r="97" spans="1:37" ht="15" customHeight="1">
      <c r="A97" s="166"/>
      <c r="B97" s="57"/>
      <c r="C97" s="98" t="s">
        <v>2523</v>
      </c>
      <c r="D97" s="813" t="s">
        <v>3120</v>
      </c>
      <c r="E97" s="814"/>
      <c r="F97" s="814"/>
      <c r="G97" s="814"/>
      <c r="H97" s="814"/>
      <c r="I97" s="814"/>
      <c r="J97" s="814"/>
      <c r="K97" s="814"/>
      <c r="L97" s="815"/>
      <c r="M97" s="749"/>
      <c r="N97" s="749"/>
      <c r="O97" s="749"/>
      <c r="P97" s="749"/>
      <c r="Q97" s="749"/>
      <c r="R97" s="749"/>
      <c r="S97" s="749"/>
      <c r="T97" s="749"/>
      <c r="U97" s="749"/>
      <c r="V97" s="749"/>
      <c r="W97" s="749"/>
      <c r="X97" s="749"/>
      <c r="Y97" s="749"/>
      <c r="Z97" s="749"/>
      <c r="AA97" s="749"/>
      <c r="AB97" s="749"/>
      <c r="AC97" s="749"/>
      <c r="AD97" s="749"/>
      <c r="AI97">
        <f t="shared" si="10"/>
        <v>0</v>
      </c>
      <c r="AJ97">
        <f t="shared" si="11"/>
        <v>0</v>
      </c>
      <c r="AK97">
        <f t="shared" si="12"/>
        <v>0</v>
      </c>
    </row>
    <row r="98" spans="1:37" ht="15" customHeight="1">
      <c r="A98" s="166"/>
      <c r="B98" s="57"/>
      <c r="C98" s="98" t="s">
        <v>2524</v>
      </c>
      <c r="D98" s="813" t="s">
        <v>201</v>
      </c>
      <c r="E98" s="814"/>
      <c r="F98" s="814"/>
      <c r="G98" s="814"/>
      <c r="H98" s="814"/>
      <c r="I98" s="814"/>
      <c r="J98" s="814"/>
      <c r="K98" s="814"/>
      <c r="L98" s="815"/>
      <c r="M98" s="749"/>
      <c r="N98" s="749"/>
      <c r="O98" s="749"/>
      <c r="P98" s="749"/>
      <c r="Q98" s="749"/>
      <c r="R98" s="749"/>
      <c r="S98" s="749"/>
      <c r="T98" s="749"/>
      <c r="U98" s="749"/>
      <c r="V98" s="749"/>
      <c r="W98" s="749"/>
      <c r="X98" s="749"/>
      <c r="Y98" s="749"/>
      <c r="Z98" s="749"/>
      <c r="AA98" s="749"/>
      <c r="AB98" s="749"/>
      <c r="AC98" s="749"/>
      <c r="AD98" s="749"/>
      <c r="AI98">
        <f t="shared" si="10"/>
        <v>0</v>
      </c>
      <c r="AJ98">
        <f t="shared" si="11"/>
        <v>0</v>
      </c>
      <c r="AK98">
        <f t="shared" si="12"/>
        <v>0</v>
      </c>
    </row>
    <row r="99" spans="1:37" ht="15" customHeight="1">
      <c r="A99" s="49"/>
      <c r="B99" s="38"/>
      <c r="C99" s="38"/>
      <c r="D99" s="38"/>
      <c r="E99" s="38"/>
      <c r="F99" s="38"/>
      <c r="G99" s="38"/>
      <c r="H99" s="38"/>
      <c r="I99" s="38"/>
      <c r="J99" s="38"/>
      <c r="K99" s="38"/>
      <c r="L99" s="117" t="s">
        <v>2649</v>
      </c>
      <c r="M99" s="736">
        <f>IF(AND(SUM(M90:M98)=0,COUNTIF(M90:M98,"NS")&gt;0),"NS",IF(AND(SUM(M90:M98)=0,COUNTIF(M90:M98,0)&gt;0),0,IF(AND(SUM(M90:M98)=0,COUNTIF(M90:M98,"NA")&gt;0),"NA",SUM(M90:M98))))</f>
        <v>0</v>
      </c>
      <c r="N99" s="736"/>
      <c r="O99" s="736"/>
      <c r="P99" s="736"/>
      <c r="Q99" s="736"/>
      <c r="R99" s="736"/>
      <c r="S99" s="736">
        <f>IF(AND(SUM(S90:S98)=0,COUNTIF(S90:S98,"NS")&gt;0),"NS",IF(AND(SUM(S90:S98)=0,COUNTIF(S90:S98,0)&gt;0),0,IF(AND(SUM(S90:S98)=0,COUNTIF(S90:S98,"NA")&gt;0),"NA",SUM(S90:S98))))</f>
        <v>0</v>
      </c>
      <c r="T99" s="736"/>
      <c r="U99" s="736"/>
      <c r="V99" s="736"/>
      <c r="W99" s="736"/>
      <c r="X99" s="736"/>
      <c r="Y99" s="736">
        <f>IF(AND(SUM(Y90:Y98)=0,COUNTIF(Y90:Y98,"NS")&gt;0),"NS",IF(AND(SUM(Y90:Y98)=0,COUNTIF(Y90:Y98,0)&gt;0),0,IF(AND(SUM(Y90:Y98)=0,COUNTIF(Y90:Y98,"NA")&gt;0),"NA",SUM(Y90:Y98))))</f>
        <v>0</v>
      </c>
      <c r="Z99" s="736"/>
      <c r="AA99" s="736"/>
      <c r="AB99" s="736"/>
      <c r="AC99" s="736"/>
      <c r="AD99" s="736"/>
      <c r="AK99" s="506">
        <f>SUM(AK90:AK98)</f>
        <v>0</v>
      </c>
    </row>
    <row r="100" spans="1:37" ht="15" customHeight="1">
      <c r="A100" s="49"/>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row>
    <row r="101" spans="1:37" ht="24" customHeight="1">
      <c r="A101" s="49"/>
      <c r="B101" s="38"/>
      <c r="C101" s="754" t="s">
        <v>2611</v>
      </c>
      <c r="D101" s="754"/>
      <c r="E101" s="754"/>
      <c r="F101" s="754"/>
      <c r="G101" s="754"/>
      <c r="H101" s="754"/>
      <c r="I101" s="754"/>
      <c r="J101" s="754"/>
      <c r="K101" s="754"/>
      <c r="L101" s="754"/>
      <c r="M101" s="754"/>
      <c r="N101" s="754"/>
      <c r="O101" s="754"/>
      <c r="P101" s="754"/>
      <c r="Q101" s="754"/>
      <c r="R101" s="754"/>
      <c r="S101" s="754"/>
      <c r="T101" s="754"/>
      <c r="U101" s="754"/>
      <c r="V101" s="754"/>
      <c r="W101" s="754"/>
      <c r="X101" s="754"/>
      <c r="Y101" s="754"/>
      <c r="Z101" s="754"/>
      <c r="AA101" s="754"/>
      <c r="AB101" s="754"/>
      <c r="AC101" s="754"/>
      <c r="AD101" s="754"/>
    </row>
    <row r="102" spans="1:37" ht="60" customHeight="1">
      <c r="A102" s="49"/>
      <c r="B102" s="38"/>
      <c r="C102" s="851"/>
      <c r="D102" s="851"/>
      <c r="E102" s="851"/>
      <c r="F102" s="851"/>
      <c r="G102" s="851"/>
      <c r="H102" s="851"/>
      <c r="I102" s="851"/>
      <c r="J102" s="851"/>
      <c r="K102" s="851"/>
      <c r="L102" s="851"/>
      <c r="M102" s="851"/>
      <c r="N102" s="851"/>
      <c r="O102" s="851"/>
      <c r="P102" s="851"/>
      <c r="Q102" s="851"/>
      <c r="R102" s="851"/>
      <c r="S102" s="851"/>
      <c r="T102" s="851"/>
      <c r="U102" s="851"/>
      <c r="V102" s="851"/>
      <c r="W102" s="851"/>
      <c r="X102" s="851"/>
      <c r="Y102" s="851"/>
      <c r="Z102" s="851"/>
      <c r="AA102" s="851"/>
      <c r="AB102" s="851"/>
      <c r="AC102" s="851"/>
      <c r="AD102" s="851"/>
    </row>
    <row r="103" spans="1:37" ht="15" customHeight="1">
      <c r="A103" s="49"/>
      <c r="B103" s="794" t="str">
        <f>IF(AG90=0,"","Favor de ingresar toda la información requerida en la pregunta")</f>
        <v/>
      </c>
      <c r="C103" s="794"/>
      <c r="D103" s="794"/>
      <c r="E103" s="794"/>
      <c r="F103" s="794"/>
      <c r="G103" s="794"/>
      <c r="H103" s="794"/>
      <c r="I103" s="794"/>
      <c r="J103" s="794"/>
      <c r="K103" s="794"/>
      <c r="L103" s="794"/>
      <c r="M103" s="794"/>
      <c r="N103" s="794"/>
      <c r="O103" s="794"/>
      <c r="P103" s="794"/>
      <c r="Q103" s="794"/>
      <c r="R103" s="794"/>
      <c r="S103" s="794"/>
      <c r="T103" s="794"/>
      <c r="U103" s="794"/>
      <c r="V103" s="794"/>
      <c r="W103" s="794"/>
      <c r="X103" s="794"/>
      <c r="Y103" s="794"/>
      <c r="Z103" s="794"/>
      <c r="AA103" s="794"/>
      <c r="AB103" s="794"/>
      <c r="AC103" s="794"/>
      <c r="AD103" s="794"/>
      <c r="AE103" s="794"/>
    </row>
    <row r="104" spans="1:37" ht="15" customHeight="1">
      <c r="A104" s="103"/>
      <c r="B104" s="1087" t="str">
        <f>IF($C$33&lt;&gt;1,"",IF(COUNTIF(M90:AD98,"NS")&lt;&gt;0,"Alerta: debido a que cuenta con registros NS, debe proporcionar una justificación en el area de comentarios al final de la pregunta",""))</f>
        <v/>
      </c>
      <c r="C104" s="1087"/>
      <c r="D104" s="1087"/>
      <c r="E104" s="1087"/>
      <c r="F104" s="1087"/>
      <c r="G104" s="1087"/>
      <c r="H104" s="1087"/>
      <c r="I104" s="1087"/>
      <c r="J104" s="1087"/>
      <c r="K104" s="1087"/>
      <c r="L104" s="1087"/>
      <c r="M104" s="1087"/>
      <c r="N104" s="1087"/>
      <c r="O104" s="1087"/>
      <c r="P104" s="1087"/>
      <c r="Q104" s="1087"/>
      <c r="R104" s="1087"/>
      <c r="S104" s="1087"/>
      <c r="T104" s="1087"/>
      <c r="U104" s="1087"/>
      <c r="V104" s="1087"/>
      <c r="W104" s="1087"/>
      <c r="X104" s="1087"/>
      <c r="Y104" s="1087"/>
      <c r="Z104" s="1087"/>
      <c r="AA104" s="1087"/>
      <c r="AB104" s="1087"/>
      <c r="AC104" s="1087"/>
      <c r="AD104" s="1087"/>
      <c r="AE104" s="1087"/>
    </row>
    <row r="105" spans="1:37" ht="15" customHeight="1">
      <c r="A105" s="103"/>
      <c r="B105" s="1003" t="str">
        <f>IF(AH90&gt;0,"Revise la información capturada, ya que tiene datos ingresados en celdas que están sombreadas","")</f>
        <v/>
      </c>
      <c r="C105" s="1003"/>
      <c r="D105" s="1003"/>
      <c r="E105" s="1003"/>
      <c r="F105" s="1003"/>
      <c r="G105" s="1003"/>
      <c r="H105" s="1003"/>
      <c r="I105" s="1003"/>
      <c r="J105" s="1003"/>
      <c r="K105" s="1003"/>
      <c r="L105" s="1003"/>
      <c r="M105" s="1003"/>
      <c r="N105" s="1003"/>
      <c r="O105" s="1003"/>
      <c r="P105" s="1003"/>
      <c r="Q105" s="1003"/>
      <c r="R105" s="1003"/>
      <c r="S105" s="1003"/>
      <c r="T105" s="1003"/>
      <c r="U105" s="1003"/>
      <c r="V105" s="1003"/>
      <c r="W105" s="1003"/>
      <c r="X105" s="1003"/>
      <c r="Y105" s="1003"/>
      <c r="Z105" s="1003"/>
      <c r="AA105" s="1003"/>
      <c r="AB105" s="1003"/>
      <c r="AC105" s="1003"/>
      <c r="AD105" s="1003"/>
      <c r="AE105" s="1003"/>
    </row>
    <row r="106" spans="1:37" ht="15" customHeight="1">
      <c r="A106" s="103"/>
      <c r="B106" s="1003" t="str">
        <f>IF($C$33&lt;&gt;1,"",IF(AK99&gt;0,"Favor de revisar la suma y consistencia de totales y/o subtotales por filas (numéricos y NS)",""))</f>
        <v/>
      </c>
      <c r="C106" s="1003"/>
      <c r="D106" s="1003"/>
      <c r="E106" s="1003"/>
      <c r="F106" s="1003"/>
      <c r="G106" s="1003"/>
      <c r="H106" s="1003"/>
      <c r="I106" s="1003"/>
      <c r="J106" s="1003"/>
      <c r="K106" s="1003"/>
      <c r="L106" s="1003"/>
      <c r="M106" s="1003"/>
      <c r="N106" s="1003"/>
      <c r="O106" s="1003"/>
      <c r="P106" s="1003"/>
      <c r="Q106" s="1003"/>
      <c r="R106" s="1003"/>
      <c r="S106" s="1003"/>
      <c r="T106" s="1003"/>
      <c r="U106" s="1003"/>
      <c r="V106" s="1003"/>
      <c r="W106" s="1003"/>
      <c r="X106" s="1003"/>
      <c r="Y106" s="1003"/>
      <c r="Z106" s="1003"/>
      <c r="AA106" s="1003"/>
      <c r="AB106" s="1003"/>
      <c r="AC106" s="1003"/>
      <c r="AD106" s="1003"/>
      <c r="AE106" s="1003"/>
    </row>
    <row r="107" spans="1:37" ht="15" customHeight="1">
      <c r="A107" s="110"/>
      <c r="B107" s="1003" t="str">
        <f>IF($C$33&lt;&gt;1,"",IF(AND($P$33=M99,$U$33=S99,$Z$33=Y99),"","Las cantidades de Hombres y Mujeres debe corresponder con los datos reportados en la preg. 11.1"))</f>
        <v/>
      </c>
      <c r="C107" s="1003"/>
      <c r="D107" s="1003"/>
      <c r="E107" s="1003"/>
      <c r="F107" s="1003"/>
      <c r="G107" s="1003"/>
      <c r="H107" s="1003"/>
      <c r="I107" s="1003"/>
      <c r="J107" s="1003"/>
      <c r="K107" s="1003"/>
      <c r="L107" s="1003"/>
      <c r="M107" s="1003"/>
      <c r="N107" s="1003"/>
      <c r="O107" s="1003"/>
      <c r="P107" s="1003"/>
      <c r="Q107" s="1003"/>
      <c r="R107" s="1003"/>
      <c r="S107" s="1003"/>
      <c r="T107" s="1003"/>
      <c r="U107" s="1003"/>
      <c r="V107" s="1003"/>
      <c r="W107" s="1003"/>
      <c r="X107" s="1003"/>
      <c r="Y107" s="1003"/>
      <c r="Z107" s="1003"/>
      <c r="AA107" s="1003"/>
      <c r="AB107" s="1003"/>
      <c r="AC107" s="1003"/>
      <c r="AD107" s="1003"/>
      <c r="AE107" s="1003"/>
    </row>
    <row r="108" spans="1:37" ht="15" customHeight="1">
      <c r="A108" s="110"/>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row>
    <row r="109" spans="1:37" ht="24" customHeight="1">
      <c r="A109" s="49" t="s">
        <v>5612</v>
      </c>
      <c r="B109" s="829" t="s">
        <v>5613</v>
      </c>
      <c r="C109" s="829"/>
      <c r="D109" s="829"/>
      <c r="E109" s="829"/>
      <c r="F109" s="829"/>
      <c r="G109" s="829"/>
      <c r="H109" s="829"/>
      <c r="I109" s="829"/>
      <c r="J109" s="829"/>
      <c r="K109" s="829"/>
      <c r="L109" s="829"/>
      <c r="M109" s="829"/>
      <c r="N109" s="829"/>
      <c r="O109" s="829"/>
      <c r="P109" s="829"/>
      <c r="Q109" s="829"/>
      <c r="R109" s="829"/>
      <c r="S109" s="829"/>
      <c r="T109" s="829"/>
      <c r="U109" s="829"/>
      <c r="V109" s="829"/>
      <c r="W109" s="829"/>
      <c r="X109" s="829"/>
      <c r="Y109" s="829"/>
      <c r="Z109" s="829"/>
      <c r="AA109" s="829"/>
      <c r="AB109" s="829"/>
      <c r="AC109" s="829"/>
      <c r="AD109" s="829"/>
    </row>
    <row r="110" spans="1:37" ht="15" customHeight="1">
      <c r="A110" s="49"/>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row>
    <row r="111" spans="1:37" ht="15" customHeight="1">
      <c r="A111" s="49"/>
      <c r="B111" s="38"/>
      <c r="C111" s="880" t="s">
        <v>4613</v>
      </c>
      <c r="D111" s="880"/>
      <c r="E111" s="880"/>
      <c r="F111" s="880"/>
      <c r="G111" s="880"/>
      <c r="H111" s="880"/>
      <c r="I111" s="880"/>
      <c r="J111" s="880"/>
      <c r="K111" s="880"/>
      <c r="L111" s="880"/>
      <c r="M111" s="732" t="s">
        <v>5601</v>
      </c>
      <c r="N111" s="732"/>
      <c r="O111" s="732"/>
      <c r="P111" s="732"/>
      <c r="Q111" s="732"/>
      <c r="R111" s="732"/>
      <c r="S111" s="732"/>
      <c r="T111" s="732"/>
      <c r="U111" s="732"/>
      <c r="V111" s="732"/>
      <c r="W111" s="732"/>
      <c r="X111" s="732"/>
      <c r="Y111" s="732"/>
      <c r="Z111" s="732"/>
      <c r="AA111" s="732"/>
      <c r="AB111" s="732"/>
      <c r="AC111" s="732"/>
      <c r="AD111" s="732"/>
    </row>
    <row r="112" spans="1:37" ht="15" customHeight="1">
      <c r="A112" s="49"/>
      <c r="B112" s="38"/>
      <c r="C112" s="880"/>
      <c r="D112" s="880"/>
      <c r="E112" s="880"/>
      <c r="F112" s="880"/>
      <c r="G112" s="880"/>
      <c r="H112" s="880"/>
      <c r="I112" s="880"/>
      <c r="J112" s="880"/>
      <c r="K112" s="880"/>
      <c r="L112" s="880"/>
      <c r="M112" s="987" t="s">
        <v>2628</v>
      </c>
      <c r="N112" s="988"/>
      <c r="O112" s="988"/>
      <c r="P112" s="988"/>
      <c r="Q112" s="988"/>
      <c r="R112" s="988"/>
      <c r="S112" s="989" t="s">
        <v>2629</v>
      </c>
      <c r="T112" s="990"/>
      <c r="U112" s="990"/>
      <c r="V112" s="990"/>
      <c r="W112" s="990"/>
      <c r="X112" s="990"/>
      <c r="Y112" s="989" t="s">
        <v>2630</v>
      </c>
      <c r="Z112" s="990"/>
      <c r="AA112" s="990"/>
      <c r="AB112" s="990"/>
      <c r="AC112" s="990"/>
      <c r="AD112" s="990"/>
      <c r="AG112" t="s">
        <v>2586</v>
      </c>
      <c r="AH112" t="s">
        <v>4599</v>
      </c>
      <c r="AI112" t="s">
        <v>2590</v>
      </c>
      <c r="AJ112" t="s">
        <v>3163</v>
      </c>
      <c r="AK112" t="s">
        <v>4564</v>
      </c>
    </row>
    <row r="113" spans="1:37" ht="15" customHeight="1">
      <c r="A113" s="49"/>
      <c r="B113" s="38"/>
      <c r="C113" s="97" t="s">
        <v>2516</v>
      </c>
      <c r="D113" s="813" t="s">
        <v>4614</v>
      </c>
      <c r="E113" s="814"/>
      <c r="F113" s="814"/>
      <c r="G113" s="814"/>
      <c r="H113" s="814"/>
      <c r="I113" s="814"/>
      <c r="J113" s="814"/>
      <c r="K113" s="814"/>
      <c r="L113" s="815"/>
      <c r="M113" s="749"/>
      <c r="N113" s="749"/>
      <c r="O113" s="749"/>
      <c r="P113" s="749"/>
      <c r="Q113" s="749"/>
      <c r="R113" s="749"/>
      <c r="S113" s="749"/>
      <c r="T113" s="749"/>
      <c r="U113" s="749"/>
      <c r="V113" s="749"/>
      <c r="W113" s="749"/>
      <c r="X113" s="749"/>
      <c r="Y113" s="749"/>
      <c r="Z113" s="749"/>
      <c r="AA113" s="749"/>
      <c r="AB113" s="749"/>
      <c r="AC113" s="749"/>
      <c r="AD113" s="749"/>
      <c r="AG113" s="506">
        <f>IF(OR($C$33&gt;1,$C$33=""),0,IF(COUNTBLANK(M113:AD132)=300,0,1))</f>
        <v>0</v>
      </c>
      <c r="AH113" s="506">
        <f>IF($C$33&lt;&gt;1,IF(COUNTBLANK(M113:AD132)=360,0,1),0)</f>
        <v>0</v>
      </c>
      <c r="AI113">
        <f t="shared" ref="AI113" si="13">COUNTIF(S113:AD113,"NS")</f>
        <v>0</v>
      </c>
      <c r="AJ113">
        <f t="shared" ref="AJ113" si="14">SUM(S113:AD113)</f>
        <v>0</v>
      </c>
      <c r="AK113">
        <f>IF(COUNTIF(M113:AD113,"NA")=3,0,IF(COUNTA(M113:AD113)=0,0,IF(OR(AND(M113=0,AI113&gt;0),AND(M113="ns",AJ113&gt;0),AND(M113="ns",AI113=0,AJ113=0)),1,IF(OR(AND(M113&gt;0,AI113=2),AND(M113="ns",AI113=2),AND(M113="ns",AJ113=0,AI113&gt;0),M113=AJ113),0,1))))</f>
        <v>0</v>
      </c>
    </row>
    <row r="114" spans="1:37" ht="15" customHeight="1">
      <c r="A114" s="49"/>
      <c r="B114" s="38"/>
      <c r="C114" s="98" t="s">
        <v>2517</v>
      </c>
      <c r="D114" s="813" t="s">
        <v>4615</v>
      </c>
      <c r="E114" s="814"/>
      <c r="F114" s="814"/>
      <c r="G114" s="814"/>
      <c r="H114" s="814"/>
      <c r="I114" s="814"/>
      <c r="J114" s="814"/>
      <c r="K114" s="814"/>
      <c r="L114" s="815"/>
      <c r="M114" s="749"/>
      <c r="N114" s="749"/>
      <c r="O114" s="749"/>
      <c r="P114" s="749"/>
      <c r="Q114" s="749"/>
      <c r="R114" s="749"/>
      <c r="S114" s="749"/>
      <c r="T114" s="749"/>
      <c r="U114" s="749"/>
      <c r="V114" s="749"/>
      <c r="W114" s="749"/>
      <c r="X114" s="749"/>
      <c r="Y114" s="749"/>
      <c r="Z114" s="749"/>
      <c r="AA114" s="749"/>
      <c r="AB114" s="749"/>
      <c r="AC114" s="749"/>
      <c r="AD114" s="749"/>
      <c r="AI114">
        <f t="shared" ref="AI114:AI132" si="15">COUNTIF(S114:AD114,"NS")</f>
        <v>0</v>
      </c>
      <c r="AJ114">
        <f t="shared" ref="AJ114:AJ132" si="16">SUM(S114:AD114)</f>
        <v>0</v>
      </c>
      <c r="AK114">
        <f t="shared" ref="AK114:AK132" si="17">IF(COUNTIF(M114:AD114,"NA")=3,0,IF(COUNTA(M114:AD114)=0,0,IF(OR(AND(M114=0,AI114&gt;0),AND(M114="ns",AJ114&gt;0),AND(M114="ns",AI114=0,AJ114=0)),1,IF(OR(AND(M114&gt;0,AI114=2),AND(M114="ns",AI114=2),AND(M114="ns",AJ114=0,AI114&gt;0),M114=AJ114),0,1))))</f>
        <v>0</v>
      </c>
    </row>
    <row r="115" spans="1:37" ht="15" customHeight="1">
      <c r="A115" s="49"/>
      <c r="B115" s="38"/>
      <c r="C115" s="98" t="s">
        <v>2518</v>
      </c>
      <c r="D115" s="813" t="s">
        <v>4616</v>
      </c>
      <c r="E115" s="814"/>
      <c r="F115" s="814"/>
      <c r="G115" s="814"/>
      <c r="H115" s="814"/>
      <c r="I115" s="814"/>
      <c r="J115" s="814"/>
      <c r="K115" s="814"/>
      <c r="L115" s="815"/>
      <c r="M115" s="749"/>
      <c r="N115" s="749"/>
      <c r="O115" s="749"/>
      <c r="P115" s="749"/>
      <c r="Q115" s="749"/>
      <c r="R115" s="749"/>
      <c r="S115" s="749"/>
      <c r="T115" s="749"/>
      <c r="U115" s="749"/>
      <c r="V115" s="749"/>
      <c r="W115" s="749"/>
      <c r="X115" s="749"/>
      <c r="Y115" s="749"/>
      <c r="Z115" s="749"/>
      <c r="AA115" s="749"/>
      <c r="AB115" s="749"/>
      <c r="AC115" s="749"/>
      <c r="AD115" s="749"/>
      <c r="AI115">
        <f t="shared" si="15"/>
        <v>0</v>
      </c>
      <c r="AJ115">
        <f t="shared" si="16"/>
        <v>0</v>
      </c>
      <c r="AK115">
        <f t="shared" si="17"/>
        <v>0</v>
      </c>
    </row>
    <row r="116" spans="1:37" ht="15" customHeight="1">
      <c r="A116" s="49"/>
      <c r="B116" s="38"/>
      <c r="C116" s="98" t="s">
        <v>2519</v>
      </c>
      <c r="D116" s="813" t="s">
        <v>4617</v>
      </c>
      <c r="E116" s="814"/>
      <c r="F116" s="814"/>
      <c r="G116" s="814"/>
      <c r="H116" s="814"/>
      <c r="I116" s="814"/>
      <c r="J116" s="814"/>
      <c r="K116" s="814"/>
      <c r="L116" s="815"/>
      <c r="M116" s="749"/>
      <c r="N116" s="749"/>
      <c r="O116" s="749"/>
      <c r="P116" s="749"/>
      <c r="Q116" s="749"/>
      <c r="R116" s="749"/>
      <c r="S116" s="749"/>
      <c r="T116" s="749"/>
      <c r="U116" s="749"/>
      <c r="V116" s="749"/>
      <c r="W116" s="749"/>
      <c r="X116" s="749"/>
      <c r="Y116" s="749"/>
      <c r="Z116" s="749"/>
      <c r="AA116" s="749"/>
      <c r="AB116" s="749"/>
      <c r="AC116" s="749"/>
      <c r="AD116" s="749"/>
      <c r="AI116">
        <f t="shared" si="15"/>
        <v>0</v>
      </c>
      <c r="AJ116">
        <f t="shared" si="16"/>
        <v>0</v>
      </c>
      <c r="AK116">
        <f t="shared" si="17"/>
        <v>0</v>
      </c>
    </row>
    <row r="117" spans="1:37" ht="15" customHeight="1">
      <c r="A117" s="49"/>
      <c r="B117" s="38"/>
      <c r="C117" s="98" t="s">
        <v>2520</v>
      </c>
      <c r="D117" s="813" t="s">
        <v>4618</v>
      </c>
      <c r="E117" s="814"/>
      <c r="F117" s="814"/>
      <c r="G117" s="814"/>
      <c r="H117" s="814"/>
      <c r="I117" s="814"/>
      <c r="J117" s="814"/>
      <c r="K117" s="814"/>
      <c r="L117" s="815"/>
      <c r="M117" s="749"/>
      <c r="N117" s="749"/>
      <c r="O117" s="749"/>
      <c r="P117" s="749"/>
      <c r="Q117" s="749"/>
      <c r="R117" s="749"/>
      <c r="S117" s="749"/>
      <c r="T117" s="749"/>
      <c r="U117" s="749"/>
      <c r="V117" s="749"/>
      <c r="W117" s="749"/>
      <c r="X117" s="749"/>
      <c r="Y117" s="749"/>
      <c r="Z117" s="749"/>
      <c r="AA117" s="749"/>
      <c r="AB117" s="749"/>
      <c r="AC117" s="749"/>
      <c r="AD117" s="749"/>
      <c r="AI117">
        <f t="shared" si="15"/>
        <v>0</v>
      </c>
      <c r="AJ117">
        <f t="shared" si="16"/>
        <v>0</v>
      </c>
      <c r="AK117">
        <f t="shared" si="17"/>
        <v>0</v>
      </c>
    </row>
    <row r="118" spans="1:37" ht="15" customHeight="1">
      <c r="A118" s="49"/>
      <c r="B118" s="38"/>
      <c r="C118" s="98" t="s">
        <v>2521</v>
      </c>
      <c r="D118" s="813" t="s">
        <v>4619</v>
      </c>
      <c r="E118" s="814"/>
      <c r="F118" s="814"/>
      <c r="G118" s="814"/>
      <c r="H118" s="814"/>
      <c r="I118" s="814"/>
      <c r="J118" s="814"/>
      <c r="K118" s="814"/>
      <c r="L118" s="815"/>
      <c r="M118" s="749"/>
      <c r="N118" s="749"/>
      <c r="O118" s="749"/>
      <c r="P118" s="749"/>
      <c r="Q118" s="749"/>
      <c r="R118" s="749"/>
      <c r="S118" s="749"/>
      <c r="T118" s="749"/>
      <c r="U118" s="749"/>
      <c r="V118" s="749"/>
      <c r="W118" s="749"/>
      <c r="X118" s="749"/>
      <c r="Y118" s="749"/>
      <c r="Z118" s="749"/>
      <c r="AA118" s="749"/>
      <c r="AB118" s="749"/>
      <c r="AC118" s="749"/>
      <c r="AD118" s="749"/>
      <c r="AI118">
        <f t="shared" si="15"/>
        <v>0</v>
      </c>
      <c r="AJ118">
        <f t="shared" si="16"/>
        <v>0</v>
      </c>
      <c r="AK118">
        <f t="shared" si="17"/>
        <v>0</v>
      </c>
    </row>
    <row r="119" spans="1:37" ht="15" customHeight="1">
      <c r="A119" s="49"/>
      <c r="B119" s="38"/>
      <c r="C119" s="98" t="s">
        <v>2522</v>
      </c>
      <c r="D119" s="813" t="s">
        <v>4620</v>
      </c>
      <c r="E119" s="814"/>
      <c r="F119" s="814"/>
      <c r="G119" s="814"/>
      <c r="H119" s="814"/>
      <c r="I119" s="814"/>
      <c r="J119" s="814"/>
      <c r="K119" s="814"/>
      <c r="L119" s="815"/>
      <c r="M119" s="749"/>
      <c r="N119" s="749"/>
      <c r="O119" s="749"/>
      <c r="P119" s="749"/>
      <c r="Q119" s="749"/>
      <c r="R119" s="749"/>
      <c r="S119" s="749"/>
      <c r="T119" s="749"/>
      <c r="U119" s="749"/>
      <c r="V119" s="749"/>
      <c r="W119" s="749"/>
      <c r="X119" s="749"/>
      <c r="Y119" s="749"/>
      <c r="Z119" s="749"/>
      <c r="AA119" s="749"/>
      <c r="AB119" s="749"/>
      <c r="AC119" s="749"/>
      <c r="AD119" s="749"/>
      <c r="AI119">
        <f t="shared" si="15"/>
        <v>0</v>
      </c>
      <c r="AJ119">
        <f t="shared" si="16"/>
        <v>0</v>
      </c>
      <c r="AK119">
        <f t="shared" si="17"/>
        <v>0</v>
      </c>
    </row>
    <row r="120" spans="1:37" ht="15" customHeight="1">
      <c r="A120" s="49"/>
      <c r="B120" s="38"/>
      <c r="C120" s="98" t="s">
        <v>2523</v>
      </c>
      <c r="D120" s="813" t="s">
        <v>4621</v>
      </c>
      <c r="E120" s="814"/>
      <c r="F120" s="814"/>
      <c r="G120" s="814"/>
      <c r="H120" s="814"/>
      <c r="I120" s="814"/>
      <c r="J120" s="814"/>
      <c r="K120" s="814"/>
      <c r="L120" s="815"/>
      <c r="M120" s="749"/>
      <c r="N120" s="749"/>
      <c r="O120" s="749"/>
      <c r="P120" s="749"/>
      <c r="Q120" s="749"/>
      <c r="R120" s="749"/>
      <c r="S120" s="749"/>
      <c r="T120" s="749"/>
      <c r="U120" s="749"/>
      <c r="V120" s="749"/>
      <c r="W120" s="749"/>
      <c r="X120" s="749"/>
      <c r="Y120" s="749"/>
      <c r="Z120" s="749"/>
      <c r="AA120" s="749"/>
      <c r="AB120" s="749"/>
      <c r="AC120" s="749"/>
      <c r="AD120" s="749"/>
      <c r="AI120">
        <f t="shared" si="15"/>
        <v>0</v>
      </c>
      <c r="AJ120">
        <f t="shared" si="16"/>
        <v>0</v>
      </c>
      <c r="AK120">
        <f t="shared" si="17"/>
        <v>0</v>
      </c>
    </row>
    <row r="121" spans="1:37" ht="15" customHeight="1">
      <c r="A121" s="49"/>
      <c r="B121" s="38"/>
      <c r="C121" s="98" t="s">
        <v>2524</v>
      </c>
      <c r="D121" s="813" t="s">
        <v>4622</v>
      </c>
      <c r="E121" s="814"/>
      <c r="F121" s="814"/>
      <c r="G121" s="814"/>
      <c r="H121" s="814"/>
      <c r="I121" s="814"/>
      <c r="J121" s="814"/>
      <c r="K121" s="814"/>
      <c r="L121" s="815"/>
      <c r="M121" s="749"/>
      <c r="N121" s="749"/>
      <c r="O121" s="749"/>
      <c r="P121" s="749"/>
      <c r="Q121" s="749"/>
      <c r="R121" s="749"/>
      <c r="S121" s="749"/>
      <c r="T121" s="749"/>
      <c r="U121" s="749"/>
      <c r="V121" s="749"/>
      <c r="W121" s="749"/>
      <c r="X121" s="749"/>
      <c r="Y121" s="749"/>
      <c r="Z121" s="749"/>
      <c r="AA121" s="749"/>
      <c r="AB121" s="749"/>
      <c r="AC121" s="749"/>
      <c r="AD121" s="749"/>
      <c r="AI121">
        <f t="shared" si="15"/>
        <v>0</v>
      </c>
      <c r="AJ121">
        <f t="shared" si="16"/>
        <v>0</v>
      </c>
      <c r="AK121">
        <f t="shared" si="17"/>
        <v>0</v>
      </c>
    </row>
    <row r="122" spans="1:37" ht="15" customHeight="1">
      <c r="A122" s="110"/>
      <c r="B122" s="57"/>
      <c r="C122" s="98" t="s">
        <v>2525</v>
      </c>
      <c r="D122" s="813" t="s">
        <v>4623</v>
      </c>
      <c r="E122" s="814"/>
      <c r="F122" s="814"/>
      <c r="G122" s="814"/>
      <c r="H122" s="814"/>
      <c r="I122" s="814"/>
      <c r="J122" s="814"/>
      <c r="K122" s="814"/>
      <c r="L122" s="815"/>
      <c r="M122" s="749"/>
      <c r="N122" s="749"/>
      <c r="O122" s="749"/>
      <c r="P122" s="749"/>
      <c r="Q122" s="749"/>
      <c r="R122" s="749"/>
      <c r="S122" s="749"/>
      <c r="T122" s="749"/>
      <c r="U122" s="749"/>
      <c r="V122" s="749"/>
      <c r="W122" s="749"/>
      <c r="X122" s="749"/>
      <c r="Y122" s="749"/>
      <c r="Z122" s="749"/>
      <c r="AA122" s="749"/>
      <c r="AB122" s="749"/>
      <c r="AC122" s="749"/>
      <c r="AD122" s="749"/>
      <c r="AI122">
        <f t="shared" si="15"/>
        <v>0</v>
      </c>
      <c r="AJ122">
        <f t="shared" si="16"/>
        <v>0</v>
      </c>
      <c r="AK122">
        <f t="shared" si="17"/>
        <v>0</v>
      </c>
    </row>
    <row r="123" spans="1:37" ht="15" customHeight="1">
      <c r="A123" s="110"/>
      <c r="B123" s="57"/>
      <c r="C123" s="98" t="s">
        <v>2526</v>
      </c>
      <c r="D123" s="813" t="s">
        <v>4624</v>
      </c>
      <c r="E123" s="814"/>
      <c r="F123" s="814"/>
      <c r="G123" s="814"/>
      <c r="H123" s="814"/>
      <c r="I123" s="814"/>
      <c r="J123" s="814"/>
      <c r="K123" s="814"/>
      <c r="L123" s="815"/>
      <c r="M123" s="749"/>
      <c r="N123" s="749"/>
      <c r="O123" s="749"/>
      <c r="P123" s="749"/>
      <c r="Q123" s="749"/>
      <c r="R123" s="749"/>
      <c r="S123" s="749"/>
      <c r="T123" s="749"/>
      <c r="U123" s="749"/>
      <c r="V123" s="749"/>
      <c r="W123" s="749"/>
      <c r="X123" s="749"/>
      <c r="Y123" s="749"/>
      <c r="Z123" s="749"/>
      <c r="AA123" s="749"/>
      <c r="AB123" s="749"/>
      <c r="AC123" s="749"/>
      <c r="AD123" s="749"/>
      <c r="AI123">
        <f t="shared" si="15"/>
        <v>0</v>
      </c>
      <c r="AJ123">
        <f t="shared" si="16"/>
        <v>0</v>
      </c>
      <c r="AK123">
        <f t="shared" si="17"/>
        <v>0</v>
      </c>
    </row>
    <row r="124" spans="1:37" ht="15" customHeight="1">
      <c r="A124" s="110"/>
      <c r="B124" s="57"/>
      <c r="C124" s="98" t="s">
        <v>2527</v>
      </c>
      <c r="D124" s="813" t="s">
        <v>4625</v>
      </c>
      <c r="E124" s="814"/>
      <c r="F124" s="814"/>
      <c r="G124" s="814"/>
      <c r="H124" s="814"/>
      <c r="I124" s="814"/>
      <c r="J124" s="814"/>
      <c r="K124" s="814"/>
      <c r="L124" s="815"/>
      <c r="M124" s="749"/>
      <c r="N124" s="749"/>
      <c r="O124" s="749"/>
      <c r="P124" s="749"/>
      <c r="Q124" s="749"/>
      <c r="R124" s="749"/>
      <c r="S124" s="749"/>
      <c r="T124" s="749"/>
      <c r="U124" s="749"/>
      <c r="V124" s="749"/>
      <c r="W124" s="749"/>
      <c r="X124" s="749"/>
      <c r="Y124" s="749"/>
      <c r="Z124" s="749"/>
      <c r="AA124" s="749"/>
      <c r="AB124" s="749"/>
      <c r="AC124" s="749"/>
      <c r="AD124" s="749"/>
      <c r="AI124">
        <f t="shared" si="15"/>
        <v>0</v>
      </c>
      <c r="AJ124">
        <f t="shared" si="16"/>
        <v>0</v>
      </c>
      <c r="AK124">
        <f t="shared" si="17"/>
        <v>0</v>
      </c>
    </row>
    <row r="125" spans="1:37" ht="15" customHeight="1">
      <c r="A125" s="110"/>
      <c r="B125" s="57"/>
      <c r="C125" s="98" t="s">
        <v>2528</v>
      </c>
      <c r="D125" s="813" t="s">
        <v>4626</v>
      </c>
      <c r="E125" s="814"/>
      <c r="F125" s="814"/>
      <c r="G125" s="814"/>
      <c r="H125" s="814"/>
      <c r="I125" s="814"/>
      <c r="J125" s="814"/>
      <c r="K125" s="814"/>
      <c r="L125" s="815"/>
      <c r="M125" s="749"/>
      <c r="N125" s="749"/>
      <c r="O125" s="749"/>
      <c r="P125" s="749"/>
      <c r="Q125" s="749"/>
      <c r="R125" s="749"/>
      <c r="S125" s="749"/>
      <c r="T125" s="749"/>
      <c r="U125" s="749"/>
      <c r="V125" s="749"/>
      <c r="W125" s="749"/>
      <c r="X125" s="749"/>
      <c r="Y125" s="749"/>
      <c r="Z125" s="749"/>
      <c r="AA125" s="749"/>
      <c r="AB125" s="749"/>
      <c r="AC125" s="749"/>
      <c r="AD125" s="749"/>
      <c r="AI125">
        <f t="shared" si="15"/>
        <v>0</v>
      </c>
      <c r="AJ125">
        <f t="shared" si="16"/>
        <v>0</v>
      </c>
      <c r="AK125">
        <f t="shared" si="17"/>
        <v>0</v>
      </c>
    </row>
    <row r="126" spans="1:37" ht="24" customHeight="1">
      <c r="A126" s="110"/>
      <c r="B126" s="57"/>
      <c r="C126" s="98" t="s">
        <v>2529</v>
      </c>
      <c r="D126" s="813" t="s">
        <v>4627</v>
      </c>
      <c r="E126" s="814"/>
      <c r="F126" s="814"/>
      <c r="G126" s="814"/>
      <c r="H126" s="814"/>
      <c r="I126" s="814"/>
      <c r="J126" s="814"/>
      <c r="K126" s="814"/>
      <c r="L126" s="815"/>
      <c r="M126" s="749"/>
      <c r="N126" s="749"/>
      <c r="O126" s="749"/>
      <c r="P126" s="749"/>
      <c r="Q126" s="749"/>
      <c r="R126" s="749"/>
      <c r="S126" s="749"/>
      <c r="T126" s="749"/>
      <c r="U126" s="749"/>
      <c r="V126" s="749"/>
      <c r="W126" s="749"/>
      <c r="X126" s="749"/>
      <c r="Y126" s="749"/>
      <c r="Z126" s="749"/>
      <c r="AA126" s="749"/>
      <c r="AB126" s="749"/>
      <c r="AC126" s="749"/>
      <c r="AD126" s="749"/>
      <c r="AI126">
        <f t="shared" si="15"/>
        <v>0</v>
      </c>
      <c r="AJ126">
        <f t="shared" si="16"/>
        <v>0</v>
      </c>
      <c r="AK126">
        <f t="shared" si="17"/>
        <v>0</v>
      </c>
    </row>
    <row r="127" spans="1:37" ht="15" customHeight="1">
      <c r="A127" s="110"/>
      <c r="B127" s="57"/>
      <c r="C127" s="98" t="s">
        <v>2530</v>
      </c>
      <c r="D127" s="813" t="s">
        <v>4628</v>
      </c>
      <c r="E127" s="814"/>
      <c r="F127" s="814"/>
      <c r="G127" s="814"/>
      <c r="H127" s="814"/>
      <c r="I127" s="814"/>
      <c r="J127" s="814"/>
      <c r="K127" s="814"/>
      <c r="L127" s="815"/>
      <c r="M127" s="749"/>
      <c r="N127" s="749"/>
      <c r="O127" s="749"/>
      <c r="P127" s="749"/>
      <c r="Q127" s="749"/>
      <c r="R127" s="749"/>
      <c r="S127" s="749"/>
      <c r="T127" s="749"/>
      <c r="U127" s="749"/>
      <c r="V127" s="749"/>
      <c r="W127" s="749"/>
      <c r="X127" s="749"/>
      <c r="Y127" s="749"/>
      <c r="Z127" s="749"/>
      <c r="AA127" s="749"/>
      <c r="AB127" s="749"/>
      <c r="AC127" s="749"/>
      <c r="AD127" s="749"/>
      <c r="AI127">
        <f t="shared" si="15"/>
        <v>0</v>
      </c>
      <c r="AJ127">
        <f t="shared" si="16"/>
        <v>0</v>
      </c>
      <c r="AK127">
        <f t="shared" si="17"/>
        <v>0</v>
      </c>
    </row>
    <row r="128" spans="1:37" ht="15" customHeight="1">
      <c r="A128" s="110"/>
      <c r="B128" s="57"/>
      <c r="C128" s="98" t="s">
        <v>2531</v>
      </c>
      <c r="D128" s="813" t="s">
        <v>4629</v>
      </c>
      <c r="E128" s="814"/>
      <c r="F128" s="814"/>
      <c r="G128" s="814"/>
      <c r="H128" s="814"/>
      <c r="I128" s="814"/>
      <c r="J128" s="814"/>
      <c r="K128" s="814"/>
      <c r="L128" s="815"/>
      <c r="M128" s="749"/>
      <c r="N128" s="749"/>
      <c r="O128" s="749"/>
      <c r="P128" s="749"/>
      <c r="Q128" s="749"/>
      <c r="R128" s="749"/>
      <c r="S128" s="749"/>
      <c r="T128" s="749"/>
      <c r="U128" s="749"/>
      <c r="V128" s="749"/>
      <c r="W128" s="749"/>
      <c r="X128" s="749"/>
      <c r="Y128" s="749"/>
      <c r="Z128" s="749"/>
      <c r="AA128" s="749"/>
      <c r="AB128" s="749"/>
      <c r="AC128" s="749"/>
      <c r="AD128" s="749"/>
      <c r="AI128">
        <f t="shared" si="15"/>
        <v>0</v>
      </c>
      <c r="AJ128">
        <f t="shared" si="16"/>
        <v>0</v>
      </c>
      <c r="AK128">
        <f t="shared" si="17"/>
        <v>0</v>
      </c>
    </row>
    <row r="129" spans="1:37" ht="15" customHeight="1">
      <c r="A129" s="110"/>
      <c r="B129" s="57"/>
      <c r="C129" s="98" t="s">
        <v>2532</v>
      </c>
      <c r="D129" s="813" t="s">
        <v>4630</v>
      </c>
      <c r="E129" s="814"/>
      <c r="F129" s="814"/>
      <c r="G129" s="814"/>
      <c r="H129" s="814"/>
      <c r="I129" s="814"/>
      <c r="J129" s="814"/>
      <c r="K129" s="814"/>
      <c r="L129" s="815"/>
      <c r="M129" s="749"/>
      <c r="N129" s="749"/>
      <c r="O129" s="749"/>
      <c r="P129" s="749"/>
      <c r="Q129" s="749"/>
      <c r="R129" s="749"/>
      <c r="S129" s="749"/>
      <c r="T129" s="749"/>
      <c r="U129" s="749"/>
      <c r="V129" s="749"/>
      <c r="W129" s="749"/>
      <c r="X129" s="749"/>
      <c r="Y129" s="749"/>
      <c r="Z129" s="749"/>
      <c r="AA129" s="749"/>
      <c r="AB129" s="749"/>
      <c r="AC129" s="749"/>
      <c r="AD129" s="749"/>
      <c r="AI129">
        <f t="shared" si="15"/>
        <v>0</v>
      </c>
      <c r="AJ129">
        <f t="shared" si="16"/>
        <v>0</v>
      </c>
      <c r="AK129">
        <f t="shared" si="17"/>
        <v>0</v>
      </c>
    </row>
    <row r="130" spans="1:37" ht="15" customHeight="1">
      <c r="A130" s="110"/>
      <c r="B130" s="57"/>
      <c r="C130" s="98" t="s">
        <v>2533</v>
      </c>
      <c r="D130" s="813" t="s">
        <v>4631</v>
      </c>
      <c r="E130" s="814"/>
      <c r="F130" s="814"/>
      <c r="G130" s="814"/>
      <c r="H130" s="814"/>
      <c r="I130" s="814"/>
      <c r="J130" s="814"/>
      <c r="K130" s="814"/>
      <c r="L130" s="815"/>
      <c r="M130" s="749"/>
      <c r="N130" s="749"/>
      <c r="O130" s="749"/>
      <c r="P130" s="749"/>
      <c r="Q130" s="749"/>
      <c r="R130" s="749"/>
      <c r="S130" s="749"/>
      <c r="T130" s="749"/>
      <c r="U130" s="749"/>
      <c r="V130" s="749"/>
      <c r="W130" s="749"/>
      <c r="X130" s="749"/>
      <c r="Y130" s="749"/>
      <c r="Z130" s="749"/>
      <c r="AA130" s="749"/>
      <c r="AB130" s="749"/>
      <c r="AC130" s="749"/>
      <c r="AD130" s="749"/>
      <c r="AI130">
        <f t="shared" si="15"/>
        <v>0</v>
      </c>
      <c r="AJ130">
        <f t="shared" si="16"/>
        <v>0</v>
      </c>
      <c r="AK130">
        <f t="shared" si="17"/>
        <v>0</v>
      </c>
    </row>
    <row r="131" spans="1:37" ht="15" customHeight="1">
      <c r="A131" s="110"/>
      <c r="B131" s="57"/>
      <c r="C131" s="98" t="s">
        <v>2534</v>
      </c>
      <c r="D131" s="813" t="s">
        <v>4632</v>
      </c>
      <c r="E131" s="814"/>
      <c r="F131" s="814"/>
      <c r="G131" s="814"/>
      <c r="H131" s="814"/>
      <c r="I131" s="814"/>
      <c r="J131" s="814"/>
      <c r="K131" s="814"/>
      <c r="L131" s="815"/>
      <c r="M131" s="749"/>
      <c r="N131" s="749"/>
      <c r="O131" s="749"/>
      <c r="P131" s="749"/>
      <c r="Q131" s="749"/>
      <c r="R131" s="749"/>
      <c r="S131" s="749"/>
      <c r="T131" s="749"/>
      <c r="U131" s="749"/>
      <c r="V131" s="749"/>
      <c r="W131" s="749"/>
      <c r="X131" s="749"/>
      <c r="Y131" s="749"/>
      <c r="Z131" s="749"/>
      <c r="AA131" s="749"/>
      <c r="AB131" s="749"/>
      <c r="AC131" s="749"/>
      <c r="AD131" s="749"/>
      <c r="AI131">
        <f t="shared" si="15"/>
        <v>0</v>
      </c>
      <c r="AJ131">
        <f t="shared" si="16"/>
        <v>0</v>
      </c>
      <c r="AK131">
        <f t="shared" si="17"/>
        <v>0</v>
      </c>
    </row>
    <row r="132" spans="1:37" ht="15" customHeight="1">
      <c r="A132" s="110"/>
      <c r="B132" s="57"/>
      <c r="C132" s="98" t="s">
        <v>2535</v>
      </c>
      <c r="D132" s="813" t="s">
        <v>201</v>
      </c>
      <c r="E132" s="814"/>
      <c r="F132" s="814"/>
      <c r="G132" s="814"/>
      <c r="H132" s="814"/>
      <c r="I132" s="814"/>
      <c r="J132" s="814"/>
      <c r="K132" s="814"/>
      <c r="L132" s="815"/>
      <c r="M132" s="749"/>
      <c r="N132" s="749"/>
      <c r="O132" s="749"/>
      <c r="P132" s="749"/>
      <c r="Q132" s="749"/>
      <c r="R132" s="749"/>
      <c r="S132" s="749"/>
      <c r="T132" s="749"/>
      <c r="U132" s="749"/>
      <c r="V132" s="749"/>
      <c r="W132" s="749"/>
      <c r="X132" s="749"/>
      <c r="Y132" s="749"/>
      <c r="Z132" s="749"/>
      <c r="AA132" s="749"/>
      <c r="AB132" s="749"/>
      <c r="AC132" s="749"/>
      <c r="AD132" s="749"/>
      <c r="AI132">
        <f t="shared" si="15"/>
        <v>0</v>
      </c>
      <c r="AJ132">
        <f t="shared" si="16"/>
        <v>0</v>
      </c>
      <c r="AK132">
        <f t="shared" si="17"/>
        <v>0</v>
      </c>
    </row>
    <row r="133" spans="1:37" ht="15" customHeight="1">
      <c r="A133" s="110"/>
      <c r="B133" s="57"/>
      <c r="C133" s="38"/>
      <c r="D133" s="38"/>
      <c r="E133" s="38"/>
      <c r="F133" s="38"/>
      <c r="G133" s="38"/>
      <c r="H133" s="38"/>
      <c r="I133" s="38"/>
      <c r="J133" s="38"/>
      <c r="K133" s="38"/>
      <c r="L133" s="117" t="s">
        <v>2649</v>
      </c>
      <c r="M133" s="736">
        <f>IF(AND(SUM(M113:M132)=0,COUNTIF(M113:M132,"NS")&gt;0),"NS",IF(AND(SUM(M113:M132)=0,COUNTIF(M113:M132,0)&gt;0),0,IF(AND(SUM(M113:M132)=0,COUNTIF(M113:M132,"NA")&gt;0),"NA",SUM(M113:M132))))</f>
        <v>0</v>
      </c>
      <c r="N133" s="1085"/>
      <c r="O133" s="1085"/>
      <c r="P133" s="1085"/>
      <c r="Q133" s="1085"/>
      <c r="R133" s="1086"/>
      <c r="S133" s="736">
        <f>IF(AND(SUM(S113:S132)=0,COUNTIF(S113:S132,"NS")&gt;0),"NS",IF(AND(SUM(S113:S132)=0,COUNTIF(S113:S132,0)&gt;0),0,IF(AND(SUM(S113:S132)=0,COUNTIF(S113:S132,"NA")&gt;0),"NA",SUM(S113:S132))))</f>
        <v>0</v>
      </c>
      <c r="T133" s="1085"/>
      <c r="U133" s="1085"/>
      <c r="V133" s="1085"/>
      <c r="W133" s="1085"/>
      <c r="X133" s="1086"/>
      <c r="Y133" s="736">
        <f>IF(AND(SUM(Y113:Y132)=0,COUNTIF(Y113:Y132,"NS")&gt;0),"NS",IF(AND(SUM(Y113:Y132)=0,COUNTIF(Y113:Y132,0)&gt;0),0,IF(AND(SUM(Y113:Y132)=0,COUNTIF(Y113:Y132,"NA")&gt;0),"NA",SUM(Y113:Y132))))</f>
        <v>0</v>
      </c>
      <c r="Z133" s="1085"/>
      <c r="AA133" s="1085"/>
      <c r="AB133" s="1085"/>
      <c r="AC133" s="1085"/>
      <c r="AD133" s="1086"/>
      <c r="AI133">
        <f>SUM(AI113:AI132)</f>
        <v>0</v>
      </c>
      <c r="AK133" s="506">
        <f>SUM(AK113:AK132)</f>
        <v>0</v>
      </c>
    </row>
    <row r="134" spans="1:37" ht="15" customHeight="1">
      <c r="A134" s="110"/>
      <c r="B134" s="57"/>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row>
    <row r="135" spans="1:37" ht="24" customHeight="1">
      <c r="A135" s="110"/>
      <c r="B135" s="57"/>
      <c r="C135" s="830" t="s">
        <v>4633</v>
      </c>
      <c r="D135" s="1012"/>
      <c r="E135" s="1012"/>
      <c r="F135" s="1012"/>
      <c r="G135" s="1012"/>
      <c r="H135" s="1012"/>
      <c r="I135" s="1012"/>
      <c r="J135" s="1012"/>
      <c r="K135" s="1012"/>
      <c r="L135" s="1012"/>
      <c r="M135" s="1012"/>
      <c r="N135" s="1012"/>
      <c r="O135" s="1012"/>
      <c r="P135" s="1012"/>
      <c r="Q135" s="1012"/>
      <c r="R135" s="1012"/>
      <c r="S135" s="1012"/>
      <c r="T135" s="1012"/>
      <c r="U135" s="1012"/>
      <c r="V135" s="1012"/>
      <c r="W135" s="1012"/>
      <c r="X135" s="1012"/>
      <c r="Y135" s="1012"/>
      <c r="Z135" s="1012"/>
      <c r="AA135" s="1012"/>
      <c r="AB135" s="1012"/>
      <c r="AC135" s="1012"/>
      <c r="AD135" s="1012"/>
    </row>
    <row r="136" spans="1:37" ht="15" customHeight="1">
      <c r="A136" s="110"/>
      <c r="B136" s="57"/>
      <c r="C136" s="57"/>
      <c r="D136" s="57"/>
      <c r="E136" s="57"/>
      <c r="F136" s="57"/>
      <c r="G136" s="57"/>
      <c r="H136" s="57"/>
      <c r="I136" s="57"/>
      <c r="J136" s="57"/>
      <c r="K136" s="57"/>
      <c r="L136" s="57"/>
      <c r="M136" s="57"/>
      <c r="N136" s="57"/>
      <c r="O136" s="57"/>
      <c r="P136" s="57"/>
      <c r="Q136" s="57"/>
      <c r="R136" s="57"/>
      <c r="S136" s="57"/>
      <c r="T136" s="57"/>
      <c r="U136" s="57"/>
      <c r="V136" s="57"/>
      <c r="W136" s="57"/>
      <c r="X136" s="57"/>
      <c r="Y136" s="57"/>
      <c r="Z136" s="57"/>
      <c r="AA136" s="57"/>
      <c r="AB136" s="57"/>
      <c r="AC136" s="57"/>
      <c r="AD136" s="57"/>
    </row>
    <row r="137" spans="1:37" ht="24" customHeight="1">
      <c r="A137" s="49"/>
      <c r="B137" s="38"/>
      <c r="C137" s="754" t="s">
        <v>2611</v>
      </c>
      <c r="D137" s="754"/>
      <c r="E137" s="754"/>
      <c r="F137" s="754"/>
      <c r="G137" s="754"/>
      <c r="H137" s="754"/>
      <c r="I137" s="754"/>
      <c r="J137" s="754"/>
      <c r="K137" s="754"/>
      <c r="L137" s="754"/>
      <c r="M137" s="754"/>
      <c r="N137" s="754"/>
      <c r="O137" s="754"/>
      <c r="P137" s="754"/>
      <c r="Q137" s="754"/>
      <c r="R137" s="754"/>
      <c r="S137" s="754"/>
      <c r="T137" s="754"/>
      <c r="U137" s="754"/>
      <c r="V137" s="754"/>
      <c r="W137" s="754"/>
      <c r="X137" s="754"/>
      <c r="Y137" s="754"/>
      <c r="Z137" s="754"/>
      <c r="AA137" s="754"/>
      <c r="AB137" s="754"/>
      <c r="AC137" s="754"/>
      <c r="AD137" s="754"/>
    </row>
    <row r="138" spans="1:37" ht="60" customHeight="1">
      <c r="A138" s="49"/>
      <c r="B138" s="38"/>
      <c r="C138" s="851"/>
      <c r="D138" s="851"/>
      <c r="E138" s="851"/>
      <c r="F138" s="851"/>
      <c r="G138" s="851"/>
      <c r="H138" s="851"/>
      <c r="I138" s="851"/>
      <c r="J138" s="851"/>
      <c r="K138" s="851"/>
      <c r="L138" s="851"/>
      <c r="M138" s="851"/>
      <c r="N138" s="851"/>
      <c r="O138" s="851"/>
      <c r="P138" s="851"/>
      <c r="Q138" s="851"/>
      <c r="R138" s="851"/>
      <c r="S138" s="851"/>
      <c r="T138" s="851"/>
      <c r="U138" s="851"/>
      <c r="V138" s="851"/>
      <c r="W138" s="851"/>
      <c r="X138" s="851"/>
      <c r="Y138" s="851"/>
      <c r="Z138" s="851"/>
      <c r="AA138" s="851"/>
      <c r="AB138" s="851"/>
      <c r="AC138" s="851"/>
      <c r="AD138" s="851"/>
    </row>
    <row r="139" spans="1:37" ht="15">
      <c r="A139" s="110"/>
      <c r="B139" s="794" t="str">
        <f>IF(AG113=0,"","Favor de ingresar toda la información requerida en la pregunta")</f>
        <v/>
      </c>
      <c r="C139" s="794"/>
      <c r="D139" s="794"/>
      <c r="E139" s="794"/>
      <c r="F139" s="794"/>
      <c r="G139" s="794"/>
      <c r="H139" s="794"/>
      <c r="I139" s="794"/>
      <c r="J139" s="794"/>
      <c r="K139" s="794"/>
      <c r="L139" s="794"/>
      <c r="M139" s="794"/>
      <c r="N139" s="794"/>
      <c r="O139" s="794"/>
      <c r="P139" s="794"/>
      <c r="Q139" s="794"/>
      <c r="R139" s="794"/>
      <c r="S139" s="794"/>
      <c r="T139" s="794"/>
      <c r="U139" s="794"/>
      <c r="V139" s="794"/>
      <c r="W139" s="794"/>
      <c r="X139" s="794"/>
      <c r="Y139" s="794"/>
      <c r="Z139" s="794"/>
      <c r="AA139" s="794"/>
      <c r="AB139" s="794"/>
      <c r="AC139" s="794"/>
      <c r="AD139" s="794"/>
      <c r="AE139" s="794"/>
    </row>
    <row r="140" spans="1:37" ht="15">
      <c r="A140" s="110"/>
      <c r="B140" s="1087" t="str">
        <f>IF($C$33&lt;&gt;1,"",IF(COUNTIF(M113:AD132,"NS")&lt;&gt;0,"Alerta: debido a que cuenta con registros NS, debe proporcionar una justificación en el area de comentarios al final de la pregunta",""))</f>
        <v/>
      </c>
      <c r="C140" s="1087"/>
      <c r="D140" s="1087"/>
      <c r="E140" s="1087"/>
      <c r="F140" s="1087"/>
      <c r="G140" s="1087"/>
      <c r="H140" s="1087"/>
      <c r="I140" s="1087"/>
      <c r="J140" s="1087"/>
      <c r="K140" s="1087"/>
      <c r="L140" s="1087"/>
      <c r="M140" s="1087"/>
      <c r="N140" s="1087"/>
      <c r="O140" s="1087"/>
      <c r="P140" s="1087"/>
      <c r="Q140" s="1087"/>
      <c r="R140" s="1087"/>
      <c r="S140" s="1087"/>
      <c r="T140" s="1087"/>
      <c r="U140" s="1087"/>
      <c r="V140" s="1087"/>
      <c r="W140" s="1087"/>
      <c r="X140" s="1087"/>
      <c r="Y140" s="1087"/>
      <c r="Z140" s="1087"/>
      <c r="AA140" s="1087"/>
      <c r="AB140" s="1087"/>
      <c r="AC140" s="1087"/>
      <c r="AD140" s="1087"/>
      <c r="AE140" s="1087"/>
    </row>
    <row r="141" spans="1:37" ht="15">
      <c r="A141" s="110"/>
      <c r="B141" s="1003" t="str">
        <f>IF(AH113&gt;0,"Revise la información capturada, ya que tiene datos ingresados en celdas que están sombreadas","")</f>
        <v/>
      </c>
      <c r="C141" s="1003"/>
      <c r="D141" s="1003"/>
      <c r="E141" s="1003"/>
      <c r="F141" s="1003"/>
      <c r="G141" s="1003"/>
      <c r="H141" s="1003"/>
      <c r="I141" s="1003"/>
      <c r="J141" s="1003"/>
      <c r="K141" s="1003"/>
      <c r="L141" s="1003"/>
      <c r="M141" s="1003"/>
      <c r="N141" s="1003"/>
      <c r="O141" s="1003"/>
      <c r="P141" s="1003"/>
      <c r="Q141" s="1003"/>
      <c r="R141" s="1003"/>
      <c r="S141" s="1003"/>
      <c r="T141" s="1003"/>
      <c r="U141" s="1003"/>
      <c r="V141" s="1003"/>
      <c r="W141" s="1003"/>
      <c r="X141" s="1003"/>
      <c r="Y141" s="1003"/>
      <c r="Z141" s="1003"/>
      <c r="AA141" s="1003"/>
      <c r="AB141" s="1003"/>
      <c r="AC141" s="1003"/>
      <c r="AD141" s="1003"/>
      <c r="AE141" s="1003"/>
    </row>
    <row r="142" spans="1:37" ht="15">
      <c r="A142" s="110"/>
      <c r="B142" s="1003" t="str">
        <f>IF($C$33&lt;&gt;1,"",IF(AK133&gt;0,"Favor de revisar la suma y consistencia de totales y/o subtotales por filas (numéricos y NS)",""))</f>
        <v/>
      </c>
      <c r="C142" s="1003"/>
      <c r="D142" s="1003"/>
      <c r="E142" s="1003"/>
      <c r="F142" s="1003"/>
      <c r="G142" s="1003"/>
      <c r="H142" s="1003"/>
      <c r="I142" s="1003"/>
      <c r="J142" s="1003"/>
      <c r="K142" s="1003"/>
      <c r="L142" s="1003"/>
      <c r="M142" s="1003"/>
      <c r="N142" s="1003"/>
      <c r="O142" s="1003"/>
      <c r="P142" s="1003"/>
      <c r="Q142" s="1003"/>
      <c r="R142" s="1003"/>
      <c r="S142" s="1003"/>
      <c r="T142" s="1003"/>
      <c r="U142" s="1003"/>
      <c r="V142" s="1003"/>
      <c r="W142" s="1003"/>
      <c r="X142" s="1003"/>
      <c r="Y142" s="1003"/>
      <c r="Z142" s="1003"/>
      <c r="AA142" s="1003"/>
      <c r="AB142" s="1003"/>
      <c r="AC142" s="1003"/>
      <c r="AD142" s="1003"/>
      <c r="AE142" s="1003"/>
    </row>
    <row r="143" spans="1:37" ht="15">
      <c r="A143" s="110"/>
      <c r="B143" s="1003" t="str">
        <f>IF($C$33&lt;&gt;1,"",IF(AND($P$33=M133,$U$33=S133,$Z$33=Y133),"","Las cantidades de Hombres y Mujeres debe corresponder con los datos reportados en la preg. 11.1"))</f>
        <v/>
      </c>
      <c r="C143" s="1003"/>
      <c r="D143" s="1003"/>
      <c r="E143" s="1003"/>
      <c r="F143" s="1003"/>
      <c r="G143" s="1003"/>
      <c r="H143" s="1003"/>
      <c r="I143" s="1003"/>
      <c r="J143" s="1003"/>
      <c r="K143" s="1003"/>
      <c r="L143" s="1003"/>
      <c r="M143" s="1003"/>
      <c r="N143" s="1003"/>
      <c r="O143" s="1003"/>
      <c r="P143" s="1003"/>
      <c r="Q143" s="1003"/>
      <c r="R143" s="1003"/>
      <c r="S143" s="1003"/>
      <c r="T143" s="1003"/>
      <c r="U143" s="1003"/>
      <c r="V143" s="1003"/>
      <c r="W143" s="1003"/>
      <c r="X143" s="1003"/>
      <c r="Y143" s="1003"/>
      <c r="Z143" s="1003"/>
      <c r="AA143" s="1003"/>
      <c r="AB143" s="1003"/>
      <c r="AC143" s="1003"/>
      <c r="AD143" s="1003"/>
      <c r="AE143" s="1003"/>
    </row>
    <row r="144" spans="1:37" ht="15">
      <c r="A144" s="110"/>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row>
    <row r="145" spans="1:37" ht="24" customHeight="1">
      <c r="A145" s="49" t="s">
        <v>5614</v>
      </c>
      <c r="B145" s="829" t="s">
        <v>5615</v>
      </c>
      <c r="C145" s="829"/>
      <c r="D145" s="829"/>
      <c r="E145" s="829"/>
      <c r="F145" s="829"/>
      <c r="G145" s="829"/>
      <c r="H145" s="829"/>
      <c r="I145" s="829"/>
      <c r="J145" s="829"/>
      <c r="K145" s="829"/>
      <c r="L145" s="829"/>
      <c r="M145" s="829"/>
      <c r="N145" s="829"/>
      <c r="O145" s="829"/>
      <c r="P145" s="829"/>
      <c r="Q145" s="829"/>
      <c r="R145" s="829"/>
      <c r="S145" s="829"/>
      <c r="T145" s="829"/>
      <c r="U145" s="829"/>
      <c r="V145" s="829"/>
      <c r="W145" s="829"/>
      <c r="X145" s="829"/>
      <c r="Y145" s="829"/>
      <c r="Z145" s="829"/>
      <c r="AA145" s="829"/>
      <c r="AB145" s="829"/>
      <c r="AC145" s="829"/>
      <c r="AD145" s="829"/>
    </row>
    <row r="146" spans="1:37" ht="15" customHeight="1">
      <c r="A146" s="245"/>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row>
    <row r="147" spans="1:37" ht="15" customHeight="1">
      <c r="A147" s="245"/>
      <c r="B147" s="38"/>
      <c r="C147" s="880" t="s">
        <v>4636</v>
      </c>
      <c r="D147" s="880"/>
      <c r="E147" s="880"/>
      <c r="F147" s="880"/>
      <c r="G147" s="880"/>
      <c r="H147" s="880"/>
      <c r="I147" s="880"/>
      <c r="J147" s="880"/>
      <c r="K147" s="880"/>
      <c r="L147" s="880"/>
      <c r="M147" s="732" t="s">
        <v>5601</v>
      </c>
      <c r="N147" s="732"/>
      <c r="O147" s="732"/>
      <c r="P147" s="732"/>
      <c r="Q147" s="732"/>
      <c r="R147" s="732"/>
      <c r="S147" s="732"/>
      <c r="T147" s="732"/>
      <c r="U147" s="732"/>
      <c r="V147" s="732"/>
      <c r="W147" s="732"/>
      <c r="X147" s="732"/>
      <c r="Y147" s="732"/>
      <c r="Z147" s="732"/>
      <c r="AA147" s="732"/>
      <c r="AB147" s="732"/>
      <c r="AC147" s="732"/>
      <c r="AD147" s="732"/>
    </row>
    <row r="148" spans="1:37" ht="15" customHeight="1">
      <c r="A148" s="245"/>
      <c r="B148" s="38"/>
      <c r="C148" s="880"/>
      <c r="D148" s="880"/>
      <c r="E148" s="880"/>
      <c r="F148" s="880"/>
      <c r="G148" s="880"/>
      <c r="H148" s="880"/>
      <c r="I148" s="880"/>
      <c r="J148" s="880"/>
      <c r="K148" s="880"/>
      <c r="L148" s="880"/>
      <c r="M148" s="987" t="s">
        <v>2628</v>
      </c>
      <c r="N148" s="988"/>
      <c r="O148" s="988"/>
      <c r="P148" s="988"/>
      <c r="Q148" s="988"/>
      <c r="R148" s="988"/>
      <c r="S148" s="989" t="s">
        <v>2629</v>
      </c>
      <c r="T148" s="990"/>
      <c r="U148" s="990"/>
      <c r="V148" s="990"/>
      <c r="W148" s="990"/>
      <c r="X148" s="990"/>
      <c r="Y148" s="989" t="s">
        <v>2630</v>
      </c>
      <c r="Z148" s="990"/>
      <c r="AA148" s="990"/>
      <c r="AB148" s="990"/>
      <c r="AC148" s="990"/>
      <c r="AD148" s="990"/>
      <c r="AG148" t="s">
        <v>2586</v>
      </c>
      <c r="AH148" t="s">
        <v>4599</v>
      </c>
      <c r="AI148" t="s">
        <v>2590</v>
      </c>
      <c r="AJ148" t="s">
        <v>3163</v>
      </c>
      <c r="AK148" t="s">
        <v>4564</v>
      </c>
    </row>
    <row r="149" spans="1:37" ht="15" customHeight="1">
      <c r="A149" s="245"/>
      <c r="B149" s="38"/>
      <c r="C149" s="97" t="s">
        <v>2516</v>
      </c>
      <c r="D149" s="796" t="s">
        <v>4637</v>
      </c>
      <c r="E149" s="796"/>
      <c r="F149" s="796"/>
      <c r="G149" s="796"/>
      <c r="H149" s="796"/>
      <c r="I149" s="796"/>
      <c r="J149" s="796"/>
      <c r="K149" s="796"/>
      <c r="L149" s="796"/>
      <c r="M149" s="749"/>
      <c r="N149" s="749"/>
      <c r="O149" s="749"/>
      <c r="P149" s="749"/>
      <c r="Q149" s="749"/>
      <c r="R149" s="749"/>
      <c r="S149" s="749"/>
      <c r="T149" s="749"/>
      <c r="U149" s="749"/>
      <c r="V149" s="749"/>
      <c r="W149" s="749"/>
      <c r="X149" s="749"/>
      <c r="Y149" s="749"/>
      <c r="Z149" s="749"/>
      <c r="AA149" s="749"/>
      <c r="AB149" s="749"/>
      <c r="AC149" s="749"/>
      <c r="AD149" s="749"/>
      <c r="AG149" s="506">
        <f>IF(OR($C$33&gt;1,$C$33=""),0,IF(COUNTBLANK(M149:AD160)=180,0,1))</f>
        <v>0</v>
      </c>
      <c r="AH149" s="506">
        <f>IF($C$33&lt;&gt;1,IF(COUNTBLANK(M149:AD160)=216,0,1),0)</f>
        <v>0</v>
      </c>
      <c r="AI149">
        <f t="shared" ref="AI149" si="18">COUNTIF(S149:AD149,"NS")</f>
        <v>0</v>
      </c>
      <c r="AJ149">
        <f t="shared" ref="AJ149" si="19">SUM(S149:AD149)</f>
        <v>0</v>
      </c>
      <c r="AK149">
        <f>IF(COUNTIF(M149:AD149,"NA")=3,0,IF(COUNTA(M149:AD149)=0,0,IF(OR(AND(M149=0,AI149&gt;0),AND(M149="ns",AJ149&gt;0),AND(M149="ns",AI149=0,AJ149=0)),1,IF(OR(AND(M149&gt;0,AI149=2),AND(M149="ns",AI149=2),AND(M149="ns",AJ149=0,AI149&gt;0),M149=AJ149),0,1))))</f>
        <v>0</v>
      </c>
    </row>
    <row r="150" spans="1:37" ht="15" customHeight="1">
      <c r="A150" s="245"/>
      <c r="B150" s="38"/>
      <c r="C150" s="98" t="s">
        <v>2517</v>
      </c>
      <c r="D150" s="796" t="s">
        <v>4638</v>
      </c>
      <c r="E150" s="796"/>
      <c r="F150" s="796"/>
      <c r="G150" s="796"/>
      <c r="H150" s="796"/>
      <c r="I150" s="796"/>
      <c r="J150" s="796"/>
      <c r="K150" s="796"/>
      <c r="L150" s="796"/>
      <c r="M150" s="749"/>
      <c r="N150" s="749"/>
      <c r="O150" s="749"/>
      <c r="P150" s="749"/>
      <c r="Q150" s="749"/>
      <c r="R150" s="749"/>
      <c r="S150" s="749"/>
      <c r="T150" s="749"/>
      <c r="U150" s="749"/>
      <c r="V150" s="749"/>
      <c r="W150" s="749"/>
      <c r="X150" s="749"/>
      <c r="Y150" s="749"/>
      <c r="Z150" s="749"/>
      <c r="AA150" s="749"/>
      <c r="AB150" s="749"/>
      <c r="AC150" s="749"/>
      <c r="AD150" s="749"/>
      <c r="AI150">
        <f t="shared" ref="AI150:AI160" si="20">COUNTIF(S150:AD150,"NS")</f>
        <v>0</v>
      </c>
      <c r="AJ150">
        <f t="shared" ref="AJ150:AJ160" si="21">SUM(S150:AD150)</f>
        <v>0</v>
      </c>
      <c r="AK150">
        <f t="shared" ref="AK150:AK160" si="22">IF(COUNTIF(M150:AD150,"NA")=3,0,IF(COUNTA(M150:AD150)=0,0,IF(OR(AND(M150=0,AI150&gt;0),AND(M150="ns",AJ150&gt;0),AND(M150="ns",AI150=0,AJ150=0)),1,IF(OR(AND(M150&gt;0,AI150=2),AND(M150="ns",AI150=2),AND(M150="ns",AJ150=0,AI150&gt;0),M150=AJ150),0,1))))</f>
        <v>0</v>
      </c>
    </row>
    <row r="151" spans="1:37" ht="15" customHeight="1">
      <c r="A151" s="245"/>
      <c r="B151" s="38"/>
      <c r="C151" s="98" t="s">
        <v>2518</v>
      </c>
      <c r="D151" s="1088" t="s">
        <v>4639</v>
      </c>
      <c r="E151" s="1089"/>
      <c r="F151" s="1089"/>
      <c r="G151" s="1089"/>
      <c r="H151" s="1089"/>
      <c r="I151" s="1089"/>
      <c r="J151" s="1089"/>
      <c r="K151" s="1089"/>
      <c r="L151" s="1090"/>
      <c r="M151" s="749"/>
      <c r="N151" s="749"/>
      <c r="O151" s="749"/>
      <c r="P151" s="749"/>
      <c r="Q151" s="749"/>
      <c r="R151" s="749"/>
      <c r="S151" s="749"/>
      <c r="T151" s="749"/>
      <c r="U151" s="749"/>
      <c r="V151" s="749"/>
      <c r="W151" s="749"/>
      <c r="X151" s="749"/>
      <c r="Y151" s="749"/>
      <c r="Z151" s="749"/>
      <c r="AA151" s="749"/>
      <c r="AB151" s="749"/>
      <c r="AC151" s="749"/>
      <c r="AD151" s="749"/>
      <c r="AI151">
        <f t="shared" si="20"/>
        <v>0</v>
      </c>
      <c r="AJ151">
        <f t="shared" si="21"/>
        <v>0</v>
      </c>
      <c r="AK151">
        <f t="shared" si="22"/>
        <v>0</v>
      </c>
    </row>
    <row r="152" spans="1:37" ht="15" customHeight="1">
      <c r="A152" s="245"/>
      <c r="B152" s="38"/>
      <c r="C152" s="98" t="s">
        <v>2519</v>
      </c>
      <c r="D152" s="1088" t="s">
        <v>4640</v>
      </c>
      <c r="E152" s="1089"/>
      <c r="F152" s="1089"/>
      <c r="G152" s="1089"/>
      <c r="H152" s="1089"/>
      <c r="I152" s="1089"/>
      <c r="J152" s="1089"/>
      <c r="K152" s="1089"/>
      <c r="L152" s="1090"/>
      <c r="M152" s="816"/>
      <c r="N152" s="738"/>
      <c r="O152" s="738"/>
      <c r="P152" s="738"/>
      <c r="Q152" s="738"/>
      <c r="R152" s="817"/>
      <c r="S152" s="749"/>
      <c r="T152" s="749"/>
      <c r="U152" s="749"/>
      <c r="V152" s="749"/>
      <c r="W152" s="749"/>
      <c r="X152" s="749"/>
      <c r="Y152" s="749"/>
      <c r="Z152" s="749"/>
      <c r="AA152" s="749"/>
      <c r="AB152" s="749"/>
      <c r="AC152" s="749"/>
      <c r="AD152" s="749"/>
      <c r="AI152">
        <f t="shared" si="20"/>
        <v>0</v>
      </c>
      <c r="AJ152">
        <f t="shared" si="21"/>
        <v>0</v>
      </c>
      <c r="AK152">
        <f t="shared" si="22"/>
        <v>0</v>
      </c>
    </row>
    <row r="153" spans="1:37" ht="15">
      <c r="A153" s="245"/>
      <c r="B153" s="38"/>
      <c r="C153" s="98" t="s">
        <v>2520</v>
      </c>
      <c r="D153" s="1088" t="s">
        <v>4641</v>
      </c>
      <c r="E153" s="1089"/>
      <c r="F153" s="1089"/>
      <c r="G153" s="1089"/>
      <c r="H153" s="1089"/>
      <c r="I153" s="1089"/>
      <c r="J153" s="1089"/>
      <c r="K153" s="1089"/>
      <c r="L153" s="1090"/>
      <c r="M153" s="749"/>
      <c r="N153" s="749"/>
      <c r="O153" s="749"/>
      <c r="P153" s="749"/>
      <c r="Q153" s="749"/>
      <c r="R153" s="749"/>
      <c r="S153" s="749"/>
      <c r="T153" s="749"/>
      <c r="U153" s="749"/>
      <c r="V153" s="749"/>
      <c r="W153" s="749"/>
      <c r="X153" s="749"/>
      <c r="Y153" s="749"/>
      <c r="Z153" s="749"/>
      <c r="AA153" s="749"/>
      <c r="AB153" s="749"/>
      <c r="AC153" s="749"/>
      <c r="AD153" s="749"/>
      <c r="AI153">
        <f t="shared" si="20"/>
        <v>0</v>
      </c>
      <c r="AJ153">
        <f t="shared" si="21"/>
        <v>0</v>
      </c>
      <c r="AK153">
        <f t="shared" si="22"/>
        <v>0</v>
      </c>
    </row>
    <row r="154" spans="1:37" ht="15">
      <c r="A154" s="245"/>
      <c r="B154" s="38"/>
      <c r="C154" s="98" t="s">
        <v>2521</v>
      </c>
      <c r="D154" s="1088" t="s">
        <v>4642</v>
      </c>
      <c r="E154" s="1089"/>
      <c r="F154" s="1089"/>
      <c r="G154" s="1089"/>
      <c r="H154" s="1089"/>
      <c r="I154" s="1089"/>
      <c r="J154" s="1089"/>
      <c r="K154" s="1089"/>
      <c r="L154" s="1090"/>
      <c r="M154" s="749"/>
      <c r="N154" s="749"/>
      <c r="O154" s="749"/>
      <c r="P154" s="749"/>
      <c r="Q154" s="749"/>
      <c r="R154" s="749"/>
      <c r="S154" s="749"/>
      <c r="T154" s="749"/>
      <c r="U154" s="749"/>
      <c r="V154" s="749"/>
      <c r="W154" s="749"/>
      <c r="X154" s="749"/>
      <c r="Y154" s="749"/>
      <c r="Z154" s="749"/>
      <c r="AA154" s="749"/>
      <c r="AB154" s="749"/>
      <c r="AC154" s="749"/>
      <c r="AD154" s="749"/>
      <c r="AI154">
        <f t="shared" si="20"/>
        <v>0</v>
      </c>
      <c r="AJ154">
        <f t="shared" si="21"/>
        <v>0</v>
      </c>
      <c r="AK154">
        <f t="shared" si="22"/>
        <v>0</v>
      </c>
    </row>
    <row r="155" spans="1:37" ht="15">
      <c r="A155" s="245"/>
      <c r="B155" s="38"/>
      <c r="C155" s="98" t="s">
        <v>2522</v>
      </c>
      <c r="D155" s="1088" t="s">
        <v>4643</v>
      </c>
      <c r="E155" s="1089"/>
      <c r="F155" s="1089"/>
      <c r="G155" s="1089"/>
      <c r="H155" s="1089"/>
      <c r="I155" s="1089"/>
      <c r="J155" s="1089"/>
      <c r="K155" s="1089"/>
      <c r="L155" s="1090"/>
      <c r="M155" s="749"/>
      <c r="N155" s="749"/>
      <c r="O155" s="749"/>
      <c r="P155" s="749"/>
      <c r="Q155" s="749"/>
      <c r="R155" s="749"/>
      <c r="S155" s="749"/>
      <c r="T155" s="749"/>
      <c r="U155" s="749"/>
      <c r="V155" s="749"/>
      <c r="W155" s="749"/>
      <c r="X155" s="749"/>
      <c r="Y155" s="749"/>
      <c r="Z155" s="749"/>
      <c r="AA155" s="749"/>
      <c r="AB155" s="749"/>
      <c r="AC155" s="749"/>
      <c r="AD155" s="749"/>
      <c r="AI155">
        <f t="shared" si="20"/>
        <v>0</v>
      </c>
      <c r="AJ155">
        <f t="shared" si="21"/>
        <v>0</v>
      </c>
      <c r="AK155">
        <f t="shared" si="22"/>
        <v>0</v>
      </c>
    </row>
    <row r="156" spans="1:37" ht="15">
      <c r="A156" s="245"/>
      <c r="B156" s="38"/>
      <c r="C156" s="98" t="s">
        <v>2523</v>
      </c>
      <c r="D156" s="1088" t="s">
        <v>4644</v>
      </c>
      <c r="E156" s="1089"/>
      <c r="F156" s="1089"/>
      <c r="G156" s="1089"/>
      <c r="H156" s="1089"/>
      <c r="I156" s="1089"/>
      <c r="J156" s="1089"/>
      <c r="K156" s="1089"/>
      <c r="L156" s="1090"/>
      <c r="M156" s="749"/>
      <c r="N156" s="749"/>
      <c r="O156" s="749"/>
      <c r="P156" s="749"/>
      <c r="Q156" s="749"/>
      <c r="R156" s="749"/>
      <c r="S156" s="749"/>
      <c r="T156" s="749"/>
      <c r="U156" s="749"/>
      <c r="V156" s="749"/>
      <c r="W156" s="749"/>
      <c r="X156" s="749"/>
      <c r="Y156" s="749"/>
      <c r="Z156" s="749"/>
      <c r="AA156" s="749"/>
      <c r="AB156" s="749"/>
      <c r="AC156" s="749"/>
      <c r="AD156" s="749"/>
      <c r="AI156">
        <f t="shared" si="20"/>
        <v>0</v>
      </c>
      <c r="AJ156">
        <f t="shared" si="21"/>
        <v>0</v>
      </c>
      <c r="AK156">
        <f t="shared" si="22"/>
        <v>0</v>
      </c>
    </row>
    <row r="157" spans="1:37" ht="15">
      <c r="A157" s="245"/>
      <c r="B157" s="38"/>
      <c r="C157" s="98" t="s">
        <v>2524</v>
      </c>
      <c r="D157" s="1088" t="s">
        <v>4645</v>
      </c>
      <c r="E157" s="1089"/>
      <c r="F157" s="1089"/>
      <c r="G157" s="1089"/>
      <c r="H157" s="1089"/>
      <c r="I157" s="1089"/>
      <c r="J157" s="1089"/>
      <c r="K157" s="1089"/>
      <c r="L157" s="1090"/>
      <c r="M157" s="749"/>
      <c r="N157" s="749"/>
      <c r="O157" s="749"/>
      <c r="P157" s="749"/>
      <c r="Q157" s="749"/>
      <c r="R157" s="749"/>
      <c r="S157" s="749"/>
      <c r="T157" s="749"/>
      <c r="U157" s="749"/>
      <c r="V157" s="749"/>
      <c r="W157" s="749"/>
      <c r="X157" s="749"/>
      <c r="Y157" s="749"/>
      <c r="Z157" s="749"/>
      <c r="AA157" s="749"/>
      <c r="AB157" s="749"/>
      <c r="AC157" s="749"/>
      <c r="AD157" s="749"/>
      <c r="AI157">
        <f t="shared" si="20"/>
        <v>0</v>
      </c>
      <c r="AJ157">
        <f t="shared" si="21"/>
        <v>0</v>
      </c>
      <c r="AK157">
        <f t="shared" si="22"/>
        <v>0</v>
      </c>
    </row>
    <row r="158" spans="1:37" ht="15">
      <c r="A158" s="245"/>
      <c r="B158" s="38"/>
      <c r="C158" s="98" t="s">
        <v>2525</v>
      </c>
      <c r="D158" s="1088" t="s">
        <v>4646</v>
      </c>
      <c r="E158" s="1089"/>
      <c r="F158" s="1089"/>
      <c r="G158" s="1089"/>
      <c r="H158" s="1089"/>
      <c r="I158" s="1089"/>
      <c r="J158" s="1089"/>
      <c r="K158" s="1089"/>
      <c r="L158" s="1090"/>
      <c r="M158" s="749"/>
      <c r="N158" s="749"/>
      <c r="O158" s="749"/>
      <c r="P158" s="749"/>
      <c r="Q158" s="749"/>
      <c r="R158" s="749"/>
      <c r="S158" s="749"/>
      <c r="T158" s="749"/>
      <c r="U158" s="749"/>
      <c r="V158" s="749"/>
      <c r="W158" s="749"/>
      <c r="X158" s="749"/>
      <c r="Y158" s="749"/>
      <c r="Z158" s="749"/>
      <c r="AA158" s="749"/>
      <c r="AB158" s="749"/>
      <c r="AC158" s="749"/>
      <c r="AD158" s="749"/>
      <c r="AI158">
        <f t="shared" si="20"/>
        <v>0</v>
      </c>
      <c r="AJ158">
        <f t="shared" si="21"/>
        <v>0</v>
      </c>
      <c r="AK158">
        <f t="shared" si="22"/>
        <v>0</v>
      </c>
    </row>
    <row r="159" spans="1:37" ht="15">
      <c r="A159" s="245"/>
      <c r="B159" s="38"/>
      <c r="C159" s="98" t="s">
        <v>2526</v>
      </c>
      <c r="D159" s="1088" t="s">
        <v>4647</v>
      </c>
      <c r="E159" s="1089"/>
      <c r="F159" s="1089"/>
      <c r="G159" s="1089"/>
      <c r="H159" s="1089"/>
      <c r="I159" s="1089"/>
      <c r="J159" s="1089"/>
      <c r="K159" s="1089"/>
      <c r="L159" s="1090"/>
      <c r="M159" s="749"/>
      <c r="N159" s="749"/>
      <c r="O159" s="749"/>
      <c r="P159" s="749"/>
      <c r="Q159" s="749"/>
      <c r="R159" s="749"/>
      <c r="S159" s="749"/>
      <c r="T159" s="749"/>
      <c r="U159" s="749"/>
      <c r="V159" s="749"/>
      <c r="W159" s="749"/>
      <c r="X159" s="749"/>
      <c r="Y159" s="749"/>
      <c r="Z159" s="749"/>
      <c r="AA159" s="749"/>
      <c r="AB159" s="749"/>
      <c r="AC159" s="749"/>
      <c r="AD159" s="749"/>
      <c r="AI159">
        <f t="shared" si="20"/>
        <v>0</v>
      </c>
      <c r="AJ159">
        <f t="shared" si="21"/>
        <v>0</v>
      </c>
      <c r="AK159">
        <f t="shared" si="22"/>
        <v>0</v>
      </c>
    </row>
    <row r="160" spans="1:37" ht="15">
      <c r="A160" s="245"/>
      <c r="B160" s="38"/>
      <c r="C160" s="98" t="s">
        <v>2527</v>
      </c>
      <c r="D160" s="1088" t="s">
        <v>201</v>
      </c>
      <c r="E160" s="1089"/>
      <c r="F160" s="1089"/>
      <c r="G160" s="1089"/>
      <c r="H160" s="1089"/>
      <c r="I160" s="1089"/>
      <c r="J160" s="1089"/>
      <c r="K160" s="1089"/>
      <c r="L160" s="1090"/>
      <c r="M160" s="749"/>
      <c r="N160" s="749"/>
      <c r="O160" s="749"/>
      <c r="P160" s="749"/>
      <c r="Q160" s="749"/>
      <c r="R160" s="749"/>
      <c r="S160" s="749"/>
      <c r="T160" s="749"/>
      <c r="U160" s="749"/>
      <c r="V160" s="749"/>
      <c r="W160" s="749"/>
      <c r="X160" s="749"/>
      <c r="Y160" s="749"/>
      <c r="Z160" s="749"/>
      <c r="AA160" s="749"/>
      <c r="AB160" s="749"/>
      <c r="AC160" s="749"/>
      <c r="AD160" s="749"/>
      <c r="AI160">
        <f t="shared" si="20"/>
        <v>0</v>
      </c>
      <c r="AJ160">
        <f t="shared" si="21"/>
        <v>0</v>
      </c>
      <c r="AK160">
        <f t="shared" si="22"/>
        <v>0</v>
      </c>
    </row>
    <row r="161" spans="1:37" ht="15" customHeight="1">
      <c r="A161" s="245"/>
      <c r="B161" s="38"/>
      <c r="C161" s="38"/>
      <c r="D161" s="38"/>
      <c r="E161" s="38"/>
      <c r="F161" s="38"/>
      <c r="G161" s="38"/>
      <c r="H161" s="38"/>
      <c r="I161" s="38"/>
      <c r="J161" s="38"/>
      <c r="K161" s="38"/>
      <c r="L161" s="117" t="s">
        <v>2649</v>
      </c>
      <c r="M161" s="736">
        <f>IF(AND(SUM(M149:M160)=0,COUNTIF(M149:M160,"NS")&gt;0),"NS",IF(AND(SUM(M149:M160)=0,COUNTIF(M149:M160,0)&gt;0),0,IF(AND(SUM(M149:M160)=0,COUNTIF(M149:M160,"NA")&gt;0),"NA",SUM(M149:M160))))</f>
        <v>0</v>
      </c>
      <c r="N161" s="1085"/>
      <c r="O161" s="1085"/>
      <c r="P161" s="1085"/>
      <c r="Q161" s="1085"/>
      <c r="R161" s="1086"/>
      <c r="S161" s="736">
        <f>IF(AND(SUM(S149:S160)=0,COUNTIF(S149:S160,"NS")&gt;0),"NS",IF(AND(SUM(S149:S160)=0,COUNTIF(S149:S160,0)&gt;0),0,IF(AND(SUM(S149:S160)=0,COUNTIF(S149:S160,"NA")&gt;0),"NA",SUM(S149:S160))))</f>
        <v>0</v>
      </c>
      <c r="T161" s="1085"/>
      <c r="U161" s="1085"/>
      <c r="V161" s="1085"/>
      <c r="W161" s="1085"/>
      <c r="X161" s="1086"/>
      <c r="Y161" s="736">
        <f>IF(AND(SUM(Y149:Y160)=0,COUNTIF(Y149:Y160,"NS")&gt;0),"NS",IF(AND(SUM(Y149:Y160)=0,COUNTIF(Y149:Y160,0)&gt;0),0,IF(AND(SUM(Y149:Y160)=0,COUNTIF(Y149:Y160,"NA")&gt;0),"NA",SUM(Y149:Y160))))</f>
        <v>0</v>
      </c>
      <c r="Z161" s="1085"/>
      <c r="AA161" s="1085"/>
      <c r="AB161" s="1085"/>
      <c r="AC161" s="1085"/>
      <c r="AD161" s="1086"/>
      <c r="AI161">
        <f>SUM(AI149:AI160)</f>
        <v>0</v>
      </c>
      <c r="AK161" s="506">
        <f>SUM(AK149:AK160)</f>
        <v>0</v>
      </c>
    </row>
    <row r="162" spans="1:37" ht="15" customHeight="1">
      <c r="A162" s="245"/>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row>
    <row r="163" spans="1:37" ht="24" customHeight="1">
      <c r="A163" s="245"/>
      <c r="B163" s="38"/>
      <c r="C163" s="830" t="s">
        <v>4633</v>
      </c>
      <c r="D163" s="1012"/>
      <c r="E163" s="1012"/>
      <c r="F163" s="1012"/>
      <c r="G163" s="1012"/>
      <c r="H163" s="1012"/>
      <c r="I163" s="1012"/>
      <c r="J163" s="1012"/>
      <c r="K163" s="1012"/>
      <c r="L163" s="1012"/>
      <c r="M163" s="1012"/>
      <c r="N163" s="1012"/>
      <c r="O163" s="1012"/>
      <c r="P163" s="1012"/>
      <c r="Q163" s="1012"/>
      <c r="R163" s="1012"/>
      <c r="S163" s="1012"/>
      <c r="T163" s="1012"/>
      <c r="U163" s="1012"/>
      <c r="V163" s="1012"/>
      <c r="W163" s="1012"/>
      <c r="X163" s="1012"/>
      <c r="Y163" s="1012"/>
      <c r="Z163" s="1012"/>
      <c r="AA163" s="1012"/>
      <c r="AB163" s="1012"/>
      <c r="AC163" s="1012"/>
      <c r="AD163" s="1012"/>
    </row>
    <row r="164" spans="1:37" ht="15" customHeight="1">
      <c r="A164" s="49"/>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row>
    <row r="165" spans="1:37" ht="24" customHeight="1">
      <c r="A165" s="49"/>
      <c r="B165" s="38"/>
      <c r="C165" s="754" t="s">
        <v>2611</v>
      </c>
      <c r="D165" s="754"/>
      <c r="E165" s="754"/>
      <c r="F165" s="754"/>
      <c r="G165" s="754"/>
      <c r="H165" s="754"/>
      <c r="I165" s="754"/>
      <c r="J165" s="754"/>
      <c r="K165" s="754"/>
      <c r="L165" s="754"/>
      <c r="M165" s="754"/>
      <c r="N165" s="754"/>
      <c r="O165" s="754"/>
      <c r="P165" s="754"/>
      <c r="Q165" s="754"/>
      <c r="R165" s="754"/>
      <c r="S165" s="754"/>
      <c r="T165" s="754"/>
      <c r="U165" s="754"/>
      <c r="V165" s="754"/>
      <c r="W165" s="754"/>
      <c r="X165" s="754"/>
      <c r="Y165" s="754"/>
      <c r="Z165" s="754"/>
      <c r="AA165" s="754"/>
      <c r="AB165" s="754"/>
      <c r="AC165" s="754"/>
      <c r="AD165" s="754"/>
    </row>
    <row r="166" spans="1:37" ht="60" customHeight="1">
      <c r="A166" s="49"/>
      <c r="B166" s="38"/>
      <c r="C166" s="851"/>
      <c r="D166" s="851"/>
      <c r="E166" s="851"/>
      <c r="F166" s="851"/>
      <c r="G166" s="851"/>
      <c r="H166" s="851"/>
      <c r="I166" s="851"/>
      <c r="J166" s="851"/>
      <c r="K166" s="851"/>
      <c r="L166" s="851"/>
      <c r="M166" s="851"/>
      <c r="N166" s="851"/>
      <c r="O166" s="851"/>
      <c r="P166" s="851"/>
      <c r="Q166" s="851"/>
      <c r="R166" s="851"/>
      <c r="S166" s="851"/>
      <c r="T166" s="851"/>
      <c r="U166" s="851"/>
      <c r="V166" s="851"/>
      <c r="W166" s="851"/>
      <c r="X166" s="851"/>
      <c r="Y166" s="851"/>
      <c r="Z166" s="851"/>
      <c r="AA166" s="851"/>
      <c r="AB166" s="851"/>
      <c r="AC166" s="851"/>
      <c r="AD166" s="851"/>
    </row>
    <row r="167" spans="1:37" ht="15" customHeight="1">
      <c r="A167" s="49"/>
      <c r="B167" s="794" t="str">
        <f>IF(AG149=0,"","Favor de ingresar toda la información requerida en la pregunta")</f>
        <v/>
      </c>
      <c r="C167" s="794"/>
      <c r="D167" s="794"/>
      <c r="E167" s="794"/>
      <c r="F167" s="794"/>
      <c r="G167" s="794"/>
      <c r="H167" s="794"/>
      <c r="I167" s="794"/>
      <c r="J167" s="794"/>
      <c r="K167" s="794"/>
      <c r="L167" s="794"/>
      <c r="M167" s="794"/>
      <c r="N167" s="794"/>
      <c r="O167" s="794"/>
      <c r="P167" s="794"/>
      <c r="Q167" s="794"/>
      <c r="R167" s="794"/>
      <c r="S167" s="794"/>
      <c r="T167" s="794"/>
      <c r="U167" s="794"/>
      <c r="V167" s="794"/>
      <c r="W167" s="794"/>
      <c r="X167" s="794"/>
      <c r="Y167" s="794"/>
      <c r="Z167" s="794"/>
      <c r="AA167" s="794"/>
      <c r="AB167" s="794"/>
      <c r="AC167" s="794"/>
      <c r="AD167" s="794"/>
      <c r="AE167" s="794"/>
    </row>
    <row r="168" spans="1:37" ht="15" customHeight="1">
      <c r="A168" s="110"/>
      <c r="B168" s="1087" t="str">
        <f>IF($C$33&lt;&gt;1,"",IF(COUNTIF(M149:AD160,"NS")&lt;&gt;0,"Alerta: debido a que cuenta con registros NS, debe proporcionar una justificación en el area de comentarios al final de la pregunta",""))</f>
        <v/>
      </c>
      <c r="C168" s="1087"/>
      <c r="D168" s="1087"/>
      <c r="E168" s="1087"/>
      <c r="F168" s="1087"/>
      <c r="G168" s="1087"/>
      <c r="H168" s="1087"/>
      <c r="I168" s="1087"/>
      <c r="J168" s="1087"/>
      <c r="K168" s="1087"/>
      <c r="L168" s="1087"/>
      <c r="M168" s="1087"/>
      <c r="N168" s="1087"/>
      <c r="O168" s="1087"/>
      <c r="P168" s="1087"/>
      <c r="Q168" s="1087"/>
      <c r="R168" s="1087"/>
      <c r="S168" s="1087"/>
      <c r="T168" s="1087"/>
      <c r="U168" s="1087"/>
      <c r="V168" s="1087"/>
      <c r="W168" s="1087"/>
      <c r="X168" s="1087"/>
      <c r="Y168" s="1087"/>
      <c r="Z168" s="1087"/>
      <c r="AA168" s="1087"/>
      <c r="AB168" s="1087"/>
      <c r="AC168" s="1087"/>
      <c r="AD168" s="1087"/>
      <c r="AE168" s="1087"/>
    </row>
    <row r="169" spans="1:37" ht="15" customHeight="1">
      <c r="A169" s="110"/>
      <c r="B169" s="1003" t="str">
        <f>IF(AH149&gt;0,"Revise la información capturada, ya que tiene datos ingresados en celdas que están sombreadas","")</f>
        <v/>
      </c>
      <c r="C169" s="1003"/>
      <c r="D169" s="1003"/>
      <c r="E169" s="1003"/>
      <c r="F169" s="1003"/>
      <c r="G169" s="1003"/>
      <c r="H169" s="1003"/>
      <c r="I169" s="1003"/>
      <c r="J169" s="1003"/>
      <c r="K169" s="1003"/>
      <c r="L169" s="1003"/>
      <c r="M169" s="1003"/>
      <c r="N169" s="1003"/>
      <c r="O169" s="1003"/>
      <c r="P169" s="1003"/>
      <c r="Q169" s="1003"/>
      <c r="R169" s="1003"/>
      <c r="S169" s="1003"/>
      <c r="T169" s="1003"/>
      <c r="U169" s="1003"/>
      <c r="V169" s="1003"/>
      <c r="W169" s="1003"/>
      <c r="X169" s="1003"/>
      <c r="Y169" s="1003"/>
      <c r="Z169" s="1003"/>
      <c r="AA169" s="1003"/>
      <c r="AB169" s="1003"/>
      <c r="AC169" s="1003"/>
      <c r="AD169" s="1003"/>
      <c r="AE169" s="1003"/>
    </row>
    <row r="170" spans="1:37" ht="15" customHeight="1">
      <c r="A170" s="110"/>
      <c r="B170" s="1003" t="str">
        <f>IF($C$33&lt;&gt;1,"",IF(AK161&gt;0,"Favor de revisar la suma y consistencia de totales y/o subtotales por filas (numéricos y NS)",""))</f>
        <v/>
      </c>
      <c r="C170" s="1003"/>
      <c r="D170" s="1003"/>
      <c r="E170" s="1003"/>
      <c r="F170" s="1003"/>
      <c r="G170" s="1003"/>
      <c r="H170" s="1003"/>
      <c r="I170" s="1003"/>
      <c r="J170" s="1003"/>
      <c r="K170" s="1003"/>
      <c r="L170" s="1003"/>
      <c r="M170" s="1003"/>
      <c r="N170" s="1003"/>
      <c r="O170" s="1003"/>
      <c r="P170" s="1003"/>
      <c r="Q170" s="1003"/>
      <c r="R170" s="1003"/>
      <c r="S170" s="1003"/>
      <c r="T170" s="1003"/>
      <c r="U170" s="1003"/>
      <c r="V170" s="1003"/>
      <c r="W170" s="1003"/>
      <c r="X170" s="1003"/>
      <c r="Y170" s="1003"/>
      <c r="Z170" s="1003"/>
      <c r="AA170" s="1003"/>
      <c r="AB170" s="1003"/>
      <c r="AC170" s="1003"/>
      <c r="AD170" s="1003"/>
      <c r="AE170" s="1003"/>
    </row>
    <row r="171" spans="1:37" ht="15" customHeight="1">
      <c r="A171" s="110"/>
      <c r="B171" s="1003" t="str">
        <f>IF($C$33&lt;&gt;1,"",IF(AND($P$33=M161,$U$33=S161,$Z$33=Y161),"","Las cantidades de Hombres y Mujeres debe corresponder con los datos reportados en la preg. 11.1"))</f>
        <v/>
      </c>
      <c r="C171" s="1003"/>
      <c r="D171" s="1003"/>
      <c r="E171" s="1003"/>
      <c r="F171" s="1003"/>
      <c r="G171" s="1003"/>
      <c r="H171" s="1003"/>
      <c r="I171" s="1003"/>
      <c r="J171" s="1003"/>
      <c r="K171" s="1003"/>
      <c r="L171" s="1003"/>
      <c r="M171" s="1003"/>
      <c r="N171" s="1003"/>
      <c r="O171" s="1003"/>
      <c r="P171" s="1003"/>
      <c r="Q171" s="1003"/>
      <c r="R171" s="1003"/>
      <c r="S171" s="1003"/>
      <c r="T171" s="1003"/>
      <c r="U171" s="1003"/>
      <c r="V171" s="1003"/>
      <c r="W171" s="1003"/>
      <c r="X171" s="1003"/>
      <c r="Y171" s="1003"/>
      <c r="Z171" s="1003"/>
      <c r="AA171" s="1003"/>
      <c r="AB171" s="1003"/>
      <c r="AC171" s="1003"/>
      <c r="AD171" s="1003"/>
      <c r="AE171" s="1003"/>
    </row>
    <row r="172" spans="1:37" ht="15" customHeight="1">
      <c r="A172" s="110"/>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row>
    <row r="173" spans="1:37" ht="24" customHeight="1">
      <c r="A173" s="49" t="s">
        <v>5616</v>
      </c>
      <c r="B173" s="829" t="s">
        <v>5617</v>
      </c>
      <c r="C173" s="829"/>
      <c r="D173" s="829"/>
      <c r="E173" s="829"/>
      <c r="F173" s="829"/>
      <c r="G173" s="829"/>
      <c r="H173" s="829"/>
      <c r="I173" s="829"/>
      <c r="J173" s="829"/>
      <c r="K173" s="829"/>
      <c r="L173" s="829"/>
      <c r="M173" s="829"/>
      <c r="N173" s="829"/>
      <c r="O173" s="829"/>
      <c r="P173" s="829"/>
      <c r="Q173" s="829"/>
      <c r="R173" s="829"/>
      <c r="S173" s="829"/>
      <c r="T173" s="829"/>
      <c r="U173" s="829"/>
      <c r="V173" s="829"/>
      <c r="W173" s="829"/>
      <c r="X173" s="829"/>
      <c r="Y173" s="829"/>
      <c r="Z173" s="829"/>
      <c r="AA173" s="829"/>
      <c r="AB173" s="829"/>
      <c r="AC173" s="829"/>
      <c r="AD173" s="829"/>
    </row>
    <row r="174" spans="1:37" ht="15" customHeight="1">
      <c r="A174" s="110"/>
      <c r="B174" s="57"/>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row>
    <row r="175" spans="1:37" ht="15" customHeight="1">
      <c r="A175" s="110"/>
      <c r="B175" s="57"/>
      <c r="C175" s="732" t="s">
        <v>4651</v>
      </c>
      <c r="D175" s="732"/>
      <c r="E175" s="732"/>
      <c r="F175" s="732"/>
      <c r="G175" s="732"/>
      <c r="H175" s="732"/>
      <c r="I175" s="732"/>
      <c r="J175" s="732"/>
      <c r="K175" s="732"/>
      <c r="L175" s="732"/>
      <c r="M175" s="732" t="s">
        <v>5601</v>
      </c>
      <c r="N175" s="732"/>
      <c r="O175" s="732"/>
      <c r="P175" s="732"/>
      <c r="Q175" s="732"/>
      <c r="R175" s="732"/>
      <c r="S175" s="732"/>
      <c r="T175" s="732"/>
      <c r="U175" s="732"/>
      <c r="V175" s="732"/>
      <c r="W175" s="732"/>
      <c r="X175" s="732"/>
      <c r="Y175" s="732"/>
      <c r="Z175" s="732"/>
      <c r="AA175" s="732"/>
      <c r="AB175" s="732"/>
      <c r="AC175" s="732"/>
      <c r="AD175" s="732"/>
    </row>
    <row r="176" spans="1:37" ht="15" customHeight="1">
      <c r="A176" s="110"/>
      <c r="B176" s="57"/>
      <c r="C176" s="732"/>
      <c r="D176" s="732"/>
      <c r="E176" s="732"/>
      <c r="F176" s="732"/>
      <c r="G176" s="732"/>
      <c r="H176" s="732"/>
      <c r="I176" s="732"/>
      <c r="J176" s="732"/>
      <c r="K176" s="732"/>
      <c r="L176" s="732"/>
      <c r="M176" s="732" t="s">
        <v>2628</v>
      </c>
      <c r="N176" s="880"/>
      <c r="O176" s="880"/>
      <c r="P176" s="880"/>
      <c r="Q176" s="880"/>
      <c r="R176" s="880"/>
      <c r="S176" s="736" t="s">
        <v>2629</v>
      </c>
      <c r="T176" s="966"/>
      <c r="U176" s="966"/>
      <c r="V176" s="966"/>
      <c r="W176" s="966"/>
      <c r="X176" s="966"/>
      <c r="Y176" s="736" t="s">
        <v>2630</v>
      </c>
      <c r="Z176" s="966"/>
      <c r="AA176" s="966"/>
      <c r="AB176" s="966"/>
      <c r="AC176" s="966"/>
      <c r="AD176" s="966"/>
      <c r="AG176" t="s">
        <v>2586</v>
      </c>
      <c r="AH176" t="s">
        <v>4599</v>
      </c>
      <c r="AI176" t="s">
        <v>2590</v>
      </c>
      <c r="AJ176" t="s">
        <v>3163</v>
      </c>
      <c r="AK176" t="s">
        <v>4564</v>
      </c>
    </row>
    <row r="177" spans="1:37" ht="15" customHeight="1">
      <c r="A177" s="110"/>
      <c r="B177" s="57"/>
      <c r="C177" s="44" t="s">
        <v>2516</v>
      </c>
      <c r="D177" s="813" t="s">
        <v>4652</v>
      </c>
      <c r="E177" s="814"/>
      <c r="F177" s="814"/>
      <c r="G177" s="814"/>
      <c r="H177" s="814"/>
      <c r="I177" s="814"/>
      <c r="J177" s="814"/>
      <c r="K177" s="814"/>
      <c r="L177" s="815"/>
      <c r="M177" s="749"/>
      <c r="N177" s="749"/>
      <c r="O177" s="749"/>
      <c r="P177" s="749"/>
      <c r="Q177" s="749"/>
      <c r="R177" s="749"/>
      <c r="S177" s="749"/>
      <c r="T177" s="749"/>
      <c r="U177" s="749"/>
      <c r="V177" s="749"/>
      <c r="W177" s="749"/>
      <c r="X177" s="749"/>
      <c r="Y177" s="749"/>
      <c r="Z177" s="749"/>
      <c r="AA177" s="749"/>
      <c r="AB177" s="749"/>
      <c r="AC177" s="749"/>
      <c r="AD177" s="749"/>
      <c r="AG177" s="506">
        <f>IF(OR($C$33&gt;1,$C$33=""),0,IF(COUNTBLANK(M177:AD181)=75,0,1))</f>
        <v>0</v>
      </c>
      <c r="AH177" s="506">
        <f>IF($C$33&lt;&gt;1,IF(COUNTBLANK(M177:AD181)=90,0,1),0)</f>
        <v>0</v>
      </c>
      <c r="AI177">
        <f>COUNTIF(S177:AD177,"NS")</f>
        <v>0</v>
      </c>
      <c r="AJ177">
        <f>SUM(S177:AD177)</f>
        <v>0</v>
      </c>
      <c r="AK177">
        <f>IF(COUNTIF(M177:AD177,"NA")=3,0,IF(COUNTA(M177:AD177)=0,0,IF(OR(AND(M177=0,AI177&gt;0),AND(M177="ns",AJ177&gt;0),AND(M177="ns",AI177=0,AJ177=0)),1,IF(OR(AND(M177&gt;0,AI177=2),AND(M177="ns",AI177=2),AND(M177="ns",AJ177=0,AI177&gt;0),M177=AJ177),0,1))))</f>
        <v>0</v>
      </c>
    </row>
    <row r="178" spans="1:37" ht="15" customHeight="1">
      <c r="A178" s="110"/>
      <c r="B178" s="57"/>
      <c r="C178" s="44" t="s">
        <v>2517</v>
      </c>
      <c r="D178" s="813" t="s">
        <v>4653</v>
      </c>
      <c r="E178" s="814"/>
      <c r="F178" s="814"/>
      <c r="G178" s="814"/>
      <c r="H178" s="814"/>
      <c r="I178" s="814"/>
      <c r="J178" s="814"/>
      <c r="K178" s="814"/>
      <c r="L178" s="815"/>
      <c r="M178" s="749"/>
      <c r="N178" s="749"/>
      <c r="O178" s="749"/>
      <c r="P178" s="749"/>
      <c r="Q178" s="749"/>
      <c r="R178" s="749"/>
      <c r="S178" s="749"/>
      <c r="T178" s="749"/>
      <c r="U178" s="749"/>
      <c r="V178" s="749"/>
      <c r="W178" s="749"/>
      <c r="X178" s="749"/>
      <c r="Y178" s="749"/>
      <c r="Z178" s="749"/>
      <c r="AA178" s="749"/>
      <c r="AB178" s="749"/>
      <c r="AC178" s="749"/>
      <c r="AD178" s="749"/>
      <c r="AI178">
        <f t="shared" ref="AI178:AI181" si="23">COUNTIF(S178:AD178,"NS")</f>
        <v>0</v>
      </c>
      <c r="AJ178">
        <f t="shared" ref="AJ178:AJ181" si="24">SUM(S178:AD178)</f>
        <v>0</v>
      </c>
      <c r="AK178">
        <f t="shared" ref="AK178:AK181" si="25">IF(COUNTIF(M178:AD178,"NA")=3,0,IF(COUNTA(M178:AD178)=0,0,IF(OR(AND(M178=0,AI178&gt;0),AND(M178="ns",AJ178&gt;0),AND(M178="ns",AI178=0,AJ178=0)),1,IF(OR(AND(M178&gt;0,AI178=2),AND(M178="ns",AI178=2),AND(M178="ns",AJ178=0,AI178&gt;0),M178=AJ178),0,1))))</f>
        <v>0</v>
      </c>
    </row>
    <row r="179" spans="1:37" ht="15" customHeight="1">
      <c r="A179" s="110"/>
      <c r="B179" s="57"/>
      <c r="C179" s="44" t="s">
        <v>2518</v>
      </c>
      <c r="D179" s="813" t="s">
        <v>4654</v>
      </c>
      <c r="E179" s="814"/>
      <c r="F179" s="814"/>
      <c r="G179" s="814"/>
      <c r="H179" s="814"/>
      <c r="I179" s="814"/>
      <c r="J179" s="814"/>
      <c r="K179" s="814"/>
      <c r="L179" s="815"/>
      <c r="M179" s="749"/>
      <c r="N179" s="749"/>
      <c r="O179" s="749"/>
      <c r="P179" s="749"/>
      <c r="Q179" s="749"/>
      <c r="R179" s="749"/>
      <c r="S179" s="749"/>
      <c r="T179" s="749"/>
      <c r="U179" s="749"/>
      <c r="V179" s="749"/>
      <c r="W179" s="749"/>
      <c r="X179" s="749"/>
      <c r="Y179" s="749"/>
      <c r="Z179" s="749"/>
      <c r="AA179" s="749"/>
      <c r="AB179" s="749"/>
      <c r="AC179" s="749"/>
      <c r="AD179" s="749"/>
      <c r="AI179">
        <f t="shared" si="23"/>
        <v>0</v>
      </c>
      <c r="AJ179">
        <f t="shared" si="24"/>
        <v>0</v>
      </c>
      <c r="AK179">
        <f t="shared" si="25"/>
        <v>0</v>
      </c>
    </row>
    <row r="180" spans="1:37" ht="24" customHeight="1">
      <c r="A180" s="110"/>
      <c r="B180" s="57"/>
      <c r="C180" s="44" t="s">
        <v>2519</v>
      </c>
      <c r="D180" s="813" t="s">
        <v>4655</v>
      </c>
      <c r="E180" s="814"/>
      <c r="F180" s="814"/>
      <c r="G180" s="814"/>
      <c r="H180" s="814"/>
      <c r="I180" s="814"/>
      <c r="J180" s="814"/>
      <c r="K180" s="814"/>
      <c r="L180" s="815"/>
      <c r="M180" s="749"/>
      <c r="N180" s="749"/>
      <c r="O180" s="749"/>
      <c r="P180" s="749"/>
      <c r="Q180" s="749"/>
      <c r="R180" s="749"/>
      <c r="S180" s="749"/>
      <c r="T180" s="749"/>
      <c r="U180" s="749"/>
      <c r="V180" s="749"/>
      <c r="W180" s="749"/>
      <c r="X180" s="749"/>
      <c r="Y180" s="749"/>
      <c r="Z180" s="749"/>
      <c r="AA180" s="749"/>
      <c r="AB180" s="749"/>
      <c r="AC180" s="749"/>
      <c r="AD180" s="749"/>
      <c r="AI180">
        <f t="shared" si="23"/>
        <v>0</v>
      </c>
      <c r="AJ180">
        <f t="shared" si="24"/>
        <v>0</v>
      </c>
      <c r="AK180">
        <f t="shared" si="25"/>
        <v>0</v>
      </c>
    </row>
    <row r="181" spans="1:37" ht="15" customHeight="1">
      <c r="A181" s="110"/>
      <c r="B181" s="57"/>
      <c r="C181" s="44" t="s">
        <v>2520</v>
      </c>
      <c r="D181" s="813" t="s">
        <v>201</v>
      </c>
      <c r="E181" s="814"/>
      <c r="F181" s="814"/>
      <c r="G181" s="814"/>
      <c r="H181" s="814"/>
      <c r="I181" s="814"/>
      <c r="J181" s="814"/>
      <c r="K181" s="814"/>
      <c r="L181" s="815"/>
      <c r="M181" s="749"/>
      <c r="N181" s="749"/>
      <c r="O181" s="749"/>
      <c r="P181" s="749"/>
      <c r="Q181" s="749"/>
      <c r="R181" s="749"/>
      <c r="S181" s="749"/>
      <c r="T181" s="749"/>
      <c r="U181" s="749"/>
      <c r="V181" s="749"/>
      <c r="W181" s="749"/>
      <c r="X181" s="749"/>
      <c r="Y181" s="749"/>
      <c r="Z181" s="749"/>
      <c r="AA181" s="749"/>
      <c r="AB181" s="749"/>
      <c r="AC181" s="749"/>
      <c r="AD181" s="749"/>
      <c r="AI181">
        <f t="shared" si="23"/>
        <v>0</v>
      </c>
      <c r="AJ181">
        <f t="shared" si="24"/>
        <v>0</v>
      </c>
      <c r="AK181">
        <f t="shared" si="25"/>
        <v>0</v>
      </c>
    </row>
    <row r="182" spans="1:37" ht="15" customHeight="1">
      <c r="A182" s="110"/>
      <c r="B182" s="57"/>
      <c r="C182" s="187"/>
      <c r="D182" s="187"/>
      <c r="E182" s="187"/>
      <c r="F182" s="187"/>
      <c r="G182" s="187"/>
      <c r="H182" s="187"/>
      <c r="I182" s="187"/>
      <c r="J182" s="187"/>
      <c r="K182" s="187"/>
      <c r="L182" s="188" t="s">
        <v>2649</v>
      </c>
      <c r="M182" s="736">
        <f>IF(AND(SUM(M177:M181)=0,COUNTIF(M177:M181,"NS")&gt;0),"NS",IF(AND(SUM(M177:M181)=0,COUNTIF(M177:M181,0)&gt;0),0,IF(AND(SUM(M177:M181)=0,COUNTIF(M177:M181,"NA")&gt;0),"NA",SUM(M177:M181))))</f>
        <v>0</v>
      </c>
      <c r="N182" s="1085"/>
      <c r="O182" s="1085"/>
      <c r="P182" s="1085"/>
      <c r="Q182" s="1085"/>
      <c r="R182" s="1086"/>
      <c r="S182" s="736">
        <f>IF(AND(SUM(S177:S181)=0,COUNTIF(S177:S181,"NS")&gt;0),"NS",IF(AND(SUM(S177:S181)=0,COUNTIF(S177:S181,0)&gt;0),0,IF(AND(SUM(S177:S181)=0,COUNTIF(S177:S181,"NA")&gt;0),"NA",SUM(S177:S181))))</f>
        <v>0</v>
      </c>
      <c r="T182" s="1085"/>
      <c r="U182" s="1085"/>
      <c r="V182" s="1085"/>
      <c r="W182" s="1085"/>
      <c r="X182" s="1086"/>
      <c r="Y182" s="736">
        <f>IF(AND(SUM(Y177:Y181)=0,COUNTIF(Y177:Y181,"NS")&gt;0),"NS",IF(AND(SUM(Y177:Y181)=0,COUNTIF(Y177:Y181,0)&gt;0),0,IF(AND(SUM(Y177:Y181)=0,COUNTIF(Y177:Y181,"NA")&gt;0),"NA",SUM(Y177:Y181))))</f>
        <v>0</v>
      </c>
      <c r="Z182" s="1085"/>
      <c r="AA182" s="1085"/>
      <c r="AB182" s="1085"/>
      <c r="AC182" s="1085"/>
      <c r="AD182" s="1086"/>
      <c r="AI182">
        <f>SUM(AI177:AI181)</f>
        <v>0</v>
      </c>
      <c r="AK182" s="506">
        <f>SUM(AK177:AK181)</f>
        <v>0</v>
      </c>
    </row>
    <row r="183" spans="1:37" ht="15" customHeight="1">
      <c r="A183" s="110"/>
      <c r="B183" s="57"/>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row>
    <row r="184" spans="1:37" ht="24" customHeight="1">
      <c r="A184" s="110"/>
      <c r="B184" s="57"/>
      <c r="C184" s="754" t="s">
        <v>2611</v>
      </c>
      <c r="D184" s="754"/>
      <c r="E184" s="754"/>
      <c r="F184" s="754"/>
      <c r="G184" s="754"/>
      <c r="H184" s="754"/>
      <c r="I184" s="754"/>
      <c r="J184" s="754"/>
      <c r="K184" s="754"/>
      <c r="L184" s="754"/>
      <c r="M184" s="754"/>
      <c r="N184" s="754"/>
      <c r="O184" s="754"/>
      <c r="P184" s="754"/>
      <c r="Q184" s="754"/>
      <c r="R184" s="754"/>
      <c r="S184" s="754"/>
      <c r="T184" s="754"/>
      <c r="U184" s="754"/>
      <c r="V184" s="754"/>
      <c r="W184" s="754"/>
      <c r="X184" s="754"/>
      <c r="Y184" s="754"/>
      <c r="Z184" s="754"/>
      <c r="AA184" s="754"/>
      <c r="AB184" s="754"/>
      <c r="AC184" s="754"/>
      <c r="AD184" s="754"/>
    </row>
    <row r="185" spans="1:37" ht="60" customHeight="1">
      <c r="A185" s="110"/>
      <c r="B185" s="57"/>
      <c r="C185" s="851"/>
      <c r="D185" s="851"/>
      <c r="E185" s="851"/>
      <c r="F185" s="851"/>
      <c r="G185" s="851"/>
      <c r="H185" s="851"/>
      <c r="I185" s="851"/>
      <c r="J185" s="851"/>
      <c r="K185" s="851"/>
      <c r="L185" s="851"/>
      <c r="M185" s="851"/>
      <c r="N185" s="851"/>
      <c r="O185" s="851"/>
      <c r="P185" s="851"/>
      <c r="Q185" s="851"/>
      <c r="R185" s="851"/>
      <c r="S185" s="851"/>
      <c r="T185" s="851"/>
      <c r="U185" s="851"/>
      <c r="V185" s="851"/>
      <c r="W185" s="851"/>
      <c r="X185" s="851"/>
      <c r="Y185" s="851"/>
      <c r="Z185" s="851"/>
      <c r="AA185" s="851"/>
      <c r="AB185" s="851"/>
      <c r="AC185" s="851"/>
      <c r="AD185" s="851"/>
    </row>
    <row r="186" spans="1:37" ht="15" customHeight="1">
      <c r="A186" s="110"/>
      <c r="B186" s="794" t="str">
        <f>IF(AG177=0,"","Favor de ingresar toda la información requerida en la pregunta")</f>
        <v/>
      </c>
      <c r="C186" s="794"/>
      <c r="D186" s="794"/>
      <c r="E186" s="794"/>
      <c r="F186" s="794"/>
      <c r="G186" s="794"/>
      <c r="H186" s="794"/>
      <c r="I186" s="794"/>
      <c r="J186" s="794"/>
      <c r="K186" s="794"/>
      <c r="L186" s="794"/>
      <c r="M186" s="794"/>
      <c r="N186" s="794"/>
      <c r="O186" s="794"/>
      <c r="P186" s="794"/>
      <c r="Q186" s="794"/>
      <c r="R186" s="794"/>
      <c r="S186" s="794"/>
      <c r="T186" s="794"/>
      <c r="U186" s="794"/>
      <c r="V186" s="794"/>
      <c r="W186" s="794"/>
      <c r="X186" s="794"/>
      <c r="Y186" s="794"/>
      <c r="Z186" s="794"/>
      <c r="AA186" s="794"/>
      <c r="AB186" s="794"/>
      <c r="AC186" s="794"/>
      <c r="AD186" s="794"/>
      <c r="AE186" s="794"/>
    </row>
    <row r="187" spans="1:37" ht="15" customHeight="1">
      <c r="A187" s="110"/>
      <c r="B187" s="1087" t="str">
        <f>IF($C$33&lt;&gt;1,"",IF(COUNTIF(M177:AD181,"NS")&lt;&gt;0,"Alerta: debido a que cuenta con registros NS, debe proporcionar una justificación en el area de comentarios al final de la pregunta",""))</f>
        <v/>
      </c>
      <c r="C187" s="1087"/>
      <c r="D187" s="1087"/>
      <c r="E187" s="1087"/>
      <c r="F187" s="1087"/>
      <c r="G187" s="1087"/>
      <c r="H187" s="1087"/>
      <c r="I187" s="1087"/>
      <c r="J187" s="1087"/>
      <c r="K187" s="1087"/>
      <c r="L187" s="1087"/>
      <c r="M187" s="1087"/>
      <c r="N187" s="1087"/>
      <c r="O187" s="1087"/>
      <c r="P187" s="1087"/>
      <c r="Q187" s="1087"/>
      <c r="R187" s="1087"/>
      <c r="S187" s="1087"/>
      <c r="T187" s="1087"/>
      <c r="U187" s="1087"/>
      <c r="V187" s="1087"/>
      <c r="W187" s="1087"/>
      <c r="X187" s="1087"/>
      <c r="Y187" s="1087"/>
      <c r="Z187" s="1087"/>
      <c r="AA187" s="1087"/>
      <c r="AB187" s="1087"/>
      <c r="AC187" s="1087"/>
      <c r="AD187" s="1087"/>
      <c r="AE187" s="1087"/>
    </row>
    <row r="188" spans="1:37" ht="15" customHeight="1">
      <c r="A188" s="49"/>
      <c r="B188" s="1003" t="str">
        <f>IF(AH177&gt;0,"Revise la información capturada, ya que tiene datos ingresados en celdas que están sombreadas","")</f>
        <v/>
      </c>
      <c r="C188" s="1003"/>
      <c r="D188" s="1003"/>
      <c r="E188" s="1003"/>
      <c r="F188" s="1003"/>
      <c r="G188" s="1003"/>
      <c r="H188" s="1003"/>
      <c r="I188" s="1003"/>
      <c r="J188" s="1003"/>
      <c r="K188" s="1003"/>
      <c r="L188" s="1003"/>
      <c r="M188" s="1003"/>
      <c r="N188" s="1003"/>
      <c r="O188" s="1003"/>
      <c r="P188" s="1003"/>
      <c r="Q188" s="1003"/>
      <c r="R188" s="1003"/>
      <c r="S188" s="1003"/>
      <c r="T188" s="1003"/>
      <c r="U188" s="1003"/>
      <c r="V188" s="1003"/>
      <c r="W188" s="1003"/>
      <c r="X188" s="1003"/>
      <c r="Y188" s="1003"/>
      <c r="Z188" s="1003"/>
      <c r="AA188" s="1003"/>
      <c r="AB188" s="1003"/>
      <c r="AC188" s="1003"/>
      <c r="AD188" s="1003"/>
      <c r="AE188" s="1003"/>
    </row>
    <row r="189" spans="1:37" ht="15" customHeight="1">
      <c r="A189" s="110"/>
      <c r="B189" s="1003" t="str">
        <f>IF($C$33&lt;&gt;1,"",IF(AK182&gt;0,"Favor de revisar la suma y consistencia de totales y/o subtotales por filas (numéricos y NS)",""))</f>
        <v/>
      </c>
      <c r="C189" s="1003"/>
      <c r="D189" s="1003"/>
      <c r="E189" s="1003"/>
      <c r="F189" s="1003"/>
      <c r="G189" s="1003"/>
      <c r="H189" s="1003"/>
      <c r="I189" s="1003"/>
      <c r="J189" s="1003"/>
      <c r="K189" s="1003"/>
      <c r="L189" s="1003"/>
      <c r="M189" s="1003"/>
      <c r="N189" s="1003"/>
      <c r="O189" s="1003"/>
      <c r="P189" s="1003"/>
      <c r="Q189" s="1003"/>
      <c r="R189" s="1003"/>
      <c r="S189" s="1003"/>
      <c r="T189" s="1003"/>
      <c r="U189" s="1003"/>
      <c r="V189" s="1003"/>
      <c r="W189" s="1003"/>
      <c r="X189" s="1003"/>
      <c r="Y189" s="1003"/>
      <c r="Z189" s="1003"/>
      <c r="AA189" s="1003"/>
      <c r="AB189" s="1003"/>
      <c r="AC189" s="1003"/>
      <c r="AD189" s="1003"/>
      <c r="AE189" s="1003"/>
    </row>
    <row r="190" spans="1:37" ht="15" customHeight="1">
      <c r="A190" s="49"/>
      <c r="B190" s="1003" t="str">
        <f>IF($C$33&lt;&gt;1,"",IF(AND($P$33=M182,$U$33=S182,$Z$33=Y182),"","Las cantidades de Hombres y Mujeres debe corresponder con los datos reportados en la preg. 11.1"))</f>
        <v/>
      </c>
      <c r="C190" s="1003"/>
      <c r="D190" s="1003"/>
      <c r="E190" s="1003"/>
      <c r="F190" s="1003"/>
      <c r="G190" s="1003"/>
      <c r="H190" s="1003"/>
      <c r="I190" s="1003"/>
      <c r="J190" s="1003"/>
      <c r="K190" s="1003"/>
      <c r="L190" s="1003"/>
      <c r="M190" s="1003"/>
      <c r="N190" s="1003"/>
      <c r="O190" s="1003"/>
      <c r="P190" s="1003"/>
      <c r="Q190" s="1003"/>
      <c r="R190" s="1003"/>
      <c r="S190" s="1003"/>
      <c r="T190" s="1003"/>
      <c r="U190" s="1003"/>
      <c r="V190" s="1003"/>
      <c r="W190" s="1003"/>
      <c r="X190" s="1003"/>
      <c r="Y190" s="1003"/>
      <c r="Z190" s="1003"/>
      <c r="AA190" s="1003"/>
      <c r="AB190" s="1003"/>
      <c r="AC190" s="1003"/>
      <c r="AD190" s="1003"/>
      <c r="AE190" s="1003"/>
    </row>
    <row r="191" spans="1:37" ht="15" customHeight="1">
      <c r="A191" s="49"/>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row>
    <row r="192" spans="1:37" ht="24" customHeight="1">
      <c r="A192" s="49" t="s">
        <v>5618</v>
      </c>
      <c r="B192" s="829" t="s">
        <v>5619</v>
      </c>
      <c r="C192" s="829"/>
      <c r="D192" s="829"/>
      <c r="E192" s="829"/>
      <c r="F192" s="829"/>
      <c r="G192" s="829"/>
      <c r="H192" s="829"/>
      <c r="I192" s="829"/>
      <c r="J192" s="829"/>
      <c r="K192" s="829"/>
      <c r="L192" s="829"/>
      <c r="M192" s="829"/>
      <c r="N192" s="829"/>
      <c r="O192" s="829"/>
      <c r="P192" s="829"/>
      <c r="Q192" s="829"/>
      <c r="R192" s="829"/>
      <c r="S192" s="829"/>
      <c r="T192" s="829"/>
      <c r="U192" s="829"/>
      <c r="V192" s="829"/>
      <c r="W192" s="829"/>
      <c r="X192" s="829"/>
      <c r="Y192" s="829"/>
      <c r="Z192" s="829"/>
      <c r="AA192" s="829"/>
      <c r="AB192" s="829"/>
      <c r="AC192" s="829"/>
      <c r="AD192" s="829"/>
    </row>
    <row r="193" spans="1:37" ht="15" customHeight="1">
      <c r="A193" s="49"/>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row>
    <row r="194" spans="1:37" ht="15" customHeight="1">
      <c r="A194" s="49"/>
      <c r="B194" s="38"/>
      <c r="C194" s="880" t="s">
        <v>5620</v>
      </c>
      <c r="D194" s="880"/>
      <c r="E194" s="880"/>
      <c r="F194" s="880"/>
      <c r="G194" s="880"/>
      <c r="H194" s="880"/>
      <c r="I194" s="880"/>
      <c r="J194" s="880"/>
      <c r="K194" s="880"/>
      <c r="L194" s="880"/>
      <c r="M194" s="732" t="s">
        <v>5601</v>
      </c>
      <c r="N194" s="732"/>
      <c r="O194" s="732"/>
      <c r="P194" s="732"/>
      <c r="Q194" s="732"/>
      <c r="R194" s="732"/>
      <c r="S194" s="732"/>
      <c r="T194" s="732"/>
      <c r="U194" s="732"/>
      <c r="V194" s="732"/>
      <c r="W194" s="732"/>
      <c r="X194" s="732"/>
      <c r="Y194" s="732"/>
      <c r="Z194" s="732"/>
      <c r="AA194" s="732"/>
      <c r="AB194" s="732"/>
      <c r="AC194" s="732"/>
      <c r="AD194" s="732"/>
    </row>
    <row r="195" spans="1:37" ht="15" customHeight="1">
      <c r="A195" s="49"/>
      <c r="B195" s="38"/>
      <c r="C195" s="880"/>
      <c r="D195" s="880"/>
      <c r="E195" s="880"/>
      <c r="F195" s="880"/>
      <c r="G195" s="880"/>
      <c r="H195" s="880"/>
      <c r="I195" s="880"/>
      <c r="J195" s="880"/>
      <c r="K195" s="880"/>
      <c r="L195" s="880"/>
      <c r="M195" s="987" t="s">
        <v>2628</v>
      </c>
      <c r="N195" s="988"/>
      <c r="O195" s="988"/>
      <c r="P195" s="988"/>
      <c r="Q195" s="988"/>
      <c r="R195" s="988"/>
      <c r="S195" s="989" t="s">
        <v>2629</v>
      </c>
      <c r="T195" s="990"/>
      <c r="U195" s="990"/>
      <c r="V195" s="990"/>
      <c r="W195" s="990"/>
      <c r="X195" s="990"/>
      <c r="Y195" s="989" t="s">
        <v>2630</v>
      </c>
      <c r="Z195" s="990"/>
      <c r="AA195" s="990"/>
      <c r="AB195" s="990"/>
      <c r="AC195" s="990"/>
      <c r="AD195" s="990"/>
      <c r="AG195" t="s">
        <v>2586</v>
      </c>
      <c r="AH195" t="s">
        <v>4599</v>
      </c>
      <c r="AI195" t="s">
        <v>2590</v>
      </c>
      <c r="AJ195" t="s">
        <v>3163</v>
      </c>
      <c r="AK195" t="s">
        <v>4564</v>
      </c>
    </row>
    <row r="196" spans="1:37" ht="15" customHeight="1">
      <c r="A196" s="49"/>
      <c r="B196" s="38"/>
      <c r="C196" s="97" t="s">
        <v>2516</v>
      </c>
      <c r="D196" s="813" t="s">
        <v>5621</v>
      </c>
      <c r="E196" s="814"/>
      <c r="F196" s="814"/>
      <c r="G196" s="814"/>
      <c r="H196" s="814"/>
      <c r="I196" s="814"/>
      <c r="J196" s="814"/>
      <c r="K196" s="814"/>
      <c r="L196" s="815"/>
      <c r="M196" s="749"/>
      <c r="N196" s="749"/>
      <c r="O196" s="749"/>
      <c r="P196" s="749"/>
      <c r="Q196" s="749"/>
      <c r="R196" s="749"/>
      <c r="S196" s="749"/>
      <c r="T196" s="749"/>
      <c r="U196" s="749"/>
      <c r="V196" s="749"/>
      <c r="W196" s="749"/>
      <c r="X196" s="749"/>
      <c r="Y196" s="749"/>
      <c r="Z196" s="749"/>
      <c r="AA196" s="749"/>
      <c r="AB196" s="749"/>
      <c r="AC196" s="749"/>
      <c r="AD196" s="749"/>
      <c r="AG196" s="506">
        <f>IF(OR($C$33&gt;1,$C$33=""),0,IF(COUNTBLANK(M196:AD198)=45,0,1))</f>
        <v>0</v>
      </c>
      <c r="AH196" s="506">
        <f>IF($C$33&lt;&gt;1,IF(COUNTBLANK(M196:AD198)=54,0,1),0)</f>
        <v>0</v>
      </c>
      <c r="AI196">
        <f>COUNTIF(S196:AD196,"NS")</f>
        <v>0</v>
      </c>
      <c r="AJ196">
        <f>SUM(S196:AD196)</f>
        <v>0</v>
      </c>
      <c r="AK196">
        <f>IF(COUNTIF(M196:AD196,"NA")=3,0,IF(COUNTA(M196:AD196)=0,0,IF(OR(AND(M196=0,AI196&gt;0),AND(M196="ns",AJ196&gt;0),AND(M196="ns",AI196=0,AJ196=0)),1,IF(OR(AND(M196&gt;0,AI196=2),AND(M196="ns",AI196=2),AND(M196="ns",AJ196=0,AI196&gt;0),M196=AJ196),0,1))))</f>
        <v>0</v>
      </c>
    </row>
    <row r="197" spans="1:37" ht="15" customHeight="1">
      <c r="A197" s="49"/>
      <c r="B197" s="38"/>
      <c r="C197" s="98" t="s">
        <v>2517</v>
      </c>
      <c r="D197" s="813" t="s">
        <v>4660</v>
      </c>
      <c r="E197" s="814"/>
      <c r="F197" s="814"/>
      <c r="G197" s="814"/>
      <c r="H197" s="814"/>
      <c r="I197" s="814"/>
      <c r="J197" s="814"/>
      <c r="K197" s="814"/>
      <c r="L197" s="815"/>
      <c r="M197" s="749"/>
      <c r="N197" s="749"/>
      <c r="O197" s="749"/>
      <c r="P197" s="749"/>
      <c r="Q197" s="749"/>
      <c r="R197" s="749"/>
      <c r="S197" s="749"/>
      <c r="T197" s="749"/>
      <c r="U197" s="749"/>
      <c r="V197" s="749"/>
      <c r="W197" s="749"/>
      <c r="X197" s="749"/>
      <c r="Y197" s="749"/>
      <c r="Z197" s="749"/>
      <c r="AA197" s="749"/>
      <c r="AB197" s="749"/>
      <c r="AC197" s="749"/>
      <c r="AD197" s="749"/>
      <c r="AI197">
        <f t="shared" ref="AI197:AI198" si="26">COUNTIF(S197:AD197,"NS")</f>
        <v>0</v>
      </c>
      <c r="AJ197">
        <f t="shared" ref="AJ197:AJ198" si="27">SUM(S197:AD197)</f>
        <v>0</v>
      </c>
      <c r="AK197">
        <f t="shared" ref="AK197:AK198" si="28">IF(COUNTIF(M197:AD197,"NA")=3,0,IF(COUNTA(M197:AD197)=0,0,IF(OR(AND(M197=0,AI197&gt;0),AND(M197="ns",AJ197&gt;0),AND(M197="ns",AI197=0,AJ197=0)),1,IF(OR(AND(M197&gt;0,AI197=2),AND(M197="ns",AI197=2),AND(M197="ns",AJ197=0,AI197&gt;0),M197=AJ197),0,1))))</f>
        <v>0</v>
      </c>
    </row>
    <row r="198" spans="1:37" ht="15" customHeight="1">
      <c r="A198" s="49"/>
      <c r="B198" s="38"/>
      <c r="C198" s="98" t="s">
        <v>2518</v>
      </c>
      <c r="D198" s="813" t="s">
        <v>201</v>
      </c>
      <c r="E198" s="814"/>
      <c r="F198" s="814"/>
      <c r="G198" s="814"/>
      <c r="H198" s="814"/>
      <c r="I198" s="814"/>
      <c r="J198" s="814"/>
      <c r="K198" s="814"/>
      <c r="L198" s="815"/>
      <c r="M198" s="749"/>
      <c r="N198" s="749"/>
      <c r="O198" s="749"/>
      <c r="P198" s="749"/>
      <c r="Q198" s="749"/>
      <c r="R198" s="749"/>
      <c r="S198" s="749"/>
      <c r="T198" s="749"/>
      <c r="U198" s="749"/>
      <c r="V198" s="749"/>
      <c r="W198" s="749"/>
      <c r="X198" s="749"/>
      <c r="Y198" s="749"/>
      <c r="Z198" s="749"/>
      <c r="AA198" s="749"/>
      <c r="AB198" s="749"/>
      <c r="AC198" s="749"/>
      <c r="AD198" s="749"/>
      <c r="AI198">
        <f t="shared" si="26"/>
        <v>0</v>
      </c>
      <c r="AJ198">
        <f t="shared" si="27"/>
        <v>0</v>
      </c>
      <c r="AK198">
        <f t="shared" si="28"/>
        <v>0</v>
      </c>
    </row>
    <row r="199" spans="1:37" ht="15" customHeight="1">
      <c r="A199" s="49"/>
      <c r="B199" s="38"/>
      <c r="C199" s="38"/>
      <c r="D199" s="38"/>
      <c r="E199" s="38"/>
      <c r="F199" s="38"/>
      <c r="G199" s="38"/>
      <c r="H199" s="38"/>
      <c r="I199" s="38"/>
      <c r="J199" s="38"/>
      <c r="K199" s="38"/>
      <c r="L199" s="117" t="s">
        <v>2649</v>
      </c>
      <c r="M199" s="736">
        <f>IF(AND(SUM(M196:M198)=0,COUNTIF(M196:M198,"NS")&gt;0),"NS",IF(AND(SUM(M196:M198)=0,COUNTIF(M196:M198,0)&gt;0),0,IF(AND(SUM(M196:M198)=0,COUNTIF(M196:M198,"NA")&gt;0),"NA",SUM(M196:M198))))</f>
        <v>0</v>
      </c>
      <c r="N199" s="1085"/>
      <c r="O199" s="1085"/>
      <c r="P199" s="1085"/>
      <c r="Q199" s="1085"/>
      <c r="R199" s="1086"/>
      <c r="S199" s="736">
        <f>IF(AND(SUM(S196:S198)=0,COUNTIF(S196:S198,"NS")&gt;0),"NS",IF(AND(SUM(S196:S198)=0,COUNTIF(S196:S198,0)&gt;0),0,IF(AND(SUM(S196:S198)=0,COUNTIF(S196:S198,"NA")&gt;0),"NA",SUM(S196:S198))))</f>
        <v>0</v>
      </c>
      <c r="T199" s="1085"/>
      <c r="U199" s="1085"/>
      <c r="V199" s="1085"/>
      <c r="W199" s="1085"/>
      <c r="X199" s="1086"/>
      <c r="Y199" s="736">
        <f>IF(AND(SUM(Y196:Y198)=0,COUNTIF(Y196:Y198,"NS")&gt;0),"NS",IF(AND(SUM(Y196:Y198)=0,COUNTIF(Y196:Y198,0)&gt;0),0,IF(AND(SUM(Y196:Y198)=0,COUNTIF(Y196:Y198,"NA")&gt;0),"NA",SUM(Y196:Y198))))</f>
        <v>0</v>
      </c>
      <c r="Z199" s="1085"/>
      <c r="AA199" s="1085"/>
      <c r="AB199" s="1085"/>
      <c r="AC199" s="1085"/>
      <c r="AD199" s="1086"/>
      <c r="AI199">
        <f>SUM(AI196:AI198)</f>
        <v>0</v>
      </c>
      <c r="AK199" s="506">
        <f>SUM(AK196:AK198)</f>
        <v>0</v>
      </c>
    </row>
    <row r="200" spans="1:37" ht="15" customHeight="1">
      <c r="A200" s="49"/>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row>
    <row r="201" spans="1:37" ht="24" customHeight="1">
      <c r="A201" s="49"/>
      <c r="B201" s="38"/>
      <c r="C201" s="754" t="s">
        <v>2611</v>
      </c>
      <c r="D201" s="754"/>
      <c r="E201" s="754"/>
      <c r="F201" s="754"/>
      <c r="G201" s="754"/>
      <c r="H201" s="754"/>
      <c r="I201" s="754"/>
      <c r="J201" s="754"/>
      <c r="K201" s="754"/>
      <c r="L201" s="754"/>
      <c r="M201" s="754"/>
      <c r="N201" s="754"/>
      <c r="O201" s="754"/>
      <c r="P201" s="754"/>
      <c r="Q201" s="754"/>
      <c r="R201" s="754"/>
      <c r="S201" s="754"/>
      <c r="T201" s="754"/>
      <c r="U201" s="754"/>
      <c r="V201" s="754"/>
      <c r="W201" s="754"/>
      <c r="X201" s="754"/>
      <c r="Y201" s="754"/>
      <c r="Z201" s="754"/>
      <c r="AA201" s="754"/>
      <c r="AB201" s="754"/>
      <c r="AC201" s="754"/>
      <c r="AD201" s="754"/>
    </row>
    <row r="202" spans="1:37" ht="60" customHeight="1">
      <c r="A202" s="49"/>
      <c r="B202" s="38"/>
      <c r="C202" s="851"/>
      <c r="D202" s="851"/>
      <c r="E202" s="851"/>
      <c r="F202" s="851"/>
      <c r="G202" s="851"/>
      <c r="H202" s="851"/>
      <c r="I202" s="851"/>
      <c r="J202" s="851"/>
      <c r="K202" s="851"/>
      <c r="L202" s="851"/>
      <c r="M202" s="851"/>
      <c r="N202" s="851"/>
      <c r="O202" s="851"/>
      <c r="P202" s="851"/>
      <c r="Q202" s="851"/>
      <c r="R202" s="851"/>
      <c r="S202" s="851"/>
      <c r="T202" s="851"/>
      <c r="U202" s="851"/>
      <c r="V202" s="851"/>
      <c r="W202" s="851"/>
      <c r="X202" s="851"/>
      <c r="Y202" s="851"/>
      <c r="Z202" s="851"/>
      <c r="AA202" s="851"/>
      <c r="AB202" s="851"/>
      <c r="AC202" s="851"/>
      <c r="AD202" s="851"/>
    </row>
    <row r="203" spans="1:37" ht="15" customHeight="1">
      <c r="A203" s="49"/>
      <c r="B203" s="794" t="str">
        <f>IF(AG196=0,"","Favor de ingresar toda la información requerida en la pregunta")</f>
        <v/>
      </c>
      <c r="C203" s="794"/>
      <c r="D203" s="794"/>
      <c r="E203" s="794"/>
      <c r="F203" s="794"/>
      <c r="G203" s="794"/>
      <c r="H203" s="794"/>
      <c r="I203" s="794"/>
      <c r="J203" s="794"/>
      <c r="K203" s="794"/>
      <c r="L203" s="794"/>
      <c r="M203" s="794"/>
      <c r="N203" s="794"/>
      <c r="O203" s="794"/>
      <c r="P203" s="794"/>
      <c r="Q203" s="794"/>
      <c r="R203" s="794"/>
      <c r="S203" s="794"/>
      <c r="T203" s="794"/>
      <c r="U203" s="794"/>
      <c r="V203" s="794"/>
      <c r="W203" s="794"/>
      <c r="X203" s="794"/>
      <c r="Y203" s="794"/>
      <c r="Z203" s="794"/>
      <c r="AA203" s="794"/>
      <c r="AB203" s="794"/>
      <c r="AC203" s="794"/>
      <c r="AD203" s="794"/>
      <c r="AE203" s="794"/>
    </row>
    <row r="204" spans="1:37" ht="15" customHeight="1">
      <c r="A204" s="110"/>
      <c r="B204" s="1087" t="str">
        <f>IF($C$33&lt;&gt;1,"",IF(COUNTIF(M196:AD198,"NS")&lt;&gt;0,"Alerta: debido a que cuenta con registros NS, debe proporcionar una justificación en el area de comentarios al final de la pregunta",""))</f>
        <v/>
      </c>
      <c r="C204" s="1087"/>
      <c r="D204" s="1087"/>
      <c r="E204" s="1087"/>
      <c r="F204" s="1087"/>
      <c r="G204" s="1087"/>
      <c r="H204" s="1087"/>
      <c r="I204" s="1087"/>
      <c r="J204" s="1087"/>
      <c r="K204" s="1087"/>
      <c r="L204" s="1087"/>
      <c r="M204" s="1087"/>
      <c r="N204" s="1087"/>
      <c r="O204" s="1087"/>
      <c r="P204" s="1087"/>
      <c r="Q204" s="1087"/>
      <c r="R204" s="1087"/>
      <c r="S204" s="1087"/>
      <c r="T204" s="1087"/>
      <c r="U204" s="1087"/>
      <c r="V204" s="1087"/>
      <c r="W204" s="1087"/>
      <c r="X204" s="1087"/>
      <c r="Y204" s="1087"/>
      <c r="Z204" s="1087"/>
      <c r="AA204" s="1087"/>
      <c r="AB204" s="1087"/>
      <c r="AC204" s="1087"/>
      <c r="AD204" s="1087"/>
      <c r="AE204" s="1087"/>
    </row>
    <row r="205" spans="1:37" ht="15" customHeight="1">
      <c r="A205" s="49"/>
      <c r="B205" s="1003" t="str">
        <f>IF(AH196&gt;0,"Revise la información capturada, ya que tiene datos ingresados en celdas que están sombreadas","")</f>
        <v/>
      </c>
      <c r="C205" s="1003"/>
      <c r="D205" s="1003"/>
      <c r="E205" s="1003"/>
      <c r="F205" s="1003"/>
      <c r="G205" s="1003"/>
      <c r="H205" s="1003"/>
      <c r="I205" s="1003"/>
      <c r="J205" s="1003"/>
      <c r="K205" s="1003"/>
      <c r="L205" s="1003"/>
      <c r="M205" s="1003"/>
      <c r="N205" s="1003"/>
      <c r="O205" s="1003"/>
      <c r="P205" s="1003"/>
      <c r="Q205" s="1003"/>
      <c r="R205" s="1003"/>
      <c r="S205" s="1003"/>
      <c r="T205" s="1003"/>
      <c r="U205" s="1003"/>
      <c r="V205" s="1003"/>
      <c r="W205" s="1003"/>
      <c r="X205" s="1003"/>
      <c r="Y205" s="1003"/>
      <c r="Z205" s="1003"/>
      <c r="AA205" s="1003"/>
      <c r="AB205" s="1003"/>
      <c r="AC205" s="1003"/>
      <c r="AD205" s="1003"/>
      <c r="AE205" s="1003"/>
    </row>
    <row r="206" spans="1:37" ht="15" customHeight="1">
      <c r="A206" s="110"/>
      <c r="B206" s="1003" t="str">
        <f>IF($C$33&lt;&gt;1,"",IF(AK199&gt;0,"Favor de revisar la suma y consistencia de totales y/o subtotales por filas (numéricos y NS)",""))</f>
        <v/>
      </c>
      <c r="C206" s="1003"/>
      <c r="D206" s="1003"/>
      <c r="E206" s="1003"/>
      <c r="F206" s="1003"/>
      <c r="G206" s="1003"/>
      <c r="H206" s="1003"/>
      <c r="I206" s="1003"/>
      <c r="J206" s="1003"/>
      <c r="K206" s="1003"/>
      <c r="L206" s="1003"/>
      <c r="M206" s="1003"/>
      <c r="N206" s="1003"/>
      <c r="O206" s="1003"/>
      <c r="P206" s="1003"/>
      <c r="Q206" s="1003"/>
      <c r="R206" s="1003"/>
      <c r="S206" s="1003"/>
      <c r="T206" s="1003"/>
      <c r="U206" s="1003"/>
      <c r="V206" s="1003"/>
      <c r="W206" s="1003"/>
      <c r="X206" s="1003"/>
      <c r="Y206" s="1003"/>
      <c r="Z206" s="1003"/>
      <c r="AA206" s="1003"/>
      <c r="AB206" s="1003"/>
      <c r="AC206" s="1003"/>
      <c r="AD206" s="1003"/>
      <c r="AE206" s="1003"/>
    </row>
    <row r="207" spans="1:37" ht="15" customHeight="1">
      <c r="A207" s="49"/>
      <c r="B207" s="1003" t="str">
        <f>IF($C$33&lt;&gt;1,"",IF(AND($P$33=M199,$U$33=S199,$Z$33=Y199),"","Las cantidades de Hombres y Mujeres debe corresponder con los datos reportados en la preg. 11.1"))</f>
        <v/>
      </c>
      <c r="C207" s="1003"/>
      <c r="D207" s="1003"/>
      <c r="E207" s="1003"/>
      <c r="F207" s="1003"/>
      <c r="G207" s="1003"/>
      <c r="H207" s="1003"/>
      <c r="I207" s="1003"/>
      <c r="J207" s="1003"/>
      <c r="K207" s="1003"/>
      <c r="L207" s="1003"/>
      <c r="M207" s="1003"/>
      <c r="N207" s="1003"/>
      <c r="O207" s="1003"/>
      <c r="P207" s="1003"/>
      <c r="Q207" s="1003"/>
      <c r="R207" s="1003"/>
      <c r="S207" s="1003"/>
      <c r="T207" s="1003"/>
      <c r="U207" s="1003"/>
      <c r="V207" s="1003"/>
      <c r="W207" s="1003"/>
      <c r="X207" s="1003"/>
      <c r="Y207" s="1003"/>
      <c r="Z207" s="1003"/>
      <c r="AA207" s="1003"/>
      <c r="AB207" s="1003"/>
      <c r="AC207" s="1003"/>
      <c r="AD207" s="1003"/>
      <c r="AE207" s="1003"/>
    </row>
    <row r="208" spans="1:37" ht="15" customHeight="1">
      <c r="A208" s="49"/>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row>
    <row r="209" spans="1:37" ht="24" customHeight="1">
      <c r="A209" s="49" t="s">
        <v>5622</v>
      </c>
      <c r="B209" s="829" t="s">
        <v>5623</v>
      </c>
      <c r="C209" s="829"/>
      <c r="D209" s="829"/>
      <c r="E209" s="829"/>
      <c r="F209" s="829"/>
      <c r="G209" s="829"/>
      <c r="H209" s="829"/>
      <c r="I209" s="829"/>
      <c r="J209" s="829"/>
      <c r="K209" s="829"/>
      <c r="L209" s="829"/>
      <c r="M209" s="829"/>
      <c r="N209" s="829"/>
      <c r="O209" s="829"/>
      <c r="P209" s="829"/>
      <c r="Q209" s="829"/>
      <c r="R209" s="829"/>
      <c r="S209" s="829"/>
      <c r="T209" s="829"/>
      <c r="U209" s="829"/>
      <c r="V209" s="829"/>
      <c r="W209" s="829"/>
      <c r="X209" s="829"/>
      <c r="Y209" s="829"/>
      <c r="Z209" s="829"/>
      <c r="AA209" s="829"/>
      <c r="AB209" s="829"/>
      <c r="AC209" s="829"/>
      <c r="AD209" s="829"/>
    </row>
    <row r="210" spans="1:37" ht="15" customHeight="1">
      <c r="A210" s="49"/>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38"/>
      <c r="AC210" s="38"/>
      <c r="AD210" s="38"/>
    </row>
    <row r="211" spans="1:37" ht="15" customHeight="1">
      <c r="A211" s="49"/>
      <c r="B211" s="38"/>
      <c r="C211" s="880" t="s">
        <v>5624</v>
      </c>
      <c r="D211" s="880"/>
      <c r="E211" s="880"/>
      <c r="F211" s="880"/>
      <c r="G211" s="880"/>
      <c r="H211" s="880"/>
      <c r="I211" s="880"/>
      <c r="J211" s="880"/>
      <c r="K211" s="880"/>
      <c r="L211" s="880"/>
      <c r="M211" s="732" t="s">
        <v>5601</v>
      </c>
      <c r="N211" s="732"/>
      <c r="O211" s="732"/>
      <c r="P211" s="732"/>
      <c r="Q211" s="732"/>
      <c r="R211" s="732"/>
      <c r="S211" s="732"/>
      <c r="T211" s="732"/>
      <c r="U211" s="732"/>
      <c r="V211" s="732"/>
      <c r="W211" s="732"/>
      <c r="X211" s="732"/>
      <c r="Y211" s="732"/>
      <c r="Z211" s="732"/>
      <c r="AA211" s="732"/>
      <c r="AB211" s="732"/>
      <c r="AC211" s="732"/>
      <c r="AD211" s="732"/>
    </row>
    <row r="212" spans="1:37" ht="15" customHeight="1">
      <c r="A212" s="49"/>
      <c r="B212" s="38"/>
      <c r="C212" s="880"/>
      <c r="D212" s="880"/>
      <c r="E212" s="880"/>
      <c r="F212" s="880"/>
      <c r="G212" s="880"/>
      <c r="H212" s="880"/>
      <c r="I212" s="880"/>
      <c r="J212" s="880"/>
      <c r="K212" s="880"/>
      <c r="L212" s="880"/>
      <c r="M212" s="987" t="s">
        <v>2628</v>
      </c>
      <c r="N212" s="988"/>
      <c r="O212" s="988"/>
      <c r="P212" s="988"/>
      <c r="Q212" s="988"/>
      <c r="R212" s="988"/>
      <c r="S212" s="989" t="s">
        <v>2629</v>
      </c>
      <c r="T212" s="990"/>
      <c r="U212" s="990"/>
      <c r="V212" s="990"/>
      <c r="W212" s="990"/>
      <c r="X212" s="990"/>
      <c r="Y212" s="989" t="s">
        <v>2630</v>
      </c>
      <c r="Z212" s="990"/>
      <c r="AA212" s="990"/>
      <c r="AB212" s="990"/>
      <c r="AC212" s="990"/>
      <c r="AD212" s="990"/>
      <c r="AG212" t="s">
        <v>2586</v>
      </c>
      <c r="AH212" t="s">
        <v>4599</v>
      </c>
      <c r="AI212" t="s">
        <v>2590</v>
      </c>
      <c r="AJ212" t="s">
        <v>3163</v>
      </c>
      <c r="AK212" t="s">
        <v>4564</v>
      </c>
    </row>
    <row r="213" spans="1:37" ht="15" customHeight="1">
      <c r="A213" s="49"/>
      <c r="B213" s="38"/>
      <c r="C213" s="97" t="s">
        <v>2516</v>
      </c>
      <c r="D213" s="813" t="s">
        <v>4664</v>
      </c>
      <c r="E213" s="814"/>
      <c r="F213" s="814"/>
      <c r="G213" s="814"/>
      <c r="H213" s="814"/>
      <c r="I213" s="814"/>
      <c r="J213" s="814"/>
      <c r="K213" s="814"/>
      <c r="L213" s="815"/>
      <c r="M213" s="749"/>
      <c r="N213" s="749"/>
      <c r="O213" s="749"/>
      <c r="P213" s="749"/>
      <c r="Q213" s="749"/>
      <c r="R213" s="749"/>
      <c r="S213" s="749"/>
      <c r="T213" s="749"/>
      <c r="U213" s="749"/>
      <c r="V213" s="749"/>
      <c r="W213" s="749"/>
      <c r="X213" s="749"/>
      <c r="Y213" s="749"/>
      <c r="Z213" s="749"/>
      <c r="AA213" s="749"/>
      <c r="AB213" s="749"/>
      <c r="AC213" s="749"/>
      <c r="AD213" s="749"/>
      <c r="AG213" s="506">
        <f>IF(OR($C$33&gt;1,$C$33=""),0,IF(COUNTBLANK(M213:AD215)=45,0,1))</f>
        <v>0</v>
      </c>
      <c r="AH213" s="506">
        <f>IF($C$33&lt;&gt;1,IF(COUNTBLANK(M213:AD215)=54,0,1),0)</f>
        <v>0</v>
      </c>
      <c r="AI213">
        <f>COUNTIF(S213:AD213,"NS")</f>
        <v>0</v>
      </c>
      <c r="AJ213">
        <f>SUM(S213:AD213)</f>
        <v>0</v>
      </c>
      <c r="AK213">
        <f>IF(COUNTIF(M213:AD213,"NA")=3,0,IF(COUNTA(M213:AD213)=0,0,IF(OR(AND(M213=0,AI213&gt;0),AND(M213="ns",AJ213&gt;0),AND(M213="ns",AI213=0,AJ213=0)),1,IF(OR(AND(M213&gt;0,AI213=2),AND(M213="ns",AI213=2),AND(M213="ns",AJ213=0,AI213&gt;0),M213=AJ213),0,1))))</f>
        <v>0</v>
      </c>
    </row>
    <row r="214" spans="1:37" ht="15" customHeight="1">
      <c r="A214" s="49"/>
      <c r="B214" s="38"/>
      <c r="C214" s="98" t="s">
        <v>2517</v>
      </c>
      <c r="D214" s="813" t="s">
        <v>4665</v>
      </c>
      <c r="E214" s="814"/>
      <c r="F214" s="814"/>
      <c r="G214" s="814"/>
      <c r="H214" s="814"/>
      <c r="I214" s="814"/>
      <c r="J214" s="814"/>
      <c r="K214" s="814"/>
      <c r="L214" s="815"/>
      <c r="M214" s="749"/>
      <c r="N214" s="749"/>
      <c r="O214" s="749"/>
      <c r="P214" s="749"/>
      <c r="Q214" s="749"/>
      <c r="R214" s="749"/>
      <c r="S214" s="749"/>
      <c r="T214" s="749"/>
      <c r="U214" s="749"/>
      <c r="V214" s="749"/>
      <c r="W214" s="749"/>
      <c r="X214" s="749"/>
      <c r="Y214" s="749"/>
      <c r="Z214" s="749"/>
      <c r="AA214" s="749"/>
      <c r="AB214" s="749"/>
      <c r="AC214" s="749"/>
      <c r="AD214" s="749"/>
      <c r="AI214">
        <f t="shared" ref="AI214:AI215" si="29">COUNTIF(S214:AD214,"NS")</f>
        <v>0</v>
      </c>
      <c r="AJ214">
        <f t="shared" ref="AJ214:AJ215" si="30">SUM(S214:AD214)</f>
        <v>0</v>
      </c>
      <c r="AK214">
        <f t="shared" ref="AK214:AK215" si="31">IF(COUNTIF(M214:AD214,"NA")=3,0,IF(COUNTA(M214:AD214)=0,0,IF(OR(AND(M214=0,AI214&gt;0),AND(M214="ns",AJ214&gt;0),AND(M214="ns",AI214=0,AJ214=0)),1,IF(OR(AND(M214&gt;0,AI214=2),AND(M214="ns",AI214=2),AND(M214="ns",AJ214=0,AI214&gt;0),M214=AJ214),0,1))))</f>
        <v>0</v>
      </c>
    </row>
    <row r="215" spans="1:37" ht="15" customHeight="1">
      <c r="A215" s="49"/>
      <c r="B215" s="38"/>
      <c r="C215" s="98" t="s">
        <v>2518</v>
      </c>
      <c r="D215" s="813" t="s">
        <v>201</v>
      </c>
      <c r="E215" s="814"/>
      <c r="F215" s="814"/>
      <c r="G215" s="814"/>
      <c r="H215" s="814"/>
      <c r="I215" s="814"/>
      <c r="J215" s="814"/>
      <c r="K215" s="814"/>
      <c r="L215" s="815"/>
      <c r="M215" s="749"/>
      <c r="N215" s="749"/>
      <c r="O215" s="749"/>
      <c r="P215" s="749"/>
      <c r="Q215" s="749"/>
      <c r="R215" s="749"/>
      <c r="S215" s="749"/>
      <c r="T215" s="749"/>
      <c r="U215" s="749"/>
      <c r="V215" s="749"/>
      <c r="W215" s="749"/>
      <c r="X215" s="749"/>
      <c r="Y215" s="749"/>
      <c r="Z215" s="749"/>
      <c r="AA215" s="749"/>
      <c r="AB215" s="749"/>
      <c r="AC215" s="749"/>
      <c r="AD215" s="749"/>
      <c r="AI215">
        <f t="shared" si="29"/>
        <v>0</v>
      </c>
      <c r="AJ215">
        <f t="shared" si="30"/>
        <v>0</v>
      </c>
      <c r="AK215">
        <f t="shared" si="31"/>
        <v>0</v>
      </c>
    </row>
    <row r="216" spans="1:37" ht="15" customHeight="1">
      <c r="A216" s="49"/>
      <c r="B216" s="38"/>
      <c r="C216" s="38"/>
      <c r="D216" s="38"/>
      <c r="E216" s="38"/>
      <c r="F216" s="38"/>
      <c r="G216" s="38"/>
      <c r="H216" s="38"/>
      <c r="I216" s="38"/>
      <c r="J216" s="38"/>
      <c r="K216" s="38"/>
      <c r="L216" s="117" t="s">
        <v>2649</v>
      </c>
      <c r="M216" s="736">
        <f>IF(AND(SUM(M213:M215)=0,COUNTIF(M213:M215,"NS")&gt;0),"NS",IF(AND(SUM(M213:M215)=0,COUNTIF(M213:M215,0)&gt;0),0,IF(AND(SUM(M213:M215)=0,COUNTIF(M213:M215,"NA")&gt;0),"NA",SUM(M213:M215))))</f>
        <v>0</v>
      </c>
      <c r="N216" s="1085"/>
      <c r="O216" s="1085"/>
      <c r="P216" s="1085"/>
      <c r="Q216" s="1085"/>
      <c r="R216" s="1086"/>
      <c r="S216" s="736">
        <f>IF(AND(SUM(S213:S215)=0,COUNTIF(S213:S215,"NS")&gt;0),"NS",IF(AND(SUM(S213:S215)=0,COUNTIF(S213:S215,0)&gt;0),0,IF(AND(SUM(S213:S215)=0,COUNTIF(S213:S215,"NA")&gt;0),"NA",SUM(S213:S215))))</f>
        <v>0</v>
      </c>
      <c r="T216" s="1085"/>
      <c r="U216" s="1085"/>
      <c r="V216" s="1085"/>
      <c r="W216" s="1085"/>
      <c r="X216" s="1086"/>
      <c r="Y216" s="736">
        <f>IF(AND(SUM(Y213:Y215)=0,COUNTIF(Y213:Y215,"NS")&gt;0),"NS",IF(AND(SUM(Y213:Y215)=0,COUNTIF(Y213:Y215,0)&gt;0),0,IF(AND(SUM(Y213:Y215)=0,COUNTIF(Y213:Y215,"NA")&gt;0),"NA",SUM(Y213:Y215))))</f>
        <v>0</v>
      </c>
      <c r="Z216" s="1085"/>
      <c r="AA216" s="1085"/>
      <c r="AB216" s="1085"/>
      <c r="AC216" s="1085"/>
      <c r="AD216" s="1086"/>
      <c r="AI216">
        <f>SUM(AI213:AI215)</f>
        <v>0</v>
      </c>
      <c r="AK216" s="506">
        <f>SUM(AK213:AK215)</f>
        <v>0</v>
      </c>
    </row>
    <row r="217" spans="1:37" ht="15" customHeight="1">
      <c r="A217" s="49"/>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c r="AB217" s="38"/>
      <c r="AC217" s="38"/>
      <c r="AD217" s="38"/>
    </row>
    <row r="218" spans="1:37" ht="24" customHeight="1">
      <c r="A218" s="49"/>
      <c r="B218" s="38"/>
      <c r="C218" s="754" t="s">
        <v>2611</v>
      </c>
      <c r="D218" s="754"/>
      <c r="E218" s="754"/>
      <c r="F218" s="754"/>
      <c r="G218" s="754"/>
      <c r="H218" s="754"/>
      <c r="I218" s="754"/>
      <c r="J218" s="754"/>
      <c r="K218" s="754"/>
      <c r="L218" s="754"/>
      <c r="M218" s="754"/>
      <c r="N218" s="754"/>
      <c r="O218" s="754"/>
      <c r="P218" s="754"/>
      <c r="Q218" s="754"/>
      <c r="R218" s="754"/>
      <c r="S218" s="754"/>
      <c r="T218" s="754"/>
      <c r="U218" s="754"/>
      <c r="V218" s="754"/>
      <c r="W218" s="754"/>
      <c r="X218" s="754"/>
      <c r="Y218" s="754"/>
      <c r="Z218" s="754"/>
      <c r="AA218" s="754"/>
      <c r="AB218" s="754"/>
      <c r="AC218" s="754"/>
      <c r="AD218" s="754"/>
    </row>
    <row r="219" spans="1:37" ht="60" customHeight="1">
      <c r="A219" s="49"/>
      <c r="B219" s="38"/>
      <c r="C219" s="851"/>
      <c r="D219" s="851"/>
      <c r="E219" s="851"/>
      <c r="F219" s="851"/>
      <c r="G219" s="851"/>
      <c r="H219" s="851"/>
      <c r="I219" s="851"/>
      <c r="J219" s="851"/>
      <c r="K219" s="851"/>
      <c r="L219" s="851"/>
      <c r="M219" s="851"/>
      <c r="N219" s="851"/>
      <c r="O219" s="851"/>
      <c r="P219" s="851"/>
      <c r="Q219" s="851"/>
      <c r="R219" s="851"/>
      <c r="S219" s="851"/>
      <c r="T219" s="851"/>
      <c r="U219" s="851"/>
      <c r="V219" s="851"/>
      <c r="W219" s="851"/>
      <c r="X219" s="851"/>
      <c r="Y219" s="851"/>
      <c r="Z219" s="851"/>
      <c r="AA219" s="851"/>
      <c r="AB219" s="851"/>
      <c r="AC219" s="851"/>
      <c r="AD219" s="851"/>
    </row>
    <row r="220" spans="1:37" ht="15" customHeight="1">
      <c r="A220" s="49"/>
      <c r="B220" s="794" t="str">
        <f>IF(AG213=0,"","Favor de ingresar toda la información requerida en la pregunta")</f>
        <v/>
      </c>
      <c r="C220" s="794"/>
      <c r="D220" s="794"/>
      <c r="E220" s="794"/>
      <c r="F220" s="794"/>
      <c r="G220" s="794"/>
      <c r="H220" s="794"/>
      <c r="I220" s="794"/>
      <c r="J220" s="794"/>
      <c r="K220" s="794"/>
      <c r="L220" s="794"/>
      <c r="M220" s="794"/>
      <c r="N220" s="794"/>
      <c r="O220" s="794"/>
      <c r="P220" s="794"/>
      <c r="Q220" s="794"/>
      <c r="R220" s="794"/>
      <c r="S220" s="794"/>
      <c r="T220" s="794"/>
      <c r="U220" s="794"/>
      <c r="V220" s="794"/>
      <c r="W220" s="794"/>
      <c r="X220" s="794"/>
      <c r="Y220" s="794"/>
      <c r="Z220" s="794"/>
      <c r="AA220" s="794"/>
      <c r="AB220" s="794"/>
      <c r="AC220" s="794"/>
      <c r="AD220" s="794"/>
      <c r="AE220" s="794"/>
    </row>
    <row r="221" spans="1:37" ht="15" customHeight="1">
      <c r="A221" s="110"/>
      <c r="B221" s="1087" t="str">
        <f>IF($C$33&lt;&gt;1,"",IF(COUNTIF(M213:AD215,"NS")&lt;&gt;0,"Alerta: debido a que cuenta con registros NS, debe proporcionar una justificación en el area de comentarios al final de la pregunta",""))</f>
        <v/>
      </c>
      <c r="C221" s="1087"/>
      <c r="D221" s="1087"/>
      <c r="E221" s="1087"/>
      <c r="F221" s="1087"/>
      <c r="G221" s="1087"/>
      <c r="H221" s="1087"/>
      <c r="I221" s="1087"/>
      <c r="J221" s="1087"/>
      <c r="K221" s="1087"/>
      <c r="L221" s="1087"/>
      <c r="M221" s="1087"/>
      <c r="N221" s="1087"/>
      <c r="O221" s="1087"/>
      <c r="P221" s="1087"/>
      <c r="Q221" s="1087"/>
      <c r="R221" s="1087"/>
      <c r="S221" s="1087"/>
      <c r="T221" s="1087"/>
      <c r="U221" s="1087"/>
      <c r="V221" s="1087"/>
      <c r="W221" s="1087"/>
      <c r="X221" s="1087"/>
      <c r="Y221" s="1087"/>
      <c r="Z221" s="1087"/>
      <c r="AA221" s="1087"/>
      <c r="AB221" s="1087"/>
      <c r="AC221" s="1087"/>
      <c r="AD221" s="1087"/>
      <c r="AE221" s="1087"/>
    </row>
    <row r="222" spans="1:37" ht="15" customHeight="1">
      <c r="A222" s="49"/>
      <c r="B222" s="1003" t="str">
        <f>IF(AH213&gt;0,"Revise la información capturada, ya que tiene datos ingresados en celdas que están sombreadas","")</f>
        <v/>
      </c>
      <c r="C222" s="1003"/>
      <c r="D222" s="1003"/>
      <c r="E222" s="1003"/>
      <c r="F222" s="1003"/>
      <c r="G222" s="1003"/>
      <c r="H222" s="1003"/>
      <c r="I222" s="1003"/>
      <c r="J222" s="1003"/>
      <c r="K222" s="1003"/>
      <c r="L222" s="1003"/>
      <c r="M222" s="1003"/>
      <c r="N222" s="1003"/>
      <c r="O222" s="1003"/>
      <c r="P222" s="1003"/>
      <c r="Q222" s="1003"/>
      <c r="R222" s="1003"/>
      <c r="S222" s="1003"/>
      <c r="T222" s="1003"/>
      <c r="U222" s="1003"/>
      <c r="V222" s="1003"/>
      <c r="W222" s="1003"/>
      <c r="X222" s="1003"/>
      <c r="Y222" s="1003"/>
      <c r="Z222" s="1003"/>
      <c r="AA222" s="1003"/>
      <c r="AB222" s="1003"/>
      <c r="AC222" s="1003"/>
      <c r="AD222" s="1003"/>
      <c r="AE222" s="1003"/>
    </row>
    <row r="223" spans="1:37" ht="15" customHeight="1">
      <c r="A223" s="110"/>
      <c r="B223" s="1003" t="str">
        <f>IF($C$33&lt;&gt;1,"",IF(AK216&gt;0,"Favor de revisar la suma y consistencia de totales y/o subtotales por filas (numéricos y NS)",""))</f>
        <v/>
      </c>
      <c r="C223" s="1003"/>
      <c r="D223" s="1003"/>
      <c r="E223" s="1003"/>
      <c r="F223" s="1003"/>
      <c r="G223" s="1003"/>
      <c r="H223" s="1003"/>
      <c r="I223" s="1003"/>
      <c r="J223" s="1003"/>
      <c r="K223" s="1003"/>
      <c r="L223" s="1003"/>
      <c r="M223" s="1003"/>
      <c r="N223" s="1003"/>
      <c r="O223" s="1003"/>
      <c r="P223" s="1003"/>
      <c r="Q223" s="1003"/>
      <c r="R223" s="1003"/>
      <c r="S223" s="1003"/>
      <c r="T223" s="1003"/>
      <c r="U223" s="1003"/>
      <c r="V223" s="1003"/>
      <c r="W223" s="1003"/>
      <c r="X223" s="1003"/>
      <c r="Y223" s="1003"/>
      <c r="Z223" s="1003"/>
      <c r="AA223" s="1003"/>
      <c r="AB223" s="1003"/>
      <c r="AC223" s="1003"/>
      <c r="AD223" s="1003"/>
      <c r="AE223" s="1003"/>
    </row>
    <row r="224" spans="1:37" ht="15" customHeight="1">
      <c r="A224" s="49"/>
      <c r="B224" s="1003" t="str">
        <f>IF($C$33&lt;&gt;1,"",IF(AND($P$33=M216,$U$33=S216,$Z$33=Y216),"","Las cantidades de Hombres y Mujeres debe corresponder con los datos reportados en la preg. 11.1"))</f>
        <v/>
      </c>
      <c r="C224" s="1003"/>
      <c r="D224" s="1003"/>
      <c r="E224" s="1003"/>
      <c r="F224" s="1003"/>
      <c r="G224" s="1003"/>
      <c r="H224" s="1003"/>
      <c r="I224" s="1003"/>
      <c r="J224" s="1003"/>
      <c r="K224" s="1003"/>
      <c r="L224" s="1003"/>
      <c r="M224" s="1003"/>
      <c r="N224" s="1003"/>
      <c r="O224" s="1003"/>
      <c r="P224" s="1003"/>
      <c r="Q224" s="1003"/>
      <c r="R224" s="1003"/>
      <c r="S224" s="1003"/>
      <c r="T224" s="1003"/>
      <c r="U224" s="1003"/>
      <c r="V224" s="1003"/>
      <c r="W224" s="1003"/>
      <c r="X224" s="1003"/>
      <c r="Y224" s="1003"/>
      <c r="Z224" s="1003"/>
      <c r="AA224" s="1003"/>
      <c r="AB224" s="1003"/>
      <c r="AC224" s="1003"/>
      <c r="AD224" s="1003"/>
      <c r="AE224" s="1003"/>
    </row>
    <row r="225" spans="1:43" ht="15" customHeight="1">
      <c r="A225" s="49"/>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row>
    <row r="226" spans="1:43" ht="24" customHeight="1">
      <c r="A226" s="49" t="s">
        <v>5625</v>
      </c>
      <c r="B226" s="829" t="s">
        <v>5626</v>
      </c>
      <c r="C226" s="829"/>
      <c r="D226" s="829"/>
      <c r="E226" s="829"/>
      <c r="F226" s="829"/>
      <c r="G226" s="829"/>
      <c r="H226" s="829"/>
      <c r="I226" s="829"/>
      <c r="J226" s="829"/>
      <c r="K226" s="829"/>
      <c r="L226" s="829"/>
      <c r="M226" s="829"/>
      <c r="N226" s="829"/>
      <c r="O226" s="829"/>
      <c r="P226" s="829"/>
      <c r="Q226" s="829"/>
      <c r="R226" s="829"/>
      <c r="S226" s="829"/>
      <c r="T226" s="829"/>
      <c r="U226" s="829"/>
      <c r="V226" s="829"/>
      <c r="W226" s="829"/>
      <c r="X226" s="829"/>
      <c r="Y226" s="829"/>
      <c r="Z226" s="829"/>
      <c r="AA226" s="829"/>
      <c r="AB226" s="829"/>
      <c r="AC226" s="829"/>
      <c r="AD226" s="829"/>
    </row>
    <row r="227" spans="1:43" ht="24" customHeight="1">
      <c r="A227" s="50"/>
      <c r="B227" s="38"/>
      <c r="C227" s="754" t="s">
        <v>4674</v>
      </c>
      <c r="D227" s="754"/>
      <c r="E227" s="754"/>
      <c r="F227" s="754"/>
      <c r="G227" s="754"/>
      <c r="H227" s="754"/>
      <c r="I227" s="754"/>
      <c r="J227" s="754"/>
      <c r="K227" s="754"/>
      <c r="L227" s="754"/>
      <c r="M227" s="754"/>
      <c r="N227" s="754"/>
      <c r="O227" s="754"/>
      <c r="P227" s="754"/>
      <c r="Q227" s="754"/>
      <c r="R227" s="754"/>
      <c r="S227" s="754"/>
      <c r="T227" s="754"/>
      <c r="U227" s="754"/>
      <c r="V227" s="754"/>
      <c r="W227" s="754"/>
      <c r="X227" s="754"/>
      <c r="Y227" s="754"/>
      <c r="Z227" s="754"/>
      <c r="AA227" s="754"/>
      <c r="AB227" s="754"/>
      <c r="AC227" s="754"/>
      <c r="AD227" s="754"/>
    </row>
    <row r="228" spans="1:43" ht="36" customHeight="1">
      <c r="A228" s="49"/>
      <c r="B228" s="38"/>
      <c r="C228" s="754" t="s">
        <v>5627</v>
      </c>
      <c r="D228" s="754"/>
      <c r="E228" s="754"/>
      <c r="F228" s="754"/>
      <c r="G228" s="754"/>
      <c r="H228" s="754"/>
      <c r="I228" s="754"/>
      <c r="J228" s="754"/>
      <c r="K228" s="754"/>
      <c r="L228" s="754"/>
      <c r="M228" s="754"/>
      <c r="N228" s="754"/>
      <c r="O228" s="754"/>
      <c r="P228" s="754"/>
      <c r="Q228" s="754"/>
      <c r="R228" s="754"/>
      <c r="S228" s="754"/>
      <c r="T228" s="754"/>
      <c r="U228" s="754"/>
      <c r="V228" s="754"/>
      <c r="W228" s="754"/>
      <c r="X228" s="754"/>
      <c r="Y228" s="754"/>
      <c r="Z228" s="754"/>
      <c r="AA228" s="754"/>
      <c r="AB228" s="754"/>
      <c r="AC228" s="754"/>
      <c r="AD228" s="754"/>
    </row>
    <row r="229" spans="1:43" ht="36" customHeight="1">
      <c r="A229" s="49"/>
      <c r="B229" s="38"/>
      <c r="C229" s="754" t="s">
        <v>5628</v>
      </c>
      <c r="D229" s="754"/>
      <c r="E229" s="754"/>
      <c r="F229" s="754"/>
      <c r="G229" s="754"/>
      <c r="H229" s="754"/>
      <c r="I229" s="754"/>
      <c r="J229" s="754"/>
      <c r="K229" s="754"/>
      <c r="L229" s="754"/>
      <c r="M229" s="754"/>
      <c r="N229" s="754"/>
      <c r="O229" s="754"/>
      <c r="P229" s="754"/>
      <c r="Q229" s="754"/>
      <c r="R229" s="754"/>
      <c r="S229" s="754"/>
      <c r="T229" s="754"/>
      <c r="U229" s="754"/>
      <c r="V229" s="754"/>
      <c r="W229" s="754"/>
      <c r="X229" s="754"/>
      <c r="Y229" s="754"/>
      <c r="Z229" s="754"/>
      <c r="AA229" s="754"/>
      <c r="AB229" s="754"/>
      <c r="AC229" s="754"/>
      <c r="AD229" s="754"/>
    </row>
    <row r="230" spans="1:43" ht="24" customHeight="1">
      <c r="A230" s="49"/>
      <c r="B230" s="38"/>
      <c r="C230" s="754" t="s">
        <v>4677</v>
      </c>
      <c r="D230" s="754"/>
      <c r="E230" s="754"/>
      <c r="F230" s="754"/>
      <c r="G230" s="754"/>
      <c r="H230" s="754"/>
      <c r="I230" s="754"/>
      <c r="J230" s="754"/>
      <c r="K230" s="754"/>
      <c r="L230" s="754"/>
      <c r="M230" s="754"/>
      <c r="N230" s="754"/>
      <c r="O230" s="754"/>
      <c r="P230" s="754"/>
      <c r="Q230" s="754"/>
      <c r="R230" s="754"/>
      <c r="S230" s="754"/>
      <c r="T230" s="754"/>
      <c r="U230" s="754"/>
      <c r="V230" s="754"/>
      <c r="W230" s="754"/>
      <c r="X230" s="754"/>
      <c r="Y230" s="754"/>
      <c r="Z230" s="754"/>
      <c r="AA230" s="754"/>
      <c r="AB230" s="754"/>
      <c r="AC230" s="754"/>
      <c r="AD230" s="754"/>
    </row>
    <row r="231" spans="1:43" ht="15" customHeight="1">
      <c r="A231" s="49"/>
      <c r="B231" s="38"/>
      <c r="C231" s="75"/>
      <c r="D231" s="75"/>
      <c r="E231" s="75"/>
      <c r="F231" s="75"/>
      <c r="G231" s="75"/>
      <c r="H231" s="75"/>
      <c r="I231" s="75"/>
      <c r="J231" s="75"/>
      <c r="K231" s="75"/>
      <c r="L231" s="75"/>
      <c r="M231" s="75"/>
      <c r="N231" s="75"/>
      <c r="O231" s="75"/>
      <c r="P231" s="75"/>
      <c r="Q231" s="75"/>
      <c r="R231" s="75"/>
      <c r="S231" s="75"/>
      <c r="T231" s="75"/>
      <c r="U231" s="75"/>
      <c r="V231" s="75"/>
      <c r="W231" s="75"/>
      <c r="X231" s="75"/>
      <c r="Y231" s="75"/>
      <c r="Z231" s="75"/>
      <c r="AA231" s="75"/>
      <c r="AB231" s="75"/>
      <c r="AC231" s="75"/>
      <c r="AD231" s="75"/>
    </row>
    <row r="232" spans="1:43" ht="15" customHeight="1">
      <c r="A232" s="49"/>
      <c r="B232" s="38"/>
      <c r="C232" s="880" t="s">
        <v>4678</v>
      </c>
      <c r="D232" s="880"/>
      <c r="E232" s="880"/>
      <c r="F232" s="880"/>
      <c r="G232" s="880"/>
      <c r="H232" s="880"/>
      <c r="I232" s="880"/>
      <c r="J232" s="880"/>
      <c r="K232" s="880"/>
      <c r="L232" s="880"/>
      <c r="M232" s="732" t="s">
        <v>5601</v>
      </c>
      <c r="N232" s="732"/>
      <c r="O232" s="732"/>
      <c r="P232" s="732"/>
      <c r="Q232" s="732"/>
      <c r="R232" s="732"/>
      <c r="S232" s="732"/>
      <c r="T232" s="732"/>
      <c r="U232" s="732"/>
      <c r="V232" s="732"/>
      <c r="W232" s="732"/>
      <c r="X232" s="732"/>
      <c r="Y232" s="732"/>
      <c r="Z232" s="732"/>
      <c r="AA232" s="732"/>
      <c r="AB232" s="732"/>
      <c r="AC232" s="732"/>
      <c r="AD232" s="732"/>
    </row>
    <row r="233" spans="1:43" ht="15" customHeight="1">
      <c r="A233" s="110"/>
      <c r="B233" s="57"/>
      <c r="C233" s="880"/>
      <c r="D233" s="880"/>
      <c r="E233" s="880"/>
      <c r="F233" s="880"/>
      <c r="G233" s="880"/>
      <c r="H233" s="880"/>
      <c r="I233" s="880"/>
      <c r="J233" s="880"/>
      <c r="K233" s="880"/>
      <c r="L233" s="880"/>
      <c r="M233" s="987" t="s">
        <v>2628</v>
      </c>
      <c r="N233" s="988"/>
      <c r="O233" s="988"/>
      <c r="P233" s="988"/>
      <c r="Q233" s="988"/>
      <c r="R233" s="988"/>
      <c r="S233" s="989" t="s">
        <v>2629</v>
      </c>
      <c r="T233" s="990"/>
      <c r="U233" s="990"/>
      <c r="V233" s="990"/>
      <c r="W233" s="990"/>
      <c r="X233" s="990"/>
      <c r="Y233" s="989" t="s">
        <v>2630</v>
      </c>
      <c r="Z233" s="990"/>
      <c r="AA233" s="990"/>
      <c r="AB233" s="990"/>
      <c r="AC233" s="990"/>
      <c r="AD233" s="990"/>
      <c r="AF233" s="679" t="s">
        <v>4680</v>
      </c>
      <c r="AG233" t="s">
        <v>2586</v>
      </c>
      <c r="AH233" t="s">
        <v>4599</v>
      </c>
      <c r="AI233" t="s">
        <v>2590</v>
      </c>
      <c r="AJ233" t="s">
        <v>3163</v>
      </c>
      <c r="AK233" t="s">
        <v>4564</v>
      </c>
      <c r="AL233" t="s">
        <v>4682</v>
      </c>
      <c r="AM233"/>
      <c r="AN233"/>
      <c r="AO233" t="s">
        <v>4730</v>
      </c>
      <c r="AP233"/>
      <c r="AQ233"/>
    </row>
    <row r="234" spans="1:43" ht="15" customHeight="1">
      <c r="A234" s="110"/>
      <c r="B234" s="57"/>
      <c r="C234" s="98" t="s">
        <v>2516</v>
      </c>
      <c r="D234" s="813" t="s">
        <v>4683</v>
      </c>
      <c r="E234" s="814"/>
      <c r="F234" s="814"/>
      <c r="G234" s="814"/>
      <c r="H234" s="814"/>
      <c r="I234" s="814"/>
      <c r="J234" s="814"/>
      <c r="K234" s="814"/>
      <c r="L234" s="815"/>
      <c r="M234" s="749"/>
      <c r="N234" s="749"/>
      <c r="O234" s="749"/>
      <c r="P234" s="749"/>
      <c r="Q234" s="749"/>
      <c r="R234" s="749"/>
      <c r="S234" s="749"/>
      <c r="T234" s="749"/>
      <c r="U234" s="749"/>
      <c r="V234" s="749"/>
      <c r="W234" s="749"/>
      <c r="X234" s="749"/>
      <c r="Y234" s="749"/>
      <c r="Z234" s="749"/>
      <c r="AA234" s="749"/>
      <c r="AB234" s="749"/>
      <c r="AC234" s="749"/>
      <c r="AD234" s="749"/>
      <c r="AF234" s="249">
        <f>IF(AND(OR(M246=0,M246="NA",M246="NS"),F252&lt;&gt;""),1,0)</f>
        <v>0</v>
      </c>
      <c r="AG234" s="506">
        <f>IF(OR($C$33&gt;1,$C$33=""),0,IF(COUNTA(M234:AD249)=48,0,1))</f>
        <v>0</v>
      </c>
      <c r="AH234">
        <f>IF($C$33&lt;&gt;1,IF(COUNTA(M234:AD249)=0,0,1),0)</f>
        <v>0</v>
      </c>
      <c r="AI234">
        <f t="shared" ref="AI234" si="32">COUNTIF(S234:AD234,"NS")</f>
        <v>0</v>
      </c>
      <c r="AJ234">
        <f t="shared" ref="AJ234" si="33">SUM(S234:AD234)</f>
        <v>0</v>
      </c>
      <c r="AK234">
        <f t="shared" ref="AK234" si="34">IF(COUNTIF(M234:AD234,"NA")=3,0,IF(COUNTA(M234:AD234)=0,0,IF(OR(AND(M234=0,AI234&gt;0),AND(M234="ns",AJ234&gt;0),AND(M234="ns",AI234=0,AJ234=0)),1,IF(OR(AND(M234&gt;0,AI234=2),AND(M234="ns",AI234=2),AND(M234="ns",AJ234=0,AI234&gt;0),M234=AJ234),0,1))))</f>
        <v>0</v>
      </c>
      <c r="AL234" cm="1">
        <f t="array" ref="AL234">IF(OR(M234={"NS","NA"},$P$33={"NS","NA"}),0,IF(M234&lt;=$P$33,0,1))</f>
        <v>0</v>
      </c>
      <c r="AM234" cm="1">
        <f t="array" ref="AM234">IF(OR(S234={"NS","NA"},$U$33={"NS","NA"}),0,IF(S234&lt;=$U$33,0,1))</f>
        <v>0</v>
      </c>
      <c r="AN234" cm="1">
        <f t="array" ref="AN234">IF(OR(Y234={"NS","NA"},$Z$33={"NS","NA"}),0,IF(Y234&lt;=$Z$33,0,1))</f>
        <v>0</v>
      </c>
      <c r="AO234" cm="1">
        <f t="array" ref="AO234">IF(OR(M250={"NS","NA"},$P$33={"NS","NA"}),0,IF(M250&gt;=$P$33,0,1))</f>
        <v>0</v>
      </c>
      <c r="AP234" cm="1">
        <f t="array" ref="AP234">IF(OR(S250={"NS","NA"},$U$33={"NS","NA"}),0,IF(S250&gt;=$U$33,0,1))</f>
        <v>0</v>
      </c>
      <c r="AQ234" cm="1">
        <f t="array" ref="AQ234">IF(OR(Y250={"NS","NA"},$Z$33={"NS","NA"}),0,IF(Y250&gt;=$Z$33,0,1))</f>
        <v>0</v>
      </c>
    </row>
    <row r="235" spans="1:43" ht="15" customHeight="1">
      <c r="A235" s="110"/>
      <c r="B235" s="57"/>
      <c r="C235" s="98" t="s">
        <v>2517</v>
      </c>
      <c r="D235" s="813" t="s">
        <v>4684</v>
      </c>
      <c r="E235" s="814"/>
      <c r="F235" s="814"/>
      <c r="G235" s="814"/>
      <c r="H235" s="814"/>
      <c r="I235" s="814"/>
      <c r="J235" s="814"/>
      <c r="K235" s="814"/>
      <c r="L235" s="815"/>
      <c r="M235" s="749"/>
      <c r="N235" s="749"/>
      <c r="O235" s="749"/>
      <c r="P235" s="749"/>
      <c r="Q235" s="749"/>
      <c r="R235" s="749"/>
      <c r="S235" s="749"/>
      <c r="T235" s="749"/>
      <c r="U235" s="749"/>
      <c r="V235" s="749"/>
      <c r="W235" s="749"/>
      <c r="X235" s="749"/>
      <c r="Y235" s="749"/>
      <c r="Z235" s="749"/>
      <c r="AA235" s="749"/>
      <c r="AB235" s="749"/>
      <c r="AC235" s="749"/>
      <c r="AD235" s="749"/>
      <c r="AF235"/>
      <c r="AH235" s="680">
        <f>SUM(AF234,AH234)</f>
        <v>0</v>
      </c>
      <c r="AI235">
        <f t="shared" ref="AI235:AI249" si="35">COUNTIF(S235:AD235,"NS")</f>
        <v>0</v>
      </c>
      <c r="AJ235">
        <f t="shared" ref="AJ235:AJ249" si="36">SUM(S235:AD235)</f>
        <v>0</v>
      </c>
      <c r="AK235">
        <f t="shared" ref="AK235:AK249" si="37">IF(COUNTIF(M235:AD235,"NA")=3,0,IF(COUNTA(M235:AD235)=0,0,IF(OR(AND(M235=0,AI235&gt;0),AND(M235="ns",AJ235&gt;0),AND(M235="ns",AI235=0,AJ235=0)),1,IF(OR(AND(M235&gt;0,AI235=2),AND(M235="ns",AI235=2),AND(M235="ns",AJ235=0,AI235&gt;0),M235=AJ235),0,1))))</f>
        <v>0</v>
      </c>
      <c r="AL235" cm="1">
        <f t="array" ref="AL235">IF(OR(M235={"NS","NA"},$P$33={"NS","NA"}),0,IF(M235&lt;=$P$33,0,1))</f>
        <v>0</v>
      </c>
      <c r="AM235" cm="1">
        <f t="array" ref="AM235">IF(OR(S235={"NS","NA"},$U$33={"NS","NA"}),0,IF(S235&lt;=$U$33,0,1))</f>
        <v>0</v>
      </c>
      <c r="AN235" cm="1">
        <f t="array" ref="AN235">IF(OR(Y235={"NS","NA"},$Z$33={"NS","NA"}),0,IF(Y235&lt;=$Z$33,0,1))</f>
        <v>0</v>
      </c>
      <c r="AQ235" s="506">
        <f>IF($C$33&lt;&gt;1,0,SUM(AO234:AQ234))</f>
        <v>0</v>
      </c>
    </row>
    <row r="236" spans="1:43" ht="15" customHeight="1">
      <c r="A236" s="110"/>
      <c r="B236" s="57"/>
      <c r="C236" s="98" t="s">
        <v>2518</v>
      </c>
      <c r="D236" s="813" t="s">
        <v>4685</v>
      </c>
      <c r="E236" s="814"/>
      <c r="F236" s="814"/>
      <c r="G236" s="814"/>
      <c r="H236" s="814"/>
      <c r="I236" s="814"/>
      <c r="J236" s="814"/>
      <c r="K236" s="814"/>
      <c r="L236" s="815"/>
      <c r="M236" s="749"/>
      <c r="N236" s="749"/>
      <c r="O236" s="749"/>
      <c r="P236" s="749"/>
      <c r="Q236" s="749"/>
      <c r="R236" s="749"/>
      <c r="S236" s="749"/>
      <c r="T236" s="749"/>
      <c r="U236" s="749"/>
      <c r="V236" s="749"/>
      <c r="W236" s="749"/>
      <c r="X236" s="749"/>
      <c r="Y236" s="749"/>
      <c r="Z236" s="749"/>
      <c r="AA236" s="749"/>
      <c r="AB236" s="749"/>
      <c r="AC236" s="749"/>
      <c r="AD236" s="749"/>
      <c r="AF236"/>
      <c r="AI236">
        <f t="shared" si="35"/>
        <v>0</v>
      </c>
      <c r="AJ236">
        <f t="shared" si="36"/>
        <v>0</v>
      </c>
      <c r="AK236">
        <f t="shared" si="37"/>
        <v>0</v>
      </c>
      <c r="AL236" cm="1">
        <f t="array" ref="AL236">IF(OR(M236={"NS","NA"},$P$33={"NS","NA"}),0,IF(M236&lt;=$P$33,0,1))</f>
        <v>0</v>
      </c>
      <c r="AM236" cm="1">
        <f t="array" ref="AM236">IF(OR(S236={"NS","NA"},$U$33={"NS","NA"}),0,IF(S236&lt;=$U$33,0,1))</f>
        <v>0</v>
      </c>
      <c r="AN236" cm="1">
        <f t="array" ref="AN236">IF(OR(Y236={"NS","NA"},$Z$33={"NS","NA"}),0,IF(Y236&lt;=$Z$33,0,1))</f>
        <v>0</v>
      </c>
    </row>
    <row r="237" spans="1:43" ht="15" customHeight="1">
      <c r="A237" s="110"/>
      <c r="B237" s="57"/>
      <c r="C237" s="98" t="s">
        <v>2519</v>
      </c>
      <c r="D237" s="813" t="s">
        <v>4686</v>
      </c>
      <c r="E237" s="814"/>
      <c r="F237" s="814"/>
      <c r="G237" s="814"/>
      <c r="H237" s="814"/>
      <c r="I237" s="814"/>
      <c r="J237" s="814"/>
      <c r="K237" s="814"/>
      <c r="L237" s="815"/>
      <c r="M237" s="749"/>
      <c r="N237" s="749"/>
      <c r="O237" s="749"/>
      <c r="P237" s="749"/>
      <c r="Q237" s="749"/>
      <c r="R237" s="749"/>
      <c r="S237" s="749"/>
      <c r="T237" s="749"/>
      <c r="U237" s="749"/>
      <c r="V237" s="749"/>
      <c r="W237" s="749"/>
      <c r="X237" s="749"/>
      <c r="Y237" s="749"/>
      <c r="Z237" s="749"/>
      <c r="AA237" s="749"/>
      <c r="AB237" s="749"/>
      <c r="AC237" s="749"/>
      <c r="AD237" s="749"/>
      <c r="AF237"/>
      <c r="AI237">
        <f t="shared" si="35"/>
        <v>0</v>
      </c>
      <c r="AJ237">
        <f t="shared" si="36"/>
        <v>0</v>
      </c>
      <c r="AK237">
        <f t="shared" si="37"/>
        <v>0</v>
      </c>
      <c r="AL237" cm="1">
        <f t="array" ref="AL237">IF(OR(M237={"NS","NA"},$P$33={"NS","NA"}),0,IF(M237&lt;=$P$33,0,1))</f>
        <v>0</v>
      </c>
      <c r="AM237" cm="1">
        <f t="array" ref="AM237">IF(OR(S237={"NS","NA"},$U$33={"NS","NA"}),0,IF(S237&lt;=$U$33,0,1))</f>
        <v>0</v>
      </c>
      <c r="AN237" cm="1">
        <f t="array" ref="AN237">IF(OR(Y237={"NS","NA"},$Z$33={"NS","NA"}),0,IF(Y237&lt;=$Z$33,0,1))</f>
        <v>0</v>
      </c>
    </row>
    <row r="238" spans="1:43" ht="15" customHeight="1">
      <c r="A238" s="110"/>
      <c r="B238" s="57"/>
      <c r="C238" s="98" t="s">
        <v>2520</v>
      </c>
      <c r="D238" s="813" t="s">
        <v>4687</v>
      </c>
      <c r="E238" s="814"/>
      <c r="F238" s="814"/>
      <c r="G238" s="814"/>
      <c r="H238" s="814"/>
      <c r="I238" s="814"/>
      <c r="J238" s="814"/>
      <c r="K238" s="814"/>
      <c r="L238" s="815"/>
      <c r="M238" s="749"/>
      <c r="N238" s="749"/>
      <c r="O238" s="749"/>
      <c r="P238" s="749"/>
      <c r="Q238" s="749"/>
      <c r="R238" s="749"/>
      <c r="S238" s="749"/>
      <c r="T238" s="749"/>
      <c r="U238" s="749"/>
      <c r="V238" s="749"/>
      <c r="W238" s="749"/>
      <c r="X238" s="749"/>
      <c r="Y238" s="749"/>
      <c r="Z238" s="749"/>
      <c r="AA238" s="749"/>
      <c r="AB238" s="749"/>
      <c r="AC238" s="749"/>
      <c r="AD238" s="749"/>
      <c r="AF238"/>
      <c r="AI238">
        <f t="shared" si="35"/>
        <v>0</v>
      </c>
      <c r="AJ238">
        <f t="shared" si="36"/>
        <v>0</v>
      </c>
      <c r="AK238">
        <f t="shared" si="37"/>
        <v>0</v>
      </c>
      <c r="AL238" cm="1">
        <f t="array" ref="AL238">IF(OR(M238={"NS","NA"},$P$33={"NS","NA"}),0,IF(M238&lt;=$P$33,0,1))</f>
        <v>0</v>
      </c>
      <c r="AM238" cm="1">
        <f t="array" ref="AM238">IF(OR(S238={"NS","NA"},$U$33={"NS","NA"}),0,IF(S238&lt;=$U$33,0,1))</f>
        <v>0</v>
      </c>
      <c r="AN238" cm="1">
        <f t="array" ref="AN238">IF(OR(Y238={"NS","NA"},$Z$33={"NS","NA"}),0,IF(Y238&lt;=$Z$33,0,1))</f>
        <v>0</v>
      </c>
    </row>
    <row r="239" spans="1:43" ht="15" customHeight="1">
      <c r="A239" s="110"/>
      <c r="B239" s="57"/>
      <c r="C239" s="98" t="s">
        <v>2521</v>
      </c>
      <c r="D239" s="813" t="s">
        <v>4688</v>
      </c>
      <c r="E239" s="814"/>
      <c r="F239" s="814"/>
      <c r="G239" s="814"/>
      <c r="H239" s="814"/>
      <c r="I239" s="814"/>
      <c r="J239" s="814"/>
      <c r="K239" s="814"/>
      <c r="L239" s="815"/>
      <c r="M239" s="749"/>
      <c r="N239" s="749"/>
      <c r="O239" s="749"/>
      <c r="P239" s="749"/>
      <c r="Q239" s="749"/>
      <c r="R239" s="749"/>
      <c r="S239" s="749"/>
      <c r="T239" s="749"/>
      <c r="U239" s="749"/>
      <c r="V239" s="749"/>
      <c r="W239" s="749"/>
      <c r="X239" s="749"/>
      <c r="Y239" s="749"/>
      <c r="Z239" s="749"/>
      <c r="AA239" s="749"/>
      <c r="AB239" s="749"/>
      <c r="AC239" s="749"/>
      <c r="AD239" s="749"/>
      <c r="AF239"/>
      <c r="AI239">
        <f t="shared" si="35"/>
        <v>0</v>
      </c>
      <c r="AJ239">
        <f t="shared" si="36"/>
        <v>0</v>
      </c>
      <c r="AK239">
        <f t="shared" si="37"/>
        <v>0</v>
      </c>
      <c r="AL239" cm="1">
        <f t="array" ref="AL239">IF(OR(M239={"NS","NA"},$P$33={"NS","NA"}),0,IF(M239&lt;=$P$33,0,1))</f>
        <v>0</v>
      </c>
      <c r="AM239" cm="1">
        <f t="array" ref="AM239">IF(OR(S239={"NS","NA"},$U$33={"NS","NA"}),0,IF(S239&lt;=$U$33,0,1))</f>
        <v>0</v>
      </c>
      <c r="AN239" cm="1">
        <f t="array" ref="AN239">IF(OR(Y239={"NS","NA"},$Z$33={"NS","NA"}),0,IF(Y239&lt;=$Z$33,0,1))</f>
        <v>0</v>
      </c>
    </row>
    <row r="240" spans="1:43" ht="15" customHeight="1">
      <c r="A240" s="110"/>
      <c r="B240" s="57"/>
      <c r="C240" s="98" t="s">
        <v>2522</v>
      </c>
      <c r="D240" s="813" t="s">
        <v>4689</v>
      </c>
      <c r="E240" s="814"/>
      <c r="F240" s="814"/>
      <c r="G240" s="814"/>
      <c r="H240" s="814"/>
      <c r="I240" s="814"/>
      <c r="J240" s="814"/>
      <c r="K240" s="814"/>
      <c r="L240" s="815"/>
      <c r="M240" s="749"/>
      <c r="N240" s="749"/>
      <c r="O240" s="749"/>
      <c r="P240" s="749"/>
      <c r="Q240" s="749"/>
      <c r="R240" s="749"/>
      <c r="S240" s="749"/>
      <c r="T240" s="749"/>
      <c r="U240" s="749"/>
      <c r="V240" s="749"/>
      <c r="W240" s="749"/>
      <c r="X240" s="749"/>
      <c r="Y240" s="749"/>
      <c r="Z240" s="749"/>
      <c r="AA240" s="749"/>
      <c r="AB240" s="749"/>
      <c r="AC240" s="749"/>
      <c r="AD240" s="749"/>
      <c r="AF240"/>
      <c r="AI240">
        <f t="shared" si="35"/>
        <v>0</v>
      </c>
      <c r="AJ240">
        <f t="shared" si="36"/>
        <v>0</v>
      </c>
      <c r="AK240">
        <f t="shared" si="37"/>
        <v>0</v>
      </c>
      <c r="AL240" cm="1">
        <f t="array" ref="AL240">IF(OR(M240={"NS","NA"},$P$33={"NS","NA"}),0,IF(M240&lt;=$P$33,0,1))</f>
        <v>0</v>
      </c>
      <c r="AM240" cm="1">
        <f t="array" ref="AM240">IF(OR(S240={"NS","NA"},$U$33={"NS","NA"}),0,IF(S240&lt;=$U$33,0,1))</f>
        <v>0</v>
      </c>
      <c r="AN240" cm="1">
        <f t="array" ref="AN240">IF(OR(Y240={"NS","NA"},$Z$33={"NS","NA"}),0,IF(Y240&lt;=$Z$33,0,1))</f>
        <v>0</v>
      </c>
    </row>
    <row r="241" spans="1:40" ht="15" customHeight="1">
      <c r="A241" s="110"/>
      <c r="B241" s="57"/>
      <c r="C241" s="98" t="s">
        <v>2523</v>
      </c>
      <c r="D241" s="813" t="s">
        <v>4690</v>
      </c>
      <c r="E241" s="814"/>
      <c r="F241" s="814"/>
      <c r="G241" s="814"/>
      <c r="H241" s="814"/>
      <c r="I241" s="814"/>
      <c r="J241" s="814"/>
      <c r="K241" s="814"/>
      <c r="L241" s="815"/>
      <c r="M241" s="749"/>
      <c r="N241" s="749"/>
      <c r="O241" s="749"/>
      <c r="P241" s="749"/>
      <c r="Q241" s="749"/>
      <c r="R241" s="749"/>
      <c r="S241" s="749"/>
      <c r="T241" s="749"/>
      <c r="U241" s="749"/>
      <c r="V241" s="749"/>
      <c r="W241" s="749"/>
      <c r="X241" s="749"/>
      <c r="Y241" s="749"/>
      <c r="Z241" s="749"/>
      <c r="AA241" s="749"/>
      <c r="AB241" s="749"/>
      <c r="AC241" s="749"/>
      <c r="AD241" s="749"/>
      <c r="AF241"/>
      <c r="AI241">
        <f t="shared" si="35"/>
        <v>0</v>
      </c>
      <c r="AJ241">
        <f t="shared" si="36"/>
        <v>0</v>
      </c>
      <c r="AK241">
        <f t="shared" si="37"/>
        <v>0</v>
      </c>
      <c r="AL241" cm="1">
        <f t="array" ref="AL241">IF(OR(M241={"NS","NA"},$P$33={"NS","NA"}),0,IF(M241&lt;=$P$33,0,1))</f>
        <v>0</v>
      </c>
      <c r="AM241" cm="1">
        <f t="array" ref="AM241">IF(OR(S241={"NS","NA"},$U$33={"NS","NA"}),0,IF(S241&lt;=$U$33,0,1))</f>
        <v>0</v>
      </c>
      <c r="AN241" cm="1">
        <f t="array" ref="AN241">IF(OR(Y241={"NS","NA"},$Z$33={"NS","NA"}),0,IF(Y241&lt;=$Z$33,0,1))</f>
        <v>0</v>
      </c>
    </row>
    <row r="242" spans="1:40" ht="15" customHeight="1">
      <c r="A242" s="110"/>
      <c r="B242" s="57"/>
      <c r="C242" s="98" t="s">
        <v>2524</v>
      </c>
      <c r="D242" s="813" t="s">
        <v>3098</v>
      </c>
      <c r="E242" s="814"/>
      <c r="F242" s="814"/>
      <c r="G242" s="814"/>
      <c r="H242" s="814"/>
      <c r="I242" s="814"/>
      <c r="J242" s="814"/>
      <c r="K242" s="814"/>
      <c r="L242" s="815"/>
      <c r="M242" s="749"/>
      <c r="N242" s="749"/>
      <c r="O242" s="749"/>
      <c r="P242" s="749"/>
      <c r="Q242" s="749"/>
      <c r="R242" s="749"/>
      <c r="S242" s="749"/>
      <c r="T242" s="749"/>
      <c r="U242" s="749"/>
      <c r="V242" s="749"/>
      <c r="W242" s="749"/>
      <c r="X242" s="749"/>
      <c r="Y242" s="749"/>
      <c r="Z242" s="749"/>
      <c r="AA242" s="749"/>
      <c r="AB242" s="749"/>
      <c r="AC242" s="749"/>
      <c r="AD242" s="749"/>
      <c r="AF242"/>
      <c r="AI242">
        <f t="shared" si="35"/>
        <v>0</v>
      </c>
      <c r="AJ242">
        <f t="shared" si="36"/>
        <v>0</v>
      </c>
      <c r="AK242">
        <f t="shared" si="37"/>
        <v>0</v>
      </c>
      <c r="AL242" cm="1">
        <f t="array" ref="AL242">IF(OR(M242={"NS","NA"},$P$33={"NS","NA"}),0,IF(M242&lt;=$P$33,0,1))</f>
        <v>0</v>
      </c>
      <c r="AM242" cm="1">
        <f t="array" ref="AM242">IF(OR(S242={"NS","NA"},$U$33={"NS","NA"}),0,IF(S242&lt;=$U$33,0,1))</f>
        <v>0</v>
      </c>
      <c r="AN242" cm="1">
        <f t="array" ref="AN242">IF(OR(Y242={"NS","NA"},$Z$33={"NS","NA"}),0,IF(Y242&lt;=$Z$33,0,1))</f>
        <v>0</v>
      </c>
    </row>
    <row r="243" spans="1:40" ht="15" customHeight="1">
      <c r="A243" s="110"/>
      <c r="B243" s="57"/>
      <c r="C243" s="98" t="s">
        <v>2525</v>
      </c>
      <c r="D243" s="813" t="s">
        <v>4691</v>
      </c>
      <c r="E243" s="814"/>
      <c r="F243" s="814"/>
      <c r="G243" s="814"/>
      <c r="H243" s="814"/>
      <c r="I243" s="814"/>
      <c r="J243" s="814"/>
      <c r="K243" s="814"/>
      <c r="L243" s="815"/>
      <c r="M243" s="749"/>
      <c r="N243" s="749"/>
      <c r="O243" s="749"/>
      <c r="P243" s="749"/>
      <c r="Q243" s="749"/>
      <c r="R243" s="749"/>
      <c r="S243" s="749"/>
      <c r="T243" s="749"/>
      <c r="U243" s="749"/>
      <c r="V243" s="749"/>
      <c r="W243" s="749"/>
      <c r="X243" s="749"/>
      <c r="Y243" s="749"/>
      <c r="Z243" s="749"/>
      <c r="AA243" s="749"/>
      <c r="AB243" s="749"/>
      <c r="AC243" s="749"/>
      <c r="AD243" s="749"/>
      <c r="AF243"/>
      <c r="AI243">
        <f t="shared" si="35"/>
        <v>0</v>
      </c>
      <c r="AJ243">
        <f t="shared" si="36"/>
        <v>0</v>
      </c>
      <c r="AK243">
        <f t="shared" si="37"/>
        <v>0</v>
      </c>
      <c r="AL243" cm="1">
        <f t="array" ref="AL243">IF(OR(M243={"NS","NA"},$P$33={"NS","NA"}),0,IF(M243&lt;=$P$33,0,1))</f>
        <v>0</v>
      </c>
      <c r="AM243" cm="1">
        <f t="array" ref="AM243">IF(OR(S243={"NS","NA"},$U$33={"NS","NA"}),0,IF(S243&lt;=$U$33,0,1))</f>
        <v>0</v>
      </c>
      <c r="AN243" cm="1">
        <f t="array" ref="AN243">IF(OR(Y243={"NS","NA"},$Z$33={"NS","NA"}),0,IF(Y243&lt;=$Z$33,0,1))</f>
        <v>0</v>
      </c>
    </row>
    <row r="244" spans="1:40" ht="15" customHeight="1">
      <c r="A244" s="110"/>
      <c r="B244" s="57"/>
      <c r="C244" s="98" t="s">
        <v>2526</v>
      </c>
      <c r="D244" s="813" t="s">
        <v>4692</v>
      </c>
      <c r="E244" s="814"/>
      <c r="F244" s="814"/>
      <c r="G244" s="814"/>
      <c r="H244" s="814"/>
      <c r="I244" s="814"/>
      <c r="J244" s="814"/>
      <c r="K244" s="814"/>
      <c r="L244" s="815"/>
      <c r="M244" s="749"/>
      <c r="N244" s="749"/>
      <c r="O244" s="749"/>
      <c r="P244" s="749"/>
      <c r="Q244" s="749"/>
      <c r="R244" s="749"/>
      <c r="S244" s="749"/>
      <c r="T244" s="749"/>
      <c r="U244" s="749"/>
      <c r="V244" s="749"/>
      <c r="W244" s="749"/>
      <c r="X244" s="749"/>
      <c r="Y244" s="749"/>
      <c r="Z244" s="749"/>
      <c r="AA244" s="749"/>
      <c r="AB244" s="749"/>
      <c r="AC244" s="749"/>
      <c r="AD244" s="749"/>
      <c r="AF244"/>
      <c r="AI244">
        <f t="shared" si="35"/>
        <v>0</v>
      </c>
      <c r="AJ244">
        <f t="shared" si="36"/>
        <v>0</v>
      </c>
      <c r="AK244">
        <f t="shared" si="37"/>
        <v>0</v>
      </c>
      <c r="AL244" cm="1">
        <f t="array" ref="AL244">IF(OR(M244={"NS","NA"},$P$33={"NS","NA"}),0,IF(M244&lt;=$P$33,0,1))</f>
        <v>0</v>
      </c>
      <c r="AM244" cm="1">
        <f t="array" ref="AM244">IF(OR(S244={"NS","NA"},$U$33={"NS","NA"}),0,IF(S244&lt;=$U$33,0,1))</f>
        <v>0</v>
      </c>
      <c r="AN244" cm="1">
        <f t="array" ref="AN244">IF(OR(Y244={"NS","NA"},$Z$33={"NS","NA"}),0,IF(Y244&lt;=$Z$33,0,1))</f>
        <v>0</v>
      </c>
    </row>
    <row r="245" spans="1:40" ht="15" customHeight="1">
      <c r="A245" s="110"/>
      <c r="B245" s="57"/>
      <c r="C245" s="98" t="s">
        <v>2527</v>
      </c>
      <c r="D245" s="813" t="s">
        <v>4693</v>
      </c>
      <c r="E245" s="814"/>
      <c r="F245" s="814"/>
      <c r="G245" s="814"/>
      <c r="H245" s="814"/>
      <c r="I245" s="814"/>
      <c r="J245" s="814"/>
      <c r="K245" s="814"/>
      <c r="L245" s="815"/>
      <c r="M245" s="749"/>
      <c r="N245" s="749"/>
      <c r="O245" s="749"/>
      <c r="P245" s="749"/>
      <c r="Q245" s="749"/>
      <c r="R245" s="749"/>
      <c r="S245" s="749"/>
      <c r="T245" s="749"/>
      <c r="U245" s="749"/>
      <c r="V245" s="749"/>
      <c r="W245" s="749"/>
      <c r="X245" s="749"/>
      <c r="Y245" s="749"/>
      <c r="Z245" s="749"/>
      <c r="AA245" s="749"/>
      <c r="AB245" s="749"/>
      <c r="AC245" s="749"/>
      <c r="AD245" s="749"/>
      <c r="AF245"/>
      <c r="AI245">
        <f t="shared" si="35"/>
        <v>0</v>
      </c>
      <c r="AJ245">
        <f t="shared" si="36"/>
        <v>0</v>
      </c>
      <c r="AK245">
        <f t="shared" si="37"/>
        <v>0</v>
      </c>
      <c r="AL245" cm="1">
        <f t="array" ref="AL245">IF(OR(M245={"NS","NA"},$P$33={"NS","NA"}),0,IF(M245&lt;=$P$33,0,1))</f>
        <v>0</v>
      </c>
      <c r="AM245" cm="1">
        <f t="array" ref="AM245">IF(OR(S245={"NS","NA"},$U$33={"NS","NA"}),0,IF(S245&lt;=$U$33,0,1))</f>
        <v>0</v>
      </c>
      <c r="AN245" cm="1">
        <f t="array" ref="AN245">IF(OR(Y245={"NS","NA"},$Z$33={"NS","NA"}),0,IF(Y245&lt;=$Z$33,0,1))</f>
        <v>0</v>
      </c>
    </row>
    <row r="246" spans="1:40" ht="15" customHeight="1">
      <c r="A246" s="110"/>
      <c r="B246" s="57"/>
      <c r="C246" s="98" t="s">
        <v>2528</v>
      </c>
      <c r="D246" s="813" t="s">
        <v>4694</v>
      </c>
      <c r="E246" s="814"/>
      <c r="F246" s="814"/>
      <c r="G246" s="814"/>
      <c r="H246" s="814"/>
      <c r="I246" s="814"/>
      <c r="J246" s="814"/>
      <c r="K246" s="814"/>
      <c r="L246" s="815"/>
      <c r="M246" s="749"/>
      <c r="N246" s="749"/>
      <c r="O246" s="749"/>
      <c r="P246" s="749"/>
      <c r="Q246" s="749"/>
      <c r="R246" s="749"/>
      <c r="S246" s="749"/>
      <c r="T246" s="749"/>
      <c r="U246" s="749"/>
      <c r="V246" s="749"/>
      <c r="W246" s="749"/>
      <c r="X246" s="749"/>
      <c r="Y246" s="749"/>
      <c r="Z246" s="749"/>
      <c r="AA246" s="749"/>
      <c r="AB246" s="749"/>
      <c r="AC246" s="749"/>
      <c r="AD246" s="749"/>
      <c r="AF246"/>
      <c r="AI246">
        <f t="shared" si="35"/>
        <v>0</v>
      </c>
      <c r="AJ246">
        <f t="shared" si="36"/>
        <v>0</v>
      </c>
      <c r="AK246">
        <f t="shared" si="37"/>
        <v>0</v>
      </c>
      <c r="AL246" cm="1">
        <f t="array" ref="AL246">IF(OR(M246={"NS","NA"},$P$33={"NS","NA"}),0,IF(M246&lt;=$P$33,0,1))</f>
        <v>0</v>
      </c>
      <c r="AM246" cm="1">
        <f t="array" ref="AM246">IF(OR(S246={"NS","NA"},$U$33={"NS","NA"}),0,IF(S246&lt;=$U$33,0,1))</f>
        <v>0</v>
      </c>
      <c r="AN246" cm="1">
        <f t="array" ref="AN246">IF(OR(Y246={"NS","NA"},$Z$33={"NS","NA"}),0,IF(Y246&lt;=$Z$33,0,1))</f>
        <v>0</v>
      </c>
    </row>
    <row r="247" spans="1:40" ht="15" customHeight="1">
      <c r="A247" s="110"/>
      <c r="B247" s="57"/>
      <c r="C247" s="98" t="s">
        <v>2529</v>
      </c>
      <c r="D247" s="813" t="s">
        <v>5629</v>
      </c>
      <c r="E247" s="814"/>
      <c r="F247" s="814"/>
      <c r="G247" s="814"/>
      <c r="H247" s="814"/>
      <c r="I247" s="814"/>
      <c r="J247" s="814"/>
      <c r="K247" s="814"/>
      <c r="L247" s="815"/>
      <c r="M247" s="749"/>
      <c r="N247" s="749"/>
      <c r="O247" s="749"/>
      <c r="P247" s="749"/>
      <c r="Q247" s="749"/>
      <c r="R247" s="749"/>
      <c r="S247" s="749"/>
      <c r="T247" s="749"/>
      <c r="U247" s="749"/>
      <c r="V247" s="749"/>
      <c r="W247" s="749"/>
      <c r="X247" s="749"/>
      <c r="Y247" s="749"/>
      <c r="Z247" s="749"/>
      <c r="AA247" s="749"/>
      <c r="AB247" s="749"/>
      <c r="AC247" s="749"/>
      <c r="AD247" s="749"/>
      <c r="AF247"/>
      <c r="AI247">
        <f t="shared" si="35"/>
        <v>0</v>
      </c>
      <c r="AJ247">
        <f t="shared" si="36"/>
        <v>0</v>
      </c>
      <c r="AK247">
        <f t="shared" si="37"/>
        <v>0</v>
      </c>
      <c r="AL247" cm="1">
        <f t="array" ref="AL247">IF(OR(M247={"NS","NA"},$P$33={"NS","NA"}),0,IF(M247&lt;=$P$33,0,1))</f>
        <v>0</v>
      </c>
      <c r="AM247" cm="1">
        <f t="array" ref="AM247">IF(OR(S247={"NS","NA"},$U$33={"NS","NA"}),0,IF(S247&lt;=$U$33,0,1))</f>
        <v>0</v>
      </c>
      <c r="AN247" cm="1">
        <f t="array" ref="AN247">IF(OR(Y247={"NS","NA"},$Z$33={"NS","NA"}),0,IF(Y247&lt;=$Z$33,0,1))</f>
        <v>0</v>
      </c>
    </row>
    <row r="248" spans="1:40" ht="15" customHeight="1">
      <c r="A248" s="110"/>
      <c r="B248" s="57"/>
      <c r="C248" s="98" t="s">
        <v>2530</v>
      </c>
      <c r="D248" s="813" t="s">
        <v>5630</v>
      </c>
      <c r="E248" s="814"/>
      <c r="F248" s="814"/>
      <c r="G248" s="814"/>
      <c r="H248" s="814"/>
      <c r="I248" s="814"/>
      <c r="J248" s="814"/>
      <c r="K248" s="814"/>
      <c r="L248" s="815"/>
      <c r="M248" s="749"/>
      <c r="N248" s="749"/>
      <c r="O248" s="749"/>
      <c r="P248" s="749"/>
      <c r="Q248" s="749"/>
      <c r="R248" s="749"/>
      <c r="S248" s="749"/>
      <c r="T248" s="749"/>
      <c r="U248" s="749"/>
      <c r="V248" s="749"/>
      <c r="W248" s="749"/>
      <c r="X248" s="749"/>
      <c r="Y248" s="749"/>
      <c r="Z248" s="749"/>
      <c r="AA248" s="749"/>
      <c r="AB248" s="749"/>
      <c r="AC248" s="749"/>
      <c r="AD248" s="749"/>
      <c r="AF248"/>
      <c r="AI248">
        <f t="shared" si="35"/>
        <v>0</v>
      </c>
      <c r="AJ248">
        <f t="shared" si="36"/>
        <v>0</v>
      </c>
      <c r="AK248">
        <f t="shared" si="37"/>
        <v>0</v>
      </c>
      <c r="AL248" cm="1">
        <f t="array" ref="AL248">IF(OR(M248={"NS","NA"},$P$33={"NS","NA"}),0,IF(M248&lt;=$P$33,0,1))</f>
        <v>0</v>
      </c>
      <c r="AM248" cm="1">
        <f t="array" ref="AM248">IF(OR(S248={"NS","NA"},$U$33={"NS","NA"}),0,IF(S248&lt;=$U$33,0,1))</f>
        <v>0</v>
      </c>
      <c r="AN248" cm="1">
        <f t="array" ref="AN248">IF(OR(Y248={"NS","NA"},$Z$33={"NS","NA"}),0,IF(Y248&lt;=$Z$33,0,1))</f>
        <v>0</v>
      </c>
    </row>
    <row r="249" spans="1:40" ht="15" customHeight="1">
      <c r="A249" s="110"/>
      <c r="B249" s="57"/>
      <c r="C249" s="98" t="s">
        <v>2531</v>
      </c>
      <c r="D249" s="813" t="s">
        <v>201</v>
      </c>
      <c r="E249" s="814"/>
      <c r="F249" s="814"/>
      <c r="G249" s="814"/>
      <c r="H249" s="814"/>
      <c r="I249" s="814"/>
      <c r="J249" s="814"/>
      <c r="K249" s="814"/>
      <c r="L249" s="815"/>
      <c r="M249" s="749"/>
      <c r="N249" s="749"/>
      <c r="O249" s="749"/>
      <c r="P249" s="749"/>
      <c r="Q249" s="749"/>
      <c r="R249" s="749"/>
      <c r="S249" s="749"/>
      <c r="T249" s="749"/>
      <c r="U249" s="749"/>
      <c r="V249" s="749"/>
      <c r="W249" s="749"/>
      <c r="X249" s="749"/>
      <c r="Y249" s="749"/>
      <c r="Z249" s="749"/>
      <c r="AA249" s="749"/>
      <c r="AB249" s="749"/>
      <c r="AC249" s="749"/>
      <c r="AD249" s="749"/>
      <c r="AF249"/>
      <c r="AI249">
        <f t="shared" si="35"/>
        <v>0</v>
      </c>
      <c r="AJ249">
        <f t="shared" si="36"/>
        <v>0</v>
      </c>
      <c r="AK249">
        <f t="shared" si="37"/>
        <v>0</v>
      </c>
      <c r="AL249" cm="1">
        <f t="array" ref="AL249">IF(OR(M249={"NS","NA"},$P$33={"NS","NA"}),0,IF(M249&lt;=$P$33,0,1))</f>
        <v>0</v>
      </c>
      <c r="AM249" cm="1">
        <f t="array" ref="AM249">IF(OR(S249={"NS","NA"},$U$33={"NS","NA"}),0,IF(S249&lt;=$U$33,0,1))</f>
        <v>0</v>
      </c>
      <c r="AN249" cm="1">
        <f t="array" ref="AN249">IF(OR(Y249={"NS","NA"},$Z$33={"NS","NA"}),0,IF(Y249&lt;=$Z$33,0,1))</f>
        <v>0</v>
      </c>
    </row>
    <row r="250" spans="1:40" ht="15" customHeight="1">
      <c r="A250" s="49"/>
      <c r="B250" s="38"/>
      <c r="C250" s="38"/>
      <c r="D250" s="38"/>
      <c r="E250" s="38"/>
      <c r="F250" s="38"/>
      <c r="G250" s="38"/>
      <c r="H250" s="38"/>
      <c r="I250" s="38"/>
      <c r="J250" s="38"/>
      <c r="K250" s="38"/>
      <c r="L250" s="117" t="s">
        <v>2649</v>
      </c>
      <c r="M250" s="736">
        <f>IF(AND(SUM(M234:M249)=0,COUNTIF(M234:M249,"NS")&gt;0),"NS",IF(AND(SUM(M234:M249)=0,COUNTIF(M234:M249,0)&gt;0),0,IF(AND(SUM(M234:M249)=0,COUNTIF(M234:M249,"NA")&gt;0),"NA",SUM(M234:M249))))</f>
        <v>0</v>
      </c>
      <c r="N250" s="736"/>
      <c r="O250" s="736"/>
      <c r="P250" s="736"/>
      <c r="Q250" s="736"/>
      <c r="R250" s="736"/>
      <c r="S250" s="736">
        <f>IF(AND(SUM(S234:S249)=0,COUNTIF(S234:S249,"NS")&gt;0),"NS",IF(AND(SUM(S234:S249)=0,COUNTIF(S234:S249,0)&gt;0),0,IF(AND(SUM(S234:S249)=0,COUNTIF(S234:S249,"NA")&gt;0),"NA",SUM(S234:S249))))</f>
        <v>0</v>
      </c>
      <c r="T250" s="736"/>
      <c r="U250" s="736"/>
      <c r="V250" s="736"/>
      <c r="W250" s="736"/>
      <c r="X250" s="736"/>
      <c r="Y250" s="736">
        <f t="shared" ref="Y250" si="38">IF(AND(SUM(Y234:Y249)=0,COUNTIF(Y234:Y249,"NS")&gt;0),"NS",IF(AND(SUM(Y234:Y249)=0,COUNTIF(Y234:Y249,0)&gt;0),0,IF(AND(SUM(Y234:Y249)=0,COUNTIF(Y234:Y249,"NA")&gt;0),"NA",SUM(Y234:Y249))))</f>
        <v>0</v>
      </c>
      <c r="Z250" s="736"/>
      <c r="AA250" s="736"/>
      <c r="AB250" s="736"/>
      <c r="AC250" s="736"/>
      <c r="AD250" s="736"/>
      <c r="AK250" s="506">
        <f>SUM(AK234:AK249)</f>
        <v>0</v>
      </c>
      <c r="AN250" s="506">
        <f>IF($C$33&lt;&gt;1,0,SUM(AL234:AN249))</f>
        <v>0</v>
      </c>
    </row>
    <row r="251" spans="1:40" ht="15" customHeight="1">
      <c r="A251" s="49"/>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c r="AA251" s="38"/>
      <c r="AB251" s="38"/>
      <c r="AC251" s="38"/>
      <c r="AD251" s="38"/>
    </row>
    <row r="252" spans="1:40" ht="45" customHeight="1">
      <c r="A252" s="49"/>
      <c r="B252" s="38"/>
      <c r="C252" s="822" t="s">
        <v>4695</v>
      </c>
      <c r="D252" s="967"/>
      <c r="E252" s="967"/>
      <c r="F252" s="749"/>
      <c r="G252" s="749"/>
      <c r="H252" s="749"/>
      <c r="I252" s="749"/>
      <c r="J252" s="749"/>
      <c r="K252" s="749"/>
      <c r="L252" s="749"/>
      <c r="M252" s="749"/>
      <c r="N252" s="749"/>
      <c r="O252" s="749"/>
      <c r="P252" s="749"/>
      <c r="Q252" s="749"/>
      <c r="R252" s="749"/>
      <c r="S252" s="749"/>
      <c r="T252" s="749"/>
      <c r="U252" s="749"/>
      <c r="V252" s="749"/>
      <c r="W252" s="749"/>
      <c r="X252" s="749"/>
      <c r="Y252" s="749"/>
      <c r="Z252" s="749"/>
      <c r="AA252" s="749"/>
      <c r="AB252" s="749"/>
      <c r="AC252" s="749"/>
      <c r="AD252" s="749"/>
    </row>
    <row r="253" spans="1:40" ht="15" customHeight="1">
      <c r="A253" s="49"/>
      <c r="B253" s="1003" t="str">
        <f>IF(AND(M246&gt;0,M246&lt;&gt;"NA",M246&lt;&gt;"NS",F252=""),"Debido a que cuenta con un valor mayor a cero en el numeral 13, debe anotar el nombre de dicha(s) familia lingüística","")</f>
        <v/>
      </c>
      <c r="C253" s="1003"/>
      <c r="D253" s="1003"/>
      <c r="E253" s="1003"/>
      <c r="F253" s="1003"/>
      <c r="G253" s="1003"/>
      <c r="H253" s="1003"/>
      <c r="I253" s="1003"/>
      <c r="J253" s="1003"/>
      <c r="K253" s="1003"/>
      <c r="L253" s="1003"/>
      <c r="M253" s="1003"/>
      <c r="N253" s="1003"/>
      <c r="O253" s="1003"/>
      <c r="P253" s="1003"/>
      <c r="Q253" s="1003"/>
      <c r="R253" s="1003"/>
      <c r="S253" s="1003"/>
      <c r="T253" s="1003"/>
      <c r="U253" s="1003"/>
      <c r="V253" s="1003"/>
      <c r="W253" s="1003"/>
      <c r="X253" s="1003"/>
      <c r="Y253" s="1003"/>
      <c r="Z253" s="1003"/>
      <c r="AA253" s="1003"/>
      <c r="AB253" s="1003"/>
      <c r="AC253" s="1003"/>
      <c r="AD253" s="1003"/>
      <c r="AE253" s="1003"/>
    </row>
    <row r="254" spans="1:40" ht="24" customHeight="1">
      <c r="A254" s="49"/>
      <c r="B254" s="38"/>
      <c r="C254" s="754" t="s">
        <v>2611</v>
      </c>
      <c r="D254" s="754"/>
      <c r="E254" s="754"/>
      <c r="F254" s="754"/>
      <c r="G254" s="754"/>
      <c r="H254" s="754"/>
      <c r="I254" s="754"/>
      <c r="J254" s="754"/>
      <c r="K254" s="754"/>
      <c r="L254" s="754"/>
      <c r="M254" s="754"/>
      <c r="N254" s="754"/>
      <c r="O254" s="754"/>
      <c r="P254" s="754"/>
      <c r="Q254" s="754"/>
      <c r="R254" s="754"/>
      <c r="S254" s="754"/>
      <c r="T254" s="754"/>
      <c r="U254" s="754"/>
      <c r="V254" s="754"/>
      <c r="W254" s="754"/>
      <c r="X254" s="754"/>
      <c r="Y254" s="754"/>
      <c r="Z254" s="754"/>
      <c r="AA254" s="754"/>
      <c r="AB254" s="754"/>
      <c r="AC254" s="754"/>
      <c r="AD254" s="754"/>
    </row>
    <row r="255" spans="1:40" ht="60" customHeight="1">
      <c r="A255" s="49"/>
      <c r="B255" s="38"/>
      <c r="C255" s="851"/>
      <c r="D255" s="851"/>
      <c r="E255" s="851"/>
      <c r="F255" s="851"/>
      <c r="G255" s="851"/>
      <c r="H255" s="851"/>
      <c r="I255" s="851"/>
      <c r="J255" s="851"/>
      <c r="K255" s="851"/>
      <c r="L255" s="851"/>
      <c r="M255" s="851"/>
      <c r="N255" s="851"/>
      <c r="O255" s="851"/>
      <c r="P255" s="851"/>
      <c r="Q255" s="851"/>
      <c r="R255" s="851"/>
      <c r="S255" s="851"/>
      <c r="T255" s="851"/>
      <c r="U255" s="851"/>
      <c r="V255" s="851"/>
      <c r="W255" s="851"/>
      <c r="X255" s="851"/>
      <c r="Y255" s="851"/>
      <c r="Z255" s="851"/>
      <c r="AA255" s="851"/>
      <c r="AB255" s="851"/>
      <c r="AC255" s="851"/>
      <c r="AD255" s="851"/>
    </row>
    <row r="256" spans="1:40" ht="15" customHeight="1">
      <c r="A256" s="49"/>
      <c r="B256" s="794" t="str">
        <f>IF(AG234=0,"","Favor de ingresar toda la información requerida en la pregunta")</f>
        <v/>
      </c>
      <c r="C256" s="794"/>
      <c r="D256" s="794"/>
      <c r="E256" s="794"/>
      <c r="F256" s="794"/>
      <c r="G256" s="794"/>
      <c r="H256" s="794"/>
      <c r="I256" s="794"/>
      <c r="J256" s="794"/>
      <c r="K256" s="794"/>
      <c r="L256" s="794"/>
      <c r="M256" s="794"/>
      <c r="N256" s="794"/>
      <c r="O256" s="794"/>
      <c r="P256" s="794"/>
      <c r="Q256" s="794"/>
      <c r="R256" s="794"/>
      <c r="S256" s="794"/>
      <c r="T256" s="794"/>
      <c r="U256" s="794"/>
      <c r="V256" s="794"/>
      <c r="W256" s="794"/>
      <c r="X256" s="794"/>
      <c r="Y256" s="794"/>
      <c r="Z256" s="794"/>
      <c r="AA256" s="794"/>
      <c r="AB256" s="794"/>
      <c r="AC256" s="794"/>
      <c r="AD256" s="794"/>
      <c r="AE256" s="794"/>
    </row>
    <row r="257" spans="1:37" ht="15" customHeight="1">
      <c r="A257" s="110"/>
      <c r="B257" s="1087" t="str">
        <f>IF($C$33&lt;&gt;1,"",IF(COUNTIF(M234:AD249,"NS")&lt;&gt;0,"Alerta: debido a que cuenta con registros NS, debe proporcionar una justificación en el area de comentarios al final de la pregunta",""))</f>
        <v/>
      </c>
      <c r="C257" s="1087"/>
      <c r="D257" s="1087"/>
      <c r="E257" s="1087"/>
      <c r="F257" s="1087"/>
      <c r="G257" s="1087"/>
      <c r="H257" s="1087"/>
      <c r="I257" s="1087"/>
      <c r="J257" s="1087"/>
      <c r="K257" s="1087"/>
      <c r="L257" s="1087"/>
      <c r="M257" s="1087"/>
      <c r="N257" s="1087"/>
      <c r="O257" s="1087"/>
      <c r="P257" s="1087"/>
      <c r="Q257" s="1087"/>
      <c r="R257" s="1087"/>
      <c r="S257" s="1087"/>
      <c r="T257" s="1087"/>
      <c r="U257" s="1087"/>
      <c r="V257" s="1087"/>
      <c r="W257" s="1087"/>
      <c r="X257" s="1087"/>
      <c r="Y257" s="1087"/>
      <c r="Z257" s="1087"/>
      <c r="AA257" s="1087"/>
      <c r="AB257" s="1087"/>
      <c r="AC257" s="1087"/>
      <c r="AD257" s="1087"/>
      <c r="AE257" s="1087"/>
    </row>
    <row r="258" spans="1:37" ht="15" customHeight="1">
      <c r="A258" s="49"/>
      <c r="B258" s="1003" t="str">
        <f>IF(AH235&gt;0,"Revise la información capturada, ya que tiene datos ingresados en celdas que están sombreadas","")</f>
        <v/>
      </c>
      <c r="C258" s="1003"/>
      <c r="D258" s="1003"/>
      <c r="E258" s="1003"/>
      <c r="F258" s="1003"/>
      <c r="G258" s="1003"/>
      <c r="H258" s="1003"/>
      <c r="I258" s="1003"/>
      <c r="J258" s="1003"/>
      <c r="K258" s="1003"/>
      <c r="L258" s="1003"/>
      <c r="M258" s="1003"/>
      <c r="N258" s="1003"/>
      <c r="O258" s="1003"/>
      <c r="P258" s="1003"/>
      <c r="Q258" s="1003"/>
      <c r="R258" s="1003"/>
      <c r="S258" s="1003"/>
      <c r="T258" s="1003"/>
      <c r="U258" s="1003"/>
      <c r="V258" s="1003"/>
      <c r="W258" s="1003"/>
      <c r="X258" s="1003"/>
      <c r="Y258" s="1003"/>
      <c r="Z258" s="1003"/>
      <c r="AA258" s="1003"/>
      <c r="AB258" s="1003"/>
      <c r="AC258" s="1003"/>
      <c r="AD258" s="1003"/>
      <c r="AE258" s="1003"/>
    </row>
    <row r="259" spans="1:37" ht="15" customHeight="1">
      <c r="A259" s="110"/>
      <c r="B259" s="1003" t="str">
        <f>IF($C$33&lt;&gt;1,"",IF(AK250&gt;0,"Favor de revisar la suma y consistencia de totales y/o subtotales por filas (numéricos y NS)",""))</f>
        <v/>
      </c>
      <c r="C259" s="1003"/>
      <c r="D259" s="1003"/>
      <c r="E259" s="1003"/>
      <c r="F259" s="1003"/>
      <c r="G259" s="1003"/>
      <c r="H259" s="1003"/>
      <c r="I259" s="1003"/>
      <c r="J259" s="1003"/>
      <c r="K259" s="1003"/>
      <c r="L259" s="1003"/>
      <c r="M259" s="1003"/>
      <c r="N259" s="1003"/>
      <c r="O259" s="1003"/>
      <c r="P259" s="1003"/>
      <c r="Q259" s="1003"/>
      <c r="R259" s="1003"/>
      <c r="S259" s="1003"/>
      <c r="T259" s="1003"/>
      <c r="U259" s="1003"/>
      <c r="V259" s="1003"/>
      <c r="W259" s="1003"/>
      <c r="X259" s="1003"/>
      <c r="Y259" s="1003"/>
      <c r="Z259" s="1003"/>
      <c r="AA259" s="1003"/>
      <c r="AB259" s="1003"/>
      <c r="AC259" s="1003"/>
      <c r="AD259" s="1003"/>
      <c r="AE259" s="1003"/>
    </row>
    <row r="260" spans="1:37" ht="15" customHeight="1">
      <c r="A260" s="49"/>
      <c r="B260" s="794" t="str">
        <f>IF(AQ235&gt;0,"Favor de revisar la instrucción 2, debido a que no se cumplen con los criterios mencionados","")</f>
        <v/>
      </c>
      <c r="C260" s="794"/>
      <c r="D260" s="794"/>
      <c r="E260" s="794"/>
      <c r="F260" s="794"/>
      <c r="G260" s="794"/>
      <c r="H260" s="794"/>
      <c r="I260" s="794"/>
      <c r="J260" s="794"/>
      <c r="K260" s="794"/>
      <c r="L260" s="794"/>
      <c r="M260" s="794"/>
      <c r="N260" s="794"/>
      <c r="O260" s="794"/>
      <c r="P260" s="794"/>
      <c r="Q260" s="794"/>
      <c r="R260" s="794"/>
      <c r="S260" s="794"/>
      <c r="T260" s="794"/>
      <c r="U260" s="794"/>
      <c r="V260" s="794"/>
      <c r="W260" s="794"/>
      <c r="X260" s="794"/>
      <c r="Y260" s="794"/>
      <c r="Z260" s="794"/>
      <c r="AA260" s="794"/>
      <c r="AB260" s="794"/>
      <c r="AC260" s="794"/>
      <c r="AD260" s="794"/>
      <c r="AE260" s="794"/>
    </row>
    <row r="261" spans="1:37" ht="15" customHeight="1">
      <c r="A261" s="49"/>
      <c r="B261" s="795" t="str">
        <f>IF(AN250&gt;0,"Alerta: debe de proporcionar una justificación de acuerdo a lo establecido en la instrucción 3","")</f>
        <v/>
      </c>
      <c r="C261" s="795"/>
      <c r="D261" s="795"/>
      <c r="E261" s="795"/>
      <c r="F261" s="795"/>
      <c r="G261" s="795"/>
      <c r="H261" s="795"/>
      <c r="I261" s="795"/>
      <c r="J261" s="795"/>
      <c r="K261" s="795"/>
      <c r="L261" s="795"/>
      <c r="M261" s="795"/>
      <c r="N261" s="795"/>
      <c r="O261" s="795"/>
      <c r="P261" s="795"/>
      <c r="Q261" s="795"/>
      <c r="R261" s="795"/>
      <c r="S261" s="795"/>
      <c r="T261" s="795"/>
      <c r="U261" s="795"/>
      <c r="V261" s="795"/>
      <c r="W261" s="795"/>
      <c r="X261" s="795"/>
      <c r="Y261" s="795"/>
      <c r="Z261" s="795"/>
      <c r="AA261" s="795"/>
      <c r="AB261" s="795"/>
      <c r="AC261" s="795"/>
      <c r="AD261" s="795"/>
      <c r="AE261" s="795"/>
    </row>
    <row r="262" spans="1:37" ht="24" customHeight="1">
      <c r="A262" s="49" t="s">
        <v>5631</v>
      </c>
      <c r="B262" s="829" t="s">
        <v>5632</v>
      </c>
      <c r="C262" s="829"/>
      <c r="D262" s="829"/>
      <c r="E262" s="829"/>
      <c r="F262" s="829"/>
      <c r="G262" s="829"/>
      <c r="H262" s="829"/>
      <c r="I262" s="829"/>
      <c r="J262" s="829"/>
      <c r="K262" s="829"/>
      <c r="L262" s="829"/>
      <c r="M262" s="829"/>
      <c r="N262" s="829"/>
      <c r="O262" s="829"/>
      <c r="P262" s="829"/>
      <c r="Q262" s="829"/>
      <c r="R262" s="829"/>
      <c r="S262" s="829"/>
      <c r="T262" s="829"/>
      <c r="U262" s="829"/>
      <c r="V262" s="829"/>
      <c r="W262" s="829"/>
      <c r="X262" s="829"/>
      <c r="Y262" s="829"/>
      <c r="Z262" s="829"/>
      <c r="AA262" s="829"/>
      <c r="AB262" s="829"/>
      <c r="AC262" s="829"/>
      <c r="AD262" s="829"/>
    </row>
    <row r="263" spans="1:37" ht="15" customHeight="1">
      <c r="A263" s="49"/>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c r="AA263" s="38"/>
      <c r="AB263" s="38"/>
      <c r="AC263" s="38"/>
      <c r="AD263" s="38"/>
    </row>
    <row r="264" spans="1:37" ht="15" customHeight="1">
      <c r="A264" s="49"/>
      <c r="B264" s="38"/>
      <c r="C264" s="732" t="s">
        <v>3259</v>
      </c>
      <c r="D264" s="880"/>
      <c r="E264" s="880"/>
      <c r="F264" s="880"/>
      <c r="G264" s="880"/>
      <c r="H264" s="880"/>
      <c r="I264" s="880"/>
      <c r="J264" s="880"/>
      <c r="K264" s="880"/>
      <c r="L264" s="880"/>
      <c r="M264" s="732" t="s">
        <v>5601</v>
      </c>
      <c r="N264" s="732"/>
      <c r="O264" s="732"/>
      <c r="P264" s="732"/>
      <c r="Q264" s="732"/>
      <c r="R264" s="732"/>
      <c r="S264" s="732"/>
      <c r="T264" s="732"/>
      <c r="U264" s="732"/>
      <c r="V264" s="732"/>
      <c r="W264" s="732"/>
      <c r="X264" s="732"/>
      <c r="Y264" s="732"/>
      <c r="Z264" s="732"/>
      <c r="AA264" s="732"/>
      <c r="AB264" s="732"/>
      <c r="AC264" s="732"/>
      <c r="AD264" s="732"/>
    </row>
    <row r="265" spans="1:37" ht="15" customHeight="1">
      <c r="A265" s="49"/>
      <c r="B265" s="38"/>
      <c r="C265" s="880"/>
      <c r="D265" s="880"/>
      <c r="E265" s="880"/>
      <c r="F265" s="880"/>
      <c r="G265" s="880"/>
      <c r="H265" s="880"/>
      <c r="I265" s="880"/>
      <c r="J265" s="880"/>
      <c r="K265" s="880"/>
      <c r="L265" s="880"/>
      <c r="M265" s="987" t="s">
        <v>2628</v>
      </c>
      <c r="N265" s="988"/>
      <c r="O265" s="988"/>
      <c r="P265" s="988"/>
      <c r="Q265" s="988"/>
      <c r="R265" s="988"/>
      <c r="S265" s="989" t="s">
        <v>2629</v>
      </c>
      <c r="T265" s="990"/>
      <c r="U265" s="990"/>
      <c r="V265" s="990"/>
      <c r="W265" s="990"/>
      <c r="X265" s="990"/>
      <c r="Y265" s="989" t="s">
        <v>2630</v>
      </c>
      <c r="Z265" s="990"/>
      <c r="AA265" s="990"/>
      <c r="AB265" s="990"/>
      <c r="AC265" s="990"/>
      <c r="AD265" s="990"/>
      <c r="AG265" t="s">
        <v>2586</v>
      </c>
      <c r="AH265" t="s">
        <v>4599</v>
      </c>
      <c r="AI265" t="s">
        <v>2590</v>
      </c>
      <c r="AJ265" t="s">
        <v>3163</v>
      </c>
      <c r="AK265" t="s">
        <v>4564</v>
      </c>
    </row>
    <row r="266" spans="1:37" ht="15" customHeight="1">
      <c r="A266" s="49"/>
      <c r="B266" s="38"/>
      <c r="C266" s="97" t="s">
        <v>2516</v>
      </c>
      <c r="D266" s="796" t="s">
        <v>3085</v>
      </c>
      <c r="E266" s="796"/>
      <c r="F266" s="796"/>
      <c r="G266" s="796"/>
      <c r="H266" s="796"/>
      <c r="I266" s="796"/>
      <c r="J266" s="796"/>
      <c r="K266" s="796"/>
      <c r="L266" s="796"/>
      <c r="M266" s="749"/>
      <c r="N266" s="749"/>
      <c r="O266" s="749"/>
      <c r="P266" s="749"/>
      <c r="Q266" s="749"/>
      <c r="R266" s="749"/>
      <c r="S266" s="749"/>
      <c r="T266" s="749"/>
      <c r="U266" s="749"/>
      <c r="V266" s="749"/>
      <c r="W266" s="749"/>
      <c r="X266" s="749"/>
      <c r="Y266" s="749"/>
      <c r="Z266" s="749"/>
      <c r="AA266" s="749"/>
      <c r="AB266" s="749"/>
      <c r="AC266" s="749"/>
      <c r="AD266" s="749"/>
      <c r="AG266" s="506">
        <f>IF(OR($C$33&gt;1,$C$33=""),0,IF(COUNTBLANK(M266:AD292)=405,0,1))</f>
        <v>0</v>
      </c>
      <c r="AH266" s="506">
        <f>IF($C$33&lt;&gt;1,IF(COUNTBLANK(M266:AD292)=486,0,1),0)</f>
        <v>0</v>
      </c>
      <c r="AI266">
        <f t="shared" ref="AI266" si="39">COUNTIF(S266:AD266,"NS")</f>
        <v>0</v>
      </c>
      <c r="AJ266">
        <f t="shared" ref="AJ266" si="40">SUM(S266:AD266)</f>
        <v>0</v>
      </c>
      <c r="AK266">
        <f>IF(COUNTIF(M266:AD266,"NA")=3,0,IF(COUNTA(M266:AD266)=0,0,IF(OR(AND(M266=0,AI266&gt;0),AND(M266="ns",AJ266&gt;0),AND(M266="ns",AI266=0,AJ266=0)),1,IF(OR(AND(M266&gt;0,AI266=2),AND(M266="ns",AI266=2),AND(M266="ns",AJ266=0,AI266&gt;0),M266=AJ266),0,1))))</f>
        <v>0</v>
      </c>
    </row>
    <row r="267" spans="1:37" ht="15" customHeight="1">
      <c r="A267" s="49"/>
      <c r="B267" s="38"/>
      <c r="C267" s="98" t="s">
        <v>2517</v>
      </c>
      <c r="D267" s="796" t="s">
        <v>3088</v>
      </c>
      <c r="E267" s="796"/>
      <c r="F267" s="796"/>
      <c r="G267" s="796"/>
      <c r="H267" s="796"/>
      <c r="I267" s="796"/>
      <c r="J267" s="796"/>
      <c r="K267" s="796"/>
      <c r="L267" s="796"/>
      <c r="M267" s="749"/>
      <c r="N267" s="749"/>
      <c r="O267" s="749"/>
      <c r="P267" s="749"/>
      <c r="Q267" s="749"/>
      <c r="R267" s="749"/>
      <c r="S267" s="749"/>
      <c r="T267" s="749"/>
      <c r="U267" s="749"/>
      <c r="V267" s="749"/>
      <c r="W267" s="749"/>
      <c r="X267" s="749"/>
      <c r="Y267" s="749"/>
      <c r="Z267" s="749"/>
      <c r="AA267" s="749"/>
      <c r="AB267" s="749"/>
      <c r="AC267" s="749"/>
      <c r="AD267" s="749"/>
      <c r="AI267">
        <f t="shared" ref="AI267:AI292" si="41">COUNTIF(S267:AD267,"NS")</f>
        <v>0</v>
      </c>
      <c r="AJ267">
        <f t="shared" ref="AJ267:AJ292" si="42">SUM(S267:AD267)</f>
        <v>0</v>
      </c>
      <c r="AK267">
        <f t="shared" ref="AK267:AK292" si="43">IF(COUNTIF(M267:AD267,"NA")=3,0,IF(COUNTA(M267:AD267)=0,0,IF(OR(AND(M267=0,AI267&gt;0),AND(M267="ns",AJ267&gt;0),AND(M267="ns",AI267=0,AJ267=0)),1,IF(OR(AND(M267&gt;0,AI267=2),AND(M267="ns",AI267=2),AND(M267="ns",AJ267=0,AI267&gt;0),M267=AJ267),0,1))))</f>
        <v>0</v>
      </c>
    </row>
    <row r="268" spans="1:37" ht="15" customHeight="1">
      <c r="A268" s="49"/>
      <c r="B268" s="38"/>
      <c r="C268" s="98" t="s">
        <v>2518</v>
      </c>
      <c r="D268" s="796" t="s">
        <v>3091</v>
      </c>
      <c r="E268" s="796"/>
      <c r="F268" s="796"/>
      <c r="G268" s="796"/>
      <c r="H268" s="796"/>
      <c r="I268" s="796"/>
      <c r="J268" s="796"/>
      <c r="K268" s="796"/>
      <c r="L268" s="796"/>
      <c r="M268" s="749"/>
      <c r="N268" s="749"/>
      <c r="O268" s="749"/>
      <c r="P268" s="749"/>
      <c r="Q268" s="749"/>
      <c r="R268" s="749"/>
      <c r="S268" s="749"/>
      <c r="T268" s="749"/>
      <c r="U268" s="749"/>
      <c r="V268" s="749"/>
      <c r="W268" s="749"/>
      <c r="X268" s="749"/>
      <c r="Y268" s="749"/>
      <c r="Z268" s="749"/>
      <c r="AA268" s="749"/>
      <c r="AB268" s="749"/>
      <c r="AC268" s="749"/>
      <c r="AD268" s="749"/>
      <c r="AI268">
        <f t="shared" si="41"/>
        <v>0</v>
      </c>
      <c r="AJ268">
        <f t="shared" si="42"/>
        <v>0</v>
      </c>
      <c r="AK268">
        <f t="shared" si="43"/>
        <v>0</v>
      </c>
    </row>
    <row r="269" spans="1:37" ht="15" customHeight="1">
      <c r="A269" s="49"/>
      <c r="B269" s="38"/>
      <c r="C269" s="98" t="s">
        <v>2519</v>
      </c>
      <c r="D269" s="796" t="s">
        <v>3093</v>
      </c>
      <c r="E269" s="796"/>
      <c r="F269" s="796"/>
      <c r="G269" s="796"/>
      <c r="H269" s="796"/>
      <c r="I269" s="796"/>
      <c r="J269" s="796"/>
      <c r="K269" s="796"/>
      <c r="L269" s="796"/>
      <c r="M269" s="749"/>
      <c r="N269" s="749"/>
      <c r="O269" s="749"/>
      <c r="P269" s="749"/>
      <c r="Q269" s="749"/>
      <c r="R269" s="749"/>
      <c r="S269" s="749"/>
      <c r="T269" s="749"/>
      <c r="U269" s="749"/>
      <c r="V269" s="749"/>
      <c r="W269" s="749"/>
      <c r="X269" s="749"/>
      <c r="Y269" s="749"/>
      <c r="Z269" s="749"/>
      <c r="AA269" s="749"/>
      <c r="AB269" s="749"/>
      <c r="AC269" s="749"/>
      <c r="AD269" s="749"/>
      <c r="AI269">
        <f t="shared" si="41"/>
        <v>0</v>
      </c>
      <c r="AJ269">
        <f t="shared" si="42"/>
        <v>0</v>
      </c>
      <c r="AK269">
        <f t="shared" si="43"/>
        <v>0</v>
      </c>
    </row>
    <row r="270" spans="1:37" ht="15" customHeight="1">
      <c r="A270" s="49"/>
      <c r="B270" s="38"/>
      <c r="C270" s="98" t="s">
        <v>2520</v>
      </c>
      <c r="D270" s="796" t="s">
        <v>3095</v>
      </c>
      <c r="E270" s="796"/>
      <c r="F270" s="796"/>
      <c r="G270" s="796"/>
      <c r="H270" s="796"/>
      <c r="I270" s="796"/>
      <c r="J270" s="796"/>
      <c r="K270" s="796"/>
      <c r="L270" s="796"/>
      <c r="M270" s="749"/>
      <c r="N270" s="749"/>
      <c r="O270" s="749"/>
      <c r="P270" s="749"/>
      <c r="Q270" s="749"/>
      <c r="R270" s="749"/>
      <c r="S270" s="749"/>
      <c r="T270" s="749"/>
      <c r="U270" s="749"/>
      <c r="V270" s="749"/>
      <c r="W270" s="749"/>
      <c r="X270" s="749"/>
      <c r="Y270" s="749"/>
      <c r="Z270" s="749"/>
      <c r="AA270" s="749"/>
      <c r="AB270" s="749"/>
      <c r="AC270" s="749"/>
      <c r="AD270" s="749"/>
      <c r="AI270">
        <f t="shared" si="41"/>
        <v>0</v>
      </c>
      <c r="AJ270">
        <f t="shared" si="42"/>
        <v>0</v>
      </c>
      <c r="AK270">
        <f t="shared" si="43"/>
        <v>0</v>
      </c>
    </row>
    <row r="271" spans="1:37" ht="15" customHeight="1">
      <c r="A271" s="110"/>
      <c r="B271" s="57"/>
      <c r="C271" s="98" t="s">
        <v>2521</v>
      </c>
      <c r="D271" s="796" t="s">
        <v>3098</v>
      </c>
      <c r="E271" s="796"/>
      <c r="F271" s="796"/>
      <c r="G271" s="796"/>
      <c r="H271" s="796"/>
      <c r="I271" s="796"/>
      <c r="J271" s="796"/>
      <c r="K271" s="796"/>
      <c r="L271" s="796"/>
      <c r="M271" s="749"/>
      <c r="N271" s="749"/>
      <c r="O271" s="749"/>
      <c r="P271" s="749"/>
      <c r="Q271" s="749"/>
      <c r="R271" s="749"/>
      <c r="S271" s="749"/>
      <c r="T271" s="749"/>
      <c r="U271" s="749"/>
      <c r="V271" s="749"/>
      <c r="W271" s="749"/>
      <c r="X271" s="749"/>
      <c r="Y271" s="749"/>
      <c r="Z271" s="749"/>
      <c r="AA271" s="749"/>
      <c r="AB271" s="749"/>
      <c r="AC271" s="749"/>
      <c r="AD271" s="749"/>
      <c r="AI271">
        <f t="shared" si="41"/>
        <v>0</v>
      </c>
      <c r="AJ271">
        <f t="shared" si="42"/>
        <v>0</v>
      </c>
      <c r="AK271">
        <f t="shared" si="43"/>
        <v>0</v>
      </c>
    </row>
    <row r="272" spans="1:37" ht="15" customHeight="1">
      <c r="A272" s="110"/>
      <c r="B272" s="57"/>
      <c r="C272" s="98" t="s">
        <v>2522</v>
      </c>
      <c r="D272" s="796" t="s">
        <v>3101</v>
      </c>
      <c r="E272" s="796"/>
      <c r="F272" s="796"/>
      <c r="G272" s="796"/>
      <c r="H272" s="796"/>
      <c r="I272" s="796"/>
      <c r="J272" s="796"/>
      <c r="K272" s="796"/>
      <c r="L272" s="796"/>
      <c r="M272" s="749"/>
      <c r="N272" s="749"/>
      <c r="O272" s="749"/>
      <c r="P272" s="749"/>
      <c r="Q272" s="749"/>
      <c r="R272" s="749"/>
      <c r="S272" s="749"/>
      <c r="T272" s="749"/>
      <c r="U272" s="749"/>
      <c r="V272" s="749"/>
      <c r="W272" s="749"/>
      <c r="X272" s="749"/>
      <c r="Y272" s="749"/>
      <c r="Z272" s="749"/>
      <c r="AA272" s="749"/>
      <c r="AB272" s="749"/>
      <c r="AC272" s="749"/>
      <c r="AD272" s="749"/>
      <c r="AI272">
        <f t="shared" si="41"/>
        <v>0</v>
      </c>
      <c r="AJ272">
        <f t="shared" si="42"/>
        <v>0</v>
      </c>
      <c r="AK272">
        <f t="shared" si="43"/>
        <v>0</v>
      </c>
    </row>
    <row r="273" spans="1:37" ht="15" customHeight="1">
      <c r="A273" s="110"/>
      <c r="B273" s="57"/>
      <c r="C273" s="98" t="s">
        <v>2523</v>
      </c>
      <c r="D273" s="796" t="s">
        <v>3104</v>
      </c>
      <c r="E273" s="796"/>
      <c r="F273" s="796"/>
      <c r="G273" s="796"/>
      <c r="H273" s="796"/>
      <c r="I273" s="796"/>
      <c r="J273" s="796"/>
      <c r="K273" s="796"/>
      <c r="L273" s="796"/>
      <c r="M273" s="749"/>
      <c r="N273" s="749"/>
      <c r="O273" s="749"/>
      <c r="P273" s="749"/>
      <c r="Q273" s="749"/>
      <c r="R273" s="749"/>
      <c r="S273" s="749"/>
      <c r="T273" s="749"/>
      <c r="U273" s="749"/>
      <c r="V273" s="749"/>
      <c r="W273" s="749"/>
      <c r="X273" s="749"/>
      <c r="Y273" s="749"/>
      <c r="Z273" s="749"/>
      <c r="AA273" s="749"/>
      <c r="AB273" s="749"/>
      <c r="AC273" s="749"/>
      <c r="AD273" s="749"/>
      <c r="AI273">
        <f t="shared" si="41"/>
        <v>0</v>
      </c>
      <c r="AJ273">
        <f t="shared" si="42"/>
        <v>0</v>
      </c>
      <c r="AK273">
        <f t="shared" si="43"/>
        <v>0</v>
      </c>
    </row>
    <row r="274" spans="1:37" ht="15" customHeight="1">
      <c r="A274" s="110"/>
      <c r="B274" s="57"/>
      <c r="C274" s="98" t="s">
        <v>2524</v>
      </c>
      <c r="D274" s="796" t="s">
        <v>3107</v>
      </c>
      <c r="E274" s="796"/>
      <c r="F274" s="796"/>
      <c r="G274" s="796"/>
      <c r="H274" s="796"/>
      <c r="I274" s="796"/>
      <c r="J274" s="796"/>
      <c r="K274" s="796"/>
      <c r="L274" s="796"/>
      <c r="M274" s="749"/>
      <c r="N274" s="749"/>
      <c r="O274" s="749"/>
      <c r="P274" s="749"/>
      <c r="Q274" s="749"/>
      <c r="R274" s="749"/>
      <c r="S274" s="749"/>
      <c r="T274" s="749"/>
      <c r="U274" s="749"/>
      <c r="V274" s="749"/>
      <c r="W274" s="749"/>
      <c r="X274" s="749"/>
      <c r="Y274" s="749"/>
      <c r="Z274" s="749"/>
      <c r="AA274" s="749"/>
      <c r="AB274" s="749"/>
      <c r="AC274" s="749"/>
      <c r="AD274" s="749"/>
      <c r="AI274">
        <f t="shared" si="41"/>
        <v>0</v>
      </c>
      <c r="AJ274">
        <f t="shared" si="42"/>
        <v>0</v>
      </c>
      <c r="AK274">
        <f t="shared" si="43"/>
        <v>0</v>
      </c>
    </row>
    <row r="275" spans="1:37" ht="15" customHeight="1">
      <c r="A275" s="110"/>
      <c r="B275" s="57"/>
      <c r="C275" s="98" t="s">
        <v>2525</v>
      </c>
      <c r="D275" s="796" t="s">
        <v>3110</v>
      </c>
      <c r="E275" s="796"/>
      <c r="F275" s="796"/>
      <c r="G275" s="796"/>
      <c r="H275" s="796"/>
      <c r="I275" s="796"/>
      <c r="J275" s="796"/>
      <c r="K275" s="796"/>
      <c r="L275" s="796"/>
      <c r="M275" s="749"/>
      <c r="N275" s="749"/>
      <c r="O275" s="749"/>
      <c r="P275" s="749"/>
      <c r="Q275" s="749"/>
      <c r="R275" s="749"/>
      <c r="S275" s="749"/>
      <c r="T275" s="749"/>
      <c r="U275" s="749"/>
      <c r="V275" s="749"/>
      <c r="W275" s="749"/>
      <c r="X275" s="749"/>
      <c r="Y275" s="749"/>
      <c r="Z275" s="749"/>
      <c r="AA275" s="749"/>
      <c r="AB275" s="749"/>
      <c r="AC275" s="749"/>
      <c r="AD275" s="749"/>
      <c r="AI275">
        <f t="shared" si="41"/>
        <v>0</v>
      </c>
      <c r="AJ275">
        <f t="shared" si="42"/>
        <v>0</v>
      </c>
      <c r="AK275">
        <f t="shared" si="43"/>
        <v>0</v>
      </c>
    </row>
    <row r="276" spans="1:37" ht="15" customHeight="1">
      <c r="A276" s="110"/>
      <c r="B276" s="57"/>
      <c r="C276" s="98" t="s">
        <v>2526</v>
      </c>
      <c r="D276" s="796" t="s">
        <v>3113</v>
      </c>
      <c r="E276" s="796"/>
      <c r="F276" s="796"/>
      <c r="G276" s="796"/>
      <c r="H276" s="796"/>
      <c r="I276" s="796"/>
      <c r="J276" s="796"/>
      <c r="K276" s="796"/>
      <c r="L276" s="796"/>
      <c r="M276" s="749"/>
      <c r="N276" s="749"/>
      <c r="O276" s="749"/>
      <c r="P276" s="749"/>
      <c r="Q276" s="749"/>
      <c r="R276" s="749"/>
      <c r="S276" s="749"/>
      <c r="T276" s="749"/>
      <c r="U276" s="749"/>
      <c r="V276" s="749"/>
      <c r="W276" s="749"/>
      <c r="X276" s="749"/>
      <c r="Y276" s="749"/>
      <c r="Z276" s="749"/>
      <c r="AA276" s="749"/>
      <c r="AB276" s="749"/>
      <c r="AC276" s="749"/>
      <c r="AD276" s="749"/>
      <c r="AI276">
        <f t="shared" si="41"/>
        <v>0</v>
      </c>
      <c r="AJ276">
        <f t="shared" si="42"/>
        <v>0</v>
      </c>
      <c r="AK276">
        <f t="shared" si="43"/>
        <v>0</v>
      </c>
    </row>
    <row r="277" spans="1:37" ht="15" customHeight="1">
      <c r="A277" s="110"/>
      <c r="B277" s="57"/>
      <c r="C277" s="98" t="s">
        <v>2527</v>
      </c>
      <c r="D277" s="796" t="s">
        <v>3116</v>
      </c>
      <c r="E277" s="796"/>
      <c r="F277" s="796"/>
      <c r="G277" s="796"/>
      <c r="H277" s="796"/>
      <c r="I277" s="796"/>
      <c r="J277" s="796"/>
      <c r="K277" s="796"/>
      <c r="L277" s="796"/>
      <c r="M277" s="749"/>
      <c r="N277" s="749"/>
      <c r="O277" s="749"/>
      <c r="P277" s="749"/>
      <c r="Q277" s="749"/>
      <c r="R277" s="749"/>
      <c r="S277" s="749"/>
      <c r="T277" s="749"/>
      <c r="U277" s="749"/>
      <c r="V277" s="749"/>
      <c r="W277" s="749"/>
      <c r="X277" s="749"/>
      <c r="Y277" s="749"/>
      <c r="Z277" s="749"/>
      <c r="AA277" s="749"/>
      <c r="AB277" s="749"/>
      <c r="AC277" s="749"/>
      <c r="AD277" s="749"/>
      <c r="AI277">
        <f t="shared" si="41"/>
        <v>0</v>
      </c>
      <c r="AJ277">
        <f t="shared" si="42"/>
        <v>0</v>
      </c>
      <c r="AK277">
        <f t="shared" si="43"/>
        <v>0</v>
      </c>
    </row>
    <row r="278" spans="1:37" ht="15" customHeight="1">
      <c r="A278" s="110"/>
      <c r="B278" s="57"/>
      <c r="C278" s="98" t="s">
        <v>2528</v>
      </c>
      <c r="D278" s="796" t="s">
        <v>3119</v>
      </c>
      <c r="E278" s="796"/>
      <c r="F278" s="796"/>
      <c r="G278" s="796"/>
      <c r="H278" s="796"/>
      <c r="I278" s="796"/>
      <c r="J278" s="796"/>
      <c r="K278" s="796"/>
      <c r="L278" s="796"/>
      <c r="M278" s="749"/>
      <c r="N278" s="749"/>
      <c r="O278" s="749"/>
      <c r="P278" s="749"/>
      <c r="Q278" s="749"/>
      <c r="R278" s="749"/>
      <c r="S278" s="749"/>
      <c r="T278" s="749"/>
      <c r="U278" s="749"/>
      <c r="V278" s="749"/>
      <c r="W278" s="749"/>
      <c r="X278" s="749"/>
      <c r="Y278" s="749"/>
      <c r="Z278" s="749"/>
      <c r="AA278" s="749"/>
      <c r="AB278" s="749"/>
      <c r="AC278" s="749"/>
      <c r="AD278" s="749"/>
      <c r="AI278">
        <f t="shared" si="41"/>
        <v>0</v>
      </c>
      <c r="AJ278">
        <f t="shared" si="42"/>
        <v>0</v>
      </c>
      <c r="AK278">
        <f t="shared" si="43"/>
        <v>0</v>
      </c>
    </row>
    <row r="279" spans="1:37" ht="15" customHeight="1">
      <c r="A279" s="110"/>
      <c r="B279" s="57"/>
      <c r="C279" s="98" t="s">
        <v>2529</v>
      </c>
      <c r="D279" s="796" t="s">
        <v>3122</v>
      </c>
      <c r="E279" s="796"/>
      <c r="F279" s="796"/>
      <c r="G279" s="796"/>
      <c r="H279" s="796"/>
      <c r="I279" s="796"/>
      <c r="J279" s="796"/>
      <c r="K279" s="796"/>
      <c r="L279" s="796"/>
      <c r="M279" s="749"/>
      <c r="N279" s="749"/>
      <c r="O279" s="749"/>
      <c r="P279" s="749"/>
      <c r="Q279" s="749"/>
      <c r="R279" s="749"/>
      <c r="S279" s="749"/>
      <c r="T279" s="749"/>
      <c r="U279" s="749"/>
      <c r="V279" s="749"/>
      <c r="W279" s="749"/>
      <c r="X279" s="749"/>
      <c r="Y279" s="749"/>
      <c r="Z279" s="749"/>
      <c r="AA279" s="749"/>
      <c r="AB279" s="749"/>
      <c r="AC279" s="749"/>
      <c r="AD279" s="749"/>
      <c r="AI279">
        <f t="shared" si="41"/>
        <v>0</v>
      </c>
      <c r="AJ279">
        <f t="shared" si="42"/>
        <v>0</v>
      </c>
      <c r="AK279">
        <f t="shared" si="43"/>
        <v>0</v>
      </c>
    </row>
    <row r="280" spans="1:37" ht="15" customHeight="1">
      <c r="A280" s="110"/>
      <c r="B280" s="57"/>
      <c r="C280" s="98" t="s">
        <v>2530</v>
      </c>
      <c r="D280" s="796" t="s">
        <v>3124</v>
      </c>
      <c r="E280" s="796"/>
      <c r="F280" s="796"/>
      <c r="G280" s="796"/>
      <c r="H280" s="796"/>
      <c r="I280" s="796"/>
      <c r="J280" s="796"/>
      <c r="K280" s="796"/>
      <c r="L280" s="796"/>
      <c r="M280" s="749"/>
      <c r="N280" s="749"/>
      <c r="O280" s="749"/>
      <c r="P280" s="749"/>
      <c r="Q280" s="749"/>
      <c r="R280" s="749"/>
      <c r="S280" s="749"/>
      <c r="T280" s="749"/>
      <c r="U280" s="749"/>
      <c r="V280" s="749"/>
      <c r="W280" s="749"/>
      <c r="X280" s="749"/>
      <c r="Y280" s="749"/>
      <c r="Z280" s="749"/>
      <c r="AA280" s="749"/>
      <c r="AB280" s="749"/>
      <c r="AC280" s="749"/>
      <c r="AD280" s="749"/>
      <c r="AI280">
        <f t="shared" si="41"/>
        <v>0</v>
      </c>
      <c r="AJ280">
        <f t="shared" si="42"/>
        <v>0</v>
      </c>
      <c r="AK280">
        <f t="shared" si="43"/>
        <v>0</v>
      </c>
    </row>
    <row r="281" spans="1:37" ht="15" customHeight="1">
      <c r="A281" s="110"/>
      <c r="B281" s="57"/>
      <c r="C281" s="98" t="s">
        <v>2531</v>
      </c>
      <c r="D281" s="796" t="s">
        <v>3126</v>
      </c>
      <c r="E281" s="796"/>
      <c r="F281" s="796"/>
      <c r="G281" s="796"/>
      <c r="H281" s="796"/>
      <c r="I281" s="796"/>
      <c r="J281" s="796"/>
      <c r="K281" s="796"/>
      <c r="L281" s="796"/>
      <c r="M281" s="749"/>
      <c r="N281" s="749"/>
      <c r="O281" s="749"/>
      <c r="P281" s="749"/>
      <c r="Q281" s="749"/>
      <c r="R281" s="749"/>
      <c r="S281" s="749"/>
      <c r="T281" s="749"/>
      <c r="U281" s="749"/>
      <c r="V281" s="749"/>
      <c r="W281" s="749"/>
      <c r="X281" s="749"/>
      <c r="Y281" s="749"/>
      <c r="Z281" s="749"/>
      <c r="AA281" s="749"/>
      <c r="AB281" s="749"/>
      <c r="AC281" s="749"/>
      <c r="AD281" s="749"/>
      <c r="AI281">
        <f t="shared" si="41"/>
        <v>0</v>
      </c>
      <c r="AJ281">
        <f t="shared" si="42"/>
        <v>0</v>
      </c>
      <c r="AK281">
        <f t="shared" si="43"/>
        <v>0</v>
      </c>
    </row>
    <row r="282" spans="1:37" ht="15" customHeight="1">
      <c r="A282" s="110"/>
      <c r="B282" s="57"/>
      <c r="C282" s="98" t="s">
        <v>2532</v>
      </c>
      <c r="D282" s="796" t="s">
        <v>3129</v>
      </c>
      <c r="E282" s="796"/>
      <c r="F282" s="796"/>
      <c r="G282" s="796"/>
      <c r="H282" s="796"/>
      <c r="I282" s="796"/>
      <c r="J282" s="796"/>
      <c r="K282" s="796"/>
      <c r="L282" s="796"/>
      <c r="M282" s="749"/>
      <c r="N282" s="749"/>
      <c r="O282" s="749"/>
      <c r="P282" s="749"/>
      <c r="Q282" s="749"/>
      <c r="R282" s="749"/>
      <c r="S282" s="749"/>
      <c r="T282" s="749"/>
      <c r="U282" s="749"/>
      <c r="V282" s="749"/>
      <c r="W282" s="749"/>
      <c r="X282" s="749"/>
      <c r="Y282" s="749"/>
      <c r="Z282" s="749"/>
      <c r="AA282" s="749"/>
      <c r="AB282" s="749"/>
      <c r="AC282" s="749"/>
      <c r="AD282" s="749"/>
      <c r="AI282">
        <f t="shared" si="41"/>
        <v>0</v>
      </c>
      <c r="AJ282">
        <f t="shared" si="42"/>
        <v>0</v>
      </c>
      <c r="AK282">
        <f t="shared" si="43"/>
        <v>0</v>
      </c>
    </row>
    <row r="283" spans="1:37" ht="15" customHeight="1">
      <c r="A283" s="110"/>
      <c r="B283" s="57"/>
      <c r="C283" s="98" t="s">
        <v>2533</v>
      </c>
      <c r="D283" s="796" t="s">
        <v>3132</v>
      </c>
      <c r="E283" s="796"/>
      <c r="F283" s="796"/>
      <c r="G283" s="796"/>
      <c r="H283" s="796"/>
      <c r="I283" s="796"/>
      <c r="J283" s="796"/>
      <c r="K283" s="796"/>
      <c r="L283" s="796"/>
      <c r="M283" s="749"/>
      <c r="N283" s="749"/>
      <c r="O283" s="749"/>
      <c r="P283" s="749"/>
      <c r="Q283" s="749"/>
      <c r="R283" s="749"/>
      <c r="S283" s="749"/>
      <c r="T283" s="749"/>
      <c r="U283" s="749"/>
      <c r="V283" s="749"/>
      <c r="W283" s="749"/>
      <c r="X283" s="749"/>
      <c r="Y283" s="749"/>
      <c r="Z283" s="749"/>
      <c r="AA283" s="749"/>
      <c r="AB283" s="749"/>
      <c r="AC283" s="749"/>
      <c r="AD283" s="749"/>
      <c r="AI283">
        <f t="shared" si="41"/>
        <v>0</v>
      </c>
      <c r="AJ283">
        <f t="shared" si="42"/>
        <v>0</v>
      </c>
      <c r="AK283">
        <f t="shared" si="43"/>
        <v>0</v>
      </c>
    </row>
    <row r="284" spans="1:37" ht="15" customHeight="1">
      <c r="A284" s="110"/>
      <c r="B284" s="57"/>
      <c r="C284" s="98" t="s">
        <v>2534</v>
      </c>
      <c r="D284" s="796" t="s">
        <v>3135</v>
      </c>
      <c r="E284" s="796"/>
      <c r="F284" s="796"/>
      <c r="G284" s="796"/>
      <c r="H284" s="796"/>
      <c r="I284" s="796"/>
      <c r="J284" s="796"/>
      <c r="K284" s="796"/>
      <c r="L284" s="796"/>
      <c r="M284" s="749"/>
      <c r="N284" s="749"/>
      <c r="O284" s="749"/>
      <c r="P284" s="749"/>
      <c r="Q284" s="749"/>
      <c r="R284" s="749"/>
      <c r="S284" s="749"/>
      <c r="T284" s="749"/>
      <c r="U284" s="749"/>
      <c r="V284" s="749"/>
      <c r="W284" s="749"/>
      <c r="X284" s="749"/>
      <c r="Y284" s="749"/>
      <c r="Z284" s="749"/>
      <c r="AA284" s="749"/>
      <c r="AB284" s="749"/>
      <c r="AC284" s="749"/>
      <c r="AD284" s="749"/>
      <c r="AI284">
        <f t="shared" si="41"/>
        <v>0</v>
      </c>
      <c r="AJ284">
        <f t="shared" si="42"/>
        <v>0</v>
      </c>
      <c r="AK284">
        <f t="shared" si="43"/>
        <v>0</v>
      </c>
    </row>
    <row r="285" spans="1:37" ht="15" customHeight="1">
      <c r="A285" s="110"/>
      <c r="B285" s="57"/>
      <c r="C285" s="98" t="s">
        <v>2535</v>
      </c>
      <c r="D285" s="796" t="s">
        <v>3138</v>
      </c>
      <c r="E285" s="796"/>
      <c r="F285" s="796"/>
      <c r="G285" s="796"/>
      <c r="H285" s="796"/>
      <c r="I285" s="796"/>
      <c r="J285" s="796"/>
      <c r="K285" s="796"/>
      <c r="L285" s="796"/>
      <c r="M285" s="749"/>
      <c r="N285" s="749"/>
      <c r="O285" s="749"/>
      <c r="P285" s="749"/>
      <c r="Q285" s="749"/>
      <c r="R285" s="749"/>
      <c r="S285" s="749"/>
      <c r="T285" s="749"/>
      <c r="U285" s="749"/>
      <c r="V285" s="749"/>
      <c r="W285" s="749"/>
      <c r="X285" s="749"/>
      <c r="Y285" s="749"/>
      <c r="Z285" s="749"/>
      <c r="AA285" s="749"/>
      <c r="AB285" s="749"/>
      <c r="AC285" s="749"/>
      <c r="AD285" s="749"/>
      <c r="AI285">
        <f t="shared" si="41"/>
        <v>0</v>
      </c>
      <c r="AJ285">
        <f t="shared" si="42"/>
        <v>0</v>
      </c>
      <c r="AK285">
        <f t="shared" si="43"/>
        <v>0</v>
      </c>
    </row>
    <row r="286" spans="1:37" ht="15" customHeight="1">
      <c r="A286" s="110"/>
      <c r="B286" s="57"/>
      <c r="C286" s="98" t="s">
        <v>2536</v>
      </c>
      <c r="D286" s="796" t="s">
        <v>3141</v>
      </c>
      <c r="E286" s="796"/>
      <c r="F286" s="796"/>
      <c r="G286" s="796"/>
      <c r="H286" s="796"/>
      <c r="I286" s="796"/>
      <c r="J286" s="796"/>
      <c r="K286" s="796"/>
      <c r="L286" s="796"/>
      <c r="M286" s="749"/>
      <c r="N286" s="749"/>
      <c r="O286" s="749"/>
      <c r="P286" s="749"/>
      <c r="Q286" s="749"/>
      <c r="R286" s="749"/>
      <c r="S286" s="749"/>
      <c r="T286" s="749"/>
      <c r="U286" s="749"/>
      <c r="V286" s="749"/>
      <c r="W286" s="749"/>
      <c r="X286" s="749"/>
      <c r="Y286" s="749"/>
      <c r="Z286" s="749"/>
      <c r="AA286" s="749"/>
      <c r="AB286" s="749"/>
      <c r="AC286" s="749"/>
      <c r="AD286" s="749"/>
      <c r="AI286">
        <f t="shared" si="41"/>
        <v>0</v>
      </c>
      <c r="AJ286">
        <f t="shared" si="42"/>
        <v>0</v>
      </c>
      <c r="AK286">
        <f t="shared" si="43"/>
        <v>0</v>
      </c>
    </row>
    <row r="287" spans="1:37" ht="15" customHeight="1">
      <c r="A287" s="49"/>
      <c r="B287" s="38"/>
      <c r="C287" s="98" t="s">
        <v>2537</v>
      </c>
      <c r="D287" s="796" t="s">
        <v>3144</v>
      </c>
      <c r="E287" s="796"/>
      <c r="F287" s="796"/>
      <c r="G287" s="796"/>
      <c r="H287" s="796"/>
      <c r="I287" s="796"/>
      <c r="J287" s="796"/>
      <c r="K287" s="796"/>
      <c r="L287" s="796"/>
      <c r="M287" s="749"/>
      <c r="N287" s="749"/>
      <c r="O287" s="749"/>
      <c r="P287" s="749"/>
      <c r="Q287" s="749"/>
      <c r="R287" s="749"/>
      <c r="S287" s="749"/>
      <c r="T287" s="749"/>
      <c r="U287" s="749"/>
      <c r="V287" s="749"/>
      <c r="W287" s="749"/>
      <c r="X287" s="749"/>
      <c r="Y287" s="749"/>
      <c r="Z287" s="749"/>
      <c r="AA287" s="749"/>
      <c r="AB287" s="749"/>
      <c r="AC287" s="749"/>
      <c r="AD287" s="749"/>
      <c r="AI287">
        <f t="shared" si="41"/>
        <v>0</v>
      </c>
      <c r="AJ287">
        <f t="shared" si="42"/>
        <v>0</v>
      </c>
      <c r="AK287">
        <f t="shared" si="43"/>
        <v>0</v>
      </c>
    </row>
    <row r="288" spans="1:37" ht="15" customHeight="1">
      <c r="A288" s="49"/>
      <c r="B288" s="38"/>
      <c r="C288" s="98" t="s">
        <v>2538</v>
      </c>
      <c r="D288" s="796" t="s">
        <v>3146</v>
      </c>
      <c r="E288" s="796"/>
      <c r="F288" s="796"/>
      <c r="G288" s="796"/>
      <c r="H288" s="796"/>
      <c r="I288" s="796"/>
      <c r="J288" s="796"/>
      <c r="K288" s="796"/>
      <c r="L288" s="796"/>
      <c r="M288" s="749"/>
      <c r="N288" s="749"/>
      <c r="O288" s="749"/>
      <c r="P288" s="749"/>
      <c r="Q288" s="749"/>
      <c r="R288" s="749"/>
      <c r="S288" s="749"/>
      <c r="T288" s="749"/>
      <c r="U288" s="749"/>
      <c r="V288" s="749"/>
      <c r="W288" s="749"/>
      <c r="X288" s="749"/>
      <c r="Y288" s="749"/>
      <c r="Z288" s="749"/>
      <c r="AA288" s="749"/>
      <c r="AB288" s="749"/>
      <c r="AC288" s="749"/>
      <c r="AD288" s="749"/>
      <c r="AI288">
        <f t="shared" si="41"/>
        <v>0</v>
      </c>
      <c r="AJ288">
        <f t="shared" si="42"/>
        <v>0</v>
      </c>
      <c r="AK288">
        <f t="shared" si="43"/>
        <v>0</v>
      </c>
    </row>
    <row r="289" spans="1:37" ht="15" customHeight="1">
      <c r="A289" s="49"/>
      <c r="B289" s="38"/>
      <c r="C289" s="98" t="s">
        <v>2539</v>
      </c>
      <c r="D289" s="796" t="s">
        <v>3148</v>
      </c>
      <c r="E289" s="796"/>
      <c r="F289" s="796"/>
      <c r="G289" s="796"/>
      <c r="H289" s="796"/>
      <c r="I289" s="796"/>
      <c r="J289" s="796"/>
      <c r="K289" s="796"/>
      <c r="L289" s="796"/>
      <c r="M289" s="749"/>
      <c r="N289" s="749"/>
      <c r="O289" s="749"/>
      <c r="P289" s="749"/>
      <c r="Q289" s="749"/>
      <c r="R289" s="749"/>
      <c r="S289" s="749"/>
      <c r="T289" s="749"/>
      <c r="U289" s="749"/>
      <c r="V289" s="749"/>
      <c r="W289" s="749"/>
      <c r="X289" s="749"/>
      <c r="Y289" s="749"/>
      <c r="Z289" s="749"/>
      <c r="AA289" s="749"/>
      <c r="AB289" s="749"/>
      <c r="AC289" s="749"/>
      <c r="AD289" s="749"/>
      <c r="AI289">
        <f t="shared" si="41"/>
        <v>0</v>
      </c>
      <c r="AJ289">
        <f t="shared" si="42"/>
        <v>0</v>
      </c>
      <c r="AK289">
        <f t="shared" si="43"/>
        <v>0</v>
      </c>
    </row>
    <row r="290" spans="1:37" ht="15" customHeight="1">
      <c r="A290" s="49"/>
      <c r="B290" s="38"/>
      <c r="C290" s="98" t="s">
        <v>2540</v>
      </c>
      <c r="D290" s="796" t="s">
        <v>3150</v>
      </c>
      <c r="E290" s="796"/>
      <c r="F290" s="796"/>
      <c r="G290" s="796"/>
      <c r="H290" s="796"/>
      <c r="I290" s="796"/>
      <c r="J290" s="796"/>
      <c r="K290" s="796"/>
      <c r="L290" s="796"/>
      <c r="M290" s="749"/>
      <c r="N290" s="749"/>
      <c r="O290" s="749"/>
      <c r="P290" s="749"/>
      <c r="Q290" s="749"/>
      <c r="R290" s="749"/>
      <c r="S290" s="749"/>
      <c r="T290" s="749"/>
      <c r="U290" s="749"/>
      <c r="V290" s="749"/>
      <c r="W290" s="749"/>
      <c r="X290" s="749"/>
      <c r="Y290" s="749"/>
      <c r="Z290" s="749"/>
      <c r="AA290" s="749"/>
      <c r="AB290" s="749"/>
      <c r="AC290" s="749"/>
      <c r="AD290" s="749"/>
      <c r="AI290">
        <f t="shared" si="41"/>
        <v>0</v>
      </c>
      <c r="AJ290">
        <f t="shared" si="42"/>
        <v>0</v>
      </c>
      <c r="AK290">
        <f t="shared" si="43"/>
        <v>0</v>
      </c>
    </row>
    <row r="291" spans="1:37" ht="15" customHeight="1">
      <c r="A291" s="49"/>
      <c r="B291" s="38"/>
      <c r="C291" s="98" t="s">
        <v>2541</v>
      </c>
      <c r="D291" s="796" t="s">
        <v>3099</v>
      </c>
      <c r="E291" s="796"/>
      <c r="F291" s="796"/>
      <c r="G291" s="796"/>
      <c r="H291" s="796"/>
      <c r="I291" s="796"/>
      <c r="J291" s="796"/>
      <c r="K291" s="796"/>
      <c r="L291" s="796"/>
      <c r="M291" s="749"/>
      <c r="N291" s="749"/>
      <c r="O291" s="749"/>
      <c r="P291" s="749"/>
      <c r="Q291" s="749"/>
      <c r="R291" s="749"/>
      <c r="S291" s="749"/>
      <c r="T291" s="749"/>
      <c r="U291" s="749"/>
      <c r="V291" s="749"/>
      <c r="W291" s="749"/>
      <c r="X291" s="749"/>
      <c r="Y291" s="749"/>
      <c r="Z291" s="749"/>
      <c r="AA291" s="749"/>
      <c r="AB291" s="749"/>
      <c r="AC291" s="749"/>
      <c r="AD291" s="749"/>
      <c r="AI291">
        <f t="shared" si="41"/>
        <v>0</v>
      </c>
      <c r="AJ291">
        <f t="shared" si="42"/>
        <v>0</v>
      </c>
      <c r="AK291">
        <f t="shared" si="43"/>
        <v>0</v>
      </c>
    </row>
    <row r="292" spans="1:37" ht="15" customHeight="1">
      <c r="A292" s="49"/>
      <c r="B292" s="38"/>
      <c r="C292" s="98" t="s">
        <v>2542</v>
      </c>
      <c r="D292" s="796" t="s">
        <v>201</v>
      </c>
      <c r="E292" s="796"/>
      <c r="F292" s="796"/>
      <c r="G292" s="796"/>
      <c r="H292" s="796"/>
      <c r="I292" s="796"/>
      <c r="J292" s="796"/>
      <c r="K292" s="796"/>
      <c r="L292" s="796"/>
      <c r="M292" s="749"/>
      <c r="N292" s="749"/>
      <c r="O292" s="749"/>
      <c r="P292" s="749"/>
      <c r="Q292" s="749"/>
      <c r="R292" s="749"/>
      <c r="S292" s="749"/>
      <c r="T292" s="749"/>
      <c r="U292" s="749"/>
      <c r="V292" s="749"/>
      <c r="W292" s="749"/>
      <c r="X292" s="749"/>
      <c r="Y292" s="749"/>
      <c r="Z292" s="749"/>
      <c r="AA292" s="749"/>
      <c r="AB292" s="749"/>
      <c r="AC292" s="749"/>
      <c r="AD292" s="749"/>
      <c r="AI292">
        <f t="shared" si="41"/>
        <v>0</v>
      </c>
      <c r="AJ292">
        <f t="shared" si="42"/>
        <v>0</v>
      </c>
      <c r="AK292">
        <f t="shared" si="43"/>
        <v>0</v>
      </c>
    </row>
    <row r="293" spans="1:37" ht="15" customHeight="1">
      <c r="A293" s="49"/>
      <c r="B293" s="38"/>
      <c r="C293" s="38"/>
      <c r="D293" s="38"/>
      <c r="E293" s="38"/>
      <c r="F293" s="38"/>
      <c r="G293" s="38"/>
      <c r="H293" s="38"/>
      <c r="I293" s="38"/>
      <c r="J293" s="38"/>
      <c r="K293" s="38"/>
      <c r="L293" s="117" t="s">
        <v>2649</v>
      </c>
      <c r="M293" s="736">
        <f>IF(AND(SUM(M266:M292)=0,COUNTIF(M266:M292,"NS")&gt;0),"NS",IF(AND(SUM(M266:M292)=0,COUNTIF(M266:M292,0)&gt;0),0,IF(AND(SUM(M266:M292)=0,COUNTIF(M266:M292,"NA")&gt;0),"NA",SUM(M266:M292))))</f>
        <v>0</v>
      </c>
      <c r="N293" s="1085"/>
      <c r="O293" s="1085"/>
      <c r="P293" s="1085"/>
      <c r="Q293" s="1085"/>
      <c r="R293" s="1086"/>
      <c r="S293" s="736">
        <f>IF(AND(SUM(S266:S292)=0,COUNTIF(S266:S292,"NS")&gt;0),"NS",IF(AND(SUM(S266:S292)=0,COUNTIF(S266:S292,0)&gt;0),0,IF(AND(SUM(S266:S292)=0,COUNTIF(S266:S292,"NA")&gt;0),"NA",SUM(S266:S292))))</f>
        <v>0</v>
      </c>
      <c r="T293" s="1085"/>
      <c r="U293" s="1085"/>
      <c r="V293" s="1085"/>
      <c r="W293" s="1085"/>
      <c r="X293" s="1086"/>
      <c r="Y293" s="736">
        <f>IF(AND(SUM(Y266:Y292)=0,COUNTIF(Y266:Y292,"NS")&gt;0),"NS",IF(AND(SUM(Y266:Y292)=0,COUNTIF(Y266:Y292,0)&gt;0),0,IF(AND(SUM(Y266:Y292)=0,COUNTIF(Y266:Y292,"NA")&gt;0),"NA",SUM(Y266:Y292))))</f>
        <v>0</v>
      </c>
      <c r="Z293" s="1085"/>
      <c r="AA293" s="1085"/>
      <c r="AB293" s="1085"/>
      <c r="AC293" s="1085"/>
      <c r="AD293" s="1086"/>
      <c r="AI293">
        <f>SUM(AI266:AI292)</f>
        <v>0</v>
      </c>
      <c r="AK293" s="506">
        <f>SUM(AK266:AK292)</f>
        <v>0</v>
      </c>
    </row>
    <row r="294" spans="1:37" ht="15" customHeight="1">
      <c r="A294" s="49"/>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c r="AA294" s="38"/>
      <c r="AB294" s="38"/>
      <c r="AC294" s="38"/>
      <c r="AD294" s="38"/>
    </row>
    <row r="295" spans="1:37" ht="24" customHeight="1">
      <c r="A295" s="49"/>
      <c r="B295" s="38"/>
      <c r="C295" s="754" t="s">
        <v>2611</v>
      </c>
      <c r="D295" s="754"/>
      <c r="E295" s="754"/>
      <c r="F295" s="754"/>
      <c r="G295" s="754"/>
      <c r="H295" s="754"/>
      <c r="I295" s="754"/>
      <c r="J295" s="754"/>
      <c r="K295" s="754"/>
      <c r="L295" s="754"/>
      <c r="M295" s="754"/>
      <c r="N295" s="754"/>
      <c r="O295" s="754"/>
      <c r="P295" s="754"/>
      <c r="Q295" s="754"/>
      <c r="R295" s="754"/>
      <c r="S295" s="754"/>
      <c r="T295" s="754"/>
      <c r="U295" s="754"/>
      <c r="V295" s="754"/>
      <c r="W295" s="754"/>
      <c r="X295" s="754"/>
      <c r="Y295" s="754"/>
      <c r="Z295" s="754"/>
      <c r="AA295" s="754"/>
      <c r="AB295" s="754"/>
      <c r="AC295" s="754"/>
      <c r="AD295" s="754"/>
    </row>
    <row r="296" spans="1:37" ht="60" customHeight="1">
      <c r="A296" s="49"/>
      <c r="B296" s="38"/>
      <c r="C296" s="851"/>
      <c r="D296" s="851"/>
      <c r="E296" s="851"/>
      <c r="F296" s="851"/>
      <c r="G296" s="851"/>
      <c r="H296" s="851"/>
      <c r="I296" s="851"/>
      <c r="J296" s="851"/>
      <c r="K296" s="851"/>
      <c r="L296" s="851"/>
      <c r="M296" s="851"/>
      <c r="N296" s="851"/>
      <c r="O296" s="851"/>
      <c r="P296" s="851"/>
      <c r="Q296" s="851"/>
      <c r="R296" s="851"/>
      <c r="S296" s="851"/>
      <c r="T296" s="851"/>
      <c r="U296" s="851"/>
      <c r="V296" s="851"/>
      <c r="W296" s="851"/>
      <c r="X296" s="851"/>
      <c r="Y296" s="851"/>
      <c r="Z296" s="851"/>
      <c r="AA296" s="851"/>
      <c r="AB296" s="851"/>
      <c r="AC296" s="851"/>
      <c r="AD296" s="851"/>
    </row>
    <row r="297" spans="1:37" ht="15" customHeight="1">
      <c r="A297" s="49"/>
      <c r="B297" s="794" t="str">
        <f>IF(AG266=0,"","Favor de ingresar toda la información requerida en la pregunta")</f>
        <v/>
      </c>
      <c r="C297" s="794"/>
      <c r="D297" s="794"/>
      <c r="E297" s="794"/>
      <c r="F297" s="794"/>
      <c r="G297" s="794"/>
      <c r="H297" s="794"/>
      <c r="I297" s="794"/>
      <c r="J297" s="794"/>
      <c r="K297" s="794"/>
      <c r="L297" s="794"/>
      <c r="M297" s="794"/>
      <c r="N297" s="794"/>
      <c r="O297" s="794"/>
      <c r="P297" s="794"/>
      <c r="Q297" s="794"/>
      <c r="R297" s="794"/>
      <c r="S297" s="794"/>
      <c r="T297" s="794"/>
      <c r="U297" s="794"/>
      <c r="V297" s="794"/>
      <c r="W297" s="794"/>
      <c r="X297" s="794"/>
      <c r="Y297" s="794"/>
      <c r="Z297" s="794"/>
      <c r="AA297" s="794"/>
      <c r="AB297" s="794"/>
      <c r="AC297" s="794"/>
      <c r="AD297" s="794"/>
      <c r="AE297" s="794"/>
    </row>
    <row r="298" spans="1:37" ht="15" customHeight="1">
      <c r="A298" s="110"/>
      <c r="B298" s="1087" t="str">
        <f>IF($C$33&lt;&gt;1,"",IF(COUNTIF(M266:AD292,"NS")&lt;&gt;0,"Alerta: debido a que cuenta con registros NS, debe proporcionar una justificación en el area de comentarios al final de la pregunta",""))</f>
        <v/>
      </c>
      <c r="C298" s="1087"/>
      <c r="D298" s="1087"/>
      <c r="E298" s="1087"/>
      <c r="F298" s="1087"/>
      <c r="G298" s="1087"/>
      <c r="H298" s="1087"/>
      <c r="I298" s="1087"/>
      <c r="J298" s="1087"/>
      <c r="K298" s="1087"/>
      <c r="L298" s="1087"/>
      <c r="M298" s="1087"/>
      <c r="N298" s="1087"/>
      <c r="O298" s="1087"/>
      <c r="P298" s="1087"/>
      <c r="Q298" s="1087"/>
      <c r="R298" s="1087"/>
      <c r="S298" s="1087"/>
      <c r="T298" s="1087"/>
      <c r="U298" s="1087"/>
      <c r="V298" s="1087"/>
      <c r="W298" s="1087"/>
      <c r="X298" s="1087"/>
      <c r="Y298" s="1087"/>
      <c r="Z298" s="1087"/>
      <c r="AA298" s="1087"/>
      <c r="AB298" s="1087"/>
      <c r="AC298" s="1087"/>
      <c r="AD298" s="1087"/>
      <c r="AE298" s="1087"/>
    </row>
    <row r="299" spans="1:37" ht="15" customHeight="1">
      <c r="A299" s="110"/>
      <c r="B299" s="1003" t="str">
        <f>IF(AH266&gt;0,"Revise la información capturada, ya que tiene datos ingresados en celdas que están sombreadas","")</f>
        <v/>
      </c>
      <c r="C299" s="1003"/>
      <c r="D299" s="1003"/>
      <c r="E299" s="1003"/>
      <c r="F299" s="1003"/>
      <c r="G299" s="1003"/>
      <c r="H299" s="1003"/>
      <c r="I299" s="1003"/>
      <c r="J299" s="1003"/>
      <c r="K299" s="1003"/>
      <c r="L299" s="1003"/>
      <c r="M299" s="1003"/>
      <c r="N299" s="1003"/>
      <c r="O299" s="1003"/>
      <c r="P299" s="1003"/>
      <c r="Q299" s="1003"/>
      <c r="R299" s="1003"/>
      <c r="S299" s="1003"/>
      <c r="T299" s="1003"/>
      <c r="U299" s="1003"/>
      <c r="V299" s="1003"/>
      <c r="W299" s="1003"/>
      <c r="X299" s="1003"/>
      <c r="Y299" s="1003"/>
      <c r="Z299" s="1003"/>
      <c r="AA299" s="1003"/>
      <c r="AB299" s="1003"/>
      <c r="AC299" s="1003"/>
      <c r="AD299" s="1003"/>
      <c r="AE299" s="1003"/>
    </row>
    <row r="300" spans="1:37" ht="15" customHeight="1">
      <c r="A300" s="110"/>
      <c r="B300" s="1003" t="str">
        <f>IF($C$33&lt;&gt;1,"",IF(AK293&gt;0,"Favor de revisar la suma y consistencia de totales y/o subtotales por filas (numéricos y NS)",""))</f>
        <v/>
      </c>
      <c r="C300" s="1003"/>
      <c r="D300" s="1003"/>
      <c r="E300" s="1003"/>
      <c r="F300" s="1003"/>
      <c r="G300" s="1003"/>
      <c r="H300" s="1003"/>
      <c r="I300" s="1003"/>
      <c r="J300" s="1003"/>
      <c r="K300" s="1003"/>
      <c r="L300" s="1003"/>
      <c r="M300" s="1003"/>
      <c r="N300" s="1003"/>
      <c r="O300" s="1003"/>
      <c r="P300" s="1003"/>
      <c r="Q300" s="1003"/>
      <c r="R300" s="1003"/>
      <c r="S300" s="1003"/>
      <c r="T300" s="1003"/>
      <c r="U300" s="1003"/>
      <c r="V300" s="1003"/>
      <c r="W300" s="1003"/>
      <c r="X300" s="1003"/>
      <c r="Y300" s="1003"/>
      <c r="Z300" s="1003"/>
      <c r="AA300" s="1003"/>
      <c r="AB300" s="1003"/>
      <c r="AC300" s="1003"/>
      <c r="AD300" s="1003"/>
      <c r="AE300" s="1003"/>
    </row>
    <row r="301" spans="1:37" ht="15" customHeight="1">
      <c r="A301" s="110"/>
      <c r="B301" s="1003" t="str">
        <f>IF($C$33&lt;&gt;1,"",IF(AND($P$33=M293,$U$33=S293,$Z$33=Y293),"","Las cantidades de Hombres y Mujeres debe corresponder con los datos reportados en la preg. 11.1"))</f>
        <v/>
      </c>
      <c r="C301" s="1003"/>
      <c r="D301" s="1003"/>
      <c r="E301" s="1003"/>
      <c r="F301" s="1003"/>
      <c r="G301" s="1003"/>
      <c r="H301" s="1003"/>
      <c r="I301" s="1003"/>
      <c r="J301" s="1003"/>
      <c r="K301" s="1003"/>
      <c r="L301" s="1003"/>
      <c r="M301" s="1003"/>
      <c r="N301" s="1003"/>
      <c r="O301" s="1003"/>
      <c r="P301" s="1003"/>
      <c r="Q301" s="1003"/>
      <c r="R301" s="1003"/>
      <c r="S301" s="1003"/>
      <c r="T301" s="1003"/>
      <c r="U301" s="1003"/>
      <c r="V301" s="1003"/>
      <c r="W301" s="1003"/>
      <c r="X301" s="1003"/>
      <c r="Y301" s="1003"/>
      <c r="Z301" s="1003"/>
      <c r="AA301" s="1003"/>
      <c r="AB301" s="1003"/>
      <c r="AC301" s="1003"/>
      <c r="AD301" s="1003"/>
      <c r="AE301" s="1003"/>
    </row>
    <row r="302" spans="1:37" ht="15" customHeight="1">
      <c r="A302" s="110"/>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c r="AA302" s="38"/>
      <c r="AB302" s="38"/>
      <c r="AC302" s="38"/>
      <c r="AD302" s="38"/>
    </row>
    <row r="303" spans="1:37" ht="36" customHeight="1">
      <c r="A303" s="49" t="s">
        <v>5633</v>
      </c>
      <c r="B303" s="829" t="s">
        <v>5634</v>
      </c>
      <c r="C303" s="829"/>
      <c r="D303" s="829"/>
      <c r="E303" s="829"/>
      <c r="F303" s="829"/>
      <c r="G303" s="829"/>
      <c r="H303" s="829"/>
      <c r="I303" s="829"/>
      <c r="J303" s="829"/>
      <c r="K303" s="829"/>
      <c r="L303" s="829"/>
      <c r="M303" s="829"/>
      <c r="N303" s="829"/>
      <c r="O303" s="829"/>
      <c r="P303" s="829"/>
      <c r="Q303" s="829"/>
      <c r="R303" s="829"/>
      <c r="S303" s="829"/>
      <c r="T303" s="829"/>
      <c r="U303" s="829"/>
      <c r="V303" s="829"/>
      <c r="W303" s="829"/>
      <c r="X303" s="829"/>
      <c r="Y303" s="829"/>
      <c r="Z303" s="829"/>
      <c r="AA303" s="829"/>
      <c r="AB303" s="829"/>
      <c r="AC303" s="829"/>
      <c r="AD303" s="829"/>
    </row>
    <row r="304" spans="1:37" ht="36" customHeight="1">
      <c r="A304" s="103"/>
      <c r="B304" s="57"/>
      <c r="C304" s="754" t="s">
        <v>5635</v>
      </c>
      <c r="D304" s="754"/>
      <c r="E304" s="754"/>
      <c r="F304" s="754"/>
      <c r="G304" s="754"/>
      <c r="H304" s="754"/>
      <c r="I304" s="754"/>
      <c r="J304" s="754"/>
      <c r="K304" s="754"/>
      <c r="L304" s="754"/>
      <c r="M304" s="754"/>
      <c r="N304" s="754"/>
      <c r="O304" s="754"/>
      <c r="P304" s="754"/>
      <c r="Q304" s="754"/>
      <c r="R304" s="754"/>
      <c r="S304" s="754"/>
      <c r="T304" s="754"/>
      <c r="U304" s="754"/>
      <c r="V304" s="754"/>
      <c r="W304" s="754"/>
      <c r="X304" s="754"/>
      <c r="Y304" s="754"/>
      <c r="Z304" s="754"/>
      <c r="AA304" s="754"/>
      <c r="AB304" s="754"/>
      <c r="AC304" s="754"/>
      <c r="AD304" s="754"/>
    </row>
    <row r="305" spans="1:40" ht="24" customHeight="1">
      <c r="A305" s="110"/>
      <c r="B305" s="57"/>
      <c r="C305" s="754" t="s">
        <v>5636</v>
      </c>
      <c r="D305" s="754"/>
      <c r="E305" s="754"/>
      <c r="F305" s="754"/>
      <c r="G305" s="754"/>
      <c r="H305" s="754"/>
      <c r="I305" s="754"/>
      <c r="J305" s="754"/>
      <c r="K305" s="754"/>
      <c r="L305" s="754"/>
      <c r="M305" s="754"/>
      <c r="N305" s="754"/>
      <c r="O305" s="754"/>
      <c r="P305" s="754"/>
      <c r="Q305" s="754"/>
      <c r="R305" s="754"/>
      <c r="S305" s="754"/>
      <c r="T305" s="754"/>
      <c r="U305" s="754"/>
      <c r="V305" s="754"/>
      <c r="W305" s="754"/>
      <c r="X305" s="754"/>
      <c r="Y305" s="754"/>
      <c r="Z305" s="754"/>
      <c r="AA305" s="754"/>
      <c r="AB305" s="754"/>
      <c r="AC305" s="754"/>
      <c r="AD305" s="754"/>
    </row>
    <row r="306" spans="1:40" ht="15" customHeight="1">
      <c r="A306" s="103"/>
      <c r="B306" s="57"/>
      <c r="C306" s="57"/>
      <c r="D306" s="57"/>
      <c r="E306" s="57"/>
      <c r="F306" s="57"/>
      <c r="G306" s="57"/>
      <c r="H306" s="57"/>
      <c r="I306" s="57"/>
      <c r="J306" s="57"/>
      <c r="K306" s="57"/>
      <c r="L306" s="57"/>
      <c r="M306" s="57"/>
      <c r="N306" s="57"/>
      <c r="O306" s="57"/>
      <c r="P306" s="57"/>
      <c r="Q306" s="57"/>
      <c r="R306" s="57"/>
      <c r="S306" s="57"/>
      <c r="T306" s="57"/>
      <c r="U306" s="57"/>
      <c r="V306" s="57"/>
      <c r="W306" s="57"/>
      <c r="X306" s="57"/>
      <c r="Y306" s="57"/>
      <c r="Z306" s="57"/>
      <c r="AA306" s="57"/>
      <c r="AB306" s="57"/>
      <c r="AC306" s="57"/>
      <c r="AD306" s="57"/>
    </row>
    <row r="307" spans="1:40" ht="36" customHeight="1">
      <c r="A307" s="49"/>
      <c r="B307" s="38"/>
      <c r="C307" s="797" t="s">
        <v>5637</v>
      </c>
      <c r="D307" s="798"/>
      <c r="E307" s="798"/>
      <c r="F307" s="798"/>
      <c r="G307" s="798"/>
      <c r="H307" s="798"/>
      <c r="I307" s="798"/>
      <c r="J307" s="798"/>
      <c r="K307" s="798"/>
      <c r="L307" s="799"/>
      <c r="M307" s="739" t="s">
        <v>5638</v>
      </c>
      <c r="N307" s="740"/>
      <c r="O307" s="740"/>
      <c r="P307" s="740"/>
      <c r="Q307" s="740"/>
      <c r="R307" s="740"/>
      <c r="S307" s="740"/>
      <c r="T307" s="740"/>
      <c r="U307" s="740"/>
      <c r="V307" s="740"/>
      <c r="W307" s="740"/>
      <c r="X307" s="740"/>
      <c r="Y307" s="740"/>
      <c r="Z307" s="740"/>
      <c r="AA307" s="740"/>
      <c r="AB307" s="740"/>
      <c r="AC307" s="740"/>
      <c r="AD307" s="741"/>
    </row>
    <row r="308" spans="1:40" ht="15" customHeight="1">
      <c r="A308" s="49"/>
      <c r="B308" s="38"/>
      <c r="C308" s="803"/>
      <c r="D308" s="804"/>
      <c r="E308" s="804"/>
      <c r="F308" s="804"/>
      <c r="G308" s="804"/>
      <c r="H308" s="804"/>
      <c r="I308" s="804"/>
      <c r="J308" s="804"/>
      <c r="K308" s="804"/>
      <c r="L308" s="805"/>
      <c r="M308" s="739" t="s">
        <v>2628</v>
      </c>
      <c r="N308" s="740"/>
      <c r="O308" s="740"/>
      <c r="P308" s="740"/>
      <c r="Q308" s="740"/>
      <c r="R308" s="741"/>
      <c r="S308" s="733" t="s">
        <v>2629</v>
      </c>
      <c r="T308" s="734"/>
      <c r="U308" s="734"/>
      <c r="V308" s="734"/>
      <c r="W308" s="734"/>
      <c r="X308" s="735"/>
      <c r="Y308" s="733" t="s">
        <v>2630</v>
      </c>
      <c r="Z308" s="734"/>
      <c r="AA308" s="734"/>
      <c r="AB308" s="734"/>
      <c r="AC308" s="734"/>
      <c r="AD308" s="735"/>
      <c r="AF308" t="s">
        <v>4713</v>
      </c>
      <c r="AG308" t="s">
        <v>2586</v>
      </c>
      <c r="AH308" t="s">
        <v>4581</v>
      </c>
      <c r="AI308" t="s">
        <v>2590</v>
      </c>
      <c r="AJ308" t="s">
        <v>3163</v>
      </c>
      <c r="AK308" t="s">
        <v>4564</v>
      </c>
      <c r="AL308" t="s">
        <v>5291</v>
      </c>
    </row>
    <row r="309" spans="1:40" ht="15" customHeight="1">
      <c r="A309" s="49"/>
      <c r="B309" s="38"/>
      <c r="C309" s="816"/>
      <c r="D309" s="738"/>
      <c r="E309" s="738"/>
      <c r="F309" s="738"/>
      <c r="G309" s="738"/>
      <c r="H309" s="738"/>
      <c r="I309" s="738"/>
      <c r="J309" s="738"/>
      <c r="K309" s="738"/>
      <c r="L309" s="817"/>
      <c r="M309" s="816"/>
      <c r="N309" s="738"/>
      <c r="O309" s="738"/>
      <c r="P309" s="738"/>
      <c r="Q309" s="738"/>
      <c r="R309" s="817"/>
      <c r="S309" s="816"/>
      <c r="T309" s="738"/>
      <c r="U309" s="738"/>
      <c r="V309" s="738"/>
      <c r="W309" s="738"/>
      <c r="X309" s="817"/>
      <c r="Y309" s="816"/>
      <c r="Z309" s="738"/>
      <c r="AA309" s="738"/>
      <c r="AB309" s="738"/>
      <c r="AC309" s="738"/>
      <c r="AD309" s="817"/>
      <c r="AF309" s="506">
        <f>IF(AND(C309=1,M309=0),1,0)</f>
        <v>0</v>
      </c>
      <c r="AG309" s="506">
        <f>IF($C$33&lt;&gt;1,0,IF(C309=1,IF(COUNTA(M309:AD309)=3,0,1),IF(AND(C309="",COUNTA(M309:AD309)&gt;0),1,0)))</f>
        <v>0</v>
      </c>
      <c r="AH309" s="506">
        <f>IF($C$33&lt;&gt;1,IF(COUNTA(C309:AD309)=0,0,1),IF(C309&gt;1,IF(COUNTBLANK(M309:AD309)=18,0,1),0))</f>
        <v>0</v>
      </c>
      <c r="AI309">
        <f>COUNTIF(S309:AD309,"NS")</f>
        <v>0</v>
      </c>
      <c r="AJ309">
        <f>SUM(S309:AD309)</f>
        <v>0</v>
      </c>
      <c r="AK309">
        <f>IF(COUNTIF(M309:AD309,"NA")=3,0,IF(COUNTA(M309:AD309)=0,0,IF(OR(AND(M309=0,AI309&gt;0),AND(M309="ns",AJ309&gt;0),AND(M309="ns",AI309=0,AJ309=0)),1,IF(OR(AND(M309&gt;0,AI309=2),AND(M309="ns",AI309=2),AND(M309="ns",AJ309=0,AI309&gt;0),M309=AJ309),0,1))))</f>
        <v>0</v>
      </c>
      <c r="AL309" cm="1">
        <f t="array" ref="AL309">IF(OR(M309={"NS","NA"},P33={"NS","NA"}),0,IF(M309&lt;=P33,0,1))</f>
        <v>0</v>
      </c>
      <c r="AM309" cm="1">
        <f t="array" ref="AM309">IF(OR(S309={"NS","NA"},U33={"NS","NA"}),0,IF(S309&lt;=U33,0,1))</f>
        <v>0</v>
      </c>
      <c r="AN309" cm="1">
        <f t="array" ref="AN309">IF(OR(Y309={"NS","NA"},Z33={"NS","NA"}),0,IF(Y309&lt;=Z33,0,1))</f>
        <v>0</v>
      </c>
    </row>
    <row r="310" spans="1:40" ht="15" customHeight="1">
      <c r="A310" s="103"/>
      <c r="B310" s="57"/>
      <c r="C310" s="57"/>
      <c r="D310" s="57"/>
      <c r="E310" s="57"/>
      <c r="F310" s="57"/>
      <c r="G310" s="57"/>
      <c r="H310" s="57"/>
      <c r="I310" s="57"/>
      <c r="J310" s="57"/>
      <c r="K310" s="57"/>
      <c r="L310" s="57"/>
      <c r="M310" s="57"/>
      <c r="N310" s="57"/>
      <c r="O310" s="57"/>
      <c r="P310" s="57"/>
      <c r="Q310" s="57"/>
      <c r="R310" s="57"/>
      <c r="S310" s="57"/>
      <c r="T310" s="57"/>
      <c r="U310" s="57"/>
      <c r="V310" s="57"/>
      <c r="W310" s="57"/>
      <c r="X310" s="57"/>
      <c r="Y310" s="57"/>
      <c r="Z310" s="57"/>
      <c r="AA310" s="57"/>
      <c r="AB310" s="57"/>
      <c r="AC310" s="57"/>
      <c r="AD310" s="57"/>
      <c r="AF310"/>
      <c r="AI310">
        <f>SUM(AI309:AI309)</f>
        <v>0</v>
      </c>
      <c r="AK310" s="506">
        <f>SUM(AK309:AK309)</f>
        <v>0</v>
      </c>
      <c r="AN310" s="680">
        <f>IF($C$33&lt;&gt;1,0,SUM(AL309:AN309))</f>
        <v>0</v>
      </c>
    </row>
    <row r="311" spans="1:40" ht="24" customHeight="1">
      <c r="A311" s="103"/>
      <c r="B311" s="57"/>
      <c r="C311" s="754" t="s">
        <v>2611</v>
      </c>
      <c r="D311" s="754"/>
      <c r="E311" s="754"/>
      <c r="F311" s="754"/>
      <c r="G311" s="754"/>
      <c r="H311" s="754"/>
      <c r="I311" s="754"/>
      <c r="J311" s="754"/>
      <c r="K311" s="754"/>
      <c r="L311" s="754"/>
      <c r="M311" s="754"/>
      <c r="N311" s="754"/>
      <c r="O311" s="754"/>
      <c r="P311" s="754"/>
      <c r="Q311" s="754"/>
      <c r="R311" s="754"/>
      <c r="S311" s="754"/>
      <c r="T311" s="754"/>
      <c r="U311" s="754"/>
      <c r="V311" s="754"/>
      <c r="W311" s="754"/>
      <c r="X311" s="754"/>
      <c r="Y311" s="754"/>
      <c r="Z311" s="754"/>
      <c r="AA311" s="754"/>
      <c r="AB311" s="754"/>
      <c r="AC311" s="754"/>
      <c r="AD311" s="754"/>
    </row>
    <row r="312" spans="1:40" ht="60" customHeight="1">
      <c r="A312" s="103"/>
      <c r="B312" s="57"/>
      <c r="C312" s="851"/>
      <c r="D312" s="851"/>
      <c r="E312" s="851"/>
      <c r="F312" s="851"/>
      <c r="G312" s="851"/>
      <c r="H312" s="851"/>
      <c r="I312" s="851"/>
      <c r="J312" s="851"/>
      <c r="K312" s="851"/>
      <c r="L312" s="851"/>
      <c r="M312" s="851"/>
      <c r="N312" s="851"/>
      <c r="O312" s="851"/>
      <c r="P312" s="851"/>
      <c r="Q312" s="851"/>
      <c r="R312" s="851"/>
      <c r="S312" s="851"/>
      <c r="T312" s="851"/>
      <c r="U312" s="851"/>
      <c r="V312" s="851"/>
      <c r="W312" s="851"/>
      <c r="X312" s="851"/>
      <c r="Y312" s="851"/>
      <c r="Z312" s="851"/>
      <c r="AA312" s="851"/>
      <c r="AB312" s="851"/>
      <c r="AC312" s="851"/>
      <c r="AD312" s="851"/>
    </row>
    <row r="313" spans="1:40" ht="15" customHeight="1">
      <c r="A313" s="103"/>
      <c r="B313" s="794" t="str">
        <f>IF(AG309=0,"","Favor de ingresar toda la información requerida en la pregunta")</f>
        <v/>
      </c>
      <c r="C313" s="794"/>
      <c r="D313" s="794"/>
      <c r="E313" s="794"/>
      <c r="F313" s="794"/>
      <c r="G313" s="794"/>
      <c r="H313" s="794"/>
      <c r="I313" s="794"/>
      <c r="J313" s="794"/>
      <c r="K313" s="794"/>
      <c r="L313" s="794"/>
      <c r="M313" s="794"/>
      <c r="N313" s="794"/>
      <c r="O313" s="794"/>
      <c r="P313" s="794"/>
      <c r="Q313" s="794"/>
      <c r="R313" s="794"/>
      <c r="S313" s="794"/>
      <c r="T313" s="794"/>
      <c r="U313" s="794"/>
      <c r="V313" s="794"/>
      <c r="W313" s="794"/>
      <c r="X313" s="794"/>
      <c r="Y313" s="794"/>
      <c r="Z313" s="794"/>
      <c r="AA313" s="794"/>
      <c r="AB313" s="794"/>
      <c r="AC313" s="794"/>
      <c r="AD313" s="794"/>
      <c r="AE313" s="794"/>
    </row>
    <row r="314" spans="1:40" ht="15" customHeight="1">
      <c r="A314" s="103"/>
      <c r="B314" s="1087" t="str">
        <f>IF($C$33&lt;&gt;1,"",IF(COUNTIF(M309:AD309,"NS")&lt;&gt;0,"Alerta: debido a que cuenta con registros NS, debe proporcionar una justificación en el area de comentarios al final de la pregunta",""))</f>
        <v/>
      </c>
      <c r="C314" s="1087"/>
      <c r="D314" s="1087"/>
      <c r="E314" s="1087"/>
      <c r="F314" s="1087"/>
      <c r="G314" s="1087"/>
      <c r="H314" s="1087"/>
      <c r="I314" s="1087"/>
      <c r="J314" s="1087"/>
      <c r="K314" s="1087"/>
      <c r="L314" s="1087"/>
      <c r="M314" s="1087"/>
      <c r="N314" s="1087"/>
      <c r="O314" s="1087"/>
      <c r="P314" s="1087"/>
      <c r="Q314" s="1087"/>
      <c r="R314" s="1087"/>
      <c r="S314" s="1087"/>
      <c r="T314" s="1087"/>
      <c r="U314" s="1087"/>
      <c r="V314" s="1087"/>
      <c r="W314" s="1087"/>
      <c r="X314" s="1087"/>
      <c r="Y314" s="1087"/>
      <c r="Z314" s="1087"/>
      <c r="AA314" s="1087"/>
      <c r="AB314" s="1087"/>
      <c r="AC314" s="1087"/>
      <c r="AD314" s="1087"/>
      <c r="AE314" s="1087"/>
    </row>
    <row r="315" spans="1:40" ht="15" customHeight="1">
      <c r="A315" s="103"/>
      <c r="B315" s="1003" t="str">
        <f>IF(AH309&gt;0,"Revise la información capturada, ya que tiene datos ingresados en celdas que están sombreadas","")</f>
        <v/>
      </c>
      <c r="C315" s="1003"/>
      <c r="D315" s="1003"/>
      <c r="E315" s="1003"/>
      <c r="F315" s="1003"/>
      <c r="G315" s="1003"/>
      <c r="H315" s="1003"/>
      <c r="I315" s="1003"/>
      <c r="J315" s="1003"/>
      <c r="K315" s="1003"/>
      <c r="L315" s="1003"/>
      <c r="M315" s="1003"/>
      <c r="N315" s="1003"/>
      <c r="O315" s="1003"/>
      <c r="P315" s="1003"/>
      <c r="Q315" s="1003"/>
      <c r="R315" s="1003"/>
      <c r="S315" s="1003"/>
      <c r="T315" s="1003"/>
      <c r="U315" s="1003"/>
      <c r="V315" s="1003"/>
      <c r="W315" s="1003"/>
      <c r="X315" s="1003"/>
      <c r="Y315" s="1003"/>
      <c r="Z315" s="1003"/>
      <c r="AA315" s="1003"/>
      <c r="AB315" s="1003"/>
      <c r="AC315" s="1003"/>
      <c r="AD315" s="1003"/>
      <c r="AE315" s="1003"/>
    </row>
    <row r="316" spans="1:40" ht="15" customHeight="1">
      <c r="A316" s="103"/>
      <c r="B316" s="1003" t="str">
        <f>IF($C$33&lt;&gt;1,"",IF(AK310&gt;0,"Favor de revisar la suma y consistencia de totales y/o subtotales por filas (numéricos y NS)",""))</f>
        <v/>
      </c>
      <c r="C316" s="1003"/>
      <c r="D316" s="1003"/>
      <c r="E316" s="1003"/>
      <c r="F316" s="1003"/>
      <c r="G316" s="1003"/>
      <c r="H316" s="1003"/>
      <c r="I316" s="1003"/>
      <c r="J316" s="1003"/>
      <c r="K316" s="1003"/>
      <c r="L316" s="1003"/>
      <c r="M316" s="1003"/>
      <c r="N316" s="1003"/>
      <c r="O316" s="1003"/>
      <c r="P316" s="1003"/>
      <c r="Q316" s="1003"/>
      <c r="R316" s="1003"/>
      <c r="S316" s="1003"/>
      <c r="T316" s="1003"/>
      <c r="U316" s="1003"/>
      <c r="V316" s="1003"/>
      <c r="W316" s="1003"/>
      <c r="X316" s="1003"/>
      <c r="Y316" s="1003"/>
      <c r="Z316" s="1003"/>
      <c r="AA316" s="1003"/>
      <c r="AB316" s="1003"/>
      <c r="AC316" s="1003"/>
      <c r="AD316" s="1003"/>
      <c r="AE316" s="1003"/>
    </row>
    <row r="317" spans="1:40" ht="15" customHeight="1">
      <c r="A317" s="103"/>
      <c r="B317" s="794" t="str">
        <f>IF(AF309=0,"","Debido a que cuenta con registro(s) con el código 1, el total de la fila respectiva debe ser mayor a cero")</f>
        <v/>
      </c>
      <c r="C317" s="794"/>
      <c r="D317" s="794"/>
      <c r="E317" s="794"/>
      <c r="F317" s="794"/>
      <c r="G317" s="794"/>
      <c r="H317" s="794"/>
      <c r="I317" s="794"/>
      <c r="J317" s="794"/>
      <c r="K317" s="794"/>
      <c r="L317" s="794"/>
      <c r="M317" s="794"/>
      <c r="N317" s="794"/>
      <c r="O317" s="794"/>
      <c r="P317" s="794"/>
      <c r="Q317" s="794"/>
      <c r="R317" s="794"/>
      <c r="S317" s="794"/>
      <c r="T317" s="794"/>
      <c r="U317" s="794"/>
      <c r="V317" s="794"/>
      <c r="W317" s="794"/>
      <c r="X317" s="794"/>
      <c r="Y317" s="794"/>
      <c r="Z317" s="794"/>
      <c r="AA317" s="794"/>
      <c r="AB317" s="794"/>
      <c r="AC317" s="794"/>
      <c r="AD317" s="794"/>
      <c r="AE317" s="794"/>
    </row>
    <row r="318" spans="1:40" ht="15" customHeight="1" thickBot="1">
      <c r="A318" s="103"/>
      <c r="B318" s="1003" t="str">
        <f>IF(AN310&gt;0,"Favor de revisar la instrucción 2, debido a que no se cumplen con los criterios mencionados","")</f>
        <v/>
      </c>
      <c r="C318" s="1003"/>
      <c r="D318" s="1003"/>
      <c r="E318" s="1003"/>
      <c r="F318" s="1003"/>
      <c r="G318" s="1003"/>
      <c r="H318" s="1003"/>
      <c r="I318" s="1003"/>
      <c r="J318" s="1003"/>
      <c r="K318" s="1003"/>
      <c r="L318" s="1003"/>
      <c r="M318" s="1003"/>
      <c r="N318" s="1003"/>
      <c r="O318" s="1003"/>
      <c r="P318" s="1003"/>
      <c r="Q318" s="1003"/>
      <c r="R318" s="1003"/>
      <c r="S318" s="1003"/>
      <c r="T318" s="1003"/>
      <c r="U318" s="1003"/>
      <c r="V318" s="1003"/>
      <c r="W318" s="1003"/>
      <c r="X318" s="1003"/>
      <c r="Y318" s="1003"/>
      <c r="Z318" s="1003"/>
      <c r="AA318" s="1003"/>
      <c r="AB318" s="1003"/>
      <c r="AC318" s="1003"/>
      <c r="AD318" s="1003"/>
      <c r="AE318" s="1003"/>
    </row>
    <row r="319" spans="1:40" customFormat="1" ht="15" customHeight="1" thickBot="1">
      <c r="A319" s="153" t="s">
        <v>2563</v>
      </c>
      <c r="B319" s="1137" t="s">
        <v>5639</v>
      </c>
      <c r="C319" s="1138"/>
      <c r="D319" s="1138"/>
      <c r="E319" s="1138"/>
      <c r="F319" s="1138"/>
      <c r="G319" s="1138"/>
      <c r="H319" s="1138"/>
      <c r="I319" s="1138"/>
      <c r="J319" s="1138"/>
      <c r="K319" s="1138"/>
      <c r="L319" s="1138"/>
      <c r="M319" s="1138"/>
      <c r="N319" s="1138"/>
      <c r="O319" s="1138"/>
      <c r="P319" s="1138"/>
      <c r="Q319" s="1138"/>
      <c r="R319" s="1138"/>
      <c r="S319" s="1138"/>
      <c r="T319" s="1138"/>
      <c r="U319" s="1138"/>
      <c r="V319" s="1138"/>
      <c r="W319" s="1138"/>
      <c r="X319" s="1138"/>
      <c r="Y319" s="1138"/>
      <c r="Z319" s="1138"/>
      <c r="AA319" s="1138"/>
      <c r="AB319" s="1138"/>
      <c r="AC319" s="1138"/>
      <c r="AD319" s="1139"/>
      <c r="AE319" s="3"/>
    </row>
    <row r="320" spans="1:40" ht="15" customHeight="1">
      <c r="A320" s="94"/>
      <c r="B320" s="838" t="s">
        <v>3388</v>
      </c>
      <c r="C320" s="839"/>
      <c r="D320" s="839"/>
      <c r="E320" s="839"/>
      <c r="F320" s="839"/>
      <c r="G320" s="839"/>
      <c r="H320" s="839"/>
      <c r="I320" s="839"/>
      <c r="J320" s="839"/>
      <c r="K320" s="839"/>
      <c r="L320" s="839"/>
      <c r="M320" s="839"/>
      <c r="N320" s="839"/>
      <c r="O320" s="839"/>
      <c r="P320" s="839"/>
      <c r="Q320" s="839"/>
      <c r="R320" s="839"/>
      <c r="S320" s="839"/>
      <c r="T320" s="839"/>
      <c r="U320" s="839"/>
      <c r="V320" s="839"/>
      <c r="W320" s="839"/>
      <c r="X320" s="839"/>
      <c r="Y320" s="839"/>
      <c r="Z320" s="839"/>
      <c r="AA320" s="839"/>
      <c r="AB320" s="839"/>
      <c r="AC320" s="839"/>
      <c r="AD320" s="840"/>
    </row>
    <row r="321" spans="1:40" ht="24" customHeight="1">
      <c r="A321" s="94"/>
      <c r="B321" s="182"/>
      <c r="C321" s="754" t="s">
        <v>4716</v>
      </c>
      <c r="D321" s="754"/>
      <c r="E321" s="754"/>
      <c r="F321" s="754"/>
      <c r="G321" s="754"/>
      <c r="H321" s="754"/>
      <c r="I321" s="754"/>
      <c r="J321" s="754"/>
      <c r="K321" s="754"/>
      <c r="L321" s="754"/>
      <c r="M321" s="754"/>
      <c r="N321" s="754"/>
      <c r="O321" s="754"/>
      <c r="P321" s="754"/>
      <c r="Q321" s="754"/>
      <c r="R321" s="754"/>
      <c r="S321" s="754"/>
      <c r="T321" s="754"/>
      <c r="U321" s="754"/>
      <c r="V321" s="754"/>
      <c r="W321" s="754"/>
      <c r="X321" s="754"/>
      <c r="Y321" s="754"/>
      <c r="Z321" s="754"/>
      <c r="AA321" s="754"/>
      <c r="AB321" s="754"/>
      <c r="AC321" s="754"/>
      <c r="AD321" s="755"/>
    </row>
    <row r="322" spans="1:40" ht="48" customHeight="1">
      <c r="A322" s="94"/>
      <c r="B322" s="181"/>
      <c r="C322" s="754" t="s">
        <v>5640</v>
      </c>
      <c r="D322" s="754"/>
      <c r="E322" s="754"/>
      <c r="F322" s="754"/>
      <c r="G322" s="754"/>
      <c r="H322" s="754"/>
      <c r="I322" s="754"/>
      <c r="J322" s="754"/>
      <c r="K322" s="754"/>
      <c r="L322" s="754"/>
      <c r="M322" s="754"/>
      <c r="N322" s="754"/>
      <c r="O322" s="754"/>
      <c r="P322" s="754"/>
      <c r="Q322" s="754"/>
      <c r="R322" s="754"/>
      <c r="S322" s="754"/>
      <c r="T322" s="754"/>
      <c r="U322" s="754"/>
      <c r="V322" s="754"/>
      <c r="W322" s="754"/>
      <c r="X322" s="754"/>
      <c r="Y322" s="754"/>
      <c r="Z322" s="754"/>
      <c r="AA322" s="754"/>
      <c r="AB322" s="754"/>
      <c r="AC322" s="754"/>
      <c r="AD322" s="755"/>
    </row>
    <row r="323" spans="1:40" ht="36" customHeight="1">
      <c r="B323" s="181"/>
      <c r="C323" s="754" t="s">
        <v>5641</v>
      </c>
      <c r="D323" s="754"/>
      <c r="E323" s="754"/>
      <c r="F323" s="754"/>
      <c r="G323" s="754"/>
      <c r="H323" s="754"/>
      <c r="I323" s="754"/>
      <c r="J323" s="754"/>
      <c r="K323" s="754"/>
      <c r="L323" s="754"/>
      <c r="M323" s="754"/>
      <c r="N323" s="754"/>
      <c r="O323" s="754"/>
      <c r="P323" s="754"/>
      <c r="Q323" s="754"/>
      <c r="R323" s="754"/>
      <c r="S323" s="754"/>
      <c r="T323" s="754"/>
      <c r="U323" s="754"/>
      <c r="V323" s="754"/>
      <c r="W323" s="754"/>
      <c r="X323" s="754"/>
      <c r="Y323" s="754"/>
      <c r="Z323" s="754"/>
      <c r="AA323" s="754"/>
      <c r="AB323" s="754"/>
      <c r="AC323" s="754"/>
      <c r="AD323" s="755"/>
    </row>
    <row r="324" spans="1:40" ht="36" customHeight="1">
      <c r="B324" s="181"/>
      <c r="C324" s="754" t="s">
        <v>5642</v>
      </c>
      <c r="D324" s="754"/>
      <c r="E324" s="754"/>
      <c r="F324" s="754"/>
      <c r="G324" s="754"/>
      <c r="H324" s="754"/>
      <c r="I324" s="754"/>
      <c r="J324" s="754"/>
      <c r="K324" s="754"/>
      <c r="L324" s="754"/>
      <c r="M324" s="754"/>
      <c r="N324" s="754"/>
      <c r="O324" s="754"/>
      <c r="P324" s="754"/>
      <c r="Q324" s="754"/>
      <c r="R324" s="754"/>
      <c r="S324" s="754"/>
      <c r="T324" s="754"/>
      <c r="U324" s="754"/>
      <c r="V324" s="754"/>
      <c r="W324" s="754"/>
      <c r="X324" s="754"/>
      <c r="Y324" s="754"/>
      <c r="Z324" s="754"/>
      <c r="AA324" s="754"/>
      <c r="AB324" s="754"/>
      <c r="AC324" s="754"/>
      <c r="AD324" s="755"/>
    </row>
    <row r="325" spans="1:40" ht="24" customHeight="1">
      <c r="B325" s="181"/>
      <c r="C325" s="754" t="s">
        <v>5643</v>
      </c>
      <c r="D325" s="754"/>
      <c r="E325" s="754"/>
      <c r="F325" s="754"/>
      <c r="G325" s="754"/>
      <c r="H325" s="754"/>
      <c r="I325" s="754"/>
      <c r="J325" s="754"/>
      <c r="K325" s="754"/>
      <c r="L325" s="754"/>
      <c r="M325" s="754"/>
      <c r="N325" s="754"/>
      <c r="O325" s="754"/>
      <c r="P325" s="754"/>
      <c r="Q325" s="754"/>
      <c r="R325" s="754"/>
      <c r="S325" s="754"/>
      <c r="T325" s="754"/>
      <c r="U325" s="754"/>
      <c r="V325" s="754"/>
      <c r="W325" s="754"/>
      <c r="X325" s="754"/>
      <c r="Y325" s="754"/>
      <c r="Z325" s="754"/>
      <c r="AA325" s="754"/>
      <c r="AB325" s="754"/>
      <c r="AC325" s="754"/>
      <c r="AD325" s="755"/>
    </row>
    <row r="326" spans="1:40" ht="36" customHeight="1">
      <c r="B326" s="182"/>
      <c r="C326" s="754" t="s">
        <v>5644</v>
      </c>
      <c r="D326" s="754"/>
      <c r="E326" s="754"/>
      <c r="F326" s="754"/>
      <c r="G326" s="754"/>
      <c r="H326" s="754"/>
      <c r="I326" s="754"/>
      <c r="J326" s="754"/>
      <c r="K326" s="754"/>
      <c r="L326" s="754"/>
      <c r="M326" s="754"/>
      <c r="N326" s="754"/>
      <c r="O326" s="754"/>
      <c r="P326" s="754"/>
      <c r="Q326" s="754"/>
      <c r="R326" s="754"/>
      <c r="S326" s="754"/>
      <c r="T326" s="754"/>
      <c r="U326" s="754"/>
      <c r="V326" s="754"/>
      <c r="W326" s="754"/>
      <c r="X326" s="754"/>
      <c r="Y326" s="754"/>
      <c r="Z326" s="754"/>
      <c r="AA326" s="754"/>
      <c r="AB326" s="754"/>
      <c r="AC326" s="754"/>
      <c r="AD326" s="755"/>
    </row>
    <row r="327" spans="1:40" ht="36" customHeight="1">
      <c r="B327" s="183"/>
      <c r="C327" s="764" t="s">
        <v>5645</v>
      </c>
      <c r="D327" s="764"/>
      <c r="E327" s="764"/>
      <c r="F327" s="764"/>
      <c r="G327" s="764"/>
      <c r="H327" s="764"/>
      <c r="I327" s="764"/>
      <c r="J327" s="764"/>
      <c r="K327" s="764"/>
      <c r="L327" s="764"/>
      <c r="M327" s="764"/>
      <c r="N327" s="764"/>
      <c r="O327" s="764"/>
      <c r="P327" s="764"/>
      <c r="Q327" s="764"/>
      <c r="R327" s="764"/>
      <c r="S327" s="764"/>
      <c r="T327" s="764"/>
      <c r="U327" s="764"/>
      <c r="V327" s="764"/>
      <c r="W327" s="764"/>
      <c r="X327" s="764"/>
      <c r="Y327" s="764"/>
      <c r="Z327" s="764"/>
      <c r="AA327" s="764"/>
      <c r="AB327" s="764"/>
      <c r="AC327" s="764"/>
      <c r="AD327" s="765"/>
    </row>
    <row r="328" spans="1:40" ht="15" customHeight="1">
      <c r="A328" s="94"/>
    </row>
    <row r="329" spans="1:40" ht="24" customHeight="1">
      <c r="A329" s="49" t="s">
        <v>5646</v>
      </c>
      <c r="B329" s="829" t="s">
        <v>5647</v>
      </c>
      <c r="C329" s="829"/>
      <c r="D329" s="829"/>
      <c r="E329" s="829"/>
      <c r="F329" s="829"/>
      <c r="G329" s="829"/>
      <c r="H329" s="829"/>
      <c r="I329" s="829"/>
      <c r="J329" s="829"/>
      <c r="K329" s="829"/>
      <c r="L329" s="829"/>
      <c r="M329" s="829"/>
      <c r="N329" s="829"/>
      <c r="O329" s="829"/>
      <c r="P329" s="829"/>
      <c r="Q329" s="829"/>
      <c r="R329" s="829"/>
      <c r="S329" s="829"/>
      <c r="T329" s="829"/>
      <c r="U329" s="829"/>
      <c r="V329" s="829"/>
      <c r="W329" s="829"/>
      <c r="X329" s="829"/>
      <c r="Y329" s="829"/>
      <c r="Z329" s="829"/>
      <c r="AA329" s="829"/>
      <c r="AB329" s="829"/>
      <c r="AC329" s="829"/>
      <c r="AD329" s="829"/>
    </row>
    <row r="330" spans="1:40" ht="48" customHeight="1">
      <c r="A330" s="49"/>
      <c r="B330" s="105"/>
      <c r="C330" s="830" t="s">
        <v>5648</v>
      </c>
      <c r="D330" s="830"/>
      <c r="E330" s="830"/>
      <c r="F330" s="830"/>
      <c r="G330" s="830"/>
      <c r="H330" s="830"/>
      <c r="I330" s="830"/>
      <c r="J330" s="830"/>
      <c r="K330" s="830"/>
      <c r="L330" s="830"/>
      <c r="M330" s="830"/>
      <c r="N330" s="830"/>
      <c r="O330" s="830"/>
      <c r="P330" s="830"/>
      <c r="Q330" s="830"/>
      <c r="R330" s="830"/>
      <c r="S330" s="830"/>
      <c r="T330" s="830"/>
      <c r="U330" s="830"/>
      <c r="V330" s="830"/>
      <c r="W330" s="830"/>
      <c r="X330" s="830"/>
      <c r="Y330" s="830"/>
      <c r="Z330" s="830"/>
      <c r="AA330" s="830"/>
      <c r="AB330" s="830"/>
      <c r="AC330" s="830"/>
      <c r="AD330" s="830"/>
    </row>
    <row r="331" spans="1:40" ht="15" customHeight="1">
      <c r="A331" s="49"/>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c r="AA331" s="38"/>
      <c r="AB331" s="38"/>
      <c r="AC331" s="38"/>
      <c r="AD331" s="38"/>
    </row>
    <row r="332" spans="1:40" ht="24" customHeight="1">
      <c r="A332" s="245"/>
      <c r="B332" s="38"/>
      <c r="C332" s="797" t="s">
        <v>4728</v>
      </c>
      <c r="D332" s="798"/>
      <c r="E332" s="798"/>
      <c r="F332" s="798"/>
      <c r="G332" s="798"/>
      <c r="H332" s="798"/>
      <c r="I332" s="798"/>
      <c r="J332" s="798"/>
      <c r="K332" s="798"/>
      <c r="L332" s="799"/>
      <c r="M332" s="739" t="s">
        <v>5649</v>
      </c>
      <c r="N332" s="740"/>
      <c r="O332" s="740"/>
      <c r="P332" s="740"/>
      <c r="Q332" s="740"/>
      <c r="R332" s="740"/>
      <c r="S332" s="740"/>
      <c r="T332" s="740"/>
      <c r="U332" s="740"/>
      <c r="V332" s="740"/>
      <c r="W332" s="740"/>
      <c r="X332" s="740"/>
      <c r="Y332" s="740"/>
      <c r="Z332" s="740"/>
      <c r="AA332" s="740"/>
      <c r="AB332" s="740"/>
      <c r="AC332" s="740"/>
      <c r="AD332" s="741"/>
    </row>
    <row r="333" spans="1:40" ht="15" customHeight="1">
      <c r="A333" s="245"/>
      <c r="B333" s="38"/>
      <c r="C333" s="803"/>
      <c r="D333" s="804"/>
      <c r="E333" s="804"/>
      <c r="F333" s="804"/>
      <c r="G333" s="804"/>
      <c r="H333" s="804"/>
      <c r="I333" s="804"/>
      <c r="J333" s="804"/>
      <c r="K333" s="804"/>
      <c r="L333" s="805"/>
      <c r="M333" s="739" t="s">
        <v>2628</v>
      </c>
      <c r="N333" s="740"/>
      <c r="O333" s="740"/>
      <c r="P333" s="740"/>
      <c r="Q333" s="740"/>
      <c r="R333" s="741"/>
      <c r="S333" s="733" t="s">
        <v>2629</v>
      </c>
      <c r="T333" s="734"/>
      <c r="U333" s="734"/>
      <c r="V333" s="734"/>
      <c r="W333" s="734"/>
      <c r="X333" s="735"/>
      <c r="Y333" s="733" t="s">
        <v>2630</v>
      </c>
      <c r="Z333" s="734"/>
      <c r="AA333" s="734"/>
      <c r="AB333" s="734"/>
      <c r="AC333" s="734"/>
      <c r="AD333" s="735"/>
      <c r="AG333" t="s">
        <v>2586</v>
      </c>
      <c r="AH333" t="s">
        <v>4599</v>
      </c>
      <c r="AI333" t="s">
        <v>2590</v>
      </c>
      <c r="AJ333" t="s">
        <v>3163</v>
      </c>
      <c r="AK333" t="s">
        <v>4564</v>
      </c>
      <c r="AL333" t="s">
        <v>5486</v>
      </c>
      <c r="AM333"/>
      <c r="AN333"/>
    </row>
    <row r="334" spans="1:40" ht="15" customHeight="1">
      <c r="A334" s="245"/>
      <c r="B334" s="38"/>
      <c r="C334" s="44" t="s">
        <v>2516</v>
      </c>
      <c r="D334" s="813" t="s">
        <v>4731</v>
      </c>
      <c r="E334" s="814"/>
      <c r="F334" s="814"/>
      <c r="G334" s="814"/>
      <c r="H334" s="814"/>
      <c r="I334" s="814"/>
      <c r="J334" s="814"/>
      <c r="K334" s="814"/>
      <c r="L334" s="815"/>
      <c r="M334" s="816"/>
      <c r="N334" s="738"/>
      <c r="O334" s="738"/>
      <c r="P334" s="738"/>
      <c r="Q334" s="738"/>
      <c r="R334" s="817"/>
      <c r="S334" s="816"/>
      <c r="T334" s="738"/>
      <c r="U334" s="738"/>
      <c r="V334" s="738"/>
      <c r="W334" s="738"/>
      <c r="X334" s="817"/>
      <c r="Y334" s="816"/>
      <c r="Z334" s="738"/>
      <c r="AA334" s="738"/>
      <c r="AB334" s="738"/>
      <c r="AC334" s="738"/>
      <c r="AD334" s="817"/>
      <c r="AG334" s="506">
        <f>IF(OR($C$33&gt;1,$C$33=""),0,IF(COUNTBLANK(M334:AD335)=30,0,1))</f>
        <v>0</v>
      </c>
      <c r="AH334" s="506">
        <f>IF($C$33&lt;&gt;1,IF(COUNTBLANK(M334:AD335)=36,0,1),0)</f>
        <v>0</v>
      </c>
      <c r="AI334">
        <f>COUNTIF(S334:AD334,"NS")</f>
        <v>0</v>
      </c>
      <c r="AJ334">
        <f>SUM(S334:AD334)</f>
        <v>0</v>
      </c>
      <c r="AK334">
        <f>IF(COUNTIF(M334:AD334,"NA")=3,0,IF(COUNTA(M334:AD334)=0,0,IF(OR(AND(M334=0,AI334&gt;0),AND(M334="ns",AJ334&gt;0),AND(M334="ns",AI334=0,AJ334=0)),1,IF(OR(AND(M334&gt;0,AI334=2),AND(M334="ns",AI334=2),AND(M334="ns",AJ334=0,AI334&gt;0),M334=AJ334),0,1))))</f>
        <v>0</v>
      </c>
      <c r="AL334" cm="1">
        <f t="array" ref="AL334">IF(OR(M334={"NS","NA"},M48={"NS","NA"}),0,IF(M334&gt;=M48,0,1))</f>
        <v>0</v>
      </c>
      <c r="AM334" cm="1">
        <f t="array" ref="AM334">IF(OR(S334={"NS","NA"},S48={"NS","NA"}),0,IF(S334&gt;=S48,0,1))</f>
        <v>0</v>
      </c>
      <c r="AN334" cm="1">
        <f t="array" ref="AN334">IF(OR(Y334={"NS","NA"},Y48={"NS","NA"}),0,IF(Y334&gt;=Y48,0,1))</f>
        <v>0</v>
      </c>
    </row>
    <row r="335" spans="1:40" ht="15" customHeight="1">
      <c r="A335" s="245"/>
      <c r="B335" s="38"/>
      <c r="C335" s="44" t="s">
        <v>2517</v>
      </c>
      <c r="D335" s="813" t="s">
        <v>4571</v>
      </c>
      <c r="E335" s="814"/>
      <c r="F335" s="814"/>
      <c r="G335" s="814"/>
      <c r="H335" s="814"/>
      <c r="I335" s="814"/>
      <c r="J335" s="814"/>
      <c r="K335" s="814"/>
      <c r="L335" s="815"/>
      <c r="M335" s="816"/>
      <c r="N335" s="738"/>
      <c r="O335" s="738"/>
      <c r="P335" s="738"/>
      <c r="Q335" s="738"/>
      <c r="R335" s="817"/>
      <c r="S335" s="816"/>
      <c r="T335" s="738"/>
      <c r="U335" s="738"/>
      <c r="V335" s="738"/>
      <c r="W335" s="738"/>
      <c r="X335" s="817"/>
      <c r="Y335" s="816"/>
      <c r="Z335" s="738"/>
      <c r="AA335" s="738"/>
      <c r="AB335" s="738"/>
      <c r="AC335" s="738"/>
      <c r="AD335" s="817"/>
      <c r="AI335">
        <f>COUNTIF(S335:AD335,"NS")</f>
        <v>0</v>
      </c>
      <c r="AJ335">
        <f>SUM(S335:AD335)</f>
        <v>0</v>
      </c>
      <c r="AK335">
        <f>IF(COUNTIF(M335:AD335,"NA")=3,0,IF(COUNTA(M335:AD335)=0,0,IF(OR(AND(M335=0,AI335&gt;0),AND(M335="ns",AJ335&gt;0),AND(M335="ns",AI335=0,AJ335=0)),1,IF(OR(AND(M335&gt;0,AI335=2),AND(M335="ns",AI335=2),AND(M335="ns",AJ335=0,AI335&gt;0),M335=AJ335),0,1))))</f>
        <v>0</v>
      </c>
      <c r="AL335" cm="1">
        <f t="array" ref="AL335">IF(OR(M335={"NS","NA"},M49={"NS","NA"}),0,IF(M335&gt;=M49,0,1))</f>
        <v>0</v>
      </c>
      <c r="AM335" cm="1">
        <f t="array" ref="AM335">IF(OR(S335={"NS","NA"},S49={"NS","NA"}),0,IF(S335&gt;=S49,0,1))</f>
        <v>0</v>
      </c>
      <c r="AN335" cm="1">
        <f t="array" ref="AN335">IF(OR(Y335={"NS","NA"},Y49={"NS","NA"}),0,IF(Y335&gt;=Y49,0,1))</f>
        <v>0</v>
      </c>
    </row>
    <row r="336" spans="1:40" ht="15" customHeight="1">
      <c r="A336" s="245"/>
      <c r="B336" s="38"/>
      <c r="C336" s="38"/>
      <c r="D336" s="38"/>
      <c r="E336" s="38"/>
      <c r="F336" s="38"/>
      <c r="G336" s="38"/>
      <c r="H336" s="38"/>
      <c r="I336" s="38"/>
      <c r="J336" s="38"/>
      <c r="K336" s="38"/>
      <c r="L336" s="99" t="s">
        <v>2649</v>
      </c>
      <c r="M336" s="736">
        <f>IF(AND(SUM(M334:M335)=0,COUNTIF(M334:M335,"NS")&gt;0),"NS",IF(AND(SUM(M334:M335)=0,COUNTIF(M334:M335,0)&gt;0),0,IF(AND(SUM(M334:M335)=0,COUNTIF(M334:M335,"NA")&gt;0),"NA",SUM(M334:M335))))</f>
        <v>0</v>
      </c>
      <c r="N336" s="1085"/>
      <c r="O336" s="1085"/>
      <c r="P336" s="1085"/>
      <c r="Q336" s="1085"/>
      <c r="R336" s="1086"/>
      <c r="S336" s="736">
        <f>IF(AND(SUM(S334:S335)=0,COUNTIF(S334:S335,"NS")&gt;0),"NS",IF(AND(SUM(S334:S335)=0,COUNTIF(S334:S335,0)&gt;0),0,IF(AND(SUM(S334:S335)=0,COUNTIF(S334:S335,"NA")&gt;0),"NA",SUM(S334:S335))))</f>
        <v>0</v>
      </c>
      <c r="T336" s="1085"/>
      <c r="U336" s="1085"/>
      <c r="V336" s="1085"/>
      <c r="W336" s="1085"/>
      <c r="X336" s="1086"/>
      <c r="Y336" s="736">
        <f>IF(AND(SUM(Y334:Y335)=0,COUNTIF(Y334:Y335,"NS")&gt;0),"NS",IF(AND(SUM(Y334:Y335)=0,COUNTIF(Y334:Y335,0)&gt;0),0,IF(AND(SUM(Y334:Y335)=0,COUNTIF(Y334:Y335,"NA")&gt;0),"NA",SUM(Y334:Y335))))</f>
        <v>0</v>
      </c>
      <c r="Z336" s="1085"/>
      <c r="AA336" s="1085"/>
      <c r="AB336" s="1085"/>
      <c r="AC336" s="1085"/>
      <c r="AD336" s="1086"/>
      <c r="AI336">
        <f>SUM(AI334:AI335)</f>
        <v>0</v>
      </c>
      <c r="AK336" s="506">
        <f>SUM(AK334:AK335)</f>
        <v>0</v>
      </c>
      <c r="AL336" cm="1">
        <f t="array" ref="AL336">IF(OR(M336={"NS","NA"},M51={"NS","NA"}),0,IF(M336&gt;=M51,0,1))</f>
        <v>0</v>
      </c>
      <c r="AM336" cm="1">
        <f t="array" ref="AM336">IF(OR(S336={"NS","NA"},S51={"NS","NA"}),0,IF(S336&gt;=S51,0,1))</f>
        <v>0</v>
      </c>
      <c r="AN336" cm="1">
        <f t="array" ref="AN336">IF(OR(Y336={"NS","NA"},Y51={"NS","NA"}),0,IF(Y336&gt;=Y51,0,1))</f>
        <v>0</v>
      </c>
    </row>
    <row r="337" spans="1:40" ht="15" customHeight="1">
      <c r="A337" s="245"/>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c r="AA337" s="38"/>
      <c r="AB337" s="38"/>
      <c r="AC337" s="38"/>
      <c r="AD337" s="38"/>
      <c r="AN337" s="680">
        <f>IF($C$33&lt;&gt;1,0,SUM(AL334:AN336))</f>
        <v>0</v>
      </c>
    </row>
    <row r="338" spans="1:40" ht="24" customHeight="1">
      <c r="A338" s="245"/>
      <c r="B338" s="38"/>
      <c r="C338" s="754" t="s">
        <v>2611</v>
      </c>
      <c r="D338" s="754"/>
      <c r="E338" s="754"/>
      <c r="F338" s="754"/>
      <c r="G338" s="754"/>
      <c r="H338" s="754"/>
      <c r="I338" s="754"/>
      <c r="J338" s="754"/>
      <c r="K338" s="754"/>
      <c r="L338" s="754"/>
      <c r="M338" s="754"/>
      <c r="N338" s="754"/>
      <c r="O338" s="754"/>
      <c r="P338" s="754"/>
      <c r="Q338" s="754"/>
      <c r="R338" s="754"/>
      <c r="S338" s="754"/>
      <c r="T338" s="754"/>
      <c r="U338" s="754"/>
      <c r="V338" s="754"/>
      <c r="W338" s="754"/>
      <c r="X338" s="754"/>
      <c r="Y338" s="754"/>
      <c r="Z338" s="754"/>
      <c r="AA338" s="754"/>
      <c r="AB338" s="754"/>
      <c r="AC338" s="754"/>
      <c r="AD338" s="754"/>
    </row>
    <row r="339" spans="1:40" ht="60" customHeight="1">
      <c r="A339" s="245"/>
      <c r="B339" s="38"/>
      <c r="C339" s="851"/>
      <c r="D339" s="851"/>
      <c r="E339" s="851"/>
      <c r="F339" s="851"/>
      <c r="G339" s="851"/>
      <c r="H339" s="851"/>
      <c r="I339" s="851"/>
      <c r="J339" s="851"/>
      <c r="K339" s="851"/>
      <c r="L339" s="851"/>
      <c r="M339" s="851"/>
      <c r="N339" s="851"/>
      <c r="O339" s="851"/>
      <c r="P339" s="851"/>
      <c r="Q339" s="851"/>
      <c r="R339" s="851"/>
      <c r="S339" s="851"/>
      <c r="T339" s="851"/>
      <c r="U339" s="851"/>
      <c r="V339" s="851"/>
      <c r="W339" s="851"/>
      <c r="X339" s="851"/>
      <c r="Y339" s="851"/>
      <c r="Z339" s="851"/>
      <c r="AA339" s="851"/>
      <c r="AB339" s="851"/>
      <c r="AC339" s="851"/>
      <c r="AD339" s="851"/>
    </row>
    <row r="340" spans="1:40" ht="15" customHeight="1">
      <c r="A340" s="49"/>
      <c r="B340" s="794" t="str">
        <f>IF(AG334=0,"","Favor de ingresar toda la información requerida en la pregunta")</f>
        <v/>
      </c>
      <c r="C340" s="794"/>
      <c r="D340" s="794"/>
      <c r="E340" s="794"/>
      <c r="F340" s="794"/>
      <c r="G340" s="794"/>
      <c r="H340" s="794"/>
      <c r="I340" s="794"/>
      <c r="J340" s="794"/>
      <c r="K340" s="794"/>
      <c r="L340" s="794"/>
      <c r="M340" s="794"/>
      <c r="N340" s="794"/>
      <c r="O340" s="794"/>
      <c r="P340" s="794"/>
      <c r="Q340" s="794"/>
      <c r="R340" s="794"/>
      <c r="S340" s="794"/>
      <c r="T340" s="794"/>
      <c r="U340" s="794"/>
      <c r="V340" s="794"/>
      <c r="W340" s="794"/>
      <c r="X340" s="794"/>
      <c r="Y340" s="794"/>
      <c r="Z340" s="794"/>
      <c r="AA340" s="794"/>
      <c r="AB340" s="794"/>
      <c r="AC340" s="794"/>
      <c r="AD340" s="794"/>
      <c r="AE340" s="794"/>
    </row>
    <row r="341" spans="1:40" ht="15" customHeight="1">
      <c r="A341" s="49"/>
      <c r="B341" s="1087" t="str">
        <f>IF(COUNTIF(M334:AD335,"NS")&lt;&gt;0,"Alerta: debido a que cuenta con registros NS, debe proporcionar una justificación en el area de comentarios al final de la pregunta","")</f>
        <v/>
      </c>
      <c r="C341" s="1087"/>
      <c r="D341" s="1087"/>
      <c r="E341" s="1087"/>
      <c r="F341" s="1087"/>
      <c r="G341" s="1087"/>
      <c r="H341" s="1087"/>
      <c r="I341" s="1087"/>
      <c r="J341" s="1087"/>
      <c r="K341" s="1087"/>
      <c r="L341" s="1087"/>
      <c r="M341" s="1087"/>
      <c r="N341" s="1087"/>
      <c r="O341" s="1087"/>
      <c r="P341" s="1087"/>
      <c r="Q341" s="1087"/>
      <c r="R341" s="1087"/>
      <c r="S341" s="1087"/>
      <c r="T341" s="1087"/>
      <c r="U341" s="1087"/>
      <c r="V341" s="1087"/>
      <c r="W341" s="1087"/>
      <c r="X341" s="1087"/>
      <c r="Y341" s="1087"/>
      <c r="Z341" s="1087"/>
      <c r="AA341" s="1087"/>
      <c r="AB341" s="1087"/>
      <c r="AC341" s="1087"/>
      <c r="AD341" s="1087"/>
      <c r="AE341" s="1087"/>
    </row>
    <row r="342" spans="1:40" ht="15" customHeight="1">
      <c r="A342" s="49"/>
      <c r="B342" s="1003" t="str">
        <f>IF(AH334&gt;0,"Revise la información capturada, ya que tiene datos ingresados en celdas que están sombreadas","")</f>
        <v/>
      </c>
      <c r="C342" s="1003"/>
      <c r="D342" s="1003"/>
      <c r="E342" s="1003"/>
      <c r="F342" s="1003"/>
      <c r="G342" s="1003"/>
      <c r="H342" s="1003"/>
      <c r="I342" s="1003"/>
      <c r="J342" s="1003"/>
      <c r="K342" s="1003"/>
      <c r="L342" s="1003"/>
      <c r="M342" s="1003"/>
      <c r="N342" s="1003"/>
      <c r="O342" s="1003"/>
      <c r="P342" s="1003"/>
      <c r="Q342" s="1003"/>
      <c r="R342" s="1003"/>
      <c r="S342" s="1003"/>
      <c r="T342" s="1003"/>
      <c r="U342" s="1003"/>
      <c r="V342" s="1003"/>
      <c r="W342" s="1003"/>
      <c r="X342" s="1003"/>
      <c r="Y342" s="1003"/>
      <c r="Z342" s="1003"/>
      <c r="AA342" s="1003"/>
      <c r="AB342" s="1003"/>
      <c r="AC342" s="1003"/>
      <c r="AD342" s="1003"/>
      <c r="AE342" s="1003"/>
    </row>
    <row r="343" spans="1:40" ht="15" customHeight="1">
      <c r="A343" s="49"/>
      <c r="B343" s="1003" t="str">
        <f>IF(AK336&gt;0,"Favor de revisar la suma y consistencia de totales y/o subtotales por filas (numéricos y NS)","")</f>
        <v/>
      </c>
      <c r="C343" s="1003"/>
      <c r="D343" s="1003"/>
      <c r="E343" s="1003"/>
      <c r="F343" s="1003"/>
      <c r="G343" s="1003"/>
      <c r="H343" s="1003"/>
      <c r="I343" s="1003"/>
      <c r="J343" s="1003"/>
      <c r="K343" s="1003"/>
      <c r="L343" s="1003"/>
      <c r="M343" s="1003"/>
      <c r="N343" s="1003"/>
      <c r="O343" s="1003"/>
      <c r="P343" s="1003"/>
      <c r="Q343" s="1003"/>
      <c r="R343" s="1003"/>
      <c r="S343" s="1003"/>
      <c r="T343" s="1003"/>
      <c r="U343" s="1003"/>
      <c r="V343" s="1003"/>
      <c r="W343" s="1003"/>
      <c r="X343" s="1003"/>
      <c r="Y343" s="1003"/>
      <c r="Z343" s="1003"/>
      <c r="AA343" s="1003"/>
      <c r="AB343" s="1003"/>
      <c r="AC343" s="1003"/>
      <c r="AD343" s="1003"/>
      <c r="AE343" s="1003"/>
    </row>
    <row r="344" spans="1:40" ht="15" customHeight="1">
      <c r="A344" s="49"/>
      <c r="B344" s="795" t="str">
        <f>IF(AN337&gt;0,"Alerta: debe de proporcionar una justificación de acuerdo a lo establecido en la instrucción 1","")</f>
        <v/>
      </c>
      <c r="C344" s="795"/>
      <c r="D344" s="795"/>
      <c r="E344" s="795"/>
      <c r="F344" s="795"/>
      <c r="G344" s="795"/>
      <c r="H344" s="795"/>
      <c r="I344" s="795"/>
      <c r="J344" s="795"/>
      <c r="K344" s="795"/>
      <c r="L344" s="795"/>
      <c r="M344" s="795"/>
      <c r="N344" s="795"/>
      <c r="O344" s="795"/>
      <c r="P344" s="795"/>
      <c r="Q344" s="795"/>
      <c r="R344" s="795"/>
      <c r="S344" s="795"/>
      <c r="T344" s="795"/>
      <c r="U344" s="795"/>
      <c r="V344" s="795"/>
      <c r="W344" s="795"/>
      <c r="X344" s="795"/>
      <c r="Y344" s="795"/>
      <c r="Z344" s="795"/>
      <c r="AA344" s="795"/>
      <c r="AB344" s="795"/>
      <c r="AC344" s="795"/>
      <c r="AD344" s="795"/>
      <c r="AE344" s="795"/>
    </row>
    <row r="345" spans="1:40" ht="15" customHeight="1">
      <c r="A345" s="49"/>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c r="AA345" s="38"/>
      <c r="AB345" s="38"/>
      <c r="AC345" s="38"/>
      <c r="AD345" s="38"/>
    </row>
    <row r="346" spans="1:40" ht="24" customHeight="1">
      <c r="A346" s="49" t="s">
        <v>5650</v>
      </c>
      <c r="B346" s="829" t="s">
        <v>5651</v>
      </c>
      <c r="C346" s="829"/>
      <c r="D346" s="829"/>
      <c r="E346" s="829"/>
      <c r="F346" s="829"/>
      <c r="G346" s="829"/>
      <c r="H346" s="829"/>
      <c r="I346" s="829"/>
      <c r="J346" s="829"/>
      <c r="K346" s="829"/>
      <c r="L346" s="829"/>
      <c r="M346" s="829"/>
      <c r="N346" s="829"/>
      <c r="O346" s="829"/>
      <c r="P346" s="829"/>
      <c r="Q346" s="829"/>
      <c r="R346" s="829"/>
      <c r="S346" s="829"/>
      <c r="T346" s="829"/>
      <c r="U346" s="829"/>
      <c r="V346" s="829"/>
      <c r="W346" s="829"/>
      <c r="X346" s="829"/>
      <c r="Y346" s="829"/>
      <c r="Z346" s="829"/>
      <c r="AA346" s="829"/>
      <c r="AB346" s="829"/>
      <c r="AC346" s="829"/>
      <c r="AD346" s="829"/>
    </row>
    <row r="347" spans="1:40" ht="24" customHeight="1">
      <c r="A347" s="49"/>
      <c r="B347" s="105"/>
      <c r="C347" s="754" t="s">
        <v>4734</v>
      </c>
      <c r="D347" s="754"/>
      <c r="E347" s="754"/>
      <c r="F347" s="754"/>
      <c r="G347" s="754"/>
      <c r="H347" s="754"/>
      <c r="I347" s="754"/>
      <c r="J347" s="754"/>
      <c r="K347" s="754"/>
      <c r="L347" s="754"/>
      <c r="M347" s="754"/>
      <c r="N347" s="754"/>
      <c r="O347" s="754"/>
      <c r="P347" s="754"/>
      <c r="Q347" s="754"/>
      <c r="R347" s="754"/>
      <c r="S347" s="754"/>
      <c r="T347" s="754"/>
      <c r="U347" s="754"/>
      <c r="V347" s="754"/>
      <c r="W347" s="754"/>
      <c r="X347" s="754"/>
      <c r="Y347" s="754"/>
      <c r="Z347" s="754"/>
      <c r="AA347" s="754"/>
      <c r="AB347" s="754"/>
      <c r="AC347" s="754"/>
      <c r="AD347" s="754"/>
    </row>
    <row r="348" spans="1:40" ht="24" customHeight="1">
      <c r="A348" s="49"/>
      <c r="B348" s="38"/>
      <c r="C348" s="754" t="s">
        <v>5652</v>
      </c>
      <c r="D348" s="754"/>
      <c r="E348" s="754"/>
      <c r="F348" s="754"/>
      <c r="G348" s="754"/>
      <c r="H348" s="754"/>
      <c r="I348" s="754"/>
      <c r="J348" s="754"/>
      <c r="K348" s="754"/>
      <c r="L348" s="754"/>
      <c r="M348" s="754"/>
      <c r="N348" s="754"/>
      <c r="O348" s="754"/>
      <c r="P348" s="754"/>
      <c r="Q348" s="754"/>
      <c r="R348" s="754"/>
      <c r="S348" s="754"/>
      <c r="T348" s="754"/>
      <c r="U348" s="754"/>
      <c r="V348" s="754"/>
      <c r="W348" s="754"/>
      <c r="X348" s="754"/>
      <c r="Y348" s="754"/>
      <c r="Z348" s="754"/>
      <c r="AA348" s="754"/>
      <c r="AB348" s="754"/>
      <c r="AC348" s="754"/>
      <c r="AD348" s="754"/>
    </row>
    <row r="349" spans="1:40" ht="15" customHeight="1">
      <c r="A349" s="49"/>
      <c r="B349" s="38"/>
      <c r="C349" s="75"/>
      <c r="D349" s="75"/>
      <c r="E349" s="75"/>
      <c r="F349" s="75"/>
      <c r="G349" s="75"/>
      <c r="H349" s="75"/>
      <c r="I349" s="75"/>
      <c r="J349" s="75"/>
      <c r="K349" s="75"/>
      <c r="L349" s="75"/>
      <c r="M349" s="75"/>
      <c r="N349" s="75"/>
      <c r="O349" s="75"/>
      <c r="P349" s="75"/>
      <c r="Q349" s="75"/>
      <c r="R349" s="75"/>
      <c r="S349" s="75"/>
      <c r="T349" s="75"/>
      <c r="U349" s="75"/>
      <c r="V349" s="75"/>
      <c r="W349" s="75"/>
      <c r="X349" s="75"/>
      <c r="Y349" s="75"/>
      <c r="Z349" s="75"/>
      <c r="AA349" s="75"/>
      <c r="AB349" s="75"/>
      <c r="AC349" s="75"/>
      <c r="AD349" s="75"/>
    </row>
    <row r="350" spans="1:40" ht="24" customHeight="1">
      <c r="A350" s="49"/>
      <c r="B350" s="38"/>
      <c r="C350" s="797" t="s">
        <v>4736</v>
      </c>
      <c r="D350" s="798"/>
      <c r="E350" s="799"/>
      <c r="F350" s="732" t="s">
        <v>4737</v>
      </c>
      <c r="G350" s="732"/>
      <c r="H350" s="797" t="s">
        <v>4738</v>
      </c>
      <c r="I350" s="798"/>
      <c r="J350" s="798"/>
      <c r="K350" s="798"/>
      <c r="L350" s="799"/>
      <c r="M350" s="739" t="s">
        <v>5653</v>
      </c>
      <c r="N350" s="740"/>
      <c r="O350" s="740"/>
      <c r="P350" s="740"/>
      <c r="Q350" s="740"/>
      <c r="R350" s="740"/>
      <c r="S350" s="740"/>
      <c r="T350" s="740"/>
      <c r="U350" s="740"/>
      <c r="V350" s="740"/>
      <c r="W350" s="740"/>
      <c r="X350" s="740"/>
      <c r="Y350" s="740"/>
      <c r="Z350" s="740"/>
      <c r="AA350" s="740"/>
      <c r="AB350" s="740"/>
      <c r="AC350" s="740"/>
      <c r="AD350" s="741"/>
    </row>
    <row r="351" spans="1:40" ht="15" customHeight="1">
      <c r="A351" s="49"/>
      <c r="B351" s="38"/>
      <c r="C351" s="803"/>
      <c r="D351" s="804"/>
      <c r="E351" s="805"/>
      <c r="F351" s="732"/>
      <c r="G351" s="732"/>
      <c r="H351" s="803"/>
      <c r="I351" s="804"/>
      <c r="J351" s="804"/>
      <c r="K351" s="804"/>
      <c r="L351" s="805"/>
      <c r="M351" s="739" t="s">
        <v>2628</v>
      </c>
      <c r="N351" s="740"/>
      <c r="O351" s="740"/>
      <c r="P351" s="740"/>
      <c r="Q351" s="740"/>
      <c r="R351" s="741"/>
      <c r="S351" s="733" t="s">
        <v>2629</v>
      </c>
      <c r="T351" s="734"/>
      <c r="U351" s="734"/>
      <c r="V351" s="734"/>
      <c r="W351" s="734"/>
      <c r="X351" s="735"/>
      <c r="Y351" s="733" t="s">
        <v>2630</v>
      </c>
      <c r="Z351" s="734"/>
      <c r="AA351" s="734"/>
      <c r="AB351" s="734"/>
      <c r="AC351" s="734"/>
      <c r="AD351" s="735"/>
      <c r="AF351" s="84" t="s">
        <v>4740</v>
      </c>
      <c r="AG351" t="s">
        <v>2586</v>
      </c>
      <c r="AH351" t="s">
        <v>4599</v>
      </c>
      <c r="AI351" t="s">
        <v>4741</v>
      </c>
      <c r="AJ351" t="s">
        <v>2590</v>
      </c>
      <c r="AK351" t="s">
        <v>3163</v>
      </c>
      <c r="AL351" t="s">
        <v>4564</v>
      </c>
      <c r="AM351" t="s">
        <v>4742</v>
      </c>
    </row>
    <row r="352" spans="1:40" ht="15" customHeight="1">
      <c r="A352" s="49"/>
      <c r="B352" s="38"/>
      <c r="C352" s="1108" t="s">
        <v>4743</v>
      </c>
      <c r="D352" s="847" t="s">
        <v>5416</v>
      </c>
      <c r="E352" s="848"/>
      <c r="F352" s="1103" t="s">
        <v>4745</v>
      </c>
      <c r="G352" s="1103"/>
      <c r="H352" s="1104" t="s">
        <v>3875</v>
      </c>
      <c r="I352" s="1105"/>
      <c r="J352" s="1105"/>
      <c r="K352" s="1105"/>
      <c r="L352" s="1106"/>
      <c r="M352" s="816"/>
      <c r="N352" s="738"/>
      <c r="O352" s="738"/>
      <c r="P352" s="738"/>
      <c r="Q352" s="738"/>
      <c r="R352" s="817"/>
      <c r="S352" s="816"/>
      <c r="T352" s="738"/>
      <c r="U352" s="738"/>
      <c r="V352" s="738"/>
      <c r="W352" s="738"/>
      <c r="X352" s="817"/>
      <c r="Y352" s="816"/>
      <c r="Z352" s="738"/>
      <c r="AA352" s="738"/>
      <c r="AB352" s="738"/>
      <c r="AC352" s="738"/>
      <c r="AD352" s="817"/>
      <c r="AF352"/>
      <c r="AG352">
        <f>IF(OR($M$334=0,$M$334="NS",$M$334="NA",M352="NA"),0,IF(COUNTBLANK(M352:AD352)=15,0,1))</f>
        <v>0</v>
      </c>
      <c r="AH352">
        <f>IF(M352="NA",IF(COUNTBLANK(S352:AD352)=12,0,1),0)</f>
        <v>0</v>
      </c>
      <c r="AI352">
        <f>IF(OR($M$334=0,$M$334="NS",$M$334="NA"),IF(COUNTBLANK(M352:AD516)=2970,0,1),0)</f>
        <v>0</v>
      </c>
      <c r="AJ352">
        <f>COUNTIF(S352:AD352,"NS")</f>
        <v>0</v>
      </c>
      <c r="AK352">
        <f>SUM(S352:AD352)</f>
        <v>0</v>
      </c>
      <c r="AL352">
        <f>IF(COUNTIF(M352:AD352,"NA")=3,0,IF(COUNTA(M352:AD352)=0,0,IF(OR(AND(M352=0,AJ352&gt;0),AND(M352="ns",AK352&gt;0),AND(M352="ns",AJ352=0,AK352=0)),1,IF(OR(AND(M352&gt;0,AJ352=2),AND(M352="ns",AJ352=2),AND(M352="ns",AK352=0,AJ352&gt;0),M352=AK352),0,1))))</f>
        <v>0</v>
      </c>
    </row>
    <row r="353" spans="1:84" ht="15" customHeight="1">
      <c r="A353" s="49"/>
      <c r="B353" s="38"/>
      <c r="C353" s="1109"/>
      <c r="D353" s="954"/>
      <c r="E353" s="956"/>
      <c r="F353" s="1103" t="s">
        <v>4746</v>
      </c>
      <c r="G353" s="1103"/>
      <c r="H353" s="1104" t="s">
        <v>4747</v>
      </c>
      <c r="I353" s="1105"/>
      <c r="J353" s="1105"/>
      <c r="K353" s="1105"/>
      <c r="L353" s="1106"/>
      <c r="M353" s="816"/>
      <c r="N353" s="738"/>
      <c r="O353" s="738"/>
      <c r="P353" s="738"/>
      <c r="Q353" s="738"/>
      <c r="R353" s="817"/>
      <c r="S353" s="816"/>
      <c r="T353" s="738"/>
      <c r="U353" s="738"/>
      <c r="V353" s="738"/>
      <c r="W353" s="738"/>
      <c r="X353" s="817"/>
      <c r="Y353" s="816"/>
      <c r="Z353" s="738"/>
      <c r="AA353" s="738"/>
      <c r="AB353" s="738"/>
      <c r="AC353" s="738"/>
      <c r="AD353" s="817"/>
      <c r="AF353"/>
      <c r="AG353">
        <f t="shared" ref="AG353:AG416" si="44">IF(OR($M$334=0,$M$334="NS",$M$334="NA",M353="NA"),0,IF(COUNTBLANK(M353:AD353)=15,0,1))</f>
        <v>0</v>
      </c>
      <c r="AH353">
        <f t="shared" ref="AH353:AH416" si="45">IF(M353="NA",IF(COUNTBLANK(S353:AD353)=12,0,1),0)</f>
        <v>0</v>
      </c>
      <c r="AJ353">
        <f t="shared" ref="AJ353:AJ416" si="46">COUNTIF(S353:AD353,"NS")</f>
        <v>0</v>
      </c>
      <c r="AK353">
        <f t="shared" ref="AK353:AK416" si="47">SUM(S353:AD353)</f>
        <v>0</v>
      </c>
      <c r="AL353">
        <f t="shared" ref="AL353:AL416" si="48">IF(COUNTIF(M353:AD353,"NA")=3,0,IF(COUNTA(M353:AD353)=0,0,IF(OR(AND(M353=0,AJ353&gt;0),AND(M353="ns",AK353&gt;0),AND(M353="ns",AJ353=0,AK353=0)),1,IF(OR(AND(M353&gt;0,AJ353=2),AND(M353="ns",AJ353=2),AND(M353="ns",AK353=0,AJ353&gt;0),M353=AK353),0,1))))</f>
        <v>0</v>
      </c>
    </row>
    <row r="354" spans="1:84" ht="15" customHeight="1">
      <c r="A354" s="49"/>
      <c r="B354" s="38"/>
      <c r="C354" s="1109"/>
      <c r="D354" s="954"/>
      <c r="E354" s="956"/>
      <c r="F354" s="1103" t="s">
        <v>4748</v>
      </c>
      <c r="G354" s="1103"/>
      <c r="H354" s="1104" t="s">
        <v>4749</v>
      </c>
      <c r="I354" s="1105"/>
      <c r="J354" s="1105"/>
      <c r="K354" s="1105"/>
      <c r="L354" s="1106"/>
      <c r="M354" s="816"/>
      <c r="N354" s="738"/>
      <c r="O354" s="738"/>
      <c r="P354" s="738"/>
      <c r="Q354" s="738"/>
      <c r="R354" s="817"/>
      <c r="S354" s="816"/>
      <c r="T354" s="738"/>
      <c r="U354" s="738"/>
      <c r="V354" s="738"/>
      <c r="W354" s="738"/>
      <c r="X354" s="817"/>
      <c r="Y354" s="816"/>
      <c r="Z354" s="738"/>
      <c r="AA354" s="738"/>
      <c r="AB354" s="738"/>
      <c r="AC354" s="738"/>
      <c r="AD354" s="817"/>
      <c r="AF354"/>
      <c r="AG354">
        <f t="shared" si="44"/>
        <v>0</v>
      </c>
      <c r="AH354">
        <f t="shared" si="45"/>
        <v>0</v>
      </c>
      <c r="AJ354">
        <f t="shared" si="46"/>
        <v>0</v>
      </c>
      <c r="AK354">
        <f t="shared" si="47"/>
        <v>0</v>
      </c>
      <c r="AL354">
        <f t="shared" si="48"/>
        <v>0</v>
      </c>
    </row>
    <row r="355" spans="1:84" ht="15" customHeight="1">
      <c r="A355" s="49"/>
      <c r="B355" s="38"/>
      <c r="C355" s="1109"/>
      <c r="D355" s="954"/>
      <c r="E355" s="956"/>
      <c r="F355" s="1103" t="s">
        <v>4750</v>
      </c>
      <c r="G355" s="1103"/>
      <c r="H355" s="1104" t="s">
        <v>4751</v>
      </c>
      <c r="I355" s="1105"/>
      <c r="J355" s="1105"/>
      <c r="K355" s="1105"/>
      <c r="L355" s="1106"/>
      <c r="M355" s="816"/>
      <c r="N355" s="738"/>
      <c r="O355" s="738"/>
      <c r="P355" s="738"/>
      <c r="Q355" s="738"/>
      <c r="R355" s="817"/>
      <c r="S355" s="816"/>
      <c r="T355" s="738"/>
      <c r="U355" s="738"/>
      <c r="V355" s="738"/>
      <c r="W355" s="738"/>
      <c r="X355" s="817"/>
      <c r="Y355" s="816"/>
      <c r="Z355" s="738"/>
      <c r="AA355" s="738"/>
      <c r="AB355" s="738"/>
      <c r="AC355" s="738"/>
      <c r="AD355" s="817"/>
      <c r="AF355"/>
      <c r="AG355">
        <f t="shared" si="44"/>
        <v>0</v>
      </c>
      <c r="AH355">
        <f t="shared" si="45"/>
        <v>0</v>
      </c>
      <c r="AJ355">
        <f t="shared" si="46"/>
        <v>0</v>
      </c>
      <c r="AK355">
        <f t="shared" si="47"/>
        <v>0</v>
      </c>
      <c r="AL355">
        <f t="shared" si="48"/>
        <v>0</v>
      </c>
    </row>
    <row r="356" spans="1:84" ht="36" customHeight="1">
      <c r="A356" s="49"/>
      <c r="B356" s="38"/>
      <c r="C356" s="1109"/>
      <c r="D356" s="954"/>
      <c r="E356" s="956"/>
      <c r="F356" s="1117" t="s">
        <v>4752</v>
      </c>
      <c r="G356" s="1118"/>
      <c r="H356" s="1104" t="s">
        <v>4753</v>
      </c>
      <c r="I356" s="1105"/>
      <c r="J356" s="1105"/>
      <c r="K356" s="1105"/>
      <c r="L356" s="1106"/>
      <c r="M356" s="816"/>
      <c r="N356" s="738"/>
      <c r="O356" s="738"/>
      <c r="P356" s="738"/>
      <c r="Q356" s="738"/>
      <c r="R356" s="817"/>
      <c r="S356" s="816"/>
      <c r="T356" s="738"/>
      <c r="U356" s="738"/>
      <c r="V356" s="738"/>
      <c r="W356" s="738"/>
      <c r="X356" s="817"/>
      <c r="Y356" s="816"/>
      <c r="Z356" s="738"/>
      <c r="AA356" s="738"/>
      <c r="AB356" s="738"/>
      <c r="AC356" s="738"/>
      <c r="AD356" s="817"/>
      <c r="AF356"/>
      <c r="AG356">
        <f t="shared" si="44"/>
        <v>0</v>
      </c>
      <c r="AH356">
        <f t="shared" si="45"/>
        <v>0</v>
      </c>
      <c r="AJ356">
        <f t="shared" si="46"/>
        <v>0</v>
      </c>
      <c r="AK356">
        <f t="shared" si="47"/>
        <v>0</v>
      </c>
      <c r="AL356">
        <f t="shared" si="48"/>
        <v>0</v>
      </c>
      <c r="AM356">
        <f>IF(OR(M356="NS",M356="NA",$M$334=0,$M$334="NS",$M$334="NA"),0,IF((M356*(IFERROR(100/SUM(M352:M356),0)))&gt;25,1,0))</f>
        <v>0</v>
      </c>
    </row>
    <row r="357" spans="1:84" ht="15" customHeight="1">
      <c r="A357" s="49"/>
      <c r="B357" s="38"/>
      <c r="C357" s="1108" t="s">
        <v>4754</v>
      </c>
      <c r="D357" s="847" t="s">
        <v>4755</v>
      </c>
      <c r="E357" s="848"/>
      <c r="F357" s="1103" t="s">
        <v>4756</v>
      </c>
      <c r="G357" s="1103"/>
      <c r="H357" s="1104" t="s">
        <v>4757</v>
      </c>
      <c r="I357" s="1105"/>
      <c r="J357" s="1105"/>
      <c r="K357" s="1105"/>
      <c r="L357" s="1106"/>
      <c r="M357" s="816"/>
      <c r="N357" s="738"/>
      <c r="O357" s="738"/>
      <c r="P357" s="738"/>
      <c r="Q357" s="738"/>
      <c r="R357" s="817"/>
      <c r="S357" s="816"/>
      <c r="T357" s="738"/>
      <c r="U357" s="738"/>
      <c r="V357" s="738"/>
      <c r="W357" s="738"/>
      <c r="X357" s="817"/>
      <c r="Y357" s="816"/>
      <c r="Z357" s="738"/>
      <c r="AA357" s="738"/>
      <c r="AB357" s="738"/>
      <c r="AC357" s="738"/>
      <c r="AD357" s="817"/>
      <c r="AF357"/>
      <c r="AG357">
        <f t="shared" si="44"/>
        <v>0</v>
      </c>
      <c r="AH357">
        <f t="shared" si="45"/>
        <v>0</v>
      </c>
      <c r="AJ357">
        <f t="shared" si="46"/>
        <v>0</v>
      </c>
      <c r="AK357">
        <f t="shared" si="47"/>
        <v>0</v>
      </c>
      <c r="AL357">
        <f t="shared" si="48"/>
        <v>0</v>
      </c>
    </row>
    <row r="358" spans="1:84" ht="15" customHeight="1">
      <c r="A358" s="49"/>
      <c r="B358" s="38"/>
      <c r="C358" s="1109"/>
      <c r="D358" s="954"/>
      <c r="E358" s="956"/>
      <c r="F358" s="1103" t="s">
        <v>4758</v>
      </c>
      <c r="G358" s="1103"/>
      <c r="H358" s="1104" t="s">
        <v>4759</v>
      </c>
      <c r="I358" s="1105"/>
      <c r="J358" s="1105"/>
      <c r="K358" s="1105"/>
      <c r="L358" s="1106"/>
      <c r="M358" s="816"/>
      <c r="N358" s="738"/>
      <c r="O358" s="738"/>
      <c r="P358" s="738"/>
      <c r="Q358" s="738"/>
      <c r="R358" s="817"/>
      <c r="S358" s="816"/>
      <c r="T358" s="738"/>
      <c r="U358" s="738"/>
      <c r="V358" s="738"/>
      <c r="W358" s="738"/>
      <c r="X358" s="817"/>
      <c r="Y358" s="816"/>
      <c r="Z358" s="738"/>
      <c r="AA358" s="738"/>
      <c r="AB358" s="738"/>
      <c r="AC358" s="738"/>
      <c r="AD358" s="817"/>
      <c r="AF358"/>
      <c r="AG358">
        <f t="shared" si="44"/>
        <v>0</v>
      </c>
      <c r="AH358">
        <f t="shared" si="45"/>
        <v>0</v>
      </c>
      <c r="AJ358">
        <f t="shared" si="46"/>
        <v>0</v>
      </c>
      <c r="AK358">
        <f t="shared" si="47"/>
        <v>0</v>
      </c>
      <c r="AL358">
        <f t="shared" si="48"/>
        <v>0</v>
      </c>
    </row>
    <row r="359" spans="1:84" ht="24" customHeight="1">
      <c r="A359" s="49"/>
      <c r="B359" s="38"/>
      <c r="C359" s="1109"/>
      <c r="D359" s="954"/>
      <c r="E359" s="956"/>
      <c r="F359" s="1103" t="s">
        <v>4760</v>
      </c>
      <c r="G359" s="1103"/>
      <c r="H359" s="1104" t="s">
        <v>4761</v>
      </c>
      <c r="I359" s="1105"/>
      <c r="J359" s="1105"/>
      <c r="K359" s="1105"/>
      <c r="L359" s="1106"/>
      <c r="M359" s="816"/>
      <c r="N359" s="738"/>
      <c r="O359" s="738"/>
      <c r="P359" s="738"/>
      <c r="Q359" s="738"/>
      <c r="R359" s="817"/>
      <c r="S359" s="816"/>
      <c r="T359" s="738"/>
      <c r="U359" s="738"/>
      <c r="V359" s="738"/>
      <c r="W359" s="738"/>
      <c r="X359" s="817"/>
      <c r="Y359" s="816"/>
      <c r="Z359" s="738"/>
      <c r="AA359" s="738"/>
      <c r="AB359" s="738"/>
      <c r="AC359" s="738"/>
      <c r="AD359" s="817"/>
      <c r="AF359"/>
      <c r="AG359">
        <f t="shared" si="44"/>
        <v>0</v>
      </c>
      <c r="AH359">
        <f t="shared" si="45"/>
        <v>0</v>
      </c>
      <c r="AJ359">
        <f t="shared" si="46"/>
        <v>0</v>
      </c>
      <c r="AK359">
        <f t="shared" si="47"/>
        <v>0</v>
      </c>
      <c r="AL359">
        <f t="shared" si="48"/>
        <v>0</v>
      </c>
    </row>
    <row r="360" spans="1:84" ht="15" customHeight="1">
      <c r="A360" s="49"/>
      <c r="B360" s="38"/>
      <c r="C360" s="1109"/>
      <c r="D360" s="954"/>
      <c r="E360" s="956"/>
      <c r="F360" s="1103" t="s">
        <v>4762</v>
      </c>
      <c r="G360" s="1103"/>
      <c r="H360" s="1104" t="s">
        <v>4763</v>
      </c>
      <c r="I360" s="1105"/>
      <c r="J360" s="1105"/>
      <c r="K360" s="1105"/>
      <c r="L360" s="1106"/>
      <c r="M360" s="816"/>
      <c r="N360" s="738"/>
      <c r="O360" s="738"/>
      <c r="P360" s="738"/>
      <c r="Q360" s="738"/>
      <c r="R360" s="817"/>
      <c r="S360" s="816"/>
      <c r="T360" s="738"/>
      <c r="U360" s="738"/>
      <c r="V360" s="738"/>
      <c r="W360" s="738"/>
      <c r="X360" s="817"/>
      <c r="Y360" s="816"/>
      <c r="Z360" s="738"/>
      <c r="AA360" s="738"/>
      <c r="AB360" s="738"/>
      <c r="AC360" s="738"/>
      <c r="AD360" s="817"/>
      <c r="AF360"/>
      <c r="AG360">
        <f t="shared" si="44"/>
        <v>0</v>
      </c>
      <c r="AH360">
        <f t="shared" si="45"/>
        <v>0</v>
      </c>
      <c r="AJ360">
        <f t="shared" si="46"/>
        <v>0</v>
      </c>
      <c r="AK360">
        <f t="shared" si="47"/>
        <v>0</v>
      </c>
      <c r="AL360">
        <f t="shared" si="48"/>
        <v>0</v>
      </c>
    </row>
    <row r="361" spans="1:84" ht="24" customHeight="1">
      <c r="A361" s="49"/>
      <c r="B361" s="38"/>
      <c r="C361" s="1109"/>
      <c r="D361" s="954"/>
      <c r="E361" s="956"/>
      <c r="F361" s="1103" t="s">
        <v>4764</v>
      </c>
      <c r="G361" s="1103"/>
      <c r="H361" s="1104" t="s">
        <v>4765</v>
      </c>
      <c r="I361" s="1105"/>
      <c r="J361" s="1105"/>
      <c r="K361" s="1105"/>
      <c r="L361" s="1106"/>
      <c r="M361" s="816"/>
      <c r="N361" s="738"/>
      <c r="O361" s="738"/>
      <c r="P361" s="738"/>
      <c r="Q361" s="738"/>
      <c r="R361" s="817"/>
      <c r="S361" s="816"/>
      <c r="T361" s="738"/>
      <c r="U361" s="738"/>
      <c r="V361" s="738"/>
      <c r="W361" s="738"/>
      <c r="X361" s="817"/>
      <c r="Y361" s="816"/>
      <c r="Z361" s="738"/>
      <c r="AA361" s="738"/>
      <c r="AB361" s="738"/>
      <c r="AC361" s="738"/>
      <c r="AD361" s="817"/>
      <c r="AF361"/>
      <c r="AG361">
        <f t="shared" si="44"/>
        <v>0</v>
      </c>
      <c r="AH361">
        <f t="shared" si="45"/>
        <v>0</v>
      </c>
      <c r="AJ361">
        <f t="shared" si="46"/>
        <v>0</v>
      </c>
      <c r="AK361">
        <f t="shared" si="47"/>
        <v>0</v>
      </c>
      <c r="AL361">
        <f t="shared" si="48"/>
        <v>0</v>
      </c>
      <c r="AM361" t="s">
        <v>4766</v>
      </c>
      <c r="AN361" t="s">
        <v>4767</v>
      </c>
      <c r="AO361" t="s">
        <v>4768</v>
      </c>
      <c r="AP361" t="s">
        <v>4769</v>
      </c>
      <c r="AQ361" t="s">
        <v>4770</v>
      </c>
      <c r="AR361" t="s">
        <v>4771</v>
      </c>
      <c r="AS361" t="s">
        <v>4772</v>
      </c>
      <c r="AT361" t="s">
        <v>4773</v>
      </c>
      <c r="AU361" t="s">
        <v>4774</v>
      </c>
      <c r="AV361" t="s">
        <v>4775</v>
      </c>
      <c r="AW361" t="s">
        <v>4776</v>
      </c>
      <c r="AX361" t="s">
        <v>4777</v>
      </c>
      <c r="AY361" t="s">
        <v>4778</v>
      </c>
      <c r="AZ361" t="s">
        <v>4779</v>
      </c>
      <c r="BA361" t="s">
        <v>4780</v>
      </c>
      <c r="BB361" t="s">
        <v>4781</v>
      </c>
      <c r="BC361" t="s">
        <v>4782</v>
      </c>
      <c r="BD361" t="s">
        <v>4783</v>
      </c>
      <c r="BE361" t="s">
        <v>4784</v>
      </c>
      <c r="BF361" t="s">
        <v>4785</v>
      </c>
      <c r="BG361" t="s">
        <v>4786</v>
      </c>
      <c r="BH361" t="s">
        <v>4787</v>
      </c>
      <c r="BI361" t="s">
        <v>4788</v>
      </c>
      <c r="BJ361" t="s">
        <v>4789</v>
      </c>
      <c r="BK361" t="s">
        <v>4790</v>
      </c>
      <c r="BL361" t="s">
        <v>4791</v>
      </c>
      <c r="BM361" t="s">
        <v>4792</v>
      </c>
      <c r="BN361" t="s">
        <v>4793</v>
      </c>
      <c r="BO361" t="s">
        <v>4794</v>
      </c>
      <c r="BP361" t="s">
        <v>4795</v>
      </c>
      <c r="BQ361" t="s">
        <v>4796</v>
      </c>
      <c r="BR361" t="s">
        <v>4797</v>
      </c>
      <c r="BS361" t="s">
        <v>4798</v>
      </c>
      <c r="BT361" t="s">
        <v>4799</v>
      </c>
      <c r="BU361" t="s">
        <v>4800</v>
      </c>
      <c r="BV361" t="s">
        <v>4801</v>
      </c>
      <c r="BW361" t="s">
        <v>4802</v>
      </c>
      <c r="BX361" t="s">
        <v>4803</v>
      </c>
      <c r="BY361" t="s">
        <v>4804</v>
      </c>
      <c r="BZ361" t="s">
        <v>4805</v>
      </c>
      <c r="CA361" t="s">
        <v>4806</v>
      </c>
      <c r="CB361" t="s">
        <v>4807</v>
      </c>
      <c r="CC361" t="s">
        <v>4808</v>
      </c>
      <c r="CD361" t="s">
        <v>4809</v>
      </c>
      <c r="CE361" t="s">
        <v>4810</v>
      </c>
      <c r="CF361"/>
    </row>
    <row r="362" spans="1:84" ht="15" customHeight="1">
      <c r="A362" s="49"/>
      <c r="B362" s="38"/>
      <c r="C362" s="1109"/>
      <c r="D362" s="954"/>
      <c r="E362" s="956"/>
      <c r="F362" s="1103" t="s">
        <v>4811</v>
      </c>
      <c r="G362" s="1103"/>
      <c r="H362" s="1104" t="s">
        <v>4812</v>
      </c>
      <c r="I362" s="1105"/>
      <c r="J362" s="1105"/>
      <c r="K362" s="1105"/>
      <c r="L362" s="1106"/>
      <c r="M362" s="816"/>
      <c r="N362" s="738"/>
      <c r="O362" s="738"/>
      <c r="P362" s="738"/>
      <c r="Q362" s="738"/>
      <c r="R362" s="817"/>
      <c r="S362" s="816"/>
      <c r="T362" s="738"/>
      <c r="U362" s="738"/>
      <c r="V362" s="738"/>
      <c r="W362" s="738"/>
      <c r="X362" s="817"/>
      <c r="Y362" s="816"/>
      <c r="Z362" s="738"/>
      <c r="AA362" s="738"/>
      <c r="AB362" s="738"/>
      <c r="AC362" s="738"/>
      <c r="AD362" s="817"/>
      <c r="AF362">
        <f>IF(M362="NA",IF(AND(COUNTIF(M363:M368,"="&amp;$AF$361)=0,COUNTIF(M363:M368,"&lt;&gt;NA")&gt;0),1,0),IF(AND(COUNTIF(M363:M368,"="&amp;$AF$361)=0,COUNTIF(M363:M368,"NA")=COUNTIF(M363:M368,"&lt;&gt;"&amp;$AF$361)),1,0))</f>
        <v>0</v>
      </c>
      <c r="AG362">
        <f t="shared" si="44"/>
        <v>0</v>
      </c>
      <c r="AH362">
        <f t="shared" si="45"/>
        <v>0</v>
      </c>
      <c r="AJ362">
        <f t="shared" si="46"/>
        <v>0</v>
      </c>
      <c r="AK362">
        <f t="shared" si="47"/>
        <v>0</v>
      </c>
      <c r="AL362">
        <f t="shared" si="48"/>
        <v>0</v>
      </c>
      <c r="AM362">
        <f>COUNTIF(M363:M368,"NS")</f>
        <v>0</v>
      </c>
      <c r="AN362">
        <f>SUM(M363:M368)</f>
        <v>0</v>
      </c>
      <c r="AO362">
        <f>IF(COUNTA(M362:M368)=0,0,IF(OR(AND(M362=0,AM362&gt;0),AND(M362="ns",AN362&gt;0),AND(M362="ns",AM362=0,AN362=0)),1,IF(OR(AND(AM362&gt;=2,M362&gt;AN362),AND(M362="ns",AN362=0,AM362&gt;0),M362=AN362),0,1)))</f>
        <v>0</v>
      </c>
      <c r="AP362">
        <f>COUNTIF(M374:M378,"NS")</f>
        <v>0</v>
      </c>
      <c r="AQ362">
        <f>SUM(M374:M378)</f>
        <v>0</v>
      </c>
      <c r="AR362">
        <f>IF(COUNTA(M373:M378)=0,0,IF(OR(AND(M373=0,AP362&gt;0),AND(M373="ns",AQ362&gt;0),AND(M373="ns",AP362=0,AQ362=0)),1,IF(OR(AND(AP362&gt;=2,M373&gt;AQ362),AND(M373="ns",AQ362=0,AP362&gt;0),M373=AQ362),0,1)))</f>
        <v>0</v>
      </c>
      <c r="AS362">
        <f>COUNTIF(M383:M400,"NS")</f>
        <v>0</v>
      </c>
      <c r="AT362">
        <f>SUM(M383:M400)</f>
        <v>0</v>
      </c>
      <c r="AU362">
        <f>IF(COUNTA(M382:M400)=0,0,IF(OR(AND(M382=0,AS362&gt;0),AND(M382="ns",AT362&gt;0),AND(M382="ns",AS362=0,AT362=0)),1,IF(OR(AND(AS362&gt;=2,M382&gt;AT362),AND(M382="ns",AT362=0,AS362&gt;0),M382=AT362),0,1)))</f>
        <v>0</v>
      </c>
      <c r="AV362">
        <f>COUNTIF(M402:M406,"NS")</f>
        <v>0</v>
      </c>
      <c r="AW362">
        <f>SUM(M402:M406)</f>
        <v>0</v>
      </c>
      <c r="AX362">
        <f>IF(COUNTA(M401:M406)=0,0,IF(OR(AND(M401=0,AV362&gt;0),AND(M401="ns",AW362&gt;0),AND(M401="ns",AV362=0,AW362=0)),1,IF(OR(AND(AV362&gt;=2,M401&gt;AW362),AND(M401="ns",AW362=0,AV362&gt;0),M401=AW362),0,1)))</f>
        <v>0</v>
      </c>
      <c r="AY362">
        <f>COUNTIF(M410:M412,"NS")</f>
        <v>0</v>
      </c>
      <c r="AZ362">
        <f>SUM(M410:M412)</f>
        <v>0</v>
      </c>
      <c r="BA362">
        <f>IF(COUNTA(M409:M412)=0,0,IF(OR(AND(M409=0,AY362&gt;0),AND(M409="ns",AZ362&gt;0),AND(M409="ns",AY362=0,AZ362=0)),1,IF(OR(AND(AY362&gt;=2,M409&gt;AZ362),AND(M409="ns",AZ362=0,AY362&gt;0),M409=AZ362),0,1)))</f>
        <v>0</v>
      </c>
      <c r="BB362">
        <f>COUNTIF(M420:M426,"NS")</f>
        <v>0</v>
      </c>
      <c r="BC362">
        <f>SUM(M420:M426)</f>
        <v>0</v>
      </c>
      <c r="BD362">
        <f>IF(COUNTA(M419:M426)=0,0,IF(OR(AND(M419=0,BB362&gt;0),AND(M419="ns",BC362&gt;0),AND(M419="ns",BB362=0,BC362=0)),1,IF(OR(AND(BB362&gt;=2,M419&gt;BC362),AND(M419="ns",BC362=0,BB362&gt;0),M419=BC362),0,1)))</f>
        <v>0</v>
      </c>
      <c r="BE362">
        <f>COUNTIF(M428:M432,"NS")</f>
        <v>0</v>
      </c>
      <c r="BF362">
        <f>SUM(M428:M432)</f>
        <v>0</v>
      </c>
      <c r="BG362">
        <f>IF(COUNTA(M427:M432)=0,0,IF(OR(AND(M427=0,BE362&gt;0),AND(M427="ns",BF362&gt;0),AND(M427="ns",BE362=0,BF362=0)),1,IF(OR(AND(BE362&gt;=2,M427&gt;BF362),AND(M427="ns",BF362=0,BE362&gt;0),M427=BF362),0,1)))</f>
        <v>0</v>
      </c>
      <c r="BH362">
        <f>COUNTIF(M438:M443,"NS")</f>
        <v>0</v>
      </c>
      <c r="BI362">
        <f>SUM(M438:M443)</f>
        <v>0</v>
      </c>
      <c r="BJ362">
        <f>IF(COUNTA(M437:M443)=0,0,IF(OR(AND(M437=0,BH362&gt;0),AND(M437="ns",BI362&gt;0),AND(M437="ns",BH362=0,BI362=0)),1,IF(OR(AND(BH362&gt;=2,M437&gt;BI362),AND(M437="ns",BI362=0,BH362&gt;0),M437=BI362),0,1)))</f>
        <v>0</v>
      </c>
      <c r="BK362">
        <f>COUNTIF(M445:M452,"NS")</f>
        <v>0</v>
      </c>
      <c r="BL362">
        <f>SUM(M445:M452)</f>
        <v>0</v>
      </c>
      <c r="BM362">
        <f>IF(COUNTA(M444:M452)=0,0,IF(OR(AND(M444=0,BK362&gt;0),AND(M444="ns",BL362&gt;0),AND(M444="ns",BK362=0,BL362=0)),1,IF(OR(AND(BK362&gt;=2,M444&gt;BL362),AND(M444="ns",BL362=0,BK362&gt;0),M444=BL362),0,1)))</f>
        <v>0</v>
      </c>
      <c r="BN362">
        <f>COUNTIF(M457:M462,"NS")</f>
        <v>0</v>
      </c>
      <c r="BO362">
        <f>SUM(M457:M462)</f>
        <v>0</v>
      </c>
      <c r="BP362">
        <f>IF(COUNTA(M456:M462)=0,0,IF(OR(AND(M456=0,BN362&gt;0),AND(M456="ns",BO362&gt;0),AND(M456="ns",BN362=0,BO362=0)),1,IF(OR(AND(BN362&gt;=2,M456&gt;BO362),AND(M456="ns",BO362=0,BN362&gt;0),M456=BO362),0,1)))</f>
        <v>0</v>
      </c>
      <c r="BQ362">
        <f>COUNTIF(M467:M475,"NS")</f>
        <v>0</v>
      </c>
      <c r="BR362">
        <f>SUM(M467:M475)</f>
        <v>0</v>
      </c>
      <c r="BS362">
        <f>IF(COUNTA(M466:M475)=0,0,IF(OR(AND(M466=0,BQ362&gt;0),AND(M466="ns",BR362&gt;0),AND(M466="ns",BQ362=0,BR362=0)),1,IF(OR(AND(BQ362&gt;=2,M466&gt;BR362),AND(M466="ns",BR362=0,BQ362&gt;0),M466=BR362),0,1)))</f>
        <v>0</v>
      </c>
      <c r="BT362">
        <f>COUNTIF(M477:M479,"NS")</f>
        <v>0</v>
      </c>
      <c r="BU362">
        <f>SUM(M477:M479)</f>
        <v>0</v>
      </c>
      <c r="BV362">
        <f>IF(COUNTA(M476:M479)=0,0,IF(OR(AND(M476=0,BT362&gt;0),AND(M476="ns",BU362&gt;0),AND(M476="ns",BT362=0,BU362=0)),1,IF(OR(AND(BT362&gt;=2,M476&gt;BU362),AND(M476="ns",BU362=0,BT362&gt;0),M476=BU362),0,1)))</f>
        <v>0</v>
      </c>
      <c r="BW362">
        <f>COUNTIF(M488:M494,"NS")</f>
        <v>0</v>
      </c>
      <c r="BX362">
        <f>SUM(M488:M494)</f>
        <v>0</v>
      </c>
      <c r="BY362">
        <f>IF(COUNTA(M487:M494)=0,0,IF(OR(AND(M487=0,BW362&gt;0),AND(M487="ns",BX362&gt;0),AND(M487="ns",BW362=0,BX362=0)),1,IF(OR(AND(BW362&gt;=2,M487&gt;BX362),AND(M487="ns",BX362=0,BW362&gt;0),M487=BX362),0,1)))</f>
        <v>0</v>
      </c>
      <c r="BZ362">
        <f>COUNTIF(M497:M499,"NS")</f>
        <v>0</v>
      </c>
      <c r="CA362">
        <f>SUM(M497:M499)</f>
        <v>0</v>
      </c>
      <c r="CB362">
        <f>IF(COUNTA(M496:M499)=0,0,IF(OR(AND(M496=0,BZ362&gt;0),AND(M496="ns",CA362&gt;0),AND(M496="ns",BZ362=0,CA362=0)),1,IF(OR(AND(BZ362&gt;=2,M496&gt;CA362),AND(M496="ns",CA362=0,BZ362&gt;0),M496=CA362),0,1)))</f>
        <v>0</v>
      </c>
      <c r="CC362">
        <f>COUNTIF(M509:M513,"NS")</f>
        <v>0</v>
      </c>
      <c r="CD362">
        <f>SUM(M509:M513)</f>
        <v>0</v>
      </c>
      <c r="CE362">
        <f>IF(COUNTA(M508:M513)=0,0,IF(OR(AND(M508=0,CC362&gt;0),AND(M508="ns",CD362&gt;0),AND(M508="ns",CC362=0,CD362=0)),1,IF(OR(AND(CC362&gt;=2,M508&gt;CD362),AND(M508="ns",CD362=0,CC362&gt;0),M508=CD362),0,1)))</f>
        <v>0</v>
      </c>
      <c r="CF362"/>
    </row>
    <row r="363" spans="1:84" ht="15" customHeight="1">
      <c r="A363" s="49"/>
      <c r="B363" s="38"/>
      <c r="C363" s="1109"/>
      <c r="D363" s="954"/>
      <c r="E363" s="956"/>
      <c r="F363" s="1110" t="s">
        <v>4813</v>
      </c>
      <c r="G363" s="1110"/>
      <c r="H363" s="177"/>
      <c r="I363" s="1115" t="s">
        <v>4814</v>
      </c>
      <c r="J363" s="1115"/>
      <c r="K363" s="1115"/>
      <c r="L363" s="1116"/>
      <c r="M363" s="816"/>
      <c r="N363" s="738"/>
      <c r="O363" s="738"/>
      <c r="P363" s="738"/>
      <c r="Q363" s="738"/>
      <c r="R363" s="817"/>
      <c r="S363" s="816"/>
      <c r="T363" s="738"/>
      <c r="U363" s="738"/>
      <c r="V363" s="738"/>
      <c r="W363" s="738"/>
      <c r="X363" s="817"/>
      <c r="Y363" s="816"/>
      <c r="Z363" s="738"/>
      <c r="AA363" s="738"/>
      <c r="AB363" s="738"/>
      <c r="AC363" s="738"/>
      <c r="AD363" s="817"/>
      <c r="AF363"/>
      <c r="AG363">
        <f t="shared" si="44"/>
        <v>0</v>
      </c>
      <c r="AH363">
        <f t="shared" si="45"/>
        <v>0</v>
      </c>
      <c r="AJ363">
        <f t="shared" si="46"/>
        <v>0</v>
      </c>
      <c r="AK363">
        <f t="shared" si="47"/>
        <v>0</v>
      </c>
      <c r="AL363">
        <f t="shared" si="48"/>
        <v>0</v>
      </c>
      <c r="AM363">
        <f>COUNTIF(S363:S368,"NS")</f>
        <v>0</v>
      </c>
      <c r="AN363">
        <f>SUM(S363:S368)</f>
        <v>0</v>
      </c>
      <c r="AO363">
        <f>IF(COUNTA(S362:S368)=0,0,IF(OR(AND(S362=0,AM363&gt;0),AND(S362="ns",AN363&gt;0),AND(S362="ns",AM363=0,AN363=0)),1,IF(OR(AND(AM363&gt;=2,S362&gt;AN363),AND(S362="ns",AN363=0,AM363&gt;0),S362=AN363),0,1)))</f>
        <v>0</v>
      </c>
      <c r="AP363">
        <f>COUNTIF(S374:S378,"NS")</f>
        <v>0</v>
      </c>
      <c r="AQ363">
        <f>SUM(S374:S378)</f>
        <v>0</v>
      </c>
      <c r="AR363">
        <f>IF(COUNTA(S373:S378)=0,0,IF(OR(AND(S373=0,AP363&gt;0),AND(S373="ns",AQ363&gt;0),AND(S373="ns",AP363=0,AQ363=0)),1,IF(OR(AND(AP363&gt;=2,S373&gt;AQ363),AND(S373="ns",AQ363=0,AP363&gt;0),S373=AQ363),0,1)))</f>
        <v>0</v>
      </c>
      <c r="AS363">
        <f>COUNTIF(S383:S400,"NS")</f>
        <v>0</v>
      </c>
      <c r="AT363">
        <f>SUM(S383:S400)</f>
        <v>0</v>
      </c>
      <c r="AU363">
        <f>IF(COUNTA(S382:S400)=0,0,IF(OR(AND(S382=0,AS363&gt;0),AND(S382="ns",AT363&gt;0),AND(S382="ns",AS363=0,AT363=0)),1,IF(OR(AND(AS363&gt;=2,S382&gt;AT363),AND(S382="ns",AT363=0,AS363&gt;0),S382=AT363),0,1)))</f>
        <v>0</v>
      </c>
      <c r="AV363">
        <f>COUNTIF(S402:S406,"NS")</f>
        <v>0</v>
      </c>
      <c r="AW363">
        <f>SUM(S402:S406)</f>
        <v>0</v>
      </c>
      <c r="AX363">
        <f>IF(COUNTA(S401:S406)=0,0,IF(OR(AND(S401=0,AV363&gt;0),AND(S401="ns",AW363&gt;0),AND(S401="ns",AV363=0,AW363=0)),1,IF(OR(AND(AV363&gt;=2,S401&gt;AW363),AND(S401="ns",AW363=0,AV363&gt;0),S401=AW363),0,1)))</f>
        <v>0</v>
      </c>
      <c r="AY363">
        <f>COUNTIF(S410:S412,"NS")</f>
        <v>0</v>
      </c>
      <c r="AZ363">
        <f>SUM(S410:S412)</f>
        <v>0</v>
      </c>
      <c r="BA363">
        <f>IF(COUNTA(S409:S412)=0,0,IF(OR(AND(S409=0,AY363&gt;0),AND(S409="ns",AZ363&gt;0),AND(S409="ns",AY363=0,AZ363=0)),1,IF(OR(AND(AY363&gt;=2,S409&gt;AZ363),AND(S409="ns",AZ363=0,AY363&gt;0),S409=AZ363),0,1)))</f>
        <v>0</v>
      </c>
      <c r="BB363">
        <f>COUNTIF(S420:S426,"NS")</f>
        <v>0</v>
      </c>
      <c r="BC363">
        <f>SUM(S420:S426)</f>
        <v>0</v>
      </c>
      <c r="BD363">
        <f>IF(COUNTA(S419:S426)=0,0,IF(OR(AND(S419=0,BB363&gt;0),AND(S419="ns",BC363&gt;0),AND(S419="ns",BB363=0,BC363=0)),1,IF(OR(AND(BB363&gt;=2,S419&gt;BC363),AND(S419="ns",BC363=0,BB363&gt;0),S419=BC363),0,1)))</f>
        <v>0</v>
      </c>
      <c r="BE363">
        <f>COUNTIF(S428:S432,"NS")</f>
        <v>0</v>
      </c>
      <c r="BF363">
        <f>SUM(S428:S432)</f>
        <v>0</v>
      </c>
      <c r="BG363">
        <f>IF(COUNTA(S427:S432)=0,0,IF(OR(AND(S427=0,BE363&gt;0),AND(S427="ns",BF363&gt;0),AND(S427="ns",BE363=0,BF363=0)),1,IF(OR(AND(BE363&gt;=2,S427&gt;BF363),AND(S427="ns",BF363=0,BE363&gt;0),S427=BF363),0,1)))</f>
        <v>0</v>
      </c>
      <c r="BH363">
        <f>COUNTIF(S438:S443,"NS")</f>
        <v>0</v>
      </c>
      <c r="BI363">
        <f>SUM(S438:S443)</f>
        <v>0</v>
      </c>
      <c r="BJ363">
        <f>IF(COUNTA(S437:S443)=0,0,IF(OR(AND(S437=0,BH363&gt;0),AND(S437="ns",BI363&gt;0),AND(S437="ns",BH363=0,BI363=0)),1,IF(OR(AND(BH363&gt;=2,S437&gt;BI363),AND(S437="ns",BI363=0,BH363&gt;0),S437=BI363),0,1)))</f>
        <v>0</v>
      </c>
      <c r="BK363">
        <f>COUNTIF(S445:S452,"NS")</f>
        <v>0</v>
      </c>
      <c r="BL363">
        <f>SUM(S445:S452)</f>
        <v>0</v>
      </c>
      <c r="BM363">
        <f>IF(COUNTA(S444:S452)=0,0,IF(OR(AND(S444=0,BK363&gt;0),AND(S444="ns",BL363&gt;0),AND(S444="ns",BK363=0,BL363=0)),1,IF(OR(AND(BK363&gt;=2,S444&gt;BL363),AND(S444="ns",BL363=0,BK363&gt;0),S444=BL363),0,1)))</f>
        <v>0</v>
      </c>
      <c r="BN363">
        <f>COUNTIF(S457:S462,"NS")</f>
        <v>0</v>
      </c>
      <c r="BO363">
        <f>SUM(S457:S462)</f>
        <v>0</v>
      </c>
      <c r="BP363">
        <f>IF(COUNTA(S456:S462)=0,0,IF(OR(AND(S456=0,BN363&gt;0),AND(S456="ns",BO363&gt;0),AND(S456="ns",BN363=0,BO363=0)),1,IF(OR(AND(BN363&gt;=2,S456&gt;BO363),AND(S456="ns",BO363=0,BN363&gt;0),S456=BO363),0,1)))</f>
        <v>0</v>
      </c>
      <c r="BQ363">
        <f>COUNTIF(S467:S475,"NS")</f>
        <v>0</v>
      </c>
      <c r="BR363">
        <f>SUM(S467:S475)</f>
        <v>0</v>
      </c>
      <c r="BS363">
        <f>IF(COUNTA(S466:S475)=0,0,IF(OR(AND(S466=0,BQ363&gt;0),AND(S466="ns",BR363&gt;0),AND(S466="ns",BQ363=0,BR363=0)),1,IF(OR(AND(BQ363&gt;=2,S466&gt;BR363),AND(S466="ns",BR363=0,BQ363&gt;0),S466=BR363),0,1)))</f>
        <v>0</v>
      </c>
      <c r="BT363">
        <f>COUNTIF(S477:S479,"NS")</f>
        <v>0</v>
      </c>
      <c r="BU363">
        <f>SUM(S477:S479)</f>
        <v>0</v>
      </c>
      <c r="BV363">
        <f>IF(COUNTA(S476:S479)=0,0,IF(OR(AND(S476=0,BT363&gt;0),AND(S476="ns",BU363&gt;0),AND(S476="ns",BT363=0,BU363=0)),1,IF(OR(AND(BT363&gt;=2,S476&gt;BU363),AND(S476="ns",BU363=0,BT363&gt;0),S476=BU363),0,1)))</f>
        <v>0</v>
      </c>
      <c r="BW363">
        <f>COUNTIF(S488:S494,"NS")</f>
        <v>0</v>
      </c>
      <c r="BX363">
        <f>SUM(S488:S494)</f>
        <v>0</v>
      </c>
      <c r="BY363">
        <f>IF(COUNTA(S487:S494)=0,0,IF(OR(AND(S487=0,BW363&gt;0),AND(S487="ns",BX363&gt;0),AND(S487="ns",BW363=0,BX363=0)),1,IF(OR(AND(BW363&gt;=2,S487&gt;BX363),AND(S487="ns",BX363=0,BW363&gt;0),S487=BX363),0,1)))</f>
        <v>0</v>
      </c>
      <c r="BZ363">
        <f>COUNTIF(S497:S499,"NS")</f>
        <v>0</v>
      </c>
      <c r="CA363">
        <f>SUM(S497:S499)</f>
        <v>0</v>
      </c>
      <c r="CB363">
        <f>IF(COUNTA(S496:S499)=0,0,IF(OR(AND(S496=0,BZ363&gt;0),AND(S496="ns",CA363&gt;0),AND(S496="ns",BZ363=0,CA363=0)),1,IF(OR(AND(BZ363&gt;=2,S496&gt;CA363),AND(S496="ns",CA363=0,BZ363&gt;0),S496=CA363),0,1)))</f>
        <v>0</v>
      </c>
      <c r="CC363">
        <f>COUNTIF(S509:S513,"NS")</f>
        <v>0</v>
      </c>
      <c r="CD363">
        <f>SUM(S509:S513)</f>
        <v>0</v>
      </c>
      <c r="CE363">
        <f>IF(COUNTA(S508:S513)=0,0,IF(OR(AND(S508=0,CC363&gt;0),AND(S508="ns",CD363&gt;0),AND(S508="ns",CC363=0,CD363=0)),1,IF(OR(AND(CC363&gt;=2,S508&gt;CD363),AND(S508="ns",CD363=0,CC363&gt;0),S508=CD363),0,1)))</f>
        <v>0</v>
      </c>
      <c r="CF363"/>
    </row>
    <row r="364" spans="1:84" ht="24" customHeight="1">
      <c r="A364" s="49"/>
      <c r="B364" s="38"/>
      <c r="C364" s="1109"/>
      <c r="D364" s="954"/>
      <c r="E364" s="956"/>
      <c r="F364" s="1110" t="s">
        <v>4815</v>
      </c>
      <c r="G364" s="1110"/>
      <c r="H364" s="178"/>
      <c r="I364" s="1111" t="s">
        <v>4816</v>
      </c>
      <c r="J364" s="1111"/>
      <c r="K364" s="1111"/>
      <c r="L364" s="1112"/>
      <c r="M364" s="816"/>
      <c r="N364" s="738"/>
      <c r="O364" s="738"/>
      <c r="P364" s="738"/>
      <c r="Q364" s="738"/>
      <c r="R364" s="817"/>
      <c r="S364" s="816"/>
      <c r="T364" s="738"/>
      <c r="U364" s="738"/>
      <c r="V364" s="738"/>
      <c r="W364" s="738"/>
      <c r="X364" s="817"/>
      <c r="Y364" s="816"/>
      <c r="Z364" s="738"/>
      <c r="AA364" s="738"/>
      <c r="AB364" s="738"/>
      <c r="AC364" s="738"/>
      <c r="AD364" s="817"/>
      <c r="AF364"/>
      <c r="AG364">
        <f t="shared" si="44"/>
        <v>0</v>
      </c>
      <c r="AH364">
        <f t="shared" si="45"/>
        <v>0</v>
      </c>
      <c r="AJ364">
        <f t="shared" si="46"/>
        <v>0</v>
      </c>
      <c r="AK364">
        <f t="shared" si="47"/>
        <v>0</v>
      </c>
      <c r="AL364">
        <f t="shared" si="48"/>
        <v>0</v>
      </c>
      <c r="AM364">
        <f>COUNTIF(Y363:Y368,"NS")</f>
        <v>0</v>
      </c>
      <c r="AN364">
        <f>SUM(Y363:Y368)</f>
        <v>0</v>
      </c>
      <c r="AO364">
        <f>IF(COUNTA(Y362:Y368)=0,0,IF(OR(AND(Y362=0,AM364&gt;0),AND(Y362="ns",AN364&gt;0),AND(Y362="ns",AM364=0,AN364=0)),1,IF(OR(AND(AM364&gt;=2,Y362&gt;AN364),AND(Y362="ns",AN364=0,AM364&gt;0),Y362=AN364),0,1)))</f>
        <v>0</v>
      </c>
      <c r="AP364">
        <f>COUNTIF(Y374:Y378,"NS")</f>
        <v>0</v>
      </c>
      <c r="AQ364">
        <f>SUM(Y374:Y378)</f>
        <v>0</v>
      </c>
      <c r="AR364">
        <f>IF(COUNTA(Y373:Y378)=0,0,IF(OR(AND(Y373=0,AP364&gt;0),AND(Y373="ns",AQ364&gt;0),AND(Y373="ns",AP364=0,AQ364=0)),1,IF(OR(AND(AP364&gt;=2,Y373&gt;AQ364),AND(Y373="ns",AQ364=0,AP364&gt;0),Y373=AQ364),0,1)))</f>
        <v>0</v>
      </c>
      <c r="AS364">
        <f>COUNTIF(Y383:Y400,"NS")</f>
        <v>0</v>
      </c>
      <c r="AT364">
        <f>SUM(Y383:Y400)</f>
        <v>0</v>
      </c>
      <c r="AU364">
        <f>IF(COUNTA(Y382:Y400)=0,0,IF(OR(AND(Y382=0,AS364&gt;0),AND(Y382="ns",AT364&gt;0),AND(Y382="ns",AS364=0,AT364=0)),1,IF(OR(AND(AS364&gt;=2,Y382&gt;AT364),AND(Y382="ns",AT364=0,AS364&gt;0),Y382=AT364),0,1)))</f>
        <v>0</v>
      </c>
      <c r="AV364">
        <f>COUNTIF(Y402:Y406,"NS")</f>
        <v>0</v>
      </c>
      <c r="AW364">
        <f>SUM(Y402:Y406)</f>
        <v>0</v>
      </c>
      <c r="AX364">
        <f>IF(COUNTA(Y401:Y406)=0,0,IF(OR(AND(Y401=0,AV364&gt;0),AND(Y401="ns",AW364&gt;0),AND(Y401="ns",AV364=0,AW364=0)),1,IF(OR(AND(AV364&gt;=2,Y401&gt;AW364),AND(Y401="ns",AW364=0,AV364&gt;0),Y401=AW364),0,1)))</f>
        <v>0</v>
      </c>
      <c r="AY364">
        <f>COUNTIF(Y410:Y412,"NS")</f>
        <v>0</v>
      </c>
      <c r="AZ364">
        <f>SUM(Y410:Y412)</f>
        <v>0</v>
      </c>
      <c r="BA364">
        <f>IF(COUNTA(Y409:Y412)=0,0,IF(OR(AND(Y409=0,AY364&gt;0),AND(Y409="ns",AZ364&gt;0),AND(Y409="ns",AY364=0,AZ364=0)),1,IF(OR(AND(AY364&gt;=2,Y409&gt;AZ364),AND(Y409="ns",AZ364=0,AY364&gt;0),Y409=AZ364),0,1)))</f>
        <v>0</v>
      </c>
      <c r="BB364">
        <f>COUNTIF(Y420:Y426,"NS")</f>
        <v>0</v>
      </c>
      <c r="BC364">
        <f>SUM(Y420:Y426)</f>
        <v>0</v>
      </c>
      <c r="BD364">
        <f>IF(COUNTA(Y419:Y426)=0,0,IF(OR(AND(Y419=0,BB364&gt;0),AND(Y419="ns",BC364&gt;0),AND(Y419="ns",BB364=0,BC364=0)),1,IF(OR(AND(BB364&gt;=2,Y419&gt;BC364),AND(Y419="ns",BC364=0,BB364&gt;0),Y419=BC364),0,1)))</f>
        <v>0</v>
      </c>
      <c r="BE364">
        <f>COUNTIF(Y428:Y432,"NS")</f>
        <v>0</v>
      </c>
      <c r="BF364">
        <f>SUM(Y428:Y432)</f>
        <v>0</v>
      </c>
      <c r="BG364">
        <f>IF(COUNTA(Y427:Y432)=0,0,IF(OR(AND(Y427=0,BE364&gt;0),AND(Y427="ns",BF364&gt;0),AND(Y427="ns",BE364=0,BF364=0)),1,IF(OR(AND(BE364&gt;=2,Y427&gt;BF364),AND(Y427="ns",BF364=0,BE364&gt;0),Y427=BF364),0,1)))</f>
        <v>0</v>
      </c>
      <c r="BH364">
        <f>COUNTIF(Y438:Y443,"NS")</f>
        <v>0</v>
      </c>
      <c r="BI364">
        <f>SUM(Y438:Y443)</f>
        <v>0</v>
      </c>
      <c r="BJ364">
        <f>IF(COUNTA(Y437:Y443)=0,0,IF(OR(AND(Y437=0,BH364&gt;0),AND(Y437="ns",BI364&gt;0),AND(Y437="ns",BH364=0,BI364=0)),1,IF(OR(AND(BH364&gt;=2,Y437&gt;BI364),AND(Y437="ns",BI364=0,BH364&gt;0),Y437=BI364),0,1)))</f>
        <v>0</v>
      </c>
      <c r="BK364">
        <f>COUNTIF(Y445:Y452,"NS")</f>
        <v>0</v>
      </c>
      <c r="BL364">
        <f>SUM(Y445:Y452)</f>
        <v>0</v>
      </c>
      <c r="BM364">
        <f>IF(COUNTA(Y444:Y452)=0,0,IF(OR(AND(Y444=0,BK364&gt;0),AND(Y444="ns",BL364&gt;0),AND(Y444="ns",BK364=0,BL364=0)),1,IF(OR(AND(BK364&gt;=2,Y444&gt;BL364),AND(Y444="ns",BL364=0,BK364&gt;0),Y444=BL364),0,1)))</f>
        <v>0</v>
      </c>
      <c r="BN364">
        <f>COUNTIF(Y457:Y462,"NS")</f>
        <v>0</v>
      </c>
      <c r="BO364">
        <f>SUM(Y457:Y462)</f>
        <v>0</v>
      </c>
      <c r="BP364">
        <f>IF(COUNTA(Y456:Y462)=0,0,IF(OR(AND(Y456=0,BN364&gt;0),AND(Y456="ns",BO364&gt;0),AND(Y456="ns",BN364=0,BO364=0)),1,IF(OR(AND(BN364&gt;=2,Y456&gt;BO364),AND(Y456="ns",BO364=0,BN364&gt;0),Y456=BO364),0,1)))</f>
        <v>0</v>
      </c>
      <c r="BQ364">
        <f>COUNTIF(Y467:Y475,"NS")</f>
        <v>0</v>
      </c>
      <c r="BR364">
        <f>SUM(Y467:Y475)</f>
        <v>0</v>
      </c>
      <c r="BS364">
        <f>IF(COUNTA(Y466:Y475)=0,0,IF(OR(AND(Y466=0,BQ364&gt;0),AND(Y466="ns",BR364&gt;0),AND(Y466="ns",BQ364=0,BR364=0)),1,IF(OR(AND(BQ364&gt;=2,Y466&gt;BR364),AND(Y466="ns",BR364=0,BQ364&gt;0),Y466=BR364),0,1)))</f>
        <v>0</v>
      </c>
      <c r="BT364">
        <f>COUNTIF(Y477:Y479,"NS")</f>
        <v>0</v>
      </c>
      <c r="BU364">
        <f>SUM(Y477:Y479)</f>
        <v>0</v>
      </c>
      <c r="BV364">
        <f>IF(COUNTA(Y476:Y479)=0,0,IF(OR(AND(Y476=0,BT364&gt;0),AND(Y476="ns",BU364&gt;0),AND(Y476="ns",BT364=0,BU364=0)),1,IF(OR(AND(BT364&gt;=2,Y476&gt;BU364),AND(Y476="ns",BU364=0,BT364&gt;0),Y476=BU364),0,1)))</f>
        <v>0</v>
      </c>
      <c r="BW364">
        <f>COUNTIF(Y488:Y494,"NS")</f>
        <v>0</v>
      </c>
      <c r="BX364">
        <f>SUM(Y488:Y494)</f>
        <v>0</v>
      </c>
      <c r="BY364">
        <f>IF(COUNTA(Y487:Y494)=0,0,IF(OR(AND(Y487=0,BW364&gt;0),AND(Y487="ns",BX364&gt;0),AND(Y487="ns",BW364=0,BX364=0)),1,IF(OR(AND(BW364&gt;=2,Y487&gt;BX364),AND(Y487="ns",BX364=0,BW364&gt;0),Y487=BX364),0,1)))</f>
        <v>0</v>
      </c>
      <c r="BZ364">
        <f>COUNTIF(Y497:Y499,"NS")</f>
        <v>0</v>
      </c>
      <c r="CA364">
        <f>SUM(Y497:Y499)</f>
        <v>0</v>
      </c>
      <c r="CB364">
        <f>IF(COUNTA(Y496:Y499)=0,0,IF(OR(AND(Y496=0,BZ364&gt;0),AND(Y496="ns",CA364&gt;0),AND(Y496="ns",BZ364=0,CA364=0)),1,IF(OR(AND(BZ364&gt;=2,Y496&gt;CA364),AND(Y496="ns",CA364=0,BZ364&gt;0),Y496=CA364),0,1)))</f>
        <v>0</v>
      </c>
      <c r="CC364">
        <f>COUNTIF(Y509:Y513,"NS")</f>
        <v>0</v>
      </c>
      <c r="CD364">
        <f>SUM(Y509:Y513)</f>
        <v>0</v>
      </c>
      <c r="CE364">
        <f>IF(COUNTA(Y508:Y513)=0,0,IF(OR(AND(Y508=0,CC364&gt;0),AND(Y508="ns",CD364&gt;0),AND(Y508="ns",CC364=0,CD364=0)),1,IF(OR(AND(CC364&gt;=2,Y508&gt;CD364),AND(Y508="ns",CD364=0,CC364&gt;0),Y508=CD364),0,1)))</f>
        <v>0</v>
      </c>
      <c r="CF364"/>
    </row>
    <row r="365" spans="1:84" ht="24" customHeight="1">
      <c r="A365" s="49"/>
      <c r="B365" s="38"/>
      <c r="C365" s="1109"/>
      <c r="D365" s="954"/>
      <c r="E365" s="956"/>
      <c r="F365" s="1110" t="s">
        <v>4817</v>
      </c>
      <c r="G365" s="1110"/>
      <c r="H365" s="178"/>
      <c r="I365" s="1111" t="s">
        <v>4818</v>
      </c>
      <c r="J365" s="1111"/>
      <c r="K365" s="1111"/>
      <c r="L365" s="1112"/>
      <c r="M365" s="816"/>
      <c r="N365" s="738"/>
      <c r="O365" s="738"/>
      <c r="P365" s="738"/>
      <c r="Q365" s="738"/>
      <c r="R365" s="817"/>
      <c r="S365" s="816"/>
      <c r="T365" s="738"/>
      <c r="U365" s="738"/>
      <c r="V365" s="738"/>
      <c r="W365" s="738"/>
      <c r="X365" s="817"/>
      <c r="Y365" s="816"/>
      <c r="Z365" s="738"/>
      <c r="AA365" s="738"/>
      <c r="AB365" s="738"/>
      <c r="AC365" s="738"/>
      <c r="AD365" s="817"/>
      <c r="AF365"/>
      <c r="AG365">
        <f t="shared" si="44"/>
        <v>0</v>
      </c>
      <c r="AH365">
        <f t="shared" si="45"/>
        <v>0</v>
      </c>
      <c r="AJ365">
        <f t="shared" si="46"/>
        <v>0</v>
      </c>
      <c r="AK365">
        <f t="shared" si="47"/>
        <v>0</v>
      </c>
      <c r="AL365">
        <f t="shared" si="48"/>
        <v>0</v>
      </c>
      <c r="AM365">
        <f>SUM(AM362:AM364)</f>
        <v>0</v>
      </c>
      <c r="AO365">
        <f>SUM(AO362:AO364)</f>
        <v>0</v>
      </c>
      <c r="AP365">
        <f>SUM(AP362:AP364)</f>
        <v>0</v>
      </c>
      <c r="AR365">
        <f>SUM(AR362:AR364)</f>
        <v>0</v>
      </c>
      <c r="AS365">
        <f>SUM(AS362:AS364)</f>
        <v>0</v>
      </c>
      <c r="AU365">
        <f>SUM(AU362:AU364)</f>
        <v>0</v>
      </c>
      <c r="AV365">
        <f>SUM(AV362:AV364)</f>
        <v>0</v>
      </c>
      <c r="AX365">
        <f>SUM(AX362:AX364)</f>
        <v>0</v>
      </c>
      <c r="AY365">
        <f>SUM(AY362:AY364)</f>
        <v>0</v>
      </c>
      <c r="BA365">
        <f>SUM(BA362:BA364)</f>
        <v>0</v>
      </c>
      <c r="BB365">
        <f>SUM(BB362:BB364)</f>
        <v>0</v>
      </c>
      <c r="BD365">
        <f>SUM(BD362:BD364)</f>
        <v>0</v>
      </c>
      <c r="BE365">
        <f>SUM(BE362:BE364)</f>
        <v>0</v>
      </c>
      <c r="BG365">
        <f>SUM(BG362:BG364)</f>
        <v>0</v>
      </c>
      <c r="BH365">
        <f>SUM(BH362:BH364)</f>
        <v>0</v>
      </c>
      <c r="BJ365">
        <f>SUM(BJ362:BJ364)</f>
        <v>0</v>
      </c>
      <c r="BK365">
        <f>SUM(BK362:BK364)</f>
        <v>0</v>
      </c>
      <c r="BM365">
        <f>SUM(BM362:BM364)</f>
        <v>0</v>
      </c>
      <c r="BN365">
        <f>SUM(BN362:BN364)</f>
        <v>0</v>
      </c>
      <c r="BP365">
        <f>SUM(BP362:BP364)</f>
        <v>0</v>
      </c>
      <c r="BQ365">
        <f>SUM(BQ362:BQ364)</f>
        <v>0</v>
      </c>
      <c r="BS365">
        <f>SUM(BS362:BS364)</f>
        <v>0</v>
      </c>
      <c r="BT365">
        <f>SUM(BT362:BT364)</f>
        <v>0</v>
      </c>
      <c r="BV365">
        <f>SUM(BV362:BV364)</f>
        <v>0</v>
      </c>
      <c r="BW365">
        <f>SUM(BW362:BW364)</f>
        <v>0</v>
      </c>
      <c r="BY365">
        <f>SUM(BY362:BY364)</f>
        <v>0</v>
      </c>
      <c r="BZ365">
        <f>SUM(BZ362:BZ364)</f>
        <v>0</v>
      </c>
      <c r="CB365">
        <f>SUM(CB362:CB364)</f>
        <v>0</v>
      </c>
      <c r="CC365">
        <f>SUM(CC362:CC364)</f>
        <v>0</v>
      </c>
      <c r="CE365">
        <f>SUM(CE362:CE364)</f>
        <v>0</v>
      </c>
      <c r="CF365"/>
    </row>
    <row r="366" spans="1:84" ht="15" customHeight="1">
      <c r="A366" s="49"/>
      <c r="B366" s="38"/>
      <c r="C366" s="1109"/>
      <c r="D366" s="954"/>
      <c r="E366" s="956"/>
      <c r="F366" s="1110" t="s">
        <v>4819</v>
      </c>
      <c r="G366" s="1110"/>
      <c r="H366" s="178"/>
      <c r="I366" s="1111" t="s">
        <v>4820</v>
      </c>
      <c r="J366" s="1111"/>
      <c r="K366" s="1111"/>
      <c r="L366" s="1112"/>
      <c r="M366" s="816"/>
      <c r="N366" s="738"/>
      <c r="O366" s="738"/>
      <c r="P366" s="738"/>
      <c r="Q366" s="738"/>
      <c r="R366" s="817"/>
      <c r="S366" s="816"/>
      <c r="T366" s="738"/>
      <c r="U366" s="738"/>
      <c r="V366" s="738"/>
      <c r="W366" s="738"/>
      <c r="X366" s="817"/>
      <c r="Y366" s="816"/>
      <c r="Z366" s="738"/>
      <c r="AA366" s="738"/>
      <c r="AB366" s="738"/>
      <c r="AC366" s="738"/>
      <c r="AD366" s="817"/>
      <c r="AF366"/>
      <c r="AG366">
        <f t="shared" si="44"/>
        <v>0</v>
      </c>
      <c r="AH366">
        <f t="shared" si="45"/>
        <v>0</v>
      </c>
      <c r="AJ366">
        <f t="shared" si="46"/>
        <v>0</v>
      </c>
      <c r="AK366">
        <f t="shared" si="47"/>
        <v>0</v>
      </c>
      <c r="AL366">
        <f t="shared" si="48"/>
        <v>0</v>
      </c>
      <c r="CE366" s="405">
        <f>SUM(AO365,AR365,AU365,AX365,BA365,BD365,BG365,BJ365,BM365,BP365,BS365,BV365,BY365,CB365,CE365)</f>
        <v>0</v>
      </c>
      <c r="CF366"/>
    </row>
    <row r="367" spans="1:84" ht="24" customHeight="1">
      <c r="A367" s="49"/>
      <c r="B367" s="38"/>
      <c r="C367" s="1109"/>
      <c r="D367" s="954"/>
      <c r="E367" s="956"/>
      <c r="F367" s="1110" t="s">
        <v>4821</v>
      </c>
      <c r="G367" s="1110"/>
      <c r="H367" s="178"/>
      <c r="I367" s="1111" t="s">
        <v>4822</v>
      </c>
      <c r="J367" s="1111"/>
      <c r="K367" s="1111"/>
      <c r="L367" s="1112"/>
      <c r="M367" s="816"/>
      <c r="N367" s="738"/>
      <c r="O367" s="738"/>
      <c r="P367" s="738"/>
      <c r="Q367" s="738"/>
      <c r="R367" s="817"/>
      <c r="S367" s="816"/>
      <c r="T367" s="738"/>
      <c r="U367" s="738"/>
      <c r="V367" s="738"/>
      <c r="W367" s="738"/>
      <c r="X367" s="817"/>
      <c r="Y367" s="816"/>
      <c r="Z367" s="738"/>
      <c r="AA367" s="738"/>
      <c r="AB367" s="738"/>
      <c r="AC367" s="738"/>
      <c r="AD367" s="817"/>
      <c r="AF367"/>
      <c r="AG367">
        <f t="shared" si="44"/>
        <v>0</v>
      </c>
      <c r="AH367">
        <f t="shared" si="45"/>
        <v>0</v>
      </c>
      <c r="AJ367">
        <f t="shared" si="46"/>
        <v>0</v>
      </c>
      <c r="AK367">
        <f t="shared" si="47"/>
        <v>0</v>
      </c>
      <c r="AL367">
        <f t="shared" si="48"/>
        <v>0</v>
      </c>
      <c r="CD367" t="s">
        <v>5140</v>
      </c>
      <c r="CE367" s="506">
        <f>CE366-SUM(COUNTIF(M362,"NA"),COUNTIF(M373,"NA"),COUNTIF(M382,"NA"),COUNTIF(M401,"NA"),COUNTIF(M409,"NA"),COUNTIF(M419,"NA"),COUNTIF(M427,"NA"),COUNTIF(M437,"NA"),COUNTIF(M444,"NA"),COUNTIF(M456,"NA"),COUNTIF(M466,"NA"),COUNTIF(M476,"NA"),COUNTIF(M487,"NA"),COUNTIF(M496,"NA"),COUNTIF(M508,"NA"))</f>
        <v>0</v>
      </c>
      <c r="CF367"/>
    </row>
    <row r="368" spans="1:84" ht="15" customHeight="1">
      <c r="A368" s="49"/>
      <c r="B368" s="38"/>
      <c r="C368" s="1109"/>
      <c r="D368" s="954"/>
      <c r="E368" s="956"/>
      <c r="F368" s="1110" t="s">
        <v>4823</v>
      </c>
      <c r="G368" s="1110"/>
      <c r="H368" s="179"/>
      <c r="I368" s="1113" t="s">
        <v>201</v>
      </c>
      <c r="J368" s="1113"/>
      <c r="K368" s="1113"/>
      <c r="L368" s="1114"/>
      <c r="M368" s="816"/>
      <c r="N368" s="738"/>
      <c r="O368" s="738"/>
      <c r="P368" s="738"/>
      <c r="Q368" s="738"/>
      <c r="R368" s="817"/>
      <c r="S368" s="816"/>
      <c r="T368" s="738"/>
      <c r="U368" s="738"/>
      <c r="V368" s="738"/>
      <c r="W368" s="738"/>
      <c r="X368" s="817"/>
      <c r="Y368" s="816"/>
      <c r="Z368" s="738"/>
      <c r="AA368" s="738"/>
      <c r="AB368" s="738"/>
      <c r="AC368" s="738"/>
      <c r="AD368" s="817"/>
      <c r="AF368"/>
      <c r="AG368">
        <f t="shared" si="44"/>
        <v>0</v>
      </c>
      <c r="AH368">
        <f t="shared" si="45"/>
        <v>0</v>
      </c>
      <c r="AJ368">
        <f t="shared" si="46"/>
        <v>0</v>
      </c>
      <c r="AK368">
        <f t="shared" si="47"/>
        <v>0</v>
      </c>
      <c r="AL368">
        <f t="shared" si="48"/>
        <v>0</v>
      </c>
    </row>
    <row r="369" spans="1:39" ht="24" customHeight="1">
      <c r="A369" s="49"/>
      <c r="B369" s="38"/>
      <c r="C369" s="1109"/>
      <c r="D369" s="954"/>
      <c r="E369" s="956"/>
      <c r="F369" s="1103" t="s">
        <v>4824</v>
      </c>
      <c r="G369" s="1103"/>
      <c r="H369" s="1104" t="s">
        <v>4825</v>
      </c>
      <c r="I369" s="1105"/>
      <c r="J369" s="1105"/>
      <c r="K369" s="1105"/>
      <c r="L369" s="1106"/>
      <c r="M369" s="816"/>
      <c r="N369" s="738"/>
      <c r="O369" s="738"/>
      <c r="P369" s="738"/>
      <c r="Q369" s="738"/>
      <c r="R369" s="817"/>
      <c r="S369" s="816"/>
      <c r="T369" s="738"/>
      <c r="U369" s="738"/>
      <c r="V369" s="738"/>
      <c r="W369" s="738"/>
      <c r="X369" s="817"/>
      <c r="Y369" s="816"/>
      <c r="Z369" s="738"/>
      <c r="AA369" s="738"/>
      <c r="AB369" s="738"/>
      <c r="AC369" s="738"/>
      <c r="AD369" s="817"/>
      <c r="AF369"/>
      <c r="AG369">
        <f t="shared" si="44"/>
        <v>0</v>
      </c>
      <c r="AH369">
        <f t="shared" si="45"/>
        <v>0</v>
      </c>
      <c r="AJ369">
        <f t="shared" si="46"/>
        <v>0</v>
      </c>
      <c r="AK369">
        <f t="shared" si="47"/>
        <v>0</v>
      </c>
      <c r="AL369">
        <f t="shared" si="48"/>
        <v>0</v>
      </c>
      <c r="AM369">
        <f>IF(OR(M369="NS",M369="NA",$M$334=0,$M$334="NS",$M$334="NA"),0,IF((M369*(IFERROR(100/SUM(M357:M369),0)))&gt;25,1,0))</f>
        <v>0</v>
      </c>
    </row>
    <row r="370" spans="1:39" ht="15" customHeight="1">
      <c r="A370" s="49"/>
      <c r="B370" s="38"/>
      <c r="C370" s="1108" t="s">
        <v>4826</v>
      </c>
      <c r="D370" s="847" t="s">
        <v>4827</v>
      </c>
      <c r="E370" s="848"/>
      <c r="F370" s="1103" t="s">
        <v>4828</v>
      </c>
      <c r="G370" s="1103"/>
      <c r="H370" s="1104" t="s">
        <v>4829</v>
      </c>
      <c r="I370" s="1105"/>
      <c r="J370" s="1105"/>
      <c r="K370" s="1105"/>
      <c r="L370" s="1106"/>
      <c r="M370" s="816"/>
      <c r="N370" s="738"/>
      <c r="O370" s="738"/>
      <c r="P370" s="738"/>
      <c r="Q370" s="738"/>
      <c r="R370" s="817"/>
      <c r="S370" s="816"/>
      <c r="T370" s="738"/>
      <c r="U370" s="738"/>
      <c r="V370" s="738"/>
      <c r="W370" s="738"/>
      <c r="X370" s="817"/>
      <c r="Y370" s="816"/>
      <c r="Z370" s="738"/>
      <c r="AA370" s="738"/>
      <c r="AB370" s="738"/>
      <c r="AC370" s="738"/>
      <c r="AD370" s="817"/>
      <c r="AF370"/>
      <c r="AG370">
        <f t="shared" si="44"/>
        <v>0</v>
      </c>
      <c r="AH370">
        <f t="shared" si="45"/>
        <v>0</v>
      </c>
      <c r="AJ370">
        <f t="shared" si="46"/>
        <v>0</v>
      </c>
      <c r="AK370">
        <f t="shared" si="47"/>
        <v>0</v>
      </c>
      <c r="AL370">
        <f t="shared" si="48"/>
        <v>0</v>
      </c>
    </row>
    <row r="371" spans="1:39" ht="15" customHeight="1">
      <c r="A371" s="49"/>
      <c r="B371" s="38"/>
      <c r="C371" s="1109"/>
      <c r="D371" s="954"/>
      <c r="E371" s="956"/>
      <c r="F371" s="1103" t="s">
        <v>4830</v>
      </c>
      <c r="G371" s="1103"/>
      <c r="H371" s="1104" t="s">
        <v>4831</v>
      </c>
      <c r="I371" s="1105"/>
      <c r="J371" s="1105"/>
      <c r="K371" s="1105"/>
      <c r="L371" s="1106"/>
      <c r="M371" s="816"/>
      <c r="N371" s="738"/>
      <c r="O371" s="738"/>
      <c r="P371" s="738"/>
      <c r="Q371" s="738"/>
      <c r="R371" s="817"/>
      <c r="S371" s="816"/>
      <c r="T371" s="738"/>
      <c r="U371" s="738"/>
      <c r="V371" s="738"/>
      <c r="W371" s="738"/>
      <c r="X371" s="817"/>
      <c r="Y371" s="816"/>
      <c r="Z371" s="738"/>
      <c r="AA371" s="738"/>
      <c r="AB371" s="738"/>
      <c r="AC371" s="738"/>
      <c r="AD371" s="817"/>
      <c r="AF371"/>
      <c r="AG371">
        <f t="shared" si="44"/>
        <v>0</v>
      </c>
      <c r="AH371">
        <f t="shared" si="45"/>
        <v>0</v>
      </c>
      <c r="AJ371">
        <f t="shared" si="46"/>
        <v>0</v>
      </c>
      <c r="AK371">
        <f t="shared" si="47"/>
        <v>0</v>
      </c>
      <c r="AL371">
        <f t="shared" si="48"/>
        <v>0</v>
      </c>
    </row>
    <row r="372" spans="1:39" ht="15" customHeight="1">
      <c r="A372" s="49"/>
      <c r="B372" s="38"/>
      <c r="C372" s="1109"/>
      <c r="D372" s="954"/>
      <c r="E372" s="956"/>
      <c r="F372" s="1103" t="s">
        <v>4832</v>
      </c>
      <c r="G372" s="1103"/>
      <c r="H372" s="1104" t="s">
        <v>4833</v>
      </c>
      <c r="I372" s="1105"/>
      <c r="J372" s="1105"/>
      <c r="K372" s="1105"/>
      <c r="L372" s="1106"/>
      <c r="M372" s="816"/>
      <c r="N372" s="738"/>
      <c r="O372" s="738"/>
      <c r="P372" s="738"/>
      <c r="Q372" s="738"/>
      <c r="R372" s="817"/>
      <c r="S372" s="816"/>
      <c r="T372" s="738"/>
      <c r="U372" s="738"/>
      <c r="V372" s="738"/>
      <c r="W372" s="738"/>
      <c r="X372" s="817"/>
      <c r="Y372" s="816"/>
      <c r="Z372" s="738"/>
      <c r="AA372" s="738"/>
      <c r="AB372" s="738"/>
      <c r="AC372" s="738"/>
      <c r="AD372" s="817"/>
      <c r="AF372"/>
      <c r="AG372">
        <f t="shared" si="44"/>
        <v>0</v>
      </c>
      <c r="AH372">
        <f t="shared" si="45"/>
        <v>0</v>
      </c>
      <c r="AJ372">
        <f t="shared" si="46"/>
        <v>0</v>
      </c>
      <c r="AK372">
        <f t="shared" si="47"/>
        <v>0</v>
      </c>
      <c r="AL372">
        <f t="shared" si="48"/>
        <v>0</v>
      </c>
    </row>
    <row r="373" spans="1:39" ht="15" customHeight="1">
      <c r="A373" s="49"/>
      <c r="B373" s="38"/>
      <c r="C373" s="1109"/>
      <c r="D373" s="954"/>
      <c r="E373" s="956"/>
      <c r="F373" s="1103" t="s">
        <v>4834</v>
      </c>
      <c r="G373" s="1103"/>
      <c r="H373" s="1104" t="s">
        <v>4835</v>
      </c>
      <c r="I373" s="1105"/>
      <c r="J373" s="1105"/>
      <c r="K373" s="1105"/>
      <c r="L373" s="1106"/>
      <c r="M373" s="816"/>
      <c r="N373" s="738"/>
      <c r="O373" s="738"/>
      <c r="P373" s="738"/>
      <c r="Q373" s="738"/>
      <c r="R373" s="817"/>
      <c r="S373" s="816"/>
      <c r="T373" s="738"/>
      <c r="U373" s="738"/>
      <c r="V373" s="738"/>
      <c r="W373" s="738"/>
      <c r="X373" s="817"/>
      <c r="Y373" s="816"/>
      <c r="Z373" s="738"/>
      <c r="AA373" s="738"/>
      <c r="AB373" s="738"/>
      <c r="AC373" s="738"/>
      <c r="AD373" s="817"/>
      <c r="AF373">
        <f>IF(M373="NA",IF(AND(COUNTIF(M374:M378,"="&amp;$AF$361)=0,COUNTIF(M374:M378,"&lt;&gt;NA")&gt;0),1,0),IF(AND(COUNTIF(M374:M378,"="&amp;$AF$361)=0,COUNTIF(M374:M378,"NA")=COUNTIF(M374:M378,"&lt;&gt;"&amp;$AF$361)),1,0))</f>
        <v>0</v>
      </c>
      <c r="AG373">
        <f t="shared" si="44"/>
        <v>0</v>
      </c>
      <c r="AH373">
        <f t="shared" si="45"/>
        <v>0</v>
      </c>
      <c r="AJ373">
        <f t="shared" si="46"/>
        <v>0</v>
      </c>
      <c r="AK373">
        <f t="shared" si="47"/>
        <v>0</v>
      </c>
      <c r="AL373">
        <f t="shared" si="48"/>
        <v>0</v>
      </c>
    </row>
    <row r="374" spans="1:39" ht="15" customHeight="1">
      <c r="A374" s="49"/>
      <c r="B374" s="38"/>
      <c r="C374" s="1109"/>
      <c r="D374" s="954"/>
      <c r="E374" s="956"/>
      <c r="F374" s="1110" t="s">
        <v>4837</v>
      </c>
      <c r="G374" s="1110"/>
      <c r="H374" s="177"/>
      <c r="I374" s="1115" t="s">
        <v>4838</v>
      </c>
      <c r="J374" s="1115"/>
      <c r="K374" s="1115"/>
      <c r="L374" s="1116"/>
      <c r="M374" s="816"/>
      <c r="N374" s="738"/>
      <c r="O374" s="738"/>
      <c r="P374" s="738"/>
      <c r="Q374" s="738"/>
      <c r="R374" s="817"/>
      <c r="S374" s="816"/>
      <c r="T374" s="738"/>
      <c r="U374" s="738"/>
      <c r="V374" s="738"/>
      <c r="W374" s="738"/>
      <c r="X374" s="817"/>
      <c r="Y374" s="816"/>
      <c r="Z374" s="738"/>
      <c r="AA374" s="738"/>
      <c r="AB374" s="738"/>
      <c r="AC374" s="738"/>
      <c r="AD374" s="817"/>
      <c r="AF374"/>
      <c r="AG374">
        <f t="shared" si="44"/>
        <v>0</v>
      </c>
      <c r="AH374">
        <f t="shared" si="45"/>
        <v>0</v>
      </c>
      <c r="AJ374">
        <f t="shared" si="46"/>
        <v>0</v>
      </c>
      <c r="AK374">
        <f t="shared" si="47"/>
        <v>0</v>
      </c>
      <c r="AL374">
        <f t="shared" si="48"/>
        <v>0</v>
      </c>
    </row>
    <row r="375" spans="1:39" ht="96" customHeight="1">
      <c r="A375" s="49"/>
      <c r="B375" s="38"/>
      <c r="C375" s="1109"/>
      <c r="D375" s="954"/>
      <c r="E375" s="956"/>
      <c r="F375" s="1110" t="s">
        <v>4839</v>
      </c>
      <c r="G375" s="1110"/>
      <c r="H375" s="178"/>
      <c r="I375" s="1111" t="s">
        <v>4840</v>
      </c>
      <c r="J375" s="1111"/>
      <c r="K375" s="1111"/>
      <c r="L375" s="1112"/>
      <c r="M375" s="816"/>
      <c r="N375" s="738"/>
      <c r="O375" s="738"/>
      <c r="P375" s="738"/>
      <c r="Q375" s="738"/>
      <c r="R375" s="817"/>
      <c r="S375" s="816"/>
      <c r="T375" s="738"/>
      <c r="U375" s="738"/>
      <c r="V375" s="738"/>
      <c r="W375" s="738"/>
      <c r="X375" s="817"/>
      <c r="Y375" s="816"/>
      <c r="Z375" s="738"/>
      <c r="AA375" s="738"/>
      <c r="AB375" s="738"/>
      <c r="AC375" s="738"/>
      <c r="AD375" s="817"/>
      <c r="AF375"/>
      <c r="AG375">
        <f t="shared" si="44"/>
        <v>0</v>
      </c>
      <c r="AH375">
        <f t="shared" si="45"/>
        <v>0</v>
      </c>
      <c r="AJ375">
        <f t="shared" si="46"/>
        <v>0</v>
      </c>
      <c r="AK375">
        <f t="shared" si="47"/>
        <v>0</v>
      </c>
      <c r="AL375">
        <f t="shared" si="48"/>
        <v>0</v>
      </c>
    </row>
    <row r="376" spans="1:39" ht="48" customHeight="1">
      <c r="A376" s="49"/>
      <c r="B376" s="38"/>
      <c r="C376" s="1109"/>
      <c r="D376" s="954"/>
      <c r="E376" s="956"/>
      <c r="F376" s="1110" t="s">
        <v>4841</v>
      </c>
      <c r="G376" s="1110"/>
      <c r="H376" s="178"/>
      <c r="I376" s="1111" t="s">
        <v>4842</v>
      </c>
      <c r="J376" s="1111"/>
      <c r="K376" s="1111"/>
      <c r="L376" s="1112"/>
      <c r="M376" s="816"/>
      <c r="N376" s="738"/>
      <c r="O376" s="738"/>
      <c r="P376" s="738"/>
      <c r="Q376" s="738"/>
      <c r="R376" s="817"/>
      <c r="S376" s="816"/>
      <c r="T376" s="738"/>
      <c r="U376" s="738"/>
      <c r="V376" s="738"/>
      <c r="W376" s="738"/>
      <c r="X376" s="817"/>
      <c r="Y376" s="816"/>
      <c r="Z376" s="738"/>
      <c r="AA376" s="738"/>
      <c r="AB376" s="738"/>
      <c r="AC376" s="738"/>
      <c r="AD376" s="817"/>
      <c r="AF376"/>
      <c r="AG376">
        <f t="shared" si="44"/>
        <v>0</v>
      </c>
      <c r="AH376">
        <f t="shared" si="45"/>
        <v>0</v>
      </c>
      <c r="AJ376">
        <f t="shared" si="46"/>
        <v>0</v>
      </c>
      <c r="AK376">
        <f t="shared" si="47"/>
        <v>0</v>
      </c>
      <c r="AL376">
        <f t="shared" si="48"/>
        <v>0</v>
      </c>
    </row>
    <row r="377" spans="1:39" ht="24" customHeight="1">
      <c r="A377" s="49"/>
      <c r="B377" s="38"/>
      <c r="C377" s="1109"/>
      <c r="D377" s="954"/>
      <c r="E377" s="956"/>
      <c r="F377" s="1110" t="s">
        <v>4843</v>
      </c>
      <c r="G377" s="1110"/>
      <c r="H377" s="178"/>
      <c r="I377" s="1111" t="s">
        <v>4844</v>
      </c>
      <c r="J377" s="1111"/>
      <c r="K377" s="1111"/>
      <c r="L377" s="1112"/>
      <c r="M377" s="816"/>
      <c r="N377" s="738"/>
      <c r="O377" s="738"/>
      <c r="P377" s="738"/>
      <c r="Q377" s="738"/>
      <c r="R377" s="817"/>
      <c r="S377" s="816"/>
      <c r="T377" s="738"/>
      <c r="U377" s="738"/>
      <c r="V377" s="738"/>
      <c r="W377" s="738"/>
      <c r="X377" s="817"/>
      <c r="Y377" s="816"/>
      <c r="Z377" s="738"/>
      <c r="AA377" s="738"/>
      <c r="AB377" s="738"/>
      <c r="AC377" s="738"/>
      <c r="AD377" s="817"/>
      <c r="AF377"/>
      <c r="AG377">
        <f t="shared" si="44"/>
        <v>0</v>
      </c>
      <c r="AH377">
        <f t="shared" si="45"/>
        <v>0</v>
      </c>
      <c r="AJ377">
        <f t="shared" si="46"/>
        <v>0</v>
      </c>
      <c r="AK377">
        <f t="shared" si="47"/>
        <v>0</v>
      </c>
      <c r="AL377">
        <f t="shared" si="48"/>
        <v>0</v>
      </c>
    </row>
    <row r="378" spans="1:39" ht="15" customHeight="1">
      <c r="A378" s="49"/>
      <c r="B378" s="38"/>
      <c r="C378" s="1109"/>
      <c r="D378" s="954"/>
      <c r="E378" s="956"/>
      <c r="F378" s="1110" t="s">
        <v>4845</v>
      </c>
      <c r="G378" s="1110"/>
      <c r="H378" s="179"/>
      <c r="I378" s="1113" t="s">
        <v>201</v>
      </c>
      <c r="J378" s="1113"/>
      <c r="K378" s="1113"/>
      <c r="L378" s="1114"/>
      <c r="M378" s="816"/>
      <c r="N378" s="738"/>
      <c r="O378" s="738"/>
      <c r="P378" s="738"/>
      <c r="Q378" s="738"/>
      <c r="R378" s="817"/>
      <c r="S378" s="816"/>
      <c r="T378" s="738"/>
      <c r="U378" s="738"/>
      <c r="V378" s="738"/>
      <c r="W378" s="738"/>
      <c r="X378" s="817"/>
      <c r="Y378" s="816"/>
      <c r="Z378" s="738"/>
      <c r="AA378" s="738"/>
      <c r="AB378" s="738"/>
      <c r="AC378" s="738"/>
      <c r="AD378" s="817"/>
      <c r="AF378"/>
      <c r="AG378">
        <f t="shared" si="44"/>
        <v>0</v>
      </c>
      <c r="AH378">
        <f t="shared" si="45"/>
        <v>0</v>
      </c>
      <c r="AJ378">
        <f t="shared" si="46"/>
        <v>0</v>
      </c>
      <c r="AK378">
        <f t="shared" si="47"/>
        <v>0</v>
      </c>
      <c r="AL378">
        <f t="shared" si="48"/>
        <v>0</v>
      </c>
    </row>
    <row r="379" spans="1:39" ht="15" customHeight="1">
      <c r="A379" s="49"/>
      <c r="B379" s="38"/>
      <c r="C379" s="1109"/>
      <c r="D379" s="954"/>
      <c r="E379" s="956"/>
      <c r="F379" s="1103" t="s">
        <v>4846</v>
      </c>
      <c r="G379" s="1103"/>
      <c r="H379" s="1104" t="s">
        <v>4847</v>
      </c>
      <c r="I379" s="1105"/>
      <c r="J379" s="1105"/>
      <c r="K379" s="1105"/>
      <c r="L379" s="1106"/>
      <c r="M379" s="816"/>
      <c r="N379" s="738"/>
      <c r="O379" s="738"/>
      <c r="P379" s="738"/>
      <c r="Q379" s="738"/>
      <c r="R379" s="817"/>
      <c r="S379" s="816"/>
      <c r="T379" s="738"/>
      <c r="U379" s="738"/>
      <c r="V379" s="738"/>
      <c r="W379" s="738"/>
      <c r="X379" s="817"/>
      <c r="Y379" s="816"/>
      <c r="Z379" s="738"/>
      <c r="AA379" s="738"/>
      <c r="AB379" s="738"/>
      <c r="AC379" s="738"/>
      <c r="AD379" s="817"/>
      <c r="AF379"/>
      <c r="AG379">
        <f t="shared" si="44"/>
        <v>0</v>
      </c>
      <c r="AH379">
        <f t="shared" si="45"/>
        <v>0</v>
      </c>
      <c r="AJ379">
        <f t="shared" si="46"/>
        <v>0</v>
      </c>
      <c r="AK379">
        <f t="shared" si="47"/>
        <v>0</v>
      </c>
      <c r="AL379">
        <f t="shared" si="48"/>
        <v>0</v>
      </c>
    </row>
    <row r="380" spans="1:39" ht="15" customHeight="1">
      <c r="A380" s="49"/>
      <c r="B380" s="38"/>
      <c r="C380" s="1109"/>
      <c r="D380" s="954"/>
      <c r="E380" s="956"/>
      <c r="F380" s="1103" t="s">
        <v>4848</v>
      </c>
      <c r="G380" s="1103"/>
      <c r="H380" s="1104" t="s">
        <v>4849</v>
      </c>
      <c r="I380" s="1105"/>
      <c r="J380" s="1105"/>
      <c r="K380" s="1105"/>
      <c r="L380" s="1106"/>
      <c r="M380" s="816"/>
      <c r="N380" s="738"/>
      <c r="O380" s="738"/>
      <c r="P380" s="738"/>
      <c r="Q380" s="738"/>
      <c r="R380" s="817"/>
      <c r="S380" s="816"/>
      <c r="T380" s="738"/>
      <c r="U380" s="738"/>
      <c r="V380" s="738"/>
      <c r="W380" s="738"/>
      <c r="X380" s="817"/>
      <c r="Y380" s="816"/>
      <c r="Z380" s="738"/>
      <c r="AA380" s="738"/>
      <c r="AB380" s="738"/>
      <c r="AC380" s="738"/>
      <c r="AD380" s="817"/>
      <c r="AF380"/>
      <c r="AG380">
        <f t="shared" si="44"/>
        <v>0</v>
      </c>
      <c r="AH380">
        <f t="shared" si="45"/>
        <v>0</v>
      </c>
      <c r="AJ380">
        <f t="shared" si="46"/>
        <v>0</v>
      </c>
      <c r="AK380">
        <f t="shared" si="47"/>
        <v>0</v>
      </c>
      <c r="AL380">
        <f t="shared" si="48"/>
        <v>0</v>
      </c>
    </row>
    <row r="381" spans="1:39" ht="36" customHeight="1">
      <c r="A381" s="49"/>
      <c r="B381" s="38"/>
      <c r="C381" s="1109"/>
      <c r="D381" s="954"/>
      <c r="E381" s="956"/>
      <c r="F381" s="1103" t="s">
        <v>4850</v>
      </c>
      <c r="G381" s="1103"/>
      <c r="H381" s="1104" t="s">
        <v>4851</v>
      </c>
      <c r="I381" s="1105"/>
      <c r="J381" s="1105"/>
      <c r="K381" s="1105"/>
      <c r="L381" s="1106"/>
      <c r="M381" s="816"/>
      <c r="N381" s="738"/>
      <c r="O381" s="738"/>
      <c r="P381" s="738"/>
      <c r="Q381" s="738"/>
      <c r="R381" s="817"/>
      <c r="S381" s="816"/>
      <c r="T381" s="738"/>
      <c r="U381" s="738"/>
      <c r="V381" s="738"/>
      <c r="W381" s="738"/>
      <c r="X381" s="817"/>
      <c r="Y381" s="816"/>
      <c r="Z381" s="738"/>
      <c r="AA381" s="738"/>
      <c r="AB381" s="738"/>
      <c r="AC381" s="738"/>
      <c r="AD381" s="817"/>
      <c r="AF381"/>
      <c r="AG381">
        <f t="shared" si="44"/>
        <v>0</v>
      </c>
      <c r="AH381">
        <f t="shared" si="45"/>
        <v>0</v>
      </c>
      <c r="AJ381">
        <f t="shared" si="46"/>
        <v>0</v>
      </c>
      <c r="AK381">
        <f t="shared" si="47"/>
        <v>0</v>
      </c>
      <c r="AL381">
        <f t="shared" si="48"/>
        <v>0</v>
      </c>
      <c r="AM381">
        <f>IF(OR(M381="NS",M381="NA",$M$334=0,$M$334="NS",$M$334="NA"),0,IF((M381*(IFERROR(100/SUM(M370:M381),0)))&gt;25,1,0))</f>
        <v>0</v>
      </c>
    </row>
    <row r="382" spans="1:39" ht="15" customHeight="1">
      <c r="A382" s="49"/>
      <c r="B382" s="38"/>
      <c r="C382" s="1108" t="s">
        <v>4852</v>
      </c>
      <c r="D382" s="847" t="s">
        <v>4853</v>
      </c>
      <c r="E382" s="848"/>
      <c r="F382" s="1103" t="s">
        <v>4854</v>
      </c>
      <c r="G382" s="1103"/>
      <c r="H382" s="1104" t="s">
        <v>4855</v>
      </c>
      <c r="I382" s="1105"/>
      <c r="J382" s="1105"/>
      <c r="K382" s="1105"/>
      <c r="L382" s="1106"/>
      <c r="M382" s="816"/>
      <c r="N382" s="738"/>
      <c r="O382" s="738"/>
      <c r="P382" s="738"/>
      <c r="Q382" s="738"/>
      <c r="R382" s="817"/>
      <c r="S382" s="816"/>
      <c r="T382" s="738"/>
      <c r="U382" s="738"/>
      <c r="V382" s="738"/>
      <c r="W382" s="738"/>
      <c r="X382" s="817"/>
      <c r="Y382" s="816"/>
      <c r="Z382" s="738"/>
      <c r="AA382" s="738"/>
      <c r="AB382" s="738"/>
      <c r="AC382" s="738"/>
      <c r="AD382" s="817"/>
      <c r="AF382">
        <f>IF(M382="NA",IF(AND(COUNTIF(M383:M400,"="&amp;$AF$361)=0,COUNTIF(M383:M400,"&lt;&gt;NA")&gt;0),1,0),IF(AND(COUNTIF(M383:M400,"="&amp;$AF$361)=0,COUNTIF(M383:M400,"NA")=COUNTIF(M383:M400,"&lt;&gt;"&amp;$AF$361)),1,0))</f>
        <v>0</v>
      </c>
      <c r="AG382">
        <f t="shared" si="44"/>
        <v>0</v>
      </c>
      <c r="AH382">
        <f t="shared" si="45"/>
        <v>0</v>
      </c>
      <c r="AJ382">
        <f t="shared" si="46"/>
        <v>0</v>
      </c>
      <c r="AK382">
        <f t="shared" si="47"/>
        <v>0</v>
      </c>
      <c r="AL382">
        <f t="shared" si="48"/>
        <v>0</v>
      </c>
    </row>
    <row r="383" spans="1:39" ht="15" customHeight="1">
      <c r="A383" s="49"/>
      <c r="B383" s="38"/>
      <c r="C383" s="1109"/>
      <c r="D383" s="954"/>
      <c r="E383" s="956"/>
      <c r="F383" s="1110" t="s">
        <v>4856</v>
      </c>
      <c r="G383" s="1110"/>
      <c r="H383" s="177"/>
      <c r="I383" s="1111" t="s">
        <v>4857</v>
      </c>
      <c r="J383" s="1111"/>
      <c r="K383" s="1111"/>
      <c r="L383" s="1112"/>
      <c r="M383" s="816"/>
      <c r="N383" s="738"/>
      <c r="O383" s="738"/>
      <c r="P383" s="738"/>
      <c r="Q383" s="738"/>
      <c r="R383" s="817"/>
      <c r="S383" s="816"/>
      <c r="T383" s="738"/>
      <c r="U383" s="738"/>
      <c r="V383" s="738"/>
      <c r="W383" s="738"/>
      <c r="X383" s="817"/>
      <c r="Y383" s="816"/>
      <c r="Z383" s="738"/>
      <c r="AA383" s="738"/>
      <c r="AB383" s="738"/>
      <c r="AC383" s="738"/>
      <c r="AD383" s="817"/>
      <c r="AF383"/>
      <c r="AG383">
        <f t="shared" si="44"/>
        <v>0</v>
      </c>
      <c r="AH383">
        <f t="shared" si="45"/>
        <v>0</v>
      </c>
      <c r="AJ383">
        <f t="shared" si="46"/>
        <v>0</v>
      </c>
      <c r="AK383">
        <f t="shared" si="47"/>
        <v>0</v>
      </c>
      <c r="AL383">
        <f t="shared" si="48"/>
        <v>0</v>
      </c>
    </row>
    <row r="384" spans="1:39" ht="24" customHeight="1">
      <c r="A384" s="49"/>
      <c r="B384" s="38"/>
      <c r="C384" s="1109"/>
      <c r="D384" s="954"/>
      <c r="E384" s="956"/>
      <c r="F384" s="1110" t="s">
        <v>4858</v>
      </c>
      <c r="G384" s="1110"/>
      <c r="H384" s="178"/>
      <c r="I384" s="1111" t="s">
        <v>4859</v>
      </c>
      <c r="J384" s="1111"/>
      <c r="K384" s="1111"/>
      <c r="L384" s="1112"/>
      <c r="M384" s="816"/>
      <c r="N384" s="738"/>
      <c r="O384" s="738"/>
      <c r="P384" s="738"/>
      <c r="Q384" s="738"/>
      <c r="R384" s="817"/>
      <c r="S384" s="816"/>
      <c r="T384" s="738"/>
      <c r="U384" s="738"/>
      <c r="V384" s="738"/>
      <c r="W384" s="738"/>
      <c r="X384" s="817"/>
      <c r="Y384" s="816"/>
      <c r="Z384" s="738"/>
      <c r="AA384" s="738"/>
      <c r="AB384" s="738"/>
      <c r="AC384" s="738"/>
      <c r="AD384" s="817"/>
      <c r="AF384"/>
      <c r="AG384">
        <f t="shared" si="44"/>
        <v>0</v>
      </c>
      <c r="AH384">
        <f t="shared" si="45"/>
        <v>0</v>
      </c>
      <c r="AJ384">
        <f t="shared" si="46"/>
        <v>0</v>
      </c>
      <c r="AK384">
        <f t="shared" si="47"/>
        <v>0</v>
      </c>
      <c r="AL384">
        <f t="shared" si="48"/>
        <v>0</v>
      </c>
    </row>
    <row r="385" spans="1:38" ht="15" customHeight="1">
      <c r="A385" s="49"/>
      <c r="B385" s="38"/>
      <c r="C385" s="1109"/>
      <c r="D385" s="954"/>
      <c r="E385" s="956"/>
      <c r="F385" s="1110" t="s">
        <v>4860</v>
      </c>
      <c r="G385" s="1110"/>
      <c r="H385" s="178"/>
      <c r="I385" s="1111" t="s">
        <v>4861</v>
      </c>
      <c r="J385" s="1111"/>
      <c r="K385" s="1111"/>
      <c r="L385" s="1112"/>
      <c r="M385" s="816"/>
      <c r="N385" s="738"/>
      <c r="O385" s="738"/>
      <c r="P385" s="738"/>
      <c r="Q385" s="738"/>
      <c r="R385" s="817"/>
      <c r="S385" s="816"/>
      <c r="T385" s="738"/>
      <c r="U385" s="738"/>
      <c r="V385" s="738"/>
      <c r="W385" s="738"/>
      <c r="X385" s="817"/>
      <c r="Y385" s="816"/>
      <c r="Z385" s="738"/>
      <c r="AA385" s="738"/>
      <c r="AB385" s="738"/>
      <c r="AC385" s="738"/>
      <c r="AD385" s="817"/>
      <c r="AF385"/>
      <c r="AG385">
        <f t="shared" si="44"/>
        <v>0</v>
      </c>
      <c r="AH385">
        <f t="shared" si="45"/>
        <v>0</v>
      </c>
      <c r="AJ385">
        <f t="shared" si="46"/>
        <v>0</v>
      </c>
      <c r="AK385">
        <f t="shared" si="47"/>
        <v>0</v>
      </c>
      <c r="AL385">
        <f t="shared" si="48"/>
        <v>0</v>
      </c>
    </row>
    <row r="386" spans="1:38" ht="15" customHeight="1">
      <c r="A386" s="49"/>
      <c r="B386" s="38"/>
      <c r="C386" s="1109"/>
      <c r="D386" s="954"/>
      <c r="E386" s="956"/>
      <c r="F386" s="1110" t="s">
        <v>4862</v>
      </c>
      <c r="G386" s="1110"/>
      <c r="H386" s="178"/>
      <c r="I386" s="1111" t="s">
        <v>4863</v>
      </c>
      <c r="J386" s="1111"/>
      <c r="K386" s="1111"/>
      <c r="L386" s="1112"/>
      <c r="M386" s="816"/>
      <c r="N386" s="738"/>
      <c r="O386" s="738"/>
      <c r="P386" s="738"/>
      <c r="Q386" s="738"/>
      <c r="R386" s="817"/>
      <c r="S386" s="816"/>
      <c r="T386" s="738"/>
      <c r="U386" s="738"/>
      <c r="V386" s="738"/>
      <c r="W386" s="738"/>
      <c r="X386" s="817"/>
      <c r="Y386" s="816"/>
      <c r="Z386" s="738"/>
      <c r="AA386" s="738"/>
      <c r="AB386" s="738"/>
      <c r="AC386" s="738"/>
      <c r="AD386" s="817"/>
      <c r="AF386"/>
      <c r="AG386">
        <f t="shared" si="44"/>
        <v>0</v>
      </c>
      <c r="AH386">
        <f t="shared" si="45"/>
        <v>0</v>
      </c>
      <c r="AJ386">
        <f t="shared" si="46"/>
        <v>0</v>
      </c>
      <c r="AK386">
        <f t="shared" si="47"/>
        <v>0</v>
      </c>
      <c r="AL386">
        <f t="shared" si="48"/>
        <v>0</v>
      </c>
    </row>
    <row r="387" spans="1:38" ht="24" customHeight="1">
      <c r="A387" s="49"/>
      <c r="B387" s="38"/>
      <c r="C387" s="1109"/>
      <c r="D387" s="954"/>
      <c r="E387" s="956"/>
      <c r="F387" s="1110" t="s">
        <v>4864</v>
      </c>
      <c r="G387" s="1110"/>
      <c r="H387" s="178"/>
      <c r="I387" s="1111" t="s">
        <v>4865</v>
      </c>
      <c r="J387" s="1111"/>
      <c r="K387" s="1111"/>
      <c r="L387" s="1112"/>
      <c r="M387" s="816"/>
      <c r="N387" s="738"/>
      <c r="O387" s="738"/>
      <c r="P387" s="738"/>
      <c r="Q387" s="738"/>
      <c r="R387" s="817"/>
      <c r="S387" s="816"/>
      <c r="T387" s="738"/>
      <c r="U387" s="738"/>
      <c r="V387" s="738"/>
      <c r="W387" s="738"/>
      <c r="X387" s="817"/>
      <c r="Y387" s="816"/>
      <c r="Z387" s="738"/>
      <c r="AA387" s="738"/>
      <c r="AB387" s="738"/>
      <c r="AC387" s="738"/>
      <c r="AD387" s="817"/>
      <c r="AF387"/>
      <c r="AG387">
        <f t="shared" si="44"/>
        <v>0</v>
      </c>
      <c r="AH387">
        <f t="shared" si="45"/>
        <v>0</v>
      </c>
      <c r="AJ387">
        <f t="shared" si="46"/>
        <v>0</v>
      </c>
      <c r="AK387">
        <f t="shared" si="47"/>
        <v>0</v>
      </c>
      <c r="AL387">
        <f t="shared" si="48"/>
        <v>0</v>
      </c>
    </row>
    <row r="388" spans="1:38" ht="36" customHeight="1">
      <c r="A388" s="49"/>
      <c r="B388" s="38"/>
      <c r="C388" s="1109"/>
      <c r="D388" s="954"/>
      <c r="E388" s="956"/>
      <c r="F388" s="1110" t="s">
        <v>4866</v>
      </c>
      <c r="G388" s="1110"/>
      <c r="H388" s="178"/>
      <c r="I388" s="1111" t="s">
        <v>4867</v>
      </c>
      <c r="J388" s="1111"/>
      <c r="K388" s="1111"/>
      <c r="L388" s="1112"/>
      <c r="M388" s="816"/>
      <c r="N388" s="738"/>
      <c r="O388" s="738"/>
      <c r="P388" s="738"/>
      <c r="Q388" s="738"/>
      <c r="R388" s="817"/>
      <c r="S388" s="816"/>
      <c r="T388" s="738"/>
      <c r="U388" s="738"/>
      <c r="V388" s="738"/>
      <c r="W388" s="738"/>
      <c r="X388" s="817"/>
      <c r="Y388" s="816"/>
      <c r="Z388" s="738"/>
      <c r="AA388" s="738"/>
      <c r="AB388" s="738"/>
      <c r="AC388" s="738"/>
      <c r="AD388" s="817"/>
      <c r="AF388"/>
      <c r="AG388">
        <f t="shared" si="44"/>
        <v>0</v>
      </c>
      <c r="AH388">
        <f t="shared" si="45"/>
        <v>0</v>
      </c>
      <c r="AJ388">
        <f t="shared" si="46"/>
        <v>0</v>
      </c>
      <c r="AK388">
        <f t="shared" si="47"/>
        <v>0</v>
      </c>
      <c r="AL388">
        <f t="shared" si="48"/>
        <v>0</v>
      </c>
    </row>
    <row r="389" spans="1:38" ht="24" customHeight="1">
      <c r="A389" s="49"/>
      <c r="B389" s="38"/>
      <c r="C389" s="1109"/>
      <c r="D389" s="954"/>
      <c r="E389" s="956"/>
      <c r="F389" s="1110" t="s">
        <v>4868</v>
      </c>
      <c r="G389" s="1110"/>
      <c r="H389" s="178"/>
      <c r="I389" s="1111" t="s">
        <v>4869</v>
      </c>
      <c r="J389" s="1111"/>
      <c r="K389" s="1111"/>
      <c r="L389" s="1112"/>
      <c r="M389" s="816"/>
      <c r="N389" s="738"/>
      <c r="O389" s="738"/>
      <c r="P389" s="738"/>
      <c r="Q389" s="738"/>
      <c r="R389" s="817"/>
      <c r="S389" s="816"/>
      <c r="T389" s="738"/>
      <c r="U389" s="738"/>
      <c r="V389" s="738"/>
      <c r="W389" s="738"/>
      <c r="X389" s="817"/>
      <c r="Y389" s="816"/>
      <c r="Z389" s="738"/>
      <c r="AA389" s="738"/>
      <c r="AB389" s="738"/>
      <c r="AC389" s="738"/>
      <c r="AD389" s="817"/>
      <c r="AF389"/>
      <c r="AG389">
        <f t="shared" si="44"/>
        <v>0</v>
      </c>
      <c r="AH389">
        <f t="shared" si="45"/>
        <v>0</v>
      </c>
      <c r="AJ389">
        <f t="shared" si="46"/>
        <v>0</v>
      </c>
      <c r="AK389">
        <f t="shared" si="47"/>
        <v>0</v>
      </c>
      <c r="AL389">
        <f t="shared" si="48"/>
        <v>0</v>
      </c>
    </row>
    <row r="390" spans="1:38" ht="15" customHeight="1">
      <c r="A390" s="49"/>
      <c r="B390" s="38"/>
      <c r="C390" s="1109"/>
      <c r="D390" s="954"/>
      <c r="E390" s="956"/>
      <c r="F390" s="1110" t="s">
        <v>4870</v>
      </c>
      <c r="G390" s="1110"/>
      <c r="H390" s="178"/>
      <c r="I390" s="1111" t="s">
        <v>4871</v>
      </c>
      <c r="J390" s="1111"/>
      <c r="K390" s="1111"/>
      <c r="L390" s="1112"/>
      <c r="M390" s="816"/>
      <c r="N390" s="738"/>
      <c r="O390" s="738"/>
      <c r="P390" s="738"/>
      <c r="Q390" s="738"/>
      <c r="R390" s="817"/>
      <c r="S390" s="816"/>
      <c r="T390" s="738"/>
      <c r="U390" s="738"/>
      <c r="V390" s="738"/>
      <c r="W390" s="738"/>
      <c r="X390" s="817"/>
      <c r="Y390" s="816"/>
      <c r="Z390" s="738"/>
      <c r="AA390" s="738"/>
      <c r="AB390" s="738"/>
      <c r="AC390" s="738"/>
      <c r="AD390" s="817"/>
      <c r="AF390"/>
      <c r="AG390">
        <f t="shared" si="44"/>
        <v>0</v>
      </c>
      <c r="AH390">
        <f t="shared" si="45"/>
        <v>0</v>
      </c>
      <c r="AJ390">
        <f t="shared" si="46"/>
        <v>0</v>
      </c>
      <c r="AK390">
        <f t="shared" si="47"/>
        <v>0</v>
      </c>
      <c r="AL390">
        <f t="shared" si="48"/>
        <v>0</v>
      </c>
    </row>
    <row r="391" spans="1:38" ht="24" customHeight="1">
      <c r="A391" s="49"/>
      <c r="B391" s="38"/>
      <c r="C391" s="1109"/>
      <c r="D391" s="954"/>
      <c r="E391" s="956"/>
      <c r="F391" s="1110" t="s">
        <v>4872</v>
      </c>
      <c r="G391" s="1110"/>
      <c r="H391" s="178"/>
      <c r="I391" s="1111" t="s">
        <v>4873</v>
      </c>
      <c r="J391" s="1111"/>
      <c r="K391" s="1111"/>
      <c r="L391" s="1112"/>
      <c r="M391" s="816"/>
      <c r="N391" s="738"/>
      <c r="O391" s="738"/>
      <c r="P391" s="738"/>
      <c r="Q391" s="738"/>
      <c r="R391" s="817"/>
      <c r="S391" s="816"/>
      <c r="T391" s="738"/>
      <c r="U391" s="738"/>
      <c r="V391" s="738"/>
      <c r="W391" s="738"/>
      <c r="X391" s="817"/>
      <c r="Y391" s="816"/>
      <c r="Z391" s="738"/>
      <c r="AA391" s="738"/>
      <c r="AB391" s="738"/>
      <c r="AC391" s="738"/>
      <c r="AD391" s="817"/>
      <c r="AF391"/>
      <c r="AG391">
        <f t="shared" si="44"/>
        <v>0</v>
      </c>
      <c r="AH391">
        <f t="shared" si="45"/>
        <v>0</v>
      </c>
      <c r="AJ391">
        <f t="shared" si="46"/>
        <v>0</v>
      </c>
      <c r="AK391">
        <f t="shared" si="47"/>
        <v>0</v>
      </c>
      <c r="AL391">
        <f t="shared" si="48"/>
        <v>0</v>
      </c>
    </row>
    <row r="392" spans="1:38" ht="24" customHeight="1">
      <c r="A392" s="49"/>
      <c r="B392" s="38"/>
      <c r="C392" s="1109"/>
      <c r="D392" s="954"/>
      <c r="E392" s="956"/>
      <c r="F392" s="1110" t="s">
        <v>4874</v>
      </c>
      <c r="G392" s="1110"/>
      <c r="H392" s="178"/>
      <c r="I392" s="1111" t="s">
        <v>4875</v>
      </c>
      <c r="J392" s="1111"/>
      <c r="K392" s="1111"/>
      <c r="L392" s="1112"/>
      <c r="M392" s="816"/>
      <c r="N392" s="738"/>
      <c r="O392" s="738"/>
      <c r="P392" s="738"/>
      <c r="Q392" s="738"/>
      <c r="R392" s="817"/>
      <c r="S392" s="816"/>
      <c r="T392" s="738"/>
      <c r="U392" s="738"/>
      <c r="V392" s="738"/>
      <c r="W392" s="738"/>
      <c r="X392" s="817"/>
      <c r="Y392" s="816"/>
      <c r="Z392" s="738"/>
      <c r="AA392" s="738"/>
      <c r="AB392" s="738"/>
      <c r="AC392" s="738"/>
      <c r="AD392" s="817"/>
      <c r="AF392"/>
      <c r="AG392">
        <f t="shared" si="44"/>
        <v>0</v>
      </c>
      <c r="AH392">
        <f t="shared" si="45"/>
        <v>0</v>
      </c>
      <c r="AJ392">
        <f t="shared" si="46"/>
        <v>0</v>
      </c>
      <c r="AK392">
        <f t="shared" si="47"/>
        <v>0</v>
      </c>
      <c r="AL392">
        <f t="shared" si="48"/>
        <v>0</v>
      </c>
    </row>
    <row r="393" spans="1:38" ht="24" customHeight="1">
      <c r="A393" s="49"/>
      <c r="B393" s="38"/>
      <c r="C393" s="1109"/>
      <c r="D393" s="954"/>
      <c r="E393" s="956"/>
      <c r="F393" s="1110" t="s">
        <v>4876</v>
      </c>
      <c r="G393" s="1110"/>
      <c r="H393" s="178"/>
      <c r="I393" s="1111" t="s">
        <v>4877</v>
      </c>
      <c r="J393" s="1111"/>
      <c r="K393" s="1111"/>
      <c r="L393" s="1112"/>
      <c r="M393" s="816"/>
      <c r="N393" s="738"/>
      <c r="O393" s="738"/>
      <c r="P393" s="738"/>
      <c r="Q393" s="738"/>
      <c r="R393" s="817"/>
      <c r="S393" s="816"/>
      <c r="T393" s="738"/>
      <c r="U393" s="738"/>
      <c r="V393" s="738"/>
      <c r="W393" s="738"/>
      <c r="X393" s="817"/>
      <c r="Y393" s="816"/>
      <c r="Z393" s="738"/>
      <c r="AA393" s="738"/>
      <c r="AB393" s="738"/>
      <c r="AC393" s="738"/>
      <c r="AD393" s="817"/>
      <c r="AF393"/>
      <c r="AG393">
        <f t="shared" si="44"/>
        <v>0</v>
      </c>
      <c r="AH393">
        <f t="shared" si="45"/>
        <v>0</v>
      </c>
      <c r="AJ393">
        <f t="shared" si="46"/>
        <v>0</v>
      </c>
      <c r="AK393">
        <f t="shared" si="47"/>
        <v>0</v>
      </c>
      <c r="AL393">
        <f t="shared" si="48"/>
        <v>0</v>
      </c>
    </row>
    <row r="394" spans="1:38" ht="24" customHeight="1">
      <c r="A394" s="49"/>
      <c r="B394" s="38"/>
      <c r="C394" s="1109"/>
      <c r="D394" s="954"/>
      <c r="E394" s="956"/>
      <c r="F394" s="1110" t="s">
        <v>4878</v>
      </c>
      <c r="G394" s="1110"/>
      <c r="H394" s="178"/>
      <c r="I394" s="1111" t="s">
        <v>4879</v>
      </c>
      <c r="J394" s="1111"/>
      <c r="K394" s="1111"/>
      <c r="L394" s="1112"/>
      <c r="M394" s="816"/>
      <c r="N394" s="738"/>
      <c r="O394" s="738"/>
      <c r="P394" s="738"/>
      <c r="Q394" s="738"/>
      <c r="R394" s="817"/>
      <c r="S394" s="816"/>
      <c r="T394" s="738"/>
      <c r="U394" s="738"/>
      <c r="V394" s="738"/>
      <c r="W394" s="738"/>
      <c r="X394" s="817"/>
      <c r="Y394" s="816"/>
      <c r="Z394" s="738"/>
      <c r="AA394" s="738"/>
      <c r="AB394" s="738"/>
      <c r="AC394" s="738"/>
      <c r="AD394" s="817"/>
      <c r="AF394"/>
      <c r="AG394">
        <f t="shared" si="44"/>
        <v>0</v>
      </c>
      <c r="AH394">
        <f t="shared" si="45"/>
        <v>0</v>
      </c>
      <c r="AJ394">
        <f t="shared" si="46"/>
        <v>0</v>
      </c>
      <c r="AK394">
        <f t="shared" si="47"/>
        <v>0</v>
      </c>
      <c r="AL394">
        <f t="shared" si="48"/>
        <v>0</v>
      </c>
    </row>
    <row r="395" spans="1:38" ht="15" customHeight="1">
      <c r="A395" s="49"/>
      <c r="B395" s="38"/>
      <c r="C395" s="1109"/>
      <c r="D395" s="954"/>
      <c r="E395" s="956"/>
      <c r="F395" s="1110" t="s">
        <v>4880</v>
      </c>
      <c r="G395" s="1110"/>
      <c r="H395" s="178"/>
      <c r="I395" s="1111" t="s">
        <v>4881</v>
      </c>
      <c r="J395" s="1111"/>
      <c r="K395" s="1111"/>
      <c r="L395" s="1112"/>
      <c r="M395" s="816"/>
      <c r="N395" s="738"/>
      <c r="O395" s="738"/>
      <c r="P395" s="738"/>
      <c r="Q395" s="738"/>
      <c r="R395" s="817"/>
      <c r="S395" s="816"/>
      <c r="T395" s="738"/>
      <c r="U395" s="738"/>
      <c r="V395" s="738"/>
      <c r="W395" s="738"/>
      <c r="X395" s="817"/>
      <c r="Y395" s="816"/>
      <c r="Z395" s="738"/>
      <c r="AA395" s="738"/>
      <c r="AB395" s="738"/>
      <c r="AC395" s="738"/>
      <c r="AD395" s="817"/>
      <c r="AF395"/>
      <c r="AG395">
        <f t="shared" si="44"/>
        <v>0</v>
      </c>
      <c r="AH395">
        <f t="shared" si="45"/>
        <v>0</v>
      </c>
      <c r="AJ395">
        <f t="shared" si="46"/>
        <v>0</v>
      </c>
      <c r="AK395">
        <f t="shared" si="47"/>
        <v>0</v>
      </c>
      <c r="AL395">
        <f t="shared" si="48"/>
        <v>0</v>
      </c>
    </row>
    <row r="396" spans="1:38" ht="15" customHeight="1">
      <c r="A396" s="49"/>
      <c r="B396" s="38"/>
      <c r="C396" s="1109"/>
      <c r="D396" s="954"/>
      <c r="E396" s="956"/>
      <c r="F396" s="1110" t="s">
        <v>4882</v>
      </c>
      <c r="G396" s="1110"/>
      <c r="H396" s="178"/>
      <c r="I396" s="1111" t="s">
        <v>4883</v>
      </c>
      <c r="J396" s="1111"/>
      <c r="K396" s="1111"/>
      <c r="L396" s="1112"/>
      <c r="M396" s="816"/>
      <c r="N396" s="738"/>
      <c r="O396" s="738"/>
      <c r="P396" s="738"/>
      <c r="Q396" s="738"/>
      <c r="R396" s="817"/>
      <c r="S396" s="816"/>
      <c r="T396" s="738"/>
      <c r="U396" s="738"/>
      <c r="V396" s="738"/>
      <c r="W396" s="738"/>
      <c r="X396" s="817"/>
      <c r="Y396" s="816"/>
      <c r="Z396" s="738"/>
      <c r="AA396" s="738"/>
      <c r="AB396" s="738"/>
      <c r="AC396" s="738"/>
      <c r="AD396" s="817"/>
      <c r="AF396"/>
      <c r="AG396">
        <f t="shared" si="44"/>
        <v>0</v>
      </c>
      <c r="AH396">
        <f t="shared" si="45"/>
        <v>0</v>
      </c>
      <c r="AJ396">
        <f t="shared" si="46"/>
        <v>0</v>
      </c>
      <c r="AK396">
        <f t="shared" si="47"/>
        <v>0</v>
      </c>
      <c r="AL396">
        <f t="shared" si="48"/>
        <v>0</v>
      </c>
    </row>
    <row r="397" spans="1:38" ht="15" customHeight="1">
      <c r="A397" s="49"/>
      <c r="B397" s="38"/>
      <c r="C397" s="1109"/>
      <c r="D397" s="954"/>
      <c r="E397" s="956"/>
      <c r="F397" s="1110" t="s">
        <v>4884</v>
      </c>
      <c r="G397" s="1110"/>
      <c r="H397" s="178"/>
      <c r="I397" s="1111" t="s">
        <v>4885</v>
      </c>
      <c r="J397" s="1111"/>
      <c r="K397" s="1111"/>
      <c r="L397" s="1112"/>
      <c r="M397" s="816"/>
      <c r="N397" s="738"/>
      <c r="O397" s="738"/>
      <c r="P397" s="738"/>
      <c r="Q397" s="738"/>
      <c r="R397" s="817"/>
      <c r="S397" s="816"/>
      <c r="T397" s="738"/>
      <c r="U397" s="738"/>
      <c r="V397" s="738"/>
      <c r="W397" s="738"/>
      <c r="X397" s="817"/>
      <c r="Y397" s="816"/>
      <c r="Z397" s="738"/>
      <c r="AA397" s="738"/>
      <c r="AB397" s="738"/>
      <c r="AC397" s="738"/>
      <c r="AD397" s="817"/>
      <c r="AF397"/>
      <c r="AG397">
        <f t="shared" si="44"/>
        <v>0</v>
      </c>
      <c r="AH397">
        <f t="shared" si="45"/>
        <v>0</v>
      </c>
      <c r="AJ397">
        <f t="shared" si="46"/>
        <v>0</v>
      </c>
      <c r="AK397">
        <f t="shared" si="47"/>
        <v>0</v>
      </c>
      <c r="AL397">
        <f t="shared" si="48"/>
        <v>0</v>
      </c>
    </row>
    <row r="398" spans="1:38" ht="24" customHeight="1">
      <c r="A398" s="49"/>
      <c r="B398" s="38"/>
      <c r="C398" s="1109"/>
      <c r="D398" s="954"/>
      <c r="E398" s="956"/>
      <c r="F398" s="1110" t="s">
        <v>4886</v>
      </c>
      <c r="G398" s="1110"/>
      <c r="H398" s="178"/>
      <c r="I398" s="1111" t="s">
        <v>4887</v>
      </c>
      <c r="J398" s="1111"/>
      <c r="K398" s="1111"/>
      <c r="L398" s="1112"/>
      <c r="M398" s="816"/>
      <c r="N398" s="738"/>
      <c r="O398" s="738"/>
      <c r="P398" s="738"/>
      <c r="Q398" s="738"/>
      <c r="R398" s="817"/>
      <c r="S398" s="816"/>
      <c r="T398" s="738"/>
      <c r="U398" s="738"/>
      <c r="V398" s="738"/>
      <c r="W398" s="738"/>
      <c r="X398" s="817"/>
      <c r="Y398" s="816"/>
      <c r="Z398" s="738"/>
      <c r="AA398" s="738"/>
      <c r="AB398" s="738"/>
      <c r="AC398" s="738"/>
      <c r="AD398" s="817"/>
      <c r="AF398"/>
      <c r="AG398">
        <f t="shared" si="44"/>
        <v>0</v>
      </c>
      <c r="AH398">
        <f t="shared" si="45"/>
        <v>0</v>
      </c>
      <c r="AJ398">
        <f t="shared" si="46"/>
        <v>0</v>
      </c>
      <c r="AK398">
        <f t="shared" si="47"/>
        <v>0</v>
      </c>
      <c r="AL398">
        <f t="shared" si="48"/>
        <v>0</v>
      </c>
    </row>
    <row r="399" spans="1:38" ht="15" customHeight="1">
      <c r="A399" s="49"/>
      <c r="B399" s="38"/>
      <c r="C399" s="1109"/>
      <c r="D399" s="954"/>
      <c r="E399" s="956"/>
      <c r="F399" s="1110" t="s">
        <v>4888</v>
      </c>
      <c r="G399" s="1110"/>
      <c r="H399" s="178"/>
      <c r="I399" s="1111" t="s">
        <v>4889</v>
      </c>
      <c r="J399" s="1111"/>
      <c r="K399" s="1111"/>
      <c r="L399" s="1112"/>
      <c r="M399" s="816"/>
      <c r="N399" s="738"/>
      <c r="O399" s="738"/>
      <c r="P399" s="738"/>
      <c r="Q399" s="738"/>
      <c r="R399" s="817"/>
      <c r="S399" s="816"/>
      <c r="T399" s="738"/>
      <c r="U399" s="738"/>
      <c r="V399" s="738"/>
      <c r="W399" s="738"/>
      <c r="X399" s="817"/>
      <c r="Y399" s="816"/>
      <c r="Z399" s="738"/>
      <c r="AA399" s="738"/>
      <c r="AB399" s="738"/>
      <c r="AC399" s="738"/>
      <c r="AD399" s="817"/>
      <c r="AF399"/>
      <c r="AG399">
        <f t="shared" si="44"/>
        <v>0</v>
      </c>
      <c r="AH399">
        <f t="shared" si="45"/>
        <v>0</v>
      </c>
      <c r="AJ399">
        <f t="shared" si="46"/>
        <v>0</v>
      </c>
      <c r="AK399">
        <f t="shared" si="47"/>
        <v>0</v>
      </c>
      <c r="AL399">
        <f t="shared" si="48"/>
        <v>0</v>
      </c>
    </row>
    <row r="400" spans="1:38" ht="15" customHeight="1">
      <c r="A400" s="49"/>
      <c r="B400" s="38"/>
      <c r="C400" s="1109"/>
      <c r="D400" s="954"/>
      <c r="E400" s="956"/>
      <c r="F400" s="1110" t="s">
        <v>4890</v>
      </c>
      <c r="G400" s="1110"/>
      <c r="H400" s="179"/>
      <c r="I400" s="1113" t="s">
        <v>201</v>
      </c>
      <c r="J400" s="1113"/>
      <c r="K400" s="1113"/>
      <c r="L400" s="1114"/>
      <c r="M400" s="816"/>
      <c r="N400" s="738"/>
      <c r="O400" s="738"/>
      <c r="P400" s="738"/>
      <c r="Q400" s="738"/>
      <c r="R400" s="817"/>
      <c r="S400" s="816"/>
      <c r="T400" s="738"/>
      <c r="U400" s="738"/>
      <c r="V400" s="738"/>
      <c r="W400" s="738"/>
      <c r="X400" s="817"/>
      <c r="Y400" s="816"/>
      <c r="Z400" s="738"/>
      <c r="AA400" s="738"/>
      <c r="AB400" s="738"/>
      <c r="AC400" s="738"/>
      <c r="AD400" s="817"/>
      <c r="AF400"/>
      <c r="AG400">
        <f t="shared" si="44"/>
        <v>0</v>
      </c>
      <c r="AH400">
        <f t="shared" si="45"/>
        <v>0</v>
      </c>
      <c r="AJ400">
        <f t="shared" si="46"/>
        <v>0</v>
      </c>
      <c r="AK400">
        <f t="shared" si="47"/>
        <v>0</v>
      </c>
      <c r="AL400">
        <f t="shared" si="48"/>
        <v>0</v>
      </c>
    </row>
    <row r="401" spans="1:39" ht="36" customHeight="1">
      <c r="A401" s="49"/>
      <c r="B401" s="38"/>
      <c r="C401" s="1109"/>
      <c r="D401" s="954"/>
      <c r="E401" s="956"/>
      <c r="F401" s="1103" t="s">
        <v>4891</v>
      </c>
      <c r="G401" s="1103"/>
      <c r="H401" s="1104" t="s">
        <v>4892</v>
      </c>
      <c r="I401" s="1105"/>
      <c r="J401" s="1105"/>
      <c r="K401" s="1105"/>
      <c r="L401" s="1106"/>
      <c r="M401" s="816"/>
      <c r="N401" s="738"/>
      <c r="O401" s="738"/>
      <c r="P401" s="738"/>
      <c r="Q401" s="738"/>
      <c r="R401" s="817"/>
      <c r="S401" s="816"/>
      <c r="T401" s="738"/>
      <c r="U401" s="738"/>
      <c r="V401" s="738"/>
      <c r="W401" s="738"/>
      <c r="X401" s="817"/>
      <c r="Y401" s="816"/>
      <c r="Z401" s="738"/>
      <c r="AA401" s="738"/>
      <c r="AB401" s="738"/>
      <c r="AC401" s="738"/>
      <c r="AD401" s="817"/>
      <c r="AF401">
        <f>IF(M401="NA",IF(AND(COUNTIF(M402:M406,"="&amp;$AF$361)=0,COUNTIF(M402:M406,"&lt;&gt;NA")&gt;0),1,0),IF(AND(COUNTIF(M402:M406,"="&amp;$AF$361)=0,COUNTIF(M402:M406,"NA")=COUNTIF(M402:M406,"&lt;&gt;"&amp;$AF$361)),1,0))</f>
        <v>0</v>
      </c>
      <c r="AG401">
        <f t="shared" si="44"/>
        <v>0</v>
      </c>
      <c r="AH401">
        <f t="shared" si="45"/>
        <v>0</v>
      </c>
      <c r="AJ401">
        <f t="shared" si="46"/>
        <v>0</v>
      </c>
      <c r="AK401">
        <f t="shared" si="47"/>
        <v>0</v>
      </c>
      <c r="AL401">
        <f t="shared" si="48"/>
        <v>0</v>
      </c>
    </row>
    <row r="402" spans="1:39" ht="36" customHeight="1">
      <c r="A402" s="49"/>
      <c r="B402" s="38"/>
      <c r="C402" s="1109"/>
      <c r="D402" s="954"/>
      <c r="E402" s="956"/>
      <c r="F402" s="1110" t="s">
        <v>4893</v>
      </c>
      <c r="G402" s="1110"/>
      <c r="H402" s="177"/>
      <c r="I402" s="1115" t="s">
        <v>4894</v>
      </c>
      <c r="J402" s="1115"/>
      <c r="K402" s="1115"/>
      <c r="L402" s="1116"/>
      <c r="M402" s="816"/>
      <c r="N402" s="738"/>
      <c r="O402" s="738"/>
      <c r="P402" s="738"/>
      <c r="Q402" s="738"/>
      <c r="R402" s="817"/>
      <c r="S402" s="816"/>
      <c r="T402" s="738"/>
      <c r="U402" s="738"/>
      <c r="V402" s="738"/>
      <c r="W402" s="738"/>
      <c r="X402" s="817"/>
      <c r="Y402" s="816"/>
      <c r="Z402" s="738"/>
      <c r="AA402" s="738"/>
      <c r="AB402" s="738"/>
      <c r="AC402" s="738"/>
      <c r="AD402" s="817"/>
      <c r="AF402"/>
      <c r="AG402">
        <f t="shared" si="44"/>
        <v>0</v>
      </c>
      <c r="AH402">
        <f t="shared" si="45"/>
        <v>0</v>
      </c>
      <c r="AJ402">
        <f t="shared" si="46"/>
        <v>0</v>
      </c>
      <c r="AK402">
        <f t="shared" si="47"/>
        <v>0</v>
      </c>
      <c r="AL402">
        <f t="shared" si="48"/>
        <v>0</v>
      </c>
    </row>
    <row r="403" spans="1:39" ht="36" customHeight="1">
      <c r="A403" s="49"/>
      <c r="B403" s="38"/>
      <c r="C403" s="1109"/>
      <c r="D403" s="954"/>
      <c r="E403" s="956"/>
      <c r="F403" s="1110" t="s">
        <v>4895</v>
      </c>
      <c r="G403" s="1110"/>
      <c r="H403" s="178"/>
      <c r="I403" s="1111" t="s">
        <v>4896</v>
      </c>
      <c r="J403" s="1111"/>
      <c r="K403" s="1111"/>
      <c r="L403" s="1112"/>
      <c r="M403" s="816"/>
      <c r="N403" s="738"/>
      <c r="O403" s="738"/>
      <c r="P403" s="738"/>
      <c r="Q403" s="738"/>
      <c r="R403" s="817"/>
      <c r="S403" s="816"/>
      <c r="T403" s="738"/>
      <c r="U403" s="738"/>
      <c r="V403" s="738"/>
      <c r="W403" s="738"/>
      <c r="X403" s="817"/>
      <c r="Y403" s="816"/>
      <c r="Z403" s="738"/>
      <c r="AA403" s="738"/>
      <c r="AB403" s="738"/>
      <c r="AC403" s="738"/>
      <c r="AD403" s="817"/>
      <c r="AF403"/>
      <c r="AG403">
        <f t="shared" si="44"/>
        <v>0</v>
      </c>
      <c r="AH403">
        <f t="shared" si="45"/>
        <v>0</v>
      </c>
      <c r="AJ403">
        <f t="shared" si="46"/>
        <v>0</v>
      </c>
      <c r="AK403">
        <f t="shared" si="47"/>
        <v>0</v>
      </c>
      <c r="AL403">
        <f t="shared" si="48"/>
        <v>0</v>
      </c>
    </row>
    <row r="404" spans="1:39" ht="36" customHeight="1">
      <c r="A404" s="49"/>
      <c r="B404" s="38"/>
      <c r="C404" s="1109"/>
      <c r="D404" s="954"/>
      <c r="E404" s="956"/>
      <c r="F404" s="1110" t="s">
        <v>4897</v>
      </c>
      <c r="G404" s="1110"/>
      <c r="H404" s="178"/>
      <c r="I404" s="1111" t="s">
        <v>4898</v>
      </c>
      <c r="J404" s="1111"/>
      <c r="K404" s="1111"/>
      <c r="L404" s="1112"/>
      <c r="M404" s="816"/>
      <c r="N404" s="738"/>
      <c r="O404" s="738"/>
      <c r="P404" s="738"/>
      <c r="Q404" s="738"/>
      <c r="R404" s="817"/>
      <c r="S404" s="816"/>
      <c r="T404" s="738"/>
      <c r="U404" s="738"/>
      <c r="V404" s="738"/>
      <c r="W404" s="738"/>
      <c r="X404" s="817"/>
      <c r="Y404" s="816"/>
      <c r="Z404" s="738"/>
      <c r="AA404" s="738"/>
      <c r="AB404" s="738"/>
      <c r="AC404" s="738"/>
      <c r="AD404" s="817"/>
      <c r="AF404"/>
      <c r="AG404">
        <f t="shared" si="44"/>
        <v>0</v>
      </c>
      <c r="AH404">
        <f t="shared" si="45"/>
        <v>0</v>
      </c>
      <c r="AJ404">
        <f t="shared" si="46"/>
        <v>0</v>
      </c>
      <c r="AK404">
        <f t="shared" si="47"/>
        <v>0</v>
      </c>
      <c r="AL404">
        <f t="shared" si="48"/>
        <v>0</v>
      </c>
    </row>
    <row r="405" spans="1:39" ht="48" customHeight="1">
      <c r="A405" s="49"/>
      <c r="B405" s="38"/>
      <c r="C405" s="1109"/>
      <c r="D405" s="954"/>
      <c r="E405" s="956"/>
      <c r="F405" s="1110" t="s">
        <v>4899</v>
      </c>
      <c r="G405" s="1110"/>
      <c r="H405" s="178"/>
      <c r="I405" s="1111" t="s">
        <v>4900</v>
      </c>
      <c r="J405" s="1111"/>
      <c r="K405" s="1111"/>
      <c r="L405" s="1112"/>
      <c r="M405" s="816"/>
      <c r="N405" s="738"/>
      <c r="O405" s="738"/>
      <c r="P405" s="738"/>
      <c r="Q405" s="738"/>
      <c r="R405" s="817"/>
      <c r="S405" s="816"/>
      <c r="T405" s="738"/>
      <c r="U405" s="738"/>
      <c r="V405" s="738"/>
      <c r="W405" s="738"/>
      <c r="X405" s="817"/>
      <c r="Y405" s="816"/>
      <c r="Z405" s="738"/>
      <c r="AA405" s="738"/>
      <c r="AB405" s="738"/>
      <c r="AC405" s="738"/>
      <c r="AD405" s="817"/>
      <c r="AF405"/>
      <c r="AG405">
        <f t="shared" si="44"/>
        <v>0</v>
      </c>
      <c r="AH405">
        <f t="shared" si="45"/>
        <v>0</v>
      </c>
      <c r="AJ405">
        <f t="shared" si="46"/>
        <v>0</v>
      </c>
      <c r="AK405">
        <f t="shared" si="47"/>
        <v>0</v>
      </c>
      <c r="AL405">
        <f t="shared" si="48"/>
        <v>0</v>
      </c>
    </row>
    <row r="406" spans="1:39" ht="15" customHeight="1">
      <c r="A406" s="49"/>
      <c r="B406" s="38"/>
      <c r="C406" s="1109"/>
      <c r="D406" s="954"/>
      <c r="E406" s="956"/>
      <c r="F406" s="1110" t="s">
        <v>4901</v>
      </c>
      <c r="G406" s="1110"/>
      <c r="H406" s="178"/>
      <c r="I406" s="1113" t="s">
        <v>201</v>
      </c>
      <c r="J406" s="1113"/>
      <c r="K406" s="1113"/>
      <c r="L406" s="1114"/>
      <c r="M406" s="816"/>
      <c r="N406" s="738"/>
      <c r="O406" s="738"/>
      <c r="P406" s="738"/>
      <c r="Q406" s="738"/>
      <c r="R406" s="817"/>
      <c r="S406" s="816"/>
      <c r="T406" s="738"/>
      <c r="U406" s="738"/>
      <c r="V406" s="738"/>
      <c r="W406" s="738"/>
      <c r="X406" s="817"/>
      <c r="Y406" s="816"/>
      <c r="Z406" s="738"/>
      <c r="AA406" s="738"/>
      <c r="AB406" s="738"/>
      <c r="AC406" s="738"/>
      <c r="AD406" s="817"/>
      <c r="AF406"/>
      <c r="AG406">
        <f t="shared" si="44"/>
        <v>0</v>
      </c>
      <c r="AH406">
        <f t="shared" si="45"/>
        <v>0</v>
      </c>
      <c r="AJ406">
        <f t="shared" si="46"/>
        <v>0</v>
      </c>
      <c r="AK406">
        <f t="shared" si="47"/>
        <v>0</v>
      </c>
      <c r="AL406">
        <f t="shared" si="48"/>
        <v>0</v>
      </c>
    </row>
    <row r="407" spans="1:39" ht="15" customHeight="1">
      <c r="A407" s="49"/>
      <c r="B407" s="38"/>
      <c r="C407" s="1109"/>
      <c r="D407" s="954"/>
      <c r="E407" s="956"/>
      <c r="F407" s="1103" t="s">
        <v>4902</v>
      </c>
      <c r="G407" s="1103"/>
      <c r="H407" s="1104" t="s">
        <v>4903</v>
      </c>
      <c r="I407" s="1105"/>
      <c r="J407" s="1105"/>
      <c r="K407" s="1105"/>
      <c r="L407" s="1106"/>
      <c r="M407" s="816"/>
      <c r="N407" s="738"/>
      <c r="O407" s="738"/>
      <c r="P407" s="738"/>
      <c r="Q407" s="738"/>
      <c r="R407" s="817"/>
      <c r="S407" s="816"/>
      <c r="T407" s="738"/>
      <c r="U407" s="738"/>
      <c r="V407" s="738"/>
      <c r="W407" s="738"/>
      <c r="X407" s="817"/>
      <c r="Y407" s="816"/>
      <c r="Z407" s="738"/>
      <c r="AA407" s="738"/>
      <c r="AB407" s="738"/>
      <c r="AC407" s="738"/>
      <c r="AD407" s="817"/>
      <c r="AF407"/>
      <c r="AG407">
        <f t="shared" si="44"/>
        <v>0</v>
      </c>
      <c r="AH407">
        <f t="shared" si="45"/>
        <v>0</v>
      </c>
      <c r="AJ407">
        <f t="shared" si="46"/>
        <v>0</v>
      </c>
      <c r="AK407">
        <f t="shared" si="47"/>
        <v>0</v>
      </c>
      <c r="AL407">
        <f t="shared" si="48"/>
        <v>0</v>
      </c>
    </row>
    <row r="408" spans="1:39" ht="15" customHeight="1">
      <c r="A408" s="49"/>
      <c r="B408" s="38"/>
      <c r="C408" s="1109"/>
      <c r="D408" s="954"/>
      <c r="E408" s="956"/>
      <c r="F408" s="1103" t="s">
        <v>4904</v>
      </c>
      <c r="G408" s="1103"/>
      <c r="H408" s="1104" t="s">
        <v>4905</v>
      </c>
      <c r="I408" s="1105"/>
      <c r="J408" s="1105"/>
      <c r="K408" s="1105"/>
      <c r="L408" s="1106"/>
      <c r="M408" s="816"/>
      <c r="N408" s="738"/>
      <c r="O408" s="738"/>
      <c r="P408" s="738"/>
      <c r="Q408" s="738"/>
      <c r="R408" s="817"/>
      <c r="S408" s="816"/>
      <c r="T408" s="738"/>
      <c r="U408" s="738"/>
      <c r="V408" s="738"/>
      <c r="W408" s="738"/>
      <c r="X408" s="817"/>
      <c r="Y408" s="816"/>
      <c r="Z408" s="738"/>
      <c r="AA408" s="738"/>
      <c r="AB408" s="738"/>
      <c r="AC408" s="738"/>
      <c r="AD408" s="817"/>
      <c r="AF408"/>
      <c r="AG408">
        <f t="shared" si="44"/>
        <v>0</v>
      </c>
      <c r="AH408">
        <f t="shared" si="45"/>
        <v>0</v>
      </c>
      <c r="AJ408">
        <f t="shared" si="46"/>
        <v>0</v>
      </c>
      <c r="AK408">
        <f t="shared" si="47"/>
        <v>0</v>
      </c>
      <c r="AL408">
        <f t="shared" si="48"/>
        <v>0</v>
      </c>
    </row>
    <row r="409" spans="1:39" ht="15" customHeight="1">
      <c r="A409" s="49"/>
      <c r="B409" s="38"/>
      <c r="C409" s="1109"/>
      <c r="D409" s="954"/>
      <c r="E409" s="956"/>
      <c r="F409" s="1103" t="s">
        <v>4906</v>
      </c>
      <c r="G409" s="1103"/>
      <c r="H409" s="1104" t="s">
        <v>4907</v>
      </c>
      <c r="I409" s="1105"/>
      <c r="J409" s="1105"/>
      <c r="K409" s="1105"/>
      <c r="L409" s="1106"/>
      <c r="M409" s="816"/>
      <c r="N409" s="738"/>
      <c r="O409" s="738"/>
      <c r="P409" s="738"/>
      <c r="Q409" s="738"/>
      <c r="R409" s="817"/>
      <c r="S409" s="816"/>
      <c r="T409" s="738"/>
      <c r="U409" s="738"/>
      <c r="V409" s="738"/>
      <c r="W409" s="738"/>
      <c r="X409" s="817"/>
      <c r="Y409" s="816"/>
      <c r="Z409" s="738"/>
      <c r="AA409" s="738"/>
      <c r="AB409" s="738"/>
      <c r="AC409" s="738"/>
      <c r="AD409" s="817"/>
      <c r="AF409">
        <f>IF(M409="NA",IF(AND(COUNTIF(M410:M412,"="&amp;$AF$361)=0,COUNTIF(M410:M412,"&lt;&gt;NA")&gt;0),1,0),IF(AND(COUNTIF(M410:M412,"="&amp;$AF$361)=0,COUNTIF(M410:M412,"NA")=COUNTIF(M410:M412,"&lt;&gt;"&amp;$AF$361)),1,0))</f>
        <v>0</v>
      </c>
      <c r="AG409">
        <f t="shared" si="44"/>
        <v>0</v>
      </c>
      <c r="AH409">
        <f t="shared" si="45"/>
        <v>0</v>
      </c>
      <c r="AJ409">
        <f t="shared" si="46"/>
        <v>0</v>
      </c>
      <c r="AK409">
        <f t="shared" si="47"/>
        <v>0</v>
      </c>
      <c r="AL409">
        <f t="shared" si="48"/>
        <v>0</v>
      </c>
    </row>
    <row r="410" spans="1:39" ht="60" customHeight="1">
      <c r="A410" s="49"/>
      <c r="B410" s="38"/>
      <c r="C410" s="1109"/>
      <c r="D410" s="954"/>
      <c r="E410" s="956"/>
      <c r="F410" s="1110" t="s">
        <v>4908</v>
      </c>
      <c r="G410" s="1110"/>
      <c r="H410" s="178"/>
      <c r="I410" s="1111" t="s">
        <v>4909</v>
      </c>
      <c r="J410" s="1111"/>
      <c r="K410" s="1111"/>
      <c r="L410" s="1112"/>
      <c r="M410" s="816"/>
      <c r="N410" s="738"/>
      <c r="O410" s="738"/>
      <c r="P410" s="738"/>
      <c r="Q410" s="738"/>
      <c r="R410" s="817"/>
      <c r="S410" s="816"/>
      <c r="T410" s="738"/>
      <c r="U410" s="738"/>
      <c r="V410" s="738"/>
      <c r="W410" s="738"/>
      <c r="X410" s="817"/>
      <c r="Y410" s="816"/>
      <c r="Z410" s="738"/>
      <c r="AA410" s="738"/>
      <c r="AB410" s="738"/>
      <c r="AC410" s="738"/>
      <c r="AD410" s="817"/>
      <c r="AF410"/>
      <c r="AG410">
        <f t="shared" si="44"/>
        <v>0</v>
      </c>
      <c r="AH410">
        <f t="shared" si="45"/>
        <v>0</v>
      </c>
      <c r="AJ410">
        <f t="shared" si="46"/>
        <v>0</v>
      </c>
      <c r="AK410">
        <f t="shared" si="47"/>
        <v>0</v>
      </c>
      <c r="AL410">
        <f t="shared" si="48"/>
        <v>0</v>
      </c>
    </row>
    <row r="411" spans="1:39" ht="24" customHeight="1">
      <c r="A411" s="49"/>
      <c r="B411" s="38"/>
      <c r="C411" s="1109"/>
      <c r="D411" s="954"/>
      <c r="E411" s="956"/>
      <c r="F411" s="1110" t="s">
        <v>4910</v>
      </c>
      <c r="G411" s="1110"/>
      <c r="H411" s="178"/>
      <c r="I411" s="1111" t="s">
        <v>4911</v>
      </c>
      <c r="J411" s="1111"/>
      <c r="K411" s="1111"/>
      <c r="L411" s="1112"/>
      <c r="M411" s="816"/>
      <c r="N411" s="738"/>
      <c r="O411" s="738"/>
      <c r="P411" s="738"/>
      <c r="Q411" s="738"/>
      <c r="R411" s="817"/>
      <c r="S411" s="816"/>
      <c r="T411" s="738"/>
      <c r="U411" s="738"/>
      <c r="V411" s="738"/>
      <c r="W411" s="738"/>
      <c r="X411" s="817"/>
      <c r="Y411" s="816"/>
      <c r="Z411" s="738"/>
      <c r="AA411" s="738"/>
      <c r="AB411" s="738"/>
      <c r="AC411" s="738"/>
      <c r="AD411" s="817"/>
      <c r="AF411"/>
      <c r="AG411">
        <f t="shared" si="44"/>
        <v>0</v>
      </c>
      <c r="AH411">
        <f t="shared" si="45"/>
        <v>0</v>
      </c>
      <c r="AJ411">
        <f t="shared" si="46"/>
        <v>0</v>
      </c>
      <c r="AK411">
        <f t="shared" si="47"/>
        <v>0</v>
      </c>
      <c r="AL411">
        <f t="shared" si="48"/>
        <v>0</v>
      </c>
    </row>
    <row r="412" spans="1:39" ht="15" customHeight="1">
      <c r="A412" s="49"/>
      <c r="B412" s="38"/>
      <c r="C412" s="1109"/>
      <c r="D412" s="954"/>
      <c r="E412" s="956"/>
      <c r="F412" s="1110" t="s">
        <v>4912</v>
      </c>
      <c r="G412" s="1110"/>
      <c r="H412" s="178"/>
      <c r="I412" s="1113" t="s">
        <v>201</v>
      </c>
      <c r="J412" s="1113"/>
      <c r="K412" s="1113"/>
      <c r="L412" s="1114"/>
      <c r="M412" s="816"/>
      <c r="N412" s="738"/>
      <c r="O412" s="738"/>
      <c r="P412" s="738"/>
      <c r="Q412" s="738"/>
      <c r="R412" s="817"/>
      <c r="S412" s="816"/>
      <c r="T412" s="738"/>
      <c r="U412" s="738"/>
      <c r="V412" s="738"/>
      <c r="W412" s="738"/>
      <c r="X412" s="817"/>
      <c r="Y412" s="816"/>
      <c r="Z412" s="738"/>
      <c r="AA412" s="738"/>
      <c r="AB412" s="738"/>
      <c r="AC412" s="738"/>
      <c r="AD412" s="817"/>
      <c r="AF412"/>
      <c r="AG412">
        <f t="shared" si="44"/>
        <v>0</v>
      </c>
      <c r="AH412">
        <f t="shared" si="45"/>
        <v>0</v>
      </c>
      <c r="AJ412">
        <f t="shared" si="46"/>
        <v>0</v>
      </c>
      <c r="AK412">
        <f t="shared" si="47"/>
        <v>0</v>
      </c>
      <c r="AL412">
        <f t="shared" si="48"/>
        <v>0</v>
      </c>
    </row>
    <row r="413" spans="1:39" ht="15" customHeight="1">
      <c r="A413" s="49"/>
      <c r="B413" s="38"/>
      <c r="C413" s="1109"/>
      <c r="D413" s="954"/>
      <c r="E413" s="956"/>
      <c r="F413" s="1103" t="s">
        <v>4913</v>
      </c>
      <c r="G413" s="1103"/>
      <c r="H413" s="1104" t="s">
        <v>4914</v>
      </c>
      <c r="I413" s="1105"/>
      <c r="J413" s="1105"/>
      <c r="K413" s="1105"/>
      <c r="L413" s="1106"/>
      <c r="M413" s="816"/>
      <c r="N413" s="738"/>
      <c r="O413" s="738"/>
      <c r="P413" s="738"/>
      <c r="Q413" s="738"/>
      <c r="R413" s="817"/>
      <c r="S413" s="816"/>
      <c r="T413" s="738"/>
      <c r="U413" s="738"/>
      <c r="V413" s="738"/>
      <c r="W413" s="738"/>
      <c r="X413" s="817"/>
      <c r="Y413" s="816"/>
      <c r="Z413" s="738"/>
      <c r="AA413" s="738"/>
      <c r="AB413" s="738"/>
      <c r="AC413" s="738"/>
      <c r="AD413" s="817"/>
      <c r="AF413"/>
      <c r="AG413">
        <f t="shared" si="44"/>
        <v>0</v>
      </c>
      <c r="AH413">
        <f t="shared" si="45"/>
        <v>0</v>
      </c>
      <c r="AJ413">
        <f t="shared" si="46"/>
        <v>0</v>
      </c>
      <c r="AK413">
        <f t="shared" si="47"/>
        <v>0</v>
      </c>
      <c r="AL413">
        <f t="shared" si="48"/>
        <v>0</v>
      </c>
    </row>
    <row r="414" spans="1:39" ht="15" customHeight="1">
      <c r="A414" s="49"/>
      <c r="B414" s="38"/>
      <c r="C414" s="1109"/>
      <c r="D414" s="954"/>
      <c r="E414" s="956"/>
      <c r="F414" s="1103" t="s">
        <v>4915</v>
      </c>
      <c r="G414" s="1103"/>
      <c r="H414" s="1104" t="s">
        <v>4916</v>
      </c>
      <c r="I414" s="1105"/>
      <c r="J414" s="1105"/>
      <c r="K414" s="1105"/>
      <c r="L414" s="1106"/>
      <c r="M414" s="816"/>
      <c r="N414" s="738"/>
      <c r="O414" s="738"/>
      <c r="P414" s="738"/>
      <c r="Q414" s="738"/>
      <c r="R414" s="817"/>
      <c r="S414" s="816"/>
      <c r="T414" s="738"/>
      <c r="U414" s="738"/>
      <c r="V414" s="738"/>
      <c r="W414" s="738"/>
      <c r="X414" s="817"/>
      <c r="Y414" s="816"/>
      <c r="Z414" s="738"/>
      <c r="AA414" s="738"/>
      <c r="AB414" s="738"/>
      <c r="AC414" s="738"/>
      <c r="AD414" s="817"/>
      <c r="AF414"/>
      <c r="AG414">
        <f t="shared" si="44"/>
        <v>0</v>
      </c>
      <c r="AH414">
        <f t="shared" si="45"/>
        <v>0</v>
      </c>
      <c r="AJ414">
        <f t="shared" si="46"/>
        <v>0</v>
      </c>
      <c r="AK414">
        <f t="shared" si="47"/>
        <v>0</v>
      </c>
      <c r="AL414">
        <f t="shared" si="48"/>
        <v>0</v>
      </c>
    </row>
    <row r="415" spans="1:39" ht="24" customHeight="1">
      <c r="A415" s="49"/>
      <c r="B415" s="38"/>
      <c r="C415" s="1109"/>
      <c r="D415" s="954"/>
      <c r="E415" s="956"/>
      <c r="F415" s="1103" t="s">
        <v>4917</v>
      </c>
      <c r="G415" s="1103"/>
      <c r="H415" s="1104" t="s">
        <v>4918</v>
      </c>
      <c r="I415" s="1105"/>
      <c r="J415" s="1105"/>
      <c r="K415" s="1105"/>
      <c r="L415" s="1106"/>
      <c r="M415" s="816"/>
      <c r="N415" s="738"/>
      <c r="O415" s="738"/>
      <c r="P415" s="738"/>
      <c r="Q415" s="738"/>
      <c r="R415" s="817"/>
      <c r="S415" s="816"/>
      <c r="T415" s="738"/>
      <c r="U415" s="738"/>
      <c r="V415" s="738"/>
      <c r="W415" s="738"/>
      <c r="X415" s="817"/>
      <c r="Y415" s="816"/>
      <c r="Z415" s="738"/>
      <c r="AA415" s="738"/>
      <c r="AB415" s="738"/>
      <c r="AC415" s="738"/>
      <c r="AD415" s="817"/>
      <c r="AF415"/>
      <c r="AG415">
        <f t="shared" si="44"/>
        <v>0</v>
      </c>
      <c r="AH415">
        <f t="shared" si="45"/>
        <v>0</v>
      </c>
      <c r="AJ415">
        <f t="shared" si="46"/>
        <v>0</v>
      </c>
      <c r="AK415">
        <f t="shared" si="47"/>
        <v>0</v>
      </c>
      <c r="AL415">
        <f t="shared" si="48"/>
        <v>0</v>
      </c>
      <c r="AM415">
        <f>IF(OR(M415="NS",M415="NA",$M$334=0,$M$334="NS",$M$334="NA"),0,IF((M415*(IFERROR(100/SUM(M382:M415),0)))&gt;25,1,0))</f>
        <v>0</v>
      </c>
    </row>
    <row r="416" spans="1:39" ht="15" customHeight="1">
      <c r="A416" s="49"/>
      <c r="B416" s="38"/>
      <c r="C416" s="1108" t="s">
        <v>4919</v>
      </c>
      <c r="D416" s="847" t="s">
        <v>4920</v>
      </c>
      <c r="E416" s="848"/>
      <c r="F416" s="1103" t="s">
        <v>4921</v>
      </c>
      <c r="G416" s="1103"/>
      <c r="H416" s="1104" t="s">
        <v>4922</v>
      </c>
      <c r="I416" s="1105"/>
      <c r="J416" s="1105"/>
      <c r="K416" s="1105"/>
      <c r="L416" s="1106"/>
      <c r="M416" s="816"/>
      <c r="N416" s="738"/>
      <c r="O416" s="738"/>
      <c r="P416" s="738"/>
      <c r="Q416" s="738"/>
      <c r="R416" s="817"/>
      <c r="S416" s="816"/>
      <c r="T416" s="738"/>
      <c r="U416" s="738"/>
      <c r="V416" s="738"/>
      <c r="W416" s="738"/>
      <c r="X416" s="817"/>
      <c r="Y416" s="816"/>
      <c r="Z416" s="738"/>
      <c r="AA416" s="738"/>
      <c r="AB416" s="738"/>
      <c r="AC416" s="738"/>
      <c r="AD416" s="817"/>
      <c r="AF416"/>
      <c r="AG416">
        <f t="shared" si="44"/>
        <v>0</v>
      </c>
      <c r="AH416">
        <f t="shared" si="45"/>
        <v>0</v>
      </c>
      <c r="AJ416">
        <f t="shared" si="46"/>
        <v>0</v>
      </c>
      <c r="AK416">
        <f t="shared" si="47"/>
        <v>0</v>
      </c>
      <c r="AL416">
        <f t="shared" si="48"/>
        <v>0</v>
      </c>
    </row>
    <row r="417" spans="1:39" ht="24" customHeight="1">
      <c r="A417" s="49"/>
      <c r="B417" s="38"/>
      <c r="C417" s="1109"/>
      <c r="D417" s="954"/>
      <c r="E417" s="956"/>
      <c r="F417" s="1103" t="s">
        <v>4923</v>
      </c>
      <c r="G417" s="1103"/>
      <c r="H417" s="1104" t="s">
        <v>4924</v>
      </c>
      <c r="I417" s="1105"/>
      <c r="J417" s="1105"/>
      <c r="K417" s="1105"/>
      <c r="L417" s="1106"/>
      <c r="M417" s="816"/>
      <c r="N417" s="738"/>
      <c r="O417" s="738"/>
      <c r="P417" s="738"/>
      <c r="Q417" s="738"/>
      <c r="R417" s="817"/>
      <c r="S417" s="816"/>
      <c r="T417" s="738"/>
      <c r="U417" s="738"/>
      <c r="V417" s="738"/>
      <c r="W417" s="738"/>
      <c r="X417" s="817"/>
      <c r="Y417" s="816"/>
      <c r="Z417" s="738"/>
      <c r="AA417" s="738"/>
      <c r="AB417" s="738"/>
      <c r="AC417" s="738"/>
      <c r="AD417" s="817"/>
      <c r="AF417"/>
      <c r="AG417">
        <f t="shared" ref="AG417:AG480" si="49">IF(OR($M$334=0,$M$334="NS",$M$334="NA",M417="NA"),0,IF(COUNTBLANK(M417:AD417)=15,0,1))</f>
        <v>0</v>
      </c>
      <c r="AH417">
        <f t="shared" ref="AH417:AH480" si="50">IF(M417="NA",IF(COUNTBLANK(S417:AD417)=12,0,1),0)</f>
        <v>0</v>
      </c>
      <c r="AJ417">
        <f t="shared" ref="AJ417:AJ480" si="51">COUNTIF(S417:AD417,"NS")</f>
        <v>0</v>
      </c>
      <c r="AK417">
        <f t="shared" ref="AK417:AK480" si="52">SUM(S417:AD417)</f>
        <v>0</v>
      </c>
      <c r="AL417">
        <f t="shared" ref="AL417:AL480" si="53">IF(COUNTIF(M417:AD417,"NA")=3,0,IF(COUNTA(M417:AD417)=0,0,IF(OR(AND(M417=0,AJ417&gt;0),AND(M417="ns",AK417&gt;0),AND(M417="ns",AJ417=0,AK417=0)),1,IF(OR(AND(M417&gt;0,AJ417=2),AND(M417="ns",AJ417=2),AND(M417="ns",AK417=0,AJ417&gt;0),M417=AK417),0,1))))</f>
        <v>0</v>
      </c>
    </row>
    <row r="418" spans="1:39" ht="24" customHeight="1">
      <c r="A418" s="49"/>
      <c r="B418" s="38"/>
      <c r="C418" s="1109"/>
      <c r="D418" s="954"/>
      <c r="E418" s="956"/>
      <c r="F418" s="1103" t="s">
        <v>4925</v>
      </c>
      <c r="G418" s="1103"/>
      <c r="H418" s="1104" t="s">
        <v>4926</v>
      </c>
      <c r="I418" s="1105"/>
      <c r="J418" s="1105"/>
      <c r="K418" s="1105"/>
      <c r="L418" s="1106"/>
      <c r="M418" s="816"/>
      <c r="N418" s="738"/>
      <c r="O418" s="738"/>
      <c r="P418" s="738"/>
      <c r="Q418" s="738"/>
      <c r="R418" s="817"/>
      <c r="S418" s="816"/>
      <c r="T418" s="738"/>
      <c r="U418" s="738"/>
      <c r="V418" s="738"/>
      <c r="W418" s="738"/>
      <c r="X418" s="817"/>
      <c r="Y418" s="816"/>
      <c r="Z418" s="738"/>
      <c r="AA418" s="738"/>
      <c r="AB418" s="738"/>
      <c r="AC418" s="738"/>
      <c r="AD418" s="817"/>
      <c r="AF418"/>
      <c r="AG418">
        <f t="shared" si="49"/>
        <v>0</v>
      </c>
      <c r="AH418">
        <f t="shared" si="50"/>
        <v>0</v>
      </c>
      <c r="AJ418">
        <f t="shared" si="51"/>
        <v>0</v>
      </c>
      <c r="AK418">
        <f t="shared" si="52"/>
        <v>0</v>
      </c>
      <c r="AL418">
        <f t="shared" si="53"/>
        <v>0</v>
      </c>
      <c r="AM418">
        <f>IF(OR(M418="NS",M418="NA",$M$334=0,$M$334="NS",$M$334="NA"),0,IF((M418*(IFERROR(100/SUM(M416:M418),0)))&gt;25,1,0))</f>
        <v>0</v>
      </c>
    </row>
    <row r="419" spans="1:39" ht="36" customHeight="1">
      <c r="A419" s="49"/>
      <c r="B419" s="38"/>
      <c r="C419" s="1108" t="s">
        <v>4927</v>
      </c>
      <c r="D419" s="847" t="s">
        <v>5417</v>
      </c>
      <c r="E419" s="848"/>
      <c r="F419" s="1103" t="s">
        <v>4929</v>
      </c>
      <c r="G419" s="1103"/>
      <c r="H419" s="1104" t="s">
        <v>4930</v>
      </c>
      <c r="I419" s="1105"/>
      <c r="J419" s="1105"/>
      <c r="K419" s="1105"/>
      <c r="L419" s="1106"/>
      <c r="M419" s="816"/>
      <c r="N419" s="738"/>
      <c r="O419" s="738"/>
      <c r="P419" s="738"/>
      <c r="Q419" s="738"/>
      <c r="R419" s="817"/>
      <c r="S419" s="816"/>
      <c r="T419" s="738"/>
      <c r="U419" s="738"/>
      <c r="V419" s="738"/>
      <c r="W419" s="738"/>
      <c r="X419" s="817"/>
      <c r="Y419" s="816"/>
      <c r="Z419" s="738"/>
      <c r="AA419" s="738"/>
      <c r="AB419" s="738"/>
      <c r="AC419" s="738"/>
      <c r="AD419" s="817"/>
      <c r="AF419">
        <f>IF(M419="NA",IF(AND(COUNTIF(M420:M426,"="&amp;$AF$361)=0,COUNTIF(M420:M426,"&lt;&gt;NA")&gt;0),1,0),IF(AND(COUNTIF(M420:M426,"="&amp;$AF$361)=0,COUNTIF(M420:M426,"NA")=COUNTIF(M420:M426,"&lt;&gt;"&amp;$AF$361)),1,0))</f>
        <v>0</v>
      </c>
      <c r="AG419">
        <f t="shared" si="49"/>
        <v>0</v>
      </c>
      <c r="AH419">
        <f t="shared" si="50"/>
        <v>0</v>
      </c>
      <c r="AJ419">
        <f t="shared" si="51"/>
        <v>0</v>
      </c>
      <c r="AK419">
        <f t="shared" si="52"/>
        <v>0</v>
      </c>
      <c r="AL419">
        <f t="shared" si="53"/>
        <v>0</v>
      </c>
    </row>
    <row r="420" spans="1:39" ht="36" customHeight="1">
      <c r="A420" s="49"/>
      <c r="B420" s="38"/>
      <c r="C420" s="1109"/>
      <c r="D420" s="954"/>
      <c r="E420" s="956"/>
      <c r="F420" s="1110" t="s">
        <v>4931</v>
      </c>
      <c r="G420" s="1110"/>
      <c r="H420" s="178"/>
      <c r="I420" s="1111" t="s">
        <v>4932</v>
      </c>
      <c r="J420" s="1111"/>
      <c r="K420" s="1111"/>
      <c r="L420" s="1112"/>
      <c r="M420" s="816"/>
      <c r="N420" s="738"/>
      <c r="O420" s="738"/>
      <c r="P420" s="738"/>
      <c r="Q420" s="738"/>
      <c r="R420" s="817"/>
      <c r="S420" s="816"/>
      <c r="T420" s="738"/>
      <c r="U420" s="738"/>
      <c r="V420" s="738"/>
      <c r="W420" s="738"/>
      <c r="X420" s="817"/>
      <c r="Y420" s="816"/>
      <c r="Z420" s="738"/>
      <c r="AA420" s="738"/>
      <c r="AB420" s="738"/>
      <c r="AC420" s="738"/>
      <c r="AD420" s="817"/>
      <c r="AF420"/>
      <c r="AG420">
        <f t="shared" si="49"/>
        <v>0</v>
      </c>
      <c r="AH420">
        <f t="shared" si="50"/>
        <v>0</v>
      </c>
      <c r="AJ420">
        <f t="shared" si="51"/>
        <v>0</v>
      </c>
      <c r="AK420">
        <f t="shared" si="52"/>
        <v>0</v>
      </c>
      <c r="AL420">
        <f t="shared" si="53"/>
        <v>0</v>
      </c>
    </row>
    <row r="421" spans="1:39" ht="36" customHeight="1">
      <c r="A421" s="49"/>
      <c r="B421" s="38"/>
      <c r="C421" s="1109"/>
      <c r="D421" s="954"/>
      <c r="E421" s="956"/>
      <c r="F421" s="1110" t="s">
        <v>4933</v>
      </c>
      <c r="G421" s="1110"/>
      <c r="H421" s="178"/>
      <c r="I421" s="1111" t="s">
        <v>4934</v>
      </c>
      <c r="J421" s="1111"/>
      <c r="K421" s="1111"/>
      <c r="L421" s="1112"/>
      <c r="M421" s="816"/>
      <c r="N421" s="738"/>
      <c r="O421" s="738"/>
      <c r="P421" s="738"/>
      <c r="Q421" s="738"/>
      <c r="R421" s="817"/>
      <c r="S421" s="816"/>
      <c r="T421" s="738"/>
      <c r="U421" s="738"/>
      <c r="V421" s="738"/>
      <c r="W421" s="738"/>
      <c r="X421" s="817"/>
      <c r="Y421" s="816"/>
      <c r="Z421" s="738"/>
      <c r="AA421" s="738"/>
      <c r="AB421" s="738"/>
      <c r="AC421" s="738"/>
      <c r="AD421" s="817"/>
      <c r="AF421"/>
      <c r="AG421">
        <f t="shared" si="49"/>
        <v>0</v>
      </c>
      <c r="AH421">
        <f t="shared" si="50"/>
        <v>0</v>
      </c>
      <c r="AJ421">
        <f t="shared" si="51"/>
        <v>0</v>
      </c>
      <c r="AK421">
        <f t="shared" si="52"/>
        <v>0</v>
      </c>
      <c r="AL421">
        <f t="shared" si="53"/>
        <v>0</v>
      </c>
    </row>
    <row r="422" spans="1:39" ht="15" customHeight="1">
      <c r="A422" s="49"/>
      <c r="B422" s="38"/>
      <c r="C422" s="1109"/>
      <c r="D422" s="954"/>
      <c r="E422" s="956"/>
      <c r="F422" s="1110" t="s">
        <v>4935</v>
      </c>
      <c r="G422" s="1110"/>
      <c r="H422" s="178"/>
      <c r="I422" s="1111" t="s">
        <v>4936</v>
      </c>
      <c r="J422" s="1111"/>
      <c r="K422" s="1111"/>
      <c r="L422" s="1112"/>
      <c r="M422" s="816"/>
      <c r="N422" s="738"/>
      <c r="O422" s="738"/>
      <c r="P422" s="738"/>
      <c r="Q422" s="738"/>
      <c r="R422" s="817"/>
      <c r="S422" s="816"/>
      <c r="T422" s="738"/>
      <c r="U422" s="738"/>
      <c r="V422" s="738"/>
      <c r="W422" s="738"/>
      <c r="X422" s="817"/>
      <c r="Y422" s="816"/>
      <c r="Z422" s="738"/>
      <c r="AA422" s="738"/>
      <c r="AB422" s="738"/>
      <c r="AC422" s="738"/>
      <c r="AD422" s="817"/>
      <c r="AF422"/>
      <c r="AG422">
        <f t="shared" si="49"/>
        <v>0</v>
      </c>
      <c r="AH422">
        <f t="shared" si="50"/>
        <v>0</v>
      </c>
      <c r="AJ422">
        <f t="shared" si="51"/>
        <v>0</v>
      </c>
      <c r="AK422">
        <f t="shared" si="52"/>
        <v>0</v>
      </c>
      <c r="AL422">
        <f t="shared" si="53"/>
        <v>0</v>
      </c>
    </row>
    <row r="423" spans="1:39" ht="15" customHeight="1">
      <c r="A423" s="49"/>
      <c r="B423" s="38"/>
      <c r="C423" s="1109"/>
      <c r="D423" s="954"/>
      <c r="E423" s="956"/>
      <c r="F423" s="1110" t="s">
        <v>4937</v>
      </c>
      <c r="G423" s="1110"/>
      <c r="H423" s="178"/>
      <c r="I423" s="1111" t="s">
        <v>4938</v>
      </c>
      <c r="J423" s="1111"/>
      <c r="K423" s="1111"/>
      <c r="L423" s="1112"/>
      <c r="M423" s="816"/>
      <c r="N423" s="738"/>
      <c r="O423" s="738"/>
      <c r="P423" s="738"/>
      <c r="Q423" s="738"/>
      <c r="R423" s="817"/>
      <c r="S423" s="816"/>
      <c r="T423" s="738"/>
      <c r="U423" s="738"/>
      <c r="V423" s="738"/>
      <c r="W423" s="738"/>
      <c r="X423" s="817"/>
      <c r="Y423" s="816"/>
      <c r="Z423" s="738"/>
      <c r="AA423" s="738"/>
      <c r="AB423" s="738"/>
      <c r="AC423" s="738"/>
      <c r="AD423" s="817"/>
      <c r="AF423"/>
      <c r="AG423">
        <f t="shared" si="49"/>
        <v>0</v>
      </c>
      <c r="AH423">
        <f t="shared" si="50"/>
        <v>0</v>
      </c>
      <c r="AJ423">
        <f t="shared" si="51"/>
        <v>0</v>
      </c>
      <c r="AK423">
        <f t="shared" si="52"/>
        <v>0</v>
      </c>
      <c r="AL423">
        <f t="shared" si="53"/>
        <v>0</v>
      </c>
    </row>
    <row r="424" spans="1:39" ht="15" customHeight="1">
      <c r="A424" s="49"/>
      <c r="B424" s="38"/>
      <c r="C424" s="1109"/>
      <c r="D424" s="954"/>
      <c r="E424" s="956"/>
      <c r="F424" s="1110" t="s">
        <v>4939</v>
      </c>
      <c r="G424" s="1110"/>
      <c r="H424" s="178"/>
      <c r="I424" s="1111" t="s">
        <v>4940</v>
      </c>
      <c r="J424" s="1111"/>
      <c r="K424" s="1111"/>
      <c r="L424" s="1112"/>
      <c r="M424" s="816"/>
      <c r="N424" s="738"/>
      <c r="O424" s="738"/>
      <c r="P424" s="738"/>
      <c r="Q424" s="738"/>
      <c r="R424" s="817"/>
      <c r="S424" s="816"/>
      <c r="T424" s="738"/>
      <c r="U424" s="738"/>
      <c r="V424" s="738"/>
      <c r="W424" s="738"/>
      <c r="X424" s="817"/>
      <c r="Y424" s="816"/>
      <c r="Z424" s="738"/>
      <c r="AA424" s="738"/>
      <c r="AB424" s="738"/>
      <c r="AC424" s="738"/>
      <c r="AD424" s="817"/>
      <c r="AF424"/>
      <c r="AG424">
        <f t="shared" si="49"/>
        <v>0</v>
      </c>
      <c r="AH424">
        <f t="shared" si="50"/>
        <v>0</v>
      </c>
      <c r="AJ424">
        <f t="shared" si="51"/>
        <v>0</v>
      </c>
      <c r="AK424">
        <f t="shared" si="52"/>
        <v>0</v>
      </c>
      <c r="AL424">
        <f t="shared" si="53"/>
        <v>0</v>
      </c>
    </row>
    <row r="425" spans="1:39" ht="36" customHeight="1">
      <c r="A425" s="49"/>
      <c r="B425" s="38"/>
      <c r="C425" s="1109"/>
      <c r="D425" s="954"/>
      <c r="E425" s="956"/>
      <c r="F425" s="1110" t="s">
        <v>4941</v>
      </c>
      <c r="G425" s="1110"/>
      <c r="H425" s="178"/>
      <c r="I425" s="1111" t="s">
        <v>4942</v>
      </c>
      <c r="J425" s="1111"/>
      <c r="K425" s="1111"/>
      <c r="L425" s="1112"/>
      <c r="M425" s="816"/>
      <c r="N425" s="738"/>
      <c r="O425" s="738"/>
      <c r="P425" s="738"/>
      <c r="Q425" s="738"/>
      <c r="R425" s="817"/>
      <c r="S425" s="816"/>
      <c r="T425" s="738"/>
      <c r="U425" s="738"/>
      <c r="V425" s="738"/>
      <c r="W425" s="738"/>
      <c r="X425" s="817"/>
      <c r="Y425" s="816"/>
      <c r="Z425" s="738"/>
      <c r="AA425" s="738"/>
      <c r="AB425" s="738"/>
      <c r="AC425" s="738"/>
      <c r="AD425" s="817"/>
      <c r="AF425"/>
      <c r="AG425">
        <f t="shared" si="49"/>
        <v>0</v>
      </c>
      <c r="AH425">
        <f t="shared" si="50"/>
        <v>0</v>
      </c>
      <c r="AJ425">
        <f t="shared" si="51"/>
        <v>0</v>
      </c>
      <c r="AK425">
        <f t="shared" si="52"/>
        <v>0</v>
      </c>
      <c r="AL425">
        <f t="shared" si="53"/>
        <v>0</v>
      </c>
    </row>
    <row r="426" spans="1:39" ht="15" customHeight="1">
      <c r="A426" s="49"/>
      <c r="B426" s="38"/>
      <c r="C426" s="1109"/>
      <c r="D426" s="954"/>
      <c r="E426" s="956"/>
      <c r="F426" s="1110" t="s">
        <v>4943</v>
      </c>
      <c r="G426" s="1110"/>
      <c r="H426" s="178"/>
      <c r="I426" s="1111" t="s">
        <v>201</v>
      </c>
      <c r="J426" s="1111"/>
      <c r="K426" s="1111"/>
      <c r="L426" s="1112"/>
      <c r="M426" s="816"/>
      <c r="N426" s="738"/>
      <c r="O426" s="738"/>
      <c r="P426" s="738"/>
      <c r="Q426" s="738"/>
      <c r="R426" s="817"/>
      <c r="S426" s="816"/>
      <c r="T426" s="738"/>
      <c r="U426" s="738"/>
      <c r="V426" s="738"/>
      <c r="W426" s="738"/>
      <c r="X426" s="817"/>
      <c r="Y426" s="816"/>
      <c r="Z426" s="738"/>
      <c r="AA426" s="738"/>
      <c r="AB426" s="738"/>
      <c r="AC426" s="738"/>
      <c r="AD426" s="817"/>
      <c r="AF426"/>
      <c r="AG426">
        <f t="shared" si="49"/>
        <v>0</v>
      </c>
      <c r="AH426">
        <f t="shared" si="50"/>
        <v>0</v>
      </c>
      <c r="AJ426">
        <f t="shared" si="51"/>
        <v>0</v>
      </c>
      <c r="AK426">
        <f t="shared" si="52"/>
        <v>0</v>
      </c>
      <c r="AL426">
        <f t="shared" si="53"/>
        <v>0</v>
      </c>
    </row>
    <row r="427" spans="1:39" ht="15" customHeight="1">
      <c r="A427" s="49"/>
      <c r="B427" s="38"/>
      <c r="C427" s="1109"/>
      <c r="D427" s="954"/>
      <c r="E427" s="956"/>
      <c r="F427" s="1117" t="s">
        <v>4944</v>
      </c>
      <c r="G427" s="1118"/>
      <c r="H427" s="1104" t="s">
        <v>4945</v>
      </c>
      <c r="I427" s="1105"/>
      <c r="J427" s="1105"/>
      <c r="K427" s="1105"/>
      <c r="L427" s="1106"/>
      <c r="M427" s="816"/>
      <c r="N427" s="738"/>
      <c r="O427" s="738"/>
      <c r="P427" s="738"/>
      <c r="Q427" s="738"/>
      <c r="R427" s="817"/>
      <c r="S427" s="816"/>
      <c r="T427" s="738"/>
      <c r="U427" s="738"/>
      <c r="V427" s="738"/>
      <c r="W427" s="738"/>
      <c r="X427" s="817"/>
      <c r="Y427" s="816"/>
      <c r="Z427" s="738"/>
      <c r="AA427" s="738"/>
      <c r="AB427" s="738"/>
      <c r="AC427" s="738"/>
      <c r="AD427" s="817"/>
      <c r="AF427">
        <f>IF(M427="NA",IF(AND(COUNTIF(M428:M432,"="&amp;$AF$361)=0,COUNTIF(M428:M432,"&lt;&gt;NA")&gt;0),1,0),IF(AND(COUNTIF(M428:M432,"="&amp;$AF$361)=0,COUNTIF(M428:M432,"NA")=COUNTIF(M428:M432,"&lt;&gt;"&amp;$AF$361)),1,0))</f>
        <v>0</v>
      </c>
      <c r="AG427">
        <f t="shared" si="49"/>
        <v>0</v>
      </c>
      <c r="AH427">
        <f t="shared" si="50"/>
        <v>0</v>
      </c>
      <c r="AJ427">
        <f t="shared" si="51"/>
        <v>0</v>
      </c>
      <c r="AK427">
        <f t="shared" si="52"/>
        <v>0</v>
      </c>
      <c r="AL427">
        <f t="shared" si="53"/>
        <v>0</v>
      </c>
    </row>
    <row r="428" spans="1:39" ht="36" customHeight="1">
      <c r="A428" s="49"/>
      <c r="B428" s="38"/>
      <c r="C428" s="1109"/>
      <c r="D428" s="954"/>
      <c r="E428" s="956"/>
      <c r="F428" s="1119" t="s">
        <v>4946</v>
      </c>
      <c r="G428" s="1120"/>
      <c r="H428" s="178"/>
      <c r="I428" s="1111" t="s">
        <v>4947</v>
      </c>
      <c r="J428" s="1111"/>
      <c r="K428" s="1111"/>
      <c r="L428" s="1112"/>
      <c r="M428" s="816"/>
      <c r="N428" s="738"/>
      <c r="O428" s="738"/>
      <c r="P428" s="738"/>
      <c r="Q428" s="738"/>
      <c r="R428" s="817"/>
      <c r="S428" s="816"/>
      <c r="T428" s="738"/>
      <c r="U428" s="738"/>
      <c r="V428" s="738"/>
      <c r="W428" s="738"/>
      <c r="X428" s="817"/>
      <c r="Y428" s="816"/>
      <c r="Z428" s="738"/>
      <c r="AA428" s="738"/>
      <c r="AB428" s="738"/>
      <c r="AC428" s="738"/>
      <c r="AD428" s="817"/>
      <c r="AF428"/>
      <c r="AG428">
        <f t="shared" si="49"/>
        <v>0</v>
      </c>
      <c r="AH428">
        <f t="shared" si="50"/>
        <v>0</v>
      </c>
      <c r="AJ428">
        <f t="shared" si="51"/>
        <v>0</v>
      </c>
      <c r="AK428">
        <f t="shared" si="52"/>
        <v>0</v>
      </c>
      <c r="AL428">
        <f t="shared" si="53"/>
        <v>0</v>
      </c>
    </row>
    <row r="429" spans="1:39" ht="48" customHeight="1">
      <c r="A429" s="49"/>
      <c r="B429" s="38"/>
      <c r="C429" s="1109"/>
      <c r="D429" s="954"/>
      <c r="E429" s="956"/>
      <c r="F429" s="1119" t="s">
        <v>4948</v>
      </c>
      <c r="G429" s="1120"/>
      <c r="H429" s="178"/>
      <c r="I429" s="1111" t="s">
        <v>4949</v>
      </c>
      <c r="J429" s="1111"/>
      <c r="K429" s="1111"/>
      <c r="L429" s="1112"/>
      <c r="M429" s="816"/>
      <c r="N429" s="738"/>
      <c r="O429" s="738"/>
      <c r="P429" s="738"/>
      <c r="Q429" s="738"/>
      <c r="R429" s="817"/>
      <c r="S429" s="816"/>
      <c r="T429" s="738"/>
      <c r="U429" s="738"/>
      <c r="V429" s="738"/>
      <c r="W429" s="738"/>
      <c r="X429" s="817"/>
      <c r="Y429" s="816"/>
      <c r="Z429" s="738"/>
      <c r="AA429" s="738"/>
      <c r="AB429" s="738"/>
      <c r="AC429" s="738"/>
      <c r="AD429" s="817"/>
      <c r="AF429"/>
      <c r="AG429">
        <f t="shared" si="49"/>
        <v>0</v>
      </c>
      <c r="AH429">
        <f t="shared" si="50"/>
        <v>0</v>
      </c>
      <c r="AJ429">
        <f t="shared" si="51"/>
        <v>0</v>
      </c>
      <c r="AK429">
        <f t="shared" si="52"/>
        <v>0</v>
      </c>
      <c r="AL429">
        <f t="shared" si="53"/>
        <v>0</v>
      </c>
    </row>
    <row r="430" spans="1:39" ht="36" customHeight="1">
      <c r="A430" s="49"/>
      <c r="B430" s="38"/>
      <c r="C430" s="1109"/>
      <c r="D430" s="954"/>
      <c r="E430" s="956"/>
      <c r="F430" s="1119" t="s">
        <v>4950</v>
      </c>
      <c r="G430" s="1120"/>
      <c r="H430" s="178"/>
      <c r="I430" s="1111" t="s">
        <v>4951</v>
      </c>
      <c r="J430" s="1111"/>
      <c r="K430" s="1111"/>
      <c r="L430" s="1112"/>
      <c r="M430" s="816"/>
      <c r="N430" s="738"/>
      <c r="O430" s="738"/>
      <c r="P430" s="738"/>
      <c r="Q430" s="738"/>
      <c r="R430" s="817"/>
      <c r="S430" s="816"/>
      <c r="T430" s="738"/>
      <c r="U430" s="738"/>
      <c r="V430" s="738"/>
      <c r="W430" s="738"/>
      <c r="X430" s="817"/>
      <c r="Y430" s="816"/>
      <c r="Z430" s="738"/>
      <c r="AA430" s="738"/>
      <c r="AB430" s="738"/>
      <c r="AC430" s="738"/>
      <c r="AD430" s="817"/>
      <c r="AF430"/>
      <c r="AG430">
        <f t="shared" si="49"/>
        <v>0</v>
      </c>
      <c r="AH430">
        <f t="shared" si="50"/>
        <v>0</v>
      </c>
      <c r="AJ430">
        <f t="shared" si="51"/>
        <v>0</v>
      </c>
      <c r="AK430">
        <f t="shared" si="52"/>
        <v>0</v>
      </c>
      <c r="AL430">
        <f t="shared" si="53"/>
        <v>0</v>
      </c>
    </row>
    <row r="431" spans="1:39" ht="24" customHeight="1">
      <c r="A431" s="49"/>
      <c r="B431" s="38"/>
      <c r="C431" s="1109"/>
      <c r="D431" s="954"/>
      <c r="E431" s="956"/>
      <c r="F431" s="1119" t="s">
        <v>4952</v>
      </c>
      <c r="G431" s="1120"/>
      <c r="H431" s="178"/>
      <c r="I431" s="1111" t="s">
        <v>4953</v>
      </c>
      <c r="J431" s="1111"/>
      <c r="K431" s="1111"/>
      <c r="L431" s="1112"/>
      <c r="M431" s="816"/>
      <c r="N431" s="738"/>
      <c r="O431" s="738"/>
      <c r="P431" s="738"/>
      <c r="Q431" s="738"/>
      <c r="R431" s="817"/>
      <c r="S431" s="816"/>
      <c r="T431" s="738"/>
      <c r="U431" s="738"/>
      <c r="V431" s="738"/>
      <c r="W431" s="738"/>
      <c r="X431" s="817"/>
      <c r="Y431" s="816"/>
      <c r="Z431" s="738"/>
      <c r="AA431" s="738"/>
      <c r="AB431" s="738"/>
      <c r="AC431" s="738"/>
      <c r="AD431" s="817"/>
      <c r="AF431"/>
      <c r="AG431">
        <f t="shared" si="49"/>
        <v>0</v>
      </c>
      <c r="AH431">
        <f t="shared" si="50"/>
        <v>0</v>
      </c>
      <c r="AJ431">
        <f t="shared" si="51"/>
        <v>0</v>
      </c>
      <c r="AK431">
        <f t="shared" si="52"/>
        <v>0</v>
      </c>
      <c r="AL431">
        <f t="shared" si="53"/>
        <v>0</v>
      </c>
    </row>
    <row r="432" spans="1:39" ht="15" customHeight="1">
      <c r="A432" s="49"/>
      <c r="B432" s="38"/>
      <c r="C432" s="1109"/>
      <c r="D432" s="954"/>
      <c r="E432" s="956"/>
      <c r="F432" s="1119" t="s">
        <v>4954</v>
      </c>
      <c r="G432" s="1120"/>
      <c r="H432" s="178"/>
      <c r="I432" s="1111" t="s">
        <v>201</v>
      </c>
      <c r="J432" s="1111"/>
      <c r="K432" s="1111"/>
      <c r="L432" s="1112"/>
      <c r="M432" s="816"/>
      <c r="N432" s="738"/>
      <c r="O432" s="738"/>
      <c r="P432" s="738"/>
      <c r="Q432" s="738"/>
      <c r="R432" s="817"/>
      <c r="S432" s="816"/>
      <c r="T432" s="738"/>
      <c r="U432" s="738"/>
      <c r="V432" s="738"/>
      <c r="W432" s="738"/>
      <c r="X432" s="817"/>
      <c r="Y432" s="816"/>
      <c r="Z432" s="738"/>
      <c r="AA432" s="738"/>
      <c r="AB432" s="738"/>
      <c r="AC432" s="738"/>
      <c r="AD432" s="817"/>
      <c r="AF432"/>
      <c r="AG432">
        <f t="shared" si="49"/>
        <v>0</v>
      </c>
      <c r="AH432">
        <f t="shared" si="50"/>
        <v>0</v>
      </c>
      <c r="AJ432">
        <f t="shared" si="51"/>
        <v>0</v>
      </c>
      <c r="AK432">
        <f t="shared" si="52"/>
        <v>0</v>
      </c>
      <c r="AL432">
        <f t="shared" si="53"/>
        <v>0</v>
      </c>
    </row>
    <row r="433" spans="1:39" ht="48" customHeight="1">
      <c r="A433" s="49"/>
      <c r="B433" s="38"/>
      <c r="C433" s="1109"/>
      <c r="D433" s="954"/>
      <c r="E433" s="956"/>
      <c r="F433" s="1103" t="s">
        <v>4955</v>
      </c>
      <c r="G433" s="1103"/>
      <c r="H433" s="1104" t="s">
        <v>4956</v>
      </c>
      <c r="I433" s="1105"/>
      <c r="J433" s="1105"/>
      <c r="K433" s="1105"/>
      <c r="L433" s="1106"/>
      <c r="M433" s="816"/>
      <c r="N433" s="738"/>
      <c r="O433" s="738"/>
      <c r="P433" s="738"/>
      <c r="Q433" s="738"/>
      <c r="R433" s="817"/>
      <c r="S433" s="816"/>
      <c r="T433" s="738"/>
      <c r="U433" s="738"/>
      <c r="V433" s="738"/>
      <c r="W433" s="738"/>
      <c r="X433" s="817"/>
      <c r="Y433" s="816"/>
      <c r="Z433" s="738"/>
      <c r="AA433" s="738"/>
      <c r="AB433" s="738"/>
      <c r="AC433" s="738"/>
      <c r="AD433" s="817"/>
      <c r="AF433"/>
      <c r="AG433">
        <f t="shared" si="49"/>
        <v>0</v>
      </c>
      <c r="AH433">
        <f t="shared" si="50"/>
        <v>0</v>
      </c>
      <c r="AJ433">
        <f t="shared" si="51"/>
        <v>0</v>
      </c>
      <c r="AK433">
        <f t="shared" si="52"/>
        <v>0</v>
      </c>
      <c r="AL433">
        <f t="shared" si="53"/>
        <v>0</v>
      </c>
    </row>
    <row r="434" spans="1:39" ht="15" customHeight="1">
      <c r="A434" s="49"/>
      <c r="B434" s="38"/>
      <c r="C434" s="1109"/>
      <c r="D434" s="954"/>
      <c r="E434" s="956"/>
      <c r="F434" s="1103" t="s">
        <v>4957</v>
      </c>
      <c r="G434" s="1103"/>
      <c r="H434" s="1104" t="s">
        <v>4958</v>
      </c>
      <c r="I434" s="1105"/>
      <c r="J434" s="1105"/>
      <c r="K434" s="1105"/>
      <c r="L434" s="1106"/>
      <c r="M434" s="816"/>
      <c r="N434" s="738"/>
      <c r="O434" s="738"/>
      <c r="P434" s="738"/>
      <c r="Q434" s="738"/>
      <c r="R434" s="817"/>
      <c r="S434" s="816"/>
      <c r="T434" s="738"/>
      <c r="U434" s="738"/>
      <c r="V434" s="738"/>
      <c r="W434" s="738"/>
      <c r="X434" s="817"/>
      <c r="Y434" s="816"/>
      <c r="Z434" s="738"/>
      <c r="AA434" s="738"/>
      <c r="AB434" s="738"/>
      <c r="AC434" s="738"/>
      <c r="AD434" s="817"/>
      <c r="AF434"/>
      <c r="AG434">
        <f t="shared" si="49"/>
        <v>0</v>
      </c>
      <c r="AH434">
        <f t="shared" si="50"/>
        <v>0</v>
      </c>
      <c r="AJ434">
        <f t="shared" si="51"/>
        <v>0</v>
      </c>
      <c r="AK434">
        <f t="shared" si="52"/>
        <v>0</v>
      </c>
      <c r="AL434">
        <f t="shared" si="53"/>
        <v>0</v>
      </c>
    </row>
    <row r="435" spans="1:39" ht="15" customHeight="1">
      <c r="A435" s="49"/>
      <c r="B435" s="38"/>
      <c r="C435" s="1109"/>
      <c r="D435" s="954"/>
      <c r="E435" s="956"/>
      <c r="F435" s="1103" t="s">
        <v>4959</v>
      </c>
      <c r="G435" s="1103"/>
      <c r="H435" s="1104" t="s">
        <v>4960</v>
      </c>
      <c r="I435" s="1105"/>
      <c r="J435" s="1105"/>
      <c r="K435" s="1105"/>
      <c r="L435" s="1106"/>
      <c r="M435" s="816"/>
      <c r="N435" s="738"/>
      <c r="O435" s="738"/>
      <c r="P435" s="738"/>
      <c r="Q435" s="738"/>
      <c r="R435" s="817"/>
      <c r="S435" s="816"/>
      <c r="T435" s="738"/>
      <c r="U435" s="738"/>
      <c r="V435" s="738"/>
      <c r="W435" s="738"/>
      <c r="X435" s="817"/>
      <c r="Y435" s="816"/>
      <c r="Z435" s="738"/>
      <c r="AA435" s="738"/>
      <c r="AB435" s="738"/>
      <c r="AC435" s="738"/>
      <c r="AD435" s="817"/>
      <c r="AF435"/>
      <c r="AG435">
        <f t="shared" si="49"/>
        <v>0</v>
      </c>
      <c r="AH435">
        <f t="shared" si="50"/>
        <v>0</v>
      </c>
      <c r="AJ435">
        <f t="shared" si="51"/>
        <v>0</v>
      </c>
      <c r="AK435">
        <f t="shared" si="52"/>
        <v>0</v>
      </c>
      <c r="AL435">
        <f t="shared" si="53"/>
        <v>0</v>
      </c>
    </row>
    <row r="436" spans="1:39" ht="24" customHeight="1">
      <c r="A436" s="49"/>
      <c r="B436" s="38"/>
      <c r="C436" s="1109"/>
      <c r="D436" s="954"/>
      <c r="E436" s="956"/>
      <c r="F436" s="1103" t="s">
        <v>4961</v>
      </c>
      <c r="G436" s="1103"/>
      <c r="H436" s="1104" t="s">
        <v>4962</v>
      </c>
      <c r="I436" s="1105"/>
      <c r="J436" s="1105"/>
      <c r="K436" s="1105"/>
      <c r="L436" s="1106"/>
      <c r="M436" s="816"/>
      <c r="N436" s="738"/>
      <c r="O436" s="738"/>
      <c r="P436" s="738"/>
      <c r="Q436" s="738"/>
      <c r="R436" s="817"/>
      <c r="S436" s="816"/>
      <c r="T436" s="738"/>
      <c r="U436" s="738"/>
      <c r="V436" s="738"/>
      <c r="W436" s="738"/>
      <c r="X436" s="817"/>
      <c r="Y436" s="816"/>
      <c r="Z436" s="738"/>
      <c r="AA436" s="738"/>
      <c r="AB436" s="738"/>
      <c r="AC436" s="738"/>
      <c r="AD436" s="817"/>
      <c r="AF436"/>
      <c r="AG436">
        <f t="shared" si="49"/>
        <v>0</v>
      </c>
      <c r="AH436">
        <f t="shared" si="50"/>
        <v>0</v>
      </c>
      <c r="AJ436">
        <f t="shared" si="51"/>
        <v>0</v>
      </c>
      <c r="AK436">
        <f t="shared" si="52"/>
        <v>0</v>
      </c>
      <c r="AL436">
        <f t="shared" si="53"/>
        <v>0</v>
      </c>
      <c r="AM436">
        <f>IF(OR(M436="NS",M436="NA",$M$334=0,$M$334="NS",$M$334="NA"),0,IF((M436*(IFERROR(100/SUM(M419:M436),0)))&gt;25,1,0))</f>
        <v>0</v>
      </c>
    </row>
    <row r="437" spans="1:39" ht="60" customHeight="1">
      <c r="A437" s="49"/>
      <c r="B437" s="38"/>
      <c r="C437" s="1108" t="s">
        <v>4963</v>
      </c>
      <c r="D437" s="847" t="s">
        <v>4964</v>
      </c>
      <c r="E437" s="848"/>
      <c r="F437" s="1103" t="s">
        <v>4965</v>
      </c>
      <c r="G437" s="1103"/>
      <c r="H437" s="1104" t="s">
        <v>4966</v>
      </c>
      <c r="I437" s="1105"/>
      <c r="J437" s="1105"/>
      <c r="K437" s="1105"/>
      <c r="L437" s="1106"/>
      <c r="M437" s="816"/>
      <c r="N437" s="738"/>
      <c r="O437" s="738"/>
      <c r="P437" s="738"/>
      <c r="Q437" s="738"/>
      <c r="R437" s="817"/>
      <c r="S437" s="816"/>
      <c r="T437" s="738"/>
      <c r="U437" s="738"/>
      <c r="V437" s="738"/>
      <c r="W437" s="738"/>
      <c r="X437" s="817"/>
      <c r="Y437" s="816"/>
      <c r="Z437" s="738"/>
      <c r="AA437" s="738"/>
      <c r="AB437" s="738"/>
      <c r="AC437" s="738"/>
      <c r="AD437" s="817"/>
      <c r="AF437">
        <f>IF(M437="NA",IF(AND(COUNTIF(M438:M443,"="&amp;$AF$361)=0,COUNTIF(M438:M443,"&lt;&gt;NA")&gt;0),1,0),IF(AND(COUNTIF(M438:M443,"="&amp;$AF$361)=0,COUNTIF(M438:M443,"NA")=COUNTIF(M438:M443,"&lt;&gt;"&amp;$AF$361)),1,0))</f>
        <v>0</v>
      </c>
      <c r="AG437">
        <f t="shared" si="49"/>
        <v>0</v>
      </c>
      <c r="AH437">
        <f t="shared" si="50"/>
        <v>0</v>
      </c>
      <c r="AJ437">
        <f t="shared" si="51"/>
        <v>0</v>
      </c>
      <c r="AK437">
        <f t="shared" si="52"/>
        <v>0</v>
      </c>
      <c r="AL437">
        <f t="shared" si="53"/>
        <v>0</v>
      </c>
    </row>
    <row r="438" spans="1:39" ht="24" customHeight="1">
      <c r="A438" s="49"/>
      <c r="B438" s="38"/>
      <c r="C438" s="1109"/>
      <c r="D438" s="954"/>
      <c r="E438" s="956"/>
      <c r="F438" s="1110" t="s">
        <v>4967</v>
      </c>
      <c r="G438" s="1110"/>
      <c r="H438" s="178"/>
      <c r="I438" s="1111" t="s">
        <v>4968</v>
      </c>
      <c r="J438" s="1111"/>
      <c r="K438" s="1111"/>
      <c r="L438" s="1112"/>
      <c r="M438" s="816"/>
      <c r="N438" s="738"/>
      <c r="O438" s="738"/>
      <c r="P438" s="738"/>
      <c r="Q438" s="738"/>
      <c r="R438" s="817"/>
      <c r="S438" s="816"/>
      <c r="T438" s="738"/>
      <c r="U438" s="738"/>
      <c r="V438" s="738"/>
      <c r="W438" s="738"/>
      <c r="X438" s="817"/>
      <c r="Y438" s="816"/>
      <c r="Z438" s="738"/>
      <c r="AA438" s="738"/>
      <c r="AB438" s="738"/>
      <c r="AC438" s="738"/>
      <c r="AD438" s="817"/>
      <c r="AF438"/>
      <c r="AG438">
        <f t="shared" si="49"/>
        <v>0</v>
      </c>
      <c r="AH438">
        <f t="shared" si="50"/>
        <v>0</v>
      </c>
      <c r="AJ438">
        <f t="shared" si="51"/>
        <v>0</v>
      </c>
      <c r="AK438">
        <f t="shared" si="52"/>
        <v>0</v>
      </c>
      <c r="AL438">
        <f t="shared" si="53"/>
        <v>0</v>
      </c>
    </row>
    <row r="439" spans="1:39" ht="48" customHeight="1">
      <c r="A439" s="49"/>
      <c r="B439" s="38"/>
      <c r="C439" s="1109"/>
      <c r="D439" s="954"/>
      <c r="E439" s="956"/>
      <c r="F439" s="1110" t="s">
        <v>4969</v>
      </c>
      <c r="G439" s="1110"/>
      <c r="H439" s="178"/>
      <c r="I439" s="1111" t="s">
        <v>4970</v>
      </c>
      <c r="J439" s="1111"/>
      <c r="K439" s="1111"/>
      <c r="L439" s="1112"/>
      <c r="M439" s="816"/>
      <c r="N439" s="738"/>
      <c r="O439" s="738"/>
      <c r="P439" s="738"/>
      <c r="Q439" s="738"/>
      <c r="R439" s="817"/>
      <c r="S439" s="816"/>
      <c r="T439" s="738"/>
      <c r="U439" s="738"/>
      <c r="V439" s="738"/>
      <c r="W439" s="738"/>
      <c r="X439" s="817"/>
      <c r="Y439" s="816"/>
      <c r="Z439" s="738"/>
      <c r="AA439" s="738"/>
      <c r="AB439" s="738"/>
      <c r="AC439" s="738"/>
      <c r="AD439" s="817"/>
      <c r="AF439"/>
      <c r="AG439">
        <f t="shared" si="49"/>
        <v>0</v>
      </c>
      <c r="AH439">
        <f t="shared" si="50"/>
        <v>0</v>
      </c>
      <c r="AJ439">
        <f t="shared" si="51"/>
        <v>0</v>
      </c>
      <c r="AK439">
        <f t="shared" si="52"/>
        <v>0</v>
      </c>
      <c r="AL439">
        <f t="shared" si="53"/>
        <v>0</v>
      </c>
    </row>
    <row r="440" spans="1:39" ht="24" customHeight="1">
      <c r="A440" s="49"/>
      <c r="B440" s="38"/>
      <c r="C440" s="1109"/>
      <c r="D440" s="954"/>
      <c r="E440" s="956"/>
      <c r="F440" s="1110" t="s">
        <v>4971</v>
      </c>
      <c r="G440" s="1110"/>
      <c r="H440" s="178"/>
      <c r="I440" s="1111" t="s">
        <v>4972</v>
      </c>
      <c r="J440" s="1111"/>
      <c r="K440" s="1111"/>
      <c r="L440" s="1112"/>
      <c r="M440" s="816"/>
      <c r="N440" s="738"/>
      <c r="O440" s="738"/>
      <c r="P440" s="738"/>
      <c r="Q440" s="738"/>
      <c r="R440" s="817"/>
      <c r="S440" s="816"/>
      <c r="T440" s="738"/>
      <c r="U440" s="738"/>
      <c r="V440" s="738"/>
      <c r="W440" s="738"/>
      <c r="X440" s="817"/>
      <c r="Y440" s="816"/>
      <c r="Z440" s="738"/>
      <c r="AA440" s="738"/>
      <c r="AB440" s="738"/>
      <c r="AC440" s="738"/>
      <c r="AD440" s="817"/>
      <c r="AF440"/>
      <c r="AG440">
        <f t="shared" si="49"/>
        <v>0</v>
      </c>
      <c r="AH440">
        <f t="shared" si="50"/>
        <v>0</v>
      </c>
      <c r="AJ440">
        <f t="shared" si="51"/>
        <v>0</v>
      </c>
      <c r="AK440">
        <f t="shared" si="52"/>
        <v>0</v>
      </c>
      <c r="AL440">
        <f t="shared" si="53"/>
        <v>0</v>
      </c>
    </row>
    <row r="441" spans="1:39" ht="24" customHeight="1">
      <c r="A441" s="49"/>
      <c r="B441" s="38"/>
      <c r="C441" s="1109"/>
      <c r="D441" s="954"/>
      <c r="E441" s="956"/>
      <c r="F441" s="1110" t="s">
        <v>4973</v>
      </c>
      <c r="G441" s="1110"/>
      <c r="H441" s="178"/>
      <c r="I441" s="1111" t="s">
        <v>4974</v>
      </c>
      <c r="J441" s="1111"/>
      <c r="K441" s="1111"/>
      <c r="L441" s="1112"/>
      <c r="M441" s="816"/>
      <c r="N441" s="738"/>
      <c r="O441" s="738"/>
      <c r="P441" s="738"/>
      <c r="Q441" s="738"/>
      <c r="R441" s="817"/>
      <c r="S441" s="816"/>
      <c r="T441" s="738"/>
      <c r="U441" s="738"/>
      <c r="V441" s="738"/>
      <c r="W441" s="738"/>
      <c r="X441" s="817"/>
      <c r="Y441" s="816"/>
      <c r="Z441" s="738"/>
      <c r="AA441" s="738"/>
      <c r="AB441" s="738"/>
      <c r="AC441" s="738"/>
      <c r="AD441" s="817"/>
      <c r="AF441"/>
      <c r="AG441">
        <f t="shared" si="49"/>
        <v>0</v>
      </c>
      <c r="AH441">
        <f t="shared" si="50"/>
        <v>0</v>
      </c>
      <c r="AJ441">
        <f t="shared" si="51"/>
        <v>0</v>
      </c>
      <c r="AK441">
        <f t="shared" si="52"/>
        <v>0</v>
      </c>
      <c r="AL441">
        <f t="shared" si="53"/>
        <v>0</v>
      </c>
    </row>
    <row r="442" spans="1:39" ht="72" customHeight="1">
      <c r="A442" s="49"/>
      <c r="B442" s="38"/>
      <c r="C442" s="1109"/>
      <c r="D442" s="954"/>
      <c r="E442" s="956"/>
      <c r="F442" s="1110" t="s">
        <v>4975</v>
      </c>
      <c r="G442" s="1110"/>
      <c r="H442" s="178"/>
      <c r="I442" s="1111" t="s">
        <v>4976</v>
      </c>
      <c r="J442" s="1111"/>
      <c r="K442" s="1111"/>
      <c r="L442" s="1112"/>
      <c r="M442" s="816"/>
      <c r="N442" s="738"/>
      <c r="O442" s="738"/>
      <c r="P442" s="738"/>
      <c r="Q442" s="738"/>
      <c r="R442" s="817"/>
      <c r="S442" s="816"/>
      <c r="T442" s="738"/>
      <c r="U442" s="738"/>
      <c r="V442" s="738"/>
      <c r="W442" s="738"/>
      <c r="X442" s="817"/>
      <c r="Y442" s="816"/>
      <c r="Z442" s="738"/>
      <c r="AA442" s="738"/>
      <c r="AB442" s="738"/>
      <c r="AC442" s="738"/>
      <c r="AD442" s="817"/>
      <c r="AF442"/>
      <c r="AG442">
        <f t="shared" si="49"/>
        <v>0</v>
      </c>
      <c r="AH442">
        <f t="shared" si="50"/>
        <v>0</v>
      </c>
      <c r="AJ442">
        <f t="shared" si="51"/>
        <v>0</v>
      </c>
      <c r="AK442">
        <f t="shared" si="52"/>
        <v>0</v>
      </c>
      <c r="AL442">
        <f t="shared" si="53"/>
        <v>0</v>
      </c>
    </row>
    <row r="443" spans="1:39" ht="15" customHeight="1">
      <c r="A443" s="49"/>
      <c r="B443" s="38"/>
      <c r="C443" s="1109"/>
      <c r="D443" s="954"/>
      <c r="E443" s="956"/>
      <c r="F443" s="1110" t="s">
        <v>4977</v>
      </c>
      <c r="G443" s="1110"/>
      <c r="H443" s="178"/>
      <c r="I443" s="1111" t="s">
        <v>201</v>
      </c>
      <c r="J443" s="1111"/>
      <c r="K443" s="1111"/>
      <c r="L443" s="1112"/>
      <c r="M443" s="816"/>
      <c r="N443" s="738"/>
      <c r="O443" s="738"/>
      <c r="P443" s="738"/>
      <c r="Q443" s="738"/>
      <c r="R443" s="817"/>
      <c r="S443" s="816"/>
      <c r="T443" s="738"/>
      <c r="U443" s="738"/>
      <c r="V443" s="738"/>
      <c r="W443" s="738"/>
      <c r="X443" s="817"/>
      <c r="Y443" s="816"/>
      <c r="Z443" s="738"/>
      <c r="AA443" s="738"/>
      <c r="AB443" s="738"/>
      <c r="AC443" s="738"/>
      <c r="AD443" s="817"/>
      <c r="AF443"/>
      <c r="AG443">
        <f t="shared" si="49"/>
        <v>0</v>
      </c>
      <c r="AH443">
        <f t="shared" si="50"/>
        <v>0</v>
      </c>
      <c r="AJ443">
        <f t="shared" si="51"/>
        <v>0</v>
      </c>
      <c r="AK443">
        <f t="shared" si="52"/>
        <v>0</v>
      </c>
      <c r="AL443">
        <f t="shared" si="53"/>
        <v>0</v>
      </c>
    </row>
    <row r="444" spans="1:39" ht="36" customHeight="1">
      <c r="A444" s="49"/>
      <c r="B444" s="38"/>
      <c r="C444" s="1109"/>
      <c r="D444" s="954"/>
      <c r="E444" s="956"/>
      <c r="F444" s="1103" t="s">
        <v>4978</v>
      </c>
      <c r="G444" s="1103"/>
      <c r="H444" s="1104" t="s">
        <v>4979</v>
      </c>
      <c r="I444" s="1105"/>
      <c r="J444" s="1105"/>
      <c r="K444" s="1105"/>
      <c r="L444" s="1106"/>
      <c r="M444" s="816"/>
      <c r="N444" s="738"/>
      <c r="O444" s="738"/>
      <c r="P444" s="738"/>
      <c r="Q444" s="738"/>
      <c r="R444" s="817"/>
      <c r="S444" s="816"/>
      <c r="T444" s="738"/>
      <c r="U444" s="738"/>
      <c r="V444" s="738"/>
      <c r="W444" s="738"/>
      <c r="X444" s="817"/>
      <c r="Y444" s="816"/>
      <c r="Z444" s="738"/>
      <c r="AA444" s="738"/>
      <c r="AB444" s="738"/>
      <c r="AC444" s="738"/>
      <c r="AD444" s="817"/>
      <c r="AF444">
        <f>IF(M444="NA",IF(AND(COUNTIF(M445:M452,"="&amp;$AF$361)=0,COUNTIF(M445:M452,"&lt;&gt;NA")&gt;0),1,0),IF(AND(COUNTIF(M445:M452,"="&amp;$AF$361)=0,COUNTIF(M445:M452,"NA")=COUNTIF(M445:M452,"&lt;&gt;"&amp;$AF$361)),1,0))</f>
        <v>0</v>
      </c>
      <c r="AG444">
        <f t="shared" si="49"/>
        <v>0</v>
      </c>
      <c r="AH444">
        <f t="shared" si="50"/>
        <v>0</v>
      </c>
      <c r="AJ444">
        <f t="shared" si="51"/>
        <v>0</v>
      </c>
      <c r="AK444">
        <f t="shared" si="52"/>
        <v>0</v>
      </c>
      <c r="AL444">
        <f t="shared" si="53"/>
        <v>0</v>
      </c>
    </row>
    <row r="445" spans="1:39" ht="24" customHeight="1">
      <c r="A445" s="49"/>
      <c r="B445" s="38"/>
      <c r="C445" s="1109"/>
      <c r="D445" s="954"/>
      <c r="E445" s="956"/>
      <c r="F445" s="1110" t="s">
        <v>4980</v>
      </c>
      <c r="G445" s="1110"/>
      <c r="H445" s="178"/>
      <c r="I445" s="1111" t="s">
        <v>4981</v>
      </c>
      <c r="J445" s="1111"/>
      <c r="K445" s="1111"/>
      <c r="L445" s="1112"/>
      <c r="M445" s="816"/>
      <c r="N445" s="738"/>
      <c r="O445" s="738"/>
      <c r="P445" s="738"/>
      <c r="Q445" s="738"/>
      <c r="R445" s="817"/>
      <c r="S445" s="816"/>
      <c r="T445" s="738"/>
      <c r="U445" s="738"/>
      <c r="V445" s="738"/>
      <c r="W445" s="738"/>
      <c r="X445" s="817"/>
      <c r="Y445" s="816"/>
      <c r="Z445" s="738"/>
      <c r="AA445" s="738"/>
      <c r="AB445" s="738"/>
      <c r="AC445" s="738"/>
      <c r="AD445" s="817"/>
      <c r="AF445"/>
      <c r="AG445">
        <f t="shared" si="49"/>
        <v>0</v>
      </c>
      <c r="AH445">
        <f t="shared" si="50"/>
        <v>0</v>
      </c>
      <c r="AJ445">
        <f t="shared" si="51"/>
        <v>0</v>
      </c>
      <c r="AK445">
        <f t="shared" si="52"/>
        <v>0</v>
      </c>
      <c r="AL445">
        <f t="shared" si="53"/>
        <v>0</v>
      </c>
    </row>
    <row r="446" spans="1:39" ht="24" customHeight="1">
      <c r="A446" s="49"/>
      <c r="B446" s="38"/>
      <c r="C446" s="1109"/>
      <c r="D446" s="954"/>
      <c r="E446" s="956"/>
      <c r="F446" s="1110" t="s">
        <v>4982</v>
      </c>
      <c r="G446" s="1110"/>
      <c r="H446" s="178"/>
      <c r="I446" s="1111" t="s">
        <v>4983</v>
      </c>
      <c r="J446" s="1111"/>
      <c r="K446" s="1111"/>
      <c r="L446" s="1112"/>
      <c r="M446" s="816"/>
      <c r="N446" s="738"/>
      <c r="O446" s="738"/>
      <c r="P446" s="738"/>
      <c r="Q446" s="738"/>
      <c r="R446" s="817"/>
      <c r="S446" s="816"/>
      <c r="T446" s="738"/>
      <c r="U446" s="738"/>
      <c r="V446" s="738"/>
      <c r="W446" s="738"/>
      <c r="X446" s="817"/>
      <c r="Y446" s="816"/>
      <c r="Z446" s="738"/>
      <c r="AA446" s="738"/>
      <c r="AB446" s="738"/>
      <c r="AC446" s="738"/>
      <c r="AD446" s="817"/>
      <c r="AF446"/>
      <c r="AG446">
        <f t="shared" si="49"/>
        <v>0</v>
      </c>
      <c r="AH446">
        <f t="shared" si="50"/>
        <v>0</v>
      </c>
      <c r="AJ446">
        <f t="shared" si="51"/>
        <v>0</v>
      </c>
      <c r="AK446">
        <f t="shared" si="52"/>
        <v>0</v>
      </c>
      <c r="AL446">
        <f t="shared" si="53"/>
        <v>0</v>
      </c>
    </row>
    <row r="447" spans="1:39" ht="24" customHeight="1">
      <c r="A447" s="49"/>
      <c r="B447" s="38"/>
      <c r="C447" s="1109"/>
      <c r="D447" s="954"/>
      <c r="E447" s="956"/>
      <c r="F447" s="1110" t="s">
        <v>4984</v>
      </c>
      <c r="G447" s="1110"/>
      <c r="H447" s="178"/>
      <c r="I447" s="1111" t="s">
        <v>4985</v>
      </c>
      <c r="J447" s="1111"/>
      <c r="K447" s="1111"/>
      <c r="L447" s="1112"/>
      <c r="M447" s="816"/>
      <c r="N447" s="738"/>
      <c r="O447" s="738"/>
      <c r="P447" s="738"/>
      <c r="Q447" s="738"/>
      <c r="R447" s="817"/>
      <c r="S447" s="816"/>
      <c r="T447" s="738"/>
      <c r="U447" s="738"/>
      <c r="V447" s="738"/>
      <c r="W447" s="738"/>
      <c r="X447" s="817"/>
      <c r="Y447" s="816"/>
      <c r="Z447" s="738"/>
      <c r="AA447" s="738"/>
      <c r="AB447" s="738"/>
      <c r="AC447" s="738"/>
      <c r="AD447" s="817"/>
      <c r="AF447"/>
      <c r="AG447">
        <f t="shared" si="49"/>
        <v>0</v>
      </c>
      <c r="AH447">
        <f t="shared" si="50"/>
        <v>0</v>
      </c>
      <c r="AJ447">
        <f t="shared" si="51"/>
        <v>0</v>
      </c>
      <c r="AK447">
        <f t="shared" si="52"/>
        <v>0</v>
      </c>
      <c r="AL447">
        <f t="shared" si="53"/>
        <v>0</v>
      </c>
    </row>
    <row r="448" spans="1:39" ht="24" customHeight="1">
      <c r="A448" s="49"/>
      <c r="B448" s="38"/>
      <c r="C448" s="1109"/>
      <c r="D448" s="954"/>
      <c r="E448" s="956"/>
      <c r="F448" s="1110" t="s">
        <v>4986</v>
      </c>
      <c r="G448" s="1110"/>
      <c r="H448" s="178"/>
      <c r="I448" s="1111" t="s">
        <v>4987</v>
      </c>
      <c r="J448" s="1111"/>
      <c r="K448" s="1111"/>
      <c r="L448" s="1112"/>
      <c r="M448" s="816"/>
      <c r="N448" s="738"/>
      <c r="O448" s="738"/>
      <c r="P448" s="738"/>
      <c r="Q448" s="738"/>
      <c r="R448" s="817"/>
      <c r="S448" s="816"/>
      <c r="T448" s="738"/>
      <c r="U448" s="738"/>
      <c r="V448" s="738"/>
      <c r="W448" s="738"/>
      <c r="X448" s="817"/>
      <c r="Y448" s="816"/>
      <c r="Z448" s="738"/>
      <c r="AA448" s="738"/>
      <c r="AB448" s="738"/>
      <c r="AC448" s="738"/>
      <c r="AD448" s="817"/>
      <c r="AF448"/>
      <c r="AG448">
        <f t="shared" si="49"/>
        <v>0</v>
      </c>
      <c r="AH448">
        <f t="shared" si="50"/>
        <v>0</v>
      </c>
      <c r="AJ448">
        <f t="shared" si="51"/>
        <v>0</v>
      </c>
      <c r="AK448">
        <f t="shared" si="52"/>
        <v>0</v>
      </c>
      <c r="AL448">
        <f t="shared" si="53"/>
        <v>0</v>
      </c>
    </row>
    <row r="449" spans="1:38" ht="24" customHeight="1">
      <c r="A449" s="49"/>
      <c r="B449" s="38"/>
      <c r="C449" s="1109"/>
      <c r="D449" s="954"/>
      <c r="E449" s="956"/>
      <c r="F449" s="1110" t="s">
        <v>4988</v>
      </c>
      <c r="G449" s="1110"/>
      <c r="H449" s="178"/>
      <c r="I449" s="1111" t="s">
        <v>4989</v>
      </c>
      <c r="J449" s="1111"/>
      <c r="K449" s="1111"/>
      <c r="L449" s="1112"/>
      <c r="M449" s="816"/>
      <c r="N449" s="738"/>
      <c r="O449" s="738"/>
      <c r="P449" s="738"/>
      <c r="Q449" s="738"/>
      <c r="R449" s="817"/>
      <c r="S449" s="816"/>
      <c r="T449" s="738"/>
      <c r="U449" s="738"/>
      <c r="V449" s="738"/>
      <c r="W449" s="738"/>
      <c r="X449" s="817"/>
      <c r="Y449" s="816"/>
      <c r="Z449" s="738"/>
      <c r="AA449" s="738"/>
      <c r="AB449" s="738"/>
      <c r="AC449" s="738"/>
      <c r="AD449" s="817"/>
      <c r="AF449"/>
      <c r="AG449">
        <f t="shared" si="49"/>
        <v>0</v>
      </c>
      <c r="AH449">
        <f t="shared" si="50"/>
        <v>0</v>
      </c>
      <c r="AJ449">
        <f t="shared" si="51"/>
        <v>0</v>
      </c>
      <c r="AK449">
        <f t="shared" si="52"/>
        <v>0</v>
      </c>
      <c r="AL449">
        <f t="shared" si="53"/>
        <v>0</v>
      </c>
    </row>
    <row r="450" spans="1:38" ht="24" customHeight="1">
      <c r="A450" s="49"/>
      <c r="B450" s="38"/>
      <c r="C450" s="1109"/>
      <c r="D450" s="954"/>
      <c r="E450" s="956"/>
      <c r="F450" s="1110" t="s">
        <v>4990</v>
      </c>
      <c r="G450" s="1110"/>
      <c r="H450" s="178"/>
      <c r="I450" s="1111" t="s">
        <v>4991</v>
      </c>
      <c r="J450" s="1111"/>
      <c r="K450" s="1111"/>
      <c r="L450" s="1112"/>
      <c r="M450" s="816"/>
      <c r="N450" s="738"/>
      <c r="O450" s="738"/>
      <c r="P450" s="738"/>
      <c r="Q450" s="738"/>
      <c r="R450" s="817"/>
      <c r="S450" s="816"/>
      <c r="T450" s="738"/>
      <c r="U450" s="738"/>
      <c r="V450" s="738"/>
      <c r="W450" s="738"/>
      <c r="X450" s="817"/>
      <c r="Y450" s="816"/>
      <c r="Z450" s="738"/>
      <c r="AA450" s="738"/>
      <c r="AB450" s="738"/>
      <c r="AC450" s="738"/>
      <c r="AD450" s="817"/>
      <c r="AF450"/>
      <c r="AG450">
        <f t="shared" si="49"/>
        <v>0</v>
      </c>
      <c r="AH450">
        <f t="shared" si="50"/>
        <v>0</v>
      </c>
      <c r="AJ450">
        <f t="shared" si="51"/>
        <v>0</v>
      </c>
      <c r="AK450">
        <f t="shared" si="52"/>
        <v>0</v>
      </c>
      <c r="AL450">
        <f t="shared" si="53"/>
        <v>0</v>
      </c>
    </row>
    <row r="451" spans="1:38" ht="48" customHeight="1">
      <c r="A451" s="49"/>
      <c r="B451" s="38"/>
      <c r="C451" s="1109"/>
      <c r="D451" s="954"/>
      <c r="E451" s="956"/>
      <c r="F451" s="1110" t="s">
        <v>4992</v>
      </c>
      <c r="G451" s="1110"/>
      <c r="H451" s="178"/>
      <c r="I451" s="1111" t="s">
        <v>4993</v>
      </c>
      <c r="J451" s="1111"/>
      <c r="K451" s="1111"/>
      <c r="L451" s="1112"/>
      <c r="M451" s="816"/>
      <c r="N451" s="738"/>
      <c r="O451" s="738"/>
      <c r="P451" s="738"/>
      <c r="Q451" s="738"/>
      <c r="R451" s="817"/>
      <c r="S451" s="816"/>
      <c r="T451" s="738"/>
      <c r="U451" s="738"/>
      <c r="V451" s="738"/>
      <c r="W451" s="738"/>
      <c r="X451" s="817"/>
      <c r="Y451" s="816"/>
      <c r="Z451" s="738"/>
      <c r="AA451" s="738"/>
      <c r="AB451" s="738"/>
      <c r="AC451" s="738"/>
      <c r="AD451" s="817"/>
      <c r="AF451"/>
      <c r="AG451">
        <f t="shared" si="49"/>
        <v>0</v>
      </c>
      <c r="AH451">
        <f t="shared" si="50"/>
        <v>0</v>
      </c>
      <c r="AJ451">
        <f t="shared" si="51"/>
        <v>0</v>
      </c>
      <c r="AK451">
        <f t="shared" si="52"/>
        <v>0</v>
      </c>
      <c r="AL451">
        <f t="shared" si="53"/>
        <v>0</v>
      </c>
    </row>
    <row r="452" spans="1:38" ht="15" customHeight="1">
      <c r="A452" s="49"/>
      <c r="B452" s="38"/>
      <c r="C452" s="1109"/>
      <c r="D452" s="954"/>
      <c r="E452" s="956"/>
      <c r="F452" s="1110" t="s">
        <v>4994</v>
      </c>
      <c r="G452" s="1110"/>
      <c r="H452" s="178"/>
      <c r="I452" s="1111" t="s">
        <v>201</v>
      </c>
      <c r="J452" s="1111"/>
      <c r="K452" s="1111"/>
      <c r="L452" s="1112"/>
      <c r="M452" s="816"/>
      <c r="N452" s="738"/>
      <c r="O452" s="738"/>
      <c r="P452" s="738"/>
      <c r="Q452" s="738"/>
      <c r="R452" s="817"/>
      <c r="S452" s="816"/>
      <c r="T452" s="738"/>
      <c r="U452" s="738"/>
      <c r="V452" s="738"/>
      <c r="W452" s="738"/>
      <c r="X452" s="817"/>
      <c r="Y452" s="816"/>
      <c r="Z452" s="738"/>
      <c r="AA452" s="738"/>
      <c r="AB452" s="738"/>
      <c r="AC452" s="738"/>
      <c r="AD452" s="817"/>
      <c r="AF452"/>
      <c r="AG452">
        <f t="shared" si="49"/>
        <v>0</v>
      </c>
      <c r="AH452">
        <f t="shared" si="50"/>
        <v>0</v>
      </c>
      <c r="AJ452">
        <f t="shared" si="51"/>
        <v>0</v>
      </c>
      <c r="AK452">
        <f t="shared" si="52"/>
        <v>0</v>
      </c>
      <c r="AL452">
        <f t="shared" si="53"/>
        <v>0</v>
      </c>
    </row>
    <row r="453" spans="1:38" ht="15" customHeight="1">
      <c r="A453" s="49"/>
      <c r="B453" s="38"/>
      <c r="C453" s="1109"/>
      <c r="D453" s="954"/>
      <c r="E453" s="956"/>
      <c r="F453" s="1103" t="s">
        <v>4995</v>
      </c>
      <c r="G453" s="1103"/>
      <c r="H453" s="1104" t="s">
        <v>4996</v>
      </c>
      <c r="I453" s="1105"/>
      <c r="J453" s="1105"/>
      <c r="K453" s="1105"/>
      <c r="L453" s="1106"/>
      <c r="M453" s="816"/>
      <c r="N453" s="738"/>
      <c r="O453" s="738"/>
      <c r="P453" s="738"/>
      <c r="Q453" s="738"/>
      <c r="R453" s="817"/>
      <c r="S453" s="816"/>
      <c r="T453" s="738"/>
      <c r="U453" s="738"/>
      <c r="V453" s="738"/>
      <c r="W453" s="738"/>
      <c r="X453" s="817"/>
      <c r="Y453" s="816"/>
      <c r="Z453" s="738"/>
      <c r="AA453" s="738"/>
      <c r="AB453" s="738"/>
      <c r="AC453" s="738"/>
      <c r="AD453" s="817"/>
      <c r="AF453"/>
      <c r="AG453">
        <f t="shared" si="49"/>
        <v>0</v>
      </c>
      <c r="AH453">
        <f t="shared" si="50"/>
        <v>0</v>
      </c>
      <c r="AJ453">
        <f t="shared" si="51"/>
        <v>0</v>
      </c>
      <c r="AK453">
        <f t="shared" si="52"/>
        <v>0</v>
      </c>
      <c r="AL453">
        <f t="shared" si="53"/>
        <v>0</v>
      </c>
    </row>
    <row r="454" spans="1:38" ht="36" customHeight="1">
      <c r="A454" s="49"/>
      <c r="B454" s="38"/>
      <c r="C454" s="1109"/>
      <c r="D454" s="954"/>
      <c r="E454" s="956"/>
      <c r="F454" s="1103" t="s">
        <v>4997</v>
      </c>
      <c r="G454" s="1103"/>
      <c r="H454" s="1104" t="s">
        <v>4998</v>
      </c>
      <c r="I454" s="1105"/>
      <c r="J454" s="1105"/>
      <c r="K454" s="1105"/>
      <c r="L454" s="1106"/>
      <c r="M454" s="816"/>
      <c r="N454" s="738"/>
      <c r="O454" s="738"/>
      <c r="P454" s="738"/>
      <c r="Q454" s="738"/>
      <c r="R454" s="817"/>
      <c r="S454" s="816"/>
      <c r="T454" s="738"/>
      <c r="U454" s="738"/>
      <c r="V454" s="738"/>
      <c r="W454" s="738"/>
      <c r="X454" s="817"/>
      <c r="Y454" s="816"/>
      <c r="Z454" s="738"/>
      <c r="AA454" s="738"/>
      <c r="AB454" s="738"/>
      <c r="AC454" s="738"/>
      <c r="AD454" s="817"/>
      <c r="AF454"/>
      <c r="AG454">
        <f t="shared" si="49"/>
        <v>0</v>
      </c>
      <c r="AH454">
        <f t="shared" si="50"/>
        <v>0</v>
      </c>
      <c r="AJ454">
        <f t="shared" si="51"/>
        <v>0</v>
      </c>
      <c r="AK454">
        <f t="shared" si="52"/>
        <v>0</v>
      </c>
      <c r="AL454">
        <f t="shared" si="53"/>
        <v>0</v>
      </c>
    </row>
    <row r="455" spans="1:38" ht="24" customHeight="1">
      <c r="A455" s="49"/>
      <c r="B455" s="38"/>
      <c r="C455" s="1109"/>
      <c r="D455" s="954"/>
      <c r="E455" s="956"/>
      <c r="F455" s="1103" t="s">
        <v>4999</v>
      </c>
      <c r="G455" s="1103"/>
      <c r="H455" s="1104" t="s">
        <v>5000</v>
      </c>
      <c r="I455" s="1105"/>
      <c r="J455" s="1105"/>
      <c r="K455" s="1105"/>
      <c r="L455" s="1106"/>
      <c r="M455" s="816"/>
      <c r="N455" s="738"/>
      <c r="O455" s="738"/>
      <c r="P455" s="738"/>
      <c r="Q455" s="738"/>
      <c r="R455" s="817"/>
      <c r="S455" s="816"/>
      <c r="T455" s="738"/>
      <c r="U455" s="738"/>
      <c r="V455" s="738"/>
      <c r="W455" s="738"/>
      <c r="X455" s="817"/>
      <c r="Y455" s="816"/>
      <c r="Z455" s="738"/>
      <c r="AA455" s="738"/>
      <c r="AB455" s="738"/>
      <c r="AC455" s="738"/>
      <c r="AD455" s="817"/>
      <c r="AF455"/>
      <c r="AG455">
        <f t="shared" si="49"/>
        <v>0</v>
      </c>
      <c r="AH455">
        <f t="shared" si="50"/>
        <v>0</v>
      </c>
      <c r="AJ455">
        <f t="shared" si="51"/>
        <v>0</v>
      </c>
      <c r="AK455">
        <f t="shared" si="52"/>
        <v>0</v>
      </c>
      <c r="AL455">
        <f t="shared" si="53"/>
        <v>0</v>
      </c>
    </row>
    <row r="456" spans="1:38" ht="36" customHeight="1">
      <c r="A456" s="49"/>
      <c r="B456" s="38"/>
      <c r="C456" s="1109"/>
      <c r="D456" s="954"/>
      <c r="E456" s="956"/>
      <c r="F456" s="1103" t="s">
        <v>5001</v>
      </c>
      <c r="G456" s="1103"/>
      <c r="H456" s="1104" t="s">
        <v>5002</v>
      </c>
      <c r="I456" s="1105"/>
      <c r="J456" s="1105"/>
      <c r="K456" s="1105"/>
      <c r="L456" s="1106"/>
      <c r="M456" s="816"/>
      <c r="N456" s="738"/>
      <c r="O456" s="738"/>
      <c r="P456" s="738"/>
      <c r="Q456" s="738"/>
      <c r="R456" s="817"/>
      <c r="S456" s="816"/>
      <c r="T456" s="738"/>
      <c r="U456" s="738"/>
      <c r="V456" s="738"/>
      <c r="W456" s="738"/>
      <c r="X456" s="817"/>
      <c r="Y456" s="816"/>
      <c r="Z456" s="738"/>
      <c r="AA456" s="738"/>
      <c r="AB456" s="738"/>
      <c r="AC456" s="738"/>
      <c r="AD456" s="817"/>
      <c r="AF456">
        <f>IF(M456="NA",IF(AND(COUNTIF(M457:M462,"="&amp;$AF$361)=0,COUNTIF(M457:M462,"&lt;&gt;NA")&gt;0),1,0),IF(AND(COUNTIF(M457:M462,"="&amp;$AF$361)=0,COUNTIF(M457:M462,"NA")=COUNTIF(M457:M462,"&lt;&gt;"&amp;$AF$361)),1,0))</f>
        <v>0</v>
      </c>
      <c r="AG456">
        <f t="shared" si="49"/>
        <v>0</v>
      </c>
      <c r="AH456">
        <f t="shared" si="50"/>
        <v>0</v>
      </c>
      <c r="AJ456">
        <f t="shared" si="51"/>
        <v>0</v>
      </c>
      <c r="AK456">
        <f t="shared" si="52"/>
        <v>0</v>
      </c>
      <c r="AL456">
        <f t="shared" si="53"/>
        <v>0</v>
      </c>
    </row>
    <row r="457" spans="1:38" ht="24" customHeight="1">
      <c r="A457" s="49"/>
      <c r="B457" s="38"/>
      <c r="C457" s="1109"/>
      <c r="D457" s="954"/>
      <c r="E457" s="956"/>
      <c r="F457" s="1110" t="s">
        <v>5003</v>
      </c>
      <c r="G457" s="1110"/>
      <c r="H457" s="178"/>
      <c r="I457" s="1111" t="s">
        <v>5004</v>
      </c>
      <c r="J457" s="1111"/>
      <c r="K457" s="1111"/>
      <c r="L457" s="1112"/>
      <c r="M457" s="816"/>
      <c r="N457" s="738"/>
      <c r="O457" s="738"/>
      <c r="P457" s="738"/>
      <c r="Q457" s="738"/>
      <c r="R457" s="817"/>
      <c r="S457" s="816"/>
      <c r="T457" s="738"/>
      <c r="U457" s="738"/>
      <c r="V457" s="738"/>
      <c r="W457" s="738"/>
      <c r="X457" s="817"/>
      <c r="Y457" s="816"/>
      <c r="Z457" s="738"/>
      <c r="AA457" s="738"/>
      <c r="AB457" s="738"/>
      <c r="AC457" s="738"/>
      <c r="AD457" s="817"/>
      <c r="AF457"/>
      <c r="AG457">
        <f t="shared" si="49"/>
        <v>0</v>
      </c>
      <c r="AH457">
        <f t="shared" si="50"/>
        <v>0</v>
      </c>
      <c r="AJ457">
        <f t="shared" si="51"/>
        <v>0</v>
      </c>
      <c r="AK457">
        <f t="shared" si="52"/>
        <v>0</v>
      </c>
      <c r="AL457">
        <f t="shared" si="53"/>
        <v>0</v>
      </c>
    </row>
    <row r="458" spans="1:38" ht="36" customHeight="1">
      <c r="A458" s="49"/>
      <c r="B458" s="38"/>
      <c r="C458" s="1109"/>
      <c r="D458" s="954"/>
      <c r="E458" s="956"/>
      <c r="F458" s="1110" t="s">
        <v>5005</v>
      </c>
      <c r="G458" s="1110"/>
      <c r="H458" s="178"/>
      <c r="I458" s="1111" t="s">
        <v>5006</v>
      </c>
      <c r="J458" s="1111"/>
      <c r="K458" s="1111"/>
      <c r="L458" s="1112"/>
      <c r="M458" s="816"/>
      <c r="N458" s="738"/>
      <c r="O458" s="738"/>
      <c r="P458" s="738"/>
      <c r="Q458" s="738"/>
      <c r="R458" s="817"/>
      <c r="S458" s="816"/>
      <c r="T458" s="738"/>
      <c r="U458" s="738"/>
      <c r="V458" s="738"/>
      <c r="W458" s="738"/>
      <c r="X458" s="817"/>
      <c r="Y458" s="816"/>
      <c r="Z458" s="738"/>
      <c r="AA458" s="738"/>
      <c r="AB458" s="738"/>
      <c r="AC458" s="738"/>
      <c r="AD458" s="817"/>
      <c r="AF458"/>
      <c r="AG458">
        <f t="shared" si="49"/>
        <v>0</v>
      </c>
      <c r="AH458">
        <f t="shared" si="50"/>
        <v>0</v>
      </c>
      <c r="AJ458">
        <f t="shared" si="51"/>
        <v>0</v>
      </c>
      <c r="AK458">
        <f t="shared" si="52"/>
        <v>0</v>
      </c>
      <c r="AL458">
        <f t="shared" si="53"/>
        <v>0</v>
      </c>
    </row>
    <row r="459" spans="1:38" ht="24" customHeight="1">
      <c r="A459" s="49"/>
      <c r="B459" s="38"/>
      <c r="C459" s="1109"/>
      <c r="D459" s="954"/>
      <c r="E459" s="956"/>
      <c r="F459" s="1110" t="s">
        <v>5007</v>
      </c>
      <c r="G459" s="1110"/>
      <c r="H459" s="178"/>
      <c r="I459" s="1111" t="s">
        <v>5008</v>
      </c>
      <c r="J459" s="1111"/>
      <c r="K459" s="1111"/>
      <c r="L459" s="1112"/>
      <c r="M459" s="816"/>
      <c r="N459" s="738"/>
      <c r="O459" s="738"/>
      <c r="P459" s="738"/>
      <c r="Q459" s="738"/>
      <c r="R459" s="817"/>
      <c r="S459" s="816"/>
      <c r="T459" s="738"/>
      <c r="U459" s="738"/>
      <c r="V459" s="738"/>
      <c r="W459" s="738"/>
      <c r="X459" s="817"/>
      <c r="Y459" s="816"/>
      <c r="Z459" s="738"/>
      <c r="AA459" s="738"/>
      <c r="AB459" s="738"/>
      <c r="AC459" s="738"/>
      <c r="AD459" s="817"/>
      <c r="AF459"/>
      <c r="AG459">
        <f t="shared" si="49"/>
        <v>0</v>
      </c>
      <c r="AH459">
        <f t="shared" si="50"/>
        <v>0</v>
      </c>
      <c r="AJ459">
        <f t="shared" si="51"/>
        <v>0</v>
      </c>
      <c r="AK459">
        <f t="shared" si="52"/>
        <v>0</v>
      </c>
      <c r="AL459">
        <f t="shared" si="53"/>
        <v>0</v>
      </c>
    </row>
    <row r="460" spans="1:38" ht="48" customHeight="1">
      <c r="A460" s="49"/>
      <c r="B460" s="38"/>
      <c r="C460" s="1109"/>
      <c r="D460" s="954"/>
      <c r="E460" s="956"/>
      <c r="F460" s="1110" t="s">
        <v>5009</v>
      </c>
      <c r="G460" s="1110"/>
      <c r="H460" s="178"/>
      <c r="I460" s="1111" t="s">
        <v>5010</v>
      </c>
      <c r="J460" s="1111"/>
      <c r="K460" s="1111"/>
      <c r="L460" s="1112"/>
      <c r="M460" s="816"/>
      <c r="N460" s="738"/>
      <c r="O460" s="738"/>
      <c r="P460" s="738"/>
      <c r="Q460" s="738"/>
      <c r="R460" s="817"/>
      <c r="S460" s="816"/>
      <c r="T460" s="738"/>
      <c r="U460" s="738"/>
      <c r="V460" s="738"/>
      <c r="W460" s="738"/>
      <c r="X460" s="817"/>
      <c r="Y460" s="816"/>
      <c r="Z460" s="738"/>
      <c r="AA460" s="738"/>
      <c r="AB460" s="738"/>
      <c r="AC460" s="738"/>
      <c r="AD460" s="817"/>
      <c r="AF460"/>
      <c r="AG460">
        <f t="shared" si="49"/>
        <v>0</v>
      </c>
      <c r="AH460">
        <f t="shared" si="50"/>
        <v>0</v>
      </c>
      <c r="AJ460">
        <f t="shared" si="51"/>
        <v>0</v>
      </c>
      <c r="AK460">
        <f t="shared" si="52"/>
        <v>0</v>
      </c>
      <c r="AL460">
        <f t="shared" si="53"/>
        <v>0</v>
      </c>
    </row>
    <row r="461" spans="1:38" ht="60" customHeight="1">
      <c r="A461" s="49"/>
      <c r="B461" s="38"/>
      <c r="C461" s="1109"/>
      <c r="D461" s="954"/>
      <c r="E461" s="956"/>
      <c r="F461" s="1110" t="s">
        <v>5011</v>
      </c>
      <c r="G461" s="1110"/>
      <c r="H461" s="178"/>
      <c r="I461" s="1111" t="s">
        <v>5012</v>
      </c>
      <c r="J461" s="1111"/>
      <c r="K461" s="1111"/>
      <c r="L461" s="1112"/>
      <c r="M461" s="816"/>
      <c r="N461" s="738"/>
      <c r="O461" s="738"/>
      <c r="P461" s="738"/>
      <c r="Q461" s="738"/>
      <c r="R461" s="817"/>
      <c r="S461" s="816"/>
      <c r="T461" s="738"/>
      <c r="U461" s="738"/>
      <c r="V461" s="738"/>
      <c r="W461" s="738"/>
      <c r="X461" s="817"/>
      <c r="Y461" s="816"/>
      <c r="Z461" s="738"/>
      <c r="AA461" s="738"/>
      <c r="AB461" s="738"/>
      <c r="AC461" s="738"/>
      <c r="AD461" s="817"/>
      <c r="AF461"/>
      <c r="AG461">
        <f t="shared" si="49"/>
        <v>0</v>
      </c>
      <c r="AH461">
        <f t="shared" si="50"/>
        <v>0</v>
      </c>
      <c r="AJ461">
        <f t="shared" si="51"/>
        <v>0</v>
      </c>
      <c r="AK461">
        <f t="shared" si="52"/>
        <v>0</v>
      </c>
      <c r="AL461">
        <f t="shared" si="53"/>
        <v>0</v>
      </c>
    </row>
    <row r="462" spans="1:38" ht="15" customHeight="1">
      <c r="A462" s="49"/>
      <c r="B462" s="38"/>
      <c r="C462" s="1109"/>
      <c r="D462" s="954"/>
      <c r="E462" s="956"/>
      <c r="F462" s="1110" t="s">
        <v>5418</v>
      </c>
      <c r="G462" s="1110"/>
      <c r="H462" s="178"/>
      <c r="I462" s="1111" t="s">
        <v>201</v>
      </c>
      <c r="J462" s="1111"/>
      <c r="K462" s="1111"/>
      <c r="L462" s="1112"/>
      <c r="M462" s="816"/>
      <c r="N462" s="738"/>
      <c r="O462" s="738"/>
      <c r="P462" s="738"/>
      <c r="Q462" s="738"/>
      <c r="R462" s="817"/>
      <c r="S462" s="816"/>
      <c r="T462" s="738"/>
      <c r="U462" s="738"/>
      <c r="V462" s="738"/>
      <c r="W462" s="738"/>
      <c r="X462" s="817"/>
      <c r="Y462" s="816"/>
      <c r="Z462" s="738"/>
      <c r="AA462" s="738"/>
      <c r="AB462" s="738"/>
      <c r="AC462" s="738"/>
      <c r="AD462" s="817"/>
      <c r="AF462"/>
      <c r="AG462">
        <f t="shared" si="49"/>
        <v>0</v>
      </c>
      <c r="AH462">
        <f t="shared" si="50"/>
        <v>0</v>
      </c>
      <c r="AJ462">
        <f t="shared" si="51"/>
        <v>0</v>
      </c>
      <c r="AK462">
        <f t="shared" si="52"/>
        <v>0</v>
      </c>
      <c r="AL462">
        <f t="shared" si="53"/>
        <v>0</v>
      </c>
    </row>
    <row r="463" spans="1:38" ht="15" customHeight="1">
      <c r="A463" s="49"/>
      <c r="B463" s="38"/>
      <c r="C463" s="1109"/>
      <c r="D463" s="954"/>
      <c r="E463" s="956"/>
      <c r="F463" s="1103" t="s">
        <v>5014</v>
      </c>
      <c r="G463" s="1103"/>
      <c r="H463" s="1104" t="s">
        <v>5015</v>
      </c>
      <c r="I463" s="1105"/>
      <c r="J463" s="1105"/>
      <c r="K463" s="1105"/>
      <c r="L463" s="1106"/>
      <c r="M463" s="816"/>
      <c r="N463" s="738"/>
      <c r="O463" s="738"/>
      <c r="P463" s="738"/>
      <c r="Q463" s="738"/>
      <c r="R463" s="817"/>
      <c r="S463" s="816"/>
      <c r="T463" s="738"/>
      <c r="U463" s="738"/>
      <c r="V463" s="738"/>
      <c r="W463" s="738"/>
      <c r="X463" s="817"/>
      <c r="Y463" s="816"/>
      <c r="Z463" s="738"/>
      <c r="AA463" s="738"/>
      <c r="AB463" s="738"/>
      <c r="AC463" s="738"/>
      <c r="AD463" s="817"/>
      <c r="AF463"/>
      <c r="AG463">
        <f t="shared" si="49"/>
        <v>0</v>
      </c>
      <c r="AH463">
        <f t="shared" si="50"/>
        <v>0</v>
      </c>
      <c r="AJ463">
        <f t="shared" si="51"/>
        <v>0</v>
      </c>
      <c r="AK463">
        <f t="shared" si="52"/>
        <v>0</v>
      </c>
      <c r="AL463">
        <f t="shared" si="53"/>
        <v>0</v>
      </c>
    </row>
    <row r="464" spans="1:38" ht="15" customHeight="1">
      <c r="A464" s="49"/>
      <c r="B464" s="38"/>
      <c r="C464" s="1109"/>
      <c r="D464" s="954"/>
      <c r="E464" s="956"/>
      <c r="F464" s="1103" t="s">
        <v>5016</v>
      </c>
      <c r="G464" s="1103"/>
      <c r="H464" s="1104" t="s">
        <v>5017</v>
      </c>
      <c r="I464" s="1105"/>
      <c r="J464" s="1105"/>
      <c r="K464" s="1105"/>
      <c r="L464" s="1106"/>
      <c r="M464" s="816"/>
      <c r="N464" s="738"/>
      <c r="O464" s="738"/>
      <c r="P464" s="738"/>
      <c r="Q464" s="738"/>
      <c r="R464" s="817"/>
      <c r="S464" s="816"/>
      <c r="T464" s="738"/>
      <c r="U464" s="738"/>
      <c r="V464" s="738"/>
      <c r="W464" s="738"/>
      <c r="X464" s="817"/>
      <c r="Y464" s="816"/>
      <c r="Z464" s="738"/>
      <c r="AA464" s="738"/>
      <c r="AB464" s="738"/>
      <c r="AC464" s="738"/>
      <c r="AD464" s="817"/>
      <c r="AF464"/>
      <c r="AG464">
        <f t="shared" si="49"/>
        <v>0</v>
      </c>
      <c r="AH464">
        <f t="shared" si="50"/>
        <v>0</v>
      </c>
      <c r="AJ464">
        <f t="shared" si="51"/>
        <v>0</v>
      </c>
      <c r="AK464">
        <f t="shared" si="52"/>
        <v>0</v>
      </c>
      <c r="AL464">
        <f t="shared" si="53"/>
        <v>0</v>
      </c>
    </row>
    <row r="465" spans="1:39" ht="36" customHeight="1">
      <c r="A465" s="49"/>
      <c r="B465" s="38"/>
      <c r="C465" s="1109"/>
      <c r="D465" s="954"/>
      <c r="E465" s="956"/>
      <c r="F465" s="1103" t="s">
        <v>5018</v>
      </c>
      <c r="G465" s="1103"/>
      <c r="H465" s="1104" t="s">
        <v>5019</v>
      </c>
      <c r="I465" s="1105"/>
      <c r="J465" s="1105"/>
      <c r="K465" s="1105"/>
      <c r="L465" s="1106"/>
      <c r="M465" s="816"/>
      <c r="N465" s="738"/>
      <c r="O465" s="738"/>
      <c r="P465" s="738"/>
      <c r="Q465" s="738"/>
      <c r="R465" s="817"/>
      <c r="S465" s="816"/>
      <c r="T465" s="738"/>
      <c r="U465" s="738"/>
      <c r="V465" s="738"/>
      <c r="W465" s="738"/>
      <c r="X465" s="817"/>
      <c r="Y465" s="816"/>
      <c r="Z465" s="738"/>
      <c r="AA465" s="738"/>
      <c r="AB465" s="738"/>
      <c r="AC465" s="738"/>
      <c r="AD465" s="817"/>
      <c r="AF465"/>
      <c r="AG465">
        <f t="shared" si="49"/>
        <v>0</v>
      </c>
      <c r="AH465">
        <f t="shared" si="50"/>
        <v>0</v>
      </c>
      <c r="AJ465">
        <f t="shared" si="51"/>
        <v>0</v>
      </c>
      <c r="AK465">
        <f t="shared" si="52"/>
        <v>0</v>
      </c>
      <c r="AL465">
        <f t="shared" si="53"/>
        <v>0</v>
      </c>
      <c r="AM465">
        <f>IF(OR(M465="NS",M465="NA",$M$334=0,$M$334="NS",$M$334="NA"),0,IF((M465*(IFERROR(100/SUM(M437:M465),0)))&gt;25,1,0))</f>
        <v>0</v>
      </c>
    </row>
    <row r="466" spans="1:39" ht="24" customHeight="1">
      <c r="A466" s="49"/>
      <c r="B466" s="38"/>
      <c r="C466" s="732" t="s">
        <v>5020</v>
      </c>
      <c r="D466" s="847" t="s">
        <v>5021</v>
      </c>
      <c r="E466" s="848"/>
      <c r="F466" s="1103" t="s">
        <v>5022</v>
      </c>
      <c r="G466" s="1103"/>
      <c r="H466" s="1104" t="s">
        <v>5023</v>
      </c>
      <c r="I466" s="1105"/>
      <c r="J466" s="1105"/>
      <c r="K466" s="1105"/>
      <c r="L466" s="1106"/>
      <c r="M466" s="816"/>
      <c r="N466" s="738"/>
      <c r="O466" s="738"/>
      <c r="P466" s="738"/>
      <c r="Q466" s="738"/>
      <c r="R466" s="817"/>
      <c r="S466" s="816"/>
      <c r="T466" s="738"/>
      <c r="U466" s="738"/>
      <c r="V466" s="738"/>
      <c r="W466" s="738"/>
      <c r="X466" s="817"/>
      <c r="Y466" s="816"/>
      <c r="Z466" s="738"/>
      <c r="AA466" s="738"/>
      <c r="AB466" s="738"/>
      <c r="AC466" s="738"/>
      <c r="AD466" s="817"/>
      <c r="AF466">
        <f>IF(M466="NA",IF(AND(COUNTIF(M467:M475,"="&amp;$AF$361)=0,COUNTIF(M467:M475,"&lt;&gt;NA")&gt;0),1,0),IF(AND(COUNTIF(M467:M475,"="&amp;$AF$361)=0,COUNTIF(M467:M475,"NA")=COUNTIF(M467:M475,"&lt;&gt;"&amp;$AF$361)),1,0))</f>
        <v>0</v>
      </c>
      <c r="AG466">
        <f t="shared" si="49"/>
        <v>0</v>
      </c>
      <c r="AH466">
        <f t="shared" si="50"/>
        <v>0</v>
      </c>
      <c r="AJ466">
        <f t="shared" si="51"/>
        <v>0</v>
      </c>
      <c r="AK466">
        <f t="shared" si="52"/>
        <v>0</v>
      </c>
      <c r="AL466">
        <f t="shared" si="53"/>
        <v>0</v>
      </c>
    </row>
    <row r="467" spans="1:39" ht="24" customHeight="1">
      <c r="A467" s="49"/>
      <c r="B467" s="38"/>
      <c r="C467" s="732"/>
      <c r="D467" s="954"/>
      <c r="E467" s="956"/>
      <c r="F467" s="1110" t="s">
        <v>5024</v>
      </c>
      <c r="G467" s="1110"/>
      <c r="H467" s="178"/>
      <c r="I467" s="1111" t="s">
        <v>5025</v>
      </c>
      <c r="J467" s="1111"/>
      <c r="K467" s="1111"/>
      <c r="L467" s="1112"/>
      <c r="M467" s="816"/>
      <c r="N467" s="738"/>
      <c r="O467" s="738"/>
      <c r="P467" s="738"/>
      <c r="Q467" s="738"/>
      <c r="R467" s="817"/>
      <c r="S467" s="816"/>
      <c r="T467" s="738"/>
      <c r="U467" s="738"/>
      <c r="V467" s="738"/>
      <c r="W467" s="738"/>
      <c r="X467" s="817"/>
      <c r="Y467" s="816"/>
      <c r="Z467" s="738"/>
      <c r="AA467" s="738"/>
      <c r="AB467" s="738"/>
      <c r="AC467" s="738"/>
      <c r="AD467" s="817"/>
      <c r="AF467"/>
      <c r="AG467">
        <f t="shared" si="49"/>
        <v>0</v>
      </c>
      <c r="AH467">
        <f t="shared" si="50"/>
        <v>0</v>
      </c>
      <c r="AJ467">
        <f t="shared" si="51"/>
        <v>0</v>
      </c>
      <c r="AK467">
        <f t="shared" si="52"/>
        <v>0</v>
      </c>
      <c r="AL467">
        <f t="shared" si="53"/>
        <v>0</v>
      </c>
    </row>
    <row r="468" spans="1:39" ht="15" customHeight="1">
      <c r="A468" s="49"/>
      <c r="B468" s="38"/>
      <c r="C468" s="732"/>
      <c r="D468" s="954"/>
      <c r="E468" s="956"/>
      <c r="F468" s="1110" t="s">
        <v>5026</v>
      </c>
      <c r="G468" s="1110"/>
      <c r="H468" s="178"/>
      <c r="I468" s="1111" t="s">
        <v>5027</v>
      </c>
      <c r="J468" s="1111"/>
      <c r="K468" s="1111"/>
      <c r="L468" s="1112"/>
      <c r="M468" s="816"/>
      <c r="N468" s="738"/>
      <c r="O468" s="738"/>
      <c r="P468" s="738"/>
      <c r="Q468" s="738"/>
      <c r="R468" s="817"/>
      <c r="S468" s="816"/>
      <c r="T468" s="738"/>
      <c r="U468" s="738"/>
      <c r="V468" s="738"/>
      <c r="W468" s="738"/>
      <c r="X468" s="817"/>
      <c r="Y468" s="816"/>
      <c r="Z468" s="738"/>
      <c r="AA468" s="738"/>
      <c r="AB468" s="738"/>
      <c r="AC468" s="738"/>
      <c r="AD468" s="817"/>
      <c r="AF468"/>
      <c r="AG468">
        <f t="shared" si="49"/>
        <v>0</v>
      </c>
      <c r="AH468">
        <f t="shared" si="50"/>
        <v>0</v>
      </c>
      <c r="AJ468">
        <f t="shared" si="51"/>
        <v>0</v>
      </c>
      <c r="AK468">
        <f t="shared" si="52"/>
        <v>0</v>
      </c>
      <c r="AL468">
        <f t="shared" si="53"/>
        <v>0</v>
      </c>
    </row>
    <row r="469" spans="1:39" ht="15" customHeight="1">
      <c r="A469" s="49"/>
      <c r="B469" s="38"/>
      <c r="C469" s="732"/>
      <c r="D469" s="954"/>
      <c r="E469" s="956"/>
      <c r="F469" s="1110" t="s">
        <v>5028</v>
      </c>
      <c r="G469" s="1110"/>
      <c r="H469" s="178"/>
      <c r="I469" s="1111" t="s">
        <v>5029</v>
      </c>
      <c r="J469" s="1111"/>
      <c r="K469" s="1111"/>
      <c r="L469" s="1112"/>
      <c r="M469" s="816"/>
      <c r="N469" s="738"/>
      <c r="O469" s="738"/>
      <c r="P469" s="738"/>
      <c r="Q469" s="738"/>
      <c r="R469" s="817"/>
      <c r="S469" s="816"/>
      <c r="T469" s="738"/>
      <c r="U469" s="738"/>
      <c r="V469" s="738"/>
      <c r="W469" s="738"/>
      <c r="X469" s="817"/>
      <c r="Y469" s="816"/>
      <c r="Z469" s="738"/>
      <c r="AA469" s="738"/>
      <c r="AB469" s="738"/>
      <c r="AC469" s="738"/>
      <c r="AD469" s="817"/>
      <c r="AF469"/>
      <c r="AG469">
        <f t="shared" si="49"/>
        <v>0</v>
      </c>
      <c r="AH469">
        <f t="shared" si="50"/>
        <v>0</v>
      </c>
      <c r="AJ469">
        <f t="shared" si="51"/>
        <v>0</v>
      </c>
      <c r="AK469">
        <f t="shared" si="52"/>
        <v>0</v>
      </c>
      <c r="AL469">
        <f t="shared" si="53"/>
        <v>0</v>
      </c>
    </row>
    <row r="470" spans="1:39" ht="15" customHeight="1">
      <c r="A470" s="49"/>
      <c r="B470" s="38"/>
      <c r="C470" s="732"/>
      <c r="D470" s="954"/>
      <c r="E470" s="956"/>
      <c r="F470" s="1110" t="s">
        <v>5030</v>
      </c>
      <c r="G470" s="1110"/>
      <c r="H470" s="178"/>
      <c r="I470" s="1111" t="s">
        <v>5031</v>
      </c>
      <c r="J470" s="1111"/>
      <c r="K470" s="1111"/>
      <c r="L470" s="1112"/>
      <c r="M470" s="816"/>
      <c r="N470" s="738"/>
      <c r="O470" s="738"/>
      <c r="P470" s="738"/>
      <c r="Q470" s="738"/>
      <c r="R470" s="817"/>
      <c r="S470" s="816"/>
      <c r="T470" s="738"/>
      <c r="U470" s="738"/>
      <c r="V470" s="738"/>
      <c r="W470" s="738"/>
      <c r="X470" s="817"/>
      <c r="Y470" s="816"/>
      <c r="Z470" s="738"/>
      <c r="AA470" s="738"/>
      <c r="AB470" s="738"/>
      <c r="AC470" s="738"/>
      <c r="AD470" s="817"/>
      <c r="AF470"/>
      <c r="AG470">
        <f t="shared" si="49"/>
        <v>0</v>
      </c>
      <c r="AH470">
        <f t="shared" si="50"/>
        <v>0</v>
      </c>
      <c r="AJ470">
        <f t="shared" si="51"/>
        <v>0</v>
      </c>
      <c r="AK470">
        <f t="shared" si="52"/>
        <v>0</v>
      </c>
      <c r="AL470">
        <f t="shared" si="53"/>
        <v>0</v>
      </c>
    </row>
    <row r="471" spans="1:39" ht="24" customHeight="1">
      <c r="A471" s="49"/>
      <c r="B471" s="38"/>
      <c r="C471" s="732"/>
      <c r="D471" s="954"/>
      <c r="E471" s="956"/>
      <c r="F471" s="1110" t="s">
        <v>5032</v>
      </c>
      <c r="G471" s="1110"/>
      <c r="H471" s="178"/>
      <c r="I471" s="1111" t="s">
        <v>5033</v>
      </c>
      <c r="J471" s="1111"/>
      <c r="K471" s="1111"/>
      <c r="L471" s="1112"/>
      <c r="M471" s="816"/>
      <c r="N471" s="738"/>
      <c r="O471" s="738"/>
      <c r="P471" s="738"/>
      <c r="Q471" s="738"/>
      <c r="R471" s="817"/>
      <c r="S471" s="816"/>
      <c r="T471" s="738"/>
      <c r="U471" s="738"/>
      <c r="V471" s="738"/>
      <c r="W471" s="738"/>
      <c r="X471" s="817"/>
      <c r="Y471" s="816"/>
      <c r="Z471" s="738"/>
      <c r="AA471" s="738"/>
      <c r="AB471" s="738"/>
      <c r="AC471" s="738"/>
      <c r="AD471" s="817"/>
      <c r="AF471"/>
      <c r="AG471">
        <f t="shared" si="49"/>
        <v>0</v>
      </c>
      <c r="AH471">
        <f t="shared" si="50"/>
        <v>0</v>
      </c>
      <c r="AJ471">
        <f t="shared" si="51"/>
        <v>0</v>
      </c>
      <c r="AK471">
        <f t="shared" si="52"/>
        <v>0</v>
      </c>
      <c r="AL471">
        <f t="shared" si="53"/>
        <v>0</v>
      </c>
    </row>
    <row r="472" spans="1:39" ht="24" customHeight="1">
      <c r="A472" s="49"/>
      <c r="B472" s="38"/>
      <c r="C472" s="732"/>
      <c r="D472" s="954"/>
      <c r="E472" s="956"/>
      <c r="F472" s="1110" t="s">
        <v>5034</v>
      </c>
      <c r="G472" s="1110"/>
      <c r="H472" s="178"/>
      <c r="I472" s="1111" t="s">
        <v>5035</v>
      </c>
      <c r="J472" s="1111"/>
      <c r="K472" s="1111"/>
      <c r="L472" s="1112"/>
      <c r="M472" s="816"/>
      <c r="N472" s="738"/>
      <c r="O472" s="738"/>
      <c r="P472" s="738"/>
      <c r="Q472" s="738"/>
      <c r="R472" s="817"/>
      <c r="S472" s="816"/>
      <c r="T472" s="738"/>
      <c r="U472" s="738"/>
      <c r="V472" s="738"/>
      <c r="W472" s="738"/>
      <c r="X472" s="817"/>
      <c r="Y472" s="816"/>
      <c r="Z472" s="738"/>
      <c r="AA472" s="738"/>
      <c r="AB472" s="738"/>
      <c r="AC472" s="738"/>
      <c r="AD472" s="817"/>
      <c r="AF472"/>
      <c r="AG472">
        <f t="shared" si="49"/>
        <v>0</v>
      </c>
      <c r="AH472">
        <f t="shared" si="50"/>
        <v>0</v>
      </c>
      <c r="AJ472">
        <f t="shared" si="51"/>
        <v>0</v>
      </c>
      <c r="AK472">
        <f t="shared" si="52"/>
        <v>0</v>
      </c>
      <c r="AL472">
        <f t="shared" si="53"/>
        <v>0</v>
      </c>
    </row>
    <row r="473" spans="1:39" ht="24" customHeight="1">
      <c r="A473" s="49"/>
      <c r="B473" s="38"/>
      <c r="C473" s="732"/>
      <c r="D473" s="954"/>
      <c r="E473" s="956"/>
      <c r="F473" s="1110" t="s">
        <v>5036</v>
      </c>
      <c r="G473" s="1110"/>
      <c r="H473" s="178"/>
      <c r="I473" s="1111" t="s">
        <v>5037</v>
      </c>
      <c r="J473" s="1111"/>
      <c r="K473" s="1111"/>
      <c r="L473" s="1112"/>
      <c r="M473" s="816"/>
      <c r="N473" s="738"/>
      <c r="O473" s="738"/>
      <c r="P473" s="738"/>
      <c r="Q473" s="738"/>
      <c r="R473" s="817"/>
      <c r="S473" s="816"/>
      <c r="T473" s="738"/>
      <c r="U473" s="738"/>
      <c r="V473" s="738"/>
      <c r="W473" s="738"/>
      <c r="X473" s="817"/>
      <c r="Y473" s="816"/>
      <c r="Z473" s="738"/>
      <c r="AA473" s="738"/>
      <c r="AB473" s="738"/>
      <c r="AC473" s="738"/>
      <c r="AD473" s="817"/>
      <c r="AF473"/>
      <c r="AG473">
        <f t="shared" si="49"/>
        <v>0</v>
      </c>
      <c r="AH473">
        <f t="shared" si="50"/>
        <v>0</v>
      </c>
      <c r="AJ473">
        <f t="shared" si="51"/>
        <v>0</v>
      </c>
      <c r="AK473">
        <f t="shared" si="52"/>
        <v>0</v>
      </c>
      <c r="AL473">
        <f t="shared" si="53"/>
        <v>0</v>
      </c>
    </row>
    <row r="474" spans="1:39" ht="36" customHeight="1">
      <c r="A474" s="49"/>
      <c r="B474" s="38"/>
      <c r="C474" s="732"/>
      <c r="D474" s="954"/>
      <c r="E474" s="956"/>
      <c r="F474" s="1110" t="s">
        <v>5038</v>
      </c>
      <c r="G474" s="1110"/>
      <c r="H474" s="178"/>
      <c r="I474" s="1111" t="s">
        <v>5039</v>
      </c>
      <c r="J474" s="1111"/>
      <c r="K474" s="1111"/>
      <c r="L474" s="1112"/>
      <c r="M474" s="816"/>
      <c r="N474" s="738"/>
      <c r="O474" s="738"/>
      <c r="P474" s="738"/>
      <c r="Q474" s="738"/>
      <c r="R474" s="817"/>
      <c r="S474" s="816"/>
      <c r="T474" s="738"/>
      <c r="U474" s="738"/>
      <c r="V474" s="738"/>
      <c r="W474" s="738"/>
      <c r="X474" s="817"/>
      <c r="Y474" s="816"/>
      <c r="Z474" s="738"/>
      <c r="AA474" s="738"/>
      <c r="AB474" s="738"/>
      <c r="AC474" s="738"/>
      <c r="AD474" s="817"/>
      <c r="AF474"/>
      <c r="AG474">
        <f t="shared" si="49"/>
        <v>0</v>
      </c>
      <c r="AH474">
        <f t="shared" si="50"/>
        <v>0</v>
      </c>
      <c r="AJ474">
        <f t="shared" si="51"/>
        <v>0</v>
      </c>
      <c r="AK474">
        <f t="shared" si="52"/>
        <v>0</v>
      </c>
      <c r="AL474">
        <f t="shared" si="53"/>
        <v>0</v>
      </c>
    </row>
    <row r="475" spans="1:39" ht="15" customHeight="1">
      <c r="A475" s="49"/>
      <c r="B475" s="38"/>
      <c r="C475" s="732"/>
      <c r="D475" s="954"/>
      <c r="E475" s="956"/>
      <c r="F475" s="1110" t="s">
        <v>5040</v>
      </c>
      <c r="G475" s="1110"/>
      <c r="H475" s="178"/>
      <c r="I475" s="1111" t="s">
        <v>201</v>
      </c>
      <c r="J475" s="1111"/>
      <c r="K475" s="1111"/>
      <c r="L475" s="1112"/>
      <c r="M475" s="816"/>
      <c r="N475" s="738"/>
      <c r="O475" s="738"/>
      <c r="P475" s="738"/>
      <c r="Q475" s="738"/>
      <c r="R475" s="817"/>
      <c r="S475" s="816"/>
      <c r="T475" s="738"/>
      <c r="U475" s="738"/>
      <c r="V475" s="738"/>
      <c r="W475" s="738"/>
      <c r="X475" s="817"/>
      <c r="Y475" s="816"/>
      <c r="Z475" s="738"/>
      <c r="AA475" s="738"/>
      <c r="AB475" s="738"/>
      <c r="AC475" s="738"/>
      <c r="AD475" s="817"/>
      <c r="AF475"/>
      <c r="AG475">
        <f t="shared" si="49"/>
        <v>0</v>
      </c>
      <c r="AH475">
        <f t="shared" si="50"/>
        <v>0</v>
      </c>
      <c r="AJ475">
        <f t="shared" si="51"/>
        <v>0</v>
      </c>
      <c r="AK475">
        <f t="shared" si="52"/>
        <v>0</v>
      </c>
      <c r="AL475">
        <f t="shared" si="53"/>
        <v>0</v>
      </c>
    </row>
    <row r="476" spans="1:39" ht="24" customHeight="1">
      <c r="A476" s="49"/>
      <c r="B476" s="38"/>
      <c r="C476" s="732"/>
      <c r="D476" s="954"/>
      <c r="E476" s="956"/>
      <c r="F476" s="1103" t="s">
        <v>5041</v>
      </c>
      <c r="G476" s="1103"/>
      <c r="H476" s="1104" t="s">
        <v>5042</v>
      </c>
      <c r="I476" s="1105"/>
      <c r="J476" s="1105"/>
      <c r="K476" s="1105"/>
      <c r="L476" s="1106"/>
      <c r="M476" s="816"/>
      <c r="N476" s="738"/>
      <c r="O476" s="738"/>
      <c r="P476" s="738"/>
      <c r="Q476" s="738"/>
      <c r="R476" s="817"/>
      <c r="S476" s="816"/>
      <c r="T476" s="738"/>
      <c r="U476" s="738"/>
      <c r="V476" s="738"/>
      <c r="W476" s="738"/>
      <c r="X476" s="817"/>
      <c r="Y476" s="816"/>
      <c r="Z476" s="738"/>
      <c r="AA476" s="738"/>
      <c r="AB476" s="738"/>
      <c r="AC476" s="738"/>
      <c r="AD476" s="817"/>
      <c r="AF476">
        <f>IF(M476="NA",IF(AND(COUNTIF(M477:M479,"="&amp;$AF$361)=0,COUNTIF(M477:M479,"&lt;&gt;NA")&gt;0),1,0),IF(AND(COUNTIF(M477:M479,"="&amp;$AF$361)=0,COUNTIF(M477:M479,"NA")=COUNTIF(M477:M479,"&lt;&gt;"&amp;$AF$361)),1,0))</f>
        <v>0</v>
      </c>
      <c r="AG476">
        <f t="shared" si="49"/>
        <v>0</v>
      </c>
      <c r="AH476">
        <f t="shared" si="50"/>
        <v>0</v>
      </c>
      <c r="AJ476">
        <f t="shared" si="51"/>
        <v>0</v>
      </c>
      <c r="AK476">
        <f t="shared" si="52"/>
        <v>0</v>
      </c>
      <c r="AL476">
        <f t="shared" si="53"/>
        <v>0</v>
      </c>
    </row>
    <row r="477" spans="1:39" ht="24" customHeight="1">
      <c r="A477" s="49"/>
      <c r="B477" s="38"/>
      <c r="C477" s="732"/>
      <c r="D477" s="954"/>
      <c r="E477" s="956"/>
      <c r="F477" s="1119" t="s">
        <v>5043</v>
      </c>
      <c r="G477" s="1120"/>
      <c r="H477" s="178"/>
      <c r="I477" s="1111" t="s">
        <v>5044</v>
      </c>
      <c r="J477" s="1111"/>
      <c r="K477" s="1111"/>
      <c r="L477" s="1112"/>
      <c r="M477" s="816"/>
      <c r="N477" s="738"/>
      <c r="O477" s="738"/>
      <c r="P477" s="738"/>
      <c r="Q477" s="738"/>
      <c r="R477" s="817"/>
      <c r="S477" s="816"/>
      <c r="T477" s="738"/>
      <c r="U477" s="738"/>
      <c r="V477" s="738"/>
      <c r="W477" s="738"/>
      <c r="X477" s="817"/>
      <c r="Y477" s="816"/>
      <c r="Z477" s="738"/>
      <c r="AA477" s="738"/>
      <c r="AB477" s="738"/>
      <c r="AC477" s="738"/>
      <c r="AD477" s="817"/>
      <c r="AF477"/>
      <c r="AG477">
        <f t="shared" si="49"/>
        <v>0</v>
      </c>
      <c r="AH477">
        <f t="shared" si="50"/>
        <v>0</v>
      </c>
      <c r="AJ477">
        <f t="shared" si="51"/>
        <v>0</v>
      </c>
      <c r="AK477">
        <f t="shared" si="52"/>
        <v>0</v>
      </c>
      <c r="AL477">
        <f t="shared" si="53"/>
        <v>0</v>
      </c>
    </row>
    <row r="478" spans="1:39" ht="36" customHeight="1">
      <c r="A478" s="49"/>
      <c r="B478" s="38"/>
      <c r="C478" s="732"/>
      <c r="D478" s="954"/>
      <c r="E478" s="956"/>
      <c r="F478" s="1119" t="s">
        <v>5045</v>
      </c>
      <c r="G478" s="1120"/>
      <c r="H478" s="178"/>
      <c r="I478" s="1111" t="s">
        <v>5046</v>
      </c>
      <c r="J478" s="1111"/>
      <c r="K478" s="1111"/>
      <c r="L478" s="1112"/>
      <c r="M478" s="816"/>
      <c r="N478" s="738"/>
      <c r="O478" s="738"/>
      <c r="P478" s="738"/>
      <c r="Q478" s="738"/>
      <c r="R478" s="817"/>
      <c r="S478" s="816"/>
      <c r="T478" s="738"/>
      <c r="U478" s="738"/>
      <c r="V478" s="738"/>
      <c r="W478" s="738"/>
      <c r="X478" s="817"/>
      <c r="Y478" s="816"/>
      <c r="Z478" s="738"/>
      <c r="AA478" s="738"/>
      <c r="AB478" s="738"/>
      <c r="AC478" s="738"/>
      <c r="AD478" s="817"/>
      <c r="AF478"/>
      <c r="AG478">
        <f t="shared" si="49"/>
        <v>0</v>
      </c>
      <c r="AH478">
        <f t="shared" si="50"/>
        <v>0</v>
      </c>
      <c r="AJ478">
        <f t="shared" si="51"/>
        <v>0</v>
      </c>
      <c r="AK478">
        <f t="shared" si="52"/>
        <v>0</v>
      </c>
      <c r="AL478">
        <f t="shared" si="53"/>
        <v>0</v>
      </c>
    </row>
    <row r="479" spans="1:39" ht="15" customHeight="1">
      <c r="A479" s="49"/>
      <c r="B479" s="38"/>
      <c r="C479" s="732"/>
      <c r="D479" s="954"/>
      <c r="E479" s="956"/>
      <c r="F479" s="1119" t="s">
        <v>5047</v>
      </c>
      <c r="G479" s="1120"/>
      <c r="H479" s="178"/>
      <c r="I479" s="1111" t="s">
        <v>201</v>
      </c>
      <c r="J479" s="1111"/>
      <c r="K479" s="1111"/>
      <c r="L479" s="1112"/>
      <c r="M479" s="816"/>
      <c r="N479" s="738"/>
      <c r="O479" s="738"/>
      <c r="P479" s="738"/>
      <c r="Q479" s="738"/>
      <c r="R479" s="817"/>
      <c r="S479" s="816"/>
      <c r="T479" s="738"/>
      <c r="U479" s="738"/>
      <c r="V479" s="738"/>
      <c r="W479" s="738"/>
      <c r="X479" s="817"/>
      <c r="Y479" s="816"/>
      <c r="Z479" s="738"/>
      <c r="AA479" s="738"/>
      <c r="AB479" s="738"/>
      <c r="AC479" s="738"/>
      <c r="AD479" s="817"/>
      <c r="AF479"/>
      <c r="AG479">
        <f t="shared" si="49"/>
        <v>0</v>
      </c>
      <c r="AH479">
        <f t="shared" si="50"/>
        <v>0</v>
      </c>
      <c r="AJ479">
        <f t="shared" si="51"/>
        <v>0</v>
      </c>
      <c r="AK479">
        <f t="shared" si="52"/>
        <v>0</v>
      </c>
      <c r="AL479">
        <f t="shared" si="53"/>
        <v>0</v>
      </c>
    </row>
    <row r="480" spans="1:39" ht="15" customHeight="1">
      <c r="A480" s="49"/>
      <c r="B480" s="38"/>
      <c r="C480" s="732"/>
      <c r="D480" s="954"/>
      <c r="E480" s="956"/>
      <c r="F480" s="1103" t="s">
        <v>5048</v>
      </c>
      <c r="G480" s="1103"/>
      <c r="H480" s="1104" t="s">
        <v>5049</v>
      </c>
      <c r="I480" s="1105"/>
      <c r="J480" s="1105"/>
      <c r="K480" s="1105"/>
      <c r="L480" s="1106"/>
      <c r="M480" s="816"/>
      <c r="N480" s="738"/>
      <c r="O480" s="738"/>
      <c r="P480" s="738"/>
      <c r="Q480" s="738"/>
      <c r="R480" s="817"/>
      <c r="S480" s="816"/>
      <c r="T480" s="738"/>
      <c r="U480" s="738"/>
      <c r="V480" s="738"/>
      <c r="W480" s="738"/>
      <c r="X480" s="817"/>
      <c r="Y480" s="816"/>
      <c r="Z480" s="738"/>
      <c r="AA480" s="738"/>
      <c r="AB480" s="738"/>
      <c r="AC480" s="738"/>
      <c r="AD480" s="817"/>
      <c r="AF480"/>
      <c r="AG480">
        <f t="shared" si="49"/>
        <v>0</v>
      </c>
      <c r="AH480">
        <f t="shared" si="50"/>
        <v>0</v>
      </c>
      <c r="AJ480">
        <f t="shared" si="51"/>
        <v>0</v>
      </c>
      <c r="AK480">
        <f t="shared" si="52"/>
        <v>0</v>
      </c>
      <c r="AL480">
        <f t="shared" si="53"/>
        <v>0</v>
      </c>
    </row>
    <row r="481" spans="1:39" ht="15" customHeight="1">
      <c r="A481" s="49"/>
      <c r="B481" s="38"/>
      <c r="C481" s="732"/>
      <c r="D481" s="954"/>
      <c r="E481" s="956"/>
      <c r="F481" s="1103" t="s">
        <v>5050</v>
      </c>
      <c r="G481" s="1103"/>
      <c r="H481" s="1104" t="s">
        <v>5051</v>
      </c>
      <c r="I481" s="1105"/>
      <c r="J481" s="1105"/>
      <c r="K481" s="1105"/>
      <c r="L481" s="1106"/>
      <c r="M481" s="816"/>
      <c r="N481" s="738"/>
      <c r="O481" s="738"/>
      <c r="P481" s="738"/>
      <c r="Q481" s="738"/>
      <c r="R481" s="817"/>
      <c r="S481" s="816"/>
      <c r="T481" s="738"/>
      <c r="U481" s="738"/>
      <c r="V481" s="738"/>
      <c r="W481" s="738"/>
      <c r="X481" s="817"/>
      <c r="Y481" s="816"/>
      <c r="Z481" s="738"/>
      <c r="AA481" s="738"/>
      <c r="AB481" s="738"/>
      <c r="AC481" s="738"/>
      <c r="AD481" s="817"/>
      <c r="AF481"/>
      <c r="AG481">
        <f t="shared" ref="AG481:AG516" si="54">IF(OR($M$334=0,$M$334="NS",$M$334="NA",M481="NA"),0,IF(COUNTBLANK(M481:AD481)=15,0,1))</f>
        <v>0</v>
      </c>
      <c r="AH481">
        <f t="shared" ref="AH481:AH516" si="55">IF(M481="NA",IF(COUNTBLANK(S481:AD481)=12,0,1),0)</f>
        <v>0</v>
      </c>
      <c r="AJ481">
        <f t="shared" ref="AJ481:AJ516" si="56">COUNTIF(S481:AD481,"NS")</f>
        <v>0</v>
      </c>
      <c r="AK481">
        <f t="shared" ref="AK481:AK516" si="57">SUM(S481:AD481)</f>
        <v>0</v>
      </c>
      <c r="AL481">
        <f t="shared" ref="AL481:AL516" si="58">IF(COUNTIF(M481:AD481,"NA")=3,0,IF(COUNTA(M481:AD481)=0,0,IF(OR(AND(M481=0,AJ481&gt;0),AND(M481="ns",AK481&gt;0),AND(M481="ns",AJ481=0,AK481=0)),1,IF(OR(AND(M481&gt;0,AJ481=2),AND(M481="ns",AJ481=2),AND(M481="ns",AK481=0,AJ481&gt;0),M481=AK481),0,1))))</f>
        <v>0</v>
      </c>
    </row>
    <row r="482" spans="1:39" ht="24" customHeight="1">
      <c r="A482" s="49"/>
      <c r="B482" s="38"/>
      <c r="C482" s="732"/>
      <c r="D482" s="954"/>
      <c r="E482" s="956"/>
      <c r="F482" s="1103" t="s">
        <v>5052</v>
      </c>
      <c r="G482" s="1103"/>
      <c r="H482" s="1104" t="s">
        <v>5053</v>
      </c>
      <c r="I482" s="1105"/>
      <c r="J482" s="1105"/>
      <c r="K482" s="1105"/>
      <c r="L482" s="1106"/>
      <c r="M482" s="816"/>
      <c r="N482" s="738"/>
      <c r="O482" s="738"/>
      <c r="P482" s="738"/>
      <c r="Q482" s="738"/>
      <c r="R482" s="817"/>
      <c r="S482" s="816"/>
      <c r="T482" s="738"/>
      <c r="U482" s="738"/>
      <c r="V482" s="738"/>
      <c r="W482" s="738"/>
      <c r="X482" s="817"/>
      <c r="Y482" s="816"/>
      <c r="Z482" s="738"/>
      <c r="AA482" s="738"/>
      <c r="AB482" s="738"/>
      <c r="AC482" s="738"/>
      <c r="AD482" s="817"/>
      <c r="AF482"/>
      <c r="AG482">
        <f t="shared" si="54"/>
        <v>0</v>
      </c>
      <c r="AH482">
        <f t="shared" si="55"/>
        <v>0</v>
      </c>
      <c r="AJ482">
        <f t="shared" si="56"/>
        <v>0</v>
      </c>
      <c r="AK482">
        <f t="shared" si="57"/>
        <v>0</v>
      </c>
      <c r="AL482">
        <f t="shared" si="58"/>
        <v>0</v>
      </c>
      <c r="AM482">
        <f>IF(OR(M482="NS",M482="NA",$M$334=0,$M$334="NS",$M$334="NA"),0,IF((M482*(IFERROR(100/SUM(M466:M482),0)))&gt;25,1,0))</f>
        <v>0</v>
      </c>
    </row>
    <row r="483" spans="1:39" ht="15" customHeight="1">
      <c r="A483" s="49"/>
      <c r="B483" s="38"/>
      <c r="C483" s="1108" t="s">
        <v>5054</v>
      </c>
      <c r="D483" s="874" t="s">
        <v>5055</v>
      </c>
      <c r="E483" s="874"/>
      <c r="F483" s="1103" t="s">
        <v>5056</v>
      </c>
      <c r="G483" s="1103"/>
      <c r="H483" s="1104" t="s">
        <v>5057</v>
      </c>
      <c r="I483" s="1105"/>
      <c r="J483" s="1105"/>
      <c r="K483" s="1105"/>
      <c r="L483" s="1106"/>
      <c r="M483" s="816"/>
      <c r="N483" s="738"/>
      <c r="O483" s="738"/>
      <c r="P483" s="738"/>
      <c r="Q483" s="738"/>
      <c r="R483" s="817"/>
      <c r="S483" s="816"/>
      <c r="T483" s="738"/>
      <c r="U483" s="738"/>
      <c r="V483" s="738"/>
      <c r="W483" s="738"/>
      <c r="X483" s="817"/>
      <c r="Y483" s="816"/>
      <c r="Z483" s="738"/>
      <c r="AA483" s="738"/>
      <c r="AB483" s="738"/>
      <c r="AC483" s="738"/>
      <c r="AD483" s="817"/>
      <c r="AF483"/>
      <c r="AG483">
        <f t="shared" si="54"/>
        <v>0</v>
      </c>
      <c r="AH483">
        <f t="shared" si="55"/>
        <v>0</v>
      </c>
      <c r="AJ483">
        <f t="shared" si="56"/>
        <v>0</v>
      </c>
      <c r="AK483">
        <f t="shared" si="57"/>
        <v>0</v>
      </c>
      <c r="AL483">
        <f t="shared" si="58"/>
        <v>0</v>
      </c>
    </row>
    <row r="484" spans="1:39" ht="15" customHeight="1">
      <c r="A484" s="49"/>
      <c r="B484" s="38"/>
      <c r="C484" s="1109"/>
      <c r="D484" s="874"/>
      <c r="E484" s="874"/>
      <c r="F484" s="1103" t="s">
        <v>5058</v>
      </c>
      <c r="G484" s="1103"/>
      <c r="H484" s="1104" t="s">
        <v>5059</v>
      </c>
      <c r="I484" s="1105"/>
      <c r="J484" s="1105"/>
      <c r="K484" s="1105"/>
      <c r="L484" s="1106"/>
      <c r="M484" s="816"/>
      <c r="N484" s="738"/>
      <c r="O484" s="738"/>
      <c r="P484" s="738"/>
      <c r="Q484" s="738"/>
      <c r="R484" s="817"/>
      <c r="S484" s="816"/>
      <c r="T484" s="738"/>
      <c r="U484" s="738"/>
      <c r="V484" s="738"/>
      <c r="W484" s="738"/>
      <c r="X484" s="817"/>
      <c r="Y484" s="816"/>
      <c r="Z484" s="738"/>
      <c r="AA484" s="738"/>
      <c r="AB484" s="738"/>
      <c r="AC484" s="738"/>
      <c r="AD484" s="817"/>
      <c r="AF484"/>
      <c r="AG484">
        <f t="shared" si="54"/>
        <v>0</v>
      </c>
      <c r="AH484">
        <f t="shared" si="55"/>
        <v>0</v>
      </c>
      <c r="AJ484">
        <f t="shared" si="56"/>
        <v>0</v>
      </c>
      <c r="AK484">
        <f t="shared" si="57"/>
        <v>0</v>
      </c>
      <c r="AL484">
        <f t="shared" si="58"/>
        <v>0</v>
      </c>
    </row>
    <row r="485" spans="1:39" ht="15" customHeight="1">
      <c r="A485" s="49"/>
      <c r="B485" s="38"/>
      <c r="C485" s="1109"/>
      <c r="D485" s="874"/>
      <c r="E485" s="874"/>
      <c r="F485" s="1103" t="s">
        <v>5060</v>
      </c>
      <c r="G485" s="1103"/>
      <c r="H485" s="1104" t="s">
        <v>5061</v>
      </c>
      <c r="I485" s="1105"/>
      <c r="J485" s="1105"/>
      <c r="K485" s="1105"/>
      <c r="L485" s="1106"/>
      <c r="M485" s="816"/>
      <c r="N485" s="738"/>
      <c r="O485" s="738"/>
      <c r="P485" s="738"/>
      <c r="Q485" s="738"/>
      <c r="R485" s="817"/>
      <c r="S485" s="816"/>
      <c r="T485" s="738"/>
      <c r="U485" s="738"/>
      <c r="V485" s="738"/>
      <c r="W485" s="738"/>
      <c r="X485" s="817"/>
      <c r="Y485" s="816"/>
      <c r="Z485" s="738"/>
      <c r="AA485" s="738"/>
      <c r="AB485" s="738"/>
      <c r="AC485" s="738"/>
      <c r="AD485" s="817"/>
      <c r="AF485"/>
      <c r="AG485">
        <f t="shared" si="54"/>
        <v>0</v>
      </c>
      <c r="AH485">
        <f t="shared" si="55"/>
        <v>0</v>
      </c>
      <c r="AJ485">
        <f t="shared" si="56"/>
        <v>0</v>
      </c>
      <c r="AK485">
        <f t="shared" si="57"/>
        <v>0</v>
      </c>
      <c r="AL485">
        <f t="shared" si="58"/>
        <v>0</v>
      </c>
    </row>
    <row r="486" spans="1:39" ht="15" customHeight="1">
      <c r="A486" s="49"/>
      <c r="B486" s="38"/>
      <c r="C486" s="1109"/>
      <c r="D486" s="874"/>
      <c r="E486" s="874"/>
      <c r="F486" s="1103" t="s">
        <v>5062</v>
      </c>
      <c r="G486" s="1103"/>
      <c r="H486" s="1104" t="s">
        <v>5063</v>
      </c>
      <c r="I486" s="1105"/>
      <c r="J486" s="1105"/>
      <c r="K486" s="1105"/>
      <c r="L486" s="1106"/>
      <c r="M486" s="816"/>
      <c r="N486" s="738"/>
      <c r="O486" s="738"/>
      <c r="P486" s="738"/>
      <c r="Q486" s="738"/>
      <c r="R486" s="817"/>
      <c r="S486" s="816"/>
      <c r="T486" s="738"/>
      <c r="U486" s="738"/>
      <c r="V486" s="738"/>
      <c r="W486" s="738"/>
      <c r="X486" s="817"/>
      <c r="Y486" s="816"/>
      <c r="Z486" s="738"/>
      <c r="AA486" s="738"/>
      <c r="AB486" s="738"/>
      <c r="AC486" s="738"/>
      <c r="AD486" s="817"/>
      <c r="AF486"/>
      <c r="AG486">
        <f t="shared" si="54"/>
        <v>0</v>
      </c>
      <c r="AH486">
        <f t="shared" si="55"/>
        <v>0</v>
      </c>
      <c r="AJ486">
        <f t="shared" si="56"/>
        <v>0</v>
      </c>
      <c r="AK486">
        <f t="shared" si="57"/>
        <v>0</v>
      </c>
      <c r="AL486">
        <f t="shared" si="58"/>
        <v>0</v>
      </c>
    </row>
    <row r="487" spans="1:39" ht="48" customHeight="1">
      <c r="A487" s="49"/>
      <c r="B487" s="38"/>
      <c r="C487" s="1109"/>
      <c r="D487" s="874"/>
      <c r="E487" s="874"/>
      <c r="F487" s="1103" t="s">
        <v>5064</v>
      </c>
      <c r="G487" s="1103"/>
      <c r="H487" s="1104" t="s">
        <v>5065</v>
      </c>
      <c r="I487" s="1105"/>
      <c r="J487" s="1105"/>
      <c r="K487" s="1105"/>
      <c r="L487" s="1106"/>
      <c r="M487" s="816"/>
      <c r="N487" s="738"/>
      <c r="O487" s="738"/>
      <c r="P487" s="738"/>
      <c r="Q487" s="738"/>
      <c r="R487" s="817"/>
      <c r="S487" s="816"/>
      <c r="T487" s="738"/>
      <c r="U487" s="738"/>
      <c r="V487" s="738"/>
      <c r="W487" s="738"/>
      <c r="X487" s="817"/>
      <c r="Y487" s="816"/>
      <c r="Z487" s="738"/>
      <c r="AA487" s="738"/>
      <c r="AB487" s="738"/>
      <c r="AC487" s="738"/>
      <c r="AD487" s="817"/>
      <c r="AF487">
        <f>IF(M487="NA",IF(AND(COUNTIF(M488:M494,"="&amp;$AF$361)=0,COUNTIF(M488:M494,"&lt;&gt;NA")&gt;0),1,0),IF(AND(COUNTIF(M488:M494,"="&amp;$AF$361)=0,COUNTIF(M488:M494,"NA")=COUNTIF(M488:M494,"&lt;&gt;"&amp;$AF$361)),1,0))</f>
        <v>0</v>
      </c>
      <c r="AG487">
        <f t="shared" si="54"/>
        <v>0</v>
      </c>
      <c r="AH487">
        <f t="shared" si="55"/>
        <v>0</v>
      </c>
      <c r="AJ487">
        <f t="shared" si="56"/>
        <v>0</v>
      </c>
      <c r="AK487">
        <f t="shared" si="57"/>
        <v>0</v>
      </c>
      <c r="AL487">
        <f t="shared" si="58"/>
        <v>0</v>
      </c>
    </row>
    <row r="488" spans="1:39" ht="60" customHeight="1">
      <c r="A488" s="49"/>
      <c r="B488" s="38"/>
      <c r="C488" s="1109"/>
      <c r="D488" s="874"/>
      <c r="E488" s="874"/>
      <c r="F488" s="1110" t="s">
        <v>5066</v>
      </c>
      <c r="G488" s="1110"/>
      <c r="H488" s="178"/>
      <c r="I488" s="1111" t="s">
        <v>5067</v>
      </c>
      <c r="J488" s="1111"/>
      <c r="K488" s="1111"/>
      <c r="L488" s="1112"/>
      <c r="M488" s="816"/>
      <c r="N488" s="738"/>
      <c r="O488" s="738"/>
      <c r="P488" s="738"/>
      <c r="Q488" s="738"/>
      <c r="R488" s="817"/>
      <c r="S488" s="816"/>
      <c r="T488" s="738"/>
      <c r="U488" s="738"/>
      <c r="V488" s="738"/>
      <c r="W488" s="738"/>
      <c r="X488" s="817"/>
      <c r="Y488" s="816"/>
      <c r="Z488" s="738"/>
      <c r="AA488" s="738"/>
      <c r="AB488" s="738"/>
      <c r="AC488" s="738"/>
      <c r="AD488" s="817"/>
      <c r="AF488"/>
      <c r="AG488">
        <f t="shared" si="54"/>
        <v>0</v>
      </c>
      <c r="AH488">
        <f t="shared" si="55"/>
        <v>0</v>
      </c>
      <c r="AJ488">
        <f t="shared" si="56"/>
        <v>0</v>
      </c>
      <c r="AK488">
        <f t="shared" si="57"/>
        <v>0</v>
      </c>
      <c r="AL488">
        <f t="shared" si="58"/>
        <v>0</v>
      </c>
    </row>
    <row r="489" spans="1:39" ht="72" customHeight="1">
      <c r="A489" s="49"/>
      <c r="B489" s="38"/>
      <c r="C489" s="1109"/>
      <c r="D489" s="874"/>
      <c r="E489" s="874"/>
      <c r="F489" s="1110" t="s">
        <v>5068</v>
      </c>
      <c r="G489" s="1110"/>
      <c r="H489" s="178"/>
      <c r="I489" s="1111" t="s">
        <v>5069</v>
      </c>
      <c r="J489" s="1111"/>
      <c r="K489" s="1111"/>
      <c r="L489" s="1112"/>
      <c r="M489" s="816"/>
      <c r="N489" s="738"/>
      <c r="O489" s="738"/>
      <c r="P489" s="738"/>
      <c r="Q489" s="738"/>
      <c r="R489" s="817"/>
      <c r="S489" s="816"/>
      <c r="T489" s="738"/>
      <c r="U489" s="738"/>
      <c r="V489" s="738"/>
      <c r="W489" s="738"/>
      <c r="X489" s="817"/>
      <c r="Y489" s="816"/>
      <c r="Z489" s="738"/>
      <c r="AA489" s="738"/>
      <c r="AB489" s="738"/>
      <c r="AC489" s="738"/>
      <c r="AD489" s="817"/>
      <c r="AF489"/>
      <c r="AG489">
        <f t="shared" si="54"/>
        <v>0</v>
      </c>
      <c r="AH489">
        <f t="shared" si="55"/>
        <v>0</v>
      </c>
      <c r="AJ489">
        <f t="shared" si="56"/>
        <v>0</v>
      </c>
      <c r="AK489">
        <f t="shared" si="57"/>
        <v>0</v>
      </c>
      <c r="AL489">
        <f t="shared" si="58"/>
        <v>0</v>
      </c>
    </row>
    <row r="490" spans="1:39" ht="72" customHeight="1">
      <c r="A490" s="49"/>
      <c r="B490" s="38"/>
      <c r="C490" s="1109"/>
      <c r="D490" s="874"/>
      <c r="E490" s="874"/>
      <c r="F490" s="1110" t="s">
        <v>5070</v>
      </c>
      <c r="G490" s="1110"/>
      <c r="H490" s="178"/>
      <c r="I490" s="1111" t="s">
        <v>5071</v>
      </c>
      <c r="J490" s="1111"/>
      <c r="K490" s="1111"/>
      <c r="L490" s="1112"/>
      <c r="M490" s="816"/>
      <c r="N490" s="738"/>
      <c r="O490" s="738"/>
      <c r="P490" s="738"/>
      <c r="Q490" s="738"/>
      <c r="R490" s="817"/>
      <c r="S490" s="816"/>
      <c r="T490" s="738"/>
      <c r="U490" s="738"/>
      <c r="V490" s="738"/>
      <c r="W490" s="738"/>
      <c r="X490" s="817"/>
      <c r="Y490" s="816"/>
      <c r="Z490" s="738"/>
      <c r="AA490" s="738"/>
      <c r="AB490" s="738"/>
      <c r="AC490" s="738"/>
      <c r="AD490" s="817"/>
      <c r="AF490"/>
      <c r="AG490">
        <f t="shared" si="54"/>
        <v>0</v>
      </c>
      <c r="AH490">
        <f t="shared" si="55"/>
        <v>0</v>
      </c>
      <c r="AJ490">
        <f t="shared" si="56"/>
        <v>0</v>
      </c>
      <c r="AK490">
        <f t="shared" si="57"/>
        <v>0</v>
      </c>
      <c r="AL490">
        <f t="shared" si="58"/>
        <v>0</v>
      </c>
    </row>
    <row r="491" spans="1:39" ht="36" customHeight="1">
      <c r="A491" s="49"/>
      <c r="B491" s="38"/>
      <c r="C491" s="1109"/>
      <c r="D491" s="874"/>
      <c r="E491" s="874"/>
      <c r="F491" s="1110" t="s">
        <v>5072</v>
      </c>
      <c r="G491" s="1110"/>
      <c r="H491" s="178"/>
      <c r="I491" s="1111" t="s">
        <v>5073</v>
      </c>
      <c r="J491" s="1111"/>
      <c r="K491" s="1111"/>
      <c r="L491" s="1112"/>
      <c r="M491" s="816"/>
      <c r="N491" s="738"/>
      <c r="O491" s="738"/>
      <c r="P491" s="738"/>
      <c r="Q491" s="738"/>
      <c r="R491" s="817"/>
      <c r="S491" s="816"/>
      <c r="T491" s="738"/>
      <c r="U491" s="738"/>
      <c r="V491" s="738"/>
      <c r="W491" s="738"/>
      <c r="X491" s="817"/>
      <c r="Y491" s="816"/>
      <c r="Z491" s="738"/>
      <c r="AA491" s="738"/>
      <c r="AB491" s="738"/>
      <c r="AC491" s="738"/>
      <c r="AD491" s="817"/>
      <c r="AF491"/>
      <c r="AG491">
        <f t="shared" si="54"/>
        <v>0</v>
      </c>
      <c r="AH491">
        <f t="shared" si="55"/>
        <v>0</v>
      </c>
      <c r="AJ491">
        <f t="shared" si="56"/>
        <v>0</v>
      </c>
      <c r="AK491">
        <f t="shared" si="57"/>
        <v>0</v>
      </c>
      <c r="AL491">
        <f t="shared" si="58"/>
        <v>0</v>
      </c>
    </row>
    <row r="492" spans="1:39" ht="36" customHeight="1">
      <c r="A492" s="49"/>
      <c r="B492" s="38"/>
      <c r="C492" s="1109"/>
      <c r="D492" s="874"/>
      <c r="E492" s="874"/>
      <c r="F492" s="1110" t="s">
        <v>5074</v>
      </c>
      <c r="G492" s="1110"/>
      <c r="H492" s="178"/>
      <c r="I492" s="1111" t="s">
        <v>5075</v>
      </c>
      <c r="J492" s="1111"/>
      <c r="K492" s="1111"/>
      <c r="L492" s="1112"/>
      <c r="M492" s="816"/>
      <c r="N492" s="738"/>
      <c r="O492" s="738"/>
      <c r="P492" s="738"/>
      <c r="Q492" s="738"/>
      <c r="R492" s="817"/>
      <c r="S492" s="816"/>
      <c r="T492" s="738"/>
      <c r="U492" s="738"/>
      <c r="V492" s="738"/>
      <c r="W492" s="738"/>
      <c r="X492" s="817"/>
      <c r="Y492" s="816"/>
      <c r="Z492" s="738"/>
      <c r="AA492" s="738"/>
      <c r="AB492" s="738"/>
      <c r="AC492" s="738"/>
      <c r="AD492" s="817"/>
      <c r="AF492"/>
      <c r="AG492">
        <f t="shared" si="54"/>
        <v>0</v>
      </c>
      <c r="AH492">
        <f t="shared" si="55"/>
        <v>0</v>
      </c>
      <c r="AJ492">
        <f t="shared" si="56"/>
        <v>0</v>
      </c>
      <c r="AK492">
        <f t="shared" si="57"/>
        <v>0</v>
      </c>
      <c r="AL492">
        <f t="shared" si="58"/>
        <v>0</v>
      </c>
    </row>
    <row r="493" spans="1:39" ht="60" customHeight="1">
      <c r="A493" s="49"/>
      <c r="B493" s="38"/>
      <c r="C493" s="1109"/>
      <c r="D493" s="874"/>
      <c r="E493" s="874"/>
      <c r="F493" s="1110" t="s">
        <v>5076</v>
      </c>
      <c r="G493" s="1110"/>
      <c r="H493" s="178"/>
      <c r="I493" s="1111" t="s">
        <v>5077</v>
      </c>
      <c r="J493" s="1111"/>
      <c r="K493" s="1111"/>
      <c r="L493" s="1112"/>
      <c r="M493" s="816"/>
      <c r="N493" s="738"/>
      <c r="O493" s="738"/>
      <c r="P493" s="738"/>
      <c r="Q493" s="738"/>
      <c r="R493" s="817"/>
      <c r="S493" s="816"/>
      <c r="T493" s="738"/>
      <c r="U493" s="738"/>
      <c r="V493" s="738"/>
      <c r="W493" s="738"/>
      <c r="X493" s="817"/>
      <c r="Y493" s="816"/>
      <c r="Z493" s="738"/>
      <c r="AA493" s="738"/>
      <c r="AB493" s="738"/>
      <c r="AC493" s="738"/>
      <c r="AD493" s="817"/>
      <c r="AF493"/>
      <c r="AG493">
        <f t="shared" si="54"/>
        <v>0</v>
      </c>
      <c r="AH493">
        <f t="shared" si="55"/>
        <v>0</v>
      </c>
      <c r="AJ493">
        <f t="shared" si="56"/>
        <v>0</v>
      </c>
      <c r="AK493">
        <f t="shared" si="57"/>
        <v>0</v>
      </c>
      <c r="AL493">
        <f t="shared" si="58"/>
        <v>0</v>
      </c>
    </row>
    <row r="494" spans="1:39" ht="15" customHeight="1">
      <c r="A494" s="49"/>
      <c r="B494" s="38"/>
      <c r="C494" s="1109"/>
      <c r="D494" s="874"/>
      <c r="E494" s="874"/>
      <c r="F494" s="1110" t="s">
        <v>5078</v>
      </c>
      <c r="G494" s="1110"/>
      <c r="H494" s="178"/>
      <c r="I494" s="1111" t="s">
        <v>201</v>
      </c>
      <c r="J494" s="1111"/>
      <c r="K494" s="1111"/>
      <c r="L494" s="1112"/>
      <c r="M494" s="816"/>
      <c r="N494" s="738"/>
      <c r="O494" s="738"/>
      <c r="P494" s="738"/>
      <c r="Q494" s="738"/>
      <c r="R494" s="817"/>
      <c r="S494" s="816"/>
      <c r="T494" s="738"/>
      <c r="U494" s="738"/>
      <c r="V494" s="738"/>
      <c r="W494" s="738"/>
      <c r="X494" s="817"/>
      <c r="Y494" s="816"/>
      <c r="Z494" s="738"/>
      <c r="AA494" s="738"/>
      <c r="AB494" s="738"/>
      <c r="AC494" s="738"/>
      <c r="AD494" s="817"/>
      <c r="AF494"/>
      <c r="AG494">
        <f t="shared" si="54"/>
        <v>0</v>
      </c>
      <c r="AH494">
        <f t="shared" si="55"/>
        <v>0</v>
      </c>
      <c r="AJ494">
        <f t="shared" si="56"/>
        <v>0</v>
      </c>
      <c r="AK494">
        <f t="shared" si="57"/>
        <v>0</v>
      </c>
      <c r="AL494">
        <f t="shared" si="58"/>
        <v>0</v>
      </c>
    </row>
    <row r="495" spans="1:39" ht="36" customHeight="1">
      <c r="A495" s="49"/>
      <c r="B495" s="38"/>
      <c r="C495" s="1109"/>
      <c r="D495" s="874"/>
      <c r="E495" s="874"/>
      <c r="F495" s="1103" t="s">
        <v>5079</v>
      </c>
      <c r="G495" s="1103"/>
      <c r="H495" s="1104" t="s">
        <v>5080</v>
      </c>
      <c r="I495" s="1105"/>
      <c r="J495" s="1105"/>
      <c r="K495" s="1105"/>
      <c r="L495" s="1106"/>
      <c r="M495" s="816"/>
      <c r="N495" s="738"/>
      <c r="O495" s="738"/>
      <c r="P495" s="738"/>
      <c r="Q495" s="738"/>
      <c r="R495" s="817"/>
      <c r="S495" s="816"/>
      <c r="T495" s="738"/>
      <c r="U495" s="738"/>
      <c r="V495" s="738"/>
      <c r="W495" s="738"/>
      <c r="X495" s="817"/>
      <c r="Y495" s="816"/>
      <c r="Z495" s="738"/>
      <c r="AA495" s="738"/>
      <c r="AB495" s="738"/>
      <c r="AC495" s="738"/>
      <c r="AD495" s="817"/>
      <c r="AF495"/>
      <c r="AG495">
        <f t="shared" si="54"/>
        <v>0</v>
      </c>
      <c r="AH495">
        <f t="shared" si="55"/>
        <v>0</v>
      </c>
      <c r="AJ495">
        <f t="shared" si="56"/>
        <v>0</v>
      </c>
      <c r="AK495">
        <f t="shared" si="57"/>
        <v>0</v>
      </c>
      <c r="AL495">
        <f t="shared" si="58"/>
        <v>0</v>
      </c>
    </row>
    <row r="496" spans="1:39" ht="24" customHeight="1">
      <c r="A496" s="49"/>
      <c r="B496" s="38"/>
      <c r="C496" s="1109"/>
      <c r="D496" s="874"/>
      <c r="E496" s="874"/>
      <c r="F496" s="1103" t="s">
        <v>5081</v>
      </c>
      <c r="G496" s="1103"/>
      <c r="H496" s="1104" t="s">
        <v>5082</v>
      </c>
      <c r="I496" s="1105"/>
      <c r="J496" s="1105"/>
      <c r="K496" s="1105"/>
      <c r="L496" s="1106"/>
      <c r="M496" s="816"/>
      <c r="N496" s="738"/>
      <c r="O496" s="738"/>
      <c r="P496" s="738"/>
      <c r="Q496" s="738"/>
      <c r="R496" s="817"/>
      <c r="S496" s="816"/>
      <c r="T496" s="738"/>
      <c r="U496" s="738"/>
      <c r="V496" s="738"/>
      <c r="W496" s="738"/>
      <c r="X496" s="817"/>
      <c r="Y496" s="816"/>
      <c r="Z496" s="738"/>
      <c r="AA496" s="738"/>
      <c r="AB496" s="738"/>
      <c r="AC496" s="738"/>
      <c r="AD496" s="817"/>
      <c r="AF496">
        <f>IF(M496="NA",IF(AND(COUNTIF(M497:M499,"="&amp;$AF$361)=0,COUNTIF(M497:M499,"&lt;&gt;NA")&gt;0),1,0),IF(AND(COUNTIF(M497:M499,"="&amp;$AF$361)=0,COUNTIF(M497:M499,"NA")=COUNTIF(M497:M499,"&lt;&gt;"&amp;$AF$361)),1,0))</f>
        <v>0</v>
      </c>
      <c r="AG496">
        <f t="shared" si="54"/>
        <v>0</v>
      </c>
      <c r="AH496">
        <f t="shared" si="55"/>
        <v>0</v>
      </c>
      <c r="AJ496">
        <f t="shared" si="56"/>
        <v>0</v>
      </c>
      <c r="AK496">
        <f t="shared" si="57"/>
        <v>0</v>
      </c>
      <c r="AL496">
        <f t="shared" si="58"/>
        <v>0</v>
      </c>
    </row>
    <row r="497" spans="1:38" ht="24" customHeight="1">
      <c r="A497" s="49"/>
      <c r="B497" s="38"/>
      <c r="C497" s="1109"/>
      <c r="D497" s="874"/>
      <c r="E497" s="874"/>
      <c r="F497" s="1110" t="s">
        <v>5083</v>
      </c>
      <c r="G497" s="1110"/>
      <c r="H497" s="178"/>
      <c r="I497" s="1111" t="s">
        <v>5084</v>
      </c>
      <c r="J497" s="1111"/>
      <c r="K497" s="1111"/>
      <c r="L497" s="1112"/>
      <c r="M497" s="816"/>
      <c r="N497" s="738"/>
      <c r="O497" s="738"/>
      <c r="P497" s="738"/>
      <c r="Q497" s="738"/>
      <c r="R497" s="817"/>
      <c r="S497" s="816"/>
      <c r="T497" s="738"/>
      <c r="U497" s="738"/>
      <c r="V497" s="738"/>
      <c r="W497" s="738"/>
      <c r="X497" s="817"/>
      <c r="Y497" s="816"/>
      <c r="Z497" s="738"/>
      <c r="AA497" s="738"/>
      <c r="AB497" s="738"/>
      <c r="AC497" s="738"/>
      <c r="AD497" s="817"/>
      <c r="AF497"/>
      <c r="AG497">
        <f t="shared" si="54"/>
        <v>0</v>
      </c>
      <c r="AH497">
        <f t="shared" si="55"/>
        <v>0</v>
      </c>
      <c r="AJ497">
        <f t="shared" si="56"/>
        <v>0</v>
      </c>
      <c r="AK497">
        <f t="shared" si="57"/>
        <v>0</v>
      </c>
      <c r="AL497">
        <f t="shared" si="58"/>
        <v>0</v>
      </c>
    </row>
    <row r="498" spans="1:38" ht="24" customHeight="1">
      <c r="A498" s="49"/>
      <c r="B498" s="38"/>
      <c r="C498" s="1109"/>
      <c r="D498" s="874"/>
      <c r="E498" s="874"/>
      <c r="F498" s="1110" t="s">
        <v>5085</v>
      </c>
      <c r="G498" s="1110"/>
      <c r="H498" s="178"/>
      <c r="I498" s="1111" t="s">
        <v>5086</v>
      </c>
      <c r="J498" s="1111"/>
      <c r="K498" s="1111"/>
      <c r="L498" s="1112"/>
      <c r="M498" s="816"/>
      <c r="N498" s="738"/>
      <c r="O498" s="738"/>
      <c r="P498" s="738"/>
      <c r="Q498" s="738"/>
      <c r="R498" s="817"/>
      <c r="S498" s="816"/>
      <c r="T498" s="738"/>
      <c r="U498" s="738"/>
      <c r="V498" s="738"/>
      <c r="W498" s="738"/>
      <c r="X498" s="817"/>
      <c r="Y498" s="816"/>
      <c r="Z498" s="738"/>
      <c r="AA498" s="738"/>
      <c r="AB498" s="738"/>
      <c r="AC498" s="738"/>
      <c r="AD498" s="817"/>
      <c r="AF498"/>
      <c r="AG498">
        <f t="shared" si="54"/>
        <v>0</v>
      </c>
      <c r="AH498">
        <f t="shared" si="55"/>
        <v>0</v>
      </c>
      <c r="AJ498">
        <f t="shared" si="56"/>
        <v>0</v>
      </c>
      <c r="AK498">
        <f t="shared" si="57"/>
        <v>0</v>
      </c>
      <c r="AL498">
        <f t="shared" si="58"/>
        <v>0</v>
      </c>
    </row>
    <row r="499" spans="1:38" ht="15" customHeight="1">
      <c r="A499" s="49"/>
      <c r="B499" s="38"/>
      <c r="C499" s="1109"/>
      <c r="D499" s="874"/>
      <c r="E499" s="874"/>
      <c r="F499" s="1110" t="s">
        <v>5087</v>
      </c>
      <c r="G499" s="1110"/>
      <c r="H499" s="178"/>
      <c r="I499" s="1111" t="s">
        <v>201</v>
      </c>
      <c r="J499" s="1111"/>
      <c r="K499" s="1111"/>
      <c r="L499" s="1112"/>
      <c r="M499" s="816"/>
      <c r="N499" s="738"/>
      <c r="O499" s="738"/>
      <c r="P499" s="738"/>
      <c r="Q499" s="738"/>
      <c r="R499" s="817"/>
      <c r="S499" s="816"/>
      <c r="T499" s="738"/>
      <c r="U499" s="738"/>
      <c r="V499" s="738"/>
      <c r="W499" s="738"/>
      <c r="X499" s="817"/>
      <c r="Y499" s="816"/>
      <c r="Z499" s="738"/>
      <c r="AA499" s="738"/>
      <c r="AB499" s="738"/>
      <c r="AC499" s="738"/>
      <c r="AD499" s="817"/>
      <c r="AF499"/>
      <c r="AG499">
        <f t="shared" si="54"/>
        <v>0</v>
      </c>
      <c r="AH499">
        <f t="shared" si="55"/>
        <v>0</v>
      </c>
      <c r="AJ499">
        <f t="shared" si="56"/>
        <v>0</v>
      </c>
      <c r="AK499">
        <f t="shared" si="57"/>
        <v>0</v>
      </c>
      <c r="AL499">
        <f t="shared" si="58"/>
        <v>0</v>
      </c>
    </row>
    <row r="500" spans="1:38" ht="24" customHeight="1">
      <c r="A500" s="49"/>
      <c r="B500" s="38"/>
      <c r="C500" s="1109"/>
      <c r="D500" s="874"/>
      <c r="E500" s="874"/>
      <c r="F500" s="1103" t="s">
        <v>5088</v>
      </c>
      <c r="G500" s="1103"/>
      <c r="H500" s="1104" t="s">
        <v>5089</v>
      </c>
      <c r="I500" s="1105"/>
      <c r="J500" s="1105"/>
      <c r="K500" s="1105"/>
      <c r="L500" s="1106"/>
      <c r="M500" s="816"/>
      <c r="N500" s="738"/>
      <c r="O500" s="738"/>
      <c r="P500" s="738"/>
      <c r="Q500" s="738"/>
      <c r="R500" s="817"/>
      <c r="S500" s="816"/>
      <c r="T500" s="738"/>
      <c r="U500" s="738"/>
      <c r="V500" s="738"/>
      <c r="W500" s="738"/>
      <c r="X500" s="817"/>
      <c r="Y500" s="816"/>
      <c r="Z500" s="738"/>
      <c r="AA500" s="738"/>
      <c r="AB500" s="738"/>
      <c r="AC500" s="738"/>
      <c r="AD500" s="817"/>
      <c r="AF500"/>
      <c r="AG500">
        <f t="shared" si="54"/>
        <v>0</v>
      </c>
      <c r="AH500">
        <f t="shared" si="55"/>
        <v>0</v>
      </c>
      <c r="AJ500">
        <f t="shared" si="56"/>
        <v>0</v>
      </c>
      <c r="AK500">
        <f t="shared" si="57"/>
        <v>0</v>
      </c>
      <c r="AL500">
        <f t="shared" si="58"/>
        <v>0</v>
      </c>
    </row>
    <row r="501" spans="1:38" ht="48" customHeight="1">
      <c r="A501" s="49"/>
      <c r="B501" s="38"/>
      <c r="C501" s="1109"/>
      <c r="D501" s="874"/>
      <c r="E501" s="874"/>
      <c r="F501" s="1103" t="s">
        <v>5090</v>
      </c>
      <c r="G501" s="1103"/>
      <c r="H501" s="1104" t="s">
        <v>5091</v>
      </c>
      <c r="I501" s="1105"/>
      <c r="J501" s="1105"/>
      <c r="K501" s="1105"/>
      <c r="L501" s="1106"/>
      <c r="M501" s="816"/>
      <c r="N501" s="738"/>
      <c r="O501" s="738"/>
      <c r="P501" s="738"/>
      <c r="Q501" s="738"/>
      <c r="R501" s="817"/>
      <c r="S501" s="816"/>
      <c r="T501" s="738"/>
      <c r="U501" s="738"/>
      <c r="V501" s="738"/>
      <c r="W501" s="738"/>
      <c r="X501" s="817"/>
      <c r="Y501" s="816"/>
      <c r="Z501" s="738"/>
      <c r="AA501" s="738"/>
      <c r="AB501" s="738"/>
      <c r="AC501" s="738"/>
      <c r="AD501" s="817"/>
      <c r="AF501"/>
      <c r="AG501">
        <f t="shared" si="54"/>
        <v>0</v>
      </c>
      <c r="AH501">
        <f t="shared" si="55"/>
        <v>0</v>
      </c>
      <c r="AJ501">
        <f t="shared" si="56"/>
        <v>0</v>
      </c>
      <c r="AK501">
        <f t="shared" si="57"/>
        <v>0</v>
      </c>
      <c r="AL501">
        <f t="shared" si="58"/>
        <v>0</v>
      </c>
    </row>
    <row r="502" spans="1:38" ht="24" customHeight="1">
      <c r="A502" s="49"/>
      <c r="B502" s="38"/>
      <c r="C502" s="1109"/>
      <c r="D502" s="874"/>
      <c r="E502" s="874"/>
      <c r="F502" s="1103" t="s">
        <v>5092</v>
      </c>
      <c r="G502" s="1103"/>
      <c r="H502" s="1104" t="s">
        <v>5093</v>
      </c>
      <c r="I502" s="1105"/>
      <c r="J502" s="1105"/>
      <c r="K502" s="1105"/>
      <c r="L502" s="1106"/>
      <c r="M502" s="816"/>
      <c r="N502" s="738"/>
      <c r="O502" s="738"/>
      <c r="P502" s="738"/>
      <c r="Q502" s="738"/>
      <c r="R502" s="817"/>
      <c r="S502" s="816"/>
      <c r="T502" s="738"/>
      <c r="U502" s="738"/>
      <c r="V502" s="738"/>
      <c r="W502" s="738"/>
      <c r="X502" s="817"/>
      <c r="Y502" s="816"/>
      <c r="Z502" s="738"/>
      <c r="AA502" s="738"/>
      <c r="AB502" s="738"/>
      <c r="AC502" s="738"/>
      <c r="AD502" s="817"/>
      <c r="AF502"/>
      <c r="AG502">
        <f t="shared" si="54"/>
        <v>0</v>
      </c>
      <c r="AH502">
        <f t="shared" si="55"/>
        <v>0</v>
      </c>
      <c r="AJ502">
        <f t="shared" si="56"/>
        <v>0</v>
      </c>
      <c r="AK502">
        <f t="shared" si="57"/>
        <v>0</v>
      </c>
      <c r="AL502">
        <f t="shared" si="58"/>
        <v>0</v>
      </c>
    </row>
    <row r="503" spans="1:38" ht="36" customHeight="1">
      <c r="A503" s="49"/>
      <c r="B503" s="38"/>
      <c r="C503" s="1109"/>
      <c r="D503" s="874"/>
      <c r="E503" s="874"/>
      <c r="F503" s="1103" t="s">
        <v>5094</v>
      </c>
      <c r="G503" s="1103"/>
      <c r="H503" s="1104" t="s">
        <v>5095</v>
      </c>
      <c r="I503" s="1105"/>
      <c r="J503" s="1105"/>
      <c r="K503" s="1105"/>
      <c r="L503" s="1106"/>
      <c r="M503" s="816"/>
      <c r="N503" s="738"/>
      <c r="O503" s="738"/>
      <c r="P503" s="738"/>
      <c r="Q503" s="738"/>
      <c r="R503" s="817"/>
      <c r="S503" s="816"/>
      <c r="T503" s="738"/>
      <c r="U503" s="738"/>
      <c r="V503" s="738"/>
      <c r="W503" s="738"/>
      <c r="X503" s="817"/>
      <c r="Y503" s="816"/>
      <c r="Z503" s="738"/>
      <c r="AA503" s="738"/>
      <c r="AB503" s="738"/>
      <c r="AC503" s="738"/>
      <c r="AD503" s="817"/>
      <c r="AF503"/>
      <c r="AG503">
        <f t="shared" si="54"/>
        <v>0</v>
      </c>
      <c r="AH503">
        <f t="shared" si="55"/>
        <v>0</v>
      </c>
      <c r="AJ503">
        <f t="shared" si="56"/>
        <v>0</v>
      </c>
      <c r="AK503">
        <f t="shared" si="57"/>
        <v>0</v>
      </c>
      <c r="AL503">
        <f t="shared" si="58"/>
        <v>0</v>
      </c>
    </row>
    <row r="504" spans="1:38" ht="15" customHeight="1">
      <c r="A504" s="49"/>
      <c r="B504" s="38"/>
      <c r="C504" s="1109"/>
      <c r="D504" s="874"/>
      <c r="E504" s="874"/>
      <c r="F504" s="1103" t="s">
        <v>5096</v>
      </c>
      <c r="G504" s="1103"/>
      <c r="H504" s="1104" t="s">
        <v>5097</v>
      </c>
      <c r="I504" s="1105"/>
      <c r="J504" s="1105"/>
      <c r="K504" s="1105"/>
      <c r="L504" s="1106"/>
      <c r="M504" s="816"/>
      <c r="N504" s="738"/>
      <c r="O504" s="738"/>
      <c r="P504" s="738"/>
      <c r="Q504" s="738"/>
      <c r="R504" s="817"/>
      <c r="S504" s="816"/>
      <c r="T504" s="738"/>
      <c r="U504" s="738"/>
      <c r="V504" s="738"/>
      <c r="W504" s="738"/>
      <c r="X504" s="817"/>
      <c r="Y504" s="816"/>
      <c r="Z504" s="738"/>
      <c r="AA504" s="738"/>
      <c r="AB504" s="738"/>
      <c r="AC504" s="738"/>
      <c r="AD504" s="817"/>
      <c r="AF504"/>
      <c r="AG504">
        <f t="shared" si="54"/>
        <v>0</v>
      </c>
      <c r="AH504">
        <f t="shared" si="55"/>
        <v>0</v>
      </c>
      <c r="AJ504">
        <f t="shared" si="56"/>
        <v>0</v>
      </c>
      <c r="AK504">
        <f t="shared" si="57"/>
        <v>0</v>
      </c>
      <c r="AL504">
        <f t="shared" si="58"/>
        <v>0</v>
      </c>
    </row>
    <row r="505" spans="1:38" ht="36" customHeight="1">
      <c r="A505" s="49"/>
      <c r="B505" s="38"/>
      <c r="C505" s="1109"/>
      <c r="D505" s="874"/>
      <c r="E505" s="874"/>
      <c r="F505" s="1103" t="s">
        <v>5098</v>
      </c>
      <c r="G505" s="1103"/>
      <c r="H505" s="1104" t="s">
        <v>5099</v>
      </c>
      <c r="I505" s="1105"/>
      <c r="J505" s="1105"/>
      <c r="K505" s="1105"/>
      <c r="L505" s="1106"/>
      <c r="M505" s="816"/>
      <c r="N505" s="738"/>
      <c r="O505" s="738"/>
      <c r="P505" s="738"/>
      <c r="Q505" s="738"/>
      <c r="R505" s="817"/>
      <c r="S505" s="816"/>
      <c r="T505" s="738"/>
      <c r="U505" s="738"/>
      <c r="V505" s="738"/>
      <c r="W505" s="738"/>
      <c r="X505" s="817"/>
      <c r="Y505" s="816"/>
      <c r="Z505" s="738"/>
      <c r="AA505" s="738"/>
      <c r="AB505" s="738"/>
      <c r="AC505" s="738"/>
      <c r="AD505" s="817"/>
      <c r="AF505"/>
      <c r="AG505">
        <f t="shared" si="54"/>
        <v>0</v>
      </c>
      <c r="AH505">
        <f t="shared" si="55"/>
        <v>0</v>
      </c>
      <c r="AJ505">
        <f t="shared" si="56"/>
        <v>0</v>
      </c>
      <c r="AK505">
        <f t="shared" si="57"/>
        <v>0</v>
      </c>
      <c r="AL505">
        <f t="shared" si="58"/>
        <v>0</v>
      </c>
    </row>
    <row r="506" spans="1:38" ht="15" customHeight="1">
      <c r="A506" s="49"/>
      <c r="B506" s="38"/>
      <c r="C506" s="1109"/>
      <c r="D506" s="874"/>
      <c r="E506" s="874"/>
      <c r="F506" s="1103" t="s">
        <v>5100</v>
      </c>
      <c r="G506" s="1103"/>
      <c r="H506" s="1104" t="s">
        <v>5101</v>
      </c>
      <c r="I506" s="1105"/>
      <c r="J506" s="1105"/>
      <c r="K506" s="1105"/>
      <c r="L506" s="1106"/>
      <c r="M506" s="816"/>
      <c r="N506" s="738"/>
      <c r="O506" s="738"/>
      <c r="P506" s="738"/>
      <c r="Q506" s="738"/>
      <c r="R506" s="817"/>
      <c r="S506" s="816"/>
      <c r="T506" s="738"/>
      <c r="U506" s="738"/>
      <c r="V506" s="738"/>
      <c r="W506" s="738"/>
      <c r="X506" s="817"/>
      <c r="Y506" s="816"/>
      <c r="Z506" s="738"/>
      <c r="AA506" s="738"/>
      <c r="AB506" s="738"/>
      <c r="AC506" s="738"/>
      <c r="AD506" s="817"/>
      <c r="AF506"/>
      <c r="AG506">
        <f t="shared" si="54"/>
        <v>0</v>
      </c>
      <c r="AH506">
        <f t="shared" si="55"/>
        <v>0</v>
      </c>
      <c r="AJ506">
        <f t="shared" si="56"/>
        <v>0</v>
      </c>
      <c r="AK506">
        <f t="shared" si="57"/>
        <v>0</v>
      </c>
      <c r="AL506">
        <f t="shared" si="58"/>
        <v>0</v>
      </c>
    </row>
    <row r="507" spans="1:38" ht="24" customHeight="1">
      <c r="A507" s="49"/>
      <c r="B507" s="38"/>
      <c r="C507" s="1109"/>
      <c r="D507" s="874"/>
      <c r="E507" s="874"/>
      <c r="F507" s="1103" t="s">
        <v>5102</v>
      </c>
      <c r="G507" s="1103"/>
      <c r="H507" s="1104" t="s">
        <v>5103</v>
      </c>
      <c r="I507" s="1105"/>
      <c r="J507" s="1105"/>
      <c r="K507" s="1105"/>
      <c r="L507" s="1106"/>
      <c r="M507" s="816"/>
      <c r="N507" s="738"/>
      <c r="O507" s="738"/>
      <c r="P507" s="738"/>
      <c r="Q507" s="738"/>
      <c r="R507" s="817"/>
      <c r="S507" s="816"/>
      <c r="T507" s="738"/>
      <c r="U507" s="738"/>
      <c r="V507" s="738"/>
      <c r="W507" s="738"/>
      <c r="X507" s="817"/>
      <c r="Y507" s="816"/>
      <c r="Z507" s="738"/>
      <c r="AA507" s="738"/>
      <c r="AB507" s="738"/>
      <c r="AC507" s="738"/>
      <c r="AD507" s="817"/>
      <c r="AF507"/>
      <c r="AG507">
        <f t="shared" si="54"/>
        <v>0</v>
      </c>
      <c r="AH507">
        <f t="shared" si="55"/>
        <v>0</v>
      </c>
      <c r="AJ507">
        <f t="shared" si="56"/>
        <v>0</v>
      </c>
      <c r="AK507">
        <f t="shared" si="57"/>
        <v>0</v>
      </c>
      <c r="AL507">
        <f t="shared" si="58"/>
        <v>0</v>
      </c>
    </row>
    <row r="508" spans="1:38" ht="48" customHeight="1">
      <c r="A508" s="49"/>
      <c r="B508" s="38"/>
      <c r="C508" s="1109"/>
      <c r="D508" s="874"/>
      <c r="E508" s="874"/>
      <c r="F508" s="1103" t="s">
        <v>5104</v>
      </c>
      <c r="G508" s="1103"/>
      <c r="H508" s="1104" t="s">
        <v>5105</v>
      </c>
      <c r="I508" s="1105"/>
      <c r="J508" s="1105"/>
      <c r="K508" s="1105"/>
      <c r="L508" s="1106"/>
      <c r="M508" s="816"/>
      <c r="N508" s="738"/>
      <c r="O508" s="738"/>
      <c r="P508" s="738"/>
      <c r="Q508" s="738"/>
      <c r="R508" s="817"/>
      <c r="S508" s="816"/>
      <c r="T508" s="738"/>
      <c r="U508" s="738"/>
      <c r="V508" s="738"/>
      <c r="W508" s="738"/>
      <c r="X508" s="817"/>
      <c r="Y508" s="816"/>
      <c r="Z508" s="738"/>
      <c r="AA508" s="738"/>
      <c r="AB508" s="738"/>
      <c r="AC508" s="738"/>
      <c r="AD508" s="817"/>
      <c r="AF508">
        <f>IF(M508="NA",IF(AND(COUNTIF(M509:M513,"="&amp;$AF$361)=0,COUNTIF(M509:M513,"&lt;&gt;NA")&gt;0),1,0),IF(AND(COUNTIF(M509:M513,"="&amp;$AF$361)=0,COUNTIF(M509:M513,"NA")=COUNTIF(M509:M513,"&lt;&gt;"&amp;$AF$361)),1,0))</f>
        <v>0</v>
      </c>
      <c r="AG508">
        <f t="shared" si="54"/>
        <v>0</v>
      </c>
      <c r="AH508">
        <f t="shared" si="55"/>
        <v>0</v>
      </c>
      <c r="AJ508">
        <f t="shared" si="56"/>
        <v>0</v>
      </c>
      <c r="AK508">
        <f t="shared" si="57"/>
        <v>0</v>
      </c>
      <c r="AL508">
        <f t="shared" si="58"/>
        <v>0</v>
      </c>
    </row>
    <row r="509" spans="1:38" ht="36" customHeight="1">
      <c r="A509" s="49"/>
      <c r="B509" s="38"/>
      <c r="C509" s="1109"/>
      <c r="D509" s="874"/>
      <c r="E509" s="874"/>
      <c r="F509" s="1119" t="s">
        <v>5106</v>
      </c>
      <c r="G509" s="1120"/>
      <c r="H509" s="178"/>
      <c r="I509" s="1111" t="s">
        <v>5107</v>
      </c>
      <c r="J509" s="1111"/>
      <c r="K509" s="1111"/>
      <c r="L509" s="1112"/>
      <c r="M509" s="816"/>
      <c r="N509" s="738"/>
      <c r="O509" s="738"/>
      <c r="P509" s="738"/>
      <c r="Q509" s="738"/>
      <c r="R509" s="817"/>
      <c r="S509" s="816"/>
      <c r="T509" s="738"/>
      <c r="U509" s="738"/>
      <c r="V509" s="738"/>
      <c r="W509" s="738"/>
      <c r="X509" s="817"/>
      <c r="Y509" s="816"/>
      <c r="Z509" s="738"/>
      <c r="AA509" s="738"/>
      <c r="AB509" s="738"/>
      <c r="AC509" s="738"/>
      <c r="AD509" s="817"/>
      <c r="AF509"/>
      <c r="AG509">
        <f t="shared" si="54"/>
        <v>0</v>
      </c>
      <c r="AH509">
        <f t="shared" si="55"/>
        <v>0</v>
      </c>
      <c r="AJ509">
        <f t="shared" si="56"/>
        <v>0</v>
      </c>
      <c r="AK509">
        <f t="shared" si="57"/>
        <v>0</v>
      </c>
      <c r="AL509">
        <f t="shared" si="58"/>
        <v>0</v>
      </c>
    </row>
    <row r="510" spans="1:38" ht="24" customHeight="1">
      <c r="A510" s="49"/>
      <c r="B510" s="38"/>
      <c r="C510" s="1109"/>
      <c r="D510" s="874"/>
      <c r="E510" s="874"/>
      <c r="F510" s="1119" t="s">
        <v>5108</v>
      </c>
      <c r="G510" s="1120"/>
      <c r="H510" s="178"/>
      <c r="I510" s="1111" t="s">
        <v>5109</v>
      </c>
      <c r="J510" s="1111"/>
      <c r="K510" s="1111"/>
      <c r="L510" s="1112"/>
      <c r="M510" s="816"/>
      <c r="N510" s="738"/>
      <c r="O510" s="738"/>
      <c r="P510" s="738"/>
      <c r="Q510" s="738"/>
      <c r="R510" s="817"/>
      <c r="S510" s="816"/>
      <c r="T510" s="738"/>
      <c r="U510" s="738"/>
      <c r="V510" s="738"/>
      <c r="W510" s="738"/>
      <c r="X510" s="817"/>
      <c r="Y510" s="816"/>
      <c r="Z510" s="738"/>
      <c r="AA510" s="738"/>
      <c r="AB510" s="738"/>
      <c r="AC510" s="738"/>
      <c r="AD510" s="817"/>
      <c r="AF510"/>
      <c r="AG510">
        <f t="shared" si="54"/>
        <v>0</v>
      </c>
      <c r="AH510">
        <f t="shared" si="55"/>
        <v>0</v>
      </c>
      <c r="AJ510">
        <f t="shared" si="56"/>
        <v>0</v>
      </c>
      <c r="AK510">
        <f t="shared" si="57"/>
        <v>0</v>
      </c>
      <c r="AL510">
        <f t="shared" si="58"/>
        <v>0</v>
      </c>
    </row>
    <row r="511" spans="1:38" ht="48" customHeight="1">
      <c r="A511" s="49"/>
      <c r="B511" s="38"/>
      <c r="C511" s="1109"/>
      <c r="D511" s="874"/>
      <c r="E511" s="874"/>
      <c r="F511" s="1119" t="s">
        <v>5110</v>
      </c>
      <c r="G511" s="1120"/>
      <c r="H511" s="178"/>
      <c r="I511" s="1111" t="s">
        <v>5111</v>
      </c>
      <c r="J511" s="1111"/>
      <c r="K511" s="1111"/>
      <c r="L511" s="1112"/>
      <c r="M511" s="816"/>
      <c r="N511" s="738"/>
      <c r="O511" s="738"/>
      <c r="P511" s="738"/>
      <c r="Q511" s="738"/>
      <c r="R511" s="817"/>
      <c r="S511" s="816"/>
      <c r="T511" s="738"/>
      <c r="U511" s="738"/>
      <c r="V511" s="738"/>
      <c r="W511" s="738"/>
      <c r="X511" s="817"/>
      <c r="Y511" s="816"/>
      <c r="Z511" s="738"/>
      <c r="AA511" s="738"/>
      <c r="AB511" s="738"/>
      <c r="AC511" s="738"/>
      <c r="AD511" s="817"/>
      <c r="AF511"/>
      <c r="AG511">
        <f t="shared" si="54"/>
        <v>0</v>
      </c>
      <c r="AH511">
        <f t="shared" si="55"/>
        <v>0</v>
      </c>
      <c r="AJ511">
        <f t="shared" si="56"/>
        <v>0</v>
      </c>
      <c r="AK511">
        <f t="shared" si="57"/>
        <v>0</v>
      </c>
      <c r="AL511">
        <f t="shared" si="58"/>
        <v>0</v>
      </c>
    </row>
    <row r="512" spans="1:38" ht="60" customHeight="1">
      <c r="A512" s="49"/>
      <c r="B512" s="38"/>
      <c r="C512" s="1109"/>
      <c r="D512" s="874"/>
      <c r="E512" s="874"/>
      <c r="F512" s="1119" t="s">
        <v>5112</v>
      </c>
      <c r="G512" s="1120"/>
      <c r="H512" s="178"/>
      <c r="I512" s="1111" t="s">
        <v>5113</v>
      </c>
      <c r="J512" s="1111"/>
      <c r="K512" s="1111"/>
      <c r="L512" s="1112"/>
      <c r="M512" s="816"/>
      <c r="N512" s="738"/>
      <c r="O512" s="738"/>
      <c r="P512" s="738"/>
      <c r="Q512" s="738"/>
      <c r="R512" s="817"/>
      <c r="S512" s="816"/>
      <c r="T512" s="738"/>
      <c r="U512" s="738"/>
      <c r="V512" s="738"/>
      <c r="W512" s="738"/>
      <c r="X512" s="817"/>
      <c r="Y512" s="816"/>
      <c r="Z512" s="738"/>
      <c r="AA512" s="738"/>
      <c r="AB512" s="738"/>
      <c r="AC512" s="738"/>
      <c r="AD512" s="817"/>
      <c r="AF512"/>
      <c r="AG512">
        <f t="shared" si="54"/>
        <v>0</v>
      </c>
      <c r="AH512">
        <f t="shared" si="55"/>
        <v>0</v>
      </c>
      <c r="AJ512">
        <f t="shared" si="56"/>
        <v>0</v>
      </c>
      <c r="AK512">
        <f t="shared" si="57"/>
        <v>0</v>
      </c>
      <c r="AL512">
        <f t="shared" si="58"/>
        <v>0</v>
      </c>
    </row>
    <row r="513" spans="1:39" ht="15" customHeight="1">
      <c r="A513" s="49"/>
      <c r="B513" s="38"/>
      <c r="C513" s="1109"/>
      <c r="D513" s="874"/>
      <c r="E513" s="874"/>
      <c r="F513" s="1119" t="s">
        <v>5114</v>
      </c>
      <c r="G513" s="1120"/>
      <c r="H513" s="178"/>
      <c r="I513" s="1111" t="s">
        <v>201</v>
      </c>
      <c r="J513" s="1111"/>
      <c r="K513" s="1111"/>
      <c r="L513" s="1112"/>
      <c r="M513" s="816"/>
      <c r="N513" s="738"/>
      <c r="O513" s="738"/>
      <c r="P513" s="738"/>
      <c r="Q513" s="738"/>
      <c r="R513" s="817"/>
      <c r="S513" s="816"/>
      <c r="T513" s="738"/>
      <c r="U513" s="738"/>
      <c r="V513" s="738"/>
      <c r="W513" s="738"/>
      <c r="X513" s="817"/>
      <c r="Y513" s="816"/>
      <c r="Z513" s="738"/>
      <c r="AA513" s="738"/>
      <c r="AB513" s="738"/>
      <c r="AC513" s="738"/>
      <c r="AD513" s="817"/>
      <c r="AF513"/>
      <c r="AG513">
        <f t="shared" si="54"/>
        <v>0</v>
      </c>
      <c r="AH513">
        <f t="shared" si="55"/>
        <v>0</v>
      </c>
      <c r="AJ513">
        <f t="shared" si="56"/>
        <v>0</v>
      </c>
      <c r="AK513">
        <f t="shared" si="57"/>
        <v>0</v>
      </c>
      <c r="AL513">
        <f t="shared" si="58"/>
        <v>0</v>
      </c>
    </row>
    <row r="514" spans="1:39" ht="24" customHeight="1">
      <c r="A514" s="49"/>
      <c r="B514" s="38"/>
      <c r="C514" s="1109"/>
      <c r="D514" s="874"/>
      <c r="E514" s="874"/>
      <c r="F514" s="1103" t="s">
        <v>5115</v>
      </c>
      <c r="G514" s="1103"/>
      <c r="H514" s="1104" t="s">
        <v>5116</v>
      </c>
      <c r="I514" s="1105"/>
      <c r="J514" s="1105"/>
      <c r="K514" s="1105"/>
      <c r="L514" s="1106"/>
      <c r="M514" s="816"/>
      <c r="N514" s="738"/>
      <c r="O514" s="738"/>
      <c r="P514" s="738"/>
      <c r="Q514" s="738"/>
      <c r="R514" s="817"/>
      <c r="S514" s="816"/>
      <c r="T514" s="738"/>
      <c r="U514" s="738"/>
      <c r="V514" s="738"/>
      <c r="W514" s="738"/>
      <c r="X514" s="817"/>
      <c r="Y514" s="816"/>
      <c r="Z514" s="738"/>
      <c r="AA514" s="738"/>
      <c r="AB514" s="738"/>
      <c r="AC514" s="738"/>
      <c r="AD514" s="817"/>
      <c r="AF514"/>
      <c r="AG514">
        <f t="shared" si="54"/>
        <v>0</v>
      </c>
      <c r="AH514">
        <f t="shared" si="55"/>
        <v>0</v>
      </c>
      <c r="AJ514">
        <f t="shared" si="56"/>
        <v>0</v>
      </c>
      <c r="AK514">
        <f t="shared" si="57"/>
        <v>0</v>
      </c>
      <c r="AL514">
        <f t="shared" si="58"/>
        <v>0</v>
      </c>
    </row>
    <row r="515" spans="1:39" ht="15" customHeight="1">
      <c r="A515" s="49"/>
      <c r="B515" s="38"/>
      <c r="C515" s="1109"/>
      <c r="D515" s="874"/>
      <c r="E515" s="874"/>
      <c r="F515" s="1103" t="s">
        <v>5117</v>
      </c>
      <c r="G515" s="1103"/>
      <c r="H515" s="1104" t="s">
        <v>5118</v>
      </c>
      <c r="I515" s="1105"/>
      <c r="J515" s="1105"/>
      <c r="K515" s="1105"/>
      <c r="L515" s="1106"/>
      <c r="M515" s="816"/>
      <c r="N515" s="738"/>
      <c r="O515" s="738"/>
      <c r="P515" s="738"/>
      <c r="Q515" s="738"/>
      <c r="R515" s="817"/>
      <c r="S515" s="816"/>
      <c r="T515" s="738"/>
      <c r="U515" s="738"/>
      <c r="V515" s="738"/>
      <c r="W515" s="738"/>
      <c r="X515" s="817"/>
      <c r="Y515" s="816"/>
      <c r="Z515" s="738"/>
      <c r="AA515" s="738"/>
      <c r="AB515" s="738"/>
      <c r="AC515" s="738"/>
      <c r="AD515" s="817"/>
      <c r="AF515"/>
      <c r="AG515">
        <f t="shared" si="54"/>
        <v>0</v>
      </c>
      <c r="AH515">
        <f t="shared" si="55"/>
        <v>0</v>
      </c>
      <c r="AJ515">
        <f t="shared" si="56"/>
        <v>0</v>
      </c>
      <c r="AK515">
        <f t="shared" si="57"/>
        <v>0</v>
      </c>
      <c r="AL515">
        <f t="shared" si="58"/>
        <v>0</v>
      </c>
      <c r="AM515">
        <f>IF(OR(M515="NS",M515="NA",$M$334=0,$M$334="NS",$M$334="NA"),0,IF((M515*(IFERROR(100/SUM(M483:M515),0)))&gt;25,1,0))</f>
        <v>0</v>
      </c>
    </row>
    <row r="516" spans="1:39" ht="15" customHeight="1">
      <c r="A516" s="49"/>
      <c r="B516" s="38"/>
      <c r="C516" s="739" t="s">
        <v>5119</v>
      </c>
      <c r="D516" s="740"/>
      <c r="E516" s="740"/>
      <c r="F516" s="740"/>
      <c r="G516" s="741"/>
      <c r="H516" s="1104" t="s">
        <v>201</v>
      </c>
      <c r="I516" s="1105"/>
      <c r="J516" s="1105"/>
      <c r="K516" s="1105"/>
      <c r="L516" s="1106"/>
      <c r="M516" s="816"/>
      <c r="N516" s="738"/>
      <c r="O516" s="738"/>
      <c r="P516" s="738"/>
      <c r="Q516" s="738"/>
      <c r="R516" s="817"/>
      <c r="S516" s="816"/>
      <c r="T516" s="738"/>
      <c r="U516" s="738"/>
      <c r="V516" s="738"/>
      <c r="W516" s="738"/>
      <c r="X516" s="817"/>
      <c r="Y516" s="816"/>
      <c r="Z516" s="738"/>
      <c r="AA516" s="738"/>
      <c r="AB516" s="738"/>
      <c r="AC516" s="738"/>
      <c r="AD516" s="817"/>
      <c r="AF516"/>
      <c r="AG516">
        <f t="shared" si="54"/>
        <v>0</v>
      </c>
      <c r="AH516">
        <f t="shared" si="55"/>
        <v>0</v>
      </c>
      <c r="AJ516">
        <f t="shared" si="56"/>
        <v>0</v>
      </c>
      <c r="AK516">
        <f t="shared" si="57"/>
        <v>0</v>
      </c>
      <c r="AL516">
        <f t="shared" si="58"/>
        <v>0</v>
      </c>
    </row>
    <row r="517" spans="1:39" ht="15" customHeight="1">
      <c r="A517" s="49"/>
      <c r="B517" s="38"/>
      <c r="C517" s="38"/>
      <c r="D517" s="38"/>
      <c r="E517" s="38"/>
      <c r="F517" s="38"/>
      <c r="G517" s="38"/>
      <c r="H517" s="38"/>
      <c r="I517" s="38"/>
      <c r="J517" s="45"/>
      <c r="K517" s="45"/>
      <c r="L517" s="99" t="s">
        <v>2649</v>
      </c>
      <c r="M517" s="1119">
        <f>IF(COUNTIF(M352:M516,"NA")=165,"NA",IF(AND(SUM(COUNTIF(M352:M362,"NS"),COUNTIF(M369:M373,"NS"),COUNTIF(M379:M382,"NS"),COUNTIF(M401,"NS"),COUNTIF(M407:M409,"NS"),COUNTIF(M413:M419,"NS"),COUNTIF(M427,"NS"),COUNTIF(M433:M437,"NS"),COUNTIF(M444,"NS"),COUNTIF(M453:M456,"NS"),COUNTIF(M463:M466,"NS"),COUNTIF(M476,"NS"),COUNTIF(M480:M487,"NS"),COUNTIF(M495:M496,"NS"),COUNTIF(M500:M508,"NS"),COUNTIF(M514:M516,"NS"))&gt;0,SUM(M352:M362,M369:M373,M379:M382,M401,M407:M409,M413:M419,M427,M433:M437,M444,M453:M456,M463:M466,M476,M480:M487,M495:M496,M500:M508,M514:M516)=0),"NS",SUM(M352:M362,M369:M373,M379:M382,M401,M407:M409,M413:M419,M427,M433:M437,M444,M453:M456,M463:M466,M476,M480:M487,M495:M496,M500:M508,M514:M516)))</f>
        <v>0</v>
      </c>
      <c r="N517" s="1121"/>
      <c r="O517" s="1121"/>
      <c r="P517" s="1121"/>
      <c r="Q517" s="1121"/>
      <c r="R517" s="1120"/>
      <c r="S517" s="1119">
        <f>IF(COUNTIF(S352:S516,"NA")=165,"NA",IF(AND(SUM(COUNTIF(S352:S362,"NS"),COUNTIF(S369:S373,"NS"),COUNTIF(S379:S382,"NS"),COUNTIF(S401,"NS"),COUNTIF(S407:S409,"NS"),COUNTIF(S413:S419,"NS"),COUNTIF(S427,"NS"),COUNTIF(S433:S437,"NS"),COUNTIF(S444,"NS"),COUNTIF(S453:S456,"NS"),COUNTIF(S463:S466,"NS"),COUNTIF(S476,"NS"),COUNTIF(S480:S487,"NS"),COUNTIF(S495:S496,"NS"),COUNTIF(S500:S508,"NS"),COUNTIF(S514:S516,"NS"))&gt;0,SUM(S352:S362,S369:S373,S379:S382,S401,S407:S409,S413:S419,S427,S433:S437,S444,S453:S456,S463:S466,S476,S480:S487,S495:S496,S500:S508,S514:S516)=0),"NS",SUM(S352:S362,S369:S373,S379:S382,S401,S407:S409,S413:S419,S427,S433:S437,S444,S453:S456,S463:S466,S476,S480:S487,S495:S496,S500:S508,S514:S516)))</f>
        <v>0</v>
      </c>
      <c r="T517" s="1121"/>
      <c r="U517" s="1121"/>
      <c r="V517" s="1121"/>
      <c r="W517" s="1121"/>
      <c r="X517" s="1120"/>
      <c r="Y517" s="1119">
        <f t="shared" ref="Y517" si="59">IF(COUNTIF(Y352:Y516,"NA")=165,"NA",IF(AND(SUM(COUNTIF(Y352:Y362,"NS"),COUNTIF(Y369:Y373,"NS"),COUNTIF(Y379:Y382,"NS"),COUNTIF(Y401,"NS"),COUNTIF(Y407:Y409,"NS"),COUNTIF(Y413:Y419,"NS"),COUNTIF(Y427,"NS"),COUNTIF(Y433:Y437,"NS"),COUNTIF(Y444,"NS"),COUNTIF(Y453:Y456,"NS"),COUNTIF(Y463:Y466,"NS"),COUNTIF(Y476,"NS"),COUNTIF(Y480:Y487,"NS"),COUNTIF(Y495:Y496,"NS"),COUNTIF(Y500:Y508,"NS"),COUNTIF(Y514:Y516,"NS"))&gt;0,SUM(Y352:Y362,Y369:Y373,Y379:Y382,Y401,Y407:Y409,Y413:Y419,Y427,Y433:Y437,Y444,Y453:Y456,Y463:Y466,Y476,Y480:Y487,Y495:Y496,Y500:Y508,Y514:Y516)=0),"NS",SUM(Y352:Y362,Y369:Y373,Y379:Y382,Y401,Y407:Y409,Y413:Y419,Y427,Y433:Y437,Y444,Y453:Y456,Y463:Y466,Y476,Y480:Y487,Y495:Y496,Y500:Y508,Y514:Y516)))</f>
        <v>0</v>
      </c>
      <c r="Z517" s="1121"/>
      <c r="AA517" s="1121"/>
      <c r="AB517" s="1121"/>
      <c r="AC517" s="1121"/>
      <c r="AD517" s="1120"/>
      <c r="AF517" s="506">
        <f>SUM(AF508,AF496,AF487,AF476,AF466,AF456,AF444,AF437,AF427,AF419,AF409,AF401,AF382,AF373,AF362)</f>
        <v>0</v>
      </c>
      <c r="AG517" s="506">
        <f>SUM(AG352:AG516)</f>
        <v>0</v>
      </c>
      <c r="AH517" s="506">
        <f>SUM(AH352:AH516,AI352)</f>
        <v>0</v>
      </c>
      <c r="AJ517">
        <f>SUM(AJ352:AJ516)</f>
        <v>0</v>
      </c>
      <c r="AL517" s="405">
        <f>SUM(AL352:AL516)</f>
        <v>0</v>
      </c>
      <c r="AM517" s="506">
        <f>SUM(AM515,AM482,AM465,AM436,AM418,AM415,AM381,AM369,AM356)</f>
        <v>0</v>
      </c>
    </row>
    <row r="518" spans="1:39" ht="15" customHeight="1">
      <c r="A518" s="49"/>
      <c r="B518" s="1087" t="str">
        <f>IF(AND(OR(AND(M401&gt;0,ISNONTEXT(M401)),AND(M402&gt;0,ISNONTEXT(M402)),AND(M403&gt;0,ISNONTEXT(M403)),AND(M404&gt;0,ISNONTEXT(M404)),AND(M405&gt;0,ISNONTEXT(M405)),AND(M406&gt;0,ISNONTEXT(M406)),AND(M444&gt;0,ISNONTEXT(M444)),AND(M445&gt;0,ISNONTEXT(M445)),AND(M446&gt;0,ISNONTEXT(M446)),AND(M447&gt;0,ISNONTEXT(M447)),AND(M448&gt;0,ISNONTEXT(M448)),AND(M449&gt;0,ISNONTEXT(M449)),AND(M450&gt;0,ISNONTEXT(M450)),AND(M451&gt;0,ISNONTEXT(M451)),AND(M452&gt;0,ISNONTEXT(M452)),AND(M455&gt;0,ISNONTEXT(M455)),AND(M456&gt;0,ISNONTEXT(M456)),AND(M457&gt;0,ISNONTEXT(M457)),AND(M458&gt;0,ISNONTEXT(M458)),AND(M459&gt;0,ISNONTEXT(M459)),AND(M460&gt;0,ISNONTEXT(M460)),AND(M461&gt;0,ISNONTEXT(M461)),AND(M462&gt;0,ISNONTEXT(M462)),AND(M477&gt;0,ISNONTEXT(M477)),AND(M496&gt;0,ISNONTEXT(M496)),AND(M497&gt;0,ISNONTEXT(M497)),AND(M498&gt;0,ISNONTEXT(M498)),AND(M499&gt;0,ISNONTEXT(M499)))),"Alerta: debido a que cuenta con registros del fuero federal mayores a cero, proporcione una justificación en el área de comentarios","")</f>
        <v/>
      </c>
      <c r="C518" s="1087"/>
      <c r="D518" s="1087"/>
      <c r="E518" s="1087"/>
      <c r="F518" s="1087"/>
      <c r="G518" s="1087"/>
      <c r="H518" s="1087"/>
      <c r="I518" s="1087"/>
      <c r="J518" s="1087"/>
      <c r="K518" s="1087"/>
      <c r="L518" s="1087"/>
      <c r="M518" s="1087"/>
      <c r="N518" s="1087"/>
      <c r="O518" s="1087"/>
      <c r="P518" s="1087"/>
      <c r="Q518" s="1087"/>
      <c r="R518" s="1087"/>
      <c r="S518" s="1087"/>
      <c r="T518" s="1087"/>
      <c r="U518" s="1087"/>
      <c r="V518" s="1087"/>
      <c r="W518" s="1087"/>
      <c r="X518" s="1087"/>
      <c r="Y518" s="1087"/>
      <c r="Z518" s="1087"/>
      <c r="AA518" s="1087"/>
      <c r="AB518" s="1087"/>
      <c r="AC518" s="1087"/>
      <c r="AD518" s="1087"/>
      <c r="AE518" s="1087"/>
      <c r="AK518" t="s">
        <v>5140</v>
      </c>
      <c r="AL518" s="506">
        <f>AL517-COUNTIF(M352:R516,"NA")</f>
        <v>0</v>
      </c>
    </row>
    <row r="519" spans="1:39" ht="24" customHeight="1">
      <c r="A519" s="49"/>
      <c r="B519" s="38"/>
      <c r="C519" s="754" t="s">
        <v>2611</v>
      </c>
      <c r="D519" s="754"/>
      <c r="E519" s="754"/>
      <c r="F519" s="754"/>
      <c r="G519" s="754"/>
      <c r="H519" s="754"/>
      <c r="I519" s="754"/>
      <c r="J519" s="754"/>
      <c r="K519" s="754"/>
      <c r="L519" s="754"/>
      <c r="M519" s="754"/>
      <c r="N519" s="754"/>
      <c r="O519" s="754"/>
      <c r="P519" s="754"/>
      <c r="Q519" s="754"/>
      <c r="R519" s="754"/>
      <c r="S519" s="754"/>
      <c r="T519" s="754"/>
      <c r="U519" s="754"/>
      <c r="V519" s="754"/>
      <c r="W519" s="754"/>
      <c r="X519" s="754"/>
      <c r="Y519" s="754"/>
      <c r="Z519" s="754"/>
      <c r="AA519" s="754"/>
      <c r="AB519" s="754"/>
      <c r="AC519" s="754"/>
      <c r="AD519" s="754"/>
    </row>
    <row r="520" spans="1:39" ht="60" customHeight="1">
      <c r="A520" s="49"/>
      <c r="B520" s="38"/>
      <c r="C520" s="851"/>
      <c r="D520" s="851"/>
      <c r="E520" s="851"/>
      <c r="F520" s="851"/>
      <c r="G520" s="851"/>
      <c r="H520" s="851"/>
      <c r="I520" s="851"/>
      <c r="J520" s="851"/>
      <c r="K520" s="851"/>
      <c r="L520" s="851"/>
      <c r="M520" s="851"/>
      <c r="N520" s="851"/>
      <c r="O520" s="851"/>
      <c r="P520" s="851"/>
      <c r="Q520" s="851"/>
      <c r="R520" s="851"/>
      <c r="S520" s="851"/>
      <c r="T520" s="851"/>
      <c r="U520" s="851"/>
      <c r="V520" s="851"/>
      <c r="W520" s="851"/>
      <c r="X520" s="851"/>
      <c r="Y520" s="851"/>
      <c r="Z520" s="851"/>
      <c r="AA520" s="851"/>
      <c r="AB520" s="851"/>
      <c r="AC520" s="851"/>
      <c r="AD520" s="851"/>
    </row>
    <row r="521" spans="1:39" ht="15" customHeight="1">
      <c r="A521" s="49"/>
      <c r="B521" s="1003" t="str">
        <f>IF(AG517=0,"","Favor de ingresar toda la información requerida en la pregunta")</f>
        <v/>
      </c>
      <c r="C521" s="1003"/>
      <c r="D521" s="1003"/>
      <c r="E521" s="1003"/>
      <c r="F521" s="1003"/>
      <c r="G521" s="1003"/>
      <c r="H521" s="1003"/>
      <c r="I521" s="1003"/>
      <c r="J521" s="1003"/>
      <c r="K521" s="1003"/>
      <c r="L521" s="1003"/>
      <c r="M521" s="1003"/>
      <c r="N521" s="1003"/>
      <c r="O521" s="1003"/>
      <c r="P521" s="1003"/>
      <c r="Q521" s="1003"/>
      <c r="R521" s="1003"/>
      <c r="S521" s="1003"/>
      <c r="T521" s="1003"/>
      <c r="U521" s="1003"/>
      <c r="V521" s="1003"/>
      <c r="W521" s="1003"/>
      <c r="X521" s="1003"/>
      <c r="Y521" s="1003"/>
      <c r="Z521" s="1003"/>
      <c r="AA521" s="1003"/>
      <c r="AB521" s="1003"/>
      <c r="AC521" s="1003"/>
      <c r="AD521" s="1003"/>
      <c r="AE521" s="1003"/>
    </row>
    <row r="522" spans="1:39" ht="15" customHeight="1">
      <c r="A522" s="49"/>
      <c r="B522" s="1087" t="str">
        <f>IF(OR($M$334=0,$M$334="NS",$M$334="NA"),"",IF(COUNTIF(M352:AD516,"NS")&lt;&gt;0,"Alerta: debido a que cuenta con registros NS, debe proporcionar una justificación en el area de comentarios al final de la pregunta",""))</f>
        <v/>
      </c>
      <c r="C522" s="1087"/>
      <c r="D522" s="1087"/>
      <c r="E522" s="1087"/>
      <c r="F522" s="1087"/>
      <c r="G522" s="1087"/>
      <c r="H522" s="1087"/>
      <c r="I522" s="1087"/>
      <c r="J522" s="1087"/>
      <c r="K522" s="1087"/>
      <c r="L522" s="1087"/>
      <c r="M522" s="1087"/>
      <c r="N522" s="1087"/>
      <c r="O522" s="1087"/>
      <c r="P522" s="1087"/>
      <c r="Q522" s="1087"/>
      <c r="R522" s="1087"/>
      <c r="S522" s="1087"/>
      <c r="T522" s="1087"/>
      <c r="U522" s="1087"/>
      <c r="V522" s="1087"/>
      <c r="W522" s="1087"/>
      <c r="X522" s="1087"/>
      <c r="Y522" s="1087"/>
      <c r="Z522" s="1087"/>
      <c r="AA522" s="1087"/>
      <c r="AB522" s="1087"/>
      <c r="AC522" s="1087"/>
      <c r="AD522" s="1087"/>
      <c r="AE522" s="1087"/>
    </row>
    <row r="523" spans="1:39" ht="15" customHeight="1">
      <c r="A523" s="49"/>
      <c r="B523" s="1003" t="str">
        <f>IF(AH517=0,"","Revise la información capturada, ya que tiene datos ingresados en celdas que están sombreadas")</f>
        <v/>
      </c>
      <c r="C523" s="1003"/>
      <c r="D523" s="1003"/>
      <c r="E523" s="1003"/>
      <c r="F523" s="1003"/>
      <c r="G523" s="1003"/>
      <c r="H523" s="1003"/>
      <c r="I523" s="1003"/>
      <c r="J523" s="1003"/>
      <c r="K523" s="1003"/>
      <c r="L523" s="1003"/>
      <c r="M523" s="1003"/>
      <c r="N523" s="1003"/>
      <c r="O523" s="1003"/>
      <c r="P523" s="1003"/>
      <c r="Q523" s="1003"/>
      <c r="R523" s="1003"/>
      <c r="S523" s="1003"/>
      <c r="T523" s="1003"/>
      <c r="U523" s="1003"/>
      <c r="V523" s="1003"/>
      <c r="W523" s="1003"/>
      <c r="X523" s="1003"/>
      <c r="Y523" s="1003"/>
      <c r="Z523" s="1003"/>
      <c r="AA523" s="1003"/>
      <c r="AB523" s="1003"/>
      <c r="AC523" s="1003"/>
      <c r="AD523" s="1003"/>
      <c r="AE523" s="1003"/>
    </row>
    <row r="524" spans="1:39" ht="15" customHeight="1">
      <c r="A524" s="49"/>
      <c r="B524" s="1003" t="str">
        <f>IF(OR($M$334=0,$M$334="NS",$M$334="NA"),"",IF(AL518&gt;=1,"Favor de revisar la suma y consistencia de totales y/o subtotales por filas (numéricos y NS)",IF(CE367&gt;0,"Favor de revisar la suma y consistencia de totales y/o subtotales de las desagregaciones de los tipos específicos","")))</f>
        <v/>
      </c>
      <c r="C524" s="1003"/>
      <c r="D524" s="1003"/>
      <c r="E524" s="1003"/>
      <c r="F524" s="1003"/>
      <c r="G524" s="1003"/>
      <c r="H524" s="1003"/>
      <c r="I524" s="1003"/>
      <c r="J524" s="1003"/>
      <c r="K524" s="1003"/>
      <c r="L524" s="1003"/>
      <c r="M524" s="1003"/>
      <c r="N524" s="1003"/>
      <c r="O524" s="1003"/>
      <c r="P524" s="1003"/>
      <c r="Q524" s="1003"/>
      <c r="R524" s="1003"/>
      <c r="S524" s="1003"/>
      <c r="T524" s="1003"/>
      <c r="U524" s="1003"/>
      <c r="V524" s="1003"/>
      <c r="W524" s="1003"/>
      <c r="X524" s="1003"/>
      <c r="Y524" s="1003"/>
      <c r="Z524" s="1003"/>
      <c r="AA524" s="1003"/>
      <c r="AB524" s="1003"/>
      <c r="AC524" s="1003"/>
      <c r="AD524" s="1003"/>
      <c r="AE524" s="1003"/>
    </row>
    <row r="525" spans="1:39" ht="15" customHeight="1">
      <c r="A525" s="49"/>
      <c r="B525" s="1003" t="str">
        <f>IF(OR($M$334=0,$M$334="NS",$M$334="NA"),"",IF(AND(M334=M517,S334=S517,Y334=Y517),IF(AF517&gt;0,"Debido a que reportó NA para cierto delito, también anote NA en sus respectivos tipos específicos",""),"Las cantidades de Hombres y Mujeres debe corresponder con los datos reportados en la preg. anterior del numeral 1"))</f>
        <v/>
      </c>
      <c r="C525" s="1003"/>
      <c r="D525" s="1003"/>
      <c r="E525" s="1003"/>
      <c r="F525" s="1003"/>
      <c r="G525" s="1003"/>
      <c r="H525" s="1003"/>
      <c r="I525" s="1003"/>
      <c r="J525" s="1003"/>
      <c r="K525" s="1003"/>
      <c r="L525" s="1003"/>
      <c r="M525" s="1003"/>
      <c r="N525" s="1003"/>
      <c r="O525" s="1003"/>
      <c r="P525" s="1003"/>
      <c r="Q525" s="1003"/>
      <c r="R525" s="1003"/>
      <c r="S525" s="1003"/>
      <c r="T525" s="1003"/>
      <c r="U525" s="1003"/>
      <c r="V525" s="1003"/>
      <c r="W525" s="1003"/>
      <c r="X525" s="1003"/>
      <c r="Y525" s="1003"/>
      <c r="Z525" s="1003"/>
      <c r="AA525" s="1003"/>
      <c r="AB525" s="1003"/>
      <c r="AC525" s="1003"/>
      <c r="AD525" s="1003"/>
      <c r="AE525" s="1003"/>
    </row>
    <row r="526" spans="1:39" ht="15" customHeight="1">
      <c r="A526" s="49"/>
      <c r="B526" s="1087" t="str">
        <f>IF(AM517&gt;0,"Alerta: si el total en Otros delitos es mayor al 25% por bien jurídico, anote el n. de los delitos en la casilla al final de la pregunta","")</f>
        <v/>
      </c>
      <c r="C526" s="1087"/>
      <c r="D526" s="1087"/>
      <c r="E526" s="1087"/>
      <c r="F526" s="1087"/>
      <c r="G526" s="1087"/>
      <c r="H526" s="1087"/>
      <c r="I526" s="1087"/>
      <c r="J526" s="1087"/>
      <c r="K526" s="1087"/>
      <c r="L526" s="1087"/>
      <c r="M526" s="1087"/>
      <c r="N526" s="1087"/>
      <c r="O526" s="1087"/>
      <c r="P526" s="1087"/>
      <c r="Q526" s="1087"/>
      <c r="R526" s="1087"/>
      <c r="S526" s="1087"/>
      <c r="T526" s="1087"/>
      <c r="U526" s="1087"/>
      <c r="V526" s="1087"/>
      <c r="W526" s="1087"/>
      <c r="X526" s="1087"/>
      <c r="Y526" s="1087"/>
      <c r="Z526" s="1087"/>
      <c r="AA526" s="1087"/>
      <c r="AB526" s="1087"/>
      <c r="AC526" s="1087"/>
      <c r="AD526" s="1087"/>
      <c r="AE526" s="1087"/>
    </row>
    <row r="527" spans="1:39" ht="24" customHeight="1">
      <c r="A527" s="49" t="s">
        <v>5654</v>
      </c>
      <c r="B527" s="829" t="s">
        <v>5655</v>
      </c>
      <c r="C527" s="829"/>
      <c r="D527" s="829"/>
      <c r="E527" s="829"/>
      <c r="F527" s="829"/>
      <c r="G527" s="829"/>
      <c r="H527" s="829"/>
      <c r="I527" s="829"/>
      <c r="J527" s="829"/>
      <c r="K527" s="829"/>
      <c r="L527" s="829"/>
      <c r="M527" s="829"/>
      <c r="N527" s="829"/>
      <c r="O527" s="829"/>
      <c r="P527" s="829"/>
      <c r="Q527" s="829"/>
      <c r="R527" s="829"/>
      <c r="S527" s="829"/>
      <c r="T527" s="829"/>
      <c r="U527" s="829"/>
      <c r="V527" s="829"/>
      <c r="W527" s="829"/>
      <c r="X527" s="829"/>
      <c r="Y527" s="829"/>
      <c r="Z527" s="829"/>
      <c r="AA527" s="829"/>
      <c r="AB527" s="829"/>
      <c r="AC527" s="829"/>
      <c r="AD527" s="829"/>
    </row>
    <row r="528" spans="1:39" ht="24" customHeight="1">
      <c r="A528" s="49"/>
      <c r="B528" s="105"/>
      <c r="C528" s="754" t="s">
        <v>5656</v>
      </c>
      <c r="D528" s="754"/>
      <c r="E528" s="754"/>
      <c r="F528" s="754"/>
      <c r="G528" s="754"/>
      <c r="H528" s="754"/>
      <c r="I528" s="754"/>
      <c r="J528" s="754"/>
      <c r="K528" s="754"/>
      <c r="L528" s="754"/>
      <c r="M528" s="754"/>
      <c r="N528" s="754"/>
      <c r="O528" s="754"/>
      <c r="P528" s="754"/>
      <c r="Q528" s="754"/>
      <c r="R528" s="754"/>
      <c r="S528" s="754"/>
      <c r="T528" s="754"/>
      <c r="U528" s="754"/>
      <c r="V528" s="754"/>
      <c r="W528" s="754"/>
      <c r="X528" s="754"/>
      <c r="Y528" s="754"/>
      <c r="Z528" s="754"/>
      <c r="AA528" s="754"/>
      <c r="AB528" s="754"/>
      <c r="AC528" s="754"/>
      <c r="AD528" s="754"/>
    </row>
    <row r="529" spans="1:83" ht="24" customHeight="1">
      <c r="A529" s="49"/>
      <c r="B529" s="38"/>
      <c r="C529" s="754" t="s">
        <v>5657</v>
      </c>
      <c r="D529" s="754"/>
      <c r="E529" s="754"/>
      <c r="F529" s="754"/>
      <c r="G529" s="754"/>
      <c r="H529" s="754"/>
      <c r="I529" s="754"/>
      <c r="J529" s="754"/>
      <c r="K529" s="754"/>
      <c r="L529" s="754"/>
      <c r="M529" s="754"/>
      <c r="N529" s="754"/>
      <c r="O529" s="754"/>
      <c r="P529" s="754"/>
      <c r="Q529" s="754"/>
      <c r="R529" s="754"/>
      <c r="S529" s="754"/>
      <c r="T529" s="754"/>
      <c r="U529" s="754"/>
      <c r="V529" s="754"/>
      <c r="W529" s="754"/>
      <c r="X529" s="754"/>
      <c r="Y529" s="754"/>
      <c r="Z529" s="754"/>
      <c r="AA529" s="754"/>
      <c r="AB529" s="754"/>
      <c r="AC529" s="754"/>
      <c r="AD529" s="754"/>
    </row>
    <row r="530" spans="1:83" ht="15" customHeight="1">
      <c r="A530" s="49"/>
      <c r="B530" s="38"/>
      <c r="C530" s="75"/>
      <c r="D530" s="75"/>
      <c r="E530" s="75"/>
      <c r="F530" s="75"/>
      <c r="G530" s="75"/>
      <c r="H530" s="75"/>
      <c r="I530" s="75"/>
      <c r="J530" s="75"/>
      <c r="K530" s="75"/>
      <c r="L530" s="75"/>
      <c r="M530" s="75"/>
      <c r="N530" s="75"/>
      <c r="O530" s="75"/>
      <c r="P530" s="75"/>
      <c r="Q530" s="75"/>
      <c r="R530" s="75"/>
      <c r="S530" s="75"/>
      <c r="T530" s="75"/>
      <c r="U530" s="75"/>
      <c r="V530" s="75"/>
      <c r="W530" s="75"/>
      <c r="X530" s="75"/>
      <c r="Y530" s="75"/>
      <c r="Z530" s="75"/>
      <c r="AA530" s="75"/>
      <c r="AB530" s="75"/>
      <c r="AC530" s="75"/>
      <c r="AD530" s="75"/>
    </row>
    <row r="531" spans="1:83" ht="24" customHeight="1">
      <c r="A531" s="49"/>
      <c r="B531" s="38"/>
      <c r="C531" s="797" t="s">
        <v>4736</v>
      </c>
      <c r="D531" s="798"/>
      <c r="E531" s="799"/>
      <c r="F531" s="732" t="s">
        <v>4737</v>
      </c>
      <c r="G531" s="732"/>
      <c r="H531" s="797" t="s">
        <v>4738</v>
      </c>
      <c r="I531" s="798"/>
      <c r="J531" s="798"/>
      <c r="K531" s="798"/>
      <c r="L531" s="799"/>
      <c r="M531" s="739" t="s">
        <v>5658</v>
      </c>
      <c r="N531" s="740"/>
      <c r="O531" s="740"/>
      <c r="P531" s="740"/>
      <c r="Q531" s="740"/>
      <c r="R531" s="740"/>
      <c r="S531" s="740"/>
      <c r="T531" s="740"/>
      <c r="U531" s="740"/>
      <c r="V531" s="740"/>
      <c r="W531" s="740"/>
      <c r="X531" s="740"/>
      <c r="Y531" s="740"/>
      <c r="Z531" s="740"/>
      <c r="AA531" s="740"/>
      <c r="AB531" s="740"/>
      <c r="AC531" s="740"/>
      <c r="AD531" s="741"/>
    </row>
    <row r="532" spans="1:83" ht="15" customHeight="1">
      <c r="A532" s="49"/>
      <c r="B532" s="38"/>
      <c r="C532" s="803"/>
      <c r="D532" s="804"/>
      <c r="E532" s="805"/>
      <c r="F532" s="732"/>
      <c r="G532" s="732"/>
      <c r="H532" s="803"/>
      <c r="I532" s="804"/>
      <c r="J532" s="804"/>
      <c r="K532" s="804"/>
      <c r="L532" s="805"/>
      <c r="M532" s="739" t="s">
        <v>2628</v>
      </c>
      <c r="N532" s="740"/>
      <c r="O532" s="740"/>
      <c r="P532" s="740"/>
      <c r="Q532" s="740"/>
      <c r="R532" s="741"/>
      <c r="S532" s="733" t="s">
        <v>2629</v>
      </c>
      <c r="T532" s="734"/>
      <c r="U532" s="734"/>
      <c r="V532" s="734"/>
      <c r="W532" s="734"/>
      <c r="X532" s="735"/>
      <c r="Y532" s="733" t="s">
        <v>2630</v>
      </c>
      <c r="Z532" s="734"/>
      <c r="AA532" s="734"/>
      <c r="AB532" s="734"/>
      <c r="AC532" s="734"/>
      <c r="AD532" s="735"/>
      <c r="AF532" s="84" t="s">
        <v>4740</v>
      </c>
      <c r="AG532" t="s">
        <v>2586</v>
      </c>
      <c r="AH532" t="s">
        <v>4599</v>
      </c>
      <c r="AI532" t="s">
        <v>4741</v>
      </c>
      <c r="AJ532" t="s">
        <v>2590</v>
      </c>
      <c r="AK532" t="s">
        <v>3163</v>
      </c>
      <c r="AL532" t="s">
        <v>4564</v>
      </c>
      <c r="AM532" t="s">
        <v>4742</v>
      </c>
    </row>
    <row r="533" spans="1:83" ht="15" customHeight="1">
      <c r="A533" s="49"/>
      <c r="B533" s="38"/>
      <c r="C533" s="1108" t="s">
        <v>4743</v>
      </c>
      <c r="D533" s="847" t="s">
        <v>5416</v>
      </c>
      <c r="E533" s="848"/>
      <c r="F533" s="1103" t="s">
        <v>4745</v>
      </c>
      <c r="G533" s="1103"/>
      <c r="H533" s="1104" t="s">
        <v>3875</v>
      </c>
      <c r="I533" s="1105"/>
      <c r="J533" s="1105"/>
      <c r="K533" s="1105"/>
      <c r="L533" s="1106"/>
      <c r="M533" s="816"/>
      <c r="N533" s="738"/>
      <c r="O533" s="738"/>
      <c r="P533" s="738"/>
      <c r="Q533" s="738"/>
      <c r="R533" s="817"/>
      <c r="S533" s="816"/>
      <c r="T533" s="738"/>
      <c r="U533" s="738"/>
      <c r="V533" s="738"/>
      <c r="W533" s="738"/>
      <c r="X533" s="817"/>
      <c r="Y533" s="816"/>
      <c r="Z533" s="738"/>
      <c r="AA533" s="738"/>
      <c r="AB533" s="738"/>
      <c r="AC533" s="738"/>
      <c r="AD533" s="817"/>
      <c r="AF533"/>
      <c r="AG533">
        <f>IF(OR($M$335=0,$M$335="NS",$M$335="NA",M533="NA"),0,IF(COUNTBLANK(M533:AD533)=15,0,1))</f>
        <v>0</v>
      </c>
      <c r="AH533">
        <f>IF(M533="NA",IF(COUNTBLANK(S533:AD533)=12,0,1),0)</f>
        <v>0</v>
      </c>
      <c r="AI533">
        <f>IF(OR($M$335=0,$M$335="NS",$M$335="NA"),IF(COUNTBLANK(M533:AD697)=2970,0,1),0)</f>
        <v>0</v>
      </c>
      <c r="AJ533">
        <f>COUNTIF(S533:AD533,"NS")</f>
        <v>0</v>
      </c>
      <c r="AK533">
        <f>SUM(S533:AD533)</f>
        <v>0</v>
      </c>
      <c r="AL533">
        <f>IF(COUNTIF(M533:AD533,"NA")=3,0,IF(COUNTA(M533:AD533)=0,0,IF(OR(AND(M533=0,AJ533&gt;0),AND(M533="ns",AK533&gt;0),AND(M533="ns",AJ533=0,AK533=0)),1,IF(OR(AND(M533&gt;0,AJ533=2),AND(M533="ns",AJ533=2),AND(M533="ns",AK533=0,AJ533&gt;0),M533=AK533),0,1))))</f>
        <v>0</v>
      </c>
    </row>
    <row r="534" spans="1:83" ht="15" customHeight="1">
      <c r="A534" s="49"/>
      <c r="B534" s="38"/>
      <c r="C534" s="1109"/>
      <c r="D534" s="954"/>
      <c r="E534" s="956"/>
      <c r="F534" s="1103" t="s">
        <v>4746</v>
      </c>
      <c r="G534" s="1103"/>
      <c r="H534" s="1104" t="s">
        <v>4747</v>
      </c>
      <c r="I534" s="1105"/>
      <c r="J534" s="1105"/>
      <c r="K534" s="1105"/>
      <c r="L534" s="1106"/>
      <c r="M534" s="816"/>
      <c r="N534" s="738"/>
      <c r="O534" s="738"/>
      <c r="P534" s="738"/>
      <c r="Q534" s="738"/>
      <c r="R534" s="817"/>
      <c r="S534" s="816"/>
      <c r="T534" s="738"/>
      <c r="U534" s="738"/>
      <c r="V534" s="738"/>
      <c r="W534" s="738"/>
      <c r="X534" s="817"/>
      <c r="Y534" s="816"/>
      <c r="Z534" s="738"/>
      <c r="AA534" s="738"/>
      <c r="AB534" s="738"/>
      <c r="AC534" s="738"/>
      <c r="AD534" s="817"/>
      <c r="AF534"/>
      <c r="AG534">
        <f t="shared" ref="AG534:AG597" si="60">IF(OR($M$335=0,$M$335="NS",$M$335="NA",M534="NA"),0,IF(COUNTBLANK(M534:AD534)=15,0,1))</f>
        <v>0</v>
      </c>
      <c r="AH534">
        <f t="shared" ref="AH534:AH597" si="61">IF(M534="NA",IF(COUNTBLANK(S534:AD534)=12,0,1),0)</f>
        <v>0</v>
      </c>
      <c r="AJ534">
        <f t="shared" ref="AJ534:AJ597" si="62">COUNTIF(S534:AD534,"NS")</f>
        <v>0</v>
      </c>
      <c r="AK534">
        <f t="shared" ref="AK534:AK597" si="63">SUM(S534:AD534)</f>
        <v>0</v>
      </c>
      <c r="AL534">
        <f t="shared" ref="AL534:AL597" si="64">IF(COUNTIF(M534:AD534,"NA")=3,0,IF(COUNTA(M534:AD534)=0,0,IF(OR(AND(M534=0,AJ534&gt;0),AND(M534="ns",AK534&gt;0),AND(M534="ns",AJ534=0,AK534=0)),1,IF(OR(AND(M534&gt;0,AJ534=2),AND(M534="ns",AJ534=2),AND(M534="ns",AK534=0,AJ534&gt;0),M534=AK534),0,1))))</f>
        <v>0</v>
      </c>
    </row>
    <row r="535" spans="1:83" ht="15" customHeight="1">
      <c r="A535" s="49"/>
      <c r="B535" s="38"/>
      <c r="C535" s="1109"/>
      <c r="D535" s="954"/>
      <c r="E535" s="956"/>
      <c r="F535" s="1103" t="s">
        <v>4748</v>
      </c>
      <c r="G535" s="1103"/>
      <c r="H535" s="1104" t="s">
        <v>4749</v>
      </c>
      <c r="I535" s="1105"/>
      <c r="J535" s="1105"/>
      <c r="K535" s="1105"/>
      <c r="L535" s="1106"/>
      <c r="M535" s="816"/>
      <c r="N535" s="738"/>
      <c r="O535" s="738"/>
      <c r="P535" s="738"/>
      <c r="Q535" s="738"/>
      <c r="R535" s="817"/>
      <c r="S535" s="816"/>
      <c r="T535" s="738"/>
      <c r="U535" s="738"/>
      <c r="V535" s="738"/>
      <c r="W535" s="738"/>
      <c r="X535" s="817"/>
      <c r="Y535" s="816"/>
      <c r="Z535" s="738"/>
      <c r="AA535" s="738"/>
      <c r="AB535" s="738"/>
      <c r="AC535" s="738"/>
      <c r="AD535" s="817"/>
      <c r="AF535"/>
      <c r="AG535">
        <f t="shared" si="60"/>
        <v>0</v>
      </c>
      <c r="AH535">
        <f t="shared" si="61"/>
        <v>0</v>
      </c>
      <c r="AJ535">
        <f t="shared" si="62"/>
        <v>0</v>
      </c>
      <c r="AK535">
        <f t="shared" si="63"/>
        <v>0</v>
      </c>
      <c r="AL535">
        <f t="shared" si="64"/>
        <v>0</v>
      </c>
    </row>
    <row r="536" spans="1:83" ht="15" customHeight="1">
      <c r="A536" s="49"/>
      <c r="B536" s="38"/>
      <c r="C536" s="1109"/>
      <c r="D536" s="954"/>
      <c r="E536" s="956"/>
      <c r="F536" s="1103" t="s">
        <v>4750</v>
      </c>
      <c r="G536" s="1103"/>
      <c r="H536" s="1104" t="s">
        <v>4751</v>
      </c>
      <c r="I536" s="1105"/>
      <c r="J536" s="1105"/>
      <c r="K536" s="1105"/>
      <c r="L536" s="1106"/>
      <c r="M536" s="816"/>
      <c r="N536" s="738"/>
      <c r="O536" s="738"/>
      <c r="P536" s="738"/>
      <c r="Q536" s="738"/>
      <c r="R536" s="817"/>
      <c r="S536" s="816"/>
      <c r="T536" s="738"/>
      <c r="U536" s="738"/>
      <c r="V536" s="738"/>
      <c r="W536" s="738"/>
      <c r="X536" s="817"/>
      <c r="Y536" s="816"/>
      <c r="Z536" s="738"/>
      <c r="AA536" s="738"/>
      <c r="AB536" s="738"/>
      <c r="AC536" s="738"/>
      <c r="AD536" s="817"/>
      <c r="AF536"/>
      <c r="AG536">
        <f t="shared" si="60"/>
        <v>0</v>
      </c>
      <c r="AH536">
        <f t="shared" si="61"/>
        <v>0</v>
      </c>
      <c r="AJ536">
        <f t="shared" si="62"/>
        <v>0</v>
      </c>
      <c r="AK536">
        <f t="shared" si="63"/>
        <v>0</v>
      </c>
      <c r="AL536">
        <f t="shared" si="64"/>
        <v>0</v>
      </c>
    </row>
    <row r="537" spans="1:83" ht="36" customHeight="1">
      <c r="A537" s="49"/>
      <c r="B537" s="38"/>
      <c r="C537" s="1109"/>
      <c r="D537" s="954"/>
      <c r="E537" s="956"/>
      <c r="F537" s="1117" t="s">
        <v>4752</v>
      </c>
      <c r="G537" s="1118"/>
      <c r="H537" s="1104" t="s">
        <v>4753</v>
      </c>
      <c r="I537" s="1105"/>
      <c r="J537" s="1105"/>
      <c r="K537" s="1105"/>
      <c r="L537" s="1106"/>
      <c r="M537" s="816"/>
      <c r="N537" s="738"/>
      <c r="O537" s="738"/>
      <c r="P537" s="738"/>
      <c r="Q537" s="738"/>
      <c r="R537" s="817"/>
      <c r="S537" s="816"/>
      <c r="T537" s="738"/>
      <c r="U537" s="738"/>
      <c r="V537" s="738"/>
      <c r="W537" s="738"/>
      <c r="X537" s="817"/>
      <c r="Y537" s="816"/>
      <c r="Z537" s="738"/>
      <c r="AA537" s="738"/>
      <c r="AB537" s="738"/>
      <c r="AC537" s="738"/>
      <c r="AD537" s="817"/>
      <c r="AF537"/>
      <c r="AG537">
        <f t="shared" si="60"/>
        <v>0</v>
      </c>
      <c r="AH537">
        <f t="shared" si="61"/>
        <v>0</v>
      </c>
      <c r="AJ537">
        <f t="shared" si="62"/>
        <v>0</v>
      </c>
      <c r="AK537">
        <f t="shared" si="63"/>
        <v>0</v>
      </c>
      <c r="AL537">
        <f t="shared" si="64"/>
        <v>0</v>
      </c>
      <c r="AM537">
        <f>IF(OR(M537="NS",M537="NA",$M$335=0,$M$335="NS",$M$335="NA"),0,IF((M537*(IFERROR(100/SUM(M533:M537),0)))&gt;25,1,0))</f>
        <v>0</v>
      </c>
    </row>
    <row r="538" spans="1:83" ht="15" customHeight="1">
      <c r="A538" s="49"/>
      <c r="B538" s="38"/>
      <c r="C538" s="1108" t="s">
        <v>4754</v>
      </c>
      <c r="D538" s="847" t="s">
        <v>4755</v>
      </c>
      <c r="E538" s="848"/>
      <c r="F538" s="1103" t="s">
        <v>4756</v>
      </c>
      <c r="G538" s="1103"/>
      <c r="H538" s="1104" t="s">
        <v>4757</v>
      </c>
      <c r="I538" s="1105"/>
      <c r="J538" s="1105"/>
      <c r="K538" s="1105"/>
      <c r="L538" s="1106"/>
      <c r="M538" s="816"/>
      <c r="N538" s="738"/>
      <c r="O538" s="738"/>
      <c r="P538" s="738"/>
      <c r="Q538" s="738"/>
      <c r="R538" s="817"/>
      <c r="S538" s="816"/>
      <c r="T538" s="738"/>
      <c r="U538" s="738"/>
      <c r="V538" s="738"/>
      <c r="W538" s="738"/>
      <c r="X538" s="817"/>
      <c r="Y538" s="816"/>
      <c r="Z538" s="738"/>
      <c r="AA538" s="738"/>
      <c r="AB538" s="738"/>
      <c r="AC538" s="738"/>
      <c r="AD538" s="817"/>
      <c r="AF538"/>
      <c r="AG538">
        <f t="shared" si="60"/>
        <v>0</v>
      </c>
      <c r="AH538">
        <f t="shared" si="61"/>
        <v>0</v>
      </c>
      <c r="AJ538">
        <f t="shared" si="62"/>
        <v>0</v>
      </c>
      <c r="AK538">
        <f t="shared" si="63"/>
        <v>0</v>
      </c>
      <c r="AL538">
        <f t="shared" si="64"/>
        <v>0</v>
      </c>
    </row>
    <row r="539" spans="1:83" ht="15" customHeight="1">
      <c r="A539" s="49"/>
      <c r="B539" s="38"/>
      <c r="C539" s="1109"/>
      <c r="D539" s="954"/>
      <c r="E539" s="956"/>
      <c r="F539" s="1103" t="s">
        <v>4758</v>
      </c>
      <c r="G539" s="1103"/>
      <c r="H539" s="1104" t="s">
        <v>4759</v>
      </c>
      <c r="I539" s="1105"/>
      <c r="J539" s="1105"/>
      <c r="K539" s="1105"/>
      <c r="L539" s="1106"/>
      <c r="M539" s="816"/>
      <c r="N539" s="738"/>
      <c r="O539" s="738"/>
      <c r="P539" s="738"/>
      <c r="Q539" s="738"/>
      <c r="R539" s="817"/>
      <c r="S539" s="816"/>
      <c r="T539" s="738"/>
      <c r="U539" s="738"/>
      <c r="V539" s="738"/>
      <c r="W539" s="738"/>
      <c r="X539" s="817"/>
      <c r="Y539" s="816"/>
      <c r="Z539" s="738"/>
      <c r="AA539" s="738"/>
      <c r="AB539" s="738"/>
      <c r="AC539" s="738"/>
      <c r="AD539" s="817"/>
      <c r="AF539"/>
      <c r="AG539">
        <f t="shared" si="60"/>
        <v>0</v>
      </c>
      <c r="AH539">
        <f t="shared" si="61"/>
        <v>0</v>
      </c>
      <c r="AJ539">
        <f t="shared" si="62"/>
        <v>0</v>
      </c>
      <c r="AK539">
        <f t="shared" si="63"/>
        <v>0</v>
      </c>
      <c r="AL539">
        <f t="shared" si="64"/>
        <v>0</v>
      </c>
    </row>
    <row r="540" spans="1:83" ht="24" customHeight="1">
      <c r="A540" s="49"/>
      <c r="B540" s="38"/>
      <c r="C540" s="1109"/>
      <c r="D540" s="954"/>
      <c r="E540" s="956"/>
      <c r="F540" s="1103" t="s">
        <v>4760</v>
      </c>
      <c r="G540" s="1103"/>
      <c r="H540" s="1104" t="s">
        <v>4761</v>
      </c>
      <c r="I540" s="1105"/>
      <c r="J540" s="1105"/>
      <c r="K540" s="1105"/>
      <c r="L540" s="1106"/>
      <c r="M540" s="816"/>
      <c r="N540" s="738"/>
      <c r="O540" s="738"/>
      <c r="P540" s="738"/>
      <c r="Q540" s="738"/>
      <c r="R540" s="817"/>
      <c r="S540" s="816"/>
      <c r="T540" s="738"/>
      <c r="U540" s="738"/>
      <c r="V540" s="738"/>
      <c r="W540" s="738"/>
      <c r="X540" s="817"/>
      <c r="Y540" s="816"/>
      <c r="Z540" s="738"/>
      <c r="AA540" s="738"/>
      <c r="AB540" s="738"/>
      <c r="AC540" s="738"/>
      <c r="AD540" s="817"/>
      <c r="AF540"/>
      <c r="AG540">
        <f t="shared" si="60"/>
        <v>0</v>
      </c>
      <c r="AH540">
        <f t="shared" si="61"/>
        <v>0</v>
      </c>
      <c r="AJ540">
        <f t="shared" si="62"/>
        <v>0</v>
      </c>
      <c r="AK540">
        <f t="shared" si="63"/>
        <v>0</v>
      </c>
      <c r="AL540">
        <f t="shared" si="64"/>
        <v>0</v>
      </c>
    </row>
    <row r="541" spans="1:83" ht="15" customHeight="1">
      <c r="A541" s="49"/>
      <c r="B541" s="38"/>
      <c r="C541" s="1109"/>
      <c r="D541" s="954"/>
      <c r="E541" s="956"/>
      <c r="F541" s="1103" t="s">
        <v>4762</v>
      </c>
      <c r="G541" s="1103"/>
      <c r="H541" s="1104" t="s">
        <v>4763</v>
      </c>
      <c r="I541" s="1105"/>
      <c r="J541" s="1105"/>
      <c r="K541" s="1105"/>
      <c r="L541" s="1106"/>
      <c r="M541" s="816"/>
      <c r="N541" s="738"/>
      <c r="O541" s="738"/>
      <c r="P541" s="738"/>
      <c r="Q541" s="738"/>
      <c r="R541" s="817"/>
      <c r="S541" s="816"/>
      <c r="T541" s="738"/>
      <c r="U541" s="738"/>
      <c r="V541" s="738"/>
      <c r="W541" s="738"/>
      <c r="X541" s="817"/>
      <c r="Y541" s="816"/>
      <c r="Z541" s="738"/>
      <c r="AA541" s="738"/>
      <c r="AB541" s="738"/>
      <c r="AC541" s="738"/>
      <c r="AD541" s="817"/>
      <c r="AF541"/>
      <c r="AG541">
        <f t="shared" si="60"/>
        <v>0</v>
      </c>
      <c r="AH541">
        <f t="shared" si="61"/>
        <v>0</v>
      </c>
      <c r="AJ541">
        <f t="shared" si="62"/>
        <v>0</v>
      </c>
      <c r="AK541">
        <f t="shared" si="63"/>
        <v>0</v>
      </c>
      <c r="AL541">
        <f t="shared" si="64"/>
        <v>0</v>
      </c>
    </row>
    <row r="542" spans="1:83" ht="24" customHeight="1">
      <c r="A542" s="49"/>
      <c r="B542" s="38"/>
      <c r="C542" s="1109"/>
      <c r="D542" s="954"/>
      <c r="E542" s="956"/>
      <c r="F542" s="1103" t="s">
        <v>4764</v>
      </c>
      <c r="G542" s="1103"/>
      <c r="H542" s="1104" t="s">
        <v>4765</v>
      </c>
      <c r="I542" s="1105"/>
      <c r="J542" s="1105"/>
      <c r="K542" s="1105"/>
      <c r="L542" s="1106"/>
      <c r="M542" s="816"/>
      <c r="N542" s="738"/>
      <c r="O542" s="738"/>
      <c r="P542" s="738"/>
      <c r="Q542" s="738"/>
      <c r="R542" s="817"/>
      <c r="S542" s="816"/>
      <c r="T542" s="738"/>
      <c r="U542" s="738"/>
      <c r="V542" s="738"/>
      <c r="W542" s="738"/>
      <c r="X542" s="817"/>
      <c r="Y542" s="816"/>
      <c r="Z542" s="738"/>
      <c r="AA542" s="738"/>
      <c r="AB542" s="738"/>
      <c r="AC542" s="738"/>
      <c r="AD542" s="817"/>
      <c r="AF542"/>
      <c r="AG542">
        <f t="shared" si="60"/>
        <v>0</v>
      </c>
      <c r="AH542">
        <f t="shared" si="61"/>
        <v>0</v>
      </c>
      <c r="AJ542">
        <f t="shared" si="62"/>
        <v>0</v>
      </c>
      <c r="AK542">
        <f t="shared" si="63"/>
        <v>0</v>
      </c>
      <c r="AL542">
        <f t="shared" si="64"/>
        <v>0</v>
      </c>
      <c r="AM542" t="s">
        <v>4766</v>
      </c>
      <c r="AN542" t="s">
        <v>4767</v>
      </c>
      <c r="AO542" t="s">
        <v>4768</v>
      </c>
      <c r="AP542" t="s">
        <v>4769</v>
      </c>
      <c r="AQ542" t="s">
        <v>4770</v>
      </c>
      <c r="AR542" t="s">
        <v>4771</v>
      </c>
      <c r="AS542" t="s">
        <v>4772</v>
      </c>
      <c r="AT542" t="s">
        <v>4773</v>
      </c>
      <c r="AU542" t="s">
        <v>4774</v>
      </c>
      <c r="AV542" t="s">
        <v>4775</v>
      </c>
      <c r="AW542" t="s">
        <v>4776</v>
      </c>
      <c r="AX542" t="s">
        <v>4777</v>
      </c>
      <c r="AY542" t="s">
        <v>4778</v>
      </c>
      <c r="AZ542" t="s">
        <v>4779</v>
      </c>
      <c r="BA542" t="s">
        <v>4780</v>
      </c>
      <c r="BB542" t="s">
        <v>4781</v>
      </c>
      <c r="BC542" t="s">
        <v>4782</v>
      </c>
      <c r="BD542" t="s">
        <v>4783</v>
      </c>
      <c r="BE542" t="s">
        <v>4784</v>
      </c>
      <c r="BF542" t="s">
        <v>4785</v>
      </c>
      <c r="BG542" t="s">
        <v>4786</v>
      </c>
      <c r="BH542" t="s">
        <v>4787</v>
      </c>
      <c r="BI542" t="s">
        <v>4788</v>
      </c>
      <c r="BJ542" t="s">
        <v>4789</v>
      </c>
      <c r="BK542" t="s">
        <v>4790</v>
      </c>
      <c r="BL542" t="s">
        <v>4791</v>
      </c>
      <c r="BM542" t="s">
        <v>4792</v>
      </c>
      <c r="BN542" t="s">
        <v>4793</v>
      </c>
      <c r="BO542" t="s">
        <v>4794</v>
      </c>
      <c r="BP542" t="s">
        <v>4795</v>
      </c>
      <c r="BQ542" t="s">
        <v>4796</v>
      </c>
      <c r="BR542" t="s">
        <v>4797</v>
      </c>
      <c r="BS542" t="s">
        <v>4798</v>
      </c>
      <c r="BT542" t="s">
        <v>4799</v>
      </c>
      <c r="BU542" t="s">
        <v>4800</v>
      </c>
      <c r="BV542" t="s">
        <v>4801</v>
      </c>
      <c r="BW542" t="s">
        <v>4802</v>
      </c>
      <c r="BX542" t="s">
        <v>4803</v>
      </c>
      <c r="BY542" t="s">
        <v>4804</v>
      </c>
      <c r="BZ542" t="s">
        <v>4805</v>
      </c>
      <c r="CA542" t="s">
        <v>4806</v>
      </c>
      <c r="CB542" t="s">
        <v>4807</v>
      </c>
      <c r="CC542" t="s">
        <v>4808</v>
      </c>
      <c r="CD542" t="s">
        <v>4809</v>
      </c>
      <c r="CE542" t="s">
        <v>4810</v>
      </c>
    </row>
    <row r="543" spans="1:83" ht="15" customHeight="1">
      <c r="A543" s="49"/>
      <c r="B543" s="38"/>
      <c r="C543" s="1109"/>
      <c r="D543" s="954"/>
      <c r="E543" s="956"/>
      <c r="F543" s="1103" t="s">
        <v>4811</v>
      </c>
      <c r="G543" s="1103"/>
      <c r="H543" s="1104" t="s">
        <v>4812</v>
      </c>
      <c r="I543" s="1105"/>
      <c r="J543" s="1105"/>
      <c r="K543" s="1105"/>
      <c r="L543" s="1106"/>
      <c r="M543" s="816"/>
      <c r="N543" s="738"/>
      <c r="O543" s="738"/>
      <c r="P543" s="738"/>
      <c r="Q543" s="738"/>
      <c r="R543" s="817"/>
      <c r="S543" s="816"/>
      <c r="T543" s="738"/>
      <c r="U543" s="738"/>
      <c r="V543" s="738"/>
      <c r="W543" s="738"/>
      <c r="X543" s="817"/>
      <c r="Y543" s="816"/>
      <c r="Z543" s="738"/>
      <c r="AA543" s="738"/>
      <c r="AB543" s="738"/>
      <c r="AC543" s="738"/>
      <c r="AD543" s="817"/>
      <c r="AF543">
        <f>IF(M543="NA",IF(AND(COUNTIF(M544:M549,"="&amp;$AF$361)=0,COUNTIF(M544:M549,"&lt;&gt;NA")&gt;0),1,0),IF(AND(COUNTIF(M544:M549,"="&amp;$AF$361)=0,COUNTIF(M544:M549,"NA")=COUNTIF(M544:M549,"&lt;&gt;"&amp;$AF$361)),1,0))</f>
        <v>0</v>
      </c>
      <c r="AG543">
        <f t="shared" si="60"/>
        <v>0</v>
      </c>
      <c r="AH543">
        <f t="shared" si="61"/>
        <v>0</v>
      </c>
      <c r="AJ543">
        <f t="shared" si="62"/>
        <v>0</v>
      </c>
      <c r="AK543">
        <f t="shared" si="63"/>
        <v>0</v>
      </c>
      <c r="AL543">
        <f t="shared" si="64"/>
        <v>0</v>
      </c>
      <c r="AM543">
        <f>COUNTIF(M544:M549,"NS")</f>
        <v>0</v>
      </c>
      <c r="AN543">
        <f>SUM(M544:M549)</f>
        <v>0</v>
      </c>
      <c r="AO543">
        <f>IF(COUNTA(M543:M549)=0,0,IF(OR(AND(M543=0,AM543&gt;0),AND(M543="ns",AN543&gt;0),AND(M543="ns",AM543=0,AN543=0)),1,IF(OR(AND(AM543&gt;=2,M543&gt;AN543),AND(M543="ns",AN543=0,AM543&gt;0),M543=AN543),0,1)))</f>
        <v>0</v>
      </c>
      <c r="AP543">
        <f>COUNTIF(M555:M559,"NS")</f>
        <v>0</v>
      </c>
      <c r="AQ543">
        <f>SUM(M555:M559)</f>
        <v>0</v>
      </c>
      <c r="AR543">
        <f>IF(COUNTA(M554:M559)=0,0,IF(OR(AND(M554=0,AP543&gt;0),AND(M554="ns",AQ543&gt;0),AND(M554="ns",AP543=0,AQ543=0)),1,IF(OR(AND(AP543&gt;=2,M554&gt;AQ543),AND(M554="ns",AQ543=0,AP543&gt;0),M554=AQ543),0,1)))</f>
        <v>0</v>
      </c>
      <c r="AS543">
        <f>COUNTIF(M564:M581,"NS")</f>
        <v>0</v>
      </c>
      <c r="AT543">
        <f>SUM(M564:M581)</f>
        <v>0</v>
      </c>
      <c r="AU543">
        <f>IF(COUNTA(M563:M581)=0,0,IF(OR(AND(M563=0,AS543&gt;0),AND(M563="ns",AT543&gt;0),AND(M563="ns",AS543=0,AT543=0)),1,IF(OR(AND(AS543&gt;=2,M563&gt;AT543),AND(M563="ns",AT543=0,AS543&gt;0),M563=AT543),0,1)))</f>
        <v>0</v>
      </c>
      <c r="AV543">
        <f>COUNTIF(M583:M587,"NS")</f>
        <v>0</v>
      </c>
      <c r="AW543">
        <f>SUM(M583:M587)</f>
        <v>0</v>
      </c>
      <c r="AX543">
        <f>IF(COUNTA(M582:M587)=0,0,IF(OR(AND(M582=0,AV543&gt;0),AND(M582="ns",AW543&gt;0),AND(M582="ns",AV543=0,AW543=0)),1,IF(OR(AND(AV543&gt;=2,M582&gt;AW543),AND(M582="ns",AW543=0,AV543&gt;0),M582=AW543),0,1)))</f>
        <v>0</v>
      </c>
      <c r="AY543">
        <f>COUNTIF(M591:M593,"NS")</f>
        <v>0</v>
      </c>
      <c r="AZ543">
        <f>SUM(M591:M593)</f>
        <v>0</v>
      </c>
      <c r="BA543">
        <f>IF(COUNTA(M590:M593)=0,0,IF(OR(AND(M590=0,AY543&gt;0),AND(M590="ns",AZ543&gt;0),AND(M590="ns",AY543=0,AZ543=0)),1,IF(OR(AND(AY543&gt;=2,M590&gt;AZ543),AND(M590="ns",AZ543=0,AY543&gt;0),M590=AZ543),0,1)))</f>
        <v>0</v>
      </c>
      <c r="BB543">
        <f>COUNTIF(M601:M607,"NS")</f>
        <v>0</v>
      </c>
      <c r="BC543">
        <f>SUM(M601:M607)</f>
        <v>0</v>
      </c>
      <c r="BD543">
        <f>IF(COUNTA(M600:M607)=0,0,IF(OR(AND(M600=0,BB543&gt;0),AND(M600="ns",BC543&gt;0),AND(M600="ns",BB543=0,BC543=0)),1,IF(OR(AND(BB543&gt;=2,M600&gt;BC543),AND(M600="ns",BC543=0,BB543&gt;0),M600=BC543),0,1)))</f>
        <v>0</v>
      </c>
      <c r="BE543">
        <f>COUNTIF(M609:M613,"NS")</f>
        <v>0</v>
      </c>
      <c r="BF543">
        <f>SUM(M609:M613)</f>
        <v>0</v>
      </c>
      <c r="BG543">
        <f>IF(COUNTA(M608:M613)=0,0,IF(OR(AND(M608=0,BE543&gt;0),AND(M608="ns",BF543&gt;0),AND(M608="ns",BE543=0,BF543=0)),1,IF(OR(AND(BE543&gt;=2,M608&gt;BF543),AND(M608="ns",BF543=0,BE543&gt;0),M608=BF543),0,1)))</f>
        <v>0</v>
      </c>
      <c r="BH543">
        <f>COUNTIF(M619:M624,"NS")</f>
        <v>0</v>
      </c>
      <c r="BI543">
        <f>SUM(M619:M624)</f>
        <v>0</v>
      </c>
      <c r="BJ543">
        <f>IF(COUNTA(M618:M624)=0,0,IF(OR(AND(M618=0,BH543&gt;0),AND(M618="ns",BI543&gt;0),AND(M618="ns",BH543=0,BI543=0)),1,IF(OR(AND(BH543&gt;=2,M618&gt;BI543),AND(M618="ns",BI543=0,BH543&gt;0),M618=BI543),0,1)))</f>
        <v>0</v>
      </c>
      <c r="BK543">
        <f>COUNTIF(M626:M633,"NS")</f>
        <v>0</v>
      </c>
      <c r="BL543">
        <f>SUM(M626:M633)</f>
        <v>0</v>
      </c>
      <c r="BM543">
        <f>IF(COUNTA(M625:M633)=0,0,IF(OR(AND(M625=0,BK543&gt;0),AND(M625="ns",BL543&gt;0),AND(M625="ns",BK543=0,BL543=0)),1,IF(OR(AND(BK543&gt;=2,M625&gt;BL543),AND(M625="ns",BL543=0,BK543&gt;0),M625=BL543),0,1)))</f>
        <v>0</v>
      </c>
      <c r="BN543">
        <f>COUNTIF(M638:M643,"NS")</f>
        <v>0</v>
      </c>
      <c r="BO543">
        <f>SUM(M638:M643)</f>
        <v>0</v>
      </c>
      <c r="BP543">
        <f>IF(COUNTA(M637:M643)=0,0,IF(OR(AND(M637=0,BN543&gt;0),AND(M637="ns",BO543&gt;0),AND(M637="ns",BN543=0,BO543=0)),1,IF(OR(AND(BN543&gt;=2,M637&gt;BO543),AND(M637="ns",BO543=0,BN543&gt;0),M637=BO543),0,1)))</f>
        <v>0</v>
      </c>
      <c r="BQ543">
        <f>COUNTIF(M648:M656,"NS")</f>
        <v>0</v>
      </c>
      <c r="BR543">
        <f>SUM(M648:M656)</f>
        <v>0</v>
      </c>
      <c r="BS543">
        <f>IF(COUNTA(M647:M656)=0,0,IF(OR(AND(M647=0,BQ543&gt;0),AND(M647="ns",BR543&gt;0),AND(M647="ns",BQ543=0,BR543=0)),1,IF(OR(AND(BQ543&gt;=2,M647&gt;BR543),AND(M647="ns",BR543=0,BQ543&gt;0),M647=BR543),0,1)))</f>
        <v>0</v>
      </c>
      <c r="BT543">
        <f>COUNTIF(M658:M660,"NS")</f>
        <v>0</v>
      </c>
      <c r="BU543">
        <f>SUM(M658:M660)</f>
        <v>0</v>
      </c>
      <c r="BV543">
        <f>IF(COUNTA(M657:M660)=0,0,IF(OR(AND(M657=0,BT543&gt;0),AND(M657="ns",BU543&gt;0),AND(M657="ns",BT543=0,BU543=0)),1,IF(OR(AND(BT543&gt;=2,M657&gt;BU543),AND(M657="ns",BU543=0,BT543&gt;0),M657=BU543),0,1)))</f>
        <v>0</v>
      </c>
      <c r="BW543">
        <f>COUNTIF(M669:M675,"NS")</f>
        <v>0</v>
      </c>
      <c r="BX543">
        <f>SUM(M669:M675)</f>
        <v>0</v>
      </c>
      <c r="BY543">
        <f>IF(COUNTA(M668:M675)=0,0,IF(OR(AND(M668=0,BW543&gt;0),AND(M668="ns",BX543&gt;0),AND(M668="ns",BW543=0,BX543=0)),1,IF(OR(AND(BW543&gt;=2,M668&gt;BX543),AND(M668="ns",BX543=0,BW543&gt;0),M668=BX543),0,1)))</f>
        <v>0</v>
      </c>
      <c r="BZ543">
        <f>COUNTIF(M678:M680,"NS")</f>
        <v>0</v>
      </c>
      <c r="CA543">
        <f>SUM(M678:M680)</f>
        <v>0</v>
      </c>
      <c r="CB543">
        <f>IF(COUNTA(M677:M680)=0,0,IF(OR(AND(M677=0,BZ543&gt;0),AND(M677="ns",CA543&gt;0),AND(M677="ns",BZ543=0,CA543=0)),1,IF(OR(AND(BZ543&gt;=2,M677&gt;CA543),AND(M677="ns",CA543=0,BZ543&gt;0),M677=CA543),0,1)))</f>
        <v>0</v>
      </c>
      <c r="CC543">
        <f>COUNTIF(M690:M694,"NS")</f>
        <v>0</v>
      </c>
      <c r="CD543">
        <f>SUM(M690:M694)</f>
        <v>0</v>
      </c>
      <c r="CE543">
        <f>IF(COUNTA(M689:M694)=0,0,IF(OR(AND(M689=0,CC543&gt;0),AND(M689="ns",CD543&gt;0),AND(M689="ns",CC543=0,CD543=0)),1,IF(OR(AND(CC543&gt;=2,M689&gt;CD543),AND(M689="ns",CD543=0,CC543&gt;0),M689=CD543),0,1)))</f>
        <v>0</v>
      </c>
    </row>
    <row r="544" spans="1:83" ht="15" customHeight="1">
      <c r="A544" s="49"/>
      <c r="B544" s="38"/>
      <c r="C544" s="1109"/>
      <c r="D544" s="954"/>
      <c r="E544" s="956"/>
      <c r="F544" s="1110" t="s">
        <v>4813</v>
      </c>
      <c r="G544" s="1110"/>
      <c r="H544" s="177"/>
      <c r="I544" s="1115" t="s">
        <v>4814</v>
      </c>
      <c r="J544" s="1115"/>
      <c r="K544" s="1115"/>
      <c r="L544" s="1116"/>
      <c r="M544" s="816"/>
      <c r="N544" s="738"/>
      <c r="O544" s="738"/>
      <c r="P544" s="738"/>
      <c r="Q544" s="738"/>
      <c r="R544" s="817"/>
      <c r="S544" s="816"/>
      <c r="T544" s="738"/>
      <c r="U544" s="738"/>
      <c r="V544" s="738"/>
      <c r="W544" s="738"/>
      <c r="X544" s="817"/>
      <c r="Y544" s="816"/>
      <c r="Z544" s="738"/>
      <c r="AA544" s="738"/>
      <c r="AB544" s="738"/>
      <c r="AC544" s="738"/>
      <c r="AD544" s="817"/>
      <c r="AF544"/>
      <c r="AG544">
        <f t="shared" si="60"/>
        <v>0</v>
      </c>
      <c r="AH544">
        <f t="shared" si="61"/>
        <v>0</v>
      </c>
      <c r="AJ544">
        <f t="shared" si="62"/>
        <v>0</v>
      </c>
      <c r="AK544">
        <f t="shared" si="63"/>
        <v>0</v>
      </c>
      <c r="AL544">
        <f t="shared" si="64"/>
        <v>0</v>
      </c>
      <c r="AM544">
        <f>COUNTIF(S544:S549,"NS")</f>
        <v>0</v>
      </c>
      <c r="AN544">
        <f>SUM(S544:S549)</f>
        <v>0</v>
      </c>
      <c r="AO544">
        <f>IF(COUNTA(S543:S549)=0,0,IF(OR(AND(S543=0,AM544&gt;0),AND(S543="ns",AN544&gt;0),AND(S543="ns",AM544=0,AN544=0)),1,IF(OR(AND(AM544&gt;=2,S543&gt;AN544),AND(S543="ns",AN544=0,AM544&gt;0),S543=AN544),0,1)))</f>
        <v>0</v>
      </c>
      <c r="AP544">
        <f>COUNTIF(S555:S559,"NS")</f>
        <v>0</v>
      </c>
      <c r="AQ544">
        <f>SUM(S555:S559)</f>
        <v>0</v>
      </c>
      <c r="AR544">
        <f>IF(COUNTA(S554:S559)=0,0,IF(OR(AND(S554=0,AP544&gt;0),AND(S554="ns",AQ544&gt;0),AND(S554="ns",AP544=0,AQ544=0)),1,IF(OR(AND(AP544&gt;=2,S554&gt;AQ544),AND(S554="ns",AQ544=0,AP544&gt;0),S554=AQ544),0,1)))</f>
        <v>0</v>
      </c>
      <c r="AS544">
        <f>COUNTIF(S564:S581,"NS")</f>
        <v>0</v>
      </c>
      <c r="AT544">
        <f>SUM(S564:S581)</f>
        <v>0</v>
      </c>
      <c r="AU544">
        <f>IF(COUNTA(S563:S581)=0,0,IF(OR(AND(S563=0,AS544&gt;0),AND(S563="ns",AT544&gt;0),AND(S563="ns",AS544=0,AT544=0)),1,IF(OR(AND(AS544&gt;=2,S563&gt;AT544),AND(S563="ns",AT544=0,AS544&gt;0),S563=AT544),0,1)))</f>
        <v>0</v>
      </c>
      <c r="AV544">
        <f>COUNTIF(S583:S587,"NS")</f>
        <v>0</v>
      </c>
      <c r="AW544">
        <f>SUM(S583:S587)</f>
        <v>0</v>
      </c>
      <c r="AX544">
        <f>IF(COUNTA(S582:S587)=0,0,IF(OR(AND(S582=0,AV544&gt;0),AND(S582="ns",AW544&gt;0),AND(S582="ns",AV544=0,AW544=0)),1,IF(OR(AND(AV544&gt;=2,S582&gt;AW544),AND(S582="ns",AW544=0,AV544&gt;0),S582=AW544),0,1)))</f>
        <v>0</v>
      </c>
      <c r="AY544">
        <f>COUNTIF(S591:S593,"NS")</f>
        <v>0</v>
      </c>
      <c r="AZ544">
        <f>SUM(S591:S593)</f>
        <v>0</v>
      </c>
      <c r="BA544">
        <f>IF(COUNTA(S590:S593)=0,0,IF(OR(AND(S590=0,AY544&gt;0),AND(S590="ns",AZ544&gt;0),AND(S590="ns",AY544=0,AZ544=0)),1,IF(OR(AND(AY544&gt;=2,S590&gt;AZ544),AND(S590="ns",AZ544=0,AY544&gt;0),S590=AZ544),0,1)))</f>
        <v>0</v>
      </c>
      <c r="BB544">
        <f>COUNTIF(S601:S607,"NS")</f>
        <v>0</v>
      </c>
      <c r="BC544">
        <f>SUM(S601:S607)</f>
        <v>0</v>
      </c>
      <c r="BD544">
        <f>IF(COUNTA(S600:S607)=0,0,IF(OR(AND(S600=0,BB544&gt;0),AND(S600="ns",BC544&gt;0),AND(S600="ns",BB544=0,BC544=0)),1,IF(OR(AND(BB544&gt;=2,S600&gt;BC544),AND(S600="ns",BC544=0,BB544&gt;0),S600=BC544),0,1)))</f>
        <v>0</v>
      </c>
      <c r="BE544">
        <f>COUNTIF(S609:S613,"NS")</f>
        <v>0</v>
      </c>
      <c r="BF544">
        <f>SUM(S609:S613)</f>
        <v>0</v>
      </c>
      <c r="BG544">
        <f>IF(COUNTA(S608:S613)=0,0,IF(OR(AND(S608=0,BE544&gt;0),AND(S608="ns",BF544&gt;0),AND(S608="ns",BE544=0,BF544=0)),1,IF(OR(AND(BE544&gt;=2,S608&gt;BF544),AND(S608="ns",BF544=0,BE544&gt;0),S608=BF544),0,1)))</f>
        <v>0</v>
      </c>
      <c r="BH544">
        <f>COUNTIF(S619:S624,"NS")</f>
        <v>0</v>
      </c>
      <c r="BI544">
        <f>SUM(S619:S624)</f>
        <v>0</v>
      </c>
      <c r="BJ544">
        <f>IF(COUNTA(S618:S624)=0,0,IF(OR(AND(S618=0,BH544&gt;0),AND(S618="ns",BI544&gt;0),AND(S618="ns",BH544=0,BI544=0)),1,IF(OR(AND(BH544&gt;=2,S618&gt;BI544),AND(S618="ns",BI544=0,BH544&gt;0),S618=BI544),0,1)))</f>
        <v>0</v>
      </c>
      <c r="BK544">
        <f>COUNTIF(S626:S633,"NS")</f>
        <v>0</v>
      </c>
      <c r="BL544">
        <f>SUM(S626:S633)</f>
        <v>0</v>
      </c>
      <c r="BM544">
        <f>IF(COUNTA(S625:S633)=0,0,IF(OR(AND(S625=0,BK544&gt;0),AND(S625="ns",BL544&gt;0),AND(S625="ns",BK544=0,BL544=0)),1,IF(OR(AND(BK544&gt;=2,S625&gt;BL544),AND(S625="ns",BL544=0,BK544&gt;0),S625=BL544),0,1)))</f>
        <v>0</v>
      </c>
      <c r="BN544">
        <f>COUNTIF(S638:S643,"NS")</f>
        <v>0</v>
      </c>
      <c r="BO544">
        <f>SUM(S638:S643)</f>
        <v>0</v>
      </c>
      <c r="BP544">
        <f>IF(COUNTA(S637:S643)=0,0,IF(OR(AND(S637=0,BN544&gt;0),AND(S637="ns",BO544&gt;0),AND(S637="ns",BN544=0,BO544=0)),1,IF(OR(AND(BN544&gt;=2,S637&gt;BO544),AND(S637="ns",BO544=0,BN544&gt;0),S637=BO544),0,1)))</f>
        <v>0</v>
      </c>
      <c r="BQ544">
        <f>COUNTIF(S648:S656,"NS")</f>
        <v>0</v>
      </c>
      <c r="BR544">
        <f>SUM(S648:S656)</f>
        <v>0</v>
      </c>
      <c r="BS544">
        <f>IF(COUNTA(S647:S656)=0,0,IF(OR(AND(S647=0,BQ544&gt;0),AND(S647="ns",BR544&gt;0),AND(S647="ns",BQ544=0,BR544=0)),1,IF(OR(AND(BQ544&gt;=2,S647&gt;BR544),AND(S647="ns",BR544=0,BQ544&gt;0),S647=BR544),0,1)))</f>
        <v>0</v>
      </c>
      <c r="BT544">
        <f>COUNTIF(S658:S660,"NS")</f>
        <v>0</v>
      </c>
      <c r="BU544">
        <f>SUM(S658:S660)</f>
        <v>0</v>
      </c>
      <c r="BV544">
        <f>IF(COUNTA(S657:S660)=0,0,IF(OR(AND(S657=0,BT544&gt;0),AND(S657="ns",BU544&gt;0),AND(S657="ns",BT544=0,BU544=0)),1,IF(OR(AND(BT544&gt;=2,S657&gt;BU544),AND(S657="ns",BU544=0,BT544&gt;0),S657=BU544),0,1)))</f>
        <v>0</v>
      </c>
      <c r="BW544">
        <f>COUNTIF(S669:S675,"NS")</f>
        <v>0</v>
      </c>
      <c r="BX544">
        <f>SUM(S669:S675)</f>
        <v>0</v>
      </c>
      <c r="BY544">
        <f>IF(COUNTA(S668:S675)=0,0,IF(OR(AND(S668=0,BW544&gt;0),AND(S668="ns",BX544&gt;0),AND(S668="ns",BW544=0,BX544=0)),1,IF(OR(AND(BW544&gt;=2,S668&gt;BX544),AND(S668="ns",BX544=0,BW544&gt;0),S668=BX544),0,1)))</f>
        <v>0</v>
      </c>
      <c r="BZ544">
        <f>COUNTIF(S678:S680,"NS")</f>
        <v>0</v>
      </c>
      <c r="CA544">
        <f>SUM(S678:S680)</f>
        <v>0</v>
      </c>
      <c r="CB544">
        <f>IF(COUNTA(S677:S680)=0,0,IF(OR(AND(S677=0,BZ544&gt;0),AND(S677="ns",CA544&gt;0),AND(S677="ns",BZ544=0,CA544=0)),1,IF(OR(AND(BZ544&gt;=2,S677&gt;CA544),AND(S677="ns",CA544=0,BZ544&gt;0),S677=CA544),0,1)))</f>
        <v>0</v>
      </c>
      <c r="CC544">
        <f>COUNTIF(S690:S694,"NS")</f>
        <v>0</v>
      </c>
      <c r="CD544">
        <f>SUM(S690:S694)</f>
        <v>0</v>
      </c>
      <c r="CE544">
        <f>IF(COUNTA(S689:S694)=0,0,IF(OR(AND(S689=0,CC544&gt;0),AND(S689="ns",CD544&gt;0),AND(S689="ns",CC544=0,CD544=0)),1,IF(OR(AND(CC544&gt;=2,S689&gt;CD544),AND(S689="ns",CD544=0,CC544&gt;0),S689=CD544),0,1)))</f>
        <v>0</v>
      </c>
    </row>
    <row r="545" spans="1:83" ht="24" customHeight="1">
      <c r="A545" s="49"/>
      <c r="B545" s="38"/>
      <c r="C545" s="1109"/>
      <c r="D545" s="954"/>
      <c r="E545" s="956"/>
      <c r="F545" s="1110" t="s">
        <v>4815</v>
      </c>
      <c r="G545" s="1110"/>
      <c r="H545" s="178"/>
      <c r="I545" s="1111" t="s">
        <v>4816</v>
      </c>
      <c r="J545" s="1111"/>
      <c r="K545" s="1111"/>
      <c r="L545" s="1112"/>
      <c r="M545" s="816"/>
      <c r="N545" s="738"/>
      <c r="O545" s="738"/>
      <c r="P545" s="738"/>
      <c r="Q545" s="738"/>
      <c r="R545" s="817"/>
      <c r="S545" s="816"/>
      <c r="T545" s="738"/>
      <c r="U545" s="738"/>
      <c r="V545" s="738"/>
      <c r="W545" s="738"/>
      <c r="X545" s="817"/>
      <c r="Y545" s="816"/>
      <c r="Z545" s="738"/>
      <c r="AA545" s="738"/>
      <c r="AB545" s="738"/>
      <c r="AC545" s="738"/>
      <c r="AD545" s="817"/>
      <c r="AF545"/>
      <c r="AG545">
        <f t="shared" si="60"/>
        <v>0</v>
      </c>
      <c r="AH545">
        <f t="shared" si="61"/>
        <v>0</v>
      </c>
      <c r="AJ545">
        <f t="shared" si="62"/>
        <v>0</v>
      </c>
      <c r="AK545">
        <f t="shared" si="63"/>
        <v>0</v>
      </c>
      <c r="AL545">
        <f t="shared" si="64"/>
        <v>0</v>
      </c>
      <c r="AM545">
        <f>COUNTIF(Y544:Y549,"NS")</f>
        <v>0</v>
      </c>
      <c r="AN545">
        <f>SUM(Y544:Y549)</f>
        <v>0</v>
      </c>
      <c r="AO545">
        <f>IF(COUNTA(Y543:Y549)=0,0,IF(OR(AND(Y543=0,AM545&gt;0),AND(Y543="ns",AN545&gt;0),AND(Y543="ns",AM545=0,AN545=0)),1,IF(OR(AND(AM545&gt;=2,Y543&gt;AN545),AND(Y543="ns",AN545=0,AM545&gt;0),Y543=AN545),0,1)))</f>
        <v>0</v>
      </c>
      <c r="AP545">
        <f>COUNTIF(Y555:Y559,"NS")</f>
        <v>0</v>
      </c>
      <c r="AQ545">
        <f>SUM(Y555:Y559)</f>
        <v>0</v>
      </c>
      <c r="AR545">
        <f>IF(COUNTA(Y554:Y559)=0,0,IF(OR(AND(Y554=0,AP545&gt;0),AND(Y554="ns",AQ545&gt;0),AND(Y554="ns",AP545=0,AQ545=0)),1,IF(OR(AND(AP545&gt;=2,Y554&gt;AQ545),AND(Y554="ns",AQ545=0,AP545&gt;0),Y554=AQ545),0,1)))</f>
        <v>0</v>
      </c>
      <c r="AS545">
        <f>COUNTIF(Y564:Y581,"NS")</f>
        <v>0</v>
      </c>
      <c r="AT545">
        <f>SUM(Y564:Y581)</f>
        <v>0</v>
      </c>
      <c r="AU545">
        <f>IF(COUNTA(Y563:Y581)=0,0,IF(OR(AND(Y563=0,AS545&gt;0),AND(Y563="ns",AT545&gt;0),AND(Y563="ns",AS545=0,AT545=0)),1,IF(OR(AND(AS545&gt;=2,Y563&gt;AT545),AND(Y563="ns",AT545=0,AS545&gt;0),Y563=AT545),0,1)))</f>
        <v>0</v>
      </c>
      <c r="AV545">
        <f>COUNTIF(Y583:Y587,"NS")</f>
        <v>0</v>
      </c>
      <c r="AW545">
        <f>SUM(Y583:Y587)</f>
        <v>0</v>
      </c>
      <c r="AX545">
        <f>IF(COUNTA(Y582:Y587)=0,0,IF(OR(AND(Y582=0,AV545&gt;0),AND(Y582="ns",AW545&gt;0),AND(Y582="ns",AV545=0,AW545=0)),1,IF(OR(AND(AV545&gt;=2,Y582&gt;AW545),AND(Y582="ns",AW545=0,AV545&gt;0),Y582=AW545),0,1)))</f>
        <v>0</v>
      </c>
      <c r="AY545">
        <f>COUNTIF(Y591:Y593,"NS")</f>
        <v>0</v>
      </c>
      <c r="AZ545">
        <f>SUM(Y591:Y593)</f>
        <v>0</v>
      </c>
      <c r="BA545">
        <f>IF(COUNTA(Y590:Y593)=0,0,IF(OR(AND(Y590=0,AY545&gt;0),AND(Y590="ns",AZ545&gt;0),AND(Y590="ns",AY545=0,AZ545=0)),1,IF(OR(AND(AY545&gt;=2,Y590&gt;AZ545),AND(Y590="ns",AZ545=0,AY545&gt;0),Y590=AZ545),0,1)))</f>
        <v>0</v>
      </c>
      <c r="BB545">
        <f>COUNTIF(Y601:Y607,"NS")</f>
        <v>0</v>
      </c>
      <c r="BC545">
        <f>SUM(Y601:Y607)</f>
        <v>0</v>
      </c>
      <c r="BD545">
        <f>IF(COUNTA(Y600:Y607)=0,0,IF(OR(AND(Y600=0,BB545&gt;0),AND(Y600="ns",BC545&gt;0),AND(Y600="ns",BB545=0,BC545=0)),1,IF(OR(AND(BB545&gt;=2,Y600&gt;BC545),AND(Y600="ns",BC545=0,BB545&gt;0),Y600=BC545),0,1)))</f>
        <v>0</v>
      </c>
      <c r="BE545">
        <f>COUNTIF(Y609:Y613,"NS")</f>
        <v>0</v>
      </c>
      <c r="BF545">
        <f>SUM(Y609:Y613)</f>
        <v>0</v>
      </c>
      <c r="BG545">
        <f>IF(COUNTA(Y608:Y613)=0,0,IF(OR(AND(Y608=0,BE545&gt;0),AND(Y608="ns",BF545&gt;0),AND(Y608="ns",BE545=0,BF545=0)),1,IF(OR(AND(BE545&gt;=2,Y608&gt;BF545),AND(Y608="ns",BF545=0,BE545&gt;0),Y608=BF545),0,1)))</f>
        <v>0</v>
      </c>
      <c r="BH545">
        <f>COUNTIF(Y619:Y624,"NS")</f>
        <v>0</v>
      </c>
      <c r="BI545">
        <f>SUM(Y619:Y624)</f>
        <v>0</v>
      </c>
      <c r="BJ545">
        <f>IF(COUNTA(Y618:Y624)=0,0,IF(OR(AND(Y618=0,BH545&gt;0),AND(Y618="ns",BI545&gt;0),AND(Y618="ns",BH545=0,BI545=0)),1,IF(OR(AND(BH545&gt;=2,Y618&gt;BI545),AND(Y618="ns",BI545=0,BH545&gt;0),Y618=BI545),0,1)))</f>
        <v>0</v>
      </c>
      <c r="BK545">
        <f>COUNTIF(Y626:Y633,"NS")</f>
        <v>0</v>
      </c>
      <c r="BL545">
        <f>SUM(Y626:Y633)</f>
        <v>0</v>
      </c>
      <c r="BM545">
        <f>IF(COUNTA(Y625:Y633)=0,0,IF(OR(AND(Y625=0,BK545&gt;0),AND(Y625="ns",BL545&gt;0),AND(Y625="ns",BK545=0,BL545=0)),1,IF(OR(AND(BK545&gt;=2,Y625&gt;BL545),AND(Y625="ns",BL545=0,BK545&gt;0),Y625=BL545),0,1)))</f>
        <v>0</v>
      </c>
      <c r="BN545">
        <f>COUNTIF(Y638:Y643,"NS")</f>
        <v>0</v>
      </c>
      <c r="BO545">
        <f>SUM(Y638:Y643)</f>
        <v>0</v>
      </c>
      <c r="BP545">
        <f>IF(COUNTA(Y637:Y643)=0,0,IF(OR(AND(Y637=0,BN545&gt;0),AND(Y637="ns",BO545&gt;0),AND(Y637="ns",BN545=0,BO545=0)),1,IF(OR(AND(BN545&gt;=2,Y637&gt;BO545),AND(Y637="ns",BO545=0,BN545&gt;0),Y637=BO545),0,1)))</f>
        <v>0</v>
      </c>
      <c r="BQ545">
        <f>COUNTIF(Y648:Y656,"NS")</f>
        <v>0</v>
      </c>
      <c r="BR545">
        <f>SUM(Y648:Y656)</f>
        <v>0</v>
      </c>
      <c r="BS545">
        <f>IF(COUNTA(Y647:Y656)=0,0,IF(OR(AND(Y647=0,BQ545&gt;0),AND(Y647="ns",BR545&gt;0),AND(Y647="ns",BQ545=0,BR545=0)),1,IF(OR(AND(BQ545&gt;=2,Y647&gt;BR545),AND(Y647="ns",BR545=0,BQ545&gt;0),Y647=BR545),0,1)))</f>
        <v>0</v>
      </c>
      <c r="BT545">
        <f>COUNTIF(Y658:Y660,"NS")</f>
        <v>0</v>
      </c>
      <c r="BU545">
        <f>SUM(Y658:Y660)</f>
        <v>0</v>
      </c>
      <c r="BV545">
        <f>IF(COUNTA(Y657:Y660)=0,0,IF(OR(AND(Y657=0,BT545&gt;0),AND(Y657="ns",BU545&gt;0),AND(Y657="ns",BT545=0,BU545=0)),1,IF(OR(AND(BT545&gt;=2,Y657&gt;BU545),AND(Y657="ns",BU545=0,BT545&gt;0),Y657=BU545),0,1)))</f>
        <v>0</v>
      </c>
      <c r="BW545">
        <f>COUNTIF(Y669:Y675,"NS")</f>
        <v>0</v>
      </c>
      <c r="BX545">
        <f>SUM(Y669:Y675)</f>
        <v>0</v>
      </c>
      <c r="BY545">
        <f>IF(COUNTA(Y668:Y675)=0,0,IF(OR(AND(Y668=0,BW545&gt;0),AND(Y668="ns",BX545&gt;0),AND(Y668="ns",BW545=0,BX545=0)),1,IF(OR(AND(BW545&gt;=2,Y668&gt;BX545),AND(Y668="ns",BX545=0,BW545&gt;0),Y668=BX545),0,1)))</f>
        <v>0</v>
      </c>
      <c r="BZ545">
        <f>COUNTIF(Y678:Y680,"NS")</f>
        <v>0</v>
      </c>
      <c r="CA545">
        <f>SUM(Y678:Y680)</f>
        <v>0</v>
      </c>
      <c r="CB545">
        <f>IF(COUNTA(Y677:Y680)=0,0,IF(OR(AND(Y677=0,BZ545&gt;0),AND(Y677="ns",CA545&gt;0),AND(Y677="ns",BZ545=0,CA545=0)),1,IF(OR(AND(BZ545&gt;=2,Y677&gt;CA545),AND(Y677="ns",CA545=0,BZ545&gt;0),Y677=CA545),0,1)))</f>
        <v>0</v>
      </c>
      <c r="CC545">
        <f>COUNTIF(Y690:Y694,"NS")</f>
        <v>0</v>
      </c>
      <c r="CD545">
        <f>SUM(Y690:Y694)</f>
        <v>0</v>
      </c>
      <c r="CE545">
        <f>IF(COUNTA(Y689:Y694)=0,0,IF(OR(AND(Y689=0,CC545&gt;0),AND(Y689="ns",CD545&gt;0),AND(Y689="ns",CC545=0,CD545=0)),1,IF(OR(AND(CC545&gt;=2,Y689&gt;CD545),AND(Y689="ns",CD545=0,CC545&gt;0),Y689=CD545),0,1)))</f>
        <v>0</v>
      </c>
    </row>
    <row r="546" spans="1:83" ht="24" customHeight="1">
      <c r="A546" s="49"/>
      <c r="B546" s="38"/>
      <c r="C546" s="1109"/>
      <c r="D546" s="954"/>
      <c r="E546" s="956"/>
      <c r="F546" s="1110" t="s">
        <v>4817</v>
      </c>
      <c r="G546" s="1110"/>
      <c r="H546" s="178"/>
      <c r="I546" s="1111" t="s">
        <v>4818</v>
      </c>
      <c r="J546" s="1111"/>
      <c r="K546" s="1111"/>
      <c r="L546" s="1112"/>
      <c r="M546" s="816"/>
      <c r="N546" s="738"/>
      <c r="O546" s="738"/>
      <c r="P546" s="738"/>
      <c r="Q546" s="738"/>
      <c r="R546" s="817"/>
      <c r="S546" s="816"/>
      <c r="T546" s="738"/>
      <c r="U546" s="738"/>
      <c r="V546" s="738"/>
      <c r="W546" s="738"/>
      <c r="X546" s="817"/>
      <c r="Y546" s="816"/>
      <c r="Z546" s="738"/>
      <c r="AA546" s="738"/>
      <c r="AB546" s="738"/>
      <c r="AC546" s="738"/>
      <c r="AD546" s="817"/>
      <c r="AF546"/>
      <c r="AG546">
        <f t="shared" si="60"/>
        <v>0</v>
      </c>
      <c r="AH546">
        <f t="shared" si="61"/>
        <v>0</v>
      </c>
      <c r="AJ546">
        <f t="shared" si="62"/>
        <v>0</v>
      </c>
      <c r="AK546">
        <f t="shared" si="63"/>
        <v>0</v>
      </c>
      <c r="AL546">
        <f t="shared" si="64"/>
        <v>0</v>
      </c>
      <c r="AM546">
        <f>SUM(AM543:AM545)</f>
        <v>0</v>
      </c>
      <c r="AO546">
        <f>SUM(AO543:AO545)</f>
        <v>0</v>
      </c>
      <c r="AP546">
        <f>SUM(AP543:AP545)</f>
        <v>0</v>
      </c>
      <c r="AR546">
        <f>SUM(AR543:AR545)</f>
        <v>0</v>
      </c>
      <c r="AS546">
        <f>SUM(AS543:AS545)</f>
        <v>0</v>
      </c>
      <c r="AU546">
        <f>SUM(AU543:AU545)</f>
        <v>0</v>
      </c>
      <c r="AV546">
        <f>SUM(AV543:AV545)</f>
        <v>0</v>
      </c>
      <c r="AX546">
        <f>SUM(AX543:AX545)</f>
        <v>0</v>
      </c>
      <c r="AY546">
        <f>SUM(AY543:AY545)</f>
        <v>0</v>
      </c>
      <c r="BA546">
        <f>SUM(BA543:BA545)</f>
        <v>0</v>
      </c>
      <c r="BB546">
        <f>SUM(BB543:BB545)</f>
        <v>0</v>
      </c>
      <c r="BD546">
        <f>SUM(BD543:BD545)</f>
        <v>0</v>
      </c>
      <c r="BE546">
        <f>SUM(BE543:BE545)</f>
        <v>0</v>
      </c>
      <c r="BG546">
        <f>SUM(BG543:BG545)</f>
        <v>0</v>
      </c>
      <c r="BH546">
        <f>SUM(BH543:BH545)</f>
        <v>0</v>
      </c>
      <c r="BJ546">
        <f>SUM(BJ543:BJ545)</f>
        <v>0</v>
      </c>
      <c r="BK546">
        <f>SUM(BK543:BK545)</f>
        <v>0</v>
      </c>
      <c r="BM546">
        <f>SUM(BM543:BM545)</f>
        <v>0</v>
      </c>
      <c r="BN546">
        <f>SUM(BN543:BN545)</f>
        <v>0</v>
      </c>
      <c r="BP546">
        <f>SUM(BP543:BP545)</f>
        <v>0</v>
      </c>
      <c r="BQ546">
        <f>SUM(BQ543:BQ545)</f>
        <v>0</v>
      </c>
      <c r="BS546">
        <f>SUM(BS543:BS545)</f>
        <v>0</v>
      </c>
      <c r="BT546">
        <f>SUM(BT543:BT545)</f>
        <v>0</v>
      </c>
      <c r="BV546">
        <f>SUM(BV543:BV545)</f>
        <v>0</v>
      </c>
      <c r="BW546">
        <f>SUM(BW543:BW545)</f>
        <v>0</v>
      </c>
      <c r="BY546">
        <f>SUM(BY543:BY545)</f>
        <v>0</v>
      </c>
      <c r="BZ546">
        <f>SUM(BZ543:BZ545)</f>
        <v>0</v>
      </c>
      <c r="CB546">
        <f>SUM(CB543:CB545)</f>
        <v>0</v>
      </c>
      <c r="CC546">
        <f>SUM(CC543:CC545)</f>
        <v>0</v>
      </c>
      <c r="CE546">
        <f>SUM(CE543:CE545)</f>
        <v>0</v>
      </c>
    </row>
    <row r="547" spans="1:83" ht="15" customHeight="1">
      <c r="A547" s="49"/>
      <c r="B547" s="38"/>
      <c r="C547" s="1109"/>
      <c r="D547" s="954"/>
      <c r="E547" s="956"/>
      <c r="F547" s="1110" t="s">
        <v>4819</v>
      </c>
      <c r="G547" s="1110"/>
      <c r="H547" s="178"/>
      <c r="I547" s="1111" t="s">
        <v>4820</v>
      </c>
      <c r="J547" s="1111"/>
      <c r="K547" s="1111"/>
      <c r="L547" s="1112"/>
      <c r="M547" s="816"/>
      <c r="N547" s="738"/>
      <c r="O547" s="738"/>
      <c r="P547" s="738"/>
      <c r="Q547" s="738"/>
      <c r="R547" s="817"/>
      <c r="S547" s="816"/>
      <c r="T547" s="738"/>
      <c r="U547" s="738"/>
      <c r="V547" s="738"/>
      <c r="W547" s="738"/>
      <c r="X547" s="817"/>
      <c r="Y547" s="816"/>
      <c r="Z547" s="738"/>
      <c r="AA547" s="738"/>
      <c r="AB547" s="738"/>
      <c r="AC547" s="738"/>
      <c r="AD547" s="817"/>
      <c r="AF547"/>
      <c r="AG547">
        <f t="shared" si="60"/>
        <v>0</v>
      </c>
      <c r="AH547">
        <f t="shared" si="61"/>
        <v>0</v>
      </c>
      <c r="AJ547">
        <f t="shared" si="62"/>
        <v>0</v>
      </c>
      <c r="AK547">
        <f t="shared" si="63"/>
        <v>0</v>
      </c>
      <c r="AL547">
        <f t="shared" si="64"/>
        <v>0</v>
      </c>
      <c r="CE547" s="405">
        <f>SUM(AO546,AR546,AU546,AX546,BA546,BD546,BG546,BJ546,BM546,BP546,BS546,BV546,BY546,CB546,CE546)</f>
        <v>0</v>
      </c>
    </row>
    <row r="548" spans="1:83" ht="24" customHeight="1">
      <c r="A548" s="49"/>
      <c r="B548" s="38"/>
      <c r="C548" s="1109"/>
      <c r="D548" s="954"/>
      <c r="E548" s="956"/>
      <c r="F548" s="1110" t="s">
        <v>4821</v>
      </c>
      <c r="G548" s="1110"/>
      <c r="H548" s="178"/>
      <c r="I548" s="1111" t="s">
        <v>4822</v>
      </c>
      <c r="J548" s="1111"/>
      <c r="K548" s="1111"/>
      <c r="L548" s="1112"/>
      <c r="M548" s="816"/>
      <c r="N548" s="738"/>
      <c r="O548" s="738"/>
      <c r="P548" s="738"/>
      <c r="Q548" s="738"/>
      <c r="R548" s="817"/>
      <c r="S548" s="816"/>
      <c r="T548" s="738"/>
      <c r="U548" s="738"/>
      <c r="V548" s="738"/>
      <c r="W548" s="738"/>
      <c r="X548" s="817"/>
      <c r="Y548" s="816"/>
      <c r="Z548" s="738"/>
      <c r="AA548" s="738"/>
      <c r="AB548" s="738"/>
      <c r="AC548" s="738"/>
      <c r="AD548" s="817"/>
      <c r="AF548"/>
      <c r="AG548">
        <f t="shared" si="60"/>
        <v>0</v>
      </c>
      <c r="AH548">
        <f t="shared" si="61"/>
        <v>0</v>
      </c>
      <c r="AJ548">
        <f t="shared" si="62"/>
        <v>0</v>
      </c>
      <c r="AK548">
        <f t="shared" si="63"/>
        <v>0</v>
      </c>
      <c r="AL548">
        <f t="shared" si="64"/>
        <v>0</v>
      </c>
      <c r="CD548" t="s">
        <v>5140</v>
      </c>
      <c r="CE548" s="506">
        <f>CE547-SUM(COUNTIF(M543,"NA"),COUNTIF(M554,"NA"),COUNTIF(M563,"NA"),COUNTIF(M582,"NA"),COUNTIF(M590,"NA"),COUNTIF(M600,"NA"),COUNTIF(M608,"NA"),COUNTIF(M618,"NA"),COUNTIF(M625,"NA"),COUNTIF(M637,"NA"),COUNTIF(M647,"NA"),COUNTIF(M657,"NA"),COUNTIF(M668,"NA"),COUNTIF(M677,"NA"),COUNTIF(M689,"NA"))</f>
        <v>0</v>
      </c>
    </row>
    <row r="549" spans="1:83" ht="15" customHeight="1">
      <c r="A549" s="49"/>
      <c r="B549" s="38"/>
      <c r="C549" s="1109"/>
      <c r="D549" s="954"/>
      <c r="E549" s="956"/>
      <c r="F549" s="1110" t="s">
        <v>4823</v>
      </c>
      <c r="G549" s="1110"/>
      <c r="H549" s="179"/>
      <c r="I549" s="1113" t="s">
        <v>201</v>
      </c>
      <c r="J549" s="1113"/>
      <c r="K549" s="1113"/>
      <c r="L549" s="1114"/>
      <c r="M549" s="816"/>
      <c r="N549" s="738"/>
      <c r="O549" s="738"/>
      <c r="P549" s="738"/>
      <c r="Q549" s="738"/>
      <c r="R549" s="817"/>
      <c r="S549" s="816"/>
      <c r="T549" s="738"/>
      <c r="U549" s="738"/>
      <c r="V549" s="738"/>
      <c r="W549" s="738"/>
      <c r="X549" s="817"/>
      <c r="Y549" s="816"/>
      <c r="Z549" s="738"/>
      <c r="AA549" s="738"/>
      <c r="AB549" s="738"/>
      <c r="AC549" s="738"/>
      <c r="AD549" s="817"/>
      <c r="AF549"/>
      <c r="AG549">
        <f t="shared" si="60"/>
        <v>0</v>
      </c>
      <c r="AH549">
        <f t="shared" si="61"/>
        <v>0</v>
      </c>
      <c r="AJ549">
        <f t="shared" si="62"/>
        <v>0</v>
      </c>
      <c r="AK549">
        <f t="shared" si="63"/>
        <v>0</v>
      </c>
      <c r="AL549">
        <f t="shared" si="64"/>
        <v>0</v>
      </c>
    </row>
    <row r="550" spans="1:83" ht="24" customHeight="1">
      <c r="A550" s="49"/>
      <c r="B550" s="38"/>
      <c r="C550" s="1109"/>
      <c r="D550" s="954"/>
      <c r="E550" s="956"/>
      <c r="F550" s="1103" t="s">
        <v>4824</v>
      </c>
      <c r="G550" s="1103"/>
      <c r="H550" s="1104" t="s">
        <v>4825</v>
      </c>
      <c r="I550" s="1105"/>
      <c r="J550" s="1105"/>
      <c r="K550" s="1105"/>
      <c r="L550" s="1106"/>
      <c r="M550" s="816"/>
      <c r="N550" s="738"/>
      <c r="O550" s="738"/>
      <c r="P550" s="738"/>
      <c r="Q550" s="738"/>
      <c r="R550" s="817"/>
      <c r="S550" s="816"/>
      <c r="T550" s="738"/>
      <c r="U550" s="738"/>
      <c r="V550" s="738"/>
      <c r="W550" s="738"/>
      <c r="X550" s="817"/>
      <c r="Y550" s="816"/>
      <c r="Z550" s="738"/>
      <c r="AA550" s="738"/>
      <c r="AB550" s="738"/>
      <c r="AC550" s="738"/>
      <c r="AD550" s="817"/>
      <c r="AF550"/>
      <c r="AG550">
        <f t="shared" si="60"/>
        <v>0</v>
      </c>
      <c r="AH550">
        <f t="shared" si="61"/>
        <v>0</v>
      </c>
      <c r="AJ550">
        <f t="shared" si="62"/>
        <v>0</v>
      </c>
      <c r="AK550">
        <f t="shared" si="63"/>
        <v>0</v>
      </c>
      <c r="AL550">
        <f t="shared" si="64"/>
        <v>0</v>
      </c>
      <c r="AM550">
        <f>IF(OR(M550="NS",M550="NA",$M$335=0,$M$335="NS",$M$335="NA"),0,IF((M550*(IFERROR(100/SUM(M538:M550),0)))&gt;25,1,0))</f>
        <v>0</v>
      </c>
    </row>
    <row r="551" spans="1:83" ht="15" customHeight="1">
      <c r="A551" s="49"/>
      <c r="B551" s="38"/>
      <c r="C551" s="1108" t="s">
        <v>4826</v>
      </c>
      <c r="D551" s="847" t="s">
        <v>4827</v>
      </c>
      <c r="E551" s="848"/>
      <c r="F551" s="1103" t="s">
        <v>4828</v>
      </c>
      <c r="G551" s="1103"/>
      <c r="H551" s="1104" t="s">
        <v>4829</v>
      </c>
      <c r="I551" s="1105"/>
      <c r="J551" s="1105"/>
      <c r="K551" s="1105"/>
      <c r="L551" s="1106"/>
      <c r="M551" s="816"/>
      <c r="N551" s="738"/>
      <c r="O551" s="738"/>
      <c r="P551" s="738"/>
      <c r="Q551" s="738"/>
      <c r="R551" s="817"/>
      <c r="S551" s="816"/>
      <c r="T551" s="738"/>
      <c r="U551" s="738"/>
      <c r="V551" s="738"/>
      <c r="W551" s="738"/>
      <c r="X551" s="817"/>
      <c r="Y551" s="816"/>
      <c r="Z551" s="738"/>
      <c r="AA551" s="738"/>
      <c r="AB551" s="738"/>
      <c r="AC551" s="738"/>
      <c r="AD551" s="817"/>
      <c r="AF551"/>
      <c r="AG551">
        <f t="shared" si="60"/>
        <v>0</v>
      </c>
      <c r="AH551">
        <f t="shared" si="61"/>
        <v>0</v>
      </c>
      <c r="AJ551">
        <f t="shared" si="62"/>
        <v>0</v>
      </c>
      <c r="AK551">
        <f t="shared" si="63"/>
        <v>0</v>
      </c>
      <c r="AL551">
        <f t="shared" si="64"/>
        <v>0</v>
      </c>
    </row>
    <row r="552" spans="1:83" ht="15" customHeight="1">
      <c r="A552" s="49"/>
      <c r="B552" s="38"/>
      <c r="C552" s="1109"/>
      <c r="D552" s="954"/>
      <c r="E552" s="956"/>
      <c r="F552" s="1103" t="s">
        <v>4830</v>
      </c>
      <c r="G552" s="1103"/>
      <c r="H552" s="1104" t="s">
        <v>4831</v>
      </c>
      <c r="I552" s="1105"/>
      <c r="J552" s="1105"/>
      <c r="K552" s="1105"/>
      <c r="L552" s="1106"/>
      <c r="M552" s="816"/>
      <c r="N552" s="738"/>
      <c r="O552" s="738"/>
      <c r="P552" s="738"/>
      <c r="Q552" s="738"/>
      <c r="R552" s="817"/>
      <c r="S552" s="816"/>
      <c r="T552" s="738"/>
      <c r="U552" s="738"/>
      <c r="V552" s="738"/>
      <c r="W552" s="738"/>
      <c r="X552" s="817"/>
      <c r="Y552" s="816"/>
      <c r="Z552" s="738"/>
      <c r="AA552" s="738"/>
      <c r="AB552" s="738"/>
      <c r="AC552" s="738"/>
      <c r="AD552" s="817"/>
      <c r="AF552"/>
      <c r="AG552">
        <f t="shared" si="60"/>
        <v>0</v>
      </c>
      <c r="AH552">
        <f t="shared" si="61"/>
        <v>0</v>
      </c>
      <c r="AJ552">
        <f t="shared" si="62"/>
        <v>0</v>
      </c>
      <c r="AK552">
        <f t="shared" si="63"/>
        <v>0</v>
      </c>
      <c r="AL552">
        <f t="shared" si="64"/>
        <v>0</v>
      </c>
    </row>
    <row r="553" spans="1:83" ht="15" customHeight="1">
      <c r="A553" s="49"/>
      <c r="B553" s="38"/>
      <c r="C553" s="1109"/>
      <c r="D553" s="954"/>
      <c r="E553" s="956"/>
      <c r="F553" s="1103" t="s">
        <v>4832</v>
      </c>
      <c r="G553" s="1103"/>
      <c r="H553" s="1104" t="s">
        <v>4833</v>
      </c>
      <c r="I553" s="1105"/>
      <c r="J553" s="1105"/>
      <c r="K553" s="1105"/>
      <c r="L553" s="1106"/>
      <c r="M553" s="816"/>
      <c r="N553" s="738"/>
      <c r="O553" s="738"/>
      <c r="P553" s="738"/>
      <c r="Q553" s="738"/>
      <c r="R553" s="817"/>
      <c r="S553" s="816"/>
      <c r="T553" s="738"/>
      <c r="U553" s="738"/>
      <c r="V553" s="738"/>
      <c r="W553" s="738"/>
      <c r="X553" s="817"/>
      <c r="Y553" s="816"/>
      <c r="Z553" s="738"/>
      <c r="AA553" s="738"/>
      <c r="AB553" s="738"/>
      <c r="AC553" s="738"/>
      <c r="AD553" s="817"/>
      <c r="AF553"/>
      <c r="AG553">
        <f t="shared" si="60"/>
        <v>0</v>
      </c>
      <c r="AH553">
        <f t="shared" si="61"/>
        <v>0</v>
      </c>
      <c r="AJ553">
        <f t="shared" si="62"/>
        <v>0</v>
      </c>
      <c r="AK553">
        <f t="shared" si="63"/>
        <v>0</v>
      </c>
      <c r="AL553">
        <f t="shared" si="64"/>
        <v>0</v>
      </c>
    </row>
    <row r="554" spans="1:83" ht="15" customHeight="1">
      <c r="A554" s="49"/>
      <c r="B554" s="38"/>
      <c r="C554" s="1109"/>
      <c r="D554" s="954"/>
      <c r="E554" s="956"/>
      <c r="F554" s="1103" t="s">
        <v>4834</v>
      </c>
      <c r="G554" s="1103"/>
      <c r="H554" s="1104" t="s">
        <v>4835</v>
      </c>
      <c r="I554" s="1105"/>
      <c r="J554" s="1105"/>
      <c r="K554" s="1105"/>
      <c r="L554" s="1106"/>
      <c r="M554" s="816"/>
      <c r="N554" s="738"/>
      <c r="O554" s="738"/>
      <c r="P554" s="738"/>
      <c r="Q554" s="738"/>
      <c r="R554" s="817"/>
      <c r="S554" s="816"/>
      <c r="T554" s="738"/>
      <c r="U554" s="738"/>
      <c r="V554" s="738"/>
      <c r="W554" s="738"/>
      <c r="X554" s="817"/>
      <c r="Y554" s="816"/>
      <c r="Z554" s="738"/>
      <c r="AA554" s="738"/>
      <c r="AB554" s="738"/>
      <c r="AC554" s="738"/>
      <c r="AD554" s="817"/>
      <c r="AF554">
        <f>IF(M554="NA",IF(AND(COUNTIF(M555:M559,"="&amp;$AF$361)=0,COUNTIF(M555:M559,"&lt;&gt;NA")&gt;0),1,0),IF(AND(COUNTIF(M555:M559,"="&amp;$AF$361)=0,COUNTIF(M555:M559,"NA")=COUNTIF(M555:M559,"&lt;&gt;"&amp;$AF$361)),1,0))</f>
        <v>0</v>
      </c>
      <c r="AG554">
        <f t="shared" si="60"/>
        <v>0</v>
      </c>
      <c r="AH554">
        <f t="shared" si="61"/>
        <v>0</v>
      </c>
      <c r="AJ554">
        <f t="shared" si="62"/>
        <v>0</v>
      </c>
      <c r="AK554">
        <f t="shared" si="63"/>
        <v>0</v>
      </c>
      <c r="AL554">
        <f t="shared" si="64"/>
        <v>0</v>
      </c>
    </row>
    <row r="555" spans="1:83" ht="15" customHeight="1">
      <c r="A555" s="49"/>
      <c r="B555" s="38"/>
      <c r="C555" s="1109"/>
      <c r="D555" s="954"/>
      <c r="E555" s="956"/>
      <c r="F555" s="1110" t="s">
        <v>4837</v>
      </c>
      <c r="G555" s="1110"/>
      <c r="H555" s="177"/>
      <c r="I555" s="1115" t="s">
        <v>4838</v>
      </c>
      <c r="J555" s="1115"/>
      <c r="K555" s="1115"/>
      <c r="L555" s="1116"/>
      <c r="M555" s="816"/>
      <c r="N555" s="738"/>
      <c r="O555" s="738"/>
      <c r="P555" s="738"/>
      <c r="Q555" s="738"/>
      <c r="R555" s="817"/>
      <c r="S555" s="816"/>
      <c r="T555" s="738"/>
      <c r="U555" s="738"/>
      <c r="V555" s="738"/>
      <c r="W555" s="738"/>
      <c r="X555" s="817"/>
      <c r="Y555" s="816"/>
      <c r="Z555" s="738"/>
      <c r="AA555" s="738"/>
      <c r="AB555" s="738"/>
      <c r="AC555" s="738"/>
      <c r="AD555" s="817"/>
      <c r="AF555"/>
      <c r="AG555">
        <f t="shared" si="60"/>
        <v>0</v>
      </c>
      <c r="AH555">
        <f t="shared" si="61"/>
        <v>0</v>
      </c>
      <c r="AJ555">
        <f t="shared" si="62"/>
        <v>0</v>
      </c>
      <c r="AK555">
        <f t="shared" si="63"/>
        <v>0</v>
      </c>
      <c r="AL555">
        <f t="shared" si="64"/>
        <v>0</v>
      </c>
    </row>
    <row r="556" spans="1:83" ht="96" customHeight="1">
      <c r="A556" s="49"/>
      <c r="B556" s="38"/>
      <c r="C556" s="1109"/>
      <c r="D556" s="954"/>
      <c r="E556" s="956"/>
      <c r="F556" s="1110" t="s">
        <v>4839</v>
      </c>
      <c r="G556" s="1110"/>
      <c r="H556" s="178"/>
      <c r="I556" s="1111" t="s">
        <v>4840</v>
      </c>
      <c r="J556" s="1111"/>
      <c r="K556" s="1111"/>
      <c r="L556" s="1112"/>
      <c r="M556" s="816"/>
      <c r="N556" s="738"/>
      <c r="O556" s="738"/>
      <c r="P556" s="738"/>
      <c r="Q556" s="738"/>
      <c r="R556" s="817"/>
      <c r="S556" s="816"/>
      <c r="T556" s="738"/>
      <c r="U556" s="738"/>
      <c r="V556" s="738"/>
      <c r="W556" s="738"/>
      <c r="X556" s="817"/>
      <c r="Y556" s="816"/>
      <c r="Z556" s="738"/>
      <c r="AA556" s="738"/>
      <c r="AB556" s="738"/>
      <c r="AC556" s="738"/>
      <c r="AD556" s="817"/>
      <c r="AF556"/>
      <c r="AG556">
        <f t="shared" si="60"/>
        <v>0</v>
      </c>
      <c r="AH556">
        <f t="shared" si="61"/>
        <v>0</v>
      </c>
      <c r="AJ556">
        <f t="shared" si="62"/>
        <v>0</v>
      </c>
      <c r="AK556">
        <f t="shared" si="63"/>
        <v>0</v>
      </c>
      <c r="AL556">
        <f t="shared" si="64"/>
        <v>0</v>
      </c>
    </row>
    <row r="557" spans="1:83" ht="48" customHeight="1">
      <c r="A557" s="49"/>
      <c r="B557" s="38"/>
      <c r="C557" s="1109"/>
      <c r="D557" s="954"/>
      <c r="E557" s="956"/>
      <c r="F557" s="1110" t="s">
        <v>4841</v>
      </c>
      <c r="G557" s="1110"/>
      <c r="H557" s="178"/>
      <c r="I557" s="1111" t="s">
        <v>4842</v>
      </c>
      <c r="J557" s="1111"/>
      <c r="K557" s="1111"/>
      <c r="L557" s="1112"/>
      <c r="M557" s="816"/>
      <c r="N557" s="738"/>
      <c r="O557" s="738"/>
      <c r="P557" s="738"/>
      <c r="Q557" s="738"/>
      <c r="R557" s="817"/>
      <c r="S557" s="816"/>
      <c r="T557" s="738"/>
      <c r="U557" s="738"/>
      <c r="V557" s="738"/>
      <c r="W557" s="738"/>
      <c r="X557" s="817"/>
      <c r="Y557" s="816"/>
      <c r="Z557" s="738"/>
      <c r="AA557" s="738"/>
      <c r="AB557" s="738"/>
      <c r="AC557" s="738"/>
      <c r="AD557" s="817"/>
      <c r="AF557"/>
      <c r="AG557">
        <f t="shared" si="60"/>
        <v>0</v>
      </c>
      <c r="AH557">
        <f t="shared" si="61"/>
        <v>0</v>
      </c>
      <c r="AJ557">
        <f t="shared" si="62"/>
        <v>0</v>
      </c>
      <c r="AK557">
        <f t="shared" si="63"/>
        <v>0</v>
      </c>
      <c r="AL557">
        <f t="shared" si="64"/>
        <v>0</v>
      </c>
    </row>
    <row r="558" spans="1:83" ht="24" customHeight="1">
      <c r="A558" s="49"/>
      <c r="B558" s="38"/>
      <c r="C558" s="1109"/>
      <c r="D558" s="954"/>
      <c r="E558" s="956"/>
      <c r="F558" s="1110" t="s">
        <v>4843</v>
      </c>
      <c r="G558" s="1110"/>
      <c r="H558" s="178"/>
      <c r="I558" s="1111" t="s">
        <v>4844</v>
      </c>
      <c r="J558" s="1111"/>
      <c r="K558" s="1111"/>
      <c r="L558" s="1112"/>
      <c r="M558" s="816"/>
      <c r="N558" s="738"/>
      <c r="O558" s="738"/>
      <c r="P558" s="738"/>
      <c r="Q558" s="738"/>
      <c r="R558" s="817"/>
      <c r="S558" s="816"/>
      <c r="T558" s="738"/>
      <c r="U558" s="738"/>
      <c r="V558" s="738"/>
      <c r="W558" s="738"/>
      <c r="X558" s="817"/>
      <c r="Y558" s="816"/>
      <c r="Z558" s="738"/>
      <c r="AA558" s="738"/>
      <c r="AB558" s="738"/>
      <c r="AC558" s="738"/>
      <c r="AD558" s="817"/>
      <c r="AF558"/>
      <c r="AG558">
        <f t="shared" si="60"/>
        <v>0</v>
      </c>
      <c r="AH558">
        <f t="shared" si="61"/>
        <v>0</v>
      </c>
      <c r="AJ558">
        <f t="shared" si="62"/>
        <v>0</v>
      </c>
      <c r="AK558">
        <f t="shared" si="63"/>
        <v>0</v>
      </c>
      <c r="AL558">
        <f t="shared" si="64"/>
        <v>0</v>
      </c>
    </row>
    <row r="559" spans="1:83" ht="15" customHeight="1">
      <c r="A559" s="49"/>
      <c r="B559" s="38"/>
      <c r="C559" s="1109"/>
      <c r="D559" s="954"/>
      <c r="E559" s="956"/>
      <c r="F559" s="1110" t="s">
        <v>4845</v>
      </c>
      <c r="G559" s="1110"/>
      <c r="H559" s="179"/>
      <c r="I559" s="1113" t="s">
        <v>201</v>
      </c>
      <c r="J559" s="1113"/>
      <c r="K559" s="1113"/>
      <c r="L559" s="1114"/>
      <c r="M559" s="816"/>
      <c r="N559" s="738"/>
      <c r="O559" s="738"/>
      <c r="P559" s="738"/>
      <c r="Q559" s="738"/>
      <c r="R559" s="817"/>
      <c r="S559" s="816"/>
      <c r="T559" s="738"/>
      <c r="U559" s="738"/>
      <c r="V559" s="738"/>
      <c r="W559" s="738"/>
      <c r="X559" s="817"/>
      <c r="Y559" s="816"/>
      <c r="Z559" s="738"/>
      <c r="AA559" s="738"/>
      <c r="AB559" s="738"/>
      <c r="AC559" s="738"/>
      <c r="AD559" s="817"/>
      <c r="AF559"/>
      <c r="AG559">
        <f t="shared" si="60"/>
        <v>0</v>
      </c>
      <c r="AH559">
        <f t="shared" si="61"/>
        <v>0</v>
      </c>
      <c r="AJ559">
        <f t="shared" si="62"/>
        <v>0</v>
      </c>
      <c r="AK559">
        <f t="shared" si="63"/>
        <v>0</v>
      </c>
      <c r="AL559">
        <f t="shared" si="64"/>
        <v>0</v>
      </c>
    </row>
    <row r="560" spans="1:83" ht="15" customHeight="1">
      <c r="A560" s="49"/>
      <c r="B560" s="38"/>
      <c r="C560" s="1109"/>
      <c r="D560" s="954"/>
      <c r="E560" s="956"/>
      <c r="F560" s="1103" t="s">
        <v>4846</v>
      </c>
      <c r="G560" s="1103"/>
      <c r="H560" s="1104" t="s">
        <v>4847</v>
      </c>
      <c r="I560" s="1105"/>
      <c r="J560" s="1105"/>
      <c r="K560" s="1105"/>
      <c r="L560" s="1106"/>
      <c r="M560" s="816"/>
      <c r="N560" s="738"/>
      <c r="O560" s="738"/>
      <c r="P560" s="738"/>
      <c r="Q560" s="738"/>
      <c r="R560" s="817"/>
      <c r="S560" s="816"/>
      <c r="T560" s="738"/>
      <c r="U560" s="738"/>
      <c r="V560" s="738"/>
      <c r="W560" s="738"/>
      <c r="X560" s="817"/>
      <c r="Y560" s="816"/>
      <c r="Z560" s="738"/>
      <c r="AA560" s="738"/>
      <c r="AB560" s="738"/>
      <c r="AC560" s="738"/>
      <c r="AD560" s="817"/>
      <c r="AF560"/>
      <c r="AG560">
        <f t="shared" si="60"/>
        <v>0</v>
      </c>
      <c r="AH560">
        <f t="shared" si="61"/>
        <v>0</v>
      </c>
      <c r="AJ560">
        <f t="shared" si="62"/>
        <v>0</v>
      </c>
      <c r="AK560">
        <f t="shared" si="63"/>
        <v>0</v>
      </c>
      <c r="AL560">
        <f t="shared" si="64"/>
        <v>0</v>
      </c>
    </row>
    <row r="561" spans="1:39" ht="15" customHeight="1">
      <c r="A561" s="49"/>
      <c r="B561" s="38"/>
      <c r="C561" s="1109"/>
      <c r="D561" s="954"/>
      <c r="E561" s="956"/>
      <c r="F561" s="1103" t="s">
        <v>4848</v>
      </c>
      <c r="G561" s="1103"/>
      <c r="H561" s="1104" t="s">
        <v>4849</v>
      </c>
      <c r="I561" s="1105"/>
      <c r="J561" s="1105"/>
      <c r="K561" s="1105"/>
      <c r="L561" s="1106"/>
      <c r="M561" s="816"/>
      <c r="N561" s="738"/>
      <c r="O561" s="738"/>
      <c r="P561" s="738"/>
      <c r="Q561" s="738"/>
      <c r="R561" s="817"/>
      <c r="S561" s="816"/>
      <c r="T561" s="738"/>
      <c r="U561" s="738"/>
      <c r="V561" s="738"/>
      <c r="W561" s="738"/>
      <c r="X561" s="817"/>
      <c r="Y561" s="816"/>
      <c r="Z561" s="738"/>
      <c r="AA561" s="738"/>
      <c r="AB561" s="738"/>
      <c r="AC561" s="738"/>
      <c r="AD561" s="817"/>
      <c r="AF561"/>
      <c r="AG561">
        <f t="shared" si="60"/>
        <v>0</v>
      </c>
      <c r="AH561">
        <f t="shared" si="61"/>
        <v>0</v>
      </c>
      <c r="AJ561">
        <f t="shared" si="62"/>
        <v>0</v>
      </c>
      <c r="AK561">
        <f t="shared" si="63"/>
        <v>0</v>
      </c>
      <c r="AL561">
        <f t="shared" si="64"/>
        <v>0</v>
      </c>
    </row>
    <row r="562" spans="1:39" ht="36" customHeight="1">
      <c r="A562" s="49"/>
      <c r="B562" s="38"/>
      <c r="C562" s="1109"/>
      <c r="D562" s="954"/>
      <c r="E562" s="956"/>
      <c r="F562" s="1103" t="s">
        <v>4850</v>
      </c>
      <c r="G562" s="1103"/>
      <c r="H562" s="1104" t="s">
        <v>4851</v>
      </c>
      <c r="I562" s="1105"/>
      <c r="J562" s="1105"/>
      <c r="K562" s="1105"/>
      <c r="L562" s="1106"/>
      <c r="M562" s="816"/>
      <c r="N562" s="738"/>
      <c r="O562" s="738"/>
      <c r="P562" s="738"/>
      <c r="Q562" s="738"/>
      <c r="R562" s="817"/>
      <c r="S562" s="816"/>
      <c r="T562" s="738"/>
      <c r="U562" s="738"/>
      <c r="V562" s="738"/>
      <c r="W562" s="738"/>
      <c r="X562" s="817"/>
      <c r="Y562" s="816"/>
      <c r="Z562" s="738"/>
      <c r="AA562" s="738"/>
      <c r="AB562" s="738"/>
      <c r="AC562" s="738"/>
      <c r="AD562" s="817"/>
      <c r="AF562"/>
      <c r="AG562">
        <f t="shared" si="60"/>
        <v>0</v>
      </c>
      <c r="AH562">
        <f t="shared" si="61"/>
        <v>0</v>
      </c>
      <c r="AJ562">
        <f t="shared" si="62"/>
        <v>0</v>
      </c>
      <c r="AK562">
        <f t="shared" si="63"/>
        <v>0</v>
      </c>
      <c r="AL562">
        <f t="shared" si="64"/>
        <v>0</v>
      </c>
      <c r="AM562">
        <f>IF(OR(M562="NS",M562="NA",$M$335=0,$M$335="NS",$M$335="NA"),0,IF((M562*(IFERROR(100/SUM(M551:M562),0)))&gt;25,1,0))</f>
        <v>0</v>
      </c>
    </row>
    <row r="563" spans="1:39" ht="15" customHeight="1">
      <c r="A563" s="49"/>
      <c r="B563" s="38"/>
      <c r="C563" s="1108" t="s">
        <v>4852</v>
      </c>
      <c r="D563" s="847" t="s">
        <v>4853</v>
      </c>
      <c r="E563" s="848"/>
      <c r="F563" s="1103" t="s">
        <v>4854</v>
      </c>
      <c r="G563" s="1103"/>
      <c r="H563" s="1104" t="s">
        <v>4855</v>
      </c>
      <c r="I563" s="1105"/>
      <c r="J563" s="1105"/>
      <c r="K563" s="1105"/>
      <c r="L563" s="1106"/>
      <c r="M563" s="816"/>
      <c r="N563" s="738"/>
      <c r="O563" s="738"/>
      <c r="P563" s="738"/>
      <c r="Q563" s="738"/>
      <c r="R563" s="817"/>
      <c r="S563" s="816"/>
      <c r="T563" s="738"/>
      <c r="U563" s="738"/>
      <c r="V563" s="738"/>
      <c r="W563" s="738"/>
      <c r="X563" s="817"/>
      <c r="Y563" s="816"/>
      <c r="Z563" s="738"/>
      <c r="AA563" s="738"/>
      <c r="AB563" s="738"/>
      <c r="AC563" s="738"/>
      <c r="AD563" s="817"/>
      <c r="AF563">
        <f>IF(M563="NA",IF(AND(COUNTIF(M564:M581,"="&amp;$AF$361)=0,COUNTIF(M564:M581,"&lt;&gt;NA")&gt;0),1,0),IF(AND(COUNTIF(M564:M581,"="&amp;$AF$361)=0,COUNTIF(M564:M581,"NA")=COUNTIF(M564:M581,"&lt;&gt;"&amp;$AF$361)),1,0))</f>
        <v>0</v>
      </c>
      <c r="AG563">
        <f t="shared" si="60"/>
        <v>0</v>
      </c>
      <c r="AH563">
        <f t="shared" si="61"/>
        <v>0</v>
      </c>
      <c r="AJ563">
        <f t="shared" si="62"/>
        <v>0</v>
      </c>
      <c r="AK563">
        <f t="shared" si="63"/>
        <v>0</v>
      </c>
      <c r="AL563">
        <f t="shared" si="64"/>
        <v>0</v>
      </c>
    </row>
    <row r="564" spans="1:39" ht="15" customHeight="1">
      <c r="A564" s="49"/>
      <c r="B564" s="38"/>
      <c r="C564" s="1109"/>
      <c r="D564" s="954"/>
      <c r="E564" s="956"/>
      <c r="F564" s="1110" t="s">
        <v>4856</v>
      </c>
      <c r="G564" s="1110"/>
      <c r="H564" s="177"/>
      <c r="I564" s="1111" t="s">
        <v>4857</v>
      </c>
      <c r="J564" s="1111"/>
      <c r="K564" s="1111"/>
      <c r="L564" s="1112"/>
      <c r="M564" s="816"/>
      <c r="N564" s="738"/>
      <c r="O564" s="738"/>
      <c r="P564" s="738"/>
      <c r="Q564" s="738"/>
      <c r="R564" s="817"/>
      <c r="S564" s="816"/>
      <c r="T564" s="738"/>
      <c r="U564" s="738"/>
      <c r="V564" s="738"/>
      <c r="W564" s="738"/>
      <c r="X564" s="817"/>
      <c r="Y564" s="816"/>
      <c r="Z564" s="738"/>
      <c r="AA564" s="738"/>
      <c r="AB564" s="738"/>
      <c r="AC564" s="738"/>
      <c r="AD564" s="817"/>
      <c r="AF564"/>
      <c r="AG564">
        <f t="shared" si="60"/>
        <v>0</v>
      </c>
      <c r="AH564">
        <f t="shared" si="61"/>
        <v>0</v>
      </c>
      <c r="AJ564">
        <f t="shared" si="62"/>
        <v>0</v>
      </c>
      <c r="AK564">
        <f t="shared" si="63"/>
        <v>0</v>
      </c>
      <c r="AL564">
        <f t="shared" si="64"/>
        <v>0</v>
      </c>
    </row>
    <row r="565" spans="1:39" ht="24" customHeight="1">
      <c r="A565" s="49"/>
      <c r="B565" s="38"/>
      <c r="C565" s="1109"/>
      <c r="D565" s="954"/>
      <c r="E565" s="956"/>
      <c r="F565" s="1110" t="s">
        <v>4858</v>
      </c>
      <c r="G565" s="1110"/>
      <c r="H565" s="178"/>
      <c r="I565" s="1111" t="s">
        <v>4859</v>
      </c>
      <c r="J565" s="1111"/>
      <c r="K565" s="1111"/>
      <c r="L565" s="1112"/>
      <c r="M565" s="816"/>
      <c r="N565" s="738"/>
      <c r="O565" s="738"/>
      <c r="P565" s="738"/>
      <c r="Q565" s="738"/>
      <c r="R565" s="817"/>
      <c r="S565" s="816"/>
      <c r="T565" s="738"/>
      <c r="U565" s="738"/>
      <c r="V565" s="738"/>
      <c r="W565" s="738"/>
      <c r="X565" s="817"/>
      <c r="Y565" s="816"/>
      <c r="Z565" s="738"/>
      <c r="AA565" s="738"/>
      <c r="AB565" s="738"/>
      <c r="AC565" s="738"/>
      <c r="AD565" s="817"/>
      <c r="AF565"/>
      <c r="AG565">
        <f t="shared" si="60"/>
        <v>0</v>
      </c>
      <c r="AH565">
        <f t="shared" si="61"/>
        <v>0</v>
      </c>
      <c r="AJ565">
        <f t="shared" si="62"/>
        <v>0</v>
      </c>
      <c r="AK565">
        <f t="shared" si="63"/>
        <v>0</v>
      </c>
      <c r="AL565">
        <f t="shared" si="64"/>
        <v>0</v>
      </c>
    </row>
    <row r="566" spans="1:39" ht="15" customHeight="1">
      <c r="A566" s="49"/>
      <c r="B566" s="38"/>
      <c r="C566" s="1109"/>
      <c r="D566" s="954"/>
      <c r="E566" s="956"/>
      <c r="F566" s="1110" t="s">
        <v>4860</v>
      </c>
      <c r="G566" s="1110"/>
      <c r="H566" s="178"/>
      <c r="I566" s="1111" t="s">
        <v>4861</v>
      </c>
      <c r="J566" s="1111"/>
      <c r="K566" s="1111"/>
      <c r="L566" s="1112"/>
      <c r="M566" s="816"/>
      <c r="N566" s="738"/>
      <c r="O566" s="738"/>
      <c r="P566" s="738"/>
      <c r="Q566" s="738"/>
      <c r="R566" s="817"/>
      <c r="S566" s="816"/>
      <c r="T566" s="738"/>
      <c r="U566" s="738"/>
      <c r="V566" s="738"/>
      <c r="W566" s="738"/>
      <c r="X566" s="817"/>
      <c r="Y566" s="816"/>
      <c r="Z566" s="738"/>
      <c r="AA566" s="738"/>
      <c r="AB566" s="738"/>
      <c r="AC566" s="738"/>
      <c r="AD566" s="817"/>
      <c r="AF566"/>
      <c r="AG566">
        <f t="shared" si="60"/>
        <v>0</v>
      </c>
      <c r="AH566">
        <f t="shared" si="61"/>
        <v>0</v>
      </c>
      <c r="AJ566">
        <f t="shared" si="62"/>
        <v>0</v>
      </c>
      <c r="AK566">
        <f t="shared" si="63"/>
        <v>0</v>
      </c>
      <c r="AL566">
        <f t="shared" si="64"/>
        <v>0</v>
      </c>
    </row>
    <row r="567" spans="1:39" ht="15" customHeight="1">
      <c r="A567" s="49"/>
      <c r="B567" s="38"/>
      <c r="C567" s="1109"/>
      <c r="D567" s="954"/>
      <c r="E567" s="956"/>
      <c r="F567" s="1110" t="s">
        <v>4862</v>
      </c>
      <c r="G567" s="1110"/>
      <c r="H567" s="178"/>
      <c r="I567" s="1111" t="s">
        <v>4863</v>
      </c>
      <c r="J567" s="1111"/>
      <c r="K567" s="1111"/>
      <c r="L567" s="1112"/>
      <c r="M567" s="816"/>
      <c r="N567" s="738"/>
      <c r="O567" s="738"/>
      <c r="P567" s="738"/>
      <c r="Q567" s="738"/>
      <c r="R567" s="817"/>
      <c r="S567" s="816"/>
      <c r="T567" s="738"/>
      <c r="U567" s="738"/>
      <c r="V567" s="738"/>
      <c r="W567" s="738"/>
      <c r="X567" s="817"/>
      <c r="Y567" s="816"/>
      <c r="Z567" s="738"/>
      <c r="AA567" s="738"/>
      <c r="AB567" s="738"/>
      <c r="AC567" s="738"/>
      <c r="AD567" s="817"/>
      <c r="AF567"/>
      <c r="AG567">
        <f t="shared" si="60"/>
        <v>0</v>
      </c>
      <c r="AH567">
        <f t="shared" si="61"/>
        <v>0</v>
      </c>
      <c r="AJ567">
        <f t="shared" si="62"/>
        <v>0</v>
      </c>
      <c r="AK567">
        <f t="shared" si="63"/>
        <v>0</v>
      </c>
      <c r="AL567">
        <f t="shared" si="64"/>
        <v>0</v>
      </c>
    </row>
    <row r="568" spans="1:39" ht="24" customHeight="1">
      <c r="A568" s="49"/>
      <c r="B568" s="38"/>
      <c r="C568" s="1109"/>
      <c r="D568" s="954"/>
      <c r="E568" s="956"/>
      <c r="F568" s="1110" t="s">
        <v>4864</v>
      </c>
      <c r="G568" s="1110"/>
      <c r="H568" s="178"/>
      <c r="I568" s="1111" t="s">
        <v>4865</v>
      </c>
      <c r="J568" s="1111"/>
      <c r="K568" s="1111"/>
      <c r="L568" s="1112"/>
      <c r="M568" s="816"/>
      <c r="N568" s="738"/>
      <c r="O568" s="738"/>
      <c r="P568" s="738"/>
      <c r="Q568" s="738"/>
      <c r="R568" s="817"/>
      <c r="S568" s="816"/>
      <c r="T568" s="738"/>
      <c r="U568" s="738"/>
      <c r="V568" s="738"/>
      <c r="W568" s="738"/>
      <c r="X568" s="817"/>
      <c r="Y568" s="816"/>
      <c r="Z568" s="738"/>
      <c r="AA568" s="738"/>
      <c r="AB568" s="738"/>
      <c r="AC568" s="738"/>
      <c r="AD568" s="817"/>
      <c r="AF568"/>
      <c r="AG568">
        <f t="shared" si="60"/>
        <v>0</v>
      </c>
      <c r="AH568">
        <f t="shared" si="61"/>
        <v>0</v>
      </c>
      <c r="AJ568">
        <f t="shared" si="62"/>
        <v>0</v>
      </c>
      <c r="AK568">
        <f t="shared" si="63"/>
        <v>0</v>
      </c>
      <c r="AL568">
        <f t="shared" si="64"/>
        <v>0</v>
      </c>
    </row>
    <row r="569" spans="1:39" ht="36" customHeight="1">
      <c r="A569" s="49"/>
      <c r="B569" s="38"/>
      <c r="C569" s="1109"/>
      <c r="D569" s="954"/>
      <c r="E569" s="956"/>
      <c r="F569" s="1110" t="s">
        <v>4866</v>
      </c>
      <c r="G569" s="1110"/>
      <c r="H569" s="178"/>
      <c r="I569" s="1111" t="s">
        <v>4867</v>
      </c>
      <c r="J569" s="1111"/>
      <c r="K569" s="1111"/>
      <c r="L569" s="1112"/>
      <c r="M569" s="816"/>
      <c r="N569" s="738"/>
      <c r="O569" s="738"/>
      <c r="P569" s="738"/>
      <c r="Q569" s="738"/>
      <c r="R569" s="817"/>
      <c r="S569" s="816"/>
      <c r="T569" s="738"/>
      <c r="U569" s="738"/>
      <c r="V569" s="738"/>
      <c r="W569" s="738"/>
      <c r="X569" s="817"/>
      <c r="Y569" s="816"/>
      <c r="Z569" s="738"/>
      <c r="AA569" s="738"/>
      <c r="AB569" s="738"/>
      <c r="AC569" s="738"/>
      <c r="AD569" s="817"/>
      <c r="AF569"/>
      <c r="AG569">
        <f t="shared" si="60"/>
        <v>0</v>
      </c>
      <c r="AH569">
        <f t="shared" si="61"/>
        <v>0</v>
      </c>
      <c r="AJ569">
        <f t="shared" si="62"/>
        <v>0</v>
      </c>
      <c r="AK569">
        <f t="shared" si="63"/>
        <v>0</v>
      </c>
      <c r="AL569">
        <f t="shared" si="64"/>
        <v>0</v>
      </c>
    </row>
    <row r="570" spans="1:39" ht="24" customHeight="1">
      <c r="A570" s="49"/>
      <c r="B570" s="38"/>
      <c r="C570" s="1109"/>
      <c r="D570" s="954"/>
      <c r="E570" s="956"/>
      <c r="F570" s="1110" t="s">
        <v>4868</v>
      </c>
      <c r="G570" s="1110"/>
      <c r="H570" s="178"/>
      <c r="I570" s="1111" t="s">
        <v>4869</v>
      </c>
      <c r="J570" s="1111"/>
      <c r="K570" s="1111"/>
      <c r="L570" s="1112"/>
      <c r="M570" s="816"/>
      <c r="N570" s="738"/>
      <c r="O570" s="738"/>
      <c r="P570" s="738"/>
      <c r="Q570" s="738"/>
      <c r="R570" s="817"/>
      <c r="S570" s="816"/>
      <c r="T570" s="738"/>
      <c r="U570" s="738"/>
      <c r="V570" s="738"/>
      <c r="W570" s="738"/>
      <c r="X570" s="817"/>
      <c r="Y570" s="816"/>
      <c r="Z570" s="738"/>
      <c r="AA570" s="738"/>
      <c r="AB570" s="738"/>
      <c r="AC570" s="738"/>
      <c r="AD570" s="817"/>
      <c r="AF570"/>
      <c r="AG570">
        <f t="shared" si="60"/>
        <v>0</v>
      </c>
      <c r="AH570">
        <f t="shared" si="61"/>
        <v>0</v>
      </c>
      <c r="AJ570">
        <f t="shared" si="62"/>
        <v>0</v>
      </c>
      <c r="AK570">
        <f t="shared" si="63"/>
        <v>0</v>
      </c>
      <c r="AL570">
        <f t="shared" si="64"/>
        <v>0</v>
      </c>
    </row>
    <row r="571" spans="1:39" ht="15" customHeight="1">
      <c r="A571" s="49"/>
      <c r="B571" s="38"/>
      <c r="C571" s="1109"/>
      <c r="D571" s="954"/>
      <c r="E571" s="956"/>
      <c r="F571" s="1110" t="s">
        <v>4870</v>
      </c>
      <c r="G571" s="1110"/>
      <c r="H571" s="178"/>
      <c r="I571" s="1111" t="s">
        <v>4871</v>
      </c>
      <c r="J571" s="1111"/>
      <c r="K571" s="1111"/>
      <c r="L571" s="1112"/>
      <c r="M571" s="816"/>
      <c r="N571" s="738"/>
      <c r="O571" s="738"/>
      <c r="P571" s="738"/>
      <c r="Q571" s="738"/>
      <c r="R571" s="817"/>
      <c r="S571" s="816"/>
      <c r="T571" s="738"/>
      <c r="U571" s="738"/>
      <c r="V571" s="738"/>
      <c r="W571" s="738"/>
      <c r="X571" s="817"/>
      <c r="Y571" s="816"/>
      <c r="Z571" s="738"/>
      <c r="AA571" s="738"/>
      <c r="AB571" s="738"/>
      <c r="AC571" s="738"/>
      <c r="AD571" s="817"/>
      <c r="AF571"/>
      <c r="AG571">
        <f t="shared" si="60"/>
        <v>0</v>
      </c>
      <c r="AH571">
        <f t="shared" si="61"/>
        <v>0</v>
      </c>
      <c r="AJ571">
        <f t="shared" si="62"/>
        <v>0</v>
      </c>
      <c r="AK571">
        <f t="shared" si="63"/>
        <v>0</v>
      </c>
      <c r="AL571">
        <f t="shared" si="64"/>
        <v>0</v>
      </c>
    </row>
    <row r="572" spans="1:39" ht="24" customHeight="1">
      <c r="A572" s="49"/>
      <c r="B572" s="38"/>
      <c r="C572" s="1109"/>
      <c r="D572" s="954"/>
      <c r="E572" s="956"/>
      <c r="F572" s="1110" t="s">
        <v>4872</v>
      </c>
      <c r="G572" s="1110"/>
      <c r="H572" s="178"/>
      <c r="I572" s="1111" t="s">
        <v>4873</v>
      </c>
      <c r="J572" s="1111"/>
      <c r="K572" s="1111"/>
      <c r="L572" s="1112"/>
      <c r="M572" s="816"/>
      <c r="N572" s="738"/>
      <c r="O572" s="738"/>
      <c r="P572" s="738"/>
      <c r="Q572" s="738"/>
      <c r="R572" s="817"/>
      <c r="S572" s="816"/>
      <c r="T572" s="738"/>
      <c r="U572" s="738"/>
      <c r="V572" s="738"/>
      <c r="W572" s="738"/>
      <c r="X572" s="817"/>
      <c r="Y572" s="816"/>
      <c r="Z572" s="738"/>
      <c r="AA572" s="738"/>
      <c r="AB572" s="738"/>
      <c r="AC572" s="738"/>
      <c r="AD572" s="817"/>
      <c r="AF572"/>
      <c r="AG572">
        <f t="shared" si="60"/>
        <v>0</v>
      </c>
      <c r="AH572">
        <f t="shared" si="61"/>
        <v>0</v>
      </c>
      <c r="AJ572">
        <f t="shared" si="62"/>
        <v>0</v>
      </c>
      <c r="AK572">
        <f t="shared" si="63"/>
        <v>0</v>
      </c>
      <c r="AL572">
        <f t="shared" si="64"/>
        <v>0</v>
      </c>
    </row>
    <row r="573" spans="1:39" ht="24" customHeight="1">
      <c r="A573" s="49"/>
      <c r="B573" s="38"/>
      <c r="C573" s="1109"/>
      <c r="D573" s="954"/>
      <c r="E573" s="956"/>
      <c r="F573" s="1110" t="s">
        <v>4874</v>
      </c>
      <c r="G573" s="1110"/>
      <c r="H573" s="178"/>
      <c r="I573" s="1111" t="s">
        <v>4875</v>
      </c>
      <c r="J573" s="1111"/>
      <c r="K573" s="1111"/>
      <c r="L573" s="1112"/>
      <c r="M573" s="816"/>
      <c r="N573" s="738"/>
      <c r="O573" s="738"/>
      <c r="P573" s="738"/>
      <c r="Q573" s="738"/>
      <c r="R573" s="817"/>
      <c r="S573" s="816"/>
      <c r="T573" s="738"/>
      <c r="U573" s="738"/>
      <c r="V573" s="738"/>
      <c r="W573" s="738"/>
      <c r="X573" s="817"/>
      <c r="Y573" s="816"/>
      <c r="Z573" s="738"/>
      <c r="AA573" s="738"/>
      <c r="AB573" s="738"/>
      <c r="AC573" s="738"/>
      <c r="AD573" s="817"/>
      <c r="AF573"/>
      <c r="AG573">
        <f t="shared" si="60"/>
        <v>0</v>
      </c>
      <c r="AH573">
        <f t="shared" si="61"/>
        <v>0</v>
      </c>
      <c r="AJ573">
        <f t="shared" si="62"/>
        <v>0</v>
      </c>
      <c r="AK573">
        <f t="shared" si="63"/>
        <v>0</v>
      </c>
      <c r="AL573">
        <f t="shared" si="64"/>
        <v>0</v>
      </c>
    </row>
    <row r="574" spans="1:39" ht="24" customHeight="1">
      <c r="A574" s="49"/>
      <c r="B574" s="38"/>
      <c r="C574" s="1109"/>
      <c r="D574" s="954"/>
      <c r="E574" s="956"/>
      <c r="F574" s="1110" t="s">
        <v>4876</v>
      </c>
      <c r="G574" s="1110"/>
      <c r="H574" s="178"/>
      <c r="I574" s="1111" t="s">
        <v>4877</v>
      </c>
      <c r="J574" s="1111"/>
      <c r="K574" s="1111"/>
      <c r="L574" s="1112"/>
      <c r="M574" s="816"/>
      <c r="N574" s="738"/>
      <c r="O574" s="738"/>
      <c r="P574" s="738"/>
      <c r="Q574" s="738"/>
      <c r="R574" s="817"/>
      <c r="S574" s="816"/>
      <c r="T574" s="738"/>
      <c r="U574" s="738"/>
      <c r="V574" s="738"/>
      <c r="W574" s="738"/>
      <c r="X574" s="817"/>
      <c r="Y574" s="816"/>
      <c r="Z574" s="738"/>
      <c r="AA574" s="738"/>
      <c r="AB574" s="738"/>
      <c r="AC574" s="738"/>
      <c r="AD574" s="817"/>
      <c r="AF574"/>
      <c r="AG574">
        <f t="shared" si="60"/>
        <v>0</v>
      </c>
      <c r="AH574">
        <f t="shared" si="61"/>
        <v>0</v>
      </c>
      <c r="AJ574">
        <f t="shared" si="62"/>
        <v>0</v>
      </c>
      <c r="AK574">
        <f t="shared" si="63"/>
        <v>0</v>
      </c>
      <c r="AL574">
        <f t="shared" si="64"/>
        <v>0</v>
      </c>
    </row>
    <row r="575" spans="1:39" ht="24" customHeight="1">
      <c r="A575" s="49"/>
      <c r="B575" s="38"/>
      <c r="C575" s="1109"/>
      <c r="D575" s="954"/>
      <c r="E575" s="956"/>
      <c r="F575" s="1110" t="s">
        <v>4878</v>
      </c>
      <c r="G575" s="1110"/>
      <c r="H575" s="178"/>
      <c r="I575" s="1111" t="s">
        <v>4879</v>
      </c>
      <c r="J575" s="1111"/>
      <c r="K575" s="1111"/>
      <c r="L575" s="1112"/>
      <c r="M575" s="816"/>
      <c r="N575" s="738"/>
      <c r="O575" s="738"/>
      <c r="P575" s="738"/>
      <c r="Q575" s="738"/>
      <c r="R575" s="817"/>
      <c r="S575" s="816"/>
      <c r="T575" s="738"/>
      <c r="U575" s="738"/>
      <c r="V575" s="738"/>
      <c r="W575" s="738"/>
      <c r="X575" s="817"/>
      <c r="Y575" s="816"/>
      <c r="Z575" s="738"/>
      <c r="AA575" s="738"/>
      <c r="AB575" s="738"/>
      <c r="AC575" s="738"/>
      <c r="AD575" s="817"/>
      <c r="AF575"/>
      <c r="AG575">
        <f t="shared" si="60"/>
        <v>0</v>
      </c>
      <c r="AH575">
        <f t="shared" si="61"/>
        <v>0</v>
      </c>
      <c r="AJ575">
        <f t="shared" si="62"/>
        <v>0</v>
      </c>
      <c r="AK575">
        <f t="shared" si="63"/>
        <v>0</v>
      </c>
      <c r="AL575">
        <f t="shared" si="64"/>
        <v>0</v>
      </c>
    </row>
    <row r="576" spans="1:39" ht="15" customHeight="1">
      <c r="A576" s="49"/>
      <c r="B576" s="38"/>
      <c r="C576" s="1109"/>
      <c r="D576" s="954"/>
      <c r="E576" s="956"/>
      <c r="F576" s="1110" t="s">
        <v>4880</v>
      </c>
      <c r="G576" s="1110"/>
      <c r="H576" s="178"/>
      <c r="I576" s="1111" t="s">
        <v>4881</v>
      </c>
      <c r="J576" s="1111"/>
      <c r="K576" s="1111"/>
      <c r="L576" s="1112"/>
      <c r="M576" s="816"/>
      <c r="N576" s="738"/>
      <c r="O576" s="738"/>
      <c r="P576" s="738"/>
      <c r="Q576" s="738"/>
      <c r="R576" s="817"/>
      <c r="S576" s="816"/>
      <c r="T576" s="738"/>
      <c r="U576" s="738"/>
      <c r="V576" s="738"/>
      <c r="W576" s="738"/>
      <c r="X576" s="817"/>
      <c r="Y576" s="816"/>
      <c r="Z576" s="738"/>
      <c r="AA576" s="738"/>
      <c r="AB576" s="738"/>
      <c r="AC576" s="738"/>
      <c r="AD576" s="817"/>
      <c r="AF576"/>
      <c r="AG576">
        <f t="shared" si="60"/>
        <v>0</v>
      </c>
      <c r="AH576">
        <f t="shared" si="61"/>
        <v>0</v>
      </c>
      <c r="AJ576">
        <f t="shared" si="62"/>
        <v>0</v>
      </c>
      <c r="AK576">
        <f t="shared" si="63"/>
        <v>0</v>
      </c>
      <c r="AL576">
        <f t="shared" si="64"/>
        <v>0</v>
      </c>
    </row>
    <row r="577" spans="1:38" ht="15" customHeight="1">
      <c r="A577" s="49"/>
      <c r="B577" s="38"/>
      <c r="C577" s="1109"/>
      <c r="D577" s="954"/>
      <c r="E577" s="956"/>
      <c r="F577" s="1110" t="s">
        <v>4882</v>
      </c>
      <c r="G577" s="1110"/>
      <c r="H577" s="178"/>
      <c r="I577" s="1111" t="s">
        <v>4883</v>
      </c>
      <c r="J577" s="1111"/>
      <c r="K577" s="1111"/>
      <c r="L577" s="1112"/>
      <c r="M577" s="816"/>
      <c r="N577" s="738"/>
      <c r="O577" s="738"/>
      <c r="P577" s="738"/>
      <c r="Q577" s="738"/>
      <c r="R577" s="817"/>
      <c r="S577" s="816"/>
      <c r="T577" s="738"/>
      <c r="U577" s="738"/>
      <c r="V577" s="738"/>
      <c r="W577" s="738"/>
      <c r="X577" s="817"/>
      <c r="Y577" s="816"/>
      <c r="Z577" s="738"/>
      <c r="AA577" s="738"/>
      <c r="AB577" s="738"/>
      <c r="AC577" s="738"/>
      <c r="AD577" s="817"/>
      <c r="AF577"/>
      <c r="AG577">
        <f t="shared" si="60"/>
        <v>0</v>
      </c>
      <c r="AH577">
        <f t="shared" si="61"/>
        <v>0</v>
      </c>
      <c r="AJ577">
        <f t="shared" si="62"/>
        <v>0</v>
      </c>
      <c r="AK577">
        <f t="shared" si="63"/>
        <v>0</v>
      </c>
      <c r="AL577">
        <f t="shared" si="64"/>
        <v>0</v>
      </c>
    </row>
    <row r="578" spans="1:38" ht="15" customHeight="1">
      <c r="A578" s="49"/>
      <c r="B578" s="38"/>
      <c r="C578" s="1109"/>
      <c r="D578" s="954"/>
      <c r="E578" s="956"/>
      <c r="F578" s="1110" t="s">
        <v>4884</v>
      </c>
      <c r="G578" s="1110"/>
      <c r="H578" s="178"/>
      <c r="I578" s="1111" t="s">
        <v>4885</v>
      </c>
      <c r="J578" s="1111"/>
      <c r="K578" s="1111"/>
      <c r="L578" s="1112"/>
      <c r="M578" s="816"/>
      <c r="N578" s="738"/>
      <c r="O578" s="738"/>
      <c r="P578" s="738"/>
      <c r="Q578" s="738"/>
      <c r="R578" s="817"/>
      <c r="S578" s="816"/>
      <c r="T578" s="738"/>
      <c r="U578" s="738"/>
      <c r="V578" s="738"/>
      <c r="W578" s="738"/>
      <c r="X578" s="817"/>
      <c r="Y578" s="816"/>
      <c r="Z578" s="738"/>
      <c r="AA578" s="738"/>
      <c r="AB578" s="738"/>
      <c r="AC578" s="738"/>
      <c r="AD578" s="817"/>
      <c r="AF578"/>
      <c r="AG578">
        <f t="shared" si="60"/>
        <v>0</v>
      </c>
      <c r="AH578">
        <f t="shared" si="61"/>
        <v>0</v>
      </c>
      <c r="AJ578">
        <f t="shared" si="62"/>
        <v>0</v>
      </c>
      <c r="AK578">
        <f t="shared" si="63"/>
        <v>0</v>
      </c>
      <c r="AL578">
        <f t="shared" si="64"/>
        <v>0</v>
      </c>
    </row>
    <row r="579" spans="1:38" ht="24" customHeight="1">
      <c r="A579" s="49"/>
      <c r="B579" s="38"/>
      <c r="C579" s="1109"/>
      <c r="D579" s="954"/>
      <c r="E579" s="956"/>
      <c r="F579" s="1110" t="s">
        <v>4886</v>
      </c>
      <c r="G579" s="1110"/>
      <c r="H579" s="178"/>
      <c r="I579" s="1111" t="s">
        <v>4887</v>
      </c>
      <c r="J579" s="1111"/>
      <c r="K579" s="1111"/>
      <c r="L579" s="1112"/>
      <c r="M579" s="816"/>
      <c r="N579" s="738"/>
      <c r="O579" s="738"/>
      <c r="P579" s="738"/>
      <c r="Q579" s="738"/>
      <c r="R579" s="817"/>
      <c r="S579" s="816"/>
      <c r="T579" s="738"/>
      <c r="U579" s="738"/>
      <c r="V579" s="738"/>
      <c r="W579" s="738"/>
      <c r="X579" s="817"/>
      <c r="Y579" s="816"/>
      <c r="Z579" s="738"/>
      <c r="AA579" s="738"/>
      <c r="AB579" s="738"/>
      <c r="AC579" s="738"/>
      <c r="AD579" s="817"/>
      <c r="AF579"/>
      <c r="AG579">
        <f t="shared" si="60"/>
        <v>0</v>
      </c>
      <c r="AH579">
        <f t="shared" si="61"/>
        <v>0</v>
      </c>
      <c r="AJ579">
        <f t="shared" si="62"/>
        <v>0</v>
      </c>
      <c r="AK579">
        <f t="shared" si="63"/>
        <v>0</v>
      </c>
      <c r="AL579">
        <f t="shared" si="64"/>
        <v>0</v>
      </c>
    </row>
    <row r="580" spans="1:38" ht="15" customHeight="1">
      <c r="A580" s="49"/>
      <c r="B580" s="38"/>
      <c r="C580" s="1109"/>
      <c r="D580" s="954"/>
      <c r="E580" s="956"/>
      <c r="F580" s="1110" t="s">
        <v>4888</v>
      </c>
      <c r="G580" s="1110"/>
      <c r="H580" s="178"/>
      <c r="I580" s="1111" t="s">
        <v>4889</v>
      </c>
      <c r="J580" s="1111"/>
      <c r="K580" s="1111"/>
      <c r="L580" s="1112"/>
      <c r="M580" s="816"/>
      <c r="N580" s="738"/>
      <c r="O580" s="738"/>
      <c r="P580" s="738"/>
      <c r="Q580" s="738"/>
      <c r="R580" s="817"/>
      <c r="S580" s="816"/>
      <c r="T580" s="738"/>
      <c r="U580" s="738"/>
      <c r="V580" s="738"/>
      <c r="W580" s="738"/>
      <c r="X580" s="817"/>
      <c r="Y580" s="816"/>
      <c r="Z580" s="738"/>
      <c r="AA580" s="738"/>
      <c r="AB580" s="738"/>
      <c r="AC580" s="738"/>
      <c r="AD580" s="817"/>
      <c r="AF580"/>
      <c r="AG580">
        <f t="shared" si="60"/>
        <v>0</v>
      </c>
      <c r="AH580">
        <f t="shared" si="61"/>
        <v>0</v>
      </c>
      <c r="AJ580">
        <f t="shared" si="62"/>
        <v>0</v>
      </c>
      <c r="AK580">
        <f t="shared" si="63"/>
        <v>0</v>
      </c>
      <c r="AL580">
        <f t="shared" si="64"/>
        <v>0</v>
      </c>
    </row>
    <row r="581" spans="1:38" ht="15" customHeight="1">
      <c r="A581" s="49"/>
      <c r="B581" s="38"/>
      <c r="C581" s="1109"/>
      <c r="D581" s="954"/>
      <c r="E581" s="956"/>
      <c r="F581" s="1110" t="s">
        <v>4890</v>
      </c>
      <c r="G581" s="1110"/>
      <c r="H581" s="179"/>
      <c r="I581" s="1113" t="s">
        <v>201</v>
      </c>
      <c r="J581" s="1113"/>
      <c r="K581" s="1113"/>
      <c r="L581" s="1114"/>
      <c r="M581" s="816"/>
      <c r="N581" s="738"/>
      <c r="O581" s="738"/>
      <c r="P581" s="738"/>
      <c r="Q581" s="738"/>
      <c r="R581" s="817"/>
      <c r="S581" s="816"/>
      <c r="T581" s="738"/>
      <c r="U581" s="738"/>
      <c r="V581" s="738"/>
      <c r="W581" s="738"/>
      <c r="X581" s="817"/>
      <c r="Y581" s="816"/>
      <c r="Z581" s="738"/>
      <c r="AA581" s="738"/>
      <c r="AB581" s="738"/>
      <c r="AC581" s="738"/>
      <c r="AD581" s="817"/>
      <c r="AF581"/>
      <c r="AG581">
        <f t="shared" si="60"/>
        <v>0</v>
      </c>
      <c r="AH581">
        <f t="shared" si="61"/>
        <v>0</v>
      </c>
      <c r="AJ581">
        <f t="shared" si="62"/>
        <v>0</v>
      </c>
      <c r="AK581">
        <f t="shared" si="63"/>
        <v>0</v>
      </c>
      <c r="AL581">
        <f t="shared" si="64"/>
        <v>0</v>
      </c>
    </row>
    <row r="582" spans="1:38" ht="36" customHeight="1">
      <c r="A582" s="49"/>
      <c r="B582" s="38"/>
      <c r="C582" s="1109"/>
      <c r="D582" s="954"/>
      <c r="E582" s="956"/>
      <c r="F582" s="1103" t="s">
        <v>4891</v>
      </c>
      <c r="G582" s="1103"/>
      <c r="H582" s="1104" t="s">
        <v>4892</v>
      </c>
      <c r="I582" s="1105"/>
      <c r="J582" s="1105"/>
      <c r="K582" s="1105"/>
      <c r="L582" s="1106"/>
      <c r="M582" s="816"/>
      <c r="N582" s="738"/>
      <c r="O582" s="738"/>
      <c r="P582" s="738"/>
      <c r="Q582" s="738"/>
      <c r="R582" s="817"/>
      <c r="S582" s="816"/>
      <c r="T582" s="738"/>
      <c r="U582" s="738"/>
      <c r="V582" s="738"/>
      <c r="W582" s="738"/>
      <c r="X582" s="817"/>
      <c r="Y582" s="816"/>
      <c r="Z582" s="738"/>
      <c r="AA582" s="738"/>
      <c r="AB582" s="738"/>
      <c r="AC582" s="738"/>
      <c r="AD582" s="817"/>
      <c r="AF582">
        <f>IF(M582="NA",IF(AND(COUNTIF(M583:M587,"="&amp;$AF$361)=0,COUNTIF(M583:M587,"&lt;&gt;NA")&gt;0),1,0),IF(AND(COUNTIF(M583:M587,"="&amp;$AF$361)=0,COUNTIF(M583:M587,"NA")=COUNTIF(M583:M587,"&lt;&gt;"&amp;$AF$361)),1,0))</f>
        <v>0</v>
      </c>
      <c r="AG582">
        <f t="shared" si="60"/>
        <v>0</v>
      </c>
      <c r="AH582">
        <f t="shared" si="61"/>
        <v>0</v>
      </c>
      <c r="AJ582">
        <f t="shared" si="62"/>
        <v>0</v>
      </c>
      <c r="AK582">
        <f t="shared" si="63"/>
        <v>0</v>
      </c>
      <c r="AL582">
        <f t="shared" si="64"/>
        <v>0</v>
      </c>
    </row>
    <row r="583" spans="1:38" ht="36" customHeight="1">
      <c r="A583" s="49"/>
      <c r="B583" s="38"/>
      <c r="C583" s="1109"/>
      <c r="D583" s="954"/>
      <c r="E583" s="956"/>
      <c r="F583" s="1110" t="s">
        <v>4893</v>
      </c>
      <c r="G583" s="1110"/>
      <c r="H583" s="177"/>
      <c r="I583" s="1115" t="s">
        <v>4894</v>
      </c>
      <c r="J583" s="1115"/>
      <c r="K583" s="1115"/>
      <c r="L583" s="1116"/>
      <c r="M583" s="816"/>
      <c r="N583" s="738"/>
      <c r="O583" s="738"/>
      <c r="P583" s="738"/>
      <c r="Q583" s="738"/>
      <c r="R583" s="817"/>
      <c r="S583" s="816"/>
      <c r="T583" s="738"/>
      <c r="U583" s="738"/>
      <c r="V583" s="738"/>
      <c r="W583" s="738"/>
      <c r="X583" s="817"/>
      <c r="Y583" s="816"/>
      <c r="Z583" s="738"/>
      <c r="AA583" s="738"/>
      <c r="AB583" s="738"/>
      <c r="AC583" s="738"/>
      <c r="AD583" s="817"/>
      <c r="AF583"/>
      <c r="AG583">
        <f t="shared" si="60"/>
        <v>0</v>
      </c>
      <c r="AH583">
        <f t="shared" si="61"/>
        <v>0</v>
      </c>
      <c r="AJ583">
        <f t="shared" si="62"/>
        <v>0</v>
      </c>
      <c r="AK583">
        <f t="shared" si="63"/>
        <v>0</v>
      </c>
      <c r="AL583">
        <f t="shared" si="64"/>
        <v>0</v>
      </c>
    </row>
    <row r="584" spans="1:38" ht="36" customHeight="1">
      <c r="A584" s="49"/>
      <c r="B584" s="38"/>
      <c r="C584" s="1109"/>
      <c r="D584" s="954"/>
      <c r="E584" s="956"/>
      <c r="F584" s="1110" t="s">
        <v>4895</v>
      </c>
      <c r="G584" s="1110"/>
      <c r="H584" s="178"/>
      <c r="I584" s="1111" t="s">
        <v>4896</v>
      </c>
      <c r="J584" s="1111"/>
      <c r="K584" s="1111"/>
      <c r="L584" s="1112"/>
      <c r="M584" s="816"/>
      <c r="N584" s="738"/>
      <c r="O584" s="738"/>
      <c r="P584" s="738"/>
      <c r="Q584" s="738"/>
      <c r="R584" s="817"/>
      <c r="S584" s="816"/>
      <c r="T584" s="738"/>
      <c r="U584" s="738"/>
      <c r="V584" s="738"/>
      <c r="W584" s="738"/>
      <c r="X584" s="817"/>
      <c r="Y584" s="816"/>
      <c r="Z584" s="738"/>
      <c r="AA584" s="738"/>
      <c r="AB584" s="738"/>
      <c r="AC584" s="738"/>
      <c r="AD584" s="817"/>
      <c r="AF584"/>
      <c r="AG584">
        <f t="shared" si="60"/>
        <v>0</v>
      </c>
      <c r="AH584">
        <f t="shared" si="61"/>
        <v>0</v>
      </c>
      <c r="AJ584">
        <f t="shared" si="62"/>
        <v>0</v>
      </c>
      <c r="AK584">
        <f t="shared" si="63"/>
        <v>0</v>
      </c>
      <c r="AL584">
        <f t="shared" si="64"/>
        <v>0</v>
      </c>
    </row>
    <row r="585" spans="1:38" ht="36" customHeight="1">
      <c r="A585" s="49"/>
      <c r="B585" s="38"/>
      <c r="C585" s="1109"/>
      <c r="D585" s="954"/>
      <c r="E585" s="956"/>
      <c r="F585" s="1110" t="s">
        <v>4897</v>
      </c>
      <c r="G585" s="1110"/>
      <c r="H585" s="178"/>
      <c r="I585" s="1111" t="s">
        <v>4898</v>
      </c>
      <c r="J585" s="1111"/>
      <c r="K585" s="1111"/>
      <c r="L585" s="1112"/>
      <c r="M585" s="816"/>
      <c r="N585" s="738"/>
      <c r="O585" s="738"/>
      <c r="P585" s="738"/>
      <c r="Q585" s="738"/>
      <c r="R585" s="817"/>
      <c r="S585" s="816"/>
      <c r="T585" s="738"/>
      <c r="U585" s="738"/>
      <c r="V585" s="738"/>
      <c r="W585" s="738"/>
      <c r="X585" s="817"/>
      <c r="Y585" s="816"/>
      <c r="Z585" s="738"/>
      <c r="AA585" s="738"/>
      <c r="AB585" s="738"/>
      <c r="AC585" s="738"/>
      <c r="AD585" s="817"/>
      <c r="AF585"/>
      <c r="AG585">
        <f t="shared" si="60"/>
        <v>0</v>
      </c>
      <c r="AH585">
        <f t="shared" si="61"/>
        <v>0</v>
      </c>
      <c r="AJ585">
        <f t="shared" si="62"/>
        <v>0</v>
      </c>
      <c r="AK585">
        <f t="shared" si="63"/>
        <v>0</v>
      </c>
      <c r="AL585">
        <f t="shared" si="64"/>
        <v>0</v>
      </c>
    </row>
    <row r="586" spans="1:38" ht="48" customHeight="1">
      <c r="A586" s="49"/>
      <c r="B586" s="38"/>
      <c r="C586" s="1109"/>
      <c r="D586" s="954"/>
      <c r="E586" s="956"/>
      <c r="F586" s="1110" t="s">
        <v>4899</v>
      </c>
      <c r="G586" s="1110"/>
      <c r="H586" s="178"/>
      <c r="I586" s="1111" t="s">
        <v>4900</v>
      </c>
      <c r="J586" s="1111"/>
      <c r="K586" s="1111"/>
      <c r="L586" s="1112"/>
      <c r="M586" s="816"/>
      <c r="N586" s="738"/>
      <c r="O586" s="738"/>
      <c r="P586" s="738"/>
      <c r="Q586" s="738"/>
      <c r="R586" s="817"/>
      <c r="S586" s="816"/>
      <c r="T586" s="738"/>
      <c r="U586" s="738"/>
      <c r="V586" s="738"/>
      <c r="W586" s="738"/>
      <c r="X586" s="817"/>
      <c r="Y586" s="816"/>
      <c r="Z586" s="738"/>
      <c r="AA586" s="738"/>
      <c r="AB586" s="738"/>
      <c r="AC586" s="738"/>
      <c r="AD586" s="817"/>
      <c r="AF586"/>
      <c r="AG586">
        <f t="shared" si="60"/>
        <v>0</v>
      </c>
      <c r="AH586">
        <f t="shared" si="61"/>
        <v>0</v>
      </c>
      <c r="AJ586">
        <f t="shared" si="62"/>
        <v>0</v>
      </c>
      <c r="AK586">
        <f t="shared" si="63"/>
        <v>0</v>
      </c>
      <c r="AL586">
        <f t="shared" si="64"/>
        <v>0</v>
      </c>
    </row>
    <row r="587" spans="1:38" ht="15" customHeight="1">
      <c r="A587" s="49"/>
      <c r="B587" s="38"/>
      <c r="C587" s="1109"/>
      <c r="D587" s="954"/>
      <c r="E587" s="956"/>
      <c r="F587" s="1110" t="s">
        <v>4901</v>
      </c>
      <c r="G587" s="1110"/>
      <c r="H587" s="178"/>
      <c r="I587" s="1113" t="s">
        <v>201</v>
      </c>
      <c r="J587" s="1113"/>
      <c r="K587" s="1113"/>
      <c r="L587" s="1114"/>
      <c r="M587" s="816"/>
      <c r="N587" s="738"/>
      <c r="O587" s="738"/>
      <c r="P587" s="738"/>
      <c r="Q587" s="738"/>
      <c r="R587" s="817"/>
      <c r="S587" s="816"/>
      <c r="T587" s="738"/>
      <c r="U587" s="738"/>
      <c r="V587" s="738"/>
      <c r="W587" s="738"/>
      <c r="X587" s="817"/>
      <c r="Y587" s="816"/>
      <c r="Z587" s="738"/>
      <c r="AA587" s="738"/>
      <c r="AB587" s="738"/>
      <c r="AC587" s="738"/>
      <c r="AD587" s="817"/>
      <c r="AF587"/>
      <c r="AG587">
        <f t="shared" si="60"/>
        <v>0</v>
      </c>
      <c r="AH587">
        <f t="shared" si="61"/>
        <v>0</v>
      </c>
      <c r="AJ587">
        <f t="shared" si="62"/>
        <v>0</v>
      </c>
      <c r="AK587">
        <f t="shared" si="63"/>
        <v>0</v>
      </c>
      <c r="AL587">
        <f t="shared" si="64"/>
        <v>0</v>
      </c>
    </row>
    <row r="588" spans="1:38" ht="15" customHeight="1">
      <c r="A588" s="49"/>
      <c r="B588" s="38"/>
      <c r="C588" s="1109"/>
      <c r="D588" s="954"/>
      <c r="E588" s="956"/>
      <c r="F588" s="1103" t="s">
        <v>4902</v>
      </c>
      <c r="G588" s="1103"/>
      <c r="H588" s="1104" t="s">
        <v>4903</v>
      </c>
      <c r="I588" s="1105"/>
      <c r="J588" s="1105"/>
      <c r="K588" s="1105"/>
      <c r="L588" s="1106"/>
      <c r="M588" s="816"/>
      <c r="N588" s="738"/>
      <c r="O588" s="738"/>
      <c r="P588" s="738"/>
      <c r="Q588" s="738"/>
      <c r="R588" s="817"/>
      <c r="S588" s="816"/>
      <c r="T588" s="738"/>
      <c r="U588" s="738"/>
      <c r="V588" s="738"/>
      <c r="W588" s="738"/>
      <c r="X588" s="817"/>
      <c r="Y588" s="816"/>
      <c r="Z588" s="738"/>
      <c r="AA588" s="738"/>
      <c r="AB588" s="738"/>
      <c r="AC588" s="738"/>
      <c r="AD588" s="817"/>
      <c r="AF588"/>
      <c r="AG588">
        <f t="shared" si="60"/>
        <v>0</v>
      </c>
      <c r="AH588">
        <f t="shared" si="61"/>
        <v>0</v>
      </c>
      <c r="AJ588">
        <f t="shared" si="62"/>
        <v>0</v>
      </c>
      <c r="AK588">
        <f t="shared" si="63"/>
        <v>0</v>
      </c>
      <c r="AL588">
        <f t="shared" si="64"/>
        <v>0</v>
      </c>
    </row>
    <row r="589" spans="1:38" ht="15" customHeight="1">
      <c r="A589" s="49"/>
      <c r="B589" s="38"/>
      <c r="C589" s="1109"/>
      <c r="D589" s="954"/>
      <c r="E589" s="956"/>
      <c r="F589" s="1103" t="s">
        <v>4904</v>
      </c>
      <c r="G589" s="1103"/>
      <c r="H589" s="1104" t="s">
        <v>4905</v>
      </c>
      <c r="I589" s="1105"/>
      <c r="J589" s="1105"/>
      <c r="K589" s="1105"/>
      <c r="L589" s="1106"/>
      <c r="M589" s="816"/>
      <c r="N589" s="738"/>
      <c r="O589" s="738"/>
      <c r="P589" s="738"/>
      <c r="Q589" s="738"/>
      <c r="R589" s="817"/>
      <c r="S589" s="816"/>
      <c r="T589" s="738"/>
      <c r="U589" s="738"/>
      <c r="V589" s="738"/>
      <c r="W589" s="738"/>
      <c r="X589" s="817"/>
      <c r="Y589" s="816"/>
      <c r="Z589" s="738"/>
      <c r="AA589" s="738"/>
      <c r="AB589" s="738"/>
      <c r="AC589" s="738"/>
      <c r="AD589" s="817"/>
      <c r="AF589"/>
      <c r="AG589">
        <f t="shared" si="60"/>
        <v>0</v>
      </c>
      <c r="AH589">
        <f t="shared" si="61"/>
        <v>0</v>
      </c>
      <c r="AJ589">
        <f t="shared" si="62"/>
        <v>0</v>
      </c>
      <c r="AK589">
        <f t="shared" si="63"/>
        <v>0</v>
      </c>
      <c r="AL589">
        <f t="shared" si="64"/>
        <v>0</v>
      </c>
    </row>
    <row r="590" spans="1:38" ht="15" customHeight="1">
      <c r="A590" s="49"/>
      <c r="B590" s="38"/>
      <c r="C590" s="1109"/>
      <c r="D590" s="954"/>
      <c r="E590" s="956"/>
      <c r="F590" s="1103" t="s">
        <v>4906</v>
      </c>
      <c r="G590" s="1103"/>
      <c r="H590" s="1104" t="s">
        <v>4907</v>
      </c>
      <c r="I590" s="1105"/>
      <c r="J590" s="1105"/>
      <c r="K590" s="1105"/>
      <c r="L590" s="1106"/>
      <c r="M590" s="816"/>
      <c r="N590" s="738"/>
      <c r="O590" s="738"/>
      <c r="P590" s="738"/>
      <c r="Q590" s="738"/>
      <c r="R590" s="817"/>
      <c r="S590" s="816"/>
      <c r="T590" s="738"/>
      <c r="U590" s="738"/>
      <c r="V590" s="738"/>
      <c r="W590" s="738"/>
      <c r="X590" s="817"/>
      <c r="Y590" s="816"/>
      <c r="Z590" s="738"/>
      <c r="AA590" s="738"/>
      <c r="AB590" s="738"/>
      <c r="AC590" s="738"/>
      <c r="AD590" s="817"/>
      <c r="AF590">
        <f>IF(M590="NA",IF(AND(COUNTIF(M591:M593,"="&amp;$AF$361)=0,COUNTIF(M591:M593,"&lt;&gt;NA")&gt;0),1,0),IF(AND(COUNTIF(M591:M593,"="&amp;$AF$361)=0,COUNTIF(M591:M593,"NA")=COUNTIF(M591:M593,"&lt;&gt;"&amp;$AF$361)),1,0))</f>
        <v>0</v>
      </c>
      <c r="AG590">
        <f t="shared" si="60"/>
        <v>0</v>
      </c>
      <c r="AH590">
        <f t="shared" si="61"/>
        <v>0</v>
      </c>
      <c r="AJ590">
        <f t="shared" si="62"/>
        <v>0</v>
      </c>
      <c r="AK590">
        <f t="shared" si="63"/>
        <v>0</v>
      </c>
      <c r="AL590">
        <f t="shared" si="64"/>
        <v>0</v>
      </c>
    </row>
    <row r="591" spans="1:38" ht="60" customHeight="1">
      <c r="A591" s="49"/>
      <c r="B591" s="38"/>
      <c r="C591" s="1109"/>
      <c r="D591" s="954"/>
      <c r="E591" s="956"/>
      <c r="F591" s="1110" t="s">
        <v>4908</v>
      </c>
      <c r="G591" s="1110"/>
      <c r="H591" s="178"/>
      <c r="I591" s="1111" t="s">
        <v>4909</v>
      </c>
      <c r="J591" s="1111"/>
      <c r="K591" s="1111"/>
      <c r="L591" s="1112"/>
      <c r="M591" s="816"/>
      <c r="N591" s="738"/>
      <c r="O591" s="738"/>
      <c r="P591" s="738"/>
      <c r="Q591" s="738"/>
      <c r="R591" s="817"/>
      <c r="S591" s="816"/>
      <c r="T591" s="738"/>
      <c r="U591" s="738"/>
      <c r="V591" s="738"/>
      <c r="W591" s="738"/>
      <c r="X591" s="817"/>
      <c r="Y591" s="816"/>
      <c r="Z591" s="738"/>
      <c r="AA591" s="738"/>
      <c r="AB591" s="738"/>
      <c r="AC591" s="738"/>
      <c r="AD591" s="817"/>
      <c r="AF591"/>
      <c r="AG591">
        <f t="shared" si="60"/>
        <v>0</v>
      </c>
      <c r="AH591">
        <f t="shared" si="61"/>
        <v>0</v>
      </c>
      <c r="AJ591">
        <f t="shared" si="62"/>
        <v>0</v>
      </c>
      <c r="AK591">
        <f t="shared" si="63"/>
        <v>0</v>
      </c>
      <c r="AL591">
        <f t="shared" si="64"/>
        <v>0</v>
      </c>
    </row>
    <row r="592" spans="1:38" ht="24" customHeight="1">
      <c r="A592" s="49"/>
      <c r="B592" s="38"/>
      <c r="C592" s="1109"/>
      <c r="D592" s="954"/>
      <c r="E592" s="956"/>
      <c r="F592" s="1110" t="s">
        <v>4910</v>
      </c>
      <c r="G592" s="1110"/>
      <c r="H592" s="178"/>
      <c r="I592" s="1111" t="s">
        <v>4911</v>
      </c>
      <c r="J592" s="1111"/>
      <c r="K592" s="1111"/>
      <c r="L592" s="1112"/>
      <c r="M592" s="816"/>
      <c r="N592" s="738"/>
      <c r="O592" s="738"/>
      <c r="P592" s="738"/>
      <c r="Q592" s="738"/>
      <c r="R592" s="817"/>
      <c r="S592" s="816"/>
      <c r="T592" s="738"/>
      <c r="U592" s="738"/>
      <c r="V592" s="738"/>
      <c r="W592" s="738"/>
      <c r="X592" s="817"/>
      <c r="Y592" s="816"/>
      <c r="Z592" s="738"/>
      <c r="AA592" s="738"/>
      <c r="AB592" s="738"/>
      <c r="AC592" s="738"/>
      <c r="AD592" s="817"/>
      <c r="AF592"/>
      <c r="AG592">
        <f t="shared" si="60"/>
        <v>0</v>
      </c>
      <c r="AH592">
        <f t="shared" si="61"/>
        <v>0</v>
      </c>
      <c r="AJ592">
        <f t="shared" si="62"/>
        <v>0</v>
      </c>
      <c r="AK592">
        <f t="shared" si="63"/>
        <v>0</v>
      </c>
      <c r="AL592">
        <f t="shared" si="64"/>
        <v>0</v>
      </c>
    </row>
    <row r="593" spans="1:39" ht="15" customHeight="1">
      <c r="A593" s="49"/>
      <c r="B593" s="38"/>
      <c r="C593" s="1109"/>
      <c r="D593" s="954"/>
      <c r="E593" s="956"/>
      <c r="F593" s="1110" t="s">
        <v>4912</v>
      </c>
      <c r="G593" s="1110"/>
      <c r="H593" s="178"/>
      <c r="I593" s="1113" t="s">
        <v>201</v>
      </c>
      <c r="J593" s="1113"/>
      <c r="K593" s="1113"/>
      <c r="L593" s="1114"/>
      <c r="M593" s="816"/>
      <c r="N593" s="738"/>
      <c r="O593" s="738"/>
      <c r="P593" s="738"/>
      <c r="Q593" s="738"/>
      <c r="R593" s="817"/>
      <c r="S593" s="816"/>
      <c r="T593" s="738"/>
      <c r="U593" s="738"/>
      <c r="V593" s="738"/>
      <c r="W593" s="738"/>
      <c r="X593" s="817"/>
      <c r="Y593" s="816"/>
      <c r="Z593" s="738"/>
      <c r="AA593" s="738"/>
      <c r="AB593" s="738"/>
      <c r="AC593" s="738"/>
      <c r="AD593" s="817"/>
      <c r="AF593"/>
      <c r="AG593">
        <f t="shared" si="60"/>
        <v>0</v>
      </c>
      <c r="AH593">
        <f t="shared" si="61"/>
        <v>0</v>
      </c>
      <c r="AJ593">
        <f t="shared" si="62"/>
        <v>0</v>
      </c>
      <c r="AK593">
        <f t="shared" si="63"/>
        <v>0</v>
      </c>
      <c r="AL593">
        <f t="shared" si="64"/>
        <v>0</v>
      </c>
    </row>
    <row r="594" spans="1:39" ht="15" customHeight="1">
      <c r="A594" s="49"/>
      <c r="B594" s="38"/>
      <c r="C594" s="1109"/>
      <c r="D594" s="954"/>
      <c r="E594" s="956"/>
      <c r="F594" s="1103" t="s">
        <v>4913</v>
      </c>
      <c r="G594" s="1103"/>
      <c r="H594" s="1104" t="s">
        <v>4914</v>
      </c>
      <c r="I594" s="1105"/>
      <c r="J594" s="1105"/>
      <c r="K594" s="1105"/>
      <c r="L594" s="1106"/>
      <c r="M594" s="816"/>
      <c r="N594" s="738"/>
      <c r="O594" s="738"/>
      <c r="P594" s="738"/>
      <c r="Q594" s="738"/>
      <c r="R594" s="817"/>
      <c r="S594" s="816"/>
      <c r="T594" s="738"/>
      <c r="U594" s="738"/>
      <c r="V594" s="738"/>
      <c r="W594" s="738"/>
      <c r="X594" s="817"/>
      <c r="Y594" s="816"/>
      <c r="Z594" s="738"/>
      <c r="AA594" s="738"/>
      <c r="AB594" s="738"/>
      <c r="AC594" s="738"/>
      <c r="AD594" s="817"/>
      <c r="AF594"/>
      <c r="AG594">
        <f t="shared" si="60"/>
        <v>0</v>
      </c>
      <c r="AH594">
        <f t="shared" si="61"/>
        <v>0</v>
      </c>
      <c r="AJ594">
        <f t="shared" si="62"/>
        <v>0</v>
      </c>
      <c r="AK594">
        <f t="shared" si="63"/>
        <v>0</v>
      </c>
      <c r="AL594">
        <f t="shared" si="64"/>
        <v>0</v>
      </c>
    </row>
    <row r="595" spans="1:39" ht="15" customHeight="1">
      <c r="A595" s="49"/>
      <c r="B595" s="38"/>
      <c r="C595" s="1109"/>
      <c r="D595" s="954"/>
      <c r="E595" s="956"/>
      <c r="F595" s="1103" t="s">
        <v>4915</v>
      </c>
      <c r="G595" s="1103"/>
      <c r="H595" s="1104" t="s">
        <v>4916</v>
      </c>
      <c r="I595" s="1105"/>
      <c r="J595" s="1105"/>
      <c r="K595" s="1105"/>
      <c r="L595" s="1106"/>
      <c r="M595" s="816"/>
      <c r="N595" s="738"/>
      <c r="O595" s="738"/>
      <c r="P595" s="738"/>
      <c r="Q595" s="738"/>
      <c r="R595" s="817"/>
      <c r="S595" s="816"/>
      <c r="T595" s="738"/>
      <c r="U595" s="738"/>
      <c r="V595" s="738"/>
      <c r="W595" s="738"/>
      <c r="X595" s="817"/>
      <c r="Y595" s="816"/>
      <c r="Z595" s="738"/>
      <c r="AA595" s="738"/>
      <c r="AB595" s="738"/>
      <c r="AC595" s="738"/>
      <c r="AD595" s="817"/>
      <c r="AF595"/>
      <c r="AG595">
        <f t="shared" si="60"/>
        <v>0</v>
      </c>
      <c r="AH595">
        <f t="shared" si="61"/>
        <v>0</v>
      </c>
      <c r="AJ595">
        <f t="shared" si="62"/>
        <v>0</v>
      </c>
      <c r="AK595">
        <f t="shared" si="63"/>
        <v>0</v>
      </c>
      <c r="AL595">
        <f t="shared" si="64"/>
        <v>0</v>
      </c>
    </row>
    <row r="596" spans="1:39" ht="24" customHeight="1">
      <c r="A596" s="49"/>
      <c r="B596" s="38"/>
      <c r="C596" s="1109"/>
      <c r="D596" s="954"/>
      <c r="E596" s="956"/>
      <c r="F596" s="1103" t="s">
        <v>4917</v>
      </c>
      <c r="G596" s="1103"/>
      <c r="H596" s="1104" t="s">
        <v>4918</v>
      </c>
      <c r="I596" s="1105"/>
      <c r="J596" s="1105"/>
      <c r="K596" s="1105"/>
      <c r="L596" s="1106"/>
      <c r="M596" s="816"/>
      <c r="N596" s="738"/>
      <c r="O596" s="738"/>
      <c r="P596" s="738"/>
      <c r="Q596" s="738"/>
      <c r="R596" s="817"/>
      <c r="S596" s="816"/>
      <c r="T596" s="738"/>
      <c r="U596" s="738"/>
      <c r="V596" s="738"/>
      <c r="W596" s="738"/>
      <c r="X596" s="817"/>
      <c r="Y596" s="816"/>
      <c r="Z596" s="738"/>
      <c r="AA596" s="738"/>
      <c r="AB596" s="738"/>
      <c r="AC596" s="738"/>
      <c r="AD596" s="817"/>
      <c r="AF596"/>
      <c r="AG596">
        <f t="shared" si="60"/>
        <v>0</v>
      </c>
      <c r="AH596">
        <f t="shared" si="61"/>
        <v>0</v>
      </c>
      <c r="AJ596">
        <f t="shared" si="62"/>
        <v>0</v>
      </c>
      <c r="AK596">
        <f t="shared" si="63"/>
        <v>0</v>
      </c>
      <c r="AL596">
        <f t="shared" si="64"/>
        <v>0</v>
      </c>
      <c r="AM596">
        <f>IF(OR(M596="NS",M596="NA",$M$335=0,$M$335="NS",$M$335="NA"),0,IF((M596*(IFERROR(100/SUM(M563:M596),0)))&gt;25,1,0))</f>
        <v>0</v>
      </c>
    </row>
    <row r="597" spans="1:39" ht="15" customHeight="1">
      <c r="A597" s="49"/>
      <c r="B597" s="38"/>
      <c r="C597" s="1108" t="s">
        <v>4919</v>
      </c>
      <c r="D597" s="847" t="s">
        <v>4920</v>
      </c>
      <c r="E597" s="848"/>
      <c r="F597" s="1103" t="s">
        <v>4921</v>
      </c>
      <c r="G597" s="1103"/>
      <c r="H597" s="1104" t="s">
        <v>4922</v>
      </c>
      <c r="I597" s="1105"/>
      <c r="J597" s="1105"/>
      <c r="K597" s="1105"/>
      <c r="L597" s="1106"/>
      <c r="M597" s="816"/>
      <c r="N597" s="738"/>
      <c r="O597" s="738"/>
      <c r="P597" s="738"/>
      <c r="Q597" s="738"/>
      <c r="R597" s="817"/>
      <c r="S597" s="816"/>
      <c r="T597" s="738"/>
      <c r="U597" s="738"/>
      <c r="V597" s="738"/>
      <c r="W597" s="738"/>
      <c r="X597" s="817"/>
      <c r="Y597" s="816"/>
      <c r="Z597" s="738"/>
      <c r="AA597" s="738"/>
      <c r="AB597" s="738"/>
      <c r="AC597" s="738"/>
      <c r="AD597" s="817"/>
      <c r="AF597"/>
      <c r="AG597">
        <f t="shared" si="60"/>
        <v>0</v>
      </c>
      <c r="AH597">
        <f t="shared" si="61"/>
        <v>0</v>
      </c>
      <c r="AJ597">
        <f t="shared" si="62"/>
        <v>0</v>
      </c>
      <c r="AK597">
        <f t="shared" si="63"/>
        <v>0</v>
      </c>
      <c r="AL597">
        <f t="shared" si="64"/>
        <v>0</v>
      </c>
    </row>
    <row r="598" spans="1:39" ht="24" customHeight="1">
      <c r="A598" s="49"/>
      <c r="B598" s="38"/>
      <c r="C598" s="1109"/>
      <c r="D598" s="954"/>
      <c r="E598" s="956"/>
      <c r="F598" s="1103" t="s">
        <v>4923</v>
      </c>
      <c r="G598" s="1103"/>
      <c r="H598" s="1104" t="s">
        <v>4924</v>
      </c>
      <c r="I598" s="1105"/>
      <c r="J598" s="1105"/>
      <c r="K598" s="1105"/>
      <c r="L598" s="1106"/>
      <c r="M598" s="816"/>
      <c r="N598" s="738"/>
      <c r="O598" s="738"/>
      <c r="P598" s="738"/>
      <c r="Q598" s="738"/>
      <c r="R598" s="817"/>
      <c r="S598" s="816"/>
      <c r="T598" s="738"/>
      <c r="U598" s="738"/>
      <c r="V598" s="738"/>
      <c r="W598" s="738"/>
      <c r="X598" s="817"/>
      <c r="Y598" s="816"/>
      <c r="Z598" s="738"/>
      <c r="AA598" s="738"/>
      <c r="AB598" s="738"/>
      <c r="AC598" s="738"/>
      <c r="AD598" s="817"/>
      <c r="AF598"/>
      <c r="AG598">
        <f t="shared" ref="AG598:AG661" si="65">IF(OR($M$335=0,$M$335="NS",$M$335="NA",M598="NA"),0,IF(COUNTBLANK(M598:AD598)=15,0,1))</f>
        <v>0</v>
      </c>
      <c r="AH598">
        <f t="shared" ref="AH598:AH661" si="66">IF(M598="NA",IF(COUNTBLANK(S598:AD598)=12,0,1),0)</f>
        <v>0</v>
      </c>
      <c r="AJ598">
        <f t="shared" ref="AJ598:AJ661" si="67">COUNTIF(S598:AD598,"NS")</f>
        <v>0</v>
      </c>
      <c r="AK598">
        <f t="shared" ref="AK598:AK661" si="68">SUM(S598:AD598)</f>
        <v>0</v>
      </c>
      <c r="AL598">
        <f t="shared" ref="AL598:AL661" si="69">IF(COUNTIF(M598:AD598,"NA")=3,0,IF(COUNTA(M598:AD598)=0,0,IF(OR(AND(M598=0,AJ598&gt;0),AND(M598="ns",AK598&gt;0),AND(M598="ns",AJ598=0,AK598=0)),1,IF(OR(AND(M598&gt;0,AJ598=2),AND(M598="ns",AJ598=2),AND(M598="ns",AK598=0,AJ598&gt;0),M598=AK598),0,1))))</f>
        <v>0</v>
      </c>
    </row>
    <row r="599" spans="1:39" ht="24" customHeight="1">
      <c r="A599" s="49"/>
      <c r="B599" s="38"/>
      <c r="C599" s="1109"/>
      <c r="D599" s="954"/>
      <c r="E599" s="956"/>
      <c r="F599" s="1103" t="s">
        <v>4925</v>
      </c>
      <c r="G599" s="1103"/>
      <c r="H599" s="1104" t="s">
        <v>4926</v>
      </c>
      <c r="I599" s="1105"/>
      <c r="J599" s="1105"/>
      <c r="K599" s="1105"/>
      <c r="L599" s="1106"/>
      <c r="M599" s="816"/>
      <c r="N599" s="738"/>
      <c r="O599" s="738"/>
      <c r="P599" s="738"/>
      <c r="Q599" s="738"/>
      <c r="R599" s="817"/>
      <c r="S599" s="816"/>
      <c r="T599" s="738"/>
      <c r="U599" s="738"/>
      <c r="V599" s="738"/>
      <c r="W599" s="738"/>
      <c r="X599" s="817"/>
      <c r="Y599" s="816"/>
      <c r="Z599" s="738"/>
      <c r="AA599" s="738"/>
      <c r="AB599" s="738"/>
      <c r="AC599" s="738"/>
      <c r="AD599" s="817"/>
      <c r="AF599"/>
      <c r="AG599">
        <f t="shared" si="65"/>
        <v>0</v>
      </c>
      <c r="AH599">
        <f t="shared" si="66"/>
        <v>0</v>
      </c>
      <c r="AJ599">
        <f t="shared" si="67"/>
        <v>0</v>
      </c>
      <c r="AK599">
        <f t="shared" si="68"/>
        <v>0</v>
      </c>
      <c r="AL599">
        <f t="shared" si="69"/>
        <v>0</v>
      </c>
      <c r="AM599">
        <f>IF(OR(M599="NS",M599="NA",$M$335=0,$M$335="NS",$M$335="NA"),0,IF((M599*(IFERROR(100/SUM(M597:M599),0)))&gt;25,1,0))</f>
        <v>0</v>
      </c>
    </row>
    <row r="600" spans="1:39" ht="36" customHeight="1">
      <c r="A600" s="49"/>
      <c r="B600" s="38"/>
      <c r="C600" s="1108" t="s">
        <v>4927</v>
      </c>
      <c r="D600" s="847" t="s">
        <v>5417</v>
      </c>
      <c r="E600" s="848"/>
      <c r="F600" s="1103" t="s">
        <v>4929</v>
      </c>
      <c r="G600" s="1103"/>
      <c r="H600" s="1104" t="s">
        <v>4930</v>
      </c>
      <c r="I600" s="1105"/>
      <c r="J600" s="1105"/>
      <c r="K600" s="1105"/>
      <c r="L600" s="1106"/>
      <c r="M600" s="816"/>
      <c r="N600" s="738"/>
      <c r="O600" s="738"/>
      <c r="P600" s="738"/>
      <c r="Q600" s="738"/>
      <c r="R600" s="817"/>
      <c r="S600" s="816"/>
      <c r="T600" s="738"/>
      <c r="U600" s="738"/>
      <c r="V600" s="738"/>
      <c r="W600" s="738"/>
      <c r="X600" s="817"/>
      <c r="Y600" s="816"/>
      <c r="Z600" s="738"/>
      <c r="AA600" s="738"/>
      <c r="AB600" s="738"/>
      <c r="AC600" s="738"/>
      <c r="AD600" s="817"/>
      <c r="AF600">
        <f>IF(M600="NA",IF(AND(COUNTIF(M601:M607,"="&amp;$AF$361)=0,COUNTIF(M601:M607,"&lt;&gt;NA")&gt;0),1,0),IF(AND(COUNTIF(M601:M607,"="&amp;$AF$361)=0,COUNTIF(M601:M607,"NA")=COUNTIF(M601:M607,"&lt;&gt;"&amp;$AF$361)),1,0))</f>
        <v>0</v>
      </c>
      <c r="AG600">
        <f t="shared" si="65"/>
        <v>0</v>
      </c>
      <c r="AH600">
        <f t="shared" si="66"/>
        <v>0</v>
      </c>
      <c r="AJ600">
        <f t="shared" si="67"/>
        <v>0</v>
      </c>
      <c r="AK600">
        <f t="shared" si="68"/>
        <v>0</v>
      </c>
      <c r="AL600">
        <f t="shared" si="69"/>
        <v>0</v>
      </c>
    </row>
    <row r="601" spans="1:39" ht="36" customHeight="1">
      <c r="A601" s="49"/>
      <c r="B601" s="38"/>
      <c r="C601" s="1109"/>
      <c r="D601" s="954"/>
      <c r="E601" s="956"/>
      <c r="F601" s="1110" t="s">
        <v>4931</v>
      </c>
      <c r="G601" s="1110"/>
      <c r="H601" s="178"/>
      <c r="I601" s="1111" t="s">
        <v>4932</v>
      </c>
      <c r="J601" s="1111"/>
      <c r="K601" s="1111"/>
      <c r="L601" s="1112"/>
      <c r="M601" s="816"/>
      <c r="N601" s="738"/>
      <c r="O601" s="738"/>
      <c r="P601" s="738"/>
      <c r="Q601" s="738"/>
      <c r="R601" s="817"/>
      <c r="S601" s="816"/>
      <c r="T601" s="738"/>
      <c r="U601" s="738"/>
      <c r="V601" s="738"/>
      <c r="W601" s="738"/>
      <c r="X601" s="817"/>
      <c r="Y601" s="816"/>
      <c r="Z601" s="738"/>
      <c r="AA601" s="738"/>
      <c r="AB601" s="738"/>
      <c r="AC601" s="738"/>
      <c r="AD601" s="817"/>
      <c r="AF601"/>
      <c r="AG601">
        <f t="shared" si="65"/>
        <v>0</v>
      </c>
      <c r="AH601">
        <f t="shared" si="66"/>
        <v>0</v>
      </c>
      <c r="AJ601">
        <f t="shared" si="67"/>
        <v>0</v>
      </c>
      <c r="AK601">
        <f t="shared" si="68"/>
        <v>0</v>
      </c>
      <c r="AL601">
        <f t="shared" si="69"/>
        <v>0</v>
      </c>
    </row>
    <row r="602" spans="1:39" ht="36" customHeight="1">
      <c r="A602" s="49"/>
      <c r="B602" s="38"/>
      <c r="C602" s="1109"/>
      <c r="D602" s="954"/>
      <c r="E602" s="956"/>
      <c r="F602" s="1110" t="s">
        <v>4933</v>
      </c>
      <c r="G602" s="1110"/>
      <c r="H602" s="178"/>
      <c r="I602" s="1111" t="s">
        <v>4934</v>
      </c>
      <c r="J602" s="1111"/>
      <c r="K602" s="1111"/>
      <c r="L602" s="1112"/>
      <c r="M602" s="816"/>
      <c r="N602" s="738"/>
      <c r="O602" s="738"/>
      <c r="P602" s="738"/>
      <c r="Q602" s="738"/>
      <c r="R602" s="817"/>
      <c r="S602" s="816"/>
      <c r="T602" s="738"/>
      <c r="U602" s="738"/>
      <c r="V602" s="738"/>
      <c r="W602" s="738"/>
      <c r="X602" s="817"/>
      <c r="Y602" s="816"/>
      <c r="Z602" s="738"/>
      <c r="AA602" s="738"/>
      <c r="AB602" s="738"/>
      <c r="AC602" s="738"/>
      <c r="AD602" s="817"/>
      <c r="AF602"/>
      <c r="AG602">
        <f t="shared" si="65"/>
        <v>0</v>
      </c>
      <c r="AH602">
        <f t="shared" si="66"/>
        <v>0</v>
      </c>
      <c r="AJ602">
        <f t="shared" si="67"/>
        <v>0</v>
      </c>
      <c r="AK602">
        <f t="shared" si="68"/>
        <v>0</v>
      </c>
      <c r="AL602">
        <f t="shared" si="69"/>
        <v>0</v>
      </c>
    </row>
    <row r="603" spans="1:39" ht="15" customHeight="1">
      <c r="A603" s="49"/>
      <c r="B603" s="38"/>
      <c r="C603" s="1109"/>
      <c r="D603" s="954"/>
      <c r="E603" s="956"/>
      <c r="F603" s="1110" t="s">
        <v>4935</v>
      </c>
      <c r="G603" s="1110"/>
      <c r="H603" s="178"/>
      <c r="I603" s="1111" t="s">
        <v>4936</v>
      </c>
      <c r="J603" s="1111"/>
      <c r="K603" s="1111"/>
      <c r="L603" s="1112"/>
      <c r="M603" s="816"/>
      <c r="N603" s="738"/>
      <c r="O603" s="738"/>
      <c r="P603" s="738"/>
      <c r="Q603" s="738"/>
      <c r="R603" s="817"/>
      <c r="S603" s="816"/>
      <c r="T603" s="738"/>
      <c r="U603" s="738"/>
      <c r="V603" s="738"/>
      <c r="W603" s="738"/>
      <c r="X603" s="817"/>
      <c r="Y603" s="816"/>
      <c r="Z603" s="738"/>
      <c r="AA603" s="738"/>
      <c r="AB603" s="738"/>
      <c r="AC603" s="738"/>
      <c r="AD603" s="817"/>
      <c r="AF603"/>
      <c r="AG603">
        <f t="shared" si="65"/>
        <v>0</v>
      </c>
      <c r="AH603">
        <f t="shared" si="66"/>
        <v>0</v>
      </c>
      <c r="AJ603">
        <f t="shared" si="67"/>
        <v>0</v>
      </c>
      <c r="AK603">
        <f t="shared" si="68"/>
        <v>0</v>
      </c>
      <c r="AL603">
        <f t="shared" si="69"/>
        <v>0</v>
      </c>
    </row>
    <row r="604" spans="1:39" ht="15" customHeight="1">
      <c r="A604" s="49"/>
      <c r="B604" s="38"/>
      <c r="C604" s="1109"/>
      <c r="D604" s="954"/>
      <c r="E604" s="956"/>
      <c r="F604" s="1110" t="s">
        <v>4937</v>
      </c>
      <c r="G604" s="1110"/>
      <c r="H604" s="178"/>
      <c r="I604" s="1111" t="s">
        <v>4938</v>
      </c>
      <c r="J604" s="1111"/>
      <c r="K604" s="1111"/>
      <c r="L604" s="1112"/>
      <c r="M604" s="816"/>
      <c r="N604" s="738"/>
      <c r="O604" s="738"/>
      <c r="P604" s="738"/>
      <c r="Q604" s="738"/>
      <c r="R604" s="817"/>
      <c r="S604" s="816"/>
      <c r="T604" s="738"/>
      <c r="U604" s="738"/>
      <c r="V604" s="738"/>
      <c r="W604" s="738"/>
      <c r="X604" s="817"/>
      <c r="Y604" s="816"/>
      <c r="Z604" s="738"/>
      <c r="AA604" s="738"/>
      <c r="AB604" s="738"/>
      <c r="AC604" s="738"/>
      <c r="AD604" s="817"/>
      <c r="AF604"/>
      <c r="AG604">
        <f t="shared" si="65"/>
        <v>0</v>
      </c>
      <c r="AH604">
        <f t="shared" si="66"/>
        <v>0</v>
      </c>
      <c r="AJ604">
        <f t="shared" si="67"/>
        <v>0</v>
      </c>
      <c r="AK604">
        <f t="shared" si="68"/>
        <v>0</v>
      </c>
      <c r="AL604">
        <f t="shared" si="69"/>
        <v>0</v>
      </c>
    </row>
    <row r="605" spans="1:39" ht="15" customHeight="1">
      <c r="A605" s="49"/>
      <c r="B605" s="38"/>
      <c r="C605" s="1109"/>
      <c r="D605" s="954"/>
      <c r="E605" s="956"/>
      <c r="F605" s="1110" t="s">
        <v>4939</v>
      </c>
      <c r="G605" s="1110"/>
      <c r="H605" s="178"/>
      <c r="I605" s="1111" t="s">
        <v>4940</v>
      </c>
      <c r="J605" s="1111"/>
      <c r="K605" s="1111"/>
      <c r="L605" s="1112"/>
      <c r="M605" s="816"/>
      <c r="N605" s="738"/>
      <c r="O605" s="738"/>
      <c r="P605" s="738"/>
      <c r="Q605" s="738"/>
      <c r="R605" s="817"/>
      <c r="S605" s="816"/>
      <c r="T605" s="738"/>
      <c r="U605" s="738"/>
      <c r="V605" s="738"/>
      <c r="W605" s="738"/>
      <c r="X605" s="817"/>
      <c r="Y605" s="816"/>
      <c r="Z605" s="738"/>
      <c r="AA605" s="738"/>
      <c r="AB605" s="738"/>
      <c r="AC605" s="738"/>
      <c r="AD605" s="817"/>
      <c r="AF605"/>
      <c r="AG605">
        <f t="shared" si="65"/>
        <v>0</v>
      </c>
      <c r="AH605">
        <f t="shared" si="66"/>
        <v>0</v>
      </c>
      <c r="AJ605">
        <f t="shared" si="67"/>
        <v>0</v>
      </c>
      <c r="AK605">
        <f t="shared" si="68"/>
        <v>0</v>
      </c>
      <c r="AL605">
        <f t="shared" si="69"/>
        <v>0</v>
      </c>
    </row>
    <row r="606" spans="1:39" ht="36" customHeight="1">
      <c r="A606" s="49"/>
      <c r="B606" s="38"/>
      <c r="C606" s="1109"/>
      <c r="D606" s="954"/>
      <c r="E606" s="956"/>
      <c r="F606" s="1110" t="s">
        <v>4941</v>
      </c>
      <c r="G606" s="1110"/>
      <c r="H606" s="178"/>
      <c r="I606" s="1111" t="s">
        <v>4942</v>
      </c>
      <c r="J606" s="1111"/>
      <c r="K606" s="1111"/>
      <c r="L606" s="1112"/>
      <c r="M606" s="816"/>
      <c r="N606" s="738"/>
      <c r="O606" s="738"/>
      <c r="P606" s="738"/>
      <c r="Q606" s="738"/>
      <c r="R606" s="817"/>
      <c r="S606" s="816"/>
      <c r="T606" s="738"/>
      <c r="U606" s="738"/>
      <c r="V606" s="738"/>
      <c r="W606" s="738"/>
      <c r="X606" s="817"/>
      <c r="Y606" s="816"/>
      <c r="Z606" s="738"/>
      <c r="AA606" s="738"/>
      <c r="AB606" s="738"/>
      <c r="AC606" s="738"/>
      <c r="AD606" s="817"/>
      <c r="AF606"/>
      <c r="AG606">
        <f t="shared" si="65"/>
        <v>0</v>
      </c>
      <c r="AH606">
        <f t="shared" si="66"/>
        <v>0</v>
      </c>
      <c r="AJ606">
        <f t="shared" si="67"/>
        <v>0</v>
      </c>
      <c r="AK606">
        <f t="shared" si="68"/>
        <v>0</v>
      </c>
      <c r="AL606">
        <f t="shared" si="69"/>
        <v>0</v>
      </c>
    </row>
    <row r="607" spans="1:39" ht="15" customHeight="1">
      <c r="A607" s="49"/>
      <c r="B607" s="38"/>
      <c r="C607" s="1109"/>
      <c r="D607" s="954"/>
      <c r="E607" s="956"/>
      <c r="F607" s="1110" t="s">
        <v>4943</v>
      </c>
      <c r="G607" s="1110"/>
      <c r="H607" s="178"/>
      <c r="I607" s="1111" t="s">
        <v>201</v>
      </c>
      <c r="J607" s="1111"/>
      <c r="K607" s="1111"/>
      <c r="L607" s="1112"/>
      <c r="M607" s="816"/>
      <c r="N607" s="738"/>
      <c r="O607" s="738"/>
      <c r="P607" s="738"/>
      <c r="Q607" s="738"/>
      <c r="R607" s="817"/>
      <c r="S607" s="816"/>
      <c r="T607" s="738"/>
      <c r="U607" s="738"/>
      <c r="V607" s="738"/>
      <c r="W607" s="738"/>
      <c r="X607" s="817"/>
      <c r="Y607" s="816"/>
      <c r="Z607" s="738"/>
      <c r="AA607" s="738"/>
      <c r="AB607" s="738"/>
      <c r="AC607" s="738"/>
      <c r="AD607" s="817"/>
      <c r="AF607"/>
      <c r="AG607">
        <f t="shared" si="65"/>
        <v>0</v>
      </c>
      <c r="AH607">
        <f t="shared" si="66"/>
        <v>0</v>
      </c>
      <c r="AJ607">
        <f t="shared" si="67"/>
        <v>0</v>
      </c>
      <c r="AK607">
        <f t="shared" si="68"/>
        <v>0</v>
      </c>
      <c r="AL607">
        <f t="shared" si="69"/>
        <v>0</v>
      </c>
    </row>
    <row r="608" spans="1:39" ht="15" customHeight="1">
      <c r="A608" s="49"/>
      <c r="B608" s="38"/>
      <c r="C608" s="1109"/>
      <c r="D608" s="954"/>
      <c r="E608" s="956"/>
      <c r="F608" s="1117" t="s">
        <v>4944</v>
      </c>
      <c r="G608" s="1118"/>
      <c r="H608" s="1104" t="s">
        <v>4945</v>
      </c>
      <c r="I608" s="1105"/>
      <c r="J608" s="1105"/>
      <c r="K608" s="1105"/>
      <c r="L608" s="1106"/>
      <c r="M608" s="816"/>
      <c r="N608" s="738"/>
      <c r="O608" s="738"/>
      <c r="P608" s="738"/>
      <c r="Q608" s="738"/>
      <c r="R608" s="817"/>
      <c r="S608" s="816"/>
      <c r="T608" s="738"/>
      <c r="U608" s="738"/>
      <c r="V608" s="738"/>
      <c r="W608" s="738"/>
      <c r="X608" s="817"/>
      <c r="Y608" s="816"/>
      <c r="Z608" s="738"/>
      <c r="AA608" s="738"/>
      <c r="AB608" s="738"/>
      <c r="AC608" s="738"/>
      <c r="AD608" s="817"/>
      <c r="AF608">
        <f>IF(M608="NA",IF(AND(COUNTIF(M609:M613,"="&amp;$AF$361)=0,COUNTIF(M609:M613,"&lt;&gt;NA")&gt;0),1,0),IF(AND(COUNTIF(M609:M613,"="&amp;$AF$361)=0,COUNTIF(M609:M613,"NA")=COUNTIF(M609:M613,"&lt;&gt;"&amp;$AF$361)),1,0))</f>
        <v>0</v>
      </c>
      <c r="AG608">
        <f t="shared" si="65"/>
        <v>0</v>
      </c>
      <c r="AH608">
        <f t="shared" si="66"/>
        <v>0</v>
      </c>
      <c r="AJ608">
        <f t="shared" si="67"/>
        <v>0</v>
      </c>
      <c r="AK608">
        <f t="shared" si="68"/>
        <v>0</v>
      </c>
      <c r="AL608">
        <f t="shared" si="69"/>
        <v>0</v>
      </c>
    </row>
    <row r="609" spans="1:39" ht="36" customHeight="1">
      <c r="A609" s="49"/>
      <c r="B609" s="38"/>
      <c r="C609" s="1109"/>
      <c r="D609" s="954"/>
      <c r="E609" s="956"/>
      <c r="F609" s="1119" t="s">
        <v>4946</v>
      </c>
      <c r="G609" s="1120"/>
      <c r="H609" s="178"/>
      <c r="I609" s="1111" t="s">
        <v>4947</v>
      </c>
      <c r="J609" s="1111"/>
      <c r="K609" s="1111"/>
      <c r="L609" s="1112"/>
      <c r="M609" s="816"/>
      <c r="N609" s="738"/>
      <c r="O609" s="738"/>
      <c r="P609" s="738"/>
      <c r="Q609" s="738"/>
      <c r="R609" s="817"/>
      <c r="S609" s="816"/>
      <c r="T609" s="738"/>
      <c r="U609" s="738"/>
      <c r="V609" s="738"/>
      <c r="W609" s="738"/>
      <c r="X609" s="817"/>
      <c r="Y609" s="816"/>
      <c r="Z609" s="738"/>
      <c r="AA609" s="738"/>
      <c r="AB609" s="738"/>
      <c r="AC609" s="738"/>
      <c r="AD609" s="817"/>
      <c r="AF609"/>
      <c r="AG609">
        <f t="shared" si="65"/>
        <v>0</v>
      </c>
      <c r="AH609">
        <f t="shared" si="66"/>
        <v>0</v>
      </c>
      <c r="AJ609">
        <f t="shared" si="67"/>
        <v>0</v>
      </c>
      <c r="AK609">
        <f t="shared" si="68"/>
        <v>0</v>
      </c>
      <c r="AL609">
        <f t="shared" si="69"/>
        <v>0</v>
      </c>
    </row>
    <row r="610" spans="1:39" ht="48" customHeight="1">
      <c r="A610" s="49"/>
      <c r="B610" s="38"/>
      <c r="C610" s="1109"/>
      <c r="D610" s="954"/>
      <c r="E610" s="956"/>
      <c r="F610" s="1119" t="s">
        <v>4948</v>
      </c>
      <c r="G610" s="1120"/>
      <c r="H610" s="178"/>
      <c r="I610" s="1111" t="s">
        <v>4949</v>
      </c>
      <c r="J610" s="1111"/>
      <c r="K610" s="1111"/>
      <c r="L610" s="1112"/>
      <c r="M610" s="816"/>
      <c r="N610" s="738"/>
      <c r="O610" s="738"/>
      <c r="P610" s="738"/>
      <c r="Q610" s="738"/>
      <c r="R610" s="817"/>
      <c r="S610" s="816"/>
      <c r="T610" s="738"/>
      <c r="U610" s="738"/>
      <c r="V610" s="738"/>
      <c r="W610" s="738"/>
      <c r="X610" s="817"/>
      <c r="Y610" s="816"/>
      <c r="Z610" s="738"/>
      <c r="AA610" s="738"/>
      <c r="AB610" s="738"/>
      <c r="AC610" s="738"/>
      <c r="AD610" s="817"/>
      <c r="AF610"/>
      <c r="AG610">
        <f t="shared" si="65"/>
        <v>0</v>
      </c>
      <c r="AH610">
        <f t="shared" si="66"/>
        <v>0</v>
      </c>
      <c r="AJ610">
        <f t="shared" si="67"/>
        <v>0</v>
      </c>
      <c r="AK610">
        <f t="shared" si="68"/>
        <v>0</v>
      </c>
      <c r="AL610">
        <f t="shared" si="69"/>
        <v>0</v>
      </c>
    </row>
    <row r="611" spans="1:39" ht="36" customHeight="1">
      <c r="A611" s="49"/>
      <c r="B611" s="38"/>
      <c r="C611" s="1109"/>
      <c r="D611" s="954"/>
      <c r="E611" s="956"/>
      <c r="F611" s="1119" t="s">
        <v>4950</v>
      </c>
      <c r="G611" s="1120"/>
      <c r="H611" s="178"/>
      <c r="I611" s="1111" t="s">
        <v>4951</v>
      </c>
      <c r="J611" s="1111"/>
      <c r="K611" s="1111"/>
      <c r="L611" s="1112"/>
      <c r="M611" s="816"/>
      <c r="N611" s="738"/>
      <c r="O611" s="738"/>
      <c r="P611" s="738"/>
      <c r="Q611" s="738"/>
      <c r="R611" s="817"/>
      <c r="S611" s="816"/>
      <c r="T611" s="738"/>
      <c r="U611" s="738"/>
      <c r="V611" s="738"/>
      <c r="W611" s="738"/>
      <c r="X611" s="817"/>
      <c r="Y611" s="816"/>
      <c r="Z611" s="738"/>
      <c r="AA611" s="738"/>
      <c r="AB611" s="738"/>
      <c r="AC611" s="738"/>
      <c r="AD611" s="817"/>
      <c r="AF611"/>
      <c r="AG611">
        <f t="shared" si="65"/>
        <v>0</v>
      </c>
      <c r="AH611">
        <f t="shared" si="66"/>
        <v>0</v>
      </c>
      <c r="AJ611">
        <f t="shared" si="67"/>
        <v>0</v>
      </c>
      <c r="AK611">
        <f t="shared" si="68"/>
        <v>0</v>
      </c>
      <c r="AL611">
        <f t="shared" si="69"/>
        <v>0</v>
      </c>
    </row>
    <row r="612" spans="1:39" ht="24" customHeight="1">
      <c r="A612" s="49"/>
      <c r="B612" s="38"/>
      <c r="C612" s="1109"/>
      <c r="D612" s="954"/>
      <c r="E612" s="956"/>
      <c r="F612" s="1119" t="s">
        <v>4952</v>
      </c>
      <c r="G612" s="1120"/>
      <c r="H612" s="178"/>
      <c r="I612" s="1111" t="s">
        <v>4953</v>
      </c>
      <c r="J612" s="1111"/>
      <c r="K612" s="1111"/>
      <c r="L612" s="1112"/>
      <c r="M612" s="816"/>
      <c r="N612" s="738"/>
      <c r="O612" s="738"/>
      <c r="P612" s="738"/>
      <c r="Q612" s="738"/>
      <c r="R612" s="817"/>
      <c r="S612" s="816"/>
      <c r="T612" s="738"/>
      <c r="U612" s="738"/>
      <c r="V612" s="738"/>
      <c r="W612" s="738"/>
      <c r="X612" s="817"/>
      <c r="Y612" s="816"/>
      <c r="Z612" s="738"/>
      <c r="AA612" s="738"/>
      <c r="AB612" s="738"/>
      <c r="AC612" s="738"/>
      <c r="AD612" s="817"/>
      <c r="AF612"/>
      <c r="AG612">
        <f t="shared" si="65"/>
        <v>0</v>
      </c>
      <c r="AH612">
        <f t="shared" si="66"/>
        <v>0</v>
      </c>
      <c r="AJ612">
        <f t="shared" si="67"/>
        <v>0</v>
      </c>
      <c r="AK612">
        <f t="shared" si="68"/>
        <v>0</v>
      </c>
      <c r="AL612">
        <f t="shared" si="69"/>
        <v>0</v>
      </c>
    </row>
    <row r="613" spans="1:39" ht="15" customHeight="1">
      <c r="A613" s="49"/>
      <c r="B613" s="38"/>
      <c r="C613" s="1109"/>
      <c r="D613" s="954"/>
      <c r="E613" s="956"/>
      <c r="F613" s="1119" t="s">
        <v>4954</v>
      </c>
      <c r="G613" s="1120"/>
      <c r="H613" s="178"/>
      <c r="I613" s="1111" t="s">
        <v>201</v>
      </c>
      <c r="J613" s="1111"/>
      <c r="K613" s="1111"/>
      <c r="L613" s="1112"/>
      <c r="M613" s="816"/>
      <c r="N613" s="738"/>
      <c r="O613" s="738"/>
      <c r="P613" s="738"/>
      <c r="Q613" s="738"/>
      <c r="R613" s="817"/>
      <c r="S613" s="816"/>
      <c r="T613" s="738"/>
      <c r="U613" s="738"/>
      <c r="V613" s="738"/>
      <c r="W613" s="738"/>
      <c r="X613" s="817"/>
      <c r="Y613" s="816"/>
      <c r="Z613" s="738"/>
      <c r="AA613" s="738"/>
      <c r="AB613" s="738"/>
      <c r="AC613" s="738"/>
      <c r="AD613" s="817"/>
      <c r="AF613"/>
      <c r="AG613">
        <f t="shared" si="65"/>
        <v>0</v>
      </c>
      <c r="AH613">
        <f t="shared" si="66"/>
        <v>0</v>
      </c>
      <c r="AJ613">
        <f t="shared" si="67"/>
        <v>0</v>
      </c>
      <c r="AK613">
        <f t="shared" si="68"/>
        <v>0</v>
      </c>
      <c r="AL613">
        <f t="shared" si="69"/>
        <v>0</v>
      </c>
    </row>
    <row r="614" spans="1:39" ht="48" customHeight="1">
      <c r="A614" s="49"/>
      <c r="B614" s="38"/>
      <c r="C614" s="1109"/>
      <c r="D614" s="954"/>
      <c r="E614" s="956"/>
      <c r="F614" s="1103" t="s">
        <v>4955</v>
      </c>
      <c r="G614" s="1103"/>
      <c r="H614" s="1104" t="s">
        <v>4956</v>
      </c>
      <c r="I614" s="1105"/>
      <c r="J614" s="1105"/>
      <c r="K614" s="1105"/>
      <c r="L614" s="1106"/>
      <c r="M614" s="816"/>
      <c r="N614" s="738"/>
      <c r="O614" s="738"/>
      <c r="P614" s="738"/>
      <c r="Q614" s="738"/>
      <c r="R614" s="817"/>
      <c r="S614" s="816"/>
      <c r="T614" s="738"/>
      <c r="U614" s="738"/>
      <c r="V614" s="738"/>
      <c r="W614" s="738"/>
      <c r="X614" s="817"/>
      <c r="Y614" s="816"/>
      <c r="Z614" s="738"/>
      <c r="AA614" s="738"/>
      <c r="AB614" s="738"/>
      <c r="AC614" s="738"/>
      <c r="AD614" s="817"/>
      <c r="AF614"/>
      <c r="AG614">
        <f t="shared" si="65"/>
        <v>0</v>
      </c>
      <c r="AH614">
        <f t="shared" si="66"/>
        <v>0</v>
      </c>
      <c r="AJ614">
        <f t="shared" si="67"/>
        <v>0</v>
      </c>
      <c r="AK614">
        <f t="shared" si="68"/>
        <v>0</v>
      </c>
      <c r="AL614">
        <f t="shared" si="69"/>
        <v>0</v>
      </c>
    </row>
    <row r="615" spans="1:39" ht="15" customHeight="1">
      <c r="A615" s="49"/>
      <c r="B615" s="38"/>
      <c r="C615" s="1109"/>
      <c r="D615" s="954"/>
      <c r="E615" s="956"/>
      <c r="F615" s="1103" t="s">
        <v>4957</v>
      </c>
      <c r="G615" s="1103"/>
      <c r="H615" s="1104" t="s">
        <v>4958</v>
      </c>
      <c r="I615" s="1105"/>
      <c r="J615" s="1105"/>
      <c r="K615" s="1105"/>
      <c r="L615" s="1106"/>
      <c r="M615" s="816"/>
      <c r="N615" s="738"/>
      <c r="O615" s="738"/>
      <c r="P615" s="738"/>
      <c r="Q615" s="738"/>
      <c r="R615" s="817"/>
      <c r="S615" s="816"/>
      <c r="T615" s="738"/>
      <c r="U615" s="738"/>
      <c r="V615" s="738"/>
      <c r="W615" s="738"/>
      <c r="X615" s="817"/>
      <c r="Y615" s="816"/>
      <c r="Z615" s="738"/>
      <c r="AA615" s="738"/>
      <c r="AB615" s="738"/>
      <c r="AC615" s="738"/>
      <c r="AD615" s="817"/>
      <c r="AF615"/>
      <c r="AG615">
        <f t="shared" si="65"/>
        <v>0</v>
      </c>
      <c r="AH615">
        <f t="shared" si="66"/>
        <v>0</v>
      </c>
      <c r="AJ615">
        <f t="shared" si="67"/>
        <v>0</v>
      </c>
      <c r="AK615">
        <f t="shared" si="68"/>
        <v>0</v>
      </c>
      <c r="AL615">
        <f t="shared" si="69"/>
        <v>0</v>
      </c>
    </row>
    <row r="616" spans="1:39" ht="15" customHeight="1">
      <c r="A616" s="49"/>
      <c r="B616" s="38"/>
      <c r="C616" s="1109"/>
      <c r="D616" s="954"/>
      <c r="E616" s="956"/>
      <c r="F616" s="1103" t="s">
        <v>4959</v>
      </c>
      <c r="G616" s="1103"/>
      <c r="H616" s="1104" t="s">
        <v>4960</v>
      </c>
      <c r="I616" s="1105"/>
      <c r="J616" s="1105"/>
      <c r="K616" s="1105"/>
      <c r="L616" s="1106"/>
      <c r="M616" s="816"/>
      <c r="N616" s="738"/>
      <c r="O616" s="738"/>
      <c r="P616" s="738"/>
      <c r="Q616" s="738"/>
      <c r="R616" s="817"/>
      <c r="S616" s="816"/>
      <c r="T616" s="738"/>
      <c r="U616" s="738"/>
      <c r="V616" s="738"/>
      <c r="W616" s="738"/>
      <c r="X616" s="817"/>
      <c r="Y616" s="816"/>
      <c r="Z616" s="738"/>
      <c r="AA616" s="738"/>
      <c r="AB616" s="738"/>
      <c r="AC616" s="738"/>
      <c r="AD616" s="817"/>
      <c r="AF616"/>
      <c r="AG616">
        <f t="shared" si="65"/>
        <v>0</v>
      </c>
      <c r="AH616">
        <f t="shared" si="66"/>
        <v>0</v>
      </c>
      <c r="AJ616">
        <f t="shared" si="67"/>
        <v>0</v>
      </c>
      <c r="AK616">
        <f t="shared" si="68"/>
        <v>0</v>
      </c>
      <c r="AL616">
        <f t="shared" si="69"/>
        <v>0</v>
      </c>
    </row>
    <row r="617" spans="1:39" ht="24" customHeight="1">
      <c r="A617" s="49"/>
      <c r="B617" s="38"/>
      <c r="C617" s="1109"/>
      <c r="D617" s="954"/>
      <c r="E617" s="956"/>
      <c r="F617" s="1103" t="s">
        <v>4961</v>
      </c>
      <c r="G617" s="1103"/>
      <c r="H617" s="1104" t="s">
        <v>4962</v>
      </c>
      <c r="I617" s="1105"/>
      <c r="J617" s="1105"/>
      <c r="K617" s="1105"/>
      <c r="L617" s="1106"/>
      <c r="M617" s="816"/>
      <c r="N617" s="738"/>
      <c r="O617" s="738"/>
      <c r="P617" s="738"/>
      <c r="Q617" s="738"/>
      <c r="R617" s="817"/>
      <c r="S617" s="816"/>
      <c r="T617" s="738"/>
      <c r="U617" s="738"/>
      <c r="V617" s="738"/>
      <c r="W617" s="738"/>
      <c r="X617" s="817"/>
      <c r="Y617" s="816"/>
      <c r="Z617" s="738"/>
      <c r="AA617" s="738"/>
      <c r="AB617" s="738"/>
      <c r="AC617" s="738"/>
      <c r="AD617" s="817"/>
      <c r="AF617"/>
      <c r="AG617">
        <f t="shared" si="65"/>
        <v>0</v>
      </c>
      <c r="AH617">
        <f t="shared" si="66"/>
        <v>0</v>
      </c>
      <c r="AJ617">
        <f t="shared" si="67"/>
        <v>0</v>
      </c>
      <c r="AK617">
        <f t="shared" si="68"/>
        <v>0</v>
      </c>
      <c r="AL617">
        <f t="shared" si="69"/>
        <v>0</v>
      </c>
      <c r="AM617">
        <f>IF(OR(M617="NS",M617="NA",$M$335=0,$M$335="NS",$M$335="NA"),0,IF((M617*(IFERROR(100/SUM(M600:M617),0)))&gt;25,1,0))</f>
        <v>0</v>
      </c>
    </row>
    <row r="618" spans="1:39" ht="60" customHeight="1">
      <c r="A618" s="49"/>
      <c r="B618" s="38"/>
      <c r="C618" s="1108" t="s">
        <v>4963</v>
      </c>
      <c r="D618" s="847" t="s">
        <v>4964</v>
      </c>
      <c r="E618" s="848"/>
      <c r="F618" s="1103" t="s">
        <v>4965</v>
      </c>
      <c r="G618" s="1103"/>
      <c r="H618" s="1104" t="s">
        <v>4966</v>
      </c>
      <c r="I618" s="1105"/>
      <c r="J618" s="1105"/>
      <c r="K618" s="1105"/>
      <c r="L618" s="1106"/>
      <c r="M618" s="816"/>
      <c r="N618" s="738"/>
      <c r="O618" s="738"/>
      <c r="P618" s="738"/>
      <c r="Q618" s="738"/>
      <c r="R618" s="817"/>
      <c r="S618" s="816"/>
      <c r="T618" s="738"/>
      <c r="U618" s="738"/>
      <c r="V618" s="738"/>
      <c r="W618" s="738"/>
      <c r="X618" s="817"/>
      <c r="Y618" s="816"/>
      <c r="Z618" s="738"/>
      <c r="AA618" s="738"/>
      <c r="AB618" s="738"/>
      <c r="AC618" s="738"/>
      <c r="AD618" s="817"/>
      <c r="AF618">
        <f>IF(M618="NA",IF(AND(COUNTIF(M619:M624,"="&amp;$AF$361)=0,COUNTIF(M619:M624,"&lt;&gt;NA")&gt;0),1,0),IF(AND(COUNTIF(M619:M624,"="&amp;$AF$361)=0,COUNTIF(M619:M624,"NA")=COUNTIF(M619:M624,"&lt;&gt;"&amp;$AF$361)),1,0))</f>
        <v>0</v>
      </c>
      <c r="AG618">
        <f t="shared" si="65"/>
        <v>0</v>
      </c>
      <c r="AH618">
        <f t="shared" si="66"/>
        <v>0</v>
      </c>
      <c r="AJ618">
        <f t="shared" si="67"/>
        <v>0</v>
      </c>
      <c r="AK618">
        <f t="shared" si="68"/>
        <v>0</v>
      </c>
      <c r="AL618">
        <f t="shared" si="69"/>
        <v>0</v>
      </c>
    </row>
    <row r="619" spans="1:39" ht="24" customHeight="1">
      <c r="A619" s="49"/>
      <c r="B619" s="38"/>
      <c r="C619" s="1109"/>
      <c r="D619" s="954"/>
      <c r="E619" s="956"/>
      <c r="F619" s="1110" t="s">
        <v>4967</v>
      </c>
      <c r="G619" s="1110"/>
      <c r="H619" s="178"/>
      <c r="I619" s="1111" t="s">
        <v>4968</v>
      </c>
      <c r="J619" s="1111"/>
      <c r="K619" s="1111"/>
      <c r="L619" s="1112"/>
      <c r="M619" s="816"/>
      <c r="N619" s="738"/>
      <c r="O619" s="738"/>
      <c r="P619" s="738"/>
      <c r="Q619" s="738"/>
      <c r="R619" s="817"/>
      <c r="S619" s="816"/>
      <c r="T619" s="738"/>
      <c r="U619" s="738"/>
      <c r="V619" s="738"/>
      <c r="W619" s="738"/>
      <c r="X619" s="817"/>
      <c r="Y619" s="816"/>
      <c r="Z619" s="738"/>
      <c r="AA619" s="738"/>
      <c r="AB619" s="738"/>
      <c r="AC619" s="738"/>
      <c r="AD619" s="817"/>
      <c r="AF619"/>
      <c r="AG619">
        <f t="shared" si="65"/>
        <v>0</v>
      </c>
      <c r="AH619">
        <f t="shared" si="66"/>
        <v>0</v>
      </c>
      <c r="AJ619">
        <f t="shared" si="67"/>
        <v>0</v>
      </c>
      <c r="AK619">
        <f t="shared" si="68"/>
        <v>0</v>
      </c>
      <c r="AL619">
        <f t="shared" si="69"/>
        <v>0</v>
      </c>
    </row>
    <row r="620" spans="1:39" ht="48" customHeight="1">
      <c r="A620" s="49"/>
      <c r="B620" s="38"/>
      <c r="C620" s="1109"/>
      <c r="D620" s="954"/>
      <c r="E620" s="956"/>
      <c r="F620" s="1110" t="s">
        <v>4969</v>
      </c>
      <c r="G620" s="1110"/>
      <c r="H620" s="178"/>
      <c r="I620" s="1111" t="s">
        <v>4970</v>
      </c>
      <c r="J620" s="1111"/>
      <c r="K620" s="1111"/>
      <c r="L620" s="1112"/>
      <c r="M620" s="816"/>
      <c r="N620" s="738"/>
      <c r="O620" s="738"/>
      <c r="P620" s="738"/>
      <c r="Q620" s="738"/>
      <c r="R620" s="817"/>
      <c r="S620" s="816"/>
      <c r="T620" s="738"/>
      <c r="U620" s="738"/>
      <c r="V620" s="738"/>
      <c r="W620" s="738"/>
      <c r="X620" s="817"/>
      <c r="Y620" s="816"/>
      <c r="Z620" s="738"/>
      <c r="AA620" s="738"/>
      <c r="AB620" s="738"/>
      <c r="AC620" s="738"/>
      <c r="AD620" s="817"/>
      <c r="AF620"/>
      <c r="AG620">
        <f t="shared" si="65"/>
        <v>0</v>
      </c>
      <c r="AH620">
        <f t="shared" si="66"/>
        <v>0</v>
      </c>
      <c r="AJ620">
        <f t="shared" si="67"/>
        <v>0</v>
      </c>
      <c r="AK620">
        <f t="shared" si="68"/>
        <v>0</v>
      </c>
      <c r="AL620">
        <f t="shared" si="69"/>
        <v>0</v>
      </c>
    </row>
    <row r="621" spans="1:39" ht="24" customHeight="1">
      <c r="A621" s="49"/>
      <c r="B621" s="38"/>
      <c r="C621" s="1109"/>
      <c r="D621" s="954"/>
      <c r="E621" s="956"/>
      <c r="F621" s="1110" t="s">
        <v>4971</v>
      </c>
      <c r="G621" s="1110"/>
      <c r="H621" s="178"/>
      <c r="I621" s="1111" t="s">
        <v>4972</v>
      </c>
      <c r="J621" s="1111"/>
      <c r="K621" s="1111"/>
      <c r="L621" s="1112"/>
      <c r="M621" s="816"/>
      <c r="N621" s="738"/>
      <c r="O621" s="738"/>
      <c r="P621" s="738"/>
      <c r="Q621" s="738"/>
      <c r="R621" s="817"/>
      <c r="S621" s="816"/>
      <c r="T621" s="738"/>
      <c r="U621" s="738"/>
      <c r="V621" s="738"/>
      <c r="W621" s="738"/>
      <c r="X621" s="817"/>
      <c r="Y621" s="816"/>
      <c r="Z621" s="738"/>
      <c r="AA621" s="738"/>
      <c r="AB621" s="738"/>
      <c r="AC621" s="738"/>
      <c r="AD621" s="817"/>
      <c r="AF621"/>
      <c r="AG621">
        <f t="shared" si="65"/>
        <v>0</v>
      </c>
      <c r="AH621">
        <f t="shared" si="66"/>
        <v>0</v>
      </c>
      <c r="AJ621">
        <f t="shared" si="67"/>
        <v>0</v>
      </c>
      <c r="AK621">
        <f t="shared" si="68"/>
        <v>0</v>
      </c>
      <c r="AL621">
        <f t="shared" si="69"/>
        <v>0</v>
      </c>
    </row>
    <row r="622" spans="1:39" ht="24" customHeight="1">
      <c r="A622" s="49"/>
      <c r="B622" s="38"/>
      <c r="C622" s="1109"/>
      <c r="D622" s="954"/>
      <c r="E622" s="956"/>
      <c r="F622" s="1110" t="s">
        <v>4973</v>
      </c>
      <c r="G622" s="1110"/>
      <c r="H622" s="178"/>
      <c r="I622" s="1111" t="s">
        <v>4974</v>
      </c>
      <c r="J622" s="1111"/>
      <c r="K622" s="1111"/>
      <c r="L622" s="1112"/>
      <c r="M622" s="816"/>
      <c r="N622" s="738"/>
      <c r="O622" s="738"/>
      <c r="P622" s="738"/>
      <c r="Q622" s="738"/>
      <c r="R622" s="817"/>
      <c r="S622" s="816"/>
      <c r="T622" s="738"/>
      <c r="U622" s="738"/>
      <c r="V622" s="738"/>
      <c r="W622" s="738"/>
      <c r="X622" s="817"/>
      <c r="Y622" s="816"/>
      <c r="Z622" s="738"/>
      <c r="AA622" s="738"/>
      <c r="AB622" s="738"/>
      <c r="AC622" s="738"/>
      <c r="AD622" s="817"/>
      <c r="AF622"/>
      <c r="AG622">
        <f t="shared" si="65"/>
        <v>0</v>
      </c>
      <c r="AH622">
        <f t="shared" si="66"/>
        <v>0</v>
      </c>
      <c r="AJ622">
        <f t="shared" si="67"/>
        <v>0</v>
      </c>
      <c r="AK622">
        <f t="shared" si="68"/>
        <v>0</v>
      </c>
      <c r="AL622">
        <f t="shared" si="69"/>
        <v>0</v>
      </c>
    </row>
    <row r="623" spans="1:39" ht="72" customHeight="1">
      <c r="A623" s="49"/>
      <c r="B623" s="38"/>
      <c r="C623" s="1109"/>
      <c r="D623" s="954"/>
      <c r="E623" s="956"/>
      <c r="F623" s="1110" t="s">
        <v>4975</v>
      </c>
      <c r="G623" s="1110"/>
      <c r="H623" s="178"/>
      <c r="I623" s="1111" t="s">
        <v>4976</v>
      </c>
      <c r="J623" s="1111"/>
      <c r="K623" s="1111"/>
      <c r="L623" s="1112"/>
      <c r="M623" s="816"/>
      <c r="N623" s="738"/>
      <c r="O623" s="738"/>
      <c r="P623" s="738"/>
      <c r="Q623" s="738"/>
      <c r="R623" s="817"/>
      <c r="S623" s="816"/>
      <c r="T623" s="738"/>
      <c r="U623" s="738"/>
      <c r="V623" s="738"/>
      <c r="W623" s="738"/>
      <c r="X623" s="817"/>
      <c r="Y623" s="816"/>
      <c r="Z623" s="738"/>
      <c r="AA623" s="738"/>
      <c r="AB623" s="738"/>
      <c r="AC623" s="738"/>
      <c r="AD623" s="817"/>
      <c r="AF623"/>
      <c r="AG623">
        <f t="shared" si="65"/>
        <v>0</v>
      </c>
      <c r="AH623">
        <f t="shared" si="66"/>
        <v>0</v>
      </c>
      <c r="AJ623">
        <f t="shared" si="67"/>
        <v>0</v>
      </c>
      <c r="AK623">
        <f t="shared" si="68"/>
        <v>0</v>
      </c>
      <c r="AL623">
        <f t="shared" si="69"/>
        <v>0</v>
      </c>
    </row>
    <row r="624" spans="1:39" ht="15" customHeight="1">
      <c r="A624" s="49"/>
      <c r="B624" s="38"/>
      <c r="C624" s="1109"/>
      <c r="D624" s="954"/>
      <c r="E624" s="956"/>
      <c r="F624" s="1110" t="s">
        <v>4977</v>
      </c>
      <c r="G624" s="1110"/>
      <c r="H624" s="178"/>
      <c r="I624" s="1111" t="s">
        <v>201</v>
      </c>
      <c r="J624" s="1111"/>
      <c r="K624" s="1111"/>
      <c r="L624" s="1112"/>
      <c r="M624" s="816"/>
      <c r="N624" s="738"/>
      <c r="O624" s="738"/>
      <c r="P624" s="738"/>
      <c r="Q624" s="738"/>
      <c r="R624" s="817"/>
      <c r="S624" s="816"/>
      <c r="T624" s="738"/>
      <c r="U624" s="738"/>
      <c r="V624" s="738"/>
      <c r="W624" s="738"/>
      <c r="X624" s="817"/>
      <c r="Y624" s="816"/>
      <c r="Z624" s="738"/>
      <c r="AA624" s="738"/>
      <c r="AB624" s="738"/>
      <c r="AC624" s="738"/>
      <c r="AD624" s="817"/>
      <c r="AF624"/>
      <c r="AG624">
        <f t="shared" si="65"/>
        <v>0</v>
      </c>
      <c r="AH624">
        <f t="shared" si="66"/>
        <v>0</v>
      </c>
      <c r="AJ624">
        <f t="shared" si="67"/>
        <v>0</v>
      </c>
      <c r="AK624">
        <f t="shared" si="68"/>
        <v>0</v>
      </c>
      <c r="AL624">
        <f t="shared" si="69"/>
        <v>0</v>
      </c>
    </row>
    <row r="625" spans="1:38" ht="36" customHeight="1">
      <c r="A625" s="49"/>
      <c r="B625" s="38"/>
      <c r="C625" s="1109"/>
      <c r="D625" s="954"/>
      <c r="E625" s="956"/>
      <c r="F625" s="1103" t="s">
        <v>4978</v>
      </c>
      <c r="G625" s="1103"/>
      <c r="H625" s="1104" t="s">
        <v>4979</v>
      </c>
      <c r="I625" s="1105"/>
      <c r="J625" s="1105"/>
      <c r="K625" s="1105"/>
      <c r="L625" s="1106"/>
      <c r="M625" s="816"/>
      <c r="N625" s="738"/>
      <c r="O625" s="738"/>
      <c r="P625" s="738"/>
      <c r="Q625" s="738"/>
      <c r="R625" s="817"/>
      <c r="S625" s="816"/>
      <c r="T625" s="738"/>
      <c r="U625" s="738"/>
      <c r="V625" s="738"/>
      <c r="W625" s="738"/>
      <c r="X625" s="817"/>
      <c r="Y625" s="816"/>
      <c r="Z625" s="738"/>
      <c r="AA625" s="738"/>
      <c r="AB625" s="738"/>
      <c r="AC625" s="738"/>
      <c r="AD625" s="817"/>
      <c r="AF625">
        <f>IF(M625="NA",IF(AND(COUNTIF(M626:M633,"="&amp;$AF$361)=0,COUNTIF(M626:M633,"&lt;&gt;NA")&gt;0),1,0),IF(AND(COUNTIF(M626:M633,"="&amp;$AF$361)=0,COUNTIF(M626:M633,"NA")=COUNTIF(M626:M633,"&lt;&gt;"&amp;$AF$361)),1,0))</f>
        <v>0</v>
      </c>
      <c r="AG625">
        <f t="shared" si="65"/>
        <v>0</v>
      </c>
      <c r="AH625">
        <f t="shared" si="66"/>
        <v>0</v>
      </c>
      <c r="AJ625">
        <f t="shared" si="67"/>
        <v>0</v>
      </c>
      <c r="AK625">
        <f t="shared" si="68"/>
        <v>0</v>
      </c>
      <c r="AL625">
        <f t="shared" si="69"/>
        <v>0</v>
      </c>
    </row>
    <row r="626" spans="1:38" ht="24" customHeight="1">
      <c r="A626" s="49"/>
      <c r="B626" s="38"/>
      <c r="C626" s="1109"/>
      <c r="D626" s="954"/>
      <c r="E626" s="956"/>
      <c r="F626" s="1110" t="s">
        <v>4980</v>
      </c>
      <c r="G626" s="1110"/>
      <c r="H626" s="178"/>
      <c r="I626" s="1111" t="s">
        <v>4981</v>
      </c>
      <c r="J626" s="1111"/>
      <c r="K626" s="1111"/>
      <c r="L626" s="1112"/>
      <c r="M626" s="816"/>
      <c r="N626" s="738"/>
      <c r="O626" s="738"/>
      <c r="P626" s="738"/>
      <c r="Q626" s="738"/>
      <c r="R626" s="817"/>
      <c r="S626" s="816"/>
      <c r="T626" s="738"/>
      <c r="U626" s="738"/>
      <c r="V626" s="738"/>
      <c r="W626" s="738"/>
      <c r="X626" s="817"/>
      <c r="Y626" s="816"/>
      <c r="Z626" s="738"/>
      <c r="AA626" s="738"/>
      <c r="AB626" s="738"/>
      <c r="AC626" s="738"/>
      <c r="AD626" s="817"/>
      <c r="AF626"/>
      <c r="AG626">
        <f t="shared" si="65"/>
        <v>0</v>
      </c>
      <c r="AH626">
        <f t="shared" si="66"/>
        <v>0</v>
      </c>
      <c r="AJ626">
        <f t="shared" si="67"/>
        <v>0</v>
      </c>
      <c r="AK626">
        <f t="shared" si="68"/>
        <v>0</v>
      </c>
      <c r="AL626">
        <f t="shared" si="69"/>
        <v>0</v>
      </c>
    </row>
    <row r="627" spans="1:38" ht="24" customHeight="1">
      <c r="A627" s="49"/>
      <c r="B627" s="38"/>
      <c r="C627" s="1109"/>
      <c r="D627" s="954"/>
      <c r="E627" s="956"/>
      <c r="F627" s="1110" t="s">
        <v>4982</v>
      </c>
      <c r="G627" s="1110"/>
      <c r="H627" s="178"/>
      <c r="I627" s="1111" t="s">
        <v>4983</v>
      </c>
      <c r="J627" s="1111"/>
      <c r="K627" s="1111"/>
      <c r="L627" s="1112"/>
      <c r="M627" s="816"/>
      <c r="N627" s="738"/>
      <c r="O627" s="738"/>
      <c r="P627" s="738"/>
      <c r="Q627" s="738"/>
      <c r="R627" s="817"/>
      <c r="S627" s="816"/>
      <c r="T627" s="738"/>
      <c r="U627" s="738"/>
      <c r="V627" s="738"/>
      <c r="W627" s="738"/>
      <c r="X627" s="817"/>
      <c r="Y627" s="816"/>
      <c r="Z627" s="738"/>
      <c r="AA627" s="738"/>
      <c r="AB627" s="738"/>
      <c r="AC627" s="738"/>
      <c r="AD627" s="817"/>
      <c r="AF627"/>
      <c r="AG627">
        <f t="shared" si="65"/>
        <v>0</v>
      </c>
      <c r="AH627">
        <f t="shared" si="66"/>
        <v>0</v>
      </c>
      <c r="AJ627">
        <f t="shared" si="67"/>
        <v>0</v>
      </c>
      <c r="AK627">
        <f t="shared" si="68"/>
        <v>0</v>
      </c>
      <c r="AL627">
        <f t="shared" si="69"/>
        <v>0</v>
      </c>
    </row>
    <row r="628" spans="1:38" ht="24" customHeight="1">
      <c r="A628" s="49"/>
      <c r="B628" s="38"/>
      <c r="C628" s="1109"/>
      <c r="D628" s="954"/>
      <c r="E628" s="956"/>
      <c r="F628" s="1110" t="s">
        <v>4984</v>
      </c>
      <c r="G628" s="1110"/>
      <c r="H628" s="178"/>
      <c r="I628" s="1111" t="s">
        <v>4985</v>
      </c>
      <c r="J628" s="1111"/>
      <c r="K628" s="1111"/>
      <c r="L628" s="1112"/>
      <c r="M628" s="816"/>
      <c r="N628" s="738"/>
      <c r="O628" s="738"/>
      <c r="P628" s="738"/>
      <c r="Q628" s="738"/>
      <c r="R628" s="817"/>
      <c r="S628" s="816"/>
      <c r="T628" s="738"/>
      <c r="U628" s="738"/>
      <c r="V628" s="738"/>
      <c r="W628" s="738"/>
      <c r="X628" s="817"/>
      <c r="Y628" s="816"/>
      <c r="Z628" s="738"/>
      <c r="AA628" s="738"/>
      <c r="AB628" s="738"/>
      <c r="AC628" s="738"/>
      <c r="AD628" s="817"/>
      <c r="AF628"/>
      <c r="AG628">
        <f t="shared" si="65"/>
        <v>0</v>
      </c>
      <c r="AH628">
        <f t="shared" si="66"/>
        <v>0</v>
      </c>
      <c r="AJ628">
        <f t="shared" si="67"/>
        <v>0</v>
      </c>
      <c r="AK628">
        <f t="shared" si="68"/>
        <v>0</v>
      </c>
      <c r="AL628">
        <f t="shared" si="69"/>
        <v>0</v>
      </c>
    </row>
    <row r="629" spans="1:38" ht="24" customHeight="1">
      <c r="A629" s="49"/>
      <c r="B629" s="38"/>
      <c r="C629" s="1109"/>
      <c r="D629" s="954"/>
      <c r="E629" s="956"/>
      <c r="F629" s="1110" t="s">
        <v>4986</v>
      </c>
      <c r="G629" s="1110"/>
      <c r="H629" s="178"/>
      <c r="I629" s="1111" t="s">
        <v>4987</v>
      </c>
      <c r="J629" s="1111"/>
      <c r="K629" s="1111"/>
      <c r="L629" s="1112"/>
      <c r="M629" s="816"/>
      <c r="N629" s="738"/>
      <c r="O629" s="738"/>
      <c r="P629" s="738"/>
      <c r="Q629" s="738"/>
      <c r="R629" s="817"/>
      <c r="S629" s="816"/>
      <c r="T629" s="738"/>
      <c r="U629" s="738"/>
      <c r="V629" s="738"/>
      <c r="W629" s="738"/>
      <c r="X629" s="817"/>
      <c r="Y629" s="816"/>
      <c r="Z629" s="738"/>
      <c r="AA629" s="738"/>
      <c r="AB629" s="738"/>
      <c r="AC629" s="738"/>
      <c r="AD629" s="817"/>
      <c r="AF629"/>
      <c r="AG629">
        <f t="shared" si="65"/>
        <v>0</v>
      </c>
      <c r="AH629">
        <f t="shared" si="66"/>
        <v>0</v>
      </c>
      <c r="AJ629">
        <f t="shared" si="67"/>
        <v>0</v>
      </c>
      <c r="AK629">
        <f t="shared" si="68"/>
        <v>0</v>
      </c>
      <c r="AL629">
        <f t="shared" si="69"/>
        <v>0</v>
      </c>
    </row>
    <row r="630" spans="1:38" ht="24" customHeight="1">
      <c r="A630" s="49"/>
      <c r="B630" s="38"/>
      <c r="C630" s="1109"/>
      <c r="D630" s="954"/>
      <c r="E630" s="956"/>
      <c r="F630" s="1110" t="s">
        <v>4988</v>
      </c>
      <c r="G630" s="1110"/>
      <c r="H630" s="178"/>
      <c r="I630" s="1111" t="s">
        <v>4989</v>
      </c>
      <c r="J630" s="1111"/>
      <c r="K630" s="1111"/>
      <c r="L630" s="1112"/>
      <c r="M630" s="816"/>
      <c r="N630" s="738"/>
      <c r="O630" s="738"/>
      <c r="P630" s="738"/>
      <c r="Q630" s="738"/>
      <c r="R630" s="817"/>
      <c r="S630" s="816"/>
      <c r="T630" s="738"/>
      <c r="U630" s="738"/>
      <c r="V630" s="738"/>
      <c r="W630" s="738"/>
      <c r="X630" s="817"/>
      <c r="Y630" s="816"/>
      <c r="Z630" s="738"/>
      <c r="AA630" s="738"/>
      <c r="AB630" s="738"/>
      <c r="AC630" s="738"/>
      <c r="AD630" s="817"/>
      <c r="AF630"/>
      <c r="AG630">
        <f t="shared" si="65"/>
        <v>0</v>
      </c>
      <c r="AH630">
        <f t="shared" si="66"/>
        <v>0</v>
      </c>
      <c r="AJ630">
        <f t="shared" si="67"/>
        <v>0</v>
      </c>
      <c r="AK630">
        <f t="shared" si="68"/>
        <v>0</v>
      </c>
      <c r="AL630">
        <f t="shared" si="69"/>
        <v>0</v>
      </c>
    </row>
    <row r="631" spans="1:38" ht="24" customHeight="1">
      <c r="A631" s="49"/>
      <c r="B631" s="38"/>
      <c r="C631" s="1109"/>
      <c r="D631" s="954"/>
      <c r="E631" s="956"/>
      <c r="F631" s="1110" t="s">
        <v>4990</v>
      </c>
      <c r="G631" s="1110"/>
      <c r="H631" s="178"/>
      <c r="I631" s="1111" t="s">
        <v>4991</v>
      </c>
      <c r="J631" s="1111"/>
      <c r="K631" s="1111"/>
      <c r="L631" s="1112"/>
      <c r="M631" s="816"/>
      <c r="N631" s="738"/>
      <c r="O631" s="738"/>
      <c r="P631" s="738"/>
      <c r="Q631" s="738"/>
      <c r="R631" s="817"/>
      <c r="S631" s="816"/>
      <c r="T631" s="738"/>
      <c r="U631" s="738"/>
      <c r="V631" s="738"/>
      <c r="W631" s="738"/>
      <c r="X631" s="817"/>
      <c r="Y631" s="816"/>
      <c r="Z631" s="738"/>
      <c r="AA631" s="738"/>
      <c r="AB631" s="738"/>
      <c r="AC631" s="738"/>
      <c r="AD631" s="817"/>
      <c r="AF631"/>
      <c r="AG631">
        <f t="shared" si="65"/>
        <v>0</v>
      </c>
      <c r="AH631">
        <f t="shared" si="66"/>
        <v>0</v>
      </c>
      <c r="AJ631">
        <f t="shared" si="67"/>
        <v>0</v>
      </c>
      <c r="AK631">
        <f t="shared" si="68"/>
        <v>0</v>
      </c>
      <c r="AL631">
        <f t="shared" si="69"/>
        <v>0</v>
      </c>
    </row>
    <row r="632" spans="1:38" ht="48" customHeight="1">
      <c r="A632" s="49"/>
      <c r="B632" s="38"/>
      <c r="C632" s="1109"/>
      <c r="D632" s="954"/>
      <c r="E632" s="956"/>
      <c r="F632" s="1110" t="s">
        <v>4992</v>
      </c>
      <c r="G632" s="1110"/>
      <c r="H632" s="178"/>
      <c r="I632" s="1111" t="s">
        <v>4993</v>
      </c>
      <c r="J632" s="1111"/>
      <c r="K632" s="1111"/>
      <c r="L632" s="1112"/>
      <c r="M632" s="816"/>
      <c r="N632" s="738"/>
      <c r="O632" s="738"/>
      <c r="P632" s="738"/>
      <c r="Q632" s="738"/>
      <c r="R632" s="817"/>
      <c r="S632" s="816"/>
      <c r="T632" s="738"/>
      <c r="U632" s="738"/>
      <c r="V632" s="738"/>
      <c r="W632" s="738"/>
      <c r="X632" s="817"/>
      <c r="Y632" s="816"/>
      <c r="Z632" s="738"/>
      <c r="AA632" s="738"/>
      <c r="AB632" s="738"/>
      <c r="AC632" s="738"/>
      <c r="AD632" s="817"/>
      <c r="AF632"/>
      <c r="AG632">
        <f t="shared" si="65"/>
        <v>0</v>
      </c>
      <c r="AH632">
        <f t="shared" si="66"/>
        <v>0</v>
      </c>
      <c r="AJ632">
        <f t="shared" si="67"/>
        <v>0</v>
      </c>
      <c r="AK632">
        <f t="shared" si="68"/>
        <v>0</v>
      </c>
      <c r="AL632">
        <f t="shared" si="69"/>
        <v>0</v>
      </c>
    </row>
    <row r="633" spans="1:38" ht="15" customHeight="1">
      <c r="A633" s="49"/>
      <c r="B633" s="38"/>
      <c r="C633" s="1109"/>
      <c r="D633" s="954"/>
      <c r="E633" s="956"/>
      <c r="F633" s="1110" t="s">
        <v>4994</v>
      </c>
      <c r="G633" s="1110"/>
      <c r="H633" s="178"/>
      <c r="I633" s="1111" t="s">
        <v>201</v>
      </c>
      <c r="J633" s="1111"/>
      <c r="K633" s="1111"/>
      <c r="L633" s="1112"/>
      <c r="M633" s="816"/>
      <c r="N633" s="738"/>
      <c r="O633" s="738"/>
      <c r="P633" s="738"/>
      <c r="Q633" s="738"/>
      <c r="R633" s="817"/>
      <c r="S633" s="816"/>
      <c r="T633" s="738"/>
      <c r="U633" s="738"/>
      <c r="V633" s="738"/>
      <c r="W633" s="738"/>
      <c r="X633" s="817"/>
      <c r="Y633" s="816"/>
      <c r="Z633" s="738"/>
      <c r="AA633" s="738"/>
      <c r="AB633" s="738"/>
      <c r="AC633" s="738"/>
      <c r="AD633" s="817"/>
      <c r="AF633"/>
      <c r="AG633">
        <f t="shared" si="65"/>
        <v>0</v>
      </c>
      <c r="AH633">
        <f t="shared" si="66"/>
        <v>0</v>
      </c>
      <c r="AJ633">
        <f t="shared" si="67"/>
        <v>0</v>
      </c>
      <c r="AK633">
        <f t="shared" si="68"/>
        <v>0</v>
      </c>
      <c r="AL633">
        <f t="shared" si="69"/>
        <v>0</v>
      </c>
    </row>
    <row r="634" spans="1:38" ht="15" customHeight="1">
      <c r="A634" s="49"/>
      <c r="B634" s="38"/>
      <c r="C634" s="1109"/>
      <c r="D634" s="954"/>
      <c r="E634" s="956"/>
      <c r="F634" s="1103" t="s">
        <v>4995</v>
      </c>
      <c r="G634" s="1103"/>
      <c r="H634" s="1104" t="s">
        <v>4996</v>
      </c>
      <c r="I634" s="1105"/>
      <c r="J634" s="1105"/>
      <c r="K634" s="1105"/>
      <c r="L634" s="1106"/>
      <c r="M634" s="816"/>
      <c r="N634" s="738"/>
      <c r="O634" s="738"/>
      <c r="P634" s="738"/>
      <c r="Q634" s="738"/>
      <c r="R634" s="817"/>
      <c r="S634" s="816"/>
      <c r="T634" s="738"/>
      <c r="U634" s="738"/>
      <c r="V634" s="738"/>
      <c r="W634" s="738"/>
      <c r="X634" s="817"/>
      <c r="Y634" s="816"/>
      <c r="Z634" s="738"/>
      <c r="AA634" s="738"/>
      <c r="AB634" s="738"/>
      <c r="AC634" s="738"/>
      <c r="AD634" s="817"/>
      <c r="AF634"/>
      <c r="AG634">
        <f t="shared" si="65"/>
        <v>0</v>
      </c>
      <c r="AH634">
        <f t="shared" si="66"/>
        <v>0</v>
      </c>
      <c r="AJ634">
        <f t="shared" si="67"/>
        <v>0</v>
      </c>
      <c r="AK634">
        <f t="shared" si="68"/>
        <v>0</v>
      </c>
      <c r="AL634">
        <f t="shared" si="69"/>
        <v>0</v>
      </c>
    </row>
    <row r="635" spans="1:38" ht="36" customHeight="1">
      <c r="A635" s="49"/>
      <c r="B635" s="38"/>
      <c r="C635" s="1109"/>
      <c r="D635" s="954"/>
      <c r="E635" s="956"/>
      <c r="F635" s="1103" t="s">
        <v>4997</v>
      </c>
      <c r="G635" s="1103"/>
      <c r="H635" s="1104" t="s">
        <v>4998</v>
      </c>
      <c r="I635" s="1105"/>
      <c r="J635" s="1105"/>
      <c r="K635" s="1105"/>
      <c r="L635" s="1106"/>
      <c r="M635" s="816"/>
      <c r="N635" s="738"/>
      <c r="O635" s="738"/>
      <c r="P635" s="738"/>
      <c r="Q635" s="738"/>
      <c r="R635" s="817"/>
      <c r="S635" s="816"/>
      <c r="T635" s="738"/>
      <c r="U635" s="738"/>
      <c r="V635" s="738"/>
      <c r="W635" s="738"/>
      <c r="X635" s="817"/>
      <c r="Y635" s="816"/>
      <c r="Z635" s="738"/>
      <c r="AA635" s="738"/>
      <c r="AB635" s="738"/>
      <c r="AC635" s="738"/>
      <c r="AD635" s="817"/>
      <c r="AF635"/>
      <c r="AG635">
        <f t="shared" si="65"/>
        <v>0</v>
      </c>
      <c r="AH635">
        <f t="shared" si="66"/>
        <v>0</v>
      </c>
      <c r="AJ635">
        <f t="shared" si="67"/>
        <v>0</v>
      </c>
      <c r="AK635">
        <f t="shared" si="68"/>
        <v>0</v>
      </c>
      <c r="AL635">
        <f t="shared" si="69"/>
        <v>0</v>
      </c>
    </row>
    <row r="636" spans="1:38" ht="24" customHeight="1">
      <c r="A636" s="49"/>
      <c r="B636" s="38"/>
      <c r="C636" s="1109"/>
      <c r="D636" s="954"/>
      <c r="E636" s="956"/>
      <c r="F636" s="1103" t="s">
        <v>4999</v>
      </c>
      <c r="G636" s="1103"/>
      <c r="H636" s="1104" t="s">
        <v>5000</v>
      </c>
      <c r="I636" s="1105"/>
      <c r="J636" s="1105"/>
      <c r="K636" s="1105"/>
      <c r="L636" s="1106"/>
      <c r="M636" s="816"/>
      <c r="N636" s="738"/>
      <c r="O636" s="738"/>
      <c r="P636" s="738"/>
      <c r="Q636" s="738"/>
      <c r="R636" s="817"/>
      <c r="S636" s="816"/>
      <c r="T636" s="738"/>
      <c r="U636" s="738"/>
      <c r="V636" s="738"/>
      <c r="W636" s="738"/>
      <c r="X636" s="817"/>
      <c r="Y636" s="816"/>
      <c r="Z636" s="738"/>
      <c r="AA636" s="738"/>
      <c r="AB636" s="738"/>
      <c r="AC636" s="738"/>
      <c r="AD636" s="817"/>
      <c r="AF636"/>
      <c r="AG636">
        <f t="shared" si="65"/>
        <v>0</v>
      </c>
      <c r="AH636">
        <f t="shared" si="66"/>
        <v>0</v>
      </c>
      <c r="AJ636">
        <f t="shared" si="67"/>
        <v>0</v>
      </c>
      <c r="AK636">
        <f t="shared" si="68"/>
        <v>0</v>
      </c>
      <c r="AL636">
        <f t="shared" si="69"/>
        <v>0</v>
      </c>
    </row>
    <row r="637" spans="1:38" ht="36" customHeight="1">
      <c r="A637" s="49"/>
      <c r="B637" s="38"/>
      <c r="C637" s="1109"/>
      <c r="D637" s="954"/>
      <c r="E637" s="956"/>
      <c r="F637" s="1103" t="s">
        <v>5001</v>
      </c>
      <c r="G637" s="1103"/>
      <c r="H637" s="1104" t="s">
        <v>5002</v>
      </c>
      <c r="I637" s="1105"/>
      <c r="J637" s="1105"/>
      <c r="K637" s="1105"/>
      <c r="L637" s="1106"/>
      <c r="M637" s="816"/>
      <c r="N637" s="738"/>
      <c r="O637" s="738"/>
      <c r="P637" s="738"/>
      <c r="Q637" s="738"/>
      <c r="R637" s="817"/>
      <c r="S637" s="816"/>
      <c r="T637" s="738"/>
      <c r="U637" s="738"/>
      <c r="V637" s="738"/>
      <c r="W637" s="738"/>
      <c r="X637" s="817"/>
      <c r="Y637" s="816"/>
      <c r="Z637" s="738"/>
      <c r="AA637" s="738"/>
      <c r="AB637" s="738"/>
      <c r="AC637" s="738"/>
      <c r="AD637" s="817"/>
      <c r="AF637">
        <f>IF(M637="NA",IF(AND(COUNTIF(M638:M643,"="&amp;$AF$361)=0,COUNTIF(M638:M643,"&lt;&gt;NA")&gt;0),1,0),IF(AND(COUNTIF(M638:M643,"="&amp;$AF$361)=0,COUNTIF(M638:M643,"NA")=COUNTIF(M638:M643,"&lt;&gt;"&amp;$AF$361)),1,0))</f>
        <v>0</v>
      </c>
      <c r="AG637">
        <f t="shared" si="65"/>
        <v>0</v>
      </c>
      <c r="AH637">
        <f t="shared" si="66"/>
        <v>0</v>
      </c>
      <c r="AJ637">
        <f t="shared" si="67"/>
        <v>0</v>
      </c>
      <c r="AK637">
        <f t="shared" si="68"/>
        <v>0</v>
      </c>
      <c r="AL637">
        <f t="shared" si="69"/>
        <v>0</v>
      </c>
    </row>
    <row r="638" spans="1:38" ht="24" customHeight="1">
      <c r="A638" s="49"/>
      <c r="B638" s="38"/>
      <c r="C638" s="1109"/>
      <c r="D638" s="954"/>
      <c r="E638" s="956"/>
      <c r="F638" s="1110" t="s">
        <v>5003</v>
      </c>
      <c r="G638" s="1110"/>
      <c r="H638" s="178"/>
      <c r="I638" s="1111" t="s">
        <v>5004</v>
      </c>
      <c r="J638" s="1111"/>
      <c r="K638" s="1111"/>
      <c r="L638" s="1112"/>
      <c r="M638" s="816"/>
      <c r="N638" s="738"/>
      <c r="O638" s="738"/>
      <c r="P638" s="738"/>
      <c r="Q638" s="738"/>
      <c r="R638" s="817"/>
      <c r="S638" s="816"/>
      <c r="T638" s="738"/>
      <c r="U638" s="738"/>
      <c r="V638" s="738"/>
      <c r="W638" s="738"/>
      <c r="X638" s="817"/>
      <c r="Y638" s="816"/>
      <c r="Z638" s="738"/>
      <c r="AA638" s="738"/>
      <c r="AB638" s="738"/>
      <c r="AC638" s="738"/>
      <c r="AD638" s="817"/>
      <c r="AF638"/>
      <c r="AG638">
        <f t="shared" si="65"/>
        <v>0</v>
      </c>
      <c r="AH638">
        <f t="shared" si="66"/>
        <v>0</v>
      </c>
      <c r="AJ638">
        <f t="shared" si="67"/>
        <v>0</v>
      </c>
      <c r="AK638">
        <f t="shared" si="68"/>
        <v>0</v>
      </c>
      <c r="AL638">
        <f t="shared" si="69"/>
        <v>0</v>
      </c>
    </row>
    <row r="639" spans="1:38" ht="36" customHeight="1">
      <c r="A639" s="49"/>
      <c r="B639" s="38"/>
      <c r="C639" s="1109"/>
      <c r="D639" s="954"/>
      <c r="E639" s="956"/>
      <c r="F639" s="1110" t="s">
        <v>5005</v>
      </c>
      <c r="G639" s="1110"/>
      <c r="H639" s="178"/>
      <c r="I639" s="1111" t="s">
        <v>5006</v>
      </c>
      <c r="J639" s="1111"/>
      <c r="K639" s="1111"/>
      <c r="L639" s="1112"/>
      <c r="M639" s="816"/>
      <c r="N639" s="738"/>
      <c r="O639" s="738"/>
      <c r="P639" s="738"/>
      <c r="Q639" s="738"/>
      <c r="R639" s="817"/>
      <c r="S639" s="816"/>
      <c r="T639" s="738"/>
      <c r="U639" s="738"/>
      <c r="V639" s="738"/>
      <c r="W639" s="738"/>
      <c r="X639" s="817"/>
      <c r="Y639" s="816"/>
      <c r="Z639" s="738"/>
      <c r="AA639" s="738"/>
      <c r="AB639" s="738"/>
      <c r="AC639" s="738"/>
      <c r="AD639" s="817"/>
      <c r="AF639"/>
      <c r="AG639">
        <f t="shared" si="65"/>
        <v>0</v>
      </c>
      <c r="AH639">
        <f t="shared" si="66"/>
        <v>0</v>
      </c>
      <c r="AJ639">
        <f t="shared" si="67"/>
        <v>0</v>
      </c>
      <c r="AK639">
        <f t="shared" si="68"/>
        <v>0</v>
      </c>
      <c r="AL639">
        <f t="shared" si="69"/>
        <v>0</v>
      </c>
    </row>
    <row r="640" spans="1:38" ht="24" customHeight="1">
      <c r="A640" s="49"/>
      <c r="B640" s="38"/>
      <c r="C640" s="1109"/>
      <c r="D640" s="954"/>
      <c r="E640" s="956"/>
      <c r="F640" s="1110" t="s">
        <v>5007</v>
      </c>
      <c r="G640" s="1110"/>
      <c r="H640" s="178"/>
      <c r="I640" s="1111" t="s">
        <v>5008</v>
      </c>
      <c r="J640" s="1111"/>
      <c r="K640" s="1111"/>
      <c r="L640" s="1112"/>
      <c r="M640" s="816"/>
      <c r="N640" s="738"/>
      <c r="O640" s="738"/>
      <c r="P640" s="738"/>
      <c r="Q640" s="738"/>
      <c r="R640" s="817"/>
      <c r="S640" s="816"/>
      <c r="T640" s="738"/>
      <c r="U640" s="738"/>
      <c r="V640" s="738"/>
      <c r="W640" s="738"/>
      <c r="X640" s="817"/>
      <c r="Y640" s="816"/>
      <c r="Z640" s="738"/>
      <c r="AA640" s="738"/>
      <c r="AB640" s="738"/>
      <c r="AC640" s="738"/>
      <c r="AD640" s="817"/>
      <c r="AF640"/>
      <c r="AG640">
        <f t="shared" si="65"/>
        <v>0</v>
      </c>
      <c r="AH640">
        <f t="shared" si="66"/>
        <v>0</v>
      </c>
      <c r="AJ640">
        <f t="shared" si="67"/>
        <v>0</v>
      </c>
      <c r="AK640">
        <f t="shared" si="68"/>
        <v>0</v>
      </c>
      <c r="AL640">
        <f t="shared" si="69"/>
        <v>0</v>
      </c>
    </row>
    <row r="641" spans="1:39" ht="48" customHeight="1">
      <c r="A641" s="49"/>
      <c r="B641" s="38"/>
      <c r="C641" s="1109"/>
      <c r="D641" s="954"/>
      <c r="E641" s="956"/>
      <c r="F641" s="1110" t="s">
        <v>5009</v>
      </c>
      <c r="G641" s="1110"/>
      <c r="H641" s="178"/>
      <c r="I641" s="1111" t="s">
        <v>5010</v>
      </c>
      <c r="J641" s="1111"/>
      <c r="K641" s="1111"/>
      <c r="L641" s="1112"/>
      <c r="M641" s="816"/>
      <c r="N641" s="738"/>
      <c r="O641" s="738"/>
      <c r="P641" s="738"/>
      <c r="Q641" s="738"/>
      <c r="R641" s="817"/>
      <c r="S641" s="816"/>
      <c r="T641" s="738"/>
      <c r="U641" s="738"/>
      <c r="V641" s="738"/>
      <c r="W641" s="738"/>
      <c r="X641" s="817"/>
      <c r="Y641" s="816"/>
      <c r="Z641" s="738"/>
      <c r="AA641" s="738"/>
      <c r="AB641" s="738"/>
      <c r="AC641" s="738"/>
      <c r="AD641" s="817"/>
      <c r="AF641"/>
      <c r="AG641">
        <f t="shared" si="65"/>
        <v>0</v>
      </c>
      <c r="AH641">
        <f t="shared" si="66"/>
        <v>0</v>
      </c>
      <c r="AJ641">
        <f t="shared" si="67"/>
        <v>0</v>
      </c>
      <c r="AK641">
        <f t="shared" si="68"/>
        <v>0</v>
      </c>
      <c r="AL641">
        <f t="shared" si="69"/>
        <v>0</v>
      </c>
    </row>
    <row r="642" spans="1:39" ht="60" customHeight="1">
      <c r="A642" s="49"/>
      <c r="B642" s="38"/>
      <c r="C642" s="1109"/>
      <c r="D642" s="954"/>
      <c r="E642" s="956"/>
      <c r="F642" s="1110" t="s">
        <v>5011</v>
      </c>
      <c r="G642" s="1110"/>
      <c r="H642" s="178"/>
      <c r="I642" s="1111" t="s">
        <v>5012</v>
      </c>
      <c r="J642" s="1111"/>
      <c r="K642" s="1111"/>
      <c r="L642" s="1112"/>
      <c r="M642" s="816"/>
      <c r="N642" s="738"/>
      <c r="O642" s="738"/>
      <c r="P642" s="738"/>
      <c r="Q642" s="738"/>
      <c r="R642" s="817"/>
      <c r="S642" s="816"/>
      <c r="T642" s="738"/>
      <c r="U642" s="738"/>
      <c r="V642" s="738"/>
      <c r="W642" s="738"/>
      <c r="X642" s="817"/>
      <c r="Y642" s="816"/>
      <c r="Z642" s="738"/>
      <c r="AA642" s="738"/>
      <c r="AB642" s="738"/>
      <c r="AC642" s="738"/>
      <c r="AD642" s="817"/>
      <c r="AF642"/>
      <c r="AG642">
        <f t="shared" si="65"/>
        <v>0</v>
      </c>
      <c r="AH642">
        <f t="shared" si="66"/>
        <v>0</v>
      </c>
      <c r="AJ642">
        <f t="shared" si="67"/>
        <v>0</v>
      </c>
      <c r="AK642">
        <f t="shared" si="68"/>
        <v>0</v>
      </c>
      <c r="AL642">
        <f t="shared" si="69"/>
        <v>0</v>
      </c>
    </row>
    <row r="643" spans="1:39" ht="15" customHeight="1">
      <c r="A643" s="49"/>
      <c r="B643" s="38"/>
      <c r="C643" s="1109"/>
      <c r="D643" s="954"/>
      <c r="E643" s="956"/>
      <c r="F643" s="1110" t="s">
        <v>5418</v>
      </c>
      <c r="G643" s="1110"/>
      <c r="H643" s="178"/>
      <c r="I643" s="1111" t="s">
        <v>201</v>
      </c>
      <c r="J643" s="1111"/>
      <c r="K643" s="1111"/>
      <c r="L643" s="1112"/>
      <c r="M643" s="816"/>
      <c r="N643" s="738"/>
      <c r="O643" s="738"/>
      <c r="P643" s="738"/>
      <c r="Q643" s="738"/>
      <c r="R643" s="817"/>
      <c r="S643" s="816"/>
      <c r="T643" s="738"/>
      <c r="U643" s="738"/>
      <c r="V643" s="738"/>
      <c r="W643" s="738"/>
      <c r="X643" s="817"/>
      <c r="Y643" s="816"/>
      <c r="Z643" s="738"/>
      <c r="AA643" s="738"/>
      <c r="AB643" s="738"/>
      <c r="AC643" s="738"/>
      <c r="AD643" s="817"/>
      <c r="AF643"/>
      <c r="AG643">
        <f t="shared" si="65"/>
        <v>0</v>
      </c>
      <c r="AH643">
        <f t="shared" si="66"/>
        <v>0</v>
      </c>
      <c r="AJ643">
        <f t="shared" si="67"/>
        <v>0</v>
      </c>
      <c r="AK643">
        <f t="shared" si="68"/>
        <v>0</v>
      </c>
      <c r="AL643">
        <f t="shared" si="69"/>
        <v>0</v>
      </c>
    </row>
    <row r="644" spans="1:39" ht="15" customHeight="1">
      <c r="A644" s="49"/>
      <c r="B644" s="38"/>
      <c r="C644" s="1109"/>
      <c r="D644" s="954"/>
      <c r="E644" s="956"/>
      <c r="F644" s="1103" t="s">
        <v>5014</v>
      </c>
      <c r="G644" s="1103"/>
      <c r="H644" s="1104" t="s">
        <v>5015</v>
      </c>
      <c r="I644" s="1105"/>
      <c r="J644" s="1105"/>
      <c r="K644" s="1105"/>
      <c r="L644" s="1106"/>
      <c r="M644" s="816"/>
      <c r="N644" s="738"/>
      <c r="O644" s="738"/>
      <c r="P644" s="738"/>
      <c r="Q644" s="738"/>
      <c r="R644" s="817"/>
      <c r="S644" s="816"/>
      <c r="T644" s="738"/>
      <c r="U644" s="738"/>
      <c r="V644" s="738"/>
      <c r="W644" s="738"/>
      <c r="X644" s="817"/>
      <c r="Y644" s="816"/>
      <c r="Z644" s="738"/>
      <c r="AA644" s="738"/>
      <c r="AB644" s="738"/>
      <c r="AC644" s="738"/>
      <c r="AD644" s="817"/>
      <c r="AF644"/>
      <c r="AG644">
        <f t="shared" si="65"/>
        <v>0</v>
      </c>
      <c r="AH644">
        <f t="shared" si="66"/>
        <v>0</v>
      </c>
      <c r="AJ644">
        <f t="shared" si="67"/>
        <v>0</v>
      </c>
      <c r="AK644">
        <f t="shared" si="68"/>
        <v>0</v>
      </c>
      <c r="AL644">
        <f t="shared" si="69"/>
        <v>0</v>
      </c>
    </row>
    <row r="645" spans="1:39" ht="15" customHeight="1">
      <c r="A645" s="49"/>
      <c r="B645" s="38"/>
      <c r="C645" s="1109"/>
      <c r="D645" s="954"/>
      <c r="E645" s="956"/>
      <c r="F645" s="1103" t="s">
        <v>5016</v>
      </c>
      <c r="G645" s="1103"/>
      <c r="H645" s="1104" t="s">
        <v>5017</v>
      </c>
      <c r="I645" s="1105"/>
      <c r="J645" s="1105"/>
      <c r="K645" s="1105"/>
      <c r="L645" s="1106"/>
      <c r="M645" s="816"/>
      <c r="N645" s="738"/>
      <c r="O645" s="738"/>
      <c r="P645" s="738"/>
      <c r="Q645" s="738"/>
      <c r="R645" s="817"/>
      <c r="S645" s="816"/>
      <c r="T645" s="738"/>
      <c r="U645" s="738"/>
      <c r="V645" s="738"/>
      <c r="W645" s="738"/>
      <c r="X645" s="817"/>
      <c r="Y645" s="816"/>
      <c r="Z645" s="738"/>
      <c r="AA645" s="738"/>
      <c r="AB645" s="738"/>
      <c r="AC645" s="738"/>
      <c r="AD645" s="817"/>
      <c r="AF645"/>
      <c r="AG645">
        <f t="shared" si="65"/>
        <v>0</v>
      </c>
      <c r="AH645">
        <f t="shared" si="66"/>
        <v>0</v>
      </c>
      <c r="AJ645">
        <f t="shared" si="67"/>
        <v>0</v>
      </c>
      <c r="AK645">
        <f t="shared" si="68"/>
        <v>0</v>
      </c>
      <c r="AL645">
        <f t="shared" si="69"/>
        <v>0</v>
      </c>
    </row>
    <row r="646" spans="1:39" ht="36" customHeight="1">
      <c r="A646" s="49"/>
      <c r="B646" s="38"/>
      <c r="C646" s="1109"/>
      <c r="D646" s="954"/>
      <c r="E646" s="956"/>
      <c r="F646" s="1103" t="s">
        <v>5018</v>
      </c>
      <c r="G646" s="1103"/>
      <c r="H646" s="1104" t="s">
        <v>5019</v>
      </c>
      <c r="I646" s="1105"/>
      <c r="J646" s="1105"/>
      <c r="K646" s="1105"/>
      <c r="L646" s="1106"/>
      <c r="M646" s="816"/>
      <c r="N646" s="738"/>
      <c r="O646" s="738"/>
      <c r="P646" s="738"/>
      <c r="Q646" s="738"/>
      <c r="R646" s="817"/>
      <c r="S646" s="816"/>
      <c r="T646" s="738"/>
      <c r="U646" s="738"/>
      <c r="V646" s="738"/>
      <c r="W646" s="738"/>
      <c r="X646" s="817"/>
      <c r="Y646" s="816"/>
      <c r="Z646" s="738"/>
      <c r="AA646" s="738"/>
      <c r="AB646" s="738"/>
      <c r="AC646" s="738"/>
      <c r="AD646" s="817"/>
      <c r="AF646"/>
      <c r="AG646">
        <f t="shared" si="65"/>
        <v>0</v>
      </c>
      <c r="AH646">
        <f t="shared" si="66"/>
        <v>0</v>
      </c>
      <c r="AJ646">
        <f t="shared" si="67"/>
        <v>0</v>
      </c>
      <c r="AK646">
        <f t="shared" si="68"/>
        <v>0</v>
      </c>
      <c r="AL646">
        <f t="shared" si="69"/>
        <v>0</v>
      </c>
      <c r="AM646">
        <f>IF(OR(M646="NS",M646="NA",$M$335=0,$M$335="NS",$M$335="NA"),0,IF((M646*(IFERROR(100/SUM(M618:M646),0)))&gt;25,1,0))</f>
        <v>0</v>
      </c>
    </row>
    <row r="647" spans="1:39" ht="24" customHeight="1">
      <c r="A647" s="49"/>
      <c r="B647" s="38"/>
      <c r="C647" s="732" t="s">
        <v>5020</v>
      </c>
      <c r="D647" s="847" t="s">
        <v>5021</v>
      </c>
      <c r="E647" s="848"/>
      <c r="F647" s="1103" t="s">
        <v>5022</v>
      </c>
      <c r="G647" s="1103"/>
      <c r="H647" s="1104" t="s">
        <v>5023</v>
      </c>
      <c r="I647" s="1105"/>
      <c r="J647" s="1105"/>
      <c r="K647" s="1105"/>
      <c r="L647" s="1106"/>
      <c r="M647" s="816"/>
      <c r="N647" s="738"/>
      <c r="O647" s="738"/>
      <c r="P647" s="738"/>
      <c r="Q647" s="738"/>
      <c r="R647" s="817"/>
      <c r="S647" s="816"/>
      <c r="T647" s="738"/>
      <c r="U647" s="738"/>
      <c r="V647" s="738"/>
      <c r="W647" s="738"/>
      <c r="X647" s="817"/>
      <c r="Y647" s="816"/>
      <c r="Z647" s="738"/>
      <c r="AA647" s="738"/>
      <c r="AB647" s="738"/>
      <c r="AC647" s="738"/>
      <c r="AD647" s="817"/>
      <c r="AF647">
        <f>IF(M647="NA",IF(AND(COUNTIF(M648:M656,"="&amp;$AF$361)=0,COUNTIF(M648:M656,"&lt;&gt;NA")&gt;0),1,0),IF(AND(COUNTIF(M648:M656,"="&amp;$AF$361)=0,COUNTIF(M648:M656,"NA")=COUNTIF(M648:M656,"&lt;&gt;"&amp;$AF$361)),1,0))</f>
        <v>0</v>
      </c>
      <c r="AG647">
        <f t="shared" si="65"/>
        <v>0</v>
      </c>
      <c r="AH647">
        <f t="shared" si="66"/>
        <v>0</v>
      </c>
      <c r="AJ647">
        <f t="shared" si="67"/>
        <v>0</v>
      </c>
      <c r="AK647">
        <f t="shared" si="68"/>
        <v>0</v>
      </c>
      <c r="AL647">
        <f t="shared" si="69"/>
        <v>0</v>
      </c>
    </row>
    <row r="648" spans="1:39" ht="24" customHeight="1">
      <c r="A648" s="49"/>
      <c r="B648" s="38"/>
      <c r="C648" s="732"/>
      <c r="D648" s="954"/>
      <c r="E648" s="956"/>
      <c r="F648" s="1110" t="s">
        <v>5024</v>
      </c>
      <c r="G648" s="1110"/>
      <c r="H648" s="178"/>
      <c r="I648" s="1111" t="s">
        <v>5025</v>
      </c>
      <c r="J648" s="1111"/>
      <c r="K648" s="1111"/>
      <c r="L648" s="1112"/>
      <c r="M648" s="816"/>
      <c r="N648" s="738"/>
      <c r="O648" s="738"/>
      <c r="P648" s="738"/>
      <c r="Q648" s="738"/>
      <c r="R648" s="817"/>
      <c r="S648" s="816"/>
      <c r="T648" s="738"/>
      <c r="U648" s="738"/>
      <c r="V648" s="738"/>
      <c r="W648" s="738"/>
      <c r="X648" s="817"/>
      <c r="Y648" s="816"/>
      <c r="Z648" s="738"/>
      <c r="AA648" s="738"/>
      <c r="AB648" s="738"/>
      <c r="AC648" s="738"/>
      <c r="AD648" s="817"/>
      <c r="AF648"/>
      <c r="AG648">
        <f t="shared" si="65"/>
        <v>0</v>
      </c>
      <c r="AH648">
        <f t="shared" si="66"/>
        <v>0</v>
      </c>
      <c r="AJ648">
        <f t="shared" si="67"/>
        <v>0</v>
      </c>
      <c r="AK648">
        <f t="shared" si="68"/>
        <v>0</v>
      </c>
      <c r="AL648">
        <f t="shared" si="69"/>
        <v>0</v>
      </c>
    </row>
    <row r="649" spans="1:39" ht="15" customHeight="1">
      <c r="A649" s="49"/>
      <c r="B649" s="38"/>
      <c r="C649" s="732"/>
      <c r="D649" s="954"/>
      <c r="E649" s="956"/>
      <c r="F649" s="1110" t="s">
        <v>5026</v>
      </c>
      <c r="G649" s="1110"/>
      <c r="H649" s="178"/>
      <c r="I649" s="1111" t="s">
        <v>5027</v>
      </c>
      <c r="J649" s="1111"/>
      <c r="K649" s="1111"/>
      <c r="L649" s="1112"/>
      <c r="M649" s="816"/>
      <c r="N649" s="738"/>
      <c r="O649" s="738"/>
      <c r="P649" s="738"/>
      <c r="Q649" s="738"/>
      <c r="R649" s="817"/>
      <c r="S649" s="816"/>
      <c r="T649" s="738"/>
      <c r="U649" s="738"/>
      <c r="V649" s="738"/>
      <c r="W649" s="738"/>
      <c r="X649" s="817"/>
      <c r="Y649" s="816"/>
      <c r="Z649" s="738"/>
      <c r="AA649" s="738"/>
      <c r="AB649" s="738"/>
      <c r="AC649" s="738"/>
      <c r="AD649" s="817"/>
      <c r="AF649"/>
      <c r="AG649">
        <f t="shared" si="65"/>
        <v>0</v>
      </c>
      <c r="AH649">
        <f t="shared" si="66"/>
        <v>0</v>
      </c>
      <c r="AJ649">
        <f t="shared" si="67"/>
        <v>0</v>
      </c>
      <c r="AK649">
        <f t="shared" si="68"/>
        <v>0</v>
      </c>
      <c r="AL649">
        <f t="shared" si="69"/>
        <v>0</v>
      </c>
    </row>
    <row r="650" spans="1:39" ht="15" customHeight="1">
      <c r="A650" s="49"/>
      <c r="B650" s="38"/>
      <c r="C650" s="732"/>
      <c r="D650" s="954"/>
      <c r="E650" s="956"/>
      <c r="F650" s="1110" t="s">
        <v>5028</v>
      </c>
      <c r="G650" s="1110"/>
      <c r="H650" s="178"/>
      <c r="I650" s="1111" t="s">
        <v>5029</v>
      </c>
      <c r="J650" s="1111"/>
      <c r="K650" s="1111"/>
      <c r="L650" s="1112"/>
      <c r="M650" s="816"/>
      <c r="N650" s="738"/>
      <c r="O650" s="738"/>
      <c r="P650" s="738"/>
      <c r="Q650" s="738"/>
      <c r="R650" s="817"/>
      <c r="S650" s="816"/>
      <c r="T650" s="738"/>
      <c r="U650" s="738"/>
      <c r="V650" s="738"/>
      <c r="W650" s="738"/>
      <c r="X650" s="817"/>
      <c r="Y650" s="816"/>
      <c r="Z650" s="738"/>
      <c r="AA650" s="738"/>
      <c r="AB650" s="738"/>
      <c r="AC650" s="738"/>
      <c r="AD650" s="817"/>
      <c r="AF650"/>
      <c r="AG650">
        <f t="shared" si="65"/>
        <v>0</v>
      </c>
      <c r="AH650">
        <f t="shared" si="66"/>
        <v>0</v>
      </c>
      <c r="AJ650">
        <f t="shared" si="67"/>
        <v>0</v>
      </c>
      <c r="AK650">
        <f t="shared" si="68"/>
        <v>0</v>
      </c>
      <c r="AL650">
        <f t="shared" si="69"/>
        <v>0</v>
      </c>
    </row>
    <row r="651" spans="1:39" ht="15" customHeight="1">
      <c r="A651" s="49"/>
      <c r="B651" s="38"/>
      <c r="C651" s="732"/>
      <c r="D651" s="954"/>
      <c r="E651" s="956"/>
      <c r="F651" s="1110" t="s">
        <v>5030</v>
      </c>
      <c r="G651" s="1110"/>
      <c r="H651" s="178"/>
      <c r="I651" s="1111" t="s">
        <v>5031</v>
      </c>
      <c r="J651" s="1111"/>
      <c r="K651" s="1111"/>
      <c r="L651" s="1112"/>
      <c r="M651" s="816"/>
      <c r="N651" s="738"/>
      <c r="O651" s="738"/>
      <c r="P651" s="738"/>
      <c r="Q651" s="738"/>
      <c r="R651" s="817"/>
      <c r="S651" s="816"/>
      <c r="T651" s="738"/>
      <c r="U651" s="738"/>
      <c r="V651" s="738"/>
      <c r="W651" s="738"/>
      <c r="X651" s="817"/>
      <c r="Y651" s="816"/>
      <c r="Z651" s="738"/>
      <c r="AA651" s="738"/>
      <c r="AB651" s="738"/>
      <c r="AC651" s="738"/>
      <c r="AD651" s="817"/>
      <c r="AF651"/>
      <c r="AG651">
        <f t="shared" si="65"/>
        <v>0</v>
      </c>
      <c r="AH651">
        <f t="shared" si="66"/>
        <v>0</v>
      </c>
      <c r="AJ651">
        <f t="shared" si="67"/>
        <v>0</v>
      </c>
      <c r="AK651">
        <f t="shared" si="68"/>
        <v>0</v>
      </c>
      <c r="AL651">
        <f t="shared" si="69"/>
        <v>0</v>
      </c>
    </row>
    <row r="652" spans="1:39" ht="24" customHeight="1">
      <c r="A652" s="49"/>
      <c r="B652" s="38"/>
      <c r="C652" s="732"/>
      <c r="D652" s="954"/>
      <c r="E652" s="956"/>
      <c r="F652" s="1110" t="s">
        <v>5032</v>
      </c>
      <c r="G652" s="1110"/>
      <c r="H652" s="178"/>
      <c r="I652" s="1111" t="s">
        <v>5033</v>
      </c>
      <c r="J652" s="1111"/>
      <c r="K652" s="1111"/>
      <c r="L652" s="1112"/>
      <c r="M652" s="816"/>
      <c r="N652" s="738"/>
      <c r="O652" s="738"/>
      <c r="P652" s="738"/>
      <c r="Q652" s="738"/>
      <c r="R652" s="817"/>
      <c r="S652" s="816"/>
      <c r="T652" s="738"/>
      <c r="U652" s="738"/>
      <c r="V652" s="738"/>
      <c r="W652" s="738"/>
      <c r="X652" s="817"/>
      <c r="Y652" s="816"/>
      <c r="Z652" s="738"/>
      <c r="AA652" s="738"/>
      <c r="AB652" s="738"/>
      <c r="AC652" s="738"/>
      <c r="AD652" s="817"/>
      <c r="AF652"/>
      <c r="AG652">
        <f t="shared" si="65"/>
        <v>0</v>
      </c>
      <c r="AH652">
        <f t="shared" si="66"/>
        <v>0</v>
      </c>
      <c r="AJ652">
        <f t="shared" si="67"/>
        <v>0</v>
      </c>
      <c r="AK652">
        <f t="shared" si="68"/>
        <v>0</v>
      </c>
      <c r="AL652">
        <f t="shared" si="69"/>
        <v>0</v>
      </c>
    </row>
    <row r="653" spans="1:39" ht="24" customHeight="1">
      <c r="A653" s="49"/>
      <c r="B653" s="38"/>
      <c r="C653" s="732"/>
      <c r="D653" s="954"/>
      <c r="E653" s="956"/>
      <c r="F653" s="1110" t="s">
        <v>5034</v>
      </c>
      <c r="G653" s="1110"/>
      <c r="H653" s="178"/>
      <c r="I653" s="1111" t="s">
        <v>5035</v>
      </c>
      <c r="J653" s="1111"/>
      <c r="K653" s="1111"/>
      <c r="L653" s="1112"/>
      <c r="M653" s="816"/>
      <c r="N653" s="738"/>
      <c r="O653" s="738"/>
      <c r="P653" s="738"/>
      <c r="Q653" s="738"/>
      <c r="R653" s="817"/>
      <c r="S653" s="816"/>
      <c r="T653" s="738"/>
      <c r="U653" s="738"/>
      <c r="V653" s="738"/>
      <c r="W653" s="738"/>
      <c r="X653" s="817"/>
      <c r="Y653" s="816"/>
      <c r="Z653" s="738"/>
      <c r="AA653" s="738"/>
      <c r="AB653" s="738"/>
      <c r="AC653" s="738"/>
      <c r="AD653" s="817"/>
      <c r="AF653"/>
      <c r="AG653">
        <f t="shared" si="65"/>
        <v>0</v>
      </c>
      <c r="AH653">
        <f t="shared" si="66"/>
        <v>0</v>
      </c>
      <c r="AJ653">
        <f t="shared" si="67"/>
        <v>0</v>
      </c>
      <c r="AK653">
        <f t="shared" si="68"/>
        <v>0</v>
      </c>
      <c r="AL653">
        <f t="shared" si="69"/>
        <v>0</v>
      </c>
    </row>
    <row r="654" spans="1:39" ht="24" customHeight="1">
      <c r="A654" s="49"/>
      <c r="B654" s="38"/>
      <c r="C654" s="732"/>
      <c r="D654" s="954"/>
      <c r="E654" s="956"/>
      <c r="F654" s="1110" t="s">
        <v>5036</v>
      </c>
      <c r="G654" s="1110"/>
      <c r="H654" s="178"/>
      <c r="I654" s="1111" t="s">
        <v>5037</v>
      </c>
      <c r="J654" s="1111"/>
      <c r="K654" s="1111"/>
      <c r="L654" s="1112"/>
      <c r="M654" s="816"/>
      <c r="N654" s="738"/>
      <c r="O654" s="738"/>
      <c r="P654" s="738"/>
      <c r="Q654" s="738"/>
      <c r="R654" s="817"/>
      <c r="S654" s="816"/>
      <c r="T654" s="738"/>
      <c r="U654" s="738"/>
      <c r="V654" s="738"/>
      <c r="W654" s="738"/>
      <c r="X654" s="817"/>
      <c r="Y654" s="816"/>
      <c r="Z654" s="738"/>
      <c r="AA654" s="738"/>
      <c r="AB654" s="738"/>
      <c r="AC654" s="738"/>
      <c r="AD654" s="817"/>
      <c r="AF654"/>
      <c r="AG654">
        <f t="shared" si="65"/>
        <v>0</v>
      </c>
      <c r="AH654">
        <f t="shared" si="66"/>
        <v>0</v>
      </c>
      <c r="AJ654">
        <f t="shared" si="67"/>
        <v>0</v>
      </c>
      <c r="AK654">
        <f t="shared" si="68"/>
        <v>0</v>
      </c>
      <c r="AL654">
        <f t="shared" si="69"/>
        <v>0</v>
      </c>
    </row>
    <row r="655" spans="1:39" ht="36" customHeight="1">
      <c r="A655" s="49"/>
      <c r="B655" s="38"/>
      <c r="C655" s="732"/>
      <c r="D655" s="954"/>
      <c r="E655" s="956"/>
      <c r="F655" s="1110" t="s">
        <v>5038</v>
      </c>
      <c r="G655" s="1110"/>
      <c r="H655" s="178"/>
      <c r="I655" s="1111" t="s">
        <v>5039</v>
      </c>
      <c r="J655" s="1111"/>
      <c r="K655" s="1111"/>
      <c r="L655" s="1112"/>
      <c r="M655" s="816"/>
      <c r="N655" s="738"/>
      <c r="O655" s="738"/>
      <c r="P655" s="738"/>
      <c r="Q655" s="738"/>
      <c r="R655" s="817"/>
      <c r="S655" s="816"/>
      <c r="T655" s="738"/>
      <c r="U655" s="738"/>
      <c r="V655" s="738"/>
      <c r="W655" s="738"/>
      <c r="X655" s="817"/>
      <c r="Y655" s="816"/>
      <c r="Z655" s="738"/>
      <c r="AA655" s="738"/>
      <c r="AB655" s="738"/>
      <c r="AC655" s="738"/>
      <c r="AD655" s="817"/>
      <c r="AF655"/>
      <c r="AG655">
        <f t="shared" si="65"/>
        <v>0</v>
      </c>
      <c r="AH655">
        <f t="shared" si="66"/>
        <v>0</v>
      </c>
      <c r="AJ655">
        <f t="shared" si="67"/>
        <v>0</v>
      </c>
      <c r="AK655">
        <f t="shared" si="68"/>
        <v>0</v>
      </c>
      <c r="AL655">
        <f t="shared" si="69"/>
        <v>0</v>
      </c>
    </row>
    <row r="656" spans="1:39" ht="15" customHeight="1">
      <c r="A656" s="49"/>
      <c r="B656" s="38"/>
      <c r="C656" s="732"/>
      <c r="D656" s="954"/>
      <c r="E656" s="956"/>
      <c r="F656" s="1110" t="s">
        <v>5040</v>
      </c>
      <c r="G656" s="1110"/>
      <c r="H656" s="178"/>
      <c r="I656" s="1111" t="s">
        <v>201</v>
      </c>
      <c r="J656" s="1111"/>
      <c r="K656" s="1111"/>
      <c r="L656" s="1112"/>
      <c r="M656" s="816"/>
      <c r="N656" s="738"/>
      <c r="O656" s="738"/>
      <c r="P656" s="738"/>
      <c r="Q656" s="738"/>
      <c r="R656" s="817"/>
      <c r="S656" s="816"/>
      <c r="T656" s="738"/>
      <c r="U656" s="738"/>
      <c r="V656" s="738"/>
      <c r="W656" s="738"/>
      <c r="X656" s="817"/>
      <c r="Y656" s="816"/>
      <c r="Z656" s="738"/>
      <c r="AA656" s="738"/>
      <c r="AB656" s="738"/>
      <c r="AC656" s="738"/>
      <c r="AD656" s="817"/>
      <c r="AF656"/>
      <c r="AG656">
        <f t="shared" si="65"/>
        <v>0</v>
      </c>
      <c r="AH656">
        <f t="shared" si="66"/>
        <v>0</v>
      </c>
      <c r="AJ656">
        <f t="shared" si="67"/>
        <v>0</v>
      </c>
      <c r="AK656">
        <f t="shared" si="68"/>
        <v>0</v>
      </c>
      <c r="AL656">
        <f t="shared" si="69"/>
        <v>0</v>
      </c>
    </row>
    <row r="657" spans="1:39" ht="24" customHeight="1">
      <c r="A657" s="49"/>
      <c r="B657" s="38"/>
      <c r="C657" s="732"/>
      <c r="D657" s="954"/>
      <c r="E657" s="956"/>
      <c r="F657" s="1103" t="s">
        <v>5041</v>
      </c>
      <c r="G657" s="1103"/>
      <c r="H657" s="1104" t="s">
        <v>5042</v>
      </c>
      <c r="I657" s="1105"/>
      <c r="J657" s="1105"/>
      <c r="K657" s="1105"/>
      <c r="L657" s="1106"/>
      <c r="M657" s="816"/>
      <c r="N657" s="738"/>
      <c r="O657" s="738"/>
      <c r="P657" s="738"/>
      <c r="Q657" s="738"/>
      <c r="R657" s="817"/>
      <c r="S657" s="816"/>
      <c r="T657" s="738"/>
      <c r="U657" s="738"/>
      <c r="V657" s="738"/>
      <c r="W657" s="738"/>
      <c r="X657" s="817"/>
      <c r="Y657" s="816"/>
      <c r="Z657" s="738"/>
      <c r="AA657" s="738"/>
      <c r="AB657" s="738"/>
      <c r="AC657" s="738"/>
      <c r="AD657" s="817"/>
      <c r="AF657">
        <f>IF(M657="NA",IF(AND(COUNTIF(M658:M660,"="&amp;$AF$361)=0,COUNTIF(M658:M660,"&lt;&gt;NA")&gt;0),1,0),IF(AND(COUNTIF(M658:M660,"="&amp;$AF$361)=0,COUNTIF(M658:M660,"NA")=COUNTIF(M658:M660,"&lt;&gt;"&amp;$AF$361)),1,0))</f>
        <v>0</v>
      </c>
      <c r="AG657">
        <f t="shared" si="65"/>
        <v>0</v>
      </c>
      <c r="AH657">
        <f t="shared" si="66"/>
        <v>0</v>
      </c>
      <c r="AJ657">
        <f t="shared" si="67"/>
        <v>0</v>
      </c>
      <c r="AK657">
        <f t="shared" si="68"/>
        <v>0</v>
      </c>
      <c r="AL657">
        <f t="shared" si="69"/>
        <v>0</v>
      </c>
    </row>
    <row r="658" spans="1:39" ht="24" customHeight="1">
      <c r="A658" s="49"/>
      <c r="B658" s="38"/>
      <c r="C658" s="732"/>
      <c r="D658" s="954"/>
      <c r="E658" s="956"/>
      <c r="F658" s="1119" t="s">
        <v>5043</v>
      </c>
      <c r="G658" s="1120"/>
      <c r="H658" s="178"/>
      <c r="I658" s="1111" t="s">
        <v>5044</v>
      </c>
      <c r="J658" s="1111"/>
      <c r="K658" s="1111"/>
      <c r="L658" s="1112"/>
      <c r="M658" s="816"/>
      <c r="N658" s="738"/>
      <c r="O658" s="738"/>
      <c r="P658" s="738"/>
      <c r="Q658" s="738"/>
      <c r="R658" s="817"/>
      <c r="S658" s="816"/>
      <c r="T658" s="738"/>
      <c r="U658" s="738"/>
      <c r="V658" s="738"/>
      <c r="W658" s="738"/>
      <c r="X658" s="817"/>
      <c r="Y658" s="816"/>
      <c r="Z658" s="738"/>
      <c r="AA658" s="738"/>
      <c r="AB658" s="738"/>
      <c r="AC658" s="738"/>
      <c r="AD658" s="817"/>
      <c r="AF658"/>
      <c r="AG658">
        <f t="shared" si="65"/>
        <v>0</v>
      </c>
      <c r="AH658">
        <f t="shared" si="66"/>
        <v>0</v>
      </c>
      <c r="AJ658">
        <f t="shared" si="67"/>
        <v>0</v>
      </c>
      <c r="AK658">
        <f t="shared" si="68"/>
        <v>0</v>
      </c>
      <c r="AL658">
        <f t="shared" si="69"/>
        <v>0</v>
      </c>
    </row>
    <row r="659" spans="1:39" ht="36" customHeight="1">
      <c r="A659" s="49"/>
      <c r="B659" s="38"/>
      <c r="C659" s="732"/>
      <c r="D659" s="954"/>
      <c r="E659" s="956"/>
      <c r="F659" s="1119" t="s">
        <v>5045</v>
      </c>
      <c r="G659" s="1120"/>
      <c r="H659" s="178"/>
      <c r="I659" s="1111" t="s">
        <v>5046</v>
      </c>
      <c r="J659" s="1111"/>
      <c r="K659" s="1111"/>
      <c r="L659" s="1112"/>
      <c r="M659" s="816"/>
      <c r="N659" s="738"/>
      <c r="O659" s="738"/>
      <c r="P659" s="738"/>
      <c r="Q659" s="738"/>
      <c r="R659" s="817"/>
      <c r="S659" s="816"/>
      <c r="T659" s="738"/>
      <c r="U659" s="738"/>
      <c r="V659" s="738"/>
      <c r="W659" s="738"/>
      <c r="X659" s="817"/>
      <c r="Y659" s="816"/>
      <c r="Z659" s="738"/>
      <c r="AA659" s="738"/>
      <c r="AB659" s="738"/>
      <c r="AC659" s="738"/>
      <c r="AD659" s="817"/>
      <c r="AF659"/>
      <c r="AG659">
        <f t="shared" si="65"/>
        <v>0</v>
      </c>
      <c r="AH659">
        <f t="shared" si="66"/>
        <v>0</v>
      </c>
      <c r="AJ659">
        <f t="shared" si="67"/>
        <v>0</v>
      </c>
      <c r="AK659">
        <f t="shared" si="68"/>
        <v>0</v>
      </c>
      <c r="AL659">
        <f t="shared" si="69"/>
        <v>0</v>
      </c>
    </row>
    <row r="660" spans="1:39" ht="15" customHeight="1">
      <c r="A660" s="49"/>
      <c r="B660" s="38"/>
      <c r="C660" s="732"/>
      <c r="D660" s="954"/>
      <c r="E660" s="956"/>
      <c r="F660" s="1119" t="s">
        <v>5047</v>
      </c>
      <c r="G660" s="1120"/>
      <c r="H660" s="178"/>
      <c r="I660" s="1111" t="s">
        <v>201</v>
      </c>
      <c r="J660" s="1111"/>
      <c r="K660" s="1111"/>
      <c r="L660" s="1112"/>
      <c r="M660" s="816"/>
      <c r="N660" s="738"/>
      <c r="O660" s="738"/>
      <c r="P660" s="738"/>
      <c r="Q660" s="738"/>
      <c r="R660" s="817"/>
      <c r="S660" s="816"/>
      <c r="T660" s="738"/>
      <c r="U660" s="738"/>
      <c r="V660" s="738"/>
      <c r="W660" s="738"/>
      <c r="X660" s="817"/>
      <c r="Y660" s="816"/>
      <c r="Z660" s="738"/>
      <c r="AA660" s="738"/>
      <c r="AB660" s="738"/>
      <c r="AC660" s="738"/>
      <c r="AD660" s="817"/>
      <c r="AF660"/>
      <c r="AG660">
        <f t="shared" si="65"/>
        <v>0</v>
      </c>
      <c r="AH660">
        <f t="shared" si="66"/>
        <v>0</v>
      </c>
      <c r="AJ660">
        <f t="shared" si="67"/>
        <v>0</v>
      </c>
      <c r="AK660">
        <f t="shared" si="68"/>
        <v>0</v>
      </c>
      <c r="AL660">
        <f t="shared" si="69"/>
        <v>0</v>
      </c>
    </row>
    <row r="661" spans="1:39" ht="15" customHeight="1">
      <c r="A661" s="49"/>
      <c r="B661" s="38"/>
      <c r="C661" s="732"/>
      <c r="D661" s="954"/>
      <c r="E661" s="956"/>
      <c r="F661" s="1103" t="s">
        <v>5048</v>
      </c>
      <c r="G661" s="1103"/>
      <c r="H661" s="1104" t="s">
        <v>5049</v>
      </c>
      <c r="I661" s="1105"/>
      <c r="J661" s="1105"/>
      <c r="K661" s="1105"/>
      <c r="L661" s="1106"/>
      <c r="M661" s="816"/>
      <c r="N661" s="738"/>
      <c r="O661" s="738"/>
      <c r="P661" s="738"/>
      <c r="Q661" s="738"/>
      <c r="R661" s="817"/>
      <c r="S661" s="816"/>
      <c r="T661" s="738"/>
      <c r="U661" s="738"/>
      <c r="V661" s="738"/>
      <c r="W661" s="738"/>
      <c r="X661" s="817"/>
      <c r="Y661" s="816"/>
      <c r="Z661" s="738"/>
      <c r="AA661" s="738"/>
      <c r="AB661" s="738"/>
      <c r="AC661" s="738"/>
      <c r="AD661" s="817"/>
      <c r="AF661"/>
      <c r="AG661">
        <f t="shared" si="65"/>
        <v>0</v>
      </c>
      <c r="AH661">
        <f t="shared" si="66"/>
        <v>0</v>
      </c>
      <c r="AJ661">
        <f t="shared" si="67"/>
        <v>0</v>
      </c>
      <c r="AK661">
        <f t="shared" si="68"/>
        <v>0</v>
      </c>
      <c r="AL661">
        <f t="shared" si="69"/>
        <v>0</v>
      </c>
    </row>
    <row r="662" spans="1:39" ht="15" customHeight="1">
      <c r="A662" s="49"/>
      <c r="B662" s="38"/>
      <c r="C662" s="732"/>
      <c r="D662" s="954"/>
      <c r="E662" s="956"/>
      <c r="F662" s="1103" t="s">
        <v>5050</v>
      </c>
      <c r="G662" s="1103"/>
      <c r="H662" s="1104" t="s">
        <v>5051</v>
      </c>
      <c r="I662" s="1105"/>
      <c r="J662" s="1105"/>
      <c r="K662" s="1105"/>
      <c r="L662" s="1106"/>
      <c r="M662" s="816"/>
      <c r="N662" s="738"/>
      <c r="O662" s="738"/>
      <c r="P662" s="738"/>
      <c r="Q662" s="738"/>
      <c r="R662" s="817"/>
      <c r="S662" s="816"/>
      <c r="T662" s="738"/>
      <c r="U662" s="738"/>
      <c r="V662" s="738"/>
      <c r="W662" s="738"/>
      <c r="X662" s="817"/>
      <c r="Y662" s="816"/>
      <c r="Z662" s="738"/>
      <c r="AA662" s="738"/>
      <c r="AB662" s="738"/>
      <c r="AC662" s="738"/>
      <c r="AD662" s="817"/>
      <c r="AF662"/>
      <c r="AG662">
        <f t="shared" ref="AG662:AG697" si="70">IF(OR($M$335=0,$M$335="NS",$M$335="NA",M662="NA"),0,IF(COUNTBLANK(M662:AD662)=15,0,1))</f>
        <v>0</v>
      </c>
      <c r="AH662">
        <f t="shared" ref="AH662:AH697" si="71">IF(M662="NA",IF(COUNTBLANK(S662:AD662)=12,0,1),0)</f>
        <v>0</v>
      </c>
      <c r="AJ662">
        <f t="shared" ref="AJ662:AJ697" si="72">COUNTIF(S662:AD662,"NS")</f>
        <v>0</v>
      </c>
      <c r="AK662">
        <f t="shared" ref="AK662:AK697" si="73">SUM(S662:AD662)</f>
        <v>0</v>
      </c>
      <c r="AL662">
        <f t="shared" ref="AL662:AL697" si="74">IF(COUNTIF(M662:AD662,"NA")=3,0,IF(COUNTA(M662:AD662)=0,0,IF(OR(AND(M662=0,AJ662&gt;0),AND(M662="ns",AK662&gt;0),AND(M662="ns",AJ662=0,AK662=0)),1,IF(OR(AND(M662&gt;0,AJ662=2),AND(M662="ns",AJ662=2),AND(M662="ns",AK662=0,AJ662&gt;0),M662=AK662),0,1))))</f>
        <v>0</v>
      </c>
    </row>
    <row r="663" spans="1:39" ht="24" customHeight="1">
      <c r="A663" s="49"/>
      <c r="B663" s="38"/>
      <c r="C663" s="732"/>
      <c r="D663" s="954"/>
      <c r="E663" s="956"/>
      <c r="F663" s="1103" t="s">
        <v>5052</v>
      </c>
      <c r="G663" s="1103"/>
      <c r="H663" s="1104" t="s">
        <v>5053</v>
      </c>
      <c r="I663" s="1105"/>
      <c r="J663" s="1105"/>
      <c r="K663" s="1105"/>
      <c r="L663" s="1106"/>
      <c r="M663" s="816"/>
      <c r="N663" s="738"/>
      <c r="O663" s="738"/>
      <c r="P663" s="738"/>
      <c r="Q663" s="738"/>
      <c r="R663" s="817"/>
      <c r="S663" s="816"/>
      <c r="T663" s="738"/>
      <c r="U663" s="738"/>
      <c r="V663" s="738"/>
      <c r="W663" s="738"/>
      <c r="X663" s="817"/>
      <c r="Y663" s="816"/>
      <c r="Z663" s="738"/>
      <c r="AA663" s="738"/>
      <c r="AB663" s="738"/>
      <c r="AC663" s="738"/>
      <c r="AD663" s="817"/>
      <c r="AF663"/>
      <c r="AG663">
        <f t="shared" si="70"/>
        <v>0</v>
      </c>
      <c r="AH663">
        <f t="shared" si="71"/>
        <v>0</v>
      </c>
      <c r="AJ663">
        <f t="shared" si="72"/>
        <v>0</v>
      </c>
      <c r="AK663">
        <f t="shared" si="73"/>
        <v>0</v>
      </c>
      <c r="AL663">
        <f t="shared" si="74"/>
        <v>0</v>
      </c>
      <c r="AM663">
        <f>IF(OR(M663="NS",M663="NA",$M$335=0,$M$335="NS",$M$335="NA"),0,IF((M663*(IFERROR(100/SUM(M647:M663),0)))&gt;25,1,0))</f>
        <v>0</v>
      </c>
    </row>
    <row r="664" spans="1:39" ht="15" customHeight="1">
      <c r="A664" s="49"/>
      <c r="B664" s="38"/>
      <c r="C664" s="1108" t="s">
        <v>5054</v>
      </c>
      <c r="D664" s="874" t="s">
        <v>5055</v>
      </c>
      <c r="E664" s="874"/>
      <c r="F664" s="1103" t="s">
        <v>5056</v>
      </c>
      <c r="G664" s="1103"/>
      <c r="H664" s="1104" t="s">
        <v>5057</v>
      </c>
      <c r="I664" s="1105"/>
      <c r="J664" s="1105"/>
      <c r="K664" s="1105"/>
      <c r="L664" s="1106"/>
      <c r="M664" s="816"/>
      <c r="N664" s="738"/>
      <c r="O664" s="738"/>
      <c r="P664" s="738"/>
      <c r="Q664" s="738"/>
      <c r="R664" s="817"/>
      <c r="S664" s="816"/>
      <c r="T664" s="738"/>
      <c r="U664" s="738"/>
      <c r="V664" s="738"/>
      <c r="W664" s="738"/>
      <c r="X664" s="817"/>
      <c r="Y664" s="816"/>
      <c r="Z664" s="738"/>
      <c r="AA664" s="738"/>
      <c r="AB664" s="738"/>
      <c r="AC664" s="738"/>
      <c r="AD664" s="817"/>
      <c r="AF664"/>
      <c r="AG664">
        <f t="shared" si="70"/>
        <v>0</v>
      </c>
      <c r="AH664">
        <f t="shared" si="71"/>
        <v>0</v>
      </c>
      <c r="AJ664">
        <f t="shared" si="72"/>
        <v>0</v>
      </c>
      <c r="AK664">
        <f t="shared" si="73"/>
        <v>0</v>
      </c>
      <c r="AL664">
        <f t="shared" si="74"/>
        <v>0</v>
      </c>
    </row>
    <row r="665" spans="1:39" ht="15" customHeight="1">
      <c r="A665" s="49"/>
      <c r="B665" s="38"/>
      <c r="C665" s="1109"/>
      <c r="D665" s="874"/>
      <c r="E665" s="874"/>
      <c r="F665" s="1103" t="s">
        <v>5058</v>
      </c>
      <c r="G665" s="1103"/>
      <c r="H665" s="1104" t="s">
        <v>5059</v>
      </c>
      <c r="I665" s="1105"/>
      <c r="J665" s="1105"/>
      <c r="K665" s="1105"/>
      <c r="L665" s="1106"/>
      <c r="M665" s="816"/>
      <c r="N665" s="738"/>
      <c r="O665" s="738"/>
      <c r="P665" s="738"/>
      <c r="Q665" s="738"/>
      <c r="R665" s="817"/>
      <c r="S665" s="816"/>
      <c r="T665" s="738"/>
      <c r="U665" s="738"/>
      <c r="V665" s="738"/>
      <c r="W665" s="738"/>
      <c r="X665" s="817"/>
      <c r="Y665" s="816"/>
      <c r="Z665" s="738"/>
      <c r="AA665" s="738"/>
      <c r="AB665" s="738"/>
      <c r="AC665" s="738"/>
      <c r="AD665" s="817"/>
      <c r="AF665"/>
      <c r="AG665">
        <f t="shared" si="70"/>
        <v>0</v>
      </c>
      <c r="AH665">
        <f t="shared" si="71"/>
        <v>0</v>
      </c>
      <c r="AJ665">
        <f t="shared" si="72"/>
        <v>0</v>
      </c>
      <c r="AK665">
        <f t="shared" si="73"/>
        <v>0</v>
      </c>
      <c r="AL665">
        <f t="shared" si="74"/>
        <v>0</v>
      </c>
    </row>
    <row r="666" spans="1:39" ht="15" customHeight="1">
      <c r="A666" s="49"/>
      <c r="B666" s="38"/>
      <c r="C666" s="1109"/>
      <c r="D666" s="874"/>
      <c r="E666" s="874"/>
      <c r="F666" s="1103" t="s">
        <v>5060</v>
      </c>
      <c r="G666" s="1103"/>
      <c r="H666" s="1104" t="s">
        <v>5061</v>
      </c>
      <c r="I666" s="1105"/>
      <c r="J666" s="1105"/>
      <c r="K666" s="1105"/>
      <c r="L666" s="1106"/>
      <c r="M666" s="816"/>
      <c r="N666" s="738"/>
      <c r="O666" s="738"/>
      <c r="P666" s="738"/>
      <c r="Q666" s="738"/>
      <c r="R666" s="817"/>
      <c r="S666" s="816"/>
      <c r="T666" s="738"/>
      <c r="U666" s="738"/>
      <c r="V666" s="738"/>
      <c r="W666" s="738"/>
      <c r="X666" s="817"/>
      <c r="Y666" s="816"/>
      <c r="Z666" s="738"/>
      <c r="AA666" s="738"/>
      <c r="AB666" s="738"/>
      <c r="AC666" s="738"/>
      <c r="AD666" s="817"/>
      <c r="AF666"/>
      <c r="AG666">
        <f t="shared" si="70"/>
        <v>0</v>
      </c>
      <c r="AH666">
        <f t="shared" si="71"/>
        <v>0</v>
      </c>
      <c r="AJ666">
        <f t="shared" si="72"/>
        <v>0</v>
      </c>
      <c r="AK666">
        <f t="shared" si="73"/>
        <v>0</v>
      </c>
      <c r="AL666">
        <f t="shared" si="74"/>
        <v>0</v>
      </c>
    </row>
    <row r="667" spans="1:39" ht="15" customHeight="1">
      <c r="A667" s="49"/>
      <c r="B667" s="38"/>
      <c r="C667" s="1109"/>
      <c r="D667" s="874"/>
      <c r="E667" s="874"/>
      <c r="F667" s="1103" t="s">
        <v>5062</v>
      </c>
      <c r="G667" s="1103"/>
      <c r="H667" s="1104" t="s">
        <v>5063</v>
      </c>
      <c r="I667" s="1105"/>
      <c r="J667" s="1105"/>
      <c r="K667" s="1105"/>
      <c r="L667" s="1106"/>
      <c r="M667" s="816"/>
      <c r="N667" s="738"/>
      <c r="O667" s="738"/>
      <c r="P667" s="738"/>
      <c r="Q667" s="738"/>
      <c r="R667" s="817"/>
      <c r="S667" s="816"/>
      <c r="T667" s="738"/>
      <c r="U667" s="738"/>
      <c r="V667" s="738"/>
      <c r="W667" s="738"/>
      <c r="X667" s="817"/>
      <c r="Y667" s="816"/>
      <c r="Z667" s="738"/>
      <c r="AA667" s="738"/>
      <c r="AB667" s="738"/>
      <c r="AC667" s="738"/>
      <c r="AD667" s="817"/>
      <c r="AF667"/>
      <c r="AG667">
        <f t="shared" si="70"/>
        <v>0</v>
      </c>
      <c r="AH667">
        <f t="shared" si="71"/>
        <v>0</v>
      </c>
      <c r="AJ667">
        <f t="shared" si="72"/>
        <v>0</v>
      </c>
      <c r="AK667">
        <f t="shared" si="73"/>
        <v>0</v>
      </c>
      <c r="AL667">
        <f t="shared" si="74"/>
        <v>0</v>
      </c>
    </row>
    <row r="668" spans="1:39" ht="48" customHeight="1">
      <c r="A668" s="49"/>
      <c r="B668" s="38"/>
      <c r="C668" s="1109"/>
      <c r="D668" s="874"/>
      <c r="E668" s="874"/>
      <c r="F668" s="1103" t="s">
        <v>5064</v>
      </c>
      <c r="G668" s="1103"/>
      <c r="H668" s="1104" t="s">
        <v>5065</v>
      </c>
      <c r="I668" s="1105"/>
      <c r="J668" s="1105"/>
      <c r="K668" s="1105"/>
      <c r="L668" s="1106"/>
      <c r="M668" s="816"/>
      <c r="N668" s="738"/>
      <c r="O668" s="738"/>
      <c r="P668" s="738"/>
      <c r="Q668" s="738"/>
      <c r="R668" s="817"/>
      <c r="S668" s="816"/>
      <c r="T668" s="738"/>
      <c r="U668" s="738"/>
      <c r="V668" s="738"/>
      <c r="W668" s="738"/>
      <c r="X668" s="817"/>
      <c r="Y668" s="816"/>
      <c r="Z668" s="738"/>
      <c r="AA668" s="738"/>
      <c r="AB668" s="738"/>
      <c r="AC668" s="738"/>
      <c r="AD668" s="817"/>
      <c r="AF668">
        <f>IF(M668="NA",IF(AND(COUNTIF(M669:M675,"="&amp;$AF$361)=0,COUNTIF(M669:M675,"&lt;&gt;NA")&gt;0),1,0),IF(AND(COUNTIF(M669:M675,"="&amp;$AF$361)=0,COUNTIF(M669:M675,"NA")=COUNTIF(M669:M675,"&lt;&gt;"&amp;$AF$361)),1,0))</f>
        <v>0</v>
      </c>
      <c r="AG668">
        <f t="shared" si="70"/>
        <v>0</v>
      </c>
      <c r="AH668">
        <f t="shared" si="71"/>
        <v>0</v>
      </c>
      <c r="AJ668">
        <f t="shared" si="72"/>
        <v>0</v>
      </c>
      <c r="AK668">
        <f t="shared" si="73"/>
        <v>0</v>
      </c>
      <c r="AL668">
        <f t="shared" si="74"/>
        <v>0</v>
      </c>
    </row>
    <row r="669" spans="1:39" ht="60" customHeight="1">
      <c r="A669" s="49"/>
      <c r="B669" s="38"/>
      <c r="C669" s="1109"/>
      <c r="D669" s="874"/>
      <c r="E669" s="874"/>
      <c r="F669" s="1110" t="s">
        <v>5066</v>
      </c>
      <c r="G669" s="1110"/>
      <c r="H669" s="178"/>
      <c r="I669" s="1111" t="s">
        <v>5067</v>
      </c>
      <c r="J669" s="1111"/>
      <c r="K669" s="1111"/>
      <c r="L669" s="1112"/>
      <c r="M669" s="816"/>
      <c r="N669" s="738"/>
      <c r="O669" s="738"/>
      <c r="P669" s="738"/>
      <c r="Q669" s="738"/>
      <c r="R669" s="817"/>
      <c r="S669" s="816"/>
      <c r="T669" s="738"/>
      <c r="U669" s="738"/>
      <c r="V669" s="738"/>
      <c r="W669" s="738"/>
      <c r="X669" s="817"/>
      <c r="Y669" s="816"/>
      <c r="Z669" s="738"/>
      <c r="AA669" s="738"/>
      <c r="AB669" s="738"/>
      <c r="AC669" s="738"/>
      <c r="AD669" s="817"/>
      <c r="AF669"/>
      <c r="AG669">
        <f t="shared" si="70"/>
        <v>0</v>
      </c>
      <c r="AH669">
        <f t="shared" si="71"/>
        <v>0</v>
      </c>
      <c r="AJ669">
        <f t="shared" si="72"/>
        <v>0</v>
      </c>
      <c r="AK669">
        <f t="shared" si="73"/>
        <v>0</v>
      </c>
      <c r="AL669">
        <f t="shared" si="74"/>
        <v>0</v>
      </c>
    </row>
    <row r="670" spans="1:39" ht="72" customHeight="1">
      <c r="A670" s="49"/>
      <c r="B670" s="38"/>
      <c r="C670" s="1109"/>
      <c r="D670" s="874"/>
      <c r="E670" s="874"/>
      <c r="F670" s="1110" t="s">
        <v>5068</v>
      </c>
      <c r="G670" s="1110"/>
      <c r="H670" s="178"/>
      <c r="I670" s="1111" t="s">
        <v>5069</v>
      </c>
      <c r="J670" s="1111"/>
      <c r="K670" s="1111"/>
      <c r="L670" s="1112"/>
      <c r="M670" s="816"/>
      <c r="N670" s="738"/>
      <c r="O670" s="738"/>
      <c r="P670" s="738"/>
      <c r="Q670" s="738"/>
      <c r="R670" s="817"/>
      <c r="S670" s="816"/>
      <c r="T670" s="738"/>
      <c r="U670" s="738"/>
      <c r="V670" s="738"/>
      <c r="W670" s="738"/>
      <c r="X670" s="817"/>
      <c r="Y670" s="816"/>
      <c r="Z670" s="738"/>
      <c r="AA670" s="738"/>
      <c r="AB670" s="738"/>
      <c r="AC670" s="738"/>
      <c r="AD670" s="817"/>
      <c r="AF670"/>
      <c r="AG670">
        <f t="shared" si="70"/>
        <v>0</v>
      </c>
      <c r="AH670">
        <f t="shared" si="71"/>
        <v>0</v>
      </c>
      <c r="AJ670">
        <f t="shared" si="72"/>
        <v>0</v>
      </c>
      <c r="AK670">
        <f t="shared" si="73"/>
        <v>0</v>
      </c>
      <c r="AL670">
        <f t="shared" si="74"/>
        <v>0</v>
      </c>
    </row>
    <row r="671" spans="1:39" ht="72" customHeight="1">
      <c r="A671" s="49"/>
      <c r="B671" s="38"/>
      <c r="C671" s="1109"/>
      <c r="D671" s="874"/>
      <c r="E671" s="874"/>
      <c r="F671" s="1110" t="s">
        <v>5070</v>
      </c>
      <c r="G671" s="1110"/>
      <c r="H671" s="178"/>
      <c r="I671" s="1111" t="s">
        <v>5071</v>
      </c>
      <c r="J671" s="1111"/>
      <c r="K671" s="1111"/>
      <c r="L671" s="1112"/>
      <c r="M671" s="816"/>
      <c r="N671" s="738"/>
      <c r="O671" s="738"/>
      <c r="P671" s="738"/>
      <c r="Q671" s="738"/>
      <c r="R671" s="817"/>
      <c r="S671" s="816"/>
      <c r="T671" s="738"/>
      <c r="U671" s="738"/>
      <c r="V671" s="738"/>
      <c r="W671" s="738"/>
      <c r="X671" s="817"/>
      <c r="Y671" s="816"/>
      <c r="Z671" s="738"/>
      <c r="AA671" s="738"/>
      <c r="AB671" s="738"/>
      <c r="AC671" s="738"/>
      <c r="AD671" s="817"/>
      <c r="AF671"/>
      <c r="AG671">
        <f t="shared" si="70"/>
        <v>0</v>
      </c>
      <c r="AH671">
        <f t="shared" si="71"/>
        <v>0</v>
      </c>
      <c r="AJ671">
        <f t="shared" si="72"/>
        <v>0</v>
      </c>
      <c r="AK671">
        <f t="shared" si="73"/>
        <v>0</v>
      </c>
      <c r="AL671">
        <f t="shared" si="74"/>
        <v>0</v>
      </c>
    </row>
    <row r="672" spans="1:39" ht="36" customHeight="1">
      <c r="A672" s="49"/>
      <c r="B672" s="38"/>
      <c r="C672" s="1109"/>
      <c r="D672" s="874"/>
      <c r="E672" s="874"/>
      <c r="F672" s="1110" t="s">
        <v>5072</v>
      </c>
      <c r="G672" s="1110"/>
      <c r="H672" s="178"/>
      <c r="I672" s="1111" t="s">
        <v>5073</v>
      </c>
      <c r="J672" s="1111"/>
      <c r="K672" s="1111"/>
      <c r="L672" s="1112"/>
      <c r="M672" s="816"/>
      <c r="N672" s="738"/>
      <c r="O672" s="738"/>
      <c r="P672" s="738"/>
      <c r="Q672" s="738"/>
      <c r="R672" s="817"/>
      <c r="S672" s="816"/>
      <c r="T672" s="738"/>
      <c r="U672" s="738"/>
      <c r="V672" s="738"/>
      <c r="W672" s="738"/>
      <c r="X672" s="817"/>
      <c r="Y672" s="816"/>
      <c r="Z672" s="738"/>
      <c r="AA672" s="738"/>
      <c r="AB672" s="738"/>
      <c r="AC672" s="738"/>
      <c r="AD672" s="817"/>
      <c r="AF672"/>
      <c r="AG672">
        <f t="shared" si="70"/>
        <v>0</v>
      </c>
      <c r="AH672">
        <f t="shared" si="71"/>
        <v>0</v>
      </c>
      <c r="AJ672">
        <f t="shared" si="72"/>
        <v>0</v>
      </c>
      <c r="AK672">
        <f t="shared" si="73"/>
        <v>0</v>
      </c>
      <c r="AL672">
        <f t="shared" si="74"/>
        <v>0</v>
      </c>
    </row>
    <row r="673" spans="1:38" ht="36" customHeight="1">
      <c r="A673" s="49"/>
      <c r="B673" s="38"/>
      <c r="C673" s="1109"/>
      <c r="D673" s="874"/>
      <c r="E673" s="874"/>
      <c r="F673" s="1110" t="s">
        <v>5074</v>
      </c>
      <c r="G673" s="1110"/>
      <c r="H673" s="178"/>
      <c r="I673" s="1111" t="s">
        <v>5075</v>
      </c>
      <c r="J673" s="1111"/>
      <c r="K673" s="1111"/>
      <c r="L673" s="1112"/>
      <c r="M673" s="816"/>
      <c r="N673" s="738"/>
      <c r="O673" s="738"/>
      <c r="P673" s="738"/>
      <c r="Q673" s="738"/>
      <c r="R673" s="817"/>
      <c r="S673" s="816"/>
      <c r="T673" s="738"/>
      <c r="U673" s="738"/>
      <c r="V673" s="738"/>
      <c r="W673" s="738"/>
      <c r="X673" s="817"/>
      <c r="Y673" s="816"/>
      <c r="Z673" s="738"/>
      <c r="AA673" s="738"/>
      <c r="AB673" s="738"/>
      <c r="AC673" s="738"/>
      <c r="AD673" s="817"/>
      <c r="AF673"/>
      <c r="AG673">
        <f t="shared" si="70"/>
        <v>0</v>
      </c>
      <c r="AH673">
        <f t="shared" si="71"/>
        <v>0</v>
      </c>
      <c r="AJ673">
        <f t="shared" si="72"/>
        <v>0</v>
      </c>
      <c r="AK673">
        <f t="shared" si="73"/>
        <v>0</v>
      </c>
      <c r="AL673">
        <f t="shared" si="74"/>
        <v>0</v>
      </c>
    </row>
    <row r="674" spans="1:38" ht="60" customHeight="1">
      <c r="A674" s="49"/>
      <c r="B674" s="38"/>
      <c r="C674" s="1109"/>
      <c r="D674" s="874"/>
      <c r="E674" s="874"/>
      <c r="F674" s="1110" t="s">
        <v>5076</v>
      </c>
      <c r="G674" s="1110"/>
      <c r="H674" s="178"/>
      <c r="I674" s="1111" t="s">
        <v>5077</v>
      </c>
      <c r="J674" s="1111"/>
      <c r="K674" s="1111"/>
      <c r="L674" s="1112"/>
      <c r="M674" s="816"/>
      <c r="N674" s="738"/>
      <c r="O674" s="738"/>
      <c r="P674" s="738"/>
      <c r="Q674" s="738"/>
      <c r="R674" s="817"/>
      <c r="S674" s="816"/>
      <c r="T674" s="738"/>
      <c r="U674" s="738"/>
      <c r="V674" s="738"/>
      <c r="W674" s="738"/>
      <c r="X674" s="817"/>
      <c r="Y674" s="816"/>
      <c r="Z674" s="738"/>
      <c r="AA674" s="738"/>
      <c r="AB674" s="738"/>
      <c r="AC674" s="738"/>
      <c r="AD674" s="817"/>
      <c r="AF674"/>
      <c r="AG674">
        <f t="shared" si="70"/>
        <v>0</v>
      </c>
      <c r="AH674">
        <f t="shared" si="71"/>
        <v>0</v>
      </c>
      <c r="AJ674">
        <f t="shared" si="72"/>
        <v>0</v>
      </c>
      <c r="AK674">
        <f t="shared" si="73"/>
        <v>0</v>
      </c>
      <c r="AL674">
        <f t="shared" si="74"/>
        <v>0</v>
      </c>
    </row>
    <row r="675" spans="1:38" ht="15" customHeight="1">
      <c r="A675" s="49"/>
      <c r="B675" s="38"/>
      <c r="C675" s="1109"/>
      <c r="D675" s="874"/>
      <c r="E675" s="874"/>
      <c r="F675" s="1110" t="s">
        <v>5078</v>
      </c>
      <c r="G675" s="1110"/>
      <c r="H675" s="178"/>
      <c r="I675" s="1111" t="s">
        <v>201</v>
      </c>
      <c r="J675" s="1111"/>
      <c r="K675" s="1111"/>
      <c r="L675" s="1112"/>
      <c r="M675" s="816"/>
      <c r="N675" s="738"/>
      <c r="O675" s="738"/>
      <c r="P675" s="738"/>
      <c r="Q675" s="738"/>
      <c r="R675" s="817"/>
      <c r="S675" s="816"/>
      <c r="T675" s="738"/>
      <c r="U675" s="738"/>
      <c r="V675" s="738"/>
      <c r="W675" s="738"/>
      <c r="X675" s="817"/>
      <c r="Y675" s="816"/>
      <c r="Z675" s="738"/>
      <c r="AA675" s="738"/>
      <c r="AB675" s="738"/>
      <c r="AC675" s="738"/>
      <c r="AD675" s="817"/>
      <c r="AF675"/>
      <c r="AG675">
        <f t="shared" si="70"/>
        <v>0</v>
      </c>
      <c r="AH675">
        <f t="shared" si="71"/>
        <v>0</v>
      </c>
      <c r="AJ675">
        <f t="shared" si="72"/>
        <v>0</v>
      </c>
      <c r="AK675">
        <f t="shared" si="73"/>
        <v>0</v>
      </c>
      <c r="AL675">
        <f t="shared" si="74"/>
        <v>0</v>
      </c>
    </row>
    <row r="676" spans="1:38" ht="36" customHeight="1">
      <c r="A676" s="49"/>
      <c r="B676" s="38"/>
      <c r="C676" s="1109"/>
      <c r="D676" s="874"/>
      <c r="E676" s="874"/>
      <c r="F676" s="1103" t="s">
        <v>5079</v>
      </c>
      <c r="G676" s="1103"/>
      <c r="H676" s="1104" t="s">
        <v>5080</v>
      </c>
      <c r="I676" s="1105"/>
      <c r="J676" s="1105"/>
      <c r="K676" s="1105"/>
      <c r="L676" s="1106"/>
      <c r="M676" s="816"/>
      <c r="N676" s="738"/>
      <c r="O676" s="738"/>
      <c r="P676" s="738"/>
      <c r="Q676" s="738"/>
      <c r="R676" s="817"/>
      <c r="S676" s="816"/>
      <c r="T676" s="738"/>
      <c r="U676" s="738"/>
      <c r="V676" s="738"/>
      <c r="W676" s="738"/>
      <c r="X676" s="817"/>
      <c r="Y676" s="816"/>
      <c r="Z676" s="738"/>
      <c r="AA676" s="738"/>
      <c r="AB676" s="738"/>
      <c r="AC676" s="738"/>
      <c r="AD676" s="817"/>
      <c r="AF676"/>
      <c r="AG676">
        <f t="shared" si="70"/>
        <v>0</v>
      </c>
      <c r="AH676">
        <f t="shared" si="71"/>
        <v>0</v>
      </c>
      <c r="AJ676">
        <f t="shared" si="72"/>
        <v>0</v>
      </c>
      <c r="AK676">
        <f t="shared" si="73"/>
        <v>0</v>
      </c>
      <c r="AL676">
        <f t="shared" si="74"/>
        <v>0</v>
      </c>
    </row>
    <row r="677" spans="1:38" ht="24" customHeight="1">
      <c r="A677" s="49"/>
      <c r="B677" s="38"/>
      <c r="C677" s="1109"/>
      <c r="D677" s="874"/>
      <c r="E677" s="874"/>
      <c r="F677" s="1103" t="s">
        <v>5081</v>
      </c>
      <c r="G677" s="1103"/>
      <c r="H677" s="1104" t="s">
        <v>5082</v>
      </c>
      <c r="I677" s="1105"/>
      <c r="J677" s="1105"/>
      <c r="K677" s="1105"/>
      <c r="L677" s="1106"/>
      <c r="M677" s="816"/>
      <c r="N677" s="738"/>
      <c r="O677" s="738"/>
      <c r="P677" s="738"/>
      <c r="Q677" s="738"/>
      <c r="R677" s="817"/>
      <c r="S677" s="816"/>
      <c r="T677" s="738"/>
      <c r="U677" s="738"/>
      <c r="V677" s="738"/>
      <c r="W677" s="738"/>
      <c r="X677" s="817"/>
      <c r="Y677" s="816"/>
      <c r="Z677" s="738"/>
      <c r="AA677" s="738"/>
      <c r="AB677" s="738"/>
      <c r="AC677" s="738"/>
      <c r="AD677" s="817"/>
      <c r="AF677">
        <f>IF(M677="NA",IF(AND(COUNTIF(M678:M680,"="&amp;$AF$361)=0,COUNTIF(M678:M680,"&lt;&gt;NA")&gt;0),1,0),IF(AND(COUNTIF(M678:M680,"="&amp;$AF$361)=0,COUNTIF(M678:M680,"NA")=COUNTIF(M678:M680,"&lt;&gt;"&amp;$AF$361)),1,0))</f>
        <v>0</v>
      </c>
      <c r="AG677">
        <f t="shared" si="70"/>
        <v>0</v>
      </c>
      <c r="AH677">
        <f t="shared" si="71"/>
        <v>0</v>
      </c>
      <c r="AJ677">
        <f t="shared" si="72"/>
        <v>0</v>
      </c>
      <c r="AK677">
        <f t="shared" si="73"/>
        <v>0</v>
      </c>
      <c r="AL677">
        <f t="shared" si="74"/>
        <v>0</v>
      </c>
    </row>
    <row r="678" spans="1:38" ht="24" customHeight="1">
      <c r="A678" s="49"/>
      <c r="B678" s="38"/>
      <c r="C678" s="1109"/>
      <c r="D678" s="874"/>
      <c r="E678" s="874"/>
      <c r="F678" s="1110" t="s">
        <v>5083</v>
      </c>
      <c r="G678" s="1110"/>
      <c r="H678" s="178"/>
      <c r="I678" s="1111" t="s">
        <v>5084</v>
      </c>
      <c r="J678" s="1111"/>
      <c r="K678" s="1111"/>
      <c r="L678" s="1112"/>
      <c r="M678" s="816"/>
      <c r="N678" s="738"/>
      <c r="O678" s="738"/>
      <c r="P678" s="738"/>
      <c r="Q678" s="738"/>
      <c r="R678" s="817"/>
      <c r="S678" s="816"/>
      <c r="T678" s="738"/>
      <c r="U678" s="738"/>
      <c r="V678" s="738"/>
      <c r="W678" s="738"/>
      <c r="X678" s="817"/>
      <c r="Y678" s="816"/>
      <c r="Z678" s="738"/>
      <c r="AA678" s="738"/>
      <c r="AB678" s="738"/>
      <c r="AC678" s="738"/>
      <c r="AD678" s="817"/>
      <c r="AF678"/>
      <c r="AG678">
        <f t="shared" si="70"/>
        <v>0</v>
      </c>
      <c r="AH678">
        <f t="shared" si="71"/>
        <v>0</v>
      </c>
      <c r="AJ678">
        <f t="shared" si="72"/>
        <v>0</v>
      </c>
      <c r="AK678">
        <f t="shared" si="73"/>
        <v>0</v>
      </c>
      <c r="AL678">
        <f t="shared" si="74"/>
        <v>0</v>
      </c>
    </row>
    <row r="679" spans="1:38" ht="24" customHeight="1">
      <c r="A679" s="49"/>
      <c r="B679" s="38"/>
      <c r="C679" s="1109"/>
      <c r="D679" s="874"/>
      <c r="E679" s="874"/>
      <c r="F679" s="1110" t="s">
        <v>5085</v>
      </c>
      <c r="G679" s="1110"/>
      <c r="H679" s="178"/>
      <c r="I679" s="1111" t="s">
        <v>5086</v>
      </c>
      <c r="J679" s="1111"/>
      <c r="K679" s="1111"/>
      <c r="L679" s="1112"/>
      <c r="M679" s="816"/>
      <c r="N679" s="738"/>
      <c r="O679" s="738"/>
      <c r="P679" s="738"/>
      <c r="Q679" s="738"/>
      <c r="R679" s="817"/>
      <c r="S679" s="816"/>
      <c r="T679" s="738"/>
      <c r="U679" s="738"/>
      <c r="V679" s="738"/>
      <c r="W679" s="738"/>
      <c r="X679" s="817"/>
      <c r="Y679" s="816"/>
      <c r="Z679" s="738"/>
      <c r="AA679" s="738"/>
      <c r="AB679" s="738"/>
      <c r="AC679" s="738"/>
      <c r="AD679" s="817"/>
      <c r="AF679"/>
      <c r="AG679">
        <f t="shared" si="70"/>
        <v>0</v>
      </c>
      <c r="AH679">
        <f t="shared" si="71"/>
        <v>0</v>
      </c>
      <c r="AJ679">
        <f t="shared" si="72"/>
        <v>0</v>
      </c>
      <c r="AK679">
        <f t="shared" si="73"/>
        <v>0</v>
      </c>
      <c r="AL679">
        <f t="shared" si="74"/>
        <v>0</v>
      </c>
    </row>
    <row r="680" spans="1:38" ht="15" customHeight="1">
      <c r="A680" s="49"/>
      <c r="B680" s="38"/>
      <c r="C680" s="1109"/>
      <c r="D680" s="874"/>
      <c r="E680" s="874"/>
      <c r="F680" s="1110" t="s">
        <v>5087</v>
      </c>
      <c r="G680" s="1110"/>
      <c r="H680" s="178"/>
      <c r="I680" s="1111" t="s">
        <v>201</v>
      </c>
      <c r="J680" s="1111"/>
      <c r="K680" s="1111"/>
      <c r="L680" s="1112"/>
      <c r="M680" s="816"/>
      <c r="N680" s="738"/>
      <c r="O680" s="738"/>
      <c r="P680" s="738"/>
      <c r="Q680" s="738"/>
      <c r="R680" s="817"/>
      <c r="S680" s="816"/>
      <c r="T680" s="738"/>
      <c r="U680" s="738"/>
      <c r="V680" s="738"/>
      <c r="W680" s="738"/>
      <c r="X680" s="817"/>
      <c r="Y680" s="816"/>
      <c r="Z680" s="738"/>
      <c r="AA680" s="738"/>
      <c r="AB680" s="738"/>
      <c r="AC680" s="738"/>
      <c r="AD680" s="817"/>
      <c r="AF680"/>
      <c r="AG680">
        <f t="shared" si="70"/>
        <v>0</v>
      </c>
      <c r="AH680">
        <f t="shared" si="71"/>
        <v>0</v>
      </c>
      <c r="AJ680">
        <f t="shared" si="72"/>
        <v>0</v>
      </c>
      <c r="AK680">
        <f t="shared" si="73"/>
        <v>0</v>
      </c>
      <c r="AL680">
        <f t="shared" si="74"/>
        <v>0</v>
      </c>
    </row>
    <row r="681" spans="1:38" ht="24" customHeight="1">
      <c r="A681" s="49"/>
      <c r="B681" s="38"/>
      <c r="C681" s="1109"/>
      <c r="D681" s="874"/>
      <c r="E681" s="874"/>
      <c r="F681" s="1103" t="s">
        <v>5088</v>
      </c>
      <c r="G681" s="1103"/>
      <c r="H681" s="1104" t="s">
        <v>5089</v>
      </c>
      <c r="I681" s="1105"/>
      <c r="J681" s="1105"/>
      <c r="K681" s="1105"/>
      <c r="L681" s="1106"/>
      <c r="M681" s="816"/>
      <c r="N681" s="738"/>
      <c r="O681" s="738"/>
      <c r="P681" s="738"/>
      <c r="Q681" s="738"/>
      <c r="R681" s="817"/>
      <c r="S681" s="816"/>
      <c r="T681" s="738"/>
      <c r="U681" s="738"/>
      <c r="V681" s="738"/>
      <c r="W681" s="738"/>
      <c r="X681" s="817"/>
      <c r="Y681" s="816"/>
      <c r="Z681" s="738"/>
      <c r="AA681" s="738"/>
      <c r="AB681" s="738"/>
      <c r="AC681" s="738"/>
      <c r="AD681" s="817"/>
      <c r="AF681"/>
      <c r="AG681">
        <f t="shared" si="70"/>
        <v>0</v>
      </c>
      <c r="AH681">
        <f t="shared" si="71"/>
        <v>0</v>
      </c>
      <c r="AJ681">
        <f t="shared" si="72"/>
        <v>0</v>
      </c>
      <c r="AK681">
        <f t="shared" si="73"/>
        <v>0</v>
      </c>
      <c r="AL681">
        <f t="shared" si="74"/>
        <v>0</v>
      </c>
    </row>
    <row r="682" spans="1:38" ht="48" customHeight="1">
      <c r="A682" s="49"/>
      <c r="B682" s="38"/>
      <c r="C682" s="1109"/>
      <c r="D682" s="874"/>
      <c r="E682" s="874"/>
      <c r="F682" s="1103" t="s">
        <v>5090</v>
      </c>
      <c r="G682" s="1103"/>
      <c r="H682" s="1104" t="s">
        <v>5091</v>
      </c>
      <c r="I682" s="1105"/>
      <c r="J682" s="1105"/>
      <c r="K682" s="1105"/>
      <c r="L682" s="1106"/>
      <c r="M682" s="816"/>
      <c r="N682" s="738"/>
      <c r="O682" s="738"/>
      <c r="P682" s="738"/>
      <c r="Q682" s="738"/>
      <c r="R682" s="817"/>
      <c r="S682" s="816"/>
      <c r="T682" s="738"/>
      <c r="U682" s="738"/>
      <c r="V682" s="738"/>
      <c r="W682" s="738"/>
      <c r="X682" s="817"/>
      <c r="Y682" s="816"/>
      <c r="Z682" s="738"/>
      <c r="AA682" s="738"/>
      <c r="AB682" s="738"/>
      <c r="AC682" s="738"/>
      <c r="AD682" s="817"/>
      <c r="AF682"/>
      <c r="AG682">
        <f t="shared" si="70"/>
        <v>0</v>
      </c>
      <c r="AH682">
        <f t="shared" si="71"/>
        <v>0</v>
      </c>
      <c r="AJ682">
        <f t="shared" si="72"/>
        <v>0</v>
      </c>
      <c r="AK682">
        <f t="shared" si="73"/>
        <v>0</v>
      </c>
      <c r="AL682">
        <f t="shared" si="74"/>
        <v>0</v>
      </c>
    </row>
    <row r="683" spans="1:38" ht="24" customHeight="1">
      <c r="A683" s="49"/>
      <c r="B683" s="38"/>
      <c r="C683" s="1109"/>
      <c r="D683" s="874"/>
      <c r="E683" s="874"/>
      <c r="F683" s="1103" t="s">
        <v>5092</v>
      </c>
      <c r="G683" s="1103"/>
      <c r="H683" s="1104" t="s">
        <v>5093</v>
      </c>
      <c r="I683" s="1105"/>
      <c r="J683" s="1105"/>
      <c r="K683" s="1105"/>
      <c r="L683" s="1106"/>
      <c r="M683" s="816"/>
      <c r="N683" s="738"/>
      <c r="O683" s="738"/>
      <c r="P683" s="738"/>
      <c r="Q683" s="738"/>
      <c r="R683" s="817"/>
      <c r="S683" s="816"/>
      <c r="T683" s="738"/>
      <c r="U683" s="738"/>
      <c r="V683" s="738"/>
      <c r="W683" s="738"/>
      <c r="X683" s="817"/>
      <c r="Y683" s="816"/>
      <c r="Z683" s="738"/>
      <c r="AA683" s="738"/>
      <c r="AB683" s="738"/>
      <c r="AC683" s="738"/>
      <c r="AD683" s="817"/>
      <c r="AF683"/>
      <c r="AG683">
        <f t="shared" si="70"/>
        <v>0</v>
      </c>
      <c r="AH683">
        <f t="shared" si="71"/>
        <v>0</v>
      </c>
      <c r="AJ683">
        <f t="shared" si="72"/>
        <v>0</v>
      </c>
      <c r="AK683">
        <f t="shared" si="73"/>
        <v>0</v>
      </c>
      <c r="AL683">
        <f t="shared" si="74"/>
        <v>0</v>
      </c>
    </row>
    <row r="684" spans="1:38" ht="36" customHeight="1">
      <c r="A684" s="49"/>
      <c r="B684" s="38"/>
      <c r="C684" s="1109"/>
      <c r="D684" s="874"/>
      <c r="E684" s="874"/>
      <c r="F684" s="1103" t="s">
        <v>5094</v>
      </c>
      <c r="G684" s="1103"/>
      <c r="H684" s="1104" t="s">
        <v>5095</v>
      </c>
      <c r="I684" s="1105"/>
      <c r="J684" s="1105"/>
      <c r="K684" s="1105"/>
      <c r="L684" s="1106"/>
      <c r="M684" s="816"/>
      <c r="N684" s="738"/>
      <c r="O684" s="738"/>
      <c r="P684" s="738"/>
      <c r="Q684" s="738"/>
      <c r="R684" s="817"/>
      <c r="S684" s="816"/>
      <c r="T684" s="738"/>
      <c r="U684" s="738"/>
      <c r="V684" s="738"/>
      <c r="W684" s="738"/>
      <c r="X684" s="817"/>
      <c r="Y684" s="816"/>
      <c r="Z684" s="738"/>
      <c r="AA684" s="738"/>
      <c r="AB684" s="738"/>
      <c r="AC684" s="738"/>
      <c r="AD684" s="817"/>
      <c r="AF684"/>
      <c r="AG684">
        <f t="shared" si="70"/>
        <v>0</v>
      </c>
      <c r="AH684">
        <f t="shared" si="71"/>
        <v>0</v>
      </c>
      <c r="AJ684">
        <f t="shared" si="72"/>
        <v>0</v>
      </c>
      <c r="AK684">
        <f t="shared" si="73"/>
        <v>0</v>
      </c>
      <c r="AL684">
        <f t="shared" si="74"/>
        <v>0</v>
      </c>
    </row>
    <row r="685" spans="1:38" ht="15" customHeight="1">
      <c r="A685" s="49"/>
      <c r="B685" s="38"/>
      <c r="C685" s="1109"/>
      <c r="D685" s="874"/>
      <c r="E685" s="874"/>
      <c r="F685" s="1103" t="s">
        <v>5096</v>
      </c>
      <c r="G685" s="1103"/>
      <c r="H685" s="1104" t="s">
        <v>5097</v>
      </c>
      <c r="I685" s="1105"/>
      <c r="J685" s="1105"/>
      <c r="K685" s="1105"/>
      <c r="L685" s="1106"/>
      <c r="M685" s="816"/>
      <c r="N685" s="738"/>
      <c r="O685" s="738"/>
      <c r="P685" s="738"/>
      <c r="Q685" s="738"/>
      <c r="R685" s="817"/>
      <c r="S685" s="816"/>
      <c r="T685" s="738"/>
      <c r="U685" s="738"/>
      <c r="V685" s="738"/>
      <c r="W685" s="738"/>
      <c r="X685" s="817"/>
      <c r="Y685" s="816"/>
      <c r="Z685" s="738"/>
      <c r="AA685" s="738"/>
      <c r="AB685" s="738"/>
      <c r="AC685" s="738"/>
      <c r="AD685" s="817"/>
      <c r="AF685"/>
      <c r="AG685">
        <f t="shared" si="70"/>
        <v>0</v>
      </c>
      <c r="AH685">
        <f t="shared" si="71"/>
        <v>0</v>
      </c>
      <c r="AJ685">
        <f t="shared" si="72"/>
        <v>0</v>
      </c>
      <c r="AK685">
        <f t="shared" si="73"/>
        <v>0</v>
      </c>
      <c r="AL685">
        <f t="shared" si="74"/>
        <v>0</v>
      </c>
    </row>
    <row r="686" spans="1:38" ht="36" customHeight="1">
      <c r="A686" s="49"/>
      <c r="B686" s="38"/>
      <c r="C686" s="1109"/>
      <c r="D686" s="874"/>
      <c r="E686" s="874"/>
      <c r="F686" s="1103" t="s">
        <v>5098</v>
      </c>
      <c r="G686" s="1103"/>
      <c r="H686" s="1104" t="s">
        <v>5099</v>
      </c>
      <c r="I686" s="1105"/>
      <c r="J686" s="1105"/>
      <c r="K686" s="1105"/>
      <c r="L686" s="1106"/>
      <c r="M686" s="816"/>
      <c r="N686" s="738"/>
      <c r="O686" s="738"/>
      <c r="P686" s="738"/>
      <c r="Q686" s="738"/>
      <c r="R686" s="817"/>
      <c r="S686" s="816"/>
      <c r="T686" s="738"/>
      <c r="U686" s="738"/>
      <c r="V686" s="738"/>
      <c r="W686" s="738"/>
      <c r="X686" s="817"/>
      <c r="Y686" s="816"/>
      <c r="Z686" s="738"/>
      <c r="AA686" s="738"/>
      <c r="AB686" s="738"/>
      <c r="AC686" s="738"/>
      <c r="AD686" s="817"/>
      <c r="AF686"/>
      <c r="AG686">
        <f t="shared" si="70"/>
        <v>0</v>
      </c>
      <c r="AH686">
        <f t="shared" si="71"/>
        <v>0</v>
      </c>
      <c r="AJ686">
        <f t="shared" si="72"/>
        <v>0</v>
      </c>
      <c r="AK686">
        <f t="shared" si="73"/>
        <v>0</v>
      </c>
      <c r="AL686">
        <f t="shared" si="74"/>
        <v>0</v>
      </c>
    </row>
    <row r="687" spans="1:38" ht="15" customHeight="1">
      <c r="A687" s="49"/>
      <c r="B687" s="38"/>
      <c r="C687" s="1109"/>
      <c r="D687" s="874"/>
      <c r="E687" s="874"/>
      <c r="F687" s="1103" t="s">
        <v>5100</v>
      </c>
      <c r="G687" s="1103"/>
      <c r="H687" s="1104" t="s">
        <v>5101</v>
      </c>
      <c r="I687" s="1105"/>
      <c r="J687" s="1105"/>
      <c r="K687" s="1105"/>
      <c r="L687" s="1106"/>
      <c r="M687" s="816"/>
      <c r="N687" s="738"/>
      <c r="O687" s="738"/>
      <c r="P687" s="738"/>
      <c r="Q687" s="738"/>
      <c r="R687" s="817"/>
      <c r="S687" s="816"/>
      <c r="T687" s="738"/>
      <c r="U687" s="738"/>
      <c r="V687" s="738"/>
      <c r="W687" s="738"/>
      <c r="X687" s="817"/>
      <c r="Y687" s="816"/>
      <c r="Z687" s="738"/>
      <c r="AA687" s="738"/>
      <c r="AB687" s="738"/>
      <c r="AC687" s="738"/>
      <c r="AD687" s="817"/>
      <c r="AF687"/>
      <c r="AG687">
        <f t="shared" si="70"/>
        <v>0</v>
      </c>
      <c r="AH687">
        <f t="shared" si="71"/>
        <v>0</v>
      </c>
      <c r="AJ687">
        <f t="shared" si="72"/>
        <v>0</v>
      </c>
      <c r="AK687">
        <f t="shared" si="73"/>
        <v>0</v>
      </c>
      <c r="AL687">
        <f t="shared" si="74"/>
        <v>0</v>
      </c>
    </row>
    <row r="688" spans="1:38" ht="24" customHeight="1">
      <c r="A688" s="49"/>
      <c r="B688" s="38"/>
      <c r="C688" s="1109"/>
      <c r="D688" s="874"/>
      <c r="E688" s="874"/>
      <c r="F688" s="1103" t="s">
        <v>5102</v>
      </c>
      <c r="G688" s="1103"/>
      <c r="H688" s="1104" t="s">
        <v>5103</v>
      </c>
      <c r="I688" s="1105"/>
      <c r="J688" s="1105"/>
      <c r="K688" s="1105"/>
      <c r="L688" s="1106"/>
      <c r="M688" s="816"/>
      <c r="N688" s="738"/>
      <c r="O688" s="738"/>
      <c r="P688" s="738"/>
      <c r="Q688" s="738"/>
      <c r="R688" s="817"/>
      <c r="S688" s="816"/>
      <c r="T688" s="738"/>
      <c r="U688" s="738"/>
      <c r="V688" s="738"/>
      <c r="W688" s="738"/>
      <c r="X688" s="817"/>
      <c r="Y688" s="816"/>
      <c r="Z688" s="738"/>
      <c r="AA688" s="738"/>
      <c r="AB688" s="738"/>
      <c r="AC688" s="738"/>
      <c r="AD688" s="817"/>
      <c r="AF688"/>
      <c r="AG688">
        <f t="shared" si="70"/>
        <v>0</v>
      </c>
      <c r="AH688">
        <f t="shared" si="71"/>
        <v>0</v>
      </c>
      <c r="AJ688">
        <f t="shared" si="72"/>
        <v>0</v>
      </c>
      <c r="AK688">
        <f t="shared" si="73"/>
        <v>0</v>
      </c>
      <c r="AL688">
        <f t="shared" si="74"/>
        <v>0</v>
      </c>
    </row>
    <row r="689" spans="1:39" ht="48" customHeight="1">
      <c r="A689" s="49"/>
      <c r="B689" s="38"/>
      <c r="C689" s="1109"/>
      <c r="D689" s="874"/>
      <c r="E689" s="874"/>
      <c r="F689" s="1103" t="s">
        <v>5104</v>
      </c>
      <c r="G689" s="1103"/>
      <c r="H689" s="1104" t="s">
        <v>5105</v>
      </c>
      <c r="I689" s="1105"/>
      <c r="J689" s="1105"/>
      <c r="K689" s="1105"/>
      <c r="L689" s="1106"/>
      <c r="M689" s="816"/>
      <c r="N689" s="738"/>
      <c r="O689" s="738"/>
      <c r="P689" s="738"/>
      <c r="Q689" s="738"/>
      <c r="R689" s="817"/>
      <c r="S689" s="816"/>
      <c r="T689" s="738"/>
      <c r="U689" s="738"/>
      <c r="V689" s="738"/>
      <c r="W689" s="738"/>
      <c r="X689" s="817"/>
      <c r="Y689" s="816"/>
      <c r="Z689" s="738"/>
      <c r="AA689" s="738"/>
      <c r="AB689" s="738"/>
      <c r="AC689" s="738"/>
      <c r="AD689" s="817"/>
      <c r="AF689">
        <f>IF(M689="NA",IF(AND(COUNTIF(M690:M694,"="&amp;$AF$361)=0,COUNTIF(M690:M694,"&lt;&gt;NA")&gt;0),1,0),IF(AND(COUNTIF(M690:M694,"="&amp;$AF$361)=0,COUNTIF(M690:M694,"NA")=COUNTIF(M690:M694,"&lt;&gt;"&amp;$AF$361)),1,0))</f>
        <v>0</v>
      </c>
      <c r="AG689">
        <f t="shared" si="70"/>
        <v>0</v>
      </c>
      <c r="AH689">
        <f t="shared" si="71"/>
        <v>0</v>
      </c>
      <c r="AJ689">
        <f t="shared" si="72"/>
        <v>0</v>
      </c>
      <c r="AK689">
        <f t="shared" si="73"/>
        <v>0</v>
      </c>
      <c r="AL689">
        <f t="shared" si="74"/>
        <v>0</v>
      </c>
    </row>
    <row r="690" spans="1:39" ht="36" customHeight="1">
      <c r="A690" s="49"/>
      <c r="B690" s="38"/>
      <c r="C690" s="1109"/>
      <c r="D690" s="874"/>
      <c r="E690" s="874"/>
      <c r="F690" s="1119" t="s">
        <v>5106</v>
      </c>
      <c r="G690" s="1120"/>
      <c r="H690" s="178"/>
      <c r="I690" s="1111" t="s">
        <v>5107</v>
      </c>
      <c r="J690" s="1111"/>
      <c r="K690" s="1111"/>
      <c r="L690" s="1112"/>
      <c r="M690" s="816"/>
      <c r="N690" s="738"/>
      <c r="O690" s="738"/>
      <c r="P690" s="738"/>
      <c r="Q690" s="738"/>
      <c r="R690" s="817"/>
      <c r="S690" s="816"/>
      <c r="T690" s="738"/>
      <c r="U690" s="738"/>
      <c r="V690" s="738"/>
      <c r="W690" s="738"/>
      <c r="X690" s="817"/>
      <c r="Y690" s="816"/>
      <c r="Z690" s="738"/>
      <c r="AA690" s="738"/>
      <c r="AB690" s="738"/>
      <c r="AC690" s="738"/>
      <c r="AD690" s="817"/>
      <c r="AF690"/>
      <c r="AG690">
        <f t="shared" si="70"/>
        <v>0</v>
      </c>
      <c r="AH690">
        <f t="shared" si="71"/>
        <v>0</v>
      </c>
      <c r="AJ690">
        <f t="shared" si="72"/>
        <v>0</v>
      </c>
      <c r="AK690">
        <f t="shared" si="73"/>
        <v>0</v>
      </c>
      <c r="AL690">
        <f t="shared" si="74"/>
        <v>0</v>
      </c>
    </row>
    <row r="691" spans="1:39" ht="24" customHeight="1">
      <c r="A691" s="49"/>
      <c r="B691" s="38"/>
      <c r="C691" s="1109"/>
      <c r="D691" s="874"/>
      <c r="E691" s="874"/>
      <c r="F691" s="1119" t="s">
        <v>5108</v>
      </c>
      <c r="G691" s="1120"/>
      <c r="H691" s="178"/>
      <c r="I691" s="1111" t="s">
        <v>5109</v>
      </c>
      <c r="J691" s="1111"/>
      <c r="K691" s="1111"/>
      <c r="L691" s="1112"/>
      <c r="M691" s="816"/>
      <c r="N691" s="738"/>
      <c r="O691" s="738"/>
      <c r="P691" s="738"/>
      <c r="Q691" s="738"/>
      <c r="R691" s="817"/>
      <c r="S691" s="816"/>
      <c r="T691" s="738"/>
      <c r="U691" s="738"/>
      <c r="V691" s="738"/>
      <c r="W691" s="738"/>
      <c r="X691" s="817"/>
      <c r="Y691" s="816"/>
      <c r="Z691" s="738"/>
      <c r="AA691" s="738"/>
      <c r="AB691" s="738"/>
      <c r="AC691" s="738"/>
      <c r="AD691" s="817"/>
      <c r="AF691"/>
      <c r="AG691">
        <f t="shared" si="70"/>
        <v>0</v>
      </c>
      <c r="AH691">
        <f t="shared" si="71"/>
        <v>0</v>
      </c>
      <c r="AJ691">
        <f t="shared" si="72"/>
        <v>0</v>
      </c>
      <c r="AK691">
        <f t="shared" si="73"/>
        <v>0</v>
      </c>
      <c r="AL691">
        <f t="shared" si="74"/>
        <v>0</v>
      </c>
    </row>
    <row r="692" spans="1:39" ht="48" customHeight="1">
      <c r="A692" s="49"/>
      <c r="B692" s="38"/>
      <c r="C692" s="1109"/>
      <c r="D692" s="874"/>
      <c r="E692" s="874"/>
      <c r="F692" s="1119" t="s">
        <v>5110</v>
      </c>
      <c r="G692" s="1120"/>
      <c r="H692" s="178"/>
      <c r="I692" s="1111" t="s">
        <v>5111</v>
      </c>
      <c r="J692" s="1111"/>
      <c r="K692" s="1111"/>
      <c r="L692" s="1112"/>
      <c r="M692" s="816"/>
      <c r="N692" s="738"/>
      <c r="O692" s="738"/>
      <c r="P692" s="738"/>
      <c r="Q692" s="738"/>
      <c r="R692" s="817"/>
      <c r="S692" s="816"/>
      <c r="T692" s="738"/>
      <c r="U692" s="738"/>
      <c r="V692" s="738"/>
      <c r="W692" s="738"/>
      <c r="X692" s="817"/>
      <c r="Y692" s="816"/>
      <c r="Z692" s="738"/>
      <c r="AA692" s="738"/>
      <c r="AB692" s="738"/>
      <c r="AC692" s="738"/>
      <c r="AD692" s="817"/>
      <c r="AF692"/>
      <c r="AG692">
        <f t="shared" si="70"/>
        <v>0</v>
      </c>
      <c r="AH692">
        <f t="shared" si="71"/>
        <v>0</v>
      </c>
      <c r="AJ692">
        <f t="shared" si="72"/>
        <v>0</v>
      </c>
      <c r="AK692">
        <f t="shared" si="73"/>
        <v>0</v>
      </c>
      <c r="AL692">
        <f t="shared" si="74"/>
        <v>0</v>
      </c>
    </row>
    <row r="693" spans="1:39" ht="60" customHeight="1">
      <c r="A693" s="49"/>
      <c r="B693" s="38"/>
      <c r="C693" s="1109"/>
      <c r="D693" s="874"/>
      <c r="E693" s="874"/>
      <c r="F693" s="1119" t="s">
        <v>5112</v>
      </c>
      <c r="G693" s="1120"/>
      <c r="H693" s="178"/>
      <c r="I693" s="1111" t="s">
        <v>5113</v>
      </c>
      <c r="J693" s="1111"/>
      <c r="K693" s="1111"/>
      <c r="L693" s="1112"/>
      <c r="M693" s="816"/>
      <c r="N693" s="738"/>
      <c r="O693" s="738"/>
      <c r="P693" s="738"/>
      <c r="Q693" s="738"/>
      <c r="R693" s="817"/>
      <c r="S693" s="816"/>
      <c r="T693" s="738"/>
      <c r="U693" s="738"/>
      <c r="V693" s="738"/>
      <c r="W693" s="738"/>
      <c r="X693" s="817"/>
      <c r="Y693" s="816"/>
      <c r="Z693" s="738"/>
      <c r="AA693" s="738"/>
      <c r="AB693" s="738"/>
      <c r="AC693" s="738"/>
      <c r="AD693" s="817"/>
      <c r="AF693"/>
      <c r="AG693">
        <f t="shared" si="70"/>
        <v>0</v>
      </c>
      <c r="AH693">
        <f t="shared" si="71"/>
        <v>0</v>
      </c>
      <c r="AJ693">
        <f t="shared" si="72"/>
        <v>0</v>
      </c>
      <c r="AK693">
        <f t="shared" si="73"/>
        <v>0</v>
      </c>
      <c r="AL693">
        <f t="shared" si="74"/>
        <v>0</v>
      </c>
    </row>
    <row r="694" spans="1:39" ht="15" customHeight="1">
      <c r="A694" s="49"/>
      <c r="B694" s="38"/>
      <c r="C694" s="1109"/>
      <c r="D694" s="874"/>
      <c r="E694" s="874"/>
      <c r="F694" s="1119" t="s">
        <v>5114</v>
      </c>
      <c r="G694" s="1120"/>
      <c r="H694" s="178"/>
      <c r="I694" s="1111" t="s">
        <v>201</v>
      </c>
      <c r="J694" s="1111"/>
      <c r="K694" s="1111"/>
      <c r="L694" s="1112"/>
      <c r="M694" s="816"/>
      <c r="N694" s="738"/>
      <c r="O694" s="738"/>
      <c r="P694" s="738"/>
      <c r="Q694" s="738"/>
      <c r="R694" s="817"/>
      <c r="S694" s="816"/>
      <c r="T694" s="738"/>
      <c r="U694" s="738"/>
      <c r="V694" s="738"/>
      <c r="W694" s="738"/>
      <c r="X694" s="817"/>
      <c r="Y694" s="816"/>
      <c r="Z694" s="738"/>
      <c r="AA694" s="738"/>
      <c r="AB694" s="738"/>
      <c r="AC694" s="738"/>
      <c r="AD694" s="817"/>
      <c r="AF694"/>
      <c r="AG694">
        <f t="shared" si="70"/>
        <v>0</v>
      </c>
      <c r="AH694">
        <f t="shared" si="71"/>
        <v>0</v>
      </c>
      <c r="AJ694">
        <f t="shared" si="72"/>
        <v>0</v>
      </c>
      <c r="AK694">
        <f t="shared" si="73"/>
        <v>0</v>
      </c>
      <c r="AL694">
        <f t="shared" si="74"/>
        <v>0</v>
      </c>
    </row>
    <row r="695" spans="1:39" ht="24" customHeight="1">
      <c r="A695" s="49"/>
      <c r="B695" s="38"/>
      <c r="C695" s="1109"/>
      <c r="D695" s="874"/>
      <c r="E695" s="874"/>
      <c r="F695" s="1103" t="s">
        <v>5115</v>
      </c>
      <c r="G695" s="1103"/>
      <c r="H695" s="1104" t="s">
        <v>5116</v>
      </c>
      <c r="I695" s="1105"/>
      <c r="J695" s="1105"/>
      <c r="K695" s="1105"/>
      <c r="L695" s="1106"/>
      <c r="M695" s="816"/>
      <c r="N695" s="738"/>
      <c r="O695" s="738"/>
      <c r="P695" s="738"/>
      <c r="Q695" s="738"/>
      <c r="R695" s="817"/>
      <c r="S695" s="816"/>
      <c r="T695" s="738"/>
      <c r="U695" s="738"/>
      <c r="V695" s="738"/>
      <c r="W695" s="738"/>
      <c r="X695" s="817"/>
      <c r="Y695" s="816"/>
      <c r="Z695" s="738"/>
      <c r="AA695" s="738"/>
      <c r="AB695" s="738"/>
      <c r="AC695" s="738"/>
      <c r="AD695" s="817"/>
      <c r="AF695"/>
      <c r="AG695">
        <f t="shared" si="70"/>
        <v>0</v>
      </c>
      <c r="AH695">
        <f t="shared" si="71"/>
        <v>0</v>
      </c>
      <c r="AJ695">
        <f t="shared" si="72"/>
        <v>0</v>
      </c>
      <c r="AK695">
        <f t="shared" si="73"/>
        <v>0</v>
      </c>
      <c r="AL695">
        <f t="shared" si="74"/>
        <v>0</v>
      </c>
    </row>
    <row r="696" spans="1:39" ht="15" customHeight="1">
      <c r="A696" s="49"/>
      <c r="B696" s="38"/>
      <c r="C696" s="1109"/>
      <c r="D696" s="874"/>
      <c r="E696" s="874"/>
      <c r="F696" s="1103" t="s">
        <v>5117</v>
      </c>
      <c r="G696" s="1103"/>
      <c r="H696" s="1104" t="s">
        <v>5118</v>
      </c>
      <c r="I696" s="1105"/>
      <c r="J696" s="1105"/>
      <c r="K696" s="1105"/>
      <c r="L696" s="1106"/>
      <c r="M696" s="816"/>
      <c r="N696" s="738"/>
      <c r="O696" s="738"/>
      <c r="P696" s="738"/>
      <c r="Q696" s="738"/>
      <c r="R696" s="817"/>
      <c r="S696" s="816"/>
      <c r="T696" s="738"/>
      <c r="U696" s="738"/>
      <c r="V696" s="738"/>
      <c r="W696" s="738"/>
      <c r="X696" s="817"/>
      <c r="Y696" s="816"/>
      <c r="Z696" s="738"/>
      <c r="AA696" s="738"/>
      <c r="AB696" s="738"/>
      <c r="AC696" s="738"/>
      <c r="AD696" s="817"/>
      <c r="AF696"/>
      <c r="AG696">
        <f t="shared" si="70"/>
        <v>0</v>
      </c>
      <c r="AH696">
        <f t="shared" si="71"/>
        <v>0</v>
      </c>
      <c r="AJ696">
        <f t="shared" si="72"/>
        <v>0</v>
      </c>
      <c r="AK696">
        <f t="shared" si="73"/>
        <v>0</v>
      </c>
      <c r="AL696">
        <f t="shared" si="74"/>
        <v>0</v>
      </c>
      <c r="AM696">
        <f>IF(OR(M696="NS",M696="NA",$M$335=0,$M$335="NS",$M$335="NA"),0,IF((M696*(IFERROR(100/SUM(M664:M696),0)))&gt;25,1,0))</f>
        <v>0</v>
      </c>
    </row>
    <row r="697" spans="1:39" ht="15" customHeight="1">
      <c r="A697" s="49"/>
      <c r="B697" s="38"/>
      <c r="C697" s="739" t="s">
        <v>5119</v>
      </c>
      <c r="D697" s="740"/>
      <c r="E697" s="740"/>
      <c r="F697" s="740"/>
      <c r="G697" s="741"/>
      <c r="H697" s="1104" t="s">
        <v>201</v>
      </c>
      <c r="I697" s="1105"/>
      <c r="J697" s="1105"/>
      <c r="K697" s="1105"/>
      <c r="L697" s="1106"/>
      <c r="M697" s="816"/>
      <c r="N697" s="738"/>
      <c r="O697" s="738"/>
      <c r="P697" s="738"/>
      <c r="Q697" s="738"/>
      <c r="R697" s="817"/>
      <c r="S697" s="816"/>
      <c r="T697" s="738"/>
      <c r="U697" s="738"/>
      <c r="V697" s="738"/>
      <c r="W697" s="738"/>
      <c r="X697" s="817"/>
      <c r="Y697" s="816"/>
      <c r="Z697" s="738"/>
      <c r="AA697" s="738"/>
      <c r="AB697" s="738"/>
      <c r="AC697" s="738"/>
      <c r="AD697" s="817"/>
      <c r="AF697"/>
      <c r="AG697">
        <f t="shared" si="70"/>
        <v>0</v>
      </c>
      <c r="AH697">
        <f t="shared" si="71"/>
        <v>0</v>
      </c>
      <c r="AJ697">
        <f t="shared" si="72"/>
        <v>0</v>
      </c>
      <c r="AK697">
        <f t="shared" si="73"/>
        <v>0</v>
      </c>
      <c r="AL697">
        <f t="shared" si="74"/>
        <v>0</v>
      </c>
    </row>
    <row r="698" spans="1:39" ht="15" customHeight="1">
      <c r="A698" s="49"/>
      <c r="B698" s="38"/>
      <c r="C698" s="38"/>
      <c r="D698" s="38"/>
      <c r="E698" s="38"/>
      <c r="F698" s="38"/>
      <c r="G698" s="38"/>
      <c r="H698" s="38"/>
      <c r="I698" s="38"/>
      <c r="J698" s="45"/>
      <c r="K698" s="45"/>
      <c r="L698" s="117" t="s">
        <v>2649</v>
      </c>
      <c r="M698" s="1119">
        <f>IF(COUNTIF(M533:M697,"NA")=165,"NA",IF(AND(SUM(COUNTIF(M533:M543,"NS"),COUNTIF(M550:M554,"NS"),COUNTIF(M560:M563,"NS"),COUNTIF(M582,"NS"),COUNTIF(M588:M590,"NS"),COUNTIF(M594:M600,"NS"),COUNTIF(M608,"NS"),COUNTIF(M614:M618,"NS"),COUNTIF(M625,"NS"),COUNTIF(M634:M637,"NS"),COUNTIF(M644:M647,"NS"),COUNTIF(M657,"NS"),COUNTIF(M661:M668,"NS"),COUNTIF(M676:M677,"NS"),COUNTIF(M681:M689,"NS"),COUNTIF(M695:M697,"NS"))&gt;0,SUM(M533:M543,M550:M554,M560:M563,M582,M588:M590,M594:M600,M608,M614:M618,M625,M634:M637,M644:M647,M657,M661:M668,M676:M677,M681:M689,M695:M697)=0),"NS",SUM(M533:M543,M550:M554,M560:M563,M582,M588:M590,M594:M600,M608,M614:M618,M625,M634:M637,M644:M647,M657,M661:M668,M676:M677,M681:M689,M695:M697)))</f>
        <v>0</v>
      </c>
      <c r="N698" s="1121"/>
      <c r="O698" s="1121"/>
      <c r="P698" s="1121"/>
      <c r="Q698" s="1121"/>
      <c r="R698" s="1120"/>
      <c r="S698" s="1119">
        <f>IF(COUNTIF(S533:S697,"NA")=165,"NA",IF(AND(SUM(COUNTIF(S533:S543,"NS"),COUNTIF(S550:S554,"NS"),COUNTIF(S560:S563,"NS"),COUNTIF(S582,"NS"),COUNTIF(S588:S590,"NS"),COUNTIF(S594:S600,"NS"),COUNTIF(S608,"NS"),COUNTIF(S614:S618,"NS"),COUNTIF(S625,"NS"),COUNTIF(S634:S637,"NS"),COUNTIF(S644:S647,"NS"),COUNTIF(S657,"NS"),COUNTIF(S661:S668,"NS"),COUNTIF(S676:S677,"NS"),COUNTIF(S681:S689,"NS"),COUNTIF(S695:S697,"NS"))&gt;0,SUM(S533:S543,S550:S554,S560:S563,S582,S588:S590,S594:S600,S608,S614:S618,S625,S634:S637,S644:S647,S657,S661:S668,S676:S677,S681:S689,S695:S697)=0),"NS",SUM(S533:S543,S550:S554,S560:S563,S582,S588:S590,S594:S600,S608,S614:S618,S625,S634:S637,S644:S647,S657,S661:S668,S676:S677,S681:S689,S695:S697)))</f>
        <v>0</v>
      </c>
      <c r="T698" s="1121"/>
      <c r="U698" s="1121"/>
      <c r="V698" s="1121"/>
      <c r="W698" s="1121"/>
      <c r="X698" s="1120"/>
      <c r="Y698" s="1119">
        <f t="shared" ref="Y698" si="75">IF(COUNTIF(Y533:Y697,"NA")=165,"NA",IF(AND(SUM(COUNTIF(Y533:Y543,"NS"),COUNTIF(Y550:Y554,"NS"),COUNTIF(Y560:Y563,"NS"),COUNTIF(Y582,"NS"),COUNTIF(Y588:Y590,"NS"),COUNTIF(Y594:Y600,"NS"),COUNTIF(Y608,"NS"),COUNTIF(Y614:Y618,"NS"),COUNTIF(Y625,"NS"),COUNTIF(Y634:Y637,"NS"),COUNTIF(Y644:Y647,"NS"),COUNTIF(Y657,"NS"),COUNTIF(Y661:Y668,"NS"),COUNTIF(Y676:Y677,"NS"),COUNTIF(Y681:Y689,"NS"),COUNTIF(Y695:Y697,"NS"))&gt;0,SUM(Y533:Y543,Y550:Y554,Y560:Y563,Y582,Y588:Y590,Y594:Y600,Y608,Y614:Y618,Y625,Y634:Y637,Y644:Y647,Y657,Y661:Y668,Y676:Y677,Y681:Y689,Y695:Y697)=0),"NS",SUM(Y533:Y543,Y550:Y554,Y560:Y563,Y582,Y588:Y590,Y594:Y600,Y608,Y614:Y618,Y625,Y634:Y637,Y644:Y647,Y657,Y661:Y668,Y676:Y677,Y681:Y689,Y695:Y697)))</f>
        <v>0</v>
      </c>
      <c r="Z698" s="1121"/>
      <c r="AA698" s="1121"/>
      <c r="AB698" s="1121"/>
      <c r="AC698" s="1121"/>
      <c r="AD698" s="1120"/>
      <c r="AF698" s="506">
        <f>SUM(AF689,AF677,AF668,AF657,AF647,AF637,AF625,AF618,AF608,AF600,AF590,AF582,AF563,AF554,AF543)</f>
        <v>0</v>
      </c>
      <c r="AG698" s="506">
        <f>SUM(AG533:AG697)</f>
        <v>0</v>
      </c>
      <c r="AH698" s="506">
        <f>SUM(AH533:AH697,AI533)</f>
        <v>0</v>
      </c>
      <c r="AJ698">
        <f>SUM(AJ533:AJ697)</f>
        <v>0</v>
      </c>
      <c r="AL698" s="405">
        <f>SUM(AL533:AL697)</f>
        <v>0</v>
      </c>
      <c r="AM698" s="506">
        <f>SUM(AM696,AM663,AM646,AM617,AM599,AM596,AM562,AM550,AM537)</f>
        <v>0</v>
      </c>
    </row>
    <row r="699" spans="1:39" ht="15" customHeight="1">
      <c r="A699" s="49"/>
      <c r="B699" s="1087" t="str">
        <f>IF(AND(OR(AND(M541&gt;0,ISNONTEXT(M541)),AND(M552&gt;0,ISNONTEXT(M552)),AND(M568&gt;0,ISNONTEXT(M568)),AND(M569&gt;0,ISNONTEXT(M569)),AND(M602&gt;0,ISNONTEXT(M602)),AND(M614&gt;0,ISNONTEXT(M614)))),"Alerta: debido a que cuenta con registros del fuero común mayores a cero, proporcione una justificación en el área de comentarios","")</f>
        <v/>
      </c>
      <c r="C699" s="1087"/>
      <c r="D699" s="1087"/>
      <c r="E699" s="1087"/>
      <c r="F699" s="1087"/>
      <c r="G699" s="1087"/>
      <c r="H699" s="1087"/>
      <c r="I699" s="1087"/>
      <c r="J699" s="1087"/>
      <c r="K699" s="1087"/>
      <c r="L699" s="1087"/>
      <c r="M699" s="1087"/>
      <c r="N699" s="1087"/>
      <c r="O699" s="1087"/>
      <c r="P699" s="1087"/>
      <c r="Q699" s="1087"/>
      <c r="R699" s="1087"/>
      <c r="S699" s="1087"/>
      <c r="T699" s="1087"/>
      <c r="U699" s="1087"/>
      <c r="V699" s="1087"/>
      <c r="W699" s="1087"/>
      <c r="X699" s="1087"/>
      <c r="Y699" s="1087"/>
      <c r="Z699" s="1087"/>
      <c r="AA699" s="1087"/>
      <c r="AB699" s="1087"/>
      <c r="AC699" s="1087"/>
      <c r="AD699" s="1087"/>
      <c r="AE699" s="1087"/>
      <c r="AK699" t="s">
        <v>5140</v>
      </c>
      <c r="AL699" s="506">
        <f>AL698-COUNTIF(M533:R697,"NA")</f>
        <v>0</v>
      </c>
    </row>
    <row r="700" spans="1:39" ht="24" customHeight="1">
      <c r="A700" s="49"/>
      <c r="B700" s="38"/>
      <c r="C700" s="754" t="s">
        <v>2611</v>
      </c>
      <c r="D700" s="754"/>
      <c r="E700" s="754"/>
      <c r="F700" s="754"/>
      <c r="G700" s="754"/>
      <c r="H700" s="754"/>
      <c r="I700" s="754"/>
      <c r="J700" s="754"/>
      <c r="K700" s="754"/>
      <c r="L700" s="754"/>
      <c r="M700" s="754"/>
      <c r="N700" s="754"/>
      <c r="O700" s="754"/>
      <c r="P700" s="754"/>
      <c r="Q700" s="754"/>
      <c r="R700" s="754"/>
      <c r="S700" s="754"/>
      <c r="T700" s="754"/>
      <c r="U700" s="754"/>
      <c r="V700" s="754"/>
      <c r="W700" s="754"/>
      <c r="X700" s="754"/>
      <c r="Y700" s="754"/>
      <c r="Z700" s="754"/>
      <c r="AA700" s="754"/>
      <c r="AB700" s="754"/>
      <c r="AC700" s="754"/>
      <c r="AD700" s="754"/>
    </row>
    <row r="701" spans="1:39" ht="60" customHeight="1">
      <c r="A701" s="49"/>
      <c r="B701" s="38"/>
      <c r="C701" s="851"/>
      <c r="D701" s="851"/>
      <c r="E701" s="851"/>
      <c r="F701" s="851"/>
      <c r="G701" s="851"/>
      <c r="H701" s="851"/>
      <c r="I701" s="851"/>
      <c r="J701" s="851"/>
      <c r="K701" s="851"/>
      <c r="L701" s="851"/>
      <c r="M701" s="851"/>
      <c r="N701" s="851"/>
      <c r="O701" s="851"/>
      <c r="P701" s="851"/>
      <c r="Q701" s="851"/>
      <c r="R701" s="851"/>
      <c r="S701" s="851"/>
      <c r="T701" s="851"/>
      <c r="U701" s="851"/>
      <c r="V701" s="851"/>
      <c r="W701" s="851"/>
      <c r="X701" s="851"/>
      <c r="Y701" s="851"/>
      <c r="Z701" s="851"/>
      <c r="AA701" s="851"/>
      <c r="AB701" s="851"/>
      <c r="AC701" s="851"/>
      <c r="AD701" s="851"/>
    </row>
    <row r="702" spans="1:39" ht="15">
      <c r="A702" s="94"/>
      <c r="B702" s="1003" t="str">
        <f>IF(AG698=0,"","Favor de ingresar toda la información requerida en la pregunta")</f>
        <v/>
      </c>
      <c r="C702" s="1003"/>
      <c r="D702" s="1003"/>
      <c r="E702" s="1003"/>
      <c r="F702" s="1003"/>
      <c r="G702" s="1003"/>
      <c r="H702" s="1003"/>
      <c r="I702" s="1003"/>
      <c r="J702" s="1003"/>
      <c r="K702" s="1003"/>
      <c r="L702" s="1003"/>
      <c r="M702" s="1003"/>
      <c r="N702" s="1003"/>
      <c r="O702" s="1003"/>
      <c r="P702" s="1003"/>
      <c r="Q702" s="1003"/>
      <c r="R702" s="1003"/>
      <c r="S702" s="1003"/>
      <c r="T702" s="1003"/>
      <c r="U702" s="1003"/>
      <c r="V702" s="1003"/>
      <c r="W702" s="1003"/>
      <c r="X702" s="1003"/>
      <c r="Y702" s="1003"/>
      <c r="Z702" s="1003"/>
      <c r="AA702" s="1003"/>
      <c r="AB702" s="1003"/>
      <c r="AC702" s="1003"/>
      <c r="AD702" s="1003"/>
      <c r="AE702" s="1003"/>
    </row>
    <row r="703" spans="1:39" ht="15">
      <c r="A703" s="94"/>
      <c r="B703" s="1087" t="str">
        <f>IF(OR($M$335=0,$M$335="NS",$M$335="NA"),"",IF(COUNTIF(M533:AD697,"NS")&lt;&gt;0,"Alerta: debido a que cuenta con registros NS, debe proporcionar una justificación en el area de comentarios al final de la pregunta",""))</f>
        <v/>
      </c>
      <c r="C703" s="1087"/>
      <c r="D703" s="1087"/>
      <c r="E703" s="1087"/>
      <c r="F703" s="1087"/>
      <c r="G703" s="1087"/>
      <c r="H703" s="1087"/>
      <c r="I703" s="1087"/>
      <c r="J703" s="1087"/>
      <c r="K703" s="1087"/>
      <c r="L703" s="1087"/>
      <c r="M703" s="1087"/>
      <c r="N703" s="1087"/>
      <c r="O703" s="1087"/>
      <c r="P703" s="1087"/>
      <c r="Q703" s="1087"/>
      <c r="R703" s="1087"/>
      <c r="S703" s="1087"/>
      <c r="T703" s="1087"/>
      <c r="U703" s="1087"/>
      <c r="V703" s="1087"/>
      <c r="W703" s="1087"/>
      <c r="X703" s="1087"/>
      <c r="Y703" s="1087"/>
      <c r="Z703" s="1087"/>
      <c r="AA703" s="1087"/>
      <c r="AB703" s="1087"/>
      <c r="AC703" s="1087"/>
      <c r="AD703" s="1087"/>
      <c r="AE703" s="1087"/>
    </row>
    <row r="704" spans="1:39" ht="15">
      <c r="A704" s="94"/>
      <c r="B704" s="1003" t="str">
        <f>IF(AH698=0,"","Revise la información capturada, ya que tiene datos ingresados en celdas que están sombreadas")</f>
        <v/>
      </c>
      <c r="C704" s="1003"/>
      <c r="D704" s="1003"/>
      <c r="E704" s="1003"/>
      <c r="F704" s="1003"/>
      <c r="G704" s="1003"/>
      <c r="H704" s="1003"/>
      <c r="I704" s="1003"/>
      <c r="J704" s="1003"/>
      <c r="K704" s="1003"/>
      <c r="L704" s="1003"/>
      <c r="M704" s="1003"/>
      <c r="N704" s="1003"/>
      <c r="O704" s="1003"/>
      <c r="P704" s="1003"/>
      <c r="Q704" s="1003"/>
      <c r="R704" s="1003"/>
      <c r="S704" s="1003"/>
      <c r="T704" s="1003"/>
      <c r="U704" s="1003"/>
      <c r="V704" s="1003"/>
      <c r="W704" s="1003"/>
      <c r="X704" s="1003"/>
      <c r="Y704" s="1003"/>
      <c r="Z704" s="1003"/>
      <c r="AA704" s="1003"/>
      <c r="AB704" s="1003"/>
      <c r="AC704" s="1003"/>
      <c r="AD704" s="1003"/>
      <c r="AE704" s="1003"/>
    </row>
    <row r="705" spans="1:35" ht="15">
      <c r="A705" s="94"/>
      <c r="B705" s="1003" t="str">
        <f>IF(OR($M$335=0,$M$335="NS",$M$335="NA"),"",IF(AL699&gt;=1,"Favor de revisar la suma y consistencia de totales y/o subtotales por filas (numéricos y NS)",IF(CE548&gt;0,"Favor de revisar la suma y consistencia de totales y/o subtotales de las desagregaciones de los tipos específicos","")))</f>
        <v/>
      </c>
      <c r="C705" s="1003"/>
      <c r="D705" s="1003"/>
      <c r="E705" s="1003"/>
      <c r="F705" s="1003"/>
      <c r="G705" s="1003"/>
      <c r="H705" s="1003"/>
      <c r="I705" s="1003"/>
      <c r="J705" s="1003"/>
      <c r="K705" s="1003"/>
      <c r="L705" s="1003"/>
      <c r="M705" s="1003"/>
      <c r="N705" s="1003"/>
      <c r="O705" s="1003"/>
      <c r="P705" s="1003"/>
      <c r="Q705" s="1003"/>
      <c r="R705" s="1003"/>
      <c r="S705" s="1003"/>
      <c r="T705" s="1003"/>
      <c r="U705" s="1003"/>
      <c r="V705" s="1003"/>
      <c r="W705" s="1003"/>
      <c r="X705" s="1003"/>
      <c r="Y705" s="1003"/>
      <c r="Z705" s="1003"/>
      <c r="AA705" s="1003"/>
      <c r="AB705" s="1003"/>
      <c r="AC705" s="1003"/>
      <c r="AD705" s="1003"/>
      <c r="AE705" s="1003"/>
    </row>
    <row r="706" spans="1:35" ht="15">
      <c r="A706" s="94"/>
      <c r="B706" s="1003" t="str">
        <f>IF(OR($M$335=0,$M$335="NS",$M$335="NA"),"",IF(AND(M335=M698,S335=S698,Y335=Y698),IF(AF698&gt;0,"Debido a que reportó NA para cierto delito, también anote NA en sus respectivos tipos específicos",""),"Las cantidades de Hombres y Mujeres debe corresponder con los datos reportados en la preg. 11.13 del numeral 2"))</f>
        <v/>
      </c>
      <c r="C706" s="1003"/>
      <c r="D706" s="1003"/>
      <c r="E706" s="1003"/>
      <c r="F706" s="1003"/>
      <c r="G706" s="1003"/>
      <c r="H706" s="1003"/>
      <c r="I706" s="1003"/>
      <c r="J706" s="1003"/>
      <c r="K706" s="1003"/>
      <c r="L706" s="1003"/>
      <c r="M706" s="1003"/>
      <c r="N706" s="1003"/>
      <c r="O706" s="1003"/>
      <c r="P706" s="1003"/>
      <c r="Q706" s="1003"/>
      <c r="R706" s="1003"/>
      <c r="S706" s="1003"/>
      <c r="T706" s="1003"/>
      <c r="U706" s="1003"/>
      <c r="V706" s="1003"/>
      <c r="W706" s="1003"/>
      <c r="X706" s="1003"/>
      <c r="Y706" s="1003"/>
      <c r="Z706" s="1003"/>
      <c r="AA706" s="1003"/>
      <c r="AB706" s="1003"/>
      <c r="AC706" s="1003"/>
      <c r="AD706" s="1003"/>
      <c r="AE706" s="1003"/>
    </row>
    <row r="707" spans="1:35" ht="15.75" thickBot="1">
      <c r="A707" s="94"/>
      <c r="B707" s="1087" t="str">
        <f>IF(AM698&gt;0,"Alerta: si el total en Otros delitos es mayor al 25% por bien jurídico, anote el n. de los delitos en la casilla al final de la pregunta","")</f>
        <v/>
      </c>
      <c r="C707" s="1087"/>
      <c r="D707" s="1087"/>
      <c r="E707" s="1087"/>
      <c r="F707" s="1087"/>
      <c r="G707" s="1087"/>
      <c r="H707" s="1087"/>
      <c r="I707" s="1087"/>
      <c r="J707" s="1087"/>
      <c r="K707" s="1087"/>
      <c r="L707" s="1087"/>
      <c r="M707" s="1087"/>
      <c r="N707" s="1087"/>
      <c r="O707" s="1087"/>
      <c r="P707" s="1087"/>
      <c r="Q707" s="1087"/>
      <c r="R707" s="1087"/>
      <c r="S707" s="1087"/>
      <c r="T707" s="1087"/>
      <c r="U707" s="1087"/>
      <c r="V707" s="1087"/>
      <c r="W707" s="1087"/>
      <c r="X707" s="1087"/>
      <c r="Y707" s="1087"/>
      <c r="Z707" s="1087"/>
      <c r="AA707" s="1087"/>
      <c r="AB707" s="1087"/>
      <c r="AC707" s="1087"/>
      <c r="AD707" s="1087"/>
      <c r="AE707" s="1087"/>
    </row>
    <row r="708" spans="1:35" customFormat="1" ht="15" customHeight="1" thickBot="1">
      <c r="A708" s="153" t="s">
        <v>2563</v>
      </c>
      <c r="B708" s="1081" t="s">
        <v>5659</v>
      </c>
      <c r="C708" s="1082"/>
      <c r="D708" s="1082"/>
      <c r="E708" s="1082"/>
      <c r="F708" s="1082"/>
      <c r="G708" s="1082"/>
      <c r="H708" s="1082"/>
      <c r="I708" s="1082"/>
      <c r="J708" s="1082"/>
      <c r="K708" s="1082"/>
      <c r="L708" s="1082"/>
      <c r="M708" s="1082"/>
      <c r="N708" s="1082"/>
      <c r="O708" s="1082"/>
      <c r="P708" s="1082"/>
      <c r="Q708" s="1082"/>
      <c r="R708" s="1082"/>
      <c r="S708" s="1082"/>
      <c r="T708" s="1082"/>
      <c r="U708" s="1082"/>
      <c r="V708" s="1082"/>
      <c r="W708" s="1082"/>
      <c r="X708" s="1082"/>
      <c r="Y708" s="1082"/>
      <c r="Z708" s="1082"/>
      <c r="AA708" s="1082"/>
      <c r="AB708" s="1082"/>
      <c r="AC708" s="1082"/>
      <c r="AD708" s="1083"/>
      <c r="AE708" s="3"/>
    </row>
    <row r="709" spans="1:35" ht="15" customHeight="1">
      <c r="A709" s="147"/>
      <c r="B709" s="838" t="s">
        <v>3005</v>
      </c>
      <c r="C709" s="839"/>
      <c r="D709" s="839"/>
      <c r="E709" s="839"/>
      <c r="F709" s="839"/>
      <c r="G709" s="839"/>
      <c r="H709" s="839"/>
      <c r="I709" s="839"/>
      <c r="J709" s="839"/>
      <c r="K709" s="839"/>
      <c r="L709" s="839"/>
      <c r="M709" s="839"/>
      <c r="N709" s="839"/>
      <c r="O709" s="839"/>
      <c r="P709" s="839"/>
      <c r="Q709" s="839"/>
      <c r="R709" s="839"/>
      <c r="S709" s="839"/>
      <c r="T709" s="839"/>
      <c r="U709" s="839"/>
      <c r="V709" s="839"/>
      <c r="W709" s="839"/>
      <c r="X709" s="839"/>
      <c r="Y709" s="839"/>
      <c r="Z709" s="839"/>
      <c r="AA709" s="839"/>
      <c r="AB709" s="839"/>
      <c r="AC709" s="839"/>
      <c r="AD709" s="840"/>
    </row>
    <row r="710" spans="1:35" ht="84" customHeight="1">
      <c r="A710" s="147"/>
      <c r="B710" s="130"/>
      <c r="C710" s="855" t="s">
        <v>5660</v>
      </c>
      <c r="D710" s="1004"/>
      <c r="E710" s="1004"/>
      <c r="F710" s="1004"/>
      <c r="G710" s="1004"/>
      <c r="H710" s="1004"/>
      <c r="I710" s="1004"/>
      <c r="J710" s="1004"/>
      <c r="K710" s="1004"/>
      <c r="L710" s="1004"/>
      <c r="M710" s="1004"/>
      <c r="N710" s="1004"/>
      <c r="O710" s="1004"/>
      <c r="P710" s="1004"/>
      <c r="Q710" s="1004"/>
      <c r="R710" s="1004"/>
      <c r="S710" s="1004"/>
      <c r="T710" s="1004"/>
      <c r="U710" s="1004"/>
      <c r="V710" s="1004"/>
      <c r="W710" s="1004"/>
      <c r="X710" s="1004"/>
      <c r="Y710" s="1004"/>
      <c r="Z710" s="1004"/>
      <c r="AA710" s="1004"/>
      <c r="AB710" s="1004"/>
      <c r="AC710" s="1004"/>
      <c r="AD710" s="1005"/>
    </row>
    <row r="711" spans="1:35" ht="15" customHeight="1">
      <c r="A711" s="50"/>
      <c r="B711" s="1006" t="s">
        <v>2565</v>
      </c>
      <c r="C711" s="893"/>
      <c r="D711" s="893"/>
      <c r="E711" s="893"/>
      <c r="F711" s="893"/>
      <c r="G711" s="893"/>
      <c r="H711" s="893"/>
      <c r="I711" s="893"/>
      <c r="J711" s="893"/>
      <c r="K711" s="893"/>
      <c r="L711" s="893"/>
      <c r="M711" s="893"/>
      <c r="N711" s="893"/>
      <c r="O711" s="893"/>
      <c r="P711" s="893"/>
      <c r="Q711" s="893"/>
      <c r="R711" s="893"/>
      <c r="S711" s="893"/>
      <c r="T711" s="893"/>
      <c r="U711" s="893"/>
      <c r="V711" s="893"/>
      <c r="W711" s="893"/>
      <c r="X711" s="893"/>
      <c r="Y711" s="893"/>
      <c r="Z711" s="893"/>
      <c r="AA711" s="893"/>
      <c r="AB711" s="893"/>
      <c r="AC711" s="893"/>
      <c r="AD711" s="1007"/>
    </row>
    <row r="712" spans="1:35" ht="72" customHeight="1">
      <c r="A712" s="50"/>
      <c r="B712" s="95"/>
      <c r="C712" s="764" t="s">
        <v>5661</v>
      </c>
      <c r="D712" s="876"/>
      <c r="E712" s="876"/>
      <c r="F712" s="876"/>
      <c r="G712" s="876"/>
      <c r="H712" s="876"/>
      <c r="I712" s="876"/>
      <c r="J712" s="876"/>
      <c r="K712" s="876"/>
      <c r="L712" s="876"/>
      <c r="M712" s="876"/>
      <c r="N712" s="876"/>
      <c r="O712" s="876"/>
      <c r="P712" s="876"/>
      <c r="Q712" s="876"/>
      <c r="R712" s="876"/>
      <c r="S712" s="876"/>
      <c r="T712" s="876"/>
      <c r="U712" s="876"/>
      <c r="V712" s="876"/>
      <c r="W712" s="876"/>
      <c r="X712" s="876"/>
      <c r="Y712" s="876"/>
      <c r="Z712" s="876"/>
      <c r="AA712" s="876"/>
      <c r="AB712" s="876"/>
      <c r="AC712" s="876"/>
      <c r="AD712" s="877"/>
    </row>
    <row r="713" spans="1:35" ht="15">
      <c r="A713" s="94"/>
    </row>
    <row r="714" spans="1:35" ht="36" customHeight="1">
      <c r="A714" s="49" t="s">
        <v>5662</v>
      </c>
      <c r="B714" s="829" t="s">
        <v>5663</v>
      </c>
      <c r="C714" s="829"/>
      <c r="D714" s="829"/>
      <c r="E714" s="829"/>
      <c r="F714" s="829"/>
      <c r="G714" s="829"/>
      <c r="H714" s="829"/>
      <c r="I714" s="829"/>
      <c r="J714" s="829"/>
      <c r="K714" s="829"/>
      <c r="L714" s="829"/>
      <c r="M714" s="829"/>
      <c r="N714" s="829"/>
      <c r="O714" s="829"/>
      <c r="P714" s="829"/>
      <c r="Q714" s="829"/>
      <c r="R714" s="829"/>
      <c r="S714" s="829"/>
      <c r="T714" s="829"/>
      <c r="U714" s="829"/>
      <c r="V714" s="829"/>
      <c r="W714" s="829"/>
      <c r="X714" s="829"/>
      <c r="Y714" s="829"/>
      <c r="Z714" s="829"/>
      <c r="AA714" s="829"/>
      <c r="AB714" s="829"/>
      <c r="AC714" s="829"/>
      <c r="AD714" s="829"/>
    </row>
    <row r="715" spans="1:35" ht="24" customHeight="1">
      <c r="A715" s="50"/>
      <c r="B715" s="38"/>
      <c r="C715" s="830" t="s">
        <v>5664</v>
      </c>
      <c r="D715" s="830"/>
      <c r="E715" s="830"/>
      <c r="F715" s="830"/>
      <c r="G715" s="830"/>
      <c r="H715" s="830"/>
      <c r="I715" s="830"/>
      <c r="J715" s="830"/>
      <c r="K715" s="830"/>
      <c r="L715" s="830"/>
      <c r="M715" s="830"/>
      <c r="N715" s="830"/>
      <c r="O715" s="830"/>
      <c r="P715" s="830"/>
      <c r="Q715" s="830"/>
      <c r="R715" s="830"/>
      <c r="S715" s="830"/>
      <c r="T715" s="830"/>
      <c r="U715" s="830"/>
      <c r="V715" s="830"/>
      <c r="W715" s="830"/>
      <c r="X715" s="830"/>
      <c r="Y715" s="830"/>
      <c r="Z715" s="830"/>
      <c r="AA715" s="830"/>
      <c r="AB715" s="830"/>
      <c r="AC715" s="830"/>
      <c r="AD715" s="830"/>
    </row>
    <row r="716" spans="1:35" ht="15">
      <c r="A716" s="50"/>
      <c r="B716" s="38"/>
      <c r="C716" s="830" t="s">
        <v>5665</v>
      </c>
      <c r="D716" s="830"/>
      <c r="E716" s="830"/>
      <c r="F716" s="830"/>
      <c r="G716" s="830"/>
      <c r="H716" s="830"/>
      <c r="I716" s="830"/>
      <c r="J716" s="830"/>
      <c r="K716" s="830"/>
      <c r="L716" s="830"/>
      <c r="M716" s="830"/>
      <c r="N716" s="830"/>
      <c r="O716" s="830"/>
      <c r="P716" s="830"/>
      <c r="Q716" s="830"/>
      <c r="R716" s="830"/>
      <c r="S716" s="830"/>
      <c r="T716" s="830"/>
      <c r="U716" s="830"/>
      <c r="V716" s="830"/>
      <c r="W716" s="830"/>
      <c r="X716" s="830"/>
      <c r="Y716" s="830"/>
      <c r="Z716" s="830"/>
      <c r="AA716" s="830"/>
      <c r="AB716" s="830"/>
      <c r="AC716" s="830"/>
      <c r="AD716" s="830"/>
    </row>
    <row r="717" spans="1:35" ht="24" customHeight="1">
      <c r="A717" s="166"/>
      <c r="B717" s="57"/>
      <c r="C717" s="830" t="s">
        <v>5666</v>
      </c>
      <c r="D717" s="830"/>
      <c r="E717" s="830"/>
      <c r="F717" s="830"/>
      <c r="G717" s="830"/>
      <c r="H717" s="830"/>
      <c r="I717" s="830"/>
      <c r="J717" s="830"/>
      <c r="K717" s="830"/>
      <c r="L717" s="830"/>
      <c r="M717" s="830"/>
      <c r="N717" s="830"/>
      <c r="O717" s="830"/>
      <c r="P717" s="830"/>
      <c r="Q717" s="830"/>
      <c r="R717" s="830"/>
      <c r="S717" s="830"/>
      <c r="T717" s="830"/>
      <c r="U717" s="830"/>
      <c r="V717" s="830"/>
      <c r="W717" s="830"/>
      <c r="X717" s="830"/>
      <c r="Y717" s="830"/>
      <c r="Z717" s="830"/>
      <c r="AA717" s="830"/>
      <c r="AB717" s="830"/>
      <c r="AC717" s="830"/>
      <c r="AD717" s="830"/>
    </row>
    <row r="718" spans="1:35" ht="15">
      <c r="A718" s="49"/>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c r="AA718" s="38"/>
      <c r="AB718" s="38"/>
      <c r="AC718" s="38"/>
      <c r="AD718" s="38"/>
    </row>
    <row r="719" spans="1:35" ht="15" customHeight="1">
      <c r="A719" s="110"/>
      <c r="B719" s="57"/>
      <c r="C719" s="732" t="s">
        <v>5667</v>
      </c>
      <c r="D719" s="732"/>
      <c r="E719" s="732"/>
      <c r="F719" s="732"/>
      <c r="G719" s="732"/>
      <c r="H719" s="732"/>
      <c r="I719" s="732"/>
      <c r="J719" s="732"/>
      <c r="K719" s="732"/>
      <c r="L719" s="732"/>
      <c r="M719" s="739" t="s">
        <v>5668</v>
      </c>
      <c r="N719" s="740"/>
      <c r="O719" s="740"/>
      <c r="P719" s="740"/>
      <c r="Q719" s="740"/>
      <c r="R719" s="740"/>
      <c r="S719" s="740"/>
      <c r="T719" s="740"/>
      <c r="U719" s="740"/>
      <c r="V719" s="740"/>
      <c r="W719" s="740"/>
      <c r="X719" s="740"/>
      <c r="Y719" s="740"/>
      <c r="Z719" s="740"/>
      <c r="AA719" s="740"/>
      <c r="AB719" s="740"/>
      <c r="AC719" s="740"/>
      <c r="AD719" s="741"/>
    </row>
    <row r="720" spans="1:35" ht="204" customHeight="1">
      <c r="A720" s="110"/>
      <c r="B720" s="57"/>
      <c r="C720" s="732"/>
      <c r="D720" s="732"/>
      <c r="E720" s="732"/>
      <c r="F720" s="732"/>
      <c r="G720" s="732"/>
      <c r="H720" s="732"/>
      <c r="I720" s="732"/>
      <c r="J720" s="732"/>
      <c r="K720" s="732"/>
      <c r="L720" s="732"/>
      <c r="M720" s="858" t="s">
        <v>5669</v>
      </c>
      <c r="N720" s="860"/>
      <c r="O720" s="858" t="s">
        <v>5670</v>
      </c>
      <c r="P720" s="860"/>
      <c r="Q720" s="858" t="s">
        <v>5671</v>
      </c>
      <c r="R720" s="860"/>
      <c r="S720" s="858" t="s">
        <v>5672</v>
      </c>
      <c r="T720" s="860"/>
      <c r="U720" s="858" t="s">
        <v>5673</v>
      </c>
      <c r="V720" s="860"/>
      <c r="W720" s="858" t="s">
        <v>5674</v>
      </c>
      <c r="X720" s="860"/>
      <c r="Y720" s="858" t="s">
        <v>5675</v>
      </c>
      <c r="Z720" s="860"/>
      <c r="AA720" s="858" t="s">
        <v>5676</v>
      </c>
      <c r="AB720" s="860"/>
      <c r="AC720" s="858" t="s">
        <v>2990</v>
      </c>
      <c r="AD720" s="860"/>
      <c r="AF720" s="679" t="s">
        <v>4680</v>
      </c>
      <c r="AG720" t="s">
        <v>2586</v>
      </c>
      <c r="AH720" t="s">
        <v>4581</v>
      </c>
      <c r="AI720"/>
    </row>
    <row r="721" spans="1:35" ht="15">
      <c r="A721" s="110"/>
      <c r="B721" s="57"/>
      <c r="C721" s="749"/>
      <c r="D721" s="749"/>
      <c r="E721" s="749"/>
      <c r="F721" s="749"/>
      <c r="G721" s="749"/>
      <c r="H721" s="749"/>
      <c r="I721" s="749"/>
      <c r="J721" s="749"/>
      <c r="K721" s="749"/>
      <c r="L721" s="749"/>
      <c r="M721" s="1060"/>
      <c r="N721" s="1060"/>
      <c r="O721" s="1060"/>
      <c r="P721" s="1060"/>
      <c r="Q721" s="1060"/>
      <c r="R721" s="1060"/>
      <c r="S721" s="1060"/>
      <c r="T721" s="1060"/>
      <c r="U721" s="1060"/>
      <c r="V721" s="1060"/>
      <c r="W721" s="1060"/>
      <c r="X721" s="1060"/>
      <c r="Y721" s="1060"/>
      <c r="Z721" s="1060"/>
      <c r="AA721" s="1060"/>
      <c r="AB721" s="1060"/>
      <c r="AC721" s="1060"/>
      <c r="AD721" s="1060"/>
      <c r="AF721" s="249">
        <f>IF(AND(AC721="",F723&lt;&gt;""),1,0)</f>
        <v>0</v>
      </c>
      <c r="AG721" s="506">
        <f>IF(C721&gt;1,0,IF(OR(AND(C721="",COUNTBLANK(M721:AD721)&lt;18),AND(NOT(C721=""),NOT(COUNTBLANK(M721:AD721)&lt;18))),1,0))</f>
        <v>0</v>
      </c>
      <c r="AH721">
        <f>IF(C721&gt;1,IF(COUNTBLANK(M721:AD721)=18,0,1),0)</f>
        <v>0</v>
      </c>
      <c r="AI721"/>
    </row>
    <row r="722" spans="1:35" ht="15" customHeight="1">
      <c r="A722" s="103"/>
      <c r="B722" s="57"/>
      <c r="C722" s="57"/>
      <c r="D722" s="57"/>
      <c r="E722" s="57"/>
      <c r="F722" s="57"/>
      <c r="G722" s="57"/>
      <c r="H722" s="57"/>
      <c r="I722" s="57"/>
      <c r="J722" s="57"/>
      <c r="K722" s="57"/>
      <c r="L722" s="57"/>
      <c r="M722" s="57"/>
      <c r="N722" s="57"/>
      <c r="O722" s="57"/>
      <c r="P722" s="57"/>
      <c r="Q722" s="57"/>
      <c r="R722" s="57"/>
      <c r="S722" s="57"/>
      <c r="T722" s="57"/>
      <c r="U722" s="57"/>
      <c r="V722" s="57"/>
      <c r="W722" s="57"/>
      <c r="X722" s="57"/>
      <c r="Y722" s="57"/>
      <c r="Z722" s="57"/>
      <c r="AA722" s="57"/>
      <c r="AB722" s="57"/>
      <c r="AC722" s="57"/>
      <c r="AD722" s="57"/>
      <c r="AF722"/>
      <c r="AG722"/>
      <c r="AH722" s="506">
        <f>SUM(AF721,AH721)</f>
        <v>0</v>
      </c>
      <c r="AI722"/>
    </row>
    <row r="723" spans="1:35" ht="45" customHeight="1">
      <c r="A723" s="49"/>
      <c r="B723" s="57"/>
      <c r="C723" s="822" t="s">
        <v>2798</v>
      </c>
      <c r="D723" s="822"/>
      <c r="E723" s="822"/>
      <c r="F723" s="749"/>
      <c r="G723" s="749"/>
      <c r="H723" s="749"/>
      <c r="I723" s="749"/>
      <c r="J723" s="749"/>
      <c r="K723" s="749"/>
      <c r="L723" s="749"/>
      <c r="M723" s="749"/>
      <c r="N723" s="749"/>
      <c r="O723" s="749"/>
      <c r="P723" s="749"/>
      <c r="Q723" s="749"/>
      <c r="R723" s="749"/>
      <c r="S723" s="749"/>
      <c r="T723" s="749"/>
      <c r="U723" s="749"/>
      <c r="V723" s="749"/>
      <c r="W723" s="749"/>
      <c r="X723" s="749"/>
      <c r="Y723" s="749"/>
      <c r="Z723" s="749"/>
      <c r="AA723" s="749"/>
      <c r="AB723" s="749"/>
      <c r="AC723" s="749"/>
      <c r="AD723" s="749"/>
    </row>
    <row r="724" spans="1:35" ht="15" customHeight="1">
      <c r="A724" s="49"/>
      <c r="B724" s="1003" t="str">
        <f>IF(AND(AC721="X",F723=""),"Debido a que seleccionó la columna Otro tipo, debe anotar el nombre de dicho(s) tipo(s) de acciones","")</f>
        <v/>
      </c>
      <c r="C724" s="1003"/>
      <c r="D724" s="1003"/>
      <c r="E724" s="1003"/>
      <c r="F724" s="1003"/>
      <c r="G724" s="1003"/>
      <c r="H724" s="1003"/>
      <c r="I724" s="1003"/>
      <c r="J724" s="1003"/>
      <c r="K724" s="1003"/>
      <c r="L724" s="1003"/>
      <c r="M724" s="1003"/>
      <c r="N724" s="1003"/>
      <c r="O724" s="1003"/>
      <c r="P724" s="1003"/>
      <c r="Q724" s="1003"/>
      <c r="R724" s="1003"/>
      <c r="S724" s="1003"/>
      <c r="T724" s="1003"/>
      <c r="U724" s="1003"/>
      <c r="V724" s="1003"/>
      <c r="W724" s="1003"/>
      <c r="X724" s="1003"/>
      <c r="Y724" s="1003"/>
      <c r="Z724" s="1003"/>
      <c r="AA724" s="1003"/>
      <c r="AB724" s="1003"/>
      <c r="AC724" s="1003"/>
      <c r="AD724" s="1003"/>
      <c r="AE724" s="1003"/>
    </row>
    <row r="725" spans="1:35" ht="24" customHeight="1">
      <c r="A725" s="103"/>
      <c r="B725" s="57"/>
      <c r="C725" s="754" t="s">
        <v>2611</v>
      </c>
      <c r="D725" s="754"/>
      <c r="E725" s="754"/>
      <c r="F725" s="754"/>
      <c r="G725" s="754"/>
      <c r="H725" s="754"/>
      <c r="I725" s="754"/>
      <c r="J725" s="754"/>
      <c r="K725" s="754"/>
      <c r="L725" s="754"/>
      <c r="M725" s="754"/>
      <c r="N725" s="754"/>
      <c r="O725" s="754"/>
      <c r="P725" s="754"/>
      <c r="Q725" s="754"/>
      <c r="R725" s="754"/>
      <c r="S725" s="754"/>
      <c r="T725" s="754"/>
      <c r="U725" s="754"/>
      <c r="V725" s="754"/>
      <c r="W725" s="754"/>
      <c r="X725" s="754"/>
      <c r="Y725" s="754"/>
      <c r="Z725" s="754"/>
      <c r="AA725" s="754"/>
      <c r="AB725" s="754"/>
      <c r="AC725" s="754"/>
      <c r="AD725" s="754"/>
    </row>
    <row r="726" spans="1:35" ht="60" customHeight="1">
      <c r="A726" s="103"/>
      <c r="B726" s="57"/>
      <c r="C726" s="812"/>
      <c r="D726" s="812"/>
      <c r="E726" s="812"/>
      <c r="F726" s="812"/>
      <c r="G726" s="812"/>
      <c r="H726" s="812"/>
      <c r="I726" s="812"/>
      <c r="J726" s="812"/>
      <c r="K726" s="812"/>
      <c r="L726" s="812"/>
      <c r="M726" s="812"/>
      <c r="N726" s="812"/>
      <c r="O726" s="812"/>
      <c r="P726" s="812"/>
      <c r="Q726" s="812"/>
      <c r="R726" s="812"/>
      <c r="S726" s="812"/>
      <c r="T726" s="812"/>
      <c r="U726" s="812"/>
      <c r="V726" s="812"/>
      <c r="W726" s="812"/>
      <c r="X726" s="812"/>
      <c r="Y726" s="812"/>
      <c r="Z726" s="812"/>
      <c r="AA726" s="812"/>
      <c r="AB726" s="812"/>
      <c r="AC726" s="812"/>
      <c r="AD726" s="812"/>
    </row>
    <row r="727" spans="1:35" ht="15" customHeight="1">
      <c r="B727" s="794" t="str">
        <f>IF(AG721=0,"","Favor de ingresar toda la información requerida en la pregunta")</f>
        <v/>
      </c>
      <c r="C727" s="794"/>
      <c r="D727" s="794"/>
      <c r="E727" s="794"/>
      <c r="F727" s="794"/>
      <c r="G727" s="794"/>
      <c r="H727" s="794"/>
      <c r="I727" s="794"/>
      <c r="J727" s="794"/>
      <c r="K727" s="794"/>
      <c r="L727" s="794"/>
      <c r="M727" s="794"/>
      <c r="N727" s="794"/>
      <c r="O727" s="794"/>
      <c r="P727" s="794"/>
      <c r="Q727" s="794"/>
      <c r="R727" s="794"/>
      <c r="S727" s="794"/>
      <c r="T727" s="794"/>
      <c r="U727" s="794"/>
      <c r="V727" s="794"/>
      <c r="W727" s="794"/>
      <c r="X727" s="794"/>
      <c r="Y727" s="794"/>
      <c r="Z727" s="794"/>
      <c r="AA727" s="794"/>
      <c r="AB727" s="794"/>
      <c r="AC727" s="794"/>
      <c r="AD727" s="794"/>
      <c r="AE727" s="794"/>
    </row>
    <row r="728" spans="1:35" ht="15" customHeight="1">
      <c r="B728" s="1003" t="str">
        <f>IF(AH722&gt;0,"Revise la información capturada, ya que tiene datos ingresados en celdas que están sombreadas","")</f>
        <v/>
      </c>
      <c r="C728" s="1003"/>
      <c r="D728" s="1003"/>
      <c r="E728" s="1003"/>
      <c r="F728" s="1003"/>
      <c r="G728" s="1003"/>
      <c r="H728" s="1003"/>
      <c r="I728" s="1003"/>
      <c r="J728" s="1003"/>
      <c r="K728" s="1003"/>
      <c r="L728" s="1003"/>
      <c r="M728" s="1003"/>
      <c r="N728" s="1003"/>
      <c r="O728" s="1003"/>
      <c r="P728" s="1003"/>
      <c r="Q728" s="1003"/>
      <c r="R728" s="1003"/>
      <c r="S728" s="1003"/>
      <c r="T728" s="1003"/>
      <c r="U728" s="1003"/>
      <c r="V728" s="1003"/>
      <c r="W728" s="1003"/>
      <c r="X728" s="1003"/>
      <c r="Y728" s="1003"/>
      <c r="Z728" s="1003"/>
      <c r="AA728" s="1003"/>
      <c r="AB728" s="1003"/>
      <c r="AC728" s="1003"/>
      <c r="AD728" s="1003"/>
      <c r="AE728" s="1003"/>
    </row>
    <row r="729" spans="1:35" ht="15" customHeight="1">
      <c r="B729" s="678"/>
      <c r="C729" s="678"/>
      <c r="D729" s="678"/>
      <c r="E729" s="678"/>
      <c r="F729" s="678"/>
      <c r="G729" s="678"/>
      <c r="H729" s="678"/>
      <c r="I729" s="678"/>
      <c r="J729" s="678"/>
      <c r="K729" s="678"/>
      <c r="L729" s="678"/>
      <c r="M729" s="678"/>
      <c r="N729" s="678"/>
      <c r="O729" s="678"/>
      <c r="P729" s="678"/>
      <c r="Q729" s="678"/>
      <c r="R729" s="678"/>
      <c r="S729" s="678"/>
      <c r="T729" s="678"/>
      <c r="U729" s="678"/>
      <c r="V729" s="678"/>
      <c r="W729" s="678"/>
      <c r="X729" s="678"/>
      <c r="Y729" s="678"/>
      <c r="Z729" s="678"/>
      <c r="AA729" s="678"/>
      <c r="AB729" s="678"/>
      <c r="AC729" s="678"/>
      <c r="AD729" s="678"/>
      <c r="AE729" s="678"/>
    </row>
    <row r="730" spans="1:35" ht="15" customHeight="1">
      <c r="B730"/>
      <c r="C730"/>
      <c r="D730"/>
      <c r="E730"/>
      <c r="F730"/>
      <c r="G730"/>
      <c r="H730"/>
      <c r="I730"/>
      <c r="J730"/>
      <c r="K730"/>
      <c r="L730"/>
      <c r="M730"/>
      <c r="N730"/>
      <c r="O730"/>
      <c r="P730"/>
      <c r="Q730"/>
      <c r="R730"/>
      <c r="S730"/>
      <c r="T730"/>
      <c r="U730"/>
      <c r="V730"/>
      <c r="W730"/>
      <c r="X730"/>
      <c r="Y730"/>
      <c r="Z730"/>
      <c r="AA730"/>
      <c r="AB730"/>
      <c r="AC730"/>
      <c r="AD730"/>
      <c r="AE730"/>
    </row>
    <row r="731" spans="1:35" ht="15" customHeight="1">
      <c r="B731"/>
      <c r="C731"/>
      <c r="D731"/>
      <c r="E731"/>
      <c r="F731"/>
      <c r="G731"/>
      <c r="H731"/>
      <c r="I731"/>
      <c r="J731"/>
      <c r="K731"/>
      <c r="L731"/>
      <c r="M731"/>
      <c r="N731"/>
      <c r="O731"/>
      <c r="P731"/>
      <c r="Q731"/>
      <c r="R731"/>
      <c r="S731"/>
      <c r="T731"/>
      <c r="U731"/>
      <c r="V731"/>
      <c r="W731"/>
      <c r="X731"/>
      <c r="Y731"/>
      <c r="Z731"/>
      <c r="AA731"/>
      <c r="AB731"/>
      <c r="AC731"/>
      <c r="AD731"/>
      <c r="AE731"/>
    </row>
    <row r="732" spans="1:35" ht="15" customHeight="1">
      <c r="B732"/>
      <c r="C732"/>
      <c r="D732"/>
      <c r="E732"/>
      <c r="F732"/>
      <c r="G732"/>
      <c r="H732"/>
      <c r="I732"/>
      <c r="J732"/>
      <c r="K732"/>
      <c r="L732"/>
      <c r="M732"/>
      <c r="N732"/>
      <c r="O732"/>
      <c r="P732"/>
      <c r="Q732"/>
      <c r="R732"/>
      <c r="S732"/>
      <c r="T732"/>
      <c r="U732"/>
      <c r="V732"/>
      <c r="W732"/>
      <c r="X732"/>
      <c r="Y732"/>
      <c r="Z732"/>
      <c r="AA732"/>
      <c r="AB732"/>
      <c r="AC732"/>
      <c r="AD732"/>
      <c r="AE732"/>
    </row>
    <row r="733" spans="1:35" ht="15" hidden="1" customHeight="1"/>
  </sheetData>
  <sheetProtection algorithmName="SHA-512" hashValue="a2GZqTYCZPcUsyFRo0SwEo4yMt+42266UPQGjl2Ubw8sBsxt/7Q/UjmppSnNpOlljSL7KOImqqsKyxNR2hcl3g==" saltValue="CnmVge+gf54F2RaNvBV6ug==" spinCount="100000" sheet="1" objects="1" scenarios="1"/>
  <mergeCells count="2458">
    <mergeCell ref="B699:AE699"/>
    <mergeCell ref="B702:AE702"/>
    <mergeCell ref="B703:AE703"/>
    <mergeCell ref="B704:AE704"/>
    <mergeCell ref="B705:AE705"/>
    <mergeCell ref="B706:AE706"/>
    <mergeCell ref="B707:AE707"/>
    <mergeCell ref="B37:AE37"/>
    <mergeCell ref="B38:AE38"/>
    <mergeCell ref="B39:AE39"/>
    <mergeCell ref="B40:AE40"/>
    <mergeCell ref="B41:AE41"/>
    <mergeCell ref="B709:AD709"/>
    <mergeCell ref="C710:AD710"/>
    <mergeCell ref="B711:AD711"/>
    <mergeCell ref="C712:AD712"/>
    <mergeCell ref="B714:AD714"/>
    <mergeCell ref="M71:R71"/>
    <mergeCell ref="S71:X71"/>
    <mergeCell ref="Y71:AD71"/>
    <mergeCell ref="D72:L72"/>
    <mergeCell ref="M72:R72"/>
    <mergeCell ref="S72:X72"/>
    <mergeCell ref="Y72:AD72"/>
    <mergeCell ref="D69:L69"/>
    <mergeCell ref="M69:R69"/>
    <mergeCell ref="S69:X69"/>
    <mergeCell ref="Y69:AD69"/>
    <mergeCell ref="D70:L70"/>
    <mergeCell ref="M70:R70"/>
    <mergeCell ref="S70:X70"/>
    <mergeCell ref="Y70:AD70"/>
    <mergeCell ref="C715:AD715"/>
    <mergeCell ref="C716:AD716"/>
    <mergeCell ref="C717:AD717"/>
    <mergeCell ref="C44:AD44"/>
    <mergeCell ref="C323:AD323"/>
    <mergeCell ref="C324:AD324"/>
    <mergeCell ref="C325:AD325"/>
    <mergeCell ref="C326:AD326"/>
    <mergeCell ref="B329:AD329"/>
    <mergeCell ref="B527:AD527"/>
    <mergeCell ref="Y51:AD51"/>
    <mergeCell ref="D48:L48"/>
    <mergeCell ref="M48:R48"/>
    <mergeCell ref="S48:X48"/>
    <mergeCell ref="Y48:AD48"/>
    <mergeCell ref="D49:L49"/>
    <mergeCell ref="M49:R49"/>
    <mergeCell ref="S49:X49"/>
    <mergeCell ref="Y49:AD49"/>
    <mergeCell ref="D73:L73"/>
    <mergeCell ref="M73:R73"/>
    <mergeCell ref="S73:X73"/>
    <mergeCell ref="S50:X50"/>
    <mergeCell ref="Y50:AD50"/>
    <mergeCell ref="M51:R51"/>
    <mergeCell ref="S51:X51"/>
    <mergeCell ref="Y74:AD74"/>
    <mergeCell ref="C54:AD54"/>
    <mergeCell ref="B61:AD61"/>
    <mergeCell ref="C62:AD62"/>
    <mergeCell ref="C63:AD63"/>
    <mergeCell ref="D71:L71"/>
    <mergeCell ref="B1:AD1"/>
    <mergeCell ref="B3:AD3"/>
    <mergeCell ref="B5:AD5"/>
    <mergeCell ref="AA7:AD7"/>
    <mergeCell ref="B8:L8"/>
    <mergeCell ref="N8:O8"/>
    <mergeCell ref="C20:AD20"/>
    <mergeCell ref="C21:AD21"/>
    <mergeCell ref="B23:AD23"/>
    <mergeCell ref="B24:AD24"/>
    <mergeCell ref="C25:AD25"/>
    <mergeCell ref="C26:AD26"/>
    <mergeCell ref="B28:AD28"/>
    <mergeCell ref="C29:AD29"/>
    <mergeCell ref="C31:O32"/>
    <mergeCell ref="P31:AD31"/>
    <mergeCell ref="P32:T32"/>
    <mergeCell ref="U32:Y32"/>
    <mergeCell ref="Z32:AD32"/>
    <mergeCell ref="F723:AD723"/>
    <mergeCell ref="U721:V721"/>
    <mergeCell ref="S721:T721"/>
    <mergeCell ref="C719:L720"/>
    <mergeCell ref="M719:AD719"/>
    <mergeCell ref="M720:N720"/>
    <mergeCell ref="O720:P720"/>
    <mergeCell ref="Q720:R720"/>
    <mergeCell ref="S720:T720"/>
    <mergeCell ref="U720:V720"/>
    <mergeCell ref="W720:X720"/>
    <mergeCell ref="Y720:Z720"/>
    <mergeCell ref="AA720:AB720"/>
    <mergeCell ref="AC720:AD720"/>
    <mergeCell ref="C33:O33"/>
    <mergeCell ref="P33:T33"/>
    <mergeCell ref="C311:AD311"/>
    <mergeCell ref="C312:AD312"/>
    <mergeCell ref="U33:Y33"/>
    <mergeCell ref="Z33:AD33"/>
    <mergeCell ref="C35:AD35"/>
    <mergeCell ref="Y67:AD67"/>
    <mergeCell ref="D68:L68"/>
    <mergeCell ref="M68:R68"/>
    <mergeCell ref="S68:X68"/>
    <mergeCell ref="Y68:AD68"/>
    <mergeCell ref="C65:L66"/>
    <mergeCell ref="M65:AD65"/>
    <mergeCell ref="M66:R66"/>
    <mergeCell ref="S66:X66"/>
    <mergeCell ref="Y66:AD66"/>
    <mergeCell ref="C53:AD53"/>
    <mergeCell ref="C725:AD725"/>
    <mergeCell ref="C726:AD726"/>
    <mergeCell ref="B10:AD10"/>
    <mergeCell ref="C11:AD11"/>
    <mergeCell ref="C12:AD12"/>
    <mergeCell ref="C13:AD13"/>
    <mergeCell ref="C14:AD14"/>
    <mergeCell ref="C15:AD15"/>
    <mergeCell ref="C16:AD16"/>
    <mergeCell ref="W721:X721"/>
    <mergeCell ref="Y721:Z721"/>
    <mergeCell ref="AA721:AB721"/>
    <mergeCell ref="AC721:AD721"/>
    <mergeCell ref="B18:AD18"/>
    <mergeCell ref="B19:AD19"/>
    <mergeCell ref="C723:E723"/>
    <mergeCell ref="C721:L721"/>
    <mergeCell ref="M721:N721"/>
    <mergeCell ref="O721:P721"/>
    <mergeCell ref="Q721:R721"/>
    <mergeCell ref="D50:L50"/>
    <mergeCell ref="M50:R50"/>
    <mergeCell ref="C36:AD36"/>
    <mergeCell ref="B43:AD43"/>
    <mergeCell ref="C46:L47"/>
    <mergeCell ref="M46:AD46"/>
    <mergeCell ref="M47:R47"/>
    <mergeCell ref="S47:X47"/>
    <mergeCell ref="Y47:AD47"/>
    <mergeCell ref="D67:L67"/>
    <mergeCell ref="M67:R67"/>
    <mergeCell ref="S67:X67"/>
    <mergeCell ref="Y73:AD73"/>
    <mergeCell ref="D74:L74"/>
    <mergeCell ref="M74:R74"/>
    <mergeCell ref="S74:X74"/>
    <mergeCell ref="M99:R99"/>
    <mergeCell ref="S99:X99"/>
    <mergeCell ref="Y99:AD99"/>
    <mergeCell ref="Y93:AD93"/>
    <mergeCell ref="D94:L94"/>
    <mergeCell ref="M94:R94"/>
    <mergeCell ref="S94:X94"/>
    <mergeCell ref="Y94:AD94"/>
    <mergeCell ref="D95:L95"/>
    <mergeCell ref="M95:R95"/>
    <mergeCell ref="S95:X95"/>
    <mergeCell ref="Y95:AD95"/>
    <mergeCell ref="D96:L96"/>
    <mergeCell ref="M96:R96"/>
    <mergeCell ref="S96:X96"/>
    <mergeCell ref="Y96:AD96"/>
    <mergeCell ref="M91:R91"/>
    <mergeCell ref="S91:X91"/>
    <mergeCell ref="Y91:AD91"/>
    <mergeCell ref="D92:L92"/>
    <mergeCell ref="M92:R92"/>
    <mergeCell ref="S92:X92"/>
    <mergeCell ref="Y92:AD92"/>
    <mergeCell ref="D98:L98"/>
    <mergeCell ref="M98:R98"/>
    <mergeCell ref="S98:X98"/>
    <mergeCell ref="D93:L93"/>
    <mergeCell ref="M93:R93"/>
    <mergeCell ref="S93:X93"/>
    <mergeCell ref="D97:L97"/>
    <mergeCell ref="M97:R97"/>
    <mergeCell ref="S97:X97"/>
    <mergeCell ref="Y97:AD97"/>
    <mergeCell ref="D115:L115"/>
    <mergeCell ref="M115:R115"/>
    <mergeCell ref="S115:X115"/>
    <mergeCell ref="Y115:AD115"/>
    <mergeCell ref="D116:L116"/>
    <mergeCell ref="M116:R116"/>
    <mergeCell ref="S116:X116"/>
    <mergeCell ref="Y116:AD116"/>
    <mergeCell ref="D113:L113"/>
    <mergeCell ref="M113:R113"/>
    <mergeCell ref="S113:X113"/>
    <mergeCell ref="Y113:AD113"/>
    <mergeCell ref="D114:L114"/>
    <mergeCell ref="M114:R114"/>
    <mergeCell ref="S114:X114"/>
    <mergeCell ref="Y114:AD114"/>
    <mergeCell ref="B109:AD109"/>
    <mergeCell ref="C111:L112"/>
    <mergeCell ref="M111:AD111"/>
    <mergeCell ref="M112:R112"/>
    <mergeCell ref="S112:X112"/>
    <mergeCell ref="Y112:AD112"/>
    <mergeCell ref="D121:L121"/>
    <mergeCell ref="M121:R121"/>
    <mergeCell ref="S121:X121"/>
    <mergeCell ref="Y121:AD121"/>
    <mergeCell ref="D122:L122"/>
    <mergeCell ref="M122:R122"/>
    <mergeCell ref="S122:X122"/>
    <mergeCell ref="Y122:AD122"/>
    <mergeCell ref="D119:L119"/>
    <mergeCell ref="M119:R119"/>
    <mergeCell ref="S119:X119"/>
    <mergeCell ref="Y119:AD119"/>
    <mergeCell ref="D120:L120"/>
    <mergeCell ref="M120:R120"/>
    <mergeCell ref="S120:X120"/>
    <mergeCell ref="Y120:AD120"/>
    <mergeCell ref="D117:L117"/>
    <mergeCell ref="M117:R117"/>
    <mergeCell ref="S117:X117"/>
    <mergeCell ref="Y117:AD117"/>
    <mergeCell ref="D118:L118"/>
    <mergeCell ref="M118:R118"/>
    <mergeCell ref="S118:X118"/>
    <mergeCell ref="Y118:AD118"/>
    <mergeCell ref="D127:L127"/>
    <mergeCell ref="M127:R127"/>
    <mergeCell ref="S127:X127"/>
    <mergeCell ref="Y127:AD127"/>
    <mergeCell ref="D128:L128"/>
    <mergeCell ref="M128:R128"/>
    <mergeCell ref="S128:X128"/>
    <mergeCell ref="Y128:AD128"/>
    <mergeCell ref="D125:L125"/>
    <mergeCell ref="M125:R125"/>
    <mergeCell ref="S125:X125"/>
    <mergeCell ref="Y125:AD125"/>
    <mergeCell ref="D126:L126"/>
    <mergeCell ref="M126:R126"/>
    <mergeCell ref="S126:X126"/>
    <mergeCell ref="Y126:AD126"/>
    <mergeCell ref="D123:L123"/>
    <mergeCell ref="M123:R123"/>
    <mergeCell ref="S123:X123"/>
    <mergeCell ref="Y123:AD123"/>
    <mergeCell ref="D124:L124"/>
    <mergeCell ref="M124:R124"/>
    <mergeCell ref="S124:X124"/>
    <mergeCell ref="Y124:AD124"/>
    <mergeCell ref="M133:R133"/>
    <mergeCell ref="S133:X133"/>
    <mergeCell ref="Y133:AD133"/>
    <mergeCell ref="C135:AD135"/>
    <mergeCell ref="C137:AD137"/>
    <mergeCell ref="D131:L131"/>
    <mergeCell ref="M131:R131"/>
    <mergeCell ref="S131:X131"/>
    <mergeCell ref="Y131:AD131"/>
    <mergeCell ref="D132:L132"/>
    <mergeCell ref="M132:R132"/>
    <mergeCell ref="S132:X132"/>
    <mergeCell ref="Y132:AD132"/>
    <mergeCell ref="D129:L129"/>
    <mergeCell ref="M129:R129"/>
    <mergeCell ref="S129:X129"/>
    <mergeCell ref="Y129:AD129"/>
    <mergeCell ref="D130:L130"/>
    <mergeCell ref="M130:R130"/>
    <mergeCell ref="S130:X130"/>
    <mergeCell ref="Y130:AD130"/>
    <mergeCell ref="D151:L151"/>
    <mergeCell ref="M151:R151"/>
    <mergeCell ref="S151:X151"/>
    <mergeCell ref="Y151:AD151"/>
    <mergeCell ref="D152:L152"/>
    <mergeCell ref="M152:R152"/>
    <mergeCell ref="S152:X152"/>
    <mergeCell ref="Y152:AD152"/>
    <mergeCell ref="D149:L149"/>
    <mergeCell ref="M149:R149"/>
    <mergeCell ref="S149:X149"/>
    <mergeCell ref="Y149:AD149"/>
    <mergeCell ref="D150:L150"/>
    <mergeCell ref="M150:R150"/>
    <mergeCell ref="S150:X150"/>
    <mergeCell ref="Y150:AD150"/>
    <mergeCell ref="C138:AD138"/>
    <mergeCell ref="B145:AD145"/>
    <mergeCell ref="C147:L148"/>
    <mergeCell ref="M147:AD147"/>
    <mergeCell ref="M148:R148"/>
    <mergeCell ref="S148:X148"/>
    <mergeCell ref="Y148:AD148"/>
    <mergeCell ref="D157:L157"/>
    <mergeCell ref="M157:R157"/>
    <mergeCell ref="S157:X157"/>
    <mergeCell ref="Y157:AD157"/>
    <mergeCell ref="D158:L158"/>
    <mergeCell ref="M158:R158"/>
    <mergeCell ref="S158:X158"/>
    <mergeCell ref="Y158:AD158"/>
    <mergeCell ref="D155:L155"/>
    <mergeCell ref="M155:R155"/>
    <mergeCell ref="S155:X155"/>
    <mergeCell ref="Y155:AD155"/>
    <mergeCell ref="D156:L156"/>
    <mergeCell ref="M156:R156"/>
    <mergeCell ref="S156:X156"/>
    <mergeCell ref="Y156:AD156"/>
    <mergeCell ref="D153:L153"/>
    <mergeCell ref="M153:R153"/>
    <mergeCell ref="S153:X153"/>
    <mergeCell ref="Y153:AD153"/>
    <mergeCell ref="D154:L154"/>
    <mergeCell ref="M154:R154"/>
    <mergeCell ref="S154:X154"/>
    <mergeCell ref="Y154:AD154"/>
    <mergeCell ref="C166:AD166"/>
    <mergeCell ref="B173:AD173"/>
    <mergeCell ref="C175:L176"/>
    <mergeCell ref="M175:AD175"/>
    <mergeCell ref="M176:R176"/>
    <mergeCell ref="S176:X176"/>
    <mergeCell ref="Y176:AD176"/>
    <mergeCell ref="M161:R161"/>
    <mergeCell ref="S161:X161"/>
    <mergeCell ref="Y161:AD161"/>
    <mergeCell ref="C163:AD163"/>
    <mergeCell ref="C165:AD165"/>
    <mergeCell ref="D159:L159"/>
    <mergeCell ref="M159:R159"/>
    <mergeCell ref="S159:X159"/>
    <mergeCell ref="Y159:AD159"/>
    <mergeCell ref="D160:L160"/>
    <mergeCell ref="M160:R160"/>
    <mergeCell ref="S160:X160"/>
    <mergeCell ref="Y160:AD160"/>
    <mergeCell ref="D181:L181"/>
    <mergeCell ref="M181:R181"/>
    <mergeCell ref="S181:X181"/>
    <mergeCell ref="Y181:AD181"/>
    <mergeCell ref="M182:R182"/>
    <mergeCell ref="S182:X182"/>
    <mergeCell ref="Y182:AD182"/>
    <mergeCell ref="D179:L179"/>
    <mergeCell ref="M179:R179"/>
    <mergeCell ref="S179:X179"/>
    <mergeCell ref="Y179:AD179"/>
    <mergeCell ref="D180:L180"/>
    <mergeCell ref="M180:R180"/>
    <mergeCell ref="S180:X180"/>
    <mergeCell ref="Y180:AD180"/>
    <mergeCell ref="D177:L177"/>
    <mergeCell ref="M177:R177"/>
    <mergeCell ref="S177:X177"/>
    <mergeCell ref="Y177:AD177"/>
    <mergeCell ref="D178:L178"/>
    <mergeCell ref="M178:R178"/>
    <mergeCell ref="S178:X178"/>
    <mergeCell ref="Y178:AD178"/>
    <mergeCell ref="D198:L198"/>
    <mergeCell ref="M198:R198"/>
    <mergeCell ref="S198:X198"/>
    <mergeCell ref="Y198:AD198"/>
    <mergeCell ref="M199:R199"/>
    <mergeCell ref="S199:X199"/>
    <mergeCell ref="Y199:AD199"/>
    <mergeCell ref="D196:L196"/>
    <mergeCell ref="M196:R196"/>
    <mergeCell ref="S196:X196"/>
    <mergeCell ref="Y196:AD196"/>
    <mergeCell ref="D197:L197"/>
    <mergeCell ref="M197:R197"/>
    <mergeCell ref="S197:X197"/>
    <mergeCell ref="Y197:AD197"/>
    <mergeCell ref="C184:AD184"/>
    <mergeCell ref="C185:AD185"/>
    <mergeCell ref="B192:AD192"/>
    <mergeCell ref="C194:L195"/>
    <mergeCell ref="M194:AD194"/>
    <mergeCell ref="M195:R195"/>
    <mergeCell ref="S195:X195"/>
    <mergeCell ref="Y195:AD195"/>
    <mergeCell ref="D215:L215"/>
    <mergeCell ref="M215:R215"/>
    <mergeCell ref="S215:X215"/>
    <mergeCell ref="Y215:AD215"/>
    <mergeCell ref="M216:R216"/>
    <mergeCell ref="S216:X216"/>
    <mergeCell ref="Y216:AD216"/>
    <mergeCell ref="D213:L213"/>
    <mergeCell ref="M213:R213"/>
    <mergeCell ref="S213:X213"/>
    <mergeCell ref="Y213:AD213"/>
    <mergeCell ref="D214:L214"/>
    <mergeCell ref="M214:R214"/>
    <mergeCell ref="S214:X214"/>
    <mergeCell ref="Y214:AD214"/>
    <mergeCell ref="C201:AD201"/>
    <mergeCell ref="C202:AD202"/>
    <mergeCell ref="B209:AD209"/>
    <mergeCell ref="C211:L212"/>
    <mergeCell ref="M211:AD211"/>
    <mergeCell ref="M212:R212"/>
    <mergeCell ref="S212:X212"/>
    <mergeCell ref="Y212:AD212"/>
    <mergeCell ref="B203:AE203"/>
    <mergeCell ref="B204:AE204"/>
    <mergeCell ref="B205:AE205"/>
    <mergeCell ref="B206:AE206"/>
    <mergeCell ref="B207:AE207"/>
    <mergeCell ref="D234:L234"/>
    <mergeCell ref="M234:R234"/>
    <mergeCell ref="S234:X234"/>
    <mergeCell ref="Y234:AD234"/>
    <mergeCell ref="D235:L235"/>
    <mergeCell ref="M235:R235"/>
    <mergeCell ref="S235:X235"/>
    <mergeCell ref="Y235:AD235"/>
    <mergeCell ref="C230:AD230"/>
    <mergeCell ref="C232:L233"/>
    <mergeCell ref="M232:AD232"/>
    <mergeCell ref="M233:R233"/>
    <mergeCell ref="S233:X233"/>
    <mergeCell ref="Y233:AD233"/>
    <mergeCell ref="C218:AD218"/>
    <mergeCell ref="C219:AD219"/>
    <mergeCell ref="B226:AD226"/>
    <mergeCell ref="C228:AD228"/>
    <mergeCell ref="C229:AD229"/>
    <mergeCell ref="C227:AD227"/>
    <mergeCell ref="B220:AE220"/>
    <mergeCell ref="B221:AE221"/>
    <mergeCell ref="B222:AE222"/>
    <mergeCell ref="B223:AE223"/>
    <mergeCell ref="B224:AE224"/>
    <mergeCell ref="D240:L240"/>
    <mergeCell ref="M240:R240"/>
    <mergeCell ref="S240:X240"/>
    <mergeCell ref="Y240:AD240"/>
    <mergeCell ref="D241:L241"/>
    <mergeCell ref="M241:R241"/>
    <mergeCell ref="S241:X241"/>
    <mergeCell ref="Y241:AD241"/>
    <mergeCell ref="D238:L238"/>
    <mergeCell ref="M238:R238"/>
    <mergeCell ref="S238:X238"/>
    <mergeCell ref="Y238:AD238"/>
    <mergeCell ref="D239:L239"/>
    <mergeCell ref="M239:R239"/>
    <mergeCell ref="S239:X239"/>
    <mergeCell ref="Y239:AD239"/>
    <mergeCell ref="D236:L236"/>
    <mergeCell ref="M236:R236"/>
    <mergeCell ref="S236:X236"/>
    <mergeCell ref="Y236:AD236"/>
    <mergeCell ref="D237:L237"/>
    <mergeCell ref="M237:R237"/>
    <mergeCell ref="S237:X237"/>
    <mergeCell ref="Y237:AD237"/>
    <mergeCell ref="D246:L246"/>
    <mergeCell ref="M246:R246"/>
    <mergeCell ref="S246:X246"/>
    <mergeCell ref="Y246:AD246"/>
    <mergeCell ref="D247:L247"/>
    <mergeCell ref="M247:R247"/>
    <mergeCell ref="S247:X247"/>
    <mergeCell ref="Y247:AD247"/>
    <mergeCell ref="D244:L244"/>
    <mergeCell ref="M244:R244"/>
    <mergeCell ref="S244:X244"/>
    <mergeCell ref="Y244:AD244"/>
    <mergeCell ref="D245:L245"/>
    <mergeCell ref="M245:R245"/>
    <mergeCell ref="S245:X245"/>
    <mergeCell ref="Y245:AD245"/>
    <mergeCell ref="D242:L242"/>
    <mergeCell ref="M242:R242"/>
    <mergeCell ref="S242:X242"/>
    <mergeCell ref="Y242:AD242"/>
    <mergeCell ref="D243:L243"/>
    <mergeCell ref="M243:R243"/>
    <mergeCell ref="S243:X243"/>
    <mergeCell ref="Y243:AD243"/>
    <mergeCell ref="C254:AD254"/>
    <mergeCell ref="C255:AD255"/>
    <mergeCell ref="B262:AD262"/>
    <mergeCell ref="C264:L265"/>
    <mergeCell ref="M264:AD264"/>
    <mergeCell ref="M265:R265"/>
    <mergeCell ref="S265:X265"/>
    <mergeCell ref="Y265:AD265"/>
    <mergeCell ref="M250:R250"/>
    <mergeCell ref="S250:X250"/>
    <mergeCell ref="Y250:AD250"/>
    <mergeCell ref="C252:E252"/>
    <mergeCell ref="F252:AD252"/>
    <mergeCell ref="D248:L248"/>
    <mergeCell ref="M248:R248"/>
    <mergeCell ref="S248:X248"/>
    <mergeCell ref="Y248:AD248"/>
    <mergeCell ref="D249:L249"/>
    <mergeCell ref="M249:R249"/>
    <mergeCell ref="S249:X249"/>
    <mergeCell ref="Y249:AD249"/>
    <mergeCell ref="B253:AE253"/>
    <mergeCell ref="B256:AE256"/>
    <mergeCell ref="B257:AE257"/>
    <mergeCell ref="B258:AE258"/>
    <mergeCell ref="B259:AE259"/>
    <mergeCell ref="B260:AE260"/>
    <mergeCell ref="B261:AE261"/>
    <mergeCell ref="D270:L270"/>
    <mergeCell ref="M270:R270"/>
    <mergeCell ref="S270:X270"/>
    <mergeCell ref="Y270:AD270"/>
    <mergeCell ref="D271:L271"/>
    <mergeCell ref="M271:R271"/>
    <mergeCell ref="S271:X271"/>
    <mergeCell ref="Y271:AD271"/>
    <mergeCell ref="D268:L268"/>
    <mergeCell ref="M268:R268"/>
    <mergeCell ref="S268:X268"/>
    <mergeCell ref="Y268:AD268"/>
    <mergeCell ref="D269:L269"/>
    <mergeCell ref="M269:R269"/>
    <mergeCell ref="S269:X269"/>
    <mergeCell ref="Y269:AD269"/>
    <mergeCell ref="D266:L266"/>
    <mergeCell ref="M266:R266"/>
    <mergeCell ref="S266:X266"/>
    <mergeCell ref="Y266:AD266"/>
    <mergeCell ref="D267:L267"/>
    <mergeCell ref="M267:R267"/>
    <mergeCell ref="S267:X267"/>
    <mergeCell ref="Y267:AD267"/>
    <mergeCell ref="D276:L276"/>
    <mergeCell ref="M276:R276"/>
    <mergeCell ref="S276:X276"/>
    <mergeCell ref="Y276:AD276"/>
    <mergeCell ref="D277:L277"/>
    <mergeCell ref="M277:R277"/>
    <mergeCell ref="S277:X277"/>
    <mergeCell ref="Y277:AD277"/>
    <mergeCell ref="D274:L274"/>
    <mergeCell ref="M274:R274"/>
    <mergeCell ref="S274:X274"/>
    <mergeCell ref="Y274:AD274"/>
    <mergeCell ref="D275:L275"/>
    <mergeCell ref="M275:R275"/>
    <mergeCell ref="S275:X275"/>
    <mergeCell ref="Y275:AD275"/>
    <mergeCell ref="D272:L272"/>
    <mergeCell ref="M272:R272"/>
    <mergeCell ref="S272:X272"/>
    <mergeCell ref="Y272:AD272"/>
    <mergeCell ref="D273:L273"/>
    <mergeCell ref="M273:R273"/>
    <mergeCell ref="S273:X273"/>
    <mergeCell ref="Y273:AD273"/>
    <mergeCell ref="D282:L282"/>
    <mergeCell ref="M282:R282"/>
    <mergeCell ref="S282:X282"/>
    <mergeCell ref="Y282:AD282"/>
    <mergeCell ref="D283:L283"/>
    <mergeCell ref="M283:R283"/>
    <mergeCell ref="S283:X283"/>
    <mergeCell ref="Y283:AD283"/>
    <mergeCell ref="D280:L280"/>
    <mergeCell ref="M280:R280"/>
    <mergeCell ref="S280:X280"/>
    <mergeCell ref="Y280:AD280"/>
    <mergeCell ref="D281:L281"/>
    <mergeCell ref="M281:R281"/>
    <mergeCell ref="S281:X281"/>
    <mergeCell ref="Y281:AD281"/>
    <mergeCell ref="D278:L278"/>
    <mergeCell ref="M278:R278"/>
    <mergeCell ref="S278:X278"/>
    <mergeCell ref="Y278:AD278"/>
    <mergeCell ref="D279:L279"/>
    <mergeCell ref="M279:R279"/>
    <mergeCell ref="S279:X279"/>
    <mergeCell ref="Y279:AD279"/>
    <mergeCell ref="D288:L288"/>
    <mergeCell ref="M288:R288"/>
    <mergeCell ref="S288:X288"/>
    <mergeCell ref="Y288:AD288"/>
    <mergeCell ref="D289:L289"/>
    <mergeCell ref="M289:R289"/>
    <mergeCell ref="S289:X289"/>
    <mergeCell ref="Y289:AD289"/>
    <mergeCell ref="D286:L286"/>
    <mergeCell ref="M286:R286"/>
    <mergeCell ref="S286:X286"/>
    <mergeCell ref="Y286:AD286"/>
    <mergeCell ref="D287:L287"/>
    <mergeCell ref="M287:R287"/>
    <mergeCell ref="S287:X287"/>
    <mergeCell ref="Y287:AD287"/>
    <mergeCell ref="D284:L284"/>
    <mergeCell ref="M284:R284"/>
    <mergeCell ref="S284:X284"/>
    <mergeCell ref="Y284:AD284"/>
    <mergeCell ref="D285:L285"/>
    <mergeCell ref="M285:R285"/>
    <mergeCell ref="S285:X285"/>
    <mergeCell ref="Y285:AD285"/>
    <mergeCell ref="C295:AD295"/>
    <mergeCell ref="C296:AD296"/>
    <mergeCell ref="D292:L292"/>
    <mergeCell ref="M292:R292"/>
    <mergeCell ref="S292:X292"/>
    <mergeCell ref="Y292:AD292"/>
    <mergeCell ref="M293:R293"/>
    <mergeCell ref="S293:X293"/>
    <mergeCell ref="Y293:AD293"/>
    <mergeCell ref="D290:L290"/>
    <mergeCell ref="M290:R290"/>
    <mergeCell ref="S290:X290"/>
    <mergeCell ref="Y290:AD290"/>
    <mergeCell ref="D291:L291"/>
    <mergeCell ref="M291:R291"/>
    <mergeCell ref="S291:X291"/>
    <mergeCell ref="Y291:AD291"/>
    <mergeCell ref="B303:AD303"/>
    <mergeCell ref="C330:AD330"/>
    <mergeCell ref="C332:L333"/>
    <mergeCell ref="M332:AD332"/>
    <mergeCell ref="M333:R333"/>
    <mergeCell ref="S333:X333"/>
    <mergeCell ref="Y333:AD333"/>
    <mergeCell ref="B319:AD319"/>
    <mergeCell ref="B320:AD320"/>
    <mergeCell ref="C321:AD321"/>
    <mergeCell ref="C322:AD322"/>
    <mergeCell ref="C304:AD304"/>
    <mergeCell ref="Y308:AD308"/>
    <mergeCell ref="S308:X308"/>
    <mergeCell ref="M308:R308"/>
    <mergeCell ref="C307:L308"/>
    <mergeCell ref="M307:AD307"/>
    <mergeCell ref="C309:L309"/>
    <mergeCell ref="M309:R309"/>
    <mergeCell ref="S309:X309"/>
    <mergeCell ref="Y309:AD309"/>
    <mergeCell ref="C305:AD305"/>
    <mergeCell ref="B346:AD346"/>
    <mergeCell ref="C347:AD347"/>
    <mergeCell ref="C327:AD327"/>
    <mergeCell ref="C348:AD348"/>
    <mergeCell ref="C350:E351"/>
    <mergeCell ref="F350:G351"/>
    <mergeCell ref="H350:L351"/>
    <mergeCell ref="M350:AD350"/>
    <mergeCell ref="M351:R351"/>
    <mergeCell ref="S351:X351"/>
    <mergeCell ref="Y351:AD351"/>
    <mergeCell ref="M336:R336"/>
    <mergeCell ref="S336:X336"/>
    <mergeCell ref="Y336:AD336"/>
    <mergeCell ref="C338:AD338"/>
    <mergeCell ref="C339:AD339"/>
    <mergeCell ref="D334:L334"/>
    <mergeCell ref="M334:R334"/>
    <mergeCell ref="S334:X334"/>
    <mergeCell ref="Y334:AD334"/>
    <mergeCell ref="D335:L335"/>
    <mergeCell ref="M335:R335"/>
    <mergeCell ref="S335:X335"/>
    <mergeCell ref="Y335:AD335"/>
    <mergeCell ref="B340:AE340"/>
    <mergeCell ref="B341:AE341"/>
    <mergeCell ref="B342:AE342"/>
    <mergeCell ref="B343:AE343"/>
    <mergeCell ref="B344:AE344"/>
    <mergeCell ref="S354:X354"/>
    <mergeCell ref="Y354:AD354"/>
    <mergeCell ref="F355:G355"/>
    <mergeCell ref="H355:L355"/>
    <mergeCell ref="M355:R355"/>
    <mergeCell ref="S355:X355"/>
    <mergeCell ref="Y355:AD355"/>
    <mergeCell ref="S352:X352"/>
    <mergeCell ref="Y352:AD352"/>
    <mergeCell ref="F353:G353"/>
    <mergeCell ref="H353:L353"/>
    <mergeCell ref="M353:R353"/>
    <mergeCell ref="S353:X353"/>
    <mergeCell ref="Y353:AD353"/>
    <mergeCell ref="C352:C356"/>
    <mergeCell ref="D352:E356"/>
    <mergeCell ref="F352:G352"/>
    <mergeCell ref="H352:L352"/>
    <mergeCell ref="M352:R352"/>
    <mergeCell ref="F354:G354"/>
    <mergeCell ref="H354:L354"/>
    <mergeCell ref="M354:R354"/>
    <mergeCell ref="F356:G356"/>
    <mergeCell ref="H356:L356"/>
    <mergeCell ref="M356:R356"/>
    <mergeCell ref="F361:G361"/>
    <mergeCell ref="H361:L361"/>
    <mergeCell ref="M361:R361"/>
    <mergeCell ref="S361:X361"/>
    <mergeCell ref="Y361:AD361"/>
    <mergeCell ref="M359:R359"/>
    <mergeCell ref="S359:X359"/>
    <mergeCell ref="Y359:AD359"/>
    <mergeCell ref="F360:G360"/>
    <mergeCell ref="H360:L360"/>
    <mergeCell ref="M360:R360"/>
    <mergeCell ref="S360:X360"/>
    <mergeCell ref="Y360:AD360"/>
    <mergeCell ref="S356:X356"/>
    <mergeCell ref="Y356:AD356"/>
    <mergeCell ref="C357:C369"/>
    <mergeCell ref="D357:E369"/>
    <mergeCell ref="F357:G357"/>
    <mergeCell ref="H357:L357"/>
    <mergeCell ref="M357:R357"/>
    <mergeCell ref="S357:X357"/>
    <mergeCell ref="Y357:AD357"/>
    <mergeCell ref="F358:G358"/>
    <mergeCell ref="H358:L358"/>
    <mergeCell ref="M358:R358"/>
    <mergeCell ref="S358:X358"/>
    <mergeCell ref="Y358:AD358"/>
    <mergeCell ref="F359:G359"/>
    <mergeCell ref="H359:L359"/>
    <mergeCell ref="F365:G365"/>
    <mergeCell ref="I365:L365"/>
    <mergeCell ref="M365:R365"/>
    <mergeCell ref="S365:X365"/>
    <mergeCell ref="Y365:AD365"/>
    <mergeCell ref="F364:G364"/>
    <mergeCell ref="I364:L364"/>
    <mergeCell ref="M364:R364"/>
    <mergeCell ref="S364:X364"/>
    <mergeCell ref="Y364:AD364"/>
    <mergeCell ref="F363:G363"/>
    <mergeCell ref="I363:L363"/>
    <mergeCell ref="M363:R363"/>
    <mergeCell ref="S363:X363"/>
    <mergeCell ref="Y363:AD363"/>
    <mergeCell ref="F362:G362"/>
    <mergeCell ref="H362:L362"/>
    <mergeCell ref="M362:R362"/>
    <mergeCell ref="S362:X362"/>
    <mergeCell ref="Y362:AD362"/>
    <mergeCell ref="F368:G368"/>
    <mergeCell ref="M368:R368"/>
    <mergeCell ref="S368:X368"/>
    <mergeCell ref="Y368:AD368"/>
    <mergeCell ref="F369:G369"/>
    <mergeCell ref="H369:L369"/>
    <mergeCell ref="M369:R369"/>
    <mergeCell ref="S369:X369"/>
    <mergeCell ref="Y369:AD369"/>
    <mergeCell ref="F367:G367"/>
    <mergeCell ref="I367:L367"/>
    <mergeCell ref="M367:R367"/>
    <mergeCell ref="S367:X367"/>
    <mergeCell ref="Y367:AD367"/>
    <mergeCell ref="F366:G366"/>
    <mergeCell ref="I366:L366"/>
    <mergeCell ref="M366:R366"/>
    <mergeCell ref="S366:X366"/>
    <mergeCell ref="Y366:AD366"/>
    <mergeCell ref="I368:L368"/>
    <mergeCell ref="S370:X370"/>
    <mergeCell ref="Y370:AD370"/>
    <mergeCell ref="F371:G371"/>
    <mergeCell ref="H371:L371"/>
    <mergeCell ref="M371:R371"/>
    <mergeCell ref="S371:X371"/>
    <mergeCell ref="Y371:AD371"/>
    <mergeCell ref="C370:C381"/>
    <mergeCell ref="D370:E381"/>
    <mergeCell ref="F370:G370"/>
    <mergeCell ref="H370:L370"/>
    <mergeCell ref="M370:R370"/>
    <mergeCell ref="F372:G372"/>
    <mergeCell ref="H372:L372"/>
    <mergeCell ref="M372:R372"/>
    <mergeCell ref="F374:G374"/>
    <mergeCell ref="I374:L374"/>
    <mergeCell ref="M374:R374"/>
    <mergeCell ref="F376:G376"/>
    <mergeCell ref="I376:L376"/>
    <mergeCell ref="M376:R376"/>
    <mergeCell ref="F378:G378"/>
    <mergeCell ref="M378:R378"/>
    <mergeCell ref="S376:X376"/>
    <mergeCell ref="Y376:AD376"/>
    <mergeCell ref="F377:G377"/>
    <mergeCell ref="I377:L377"/>
    <mergeCell ref="M377:R377"/>
    <mergeCell ref="S377:X377"/>
    <mergeCell ref="Y377:AD377"/>
    <mergeCell ref="S374:X374"/>
    <mergeCell ref="Y374:AD374"/>
    <mergeCell ref="F375:G375"/>
    <mergeCell ref="I375:L375"/>
    <mergeCell ref="M375:R375"/>
    <mergeCell ref="S375:X375"/>
    <mergeCell ref="Y375:AD375"/>
    <mergeCell ref="S372:X372"/>
    <mergeCell ref="Y372:AD372"/>
    <mergeCell ref="F373:G373"/>
    <mergeCell ref="H373:L373"/>
    <mergeCell ref="M373:R373"/>
    <mergeCell ref="S373:X373"/>
    <mergeCell ref="Y373:AD373"/>
    <mergeCell ref="F381:G381"/>
    <mergeCell ref="H381:L381"/>
    <mergeCell ref="M381:R381"/>
    <mergeCell ref="S381:X381"/>
    <mergeCell ref="Y381:AD381"/>
    <mergeCell ref="F380:G380"/>
    <mergeCell ref="H380:L380"/>
    <mergeCell ref="M380:R380"/>
    <mergeCell ref="S380:X380"/>
    <mergeCell ref="Y380:AD380"/>
    <mergeCell ref="S378:X378"/>
    <mergeCell ref="Y378:AD378"/>
    <mergeCell ref="F379:G379"/>
    <mergeCell ref="H379:L379"/>
    <mergeCell ref="M379:R379"/>
    <mergeCell ref="S379:X379"/>
    <mergeCell ref="Y379:AD379"/>
    <mergeCell ref="I378:L378"/>
    <mergeCell ref="S384:X384"/>
    <mergeCell ref="Y384:AD384"/>
    <mergeCell ref="F385:G385"/>
    <mergeCell ref="I385:L385"/>
    <mergeCell ref="M385:R385"/>
    <mergeCell ref="S385:X385"/>
    <mergeCell ref="Y385:AD385"/>
    <mergeCell ref="S382:X382"/>
    <mergeCell ref="Y382:AD382"/>
    <mergeCell ref="F383:G383"/>
    <mergeCell ref="I383:L383"/>
    <mergeCell ref="M383:R383"/>
    <mergeCell ref="S383:X383"/>
    <mergeCell ref="Y383:AD383"/>
    <mergeCell ref="C382:C415"/>
    <mergeCell ref="D382:E415"/>
    <mergeCell ref="F382:G382"/>
    <mergeCell ref="H382:L382"/>
    <mergeCell ref="M382:R382"/>
    <mergeCell ref="F384:G384"/>
    <mergeCell ref="I384:L384"/>
    <mergeCell ref="M384:R384"/>
    <mergeCell ref="F386:G386"/>
    <mergeCell ref="I386:L386"/>
    <mergeCell ref="M386:R386"/>
    <mergeCell ref="F388:G388"/>
    <mergeCell ref="I388:L388"/>
    <mergeCell ref="M388:R388"/>
    <mergeCell ref="F390:G390"/>
    <mergeCell ref="I390:L390"/>
    <mergeCell ref="M390:R390"/>
    <mergeCell ref="S390:X390"/>
    <mergeCell ref="Y390:AD390"/>
    <mergeCell ref="F391:G391"/>
    <mergeCell ref="I391:L391"/>
    <mergeCell ref="M391:R391"/>
    <mergeCell ref="S391:X391"/>
    <mergeCell ref="Y391:AD391"/>
    <mergeCell ref="S388:X388"/>
    <mergeCell ref="Y388:AD388"/>
    <mergeCell ref="F389:G389"/>
    <mergeCell ref="I389:L389"/>
    <mergeCell ref="M389:R389"/>
    <mergeCell ref="S389:X389"/>
    <mergeCell ref="Y389:AD389"/>
    <mergeCell ref="S386:X386"/>
    <mergeCell ref="Y386:AD386"/>
    <mergeCell ref="F387:G387"/>
    <mergeCell ref="I387:L387"/>
    <mergeCell ref="M387:R387"/>
    <mergeCell ref="S387:X387"/>
    <mergeCell ref="Y387:AD387"/>
    <mergeCell ref="F395:G395"/>
    <mergeCell ref="I395:L395"/>
    <mergeCell ref="M395:R395"/>
    <mergeCell ref="S395:X395"/>
    <mergeCell ref="Y395:AD395"/>
    <mergeCell ref="F394:G394"/>
    <mergeCell ref="I394:L394"/>
    <mergeCell ref="M394:R394"/>
    <mergeCell ref="S394:X394"/>
    <mergeCell ref="Y394:AD394"/>
    <mergeCell ref="F393:G393"/>
    <mergeCell ref="I393:L393"/>
    <mergeCell ref="M393:R393"/>
    <mergeCell ref="S393:X393"/>
    <mergeCell ref="Y393:AD393"/>
    <mergeCell ref="F392:G392"/>
    <mergeCell ref="I392:L392"/>
    <mergeCell ref="M392:R392"/>
    <mergeCell ref="S392:X392"/>
    <mergeCell ref="Y392:AD392"/>
    <mergeCell ref="F399:G399"/>
    <mergeCell ref="I399:L399"/>
    <mergeCell ref="M399:R399"/>
    <mergeCell ref="S399:X399"/>
    <mergeCell ref="Y399:AD399"/>
    <mergeCell ref="F398:G398"/>
    <mergeCell ref="I398:L398"/>
    <mergeCell ref="M398:R398"/>
    <mergeCell ref="S398:X398"/>
    <mergeCell ref="Y398:AD398"/>
    <mergeCell ref="F397:G397"/>
    <mergeCell ref="I397:L397"/>
    <mergeCell ref="M397:R397"/>
    <mergeCell ref="S397:X397"/>
    <mergeCell ref="Y397:AD397"/>
    <mergeCell ref="F396:G396"/>
    <mergeCell ref="I396:L396"/>
    <mergeCell ref="M396:R396"/>
    <mergeCell ref="S396:X396"/>
    <mergeCell ref="Y396:AD396"/>
    <mergeCell ref="F403:G403"/>
    <mergeCell ref="I403:L403"/>
    <mergeCell ref="M403:R403"/>
    <mergeCell ref="S403:X403"/>
    <mergeCell ref="Y403:AD403"/>
    <mergeCell ref="F402:G402"/>
    <mergeCell ref="I402:L402"/>
    <mergeCell ref="M402:R402"/>
    <mergeCell ref="S402:X402"/>
    <mergeCell ref="Y402:AD402"/>
    <mergeCell ref="F400:G400"/>
    <mergeCell ref="M400:R400"/>
    <mergeCell ref="S400:X400"/>
    <mergeCell ref="Y400:AD400"/>
    <mergeCell ref="F401:G401"/>
    <mergeCell ref="H401:L401"/>
    <mergeCell ref="M401:R401"/>
    <mergeCell ref="S401:X401"/>
    <mergeCell ref="Y401:AD401"/>
    <mergeCell ref="I400:L400"/>
    <mergeCell ref="F406:G406"/>
    <mergeCell ref="M406:R406"/>
    <mergeCell ref="S406:X406"/>
    <mergeCell ref="Y406:AD406"/>
    <mergeCell ref="F407:G407"/>
    <mergeCell ref="H407:L407"/>
    <mergeCell ref="M407:R407"/>
    <mergeCell ref="S407:X407"/>
    <mergeCell ref="Y407:AD407"/>
    <mergeCell ref="F405:G405"/>
    <mergeCell ref="I405:L405"/>
    <mergeCell ref="M405:R405"/>
    <mergeCell ref="S405:X405"/>
    <mergeCell ref="Y405:AD405"/>
    <mergeCell ref="F404:G404"/>
    <mergeCell ref="I404:L404"/>
    <mergeCell ref="M404:R404"/>
    <mergeCell ref="S404:X404"/>
    <mergeCell ref="Y404:AD404"/>
    <mergeCell ref="I406:L406"/>
    <mergeCell ref="F411:G411"/>
    <mergeCell ref="I411:L411"/>
    <mergeCell ref="M411:R411"/>
    <mergeCell ref="S411:X411"/>
    <mergeCell ref="Y411:AD411"/>
    <mergeCell ref="F409:G409"/>
    <mergeCell ref="M409:R409"/>
    <mergeCell ref="S409:X409"/>
    <mergeCell ref="Y409:AD409"/>
    <mergeCell ref="F410:G410"/>
    <mergeCell ref="I410:L410"/>
    <mergeCell ref="M410:R410"/>
    <mergeCell ref="S410:X410"/>
    <mergeCell ref="Y410:AD410"/>
    <mergeCell ref="F408:G408"/>
    <mergeCell ref="H408:L408"/>
    <mergeCell ref="M408:R408"/>
    <mergeCell ref="S408:X408"/>
    <mergeCell ref="Y408:AD408"/>
    <mergeCell ref="H409:L409"/>
    <mergeCell ref="F415:G415"/>
    <mergeCell ref="H415:L415"/>
    <mergeCell ref="M415:R415"/>
    <mergeCell ref="S415:X415"/>
    <mergeCell ref="Y415:AD415"/>
    <mergeCell ref="F414:G414"/>
    <mergeCell ref="H414:L414"/>
    <mergeCell ref="M414:R414"/>
    <mergeCell ref="S414:X414"/>
    <mergeCell ref="Y414:AD414"/>
    <mergeCell ref="F413:G413"/>
    <mergeCell ref="H413:L413"/>
    <mergeCell ref="M413:R413"/>
    <mergeCell ref="S413:X413"/>
    <mergeCell ref="Y413:AD413"/>
    <mergeCell ref="F412:G412"/>
    <mergeCell ref="I412:L412"/>
    <mergeCell ref="M412:R412"/>
    <mergeCell ref="S412:X412"/>
    <mergeCell ref="Y412:AD412"/>
    <mergeCell ref="S418:X418"/>
    <mergeCell ref="Y418:AD418"/>
    <mergeCell ref="C419:C436"/>
    <mergeCell ref="D419:E436"/>
    <mergeCell ref="F419:G419"/>
    <mergeCell ref="H419:L419"/>
    <mergeCell ref="M419:R419"/>
    <mergeCell ref="S419:X419"/>
    <mergeCell ref="Y419:AD419"/>
    <mergeCell ref="F420:G420"/>
    <mergeCell ref="I420:L420"/>
    <mergeCell ref="M420:R420"/>
    <mergeCell ref="S420:X420"/>
    <mergeCell ref="Y420:AD420"/>
    <mergeCell ref="F421:G421"/>
    <mergeCell ref="I421:L421"/>
    <mergeCell ref="S416:X416"/>
    <mergeCell ref="Y416:AD416"/>
    <mergeCell ref="F417:G417"/>
    <mergeCell ref="H417:L417"/>
    <mergeCell ref="M417:R417"/>
    <mergeCell ref="S417:X417"/>
    <mergeCell ref="Y417:AD417"/>
    <mergeCell ref="C416:C418"/>
    <mergeCell ref="D416:E418"/>
    <mergeCell ref="F416:G416"/>
    <mergeCell ref="H416:L416"/>
    <mergeCell ref="M416:R416"/>
    <mergeCell ref="F418:G418"/>
    <mergeCell ref="H418:L418"/>
    <mergeCell ref="M418:R418"/>
    <mergeCell ref="F424:G424"/>
    <mergeCell ref="I424:L424"/>
    <mergeCell ref="M424:R424"/>
    <mergeCell ref="S424:X424"/>
    <mergeCell ref="Y424:AD424"/>
    <mergeCell ref="F423:G423"/>
    <mergeCell ref="I423:L423"/>
    <mergeCell ref="M423:R423"/>
    <mergeCell ref="S423:X423"/>
    <mergeCell ref="Y423:AD423"/>
    <mergeCell ref="M421:R421"/>
    <mergeCell ref="S421:X421"/>
    <mergeCell ref="Y421:AD421"/>
    <mergeCell ref="F422:G422"/>
    <mergeCell ref="I422:L422"/>
    <mergeCell ref="M422:R422"/>
    <mergeCell ref="S422:X422"/>
    <mergeCell ref="Y422:AD422"/>
    <mergeCell ref="F428:G428"/>
    <mergeCell ref="I428:L428"/>
    <mergeCell ref="M428:R428"/>
    <mergeCell ref="S428:X428"/>
    <mergeCell ref="Y428:AD428"/>
    <mergeCell ref="F427:G427"/>
    <mergeCell ref="H427:L427"/>
    <mergeCell ref="M427:R427"/>
    <mergeCell ref="S427:X427"/>
    <mergeCell ref="Y427:AD427"/>
    <mergeCell ref="F426:G426"/>
    <mergeCell ref="I426:L426"/>
    <mergeCell ref="M426:R426"/>
    <mergeCell ref="S426:X426"/>
    <mergeCell ref="Y426:AD426"/>
    <mergeCell ref="F425:G425"/>
    <mergeCell ref="I425:L425"/>
    <mergeCell ref="M425:R425"/>
    <mergeCell ref="S425:X425"/>
    <mergeCell ref="Y425:AD425"/>
    <mergeCell ref="F432:G432"/>
    <mergeCell ref="I432:L432"/>
    <mergeCell ref="M432:R432"/>
    <mergeCell ref="S432:X432"/>
    <mergeCell ref="Y432:AD432"/>
    <mergeCell ref="F431:G431"/>
    <mergeCell ref="I431:L431"/>
    <mergeCell ref="M431:R431"/>
    <mergeCell ref="S431:X431"/>
    <mergeCell ref="Y431:AD431"/>
    <mergeCell ref="F430:G430"/>
    <mergeCell ref="I430:L430"/>
    <mergeCell ref="M430:R430"/>
    <mergeCell ref="S430:X430"/>
    <mergeCell ref="Y430:AD430"/>
    <mergeCell ref="F429:G429"/>
    <mergeCell ref="I429:L429"/>
    <mergeCell ref="M429:R429"/>
    <mergeCell ref="S429:X429"/>
    <mergeCell ref="Y429:AD429"/>
    <mergeCell ref="F436:G436"/>
    <mergeCell ref="H436:L436"/>
    <mergeCell ref="M436:R436"/>
    <mergeCell ref="S436:X436"/>
    <mergeCell ref="Y436:AD436"/>
    <mergeCell ref="F435:G435"/>
    <mergeCell ref="H435:L435"/>
    <mergeCell ref="M435:R435"/>
    <mergeCell ref="S435:X435"/>
    <mergeCell ref="Y435:AD435"/>
    <mergeCell ref="F434:G434"/>
    <mergeCell ref="H434:L434"/>
    <mergeCell ref="M434:R434"/>
    <mergeCell ref="S434:X434"/>
    <mergeCell ref="Y434:AD434"/>
    <mergeCell ref="F433:G433"/>
    <mergeCell ref="H433:L433"/>
    <mergeCell ref="M433:R433"/>
    <mergeCell ref="S433:X433"/>
    <mergeCell ref="Y433:AD433"/>
    <mergeCell ref="S437:X437"/>
    <mergeCell ref="Y437:AD437"/>
    <mergeCell ref="F438:G438"/>
    <mergeCell ref="I438:L438"/>
    <mergeCell ref="M438:R438"/>
    <mergeCell ref="S438:X438"/>
    <mergeCell ref="Y438:AD438"/>
    <mergeCell ref="C437:C465"/>
    <mergeCell ref="D437:E465"/>
    <mergeCell ref="F437:G437"/>
    <mergeCell ref="H437:L437"/>
    <mergeCell ref="M437:R437"/>
    <mergeCell ref="F439:G439"/>
    <mergeCell ref="I439:L439"/>
    <mergeCell ref="M439:R439"/>
    <mergeCell ref="F441:G441"/>
    <mergeCell ref="I441:L441"/>
    <mergeCell ref="M441:R441"/>
    <mergeCell ref="F443:G443"/>
    <mergeCell ref="I443:L443"/>
    <mergeCell ref="M443:R443"/>
    <mergeCell ref="F445:G445"/>
    <mergeCell ref="I445:L445"/>
    <mergeCell ref="S443:X443"/>
    <mergeCell ref="Y443:AD443"/>
    <mergeCell ref="F444:G444"/>
    <mergeCell ref="H444:L444"/>
    <mergeCell ref="M444:R444"/>
    <mergeCell ref="S444:X444"/>
    <mergeCell ref="Y444:AD444"/>
    <mergeCell ref="S441:X441"/>
    <mergeCell ref="Y441:AD441"/>
    <mergeCell ref="F442:G442"/>
    <mergeCell ref="I442:L442"/>
    <mergeCell ref="M442:R442"/>
    <mergeCell ref="S442:X442"/>
    <mergeCell ref="Y442:AD442"/>
    <mergeCell ref="S439:X439"/>
    <mergeCell ref="Y439:AD439"/>
    <mergeCell ref="F440:G440"/>
    <mergeCell ref="I440:L440"/>
    <mergeCell ref="M440:R440"/>
    <mergeCell ref="S440:X440"/>
    <mergeCell ref="Y440:AD440"/>
    <mergeCell ref="F449:G449"/>
    <mergeCell ref="I449:L449"/>
    <mergeCell ref="M449:R449"/>
    <mergeCell ref="S449:X449"/>
    <mergeCell ref="Y449:AD449"/>
    <mergeCell ref="F448:G448"/>
    <mergeCell ref="I448:L448"/>
    <mergeCell ref="M448:R448"/>
    <mergeCell ref="S448:X448"/>
    <mergeCell ref="Y448:AD448"/>
    <mergeCell ref="F447:G447"/>
    <mergeCell ref="I447:L447"/>
    <mergeCell ref="M447:R447"/>
    <mergeCell ref="S447:X447"/>
    <mergeCell ref="Y447:AD447"/>
    <mergeCell ref="M445:R445"/>
    <mergeCell ref="S445:X445"/>
    <mergeCell ref="Y445:AD445"/>
    <mergeCell ref="F446:G446"/>
    <mergeCell ref="I446:L446"/>
    <mergeCell ref="M446:R446"/>
    <mergeCell ref="S446:X446"/>
    <mergeCell ref="Y446:AD446"/>
    <mergeCell ref="F453:G453"/>
    <mergeCell ref="H453:L453"/>
    <mergeCell ref="M453:R453"/>
    <mergeCell ref="S453:X453"/>
    <mergeCell ref="Y453:AD453"/>
    <mergeCell ref="F452:G452"/>
    <mergeCell ref="I452:L452"/>
    <mergeCell ref="M452:R452"/>
    <mergeCell ref="S452:X452"/>
    <mergeCell ref="Y452:AD452"/>
    <mergeCell ref="F451:G451"/>
    <mergeCell ref="I451:L451"/>
    <mergeCell ref="M451:R451"/>
    <mergeCell ref="S451:X451"/>
    <mergeCell ref="Y451:AD451"/>
    <mergeCell ref="F450:G450"/>
    <mergeCell ref="I450:L450"/>
    <mergeCell ref="M450:R450"/>
    <mergeCell ref="S450:X450"/>
    <mergeCell ref="Y450:AD450"/>
    <mergeCell ref="F457:G457"/>
    <mergeCell ref="I457:L457"/>
    <mergeCell ref="M457:R457"/>
    <mergeCell ref="S457:X457"/>
    <mergeCell ref="Y457:AD457"/>
    <mergeCell ref="F456:G456"/>
    <mergeCell ref="H456:L456"/>
    <mergeCell ref="M456:R456"/>
    <mergeCell ref="S456:X456"/>
    <mergeCell ref="Y456:AD456"/>
    <mergeCell ref="F455:G455"/>
    <mergeCell ref="H455:L455"/>
    <mergeCell ref="M455:R455"/>
    <mergeCell ref="S455:X455"/>
    <mergeCell ref="Y455:AD455"/>
    <mergeCell ref="F454:G454"/>
    <mergeCell ref="H454:L454"/>
    <mergeCell ref="M454:R454"/>
    <mergeCell ref="S454:X454"/>
    <mergeCell ref="Y454:AD454"/>
    <mergeCell ref="F461:G461"/>
    <mergeCell ref="I461:L461"/>
    <mergeCell ref="M461:R461"/>
    <mergeCell ref="S461:X461"/>
    <mergeCell ref="Y461:AD461"/>
    <mergeCell ref="F460:G460"/>
    <mergeCell ref="I460:L460"/>
    <mergeCell ref="M460:R460"/>
    <mergeCell ref="S460:X460"/>
    <mergeCell ref="Y460:AD460"/>
    <mergeCell ref="F459:G459"/>
    <mergeCell ref="I459:L459"/>
    <mergeCell ref="M459:R459"/>
    <mergeCell ref="S459:X459"/>
    <mergeCell ref="Y459:AD459"/>
    <mergeCell ref="F458:G458"/>
    <mergeCell ref="I458:L458"/>
    <mergeCell ref="M458:R458"/>
    <mergeCell ref="S458:X458"/>
    <mergeCell ref="Y458:AD458"/>
    <mergeCell ref="F465:G465"/>
    <mergeCell ref="H465:L465"/>
    <mergeCell ref="M465:R465"/>
    <mergeCell ref="S465:X465"/>
    <mergeCell ref="Y465:AD465"/>
    <mergeCell ref="F464:G464"/>
    <mergeCell ref="H464:L464"/>
    <mergeCell ref="M464:R464"/>
    <mergeCell ref="S464:X464"/>
    <mergeCell ref="Y464:AD464"/>
    <mergeCell ref="F463:G463"/>
    <mergeCell ref="H463:L463"/>
    <mergeCell ref="M463:R463"/>
    <mergeCell ref="S463:X463"/>
    <mergeCell ref="Y463:AD463"/>
    <mergeCell ref="F462:G462"/>
    <mergeCell ref="I462:L462"/>
    <mergeCell ref="M462:R462"/>
    <mergeCell ref="S462:X462"/>
    <mergeCell ref="Y462:AD462"/>
    <mergeCell ref="S466:X466"/>
    <mergeCell ref="Y466:AD466"/>
    <mergeCell ref="F467:G467"/>
    <mergeCell ref="I467:L467"/>
    <mergeCell ref="M467:R467"/>
    <mergeCell ref="S467:X467"/>
    <mergeCell ref="Y467:AD467"/>
    <mergeCell ref="C466:C482"/>
    <mergeCell ref="D466:E482"/>
    <mergeCell ref="F466:G466"/>
    <mergeCell ref="H466:L466"/>
    <mergeCell ref="M466:R466"/>
    <mergeCell ref="F468:G468"/>
    <mergeCell ref="I468:L468"/>
    <mergeCell ref="M468:R468"/>
    <mergeCell ref="F470:G470"/>
    <mergeCell ref="I470:L470"/>
    <mergeCell ref="M470:R470"/>
    <mergeCell ref="F472:G472"/>
    <mergeCell ref="I472:L472"/>
    <mergeCell ref="M472:R472"/>
    <mergeCell ref="F474:G474"/>
    <mergeCell ref="I474:L474"/>
    <mergeCell ref="S472:X472"/>
    <mergeCell ref="Y472:AD472"/>
    <mergeCell ref="F473:G473"/>
    <mergeCell ref="I473:L473"/>
    <mergeCell ref="M473:R473"/>
    <mergeCell ref="S473:X473"/>
    <mergeCell ref="Y473:AD473"/>
    <mergeCell ref="S470:X470"/>
    <mergeCell ref="Y470:AD470"/>
    <mergeCell ref="F471:G471"/>
    <mergeCell ref="I471:L471"/>
    <mergeCell ref="M471:R471"/>
    <mergeCell ref="S471:X471"/>
    <mergeCell ref="Y471:AD471"/>
    <mergeCell ref="S468:X468"/>
    <mergeCell ref="Y468:AD468"/>
    <mergeCell ref="F469:G469"/>
    <mergeCell ref="I469:L469"/>
    <mergeCell ref="M469:R469"/>
    <mergeCell ref="S469:X469"/>
    <mergeCell ref="Y469:AD469"/>
    <mergeCell ref="F478:G478"/>
    <mergeCell ref="I478:L478"/>
    <mergeCell ref="M478:R478"/>
    <mergeCell ref="S478:X478"/>
    <mergeCell ref="Y478:AD478"/>
    <mergeCell ref="F477:G477"/>
    <mergeCell ref="I477:L477"/>
    <mergeCell ref="M477:R477"/>
    <mergeCell ref="S477:X477"/>
    <mergeCell ref="Y477:AD477"/>
    <mergeCell ref="F476:G476"/>
    <mergeCell ref="H476:L476"/>
    <mergeCell ref="M476:R476"/>
    <mergeCell ref="S476:X476"/>
    <mergeCell ref="Y476:AD476"/>
    <mergeCell ref="M474:R474"/>
    <mergeCell ref="S474:X474"/>
    <mergeCell ref="Y474:AD474"/>
    <mergeCell ref="F475:G475"/>
    <mergeCell ref="I475:L475"/>
    <mergeCell ref="M475:R475"/>
    <mergeCell ref="S475:X475"/>
    <mergeCell ref="Y475:AD475"/>
    <mergeCell ref="F482:G482"/>
    <mergeCell ref="H482:L482"/>
    <mergeCell ref="M482:R482"/>
    <mergeCell ref="S482:X482"/>
    <mergeCell ref="Y482:AD482"/>
    <mergeCell ref="F481:G481"/>
    <mergeCell ref="H481:L481"/>
    <mergeCell ref="M481:R481"/>
    <mergeCell ref="S481:X481"/>
    <mergeCell ref="Y481:AD481"/>
    <mergeCell ref="F480:G480"/>
    <mergeCell ref="H480:L480"/>
    <mergeCell ref="M480:R480"/>
    <mergeCell ref="S480:X480"/>
    <mergeCell ref="Y480:AD480"/>
    <mergeCell ref="F479:G479"/>
    <mergeCell ref="I479:L479"/>
    <mergeCell ref="M479:R479"/>
    <mergeCell ref="S479:X479"/>
    <mergeCell ref="Y479:AD479"/>
    <mergeCell ref="S483:X483"/>
    <mergeCell ref="Y483:AD483"/>
    <mergeCell ref="F484:G484"/>
    <mergeCell ref="H484:L484"/>
    <mergeCell ref="M484:R484"/>
    <mergeCell ref="S484:X484"/>
    <mergeCell ref="Y484:AD484"/>
    <mergeCell ref="C483:C515"/>
    <mergeCell ref="D483:E515"/>
    <mergeCell ref="F483:G483"/>
    <mergeCell ref="H483:L483"/>
    <mergeCell ref="M483:R483"/>
    <mergeCell ref="F485:G485"/>
    <mergeCell ref="H485:L485"/>
    <mergeCell ref="M485:R485"/>
    <mergeCell ref="F487:G487"/>
    <mergeCell ref="H487:L487"/>
    <mergeCell ref="M487:R487"/>
    <mergeCell ref="F489:G489"/>
    <mergeCell ref="I489:L489"/>
    <mergeCell ref="M489:R489"/>
    <mergeCell ref="F491:G491"/>
    <mergeCell ref="I491:L491"/>
    <mergeCell ref="S489:X489"/>
    <mergeCell ref="Y489:AD489"/>
    <mergeCell ref="F490:G490"/>
    <mergeCell ref="I490:L490"/>
    <mergeCell ref="M490:R490"/>
    <mergeCell ref="S490:X490"/>
    <mergeCell ref="Y490:AD490"/>
    <mergeCell ref="S487:X487"/>
    <mergeCell ref="Y487:AD487"/>
    <mergeCell ref="F488:G488"/>
    <mergeCell ref="I488:L488"/>
    <mergeCell ref="M488:R488"/>
    <mergeCell ref="S488:X488"/>
    <mergeCell ref="Y488:AD488"/>
    <mergeCell ref="S485:X485"/>
    <mergeCell ref="Y485:AD485"/>
    <mergeCell ref="F486:G486"/>
    <mergeCell ref="H486:L486"/>
    <mergeCell ref="M486:R486"/>
    <mergeCell ref="S486:X486"/>
    <mergeCell ref="Y486:AD486"/>
    <mergeCell ref="F495:G495"/>
    <mergeCell ref="H495:L495"/>
    <mergeCell ref="M495:R495"/>
    <mergeCell ref="S495:X495"/>
    <mergeCell ref="Y495:AD495"/>
    <mergeCell ref="F494:G494"/>
    <mergeCell ref="I494:L494"/>
    <mergeCell ref="M494:R494"/>
    <mergeCell ref="S494:X494"/>
    <mergeCell ref="Y494:AD494"/>
    <mergeCell ref="F493:G493"/>
    <mergeCell ref="I493:L493"/>
    <mergeCell ref="M493:R493"/>
    <mergeCell ref="S493:X493"/>
    <mergeCell ref="Y493:AD493"/>
    <mergeCell ref="M491:R491"/>
    <mergeCell ref="S491:X491"/>
    <mergeCell ref="Y491:AD491"/>
    <mergeCell ref="F492:G492"/>
    <mergeCell ref="I492:L492"/>
    <mergeCell ref="M492:R492"/>
    <mergeCell ref="S492:X492"/>
    <mergeCell ref="Y492:AD492"/>
    <mergeCell ref="F499:G499"/>
    <mergeCell ref="I499:L499"/>
    <mergeCell ref="M499:R499"/>
    <mergeCell ref="S499:X499"/>
    <mergeCell ref="Y499:AD499"/>
    <mergeCell ref="F498:G498"/>
    <mergeCell ref="I498:L498"/>
    <mergeCell ref="M498:R498"/>
    <mergeCell ref="S498:X498"/>
    <mergeCell ref="Y498:AD498"/>
    <mergeCell ref="F497:G497"/>
    <mergeCell ref="I497:L497"/>
    <mergeCell ref="M497:R497"/>
    <mergeCell ref="S497:X497"/>
    <mergeCell ref="Y497:AD497"/>
    <mergeCell ref="F496:G496"/>
    <mergeCell ref="H496:L496"/>
    <mergeCell ref="M496:R496"/>
    <mergeCell ref="S496:X496"/>
    <mergeCell ref="Y496:AD496"/>
    <mergeCell ref="F503:G503"/>
    <mergeCell ref="H503:L503"/>
    <mergeCell ref="M503:R503"/>
    <mergeCell ref="S503:X503"/>
    <mergeCell ref="Y503:AD503"/>
    <mergeCell ref="F502:G502"/>
    <mergeCell ref="H502:L502"/>
    <mergeCell ref="M502:R502"/>
    <mergeCell ref="S502:X502"/>
    <mergeCell ref="Y502:AD502"/>
    <mergeCell ref="F501:G501"/>
    <mergeCell ref="H501:L501"/>
    <mergeCell ref="M501:R501"/>
    <mergeCell ref="S501:X501"/>
    <mergeCell ref="Y501:AD501"/>
    <mergeCell ref="F500:G500"/>
    <mergeCell ref="H500:L500"/>
    <mergeCell ref="M500:R500"/>
    <mergeCell ref="S500:X500"/>
    <mergeCell ref="Y500:AD500"/>
    <mergeCell ref="F507:G507"/>
    <mergeCell ref="H507:L507"/>
    <mergeCell ref="M507:R507"/>
    <mergeCell ref="S507:X507"/>
    <mergeCell ref="Y507:AD507"/>
    <mergeCell ref="F506:G506"/>
    <mergeCell ref="H506:L506"/>
    <mergeCell ref="M506:R506"/>
    <mergeCell ref="S506:X506"/>
    <mergeCell ref="Y506:AD506"/>
    <mergeCell ref="F505:G505"/>
    <mergeCell ref="H505:L505"/>
    <mergeCell ref="M505:R505"/>
    <mergeCell ref="S505:X505"/>
    <mergeCell ref="Y505:AD505"/>
    <mergeCell ref="F504:G504"/>
    <mergeCell ref="H504:L504"/>
    <mergeCell ref="M504:R504"/>
    <mergeCell ref="S504:X504"/>
    <mergeCell ref="Y504:AD504"/>
    <mergeCell ref="F511:G511"/>
    <mergeCell ref="I511:L511"/>
    <mergeCell ref="M511:R511"/>
    <mergeCell ref="S511:X511"/>
    <mergeCell ref="Y511:AD511"/>
    <mergeCell ref="F510:G510"/>
    <mergeCell ref="I510:L510"/>
    <mergeCell ref="M510:R510"/>
    <mergeCell ref="S510:X510"/>
    <mergeCell ref="Y510:AD510"/>
    <mergeCell ref="F509:G509"/>
    <mergeCell ref="I509:L509"/>
    <mergeCell ref="M509:R509"/>
    <mergeCell ref="S509:X509"/>
    <mergeCell ref="Y509:AD509"/>
    <mergeCell ref="F508:G508"/>
    <mergeCell ref="H508:L508"/>
    <mergeCell ref="M508:R508"/>
    <mergeCell ref="S508:X508"/>
    <mergeCell ref="Y508:AD508"/>
    <mergeCell ref="F515:G515"/>
    <mergeCell ref="H515:L515"/>
    <mergeCell ref="M515:R515"/>
    <mergeCell ref="S515:X515"/>
    <mergeCell ref="Y515:AD515"/>
    <mergeCell ref="F514:G514"/>
    <mergeCell ref="H514:L514"/>
    <mergeCell ref="M514:R514"/>
    <mergeCell ref="S514:X514"/>
    <mergeCell ref="Y514:AD514"/>
    <mergeCell ref="F513:G513"/>
    <mergeCell ref="I513:L513"/>
    <mergeCell ref="M513:R513"/>
    <mergeCell ref="S513:X513"/>
    <mergeCell ref="Y513:AD513"/>
    <mergeCell ref="F512:G512"/>
    <mergeCell ref="I512:L512"/>
    <mergeCell ref="M512:R512"/>
    <mergeCell ref="S512:X512"/>
    <mergeCell ref="Y512:AD512"/>
    <mergeCell ref="C528:AD528"/>
    <mergeCell ref="C529:AD529"/>
    <mergeCell ref="C531:E532"/>
    <mergeCell ref="F531:G532"/>
    <mergeCell ref="H531:L532"/>
    <mergeCell ref="M531:AD531"/>
    <mergeCell ref="M532:R532"/>
    <mergeCell ref="S532:X532"/>
    <mergeCell ref="Y532:AD532"/>
    <mergeCell ref="M517:R517"/>
    <mergeCell ref="S517:X517"/>
    <mergeCell ref="Y517:AD517"/>
    <mergeCell ref="C519:AD519"/>
    <mergeCell ref="C520:AD520"/>
    <mergeCell ref="C516:G516"/>
    <mergeCell ref="H516:L516"/>
    <mergeCell ref="M516:R516"/>
    <mergeCell ref="S516:X516"/>
    <mergeCell ref="Y516:AD516"/>
    <mergeCell ref="B518:AE518"/>
    <mergeCell ref="B521:AE521"/>
    <mergeCell ref="B522:AE522"/>
    <mergeCell ref="B523:AE523"/>
    <mergeCell ref="B524:AE524"/>
    <mergeCell ref="B525:AE525"/>
    <mergeCell ref="B526:AE526"/>
    <mergeCell ref="S535:X535"/>
    <mergeCell ref="Y535:AD535"/>
    <mergeCell ref="F536:G536"/>
    <mergeCell ref="H536:L536"/>
    <mergeCell ref="M536:R536"/>
    <mergeCell ref="S536:X536"/>
    <mergeCell ref="Y536:AD536"/>
    <mergeCell ref="S533:X533"/>
    <mergeCell ref="Y533:AD533"/>
    <mergeCell ref="F534:G534"/>
    <mergeCell ref="H534:L534"/>
    <mergeCell ref="M534:R534"/>
    <mergeCell ref="S534:X534"/>
    <mergeCell ref="Y534:AD534"/>
    <mergeCell ref="C533:C537"/>
    <mergeCell ref="D533:E537"/>
    <mergeCell ref="F533:G533"/>
    <mergeCell ref="H533:L533"/>
    <mergeCell ref="M533:R533"/>
    <mergeCell ref="F535:G535"/>
    <mergeCell ref="H535:L535"/>
    <mergeCell ref="M535:R535"/>
    <mergeCell ref="F537:G537"/>
    <mergeCell ref="H537:L537"/>
    <mergeCell ref="M537:R537"/>
    <mergeCell ref="F542:G542"/>
    <mergeCell ref="H542:L542"/>
    <mergeCell ref="M542:R542"/>
    <mergeCell ref="S542:X542"/>
    <mergeCell ref="Y542:AD542"/>
    <mergeCell ref="M540:R540"/>
    <mergeCell ref="S540:X540"/>
    <mergeCell ref="Y540:AD540"/>
    <mergeCell ref="F541:G541"/>
    <mergeCell ref="H541:L541"/>
    <mergeCell ref="M541:R541"/>
    <mergeCell ref="S541:X541"/>
    <mergeCell ref="Y541:AD541"/>
    <mergeCell ref="S537:X537"/>
    <mergeCell ref="Y537:AD537"/>
    <mergeCell ref="C538:C550"/>
    <mergeCell ref="D538:E550"/>
    <mergeCell ref="F538:G538"/>
    <mergeCell ref="H538:L538"/>
    <mergeCell ref="M538:R538"/>
    <mergeCell ref="S538:X538"/>
    <mergeCell ref="Y538:AD538"/>
    <mergeCell ref="F539:G539"/>
    <mergeCell ref="H539:L539"/>
    <mergeCell ref="M539:R539"/>
    <mergeCell ref="S539:X539"/>
    <mergeCell ref="Y539:AD539"/>
    <mergeCell ref="F540:G540"/>
    <mergeCell ref="H540:L540"/>
    <mergeCell ref="F546:G546"/>
    <mergeCell ref="I546:L546"/>
    <mergeCell ref="M546:R546"/>
    <mergeCell ref="S546:X546"/>
    <mergeCell ref="Y546:AD546"/>
    <mergeCell ref="F545:G545"/>
    <mergeCell ref="I545:L545"/>
    <mergeCell ref="M545:R545"/>
    <mergeCell ref="S545:X545"/>
    <mergeCell ref="Y545:AD545"/>
    <mergeCell ref="F544:G544"/>
    <mergeCell ref="I544:L544"/>
    <mergeCell ref="M544:R544"/>
    <mergeCell ref="S544:X544"/>
    <mergeCell ref="Y544:AD544"/>
    <mergeCell ref="F543:G543"/>
    <mergeCell ref="H543:L543"/>
    <mergeCell ref="M543:R543"/>
    <mergeCell ref="S543:X543"/>
    <mergeCell ref="Y543:AD543"/>
    <mergeCell ref="F549:G549"/>
    <mergeCell ref="M549:R549"/>
    <mergeCell ref="S549:X549"/>
    <mergeCell ref="Y549:AD549"/>
    <mergeCell ref="F550:G550"/>
    <mergeCell ref="H550:L550"/>
    <mergeCell ref="M550:R550"/>
    <mergeCell ref="S550:X550"/>
    <mergeCell ref="Y550:AD550"/>
    <mergeCell ref="F548:G548"/>
    <mergeCell ref="I548:L548"/>
    <mergeCell ref="M548:R548"/>
    <mergeCell ref="S548:X548"/>
    <mergeCell ref="Y548:AD548"/>
    <mergeCell ref="F547:G547"/>
    <mergeCell ref="I547:L547"/>
    <mergeCell ref="M547:R547"/>
    <mergeCell ref="S547:X547"/>
    <mergeCell ref="Y547:AD547"/>
    <mergeCell ref="I549:L549"/>
    <mergeCell ref="S551:X551"/>
    <mergeCell ref="Y551:AD551"/>
    <mergeCell ref="F552:G552"/>
    <mergeCell ref="H552:L552"/>
    <mergeCell ref="M552:R552"/>
    <mergeCell ref="S552:X552"/>
    <mergeCell ref="Y552:AD552"/>
    <mergeCell ref="C551:C562"/>
    <mergeCell ref="D551:E562"/>
    <mergeCell ref="F551:G551"/>
    <mergeCell ref="H551:L551"/>
    <mergeCell ref="M551:R551"/>
    <mergeCell ref="F553:G553"/>
    <mergeCell ref="H553:L553"/>
    <mergeCell ref="M553:R553"/>
    <mergeCell ref="F555:G555"/>
    <mergeCell ref="I555:L555"/>
    <mergeCell ref="M555:R555"/>
    <mergeCell ref="F557:G557"/>
    <mergeCell ref="I557:L557"/>
    <mergeCell ref="M557:R557"/>
    <mergeCell ref="F559:G559"/>
    <mergeCell ref="M559:R559"/>
    <mergeCell ref="S557:X557"/>
    <mergeCell ref="Y557:AD557"/>
    <mergeCell ref="F558:G558"/>
    <mergeCell ref="I558:L558"/>
    <mergeCell ref="M558:R558"/>
    <mergeCell ref="S558:X558"/>
    <mergeCell ref="Y558:AD558"/>
    <mergeCell ref="S555:X555"/>
    <mergeCell ref="Y555:AD555"/>
    <mergeCell ref="F556:G556"/>
    <mergeCell ref="I556:L556"/>
    <mergeCell ref="M556:R556"/>
    <mergeCell ref="S556:X556"/>
    <mergeCell ref="Y556:AD556"/>
    <mergeCell ref="S553:X553"/>
    <mergeCell ref="Y553:AD553"/>
    <mergeCell ref="F554:G554"/>
    <mergeCell ref="H554:L554"/>
    <mergeCell ref="M554:R554"/>
    <mergeCell ref="S554:X554"/>
    <mergeCell ref="Y554:AD554"/>
    <mergeCell ref="F562:G562"/>
    <mergeCell ref="H562:L562"/>
    <mergeCell ref="M562:R562"/>
    <mergeCell ref="S562:X562"/>
    <mergeCell ref="Y562:AD562"/>
    <mergeCell ref="F561:G561"/>
    <mergeCell ref="H561:L561"/>
    <mergeCell ref="M561:R561"/>
    <mergeCell ref="S561:X561"/>
    <mergeCell ref="Y561:AD561"/>
    <mergeCell ref="S559:X559"/>
    <mergeCell ref="Y559:AD559"/>
    <mergeCell ref="F560:G560"/>
    <mergeCell ref="H560:L560"/>
    <mergeCell ref="M560:R560"/>
    <mergeCell ref="S560:X560"/>
    <mergeCell ref="Y560:AD560"/>
    <mergeCell ref="I559:L559"/>
    <mergeCell ref="S565:X565"/>
    <mergeCell ref="Y565:AD565"/>
    <mergeCell ref="F566:G566"/>
    <mergeCell ref="I566:L566"/>
    <mergeCell ref="M566:R566"/>
    <mergeCell ref="S566:X566"/>
    <mergeCell ref="Y566:AD566"/>
    <mergeCell ref="S563:X563"/>
    <mergeCell ref="Y563:AD563"/>
    <mergeCell ref="F564:G564"/>
    <mergeCell ref="I564:L564"/>
    <mergeCell ref="M564:R564"/>
    <mergeCell ref="S564:X564"/>
    <mergeCell ref="Y564:AD564"/>
    <mergeCell ref="C563:C596"/>
    <mergeCell ref="D563:E596"/>
    <mergeCell ref="F563:G563"/>
    <mergeCell ref="H563:L563"/>
    <mergeCell ref="M563:R563"/>
    <mergeCell ref="F565:G565"/>
    <mergeCell ref="I565:L565"/>
    <mergeCell ref="M565:R565"/>
    <mergeCell ref="F567:G567"/>
    <mergeCell ref="I567:L567"/>
    <mergeCell ref="M567:R567"/>
    <mergeCell ref="F569:G569"/>
    <mergeCell ref="I569:L569"/>
    <mergeCell ref="M569:R569"/>
    <mergeCell ref="F571:G571"/>
    <mergeCell ref="I571:L571"/>
    <mergeCell ref="M571:R571"/>
    <mergeCell ref="S571:X571"/>
    <mergeCell ref="Y571:AD571"/>
    <mergeCell ref="F572:G572"/>
    <mergeCell ref="I572:L572"/>
    <mergeCell ref="M572:R572"/>
    <mergeCell ref="S572:X572"/>
    <mergeCell ref="Y572:AD572"/>
    <mergeCell ref="S569:X569"/>
    <mergeCell ref="Y569:AD569"/>
    <mergeCell ref="F570:G570"/>
    <mergeCell ref="I570:L570"/>
    <mergeCell ref="M570:R570"/>
    <mergeCell ref="S570:X570"/>
    <mergeCell ref="Y570:AD570"/>
    <mergeCell ref="S567:X567"/>
    <mergeCell ref="Y567:AD567"/>
    <mergeCell ref="F568:G568"/>
    <mergeCell ref="I568:L568"/>
    <mergeCell ref="M568:R568"/>
    <mergeCell ref="S568:X568"/>
    <mergeCell ref="Y568:AD568"/>
    <mergeCell ref="F576:G576"/>
    <mergeCell ref="I576:L576"/>
    <mergeCell ref="M576:R576"/>
    <mergeCell ref="S576:X576"/>
    <mergeCell ref="Y576:AD576"/>
    <mergeCell ref="F575:G575"/>
    <mergeCell ref="I575:L575"/>
    <mergeCell ref="M575:R575"/>
    <mergeCell ref="S575:X575"/>
    <mergeCell ref="Y575:AD575"/>
    <mergeCell ref="F574:G574"/>
    <mergeCell ref="I574:L574"/>
    <mergeCell ref="M574:R574"/>
    <mergeCell ref="S574:X574"/>
    <mergeCell ref="Y574:AD574"/>
    <mergeCell ref="F573:G573"/>
    <mergeCell ref="I573:L573"/>
    <mergeCell ref="M573:R573"/>
    <mergeCell ref="S573:X573"/>
    <mergeCell ref="Y573:AD573"/>
    <mergeCell ref="F580:G580"/>
    <mergeCell ref="I580:L580"/>
    <mergeCell ref="M580:R580"/>
    <mergeCell ref="S580:X580"/>
    <mergeCell ref="Y580:AD580"/>
    <mergeCell ref="F579:G579"/>
    <mergeCell ref="I579:L579"/>
    <mergeCell ref="M579:R579"/>
    <mergeCell ref="S579:X579"/>
    <mergeCell ref="Y579:AD579"/>
    <mergeCell ref="F578:G578"/>
    <mergeCell ref="I578:L578"/>
    <mergeCell ref="M578:R578"/>
    <mergeCell ref="S578:X578"/>
    <mergeCell ref="Y578:AD578"/>
    <mergeCell ref="F577:G577"/>
    <mergeCell ref="I577:L577"/>
    <mergeCell ref="M577:R577"/>
    <mergeCell ref="S577:X577"/>
    <mergeCell ref="Y577:AD577"/>
    <mergeCell ref="F584:G584"/>
    <mergeCell ref="I584:L584"/>
    <mergeCell ref="M584:R584"/>
    <mergeCell ref="S584:X584"/>
    <mergeCell ref="Y584:AD584"/>
    <mergeCell ref="F583:G583"/>
    <mergeCell ref="I583:L583"/>
    <mergeCell ref="M583:R583"/>
    <mergeCell ref="S583:X583"/>
    <mergeCell ref="Y583:AD583"/>
    <mergeCell ref="F581:G581"/>
    <mergeCell ref="M581:R581"/>
    <mergeCell ref="S581:X581"/>
    <mergeCell ref="Y581:AD581"/>
    <mergeCell ref="F582:G582"/>
    <mergeCell ref="H582:L582"/>
    <mergeCell ref="M582:R582"/>
    <mergeCell ref="S582:X582"/>
    <mergeCell ref="Y582:AD582"/>
    <mergeCell ref="I581:L581"/>
    <mergeCell ref="F587:G587"/>
    <mergeCell ref="M587:R587"/>
    <mergeCell ref="S587:X587"/>
    <mergeCell ref="Y587:AD587"/>
    <mergeCell ref="F588:G588"/>
    <mergeCell ref="H588:L588"/>
    <mergeCell ref="M588:R588"/>
    <mergeCell ref="S588:X588"/>
    <mergeCell ref="Y588:AD588"/>
    <mergeCell ref="F586:G586"/>
    <mergeCell ref="I586:L586"/>
    <mergeCell ref="M586:R586"/>
    <mergeCell ref="S586:X586"/>
    <mergeCell ref="Y586:AD586"/>
    <mergeCell ref="F585:G585"/>
    <mergeCell ref="I585:L585"/>
    <mergeCell ref="M585:R585"/>
    <mergeCell ref="S585:X585"/>
    <mergeCell ref="Y585:AD585"/>
    <mergeCell ref="I587:L587"/>
    <mergeCell ref="F592:G592"/>
    <mergeCell ref="I592:L592"/>
    <mergeCell ref="M592:R592"/>
    <mergeCell ref="S592:X592"/>
    <mergeCell ref="Y592:AD592"/>
    <mergeCell ref="F590:G590"/>
    <mergeCell ref="M590:R590"/>
    <mergeCell ref="S590:X590"/>
    <mergeCell ref="Y590:AD590"/>
    <mergeCell ref="F591:G591"/>
    <mergeCell ref="I591:L591"/>
    <mergeCell ref="M591:R591"/>
    <mergeCell ref="S591:X591"/>
    <mergeCell ref="Y591:AD591"/>
    <mergeCell ref="F589:G589"/>
    <mergeCell ref="H589:L589"/>
    <mergeCell ref="M589:R589"/>
    <mergeCell ref="S589:X589"/>
    <mergeCell ref="Y589:AD589"/>
    <mergeCell ref="H590:L590"/>
    <mergeCell ref="F596:G596"/>
    <mergeCell ref="H596:L596"/>
    <mergeCell ref="M596:R596"/>
    <mergeCell ref="S596:X596"/>
    <mergeCell ref="Y596:AD596"/>
    <mergeCell ref="F595:G595"/>
    <mergeCell ref="H595:L595"/>
    <mergeCell ref="M595:R595"/>
    <mergeCell ref="S595:X595"/>
    <mergeCell ref="Y595:AD595"/>
    <mergeCell ref="F594:G594"/>
    <mergeCell ref="H594:L594"/>
    <mergeCell ref="M594:R594"/>
    <mergeCell ref="S594:X594"/>
    <mergeCell ref="Y594:AD594"/>
    <mergeCell ref="F593:G593"/>
    <mergeCell ref="I593:L593"/>
    <mergeCell ref="M593:R593"/>
    <mergeCell ref="S593:X593"/>
    <mergeCell ref="Y593:AD593"/>
    <mergeCell ref="S599:X599"/>
    <mergeCell ref="Y599:AD599"/>
    <mergeCell ref="C600:C617"/>
    <mergeCell ref="D600:E617"/>
    <mergeCell ref="F600:G600"/>
    <mergeCell ref="H600:L600"/>
    <mergeCell ref="M600:R600"/>
    <mergeCell ref="S600:X600"/>
    <mergeCell ref="Y600:AD600"/>
    <mergeCell ref="F601:G601"/>
    <mergeCell ref="I601:L601"/>
    <mergeCell ref="M601:R601"/>
    <mergeCell ref="S601:X601"/>
    <mergeCell ref="Y601:AD601"/>
    <mergeCell ref="F602:G602"/>
    <mergeCell ref="I602:L602"/>
    <mergeCell ref="S597:X597"/>
    <mergeCell ref="Y597:AD597"/>
    <mergeCell ref="F598:G598"/>
    <mergeCell ref="H598:L598"/>
    <mergeCell ref="M598:R598"/>
    <mergeCell ref="S598:X598"/>
    <mergeCell ref="Y598:AD598"/>
    <mergeCell ref="C597:C599"/>
    <mergeCell ref="D597:E599"/>
    <mergeCell ref="F597:G597"/>
    <mergeCell ref="H597:L597"/>
    <mergeCell ref="M597:R597"/>
    <mergeCell ref="F599:G599"/>
    <mergeCell ref="H599:L599"/>
    <mergeCell ref="M599:R599"/>
    <mergeCell ref="F605:G605"/>
    <mergeCell ref="I605:L605"/>
    <mergeCell ref="M605:R605"/>
    <mergeCell ref="S605:X605"/>
    <mergeCell ref="Y605:AD605"/>
    <mergeCell ref="F604:G604"/>
    <mergeCell ref="I604:L604"/>
    <mergeCell ref="M604:R604"/>
    <mergeCell ref="S604:X604"/>
    <mergeCell ref="Y604:AD604"/>
    <mergeCell ref="M602:R602"/>
    <mergeCell ref="S602:X602"/>
    <mergeCell ref="Y602:AD602"/>
    <mergeCell ref="F603:G603"/>
    <mergeCell ref="I603:L603"/>
    <mergeCell ref="M603:R603"/>
    <mergeCell ref="S603:X603"/>
    <mergeCell ref="Y603:AD603"/>
    <mergeCell ref="F609:G609"/>
    <mergeCell ref="I609:L609"/>
    <mergeCell ref="M609:R609"/>
    <mergeCell ref="S609:X609"/>
    <mergeCell ref="Y609:AD609"/>
    <mergeCell ref="F608:G608"/>
    <mergeCell ref="H608:L608"/>
    <mergeCell ref="M608:R608"/>
    <mergeCell ref="S608:X608"/>
    <mergeCell ref="Y608:AD608"/>
    <mergeCell ref="F607:G607"/>
    <mergeCell ref="I607:L607"/>
    <mergeCell ref="M607:R607"/>
    <mergeCell ref="S607:X607"/>
    <mergeCell ref="Y607:AD607"/>
    <mergeCell ref="F606:G606"/>
    <mergeCell ref="I606:L606"/>
    <mergeCell ref="M606:R606"/>
    <mergeCell ref="S606:X606"/>
    <mergeCell ref="Y606:AD606"/>
    <mergeCell ref="F613:G613"/>
    <mergeCell ref="I613:L613"/>
    <mergeCell ref="M613:R613"/>
    <mergeCell ref="S613:X613"/>
    <mergeCell ref="Y613:AD613"/>
    <mergeCell ref="F612:G612"/>
    <mergeCell ref="I612:L612"/>
    <mergeCell ref="M612:R612"/>
    <mergeCell ref="S612:X612"/>
    <mergeCell ref="Y612:AD612"/>
    <mergeCell ref="F611:G611"/>
    <mergeCell ref="I611:L611"/>
    <mergeCell ref="M611:R611"/>
    <mergeCell ref="S611:X611"/>
    <mergeCell ref="Y611:AD611"/>
    <mergeCell ref="F610:G610"/>
    <mergeCell ref="I610:L610"/>
    <mergeCell ref="M610:R610"/>
    <mergeCell ref="S610:X610"/>
    <mergeCell ref="Y610:AD610"/>
    <mergeCell ref="F617:G617"/>
    <mergeCell ref="H617:L617"/>
    <mergeCell ref="M617:R617"/>
    <mergeCell ref="S617:X617"/>
    <mergeCell ref="Y617:AD617"/>
    <mergeCell ref="F616:G616"/>
    <mergeCell ref="H616:L616"/>
    <mergeCell ref="M616:R616"/>
    <mergeCell ref="S616:X616"/>
    <mergeCell ref="Y616:AD616"/>
    <mergeCell ref="F615:G615"/>
    <mergeCell ref="H615:L615"/>
    <mergeCell ref="M615:R615"/>
    <mergeCell ref="S615:X615"/>
    <mergeCell ref="Y615:AD615"/>
    <mergeCell ref="F614:G614"/>
    <mergeCell ref="H614:L614"/>
    <mergeCell ref="M614:R614"/>
    <mergeCell ref="S614:X614"/>
    <mergeCell ref="Y614:AD614"/>
    <mergeCell ref="S618:X618"/>
    <mergeCell ref="Y618:AD618"/>
    <mergeCell ref="F619:G619"/>
    <mergeCell ref="I619:L619"/>
    <mergeCell ref="M619:R619"/>
    <mergeCell ref="S619:X619"/>
    <mergeCell ref="Y619:AD619"/>
    <mergeCell ref="C618:C646"/>
    <mergeCell ref="D618:E646"/>
    <mergeCell ref="F618:G618"/>
    <mergeCell ref="H618:L618"/>
    <mergeCell ref="M618:R618"/>
    <mergeCell ref="F620:G620"/>
    <mergeCell ref="I620:L620"/>
    <mergeCell ref="M620:R620"/>
    <mergeCell ref="F622:G622"/>
    <mergeCell ref="I622:L622"/>
    <mergeCell ref="M622:R622"/>
    <mergeCell ref="F624:G624"/>
    <mergeCell ref="I624:L624"/>
    <mergeCell ref="M624:R624"/>
    <mergeCell ref="F626:G626"/>
    <mergeCell ref="I626:L626"/>
    <mergeCell ref="S624:X624"/>
    <mergeCell ref="Y624:AD624"/>
    <mergeCell ref="F625:G625"/>
    <mergeCell ref="H625:L625"/>
    <mergeCell ref="M625:R625"/>
    <mergeCell ref="S625:X625"/>
    <mergeCell ref="Y625:AD625"/>
    <mergeCell ref="S622:X622"/>
    <mergeCell ref="Y622:AD622"/>
    <mergeCell ref="F623:G623"/>
    <mergeCell ref="I623:L623"/>
    <mergeCell ref="M623:R623"/>
    <mergeCell ref="S623:X623"/>
    <mergeCell ref="Y623:AD623"/>
    <mergeCell ref="S620:X620"/>
    <mergeCell ref="Y620:AD620"/>
    <mergeCell ref="F621:G621"/>
    <mergeCell ref="I621:L621"/>
    <mergeCell ref="M621:R621"/>
    <mergeCell ref="S621:X621"/>
    <mergeCell ref="Y621:AD621"/>
    <mergeCell ref="F630:G630"/>
    <mergeCell ref="I630:L630"/>
    <mergeCell ref="M630:R630"/>
    <mergeCell ref="S630:X630"/>
    <mergeCell ref="Y630:AD630"/>
    <mergeCell ref="F629:G629"/>
    <mergeCell ref="I629:L629"/>
    <mergeCell ref="M629:R629"/>
    <mergeCell ref="S629:X629"/>
    <mergeCell ref="Y629:AD629"/>
    <mergeCell ref="F628:G628"/>
    <mergeCell ref="I628:L628"/>
    <mergeCell ref="M628:R628"/>
    <mergeCell ref="S628:X628"/>
    <mergeCell ref="Y628:AD628"/>
    <mergeCell ref="M626:R626"/>
    <mergeCell ref="S626:X626"/>
    <mergeCell ref="Y626:AD626"/>
    <mergeCell ref="F627:G627"/>
    <mergeCell ref="I627:L627"/>
    <mergeCell ref="M627:R627"/>
    <mergeCell ref="S627:X627"/>
    <mergeCell ref="Y627:AD627"/>
    <mergeCell ref="F634:G634"/>
    <mergeCell ref="H634:L634"/>
    <mergeCell ref="M634:R634"/>
    <mergeCell ref="S634:X634"/>
    <mergeCell ref="Y634:AD634"/>
    <mergeCell ref="F633:G633"/>
    <mergeCell ref="I633:L633"/>
    <mergeCell ref="M633:R633"/>
    <mergeCell ref="S633:X633"/>
    <mergeCell ref="Y633:AD633"/>
    <mergeCell ref="F632:G632"/>
    <mergeCell ref="I632:L632"/>
    <mergeCell ref="M632:R632"/>
    <mergeCell ref="S632:X632"/>
    <mergeCell ref="Y632:AD632"/>
    <mergeCell ref="F631:G631"/>
    <mergeCell ref="I631:L631"/>
    <mergeCell ref="M631:R631"/>
    <mergeCell ref="S631:X631"/>
    <mergeCell ref="Y631:AD631"/>
    <mergeCell ref="F638:G638"/>
    <mergeCell ref="I638:L638"/>
    <mergeCell ref="M638:R638"/>
    <mergeCell ref="S638:X638"/>
    <mergeCell ref="Y638:AD638"/>
    <mergeCell ref="F637:G637"/>
    <mergeCell ref="H637:L637"/>
    <mergeCell ref="M637:R637"/>
    <mergeCell ref="S637:X637"/>
    <mergeCell ref="Y637:AD637"/>
    <mergeCell ref="F636:G636"/>
    <mergeCell ref="H636:L636"/>
    <mergeCell ref="M636:R636"/>
    <mergeCell ref="S636:X636"/>
    <mergeCell ref="Y636:AD636"/>
    <mergeCell ref="F635:G635"/>
    <mergeCell ref="H635:L635"/>
    <mergeCell ref="M635:R635"/>
    <mergeCell ref="S635:X635"/>
    <mergeCell ref="Y635:AD635"/>
    <mergeCell ref="F642:G642"/>
    <mergeCell ref="I642:L642"/>
    <mergeCell ref="M642:R642"/>
    <mergeCell ref="S642:X642"/>
    <mergeCell ref="Y642:AD642"/>
    <mergeCell ref="F641:G641"/>
    <mergeCell ref="I641:L641"/>
    <mergeCell ref="M641:R641"/>
    <mergeCell ref="S641:X641"/>
    <mergeCell ref="Y641:AD641"/>
    <mergeCell ref="F640:G640"/>
    <mergeCell ref="I640:L640"/>
    <mergeCell ref="M640:R640"/>
    <mergeCell ref="S640:X640"/>
    <mergeCell ref="Y640:AD640"/>
    <mergeCell ref="F639:G639"/>
    <mergeCell ref="I639:L639"/>
    <mergeCell ref="M639:R639"/>
    <mergeCell ref="S639:X639"/>
    <mergeCell ref="Y639:AD639"/>
    <mergeCell ref="F646:G646"/>
    <mergeCell ref="H646:L646"/>
    <mergeCell ref="M646:R646"/>
    <mergeCell ref="S646:X646"/>
    <mergeCell ref="Y646:AD646"/>
    <mergeCell ref="F645:G645"/>
    <mergeCell ref="H645:L645"/>
    <mergeCell ref="M645:R645"/>
    <mergeCell ref="S645:X645"/>
    <mergeCell ref="Y645:AD645"/>
    <mergeCell ref="F644:G644"/>
    <mergeCell ref="H644:L644"/>
    <mergeCell ref="M644:R644"/>
    <mergeCell ref="S644:X644"/>
    <mergeCell ref="Y644:AD644"/>
    <mergeCell ref="F643:G643"/>
    <mergeCell ref="I643:L643"/>
    <mergeCell ref="M643:R643"/>
    <mergeCell ref="S643:X643"/>
    <mergeCell ref="Y643:AD643"/>
    <mergeCell ref="S647:X647"/>
    <mergeCell ref="Y647:AD647"/>
    <mergeCell ref="F648:G648"/>
    <mergeCell ref="I648:L648"/>
    <mergeCell ref="M648:R648"/>
    <mergeCell ref="S648:X648"/>
    <mergeCell ref="Y648:AD648"/>
    <mergeCell ref="C647:C663"/>
    <mergeCell ref="D647:E663"/>
    <mergeCell ref="F647:G647"/>
    <mergeCell ref="H647:L647"/>
    <mergeCell ref="M647:R647"/>
    <mergeCell ref="F649:G649"/>
    <mergeCell ref="I649:L649"/>
    <mergeCell ref="M649:R649"/>
    <mergeCell ref="F651:G651"/>
    <mergeCell ref="I651:L651"/>
    <mergeCell ref="M651:R651"/>
    <mergeCell ref="F653:G653"/>
    <mergeCell ref="I653:L653"/>
    <mergeCell ref="M653:R653"/>
    <mergeCell ref="F655:G655"/>
    <mergeCell ref="I655:L655"/>
    <mergeCell ref="S653:X653"/>
    <mergeCell ref="Y653:AD653"/>
    <mergeCell ref="F654:G654"/>
    <mergeCell ref="I654:L654"/>
    <mergeCell ref="M654:R654"/>
    <mergeCell ref="S654:X654"/>
    <mergeCell ref="Y654:AD654"/>
    <mergeCell ref="S651:X651"/>
    <mergeCell ref="Y651:AD651"/>
    <mergeCell ref="F652:G652"/>
    <mergeCell ref="I652:L652"/>
    <mergeCell ref="M652:R652"/>
    <mergeCell ref="S652:X652"/>
    <mergeCell ref="Y652:AD652"/>
    <mergeCell ref="S649:X649"/>
    <mergeCell ref="Y649:AD649"/>
    <mergeCell ref="F650:G650"/>
    <mergeCell ref="I650:L650"/>
    <mergeCell ref="M650:R650"/>
    <mergeCell ref="S650:X650"/>
    <mergeCell ref="Y650:AD650"/>
    <mergeCell ref="F659:G659"/>
    <mergeCell ref="I659:L659"/>
    <mergeCell ref="M659:R659"/>
    <mergeCell ref="S659:X659"/>
    <mergeCell ref="Y659:AD659"/>
    <mergeCell ref="F658:G658"/>
    <mergeCell ref="I658:L658"/>
    <mergeCell ref="M658:R658"/>
    <mergeCell ref="S658:X658"/>
    <mergeCell ref="Y658:AD658"/>
    <mergeCell ref="F657:G657"/>
    <mergeCell ref="H657:L657"/>
    <mergeCell ref="M657:R657"/>
    <mergeCell ref="S657:X657"/>
    <mergeCell ref="Y657:AD657"/>
    <mergeCell ref="M655:R655"/>
    <mergeCell ref="S655:X655"/>
    <mergeCell ref="Y655:AD655"/>
    <mergeCell ref="F656:G656"/>
    <mergeCell ref="I656:L656"/>
    <mergeCell ref="Y671:AD671"/>
    <mergeCell ref="S668:X668"/>
    <mergeCell ref="Y668:AD668"/>
    <mergeCell ref="M656:R656"/>
    <mergeCell ref="S656:X656"/>
    <mergeCell ref="Y656:AD656"/>
    <mergeCell ref="F663:G663"/>
    <mergeCell ref="H663:L663"/>
    <mergeCell ref="M663:R663"/>
    <mergeCell ref="S663:X663"/>
    <mergeCell ref="Y663:AD663"/>
    <mergeCell ref="F662:G662"/>
    <mergeCell ref="H662:L662"/>
    <mergeCell ref="M662:R662"/>
    <mergeCell ref="S662:X662"/>
    <mergeCell ref="Y662:AD662"/>
    <mergeCell ref="F661:G661"/>
    <mergeCell ref="H661:L661"/>
    <mergeCell ref="M661:R661"/>
    <mergeCell ref="S661:X661"/>
    <mergeCell ref="Y661:AD661"/>
    <mergeCell ref="F660:G660"/>
    <mergeCell ref="I660:L660"/>
    <mergeCell ref="M660:R660"/>
    <mergeCell ref="S660:X660"/>
    <mergeCell ref="Y660:AD660"/>
    <mergeCell ref="M673:R673"/>
    <mergeCell ref="S673:X673"/>
    <mergeCell ref="Y673:AD673"/>
    <mergeCell ref="S664:X664"/>
    <mergeCell ref="Y664:AD664"/>
    <mergeCell ref="F665:G665"/>
    <mergeCell ref="H665:L665"/>
    <mergeCell ref="M665:R665"/>
    <mergeCell ref="S665:X665"/>
    <mergeCell ref="Y665:AD665"/>
    <mergeCell ref="C664:C696"/>
    <mergeCell ref="D664:E696"/>
    <mergeCell ref="F664:G664"/>
    <mergeCell ref="H664:L664"/>
    <mergeCell ref="M664:R664"/>
    <mergeCell ref="F666:G666"/>
    <mergeCell ref="H666:L666"/>
    <mergeCell ref="M666:R666"/>
    <mergeCell ref="F668:G668"/>
    <mergeCell ref="H668:L668"/>
    <mergeCell ref="M668:R668"/>
    <mergeCell ref="F670:G670"/>
    <mergeCell ref="I670:L670"/>
    <mergeCell ref="M670:R670"/>
    <mergeCell ref="F672:G672"/>
    <mergeCell ref="I672:L672"/>
    <mergeCell ref="S670:X670"/>
    <mergeCell ref="Y670:AD670"/>
    <mergeCell ref="F671:G671"/>
    <mergeCell ref="I671:L671"/>
    <mergeCell ref="M671:R671"/>
    <mergeCell ref="S671:X671"/>
    <mergeCell ref="F676:G676"/>
    <mergeCell ref="H676:L676"/>
    <mergeCell ref="M676:R676"/>
    <mergeCell ref="S676:X676"/>
    <mergeCell ref="Y676:AD676"/>
    <mergeCell ref="F669:G669"/>
    <mergeCell ref="I669:L669"/>
    <mergeCell ref="M669:R669"/>
    <mergeCell ref="S669:X669"/>
    <mergeCell ref="Y669:AD669"/>
    <mergeCell ref="S666:X666"/>
    <mergeCell ref="Y666:AD666"/>
    <mergeCell ref="F667:G667"/>
    <mergeCell ref="H667:L667"/>
    <mergeCell ref="M667:R667"/>
    <mergeCell ref="S667:X667"/>
    <mergeCell ref="Y667:AD667"/>
    <mergeCell ref="F675:G675"/>
    <mergeCell ref="I675:L675"/>
    <mergeCell ref="M675:R675"/>
    <mergeCell ref="S675:X675"/>
    <mergeCell ref="Y675:AD675"/>
    <mergeCell ref="F674:G674"/>
    <mergeCell ref="I674:L674"/>
    <mergeCell ref="M674:R674"/>
    <mergeCell ref="S674:X674"/>
    <mergeCell ref="Y674:AD674"/>
    <mergeCell ref="M672:R672"/>
    <mergeCell ref="S672:X672"/>
    <mergeCell ref="Y672:AD672"/>
    <mergeCell ref="F673:G673"/>
    <mergeCell ref="I673:L673"/>
    <mergeCell ref="F680:G680"/>
    <mergeCell ref="I680:L680"/>
    <mergeCell ref="M680:R680"/>
    <mergeCell ref="S680:X680"/>
    <mergeCell ref="Y680:AD680"/>
    <mergeCell ref="F679:G679"/>
    <mergeCell ref="I679:L679"/>
    <mergeCell ref="M679:R679"/>
    <mergeCell ref="S679:X679"/>
    <mergeCell ref="Y679:AD679"/>
    <mergeCell ref="F678:G678"/>
    <mergeCell ref="I678:L678"/>
    <mergeCell ref="M678:R678"/>
    <mergeCell ref="S678:X678"/>
    <mergeCell ref="Y678:AD678"/>
    <mergeCell ref="F677:G677"/>
    <mergeCell ref="H677:L677"/>
    <mergeCell ref="M677:R677"/>
    <mergeCell ref="S677:X677"/>
    <mergeCell ref="Y677:AD677"/>
    <mergeCell ref="F684:G684"/>
    <mergeCell ref="H684:L684"/>
    <mergeCell ref="M684:R684"/>
    <mergeCell ref="S684:X684"/>
    <mergeCell ref="Y684:AD684"/>
    <mergeCell ref="F683:G683"/>
    <mergeCell ref="H683:L683"/>
    <mergeCell ref="M683:R683"/>
    <mergeCell ref="S683:X683"/>
    <mergeCell ref="Y683:AD683"/>
    <mergeCell ref="F682:G682"/>
    <mergeCell ref="H682:L682"/>
    <mergeCell ref="M682:R682"/>
    <mergeCell ref="S682:X682"/>
    <mergeCell ref="Y682:AD682"/>
    <mergeCell ref="F681:G681"/>
    <mergeCell ref="H681:L681"/>
    <mergeCell ref="M681:R681"/>
    <mergeCell ref="S681:X681"/>
    <mergeCell ref="Y681:AD681"/>
    <mergeCell ref="F688:G688"/>
    <mergeCell ref="H688:L688"/>
    <mergeCell ref="M688:R688"/>
    <mergeCell ref="S688:X688"/>
    <mergeCell ref="Y688:AD688"/>
    <mergeCell ref="F687:G687"/>
    <mergeCell ref="H687:L687"/>
    <mergeCell ref="M687:R687"/>
    <mergeCell ref="S687:X687"/>
    <mergeCell ref="Y687:AD687"/>
    <mergeCell ref="F686:G686"/>
    <mergeCell ref="H686:L686"/>
    <mergeCell ref="M686:R686"/>
    <mergeCell ref="S686:X686"/>
    <mergeCell ref="Y686:AD686"/>
    <mergeCell ref="F685:G685"/>
    <mergeCell ref="H685:L685"/>
    <mergeCell ref="M685:R685"/>
    <mergeCell ref="S685:X685"/>
    <mergeCell ref="Y685:AD685"/>
    <mergeCell ref="I692:L692"/>
    <mergeCell ref="M692:R692"/>
    <mergeCell ref="S692:X692"/>
    <mergeCell ref="Y692:AD692"/>
    <mergeCell ref="F691:G691"/>
    <mergeCell ref="I691:L691"/>
    <mergeCell ref="M691:R691"/>
    <mergeCell ref="S691:X691"/>
    <mergeCell ref="Y691:AD691"/>
    <mergeCell ref="F690:G690"/>
    <mergeCell ref="I690:L690"/>
    <mergeCell ref="M690:R690"/>
    <mergeCell ref="S690:X690"/>
    <mergeCell ref="Y690:AD690"/>
    <mergeCell ref="F689:G689"/>
    <mergeCell ref="H689:L689"/>
    <mergeCell ref="M689:R689"/>
    <mergeCell ref="S689:X689"/>
    <mergeCell ref="Y689:AD689"/>
    <mergeCell ref="M698:R698"/>
    <mergeCell ref="S698:X698"/>
    <mergeCell ref="Y698:AD698"/>
    <mergeCell ref="C700:AD700"/>
    <mergeCell ref="C701:AD701"/>
    <mergeCell ref="C697:G697"/>
    <mergeCell ref="H697:L697"/>
    <mergeCell ref="M697:R697"/>
    <mergeCell ref="S697:X697"/>
    <mergeCell ref="Y697:AD697"/>
    <mergeCell ref="F696:G696"/>
    <mergeCell ref="H696:L696"/>
    <mergeCell ref="M696:R696"/>
    <mergeCell ref="S696:X696"/>
    <mergeCell ref="Y696:AD696"/>
    <mergeCell ref="Y98:AD98"/>
    <mergeCell ref="F695:G695"/>
    <mergeCell ref="H695:L695"/>
    <mergeCell ref="M695:R695"/>
    <mergeCell ref="S695:X695"/>
    <mergeCell ref="Y695:AD695"/>
    <mergeCell ref="F694:G694"/>
    <mergeCell ref="I694:L694"/>
    <mergeCell ref="M694:R694"/>
    <mergeCell ref="S694:X694"/>
    <mergeCell ref="Y694:AD694"/>
    <mergeCell ref="F693:G693"/>
    <mergeCell ref="I693:L693"/>
    <mergeCell ref="M693:R693"/>
    <mergeCell ref="S693:X693"/>
    <mergeCell ref="Y693:AD693"/>
    <mergeCell ref="F692:G692"/>
    <mergeCell ref="B55:AE55"/>
    <mergeCell ref="B56:AE56"/>
    <mergeCell ref="B57:AE57"/>
    <mergeCell ref="B58:AE58"/>
    <mergeCell ref="B59:AE59"/>
    <mergeCell ref="B79:AE79"/>
    <mergeCell ref="B80:AE80"/>
    <mergeCell ref="B81:AE81"/>
    <mergeCell ref="B82:AE82"/>
    <mergeCell ref="B83:AE83"/>
    <mergeCell ref="B103:AE103"/>
    <mergeCell ref="B104:AE104"/>
    <mergeCell ref="B105:AE105"/>
    <mergeCell ref="C101:AD101"/>
    <mergeCell ref="C102:AD102"/>
    <mergeCell ref="B85:AD85"/>
    <mergeCell ref="C86:AD86"/>
    <mergeCell ref="C88:L89"/>
    <mergeCell ref="M88:AD88"/>
    <mergeCell ref="M89:R89"/>
    <mergeCell ref="S89:X89"/>
    <mergeCell ref="Y89:AD89"/>
    <mergeCell ref="M75:R75"/>
    <mergeCell ref="S75:X75"/>
    <mergeCell ref="Y75:AD75"/>
    <mergeCell ref="C77:AD77"/>
    <mergeCell ref="C78:AD78"/>
    <mergeCell ref="D90:L90"/>
    <mergeCell ref="M90:R90"/>
    <mergeCell ref="S90:X90"/>
    <mergeCell ref="Y90:AD90"/>
    <mergeCell ref="D91:L91"/>
    <mergeCell ref="B297:AE297"/>
    <mergeCell ref="B298:AE298"/>
    <mergeCell ref="B299:AE299"/>
    <mergeCell ref="B300:AE300"/>
    <mergeCell ref="B301:AE301"/>
    <mergeCell ref="B724:AE724"/>
    <mergeCell ref="B727:AE727"/>
    <mergeCell ref="B728:AE728"/>
    <mergeCell ref="B313:AE313"/>
    <mergeCell ref="B314:AE314"/>
    <mergeCell ref="B315:AE315"/>
    <mergeCell ref="B316:AE316"/>
    <mergeCell ref="B317:AE317"/>
    <mergeCell ref="B318:AE318"/>
    <mergeCell ref="B106:AE106"/>
    <mergeCell ref="B107:AE107"/>
    <mergeCell ref="B139:AE139"/>
    <mergeCell ref="B140:AE140"/>
    <mergeCell ref="B141:AE141"/>
    <mergeCell ref="B142:AE142"/>
    <mergeCell ref="B143:AE143"/>
    <mergeCell ref="B167:AE167"/>
    <mergeCell ref="B168:AE168"/>
    <mergeCell ref="B169:AE169"/>
    <mergeCell ref="B170:AE170"/>
    <mergeCell ref="B171:AE171"/>
    <mergeCell ref="B186:AE186"/>
    <mergeCell ref="B187:AE187"/>
    <mergeCell ref="B188:AE188"/>
    <mergeCell ref="B189:AE189"/>
    <mergeCell ref="B190:AE190"/>
    <mergeCell ref="B708:AD708"/>
  </mergeCells>
  <conditionalFormatting sqref="C228:AD228">
    <cfRule type="expression" dxfId="467" priority="16">
      <formula>AQ235&gt;0</formula>
    </cfRule>
  </conditionalFormatting>
  <conditionalFormatting sqref="C229:AD229">
    <cfRule type="expression" dxfId="466" priority="15">
      <formula>AND(AN250&gt;0,C255="")</formula>
    </cfRule>
  </conditionalFormatting>
  <conditionalFormatting sqref="C305:AD305">
    <cfRule type="expression" dxfId="465" priority="10">
      <formula>AN310&gt;0</formula>
    </cfRule>
  </conditionalFormatting>
  <conditionalFormatting sqref="C309:AD309">
    <cfRule type="expression" dxfId="464" priority="11">
      <formula>$C$33&lt;&gt;1</formula>
    </cfRule>
  </conditionalFormatting>
  <conditionalFormatting sqref="C330:AD330">
    <cfRule type="expression" dxfId="463" priority="8">
      <formula>AND(AN337&gt;0,C339="")</formula>
    </cfRule>
  </conditionalFormatting>
  <conditionalFormatting sqref="F252:AD252">
    <cfRule type="expression" dxfId="462" priority="17">
      <formula>OR(M246=0,M246="NA",M246="NS")</formula>
    </cfRule>
    <cfRule type="expression" dxfId="461" priority="18">
      <formula>AND(M246&gt;0,M246&lt;&gt;"NA",M246&lt;&gt;"NS",F252="")</formula>
    </cfRule>
  </conditionalFormatting>
  <conditionalFormatting sqref="F723:AD723">
    <cfRule type="expression" dxfId="460" priority="28">
      <formula>AC721=""</formula>
    </cfRule>
    <cfRule type="expression" dxfId="459" priority="29">
      <formula>AND(AC721="X",F723="")</formula>
    </cfRule>
  </conditionalFormatting>
  <conditionalFormatting sqref="M48:AD50">
    <cfRule type="expression" dxfId="458" priority="26">
      <formula>$C$33&lt;&gt;1</formula>
    </cfRule>
  </conditionalFormatting>
  <conditionalFormatting sqref="M67:AD74">
    <cfRule type="expression" dxfId="457" priority="25">
      <formula>$C$33&lt;&gt;1</formula>
    </cfRule>
  </conditionalFormatting>
  <conditionalFormatting sqref="M90:AD98">
    <cfRule type="expression" dxfId="456" priority="24">
      <formula>$C$33&lt;&gt;1</formula>
    </cfRule>
  </conditionalFormatting>
  <conditionalFormatting sqref="M113:AD132">
    <cfRule type="expression" dxfId="455" priority="23">
      <formula>$C$33&lt;&gt;1</formula>
    </cfRule>
  </conditionalFormatting>
  <conditionalFormatting sqref="M149:AD160">
    <cfRule type="expression" dxfId="454" priority="22">
      <formula>$C$33&lt;&gt;1</formula>
    </cfRule>
  </conditionalFormatting>
  <conditionalFormatting sqref="M177:AD181">
    <cfRule type="expression" dxfId="453" priority="21">
      <formula>$C$33&lt;&gt;1</formula>
    </cfRule>
  </conditionalFormatting>
  <conditionalFormatting sqref="M196:AD198">
    <cfRule type="expression" dxfId="452" priority="20">
      <formula>$C$33&lt;&gt;1</formula>
    </cfRule>
  </conditionalFormatting>
  <conditionalFormatting sqref="M213:AD215">
    <cfRule type="expression" dxfId="451" priority="19">
      <formula>$C$33&lt;&gt;1</formula>
    </cfRule>
  </conditionalFormatting>
  <conditionalFormatting sqref="M234:AD249">
    <cfRule type="expression" dxfId="450" priority="14">
      <formula>$C$33&lt;&gt;1</formula>
    </cfRule>
  </conditionalFormatting>
  <conditionalFormatting sqref="M266:AD292">
    <cfRule type="expression" dxfId="449" priority="13">
      <formula>$C$33&lt;&gt;1</formula>
    </cfRule>
  </conditionalFormatting>
  <conditionalFormatting sqref="M309:AD309">
    <cfRule type="expression" dxfId="448" priority="12">
      <formula>$C$309&gt;1</formula>
    </cfRule>
  </conditionalFormatting>
  <conditionalFormatting sqref="M334:AD335">
    <cfRule type="expression" dxfId="447" priority="9">
      <formula>$C$33&lt;&gt;1</formula>
    </cfRule>
  </conditionalFormatting>
  <conditionalFormatting sqref="M352:AD516">
    <cfRule type="expression" dxfId="446" priority="6">
      <formula>OR($M$334=0,$M$334="NS",$M$334="NA")</formula>
    </cfRule>
  </conditionalFormatting>
  <conditionalFormatting sqref="M533:AD697">
    <cfRule type="expression" dxfId="445" priority="4">
      <formula>OR($M$335=0,$M$335="NS",$M$335="NA")</formula>
    </cfRule>
  </conditionalFormatting>
  <conditionalFormatting sqref="M721:AD721">
    <cfRule type="expression" dxfId="444" priority="3">
      <formula>$C$721&gt;1</formula>
    </cfRule>
  </conditionalFormatting>
  <conditionalFormatting sqref="N336:AD336">
    <cfRule type="expression" dxfId="443" priority="30" stopIfTrue="1">
      <formula>$M336="NA"</formula>
    </cfRule>
  </conditionalFormatting>
  <conditionalFormatting sqref="P33:AD33">
    <cfRule type="expression" dxfId="442" priority="27">
      <formula>$C$33&gt;1</formula>
    </cfRule>
  </conditionalFormatting>
  <conditionalFormatting sqref="S352:AD516">
    <cfRule type="expression" dxfId="441" priority="7">
      <formula>$M352="NA"</formula>
    </cfRule>
  </conditionalFormatting>
  <conditionalFormatting sqref="S533:AD697">
    <cfRule type="expression" dxfId="440" priority="5">
      <formula>$M533="NA"</formula>
    </cfRule>
  </conditionalFormatting>
  <dataValidations count="2">
    <dataValidation type="list" allowBlank="1" showInputMessage="1" showErrorMessage="1" sqref="C33:O33 C721:L721 C309:L309" xr:uid="{F158302D-A3A7-466E-8371-C7CB8BB9ED29}">
      <formula1>"1,2,9"</formula1>
    </dataValidation>
    <dataValidation type="list" allowBlank="1" showInputMessage="1" showErrorMessage="1" sqref="M721:AD721" xr:uid="{5F8C5494-545A-41F6-92D1-0E5D4B063694}">
      <formula1>"X"</formula1>
    </dataValidation>
  </dataValidations>
  <hyperlinks>
    <hyperlink ref="AA7:AD7" location="Índice!B35" display="Índice" xr:uid="{A2C90CD8-ED20-4211-81B0-0D6D9F6908E0}"/>
  </hyperlinks>
  <printOptions horizontalCentered="1"/>
  <pageMargins left="0.70866141732283472" right="0.70866141732283472" top="0.74803149606299213" bottom="0.74803149606299213" header="0.31496062992125984" footer="0.31496062992125984"/>
  <pageSetup scale="75" orientation="portrait" r:id="rId1"/>
  <headerFooter>
    <oddHeader>&amp;CMódulo 2 Sección XI
Cuestionario</oddHeader>
    <oddFooter>&amp;LCenso Nacional de Sistemas Penitenciarios Estatales 2024&amp;R&amp;P de &amp;N</oddFooter>
  </headerFooter>
  <rowBreaks count="1" manualBreakCount="1">
    <brk id="700" max="30"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FAADBE-B631-4F20-BF06-B7D2A91D53DB}">
  <dimension ref="A1:AS211"/>
  <sheetViews>
    <sheetView showGridLines="0" zoomScaleNormal="100" workbookViewId="0"/>
  </sheetViews>
  <sheetFormatPr baseColWidth="10" defaultColWidth="0" defaultRowHeight="15" customHeight="1" zeroHeight="1"/>
  <cols>
    <col min="1" max="1" width="5.7109375" style="3" customWidth="1"/>
    <col min="2" max="30" width="3.7109375" style="3" customWidth="1"/>
    <col min="31" max="31" width="5.7109375" style="3" customWidth="1"/>
    <col min="32" max="45" width="0" style="3" hidden="1" customWidth="1"/>
    <col min="46" max="16384" width="9.28515625" style="3" hidden="1"/>
  </cols>
  <sheetData>
    <row r="1" spans="1:30" ht="173.25" customHeight="1">
      <c r="A1" s="91"/>
      <c r="B1" s="718" t="s">
        <v>0</v>
      </c>
      <c r="C1" s="719"/>
      <c r="D1" s="719"/>
      <c r="E1" s="719"/>
      <c r="F1" s="719"/>
      <c r="G1" s="719"/>
      <c r="H1" s="719"/>
      <c r="I1" s="719"/>
      <c r="J1" s="719"/>
      <c r="K1" s="719"/>
      <c r="L1" s="719"/>
      <c r="M1" s="719"/>
      <c r="N1" s="719"/>
      <c r="O1" s="719"/>
      <c r="P1" s="719"/>
      <c r="Q1" s="719"/>
      <c r="R1" s="719"/>
      <c r="S1" s="719"/>
      <c r="T1" s="719"/>
      <c r="U1" s="719"/>
      <c r="V1" s="719"/>
      <c r="W1" s="719"/>
      <c r="X1" s="719"/>
      <c r="Y1" s="719"/>
      <c r="Z1" s="719"/>
      <c r="AA1" s="719"/>
      <c r="AB1" s="719"/>
      <c r="AC1" s="719"/>
      <c r="AD1" s="719"/>
    </row>
    <row r="2" spans="1:30" ht="15" customHeight="1">
      <c r="A2" s="91"/>
    </row>
    <row r="3" spans="1:30" ht="45" customHeight="1">
      <c r="A3" s="91"/>
      <c r="B3" s="720" t="s">
        <v>1</v>
      </c>
      <c r="C3" s="721"/>
      <c r="D3" s="721"/>
      <c r="E3" s="721"/>
      <c r="F3" s="721"/>
      <c r="G3" s="721"/>
      <c r="H3" s="721"/>
      <c r="I3" s="721"/>
      <c r="J3" s="721"/>
      <c r="K3" s="721"/>
      <c r="L3" s="721"/>
      <c r="M3" s="721"/>
      <c r="N3" s="721"/>
      <c r="O3" s="721"/>
      <c r="P3" s="721"/>
      <c r="Q3" s="721"/>
      <c r="R3" s="721"/>
      <c r="S3" s="721"/>
      <c r="T3" s="721"/>
      <c r="U3" s="721"/>
      <c r="V3" s="721"/>
      <c r="W3" s="721"/>
      <c r="X3" s="721"/>
      <c r="Y3" s="721"/>
      <c r="Z3" s="721"/>
      <c r="AA3" s="721"/>
      <c r="AB3" s="721"/>
      <c r="AC3" s="721"/>
      <c r="AD3" s="721"/>
    </row>
    <row r="4" spans="1:30" ht="15" customHeight="1">
      <c r="A4" s="91"/>
    </row>
    <row r="5" spans="1:30" ht="45" customHeight="1">
      <c r="A5" s="91"/>
      <c r="B5" s="720" t="s">
        <v>30</v>
      </c>
      <c r="C5" s="721"/>
      <c r="D5" s="721"/>
      <c r="E5" s="721"/>
      <c r="F5" s="721"/>
      <c r="G5" s="721"/>
      <c r="H5" s="721"/>
      <c r="I5" s="721"/>
      <c r="J5" s="721"/>
      <c r="K5" s="721"/>
      <c r="L5" s="721"/>
      <c r="M5" s="721"/>
      <c r="N5" s="721"/>
      <c r="O5" s="721"/>
      <c r="P5" s="721"/>
      <c r="Q5" s="721"/>
      <c r="R5" s="721"/>
      <c r="S5" s="721"/>
      <c r="T5" s="721"/>
      <c r="U5" s="721"/>
      <c r="V5" s="721"/>
      <c r="W5" s="721"/>
      <c r="X5" s="721"/>
      <c r="Y5" s="721"/>
      <c r="Z5" s="721"/>
      <c r="AA5" s="721"/>
      <c r="AB5" s="721"/>
      <c r="AC5" s="721"/>
      <c r="AD5" s="721"/>
    </row>
    <row r="6" spans="1:30" ht="15" customHeight="1">
      <c r="A6" s="91"/>
    </row>
    <row r="7" spans="1:30" ht="15" customHeight="1" thickBot="1">
      <c r="A7" s="91"/>
      <c r="B7" s="23" t="s">
        <v>3</v>
      </c>
      <c r="N7" s="23" t="s">
        <v>4</v>
      </c>
      <c r="P7" s="24"/>
      <c r="Q7" s="24"/>
      <c r="R7" s="24"/>
      <c r="S7" s="24"/>
      <c r="T7" s="24"/>
      <c r="U7" s="24"/>
      <c r="V7" s="24"/>
      <c r="W7" s="24"/>
      <c r="X7" s="24"/>
      <c r="Y7" s="24"/>
      <c r="Z7" s="24"/>
      <c r="AA7" s="758" t="s">
        <v>2</v>
      </c>
      <c r="AB7" s="758"/>
      <c r="AC7" s="758"/>
      <c r="AD7" s="758"/>
    </row>
    <row r="8" spans="1:30" ht="15" customHeight="1" thickBot="1">
      <c r="A8" s="108"/>
      <c r="B8" s="722" t="str">
        <f>IF(Presentación!B8="","",Presentación!B8)</f>
        <v>Puebla</v>
      </c>
      <c r="C8" s="723"/>
      <c r="D8" s="723"/>
      <c r="E8" s="723"/>
      <c r="F8" s="723"/>
      <c r="G8" s="723"/>
      <c r="H8" s="723"/>
      <c r="I8" s="723"/>
      <c r="J8" s="723"/>
      <c r="K8" s="723"/>
      <c r="L8" s="724"/>
      <c r="M8" s="25"/>
      <c r="N8" s="722">
        <f>IF(Presentación!N8="","",Presentación!N8)</f>
        <v>221</v>
      </c>
      <c r="O8" s="724"/>
      <c r="P8" s="107"/>
      <c r="Q8" s="107"/>
      <c r="R8" s="107"/>
      <c r="S8" s="109"/>
      <c r="T8" s="107"/>
      <c r="U8" s="107"/>
      <c r="V8" s="107"/>
      <c r="W8" s="107"/>
      <c r="X8" s="107"/>
      <c r="Y8" s="107"/>
      <c r="Z8" s="107"/>
      <c r="AA8" s="107"/>
      <c r="AB8" s="107"/>
      <c r="AC8" s="107"/>
      <c r="AD8" s="107"/>
    </row>
    <row r="9" spans="1:30" ht="15" customHeight="1">
      <c r="A9" s="91"/>
      <c r="C9" s="24"/>
      <c r="D9" s="24"/>
      <c r="E9" s="24"/>
      <c r="F9" s="24"/>
      <c r="G9" s="24"/>
      <c r="H9" s="24"/>
      <c r="I9" s="24"/>
      <c r="J9" s="24"/>
      <c r="K9" s="24"/>
      <c r="L9" s="24"/>
      <c r="M9" s="24"/>
      <c r="N9" s="24"/>
      <c r="O9" s="24"/>
      <c r="P9" s="24"/>
      <c r="Q9" s="24"/>
      <c r="R9" s="24"/>
      <c r="S9" s="24"/>
      <c r="T9" s="24"/>
      <c r="U9" s="24"/>
      <c r="V9" s="24"/>
      <c r="W9" s="24"/>
      <c r="X9" s="24"/>
      <c r="Y9" s="24"/>
      <c r="Z9" s="24"/>
      <c r="AA9" s="24"/>
      <c r="AB9" s="24"/>
      <c r="AC9" s="24"/>
    </row>
    <row r="10" spans="1:30" ht="15" customHeight="1">
      <c r="A10" s="94"/>
      <c r="B10" s="892" t="s">
        <v>2552</v>
      </c>
      <c r="C10" s="893"/>
      <c r="D10" s="893"/>
      <c r="E10" s="893"/>
      <c r="F10" s="893"/>
      <c r="G10" s="893"/>
      <c r="H10" s="893"/>
      <c r="I10" s="893"/>
      <c r="J10" s="893"/>
      <c r="K10" s="893"/>
      <c r="L10" s="893"/>
      <c r="M10" s="893"/>
      <c r="N10" s="893"/>
      <c r="O10" s="893"/>
      <c r="P10" s="893"/>
      <c r="Q10" s="893"/>
      <c r="R10" s="893"/>
      <c r="S10" s="893"/>
      <c r="T10" s="893"/>
      <c r="U10" s="893"/>
      <c r="V10" s="893"/>
      <c r="W10" s="893"/>
      <c r="X10" s="893"/>
      <c r="Y10" s="893"/>
      <c r="Z10" s="893"/>
      <c r="AA10" s="893"/>
      <c r="AB10" s="893"/>
      <c r="AC10" s="893"/>
      <c r="AD10" s="894"/>
    </row>
    <row r="11" spans="1:30" ht="24" customHeight="1">
      <c r="A11" s="94"/>
      <c r="B11" s="654"/>
      <c r="C11" s="754" t="s">
        <v>4151</v>
      </c>
      <c r="D11" s="830"/>
      <c r="E11" s="830"/>
      <c r="F11" s="830"/>
      <c r="G11" s="830"/>
      <c r="H11" s="830"/>
      <c r="I11" s="830"/>
      <c r="J11" s="830"/>
      <c r="K11" s="830"/>
      <c r="L11" s="830"/>
      <c r="M11" s="830"/>
      <c r="N11" s="830"/>
      <c r="O11" s="830"/>
      <c r="P11" s="830"/>
      <c r="Q11" s="830"/>
      <c r="R11" s="830"/>
      <c r="S11" s="830"/>
      <c r="T11" s="830"/>
      <c r="U11" s="830"/>
      <c r="V11" s="830"/>
      <c r="W11" s="830"/>
      <c r="X11" s="830"/>
      <c r="Y11" s="830"/>
      <c r="Z11" s="830"/>
      <c r="AA11" s="830"/>
      <c r="AB11" s="830"/>
      <c r="AC11" s="830"/>
      <c r="AD11" s="895"/>
    </row>
    <row r="12" spans="1:30" ht="24" customHeight="1">
      <c r="A12" s="94"/>
      <c r="B12" s="654"/>
      <c r="C12" s="754" t="s">
        <v>2554</v>
      </c>
      <c r="D12" s="830"/>
      <c r="E12" s="830"/>
      <c r="F12" s="830"/>
      <c r="G12" s="830"/>
      <c r="H12" s="830"/>
      <c r="I12" s="830"/>
      <c r="J12" s="830"/>
      <c r="K12" s="830"/>
      <c r="L12" s="830"/>
      <c r="M12" s="830"/>
      <c r="N12" s="830"/>
      <c r="O12" s="830"/>
      <c r="P12" s="830"/>
      <c r="Q12" s="830"/>
      <c r="R12" s="830"/>
      <c r="S12" s="830"/>
      <c r="T12" s="830"/>
      <c r="U12" s="830"/>
      <c r="V12" s="830"/>
      <c r="W12" s="830"/>
      <c r="X12" s="830"/>
      <c r="Y12" s="830"/>
      <c r="Z12" s="830"/>
      <c r="AA12" s="830"/>
      <c r="AB12" s="830"/>
      <c r="AC12" s="830"/>
      <c r="AD12" s="895"/>
    </row>
    <row r="13" spans="1:30" ht="60" customHeight="1">
      <c r="A13" s="146"/>
      <c r="B13" s="654"/>
      <c r="C13" s="754" t="s">
        <v>2555</v>
      </c>
      <c r="D13" s="830"/>
      <c r="E13" s="830"/>
      <c r="F13" s="830"/>
      <c r="G13" s="830"/>
      <c r="H13" s="830"/>
      <c r="I13" s="830"/>
      <c r="J13" s="830"/>
      <c r="K13" s="830"/>
      <c r="L13" s="830"/>
      <c r="M13" s="830"/>
      <c r="N13" s="830"/>
      <c r="O13" s="830"/>
      <c r="P13" s="830"/>
      <c r="Q13" s="830"/>
      <c r="R13" s="830"/>
      <c r="S13" s="830"/>
      <c r="T13" s="830"/>
      <c r="U13" s="830"/>
      <c r="V13" s="830"/>
      <c r="W13" s="830"/>
      <c r="X13" s="830"/>
      <c r="Y13" s="830"/>
      <c r="Z13" s="830"/>
      <c r="AA13" s="830"/>
      <c r="AB13" s="830"/>
      <c r="AC13" s="830"/>
      <c r="AD13" s="895"/>
    </row>
    <row r="14" spans="1:30" ht="15" customHeight="1">
      <c r="A14" s="115"/>
      <c r="B14" s="149"/>
      <c r="C14" s="754" t="s">
        <v>3021</v>
      </c>
      <c r="D14" s="830"/>
      <c r="E14" s="830"/>
      <c r="F14" s="830"/>
      <c r="G14" s="830"/>
      <c r="H14" s="830"/>
      <c r="I14" s="830"/>
      <c r="J14" s="830"/>
      <c r="K14" s="830"/>
      <c r="L14" s="830"/>
      <c r="M14" s="830"/>
      <c r="N14" s="830"/>
      <c r="O14" s="830"/>
      <c r="P14" s="830"/>
      <c r="Q14" s="830"/>
      <c r="R14" s="830"/>
      <c r="S14" s="830"/>
      <c r="T14" s="830"/>
      <c r="U14" s="830"/>
      <c r="V14" s="830"/>
      <c r="W14" s="830"/>
      <c r="X14" s="830"/>
      <c r="Y14" s="830"/>
      <c r="Z14" s="830"/>
      <c r="AA14" s="830"/>
      <c r="AB14" s="830"/>
      <c r="AC14" s="830"/>
      <c r="AD14" s="886"/>
    </row>
    <row r="15" spans="1:30" ht="36" customHeight="1">
      <c r="A15" s="115"/>
      <c r="B15" s="149"/>
      <c r="C15" s="754" t="s">
        <v>5677</v>
      </c>
      <c r="D15" s="754"/>
      <c r="E15" s="754"/>
      <c r="F15" s="754"/>
      <c r="G15" s="754"/>
      <c r="H15" s="754"/>
      <c r="I15" s="754"/>
      <c r="J15" s="754"/>
      <c r="K15" s="754"/>
      <c r="L15" s="754"/>
      <c r="M15" s="754"/>
      <c r="N15" s="754"/>
      <c r="O15" s="754"/>
      <c r="P15" s="754"/>
      <c r="Q15" s="754"/>
      <c r="R15" s="754"/>
      <c r="S15" s="754"/>
      <c r="T15" s="754"/>
      <c r="U15" s="754"/>
      <c r="V15" s="754"/>
      <c r="W15" s="754"/>
      <c r="X15" s="754"/>
      <c r="Y15" s="754"/>
      <c r="Z15" s="754"/>
      <c r="AA15" s="754"/>
      <c r="AB15" s="754"/>
      <c r="AC15" s="754"/>
      <c r="AD15" s="755"/>
    </row>
    <row r="16" spans="1:30" ht="36" customHeight="1">
      <c r="A16" s="110"/>
      <c r="B16" s="111"/>
      <c r="C16" s="754" t="s">
        <v>2558</v>
      </c>
      <c r="D16" s="754"/>
      <c r="E16" s="754"/>
      <c r="F16" s="754"/>
      <c r="G16" s="754"/>
      <c r="H16" s="754"/>
      <c r="I16" s="754"/>
      <c r="J16" s="754"/>
      <c r="K16" s="754"/>
      <c r="L16" s="754"/>
      <c r="M16" s="754"/>
      <c r="N16" s="754"/>
      <c r="O16" s="754"/>
      <c r="P16" s="754"/>
      <c r="Q16" s="754"/>
      <c r="R16" s="754"/>
      <c r="S16" s="754"/>
      <c r="T16" s="754"/>
      <c r="U16" s="754"/>
      <c r="V16" s="754"/>
      <c r="W16" s="754"/>
      <c r="X16" s="754"/>
      <c r="Y16" s="754"/>
      <c r="Z16" s="754"/>
      <c r="AA16" s="754"/>
      <c r="AB16" s="754"/>
      <c r="AC16" s="754"/>
      <c r="AD16" s="755"/>
    </row>
    <row r="17" spans="1:31" ht="48" customHeight="1">
      <c r="A17" s="146"/>
      <c r="B17" s="654"/>
      <c r="C17" s="754" t="s">
        <v>2559</v>
      </c>
      <c r="D17" s="754"/>
      <c r="E17" s="754"/>
      <c r="F17" s="754"/>
      <c r="G17" s="754"/>
      <c r="H17" s="754"/>
      <c r="I17" s="754"/>
      <c r="J17" s="754"/>
      <c r="K17" s="754"/>
      <c r="L17" s="754"/>
      <c r="M17" s="754"/>
      <c r="N17" s="754"/>
      <c r="O17" s="754"/>
      <c r="P17" s="754"/>
      <c r="Q17" s="754"/>
      <c r="R17" s="754"/>
      <c r="S17" s="754"/>
      <c r="T17" s="754"/>
      <c r="U17" s="754"/>
      <c r="V17" s="754"/>
      <c r="W17" s="754"/>
      <c r="X17" s="754"/>
      <c r="Y17" s="754"/>
      <c r="Z17" s="754"/>
      <c r="AA17" s="754"/>
      <c r="AB17" s="754"/>
      <c r="AC17" s="754"/>
      <c r="AD17" s="755"/>
    </row>
    <row r="18" spans="1:31" ht="15" customHeight="1">
      <c r="A18" s="94"/>
      <c r="B18" s="209"/>
      <c r="C18" s="764" t="s">
        <v>2560</v>
      </c>
      <c r="D18" s="764"/>
      <c r="E18" s="764"/>
      <c r="F18" s="764"/>
      <c r="G18" s="764"/>
      <c r="H18" s="764"/>
      <c r="I18" s="764"/>
      <c r="J18" s="764"/>
      <c r="K18" s="764"/>
      <c r="L18" s="764"/>
      <c r="M18" s="764"/>
      <c r="N18" s="764"/>
      <c r="O18" s="764"/>
      <c r="P18" s="764"/>
      <c r="Q18" s="764"/>
      <c r="R18" s="764"/>
      <c r="S18" s="764"/>
      <c r="T18" s="764"/>
      <c r="U18" s="764"/>
      <c r="V18" s="764"/>
      <c r="W18" s="764"/>
      <c r="X18" s="764"/>
      <c r="Y18" s="764"/>
      <c r="Z18" s="764"/>
      <c r="AA18" s="764"/>
      <c r="AB18" s="764"/>
      <c r="AC18" s="764"/>
      <c r="AD18" s="765"/>
    </row>
    <row r="19" spans="1:31">
      <c r="A19" s="119"/>
      <c r="B19" s="1006" t="s">
        <v>2561</v>
      </c>
      <c r="C19" s="893"/>
      <c r="D19" s="893"/>
      <c r="E19" s="893"/>
      <c r="F19" s="893"/>
      <c r="G19" s="893"/>
      <c r="H19" s="893"/>
      <c r="I19" s="893"/>
      <c r="J19" s="893"/>
      <c r="K19" s="893"/>
      <c r="L19" s="893"/>
      <c r="M19" s="893"/>
      <c r="N19" s="893"/>
      <c r="O19" s="893"/>
      <c r="P19" s="893"/>
      <c r="Q19" s="893"/>
      <c r="R19" s="893"/>
      <c r="S19" s="893"/>
      <c r="T19" s="893"/>
      <c r="U19" s="893"/>
      <c r="V19" s="893"/>
      <c r="W19" s="893"/>
      <c r="X19" s="893"/>
      <c r="Y19" s="893"/>
      <c r="Z19" s="893"/>
      <c r="AA19" s="893"/>
      <c r="AB19" s="893"/>
      <c r="AC19" s="893"/>
      <c r="AD19" s="1007"/>
    </row>
    <row r="20" spans="1:31" ht="24" customHeight="1">
      <c r="A20" s="119"/>
      <c r="B20" s="114"/>
      <c r="C20" s="764" t="s">
        <v>5678</v>
      </c>
      <c r="D20" s="876"/>
      <c r="E20" s="876"/>
      <c r="F20" s="876"/>
      <c r="G20" s="876"/>
      <c r="H20" s="876"/>
      <c r="I20" s="876"/>
      <c r="J20" s="876"/>
      <c r="K20" s="876"/>
      <c r="L20" s="876"/>
      <c r="M20" s="876"/>
      <c r="N20" s="876"/>
      <c r="O20" s="876"/>
      <c r="P20" s="876"/>
      <c r="Q20" s="876"/>
      <c r="R20" s="876"/>
      <c r="S20" s="876"/>
      <c r="T20" s="876"/>
      <c r="U20" s="876"/>
      <c r="V20" s="876"/>
      <c r="W20" s="876"/>
      <c r="X20" s="876"/>
      <c r="Y20" s="876"/>
      <c r="Z20" s="876"/>
      <c r="AA20" s="876"/>
      <c r="AB20" s="876"/>
      <c r="AC20" s="876"/>
      <c r="AD20" s="877"/>
    </row>
    <row r="21" spans="1:31" ht="15" customHeight="1" thickBot="1">
      <c r="A21" s="91"/>
      <c r="C21" s="24"/>
      <c r="D21" s="24"/>
      <c r="E21" s="24"/>
      <c r="F21" s="24"/>
      <c r="G21" s="24"/>
      <c r="H21" s="24"/>
      <c r="I21" s="24"/>
      <c r="J21" s="24"/>
      <c r="K21" s="24"/>
      <c r="L21" s="24"/>
      <c r="M21" s="24"/>
      <c r="N21" s="24"/>
      <c r="O21" s="24"/>
      <c r="P21" s="24"/>
      <c r="Q21" s="24"/>
      <c r="R21" s="24"/>
      <c r="S21" s="24"/>
      <c r="T21" s="24"/>
      <c r="U21" s="24"/>
      <c r="V21" s="24"/>
      <c r="W21" s="24"/>
      <c r="X21" s="24"/>
      <c r="Y21" s="24"/>
      <c r="Z21" s="24"/>
      <c r="AA21" s="24"/>
      <c r="AB21" s="24"/>
      <c r="AC21" s="24"/>
    </row>
    <row r="22" spans="1:31" customFormat="1" ht="15" customHeight="1" thickBot="1">
      <c r="A22" s="153" t="s">
        <v>2563</v>
      </c>
      <c r="B22" s="1081" t="s">
        <v>5679</v>
      </c>
      <c r="C22" s="1082"/>
      <c r="D22" s="1082"/>
      <c r="E22" s="1082"/>
      <c r="F22" s="1082"/>
      <c r="G22" s="1082"/>
      <c r="H22" s="1082"/>
      <c r="I22" s="1082"/>
      <c r="J22" s="1082"/>
      <c r="K22" s="1082"/>
      <c r="L22" s="1082"/>
      <c r="M22" s="1082"/>
      <c r="N22" s="1082"/>
      <c r="O22" s="1082"/>
      <c r="P22" s="1082"/>
      <c r="Q22" s="1082"/>
      <c r="R22" s="1082"/>
      <c r="S22" s="1082"/>
      <c r="T22" s="1082"/>
      <c r="U22" s="1082"/>
      <c r="V22" s="1082"/>
      <c r="W22" s="1082"/>
      <c r="X22" s="1082"/>
      <c r="Y22" s="1082"/>
      <c r="Z22" s="1082"/>
      <c r="AA22" s="1082"/>
      <c r="AB22" s="1082"/>
      <c r="AC22" s="1082"/>
      <c r="AD22" s="1083"/>
      <c r="AE22" s="3"/>
    </row>
    <row r="23" spans="1:31" ht="15" customHeight="1">
      <c r="A23" s="142"/>
      <c r="B23" s="1006" t="s">
        <v>3157</v>
      </c>
      <c r="C23" s="893"/>
      <c r="D23" s="893"/>
      <c r="E23" s="893"/>
      <c r="F23" s="893"/>
      <c r="G23" s="893"/>
      <c r="H23" s="893"/>
      <c r="I23" s="893"/>
      <c r="J23" s="893"/>
      <c r="K23" s="893"/>
      <c r="L23" s="893"/>
      <c r="M23" s="893"/>
      <c r="N23" s="893"/>
      <c r="O23" s="893"/>
      <c r="P23" s="893"/>
      <c r="Q23" s="893"/>
      <c r="R23" s="893"/>
      <c r="S23" s="893"/>
      <c r="T23" s="893"/>
      <c r="U23" s="893"/>
      <c r="V23" s="893"/>
      <c r="W23" s="893"/>
      <c r="X23" s="893"/>
      <c r="Y23" s="893"/>
      <c r="Z23" s="893"/>
      <c r="AA23" s="893"/>
      <c r="AB23" s="893"/>
      <c r="AC23" s="893"/>
      <c r="AD23" s="1007"/>
    </row>
    <row r="24" spans="1:31" ht="36" customHeight="1">
      <c r="A24" s="142"/>
      <c r="B24" s="74"/>
      <c r="C24" s="754" t="s">
        <v>5680</v>
      </c>
      <c r="D24" s="754"/>
      <c r="E24" s="754"/>
      <c r="F24" s="754"/>
      <c r="G24" s="754"/>
      <c r="H24" s="754"/>
      <c r="I24" s="754"/>
      <c r="J24" s="754"/>
      <c r="K24" s="754"/>
      <c r="L24" s="754"/>
      <c r="M24" s="754"/>
      <c r="N24" s="754"/>
      <c r="O24" s="754"/>
      <c r="P24" s="754"/>
      <c r="Q24" s="754"/>
      <c r="R24" s="754"/>
      <c r="S24" s="754"/>
      <c r="T24" s="754"/>
      <c r="U24" s="754"/>
      <c r="V24" s="754"/>
      <c r="W24" s="754"/>
      <c r="X24" s="754"/>
      <c r="Y24" s="754"/>
      <c r="Z24" s="754"/>
      <c r="AA24" s="754"/>
      <c r="AB24" s="754"/>
      <c r="AC24" s="754"/>
      <c r="AD24" s="755"/>
    </row>
    <row r="25" spans="1:31" ht="24" customHeight="1">
      <c r="A25" s="142"/>
      <c r="B25" s="74"/>
      <c r="C25" s="754" t="s">
        <v>5681</v>
      </c>
      <c r="D25" s="754"/>
      <c r="E25" s="754"/>
      <c r="F25" s="754"/>
      <c r="G25" s="754"/>
      <c r="H25" s="754"/>
      <c r="I25" s="754"/>
      <c r="J25" s="754"/>
      <c r="K25" s="754"/>
      <c r="L25" s="754"/>
      <c r="M25" s="754"/>
      <c r="N25" s="754"/>
      <c r="O25" s="754"/>
      <c r="P25" s="754"/>
      <c r="Q25" s="754"/>
      <c r="R25" s="754"/>
      <c r="S25" s="754"/>
      <c r="T25" s="754"/>
      <c r="U25" s="754"/>
      <c r="V25" s="754"/>
      <c r="W25" s="754"/>
      <c r="X25" s="754"/>
      <c r="Y25" s="754"/>
      <c r="Z25" s="754"/>
      <c r="AA25" s="754"/>
      <c r="AB25" s="754"/>
      <c r="AC25" s="754"/>
      <c r="AD25" s="755"/>
    </row>
    <row r="26" spans="1:31" ht="24" customHeight="1">
      <c r="A26" s="142"/>
      <c r="B26" s="114"/>
      <c r="C26" s="764" t="s">
        <v>5682</v>
      </c>
      <c r="D26" s="764"/>
      <c r="E26" s="764"/>
      <c r="F26" s="764"/>
      <c r="G26" s="764"/>
      <c r="H26" s="764"/>
      <c r="I26" s="764"/>
      <c r="J26" s="764"/>
      <c r="K26" s="764"/>
      <c r="L26" s="764"/>
      <c r="M26" s="764"/>
      <c r="N26" s="764"/>
      <c r="O26" s="764"/>
      <c r="P26" s="764"/>
      <c r="Q26" s="764"/>
      <c r="R26" s="764"/>
      <c r="S26" s="764"/>
      <c r="T26" s="764"/>
      <c r="U26" s="764"/>
      <c r="V26" s="764"/>
      <c r="W26" s="764"/>
      <c r="X26" s="764"/>
      <c r="Y26" s="764"/>
      <c r="Z26" s="764"/>
      <c r="AA26" s="764"/>
      <c r="AB26" s="764"/>
      <c r="AC26" s="764"/>
      <c r="AD26" s="765"/>
    </row>
    <row r="27" spans="1:31" ht="15" customHeight="1">
      <c r="A27" s="119"/>
      <c r="B27" s="838" t="s">
        <v>2565</v>
      </c>
      <c r="C27" s="839"/>
      <c r="D27" s="839"/>
      <c r="E27" s="839"/>
      <c r="F27" s="839"/>
      <c r="G27" s="839"/>
      <c r="H27" s="839"/>
      <c r="I27" s="839"/>
      <c r="J27" s="839"/>
      <c r="K27" s="839"/>
      <c r="L27" s="839"/>
      <c r="M27" s="839"/>
      <c r="N27" s="839"/>
      <c r="O27" s="839"/>
      <c r="P27" s="839"/>
      <c r="Q27" s="839"/>
      <c r="R27" s="839"/>
      <c r="S27" s="839"/>
      <c r="T27" s="839"/>
      <c r="U27" s="839"/>
      <c r="V27" s="839"/>
      <c r="W27" s="839"/>
      <c r="X27" s="839"/>
      <c r="Y27" s="839"/>
      <c r="Z27" s="839"/>
      <c r="AA27" s="839"/>
      <c r="AB27" s="839"/>
      <c r="AC27" s="839"/>
      <c r="AD27" s="840"/>
    </row>
    <row r="28" spans="1:31" ht="36" customHeight="1">
      <c r="A28" s="50"/>
      <c r="B28" s="74"/>
      <c r="C28" s="754" t="s">
        <v>5683</v>
      </c>
      <c r="D28" s="830"/>
      <c r="E28" s="830"/>
      <c r="F28" s="830"/>
      <c r="G28" s="830"/>
      <c r="H28" s="830"/>
      <c r="I28" s="830"/>
      <c r="J28" s="830"/>
      <c r="K28" s="830"/>
      <c r="L28" s="830"/>
      <c r="M28" s="830"/>
      <c r="N28" s="830"/>
      <c r="O28" s="830"/>
      <c r="P28" s="830"/>
      <c r="Q28" s="830"/>
      <c r="R28" s="830"/>
      <c r="S28" s="830"/>
      <c r="T28" s="830"/>
      <c r="U28" s="830"/>
      <c r="V28" s="830"/>
      <c r="W28" s="830"/>
      <c r="X28" s="830"/>
      <c r="Y28" s="830"/>
      <c r="Z28" s="830"/>
      <c r="AA28" s="830"/>
      <c r="AB28" s="830"/>
      <c r="AC28" s="830"/>
      <c r="AD28" s="886"/>
    </row>
    <row r="29" spans="1:31" ht="24" customHeight="1">
      <c r="A29" s="50"/>
      <c r="B29" s="114"/>
      <c r="C29" s="764" t="s">
        <v>5684</v>
      </c>
      <c r="D29" s="876"/>
      <c r="E29" s="876"/>
      <c r="F29" s="876"/>
      <c r="G29" s="876"/>
      <c r="H29" s="876"/>
      <c r="I29" s="876"/>
      <c r="J29" s="876"/>
      <c r="K29" s="876"/>
      <c r="L29" s="876"/>
      <c r="M29" s="876"/>
      <c r="N29" s="876"/>
      <c r="O29" s="876"/>
      <c r="P29" s="876"/>
      <c r="Q29" s="876"/>
      <c r="R29" s="876"/>
      <c r="S29" s="876"/>
      <c r="T29" s="876"/>
      <c r="U29" s="876"/>
      <c r="V29" s="876"/>
      <c r="W29" s="876"/>
      <c r="X29" s="876"/>
      <c r="Y29" s="876"/>
      <c r="Z29" s="876"/>
      <c r="AA29" s="876"/>
      <c r="AB29" s="876"/>
      <c r="AC29" s="876"/>
      <c r="AD29" s="877"/>
    </row>
    <row r="30" spans="1:31">
      <c r="A30" s="119"/>
    </row>
    <row r="31" spans="1:31" ht="24" customHeight="1">
      <c r="A31" s="49" t="s">
        <v>5685</v>
      </c>
      <c r="B31" s="829" t="s">
        <v>5686</v>
      </c>
      <c r="C31" s="829"/>
      <c r="D31" s="829"/>
      <c r="E31" s="829"/>
      <c r="F31" s="829"/>
      <c r="G31" s="829"/>
      <c r="H31" s="829"/>
      <c r="I31" s="829"/>
      <c r="J31" s="829"/>
      <c r="K31" s="829"/>
      <c r="L31" s="829"/>
      <c r="M31" s="829"/>
      <c r="N31" s="829"/>
      <c r="O31" s="829"/>
      <c r="P31" s="829"/>
      <c r="Q31" s="829"/>
      <c r="R31" s="829"/>
      <c r="S31" s="829"/>
      <c r="T31" s="829"/>
      <c r="U31" s="829"/>
      <c r="V31" s="829"/>
      <c r="W31" s="829"/>
      <c r="X31" s="829"/>
      <c r="Y31" s="829"/>
      <c r="Z31" s="829"/>
      <c r="AA31" s="829"/>
      <c r="AB31" s="829"/>
      <c r="AC31" s="829"/>
      <c r="AD31" s="829"/>
    </row>
    <row r="32" spans="1:31" ht="36" customHeight="1">
      <c r="A32" s="50"/>
      <c r="B32" s="38"/>
      <c r="C32" s="830" t="s">
        <v>5687</v>
      </c>
      <c r="D32" s="830"/>
      <c r="E32" s="830"/>
      <c r="F32" s="830"/>
      <c r="G32" s="830"/>
      <c r="H32" s="830"/>
      <c r="I32" s="830"/>
      <c r="J32" s="830"/>
      <c r="K32" s="830"/>
      <c r="L32" s="830"/>
      <c r="M32" s="830"/>
      <c r="N32" s="830"/>
      <c r="O32" s="830"/>
      <c r="P32" s="830"/>
      <c r="Q32" s="830"/>
      <c r="R32" s="830"/>
      <c r="S32" s="830"/>
      <c r="T32" s="830"/>
      <c r="U32" s="830"/>
      <c r="V32" s="830"/>
      <c r="W32" s="830"/>
      <c r="X32" s="830"/>
      <c r="Y32" s="830"/>
      <c r="Z32" s="830"/>
      <c r="AA32" s="830"/>
      <c r="AB32" s="830"/>
      <c r="AC32" s="830"/>
      <c r="AD32" s="830"/>
    </row>
    <row r="33" spans="1:38" ht="24" customHeight="1">
      <c r="A33" s="166"/>
      <c r="B33" s="57"/>
      <c r="C33" s="830" t="s">
        <v>5688</v>
      </c>
      <c r="D33" s="830"/>
      <c r="E33" s="830"/>
      <c r="F33" s="830"/>
      <c r="G33" s="830"/>
      <c r="H33" s="830"/>
      <c r="I33" s="830"/>
      <c r="J33" s="830"/>
      <c r="K33" s="830"/>
      <c r="L33" s="830"/>
      <c r="M33" s="830"/>
      <c r="N33" s="830"/>
      <c r="O33" s="830"/>
      <c r="P33" s="830"/>
      <c r="Q33" s="830"/>
      <c r="R33" s="830"/>
      <c r="S33" s="830"/>
      <c r="T33" s="830"/>
      <c r="U33" s="830"/>
      <c r="V33" s="830"/>
      <c r="W33" s="830"/>
      <c r="X33" s="830"/>
      <c r="Y33" s="830"/>
      <c r="Z33" s="830"/>
      <c r="AA33" s="830"/>
      <c r="AB33" s="830"/>
      <c r="AC33" s="830"/>
      <c r="AD33" s="830"/>
    </row>
    <row r="34" spans="1:38">
      <c r="A34" s="50"/>
      <c r="B34" s="38"/>
    </row>
    <row r="35" spans="1:38" ht="36" customHeight="1">
      <c r="A35" s="210"/>
      <c r="B35" s="38"/>
      <c r="C35" s="732" t="s">
        <v>5689</v>
      </c>
      <c r="D35" s="732"/>
      <c r="E35" s="732"/>
      <c r="F35" s="732"/>
      <c r="G35" s="732"/>
      <c r="H35" s="732"/>
      <c r="I35" s="732"/>
      <c r="J35" s="732"/>
      <c r="K35" s="732"/>
      <c r="L35" s="732"/>
      <c r="M35" s="797" t="s">
        <v>5690</v>
      </c>
      <c r="N35" s="798"/>
      <c r="O35" s="798"/>
      <c r="P35" s="798"/>
      <c r="Q35" s="798"/>
      <c r="R35" s="798"/>
      <c r="S35" s="798"/>
      <c r="T35" s="798"/>
      <c r="U35" s="798"/>
      <c r="V35" s="798"/>
      <c r="W35" s="798"/>
      <c r="X35" s="798"/>
      <c r="Y35" s="798"/>
      <c r="Z35" s="798"/>
      <c r="AA35" s="798"/>
      <c r="AB35" s="798"/>
      <c r="AC35" s="798"/>
      <c r="AD35" s="799"/>
    </row>
    <row r="36" spans="1:38" ht="15" customHeight="1">
      <c r="A36" s="210"/>
      <c r="B36" s="38"/>
      <c r="C36" s="732"/>
      <c r="D36" s="732"/>
      <c r="E36" s="732"/>
      <c r="F36" s="732"/>
      <c r="G36" s="732"/>
      <c r="H36" s="732"/>
      <c r="I36" s="732"/>
      <c r="J36" s="732"/>
      <c r="K36" s="732"/>
      <c r="L36" s="732"/>
      <c r="M36" s="732" t="s">
        <v>2628</v>
      </c>
      <c r="N36" s="732"/>
      <c r="O36" s="732"/>
      <c r="P36" s="732"/>
      <c r="Q36" s="732"/>
      <c r="R36" s="732"/>
      <c r="S36" s="736" t="s">
        <v>5691</v>
      </c>
      <c r="T36" s="736"/>
      <c r="U36" s="736"/>
      <c r="V36" s="736"/>
      <c r="W36" s="736"/>
      <c r="X36" s="736"/>
      <c r="Y36" s="736" t="s">
        <v>5692</v>
      </c>
      <c r="Z36" s="736"/>
      <c r="AA36" s="736"/>
      <c r="AB36" s="736"/>
      <c r="AC36" s="736"/>
      <c r="AD36" s="736"/>
      <c r="AF36" t="s">
        <v>4713</v>
      </c>
      <c r="AG36" t="s">
        <v>2586</v>
      </c>
      <c r="AH36" t="s">
        <v>4581</v>
      </c>
      <c r="AI36" t="s">
        <v>2590</v>
      </c>
      <c r="AJ36" t="s">
        <v>3163</v>
      </c>
      <c r="AK36" t="s">
        <v>4564</v>
      </c>
      <c r="AL36" t="s">
        <v>5291</v>
      </c>
    </row>
    <row r="37" spans="1:38">
      <c r="A37" s="210"/>
      <c r="B37" s="38"/>
      <c r="C37" s="749"/>
      <c r="D37" s="749"/>
      <c r="E37" s="749"/>
      <c r="F37" s="749"/>
      <c r="G37" s="749"/>
      <c r="H37" s="749"/>
      <c r="I37" s="749"/>
      <c r="J37" s="749"/>
      <c r="K37" s="749"/>
      <c r="L37" s="816"/>
      <c r="M37" s="749"/>
      <c r="N37" s="749"/>
      <c r="O37" s="749"/>
      <c r="P37" s="749"/>
      <c r="Q37" s="749"/>
      <c r="R37" s="749"/>
      <c r="S37" s="749"/>
      <c r="T37" s="749"/>
      <c r="U37" s="749"/>
      <c r="V37" s="749"/>
      <c r="W37" s="749"/>
      <c r="X37" s="749"/>
      <c r="Y37" s="749"/>
      <c r="Z37" s="749"/>
      <c r="AA37" s="749"/>
      <c r="AB37" s="749"/>
      <c r="AC37" s="749"/>
      <c r="AD37" s="749"/>
      <c r="AF37" s="506">
        <f>IF(AND(C37=1,M37=0),1,0)</f>
        <v>0</v>
      </c>
      <c r="AG37" s="506">
        <f>IF(C37=1,IF(COUNTA(M37:AD37)=3,0,1),IF(AND(C37="",COUNTA(M37:AD37)&gt;0),1,0))</f>
        <v>0</v>
      </c>
      <c r="AH37" s="506">
        <f>IF(C37&gt;1,IF(COUNTBLANK(M37:AD37)=18,0,1),0)</f>
        <v>0</v>
      </c>
      <c r="AI37">
        <f>COUNTIF(S37:AD37,"NS")</f>
        <v>0</v>
      </c>
      <c r="AJ37">
        <f>SUM(S37:AD37)</f>
        <v>0</v>
      </c>
      <c r="AK37">
        <f>IF(COUNTIF(M37:AD37,"NA")=3,0,IF(COUNTA(M37:AD37)=0,0,IF(OR(AND(M37=0,AI37&gt;0),AND(M37="ns",AJ37&gt;0),AND(M37="ns",AI37=0,AJ37=0)),1,IF(OR(AND(M37&gt;0,AI37=2),AND(M37="ns",AI37=2),AND(M37="ns",AJ37=0,AI37&gt;0),M37=AJ37),0,1))))</f>
        <v>0</v>
      </c>
      <c r="AL37" s="506" cm="1">
        <f t="array" ref="AL37">IF(OR(M37={"NS","NA"},CNSIPEE_2024_M2_Secc10!P77={"NS","NA"}),0,IF(M37&gt;=CNSIPEE_2024_M2_Secc10!P77,0,1))</f>
        <v>0</v>
      </c>
    </row>
    <row r="38" spans="1:38">
      <c r="A38" s="50"/>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F38"/>
      <c r="AI38">
        <f>SUM(AI37:AI37)</f>
        <v>0</v>
      </c>
      <c r="AK38" s="506">
        <f>SUM(AK37:AK37)</f>
        <v>0</v>
      </c>
    </row>
    <row r="39" spans="1:38" ht="24" customHeight="1">
      <c r="A39" s="50"/>
      <c r="B39" s="38"/>
      <c r="C39" s="754" t="s">
        <v>2611</v>
      </c>
      <c r="D39" s="754"/>
      <c r="E39" s="754"/>
      <c r="F39" s="754"/>
      <c r="G39" s="754"/>
      <c r="H39" s="754"/>
      <c r="I39" s="754"/>
      <c r="J39" s="754"/>
      <c r="K39" s="754"/>
      <c r="L39" s="754"/>
      <c r="M39" s="754"/>
      <c r="N39" s="754"/>
      <c r="O39" s="754"/>
      <c r="P39" s="754"/>
      <c r="Q39" s="754"/>
      <c r="R39" s="754"/>
      <c r="S39" s="754"/>
      <c r="T39" s="754"/>
      <c r="U39" s="754"/>
      <c r="V39" s="754"/>
      <c r="W39" s="754"/>
      <c r="X39" s="754"/>
      <c r="Y39" s="754"/>
      <c r="Z39" s="754"/>
      <c r="AA39" s="754"/>
      <c r="AB39" s="754"/>
      <c r="AC39" s="754"/>
      <c r="AD39" s="754"/>
    </row>
    <row r="40" spans="1:38" ht="60" customHeight="1">
      <c r="A40" s="50"/>
      <c r="B40" s="38"/>
      <c r="C40" s="851"/>
      <c r="D40" s="851"/>
      <c r="E40" s="851"/>
      <c r="F40" s="851"/>
      <c r="G40" s="851"/>
      <c r="H40" s="851"/>
      <c r="I40" s="851"/>
      <c r="J40" s="851"/>
      <c r="K40" s="851"/>
      <c r="L40" s="851"/>
      <c r="M40" s="851"/>
      <c r="N40" s="851"/>
      <c r="O40" s="851"/>
      <c r="P40" s="851"/>
      <c r="Q40" s="851"/>
      <c r="R40" s="851"/>
      <c r="S40" s="851"/>
      <c r="T40" s="851"/>
      <c r="U40" s="851"/>
      <c r="V40" s="851"/>
      <c r="W40" s="851"/>
      <c r="X40" s="851"/>
      <c r="Y40" s="851"/>
      <c r="Z40" s="851"/>
      <c r="AA40" s="851"/>
      <c r="AB40" s="851"/>
      <c r="AC40" s="851"/>
      <c r="AD40" s="851"/>
    </row>
    <row r="41" spans="1:38">
      <c r="A41" s="49"/>
      <c r="B41" s="794" t="str">
        <f>IF(AG37=0,"","Favor de ingresar toda la información requerida en la pregunta")</f>
        <v/>
      </c>
      <c r="C41" s="794"/>
      <c r="D41" s="794"/>
      <c r="E41" s="794"/>
      <c r="F41" s="794"/>
      <c r="G41" s="794"/>
      <c r="H41" s="794"/>
      <c r="I41" s="794"/>
      <c r="J41" s="794"/>
      <c r="K41" s="794"/>
      <c r="L41" s="794"/>
      <c r="M41" s="794"/>
      <c r="N41" s="794"/>
      <c r="O41" s="794"/>
      <c r="P41" s="794"/>
      <c r="Q41" s="794"/>
      <c r="R41" s="794"/>
      <c r="S41" s="794"/>
      <c r="T41" s="794"/>
      <c r="U41" s="794"/>
      <c r="V41" s="794"/>
      <c r="W41" s="794"/>
      <c r="X41" s="794"/>
      <c r="Y41" s="794"/>
      <c r="Z41" s="794"/>
      <c r="AA41" s="794"/>
      <c r="AB41" s="794"/>
      <c r="AC41" s="794"/>
      <c r="AD41" s="794"/>
      <c r="AE41" s="794"/>
    </row>
    <row r="42" spans="1:38">
      <c r="A42" s="142"/>
      <c r="B42" s="1087" t="str">
        <f>IF(C37&gt;1,"",IF(COUNTIF(M37:AD37,"NS")&lt;&gt;0,"Alerta: debido a que cuenta con registros NS, debe proporcionar una justificación en el area de comentarios al final de la pregunta",""))</f>
        <v/>
      </c>
      <c r="C42" s="1087"/>
      <c r="D42" s="1087"/>
      <c r="E42" s="1087"/>
      <c r="F42" s="1087"/>
      <c r="G42" s="1087"/>
      <c r="H42" s="1087"/>
      <c r="I42" s="1087"/>
      <c r="J42" s="1087"/>
      <c r="K42" s="1087"/>
      <c r="L42" s="1087"/>
      <c r="M42" s="1087"/>
      <c r="N42" s="1087"/>
      <c r="O42" s="1087"/>
      <c r="P42" s="1087"/>
      <c r="Q42" s="1087"/>
      <c r="R42" s="1087"/>
      <c r="S42" s="1087"/>
      <c r="T42" s="1087"/>
      <c r="U42" s="1087"/>
      <c r="V42" s="1087"/>
      <c r="W42" s="1087"/>
      <c r="X42" s="1087"/>
      <c r="Y42" s="1087"/>
      <c r="Z42" s="1087"/>
      <c r="AA42" s="1087"/>
      <c r="AB42" s="1087"/>
      <c r="AC42" s="1087"/>
      <c r="AD42" s="1087"/>
      <c r="AE42" s="1087"/>
    </row>
    <row r="43" spans="1:38">
      <c r="A43" s="142"/>
      <c r="B43" s="1003" t="str">
        <f>IF(AH37&gt;0,"Revise la información capturada, ya que tiene datos ingresados en celdas que están sombreadas","")</f>
        <v/>
      </c>
      <c r="C43" s="1003"/>
      <c r="D43" s="1003"/>
      <c r="E43" s="1003"/>
      <c r="F43" s="1003"/>
      <c r="G43" s="1003"/>
      <c r="H43" s="1003"/>
      <c r="I43" s="1003"/>
      <c r="J43" s="1003"/>
      <c r="K43" s="1003"/>
      <c r="L43" s="1003"/>
      <c r="M43" s="1003"/>
      <c r="N43" s="1003"/>
      <c r="O43" s="1003"/>
      <c r="P43" s="1003"/>
      <c r="Q43" s="1003"/>
      <c r="R43" s="1003"/>
      <c r="S43" s="1003"/>
      <c r="T43" s="1003"/>
      <c r="U43" s="1003"/>
      <c r="V43" s="1003"/>
      <c r="W43" s="1003"/>
      <c r="X43" s="1003"/>
      <c r="Y43" s="1003"/>
      <c r="Z43" s="1003"/>
      <c r="AA43" s="1003"/>
      <c r="AB43" s="1003"/>
      <c r="AC43" s="1003"/>
      <c r="AD43" s="1003"/>
      <c r="AE43" s="1003"/>
    </row>
    <row r="44" spans="1:38">
      <c r="A44" s="50"/>
      <c r="B44" s="1003" t="str">
        <f>IF(C37&gt;1,"",IF(AK38&gt;0,"Favor de revisar la suma y consistencia de totales y/o subtotales por filas (numéricos y NS)",""))</f>
        <v/>
      </c>
      <c r="C44" s="1003"/>
      <c r="D44" s="1003"/>
      <c r="E44" s="1003"/>
      <c r="F44" s="1003"/>
      <c r="G44" s="1003"/>
      <c r="H44" s="1003"/>
      <c r="I44" s="1003"/>
      <c r="J44" s="1003"/>
      <c r="K44" s="1003"/>
      <c r="L44" s="1003"/>
      <c r="M44" s="1003"/>
      <c r="N44" s="1003"/>
      <c r="O44" s="1003"/>
      <c r="P44" s="1003"/>
      <c r="Q44" s="1003"/>
      <c r="R44" s="1003"/>
      <c r="S44" s="1003"/>
      <c r="T44" s="1003"/>
      <c r="U44" s="1003"/>
      <c r="V44" s="1003"/>
      <c r="W44" s="1003"/>
      <c r="X44" s="1003"/>
      <c r="Y44" s="1003"/>
      <c r="Z44" s="1003"/>
      <c r="AA44" s="1003"/>
      <c r="AB44" s="1003"/>
      <c r="AC44" s="1003"/>
      <c r="AD44" s="1003"/>
      <c r="AE44" s="1003"/>
    </row>
    <row r="45" spans="1:38">
      <c r="A45" s="50"/>
      <c r="B45" s="794" t="str">
        <f>IF(C37&gt;1,"",IF(AL37&gt;0,"Favor de revisar la instrucción 2, debido a que no se cumplen con los criterios mencionados",IF(AF37=0,"","Debido a que cuenta con registro(s) con el código 1, el total de la fila respectiva debe ser mayor a cero")))</f>
        <v/>
      </c>
      <c r="C45" s="794"/>
      <c r="D45" s="794"/>
      <c r="E45" s="794"/>
      <c r="F45" s="794"/>
      <c r="G45" s="794"/>
      <c r="H45" s="794"/>
      <c r="I45" s="794"/>
      <c r="J45" s="794"/>
      <c r="K45" s="794"/>
      <c r="L45" s="794"/>
      <c r="M45" s="794"/>
      <c r="N45" s="794"/>
      <c r="O45" s="794"/>
      <c r="P45" s="794"/>
      <c r="Q45" s="794"/>
      <c r="R45" s="794"/>
      <c r="S45" s="794"/>
      <c r="T45" s="794"/>
      <c r="U45" s="794"/>
      <c r="V45" s="794"/>
      <c r="W45" s="794"/>
      <c r="X45" s="794"/>
      <c r="Y45" s="794"/>
      <c r="Z45" s="794"/>
      <c r="AA45" s="794"/>
      <c r="AB45" s="794"/>
      <c r="AC45" s="794"/>
      <c r="AD45" s="794"/>
      <c r="AE45" s="794"/>
    </row>
    <row r="46" spans="1:38">
      <c r="A46" s="50"/>
      <c r="B46" s="1003" t="str">
        <f>IF(AND(C37&gt;1,AND(CNSIPEE_2024_M2_Secc10!P77&gt;0,CNSIPEE_2024_M2_Secc10!P77&lt;&gt;"NS",CNSIPEE_2024_M2_Secc10!P77&lt;&gt;"NA")),"Debido a que la cantidad en la col. Total del apdo. Nacional de la preg. 10.2 es un dato mayor a cero, favor de seleccionar el código 1","")</f>
        <v/>
      </c>
      <c r="C46" s="1003"/>
      <c r="D46" s="1003"/>
      <c r="E46" s="1003"/>
      <c r="F46" s="1003"/>
      <c r="G46" s="1003"/>
      <c r="H46" s="1003"/>
      <c r="I46" s="1003"/>
      <c r="J46" s="1003"/>
      <c r="K46" s="1003"/>
      <c r="L46" s="1003"/>
      <c r="M46" s="1003"/>
      <c r="N46" s="1003"/>
      <c r="O46" s="1003"/>
      <c r="P46" s="1003"/>
      <c r="Q46" s="1003"/>
      <c r="R46" s="1003"/>
      <c r="S46" s="1003"/>
      <c r="T46" s="1003"/>
      <c r="U46" s="1003"/>
      <c r="V46" s="1003"/>
      <c r="W46" s="1003"/>
      <c r="X46" s="1003"/>
      <c r="Y46" s="1003"/>
      <c r="Z46" s="1003"/>
      <c r="AA46" s="1003"/>
      <c r="AB46" s="1003"/>
      <c r="AC46" s="1003"/>
      <c r="AD46" s="1003"/>
      <c r="AE46" s="1003"/>
    </row>
    <row r="47" spans="1:38" ht="24" customHeight="1">
      <c r="A47" s="49" t="s">
        <v>5693</v>
      </c>
      <c r="B47" s="829" t="s">
        <v>5694</v>
      </c>
      <c r="C47" s="829"/>
      <c r="D47" s="829"/>
      <c r="E47" s="829"/>
      <c r="F47" s="829"/>
      <c r="G47" s="829"/>
      <c r="H47" s="829"/>
      <c r="I47" s="829"/>
      <c r="J47" s="829"/>
      <c r="K47" s="829"/>
      <c r="L47" s="829"/>
      <c r="M47" s="829"/>
      <c r="N47" s="829"/>
      <c r="O47" s="829"/>
      <c r="P47" s="829"/>
      <c r="Q47" s="829"/>
      <c r="R47" s="829"/>
      <c r="S47" s="829"/>
      <c r="T47" s="829"/>
      <c r="U47" s="829"/>
      <c r="V47" s="829"/>
      <c r="W47" s="829"/>
      <c r="X47" s="829"/>
      <c r="Y47" s="829"/>
      <c r="Z47" s="829"/>
      <c r="AA47" s="829"/>
      <c r="AB47" s="829"/>
      <c r="AC47" s="829"/>
      <c r="AD47" s="829"/>
    </row>
    <row r="48" spans="1:38" ht="36" customHeight="1">
      <c r="A48" s="49"/>
      <c r="B48" s="38"/>
      <c r="C48" s="754" t="s">
        <v>5695</v>
      </c>
      <c r="D48" s="754"/>
      <c r="E48" s="754"/>
      <c r="F48" s="754"/>
      <c r="G48" s="754"/>
      <c r="H48" s="754"/>
      <c r="I48" s="754"/>
      <c r="J48" s="754"/>
      <c r="K48" s="754"/>
      <c r="L48" s="754"/>
      <c r="M48" s="754"/>
      <c r="N48" s="754"/>
      <c r="O48" s="754"/>
      <c r="P48" s="754"/>
      <c r="Q48" s="754"/>
      <c r="R48" s="754"/>
      <c r="S48" s="754"/>
      <c r="T48" s="754"/>
      <c r="U48" s="754"/>
      <c r="V48" s="754"/>
      <c r="W48" s="754"/>
      <c r="X48" s="754"/>
      <c r="Y48" s="754"/>
      <c r="Z48" s="754"/>
      <c r="AA48" s="754"/>
      <c r="AB48" s="754"/>
      <c r="AC48" s="754"/>
      <c r="AD48" s="754"/>
    </row>
    <row r="49" spans="1:43" ht="36" customHeight="1">
      <c r="A49" s="49"/>
      <c r="B49" s="38"/>
      <c r="C49" s="754" t="s">
        <v>5696</v>
      </c>
      <c r="D49" s="754"/>
      <c r="E49" s="754"/>
      <c r="F49" s="754"/>
      <c r="G49" s="754"/>
      <c r="H49" s="754"/>
      <c r="I49" s="754"/>
      <c r="J49" s="754"/>
      <c r="K49" s="754"/>
      <c r="L49" s="754"/>
      <c r="M49" s="754"/>
      <c r="N49" s="754"/>
      <c r="O49" s="754"/>
      <c r="P49" s="754"/>
      <c r="Q49" s="754"/>
      <c r="R49" s="754"/>
      <c r="S49" s="754"/>
      <c r="T49" s="754"/>
      <c r="U49" s="754"/>
      <c r="V49" s="754"/>
      <c r="W49" s="754"/>
      <c r="X49" s="754"/>
      <c r="Y49" s="754"/>
      <c r="Z49" s="754"/>
      <c r="AA49" s="754"/>
      <c r="AB49" s="754"/>
      <c r="AC49" s="754"/>
      <c r="AD49" s="754"/>
    </row>
    <row r="50" spans="1:43" ht="24" customHeight="1">
      <c r="A50" s="210"/>
      <c r="B50" s="38"/>
      <c r="C50" s="754" t="s">
        <v>5697</v>
      </c>
      <c r="D50" s="754"/>
      <c r="E50" s="754"/>
      <c r="F50" s="754"/>
      <c r="G50" s="754"/>
      <c r="H50" s="754"/>
      <c r="I50" s="754"/>
      <c r="J50" s="754"/>
      <c r="K50" s="754"/>
      <c r="L50" s="754"/>
      <c r="M50" s="754"/>
      <c r="N50" s="754"/>
      <c r="O50" s="754"/>
      <c r="P50" s="754"/>
      <c r="Q50" s="754"/>
      <c r="R50" s="754"/>
      <c r="S50" s="754"/>
      <c r="T50" s="754"/>
      <c r="U50" s="754"/>
      <c r="V50" s="754"/>
      <c r="W50" s="754"/>
      <c r="X50" s="754"/>
      <c r="Y50" s="754"/>
      <c r="Z50" s="754"/>
      <c r="AA50" s="754"/>
      <c r="AB50" s="754"/>
      <c r="AC50" s="754"/>
      <c r="AD50" s="754"/>
    </row>
    <row r="51" spans="1:43" ht="15" customHeight="1">
      <c r="A51" s="210"/>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row>
    <row r="52" spans="1:43" ht="15" customHeight="1">
      <c r="A52" s="210"/>
      <c r="B52" s="38"/>
      <c r="C52" s="880" t="s">
        <v>5698</v>
      </c>
      <c r="D52" s="880"/>
      <c r="E52" s="880"/>
      <c r="F52" s="880"/>
      <c r="G52" s="880"/>
      <c r="H52" s="880"/>
      <c r="I52" s="880"/>
      <c r="J52" s="880"/>
      <c r="K52" s="880"/>
      <c r="L52" s="880"/>
      <c r="M52" s="732" t="s">
        <v>5690</v>
      </c>
      <c r="N52" s="732"/>
      <c r="O52" s="732"/>
      <c r="P52" s="732"/>
      <c r="Q52" s="732"/>
      <c r="R52" s="732"/>
      <c r="S52" s="732"/>
      <c r="T52" s="732"/>
      <c r="U52" s="732"/>
      <c r="V52" s="732"/>
      <c r="W52" s="732"/>
      <c r="X52" s="732"/>
      <c r="Y52" s="732"/>
      <c r="Z52" s="732"/>
      <c r="AA52" s="732"/>
      <c r="AB52" s="732"/>
      <c r="AC52" s="732"/>
      <c r="AD52" s="732"/>
    </row>
    <row r="53" spans="1:43" ht="15" customHeight="1">
      <c r="A53" s="210"/>
      <c r="B53" s="38"/>
      <c r="C53" s="880"/>
      <c r="D53" s="880"/>
      <c r="E53" s="880"/>
      <c r="F53" s="880"/>
      <c r="G53" s="880"/>
      <c r="H53" s="880"/>
      <c r="I53" s="880"/>
      <c r="J53" s="880"/>
      <c r="K53" s="880"/>
      <c r="L53" s="880"/>
      <c r="M53" s="732" t="s">
        <v>2628</v>
      </c>
      <c r="N53" s="732"/>
      <c r="O53" s="732"/>
      <c r="P53" s="732"/>
      <c r="Q53" s="732"/>
      <c r="R53" s="732"/>
      <c r="S53" s="736" t="s">
        <v>5691</v>
      </c>
      <c r="T53" s="736"/>
      <c r="U53" s="736"/>
      <c r="V53" s="736"/>
      <c r="W53" s="736"/>
      <c r="X53" s="736"/>
      <c r="Y53" s="736" t="s">
        <v>5692</v>
      </c>
      <c r="Z53" s="736"/>
      <c r="AA53" s="736"/>
      <c r="AB53" s="736"/>
      <c r="AC53" s="736"/>
      <c r="AD53" s="736"/>
      <c r="AF53" t="s">
        <v>5699</v>
      </c>
      <c r="AG53" t="s">
        <v>2586</v>
      </c>
      <c r="AH53" t="s">
        <v>4581</v>
      </c>
      <c r="AI53" t="s">
        <v>2590</v>
      </c>
      <c r="AJ53" t="s">
        <v>3163</v>
      </c>
      <c r="AK53" t="s">
        <v>4564</v>
      </c>
      <c r="AL53" t="s">
        <v>5486</v>
      </c>
      <c r="AM53"/>
      <c r="AN53"/>
      <c r="AO53" t="s">
        <v>5291</v>
      </c>
      <c r="AP53"/>
      <c r="AQ53"/>
    </row>
    <row r="54" spans="1:43" ht="15" customHeight="1">
      <c r="A54" s="50"/>
      <c r="B54" s="38"/>
      <c r="C54" s="92" t="s">
        <v>2516</v>
      </c>
      <c r="D54" s="796" t="s">
        <v>5700</v>
      </c>
      <c r="E54" s="796"/>
      <c r="F54" s="796"/>
      <c r="G54" s="796"/>
      <c r="H54" s="796"/>
      <c r="I54" s="796"/>
      <c r="J54" s="796"/>
      <c r="K54" s="796"/>
      <c r="L54" s="796"/>
      <c r="M54" s="1141"/>
      <c r="N54" s="1141"/>
      <c r="O54" s="1141"/>
      <c r="P54" s="1141"/>
      <c r="Q54" s="1141"/>
      <c r="R54" s="1141"/>
      <c r="S54" s="1141"/>
      <c r="T54" s="1141"/>
      <c r="U54" s="1141"/>
      <c r="V54" s="1141"/>
      <c r="W54" s="1141"/>
      <c r="X54" s="1141"/>
      <c r="Y54" s="1141"/>
      <c r="Z54" s="1141"/>
      <c r="AA54" s="1141"/>
      <c r="AB54" s="1141"/>
      <c r="AC54" s="1141"/>
      <c r="AD54" s="1141"/>
      <c r="AF54">
        <f>IF(AND(C37&lt;&gt;1,C66&lt;&gt;""),1,0)</f>
        <v>0</v>
      </c>
      <c r="AG54" s="506">
        <f>IF(C37=1,IF(COUNTA(M54:AD60)=21,0,1),0)</f>
        <v>0</v>
      </c>
      <c r="AH54">
        <f>IF(C37&lt;&gt;1,IF(COUNTA(M54:AD60)=0,0,1),0)</f>
        <v>0</v>
      </c>
      <c r="AI54">
        <f t="shared" ref="AI54:AI60" si="0">COUNTIF(S54:AD54,"NS")</f>
        <v>0</v>
      </c>
      <c r="AJ54">
        <f t="shared" ref="AJ54:AJ60" si="1">SUM(S54:AD54)</f>
        <v>0</v>
      </c>
      <c r="AK54">
        <f t="shared" ref="AK54:AK60" si="2">IF(COUNTIF(M54:AD54,"NA")=3,0,IF(COUNTA(M54:AD54)=0,0,IF(OR(AND(M54=0,AI54&gt;0),AND(M54="ns",AJ54&gt;0),AND(M54="ns",AI54=0,AJ54=0)),1,IF(OR(AND(M54&gt;0,AI54=2),AND(M54="ns",AI54=2),AND(M54="ns",AJ54=0,AI54&gt;0),M54=AJ54),0,1))))</f>
        <v>0</v>
      </c>
      <c r="AL54" cm="1">
        <f t="array" ref="AL54">IF(OR(M61={"NS","NA"},M37={"NS","NA"}),0,IF(M61&gt;=M37,0,1))</f>
        <v>0</v>
      </c>
      <c r="AM54" cm="1">
        <f t="array" ref="AM54">IF(OR(S61={"NS","NA"},S37={"NS","NA"}),0,IF(S61&gt;=S37,0,1))</f>
        <v>0</v>
      </c>
      <c r="AN54" cm="1">
        <f t="array" ref="AN54">IF(OR(Y61={"NS","NA"},Y37={"NS","NA"}),0,IF(Y61&gt;=Y37,0,1))</f>
        <v>0</v>
      </c>
      <c r="AO54" cm="1">
        <f t="array" ref="AO54">IF(OR(M54={"NS","NA"},$M$37={"NS","NA"}),0,IF(M54&lt;=$M$37,0,1))</f>
        <v>0</v>
      </c>
      <c r="AP54" cm="1">
        <f t="array" ref="AP54">IF(OR(S54={"NS","NA"},$S$37={"NS","NA"}),0,IF(S54&lt;=$S$37,0,1))</f>
        <v>0</v>
      </c>
      <c r="AQ54" cm="1">
        <f t="array" ref="AQ54">IF(OR(Y54={"NS","NA"},$Y$37={"NS","NA"}),0,IF(Y54&lt;=$Y$37,0,1))</f>
        <v>0</v>
      </c>
    </row>
    <row r="55" spans="1:43" ht="15" customHeight="1">
      <c r="A55" s="50"/>
      <c r="B55" s="38"/>
      <c r="C55" s="44" t="s">
        <v>2517</v>
      </c>
      <c r="D55" s="796" t="s">
        <v>5701</v>
      </c>
      <c r="E55" s="796"/>
      <c r="F55" s="796"/>
      <c r="G55" s="796"/>
      <c r="H55" s="796"/>
      <c r="I55" s="796"/>
      <c r="J55" s="796"/>
      <c r="K55" s="796"/>
      <c r="L55" s="796"/>
      <c r="M55" s="1141"/>
      <c r="N55" s="1141"/>
      <c r="O55" s="1141"/>
      <c r="P55" s="1141"/>
      <c r="Q55" s="1141"/>
      <c r="R55" s="1141"/>
      <c r="S55" s="1141"/>
      <c r="T55" s="1141"/>
      <c r="U55" s="1141"/>
      <c r="V55" s="1141"/>
      <c r="W55" s="1141"/>
      <c r="X55" s="1141"/>
      <c r="Y55" s="1141"/>
      <c r="Z55" s="1141"/>
      <c r="AA55" s="1141"/>
      <c r="AB55" s="1141"/>
      <c r="AC55" s="1141"/>
      <c r="AD55" s="1141"/>
      <c r="AF55"/>
      <c r="AG55"/>
      <c r="AH55" s="506">
        <f>SUM(AF54,AH54)</f>
        <v>0</v>
      </c>
      <c r="AI55">
        <f t="shared" si="0"/>
        <v>0</v>
      </c>
      <c r="AJ55">
        <f t="shared" si="1"/>
        <v>0</v>
      </c>
      <c r="AK55">
        <f t="shared" si="2"/>
        <v>0</v>
      </c>
      <c r="AN55" s="506">
        <f>IF(C37&lt;&gt;1,0,SUM(AL54:AN54))</f>
        <v>0</v>
      </c>
      <c r="AO55" cm="1">
        <f t="array" ref="AO55">IF(OR(M55={"NS","NA"},$M$37={"NS","NA"}),0,IF(M55&lt;=$M$37,0,1))</f>
        <v>0</v>
      </c>
      <c r="AP55" cm="1">
        <f t="array" ref="AP55">IF(OR(S55={"NS","NA"},$S$37={"NS","NA"}),0,IF(S55&lt;=$S$37,0,1))</f>
        <v>0</v>
      </c>
      <c r="AQ55" cm="1">
        <f t="array" ref="AQ55">IF(OR(Y55={"NS","NA"},$Y$37={"NS","NA"}),0,IF(Y55&lt;=$Y$37,0,1))</f>
        <v>0</v>
      </c>
    </row>
    <row r="56" spans="1:43" ht="15" customHeight="1">
      <c r="A56" s="50"/>
      <c r="B56" s="38"/>
      <c r="C56" s="44" t="s">
        <v>2518</v>
      </c>
      <c r="D56" s="796" t="s">
        <v>5702</v>
      </c>
      <c r="E56" s="796"/>
      <c r="F56" s="796"/>
      <c r="G56" s="796"/>
      <c r="H56" s="796"/>
      <c r="I56" s="796"/>
      <c r="J56" s="796"/>
      <c r="K56" s="796"/>
      <c r="L56" s="796"/>
      <c r="M56" s="1141"/>
      <c r="N56" s="1141"/>
      <c r="O56" s="1141"/>
      <c r="P56" s="1141"/>
      <c r="Q56" s="1141"/>
      <c r="R56" s="1141"/>
      <c r="S56" s="1141"/>
      <c r="T56" s="1141"/>
      <c r="U56" s="1141"/>
      <c r="V56" s="1141"/>
      <c r="W56" s="1141"/>
      <c r="X56" s="1141"/>
      <c r="Y56" s="1141"/>
      <c r="Z56" s="1141"/>
      <c r="AA56" s="1141"/>
      <c r="AB56" s="1141"/>
      <c r="AC56" s="1141"/>
      <c r="AD56" s="1141"/>
      <c r="AF56"/>
      <c r="AG56"/>
      <c r="AH56"/>
      <c r="AI56">
        <f t="shared" si="0"/>
        <v>0</v>
      </c>
      <c r="AJ56">
        <f t="shared" si="1"/>
        <v>0</v>
      </c>
      <c r="AK56">
        <f t="shared" si="2"/>
        <v>0</v>
      </c>
      <c r="AO56" cm="1">
        <f t="array" ref="AO56">IF(OR(M56={"NS","NA"},$M$37={"NS","NA"}),0,IF(M56&lt;=$M$37,0,1))</f>
        <v>0</v>
      </c>
      <c r="AP56" cm="1">
        <f t="array" ref="AP56">IF(OR(S56={"NS","NA"},$S$37={"NS","NA"}),0,IF(S56&lt;=$S$37,0,1))</f>
        <v>0</v>
      </c>
      <c r="AQ56" cm="1">
        <f t="array" ref="AQ56">IF(OR(Y56={"NS","NA"},$Y$37={"NS","NA"}),0,IF(Y56&lt;=$Y$37,0,1))</f>
        <v>0</v>
      </c>
    </row>
    <row r="57" spans="1:43" ht="24" customHeight="1">
      <c r="A57" s="50"/>
      <c r="B57" s="38"/>
      <c r="C57" s="44" t="s">
        <v>2519</v>
      </c>
      <c r="D57" s="796" t="s">
        <v>5703</v>
      </c>
      <c r="E57" s="796"/>
      <c r="F57" s="796"/>
      <c r="G57" s="796"/>
      <c r="H57" s="796"/>
      <c r="I57" s="796"/>
      <c r="J57" s="796"/>
      <c r="K57" s="796"/>
      <c r="L57" s="796"/>
      <c r="M57" s="1141"/>
      <c r="N57" s="1141"/>
      <c r="O57" s="1141"/>
      <c r="P57" s="1141"/>
      <c r="Q57" s="1141"/>
      <c r="R57" s="1141"/>
      <c r="S57" s="1141"/>
      <c r="T57" s="1141"/>
      <c r="U57" s="1141"/>
      <c r="V57" s="1141"/>
      <c r="W57" s="1141"/>
      <c r="X57" s="1141"/>
      <c r="Y57" s="1141"/>
      <c r="Z57" s="1141"/>
      <c r="AA57" s="1141"/>
      <c r="AB57" s="1141"/>
      <c r="AC57" s="1141"/>
      <c r="AD57" s="1141"/>
      <c r="AF57"/>
      <c r="AG57"/>
      <c r="AH57"/>
      <c r="AI57">
        <f t="shared" si="0"/>
        <v>0</v>
      </c>
      <c r="AJ57">
        <f t="shared" si="1"/>
        <v>0</v>
      </c>
      <c r="AK57">
        <f t="shared" si="2"/>
        <v>0</v>
      </c>
      <c r="AO57" cm="1">
        <f t="array" ref="AO57">IF(OR(M57={"NS","NA"},$M$37={"NS","NA"}),0,IF(M57&lt;=$M$37,0,1))</f>
        <v>0</v>
      </c>
      <c r="AP57" cm="1">
        <f t="array" ref="AP57">IF(OR(S57={"NS","NA"},$S$37={"NS","NA"}),0,IF(S57&lt;=$S$37,0,1))</f>
        <v>0</v>
      </c>
      <c r="AQ57" cm="1">
        <f t="array" ref="AQ57">IF(OR(Y57={"NS","NA"},$Y$37={"NS","NA"}),0,IF(Y57&lt;=$Y$37,0,1))</f>
        <v>0</v>
      </c>
    </row>
    <row r="58" spans="1:43" ht="24" customHeight="1">
      <c r="A58" s="50"/>
      <c r="B58" s="38"/>
      <c r="C58" s="44" t="s">
        <v>2520</v>
      </c>
      <c r="D58" s="796" t="s">
        <v>5704</v>
      </c>
      <c r="E58" s="796"/>
      <c r="F58" s="796"/>
      <c r="G58" s="796"/>
      <c r="H58" s="796"/>
      <c r="I58" s="796"/>
      <c r="J58" s="796"/>
      <c r="K58" s="796"/>
      <c r="L58" s="796"/>
      <c r="M58" s="1141"/>
      <c r="N58" s="1141"/>
      <c r="O58" s="1141"/>
      <c r="P58" s="1141"/>
      <c r="Q58" s="1141"/>
      <c r="R58" s="1141"/>
      <c r="S58" s="1141"/>
      <c r="T58" s="1141"/>
      <c r="U58" s="1141"/>
      <c r="V58" s="1141"/>
      <c r="W58" s="1141"/>
      <c r="X58" s="1141"/>
      <c r="Y58" s="1141"/>
      <c r="Z58" s="1141"/>
      <c r="AA58" s="1141"/>
      <c r="AB58" s="1141"/>
      <c r="AC58" s="1141"/>
      <c r="AD58" s="1141"/>
      <c r="AF58"/>
      <c r="AG58"/>
      <c r="AH58"/>
      <c r="AI58">
        <f t="shared" si="0"/>
        <v>0</v>
      </c>
      <c r="AJ58">
        <f t="shared" si="1"/>
        <v>0</v>
      </c>
      <c r="AK58">
        <f t="shared" si="2"/>
        <v>0</v>
      </c>
      <c r="AO58" cm="1">
        <f t="array" ref="AO58">IF(OR(M58={"NS","NA"},$M$37={"NS","NA"}),0,IF(M58&lt;=$M$37,0,1))</f>
        <v>0</v>
      </c>
      <c r="AP58" cm="1">
        <f t="array" ref="AP58">IF(OR(S58={"NS","NA"},$S$37={"NS","NA"}),0,IF(S58&lt;=$S$37,0,1))</f>
        <v>0</v>
      </c>
      <c r="AQ58" cm="1">
        <f t="array" ref="AQ58">IF(OR(Y58={"NS","NA"},$Y$37={"NS","NA"}),0,IF(Y58&lt;=$Y$37,0,1))</f>
        <v>0</v>
      </c>
    </row>
    <row r="59" spans="1:43" ht="24" customHeight="1">
      <c r="A59" s="50"/>
      <c r="B59" s="38"/>
      <c r="C59" s="44" t="s">
        <v>2521</v>
      </c>
      <c r="D59" s="796" t="s">
        <v>5705</v>
      </c>
      <c r="E59" s="796"/>
      <c r="F59" s="796"/>
      <c r="G59" s="796"/>
      <c r="H59" s="796"/>
      <c r="I59" s="796"/>
      <c r="J59" s="796"/>
      <c r="K59" s="796"/>
      <c r="L59" s="796"/>
      <c r="M59" s="1141"/>
      <c r="N59" s="1141"/>
      <c r="O59" s="1141"/>
      <c r="P59" s="1141"/>
      <c r="Q59" s="1141"/>
      <c r="R59" s="1141"/>
      <c r="S59" s="1141"/>
      <c r="T59" s="1141"/>
      <c r="U59" s="1141"/>
      <c r="V59" s="1141"/>
      <c r="W59" s="1141"/>
      <c r="X59" s="1141"/>
      <c r="Y59" s="1141"/>
      <c r="Z59" s="1141"/>
      <c r="AA59" s="1141"/>
      <c r="AB59" s="1141"/>
      <c r="AC59" s="1141"/>
      <c r="AD59" s="1141"/>
      <c r="AF59"/>
      <c r="AG59"/>
      <c r="AH59"/>
      <c r="AI59">
        <f t="shared" si="0"/>
        <v>0</v>
      </c>
      <c r="AJ59">
        <f t="shared" si="1"/>
        <v>0</v>
      </c>
      <c r="AK59">
        <f t="shared" si="2"/>
        <v>0</v>
      </c>
      <c r="AO59" cm="1">
        <f t="array" ref="AO59">IF(OR(M59={"NS","NA"},$M$37={"NS","NA"}),0,IF(M59&lt;=$M$37,0,1))</f>
        <v>0</v>
      </c>
      <c r="AP59" cm="1">
        <f t="array" ref="AP59">IF(OR(S59={"NS","NA"},$S$37={"NS","NA"}),0,IF(S59&lt;=$S$37,0,1))</f>
        <v>0</v>
      </c>
      <c r="AQ59" cm="1">
        <f t="array" ref="AQ59">IF(OR(Y59={"NS","NA"},$Y$37={"NS","NA"}),0,IF(Y59&lt;=$Y$37,0,1))</f>
        <v>0</v>
      </c>
    </row>
    <row r="60" spans="1:43" ht="15" customHeight="1">
      <c r="A60" s="50"/>
      <c r="B60" s="38"/>
      <c r="C60" s="44" t="s">
        <v>2522</v>
      </c>
      <c r="D60" s="796" t="s">
        <v>3541</v>
      </c>
      <c r="E60" s="796"/>
      <c r="F60" s="796"/>
      <c r="G60" s="796"/>
      <c r="H60" s="796"/>
      <c r="I60" s="796"/>
      <c r="J60" s="796"/>
      <c r="K60" s="796"/>
      <c r="L60" s="796"/>
      <c r="M60" s="1141"/>
      <c r="N60" s="1141"/>
      <c r="O60" s="1141"/>
      <c r="P60" s="1141"/>
      <c r="Q60" s="1141"/>
      <c r="R60" s="1141"/>
      <c r="S60" s="1141"/>
      <c r="T60" s="1141"/>
      <c r="U60" s="1141"/>
      <c r="V60" s="1141"/>
      <c r="W60" s="1141"/>
      <c r="X60" s="1141"/>
      <c r="Y60" s="1141"/>
      <c r="Z60" s="1141"/>
      <c r="AA60" s="1141"/>
      <c r="AB60" s="1141"/>
      <c r="AC60" s="1141"/>
      <c r="AD60" s="1141"/>
      <c r="AF60"/>
      <c r="AG60"/>
      <c r="AH60"/>
      <c r="AI60">
        <f t="shared" si="0"/>
        <v>0</v>
      </c>
      <c r="AJ60">
        <f t="shared" si="1"/>
        <v>0</v>
      </c>
      <c r="AK60">
        <f t="shared" si="2"/>
        <v>0</v>
      </c>
      <c r="AO60" cm="1">
        <f t="array" ref="AO60">IF(OR(M60={"NS","NA"},$M$37={"NS","NA"}),0,IF(M60&lt;=$M$37,0,1))</f>
        <v>0</v>
      </c>
      <c r="AP60" cm="1">
        <f t="array" ref="AP60">IF(OR(S60={"NS","NA"},$S$37={"NS","NA"}),0,IF(S60&lt;=$S$37,0,1))</f>
        <v>0</v>
      </c>
      <c r="AQ60" cm="1">
        <f t="array" ref="AQ60">IF(OR(Y60={"NS","NA"},$Y$37={"NS","NA"}),0,IF(Y60&lt;=$Y$37,0,1))</f>
        <v>0</v>
      </c>
    </row>
    <row r="61" spans="1:43" ht="15" customHeight="1">
      <c r="A61" s="210"/>
      <c r="B61" s="38"/>
      <c r="C61" s="38"/>
      <c r="D61" s="38"/>
      <c r="E61" s="38"/>
      <c r="F61" s="38"/>
      <c r="G61" s="38"/>
      <c r="H61" s="38"/>
      <c r="I61" s="38"/>
      <c r="J61" s="38"/>
      <c r="K61" s="38"/>
      <c r="L61" s="99" t="s">
        <v>2649</v>
      </c>
      <c r="M61" s="828">
        <f>IF(AND(SUM(M54:M60)=0,COUNTIF(M54:M60,"NS")&gt;0),"NS",IF(AND(SUM(M54:M60)=0,COUNTIF(M54:M60,0)&gt;0),0,IF(AND(SUM(M54:M60)=0,COUNTIF(M54:M60,"NA")&gt;0),"NA",SUM(M54:M60))))</f>
        <v>0</v>
      </c>
      <c r="N61" s="1142"/>
      <c r="O61" s="1142"/>
      <c r="P61" s="1142"/>
      <c r="Q61" s="1142"/>
      <c r="R61" s="1143"/>
      <c r="S61" s="828">
        <f>IF(AND(SUM(S54:S60)=0,COUNTIF(S54:S60,"NS")&gt;0),"NS",IF(AND(SUM(S54:S60)=0,COUNTIF(S54:S60,0)&gt;0),0,IF(AND(SUM(S54:S60)=0,COUNTIF(S54:S60,"NA")&gt;0),"NA",SUM(S54:S60))))</f>
        <v>0</v>
      </c>
      <c r="T61" s="1142"/>
      <c r="U61" s="1142"/>
      <c r="V61" s="1142"/>
      <c r="W61" s="1142"/>
      <c r="X61" s="1143"/>
      <c r="Y61" s="828">
        <f>IF(AND(SUM(Y54:Y60)=0,COUNTIF(Y54:Y60,"NS")&gt;0),"NS",IF(AND(SUM(Y54:Y60)=0,COUNTIF(Y54:Y60,0)&gt;0),0,IF(AND(SUM(Y54:Y60)=0,COUNTIF(Y54:Y60,"NA")&gt;0),"NA",SUM(Y54:Y60))))</f>
        <v>0</v>
      </c>
      <c r="Z61" s="1142"/>
      <c r="AA61" s="1142"/>
      <c r="AB61" s="1142"/>
      <c r="AC61" s="1142"/>
      <c r="AD61" s="1143"/>
      <c r="AF61"/>
      <c r="AG61"/>
      <c r="AH61"/>
      <c r="AI61">
        <f>SUM(AI54:AI60)</f>
        <v>0</v>
      </c>
      <c r="AK61" s="506">
        <f>SUM(AK54:AK60)</f>
        <v>0</v>
      </c>
      <c r="AQ61" s="506">
        <f>IF(C37&lt;&gt;1,0,SUM(AO54:AQ60))</f>
        <v>0</v>
      </c>
    </row>
    <row r="62" spans="1:43">
      <c r="A62" s="50"/>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row>
    <row r="63" spans="1:43" ht="45" customHeight="1">
      <c r="A63" s="50"/>
      <c r="B63" s="38"/>
      <c r="C63" s="822" t="s">
        <v>5706</v>
      </c>
      <c r="D63" s="822"/>
      <c r="E63" s="822"/>
      <c r="F63" s="749"/>
      <c r="G63" s="749"/>
      <c r="H63" s="749"/>
      <c r="I63" s="749"/>
      <c r="J63" s="749"/>
      <c r="K63" s="749"/>
      <c r="L63" s="749"/>
      <c r="M63" s="749"/>
      <c r="N63" s="749"/>
      <c r="O63" s="749"/>
      <c r="P63" s="749"/>
      <c r="Q63" s="749"/>
      <c r="R63" s="749"/>
      <c r="S63" s="749"/>
      <c r="T63" s="749"/>
      <c r="U63" s="749"/>
      <c r="V63" s="749"/>
      <c r="W63" s="749"/>
      <c r="X63" s="749"/>
      <c r="Y63" s="749"/>
      <c r="Z63" s="749"/>
      <c r="AA63" s="749"/>
      <c r="AB63" s="749"/>
      <c r="AC63" s="749"/>
      <c r="AD63" s="749"/>
    </row>
    <row r="64" spans="1:43">
      <c r="A64" s="50"/>
      <c r="B64" s="1003" t="str">
        <f>IF(AND(M60&gt;0,M60&lt;&gt;"NA",M60&lt;&gt;"NS",F63=""),"Debido a que registró un número mayor a cero en el numeral 7, debe anotar el nombre de dicho(s) motivo(s)","")</f>
        <v/>
      </c>
      <c r="C64" s="1003"/>
      <c r="D64" s="1003"/>
      <c r="E64" s="1003"/>
      <c r="F64" s="1003"/>
      <c r="G64" s="1003"/>
      <c r="H64" s="1003"/>
      <c r="I64" s="1003"/>
      <c r="J64" s="1003"/>
      <c r="K64" s="1003"/>
      <c r="L64" s="1003"/>
      <c r="M64" s="1003"/>
      <c r="N64" s="1003"/>
      <c r="O64" s="1003"/>
      <c r="P64" s="1003"/>
      <c r="Q64" s="1003"/>
      <c r="R64" s="1003"/>
      <c r="S64" s="1003"/>
      <c r="T64" s="1003"/>
      <c r="U64" s="1003"/>
      <c r="V64" s="1003"/>
      <c r="W64" s="1003"/>
      <c r="X64" s="1003"/>
      <c r="Y64" s="1003"/>
      <c r="Z64" s="1003"/>
      <c r="AA64" s="1003"/>
      <c r="AB64" s="1003"/>
      <c r="AC64" s="1003"/>
      <c r="AD64" s="1003"/>
      <c r="AE64" s="1003"/>
    </row>
    <row r="65" spans="1:31" ht="24" customHeight="1">
      <c r="A65" s="210"/>
      <c r="B65" s="38"/>
      <c r="C65" s="754" t="s">
        <v>2611</v>
      </c>
      <c r="D65" s="754"/>
      <c r="E65" s="754"/>
      <c r="F65" s="754"/>
      <c r="G65" s="754"/>
      <c r="H65" s="754"/>
      <c r="I65" s="754"/>
      <c r="J65" s="754"/>
      <c r="K65" s="754"/>
      <c r="L65" s="754"/>
      <c r="M65" s="754"/>
      <c r="N65" s="754"/>
      <c r="O65" s="754"/>
      <c r="P65" s="754"/>
      <c r="Q65" s="754"/>
      <c r="R65" s="754"/>
      <c r="S65" s="754"/>
      <c r="T65" s="754"/>
      <c r="U65" s="754"/>
      <c r="V65" s="754"/>
      <c r="W65" s="754"/>
      <c r="X65" s="754"/>
      <c r="Y65" s="754"/>
      <c r="Z65" s="754"/>
      <c r="AA65" s="754"/>
      <c r="AB65" s="754"/>
      <c r="AC65" s="754"/>
      <c r="AD65" s="754"/>
    </row>
    <row r="66" spans="1:31" ht="60" customHeight="1">
      <c r="A66" s="210"/>
      <c r="B66" s="38"/>
      <c r="C66" s="851"/>
      <c r="D66" s="851"/>
      <c r="E66" s="851"/>
      <c r="F66" s="851"/>
      <c r="G66" s="851"/>
      <c r="H66" s="851"/>
      <c r="I66" s="851"/>
      <c r="J66" s="851"/>
      <c r="K66" s="851"/>
      <c r="L66" s="851"/>
      <c r="M66" s="851"/>
      <c r="N66" s="851"/>
      <c r="O66" s="851"/>
      <c r="P66" s="851"/>
      <c r="Q66" s="851"/>
      <c r="R66" s="851"/>
      <c r="S66" s="851"/>
      <c r="T66" s="851"/>
      <c r="U66" s="851"/>
      <c r="V66" s="851"/>
      <c r="W66" s="851"/>
      <c r="X66" s="851"/>
      <c r="Y66" s="851"/>
      <c r="Z66" s="851"/>
      <c r="AA66" s="851"/>
      <c r="AB66" s="851"/>
      <c r="AC66" s="851"/>
      <c r="AD66" s="851"/>
    </row>
    <row r="67" spans="1:31" ht="15" customHeight="1">
      <c r="A67" s="108"/>
      <c r="B67" s="794" t="str">
        <f>IF(AG54=0,"","Favor de ingresar toda la información requerida en la pregunta")</f>
        <v/>
      </c>
      <c r="C67" s="794"/>
      <c r="D67" s="794"/>
      <c r="E67" s="794"/>
      <c r="F67" s="794"/>
      <c r="G67" s="794"/>
      <c r="H67" s="794"/>
      <c r="I67" s="794"/>
      <c r="J67" s="794"/>
      <c r="K67" s="794"/>
      <c r="L67" s="794"/>
      <c r="M67" s="794"/>
      <c r="N67" s="794"/>
      <c r="O67" s="794"/>
      <c r="P67" s="794"/>
      <c r="Q67" s="794"/>
      <c r="R67" s="794"/>
      <c r="S67" s="794"/>
      <c r="T67" s="794"/>
      <c r="U67" s="794"/>
      <c r="V67" s="794"/>
      <c r="W67" s="794"/>
      <c r="X67" s="794"/>
      <c r="Y67" s="794"/>
      <c r="Z67" s="794"/>
      <c r="AA67" s="794"/>
      <c r="AB67" s="794"/>
      <c r="AC67" s="794"/>
      <c r="AD67" s="794"/>
      <c r="AE67" s="794"/>
    </row>
    <row r="68" spans="1:31" ht="15" customHeight="1">
      <c r="A68" s="211"/>
      <c r="B68" s="1087" t="str">
        <f>IF(C37&lt;&gt;1,"",IF(COUNTIF(M54:AD60,"NS")&lt;&gt;0,"Alerta: debido a que cuenta con registros NS, debe proporcionar una justificación en el area de comentarios al final de la pregunta",""))</f>
        <v/>
      </c>
      <c r="C68" s="1087"/>
      <c r="D68" s="1087"/>
      <c r="E68" s="1087"/>
      <c r="F68" s="1087"/>
      <c r="G68" s="1087"/>
      <c r="H68" s="1087"/>
      <c r="I68" s="1087"/>
      <c r="J68" s="1087"/>
      <c r="K68" s="1087"/>
      <c r="L68" s="1087"/>
      <c r="M68" s="1087"/>
      <c r="N68" s="1087"/>
      <c r="O68" s="1087"/>
      <c r="P68" s="1087"/>
      <c r="Q68" s="1087"/>
      <c r="R68" s="1087"/>
      <c r="S68" s="1087"/>
      <c r="T68" s="1087"/>
      <c r="U68" s="1087"/>
      <c r="V68" s="1087"/>
      <c r="W68" s="1087"/>
      <c r="X68" s="1087"/>
      <c r="Y68" s="1087"/>
      <c r="Z68" s="1087"/>
      <c r="AA68" s="1087"/>
      <c r="AB68" s="1087"/>
      <c r="AC68" s="1087"/>
      <c r="AD68" s="1087"/>
      <c r="AE68" s="1087"/>
    </row>
    <row r="69" spans="1:31" ht="15" customHeight="1">
      <c r="A69" s="211"/>
      <c r="B69" s="1003" t="str">
        <f>IF(AH55&gt;0,"Revise la información capturada, ya que tiene datos ingresados en celdas que están sombreadas","")</f>
        <v/>
      </c>
      <c r="C69" s="1003"/>
      <c r="D69" s="1003"/>
      <c r="E69" s="1003"/>
      <c r="F69" s="1003"/>
      <c r="G69" s="1003"/>
      <c r="H69" s="1003"/>
      <c r="I69" s="1003"/>
      <c r="J69" s="1003"/>
      <c r="K69" s="1003"/>
      <c r="L69" s="1003"/>
      <c r="M69" s="1003"/>
      <c r="N69" s="1003"/>
      <c r="O69" s="1003"/>
      <c r="P69" s="1003"/>
      <c r="Q69" s="1003"/>
      <c r="R69" s="1003"/>
      <c r="S69" s="1003"/>
      <c r="T69" s="1003"/>
      <c r="U69" s="1003"/>
      <c r="V69" s="1003"/>
      <c r="W69" s="1003"/>
      <c r="X69" s="1003"/>
      <c r="Y69" s="1003"/>
      <c r="Z69" s="1003"/>
      <c r="AA69" s="1003"/>
      <c r="AB69" s="1003"/>
      <c r="AC69" s="1003"/>
      <c r="AD69" s="1003"/>
      <c r="AE69" s="1003"/>
    </row>
    <row r="70" spans="1:31" ht="15" customHeight="1">
      <c r="A70" s="211"/>
      <c r="B70" s="1003" t="str">
        <f>IF(C37&lt;&gt;1,"",IF(AK61&gt;0,"Favor de revisar la suma y consistencia de totales y/o subtotales por filas (numéricos y NS)",""))</f>
        <v/>
      </c>
      <c r="C70" s="1003"/>
      <c r="D70" s="1003"/>
      <c r="E70" s="1003"/>
      <c r="F70" s="1003"/>
      <c r="G70" s="1003"/>
      <c r="H70" s="1003"/>
      <c r="I70" s="1003"/>
      <c r="J70" s="1003"/>
      <c r="K70" s="1003"/>
      <c r="L70" s="1003"/>
      <c r="M70" s="1003"/>
      <c r="N70" s="1003"/>
      <c r="O70" s="1003"/>
      <c r="P70" s="1003"/>
      <c r="Q70" s="1003"/>
      <c r="R70" s="1003"/>
      <c r="S70" s="1003"/>
      <c r="T70" s="1003"/>
      <c r="U70" s="1003"/>
      <c r="V70" s="1003"/>
      <c r="W70" s="1003"/>
      <c r="X70" s="1003"/>
      <c r="Y70" s="1003"/>
      <c r="Z70" s="1003"/>
      <c r="AA70" s="1003"/>
      <c r="AB70" s="1003"/>
      <c r="AC70" s="1003"/>
      <c r="AD70" s="1003"/>
      <c r="AE70" s="1003"/>
    </row>
    <row r="71" spans="1:31" ht="15" customHeight="1">
      <c r="A71" s="57"/>
      <c r="B71" s="794" t="str">
        <f>IF(AN55&gt;0,"Favor de revisar la instrucción 1, debido a que no se cumplen con los criterios mencionados","")</f>
        <v/>
      </c>
      <c r="C71" s="794"/>
      <c r="D71" s="794"/>
      <c r="E71" s="794"/>
      <c r="F71" s="794"/>
      <c r="G71" s="794"/>
      <c r="H71" s="794"/>
      <c r="I71" s="794"/>
      <c r="J71" s="794"/>
      <c r="K71" s="794"/>
      <c r="L71" s="794"/>
      <c r="M71" s="794"/>
      <c r="N71" s="794"/>
      <c r="O71" s="794"/>
      <c r="P71" s="794"/>
      <c r="Q71" s="794"/>
      <c r="R71" s="794"/>
      <c r="S71" s="794"/>
      <c r="T71" s="794"/>
      <c r="U71" s="794"/>
      <c r="V71" s="794"/>
      <c r="W71" s="794"/>
      <c r="X71" s="794"/>
      <c r="Y71" s="794"/>
      <c r="Z71" s="794"/>
      <c r="AA71" s="794"/>
      <c r="AB71" s="794"/>
      <c r="AC71" s="794"/>
      <c r="AD71" s="794"/>
      <c r="AE71" s="794"/>
    </row>
    <row r="72" spans="1:31" ht="15" customHeight="1">
      <c r="A72" s="57"/>
      <c r="B72" s="795" t="str">
        <f>IF(AQ61&gt;0,"Alerta: debe de proporcionar una justificación de acuerdo a lo establecido en la instrucción 2","")</f>
        <v/>
      </c>
      <c r="C72" s="795"/>
      <c r="D72" s="795"/>
      <c r="E72" s="795"/>
      <c r="F72" s="795"/>
      <c r="G72" s="795"/>
      <c r="H72" s="795"/>
      <c r="I72" s="795"/>
      <c r="J72" s="795"/>
      <c r="K72" s="795"/>
      <c r="L72" s="795"/>
      <c r="M72" s="795"/>
      <c r="N72" s="795"/>
      <c r="O72" s="795"/>
      <c r="P72" s="795"/>
      <c r="Q72" s="795"/>
      <c r="R72" s="795"/>
      <c r="S72" s="795"/>
      <c r="T72" s="795"/>
      <c r="U72" s="795"/>
      <c r="V72" s="795"/>
      <c r="W72" s="795"/>
      <c r="X72" s="795"/>
      <c r="Y72" s="795"/>
      <c r="Z72" s="795"/>
      <c r="AA72" s="795"/>
      <c r="AB72" s="795"/>
      <c r="AC72" s="795"/>
      <c r="AD72" s="795"/>
      <c r="AE72" s="795"/>
    </row>
    <row r="73" spans="1:31" ht="36" customHeight="1">
      <c r="A73" s="49" t="s">
        <v>5707</v>
      </c>
      <c r="B73" s="829" t="s">
        <v>5708</v>
      </c>
      <c r="C73" s="829"/>
      <c r="D73" s="829"/>
      <c r="E73" s="829"/>
      <c r="F73" s="829"/>
      <c r="G73" s="829"/>
      <c r="H73" s="829"/>
      <c r="I73" s="829"/>
      <c r="J73" s="829"/>
      <c r="K73" s="829"/>
      <c r="L73" s="829"/>
      <c r="M73" s="829"/>
      <c r="N73" s="829"/>
      <c r="O73" s="829"/>
      <c r="P73" s="829"/>
      <c r="Q73" s="829"/>
      <c r="R73" s="829"/>
      <c r="S73" s="829"/>
      <c r="T73" s="829"/>
      <c r="U73" s="829"/>
      <c r="V73" s="829"/>
      <c r="W73" s="829"/>
      <c r="X73" s="829"/>
      <c r="Y73" s="829"/>
      <c r="Z73" s="829"/>
      <c r="AA73" s="829"/>
      <c r="AB73" s="829"/>
      <c r="AC73" s="829"/>
      <c r="AD73" s="829"/>
    </row>
    <row r="74" spans="1:31" ht="24" customHeight="1">
      <c r="A74" s="49"/>
      <c r="B74" s="105"/>
      <c r="C74" s="754" t="s">
        <v>5709</v>
      </c>
      <c r="D74" s="754"/>
      <c r="E74" s="754"/>
      <c r="F74" s="754"/>
      <c r="G74" s="754"/>
      <c r="H74" s="754"/>
      <c r="I74" s="754"/>
      <c r="J74" s="754"/>
      <c r="K74" s="754"/>
      <c r="L74" s="754"/>
      <c r="M74" s="754"/>
      <c r="N74" s="754"/>
      <c r="O74" s="754"/>
      <c r="P74" s="754"/>
      <c r="Q74" s="754"/>
      <c r="R74" s="754"/>
      <c r="S74" s="754"/>
      <c r="T74" s="754"/>
      <c r="U74" s="754"/>
      <c r="V74" s="754"/>
      <c r="W74" s="754"/>
      <c r="X74" s="754"/>
      <c r="Y74" s="754"/>
      <c r="Z74" s="754"/>
      <c r="AA74" s="754"/>
      <c r="AB74" s="754"/>
      <c r="AC74" s="754"/>
      <c r="AD74" s="754"/>
    </row>
    <row r="75" spans="1:31" ht="24" customHeight="1">
      <c r="A75" s="50"/>
      <c r="B75" s="38"/>
      <c r="C75" s="830" t="s">
        <v>5710</v>
      </c>
      <c r="D75" s="830"/>
      <c r="E75" s="830"/>
      <c r="F75" s="830"/>
      <c r="G75" s="830"/>
      <c r="H75" s="830"/>
      <c r="I75" s="830"/>
      <c r="J75" s="830"/>
      <c r="K75" s="830"/>
      <c r="L75" s="830"/>
      <c r="M75" s="830"/>
      <c r="N75" s="830"/>
      <c r="O75" s="830"/>
      <c r="P75" s="830"/>
      <c r="Q75" s="830"/>
      <c r="R75" s="830"/>
      <c r="S75" s="830"/>
      <c r="T75" s="830"/>
      <c r="U75" s="830"/>
      <c r="V75" s="830"/>
      <c r="W75" s="830"/>
      <c r="X75" s="830"/>
      <c r="Y75" s="830"/>
      <c r="Z75" s="830"/>
      <c r="AA75" s="830"/>
      <c r="AB75" s="830"/>
      <c r="AC75" s="830"/>
      <c r="AD75" s="830"/>
    </row>
    <row r="76" spans="1:31" ht="24" customHeight="1">
      <c r="A76" s="50"/>
      <c r="B76" s="38"/>
      <c r="C76" s="754" t="s">
        <v>5711</v>
      </c>
      <c r="D76" s="754"/>
      <c r="E76" s="754"/>
      <c r="F76" s="754"/>
      <c r="G76" s="754"/>
      <c r="H76" s="754"/>
      <c r="I76" s="754"/>
      <c r="J76" s="754"/>
      <c r="K76" s="754"/>
      <c r="L76" s="754"/>
      <c r="M76" s="754"/>
      <c r="N76" s="754"/>
      <c r="O76" s="754"/>
      <c r="P76" s="754"/>
      <c r="Q76" s="754"/>
      <c r="R76" s="754"/>
      <c r="S76" s="754"/>
      <c r="T76" s="754"/>
      <c r="U76" s="754"/>
      <c r="V76" s="754"/>
      <c r="W76" s="754"/>
      <c r="X76" s="754"/>
      <c r="Y76" s="754"/>
      <c r="Z76" s="754"/>
      <c r="AA76" s="754"/>
      <c r="AB76" s="754"/>
      <c r="AC76" s="754"/>
      <c r="AD76" s="754"/>
    </row>
    <row r="77" spans="1:31" ht="24" customHeight="1">
      <c r="A77" s="50"/>
      <c r="B77" s="38"/>
      <c r="C77" s="830" t="s">
        <v>5712</v>
      </c>
      <c r="D77" s="830"/>
      <c r="E77" s="830"/>
      <c r="F77" s="830"/>
      <c r="G77" s="830"/>
      <c r="H77" s="830"/>
      <c r="I77" s="830"/>
      <c r="J77" s="830"/>
      <c r="K77" s="830"/>
      <c r="L77" s="830"/>
      <c r="M77" s="830"/>
      <c r="N77" s="830"/>
      <c r="O77" s="830"/>
      <c r="P77" s="830"/>
      <c r="Q77" s="830"/>
      <c r="R77" s="830"/>
      <c r="S77" s="830"/>
      <c r="T77" s="830"/>
      <c r="U77" s="830"/>
      <c r="V77" s="830"/>
      <c r="W77" s="830"/>
      <c r="X77" s="830"/>
      <c r="Y77" s="830"/>
      <c r="Z77" s="830"/>
      <c r="AA77" s="830"/>
      <c r="AB77" s="830"/>
      <c r="AC77" s="830"/>
      <c r="AD77" s="830"/>
    </row>
    <row r="78" spans="1:31" ht="36" customHeight="1">
      <c r="A78" s="50"/>
      <c r="B78" s="38"/>
      <c r="C78" s="754" t="s">
        <v>5713</v>
      </c>
      <c r="D78" s="754"/>
      <c r="E78" s="754"/>
      <c r="F78" s="754"/>
      <c r="G78" s="754"/>
      <c r="H78" s="754"/>
      <c r="I78" s="754"/>
      <c r="J78" s="754"/>
      <c r="K78" s="754"/>
      <c r="L78" s="754"/>
      <c r="M78" s="754"/>
      <c r="N78" s="754"/>
      <c r="O78" s="754"/>
      <c r="P78" s="754"/>
      <c r="Q78" s="754"/>
      <c r="R78" s="754"/>
      <c r="S78" s="754"/>
      <c r="T78" s="754"/>
      <c r="U78" s="754"/>
      <c r="V78" s="754"/>
      <c r="W78" s="754"/>
      <c r="X78" s="754"/>
      <c r="Y78" s="754"/>
      <c r="Z78" s="754"/>
      <c r="AA78" s="754"/>
      <c r="AB78" s="754"/>
      <c r="AC78" s="754"/>
      <c r="AD78" s="754"/>
    </row>
    <row r="79" spans="1:31" ht="24" customHeight="1">
      <c r="A79" s="50"/>
      <c r="B79" s="38"/>
      <c r="C79" s="754" t="s">
        <v>5714</v>
      </c>
      <c r="D79" s="754"/>
      <c r="E79" s="754"/>
      <c r="F79" s="754"/>
      <c r="G79" s="754"/>
      <c r="H79" s="754"/>
      <c r="I79" s="754"/>
      <c r="J79" s="754"/>
      <c r="K79" s="754"/>
      <c r="L79" s="754"/>
      <c r="M79" s="754"/>
      <c r="N79" s="754"/>
      <c r="O79" s="754"/>
      <c r="P79" s="754"/>
      <c r="Q79" s="754"/>
      <c r="R79" s="754"/>
      <c r="S79" s="754"/>
      <c r="T79" s="754"/>
      <c r="U79" s="754"/>
      <c r="V79" s="754"/>
      <c r="W79" s="754"/>
      <c r="X79" s="754"/>
      <c r="Y79" s="754"/>
      <c r="Z79" s="754"/>
      <c r="AA79" s="754"/>
      <c r="AB79" s="754"/>
      <c r="AC79" s="754"/>
      <c r="AD79" s="754"/>
    </row>
    <row r="80" spans="1:31">
      <c r="A80" s="142"/>
      <c r="B80" s="57"/>
      <c r="C80" s="57"/>
      <c r="D80" s="57"/>
      <c r="E80" s="57"/>
      <c r="F80" s="57"/>
      <c r="G80" s="57"/>
      <c r="H80" s="57"/>
      <c r="I80" s="57"/>
      <c r="J80" s="57"/>
      <c r="K80" s="57"/>
      <c r="L80" s="57"/>
      <c r="M80" s="57"/>
      <c r="N80" s="57"/>
      <c r="O80" s="57"/>
      <c r="P80" s="57"/>
      <c r="Q80" s="57"/>
      <c r="R80" s="57"/>
      <c r="S80" s="57"/>
      <c r="T80" s="57"/>
      <c r="U80" s="57"/>
      <c r="V80" s="57"/>
      <c r="W80" s="57"/>
      <c r="X80" s="57"/>
      <c r="Y80" s="57"/>
      <c r="Z80" s="57"/>
      <c r="AA80" s="57"/>
      <c r="AB80" s="57"/>
      <c r="AC80" s="57"/>
      <c r="AD80" s="57"/>
    </row>
    <row r="81" spans="1:45" ht="24" customHeight="1">
      <c r="A81" s="50"/>
      <c r="B81" s="38"/>
      <c r="C81" s="732" t="s">
        <v>5715</v>
      </c>
      <c r="D81" s="732"/>
      <c r="E81" s="732"/>
      <c r="F81" s="732"/>
      <c r="G81" s="732"/>
      <c r="H81" s="732"/>
      <c r="I81" s="732"/>
      <c r="J81" s="732"/>
      <c r="K81" s="732" t="s">
        <v>5716</v>
      </c>
      <c r="L81" s="732"/>
      <c r="M81" s="732"/>
      <c r="N81" s="732"/>
      <c r="O81" s="732"/>
      <c r="P81" s="732"/>
      <c r="Q81" s="739" t="s">
        <v>5717</v>
      </c>
      <c r="R81" s="740"/>
      <c r="S81" s="740"/>
      <c r="T81" s="740"/>
      <c r="U81" s="740"/>
      <c r="V81" s="740"/>
      <c r="W81" s="740"/>
      <c r="X81" s="740"/>
      <c r="Y81" s="740"/>
      <c r="Z81" s="740"/>
      <c r="AA81" s="740"/>
      <c r="AB81" s="740"/>
      <c r="AC81" s="740"/>
      <c r="AD81" s="741"/>
    </row>
    <row r="82" spans="1:45" ht="15" customHeight="1">
      <c r="A82" s="50"/>
      <c r="B82" s="38"/>
      <c r="C82" s="732"/>
      <c r="D82" s="732"/>
      <c r="E82" s="732"/>
      <c r="F82" s="732"/>
      <c r="G82" s="732"/>
      <c r="H82" s="732"/>
      <c r="I82" s="732"/>
      <c r="J82" s="732"/>
      <c r="K82" s="732"/>
      <c r="L82" s="732"/>
      <c r="M82" s="732"/>
      <c r="N82" s="732"/>
      <c r="O82" s="732"/>
      <c r="P82" s="732"/>
      <c r="Q82" s="880" t="s">
        <v>2628</v>
      </c>
      <c r="R82" s="880"/>
      <c r="S82" s="733" t="s">
        <v>5718</v>
      </c>
      <c r="T82" s="734"/>
      <c r="U82" s="734"/>
      <c r="V82" s="734"/>
      <c r="W82" s="734"/>
      <c r="X82" s="734"/>
      <c r="Y82" s="734"/>
      <c r="Z82" s="734"/>
      <c r="AA82" s="734"/>
      <c r="AB82" s="734"/>
      <c r="AC82" s="734"/>
      <c r="AD82" s="735"/>
    </row>
    <row r="83" spans="1:45" ht="120" customHeight="1">
      <c r="A83" s="50"/>
      <c r="B83" s="38"/>
      <c r="C83" s="732"/>
      <c r="D83" s="732"/>
      <c r="E83" s="732"/>
      <c r="F83" s="732"/>
      <c r="G83" s="732"/>
      <c r="H83" s="732"/>
      <c r="I83" s="732"/>
      <c r="J83" s="732"/>
      <c r="K83" s="732"/>
      <c r="L83" s="732"/>
      <c r="M83" s="732"/>
      <c r="N83" s="732"/>
      <c r="O83" s="732"/>
      <c r="P83" s="732"/>
      <c r="Q83" s="880"/>
      <c r="R83" s="880"/>
      <c r="S83" s="859" t="s">
        <v>5719</v>
      </c>
      <c r="T83" s="860"/>
      <c r="U83" s="858" t="s">
        <v>5720</v>
      </c>
      <c r="V83" s="860"/>
      <c r="W83" s="858" t="s">
        <v>5721</v>
      </c>
      <c r="X83" s="860"/>
      <c r="Y83" s="858" t="s">
        <v>5722</v>
      </c>
      <c r="Z83" s="860"/>
      <c r="AA83" s="858" t="s">
        <v>5723</v>
      </c>
      <c r="AB83" s="860"/>
      <c r="AC83" s="858" t="s">
        <v>2990</v>
      </c>
      <c r="AD83" s="860"/>
      <c r="AF83" t="s">
        <v>5699</v>
      </c>
      <c r="AG83" t="s">
        <v>2586</v>
      </c>
      <c r="AH83" t="s">
        <v>4581</v>
      </c>
      <c r="AI83" t="s">
        <v>5290</v>
      </c>
      <c r="AJ83"/>
      <c r="AK83" t="s">
        <v>5253</v>
      </c>
      <c r="AL83" t="s">
        <v>5724</v>
      </c>
      <c r="AM83" t="s">
        <v>5725</v>
      </c>
      <c r="AR83"/>
      <c r="AS83" t="s">
        <v>4713</v>
      </c>
    </row>
    <row r="84" spans="1:45" ht="15" customHeight="1">
      <c r="A84" s="50"/>
      <c r="B84" s="38"/>
      <c r="C84" s="92" t="s">
        <v>2516</v>
      </c>
      <c r="D84" s="813" t="s">
        <v>5691</v>
      </c>
      <c r="E84" s="814"/>
      <c r="F84" s="814"/>
      <c r="G84" s="814"/>
      <c r="H84" s="814"/>
      <c r="I84" s="814"/>
      <c r="J84" s="815"/>
      <c r="K84" s="816"/>
      <c r="L84" s="738"/>
      <c r="M84" s="738"/>
      <c r="N84" s="738"/>
      <c r="O84" s="738"/>
      <c r="P84" s="817"/>
      <c r="Q84" s="749"/>
      <c r="R84" s="749"/>
      <c r="S84" s="816"/>
      <c r="T84" s="817"/>
      <c r="U84" s="816"/>
      <c r="V84" s="817"/>
      <c r="W84" s="816"/>
      <c r="X84" s="817"/>
      <c r="Y84" s="816"/>
      <c r="Z84" s="817"/>
      <c r="AA84" s="816"/>
      <c r="AB84" s="817"/>
      <c r="AC84" s="816"/>
      <c r="AD84" s="817"/>
      <c r="AF84">
        <f>IF(AND(C37&lt;&gt;1,C91&lt;&gt;""),1,0)</f>
        <v>0</v>
      </c>
      <c r="AG84">
        <f>IF(OR(S37=0,S37="NS",S37="NA",C37&lt;&gt;1,K84&gt;1),0,IF(COUNTBLANK(K84:AD84)=12,0,1))</f>
        <v>0</v>
      </c>
      <c r="AH84">
        <f>IF(OR(S37=0,S37="NS",S37="NA",C37&lt;&gt;1),IF(COUNTBLANK(K84:AD84)=20,0,1),IF(K84&gt;1,IF(COUNTBLANK(Q84:AD84)=14,0,1),0))</f>
        <v>0</v>
      </c>
      <c r="AI84" cm="1">
        <f t="array" ref="AI84">IF(OR(Q84={"NS","NA"},S37={"NS","NA"}),0,IF(Q84&lt;=S37,0,1))</f>
        <v>0</v>
      </c>
      <c r="AJ84" cm="1">
        <f t="array" ref="AJ84">IF(OR(Q85={"NS","NA"},Y37={"NS","NA"}),0,IF(Q85&lt;=Y37,0,1))</f>
        <v>0</v>
      </c>
      <c r="AK84" cm="1">
        <f t="array" ref="AK84">IF(OR(Q84={"NS","NA"},AL84={"NS","NA"}),0,IF(Q84&lt;=AL84,0,1))</f>
        <v>0</v>
      </c>
      <c r="AL84">
        <f>IF(AND(SUM(S84:AD84)=0,COUNTIF(S84:AD84,"NS")&gt;0),"NS",IF(AND(SUM(S84:AD84)=0,COUNTIF(S84:AD84,0)&gt;0),0,IF(AND(SUM(S84:AD84)=0,COUNTIF(S84:AD84,"NA")&gt;0),"NA",SUM(S84:AD84))))</f>
        <v>0</v>
      </c>
      <c r="AM84" cm="1">
        <f t="array" ref="AM84">IF(OR(S84={"NS","NA"},$Q84={"NS","NA"}),0,IF(S84&lt;=$Q84,0,1))</f>
        <v>0</v>
      </c>
      <c r="AN84" cm="1">
        <f t="array" ref="AN84">IF(OR(U84={"NS","NA"},$Q84={"NS","NA"}),0,IF(U84&lt;=$Q84,0,1))</f>
        <v>0</v>
      </c>
      <c r="AO84" cm="1">
        <f t="array" ref="AO84">IF(OR(W84={"NS","NA"},$Q84={"NS","NA"}),0,IF(W84&lt;=$Q84,0,1))</f>
        <v>0</v>
      </c>
      <c r="AP84" cm="1">
        <f t="array" ref="AP84">IF(OR(Y84={"NS","NA"},$Q84={"NS","NA"}),0,IF(Y84&lt;=$Q84,0,1))</f>
        <v>0</v>
      </c>
      <c r="AQ84" cm="1">
        <f t="array" ref="AQ84">IF(OR(AA84={"NS","NA"},$Q84={"NS","NA"}),0,IF(AA84&lt;=$Q84,0,1))</f>
        <v>0</v>
      </c>
      <c r="AR84" cm="1">
        <f t="array" ref="AR84">IF(OR(AC84={"NS","NA"},$Q84={"NS","NA"}),0,IF(AC84&lt;=$Q84,0,1))</f>
        <v>0</v>
      </c>
      <c r="AS84">
        <f>IF(AND(K84=1,Q84=0),1,0)</f>
        <v>0</v>
      </c>
    </row>
    <row r="85" spans="1:45" ht="15" customHeight="1">
      <c r="A85" s="50"/>
      <c r="B85" s="38"/>
      <c r="C85" s="44" t="s">
        <v>2517</v>
      </c>
      <c r="D85" s="813" t="s">
        <v>5692</v>
      </c>
      <c r="E85" s="814"/>
      <c r="F85" s="814"/>
      <c r="G85" s="814"/>
      <c r="H85" s="814"/>
      <c r="I85" s="814"/>
      <c r="J85" s="815"/>
      <c r="K85" s="816"/>
      <c r="L85" s="738"/>
      <c r="M85" s="738"/>
      <c r="N85" s="738"/>
      <c r="O85" s="738"/>
      <c r="P85" s="817"/>
      <c r="Q85" s="749"/>
      <c r="R85" s="749"/>
      <c r="S85" s="816"/>
      <c r="T85" s="817"/>
      <c r="U85" s="816"/>
      <c r="V85" s="817"/>
      <c r="W85" s="816"/>
      <c r="X85" s="817"/>
      <c r="Y85" s="816"/>
      <c r="Z85" s="817"/>
      <c r="AA85" s="816"/>
      <c r="AB85" s="817"/>
      <c r="AC85" s="816"/>
      <c r="AD85" s="817"/>
      <c r="AF85"/>
      <c r="AG85">
        <f>IF(OR(Y37=0,Y37="NS",Y37="NA",C37&lt;&gt;1,K85&gt;1),0,IF(COUNTBLANK(K85:AD85)=12,0,1))</f>
        <v>0</v>
      </c>
      <c r="AH85">
        <f>IF(OR(Y37=0,Y37="NS",Y37="NA",C37&lt;&gt;1),IF(COUNTBLANK(K85:AD85)=20,0,1),IF(K85&gt;1,IF(COUNTBLANK(Q85:AD85)=14,0,1),0))</f>
        <v>0</v>
      </c>
      <c r="AJ85" s="506">
        <f>SUM(AI84:AJ84)</f>
        <v>0</v>
      </c>
      <c r="AK85" cm="1">
        <f t="array" ref="AK85">IF(OR(Q85={"NS","NA"},AL85={"NS","NA"}),0,IF(Q85&lt;=AL85,0,1))</f>
        <v>0</v>
      </c>
      <c r="AL85">
        <f>IF(AND(SUM(S85:AD85)=0,COUNTIF(S85:AD85,"NS")&gt;0),"NS",IF(AND(SUM(S85:AD85)=0,COUNTIF(S85:AD85,0)&gt;0),0,IF(AND(SUM(S85:AD85)=0,COUNTIF(S85:AD85,"NA")&gt;0),"NA",SUM(S85:AD85))))</f>
        <v>0</v>
      </c>
      <c r="AM85" cm="1">
        <f t="array" ref="AM85">IF(OR(S85={"NS","NA"},$Q85={"NS","NA"}),0,IF(S85&lt;=$Q85,0,1))</f>
        <v>0</v>
      </c>
      <c r="AN85" cm="1">
        <f t="array" ref="AN85">IF(OR(U85={"NS","NA"},$Q85={"NS","NA"}),0,IF(U85&lt;=$Q85,0,1))</f>
        <v>0</v>
      </c>
      <c r="AO85" cm="1">
        <f t="array" ref="AO85">IF(OR(W85={"NS","NA"},$Q85={"NS","NA"}),0,IF(W85&lt;=$Q85,0,1))</f>
        <v>0</v>
      </c>
      <c r="AP85" cm="1">
        <f t="array" ref="AP85">IF(OR(Y85={"NS","NA"},$Q85={"NS","NA"}),0,IF(Y85&lt;=$Q85,0,1))</f>
        <v>0</v>
      </c>
      <c r="AQ85" cm="1">
        <f t="array" ref="AQ85">IF(OR(AA85={"NS","NA"},$Q85={"NS","NA"}),0,IF(AA85&lt;=$Q85,0,1))</f>
        <v>0</v>
      </c>
      <c r="AR85" cm="1">
        <f t="array" ref="AR85">IF(OR(AC85={"NS","NA"},$Q85={"NS","NA"}),0,IF(AC85&lt;=$Q85,0,1))</f>
        <v>0</v>
      </c>
      <c r="AS85">
        <f>IF(AND(K85=1,Q85=0),1,0)</f>
        <v>0</v>
      </c>
    </row>
    <row r="86" spans="1:45">
      <c r="A86" s="50"/>
      <c r="B86" s="38"/>
      <c r="D86" s="38"/>
      <c r="E86" s="38"/>
      <c r="F86" s="38"/>
      <c r="G86" s="38"/>
      <c r="H86" s="38"/>
      <c r="I86" s="38"/>
      <c r="J86" s="38"/>
      <c r="K86" s="38"/>
      <c r="L86" s="38"/>
      <c r="M86" s="38"/>
      <c r="N86" s="38"/>
      <c r="O86" s="38"/>
      <c r="P86" s="99" t="s">
        <v>2649</v>
      </c>
      <c r="Q86" s="736">
        <f>IF(AND(SUM(Q84:Q85)=0,COUNTIF(Q84:Q85,"NS")&gt;0),"NS",IF(AND(SUM(Q84:Q85)=0,COUNTIF(Q84:Q85,0)&gt;0),0,IF(AND(SUM(Q84:Q85)=0,COUNTIF(Q84:Q85,"NA")&gt;0),"NA",SUM(Q84:Q85))))</f>
        <v>0</v>
      </c>
      <c r="R86" s="1086"/>
      <c r="S86" s="736">
        <f>IF(AND(SUM(S84:S85)=0,COUNTIF(S84:S85,"NS")&gt;0),"NS",IF(AND(SUM(S84:S85)=0,COUNTIF(S84:S85,0)&gt;0),0,IF(AND(SUM(S84:S85)=0,COUNTIF(S84:S85,"NA")&gt;0),"NA",SUM(S84:S85))))</f>
        <v>0</v>
      </c>
      <c r="T86" s="1086"/>
      <c r="U86" s="736">
        <f>IF(AND(SUM(U84:U85)=0,COUNTIF(U84:U85,"NS")&gt;0),"NS",IF(AND(SUM(U84:U85)=0,COUNTIF(U84:U85,0)&gt;0),0,IF(AND(SUM(U84:U85)=0,COUNTIF(U84:U85,"NA")&gt;0),"NA",SUM(U84:U85))))</f>
        <v>0</v>
      </c>
      <c r="V86" s="1086"/>
      <c r="W86" s="736">
        <f>IF(AND(SUM(W84:W85)=0,COUNTIF(W84:W85,"NS")&gt;0),"NS",IF(AND(SUM(W84:W85)=0,COUNTIF(W84:W85,0)&gt;0),0,IF(AND(SUM(W84:W85)=0,COUNTIF(W84:W85,"NA")&gt;0),"NA",SUM(W84:W85))))</f>
        <v>0</v>
      </c>
      <c r="X86" s="1086"/>
      <c r="Y86" s="736">
        <f>IF(AND(SUM(Y84:Y85)=0,COUNTIF(Y84:Y85,"NS")&gt;0),"NS",IF(AND(SUM(Y84:Y85)=0,COUNTIF(Y84:Y85,0)&gt;0),0,IF(AND(SUM(Y84:Y85)=0,COUNTIF(Y84:Y85,"NA")&gt;0),"NA",SUM(Y84:Y85))))</f>
        <v>0</v>
      </c>
      <c r="Z86" s="1086"/>
      <c r="AA86" s="736">
        <f>IF(AND(SUM(AA84:AA85)=0,COUNTIF(AA84:AA85,"NS")&gt;0),"NS",IF(AND(SUM(AA84:AA85)=0,COUNTIF(AA84:AA85,0)&gt;0),0,IF(AND(SUM(AA84:AA85)=0,COUNTIF(AA84:AA85,"NA")&gt;0),"NA",SUM(AA84:AA85))))</f>
        <v>0</v>
      </c>
      <c r="AB86" s="1086"/>
      <c r="AC86" s="736">
        <f>IF(AND(SUM(AC84:AC85)=0,COUNTIF(AC84:AC85,"NS")&gt;0),"NS",IF(AND(SUM(AC84:AC85)=0,COUNTIF(AC84:AC85,0)&gt;0),0,IF(AND(SUM(AC84:AC85)=0,COUNTIF(AC84:AC85,"NA")&gt;0),"NA",SUM(AC84:AC85))))</f>
        <v>0</v>
      </c>
      <c r="AD86" s="1086"/>
      <c r="AF86"/>
      <c r="AG86" s="506">
        <f>SUM(AG84:AG85)</f>
        <v>0</v>
      </c>
      <c r="AH86" s="506">
        <f>SUM(AH84:AH85,AF84)</f>
        <v>0</v>
      </c>
      <c r="AK86" s="507">
        <f>SUM(AK84:AK85)</f>
        <v>0</v>
      </c>
      <c r="AQ86"/>
      <c r="AR86" s="507">
        <f>SUM(AM84:AR85)</f>
        <v>0</v>
      </c>
      <c r="AS86" s="507">
        <f>SUM(AS84:AS85)</f>
        <v>0</v>
      </c>
    </row>
    <row r="87" spans="1:45">
      <c r="A87" s="169"/>
      <c r="B87" s="90"/>
      <c r="C87" s="90"/>
      <c r="D87" s="90"/>
      <c r="E87" s="90"/>
      <c r="F87" s="90"/>
      <c r="G87" s="90"/>
      <c r="H87" s="90"/>
      <c r="I87" s="90"/>
      <c r="J87" s="90"/>
      <c r="K87" s="90"/>
      <c r="L87" s="90"/>
      <c r="M87" s="90"/>
      <c r="N87" s="90"/>
      <c r="O87" s="90"/>
      <c r="P87" s="90"/>
      <c r="Q87" s="90"/>
      <c r="R87" s="90"/>
      <c r="S87" s="90"/>
      <c r="T87" s="90"/>
      <c r="U87" s="90"/>
      <c r="V87" s="90"/>
      <c r="W87" s="90"/>
      <c r="X87" s="90"/>
      <c r="Y87" s="90"/>
      <c r="Z87" s="90"/>
      <c r="AA87" s="90"/>
      <c r="AB87" s="90"/>
      <c r="AC87" s="90"/>
      <c r="AD87" s="90"/>
    </row>
    <row r="88" spans="1:45" ht="45" customHeight="1">
      <c r="A88" s="169"/>
      <c r="B88" s="90"/>
      <c r="C88" s="822" t="s">
        <v>2798</v>
      </c>
      <c r="D88" s="822"/>
      <c r="E88" s="822"/>
      <c r="F88" s="749"/>
      <c r="G88" s="749"/>
      <c r="H88" s="749"/>
      <c r="I88" s="749"/>
      <c r="J88" s="749"/>
      <c r="K88" s="749"/>
      <c r="L88" s="749"/>
      <c r="M88" s="749"/>
      <c r="N88" s="749"/>
      <c r="O88" s="749"/>
      <c r="P88" s="749"/>
      <c r="Q88" s="749"/>
      <c r="R88" s="749"/>
      <c r="S88" s="749"/>
      <c r="T88" s="749"/>
      <c r="U88" s="749"/>
      <c r="V88" s="749"/>
      <c r="W88" s="749"/>
      <c r="X88" s="749"/>
      <c r="Y88" s="749"/>
      <c r="Z88" s="749"/>
      <c r="AA88" s="749"/>
      <c r="AB88" s="749"/>
      <c r="AC88" s="749"/>
      <c r="AD88" s="749"/>
    </row>
    <row r="89" spans="1:45">
      <c r="A89" s="169"/>
      <c r="B89" s="1003" t="str">
        <f>IF(AND(AC86&gt;0,AC86&lt;&gt;"NA",AC86&lt;&gt;"NS",F88=""),"Debido a que cuenta con un valor mayor a cero en la columna Otro tipo, debe anotar el nombre de dicho(s) tipo(s) de incidente(s)","")</f>
        <v/>
      </c>
      <c r="C89" s="1003"/>
      <c r="D89" s="1003"/>
      <c r="E89" s="1003"/>
      <c r="F89" s="1003"/>
      <c r="G89" s="1003"/>
      <c r="H89" s="1003"/>
      <c r="I89" s="1003"/>
      <c r="J89" s="1003"/>
      <c r="K89" s="1003"/>
      <c r="L89" s="1003"/>
      <c r="M89" s="1003"/>
      <c r="N89" s="1003"/>
      <c r="O89" s="1003"/>
      <c r="P89" s="1003"/>
      <c r="Q89" s="1003"/>
      <c r="R89" s="1003"/>
      <c r="S89" s="1003"/>
      <c r="T89" s="1003"/>
      <c r="U89" s="1003"/>
      <c r="V89" s="1003"/>
      <c r="W89" s="1003"/>
      <c r="X89" s="1003"/>
      <c r="Y89" s="1003"/>
      <c r="Z89" s="1003"/>
      <c r="AA89" s="1003"/>
      <c r="AB89" s="1003"/>
      <c r="AC89" s="1003"/>
      <c r="AD89" s="1003"/>
      <c r="AE89" s="1003"/>
    </row>
    <row r="90" spans="1:45" ht="24" customHeight="1">
      <c r="A90" s="50"/>
      <c r="B90" s="38"/>
      <c r="C90" s="754" t="s">
        <v>2611</v>
      </c>
      <c r="D90" s="754"/>
      <c r="E90" s="754"/>
      <c r="F90" s="754"/>
      <c r="G90" s="754"/>
      <c r="H90" s="754"/>
      <c r="I90" s="754"/>
      <c r="J90" s="754"/>
      <c r="K90" s="754"/>
      <c r="L90" s="754"/>
      <c r="M90" s="754"/>
      <c r="N90" s="754"/>
      <c r="O90" s="754"/>
      <c r="P90" s="754"/>
      <c r="Q90" s="754"/>
      <c r="R90" s="754"/>
      <c r="S90" s="754"/>
      <c r="T90" s="754"/>
      <c r="U90" s="754"/>
      <c r="V90" s="754"/>
      <c r="W90" s="754"/>
      <c r="X90" s="754"/>
      <c r="Y90" s="754"/>
      <c r="Z90" s="754"/>
      <c r="AA90" s="754"/>
      <c r="AB90" s="754"/>
      <c r="AC90" s="754"/>
      <c r="AD90" s="754"/>
    </row>
    <row r="91" spans="1:45" ht="60" customHeight="1">
      <c r="A91" s="50"/>
      <c r="B91" s="38"/>
      <c r="C91" s="851"/>
      <c r="D91" s="851"/>
      <c r="E91" s="851"/>
      <c r="F91" s="851"/>
      <c r="G91" s="851"/>
      <c r="H91" s="851"/>
      <c r="I91" s="851"/>
      <c r="J91" s="851"/>
      <c r="K91" s="851"/>
      <c r="L91" s="851"/>
      <c r="M91" s="851"/>
      <c r="N91" s="851"/>
      <c r="O91" s="851"/>
      <c r="P91" s="851"/>
      <c r="Q91" s="851"/>
      <c r="R91" s="851"/>
      <c r="S91" s="851"/>
      <c r="T91" s="851"/>
      <c r="U91" s="851"/>
      <c r="V91" s="851"/>
      <c r="W91" s="851"/>
      <c r="X91" s="851"/>
      <c r="Y91" s="851"/>
      <c r="Z91" s="851"/>
      <c r="AA91" s="851"/>
      <c r="AB91" s="851"/>
      <c r="AC91" s="851"/>
      <c r="AD91" s="851"/>
    </row>
    <row r="92" spans="1:45">
      <c r="A92" s="169"/>
      <c r="B92" s="794" t="str">
        <f>IF(AG86=0,"","Favor de ingresar toda la información requerida en la pregunta")</f>
        <v/>
      </c>
      <c r="C92" s="794"/>
      <c r="D92" s="794"/>
      <c r="E92" s="794"/>
      <c r="F92" s="794"/>
      <c r="G92" s="794"/>
      <c r="H92" s="794"/>
      <c r="I92" s="794"/>
      <c r="J92" s="794"/>
      <c r="K92" s="794"/>
      <c r="L92" s="794"/>
      <c r="M92" s="794"/>
      <c r="N92" s="794"/>
      <c r="O92" s="794"/>
      <c r="P92" s="794"/>
      <c r="Q92" s="794"/>
      <c r="R92" s="794"/>
      <c r="S92" s="794"/>
      <c r="T92" s="794"/>
      <c r="U92" s="794"/>
      <c r="V92" s="794"/>
      <c r="W92" s="794"/>
      <c r="X92" s="794"/>
      <c r="Y92" s="794"/>
      <c r="Z92" s="794"/>
      <c r="AA92" s="794"/>
      <c r="AB92" s="794"/>
      <c r="AC92" s="794"/>
      <c r="AD92" s="794"/>
      <c r="AE92" s="794"/>
    </row>
    <row r="93" spans="1:45">
      <c r="A93" s="169"/>
      <c r="B93" s="1087" t="str">
        <f>IF(C37&lt;&gt;1,"",IF(COUNTIF(Q84:AD85,"NS")&lt;&gt;0,"Alerta: debido a que cuenta con registros NS, debe proporcionar una justificación en el area de comentarios al final de la pregunta",""))</f>
        <v/>
      </c>
      <c r="C93" s="1087"/>
      <c r="D93" s="1087"/>
      <c r="E93" s="1087"/>
      <c r="F93" s="1087"/>
      <c r="G93" s="1087"/>
      <c r="H93" s="1087"/>
      <c r="I93" s="1087"/>
      <c r="J93" s="1087"/>
      <c r="K93" s="1087"/>
      <c r="L93" s="1087"/>
      <c r="M93" s="1087"/>
      <c r="N93" s="1087"/>
      <c r="O93" s="1087"/>
      <c r="P93" s="1087"/>
      <c r="Q93" s="1087"/>
      <c r="R93" s="1087"/>
      <c r="S93" s="1087"/>
      <c r="T93" s="1087"/>
      <c r="U93" s="1087"/>
      <c r="V93" s="1087"/>
      <c r="W93" s="1087"/>
      <c r="X93" s="1087"/>
      <c r="Y93" s="1087"/>
      <c r="Z93" s="1087"/>
      <c r="AA93" s="1087"/>
      <c r="AB93" s="1087"/>
      <c r="AC93" s="1087"/>
      <c r="AD93" s="1087"/>
      <c r="AE93" s="1087"/>
    </row>
    <row r="94" spans="1:45">
      <c r="A94" s="169"/>
      <c r="B94" s="1003" t="str">
        <f>IF(AH86&gt;0,"Revise la información capturada, ya que tiene datos ingresados en celdas que están sombreadas","")</f>
        <v/>
      </c>
      <c r="C94" s="1003"/>
      <c r="D94" s="1003"/>
      <c r="E94" s="1003"/>
      <c r="F94" s="1003"/>
      <c r="G94" s="1003"/>
      <c r="H94" s="1003"/>
      <c r="I94" s="1003"/>
      <c r="J94" s="1003"/>
      <c r="K94" s="1003"/>
      <c r="L94" s="1003"/>
      <c r="M94" s="1003"/>
      <c r="N94" s="1003"/>
      <c r="O94" s="1003"/>
      <c r="P94" s="1003"/>
      <c r="Q94" s="1003"/>
      <c r="R94" s="1003"/>
      <c r="S94" s="1003"/>
      <c r="T94" s="1003"/>
      <c r="U94" s="1003"/>
      <c r="V94" s="1003"/>
      <c r="W94" s="1003"/>
      <c r="X94" s="1003"/>
      <c r="Y94" s="1003"/>
      <c r="Z94" s="1003"/>
      <c r="AA94" s="1003"/>
      <c r="AB94" s="1003"/>
      <c r="AC94" s="1003"/>
      <c r="AD94" s="1003"/>
      <c r="AE94" s="1003"/>
    </row>
    <row r="95" spans="1:45">
      <c r="A95" s="169"/>
      <c r="B95" s="1003" t="str">
        <f>IF(C37&lt;&gt;1,"",IF(AS86=0,"","Debido a que cuenta con registro(s) con el código 1, el total de la fila respectiva debe ser mayor a cero"))</f>
        <v/>
      </c>
      <c r="C95" s="1003"/>
      <c r="D95" s="1003"/>
      <c r="E95" s="1003"/>
      <c r="F95" s="1003"/>
      <c r="G95" s="1003"/>
      <c r="H95" s="1003"/>
      <c r="I95" s="1003"/>
      <c r="J95" s="1003"/>
      <c r="K95" s="1003"/>
      <c r="L95" s="1003"/>
      <c r="M95" s="1003"/>
      <c r="N95" s="1003"/>
      <c r="O95" s="1003"/>
      <c r="P95" s="1003"/>
      <c r="Q95" s="1003"/>
      <c r="R95" s="1003"/>
      <c r="S95" s="1003"/>
      <c r="T95" s="1003"/>
      <c r="U95" s="1003"/>
      <c r="V95" s="1003"/>
      <c r="W95" s="1003"/>
      <c r="X95" s="1003"/>
      <c r="Y95" s="1003"/>
      <c r="Z95" s="1003"/>
      <c r="AA95" s="1003"/>
      <c r="AB95" s="1003"/>
      <c r="AC95" s="1003"/>
      <c r="AD95" s="1003"/>
      <c r="AE95" s="1003"/>
    </row>
    <row r="96" spans="1:45">
      <c r="A96" s="169"/>
      <c r="B96" s="794" t="str">
        <f>IF(C37&lt;&gt;1,"",IF(AJ85&gt;0,"Favor de revisar la instrucción 3, debido a que no se cumplen con los criterios mencionados",IF(AK86&gt;0,"Favor de revisar la instrucción 4, debido a que no se cumplen con los criterios mencionados","")))</f>
        <v/>
      </c>
      <c r="C96" s="794"/>
      <c r="D96" s="794"/>
      <c r="E96" s="794"/>
      <c r="F96" s="794"/>
      <c r="G96" s="794"/>
      <c r="H96" s="794"/>
      <c r="I96" s="794"/>
      <c r="J96" s="794"/>
      <c r="K96" s="794"/>
      <c r="L96" s="794"/>
      <c r="M96" s="794"/>
      <c r="N96" s="794"/>
      <c r="O96" s="794"/>
      <c r="P96" s="794"/>
      <c r="Q96" s="794"/>
      <c r="R96" s="794"/>
      <c r="S96" s="794"/>
      <c r="T96" s="794"/>
      <c r="U96" s="794"/>
      <c r="V96" s="794"/>
      <c r="W96" s="794"/>
      <c r="X96" s="794"/>
      <c r="Y96" s="794"/>
      <c r="Z96" s="794"/>
      <c r="AA96" s="794"/>
      <c r="AB96" s="794"/>
      <c r="AC96" s="794"/>
      <c r="AD96" s="794"/>
      <c r="AE96" s="794"/>
    </row>
    <row r="97" spans="1:34" ht="15.75" thickBot="1">
      <c r="A97" s="169"/>
      <c r="B97" s="795" t="str">
        <f>IF(C37&lt;&gt;1,"",IF(AR86&gt;0,"Alerta: debe de proporcionar una justificación de acuerdo a lo establecido en la instrucción 5",""))</f>
        <v/>
      </c>
      <c r="C97" s="795"/>
      <c r="D97" s="795"/>
      <c r="E97" s="795"/>
      <c r="F97" s="795"/>
      <c r="G97" s="795"/>
      <c r="H97" s="795"/>
      <c r="I97" s="795"/>
      <c r="J97" s="795"/>
      <c r="K97" s="795"/>
      <c r="L97" s="795"/>
      <c r="M97" s="795"/>
      <c r="N97" s="795"/>
      <c r="O97" s="795"/>
      <c r="P97" s="795"/>
      <c r="Q97" s="795"/>
      <c r="R97" s="795"/>
      <c r="S97" s="795"/>
      <c r="T97" s="795"/>
      <c r="U97" s="795"/>
      <c r="V97" s="795"/>
      <c r="W97" s="795"/>
      <c r="X97" s="795"/>
      <c r="Y97" s="795"/>
      <c r="Z97" s="795"/>
      <c r="AA97" s="795"/>
      <c r="AB97" s="795"/>
      <c r="AC97" s="795"/>
      <c r="AD97" s="795"/>
      <c r="AE97" s="795"/>
    </row>
    <row r="98" spans="1:34" customFormat="1" ht="15" customHeight="1" thickBot="1">
      <c r="A98" s="19" t="s">
        <v>2563</v>
      </c>
      <c r="B98" s="1081" t="s">
        <v>5726</v>
      </c>
      <c r="C98" s="1082"/>
      <c r="D98" s="1082"/>
      <c r="E98" s="1082"/>
      <c r="F98" s="1082"/>
      <c r="G98" s="1082"/>
      <c r="H98" s="1082"/>
      <c r="I98" s="1082"/>
      <c r="J98" s="1082"/>
      <c r="K98" s="1082"/>
      <c r="L98" s="1082"/>
      <c r="M98" s="1082"/>
      <c r="N98" s="1082"/>
      <c r="O98" s="1082"/>
      <c r="P98" s="1082"/>
      <c r="Q98" s="1082"/>
      <c r="R98" s="1082"/>
      <c r="S98" s="1082"/>
      <c r="T98" s="1082"/>
      <c r="U98" s="1082"/>
      <c r="V98" s="1082"/>
      <c r="W98" s="1082"/>
      <c r="X98" s="1082"/>
      <c r="Y98" s="1082"/>
      <c r="Z98" s="1082"/>
      <c r="AA98" s="1082"/>
      <c r="AB98" s="1082"/>
      <c r="AC98" s="1082"/>
      <c r="AD98" s="1083"/>
      <c r="AE98" s="3"/>
    </row>
    <row r="99" spans="1:34" ht="15" customHeight="1">
      <c r="A99" s="169"/>
      <c r="B99" s="1006" t="s">
        <v>3005</v>
      </c>
      <c r="C99" s="893"/>
      <c r="D99" s="893"/>
      <c r="E99" s="893"/>
      <c r="F99" s="893"/>
      <c r="G99" s="893"/>
      <c r="H99" s="893"/>
      <c r="I99" s="893"/>
      <c r="J99" s="893"/>
      <c r="K99" s="893"/>
      <c r="L99" s="893"/>
      <c r="M99" s="893"/>
      <c r="N99" s="893"/>
      <c r="O99" s="893"/>
      <c r="P99" s="893"/>
      <c r="Q99" s="893"/>
      <c r="R99" s="893"/>
      <c r="S99" s="893"/>
      <c r="T99" s="893"/>
      <c r="U99" s="893"/>
      <c r="V99" s="893"/>
      <c r="W99" s="893"/>
      <c r="X99" s="893"/>
      <c r="Y99" s="893"/>
      <c r="Z99" s="893"/>
      <c r="AA99" s="893"/>
      <c r="AB99" s="893"/>
      <c r="AC99" s="893"/>
      <c r="AD99" s="1007"/>
    </row>
    <row r="100" spans="1:34" ht="36" customHeight="1">
      <c r="A100" s="169"/>
      <c r="B100" s="74"/>
      <c r="C100" s="754" t="s">
        <v>5727</v>
      </c>
      <c r="D100" s="830"/>
      <c r="E100" s="830"/>
      <c r="F100" s="830"/>
      <c r="G100" s="830"/>
      <c r="H100" s="830"/>
      <c r="I100" s="830"/>
      <c r="J100" s="830"/>
      <c r="K100" s="830"/>
      <c r="L100" s="830"/>
      <c r="M100" s="830"/>
      <c r="N100" s="830"/>
      <c r="O100" s="830"/>
      <c r="P100" s="830"/>
      <c r="Q100" s="830"/>
      <c r="R100" s="830"/>
      <c r="S100" s="830"/>
      <c r="T100" s="830"/>
      <c r="U100" s="830"/>
      <c r="V100" s="830"/>
      <c r="W100" s="830"/>
      <c r="X100" s="830"/>
      <c r="Y100" s="830"/>
      <c r="Z100" s="830"/>
      <c r="AA100" s="830"/>
      <c r="AB100" s="830"/>
      <c r="AC100" s="830"/>
      <c r="AD100" s="886"/>
    </row>
    <row r="101" spans="1:34" ht="15" customHeight="1">
      <c r="A101" s="50"/>
      <c r="B101" s="1006" t="s">
        <v>2565</v>
      </c>
      <c r="C101" s="893"/>
      <c r="D101" s="893"/>
      <c r="E101" s="893"/>
      <c r="F101" s="893"/>
      <c r="G101" s="893"/>
      <c r="H101" s="893"/>
      <c r="I101" s="893"/>
      <c r="J101" s="893"/>
      <c r="K101" s="893"/>
      <c r="L101" s="893"/>
      <c r="M101" s="893"/>
      <c r="N101" s="893"/>
      <c r="O101" s="893"/>
      <c r="P101" s="893"/>
      <c r="Q101" s="893"/>
      <c r="R101" s="893"/>
      <c r="S101" s="893"/>
      <c r="T101" s="893"/>
      <c r="U101" s="893"/>
      <c r="V101" s="893"/>
      <c r="W101" s="893"/>
      <c r="X101" s="893"/>
      <c r="Y101" s="893"/>
      <c r="Z101" s="893"/>
      <c r="AA101" s="893"/>
      <c r="AB101" s="893"/>
      <c r="AC101" s="893"/>
      <c r="AD101" s="1007"/>
    </row>
    <row r="102" spans="1:34" ht="36" customHeight="1">
      <c r="A102" s="50"/>
      <c r="B102" s="114"/>
      <c r="C102" s="764" t="s">
        <v>5728</v>
      </c>
      <c r="D102" s="876"/>
      <c r="E102" s="876"/>
      <c r="F102" s="876"/>
      <c r="G102" s="876"/>
      <c r="H102" s="876"/>
      <c r="I102" s="876"/>
      <c r="J102" s="876"/>
      <c r="K102" s="876"/>
      <c r="L102" s="876"/>
      <c r="M102" s="876"/>
      <c r="N102" s="876"/>
      <c r="O102" s="876"/>
      <c r="P102" s="876"/>
      <c r="Q102" s="876"/>
      <c r="R102" s="876"/>
      <c r="S102" s="876"/>
      <c r="T102" s="876"/>
      <c r="U102" s="876"/>
      <c r="V102" s="876"/>
      <c r="W102" s="876"/>
      <c r="X102" s="876"/>
      <c r="Y102" s="876"/>
      <c r="Z102" s="876"/>
      <c r="AA102" s="876"/>
      <c r="AB102" s="876"/>
      <c r="AC102" s="876"/>
      <c r="AD102" s="877"/>
    </row>
    <row r="103" spans="1:34">
      <c r="A103" s="119"/>
    </row>
    <row r="104" spans="1:34" ht="24" customHeight="1">
      <c r="A104" s="49" t="s">
        <v>5729</v>
      </c>
      <c r="B104" s="829" t="s">
        <v>5730</v>
      </c>
      <c r="C104" s="829"/>
      <c r="D104" s="829"/>
      <c r="E104" s="829"/>
      <c r="F104" s="829"/>
      <c r="G104" s="829"/>
      <c r="H104" s="829"/>
      <c r="I104" s="829"/>
      <c r="J104" s="829"/>
      <c r="K104" s="829"/>
      <c r="L104" s="829"/>
      <c r="M104" s="829"/>
      <c r="N104" s="829"/>
      <c r="O104" s="829"/>
      <c r="P104" s="829"/>
      <c r="Q104" s="829"/>
      <c r="R104" s="829"/>
      <c r="S104" s="829"/>
      <c r="T104" s="829"/>
      <c r="U104" s="829"/>
      <c r="V104" s="829"/>
      <c r="W104" s="829"/>
      <c r="X104" s="829"/>
      <c r="Y104" s="829"/>
      <c r="Z104" s="829"/>
      <c r="AA104" s="829"/>
      <c r="AB104" s="829"/>
      <c r="AC104" s="829"/>
      <c r="AD104" s="829"/>
    </row>
    <row r="105" spans="1:34" ht="24" customHeight="1">
      <c r="A105" s="49"/>
      <c r="B105" s="105"/>
      <c r="C105" s="754" t="s">
        <v>5731</v>
      </c>
      <c r="D105" s="754"/>
      <c r="E105" s="754"/>
      <c r="F105" s="754"/>
      <c r="G105" s="754"/>
      <c r="H105" s="754"/>
      <c r="I105" s="754"/>
      <c r="J105" s="754"/>
      <c r="K105" s="754"/>
      <c r="L105" s="754"/>
      <c r="M105" s="754"/>
      <c r="N105" s="754"/>
      <c r="O105" s="754"/>
      <c r="P105" s="754"/>
      <c r="Q105" s="754"/>
      <c r="R105" s="754"/>
      <c r="S105" s="754"/>
      <c r="T105" s="754"/>
      <c r="U105" s="754"/>
      <c r="V105" s="754"/>
      <c r="W105" s="754"/>
      <c r="X105" s="754"/>
      <c r="Y105" s="754"/>
      <c r="Z105" s="754"/>
      <c r="AA105" s="754"/>
      <c r="AB105" s="754"/>
      <c r="AC105" s="754"/>
      <c r="AD105" s="754"/>
    </row>
    <row r="106" spans="1:34" ht="24" customHeight="1">
      <c r="A106" s="169"/>
      <c r="B106" s="90"/>
      <c r="C106" s="754" t="s">
        <v>5732</v>
      </c>
      <c r="D106" s="754"/>
      <c r="E106" s="754"/>
      <c r="F106" s="754"/>
      <c r="G106" s="754"/>
      <c r="H106" s="754"/>
      <c r="I106" s="754"/>
      <c r="J106" s="754"/>
      <c r="K106" s="754"/>
      <c r="L106" s="754"/>
      <c r="M106" s="754"/>
      <c r="N106" s="754"/>
      <c r="O106" s="754"/>
      <c r="P106" s="754"/>
      <c r="Q106" s="754"/>
      <c r="R106" s="754"/>
      <c r="S106" s="754"/>
      <c r="T106" s="754"/>
      <c r="U106" s="754"/>
      <c r="V106" s="754"/>
      <c r="W106" s="754"/>
      <c r="X106" s="754"/>
      <c r="Y106" s="754"/>
      <c r="Z106" s="754"/>
      <c r="AA106" s="754"/>
      <c r="AB106" s="754"/>
      <c r="AC106" s="754"/>
      <c r="AD106" s="754"/>
    </row>
    <row r="107" spans="1:34">
      <c r="A107" s="50"/>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row>
    <row r="108" spans="1:34" ht="24" customHeight="1">
      <c r="A108" s="50"/>
      <c r="B108" s="38"/>
      <c r="C108" s="739" t="s">
        <v>5733</v>
      </c>
      <c r="D108" s="740"/>
      <c r="E108" s="740"/>
      <c r="F108" s="740"/>
      <c r="G108" s="740"/>
      <c r="H108" s="740"/>
      <c r="I108" s="740"/>
      <c r="J108" s="740"/>
      <c r="K108" s="740"/>
      <c r="L108" s="740"/>
      <c r="M108" s="740"/>
      <c r="N108" s="740"/>
      <c r="O108" s="740"/>
      <c r="P108" s="740"/>
      <c r="Q108" s="740"/>
      <c r="R108" s="740"/>
      <c r="S108" s="740"/>
      <c r="T108" s="740"/>
      <c r="U108" s="740"/>
      <c r="V108" s="740"/>
      <c r="W108" s="740"/>
      <c r="X108" s="741"/>
      <c r="Y108" s="739" t="s">
        <v>5734</v>
      </c>
      <c r="Z108" s="740"/>
      <c r="AA108" s="740"/>
      <c r="AB108" s="740"/>
      <c r="AC108" s="740"/>
      <c r="AD108" s="741"/>
      <c r="AF108" t="s">
        <v>5699</v>
      </c>
      <c r="AG108" t="s">
        <v>2586</v>
      </c>
      <c r="AH108" t="s">
        <v>5318</v>
      </c>
    </row>
    <row r="109" spans="1:34">
      <c r="A109" s="50"/>
      <c r="B109" s="38"/>
      <c r="C109" s="92" t="s">
        <v>2516</v>
      </c>
      <c r="D109" s="813" t="s">
        <v>5735</v>
      </c>
      <c r="E109" s="814"/>
      <c r="F109" s="814"/>
      <c r="G109" s="814"/>
      <c r="H109" s="814"/>
      <c r="I109" s="814"/>
      <c r="J109" s="814"/>
      <c r="K109" s="814"/>
      <c r="L109" s="814"/>
      <c r="M109" s="814"/>
      <c r="N109" s="814"/>
      <c r="O109" s="814"/>
      <c r="P109" s="814"/>
      <c r="Q109" s="814"/>
      <c r="R109" s="814"/>
      <c r="S109" s="814"/>
      <c r="T109" s="814"/>
      <c r="U109" s="814"/>
      <c r="V109" s="814"/>
      <c r="W109" s="814"/>
      <c r="X109" s="815"/>
      <c r="Y109" s="816"/>
      <c r="Z109" s="738"/>
      <c r="AA109" s="738"/>
      <c r="AB109" s="738"/>
      <c r="AC109" s="738"/>
      <c r="AD109" s="817"/>
      <c r="AF109">
        <f>IF(AND(OR(CNSIPEE_2024_M2_Secc10!$S$77=0,CNSIPEE_2024_M2_Secc10!$S$77="NS",CNSIPEE_2024_M2_Secc10!$S$77="NA"),C148&lt;&gt;""),1,0)</f>
        <v>0</v>
      </c>
      <c r="AG109" s="506">
        <f>IF(OR(CNSIPEE_2024_M2_Secc10!$S$77=0,CNSIPEE_2024_M2_Secc10!$S$77="NS",CNSIPEE_2024_M2_Secc10!$S$77="NA"),0,IF(COUNTBLANK(Y109:AD142)=170,0,1))</f>
        <v>0</v>
      </c>
      <c r="AH109">
        <f>IF(OR(CNSIPEE_2024_M2_Secc10!$S$77=0,CNSIPEE_2024_M2_Secc10!$S$77="NS",CNSIPEE_2024_M2_Secc10!$S$77="NA"),IF(COUNTBLANK(Y109:AD142)=204,0,1),0)</f>
        <v>0</v>
      </c>
    </row>
    <row r="110" spans="1:34">
      <c r="A110" s="50"/>
      <c r="B110" s="38"/>
      <c r="C110" s="44" t="s">
        <v>2517</v>
      </c>
      <c r="D110" s="813" t="s">
        <v>4624</v>
      </c>
      <c r="E110" s="814"/>
      <c r="F110" s="814"/>
      <c r="G110" s="814"/>
      <c r="H110" s="814"/>
      <c r="I110" s="814"/>
      <c r="J110" s="814"/>
      <c r="K110" s="814"/>
      <c r="L110" s="814"/>
      <c r="M110" s="814"/>
      <c r="N110" s="814"/>
      <c r="O110" s="814"/>
      <c r="P110" s="814"/>
      <c r="Q110" s="814"/>
      <c r="R110" s="814"/>
      <c r="S110" s="814"/>
      <c r="T110" s="814"/>
      <c r="U110" s="814"/>
      <c r="V110" s="814"/>
      <c r="W110" s="814"/>
      <c r="X110" s="815"/>
      <c r="Y110" s="816"/>
      <c r="Z110" s="738"/>
      <c r="AA110" s="738"/>
      <c r="AB110" s="738"/>
      <c r="AC110" s="738"/>
      <c r="AD110" s="817"/>
      <c r="AF110"/>
      <c r="AG110"/>
      <c r="AH110" s="506">
        <f>SUM(AF109,AH109)</f>
        <v>0</v>
      </c>
    </row>
    <row r="111" spans="1:34">
      <c r="A111" s="50"/>
      <c r="B111" s="38"/>
      <c r="C111" s="44" t="s">
        <v>2518</v>
      </c>
      <c r="D111" s="813" t="s">
        <v>5736</v>
      </c>
      <c r="E111" s="814"/>
      <c r="F111" s="814"/>
      <c r="G111" s="814"/>
      <c r="H111" s="814"/>
      <c r="I111" s="814"/>
      <c r="J111" s="814"/>
      <c r="K111" s="814"/>
      <c r="L111" s="814"/>
      <c r="M111" s="814"/>
      <c r="N111" s="814"/>
      <c r="O111" s="814"/>
      <c r="P111" s="814"/>
      <c r="Q111" s="814"/>
      <c r="R111" s="814"/>
      <c r="S111" s="814"/>
      <c r="T111" s="814"/>
      <c r="U111" s="814"/>
      <c r="V111" s="814"/>
      <c r="W111" s="814"/>
      <c r="X111" s="815"/>
      <c r="Y111" s="816"/>
      <c r="Z111" s="738"/>
      <c r="AA111" s="738"/>
      <c r="AB111" s="738"/>
      <c r="AC111" s="738"/>
      <c r="AD111" s="817"/>
    </row>
    <row r="112" spans="1:34">
      <c r="A112" s="50"/>
      <c r="B112" s="38"/>
      <c r="C112" s="44" t="s">
        <v>2519</v>
      </c>
      <c r="D112" s="813" t="s">
        <v>5737</v>
      </c>
      <c r="E112" s="814"/>
      <c r="F112" s="814"/>
      <c r="G112" s="814"/>
      <c r="H112" s="814"/>
      <c r="I112" s="814"/>
      <c r="J112" s="814"/>
      <c r="K112" s="814"/>
      <c r="L112" s="814"/>
      <c r="M112" s="814"/>
      <c r="N112" s="814"/>
      <c r="O112" s="814"/>
      <c r="P112" s="814"/>
      <c r="Q112" s="814"/>
      <c r="R112" s="814"/>
      <c r="S112" s="814"/>
      <c r="T112" s="814"/>
      <c r="U112" s="814"/>
      <c r="V112" s="814"/>
      <c r="W112" s="814"/>
      <c r="X112" s="815"/>
      <c r="Y112" s="816"/>
      <c r="Z112" s="738"/>
      <c r="AA112" s="738"/>
      <c r="AB112" s="738"/>
      <c r="AC112" s="738"/>
      <c r="AD112" s="817"/>
    </row>
    <row r="113" spans="1:30">
      <c r="A113" s="50"/>
      <c r="B113" s="38"/>
      <c r="C113" s="44" t="s">
        <v>2520</v>
      </c>
      <c r="D113" s="813" t="s">
        <v>5738</v>
      </c>
      <c r="E113" s="814"/>
      <c r="F113" s="814"/>
      <c r="G113" s="814"/>
      <c r="H113" s="814"/>
      <c r="I113" s="814"/>
      <c r="J113" s="814"/>
      <c r="K113" s="814"/>
      <c r="L113" s="814"/>
      <c r="M113" s="814"/>
      <c r="N113" s="814"/>
      <c r="O113" s="814"/>
      <c r="P113" s="814"/>
      <c r="Q113" s="814"/>
      <c r="R113" s="814"/>
      <c r="S113" s="814"/>
      <c r="T113" s="814"/>
      <c r="U113" s="814"/>
      <c r="V113" s="814"/>
      <c r="W113" s="814"/>
      <c r="X113" s="815"/>
      <c r="Y113" s="816"/>
      <c r="Z113" s="738"/>
      <c r="AA113" s="738"/>
      <c r="AB113" s="738"/>
      <c r="AC113" s="738"/>
      <c r="AD113" s="817"/>
    </row>
    <row r="114" spans="1:30">
      <c r="A114" s="50"/>
      <c r="B114" s="38"/>
      <c r="C114" s="44" t="s">
        <v>2521</v>
      </c>
      <c r="D114" s="813" t="s">
        <v>5739</v>
      </c>
      <c r="E114" s="814"/>
      <c r="F114" s="814"/>
      <c r="G114" s="814"/>
      <c r="H114" s="814"/>
      <c r="I114" s="814"/>
      <c r="J114" s="814"/>
      <c r="K114" s="814"/>
      <c r="L114" s="814"/>
      <c r="M114" s="814"/>
      <c r="N114" s="814"/>
      <c r="O114" s="814"/>
      <c r="P114" s="814"/>
      <c r="Q114" s="814"/>
      <c r="R114" s="814"/>
      <c r="S114" s="814"/>
      <c r="T114" s="814"/>
      <c r="U114" s="814"/>
      <c r="V114" s="814"/>
      <c r="W114" s="814"/>
      <c r="X114" s="815"/>
      <c r="Y114" s="816"/>
      <c r="Z114" s="738"/>
      <c r="AA114" s="738"/>
      <c r="AB114" s="738"/>
      <c r="AC114" s="738"/>
      <c r="AD114" s="817"/>
    </row>
    <row r="115" spans="1:30">
      <c r="A115" s="50"/>
      <c r="B115" s="38"/>
      <c r="C115" s="44" t="s">
        <v>2522</v>
      </c>
      <c r="D115" s="813" t="s">
        <v>5740</v>
      </c>
      <c r="E115" s="814"/>
      <c r="F115" s="814"/>
      <c r="G115" s="814"/>
      <c r="H115" s="814"/>
      <c r="I115" s="814"/>
      <c r="J115" s="814"/>
      <c r="K115" s="814"/>
      <c r="L115" s="814"/>
      <c r="M115" s="814"/>
      <c r="N115" s="814"/>
      <c r="O115" s="814"/>
      <c r="P115" s="814"/>
      <c r="Q115" s="814"/>
      <c r="R115" s="814"/>
      <c r="S115" s="814"/>
      <c r="T115" s="814"/>
      <c r="U115" s="814"/>
      <c r="V115" s="814"/>
      <c r="W115" s="814"/>
      <c r="X115" s="815"/>
      <c r="Y115" s="816"/>
      <c r="Z115" s="738"/>
      <c r="AA115" s="738"/>
      <c r="AB115" s="738"/>
      <c r="AC115" s="738"/>
      <c r="AD115" s="817"/>
    </row>
    <row r="116" spans="1:30">
      <c r="A116" s="50"/>
      <c r="B116" s="38"/>
      <c r="C116" s="44" t="s">
        <v>2523</v>
      </c>
      <c r="D116" s="813" t="s">
        <v>4640</v>
      </c>
      <c r="E116" s="814"/>
      <c r="F116" s="814"/>
      <c r="G116" s="814"/>
      <c r="H116" s="814"/>
      <c r="I116" s="814"/>
      <c r="J116" s="814"/>
      <c r="K116" s="814"/>
      <c r="L116" s="814"/>
      <c r="M116" s="814"/>
      <c r="N116" s="814"/>
      <c r="O116" s="814"/>
      <c r="P116" s="814"/>
      <c r="Q116" s="814"/>
      <c r="R116" s="814"/>
      <c r="S116" s="814"/>
      <c r="T116" s="814"/>
      <c r="U116" s="814"/>
      <c r="V116" s="814"/>
      <c r="W116" s="814"/>
      <c r="X116" s="815"/>
      <c r="Y116" s="816"/>
      <c r="Z116" s="738"/>
      <c r="AA116" s="738"/>
      <c r="AB116" s="738"/>
      <c r="AC116" s="738"/>
      <c r="AD116" s="817"/>
    </row>
    <row r="117" spans="1:30">
      <c r="A117" s="50"/>
      <c r="B117" s="38"/>
      <c r="C117" s="44" t="s">
        <v>2524</v>
      </c>
      <c r="D117" s="813" t="s">
        <v>5741</v>
      </c>
      <c r="E117" s="814"/>
      <c r="F117" s="814"/>
      <c r="G117" s="814"/>
      <c r="H117" s="814"/>
      <c r="I117" s="814"/>
      <c r="J117" s="814"/>
      <c r="K117" s="814"/>
      <c r="L117" s="814"/>
      <c r="M117" s="814"/>
      <c r="N117" s="814"/>
      <c r="O117" s="814"/>
      <c r="P117" s="814"/>
      <c r="Q117" s="814"/>
      <c r="R117" s="814"/>
      <c r="S117" s="814"/>
      <c r="T117" s="814"/>
      <c r="U117" s="814"/>
      <c r="V117" s="814"/>
      <c r="W117" s="814"/>
      <c r="X117" s="815"/>
      <c r="Y117" s="816"/>
      <c r="Z117" s="738"/>
      <c r="AA117" s="738"/>
      <c r="AB117" s="738"/>
      <c r="AC117" s="738"/>
      <c r="AD117" s="817"/>
    </row>
    <row r="118" spans="1:30">
      <c r="A118" s="50"/>
      <c r="B118" s="38"/>
      <c r="C118" s="44" t="s">
        <v>2525</v>
      </c>
      <c r="D118" s="813" t="s">
        <v>5742</v>
      </c>
      <c r="E118" s="814"/>
      <c r="F118" s="814"/>
      <c r="G118" s="814"/>
      <c r="H118" s="814"/>
      <c r="I118" s="814"/>
      <c r="J118" s="814"/>
      <c r="K118" s="814"/>
      <c r="L118" s="814"/>
      <c r="M118" s="814"/>
      <c r="N118" s="814"/>
      <c r="O118" s="814"/>
      <c r="P118" s="814"/>
      <c r="Q118" s="814"/>
      <c r="R118" s="814"/>
      <c r="S118" s="814"/>
      <c r="T118" s="814"/>
      <c r="U118" s="814"/>
      <c r="V118" s="814"/>
      <c r="W118" s="814"/>
      <c r="X118" s="815"/>
      <c r="Y118" s="816"/>
      <c r="Z118" s="738"/>
      <c r="AA118" s="738"/>
      <c r="AB118" s="738"/>
      <c r="AC118" s="738"/>
      <c r="AD118" s="817"/>
    </row>
    <row r="119" spans="1:30">
      <c r="A119" s="142"/>
      <c r="B119" s="57"/>
      <c r="C119" s="44" t="s">
        <v>2526</v>
      </c>
      <c r="D119" s="813" t="s">
        <v>5743</v>
      </c>
      <c r="E119" s="814"/>
      <c r="F119" s="814"/>
      <c r="G119" s="814"/>
      <c r="H119" s="814"/>
      <c r="I119" s="814"/>
      <c r="J119" s="814"/>
      <c r="K119" s="814"/>
      <c r="L119" s="814"/>
      <c r="M119" s="814"/>
      <c r="N119" s="814"/>
      <c r="O119" s="814"/>
      <c r="P119" s="814"/>
      <c r="Q119" s="814"/>
      <c r="R119" s="814"/>
      <c r="S119" s="814"/>
      <c r="T119" s="814"/>
      <c r="U119" s="814"/>
      <c r="V119" s="814"/>
      <c r="W119" s="814"/>
      <c r="X119" s="815"/>
      <c r="Y119" s="816"/>
      <c r="Z119" s="738"/>
      <c r="AA119" s="738"/>
      <c r="AB119" s="738"/>
      <c r="AC119" s="738"/>
      <c r="AD119" s="817"/>
    </row>
    <row r="120" spans="1:30">
      <c r="A120" s="142"/>
      <c r="B120" s="57"/>
      <c r="C120" s="44" t="s">
        <v>2527</v>
      </c>
      <c r="D120" s="813" t="s">
        <v>5744</v>
      </c>
      <c r="E120" s="814"/>
      <c r="F120" s="814"/>
      <c r="G120" s="814"/>
      <c r="H120" s="814"/>
      <c r="I120" s="814"/>
      <c r="J120" s="814"/>
      <c r="K120" s="814"/>
      <c r="L120" s="814"/>
      <c r="M120" s="814"/>
      <c r="N120" s="814"/>
      <c r="O120" s="814"/>
      <c r="P120" s="814"/>
      <c r="Q120" s="814"/>
      <c r="R120" s="814"/>
      <c r="S120" s="814"/>
      <c r="T120" s="814"/>
      <c r="U120" s="814"/>
      <c r="V120" s="814"/>
      <c r="W120" s="814"/>
      <c r="X120" s="815"/>
      <c r="Y120" s="816"/>
      <c r="Z120" s="738"/>
      <c r="AA120" s="738"/>
      <c r="AB120" s="738"/>
      <c r="AC120" s="738"/>
      <c r="AD120" s="817"/>
    </row>
    <row r="121" spans="1:30">
      <c r="A121" s="142"/>
      <c r="B121" s="57"/>
      <c r="C121" s="44" t="s">
        <v>2528</v>
      </c>
      <c r="D121" s="813" t="s">
        <v>5745</v>
      </c>
      <c r="E121" s="814"/>
      <c r="F121" s="814"/>
      <c r="G121" s="814"/>
      <c r="H121" s="814"/>
      <c r="I121" s="814"/>
      <c r="J121" s="814"/>
      <c r="K121" s="814"/>
      <c r="L121" s="814"/>
      <c r="M121" s="814"/>
      <c r="N121" s="814"/>
      <c r="O121" s="814"/>
      <c r="P121" s="814"/>
      <c r="Q121" s="814"/>
      <c r="R121" s="814"/>
      <c r="S121" s="814"/>
      <c r="T121" s="814"/>
      <c r="U121" s="814"/>
      <c r="V121" s="814"/>
      <c r="W121" s="814"/>
      <c r="X121" s="815"/>
      <c r="Y121" s="816"/>
      <c r="Z121" s="738"/>
      <c r="AA121" s="738"/>
      <c r="AB121" s="738"/>
      <c r="AC121" s="738"/>
      <c r="AD121" s="817"/>
    </row>
    <row r="122" spans="1:30">
      <c r="A122" s="142"/>
      <c r="B122" s="57"/>
      <c r="C122" s="44" t="s">
        <v>2529</v>
      </c>
      <c r="D122" s="813" t="s">
        <v>5746</v>
      </c>
      <c r="E122" s="814"/>
      <c r="F122" s="814"/>
      <c r="G122" s="814"/>
      <c r="H122" s="814"/>
      <c r="I122" s="814"/>
      <c r="J122" s="814"/>
      <c r="K122" s="814"/>
      <c r="L122" s="814"/>
      <c r="M122" s="814"/>
      <c r="N122" s="814"/>
      <c r="O122" s="814"/>
      <c r="P122" s="814"/>
      <c r="Q122" s="814"/>
      <c r="R122" s="814"/>
      <c r="S122" s="814"/>
      <c r="T122" s="814"/>
      <c r="U122" s="814"/>
      <c r="V122" s="814"/>
      <c r="W122" s="814"/>
      <c r="X122" s="815"/>
      <c r="Y122" s="816"/>
      <c r="Z122" s="738"/>
      <c r="AA122" s="738"/>
      <c r="AB122" s="738"/>
      <c r="AC122" s="738"/>
      <c r="AD122" s="817"/>
    </row>
    <row r="123" spans="1:30">
      <c r="A123" s="142"/>
      <c r="B123" s="57"/>
      <c r="C123" s="44" t="s">
        <v>2530</v>
      </c>
      <c r="D123" s="813" t="s">
        <v>1025</v>
      </c>
      <c r="E123" s="814"/>
      <c r="F123" s="814"/>
      <c r="G123" s="814"/>
      <c r="H123" s="814"/>
      <c r="I123" s="814"/>
      <c r="J123" s="814"/>
      <c r="K123" s="814"/>
      <c r="L123" s="814"/>
      <c r="M123" s="814"/>
      <c r="N123" s="814"/>
      <c r="O123" s="814"/>
      <c r="P123" s="814"/>
      <c r="Q123" s="814"/>
      <c r="R123" s="814"/>
      <c r="S123" s="814"/>
      <c r="T123" s="814"/>
      <c r="U123" s="814"/>
      <c r="V123" s="814"/>
      <c r="W123" s="814"/>
      <c r="X123" s="815"/>
      <c r="Y123" s="816"/>
      <c r="Z123" s="738"/>
      <c r="AA123" s="738"/>
      <c r="AB123" s="738"/>
      <c r="AC123" s="738"/>
      <c r="AD123" s="817"/>
    </row>
    <row r="124" spans="1:30">
      <c r="A124" s="142"/>
      <c r="B124" s="57"/>
      <c r="C124" s="44" t="s">
        <v>2531</v>
      </c>
      <c r="D124" s="813" t="s">
        <v>5747</v>
      </c>
      <c r="E124" s="814"/>
      <c r="F124" s="814"/>
      <c r="G124" s="814"/>
      <c r="H124" s="814"/>
      <c r="I124" s="814"/>
      <c r="J124" s="814"/>
      <c r="K124" s="814"/>
      <c r="L124" s="814"/>
      <c r="M124" s="814"/>
      <c r="N124" s="814"/>
      <c r="O124" s="814"/>
      <c r="P124" s="814"/>
      <c r="Q124" s="814"/>
      <c r="R124" s="814"/>
      <c r="S124" s="814"/>
      <c r="T124" s="814"/>
      <c r="U124" s="814"/>
      <c r="V124" s="814"/>
      <c r="W124" s="814"/>
      <c r="X124" s="815"/>
      <c r="Y124" s="816"/>
      <c r="Z124" s="738"/>
      <c r="AA124" s="738"/>
      <c r="AB124" s="738"/>
      <c r="AC124" s="738"/>
      <c r="AD124" s="817"/>
    </row>
    <row r="125" spans="1:30">
      <c r="A125" s="142"/>
      <c r="B125" s="57"/>
      <c r="C125" s="44" t="s">
        <v>2532</v>
      </c>
      <c r="D125" s="813" t="s">
        <v>5748</v>
      </c>
      <c r="E125" s="814"/>
      <c r="F125" s="814"/>
      <c r="G125" s="814"/>
      <c r="H125" s="814"/>
      <c r="I125" s="814"/>
      <c r="J125" s="814"/>
      <c r="K125" s="814"/>
      <c r="L125" s="814"/>
      <c r="M125" s="814"/>
      <c r="N125" s="814"/>
      <c r="O125" s="814"/>
      <c r="P125" s="814"/>
      <c r="Q125" s="814"/>
      <c r="R125" s="814"/>
      <c r="S125" s="814"/>
      <c r="T125" s="814"/>
      <c r="U125" s="814"/>
      <c r="V125" s="814"/>
      <c r="W125" s="814"/>
      <c r="X125" s="815"/>
      <c r="Y125" s="816"/>
      <c r="Z125" s="738"/>
      <c r="AA125" s="738"/>
      <c r="AB125" s="738"/>
      <c r="AC125" s="738"/>
      <c r="AD125" s="817"/>
    </row>
    <row r="126" spans="1:30">
      <c r="A126" s="142"/>
      <c r="B126" s="57"/>
      <c r="C126" s="44" t="s">
        <v>2533</v>
      </c>
      <c r="D126" s="813" t="s">
        <v>4639</v>
      </c>
      <c r="E126" s="814"/>
      <c r="F126" s="814"/>
      <c r="G126" s="814"/>
      <c r="H126" s="814"/>
      <c r="I126" s="814"/>
      <c r="J126" s="814"/>
      <c r="K126" s="814"/>
      <c r="L126" s="814"/>
      <c r="M126" s="814"/>
      <c r="N126" s="814"/>
      <c r="O126" s="814"/>
      <c r="P126" s="814"/>
      <c r="Q126" s="814"/>
      <c r="R126" s="814"/>
      <c r="S126" s="814"/>
      <c r="T126" s="814"/>
      <c r="U126" s="814"/>
      <c r="V126" s="814"/>
      <c r="W126" s="814"/>
      <c r="X126" s="815"/>
      <c r="Y126" s="816"/>
      <c r="Z126" s="738"/>
      <c r="AA126" s="738"/>
      <c r="AB126" s="738"/>
      <c r="AC126" s="738"/>
      <c r="AD126" s="817"/>
    </row>
    <row r="127" spans="1:30">
      <c r="A127" s="142"/>
      <c r="B127" s="57"/>
      <c r="C127" s="44" t="s">
        <v>2534</v>
      </c>
      <c r="D127" s="813" t="s">
        <v>5749</v>
      </c>
      <c r="E127" s="814"/>
      <c r="F127" s="814"/>
      <c r="G127" s="814"/>
      <c r="H127" s="814"/>
      <c r="I127" s="814"/>
      <c r="J127" s="814"/>
      <c r="K127" s="814"/>
      <c r="L127" s="814"/>
      <c r="M127" s="814"/>
      <c r="N127" s="814"/>
      <c r="O127" s="814"/>
      <c r="P127" s="814"/>
      <c r="Q127" s="814"/>
      <c r="R127" s="814"/>
      <c r="S127" s="814"/>
      <c r="T127" s="814"/>
      <c r="U127" s="814"/>
      <c r="V127" s="814"/>
      <c r="W127" s="814"/>
      <c r="X127" s="815"/>
      <c r="Y127" s="816"/>
      <c r="Z127" s="738"/>
      <c r="AA127" s="738"/>
      <c r="AB127" s="738"/>
      <c r="AC127" s="738"/>
      <c r="AD127" s="817"/>
    </row>
    <row r="128" spans="1:30">
      <c r="A128" s="142"/>
      <c r="B128" s="57"/>
      <c r="C128" s="44" t="s">
        <v>2535</v>
      </c>
      <c r="D128" s="813" t="s">
        <v>5750</v>
      </c>
      <c r="E128" s="814"/>
      <c r="F128" s="814"/>
      <c r="G128" s="814"/>
      <c r="H128" s="814"/>
      <c r="I128" s="814"/>
      <c r="J128" s="814"/>
      <c r="K128" s="814"/>
      <c r="L128" s="814"/>
      <c r="M128" s="814"/>
      <c r="N128" s="814"/>
      <c r="O128" s="814"/>
      <c r="P128" s="814"/>
      <c r="Q128" s="814"/>
      <c r="R128" s="814"/>
      <c r="S128" s="814"/>
      <c r="T128" s="814"/>
      <c r="U128" s="814"/>
      <c r="V128" s="814"/>
      <c r="W128" s="814"/>
      <c r="X128" s="815"/>
      <c r="Y128" s="816"/>
      <c r="Z128" s="738"/>
      <c r="AA128" s="738"/>
      <c r="AB128" s="738"/>
      <c r="AC128" s="738"/>
      <c r="AD128" s="817"/>
    </row>
    <row r="129" spans="1:30">
      <c r="A129" s="142"/>
      <c r="B129" s="57"/>
      <c r="C129" s="44" t="s">
        <v>2536</v>
      </c>
      <c r="D129" s="813" t="s">
        <v>5751</v>
      </c>
      <c r="E129" s="814"/>
      <c r="F129" s="814"/>
      <c r="G129" s="814"/>
      <c r="H129" s="814"/>
      <c r="I129" s="814"/>
      <c r="J129" s="814"/>
      <c r="K129" s="814"/>
      <c r="L129" s="814"/>
      <c r="M129" s="814"/>
      <c r="N129" s="814"/>
      <c r="O129" s="814"/>
      <c r="P129" s="814"/>
      <c r="Q129" s="814"/>
      <c r="R129" s="814"/>
      <c r="S129" s="814"/>
      <c r="T129" s="814"/>
      <c r="U129" s="814"/>
      <c r="V129" s="814"/>
      <c r="W129" s="814"/>
      <c r="X129" s="815"/>
      <c r="Y129" s="816"/>
      <c r="Z129" s="738"/>
      <c r="AA129" s="738"/>
      <c r="AB129" s="738"/>
      <c r="AC129" s="738"/>
      <c r="AD129" s="817"/>
    </row>
    <row r="130" spans="1:30">
      <c r="A130" s="142"/>
      <c r="B130" s="57"/>
      <c r="C130" s="44" t="s">
        <v>2537</v>
      </c>
      <c r="D130" s="813" t="s">
        <v>5752</v>
      </c>
      <c r="E130" s="814"/>
      <c r="F130" s="814"/>
      <c r="G130" s="814"/>
      <c r="H130" s="814"/>
      <c r="I130" s="814"/>
      <c r="J130" s="814"/>
      <c r="K130" s="814"/>
      <c r="L130" s="814"/>
      <c r="M130" s="814"/>
      <c r="N130" s="814"/>
      <c r="O130" s="814"/>
      <c r="P130" s="814"/>
      <c r="Q130" s="814"/>
      <c r="R130" s="814"/>
      <c r="S130" s="814"/>
      <c r="T130" s="814"/>
      <c r="U130" s="814"/>
      <c r="V130" s="814"/>
      <c r="W130" s="814"/>
      <c r="X130" s="815"/>
      <c r="Y130" s="816"/>
      <c r="Z130" s="738"/>
      <c r="AA130" s="738"/>
      <c r="AB130" s="738"/>
      <c r="AC130" s="738"/>
      <c r="AD130" s="817"/>
    </row>
    <row r="131" spans="1:30">
      <c r="A131" s="142"/>
      <c r="B131" s="57"/>
      <c r="C131" s="44" t="s">
        <v>2538</v>
      </c>
      <c r="D131" s="813" t="s">
        <v>5753</v>
      </c>
      <c r="E131" s="814"/>
      <c r="F131" s="814"/>
      <c r="G131" s="814"/>
      <c r="H131" s="814"/>
      <c r="I131" s="814"/>
      <c r="J131" s="814"/>
      <c r="K131" s="814"/>
      <c r="L131" s="814"/>
      <c r="M131" s="814"/>
      <c r="N131" s="814"/>
      <c r="O131" s="814"/>
      <c r="P131" s="814"/>
      <c r="Q131" s="814"/>
      <c r="R131" s="814"/>
      <c r="S131" s="814"/>
      <c r="T131" s="814"/>
      <c r="U131" s="814"/>
      <c r="V131" s="814"/>
      <c r="W131" s="814"/>
      <c r="X131" s="815"/>
      <c r="Y131" s="816"/>
      <c r="Z131" s="738"/>
      <c r="AA131" s="738"/>
      <c r="AB131" s="738"/>
      <c r="AC131" s="738"/>
      <c r="AD131" s="817"/>
    </row>
    <row r="132" spans="1:30">
      <c r="A132" s="142"/>
      <c r="B132" s="57"/>
      <c r="C132" s="44" t="s">
        <v>2539</v>
      </c>
      <c r="D132" s="813" t="s">
        <v>5754</v>
      </c>
      <c r="E132" s="814"/>
      <c r="F132" s="814"/>
      <c r="G132" s="814"/>
      <c r="H132" s="814"/>
      <c r="I132" s="814"/>
      <c r="J132" s="814"/>
      <c r="K132" s="814"/>
      <c r="L132" s="814"/>
      <c r="M132" s="814"/>
      <c r="N132" s="814"/>
      <c r="O132" s="814"/>
      <c r="P132" s="814"/>
      <c r="Q132" s="814"/>
      <c r="R132" s="814"/>
      <c r="S132" s="814"/>
      <c r="T132" s="814"/>
      <c r="U132" s="814"/>
      <c r="V132" s="814"/>
      <c r="W132" s="814"/>
      <c r="X132" s="815"/>
      <c r="Y132" s="816"/>
      <c r="Z132" s="738"/>
      <c r="AA132" s="738"/>
      <c r="AB132" s="738"/>
      <c r="AC132" s="738"/>
      <c r="AD132" s="817"/>
    </row>
    <row r="133" spans="1:30">
      <c r="A133" s="142"/>
      <c r="B133" s="57"/>
      <c r="C133" s="44" t="s">
        <v>2540</v>
      </c>
      <c r="D133" s="813" t="s">
        <v>5755</v>
      </c>
      <c r="E133" s="814"/>
      <c r="F133" s="814"/>
      <c r="G133" s="814"/>
      <c r="H133" s="814"/>
      <c r="I133" s="814"/>
      <c r="J133" s="814"/>
      <c r="K133" s="814"/>
      <c r="L133" s="814"/>
      <c r="M133" s="814"/>
      <c r="N133" s="814"/>
      <c r="O133" s="814"/>
      <c r="P133" s="814"/>
      <c r="Q133" s="814"/>
      <c r="R133" s="814"/>
      <c r="S133" s="814"/>
      <c r="T133" s="814"/>
      <c r="U133" s="814"/>
      <c r="V133" s="814"/>
      <c r="W133" s="814"/>
      <c r="X133" s="815"/>
      <c r="Y133" s="816"/>
      <c r="Z133" s="738"/>
      <c r="AA133" s="738"/>
      <c r="AB133" s="738"/>
      <c r="AC133" s="738"/>
      <c r="AD133" s="817"/>
    </row>
    <row r="134" spans="1:30">
      <c r="A134" s="142"/>
      <c r="B134" s="57"/>
      <c r="C134" s="44" t="s">
        <v>2541</v>
      </c>
      <c r="D134" s="813" t="s">
        <v>5756</v>
      </c>
      <c r="E134" s="814"/>
      <c r="F134" s="814"/>
      <c r="G134" s="814"/>
      <c r="H134" s="814"/>
      <c r="I134" s="814"/>
      <c r="J134" s="814"/>
      <c r="K134" s="814"/>
      <c r="L134" s="814"/>
      <c r="M134" s="814"/>
      <c r="N134" s="814"/>
      <c r="O134" s="814"/>
      <c r="P134" s="814"/>
      <c r="Q134" s="814"/>
      <c r="R134" s="814"/>
      <c r="S134" s="814"/>
      <c r="T134" s="814"/>
      <c r="U134" s="814"/>
      <c r="V134" s="814"/>
      <c r="W134" s="814"/>
      <c r="X134" s="815"/>
      <c r="Y134" s="816"/>
      <c r="Z134" s="738"/>
      <c r="AA134" s="738"/>
      <c r="AB134" s="738"/>
      <c r="AC134" s="738"/>
      <c r="AD134" s="817"/>
    </row>
    <row r="135" spans="1:30">
      <c r="A135" s="142"/>
      <c r="B135" s="38"/>
      <c r="C135" s="44" t="s">
        <v>2542</v>
      </c>
      <c r="D135" s="813" t="s">
        <v>5757</v>
      </c>
      <c r="E135" s="814"/>
      <c r="F135" s="814"/>
      <c r="G135" s="814"/>
      <c r="H135" s="814"/>
      <c r="I135" s="814"/>
      <c r="J135" s="814"/>
      <c r="K135" s="814"/>
      <c r="L135" s="814"/>
      <c r="M135" s="814"/>
      <c r="N135" s="814"/>
      <c r="O135" s="814"/>
      <c r="P135" s="814"/>
      <c r="Q135" s="814"/>
      <c r="R135" s="814"/>
      <c r="S135" s="814"/>
      <c r="T135" s="814"/>
      <c r="U135" s="814"/>
      <c r="V135" s="814"/>
      <c r="W135" s="814"/>
      <c r="X135" s="815"/>
      <c r="Y135" s="816"/>
      <c r="Z135" s="738"/>
      <c r="AA135" s="738"/>
      <c r="AB135" s="738"/>
      <c r="AC135" s="738"/>
      <c r="AD135" s="817"/>
    </row>
    <row r="136" spans="1:30">
      <c r="A136" s="142"/>
      <c r="B136" s="38"/>
      <c r="C136" s="44" t="s">
        <v>2543</v>
      </c>
      <c r="D136" s="813" t="s">
        <v>5758</v>
      </c>
      <c r="E136" s="814"/>
      <c r="F136" s="814"/>
      <c r="G136" s="814"/>
      <c r="H136" s="814"/>
      <c r="I136" s="814"/>
      <c r="J136" s="814"/>
      <c r="K136" s="814"/>
      <c r="L136" s="814"/>
      <c r="M136" s="814"/>
      <c r="N136" s="814"/>
      <c r="O136" s="814"/>
      <c r="P136" s="814"/>
      <c r="Q136" s="814"/>
      <c r="R136" s="814"/>
      <c r="S136" s="814"/>
      <c r="T136" s="814"/>
      <c r="U136" s="814"/>
      <c r="V136" s="814"/>
      <c r="W136" s="814"/>
      <c r="X136" s="815"/>
      <c r="Y136" s="816"/>
      <c r="Z136" s="738"/>
      <c r="AA136" s="738"/>
      <c r="AB136" s="738"/>
      <c r="AC136" s="738"/>
      <c r="AD136" s="817"/>
    </row>
    <row r="137" spans="1:30">
      <c r="A137" s="142"/>
      <c r="B137" s="38"/>
      <c r="C137" s="44" t="s">
        <v>2544</v>
      </c>
      <c r="D137" s="813" t="s">
        <v>5759</v>
      </c>
      <c r="E137" s="814"/>
      <c r="F137" s="814"/>
      <c r="G137" s="814"/>
      <c r="H137" s="814"/>
      <c r="I137" s="814"/>
      <c r="J137" s="814"/>
      <c r="K137" s="814"/>
      <c r="L137" s="814"/>
      <c r="M137" s="814"/>
      <c r="N137" s="814"/>
      <c r="O137" s="814"/>
      <c r="P137" s="814"/>
      <c r="Q137" s="814"/>
      <c r="R137" s="814"/>
      <c r="S137" s="814"/>
      <c r="T137" s="814"/>
      <c r="U137" s="814"/>
      <c r="V137" s="814"/>
      <c r="W137" s="814"/>
      <c r="X137" s="815"/>
      <c r="Y137" s="816"/>
      <c r="Z137" s="738"/>
      <c r="AA137" s="738"/>
      <c r="AB137" s="738"/>
      <c r="AC137" s="738"/>
      <c r="AD137" s="817"/>
    </row>
    <row r="138" spans="1:30">
      <c r="A138" s="142"/>
      <c r="B138" s="38"/>
      <c r="C138" s="44" t="s">
        <v>2545</v>
      </c>
      <c r="D138" s="813" t="s">
        <v>5760</v>
      </c>
      <c r="E138" s="814"/>
      <c r="F138" s="814"/>
      <c r="G138" s="814"/>
      <c r="H138" s="814"/>
      <c r="I138" s="814"/>
      <c r="J138" s="814"/>
      <c r="K138" s="814"/>
      <c r="L138" s="814"/>
      <c r="M138" s="814"/>
      <c r="N138" s="814"/>
      <c r="O138" s="814"/>
      <c r="P138" s="814"/>
      <c r="Q138" s="814"/>
      <c r="R138" s="814"/>
      <c r="S138" s="814"/>
      <c r="T138" s="814"/>
      <c r="U138" s="814"/>
      <c r="V138" s="814"/>
      <c r="W138" s="814"/>
      <c r="X138" s="815"/>
      <c r="Y138" s="816"/>
      <c r="Z138" s="738"/>
      <c r="AA138" s="738"/>
      <c r="AB138" s="738"/>
      <c r="AC138" s="738"/>
      <c r="AD138" s="817"/>
    </row>
    <row r="139" spans="1:30">
      <c r="A139" s="142"/>
      <c r="B139" s="38"/>
      <c r="C139" s="44" t="s">
        <v>2546</v>
      </c>
      <c r="D139" s="813" t="s">
        <v>5761</v>
      </c>
      <c r="E139" s="814"/>
      <c r="F139" s="814"/>
      <c r="G139" s="814"/>
      <c r="H139" s="814"/>
      <c r="I139" s="814"/>
      <c r="J139" s="814"/>
      <c r="K139" s="814"/>
      <c r="L139" s="814"/>
      <c r="M139" s="814"/>
      <c r="N139" s="814"/>
      <c r="O139" s="814"/>
      <c r="P139" s="814"/>
      <c r="Q139" s="814"/>
      <c r="R139" s="814"/>
      <c r="S139" s="814"/>
      <c r="T139" s="814"/>
      <c r="U139" s="814"/>
      <c r="V139" s="814"/>
      <c r="W139" s="814"/>
      <c r="X139" s="815"/>
      <c r="Y139" s="816"/>
      <c r="Z139" s="738"/>
      <c r="AA139" s="738"/>
      <c r="AB139" s="738"/>
      <c r="AC139" s="738"/>
      <c r="AD139" s="817"/>
    </row>
    <row r="140" spans="1:30">
      <c r="A140" s="142"/>
      <c r="B140" s="38"/>
      <c r="C140" s="44" t="s">
        <v>2547</v>
      </c>
      <c r="D140" s="813" t="s">
        <v>5762</v>
      </c>
      <c r="E140" s="814"/>
      <c r="F140" s="814"/>
      <c r="G140" s="814"/>
      <c r="H140" s="814"/>
      <c r="I140" s="814"/>
      <c r="J140" s="814"/>
      <c r="K140" s="814"/>
      <c r="L140" s="814"/>
      <c r="M140" s="814"/>
      <c r="N140" s="814"/>
      <c r="O140" s="814"/>
      <c r="P140" s="814"/>
      <c r="Q140" s="814"/>
      <c r="R140" s="814"/>
      <c r="S140" s="814"/>
      <c r="T140" s="814"/>
      <c r="U140" s="814"/>
      <c r="V140" s="814"/>
      <c r="W140" s="814"/>
      <c r="X140" s="815"/>
      <c r="Y140" s="816"/>
      <c r="Z140" s="738"/>
      <c r="AA140" s="738"/>
      <c r="AB140" s="738"/>
      <c r="AC140" s="738"/>
      <c r="AD140" s="817"/>
    </row>
    <row r="141" spans="1:30">
      <c r="A141" s="142"/>
      <c r="B141" s="38"/>
      <c r="C141" s="44" t="s">
        <v>2548</v>
      </c>
      <c r="D141" s="813" t="s">
        <v>5763</v>
      </c>
      <c r="E141" s="814"/>
      <c r="F141" s="814"/>
      <c r="G141" s="814"/>
      <c r="H141" s="814"/>
      <c r="I141" s="814"/>
      <c r="J141" s="814"/>
      <c r="K141" s="814"/>
      <c r="L141" s="814"/>
      <c r="M141" s="814"/>
      <c r="N141" s="814"/>
      <c r="O141" s="814"/>
      <c r="P141" s="814"/>
      <c r="Q141" s="814"/>
      <c r="R141" s="814"/>
      <c r="S141" s="814"/>
      <c r="T141" s="814"/>
      <c r="U141" s="814"/>
      <c r="V141" s="814"/>
      <c r="W141" s="814"/>
      <c r="X141" s="815"/>
      <c r="Y141" s="816"/>
      <c r="Z141" s="738"/>
      <c r="AA141" s="738"/>
      <c r="AB141" s="738"/>
      <c r="AC141" s="738"/>
      <c r="AD141" s="817"/>
    </row>
    <row r="142" spans="1:30">
      <c r="A142" s="142"/>
      <c r="B142" s="38"/>
      <c r="C142" s="44" t="s">
        <v>2549</v>
      </c>
      <c r="D142" s="796" t="s">
        <v>201</v>
      </c>
      <c r="E142" s="796"/>
      <c r="F142" s="796"/>
      <c r="G142" s="796"/>
      <c r="H142" s="796"/>
      <c r="I142" s="796"/>
      <c r="J142" s="796"/>
      <c r="K142" s="796"/>
      <c r="L142" s="796"/>
      <c r="M142" s="796"/>
      <c r="N142" s="796"/>
      <c r="O142" s="796"/>
      <c r="P142" s="796"/>
      <c r="Q142" s="796"/>
      <c r="R142" s="796"/>
      <c r="S142" s="796"/>
      <c r="T142" s="796"/>
      <c r="U142" s="796"/>
      <c r="V142" s="796"/>
      <c r="W142" s="796"/>
      <c r="X142" s="796"/>
      <c r="Y142" s="816"/>
      <c r="Z142" s="738"/>
      <c r="AA142" s="738"/>
      <c r="AB142" s="738"/>
      <c r="AC142" s="738"/>
      <c r="AD142" s="817"/>
    </row>
    <row r="143" spans="1:30">
      <c r="A143" s="142"/>
      <c r="B143" s="38"/>
      <c r="C143" s="54"/>
      <c r="D143" s="46"/>
      <c r="E143" s="46"/>
      <c r="F143" s="46"/>
      <c r="G143" s="46"/>
      <c r="H143" s="46"/>
      <c r="I143" s="120"/>
      <c r="J143" s="57"/>
      <c r="K143" s="57"/>
      <c r="L143" s="57"/>
      <c r="M143" s="57"/>
      <c r="N143" s="57"/>
      <c r="O143" s="57"/>
      <c r="P143" s="57"/>
      <c r="Q143" s="57"/>
      <c r="R143" s="57"/>
      <c r="S143" s="57"/>
      <c r="T143" s="57"/>
      <c r="U143" s="117"/>
      <c r="V143" s="131"/>
      <c r="W143" s="131"/>
      <c r="X143" s="99" t="s">
        <v>2649</v>
      </c>
      <c r="Y143" s="736">
        <f>IF(AND(SUM(Y109:Y142)=0,COUNTIF(Y109:Y142,"NS")&gt;0),"NS",IF(AND(SUM(Y109:Y142)=0,COUNTIF(Y109:Y142,0)&gt;0),0,IF(AND(SUM(Y109:Y142)=0,COUNTIF(Y109:Y142,"NA")&gt;0),"NA",SUM(Y109:Y142))))</f>
        <v>0</v>
      </c>
      <c r="Z143" s="1085"/>
      <c r="AA143" s="1085"/>
      <c r="AB143" s="1085"/>
      <c r="AC143" s="1085"/>
      <c r="AD143" s="1086"/>
    </row>
    <row r="144" spans="1:30">
      <c r="A144" s="169"/>
      <c r="B144" s="90"/>
      <c r="C144" s="90"/>
      <c r="D144" s="90"/>
      <c r="E144" s="90"/>
      <c r="F144" s="90"/>
      <c r="G144" s="90"/>
      <c r="H144" s="90"/>
      <c r="I144" s="90"/>
      <c r="J144" s="90"/>
      <c r="K144" s="90"/>
      <c r="L144" s="90"/>
      <c r="M144" s="90"/>
      <c r="N144" s="90"/>
      <c r="O144" s="90"/>
      <c r="P144" s="90"/>
      <c r="Q144" s="90"/>
      <c r="R144" s="90"/>
      <c r="S144" s="90"/>
      <c r="T144" s="90"/>
      <c r="U144" s="90"/>
      <c r="V144" s="90"/>
      <c r="W144" s="90"/>
      <c r="X144" s="90"/>
      <c r="Y144" s="90"/>
      <c r="Z144" s="90"/>
      <c r="AA144" s="90"/>
      <c r="AB144" s="90"/>
      <c r="AC144" s="90"/>
      <c r="AD144" s="90"/>
    </row>
    <row r="145" spans="1:31" ht="45" customHeight="1">
      <c r="A145" s="169"/>
      <c r="B145" s="90"/>
      <c r="C145" s="822" t="s">
        <v>5764</v>
      </c>
      <c r="D145" s="822"/>
      <c r="E145" s="822"/>
      <c r="F145" s="749"/>
      <c r="G145" s="749"/>
      <c r="H145" s="749"/>
      <c r="I145" s="749"/>
      <c r="J145" s="749"/>
      <c r="K145" s="749"/>
      <c r="L145" s="749"/>
      <c r="M145" s="749"/>
      <c r="N145" s="749"/>
      <c r="O145" s="749"/>
      <c r="P145" s="749"/>
      <c r="Q145" s="749"/>
      <c r="R145" s="749"/>
      <c r="S145" s="749"/>
      <c r="T145" s="749"/>
      <c r="U145" s="749"/>
      <c r="V145" s="749"/>
      <c r="W145" s="749"/>
      <c r="X145" s="749"/>
      <c r="Y145" s="749"/>
      <c r="Z145" s="749"/>
      <c r="AA145" s="749"/>
      <c r="AB145" s="749"/>
      <c r="AC145" s="749"/>
      <c r="AD145" s="749"/>
    </row>
    <row r="146" spans="1:31">
      <c r="A146" s="169"/>
      <c r="B146" s="1003" t="str">
        <f>IF(AND(Y141&gt;0,Y141&lt;&gt;"NA",Y141&lt;&gt;"NS",F145=""),"Debido a que cuenta con un valor mayor a cero en el numeral 33, debe anotar el nombre de dicho(s) país(es)","")</f>
        <v/>
      </c>
      <c r="C146" s="1003"/>
      <c r="D146" s="1003"/>
      <c r="E146" s="1003"/>
      <c r="F146" s="1003"/>
      <c r="G146" s="1003"/>
      <c r="H146" s="1003"/>
      <c r="I146" s="1003"/>
      <c r="J146" s="1003"/>
      <c r="K146" s="1003"/>
      <c r="L146" s="1003"/>
      <c r="M146" s="1003"/>
      <c r="N146" s="1003"/>
      <c r="O146" s="1003"/>
      <c r="P146" s="1003"/>
      <c r="Q146" s="1003"/>
      <c r="R146" s="1003"/>
      <c r="S146" s="1003"/>
      <c r="T146" s="1003"/>
      <c r="U146" s="1003"/>
      <c r="V146" s="1003"/>
      <c r="W146" s="1003"/>
      <c r="X146" s="1003"/>
      <c r="Y146" s="1003"/>
      <c r="Z146" s="1003"/>
      <c r="AA146" s="1003"/>
      <c r="AB146" s="1003"/>
      <c r="AC146" s="1003"/>
      <c r="AD146" s="1003"/>
      <c r="AE146" s="1003"/>
    </row>
    <row r="147" spans="1:31" ht="24" customHeight="1">
      <c r="A147" s="50"/>
      <c r="B147" s="38"/>
      <c r="C147" s="754" t="s">
        <v>2611</v>
      </c>
      <c r="D147" s="754"/>
      <c r="E147" s="754"/>
      <c r="F147" s="754"/>
      <c r="G147" s="754"/>
      <c r="H147" s="754"/>
      <c r="I147" s="754"/>
      <c r="J147" s="754"/>
      <c r="K147" s="754"/>
      <c r="L147" s="754"/>
      <c r="M147" s="754"/>
      <c r="N147" s="754"/>
      <c r="O147" s="754"/>
      <c r="P147" s="754"/>
      <c r="Q147" s="754"/>
      <c r="R147" s="754"/>
      <c r="S147" s="754"/>
      <c r="T147" s="754"/>
      <c r="U147" s="754"/>
      <c r="V147" s="754"/>
      <c r="W147" s="754"/>
      <c r="X147" s="754"/>
      <c r="Y147" s="754"/>
      <c r="Z147" s="754"/>
      <c r="AA147" s="754"/>
      <c r="AB147" s="754"/>
      <c r="AC147" s="754"/>
      <c r="AD147" s="754"/>
    </row>
    <row r="148" spans="1:31" ht="60" customHeight="1">
      <c r="A148" s="50"/>
      <c r="B148" s="38"/>
      <c r="C148" s="851"/>
      <c r="D148" s="851"/>
      <c r="E148" s="851"/>
      <c r="F148" s="851"/>
      <c r="G148" s="851"/>
      <c r="H148" s="851"/>
      <c r="I148" s="851"/>
      <c r="J148" s="851"/>
      <c r="K148" s="851"/>
      <c r="L148" s="851"/>
      <c r="M148" s="851"/>
      <c r="N148" s="851"/>
      <c r="O148" s="851"/>
      <c r="P148" s="851"/>
      <c r="Q148" s="851"/>
      <c r="R148" s="851"/>
      <c r="S148" s="851"/>
      <c r="T148" s="851"/>
      <c r="U148" s="851"/>
      <c r="V148" s="851"/>
      <c r="W148" s="851"/>
      <c r="X148" s="851"/>
      <c r="Y148" s="851"/>
      <c r="Z148" s="851"/>
      <c r="AA148" s="851"/>
      <c r="AB148" s="851"/>
      <c r="AC148" s="851"/>
      <c r="AD148" s="851"/>
    </row>
    <row r="149" spans="1:31">
      <c r="A149" s="169"/>
      <c r="B149" s="794" t="str">
        <f>IF(AG109=0,"","Favor de ingresar toda la información requerida en la pregunta")</f>
        <v/>
      </c>
      <c r="C149" s="794"/>
      <c r="D149" s="794"/>
      <c r="E149" s="794"/>
      <c r="F149" s="794"/>
      <c r="G149" s="794"/>
      <c r="H149" s="794"/>
      <c r="I149" s="794"/>
      <c r="J149" s="794"/>
      <c r="K149" s="794"/>
      <c r="L149" s="794"/>
      <c r="M149" s="794"/>
      <c r="N149" s="794"/>
      <c r="O149" s="794"/>
      <c r="P149" s="794"/>
      <c r="Q149" s="794"/>
      <c r="R149" s="794"/>
      <c r="S149" s="794"/>
      <c r="T149" s="794"/>
      <c r="U149" s="794"/>
      <c r="V149" s="794"/>
      <c r="W149" s="794"/>
      <c r="X149" s="794"/>
      <c r="Y149" s="794"/>
      <c r="Z149" s="794"/>
      <c r="AA149" s="794"/>
      <c r="AB149" s="794"/>
      <c r="AC149" s="794"/>
      <c r="AD149" s="794"/>
      <c r="AE149" s="794"/>
    </row>
    <row r="150" spans="1:31">
      <c r="A150" s="169"/>
      <c r="B150" s="1087" t="str">
        <f>IF(OR(CNSIPEE_2024_M2_Secc10!$S$77=0,CNSIPEE_2024_M2_Secc10!$S$77="NS",CNSIPEE_2024_M2_Secc10!$S$77="NA"),"",IF(COUNTIF(Y109:AD142,"NS")&lt;&gt;0,"Alerta: debido a que cuenta con registros NS, debe proporcionar una justificación en el area de comentarios al final de la pregunta",""))</f>
        <v/>
      </c>
      <c r="C150" s="1087"/>
      <c r="D150" s="1087"/>
      <c r="E150" s="1087"/>
      <c r="F150" s="1087"/>
      <c r="G150" s="1087"/>
      <c r="H150" s="1087"/>
      <c r="I150" s="1087"/>
      <c r="J150" s="1087"/>
      <c r="K150" s="1087"/>
      <c r="L150" s="1087"/>
      <c r="M150" s="1087"/>
      <c r="N150" s="1087"/>
      <c r="O150" s="1087"/>
      <c r="P150" s="1087"/>
      <c r="Q150" s="1087"/>
      <c r="R150" s="1087"/>
      <c r="S150" s="1087"/>
      <c r="T150" s="1087"/>
      <c r="U150" s="1087"/>
      <c r="V150" s="1087"/>
      <c r="W150" s="1087"/>
      <c r="X150" s="1087"/>
      <c r="Y150" s="1087"/>
      <c r="Z150" s="1087"/>
      <c r="AA150" s="1087"/>
      <c r="AB150" s="1087"/>
      <c r="AC150" s="1087"/>
      <c r="AD150" s="1087"/>
      <c r="AE150" s="1087"/>
    </row>
    <row r="151" spans="1:31">
      <c r="A151" s="169"/>
      <c r="B151" s="1003" t="str">
        <f>IF(AH110&gt;0,"Revise la información capturada, ya que tiene datos ingresados en celdas que están sombreadas","")</f>
        <v/>
      </c>
      <c r="C151" s="1003"/>
      <c r="D151" s="1003"/>
      <c r="E151" s="1003"/>
      <c r="F151" s="1003"/>
      <c r="G151" s="1003"/>
      <c r="H151" s="1003"/>
      <c r="I151" s="1003"/>
      <c r="J151" s="1003"/>
      <c r="K151" s="1003"/>
      <c r="L151" s="1003"/>
      <c r="M151" s="1003"/>
      <c r="N151" s="1003"/>
      <c r="O151" s="1003"/>
      <c r="P151" s="1003"/>
      <c r="Q151" s="1003"/>
      <c r="R151" s="1003"/>
      <c r="S151" s="1003"/>
      <c r="T151" s="1003"/>
      <c r="U151" s="1003"/>
      <c r="V151" s="1003"/>
      <c r="W151" s="1003"/>
      <c r="X151" s="1003"/>
      <c r="Y151" s="1003"/>
      <c r="Z151" s="1003"/>
      <c r="AA151" s="1003"/>
      <c r="AB151" s="1003"/>
      <c r="AC151" s="1003"/>
      <c r="AD151" s="1003"/>
      <c r="AE151" s="1003"/>
    </row>
    <row r="152" spans="1:31">
      <c r="A152" s="169"/>
      <c r="B152" s="1003" t="str">
        <f>IF(OR(CNSIPEE_2024_M2_Secc10!$S$77=0,CNSIPEE_2024_M2_Secc10!$S$77="NS",CNSIPEE_2024_M2_Secc10!$S$77="NA"),"",IF(CNSIPEE_2024_M2_Secc10!$S$77=Y143,"","La suma de las cantidades registradas debe corresponder con los datos reportados en la col. Total del apdo. Internacional de la preg. 10.2"))</f>
        <v/>
      </c>
      <c r="C152" s="1003"/>
      <c r="D152" s="1003"/>
      <c r="E152" s="1003"/>
      <c r="F152" s="1003"/>
      <c r="G152" s="1003"/>
      <c r="H152" s="1003"/>
      <c r="I152" s="1003"/>
      <c r="J152" s="1003"/>
      <c r="K152" s="1003"/>
      <c r="L152" s="1003"/>
      <c r="M152" s="1003"/>
      <c r="N152" s="1003"/>
      <c r="O152" s="1003"/>
      <c r="P152" s="1003"/>
      <c r="Q152" s="1003"/>
      <c r="R152" s="1003"/>
      <c r="S152" s="1003"/>
      <c r="T152" s="1003"/>
      <c r="U152" s="1003"/>
      <c r="V152" s="1003"/>
      <c r="W152" s="1003"/>
      <c r="X152" s="1003"/>
      <c r="Y152" s="1003"/>
      <c r="Z152" s="1003"/>
      <c r="AA152" s="1003"/>
      <c r="AB152" s="1003"/>
      <c r="AC152" s="1003"/>
      <c r="AD152" s="1003"/>
      <c r="AE152" s="1003"/>
    </row>
    <row r="153" spans="1:31">
      <c r="A153" s="169"/>
      <c r="B153" s="90"/>
      <c r="C153" s="90"/>
      <c r="D153" s="90"/>
      <c r="E153" s="90"/>
      <c r="F153" s="90"/>
      <c r="G153" s="90"/>
      <c r="H153" s="90"/>
      <c r="I153" s="90"/>
      <c r="J153" s="90"/>
      <c r="K153" s="90"/>
      <c r="L153" s="90"/>
      <c r="M153" s="90"/>
      <c r="N153" s="90"/>
      <c r="O153" s="90"/>
      <c r="P153" s="90"/>
      <c r="Q153" s="90"/>
      <c r="R153" s="90"/>
      <c r="S153" s="90"/>
      <c r="T153" s="90"/>
      <c r="U153" s="90"/>
      <c r="V153" s="90"/>
      <c r="W153" s="90"/>
      <c r="X153" s="90"/>
      <c r="Y153" s="90"/>
      <c r="Z153" s="90"/>
      <c r="AA153" s="90"/>
      <c r="AB153" s="90"/>
      <c r="AC153" s="90"/>
      <c r="AD153" s="90"/>
      <c r="AE153"/>
    </row>
    <row r="154" spans="1:31" ht="15.75" thickBot="1">
      <c r="A154" s="169"/>
      <c r="B154" s="90"/>
      <c r="C154" s="90"/>
      <c r="D154" s="90"/>
      <c r="E154" s="90"/>
      <c r="F154" s="90"/>
      <c r="G154" s="90"/>
      <c r="H154" s="90"/>
      <c r="I154" s="90"/>
      <c r="J154" s="90"/>
      <c r="K154" s="90"/>
      <c r="L154" s="90"/>
      <c r="M154" s="90"/>
      <c r="N154" s="90"/>
      <c r="O154" s="90"/>
      <c r="P154" s="90"/>
      <c r="Q154" s="90"/>
      <c r="R154" s="90"/>
      <c r="S154" s="90"/>
      <c r="T154" s="90"/>
      <c r="U154" s="90"/>
      <c r="V154" s="90"/>
      <c r="W154" s="90"/>
      <c r="X154" s="90"/>
      <c r="Y154" s="90"/>
      <c r="Z154" s="90"/>
      <c r="AA154" s="90"/>
      <c r="AB154" s="90"/>
      <c r="AC154" s="90"/>
      <c r="AD154" s="90"/>
      <c r="AE154"/>
    </row>
    <row r="155" spans="1:31" customFormat="1" ht="15" customHeight="1" thickBot="1">
      <c r="A155" s="19" t="s">
        <v>2563</v>
      </c>
      <c r="B155" s="1081" t="s">
        <v>5765</v>
      </c>
      <c r="C155" s="1082"/>
      <c r="D155" s="1082"/>
      <c r="E155" s="1082"/>
      <c r="F155" s="1082"/>
      <c r="G155" s="1082"/>
      <c r="H155" s="1082"/>
      <c r="I155" s="1082"/>
      <c r="J155" s="1082"/>
      <c r="K155" s="1082"/>
      <c r="L155" s="1082"/>
      <c r="M155" s="1082"/>
      <c r="N155" s="1082"/>
      <c r="O155" s="1082"/>
      <c r="P155" s="1082"/>
      <c r="Q155" s="1082"/>
      <c r="R155" s="1082"/>
      <c r="S155" s="1082"/>
      <c r="T155" s="1082"/>
      <c r="U155" s="1082"/>
      <c r="V155" s="1082"/>
      <c r="W155" s="1082"/>
      <c r="X155" s="1082"/>
      <c r="Y155" s="1082"/>
      <c r="Z155" s="1082"/>
      <c r="AA155" s="1082"/>
      <c r="AB155" s="1082"/>
      <c r="AC155" s="1082"/>
      <c r="AD155" s="1083"/>
      <c r="AE155" s="3"/>
    </row>
    <row r="156" spans="1:31" ht="15" customHeight="1">
      <c r="A156" s="169"/>
      <c r="B156" s="1006" t="s">
        <v>3005</v>
      </c>
      <c r="C156" s="893"/>
      <c r="D156" s="893"/>
      <c r="E156" s="893"/>
      <c r="F156" s="893"/>
      <c r="G156" s="893"/>
      <c r="H156" s="893"/>
      <c r="I156" s="893"/>
      <c r="J156" s="893"/>
      <c r="K156" s="893"/>
      <c r="L156" s="893"/>
      <c r="M156" s="893"/>
      <c r="N156" s="893"/>
      <c r="O156" s="893"/>
      <c r="P156" s="893"/>
      <c r="Q156" s="893"/>
      <c r="R156" s="893"/>
      <c r="S156" s="893"/>
      <c r="T156" s="893"/>
      <c r="U156" s="893"/>
      <c r="V156" s="893"/>
      <c r="W156" s="893"/>
      <c r="X156" s="893"/>
      <c r="Y156" s="893"/>
      <c r="Z156" s="893"/>
      <c r="AA156" s="893"/>
      <c r="AB156" s="893"/>
      <c r="AC156" s="893"/>
      <c r="AD156" s="1007"/>
    </row>
    <row r="157" spans="1:31" ht="36" customHeight="1">
      <c r="A157" s="169"/>
      <c r="B157" s="114"/>
      <c r="C157" s="764" t="s">
        <v>5766</v>
      </c>
      <c r="D157" s="764"/>
      <c r="E157" s="764"/>
      <c r="F157" s="764"/>
      <c r="G157" s="764"/>
      <c r="H157" s="764"/>
      <c r="I157" s="764"/>
      <c r="J157" s="764"/>
      <c r="K157" s="764"/>
      <c r="L157" s="764"/>
      <c r="M157" s="764"/>
      <c r="N157" s="764"/>
      <c r="O157" s="764"/>
      <c r="P157" s="764"/>
      <c r="Q157" s="764"/>
      <c r="R157" s="764"/>
      <c r="S157" s="764"/>
      <c r="T157" s="764"/>
      <c r="U157" s="764"/>
      <c r="V157" s="764"/>
      <c r="W157" s="764"/>
      <c r="X157" s="764"/>
      <c r="Y157" s="764"/>
      <c r="Z157" s="764"/>
      <c r="AA157" s="764"/>
      <c r="AB157" s="764"/>
      <c r="AC157" s="764"/>
      <c r="AD157" s="765"/>
    </row>
    <row r="158" spans="1:31" ht="15" customHeight="1">
      <c r="A158" s="119"/>
      <c r="B158" s="1006" t="s">
        <v>2565</v>
      </c>
      <c r="C158" s="893"/>
      <c r="D158" s="893"/>
      <c r="E158" s="893"/>
      <c r="F158" s="893"/>
      <c r="G158" s="893"/>
      <c r="H158" s="893"/>
      <c r="I158" s="893"/>
      <c r="J158" s="893"/>
      <c r="K158" s="893"/>
      <c r="L158" s="893"/>
      <c r="M158" s="893"/>
      <c r="N158" s="893"/>
      <c r="O158" s="893"/>
      <c r="P158" s="893"/>
      <c r="Q158" s="893"/>
      <c r="R158" s="893"/>
      <c r="S158" s="893"/>
      <c r="T158" s="893"/>
      <c r="U158" s="893"/>
      <c r="V158" s="893"/>
      <c r="W158" s="893"/>
      <c r="X158" s="893"/>
      <c r="Y158" s="893"/>
      <c r="Z158" s="893"/>
      <c r="AA158" s="893"/>
      <c r="AB158" s="893"/>
      <c r="AC158" s="893"/>
      <c r="AD158" s="1007"/>
    </row>
    <row r="159" spans="1:31" ht="36" customHeight="1">
      <c r="A159" s="119"/>
      <c r="B159" s="114"/>
      <c r="C159" s="764" t="s">
        <v>5767</v>
      </c>
      <c r="D159" s="876"/>
      <c r="E159" s="876"/>
      <c r="F159" s="876"/>
      <c r="G159" s="876"/>
      <c r="H159" s="876"/>
      <c r="I159" s="876"/>
      <c r="J159" s="876"/>
      <c r="K159" s="876"/>
      <c r="L159" s="876"/>
      <c r="M159" s="876"/>
      <c r="N159" s="876"/>
      <c r="O159" s="876"/>
      <c r="P159" s="876"/>
      <c r="Q159" s="876"/>
      <c r="R159" s="876"/>
      <c r="S159" s="876"/>
      <c r="T159" s="876"/>
      <c r="U159" s="876"/>
      <c r="V159" s="876"/>
      <c r="W159" s="876"/>
      <c r="X159" s="876"/>
      <c r="Y159" s="876"/>
      <c r="Z159" s="876"/>
      <c r="AA159" s="876"/>
      <c r="AB159" s="876"/>
      <c r="AC159" s="876"/>
      <c r="AD159" s="877"/>
    </row>
    <row r="160" spans="1:31">
      <c r="A160" s="119"/>
    </row>
    <row r="161" spans="1:34" ht="24" customHeight="1">
      <c r="A161" s="49" t="s">
        <v>5768</v>
      </c>
      <c r="B161" s="829" t="s">
        <v>5769</v>
      </c>
      <c r="C161" s="829"/>
      <c r="D161" s="829"/>
      <c r="E161" s="829"/>
      <c r="F161" s="829"/>
      <c r="G161" s="829"/>
      <c r="H161" s="829"/>
      <c r="I161" s="829"/>
      <c r="J161" s="829"/>
      <c r="K161" s="829"/>
      <c r="L161" s="829"/>
      <c r="M161" s="829"/>
      <c r="N161" s="829"/>
      <c r="O161" s="829"/>
      <c r="P161" s="829"/>
      <c r="Q161" s="829"/>
      <c r="R161" s="829"/>
      <c r="S161" s="829"/>
      <c r="T161" s="829"/>
      <c r="U161" s="829"/>
      <c r="V161" s="829"/>
      <c r="W161" s="829"/>
      <c r="X161" s="829"/>
      <c r="Y161" s="829"/>
      <c r="Z161" s="829"/>
      <c r="AA161" s="829"/>
      <c r="AB161" s="829"/>
      <c r="AC161" s="829"/>
      <c r="AD161" s="829"/>
    </row>
    <row r="162" spans="1:34" ht="24" customHeight="1">
      <c r="A162" s="49"/>
      <c r="B162" s="105"/>
      <c r="C162" s="754" t="s">
        <v>5770</v>
      </c>
      <c r="D162" s="754"/>
      <c r="E162" s="754"/>
      <c r="F162" s="754"/>
      <c r="G162" s="754"/>
      <c r="H162" s="754"/>
      <c r="I162" s="754"/>
      <c r="J162" s="754"/>
      <c r="K162" s="754"/>
      <c r="L162" s="754"/>
      <c r="M162" s="754"/>
      <c r="N162" s="754"/>
      <c r="O162" s="754"/>
      <c r="P162" s="754"/>
      <c r="Q162" s="754"/>
      <c r="R162" s="754"/>
      <c r="S162" s="754"/>
      <c r="T162" s="754"/>
      <c r="U162" s="754"/>
      <c r="V162" s="754"/>
      <c r="W162" s="754"/>
      <c r="X162" s="754"/>
      <c r="Y162" s="754"/>
      <c r="Z162" s="754"/>
      <c r="AA162" s="754"/>
      <c r="AB162" s="754"/>
      <c r="AC162" s="754"/>
      <c r="AD162" s="754"/>
    </row>
    <row r="163" spans="1:34" ht="24" customHeight="1">
      <c r="A163" s="169"/>
      <c r="B163" s="90"/>
      <c r="C163" s="754" t="s">
        <v>5732</v>
      </c>
      <c r="D163" s="754"/>
      <c r="E163" s="754"/>
      <c r="F163" s="754"/>
      <c r="G163" s="754"/>
      <c r="H163" s="754"/>
      <c r="I163" s="754"/>
      <c r="J163" s="754"/>
      <c r="K163" s="754"/>
      <c r="L163" s="754"/>
      <c r="M163" s="754"/>
      <c r="N163" s="754"/>
      <c r="O163" s="754"/>
      <c r="P163" s="754"/>
      <c r="Q163" s="754"/>
      <c r="R163" s="754"/>
      <c r="S163" s="754"/>
      <c r="T163" s="754"/>
      <c r="U163" s="754"/>
      <c r="V163" s="754"/>
      <c r="W163" s="754"/>
      <c r="X163" s="754"/>
      <c r="Y163" s="754"/>
      <c r="Z163" s="754"/>
      <c r="AA163" s="754"/>
      <c r="AB163" s="754"/>
      <c r="AC163" s="754"/>
      <c r="AD163" s="754"/>
    </row>
    <row r="164" spans="1:34">
      <c r="A164" s="169"/>
      <c r="B164" s="90"/>
      <c r="C164" s="90"/>
      <c r="D164" s="90"/>
      <c r="E164" s="90"/>
      <c r="F164" s="90"/>
      <c r="G164" s="90"/>
      <c r="H164" s="90"/>
      <c r="I164" s="90"/>
      <c r="J164" s="90"/>
      <c r="K164" s="90"/>
      <c r="L164" s="90"/>
      <c r="M164" s="90"/>
      <c r="N164" s="90"/>
      <c r="O164" s="90"/>
      <c r="P164" s="90"/>
      <c r="Q164" s="90"/>
      <c r="R164" s="90"/>
      <c r="S164" s="90"/>
      <c r="T164" s="90"/>
      <c r="U164" s="90"/>
      <c r="V164" s="90"/>
      <c r="W164" s="90"/>
      <c r="X164" s="90"/>
      <c r="Y164" s="90"/>
      <c r="Z164" s="90"/>
      <c r="AA164" s="90"/>
      <c r="AB164" s="90"/>
      <c r="AC164" s="90"/>
      <c r="AD164" s="90"/>
    </row>
    <row r="165" spans="1:34" ht="15" customHeight="1">
      <c r="A165" s="169"/>
      <c r="B165" s="90"/>
      <c r="C165" s="739" t="s">
        <v>5771</v>
      </c>
      <c r="D165" s="740"/>
      <c r="E165" s="740"/>
      <c r="F165" s="740"/>
      <c r="G165" s="740"/>
      <c r="H165" s="740"/>
      <c r="I165" s="740"/>
      <c r="J165" s="740"/>
      <c r="K165" s="740"/>
      <c r="L165" s="740"/>
      <c r="M165" s="740"/>
      <c r="N165" s="740"/>
      <c r="O165" s="740"/>
      <c r="P165" s="740"/>
      <c r="Q165" s="740"/>
      <c r="R165" s="740"/>
      <c r="S165" s="740"/>
      <c r="T165" s="740"/>
      <c r="U165" s="740"/>
      <c r="V165" s="740"/>
      <c r="W165" s="740"/>
      <c r="X165" s="741"/>
      <c r="Y165" s="739" t="s">
        <v>5772</v>
      </c>
      <c r="Z165" s="740"/>
      <c r="AA165" s="740"/>
      <c r="AB165" s="740"/>
      <c r="AC165" s="740"/>
      <c r="AD165" s="741"/>
      <c r="AF165" t="s">
        <v>5699</v>
      </c>
      <c r="AG165" t="s">
        <v>2586</v>
      </c>
      <c r="AH165" t="s">
        <v>5318</v>
      </c>
    </row>
    <row r="166" spans="1:34">
      <c r="A166" s="169"/>
      <c r="B166" s="90"/>
      <c r="C166" s="92" t="s">
        <v>2516</v>
      </c>
      <c r="D166" s="813" t="s">
        <v>5735</v>
      </c>
      <c r="E166" s="814"/>
      <c r="F166" s="814"/>
      <c r="G166" s="814"/>
      <c r="H166" s="814"/>
      <c r="I166" s="814"/>
      <c r="J166" s="814"/>
      <c r="K166" s="814"/>
      <c r="L166" s="814"/>
      <c r="M166" s="814"/>
      <c r="N166" s="814"/>
      <c r="O166" s="814"/>
      <c r="P166" s="814"/>
      <c r="Q166" s="814"/>
      <c r="R166" s="814"/>
      <c r="S166" s="814"/>
      <c r="T166" s="814"/>
      <c r="U166" s="814"/>
      <c r="V166" s="814"/>
      <c r="W166" s="814"/>
      <c r="X166" s="815"/>
      <c r="Y166" s="816"/>
      <c r="Z166" s="738"/>
      <c r="AA166" s="738"/>
      <c r="AB166" s="738"/>
      <c r="AC166" s="738"/>
      <c r="AD166" s="817"/>
      <c r="AF166">
        <f>IF(AND(OR(CNSIPEE_2024_M2_Secc10!$V$77=0,CNSIPEE_2024_M2_Secc10!$V$77="NS",CNSIPEE_2024_M2_Secc10!$V$77="NA"),C205&lt;&gt;""),1,0)</f>
        <v>0</v>
      </c>
      <c r="AG166" s="506">
        <f>IF(OR(CNSIPEE_2024_M2_Secc10!$V$77=0,CNSIPEE_2024_M2_Secc10!$V$77="NS",CNSIPEE_2024_M2_Secc10!$V$77="NA"),0,IF(COUNTBLANK(Y166:AD199)=170,0,1))</f>
        <v>0</v>
      </c>
      <c r="AH166">
        <f>IF(OR(CNSIPEE_2024_M2_Secc10!$V$77=0,CNSIPEE_2024_M2_Secc10!$V$77="NS",CNSIPEE_2024_M2_Secc10!$V$77="NA"),IF(COUNTBLANK(Y166:AD199)=204,0,1),0)</f>
        <v>0</v>
      </c>
    </row>
    <row r="167" spans="1:34">
      <c r="A167" s="169"/>
      <c r="B167" s="90"/>
      <c r="C167" s="44" t="s">
        <v>2517</v>
      </c>
      <c r="D167" s="813" t="s">
        <v>4624</v>
      </c>
      <c r="E167" s="814"/>
      <c r="F167" s="814"/>
      <c r="G167" s="814"/>
      <c r="H167" s="814"/>
      <c r="I167" s="814"/>
      <c r="J167" s="814"/>
      <c r="K167" s="814"/>
      <c r="L167" s="814"/>
      <c r="M167" s="814"/>
      <c r="N167" s="814"/>
      <c r="O167" s="814"/>
      <c r="P167" s="814"/>
      <c r="Q167" s="814"/>
      <c r="R167" s="814"/>
      <c r="S167" s="814"/>
      <c r="T167" s="814"/>
      <c r="U167" s="814"/>
      <c r="V167" s="814"/>
      <c r="W167" s="814"/>
      <c r="X167" s="815"/>
      <c r="Y167" s="816"/>
      <c r="Z167" s="738"/>
      <c r="AA167" s="738"/>
      <c r="AB167" s="738"/>
      <c r="AC167" s="738"/>
      <c r="AD167" s="817"/>
      <c r="AF167"/>
      <c r="AG167"/>
      <c r="AH167" s="506">
        <f>SUM(AF166,AH166)</f>
        <v>0</v>
      </c>
    </row>
    <row r="168" spans="1:34">
      <c r="A168" s="169"/>
      <c r="B168" s="90"/>
      <c r="C168" s="44" t="s">
        <v>2518</v>
      </c>
      <c r="D168" s="813" t="s">
        <v>5736</v>
      </c>
      <c r="E168" s="814"/>
      <c r="F168" s="814"/>
      <c r="G168" s="814"/>
      <c r="H168" s="814"/>
      <c r="I168" s="814"/>
      <c r="J168" s="814"/>
      <c r="K168" s="814"/>
      <c r="L168" s="814"/>
      <c r="M168" s="814"/>
      <c r="N168" s="814"/>
      <c r="O168" s="814"/>
      <c r="P168" s="814"/>
      <c r="Q168" s="814"/>
      <c r="R168" s="814"/>
      <c r="S168" s="814"/>
      <c r="T168" s="814"/>
      <c r="U168" s="814"/>
      <c r="V168" s="814"/>
      <c r="W168" s="814"/>
      <c r="X168" s="815"/>
      <c r="Y168" s="816"/>
      <c r="Z168" s="738"/>
      <c r="AA168" s="738"/>
      <c r="AB168" s="738"/>
      <c r="AC168" s="738"/>
      <c r="AD168" s="817"/>
    </row>
    <row r="169" spans="1:34">
      <c r="A169" s="169"/>
      <c r="B169" s="90"/>
      <c r="C169" s="44" t="s">
        <v>2519</v>
      </c>
      <c r="D169" s="813" t="s">
        <v>5737</v>
      </c>
      <c r="E169" s="814"/>
      <c r="F169" s="814"/>
      <c r="G169" s="814"/>
      <c r="H169" s="814"/>
      <c r="I169" s="814"/>
      <c r="J169" s="814"/>
      <c r="K169" s="814"/>
      <c r="L169" s="814"/>
      <c r="M169" s="814"/>
      <c r="N169" s="814"/>
      <c r="O169" s="814"/>
      <c r="P169" s="814"/>
      <c r="Q169" s="814"/>
      <c r="R169" s="814"/>
      <c r="S169" s="814"/>
      <c r="T169" s="814"/>
      <c r="U169" s="814"/>
      <c r="V169" s="814"/>
      <c r="W169" s="814"/>
      <c r="X169" s="815"/>
      <c r="Y169" s="816"/>
      <c r="Z169" s="738"/>
      <c r="AA169" s="738"/>
      <c r="AB169" s="738"/>
      <c r="AC169" s="738"/>
      <c r="AD169" s="817"/>
    </row>
    <row r="170" spans="1:34">
      <c r="A170" s="169"/>
      <c r="B170" s="90"/>
      <c r="C170" s="44" t="s">
        <v>2520</v>
      </c>
      <c r="D170" s="813" t="s">
        <v>5738</v>
      </c>
      <c r="E170" s="814"/>
      <c r="F170" s="814"/>
      <c r="G170" s="814"/>
      <c r="H170" s="814"/>
      <c r="I170" s="814"/>
      <c r="J170" s="814"/>
      <c r="K170" s="814"/>
      <c r="L170" s="814"/>
      <c r="M170" s="814"/>
      <c r="N170" s="814"/>
      <c r="O170" s="814"/>
      <c r="P170" s="814"/>
      <c r="Q170" s="814"/>
      <c r="R170" s="814"/>
      <c r="S170" s="814"/>
      <c r="T170" s="814"/>
      <c r="U170" s="814"/>
      <c r="V170" s="814"/>
      <c r="W170" s="814"/>
      <c r="X170" s="815"/>
      <c r="Y170" s="816"/>
      <c r="Z170" s="738"/>
      <c r="AA170" s="738"/>
      <c r="AB170" s="738"/>
      <c r="AC170" s="738"/>
      <c r="AD170" s="817"/>
    </row>
    <row r="171" spans="1:34">
      <c r="A171" s="169"/>
      <c r="B171" s="90"/>
      <c r="C171" s="44" t="s">
        <v>2521</v>
      </c>
      <c r="D171" s="813" t="s">
        <v>5739</v>
      </c>
      <c r="E171" s="814"/>
      <c r="F171" s="814"/>
      <c r="G171" s="814"/>
      <c r="H171" s="814"/>
      <c r="I171" s="814"/>
      <c r="J171" s="814"/>
      <c r="K171" s="814"/>
      <c r="L171" s="814"/>
      <c r="M171" s="814"/>
      <c r="N171" s="814"/>
      <c r="O171" s="814"/>
      <c r="P171" s="814"/>
      <c r="Q171" s="814"/>
      <c r="R171" s="814"/>
      <c r="S171" s="814"/>
      <c r="T171" s="814"/>
      <c r="U171" s="814"/>
      <c r="V171" s="814"/>
      <c r="W171" s="814"/>
      <c r="X171" s="815"/>
      <c r="Y171" s="816"/>
      <c r="Z171" s="738"/>
      <c r="AA171" s="738"/>
      <c r="AB171" s="738"/>
      <c r="AC171" s="738"/>
      <c r="AD171" s="817"/>
    </row>
    <row r="172" spans="1:34">
      <c r="A172" s="169"/>
      <c r="B172" s="90"/>
      <c r="C172" s="44" t="s">
        <v>2522</v>
      </c>
      <c r="D172" s="813" t="s">
        <v>5740</v>
      </c>
      <c r="E172" s="814"/>
      <c r="F172" s="814"/>
      <c r="G172" s="814"/>
      <c r="H172" s="814"/>
      <c r="I172" s="814"/>
      <c r="J172" s="814"/>
      <c r="K172" s="814"/>
      <c r="L172" s="814"/>
      <c r="M172" s="814"/>
      <c r="N172" s="814"/>
      <c r="O172" s="814"/>
      <c r="P172" s="814"/>
      <c r="Q172" s="814"/>
      <c r="R172" s="814"/>
      <c r="S172" s="814"/>
      <c r="T172" s="814"/>
      <c r="U172" s="814"/>
      <c r="V172" s="814"/>
      <c r="W172" s="814"/>
      <c r="X172" s="815"/>
      <c r="Y172" s="816"/>
      <c r="Z172" s="738"/>
      <c r="AA172" s="738"/>
      <c r="AB172" s="738"/>
      <c r="AC172" s="738"/>
      <c r="AD172" s="817"/>
    </row>
    <row r="173" spans="1:34">
      <c r="A173" s="169"/>
      <c r="B173" s="90"/>
      <c r="C173" s="44" t="s">
        <v>2523</v>
      </c>
      <c r="D173" s="813" t="s">
        <v>4640</v>
      </c>
      <c r="E173" s="814"/>
      <c r="F173" s="814"/>
      <c r="G173" s="814"/>
      <c r="H173" s="814"/>
      <c r="I173" s="814"/>
      <c r="J173" s="814"/>
      <c r="K173" s="814"/>
      <c r="L173" s="814"/>
      <c r="M173" s="814"/>
      <c r="N173" s="814"/>
      <c r="O173" s="814"/>
      <c r="P173" s="814"/>
      <c r="Q173" s="814"/>
      <c r="R173" s="814"/>
      <c r="S173" s="814"/>
      <c r="T173" s="814"/>
      <c r="U173" s="814"/>
      <c r="V173" s="814"/>
      <c r="W173" s="814"/>
      <c r="X173" s="815"/>
      <c r="Y173" s="816"/>
      <c r="Z173" s="738"/>
      <c r="AA173" s="738"/>
      <c r="AB173" s="738"/>
      <c r="AC173" s="738"/>
      <c r="AD173" s="817"/>
    </row>
    <row r="174" spans="1:34">
      <c r="A174" s="169"/>
      <c r="B174" s="90"/>
      <c r="C174" s="44" t="s">
        <v>2524</v>
      </c>
      <c r="D174" s="813" t="s">
        <v>5741</v>
      </c>
      <c r="E174" s="814"/>
      <c r="F174" s="814"/>
      <c r="G174" s="814"/>
      <c r="H174" s="814"/>
      <c r="I174" s="814"/>
      <c r="J174" s="814"/>
      <c r="K174" s="814"/>
      <c r="L174" s="814"/>
      <c r="M174" s="814"/>
      <c r="N174" s="814"/>
      <c r="O174" s="814"/>
      <c r="P174" s="814"/>
      <c r="Q174" s="814"/>
      <c r="R174" s="814"/>
      <c r="S174" s="814"/>
      <c r="T174" s="814"/>
      <c r="U174" s="814"/>
      <c r="V174" s="814"/>
      <c r="W174" s="814"/>
      <c r="X174" s="815"/>
      <c r="Y174" s="816"/>
      <c r="Z174" s="738"/>
      <c r="AA174" s="738"/>
      <c r="AB174" s="738"/>
      <c r="AC174" s="738"/>
      <c r="AD174" s="817"/>
    </row>
    <row r="175" spans="1:34">
      <c r="A175" s="169"/>
      <c r="B175" s="90"/>
      <c r="C175" s="44" t="s">
        <v>2525</v>
      </c>
      <c r="D175" s="813" t="s">
        <v>5742</v>
      </c>
      <c r="E175" s="814"/>
      <c r="F175" s="814"/>
      <c r="G175" s="814"/>
      <c r="H175" s="814"/>
      <c r="I175" s="814"/>
      <c r="J175" s="814"/>
      <c r="K175" s="814"/>
      <c r="L175" s="814"/>
      <c r="M175" s="814"/>
      <c r="N175" s="814"/>
      <c r="O175" s="814"/>
      <c r="P175" s="814"/>
      <c r="Q175" s="814"/>
      <c r="R175" s="814"/>
      <c r="S175" s="814"/>
      <c r="T175" s="814"/>
      <c r="U175" s="814"/>
      <c r="V175" s="814"/>
      <c r="W175" s="814"/>
      <c r="X175" s="815"/>
      <c r="Y175" s="816"/>
      <c r="Z175" s="738"/>
      <c r="AA175" s="738"/>
      <c r="AB175" s="738"/>
      <c r="AC175" s="738"/>
      <c r="AD175" s="817"/>
    </row>
    <row r="176" spans="1:34">
      <c r="A176" s="169"/>
      <c r="B176" s="90"/>
      <c r="C176" s="44" t="s">
        <v>2526</v>
      </c>
      <c r="D176" s="813" t="s">
        <v>5743</v>
      </c>
      <c r="E176" s="814"/>
      <c r="F176" s="814"/>
      <c r="G176" s="814"/>
      <c r="H176" s="814"/>
      <c r="I176" s="814"/>
      <c r="J176" s="814"/>
      <c r="K176" s="814"/>
      <c r="L176" s="814"/>
      <c r="M176" s="814"/>
      <c r="N176" s="814"/>
      <c r="O176" s="814"/>
      <c r="P176" s="814"/>
      <c r="Q176" s="814"/>
      <c r="R176" s="814"/>
      <c r="S176" s="814"/>
      <c r="T176" s="814"/>
      <c r="U176" s="814"/>
      <c r="V176" s="814"/>
      <c r="W176" s="814"/>
      <c r="X176" s="815"/>
      <c r="Y176" s="816"/>
      <c r="Z176" s="738"/>
      <c r="AA176" s="738"/>
      <c r="AB176" s="738"/>
      <c r="AC176" s="738"/>
      <c r="AD176" s="817"/>
    </row>
    <row r="177" spans="1:30">
      <c r="A177" s="169"/>
      <c r="B177" s="90"/>
      <c r="C177" s="44" t="s">
        <v>2527</v>
      </c>
      <c r="D177" s="813" t="s">
        <v>5744</v>
      </c>
      <c r="E177" s="814"/>
      <c r="F177" s="814"/>
      <c r="G177" s="814"/>
      <c r="H177" s="814"/>
      <c r="I177" s="814"/>
      <c r="J177" s="814"/>
      <c r="K177" s="814"/>
      <c r="L177" s="814"/>
      <c r="M177" s="814"/>
      <c r="N177" s="814"/>
      <c r="O177" s="814"/>
      <c r="P177" s="814"/>
      <c r="Q177" s="814"/>
      <c r="R177" s="814"/>
      <c r="S177" s="814"/>
      <c r="T177" s="814"/>
      <c r="U177" s="814"/>
      <c r="V177" s="814"/>
      <c r="W177" s="814"/>
      <c r="X177" s="815"/>
      <c r="Y177" s="816"/>
      <c r="Z177" s="738"/>
      <c r="AA177" s="738"/>
      <c r="AB177" s="738"/>
      <c r="AC177" s="738"/>
      <c r="AD177" s="817"/>
    </row>
    <row r="178" spans="1:30">
      <c r="A178" s="169"/>
      <c r="B178" s="90"/>
      <c r="C178" s="44" t="s">
        <v>2528</v>
      </c>
      <c r="D178" s="813" t="s">
        <v>5745</v>
      </c>
      <c r="E178" s="814"/>
      <c r="F178" s="814"/>
      <c r="G178" s="814"/>
      <c r="H178" s="814"/>
      <c r="I178" s="814"/>
      <c r="J178" s="814"/>
      <c r="K178" s="814"/>
      <c r="L178" s="814"/>
      <c r="M178" s="814"/>
      <c r="N178" s="814"/>
      <c r="O178" s="814"/>
      <c r="P178" s="814"/>
      <c r="Q178" s="814"/>
      <c r="R178" s="814"/>
      <c r="S178" s="814"/>
      <c r="T178" s="814"/>
      <c r="U178" s="814"/>
      <c r="V178" s="814"/>
      <c r="W178" s="814"/>
      <c r="X178" s="815"/>
      <c r="Y178" s="816"/>
      <c r="Z178" s="738"/>
      <c r="AA178" s="738"/>
      <c r="AB178" s="738"/>
      <c r="AC178" s="738"/>
      <c r="AD178" s="817"/>
    </row>
    <row r="179" spans="1:30">
      <c r="A179" s="169"/>
      <c r="B179" s="90"/>
      <c r="C179" s="44" t="s">
        <v>2529</v>
      </c>
      <c r="D179" s="813" t="s">
        <v>5746</v>
      </c>
      <c r="E179" s="814"/>
      <c r="F179" s="814"/>
      <c r="G179" s="814"/>
      <c r="H179" s="814"/>
      <c r="I179" s="814"/>
      <c r="J179" s="814"/>
      <c r="K179" s="814"/>
      <c r="L179" s="814"/>
      <c r="M179" s="814"/>
      <c r="N179" s="814"/>
      <c r="O179" s="814"/>
      <c r="P179" s="814"/>
      <c r="Q179" s="814"/>
      <c r="R179" s="814"/>
      <c r="S179" s="814"/>
      <c r="T179" s="814"/>
      <c r="U179" s="814"/>
      <c r="V179" s="814"/>
      <c r="W179" s="814"/>
      <c r="X179" s="815"/>
      <c r="Y179" s="816"/>
      <c r="Z179" s="738"/>
      <c r="AA179" s="738"/>
      <c r="AB179" s="738"/>
      <c r="AC179" s="738"/>
      <c r="AD179" s="817"/>
    </row>
    <row r="180" spans="1:30">
      <c r="A180" s="169"/>
      <c r="B180" s="90"/>
      <c r="C180" s="44" t="s">
        <v>2530</v>
      </c>
      <c r="D180" s="813" t="s">
        <v>1025</v>
      </c>
      <c r="E180" s="814"/>
      <c r="F180" s="814"/>
      <c r="G180" s="814"/>
      <c r="H180" s="814"/>
      <c r="I180" s="814"/>
      <c r="J180" s="814"/>
      <c r="K180" s="814"/>
      <c r="L180" s="814"/>
      <c r="M180" s="814"/>
      <c r="N180" s="814"/>
      <c r="O180" s="814"/>
      <c r="P180" s="814"/>
      <c r="Q180" s="814"/>
      <c r="R180" s="814"/>
      <c r="S180" s="814"/>
      <c r="T180" s="814"/>
      <c r="U180" s="814"/>
      <c r="V180" s="814"/>
      <c r="W180" s="814"/>
      <c r="X180" s="815"/>
      <c r="Y180" s="816"/>
      <c r="Z180" s="738"/>
      <c r="AA180" s="738"/>
      <c r="AB180" s="738"/>
      <c r="AC180" s="738"/>
      <c r="AD180" s="817"/>
    </row>
    <row r="181" spans="1:30">
      <c r="A181" s="169"/>
      <c r="B181" s="90"/>
      <c r="C181" s="44" t="s">
        <v>2531</v>
      </c>
      <c r="D181" s="813" t="s">
        <v>5747</v>
      </c>
      <c r="E181" s="814"/>
      <c r="F181" s="814"/>
      <c r="G181" s="814"/>
      <c r="H181" s="814"/>
      <c r="I181" s="814"/>
      <c r="J181" s="814"/>
      <c r="K181" s="814"/>
      <c r="L181" s="814"/>
      <c r="M181" s="814"/>
      <c r="N181" s="814"/>
      <c r="O181" s="814"/>
      <c r="P181" s="814"/>
      <c r="Q181" s="814"/>
      <c r="R181" s="814"/>
      <c r="S181" s="814"/>
      <c r="T181" s="814"/>
      <c r="U181" s="814"/>
      <c r="V181" s="814"/>
      <c r="W181" s="814"/>
      <c r="X181" s="815"/>
      <c r="Y181" s="816"/>
      <c r="Z181" s="738"/>
      <c r="AA181" s="738"/>
      <c r="AB181" s="738"/>
      <c r="AC181" s="738"/>
      <c r="AD181" s="817"/>
    </row>
    <row r="182" spans="1:30">
      <c r="A182" s="169"/>
      <c r="B182" s="90"/>
      <c r="C182" s="44" t="s">
        <v>2532</v>
      </c>
      <c r="D182" s="813" t="s">
        <v>5748</v>
      </c>
      <c r="E182" s="814"/>
      <c r="F182" s="814"/>
      <c r="G182" s="814"/>
      <c r="H182" s="814"/>
      <c r="I182" s="814"/>
      <c r="J182" s="814"/>
      <c r="K182" s="814"/>
      <c r="L182" s="814"/>
      <c r="M182" s="814"/>
      <c r="N182" s="814"/>
      <c r="O182" s="814"/>
      <c r="P182" s="814"/>
      <c r="Q182" s="814"/>
      <c r="R182" s="814"/>
      <c r="S182" s="814"/>
      <c r="T182" s="814"/>
      <c r="U182" s="814"/>
      <c r="V182" s="814"/>
      <c r="W182" s="814"/>
      <c r="X182" s="815"/>
      <c r="Y182" s="816"/>
      <c r="Z182" s="738"/>
      <c r="AA182" s="738"/>
      <c r="AB182" s="738"/>
      <c r="AC182" s="738"/>
      <c r="AD182" s="817"/>
    </row>
    <row r="183" spans="1:30">
      <c r="A183" s="169"/>
      <c r="B183" s="90"/>
      <c r="C183" s="44" t="s">
        <v>2533</v>
      </c>
      <c r="D183" s="813" t="s">
        <v>4639</v>
      </c>
      <c r="E183" s="814"/>
      <c r="F183" s="814"/>
      <c r="G183" s="814"/>
      <c r="H183" s="814"/>
      <c r="I183" s="814"/>
      <c r="J183" s="814"/>
      <c r="K183" s="814"/>
      <c r="L183" s="814"/>
      <c r="M183" s="814"/>
      <c r="N183" s="814"/>
      <c r="O183" s="814"/>
      <c r="P183" s="814"/>
      <c r="Q183" s="814"/>
      <c r="R183" s="814"/>
      <c r="S183" s="814"/>
      <c r="T183" s="814"/>
      <c r="U183" s="814"/>
      <c r="V183" s="814"/>
      <c r="W183" s="814"/>
      <c r="X183" s="815"/>
      <c r="Y183" s="816"/>
      <c r="Z183" s="738"/>
      <c r="AA183" s="738"/>
      <c r="AB183" s="738"/>
      <c r="AC183" s="738"/>
      <c r="AD183" s="817"/>
    </row>
    <row r="184" spans="1:30">
      <c r="A184" s="169"/>
      <c r="B184" s="90"/>
      <c r="C184" s="44" t="s">
        <v>2534</v>
      </c>
      <c r="D184" s="813" t="s">
        <v>5749</v>
      </c>
      <c r="E184" s="814"/>
      <c r="F184" s="814"/>
      <c r="G184" s="814"/>
      <c r="H184" s="814"/>
      <c r="I184" s="814"/>
      <c r="J184" s="814"/>
      <c r="K184" s="814"/>
      <c r="L184" s="814"/>
      <c r="M184" s="814"/>
      <c r="N184" s="814"/>
      <c r="O184" s="814"/>
      <c r="P184" s="814"/>
      <c r="Q184" s="814"/>
      <c r="R184" s="814"/>
      <c r="S184" s="814"/>
      <c r="T184" s="814"/>
      <c r="U184" s="814"/>
      <c r="V184" s="814"/>
      <c r="W184" s="814"/>
      <c r="X184" s="815"/>
      <c r="Y184" s="816"/>
      <c r="Z184" s="738"/>
      <c r="AA184" s="738"/>
      <c r="AB184" s="738"/>
      <c r="AC184" s="738"/>
      <c r="AD184" s="817"/>
    </row>
    <row r="185" spans="1:30">
      <c r="A185" s="169"/>
      <c r="B185" s="90"/>
      <c r="C185" s="44" t="s">
        <v>2535</v>
      </c>
      <c r="D185" s="813" t="s">
        <v>5750</v>
      </c>
      <c r="E185" s="814"/>
      <c r="F185" s="814"/>
      <c r="G185" s="814"/>
      <c r="H185" s="814"/>
      <c r="I185" s="814"/>
      <c r="J185" s="814"/>
      <c r="K185" s="814"/>
      <c r="L185" s="814"/>
      <c r="M185" s="814"/>
      <c r="N185" s="814"/>
      <c r="O185" s="814"/>
      <c r="P185" s="814"/>
      <c r="Q185" s="814"/>
      <c r="R185" s="814"/>
      <c r="S185" s="814"/>
      <c r="T185" s="814"/>
      <c r="U185" s="814"/>
      <c r="V185" s="814"/>
      <c r="W185" s="814"/>
      <c r="X185" s="815"/>
      <c r="Y185" s="816"/>
      <c r="Z185" s="738"/>
      <c r="AA185" s="738"/>
      <c r="AB185" s="738"/>
      <c r="AC185" s="738"/>
      <c r="AD185" s="817"/>
    </row>
    <row r="186" spans="1:30">
      <c r="A186" s="169"/>
      <c r="B186" s="90"/>
      <c r="C186" s="44" t="s">
        <v>2536</v>
      </c>
      <c r="D186" s="813" t="s">
        <v>5751</v>
      </c>
      <c r="E186" s="814"/>
      <c r="F186" s="814"/>
      <c r="G186" s="814"/>
      <c r="H186" s="814"/>
      <c r="I186" s="814"/>
      <c r="J186" s="814"/>
      <c r="K186" s="814"/>
      <c r="L186" s="814"/>
      <c r="M186" s="814"/>
      <c r="N186" s="814"/>
      <c r="O186" s="814"/>
      <c r="P186" s="814"/>
      <c r="Q186" s="814"/>
      <c r="R186" s="814"/>
      <c r="S186" s="814"/>
      <c r="T186" s="814"/>
      <c r="U186" s="814"/>
      <c r="V186" s="814"/>
      <c r="W186" s="814"/>
      <c r="X186" s="815"/>
      <c r="Y186" s="816"/>
      <c r="Z186" s="738"/>
      <c r="AA186" s="738"/>
      <c r="AB186" s="738"/>
      <c r="AC186" s="738"/>
      <c r="AD186" s="817"/>
    </row>
    <row r="187" spans="1:30">
      <c r="A187" s="169"/>
      <c r="B187" s="90"/>
      <c r="C187" s="44" t="s">
        <v>2537</v>
      </c>
      <c r="D187" s="813" t="s">
        <v>5752</v>
      </c>
      <c r="E187" s="814"/>
      <c r="F187" s="814"/>
      <c r="G187" s="814"/>
      <c r="H187" s="814"/>
      <c r="I187" s="814"/>
      <c r="J187" s="814"/>
      <c r="K187" s="814"/>
      <c r="L187" s="814"/>
      <c r="M187" s="814"/>
      <c r="N187" s="814"/>
      <c r="O187" s="814"/>
      <c r="P187" s="814"/>
      <c r="Q187" s="814"/>
      <c r="R187" s="814"/>
      <c r="S187" s="814"/>
      <c r="T187" s="814"/>
      <c r="U187" s="814"/>
      <c r="V187" s="814"/>
      <c r="W187" s="814"/>
      <c r="X187" s="815"/>
      <c r="Y187" s="816"/>
      <c r="Z187" s="738"/>
      <c r="AA187" s="738"/>
      <c r="AB187" s="738"/>
      <c r="AC187" s="738"/>
      <c r="AD187" s="817"/>
    </row>
    <row r="188" spans="1:30">
      <c r="A188" s="169"/>
      <c r="B188" s="90"/>
      <c r="C188" s="44" t="s">
        <v>2538</v>
      </c>
      <c r="D188" s="813" t="s">
        <v>5753</v>
      </c>
      <c r="E188" s="814"/>
      <c r="F188" s="814"/>
      <c r="G188" s="814"/>
      <c r="H188" s="814"/>
      <c r="I188" s="814"/>
      <c r="J188" s="814"/>
      <c r="K188" s="814"/>
      <c r="L188" s="814"/>
      <c r="M188" s="814"/>
      <c r="N188" s="814"/>
      <c r="O188" s="814"/>
      <c r="P188" s="814"/>
      <c r="Q188" s="814"/>
      <c r="R188" s="814"/>
      <c r="S188" s="814"/>
      <c r="T188" s="814"/>
      <c r="U188" s="814"/>
      <c r="V188" s="814"/>
      <c r="W188" s="814"/>
      <c r="X188" s="815"/>
      <c r="Y188" s="816"/>
      <c r="Z188" s="738"/>
      <c r="AA188" s="738"/>
      <c r="AB188" s="738"/>
      <c r="AC188" s="738"/>
      <c r="AD188" s="817"/>
    </row>
    <row r="189" spans="1:30">
      <c r="A189" s="169"/>
      <c r="B189" s="90"/>
      <c r="C189" s="44" t="s">
        <v>2539</v>
      </c>
      <c r="D189" s="813" t="s">
        <v>5754</v>
      </c>
      <c r="E189" s="814"/>
      <c r="F189" s="814"/>
      <c r="G189" s="814"/>
      <c r="H189" s="814"/>
      <c r="I189" s="814"/>
      <c r="J189" s="814"/>
      <c r="K189" s="814"/>
      <c r="L189" s="814"/>
      <c r="M189" s="814"/>
      <c r="N189" s="814"/>
      <c r="O189" s="814"/>
      <c r="P189" s="814"/>
      <c r="Q189" s="814"/>
      <c r="R189" s="814"/>
      <c r="S189" s="814"/>
      <c r="T189" s="814"/>
      <c r="U189" s="814"/>
      <c r="V189" s="814"/>
      <c r="W189" s="814"/>
      <c r="X189" s="815"/>
      <c r="Y189" s="816"/>
      <c r="Z189" s="738"/>
      <c r="AA189" s="738"/>
      <c r="AB189" s="738"/>
      <c r="AC189" s="738"/>
      <c r="AD189" s="817"/>
    </row>
    <row r="190" spans="1:30">
      <c r="A190" s="169"/>
      <c r="B190" s="90"/>
      <c r="C190" s="44" t="s">
        <v>2540</v>
      </c>
      <c r="D190" s="813" t="s">
        <v>5755</v>
      </c>
      <c r="E190" s="814"/>
      <c r="F190" s="814"/>
      <c r="G190" s="814"/>
      <c r="H190" s="814"/>
      <c r="I190" s="814"/>
      <c r="J190" s="814"/>
      <c r="K190" s="814"/>
      <c r="L190" s="814"/>
      <c r="M190" s="814"/>
      <c r="N190" s="814"/>
      <c r="O190" s="814"/>
      <c r="P190" s="814"/>
      <c r="Q190" s="814"/>
      <c r="R190" s="814"/>
      <c r="S190" s="814"/>
      <c r="T190" s="814"/>
      <c r="U190" s="814"/>
      <c r="V190" s="814"/>
      <c r="W190" s="814"/>
      <c r="X190" s="815"/>
      <c r="Y190" s="816"/>
      <c r="Z190" s="738"/>
      <c r="AA190" s="738"/>
      <c r="AB190" s="738"/>
      <c r="AC190" s="738"/>
      <c r="AD190" s="817"/>
    </row>
    <row r="191" spans="1:30">
      <c r="A191" s="169"/>
      <c r="B191" s="90"/>
      <c r="C191" s="44" t="s">
        <v>2541</v>
      </c>
      <c r="D191" s="813" t="s">
        <v>5756</v>
      </c>
      <c r="E191" s="814"/>
      <c r="F191" s="814"/>
      <c r="G191" s="814"/>
      <c r="H191" s="814"/>
      <c r="I191" s="814"/>
      <c r="J191" s="814"/>
      <c r="K191" s="814"/>
      <c r="L191" s="814"/>
      <c r="M191" s="814"/>
      <c r="N191" s="814"/>
      <c r="O191" s="814"/>
      <c r="P191" s="814"/>
      <c r="Q191" s="814"/>
      <c r="R191" s="814"/>
      <c r="S191" s="814"/>
      <c r="T191" s="814"/>
      <c r="U191" s="814"/>
      <c r="V191" s="814"/>
      <c r="W191" s="814"/>
      <c r="X191" s="815"/>
      <c r="Y191" s="816"/>
      <c r="Z191" s="738"/>
      <c r="AA191" s="738"/>
      <c r="AB191" s="738"/>
      <c r="AC191" s="738"/>
      <c r="AD191" s="817"/>
    </row>
    <row r="192" spans="1:30">
      <c r="A192" s="169"/>
      <c r="B192" s="90"/>
      <c r="C192" s="44" t="s">
        <v>2542</v>
      </c>
      <c r="D192" s="813" t="s">
        <v>5757</v>
      </c>
      <c r="E192" s="814"/>
      <c r="F192" s="814"/>
      <c r="G192" s="814"/>
      <c r="H192" s="814"/>
      <c r="I192" s="814"/>
      <c r="J192" s="814"/>
      <c r="K192" s="814"/>
      <c r="L192" s="814"/>
      <c r="M192" s="814"/>
      <c r="N192" s="814"/>
      <c r="O192" s="814"/>
      <c r="P192" s="814"/>
      <c r="Q192" s="814"/>
      <c r="R192" s="814"/>
      <c r="S192" s="814"/>
      <c r="T192" s="814"/>
      <c r="U192" s="814"/>
      <c r="V192" s="814"/>
      <c r="W192" s="814"/>
      <c r="X192" s="815"/>
      <c r="Y192" s="816"/>
      <c r="Z192" s="738"/>
      <c r="AA192" s="738"/>
      <c r="AB192" s="738"/>
      <c r="AC192" s="738"/>
      <c r="AD192" s="817"/>
    </row>
    <row r="193" spans="1:31">
      <c r="A193" s="169"/>
      <c r="B193" s="90"/>
      <c r="C193" s="44" t="s">
        <v>2543</v>
      </c>
      <c r="D193" s="813" t="s">
        <v>5758</v>
      </c>
      <c r="E193" s="814"/>
      <c r="F193" s="814"/>
      <c r="G193" s="814"/>
      <c r="H193" s="814"/>
      <c r="I193" s="814"/>
      <c r="J193" s="814"/>
      <c r="K193" s="814"/>
      <c r="L193" s="814"/>
      <c r="M193" s="814"/>
      <c r="N193" s="814"/>
      <c r="O193" s="814"/>
      <c r="P193" s="814"/>
      <c r="Q193" s="814"/>
      <c r="R193" s="814"/>
      <c r="S193" s="814"/>
      <c r="T193" s="814"/>
      <c r="U193" s="814"/>
      <c r="V193" s="814"/>
      <c r="W193" s="814"/>
      <c r="X193" s="815"/>
      <c r="Y193" s="816"/>
      <c r="Z193" s="738"/>
      <c r="AA193" s="738"/>
      <c r="AB193" s="738"/>
      <c r="AC193" s="738"/>
      <c r="AD193" s="817"/>
    </row>
    <row r="194" spans="1:31">
      <c r="A194" s="169"/>
      <c r="B194" s="90"/>
      <c r="C194" s="44" t="s">
        <v>2544</v>
      </c>
      <c r="D194" s="813" t="s">
        <v>5759</v>
      </c>
      <c r="E194" s="814"/>
      <c r="F194" s="814"/>
      <c r="G194" s="814"/>
      <c r="H194" s="814"/>
      <c r="I194" s="814"/>
      <c r="J194" s="814"/>
      <c r="K194" s="814"/>
      <c r="L194" s="814"/>
      <c r="M194" s="814"/>
      <c r="N194" s="814"/>
      <c r="O194" s="814"/>
      <c r="P194" s="814"/>
      <c r="Q194" s="814"/>
      <c r="R194" s="814"/>
      <c r="S194" s="814"/>
      <c r="T194" s="814"/>
      <c r="U194" s="814"/>
      <c r="V194" s="814"/>
      <c r="W194" s="814"/>
      <c r="X194" s="815"/>
      <c r="Y194" s="816"/>
      <c r="Z194" s="738"/>
      <c r="AA194" s="738"/>
      <c r="AB194" s="738"/>
      <c r="AC194" s="738"/>
      <c r="AD194" s="817"/>
    </row>
    <row r="195" spans="1:31">
      <c r="A195" s="169"/>
      <c r="B195" s="90"/>
      <c r="C195" s="44" t="s">
        <v>2545</v>
      </c>
      <c r="D195" s="813" t="s">
        <v>5760</v>
      </c>
      <c r="E195" s="814"/>
      <c r="F195" s="814"/>
      <c r="G195" s="814"/>
      <c r="H195" s="814"/>
      <c r="I195" s="814"/>
      <c r="J195" s="814"/>
      <c r="K195" s="814"/>
      <c r="L195" s="814"/>
      <c r="M195" s="814"/>
      <c r="N195" s="814"/>
      <c r="O195" s="814"/>
      <c r="P195" s="814"/>
      <c r="Q195" s="814"/>
      <c r="R195" s="814"/>
      <c r="S195" s="814"/>
      <c r="T195" s="814"/>
      <c r="U195" s="814"/>
      <c r="V195" s="814"/>
      <c r="W195" s="814"/>
      <c r="X195" s="815"/>
      <c r="Y195" s="816"/>
      <c r="Z195" s="738"/>
      <c r="AA195" s="738"/>
      <c r="AB195" s="738"/>
      <c r="AC195" s="738"/>
      <c r="AD195" s="817"/>
    </row>
    <row r="196" spans="1:31">
      <c r="A196" s="169"/>
      <c r="B196" s="90"/>
      <c r="C196" s="44" t="s">
        <v>2546</v>
      </c>
      <c r="D196" s="813" t="s">
        <v>5761</v>
      </c>
      <c r="E196" s="814"/>
      <c r="F196" s="814"/>
      <c r="G196" s="814"/>
      <c r="H196" s="814"/>
      <c r="I196" s="814"/>
      <c r="J196" s="814"/>
      <c r="K196" s="814"/>
      <c r="L196" s="814"/>
      <c r="M196" s="814"/>
      <c r="N196" s="814"/>
      <c r="O196" s="814"/>
      <c r="P196" s="814"/>
      <c r="Q196" s="814"/>
      <c r="R196" s="814"/>
      <c r="S196" s="814"/>
      <c r="T196" s="814"/>
      <c r="U196" s="814"/>
      <c r="V196" s="814"/>
      <c r="W196" s="814"/>
      <c r="X196" s="815"/>
      <c r="Y196" s="816"/>
      <c r="Z196" s="738"/>
      <c r="AA196" s="738"/>
      <c r="AB196" s="738"/>
      <c r="AC196" s="738"/>
      <c r="AD196" s="817"/>
    </row>
    <row r="197" spans="1:31">
      <c r="A197" s="169"/>
      <c r="B197" s="90"/>
      <c r="C197" s="44" t="s">
        <v>2547</v>
      </c>
      <c r="D197" s="813" t="s">
        <v>5762</v>
      </c>
      <c r="E197" s="814"/>
      <c r="F197" s="814"/>
      <c r="G197" s="814"/>
      <c r="H197" s="814"/>
      <c r="I197" s="814"/>
      <c r="J197" s="814"/>
      <c r="K197" s="814"/>
      <c r="L197" s="814"/>
      <c r="M197" s="814"/>
      <c r="N197" s="814"/>
      <c r="O197" s="814"/>
      <c r="P197" s="814"/>
      <c r="Q197" s="814"/>
      <c r="R197" s="814"/>
      <c r="S197" s="814"/>
      <c r="T197" s="814"/>
      <c r="U197" s="814"/>
      <c r="V197" s="814"/>
      <c r="W197" s="814"/>
      <c r="X197" s="815"/>
      <c r="Y197" s="816"/>
      <c r="Z197" s="738"/>
      <c r="AA197" s="738"/>
      <c r="AB197" s="738"/>
      <c r="AC197" s="738"/>
      <c r="AD197" s="817"/>
    </row>
    <row r="198" spans="1:31">
      <c r="A198" s="169"/>
      <c r="B198" s="90"/>
      <c r="C198" s="44" t="s">
        <v>2548</v>
      </c>
      <c r="D198" s="813" t="s">
        <v>5763</v>
      </c>
      <c r="E198" s="814"/>
      <c r="F198" s="814"/>
      <c r="G198" s="814"/>
      <c r="H198" s="814"/>
      <c r="I198" s="814"/>
      <c r="J198" s="814"/>
      <c r="K198" s="814"/>
      <c r="L198" s="814"/>
      <c r="M198" s="814"/>
      <c r="N198" s="814"/>
      <c r="O198" s="814"/>
      <c r="P198" s="814"/>
      <c r="Q198" s="814"/>
      <c r="R198" s="814"/>
      <c r="S198" s="814"/>
      <c r="T198" s="814"/>
      <c r="U198" s="814"/>
      <c r="V198" s="814"/>
      <c r="W198" s="814"/>
      <c r="X198" s="815"/>
      <c r="Y198" s="816"/>
      <c r="Z198" s="738"/>
      <c r="AA198" s="738"/>
      <c r="AB198" s="738"/>
      <c r="AC198" s="738"/>
      <c r="AD198" s="817"/>
    </row>
    <row r="199" spans="1:31">
      <c r="A199" s="169"/>
      <c r="B199" s="90"/>
      <c r="C199" s="44" t="s">
        <v>2549</v>
      </c>
      <c r="D199" s="796" t="s">
        <v>201</v>
      </c>
      <c r="E199" s="796"/>
      <c r="F199" s="796"/>
      <c r="G199" s="796"/>
      <c r="H199" s="796"/>
      <c r="I199" s="796"/>
      <c r="J199" s="796"/>
      <c r="K199" s="796"/>
      <c r="L199" s="796"/>
      <c r="M199" s="796"/>
      <c r="N199" s="796"/>
      <c r="O199" s="796"/>
      <c r="P199" s="796"/>
      <c r="Q199" s="796"/>
      <c r="R199" s="796"/>
      <c r="S199" s="796"/>
      <c r="T199" s="796"/>
      <c r="U199" s="796"/>
      <c r="V199" s="796"/>
      <c r="W199" s="796"/>
      <c r="X199" s="796"/>
      <c r="Y199" s="816"/>
      <c r="Z199" s="738"/>
      <c r="AA199" s="738"/>
      <c r="AB199" s="738"/>
      <c r="AC199" s="738"/>
      <c r="AD199" s="817"/>
    </row>
    <row r="200" spans="1:31">
      <c r="A200" s="169"/>
      <c r="B200" s="90"/>
      <c r="C200" s="54"/>
      <c r="D200" s="46"/>
      <c r="E200" s="46"/>
      <c r="F200" s="46"/>
      <c r="G200" s="46"/>
      <c r="H200" s="46"/>
      <c r="I200" s="120"/>
      <c r="J200" s="57"/>
      <c r="K200" s="57"/>
      <c r="L200" s="57"/>
      <c r="M200" s="57"/>
      <c r="N200" s="57"/>
      <c r="O200" s="57"/>
      <c r="P200" s="57"/>
      <c r="Q200" s="57"/>
      <c r="R200" s="57"/>
      <c r="S200" s="57"/>
      <c r="T200" s="57"/>
      <c r="U200" s="117"/>
      <c r="V200" s="131"/>
      <c r="W200" s="131"/>
      <c r="X200" s="99" t="s">
        <v>2649</v>
      </c>
      <c r="Y200" s="736">
        <f>IF(AND(SUM(Y166:Y199)=0,COUNTIF(Y166:Y199,"NS")&gt;0),"NS",IF(AND(SUM(Y166:Y199)=0,COUNTIF(Y166:Y199,0)&gt;0),0,IF(AND(SUM(Y166:Y199)=0,COUNTIF(Y166:Y199,"NA")&gt;0),"NA",SUM(Y166:Y199))))</f>
        <v>0</v>
      </c>
      <c r="Z200" s="1085"/>
      <c r="AA200" s="1085"/>
      <c r="AB200" s="1085"/>
      <c r="AC200" s="1085"/>
      <c r="AD200" s="1086"/>
    </row>
    <row r="201" spans="1:31">
      <c r="A201" s="169"/>
      <c r="B201" s="90"/>
      <c r="C201" s="90"/>
      <c r="D201" s="90"/>
      <c r="E201" s="90"/>
      <c r="F201" s="90"/>
      <c r="G201" s="90"/>
      <c r="H201" s="90"/>
      <c r="I201" s="90"/>
      <c r="J201" s="90"/>
      <c r="K201" s="90"/>
      <c r="L201" s="90"/>
      <c r="M201" s="90"/>
      <c r="N201" s="90"/>
      <c r="O201" s="90"/>
      <c r="P201" s="90"/>
      <c r="Q201" s="90"/>
      <c r="R201" s="90"/>
      <c r="S201" s="90"/>
      <c r="T201" s="90"/>
      <c r="U201" s="90"/>
      <c r="V201" s="90"/>
      <c r="W201" s="90"/>
      <c r="X201" s="90"/>
      <c r="Y201" s="90"/>
      <c r="Z201" s="90"/>
      <c r="AA201" s="90"/>
      <c r="AB201" s="90"/>
      <c r="AC201" s="90"/>
      <c r="AD201" s="90"/>
    </row>
    <row r="202" spans="1:31" ht="45" customHeight="1">
      <c r="A202" s="169"/>
      <c r="B202" s="90"/>
      <c r="C202" s="822" t="s">
        <v>5764</v>
      </c>
      <c r="D202" s="822"/>
      <c r="E202" s="822"/>
      <c r="F202" s="749"/>
      <c r="G202" s="749"/>
      <c r="H202" s="749"/>
      <c r="I202" s="749"/>
      <c r="J202" s="749"/>
      <c r="K202" s="749"/>
      <c r="L202" s="749"/>
      <c r="M202" s="749"/>
      <c r="N202" s="749"/>
      <c r="O202" s="749"/>
      <c r="P202" s="749"/>
      <c r="Q202" s="749"/>
      <c r="R202" s="749"/>
      <c r="S202" s="749"/>
      <c r="T202" s="749"/>
      <c r="U202" s="749"/>
      <c r="V202" s="749"/>
      <c r="W202" s="749"/>
      <c r="X202" s="749"/>
      <c r="Y202" s="749"/>
      <c r="Z202" s="749"/>
      <c r="AA202" s="749"/>
      <c r="AB202" s="749"/>
      <c r="AC202" s="749"/>
      <c r="AD202" s="749"/>
    </row>
    <row r="203" spans="1:31">
      <c r="A203" s="169"/>
      <c r="B203" s="1003" t="str">
        <f>IF(AND(Y198&gt;0,Y198&lt;&gt;"NA",Y198&lt;&gt;"NS",F202=""),"Debido a que cuenta con un valor mayor a cero en el numeral 33, debe anotar el nombre de dicho(s) país(es)","")</f>
        <v/>
      </c>
      <c r="C203" s="1003"/>
      <c r="D203" s="1003"/>
      <c r="E203" s="1003"/>
      <c r="F203" s="1003"/>
      <c r="G203" s="1003"/>
      <c r="H203" s="1003"/>
      <c r="I203" s="1003"/>
      <c r="J203" s="1003"/>
      <c r="K203" s="1003"/>
      <c r="L203" s="1003"/>
      <c r="M203" s="1003"/>
      <c r="N203" s="1003"/>
      <c r="O203" s="1003"/>
      <c r="P203" s="1003"/>
      <c r="Q203" s="1003"/>
      <c r="R203" s="1003"/>
      <c r="S203" s="1003"/>
      <c r="T203" s="1003"/>
      <c r="U203" s="1003"/>
      <c r="V203" s="1003"/>
      <c r="W203" s="1003"/>
      <c r="X203" s="1003"/>
      <c r="Y203" s="1003"/>
      <c r="Z203" s="1003"/>
      <c r="AA203" s="1003"/>
      <c r="AB203" s="1003"/>
      <c r="AC203" s="1003"/>
      <c r="AD203" s="1003"/>
      <c r="AE203" s="1003"/>
    </row>
    <row r="204" spans="1:31" ht="24" customHeight="1">
      <c r="A204" s="50"/>
      <c r="B204" s="38"/>
      <c r="C204" s="754" t="s">
        <v>2611</v>
      </c>
      <c r="D204" s="754"/>
      <c r="E204" s="754"/>
      <c r="F204" s="754"/>
      <c r="G204" s="754"/>
      <c r="H204" s="754"/>
      <c r="I204" s="754"/>
      <c r="J204" s="754"/>
      <c r="K204" s="754"/>
      <c r="L204" s="754"/>
      <c r="M204" s="754"/>
      <c r="N204" s="754"/>
      <c r="O204" s="754"/>
      <c r="P204" s="754"/>
      <c r="Q204" s="754"/>
      <c r="R204" s="754"/>
      <c r="S204" s="754"/>
      <c r="T204" s="754"/>
      <c r="U204" s="754"/>
      <c r="V204" s="754"/>
      <c r="W204" s="754"/>
      <c r="X204" s="754"/>
      <c r="Y204" s="754"/>
      <c r="Z204" s="754"/>
      <c r="AA204" s="754"/>
      <c r="AB204" s="754"/>
      <c r="AC204" s="754"/>
      <c r="AD204" s="754"/>
    </row>
    <row r="205" spans="1:31" ht="60" customHeight="1">
      <c r="A205" s="50"/>
      <c r="B205" s="38"/>
      <c r="C205" s="851"/>
      <c r="D205" s="851"/>
      <c r="E205" s="851"/>
      <c r="F205" s="851"/>
      <c r="G205" s="851"/>
      <c r="H205" s="851"/>
      <c r="I205" s="851"/>
      <c r="J205" s="851"/>
      <c r="K205" s="851"/>
      <c r="L205" s="851"/>
      <c r="M205" s="851"/>
      <c r="N205" s="851"/>
      <c r="O205" s="851"/>
      <c r="P205" s="851"/>
      <c r="Q205" s="851"/>
      <c r="R205" s="851"/>
      <c r="S205" s="851"/>
      <c r="T205" s="851"/>
      <c r="U205" s="851"/>
      <c r="V205" s="851"/>
      <c r="W205" s="851"/>
      <c r="X205" s="851"/>
      <c r="Y205" s="851"/>
      <c r="Z205" s="851"/>
      <c r="AA205" s="851"/>
      <c r="AB205" s="851"/>
      <c r="AC205" s="851"/>
      <c r="AD205" s="851"/>
    </row>
    <row r="206" spans="1:31" ht="15" customHeight="1">
      <c r="B206" s="794" t="str">
        <f>IF(AG166=0,"","Favor de ingresar toda la información requerida en la pregunta")</f>
        <v/>
      </c>
      <c r="C206" s="794"/>
      <c r="D206" s="794"/>
      <c r="E206" s="794"/>
      <c r="F206" s="794"/>
      <c r="G206" s="794"/>
      <c r="H206" s="794"/>
      <c r="I206" s="794"/>
      <c r="J206" s="794"/>
      <c r="K206" s="794"/>
      <c r="L206" s="794"/>
      <c r="M206" s="794"/>
      <c r="N206" s="794"/>
      <c r="O206" s="794"/>
      <c r="P206" s="794"/>
      <c r="Q206" s="794"/>
      <c r="R206" s="794"/>
      <c r="S206" s="794"/>
      <c r="T206" s="794"/>
      <c r="U206" s="794"/>
      <c r="V206" s="794"/>
      <c r="W206" s="794"/>
      <c r="X206" s="794"/>
      <c r="Y206" s="794"/>
      <c r="Z206" s="794"/>
      <c r="AA206" s="794"/>
      <c r="AB206" s="794"/>
      <c r="AC206" s="794"/>
      <c r="AD206" s="794"/>
      <c r="AE206" s="794"/>
    </row>
    <row r="207" spans="1:31" ht="15" customHeight="1">
      <c r="B207" s="1087" t="str">
        <f>IF(OR(CNSIPEE_2024_M2_Secc10!$V$77=0,CNSIPEE_2024_M2_Secc10!$V$77="NS",CNSIPEE_2024_M2_Secc10!$V$77="NA"),"",IF(COUNTIF(Y166:AD199,"NS")&lt;&gt;0,"Alerta: debido a que cuenta con registros NS, debe proporcionar una justificación en el area de comentarios al final de la pregunta",""))</f>
        <v/>
      </c>
      <c r="C207" s="1087"/>
      <c r="D207" s="1087"/>
      <c r="E207" s="1087"/>
      <c r="F207" s="1087"/>
      <c r="G207" s="1087"/>
      <c r="H207" s="1087"/>
      <c r="I207" s="1087"/>
      <c r="J207" s="1087"/>
      <c r="K207" s="1087"/>
      <c r="L207" s="1087"/>
      <c r="M207" s="1087"/>
      <c r="N207" s="1087"/>
      <c r="O207" s="1087"/>
      <c r="P207" s="1087"/>
      <c r="Q207" s="1087"/>
      <c r="R207" s="1087"/>
      <c r="S207" s="1087"/>
      <c r="T207" s="1087"/>
      <c r="U207" s="1087"/>
      <c r="V207" s="1087"/>
      <c r="W207" s="1087"/>
      <c r="X207" s="1087"/>
      <c r="Y207" s="1087"/>
      <c r="Z207" s="1087"/>
      <c r="AA207" s="1087"/>
      <c r="AB207" s="1087"/>
      <c r="AC207" s="1087"/>
      <c r="AD207" s="1087"/>
      <c r="AE207" s="1087"/>
    </row>
    <row r="208" spans="1:31" ht="15" customHeight="1">
      <c r="B208" s="1003" t="str">
        <f>IF(AH167&gt;0,"Revise la información capturada, ya que tiene datos ingresados en celdas que están sombreadas","")</f>
        <v/>
      </c>
      <c r="C208" s="1003"/>
      <c r="D208" s="1003"/>
      <c r="E208" s="1003"/>
      <c r="F208" s="1003"/>
      <c r="G208" s="1003"/>
      <c r="H208" s="1003"/>
      <c r="I208" s="1003"/>
      <c r="J208" s="1003"/>
      <c r="K208" s="1003"/>
      <c r="L208" s="1003"/>
      <c r="M208" s="1003"/>
      <c r="N208" s="1003"/>
      <c r="O208" s="1003"/>
      <c r="P208" s="1003"/>
      <c r="Q208" s="1003"/>
      <c r="R208" s="1003"/>
      <c r="S208" s="1003"/>
      <c r="T208" s="1003"/>
      <c r="U208" s="1003"/>
      <c r="V208" s="1003"/>
      <c r="W208" s="1003"/>
      <c r="X208" s="1003"/>
      <c r="Y208" s="1003"/>
      <c r="Z208" s="1003"/>
      <c r="AA208" s="1003"/>
      <c r="AB208" s="1003"/>
      <c r="AC208" s="1003"/>
      <c r="AD208" s="1003"/>
      <c r="AE208" s="1003"/>
    </row>
    <row r="209" spans="2:31" ht="15" customHeight="1">
      <c r="B209" s="1003" t="str">
        <f>IF(OR(CNSIPEE_2024_M2_Secc10!$V$77=0,CNSIPEE_2024_M2_Secc10!$V$77="NS",CNSIPEE_2024_M2_Secc10!$V$77="NA"),"",IF(CNSIPEE_2024_M2_Secc10!$V$77=Y200,"","La suma de las cantidades registradas debe corresponder con los datos reportados en la col. Total del apdo. Extradición de la preg. 10.2"))</f>
        <v/>
      </c>
      <c r="C209" s="1003"/>
      <c r="D209" s="1003"/>
      <c r="E209" s="1003"/>
      <c r="F209" s="1003"/>
      <c r="G209" s="1003"/>
      <c r="H209" s="1003"/>
      <c r="I209" s="1003"/>
      <c r="J209" s="1003"/>
      <c r="K209" s="1003"/>
      <c r="L209" s="1003"/>
      <c r="M209" s="1003"/>
      <c r="N209" s="1003"/>
      <c r="O209" s="1003"/>
      <c r="P209" s="1003"/>
      <c r="Q209" s="1003"/>
      <c r="R209" s="1003"/>
      <c r="S209" s="1003"/>
      <c r="T209" s="1003"/>
      <c r="U209" s="1003"/>
      <c r="V209" s="1003"/>
      <c r="W209" s="1003"/>
      <c r="X209" s="1003"/>
      <c r="Y209" s="1003"/>
      <c r="Z209" s="1003"/>
      <c r="AA209" s="1003"/>
      <c r="AB209" s="1003"/>
      <c r="AC209" s="1003"/>
      <c r="AD209" s="1003"/>
      <c r="AE209" s="1003"/>
    </row>
    <row r="210" spans="2:31" ht="15" customHeight="1">
      <c r="B210" s="90"/>
      <c r="C210" s="90"/>
      <c r="D210" s="90"/>
      <c r="E210" s="90"/>
      <c r="F210" s="90"/>
      <c r="G210" s="90"/>
      <c r="H210" s="90"/>
      <c r="I210" s="90"/>
      <c r="J210" s="90"/>
      <c r="K210" s="90"/>
      <c r="L210" s="90"/>
      <c r="M210" s="90"/>
      <c r="N210" s="90"/>
      <c r="O210" s="90"/>
      <c r="P210" s="90"/>
      <c r="Q210" s="90"/>
      <c r="R210" s="90"/>
      <c r="S210" s="90"/>
      <c r="T210" s="90"/>
      <c r="U210" s="90"/>
      <c r="V210" s="90"/>
      <c r="W210" s="90"/>
      <c r="X210" s="90"/>
      <c r="Y210" s="90"/>
      <c r="Z210" s="90"/>
      <c r="AA210" s="90"/>
      <c r="AB210" s="90"/>
      <c r="AC210" s="90"/>
      <c r="AD210" s="90"/>
      <c r="AE210"/>
    </row>
    <row r="211" spans="2:31" ht="15" customHeight="1">
      <c r="B211" s="90"/>
      <c r="C211" s="90"/>
      <c r="D211" s="90"/>
      <c r="E211" s="90"/>
      <c r="F211" s="90"/>
      <c r="G211" s="90"/>
      <c r="H211" s="90"/>
      <c r="I211" s="90"/>
      <c r="J211" s="90"/>
      <c r="K211" s="90"/>
      <c r="L211" s="90"/>
      <c r="M211" s="90"/>
      <c r="N211" s="90"/>
      <c r="O211" s="90"/>
      <c r="P211" s="90"/>
      <c r="Q211" s="90"/>
      <c r="R211" s="90"/>
      <c r="S211" s="90"/>
      <c r="T211" s="90"/>
      <c r="U211" s="90"/>
      <c r="V211" s="90"/>
      <c r="W211" s="90"/>
      <c r="X211" s="90"/>
      <c r="Y211" s="90"/>
      <c r="Z211" s="90"/>
      <c r="AA211" s="90"/>
      <c r="AB211" s="90"/>
      <c r="AC211" s="90"/>
      <c r="AD211" s="90"/>
      <c r="AE211"/>
    </row>
  </sheetData>
  <sheetProtection algorithmName="SHA-512" hashValue="4phBRkGcOFswumkOKQ9kgsrHXpFQv9FjWg3TDeILdF0DZVxCMR76u4W2m6Lf2sVZzntVjZOWKwGB5j3anHtoug==" saltValue="nNiJpYenCnPMcQjkF80c1A==" spinCount="100000" sheet="1" objects="1" scenarios="1"/>
  <mergeCells count="326">
    <mergeCell ref="C205:AD205"/>
    <mergeCell ref="D199:X199"/>
    <mergeCell ref="Y199:AD199"/>
    <mergeCell ref="Y200:AD200"/>
    <mergeCell ref="C202:E202"/>
    <mergeCell ref="F202:AD202"/>
    <mergeCell ref="C204:AD204"/>
    <mergeCell ref="D196:X196"/>
    <mergeCell ref="Y196:AD196"/>
    <mergeCell ref="D197:X197"/>
    <mergeCell ref="Y197:AD197"/>
    <mergeCell ref="D198:X198"/>
    <mergeCell ref="Y198:AD198"/>
    <mergeCell ref="D193:X193"/>
    <mergeCell ref="Y193:AD193"/>
    <mergeCell ref="D194:X194"/>
    <mergeCell ref="Y194:AD194"/>
    <mergeCell ref="D195:X195"/>
    <mergeCell ref="Y195:AD195"/>
    <mergeCell ref="D190:X190"/>
    <mergeCell ref="Y190:AD190"/>
    <mergeCell ref="D191:X191"/>
    <mergeCell ref="Y191:AD191"/>
    <mergeCell ref="D192:X192"/>
    <mergeCell ref="Y192:AD192"/>
    <mergeCell ref="D187:X187"/>
    <mergeCell ref="Y187:AD187"/>
    <mergeCell ref="D188:X188"/>
    <mergeCell ref="Y188:AD188"/>
    <mergeCell ref="D189:X189"/>
    <mergeCell ref="Y189:AD189"/>
    <mergeCell ref="D184:X184"/>
    <mergeCell ref="Y184:AD184"/>
    <mergeCell ref="D185:X185"/>
    <mergeCell ref="Y185:AD185"/>
    <mergeCell ref="D186:X186"/>
    <mergeCell ref="Y186:AD186"/>
    <mergeCell ref="D181:X181"/>
    <mergeCell ref="Y181:AD181"/>
    <mergeCell ref="D182:X182"/>
    <mergeCell ref="Y182:AD182"/>
    <mergeCell ref="D183:X183"/>
    <mergeCell ref="Y183:AD183"/>
    <mergeCell ref="D178:X178"/>
    <mergeCell ref="Y178:AD178"/>
    <mergeCell ref="D179:X179"/>
    <mergeCell ref="Y179:AD179"/>
    <mergeCell ref="D180:X180"/>
    <mergeCell ref="Y180:AD180"/>
    <mergeCell ref="D175:X175"/>
    <mergeCell ref="Y175:AD175"/>
    <mergeCell ref="D176:X176"/>
    <mergeCell ref="Y176:AD176"/>
    <mergeCell ref="D177:X177"/>
    <mergeCell ref="Y177:AD177"/>
    <mergeCell ref="D172:X172"/>
    <mergeCell ref="Y172:AD172"/>
    <mergeCell ref="D173:X173"/>
    <mergeCell ref="Y173:AD173"/>
    <mergeCell ref="D174:X174"/>
    <mergeCell ref="Y174:AD174"/>
    <mergeCell ref="D170:X170"/>
    <mergeCell ref="Y170:AD170"/>
    <mergeCell ref="D171:X171"/>
    <mergeCell ref="Y171:AD171"/>
    <mergeCell ref="D166:X166"/>
    <mergeCell ref="Y166:AD166"/>
    <mergeCell ref="D167:X167"/>
    <mergeCell ref="Y167:AD167"/>
    <mergeCell ref="D168:X168"/>
    <mergeCell ref="Y168:AD168"/>
    <mergeCell ref="D141:X141"/>
    <mergeCell ref="Y141:AD141"/>
    <mergeCell ref="D142:X142"/>
    <mergeCell ref="Y142:AD142"/>
    <mergeCell ref="Y143:AD143"/>
    <mergeCell ref="C145:E145"/>
    <mergeCell ref="F145:AD145"/>
    <mergeCell ref="D138:X138"/>
    <mergeCell ref="Y138:AD138"/>
    <mergeCell ref="D139:X139"/>
    <mergeCell ref="Y139:AD139"/>
    <mergeCell ref="D140:X140"/>
    <mergeCell ref="Y140:AD140"/>
    <mergeCell ref="D135:X135"/>
    <mergeCell ref="Y135:AD135"/>
    <mergeCell ref="D136:X136"/>
    <mergeCell ref="Y136:AD136"/>
    <mergeCell ref="D137:X137"/>
    <mergeCell ref="Y137:AD137"/>
    <mergeCell ref="D132:X132"/>
    <mergeCell ref="Y132:AD132"/>
    <mergeCell ref="D133:X133"/>
    <mergeCell ref="Y133:AD133"/>
    <mergeCell ref="D134:X134"/>
    <mergeCell ref="Y134:AD134"/>
    <mergeCell ref="D129:X129"/>
    <mergeCell ref="Y129:AD129"/>
    <mergeCell ref="D130:X130"/>
    <mergeCell ref="Y130:AD130"/>
    <mergeCell ref="D131:X131"/>
    <mergeCell ref="Y131:AD131"/>
    <mergeCell ref="D126:X126"/>
    <mergeCell ref="Y126:AD126"/>
    <mergeCell ref="D127:X127"/>
    <mergeCell ref="Y127:AD127"/>
    <mergeCell ref="D128:X128"/>
    <mergeCell ref="Y128:AD128"/>
    <mergeCell ref="D123:X123"/>
    <mergeCell ref="Y123:AD123"/>
    <mergeCell ref="D124:X124"/>
    <mergeCell ref="Y124:AD124"/>
    <mergeCell ref="D125:X125"/>
    <mergeCell ref="Y125:AD125"/>
    <mergeCell ref="D120:X120"/>
    <mergeCell ref="Y120:AD120"/>
    <mergeCell ref="D121:X121"/>
    <mergeCell ref="Y121:AD121"/>
    <mergeCell ref="D122:X122"/>
    <mergeCell ref="Y122:AD122"/>
    <mergeCell ref="D117:X117"/>
    <mergeCell ref="Y117:AD117"/>
    <mergeCell ref="D118:X118"/>
    <mergeCell ref="Y118:AD118"/>
    <mergeCell ref="D119:X119"/>
    <mergeCell ref="Y119:AD119"/>
    <mergeCell ref="D114:X114"/>
    <mergeCell ref="Y114:AD114"/>
    <mergeCell ref="D115:X115"/>
    <mergeCell ref="Y115:AD115"/>
    <mergeCell ref="D116:X116"/>
    <mergeCell ref="Y116:AD116"/>
    <mergeCell ref="D111:X111"/>
    <mergeCell ref="Y111:AD111"/>
    <mergeCell ref="D112:X112"/>
    <mergeCell ref="Y112:AD112"/>
    <mergeCell ref="D113:X113"/>
    <mergeCell ref="Y113:AD113"/>
    <mergeCell ref="C108:X108"/>
    <mergeCell ref="Y108:AD108"/>
    <mergeCell ref="D109:X109"/>
    <mergeCell ref="Y109:AD109"/>
    <mergeCell ref="D110:X110"/>
    <mergeCell ref="Y110:AD110"/>
    <mergeCell ref="B104:AD104"/>
    <mergeCell ref="C105:AD105"/>
    <mergeCell ref="C106:AD106"/>
    <mergeCell ref="C88:E88"/>
    <mergeCell ref="F88:AD88"/>
    <mergeCell ref="C90:AD90"/>
    <mergeCell ref="C91:AD91"/>
    <mergeCell ref="B98:AD98"/>
    <mergeCell ref="B99:AD99"/>
    <mergeCell ref="C100:AD100"/>
    <mergeCell ref="C102:AD102"/>
    <mergeCell ref="B89:AE89"/>
    <mergeCell ref="B92:AE92"/>
    <mergeCell ref="B93:AE93"/>
    <mergeCell ref="B94:AE94"/>
    <mergeCell ref="B95:AE95"/>
    <mergeCell ref="B96:AE96"/>
    <mergeCell ref="B97:AE97"/>
    <mergeCell ref="Q86:R86"/>
    <mergeCell ref="S86:T86"/>
    <mergeCell ref="U86:V86"/>
    <mergeCell ref="W86:X86"/>
    <mergeCell ref="Y86:Z86"/>
    <mergeCell ref="AA86:AB86"/>
    <mergeCell ref="AC86:AD86"/>
    <mergeCell ref="B101:AD101"/>
    <mergeCell ref="Y84:Z84"/>
    <mergeCell ref="AA84:AB84"/>
    <mergeCell ref="AC84:AD84"/>
    <mergeCell ref="D85:J85"/>
    <mergeCell ref="K85:P85"/>
    <mergeCell ref="Q85:R85"/>
    <mergeCell ref="S85:T85"/>
    <mergeCell ref="U85:V85"/>
    <mergeCell ref="W85:X85"/>
    <mergeCell ref="Y85:Z85"/>
    <mergeCell ref="D84:J84"/>
    <mergeCell ref="K84:P84"/>
    <mergeCell ref="Q84:R84"/>
    <mergeCell ref="S84:T84"/>
    <mergeCell ref="U84:V84"/>
    <mergeCell ref="W84:X84"/>
    <mergeCell ref="AA85:AB85"/>
    <mergeCell ref="AC85:AD85"/>
    <mergeCell ref="S83:T83"/>
    <mergeCell ref="U83:V83"/>
    <mergeCell ref="W83:X83"/>
    <mergeCell ref="Y83:Z83"/>
    <mergeCell ref="AA83:AB83"/>
    <mergeCell ref="AC83:AD83"/>
    <mergeCell ref="C75:AD75"/>
    <mergeCell ref="C76:AD76"/>
    <mergeCell ref="C81:J83"/>
    <mergeCell ref="K81:P83"/>
    <mergeCell ref="Q81:AD81"/>
    <mergeCell ref="Q82:R83"/>
    <mergeCell ref="S82:AD82"/>
    <mergeCell ref="C77:AD77"/>
    <mergeCell ref="C78:AD78"/>
    <mergeCell ref="C79:AD79"/>
    <mergeCell ref="C63:E63"/>
    <mergeCell ref="F63:AD63"/>
    <mergeCell ref="C65:AD65"/>
    <mergeCell ref="C66:AD66"/>
    <mergeCell ref="B73:AD73"/>
    <mergeCell ref="C74:AD74"/>
    <mergeCell ref="D60:L60"/>
    <mergeCell ref="M60:R60"/>
    <mergeCell ref="S60:X60"/>
    <mergeCell ref="Y60:AD60"/>
    <mergeCell ref="M61:R61"/>
    <mergeCell ref="S61:X61"/>
    <mergeCell ref="Y61:AD61"/>
    <mergeCell ref="B69:AE69"/>
    <mergeCell ref="B70:AE70"/>
    <mergeCell ref="B71:AE71"/>
    <mergeCell ref="B72:AE72"/>
    <mergeCell ref="C48:AD48"/>
    <mergeCell ref="C49:AD49"/>
    <mergeCell ref="D58:L58"/>
    <mergeCell ref="M58:R58"/>
    <mergeCell ref="S58:X58"/>
    <mergeCell ref="Y58:AD58"/>
    <mergeCell ref="D59:L59"/>
    <mergeCell ref="M59:R59"/>
    <mergeCell ref="S59:X59"/>
    <mergeCell ref="Y59:AD59"/>
    <mergeCell ref="D56:L56"/>
    <mergeCell ref="M56:R56"/>
    <mergeCell ref="S56:X56"/>
    <mergeCell ref="Y56:AD56"/>
    <mergeCell ref="D57:L57"/>
    <mergeCell ref="M57:R57"/>
    <mergeCell ref="S57:X57"/>
    <mergeCell ref="Y57:AD57"/>
    <mergeCell ref="C40:AD40"/>
    <mergeCell ref="C29:AD29"/>
    <mergeCell ref="B31:AD31"/>
    <mergeCell ref="C32:AD32"/>
    <mergeCell ref="C33:AD33"/>
    <mergeCell ref="C35:L36"/>
    <mergeCell ref="M35:AD35"/>
    <mergeCell ref="M36:R36"/>
    <mergeCell ref="S36:X36"/>
    <mergeCell ref="Y36:AD36"/>
    <mergeCell ref="C26:AD26"/>
    <mergeCell ref="B27:AD27"/>
    <mergeCell ref="B22:AD22"/>
    <mergeCell ref="C37:L37"/>
    <mergeCell ref="M37:R37"/>
    <mergeCell ref="S37:X37"/>
    <mergeCell ref="Y37:AD37"/>
    <mergeCell ref="C39:AD39"/>
    <mergeCell ref="C28:AD28"/>
    <mergeCell ref="B1:AD1"/>
    <mergeCell ref="B3:AD3"/>
    <mergeCell ref="B5:AD5"/>
    <mergeCell ref="AA7:AD7"/>
    <mergeCell ref="B8:L8"/>
    <mergeCell ref="N8:O8"/>
    <mergeCell ref="B23:AD23"/>
    <mergeCell ref="C24:AD24"/>
    <mergeCell ref="C25:AD25"/>
    <mergeCell ref="B10:AD10"/>
    <mergeCell ref="C11:AD11"/>
    <mergeCell ref="C12:AD12"/>
    <mergeCell ref="C13:AD13"/>
    <mergeCell ref="C16:AD16"/>
    <mergeCell ref="C17:AD17"/>
    <mergeCell ref="C18:AD18"/>
    <mergeCell ref="B19:AD19"/>
    <mergeCell ref="C20:AD20"/>
    <mergeCell ref="C14:AD14"/>
    <mergeCell ref="C15:AD15"/>
    <mergeCell ref="B41:AE41"/>
    <mergeCell ref="B42:AE42"/>
    <mergeCell ref="B43:AE43"/>
    <mergeCell ref="B44:AE44"/>
    <mergeCell ref="B45:AE45"/>
    <mergeCell ref="B46:AE46"/>
    <mergeCell ref="B64:AE64"/>
    <mergeCell ref="B67:AE67"/>
    <mergeCell ref="B68:AE68"/>
    <mergeCell ref="D54:L54"/>
    <mergeCell ref="M54:R54"/>
    <mergeCell ref="S54:X54"/>
    <mergeCell ref="Y54:AD54"/>
    <mergeCell ref="D55:L55"/>
    <mergeCell ref="M55:R55"/>
    <mergeCell ref="S55:X55"/>
    <mergeCell ref="Y55:AD55"/>
    <mergeCell ref="B47:AD47"/>
    <mergeCell ref="C50:AD50"/>
    <mergeCell ref="C52:L53"/>
    <mergeCell ref="M52:AD52"/>
    <mergeCell ref="M53:R53"/>
    <mergeCell ref="S53:X53"/>
    <mergeCell ref="Y53:AD53"/>
    <mergeCell ref="B209:AE209"/>
    <mergeCell ref="B146:AE146"/>
    <mergeCell ref="B149:AE149"/>
    <mergeCell ref="B150:AE150"/>
    <mergeCell ref="B151:AE151"/>
    <mergeCell ref="B152:AE152"/>
    <mergeCell ref="B203:AE203"/>
    <mergeCell ref="B206:AE206"/>
    <mergeCell ref="B207:AE207"/>
    <mergeCell ref="B208:AE208"/>
    <mergeCell ref="B161:AD161"/>
    <mergeCell ref="C162:AD162"/>
    <mergeCell ref="C163:AD163"/>
    <mergeCell ref="C165:X165"/>
    <mergeCell ref="Y165:AD165"/>
    <mergeCell ref="C147:AD147"/>
    <mergeCell ref="C148:AD148"/>
    <mergeCell ref="B155:AD155"/>
    <mergeCell ref="B156:AD156"/>
    <mergeCell ref="B158:AD158"/>
    <mergeCell ref="C157:AD157"/>
    <mergeCell ref="C159:AD159"/>
    <mergeCell ref="D169:X169"/>
    <mergeCell ref="Y169:AD169"/>
  </mergeCells>
  <conditionalFormatting sqref="C48:AD48">
    <cfRule type="expression" dxfId="439" priority="10">
      <formula>AN55&gt;0</formula>
    </cfRule>
  </conditionalFormatting>
  <conditionalFormatting sqref="C49:AD49">
    <cfRule type="expression" dxfId="438" priority="9">
      <formula>AND(AQ61&gt;0,C66="")</formula>
    </cfRule>
  </conditionalFormatting>
  <conditionalFormatting sqref="F63:AD63">
    <cfRule type="expression" dxfId="437" priority="19">
      <formula>OR(M60=0,M60="NA",M60="NS")</formula>
    </cfRule>
    <cfRule type="expression" dxfId="436" priority="20">
      <formula>AND(M60&gt;0,M60&lt;&gt;"NA",M60&lt;&gt;"NS",F63="")</formula>
    </cfRule>
  </conditionalFormatting>
  <conditionalFormatting sqref="F88:AD88">
    <cfRule type="expression" dxfId="435" priority="17">
      <formula>OR(AC86=0,AC86="NA",AC86="NS")</formula>
    </cfRule>
    <cfRule type="expression" dxfId="434" priority="18">
      <formula>AND(AC86&gt;0,AC86&lt;&gt;"NA",AC86&lt;&gt;"NS",F88="")</formula>
    </cfRule>
  </conditionalFormatting>
  <conditionalFormatting sqref="F145:AD145">
    <cfRule type="expression" dxfId="433" priority="15">
      <formula>OR(Y141=0,Y141="NA",Y141="NS")</formula>
    </cfRule>
    <cfRule type="expression" dxfId="432" priority="16">
      <formula>AND(Y141&gt;0,Y141&lt;&gt;"NA",Y141&lt;&gt;"NS",F145="")</formula>
    </cfRule>
  </conditionalFormatting>
  <conditionalFormatting sqref="F202:AD202">
    <cfRule type="expression" dxfId="431" priority="13">
      <formula>OR(Y198=0,Y198="NA",Y198="NS")</formula>
    </cfRule>
    <cfRule type="expression" dxfId="430" priority="14">
      <formula>AND(Y198&gt;0,Y198&lt;&gt;"NA",Y198&lt;&gt;"NS",F202="")</formula>
    </cfRule>
  </conditionalFormatting>
  <conditionalFormatting sqref="K84:AD84">
    <cfRule type="expression" dxfId="429" priority="6">
      <formula>OR($S$37=0,$S$37="NS",$S$37="NA",$C$37&lt;&gt;1)</formula>
    </cfRule>
  </conditionalFormatting>
  <conditionalFormatting sqref="K85:AD85">
    <cfRule type="expression" dxfId="428" priority="5">
      <formula>OR($Y$37=0,$Y$37="NS",$Y$37="NA",$C$37&lt;&gt;1)</formula>
    </cfRule>
  </conditionalFormatting>
  <conditionalFormatting sqref="M37:AD37">
    <cfRule type="expression" dxfId="427" priority="12">
      <formula>$C$37&gt;1</formula>
    </cfRule>
  </conditionalFormatting>
  <conditionalFormatting sqref="M54:AD60">
    <cfRule type="expression" dxfId="426" priority="11">
      <formula>$C$37&lt;&gt;1</formula>
    </cfRule>
  </conditionalFormatting>
  <conditionalFormatting sqref="Q84:AD85">
    <cfRule type="expression" dxfId="425" priority="7">
      <formula>$K84&gt;1</formula>
    </cfRule>
  </conditionalFormatting>
  <dataValidations count="1">
    <dataValidation type="list" allowBlank="1" showInputMessage="1" showErrorMessage="1" sqref="C37:L37 K84:P85" xr:uid="{7FDED558-F011-4359-858E-7CA145C21082}">
      <formula1>"1,2,9"</formula1>
    </dataValidation>
  </dataValidations>
  <hyperlinks>
    <hyperlink ref="AA7:AD7" location="Índice!B37" display="Índice" xr:uid="{740EEA92-6DA6-4E45-BAA5-490BBB3E4187}"/>
  </hyperlinks>
  <printOptions horizontalCentered="1"/>
  <pageMargins left="0.70866141732283472" right="0.70866141732283472" top="0.74803149606299213" bottom="0.74803149606299213" header="0.31496062992125984" footer="0.31496062992125984"/>
  <pageSetup scale="75" orientation="portrait" r:id="rId1"/>
  <headerFooter>
    <oddHeader>&amp;CMódulo 2 Sección XII
Cuestionario</oddHeader>
    <oddFooter>&amp;LCenso Nacional de Sistemas Penitenciarios Estatales 2024&amp;R&amp;P de &amp;N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4" id="{E67C65AE-B046-4478-8359-F3E9D12A87CE}">
            <xm:f>OR(CNSIPEE_2024_M2_Secc10!$S$77=0,CNSIPEE_2024_M2_Secc10!$S$77="NS",CNSIPEE_2024_M2_Secc10!$S$77="NA")</xm:f>
            <x14:dxf>
              <fill>
                <patternFill patternType="mediumGray"/>
              </fill>
            </x14:dxf>
          </x14:cfRule>
          <xm:sqref>Y109:AD142</xm:sqref>
        </x14:conditionalFormatting>
        <x14:conditionalFormatting xmlns:xm="http://schemas.microsoft.com/office/excel/2006/main">
          <x14:cfRule type="expression" priority="3" id="{2ABC97DE-9288-4837-99C1-6EA3B69D29B5}">
            <xm:f>OR(CNSIPEE_2024_M2_Secc10!$V$77=0,CNSIPEE_2024_M2_Secc10!$V$77="NS",CNSIPEE_2024_M2_Secc10!$V$77="NA")</xm:f>
            <x14:dxf>
              <fill>
                <patternFill patternType="mediumGray"/>
              </fill>
            </x14:dxf>
          </x14:cfRule>
          <xm:sqref>Y166:AD199</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4DB839-C89D-44E9-B2E0-770913FAD23D}">
  <dimension ref="A1:CI795"/>
  <sheetViews>
    <sheetView showGridLines="0" zoomScaleNormal="100" zoomScaleSheetLayoutView="70" workbookViewId="0"/>
  </sheetViews>
  <sheetFormatPr baseColWidth="10" defaultColWidth="0" defaultRowHeight="15" customHeight="1" zeroHeight="1"/>
  <cols>
    <col min="1" max="1" width="5.7109375" style="3" customWidth="1"/>
    <col min="2" max="30" width="3.7109375" style="3" customWidth="1"/>
    <col min="31" max="31" width="5.7109375" style="3" customWidth="1"/>
    <col min="32" max="56" width="9.28515625" style="3" hidden="1" customWidth="1"/>
    <col min="57" max="57" width="11.85546875" style="3" hidden="1" customWidth="1"/>
    <col min="58" max="16384" width="9.28515625" style="3" hidden="1"/>
  </cols>
  <sheetData>
    <row r="1" spans="1:30" ht="173.25" customHeight="1">
      <c r="A1" s="91"/>
      <c r="B1" s="718" t="s">
        <v>0</v>
      </c>
      <c r="C1" s="719"/>
      <c r="D1" s="719"/>
      <c r="E1" s="719"/>
      <c r="F1" s="719"/>
      <c r="G1" s="719"/>
      <c r="H1" s="719"/>
      <c r="I1" s="719"/>
      <c r="J1" s="719"/>
      <c r="K1" s="719"/>
      <c r="L1" s="719"/>
      <c r="M1" s="719"/>
      <c r="N1" s="719"/>
      <c r="O1" s="719"/>
      <c r="P1" s="719"/>
      <c r="Q1" s="719"/>
      <c r="R1" s="719"/>
      <c r="S1" s="719"/>
      <c r="T1" s="719"/>
      <c r="U1" s="719"/>
      <c r="V1" s="719"/>
      <c r="W1" s="719"/>
      <c r="X1" s="719"/>
      <c r="Y1" s="719"/>
      <c r="Z1" s="719"/>
      <c r="AA1" s="719"/>
      <c r="AB1" s="719"/>
      <c r="AC1" s="719"/>
      <c r="AD1" s="719"/>
    </row>
    <row r="2" spans="1:30" ht="15" customHeight="1">
      <c r="A2" s="91"/>
    </row>
    <row r="3" spans="1:30" ht="45" customHeight="1">
      <c r="A3" s="91"/>
      <c r="B3" s="720" t="s">
        <v>1</v>
      </c>
      <c r="C3" s="721"/>
      <c r="D3" s="721"/>
      <c r="E3" s="721"/>
      <c r="F3" s="721"/>
      <c r="G3" s="721"/>
      <c r="H3" s="721"/>
      <c r="I3" s="721"/>
      <c r="J3" s="721"/>
      <c r="K3" s="721"/>
      <c r="L3" s="721"/>
      <c r="M3" s="721"/>
      <c r="N3" s="721"/>
      <c r="O3" s="721"/>
      <c r="P3" s="721"/>
      <c r="Q3" s="721"/>
      <c r="R3" s="721"/>
      <c r="S3" s="721"/>
      <c r="T3" s="721"/>
      <c r="U3" s="721"/>
      <c r="V3" s="721"/>
      <c r="W3" s="721"/>
      <c r="X3" s="721"/>
      <c r="Y3" s="721"/>
      <c r="Z3" s="721"/>
      <c r="AA3" s="721"/>
      <c r="AB3" s="721"/>
      <c r="AC3" s="721"/>
      <c r="AD3" s="721"/>
    </row>
    <row r="4" spans="1:30" ht="15" customHeight="1">
      <c r="A4" s="91"/>
    </row>
    <row r="5" spans="1:30" ht="45" customHeight="1">
      <c r="A5" s="91"/>
      <c r="B5" s="720" t="s">
        <v>32</v>
      </c>
      <c r="C5" s="721"/>
      <c r="D5" s="721"/>
      <c r="E5" s="721"/>
      <c r="F5" s="721"/>
      <c r="G5" s="721"/>
      <c r="H5" s="721"/>
      <c r="I5" s="721"/>
      <c r="J5" s="721"/>
      <c r="K5" s="721"/>
      <c r="L5" s="721"/>
      <c r="M5" s="721"/>
      <c r="N5" s="721"/>
      <c r="O5" s="721"/>
      <c r="P5" s="721"/>
      <c r="Q5" s="721"/>
      <c r="R5" s="721"/>
      <c r="S5" s="721"/>
      <c r="T5" s="721"/>
      <c r="U5" s="721"/>
      <c r="V5" s="721"/>
      <c r="W5" s="721"/>
      <c r="X5" s="721"/>
      <c r="Y5" s="721"/>
      <c r="Z5" s="721"/>
      <c r="AA5" s="721"/>
      <c r="AB5" s="721"/>
      <c r="AC5" s="721"/>
      <c r="AD5" s="721"/>
    </row>
    <row r="6" spans="1:30" ht="15" customHeight="1">
      <c r="A6" s="91"/>
    </row>
    <row r="7" spans="1:30" ht="15" customHeight="1" thickBot="1">
      <c r="A7" s="91"/>
      <c r="B7" s="23" t="s">
        <v>3</v>
      </c>
      <c r="N7" s="23" t="s">
        <v>4</v>
      </c>
      <c r="P7" s="24"/>
      <c r="Q7" s="24"/>
      <c r="R7" s="24"/>
      <c r="S7" s="24"/>
      <c r="T7" s="24"/>
      <c r="U7" s="24"/>
      <c r="V7" s="24"/>
      <c r="W7" s="24"/>
      <c r="X7" s="24"/>
      <c r="Y7" s="24"/>
      <c r="Z7" s="24"/>
      <c r="AA7" s="758" t="s">
        <v>2</v>
      </c>
      <c r="AB7" s="758"/>
      <c r="AC7" s="758"/>
      <c r="AD7" s="758"/>
    </row>
    <row r="8" spans="1:30" ht="15" customHeight="1" thickBot="1">
      <c r="A8" s="108"/>
      <c r="B8" s="722" t="str">
        <f>IF(Presentación!B8="","",Presentación!B8)</f>
        <v>Puebla</v>
      </c>
      <c r="C8" s="723"/>
      <c r="D8" s="723"/>
      <c r="E8" s="723"/>
      <c r="F8" s="723"/>
      <c r="G8" s="723"/>
      <c r="H8" s="723"/>
      <c r="I8" s="723"/>
      <c r="J8" s="723"/>
      <c r="K8" s="723"/>
      <c r="L8" s="724"/>
      <c r="M8" s="25"/>
      <c r="N8" s="722">
        <f>IF(Presentación!N8="","",Presentación!N8)</f>
        <v>221</v>
      </c>
      <c r="O8" s="724"/>
      <c r="P8" s="107"/>
      <c r="Q8" s="107"/>
      <c r="R8" s="107"/>
      <c r="S8" s="109"/>
      <c r="T8" s="107"/>
      <c r="U8" s="107"/>
      <c r="V8" s="107"/>
      <c r="W8" s="107"/>
      <c r="X8" s="107"/>
      <c r="Y8" s="107"/>
      <c r="Z8" s="107"/>
      <c r="AA8" s="107"/>
      <c r="AB8" s="107"/>
      <c r="AC8" s="107"/>
      <c r="AD8" s="107"/>
    </row>
    <row r="9" spans="1:30" ht="15" customHeight="1">
      <c r="A9" s="91"/>
      <c r="C9" s="24"/>
      <c r="D9" s="24"/>
      <c r="E9" s="24"/>
      <c r="F9" s="24"/>
      <c r="G9" s="24"/>
      <c r="H9" s="24"/>
      <c r="I9" s="24"/>
      <c r="J9" s="24"/>
      <c r="K9" s="24"/>
      <c r="L9" s="24"/>
      <c r="M9" s="24"/>
      <c r="N9" s="24"/>
      <c r="O9" s="24"/>
      <c r="P9" s="24"/>
      <c r="Q9" s="24"/>
      <c r="R9" s="24"/>
      <c r="S9" s="24"/>
      <c r="T9" s="24"/>
      <c r="U9" s="24"/>
      <c r="V9" s="24"/>
      <c r="W9" s="24"/>
      <c r="X9" s="24"/>
      <c r="Y9" s="24"/>
      <c r="Z9" s="24"/>
      <c r="AA9" s="24"/>
      <c r="AB9" s="24"/>
      <c r="AC9" s="24"/>
    </row>
    <row r="10" spans="1:30" ht="15" customHeight="1">
      <c r="A10" s="94"/>
      <c r="B10" s="892" t="s">
        <v>2552</v>
      </c>
      <c r="C10" s="893"/>
      <c r="D10" s="893"/>
      <c r="E10" s="893"/>
      <c r="F10" s="893"/>
      <c r="G10" s="893"/>
      <c r="H10" s="893"/>
      <c r="I10" s="893"/>
      <c r="J10" s="893"/>
      <c r="K10" s="893"/>
      <c r="L10" s="893"/>
      <c r="M10" s="893"/>
      <c r="N10" s="893"/>
      <c r="O10" s="893"/>
      <c r="P10" s="893"/>
      <c r="Q10" s="893"/>
      <c r="R10" s="893"/>
      <c r="S10" s="893"/>
      <c r="T10" s="893"/>
      <c r="U10" s="893"/>
      <c r="V10" s="893"/>
      <c r="W10" s="893"/>
      <c r="X10" s="893"/>
      <c r="Y10" s="893"/>
      <c r="Z10" s="893"/>
      <c r="AA10" s="893"/>
      <c r="AB10" s="893"/>
      <c r="AC10" s="893"/>
      <c r="AD10" s="894"/>
    </row>
    <row r="11" spans="1:30" ht="36" customHeight="1">
      <c r="A11" s="94"/>
      <c r="B11" s="654"/>
      <c r="C11" s="754" t="s">
        <v>5773</v>
      </c>
      <c r="D11" s="754"/>
      <c r="E11" s="754"/>
      <c r="F11" s="754"/>
      <c r="G11" s="754"/>
      <c r="H11" s="754"/>
      <c r="I11" s="754"/>
      <c r="J11" s="754"/>
      <c r="K11" s="754"/>
      <c r="L11" s="754"/>
      <c r="M11" s="754"/>
      <c r="N11" s="754"/>
      <c r="O11" s="754"/>
      <c r="P11" s="754"/>
      <c r="Q11" s="754"/>
      <c r="R11" s="754"/>
      <c r="S11" s="754"/>
      <c r="T11" s="754"/>
      <c r="U11" s="754"/>
      <c r="V11" s="754"/>
      <c r="W11" s="754"/>
      <c r="X11" s="754"/>
      <c r="Y11" s="754"/>
      <c r="Z11" s="754"/>
      <c r="AA11" s="754"/>
      <c r="AB11" s="754"/>
      <c r="AC11" s="754"/>
      <c r="AD11" s="891"/>
    </row>
    <row r="12" spans="1:30" ht="24" customHeight="1">
      <c r="A12" s="94"/>
      <c r="B12" s="654"/>
      <c r="C12" s="754" t="s">
        <v>2554</v>
      </c>
      <c r="D12" s="830"/>
      <c r="E12" s="830"/>
      <c r="F12" s="830"/>
      <c r="G12" s="830"/>
      <c r="H12" s="830"/>
      <c r="I12" s="830"/>
      <c r="J12" s="830"/>
      <c r="K12" s="830"/>
      <c r="L12" s="830"/>
      <c r="M12" s="830"/>
      <c r="N12" s="830"/>
      <c r="O12" s="830"/>
      <c r="P12" s="830"/>
      <c r="Q12" s="830"/>
      <c r="R12" s="830"/>
      <c r="S12" s="830"/>
      <c r="T12" s="830"/>
      <c r="U12" s="830"/>
      <c r="V12" s="830"/>
      <c r="W12" s="830"/>
      <c r="X12" s="830"/>
      <c r="Y12" s="830"/>
      <c r="Z12" s="830"/>
      <c r="AA12" s="830"/>
      <c r="AB12" s="830"/>
      <c r="AC12" s="830"/>
      <c r="AD12" s="895"/>
    </row>
    <row r="13" spans="1:30" ht="60" customHeight="1">
      <c r="A13" s="146"/>
      <c r="B13" s="654"/>
      <c r="C13" s="754" t="s">
        <v>2555</v>
      </c>
      <c r="D13" s="830"/>
      <c r="E13" s="830"/>
      <c r="F13" s="830"/>
      <c r="G13" s="830"/>
      <c r="H13" s="830"/>
      <c r="I13" s="830"/>
      <c r="J13" s="830"/>
      <c r="K13" s="830"/>
      <c r="L13" s="830"/>
      <c r="M13" s="830"/>
      <c r="N13" s="830"/>
      <c r="O13" s="830"/>
      <c r="P13" s="830"/>
      <c r="Q13" s="830"/>
      <c r="R13" s="830"/>
      <c r="S13" s="830"/>
      <c r="T13" s="830"/>
      <c r="U13" s="830"/>
      <c r="V13" s="830"/>
      <c r="W13" s="830"/>
      <c r="X13" s="830"/>
      <c r="Y13" s="830"/>
      <c r="Z13" s="830"/>
      <c r="AA13" s="830"/>
      <c r="AB13" s="830"/>
      <c r="AC13" s="830"/>
      <c r="AD13" s="895"/>
    </row>
    <row r="14" spans="1:30" ht="15" customHeight="1">
      <c r="A14" s="147"/>
      <c r="B14" s="654"/>
      <c r="C14" s="754" t="s">
        <v>3021</v>
      </c>
      <c r="D14" s="830"/>
      <c r="E14" s="830"/>
      <c r="F14" s="830"/>
      <c r="G14" s="830"/>
      <c r="H14" s="830"/>
      <c r="I14" s="830"/>
      <c r="J14" s="830"/>
      <c r="K14" s="830"/>
      <c r="L14" s="830"/>
      <c r="M14" s="830"/>
      <c r="N14" s="830"/>
      <c r="O14" s="830"/>
      <c r="P14" s="830"/>
      <c r="Q14" s="830"/>
      <c r="R14" s="830"/>
      <c r="S14" s="830"/>
      <c r="T14" s="830"/>
      <c r="U14" s="830"/>
      <c r="V14" s="830"/>
      <c r="W14" s="830"/>
      <c r="X14" s="830"/>
      <c r="Y14" s="830"/>
      <c r="Z14" s="830"/>
      <c r="AA14" s="830"/>
      <c r="AB14" s="830"/>
      <c r="AC14" s="830"/>
      <c r="AD14" s="886"/>
    </row>
    <row r="15" spans="1:30" ht="24" customHeight="1">
      <c r="A15" s="115"/>
      <c r="B15" s="181"/>
      <c r="C15" s="754" t="s">
        <v>3022</v>
      </c>
      <c r="D15" s="754"/>
      <c r="E15" s="754"/>
      <c r="F15" s="754"/>
      <c r="G15" s="754"/>
      <c r="H15" s="754"/>
      <c r="I15" s="754"/>
      <c r="J15" s="754"/>
      <c r="K15" s="754"/>
      <c r="L15" s="754"/>
      <c r="M15" s="754"/>
      <c r="N15" s="754"/>
      <c r="O15" s="754"/>
      <c r="P15" s="754"/>
      <c r="Q15" s="754"/>
      <c r="R15" s="754"/>
      <c r="S15" s="754"/>
      <c r="T15" s="754"/>
      <c r="U15" s="754"/>
      <c r="V15" s="754"/>
      <c r="W15" s="754"/>
      <c r="X15" s="754"/>
      <c r="Y15" s="754"/>
      <c r="Z15" s="754"/>
      <c r="AA15" s="754"/>
      <c r="AB15" s="754"/>
      <c r="AC15" s="754"/>
      <c r="AD15" s="891"/>
    </row>
    <row r="16" spans="1:30" ht="36" customHeight="1">
      <c r="A16" s="110"/>
      <c r="B16" s="111"/>
      <c r="C16" s="754" t="s">
        <v>2558</v>
      </c>
      <c r="D16" s="754"/>
      <c r="E16" s="754"/>
      <c r="F16" s="754"/>
      <c r="G16" s="754"/>
      <c r="H16" s="754"/>
      <c r="I16" s="754"/>
      <c r="J16" s="754"/>
      <c r="K16" s="754"/>
      <c r="L16" s="754"/>
      <c r="M16" s="754"/>
      <c r="N16" s="754"/>
      <c r="O16" s="754"/>
      <c r="P16" s="754"/>
      <c r="Q16" s="754"/>
      <c r="R16" s="754"/>
      <c r="S16" s="754"/>
      <c r="T16" s="754"/>
      <c r="U16" s="754"/>
      <c r="V16" s="754"/>
      <c r="W16" s="754"/>
      <c r="X16" s="754"/>
      <c r="Y16" s="754"/>
      <c r="Z16" s="754"/>
      <c r="AA16" s="754"/>
      <c r="AB16" s="754"/>
      <c r="AC16" s="754"/>
      <c r="AD16" s="755"/>
    </row>
    <row r="17" spans="1:31" ht="48" customHeight="1">
      <c r="A17" s="146"/>
      <c r="B17" s="654"/>
      <c r="C17" s="754" t="s">
        <v>2559</v>
      </c>
      <c r="D17" s="754"/>
      <c r="E17" s="754"/>
      <c r="F17" s="754"/>
      <c r="G17" s="754"/>
      <c r="H17" s="754"/>
      <c r="I17" s="754"/>
      <c r="J17" s="754"/>
      <c r="K17" s="754"/>
      <c r="L17" s="754"/>
      <c r="M17" s="754"/>
      <c r="N17" s="754"/>
      <c r="O17" s="754"/>
      <c r="P17" s="754"/>
      <c r="Q17" s="754"/>
      <c r="R17" s="754"/>
      <c r="S17" s="754"/>
      <c r="T17" s="754"/>
      <c r="U17" s="754"/>
      <c r="V17" s="754"/>
      <c r="W17" s="754"/>
      <c r="X17" s="754"/>
      <c r="Y17" s="754"/>
      <c r="Z17" s="754"/>
      <c r="AA17" s="754"/>
      <c r="AB17" s="754"/>
      <c r="AC17" s="754"/>
      <c r="AD17" s="755"/>
    </row>
    <row r="18" spans="1:31" ht="15" customHeight="1">
      <c r="A18" s="94"/>
      <c r="B18" s="209"/>
      <c r="C18" s="764" t="s">
        <v>2560</v>
      </c>
      <c r="D18" s="764"/>
      <c r="E18" s="764"/>
      <c r="F18" s="764"/>
      <c r="G18" s="764"/>
      <c r="H18" s="764"/>
      <c r="I18" s="764"/>
      <c r="J18" s="764"/>
      <c r="K18" s="764"/>
      <c r="L18" s="764"/>
      <c r="M18" s="764"/>
      <c r="N18" s="764"/>
      <c r="O18" s="764"/>
      <c r="P18" s="764"/>
      <c r="Q18" s="764"/>
      <c r="R18" s="764"/>
      <c r="S18" s="764"/>
      <c r="T18" s="764"/>
      <c r="U18" s="764"/>
      <c r="V18" s="764"/>
      <c r="W18" s="764"/>
      <c r="X18" s="764"/>
      <c r="Y18" s="764"/>
      <c r="Z18" s="764"/>
      <c r="AA18" s="764"/>
      <c r="AB18" s="764"/>
      <c r="AC18" s="764"/>
      <c r="AD18" s="765"/>
    </row>
    <row r="19" spans="1:31" ht="15" customHeight="1">
      <c r="A19" s="50"/>
      <c r="B19" s="838" t="s">
        <v>2561</v>
      </c>
      <c r="C19" s="839"/>
      <c r="D19" s="839"/>
      <c r="E19" s="839"/>
      <c r="F19" s="839"/>
      <c r="G19" s="839"/>
      <c r="H19" s="839"/>
      <c r="I19" s="839"/>
      <c r="J19" s="839"/>
      <c r="K19" s="839"/>
      <c r="L19" s="839"/>
      <c r="M19" s="839"/>
      <c r="N19" s="839"/>
      <c r="O19" s="839"/>
      <c r="P19" s="839"/>
      <c r="Q19" s="839"/>
      <c r="R19" s="839"/>
      <c r="S19" s="839"/>
      <c r="T19" s="839"/>
      <c r="U19" s="839"/>
      <c r="V19" s="839"/>
      <c r="W19" s="839"/>
      <c r="X19" s="839"/>
      <c r="Y19" s="839"/>
      <c r="Z19" s="839"/>
      <c r="AA19" s="839"/>
      <c r="AB19" s="839"/>
      <c r="AC19" s="839"/>
      <c r="AD19" s="840"/>
    </row>
    <row r="20" spans="1:31" ht="36" customHeight="1">
      <c r="A20" s="50"/>
      <c r="B20" s="80"/>
      <c r="C20" s="764" t="s">
        <v>5774</v>
      </c>
      <c r="D20" s="764"/>
      <c r="E20" s="764"/>
      <c r="F20" s="764"/>
      <c r="G20" s="764"/>
      <c r="H20" s="764"/>
      <c r="I20" s="764"/>
      <c r="J20" s="764"/>
      <c r="K20" s="764"/>
      <c r="L20" s="764"/>
      <c r="M20" s="764"/>
      <c r="N20" s="764"/>
      <c r="O20" s="764"/>
      <c r="P20" s="764"/>
      <c r="Q20" s="764"/>
      <c r="R20" s="764"/>
      <c r="S20" s="764"/>
      <c r="T20" s="764"/>
      <c r="U20" s="764"/>
      <c r="V20" s="764"/>
      <c r="W20" s="764"/>
      <c r="X20" s="764"/>
      <c r="Y20" s="764"/>
      <c r="Z20" s="764"/>
      <c r="AA20" s="764"/>
      <c r="AB20" s="764"/>
      <c r="AC20" s="764"/>
      <c r="AD20" s="765"/>
    </row>
    <row r="21" spans="1:31" ht="15.75" thickBot="1">
      <c r="A21" s="50"/>
    </row>
    <row r="22" spans="1:31" customFormat="1" ht="15" customHeight="1" thickBot="1">
      <c r="A22" s="19" t="s">
        <v>2563</v>
      </c>
      <c r="B22" s="1081" t="s">
        <v>5775</v>
      </c>
      <c r="C22" s="1082"/>
      <c r="D22" s="1082"/>
      <c r="E22" s="1082"/>
      <c r="F22" s="1082"/>
      <c r="G22" s="1082"/>
      <c r="H22" s="1082"/>
      <c r="I22" s="1082"/>
      <c r="J22" s="1082"/>
      <c r="K22" s="1082"/>
      <c r="L22" s="1082"/>
      <c r="M22" s="1082"/>
      <c r="N22" s="1082"/>
      <c r="O22" s="1082"/>
      <c r="P22" s="1082"/>
      <c r="Q22" s="1082"/>
      <c r="R22" s="1082"/>
      <c r="S22" s="1082"/>
      <c r="T22" s="1082"/>
      <c r="U22" s="1082"/>
      <c r="V22" s="1082"/>
      <c r="W22" s="1082"/>
      <c r="X22" s="1082"/>
      <c r="Y22" s="1082"/>
      <c r="Z22" s="1082"/>
      <c r="AA22" s="1082"/>
      <c r="AB22" s="1082"/>
      <c r="AC22" s="1082"/>
      <c r="AD22" s="1083"/>
      <c r="AE22" s="3"/>
    </row>
    <row r="23" spans="1:31" ht="15" customHeight="1">
      <c r="A23" s="142"/>
      <c r="B23" s="1144" t="s">
        <v>2565</v>
      </c>
      <c r="C23" s="977"/>
      <c r="D23" s="977"/>
      <c r="E23" s="977"/>
      <c r="F23" s="977"/>
      <c r="G23" s="977"/>
      <c r="H23" s="977"/>
      <c r="I23" s="977"/>
      <c r="J23" s="977"/>
      <c r="K23" s="977"/>
      <c r="L23" s="977"/>
      <c r="M23" s="977"/>
      <c r="N23" s="977"/>
      <c r="O23" s="977"/>
      <c r="P23" s="977"/>
      <c r="Q23" s="977"/>
      <c r="R23" s="977"/>
      <c r="S23" s="977"/>
      <c r="T23" s="977"/>
      <c r="U23" s="977"/>
      <c r="V23" s="977"/>
      <c r="W23" s="977"/>
      <c r="X23" s="977"/>
      <c r="Y23" s="977"/>
      <c r="Z23" s="977"/>
      <c r="AA23" s="977"/>
      <c r="AB23" s="977"/>
      <c r="AC23" s="977"/>
      <c r="AD23" s="1145"/>
    </row>
    <row r="24" spans="1:31" ht="36" customHeight="1">
      <c r="A24" s="142"/>
      <c r="B24" s="200"/>
      <c r="C24" s="764" t="s">
        <v>5776</v>
      </c>
      <c r="D24" s="876"/>
      <c r="E24" s="876"/>
      <c r="F24" s="876"/>
      <c r="G24" s="876"/>
      <c r="H24" s="876"/>
      <c r="I24" s="876"/>
      <c r="J24" s="876"/>
      <c r="K24" s="876"/>
      <c r="L24" s="876"/>
      <c r="M24" s="876"/>
      <c r="N24" s="876"/>
      <c r="O24" s="876"/>
      <c r="P24" s="876"/>
      <c r="Q24" s="876"/>
      <c r="R24" s="876"/>
      <c r="S24" s="876"/>
      <c r="T24" s="876"/>
      <c r="U24" s="876"/>
      <c r="V24" s="876"/>
      <c r="W24" s="876"/>
      <c r="X24" s="876"/>
      <c r="Y24" s="876"/>
      <c r="Z24" s="876"/>
      <c r="AA24" s="876"/>
      <c r="AB24" s="876"/>
      <c r="AC24" s="876"/>
      <c r="AD24" s="877"/>
    </row>
    <row r="25" spans="1:31" ht="15" customHeight="1">
      <c r="A25" s="119"/>
    </row>
    <row r="26" spans="1:31" ht="48" customHeight="1">
      <c r="A26" s="49" t="s">
        <v>5777</v>
      </c>
      <c r="B26" s="829" t="s">
        <v>5778</v>
      </c>
      <c r="C26" s="829"/>
      <c r="D26" s="829"/>
      <c r="E26" s="829"/>
      <c r="F26" s="829"/>
      <c r="G26" s="829"/>
      <c r="H26" s="829"/>
      <c r="I26" s="829"/>
      <c r="J26" s="829"/>
      <c r="K26" s="829"/>
      <c r="L26" s="829"/>
      <c r="M26" s="829"/>
      <c r="N26" s="829"/>
      <c r="O26" s="829"/>
      <c r="P26" s="829"/>
      <c r="Q26" s="829"/>
      <c r="R26" s="829"/>
      <c r="S26" s="829"/>
      <c r="T26" s="829"/>
      <c r="U26" s="829"/>
      <c r="V26" s="829"/>
      <c r="W26" s="829"/>
      <c r="X26" s="829"/>
      <c r="Y26" s="829"/>
      <c r="Z26" s="829"/>
      <c r="AA26" s="829"/>
      <c r="AB26" s="829"/>
      <c r="AC26" s="829"/>
      <c r="AD26" s="829"/>
    </row>
    <row r="27" spans="1:31" ht="24" customHeight="1">
      <c r="A27" s="49"/>
      <c r="B27" s="105"/>
      <c r="C27" s="754" t="s">
        <v>5779</v>
      </c>
      <c r="D27" s="754"/>
      <c r="E27" s="754"/>
      <c r="F27" s="754"/>
      <c r="G27" s="754"/>
      <c r="H27" s="754"/>
      <c r="I27" s="754"/>
      <c r="J27" s="754"/>
      <c r="K27" s="754"/>
      <c r="L27" s="754"/>
      <c r="M27" s="754"/>
      <c r="N27" s="754"/>
      <c r="O27" s="754"/>
      <c r="P27" s="754"/>
      <c r="Q27" s="754"/>
      <c r="R27" s="754"/>
      <c r="S27" s="754"/>
      <c r="T27" s="754"/>
      <c r="U27" s="754"/>
      <c r="V27" s="754"/>
      <c r="W27" s="754"/>
      <c r="X27" s="754"/>
      <c r="Y27" s="754"/>
      <c r="Z27" s="754"/>
      <c r="AA27" s="754"/>
      <c r="AB27" s="754"/>
      <c r="AC27" s="754"/>
      <c r="AD27" s="754"/>
    </row>
    <row r="28" spans="1:31" ht="36" customHeight="1">
      <c r="A28" s="49"/>
      <c r="B28" s="105"/>
      <c r="C28" s="830" t="s">
        <v>5780</v>
      </c>
      <c r="D28" s="830"/>
      <c r="E28" s="830"/>
      <c r="F28" s="830"/>
      <c r="G28" s="830"/>
      <c r="H28" s="830"/>
      <c r="I28" s="830"/>
      <c r="J28" s="830"/>
      <c r="K28" s="830"/>
      <c r="L28" s="830"/>
      <c r="M28" s="830"/>
      <c r="N28" s="830"/>
      <c r="O28" s="830"/>
      <c r="P28" s="830"/>
      <c r="Q28" s="830"/>
      <c r="R28" s="830"/>
      <c r="S28" s="830"/>
      <c r="T28" s="830"/>
      <c r="U28" s="830"/>
      <c r="V28" s="830"/>
      <c r="W28" s="830"/>
      <c r="X28" s="830"/>
      <c r="Y28" s="830"/>
      <c r="Z28" s="830"/>
      <c r="AA28" s="830"/>
      <c r="AB28" s="830"/>
      <c r="AC28" s="830"/>
      <c r="AD28" s="830"/>
    </row>
    <row r="29" spans="1:31" ht="36" customHeight="1">
      <c r="A29" s="50"/>
      <c r="B29" s="38"/>
      <c r="C29" s="830" t="s">
        <v>5781</v>
      </c>
      <c r="D29" s="830"/>
      <c r="E29" s="830"/>
      <c r="F29" s="830"/>
      <c r="G29" s="830"/>
      <c r="H29" s="830"/>
      <c r="I29" s="830"/>
      <c r="J29" s="830"/>
      <c r="K29" s="830"/>
      <c r="L29" s="830"/>
      <c r="M29" s="830"/>
      <c r="N29" s="830"/>
      <c r="O29" s="830"/>
      <c r="P29" s="830"/>
      <c r="Q29" s="830"/>
      <c r="R29" s="830"/>
      <c r="S29" s="830"/>
      <c r="T29" s="830"/>
      <c r="U29" s="830"/>
      <c r="V29" s="830"/>
      <c r="W29" s="830"/>
      <c r="X29" s="830"/>
      <c r="Y29" s="830"/>
      <c r="Z29" s="830"/>
      <c r="AA29" s="830"/>
      <c r="AB29" s="830"/>
      <c r="AC29" s="830"/>
      <c r="AD29" s="830"/>
    </row>
    <row r="30" spans="1:31" ht="48" customHeight="1">
      <c r="A30" s="50"/>
      <c r="B30" s="38"/>
      <c r="C30" s="754" t="s">
        <v>5782</v>
      </c>
      <c r="D30" s="754"/>
      <c r="E30" s="754"/>
      <c r="F30" s="754"/>
      <c r="G30" s="754"/>
      <c r="H30" s="754"/>
      <c r="I30" s="754"/>
      <c r="J30" s="754"/>
      <c r="K30" s="754"/>
      <c r="L30" s="754"/>
      <c r="M30" s="754"/>
      <c r="N30" s="754"/>
      <c r="O30" s="754"/>
      <c r="P30" s="754"/>
      <c r="Q30" s="754"/>
      <c r="R30" s="754"/>
      <c r="S30" s="754"/>
      <c r="T30" s="754"/>
      <c r="U30" s="754"/>
      <c r="V30" s="754"/>
      <c r="W30" s="754"/>
      <c r="X30" s="754"/>
      <c r="Y30" s="754"/>
      <c r="Z30" s="754"/>
      <c r="AA30" s="754"/>
      <c r="AB30" s="754"/>
      <c r="AC30" s="754"/>
      <c r="AD30" s="754"/>
    </row>
    <row r="31" spans="1:31" ht="15" customHeight="1">
      <c r="A31" s="142"/>
      <c r="B31" s="57"/>
      <c r="C31" s="57"/>
      <c r="D31" s="57"/>
      <c r="E31" s="57"/>
      <c r="F31" s="57"/>
      <c r="G31" s="57"/>
      <c r="H31" s="57"/>
      <c r="I31" s="57"/>
      <c r="J31" s="57"/>
      <c r="K31" s="57"/>
      <c r="L31" s="57"/>
      <c r="M31" s="57"/>
      <c r="N31" s="57"/>
      <c r="O31" s="57"/>
      <c r="P31" s="57"/>
      <c r="Q31" s="57"/>
      <c r="R31" s="57"/>
      <c r="S31" s="57"/>
      <c r="T31" s="57"/>
      <c r="U31" s="57"/>
      <c r="V31" s="57"/>
      <c r="W31" s="57"/>
      <c r="X31" s="57"/>
      <c r="Y31" s="57"/>
      <c r="Z31" s="57"/>
      <c r="AA31" s="57"/>
      <c r="AB31" s="57"/>
      <c r="AC31" s="57"/>
      <c r="AD31" s="57"/>
    </row>
    <row r="32" spans="1:31" ht="60" customHeight="1">
      <c r="A32" s="142"/>
      <c r="B32" s="57"/>
      <c r="C32" s="797" t="s">
        <v>2581</v>
      </c>
      <c r="D32" s="798"/>
      <c r="E32" s="798"/>
      <c r="F32" s="798"/>
      <c r="G32" s="798"/>
      <c r="H32" s="798"/>
      <c r="I32" s="798"/>
      <c r="J32" s="799"/>
      <c r="K32" s="732" t="s">
        <v>5783</v>
      </c>
      <c r="L32" s="732"/>
      <c r="M32" s="732"/>
      <c r="N32" s="732"/>
      <c r="O32" s="732" t="s">
        <v>5784</v>
      </c>
      <c r="P32" s="732"/>
      <c r="Q32" s="732"/>
      <c r="R32" s="732"/>
      <c r="S32" s="739" t="s">
        <v>5785</v>
      </c>
      <c r="T32" s="740"/>
      <c r="U32" s="740"/>
      <c r="V32" s="740"/>
      <c r="W32" s="740"/>
      <c r="X32" s="741"/>
      <c r="Y32" s="739" t="s">
        <v>5786</v>
      </c>
      <c r="Z32" s="740"/>
      <c r="AA32" s="740"/>
      <c r="AB32" s="740"/>
      <c r="AC32" s="740"/>
      <c r="AD32" s="741"/>
    </row>
    <row r="33" spans="1:48" ht="48" customHeight="1">
      <c r="A33" s="142"/>
      <c r="B33" s="57"/>
      <c r="C33" s="803"/>
      <c r="D33" s="804"/>
      <c r="E33" s="804"/>
      <c r="F33" s="804"/>
      <c r="G33" s="804"/>
      <c r="H33" s="804"/>
      <c r="I33" s="804"/>
      <c r="J33" s="805"/>
      <c r="K33" s="732"/>
      <c r="L33" s="732"/>
      <c r="M33" s="732"/>
      <c r="N33" s="732"/>
      <c r="O33" s="732"/>
      <c r="P33" s="732"/>
      <c r="Q33" s="732"/>
      <c r="R33" s="732"/>
      <c r="S33" s="739" t="s">
        <v>2628</v>
      </c>
      <c r="T33" s="741"/>
      <c r="U33" s="858" t="s">
        <v>2629</v>
      </c>
      <c r="V33" s="860"/>
      <c r="W33" s="858" t="s">
        <v>2630</v>
      </c>
      <c r="X33" s="860"/>
      <c r="Y33" s="739" t="s">
        <v>2628</v>
      </c>
      <c r="Z33" s="741"/>
      <c r="AA33" s="858" t="s">
        <v>2629</v>
      </c>
      <c r="AB33" s="860"/>
      <c r="AC33" s="858" t="s">
        <v>2630</v>
      </c>
      <c r="AD33" s="860"/>
      <c r="AF33" t="s">
        <v>4713</v>
      </c>
      <c r="AG33" t="s">
        <v>2586</v>
      </c>
      <c r="AH33" t="s">
        <v>4581</v>
      </c>
      <c r="AI33"/>
      <c r="AJ33"/>
      <c r="AK33" t="s">
        <v>5290</v>
      </c>
      <c r="AL33"/>
      <c r="AM33"/>
      <c r="AN33" t="s">
        <v>5253</v>
      </c>
      <c r="AO33"/>
      <c r="AP33"/>
      <c r="AQ33" t="s">
        <v>2590</v>
      </c>
      <c r="AR33" t="s">
        <v>3163</v>
      </c>
      <c r="AS33" t="s">
        <v>4564</v>
      </c>
      <c r="AT33" t="s">
        <v>2590</v>
      </c>
      <c r="AU33" t="s">
        <v>3163</v>
      </c>
      <c r="AV33" t="s">
        <v>4564</v>
      </c>
    </row>
    <row r="34" spans="1:48" ht="15" customHeight="1">
      <c r="A34" s="142"/>
      <c r="B34" s="57"/>
      <c r="C34" s="97" t="s">
        <v>2516</v>
      </c>
      <c r="D34" s="813" t="str">
        <f>IF(CNSIPEE_2024_M2_Secc1!D42="","",CNSIPEE_2024_M2_Secc1!D42)</f>
        <v/>
      </c>
      <c r="E34" s="814"/>
      <c r="F34" s="814"/>
      <c r="G34" s="814"/>
      <c r="H34" s="814"/>
      <c r="I34" s="814"/>
      <c r="J34" s="815"/>
      <c r="K34" s="816"/>
      <c r="L34" s="738"/>
      <c r="M34" s="738"/>
      <c r="N34" s="817"/>
      <c r="O34" s="816"/>
      <c r="P34" s="738"/>
      <c r="Q34" s="738"/>
      <c r="R34" s="817"/>
      <c r="S34" s="816"/>
      <c r="T34" s="817"/>
      <c r="U34" s="816"/>
      <c r="V34" s="817"/>
      <c r="W34" s="816"/>
      <c r="X34" s="817"/>
      <c r="Y34" s="816"/>
      <c r="Z34" s="817"/>
      <c r="AA34" s="816"/>
      <c r="AB34" s="817"/>
      <c r="AC34" s="816"/>
      <c r="AD34" s="817"/>
      <c r="AF34">
        <f>IF(AND(K34=1,S34=0),1,0)</f>
        <v>0</v>
      </c>
      <c r="AG34">
        <f>IF(OR(CNSIPEE_2024_M2_Secc8!$M40=0,CNSIPEE_2024_M2_Secc8!$M40="NS",CNSIPEE_2024_M2_Secc8!$M40="NA",COUNTBLANK(D34:AD34)=27),0,IF(COUNTBLANK(D34)=1,1,IF(K34&gt;1,0,IF(AND(COUNTA(K34:AD34)=8,K34=1),0,1))))</f>
        <v>0</v>
      </c>
      <c r="AH34">
        <f>IF(OR(CNSIPEE_2024_M2_Secc8!$M40=0,CNSIPEE_2024_M2_Secc8!$M40="NS",CNSIPEE_2024_M2_Secc8!$M40="NA"),IF(COUNTA(K34:AD34)=0,0,1),IF(K34&gt;1,IF(COUNTA(O34:AD34)=0,0,1),0))</f>
        <v>0</v>
      </c>
      <c r="AI34"/>
      <c r="AJ34"/>
      <c r="AK34" cm="1">
        <f t="array" ref="AK34">IF(OR(S34={"NS","NA"},CNSIPEE_2024_M2_Secc8!$M40={"NS","NA"}),0,IF(S34&lt;=CNSIPEE_2024_M2_Secc8!$M40,0,1))</f>
        <v>0</v>
      </c>
      <c r="AL34" cm="1">
        <f t="array" ref="AL34">IF(OR(U34={"NS","NA"},CNSIPEE_2024_M2_Secc8!$S40={"NS","NA"}),0,IF(U34&lt;=CNSIPEE_2024_M2_Secc8!$S40,0,1))</f>
        <v>0</v>
      </c>
      <c r="AM34" cm="1">
        <f t="array" ref="AM34">IF(OR(W34={"NS","NA"},CNSIPEE_2024_M2_Secc8!$Y40={"NS","NA"}),0,IF(W34&lt;=CNSIPEE_2024_M2_Secc8!$Y40,0,1))</f>
        <v>0</v>
      </c>
      <c r="AN34" cm="1">
        <f t="array" ref="AN34">IF(OR(Y34={"NS","NA"},S34={"NS","NA"}),0,IF(Y34&lt;=S34,0,1))</f>
        <v>0</v>
      </c>
      <c r="AO34" cm="1">
        <f t="array" ref="AO34">IF(OR(AA34={"NS","NA"},U34={"NS","NA"}),0,IF(AA34&lt;=U34,0,1))</f>
        <v>0</v>
      </c>
      <c r="AP34" cm="1">
        <f t="array" ref="AP34">IF(OR(AC34={"NS","NA"},W34={"NS","NA"}),0,IF(AC34&lt;=W34,0,1))</f>
        <v>0</v>
      </c>
      <c r="AQ34">
        <f t="shared" ref="AQ34:AQ41" si="0">COUNTIF(U34:X34,"NS")</f>
        <v>0</v>
      </c>
      <c r="AR34">
        <f t="shared" ref="AR34:AR41" si="1">SUM(U34:X34)</f>
        <v>0</v>
      </c>
      <c r="AS34">
        <f t="shared" ref="AS34:AS41" si="2">IF(COUNTIF(S34:X34,"NA")=3,0,IF(COUNTA(S34:X34)=0,0,IF(OR(AND(S34=0,AQ34&gt;0),AND(S34="ns",AR34&gt;0),AND(S34="ns",AQ34=0,AR34=0)),1,IF(OR(AND(S34&gt;0,AQ34=2),AND(S34="ns",AQ34=2),AND(S34="ns",AR34=0,AQ34&gt;0),S34=AR34),0,1))))</f>
        <v>0</v>
      </c>
      <c r="AT34">
        <f t="shared" ref="AT34:AT41" si="3">COUNTIF(AA34:AD34,"NS")</f>
        <v>0</v>
      </c>
      <c r="AU34">
        <f t="shared" ref="AU34:AU41" si="4">SUM(AA34:AD34)</f>
        <v>0</v>
      </c>
      <c r="AV34">
        <f t="shared" ref="AV34:AV41" si="5">IF(COUNTIF(Y34:AD34,"NA")=3,0,IF(COUNTA(Y34:AD34)=0,0,IF(OR(AND(Y34=0,AT34&gt;0),AND(Y34="ns",AU34&gt;0),AND(Y34="ns",AT34=0,AU34=0)),1,IF(OR(AND(Y34&gt;0,AT34=2),AND(Y34="ns",AT34=2),AND(Y34="ns",AU34=0,AT34&gt;0),Y34=AU34),0,1))))</f>
        <v>0</v>
      </c>
    </row>
    <row r="35" spans="1:48" ht="15" customHeight="1">
      <c r="A35" s="142"/>
      <c r="B35" s="57"/>
      <c r="C35" s="143" t="s">
        <v>2517</v>
      </c>
      <c r="D35" s="813" t="str">
        <f>IF(CNSIPEE_2024_M2_Secc1!D43="","",CNSIPEE_2024_M2_Secc1!D43)</f>
        <v/>
      </c>
      <c r="E35" s="814"/>
      <c r="F35" s="814"/>
      <c r="G35" s="814"/>
      <c r="H35" s="814"/>
      <c r="I35" s="814"/>
      <c r="J35" s="815"/>
      <c r="K35" s="816"/>
      <c r="L35" s="738"/>
      <c r="M35" s="738"/>
      <c r="N35" s="817"/>
      <c r="O35" s="816"/>
      <c r="P35" s="738"/>
      <c r="Q35" s="738"/>
      <c r="R35" s="817"/>
      <c r="S35" s="816"/>
      <c r="T35" s="817"/>
      <c r="U35" s="816"/>
      <c r="V35" s="817"/>
      <c r="W35" s="816"/>
      <c r="X35" s="817"/>
      <c r="Y35" s="816"/>
      <c r="Z35" s="817"/>
      <c r="AA35" s="816"/>
      <c r="AB35" s="817"/>
      <c r="AC35" s="816"/>
      <c r="AD35" s="817"/>
      <c r="AF35">
        <f t="shared" ref="AF35:AF41" si="6">IF(AND(K35=1,S35=0),1,0)</f>
        <v>0</v>
      </c>
      <c r="AG35">
        <f>IF(OR(CNSIPEE_2024_M2_Secc8!$M41=0,CNSIPEE_2024_M2_Secc8!$M41="NS",CNSIPEE_2024_M2_Secc8!$M41="NA",COUNTBLANK(D35:AD35)=27),0,IF(COUNTBLANK(D35)=1,1,IF(K35&gt;1,0,IF(AND(COUNTA(K35:AD35)=8,K35=1),0,1))))</f>
        <v>0</v>
      </c>
      <c r="AH35">
        <f>IF(OR(CNSIPEE_2024_M2_Secc8!$M41=0,CNSIPEE_2024_M2_Secc8!$M41="NS",CNSIPEE_2024_M2_Secc8!$M41="NA"),IF(COUNTA(K35:AD35)=0,0,1),IF(K35&gt;1,IF(COUNTA(O35:AD35)=0,0,1),0))</f>
        <v>0</v>
      </c>
      <c r="AI35"/>
      <c r="AJ35"/>
      <c r="AK35" cm="1">
        <f t="array" ref="AK35">IF(OR(S35={"NS","NA"},CNSIPEE_2024_M2_Secc8!$M41={"NS","NA"}),0,IF(S35&lt;=CNSIPEE_2024_M2_Secc8!$M41,0,1))</f>
        <v>0</v>
      </c>
      <c r="AL35" cm="1">
        <f t="array" ref="AL35">IF(OR(U35={"NS","NA"},CNSIPEE_2024_M2_Secc8!$S41={"NS","NA"}),0,IF(U35&lt;=CNSIPEE_2024_M2_Secc8!$S41,0,1))</f>
        <v>0</v>
      </c>
      <c r="AM35" cm="1">
        <f t="array" ref="AM35">IF(OR(W35={"NS","NA"},CNSIPEE_2024_M2_Secc8!$Y41={"NS","NA"}),0,IF(W35&lt;=CNSIPEE_2024_M2_Secc8!$Y41,0,1))</f>
        <v>0</v>
      </c>
      <c r="AN35" cm="1">
        <f t="array" ref="AN35">IF(OR(Y35={"NS","NA"},S35={"NS","NA"}),0,IF(Y35&lt;=S35,0,1))</f>
        <v>0</v>
      </c>
      <c r="AO35" cm="1">
        <f t="array" ref="AO35">IF(OR(AA35={"NS","NA"},U35={"NS","NA"}),0,IF(AA35&lt;=U35,0,1))</f>
        <v>0</v>
      </c>
      <c r="AP35" cm="1">
        <f t="array" ref="AP35">IF(OR(AC35={"NS","NA"},W35={"NS","NA"}),0,IF(AC35&lt;=W35,0,1))</f>
        <v>0</v>
      </c>
      <c r="AQ35">
        <f t="shared" si="0"/>
        <v>0</v>
      </c>
      <c r="AR35">
        <f t="shared" si="1"/>
        <v>0</v>
      </c>
      <c r="AS35">
        <f t="shared" si="2"/>
        <v>0</v>
      </c>
      <c r="AT35">
        <f t="shared" si="3"/>
        <v>0</v>
      </c>
      <c r="AU35">
        <f t="shared" si="4"/>
        <v>0</v>
      </c>
      <c r="AV35">
        <f t="shared" si="5"/>
        <v>0</v>
      </c>
    </row>
    <row r="36" spans="1:48" ht="15" customHeight="1">
      <c r="A36" s="142"/>
      <c r="B36" s="57"/>
      <c r="C36" s="143" t="s">
        <v>2518</v>
      </c>
      <c r="D36" s="813" t="str">
        <f>IF(CNSIPEE_2024_M2_Secc1!D44="","",CNSIPEE_2024_M2_Secc1!D44)</f>
        <v/>
      </c>
      <c r="E36" s="814"/>
      <c r="F36" s="814"/>
      <c r="G36" s="814"/>
      <c r="H36" s="814"/>
      <c r="I36" s="814"/>
      <c r="J36" s="815"/>
      <c r="K36" s="816"/>
      <c r="L36" s="738"/>
      <c r="M36" s="738"/>
      <c r="N36" s="817"/>
      <c r="O36" s="816"/>
      <c r="P36" s="738"/>
      <c r="Q36" s="738"/>
      <c r="R36" s="817"/>
      <c r="S36" s="816"/>
      <c r="T36" s="817"/>
      <c r="U36" s="816"/>
      <c r="V36" s="817"/>
      <c r="W36" s="816"/>
      <c r="X36" s="817"/>
      <c r="Y36" s="816"/>
      <c r="Z36" s="817"/>
      <c r="AA36" s="816"/>
      <c r="AB36" s="817"/>
      <c r="AC36" s="816"/>
      <c r="AD36" s="817"/>
      <c r="AF36">
        <f t="shared" si="6"/>
        <v>0</v>
      </c>
      <c r="AG36">
        <f>IF(OR(CNSIPEE_2024_M2_Secc8!$M42=0,CNSIPEE_2024_M2_Secc8!$M42="NS",CNSIPEE_2024_M2_Secc8!$M42="NA",COUNTBLANK(D36:AD36)=27),0,IF(COUNTBLANK(D36)=1,1,IF(K36&gt;1,0,IF(AND(COUNTA(K36:AD36)=8,K36=1),0,1))))</f>
        <v>0</v>
      </c>
      <c r="AH36">
        <f>IF(OR(CNSIPEE_2024_M2_Secc8!$M42=0,CNSIPEE_2024_M2_Secc8!$M42="NS",CNSIPEE_2024_M2_Secc8!$M42="NA"),IF(COUNTA(K36:AD36)=0,0,1),IF(K36&gt;1,IF(COUNTA(O36:AD36)=0,0,1),0))</f>
        <v>0</v>
      </c>
      <c r="AI36"/>
      <c r="AJ36"/>
      <c r="AK36" cm="1">
        <f t="array" ref="AK36">IF(OR(S36={"NS","NA"},CNSIPEE_2024_M2_Secc8!$M42={"NS","NA"}),0,IF(S36&lt;=CNSIPEE_2024_M2_Secc8!$M42,0,1))</f>
        <v>0</v>
      </c>
      <c r="AL36" cm="1">
        <f t="array" ref="AL36">IF(OR(U36={"NS","NA"},CNSIPEE_2024_M2_Secc8!$S42={"NS","NA"}),0,IF(U36&lt;=CNSIPEE_2024_M2_Secc8!$S42,0,1))</f>
        <v>0</v>
      </c>
      <c r="AM36" cm="1">
        <f t="array" ref="AM36">IF(OR(W36={"NS","NA"},CNSIPEE_2024_M2_Secc8!$Y42={"NS","NA"}),0,IF(W36&lt;=CNSIPEE_2024_M2_Secc8!$Y42,0,1))</f>
        <v>0</v>
      </c>
      <c r="AN36" cm="1">
        <f t="array" ref="AN36">IF(OR(Y36={"NS","NA"},S36={"NS","NA"}),0,IF(Y36&lt;=S36,0,1))</f>
        <v>0</v>
      </c>
      <c r="AO36" cm="1">
        <f t="array" ref="AO36">IF(OR(AA36={"NS","NA"},U36={"NS","NA"}),0,IF(AA36&lt;=U36,0,1))</f>
        <v>0</v>
      </c>
      <c r="AP36" cm="1">
        <f t="array" ref="AP36">IF(OR(AC36={"NS","NA"},W36={"NS","NA"}),0,IF(AC36&lt;=W36,0,1))</f>
        <v>0</v>
      </c>
      <c r="AQ36">
        <f t="shared" si="0"/>
        <v>0</v>
      </c>
      <c r="AR36">
        <f t="shared" si="1"/>
        <v>0</v>
      </c>
      <c r="AS36">
        <f t="shared" si="2"/>
        <v>0</v>
      </c>
      <c r="AT36">
        <f t="shared" si="3"/>
        <v>0</v>
      </c>
      <c r="AU36">
        <f t="shared" si="4"/>
        <v>0</v>
      </c>
      <c r="AV36">
        <f t="shared" si="5"/>
        <v>0</v>
      </c>
    </row>
    <row r="37" spans="1:48" ht="15" customHeight="1">
      <c r="A37" s="142"/>
      <c r="B37" s="57"/>
      <c r="C37" s="143" t="s">
        <v>2519</v>
      </c>
      <c r="D37" s="813" t="str">
        <f>IF(CNSIPEE_2024_M2_Secc1!D45="","",CNSIPEE_2024_M2_Secc1!D45)</f>
        <v/>
      </c>
      <c r="E37" s="814"/>
      <c r="F37" s="814"/>
      <c r="G37" s="814"/>
      <c r="H37" s="814"/>
      <c r="I37" s="814"/>
      <c r="J37" s="815"/>
      <c r="K37" s="816"/>
      <c r="L37" s="738"/>
      <c r="M37" s="738"/>
      <c r="N37" s="817"/>
      <c r="O37" s="816"/>
      <c r="P37" s="738"/>
      <c r="Q37" s="738"/>
      <c r="R37" s="817"/>
      <c r="S37" s="816"/>
      <c r="T37" s="817"/>
      <c r="U37" s="816"/>
      <c r="V37" s="817"/>
      <c r="W37" s="816"/>
      <c r="X37" s="817"/>
      <c r="Y37" s="816"/>
      <c r="Z37" s="817"/>
      <c r="AA37" s="816"/>
      <c r="AB37" s="817"/>
      <c r="AC37" s="816"/>
      <c r="AD37" s="817"/>
      <c r="AF37">
        <f t="shared" si="6"/>
        <v>0</v>
      </c>
      <c r="AG37">
        <f>IF(OR(CNSIPEE_2024_M2_Secc8!$M43=0,CNSIPEE_2024_M2_Secc8!$M43="NS",CNSIPEE_2024_M2_Secc8!$M43="NA",COUNTBLANK(D37:AD37)=27),0,IF(COUNTBLANK(D37)=1,1,IF(K37&gt;1,0,IF(AND(COUNTA(K37:AD37)=8,K37=1),0,1))))</f>
        <v>0</v>
      </c>
      <c r="AH37">
        <f>IF(OR(CNSIPEE_2024_M2_Secc8!$M43=0,CNSIPEE_2024_M2_Secc8!$M43="NS",CNSIPEE_2024_M2_Secc8!$M43="NA"),IF(COUNTA(K37:AD37)=0,0,1),IF(K37&gt;1,IF(COUNTA(O37:AD37)=0,0,1),0))</f>
        <v>0</v>
      </c>
      <c r="AI37"/>
      <c r="AJ37"/>
      <c r="AK37" cm="1">
        <f t="array" ref="AK37">IF(OR(S37={"NS","NA"},CNSIPEE_2024_M2_Secc8!$M43={"NS","NA"}),0,IF(S37&lt;=CNSIPEE_2024_M2_Secc8!$M43,0,1))</f>
        <v>0</v>
      </c>
      <c r="AL37" cm="1">
        <f t="array" ref="AL37">IF(OR(U37={"NS","NA"},CNSIPEE_2024_M2_Secc8!$S43={"NS","NA"}),0,IF(U37&lt;=CNSIPEE_2024_M2_Secc8!$S43,0,1))</f>
        <v>0</v>
      </c>
      <c r="AM37" cm="1">
        <f t="array" ref="AM37">IF(OR(W37={"NS","NA"},CNSIPEE_2024_M2_Secc8!$Y43={"NS","NA"}),0,IF(W37&lt;=CNSIPEE_2024_M2_Secc8!$Y43,0,1))</f>
        <v>0</v>
      </c>
      <c r="AN37" cm="1">
        <f t="array" ref="AN37">IF(OR(Y37={"NS","NA"},S37={"NS","NA"}),0,IF(Y37&lt;=S37,0,1))</f>
        <v>0</v>
      </c>
      <c r="AO37" cm="1">
        <f t="array" ref="AO37">IF(OR(AA37={"NS","NA"},U37={"NS","NA"}),0,IF(AA37&lt;=U37,0,1))</f>
        <v>0</v>
      </c>
      <c r="AP37" cm="1">
        <f t="array" ref="AP37">IF(OR(AC37={"NS","NA"},W37={"NS","NA"}),0,IF(AC37&lt;=W37,0,1))</f>
        <v>0</v>
      </c>
      <c r="AQ37">
        <f t="shared" si="0"/>
        <v>0</v>
      </c>
      <c r="AR37">
        <f t="shared" si="1"/>
        <v>0</v>
      </c>
      <c r="AS37">
        <f t="shared" si="2"/>
        <v>0</v>
      </c>
      <c r="AT37">
        <f t="shared" si="3"/>
        <v>0</v>
      </c>
      <c r="AU37">
        <f t="shared" si="4"/>
        <v>0</v>
      </c>
      <c r="AV37">
        <f t="shared" si="5"/>
        <v>0</v>
      </c>
    </row>
    <row r="38" spans="1:48" ht="15" customHeight="1">
      <c r="A38" s="142"/>
      <c r="B38" s="57"/>
      <c r="C38" s="143" t="s">
        <v>2520</v>
      </c>
      <c r="D38" s="813" t="str">
        <f>IF(CNSIPEE_2024_M2_Secc1!D46="","",CNSIPEE_2024_M2_Secc1!D46)</f>
        <v/>
      </c>
      <c r="E38" s="814"/>
      <c r="F38" s="814"/>
      <c r="G38" s="814"/>
      <c r="H38" s="814"/>
      <c r="I38" s="814"/>
      <c r="J38" s="815"/>
      <c r="K38" s="816"/>
      <c r="L38" s="738"/>
      <c r="M38" s="738"/>
      <c r="N38" s="817"/>
      <c r="O38" s="816"/>
      <c r="P38" s="738"/>
      <c r="Q38" s="738"/>
      <c r="R38" s="817"/>
      <c r="S38" s="816"/>
      <c r="T38" s="817"/>
      <c r="U38" s="816"/>
      <c r="V38" s="817"/>
      <c r="W38" s="816"/>
      <c r="X38" s="817"/>
      <c r="Y38" s="816"/>
      <c r="Z38" s="817"/>
      <c r="AA38" s="816"/>
      <c r="AB38" s="817"/>
      <c r="AC38" s="816"/>
      <c r="AD38" s="817"/>
      <c r="AF38">
        <f t="shared" si="6"/>
        <v>0</v>
      </c>
      <c r="AG38">
        <f>IF(OR(CNSIPEE_2024_M2_Secc8!$M44=0,CNSIPEE_2024_M2_Secc8!$M44="NS",CNSIPEE_2024_M2_Secc8!$M44="NA",COUNTBLANK(D38:AD38)=27),0,IF(COUNTBLANK(D38)=1,1,IF(K38&gt;1,0,IF(AND(COUNTA(K38:AD38)=8,K38=1),0,1))))</f>
        <v>0</v>
      </c>
      <c r="AH38">
        <f>IF(OR(CNSIPEE_2024_M2_Secc8!$M44=0,CNSIPEE_2024_M2_Secc8!$M44="NS",CNSIPEE_2024_M2_Secc8!$M44="NA"),IF(COUNTA(K38:AD38)=0,0,1),IF(K38&gt;1,IF(COUNTA(O38:AD38)=0,0,1),0))</f>
        <v>0</v>
      </c>
      <c r="AI38"/>
      <c r="AJ38"/>
      <c r="AK38" cm="1">
        <f t="array" ref="AK38">IF(OR(S38={"NS","NA"},CNSIPEE_2024_M2_Secc8!$M44={"NS","NA"}),0,IF(S38&lt;=CNSIPEE_2024_M2_Secc8!$M44,0,1))</f>
        <v>0</v>
      </c>
      <c r="AL38" cm="1">
        <f t="array" ref="AL38">IF(OR(U38={"NS","NA"},CNSIPEE_2024_M2_Secc8!$S44={"NS","NA"}),0,IF(U38&lt;=CNSIPEE_2024_M2_Secc8!$S44,0,1))</f>
        <v>0</v>
      </c>
      <c r="AM38" cm="1">
        <f t="array" ref="AM38">IF(OR(W38={"NS","NA"},CNSIPEE_2024_M2_Secc8!$Y44={"NS","NA"}),0,IF(W38&lt;=CNSIPEE_2024_M2_Secc8!$Y44,0,1))</f>
        <v>0</v>
      </c>
      <c r="AN38" cm="1">
        <f t="array" ref="AN38">IF(OR(Y38={"NS","NA"},S38={"NS","NA"}),0,IF(Y38&lt;=S38,0,1))</f>
        <v>0</v>
      </c>
      <c r="AO38" cm="1">
        <f t="array" ref="AO38">IF(OR(AA38={"NS","NA"},U38={"NS","NA"}),0,IF(AA38&lt;=U38,0,1))</f>
        <v>0</v>
      </c>
      <c r="AP38" cm="1">
        <f t="array" ref="AP38">IF(OR(AC38={"NS","NA"},W38={"NS","NA"}),0,IF(AC38&lt;=W38,0,1))</f>
        <v>0</v>
      </c>
      <c r="AQ38">
        <f t="shared" si="0"/>
        <v>0</v>
      </c>
      <c r="AR38">
        <f t="shared" si="1"/>
        <v>0</v>
      </c>
      <c r="AS38">
        <f t="shared" si="2"/>
        <v>0</v>
      </c>
      <c r="AT38">
        <f t="shared" si="3"/>
        <v>0</v>
      </c>
      <c r="AU38">
        <f t="shared" si="4"/>
        <v>0</v>
      </c>
      <c r="AV38">
        <f t="shared" si="5"/>
        <v>0</v>
      </c>
    </row>
    <row r="39" spans="1:48" ht="15" customHeight="1">
      <c r="A39" s="142"/>
      <c r="B39" s="57"/>
      <c r="C39" s="143" t="s">
        <v>2521</v>
      </c>
      <c r="D39" s="813" t="str">
        <f>IF(CNSIPEE_2024_M2_Secc1!D47="","",CNSIPEE_2024_M2_Secc1!D47)</f>
        <v/>
      </c>
      <c r="E39" s="814"/>
      <c r="F39" s="814"/>
      <c r="G39" s="814"/>
      <c r="H39" s="814"/>
      <c r="I39" s="814"/>
      <c r="J39" s="815"/>
      <c r="K39" s="816"/>
      <c r="L39" s="738"/>
      <c r="M39" s="738"/>
      <c r="N39" s="817"/>
      <c r="O39" s="816"/>
      <c r="P39" s="738"/>
      <c r="Q39" s="738"/>
      <c r="R39" s="817"/>
      <c r="S39" s="816"/>
      <c r="T39" s="817"/>
      <c r="U39" s="816"/>
      <c r="V39" s="817"/>
      <c r="W39" s="816"/>
      <c r="X39" s="817"/>
      <c r="Y39" s="816"/>
      <c r="Z39" s="817"/>
      <c r="AA39" s="816"/>
      <c r="AB39" s="817"/>
      <c r="AC39" s="816"/>
      <c r="AD39" s="817"/>
      <c r="AF39">
        <f t="shared" si="6"/>
        <v>0</v>
      </c>
      <c r="AG39">
        <f>IF(OR(CNSIPEE_2024_M2_Secc8!$M45=0,CNSIPEE_2024_M2_Secc8!$M45="NS",CNSIPEE_2024_M2_Secc8!$M45="NA",COUNTBLANK(D39:AD39)=27),0,IF(COUNTBLANK(D39)=1,1,IF(K39&gt;1,0,IF(AND(COUNTA(K39:AD39)=8,K39=1),0,1))))</f>
        <v>0</v>
      </c>
      <c r="AH39">
        <f>IF(OR(CNSIPEE_2024_M2_Secc8!$M45=0,CNSIPEE_2024_M2_Secc8!$M45="NS",CNSIPEE_2024_M2_Secc8!$M45="NA"),IF(COUNTA(K39:AD39)=0,0,1),IF(K39&gt;1,IF(COUNTA(O39:AD39)=0,0,1),0))</f>
        <v>0</v>
      </c>
      <c r="AI39"/>
      <c r="AJ39"/>
      <c r="AK39" cm="1">
        <f t="array" ref="AK39">IF(OR(S39={"NS","NA"},CNSIPEE_2024_M2_Secc8!$M45={"NS","NA"}),0,IF(S39&lt;=CNSIPEE_2024_M2_Secc8!$M45,0,1))</f>
        <v>0</v>
      </c>
      <c r="AL39" cm="1">
        <f t="array" ref="AL39">IF(OR(U39={"NS","NA"},CNSIPEE_2024_M2_Secc8!$S45={"NS","NA"}),0,IF(U39&lt;=CNSIPEE_2024_M2_Secc8!$S45,0,1))</f>
        <v>0</v>
      </c>
      <c r="AM39" cm="1">
        <f t="array" ref="AM39">IF(OR(W39={"NS","NA"},CNSIPEE_2024_M2_Secc8!$Y45={"NS","NA"}),0,IF(W39&lt;=CNSIPEE_2024_M2_Secc8!$Y45,0,1))</f>
        <v>0</v>
      </c>
      <c r="AN39" cm="1">
        <f t="array" ref="AN39">IF(OR(Y39={"NS","NA"},S39={"NS","NA"}),0,IF(Y39&lt;=S39,0,1))</f>
        <v>0</v>
      </c>
      <c r="AO39" cm="1">
        <f t="array" ref="AO39">IF(OR(AA39={"NS","NA"},U39={"NS","NA"}),0,IF(AA39&lt;=U39,0,1))</f>
        <v>0</v>
      </c>
      <c r="AP39" cm="1">
        <f t="array" ref="AP39">IF(OR(AC39={"NS","NA"},W39={"NS","NA"}),0,IF(AC39&lt;=W39,0,1))</f>
        <v>0</v>
      </c>
      <c r="AQ39">
        <f t="shared" si="0"/>
        <v>0</v>
      </c>
      <c r="AR39">
        <f t="shared" si="1"/>
        <v>0</v>
      </c>
      <c r="AS39">
        <f t="shared" si="2"/>
        <v>0</v>
      </c>
      <c r="AT39">
        <f t="shared" si="3"/>
        <v>0</v>
      </c>
      <c r="AU39">
        <f t="shared" si="4"/>
        <v>0</v>
      </c>
      <c r="AV39">
        <f t="shared" si="5"/>
        <v>0</v>
      </c>
    </row>
    <row r="40" spans="1:48" ht="15" customHeight="1">
      <c r="A40" s="142"/>
      <c r="B40" s="57"/>
      <c r="C40" s="143" t="s">
        <v>2522</v>
      </c>
      <c r="D40" s="813" t="str">
        <f>IF(CNSIPEE_2024_M2_Secc1!D48="","",CNSIPEE_2024_M2_Secc1!D48)</f>
        <v/>
      </c>
      <c r="E40" s="814"/>
      <c r="F40" s="814"/>
      <c r="G40" s="814"/>
      <c r="H40" s="814"/>
      <c r="I40" s="814"/>
      <c r="J40" s="815"/>
      <c r="K40" s="816"/>
      <c r="L40" s="738"/>
      <c r="M40" s="738"/>
      <c r="N40" s="817"/>
      <c r="O40" s="816"/>
      <c r="P40" s="738"/>
      <c r="Q40" s="738"/>
      <c r="R40" s="817"/>
      <c r="S40" s="816"/>
      <c r="T40" s="817"/>
      <c r="U40" s="816"/>
      <c r="V40" s="817"/>
      <c r="W40" s="816"/>
      <c r="X40" s="817"/>
      <c r="Y40" s="816"/>
      <c r="Z40" s="817"/>
      <c r="AA40" s="816"/>
      <c r="AB40" s="817"/>
      <c r="AC40" s="816"/>
      <c r="AD40" s="817"/>
      <c r="AF40">
        <f t="shared" si="6"/>
        <v>0</v>
      </c>
      <c r="AG40">
        <f>IF(OR(CNSIPEE_2024_M2_Secc8!$M46=0,CNSIPEE_2024_M2_Secc8!$M46="NS",CNSIPEE_2024_M2_Secc8!$M46="NA",COUNTBLANK(D40:AD40)=27),0,IF(COUNTBLANK(D40)=1,1,IF(K40&gt;1,0,IF(AND(COUNTA(K40:AD40)=8,K40=1),0,1))))</f>
        <v>0</v>
      </c>
      <c r="AH40">
        <f>IF(OR(CNSIPEE_2024_M2_Secc8!$M46=0,CNSIPEE_2024_M2_Secc8!$M46="NS",CNSIPEE_2024_M2_Secc8!$M46="NA"),IF(COUNTA(K40:AD40)=0,0,1),IF(K40&gt;1,IF(COUNTA(O40:AD40)=0,0,1),0))</f>
        <v>0</v>
      </c>
      <c r="AI40"/>
      <c r="AJ40"/>
      <c r="AK40" cm="1">
        <f t="array" ref="AK40">IF(OR(S40={"NS","NA"},CNSIPEE_2024_M2_Secc8!$M46={"NS","NA"}),0,IF(S40&lt;=CNSIPEE_2024_M2_Secc8!$M46,0,1))</f>
        <v>0</v>
      </c>
      <c r="AL40" cm="1">
        <f t="array" ref="AL40">IF(OR(U40={"NS","NA"},CNSIPEE_2024_M2_Secc8!$S46={"NS","NA"}),0,IF(U40&lt;=CNSIPEE_2024_M2_Secc8!$S46,0,1))</f>
        <v>0</v>
      </c>
      <c r="AM40" cm="1">
        <f t="array" ref="AM40">IF(OR(W40={"NS","NA"},CNSIPEE_2024_M2_Secc8!$Y46={"NS","NA"}),0,IF(W40&lt;=CNSIPEE_2024_M2_Secc8!$Y46,0,1))</f>
        <v>0</v>
      </c>
      <c r="AN40" cm="1">
        <f t="array" ref="AN40">IF(OR(Y40={"NS","NA"},S40={"NS","NA"}),0,IF(Y40&lt;=S40,0,1))</f>
        <v>0</v>
      </c>
      <c r="AO40" cm="1">
        <f t="array" ref="AO40">IF(OR(AA40={"NS","NA"},U40={"NS","NA"}),0,IF(AA40&lt;=U40,0,1))</f>
        <v>0</v>
      </c>
      <c r="AP40" cm="1">
        <f t="array" ref="AP40">IF(OR(AC40={"NS","NA"},W40={"NS","NA"}),0,IF(AC40&lt;=W40,0,1))</f>
        <v>0</v>
      </c>
      <c r="AQ40">
        <f t="shared" si="0"/>
        <v>0</v>
      </c>
      <c r="AR40">
        <f t="shared" si="1"/>
        <v>0</v>
      </c>
      <c r="AS40">
        <f t="shared" si="2"/>
        <v>0</v>
      </c>
      <c r="AT40">
        <f t="shared" si="3"/>
        <v>0</v>
      </c>
      <c r="AU40">
        <f t="shared" si="4"/>
        <v>0</v>
      </c>
      <c r="AV40">
        <f t="shared" si="5"/>
        <v>0</v>
      </c>
    </row>
    <row r="41" spans="1:48" ht="15" customHeight="1">
      <c r="A41" s="142"/>
      <c r="B41" s="57"/>
      <c r="C41" s="143" t="s">
        <v>2523</v>
      </c>
      <c r="D41" s="813" t="str">
        <f>IF(CNSIPEE_2024_M2_Secc1!D49="","",CNSIPEE_2024_M2_Secc1!D49)</f>
        <v/>
      </c>
      <c r="E41" s="814"/>
      <c r="F41" s="814"/>
      <c r="G41" s="814"/>
      <c r="H41" s="814"/>
      <c r="I41" s="814"/>
      <c r="J41" s="815"/>
      <c r="K41" s="816"/>
      <c r="L41" s="738"/>
      <c r="M41" s="738"/>
      <c r="N41" s="817"/>
      <c r="O41" s="816"/>
      <c r="P41" s="738"/>
      <c r="Q41" s="738"/>
      <c r="R41" s="817"/>
      <c r="S41" s="816"/>
      <c r="T41" s="817"/>
      <c r="U41" s="816"/>
      <c r="V41" s="817"/>
      <c r="W41" s="816"/>
      <c r="X41" s="817"/>
      <c r="Y41" s="816"/>
      <c r="Z41" s="817"/>
      <c r="AA41" s="816"/>
      <c r="AB41" s="817"/>
      <c r="AC41" s="816"/>
      <c r="AD41" s="817"/>
      <c r="AF41">
        <f t="shared" si="6"/>
        <v>0</v>
      </c>
      <c r="AG41">
        <f>IF(OR(CNSIPEE_2024_M2_Secc8!$M47=0,CNSIPEE_2024_M2_Secc8!$M47="NS",CNSIPEE_2024_M2_Secc8!$M47="NA",COUNTBLANK(D41:AD41)=27),0,IF(COUNTBLANK(D41)=1,1,IF(K41&gt;1,0,IF(AND(COUNTA(K41:AD41)=8,K41=1),0,1))))</f>
        <v>0</v>
      </c>
      <c r="AH41">
        <f>IF(OR(CNSIPEE_2024_M2_Secc8!$M47=0,CNSIPEE_2024_M2_Secc8!$M47="NS",CNSIPEE_2024_M2_Secc8!$M47="NA"),IF(COUNTA(K41:AD41)=0,0,1),IF(K41&gt;1,IF(COUNTA(O41:AD41)=0,0,1),0))</f>
        <v>0</v>
      </c>
      <c r="AI41"/>
      <c r="AJ41"/>
      <c r="AK41" cm="1">
        <f t="array" ref="AK41">IF(OR(S41={"NS","NA"},CNSIPEE_2024_M2_Secc8!$M47={"NS","NA"}),0,IF(S41&lt;=CNSIPEE_2024_M2_Secc8!$M47,0,1))</f>
        <v>0</v>
      </c>
      <c r="AL41" cm="1">
        <f t="array" ref="AL41">IF(OR(U41={"NS","NA"},CNSIPEE_2024_M2_Secc8!$S47={"NS","NA"}),0,IF(U41&lt;=CNSIPEE_2024_M2_Secc8!$S47,0,1))</f>
        <v>0</v>
      </c>
      <c r="AM41" cm="1">
        <f t="array" ref="AM41">IF(OR(W41={"NS","NA"},CNSIPEE_2024_M2_Secc8!$Y47={"NS","NA"}),0,IF(W41&lt;=CNSIPEE_2024_M2_Secc8!$Y47,0,1))</f>
        <v>0</v>
      </c>
      <c r="AN41" cm="1">
        <f t="array" ref="AN41">IF(OR(Y41={"NS","NA"},S41={"NS","NA"}),0,IF(Y41&lt;=S41,0,1))</f>
        <v>0</v>
      </c>
      <c r="AO41" cm="1">
        <f t="array" ref="AO41">IF(OR(AA41={"NS","NA"},U41={"NS","NA"}),0,IF(AA41&lt;=U41,0,1))</f>
        <v>0</v>
      </c>
      <c r="AP41" cm="1">
        <f t="array" ref="AP41">IF(OR(AC41={"NS","NA"},W41={"NS","NA"}),0,IF(AC41&lt;=W41,0,1))</f>
        <v>0</v>
      </c>
      <c r="AQ41">
        <f t="shared" si="0"/>
        <v>0</v>
      </c>
      <c r="AR41">
        <f t="shared" si="1"/>
        <v>0</v>
      </c>
      <c r="AS41">
        <f t="shared" si="2"/>
        <v>0</v>
      </c>
      <c r="AT41">
        <f t="shared" si="3"/>
        <v>0</v>
      </c>
      <c r="AU41">
        <f t="shared" si="4"/>
        <v>0</v>
      </c>
      <c r="AV41">
        <f t="shared" si="5"/>
        <v>0</v>
      </c>
    </row>
    <row r="42" spans="1:48" ht="15" customHeight="1">
      <c r="A42" s="142"/>
      <c r="B42" s="57"/>
      <c r="C42" s="70"/>
      <c r="D42" s="84"/>
      <c r="E42" s="84"/>
      <c r="F42" s="84"/>
      <c r="G42" s="84"/>
      <c r="H42" s="84"/>
      <c r="I42" s="84"/>
      <c r="J42" s="57"/>
      <c r="R42" s="99" t="s">
        <v>2649</v>
      </c>
      <c r="S42" s="733">
        <f>IF(AND(SUM(S34:S41)=0,COUNTIF(S34:S41,"NS")&gt;0),"NS",IF(AND(SUM(S34:S41)=0,COUNTIF(S34:S41,0)&gt;0),0,IF(AND(SUM(S34:S41)=0,COUNTIF(S34:S41,"NA")&gt;0),"NA",SUM(S34:S41))))</f>
        <v>0</v>
      </c>
      <c r="T42" s="735"/>
      <c r="U42" s="733">
        <f>IF(AND(SUM(U34:U41)=0,COUNTIF(U34:U41,"NS")&gt;0),"NS",IF(AND(SUM(U34:U41)=0,COUNTIF(U34:U41,0)&gt;0),0,IF(AND(SUM(U34:U41)=0,COUNTIF(U34:U41,"NA")&gt;0),"NA",SUM(U34:U41))))</f>
        <v>0</v>
      </c>
      <c r="V42" s="735"/>
      <c r="W42" s="733">
        <f>IF(AND(SUM(W34:W41)=0,COUNTIF(W34:W41,"NS")&gt;0),"NS",IF(AND(SUM(W34:W41)=0,COUNTIF(W34:W41,0)&gt;0),0,IF(AND(SUM(W34:W41)=0,COUNTIF(W34:W41,"NA")&gt;0),"NA",SUM(W34:W41))))</f>
        <v>0</v>
      </c>
      <c r="X42" s="735"/>
      <c r="Y42" s="733">
        <f>IF(AND(SUM(Y34:Y41)=0,COUNTIF(Y34:Y41,"NS")&gt;0),"NS",IF(AND(SUM(Y34:Y41)=0,COUNTIF(Y34:Y41,0)&gt;0),0,IF(AND(SUM(Y34:Y41)=0,COUNTIF(Y34:Y41,"NA")&gt;0),"NA",SUM(Y34:Y41))))</f>
        <v>0</v>
      </c>
      <c r="Z42" s="735"/>
      <c r="AA42" s="733">
        <f>IF(AND(SUM(AA34:AA41)=0,COUNTIF(AA34:AA41,"NS")&gt;0),"NS",IF(AND(SUM(AA34:AA41)=0,COUNTIF(AA34:AA41,0)&gt;0),0,IF(AND(SUM(AA34:AA41)=0,COUNTIF(AA34:AA41,"NA")&gt;0),"NA",SUM(AA34:AA41))))</f>
        <v>0</v>
      </c>
      <c r="AB42" s="735"/>
      <c r="AC42" s="733">
        <f>IF(AND(SUM(AC34:AC41)=0,COUNTIF(AC34:AC41,"NS")&gt;0),"NS",IF(AND(SUM(AC34:AC41)=0,COUNTIF(AC34:AC41,0)&gt;0),0,IF(AND(SUM(AC34:AC41)=0,COUNTIF(AC34:AC41,"NA")&gt;0),"NA",SUM(AC34:AC41))))</f>
        <v>0</v>
      </c>
      <c r="AD42" s="735"/>
      <c r="AF42" s="507">
        <f>SUM(AF34:AF41)</f>
        <v>0</v>
      </c>
      <c r="AG42" s="507">
        <f>SUM(AG34:AG41)</f>
        <v>0</v>
      </c>
      <c r="AH42" s="507">
        <f>SUM(AH34:AH41)</f>
        <v>0</v>
      </c>
      <c r="AI42" s="57"/>
      <c r="AJ42"/>
      <c r="AK42" s="57"/>
      <c r="AL42" s="57"/>
      <c r="AM42" s="506">
        <f>SUM(AK34:AM41)</f>
        <v>0</v>
      </c>
      <c r="AN42" s="57"/>
      <c r="AO42" s="57"/>
      <c r="AP42" s="506">
        <f>SUM(AN34:AP41)</f>
        <v>0</v>
      </c>
      <c r="AQ42">
        <f>SUM(AQ34:AQ41)</f>
        <v>0</v>
      </c>
      <c r="AR42" s="57"/>
      <c r="AS42" s="506">
        <f>SUM(AS34:AS41)</f>
        <v>0</v>
      </c>
      <c r="AT42">
        <f>SUM(AT34:AT41)</f>
        <v>0</v>
      </c>
      <c r="AU42" s="57"/>
      <c r="AV42" s="506">
        <f>SUM(AV34:AV41)</f>
        <v>0</v>
      </c>
    </row>
    <row r="43" spans="1:48" ht="15" customHeight="1">
      <c r="A43" s="142"/>
      <c r="B43" s="57"/>
      <c r="C43" s="57"/>
      <c r="D43" s="57"/>
      <c r="E43" s="57"/>
      <c r="F43" s="57"/>
      <c r="G43" s="57"/>
      <c r="H43" s="57"/>
      <c r="I43" s="57"/>
      <c r="J43" s="57"/>
      <c r="K43" s="57"/>
      <c r="L43" s="57"/>
      <c r="M43" s="57"/>
      <c r="N43" s="57"/>
      <c r="O43" s="57"/>
      <c r="P43" s="57"/>
      <c r="Q43" s="57"/>
      <c r="R43" s="57"/>
      <c r="S43" s="57"/>
      <c r="T43" s="57"/>
      <c r="U43" s="57"/>
      <c r="V43" s="57"/>
      <c r="W43" s="57"/>
      <c r="X43" s="57"/>
      <c r="Y43" s="57"/>
      <c r="Z43" s="57"/>
      <c r="AA43" s="57"/>
      <c r="AB43" s="57"/>
      <c r="AC43" s="57"/>
      <c r="AD43" s="57"/>
    </row>
    <row r="44" spans="1:48" ht="24" customHeight="1">
      <c r="A44" s="142"/>
      <c r="B44" s="57"/>
      <c r="C44" s="754" t="s">
        <v>2611</v>
      </c>
      <c r="D44" s="754"/>
      <c r="E44" s="754"/>
      <c r="F44" s="754"/>
      <c r="G44" s="754"/>
      <c r="H44" s="754"/>
      <c r="I44" s="754"/>
      <c r="J44" s="754"/>
      <c r="K44" s="754"/>
      <c r="L44" s="754"/>
      <c r="M44" s="754"/>
      <c r="N44" s="754"/>
      <c r="O44" s="754"/>
      <c r="P44" s="754"/>
      <c r="Q44" s="754"/>
      <c r="R44" s="754"/>
      <c r="S44" s="754"/>
      <c r="T44" s="754"/>
      <c r="U44" s="754"/>
      <c r="V44" s="754"/>
      <c r="W44" s="754"/>
      <c r="X44" s="754"/>
      <c r="Y44" s="754"/>
      <c r="Z44" s="754"/>
      <c r="AA44" s="754"/>
      <c r="AB44" s="754"/>
      <c r="AC44" s="754"/>
      <c r="AD44" s="754"/>
    </row>
    <row r="45" spans="1:48" ht="60" customHeight="1">
      <c r="A45" s="142"/>
      <c r="B45" s="57"/>
      <c r="C45" s="812"/>
      <c r="D45" s="812"/>
      <c r="E45" s="812"/>
      <c r="F45" s="812"/>
      <c r="G45" s="812"/>
      <c r="H45" s="812"/>
      <c r="I45" s="812"/>
      <c r="J45" s="812"/>
      <c r="K45" s="812"/>
      <c r="L45" s="812"/>
      <c r="M45" s="812"/>
      <c r="N45" s="812"/>
      <c r="O45" s="812"/>
      <c r="P45" s="812"/>
      <c r="Q45" s="812"/>
      <c r="R45" s="812"/>
      <c r="S45" s="812"/>
      <c r="T45" s="812"/>
      <c r="U45" s="812"/>
      <c r="V45" s="812"/>
      <c r="W45" s="812"/>
      <c r="X45" s="812"/>
      <c r="Y45" s="812"/>
      <c r="Z45" s="812"/>
      <c r="AA45" s="812"/>
      <c r="AB45" s="812"/>
      <c r="AC45" s="812"/>
      <c r="AD45" s="812"/>
    </row>
    <row r="46" spans="1:48" ht="15" customHeight="1">
      <c r="A46" s="142"/>
      <c r="B46" s="794" t="str">
        <f>IF(AG42=0,"","Favor de ingresar toda la información requerida en la pregunta")</f>
        <v/>
      </c>
      <c r="C46" s="794"/>
      <c r="D46" s="794"/>
      <c r="E46" s="794"/>
      <c r="F46" s="794"/>
      <c r="G46" s="794"/>
      <c r="H46" s="794"/>
      <c r="I46" s="794"/>
      <c r="J46" s="794"/>
      <c r="K46" s="794"/>
      <c r="L46" s="794"/>
      <c r="M46" s="794"/>
      <c r="N46" s="794"/>
      <c r="O46" s="794"/>
      <c r="P46" s="794"/>
      <c r="Q46" s="794"/>
      <c r="R46" s="794"/>
      <c r="S46" s="794"/>
      <c r="T46" s="794"/>
      <c r="U46" s="794"/>
      <c r="V46" s="794"/>
      <c r="W46" s="794"/>
      <c r="X46" s="794"/>
      <c r="Y46" s="794"/>
      <c r="Z46" s="794"/>
      <c r="AA46" s="794"/>
      <c r="AB46" s="794"/>
      <c r="AC46" s="794"/>
      <c r="AD46" s="794"/>
      <c r="AE46" s="794"/>
    </row>
    <row r="47" spans="1:48" ht="15" customHeight="1">
      <c r="A47" s="142"/>
      <c r="B47" s="1087" t="str">
        <f>IF(COUNTIF(S34:AD41,"NS")&lt;&gt;0,"Alerta: debido a que cuenta con registros NS, debe proporcionar una justificación en el area de comentarios al final de la pregunta","")</f>
        <v/>
      </c>
      <c r="C47" s="1087"/>
      <c r="D47" s="1087"/>
      <c r="E47" s="1087"/>
      <c r="F47" s="1087"/>
      <c r="G47" s="1087"/>
      <c r="H47" s="1087"/>
      <c r="I47" s="1087"/>
      <c r="J47" s="1087"/>
      <c r="K47" s="1087"/>
      <c r="L47" s="1087"/>
      <c r="M47" s="1087"/>
      <c r="N47" s="1087"/>
      <c r="O47" s="1087"/>
      <c r="P47" s="1087"/>
      <c r="Q47" s="1087"/>
      <c r="R47" s="1087"/>
      <c r="S47" s="1087"/>
      <c r="T47" s="1087"/>
      <c r="U47" s="1087"/>
      <c r="V47" s="1087"/>
      <c r="W47" s="1087"/>
      <c r="X47" s="1087"/>
      <c r="Y47" s="1087"/>
      <c r="Z47" s="1087"/>
      <c r="AA47" s="1087"/>
      <c r="AB47" s="1087"/>
      <c r="AC47" s="1087"/>
      <c r="AD47" s="1087"/>
      <c r="AE47" s="1087"/>
    </row>
    <row r="48" spans="1:48" ht="15" customHeight="1">
      <c r="A48" s="142"/>
      <c r="B48" s="1003" t="str">
        <f>IF(AH42&gt;0,"Revise la información capturada, ya que tiene datos ingresados en celdas que están sombreadas","")</f>
        <v/>
      </c>
      <c r="C48" s="1003"/>
      <c r="D48" s="1003"/>
      <c r="E48" s="1003"/>
      <c r="F48" s="1003"/>
      <c r="G48" s="1003"/>
      <c r="H48" s="1003"/>
      <c r="I48" s="1003"/>
      <c r="J48" s="1003"/>
      <c r="K48" s="1003"/>
      <c r="L48" s="1003"/>
      <c r="M48" s="1003"/>
      <c r="N48" s="1003"/>
      <c r="O48" s="1003"/>
      <c r="P48" s="1003"/>
      <c r="Q48" s="1003"/>
      <c r="R48" s="1003"/>
      <c r="S48" s="1003"/>
      <c r="T48" s="1003"/>
      <c r="U48" s="1003"/>
      <c r="V48" s="1003"/>
      <c r="W48" s="1003"/>
      <c r="X48" s="1003"/>
      <c r="Y48" s="1003"/>
      <c r="Z48" s="1003"/>
      <c r="AA48" s="1003"/>
      <c r="AB48" s="1003"/>
      <c r="AC48" s="1003"/>
      <c r="AD48" s="1003"/>
      <c r="AE48" s="1003"/>
    </row>
    <row r="49" spans="1:60" ht="15" customHeight="1">
      <c r="A49" s="142"/>
      <c r="B49" s="1003" t="str">
        <f>IF(OR(AS42&gt;0,AV42&gt;0),"Favor de revisar la suma y consistencia de totales y/o subtotales por filas (numéricos y NS)",IF(AF42=0,"","Debido a que cuenta con registro(s) con el código 1, el total de la fila respectiva debe ser mayor a cero"))</f>
        <v/>
      </c>
      <c r="C49" s="1003"/>
      <c r="D49" s="1003"/>
      <c r="E49" s="1003"/>
      <c r="F49" s="1003"/>
      <c r="G49" s="1003"/>
      <c r="H49" s="1003"/>
      <c r="I49" s="1003"/>
      <c r="J49" s="1003"/>
      <c r="K49" s="1003"/>
      <c r="L49" s="1003"/>
      <c r="M49" s="1003"/>
      <c r="N49" s="1003"/>
      <c r="O49" s="1003"/>
      <c r="P49" s="1003"/>
      <c r="Q49" s="1003"/>
      <c r="R49" s="1003"/>
      <c r="S49" s="1003"/>
      <c r="T49" s="1003"/>
      <c r="U49" s="1003"/>
      <c r="V49" s="1003"/>
      <c r="W49" s="1003"/>
      <c r="X49" s="1003"/>
      <c r="Y49" s="1003"/>
      <c r="Z49" s="1003"/>
      <c r="AA49" s="1003"/>
      <c r="AB49" s="1003"/>
      <c r="AC49" s="1003"/>
      <c r="AD49" s="1003"/>
      <c r="AE49" s="1003"/>
    </row>
    <row r="50" spans="1:60" ht="15" customHeight="1">
      <c r="A50" s="142"/>
      <c r="B50" s="794" t="str">
        <f>IF(AM42&gt;0,"Favor de revisar la instrucción 3, debido a que no se cumplen con los criterios mencionados","")</f>
        <v/>
      </c>
      <c r="C50" s="794"/>
      <c r="D50" s="794"/>
      <c r="E50" s="794"/>
      <c r="F50" s="794"/>
      <c r="G50" s="794"/>
      <c r="H50" s="794"/>
      <c r="I50" s="794"/>
      <c r="J50" s="794"/>
      <c r="K50" s="794"/>
      <c r="L50" s="794"/>
      <c r="M50" s="794"/>
      <c r="N50" s="794"/>
      <c r="O50" s="794"/>
      <c r="P50" s="794"/>
      <c r="Q50" s="794"/>
      <c r="R50" s="794"/>
      <c r="S50" s="794"/>
      <c r="T50" s="794"/>
      <c r="U50" s="794"/>
      <c r="V50" s="794"/>
      <c r="W50" s="794"/>
      <c r="X50" s="794"/>
      <c r="Y50" s="794"/>
      <c r="Z50" s="794"/>
      <c r="AA50" s="794"/>
      <c r="AB50" s="794"/>
      <c r="AC50" s="794"/>
      <c r="AD50" s="794"/>
      <c r="AE50" s="794"/>
    </row>
    <row r="51" spans="1:60" ht="15.75" thickBot="1">
      <c r="A51" s="119"/>
      <c r="B51" s="794" t="str">
        <f>IF(AP42&gt;0,"Favor de revisar la instrucción 4, debido a que no se cumplen con los criterios mencionados","")</f>
        <v/>
      </c>
      <c r="C51" s="794"/>
      <c r="D51" s="794"/>
      <c r="E51" s="794"/>
      <c r="F51" s="794"/>
      <c r="G51" s="794"/>
      <c r="H51" s="794"/>
      <c r="I51" s="794"/>
      <c r="J51" s="794"/>
      <c r="K51" s="794"/>
      <c r="L51" s="794"/>
      <c r="M51" s="794"/>
      <c r="N51" s="794"/>
      <c r="O51" s="794"/>
      <c r="P51" s="794"/>
      <c r="Q51" s="794"/>
      <c r="R51" s="794"/>
      <c r="S51" s="794"/>
      <c r="T51" s="794"/>
      <c r="U51" s="794"/>
      <c r="V51" s="794"/>
      <c r="W51" s="794"/>
      <c r="X51" s="794"/>
      <c r="Y51" s="794"/>
      <c r="Z51" s="794"/>
      <c r="AA51" s="794"/>
      <c r="AB51" s="794"/>
      <c r="AC51" s="794"/>
      <c r="AD51" s="794"/>
      <c r="AE51" s="794"/>
    </row>
    <row r="52" spans="1:60" customFormat="1" ht="15" customHeight="1" thickBot="1">
      <c r="A52" s="19" t="s">
        <v>2563</v>
      </c>
      <c r="B52" s="1081" t="s">
        <v>5787</v>
      </c>
      <c r="C52" s="1082"/>
      <c r="D52" s="1082"/>
      <c r="E52" s="1082"/>
      <c r="F52" s="1082"/>
      <c r="G52" s="1082"/>
      <c r="H52" s="1082"/>
      <c r="I52" s="1082"/>
      <c r="J52" s="1082"/>
      <c r="K52" s="1082"/>
      <c r="L52" s="1082"/>
      <c r="M52" s="1082"/>
      <c r="N52" s="1082"/>
      <c r="O52" s="1082"/>
      <c r="P52" s="1082"/>
      <c r="Q52" s="1082"/>
      <c r="R52" s="1082"/>
      <c r="S52" s="1082"/>
      <c r="T52" s="1082"/>
      <c r="U52" s="1082"/>
      <c r="V52" s="1082"/>
      <c r="W52" s="1082"/>
      <c r="X52" s="1082"/>
      <c r="Y52" s="1082"/>
      <c r="Z52" s="1082"/>
      <c r="AA52" s="1082"/>
      <c r="AB52" s="1082"/>
      <c r="AC52" s="1082"/>
      <c r="AD52" s="1083"/>
      <c r="AE52" s="3"/>
    </row>
    <row r="53" spans="1:60">
      <c r="A53" s="142"/>
      <c r="B53" s="57"/>
      <c r="C53" s="57"/>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row>
    <row r="54" spans="1:60" ht="24" customHeight="1">
      <c r="A54" s="49" t="s">
        <v>5788</v>
      </c>
      <c r="B54" s="829" t="s">
        <v>5789</v>
      </c>
      <c r="C54" s="829"/>
      <c r="D54" s="829"/>
      <c r="E54" s="829"/>
      <c r="F54" s="829"/>
      <c r="G54" s="829"/>
      <c r="H54" s="829"/>
      <c r="I54" s="829"/>
      <c r="J54" s="829"/>
      <c r="K54" s="829"/>
      <c r="L54" s="829"/>
      <c r="M54" s="829"/>
      <c r="N54" s="829"/>
      <c r="O54" s="829"/>
      <c r="P54" s="829"/>
      <c r="Q54" s="829"/>
      <c r="R54" s="829"/>
      <c r="S54" s="829"/>
      <c r="T54" s="829"/>
      <c r="U54" s="829"/>
      <c r="V54" s="829"/>
      <c r="W54" s="829"/>
      <c r="X54" s="829"/>
      <c r="Y54" s="829"/>
      <c r="Z54" s="829"/>
      <c r="AA54" s="829"/>
      <c r="AB54" s="829"/>
      <c r="AC54" s="829"/>
      <c r="AD54" s="829"/>
    </row>
    <row r="55" spans="1:60" ht="24" customHeight="1">
      <c r="A55" s="50"/>
      <c r="B55" s="38"/>
      <c r="C55" s="878" t="s">
        <v>5790</v>
      </c>
      <c r="D55" s="878"/>
      <c r="E55" s="878"/>
      <c r="F55" s="878"/>
      <c r="G55" s="878"/>
      <c r="H55" s="878"/>
      <c r="I55" s="878"/>
      <c r="J55" s="878"/>
      <c r="K55" s="878"/>
      <c r="L55" s="878"/>
      <c r="M55" s="878"/>
      <c r="N55" s="878"/>
      <c r="O55" s="878"/>
      <c r="P55" s="878"/>
      <c r="Q55" s="878"/>
      <c r="R55" s="878"/>
      <c r="S55" s="878"/>
      <c r="T55" s="878"/>
      <c r="U55" s="878"/>
      <c r="V55" s="878"/>
      <c r="W55" s="878"/>
      <c r="X55" s="878"/>
      <c r="Y55" s="878"/>
      <c r="Z55" s="878"/>
      <c r="AA55" s="878"/>
      <c r="AB55" s="878"/>
      <c r="AC55" s="878"/>
      <c r="AD55" s="878"/>
    </row>
    <row r="56" spans="1:60">
      <c r="A56" s="119"/>
      <c r="AA56" s="711"/>
      <c r="AB56" s="711"/>
      <c r="AC56" s="711"/>
      <c r="AD56" s="711"/>
    </row>
    <row r="57" spans="1:60" ht="15" customHeight="1">
      <c r="A57" s="142"/>
      <c r="B57" s="113"/>
      <c r="C57" s="732" t="s">
        <v>2581</v>
      </c>
      <c r="D57" s="732"/>
      <c r="E57" s="732"/>
      <c r="F57" s="732"/>
      <c r="G57" s="732" t="s">
        <v>5791</v>
      </c>
      <c r="H57" s="732"/>
      <c r="I57" s="732"/>
      <c r="J57" s="732"/>
      <c r="K57" s="732"/>
      <c r="L57" s="732"/>
      <c r="M57" s="732"/>
      <c r="N57" s="732"/>
      <c r="O57" s="732"/>
      <c r="P57" s="732"/>
      <c r="Q57" s="732"/>
      <c r="R57" s="732"/>
      <c r="S57" s="732"/>
      <c r="T57" s="732"/>
      <c r="U57" s="732"/>
      <c r="V57" s="732"/>
      <c r="W57" s="732"/>
      <c r="X57" s="732"/>
      <c r="Y57" s="732"/>
      <c r="Z57" s="732"/>
      <c r="AA57" s="732"/>
      <c r="AB57" s="732"/>
      <c r="AC57" s="732"/>
      <c r="AD57" s="732"/>
    </row>
    <row r="58" spans="1:60" ht="48" customHeight="1">
      <c r="A58" s="50"/>
      <c r="B58" s="113"/>
      <c r="C58" s="732"/>
      <c r="D58" s="732"/>
      <c r="E58" s="732"/>
      <c r="F58" s="732"/>
      <c r="G58" s="874" t="s">
        <v>2628</v>
      </c>
      <c r="H58" s="857" t="s">
        <v>2629</v>
      </c>
      <c r="I58" s="857" t="s">
        <v>2630</v>
      </c>
      <c r="J58" s="736" t="s">
        <v>3102</v>
      </c>
      <c r="K58" s="736"/>
      <c r="L58" s="736"/>
      <c r="M58" s="736" t="s">
        <v>3105</v>
      </c>
      <c r="N58" s="736"/>
      <c r="O58" s="736"/>
      <c r="P58" s="736" t="s">
        <v>3108</v>
      </c>
      <c r="Q58" s="736"/>
      <c r="R58" s="736"/>
      <c r="S58" s="736" t="s">
        <v>3111</v>
      </c>
      <c r="T58" s="736"/>
      <c r="U58" s="736"/>
      <c r="V58" s="736" t="s">
        <v>3114</v>
      </c>
      <c r="W58" s="736"/>
      <c r="X58" s="736"/>
      <c r="Y58" s="828" t="s">
        <v>3117</v>
      </c>
      <c r="Z58" s="828"/>
      <c r="AA58" s="828"/>
      <c r="AB58" s="828" t="s">
        <v>3120</v>
      </c>
      <c r="AC58" s="828"/>
      <c r="AD58" s="828"/>
    </row>
    <row r="59" spans="1:60" ht="48" customHeight="1">
      <c r="A59" s="142"/>
      <c r="B59" s="113"/>
      <c r="C59" s="732"/>
      <c r="D59" s="732"/>
      <c r="E59" s="732"/>
      <c r="F59" s="732"/>
      <c r="G59" s="874"/>
      <c r="H59" s="857"/>
      <c r="I59" s="857"/>
      <c r="J59" s="127" t="s">
        <v>2635</v>
      </c>
      <c r="K59" s="128" t="s">
        <v>2629</v>
      </c>
      <c r="L59" s="128" t="s">
        <v>2630</v>
      </c>
      <c r="M59" s="127" t="s">
        <v>2635</v>
      </c>
      <c r="N59" s="128" t="s">
        <v>2629</v>
      </c>
      <c r="O59" s="128" t="s">
        <v>2630</v>
      </c>
      <c r="P59" s="127" t="s">
        <v>2635</v>
      </c>
      <c r="Q59" s="128" t="s">
        <v>2629</v>
      </c>
      <c r="R59" s="128" t="s">
        <v>2630</v>
      </c>
      <c r="S59" s="127" t="s">
        <v>2635</v>
      </c>
      <c r="T59" s="128" t="s">
        <v>2629</v>
      </c>
      <c r="U59" s="128" t="s">
        <v>2630</v>
      </c>
      <c r="V59" s="127" t="s">
        <v>2635</v>
      </c>
      <c r="W59" s="128" t="s">
        <v>2629</v>
      </c>
      <c r="X59" s="128" t="s">
        <v>2630</v>
      </c>
      <c r="Y59" s="127" t="s">
        <v>2635</v>
      </c>
      <c r="Z59" s="128" t="s">
        <v>2629</v>
      </c>
      <c r="AA59" s="128" t="s">
        <v>2630</v>
      </c>
      <c r="AB59" s="127" t="s">
        <v>2635</v>
      </c>
      <c r="AC59" s="128" t="s">
        <v>2629</v>
      </c>
      <c r="AD59" s="128" t="s">
        <v>2630</v>
      </c>
      <c r="AG59" t="s">
        <v>2586</v>
      </c>
      <c r="AH59"/>
      <c r="AI59"/>
      <c r="AJ59"/>
      <c r="AK59" t="s">
        <v>4573</v>
      </c>
      <c r="AL59" t="s">
        <v>2638</v>
      </c>
      <c r="AM59" t="s">
        <v>2639</v>
      </c>
      <c r="AN59" t="s">
        <v>4574</v>
      </c>
      <c r="AO59" t="s">
        <v>2641</v>
      </c>
      <c r="AP59" t="s">
        <v>2642</v>
      </c>
      <c r="AQ59" t="s">
        <v>4575</v>
      </c>
      <c r="AR59" t="s">
        <v>2644</v>
      </c>
      <c r="AS59" t="s">
        <v>2645</v>
      </c>
      <c r="AT59" t="s">
        <v>4576</v>
      </c>
      <c r="AU59" t="s">
        <v>2647</v>
      </c>
      <c r="AV59" t="s">
        <v>2648</v>
      </c>
      <c r="AW59" t="s">
        <v>5177</v>
      </c>
      <c r="AX59" t="s">
        <v>2757</v>
      </c>
      <c r="AY59" t="s">
        <v>2758</v>
      </c>
      <c r="AZ59" t="s">
        <v>5194</v>
      </c>
      <c r="BA59" t="s">
        <v>2760</v>
      </c>
      <c r="BB59" t="s">
        <v>2761</v>
      </c>
      <c r="BC59" t="s">
        <v>5195</v>
      </c>
      <c r="BD59" t="s">
        <v>2763</v>
      </c>
      <c r="BE59" t="s">
        <v>2764</v>
      </c>
      <c r="BF59" t="s">
        <v>5563</v>
      </c>
      <c r="BG59" t="s">
        <v>2766</v>
      </c>
      <c r="BH59" t="s">
        <v>2767</v>
      </c>
    </row>
    <row r="60" spans="1:60" ht="15" customHeight="1">
      <c r="A60" s="142"/>
      <c r="B60" s="113"/>
      <c r="C60" s="44" t="s">
        <v>2516</v>
      </c>
      <c r="D60" s="796" t="str">
        <f>IF(CNSIPEE_2024_M2_Secc1!D42="","",CNSIPEE_2024_M2_Secc1!D42)</f>
        <v/>
      </c>
      <c r="E60" s="796"/>
      <c r="F60" s="796"/>
      <c r="G60" s="100"/>
      <c r="H60" s="100"/>
      <c r="I60" s="100"/>
      <c r="J60" s="100"/>
      <c r="K60" s="100"/>
      <c r="L60" s="100"/>
      <c r="M60" s="100"/>
      <c r="N60" s="100"/>
      <c r="O60" s="100"/>
      <c r="P60" s="100"/>
      <c r="Q60" s="100"/>
      <c r="R60" s="100"/>
      <c r="S60" s="100"/>
      <c r="T60" s="100"/>
      <c r="U60" s="100"/>
      <c r="V60" s="100"/>
      <c r="W60" s="100"/>
      <c r="X60" s="100"/>
      <c r="Y60" s="100"/>
      <c r="Z60" s="100"/>
      <c r="AA60" s="100"/>
      <c r="AB60" s="100"/>
      <c r="AC60" s="100"/>
      <c r="AD60" s="100"/>
      <c r="AG60">
        <f>IF(COUNTBLANK(D60:AD60)=27,0,IF(COUNTBLANK(D60)=1,1,IF(COUNTA(G60:AD60)=24,0,1)))</f>
        <v>0</v>
      </c>
      <c r="AH60"/>
      <c r="AI60"/>
      <c r="AJ60"/>
      <c r="AK60">
        <f t="shared" ref="AK60:AK67" si="7">COUNTIF(H60:I60,"NS")</f>
        <v>0</v>
      </c>
      <c r="AL60">
        <f t="shared" ref="AL60:AL67" si="8">SUM(H60:I60)</f>
        <v>0</v>
      </c>
      <c r="AM60">
        <f t="shared" ref="AM60:AM67" si="9">IF(COUNTIF(G60:I60,"NA")=3,0,IF(COUNTA(G60:I60)=0,0,IF(OR(AND(G60=0,AK60&gt;0),AND(G60="ns",AL60&gt;0),AND(G60="ns",AK60=0,AL60=0)),1,IF(OR(AND(G60&gt;0,AK60=2),AND(G60="ns",AK60=2),AND(G60="ns",AL60=0,AK60&gt;0),G60=AL60),0,1))))</f>
        <v>0</v>
      </c>
      <c r="AN60">
        <f t="shared" ref="AN60:AN67" si="10">COUNTIF(K60:L60,"NS")</f>
        <v>0</v>
      </c>
      <c r="AO60">
        <f t="shared" ref="AO60:AO67" si="11">SUM(K60:L60)</f>
        <v>0</v>
      </c>
      <c r="AP60">
        <f t="shared" ref="AP60:AP67" si="12">IF(COUNTIF(J60:L60,"NA")=3,0,IF(COUNTA(J60:L60)=0,0,IF(OR(AND(J60=0,AN60&gt;0),AND(J60="ns",AO60&gt;0),AND(J60="ns",AN60=0,AO60=0)),1,IF(OR(AND(J60&gt;0,AN60=2),AND(J60="ns",AN60=2),AND(J60="ns",AO60=0,AN60&gt;0),J60=AO60),0,1))))</f>
        <v>0</v>
      </c>
      <c r="AQ60">
        <f t="shared" ref="AQ60:AQ67" si="13">COUNTIF(N60:O60,"NS")</f>
        <v>0</v>
      </c>
      <c r="AR60">
        <f t="shared" ref="AR60:AR67" si="14">SUM(N60:O60)</f>
        <v>0</v>
      </c>
      <c r="AS60">
        <f t="shared" ref="AS60:AS67" si="15">IF(COUNTIF(M60:O60,"NA")=3,0,IF(COUNTA(M60:O60)=0,0,IF(OR(AND(M60=0,AQ60&gt;0),AND(M60="ns",AR60&gt;0),AND(M60="ns",AQ60=0,AR60=0)),1,IF(OR(AND(M60&gt;0,AQ60=2),AND(M60="ns",AQ60=2),AND(M60="ns",AR60=0,AQ60&gt;0),M60=AR60),0,1))))</f>
        <v>0</v>
      </c>
      <c r="AT60">
        <f t="shared" ref="AT60:AT67" si="16">COUNTIF(Q60:R60,"NS")</f>
        <v>0</v>
      </c>
      <c r="AU60">
        <f t="shared" ref="AU60:AU67" si="17">SUM(Q60:R60)</f>
        <v>0</v>
      </c>
      <c r="AV60">
        <f t="shared" ref="AV60:AV67" si="18">IF(COUNTIF(P60:R60,"NA")=3,0,IF(COUNTA(P60:R60)=0,0,IF(OR(AND(P60=0,AT60&gt;0),AND(P60="ns",AU60&gt;0),AND(P60="ns",AT60=0,AU60=0)),1,IF(OR(AND(P60&gt;0,AT60=2),AND(P60="ns",AT60=2),AND(P60="ns",AU60=0,AT60&gt;0),P60=AU60),0,1))))</f>
        <v>0</v>
      </c>
      <c r="AW60">
        <f t="shared" ref="AW60:AW67" si="19">COUNTIF(T60:U60,"NS")</f>
        <v>0</v>
      </c>
      <c r="AX60">
        <f t="shared" ref="AX60:AX67" si="20">SUM(T60:U60)</f>
        <v>0</v>
      </c>
      <c r="AY60">
        <f t="shared" ref="AY60:AY67" si="21">IF(COUNTIF(S60:U60,"NA")=3,0,IF(COUNTA(S60:U60)=0,0,IF(OR(AND(S60=0,AW60&gt;0),AND(S60="ns",AX60&gt;0),AND(S60="ns",AW60=0,AX60=0)),1,IF(OR(AND(S60&gt;0,AW60=2),AND(S60="ns",AW60=2),AND(S60="ns",AX60=0,AW60&gt;0),S60=AX60),0,1))))</f>
        <v>0</v>
      </c>
      <c r="AZ60">
        <f t="shared" ref="AZ60:AZ67" si="22">COUNTIF(W60:X60,"NS")</f>
        <v>0</v>
      </c>
      <c r="BA60">
        <f t="shared" ref="BA60:BA67" si="23">SUM(W60:X60)</f>
        <v>0</v>
      </c>
      <c r="BB60">
        <f t="shared" ref="BB60:BB67" si="24">IF(COUNTIF(V60:X60,"NA")=3,0,IF(COUNTA(V60:X60)=0,0,IF(OR(AND(V60=0,AZ60&gt;0),AND(V60="ns",BA60&gt;0),AND(V60="ns",AZ60=0,BA60=0)),1,IF(OR(AND(V60&gt;0,AZ60=2),AND(V60="ns",AZ60=2),AND(V60="ns",BA60=0,AZ60&gt;0),V60=BA60),0,1))))</f>
        <v>0</v>
      </c>
      <c r="BC60">
        <f t="shared" ref="BC60:BC67" si="25">COUNTIF(Z60:AA60,"NS")</f>
        <v>0</v>
      </c>
      <c r="BD60">
        <f t="shared" ref="BD60:BD67" si="26">SUM(Z60:AA60)</f>
        <v>0</v>
      </c>
      <c r="BE60">
        <f t="shared" ref="BE60:BE67" si="27">IF(COUNTIF(Y60:AA60,"NA")=3,0,IF(COUNTA(Y60:AA60)=0,0,IF(OR(AND(Y60=0,BC60&gt;0),AND(Y60="ns",BD60&gt;0),AND(Y60="ns",BC60=0,BD60=0)),1,IF(OR(AND(Y60&gt;0,BC60=2),AND(Y60="ns",BC60=2),AND(Y60="ns",BD60=0,BC60&gt;0),Y60=BD60),0,1))))</f>
        <v>0</v>
      </c>
      <c r="BF60">
        <f t="shared" ref="BF60:BF67" si="28">COUNTIF(AC60:AD60,"NS")</f>
        <v>0</v>
      </c>
      <c r="BG60">
        <f t="shared" ref="BG60:BG67" si="29">SUM(AC60:AD60)</f>
        <v>0</v>
      </c>
      <c r="BH60">
        <f t="shared" ref="BH60:BH67" si="30">IF(COUNTIF(AB60:AD60,"NA")=3,0,IF(COUNTA(AB60:AD60)=0,0,IF(OR(AND(AB60=0,BF60&gt;0),AND(AB60="ns",BG60&gt;0),AND(AB60="ns",BF60=0,BG60=0)),1,IF(OR(AND(AB60&gt;0,BF60=2),AND(AB60="ns",BF60=2),AND(AB60="ns",BG60=0,BF60&gt;0),AB60=BG60),0,1))))</f>
        <v>0</v>
      </c>
    </row>
    <row r="61" spans="1:60" ht="15" customHeight="1">
      <c r="A61" s="142"/>
      <c r="B61" s="113"/>
      <c r="C61" s="97" t="s">
        <v>2517</v>
      </c>
      <c r="D61" s="796" t="str">
        <f>IF(CNSIPEE_2024_M2_Secc1!D43="","",CNSIPEE_2024_M2_Secc1!D43)</f>
        <v/>
      </c>
      <c r="E61" s="796"/>
      <c r="F61" s="796"/>
      <c r="G61" s="100"/>
      <c r="H61" s="100"/>
      <c r="I61" s="100"/>
      <c r="J61" s="100"/>
      <c r="K61" s="100"/>
      <c r="L61" s="100"/>
      <c r="M61" s="100"/>
      <c r="N61" s="100"/>
      <c r="O61" s="100"/>
      <c r="P61" s="100"/>
      <c r="Q61" s="100"/>
      <c r="R61" s="100"/>
      <c r="S61" s="100"/>
      <c r="T61" s="100"/>
      <c r="U61" s="100"/>
      <c r="V61" s="100"/>
      <c r="W61" s="100"/>
      <c r="X61" s="100"/>
      <c r="Y61" s="100"/>
      <c r="Z61" s="100"/>
      <c r="AA61" s="100"/>
      <c r="AB61" s="100"/>
      <c r="AC61" s="100"/>
      <c r="AD61" s="100"/>
      <c r="AG61">
        <f t="shared" ref="AG61:AG67" si="31">IF(COUNTBLANK(D61:AD61)=27,0,IF(COUNTBLANK(D61)=1,1,IF(COUNTA(G61:AD61)=24,0,1)))</f>
        <v>0</v>
      </c>
      <c r="AH61"/>
      <c r="AI61"/>
      <c r="AJ61"/>
      <c r="AK61">
        <f t="shared" si="7"/>
        <v>0</v>
      </c>
      <c r="AL61">
        <f t="shared" si="8"/>
        <v>0</v>
      </c>
      <c r="AM61">
        <f t="shared" si="9"/>
        <v>0</v>
      </c>
      <c r="AN61">
        <f t="shared" si="10"/>
        <v>0</v>
      </c>
      <c r="AO61">
        <f t="shared" si="11"/>
        <v>0</v>
      </c>
      <c r="AP61">
        <f t="shared" si="12"/>
        <v>0</v>
      </c>
      <c r="AQ61">
        <f t="shared" si="13"/>
        <v>0</v>
      </c>
      <c r="AR61">
        <f t="shared" si="14"/>
        <v>0</v>
      </c>
      <c r="AS61">
        <f t="shared" si="15"/>
        <v>0</v>
      </c>
      <c r="AT61">
        <f t="shared" si="16"/>
        <v>0</v>
      </c>
      <c r="AU61">
        <f t="shared" si="17"/>
        <v>0</v>
      </c>
      <c r="AV61">
        <f t="shared" si="18"/>
        <v>0</v>
      </c>
      <c r="AW61">
        <f t="shared" si="19"/>
        <v>0</v>
      </c>
      <c r="AX61">
        <f t="shared" si="20"/>
        <v>0</v>
      </c>
      <c r="AY61">
        <f t="shared" si="21"/>
        <v>0</v>
      </c>
      <c r="AZ61">
        <f t="shared" si="22"/>
        <v>0</v>
      </c>
      <c r="BA61">
        <f t="shared" si="23"/>
        <v>0</v>
      </c>
      <c r="BB61">
        <f t="shared" si="24"/>
        <v>0</v>
      </c>
      <c r="BC61">
        <f t="shared" si="25"/>
        <v>0</v>
      </c>
      <c r="BD61">
        <f t="shared" si="26"/>
        <v>0</v>
      </c>
      <c r="BE61">
        <f t="shared" si="27"/>
        <v>0</v>
      </c>
      <c r="BF61">
        <f t="shared" si="28"/>
        <v>0</v>
      </c>
      <c r="BG61">
        <f t="shared" si="29"/>
        <v>0</v>
      </c>
      <c r="BH61">
        <f t="shared" si="30"/>
        <v>0</v>
      </c>
    </row>
    <row r="62" spans="1:60" ht="15" customHeight="1">
      <c r="A62" s="142"/>
      <c r="B62" s="113"/>
      <c r="C62" s="98" t="s">
        <v>2518</v>
      </c>
      <c r="D62" s="796" t="str">
        <f>IF(CNSIPEE_2024_M2_Secc1!D44="","",CNSIPEE_2024_M2_Secc1!D44)</f>
        <v/>
      </c>
      <c r="E62" s="796"/>
      <c r="F62" s="796"/>
      <c r="G62" s="100"/>
      <c r="H62" s="100"/>
      <c r="I62" s="100"/>
      <c r="J62" s="100"/>
      <c r="K62" s="100"/>
      <c r="L62" s="100"/>
      <c r="M62" s="100"/>
      <c r="N62" s="100"/>
      <c r="O62" s="100"/>
      <c r="P62" s="100"/>
      <c r="Q62" s="100"/>
      <c r="R62" s="100"/>
      <c r="S62" s="100"/>
      <c r="T62" s="100"/>
      <c r="U62" s="100"/>
      <c r="V62" s="100"/>
      <c r="W62" s="100"/>
      <c r="X62" s="100"/>
      <c r="Y62" s="100"/>
      <c r="Z62" s="100"/>
      <c r="AA62" s="100"/>
      <c r="AB62" s="100"/>
      <c r="AC62" s="100"/>
      <c r="AD62" s="100"/>
      <c r="AG62">
        <f t="shared" si="31"/>
        <v>0</v>
      </c>
      <c r="AH62"/>
      <c r="AI62"/>
      <c r="AJ62"/>
      <c r="AK62">
        <f t="shared" si="7"/>
        <v>0</v>
      </c>
      <c r="AL62">
        <f t="shared" si="8"/>
        <v>0</v>
      </c>
      <c r="AM62">
        <f t="shared" si="9"/>
        <v>0</v>
      </c>
      <c r="AN62">
        <f t="shared" si="10"/>
        <v>0</v>
      </c>
      <c r="AO62">
        <f t="shared" si="11"/>
        <v>0</v>
      </c>
      <c r="AP62">
        <f t="shared" si="12"/>
        <v>0</v>
      </c>
      <c r="AQ62">
        <f t="shared" si="13"/>
        <v>0</v>
      </c>
      <c r="AR62">
        <f t="shared" si="14"/>
        <v>0</v>
      </c>
      <c r="AS62">
        <f t="shared" si="15"/>
        <v>0</v>
      </c>
      <c r="AT62">
        <f t="shared" si="16"/>
        <v>0</v>
      </c>
      <c r="AU62">
        <f t="shared" si="17"/>
        <v>0</v>
      </c>
      <c r="AV62">
        <f t="shared" si="18"/>
        <v>0</v>
      </c>
      <c r="AW62">
        <f t="shared" si="19"/>
        <v>0</v>
      </c>
      <c r="AX62">
        <f t="shared" si="20"/>
        <v>0</v>
      </c>
      <c r="AY62">
        <f t="shared" si="21"/>
        <v>0</v>
      </c>
      <c r="AZ62">
        <f t="shared" si="22"/>
        <v>0</v>
      </c>
      <c r="BA62">
        <f t="shared" si="23"/>
        <v>0</v>
      </c>
      <c r="BB62">
        <f t="shared" si="24"/>
        <v>0</v>
      </c>
      <c r="BC62">
        <f t="shared" si="25"/>
        <v>0</v>
      </c>
      <c r="BD62">
        <f t="shared" si="26"/>
        <v>0</v>
      </c>
      <c r="BE62">
        <f t="shared" si="27"/>
        <v>0</v>
      </c>
      <c r="BF62">
        <f t="shared" si="28"/>
        <v>0</v>
      </c>
      <c r="BG62">
        <f t="shared" si="29"/>
        <v>0</v>
      </c>
      <c r="BH62">
        <f t="shared" si="30"/>
        <v>0</v>
      </c>
    </row>
    <row r="63" spans="1:60" ht="15" customHeight="1">
      <c r="A63" s="142"/>
      <c r="B63" s="113"/>
      <c r="C63" s="98" t="s">
        <v>2519</v>
      </c>
      <c r="D63" s="796" t="str">
        <f>IF(CNSIPEE_2024_M2_Secc1!D45="","",CNSIPEE_2024_M2_Secc1!D45)</f>
        <v/>
      </c>
      <c r="E63" s="796"/>
      <c r="F63" s="796"/>
      <c r="G63" s="100"/>
      <c r="H63" s="100"/>
      <c r="I63" s="100"/>
      <c r="J63" s="100"/>
      <c r="K63" s="100"/>
      <c r="L63" s="100"/>
      <c r="M63" s="100"/>
      <c r="N63" s="100"/>
      <c r="O63" s="100"/>
      <c r="P63" s="100"/>
      <c r="Q63" s="100"/>
      <c r="R63" s="100"/>
      <c r="S63" s="100"/>
      <c r="T63" s="100"/>
      <c r="U63" s="100"/>
      <c r="V63" s="100"/>
      <c r="W63" s="100"/>
      <c r="X63" s="100"/>
      <c r="Y63" s="100"/>
      <c r="Z63" s="100"/>
      <c r="AA63" s="100"/>
      <c r="AB63" s="100"/>
      <c r="AC63" s="100"/>
      <c r="AD63" s="100"/>
      <c r="AG63">
        <f t="shared" si="31"/>
        <v>0</v>
      </c>
      <c r="AH63"/>
      <c r="AI63"/>
      <c r="AJ63"/>
      <c r="AK63">
        <f t="shared" si="7"/>
        <v>0</v>
      </c>
      <c r="AL63">
        <f t="shared" si="8"/>
        <v>0</v>
      </c>
      <c r="AM63">
        <f t="shared" si="9"/>
        <v>0</v>
      </c>
      <c r="AN63">
        <f t="shared" si="10"/>
        <v>0</v>
      </c>
      <c r="AO63">
        <f t="shared" si="11"/>
        <v>0</v>
      </c>
      <c r="AP63">
        <f t="shared" si="12"/>
        <v>0</v>
      </c>
      <c r="AQ63">
        <f t="shared" si="13"/>
        <v>0</v>
      </c>
      <c r="AR63">
        <f t="shared" si="14"/>
        <v>0</v>
      </c>
      <c r="AS63">
        <f t="shared" si="15"/>
        <v>0</v>
      </c>
      <c r="AT63">
        <f t="shared" si="16"/>
        <v>0</v>
      </c>
      <c r="AU63">
        <f t="shared" si="17"/>
        <v>0</v>
      </c>
      <c r="AV63">
        <f t="shared" si="18"/>
        <v>0</v>
      </c>
      <c r="AW63">
        <f t="shared" si="19"/>
        <v>0</v>
      </c>
      <c r="AX63">
        <f t="shared" si="20"/>
        <v>0</v>
      </c>
      <c r="AY63">
        <f t="shared" si="21"/>
        <v>0</v>
      </c>
      <c r="AZ63">
        <f t="shared" si="22"/>
        <v>0</v>
      </c>
      <c r="BA63">
        <f t="shared" si="23"/>
        <v>0</v>
      </c>
      <c r="BB63">
        <f t="shared" si="24"/>
        <v>0</v>
      </c>
      <c r="BC63">
        <f t="shared" si="25"/>
        <v>0</v>
      </c>
      <c r="BD63">
        <f t="shared" si="26"/>
        <v>0</v>
      </c>
      <c r="BE63">
        <f t="shared" si="27"/>
        <v>0</v>
      </c>
      <c r="BF63">
        <f t="shared" si="28"/>
        <v>0</v>
      </c>
      <c r="BG63">
        <f t="shared" si="29"/>
        <v>0</v>
      </c>
      <c r="BH63">
        <f t="shared" si="30"/>
        <v>0</v>
      </c>
    </row>
    <row r="64" spans="1:60" ht="15" customHeight="1">
      <c r="A64" s="142"/>
      <c r="B64" s="113"/>
      <c r="C64" s="98" t="s">
        <v>2520</v>
      </c>
      <c r="D64" s="796" t="str">
        <f>IF(CNSIPEE_2024_M2_Secc1!D46="","",CNSIPEE_2024_M2_Secc1!D46)</f>
        <v/>
      </c>
      <c r="E64" s="796"/>
      <c r="F64" s="796"/>
      <c r="G64" s="100"/>
      <c r="H64" s="100"/>
      <c r="I64" s="100"/>
      <c r="J64" s="100"/>
      <c r="K64" s="100"/>
      <c r="L64" s="100"/>
      <c r="M64" s="100"/>
      <c r="N64" s="100"/>
      <c r="O64" s="100"/>
      <c r="P64" s="100"/>
      <c r="Q64" s="100"/>
      <c r="R64" s="100"/>
      <c r="S64" s="100"/>
      <c r="T64" s="100"/>
      <c r="U64" s="100"/>
      <c r="V64" s="100"/>
      <c r="W64" s="100"/>
      <c r="X64" s="100"/>
      <c r="Y64" s="100"/>
      <c r="Z64" s="100"/>
      <c r="AA64" s="100"/>
      <c r="AB64" s="100"/>
      <c r="AC64" s="100"/>
      <c r="AD64" s="100"/>
      <c r="AG64">
        <f t="shared" si="31"/>
        <v>0</v>
      </c>
      <c r="AH64"/>
      <c r="AI64"/>
      <c r="AJ64"/>
      <c r="AK64">
        <f t="shared" si="7"/>
        <v>0</v>
      </c>
      <c r="AL64">
        <f t="shared" si="8"/>
        <v>0</v>
      </c>
      <c r="AM64">
        <f t="shared" si="9"/>
        <v>0</v>
      </c>
      <c r="AN64">
        <f t="shared" si="10"/>
        <v>0</v>
      </c>
      <c r="AO64">
        <f t="shared" si="11"/>
        <v>0</v>
      </c>
      <c r="AP64">
        <f t="shared" si="12"/>
        <v>0</v>
      </c>
      <c r="AQ64">
        <f t="shared" si="13"/>
        <v>0</v>
      </c>
      <c r="AR64">
        <f t="shared" si="14"/>
        <v>0</v>
      </c>
      <c r="AS64">
        <f t="shared" si="15"/>
        <v>0</v>
      </c>
      <c r="AT64">
        <f t="shared" si="16"/>
        <v>0</v>
      </c>
      <c r="AU64">
        <f t="shared" si="17"/>
        <v>0</v>
      </c>
      <c r="AV64">
        <f t="shared" si="18"/>
        <v>0</v>
      </c>
      <c r="AW64">
        <f t="shared" si="19"/>
        <v>0</v>
      </c>
      <c r="AX64">
        <f t="shared" si="20"/>
        <v>0</v>
      </c>
      <c r="AY64">
        <f t="shared" si="21"/>
        <v>0</v>
      </c>
      <c r="AZ64">
        <f t="shared" si="22"/>
        <v>0</v>
      </c>
      <c r="BA64">
        <f t="shared" si="23"/>
        <v>0</v>
      </c>
      <c r="BB64">
        <f t="shared" si="24"/>
        <v>0</v>
      </c>
      <c r="BC64">
        <f t="shared" si="25"/>
        <v>0</v>
      </c>
      <c r="BD64">
        <f t="shared" si="26"/>
        <v>0</v>
      </c>
      <c r="BE64">
        <f t="shared" si="27"/>
        <v>0</v>
      </c>
      <c r="BF64">
        <f t="shared" si="28"/>
        <v>0</v>
      </c>
      <c r="BG64">
        <f t="shared" si="29"/>
        <v>0</v>
      </c>
      <c r="BH64">
        <f t="shared" si="30"/>
        <v>0</v>
      </c>
    </row>
    <row r="65" spans="1:60" ht="15" customHeight="1">
      <c r="A65" s="142"/>
      <c r="B65" s="113"/>
      <c r="C65" s="98" t="s">
        <v>2521</v>
      </c>
      <c r="D65" s="796" t="str">
        <f>IF(CNSIPEE_2024_M2_Secc1!D47="","",CNSIPEE_2024_M2_Secc1!D47)</f>
        <v/>
      </c>
      <c r="E65" s="796"/>
      <c r="F65" s="796"/>
      <c r="G65" s="100"/>
      <c r="H65" s="100"/>
      <c r="I65" s="100"/>
      <c r="J65" s="100"/>
      <c r="K65" s="100"/>
      <c r="L65" s="100"/>
      <c r="M65" s="100"/>
      <c r="N65" s="100"/>
      <c r="O65" s="100"/>
      <c r="P65" s="100"/>
      <c r="Q65" s="100"/>
      <c r="R65" s="100"/>
      <c r="S65" s="100"/>
      <c r="T65" s="100"/>
      <c r="U65" s="100"/>
      <c r="V65" s="100"/>
      <c r="W65" s="100"/>
      <c r="X65" s="100"/>
      <c r="Y65" s="100"/>
      <c r="Z65" s="100"/>
      <c r="AA65" s="100"/>
      <c r="AB65" s="100"/>
      <c r="AC65" s="100"/>
      <c r="AD65" s="100"/>
      <c r="AG65">
        <f t="shared" si="31"/>
        <v>0</v>
      </c>
      <c r="AH65"/>
      <c r="AI65"/>
      <c r="AJ65"/>
      <c r="AK65">
        <f t="shared" si="7"/>
        <v>0</v>
      </c>
      <c r="AL65">
        <f t="shared" si="8"/>
        <v>0</v>
      </c>
      <c r="AM65">
        <f t="shared" si="9"/>
        <v>0</v>
      </c>
      <c r="AN65">
        <f t="shared" si="10"/>
        <v>0</v>
      </c>
      <c r="AO65">
        <f t="shared" si="11"/>
        <v>0</v>
      </c>
      <c r="AP65">
        <f t="shared" si="12"/>
        <v>0</v>
      </c>
      <c r="AQ65">
        <f t="shared" si="13"/>
        <v>0</v>
      </c>
      <c r="AR65">
        <f t="shared" si="14"/>
        <v>0</v>
      </c>
      <c r="AS65">
        <f t="shared" si="15"/>
        <v>0</v>
      </c>
      <c r="AT65">
        <f t="shared" si="16"/>
        <v>0</v>
      </c>
      <c r="AU65">
        <f t="shared" si="17"/>
        <v>0</v>
      </c>
      <c r="AV65">
        <f t="shared" si="18"/>
        <v>0</v>
      </c>
      <c r="AW65">
        <f t="shared" si="19"/>
        <v>0</v>
      </c>
      <c r="AX65">
        <f t="shared" si="20"/>
        <v>0</v>
      </c>
      <c r="AY65">
        <f t="shared" si="21"/>
        <v>0</v>
      </c>
      <c r="AZ65">
        <f t="shared" si="22"/>
        <v>0</v>
      </c>
      <c r="BA65">
        <f t="shared" si="23"/>
        <v>0</v>
      </c>
      <c r="BB65">
        <f t="shared" si="24"/>
        <v>0</v>
      </c>
      <c r="BC65">
        <f t="shared" si="25"/>
        <v>0</v>
      </c>
      <c r="BD65">
        <f t="shared" si="26"/>
        <v>0</v>
      </c>
      <c r="BE65">
        <f t="shared" si="27"/>
        <v>0</v>
      </c>
      <c r="BF65">
        <f t="shared" si="28"/>
        <v>0</v>
      </c>
      <c r="BG65">
        <f t="shared" si="29"/>
        <v>0</v>
      </c>
      <c r="BH65">
        <f t="shared" si="30"/>
        <v>0</v>
      </c>
    </row>
    <row r="66" spans="1:60" ht="15" customHeight="1">
      <c r="A66" s="142"/>
      <c r="B66" s="113"/>
      <c r="C66" s="98" t="s">
        <v>2522</v>
      </c>
      <c r="D66" s="796" t="str">
        <f>IF(CNSIPEE_2024_M2_Secc1!D48="","",CNSIPEE_2024_M2_Secc1!D48)</f>
        <v/>
      </c>
      <c r="E66" s="796"/>
      <c r="F66" s="796"/>
      <c r="G66" s="100"/>
      <c r="H66" s="100"/>
      <c r="I66" s="100"/>
      <c r="J66" s="100"/>
      <c r="K66" s="100"/>
      <c r="L66" s="100"/>
      <c r="M66" s="100"/>
      <c r="N66" s="100"/>
      <c r="O66" s="100"/>
      <c r="P66" s="100"/>
      <c r="Q66" s="100"/>
      <c r="R66" s="100"/>
      <c r="S66" s="100"/>
      <c r="T66" s="100"/>
      <c r="U66" s="100"/>
      <c r="V66" s="100"/>
      <c r="W66" s="100"/>
      <c r="X66" s="100"/>
      <c r="Y66" s="100"/>
      <c r="Z66" s="100"/>
      <c r="AA66" s="100"/>
      <c r="AB66" s="100"/>
      <c r="AC66" s="100"/>
      <c r="AD66" s="100"/>
      <c r="AG66">
        <f t="shared" si="31"/>
        <v>0</v>
      </c>
      <c r="AH66"/>
      <c r="AI66"/>
      <c r="AJ66"/>
      <c r="AK66">
        <f t="shared" si="7"/>
        <v>0</v>
      </c>
      <c r="AL66">
        <f t="shared" si="8"/>
        <v>0</v>
      </c>
      <c r="AM66">
        <f t="shared" si="9"/>
        <v>0</v>
      </c>
      <c r="AN66">
        <f t="shared" si="10"/>
        <v>0</v>
      </c>
      <c r="AO66">
        <f t="shared" si="11"/>
        <v>0</v>
      </c>
      <c r="AP66">
        <f t="shared" si="12"/>
        <v>0</v>
      </c>
      <c r="AQ66">
        <f t="shared" si="13"/>
        <v>0</v>
      </c>
      <c r="AR66">
        <f t="shared" si="14"/>
        <v>0</v>
      </c>
      <c r="AS66">
        <f t="shared" si="15"/>
        <v>0</v>
      </c>
      <c r="AT66">
        <f t="shared" si="16"/>
        <v>0</v>
      </c>
      <c r="AU66">
        <f t="shared" si="17"/>
        <v>0</v>
      </c>
      <c r="AV66">
        <f t="shared" si="18"/>
        <v>0</v>
      </c>
      <c r="AW66">
        <f t="shared" si="19"/>
        <v>0</v>
      </c>
      <c r="AX66">
        <f t="shared" si="20"/>
        <v>0</v>
      </c>
      <c r="AY66">
        <f t="shared" si="21"/>
        <v>0</v>
      </c>
      <c r="AZ66">
        <f t="shared" si="22"/>
        <v>0</v>
      </c>
      <c r="BA66">
        <f t="shared" si="23"/>
        <v>0</v>
      </c>
      <c r="BB66">
        <f t="shared" si="24"/>
        <v>0</v>
      </c>
      <c r="BC66">
        <f t="shared" si="25"/>
        <v>0</v>
      </c>
      <c r="BD66">
        <f t="shared" si="26"/>
        <v>0</v>
      </c>
      <c r="BE66">
        <f t="shared" si="27"/>
        <v>0</v>
      </c>
      <c r="BF66">
        <f t="shared" si="28"/>
        <v>0</v>
      </c>
      <c r="BG66">
        <f t="shared" si="29"/>
        <v>0</v>
      </c>
      <c r="BH66">
        <f t="shared" si="30"/>
        <v>0</v>
      </c>
    </row>
    <row r="67" spans="1:60" ht="15" customHeight="1">
      <c r="A67" s="142"/>
      <c r="B67" s="113"/>
      <c r="C67" s="98" t="s">
        <v>2523</v>
      </c>
      <c r="D67" s="796" t="str">
        <f>IF(CNSIPEE_2024_M2_Secc1!D49="","",CNSIPEE_2024_M2_Secc1!D49)</f>
        <v/>
      </c>
      <c r="E67" s="796"/>
      <c r="F67" s="796"/>
      <c r="G67" s="100"/>
      <c r="H67" s="100"/>
      <c r="I67" s="100"/>
      <c r="J67" s="100"/>
      <c r="K67" s="100"/>
      <c r="L67" s="100"/>
      <c r="M67" s="100"/>
      <c r="N67" s="100"/>
      <c r="O67" s="100"/>
      <c r="P67" s="100"/>
      <c r="Q67" s="100"/>
      <c r="R67" s="100"/>
      <c r="S67" s="100"/>
      <c r="T67" s="100"/>
      <c r="U67" s="100"/>
      <c r="V67" s="100"/>
      <c r="W67" s="100"/>
      <c r="X67" s="100"/>
      <c r="Y67" s="100"/>
      <c r="Z67" s="100"/>
      <c r="AA67" s="100"/>
      <c r="AB67" s="100"/>
      <c r="AC67" s="100"/>
      <c r="AD67" s="100"/>
      <c r="AG67">
        <f t="shared" si="31"/>
        <v>0</v>
      </c>
      <c r="AH67"/>
      <c r="AI67"/>
      <c r="AJ67"/>
      <c r="AK67">
        <f t="shared" si="7"/>
        <v>0</v>
      </c>
      <c r="AL67">
        <f t="shared" si="8"/>
        <v>0</v>
      </c>
      <c r="AM67">
        <f t="shared" si="9"/>
        <v>0</v>
      </c>
      <c r="AN67">
        <f t="shared" si="10"/>
        <v>0</v>
      </c>
      <c r="AO67">
        <f t="shared" si="11"/>
        <v>0</v>
      </c>
      <c r="AP67">
        <f t="shared" si="12"/>
        <v>0</v>
      </c>
      <c r="AQ67">
        <f t="shared" si="13"/>
        <v>0</v>
      </c>
      <c r="AR67">
        <f t="shared" si="14"/>
        <v>0</v>
      </c>
      <c r="AS67">
        <f t="shared" si="15"/>
        <v>0</v>
      </c>
      <c r="AT67">
        <f t="shared" si="16"/>
        <v>0</v>
      </c>
      <c r="AU67">
        <f t="shared" si="17"/>
        <v>0</v>
      </c>
      <c r="AV67">
        <f t="shared" si="18"/>
        <v>0</v>
      </c>
      <c r="AW67">
        <f t="shared" si="19"/>
        <v>0</v>
      </c>
      <c r="AX67">
        <f t="shared" si="20"/>
        <v>0</v>
      </c>
      <c r="AY67">
        <f t="shared" si="21"/>
        <v>0</v>
      </c>
      <c r="AZ67">
        <f t="shared" si="22"/>
        <v>0</v>
      </c>
      <c r="BA67">
        <f t="shared" si="23"/>
        <v>0</v>
      </c>
      <c r="BB67">
        <f t="shared" si="24"/>
        <v>0</v>
      </c>
      <c r="BC67">
        <f t="shared" si="25"/>
        <v>0</v>
      </c>
      <c r="BD67">
        <f t="shared" si="26"/>
        <v>0</v>
      </c>
      <c r="BE67">
        <f t="shared" si="27"/>
        <v>0</v>
      </c>
      <c r="BF67">
        <f t="shared" si="28"/>
        <v>0</v>
      </c>
      <c r="BG67">
        <f t="shared" si="29"/>
        <v>0</v>
      </c>
      <c r="BH67">
        <f t="shared" si="30"/>
        <v>0</v>
      </c>
    </row>
    <row r="68" spans="1:60" ht="15" customHeight="1">
      <c r="A68" s="49"/>
      <c r="B68" s="123"/>
      <c r="C68" s="123"/>
      <c r="D68" s="123"/>
      <c r="E68" s="123"/>
      <c r="F68" s="99" t="s">
        <v>2649</v>
      </c>
      <c r="G68" s="124">
        <f t="shared" ref="G68:AD68" si="32">IF(AND(SUM(G60:G67)=0,COUNTIF(G60:G67,"NS")&gt;0),"NS",IF(AND(SUM(G60:G67)=0,COUNTIF(G60:G67,0)&gt;0),0,IF(AND(SUM(G60:G67)=0,COUNTIF(G60:G67,"NA")&gt;0),"NA",SUM(G60:G67))))</f>
        <v>0</v>
      </c>
      <c r="H68" s="124">
        <f t="shared" si="32"/>
        <v>0</v>
      </c>
      <c r="I68" s="124">
        <f t="shared" si="32"/>
        <v>0</v>
      </c>
      <c r="J68" s="124">
        <f t="shared" si="32"/>
        <v>0</v>
      </c>
      <c r="K68" s="124">
        <f t="shared" si="32"/>
        <v>0</v>
      </c>
      <c r="L68" s="124">
        <f t="shared" si="32"/>
        <v>0</v>
      </c>
      <c r="M68" s="124">
        <f t="shared" si="32"/>
        <v>0</v>
      </c>
      <c r="N68" s="124">
        <f t="shared" si="32"/>
        <v>0</v>
      </c>
      <c r="O68" s="124">
        <f t="shared" si="32"/>
        <v>0</v>
      </c>
      <c r="P68" s="124">
        <f t="shared" si="32"/>
        <v>0</v>
      </c>
      <c r="Q68" s="124">
        <f t="shared" si="32"/>
        <v>0</v>
      </c>
      <c r="R68" s="124">
        <f t="shared" si="32"/>
        <v>0</v>
      </c>
      <c r="S68" s="124">
        <f t="shared" si="32"/>
        <v>0</v>
      </c>
      <c r="T68" s="124">
        <f t="shared" si="32"/>
        <v>0</v>
      </c>
      <c r="U68" s="124">
        <f t="shared" si="32"/>
        <v>0</v>
      </c>
      <c r="V68" s="124">
        <f t="shared" si="32"/>
        <v>0</v>
      </c>
      <c r="W68" s="124">
        <f t="shared" si="32"/>
        <v>0</v>
      </c>
      <c r="X68" s="124">
        <f t="shared" si="32"/>
        <v>0</v>
      </c>
      <c r="Y68" s="124">
        <f t="shared" si="32"/>
        <v>0</v>
      </c>
      <c r="Z68" s="124">
        <f t="shared" si="32"/>
        <v>0</v>
      </c>
      <c r="AA68" s="124">
        <f t="shared" si="32"/>
        <v>0</v>
      </c>
      <c r="AB68" s="124">
        <f t="shared" si="32"/>
        <v>0</v>
      </c>
      <c r="AC68" s="124">
        <f t="shared" si="32"/>
        <v>0</v>
      </c>
      <c r="AD68" s="124">
        <f t="shared" si="32"/>
        <v>0</v>
      </c>
      <c r="AG68" s="507">
        <f>SUM(AG60:AG67)</f>
        <v>0</v>
      </c>
      <c r="AJ68"/>
      <c r="AK68">
        <f>SUM(AK60:AK67)</f>
        <v>0</v>
      </c>
      <c r="AM68">
        <f>SUM(AM60:AM67)</f>
        <v>0</v>
      </c>
      <c r="AN68">
        <f>SUM(AN60:AN67)</f>
        <v>0</v>
      </c>
      <c r="AP68">
        <f>SUM(AP60:AP67)</f>
        <v>0</v>
      </c>
      <c r="AQ68">
        <f>SUM(AQ60:AQ67)</f>
        <v>0</v>
      </c>
      <c r="AS68">
        <f>SUM(AS60:AS67)</f>
        <v>0</v>
      </c>
      <c r="AT68">
        <f>SUM(AT60:AT67)</f>
        <v>0</v>
      </c>
      <c r="AV68">
        <f>SUM(AV60:AV67)</f>
        <v>0</v>
      </c>
      <c r="AW68">
        <f>SUM(AW60:AW67)</f>
        <v>0</v>
      </c>
      <c r="AY68">
        <f>SUM(AY60:AY67)</f>
        <v>0</v>
      </c>
      <c r="AZ68">
        <f>SUM(AZ60:AZ67)</f>
        <v>0</v>
      </c>
      <c r="BB68">
        <f>SUM(BB60:BB67)</f>
        <v>0</v>
      </c>
      <c r="BC68">
        <f>SUM(BC60:BC67)</f>
        <v>0</v>
      </c>
      <c r="BE68">
        <f>SUM(BE60:BE67)</f>
        <v>0</v>
      </c>
      <c r="BF68">
        <f>SUM(BF60:BF67)</f>
        <v>0</v>
      </c>
      <c r="BH68">
        <f>SUM(BH60:BH67)</f>
        <v>0</v>
      </c>
    </row>
    <row r="69" spans="1:60">
      <c r="A69" s="50"/>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K69" t="s">
        <v>2650</v>
      </c>
      <c r="AL69" s="506">
        <f>SUM(AM68,AP68,AS68,AV68,AY68,BB68,BE68,BH68)</f>
        <v>0</v>
      </c>
      <c r="AM69" t="s">
        <v>2651</v>
      </c>
      <c r="AN69">
        <f>SUM(AK68,AN68,AQ68,AT68,AW68,AZ68,BC68,BF68)</f>
        <v>0</v>
      </c>
      <c r="AW69"/>
      <c r="AX69"/>
      <c r="AY69"/>
      <c r="AZ69"/>
      <c r="BA69"/>
      <c r="BB69"/>
      <c r="BC69"/>
      <c r="BD69"/>
      <c r="BE69"/>
      <c r="BF69"/>
      <c r="BG69"/>
      <c r="BH69"/>
    </row>
    <row r="70" spans="1:60" ht="24" customHeight="1">
      <c r="A70" s="50"/>
      <c r="B70" s="38"/>
      <c r="C70" s="754" t="s">
        <v>2611</v>
      </c>
      <c r="D70" s="754"/>
      <c r="E70" s="754"/>
      <c r="F70" s="754"/>
      <c r="G70" s="754"/>
      <c r="H70" s="754"/>
      <c r="I70" s="754"/>
      <c r="J70" s="754"/>
      <c r="K70" s="754"/>
      <c r="L70" s="754"/>
      <c r="M70" s="754"/>
      <c r="N70" s="754"/>
      <c r="O70" s="754"/>
      <c r="P70" s="754"/>
      <c r="Q70" s="754"/>
      <c r="R70" s="754"/>
      <c r="S70" s="754"/>
      <c r="T70" s="754"/>
      <c r="U70" s="754"/>
      <c r="V70" s="754"/>
      <c r="W70" s="754"/>
      <c r="X70" s="754"/>
      <c r="Y70" s="754"/>
      <c r="Z70" s="754"/>
      <c r="AA70" s="754"/>
      <c r="AB70" s="754"/>
      <c r="AC70" s="754"/>
      <c r="AD70" s="754"/>
      <c r="AK70" t="s">
        <v>2652</v>
      </c>
      <c r="AL70" s="507">
        <f>IF(AN69&gt;0,IF(SUM(G68)&gt;=SUM(J68,M68,P68,S68,V68,Y68,AB68),0,1),IF(SUM(G68)&lt;&gt;SUM(J68,M68,P68,S68,V68,Y68,AB68),1,0))</f>
        <v>0</v>
      </c>
      <c r="AM70" t="s">
        <v>2653</v>
      </c>
      <c r="AN70" s="507">
        <f>IF(AN69&gt;0,IF(SUM(H68)&gt;=SUM(K68,N68,Q68,T68,W68,Z68,AC68),0,1),IF(SUM(H68)&lt;&gt;SUM(K68,N68,Q68,T68,W68,Z68,AC68),1,0))</f>
        <v>0</v>
      </c>
      <c r="AO70" t="s">
        <v>2654</v>
      </c>
      <c r="AP70" s="507">
        <f>IF(AN69&gt;0,IF(SUM(I68)&gt;=SUM(L68,O68,R68,U68,X68,AA68,AD68),0,1),IF(SUM(I68)&lt;&gt;SUM(L68,O68,R68,U68,X68,AA68,AD68),1,0))</f>
        <v>0</v>
      </c>
      <c r="AW70"/>
      <c r="AX70"/>
      <c r="AY70"/>
      <c r="AZ70"/>
      <c r="BA70"/>
      <c r="BB70"/>
      <c r="BC70"/>
      <c r="BD70"/>
      <c r="BE70"/>
      <c r="BF70"/>
      <c r="BG70"/>
      <c r="BH70"/>
    </row>
    <row r="71" spans="1:60" ht="60" customHeight="1">
      <c r="A71" s="50"/>
      <c r="B71" s="38"/>
      <c r="C71" s="851"/>
      <c r="D71" s="851"/>
      <c r="E71" s="851"/>
      <c r="F71" s="851"/>
      <c r="G71" s="851"/>
      <c r="H71" s="851"/>
      <c r="I71" s="851"/>
      <c r="J71" s="851"/>
      <c r="K71" s="851"/>
      <c r="L71" s="851"/>
      <c r="M71" s="851"/>
      <c r="N71" s="851"/>
      <c r="O71" s="851"/>
      <c r="P71" s="851"/>
      <c r="Q71" s="851"/>
      <c r="R71" s="851"/>
      <c r="S71" s="851"/>
      <c r="T71" s="851"/>
      <c r="U71" s="851"/>
      <c r="V71" s="851"/>
      <c r="W71" s="851"/>
      <c r="X71" s="851"/>
      <c r="Y71" s="851"/>
      <c r="Z71" s="851"/>
      <c r="AA71" s="851"/>
      <c r="AB71" s="851"/>
      <c r="AC71" s="851"/>
      <c r="AD71" s="851"/>
    </row>
    <row r="72" spans="1:60">
      <c r="A72" s="142"/>
      <c r="B72" s="794" t="str">
        <f>IF(AG68=0,"","Favor de ingresar toda la información requerida en la pregunta")</f>
        <v/>
      </c>
      <c r="C72" s="794"/>
      <c r="D72" s="794"/>
      <c r="E72" s="794"/>
      <c r="F72" s="794"/>
      <c r="G72" s="794"/>
      <c r="H72" s="794"/>
      <c r="I72" s="794"/>
      <c r="J72" s="794"/>
      <c r="K72" s="794"/>
      <c r="L72" s="794"/>
      <c r="M72" s="794"/>
      <c r="N72" s="794"/>
      <c r="O72" s="794"/>
      <c r="P72" s="794"/>
      <c r="Q72" s="794"/>
      <c r="R72" s="794"/>
      <c r="S72" s="794"/>
      <c r="T72" s="794"/>
      <c r="U72" s="794"/>
      <c r="V72" s="794"/>
      <c r="W72" s="794"/>
      <c r="X72" s="794"/>
      <c r="Y72" s="794"/>
      <c r="Z72" s="794"/>
      <c r="AA72" s="794"/>
      <c r="AB72" s="794"/>
      <c r="AC72" s="794"/>
      <c r="AD72" s="794"/>
      <c r="AE72" s="794"/>
    </row>
    <row r="73" spans="1:60">
      <c r="A73" s="169"/>
      <c r="B73" s="1087" t="str">
        <f>IF(COUNTIF(G60:AD67,"NS")&lt;&gt;0,"Alerta: debido a que cuenta con registros NS, debe proporcionar una justificación en el area de comentarios al final de la pregunta","")</f>
        <v/>
      </c>
      <c r="C73" s="1087"/>
      <c r="D73" s="1087"/>
      <c r="E73" s="1087"/>
      <c r="F73" s="1087"/>
      <c r="G73" s="1087"/>
      <c r="H73" s="1087"/>
      <c r="I73" s="1087"/>
      <c r="J73" s="1087"/>
      <c r="K73" s="1087"/>
      <c r="L73" s="1087"/>
      <c r="M73" s="1087"/>
      <c r="N73" s="1087"/>
      <c r="O73" s="1087"/>
      <c r="P73" s="1087"/>
      <c r="Q73" s="1087"/>
      <c r="R73" s="1087"/>
      <c r="S73" s="1087"/>
      <c r="T73" s="1087"/>
      <c r="U73" s="1087"/>
      <c r="V73" s="1087"/>
      <c r="W73" s="1087"/>
      <c r="X73" s="1087"/>
      <c r="Y73" s="1087"/>
      <c r="Z73" s="1087"/>
      <c r="AA73" s="1087"/>
      <c r="AB73" s="1087"/>
      <c r="AC73" s="1087"/>
      <c r="AD73" s="1087"/>
      <c r="AE73" s="1087"/>
    </row>
    <row r="74" spans="1:60">
      <c r="A74" s="169"/>
      <c r="B74" s="1003" t="str">
        <f>IF(OR(AL69&gt;0,AL70&gt;0,AN70&gt;0,AP70&gt;0),"Favor de revisar la suma y consistencia de totales y/o subtotales por filas (numéricos y NS)","")</f>
        <v/>
      </c>
      <c r="C74" s="1003"/>
      <c r="D74" s="1003"/>
      <c r="E74" s="1003"/>
      <c r="F74" s="1003"/>
      <c r="G74" s="1003"/>
      <c r="H74" s="1003"/>
      <c r="I74" s="1003"/>
      <c r="J74" s="1003"/>
      <c r="K74" s="1003"/>
      <c r="L74" s="1003"/>
      <c r="M74" s="1003"/>
      <c r="N74" s="1003"/>
      <c r="O74" s="1003"/>
      <c r="P74" s="1003"/>
      <c r="Q74" s="1003"/>
      <c r="R74" s="1003"/>
      <c r="S74" s="1003"/>
      <c r="T74" s="1003"/>
      <c r="U74" s="1003"/>
      <c r="V74" s="1003"/>
      <c r="W74" s="1003"/>
      <c r="X74" s="1003"/>
      <c r="Y74" s="1003"/>
      <c r="Z74" s="1003"/>
      <c r="AA74" s="1003"/>
      <c r="AB74" s="1003"/>
      <c r="AC74" s="1003"/>
      <c r="AD74" s="1003"/>
      <c r="AE74" s="1003"/>
    </row>
    <row r="75" spans="1:60">
      <c r="A75" s="169"/>
      <c r="B75" s="678"/>
      <c r="C75" s="678"/>
      <c r="D75" s="678"/>
      <c r="E75" s="678"/>
      <c r="F75" s="678"/>
      <c r="G75" s="678"/>
      <c r="H75" s="678"/>
      <c r="I75" s="678"/>
      <c r="J75" s="678"/>
      <c r="K75" s="678"/>
      <c r="L75" s="678"/>
      <c r="M75" s="678"/>
      <c r="N75" s="678"/>
      <c r="O75" s="678"/>
      <c r="P75" s="678"/>
      <c r="Q75" s="678"/>
      <c r="R75" s="678"/>
      <c r="S75" s="678"/>
      <c r="T75" s="678"/>
      <c r="U75" s="678"/>
      <c r="V75" s="678"/>
      <c r="W75" s="678"/>
      <c r="X75" s="678"/>
      <c r="Y75" s="678"/>
      <c r="Z75" s="678"/>
      <c r="AA75" s="678"/>
      <c r="AB75" s="678"/>
      <c r="AC75" s="678"/>
      <c r="AD75" s="678"/>
      <c r="AE75" s="678"/>
    </row>
    <row r="76" spans="1:60">
      <c r="A76" s="169"/>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row>
    <row r="77" spans="1:60" ht="15.75" thickBot="1">
      <c r="A77" s="169"/>
      <c r="B77" s="90"/>
      <c r="C77" s="90"/>
      <c r="D77" s="90"/>
      <c r="E77" s="90"/>
      <c r="F77" s="90"/>
      <c r="G77" s="90"/>
      <c r="H77" s="90"/>
      <c r="I77" s="90"/>
      <c r="J77" s="90"/>
      <c r="K77" s="90"/>
      <c r="L77" s="90"/>
      <c r="M77" s="90"/>
      <c r="N77" s="90"/>
      <c r="O77" s="90"/>
      <c r="P77" s="90"/>
      <c r="Q77" s="90"/>
      <c r="R77" s="90"/>
      <c r="S77" s="90"/>
      <c r="T77" s="90"/>
      <c r="U77" s="90"/>
      <c r="V77" s="90"/>
      <c r="W77" s="90"/>
      <c r="X77" s="90"/>
      <c r="Y77" s="90"/>
      <c r="Z77" s="90"/>
      <c r="AA77" s="90"/>
      <c r="AB77" s="90"/>
      <c r="AC77" s="90"/>
      <c r="AD77" s="90"/>
      <c r="AE77"/>
    </row>
    <row r="78" spans="1:60" customFormat="1" ht="15" customHeight="1" thickBot="1">
      <c r="A78" s="19" t="s">
        <v>2563</v>
      </c>
      <c r="B78" s="1081" t="s">
        <v>5792</v>
      </c>
      <c r="C78" s="1082"/>
      <c r="D78" s="1082"/>
      <c r="E78" s="1082"/>
      <c r="F78" s="1082"/>
      <c r="G78" s="1082"/>
      <c r="H78" s="1082"/>
      <c r="I78" s="1082"/>
      <c r="J78" s="1082"/>
      <c r="K78" s="1082"/>
      <c r="L78" s="1082"/>
      <c r="M78" s="1082"/>
      <c r="N78" s="1082"/>
      <c r="O78" s="1082"/>
      <c r="P78" s="1082"/>
      <c r="Q78" s="1082"/>
      <c r="R78" s="1082"/>
      <c r="S78" s="1082"/>
      <c r="T78" s="1082"/>
      <c r="U78" s="1082"/>
      <c r="V78" s="1082"/>
      <c r="W78" s="1082"/>
      <c r="X78" s="1082"/>
      <c r="Y78" s="1082"/>
      <c r="Z78" s="1082"/>
      <c r="AA78" s="1082"/>
      <c r="AB78" s="1082"/>
      <c r="AC78" s="1082"/>
      <c r="AD78" s="1083"/>
      <c r="AE78" s="3"/>
    </row>
    <row r="79" spans="1:60">
      <c r="A79" s="169"/>
      <c r="B79" s="90"/>
      <c r="C79" s="90"/>
      <c r="D79" s="90"/>
      <c r="E79" s="90"/>
      <c r="F79" s="90"/>
      <c r="G79" s="90"/>
      <c r="H79" s="90"/>
      <c r="I79" s="90"/>
      <c r="J79" s="90"/>
      <c r="K79" s="90"/>
      <c r="L79" s="90"/>
      <c r="M79" s="90"/>
      <c r="N79" s="90"/>
      <c r="O79" s="90"/>
      <c r="P79" s="90"/>
      <c r="Q79" s="90"/>
      <c r="R79" s="90"/>
      <c r="S79" s="90"/>
      <c r="T79" s="90"/>
      <c r="U79" s="90"/>
      <c r="V79" s="90"/>
      <c r="W79" s="90"/>
      <c r="X79" s="90"/>
      <c r="Y79" s="90"/>
      <c r="Z79" s="90"/>
      <c r="AA79" s="90"/>
      <c r="AB79" s="90"/>
      <c r="AC79" s="90"/>
      <c r="AD79" s="90"/>
    </row>
    <row r="80" spans="1:60" ht="24" customHeight="1">
      <c r="A80" s="49" t="s">
        <v>5793</v>
      </c>
      <c r="B80" s="829" t="s">
        <v>5794</v>
      </c>
      <c r="C80" s="829"/>
      <c r="D80" s="829"/>
      <c r="E80" s="829"/>
      <c r="F80" s="829"/>
      <c r="G80" s="829"/>
      <c r="H80" s="829"/>
      <c r="I80" s="829"/>
      <c r="J80" s="829"/>
      <c r="K80" s="829"/>
      <c r="L80" s="829"/>
      <c r="M80" s="829"/>
      <c r="N80" s="829"/>
      <c r="O80" s="829"/>
      <c r="P80" s="829"/>
      <c r="Q80" s="829"/>
      <c r="R80" s="829"/>
      <c r="S80" s="829"/>
      <c r="T80" s="829"/>
      <c r="U80" s="829"/>
      <c r="V80" s="829"/>
      <c r="W80" s="829"/>
      <c r="X80" s="829"/>
      <c r="Y80" s="829"/>
      <c r="Z80" s="829"/>
      <c r="AA80" s="829"/>
      <c r="AB80" s="829"/>
      <c r="AC80" s="829"/>
      <c r="AD80" s="829"/>
    </row>
    <row r="81" spans="1:75" ht="24" customHeight="1">
      <c r="A81" s="50"/>
      <c r="B81" s="38"/>
      <c r="C81" s="878" t="s">
        <v>5795</v>
      </c>
      <c r="D81" s="878"/>
      <c r="E81" s="878"/>
      <c r="F81" s="878"/>
      <c r="G81" s="878"/>
      <c r="H81" s="878"/>
      <c r="I81" s="878"/>
      <c r="J81" s="878"/>
      <c r="K81" s="878"/>
      <c r="L81" s="878"/>
      <c r="M81" s="878"/>
      <c r="N81" s="878"/>
      <c r="O81" s="878"/>
      <c r="P81" s="878"/>
      <c r="Q81" s="878"/>
      <c r="R81" s="878"/>
      <c r="S81" s="878"/>
      <c r="T81" s="878"/>
      <c r="U81" s="878"/>
      <c r="V81" s="878"/>
      <c r="W81" s="878"/>
      <c r="X81" s="878"/>
      <c r="Y81" s="878"/>
      <c r="Z81" s="878"/>
      <c r="AA81" s="878"/>
      <c r="AB81" s="878"/>
      <c r="AC81" s="878"/>
      <c r="AD81" s="878"/>
    </row>
    <row r="82" spans="1:75" ht="36" customHeight="1">
      <c r="A82" s="142"/>
      <c r="B82" s="57"/>
      <c r="C82" s="830" t="s">
        <v>5796</v>
      </c>
      <c r="D82" s="830"/>
      <c r="E82" s="830"/>
      <c r="F82" s="830"/>
      <c r="G82" s="830"/>
      <c r="H82" s="830"/>
      <c r="I82" s="830"/>
      <c r="J82" s="830"/>
      <c r="K82" s="830"/>
      <c r="L82" s="830"/>
      <c r="M82" s="830"/>
      <c r="N82" s="830"/>
      <c r="O82" s="830"/>
      <c r="P82" s="830"/>
      <c r="Q82" s="830"/>
      <c r="R82" s="830"/>
      <c r="S82" s="830"/>
      <c r="T82" s="830"/>
      <c r="U82" s="830"/>
      <c r="V82" s="830"/>
      <c r="W82" s="830"/>
      <c r="X82" s="830"/>
      <c r="Y82" s="830"/>
      <c r="Z82" s="830"/>
      <c r="AA82" s="830"/>
      <c r="AB82" s="830"/>
      <c r="AC82" s="830"/>
      <c r="AD82" s="830"/>
    </row>
    <row r="83" spans="1:75" ht="36" customHeight="1">
      <c r="A83" s="142"/>
      <c r="B83" s="57"/>
      <c r="C83" s="754" t="s">
        <v>5797</v>
      </c>
      <c r="D83" s="754"/>
      <c r="E83" s="754"/>
      <c r="F83" s="754"/>
      <c r="G83" s="754"/>
      <c r="H83" s="754"/>
      <c r="I83" s="754"/>
      <c r="J83" s="754"/>
      <c r="K83" s="754"/>
      <c r="L83" s="754"/>
      <c r="M83" s="754"/>
      <c r="N83" s="754"/>
      <c r="O83" s="754"/>
      <c r="P83" s="754"/>
      <c r="Q83" s="754"/>
      <c r="R83" s="754"/>
      <c r="S83" s="754"/>
      <c r="T83" s="754"/>
      <c r="U83" s="754"/>
      <c r="V83" s="754"/>
      <c r="W83" s="754"/>
      <c r="X83" s="754"/>
      <c r="Y83" s="754"/>
      <c r="Z83" s="754"/>
      <c r="AA83" s="754"/>
      <c r="AB83" s="754"/>
      <c r="AC83" s="754"/>
      <c r="AD83" s="754"/>
    </row>
    <row r="84" spans="1:75" ht="24" customHeight="1">
      <c r="A84" s="50"/>
      <c r="B84" s="38"/>
      <c r="C84" s="754" t="s">
        <v>5798</v>
      </c>
      <c r="D84" s="754"/>
      <c r="E84" s="754"/>
      <c r="F84" s="754"/>
      <c r="G84" s="754"/>
      <c r="H84" s="754"/>
      <c r="I84" s="754"/>
      <c r="J84" s="754"/>
      <c r="K84" s="754"/>
      <c r="L84" s="754"/>
      <c r="M84" s="754"/>
      <c r="N84" s="754"/>
      <c r="O84" s="754"/>
      <c r="P84" s="754"/>
      <c r="Q84" s="754"/>
      <c r="R84" s="754"/>
      <c r="S84" s="754"/>
      <c r="T84" s="754"/>
      <c r="U84" s="754"/>
      <c r="V84" s="754"/>
      <c r="W84" s="754"/>
      <c r="X84" s="754"/>
      <c r="Y84" s="754"/>
      <c r="Z84" s="754"/>
      <c r="AA84" s="754"/>
      <c r="AB84" s="754"/>
      <c r="AC84" s="754"/>
      <c r="AD84" s="754"/>
    </row>
    <row r="85" spans="1:75">
      <c r="A85" s="50"/>
      <c r="B85" s="38"/>
      <c r="C85" s="86"/>
      <c r="D85" s="86"/>
      <c r="E85" s="86"/>
      <c r="F85" s="86"/>
      <c r="G85" s="86"/>
      <c r="H85" s="86"/>
      <c r="I85" s="86"/>
      <c r="J85" s="86"/>
      <c r="K85" s="86"/>
      <c r="L85" s="86"/>
      <c r="M85" s="86"/>
      <c r="N85" s="86"/>
      <c r="O85" s="86"/>
      <c r="P85" s="86"/>
      <c r="Q85" s="86"/>
      <c r="R85" s="86"/>
      <c r="S85" s="86"/>
      <c r="T85" s="86"/>
      <c r="U85" s="86"/>
      <c r="V85" s="86"/>
      <c r="W85" s="86"/>
      <c r="X85" s="86"/>
      <c r="Y85" s="86"/>
      <c r="Z85" s="86"/>
      <c r="AA85" s="86"/>
      <c r="AB85" s="86"/>
      <c r="AC85" s="86"/>
      <c r="AD85" s="86"/>
    </row>
    <row r="86" spans="1:75">
      <c r="A86" s="169"/>
      <c r="B86" s="90"/>
      <c r="C86" s="90"/>
      <c r="D86" s="90"/>
      <c r="E86" s="90"/>
      <c r="F86" s="90"/>
      <c r="G86" s="90"/>
      <c r="H86" s="90"/>
      <c r="I86" s="90"/>
      <c r="J86" s="90"/>
      <c r="K86" s="90"/>
      <c r="L86" s="90"/>
      <c r="M86" s="90"/>
      <c r="N86" s="90"/>
      <c r="O86" s="90"/>
      <c r="P86" s="90"/>
      <c r="Q86" s="90"/>
      <c r="R86" s="90"/>
      <c r="S86" s="90"/>
      <c r="T86" s="90"/>
      <c r="U86" s="90"/>
      <c r="V86" s="90"/>
      <c r="W86" s="90"/>
      <c r="X86" s="90"/>
      <c r="Y86" s="90"/>
      <c r="Z86" s="90"/>
      <c r="AA86" s="875" t="s">
        <v>3205</v>
      </c>
      <c r="AB86" s="875"/>
      <c r="AC86" s="875"/>
      <c r="AD86" s="875"/>
    </row>
    <row r="87" spans="1:75" ht="24" customHeight="1">
      <c r="A87" s="50"/>
      <c r="B87" s="38"/>
      <c r="C87" s="732" t="s">
        <v>2581</v>
      </c>
      <c r="D87" s="732"/>
      <c r="E87" s="732"/>
      <c r="F87" s="732"/>
      <c r="G87" s="732"/>
      <c r="H87" s="732"/>
      <c r="I87" s="732"/>
      <c r="J87" s="732"/>
      <c r="K87" s="732"/>
      <c r="L87" s="732"/>
      <c r="M87" s="739" t="s">
        <v>5799</v>
      </c>
      <c r="N87" s="740"/>
      <c r="O87" s="740"/>
      <c r="P87" s="740"/>
      <c r="Q87" s="740"/>
      <c r="R87" s="740"/>
      <c r="S87" s="740"/>
      <c r="T87" s="740"/>
      <c r="U87" s="740"/>
      <c r="V87" s="740"/>
      <c r="W87" s="740"/>
      <c r="X87" s="740"/>
      <c r="Y87" s="740"/>
      <c r="Z87" s="740"/>
      <c r="AA87" s="740"/>
      <c r="AB87" s="740"/>
      <c r="AC87" s="740"/>
      <c r="AD87" s="741"/>
    </row>
    <row r="88" spans="1:75" ht="15" customHeight="1">
      <c r="A88" s="50"/>
      <c r="B88" s="38"/>
      <c r="C88" s="732"/>
      <c r="D88" s="732"/>
      <c r="E88" s="732"/>
      <c r="F88" s="732"/>
      <c r="G88" s="732"/>
      <c r="H88" s="732"/>
      <c r="I88" s="732"/>
      <c r="J88" s="732"/>
      <c r="K88" s="732"/>
      <c r="L88" s="732"/>
      <c r="M88" s="887" t="s">
        <v>2628</v>
      </c>
      <c r="N88" s="889" t="s">
        <v>2629</v>
      </c>
      <c r="O88" s="842" t="s">
        <v>2630</v>
      </c>
      <c r="P88" s="733" t="s">
        <v>5800</v>
      </c>
      <c r="Q88" s="734"/>
      <c r="R88" s="734"/>
      <c r="S88" s="734"/>
      <c r="T88" s="734"/>
      <c r="U88" s="734"/>
      <c r="V88" s="734"/>
      <c r="W88" s="734"/>
      <c r="X88" s="734"/>
      <c r="Y88" s="734"/>
      <c r="Z88" s="734"/>
      <c r="AA88" s="734"/>
      <c r="AB88" s="734"/>
      <c r="AC88" s="734"/>
      <c r="AD88" s="735"/>
    </row>
    <row r="89" spans="1:75" ht="120" customHeight="1">
      <c r="A89" s="50"/>
      <c r="B89" s="38"/>
      <c r="C89" s="732"/>
      <c r="D89" s="732"/>
      <c r="E89" s="732"/>
      <c r="F89" s="732"/>
      <c r="G89" s="732"/>
      <c r="H89" s="732"/>
      <c r="I89" s="732"/>
      <c r="J89" s="732"/>
      <c r="K89" s="732"/>
      <c r="L89" s="732"/>
      <c r="M89" s="958"/>
      <c r="N89" s="959"/>
      <c r="O89" s="844"/>
      <c r="P89" s="858" t="s">
        <v>5801</v>
      </c>
      <c r="Q89" s="859"/>
      <c r="R89" s="860"/>
      <c r="S89" s="858" t="s">
        <v>5802</v>
      </c>
      <c r="T89" s="859"/>
      <c r="U89" s="860"/>
      <c r="V89" s="858" t="s">
        <v>5803</v>
      </c>
      <c r="W89" s="859"/>
      <c r="X89" s="860"/>
      <c r="Y89" s="858" t="s">
        <v>5804</v>
      </c>
      <c r="Z89" s="859"/>
      <c r="AA89" s="860"/>
      <c r="AB89" s="858" t="s">
        <v>5805</v>
      </c>
      <c r="AC89" s="859"/>
      <c r="AD89" s="860"/>
    </row>
    <row r="90" spans="1:75" ht="48" customHeight="1">
      <c r="A90" s="50"/>
      <c r="B90" s="38"/>
      <c r="C90" s="732"/>
      <c r="D90" s="732"/>
      <c r="E90" s="732"/>
      <c r="F90" s="732"/>
      <c r="G90" s="732"/>
      <c r="H90" s="732"/>
      <c r="I90" s="732"/>
      <c r="J90" s="732"/>
      <c r="K90" s="732"/>
      <c r="L90" s="732"/>
      <c r="M90" s="888"/>
      <c r="N90" s="890"/>
      <c r="O90" s="846"/>
      <c r="P90" s="127" t="s">
        <v>2635</v>
      </c>
      <c r="Q90" s="128" t="s">
        <v>2629</v>
      </c>
      <c r="R90" s="128" t="s">
        <v>2630</v>
      </c>
      <c r="S90" s="127" t="s">
        <v>2635</v>
      </c>
      <c r="T90" s="128" t="s">
        <v>2629</v>
      </c>
      <c r="U90" s="128" t="s">
        <v>2630</v>
      </c>
      <c r="V90" s="127" t="s">
        <v>2635</v>
      </c>
      <c r="W90" s="128" t="s">
        <v>2629</v>
      </c>
      <c r="X90" s="128" t="s">
        <v>2630</v>
      </c>
      <c r="Y90" s="127" t="s">
        <v>2635</v>
      </c>
      <c r="Z90" s="128" t="s">
        <v>2629</v>
      </c>
      <c r="AA90" s="128" t="s">
        <v>2630</v>
      </c>
      <c r="AB90" s="127" t="s">
        <v>2635</v>
      </c>
      <c r="AC90" s="128" t="s">
        <v>2629</v>
      </c>
      <c r="AD90" s="128" t="s">
        <v>2630</v>
      </c>
      <c r="AG90" t="s">
        <v>2586</v>
      </c>
      <c r="AH90"/>
      <c r="AI90"/>
      <c r="AJ90"/>
      <c r="AK90" t="s">
        <v>4573</v>
      </c>
      <c r="AL90" t="s">
        <v>2638</v>
      </c>
      <c r="AM90" t="s">
        <v>2639</v>
      </c>
      <c r="AN90" t="s">
        <v>4574</v>
      </c>
      <c r="AO90" t="s">
        <v>2641</v>
      </c>
      <c r="AP90" t="s">
        <v>2642</v>
      </c>
      <c r="AQ90" t="s">
        <v>4575</v>
      </c>
      <c r="AR90" t="s">
        <v>2644</v>
      </c>
      <c r="AS90" t="s">
        <v>2645</v>
      </c>
      <c r="AT90" t="s">
        <v>4576</v>
      </c>
      <c r="AU90" t="s">
        <v>2647</v>
      </c>
      <c r="AV90" t="s">
        <v>2648</v>
      </c>
      <c r="AW90" t="s">
        <v>5177</v>
      </c>
      <c r="AX90" t="s">
        <v>2757</v>
      </c>
      <c r="AY90" t="s">
        <v>2758</v>
      </c>
      <c r="AZ90" t="s">
        <v>5194</v>
      </c>
      <c r="BA90" t="s">
        <v>2760</v>
      </c>
      <c r="BB90" t="s">
        <v>2761</v>
      </c>
      <c r="BC90" t="s">
        <v>5291</v>
      </c>
      <c r="BD90"/>
      <c r="BE90"/>
      <c r="BF90" t="s">
        <v>5806</v>
      </c>
      <c r="BG90"/>
      <c r="BH90"/>
      <c r="BI90" t="s">
        <v>5290</v>
      </c>
      <c r="BJ90"/>
      <c r="BK90"/>
      <c r="BL90"/>
      <c r="BM90"/>
      <c r="BN90"/>
      <c r="BO90"/>
      <c r="BP90"/>
      <c r="BQ90"/>
      <c r="BR90"/>
      <c r="BS90"/>
      <c r="BT90"/>
      <c r="BU90"/>
      <c r="BV90"/>
      <c r="BW90"/>
    </row>
    <row r="91" spans="1:75">
      <c r="A91" s="142"/>
      <c r="B91" s="57"/>
      <c r="C91" s="97" t="s">
        <v>2516</v>
      </c>
      <c r="D91" s="813" t="str">
        <f>IF(CNSIPEE_2024_M2_Secc1!D42="","",CNSIPEE_2024_M2_Secc1!D42)</f>
        <v/>
      </c>
      <c r="E91" s="814"/>
      <c r="F91" s="814"/>
      <c r="G91" s="814"/>
      <c r="H91" s="814"/>
      <c r="I91" s="814"/>
      <c r="J91" s="814"/>
      <c r="K91" s="814"/>
      <c r="L91" s="815"/>
      <c r="M91" s="100"/>
      <c r="N91" s="100"/>
      <c r="O91" s="100"/>
      <c r="P91" s="100"/>
      <c r="Q91" s="100"/>
      <c r="R91" s="100"/>
      <c r="S91" s="100"/>
      <c r="T91" s="100"/>
      <c r="U91" s="100"/>
      <c r="V91" s="100"/>
      <c r="W91" s="100"/>
      <c r="X91" s="100"/>
      <c r="Y91" s="100"/>
      <c r="Z91" s="100"/>
      <c r="AA91" s="100"/>
      <c r="AB91" s="100"/>
      <c r="AC91" s="100"/>
      <c r="AD91" s="100"/>
      <c r="AG91">
        <f>IF(OR(SUM(COUNTBLANK(D91:AD91),COUNTBLANK(M106:AD106),COUNTBLANK(M121:AD121))=8,SUM(COUNTBLANK(D91:AD91),COUNTBLANK(M106:AD106),COUNTBLANK(M121:AD121))=63),0,1)</f>
        <v>0</v>
      </c>
      <c r="AH91"/>
      <c r="AI91"/>
      <c r="AJ91"/>
      <c r="AK91">
        <f t="shared" ref="AK91:AK98" si="33">COUNTIF(N91:O91,"NS")</f>
        <v>0</v>
      </c>
      <c r="AL91">
        <f t="shared" ref="AL91:AL98" si="34">SUM(N91:O91)</f>
        <v>0</v>
      </c>
      <c r="AM91">
        <f>IF(COUNTIF(M91:O91,"NA")=3,0,IF(COUNTA(M91:O91)=0,0,IF(OR(AND(M91=0,AK91&gt;0),AND(M91="ns",AL91&gt;0),AND(M91="ns",AK91=0,AL91=0)),1,IF(OR(AND(M91&gt;0,AK91=2),AND(M91="ns",AK91=2),AND(M91="ns",AL91=0,AK91&gt;0),M91=AL91),0,1))))</f>
        <v>0</v>
      </c>
      <c r="AN91">
        <f t="shared" ref="AN91:AN98" si="35">COUNTIF(Q91:R91,"NS")</f>
        <v>0</v>
      </c>
      <c r="AO91">
        <f t="shared" ref="AO91:AO98" si="36">SUM(Q91:R91)</f>
        <v>0</v>
      </c>
      <c r="AP91">
        <f t="shared" ref="AP91:AP98" si="37">IF(COUNTIF(P91:R91,"NA")=3,0,IF(COUNTA(P91:R91)=0,0,IF(OR(AND(P91=0,AN91&gt;0),AND(P91="ns",AO91&gt;0),AND(P91="ns",AN91=0,AO91=0)),1,IF(OR(AND(P91&gt;0,AN91=2),AND(P91="ns",AN91=2),AND(P91="ns",AO91=0,AN91&gt;0),P91=AO91),0,1))))</f>
        <v>0</v>
      </c>
      <c r="AQ91">
        <f t="shared" ref="AQ91:AQ98" si="38">COUNTIF(T91:U91,"NS")</f>
        <v>0</v>
      </c>
      <c r="AR91">
        <f t="shared" ref="AR91:AR98" si="39">SUM(T91:U91)</f>
        <v>0</v>
      </c>
      <c r="AS91">
        <f t="shared" ref="AS91:AS98" si="40">IF(COUNTIF(S91:U91,"NA")=3,0,IF(COUNTA(S91:U91)=0,0,IF(OR(AND(S91=0,AQ91&gt;0),AND(S91="ns",AR91&gt;0),AND(S91="ns",AQ91=0,AR91=0)),1,IF(OR(AND(S91&gt;0,AQ91=2),AND(S91="ns",AQ91=2),AND(S91="ns",AR91=0,AQ91&gt;0),S91=AR91),0,1))))</f>
        <v>0</v>
      </c>
      <c r="AT91">
        <f t="shared" ref="AT91:AT98" si="41">COUNTIF(W91:X91,"NS")</f>
        <v>0</v>
      </c>
      <c r="AU91">
        <f t="shared" ref="AU91:AU98" si="42">SUM(W91:X91)</f>
        <v>0</v>
      </c>
      <c r="AV91">
        <f t="shared" ref="AV91:AV98" si="43">IF(COUNTIF(V91:X91,"NA")=3,0,IF(COUNTA(V91:X91)=0,0,IF(OR(AND(V91=0,AT91&gt;0),AND(V91="ns",AU91&gt;0),AND(V91="ns",AT91=0,AU91=0)),1,IF(OR(AND(V91&gt;0,AT91=2),AND(V91="ns",AT91=2),AND(V91="ns",AU91=0,AT91&gt;0),V91=AU91),0,1))))</f>
        <v>0</v>
      </c>
      <c r="AW91">
        <f t="shared" ref="AW91:AW98" si="44">COUNTIF(Z91:AA91,"NS")</f>
        <v>0</v>
      </c>
      <c r="AX91">
        <f t="shared" ref="AX91:AX98" si="45">SUM(Z91:AA91)</f>
        <v>0</v>
      </c>
      <c r="AY91">
        <f t="shared" ref="AY91:AY98" si="46">IF(COUNTIF(Y91:AA91,"NA")=3,0,IF(COUNTA(Y91:AA91)=0,0,IF(OR(AND(Y91=0,AW91&gt;0),AND(Y91="ns",AX91&gt;0),AND(Y91="ns",AW91=0,AX91=0)),1,IF(OR(AND(Y91&gt;0,AW91=2),AND(Y91="ns",AW91=2),AND(Y91="ns",AX91=0,AW91&gt;0),Y91=AX91),0,1))))</f>
        <v>0</v>
      </c>
      <c r="AZ91">
        <f t="shared" ref="AZ91:AZ98" si="47">COUNTIF(AC91:AD91,"NS")</f>
        <v>0</v>
      </c>
      <c r="BA91">
        <f t="shared" ref="BA91:BA98" si="48">SUM(AC91:AD91)</f>
        <v>0</v>
      </c>
      <c r="BB91">
        <f t="shared" ref="BB91:BB98" si="49">IF(COUNTIF(AB91:AD91,"NA")=3,0,IF(COUNTA(AB91:AD91)=0,0,IF(OR(AND(AB91=0,AZ91&gt;0),AND(AB91="ns",BA91&gt;0),AND(AB91="ns",AZ91=0,BA91=0)),1,IF(OR(AND(AB91&gt;0,AZ91=2),AND(AB91="ns",AZ91=2),AND(AB91="ns",BA91=0,AZ91&gt;0),AB91=BA91),0,1))))</f>
        <v>0</v>
      </c>
      <c r="BC91" cm="1">
        <f t="array" ref="BC91">IF(OR(M91={"NS","NA"},BF91={"NS","NA"}),0,IF(M91&lt;=BF91,0,1))</f>
        <v>0</v>
      </c>
      <c r="BD91" cm="1">
        <f t="array" ref="BD91">IF(OR(N91={"NS","NA"},BG91={"NS","NA"}),0,IF(N91&lt;=BG91,0,1))</f>
        <v>0</v>
      </c>
      <c r="BE91" cm="1">
        <f t="array" ref="BE91">IF(OR(O91={"NS","NA"},BH91={"NS","NA"}),0,IF(O91&lt;=BH91,0,1))</f>
        <v>0</v>
      </c>
      <c r="BF91">
        <f t="shared" ref="BF91:BH98" si="50">IF(AND(SUM(P91,S91,V91,Y91,AB91,M106,P106,S106,V106,Y106,AB106,M121,P121,S121,V121,Y121,AB121)=0,SUM(COUNTIF(P91,"NS"),COUNTIF(S91,"NS"),COUNTIF(V91,"NS"),COUNTIF(Y91,"NS"),COUNTIF(AB91,"NS"),COUNTIF(M106,"NS"),COUNTIF(P106,"NS"),COUNTIF(S106,"NS"),COUNTIF(V106,"NS"),COUNTIF(Y106,"NS"),COUNTIF(AB106,"NS"),COUNTIF(M121,"NS"),COUNTIF(P121,"NS"),COUNTIF(S121,"NS"),COUNTIF(V121,"NS"),COUNTIF(Y121,"NS"),COUNTIF(AB121,"NS"))&gt;0),"NS",
IF(AND(SUM(P91,S91,V91,Y91,AB91,M106,P106,S106,V106,Y106,AB106,M121,P121,S121,V121,Y121,AB121)=0,SUM(COUNTIF(P91,0),COUNTIF(S91,0),COUNTIF(V91,0),COUNTIF(Y91,0),COUNTIF(AB91,0),COUNTIF(M106,0),COUNTIF(P106,0),COUNTIF(S106,0),COUNTIF(V106,0),COUNTIF(Y106,0),COUNTIF(AB106,0),COUNTIF(M121,0),COUNTIF(P121,0),COUNTIF(S121,0),COUNTIF(V121,0),COUNTIF(Y121,0),COUNTIF(AB121,0))&gt;0),0,
IF(AND(SUM(P91,S91,V91,Y91,AB91,M106,P106,S106,V106,Y106,AB106,M121,P121,S121,V121,Y121,AB121)=0,SUM(COUNTIF(P91,"NA"),COUNTIF(S91,"NA"),COUNTIF(V91,"NA"),COUNTIF(Y91,"NA"),COUNTIF(AB91,"NA"),COUNTIF(M106,"NA"),COUNTIF(P106,"NA"),COUNTIF(S106,"NA"),COUNTIF(V106,"NA"),COUNTIF(Y106,"NA"),COUNTIF(AB106,"NA"),COUNTIF(M121,"NA"),COUNTIF(P121,"NA"),COUNTIF(S121,"NA"),COUNTIF(V121,"NA"),COUNTIF(Y121,"NA"),COUNTIF(AB121,"NA"))&gt;0),"NA",
SUM(P91,S91,V91,Y91,AB91,M106,P106,S106,V106,Y106,AB106,M121,P121,S121,V121,Y121,AB121))))</f>
        <v>0</v>
      </c>
      <c r="BG91">
        <f t="shared" si="50"/>
        <v>0</v>
      </c>
      <c r="BH91">
        <f t="shared" si="50"/>
        <v>0</v>
      </c>
      <c r="BI91" cm="1">
        <f t="array" ref="BI91">IF(OR(P91={"NS","NA"},$M91={"NS","NA"}),0,IF(P91&lt;=$M91,0,1))</f>
        <v>0</v>
      </c>
      <c r="BJ91" cm="1">
        <f t="array" ref="BJ91">IF(OR(Q91={"NS","NA"},$N91={"NS","NA"}),0,IF(Q91&lt;=$N91,0,1))</f>
        <v>0</v>
      </c>
      <c r="BK91" cm="1">
        <f t="array" ref="BK91">IF(OR(R91={"NS","NA"},$O91={"NS","NA"}),0,IF(R91&lt;=$O91,0,1))</f>
        <v>0</v>
      </c>
      <c r="BL91" cm="1">
        <f t="array" ref="BL91">IF(OR(S91={"NS","NA"},$M91={"NS","NA"}),0,IF(S91&lt;=$M91,0,1))</f>
        <v>0</v>
      </c>
      <c r="BM91" cm="1">
        <f t="array" ref="BM91">IF(OR(T91={"NS","NA"},$N91={"NS","NA"}),0,IF(T91&lt;=$N91,0,1))</f>
        <v>0</v>
      </c>
      <c r="BN91" cm="1">
        <f t="array" ref="BN91">IF(OR(U91={"NS","NA"},$O91={"NS","NA"}),0,IF(U91&lt;=$O91,0,1))</f>
        <v>0</v>
      </c>
      <c r="BO91" cm="1">
        <f t="array" ref="BO91">IF(OR(V91={"NS","NA"},$M91={"NS","NA"}),0,IF(V91&lt;=$M91,0,1))</f>
        <v>0</v>
      </c>
      <c r="BP91" cm="1">
        <f t="array" ref="BP91">IF(OR(W91={"NS","NA"},$N91={"NS","NA"}),0,IF(W91&lt;=$N91,0,1))</f>
        <v>0</v>
      </c>
      <c r="BQ91" cm="1">
        <f t="array" ref="BQ91">IF(OR(X91={"NS","NA"},$O91={"NS","NA"}),0,IF(X91&lt;=$O91,0,1))</f>
        <v>0</v>
      </c>
      <c r="BR91" cm="1">
        <f t="array" ref="BR91">IF(OR(Y91={"NS","NA"},$M91={"NS","NA"}),0,IF(Y91&lt;=$M91,0,1))</f>
        <v>0</v>
      </c>
      <c r="BS91" cm="1">
        <f t="array" ref="BS91">IF(OR(Z91={"NS","NA"},$N91={"NS","NA"}),0,IF(Z91&lt;=$N91,0,1))</f>
        <v>0</v>
      </c>
      <c r="BT91" cm="1">
        <f t="array" ref="BT91">IF(OR(AA91={"NS","NA"},$O91={"NS","NA"}),0,IF(AA91&lt;=$O91,0,1))</f>
        <v>0</v>
      </c>
      <c r="BU91" cm="1">
        <f t="array" ref="BU91">IF(OR(AB91={"NS","NA"},$M91={"NS","NA"}),0,IF(AB91&lt;=$M91,0,1))</f>
        <v>0</v>
      </c>
      <c r="BV91" cm="1">
        <f t="array" ref="BV91">IF(OR(AC91={"NS","NA"},$N91={"NS","NA"}),0,IF(AC91&lt;=$N91,0,1))</f>
        <v>0</v>
      </c>
      <c r="BW91" cm="1">
        <f t="array" ref="BW91">IF(OR(AD91={"NS","NA"},$O91={"NS","NA"}),0,IF(AD91&lt;=$O91,0,1))</f>
        <v>0</v>
      </c>
    </row>
    <row r="92" spans="1:75">
      <c r="A92" s="142"/>
      <c r="B92" s="57"/>
      <c r="C92" s="143" t="s">
        <v>2517</v>
      </c>
      <c r="D92" s="813" t="str">
        <f>IF(CNSIPEE_2024_M2_Secc1!D43="","",CNSIPEE_2024_M2_Secc1!D43)</f>
        <v/>
      </c>
      <c r="E92" s="814"/>
      <c r="F92" s="814"/>
      <c r="G92" s="814"/>
      <c r="H92" s="814"/>
      <c r="I92" s="814"/>
      <c r="J92" s="814"/>
      <c r="K92" s="814"/>
      <c r="L92" s="815"/>
      <c r="M92" s="100"/>
      <c r="N92" s="100"/>
      <c r="O92" s="100"/>
      <c r="P92" s="100"/>
      <c r="Q92" s="100"/>
      <c r="R92" s="100"/>
      <c r="S92" s="100"/>
      <c r="T92" s="100"/>
      <c r="U92" s="100"/>
      <c r="V92" s="100"/>
      <c r="W92" s="100"/>
      <c r="X92" s="100"/>
      <c r="Y92" s="100"/>
      <c r="Z92" s="100"/>
      <c r="AA92" s="100"/>
      <c r="AB92" s="100"/>
      <c r="AC92" s="100"/>
      <c r="AD92" s="100"/>
      <c r="AG92">
        <f t="shared" ref="AG92:AG97" si="51">IF(OR(SUM(COUNTBLANK(D92:AD92),COUNTBLANK(M107:AD107),COUNTBLANK(M122:AD122))=8,SUM(COUNTBLANK(D92:AD92),COUNTBLANK(M107:AD107),COUNTBLANK(M122:AD122))=63),0,1)</f>
        <v>0</v>
      </c>
      <c r="AH92"/>
      <c r="AI92"/>
      <c r="AJ92"/>
      <c r="AK92">
        <f t="shared" si="33"/>
        <v>0</v>
      </c>
      <c r="AL92">
        <f t="shared" si="34"/>
        <v>0</v>
      </c>
      <c r="AM92">
        <f t="shared" ref="AM92:AM98" si="52">IF(COUNTIF(M92:O92,"NA")=3,0,IF(COUNTA(M92:O92)=0,0,IF(OR(AND(M92=0,AK92&gt;0),AND(M92="ns",AL92&gt;0),AND(M92="ns",AK92=0,AL92=0)),1,IF(OR(AND(M92&gt;0,AK92=2),AND(M92="ns",AK92=2),AND(M92="ns",AL92=0,AK92&gt;0),M92=AL92),0,1))))</f>
        <v>0</v>
      </c>
      <c r="AN92">
        <f t="shared" si="35"/>
        <v>0</v>
      </c>
      <c r="AO92">
        <f t="shared" si="36"/>
        <v>0</v>
      </c>
      <c r="AP92">
        <f t="shared" si="37"/>
        <v>0</v>
      </c>
      <c r="AQ92">
        <f t="shared" si="38"/>
        <v>0</v>
      </c>
      <c r="AR92">
        <f t="shared" si="39"/>
        <v>0</v>
      </c>
      <c r="AS92">
        <f t="shared" si="40"/>
        <v>0</v>
      </c>
      <c r="AT92">
        <f t="shared" si="41"/>
        <v>0</v>
      </c>
      <c r="AU92">
        <f t="shared" si="42"/>
        <v>0</v>
      </c>
      <c r="AV92">
        <f t="shared" si="43"/>
        <v>0</v>
      </c>
      <c r="AW92">
        <f t="shared" si="44"/>
        <v>0</v>
      </c>
      <c r="AX92">
        <f t="shared" si="45"/>
        <v>0</v>
      </c>
      <c r="AY92">
        <f t="shared" si="46"/>
        <v>0</v>
      </c>
      <c r="AZ92">
        <f t="shared" si="47"/>
        <v>0</v>
      </c>
      <c r="BA92">
        <f t="shared" si="48"/>
        <v>0</v>
      </c>
      <c r="BB92">
        <f t="shared" si="49"/>
        <v>0</v>
      </c>
      <c r="BC92" cm="1">
        <f t="array" ref="BC92">IF(OR(M92={"NS","NA"},BF92={"NS","NA"}),0,IF(M92&lt;=BF92,0,1))</f>
        <v>0</v>
      </c>
      <c r="BD92" cm="1">
        <f t="array" ref="BD92">IF(OR(N92={"NS","NA"},BG92={"NS","NA"}),0,IF(N92&lt;=BG92,0,1))</f>
        <v>0</v>
      </c>
      <c r="BE92" cm="1">
        <f t="array" ref="BE92">IF(OR(O92={"NS","NA"},BH92={"NS","NA"}),0,IF(O92&lt;=BH92,0,1))</f>
        <v>0</v>
      </c>
      <c r="BF92">
        <f t="shared" si="50"/>
        <v>0</v>
      </c>
      <c r="BG92">
        <f t="shared" si="50"/>
        <v>0</v>
      </c>
      <c r="BH92">
        <f t="shared" si="50"/>
        <v>0</v>
      </c>
      <c r="BI92" cm="1">
        <f t="array" ref="BI92">IF(OR(P92={"NS","NA"},$M92={"NS","NA"}),0,IF(P92&lt;=$M92,0,1))</f>
        <v>0</v>
      </c>
      <c r="BJ92" cm="1">
        <f t="array" ref="BJ92">IF(OR(Q92={"NS","NA"},$N92={"NS","NA"}),0,IF(Q92&lt;=$N92,0,1))</f>
        <v>0</v>
      </c>
      <c r="BK92" cm="1">
        <f t="array" ref="BK92">IF(OR(R92={"NS","NA"},$O92={"NS","NA"}),0,IF(R92&lt;=$O92,0,1))</f>
        <v>0</v>
      </c>
      <c r="BL92" cm="1">
        <f t="array" ref="BL92">IF(OR(S92={"NS","NA"},$M92={"NS","NA"}),0,IF(S92&lt;=$M92,0,1))</f>
        <v>0</v>
      </c>
      <c r="BM92" cm="1">
        <f t="array" ref="BM92">IF(OR(T92={"NS","NA"},$N92={"NS","NA"}),0,IF(T92&lt;=$N92,0,1))</f>
        <v>0</v>
      </c>
      <c r="BN92" cm="1">
        <f t="array" ref="BN92">IF(OR(U92={"NS","NA"},$O92={"NS","NA"}),0,IF(U92&lt;=$O92,0,1))</f>
        <v>0</v>
      </c>
      <c r="BO92" cm="1">
        <f t="array" ref="BO92">IF(OR(V92={"NS","NA"},$M92={"NS","NA"}),0,IF(V92&lt;=$M92,0,1))</f>
        <v>0</v>
      </c>
      <c r="BP92" cm="1">
        <f t="array" ref="BP92">IF(OR(W92={"NS","NA"},$N92={"NS","NA"}),0,IF(W92&lt;=$N92,0,1))</f>
        <v>0</v>
      </c>
      <c r="BQ92" cm="1">
        <f t="array" ref="BQ92">IF(OR(X92={"NS","NA"},$O92={"NS","NA"}),0,IF(X92&lt;=$O92,0,1))</f>
        <v>0</v>
      </c>
      <c r="BR92" cm="1">
        <f t="array" ref="BR92">IF(OR(Y92={"NS","NA"},$M92={"NS","NA"}),0,IF(Y92&lt;=$M92,0,1))</f>
        <v>0</v>
      </c>
      <c r="BS92" cm="1">
        <f t="array" ref="BS92">IF(OR(Z92={"NS","NA"},$N92={"NS","NA"}),0,IF(Z92&lt;=$N92,0,1))</f>
        <v>0</v>
      </c>
      <c r="BT92" cm="1">
        <f t="array" ref="BT92">IF(OR(AA92={"NS","NA"},$O92={"NS","NA"}),0,IF(AA92&lt;=$O92,0,1))</f>
        <v>0</v>
      </c>
      <c r="BU92" cm="1">
        <f t="array" ref="BU92">IF(OR(AB92={"NS","NA"},$M92={"NS","NA"}),0,IF(AB92&lt;=$M92,0,1))</f>
        <v>0</v>
      </c>
      <c r="BV92" cm="1">
        <f t="array" ref="BV92">IF(OR(AC92={"NS","NA"},$N92={"NS","NA"}),0,IF(AC92&lt;=$N92,0,1))</f>
        <v>0</v>
      </c>
      <c r="BW92" cm="1">
        <f t="array" ref="BW92">IF(OR(AD92={"NS","NA"},$O92={"NS","NA"}),0,IF(AD92&lt;=$O92,0,1))</f>
        <v>0</v>
      </c>
    </row>
    <row r="93" spans="1:75">
      <c r="A93" s="142"/>
      <c r="B93" s="57"/>
      <c r="C93" s="143" t="s">
        <v>2518</v>
      </c>
      <c r="D93" s="813" t="str">
        <f>IF(CNSIPEE_2024_M2_Secc1!D44="","",CNSIPEE_2024_M2_Secc1!D44)</f>
        <v/>
      </c>
      <c r="E93" s="814"/>
      <c r="F93" s="814"/>
      <c r="G93" s="814"/>
      <c r="H93" s="814"/>
      <c r="I93" s="814"/>
      <c r="J93" s="814"/>
      <c r="K93" s="814"/>
      <c r="L93" s="815"/>
      <c r="M93" s="100"/>
      <c r="N93" s="100"/>
      <c r="O93" s="100"/>
      <c r="P93" s="100"/>
      <c r="Q93" s="100"/>
      <c r="R93" s="100"/>
      <c r="S93" s="100"/>
      <c r="T93" s="100"/>
      <c r="U93" s="100"/>
      <c r="V93" s="100"/>
      <c r="W93" s="100"/>
      <c r="X93" s="100"/>
      <c r="Y93" s="100"/>
      <c r="Z93" s="100"/>
      <c r="AA93" s="100"/>
      <c r="AB93" s="100"/>
      <c r="AC93" s="100"/>
      <c r="AD93" s="100"/>
      <c r="AG93">
        <f t="shared" si="51"/>
        <v>0</v>
      </c>
      <c r="AH93"/>
      <c r="AI93"/>
      <c r="AJ93"/>
      <c r="AK93">
        <f t="shared" si="33"/>
        <v>0</v>
      </c>
      <c r="AL93">
        <f t="shared" si="34"/>
        <v>0</v>
      </c>
      <c r="AM93">
        <f t="shared" si="52"/>
        <v>0</v>
      </c>
      <c r="AN93">
        <f t="shared" si="35"/>
        <v>0</v>
      </c>
      <c r="AO93">
        <f t="shared" si="36"/>
        <v>0</v>
      </c>
      <c r="AP93">
        <f t="shared" si="37"/>
        <v>0</v>
      </c>
      <c r="AQ93">
        <f t="shared" si="38"/>
        <v>0</v>
      </c>
      <c r="AR93">
        <f t="shared" si="39"/>
        <v>0</v>
      </c>
      <c r="AS93">
        <f t="shared" si="40"/>
        <v>0</v>
      </c>
      <c r="AT93">
        <f t="shared" si="41"/>
        <v>0</v>
      </c>
      <c r="AU93">
        <f t="shared" si="42"/>
        <v>0</v>
      </c>
      <c r="AV93">
        <f t="shared" si="43"/>
        <v>0</v>
      </c>
      <c r="AW93">
        <f t="shared" si="44"/>
        <v>0</v>
      </c>
      <c r="AX93">
        <f t="shared" si="45"/>
        <v>0</v>
      </c>
      <c r="AY93">
        <f t="shared" si="46"/>
        <v>0</v>
      </c>
      <c r="AZ93">
        <f t="shared" si="47"/>
        <v>0</v>
      </c>
      <c r="BA93">
        <f t="shared" si="48"/>
        <v>0</v>
      </c>
      <c r="BB93">
        <f t="shared" si="49"/>
        <v>0</v>
      </c>
      <c r="BC93" cm="1">
        <f t="array" ref="BC93">IF(OR(M93={"NS","NA"},BF93={"NS","NA"}),0,IF(M93&lt;=BF93,0,1))</f>
        <v>0</v>
      </c>
      <c r="BD93" cm="1">
        <f t="array" ref="BD93">IF(OR(N93={"NS","NA"},BG93={"NS","NA"}),0,IF(N93&lt;=BG93,0,1))</f>
        <v>0</v>
      </c>
      <c r="BE93" cm="1">
        <f t="array" ref="BE93">IF(OR(O93={"NS","NA"},BH93={"NS","NA"}),0,IF(O93&lt;=BH93,0,1))</f>
        <v>0</v>
      </c>
      <c r="BF93">
        <f t="shared" si="50"/>
        <v>0</v>
      </c>
      <c r="BG93">
        <f t="shared" si="50"/>
        <v>0</v>
      </c>
      <c r="BH93">
        <f t="shared" si="50"/>
        <v>0</v>
      </c>
      <c r="BI93" cm="1">
        <f t="array" ref="BI93">IF(OR(P93={"NS","NA"},$M93={"NS","NA"}),0,IF(P93&lt;=$M93,0,1))</f>
        <v>0</v>
      </c>
      <c r="BJ93" cm="1">
        <f t="array" ref="BJ93">IF(OR(Q93={"NS","NA"},$N93={"NS","NA"}),0,IF(Q93&lt;=$N93,0,1))</f>
        <v>0</v>
      </c>
      <c r="BK93" cm="1">
        <f t="array" ref="BK93">IF(OR(R93={"NS","NA"},$O93={"NS","NA"}),0,IF(R93&lt;=$O93,0,1))</f>
        <v>0</v>
      </c>
      <c r="BL93" cm="1">
        <f t="array" ref="BL93">IF(OR(S93={"NS","NA"},$M93={"NS","NA"}),0,IF(S93&lt;=$M93,0,1))</f>
        <v>0</v>
      </c>
      <c r="BM93" cm="1">
        <f t="array" ref="BM93">IF(OR(T93={"NS","NA"},$N93={"NS","NA"}),0,IF(T93&lt;=$N93,0,1))</f>
        <v>0</v>
      </c>
      <c r="BN93" cm="1">
        <f t="array" ref="BN93">IF(OR(U93={"NS","NA"},$O93={"NS","NA"}),0,IF(U93&lt;=$O93,0,1))</f>
        <v>0</v>
      </c>
      <c r="BO93" cm="1">
        <f t="array" ref="BO93">IF(OR(V93={"NS","NA"},$M93={"NS","NA"}),0,IF(V93&lt;=$M93,0,1))</f>
        <v>0</v>
      </c>
      <c r="BP93" cm="1">
        <f t="array" ref="BP93">IF(OR(W93={"NS","NA"},$N93={"NS","NA"}),0,IF(W93&lt;=$N93,0,1))</f>
        <v>0</v>
      </c>
      <c r="BQ93" cm="1">
        <f t="array" ref="BQ93">IF(OR(X93={"NS","NA"},$O93={"NS","NA"}),0,IF(X93&lt;=$O93,0,1))</f>
        <v>0</v>
      </c>
      <c r="BR93" cm="1">
        <f t="array" ref="BR93">IF(OR(Y93={"NS","NA"},$M93={"NS","NA"}),0,IF(Y93&lt;=$M93,0,1))</f>
        <v>0</v>
      </c>
      <c r="BS93" cm="1">
        <f t="array" ref="BS93">IF(OR(Z93={"NS","NA"},$N93={"NS","NA"}),0,IF(Z93&lt;=$N93,0,1))</f>
        <v>0</v>
      </c>
      <c r="BT93" cm="1">
        <f t="array" ref="BT93">IF(OR(AA93={"NS","NA"},$O93={"NS","NA"}),0,IF(AA93&lt;=$O93,0,1))</f>
        <v>0</v>
      </c>
      <c r="BU93" cm="1">
        <f t="array" ref="BU93">IF(OR(AB93={"NS","NA"},$M93={"NS","NA"}),0,IF(AB93&lt;=$M93,0,1))</f>
        <v>0</v>
      </c>
      <c r="BV93" cm="1">
        <f t="array" ref="BV93">IF(OR(AC93={"NS","NA"},$N93={"NS","NA"}),0,IF(AC93&lt;=$N93,0,1))</f>
        <v>0</v>
      </c>
      <c r="BW93" cm="1">
        <f t="array" ref="BW93">IF(OR(AD93={"NS","NA"},$O93={"NS","NA"}),0,IF(AD93&lt;=$O93,0,1))</f>
        <v>0</v>
      </c>
    </row>
    <row r="94" spans="1:75">
      <c r="A94" s="142"/>
      <c r="B94" s="57"/>
      <c r="C94" s="143" t="s">
        <v>2519</v>
      </c>
      <c r="D94" s="813" t="str">
        <f>IF(CNSIPEE_2024_M2_Secc1!D45="","",CNSIPEE_2024_M2_Secc1!D45)</f>
        <v/>
      </c>
      <c r="E94" s="814"/>
      <c r="F94" s="814"/>
      <c r="G94" s="814"/>
      <c r="H94" s="814"/>
      <c r="I94" s="814"/>
      <c r="J94" s="814"/>
      <c r="K94" s="814"/>
      <c r="L94" s="815"/>
      <c r="M94" s="100"/>
      <c r="N94" s="100"/>
      <c r="O94" s="100"/>
      <c r="P94" s="100"/>
      <c r="Q94" s="100"/>
      <c r="R94" s="100"/>
      <c r="S94" s="100"/>
      <c r="T94" s="100"/>
      <c r="U94" s="100"/>
      <c r="V94" s="100"/>
      <c r="W94" s="100"/>
      <c r="X94" s="100"/>
      <c r="Y94" s="100"/>
      <c r="Z94" s="100"/>
      <c r="AA94" s="100"/>
      <c r="AB94" s="100"/>
      <c r="AC94" s="100"/>
      <c r="AD94" s="100"/>
      <c r="AG94">
        <f t="shared" si="51"/>
        <v>0</v>
      </c>
      <c r="AH94"/>
      <c r="AI94"/>
      <c r="AJ94"/>
      <c r="AK94">
        <f t="shared" si="33"/>
        <v>0</v>
      </c>
      <c r="AL94">
        <f t="shared" si="34"/>
        <v>0</v>
      </c>
      <c r="AM94">
        <f t="shared" si="52"/>
        <v>0</v>
      </c>
      <c r="AN94">
        <f t="shared" si="35"/>
        <v>0</v>
      </c>
      <c r="AO94">
        <f t="shared" si="36"/>
        <v>0</v>
      </c>
      <c r="AP94">
        <f t="shared" si="37"/>
        <v>0</v>
      </c>
      <c r="AQ94">
        <f t="shared" si="38"/>
        <v>0</v>
      </c>
      <c r="AR94">
        <f t="shared" si="39"/>
        <v>0</v>
      </c>
      <c r="AS94">
        <f t="shared" si="40"/>
        <v>0</v>
      </c>
      <c r="AT94">
        <f t="shared" si="41"/>
        <v>0</v>
      </c>
      <c r="AU94">
        <f t="shared" si="42"/>
        <v>0</v>
      </c>
      <c r="AV94">
        <f t="shared" si="43"/>
        <v>0</v>
      </c>
      <c r="AW94">
        <f t="shared" si="44"/>
        <v>0</v>
      </c>
      <c r="AX94">
        <f t="shared" si="45"/>
        <v>0</v>
      </c>
      <c r="AY94">
        <f t="shared" si="46"/>
        <v>0</v>
      </c>
      <c r="AZ94">
        <f t="shared" si="47"/>
        <v>0</v>
      </c>
      <c r="BA94">
        <f t="shared" si="48"/>
        <v>0</v>
      </c>
      <c r="BB94">
        <f t="shared" si="49"/>
        <v>0</v>
      </c>
      <c r="BC94" cm="1">
        <f t="array" ref="BC94">IF(OR(M94={"NS","NA"},BF94={"NS","NA"}),0,IF(M94&lt;=BF94,0,1))</f>
        <v>0</v>
      </c>
      <c r="BD94" cm="1">
        <f t="array" ref="BD94">IF(OR(N94={"NS","NA"},BG94={"NS","NA"}),0,IF(N94&lt;=BG94,0,1))</f>
        <v>0</v>
      </c>
      <c r="BE94" cm="1">
        <f t="array" ref="BE94">IF(OR(O94={"NS","NA"},BH94={"NS","NA"}),0,IF(O94&lt;=BH94,0,1))</f>
        <v>0</v>
      </c>
      <c r="BF94">
        <f t="shared" si="50"/>
        <v>0</v>
      </c>
      <c r="BG94">
        <f t="shared" si="50"/>
        <v>0</v>
      </c>
      <c r="BH94">
        <f t="shared" si="50"/>
        <v>0</v>
      </c>
      <c r="BI94" cm="1">
        <f t="array" ref="BI94">IF(OR(P94={"NS","NA"},$M94={"NS","NA"}),0,IF(P94&lt;=$M94,0,1))</f>
        <v>0</v>
      </c>
      <c r="BJ94" cm="1">
        <f t="array" ref="BJ94">IF(OR(Q94={"NS","NA"},$N94={"NS","NA"}),0,IF(Q94&lt;=$N94,0,1))</f>
        <v>0</v>
      </c>
      <c r="BK94" cm="1">
        <f t="array" ref="BK94">IF(OR(R94={"NS","NA"},$O94={"NS","NA"}),0,IF(R94&lt;=$O94,0,1))</f>
        <v>0</v>
      </c>
      <c r="BL94" cm="1">
        <f t="array" ref="BL94">IF(OR(S94={"NS","NA"},$M94={"NS","NA"}),0,IF(S94&lt;=$M94,0,1))</f>
        <v>0</v>
      </c>
      <c r="BM94" cm="1">
        <f t="array" ref="BM94">IF(OR(T94={"NS","NA"},$N94={"NS","NA"}),0,IF(T94&lt;=$N94,0,1))</f>
        <v>0</v>
      </c>
      <c r="BN94" cm="1">
        <f t="array" ref="BN94">IF(OR(U94={"NS","NA"},$O94={"NS","NA"}),0,IF(U94&lt;=$O94,0,1))</f>
        <v>0</v>
      </c>
      <c r="BO94" cm="1">
        <f t="array" ref="BO94">IF(OR(V94={"NS","NA"},$M94={"NS","NA"}),0,IF(V94&lt;=$M94,0,1))</f>
        <v>0</v>
      </c>
      <c r="BP94" cm="1">
        <f t="array" ref="BP94">IF(OR(W94={"NS","NA"},$N94={"NS","NA"}),0,IF(W94&lt;=$N94,0,1))</f>
        <v>0</v>
      </c>
      <c r="BQ94" cm="1">
        <f t="array" ref="BQ94">IF(OR(X94={"NS","NA"},$O94={"NS","NA"}),0,IF(X94&lt;=$O94,0,1))</f>
        <v>0</v>
      </c>
      <c r="BR94" cm="1">
        <f t="array" ref="BR94">IF(OR(Y94={"NS","NA"},$M94={"NS","NA"}),0,IF(Y94&lt;=$M94,0,1))</f>
        <v>0</v>
      </c>
      <c r="BS94" cm="1">
        <f t="array" ref="BS94">IF(OR(Z94={"NS","NA"},$N94={"NS","NA"}),0,IF(Z94&lt;=$N94,0,1))</f>
        <v>0</v>
      </c>
      <c r="BT94" cm="1">
        <f t="array" ref="BT94">IF(OR(AA94={"NS","NA"},$O94={"NS","NA"}),0,IF(AA94&lt;=$O94,0,1))</f>
        <v>0</v>
      </c>
      <c r="BU94" cm="1">
        <f t="array" ref="BU94">IF(OR(AB94={"NS","NA"},$M94={"NS","NA"}),0,IF(AB94&lt;=$M94,0,1))</f>
        <v>0</v>
      </c>
      <c r="BV94" cm="1">
        <f t="array" ref="BV94">IF(OR(AC94={"NS","NA"},$N94={"NS","NA"}),0,IF(AC94&lt;=$N94,0,1))</f>
        <v>0</v>
      </c>
      <c r="BW94" cm="1">
        <f t="array" ref="BW94">IF(OR(AD94={"NS","NA"},$O94={"NS","NA"}),0,IF(AD94&lt;=$O94,0,1))</f>
        <v>0</v>
      </c>
    </row>
    <row r="95" spans="1:75">
      <c r="A95" s="142"/>
      <c r="B95" s="57"/>
      <c r="C95" s="143" t="s">
        <v>2520</v>
      </c>
      <c r="D95" s="813" t="str">
        <f>IF(CNSIPEE_2024_M2_Secc1!D46="","",CNSIPEE_2024_M2_Secc1!D46)</f>
        <v/>
      </c>
      <c r="E95" s="814"/>
      <c r="F95" s="814"/>
      <c r="G95" s="814"/>
      <c r="H95" s="814"/>
      <c r="I95" s="814"/>
      <c r="J95" s="814"/>
      <c r="K95" s="814"/>
      <c r="L95" s="815"/>
      <c r="M95" s="100"/>
      <c r="N95" s="100"/>
      <c r="O95" s="100"/>
      <c r="P95" s="100"/>
      <c r="Q95" s="100"/>
      <c r="R95" s="100"/>
      <c r="S95" s="100"/>
      <c r="T95" s="100"/>
      <c r="U95" s="100"/>
      <c r="V95" s="100"/>
      <c r="W95" s="100"/>
      <c r="X95" s="100"/>
      <c r="Y95" s="100"/>
      <c r="Z95" s="100"/>
      <c r="AA95" s="100"/>
      <c r="AB95" s="100"/>
      <c r="AC95" s="100"/>
      <c r="AD95" s="100"/>
      <c r="AG95">
        <f t="shared" si="51"/>
        <v>0</v>
      </c>
      <c r="AH95"/>
      <c r="AI95"/>
      <c r="AJ95"/>
      <c r="AK95">
        <f t="shared" si="33"/>
        <v>0</v>
      </c>
      <c r="AL95">
        <f t="shared" si="34"/>
        <v>0</v>
      </c>
      <c r="AM95">
        <f t="shared" si="52"/>
        <v>0</v>
      </c>
      <c r="AN95">
        <f t="shared" si="35"/>
        <v>0</v>
      </c>
      <c r="AO95">
        <f t="shared" si="36"/>
        <v>0</v>
      </c>
      <c r="AP95">
        <f t="shared" si="37"/>
        <v>0</v>
      </c>
      <c r="AQ95">
        <f t="shared" si="38"/>
        <v>0</v>
      </c>
      <c r="AR95">
        <f t="shared" si="39"/>
        <v>0</v>
      </c>
      <c r="AS95">
        <f t="shared" si="40"/>
        <v>0</v>
      </c>
      <c r="AT95">
        <f t="shared" si="41"/>
        <v>0</v>
      </c>
      <c r="AU95">
        <f t="shared" si="42"/>
        <v>0</v>
      </c>
      <c r="AV95">
        <f t="shared" si="43"/>
        <v>0</v>
      </c>
      <c r="AW95">
        <f t="shared" si="44"/>
        <v>0</v>
      </c>
      <c r="AX95">
        <f t="shared" si="45"/>
        <v>0</v>
      </c>
      <c r="AY95">
        <f t="shared" si="46"/>
        <v>0</v>
      </c>
      <c r="AZ95">
        <f t="shared" si="47"/>
        <v>0</v>
      </c>
      <c r="BA95">
        <f t="shared" si="48"/>
        <v>0</v>
      </c>
      <c r="BB95">
        <f t="shared" si="49"/>
        <v>0</v>
      </c>
      <c r="BC95" cm="1">
        <f t="array" ref="BC95">IF(OR(M95={"NS","NA"},BF95={"NS","NA"}),0,IF(M95&lt;=BF95,0,1))</f>
        <v>0</v>
      </c>
      <c r="BD95" cm="1">
        <f t="array" ref="BD95">IF(OR(N95={"NS","NA"},BG95={"NS","NA"}),0,IF(N95&lt;=BG95,0,1))</f>
        <v>0</v>
      </c>
      <c r="BE95" cm="1">
        <f t="array" ref="BE95">IF(OR(O95={"NS","NA"},BH95={"NS","NA"}),0,IF(O95&lt;=BH95,0,1))</f>
        <v>0</v>
      </c>
      <c r="BF95">
        <f t="shared" si="50"/>
        <v>0</v>
      </c>
      <c r="BG95">
        <f t="shared" si="50"/>
        <v>0</v>
      </c>
      <c r="BH95">
        <f t="shared" si="50"/>
        <v>0</v>
      </c>
      <c r="BI95" cm="1">
        <f t="array" ref="BI95">IF(OR(P95={"NS","NA"},$M95={"NS","NA"}),0,IF(P95&lt;=$M95,0,1))</f>
        <v>0</v>
      </c>
      <c r="BJ95" cm="1">
        <f t="array" ref="BJ95">IF(OR(Q95={"NS","NA"},$N95={"NS","NA"}),0,IF(Q95&lt;=$N95,0,1))</f>
        <v>0</v>
      </c>
      <c r="BK95" cm="1">
        <f t="array" ref="BK95">IF(OR(R95={"NS","NA"},$O95={"NS","NA"}),0,IF(R95&lt;=$O95,0,1))</f>
        <v>0</v>
      </c>
      <c r="BL95" cm="1">
        <f t="array" ref="BL95">IF(OR(S95={"NS","NA"},$M95={"NS","NA"}),0,IF(S95&lt;=$M95,0,1))</f>
        <v>0</v>
      </c>
      <c r="BM95" cm="1">
        <f t="array" ref="BM95">IF(OR(T95={"NS","NA"},$N95={"NS","NA"}),0,IF(T95&lt;=$N95,0,1))</f>
        <v>0</v>
      </c>
      <c r="BN95" cm="1">
        <f t="array" ref="BN95">IF(OR(U95={"NS","NA"},$O95={"NS","NA"}),0,IF(U95&lt;=$O95,0,1))</f>
        <v>0</v>
      </c>
      <c r="BO95" cm="1">
        <f t="array" ref="BO95">IF(OR(V95={"NS","NA"},$M95={"NS","NA"}),0,IF(V95&lt;=$M95,0,1))</f>
        <v>0</v>
      </c>
      <c r="BP95" cm="1">
        <f t="array" ref="BP95">IF(OR(W95={"NS","NA"},$N95={"NS","NA"}),0,IF(W95&lt;=$N95,0,1))</f>
        <v>0</v>
      </c>
      <c r="BQ95" cm="1">
        <f t="array" ref="BQ95">IF(OR(X95={"NS","NA"},$O95={"NS","NA"}),0,IF(X95&lt;=$O95,0,1))</f>
        <v>0</v>
      </c>
      <c r="BR95" cm="1">
        <f t="array" ref="BR95">IF(OR(Y95={"NS","NA"},$M95={"NS","NA"}),0,IF(Y95&lt;=$M95,0,1))</f>
        <v>0</v>
      </c>
      <c r="BS95" cm="1">
        <f t="array" ref="BS95">IF(OR(Z95={"NS","NA"},$N95={"NS","NA"}),0,IF(Z95&lt;=$N95,0,1))</f>
        <v>0</v>
      </c>
      <c r="BT95" cm="1">
        <f t="array" ref="BT95">IF(OR(AA95={"NS","NA"},$O95={"NS","NA"}),0,IF(AA95&lt;=$O95,0,1))</f>
        <v>0</v>
      </c>
      <c r="BU95" cm="1">
        <f t="array" ref="BU95">IF(OR(AB95={"NS","NA"},$M95={"NS","NA"}),0,IF(AB95&lt;=$M95,0,1))</f>
        <v>0</v>
      </c>
      <c r="BV95" cm="1">
        <f t="array" ref="BV95">IF(OR(AC95={"NS","NA"},$N95={"NS","NA"}),0,IF(AC95&lt;=$N95,0,1))</f>
        <v>0</v>
      </c>
      <c r="BW95" cm="1">
        <f t="array" ref="BW95">IF(OR(AD95={"NS","NA"},$O95={"NS","NA"}),0,IF(AD95&lt;=$O95,0,1))</f>
        <v>0</v>
      </c>
    </row>
    <row r="96" spans="1:75">
      <c r="A96" s="142"/>
      <c r="B96" s="57"/>
      <c r="C96" s="143" t="s">
        <v>2521</v>
      </c>
      <c r="D96" s="813" t="str">
        <f>IF(CNSIPEE_2024_M2_Secc1!D47="","",CNSIPEE_2024_M2_Secc1!D47)</f>
        <v/>
      </c>
      <c r="E96" s="814"/>
      <c r="F96" s="814"/>
      <c r="G96" s="814"/>
      <c r="H96" s="814"/>
      <c r="I96" s="814"/>
      <c r="J96" s="814"/>
      <c r="K96" s="814"/>
      <c r="L96" s="815"/>
      <c r="M96" s="100"/>
      <c r="N96" s="100"/>
      <c r="O96" s="100"/>
      <c r="P96" s="100"/>
      <c r="Q96" s="100"/>
      <c r="R96" s="100"/>
      <c r="S96" s="100"/>
      <c r="T96" s="100"/>
      <c r="U96" s="100"/>
      <c r="V96" s="100"/>
      <c r="W96" s="100"/>
      <c r="X96" s="100"/>
      <c r="Y96" s="100"/>
      <c r="Z96" s="100"/>
      <c r="AA96" s="100"/>
      <c r="AB96" s="100"/>
      <c r="AC96" s="100"/>
      <c r="AD96" s="100"/>
      <c r="AG96">
        <f t="shared" si="51"/>
        <v>0</v>
      </c>
      <c r="AH96"/>
      <c r="AI96"/>
      <c r="AJ96"/>
      <c r="AK96">
        <f t="shared" si="33"/>
        <v>0</v>
      </c>
      <c r="AL96">
        <f t="shared" si="34"/>
        <v>0</v>
      </c>
      <c r="AM96">
        <f t="shared" si="52"/>
        <v>0</v>
      </c>
      <c r="AN96">
        <f t="shared" si="35"/>
        <v>0</v>
      </c>
      <c r="AO96">
        <f t="shared" si="36"/>
        <v>0</v>
      </c>
      <c r="AP96">
        <f t="shared" si="37"/>
        <v>0</v>
      </c>
      <c r="AQ96">
        <f t="shared" si="38"/>
        <v>0</v>
      </c>
      <c r="AR96">
        <f t="shared" si="39"/>
        <v>0</v>
      </c>
      <c r="AS96">
        <f t="shared" si="40"/>
        <v>0</v>
      </c>
      <c r="AT96">
        <f t="shared" si="41"/>
        <v>0</v>
      </c>
      <c r="AU96">
        <f t="shared" si="42"/>
        <v>0</v>
      </c>
      <c r="AV96">
        <f t="shared" si="43"/>
        <v>0</v>
      </c>
      <c r="AW96">
        <f t="shared" si="44"/>
        <v>0</v>
      </c>
      <c r="AX96">
        <f t="shared" si="45"/>
        <v>0</v>
      </c>
      <c r="AY96">
        <f t="shared" si="46"/>
        <v>0</v>
      </c>
      <c r="AZ96">
        <f t="shared" si="47"/>
        <v>0</v>
      </c>
      <c r="BA96">
        <f t="shared" si="48"/>
        <v>0</v>
      </c>
      <c r="BB96">
        <f t="shared" si="49"/>
        <v>0</v>
      </c>
      <c r="BC96" cm="1">
        <f t="array" ref="BC96">IF(OR(M96={"NS","NA"},BF96={"NS","NA"}),0,IF(M96&lt;=BF96,0,1))</f>
        <v>0</v>
      </c>
      <c r="BD96" cm="1">
        <f t="array" ref="BD96">IF(OR(N96={"NS","NA"},BG96={"NS","NA"}),0,IF(N96&lt;=BG96,0,1))</f>
        <v>0</v>
      </c>
      <c r="BE96" cm="1">
        <f t="array" ref="BE96">IF(OR(O96={"NS","NA"},BH96={"NS","NA"}),0,IF(O96&lt;=BH96,0,1))</f>
        <v>0</v>
      </c>
      <c r="BF96">
        <f t="shared" si="50"/>
        <v>0</v>
      </c>
      <c r="BG96">
        <f t="shared" si="50"/>
        <v>0</v>
      </c>
      <c r="BH96">
        <f t="shared" si="50"/>
        <v>0</v>
      </c>
      <c r="BI96" cm="1">
        <f t="array" ref="BI96">IF(OR(P96={"NS","NA"},$M96={"NS","NA"}),0,IF(P96&lt;=$M96,0,1))</f>
        <v>0</v>
      </c>
      <c r="BJ96" cm="1">
        <f t="array" ref="BJ96">IF(OR(Q96={"NS","NA"},$N96={"NS","NA"}),0,IF(Q96&lt;=$N96,0,1))</f>
        <v>0</v>
      </c>
      <c r="BK96" cm="1">
        <f t="array" ref="BK96">IF(OR(R96={"NS","NA"},$O96={"NS","NA"}),0,IF(R96&lt;=$O96,0,1))</f>
        <v>0</v>
      </c>
      <c r="BL96" cm="1">
        <f t="array" ref="BL96">IF(OR(S96={"NS","NA"},$M96={"NS","NA"}),0,IF(S96&lt;=$M96,0,1))</f>
        <v>0</v>
      </c>
      <c r="BM96" cm="1">
        <f t="array" ref="BM96">IF(OR(T96={"NS","NA"},$N96={"NS","NA"}),0,IF(T96&lt;=$N96,0,1))</f>
        <v>0</v>
      </c>
      <c r="BN96" cm="1">
        <f t="array" ref="BN96">IF(OR(U96={"NS","NA"},$O96={"NS","NA"}),0,IF(U96&lt;=$O96,0,1))</f>
        <v>0</v>
      </c>
      <c r="BO96" cm="1">
        <f t="array" ref="BO96">IF(OR(V96={"NS","NA"},$M96={"NS","NA"}),0,IF(V96&lt;=$M96,0,1))</f>
        <v>0</v>
      </c>
      <c r="BP96" cm="1">
        <f t="array" ref="BP96">IF(OR(W96={"NS","NA"},$N96={"NS","NA"}),0,IF(W96&lt;=$N96,0,1))</f>
        <v>0</v>
      </c>
      <c r="BQ96" cm="1">
        <f t="array" ref="BQ96">IF(OR(X96={"NS","NA"},$O96={"NS","NA"}),0,IF(X96&lt;=$O96,0,1))</f>
        <v>0</v>
      </c>
      <c r="BR96" cm="1">
        <f t="array" ref="BR96">IF(OR(Y96={"NS","NA"},$M96={"NS","NA"}),0,IF(Y96&lt;=$M96,0,1))</f>
        <v>0</v>
      </c>
      <c r="BS96" cm="1">
        <f t="array" ref="BS96">IF(OR(Z96={"NS","NA"},$N96={"NS","NA"}),0,IF(Z96&lt;=$N96,0,1))</f>
        <v>0</v>
      </c>
      <c r="BT96" cm="1">
        <f t="array" ref="BT96">IF(OR(AA96={"NS","NA"},$O96={"NS","NA"}),0,IF(AA96&lt;=$O96,0,1))</f>
        <v>0</v>
      </c>
      <c r="BU96" cm="1">
        <f t="array" ref="BU96">IF(OR(AB96={"NS","NA"},$M96={"NS","NA"}),0,IF(AB96&lt;=$M96,0,1))</f>
        <v>0</v>
      </c>
      <c r="BV96" cm="1">
        <f t="array" ref="BV96">IF(OR(AC96={"NS","NA"},$N96={"NS","NA"}),0,IF(AC96&lt;=$N96,0,1))</f>
        <v>0</v>
      </c>
      <c r="BW96" cm="1">
        <f t="array" ref="BW96">IF(OR(AD96={"NS","NA"},$O96={"NS","NA"}),0,IF(AD96&lt;=$O96,0,1))</f>
        <v>0</v>
      </c>
    </row>
    <row r="97" spans="1:75">
      <c r="A97" s="142"/>
      <c r="B97" s="57"/>
      <c r="C97" s="143" t="s">
        <v>2522</v>
      </c>
      <c r="D97" s="813" t="str">
        <f>IF(CNSIPEE_2024_M2_Secc1!D48="","",CNSIPEE_2024_M2_Secc1!D48)</f>
        <v/>
      </c>
      <c r="E97" s="814"/>
      <c r="F97" s="814"/>
      <c r="G97" s="814"/>
      <c r="H97" s="814"/>
      <c r="I97" s="814"/>
      <c r="J97" s="814"/>
      <c r="K97" s="814"/>
      <c r="L97" s="815"/>
      <c r="M97" s="100"/>
      <c r="N97" s="100"/>
      <c r="O97" s="100"/>
      <c r="P97" s="100"/>
      <c r="Q97" s="100"/>
      <c r="R97" s="100"/>
      <c r="S97" s="100"/>
      <c r="T97" s="100"/>
      <c r="U97" s="100"/>
      <c r="V97" s="100"/>
      <c r="W97" s="100"/>
      <c r="X97" s="100"/>
      <c r="Y97" s="100"/>
      <c r="Z97" s="100"/>
      <c r="AA97" s="100"/>
      <c r="AB97" s="100"/>
      <c r="AC97" s="100"/>
      <c r="AD97" s="100"/>
      <c r="AG97">
        <f t="shared" si="51"/>
        <v>0</v>
      </c>
      <c r="AH97"/>
      <c r="AI97"/>
      <c r="AJ97"/>
      <c r="AK97">
        <f t="shared" si="33"/>
        <v>0</v>
      </c>
      <c r="AL97">
        <f t="shared" si="34"/>
        <v>0</v>
      </c>
      <c r="AM97">
        <f t="shared" si="52"/>
        <v>0</v>
      </c>
      <c r="AN97">
        <f t="shared" si="35"/>
        <v>0</v>
      </c>
      <c r="AO97">
        <f t="shared" si="36"/>
        <v>0</v>
      </c>
      <c r="AP97">
        <f t="shared" si="37"/>
        <v>0</v>
      </c>
      <c r="AQ97">
        <f t="shared" si="38"/>
        <v>0</v>
      </c>
      <c r="AR97">
        <f t="shared" si="39"/>
        <v>0</v>
      </c>
      <c r="AS97">
        <f t="shared" si="40"/>
        <v>0</v>
      </c>
      <c r="AT97">
        <f t="shared" si="41"/>
        <v>0</v>
      </c>
      <c r="AU97">
        <f t="shared" si="42"/>
        <v>0</v>
      </c>
      <c r="AV97">
        <f t="shared" si="43"/>
        <v>0</v>
      </c>
      <c r="AW97">
        <f t="shared" si="44"/>
        <v>0</v>
      </c>
      <c r="AX97">
        <f t="shared" si="45"/>
        <v>0</v>
      </c>
      <c r="AY97">
        <f t="shared" si="46"/>
        <v>0</v>
      </c>
      <c r="AZ97">
        <f t="shared" si="47"/>
        <v>0</v>
      </c>
      <c r="BA97">
        <f t="shared" si="48"/>
        <v>0</v>
      </c>
      <c r="BB97">
        <f t="shared" si="49"/>
        <v>0</v>
      </c>
      <c r="BC97" cm="1">
        <f t="array" ref="BC97">IF(OR(M97={"NS","NA"},BF97={"NS","NA"}),0,IF(M97&lt;=BF97,0,1))</f>
        <v>0</v>
      </c>
      <c r="BD97" cm="1">
        <f t="array" ref="BD97">IF(OR(N97={"NS","NA"},BG97={"NS","NA"}),0,IF(N97&lt;=BG97,0,1))</f>
        <v>0</v>
      </c>
      <c r="BE97" cm="1">
        <f t="array" ref="BE97">IF(OR(O97={"NS","NA"},BH97={"NS","NA"}),0,IF(O97&lt;=BH97,0,1))</f>
        <v>0</v>
      </c>
      <c r="BF97">
        <f t="shared" si="50"/>
        <v>0</v>
      </c>
      <c r="BG97">
        <f t="shared" si="50"/>
        <v>0</v>
      </c>
      <c r="BH97">
        <f t="shared" si="50"/>
        <v>0</v>
      </c>
      <c r="BI97" cm="1">
        <f t="array" ref="BI97">IF(OR(P97={"NS","NA"},$M97={"NS","NA"}),0,IF(P97&lt;=$M97,0,1))</f>
        <v>0</v>
      </c>
      <c r="BJ97" cm="1">
        <f t="array" ref="BJ97">IF(OR(Q97={"NS","NA"},$N97={"NS","NA"}),0,IF(Q97&lt;=$N97,0,1))</f>
        <v>0</v>
      </c>
      <c r="BK97" cm="1">
        <f t="array" ref="BK97">IF(OR(R97={"NS","NA"},$O97={"NS","NA"}),0,IF(R97&lt;=$O97,0,1))</f>
        <v>0</v>
      </c>
      <c r="BL97" cm="1">
        <f t="array" ref="BL97">IF(OR(S97={"NS","NA"},$M97={"NS","NA"}),0,IF(S97&lt;=$M97,0,1))</f>
        <v>0</v>
      </c>
      <c r="BM97" cm="1">
        <f t="array" ref="BM97">IF(OR(T97={"NS","NA"},$N97={"NS","NA"}),0,IF(T97&lt;=$N97,0,1))</f>
        <v>0</v>
      </c>
      <c r="BN97" cm="1">
        <f t="array" ref="BN97">IF(OR(U97={"NS","NA"},$O97={"NS","NA"}),0,IF(U97&lt;=$O97,0,1))</f>
        <v>0</v>
      </c>
      <c r="BO97" cm="1">
        <f t="array" ref="BO97">IF(OR(V97={"NS","NA"},$M97={"NS","NA"}),0,IF(V97&lt;=$M97,0,1))</f>
        <v>0</v>
      </c>
      <c r="BP97" cm="1">
        <f t="array" ref="BP97">IF(OR(W97={"NS","NA"},$N97={"NS","NA"}),0,IF(W97&lt;=$N97,0,1))</f>
        <v>0</v>
      </c>
      <c r="BQ97" cm="1">
        <f t="array" ref="BQ97">IF(OR(X97={"NS","NA"},$O97={"NS","NA"}),0,IF(X97&lt;=$O97,0,1))</f>
        <v>0</v>
      </c>
      <c r="BR97" cm="1">
        <f t="array" ref="BR97">IF(OR(Y97={"NS","NA"},$M97={"NS","NA"}),0,IF(Y97&lt;=$M97,0,1))</f>
        <v>0</v>
      </c>
      <c r="BS97" cm="1">
        <f t="array" ref="BS97">IF(OR(Z97={"NS","NA"},$N97={"NS","NA"}),0,IF(Z97&lt;=$N97,0,1))</f>
        <v>0</v>
      </c>
      <c r="BT97" cm="1">
        <f t="array" ref="BT97">IF(OR(AA97={"NS","NA"},$O97={"NS","NA"}),0,IF(AA97&lt;=$O97,0,1))</f>
        <v>0</v>
      </c>
      <c r="BU97" cm="1">
        <f t="array" ref="BU97">IF(OR(AB97={"NS","NA"},$M97={"NS","NA"}),0,IF(AB97&lt;=$M97,0,1))</f>
        <v>0</v>
      </c>
      <c r="BV97" cm="1">
        <f t="array" ref="BV97">IF(OR(AC97={"NS","NA"},$N97={"NS","NA"}),0,IF(AC97&lt;=$N97,0,1))</f>
        <v>0</v>
      </c>
      <c r="BW97" cm="1">
        <f t="array" ref="BW97">IF(OR(AD97={"NS","NA"},$O97={"NS","NA"}),0,IF(AD97&lt;=$O97,0,1))</f>
        <v>0</v>
      </c>
    </row>
    <row r="98" spans="1:75">
      <c r="A98" s="142"/>
      <c r="B98" s="57"/>
      <c r="C98" s="143" t="s">
        <v>2523</v>
      </c>
      <c r="D98" s="813" t="str">
        <f>IF(CNSIPEE_2024_M2_Secc1!D49="","",CNSIPEE_2024_M2_Secc1!D49)</f>
        <v/>
      </c>
      <c r="E98" s="814"/>
      <c r="F98" s="814"/>
      <c r="G98" s="814"/>
      <c r="H98" s="814"/>
      <c r="I98" s="814"/>
      <c r="J98" s="814"/>
      <c r="K98" s="814"/>
      <c r="L98" s="815"/>
      <c r="M98" s="100"/>
      <c r="N98" s="100"/>
      <c r="O98" s="100"/>
      <c r="P98" s="100"/>
      <c r="Q98" s="100"/>
      <c r="R98" s="100"/>
      <c r="S98" s="100"/>
      <c r="T98" s="100"/>
      <c r="U98" s="100"/>
      <c r="V98" s="100"/>
      <c r="W98" s="100"/>
      <c r="X98" s="100"/>
      <c r="Y98" s="100"/>
      <c r="Z98" s="100"/>
      <c r="AA98" s="100"/>
      <c r="AB98" s="100"/>
      <c r="AC98" s="100"/>
      <c r="AD98" s="100"/>
      <c r="AG98">
        <f>IF(OR(SUM(COUNTBLANK(D98:AD98),COUNTBLANK(M113:AD113),COUNTBLANK(M128:AD128))=8,SUM(COUNTBLANK(D98:AD98),COUNTBLANK(M113:AD113),COUNTBLANK(M128:AD128))=63),0,1)</f>
        <v>0</v>
      </c>
      <c r="AH98"/>
      <c r="AI98"/>
      <c r="AJ98"/>
      <c r="AK98">
        <f t="shared" si="33"/>
        <v>0</v>
      </c>
      <c r="AL98">
        <f t="shared" si="34"/>
        <v>0</v>
      </c>
      <c r="AM98">
        <f t="shared" si="52"/>
        <v>0</v>
      </c>
      <c r="AN98">
        <f t="shared" si="35"/>
        <v>0</v>
      </c>
      <c r="AO98">
        <f t="shared" si="36"/>
        <v>0</v>
      </c>
      <c r="AP98">
        <f t="shared" si="37"/>
        <v>0</v>
      </c>
      <c r="AQ98">
        <f t="shared" si="38"/>
        <v>0</v>
      </c>
      <c r="AR98">
        <f t="shared" si="39"/>
        <v>0</v>
      </c>
      <c r="AS98">
        <f t="shared" si="40"/>
        <v>0</v>
      </c>
      <c r="AT98">
        <f t="shared" si="41"/>
        <v>0</v>
      </c>
      <c r="AU98">
        <f t="shared" si="42"/>
        <v>0</v>
      </c>
      <c r="AV98">
        <f t="shared" si="43"/>
        <v>0</v>
      </c>
      <c r="AW98">
        <f t="shared" si="44"/>
        <v>0</v>
      </c>
      <c r="AX98">
        <f t="shared" si="45"/>
        <v>0</v>
      </c>
      <c r="AY98">
        <f t="shared" si="46"/>
        <v>0</v>
      </c>
      <c r="AZ98">
        <f t="shared" si="47"/>
        <v>0</v>
      </c>
      <c r="BA98">
        <f t="shared" si="48"/>
        <v>0</v>
      </c>
      <c r="BB98">
        <f t="shared" si="49"/>
        <v>0</v>
      </c>
      <c r="BC98" cm="1">
        <f t="array" ref="BC98">IF(OR(M98={"NS","NA"},BF98={"NS","NA"}),0,IF(M98&lt;=BF98,0,1))</f>
        <v>0</v>
      </c>
      <c r="BD98" cm="1">
        <f t="array" ref="BD98">IF(OR(N98={"NS","NA"},BG98={"NS","NA"}),0,IF(N98&lt;=BG98,0,1))</f>
        <v>0</v>
      </c>
      <c r="BE98" cm="1">
        <f t="array" ref="BE98">IF(OR(O98={"NS","NA"},BH98={"NS","NA"}),0,IF(O98&lt;=BH98,0,1))</f>
        <v>0</v>
      </c>
      <c r="BF98">
        <f t="shared" si="50"/>
        <v>0</v>
      </c>
      <c r="BG98">
        <f t="shared" si="50"/>
        <v>0</v>
      </c>
      <c r="BH98">
        <f t="shared" si="50"/>
        <v>0</v>
      </c>
      <c r="BI98" cm="1">
        <f t="array" ref="BI98">IF(OR(P98={"NS","NA"},$M98={"NS","NA"}),0,IF(P98&lt;=$M98,0,1))</f>
        <v>0</v>
      </c>
      <c r="BJ98" cm="1">
        <f t="array" ref="BJ98">IF(OR(Q98={"NS","NA"},$N98={"NS","NA"}),0,IF(Q98&lt;=$N98,0,1))</f>
        <v>0</v>
      </c>
      <c r="BK98" cm="1">
        <f t="array" ref="BK98">IF(OR(R98={"NS","NA"},$O98={"NS","NA"}),0,IF(R98&lt;=$O98,0,1))</f>
        <v>0</v>
      </c>
      <c r="BL98" cm="1">
        <f t="array" ref="BL98">IF(OR(S98={"NS","NA"},$M98={"NS","NA"}),0,IF(S98&lt;=$M98,0,1))</f>
        <v>0</v>
      </c>
      <c r="BM98" cm="1">
        <f t="array" ref="BM98">IF(OR(T98={"NS","NA"},$N98={"NS","NA"}),0,IF(T98&lt;=$N98,0,1))</f>
        <v>0</v>
      </c>
      <c r="BN98" cm="1">
        <f t="array" ref="BN98">IF(OR(U98={"NS","NA"},$O98={"NS","NA"}),0,IF(U98&lt;=$O98,0,1))</f>
        <v>0</v>
      </c>
      <c r="BO98" cm="1">
        <f t="array" ref="BO98">IF(OR(V98={"NS","NA"},$M98={"NS","NA"}),0,IF(V98&lt;=$M98,0,1))</f>
        <v>0</v>
      </c>
      <c r="BP98" cm="1">
        <f t="array" ref="BP98">IF(OR(W98={"NS","NA"},$N98={"NS","NA"}),0,IF(W98&lt;=$N98,0,1))</f>
        <v>0</v>
      </c>
      <c r="BQ98" cm="1">
        <f t="array" ref="BQ98">IF(OR(X98={"NS","NA"},$O98={"NS","NA"}),0,IF(X98&lt;=$O98,0,1))</f>
        <v>0</v>
      </c>
      <c r="BR98" cm="1">
        <f t="array" ref="BR98">IF(OR(Y98={"NS","NA"},$M98={"NS","NA"}),0,IF(Y98&lt;=$M98,0,1))</f>
        <v>0</v>
      </c>
      <c r="BS98" cm="1">
        <f t="array" ref="BS98">IF(OR(Z98={"NS","NA"},$N98={"NS","NA"}),0,IF(Z98&lt;=$N98,0,1))</f>
        <v>0</v>
      </c>
      <c r="BT98" cm="1">
        <f t="array" ref="BT98">IF(OR(AA98={"NS","NA"},$O98={"NS","NA"}),0,IF(AA98&lt;=$O98,0,1))</f>
        <v>0</v>
      </c>
      <c r="BU98" cm="1">
        <f t="array" ref="BU98">IF(OR(AB98={"NS","NA"},$M98={"NS","NA"}),0,IF(AB98&lt;=$M98,0,1))</f>
        <v>0</v>
      </c>
      <c r="BV98" cm="1">
        <f t="array" ref="BV98">IF(OR(AC98={"NS","NA"},$N98={"NS","NA"}),0,IF(AC98&lt;=$N98,0,1))</f>
        <v>0</v>
      </c>
      <c r="BW98" cm="1">
        <f t="array" ref="BW98">IF(OR(AD98={"NS","NA"},$O98={"NS","NA"}),0,IF(AD98&lt;=$O98,0,1))</f>
        <v>0</v>
      </c>
    </row>
    <row r="99" spans="1:75">
      <c r="A99" s="50"/>
      <c r="B99" s="38"/>
      <c r="C99" s="38"/>
      <c r="D99" s="38"/>
      <c r="L99" s="117" t="s">
        <v>2649</v>
      </c>
      <c r="M99" s="124">
        <f t="shared" ref="M99:AD99" si="53">IF(AND(SUM(M91:M98)=0,COUNTIF(M91:M98,"NS")&gt;0),"NS",IF(AND(SUM(M91:M98)=0,COUNTIF(M91:M98,0)&gt;0),0,IF(AND(SUM(M91:M98)=0,COUNTIF(M91:M98,"NA")&gt;0),"NA",SUM(M91:M98))))</f>
        <v>0</v>
      </c>
      <c r="N99" s="124">
        <f t="shared" si="53"/>
        <v>0</v>
      </c>
      <c r="O99" s="124">
        <f t="shared" si="53"/>
        <v>0</v>
      </c>
      <c r="P99" s="124">
        <f t="shared" si="53"/>
        <v>0</v>
      </c>
      <c r="Q99" s="124">
        <f t="shared" si="53"/>
        <v>0</v>
      </c>
      <c r="R99" s="124">
        <f t="shared" si="53"/>
        <v>0</v>
      </c>
      <c r="S99" s="124">
        <f t="shared" si="53"/>
        <v>0</v>
      </c>
      <c r="T99" s="124">
        <f t="shared" si="53"/>
        <v>0</v>
      </c>
      <c r="U99" s="124">
        <f t="shared" si="53"/>
        <v>0</v>
      </c>
      <c r="V99" s="124">
        <f t="shared" si="53"/>
        <v>0</v>
      </c>
      <c r="W99" s="124">
        <f t="shared" si="53"/>
        <v>0</v>
      </c>
      <c r="X99" s="124">
        <f t="shared" si="53"/>
        <v>0</v>
      </c>
      <c r="Y99" s="124">
        <f t="shared" si="53"/>
        <v>0</v>
      </c>
      <c r="Z99" s="124">
        <f t="shared" si="53"/>
        <v>0</v>
      </c>
      <c r="AA99" s="124">
        <f t="shared" si="53"/>
        <v>0</v>
      </c>
      <c r="AB99" s="124">
        <f t="shared" si="53"/>
        <v>0</v>
      </c>
      <c r="AC99" s="124">
        <f t="shared" si="53"/>
        <v>0</v>
      </c>
      <c r="AD99" s="124">
        <f t="shared" si="53"/>
        <v>0</v>
      </c>
      <c r="AG99" s="507">
        <f>SUM(AG91:AG98)</f>
        <v>0</v>
      </c>
      <c r="AJ99"/>
      <c r="AK99">
        <f>SUM(AK91:AK98)</f>
        <v>0</v>
      </c>
      <c r="AM99">
        <f>SUM(AM91:AM98)</f>
        <v>0</v>
      </c>
      <c r="AN99">
        <f>SUM(AN91:AN98)</f>
        <v>0</v>
      </c>
      <c r="AP99">
        <f>SUM(AP91:AP98)</f>
        <v>0</v>
      </c>
      <c r="AQ99">
        <f>SUM(AQ91:AQ98)</f>
        <v>0</v>
      </c>
      <c r="AS99">
        <f>SUM(AS91:AS98)</f>
        <v>0</v>
      </c>
      <c r="AT99">
        <f>SUM(AT91:AT98)</f>
        <v>0</v>
      </c>
      <c r="AV99">
        <f>SUM(AV91:AV98)</f>
        <v>0</v>
      </c>
      <c r="AW99">
        <f>SUM(AW91:AW98)</f>
        <v>0</v>
      </c>
      <c r="AY99">
        <f>SUM(AY91:AY98)</f>
        <v>0</v>
      </c>
      <c r="AZ99">
        <f>SUM(AZ91:AZ98)</f>
        <v>0</v>
      </c>
      <c r="BB99">
        <f>SUM(BB91:BB98)</f>
        <v>0</v>
      </c>
      <c r="BE99" s="507">
        <f>SUM(BC91:BE98)</f>
        <v>0</v>
      </c>
      <c r="BU99"/>
      <c r="BV99"/>
      <c r="BW99"/>
    </row>
    <row r="100" spans="1:75">
      <c r="A100" s="169"/>
      <c r="B100" s="90"/>
      <c r="C100" s="90"/>
      <c r="D100" s="90"/>
      <c r="E100" s="90"/>
      <c r="F100" s="90"/>
      <c r="G100" s="90"/>
      <c r="H100" s="90"/>
      <c r="I100" s="90"/>
      <c r="J100" s="90"/>
      <c r="K100" s="90"/>
      <c r="L100" s="90"/>
      <c r="M100" s="90"/>
      <c r="N100" s="90"/>
      <c r="O100" s="90"/>
      <c r="P100" s="90"/>
      <c r="Q100" s="90"/>
      <c r="R100" s="90"/>
      <c r="S100" s="90"/>
      <c r="T100" s="90"/>
      <c r="U100" s="90"/>
      <c r="V100" s="90"/>
      <c r="W100" s="90"/>
      <c r="X100" s="90"/>
      <c r="Y100" s="90"/>
      <c r="Z100" s="90"/>
      <c r="AA100" s="90"/>
      <c r="AB100" s="90"/>
      <c r="AC100" s="90"/>
      <c r="AD100" s="90"/>
      <c r="AK100" t="s">
        <v>2650</v>
      </c>
      <c r="AL100" s="590">
        <f>SUM(AM99,AP99,AS99,AV99,AY99,BB99)</f>
        <v>0</v>
      </c>
      <c r="AM100" t="s">
        <v>2651</v>
      </c>
      <c r="AN100" s="590">
        <f>SUM(AK99,AN99,AQ99,AT99,AW99,AZ99)</f>
        <v>0</v>
      </c>
      <c r="BU100"/>
      <c r="BV100"/>
      <c r="BW100"/>
    </row>
    <row r="101" spans="1:75">
      <c r="A101" s="169"/>
      <c r="B101" s="90"/>
      <c r="C101" s="90"/>
      <c r="D101" s="90"/>
      <c r="E101" s="90"/>
      <c r="F101" s="90"/>
      <c r="G101" s="90"/>
      <c r="H101" s="90"/>
      <c r="I101" s="90"/>
      <c r="J101" s="90"/>
      <c r="K101" s="90"/>
      <c r="L101" s="90"/>
      <c r="M101" s="90"/>
      <c r="N101" s="90"/>
      <c r="O101" s="90"/>
      <c r="P101" s="90"/>
      <c r="Q101" s="90"/>
      <c r="R101" s="90"/>
      <c r="S101" s="90"/>
      <c r="T101" s="90"/>
      <c r="U101" s="90"/>
      <c r="V101" s="90"/>
      <c r="W101" s="90"/>
      <c r="X101" s="90"/>
      <c r="Y101" s="90"/>
      <c r="Z101" s="90"/>
      <c r="AA101" s="873" t="s">
        <v>3233</v>
      </c>
      <c r="AB101" s="873"/>
      <c r="AC101" s="873"/>
      <c r="AD101" s="873"/>
      <c r="AK101" t="s">
        <v>2652</v>
      </c>
      <c r="AL101">
        <f>IF(AN100&gt;0,IF(SUM(M99)&gt;=SUM(P99,S99,V99,Y99,AB99),0,1),IF(SUM(M99)&lt;&gt;SUM(P99,S99,V99,Y99,AB99),1,0))</f>
        <v>0</v>
      </c>
      <c r="AM101" t="s">
        <v>2653</v>
      </c>
      <c r="AN101">
        <f>IF(AN100&gt;0,IF(SUM(N99)&gt;=SUM(Q99,T99,W99,Z99,AC99),0,1),IF(SUM(N99)&lt;&gt;SUM(Q99,T99,W99,Z99,AC99),1,0))</f>
        <v>0</v>
      </c>
      <c r="AO101" t="s">
        <v>2654</v>
      </c>
      <c r="AP101">
        <f>IF(AN100&gt;0,IF(SUM(O99)&gt;=SUM(R99,U99,X99,AA99,AD99),0,1),IF(SUM(O99)&lt;&gt;SUM(R99,U99,X99,AA99,AD99),1,0))</f>
        <v>0</v>
      </c>
      <c r="BU101"/>
      <c r="BV101"/>
      <c r="BW101"/>
    </row>
    <row r="102" spans="1:75" ht="24" customHeight="1">
      <c r="A102" s="50"/>
      <c r="B102" s="57"/>
      <c r="C102" s="732" t="s">
        <v>2581</v>
      </c>
      <c r="D102" s="732"/>
      <c r="E102" s="732"/>
      <c r="F102" s="732"/>
      <c r="G102" s="732"/>
      <c r="H102" s="732"/>
      <c r="I102" s="732"/>
      <c r="J102" s="732"/>
      <c r="K102" s="732"/>
      <c r="L102" s="732"/>
      <c r="M102" s="739" t="s">
        <v>5799</v>
      </c>
      <c r="N102" s="740"/>
      <c r="O102" s="740"/>
      <c r="P102" s="740"/>
      <c r="Q102" s="740"/>
      <c r="R102" s="740"/>
      <c r="S102" s="740"/>
      <c r="T102" s="740"/>
      <c r="U102" s="740"/>
      <c r="V102" s="740"/>
      <c r="W102" s="740"/>
      <c r="X102" s="740"/>
      <c r="Y102" s="740"/>
      <c r="Z102" s="740"/>
      <c r="AA102" s="740"/>
      <c r="AB102" s="740"/>
      <c r="AC102" s="740"/>
      <c r="AD102" s="741"/>
      <c r="BU102"/>
      <c r="BV102"/>
      <c r="BW102"/>
    </row>
    <row r="103" spans="1:75" ht="15" customHeight="1">
      <c r="A103" s="50"/>
      <c r="B103" s="57"/>
      <c r="C103" s="732"/>
      <c r="D103" s="732"/>
      <c r="E103" s="732"/>
      <c r="F103" s="732"/>
      <c r="G103" s="732"/>
      <c r="H103" s="732"/>
      <c r="I103" s="732"/>
      <c r="J103" s="732"/>
      <c r="K103" s="732"/>
      <c r="L103" s="732"/>
      <c r="M103" s="733" t="s">
        <v>5800</v>
      </c>
      <c r="N103" s="734"/>
      <c r="O103" s="734"/>
      <c r="P103" s="734"/>
      <c r="Q103" s="734"/>
      <c r="R103" s="734"/>
      <c r="S103" s="734"/>
      <c r="T103" s="734"/>
      <c r="U103" s="734"/>
      <c r="V103" s="734"/>
      <c r="W103" s="734"/>
      <c r="X103" s="734"/>
      <c r="Y103" s="734"/>
      <c r="Z103" s="734"/>
      <c r="AA103" s="734"/>
      <c r="AB103" s="734"/>
      <c r="AC103" s="734"/>
      <c r="AD103" s="735"/>
      <c r="BU103"/>
      <c r="BV103"/>
      <c r="BW103"/>
    </row>
    <row r="104" spans="1:75" ht="120" customHeight="1">
      <c r="A104" s="50"/>
      <c r="B104" s="57"/>
      <c r="C104" s="732"/>
      <c r="D104" s="732"/>
      <c r="E104" s="732"/>
      <c r="F104" s="732"/>
      <c r="G104" s="732"/>
      <c r="H104" s="732"/>
      <c r="I104" s="732"/>
      <c r="J104" s="732"/>
      <c r="K104" s="732"/>
      <c r="L104" s="732"/>
      <c r="M104" s="857" t="s">
        <v>5807</v>
      </c>
      <c r="N104" s="857"/>
      <c r="O104" s="857"/>
      <c r="P104" s="857" t="s">
        <v>5808</v>
      </c>
      <c r="Q104" s="857"/>
      <c r="R104" s="857"/>
      <c r="S104" s="857" t="s">
        <v>5809</v>
      </c>
      <c r="T104" s="857"/>
      <c r="U104" s="857"/>
      <c r="V104" s="857" t="s">
        <v>5810</v>
      </c>
      <c r="W104" s="857"/>
      <c r="X104" s="857"/>
      <c r="Y104" s="857" t="s">
        <v>5811</v>
      </c>
      <c r="Z104" s="857"/>
      <c r="AA104" s="857"/>
      <c r="AB104" s="857" t="s">
        <v>5812</v>
      </c>
      <c r="AC104" s="857"/>
      <c r="AD104" s="857"/>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row>
    <row r="105" spans="1:75" ht="48" customHeight="1">
      <c r="A105" s="50"/>
      <c r="B105" s="57"/>
      <c r="C105" s="732"/>
      <c r="D105" s="732"/>
      <c r="E105" s="732"/>
      <c r="F105" s="732"/>
      <c r="G105" s="732"/>
      <c r="H105" s="732"/>
      <c r="I105" s="732"/>
      <c r="J105" s="732"/>
      <c r="K105" s="732"/>
      <c r="L105" s="732"/>
      <c r="M105" s="127" t="s">
        <v>2635</v>
      </c>
      <c r="N105" s="128" t="s">
        <v>2629</v>
      </c>
      <c r="O105" s="128" t="s">
        <v>2630</v>
      </c>
      <c r="P105" s="127" t="s">
        <v>2635</v>
      </c>
      <c r="Q105" s="128" t="s">
        <v>2629</v>
      </c>
      <c r="R105" s="128" t="s">
        <v>2630</v>
      </c>
      <c r="S105" s="127" t="s">
        <v>2635</v>
      </c>
      <c r="T105" s="128" t="s">
        <v>2629</v>
      </c>
      <c r="U105" s="128" t="s">
        <v>2630</v>
      </c>
      <c r="V105" s="127" t="s">
        <v>2635</v>
      </c>
      <c r="W105" s="128" t="s">
        <v>2629</v>
      </c>
      <c r="X105" s="128" t="s">
        <v>2630</v>
      </c>
      <c r="Y105" s="127" t="s">
        <v>2635</v>
      </c>
      <c r="Z105" s="128" t="s">
        <v>2629</v>
      </c>
      <c r="AA105" s="128" t="s">
        <v>2630</v>
      </c>
      <c r="AB105" s="127" t="s">
        <v>2635</v>
      </c>
      <c r="AC105" s="128" t="s">
        <v>2629</v>
      </c>
      <c r="AD105" s="128" t="s">
        <v>2630</v>
      </c>
      <c r="AK105" t="s">
        <v>4573</v>
      </c>
      <c r="AL105" t="s">
        <v>2638</v>
      </c>
      <c r="AM105" t="s">
        <v>2639</v>
      </c>
      <c r="AN105" t="s">
        <v>4574</v>
      </c>
      <c r="AO105" t="s">
        <v>2641</v>
      </c>
      <c r="AP105" t="s">
        <v>2642</v>
      </c>
      <c r="AQ105" t="s">
        <v>4575</v>
      </c>
      <c r="AR105" t="s">
        <v>2644</v>
      </c>
      <c r="AS105" t="s">
        <v>2645</v>
      </c>
      <c r="AT105" t="s">
        <v>4576</v>
      </c>
      <c r="AU105" t="s">
        <v>2647</v>
      </c>
      <c r="AV105" t="s">
        <v>2648</v>
      </c>
      <c r="AW105" t="s">
        <v>5177</v>
      </c>
      <c r="AX105" t="s">
        <v>2757</v>
      </c>
      <c r="AY105" t="s">
        <v>2758</v>
      </c>
      <c r="AZ105" t="s">
        <v>5194</v>
      </c>
      <c r="BA105" t="s">
        <v>2760</v>
      </c>
      <c r="BB105" t="s">
        <v>2761</v>
      </c>
      <c r="BC105" t="s">
        <v>5290</v>
      </c>
      <c r="BD105"/>
      <c r="BE105"/>
      <c r="BF105"/>
      <c r="BG105"/>
      <c r="BH105"/>
      <c r="BI105"/>
      <c r="BJ105"/>
      <c r="BK105"/>
      <c r="BL105"/>
      <c r="BM105"/>
      <c r="BN105"/>
      <c r="BO105"/>
      <c r="BP105"/>
      <c r="BQ105"/>
      <c r="BR105"/>
      <c r="BS105"/>
      <c r="BT105"/>
      <c r="BU105"/>
      <c r="BV105"/>
      <c r="BW105"/>
    </row>
    <row r="106" spans="1:75">
      <c r="A106" s="142"/>
      <c r="B106" s="57"/>
      <c r="C106" s="44" t="s">
        <v>2516</v>
      </c>
      <c r="D106" s="813" t="str">
        <f>IF(CNSIPEE_2024_M2_Secc1!D42="","",CNSIPEE_2024_M2_Secc1!D42)</f>
        <v/>
      </c>
      <c r="E106" s="814"/>
      <c r="F106" s="814"/>
      <c r="G106" s="814"/>
      <c r="H106" s="814"/>
      <c r="I106" s="814"/>
      <c r="J106" s="814"/>
      <c r="K106" s="814"/>
      <c r="L106" s="815"/>
      <c r="M106" s="100"/>
      <c r="N106" s="100"/>
      <c r="O106" s="100"/>
      <c r="P106" s="100"/>
      <c r="Q106" s="100"/>
      <c r="R106" s="100"/>
      <c r="S106" s="100"/>
      <c r="T106" s="100"/>
      <c r="U106" s="100"/>
      <c r="V106" s="100"/>
      <c r="W106" s="100"/>
      <c r="X106" s="100"/>
      <c r="Y106" s="100"/>
      <c r="Z106" s="100"/>
      <c r="AA106" s="100"/>
      <c r="AB106" s="100"/>
      <c r="AC106" s="100"/>
      <c r="AD106" s="100"/>
      <c r="AK106">
        <f t="shared" ref="AK106:AK113" si="54">COUNTIF(N106:O106,"NS")</f>
        <v>0</v>
      </c>
      <c r="AL106">
        <f t="shared" ref="AL106:AL113" si="55">SUM(N106:O106)</f>
        <v>0</v>
      </c>
      <c r="AM106">
        <f>IF(COUNTIF(M106:O106,"NA")=3,0,IF(COUNTA(M106:O106)=0,0,IF(OR(AND(M106=0,AK106&gt;0),AND(M106="ns",AL106&gt;0),AND(M106="ns",AK106=0,AL106=0)),1,IF(OR(AND(M106&gt;0,AK106=2),AND(M106="ns",AK106=2),AND(M106="ns",AL106=0,AK106&gt;0),M106=AL106),0,1))))</f>
        <v>0</v>
      </c>
      <c r="AN106">
        <f t="shared" ref="AN106:AN113" si="56">COUNTIF(Q106:R106,"NS")</f>
        <v>0</v>
      </c>
      <c r="AO106">
        <f t="shared" ref="AO106:AO113" si="57">SUM(Q106:R106)</f>
        <v>0</v>
      </c>
      <c r="AP106">
        <f t="shared" ref="AP106:AP113" si="58">IF(COUNTIF(P106:R106,"NA")=3,0,IF(COUNTA(P106:R106)=0,0,IF(OR(AND(P106=0,AN106&gt;0),AND(P106="ns",AO106&gt;0),AND(P106="ns",AN106=0,AO106=0)),1,IF(OR(AND(P106&gt;0,AN106=2),AND(P106="ns",AN106=2),AND(P106="ns",AO106=0,AN106&gt;0),P106=AO106),0,1))))</f>
        <v>0</v>
      </c>
      <c r="AQ106">
        <f t="shared" ref="AQ106:AQ113" si="59">COUNTIF(T106:U106,"NS")</f>
        <v>0</v>
      </c>
      <c r="AR106">
        <f t="shared" ref="AR106:AR113" si="60">SUM(T106:U106)</f>
        <v>0</v>
      </c>
      <c r="AS106">
        <f t="shared" ref="AS106:AS113" si="61">IF(COUNTIF(S106:U106,"NA")=3,0,IF(COUNTA(S106:U106)=0,0,IF(OR(AND(S106=0,AQ106&gt;0),AND(S106="ns",AR106&gt;0),AND(S106="ns",AQ106=0,AR106=0)),1,IF(OR(AND(S106&gt;0,AQ106=2),AND(S106="ns",AQ106=2),AND(S106="ns",AR106=0,AQ106&gt;0),S106=AR106),0,1))))</f>
        <v>0</v>
      </c>
      <c r="AT106">
        <f t="shared" ref="AT106:AT113" si="62">COUNTIF(W106:X106,"NS")</f>
        <v>0</v>
      </c>
      <c r="AU106">
        <f t="shared" ref="AU106:AU113" si="63">SUM(W106:X106)</f>
        <v>0</v>
      </c>
      <c r="AV106">
        <f t="shared" ref="AV106:AV113" si="64">IF(COUNTIF(V106:X106,"NA")=3,0,IF(COUNTA(V106:X106)=0,0,IF(OR(AND(V106=0,AT106&gt;0),AND(V106="ns",AU106&gt;0),AND(V106="ns",AT106=0,AU106=0)),1,IF(OR(AND(V106&gt;0,AT106=2),AND(V106="ns",AT106=2),AND(V106="ns",AU106=0,AT106&gt;0),V106=AU106),0,1))))</f>
        <v>0</v>
      </c>
      <c r="AW106">
        <f t="shared" ref="AW106:AW113" si="65">COUNTIF(Z106:AA106,"NS")</f>
        <v>0</v>
      </c>
      <c r="AX106">
        <f t="shared" ref="AX106:AX113" si="66">SUM(Z106:AA106)</f>
        <v>0</v>
      </c>
      <c r="AY106">
        <f t="shared" ref="AY106:AY113" si="67">IF(COUNTIF(Y106:AA106,"NA")=3,0,IF(COUNTA(Y106:AA106)=0,0,IF(OR(AND(Y106=0,AW106&gt;0),AND(Y106="ns",AX106&gt;0),AND(Y106="ns",AW106=0,AX106=0)),1,IF(OR(AND(Y106&gt;0,AW106=2),AND(Y106="ns",AW106=2),AND(Y106="ns",AX106=0,AW106&gt;0),Y106=AX106),0,1))))</f>
        <v>0</v>
      </c>
      <c r="AZ106">
        <f t="shared" ref="AZ106:AZ113" si="68">COUNTIF(AC106:AD106,"NS")</f>
        <v>0</v>
      </c>
      <c r="BA106">
        <f t="shared" ref="BA106:BA113" si="69">SUM(AC106:AD106)</f>
        <v>0</v>
      </c>
      <c r="BB106">
        <f t="shared" ref="BB106:BB113" si="70">IF(COUNTIF(AB106:AD106,"NA")=3,0,IF(COUNTA(AB106:AD106)=0,0,IF(OR(AND(AB106=0,AZ106&gt;0),AND(AB106="ns",BA106&gt;0),AND(AB106="ns",AZ106=0,BA106=0)),1,IF(OR(AND(AB106&gt;0,AZ106=2),AND(AB106="ns",AZ106=2),AND(AB106="ns",BA106=0,AZ106&gt;0),AB106=BA106),0,1))))</f>
        <v>0</v>
      </c>
      <c r="BC106" cm="1">
        <f t="array" ref="BC106">IF(OR(M106={"NS","NA"},$M91={"NS","NA"}),0,IF(M106&lt;=$M91,0,1))</f>
        <v>0</v>
      </c>
      <c r="BD106" cm="1">
        <f t="array" ref="BD106">IF(OR(N106={"NS","NA"},$N91={"NS","NA"}),0,IF(N106&lt;=$N91,0,1))</f>
        <v>0</v>
      </c>
      <c r="BE106" cm="1">
        <f t="array" ref="BE106">IF(OR(O106={"NS","NA"},$O91={"NS","NA"}),0,IF(O106&lt;=$O91,0,1))</f>
        <v>0</v>
      </c>
      <c r="BF106" cm="1">
        <f t="array" ref="BF106">IF(OR(P106={"NS","NA"},$M91={"NS","NA"}),0,IF(P106&lt;=$M91,0,1))</f>
        <v>0</v>
      </c>
      <c r="BG106" cm="1">
        <f t="array" ref="BG106">IF(OR(Q106={"NS","NA"},$N91={"NS","NA"}),0,IF(Q106&lt;=$N91,0,1))</f>
        <v>0</v>
      </c>
      <c r="BH106" cm="1">
        <f t="array" ref="BH106">IF(OR(R106={"NS","NA"},$O91={"NS","NA"}),0,IF(R106&lt;=$O91,0,1))</f>
        <v>0</v>
      </c>
      <c r="BI106" cm="1">
        <f t="array" ref="BI106">IF(OR(S106={"NS","NA"},$M91={"NS","NA"}),0,IF(S106&lt;=$M91,0,1))</f>
        <v>0</v>
      </c>
      <c r="BJ106" cm="1">
        <f t="array" ref="BJ106">IF(OR(T106={"NS","NA"},$N91={"NS","NA"}),0,IF(T106&lt;=$N91,0,1))</f>
        <v>0</v>
      </c>
      <c r="BK106" cm="1">
        <f t="array" ref="BK106">IF(OR(U106={"NS","NA"},$O91={"NS","NA"}),0,IF(U106&lt;=$O91,0,1))</f>
        <v>0</v>
      </c>
      <c r="BL106" cm="1">
        <f t="array" ref="BL106">IF(OR(V106={"NS","NA"},$M91={"NS","NA"}),0,IF(V106&lt;=$M91,0,1))</f>
        <v>0</v>
      </c>
      <c r="BM106" cm="1">
        <f t="array" ref="BM106">IF(OR(W106={"NS","NA"},$N91={"NS","NA"}),0,IF(W106&lt;=$N91,0,1))</f>
        <v>0</v>
      </c>
      <c r="BN106" cm="1">
        <f t="array" ref="BN106">IF(OR(X106={"NS","NA"},$O91={"NS","NA"}),0,IF(X106&lt;=$O91,0,1))</f>
        <v>0</v>
      </c>
      <c r="BO106" cm="1">
        <f t="array" ref="BO106">IF(OR(Y106={"NS","NA"},$M91={"NS","NA"}),0,IF(Y106&lt;=$M91,0,1))</f>
        <v>0</v>
      </c>
      <c r="BP106" cm="1">
        <f t="array" ref="BP106">IF(OR(Z106={"NS","NA"},$N91={"NS","NA"}),0,IF(Z106&lt;=$N91,0,1))</f>
        <v>0</v>
      </c>
      <c r="BQ106" cm="1">
        <f t="array" ref="BQ106">IF(OR(AA106={"NS","NA"},$O91={"NS","NA"}),0,IF(AA106&lt;=$O91,0,1))</f>
        <v>0</v>
      </c>
      <c r="BR106" cm="1">
        <f t="array" ref="BR106">IF(OR(AB106={"NS","NA"},$M91={"NS","NA"}),0,IF(AB106&lt;=$M91,0,1))</f>
        <v>0</v>
      </c>
      <c r="BS106" cm="1">
        <f t="array" ref="BS106">IF(OR(AC106={"NS","NA"},$N91={"NS","NA"}),0,IF(AC106&lt;=$N91,0,1))</f>
        <v>0</v>
      </c>
      <c r="BT106" cm="1">
        <f t="array" ref="BT106">IF(OR(AD106={"NS","NA"},$O91={"NS","NA"}),0,IF(AD106&lt;=$O91,0,1))</f>
        <v>0</v>
      </c>
      <c r="BU106"/>
      <c r="BV106"/>
      <c r="BW106"/>
    </row>
    <row r="107" spans="1:75">
      <c r="A107" s="142"/>
      <c r="B107" s="57"/>
      <c r="C107" s="44" t="s">
        <v>2517</v>
      </c>
      <c r="D107" s="813" t="str">
        <f>IF(CNSIPEE_2024_M2_Secc1!D43="","",CNSIPEE_2024_M2_Secc1!D43)</f>
        <v/>
      </c>
      <c r="E107" s="814"/>
      <c r="F107" s="814"/>
      <c r="G107" s="814"/>
      <c r="H107" s="814"/>
      <c r="I107" s="814"/>
      <c r="J107" s="814"/>
      <c r="K107" s="814"/>
      <c r="L107" s="815"/>
      <c r="M107" s="100"/>
      <c r="N107" s="100"/>
      <c r="O107" s="100"/>
      <c r="P107" s="100"/>
      <c r="Q107" s="100"/>
      <c r="R107" s="100"/>
      <c r="S107" s="100"/>
      <c r="T107" s="100"/>
      <c r="U107" s="100"/>
      <c r="V107" s="100"/>
      <c r="W107" s="100"/>
      <c r="X107" s="100"/>
      <c r="Y107" s="100"/>
      <c r="Z107" s="100"/>
      <c r="AA107" s="100"/>
      <c r="AB107" s="100"/>
      <c r="AC107" s="100"/>
      <c r="AD107" s="100"/>
      <c r="AK107">
        <f t="shared" si="54"/>
        <v>0</v>
      </c>
      <c r="AL107">
        <f t="shared" si="55"/>
        <v>0</v>
      </c>
      <c r="AM107">
        <f t="shared" ref="AM107:AM113" si="71">IF(COUNTIF(M107:O107,"NA")=3,0,IF(COUNTA(M107:O107)=0,0,IF(OR(AND(M107=0,AK107&gt;0),AND(M107="ns",AL107&gt;0),AND(M107="ns",AK107=0,AL107=0)),1,IF(OR(AND(M107&gt;0,AK107=2),AND(M107="ns",AK107=2),AND(M107="ns",AL107=0,AK107&gt;0),M107=AL107),0,1))))</f>
        <v>0</v>
      </c>
      <c r="AN107">
        <f t="shared" si="56"/>
        <v>0</v>
      </c>
      <c r="AO107">
        <f t="shared" si="57"/>
        <v>0</v>
      </c>
      <c r="AP107">
        <f t="shared" si="58"/>
        <v>0</v>
      </c>
      <c r="AQ107">
        <f t="shared" si="59"/>
        <v>0</v>
      </c>
      <c r="AR107">
        <f t="shared" si="60"/>
        <v>0</v>
      </c>
      <c r="AS107">
        <f t="shared" si="61"/>
        <v>0</v>
      </c>
      <c r="AT107">
        <f t="shared" si="62"/>
        <v>0</v>
      </c>
      <c r="AU107">
        <f t="shared" si="63"/>
        <v>0</v>
      </c>
      <c r="AV107">
        <f t="shared" si="64"/>
        <v>0</v>
      </c>
      <c r="AW107">
        <f t="shared" si="65"/>
        <v>0</v>
      </c>
      <c r="AX107">
        <f t="shared" si="66"/>
        <v>0</v>
      </c>
      <c r="AY107">
        <f t="shared" si="67"/>
        <v>0</v>
      </c>
      <c r="AZ107">
        <f t="shared" si="68"/>
        <v>0</v>
      </c>
      <c r="BA107">
        <f t="shared" si="69"/>
        <v>0</v>
      </c>
      <c r="BB107">
        <f t="shared" si="70"/>
        <v>0</v>
      </c>
      <c r="BC107" cm="1">
        <f t="array" ref="BC107">IF(OR(M107={"NS","NA"},$M92={"NS","NA"}),0,IF(M107&lt;=$M92,0,1))</f>
        <v>0</v>
      </c>
      <c r="BD107" cm="1">
        <f t="array" ref="BD107">IF(OR(N107={"NS","NA"},$N92={"NS","NA"}),0,IF(N107&lt;=$N92,0,1))</f>
        <v>0</v>
      </c>
      <c r="BE107" cm="1">
        <f t="array" ref="BE107">IF(OR(O107={"NS","NA"},$O92={"NS","NA"}),0,IF(O107&lt;=$O92,0,1))</f>
        <v>0</v>
      </c>
      <c r="BF107" cm="1">
        <f t="array" ref="BF107">IF(OR(P107={"NS","NA"},$M92={"NS","NA"}),0,IF(P107&lt;=$M92,0,1))</f>
        <v>0</v>
      </c>
      <c r="BG107" cm="1">
        <f t="array" ref="BG107">IF(OR(Q107={"NS","NA"},$N92={"NS","NA"}),0,IF(Q107&lt;=$N92,0,1))</f>
        <v>0</v>
      </c>
      <c r="BH107" cm="1">
        <f t="array" ref="BH107">IF(OR(R107={"NS","NA"},$O92={"NS","NA"}),0,IF(R107&lt;=$O92,0,1))</f>
        <v>0</v>
      </c>
      <c r="BI107" cm="1">
        <f t="array" ref="BI107">IF(OR(S107={"NS","NA"},$M92={"NS","NA"}),0,IF(S107&lt;=$M92,0,1))</f>
        <v>0</v>
      </c>
      <c r="BJ107" cm="1">
        <f t="array" ref="BJ107">IF(OR(T107={"NS","NA"},$N92={"NS","NA"}),0,IF(T107&lt;=$N92,0,1))</f>
        <v>0</v>
      </c>
      <c r="BK107" cm="1">
        <f t="array" ref="BK107">IF(OR(U107={"NS","NA"},$O92={"NS","NA"}),0,IF(U107&lt;=$O92,0,1))</f>
        <v>0</v>
      </c>
      <c r="BL107" cm="1">
        <f t="array" ref="BL107">IF(OR(V107={"NS","NA"},$M92={"NS","NA"}),0,IF(V107&lt;=$M92,0,1))</f>
        <v>0</v>
      </c>
      <c r="BM107" cm="1">
        <f t="array" ref="BM107">IF(OR(W107={"NS","NA"},$N92={"NS","NA"}),0,IF(W107&lt;=$N92,0,1))</f>
        <v>0</v>
      </c>
      <c r="BN107" cm="1">
        <f t="array" ref="BN107">IF(OR(X107={"NS","NA"},$O92={"NS","NA"}),0,IF(X107&lt;=$O92,0,1))</f>
        <v>0</v>
      </c>
      <c r="BO107" cm="1">
        <f t="array" ref="BO107">IF(OR(Y107={"NS","NA"},$M92={"NS","NA"}),0,IF(Y107&lt;=$M92,0,1))</f>
        <v>0</v>
      </c>
      <c r="BP107" cm="1">
        <f t="array" ref="BP107">IF(OR(Z107={"NS","NA"},$N92={"NS","NA"}),0,IF(Z107&lt;=$N92,0,1))</f>
        <v>0</v>
      </c>
      <c r="BQ107" cm="1">
        <f t="array" ref="BQ107">IF(OR(AA107={"NS","NA"},$O92={"NS","NA"}),0,IF(AA107&lt;=$O92,0,1))</f>
        <v>0</v>
      </c>
      <c r="BR107" cm="1">
        <f t="array" ref="BR107">IF(OR(AB107={"NS","NA"},$M92={"NS","NA"}),0,IF(AB107&lt;=$M92,0,1))</f>
        <v>0</v>
      </c>
      <c r="BS107" cm="1">
        <f t="array" ref="BS107">IF(OR(AC107={"NS","NA"},$N92={"NS","NA"}),0,IF(AC107&lt;=$N92,0,1))</f>
        <v>0</v>
      </c>
      <c r="BT107" cm="1">
        <f t="array" ref="BT107">IF(OR(AD107={"NS","NA"},$O92={"NS","NA"}),0,IF(AD107&lt;=$O92,0,1))</f>
        <v>0</v>
      </c>
      <c r="BU107"/>
      <c r="BV107"/>
      <c r="BW107"/>
    </row>
    <row r="108" spans="1:75">
      <c r="A108" s="142"/>
      <c r="B108" s="57"/>
      <c r="C108" s="44" t="s">
        <v>2518</v>
      </c>
      <c r="D108" s="813" t="str">
        <f>IF(CNSIPEE_2024_M2_Secc1!D44="","",CNSIPEE_2024_M2_Secc1!D44)</f>
        <v/>
      </c>
      <c r="E108" s="814"/>
      <c r="F108" s="814"/>
      <c r="G108" s="814"/>
      <c r="H108" s="814"/>
      <c r="I108" s="814"/>
      <c r="J108" s="814"/>
      <c r="K108" s="814"/>
      <c r="L108" s="815"/>
      <c r="M108" s="100"/>
      <c r="N108" s="100"/>
      <c r="O108" s="100"/>
      <c r="P108" s="100"/>
      <c r="Q108" s="100"/>
      <c r="R108" s="100"/>
      <c r="S108" s="100"/>
      <c r="T108" s="100"/>
      <c r="U108" s="100"/>
      <c r="V108" s="100"/>
      <c r="W108" s="100"/>
      <c r="X108" s="100"/>
      <c r="Y108" s="100"/>
      <c r="Z108" s="100"/>
      <c r="AA108" s="100"/>
      <c r="AB108" s="100"/>
      <c r="AC108" s="100"/>
      <c r="AD108" s="100"/>
      <c r="AK108">
        <f t="shared" si="54"/>
        <v>0</v>
      </c>
      <c r="AL108">
        <f t="shared" si="55"/>
        <v>0</v>
      </c>
      <c r="AM108">
        <f t="shared" si="71"/>
        <v>0</v>
      </c>
      <c r="AN108">
        <f t="shared" si="56"/>
        <v>0</v>
      </c>
      <c r="AO108">
        <f t="shared" si="57"/>
        <v>0</v>
      </c>
      <c r="AP108">
        <f t="shared" si="58"/>
        <v>0</v>
      </c>
      <c r="AQ108">
        <f t="shared" si="59"/>
        <v>0</v>
      </c>
      <c r="AR108">
        <f t="shared" si="60"/>
        <v>0</v>
      </c>
      <c r="AS108">
        <f t="shared" si="61"/>
        <v>0</v>
      </c>
      <c r="AT108">
        <f t="shared" si="62"/>
        <v>0</v>
      </c>
      <c r="AU108">
        <f t="shared" si="63"/>
        <v>0</v>
      </c>
      <c r="AV108">
        <f t="shared" si="64"/>
        <v>0</v>
      </c>
      <c r="AW108">
        <f t="shared" si="65"/>
        <v>0</v>
      </c>
      <c r="AX108">
        <f t="shared" si="66"/>
        <v>0</v>
      </c>
      <c r="AY108">
        <f t="shared" si="67"/>
        <v>0</v>
      </c>
      <c r="AZ108">
        <f t="shared" si="68"/>
        <v>0</v>
      </c>
      <c r="BA108">
        <f t="shared" si="69"/>
        <v>0</v>
      </c>
      <c r="BB108">
        <f t="shared" si="70"/>
        <v>0</v>
      </c>
      <c r="BC108" cm="1">
        <f t="array" ref="BC108">IF(OR(M108={"NS","NA"},$M93={"NS","NA"}),0,IF(M108&lt;=$M93,0,1))</f>
        <v>0</v>
      </c>
      <c r="BD108" cm="1">
        <f t="array" ref="BD108">IF(OR(N108={"NS","NA"},$N93={"NS","NA"}),0,IF(N108&lt;=$N93,0,1))</f>
        <v>0</v>
      </c>
      <c r="BE108" cm="1">
        <f t="array" ref="BE108">IF(OR(O108={"NS","NA"},$O93={"NS","NA"}),0,IF(O108&lt;=$O93,0,1))</f>
        <v>0</v>
      </c>
      <c r="BF108" cm="1">
        <f t="array" ref="BF108">IF(OR(P108={"NS","NA"},$M93={"NS","NA"}),0,IF(P108&lt;=$M93,0,1))</f>
        <v>0</v>
      </c>
      <c r="BG108" cm="1">
        <f t="array" ref="BG108">IF(OR(Q108={"NS","NA"},$N93={"NS","NA"}),0,IF(Q108&lt;=$N93,0,1))</f>
        <v>0</v>
      </c>
      <c r="BH108" cm="1">
        <f t="array" ref="BH108">IF(OR(R108={"NS","NA"},$O93={"NS","NA"}),0,IF(R108&lt;=$O93,0,1))</f>
        <v>0</v>
      </c>
      <c r="BI108" cm="1">
        <f t="array" ref="BI108">IF(OR(S108={"NS","NA"},$M93={"NS","NA"}),0,IF(S108&lt;=$M93,0,1))</f>
        <v>0</v>
      </c>
      <c r="BJ108" cm="1">
        <f t="array" ref="BJ108">IF(OR(T108={"NS","NA"},$N93={"NS","NA"}),0,IF(T108&lt;=$N93,0,1))</f>
        <v>0</v>
      </c>
      <c r="BK108" cm="1">
        <f t="array" ref="BK108">IF(OR(U108={"NS","NA"},$O93={"NS","NA"}),0,IF(U108&lt;=$O93,0,1))</f>
        <v>0</v>
      </c>
      <c r="BL108" cm="1">
        <f t="array" ref="BL108">IF(OR(V108={"NS","NA"},$M93={"NS","NA"}),0,IF(V108&lt;=$M93,0,1))</f>
        <v>0</v>
      </c>
      <c r="BM108" cm="1">
        <f t="array" ref="BM108">IF(OR(W108={"NS","NA"},$N93={"NS","NA"}),0,IF(W108&lt;=$N93,0,1))</f>
        <v>0</v>
      </c>
      <c r="BN108" cm="1">
        <f t="array" ref="BN108">IF(OR(X108={"NS","NA"},$O93={"NS","NA"}),0,IF(X108&lt;=$O93,0,1))</f>
        <v>0</v>
      </c>
      <c r="BO108" cm="1">
        <f t="array" ref="BO108">IF(OR(Y108={"NS","NA"},$M93={"NS","NA"}),0,IF(Y108&lt;=$M93,0,1))</f>
        <v>0</v>
      </c>
      <c r="BP108" cm="1">
        <f t="array" ref="BP108">IF(OR(Z108={"NS","NA"},$N93={"NS","NA"}),0,IF(Z108&lt;=$N93,0,1))</f>
        <v>0</v>
      </c>
      <c r="BQ108" cm="1">
        <f t="array" ref="BQ108">IF(OR(AA108={"NS","NA"},$O93={"NS","NA"}),0,IF(AA108&lt;=$O93,0,1))</f>
        <v>0</v>
      </c>
      <c r="BR108" cm="1">
        <f t="array" ref="BR108">IF(OR(AB108={"NS","NA"},$M93={"NS","NA"}),0,IF(AB108&lt;=$M93,0,1))</f>
        <v>0</v>
      </c>
      <c r="BS108" cm="1">
        <f t="array" ref="BS108">IF(OR(AC108={"NS","NA"},$N93={"NS","NA"}),0,IF(AC108&lt;=$N93,0,1))</f>
        <v>0</v>
      </c>
      <c r="BT108" cm="1">
        <f t="array" ref="BT108">IF(OR(AD108={"NS","NA"},$O93={"NS","NA"}),0,IF(AD108&lt;=$O93,0,1))</f>
        <v>0</v>
      </c>
      <c r="BU108"/>
      <c r="BV108"/>
      <c r="BW108"/>
    </row>
    <row r="109" spans="1:75">
      <c r="A109" s="142"/>
      <c r="B109" s="57"/>
      <c r="C109" s="44" t="s">
        <v>2519</v>
      </c>
      <c r="D109" s="813" t="str">
        <f>IF(CNSIPEE_2024_M2_Secc1!D45="","",CNSIPEE_2024_M2_Secc1!D45)</f>
        <v/>
      </c>
      <c r="E109" s="814"/>
      <c r="F109" s="814"/>
      <c r="G109" s="814"/>
      <c r="H109" s="814"/>
      <c r="I109" s="814"/>
      <c r="J109" s="814"/>
      <c r="K109" s="814"/>
      <c r="L109" s="815"/>
      <c r="M109" s="100"/>
      <c r="N109" s="100"/>
      <c r="O109" s="100"/>
      <c r="P109" s="100"/>
      <c r="Q109" s="100"/>
      <c r="R109" s="100"/>
      <c r="S109" s="100"/>
      <c r="T109" s="100"/>
      <c r="U109" s="100"/>
      <c r="V109" s="100"/>
      <c r="W109" s="100"/>
      <c r="X109" s="100"/>
      <c r="Y109" s="100"/>
      <c r="Z109" s="100"/>
      <c r="AA109" s="100"/>
      <c r="AB109" s="100"/>
      <c r="AC109" s="100"/>
      <c r="AD109" s="100"/>
      <c r="AK109">
        <f t="shared" si="54"/>
        <v>0</v>
      </c>
      <c r="AL109">
        <f t="shared" si="55"/>
        <v>0</v>
      </c>
      <c r="AM109">
        <f t="shared" si="71"/>
        <v>0</v>
      </c>
      <c r="AN109">
        <f t="shared" si="56"/>
        <v>0</v>
      </c>
      <c r="AO109">
        <f t="shared" si="57"/>
        <v>0</v>
      </c>
      <c r="AP109">
        <f t="shared" si="58"/>
        <v>0</v>
      </c>
      <c r="AQ109">
        <f t="shared" si="59"/>
        <v>0</v>
      </c>
      <c r="AR109">
        <f t="shared" si="60"/>
        <v>0</v>
      </c>
      <c r="AS109">
        <f t="shared" si="61"/>
        <v>0</v>
      </c>
      <c r="AT109">
        <f t="shared" si="62"/>
        <v>0</v>
      </c>
      <c r="AU109">
        <f t="shared" si="63"/>
        <v>0</v>
      </c>
      <c r="AV109">
        <f t="shared" si="64"/>
        <v>0</v>
      </c>
      <c r="AW109">
        <f t="shared" si="65"/>
        <v>0</v>
      </c>
      <c r="AX109">
        <f t="shared" si="66"/>
        <v>0</v>
      </c>
      <c r="AY109">
        <f t="shared" si="67"/>
        <v>0</v>
      </c>
      <c r="AZ109">
        <f t="shared" si="68"/>
        <v>0</v>
      </c>
      <c r="BA109">
        <f t="shared" si="69"/>
        <v>0</v>
      </c>
      <c r="BB109">
        <f t="shared" si="70"/>
        <v>0</v>
      </c>
      <c r="BC109" cm="1">
        <f t="array" ref="BC109">IF(OR(M109={"NS","NA"},$M94={"NS","NA"}),0,IF(M109&lt;=$M94,0,1))</f>
        <v>0</v>
      </c>
      <c r="BD109" cm="1">
        <f t="array" ref="BD109">IF(OR(N109={"NS","NA"},$N94={"NS","NA"}),0,IF(N109&lt;=$N94,0,1))</f>
        <v>0</v>
      </c>
      <c r="BE109" cm="1">
        <f t="array" ref="BE109">IF(OR(O109={"NS","NA"},$O94={"NS","NA"}),0,IF(O109&lt;=$O94,0,1))</f>
        <v>0</v>
      </c>
      <c r="BF109" cm="1">
        <f t="array" ref="BF109">IF(OR(P109={"NS","NA"},$M94={"NS","NA"}),0,IF(P109&lt;=$M94,0,1))</f>
        <v>0</v>
      </c>
      <c r="BG109" cm="1">
        <f t="array" ref="BG109">IF(OR(Q109={"NS","NA"},$N94={"NS","NA"}),0,IF(Q109&lt;=$N94,0,1))</f>
        <v>0</v>
      </c>
      <c r="BH109" cm="1">
        <f t="array" ref="BH109">IF(OR(R109={"NS","NA"},$O94={"NS","NA"}),0,IF(R109&lt;=$O94,0,1))</f>
        <v>0</v>
      </c>
      <c r="BI109" cm="1">
        <f t="array" ref="BI109">IF(OR(S109={"NS","NA"},$M94={"NS","NA"}),0,IF(S109&lt;=$M94,0,1))</f>
        <v>0</v>
      </c>
      <c r="BJ109" cm="1">
        <f t="array" ref="BJ109">IF(OR(T109={"NS","NA"},$N94={"NS","NA"}),0,IF(T109&lt;=$N94,0,1))</f>
        <v>0</v>
      </c>
      <c r="BK109" cm="1">
        <f t="array" ref="BK109">IF(OR(U109={"NS","NA"},$O94={"NS","NA"}),0,IF(U109&lt;=$O94,0,1))</f>
        <v>0</v>
      </c>
      <c r="BL109" cm="1">
        <f t="array" ref="BL109">IF(OR(V109={"NS","NA"},$M94={"NS","NA"}),0,IF(V109&lt;=$M94,0,1))</f>
        <v>0</v>
      </c>
      <c r="BM109" cm="1">
        <f t="array" ref="BM109">IF(OR(W109={"NS","NA"},$N94={"NS","NA"}),0,IF(W109&lt;=$N94,0,1))</f>
        <v>0</v>
      </c>
      <c r="BN109" cm="1">
        <f t="array" ref="BN109">IF(OR(X109={"NS","NA"},$O94={"NS","NA"}),0,IF(X109&lt;=$O94,0,1))</f>
        <v>0</v>
      </c>
      <c r="BO109" cm="1">
        <f t="array" ref="BO109">IF(OR(Y109={"NS","NA"},$M94={"NS","NA"}),0,IF(Y109&lt;=$M94,0,1))</f>
        <v>0</v>
      </c>
      <c r="BP109" cm="1">
        <f t="array" ref="BP109">IF(OR(Z109={"NS","NA"},$N94={"NS","NA"}),0,IF(Z109&lt;=$N94,0,1))</f>
        <v>0</v>
      </c>
      <c r="BQ109" cm="1">
        <f t="array" ref="BQ109">IF(OR(AA109={"NS","NA"},$O94={"NS","NA"}),0,IF(AA109&lt;=$O94,0,1))</f>
        <v>0</v>
      </c>
      <c r="BR109" cm="1">
        <f t="array" ref="BR109">IF(OR(AB109={"NS","NA"},$M94={"NS","NA"}),0,IF(AB109&lt;=$M94,0,1))</f>
        <v>0</v>
      </c>
      <c r="BS109" cm="1">
        <f t="array" ref="BS109">IF(OR(AC109={"NS","NA"},$N94={"NS","NA"}),0,IF(AC109&lt;=$N94,0,1))</f>
        <v>0</v>
      </c>
      <c r="BT109" cm="1">
        <f t="array" ref="BT109">IF(OR(AD109={"NS","NA"},$O94={"NS","NA"}),0,IF(AD109&lt;=$O94,0,1))</f>
        <v>0</v>
      </c>
      <c r="BU109"/>
      <c r="BV109"/>
      <c r="BW109"/>
    </row>
    <row r="110" spans="1:75">
      <c r="A110" s="142"/>
      <c r="B110" s="57"/>
      <c r="C110" s="44" t="s">
        <v>2520</v>
      </c>
      <c r="D110" s="813" t="str">
        <f>IF(CNSIPEE_2024_M2_Secc1!D46="","",CNSIPEE_2024_M2_Secc1!D46)</f>
        <v/>
      </c>
      <c r="E110" s="814"/>
      <c r="F110" s="814"/>
      <c r="G110" s="814"/>
      <c r="H110" s="814"/>
      <c r="I110" s="814"/>
      <c r="J110" s="814"/>
      <c r="K110" s="814"/>
      <c r="L110" s="815"/>
      <c r="M110" s="100"/>
      <c r="N110" s="100"/>
      <c r="O110" s="100"/>
      <c r="P110" s="100"/>
      <c r="Q110" s="100"/>
      <c r="R110" s="100"/>
      <c r="S110" s="100"/>
      <c r="T110" s="100"/>
      <c r="U110" s="100"/>
      <c r="V110" s="100"/>
      <c r="W110" s="100"/>
      <c r="X110" s="100"/>
      <c r="Y110" s="100"/>
      <c r="Z110" s="100"/>
      <c r="AA110" s="100"/>
      <c r="AB110" s="100"/>
      <c r="AC110" s="100"/>
      <c r="AD110" s="100"/>
      <c r="AK110">
        <f t="shared" si="54"/>
        <v>0</v>
      </c>
      <c r="AL110">
        <f t="shared" si="55"/>
        <v>0</v>
      </c>
      <c r="AM110">
        <f t="shared" si="71"/>
        <v>0</v>
      </c>
      <c r="AN110">
        <f t="shared" si="56"/>
        <v>0</v>
      </c>
      <c r="AO110">
        <f t="shared" si="57"/>
        <v>0</v>
      </c>
      <c r="AP110">
        <f t="shared" si="58"/>
        <v>0</v>
      </c>
      <c r="AQ110">
        <f t="shared" si="59"/>
        <v>0</v>
      </c>
      <c r="AR110">
        <f t="shared" si="60"/>
        <v>0</v>
      </c>
      <c r="AS110">
        <f t="shared" si="61"/>
        <v>0</v>
      </c>
      <c r="AT110">
        <f t="shared" si="62"/>
        <v>0</v>
      </c>
      <c r="AU110">
        <f t="shared" si="63"/>
        <v>0</v>
      </c>
      <c r="AV110">
        <f t="shared" si="64"/>
        <v>0</v>
      </c>
      <c r="AW110">
        <f t="shared" si="65"/>
        <v>0</v>
      </c>
      <c r="AX110">
        <f t="shared" si="66"/>
        <v>0</v>
      </c>
      <c r="AY110">
        <f t="shared" si="67"/>
        <v>0</v>
      </c>
      <c r="AZ110">
        <f t="shared" si="68"/>
        <v>0</v>
      </c>
      <c r="BA110">
        <f t="shared" si="69"/>
        <v>0</v>
      </c>
      <c r="BB110">
        <f t="shared" si="70"/>
        <v>0</v>
      </c>
      <c r="BC110" cm="1">
        <f t="array" ref="BC110">IF(OR(M110={"NS","NA"},$M95={"NS","NA"}),0,IF(M110&lt;=$M95,0,1))</f>
        <v>0</v>
      </c>
      <c r="BD110" cm="1">
        <f t="array" ref="BD110">IF(OR(N110={"NS","NA"},$N95={"NS","NA"}),0,IF(N110&lt;=$N95,0,1))</f>
        <v>0</v>
      </c>
      <c r="BE110" cm="1">
        <f t="array" ref="BE110">IF(OR(O110={"NS","NA"},$O95={"NS","NA"}),0,IF(O110&lt;=$O95,0,1))</f>
        <v>0</v>
      </c>
      <c r="BF110" cm="1">
        <f t="array" ref="BF110">IF(OR(P110={"NS","NA"},$M95={"NS","NA"}),0,IF(P110&lt;=$M95,0,1))</f>
        <v>0</v>
      </c>
      <c r="BG110" cm="1">
        <f t="array" ref="BG110">IF(OR(Q110={"NS","NA"},$N95={"NS","NA"}),0,IF(Q110&lt;=$N95,0,1))</f>
        <v>0</v>
      </c>
      <c r="BH110" cm="1">
        <f t="array" ref="BH110">IF(OR(R110={"NS","NA"},$O95={"NS","NA"}),0,IF(R110&lt;=$O95,0,1))</f>
        <v>0</v>
      </c>
      <c r="BI110" cm="1">
        <f t="array" ref="BI110">IF(OR(S110={"NS","NA"},$M95={"NS","NA"}),0,IF(S110&lt;=$M95,0,1))</f>
        <v>0</v>
      </c>
      <c r="BJ110" cm="1">
        <f t="array" ref="BJ110">IF(OR(T110={"NS","NA"},$N95={"NS","NA"}),0,IF(T110&lt;=$N95,0,1))</f>
        <v>0</v>
      </c>
      <c r="BK110" cm="1">
        <f t="array" ref="BK110">IF(OR(U110={"NS","NA"},$O95={"NS","NA"}),0,IF(U110&lt;=$O95,0,1))</f>
        <v>0</v>
      </c>
      <c r="BL110" cm="1">
        <f t="array" ref="BL110">IF(OR(V110={"NS","NA"},$M95={"NS","NA"}),0,IF(V110&lt;=$M95,0,1))</f>
        <v>0</v>
      </c>
      <c r="BM110" cm="1">
        <f t="array" ref="BM110">IF(OR(W110={"NS","NA"},$N95={"NS","NA"}),0,IF(W110&lt;=$N95,0,1))</f>
        <v>0</v>
      </c>
      <c r="BN110" cm="1">
        <f t="array" ref="BN110">IF(OR(X110={"NS","NA"},$O95={"NS","NA"}),0,IF(X110&lt;=$O95,0,1))</f>
        <v>0</v>
      </c>
      <c r="BO110" cm="1">
        <f t="array" ref="BO110">IF(OR(Y110={"NS","NA"},$M95={"NS","NA"}),0,IF(Y110&lt;=$M95,0,1))</f>
        <v>0</v>
      </c>
      <c r="BP110" cm="1">
        <f t="array" ref="BP110">IF(OR(Z110={"NS","NA"},$N95={"NS","NA"}),0,IF(Z110&lt;=$N95,0,1))</f>
        <v>0</v>
      </c>
      <c r="BQ110" cm="1">
        <f t="array" ref="BQ110">IF(OR(AA110={"NS","NA"},$O95={"NS","NA"}),0,IF(AA110&lt;=$O95,0,1))</f>
        <v>0</v>
      </c>
      <c r="BR110" cm="1">
        <f t="array" ref="BR110">IF(OR(AB110={"NS","NA"},$M95={"NS","NA"}),0,IF(AB110&lt;=$M95,0,1))</f>
        <v>0</v>
      </c>
      <c r="BS110" cm="1">
        <f t="array" ref="BS110">IF(OR(AC110={"NS","NA"},$N95={"NS","NA"}),0,IF(AC110&lt;=$N95,0,1))</f>
        <v>0</v>
      </c>
      <c r="BT110" cm="1">
        <f t="array" ref="BT110">IF(OR(AD110={"NS","NA"},$O95={"NS","NA"}),0,IF(AD110&lt;=$O95,0,1))</f>
        <v>0</v>
      </c>
      <c r="BU110"/>
      <c r="BV110"/>
      <c r="BW110"/>
    </row>
    <row r="111" spans="1:75">
      <c r="A111" s="142"/>
      <c r="B111" s="57"/>
      <c r="C111" s="44" t="s">
        <v>2521</v>
      </c>
      <c r="D111" s="813" t="str">
        <f>IF(CNSIPEE_2024_M2_Secc1!D47="","",CNSIPEE_2024_M2_Secc1!D47)</f>
        <v/>
      </c>
      <c r="E111" s="814"/>
      <c r="F111" s="814"/>
      <c r="G111" s="814"/>
      <c r="H111" s="814"/>
      <c r="I111" s="814"/>
      <c r="J111" s="814"/>
      <c r="K111" s="814"/>
      <c r="L111" s="815"/>
      <c r="M111" s="100"/>
      <c r="N111" s="100"/>
      <c r="O111" s="100"/>
      <c r="P111" s="100"/>
      <c r="Q111" s="100"/>
      <c r="R111" s="100"/>
      <c r="S111" s="100"/>
      <c r="T111" s="100"/>
      <c r="U111" s="100"/>
      <c r="V111" s="100"/>
      <c r="W111" s="100"/>
      <c r="X111" s="100"/>
      <c r="Y111" s="100"/>
      <c r="Z111" s="100"/>
      <c r="AA111" s="100"/>
      <c r="AB111" s="100"/>
      <c r="AC111" s="100"/>
      <c r="AD111" s="100"/>
      <c r="AK111">
        <f t="shared" si="54"/>
        <v>0</v>
      </c>
      <c r="AL111">
        <f t="shared" si="55"/>
        <v>0</v>
      </c>
      <c r="AM111">
        <f t="shared" si="71"/>
        <v>0</v>
      </c>
      <c r="AN111">
        <f t="shared" si="56"/>
        <v>0</v>
      </c>
      <c r="AO111">
        <f t="shared" si="57"/>
        <v>0</v>
      </c>
      <c r="AP111">
        <f t="shared" si="58"/>
        <v>0</v>
      </c>
      <c r="AQ111">
        <f t="shared" si="59"/>
        <v>0</v>
      </c>
      <c r="AR111">
        <f t="shared" si="60"/>
        <v>0</v>
      </c>
      <c r="AS111">
        <f t="shared" si="61"/>
        <v>0</v>
      </c>
      <c r="AT111">
        <f t="shared" si="62"/>
        <v>0</v>
      </c>
      <c r="AU111">
        <f t="shared" si="63"/>
        <v>0</v>
      </c>
      <c r="AV111">
        <f t="shared" si="64"/>
        <v>0</v>
      </c>
      <c r="AW111">
        <f t="shared" si="65"/>
        <v>0</v>
      </c>
      <c r="AX111">
        <f t="shared" si="66"/>
        <v>0</v>
      </c>
      <c r="AY111">
        <f t="shared" si="67"/>
        <v>0</v>
      </c>
      <c r="AZ111">
        <f t="shared" si="68"/>
        <v>0</v>
      </c>
      <c r="BA111">
        <f t="shared" si="69"/>
        <v>0</v>
      </c>
      <c r="BB111">
        <f t="shared" si="70"/>
        <v>0</v>
      </c>
      <c r="BC111" cm="1">
        <f t="array" ref="BC111">IF(OR(M111={"NS","NA"},$M96={"NS","NA"}),0,IF(M111&lt;=$M96,0,1))</f>
        <v>0</v>
      </c>
      <c r="BD111" cm="1">
        <f t="array" ref="BD111">IF(OR(N111={"NS","NA"},$N96={"NS","NA"}),0,IF(N111&lt;=$N96,0,1))</f>
        <v>0</v>
      </c>
      <c r="BE111" cm="1">
        <f t="array" ref="BE111">IF(OR(O111={"NS","NA"},$O96={"NS","NA"}),0,IF(O111&lt;=$O96,0,1))</f>
        <v>0</v>
      </c>
      <c r="BF111" cm="1">
        <f t="array" ref="BF111">IF(OR(P111={"NS","NA"},$M96={"NS","NA"}),0,IF(P111&lt;=$M96,0,1))</f>
        <v>0</v>
      </c>
      <c r="BG111" cm="1">
        <f t="array" ref="BG111">IF(OR(Q111={"NS","NA"},$N96={"NS","NA"}),0,IF(Q111&lt;=$N96,0,1))</f>
        <v>0</v>
      </c>
      <c r="BH111" cm="1">
        <f t="array" ref="BH111">IF(OR(R111={"NS","NA"},$O96={"NS","NA"}),0,IF(R111&lt;=$O96,0,1))</f>
        <v>0</v>
      </c>
      <c r="BI111" cm="1">
        <f t="array" ref="BI111">IF(OR(S111={"NS","NA"},$M96={"NS","NA"}),0,IF(S111&lt;=$M96,0,1))</f>
        <v>0</v>
      </c>
      <c r="BJ111" cm="1">
        <f t="array" ref="BJ111">IF(OR(T111={"NS","NA"},$N96={"NS","NA"}),0,IF(T111&lt;=$N96,0,1))</f>
        <v>0</v>
      </c>
      <c r="BK111" cm="1">
        <f t="array" ref="BK111">IF(OR(U111={"NS","NA"},$O96={"NS","NA"}),0,IF(U111&lt;=$O96,0,1))</f>
        <v>0</v>
      </c>
      <c r="BL111" cm="1">
        <f t="array" ref="BL111">IF(OR(V111={"NS","NA"},$M96={"NS","NA"}),0,IF(V111&lt;=$M96,0,1))</f>
        <v>0</v>
      </c>
      <c r="BM111" cm="1">
        <f t="array" ref="BM111">IF(OR(W111={"NS","NA"},$N96={"NS","NA"}),0,IF(W111&lt;=$N96,0,1))</f>
        <v>0</v>
      </c>
      <c r="BN111" cm="1">
        <f t="array" ref="BN111">IF(OR(X111={"NS","NA"},$O96={"NS","NA"}),0,IF(X111&lt;=$O96,0,1))</f>
        <v>0</v>
      </c>
      <c r="BO111" cm="1">
        <f t="array" ref="BO111">IF(OR(Y111={"NS","NA"},$M96={"NS","NA"}),0,IF(Y111&lt;=$M96,0,1))</f>
        <v>0</v>
      </c>
      <c r="BP111" cm="1">
        <f t="array" ref="BP111">IF(OR(Z111={"NS","NA"},$N96={"NS","NA"}),0,IF(Z111&lt;=$N96,0,1))</f>
        <v>0</v>
      </c>
      <c r="BQ111" cm="1">
        <f t="array" ref="BQ111">IF(OR(AA111={"NS","NA"},$O96={"NS","NA"}),0,IF(AA111&lt;=$O96,0,1))</f>
        <v>0</v>
      </c>
      <c r="BR111" cm="1">
        <f t="array" ref="BR111">IF(OR(AB111={"NS","NA"},$M96={"NS","NA"}),0,IF(AB111&lt;=$M96,0,1))</f>
        <v>0</v>
      </c>
      <c r="BS111" cm="1">
        <f t="array" ref="BS111">IF(OR(AC111={"NS","NA"},$N96={"NS","NA"}),0,IF(AC111&lt;=$N96,0,1))</f>
        <v>0</v>
      </c>
      <c r="BT111" cm="1">
        <f t="array" ref="BT111">IF(OR(AD111={"NS","NA"},$O96={"NS","NA"}),0,IF(AD111&lt;=$O96,0,1))</f>
        <v>0</v>
      </c>
      <c r="BU111"/>
      <c r="BV111"/>
      <c r="BW111"/>
    </row>
    <row r="112" spans="1:75">
      <c r="A112" s="142"/>
      <c r="B112" s="57"/>
      <c r="C112" s="44" t="s">
        <v>2522</v>
      </c>
      <c r="D112" s="813" t="str">
        <f>IF(CNSIPEE_2024_M2_Secc1!D48="","",CNSIPEE_2024_M2_Secc1!D48)</f>
        <v/>
      </c>
      <c r="E112" s="814"/>
      <c r="F112" s="814"/>
      <c r="G112" s="814"/>
      <c r="H112" s="814"/>
      <c r="I112" s="814"/>
      <c r="J112" s="814"/>
      <c r="K112" s="814"/>
      <c r="L112" s="815"/>
      <c r="M112" s="100"/>
      <c r="N112" s="100"/>
      <c r="O112" s="100"/>
      <c r="P112" s="100"/>
      <c r="Q112" s="100"/>
      <c r="R112" s="100"/>
      <c r="S112" s="100"/>
      <c r="T112" s="100"/>
      <c r="U112" s="100"/>
      <c r="V112" s="100"/>
      <c r="W112" s="100"/>
      <c r="X112" s="100"/>
      <c r="Y112" s="100"/>
      <c r="Z112" s="100"/>
      <c r="AA112" s="100"/>
      <c r="AB112" s="100"/>
      <c r="AC112" s="100"/>
      <c r="AD112" s="100"/>
      <c r="AK112">
        <f t="shared" si="54"/>
        <v>0</v>
      </c>
      <c r="AL112">
        <f t="shared" si="55"/>
        <v>0</v>
      </c>
      <c r="AM112">
        <f t="shared" si="71"/>
        <v>0</v>
      </c>
      <c r="AN112">
        <f t="shared" si="56"/>
        <v>0</v>
      </c>
      <c r="AO112">
        <f t="shared" si="57"/>
        <v>0</v>
      </c>
      <c r="AP112">
        <f t="shared" si="58"/>
        <v>0</v>
      </c>
      <c r="AQ112">
        <f t="shared" si="59"/>
        <v>0</v>
      </c>
      <c r="AR112">
        <f t="shared" si="60"/>
        <v>0</v>
      </c>
      <c r="AS112">
        <f t="shared" si="61"/>
        <v>0</v>
      </c>
      <c r="AT112">
        <f t="shared" si="62"/>
        <v>0</v>
      </c>
      <c r="AU112">
        <f t="shared" si="63"/>
        <v>0</v>
      </c>
      <c r="AV112">
        <f t="shared" si="64"/>
        <v>0</v>
      </c>
      <c r="AW112">
        <f t="shared" si="65"/>
        <v>0</v>
      </c>
      <c r="AX112">
        <f t="shared" si="66"/>
        <v>0</v>
      </c>
      <c r="AY112">
        <f t="shared" si="67"/>
        <v>0</v>
      </c>
      <c r="AZ112">
        <f t="shared" si="68"/>
        <v>0</v>
      </c>
      <c r="BA112">
        <f t="shared" si="69"/>
        <v>0</v>
      </c>
      <c r="BB112">
        <f t="shared" si="70"/>
        <v>0</v>
      </c>
      <c r="BC112" cm="1">
        <f t="array" ref="BC112">IF(OR(M112={"NS","NA"},$M97={"NS","NA"}),0,IF(M112&lt;=$M97,0,1))</f>
        <v>0</v>
      </c>
      <c r="BD112" cm="1">
        <f t="array" ref="BD112">IF(OR(N112={"NS","NA"},$N97={"NS","NA"}),0,IF(N112&lt;=$N97,0,1))</f>
        <v>0</v>
      </c>
      <c r="BE112" cm="1">
        <f t="array" ref="BE112">IF(OR(O112={"NS","NA"},$O97={"NS","NA"}),0,IF(O112&lt;=$O97,0,1))</f>
        <v>0</v>
      </c>
      <c r="BF112" cm="1">
        <f t="array" ref="BF112">IF(OR(P112={"NS","NA"},$M97={"NS","NA"}),0,IF(P112&lt;=$M97,0,1))</f>
        <v>0</v>
      </c>
      <c r="BG112" cm="1">
        <f t="array" ref="BG112">IF(OR(Q112={"NS","NA"},$N97={"NS","NA"}),0,IF(Q112&lt;=$N97,0,1))</f>
        <v>0</v>
      </c>
      <c r="BH112" cm="1">
        <f t="array" ref="BH112">IF(OR(R112={"NS","NA"},$O97={"NS","NA"}),0,IF(R112&lt;=$O97,0,1))</f>
        <v>0</v>
      </c>
      <c r="BI112" cm="1">
        <f t="array" ref="BI112">IF(OR(S112={"NS","NA"},$M97={"NS","NA"}),0,IF(S112&lt;=$M97,0,1))</f>
        <v>0</v>
      </c>
      <c r="BJ112" cm="1">
        <f t="array" ref="BJ112">IF(OR(T112={"NS","NA"},$N97={"NS","NA"}),0,IF(T112&lt;=$N97,0,1))</f>
        <v>0</v>
      </c>
      <c r="BK112" cm="1">
        <f t="array" ref="BK112">IF(OR(U112={"NS","NA"},$O97={"NS","NA"}),0,IF(U112&lt;=$O97,0,1))</f>
        <v>0</v>
      </c>
      <c r="BL112" cm="1">
        <f t="array" ref="BL112">IF(OR(V112={"NS","NA"},$M97={"NS","NA"}),0,IF(V112&lt;=$M97,0,1))</f>
        <v>0</v>
      </c>
      <c r="BM112" cm="1">
        <f t="array" ref="BM112">IF(OR(W112={"NS","NA"},$N97={"NS","NA"}),0,IF(W112&lt;=$N97,0,1))</f>
        <v>0</v>
      </c>
      <c r="BN112" cm="1">
        <f t="array" ref="BN112">IF(OR(X112={"NS","NA"},$O97={"NS","NA"}),0,IF(X112&lt;=$O97,0,1))</f>
        <v>0</v>
      </c>
      <c r="BO112" cm="1">
        <f t="array" ref="BO112">IF(OR(Y112={"NS","NA"},$M97={"NS","NA"}),0,IF(Y112&lt;=$M97,0,1))</f>
        <v>0</v>
      </c>
      <c r="BP112" cm="1">
        <f t="array" ref="BP112">IF(OR(Z112={"NS","NA"},$N97={"NS","NA"}),0,IF(Z112&lt;=$N97,0,1))</f>
        <v>0</v>
      </c>
      <c r="BQ112" cm="1">
        <f t="array" ref="BQ112">IF(OR(AA112={"NS","NA"},$O97={"NS","NA"}),0,IF(AA112&lt;=$O97,0,1))</f>
        <v>0</v>
      </c>
      <c r="BR112" cm="1">
        <f t="array" ref="BR112">IF(OR(AB112={"NS","NA"},$M97={"NS","NA"}),0,IF(AB112&lt;=$M97,0,1))</f>
        <v>0</v>
      </c>
      <c r="BS112" cm="1">
        <f t="array" ref="BS112">IF(OR(AC112={"NS","NA"},$N97={"NS","NA"}),0,IF(AC112&lt;=$N97,0,1))</f>
        <v>0</v>
      </c>
      <c r="BT112" cm="1">
        <f t="array" ref="BT112">IF(OR(AD112={"NS","NA"},$O97={"NS","NA"}),0,IF(AD112&lt;=$O97,0,1))</f>
        <v>0</v>
      </c>
      <c r="BU112"/>
      <c r="BV112"/>
      <c r="BW112"/>
    </row>
    <row r="113" spans="1:75">
      <c r="A113" s="142"/>
      <c r="B113" s="57"/>
      <c r="C113" s="44" t="s">
        <v>2523</v>
      </c>
      <c r="D113" s="813" t="str">
        <f>IF(CNSIPEE_2024_M2_Secc1!D49="","",CNSIPEE_2024_M2_Secc1!D49)</f>
        <v/>
      </c>
      <c r="E113" s="814"/>
      <c r="F113" s="814"/>
      <c r="G113" s="814"/>
      <c r="H113" s="814"/>
      <c r="I113" s="814"/>
      <c r="J113" s="814"/>
      <c r="K113" s="814"/>
      <c r="L113" s="815"/>
      <c r="M113" s="100"/>
      <c r="N113" s="100"/>
      <c r="O113" s="100"/>
      <c r="P113" s="100"/>
      <c r="Q113" s="100"/>
      <c r="R113" s="100"/>
      <c r="S113" s="100"/>
      <c r="T113" s="100"/>
      <c r="U113" s="100"/>
      <c r="V113" s="100"/>
      <c r="W113" s="100"/>
      <c r="X113" s="100"/>
      <c r="Y113" s="100"/>
      <c r="Z113" s="100"/>
      <c r="AA113" s="100"/>
      <c r="AB113" s="100"/>
      <c r="AC113" s="100"/>
      <c r="AD113" s="100"/>
      <c r="AK113">
        <f t="shared" si="54"/>
        <v>0</v>
      </c>
      <c r="AL113">
        <f t="shared" si="55"/>
        <v>0</v>
      </c>
      <c r="AM113">
        <f t="shared" si="71"/>
        <v>0</v>
      </c>
      <c r="AN113">
        <f t="shared" si="56"/>
        <v>0</v>
      </c>
      <c r="AO113">
        <f t="shared" si="57"/>
        <v>0</v>
      </c>
      <c r="AP113">
        <f t="shared" si="58"/>
        <v>0</v>
      </c>
      <c r="AQ113">
        <f t="shared" si="59"/>
        <v>0</v>
      </c>
      <c r="AR113">
        <f t="shared" si="60"/>
        <v>0</v>
      </c>
      <c r="AS113">
        <f t="shared" si="61"/>
        <v>0</v>
      </c>
      <c r="AT113">
        <f t="shared" si="62"/>
        <v>0</v>
      </c>
      <c r="AU113">
        <f t="shared" si="63"/>
        <v>0</v>
      </c>
      <c r="AV113">
        <f t="shared" si="64"/>
        <v>0</v>
      </c>
      <c r="AW113">
        <f t="shared" si="65"/>
        <v>0</v>
      </c>
      <c r="AX113">
        <f t="shared" si="66"/>
        <v>0</v>
      </c>
      <c r="AY113">
        <f t="shared" si="67"/>
        <v>0</v>
      </c>
      <c r="AZ113">
        <f t="shared" si="68"/>
        <v>0</v>
      </c>
      <c r="BA113">
        <f t="shared" si="69"/>
        <v>0</v>
      </c>
      <c r="BB113">
        <f t="shared" si="70"/>
        <v>0</v>
      </c>
      <c r="BC113" cm="1">
        <f t="array" ref="BC113">IF(OR(M113={"NS","NA"},$M98={"NS","NA"}),0,IF(M113&lt;=$M98,0,1))</f>
        <v>0</v>
      </c>
      <c r="BD113" cm="1">
        <f t="array" ref="BD113">IF(OR(N113={"NS","NA"},$N98={"NS","NA"}),0,IF(N113&lt;=$N98,0,1))</f>
        <v>0</v>
      </c>
      <c r="BE113" cm="1">
        <f t="array" ref="BE113">IF(OR(O113={"NS","NA"},$O98={"NS","NA"}),0,IF(O113&lt;=$O98,0,1))</f>
        <v>0</v>
      </c>
      <c r="BF113" cm="1">
        <f t="array" ref="BF113">IF(OR(P113={"NS","NA"},$M98={"NS","NA"}),0,IF(P113&lt;=$M98,0,1))</f>
        <v>0</v>
      </c>
      <c r="BG113" cm="1">
        <f t="array" ref="BG113">IF(OR(Q113={"NS","NA"},$N98={"NS","NA"}),0,IF(Q113&lt;=$N98,0,1))</f>
        <v>0</v>
      </c>
      <c r="BH113" cm="1">
        <f t="array" ref="BH113">IF(OR(R113={"NS","NA"},$O98={"NS","NA"}),0,IF(R113&lt;=$O98,0,1))</f>
        <v>0</v>
      </c>
      <c r="BI113" cm="1">
        <f t="array" ref="BI113">IF(OR(S113={"NS","NA"},$M98={"NS","NA"}),0,IF(S113&lt;=$M98,0,1))</f>
        <v>0</v>
      </c>
      <c r="BJ113" cm="1">
        <f t="array" ref="BJ113">IF(OR(T113={"NS","NA"},$N98={"NS","NA"}),0,IF(T113&lt;=$N98,0,1))</f>
        <v>0</v>
      </c>
      <c r="BK113" cm="1">
        <f t="array" ref="BK113">IF(OR(U113={"NS","NA"},$O98={"NS","NA"}),0,IF(U113&lt;=$O98,0,1))</f>
        <v>0</v>
      </c>
      <c r="BL113" cm="1">
        <f t="array" ref="BL113">IF(OR(V113={"NS","NA"},$M98={"NS","NA"}),0,IF(V113&lt;=$M98,0,1))</f>
        <v>0</v>
      </c>
      <c r="BM113" cm="1">
        <f t="array" ref="BM113">IF(OR(W113={"NS","NA"},$N98={"NS","NA"}),0,IF(W113&lt;=$N98,0,1))</f>
        <v>0</v>
      </c>
      <c r="BN113" cm="1">
        <f t="array" ref="BN113">IF(OR(X113={"NS","NA"},$O98={"NS","NA"}),0,IF(X113&lt;=$O98,0,1))</f>
        <v>0</v>
      </c>
      <c r="BO113" cm="1">
        <f t="array" ref="BO113">IF(OR(Y113={"NS","NA"},$M98={"NS","NA"}),0,IF(Y113&lt;=$M98,0,1))</f>
        <v>0</v>
      </c>
      <c r="BP113" cm="1">
        <f t="array" ref="BP113">IF(OR(Z113={"NS","NA"},$N98={"NS","NA"}),0,IF(Z113&lt;=$N98,0,1))</f>
        <v>0</v>
      </c>
      <c r="BQ113" cm="1">
        <f t="array" ref="BQ113">IF(OR(AA113={"NS","NA"},$O98={"NS","NA"}),0,IF(AA113&lt;=$O98,0,1))</f>
        <v>0</v>
      </c>
      <c r="BR113" cm="1">
        <f t="array" ref="BR113">IF(OR(AB113={"NS","NA"},$M98={"NS","NA"}),0,IF(AB113&lt;=$M98,0,1))</f>
        <v>0</v>
      </c>
      <c r="BS113" cm="1">
        <f t="array" ref="BS113">IF(OR(AC113={"NS","NA"},$N98={"NS","NA"}),0,IF(AC113&lt;=$N98,0,1))</f>
        <v>0</v>
      </c>
      <c r="BT113" cm="1">
        <f t="array" ref="BT113">IF(OR(AD113={"NS","NA"},$O98={"NS","NA"}),0,IF(AD113&lt;=$O98,0,1))</f>
        <v>0</v>
      </c>
      <c r="BU113"/>
      <c r="BV113"/>
      <c r="BW113"/>
    </row>
    <row r="114" spans="1:75">
      <c r="A114" s="50"/>
      <c r="B114" s="38"/>
      <c r="C114" s="38"/>
      <c r="D114" s="84"/>
      <c r="E114" s="84"/>
      <c r="F114" s="84"/>
      <c r="M114" s="124">
        <f t="shared" ref="M114:AD114" si="72">IF(AND(SUM(M106:M113)=0,COUNTIF(M106:M113,"NS")&gt;0),"NS",IF(AND(SUM(M106:M113)=0,COUNTIF(M106:M113,0)&gt;0),0,IF(AND(SUM(M106:M113)=0,COUNTIF(M106:M113,"NA")&gt;0),"NA",SUM(M106:M113))))</f>
        <v>0</v>
      </c>
      <c r="N114" s="124">
        <f t="shared" si="72"/>
        <v>0</v>
      </c>
      <c r="O114" s="124">
        <f t="shared" si="72"/>
        <v>0</v>
      </c>
      <c r="P114" s="124">
        <f t="shared" si="72"/>
        <v>0</v>
      </c>
      <c r="Q114" s="124">
        <f t="shared" si="72"/>
        <v>0</v>
      </c>
      <c r="R114" s="124">
        <f t="shared" si="72"/>
        <v>0</v>
      </c>
      <c r="S114" s="124">
        <f t="shared" si="72"/>
        <v>0</v>
      </c>
      <c r="T114" s="124">
        <f t="shared" si="72"/>
        <v>0</v>
      </c>
      <c r="U114" s="124">
        <f t="shared" si="72"/>
        <v>0</v>
      </c>
      <c r="V114" s="124">
        <f t="shared" si="72"/>
        <v>0</v>
      </c>
      <c r="W114" s="124">
        <f t="shared" si="72"/>
        <v>0</v>
      </c>
      <c r="X114" s="124">
        <f t="shared" si="72"/>
        <v>0</v>
      </c>
      <c r="Y114" s="124">
        <f t="shared" si="72"/>
        <v>0</v>
      </c>
      <c r="Z114" s="124">
        <f t="shared" si="72"/>
        <v>0</v>
      </c>
      <c r="AA114" s="124">
        <f t="shared" si="72"/>
        <v>0</v>
      </c>
      <c r="AB114" s="124">
        <f t="shared" si="72"/>
        <v>0</v>
      </c>
      <c r="AC114" s="124">
        <f t="shared" si="72"/>
        <v>0</v>
      </c>
      <c r="AD114" s="124">
        <f t="shared" si="72"/>
        <v>0</v>
      </c>
      <c r="AK114">
        <f>SUM(AK106:AK113)</f>
        <v>0</v>
      </c>
      <c r="AM114">
        <f>SUM(AM106:AM113)</f>
        <v>0</v>
      </c>
      <c r="AN114">
        <f>SUM(AN106:AN113)</f>
        <v>0</v>
      </c>
      <c r="AP114">
        <f>SUM(AP106:AP113)</f>
        <v>0</v>
      </c>
      <c r="AQ114">
        <f>SUM(AQ106:AQ113)</f>
        <v>0</v>
      </c>
      <c r="AS114">
        <f>SUM(AS106:AS113)</f>
        <v>0</v>
      </c>
      <c r="AT114">
        <f>SUM(AT106:AT113)</f>
        <v>0</v>
      </c>
      <c r="AV114">
        <f>SUM(AV106:AV113)</f>
        <v>0</v>
      </c>
      <c r="AW114">
        <f>SUM(AW106:AW113)</f>
        <v>0</v>
      </c>
      <c r="AY114">
        <f>SUM(AY106:AY113)</f>
        <v>0</v>
      </c>
      <c r="AZ114">
        <f>SUM(AZ106:AZ113)</f>
        <v>0</v>
      </c>
      <c r="BB114">
        <f>SUM(BB106:BB113)</f>
        <v>0</v>
      </c>
      <c r="BU114"/>
      <c r="BV114"/>
      <c r="BW114"/>
    </row>
    <row r="115" spans="1:75">
      <c r="A115" s="169"/>
      <c r="B115" s="90"/>
      <c r="C115" s="90"/>
      <c r="D115" s="90"/>
      <c r="E115" s="90"/>
      <c r="F115" s="90"/>
      <c r="G115" s="90"/>
      <c r="H115" s="90"/>
      <c r="I115" s="90"/>
      <c r="J115" s="90"/>
      <c r="K115" s="90"/>
      <c r="L115" s="90"/>
      <c r="M115" s="90"/>
      <c r="N115" s="90"/>
      <c r="O115" s="90"/>
      <c r="P115" s="90"/>
      <c r="Q115" s="90"/>
      <c r="R115" s="90"/>
      <c r="S115" s="90"/>
      <c r="T115" s="90"/>
      <c r="U115" s="90"/>
      <c r="V115" s="90"/>
      <c r="W115" s="90"/>
      <c r="X115" s="90"/>
      <c r="Y115" s="90"/>
      <c r="Z115" s="90"/>
      <c r="AA115" s="90"/>
      <c r="AB115" s="90"/>
      <c r="AC115" s="90"/>
      <c r="AD115" s="90"/>
      <c r="AK115" t="s">
        <v>2650</v>
      </c>
      <c r="AL115" s="590">
        <f>SUM(AM114,AP114,AS114,AV114,AY114,BB114)</f>
        <v>0</v>
      </c>
      <c r="AM115" t="s">
        <v>2651</v>
      </c>
      <c r="AN115" s="590">
        <f>SUM(AK114,AN114,AQ114,AT114,AW114,AZ114)</f>
        <v>0</v>
      </c>
      <c r="BU115"/>
      <c r="BV115"/>
      <c r="BW115"/>
    </row>
    <row r="116" spans="1:75">
      <c r="A116" s="169"/>
      <c r="B116" s="90"/>
      <c r="C116" s="90"/>
      <c r="D116" s="90"/>
      <c r="E116" s="90"/>
      <c r="F116" s="90"/>
      <c r="G116" s="90"/>
      <c r="H116" s="90"/>
      <c r="I116" s="90"/>
      <c r="J116" s="90"/>
      <c r="K116" s="90"/>
      <c r="L116" s="90"/>
      <c r="M116" s="90"/>
      <c r="N116" s="90"/>
      <c r="O116" s="90"/>
      <c r="P116" s="90"/>
      <c r="Q116" s="90"/>
      <c r="R116" s="90"/>
      <c r="S116" s="90"/>
      <c r="T116" s="90"/>
      <c r="U116" s="90"/>
      <c r="V116" s="90"/>
      <c r="W116" s="90"/>
      <c r="X116" s="90"/>
      <c r="Y116" s="90"/>
      <c r="Z116" s="90"/>
      <c r="AA116" s="873" t="s">
        <v>3240</v>
      </c>
      <c r="AB116" s="873"/>
      <c r="AC116" s="873"/>
      <c r="AD116" s="873"/>
      <c r="AK116" t="s">
        <v>2652</v>
      </c>
      <c r="AL116">
        <f>IF(AN115&gt;0,IF(SUM(M114)&gt;=SUM(P114,S114,V114,Y114,AB114),0,1),IF(SUM(M114)&lt;&gt;SUM(P114,S114,V114,Y114,AB114),1,0))</f>
        <v>0</v>
      </c>
      <c r="AM116" t="s">
        <v>2653</v>
      </c>
      <c r="AN116">
        <f>IF(AN115&gt;0,IF(SUM(N114)&gt;=SUM(Q114,T114,W114,Z114,AC114),0,1),IF(SUM(N114)&lt;&gt;SUM(Q114,T114,W114,Z114,AC114),1,0))</f>
        <v>0</v>
      </c>
      <c r="AO116" t="s">
        <v>2654</v>
      </c>
      <c r="AP116">
        <f>IF(AN115&gt;0,IF(SUM(O114)&gt;=SUM(R114,U114,X114,AA114,AD114),0,1),IF(SUM(O114)&lt;&gt;SUM(R114,U114,X114,AA114,AD114),1,0))</f>
        <v>0</v>
      </c>
      <c r="BU116"/>
      <c r="BV116"/>
      <c r="BW116"/>
    </row>
    <row r="117" spans="1:75" ht="24" customHeight="1">
      <c r="A117" s="50"/>
      <c r="B117" s="57"/>
      <c r="C117" s="732" t="s">
        <v>2581</v>
      </c>
      <c r="D117" s="732"/>
      <c r="E117" s="732"/>
      <c r="F117" s="732"/>
      <c r="G117" s="732"/>
      <c r="H117" s="732"/>
      <c r="I117" s="732"/>
      <c r="J117" s="732"/>
      <c r="K117" s="732"/>
      <c r="L117" s="732"/>
      <c r="M117" s="739" t="s">
        <v>5799</v>
      </c>
      <c r="N117" s="740"/>
      <c r="O117" s="740"/>
      <c r="P117" s="740"/>
      <c r="Q117" s="740"/>
      <c r="R117" s="740"/>
      <c r="S117" s="740"/>
      <c r="T117" s="740"/>
      <c r="U117" s="740"/>
      <c r="V117" s="740"/>
      <c r="W117" s="740"/>
      <c r="X117" s="740"/>
      <c r="Y117" s="740"/>
      <c r="Z117" s="740"/>
      <c r="AA117" s="740"/>
      <c r="AB117" s="740"/>
      <c r="AC117" s="740"/>
      <c r="AD117" s="741"/>
      <c r="BU117"/>
      <c r="BV117"/>
      <c r="BW117"/>
    </row>
    <row r="118" spans="1:75" ht="15" customHeight="1">
      <c r="A118" s="50"/>
      <c r="B118" s="57"/>
      <c r="C118" s="732"/>
      <c r="D118" s="732"/>
      <c r="E118" s="732"/>
      <c r="F118" s="732"/>
      <c r="G118" s="732"/>
      <c r="H118" s="732"/>
      <c r="I118" s="732"/>
      <c r="J118" s="732"/>
      <c r="K118" s="732"/>
      <c r="L118" s="732"/>
      <c r="M118" s="733" t="s">
        <v>5800</v>
      </c>
      <c r="N118" s="734"/>
      <c r="O118" s="734"/>
      <c r="P118" s="734"/>
      <c r="Q118" s="734"/>
      <c r="R118" s="734"/>
      <c r="S118" s="734"/>
      <c r="T118" s="734"/>
      <c r="U118" s="734"/>
      <c r="V118" s="734"/>
      <c r="W118" s="734"/>
      <c r="X118" s="734"/>
      <c r="Y118" s="734"/>
      <c r="Z118" s="734"/>
      <c r="AA118" s="734"/>
      <c r="AB118" s="734"/>
      <c r="AC118" s="734"/>
      <c r="AD118" s="735"/>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row>
    <row r="119" spans="1:75" ht="120" customHeight="1">
      <c r="A119" s="50"/>
      <c r="B119" s="57"/>
      <c r="C119" s="732"/>
      <c r="D119" s="732"/>
      <c r="E119" s="732"/>
      <c r="F119" s="732"/>
      <c r="G119" s="732"/>
      <c r="H119" s="732"/>
      <c r="I119" s="732"/>
      <c r="J119" s="732"/>
      <c r="K119" s="732"/>
      <c r="L119" s="732"/>
      <c r="M119" s="845" t="s">
        <v>5813</v>
      </c>
      <c r="N119" s="952"/>
      <c r="O119" s="846"/>
      <c r="P119" s="845" t="s">
        <v>5814</v>
      </c>
      <c r="Q119" s="952"/>
      <c r="R119" s="846"/>
      <c r="S119" s="845" t="s">
        <v>5815</v>
      </c>
      <c r="T119" s="952"/>
      <c r="U119" s="846"/>
      <c r="V119" s="845" t="s">
        <v>5816</v>
      </c>
      <c r="W119" s="952"/>
      <c r="X119" s="846"/>
      <c r="Y119" s="845" t="s">
        <v>5817</v>
      </c>
      <c r="Z119" s="952"/>
      <c r="AA119" s="846"/>
      <c r="AB119" s="845" t="s">
        <v>2990</v>
      </c>
      <c r="AC119" s="952"/>
      <c r="AD119" s="846"/>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row>
    <row r="120" spans="1:75" ht="48" customHeight="1">
      <c r="A120" s="50"/>
      <c r="B120" s="57"/>
      <c r="C120" s="732"/>
      <c r="D120" s="732"/>
      <c r="E120" s="732"/>
      <c r="F120" s="732"/>
      <c r="G120" s="732"/>
      <c r="H120" s="732"/>
      <c r="I120" s="732"/>
      <c r="J120" s="732"/>
      <c r="K120" s="732"/>
      <c r="L120" s="732"/>
      <c r="M120" s="127" t="s">
        <v>2635</v>
      </c>
      <c r="N120" s="128" t="s">
        <v>2629</v>
      </c>
      <c r="O120" s="128" t="s">
        <v>2630</v>
      </c>
      <c r="P120" s="127" t="s">
        <v>2635</v>
      </c>
      <c r="Q120" s="128" t="s">
        <v>2629</v>
      </c>
      <c r="R120" s="128" t="s">
        <v>2630</v>
      </c>
      <c r="S120" s="127" t="s">
        <v>2635</v>
      </c>
      <c r="T120" s="128" t="s">
        <v>2629</v>
      </c>
      <c r="U120" s="128" t="s">
        <v>2630</v>
      </c>
      <c r="V120" s="127" t="s">
        <v>2635</v>
      </c>
      <c r="W120" s="128" t="s">
        <v>2629</v>
      </c>
      <c r="X120" s="128" t="s">
        <v>2630</v>
      </c>
      <c r="Y120" s="127" t="s">
        <v>2635</v>
      </c>
      <c r="Z120" s="128" t="s">
        <v>2629</v>
      </c>
      <c r="AA120" s="128" t="s">
        <v>2630</v>
      </c>
      <c r="AB120" s="127" t="s">
        <v>2635</v>
      </c>
      <c r="AC120" s="128" t="s">
        <v>2629</v>
      </c>
      <c r="AD120" s="128" t="s">
        <v>2630</v>
      </c>
      <c r="AK120" t="s">
        <v>4573</v>
      </c>
      <c r="AL120" t="s">
        <v>2638</v>
      </c>
      <c r="AM120" t="s">
        <v>2639</v>
      </c>
      <c r="AN120" t="s">
        <v>4574</v>
      </c>
      <c r="AO120" t="s">
        <v>2641</v>
      </c>
      <c r="AP120" t="s">
        <v>2642</v>
      </c>
      <c r="AQ120" t="s">
        <v>4575</v>
      </c>
      <c r="AR120" t="s">
        <v>2644</v>
      </c>
      <c r="AS120" t="s">
        <v>2645</v>
      </c>
      <c r="AT120" t="s">
        <v>4576</v>
      </c>
      <c r="AU120" t="s">
        <v>2647</v>
      </c>
      <c r="AV120" t="s">
        <v>2648</v>
      </c>
      <c r="AW120" t="s">
        <v>5177</v>
      </c>
      <c r="AX120" t="s">
        <v>2757</v>
      </c>
      <c r="AY120" t="s">
        <v>2758</v>
      </c>
      <c r="AZ120" t="s">
        <v>5194</v>
      </c>
      <c r="BA120" t="s">
        <v>2760</v>
      </c>
      <c r="BB120" t="s">
        <v>2761</v>
      </c>
      <c r="BC120" t="s">
        <v>5290</v>
      </c>
      <c r="BD120"/>
      <c r="BE120"/>
      <c r="BF120"/>
      <c r="BG120"/>
      <c r="BH120"/>
      <c r="BI120"/>
      <c r="BJ120"/>
      <c r="BK120"/>
      <c r="BL120"/>
      <c r="BM120"/>
      <c r="BN120"/>
      <c r="BO120"/>
      <c r="BP120"/>
      <c r="BQ120"/>
      <c r="BR120"/>
      <c r="BS120"/>
      <c r="BT120"/>
      <c r="BU120"/>
      <c r="BV120"/>
      <c r="BW120"/>
    </row>
    <row r="121" spans="1:75">
      <c r="A121" s="142"/>
      <c r="B121" s="57"/>
      <c r="C121" s="44" t="s">
        <v>2516</v>
      </c>
      <c r="D121" s="813" t="str">
        <f>IF(CNSIPEE_2024_M2_Secc1!D42="","",CNSIPEE_2024_M2_Secc1!D42)</f>
        <v/>
      </c>
      <c r="E121" s="814"/>
      <c r="F121" s="814"/>
      <c r="G121" s="814"/>
      <c r="H121" s="814"/>
      <c r="I121" s="814"/>
      <c r="J121" s="814"/>
      <c r="K121" s="814"/>
      <c r="L121" s="815"/>
      <c r="M121" s="100"/>
      <c r="N121" s="100"/>
      <c r="O121" s="100"/>
      <c r="P121" s="100"/>
      <c r="Q121" s="100"/>
      <c r="R121" s="100"/>
      <c r="S121" s="100"/>
      <c r="T121" s="100"/>
      <c r="U121" s="100"/>
      <c r="V121" s="100"/>
      <c r="W121" s="100"/>
      <c r="X121" s="100"/>
      <c r="Y121" s="100"/>
      <c r="Z121" s="100"/>
      <c r="AA121" s="100"/>
      <c r="AB121" s="100"/>
      <c r="AC121" s="100"/>
      <c r="AD121" s="100"/>
      <c r="AK121">
        <f t="shared" ref="AK121:AK128" si="73">COUNTIF(N121:O121,"NS")</f>
        <v>0</v>
      </c>
      <c r="AL121">
        <f t="shared" ref="AL121:AL128" si="74">SUM(N121:O121)</f>
        <v>0</v>
      </c>
      <c r="AM121">
        <f>IF(COUNTIF(M121:O121,"NA")=3,0,IF(COUNTA(M121:O121)=0,0,IF(OR(AND(M121=0,AK121&gt;0),AND(M121="ns",AL121&gt;0),AND(M121="ns",AK121=0,AL121=0)),1,IF(OR(AND(M121&gt;0,AK121=2),AND(M121="ns",AK121=2),AND(M121="ns",AL121=0,AK121&gt;0),M121=AL121),0,1))))</f>
        <v>0</v>
      </c>
      <c r="AN121">
        <f t="shared" ref="AN121:AN128" si="75">COUNTIF(Q121:R121,"NS")</f>
        <v>0</v>
      </c>
      <c r="AO121">
        <f t="shared" ref="AO121:AO128" si="76">SUM(Q121:R121)</f>
        <v>0</v>
      </c>
      <c r="AP121">
        <f t="shared" ref="AP121:AP128" si="77">IF(COUNTIF(P121:R121,"NA")=3,0,IF(COUNTA(P121:R121)=0,0,IF(OR(AND(P121=0,AN121&gt;0),AND(P121="ns",AO121&gt;0),AND(P121="ns",AN121=0,AO121=0)),1,IF(OR(AND(P121&gt;0,AN121=2),AND(P121="ns",AN121=2),AND(P121="ns",AO121=0,AN121&gt;0),P121=AO121),0,1))))</f>
        <v>0</v>
      </c>
      <c r="AQ121">
        <f t="shared" ref="AQ121:AQ128" si="78">COUNTIF(T121:U121,"NS")</f>
        <v>0</v>
      </c>
      <c r="AR121">
        <f t="shared" ref="AR121:AR128" si="79">SUM(T121:U121)</f>
        <v>0</v>
      </c>
      <c r="AS121">
        <f t="shared" ref="AS121:AS128" si="80">IF(COUNTIF(S121:U121,"NA")=3,0,IF(COUNTA(S121:U121)=0,0,IF(OR(AND(S121=0,AQ121&gt;0),AND(S121="ns",AR121&gt;0),AND(S121="ns",AQ121=0,AR121=0)),1,IF(OR(AND(S121&gt;0,AQ121=2),AND(S121="ns",AQ121=2),AND(S121="ns",AR121=0,AQ121&gt;0),S121=AR121),0,1))))</f>
        <v>0</v>
      </c>
      <c r="AT121">
        <f t="shared" ref="AT121:AT128" si="81">COUNTIF(W121:X121,"NS")</f>
        <v>0</v>
      </c>
      <c r="AU121">
        <f t="shared" ref="AU121:AU128" si="82">SUM(W121:X121)</f>
        <v>0</v>
      </c>
      <c r="AV121">
        <f t="shared" ref="AV121:AV128" si="83">IF(COUNTIF(V121:X121,"NA")=3,0,IF(COUNTA(V121:X121)=0,0,IF(OR(AND(V121=0,AT121&gt;0),AND(V121="ns",AU121&gt;0),AND(V121="ns",AT121=0,AU121=0)),1,IF(OR(AND(V121&gt;0,AT121=2),AND(V121="ns",AT121=2),AND(V121="ns",AU121=0,AT121&gt;0),V121=AU121),0,1))))</f>
        <v>0</v>
      </c>
      <c r="AW121">
        <f t="shared" ref="AW121:AW128" si="84">COUNTIF(Z121:AA121,"NS")</f>
        <v>0</v>
      </c>
      <c r="AX121">
        <f t="shared" ref="AX121:AX128" si="85">SUM(Z121:AA121)</f>
        <v>0</v>
      </c>
      <c r="AY121">
        <f t="shared" ref="AY121:AY128" si="86">IF(COUNTIF(Y121:AA121,"NA")=3,0,IF(COUNTA(Y121:AA121)=0,0,IF(OR(AND(Y121=0,AW121&gt;0),AND(Y121="ns",AX121&gt;0),AND(Y121="ns",AW121=0,AX121=0)),1,IF(OR(AND(Y121&gt;0,AW121=2),AND(Y121="ns",AW121=2),AND(Y121="ns",AX121=0,AW121&gt;0),Y121=AX121),0,1))))</f>
        <v>0</v>
      </c>
      <c r="AZ121">
        <f t="shared" ref="AZ121:AZ128" si="87">COUNTIF(AC121:AD121,"NS")</f>
        <v>0</v>
      </c>
      <c r="BA121">
        <f t="shared" ref="BA121:BA128" si="88">SUM(AC121:AD121)</f>
        <v>0</v>
      </c>
      <c r="BB121">
        <f t="shared" ref="BB121:BB128" si="89">IF(COUNTIF(AB121:AD121,"NA")=3,0,IF(COUNTA(AB121:AD121)=0,0,IF(OR(AND(AB121=0,AZ121&gt;0),AND(AB121="ns",BA121&gt;0),AND(AB121="ns",AZ121=0,BA121=0)),1,IF(OR(AND(AB121&gt;0,AZ121=2),AND(AB121="ns",AZ121=2),AND(AB121="ns",BA121=0,AZ121&gt;0),AB121=BA121),0,1))))</f>
        <v>0</v>
      </c>
      <c r="BC121" cm="1">
        <f t="array" ref="BC121">IF(OR(M121={"NS","NA"},$M91={"NS","NA"}),0,IF(M121&lt;=$M91,0,1))</f>
        <v>0</v>
      </c>
      <c r="BD121" cm="1">
        <f t="array" ref="BD121">IF(OR(N121={"NS","NA"},$N91={"NS","NA"}),0,IF(N121&lt;=$N91,0,1))</f>
        <v>0</v>
      </c>
      <c r="BE121" cm="1">
        <f t="array" ref="BE121">IF(OR(O121={"NS","NA"},$O91={"NS","NA"}),0,IF(O121&lt;=$O91,0,1))</f>
        <v>0</v>
      </c>
      <c r="BF121" cm="1">
        <f t="array" ref="BF121">IF(OR(P121={"NS","NA"},$M91={"NS","NA"}),0,IF(P121&lt;=$M91,0,1))</f>
        <v>0</v>
      </c>
      <c r="BG121" cm="1">
        <f t="array" ref="BG121">IF(OR(Q121={"NS","NA"},$N91={"NS","NA"}),0,IF(Q121&lt;=$N91,0,1))</f>
        <v>0</v>
      </c>
      <c r="BH121" cm="1">
        <f t="array" ref="BH121">IF(OR(R121={"NS","NA"},$O91={"NS","NA"}),0,IF(R121&lt;=$O91,0,1))</f>
        <v>0</v>
      </c>
      <c r="BI121" cm="1">
        <f t="array" ref="BI121">IF(OR(S121={"NS","NA"},$M91={"NS","NA"}),0,IF(S121&lt;=$M91,0,1))</f>
        <v>0</v>
      </c>
      <c r="BJ121" cm="1">
        <f t="array" ref="BJ121">IF(OR(T121={"NS","NA"},$N91={"NS","NA"}),0,IF(T121&lt;=$N91,0,1))</f>
        <v>0</v>
      </c>
      <c r="BK121" cm="1">
        <f t="array" ref="BK121">IF(OR(U121={"NS","NA"},$O91={"NS","NA"}),0,IF(U121&lt;=$O91,0,1))</f>
        <v>0</v>
      </c>
      <c r="BL121" cm="1">
        <f t="array" ref="BL121">IF(OR(V121={"NS","NA"},$M91={"NS","NA"}),0,IF(V121&lt;=$M91,0,1))</f>
        <v>0</v>
      </c>
      <c r="BM121" cm="1">
        <f t="array" ref="BM121">IF(OR(W121={"NS","NA"},$N91={"NS","NA"}),0,IF(W121&lt;=$N91,0,1))</f>
        <v>0</v>
      </c>
      <c r="BN121" cm="1">
        <f t="array" ref="BN121">IF(OR(X121={"NS","NA"},$O91={"NS","NA"}),0,IF(X121&lt;=$O91,0,1))</f>
        <v>0</v>
      </c>
      <c r="BO121" cm="1">
        <f t="array" ref="BO121">IF(OR(Y121={"NS","NA"},$M91={"NS","NA"}),0,IF(Y121&lt;=$M91,0,1))</f>
        <v>0</v>
      </c>
      <c r="BP121" cm="1">
        <f t="array" ref="BP121">IF(OR(Z121={"NS","NA"},$N91={"NS","NA"}),0,IF(Z121&lt;=$N91,0,1))</f>
        <v>0</v>
      </c>
      <c r="BQ121" cm="1">
        <f t="array" ref="BQ121">IF(OR(AA121={"NS","NA"},$O91={"NS","NA"}),0,IF(AA121&lt;=$O91,0,1))</f>
        <v>0</v>
      </c>
      <c r="BR121" cm="1">
        <f t="array" ref="BR121">IF(OR(AB121={"NS","NA"},$M91={"NS","NA"}),0,IF(AB121&lt;=$M91,0,1))</f>
        <v>0</v>
      </c>
      <c r="BS121" cm="1">
        <f t="array" ref="BS121">IF(OR(AC121={"NS","NA"},$N91={"NS","NA"}),0,IF(AC121&lt;=$N91,0,1))</f>
        <v>0</v>
      </c>
      <c r="BT121" cm="1">
        <f t="array" ref="BT121">IF(OR(AD121={"NS","NA"},$O91={"NS","NA"}),0,IF(AD121&lt;=$O91,0,1))</f>
        <v>0</v>
      </c>
      <c r="BU121"/>
      <c r="BV121"/>
      <c r="BW121"/>
    </row>
    <row r="122" spans="1:75">
      <c r="A122" s="142"/>
      <c r="B122" s="57"/>
      <c r="C122" s="44" t="s">
        <v>2517</v>
      </c>
      <c r="D122" s="813" t="str">
        <f>IF(CNSIPEE_2024_M2_Secc1!D43="","",CNSIPEE_2024_M2_Secc1!D43)</f>
        <v/>
      </c>
      <c r="E122" s="814"/>
      <c r="F122" s="814"/>
      <c r="G122" s="814"/>
      <c r="H122" s="814"/>
      <c r="I122" s="814"/>
      <c r="J122" s="814"/>
      <c r="K122" s="814"/>
      <c r="L122" s="815"/>
      <c r="M122" s="100"/>
      <c r="N122" s="100"/>
      <c r="O122" s="100"/>
      <c r="P122" s="100"/>
      <c r="Q122" s="100"/>
      <c r="R122" s="100"/>
      <c r="S122" s="100"/>
      <c r="T122" s="100"/>
      <c r="U122" s="100"/>
      <c r="V122" s="100"/>
      <c r="W122" s="100"/>
      <c r="X122" s="100"/>
      <c r="Y122" s="100"/>
      <c r="Z122" s="100"/>
      <c r="AA122" s="100"/>
      <c r="AB122" s="100"/>
      <c r="AC122" s="100"/>
      <c r="AD122" s="100"/>
      <c r="AK122">
        <f t="shared" si="73"/>
        <v>0</v>
      </c>
      <c r="AL122">
        <f t="shared" si="74"/>
        <v>0</v>
      </c>
      <c r="AM122">
        <f t="shared" ref="AM122:AM128" si="90">IF(COUNTIF(M122:O122,"NA")=3,0,IF(COUNTA(M122:O122)=0,0,IF(OR(AND(M122=0,AK122&gt;0),AND(M122="ns",AL122&gt;0),AND(M122="ns",AK122=0,AL122=0)),1,IF(OR(AND(M122&gt;0,AK122=2),AND(M122="ns",AK122=2),AND(M122="ns",AL122=0,AK122&gt;0),M122=AL122),0,1))))</f>
        <v>0</v>
      </c>
      <c r="AN122">
        <f t="shared" si="75"/>
        <v>0</v>
      </c>
      <c r="AO122">
        <f t="shared" si="76"/>
        <v>0</v>
      </c>
      <c r="AP122">
        <f t="shared" si="77"/>
        <v>0</v>
      </c>
      <c r="AQ122">
        <f t="shared" si="78"/>
        <v>0</v>
      </c>
      <c r="AR122">
        <f t="shared" si="79"/>
        <v>0</v>
      </c>
      <c r="AS122">
        <f t="shared" si="80"/>
        <v>0</v>
      </c>
      <c r="AT122">
        <f t="shared" si="81"/>
        <v>0</v>
      </c>
      <c r="AU122">
        <f t="shared" si="82"/>
        <v>0</v>
      </c>
      <c r="AV122">
        <f t="shared" si="83"/>
        <v>0</v>
      </c>
      <c r="AW122">
        <f t="shared" si="84"/>
        <v>0</v>
      </c>
      <c r="AX122">
        <f t="shared" si="85"/>
        <v>0</v>
      </c>
      <c r="AY122">
        <f t="shared" si="86"/>
        <v>0</v>
      </c>
      <c r="AZ122">
        <f t="shared" si="87"/>
        <v>0</v>
      </c>
      <c r="BA122">
        <f t="shared" si="88"/>
        <v>0</v>
      </c>
      <c r="BB122">
        <f t="shared" si="89"/>
        <v>0</v>
      </c>
      <c r="BC122" cm="1">
        <f t="array" ref="BC122">IF(OR(M122={"NS","NA"},$M92={"NS","NA"}),0,IF(M122&lt;=$M92,0,1))</f>
        <v>0</v>
      </c>
      <c r="BD122" cm="1">
        <f t="array" ref="BD122">IF(OR(N122={"NS","NA"},$N92={"NS","NA"}),0,IF(N122&lt;=$N92,0,1))</f>
        <v>0</v>
      </c>
      <c r="BE122" cm="1">
        <f t="array" ref="BE122">IF(OR(O122={"NS","NA"},$O92={"NS","NA"}),0,IF(O122&lt;=$O92,0,1))</f>
        <v>0</v>
      </c>
      <c r="BF122" cm="1">
        <f t="array" ref="BF122">IF(OR(P122={"NS","NA"},$M92={"NS","NA"}),0,IF(P122&lt;=$M92,0,1))</f>
        <v>0</v>
      </c>
      <c r="BG122" cm="1">
        <f t="array" ref="BG122">IF(OR(Q122={"NS","NA"},$N92={"NS","NA"}),0,IF(Q122&lt;=$N92,0,1))</f>
        <v>0</v>
      </c>
      <c r="BH122" cm="1">
        <f t="array" ref="BH122">IF(OR(R122={"NS","NA"},$O92={"NS","NA"}),0,IF(R122&lt;=$O92,0,1))</f>
        <v>0</v>
      </c>
      <c r="BI122" cm="1">
        <f t="array" ref="BI122">IF(OR(S122={"NS","NA"},$M92={"NS","NA"}),0,IF(S122&lt;=$M92,0,1))</f>
        <v>0</v>
      </c>
      <c r="BJ122" cm="1">
        <f t="array" ref="BJ122">IF(OR(T122={"NS","NA"},$N92={"NS","NA"}),0,IF(T122&lt;=$N92,0,1))</f>
        <v>0</v>
      </c>
      <c r="BK122" cm="1">
        <f t="array" ref="BK122">IF(OR(U122={"NS","NA"},$O92={"NS","NA"}),0,IF(U122&lt;=$O92,0,1))</f>
        <v>0</v>
      </c>
      <c r="BL122" cm="1">
        <f t="array" ref="BL122">IF(OR(V122={"NS","NA"},$M92={"NS","NA"}),0,IF(V122&lt;=$M92,0,1))</f>
        <v>0</v>
      </c>
      <c r="BM122" cm="1">
        <f t="array" ref="BM122">IF(OR(W122={"NS","NA"},$N92={"NS","NA"}),0,IF(W122&lt;=$N92,0,1))</f>
        <v>0</v>
      </c>
      <c r="BN122" cm="1">
        <f t="array" ref="BN122">IF(OR(X122={"NS","NA"},$O92={"NS","NA"}),0,IF(X122&lt;=$O92,0,1))</f>
        <v>0</v>
      </c>
      <c r="BO122" cm="1">
        <f t="array" ref="BO122">IF(OR(Y122={"NS","NA"},$M92={"NS","NA"}),0,IF(Y122&lt;=$M92,0,1))</f>
        <v>0</v>
      </c>
      <c r="BP122" cm="1">
        <f t="array" ref="BP122">IF(OR(Z122={"NS","NA"},$N92={"NS","NA"}),0,IF(Z122&lt;=$N92,0,1))</f>
        <v>0</v>
      </c>
      <c r="BQ122" cm="1">
        <f t="array" ref="BQ122">IF(OR(AA122={"NS","NA"},$O92={"NS","NA"}),0,IF(AA122&lt;=$O92,0,1))</f>
        <v>0</v>
      </c>
      <c r="BR122" cm="1">
        <f t="array" ref="BR122">IF(OR(AB122={"NS","NA"},$M92={"NS","NA"}),0,IF(AB122&lt;=$M92,0,1))</f>
        <v>0</v>
      </c>
      <c r="BS122" cm="1">
        <f t="array" ref="BS122">IF(OR(AC122={"NS","NA"},$N92={"NS","NA"}),0,IF(AC122&lt;=$N92,0,1))</f>
        <v>0</v>
      </c>
      <c r="BT122" cm="1">
        <f t="array" ref="BT122">IF(OR(AD122={"NS","NA"},$O92={"NS","NA"}),0,IF(AD122&lt;=$O92,0,1))</f>
        <v>0</v>
      </c>
      <c r="BU122"/>
      <c r="BV122"/>
      <c r="BW122"/>
    </row>
    <row r="123" spans="1:75">
      <c r="A123" s="142"/>
      <c r="B123" s="57"/>
      <c r="C123" s="44" t="s">
        <v>2518</v>
      </c>
      <c r="D123" s="813" t="str">
        <f>IF(CNSIPEE_2024_M2_Secc1!D44="","",CNSIPEE_2024_M2_Secc1!D44)</f>
        <v/>
      </c>
      <c r="E123" s="814"/>
      <c r="F123" s="814"/>
      <c r="G123" s="814"/>
      <c r="H123" s="814"/>
      <c r="I123" s="814"/>
      <c r="J123" s="814"/>
      <c r="K123" s="814"/>
      <c r="L123" s="815"/>
      <c r="M123" s="100"/>
      <c r="N123" s="100"/>
      <c r="O123" s="100"/>
      <c r="P123" s="100"/>
      <c r="Q123" s="100"/>
      <c r="R123" s="100"/>
      <c r="S123" s="100"/>
      <c r="T123" s="100"/>
      <c r="U123" s="100"/>
      <c r="V123" s="100"/>
      <c r="W123" s="100"/>
      <c r="X123" s="100"/>
      <c r="Y123" s="100"/>
      <c r="Z123" s="100"/>
      <c r="AA123" s="100"/>
      <c r="AB123" s="100"/>
      <c r="AC123" s="100"/>
      <c r="AD123" s="100"/>
      <c r="AK123">
        <f t="shared" si="73"/>
        <v>0</v>
      </c>
      <c r="AL123">
        <f t="shared" si="74"/>
        <v>0</v>
      </c>
      <c r="AM123">
        <f t="shared" si="90"/>
        <v>0</v>
      </c>
      <c r="AN123">
        <f t="shared" si="75"/>
        <v>0</v>
      </c>
      <c r="AO123">
        <f t="shared" si="76"/>
        <v>0</v>
      </c>
      <c r="AP123">
        <f t="shared" si="77"/>
        <v>0</v>
      </c>
      <c r="AQ123">
        <f t="shared" si="78"/>
        <v>0</v>
      </c>
      <c r="AR123">
        <f t="shared" si="79"/>
        <v>0</v>
      </c>
      <c r="AS123">
        <f t="shared" si="80"/>
        <v>0</v>
      </c>
      <c r="AT123">
        <f t="shared" si="81"/>
        <v>0</v>
      </c>
      <c r="AU123">
        <f t="shared" si="82"/>
        <v>0</v>
      </c>
      <c r="AV123">
        <f t="shared" si="83"/>
        <v>0</v>
      </c>
      <c r="AW123">
        <f t="shared" si="84"/>
        <v>0</v>
      </c>
      <c r="AX123">
        <f t="shared" si="85"/>
        <v>0</v>
      </c>
      <c r="AY123">
        <f t="shared" si="86"/>
        <v>0</v>
      </c>
      <c r="AZ123">
        <f t="shared" si="87"/>
        <v>0</v>
      </c>
      <c r="BA123">
        <f t="shared" si="88"/>
        <v>0</v>
      </c>
      <c r="BB123">
        <f t="shared" si="89"/>
        <v>0</v>
      </c>
      <c r="BC123" cm="1">
        <f t="array" ref="BC123">IF(OR(M123={"NS","NA"},$M93={"NS","NA"}),0,IF(M123&lt;=$M93,0,1))</f>
        <v>0</v>
      </c>
      <c r="BD123" cm="1">
        <f t="array" ref="BD123">IF(OR(N123={"NS","NA"},$N93={"NS","NA"}),0,IF(N123&lt;=$N93,0,1))</f>
        <v>0</v>
      </c>
      <c r="BE123" cm="1">
        <f t="array" ref="BE123">IF(OR(O123={"NS","NA"},$O93={"NS","NA"}),0,IF(O123&lt;=$O93,0,1))</f>
        <v>0</v>
      </c>
      <c r="BF123" cm="1">
        <f t="array" ref="BF123">IF(OR(P123={"NS","NA"},$M93={"NS","NA"}),0,IF(P123&lt;=$M93,0,1))</f>
        <v>0</v>
      </c>
      <c r="BG123" cm="1">
        <f t="array" ref="BG123">IF(OR(Q123={"NS","NA"},$N93={"NS","NA"}),0,IF(Q123&lt;=$N93,0,1))</f>
        <v>0</v>
      </c>
      <c r="BH123" cm="1">
        <f t="array" ref="BH123">IF(OR(R123={"NS","NA"},$O93={"NS","NA"}),0,IF(R123&lt;=$O93,0,1))</f>
        <v>0</v>
      </c>
      <c r="BI123" cm="1">
        <f t="array" ref="BI123">IF(OR(S123={"NS","NA"},$M93={"NS","NA"}),0,IF(S123&lt;=$M93,0,1))</f>
        <v>0</v>
      </c>
      <c r="BJ123" cm="1">
        <f t="array" ref="BJ123">IF(OR(T123={"NS","NA"},$N93={"NS","NA"}),0,IF(T123&lt;=$N93,0,1))</f>
        <v>0</v>
      </c>
      <c r="BK123" cm="1">
        <f t="array" ref="BK123">IF(OR(U123={"NS","NA"},$O93={"NS","NA"}),0,IF(U123&lt;=$O93,0,1))</f>
        <v>0</v>
      </c>
      <c r="BL123" cm="1">
        <f t="array" ref="BL123">IF(OR(V123={"NS","NA"},$M93={"NS","NA"}),0,IF(V123&lt;=$M93,0,1))</f>
        <v>0</v>
      </c>
      <c r="BM123" cm="1">
        <f t="array" ref="BM123">IF(OR(W123={"NS","NA"},$N93={"NS","NA"}),0,IF(W123&lt;=$N93,0,1))</f>
        <v>0</v>
      </c>
      <c r="BN123" cm="1">
        <f t="array" ref="BN123">IF(OR(X123={"NS","NA"},$O93={"NS","NA"}),0,IF(X123&lt;=$O93,0,1))</f>
        <v>0</v>
      </c>
      <c r="BO123" cm="1">
        <f t="array" ref="BO123">IF(OR(Y123={"NS","NA"},$M93={"NS","NA"}),0,IF(Y123&lt;=$M93,0,1))</f>
        <v>0</v>
      </c>
      <c r="BP123" cm="1">
        <f t="array" ref="BP123">IF(OR(Z123={"NS","NA"},$N93={"NS","NA"}),0,IF(Z123&lt;=$N93,0,1))</f>
        <v>0</v>
      </c>
      <c r="BQ123" cm="1">
        <f t="array" ref="BQ123">IF(OR(AA123={"NS","NA"},$O93={"NS","NA"}),0,IF(AA123&lt;=$O93,0,1))</f>
        <v>0</v>
      </c>
      <c r="BR123" cm="1">
        <f t="array" ref="BR123">IF(OR(AB123={"NS","NA"},$M93={"NS","NA"}),0,IF(AB123&lt;=$M93,0,1))</f>
        <v>0</v>
      </c>
      <c r="BS123" cm="1">
        <f t="array" ref="BS123">IF(OR(AC123={"NS","NA"},$N93={"NS","NA"}),0,IF(AC123&lt;=$N93,0,1))</f>
        <v>0</v>
      </c>
      <c r="BT123" cm="1">
        <f t="array" ref="BT123">IF(OR(AD123={"NS","NA"},$O93={"NS","NA"}),0,IF(AD123&lt;=$O93,0,1))</f>
        <v>0</v>
      </c>
      <c r="BU123"/>
      <c r="BV123"/>
      <c r="BW123"/>
    </row>
    <row r="124" spans="1:75">
      <c r="A124" s="142"/>
      <c r="B124" s="57"/>
      <c r="C124" s="44" t="s">
        <v>2519</v>
      </c>
      <c r="D124" s="813" t="str">
        <f>IF(CNSIPEE_2024_M2_Secc1!D45="","",CNSIPEE_2024_M2_Secc1!D45)</f>
        <v/>
      </c>
      <c r="E124" s="814"/>
      <c r="F124" s="814"/>
      <c r="G124" s="814"/>
      <c r="H124" s="814"/>
      <c r="I124" s="814"/>
      <c r="J124" s="814"/>
      <c r="K124" s="814"/>
      <c r="L124" s="815"/>
      <c r="M124" s="100"/>
      <c r="N124" s="100"/>
      <c r="O124" s="100"/>
      <c r="P124" s="100"/>
      <c r="Q124" s="100"/>
      <c r="R124" s="100"/>
      <c r="S124" s="100"/>
      <c r="T124" s="100"/>
      <c r="U124" s="100"/>
      <c r="V124" s="100"/>
      <c r="W124" s="100"/>
      <c r="X124" s="100"/>
      <c r="Y124" s="100"/>
      <c r="Z124" s="100"/>
      <c r="AA124" s="100"/>
      <c r="AB124" s="100"/>
      <c r="AC124" s="100"/>
      <c r="AD124" s="100"/>
      <c r="AK124">
        <f t="shared" si="73"/>
        <v>0</v>
      </c>
      <c r="AL124">
        <f t="shared" si="74"/>
        <v>0</v>
      </c>
      <c r="AM124">
        <f t="shared" si="90"/>
        <v>0</v>
      </c>
      <c r="AN124">
        <f t="shared" si="75"/>
        <v>0</v>
      </c>
      <c r="AO124">
        <f t="shared" si="76"/>
        <v>0</v>
      </c>
      <c r="AP124">
        <f t="shared" si="77"/>
        <v>0</v>
      </c>
      <c r="AQ124">
        <f t="shared" si="78"/>
        <v>0</v>
      </c>
      <c r="AR124">
        <f t="shared" si="79"/>
        <v>0</v>
      </c>
      <c r="AS124">
        <f t="shared" si="80"/>
        <v>0</v>
      </c>
      <c r="AT124">
        <f t="shared" si="81"/>
        <v>0</v>
      </c>
      <c r="AU124">
        <f t="shared" si="82"/>
        <v>0</v>
      </c>
      <c r="AV124">
        <f t="shared" si="83"/>
        <v>0</v>
      </c>
      <c r="AW124">
        <f t="shared" si="84"/>
        <v>0</v>
      </c>
      <c r="AX124">
        <f t="shared" si="85"/>
        <v>0</v>
      </c>
      <c r="AY124">
        <f t="shared" si="86"/>
        <v>0</v>
      </c>
      <c r="AZ124">
        <f t="shared" si="87"/>
        <v>0</v>
      </c>
      <c r="BA124">
        <f t="shared" si="88"/>
        <v>0</v>
      </c>
      <c r="BB124">
        <f t="shared" si="89"/>
        <v>0</v>
      </c>
      <c r="BC124" cm="1">
        <f t="array" ref="BC124">IF(OR(M124={"NS","NA"},$M94={"NS","NA"}),0,IF(M124&lt;=$M94,0,1))</f>
        <v>0</v>
      </c>
      <c r="BD124" cm="1">
        <f t="array" ref="BD124">IF(OR(N124={"NS","NA"},$N94={"NS","NA"}),0,IF(N124&lt;=$N94,0,1))</f>
        <v>0</v>
      </c>
      <c r="BE124" cm="1">
        <f t="array" ref="BE124">IF(OR(O124={"NS","NA"},$O94={"NS","NA"}),0,IF(O124&lt;=$O94,0,1))</f>
        <v>0</v>
      </c>
      <c r="BF124" cm="1">
        <f t="array" ref="BF124">IF(OR(P124={"NS","NA"},$M94={"NS","NA"}),0,IF(P124&lt;=$M94,0,1))</f>
        <v>0</v>
      </c>
      <c r="BG124" cm="1">
        <f t="array" ref="BG124">IF(OR(Q124={"NS","NA"},$N94={"NS","NA"}),0,IF(Q124&lt;=$N94,0,1))</f>
        <v>0</v>
      </c>
      <c r="BH124" cm="1">
        <f t="array" ref="BH124">IF(OR(R124={"NS","NA"},$O94={"NS","NA"}),0,IF(R124&lt;=$O94,0,1))</f>
        <v>0</v>
      </c>
      <c r="BI124" cm="1">
        <f t="array" ref="BI124">IF(OR(S124={"NS","NA"},$M94={"NS","NA"}),0,IF(S124&lt;=$M94,0,1))</f>
        <v>0</v>
      </c>
      <c r="BJ124" cm="1">
        <f t="array" ref="BJ124">IF(OR(T124={"NS","NA"},$N94={"NS","NA"}),0,IF(T124&lt;=$N94,0,1))</f>
        <v>0</v>
      </c>
      <c r="BK124" cm="1">
        <f t="array" ref="BK124">IF(OR(U124={"NS","NA"},$O94={"NS","NA"}),0,IF(U124&lt;=$O94,0,1))</f>
        <v>0</v>
      </c>
      <c r="BL124" cm="1">
        <f t="array" ref="BL124">IF(OR(V124={"NS","NA"},$M94={"NS","NA"}),0,IF(V124&lt;=$M94,0,1))</f>
        <v>0</v>
      </c>
      <c r="BM124" cm="1">
        <f t="array" ref="BM124">IF(OR(W124={"NS","NA"},$N94={"NS","NA"}),0,IF(W124&lt;=$N94,0,1))</f>
        <v>0</v>
      </c>
      <c r="BN124" cm="1">
        <f t="array" ref="BN124">IF(OR(X124={"NS","NA"},$O94={"NS","NA"}),0,IF(X124&lt;=$O94,0,1))</f>
        <v>0</v>
      </c>
      <c r="BO124" cm="1">
        <f t="array" ref="BO124">IF(OR(Y124={"NS","NA"},$M94={"NS","NA"}),0,IF(Y124&lt;=$M94,0,1))</f>
        <v>0</v>
      </c>
      <c r="BP124" cm="1">
        <f t="array" ref="BP124">IF(OR(Z124={"NS","NA"},$N94={"NS","NA"}),0,IF(Z124&lt;=$N94,0,1))</f>
        <v>0</v>
      </c>
      <c r="BQ124" cm="1">
        <f t="array" ref="BQ124">IF(OR(AA124={"NS","NA"},$O94={"NS","NA"}),0,IF(AA124&lt;=$O94,0,1))</f>
        <v>0</v>
      </c>
      <c r="BR124" cm="1">
        <f t="array" ref="BR124">IF(OR(AB124={"NS","NA"},$M94={"NS","NA"}),0,IF(AB124&lt;=$M94,0,1))</f>
        <v>0</v>
      </c>
      <c r="BS124" cm="1">
        <f t="array" ref="BS124">IF(OR(AC124={"NS","NA"},$N94={"NS","NA"}),0,IF(AC124&lt;=$N94,0,1))</f>
        <v>0</v>
      </c>
      <c r="BT124" cm="1">
        <f t="array" ref="BT124">IF(OR(AD124={"NS","NA"},$O94={"NS","NA"}),0,IF(AD124&lt;=$O94,0,1))</f>
        <v>0</v>
      </c>
      <c r="BU124"/>
      <c r="BV124"/>
      <c r="BW124"/>
    </row>
    <row r="125" spans="1:75">
      <c r="A125" s="142"/>
      <c r="B125" s="57"/>
      <c r="C125" s="44" t="s">
        <v>2520</v>
      </c>
      <c r="D125" s="813" t="str">
        <f>IF(CNSIPEE_2024_M2_Secc1!D46="","",CNSIPEE_2024_M2_Secc1!D46)</f>
        <v/>
      </c>
      <c r="E125" s="814"/>
      <c r="F125" s="814"/>
      <c r="G125" s="814"/>
      <c r="H125" s="814"/>
      <c r="I125" s="814"/>
      <c r="J125" s="814"/>
      <c r="K125" s="814"/>
      <c r="L125" s="815"/>
      <c r="M125" s="100"/>
      <c r="N125" s="100"/>
      <c r="O125" s="100"/>
      <c r="P125" s="100"/>
      <c r="Q125" s="100"/>
      <c r="R125" s="100"/>
      <c r="S125" s="100"/>
      <c r="T125" s="100"/>
      <c r="U125" s="100"/>
      <c r="V125" s="100"/>
      <c r="W125" s="100"/>
      <c r="X125" s="100"/>
      <c r="Y125" s="100"/>
      <c r="Z125" s="100"/>
      <c r="AA125" s="100"/>
      <c r="AB125" s="100"/>
      <c r="AC125" s="100"/>
      <c r="AD125" s="100"/>
      <c r="AK125">
        <f t="shared" si="73"/>
        <v>0</v>
      </c>
      <c r="AL125">
        <f t="shared" si="74"/>
        <v>0</v>
      </c>
      <c r="AM125">
        <f t="shared" si="90"/>
        <v>0</v>
      </c>
      <c r="AN125">
        <f t="shared" si="75"/>
        <v>0</v>
      </c>
      <c r="AO125">
        <f t="shared" si="76"/>
        <v>0</v>
      </c>
      <c r="AP125">
        <f t="shared" si="77"/>
        <v>0</v>
      </c>
      <c r="AQ125">
        <f t="shared" si="78"/>
        <v>0</v>
      </c>
      <c r="AR125">
        <f t="shared" si="79"/>
        <v>0</v>
      </c>
      <c r="AS125">
        <f t="shared" si="80"/>
        <v>0</v>
      </c>
      <c r="AT125">
        <f t="shared" si="81"/>
        <v>0</v>
      </c>
      <c r="AU125">
        <f t="shared" si="82"/>
        <v>0</v>
      </c>
      <c r="AV125">
        <f t="shared" si="83"/>
        <v>0</v>
      </c>
      <c r="AW125">
        <f t="shared" si="84"/>
        <v>0</v>
      </c>
      <c r="AX125">
        <f t="shared" si="85"/>
        <v>0</v>
      </c>
      <c r="AY125">
        <f t="shared" si="86"/>
        <v>0</v>
      </c>
      <c r="AZ125">
        <f t="shared" si="87"/>
        <v>0</v>
      </c>
      <c r="BA125">
        <f t="shared" si="88"/>
        <v>0</v>
      </c>
      <c r="BB125">
        <f t="shared" si="89"/>
        <v>0</v>
      </c>
      <c r="BC125" cm="1">
        <f t="array" ref="BC125">IF(OR(M125={"NS","NA"},$M95={"NS","NA"}),0,IF(M125&lt;=$M95,0,1))</f>
        <v>0</v>
      </c>
      <c r="BD125" cm="1">
        <f t="array" ref="BD125">IF(OR(N125={"NS","NA"},$N95={"NS","NA"}),0,IF(N125&lt;=$N95,0,1))</f>
        <v>0</v>
      </c>
      <c r="BE125" cm="1">
        <f t="array" ref="BE125">IF(OR(O125={"NS","NA"},$O95={"NS","NA"}),0,IF(O125&lt;=$O95,0,1))</f>
        <v>0</v>
      </c>
      <c r="BF125" cm="1">
        <f t="array" ref="BF125">IF(OR(P125={"NS","NA"},$M95={"NS","NA"}),0,IF(P125&lt;=$M95,0,1))</f>
        <v>0</v>
      </c>
      <c r="BG125" cm="1">
        <f t="array" ref="BG125">IF(OR(Q125={"NS","NA"},$N95={"NS","NA"}),0,IF(Q125&lt;=$N95,0,1))</f>
        <v>0</v>
      </c>
      <c r="BH125" cm="1">
        <f t="array" ref="BH125">IF(OR(R125={"NS","NA"},$O95={"NS","NA"}),0,IF(R125&lt;=$O95,0,1))</f>
        <v>0</v>
      </c>
      <c r="BI125" cm="1">
        <f t="array" ref="BI125">IF(OR(S125={"NS","NA"},$M95={"NS","NA"}),0,IF(S125&lt;=$M95,0,1))</f>
        <v>0</v>
      </c>
      <c r="BJ125" cm="1">
        <f t="array" ref="BJ125">IF(OR(T125={"NS","NA"},$N95={"NS","NA"}),0,IF(T125&lt;=$N95,0,1))</f>
        <v>0</v>
      </c>
      <c r="BK125" cm="1">
        <f t="array" ref="BK125">IF(OR(U125={"NS","NA"},$O95={"NS","NA"}),0,IF(U125&lt;=$O95,0,1))</f>
        <v>0</v>
      </c>
      <c r="BL125" cm="1">
        <f t="array" ref="BL125">IF(OR(V125={"NS","NA"},$M95={"NS","NA"}),0,IF(V125&lt;=$M95,0,1))</f>
        <v>0</v>
      </c>
      <c r="BM125" cm="1">
        <f t="array" ref="BM125">IF(OR(W125={"NS","NA"},$N95={"NS","NA"}),0,IF(W125&lt;=$N95,0,1))</f>
        <v>0</v>
      </c>
      <c r="BN125" cm="1">
        <f t="array" ref="BN125">IF(OR(X125={"NS","NA"},$O95={"NS","NA"}),0,IF(X125&lt;=$O95,0,1))</f>
        <v>0</v>
      </c>
      <c r="BO125" cm="1">
        <f t="array" ref="BO125">IF(OR(Y125={"NS","NA"},$M95={"NS","NA"}),0,IF(Y125&lt;=$M95,0,1))</f>
        <v>0</v>
      </c>
      <c r="BP125" cm="1">
        <f t="array" ref="BP125">IF(OR(Z125={"NS","NA"},$N95={"NS","NA"}),0,IF(Z125&lt;=$N95,0,1))</f>
        <v>0</v>
      </c>
      <c r="BQ125" cm="1">
        <f t="array" ref="BQ125">IF(OR(AA125={"NS","NA"},$O95={"NS","NA"}),0,IF(AA125&lt;=$O95,0,1))</f>
        <v>0</v>
      </c>
      <c r="BR125" cm="1">
        <f t="array" ref="BR125">IF(OR(AB125={"NS","NA"},$M95={"NS","NA"}),0,IF(AB125&lt;=$M95,0,1))</f>
        <v>0</v>
      </c>
      <c r="BS125" cm="1">
        <f t="array" ref="BS125">IF(OR(AC125={"NS","NA"},$N95={"NS","NA"}),0,IF(AC125&lt;=$N95,0,1))</f>
        <v>0</v>
      </c>
      <c r="BT125" cm="1">
        <f t="array" ref="BT125">IF(OR(AD125={"NS","NA"},$O95={"NS","NA"}),0,IF(AD125&lt;=$O95,0,1))</f>
        <v>0</v>
      </c>
      <c r="BU125"/>
      <c r="BV125"/>
      <c r="BW125"/>
    </row>
    <row r="126" spans="1:75">
      <c r="A126" s="142"/>
      <c r="B126" s="57"/>
      <c r="C126" s="44" t="s">
        <v>2521</v>
      </c>
      <c r="D126" s="813" t="str">
        <f>IF(CNSIPEE_2024_M2_Secc1!D47="","",CNSIPEE_2024_M2_Secc1!D47)</f>
        <v/>
      </c>
      <c r="E126" s="814"/>
      <c r="F126" s="814"/>
      <c r="G126" s="814"/>
      <c r="H126" s="814"/>
      <c r="I126" s="814"/>
      <c r="J126" s="814"/>
      <c r="K126" s="814"/>
      <c r="L126" s="815"/>
      <c r="M126" s="100"/>
      <c r="N126" s="100"/>
      <c r="O126" s="100"/>
      <c r="P126" s="100"/>
      <c r="Q126" s="100"/>
      <c r="R126" s="100"/>
      <c r="S126" s="100"/>
      <c r="T126" s="100"/>
      <c r="U126" s="100"/>
      <c r="V126" s="100"/>
      <c r="W126" s="100"/>
      <c r="X126" s="100"/>
      <c r="Y126" s="100"/>
      <c r="Z126" s="100"/>
      <c r="AA126" s="100"/>
      <c r="AB126" s="100"/>
      <c r="AC126" s="100"/>
      <c r="AD126" s="100"/>
      <c r="AK126">
        <f t="shared" si="73"/>
        <v>0</v>
      </c>
      <c r="AL126">
        <f t="shared" si="74"/>
        <v>0</v>
      </c>
      <c r="AM126">
        <f t="shared" si="90"/>
        <v>0</v>
      </c>
      <c r="AN126">
        <f t="shared" si="75"/>
        <v>0</v>
      </c>
      <c r="AO126">
        <f t="shared" si="76"/>
        <v>0</v>
      </c>
      <c r="AP126">
        <f t="shared" si="77"/>
        <v>0</v>
      </c>
      <c r="AQ126">
        <f t="shared" si="78"/>
        <v>0</v>
      </c>
      <c r="AR126">
        <f t="shared" si="79"/>
        <v>0</v>
      </c>
      <c r="AS126">
        <f t="shared" si="80"/>
        <v>0</v>
      </c>
      <c r="AT126">
        <f t="shared" si="81"/>
        <v>0</v>
      </c>
      <c r="AU126">
        <f t="shared" si="82"/>
        <v>0</v>
      </c>
      <c r="AV126">
        <f t="shared" si="83"/>
        <v>0</v>
      </c>
      <c r="AW126">
        <f t="shared" si="84"/>
        <v>0</v>
      </c>
      <c r="AX126">
        <f t="shared" si="85"/>
        <v>0</v>
      </c>
      <c r="AY126">
        <f t="shared" si="86"/>
        <v>0</v>
      </c>
      <c r="AZ126">
        <f t="shared" si="87"/>
        <v>0</v>
      </c>
      <c r="BA126">
        <f t="shared" si="88"/>
        <v>0</v>
      </c>
      <c r="BB126">
        <f t="shared" si="89"/>
        <v>0</v>
      </c>
      <c r="BC126" cm="1">
        <f t="array" ref="BC126">IF(OR(M126={"NS","NA"},$M96={"NS","NA"}),0,IF(M126&lt;=$M96,0,1))</f>
        <v>0</v>
      </c>
      <c r="BD126" cm="1">
        <f t="array" ref="BD126">IF(OR(N126={"NS","NA"},$N96={"NS","NA"}),0,IF(N126&lt;=$N96,0,1))</f>
        <v>0</v>
      </c>
      <c r="BE126" cm="1">
        <f t="array" ref="BE126">IF(OR(O126={"NS","NA"},$O96={"NS","NA"}),0,IF(O126&lt;=$O96,0,1))</f>
        <v>0</v>
      </c>
      <c r="BF126" cm="1">
        <f t="array" ref="BF126">IF(OR(P126={"NS","NA"},$M96={"NS","NA"}),0,IF(P126&lt;=$M96,0,1))</f>
        <v>0</v>
      </c>
      <c r="BG126" cm="1">
        <f t="array" ref="BG126">IF(OR(Q126={"NS","NA"},$N96={"NS","NA"}),0,IF(Q126&lt;=$N96,0,1))</f>
        <v>0</v>
      </c>
      <c r="BH126" cm="1">
        <f t="array" ref="BH126">IF(OR(R126={"NS","NA"},$O96={"NS","NA"}),0,IF(R126&lt;=$O96,0,1))</f>
        <v>0</v>
      </c>
      <c r="BI126" cm="1">
        <f t="array" ref="BI126">IF(OR(S126={"NS","NA"},$M96={"NS","NA"}),0,IF(S126&lt;=$M96,0,1))</f>
        <v>0</v>
      </c>
      <c r="BJ126" cm="1">
        <f t="array" ref="BJ126">IF(OR(T126={"NS","NA"},$N96={"NS","NA"}),0,IF(T126&lt;=$N96,0,1))</f>
        <v>0</v>
      </c>
      <c r="BK126" cm="1">
        <f t="array" ref="BK126">IF(OR(U126={"NS","NA"},$O96={"NS","NA"}),0,IF(U126&lt;=$O96,0,1))</f>
        <v>0</v>
      </c>
      <c r="BL126" cm="1">
        <f t="array" ref="BL126">IF(OR(V126={"NS","NA"},$M96={"NS","NA"}),0,IF(V126&lt;=$M96,0,1))</f>
        <v>0</v>
      </c>
      <c r="BM126" cm="1">
        <f t="array" ref="BM126">IF(OR(W126={"NS","NA"},$N96={"NS","NA"}),0,IF(W126&lt;=$N96,0,1))</f>
        <v>0</v>
      </c>
      <c r="BN126" cm="1">
        <f t="array" ref="BN126">IF(OR(X126={"NS","NA"},$O96={"NS","NA"}),0,IF(X126&lt;=$O96,0,1))</f>
        <v>0</v>
      </c>
      <c r="BO126" cm="1">
        <f t="array" ref="BO126">IF(OR(Y126={"NS","NA"},$M96={"NS","NA"}),0,IF(Y126&lt;=$M96,0,1))</f>
        <v>0</v>
      </c>
      <c r="BP126" cm="1">
        <f t="array" ref="BP126">IF(OR(Z126={"NS","NA"},$N96={"NS","NA"}),0,IF(Z126&lt;=$N96,0,1))</f>
        <v>0</v>
      </c>
      <c r="BQ126" cm="1">
        <f t="array" ref="BQ126">IF(OR(AA126={"NS","NA"},$O96={"NS","NA"}),0,IF(AA126&lt;=$O96,0,1))</f>
        <v>0</v>
      </c>
      <c r="BR126" cm="1">
        <f t="array" ref="BR126">IF(OR(AB126={"NS","NA"},$M96={"NS","NA"}),0,IF(AB126&lt;=$M96,0,1))</f>
        <v>0</v>
      </c>
      <c r="BS126" cm="1">
        <f t="array" ref="BS126">IF(OR(AC126={"NS","NA"},$N96={"NS","NA"}),0,IF(AC126&lt;=$N96,0,1))</f>
        <v>0</v>
      </c>
      <c r="BT126" cm="1">
        <f t="array" ref="BT126">IF(OR(AD126={"NS","NA"},$O96={"NS","NA"}),0,IF(AD126&lt;=$O96,0,1))</f>
        <v>0</v>
      </c>
      <c r="BU126"/>
      <c r="BV126"/>
      <c r="BW126"/>
    </row>
    <row r="127" spans="1:75">
      <c r="A127" s="142"/>
      <c r="B127" s="57"/>
      <c r="C127" s="44" t="s">
        <v>2522</v>
      </c>
      <c r="D127" s="813" t="str">
        <f>IF(CNSIPEE_2024_M2_Secc1!D48="","",CNSIPEE_2024_M2_Secc1!D48)</f>
        <v/>
      </c>
      <c r="E127" s="814"/>
      <c r="F127" s="814"/>
      <c r="G127" s="814"/>
      <c r="H127" s="814"/>
      <c r="I127" s="814"/>
      <c r="J127" s="814"/>
      <c r="K127" s="814"/>
      <c r="L127" s="815"/>
      <c r="M127" s="100"/>
      <c r="N127" s="100"/>
      <c r="O127" s="100"/>
      <c r="P127" s="100"/>
      <c r="Q127" s="100"/>
      <c r="R127" s="100"/>
      <c r="S127" s="100"/>
      <c r="T127" s="100"/>
      <c r="U127" s="100"/>
      <c r="V127" s="100"/>
      <c r="W127" s="100"/>
      <c r="X127" s="100"/>
      <c r="Y127" s="100"/>
      <c r="Z127" s="100"/>
      <c r="AA127" s="100"/>
      <c r="AB127" s="100"/>
      <c r="AC127" s="100"/>
      <c r="AD127" s="100"/>
      <c r="AK127">
        <f t="shared" si="73"/>
        <v>0</v>
      </c>
      <c r="AL127">
        <f t="shared" si="74"/>
        <v>0</v>
      </c>
      <c r="AM127">
        <f t="shared" si="90"/>
        <v>0</v>
      </c>
      <c r="AN127">
        <f t="shared" si="75"/>
        <v>0</v>
      </c>
      <c r="AO127">
        <f t="shared" si="76"/>
        <v>0</v>
      </c>
      <c r="AP127">
        <f t="shared" si="77"/>
        <v>0</v>
      </c>
      <c r="AQ127">
        <f t="shared" si="78"/>
        <v>0</v>
      </c>
      <c r="AR127">
        <f t="shared" si="79"/>
        <v>0</v>
      </c>
      <c r="AS127">
        <f t="shared" si="80"/>
        <v>0</v>
      </c>
      <c r="AT127">
        <f t="shared" si="81"/>
        <v>0</v>
      </c>
      <c r="AU127">
        <f t="shared" si="82"/>
        <v>0</v>
      </c>
      <c r="AV127">
        <f t="shared" si="83"/>
        <v>0</v>
      </c>
      <c r="AW127">
        <f t="shared" si="84"/>
        <v>0</v>
      </c>
      <c r="AX127">
        <f t="shared" si="85"/>
        <v>0</v>
      </c>
      <c r="AY127">
        <f t="shared" si="86"/>
        <v>0</v>
      </c>
      <c r="AZ127">
        <f t="shared" si="87"/>
        <v>0</v>
      </c>
      <c r="BA127">
        <f t="shared" si="88"/>
        <v>0</v>
      </c>
      <c r="BB127">
        <f t="shared" si="89"/>
        <v>0</v>
      </c>
      <c r="BC127" cm="1">
        <f t="array" ref="BC127">IF(OR(M127={"NS","NA"},$M97={"NS","NA"}),0,IF(M127&lt;=$M97,0,1))</f>
        <v>0</v>
      </c>
      <c r="BD127" cm="1">
        <f t="array" ref="BD127">IF(OR(N127={"NS","NA"},$N97={"NS","NA"}),0,IF(N127&lt;=$N97,0,1))</f>
        <v>0</v>
      </c>
      <c r="BE127" cm="1">
        <f t="array" ref="BE127">IF(OR(O127={"NS","NA"},$O97={"NS","NA"}),0,IF(O127&lt;=$O97,0,1))</f>
        <v>0</v>
      </c>
      <c r="BF127" cm="1">
        <f t="array" ref="BF127">IF(OR(P127={"NS","NA"},$M97={"NS","NA"}),0,IF(P127&lt;=$M97,0,1))</f>
        <v>0</v>
      </c>
      <c r="BG127" cm="1">
        <f t="array" ref="BG127">IF(OR(Q127={"NS","NA"},$N97={"NS","NA"}),0,IF(Q127&lt;=$N97,0,1))</f>
        <v>0</v>
      </c>
      <c r="BH127" cm="1">
        <f t="array" ref="BH127">IF(OR(R127={"NS","NA"},$O97={"NS","NA"}),0,IF(R127&lt;=$O97,0,1))</f>
        <v>0</v>
      </c>
      <c r="BI127" cm="1">
        <f t="array" ref="BI127">IF(OR(S127={"NS","NA"},$M97={"NS","NA"}),0,IF(S127&lt;=$M97,0,1))</f>
        <v>0</v>
      </c>
      <c r="BJ127" cm="1">
        <f t="array" ref="BJ127">IF(OR(T127={"NS","NA"},$N97={"NS","NA"}),0,IF(T127&lt;=$N97,0,1))</f>
        <v>0</v>
      </c>
      <c r="BK127" cm="1">
        <f t="array" ref="BK127">IF(OR(U127={"NS","NA"},$O97={"NS","NA"}),0,IF(U127&lt;=$O97,0,1))</f>
        <v>0</v>
      </c>
      <c r="BL127" cm="1">
        <f t="array" ref="BL127">IF(OR(V127={"NS","NA"},$M97={"NS","NA"}),0,IF(V127&lt;=$M97,0,1))</f>
        <v>0</v>
      </c>
      <c r="BM127" cm="1">
        <f t="array" ref="BM127">IF(OR(W127={"NS","NA"},$N97={"NS","NA"}),0,IF(W127&lt;=$N97,0,1))</f>
        <v>0</v>
      </c>
      <c r="BN127" cm="1">
        <f t="array" ref="BN127">IF(OR(X127={"NS","NA"},$O97={"NS","NA"}),0,IF(X127&lt;=$O97,0,1))</f>
        <v>0</v>
      </c>
      <c r="BO127" cm="1">
        <f t="array" ref="BO127">IF(OR(Y127={"NS","NA"},$M97={"NS","NA"}),0,IF(Y127&lt;=$M97,0,1))</f>
        <v>0</v>
      </c>
      <c r="BP127" cm="1">
        <f t="array" ref="BP127">IF(OR(Z127={"NS","NA"},$N97={"NS","NA"}),0,IF(Z127&lt;=$N97,0,1))</f>
        <v>0</v>
      </c>
      <c r="BQ127" cm="1">
        <f t="array" ref="BQ127">IF(OR(AA127={"NS","NA"},$O97={"NS","NA"}),0,IF(AA127&lt;=$O97,0,1))</f>
        <v>0</v>
      </c>
      <c r="BR127" cm="1">
        <f t="array" ref="BR127">IF(OR(AB127={"NS","NA"},$M97={"NS","NA"}),0,IF(AB127&lt;=$M97,0,1))</f>
        <v>0</v>
      </c>
      <c r="BS127" cm="1">
        <f t="array" ref="BS127">IF(OR(AC127={"NS","NA"},$N97={"NS","NA"}),0,IF(AC127&lt;=$N97,0,1))</f>
        <v>0</v>
      </c>
      <c r="BT127" cm="1">
        <f t="array" ref="BT127">IF(OR(AD127={"NS","NA"},$O97={"NS","NA"}),0,IF(AD127&lt;=$O97,0,1))</f>
        <v>0</v>
      </c>
      <c r="BU127"/>
      <c r="BV127"/>
      <c r="BW127"/>
    </row>
    <row r="128" spans="1:75">
      <c r="A128" s="142"/>
      <c r="B128" s="57"/>
      <c r="C128" s="44" t="s">
        <v>2523</v>
      </c>
      <c r="D128" s="813" t="str">
        <f>IF(CNSIPEE_2024_M2_Secc1!D49="","",CNSIPEE_2024_M2_Secc1!D49)</f>
        <v/>
      </c>
      <c r="E128" s="814"/>
      <c r="F128" s="814"/>
      <c r="G128" s="814"/>
      <c r="H128" s="814"/>
      <c r="I128" s="814"/>
      <c r="J128" s="814"/>
      <c r="K128" s="814"/>
      <c r="L128" s="815"/>
      <c r="M128" s="100"/>
      <c r="N128" s="100"/>
      <c r="O128" s="100"/>
      <c r="P128" s="100"/>
      <c r="Q128" s="100"/>
      <c r="R128" s="100"/>
      <c r="S128" s="100"/>
      <c r="T128" s="100"/>
      <c r="U128" s="100"/>
      <c r="V128" s="100"/>
      <c r="W128" s="100"/>
      <c r="X128" s="100"/>
      <c r="Y128" s="100"/>
      <c r="Z128" s="100"/>
      <c r="AA128" s="100"/>
      <c r="AB128" s="100"/>
      <c r="AC128" s="100"/>
      <c r="AD128" s="100"/>
      <c r="AK128">
        <f t="shared" si="73"/>
        <v>0</v>
      </c>
      <c r="AL128">
        <f t="shared" si="74"/>
        <v>0</v>
      </c>
      <c r="AM128">
        <f t="shared" si="90"/>
        <v>0</v>
      </c>
      <c r="AN128">
        <f t="shared" si="75"/>
        <v>0</v>
      </c>
      <c r="AO128">
        <f t="shared" si="76"/>
        <v>0</v>
      </c>
      <c r="AP128">
        <f t="shared" si="77"/>
        <v>0</v>
      </c>
      <c r="AQ128">
        <f t="shared" si="78"/>
        <v>0</v>
      </c>
      <c r="AR128">
        <f t="shared" si="79"/>
        <v>0</v>
      </c>
      <c r="AS128">
        <f t="shared" si="80"/>
        <v>0</v>
      </c>
      <c r="AT128">
        <f t="shared" si="81"/>
        <v>0</v>
      </c>
      <c r="AU128">
        <f t="shared" si="82"/>
        <v>0</v>
      </c>
      <c r="AV128">
        <f t="shared" si="83"/>
        <v>0</v>
      </c>
      <c r="AW128">
        <f t="shared" si="84"/>
        <v>0</v>
      </c>
      <c r="AX128">
        <f t="shared" si="85"/>
        <v>0</v>
      </c>
      <c r="AY128">
        <f t="shared" si="86"/>
        <v>0</v>
      </c>
      <c r="AZ128">
        <f t="shared" si="87"/>
        <v>0</v>
      </c>
      <c r="BA128">
        <f t="shared" si="88"/>
        <v>0</v>
      </c>
      <c r="BB128">
        <f t="shared" si="89"/>
        <v>0</v>
      </c>
      <c r="BC128" cm="1">
        <f t="array" ref="BC128">IF(OR(M128={"NS","NA"},$M98={"NS","NA"}),0,IF(M128&lt;=$M98,0,1))</f>
        <v>0</v>
      </c>
      <c r="BD128" cm="1">
        <f t="array" ref="BD128">IF(OR(N128={"NS","NA"},$N98={"NS","NA"}),0,IF(N128&lt;=$N98,0,1))</f>
        <v>0</v>
      </c>
      <c r="BE128" cm="1">
        <f t="array" ref="BE128">IF(OR(O128={"NS","NA"},$O98={"NS","NA"}),0,IF(O128&lt;=$O98,0,1))</f>
        <v>0</v>
      </c>
      <c r="BF128" cm="1">
        <f t="array" ref="BF128">IF(OR(P128={"NS","NA"},$M98={"NS","NA"}),0,IF(P128&lt;=$M98,0,1))</f>
        <v>0</v>
      </c>
      <c r="BG128" cm="1">
        <f t="array" ref="BG128">IF(OR(Q128={"NS","NA"},$N98={"NS","NA"}),0,IF(Q128&lt;=$N98,0,1))</f>
        <v>0</v>
      </c>
      <c r="BH128" cm="1">
        <f t="array" ref="BH128">IF(OR(R128={"NS","NA"},$O98={"NS","NA"}),0,IF(R128&lt;=$O98,0,1))</f>
        <v>0</v>
      </c>
      <c r="BI128" cm="1">
        <f t="array" ref="BI128">IF(OR(S128={"NS","NA"},$M98={"NS","NA"}),0,IF(S128&lt;=$M98,0,1))</f>
        <v>0</v>
      </c>
      <c r="BJ128" cm="1">
        <f t="array" ref="BJ128">IF(OR(T128={"NS","NA"},$N98={"NS","NA"}),0,IF(T128&lt;=$N98,0,1))</f>
        <v>0</v>
      </c>
      <c r="BK128" cm="1">
        <f t="array" ref="BK128">IF(OR(U128={"NS","NA"},$O98={"NS","NA"}),0,IF(U128&lt;=$O98,0,1))</f>
        <v>0</v>
      </c>
      <c r="BL128" cm="1">
        <f t="array" ref="BL128">IF(OR(V128={"NS","NA"},$M98={"NS","NA"}),0,IF(V128&lt;=$M98,0,1))</f>
        <v>0</v>
      </c>
      <c r="BM128" cm="1">
        <f t="array" ref="BM128">IF(OR(W128={"NS","NA"},$N98={"NS","NA"}),0,IF(W128&lt;=$N98,0,1))</f>
        <v>0</v>
      </c>
      <c r="BN128" cm="1">
        <f t="array" ref="BN128">IF(OR(X128={"NS","NA"},$O98={"NS","NA"}),0,IF(X128&lt;=$O98,0,1))</f>
        <v>0</v>
      </c>
      <c r="BO128" cm="1">
        <f t="array" ref="BO128">IF(OR(Y128={"NS","NA"},$M98={"NS","NA"}),0,IF(Y128&lt;=$M98,0,1))</f>
        <v>0</v>
      </c>
      <c r="BP128" cm="1">
        <f t="array" ref="BP128">IF(OR(Z128={"NS","NA"},$N98={"NS","NA"}),0,IF(Z128&lt;=$N98,0,1))</f>
        <v>0</v>
      </c>
      <c r="BQ128" cm="1">
        <f t="array" ref="BQ128">IF(OR(AA128={"NS","NA"},$O98={"NS","NA"}),0,IF(AA128&lt;=$O98,0,1))</f>
        <v>0</v>
      </c>
      <c r="BR128" cm="1">
        <f t="array" ref="BR128">IF(OR(AB128={"NS","NA"},$M98={"NS","NA"}),0,IF(AB128&lt;=$M98,0,1))</f>
        <v>0</v>
      </c>
      <c r="BS128" cm="1">
        <f t="array" ref="BS128">IF(OR(AC128={"NS","NA"},$N98={"NS","NA"}),0,IF(AC128&lt;=$N98,0,1))</f>
        <v>0</v>
      </c>
      <c r="BT128" cm="1">
        <f t="array" ref="BT128">IF(OR(AD128={"NS","NA"},$O98={"NS","NA"}),0,IF(AD128&lt;=$O98,0,1))</f>
        <v>0</v>
      </c>
      <c r="BU128"/>
      <c r="BV128"/>
      <c r="BW128"/>
    </row>
    <row r="129" spans="1:75">
      <c r="A129" s="50"/>
      <c r="B129" s="38"/>
      <c r="C129" s="38"/>
      <c r="D129" s="84"/>
      <c r="E129" s="84"/>
      <c r="F129" s="84"/>
      <c r="M129" s="124">
        <f t="shared" ref="M129:AD129" si="91">IF(AND(SUM(M121:M128)=0,COUNTIF(M121:M128,"NS")&gt;0),"NS",IF(AND(SUM(M121:M128)=0,COUNTIF(M121:M128,0)&gt;0),0,IF(AND(SUM(M121:M128)=0,COUNTIF(M121:M128,"NA")&gt;0),"NA",SUM(M121:M128))))</f>
        <v>0</v>
      </c>
      <c r="N129" s="124">
        <f t="shared" si="91"/>
        <v>0</v>
      </c>
      <c r="O129" s="124">
        <f t="shared" si="91"/>
        <v>0</v>
      </c>
      <c r="P129" s="124">
        <f t="shared" si="91"/>
        <v>0</v>
      </c>
      <c r="Q129" s="124">
        <f t="shared" si="91"/>
        <v>0</v>
      </c>
      <c r="R129" s="124">
        <f t="shared" si="91"/>
        <v>0</v>
      </c>
      <c r="S129" s="124">
        <f t="shared" si="91"/>
        <v>0</v>
      </c>
      <c r="T129" s="124">
        <f t="shared" si="91"/>
        <v>0</v>
      </c>
      <c r="U129" s="124">
        <f t="shared" si="91"/>
        <v>0</v>
      </c>
      <c r="V129" s="124">
        <f t="shared" si="91"/>
        <v>0</v>
      </c>
      <c r="W129" s="124">
        <f t="shared" si="91"/>
        <v>0</v>
      </c>
      <c r="X129" s="124">
        <f t="shared" si="91"/>
        <v>0</v>
      </c>
      <c r="Y129" s="124">
        <f t="shared" si="91"/>
        <v>0</v>
      </c>
      <c r="Z129" s="124">
        <f t="shared" si="91"/>
        <v>0</v>
      </c>
      <c r="AA129" s="124">
        <f t="shared" si="91"/>
        <v>0</v>
      </c>
      <c r="AB129" s="124">
        <f t="shared" si="91"/>
        <v>0</v>
      </c>
      <c r="AC129" s="124">
        <f t="shared" si="91"/>
        <v>0</v>
      </c>
      <c r="AD129" s="124">
        <f t="shared" si="91"/>
        <v>0</v>
      </c>
      <c r="AK129">
        <f>SUM(AK121:AK128)</f>
        <v>0</v>
      </c>
      <c r="AM129">
        <f>SUM(AM121:AM128)</f>
        <v>0</v>
      </c>
      <c r="AN129">
        <f>SUM(AN121:AN128)</f>
        <v>0</v>
      </c>
      <c r="AP129">
        <f>SUM(AP121:AP128)</f>
        <v>0</v>
      </c>
      <c r="AQ129">
        <f>SUM(AQ121:AQ128)</f>
        <v>0</v>
      </c>
      <c r="AS129">
        <f>SUM(AS121:AS128)</f>
        <v>0</v>
      </c>
      <c r="AT129">
        <f>SUM(AT121:AT128)</f>
        <v>0</v>
      </c>
      <c r="AV129">
        <f>SUM(AV121:AV128)</f>
        <v>0</v>
      </c>
      <c r="AW129">
        <f>SUM(AW121:AW128)</f>
        <v>0</v>
      </c>
      <c r="AY129">
        <f>SUM(AY121:AY128)</f>
        <v>0</v>
      </c>
      <c r="AZ129">
        <f>SUM(AZ121:AZ128)</f>
        <v>0</v>
      </c>
      <c r="BB129">
        <f>SUM(BB121:BB128)</f>
        <v>0</v>
      </c>
      <c r="BT129" s="507">
        <f>SUM(BI91:BW98,BC106:BT113,BC121:BT128)</f>
        <v>0</v>
      </c>
      <c r="BU129"/>
      <c r="BV129"/>
      <c r="BW129"/>
    </row>
    <row r="130" spans="1:75">
      <c r="A130" s="169"/>
      <c r="B130" s="90"/>
      <c r="C130" s="90"/>
      <c r="D130" s="90"/>
      <c r="E130" s="90"/>
      <c r="F130" s="90"/>
      <c r="G130" s="90"/>
      <c r="H130" s="90"/>
      <c r="I130" s="90"/>
      <c r="J130" s="90"/>
      <c r="K130" s="90"/>
      <c r="L130" s="90"/>
      <c r="M130" s="90"/>
      <c r="N130" s="90"/>
      <c r="O130" s="90"/>
      <c r="P130" s="90"/>
      <c r="Q130" s="90"/>
      <c r="R130" s="90"/>
      <c r="S130" s="90"/>
      <c r="T130" s="90"/>
      <c r="U130" s="90"/>
      <c r="V130" s="90"/>
      <c r="W130" s="90"/>
      <c r="X130" s="90"/>
      <c r="Y130" s="90"/>
      <c r="Z130" s="90"/>
      <c r="AA130" s="90"/>
      <c r="AB130" s="90"/>
      <c r="AC130" s="90"/>
      <c r="AD130" s="90"/>
      <c r="AK130" t="s">
        <v>2650</v>
      </c>
      <c r="AL130" s="590">
        <f>SUM(AM129,AP129,AS129,AV129,AY129,BB129)</f>
        <v>0</v>
      </c>
      <c r="AM130" t="s">
        <v>2651</v>
      </c>
      <c r="AN130" s="590">
        <f>SUM(AK129,AN129,AQ129,AT129,AW129,AZ129)</f>
        <v>0</v>
      </c>
      <c r="BU130"/>
      <c r="BV130"/>
      <c r="BW130"/>
    </row>
    <row r="131" spans="1:75" ht="45" customHeight="1">
      <c r="A131" s="50"/>
      <c r="B131" s="38"/>
      <c r="C131" s="822" t="s">
        <v>2798</v>
      </c>
      <c r="D131" s="822"/>
      <c r="E131" s="822"/>
      <c r="F131" s="749"/>
      <c r="G131" s="749"/>
      <c r="H131" s="749"/>
      <c r="I131" s="749"/>
      <c r="J131" s="749"/>
      <c r="K131" s="749"/>
      <c r="L131" s="749"/>
      <c r="M131" s="749"/>
      <c r="N131" s="749"/>
      <c r="O131" s="749"/>
      <c r="P131" s="749"/>
      <c r="Q131" s="749"/>
      <c r="R131" s="749"/>
      <c r="S131" s="749"/>
      <c r="T131" s="749"/>
      <c r="U131" s="749"/>
      <c r="V131" s="749"/>
      <c r="W131" s="749"/>
      <c r="X131" s="749"/>
      <c r="Y131" s="749"/>
      <c r="Z131" s="749"/>
      <c r="AA131" s="749"/>
      <c r="AB131" s="749"/>
      <c r="AC131" s="749"/>
      <c r="AD131" s="749"/>
      <c r="AK131" t="s">
        <v>2652</v>
      </c>
      <c r="AL131">
        <f>IF(AN130&gt;0,IF(SUM(M129)&gt;=SUM(P129,S129,V129,Y129,AB129),0,1),IF(SUM(M129)&lt;&gt;SUM(P129,S129,V129,Y129,AB129),1,0))</f>
        <v>0</v>
      </c>
      <c r="AM131" t="s">
        <v>2653</v>
      </c>
      <c r="AN131">
        <f>IF(AN130&gt;0,IF(SUM(N129)&gt;=SUM(Q129,T129,W129,Z129,AC129),0,1),IF(SUM(N129)&lt;&gt;SUM(Q129,T129,W129,Z129,AC129),1,0))</f>
        <v>0</v>
      </c>
      <c r="AO131" t="s">
        <v>2654</v>
      </c>
      <c r="AP131">
        <f>IF(AN130&gt;0,IF(SUM(O129)&gt;=SUM(R129,U129,X129,AA129,AD129),0,1),IF(SUM(O129)&lt;&gt;SUM(R129,U129,X129,AA129,AD129),1,0))</f>
        <v>0</v>
      </c>
      <c r="BU131"/>
      <c r="BV131"/>
      <c r="BW131"/>
    </row>
    <row r="132" spans="1:75">
      <c r="A132" s="50"/>
      <c r="B132" s="1003" t="str">
        <f>IF(AND(AB129&gt;0,AB129&lt;&gt;"NA",AB129&lt;&gt;"NS",F131=""),"Debido a que registró un número mayor a cero en el apartado Otro tipo, debe anotar el n. de dicho(s) tipo(s) de actividad(es) productiva(s)","")</f>
        <v/>
      </c>
      <c r="C132" s="1003"/>
      <c r="D132" s="1003"/>
      <c r="E132" s="1003"/>
      <c r="F132" s="1003"/>
      <c r="G132" s="1003"/>
      <c r="H132" s="1003"/>
      <c r="I132" s="1003"/>
      <c r="J132" s="1003"/>
      <c r="K132" s="1003"/>
      <c r="L132" s="1003"/>
      <c r="M132" s="1003"/>
      <c r="N132" s="1003"/>
      <c r="O132" s="1003"/>
      <c r="P132" s="1003"/>
      <c r="Q132" s="1003"/>
      <c r="R132" s="1003"/>
      <c r="S132" s="1003"/>
      <c r="T132" s="1003"/>
      <c r="U132" s="1003"/>
      <c r="V132" s="1003"/>
      <c r="W132" s="1003"/>
      <c r="X132" s="1003"/>
      <c r="Y132" s="1003"/>
      <c r="Z132" s="1003"/>
      <c r="AA132" s="1003"/>
      <c r="AB132" s="1003"/>
      <c r="AC132" s="1003"/>
      <c r="AD132" s="1003"/>
      <c r="AE132" s="1003"/>
      <c r="AG132"/>
      <c r="AH132"/>
      <c r="AI132"/>
      <c r="AJ132"/>
      <c r="AK132" t="s">
        <v>5218</v>
      </c>
      <c r="AL132" s="506">
        <f>SUM(AL100,AL130,AL115)</f>
        <v>0</v>
      </c>
      <c r="AM132" t="s">
        <v>5219</v>
      </c>
      <c r="AN132" s="613">
        <f>SUM(AN100,AN130,AN115)</f>
        <v>0</v>
      </c>
      <c r="BU132"/>
      <c r="BV132"/>
      <c r="BW132"/>
    </row>
    <row r="133" spans="1:75" ht="24" customHeight="1">
      <c r="A133" s="50"/>
      <c r="B133" s="38"/>
      <c r="C133" s="754" t="s">
        <v>2611</v>
      </c>
      <c r="D133" s="754"/>
      <c r="E133" s="754"/>
      <c r="F133" s="754"/>
      <c r="G133" s="754"/>
      <c r="H133" s="754"/>
      <c r="I133" s="754"/>
      <c r="J133" s="754"/>
      <c r="K133" s="754"/>
      <c r="L133" s="754"/>
      <c r="M133" s="754"/>
      <c r="N133" s="754"/>
      <c r="O133" s="754"/>
      <c r="P133" s="754"/>
      <c r="Q133" s="754"/>
      <c r="R133" s="754"/>
      <c r="S133" s="754"/>
      <c r="T133" s="754"/>
      <c r="U133" s="754"/>
      <c r="V133" s="754"/>
      <c r="W133" s="754"/>
      <c r="X133" s="754"/>
      <c r="Y133" s="754"/>
      <c r="Z133" s="754"/>
      <c r="AA133" s="754"/>
      <c r="AB133" s="754"/>
      <c r="AC133" s="754"/>
      <c r="AD133" s="754"/>
      <c r="AG133"/>
      <c r="AH133"/>
      <c r="AI133"/>
      <c r="AJ133"/>
      <c r="AK133" t="s">
        <v>5220</v>
      </c>
      <c r="AL133">
        <f>IF(AN132&gt;0,IF(SUM(M99)&gt;=SUM(P99,S99,V99,Y99,AB99,M114,P114,S114,V114,Y114,AB114,M129,P129,S129,V129,Y129,AB129),0,1),IF(SUM(M99)&lt;&gt;SUM(P99,S99,V99,Y99,AB99,M114,P114,S114,V114,Y114,AB114,M129,P129,S129,V129,Y129,AB129),1,0))</f>
        <v>0</v>
      </c>
      <c r="AM133" t="s">
        <v>5221</v>
      </c>
      <c r="AN133">
        <f>IF(AN132&gt;0,IF(SUM(N99)&gt;=SUM(Q99,T99,W99,Z99,AC99,N114,Q114,T114,W114,Z114,AC114,N129,Q129,T129,W129,Z129,AC129),0,1),IF(SUM(N99)&lt;&gt;SUM(Q99,T99,W99,Z99,AC99,N114,Q114,T114,W114,Z114,AC114,N129,Q129,T129,W129,Z129,AC129),1,0))</f>
        <v>0</v>
      </c>
      <c r="AO133" t="s">
        <v>5222</v>
      </c>
      <c r="AP133">
        <f>IF(AN132&gt;0,IF(SUM(O99)&gt;=SUM(R99,U99,X99,AA99,AD99,O114,R114,U114,X114,AA114,AD114,O129,R129,U129,X129,AA129,AD129),0,1),IF(SUM(O99)&lt;&gt;SUM(R99,U99,X99,AA99,AD99,O114,R114,U114,X114,AA114,AD114,O129,R129,U129,X129,AA129,AD129),1,0))</f>
        <v>0</v>
      </c>
      <c r="BU133"/>
      <c r="BV133"/>
      <c r="BW133"/>
    </row>
    <row r="134" spans="1:75" ht="60" customHeight="1">
      <c r="A134" s="50"/>
      <c r="B134" s="38"/>
      <c r="C134" s="851"/>
      <c r="D134" s="851"/>
      <c r="E134" s="851"/>
      <c r="F134" s="851"/>
      <c r="G134" s="851"/>
      <c r="H134" s="851"/>
      <c r="I134" s="851"/>
      <c r="J134" s="851"/>
      <c r="K134" s="851"/>
      <c r="L134" s="851"/>
      <c r="M134" s="851"/>
      <c r="N134" s="851"/>
      <c r="O134" s="851"/>
      <c r="P134" s="851"/>
      <c r="Q134" s="851"/>
      <c r="R134" s="851"/>
      <c r="S134" s="851"/>
      <c r="T134" s="851"/>
      <c r="U134" s="851"/>
      <c r="V134" s="851"/>
      <c r="W134" s="851"/>
      <c r="X134" s="851"/>
      <c r="Y134" s="851"/>
      <c r="Z134" s="851"/>
      <c r="AA134" s="851"/>
      <c r="AB134" s="851"/>
      <c r="AC134" s="851"/>
      <c r="AD134" s="851"/>
    </row>
    <row r="135" spans="1:75">
      <c r="A135" s="142"/>
      <c r="B135" s="794" t="str">
        <f>IF(AG99=0,"","Favor de ingresar toda la información requerida en la pregunta")</f>
        <v/>
      </c>
      <c r="C135" s="794"/>
      <c r="D135" s="794"/>
      <c r="E135" s="794"/>
      <c r="F135" s="794"/>
      <c r="G135" s="794"/>
      <c r="H135" s="794"/>
      <c r="I135" s="794"/>
      <c r="J135" s="794"/>
      <c r="K135" s="794"/>
      <c r="L135" s="794"/>
      <c r="M135" s="794"/>
      <c r="N135" s="794"/>
      <c r="O135" s="794"/>
      <c r="P135" s="794"/>
      <c r="Q135" s="794"/>
      <c r="R135" s="794"/>
      <c r="S135" s="794"/>
      <c r="T135" s="794"/>
      <c r="U135" s="794"/>
      <c r="V135" s="794"/>
      <c r="W135" s="794"/>
      <c r="X135" s="794"/>
      <c r="Y135" s="794"/>
      <c r="Z135" s="794"/>
      <c r="AA135" s="794"/>
      <c r="AB135" s="794"/>
      <c r="AC135" s="794"/>
      <c r="AD135" s="794"/>
      <c r="AE135" s="794"/>
    </row>
    <row r="136" spans="1:75">
      <c r="A136" s="169"/>
      <c r="B136" s="1087" t="str">
        <f>IF(SUM(COUNTIF(M91:AD98,"NS"),COUNTIF(M106:AD113,"NS"),COUNTIF(M121:AD128,"NS"))&lt;&gt;0,"Alerta: debido a que cuenta con registros NS, debe proporcionar una justificación en el area de comentarios al final de la pregunta","")</f>
        <v/>
      </c>
      <c r="C136" s="1087"/>
      <c r="D136" s="1087"/>
      <c r="E136" s="1087"/>
      <c r="F136" s="1087"/>
      <c r="G136" s="1087"/>
      <c r="H136" s="1087"/>
      <c r="I136" s="1087"/>
      <c r="J136" s="1087"/>
      <c r="K136" s="1087"/>
      <c r="L136" s="1087"/>
      <c r="M136" s="1087"/>
      <c r="N136" s="1087"/>
      <c r="O136" s="1087"/>
      <c r="P136" s="1087"/>
      <c r="Q136" s="1087"/>
      <c r="R136" s="1087"/>
      <c r="S136" s="1087"/>
      <c r="T136" s="1087"/>
      <c r="U136" s="1087"/>
      <c r="V136" s="1087"/>
      <c r="W136" s="1087"/>
      <c r="X136" s="1087"/>
      <c r="Y136" s="1087"/>
      <c r="Z136" s="1087"/>
      <c r="AA136" s="1087"/>
      <c r="AB136" s="1087"/>
      <c r="AC136" s="1087"/>
      <c r="AD136" s="1087"/>
      <c r="AE136" s="1087"/>
    </row>
    <row r="137" spans="1:75">
      <c r="A137" s="169"/>
      <c r="B137" s="1003" t="str">
        <f>IF(AL132&gt;0,"Favor de revisar la suma y consistencia de totales y/o subtotales por filas (numéricos y NS)","")</f>
        <v/>
      </c>
      <c r="C137" s="1003"/>
      <c r="D137" s="1003"/>
      <c r="E137" s="1003"/>
      <c r="F137" s="1003"/>
      <c r="G137" s="1003"/>
      <c r="H137" s="1003"/>
      <c r="I137" s="1003"/>
      <c r="J137" s="1003"/>
      <c r="K137" s="1003"/>
      <c r="L137" s="1003"/>
      <c r="M137" s="1003"/>
      <c r="N137" s="1003"/>
      <c r="O137" s="1003"/>
      <c r="P137" s="1003"/>
      <c r="Q137" s="1003"/>
      <c r="R137" s="1003"/>
      <c r="S137" s="1003"/>
      <c r="T137" s="1003"/>
      <c r="U137" s="1003"/>
      <c r="V137" s="1003"/>
      <c r="W137" s="1003"/>
      <c r="X137" s="1003"/>
      <c r="Y137" s="1003"/>
      <c r="Z137" s="1003"/>
      <c r="AA137" s="1003"/>
      <c r="AB137" s="1003"/>
      <c r="AC137" s="1003"/>
      <c r="AD137" s="1003"/>
      <c r="AE137" s="1003"/>
    </row>
    <row r="138" spans="1:75">
      <c r="A138" s="169"/>
      <c r="B138" s="794" t="str">
        <f>IF(BE99&gt;0,"Favor de revisar la instrucción 2, debido a que no se cumplen con los criterios mencionados","")</f>
        <v/>
      </c>
      <c r="C138" s="794"/>
      <c r="D138" s="794"/>
      <c r="E138" s="794"/>
      <c r="F138" s="794"/>
      <c r="G138" s="794"/>
      <c r="H138" s="794"/>
      <c r="I138" s="794"/>
      <c r="J138" s="794"/>
      <c r="K138" s="794"/>
      <c r="L138" s="794"/>
      <c r="M138" s="794"/>
      <c r="N138" s="794"/>
      <c r="O138" s="794"/>
      <c r="P138" s="794"/>
      <c r="Q138" s="794"/>
      <c r="R138" s="794"/>
      <c r="S138" s="794"/>
      <c r="T138" s="794"/>
      <c r="U138" s="794"/>
      <c r="V138" s="794"/>
      <c r="W138" s="794"/>
      <c r="X138" s="794"/>
      <c r="Y138" s="794"/>
      <c r="Z138" s="794"/>
      <c r="AA138" s="794"/>
      <c r="AB138" s="794"/>
      <c r="AC138" s="794"/>
      <c r="AD138" s="794"/>
      <c r="AE138" s="794"/>
    </row>
    <row r="139" spans="1:75">
      <c r="A139" s="216"/>
      <c r="B139" s="795" t="str">
        <f>IF(BT129&gt;0,"Alerta: debe de proporcionar una justificación de acuerdo a lo establecido en la instrucción 3","")</f>
        <v/>
      </c>
      <c r="C139" s="795"/>
      <c r="D139" s="795"/>
      <c r="E139" s="795"/>
      <c r="F139" s="795"/>
      <c r="G139" s="795"/>
      <c r="H139" s="795"/>
      <c r="I139" s="795"/>
      <c r="J139" s="795"/>
      <c r="K139" s="795"/>
      <c r="L139" s="795"/>
      <c r="M139" s="795"/>
      <c r="N139" s="795"/>
      <c r="O139" s="795"/>
      <c r="P139" s="795"/>
      <c r="Q139" s="795"/>
      <c r="R139" s="795"/>
      <c r="S139" s="795"/>
      <c r="T139" s="795"/>
      <c r="U139" s="795"/>
      <c r="V139" s="795"/>
      <c r="W139" s="795"/>
      <c r="X139" s="795"/>
      <c r="Y139" s="795"/>
      <c r="Z139" s="795"/>
      <c r="AA139" s="795"/>
      <c r="AB139" s="795"/>
      <c r="AC139" s="795"/>
      <c r="AD139" s="795"/>
      <c r="AE139" s="795"/>
    </row>
    <row r="140" spans="1:75">
      <c r="A140" s="169"/>
      <c r="B140" s="706"/>
      <c r="C140" s="706"/>
      <c r="D140" s="706"/>
      <c r="E140" s="706"/>
      <c r="F140" s="706"/>
      <c r="G140" s="706"/>
      <c r="H140" s="706"/>
      <c r="I140" s="706"/>
      <c r="J140" s="706"/>
      <c r="K140" s="706"/>
      <c r="L140" s="706"/>
      <c r="M140" s="706"/>
      <c r="N140" s="706"/>
      <c r="O140" s="706"/>
      <c r="P140" s="706"/>
      <c r="Q140" s="706"/>
      <c r="R140" s="706"/>
      <c r="S140" s="706"/>
      <c r="T140" s="706"/>
      <c r="U140" s="706"/>
      <c r="V140" s="706"/>
      <c r="W140" s="706"/>
      <c r="X140" s="706"/>
      <c r="Y140" s="706"/>
      <c r="Z140" s="706"/>
      <c r="AA140" s="706"/>
      <c r="AB140" s="706"/>
      <c r="AC140" s="706"/>
      <c r="AD140" s="706"/>
      <c r="AE140" s="706"/>
    </row>
    <row r="141" spans="1:75" ht="36" customHeight="1">
      <c r="A141" s="49" t="s">
        <v>5818</v>
      </c>
      <c r="B141" s="829" t="s">
        <v>5819</v>
      </c>
      <c r="C141" s="829"/>
      <c r="D141" s="829"/>
      <c r="E141" s="829"/>
      <c r="F141" s="829"/>
      <c r="G141" s="829"/>
      <c r="H141" s="829"/>
      <c r="I141" s="829"/>
      <c r="J141" s="829"/>
      <c r="K141" s="829"/>
      <c r="L141" s="829"/>
      <c r="M141" s="829"/>
      <c r="N141" s="829"/>
      <c r="O141" s="829"/>
      <c r="P141" s="829"/>
      <c r="Q141" s="829"/>
      <c r="R141" s="829"/>
      <c r="S141" s="829"/>
      <c r="T141" s="829"/>
      <c r="U141" s="829"/>
      <c r="V141" s="829"/>
      <c r="W141" s="829"/>
      <c r="X141" s="829"/>
      <c r="Y141" s="829"/>
      <c r="Z141" s="829"/>
      <c r="AA141" s="829"/>
      <c r="AB141" s="829"/>
      <c r="AC141" s="829"/>
      <c r="AD141" s="829"/>
    </row>
    <row r="142" spans="1:75" ht="24" customHeight="1">
      <c r="A142" s="50"/>
      <c r="B142" s="38"/>
      <c r="C142" s="754" t="s">
        <v>3692</v>
      </c>
      <c r="D142" s="754"/>
      <c r="E142" s="754"/>
      <c r="F142" s="754"/>
      <c r="G142" s="754"/>
      <c r="H142" s="754"/>
      <c r="I142" s="754"/>
      <c r="J142" s="754"/>
      <c r="K142" s="754"/>
      <c r="L142" s="754"/>
      <c r="M142" s="754"/>
      <c r="N142" s="754"/>
      <c r="O142" s="754"/>
      <c r="P142" s="754"/>
      <c r="Q142" s="754"/>
      <c r="R142" s="754"/>
      <c r="S142" s="754"/>
      <c r="T142" s="754"/>
      <c r="U142" s="754"/>
      <c r="V142" s="754"/>
      <c r="W142" s="754"/>
      <c r="X142" s="754"/>
      <c r="Y142" s="754"/>
      <c r="Z142" s="754"/>
      <c r="AA142" s="754"/>
      <c r="AB142" s="754"/>
      <c r="AC142" s="754"/>
      <c r="AD142" s="754"/>
    </row>
    <row r="143" spans="1:75" ht="48" customHeight="1">
      <c r="A143" s="50"/>
      <c r="B143" s="38"/>
      <c r="C143" s="754" t="s">
        <v>5820</v>
      </c>
      <c r="D143" s="754"/>
      <c r="E143" s="754"/>
      <c r="F143" s="754"/>
      <c r="G143" s="754"/>
      <c r="H143" s="754"/>
      <c r="I143" s="754"/>
      <c r="J143" s="754"/>
      <c r="K143" s="754"/>
      <c r="L143" s="754"/>
      <c r="M143" s="754"/>
      <c r="N143" s="754"/>
      <c r="O143" s="754"/>
      <c r="P143" s="754"/>
      <c r="Q143" s="754"/>
      <c r="R143" s="754"/>
      <c r="S143" s="754"/>
      <c r="T143" s="754"/>
      <c r="U143" s="754"/>
      <c r="V143" s="754"/>
      <c r="W143" s="754"/>
      <c r="X143" s="754"/>
      <c r="Y143" s="754"/>
      <c r="Z143" s="754"/>
      <c r="AA143" s="754"/>
      <c r="AB143" s="754"/>
      <c r="AC143" s="754"/>
      <c r="AD143" s="754"/>
    </row>
    <row r="144" spans="1:75" ht="36" customHeight="1">
      <c r="A144" s="50"/>
      <c r="B144" s="38"/>
      <c r="C144" s="830" t="s">
        <v>5821</v>
      </c>
      <c r="D144" s="830"/>
      <c r="E144" s="830"/>
      <c r="F144" s="830"/>
      <c r="G144" s="830"/>
      <c r="H144" s="830"/>
      <c r="I144" s="830"/>
      <c r="J144" s="830"/>
      <c r="K144" s="830"/>
      <c r="L144" s="830"/>
      <c r="M144" s="830"/>
      <c r="N144" s="830"/>
      <c r="O144" s="830"/>
      <c r="P144" s="830"/>
      <c r="Q144" s="830"/>
      <c r="R144" s="830"/>
      <c r="S144" s="830"/>
      <c r="T144" s="830"/>
      <c r="U144" s="830"/>
      <c r="V144" s="830"/>
      <c r="W144" s="830"/>
      <c r="X144" s="830"/>
      <c r="Y144" s="830"/>
      <c r="Z144" s="830"/>
      <c r="AA144" s="830"/>
      <c r="AB144" s="830"/>
      <c r="AC144" s="830"/>
      <c r="AD144" s="830"/>
    </row>
    <row r="145" spans="1:54" ht="36" customHeight="1">
      <c r="A145" s="50"/>
      <c r="B145" s="38"/>
      <c r="C145" s="754" t="s">
        <v>5822</v>
      </c>
      <c r="D145" s="754"/>
      <c r="E145" s="754"/>
      <c r="F145" s="754"/>
      <c r="G145" s="754"/>
      <c r="H145" s="754"/>
      <c r="I145" s="754"/>
      <c r="J145" s="754"/>
      <c r="K145" s="754"/>
      <c r="L145" s="754"/>
      <c r="M145" s="754"/>
      <c r="N145" s="754"/>
      <c r="O145" s="754"/>
      <c r="P145" s="754"/>
      <c r="Q145" s="754"/>
      <c r="R145" s="754"/>
      <c r="S145" s="754"/>
      <c r="T145" s="754"/>
      <c r="U145" s="754"/>
      <c r="V145" s="754"/>
      <c r="W145" s="754"/>
      <c r="X145" s="754"/>
      <c r="Y145" s="754"/>
      <c r="Z145" s="754"/>
      <c r="AA145" s="754"/>
      <c r="AB145" s="754"/>
      <c r="AC145" s="754"/>
      <c r="AD145" s="754"/>
    </row>
    <row r="146" spans="1:54">
      <c r="A146" s="50"/>
      <c r="B146" s="38"/>
      <c r="C146" s="86"/>
      <c r="D146" s="86"/>
      <c r="E146" s="86"/>
      <c r="F146" s="86"/>
      <c r="G146" s="86"/>
      <c r="H146" s="86"/>
      <c r="I146" s="86"/>
      <c r="J146" s="86"/>
      <c r="K146" s="86"/>
      <c r="L146" s="86"/>
      <c r="M146" s="86"/>
      <c r="N146" s="86"/>
      <c r="O146" s="86"/>
      <c r="P146" s="86"/>
      <c r="Q146" s="86"/>
      <c r="R146" s="86"/>
      <c r="S146" s="86"/>
      <c r="T146" s="86"/>
      <c r="U146" s="86"/>
      <c r="V146" s="86"/>
      <c r="W146" s="86"/>
      <c r="X146" s="86"/>
      <c r="Y146" s="86"/>
      <c r="Z146" s="86"/>
      <c r="AA146" s="86"/>
      <c r="AB146" s="86"/>
      <c r="AC146" s="86"/>
      <c r="AD146" s="86"/>
    </row>
    <row r="147" spans="1:54" ht="24" customHeight="1">
      <c r="A147" s="50"/>
      <c r="B147" s="38"/>
      <c r="C147" s="732" t="s">
        <v>2581</v>
      </c>
      <c r="D147" s="732"/>
      <c r="E147" s="732"/>
      <c r="F147" s="732"/>
      <c r="G147" s="732"/>
      <c r="H147" s="732"/>
      <c r="I147" s="732"/>
      <c r="J147" s="732"/>
      <c r="K147" s="732"/>
      <c r="L147" s="732"/>
      <c r="M147" s="741" t="s">
        <v>5823</v>
      </c>
      <c r="N147" s="732"/>
      <c r="O147" s="732"/>
      <c r="P147" s="732"/>
      <c r="Q147" s="732"/>
      <c r="R147" s="732"/>
      <c r="S147" s="732"/>
      <c r="T147" s="732"/>
      <c r="U147" s="732"/>
      <c r="V147" s="732"/>
      <c r="W147" s="732"/>
      <c r="X147" s="732"/>
      <c r="Y147" s="732"/>
      <c r="Z147" s="732"/>
      <c r="AA147" s="732"/>
      <c r="AB147" s="732"/>
      <c r="AC147" s="732"/>
      <c r="AD147" s="732"/>
    </row>
    <row r="148" spans="1:54" ht="15" customHeight="1">
      <c r="A148" s="50"/>
      <c r="B148" s="38"/>
      <c r="C148" s="732"/>
      <c r="D148" s="732"/>
      <c r="E148" s="732"/>
      <c r="F148" s="732"/>
      <c r="G148" s="732"/>
      <c r="H148" s="732"/>
      <c r="I148" s="732"/>
      <c r="J148" s="732"/>
      <c r="K148" s="732"/>
      <c r="L148" s="732"/>
      <c r="M148" s="800" t="s">
        <v>2628</v>
      </c>
      <c r="N148" s="802"/>
      <c r="O148" s="843" t="s">
        <v>2629</v>
      </c>
      <c r="P148" s="844"/>
      <c r="Q148" s="843" t="s">
        <v>2630</v>
      </c>
      <c r="R148" s="844"/>
      <c r="S148" s="736" t="s">
        <v>5824</v>
      </c>
      <c r="T148" s="736"/>
      <c r="U148" s="736"/>
      <c r="V148" s="736"/>
      <c r="W148" s="736"/>
      <c r="X148" s="736"/>
      <c r="Y148" s="736" t="s">
        <v>5825</v>
      </c>
      <c r="Z148" s="736"/>
      <c r="AA148" s="736"/>
      <c r="AB148" s="736"/>
      <c r="AC148" s="736"/>
      <c r="AD148" s="736"/>
    </row>
    <row r="149" spans="1:54" ht="48" customHeight="1">
      <c r="A149" s="50"/>
      <c r="B149" s="38"/>
      <c r="C149" s="732"/>
      <c r="D149" s="732"/>
      <c r="E149" s="732"/>
      <c r="F149" s="732"/>
      <c r="G149" s="732"/>
      <c r="H149" s="732"/>
      <c r="I149" s="732"/>
      <c r="J149" s="732"/>
      <c r="K149" s="732"/>
      <c r="L149" s="732"/>
      <c r="M149" s="803"/>
      <c r="N149" s="805"/>
      <c r="O149" s="845"/>
      <c r="P149" s="846"/>
      <c r="Q149" s="845"/>
      <c r="R149" s="846"/>
      <c r="S149" s="1146" t="s">
        <v>2635</v>
      </c>
      <c r="T149" s="1147"/>
      <c r="U149" s="858" t="s">
        <v>3176</v>
      </c>
      <c r="V149" s="860"/>
      <c r="W149" s="857" t="s">
        <v>2630</v>
      </c>
      <c r="X149" s="857"/>
      <c r="Y149" s="1146" t="s">
        <v>2635</v>
      </c>
      <c r="Z149" s="1147"/>
      <c r="AA149" s="858" t="s">
        <v>3176</v>
      </c>
      <c r="AB149" s="860"/>
      <c r="AC149" s="857" t="s">
        <v>2630</v>
      </c>
      <c r="AD149" s="857"/>
      <c r="AG149" t="s">
        <v>2586</v>
      </c>
      <c r="AH149" t="s">
        <v>4581</v>
      </c>
      <c r="AI149"/>
      <c r="AJ149"/>
      <c r="AK149" t="s">
        <v>4573</v>
      </c>
      <c r="AL149" t="s">
        <v>2638</v>
      </c>
      <c r="AM149" t="s">
        <v>2639</v>
      </c>
      <c r="AN149" t="s">
        <v>4574</v>
      </c>
      <c r="AO149" t="s">
        <v>2641</v>
      </c>
      <c r="AP149" t="s">
        <v>2642</v>
      </c>
      <c r="AQ149" t="s">
        <v>4575</v>
      </c>
      <c r="AR149" t="s">
        <v>2644</v>
      </c>
      <c r="AS149" t="s">
        <v>2645</v>
      </c>
      <c r="AT149" t="s">
        <v>5290</v>
      </c>
      <c r="AU149"/>
      <c r="AV149"/>
      <c r="AW149" t="s">
        <v>5253</v>
      </c>
      <c r="AX149"/>
      <c r="AY149"/>
      <c r="AZ149"/>
      <c r="BA149"/>
      <c r="BB149"/>
    </row>
    <row r="150" spans="1:54">
      <c r="A150" s="142"/>
      <c r="B150" s="57"/>
      <c r="C150" s="97" t="s">
        <v>2516</v>
      </c>
      <c r="D150" s="796" t="str">
        <f>IF(CNSIPEE_2024_M2_Secc1!D42="","",CNSIPEE_2024_M2_Secc1!D42)</f>
        <v/>
      </c>
      <c r="E150" s="796"/>
      <c r="F150" s="796"/>
      <c r="G150" s="796"/>
      <c r="H150" s="796"/>
      <c r="I150" s="796"/>
      <c r="J150" s="796"/>
      <c r="K150" s="796"/>
      <c r="L150" s="796"/>
      <c r="M150" s="816"/>
      <c r="N150" s="817"/>
      <c r="O150" s="816"/>
      <c r="P150" s="817"/>
      <c r="Q150" s="816"/>
      <c r="R150" s="817"/>
      <c r="S150" s="816"/>
      <c r="T150" s="817"/>
      <c r="U150" s="816"/>
      <c r="V150" s="817"/>
      <c r="W150" s="816"/>
      <c r="X150" s="817"/>
      <c r="Y150" s="816"/>
      <c r="Z150" s="817"/>
      <c r="AA150" s="816"/>
      <c r="AB150" s="817"/>
      <c r="AC150" s="816"/>
      <c r="AD150" s="817"/>
      <c r="AG150">
        <f>IF(OR($M91=0,$M91="NS",$M91="NA"),0,IF(OR(COUNTBLANK(D150:AD150)=17,COUNTBLANK(D150:AD150)=27),0,1))</f>
        <v>0</v>
      </c>
      <c r="AH150">
        <f t="shared" ref="AH150:AH157" si="92">IF(OR($M91=0,$M91="NS",$M91="NA"),IF(COUNTBLANK(M150:AD150)=18,0,1),0)</f>
        <v>0</v>
      </c>
      <c r="AI150"/>
      <c r="AJ150"/>
      <c r="AK150">
        <f t="shared" ref="AK150:AK157" si="93">COUNTIF(O150:R150,"NS")</f>
        <v>0</v>
      </c>
      <c r="AL150">
        <f t="shared" ref="AL150:AL157" si="94">SUM(O150:R150)</f>
        <v>0</v>
      </c>
      <c r="AM150">
        <f>IF(COUNTIF(M150:R150,"NA")=3,0,IF(COUNTA(M150:R150)=0,0,IF(OR(AND(M150=0,AK150&gt;0),AND(M150="ns",AL150&gt;0),AND(M150="ns",AK150=0,AL150=0)),1,IF(OR(AND(M150&gt;0,AK150=2),AND(M150="ns",AK150=2),AND(M150="ns",AL150=0,AK150&gt;0),M150=AL150),0,1))))</f>
        <v>0</v>
      </c>
      <c r="AN150">
        <f t="shared" ref="AN150:AN157" si="95">COUNTIF(U150:X150,"NS")</f>
        <v>0</v>
      </c>
      <c r="AO150">
        <f t="shared" ref="AO150:AO157" si="96">SUM(U150:X150)</f>
        <v>0</v>
      </c>
      <c r="AP150">
        <f>IF(COUNTIF(S150:X150,"NA")=3,0,IF(COUNTA(S150:X150)=0,0,IF(OR(AND(S150=0,AN150&gt;0),AND(S150="ns",AO150&gt;0),AND(S150="ns",AN150=0,AO150=0)),1,IF(OR(AND(S150&gt;0,AN150=2),AND(S150="ns",AN150=2),AND(S150="ns",AO150=0,AN150&gt;0),S150=AO150),0,1))))</f>
        <v>0</v>
      </c>
      <c r="AQ150">
        <f t="shared" ref="AQ150:AQ157" si="97">COUNTIF(AA150:AD150,"NS")</f>
        <v>0</v>
      </c>
      <c r="AR150">
        <f t="shared" ref="AR150:AR157" si="98">SUM(AA150:AD150)</f>
        <v>0</v>
      </c>
      <c r="AS150">
        <f>IF(COUNTIF(Y150:AD150,"NA")=3,0,IF(COUNTA(Y150:AD150)=0,0,IF(OR(AND(Y150=0,AQ150&gt;0),AND(Y150="ns",AR150&gt;0),AND(Y150="ns",AQ150=0,AR150=0)),1,IF(OR(AND(Y150&gt;0,AQ150=2),AND(Y150="ns",AQ150=2),AND(Y150="ns",AR150=0,AQ150&gt;0),Y150=AR150),0,1))))</f>
        <v>0</v>
      </c>
      <c r="AT150" cm="1">
        <f t="array" ref="AT150">IF(OR(M150={"NS","NA"},M91={"NS","NA"}),0,IF(M150&gt;=M91,0,1))</f>
        <v>0</v>
      </c>
      <c r="AU150" cm="1">
        <f t="array" ref="AU150">IF(OR(O150={"NS","NA"},N91={"NS","NA"}),0,IF(O150&gt;=N91,0,1))</f>
        <v>0</v>
      </c>
      <c r="AV150" cm="1">
        <f t="array" ref="AV150">IF(OR(Q150={"NS","NA"},O91={"NS","NA"}),0,IF(Q150&gt;=O91,0,1))</f>
        <v>0</v>
      </c>
      <c r="AW150" cm="1">
        <f t="array" ref="AW150">IF(OR(S150={"NS","NA"},M91={"NS","NA"}),0,IF(S150&lt;=M91,0,1))</f>
        <v>0</v>
      </c>
      <c r="AX150" cm="1">
        <f t="array" ref="AX150">IF(OR(U150={"NS","NA"},N91={"NS","NA"}),0,IF(U150&lt;=N91,0,1))</f>
        <v>0</v>
      </c>
      <c r="AY150" cm="1">
        <f t="array" ref="AY150">IF(OR(W150={"NS","NA"},O91={"NS","NA"}),0,IF(W150&lt;=O91,0,1))</f>
        <v>0</v>
      </c>
      <c r="AZ150" cm="1">
        <f t="array" ref="AZ150">IF(OR(Y150={"NS","NA"},M91={"NS","NA"}),0,IF(Y150&lt;=M91,0,1))</f>
        <v>0</v>
      </c>
      <c r="BA150" cm="1">
        <f t="array" ref="BA150">IF(OR(AA150={"NS","NA"},N91={"NS","NA"}),0,IF(AA150&lt;=N91,0,1))</f>
        <v>0</v>
      </c>
      <c r="BB150" cm="1">
        <f t="array" ref="BB150">IF(OR(AC150={"NS","NA"},O91={"NS","NA"}),0,IF(AC150&lt;=O91,0,1))</f>
        <v>0</v>
      </c>
    </row>
    <row r="151" spans="1:54">
      <c r="A151" s="142"/>
      <c r="B151" s="57"/>
      <c r="C151" s="143" t="s">
        <v>2517</v>
      </c>
      <c r="D151" s="796" t="str">
        <f>IF(CNSIPEE_2024_M2_Secc1!D43="","",CNSIPEE_2024_M2_Secc1!D43)</f>
        <v/>
      </c>
      <c r="E151" s="796"/>
      <c r="F151" s="796"/>
      <c r="G151" s="796"/>
      <c r="H151" s="796"/>
      <c r="I151" s="796"/>
      <c r="J151" s="796"/>
      <c r="K151" s="796"/>
      <c r="L151" s="796"/>
      <c r="M151" s="816"/>
      <c r="N151" s="817"/>
      <c r="O151" s="816"/>
      <c r="P151" s="817"/>
      <c r="Q151" s="816"/>
      <c r="R151" s="817"/>
      <c r="S151" s="816"/>
      <c r="T151" s="817"/>
      <c r="U151" s="816"/>
      <c r="V151" s="817"/>
      <c r="W151" s="816"/>
      <c r="X151" s="817"/>
      <c r="Y151" s="816"/>
      <c r="Z151" s="817"/>
      <c r="AA151" s="816"/>
      <c r="AB151" s="817"/>
      <c r="AC151" s="816"/>
      <c r="AD151" s="817"/>
      <c r="AG151">
        <f t="shared" ref="AG151:AG157" si="99">IF(OR($M92=0,$M92="NS",$M92="NA"),0,IF(OR(COUNTBLANK(D151:AD151)=17,COUNTBLANK(D151:AD151)=27),0,1))</f>
        <v>0</v>
      </c>
      <c r="AH151">
        <f t="shared" si="92"/>
        <v>0</v>
      </c>
      <c r="AI151"/>
      <c r="AJ151"/>
      <c r="AK151">
        <f t="shared" si="93"/>
        <v>0</v>
      </c>
      <c r="AL151">
        <f t="shared" si="94"/>
        <v>0</v>
      </c>
      <c r="AM151">
        <f t="shared" ref="AM151:AM157" si="100">IF(COUNTIF(M151:R151,"NA")=3,0,IF(COUNTA(M151:R151)=0,0,IF(OR(AND(M151=0,AK151&gt;0),AND(M151="ns",AL151&gt;0),AND(M151="ns",AK151=0,AL151=0)),1,IF(OR(AND(M151&gt;0,AK151=2),AND(M151="ns",AK151=2),AND(M151="ns",AL151=0,AK151&gt;0),M151=AL151),0,1))))</f>
        <v>0</v>
      </c>
      <c r="AN151">
        <f t="shared" si="95"/>
        <v>0</v>
      </c>
      <c r="AO151">
        <f t="shared" si="96"/>
        <v>0</v>
      </c>
      <c r="AP151">
        <f t="shared" ref="AP151:AP157" si="101">IF(COUNTIF(S151:X151,"NA")=3,0,IF(COUNTA(S151:X151)=0,0,IF(OR(AND(S151=0,AN151&gt;0),AND(S151="ns",AO151&gt;0),AND(S151="ns",AN151=0,AO151=0)),1,IF(OR(AND(S151&gt;0,AN151=2),AND(S151="ns",AN151=2),AND(S151="ns",AO151=0,AN151&gt;0),S151=AO151),0,1))))</f>
        <v>0</v>
      </c>
      <c r="AQ151">
        <f t="shared" si="97"/>
        <v>0</v>
      </c>
      <c r="AR151">
        <f t="shared" si="98"/>
        <v>0</v>
      </c>
      <c r="AS151">
        <f t="shared" ref="AS151:AS157" si="102">IF(COUNTIF(Y151:AD151,"NA")=3,0,IF(COUNTA(Y151:AD151)=0,0,IF(OR(AND(Y151=0,AQ151&gt;0),AND(Y151="ns",AR151&gt;0),AND(Y151="ns",AQ151=0,AR151=0)),1,IF(OR(AND(Y151&gt;0,AQ151=2),AND(Y151="ns",AQ151=2),AND(Y151="ns",AR151=0,AQ151&gt;0),Y151=AR151),0,1))))</f>
        <v>0</v>
      </c>
      <c r="AT151" cm="1">
        <f t="array" ref="AT151">IF(OR(M151={"NS","NA"},M92={"NS","NA"}),0,IF(M151&gt;=M92,0,1))</f>
        <v>0</v>
      </c>
      <c r="AU151" cm="1">
        <f t="array" ref="AU151">IF(OR(O151={"NS","NA"},N92={"NS","NA"}),0,IF(O151&gt;=N92,0,1))</f>
        <v>0</v>
      </c>
      <c r="AV151" cm="1">
        <f t="array" ref="AV151">IF(OR(Q151={"NS","NA"},O92={"NS","NA"}),0,IF(Q151&gt;=O92,0,1))</f>
        <v>0</v>
      </c>
      <c r="AW151" cm="1">
        <f t="array" ref="AW151">IF(OR(S151={"NS","NA"},M92={"NS","NA"}),0,IF(S151&lt;=M92,0,1))</f>
        <v>0</v>
      </c>
      <c r="AX151" cm="1">
        <f t="array" ref="AX151">IF(OR(U151={"NS","NA"},N92={"NS","NA"}),0,IF(U151&lt;=N92,0,1))</f>
        <v>0</v>
      </c>
      <c r="AY151" cm="1">
        <f t="array" ref="AY151">IF(OR(W151={"NS","NA"},O92={"NS","NA"}),0,IF(W151&lt;=O92,0,1))</f>
        <v>0</v>
      </c>
      <c r="AZ151" cm="1">
        <f t="array" ref="AZ151">IF(OR(Y151={"NS","NA"},M92={"NS","NA"}),0,IF(Y151&lt;=M92,0,1))</f>
        <v>0</v>
      </c>
      <c r="BA151" cm="1">
        <f t="array" ref="BA151">IF(OR(AA151={"NS","NA"},N92={"NS","NA"}),0,IF(AA151&lt;=N92,0,1))</f>
        <v>0</v>
      </c>
      <c r="BB151" cm="1">
        <f t="array" ref="BB151">IF(OR(AC151={"NS","NA"},O92={"NS","NA"}),0,IF(AC151&lt;=O92,0,1))</f>
        <v>0</v>
      </c>
    </row>
    <row r="152" spans="1:54">
      <c r="A152" s="142"/>
      <c r="B152" s="57"/>
      <c r="C152" s="143" t="s">
        <v>2518</v>
      </c>
      <c r="D152" s="796" t="str">
        <f>IF(CNSIPEE_2024_M2_Secc1!D44="","",CNSIPEE_2024_M2_Secc1!D44)</f>
        <v/>
      </c>
      <c r="E152" s="796"/>
      <c r="F152" s="796"/>
      <c r="G152" s="796"/>
      <c r="H152" s="796"/>
      <c r="I152" s="796"/>
      <c r="J152" s="796"/>
      <c r="K152" s="796"/>
      <c r="L152" s="796"/>
      <c r="M152" s="816"/>
      <c r="N152" s="817"/>
      <c r="O152" s="816"/>
      <c r="P152" s="817"/>
      <c r="Q152" s="816"/>
      <c r="R152" s="817"/>
      <c r="S152" s="816"/>
      <c r="T152" s="817"/>
      <c r="U152" s="816"/>
      <c r="V152" s="817"/>
      <c r="W152" s="816"/>
      <c r="X152" s="817"/>
      <c r="Y152" s="816"/>
      <c r="Z152" s="817"/>
      <c r="AA152" s="816"/>
      <c r="AB152" s="817"/>
      <c r="AC152" s="816"/>
      <c r="AD152" s="817"/>
      <c r="AG152">
        <f t="shared" si="99"/>
        <v>0</v>
      </c>
      <c r="AH152">
        <f t="shared" si="92"/>
        <v>0</v>
      </c>
      <c r="AI152"/>
      <c r="AJ152"/>
      <c r="AK152">
        <f t="shared" si="93"/>
        <v>0</v>
      </c>
      <c r="AL152">
        <f t="shared" si="94"/>
        <v>0</v>
      </c>
      <c r="AM152">
        <f t="shared" si="100"/>
        <v>0</v>
      </c>
      <c r="AN152">
        <f t="shared" si="95"/>
        <v>0</v>
      </c>
      <c r="AO152">
        <f t="shared" si="96"/>
        <v>0</v>
      </c>
      <c r="AP152">
        <f t="shared" si="101"/>
        <v>0</v>
      </c>
      <c r="AQ152">
        <f t="shared" si="97"/>
        <v>0</v>
      </c>
      <c r="AR152">
        <f t="shared" si="98"/>
        <v>0</v>
      </c>
      <c r="AS152">
        <f t="shared" si="102"/>
        <v>0</v>
      </c>
      <c r="AT152" cm="1">
        <f t="array" ref="AT152">IF(OR(M152={"NS","NA"},M93={"NS","NA"}),0,IF(M152&gt;=M93,0,1))</f>
        <v>0</v>
      </c>
      <c r="AU152" cm="1">
        <f t="array" ref="AU152">IF(OR(O152={"NS","NA"},N93={"NS","NA"}),0,IF(O152&gt;=N93,0,1))</f>
        <v>0</v>
      </c>
      <c r="AV152" cm="1">
        <f t="array" ref="AV152">IF(OR(Q152={"NS","NA"},O93={"NS","NA"}),0,IF(Q152&gt;=O93,0,1))</f>
        <v>0</v>
      </c>
      <c r="AW152" cm="1">
        <f t="array" ref="AW152">IF(OR(S152={"NS","NA"},M93={"NS","NA"}),0,IF(S152&lt;=M93,0,1))</f>
        <v>0</v>
      </c>
      <c r="AX152" cm="1">
        <f t="array" ref="AX152">IF(OR(U152={"NS","NA"},N93={"NS","NA"}),0,IF(U152&lt;=N93,0,1))</f>
        <v>0</v>
      </c>
      <c r="AY152" cm="1">
        <f t="array" ref="AY152">IF(OR(W152={"NS","NA"},O93={"NS","NA"}),0,IF(W152&lt;=O93,0,1))</f>
        <v>0</v>
      </c>
      <c r="AZ152" cm="1">
        <f t="array" ref="AZ152">IF(OR(Y152={"NS","NA"},M93={"NS","NA"}),0,IF(Y152&lt;=M93,0,1))</f>
        <v>0</v>
      </c>
      <c r="BA152" cm="1">
        <f t="array" ref="BA152">IF(OR(AA152={"NS","NA"},N93={"NS","NA"}),0,IF(AA152&lt;=N93,0,1))</f>
        <v>0</v>
      </c>
      <c r="BB152" cm="1">
        <f t="array" ref="BB152">IF(OR(AC152={"NS","NA"},O93={"NS","NA"}),0,IF(AC152&lt;=O93,0,1))</f>
        <v>0</v>
      </c>
    </row>
    <row r="153" spans="1:54">
      <c r="A153" s="142"/>
      <c r="B153" s="57"/>
      <c r="C153" s="143" t="s">
        <v>2519</v>
      </c>
      <c r="D153" s="796" t="str">
        <f>IF(CNSIPEE_2024_M2_Secc1!D45="","",CNSIPEE_2024_M2_Secc1!D45)</f>
        <v/>
      </c>
      <c r="E153" s="796"/>
      <c r="F153" s="796"/>
      <c r="G153" s="796"/>
      <c r="H153" s="796"/>
      <c r="I153" s="796"/>
      <c r="J153" s="796"/>
      <c r="K153" s="796"/>
      <c r="L153" s="796"/>
      <c r="M153" s="816"/>
      <c r="N153" s="817"/>
      <c r="O153" s="816"/>
      <c r="P153" s="817"/>
      <c r="Q153" s="816"/>
      <c r="R153" s="817"/>
      <c r="S153" s="816"/>
      <c r="T153" s="817"/>
      <c r="U153" s="816"/>
      <c r="V153" s="817"/>
      <c r="W153" s="816"/>
      <c r="X153" s="817"/>
      <c r="Y153" s="816"/>
      <c r="Z153" s="817"/>
      <c r="AA153" s="816"/>
      <c r="AB153" s="817"/>
      <c r="AC153" s="816"/>
      <c r="AD153" s="817"/>
      <c r="AG153">
        <f t="shared" si="99"/>
        <v>0</v>
      </c>
      <c r="AH153">
        <f t="shared" si="92"/>
        <v>0</v>
      </c>
      <c r="AI153"/>
      <c r="AJ153"/>
      <c r="AK153">
        <f t="shared" si="93"/>
        <v>0</v>
      </c>
      <c r="AL153">
        <f t="shared" si="94"/>
        <v>0</v>
      </c>
      <c r="AM153">
        <f t="shared" si="100"/>
        <v>0</v>
      </c>
      <c r="AN153">
        <f t="shared" si="95"/>
        <v>0</v>
      </c>
      <c r="AO153">
        <f t="shared" si="96"/>
        <v>0</v>
      </c>
      <c r="AP153">
        <f t="shared" si="101"/>
        <v>0</v>
      </c>
      <c r="AQ153">
        <f t="shared" si="97"/>
        <v>0</v>
      </c>
      <c r="AR153">
        <f t="shared" si="98"/>
        <v>0</v>
      </c>
      <c r="AS153">
        <f t="shared" si="102"/>
        <v>0</v>
      </c>
      <c r="AT153" cm="1">
        <f t="array" ref="AT153">IF(OR(M153={"NS","NA"},M94={"NS","NA"}),0,IF(M153&gt;=M94,0,1))</f>
        <v>0</v>
      </c>
      <c r="AU153" cm="1">
        <f t="array" ref="AU153">IF(OR(O153={"NS","NA"},N94={"NS","NA"}),0,IF(O153&gt;=N94,0,1))</f>
        <v>0</v>
      </c>
      <c r="AV153" cm="1">
        <f t="array" ref="AV153">IF(OR(Q153={"NS","NA"},O94={"NS","NA"}),0,IF(Q153&gt;=O94,0,1))</f>
        <v>0</v>
      </c>
      <c r="AW153" cm="1">
        <f t="array" ref="AW153">IF(OR(S153={"NS","NA"},M94={"NS","NA"}),0,IF(S153&lt;=M94,0,1))</f>
        <v>0</v>
      </c>
      <c r="AX153" cm="1">
        <f t="array" ref="AX153">IF(OR(U153={"NS","NA"},N94={"NS","NA"}),0,IF(U153&lt;=N94,0,1))</f>
        <v>0</v>
      </c>
      <c r="AY153" cm="1">
        <f t="array" ref="AY153">IF(OR(W153={"NS","NA"},O94={"NS","NA"}),0,IF(W153&lt;=O94,0,1))</f>
        <v>0</v>
      </c>
      <c r="AZ153" cm="1">
        <f t="array" ref="AZ153">IF(OR(Y153={"NS","NA"},M94={"NS","NA"}),0,IF(Y153&lt;=M94,0,1))</f>
        <v>0</v>
      </c>
      <c r="BA153" cm="1">
        <f t="array" ref="BA153">IF(OR(AA153={"NS","NA"},N94={"NS","NA"}),0,IF(AA153&lt;=N94,0,1))</f>
        <v>0</v>
      </c>
      <c r="BB153" cm="1">
        <f t="array" ref="BB153">IF(OR(AC153={"NS","NA"},O94={"NS","NA"}),0,IF(AC153&lt;=O94,0,1))</f>
        <v>0</v>
      </c>
    </row>
    <row r="154" spans="1:54">
      <c r="A154" s="142"/>
      <c r="B154" s="57"/>
      <c r="C154" s="143" t="s">
        <v>2520</v>
      </c>
      <c r="D154" s="796" t="str">
        <f>IF(CNSIPEE_2024_M2_Secc1!D46="","",CNSIPEE_2024_M2_Secc1!D46)</f>
        <v/>
      </c>
      <c r="E154" s="796"/>
      <c r="F154" s="796"/>
      <c r="G154" s="796"/>
      <c r="H154" s="796"/>
      <c r="I154" s="796"/>
      <c r="J154" s="796"/>
      <c r="K154" s="796"/>
      <c r="L154" s="796"/>
      <c r="M154" s="816"/>
      <c r="N154" s="817"/>
      <c r="O154" s="816"/>
      <c r="P154" s="817"/>
      <c r="Q154" s="816"/>
      <c r="R154" s="817"/>
      <c r="S154" s="816"/>
      <c r="T154" s="817"/>
      <c r="U154" s="816"/>
      <c r="V154" s="817"/>
      <c r="W154" s="816"/>
      <c r="X154" s="817"/>
      <c r="Y154" s="816"/>
      <c r="Z154" s="817"/>
      <c r="AA154" s="816"/>
      <c r="AB154" s="817"/>
      <c r="AC154" s="816"/>
      <c r="AD154" s="817"/>
      <c r="AG154">
        <f t="shared" si="99"/>
        <v>0</v>
      </c>
      <c r="AH154">
        <f t="shared" si="92"/>
        <v>0</v>
      </c>
      <c r="AI154"/>
      <c r="AJ154"/>
      <c r="AK154">
        <f t="shared" si="93"/>
        <v>0</v>
      </c>
      <c r="AL154">
        <f t="shared" si="94"/>
        <v>0</v>
      </c>
      <c r="AM154">
        <f t="shared" si="100"/>
        <v>0</v>
      </c>
      <c r="AN154">
        <f t="shared" si="95"/>
        <v>0</v>
      </c>
      <c r="AO154">
        <f t="shared" si="96"/>
        <v>0</v>
      </c>
      <c r="AP154">
        <f t="shared" si="101"/>
        <v>0</v>
      </c>
      <c r="AQ154">
        <f t="shared" si="97"/>
        <v>0</v>
      </c>
      <c r="AR154">
        <f t="shared" si="98"/>
        <v>0</v>
      </c>
      <c r="AS154">
        <f t="shared" si="102"/>
        <v>0</v>
      </c>
      <c r="AT154" cm="1">
        <f t="array" ref="AT154">IF(OR(M154={"NS","NA"},M95={"NS","NA"}),0,IF(M154&gt;=M95,0,1))</f>
        <v>0</v>
      </c>
      <c r="AU154" cm="1">
        <f t="array" ref="AU154">IF(OR(O154={"NS","NA"},N95={"NS","NA"}),0,IF(O154&gt;=N95,0,1))</f>
        <v>0</v>
      </c>
      <c r="AV154" cm="1">
        <f t="array" ref="AV154">IF(OR(Q154={"NS","NA"},O95={"NS","NA"}),0,IF(Q154&gt;=O95,0,1))</f>
        <v>0</v>
      </c>
      <c r="AW154" cm="1">
        <f t="array" ref="AW154">IF(OR(S154={"NS","NA"},M95={"NS","NA"}),0,IF(S154&lt;=M95,0,1))</f>
        <v>0</v>
      </c>
      <c r="AX154" cm="1">
        <f t="array" ref="AX154">IF(OR(U154={"NS","NA"},N95={"NS","NA"}),0,IF(U154&lt;=N95,0,1))</f>
        <v>0</v>
      </c>
      <c r="AY154" cm="1">
        <f t="array" ref="AY154">IF(OR(W154={"NS","NA"},O95={"NS","NA"}),0,IF(W154&lt;=O95,0,1))</f>
        <v>0</v>
      </c>
      <c r="AZ154" cm="1">
        <f t="array" ref="AZ154">IF(OR(Y154={"NS","NA"},M95={"NS","NA"}),0,IF(Y154&lt;=M95,0,1))</f>
        <v>0</v>
      </c>
      <c r="BA154" cm="1">
        <f t="array" ref="BA154">IF(OR(AA154={"NS","NA"},N95={"NS","NA"}),0,IF(AA154&lt;=N95,0,1))</f>
        <v>0</v>
      </c>
      <c r="BB154" cm="1">
        <f t="array" ref="BB154">IF(OR(AC154={"NS","NA"},O95={"NS","NA"}),0,IF(AC154&lt;=O95,0,1))</f>
        <v>0</v>
      </c>
    </row>
    <row r="155" spans="1:54">
      <c r="A155" s="142"/>
      <c r="B155" s="57"/>
      <c r="C155" s="143" t="s">
        <v>2521</v>
      </c>
      <c r="D155" s="796" t="str">
        <f>IF(CNSIPEE_2024_M2_Secc1!D47="","",CNSIPEE_2024_M2_Secc1!D47)</f>
        <v/>
      </c>
      <c r="E155" s="796"/>
      <c r="F155" s="796"/>
      <c r="G155" s="796"/>
      <c r="H155" s="796"/>
      <c r="I155" s="796"/>
      <c r="J155" s="796"/>
      <c r="K155" s="796"/>
      <c r="L155" s="796"/>
      <c r="M155" s="816"/>
      <c r="N155" s="817"/>
      <c r="O155" s="816"/>
      <c r="P155" s="817"/>
      <c r="Q155" s="816"/>
      <c r="R155" s="817"/>
      <c r="S155" s="816"/>
      <c r="T155" s="817"/>
      <c r="U155" s="816"/>
      <c r="V155" s="817"/>
      <c r="W155" s="816"/>
      <c r="X155" s="817"/>
      <c r="Y155" s="816"/>
      <c r="Z155" s="817"/>
      <c r="AA155" s="816"/>
      <c r="AB155" s="817"/>
      <c r="AC155" s="816"/>
      <c r="AD155" s="817"/>
      <c r="AG155">
        <f t="shared" si="99"/>
        <v>0</v>
      </c>
      <c r="AH155">
        <f t="shared" si="92"/>
        <v>0</v>
      </c>
      <c r="AI155"/>
      <c r="AJ155"/>
      <c r="AK155">
        <f t="shared" si="93"/>
        <v>0</v>
      </c>
      <c r="AL155">
        <f t="shared" si="94"/>
        <v>0</v>
      </c>
      <c r="AM155">
        <f t="shared" si="100"/>
        <v>0</v>
      </c>
      <c r="AN155">
        <f t="shared" si="95"/>
        <v>0</v>
      </c>
      <c r="AO155">
        <f t="shared" si="96"/>
        <v>0</v>
      </c>
      <c r="AP155">
        <f t="shared" si="101"/>
        <v>0</v>
      </c>
      <c r="AQ155">
        <f t="shared" si="97"/>
        <v>0</v>
      </c>
      <c r="AR155">
        <f t="shared" si="98"/>
        <v>0</v>
      </c>
      <c r="AS155">
        <f t="shared" si="102"/>
        <v>0</v>
      </c>
      <c r="AT155" cm="1">
        <f t="array" ref="AT155">IF(OR(M155={"NS","NA"},M96={"NS","NA"}),0,IF(M155&gt;=M96,0,1))</f>
        <v>0</v>
      </c>
      <c r="AU155" cm="1">
        <f t="array" ref="AU155">IF(OR(O155={"NS","NA"},N96={"NS","NA"}),0,IF(O155&gt;=N96,0,1))</f>
        <v>0</v>
      </c>
      <c r="AV155" cm="1">
        <f t="array" ref="AV155">IF(OR(Q155={"NS","NA"},O96={"NS","NA"}),0,IF(Q155&gt;=O96,0,1))</f>
        <v>0</v>
      </c>
      <c r="AW155" cm="1">
        <f t="array" ref="AW155">IF(OR(S155={"NS","NA"},M96={"NS","NA"}),0,IF(S155&lt;=M96,0,1))</f>
        <v>0</v>
      </c>
      <c r="AX155" cm="1">
        <f t="array" ref="AX155">IF(OR(U155={"NS","NA"},N96={"NS","NA"}),0,IF(U155&lt;=N96,0,1))</f>
        <v>0</v>
      </c>
      <c r="AY155" cm="1">
        <f t="array" ref="AY155">IF(OR(W155={"NS","NA"},O96={"NS","NA"}),0,IF(W155&lt;=O96,0,1))</f>
        <v>0</v>
      </c>
      <c r="AZ155" cm="1">
        <f t="array" ref="AZ155">IF(OR(Y155={"NS","NA"},M96={"NS","NA"}),0,IF(Y155&lt;=M96,0,1))</f>
        <v>0</v>
      </c>
      <c r="BA155" cm="1">
        <f t="array" ref="BA155">IF(OR(AA155={"NS","NA"},N96={"NS","NA"}),0,IF(AA155&lt;=N96,0,1))</f>
        <v>0</v>
      </c>
      <c r="BB155" cm="1">
        <f t="array" ref="BB155">IF(OR(AC155={"NS","NA"},O96={"NS","NA"}),0,IF(AC155&lt;=O96,0,1))</f>
        <v>0</v>
      </c>
    </row>
    <row r="156" spans="1:54">
      <c r="A156" s="142"/>
      <c r="B156" s="57"/>
      <c r="C156" s="143" t="s">
        <v>2522</v>
      </c>
      <c r="D156" s="796" t="str">
        <f>IF(CNSIPEE_2024_M2_Secc1!D48="","",CNSIPEE_2024_M2_Secc1!D48)</f>
        <v/>
      </c>
      <c r="E156" s="796"/>
      <c r="F156" s="796"/>
      <c r="G156" s="796"/>
      <c r="H156" s="796"/>
      <c r="I156" s="796"/>
      <c r="J156" s="796"/>
      <c r="K156" s="796"/>
      <c r="L156" s="796"/>
      <c r="M156" s="816"/>
      <c r="N156" s="817"/>
      <c r="O156" s="816"/>
      <c r="P156" s="817"/>
      <c r="Q156" s="816"/>
      <c r="R156" s="817"/>
      <c r="S156" s="816"/>
      <c r="T156" s="817"/>
      <c r="U156" s="816"/>
      <c r="V156" s="817"/>
      <c r="W156" s="816"/>
      <c r="X156" s="817"/>
      <c r="Y156" s="816"/>
      <c r="Z156" s="817"/>
      <c r="AA156" s="816"/>
      <c r="AB156" s="817"/>
      <c r="AC156" s="816"/>
      <c r="AD156" s="817"/>
      <c r="AG156">
        <f t="shared" si="99"/>
        <v>0</v>
      </c>
      <c r="AH156">
        <f t="shared" si="92"/>
        <v>0</v>
      </c>
      <c r="AI156"/>
      <c r="AJ156"/>
      <c r="AK156">
        <f t="shared" si="93"/>
        <v>0</v>
      </c>
      <c r="AL156">
        <f t="shared" si="94"/>
        <v>0</v>
      </c>
      <c r="AM156">
        <f t="shared" si="100"/>
        <v>0</v>
      </c>
      <c r="AN156">
        <f t="shared" si="95"/>
        <v>0</v>
      </c>
      <c r="AO156">
        <f t="shared" si="96"/>
        <v>0</v>
      </c>
      <c r="AP156">
        <f t="shared" si="101"/>
        <v>0</v>
      </c>
      <c r="AQ156">
        <f t="shared" si="97"/>
        <v>0</v>
      </c>
      <c r="AR156">
        <f t="shared" si="98"/>
        <v>0</v>
      </c>
      <c r="AS156">
        <f t="shared" si="102"/>
        <v>0</v>
      </c>
      <c r="AT156" cm="1">
        <f t="array" ref="AT156">IF(OR(M156={"NS","NA"},M97={"NS","NA"}),0,IF(M156&gt;=M97,0,1))</f>
        <v>0</v>
      </c>
      <c r="AU156" cm="1">
        <f t="array" ref="AU156">IF(OR(O156={"NS","NA"},N97={"NS","NA"}),0,IF(O156&gt;=N97,0,1))</f>
        <v>0</v>
      </c>
      <c r="AV156" cm="1">
        <f t="array" ref="AV156">IF(OR(Q156={"NS","NA"},O97={"NS","NA"}),0,IF(Q156&gt;=O97,0,1))</f>
        <v>0</v>
      </c>
      <c r="AW156" cm="1">
        <f t="array" ref="AW156">IF(OR(S156={"NS","NA"},M97={"NS","NA"}),0,IF(S156&lt;=M97,0,1))</f>
        <v>0</v>
      </c>
      <c r="AX156" cm="1">
        <f t="array" ref="AX156">IF(OR(U156={"NS","NA"},N97={"NS","NA"}),0,IF(U156&lt;=N97,0,1))</f>
        <v>0</v>
      </c>
      <c r="AY156" cm="1">
        <f t="array" ref="AY156">IF(OR(W156={"NS","NA"},O97={"NS","NA"}),0,IF(W156&lt;=O97,0,1))</f>
        <v>0</v>
      </c>
      <c r="AZ156" cm="1">
        <f t="array" ref="AZ156">IF(OR(Y156={"NS","NA"},M97={"NS","NA"}),0,IF(Y156&lt;=M97,0,1))</f>
        <v>0</v>
      </c>
      <c r="BA156" cm="1">
        <f t="array" ref="BA156">IF(OR(AA156={"NS","NA"},N97={"NS","NA"}),0,IF(AA156&lt;=N97,0,1))</f>
        <v>0</v>
      </c>
      <c r="BB156" cm="1">
        <f t="array" ref="BB156">IF(OR(AC156={"NS","NA"},O97={"NS","NA"}),0,IF(AC156&lt;=O97,0,1))</f>
        <v>0</v>
      </c>
    </row>
    <row r="157" spans="1:54">
      <c r="A157" s="142"/>
      <c r="B157" s="57"/>
      <c r="C157" s="143" t="s">
        <v>2523</v>
      </c>
      <c r="D157" s="796" t="str">
        <f>IF(CNSIPEE_2024_M2_Secc1!D49="","",CNSIPEE_2024_M2_Secc1!D49)</f>
        <v/>
      </c>
      <c r="E157" s="796"/>
      <c r="F157" s="796"/>
      <c r="G157" s="796"/>
      <c r="H157" s="796"/>
      <c r="I157" s="796"/>
      <c r="J157" s="796"/>
      <c r="K157" s="796"/>
      <c r="L157" s="796"/>
      <c r="M157" s="816"/>
      <c r="N157" s="817"/>
      <c r="O157" s="816"/>
      <c r="P157" s="817"/>
      <c r="Q157" s="816"/>
      <c r="R157" s="817"/>
      <c r="S157" s="816"/>
      <c r="T157" s="817"/>
      <c r="U157" s="816"/>
      <c r="V157" s="817"/>
      <c r="W157" s="816"/>
      <c r="X157" s="817"/>
      <c r="Y157" s="816"/>
      <c r="Z157" s="817"/>
      <c r="AA157" s="816"/>
      <c r="AB157" s="817"/>
      <c r="AC157" s="816"/>
      <c r="AD157" s="817"/>
      <c r="AG157">
        <f t="shared" si="99"/>
        <v>0</v>
      </c>
      <c r="AH157">
        <f t="shared" si="92"/>
        <v>0</v>
      </c>
      <c r="AI157"/>
      <c r="AJ157"/>
      <c r="AK157">
        <f t="shared" si="93"/>
        <v>0</v>
      </c>
      <c r="AL157">
        <f t="shared" si="94"/>
        <v>0</v>
      </c>
      <c r="AM157">
        <f t="shared" si="100"/>
        <v>0</v>
      </c>
      <c r="AN157">
        <f t="shared" si="95"/>
        <v>0</v>
      </c>
      <c r="AO157">
        <f t="shared" si="96"/>
        <v>0</v>
      </c>
      <c r="AP157">
        <f t="shared" si="101"/>
        <v>0</v>
      </c>
      <c r="AQ157">
        <f t="shared" si="97"/>
        <v>0</v>
      </c>
      <c r="AR157">
        <f t="shared" si="98"/>
        <v>0</v>
      </c>
      <c r="AS157">
        <f t="shared" si="102"/>
        <v>0</v>
      </c>
      <c r="AT157" cm="1">
        <f t="array" ref="AT157">IF(OR(M157={"NS","NA"},M98={"NS","NA"}),0,IF(M157&gt;=M98,0,1))</f>
        <v>0</v>
      </c>
      <c r="AU157" cm="1">
        <f t="array" ref="AU157">IF(OR(O157={"NS","NA"},N98={"NS","NA"}),0,IF(O157&gt;=N98,0,1))</f>
        <v>0</v>
      </c>
      <c r="AV157" cm="1">
        <f t="array" ref="AV157">IF(OR(Q157={"NS","NA"},O98={"NS","NA"}),0,IF(Q157&gt;=O98,0,1))</f>
        <v>0</v>
      </c>
      <c r="AW157" cm="1">
        <f t="array" ref="AW157">IF(OR(S157={"NS","NA"},M98={"NS","NA"}),0,IF(S157&lt;=M98,0,1))</f>
        <v>0</v>
      </c>
      <c r="AX157" cm="1">
        <f t="array" ref="AX157">IF(OR(U157={"NS","NA"},N98={"NS","NA"}),0,IF(U157&lt;=N98,0,1))</f>
        <v>0</v>
      </c>
      <c r="AY157" cm="1">
        <f t="array" ref="AY157">IF(OR(W157={"NS","NA"},O98={"NS","NA"}),0,IF(W157&lt;=O98,0,1))</f>
        <v>0</v>
      </c>
      <c r="AZ157" cm="1">
        <f t="array" ref="AZ157">IF(OR(Y157={"NS","NA"},M98={"NS","NA"}),0,IF(Y157&lt;=M98,0,1))</f>
        <v>0</v>
      </c>
      <c r="BA157" cm="1">
        <f t="array" ref="BA157">IF(OR(AA157={"NS","NA"},N98={"NS","NA"}),0,IF(AA157&lt;=N98,0,1))</f>
        <v>0</v>
      </c>
      <c r="BB157" cm="1">
        <f t="array" ref="BB157">IF(OR(AC157={"NS","NA"},O98={"NS","NA"}),0,IF(AC157&lt;=O98,0,1))</f>
        <v>0</v>
      </c>
    </row>
    <row r="158" spans="1:54">
      <c r="A158" s="50"/>
      <c r="B158" s="38"/>
      <c r="C158" s="38"/>
      <c r="D158" s="38"/>
      <c r="E158" s="38"/>
      <c r="L158" s="99" t="s">
        <v>2649</v>
      </c>
      <c r="M158" s="736">
        <f>IF(AND(SUM(M150:M157)=0,COUNTIF(M150:M157,"NS")&gt;0),"NS",IF(AND(SUM(M150:M157)=0,COUNTIF(M150:M157,0)&gt;0),0,IF(AND(SUM(M150:M157)=0,COUNTIF(M150:M157,"NA")&gt;0),"NA",SUM(M150:M157))))</f>
        <v>0</v>
      </c>
      <c r="N158" s="1086"/>
      <c r="O158" s="736">
        <f>IF(AND(SUM(O150:O157)=0,COUNTIF(O150:O157,"NS")&gt;0),"NS",IF(AND(SUM(O150:O157)=0,COUNTIF(O150:O157,0)&gt;0),0,IF(AND(SUM(O150:O157)=0,COUNTIF(O150:O157,"NA")&gt;0),"NA",SUM(O150:O157))))</f>
        <v>0</v>
      </c>
      <c r="P158" s="1086"/>
      <c r="Q158" s="736">
        <f>IF(AND(SUM(Q150:Q157)=0,COUNTIF(Q150:Q157,"NS")&gt;0),"NS",IF(AND(SUM(Q150:Q157)=0,COUNTIF(Q150:Q157,0)&gt;0),0,IF(AND(SUM(Q150:Q157)=0,COUNTIF(Q150:Q157,"NA")&gt;0),"NA",SUM(Q150:Q157))))</f>
        <v>0</v>
      </c>
      <c r="R158" s="1086"/>
      <c r="S158" s="736">
        <f>IF(AND(SUM(S150:S157)=0,COUNTIF(S150:S157,"NS")&gt;0),"NS",IF(AND(SUM(S150:S157)=0,COUNTIF(S150:S157,0)&gt;0),0,IF(AND(SUM(S150:S157)=0,COUNTIF(S150:S157,"NA")&gt;0),"NA",SUM(S150:S157))))</f>
        <v>0</v>
      </c>
      <c r="T158" s="1086"/>
      <c r="U158" s="736">
        <f>IF(AND(SUM(U150:U157)=0,COUNTIF(U150:U157,"NS")&gt;0),"NS",IF(AND(SUM(U150:U157)=0,COUNTIF(U150:U157,0)&gt;0),0,IF(AND(SUM(U150:U157)=0,COUNTIF(U150:U157,"NA")&gt;0),"NA",SUM(U150:U157))))</f>
        <v>0</v>
      </c>
      <c r="V158" s="1086"/>
      <c r="W158" s="736">
        <f>IF(AND(SUM(W150:W157)=0,COUNTIF(W150:W157,"NS")&gt;0),"NS",IF(AND(SUM(W150:W157)=0,COUNTIF(W150:W157,0)&gt;0),0,IF(AND(SUM(W150:W157)=0,COUNTIF(W150:W157,"NA")&gt;0),"NA",SUM(W150:W157))))</f>
        <v>0</v>
      </c>
      <c r="X158" s="1086"/>
      <c r="Y158" s="736">
        <f>IF(AND(SUM(Y150:Y157)=0,COUNTIF(Y150:Y157,"NS")&gt;0),"NS",IF(AND(SUM(Y150:Y157)=0,COUNTIF(Y150:Y157,0)&gt;0),0,IF(AND(SUM(Y150:Y157)=0,COUNTIF(Y150:Y157,"NA")&gt;0),"NA",SUM(Y150:Y157))))</f>
        <v>0</v>
      </c>
      <c r="Z158" s="1086"/>
      <c r="AA158" s="736">
        <f>IF(AND(SUM(AA150:AA157)=0,COUNTIF(AA150:AA157,"NS")&gt;0),"NS",IF(AND(SUM(AA150:AA157)=0,COUNTIF(AA150:AA157,0)&gt;0),0,IF(AND(SUM(AA150:AA157)=0,COUNTIF(AA150:AA157,"NA")&gt;0),"NA",SUM(AA150:AA157))))</f>
        <v>0</v>
      </c>
      <c r="AB158" s="1086"/>
      <c r="AC158" s="736">
        <f>IF(AND(SUM(AC150:AC157)=0,COUNTIF(AC150:AC157,"NS")&gt;0),"NS",IF(AND(SUM(AC150:AC157)=0,COUNTIF(AC150:AC157,0)&gt;0),0,IF(AND(SUM(AC150:AC157)=0,COUNTIF(AC150:AC157,"NA")&gt;0),"NA",SUM(AC150:AC157))))</f>
        <v>0</v>
      </c>
      <c r="AD158" s="1086"/>
      <c r="AG158" s="507">
        <f>SUM(AG150:AG157)</f>
        <v>0</v>
      </c>
      <c r="AH158" s="507">
        <f>SUM(AH150:AH157)</f>
        <v>0</v>
      </c>
      <c r="AJ158"/>
      <c r="AK158">
        <f>SUM(AK150:AK157)</f>
        <v>0</v>
      </c>
      <c r="AM158">
        <f>SUM(AM150:AM157)</f>
        <v>0</v>
      </c>
      <c r="AN158">
        <f>SUM(AN150:AN157)</f>
        <v>0</v>
      </c>
      <c r="AP158">
        <f>SUM(AP150:AP157)</f>
        <v>0</v>
      </c>
      <c r="AQ158">
        <f>SUM(AQ150:AQ157)</f>
        <v>0</v>
      </c>
      <c r="AS158">
        <f>SUM(AS150:AS157)</f>
        <v>0</v>
      </c>
      <c r="AV158" s="507">
        <f>SUM(AT150:AV157)</f>
        <v>0</v>
      </c>
      <c r="BB158" s="507">
        <f>SUM(AW150:BB157)</f>
        <v>0</v>
      </c>
    </row>
    <row r="159" spans="1:54">
      <c r="A159" s="169"/>
      <c r="B159" s="90"/>
      <c r="C159" s="90"/>
      <c r="D159" s="90"/>
      <c r="E159" s="90"/>
      <c r="F159" s="90"/>
      <c r="G159" s="90"/>
      <c r="H159" s="90"/>
      <c r="I159" s="90"/>
      <c r="J159" s="90"/>
      <c r="K159" s="90"/>
      <c r="L159" s="90"/>
      <c r="M159" s="90"/>
      <c r="N159" s="90"/>
      <c r="O159" s="90"/>
      <c r="P159" s="90"/>
      <c r="Q159" s="90"/>
      <c r="R159" s="90"/>
      <c r="S159" s="90"/>
      <c r="T159" s="90"/>
      <c r="U159" s="90"/>
      <c r="V159" s="90"/>
      <c r="W159" s="90"/>
      <c r="X159" s="90"/>
      <c r="Y159" s="90"/>
      <c r="Z159" s="90"/>
      <c r="AA159" s="90"/>
      <c r="AB159" s="90"/>
      <c r="AC159" s="90"/>
      <c r="AD159" s="90"/>
      <c r="AK159" t="s">
        <v>2650</v>
      </c>
      <c r="AL159" s="506">
        <f>SUM(AM158,AP158,AS158)</f>
        <v>0</v>
      </c>
      <c r="AM159" t="s">
        <v>2651</v>
      </c>
      <c r="AN159">
        <f>SUM(AK158,AN158,AQ158)</f>
        <v>0</v>
      </c>
    </row>
    <row r="160" spans="1:54" ht="24" customHeight="1">
      <c r="A160" s="50"/>
      <c r="B160" s="38"/>
      <c r="C160" s="754" t="s">
        <v>2611</v>
      </c>
      <c r="D160" s="754"/>
      <c r="E160" s="754"/>
      <c r="F160" s="754"/>
      <c r="G160" s="754"/>
      <c r="H160" s="754"/>
      <c r="I160" s="754"/>
      <c r="J160" s="754"/>
      <c r="K160" s="754"/>
      <c r="L160" s="754"/>
      <c r="M160" s="754"/>
      <c r="N160" s="754"/>
      <c r="O160" s="754"/>
      <c r="P160" s="754"/>
      <c r="Q160" s="754"/>
      <c r="R160" s="754"/>
      <c r="S160" s="754"/>
      <c r="T160" s="754"/>
      <c r="U160" s="754"/>
      <c r="V160" s="754"/>
      <c r="W160" s="754"/>
      <c r="X160" s="754"/>
      <c r="Y160" s="754"/>
      <c r="Z160" s="754"/>
      <c r="AA160" s="754"/>
      <c r="AB160" s="754"/>
      <c r="AC160" s="754"/>
      <c r="AD160" s="754"/>
      <c r="AK160" t="s">
        <v>2652</v>
      </c>
      <c r="AL160">
        <f>IF(AN159&gt;0,IF(SUM(M158)&gt;=SUM(S158,Y158),0,1),IF(SUM(M158)&lt;&gt;SUM(S158,Y158),1,0))</f>
        <v>0</v>
      </c>
      <c r="AM160" t="s">
        <v>2653</v>
      </c>
      <c r="AN160">
        <f>IF(AN159&gt;0,IF(SUM(O158)&gt;=SUM(U158,AA158),0,1),IF(SUM(O158)&lt;&gt;SUM(U158,AA158),1,0))</f>
        <v>0</v>
      </c>
      <c r="AO160" t="s">
        <v>2654</v>
      </c>
      <c r="AP160">
        <f>IF(AN159&gt;0,IF(SUM(Q158)&gt;=SUM(W158,AC158),0,1),IF(SUM(Q158)&lt;&gt;SUM(W158,AC158),1,0))</f>
        <v>0</v>
      </c>
    </row>
    <row r="161" spans="1:31" ht="60" customHeight="1">
      <c r="A161" s="50"/>
      <c r="B161" s="38"/>
      <c r="C161" s="851"/>
      <c r="D161" s="851"/>
      <c r="E161" s="851"/>
      <c r="F161" s="851"/>
      <c r="G161" s="851"/>
      <c r="H161" s="851"/>
      <c r="I161" s="851"/>
      <c r="J161" s="851"/>
      <c r="K161" s="851"/>
      <c r="L161" s="851"/>
      <c r="M161" s="851"/>
      <c r="N161" s="851"/>
      <c r="O161" s="851"/>
      <c r="P161" s="851"/>
      <c r="Q161" s="851"/>
      <c r="R161" s="851"/>
      <c r="S161" s="851"/>
      <c r="T161" s="851"/>
      <c r="U161" s="851"/>
      <c r="V161" s="851"/>
      <c r="W161" s="851"/>
      <c r="X161" s="851"/>
      <c r="Y161" s="851"/>
      <c r="Z161" s="851"/>
      <c r="AA161" s="851"/>
      <c r="AB161" s="851"/>
      <c r="AC161" s="851"/>
      <c r="AD161" s="851"/>
    </row>
    <row r="162" spans="1:31">
      <c r="A162" s="142"/>
      <c r="B162" s="794" t="str">
        <f>IF(AG158=0,"","Favor de ingresar toda la información requerida en la pregunta")</f>
        <v/>
      </c>
      <c r="C162" s="794"/>
      <c r="D162" s="794"/>
      <c r="E162" s="794"/>
      <c r="F162" s="794"/>
      <c r="G162" s="794"/>
      <c r="H162" s="794"/>
      <c r="I162" s="794"/>
      <c r="J162" s="794"/>
      <c r="K162" s="794"/>
      <c r="L162" s="794"/>
      <c r="M162" s="794"/>
      <c r="N162" s="794"/>
      <c r="O162" s="794"/>
      <c r="P162" s="794"/>
      <c r="Q162" s="794"/>
      <c r="R162" s="794"/>
      <c r="S162" s="794"/>
      <c r="T162" s="794"/>
      <c r="U162" s="794"/>
      <c r="V162" s="794"/>
      <c r="W162" s="794"/>
      <c r="X162" s="794"/>
      <c r="Y162" s="794"/>
      <c r="Z162" s="794"/>
      <c r="AA162" s="794"/>
      <c r="AB162" s="794"/>
      <c r="AC162" s="794"/>
      <c r="AD162" s="794"/>
      <c r="AE162" s="794"/>
    </row>
    <row r="163" spans="1:31">
      <c r="A163" s="169"/>
      <c r="B163" s="1087" t="str">
        <f>IF(COUNTIF(M150:AD157,"NS")&lt;&gt;0,"Alerta: debido a que cuenta con registros NS, debe proporcionar una justificación en el area de comentarios al final de la pregunta","")</f>
        <v/>
      </c>
      <c r="C163" s="1087"/>
      <c r="D163" s="1087"/>
      <c r="E163" s="1087"/>
      <c r="F163" s="1087"/>
      <c r="G163" s="1087"/>
      <c r="H163" s="1087"/>
      <c r="I163" s="1087"/>
      <c r="J163" s="1087"/>
      <c r="K163" s="1087"/>
      <c r="L163" s="1087"/>
      <c r="M163" s="1087"/>
      <c r="N163" s="1087"/>
      <c r="O163" s="1087"/>
      <c r="P163" s="1087"/>
      <c r="Q163" s="1087"/>
      <c r="R163" s="1087"/>
      <c r="S163" s="1087"/>
      <c r="T163" s="1087"/>
      <c r="U163" s="1087"/>
      <c r="V163" s="1087"/>
      <c r="W163" s="1087"/>
      <c r="X163" s="1087"/>
      <c r="Y163" s="1087"/>
      <c r="Z163" s="1087"/>
      <c r="AA163" s="1087"/>
      <c r="AB163" s="1087"/>
      <c r="AC163" s="1087"/>
      <c r="AD163" s="1087"/>
      <c r="AE163" s="1087"/>
    </row>
    <row r="164" spans="1:31">
      <c r="A164" s="169"/>
      <c r="B164" s="1003" t="str">
        <f>IF(AH158&gt;0,"Revise la información capturada, ya que tiene datos ingresados en celdas que están sombreadas","")</f>
        <v/>
      </c>
      <c r="C164" s="1003"/>
      <c r="D164" s="1003"/>
      <c r="E164" s="1003"/>
      <c r="F164" s="1003"/>
      <c r="G164" s="1003"/>
      <c r="H164" s="1003"/>
      <c r="I164" s="1003"/>
      <c r="J164" s="1003"/>
      <c r="K164" s="1003"/>
      <c r="L164" s="1003"/>
      <c r="M164" s="1003"/>
      <c r="N164" s="1003"/>
      <c r="O164" s="1003"/>
      <c r="P164" s="1003"/>
      <c r="Q164" s="1003"/>
      <c r="R164" s="1003"/>
      <c r="S164" s="1003"/>
      <c r="T164" s="1003"/>
      <c r="U164" s="1003"/>
      <c r="V164" s="1003"/>
      <c r="W164" s="1003"/>
      <c r="X164" s="1003"/>
      <c r="Y164" s="1003"/>
      <c r="Z164" s="1003"/>
      <c r="AA164" s="1003"/>
      <c r="AB164" s="1003"/>
      <c r="AC164" s="1003"/>
      <c r="AD164" s="1003"/>
      <c r="AE164" s="1003"/>
    </row>
    <row r="165" spans="1:31">
      <c r="A165" s="169"/>
      <c r="B165" s="1003" t="str">
        <f>IF(AL159&gt;0,"Favor de revisar la suma y consistencia de totales y/o subtotales por filas (numéricos y NS)","")</f>
        <v/>
      </c>
      <c r="C165" s="1003"/>
      <c r="D165" s="1003"/>
      <c r="E165" s="1003"/>
      <c r="F165" s="1003"/>
      <c r="G165" s="1003"/>
      <c r="H165" s="1003"/>
      <c r="I165" s="1003"/>
      <c r="J165" s="1003"/>
      <c r="K165" s="1003"/>
      <c r="L165" s="1003"/>
      <c r="M165" s="1003"/>
      <c r="N165" s="1003"/>
      <c r="O165" s="1003"/>
      <c r="P165" s="1003"/>
      <c r="Q165" s="1003"/>
      <c r="R165" s="1003"/>
      <c r="S165" s="1003"/>
      <c r="T165" s="1003"/>
      <c r="U165" s="1003"/>
      <c r="V165" s="1003"/>
      <c r="W165" s="1003"/>
      <c r="X165" s="1003"/>
      <c r="Y165" s="1003"/>
      <c r="Z165" s="1003"/>
      <c r="AA165" s="1003"/>
      <c r="AB165" s="1003"/>
      <c r="AC165" s="1003"/>
      <c r="AD165" s="1003"/>
      <c r="AE165" s="1003"/>
    </row>
    <row r="166" spans="1:31">
      <c r="A166" s="216"/>
      <c r="B166" s="794" t="str">
        <f>IF(AV158&gt;0,"Favor de revisar la instrucción 3, debido a que no se cumplen con los criterios mencionados","")</f>
        <v/>
      </c>
      <c r="C166" s="794"/>
      <c r="D166" s="794"/>
      <c r="E166" s="794"/>
      <c r="F166" s="794"/>
      <c r="G166" s="794"/>
      <c r="H166" s="794"/>
      <c r="I166" s="794"/>
      <c r="J166" s="794"/>
      <c r="K166" s="794"/>
      <c r="L166" s="794"/>
      <c r="M166" s="794"/>
      <c r="N166" s="794"/>
      <c r="O166" s="794"/>
      <c r="P166" s="794"/>
      <c r="Q166" s="794"/>
      <c r="R166" s="794"/>
      <c r="S166" s="794"/>
      <c r="T166" s="794"/>
      <c r="U166" s="794"/>
      <c r="V166" s="794"/>
      <c r="W166" s="794"/>
      <c r="X166" s="794"/>
      <c r="Y166" s="794"/>
      <c r="Z166" s="794"/>
      <c r="AA166" s="794"/>
      <c r="AB166" s="794"/>
      <c r="AC166" s="794"/>
      <c r="AD166" s="794"/>
      <c r="AE166" s="794"/>
    </row>
    <row r="167" spans="1:31">
      <c r="A167" s="169"/>
      <c r="B167" s="795" t="str">
        <f>IF(BB158&gt;0,"Alerta: debe de proporcionar una justificación de acuerdo a lo establecido en la instrucción 4","")</f>
        <v/>
      </c>
      <c r="C167" s="795"/>
      <c r="D167" s="795"/>
      <c r="E167" s="795"/>
      <c r="F167" s="795"/>
      <c r="G167" s="795"/>
      <c r="H167" s="795"/>
      <c r="I167" s="795"/>
      <c r="J167" s="795"/>
      <c r="K167" s="795"/>
      <c r="L167" s="795"/>
      <c r="M167" s="795"/>
      <c r="N167" s="795"/>
      <c r="O167" s="795"/>
      <c r="P167" s="795"/>
      <c r="Q167" s="795"/>
      <c r="R167" s="795"/>
      <c r="S167" s="795"/>
      <c r="T167" s="795"/>
      <c r="U167" s="795"/>
      <c r="V167" s="795"/>
      <c r="W167" s="795"/>
      <c r="X167" s="795"/>
      <c r="Y167" s="795"/>
      <c r="Z167" s="795"/>
      <c r="AA167" s="795"/>
      <c r="AB167" s="795"/>
      <c r="AC167" s="795"/>
      <c r="AD167" s="795"/>
      <c r="AE167" s="795"/>
    </row>
    <row r="168" spans="1:31" ht="48" customHeight="1">
      <c r="A168" s="49" t="s">
        <v>5826</v>
      </c>
      <c r="B168" s="829" t="s">
        <v>5827</v>
      </c>
      <c r="C168" s="829"/>
      <c r="D168" s="829"/>
      <c r="E168" s="829"/>
      <c r="F168" s="829"/>
      <c r="G168" s="829"/>
      <c r="H168" s="829"/>
      <c r="I168" s="829"/>
      <c r="J168" s="829"/>
      <c r="K168" s="829"/>
      <c r="L168" s="829"/>
      <c r="M168" s="829"/>
      <c r="N168" s="829"/>
      <c r="O168" s="829"/>
      <c r="P168" s="829"/>
      <c r="Q168" s="829"/>
      <c r="R168" s="829"/>
      <c r="S168" s="829"/>
      <c r="T168" s="829"/>
      <c r="U168" s="829"/>
      <c r="V168" s="829"/>
      <c r="W168" s="829"/>
      <c r="X168" s="829"/>
      <c r="Y168" s="829"/>
      <c r="Z168" s="829"/>
      <c r="AA168" s="829"/>
      <c r="AB168" s="829"/>
      <c r="AC168" s="829"/>
      <c r="AD168" s="829"/>
    </row>
    <row r="169" spans="1:31" ht="24" customHeight="1">
      <c r="A169" s="50"/>
      <c r="B169" s="38"/>
      <c r="C169" s="754" t="s">
        <v>5828</v>
      </c>
      <c r="D169" s="754"/>
      <c r="E169" s="754"/>
      <c r="F169" s="754"/>
      <c r="G169" s="754"/>
      <c r="H169" s="754"/>
      <c r="I169" s="754"/>
      <c r="J169" s="754"/>
      <c r="K169" s="754"/>
      <c r="L169" s="754"/>
      <c r="M169" s="754"/>
      <c r="N169" s="754"/>
      <c r="O169" s="754"/>
      <c r="P169" s="754"/>
      <c r="Q169" s="754"/>
      <c r="R169" s="754"/>
      <c r="S169" s="754"/>
      <c r="T169" s="754"/>
      <c r="U169" s="754"/>
      <c r="V169" s="754"/>
      <c r="W169" s="754"/>
      <c r="X169" s="754"/>
      <c r="Y169" s="754"/>
      <c r="Z169" s="754"/>
      <c r="AA169" s="754"/>
      <c r="AB169" s="754"/>
      <c r="AC169" s="754"/>
      <c r="AD169" s="754"/>
    </row>
    <row r="170" spans="1:31" ht="36" customHeight="1">
      <c r="A170" s="50"/>
      <c r="B170" s="38"/>
      <c r="C170" s="754" t="s">
        <v>5829</v>
      </c>
      <c r="D170" s="830"/>
      <c r="E170" s="830"/>
      <c r="F170" s="830"/>
      <c r="G170" s="830"/>
      <c r="H170" s="830"/>
      <c r="I170" s="830"/>
      <c r="J170" s="830"/>
      <c r="K170" s="830"/>
      <c r="L170" s="830"/>
      <c r="M170" s="830"/>
      <c r="N170" s="830"/>
      <c r="O170" s="830"/>
      <c r="P170" s="830"/>
      <c r="Q170" s="830"/>
      <c r="R170" s="830"/>
      <c r="S170" s="830"/>
      <c r="T170" s="830"/>
      <c r="U170" s="830"/>
      <c r="V170" s="830"/>
      <c r="W170" s="830"/>
      <c r="X170" s="830"/>
      <c r="Y170" s="830"/>
      <c r="Z170" s="830"/>
      <c r="AA170" s="830"/>
      <c r="AB170" s="830"/>
      <c r="AC170" s="830"/>
      <c r="AD170" s="830"/>
    </row>
    <row r="171" spans="1:31" ht="24" customHeight="1">
      <c r="A171" s="50"/>
      <c r="B171" s="38"/>
      <c r="C171" s="830" t="s">
        <v>5830</v>
      </c>
      <c r="D171" s="830"/>
      <c r="E171" s="830"/>
      <c r="F171" s="830"/>
      <c r="G171" s="830"/>
      <c r="H171" s="830"/>
      <c r="I171" s="830"/>
      <c r="J171" s="830"/>
      <c r="K171" s="830"/>
      <c r="L171" s="830"/>
      <c r="M171" s="830"/>
      <c r="N171" s="830"/>
      <c r="O171" s="830"/>
      <c r="P171" s="830"/>
      <c r="Q171" s="830"/>
      <c r="R171" s="830"/>
      <c r="S171" s="830"/>
      <c r="T171" s="830"/>
      <c r="U171" s="830"/>
      <c r="V171" s="830"/>
      <c r="W171" s="830"/>
      <c r="X171" s="830"/>
      <c r="Y171" s="830"/>
      <c r="Z171" s="830"/>
      <c r="AA171" s="830"/>
      <c r="AB171" s="830"/>
      <c r="AC171" s="830"/>
      <c r="AD171" s="830"/>
    </row>
    <row r="172" spans="1:31" ht="36" customHeight="1">
      <c r="A172" s="50"/>
      <c r="B172" s="38"/>
      <c r="C172" s="830" t="s">
        <v>5831</v>
      </c>
      <c r="D172" s="830"/>
      <c r="E172" s="830"/>
      <c r="F172" s="830"/>
      <c r="G172" s="830"/>
      <c r="H172" s="830"/>
      <c r="I172" s="830"/>
      <c r="J172" s="830"/>
      <c r="K172" s="830"/>
      <c r="L172" s="830"/>
      <c r="M172" s="830"/>
      <c r="N172" s="830"/>
      <c r="O172" s="830"/>
      <c r="P172" s="830"/>
      <c r="Q172" s="830"/>
      <c r="R172" s="830"/>
      <c r="S172" s="830"/>
      <c r="T172" s="830"/>
      <c r="U172" s="830"/>
      <c r="V172" s="830"/>
      <c r="W172" s="830"/>
      <c r="X172" s="830"/>
      <c r="Y172" s="830"/>
      <c r="Z172" s="830"/>
      <c r="AA172" s="830"/>
      <c r="AB172" s="830"/>
      <c r="AC172" s="830"/>
      <c r="AD172" s="830"/>
    </row>
    <row r="173" spans="1:31" ht="36" customHeight="1">
      <c r="A173" s="50"/>
      <c r="B173" s="38"/>
      <c r="C173" s="754" t="s">
        <v>5832</v>
      </c>
      <c r="D173" s="754"/>
      <c r="E173" s="754"/>
      <c r="F173" s="754"/>
      <c r="G173" s="754"/>
      <c r="H173" s="754"/>
      <c r="I173" s="754"/>
      <c r="J173" s="754"/>
      <c r="K173" s="754"/>
      <c r="L173" s="754"/>
      <c r="M173" s="754"/>
      <c r="N173" s="754"/>
      <c r="O173" s="754"/>
      <c r="P173" s="754"/>
      <c r="Q173" s="754"/>
      <c r="R173" s="754"/>
      <c r="S173" s="754"/>
      <c r="T173" s="754"/>
      <c r="U173" s="754"/>
      <c r="V173" s="754"/>
      <c r="W173" s="754"/>
      <c r="X173" s="754"/>
      <c r="Y173" s="754"/>
      <c r="Z173" s="754"/>
      <c r="AA173" s="754"/>
      <c r="AB173" s="754"/>
      <c r="AC173" s="754"/>
      <c r="AD173" s="754"/>
    </row>
    <row r="174" spans="1:31" ht="24" customHeight="1">
      <c r="A174" s="49"/>
      <c r="B174" s="105"/>
      <c r="C174" s="754" t="s">
        <v>5833</v>
      </c>
      <c r="D174" s="754"/>
      <c r="E174" s="754"/>
      <c r="F174" s="754"/>
      <c r="G174" s="754"/>
      <c r="H174" s="754"/>
      <c r="I174" s="754"/>
      <c r="J174" s="754"/>
      <c r="K174" s="754"/>
      <c r="L174" s="754"/>
      <c r="M174" s="754"/>
      <c r="N174" s="754"/>
      <c r="O174" s="754"/>
      <c r="P174" s="754"/>
      <c r="Q174" s="754"/>
      <c r="R174" s="754"/>
      <c r="S174" s="754"/>
      <c r="T174" s="754"/>
      <c r="U174" s="754"/>
      <c r="V174" s="754"/>
      <c r="W174" s="754"/>
      <c r="X174" s="754"/>
      <c r="Y174" s="754"/>
      <c r="Z174" s="754"/>
      <c r="AA174" s="754"/>
      <c r="AB174" s="754"/>
      <c r="AC174" s="754"/>
      <c r="AD174" s="754"/>
    </row>
    <row r="175" spans="1:31" ht="15" customHeight="1">
      <c r="A175" s="50"/>
      <c r="B175" s="38"/>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c r="AA175" s="75"/>
      <c r="AB175" s="75"/>
      <c r="AC175" s="75"/>
      <c r="AD175" s="75"/>
    </row>
    <row r="176" spans="1:31" ht="15" customHeight="1">
      <c r="A176" s="50"/>
      <c r="B176" s="38"/>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c r="AA176" s="875" t="s">
        <v>2664</v>
      </c>
      <c r="AB176" s="875"/>
      <c r="AC176" s="875"/>
      <c r="AD176" s="875"/>
    </row>
    <row r="177" spans="1:72" ht="36" customHeight="1">
      <c r="A177" s="169"/>
      <c r="B177" s="90"/>
      <c r="C177" s="797" t="s">
        <v>2581</v>
      </c>
      <c r="D177" s="798"/>
      <c r="E177" s="798"/>
      <c r="F177" s="798"/>
      <c r="G177" s="798"/>
      <c r="H177" s="798"/>
      <c r="I177" s="799"/>
      <c r="J177" s="732" t="s">
        <v>5834</v>
      </c>
      <c r="K177" s="732"/>
      <c r="L177" s="732"/>
      <c r="M177" s="732"/>
      <c r="N177" s="732"/>
      <c r="O177" s="732"/>
      <c r="P177" s="739" t="s">
        <v>5835</v>
      </c>
      <c r="Q177" s="740"/>
      <c r="R177" s="740"/>
      <c r="S177" s="740"/>
      <c r="T177" s="740"/>
      <c r="U177" s="740"/>
      <c r="V177" s="740"/>
      <c r="W177" s="740"/>
      <c r="X177" s="740"/>
      <c r="Y177" s="740"/>
      <c r="Z177" s="740"/>
      <c r="AA177" s="740"/>
      <c r="AB177" s="740"/>
      <c r="AC177" s="740"/>
      <c r="AD177" s="741"/>
    </row>
    <row r="178" spans="1:72" ht="15" customHeight="1">
      <c r="A178" s="169"/>
      <c r="B178" s="90"/>
      <c r="C178" s="800"/>
      <c r="D178" s="801"/>
      <c r="E178" s="801"/>
      <c r="F178" s="801"/>
      <c r="G178" s="801"/>
      <c r="H178" s="801"/>
      <c r="I178" s="802"/>
      <c r="J178" s="732"/>
      <c r="K178" s="732"/>
      <c r="L178" s="732"/>
      <c r="M178" s="732"/>
      <c r="N178" s="732"/>
      <c r="O178" s="732"/>
      <c r="P178" s="874" t="s">
        <v>2628</v>
      </c>
      <c r="Q178" s="857" t="s">
        <v>2629</v>
      </c>
      <c r="R178" s="857" t="s">
        <v>2630</v>
      </c>
      <c r="S178" s="733" t="s">
        <v>5836</v>
      </c>
      <c r="T178" s="734"/>
      <c r="U178" s="734"/>
      <c r="V178" s="734"/>
      <c r="W178" s="734"/>
      <c r="X178" s="734"/>
      <c r="Y178" s="734"/>
      <c r="Z178" s="734"/>
      <c r="AA178" s="734"/>
      <c r="AB178" s="734"/>
      <c r="AC178" s="734"/>
      <c r="AD178" s="735"/>
    </row>
    <row r="179" spans="1:72" ht="144" customHeight="1">
      <c r="A179" s="169"/>
      <c r="B179" s="90"/>
      <c r="C179" s="800"/>
      <c r="D179" s="801"/>
      <c r="E179" s="801"/>
      <c r="F179" s="801"/>
      <c r="G179" s="801"/>
      <c r="H179" s="801"/>
      <c r="I179" s="802"/>
      <c r="J179" s="732"/>
      <c r="K179" s="732"/>
      <c r="L179" s="732"/>
      <c r="M179" s="732"/>
      <c r="N179" s="732"/>
      <c r="O179" s="732"/>
      <c r="P179" s="874"/>
      <c r="Q179" s="857"/>
      <c r="R179" s="857"/>
      <c r="S179" s="952" t="s">
        <v>5837</v>
      </c>
      <c r="T179" s="952"/>
      <c r="U179" s="846"/>
      <c r="V179" s="845" t="s">
        <v>3480</v>
      </c>
      <c r="W179" s="952"/>
      <c r="X179" s="846"/>
      <c r="Y179" s="845" t="s">
        <v>5838</v>
      </c>
      <c r="Z179" s="952"/>
      <c r="AA179" s="846"/>
      <c r="AB179" s="845" t="s">
        <v>5839</v>
      </c>
      <c r="AC179" s="952"/>
      <c r="AD179" s="846"/>
    </row>
    <row r="180" spans="1:72" ht="48" customHeight="1">
      <c r="A180" s="169"/>
      <c r="B180" s="90"/>
      <c r="C180" s="803"/>
      <c r="D180" s="804"/>
      <c r="E180" s="804"/>
      <c r="F180" s="804"/>
      <c r="G180" s="804"/>
      <c r="H180" s="804"/>
      <c r="I180" s="805"/>
      <c r="J180" s="732"/>
      <c r="K180" s="732"/>
      <c r="L180" s="732"/>
      <c r="M180" s="732"/>
      <c r="N180" s="732"/>
      <c r="O180" s="732"/>
      <c r="P180" s="874"/>
      <c r="Q180" s="857"/>
      <c r="R180" s="857"/>
      <c r="S180" s="198" t="s">
        <v>2635</v>
      </c>
      <c r="T180" s="128" t="s">
        <v>2629</v>
      </c>
      <c r="U180" s="128" t="s">
        <v>2630</v>
      </c>
      <c r="V180" s="127" t="s">
        <v>2635</v>
      </c>
      <c r="W180" s="128" t="s">
        <v>2629</v>
      </c>
      <c r="X180" s="128" t="s">
        <v>2630</v>
      </c>
      <c r="Y180" s="127" t="s">
        <v>2635</v>
      </c>
      <c r="Z180" s="128" t="s">
        <v>2629</v>
      </c>
      <c r="AA180" s="128" t="s">
        <v>2630</v>
      </c>
      <c r="AB180" s="127" t="s">
        <v>2635</v>
      </c>
      <c r="AC180" s="128" t="s">
        <v>2629</v>
      </c>
      <c r="AD180" s="128" t="s">
        <v>2630</v>
      </c>
      <c r="AF180" t="s">
        <v>4713</v>
      </c>
      <c r="AG180" t="s">
        <v>2586</v>
      </c>
      <c r="AH180" t="s">
        <v>4581</v>
      </c>
      <c r="AI180"/>
      <c r="AJ180"/>
      <c r="AK180" t="s">
        <v>4573</v>
      </c>
      <c r="AL180" t="s">
        <v>2638</v>
      </c>
      <c r="AM180" t="s">
        <v>2639</v>
      </c>
      <c r="AN180" t="s">
        <v>4574</v>
      </c>
      <c r="AO180" t="s">
        <v>2641</v>
      </c>
      <c r="AP180" t="s">
        <v>2642</v>
      </c>
      <c r="AQ180" t="s">
        <v>4575</v>
      </c>
      <c r="AR180" t="s">
        <v>2644</v>
      </c>
      <c r="AS180" t="s">
        <v>2645</v>
      </c>
      <c r="AT180" t="s">
        <v>4576</v>
      </c>
      <c r="AU180" t="s">
        <v>2647</v>
      </c>
      <c r="AV180" t="s">
        <v>2648</v>
      </c>
      <c r="AW180" t="s">
        <v>5177</v>
      </c>
      <c r="AX180" t="s">
        <v>2757</v>
      </c>
      <c r="AY180" t="s">
        <v>2758</v>
      </c>
      <c r="AZ180" t="s">
        <v>5290</v>
      </c>
      <c r="BA180"/>
      <c r="BB180"/>
      <c r="BC180" t="s">
        <v>5253</v>
      </c>
      <c r="BD180"/>
      <c r="BE180"/>
      <c r="BF180" t="s">
        <v>5840</v>
      </c>
      <c r="BG180"/>
      <c r="BH180"/>
      <c r="BI180" t="s">
        <v>5841</v>
      </c>
      <c r="BJ180"/>
      <c r="BK180"/>
      <c r="BL180"/>
      <c r="BM180"/>
      <c r="BN180"/>
      <c r="BO180"/>
      <c r="BP180"/>
      <c r="BQ180"/>
      <c r="BR180"/>
      <c r="BS180"/>
      <c r="BT180"/>
    </row>
    <row r="181" spans="1:72">
      <c r="A181" s="169"/>
      <c r="B181" s="90"/>
      <c r="C181" s="43" t="s">
        <v>2516</v>
      </c>
      <c r="D181" s="796" t="str">
        <f>IF(CNSIPEE_2024_M2_Secc1!D42="","",CNSIPEE_2024_M2_Secc1!D42)</f>
        <v/>
      </c>
      <c r="E181" s="796"/>
      <c r="F181" s="796"/>
      <c r="G181" s="796"/>
      <c r="H181" s="796"/>
      <c r="I181" s="796"/>
      <c r="J181" s="749"/>
      <c r="K181" s="749"/>
      <c r="L181" s="749"/>
      <c r="M181" s="749"/>
      <c r="N181" s="749"/>
      <c r="O181" s="749"/>
      <c r="P181" s="100"/>
      <c r="Q181" s="100"/>
      <c r="R181" s="100"/>
      <c r="S181" s="100"/>
      <c r="T181" s="100"/>
      <c r="U181" s="100"/>
      <c r="V181" s="100"/>
      <c r="W181" s="100"/>
      <c r="X181" s="100"/>
      <c r="Y181" s="100"/>
      <c r="Z181" s="100"/>
      <c r="AA181" s="100"/>
      <c r="AB181" s="100"/>
      <c r="AC181" s="100"/>
      <c r="AD181" s="100"/>
      <c r="AF181">
        <f t="shared" ref="AF181:AF188" si="103">IF(AND(J181=1,P181=0),1,0)</f>
        <v>0</v>
      </c>
      <c r="AG181">
        <f>IF(OR(AND(J181&gt;1,D181&lt;&gt;""),$S150=0,$S150="NS",$S150="NA"),0,IF(OR(SUM(COUNTBLANK(D181:AD181),COUNTBLANK(J196:AD196))=10,SUM(COUNTBLANK(D181:AD181),COUNTBLANK(J196:AD196))=48),0,1))</f>
        <v>0</v>
      </c>
      <c r="AH181">
        <f t="shared" ref="AH181:AH188" si="104">IF(OR($S150=0,$S150="NS",$S150="NA"),IF(SUM(COUNTBLANK(J181:AD181),COUNTBLANK(J196:AD196))=42,0,1),IF(J181&gt;1,IF(SUM(COUNTBLANK(P181:AD181),COUNTBLANK(J196:AD196))=36,0,1),0))</f>
        <v>0</v>
      </c>
      <c r="AI181"/>
      <c r="AJ181"/>
      <c r="AK181">
        <f t="shared" ref="AK181:AK188" si="105">COUNTIF(Q181:R181,"NS")</f>
        <v>0</v>
      </c>
      <c r="AL181">
        <f t="shared" ref="AL181:AL188" si="106">SUM(Q181:R181)</f>
        <v>0</v>
      </c>
      <c r="AM181">
        <f>IF(COUNTIF(P181:R181,"NA")=3,0,IF(COUNTA(P181:R181)=0,0,IF(OR(AND(P181=0,AK181&gt;0),AND(P181="ns",AL181&gt;0),AND(P181="ns",AK181=0,AL181=0)),1,IF(OR(AND(P181&gt;0,AK181=2),AND(P181="ns",AK181=2),AND(P181="ns",AL181=0,AK181&gt;0),P181=AL181),0,1))))</f>
        <v>0</v>
      </c>
      <c r="AN181">
        <f t="shared" ref="AN181:AN188" si="107">COUNTIF(T181:U181,"NS")</f>
        <v>0</v>
      </c>
      <c r="AO181">
        <f t="shared" ref="AO181:AO188" si="108">SUM(T181:U181)</f>
        <v>0</v>
      </c>
      <c r="AP181">
        <f t="shared" ref="AP181:AP188" si="109">IF(COUNTIF(S181:U181,"NA")=3,0,IF(COUNTA(S181:U181)=0,0,IF(OR(AND(S181=0,AN181&gt;0),AND(S181="ns",AO181&gt;0),AND(S181="ns",AN181=0,AO181=0)),1,IF(OR(AND(S181&gt;0,AN181=2),AND(S181="ns",AN181=2),AND(S181="ns",AO181=0,AN181&gt;0),S181=AO181),0,1))))</f>
        <v>0</v>
      </c>
      <c r="AQ181">
        <f t="shared" ref="AQ181:AQ188" si="110">COUNTIF(W181:X181,"NS")</f>
        <v>0</v>
      </c>
      <c r="AR181">
        <f t="shared" ref="AR181:AR188" si="111">SUM(W181:X181)</f>
        <v>0</v>
      </c>
      <c r="AS181">
        <f t="shared" ref="AS181:AS188" si="112">IF(COUNTIF(V181:X181,"NA")=3,0,IF(COUNTA(V181:X181)=0,0,IF(OR(AND(V181=0,AQ181&gt;0),AND(V181="ns",AR181&gt;0),AND(V181="ns",AQ181=0,AR181=0)),1,IF(OR(AND(V181&gt;0,AQ181=2),AND(V181="ns",AQ181=2),AND(V181="ns",AR181=0,AQ181&gt;0),V181=AR181),0,1))))</f>
        <v>0</v>
      </c>
      <c r="AT181">
        <f t="shared" ref="AT181:AT188" si="113">COUNTIF(Z181:AA181,"NS")</f>
        <v>0</v>
      </c>
      <c r="AU181">
        <f t="shared" ref="AU181:AU188" si="114">SUM(Z181:AA181)</f>
        <v>0</v>
      </c>
      <c r="AV181">
        <f t="shared" ref="AV181:AV188" si="115">IF(COUNTIF(Y181:AA181,"NA")=3,0,IF(COUNTA(Y181:AA181)=0,0,IF(OR(AND(Y181=0,AT181&gt;0),AND(Y181="ns",AU181&gt;0),AND(Y181="ns",AT181=0,AU181=0)),1,IF(OR(AND(Y181&gt;0,AT181=2),AND(Y181="ns",AT181=2),AND(Y181="ns",AU181=0,AT181&gt;0),Y181=AU181),0,1))))</f>
        <v>0</v>
      </c>
      <c r="AW181">
        <f t="shared" ref="AW181:AW188" si="116">COUNTIF(AC181:AD181,"NS")</f>
        <v>0</v>
      </c>
      <c r="AX181">
        <f t="shared" ref="AX181:AX188" si="117">SUM(AC181:AD181)</f>
        <v>0</v>
      </c>
      <c r="AY181">
        <f t="shared" ref="AY181:AY188" si="118">IF(COUNTIF(AB181:AD181,"NA")=3,0,IF(COUNTA(AB181:AD181)=0,0,IF(OR(AND(AB181=0,AW181&gt;0),AND(AB181="ns",AX181&gt;0),AND(AB181="ns",AW181=0,AX181=0)),1,IF(OR(AND(AB181&gt;0,AW181=2),AND(AB181="ns",AW181=2),AND(AB181="ns",AX181=0,AW181&gt;0),AB181=AX181),0,1))))</f>
        <v>0</v>
      </c>
      <c r="AZ181" cm="1">
        <f t="array" ref="AZ181">IF(OR(P181={"NS","NA"},S150={"NS","NA"}),0,IF(P181&lt;=S150,0,1))</f>
        <v>0</v>
      </c>
      <c r="BA181" cm="1">
        <f t="array" ref="BA181">IF(OR(Q181={"NS","NA"},U150={"NS","NA"}),0,IF(Q181&lt;=U150,0,1))</f>
        <v>0</v>
      </c>
      <c r="BB181" cm="1">
        <f t="array" ref="BB181">IF(OR(R181={"NS","NA"},W150={"NS","NA"}),0,IF(R181&lt;=W150,0,1))</f>
        <v>0</v>
      </c>
      <c r="BC181" cm="1">
        <f t="array" ref="BC181">IF(OR(P181={"NS","NA"},BF181={"NS","NA"}),0,IF(P181&lt;=BF181,0,1))</f>
        <v>0</v>
      </c>
      <c r="BD181" cm="1">
        <f t="array" ref="BD181">IF(OR(Q181={"NS","NA"},BG181={"NS","NA"}),0,IF(Q181&lt;=BG181,0,1))</f>
        <v>0</v>
      </c>
      <c r="BE181" cm="1">
        <f t="array" ref="BE181">IF(OR(R181={"NS","NA"},BH181={"NS","NA"}),0,IF(R181&lt;=BH181,0,1))</f>
        <v>0</v>
      </c>
      <c r="BF181">
        <f t="shared" ref="BF181:BH188" si="119">IF(AND(SUM(S181,V181,Y181,AB181,J196,M196,P196,S196,V196,Y196,AB196)=0,SUM(COUNTIF(S181,"NS"),COUNTIF(V181,"NS"),COUNTIF(Y181,"NS"),COUNTIF(AB181,"NS"),COUNTIF(J196,"NS"),COUNTIF(M196,"NS"),COUNTIF(P196,"NS"),COUNTIF(S196,"NS"),COUNTIF(V196,"NS"),COUNTIF(Y196,"NS"),COUNTIF(AB196,"NS"))&gt;0),"NS",
IF(AND(SUM(S181,V181,Y181,AB181,J196,M196,P196,S196,V196,Y196,AB196)=0,SUM(COUNTIF(S181,0),COUNTIF(V181,0),COUNTIF(Y181,0),COUNTIF(AB181,0),COUNTIF(J196,0),COUNTIF(M196,0),COUNTIF(P196,0),COUNTIF(S196,0),COUNTIF(V196,0),COUNTIF(Y196,0),COUNTIF(AB196,0))&gt;0),0,
IF(AND(SUM(S181,V181,Y181,AB181,J196,M196,P196,S196,V196,Y196,AB196)=0,SUM(COUNTIF(S181,"NA"),COUNTIF(V181,"NA"),COUNTIF(Y181,"NA"),COUNTIF(AB181,"NA"),COUNTIF(J196,"NA"),COUNTIF(M196,"NA"),COUNTIF(P196,"NA"),COUNTIF(S196,"NA"),COUNTIF(V196,"NA"),COUNTIF(Y196,"NA"),COUNTIF(AB196,"NA"))&gt;0),"NA",
SUM(S181,V181,Y181,AB181,J196,M196,P196,S196,V196,Y196,AB196))))</f>
        <v>0</v>
      </c>
      <c r="BG181">
        <f t="shared" si="119"/>
        <v>0</v>
      </c>
      <c r="BH181">
        <f t="shared" si="119"/>
        <v>0</v>
      </c>
      <c r="BI181" cm="1">
        <f t="array" ref="BI181">IF(OR(S181={"NS","NA"},$P181={"NS","NA"}),0,IF(S181&lt;=$P181,0,1))</f>
        <v>0</v>
      </c>
      <c r="BJ181" cm="1">
        <f t="array" ref="BJ181">IF(OR(T181={"NS","NA"},$Q181={"NS","NA"}),0,IF(T181&lt;=$Q181,0,1))</f>
        <v>0</v>
      </c>
      <c r="BK181" cm="1">
        <f t="array" ref="BK181">IF(OR(U181={"NS","NA"},$R181={"NS","NA"}),0,IF(U181&lt;=$R181,0,1))</f>
        <v>0</v>
      </c>
      <c r="BL181" cm="1">
        <f t="array" ref="BL181">IF(OR(V181={"NS","NA"},$P181={"NS","NA"}),0,IF(V181&lt;=$P181,0,1))</f>
        <v>0</v>
      </c>
      <c r="BM181" cm="1">
        <f t="array" ref="BM181">IF(OR(W181={"NS","NA"},$Q181={"NS","NA"}),0,IF(W181&lt;=$Q181,0,1))</f>
        <v>0</v>
      </c>
      <c r="BN181" cm="1">
        <f t="array" ref="BN181">IF(OR(X181={"NS","NA"},$R181={"NS","NA"}),0,IF(X181&lt;=$R181,0,1))</f>
        <v>0</v>
      </c>
      <c r="BO181" cm="1">
        <f t="array" ref="BO181">IF(OR(Y181={"NS","NA"},$P181={"NS","NA"}),0,IF(Y181&lt;=$P181,0,1))</f>
        <v>0</v>
      </c>
      <c r="BP181" cm="1">
        <f t="array" ref="BP181">IF(OR(Z181={"NS","NA"},$Q181={"NS","NA"}),0,IF(Z181&lt;=$Q181,0,1))</f>
        <v>0</v>
      </c>
      <c r="BQ181" cm="1">
        <f t="array" ref="BQ181">IF(OR(AA181={"NS","NA"},$R181={"NS","NA"}),0,IF(AA181&lt;=$R181,0,1))</f>
        <v>0</v>
      </c>
      <c r="BR181" cm="1">
        <f t="array" ref="BR181">IF(OR(AB181={"NS","NA"},$P181={"NS","NA"}),0,IF(AB181&lt;=$P181,0,1))</f>
        <v>0</v>
      </c>
      <c r="BS181" cm="1">
        <f t="array" ref="BS181">IF(OR(AC181={"NS","NA"},$Q181={"NS","NA"}),0,IF(AC181&lt;=$Q181,0,1))</f>
        <v>0</v>
      </c>
      <c r="BT181" cm="1">
        <f t="array" ref="BT181">IF(OR(AD181={"NS","NA"},$R181={"NS","NA"}),0,IF(AD181&lt;=$R181,0,1))</f>
        <v>0</v>
      </c>
    </row>
    <row r="182" spans="1:72">
      <c r="A182" s="169"/>
      <c r="B182" s="90"/>
      <c r="C182" s="43" t="s">
        <v>2517</v>
      </c>
      <c r="D182" s="796" t="str">
        <f>IF(CNSIPEE_2024_M2_Secc1!D43="","",CNSIPEE_2024_M2_Secc1!D43)</f>
        <v/>
      </c>
      <c r="E182" s="796"/>
      <c r="F182" s="796"/>
      <c r="G182" s="796"/>
      <c r="H182" s="796"/>
      <c r="I182" s="796"/>
      <c r="J182" s="749"/>
      <c r="K182" s="749"/>
      <c r="L182" s="749"/>
      <c r="M182" s="749"/>
      <c r="N182" s="749"/>
      <c r="O182" s="749"/>
      <c r="P182" s="100"/>
      <c r="Q182" s="100"/>
      <c r="R182" s="100"/>
      <c r="S182" s="100"/>
      <c r="T182" s="100"/>
      <c r="U182" s="100"/>
      <c r="V182" s="100"/>
      <c r="W182" s="100"/>
      <c r="X182" s="100"/>
      <c r="Y182" s="100"/>
      <c r="Z182" s="100"/>
      <c r="AA182" s="100"/>
      <c r="AB182" s="100"/>
      <c r="AC182" s="100"/>
      <c r="AD182" s="100"/>
      <c r="AF182">
        <f t="shared" si="103"/>
        <v>0</v>
      </c>
      <c r="AG182">
        <f t="shared" ref="AG182:AG188" si="120">IF(OR(AND(J182&gt;1,D182&lt;&gt;""),$S151=0,$S151="NS",$S151="NA"),0,IF(OR(SUM(COUNTBLANK(D182:AD182),COUNTBLANK(J197:AD197))=10,SUM(COUNTBLANK(D182:AD182),COUNTBLANK(J197:AD197))=48),0,1))</f>
        <v>0</v>
      </c>
      <c r="AH182">
        <f t="shared" si="104"/>
        <v>0</v>
      </c>
      <c r="AI182"/>
      <c r="AJ182"/>
      <c r="AK182">
        <f t="shared" si="105"/>
        <v>0</v>
      </c>
      <c r="AL182">
        <f t="shared" si="106"/>
        <v>0</v>
      </c>
      <c r="AM182">
        <f t="shared" ref="AM182:AM188" si="121">IF(COUNTIF(P182:R182,"NA")=3,0,IF(COUNTA(P182:R182)=0,0,IF(OR(AND(P182=0,AK182&gt;0),AND(P182="ns",AL182&gt;0),AND(P182="ns",AK182=0,AL182=0)),1,IF(OR(AND(P182&gt;0,AK182=2),AND(P182="ns",AK182=2),AND(P182="ns",AL182=0,AK182&gt;0),P182=AL182),0,1))))</f>
        <v>0</v>
      </c>
      <c r="AN182">
        <f t="shared" si="107"/>
        <v>0</v>
      </c>
      <c r="AO182">
        <f t="shared" si="108"/>
        <v>0</v>
      </c>
      <c r="AP182">
        <f t="shared" si="109"/>
        <v>0</v>
      </c>
      <c r="AQ182">
        <f t="shared" si="110"/>
        <v>0</v>
      </c>
      <c r="AR182">
        <f t="shared" si="111"/>
        <v>0</v>
      </c>
      <c r="AS182">
        <f t="shared" si="112"/>
        <v>0</v>
      </c>
      <c r="AT182">
        <f t="shared" si="113"/>
        <v>0</v>
      </c>
      <c r="AU182">
        <f t="shared" si="114"/>
        <v>0</v>
      </c>
      <c r="AV182">
        <f t="shared" si="115"/>
        <v>0</v>
      </c>
      <c r="AW182">
        <f t="shared" si="116"/>
        <v>0</v>
      </c>
      <c r="AX182">
        <f t="shared" si="117"/>
        <v>0</v>
      </c>
      <c r="AY182">
        <f t="shared" si="118"/>
        <v>0</v>
      </c>
      <c r="AZ182" cm="1">
        <f t="array" ref="AZ182">IF(OR(P182={"NS","NA"},S151={"NS","NA"}),0,IF(P182&lt;=S151,0,1))</f>
        <v>0</v>
      </c>
      <c r="BA182" cm="1">
        <f t="array" ref="BA182">IF(OR(Q182={"NS","NA"},U151={"NS","NA"}),0,IF(Q182&lt;=U151,0,1))</f>
        <v>0</v>
      </c>
      <c r="BB182" cm="1">
        <f t="array" ref="BB182">IF(OR(R182={"NS","NA"},W151={"NS","NA"}),0,IF(R182&lt;=W151,0,1))</f>
        <v>0</v>
      </c>
      <c r="BC182" cm="1">
        <f t="array" ref="BC182">IF(OR(P182={"NS","NA"},BF182={"NS","NA"}),0,IF(P182&lt;=BF182,0,1))</f>
        <v>0</v>
      </c>
      <c r="BD182" cm="1">
        <f t="array" ref="BD182">IF(OR(Q182={"NS","NA"},BG182={"NS","NA"}),0,IF(Q182&lt;=BG182,0,1))</f>
        <v>0</v>
      </c>
      <c r="BE182" cm="1">
        <f t="array" ref="BE182">IF(OR(R182={"NS","NA"},BH182={"NS","NA"}),0,IF(R182&lt;=BH182,0,1))</f>
        <v>0</v>
      </c>
      <c r="BF182">
        <f t="shared" si="119"/>
        <v>0</v>
      </c>
      <c r="BG182">
        <f t="shared" si="119"/>
        <v>0</v>
      </c>
      <c r="BH182">
        <f t="shared" si="119"/>
        <v>0</v>
      </c>
      <c r="BI182" cm="1">
        <f t="array" ref="BI182">IF(OR(S182={"NS","NA"},$P182={"NS","NA"}),0,IF(S182&lt;=$P182,0,1))</f>
        <v>0</v>
      </c>
      <c r="BJ182" cm="1">
        <f t="array" ref="BJ182">IF(OR(T182={"NS","NA"},$Q182={"NS","NA"}),0,IF(T182&lt;=$Q182,0,1))</f>
        <v>0</v>
      </c>
      <c r="BK182" cm="1">
        <f t="array" ref="BK182">IF(OR(U182={"NS","NA"},$R182={"NS","NA"}),0,IF(U182&lt;=$R182,0,1))</f>
        <v>0</v>
      </c>
      <c r="BL182" cm="1">
        <f t="array" ref="BL182">IF(OR(V182={"NS","NA"},$P182={"NS","NA"}),0,IF(V182&lt;=$P182,0,1))</f>
        <v>0</v>
      </c>
      <c r="BM182" cm="1">
        <f t="array" ref="BM182">IF(OR(W182={"NS","NA"},$Q182={"NS","NA"}),0,IF(W182&lt;=$Q182,0,1))</f>
        <v>0</v>
      </c>
      <c r="BN182" cm="1">
        <f t="array" ref="BN182">IF(OR(X182={"NS","NA"},$R182={"NS","NA"}),0,IF(X182&lt;=$R182,0,1))</f>
        <v>0</v>
      </c>
      <c r="BO182" cm="1">
        <f t="array" ref="BO182">IF(OR(Y182={"NS","NA"},$P182={"NS","NA"}),0,IF(Y182&lt;=$P182,0,1))</f>
        <v>0</v>
      </c>
      <c r="BP182" cm="1">
        <f t="array" ref="BP182">IF(OR(Z182={"NS","NA"},$Q182={"NS","NA"}),0,IF(Z182&lt;=$Q182,0,1))</f>
        <v>0</v>
      </c>
      <c r="BQ182" cm="1">
        <f t="array" ref="BQ182">IF(OR(AA182={"NS","NA"},$R182={"NS","NA"}),0,IF(AA182&lt;=$R182,0,1))</f>
        <v>0</v>
      </c>
      <c r="BR182" cm="1">
        <f t="array" ref="BR182">IF(OR(AB182={"NS","NA"},$P182={"NS","NA"}),0,IF(AB182&lt;=$P182,0,1))</f>
        <v>0</v>
      </c>
      <c r="BS182" cm="1">
        <f t="array" ref="BS182">IF(OR(AC182={"NS","NA"},$Q182={"NS","NA"}),0,IF(AC182&lt;=$Q182,0,1))</f>
        <v>0</v>
      </c>
      <c r="BT182" cm="1">
        <f t="array" ref="BT182">IF(OR(AD182={"NS","NA"},$R182={"NS","NA"}),0,IF(AD182&lt;=$R182,0,1))</f>
        <v>0</v>
      </c>
    </row>
    <row r="183" spans="1:72">
      <c r="A183" s="169"/>
      <c r="B183" s="90"/>
      <c r="C183" s="43" t="s">
        <v>2518</v>
      </c>
      <c r="D183" s="796" t="str">
        <f>IF(CNSIPEE_2024_M2_Secc1!D44="","",CNSIPEE_2024_M2_Secc1!D44)</f>
        <v/>
      </c>
      <c r="E183" s="796"/>
      <c r="F183" s="796"/>
      <c r="G183" s="796"/>
      <c r="H183" s="796"/>
      <c r="I183" s="796"/>
      <c r="J183" s="749"/>
      <c r="K183" s="749"/>
      <c r="L183" s="749"/>
      <c r="M183" s="749"/>
      <c r="N183" s="749"/>
      <c r="O183" s="749"/>
      <c r="P183" s="100"/>
      <c r="Q183" s="100"/>
      <c r="R183" s="100"/>
      <c r="S183" s="100"/>
      <c r="T183" s="100"/>
      <c r="U183" s="100"/>
      <c r="V183" s="100"/>
      <c r="W183" s="100"/>
      <c r="X183" s="100"/>
      <c r="Y183" s="100"/>
      <c r="Z183" s="100"/>
      <c r="AA183" s="100"/>
      <c r="AB183" s="100"/>
      <c r="AC183" s="100"/>
      <c r="AD183" s="100"/>
      <c r="AF183">
        <f t="shared" si="103"/>
        <v>0</v>
      </c>
      <c r="AG183">
        <f t="shared" si="120"/>
        <v>0</v>
      </c>
      <c r="AH183">
        <f t="shared" si="104"/>
        <v>0</v>
      </c>
      <c r="AI183"/>
      <c r="AJ183"/>
      <c r="AK183">
        <f t="shared" si="105"/>
        <v>0</v>
      </c>
      <c r="AL183">
        <f t="shared" si="106"/>
        <v>0</v>
      </c>
      <c r="AM183">
        <f t="shared" si="121"/>
        <v>0</v>
      </c>
      <c r="AN183">
        <f t="shared" si="107"/>
        <v>0</v>
      </c>
      <c r="AO183">
        <f t="shared" si="108"/>
        <v>0</v>
      </c>
      <c r="AP183">
        <f t="shared" si="109"/>
        <v>0</v>
      </c>
      <c r="AQ183">
        <f t="shared" si="110"/>
        <v>0</v>
      </c>
      <c r="AR183">
        <f t="shared" si="111"/>
        <v>0</v>
      </c>
      <c r="AS183">
        <f t="shared" si="112"/>
        <v>0</v>
      </c>
      <c r="AT183">
        <f t="shared" si="113"/>
        <v>0</v>
      </c>
      <c r="AU183">
        <f t="shared" si="114"/>
        <v>0</v>
      </c>
      <c r="AV183">
        <f t="shared" si="115"/>
        <v>0</v>
      </c>
      <c r="AW183">
        <f t="shared" si="116"/>
        <v>0</v>
      </c>
      <c r="AX183">
        <f t="shared" si="117"/>
        <v>0</v>
      </c>
      <c r="AY183">
        <f t="shared" si="118"/>
        <v>0</v>
      </c>
      <c r="AZ183" cm="1">
        <f t="array" ref="AZ183">IF(OR(P183={"NS","NA"},S152={"NS","NA"}),0,IF(P183&lt;=S152,0,1))</f>
        <v>0</v>
      </c>
      <c r="BA183" cm="1">
        <f t="array" ref="BA183">IF(OR(Q183={"NS","NA"},U152={"NS","NA"}),0,IF(Q183&lt;=U152,0,1))</f>
        <v>0</v>
      </c>
      <c r="BB183" cm="1">
        <f t="array" ref="BB183">IF(OR(R183={"NS","NA"},W152={"NS","NA"}),0,IF(R183&lt;=W152,0,1))</f>
        <v>0</v>
      </c>
      <c r="BC183" cm="1">
        <f t="array" ref="BC183">IF(OR(P183={"NS","NA"},BF183={"NS","NA"}),0,IF(P183&lt;=BF183,0,1))</f>
        <v>0</v>
      </c>
      <c r="BD183" cm="1">
        <f t="array" ref="BD183">IF(OR(Q183={"NS","NA"},BG183={"NS","NA"}),0,IF(Q183&lt;=BG183,0,1))</f>
        <v>0</v>
      </c>
      <c r="BE183" cm="1">
        <f t="array" ref="BE183">IF(OR(R183={"NS","NA"},BH183={"NS","NA"}),0,IF(R183&lt;=BH183,0,1))</f>
        <v>0</v>
      </c>
      <c r="BF183">
        <f t="shared" si="119"/>
        <v>0</v>
      </c>
      <c r="BG183">
        <f t="shared" si="119"/>
        <v>0</v>
      </c>
      <c r="BH183">
        <f t="shared" si="119"/>
        <v>0</v>
      </c>
      <c r="BI183" cm="1">
        <f t="array" ref="BI183">IF(OR(S183={"NS","NA"},$P183={"NS","NA"}),0,IF(S183&lt;=$P183,0,1))</f>
        <v>0</v>
      </c>
      <c r="BJ183" cm="1">
        <f t="array" ref="BJ183">IF(OR(T183={"NS","NA"},$Q183={"NS","NA"}),0,IF(T183&lt;=$Q183,0,1))</f>
        <v>0</v>
      </c>
      <c r="BK183" cm="1">
        <f t="array" ref="BK183">IF(OR(U183={"NS","NA"},$R183={"NS","NA"}),0,IF(U183&lt;=$R183,0,1))</f>
        <v>0</v>
      </c>
      <c r="BL183" cm="1">
        <f t="array" ref="BL183">IF(OR(V183={"NS","NA"},$P183={"NS","NA"}),0,IF(V183&lt;=$P183,0,1))</f>
        <v>0</v>
      </c>
      <c r="BM183" cm="1">
        <f t="array" ref="BM183">IF(OR(W183={"NS","NA"},$Q183={"NS","NA"}),0,IF(W183&lt;=$Q183,0,1))</f>
        <v>0</v>
      </c>
      <c r="BN183" cm="1">
        <f t="array" ref="BN183">IF(OR(X183={"NS","NA"},$R183={"NS","NA"}),0,IF(X183&lt;=$R183,0,1))</f>
        <v>0</v>
      </c>
      <c r="BO183" cm="1">
        <f t="array" ref="BO183">IF(OR(Y183={"NS","NA"},$P183={"NS","NA"}),0,IF(Y183&lt;=$P183,0,1))</f>
        <v>0</v>
      </c>
      <c r="BP183" cm="1">
        <f t="array" ref="BP183">IF(OR(Z183={"NS","NA"},$Q183={"NS","NA"}),0,IF(Z183&lt;=$Q183,0,1))</f>
        <v>0</v>
      </c>
      <c r="BQ183" cm="1">
        <f t="array" ref="BQ183">IF(OR(AA183={"NS","NA"},$R183={"NS","NA"}),0,IF(AA183&lt;=$R183,0,1))</f>
        <v>0</v>
      </c>
      <c r="BR183" cm="1">
        <f t="array" ref="BR183">IF(OR(AB183={"NS","NA"},$P183={"NS","NA"}),0,IF(AB183&lt;=$P183,0,1))</f>
        <v>0</v>
      </c>
      <c r="BS183" cm="1">
        <f t="array" ref="BS183">IF(OR(AC183={"NS","NA"},$Q183={"NS","NA"}),0,IF(AC183&lt;=$Q183,0,1))</f>
        <v>0</v>
      </c>
      <c r="BT183" cm="1">
        <f t="array" ref="BT183">IF(OR(AD183={"NS","NA"},$R183={"NS","NA"}),0,IF(AD183&lt;=$R183,0,1))</f>
        <v>0</v>
      </c>
    </row>
    <row r="184" spans="1:72">
      <c r="A184" s="169"/>
      <c r="B184" s="90"/>
      <c r="C184" s="43" t="s">
        <v>2519</v>
      </c>
      <c r="D184" s="796" t="str">
        <f>IF(CNSIPEE_2024_M2_Secc1!D45="","",CNSIPEE_2024_M2_Secc1!D45)</f>
        <v/>
      </c>
      <c r="E184" s="796"/>
      <c r="F184" s="796"/>
      <c r="G184" s="796"/>
      <c r="H184" s="796"/>
      <c r="I184" s="796"/>
      <c r="J184" s="749"/>
      <c r="K184" s="749"/>
      <c r="L184" s="749"/>
      <c r="M184" s="749"/>
      <c r="N184" s="749"/>
      <c r="O184" s="749"/>
      <c r="P184" s="100"/>
      <c r="Q184" s="100"/>
      <c r="R184" s="100"/>
      <c r="S184" s="100"/>
      <c r="T184" s="100"/>
      <c r="U184" s="100"/>
      <c r="V184" s="100"/>
      <c r="W184" s="100"/>
      <c r="X184" s="100"/>
      <c r="Y184" s="100"/>
      <c r="Z184" s="100"/>
      <c r="AA184" s="100"/>
      <c r="AB184" s="100"/>
      <c r="AC184" s="100"/>
      <c r="AD184" s="100"/>
      <c r="AF184">
        <f t="shared" si="103"/>
        <v>0</v>
      </c>
      <c r="AG184">
        <f t="shared" si="120"/>
        <v>0</v>
      </c>
      <c r="AH184">
        <f t="shared" si="104"/>
        <v>0</v>
      </c>
      <c r="AI184"/>
      <c r="AJ184"/>
      <c r="AK184">
        <f t="shared" si="105"/>
        <v>0</v>
      </c>
      <c r="AL184">
        <f t="shared" si="106"/>
        <v>0</v>
      </c>
      <c r="AM184">
        <f t="shared" si="121"/>
        <v>0</v>
      </c>
      <c r="AN184">
        <f t="shared" si="107"/>
        <v>0</v>
      </c>
      <c r="AO184">
        <f t="shared" si="108"/>
        <v>0</v>
      </c>
      <c r="AP184">
        <f t="shared" si="109"/>
        <v>0</v>
      </c>
      <c r="AQ184">
        <f t="shared" si="110"/>
        <v>0</v>
      </c>
      <c r="AR184">
        <f t="shared" si="111"/>
        <v>0</v>
      </c>
      <c r="AS184">
        <f t="shared" si="112"/>
        <v>0</v>
      </c>
      <c r="AT184">
        <f t="shared" si="113"/>
        <v>0</v>
      </c>
      <c r="AU184">
        <f t="shared" si="114"/>
        <v>0</v>
      </c>
      <c r="AV184">
        <f t="shared" si="115"/>
        <v>0</v>
      </c>
      <c r="AW184">
        <f t="shared" si="116"/>
        <v>0</v>
      </c>
      <c r="AX184">
        <f t="shared" si="117"/>
        <v>0</v>
      </c>
      <c r="AY184">
        <f t="shared" si="118"/>
        <v>0</v>
      </c>
      <c r="AZ184" cm="1">
        <f t="array" ref="AZ184">IF(OR(P184={"NS","NA"},S153={"NS","NA"}),0,IF(P184&lt;=S153,0,1))</f>
        <v>0</v>
      </c>
      <c r="BA184" cm="1">
        <f t="array" ref="BA184">IF(OR(Q184={"NS","NA"},U153={"NS","NA"}),0,IF(Q184&lt;=U153,0,1))</f>
        <v>0</v>
      </c>
      <c r="BB184" cm="1">
        <f t="array" ref="BB184">IF(OR(R184={"NS","NA"},W153={"NS","NA"}),0,IF(R184&lt;=W153,0,1))</f>
        <v>0</v>
      </c>
      <c r="BC184" cm="1">
        <f t="array" ref="BC184">IF(OR(P184={"NS","NA"},BF184={"NS","NA"}),0,IF(P184&lt;=BF184,0,1))</f>
        <v>0</v>
      </c>
      <c r="BD184" cm="1">
        <f t="array" ref="BD184">IF(OR(Q184={"NS","NA"},BG184={"NS","NA"}),0,IF(Q184&lt;=BG184,0,1))</f>
        <v>0</v>
      </c>
      <c r="BE184" cm="1">
        <f t="array" ref="BE184">IF(OR(R184={"NS","NA"},BH184={"NS","NA"}),0,IF(R184&lt;=BH184,0,1))</f>
        <v>0</v>
      </c>
      <c r="BF184">
        <f t="shared" si="119"/>
        <v>0</v>
      </c>
      <c r="BG184">
        <f t="shared" si="119"/>
        <v>0</v>
      </c>
      <c r="BH184">
        <f t="shared" si="119"/>
        <v>0</v>
      </c>
      <c r="BI184" cm="1">
        <f t="array" ref="BI184">IF(OR(S184={"NS","NA"},$P184={"NS","NA"}),0,IF(S184&lt;=$P184,0,1))</f>
        <v>0</v>
      </c>
      <c r="BJ184" cm="1">
        <f t="array" ref="BJ184">IF(OR(T184={"NS","NA"},$Q184={"NS","NA"}),0,IF(T184&lt;=$Q184,0,1))</f>
        <v>0</v>
      </c>
      <c r="BK184" cm="1">
        <f t="array" ref="BK184">IF(OR(U184={"NS","NA"},$R184={"NS","NA"}),0,IF(U184&lt;=$R184,0,1))</f>
        <v>0</v>
      </c>
      <c r="BL184" cm="1">
        <f t="array" ref="BL184">IF(OR(V184={"NS","NA"},$P184={"NS","NA"}),0,IF(V184&lt;=$P184,0,1))</f>
        <v>0</v>
      </c>
      <c r="BM184" cm="1">
        <f t="array" ref="BM184">IF(OR(W184={"NS","NA"},$Q184={"NS","NA"}),0,IF(W184&lt;=$Q184,0,1))</f>
        <v>0</v>
      </c>
      <c r="BN184" cm="1">
        <f t="array" ref="BN184">IF(OR(X184={"NS","NA"},$R184={"NS","NA"}),0,IF(X184&lt;=$R184,0,1))</f>
        <v>0</v>
      </c>
      <c r="BO184" cm="1">
        <f t="array" ref="BO184">IF(OR(Y184={"NS","NA"},$P184={"NS","NA"}),0,IF(Y184&lt;=$P184,0,1))</f>
        <v>0</v>
      </c>
      <c r="BP184" cm="1">
        <f t="array" ref="BP184">IF(OR(Z184={"NS","NA"},$Q184={"NS","NA"}),0,IF(Z184&lt;=$Q184,0,1))</f>
        <v>0</v>
      </c>
      <c r="BQ184" cm="1">
        <f t="array" ref="BQ184">IF(OR(AA184={"NS","NA"},$R184={"NS","NA"}),0,IF(AA184&lt;=$R184,0,1))</f>
        <v>0</v>
      </c>
      <c r="BR184" cm="1">
        <f t="array" ref="BR184">IF(OR(AB184={"NS","NA"},$P184={"NS","NA"}),0,IF(AB184&lt;=$P184,0,1))</f>
        <v>0</v>
      </c>
      <c r="BS184" cm="1">
        <f t="array" ref="BS184">IF(OR(AC184={"NS","NA"},$Q184={"NS","NA"}),0,IF(AC184&lt;=$Q184,0,1))</f>
        <v>0</v>
      </c>
      <c r="BT184" cm="1">
        <f t="array" ref="BT184">IF(OR(AD184={"NS","NA"},$R184={"NS","NA"}),0,IF(AD184&lt;=$R184,0,1))</f>
        <v>0</v>
      </c>
    </row>
    <row r="185" spans="1:72">
      <c r="A185" s="169"/>
      <c r="B185" s="90"/>
      <c r="C185" s="43" t="s">
        <v>2520</v>
      </c>
      <c r="D185" s="796" t="str">
        <f>IF(CNSIPEE_2024_M2_Secc1!D46="","",CNSIPEE_2024_M2_Secc1!D46)</f>
        <v/>
      </c>
      <c r="E185" s="796"/>
      <c r="F185" s="796"/>
      <c r="G185" s="796"/>
      <c r="H185" s="796"/>
      <c r="I185" s="796"/>
      <c r="J185" s="749"/>
      <c r="K185" s="749"/>
      <c r="L185" s="749"/>
      <c r="M185" s="749"/>
      <c r="N185" s="749"/>
      <c r="O185" s="749"/>
      <c r="P185" s="100"/>
      <c r="Q185" s="100"/>
      <c r="R185" s="100"/>
      <c r="S185" s="100"/>
      <c r="T185" s="100"/>
      <c r="U185" s="100"/>
      <c r="V185" s="100"/>
      <c r="W185" s="100"/>
      <c r="X185" s="100"/>
      <c r="Y185" s="100"/>
      <c r="Z185" s="100"/>
      <c r="AA185" s="100"/>
      <c r="AB185" s="100"/>
      <c r="AC185" s="100"/>
      <c r="AD185" s="100"/>
      <c r="AF185">
        <f t="shared" si="103"/>
        <v>0</v>
      </c>
      <c r="AG185">
        <f t="shared" si="120"/>
        <v>0</v>
      </c>
      <c r="AH185">
        <f t="shared" si="104"/>
        <v>0</v>
      </c>
      <c r="AI185"/>
      <c r="AJ185"/>
      <c r="AK185">
        <f t="shared" si="105"/>
        <v>0</v>
      </c>
      <c r="AL185">
        <f t="shared" si="106"/>
        <v>0</v>
      </c>
      <c r="AM185">
        <f t="shared" si="121"/>
        <v>0</v>
      </c>
      <c r="AN185">
        <f t="shared" si="107"/>
        <v>0</v>
      </c>
      <c r="AO185">
        <f t="shared" si="108"/>
        <v>0</v>
      </c>
      <c r="AP185">
        <f t="shared" si="109"/>
        <v>0</v>
      </c>
      <c r="AQ185">
        <f t="shared" si="110"/>
        <v>0</v>
      </c>
      <c r="AR185">
        <f t="shared" si="111"/>
        <v>0</v>
      </c>
      <c r="AS185">
        <f t="shared" si="112"/>
        <v>0</v>
      </c>
      <c r="AT185">
        <f t="shared" si="113"/>
        <v>0</v>
      </c>
      <c r="AU185">
        <f t="shared" si="114"/>
        <v>0</v>
      </c>
      <c r="AV185">
        <f t="shared" si="115"/>
        <v>0</v>
      </c>
      <c r="AW185">
        <f t="shared" si="116"/>
        <v>0</v>
      </c>
      <c r="AX185">
        <f t="shared" si="117"/>
        <v>0</v>
      </c>
      <c r="AY185">
        <f t="shared" si="118"/>
        <v>0</v>
      </c>
      <c r="AZ185" cm="1">
        <f t="array" ref="AZ185">IF(OR(P185={"NS","NA"},S154={"NS","NA"}),0,IF(P185&lt;=S154,0,1))</f>
        <v>0</v>
      </c>
      <c r="BA185" cm="1">
        <f t="array" ref="BA185">IF(OR(Q185={"NS","NA"},U154={"NS","NA"}),0,IF(Q185&lt;=U154,0,1))</f>
        <v>0</v>
      </c>
      <c r="BB185" cm="1">
        <f t="array" ref="BB185">IF(OR(R185={"NS","NA"},W154={"NS","NA"}),0,IF(R185&lt;=W154,0,1))</f>
        <v>0</v>
      </c>
      <c r="BC185" cm="1">
        <f t="array" ref="BC185">IF(OR(P185={"NS","NA"},BF185={"NS","NA"}),0,IF(P185&lt;=BF185,0,1))</f>
        <v>0</v>
      </c>
      <c r="BD185" cm="1">
        <f t="array" ref="BD185">IF(OR(Q185={"NS","NA"},BG185={"NS","NA"}),0,IF(Q185&lt;=BG185,0,1))</f>
        <v>0</v>
      </c>
      <c r="BE185" cm="1">
        <f t="array" ref="BE185">IF(OR(R185={"NS","NA"},BH185={"NS","NA"}),0,IF(R185&lt;=BH185,0,1))</f>
        <v>0</v>
      </c>
      <c r="BF185">
        <f t="shared" si="119"/>
        <v>0</v>
      </c>
      <c r="BG185">
        <f t="shared" si="119"/>
        <v>0</v>
      </c>
      <c r="BH185">
        <f t="shared" si="119"/>
        <v>0</v>
      </c>
      <c r="BI185" cm="1">
        <f t="array" ref="BI185">IF(OR(S185={"NS","NA"},$P185={"NS","NA"}),0,IF(S185&lt;=$P185,0,1))</f>
        <v>0</v>
      </c>
      <c r="BJ185" cm="1">
        <f t="array" ref="BJ185">IF(OR(T185={"NS","NA"},$Q185={"NS","NA"}),0,IF(T185&lt;=$Q185,0,1))</f>
        <v>0</v>
      </c>
      <c r="BK185" cm="1">
        <f t="array" ref="BK185">IF(OR(U185={"NS","NA"},$R185={"NS","NA"}),0,IF(U185&lt;=$R185,0,1))</f>
        <v>0</v>
      </c>
      <c r="BL185" cm="1">
        <f t="array" ref="BL185">IF(OR(V185={"NS","NA"},$P185={"NS","NA"}),0,IF(V185&lt;=$P185,0,1))</f>
        <v>0</v>
      </c>
      <c r="BM185" cm="1">
        <f t="array" ref="BM185">IF(OR(W185={"NS","NA"},$Q185={"NS","NA"}),0,IF(W185&lt;=$Q185,0,1))</f>
        <v>0</v>
      </c>
      <c r="BN185" cm="1">
        <f t="array" ref="BN185">IF(OR(X185={"NS","NA"},$R185={"NS","NA"}),0,IF(X185&lt;=$R185,0,1))</f>
        <v>0</v>
      </c>
      <c r="BO185" cm="1">
        <f t="array" ref="BO185">IF(OR(Y185={"NS","NA"},$P185={"NS","NA"}),0,IF(Y185&lt;=$P185,0,1))</f>
        <v>0</v>
      </c>
      <c r="BP185" cm="1">
        <f t="array" ref="BP185">IF(OR(Z185={"NS","NA"},$Q185={"NS","NA"}),0,IF(Z185&lt;=$Q185,0,1))</f>
        <v>0</v>
      </c>
      <c r="BQ185" cm="1">
        <f t="array" ref="BQ185">IF(OR(AA185={"NS","NA"},$R185={"NS","NA"}),0,IF(AA185&lt;=$R185,0,1))</f>
        <v>0</v>
      </c>
      <c r="BR185" cm="1">
        <f t="array" ref="BR185">IF(OR(AB185={"NS","NA"},$P185={"NS","NA"}),0,IF(AB185&lt;=$P185,0,1))</f>
        <v>0</v>
      </c>
      <c r="BS185" cm="1">
        <f t="array" ref="BS185">IF(OR(AC185={"NS","NA"},$Q185={"NS","NA"}),0,IF(AC185&lt;=$Q185,0,1))</f>
        <v>0</v>
      </c>
      <c r="BT185" cm="1">
        <f t="array" ref="BT185">IF(OR(AD185={"NS","NA"},$R185={"NS","NA"}),0,IF(AD185&lt;=$R185,0,1))</f>
        <v>0</v>
      </c>
    </row>
    <row r="186" spans="1:72">
      <c r="A186" s="169"/>
      <c r="B186" s="90"/>
      <c r="C186" s="43" t="s">
        <v>2521</v>
      </c>
      <c r="D186" s="796" t="str">
        <f>IF(CNSIPEE_2024_M2_Secc1!D47="","",CNSIPEE_2024_M2_Secc1!D47)</f>
        <v/>
      </c>
      <c r="E186" s="796"/>
      <c r="F186" s="796"/>
      <c r="G186" s="796"/>
      <c r="H186" s="796"/>
      <c r="I186" s="796"/>
      <c r="J186" s="749"/>
      <c r="K186" s="749"/>
      <c r="L186" s="749"/>
      <c r="M186" s="749"/>
      <c r="N186" s="749"/>
      <c r="O186" s="749"/>
      <c r="P186" s="100"/>
      <c r="Q186" s="100"/>
      <c r="R186" s="100"/>
      <c r="S186" s="100"/>
      <c r="T186" s="100"/>
      <c r="U186" s="100"/>
      <c r="V186" s="100"/>
      <c r="W186" s="100"/>
      <c r="X186" s="100"/>
      <c r="Y186" s="100"/>
      <c r="Z186" s="100"/>
      <c r="AA186" s="100"/>
      <c r="AB186" s="100"/>
      <c r="AC186" s="100"/>
      <c r="AD186" s="100"/>
      <c r="AF186">
        <f t="shared" si="103"/>
        <v>0</v>
      </c>
      <c r="AG186">
        <f t="shared" si="120"/>
        <v>0</v>
      </c>
      <c r="AH186">
        <f t="shared" si="104"/>
        <v>0</v>
      </c>
      <c r="AI186"/>
      <c r="AJ186"/>
      <c r="AK186">
        <f t="shared" si="105"/>
        <v>0</v>
      </c>
      <c r="AL186">
        <f t="shared" si="106"/>
        <v>0</v>
      </c>
      <c r="AM186">
        <f t="shared" si="121"/>
        <v>0</v>
      </c>
      <c r="AN186">
        <f t="shared" si="107"/>
        <v>0</v>
      </c>
      <c r="AO186">
        <f t="shared" si="108"/>
        <v>0</v>
      </c>
      <c r="AP186">
        <f t="shared" si="109"/>
        <v>0</v>
      </c>
      <c r="AQ186">
        <f t="shared" si="110"/>
        <v>0</v>
      </c>
      <c r="AR186">
        <f t="shared" si="111"/>
        <v>0</v>
      </c>
      <c r="AS186">
        <f t="shared" si="112"/>
        <v>0</v>
      </c>
      <c r="AT186">
        <f t="shared" si="113"/>
        <v>0</v>
      </c>
      <c r="AU186">
        <f t="shared" si="114"/>
        <v>0</v>
      </c>
      <c r="AV186">
        <f t="shared" si="115"/>
        <v>0</v>
      </c>
      <c r="AW186">
        <f t="shared" si="116"/>
        <v>0</v>
      </c>
      <c r="AX186">
        <f t="shared" si="117"/>
        <v>0</v>
      </c>
      <c r="AY186">
        <f t="shared" si="118"/>
        <v>0</v>
      </c>
      <c r="AZ186" cm="1">
        <f t="array" ref="AZ186">IF(OR(P186={"NS","NA"},S155={"NS","NA"}),0,IF(P186&lt;=S155,0,1))</f>
        <v>0</v>
      </c>
      <c r="BA186" cm="1">
        <f t="array" ref="BA186">IF(OR(Q186={"NS","NA"},U155={"NS","NA"}),0,IF(Q186&lt;=U155,0,1))</f>
        <v>0</v>
      </c>
      <c r="BB186" cm="1">
        <f t="array" ref="BB186">IF(OR(R186={"NS","NA"},W155={"NS","NA"}),0,IF(R186&lt;=W155,0,1))</f>
        <v>0</v>
      </c>
      <c r="BC186" cm="1">
        <f t="array" ref="BC186">IF(OR(P186={"NS","NA"},BF186={"NS","NA"}),0,IF(P186&lt;=BF186,0,1))</f>
        <v>0</v>
      </c>
      <c r="BD186" cm="1">
        <f t="array" ref="BD186">IF(OR(Q186={"NS","NA"},BG186={"NS","NA"}),0,IF(Q186&lt;=BG186,0,1))</f>
        <v>0</v>
      </c>
      <c r="BE186" cm="1">
        <f t="array" ref="BE186">IF(OR(R186={"NS","NA"},BH186={"NS","NA"}),0,IF(R186&lt;=BH186,0,1))</f>
        <v>0</v>
      </c>
      <c r="BF186">
        <f t="shared" si="119"/>
        <v>0</v>
      </c>
      <c r="BG186">
        <f t="shared" si="119"/>
        <v>0</v>
      </c>
      <c r="BH186">
        <f t="shared" si="119"/>
        <v>0</v>
      </c>
      <c r="BI186" cm="1">
        <f t="array" ref="BI186">IF(OR(S186={"NS","NA"},$P186={"NS","NA"}),0,IF(S186&lt;=$P186,0,1))</f>
        <v>0</v>
      </c>
      <c r="BJ186" cm="1">
        <f t="array" ref="BJ186">IF(OR(T186={"NS","NA"},$Q186={"NS","NA"}),0,IF(T186&lt;=$Q186,0,1))</f>
        <v>0</v>
      </c>
      <c r="BK186" cm="1">
        <f t="array" ref="BK186">IF(OR(U186={"NS","NA"},$R186={"NS","NA"}),0,IF(U186&lt;=$R186,0,1))</f>
        <v>0</v>
      </c>
      <c r="BL186" cm="1">
        <f t="array" ref="BL186">IF(OR(V186={"NS","NA"},$P186={"NS","NA"}),0,IF(V186&lt;=$P186,0,1))</f>
        <v>0</v>
      </c>
      <c r="BM186" cm="1">
        <f t="array" ref="BM186">IF(OR(W186={"NS","NA"},$Q186={"NS","NA"}),0,IF(W186&lt;=$Q186,0,1))</f>
        <v>0</v>
      </c>
      <c r="BN186" cm="1">
        <f t="array" ref="BN186">IF(OR(X186={"NS","NA"},$R186={"NS","NA"}),0,IF(X186&lt;=$R186,0,1))</f>
        <v>0</v>
      </c>
      <c r="BO186" cm="1">
        <f t="array" ref="BO186">IF(OR(Y186={"NS","NA"},$P186={"NS","NA"}),0,IF(Y186&lt;=$P186,0,1))</f>
        <v>0</v>
      </c>
      <c r="BP186" cm="1">
        <f t="array" ref="BP186">IF(OR(Z186={"NS","NA"},$Q186={"NS","NA"}),0,IF(Z186&lt;=$Q186,0,1))</f>
        <v>0</v>
      </c>
      <c r="BQ186" cm="1">
        <f t="array" ref="BQ186">IF(OR(AA186={"NS","NA"},$R186={"NS","NA"}),0,IF(AA186&lt;=$R186,0,1))</f>
        <v>0</v>
      </c>
      <c r="BR186" cm="1">
        <f t="array" ref="BR186">IF(OR(AB186={"NS","NA"},$P186={"NS","NA"}),0,IF(AB186&lt;=$P186,0,1))</f>
        <v>0</v>
      </c>
      <c r="BS186" cm="1">
        <f t="array" ref="BS186">IF(OR(AC186={"NS","NA"},$Q186={"NS","NA"}),0,IF(AC186&lt;=$Q186,0,1))</f>
        <v>0</v>
      </c>
      <c r="BT186" cm="1">
        <f t="array" ref="BT186">IF(OR(AD186={"NS","NA"},$R186={"NS","NA"}),0,IF(AD186&lt;=$R186,0,1))</f>
        <v>0</v>
      </c>
    </row>
    <row r="187" spans="1:72">
      <c r="A187" s="169"/>
      <c r="B187" s="90"/>
      <c r="C187" s="43" t="s">
        <v>2522</v>
      </c>
      <c r="D187" s="796" t="str">
        <f>IF(CNSIPEE_2024_M2_Secc1!D48="","",CNSIPEE_2024_M2_Secc1!D48)</f>
        <v/>
      </c>
      <c r="E187" s="796"/>
      <c r="F187" s="796"/>
      <c r="G187" s="796"/>
      <c r="H187" s="796"/>
      <c r="I187" s="796"/>
      <c r="J187" s="749"/>
      <c r="K187" s="749"/>
      <c r="L187" s="749"/>
      <c r="M187" s="749"/>
      <c r="N187" s="749"/>
      <c r="O187" s="749"/>
      <c r="P187" s="100"/>
      <c r="Q187" s="100"/>
      <c r="R187" s="100"/>
      <c r="S187" s="100"/>
      <c r="T187" s="100"/>
      <c r="U187" s="100"/>
      <c r="V187" s="100"/>
      <c r="W187" s="100"/>
      <c r="X187" s="100"/>
      <c r="Y187" s="100"/>
      <c r="Z187" s="100"/>
      <c r="AA187" s="100"/>
      <c r="AB187" s="100"/>
      <c r="AC187" s="100"/>
      <c r="AD187" s="100"/>
      <c r="AF187">
        <f t="shared" si="103"/>
        <v>0</v>
      </c>
      <c r="AG187">
        <f t="shared" si="120"/>
        <v>0</v>
      </c>
      <c r="AH187">
        <f t="shared" si="104"/>
        <v>0</v>
      </c>
      <c r="AI187"/>
      <c r="AJ187"/>
      <c r="AK187">
        <f t="shared" si="105"/>
        <v>0</v>
      </c>
      <c r="AL187">
        <f t="shared" si="106"/>
        <v>0</v>
      </c>
      <c r="AM187">
        <f t="shared" si="121"/>
        <v>0</v>
      </c>
      <c r="AN187">
        <f t="shared" si="107"/>
        <v>0</v>
      </c>
      <c r="AO187">
        <f t="shared" si="108"/>
        <v>0</v>
      </c>
      <c r="AP187">
        <f t="shared" si="109"/>
        <v>0</v>
      </c>
      <c r="AQ187">
        <f t="shared" si="110"/>
        <v>0</v>
      </c>
      <c r="AR187">
        <f t="shared" si="111"/>
        <v>0</v>
      </c>
      <c r="AS187">
        <f t="shared" si="112"/>
        <v>0</v>
      </c>
      <c r="AT187">
        <f t="shared" si="113"/>
        <v>0</v>
      </c>
      <c r="AU187">
        <f t="shared" si="114"/>
        <v>0</v>
      </c>
      <c r="AV187">
        <f t="shared" si="115"/>
        <v>0</v>
      </c>
      <c r="AW187">
        <f t="shared" si="116"/>
        <v>0</v>
      </c>
      <c r="AX187">
        <f t="shared" si="117"/>
        <v>0</v>
      </c>
      <c r="AY187">
        <f t="shared" si="118"/>
        <v>0</v>
      </c>
      <c r="AZ187" cm="1">
        <f t="array" ref="AZ187">IF(OR(P187={"NS","NA"},S156={"NS","NA"}),0,IF(P187&lt;=S156,0,1))</f>
        <v>0</v>
      </c>
      <c r="BA187" cm="1">
        <f t="array" ref="BA187">IF(OR(Q187={"NS","NA"},U156={"NS","NA"}),0,IF(Q187&lt;=U156,0,1))</f>
        <v>0</v>
      </c>
      <c r="BB187" cm="1">
        <f t="array" ref="BB187">IF(OR(R187={"NS","NA"},W156={"NS","NA"}),0,IF(R187&lt;=W156,0,1))</f>
        <v>0</v>
      </c>
      <c r="BC187" cm="1">
        <f t="array" ref="BC187">IF(OR(P187={"NS","NA"},BF187={"NS","NA"}),0,IF(P187&lt;=BF187,0,1))</f>
        <v>0</v>
      </c>
      <c r="BD187" cm="1">
        <f t="array" ref="BD187">IF(OR(Q187={"NS","NA"},BG187={"NS","NA"}),0,IF(Q187&lt;=BG187,0,1))</f>
        <v>0</v>
      </c>
      <c r="BE187" cm="1">
        <f t="array" ref="BE187">IF(OR(R187={"NS","NA"},BH187={"NS","NA"}),0,IF(R187&lt;=BH187,0,1))</f>
        <v>0</v>
      </c>
      <c r="BF187">
        <f t="shared" si="119"/>
        <v>0</v>
      </c>
      <c r="BG187">
        <f t="shared" si="119"/>
        <v>0</v>
      </c>
      <c r="BH187">
        <f t="shared" si="119"/>
        <v>0</v>
      </c>
      <c r="BI187" cm="1">
        <f t="array" ref="BI187">IF(OR(S187={"NS","NA"},$P187={"NS","NA"}),0,IF(S187&lt;=$P187,0,1))</f>
        <v>0</v>
      </c>
      <c r="BJ187" cm="1">
        <f t="array" ref="BJ187">IF(OR(T187={"NS","NA"},$Q187={"NS","NA"}),0,IF(T187&lt;=$Q187,0,1))</f>
        <v>0</v>
      </c>
      <c r="BK187" cm="1">
        <f t="array" ref="BK187">IF(OR(U187={"NS","NA"},$R187={"NS","NA"}),0,IF(U187&lt;=$R187,0,1))</f>
        <v>0</v>
      </c>
      <c r="BL187" cm="1">
        <f t="array" ref="BL187">IF(OR(V187={"NS","NA"},$P187={"NS","NA"}),0,IF(V187&lt;=$P187,0,1))</f>
        <v>0</v>
      </c>
      <c r="BM187" cm="1">
        <f t="array" ref="BM187">IF(OR(W187={"NS","NA"},$Q187={"NS","NA"}),0,IF(W187&lt;=$Q187,0,1))</f>
        <v>0</v>
      </c>
      <c r="BN187" cm="1">
        <f t="array" ref="BN187">IF(OR(X187={"NS","NA"},$R187={"NS","NA"}),0,IF(X187&lt;=$R187,0,1))</f>
        <v>0</v>
      </c>
      <c r="BO187" cm="1">
        <f t="array" ref="BO187">IF(OR(Y187={"NS","NA"},$P187={"NS","NA"}),0,IF(Y187&lt;=$P187,0,1))</f>
        <v>0</v>
      </c>
      <c r="BP187" cm="1">
        <f t="array" ref="BP187">IF(OR(Z187={"NS","NA"},$Q187={"NS","NA"}),0,IF(Z187&lt;=$Q187,0,1))</f>
        <v>0</v>
      </c>
      <c r="BQ187" cm="1">
        <f t="array" ref="BQ187">IF(OR(AA187={"NS","NA"},$R187={"NS","NA"}),0,IF(AA187&lt;=$R187,0,1))</f>
        <v>0</v>
      </c>
      <c r="BR187" cm="1">
        <f t="array" ref="BR187">IF(OR(AB187={"NS","NA"},$P187={"NS","NA"}),0,IF(AB187&lt;=$P187,0,1))</f>
        <v>0</v>
      </c>
      <c r="BS187" cm="1">
        <f t="array" ref="BS187">IF(OR(AC187={"NS","NA"},$Q187={"NS","NA"}),0,IF(AC187&lt;=$Q187,0,1))</f>
        <v>0</v>
      </c>
      <c r="BT187" cm="1">
        <f t="array" ref="BT187">IF(OR(AD187={"NS","NA"},$R187={"NS","NA"}),0,IF(AD187&lt;=$R187,0,1))</f>
        <v>0</v>
      </c>
    </row>
    <row r="188" spans="1:72">
      <c r="A188" s="169"/>
      <c r="B188" s="90"/>
      <c r="C188" s="43" t="s">
        <v>2523</v>
      </c>
      <c r="D188" s="796" t="str">
        <f>IF(CNSIPEE_2024_M2_Secc1!D49="","",CNSIPEE_2024_M2_Secc1!D49)</f>
        <v/>
      </c>
      <c r="E188" s="796"/>
      <c r="F188" s="796"/>
      <c r="G188" s="796"/>
      <c r="H188" s="796"/>
      <c r="I188" s="796"/>
      <c r="J188" s="749"/>
      <c r="K188" s="749"/>
      <c r="L188" s="749"/>
      <c r="M188" s="749"/>
      <c r="N188" s="749"/>
      <c r="O188" s="749"/>
      <c r="P188" s="100"/>
      <c r="Q188" s="100"/>
      <c r="R188" s="100"/>
      <c r="S188" s="100"/>
      <c r="T188" s="100"/>
      <c r="U188" s="100"/>
      <c r="V188" s="100"/>
      <c r="W188" s="100"/>
      <c r="X188" s="100"/>
      <c r="Y188" s="100"/>
      <c r="Z188" s="100"/>
      <c r="AA188" s="100"/>
      <c r="AB188" s="100"/>
      <c r="AC188" s="100"/>
      <c r="AD188" s="100"/>
      <c r="AF188">
        <f t="shared" si="103"/>
        <v>0</v>
      </c>
      <c r="AG188">
        <f t="shared" si="120"/>
        <v>0</v>
      </c>
      <c r="AH188">
        <f t="shared" si="104"/>
        <v>0</v>
      </c>
      <c r="AI188"/>
      <c r="AJ188"/>
      <c r="AK188">
        <f t="shared" si="105"/>
        <v>0</v>
      </c>
      <c r="AL188">
        <f t="shared" si="106"/>
        <v>0</v>
      </c>
      <c r="AM188">
        <f t="shared" si="121"/>
        <v>0</v>
      </c>
      <c r="AN188">
        <f t="shared" si="107"/>
        <v>0</v>
      </c>
      <c r="AO188">
        <f t="shared" si="108"/>
        <v>0</v>
      </c>
      <c r="AP188">
        <f t="shared" si="109"/>
        <v>0</v>
      </c>
      <c r="AQ188">
        <f t="shared" si="110"/>
        <v>0</v>
      </c>
      <c r="AR188">
        <f t="shared" si="111"/>
        <v>0</v>
      </c>
      <c r="AS188">
        <f t="shared" si="112"/>
        <v>0</v>
      </c>
      <c r="AT188">
        <f t="shared" si="113"/>
        <v>0</v>
      </c>
      <c r="AU188">
        <f t="shared" si="114"/>
        <v>0</v>
      </c>
      <c r="AV188">
        <f t="shared" si="115"/>
        <v>0</v>
      </c>
      <c r="AW188">
        <f t="shared" si="116"/>
        <v>0</v>
      </c>
      <c r="AX188">
        <f t="shared" si="117"/>
        <v>0</v>
      </c>
      <c r="AY188">
        <f t="shared" si="118"/>
        <v>0</v>
      </c>
      <c r="AZ188" cm="1">
        <f t="array" ref="AZ188">IF(OR(P188={"NS","NA"},S157={"NS","NA"}),0,IF(P188&lt;=S157,0,1))</f>
        <v>0</v>
      </c>
      <c r="BA188" cm="1">
        <f t="array" ref="BA188">IF(OR(Q188={"NS","NA"},U157={"NS","NA"}),0,IF(Q188&lt;=U157,0,1))</f>
        <v>0</v>
      </c>
      <c r="BB188" cm="1">
        <f t="array" ref="BB188">IF(OR(R188={"NS","NA"},W157={"NS","NA"}),0,IF(R188&lt;=W157,0,1))</f>
        <v>0</v>
      </c>
      <c r="BC188" cm="1">
        <f t="array" ref="BC188">IF(OR(P188={"NS","NA"},BF188={"NS","NA"}),0,IF(P188&lt;=BF188,0,1))</f>
        <v>0</v>
      </c>
      <c r="BD188" cm="1">
        <f t="array" ref="BD188">IF(OR(Q188={"NS","NA"},BG188={"NS","NA"}),0,IF(Q188&lt;=BG188,0,1))</f>
        <v>0</v>
      </c>
      <c r="BE188" cm="1">
        <f t="array" ref="BE188">IF(OR(R188={"NS","NA"},BH188={"NS","NA"}),0,IF(R188&lt;=BH188,0,1))</f>
        <v>0</v>
      </c>
      <c r="BF188">
        <f t="shared" si="119"/>
        <v>0</v>
      </c>
      <c r="BG188">
        <f t="shared" si="119"/>
        <v>0</v>
      </c>
      <c r="BH188">
        <f t="shared" si="119"/>
        <v>0</v>
      </c>
      <c r="BI188" cm="1">
        <f t="array" ref="BI188">IF(OR(S188={"NS","NA"},$P188={"NS","NA"}),0,IF(S188&lt;=$P188,0,1))</f>
        <v>0</v>
      </c>
      <c r="BJ188" cm="1">
        <f t="array" ref="BJ188">IF(OR(T188={"NS","NA"},$Q188={"NS","NA"}),0,IF(T188&lt;=$Q188,0,1))</f>
        <v>0</v>
      </c>
      <c r="BK188" cm="1">
        <f t="array" ref="BK188">IF(OR(U188={"NS","NA"},$R188={"NS","NA"}),0,IF(U188&lt;=$R188,0,1))</f>
        <v>0</v>
      </c>
      <c r="BL188" cm="1">
        <f t="array" ref="BL188">IF(OR(V188={"NS","NA"},$P188={"NS","NA"}),0,IF(V188&lt;=$P188,0,1))</f>
        <v>0</v>
      </c>
      <c r="BM188" cm="1">
        <f t="array" ref="BM188">IF(OR(W188={"NS","NA"},$Q188={"NS","NA"}),0,IF(W188&lt;=$Q188,0,1))</f>
        <v>0</v>
      </c>
      <c r="BN188" cm="1">
        <f t="array" ref="BN188">IF(OR(X188={"NS","NA"},$R188={"NS","NA"}),0,IF(X188&lt;=$R188,0,1))</f>
        <v>0</v>
      </c>
      <c r="BO188" cm="1">
        <f t="array" ref="BO188">IF(OR(Y188={"NS","NA"},$P188={"NS","NA"}),0,IF(Y188&lt;=$P188,0,1))</f>
        <v>0</v>
      </c>
      <c r="BP188" cm="1">
        <f t="array" ref="BP188">IF(OR(Z188={"NS","NA"},$Q188={"NS","NA"}),0,IF(Z188&lt;=$Q188,0,1))</f>
        <v>0</v>
      </c>
      <c r="BQ188" cm="1">
        <f t="array" ref="BQ188">IF(OR(AA188={"NS","NA"},$R188={"NS","NA"}),0,IF(AA188&lt;=$R188,0,1))</f>
        <v>0</v>
      </c>
      <c r="BR188" cm="1">
        <f t="array" ref="BR188">IF(OR(AB188={"NS","NA"},$P188={"NS","NA"}),0,IF(AB188&lt;=$P188,0,1))</f>
        <v>0</v>
      </c>
      <c r="BS188" cm="1">
        <f t="array" ref="BS188">IF(OR(AC188={"NS","NA"},$Q188={"NS","NA"}),0,IF(AC188&lt;=$Q188,0,1))</f>
        <v>0</v>
      </c>
      <c r="BT188" cm="1">
        <f t="array" ref="BT188">IF(OR(AD188={"NS","NA"},$R188={"NS","NA"}),0,IF(AD188&lt;=$R188,0,1))</f>
        <v>0</v>
      </c>
    </row>
    <row r="189" spans="1:72">
      <c r="A189" s="169"/>
      <c r="B189" s="90"/>
      <c r="C189" s="90"/>
      <c r="D189" s="90"/>
      <c r="E189" s="90"/>
      <c r="F189" s="90"/>
      <c r="G189" s="90"/>
      <c r="H189" s="90"/>
      <c r="I189" s="117"/>
      <c r="J189" s="117"/>
      <c r="K189" s="51"/>
      <c r="O189" s="99" t="s">
        <v>2649</v>
      </c>
      <c r="P189" s="124">
        <f t="shared" ref="P189:AD189" si="122">IF(AND(SUM(P181:P188)=0,COUNTIF(P181:P188,"NS")&gt;0),"NS",IF(AND(SUM(P181:P188)=0,COUNTIF(P181:P188,0)&gt;0),0,IF(AND(SUM(P181:P188)=0,COUNTIF(P181:P188,"NA")&gt;0),"NA",SUM(P181:P188))))</f>
        <v>0</v>
      </c>
      <c r="Q189" s="124">
        <f t="shared" si="122"/>
        <v>0</v>
      </c>
      <c r="R189" s="124">
        <f t="shared" si="122"/>
        <v>0</v>
      </c>
      <c r="S189" s="124">
        <f t="shared" si="122"/>
        <v>0</v>
      </c>
      <c r="T189" s="124">
        <f t="shared" si="122"/>
        <v>0</v>
      </c>
      <c r="U189" s="124">
        <f t="shared" si="122"/>
        <v>0</v>
      </c>
      <c r="V189" s="124">
        <f t="shared" si="122"/>
        <v>0</v>
      </c>
      <c r="W189" s="124">
        <f t="shared" si="122"/>
        <v>0</v>
      </c>
      <c r="X189" s="124">
        <f t="shared" si="122"/>
        <v>0</v>
      </c>
      <c r="Y189" s="124">
        <f t="shared" si="122"/>
        <v>0</v>
      </c>
      <c r="Z189" s="124">
        <f t="shared" si="122"/>
        <v>0</v>
      </c>
      <c r="AA189" s="124">
        <f t="shared" si="122"/>
        <v>0</v>
      </c>
      <c r="AB189" s="124">
        <f t="shared" si="122"/>
        <v>0</v>
      </c>
      <c r="AC189" s="124">
        <f t="shared" si="122"/>
        <v>0</v>
      </c>
      <c r="AD189" s="124">
        <f t="shared" si="122"/>
        <v>0</v>
      </c>
      <c r="AF189" s="507">
        <f>SUM(AF181:AF188)</f>
        <v>0</v>
      </c>
      <c r="AG189" s="507">
        <f>SUM(AG181:AG188)</f>
        <v>0</v>
      </c>
      <c r="AH189" s="507">
        <f>SUM(AH181:AH188)</f>
        <v>0</v>
      </c>
      <c r="AJ189"/>
      <c r="AK189">
        <f>SUM(AK181:AK188)</f>
        <v>0</v>
      </c>
      <c r="AM189">
        <f>SUM(AM181:AM188)</f>
        <v>0</v>
      </c>
      <c r="AN189">
        <f>SUM(AN181:AN188)</f>
        <v>0</v>
      </c>
      <c r="AP189">
        <f>SUM(AP181:AP188)</f>
        <v>0</v>
      </c>
      <c r="AQ189">
        <f>SUM(AQ181:AQ188)</f>
        <v>0</v>
      </c>
      <c r="AS189">
        <f>SUM(AS181:AS188)</f>
        <v>0</v>
      </c>
      <c r="AT189">
        <f>SUM(AT181:AT188)</f>
        <v>0</v>
      </c>
      <c r="AV189">
        <f>SUM(AV181:AV188)</f>
        <v>0</v>
      </c>
      <c r="AW189">
        <f>SUM(AW181:AW188)</f>
        <v>0</v>
      </c>
      <c r="AY189">
        <f>SUM(AY181:AY188)</f>
        <v>0</v>
      </c>
      <c r="BB189" s="507">
        <f>SUM(AZ181:BB188)</f>
        <v>0</v>
      </c>
      <c r="BE189" s="507">
        <f>SUM(BC181:BE188)</f>
        <v>0</v>
      </c>
    </row>
    <row r="190" spans="1:72" ht="15" customHeight="1">
      <c r="A190" s="50"/>
      <c r="B190" s="38"/>
      <c r="C190" s="75"/>
      <c r="D190" s="75"/>
      <c r="E190" s="75"/>
      <c r="F190" s="75"/>
      <c r="G190" s="75"/>
      <c r="H190" s="75"/>
      <c r="I190" s="75"/>
      <c r="J190" s="75"/>
      <c r="K190" s="75"/>
      <c r="L190" s="75"/>
      <c r="M190" s="75"/>
      <c r="N190" s="75"/>
      <c r="O190" s="75"/>
      <c r="P190" s="75"/>
      <c r="Q190" s="75"/>
      <c r="R190" s="75"/>
      <c r="S190" s="75"/>
      <c r="T190" s="75"/>
      <c r="U190" s="75"/>
      <c r="V190" s="75"/>
      <c r="W190" s="75"/>
      <c r="X190" s="75"/>
      <c r="Y190" s="75"/>
      <c r="Z190" s="75"/>
      <c r="AA190" s="75"/>
      <c r="AB190" s="75"/>
      <c r="AC190" s="75"/>
      <c r="AD190" s="75"/>
      <c r="AK190" t="s">
        <v>2650</v>
      </c>
      <c r="AL190" s="590">
        <f>SUM(AM189,AP189,AS189,AV189,AY189)</f>
        <v>0</v>
      </c>
      <c r="AM190" t="s">
        <v>2651</v>
      </c>
      <c r="AN190">
        <f>SUM(AK189,AN189,AQ189,AT189,AW189)</f>
        <v>0</v>
      </c>
    </row>
    <row r="191" spans="1:72" ht="15" customHeight="1">
      <c r="A191" s="50"/>
      <c r="B191" s="38"/>
      <c r="C191" s="75"/>
      <c r="D191" s="75"/>
      <c r="E191" s="75"/>
      <c r="F191" s="75"/>
      <c r="G191" s="75"/>
      <c r="H191" s="75"/>
      <c r="I191" s="75"/>
      <c r="J191" s="75"/>
      <c r="K191" s="75"/>
      <c r="L191" s="75"/>
      <c r="M191" s="75"/>
      <c r="N191" s="75"/>
      <c r="O191" s="75"/>
      <c r="P191" s="75"/>
      <c r="Q191" s="75"/>
      <c r="R191" s="75"/>
      <c r="S191" s="75"/>
      <c r="T191" s="75"/>
      <c r="U191" s="75"/>
      <c r="V191" s="75"/>
      <c r="W191" s="75"/>
      <c r="X191" s="75"/>
      <c r="Y191" s="75"/>
      <c r="Z191" s="75"/>
      <c r="AA191" s="875" t="s">
        <v>2668</v>
      </c>
      <c r="AB191" s="875"/>
      <c r="AC191" s="875"/>
      <c r="AD191" s="875"/>
      <c r="AK191" t="s">
        <v>2652</v>
      </c>
      <c r="AL191">
        <f>IF(AN190&gt;0,IF(SUM(P189)&gt;=SUM(S189,V189,Y189,AB189),0,1),IF(SUM(P189)&lt;&gt;SUM(S189,V189,Y189,AB189),1,0))</f>
        <v>0</v>
      </c>
      <c r="AM191" t="s">
        <v>2653</v>
      </c>
      <c r="AN191">
        <f>IF(AN190&gt;0,IF(SUM(Q189)&gt;=SUM(T189,W189,Z189,AC189),0,1),IF(SUM(Q189)&lt;&gt;SUM(T189,W189,Z189,AC189),1,0))</f>
        <v>0</v>
      </c>
      <c r="AO191" t="s">
        <v>2654</v>
      </c>
      <c r="AP191">
        <f>IF(AN190&gt;0,IF(SUM(R189)&gt;=SUM(U189,X189,AA189,AD189),0,1),IF(SUM(R189)&lt;&gt;SUM(U189,X189,AA189,AD189),1,0))</f>
        <v>0</v>
      </c>
    </row>
    <row r="192" spans="1:72" ht="36" customHeight="1">
      <c r="A192" s="50"/>
      <c r="B192" s="38"/>
      <c r="C192" s="797" t="s">
        <v>2581</v>
      </c>
      <c r="D192" s="798"/>
      <c r="E192" s="798"/>
      <c r="F192" s="798"/>
      <c r="G192" s="798"/>
      <c r="H192" s="798"/>
      <c r="I192" s="799"/>
      <c r="J192" s="739" t="s">
        <v>5835</v>
      </c>
      <c r="K192" s="740"/>
      <c r="L192" s="740"/>
      <c r="M192" s="740"/>
      <c r="N192" s="740"/>
      <c r="O192" s="740"/>
      <c r="P192" s="740"/>
      <c r="Q192" s="740"/>
      <c r="R192" s="740"/>
      <c r="S192" s="740"/>
      <c r="T192" s="740"/>
      <c r="U192" s="740"/>
      <c r="V192" s="740"/>
      <c r="W192" s="740"/>
      <c r="X192" s="740"/>
      <c r="Y192" s="740"/>
      <c r="Z192" s="740"/>
      <c r="AA192" s="740"/>
      <c r="AB192" s="740"/>
      <c r="AC192" s="740"/>
      <c r="AD192" s="741"/>
    </row>
    <row r="193" spans="1:78" ht="15" customHeight="1">
      <c r="A193" s="50"/>
      <c r="B193" s="38"/>
      <c r="C193" s="800"/>
      <c r="D193" s="801"/>
      <c r="E193" s="801"/>
      <c r="F193" s="801"/>
      <c r="G193" s="801"/>
      <c r="H193" s="801"/>
      <c r="I193" s="802"/>
      <c r="J193" s="733" t="s">
        <v>5836</v>
      </c>
      <c r="K193" s="734"/>
      <c r="L193" s="734"/>
      <c r="M193" s="734"/>
      <c r="N193" s="734"/>
      <c r="O193" s="734"/>
      <c r="P193" s="734"/>
      <c r="Q193" s="734"/>
      <c r="R193" s="734"/>
      <c r="S193" s="734"/>
      <c r="T193" s="734"/>
      <c r="U193" s="734"/>
      <c r="V193" s="734"/>
      <c r="W193" s="734"/>
      <c r="X193" s="734"/>
      <c r="Y193" s="734"/>
      <c r="Z193" s="734"/>
      <c r="AA193" s="734"/>
      <c r="AB193" s="734"/>
      <c r="AC193" s="734"/>
      <c r="AD193" s="735"/>
    </row>
    <row r="194" spans="1:78" ht="144" customHeight="1">
      <c r="A194" s="50"/>
      <c r="B194" s="38"/>
      <c r="C194" s="800"/>
      <c r="D194" s="801"/>
      <c r="E194" s="801"/>
      <c r="F194" s="801"/>
      <c r="G194" s="801"/>
      <c r="H194" s="801"/>
      <c r="I194" s="802"/>
      <c r="J194" s="845" t="s">
        <v>5842</v>
      </c>
      <c r="K194" s="952"/>
      <c r="L194" s="846"/>
      <c r="M194" s="845" t="s">
        <v>5843</v>
      </c>
      <c r="N194" s="952"/>
      <c r="O194" s="846"/>
      <c r="P194" s="845" t="s">
        <v>5844</v>
      </c>
      <c r="Q194" s="952"/>
      <c r="R194" s="846"/>
      <c r="S194" s="845" t="s">
        <v>5845</v>
      </c>
      <c r="T194" s="952"/>
      <c r="U194" s="846"/>
      <c r="V194" s="845" t="s">
        <v>5846</v>
      </c>
      <c r="W194" s="952"/>
      <c r="X194" s="846"/>
      <c r="Y194" s="845" t="s">
        <v>5847</v>
      </c>
      <c r="Z194" s="952"/>
      <c r="AA194" s="846"/>
      <c r="AB194" s="845" t="s">
        <v>2990</v>
      </c>
      <c r="AC194" s="952"/>
      <c r="AD194" s="846"/>
    </row>
    <row r="195" spans="1:78" ht="48" customHeight="1">
      <c r="A195" s="50"/>
      <c r="B195" s="38"/>
      <c r="C195" s="803"/>
      <c r="D195" s="804"/>
      <c r="E195" s="804"/>
      <c r="F195" s="804"/>
      <c r="G195" s="804"/>
      <c r="H195" s="804"/>
      <c r="I195" s="805"/>
      <c r="J195" s="127" t="s">
        <v>2635</v>
      </c>
      <c r="K195" s="128" t="s">
        <v>2629</v>
      </c>
      <c r="L195" s="128" t="s">
        <v>2630</v>
      </c>
      <c r="M195" s="127" t="s">
        <v>2635</v>
      </c>
      <c r="N195" s="128" t="s">
        <v>2629</v>
      </c>
      <c r="O195" s="128" t="s">
        <v>2630</v>
      </c>
      <c r="P195" s="127" t="s">
        <v>2635</v>
      </c>
      <c r="Q195" s="128" t="s">
        <v>2629</v>
      </c>
      <c r="R195" s="128" t="s">
        <v>2630</v>
      </c>
      <c r="S195" s="127" t="s">
        <v>2635</v>
      </c>
      <c r="T195" s="128" t="s">
        <v>2629</v>
      </c>
      <c r="U195" s="128" t="s">
        <v>2630</v>
      </c>
      <c r="V195" s="127" t="s">
        <v>2635</v>
      </c>
      <c r="W195" s="128" t="s">
        <v>2629</v>
      </c>
      <c r="X195" s="128" t="s">
        <v>2630</v>
      </c>
      <c r="Y195" s="127" t="s">
        <v>2635</v>
      </c>
      <c r="Z195" s="128" t="s">
        <v>2629</v>
      </c>
      <c r="AA195" s="128" t="s">
        <v>2630</v>
      </c>
      <c r="AB195" s="127" t="s">
        <v>2635</v>
      </c>
      <c r="AC195" s="128" t="s">
        <v>2629</v>
      </c>
      <c r="AD195" s="128" t="s">
        <v>2630</v>
      </c>
      <c r="AK195" t="s">
        <v>4573</v>
      </c>
      <c r="AL195" t="s">
        <v>2638</v>
      </c>
      <c r="AM195" t="s">
        <v>2639</v>
      </c>
      <c r="AN195" t="s">
        <v>4574</v>
      </c>
      <c r="AO195" t="s">
        <v>2641</v>
      </c>
      <c r="AP195" t="s">
        <v>2642</v>
      </c>
      <c r="AQ195" t="s">
        <v>4575</v>
      </c>
      <c r="AR195" t="s">
        <v>2644</v>
      </c>
      <c r="AS195" t="s">
        <v>2645</v>
      </c>
      <c r="AT195" t="s">
        <v>4576</v>
      </c>
      <c r="AU195" t="s">
        <v>2647</v>
      </c>
      <c r="AV195" t="s">
        <v>2648</v>
      </c>
      <c r="AW195" t="s">
        <v>5177</v>
      </c>
      <c r="AX195" t="s">
        <v>2757</v>
      </c>
      <c r="AY195" t="s">
        <v>2758</v>
      </c>
      <c r="AZ195" t="s">
        <v>5194</v>
      </c>
      <c r="BA195" t="s">
        <v>2760</v>
      </c>
      <c r="BB195" t="s">
        <v>2761</v>
      </c>
      <c r="BC195" t="s">
        <v>5195</v>
      </c>
      <c r="BD195" t="s">
        <v>2763</v>
      </c>
      <c r="BE195" t="s">
        <v>2764</v>
      </c>
      <c r="BF195" t="s">
        <v>5841</v>
      </c>
      <c r="BG195"/>
      <c r="BH195"/>
      <c r="BI195"/>
      <c r="BJ195"/>
      <c r="BK195"/>
      <c r="BL195"/>
      <c r="BM195"/>
      <c r="BN195"/>
      <c r="BO195"/>
      <c r="BP195"/>
      <c r="BQ195"/>
      <c r="BR195"/>
      <c r="BS195"/>
      <c r="BT195"/>
      <c r="BU195"/>
      <c r="BV195"/>
      <c r="BW195"/>
      <c r="BX195"/>
      <c r="BY195"/>
      <c r="BZ195"/>
    </row>
    <row r="196" spans="1:78" ht="15" customHeight="1">
      <c r="A196" s="50"/>
      <c r="B196" s="38"/>
      <c r="C196" s="43" t="s">
        <v>2516</v>
      </c>
      <c r="D196" s="796" t="str">
        <f>IF(CNSIPEE_2024_M2_Secc1!D42="","",CNSIPEE_2024_M2_Secc1!D42)</f>
        <v/>
      </c>
      <c r="E196" s="796"/>
      <c r="F196" s="796"/>
      <c r="G196" s="796"/>
      <c r="H196" s="796"/>
      <c r="I196" s="796"/>
      <c r="J196" s="100"/>
      <c r="K196" s="100"/>
      <c r="L196" s="100"/>
      <c r="M196" s="100"/>
      <c r="N196" s="100"/>
      <c r="O196" s="100"/>
      <c r="P196" s="100"/>
      <c r="Q196" s="100"/>
      <c r="R196" s="100"/>
      <c r="S196" s="100"/>
      <c r="T196" s="100"/>
      <c r="U196" s="100"/>
      <c r="V196" s="100"/>
      <c r="W196" s="100"/>
      <c r="X196" s="100"/>
      <c r="Y196" s="100"/>
      <c r="Z196" s="100"/>
      <c r="AA196" s="100"/>
      <c r="AB196" s="100"/>
      <c r="AC196" s="100"/>
      <c r="AD196" s="100"/>
      <c r="AK196">
        <f t="shared" ref="AK196:AK203" si="123">COUNTIF(K196:L196,"NS")</f>
        <v>0</v>
      </c>
      <c r="AL196">
        <f t="shared" ref="AL196:AL203" si="124">SUM(K196:L196)</f>
        <v>0</v>
      </c>
      <c r="AM196">
        <f>IF(COUNTIF(J196:L196,"NA")=3,0,IF(COUNTA(J196:L196)=0,0,IF(OR(AND(J196=0,AK196&gt;0),AND(J196="ns",AL196&gt;0),AND(J196="ns",AK196=0,AL196=0)),1,IF(OR(AND(J196&gt;0,AK196=2),AND(J196="ns",AK196=2),AND(J196="ns",AL196=0,AK196&gt;0),J196=AL196),0,1))))</f>
        <v>0</v>
      </c>
      <c r="AN196">
        <f t="shared" ref="AN196:AN203" si="125">COUNTIF(N196:O196,"NS")</f>
        <v>0</v>
      </c>
      <c r="AO196">
        <f t="shared" ref="AO196:AO203" si="126">SUM(N196:O196)</f>
        <v>0</v>
      </c>
      <c r="AP196">
        <f t="shared" ref="AP196:AP203" si="127">IF(COUNTIF(M196:O196,"NA")=3,0,IF(COUNTA(M196:O196)=0,0,IF(OR(AND(M196=0,AN196&gt;0),AND(M196="ns",AO196&gt;0),AND(M196="ns",AN196=0,AO196=0)),1,IF(OR(AND(M196&gt;0,AN196=2),AND(M196="ns",AN196=2),AND(M196="ns",AO196=0,AN196&gt;0),M196=AO196),0,1))))</f>
        <v>0</v>
      </c>
      <c r="AQ196">
        <f t="shared" ref="AQ196:AQ203" si="128">COUNTIF(Q196:R196,"NS")</f>
        <v>0</v>
      </c>
      <c r="AR196">
        <f t="shared" ref="AR196:AR203" si="129">SUM(Q196:R196)</f>
        <v>0</v>
      </c>
      <c r="AS196">
        <f t="shared" ref="AS196:AS203" si="130">IF(COUNTIF(P196:R196,"NA")=3,0,IF(COUNTA(P196:R196)=0,0,IF(OR(AND(P196=0,AQ196&gt;0),AND(P196="ns",AR196&gt;0),AND(P196="ns",AQ196=0,AR196=0)),1,IF(OR(AND(P196&gt;0,AQ196=2),AND(P196="ns",AQ196=2),AND(P196="ns",AR196=0,AQ196&gt;0),P196=AR196),0,1))))</f>
        <v>0</v>
      </c>
      <c r="AT196">
        <f t="shared" ref="AT196:AT203" si="131">COUNTIF(T196:U196,"NS")</f>
        <v>0</v>
      </c>
      <c r="AU196">
        <f t="shared" ref="AU196:AU203" si="132">SUM(T196:U196)</f>
        <v>0</v>
      </c>
      <c r="AV196">
        <f t="shared" ref="AV196:AV203" si="133">IF(COUNTIF(S196:U196,"NA")=3,0,IF(COUNTA(S196:U196)=0,0,IF(OR(AND(S196=0,AT196&gt;0),AND(S196="ns",AU196&gt;0),AND(S196="ns",AT196=0,AU196=0)),1,IF(OR(AND(S196&gt;0,AT196=2),AND(S196="ns",AT196=2),AND(S196="ns",AU196=0,AT196&gt;0),S196=AU196),0,1))))</f>
        <v>0</v>
      </c>
      <c r="AW196">
        <f t="shared" ref="AW196:AW203" si="134">COUNTIF(W196:X196,"NS")</f>
        <v>0</v>
      </c>
      <c r="AX196">
        <f t="shared" ref="AX196:AX203" si="135">SUM(W196:X196)</f>
        <v>0</v>
      </c>
      <c r="AY196">
        <f t="shared" ref="AY196:AY203" si="136">IF(COUNTIF(V196:X196,"NA")=3,0,IF(COUNTA(V196:X196)=0,0,IF(OR(AND(V196=0,AW196&gt;0),AND(V196="ns",AX196&gt;0),AND(V196="ns",AW196=0,AX196=0)),1,IF(OR(AND(V196&gt;0,AW196=2),AND(V196="ns",AW196=2),AND(V196="ns",AX196=0,AW196&gt;0),V196=AX196),0,1))))</f>
        <v>0</v>
      </c>
      <c r="AZ196">
        <f t="shared" ref="AZ196:AZ203" si="137">COUNTIF(Z196:AA196,"NS")</f>
        <v>0</v>
      </c>
      <c r="BA196">
        <f t="shared" ref="BA196:BA203" si="138">SUM(Z196:AA196)</f>
        <v>0</v>
      </c>
      <c r="BB196">
        <f t="shared" ref="BB196:BB203" si="139">IF(COUNTIF(Y196:AA196,"NA")=3,0,IF(COUNTA(Y196:AA196)=0,0,IF(OR(AND(Y196=0,AZ196&gt;0),AND(Y196="ns",BA196&gt;0),AND(Y196="ns",AZ196=0,BA196=0)),1,IF(OR(AND(Y196&gt;0,AZ196=2),AND(Y196="ns",AZ196=2),AND(Y196="ns",BA196=0,AZ196&gt;0),Y196=BA196),0,1))))</f>
        <v>0</v>
      </c>
      <c r="BC196">
        <f t="shared" ref="BC196:BC203" si="140">COUNTIF(AC196:AD196,"NS")</f>
        <v>0</v>
      </c>
      <c r="BD196">
        <f t="shared" ref="BD196:BD203" si="141">SUM(AC196:AD196)</f>
        <v>0</v>
      </c>
      <c r="BE196">
        <f t="shared" ref="BE196:BE203" si="142">IF(COUNTIF(AB196:AD196,"NA")=3,0,IF(COUNTA(AB196:AD196)=0,0,IF(OR(AND(AB196=0,BC196&gt;0),AND(AB196="ns",BD196&gt;0),AND(AB196="ns",BC196=0,BD196=0)),1,IF(OR(AND(AB196&gt;0,BC196=2),AND(AB196="ns",BC196=2),AND(AB196="ns",BD196=0,BC196&gt;0),AB196=BD196),0,1))))</f>
        <v>0</v>
      </c>
      <c r="BF196" cm="1">
        <f t="array" ref="BF196">IF(OR(J196={"NS","NA"},$P181={"NS","NA"}),0,IF(J196&lt;=$P181,0,1))</f>
        <v>0</v>
      </c>
      <c r="BG196" cm="1">
        <f t="array" ref="BG196">IF(OR(K196={"NS","NA"},$Q181={"NS","NA"}),0,IF(K196&lt;=$Q181,0,1))</f>
        <v>0</v>
      </c>
      <c r="BH196" cm="1">
        <f t="array" ref="BH196">IF(OR(L196={"NS","NA"},$R181={"NS","NA"}),0,IF(L196&lt;=$R181,0,1))</f>
        <v>0</v>
      </c>
      <c r="BI196" cm="1">
        <f t="array" ref="BI196">IF(OR(M196={"NS","NA"},$P181={"NS","NA"}),0,IF(M196&lt;=$P181,0,1))</f>
        <v>0</v>
      </c>
      <c r="BJ196" cm="1">
        <f t="array" ref="BJ196">IF(OR(N196={"NS","NA"},$Q181={"NS","NA"}),0,IF(N196&lt;=$Q181,0,1))</f>
        <v>0</v>
      </c>
      <c r="BK196" cm="1">
        <f t="array" ref="BK196">IF(OR(O196={"NS","NA"},$R181={"NS","NA"}),0,IF(O196&lt;=$R181,0,1))</f>
        <v>0</v>
      </c>
      <c r="BL196" cm="1">
        <f t="array" ref="BL196">IF(OR(P196={"NS","NA"},$P181={"NS","NA"}),0,IF(P196&lt;=$P181,0,1))</f>
        <v>0</v>
      </c>
      <c r="BM196" cm="1">
        <f t="array" ref="BM196">IF(OR(Q196={"NS","NA"},$Q181={"NS","NA"}),0,IF(Q196&lt;=$Q181,0,1))</f>
        <v>0</v>
      </c>
      <c r="BN196" cm="1">
        <f t="array" ref="BN196">IF(OR(R196={"NS","NA"},$R181={"NS","NA"}),0,IF(R196&lt;=$R181,0,1))</f>
        <v>0</v>
      </c>
      <c r="BO196" cm="1">
        <f t="array" ref="BO196">IF(OR(S196={"NS","NA"},$P181={"NS","NA"}),0,IF(S196&lt;=$P181,0,1))</f>
        <v>0</v>
      </c>
      <c r="BP196" cm="1">
        <f t="array" ref="BP196">IF(OR(T196={"NS","NA"},$Q181={"NS","NA"}),0,IF(T196&lt;=$Q181,0,1))</f>
        <v>0</v>
      </c>
      <c r="BQ196" cm="1">
        <f t="array" ref="BQ196">IF(OR(U196={"NS","NA"},$R181={"NS","NA"}),0,IF(U196&lt;=$R181,0,1))</f>
        <v>0</v>
      </c>
      <c r="BR196" cm="1">
        <f t="array" ref="BR196">IF(OR(V196={"NS","NA"},$P181={"NS","NA"}),0,IF(V196&lt;=$P181,0,1))</f>
        <v>0</v>
      </c>
      <c r="BS196" cm="1">
        <f t="array" ref="BS196">IF(OR(W196={"NS","NA"},$Q181={"NS","NA"}),0,IF(W196&lt;=$Q181,0,1))</f>
        <v>0</v>
      </c>
      <c r="BT196" cm="1">
        <f t="array" ref="BT196">IF(OR(X196={"NS","NA"},$R181={"NS","NA"}),0,IF(X196&lt;=$R181,0,1))</f>
        <v>0</v>
      </c>
      <c r="BU196" cm="1">
        <f t="array" ref="BU196">IF(OR(Y196={"NS","NA"},$P181={"NS","NA"}),0,IF(Y196&lt;=$P181,0,1))</f>
        <v>0</v>
      </c>
      <c r="BV196" cm="1">
        <f t="array" ref="BV196">IF(OR(Z196={"NS","NA"},$Q181={"NS","NA"}),0,IF(Z196&lt;=$Q181,0,1))</f>
        <v>0</v>
      </c>
      <c r="BW196" cm="1">
        <f t="array" ref="BW196">IF(OR(AA196={"NS","NA"},$R181={"NS","NA"}),0,IF(AA196&lt;=$R181,0,1))</f>
        <v>0</v>
      </c>
      <c r="BX196" cm="1">
        <f t="array" ref="BX196">IF(OR(AB196={"NS","NA"},$P181={"NS","NA"}),0,IF(AB196&lt;=$P181,0,1))</f>
        <v>0</v>
      </c>
      <c r="BY196" cm="1">
        <f t="array" ref="BY196">IF(OR(AC196={"NS","NA"},$Q181={"NS","NA"}),0,IF(AC196&lt;=$Q181,0,1))</f>
        <v>0</v>
      </c>
      <c r="BZ196" cm="1">
        <f t="array" ref="BZ196">IF(OR(AD196={"NS","NA"},$R181={"NS","NA"}),0,IF(AD196&lt;=$R181,0,1))</f>
        <v>0</v>
      </c>
    </row>
    <row r="197" spans="1:78" ht="15" customHeight="1">
      <c r="A197" s="50"/>
      <c r="B197" s="38"/>
      <c r="C197" s="43" t="s">
        <v>2517</v>
      </c>
      <c r="D197" s="796" t="str">
        <f>IF(CNSIPEE_2024_M2_Secc1!D43="","",CNSIPEE_2024_M2_Secc1!D43)</f>
        <v/>
      </c>
      <c r="E197" s="796"/>
      <c r="F197" s="796"/>
      <c r="G197" s="796"/>
      <c r="H197" s="796"/>
      <c r="I197" s="796"/>
      <c r="J197" s="100"/>
      <c r="K197" s="100"/>
      <c r="L197" s="100"/>
      <c r="M197" s="100"/>
      <c r="N197" s="100"/>
      <c r="O197" s="100"/>
      <c r="P197" s="100"/>
      <c r="Q197" s="100"/>
      <c r="R197" s="100"/>
      <c r="S197" s="100"/>
      <c r="T197" s="100"/>
      <c r="U197" s="100"/>
      <c r="V197" s="100"/>
      <c r="W197" s="100"/>
      <c r="X197" s="100"/>
      <c r="Y197" s="100"/>
      <c r="Z197" s="100"/>
      <c r="AA197" s="100"/>
      <c r="AB197" s="100"/>
      <c r="AC197" s="100"/>
      <c r="AD197" s="100"/>
      <c r="AK197">
        <f t="shared" si="123"/>
        <v>0</v>
      </c>
      <c r="AL197">
        <f t="shared" si="124"/>
        <v>0</v>
      </c>
      <c r="AM197">
        <f t="shared" ref="AM197:AM203" si="143">IF(COUNTIF(J197:L197,"NA")=3,0,IF(COUNTA(J197:L197)=0,0,IF(OR(AND(J197=0,AK197&gt;0),AND(J197="ns",AL197&gt;0),AND(J197="ns",AK197=0,AL197=0)),1,IF(OR(AND(J197&gt;0,AK197=2),AND(J197="ns",AK197=2),AND(J197="ns",AL197=0,AK197&gt;0),J197=AL197),0,1))))</f>
        <v>0</v>
      </c>
      <c r="AN197">
        <f t="shared" si="125"/>
        <v>0</v>
      </c>
      <c r="AO197">
        <f t="shared" si="126"/>
        <v>0</v>
      </c>
      <c r="AP197">
        <f t="shared" si="127"/>
        <v>0</v>
      </c>
      <c r="AQ197">
        <f t="shared" si="128"/>
        <v>0</v>
      </c>
      <c r="AR197">
        <f t="shared" si="129"/>
        <v>0</v>
      </c>
      <c r="AS197">
        <f t="shared" si="130"/>
        <v>0</v>
      </c>
      <c r="AT197">
        <f t="shared" si="131"/>
        <v>0</v>
      </c>
      <c r="AU197">
        <f t="shared" si="132"/>
        <v>0</v>
      </c>
      <c r="AV197">
        <f t="shared" si="133"/>
        <v>0</v>
      </c>
      <c r="AW197">
        <f t="shared" si="134"/>
        <v>0</v>
      </c>
      <c r="AX197">
        <f t="shared" si="135"/>
        <v>0</v>
      </c>
      <c r="AY197">
        <f t="shared" si="136"/>
        <v>0</v>
      </c>
      <c r="AZ197">
        <f t="shared" si="137"/>
        <v>0</v>
      </c>
      <c r="BA197">
        <f t="shared" si="138"/>
        <v>0</v>
      </c>
      <c r="BB197">
        <f t="shared" si="139"/>
        <v>0</v>
      </c>
      <c r="BC197">
        <f t="shared" si="140"/>
        <v>0</v>
      </c>
      <c r="BD197">
        <f t="shared" si="141"/>
        <v>0</v>
      </c>
      <c r="BE197">
        <f t="shared" si="142"/>
        <v>0</v>
      </c>
      <c r="BF197" cm="1">
        <f t="array" ref="BF197">IF(OR(J197={"NS","NA"},$P182={"NS","NA"}),0,IF(J197&lt;=$P182,0,1))</f>
        <v>0</v>
      </c>
      <c r="BG197" cm="1">
        <f t="array" ref="BG197">IF(OR(K197={"NS","NA"},$Q182={"NS","NA"}),0,IF(K197&lt;=$Q182,0,1))</f>
        <v>0</v>
      </c>
      <c r="BH197" cm="1">
        <f t="array" ref="BH197">IF(OR(L197={"NS","NA"},$R182={"NS","NA"}),0,IF(L197&lt;=$R182,0,1))</f>
        <v>0</v>
      </c>
      <c r="BI197" cm="1">
        <f t="array" ref="BI197">IF(OR(M197={"NS","NA"},$P182={"NS","NA"}),0,IF(M197&lt;=$P182,0,1))</f>
        <v>0</v>
      </c>
      <c r="BJ197" cm="1">
        <f t="array" ref="BJ197">IF(OR(N197={"NS","NA"},$Q182={"NS","NA"}),0,IF(N197&lt;=$Q182,0,1))</f>
        <v>0</v>
      </c>
      <c r="BK197" cm="1">
        <f t="array" ref="BK197">IF(OR(O197={"NS","NA"},$R182={"NS","NA"}),0,IF(O197&lt;=$R182,0,1))</f>
        <v>0</v>
      </c>
      <c r="BL197" cm="1">
        <f t="array" ref="BL197">IF(OR(P197={"NS","NA"},$P182={"NS","NA"}),0,IF(P197&lt;=$P182,0,1))</f>
        <v>0</v>
      </c>
      <c r="BM197" cm="1">
        <f t="array" ref="BM197">IF(OR(Q197={"NS","NA"},$Q182={"NS","NA"}),0,IF(Q197&lt;=$Q182,0,1))</f>
        <v>0</v>
      </c>
      <c r="BN197" cm="1">
        <f t="array" ref="BN197">IF(OR(R197={"NS","NA"},$R182={"NS","NA"}),0,IF(R197&lt;=$R182,0,1))</f>
        <v>0</v>
      </c>
      <c r="BO197" cm="1">
        <f t="array" ref="BO197">IF(OR(S197={"NS","NA"},$P182={"NS","NA"}),0,IF(S197&lt;=$P182,0,1))</f>
        <v>0</v>
      </c>
      <c r="BP197" cm="1">
        <f t="array" ref="BP197">IF(OR(T197={"NS","NA"},$Q182={"NS","NA"}),0,IF(T197&lt;=$Q182,0,1))</f>
        <v>0</v>
      </c>
      <c r="BQ197" cm="1">
        <f t="array" ref="BQ197">IF(OR(U197={"NS","NA"},$R182={"NS","NA"}),0,IF(U197&lt;=$R182,0,1))</f>
        <v>0</v>
      </c>
      <c r="BR197" cm="1">
        <f t="array" ref="BR197">IF(OR(V197={"NS","NA"},$P182={"NS","NA"}),0,IF(V197&lt;=$P182,0,1))</f>
        <v>0</v>
      </c>
      <c r="BS197" cm="1">
        <f t="array" ref="BS197">IF(OR(W197={"NS","NA"},$Q182={"NS","NA"}),0,IF(W197&lt;=$Q182,0,1))</f>
        <v>0</v>
      </c>
      <c r="BT197" cm="1">
        <f t="array" ref="BT197">IF(OR(X197={"NS","NA"},$R182={"NS","NA"}),0,IF(X197&lt;=$R182,0,1))</f>
        <v>0</v>
      </c>
      <c r="BU197" cm="1">
        <f t="array" ref="BU197">IF(OR(Y197={"NS","NA"},$P182={"NS","NA"}),0,IF(Y197&lt;=$P182,0,1))</f>
        <v>0</v>
      </c>
      <c r="BV197" cm="1">
        <f t="array" ref="BV197">IF(OR(Z197={"NS","NA"},$Q182={"NS","NA"}),0,IF(Z197&lt;=$Q182,0,1))</f>
        <v>0</v>
      </c>
      <c r="BW197" cm="1">
        <f t="array" ref="BW197">IF(OR(AA197={"NS","NA"},$R182={"NS","NA"}),0,IF(AA197&lt;=$R182,0,1))</f>
        <v>0</v>
      </c>
      <c r="BX197" cm="1">
        <f t="array" ref="BX197">IF(OR(AB197={"NS","NA"},$P182={"NS","NA"}),0,IF(AB197&lt;=$P182,0,1))</f>
        <v>0</v>
      </c>
      <c r="BY197" cm="1">
        <f t="array" ref="BY197">IF(OR(AC197={"NS","NA"},$Q182={"NS","NA"}),0,IF(AC197&lt;=$Q182,0,1))</f>
        <v>0</v>
      </c>
      <c r="BZ197" cm="1">
        <f t="array" ref="BZ197">IF(OR(AD197={"NS","NA"},$R182={"NS","NA"}),0,IF(AD197&lt;=$R182,0,1))</f>
        <v>0</v>
      </c>
    </row>
    <row r="198" spans="1:78" ht="15" customHeight="1">
      <c r="A198" s="50"/>
      <c r="B198" s="38"/>
      <c r="C198" s="43" t="s">
        <v>2518</v>
      </c>
      <c r="D198" s="796" t="str">
        <f>IF(CNSIPEE_2024_M2_Secc1!D44="","",CNSIPEE_2024_M2_Secc1!D44)</f>
        <v/>
      </c>
      <c r="E198" s="796"/>
      <c r="F198" s="796"/>
      <c r="G198" s="796"/>
      <c r="H198" s="796"/>
      <c r="I198" s="796"/>
      <c r="J198" s="100"/>
      <c r="K198" s="100"/>
      <c r="L198" s="100"/>
      <c r="M198" s="100"/>
      <c r="N198" s="100"/>
      <c r="O198" s="100"/>
      <c r="P198" s="100"/>
      <c r="Q198" s="100"/>
      <c r="R198" s="100"/>
      <c r="S198" s="100"/>
      <c r="T198" s="100"/>
      <c r="U198" s="100"/>
      <c r="V198" s="100"/>
      <c r="W198" s="100"/>
      <c r="X198" s="100"/>
      <c r="Y198" s="100"/>
      <c r="Z198" s="100"/>
      <c r="AA198" s="100"/>
      <c r="AB198" s="100"/>
      <c r="AC198" s="100"/>
      <c r="AD198" s="100"/>
      <c r="AK198">
        <f t="shared" si="123"/>
        <v>0</v>
      </c>
      <c r="AL198">
        <f t="shared" si="124"/>
        <v>0</v>
      </c>
      <c r="AM198">
        <f t="shared" si="143"/>
        <v>0</v>
      </c>
      <c r="AN198">
        <f t="shared" si="125"/>
        <v>0</v>
      </c>
      <c r="AO198">
        <f t="shared" si="126"/>
        <v>0</v>
      </c>
      <c r="AP198">
        <f t="shared" si="127"/>
        <v>0</v>
      </c>
      <c r="AQ198">
        <f t="shared" si="128"/>
        <v>0</v>
      </c>
      <c r="AR198">
        <f t="shared" si="129"/>
        <v>0</v>
      </c>
      <c r="AS198">
        <f t="shared" si="130"/>
        <v>0</v>
      </c>
      <c r="AT198">
        <f t="shared" si="131"/>
        <v>0</v>
      </c>
      <c r="AU198">
        <f t="shared" si="132"/>
        <v>0</v>
      </c>
      <c r="AV198">
        <f t="shared" si="133"/>
        <v>0</v>
      </c>
      <c r="AW198">
        <f t="shared" si="134"/>
        <v>0</v>
      </c>
      <c r="AX198">
        <f t="shared" si="135"/>
        <v>0</v>
      </c>
      <c r="AY198">
        <f t="shared" si="136"/>
        <v>0</v>
      </c>
      <c r="AZ198">
        <f t="shared" si="137"/>
        <v>0</v>
      </c>
      <c r="BA198">
        <f t="shared" si="138"/>
        <v>0</v>
      </c>
      <c r="BB198">
        <f t="shared" si="139"/>
        <v>0</v>
      </c>
      <c r="BC198">
        <f t="shared" si="140"/>
        <v>0</v>
      </c>
      <c r="BD198">
        <f t="shared" si="141"/>
        <v>0</v>
      </c>
      <c r="BE198">
        <f t="shared" si="142"/>
        <v>0</v>
      </c>
      <c r="BF198" cm="1">
        <f t="array" ref="BF198">IF(OR(J198={"NS","NA"},$P183={"NS","NA"}),0,IF(J198&lt;=$P183,0,1))</f>
        <v>0</v>
      </c>
      <c r="BG198" cm="1">
        <f t="array" ref="BG198">IF(OR(K198={"NS","NA"},$Q183={"NS","NA"}),0,IF(K198&lt;=$Q183,0,1))</f>
        <v>0</v>
      </c>
      <c r="BH198" cm="1">
        <f t="array" ref="BH198">IF(OR(L198={"NS","NA"},$R183={"NS","NA"}),0,IF(L198&lt;=$R183,0,1))</f>
        <v>0</v>
      </c>
      <c r="BI198" cm="1">
        <f t="array" ref="BI198">IF(OR(M198={"NS","NA"},$P183={"NS","NA"}),0,IF(M198&lt;=$P183,0,1))</f>
        <v>0</v>
      </c>
      <c r="BJ198" cm="1">
        <f t="array" ref="BJ198">IF(OR(N198={"NS","NA"},$Q183={"NS","NA"}),0,IF(N198&lt;=$Q183,0,1))</f>
        <v>0</v>
      </c>
      <c r="BK198" cm="1">
        <f t="array" ref="BK198">IF(OR(O198={"NS","NA"},$R183={"NS","NA"}),0,IF(O198&lt;=$R183,0,1))</f>
        <v>0</v>
      </c>
      <c r="BL198" cm="1">
        <f t="array" ref="BL198">IF(OR(P198={"NS","NA"},$P183={"NS","NA"}),0,IF(P198&lt;=$P183,0,1))</f>
        <v>0</v>
      </c>
      <c r="BM198" cm="1">
        <f t="array" ref="BM198">IF(OR(Q198={"NS","NA"},$Q183={"NS","NA"}),0,IF(Q198&lt;=$Q183,0,1))</f>
        <v>0</v>
      </c>
      <c r="BN198" cm="1">
        <f t="array" ref="BN198">IF(OR(R198={"NS","NA"},$R183={"NS","NA"}),0,IF(R198&lt;=$R183,0,1))</f>
        <v>0</v>
      </c>
      <c r="BO198" cm="1">
        <f t="array" ref="BO198">IF(OR(S198={"NS","NA"},$P183={"NS","NA"}),0,IF(S198&lt;=$P183,0,1))</f>
        <v>0</v>
      </c>
      <c r="BP198" cm="1">
        <f t="array" ref="BP198">IF(OR(T198={"NS","NA"},$Q183={"NS","NA"}),0,IF(T198&lt;=$Q183,0,1))</f>
        <v>0</v>
      </c>
      <c r="BQ198" cm="1">
        <f t="array" ref="BQ198">IF(OR(U198={"NS","NA"},$R183={"NS","NA"}),0,IF(U198&lt;=$R183,0,1))</f>
        <v>0</v>
      </c>
      <c r="BR198" cm="1">
        <f t="array" ref="BR198">IF(OR(V198={"NS","NA"},$P183={"NS","NA"}),0,IF(V198&lt;=$P183,0,1))</f>
        <v>0</v>
      </c>
      <c r="BS198" cm="1">
        <f t="array" ref="BS198">IF(OR(W198={"NS","NA"},$Q183={"NS","NA"}),0,IF(W198&lt;=$Q183,0,1))</f>
        <v>0</v>
      </c>
      <c r="BT198" cm="1">
        <f t="array" ref="BT198">IF(OR(X198={"NS","NA"},$R183={"NS","NA"}),0,IF(X198&lt;=$R183,0,1))</f>
        <v>0</v>
      </c>
      <c r="BU198" cm="1">
        <f t="array" ref="BU198">IF(OR(Y198={"NS","NA"},$P183={"NS","NA"}),0,IF(Y198&lt;=$P183,0,1))</f>
        <v>0</v>
      </c>
      <c r="BV198" cm="1">
        <f t="array" ref="BV198">IF(OR(Z198={"NS","NA"},$Q183={"NS","NA"}),0,IF(Z198&lt;=$Q183,0,1))</f>
        <v>0</v>
      </c>
      <c r="BW198" cm="1">
        <f t="array" ref="BW198">IF(OR(AA198={"NS","NA"},$R183={"NS","NA"}),0,IF(AA198&lt;=$R183,0,1))</f>
        <v>0</v>
      </c>
      <c r="BX198" cm="1">
        <f t="array" ref="BX198">IF(OR(AB198={"NS","NA"},$P183={"NS","NA"}),0,IF(AB198&lt;=$P183,0,1))</f>
        <v>0</v>
      </c>
      <c r="BY198" cm="1">
        <f t="array" ref="BY198">IF(OR(AC198={"NS","NA"},$Q183={"NS","NA"}),0,IF(AC198&lt;=$Q183,0,1))</f>
        <v>0</v>
      </c>
      <c r="BZ198" cm="1">
        <f t="array" ref="BZ198">IF(OR(AD198={"NS","NA"},$R183={"NS","NA"}),0,IF(AD198&lt;=$R183,0,1))</f>
        <v>0</v>
      </c>
    </row>
    <row r="199" spans="1:78" ht="15" customHeight="1">
      <c r="A199" s="50"/>
      <c r="B199" s="38"/>
      <c r="C199" s="43" t="s">
        <v>2519</v>
      </c>
      <c r="D199" s="796" t="str">
        <f>IF(CNSIPEE_2024_M2_Secc1!D45="","",CNSIPEE_2024_M2_Secc1!D45)</f>
        <v/>
      </c>
      <c r="E199" s="796"/>
      <c r="F199" s="796"/>
      <c r="G199" s="796"/>
      <c r="H199" s="796"/>
      <c r="I199" s="796"/>
      <c r="J199" s="100"/>
      <c r="K199" s="100"/>
      <c r="L199" s="100"/>
      <c r="M199" s="100"/>
      <c r="N199" s="100"/>
      <c r="O199" s="100"/>
      <c r="P199" s="100"/>
      <c r="Q199" s="100"/>
      <c r="R199" s="100"/>
      <c r="S199" s="100"/>
      <c r="T199" s="100"/>
      <c r="U199" s="100"/>
      <c r="V199" s="100"/>
      <c r="W199" s="100"/>
      <c r="X199" s="100"/>
      <c r="Y199" s="100"/>
      <c r="Z199" s="100"/>
      <c r="AA199" s="100"/>
      <c r="AB199" s="100"/>
      <c r="AC199" s="100"/>
      <c r="AD199" s="100"/>
      <c r="AK199">
        <f t="shared" si="123"/>
        <v>0</v>
      </c>
      <c r="AL199">
        <f t="shared" si="124"/>
        <v>0</v>
      </c>
      <c r="AM199">
        <f t="shared" si="143"/>
        <v>0</v>
      </c>
      <c r="AN199">
        <f t="shared" si="125"/>
        <v>0</v>
      </c>
      <c r="AO199">
        <f t="shared" si="126"/>
        <v>0</v>
      </c>
      <c r="AP199">
        <f t="shared" si="127"/>
        <v>0</v>
      </c>
      <c r="AQ199">
        <f t="shared" si="128"/>
        <v>0</v>
      </c>
      <c r="AR199">
        <f t="shared" si="129"/>
        <v>0</v>
      </c>
      <c r="AS199">
        <f t="shared" si="130"/>
        <v>0</v>
      </c>
      <c r="AT199">
        <f t="shared" si="131"/>
        <v>0</v>
      </c>
      <c r="AU199">
        <f t="shared" si="132"/>
        <v>0</v>
      </c>
      <c r="AV199">
        <f t="shared" si="133"/>
        <v>0</v>
      </c>
      <c r="AW199">
        <f t="shared" si="134"/>
        <v>0</v>
      </c>
      <c r="AX199">
        <f t="shared" si="135"/>
        <v>0</v>
      </c>
      <c r="AY199">
        <f t="shared" si="136"/>
        <v>0</v>
      </c>
      <c r="AZ199">
        <f t="shared" si="137"/>
        <v>0</v>
      </c>
      <c r="BA199">
        <f t="shared" si="138"/>
        <v>0</v>
      </c>
      <c r="BB199">
        <f t="shared" si="139"/>
        <v>0</v>
      </c>
      <c r="BC199">
        <f t="shared" si="140"/>
        <v>0</v>
      </c>
      <c r="BD199">
        <f t="shared" si="141"/>
        <v>0</v>
      </c>
      <c r="BE199">
        <f t="shared" si="142"/>
        <v>0</v>
      </c>
      <c r="BF199" cm="1">
        <f t="array" ref="BF199">IF(OR(J199={"NS","NA"},$P184={"NS","NA"}),0,IF(J199&lt;=$P184,0,1))</f>
        <v>0</v>
      </c>
      <c r="BG199" cm="1">
        <f t="array" ref="BG199">IF(OR(K199={"NS","NA"},$Q184={"NS","NA"}),0,IF(K199&lt;=$Q184,0,1))</f>
        <v>0</v>
      </c>
      <c r="BH199" cm="1">
        <f t="array" ref="BH199">IF(OR(L199={"NS","NA"},$R184={"NS","NA"}),0,IF(L199&lt;=$R184,0,1))</f>
        <v>0</v>
      </c>
      <c r="BI199" cm="1">
        <f t="array" ref="BI199">IF(OR(M199={"NS","NA"},$P184={"NS","NA"}),0,IF(M199&lt;=$P184,0,1))</f>
        <v>0</v>
      </c>
      <c r="BJ199" cm="1">
        <f t="array" ref="BJ199">IF(OR(N199={"NS","NA"},$Q184={"NS","NA"}),0,IF(N199&lt;=$Q184,0,1))</f>
        <v>0</v>
      </c>
      <c r="BK199" cm="1">
        <f t="array" ref="BK199">IF(OR(O199={"NS","NA"},$R184={"NS","NA"}),0,IF(O199&lt;=$R184,0,1))</f>
        <v>0</v>
      </c>
      <c r="BL199" cm="1">
        <f t="array" ref="BL199">IF(OR(P199={"NS","NA"},$P184={"NS","NA"}),0,IF(P199&lt;=$P184,0,1))</f>
        <v>0</v>
      </c>
      <c r="BM199" cm="1">
        <f t="array" ref="BM199">IF(OR(Q199={"NS","NA"},$Q184={"NS","NA"}),0,IF(Q199&lt;=$Q184,0,1))</f>
        <v>0</v>
      </c>
      <c r="BN199" cm="1">
        <f t="array" ref="BN199">IF(OR(R199={"NS","NA"},$R184={"NS","NA"}),0,IF(R199&lt;=$R184,0,1))</f>
        <v>0</v>
      </c>
      <c r="BO199" cm="1">
        <f t="array" ref="BO199">IF(OR(S199={"NS","NA"},$P184={"NS","NA"}),0,IF(S199&lt;=$P184,0,1))</f>
        <v>0</v>
      </c>
      <c r="BP199" cm="1">
        <f t="array" ref="BP199">IF(OR(T199={"NS","NA"},$Q184={"NS","NA"}),0,IF(T199&lt;=$Q184,0,1))</f>
        <v>0</v>
      </c>
      <c r="BQ199" cm="1">
        <f t="array" ref="BQ199">IF(OR(U199={"NS","NA"},$R184={"NS","NA"}),0,IF(U199&lt;=$R184,0,1))</f>
        <v>0</v>
      </c>
      <c r="BR199" cm="1">
        <f t="array" ref="BR199">IF(OR(V199={"NS","NA"},$P184={"NS","NA"}),0,IF(V199&lt;=$P184,0,1))</f>
        <v>0</v>
      </c>
      <c r="BS199" cm="1">
        <f t="array" ref="BS199">IF(OR(W199={"NS","NA"},$Q184={"NS","NA"}),0,IF(W199&lt;=$Q184,0,1))</f>
        <v>0</v>
      </c>
      <c r="BT199" cm="1">
        <f t="array" ref="BT199">IF(OR(X199={"NS","NA"},$R184={"NS","NA"}),0,IF(X199&lt;=$R184,0,1))</f>
        <v>0</v>
      </c>
      <c r="BU199" cm="1">
        <f t="array" ref="BU199">IF(OR(Y199={"NS","NA"},$P184={"NS","NA"}),0,IF(Y199&lt;=$P184,0,1))</f>
        <v>0</v>
      </c>
      <c r="BV199" cm="1">
        <f t="array" ref="BV199">IF(OR(Z199={"NS","NA"},$Q184={"NS","NA"}),0,IF(Z199&lt;=$Q184,0,1))</f>
        <v>0</v>
      </c>
      <c r="BW199" cm="1">
        <f t="array" ref="BW199">IF(OR(AA199={"NS","NA"},$R184={"NS","NA"}),0,IF(AA199&lt;=$R184,0,1))</f>
        <v>0</v>
      </c>
      <c r="BX199" cm="1">
        <f t="array" ref="BX199">IF(OR(AB199={"NS","NA"},$P184={"NS","NA"}),0,IF(AB199&lt;=$P184,0,1))</f>
        <v>0</v>
      </c>
      <c r="BY199" cm="1">
        <f t="array" ref="BY199">IF(OR(AC199={"NS","NA"},$Q184={"NS","NA"}),0,IF(AC199&lt;=$Q184,0,1))</f>
        <v>0</v>
      </c>
      <c r="BZ199" cm="1">
        <f t="array" ref="BZ199">IF(OR(AD199={"NS","NA"},$R184={"NS","NA"}),0,IF(AD199&lt;=$R184,0,1))</f>
        <v>0</v>
      </c>
    </row>
    <row r="200" spans="1:78" ht="15" customHeight="1">
      <c r="A200" s="50"/>
      <c r="B200" s="38"/>
      <c r="C200" s="43" t="s">
        <v>2520</v>
      </c>
      <c r="D200" s="796" t="str">
        <f>IF(CNSIPEE_2024_M2_Secc1!D46="","",CNSIPEE_2024_M2_Secc1!D46)</f>
        <v/>
      </c>
      <c r="E200" s="796"/>
      <c r="F200" s="796"/>
      <c r="G200" s="796"/>
      <c r="H200" s="796"/>
      <c r="I200" s="796"/>
      <c r="J200" s="100"/>
      <c r="K200" s="100"/>
      <c r="L200" s="100"/>
      <c r="M200" s="100"/>
      <c r="N200" s="100"/>
      <c r="O200" s="100"/>
      <c r="P200" s="100"/>
      <c r="Q200" s="100"/>
      <c r="R200" s="100"/>
      <c r="S200" s="100"/>
      <c r="T200" s="100"/>
      <c r="U200" s="100"/>
      <c r="V200" s="100"/>
      <c r="W200" s="100"/>
      <c r="X200" s="100"/>
      <c r="Y200" s="100"/>
      <c r="Z200" s="100"/>
      <c r="AA200" s="100"/>
      <c r="AB200" s="100"/>
      <c r="AC200" s="100"/>
      <c r="AD200" s="100"/>
      <c r="AK200">
        <f t="shared" si="123"/>
        <v>0</v>
      </c>
      <c r="AL200">
        <f t="shared" si="124"/>
        <v>0</v>
      </c>
      <c r="AM200">
        <f t="shared" si="143"/>
        <v>0</v>
      </c>
      <c r="AN200">
        <f t="shared" si="125"/>
        <v>0</v>
      </c>
      <c r="AO200">
        <f t="shared" si="126"/>
        <v>0</v>
      </c>
      <c r="AP200">
        <f t="shared" si="127"/>
        <v>0</v>
      </c>
      <c r="AQ200">
        <f t="shared" si="128"/>
        <v>0</v>
      </c>
      <c r="AR200">
        <f t="shared" si="129"/>
        <v>0</v>
      </c>
      <c r="AS200">
        <f t="shared" si="130"/>
        <v>0</v>
      </c>
      <c r="AT200">
        <f t="shared" si="131"/>
        <v>0</v>
      </c>
      <c r="AU200">
        <f t="shared" si="132"/>
        <v>0</v>
      </c>
      <c r="AV200">
        <f t="shared" si="133"/>
        <v>0</v>
      </c>
      <c r="AW200">
        <f t="shared" si="134"/>
        <v>0</v>
      </c>
      <c r="AX200">
        <f t="shared" si="135"/>
        <v>0</v>
      </c>
      <c r="AY200">
        <f t="shared" si="136"/>
        <v>0</v>
      </c>
      <c r="AZ200">
        <f t="shared" si="137"/>
        <v>0</v>
      </c>
      <c r="BA200">
        <f t="shared" si="138"/>
        <v>0</v>
      </c>
      <c r="BB200">
        <f t="shared" si="139"/>
        <v>0</v>
      </c>
      <c r="BC200">
        <f t="shared" si="140"/>
        <v>0</v>
      </c>
      <c r="BD200">
        <f t="shared" si="141"/>
        <v>0</v>
      </c>
      <c r="BE200">
        <f t="shared" si="142"/>
        <v>0</v>
      </c>
      <c r="BF200" cm="1">
        <f t="array" ref="BF200">IF(OR(J200={"NS","NA"},$P185={"NS","NA"}),0,IF(J200&lt;=$P185,0,1))</f>
        <v>0</v>
      </c>
      <c r="BG200" cm="1">
        <f t="array" ref="BG200">IF(OR(K200={"NS","NA"},$Q185={"NS","NA"}),0,IF(K200&lt;=$Q185,0,1))</f>
        <v>0</v>
      </c>
      <c r="BH200" cm="1">
        <f t="array" ref="BH200">IF(OR(L200={"NS","NA"},$R185={"NS","NA"}),0,IF(L200&lt;=$R185,0,1))</f>
        <v>0</v>
      </c>
      <c r="BI200" cm="1">
        <f t="array" ref="BI200">IF(OR(M200={"NS","NA"},$P185={"NS","NA"}),0,IF(M200&lt;=$P185,0,1))</f>
        <v>0</v>
      </c>
      <c r="BJ200" cm="1">
        <f t="array" ref="BJ200">IF(OR(N200={"NS","NA"},$Q185={"NS","NA"}),0,IF(N200&lt;=$Q185,0,1))</f>
        <v>0</v>
      </c>
      <c r="BK200" cm="1">
        <f t="array" ref="BK200">IF(OR(O200={"NS","NA"},$R185={"NS","NA"}),0,IF(O200&lt;=$R185,0,1))</f>
        <v>0</v>
      </c>
      <c r="BL200" cm="1">
        <f t="array" ref="BL200">IF(OR(P200={"NS","NA"},$P185={"NS","NA"}),0,IF(P200&lt;=$P185,0,1))</f>
        <v>0</v>
      </c>
      <c r="BM200" cm="1">
        <f t="array" ref="BM200">IF(OR(Q200={"NS","NA"},$Q185={"NS","NA"}),0,IF(Q200&lt;=$Q185,0,1))</f>
        <v>0</v>
      </c>
      <c r="BN200" cm="1">
        <f t="array" ref="BN200">IF(OR(R200={"NS","NA"},$R185={"NS","NA"}),0,IF(R200&lt;=$R185,0,1))</f>
        <v>0</v>
      </c>
      <c r="BO200" cm="1">
        <f t="array" ref="BO200">IF(OR(S200={"NS","NA"},$P185={"NS","NA"}),0,IF(S200&lt;=$P185,0,1))</f>
        <v>0</v>
      </c>
      <c r="BP200" cm="1">
        <f t="array" ref="BP200">IF(OR(T200={"NS","NA"},$Q185={"NS","NA"}),0,IF(T200&lt;=$Q185,0,1))</f>
        <v>0</v>
      </c>
      <c r="BQ200" cm="1">
        <f t="array" ref="BQ200">IF(OR(U200={"NS","NA"},$R185={"NS","NA"}),0,IF(U200&lt;=$R185,0,1))</f>
        <v>0</v>
      </c>
      <c r="BR200" cm="1">
        <f t="array" ref="BR200">IF(OR(V200={"NS","NA"},$P185={"NS","NA"}),0,IF(V200&lt;=$P185,0,1))</f>
        <v>0</v>
      </c>
      <c r="BS200" cm="1">
        <f t="array" ref="BS200">IF(OR(W200={"NS","NA"},$Q185={"NS","NA"}),0,IF(W200&lt;=$Q185,0,1))</f>
        <v>0</v>
      </c>
      <c r="BT200" cm="1">
        <f t="array" ref="BT200">IF(OR(X200={"NS","NA"},$R185={"NS","NA"}),0,IF(X200&lt;=$R185,0,1))</f>
        <v>0</v>
      </c>
      <c r="BU200" cm="1">
        <f t="array" ref="BU200">IF(OR(Y200={"NS","NA"},$P185={"NS","NA"}),0,IF(Y200&lt;=$P185,0,1))</f>
        <v>0</v>
      </c>
      <c r="BV200" cm="1">
        <f t="array" ref="BV200">IF(OR(Z200={"NS","NA"},$Q185={"NS","NA"}),0,IF(Z200&lt;=$Q185,0,1))</f>
        <v>0</v>
      </c>
      <c r="BW200" cm="1">
        <f t="array" ref="BW200">IF(OR(AA200={"NS","NA"},$R185={"NS","NA"}),0,IF(AA200&lt;=$R185,0,1))</f>
        <v>0</v>
      </c>
      <c r="BX200" cm="1">
        <f t="array" ref="BX200">IF(OR(AB200={"NS","NA"},$P185={"NS","NA"}),0,IF(AB200&lt;=$P185,0,1))</f>
        <v>0</v>
      </c>
      <c r="BY200" cm="1">
        <f t="array" ref="BY200">IF(OR(AC200={"NS","NA"},$Q185={"NS","NA"}),0,IF(AC200&lt;=$Q185,0,1))</f>
        <v>0</v>
      </c>
      <c r="BZ200" cm="1">
        <f t="array" ref="BZ200">IF(OR(AD200={"NS","NA"},$R185={"NS","NA"}),0,IF(AD200&lt;=$R185,0,1))</f>
        <v>0</v>
      </c>
    </row>
    <row r="201" spans="1:78" ht="15" customHeight="1">
      <c r="A201" s="50"/>
      <c r="B201" s="38"/>
      <c r="C201" s="43" t="s">
        <v>2521</v>
      </c>
      <c r="D201" s="796" t="str">
        <f>IF(CNSIPEE_2024_M2_Secc1!D47="","",CNSIPEE_2024_M2_Secc1!D47)</f>
        <v/>
      </c>
      <c r="E201" s="796"/>
      <c r="F201" s="796"/>
      <c r="G201" s="796"/>
      <c r="H201" s="796"/>
      <c r="I201" s="796"/>
      <c r="J201" s="100"/>
      <c r="K201" s="100"/>
      <c r="L201" s="100"/>
      <c r="M201" s="100"/>
      <c r="N201" s="100"/>
      <c r="O201" s="100"/>
      <c r="P201" s="100"/>
      <c r="Q201" s="100"/>
      <c r="R201" s="100"/>
      <c r="S201" s="100"/>
      <c r="T201" s="100"/>
      <c r="U201" s="100"/>
      <c r="V201" s="100"/>
      <c r="W201" s="100"/>
      <c r="X201" s="100"/>
      <c r="Y201" s="100"/>
      <c r="Z201" s="100"/>
      <c r="AA201" s="100"/>
      <c r="AB201" s="100"/>
      <c r="AC201" s="100"/>
      <c r="AD201" s="100"/>
      <c r="AK201">
        <f t="shared" si="123"/>
        <v>0</v>
      </c>
      <c r="AL201">
        <f t="shared" si="124"/>
        <v>0</v>
      </c>
      <c r="AM201">
        <f t="shared" si="143"/>
        <v>0</v>
      </c>
      <c r="AN201">
        <f t="shared" si="125"/>
        <v>0</v>
      </c>
      <c r="AO201">
        <f t="shared" si="126"/>
        <v>0</v>
      </c>
      <c r="AP201">
        <f t="shared" si="127"/>
        <v>0</v>
      </c>
      <c r="AQ201">
        <f t="shared" si="128"/>
        <v>0</v>
      </c>
      <c r="AR201">
        <f t="shared" si="129"/>
        <v>0</v>
      </c>
      <c r="AS201">
        <f t="shared" si="130"/>
        <v>0</v>
      </c>
      <c r="AT201">
        <f t="shared" si="131"/>
        <v>0</v>
      </c>
      <c r="AU201">
        <f t="shared" si="132"/>
        <v>0</v>
      </c>
      <c r="AV201">
        <f t="shared" si="133"/>
        <v>0</v>
      </c>
      <c r="AW201">
        <f t="shared" si="134"/>
        <v>0</v>
      </c>
      <c r="AX201">
        <f t="shared" si="135"/>
        <v>0</v>
      </c>
      <c r="AY201">
        <f t="shared" si="136"/>
        <v>0</v>
      </c>
      <c r="AZ201">
        <f t="shared" si="137"/>
        <v>0</v>
      </c>
      <c r="BA201">
        <f t="shared" si="138"/>
        <v>0</v>
      </c>
      <c r="BB201">
        <f t="shared" si="139"/>
        <v>0</v>
      </c>
      <c r="BC201">
        <f t="shared" si="140"/>
        <v>0</v>
      </c>
      <c r="BD201">
        <f t="shared" si="141"/>
        <v>0</v>
      </c>
      <c r="BE201">
        <f t="shared" si="142"/>
        <v>0</v>
      </c>
      <c r="BF201" cm="1">
        <f t="array" ref="BF201">IF(OR(J201={"NS","NA"},$P186={"NS","NA"}),0,IF(J201&lt;=$P186,0,1))</f>
        <v>0</v>
      </c>
      <c r="BG201" cm="1">
        <f t="array" ref="BG201">IF(OR(K201={"NS","NA"},$Q186={"NS","NA"}),0,IF(K201&lt;=$Q186,0,1))</f>
        <v>0</v>
      </c>
      <c r="BH201" cm="1">
        <f t="array" ref="BH201">IF(OR(L201={"NS","NA"},$R186={"NS","NA"}),0,IF(L201&lt;=$R186,0,1))</f>
        <v>0</v>
      </c>
      <c r="BI201" cm="1">
        <f t="array" ref="BI201">IF(OR(M201={"NS","NA"},$P186={"NS","NA"}),0,IF(M201&lt;=$P186,0,1))</f>
        <v>0</v>
      </c>
      <c r="BJ201" cm="1">
        <f t="array" ref="BJ201">IF(OR(N201={"NS","NA"},$Q186={"NS","NA"}),0,IF(N201&lt;=$Q186,0,1))</f>
        <v>0</v>
      </c>
      <c r="BK201" cm="1">
        <f t="array" ref="BK201">IF(OR(O201={"NS","NA"},$R186={"NS","NA"}),0,IF(O201&lt;=$R186,0,1))</f>
        <v>0</v>
      </c>
      <c r="BL201" cm="1">
        <f t="array" ref="BL201">IF(OR(P201={"NS","NA"},$P186={"NS","NA"}),0,IF(P201&lt;=$P186,0,1))</f>
        <v>0</v>
      </c>
      <c r="BM201" cm="1">
        <f t="array" ref="BM201">IF(OR(Q201={"NS","NA"},$Q186={"NS","NA"}),0,IF(Q201&lt;=$Q186,0,1))</f>
        <v>0</v>
      </c>
      <c r="BN201" cm="1">
        <f t="array" ref="BN201">IF(OR(R201={"NS","NA"},$R186={"NS","NA"}),0,IF(R201&lt;=$R186,0,1))</f>
        <v>0</v>
      </c>
      <c r="BO201" cm="1">
        <f t="array" ref="BO201">IF(OR(S201={"NS","NA"},$P186={"NS","NA"}),0,IF(S201&lt;=$P186,0,1))</f>
        <v>0</v>
      </c>
      <c r="BP201" cm="1">
        <f t="array" ref="BP201">IF(OR(T201={"NS","NA"},$Q186={"NS","NA"}),0,IF(T201&lt;=$Q186,0,1))</f>
        <v>0</v>
      </c>
      <c r="BQ201" cm="1">
        <f t="array" ref="BQ201">IF(OR(U201={"NS","NA"},$R186={"NS","NA"}),0,IF(U201&lt;=$R186,0,1))</f>
        <v>0</v>
      </c>
      <c r="BR201" cm="1">
        <f t="array" ref="BR201">IF(OR(V201={"NS","NA"},$P186={"NS","NA"}),0,IF(V201&lt;=$P186,0,1))</f>
        <v>0</v>
      </c>
      <c r="BS201" cm="1">
        <f t="array" ref="BS201">IF(OR(W201={"NS","NA"},$Q186={"NS","NA"}),0,IF(W201&lt;=$Q186,0,1))</f>
        <v>0</v>
      </c>
      <c r="BT201" cm="1">
        <f t="array" ref="BT201">IF(OR(X201={"NS","NA"},$R186={"NS","NA"}),0,IF(X201&lt;=$R186,0,1))</f>
        <v>0</v>
      </c>
      <c r="BU201" cm="1">
        <f t="array" ref="BU201">IF(OR(Y201={"NS","NA"},$P186={"NS","NA"}),0,IF(Y201&lt;=$P186,0,1))</f>
        <v>0</v>
      </c>
      <c r="BV201" cm="1">
        <f t="array" ref="BV201">IF(OR(Z201={"NS","NA"},$Q186={"NS","NA"}),0,IF(Z201&lt;=$Q186,0,1))</f>
        <v>0</v>
      </c>
      <c r="BW201" cm="1">
        <f t="array" ref="BW201">IF(OR(AA201={"NS","NA"},$R186={"NS","NA"}),0,IF(AA201&lt;=$R186,0,1))</f>
        <v>0</v>
      </c>
      <c r="BX201" cm="1">
        <f t="array" ref="BX201">IF(OR(AB201={"NS","NA"},$P186={"NS","NA"}),0,IF(AB201&lt;=$P186,0,1))</f>
        <v>0</v>
      </c>
      <c r="BY201" cm="1">
        <f t="array" ref="BY201">IF(OR(AC201={"NS","NA"},$Q186={"NS","NA"}),0,IF(AC201&lt;=$Q186,0,1))</f>
        <v>0</v>
      </c>
      <c r="BZ201" cm="1">
        <f t="array" ref="BZ201">IF(OR(AD201={"NS","NA"},$R186={"NS","NA"}),0,IF(AD201&lt;=$R186,0,1))</f>
        <v>0</v>
      </c>
    </row>
    <row r="202" spans="1:78" ht="15" customHeight="1">
      <c r="A202" s="50"/>
      <c r="B202" s="38"/>
      <c r="C202" s="43" t="s">
        <v>2522</v>
      </c>
      <c r="D202" s="796" t="str">
        <f>IF(CNSIPEE_2024_M2_Secc1!D48="","",CNSIPEE_2024_M2_Secc1!D48)</f>
        <v/>
      </c>
      <c r="E202" s="796"/>
      <c r="F202" s="796"/>
      <c r="G202" s="796"/>
      <c r="H202" s="796"/>
      <c r="I202" s="796"/>
      <c r="J202" s="100"/>
      <c r="K202" s="100"/>
      <c r="L202" s="100"/>
      <c r="M202" s="100"/>
      <c r="N202" s="100"/>
      <c r="O202" s="100"/>
      <c r="P202" s="100"/>
      <c r="Q202" s="100"/>
      <c r="R202" s="100"/>
      <c r="S202" s="100"/>
      <c r="T202" s="100"/>
      <c r="U202" s="100"/>
      <c r="V202" s="100"/>
      <c r="W202" s="100"/>
      <c r="X202" s="100"/>
      <c r="Y202" s="100"/>
      <c r="Z202" s="100"/>
      <c r="AA202" s="100"/>
      <c r="AB202" s="100"/>
      <c r="AC202" s="100"/>
      <c r="AD202" s="100"/>
      <c r="AK202">
        <f t="shared" si="123"/>
        <v>0</v>
      </c>
      <c r="AL202">
        <f t="shared" si="124"/>
        <v>0</v>
      </c>
      <c r="AM202">
        <f t="shared" si="143"/>
        <v>0</v>
      </c>
      <c r="AN202">
        <f t="shared" si="125"/>
        <v>0</v>
      </c>
      <c r="AO202">
        <f t="shared" si="126"/>
        <v>0</v>
      </c>
      <c r="AP202">
        <f t="shared" si="127"/>
        <v>0</v>
      </c>
      <c r="AQ202">
        <f t="shared" si="128"/>
        <v>0</v>
      </c>
      <c r="AR202">
        <f t="shared" si="129"/>
        <v>0</v>
      </c>
      <c r="AS202">
        <f t="shared" si="130"/>
        <v>0</v>
      </c>
      <c r="AT202">
        <f t="shared" si="131"/>
        <v>0</v>
      </c>
      <c r="AU202">
        <f t="shared" si="132"/>
        <v>0</v>
      </c>
      <c r="AV202">
        <f t="shared" si="133"/>
        <v>0</v>
      </c>
      <c r="AW202">
        <f t="shared" si="134"/>
        <v>0</v>
      </c>
      <c r="AX202">
        <f t="shared" si="135"/>
        <v>0</v>
      </c>
      <c r="AY202">
        <f t="shared" si="136"/>
        <v>0</v>
      </c>
      <c r="AZ202">
        <f t="shared" si="137"/>
        <v>0</v>
      </c>
      <c r="BA202">
        <f t="shared" si="138"/>
        <v>0</v>
      </c>
      <c r="BB202">
        <f t="shared" si="139"/>
        <v>0</v>
      </c>
      <c r="BC202">
        <f t="shared" si="140"/>
        <v>0</v>
      </c>
      <c r="BD202">
        <f t="shared" si="141"/>
        <v>0</v>
      </c>
      <c r="BE202">
        <f t="shared" si="142"/>
        <v>0</v>
      </c>
      <c r="BF202" cm="1">
        <f t="array" ref="BF202">IF(OR(J202={"NS","NA"},$P187={"NS","NA"}),0,IF(J202&lt;=$P187,0,1))</f>
        <v>0</v>
      </c>
      <c r="BG202" cm="1">
        <f t="array" ref="BG202">IF(OR(K202={"NS","NA"},$Q187={"NS","NA"}),0,IF(K202&lt;=$Q187,0,1))</f>
        <v>0</v>
      </c>
      <c r="BH202" cm="1">
        <f t="array" ref="BH202">IF(OR(L202={"NS","NA"},$R187={"NS","NA"}),0,IF(L202&lt;=$R187,0,1))</f>
        <v>0</v>
      </c>
      <c r="BI202" cm="1">
        <f t="array" ref="BI202">IF(OR(M202={"NS","NA"},$P187={"NS","NA"}),0,IF(M202&lt;=$P187,0,1))</f>
        <v>0</v>
      </c>
      <c r="BJ202" cm="1">
        <f t="array" ref="BJ202">IF(OR(N202={"NS","NA"},$Q187={"NS","NA"}),0,IF(N202&lt;=$Q187,0,1))</f>
        <v>0</v>
      </c>
      <c r="BK202" cm="1">
        <f t="array" ref="BK202">IF(OR(O202={"NS","NA"},$R187={"NS","NA"}),0,IF(O202&lt;=$R187,0,1))</f>
        <v>0</v>
      </c>
      <c r="BL202" cm="1">
        <f t="array" ref="BL202">IF(OR(P202={"NS","NA"},$P187={"NS","NA"}),0,IF(P202&lt;=$P187,0,1))</f>
        <v>0</v>
      </c>
      <c r="BM202" cm="1">
        <f t="array" ref="BM202">IF(OR(Q202={"NS","NA"},$Q187={"NS","NA"}),0,IF(Q202&lt;=$Q187,0,1))</f>
        <v>0</v>
      </c>
      <c r="BN202" cm="1">
        <f t="array" ref="BN202">IF(OR(R202={"NS","NA"},$R187={"NS","NA"}),0,IF(R202&lt;=$R187,0,1))</f>
        <v>0</v>
      </c>
      <c r="BO202" cm="1">
        <f t="array" ref="BO202">IF(OR(S202={"NS","NA"},$P187={"NS","NA"}),0,IF(S202&lt;=$P187,0,1))</f>
        <v>0</v>
      </c>
      <c r="BP202" cm="1">
        <f t="array" ref="BP202">IF(OR(T202={"NS","NA"},$Q187={"NS","NA"}),0,IF(T202&lt;=$Q187,0,1))</f>
        <v>0</v>
      </c>
      <c r="BQ202" cm="1">
        <f t="array" ref="BQ202">IF(OR(U202={"NS","NA"},$R187={"NS","NA"}),0,IF(U202&lt;=$R187,0,1))</f>
        <v>0</v>
      </c>
      <c r="BR202" cm="1">
        <f t="array" ref="BR202">IF(OR(V202={"NS","NA"},$P187={"NS","NA"}),0,IF(V202&lt;=$P187,0,1))</f>
        <v>0</v>
      </c>
      <c r="BS202" cm="1">
        <f t="array" ref="BS202">IF(OR(W202={"NS","NA"},$Q187={"NS","NA"}),0,IF(W202&lt;=$Q187,0,1))</f>
        <v>0</v>
      </c>
      <c r="BT202" cm="1">
        <f t="array" ref="BT202">IF(OR(X202={"NS","NA"},$R187={"NS","NA"}),0,IF(X202&lt;=$R187,0,1))</f>
        <v>0</v>
      </c>
      <c r="BU202" cm="1">
        <f t="array" ref="BU202">IF(OR(Y202={"NS","NA"},$P187={"NS","NA"}),0,IF(Y202&lt;=$P187,0,1))</f>
        <v>0</v>
      </c>
      <c r="BV202" cm="1">
        <f t="array" ref="BV202">IF(OR(Z202={"NS","NA"},$Q187={"NS","NA"}),0,IF(Z202&lt;=$Q187,0,1))</f>
        <v>0</v>
      </c>
      <c r="BW202" cm="1">
        <f t="array" ref="BW202">IF(OR(AA202={"NS","NA"},$R187={"NS","NA"}),0,IF(AA202&lt;=$R187,0,1))</f>
        <v>0</v>
      </c>
      <c r="BX202" cm="1">
        <f t="array" ref="BX202">IF(OR(AB202={"NS","NA"},$P187={"NS","NA"}),0,IF(AB202&lt;=$P187,0,1))</f>
        <v>0</v>
      </c>
      <c r="BY202" cm="1">
        <f t="array" ref="BY202">IF(OR(AC202={"NS","NA"},$Q187={"NS","NA"}),0,IF(AC202&lt;=$Q187,0,1))</f>
        <v>0</v>
      </c>
      <c r="BZ202" cm="1">
        <f t="array" ref="BZ202">IF(OR(AD202={"NS","NA"},$R187={"NS","NA"}),0,IF(AD202&lt;=$R187,0,1))</f>
        <v>0</v>
      </c>
    </row>
    <row r="203" spans="1:78" ht="15" customHeight="1">
      <c r="A203" s="50"/>
      <c r="B203" s="38"/>
      <c r="C203" s="43" t="s">
        <v>2523</v>
      </c>
      <c r="D203" s="796" t="str">
        <f>IF(CNSIPEE_2024_M2_Secc1!D49="","",CNSIPEE_2024_M2_Secc1!D49)</f>
        <v/>
      </c>
      <c r="E203" s="796"/>
      <c r="F203" s="796"/>
      <c r="G203" s="796"/>
      <c r="H203" s="796"/>
      <c r="I203" s="796"/>
      <c r="J203" s="100"/>
      <c r="K203" s="100"/>
      <c r="L203" s="100"/>
      <c r="M203" s="100"/>
      <c r="N203" s="100"/>
      <c r="O203" s="100"/>
      <c r="P203" s="100"/>
      <c r="Q203" s="100"/>
      <c r="R203" s="100"/>
      <c r="S203" s="100"/>
      <c r="T203" s="100"/>
      <c r="U203" s="100"/>
      <c r="V203" s="100"/>
      <c r="W203" s="100"/>
      <c r="X203" s="100"/>
      <c r="Y203" s="100"/>
      <c r="Z203" s="100"/>
      <c r="AA203" s="100"/>
      <c r="AB203" s="100"/>
      <c r="AC203" s="100"/>
      <c r="AD203" s="100"/>
      <c r="AK203">
        <f t="shared" si="123"/>
        <v>0</v>
      </c>
      <c r="AL203">
        <f t="shared" si="124"/>
        <v>0</v>
      </c>
      <c r="AM203">
        <f t="shared" si="143"/>
        <v>0</v>
      </c>
      <c r="AN203">
        <f t="shared" si="125"/>
        <v>0</v>
      </c>
      <c r="AO203">
        <f t="shared" si="126"/>
        <v>0</v>
      </c>
      <c r="AP203">
        <f t="shared" si="127"/>
        <v>0</v>
      </c>
      <c r="AQ203">
        <f t="shared" si="128"/>
        <v>0</v>
      </c>
      <c r="AR203">
        <f t="shared" si="129"/>
        <v>0</v>
      </c>
      <c r="AS203">
        <f t="shared" si="130"/>
        <v>0</v>
      </c>
      <c r="AT203">
        <f t="shared" si="131"/>
        <v>0</v>
      </c>
      <c r="AU203">
        <f t="shared" si="132"/>
        <v>0</v>
      </c>
      <c r="AV203">
        <f t="shared" si="133"/>
        <v>0</v>
      </c>
      <c r="AW203">
        <f t="shared" si="134"/>
        <v>0</v>
      </c>
      <c r="AX203">
        <f t="shared" si="135"/>
        <v>0</v>
      </c>
      <c r="AY203">
        <f t="shared" si="136"/>
        <v>0</v>
      </c>
      <c r="AZ203">
        <f t="shared" si="137"/>
        <v>0</v>
      </c>
      <c r="BA203">
        <f t="shared" si="138"/>
        <v>0</v>
      </c>
      <c r="BB203">
        <f t="shared" si="139"/>
        <v>0</v>
      </c>
      <c r="BC203">
        <f t="shared" si="140"/>
        <v>0</v>
      </c>
      <c r="BD203">
        <f t="shared" si="141"/>
        <v>0</v>
      </c>
      <c r="BE203">
        <f t="shared" si="142"/>
        <v>0</v>
      </c>
      <c r="BF203" cm="1">
        <f t="array" ref="BF203">IF(OR(J203={"NS","NA"},$P188={"NS","NA"}),0,IF(J203&lt;=$P188,0,1))</f>
        <v>0</v>
      </c>
      <c r="BG203" cm="1">
        <f t="array" ref="BG203">IF(OR(K203={"NS","NA"},$Q188={"NS","NA"}),0,IF(K203&lt;=$Q188,0,1))</f>
        <v>0</v>
      </c>
      <c r="BH203" cm="1">
        <f t="array" ref="BH203">IF(OR(L203={"NS","NA"},$R188={"NS","NA"}),0,IF(L203&lt;=$R188,0,1))</f>
        <v>0</v>
      </c>
      <c r="BI203" cm="1">
        <f t="array" ref="BI203">IF(OR(M203={"NS","NA"},$P188={"NS","NA"}),0,IF(M203&lt;=$P188,0,1))</f>
        <v>0</v>
      </c>
      <c r="BJ203" cm="1">
        <f t="array" ref="BJ203">IF(OR(N203={"NS","NA"},$Q188={"NS","NA"}),0,IF(N203&lt;=$Q188,0,1))</f>
        <v>0</v>
      </c>
      <c r="BK203" cm="1">
        <f t="array" ref="BK203">IF(OR(O203={"NS","NA"},$R188={"NS","NA"}),0,IF(O203&lt;=$R188,0,1))</f>
        <v>0</v>
      </c>
      <c r="BL203" cm="1">
        <f t="array" ref="BL203">IF(OR(P203={"NS","NA"},$P188={"NS","NA"}),0,IF(P203&lt;=$P188,0,1))</f>
        <v>0</v>
      </c>
      <c r="BM203" cm="1">
        <f t="array" ref="BM203">IF(OR(Q203={"NS","NA"},$Q188={"NS","NA"}),0,IF(Q203&lt;=$Q188,0,1))</f>
        <v>0</v>
      </c>
      <c r="BN203" cm="1">
        <f t="array" ref="BN203">IF(OR(R203={"NS","NA"},$R188={"NS","NA"}),0,IF(R203&lt;=$R188,0,1))</f>
        <v>0</v>
      </c>
      <c r="BO203" cm="1">
        <f t="array" ref="BO203">IF(OR(S203={"NS","NA"},$P188={"NS","NA"}),0,IF(S203&lt;=$P188,0,1))</f>
        <v>0</v>
      </c>
      <c r="BP203" cm="1">
        <f t="array" ref="BP203">IF(OR(T203={"NS","NA"},$Q188={"NS","NA"}),0,IF(T203&lt;=$Q188,0,1))</f>
        <v>0</v>
      </c>
      <c r="BQ203" cm="1">
        <f t="array" ref="BQ203">IF(OR(U203={"NS","NA"},$R188={"NS","NA"}),0,IF(U203&lt;=$R188,0,1))</f>
        <v>0</v>
      </c>
      <c r="BR203" cm="1">
        <f t="array" ref="BR203">IF(OR(V203={"NS","NA"},$P188={"NS","NA"}),0,IF(V203&lt;=$P188,0,1))</f>
        <v>0</v>
      </c>
      <c r="BS203" cm="1">
        <f t="array" ref="BS203">IF(OR(W203={"NS","NA"},$Q188={"NS","NA"}),0,IF(W203&lt;=$Q188,0,1))</f>
        <v>0</v>
      </c>
      <c r="BT203" cm="1">
        <f t="array" ref="BT203">IF(OR(X203={"NS","NA"},$R188={"NS","NA"}),0,IF(X203&lt;=$R188,0,1))</f>
        <v>0</v>
      </c>
      <c r="BU203" cm="1">
        <f t="array" ref="BU203">IF(OR(Y203={"NS","NA"},$P188={"NS","NA"}),0,IF(Y203&lt;=$P188,0,1))</f>
        <v>0</v>
      </c>
      <c r="BV203" cm="1">
        <f t="array" ref="BV203">IF(OR(Z203={"NS","NA"},$Q188={"NS","NA"}),0,IF(Z203&lt;=$Q188,0,1))</f>
        <v>0</v>
      </c>
      <c r="BW203" cm="1">
        <f t="array" ref="BW203">IF(OR(AA203={"NS","NA"},$R188={"NS","NA"}),0,IF(AA203&lt;=$R188,0,1))</f>
        <v>0</v>
      </c>
      <c r="BX203" cm="1">
        <f t="array" ref="BX203">IF(OR(AB203={"NS","NA"},$P188={"NS","NA"}),0,IF(AB203&lt;=$P188,0,1))</f>
        <v>0</v>
      </c>
      <c r="BY203" cm="1">
        <f t="array" ref="BY203">IF(OR(AC203={"NS","NA"},$Q188={"NS","NA"}),0,IF(AC203&lt;=$Q188,0,1))</f>
        <v>0</v>
      </c>
      <c r="BZ203" cm="1">
        <f t="array" ref="BZ203">IF(OR(AD203={"NS","NA"},$R188={"NS","NA"}),0,IF(AD203&lt;=$R188,0,1))</f>
        <v>0</v>
      </c>
    </row>
    <row r="204" spans="1:78" ht="15" customHeight="1">
      <c r="A204" s="50"/>
      <c r="B204" s="38"/>
      <c r="C204" s="38"/>
      <c r="D204" s="84"/>
      <c r="E204" s="84"/>
      <c r="F204" s="84"/>
      <c r="J204" s="124">
        <f t="shared" ref="J204:AD204" si="144">IF(AND(SUM(J196:J203)=0,COUNTIF(J196:J203,"NS")&gt;0),"NS",IF(AND(SUM(J196:J203)=0,COUNTIF(J196:J203,0)&gt;0),0,IF(AND(SUM(J196:J203)=0,COUNTIF(J196:J203,"NA")&gt;0),"NA",SUM(J196:J203))))</f>
        <v>0</v>
      </c>
      <c r="K204" s="124">
        <f t="shared" si="144"/>
        <v>0</v>
      </c>
      <c r="L204" s="124">
        <f t="shared" si="144"/>
        <v>0</v>
      </c>
      <c r="M204" s="124">
        <f t="shared" si="144"/>
        <v>0</v>
      </c>
      <c r="N204" s="124">
        <f t="shared" si="144"/>
        <v>0</v>
      </c>
      <c r="O204" s="124">
        <f t="shared" si="144"/>
        <v>0</v>
      </c>
      <c r="P204" s="124">
        <f t="shared" si="144"/>
        <v>0</v>
      </c>
      <c r="Q204" s="124">
        <f t="shared" si="144"/>
        <v>0</v>
      </c>
      <c r="R204" s="124">
        <f t="shared" si="144"/>
        <v>0</v>
      </c>
      <c r="S204" s="124">
        <f t="shared" si="144"/>
        <v>0</v>
      </c>
      <c r="T204" s="124">
        <f t="shared" si="144"/>
        <v>0</v>
      </c>
      <c r="U204" s="124">
        <f t="shared" si="144"/>
        <v>0</v>
      </c>
      <c r="V204" s="124">
        <f t="shared" si="144"/>
        <v>0</v>
      </c>
      <c r="W204" s="124">
        <f t="shared" si="144"/>
        <v>0</v>
      </c>
      <c r="X204" s="124">
        <f t="shared" si="144"/>
        <v>0</v>
      </c>
      <c r="Y204" s="124">
        <f t="shared" si="144"/>
        <v>0</v>
      </c>
      <c r="Z204" s="124">
        <f t="shared" si="144"/>
        <v>0</v>
      </c>
      <c r="AA204" s="124">
        <f t="shared" si="144"/>
        <v>0</v>
      </c>
      <c r="AB204" s="124">
        <f t="shared" si="144"/>
        <v>0</v>
      </c>
      <c r="AC204" s="124">
        <f t="shared" si="144"/>
        <v>0</v>
      </c>
      <c r="AD204" s="124">
        <f t="shared" si="144"/>
        <v>0</v>
      </c>
      <c r="AK204">
        <f>SUM(AK196:AK203)</f>
        <v>0</v>
      </c>
      <c r="AM204">
        <f>SUM(AM196:AM203)</f>
        <v>0</v>
      </c>
      <c r="AN204">
        <f>SUM(AN196:AN203)</f>
        <v>0</v>
      </c>
      <c r="AP204">
        <f>SUM(AP196:AP203)</f>
        <v>0</v>
      </c>
      <c r="AQ204">
        <f>SUM(AQ196:AQ203)</f>
        <v>0</v>
      </c>
      <c r="AS204">
        <f>SUM(AS196:AS203)</f>
        <v>0</v>
      </c>
      <c r="AT204">
        <f>SUM(AT196:AT203)</f>
        <v>0</v>
      </c>
      <c r="AV204">
        <f>SUM(AV196:AV203)</f>
        <v>0</v>
      </c>
      <c r="AW204">
        <f>SUM(AW196:AW203)</f>
        <v>0</v>
      </c>
      <c r="AY204">
        <f>SUM(AY196:AY203)</f>
        <v>0</v>
      </c>
      <c r="AZ204">
        <f>SUM(AZ196:AZ203)</f>
        <v>0</v>
      </c>
      <c r="BB204">
        <f>SUM(BB196:BB203)</f>
        <v>0</v>
      </c>
      <c r="BC204">
        <f>SUM(BC196:BC203)</f>
        <v>0</v>
      </c>
      <c r="BE204">
        <f>SUM(BE196:BE203)</f>
        <v>0</v>
      </c>
      <c r="BZ204" s="507">
        <f>SUM(BI181:BT188,BF196:BZ203)</f>
        <v>0</v>
      </c>
    </row>
    <row r="205" spans="1:78" ht="15" customHeight="1">
      <c r="A205" s="50"/>
      <c r="B205" s="38"/>
      <c r="C205" s="75"/>
      <c r="D205" s="75"/>
      <c r="E205" s="75"/>
      <c r="F205" s="75"/>
      <c r="G205" s="75"/>
      <c r="H205" s="75"/>
      <c r="I205" s="75"/>
      <c r="J205" s="75"/>
      <c r="K205" s="75"/>
      <c r="L205" s="75"/>
      <c r="M205" s="75"/>
      <c r="N205" s="75"/>
      <c r="O205" s="75"/>
      <c r="P205" s="75"/>
      <c r="Q205" s="75"/>
      <c r="R205" s="75"/>
      <c r="S205" s="75"/>
      <c r="T205" s="75"/>
      <c r="U205" s="75"/>
      <c r="V205" s="75"/>
      <c r="W205" s="75"/>
      <c r="X205" s="75"/>
      <c r="Y205" s="75"/>
      <c r="Z205" s="75"/>
      <c r="AA205" s="75"/>
      <c r="AB205" s="75"/>
      <c r="AC205" s="75"/>
      <c r="AD205" s="75"/>
      <c r="AK205" t="s">
        <v>2650</v>
      </c>
      <c r="AL205" s="590">
        <f>SUM(AM204,AP204,AS204,AV204,AY204,BB204,BE204)</f>
        <v>0</v>
      </c>
      <c r="AM205" t="s">
        <v>2651</v>
      </c>
      <c r="AN205">
        <f>SUM(AK204,AN204,AQ204,AT204,AW204,AZ204,BC204)</f>
        <v>0</v>
      </c>
    </row>
    <row r="206" spans="1:78" ht="45" customHeight="1">
      <c r="A206" s="119"/>
      <c r="C206" s="934" t="s">
        <v>5848</v>
      </c>
      <c r="D206" s="934"/>
      <c r="E206" s="934"/>
      <c r="F206" s="749"/>
      <c r="G206" s="749"/>
      <c r="H206" s="749"/>
      <c r="I206" s="749"/>
      <c r="J206" s="749"/>
      <c r="K206" s="749"/>
      <c r="L206" s="749"/>
      <c r="M206" s="749"/>
      <c r="N206" s="749"/>
      <c r="O206" s="749"/>
      <c r="P206" s="749"/>
      <c r="Q206" s="749"/>
      <c r="R206" s="749"/>
      <c r="S206" s="749"/>
      <c r="T206" s="749"/>
      <c r="U206" s="749"/>
      <c r="V206" s="749"/>
      <c r="W206" s="749"/>
      <c r="X206" s="749"/>
      <c r="Y206" s="749"/>
      <c r="Z206" s="749"/>
      <c r="AA206" s="749"/>
      <c r="AB206" s="749"/>
      <c r="AC206" s="749"/>
      <c r="AD206" s="749"/>
      <c r="AK206" t="s">
        <v>2652</v>
      </c>
      <c r="AL206">
        <f>IF(AN205&gt;0,IF(SUM(J204)&gt;=SUM(M204,P204,S204,V204,Y204,AB204),0,1),IF(SUM(J204)&lt;&gt;SUM(M204,P204,S204,V204,Y204,AB204),1,0))</f>
        <v>0</v>
      </c>
      <c r="AM206" t="s">
        <v>2653</v>
      </c>
      <c r="AN206">
        <f>IF(AN205&gt;0,IF(SUM(K204)&gt;=SUM(N204,Q204,T204,W204,Z204,AC204),0,1),IF(SUM(K204)&lt;&gt;SUM(N204,Q204,T204,W204,Z204,AC204),1,0))</f>
        <v>0</v>
      </c>
      <c r="AO206" t="s">
        <v>2654</v>
      </c>
      <c r="AP206">
        <f>IF(AN205&gt;0,IF(SUM(L204)&gt;=SUM(O204,R204,U204,X204,AA204,AD204),0,1),IF(SUM(L204)&lt;&gt;SUM(O204,R204,U204,X204,AA204,AD204),1,0))</f>
        <v>0</v>
      </c>
    </row>
    <row r="207" spans="1:78">
      <c r="A207" s="119"/>
      <c r="B207" s="1003" t="str">
        <f>IF(AND(AB204&gt;0,AB204&lt;&gt;"NA",AB204&lt;&gt;"NS",F206=""),"Debido a que registró un número mayor a cero en el apartado Otro tipo, debe anotar el n. de dicho(s) tipo(s) de beneficio(s)","")</f>
        <v/>
      </c>
      <c r="C207" s="1003"/>
      <c r="D207" s="1003"/>
      <c r="E207" s="1003"/>
      <c r="F207" s="1003"/>
      <c r="G207" s="1003"/>
      <c r="H207" s="1003"/>
      <c r="I207" s="1003"/>
      <c r="J207" s="1003"/>
      <c r="K207" s="1003"/>
      <c r="L207" s="1003"/>
      <c r="M207" s="1003"/>
      <c r="N207" s="1003"/>
      <c r="O207" s="1003"/>
      <c r="P207" s="1003"/>
      <c r="Q207" s="1003"/>
      <c r="R207" s="1003"/>
      <c r="S207" s="1003"/>
      <c r="T207" s="1003"/>
      <c r="U207" s="1003"/>
      <c r="V207" s="1003"/>
      <c r="W207" s="1003"/>
      <c r="X207" s="1003"/>
      <c r="Y207" s="1003"/>
      <c r="Z207" s="1003"/>
      <c r="AA207" s="1003"/>
      <c r="AB207" s="1003"/>
      <c r="AC207" s="1003"/>
      <c r="AD207" s="1003"/>
      <c r="AE207" s="1003"/>
      <c r="AK207" t="s">
        <v>5218</v>
      </c>
      <c r="AL207" s="506">
        <f>SUM(AL205,AL190)</f>
        <v>0</v>
      </c>
    </row>
    <row r="208" spans="1:78" ht="24" customHeight="1">
      <c r="A208" s="169"/>
      <c r="B208" s="90"/>
      <c r="C208" s="754" t="s">
        <v>2611</v>
      </c>
      <c r="D208" s="754"/>
      <c r="E208" s="754"/>
      <c r="F208" s="754"/>
      <c r="G208" s="754"/>
      <c r="H208" s="754"/>
      <c r="I208" s="754"/>
      <c r="J208" s="754"/>
      <c r="K208" s="754"/>
      <c r="L208" s="754"/>
      <c r="M208" s="754"/>
      <c r="N208" s="754"/>
      <c r="O208" s="754"/>
      <c r="P208" s="754"/>
      <c r="Q208" s="754"/>
      <c r="R208" s="754"/>
      <c r="S208" s="754"/>
      <c r="T208" s="754"/>
      <c r="U208" s="754"/>
      <c r="V208" s="754"/>
      <c r="W208" s="754"/>
      <c r="X208" s="754"/>
      <c r="Y208" s="754"/>
      <c r="Z208" s="754"/>
      <c r="AA208" s="754"/>
      <c r="AB208" s="754"/>
      <c r="AC208" s="754"/>
      <c r="AD208" s="754"/>
    </row>
    <row r="209" spans="1:31" ht="60" customHeight="1">
      <c r="A209" s="169"/>
      <c r="B209" s="90"/>
      <c r="C209" s="851"/>
      <c r="D209" s="851"/>
      <c r="E209" s="851"/>
      <c r="F209" s="851"/>
      <c r="G209" s="851"/>
      <c r="H209" s="851"/>
      <c r="I209" s="851"/>
      <c r="J209" s="851"/>
      <c r="K209" s="851"/>
      <c r="L209" s="851"/>
      <c r="M209" s="851"/>
      <c r="N209" s="851"/>
      <c r="O209" s="851"/>
      <c r="P209" s="851"/>
      <c r="Q209" s="851"/>
      <c r="R209" s="851"/>
      <c r="S209" s="851"/>
      <c r="T209" s="851"/>
      <c r="U209" s="851"/>
      <c r="V209" s="851"/>
      <c r="W209" s="851"/>
      <c r="X209" s="851"/>
      <c r="Y209" s="851"/>
      <c r="Z209" s="851"/>
      <c r="AA209" s="851"/>
      <c r="AB209" s="851"/>
      <c r="AC209" s="851"/>
      <c r="AD209" s="851"/>
    </row>
    <row r="210" spans="1:31">
      <c r="A210" s="142"/>
      <c r="B210" s="794" t="str">
        <f>IF(AG189=0,"","Favor de ingresar toda la información requerida en la pregunta")</f>
        <v/>
      </c>
      <c r="C210" s="794"/>
      <c r="D210" s="794"/>
      <c r="E210" s="794"/>
      <c r="F210" s="794"/>
      <c r="G210" s="794"/>
      <c r="H210" s="794"/>
      <c r="I210" s="794"/>
      <c r="J210" s="794"/>
      <c r="K210" s="794"/>
      <c r="L210" s="794"/>
      <c r="M210" s="794"/>
      <c r="N210" s="794"/>
      <c r="O210" s="794"/>
      <c r="P210" s="794"/>
      <c r="Q210" s="794"/>
      <c r="R210" s="794"/>
      <c r="S210" s="794"/>
      <c r="T210" s="794"/>
      <c r="U210" s="794"/>
      <c r="V210" s="794"/>
      <c r="W210" s="794"/>
      <c r="X210" s="794"/>
      <c r="Y210" s="794"/>
      <c r="Z210" s="794"/>
      <c r="AA210" s="794"/>
      <c r="AB210" s="794"/>
      <c r="AC210" s="794"/>
      <c r="AD210" s="794"/>
      <c r="AE210" s="794"/>
    </row>
    <row r="211" spans="1:31">
      <c r="A211" s="142"/>
      <c r="B211" s="1087" t="str">
        <f>IF(SUM(COUNTIF(P181:AD188,"NS"),COUNTIF(J196:AD203,"NS"))&lt;&gt;0,"Alerta: debido a que cuenta con registros NS, debe proporcionar una justificación en el area de comentarios al final de la pregunta","")</f>
        <v/>
      </c>
      <c r="C211" s="1087"/>
      <c r="D211" s="1087"/>
      <c r="E211" s="1087"/>
      <c r="F211" s="1087"/>
      <c r="G211" s="1087"/>
      <c r="H211" s="1087"/>
      <c r="I211" s="1087"/>
      <c r="J211" s="1087"/>
      <c r="K211" s="1087"/>
      <c r="L211" s="1087"/>
      <c r="M211" s="1087"/>
      <c r="N211" s="1087"/>
      <c r="O211" s="1087"/>
      <c r="P211" s="1087"/>
      <c r="Q211" s="1087"/>
      <c r="R211" s="1087"/>
      <c r="S211" s="1087"/>
      <c r="T211" s="1087"/>
      <c r="U211" s="1087"/>
      <c r="V211" s="1087"/>
      <c r="W211" s="1087"/>
      <c r="X211" s="1087"/>
      <c r="Y211" s="1087"/>
      <c r="Z211" s="1087"/>
      <c r="AA211" s="1087"/>
      <c r="AB211" s="1087"/>
      <c r="AC211" s="1087"/>
      <c r="AD211" s="1087"/>
      <c r="AE211" s="1087"/>
    </row>
    <row r="212" spans="1:31">
      <c r="A212" s="142"/>
      <c r="B212" s="1003" t="str">
        <f>IF(AH189&gt;0,"Revise la información capturada, ya que tiene datos ingresados en celdas que están sombreadas","")</f>
        <v/>
      </c>
      <c r="C212" s="1003"/>
      <c r="D212" s="1003"/>
      <c r="E212" s="1003"/>
      <c r="F212" s="1003"/>
      <c r="G212" s="1003"/>
      <c r="H212" s="1003"/>
      <c r="I212" s="1003"/>
      <c r="J212" s="1003"/>
      <c r="K212" s="1003"/>
      <c r="L212" s="1003"/>
      <c r="M212" s="1003"/>
      <c r="N212" s="1003"/>
      <c r="O212" s="1003"/>
      <c r="P212" s="1003"/>
      <c r="Q212" s="1003"/>
      <c r="R212" s="1003"/>
      <c r="S212" s="1003"/>
      <c r="T212" s="1003"/>
      <c r="U212" s="1003"/>
      <c r="V212" s="1003"/>
      <c r="W212" s="1003"/>
      <c r="X212" s="1003"/>
      <c r="Y212" s="1003"/>
      <c r="Z212" s="1003"/>
      <c r="AA212" s="1003"/>
      <c r="AB212" s="1003"/>
      <c r="AC212" s="1003"/>
      <c r="AD212" s="1003"/>
      <c r="AE212" s="1003"/>
    </row>
    <row r="213" spans="1:31">
      <c r="A213" s="142"/>
      <c r="B213" s="1003" t="str">
        <f>IF(AL207&gt;0,"Favor de revisar la suma y consistencia de totales y/o subtotales por filas (numéricos y NS)",IF(AF189=0,"","Debido a que cuenta con registro(s) con el código 1, el total de la fila respectiva debe ser mayor a cero"))</f>
        <v/>
      </c>
      <c r="C213" s="1003"/>
      <c r="D213" s="1003"/>
      <c r="E213" s="1003"/>
      <c r="F213" s="1003"/>
      <c r="G213" s="1003"/>
      <c r="H213" s="1003"/>
      <c r="I213" s="1003"/>
      <c r="J213" s="1003"/>
      <c r="K213" s="1003"/>
      <c r="L213" s="1003"/>
      <c r="M213" s="1003"/>
      <c r="N213" s="1003"/>
      <c r="O213" s="1003"/>
      <c r="P213" s="1003"/>
      <c r="Q213" s="1003"/>
      <c r="R213" s="1003"/>
      <c r="S213" s="1003"/>
      <c r="T213" s="1003"/>
      <c r="U213" s="1003"/>
      <c r="V213" s="1003"/>
      <c r="W213" s="1003"/>
      <c r="X213" s="1003"/>
      <c r="Y213" s="1003"/>
      <c r="Z213" s="1003"/>
      <c r="AA213" s="1003"/>
      <c r="AB213" s="1003"/>
      <c r="AC213" s="1003"/>
      <c r="AD213" s="1003"/>
      <c r="AE213" s="1003"/>
    </row>
    <row r="214" spans="1:31">
      <c r="A214" s="142"/>
      <c r="B214" s="794" t="str">
        <f>IF(BB189&gt;0,"Favor de revisar la instrucción 3, debido a que no se cumplen con los criterios mencionados",IF(BE189&gt;0,"Favor de revisar la instrucción 4, debido a que no se cumplen con los criterios mencionados",""))</f>
        <v/>
      </c>
      <c r="C214" s="794"/>
      <c r="D214" s="794"/>
      <c r="E214" s="794"/>
      <c r="F214" s="794"/>
      <c r="G214" s="794"/>
      <c r="H214" s="794"/>
      <c r="I214" s="794"/>
      <c r="J214" s="794"/>
      <c r="K214" s="794"/>
      <c r="L214" s="794"/>
      <c r="M214" s="794"/>
      <c r="N214" s="794"/>
      <c r="O214" s="794"/>
      <c r="P214" s="794"/>
      <c r="Q214" s="794"/>
      <c r="R214" s="794"/>
      <c r="S214" s="794"/>
      <c r="T214" s="794"/>
      <c r="U214" s="794"/>
      <c r="V214" s="794"/>
      <c r="W214" s="794"/>
      <c r="X214" s="794"/>
      <c r="Y214" s="794"/>
      <c r="Z214" s="794"/>
      <c r="AA214" s="794"/>
      <c r="AB214" s="794"/>
      <c r="AC214" s="794"/>
      <c r="AD214" s="794"/>
      <c r="AE214" s="794"/>
    </row>
    <row r="215" spans="1:31">
      <c r="A215" s="142"/>
      <c r="B215" s="795" t="str">
        <f>IF(BZ204&gt;0,"Alerta: debe de proporcionar una justificación de acuerdo a lo establecido en la instrucción 5","")</f>
        <v/>
      </c>
      <c r="C215" s="795"/>
      <c r="D215" s="795"/>
      <c r="E215" s="795"/>
      <c r="F215" s="795"/>
      <c r="G215" s="795"/>
      <c r="H215" s="795"/>
      <c r="I215" s="795"/>
      <c r="J215" s="795"/>
      <c r="K215" s="795"/>
      <c r="L215" s="795"/>
      <c r="M215" s="795"/>
      <c r="N215" s="795"/>
      <c r="O215" s="795"/>
      <c r="P215" s="795"/>
      <c r="Q215" s="795"/>
      <c r="R215" s="795"/>
      <c r="S215" s="795"/>
      <c r="T215" s="795"/>
      <c r="U215" s="795"/>
      <c r="V215" s="795"/>
      <c r="W215" s="795"/>
      <c r="X215" s="795"/>
      <c r="Y215" s="795"/>
      <c r="Z215" s="795"/>
      <c r="AA215" s="795"/>
      <c r="AB215" s="795"/>
      <c r="AC215" s="795"/>
      <c r="AD215" s="795"/>
      <c r="AE215" s="795"/>
    </row>
    <row r="216" spans="1:31" ht="48" customHeight="1">
      <c r="A216" s="49" t="s">
        <v>5849</v>
      </c>
      <c r="B216" s="829" t="s">
        <v>5850</v>
      </c>
      <c r="C216" s="829"/>
      <c r="D216" s="829"/>
      <c r="E216" s="829"/>
      <c r="F216" s="829"/>
      <c r="G216" s="829"/>
      <c r="H216" s="829"/>
      <c r="I216" s="829"/>
      <c r="J216" s="829"/>
      <c r="K216" s="829"/>
      <c r="L216" s="829"/>
      <c r="M216" s="829"/>
      <c r="N216" s="829"/>
      <c r="O216" s="829"/>
      <c r="P216" s="829"/>
      <c r="Q216" s="829"/>
      <c r="R216" s="829"/>
      <c r="S216" s="829"/>
      <c r="T216" s="829"/>
      <c r="U216" s="829"/>
      <c r="V216" s="829"/>
      <c r="W216" s="829"/>
      <c r="X216" s="829"/>
      <c r="Y216" s="829"/>
      <c r="Z216" s="829"/>
      <c r="AA216" s="829"/>
      <c r="AB216" s="829"/>
      <c r="AC216" s="829"/>
      <c r="AD216" s="829"/>
    </row>
    <row r="217" spans="1:31" ht="36" customHeight="1">
      <c r="A217" s="50"/>
      <c r="B217" s="38"/>
      <c r="C217" s="830" t="s">
        <v>5851</v>
      </c>
      <c r="D217" s="830"/>
      <c r="E217" s="830"/>
      <c r="F217" s="830"/>
      <c r="G217" s="830"/>
      <c r="H217" s="830"/>
      <c r="I217" s="830"/>
      <c r="J217" s="830"/>
      <c r="K217" s="830"/>
      <c r="L217" s="830"/>
      <c r="M217" s="830"/>
      <c r="N217" s="830"/>
      <c r="O217" s="830"/>
      <c r="P217" s="830"/>
      <c r="Q217" s="830"/>
      <c r="R217" s="830"/>
      <c r="S217" s="830"/>
      <c r="T217" s="830"/>
      <c r="U217" s="830"/>
      <c r="V217" s="830"/>
      <c r="W217" s="830"/>
      <c r="X217" s="830"/>
      <c r="Y217" s="830"/>
      <c r="Z217" s="830"/>
      <c r="AA217" s="830"/>
      <c r="AB217" s="830"/>
      <c r="AC217" s="830"/>
      <c r="AD217" s="830"/>
    </row>
    <row r="218" spans="1:31" ht="36" customHeight="1">
      <c r="A218" s="142"/>
      <c r="B218" s="57"/>
      <c r="C218" s="754" t="s">
        <v>5852</v>
      </c>
      <c r="D218" s="830"/>
      <c r="E218" s="830"/>
      <c r="F218" s="830"/>
      <c r="G218" s="830"/>
      <c r="H218" s="830"/>
      <c r="I218" s="830"/>
      <c r="J218" s="830"/>
      <c r="K218" s="830"/>
      <c r="L218" s="830"/>
      <c r="M218" s="830"/>
      <c r="N218" s="830"/>
      <c r="O218" s="830"/>
      <c r="P218" s="830"/>
      <c r="Q218" s="830"/>
      <c r="R218" s="830"/>
      <c r="S218" s="830"/>
      <c r="T218" s="830"/>
      <c r="U218" s="830"/>
      <c r="V218" s="830"/>
      <c r="W218" s="830"/>
      <c r="X218" s="830"/>
      <c r="Y218" s="830"/>
      <c r="Z218" s="830"/>
      <c r="AA218" s="830"/>
      <c r="AB218" s="830"/>
      <c r="AC218" s="830"/>
      <c r="AD218" s="830"/>
    </row>
    <row r="219" spans="1:31" ht="36" customHeight="1">
      <c r="A219" s="142"/>
      <c r="B219" s="57"/>
      <c r="C219" s="754" t="s">
        <v>5853</v>
      </c>
      <c r="D219" s="754"/>
      <c r="E219" s="754"/>
      <c r="F219" s="754"/>
      <c r="G219" s="754"/>
      <c r="H219" s="754"/>
      <c r="I219" s="754"/>
      <c r="J219" s="754"/>
      <c r="K219" s="754"/>
      <c r="L219" s="754"/>
      <c r="M219" s="754"/>
      <c r="N219" s="754"/>
      <c r="O219" s="754"/>
      <c r="P219" s="754"/>
      <c r="Q219" s="754"/>
      <c r="R219" s="754"/>
      <c r="S219" s="754"/>
      <c r="T219" s="754"/>
      <c r="U219" s="754"/>
      <c r="V219" s="754"/>
      <c r="W219" s="754"/>
      <c r="X219" s="754"/>
      <c r="Y219" s="754"/>
      <c r="Z219" s="754"/>
      <c r="AA219" s="754"/>
      <c r="AB219" s="754"/>
      <c r="AC219" s="754"/>
      <c r="AD219" s="754"/>
    </row>
    <row r="220" spans="1:31" ht="24" customHeight="1">
      <c r="A220" s="142"/>
      <c r="B220" s="57"/>
      <c r="C220" s="754" t="s">
        <v>5854</v>
      </c>
      <c r="D220" s="754"/>
      <c r="E220" s="754"/>
      <c r="F220" s="754"/>
      <c r="G220" s="754"/>
      <c r="H220" s="754"/>
      <c r="I220" s="754"/>
      <c r="J220" s="754"/>
      <c r="K220" s="754"/>
      <c r="L220" s="754"/>
      <c r="M220" s="754"/>
      <c r="N220" s="754"/>
      <c r="O220" s="754"/>
      <c r="P220" s="754"/>
      <c r="Q220" s="754"/>
      <c r="R220" s="754"/>
      <c r="S220" s="754"/>
      <c r="T220" s="754"/>
      <c r="U220" s="754"/>
      <c r="V220" s="754"/>
      <c r="W220" s="754"/>
      <c r="X220" s="754"/>
      <c r="Y220" s="754"/>
      <c r="Z220" s="754"/>
      <c r="AA220" s="754"/>
      <c r="AB220" s="754"/>
      <c r="AC220" s="754"/>
      <c r="AD220" s="754"/>
    </row>
    <row r="221" spans="1:31">
      <c r="A221" s="169"/>
      <c r="B221" s="90"/>
      <c r="C221" s="90"/>
      <c r="D221" s="90"/>
      <c r="E221" s="90"/>
      <c r="F221" s="90"/>
      <c r="G221" s="90"/>
      <c r="H221" s="90"/>
      <c r="I221" s="90"/>
      <c r="J221" s="90"/>
      <c r="K221" s="90"/>
      <c r="L221" s="90"/>
      <c r="M221" s="90"/>
      <c r="N221" s="90"/>
      <c r="O221" s="90"/>
      <c r="P221" s="90"/>
      <c r="Q221" s="90"/>
      <c r="R221" s="90"/>
      <c r="S221" s="90"/>
      <c r="T221" s="90"/>
      <c r="U221" s="90"/>
      <c r="V221" s="90"/>
      <c r="W221" s="90"/>
      <c r="X221" s="90"/>
      <c r="Y221" s="90"/>
      <c r="Z221" s="90"/>
      <c r="AA221" s="90"/>
      <c r="AB221" s="90"/>
      <c r="AC221" s="90"/>
      <c r="AD221" s="90"/>
    </row>
    <row r="222" spans="1:31">
      <c r="A222" s="169"/>
      <c r="B222" s="90"/>
      <c r="C222" s="90"/>
      <c r="D222" s="90"/>
      <c r="E222" s="90"/>
      <c r="F222" s="90"/>
      <c r="G222" s="90"/>
      <c r="H222" s="90"/>
      <c r="I222" s="90"/>
      <c r="J222" s="90"/>
      <c r="K222" s="90"/>
      <c r="L222" s="90"/>
      <c r="M222" s="90"/>
      <c r="N222" s="90"/>
      <c r="O222" s="90"/>
      <c r="P222" s="90"/>
      <c r="Q222" s="90"/>
      <c r="R222" s="90"/>
      <c r="S222" s="90"/>
      <c r="T222" s="90"/>
      <c r="U222" s="90"/>
      <c r="V222" s="90"/>
      <c r="W222" s="90"/>
      <c r="X222" s="90"/>
      <c r="Y222" s="90"/>
      <c r="Z222" s="90"/>
      <c r="AA222" s="875" t="s">
        <v>2664</v>
      </c>
      <c r="AB222" s="875"/>
      <c r="AC222" s="875"/>
      <c r="AD222" s="875"/>
    </row>
    <row r="223" spans="1:31" ht="48" customHeight="1">
      <c r="A223" s="169"/>
      <c r="B223" s="90"/>
      <c r="C223" s="732" t="s">
        <v>2581</v>
      </c>
      <c r="D223" s="732"/>
      <c r="E223" s="732"/>
      <c r="F223" s="732"/>
      <c r="G223" s="732"/>
      <c r="H223" s="732"/>
      <c r="I223" s="732"/>
      <c r="J223" s="732"/>
      <c r="K223" s="732"/>
      <c r="L223" s="732"/>
      <c r="M223" s="732" t="s">
        <v>5855</v>
      </c>
      <c r="N223" s="732"/>
      <c r="O223" s="732"/>
      <c r="P223" s="732"/>
      <c r="Q223" s="732"/>
      <c r="R223" s="732"/>
      <c r="S223" s="739" t="s">
        <v>5856</v>
      </c>
      <c r="T223" s="740"/>
      <c r="U223" s="740"/>
      <c r="V223" s="740"/>
      <c r="W223" s="740"/>
      <c r="X223" s="740"/>
      <c r="Y223" s="740"/>
      <c r="Z223" s="740"/>
      <c r="AA223" s="740"/>
      <c r="AB223" s="740"/>
      <c r="AC223" s="740"/>
      <c r="AD223" s="741"/>
    </row>
    <row r="224" spans="1:31" ht="15" customHeight="1">
      <c r="A224" s="169"/>
      <c r="B224" s="90"/>
      <c r="C224" s="732"/>
      <c r="D224" s="732"/>
      <c r="E224" s="732"/>
      <c r="F224" s="732"/>
      <c r="G224" s="732"/>
      <c r="H224" s="732"/>
      <c r="I224" s="732"/>
      <c r="J224" s="732"/>
      <c r="K224" s="732"/>
      <c r="L224" s="732"/>
      <c r="M224" s="732"/>
      <c r="N224" s="732"/>
      <c r="O224" s="732"/>
      <c r="P224" s="732"/>
      <c r="Q224" s="732"/>
      <c r="R224" s="732"/>
      <c r="S224" s="958" t="s">
        <v>2628</v>
      </c>
      <c r="T224" s="959" t="s">
        <v>2629</v>
      </c>
      <c r="U224" s="959" t="s">
        <v>2630</v>
      </c>
      <c r="V224" s="818" t="s">
        <v>5857</v>
      </c>
      <c r="W224" s="819"/>
      <c r="X224" s="819"/>
      <c r="Y224" s="819"/>
      <c r="Z224" s="819"/>
      <c r="AA224" s="819"/>
      <c r="AB224" s="819"/>
      <c r="AC224" s="819"/>
      <c r="AD224" s="820"/>
    </row>
    <row r="225" spans="1:63" ht="120" customHeight="1">
      <c r="A225" s="169"/>
      <c r="B225" s="90"/>
      <c r="C225" s="732"/>
      <c r="D225" s="732"/>
      <c r="E225" s="732"/>
      <c r="F225" s="732"/>
      <c r="G225" s="732"/>
      <c r="H225" s="732"/>
      <c r="I225" s="732"/>
      <c r="J225" s="732"/>
      <c r="K225" s="732"/>
      <c r="L225" s="732"/>
      <c r="M225" s="732"/>
      <c r="N225" s="732"/>
      <c r="O225" s="732"/>
      <c r="P225" s="732"/>
      <c r="Q225" s="732"/>
      <c r="R225" s="732"/>
      <c r="S225" s="958"/>
      <c r="T225" s="959"/>
      <c r="U225" s="959"/>
      <c r="V225" s="858" t="s">
        <v>5858</v>
      </c>
      <c r="W225" s="859"/>
      <c r="X225" s="860"/>
      <c r="Y225" s="858" t="s">
        <v>5859</v>
      </c>
      <c r="Z225" s="859"/>
      <c r="AA225" s="860"/>
      <c r="AB225" s="858" t="s">
        <v>5860</v>
      </c>
      <c r="AC225" s="859"/>
      <c r="AD225" s="860"/>
    </row>
    <row r="226" spans="1:63" ht="48" customHeight="1">
      <c r="A226" s="169"/>
      <c r="B226" s="90"/>
      <c r="C226" s="732"/>
      <c r="D226" s="732"/>
      <c r="E226" s="732"/>
      <c r="F226" s="732"/>
      <c r="G226" s="732"/>
      <c r="H226" s="732"/>
      <c r="I226" s="732"/>
      <c r="J226" s="732"/>
      <c r="K226" s="732"/>
      <c r="L226" s="732"/>
      <c r="M226" s="732"/>
      <c r="N226" s="732"/>
      <c r="O226" s="732"/>
      <c r="P226" s="732"/>
      <c r="Q226" s="732"/>
      <c r="R226" s="732"/>
      <c r="S226" s="888"/>
      <c r="T226" s="890"/>
      <c r="U226" s="890"/>
      <c r="V226" s="171" t="s">
        <v>2635</v>
      </c>
      <c r="W226" s="128" t="s">
        <v>2629</v>
      </c>
      <c r="X226" s="128" t="s">
        <v>2630</v>
      </c>
      <c r="Y226" s="171" t="s">
        <v>2635</v>
      </c>
      <c r="Z226" s="128" t="s">
        <v>2629</v>
      </c>
      <c r="AA226" s="128" t="s">
        <v>2630</v>
      </c>
      <c r="AB226" s="171" t="s">
        <v>2635</v>
      </c>
      <c r="AC226" s="128" t="s">
        <v>2629</v>
      </c>
      <c r="AD226" s="128" t="s">
        <v>2630</v>
      </c>
      <c r="AF226" t="s">
        <v>4713</v>
      </c>
      <c r="AG226" t="s">
        <v>2586</v>
      </c>
      <c r="AH226" t="s">
        <v>4581</v>
      </c>
      <c r="AI226"/>
      <c r="AJ226"/>
      <c r="AK226" t="s">
        <v>4573</v>
      </c>
      <c r="AL226" t="s">
        <v>2638</v>
      </c>
      <c r="AM226" t="s">
        <v>2639</v>
      </c>
      <c r="AN226" t="s">
        <v>4574</v>
      </c>
      <c r="AO226" t="s">
        <v>2641</v>
      </c>
      <c r="AP226" t="s">
        <v>2642</v>
      </c>
      <c r="AQ226" t="s">
        <v>4575</v>
      </c>
      <c r="AR226" t="s">
        <v>2644</v>
      </c>
      <c r="AS226" t="s">
        <v>2645</v>
      </c>
      <c r="AT226" t="s">
        <v>4576</v>
      </c>
      <c r="AU226" t="s">
        <v>2647</v>
      </c>
      <c r="AV226" t="s">
        <v>2648</v>
      </c>
      <c r="AW226" t="s">
        <v>5291</v>
      </c>
      <c r="AX226"/>
      <c r="AY226"/>
      <c r="AZ226" t="s">
        <v>5806</v>
      </c>
      <c r="BA226"/>
      <c r="BB226"/>
      <c r="BC226" t="s">
        <v>5290</v>
      </c>
      <c r="BD226"/>
      <c r="BE226"/>
      <c r="BF226"/>
      <c r="BG226"/>
      <c r="BH226"/>
      <c r="BI226"/>
      <c r="BJ226"/>
      <c r="BK226"/>
    </row>
    <row r="227" spans="1:63">
      <c r="A227" s="169"/>
      <c r="B227" s="90"/>
      <c r="C227" s="44" t="s">
        <v>2516</v>
      </c>
      <c r="D227" s="796" t="str">
        <f>IF(CNSIPEE_2024_M2_Secc1!D42="","",CNSIPEE_2024_M2_Secc1!D42)</f>
        <v/>
      </c>
      <c r="E227" s="796"/>
      <c r="F227" s="796"/>
      <c r="G227" s="796"/>
      <c r="H227" s="796"/>
      <c r="I227" s="796"/>
      <c r="J227" s="796"/>
      <c r="K227" s="796"/>
      <c r="L227" s="796"/>
      <c r="M227" s="749"/>
      <c r="N227" s="749"/>
      <c r="O227" s="749"/>
      <c r="P227" s="749"/>
      <c r="Q227" s="749"/>
      <c r="R227" s="749"/>
      <c r="S227" s="100"/>
      <c r="T227" s="100"/>
      <c r="U227" s="100"/>
      <c r="V227" s="100"/>
      <c r="W227" s="100"/>
      <c r="X227" s="116"/>
      <c r="Y227" s="100"/>
      <c r="Z227" s="100"/>
      <c r="AA227" s="100"/>
      <c r="AB227" s="100"/>
      <c r="AC227" s="100"/>
      <c r="AD227" s="100"/>
      <c r="AF227">
        <f>IF(AND(M227=1,S227=0),1,0)</f>
        <v>0</v>
      </c>
      <c r="AG227">
        <f>IF(AND(M227&gt;1,D227&lt;&gt;""),0,IF(OR(SUM(COUNTBLANK(D227:AD227),COUNTBLANK(M242:AD242))=13,SUM(COUNTBLANK(D227:AD227),COUNTBLANK(M242:AD242))=45),0,1))</f>
        <v>0</v>
      </c>
      <c r="AH227">
        <f t="shared" ref="AH227:AH234" si="145">IF(M227&gt;1,IF(SUM(COUNTBLANK(S227:AD227),COUNTBLANK(M242:AD242))=30,0,1),0)</f>
        <v>0</v>
      </c>
      <c r="AI227"/>
      <c r="AJ227"/>
      <c r="AK227">
        <f t="shared" ref="AK227:AK234" si="146">COUNTIF(T227:U227,"NS")</f>
        <v>0</v>
      </c>
      <c r="AL227">
        <f t="shared" ref="AL227:AL234" si="147">SUM(T227:U227)</f>
        <v>0</v>
      </c>
      <c r="AM227">
        <f>IF(COUNTIF(S227:U227,"NA")=3,0,IF(COUNTA(S227:U227)=0,0,IF(OR(AND(S227=0,AK227&gt;0),AND(S227="ns",AL227&gt;0),AND(S227="ns",AK227=0,AL227=0)),1,IF(OR(AND(S227&gt;0,AK227=2),AND(S227="ns",AK227=2),AND(S227="ns",AL227=0,AK227&gt;0),S227=AL227),0,1))))</f>
        <v>0</v>
      </c>
      <c r="AN227">
        <f t="shared" ref="AN227:AN234" si="148">COUNTIF(W227:X227,"NS")</f>
        <v>0</v>
      </c>
      <c r="AO227">
        <f t="shared" ref="AO227:AO234" si="149">SUM(W227:X227)</f>
        <v>0</v>
      </c>
      <c r="AP227">
        <f t="shared" ref="AP227:AP234" si="150">IF(COUNTIF(V227:X227,"NA")=3,0,IF(COUNTA(V227:X227)=0,0,IF(OR(AND(V227=0,AN227&gt;0),AND(V227="ns",AO227&gt;0),AND(V227="ns",AN227=0,AO227=0)),1,IF(OR(AND(V227&gt;0,AN227=2),AND(V227="ns",AN227=2),AND(V227="ns",AO227=0,AN227&gt;0),V227=AO227),0,1))))</f>
        <v>0</v>
      </c>
      <c r="AQ227">
        <f t="shared" ref="AQ227:AQ234" si="151">COUNTIF(Z227:AA227,"NS")</f>
        <v>0</v>
      </c>
      <c r="AR227">
        <f t="shared" ref="AR227:AR234" si="152">SUM(Z227:AA227)</f>
        <v>0</v>
      </c>
      <c r="AS227">
        <f t="shared" ref="AS227:AS234" si="153">IF(COUNTIF(Y227:AA227,"NA")=3,0,IF(COUNTA(Y227:AA227)=0,0,IF(OR(AND(Y227=0,AQ227&gt;0),AND(Y227="ns",AR227&gt;0),AND(Y227="ns",AQ227=0,AR227=0)),1,IF(OR(AND(Y227&gt;0,AQ227=2),AND(Y227="ns",AQ227=2),AND(Y227="ns",AR227=0,AQ227&gt;0),Y227=AR227),0,1))))</f>
        <v>0</v>
      </c>
      <c r="AT227">
        <f t="shared" ref="AT227:AT234" si="154">COUNTIF(AC227:AD227,"NS")</f>
        <v>0</v>
      </c>
      <c r="AU227">
        <f t="shared" ref="AU227:AU234" si="155">SUM(AC227:AD227)</f>
        <v>0</v>
      </c>
      <c r="AV227">
        <f t="shared" ref="AV227:AV234" si="156">IF(COUNTIF(AB227:AD227,"NA")=3,0,IF(COUNTA(AB227:AD227)=0,0,IF(OR(AND(AB227=0,AT227&gt;0),AND(AB227="ns",AU227&gt;0),AND(AB227="ns",AT227=0,AU227=0)),1,IF(OR(AND(AB227&gt;0,AT227=2),AND(AB227="ns",AT227=2),AND(AB227="ns",AU227=0,AT227&gt;0),AB227=AU227),0,1))))</f>
        <v>0</v>
      </c>
      <c r="AW227" cm="1">
        <f t="array" ref="AW227">IF(OR(S227={"NS","NA"},AZ227={"NS","NA"}),0,IF(S227&lt;=AZ227,0,1))</f>
        <v>0</v>
      </c>
      <c r="AX227" cm="1">
        <f t="array" ref="AX227">IF(OR(T227={"NS","NA"},BA227={"NS","NA"}),0,IF(T227&lt;=BA227,0,1))</f>
        <v>0</v>
      </c>
      <c r="AY227" cm="1">
        <f t="array" ref="AY227">IF(OR(U227={"NS","NA"},BB227={"NS","NA"}),0,IF(U227&lt;=BB227,0,1))</f>
        <v>0</v>
      </c>
      <c r="AZ227">
        <f t="shared" ref="AZ227:BB234" si="157">IF(AND(SUM(V227,Y227,AB227,M242,P242,S242,V242,Y242,AB242)=0,SUM(COUNTIF(V227,"NS"),COUNTIF(Y227,"NS"),COUNTIF(AB227,"NS"),COUNTIF(M242,"NS"),COUNTIF(P242,"NS"),COUNTIF(S242,"NS"),COUNTIF(V242,"NS"),COUNTIF(Y242,"NS"),COUNTIF(AB242,"NS"))&gt;0),"NS",
IF(AND(SUM(V227,Y227,AB227,M242,P242,S242,V242,Y242,AB242)=0,SUM(COUNTIF(V227,0),COUNTIF(Y227,0),COUNTIF(AB227,0),COUNTIF(M242,0),COUNTIF(P242,0),COUNTIF(S242,0),COUNTIF(V242,0),COUNTIF(Y242,0),COUNTIF(AB242,0))&gt;0),0,
IF(AND(SUM(V227,Y227,AB227,M242,P242,S242,V242,Y242,AB242)=0,SUM(COUNTIF(V227,"NA"),COUNTIF(Y227,"NA"),COUNTIF(AB227,"NA"),COUNTIF(M242,"NA"),COUNTIF(P242,"NA"),COUNTIF(S242,"NA"),COUNTIF(V242,"NA"),COUNTIF(Y242,"NA"),COUNTIF(AB242,"NA"))&gt;0),"NA",
SUM(V227,Y227,AB227,M242,P242,S242,V242,Y242,AB242))))</f>
        <v>0</v>
      </c>
      <c r="BA227">
        <f t="shared" si="157"/>
        <v>0</v>
      </c>
      <c r="BB227">
        <f t="shared" si="157"/>
        <v>0</v>
      </c>
      <c r="BC227" cm="1">
        <f t="array" ref="BC227">IF(OR(V227={"NS","NA"},$S227={"NS","NA"}),0,IF(V227&lt;=$S227,0,1))</f>
        <v>0</v>
      </c>
      <c r="BD227" cm="1">
        <f t="array" ref="BD227">IF(OR(W227={"NS","NA"},$T227={"NS","NA"}),0,IF(W227&lt;=$T227,0,1))</f>
        <v>0</v>
      </c>
      <c r="BE227" cm="1">
        <f t="array" ref="BE227">IF(OR(X227={"NS","NA"},$U227={"NS","NA"}),0,IF(X227&lt;=$U227,0,1))</f>
        <v>0</v>
      </c>
      <c r="BF227" cm="1">
        <f t="array" ref="BF227">IF(OR(Y227={"NS","NA"},$S227={"NS","NA"}),0,IF(Y227&lt;=$S227,0,1))</f>
        <v>0</v>
      </c>
      <c r="BG227" cm="1">
        <f t="array" ref="BG227">IF(OR(Z227={"NS","NA"},$T227={"NS","NA"}),0,IF(Z227&lt;=$T227,0,1))</f>
        <v>0</v>
      </c>
      <c r="BH227" cm="1">
        <f t="array" ref="BH227">IF(OR(AA227={"NS","NA"},$U227={"NS","NA"}),0,IF(AA227&lt;=$U227,0,1))</f>
        <v>0</v>
      </c>
      <c r="BI227" cm="1">
        <f t="array" ref="BI227">IF(OR(AB227={"NS","NA"},$S227={"NS","NA"}),0,IF(AB227&lt;=$S227,0,1))</f>
        <v>0</v>
      </c>
      <c r="BJ227" cm="1">
        <f t="array" ref="BJ227">IF(OR(AC227={"NS","NA"},$T227={"NS","NA"}),0,IF(AC227&lt;=$T227,0,1))</f>
        <v>0</v>
      </c>
      <c r="BK227" cm="1">
        <f t="array" ref="BK227">IF(OR(AD227={"NS","NA"},$U227={"NS","NA"}),0,IF(AD227&lt;=$U227,0,1))</f>
        <v>0</v>
      </c>
    </row>
    <row r="228" spans="1:63">
      <c r="A228" s="169"/>
      <c r="B228" s="90"/>
      <c r="C228" s="199" t="s">
        <v>2517</v>
      </c>
      <c r="D228" s="796" t="str">
        <f>IF(CNSIPEE_2024_M2_Secc1!D43="","",CNSIPEE_2024_M2_Secc1!D43)</f>
        <v/>
      </c>
      <c r="E228" s="796"/>
      <c r="F228" s="796"/>
      <c r="G228" s="796"/>
      <c r="H228" s="796"/>
      <c r="I228" s="796"/>
      <c r="J228" s="796"/>
      <c r="K228" s="796"/>
      <c r="L228" s="796"/>
      <c r="M228" s="749"/>
      <c r="N228" s="749"/>
      <c r="O228" s="749"/>
      <c r="P228" s="749"/>
      <c r="Q228" s="749"/>
      <c r="R228" s="749"/>
      <c r="S228" s="100"/>
      <c r="T228" s="100"/>
      <c r="U228" s="100"/>
      <c r="V228" s="100"/>
      <c r="W228" s="100"/>
      <c r="X228" s="116"/>
      <c r="Y228" s="100"/>
      <c r="Z228" s="100"/>
      <c r="AA228" s="100"/>
      <c r="AB228" s="100"/>
      <c r="AC228" s="100"/>
      <c r="AD228" s="100"/>
      <c r="AF228">
        <f t="shared" ref="AF228:AF234" si="158">IF(AND(M228=1,S228=0),1,0)</f>
        <v>0</v>
      </c>
      <c r="AG228">
        <f t="shared" ref="AG228:AG234" si="159">IF(AND(M228&gt;1,D228&lt;&gt;""),0,IF(OR(SUM(COUNTBLANK(D228:AD228),COUNTBLANK(M243:AD243))=13,SUM(COUNTBLANK(D228:AD228),COUNTBLANK(M243:AD243))=45),0,1))</f>
        <v>0</v>
      </c>
      <c r="AH228">
        <f t="shared" si="145"/>
        <v>0</v>
      </c>
      <c r="AI228"/>
      <c r="AJ228"/>
      <c r="AK228">
        <f t="shared" si="146"/>
        <v>0</v>
      </c>
      <c r="AL228">
        <f t="shared" si="147"/>
        <v>0</v>
      </c>
      <c r="AM228">
        <f t="shared" ref="AM228:AM234" si="160">IF(COUNTIF(S228:U228,"NA")=3,0,IF(COUNTA(S228:U228)=0,0,IF(OR(AND(S228=0,AK228&gt;0),AND(S228="ns",AL228&gt;0),AND(S228="ns",AK228=0,AL228=0)),1,IF(OR(AND(S228&gt;0,AK228=2),AND(S228="ns",AK228=2),AND(S228="ns",AL228=0,AK228&gt;0),S228=AL228),0,1))))</f>
        <v>0</v>
      </c>
      <c r="AN228">
        <f t="shared" si="148"/>
        <v>0</v>
      </c>
      <c r="AO228">
        <f t="shared" si="149"/>
        <v>0</v>
      </c>
      <c r="AP228">
        <f t="shared" si="150"/>
        <v>0</v>
      </c>
      <c r="AQ228">
        <f t="shared" si="151"/>
        <v>0</v>
      </c>
      <c r="AR228">
        <f t="shared" si="152"/>
        <v>0</v>
      </c>
      <c r="AS228">
        <f t="shared" si="153"/>
        <v>0</v>
      </c>
      <c r="AT228">
        <f t="shared" si="154"/>
        <v>0</v>
      </c>
      <c r="AU228">
        <f t="shared" si="155"/>
        <v>0</v>
      </c>
      <c r="AV228">
        <f t="shared" si="156"/>
        <v>0</v>
      </c>
      <c r="AW228" cm="1">
        <f t="array" ref="AW228">IF(OR(S228={"NS","NA"},AZ228={"NS","NA"}),0,IF(S228&lt;=AZ228,0,1))</f>
        <v>0</v>
      </c>
      <c r="AX228" cm="1">
        <f t="array" ref="AX228">IF(OR(T228={"NS","NA"},BA228={"NS","NA"}),0,IF(T228&lt;=BA228,0,1))</f>
        <v>0</v>
      </c>
      <c r="AY228" cm="1">
        <f t="array" ref="AY228">IF(OR(U228={"NS","NA"},BB228={"NS","NA"}),0,IF(U228&lt;=BB228,0,1))</f>
        <v>0</v>
      </c>
      <c r="AZ228">
        <f t="shared" si="157"/>
        <v>0</v>
      </c>
      <c r="BA228">
        <f t="shared" si="157"/>
        <v>0</v>
      </c>
      <c r="BB228">
        <f t="shared" si="157"/>
        <v>0</v>
      </c>
      <c r="BC228" cm="1">
        <f t="array" ref="BC228">IF(OR(V228={"NS","NA"},$S228={"NS","NA"}),0,IF(V228&lt;=$S228,0,1))</f>
        <v>0</v>
      </c>
      <c r="BD228" cm="1">
        <f t="array" ref="BD228">IF(OR(W228={"NS","NA"},$T228={"NS","NA"}),0,IF(W228&lt;=$T228,0,1))</f>
        <v>0</v>
      </c>
      <c r="BE228" cm="1">
        <f t="array" ref="BE228">IF(OR(X228={"NS","NA"},$U228={"NS","NA"}),0,IF(X228&lt;=$U228,0,1))</f>
        <v>0</v>
      </c>
      <c r="BF228" cm="1">
        <f t="array" ref="BF228">IF(OR(Y228={"NS","NA"},$S228={"NS","NA"}),0,IF(Y228&lt;=$S228,0,1))</f>
        <v>0</v>
      </c>
      <c r="BG228" cm="1">
        <f t="array" ref="BG228">IF(OR(Z228={"NS","NA"},$T228={"NS","NA"}),0,IF(Z228&lt;=$T228,0,1))</f>
        <v>0</v>
      </c>
      <c r="BH228" cm="1">
        <f t="array" ref="BH228">IF(OR(AA228={"NS","NA"},$U228={"NS","NA"}),0,IF(AA228&lt;=$U228,0,1))</f>
        <v>0</v>
      </c>
      <c r="BI228" cm="1">
        <f t="array" ref="BI228">IF(OR(AB228={"NS","NA"},$S228={"NS","NA"}),0,IF(AB228&lt;=$S228,0,1))</f>
        <v>0</v>
      </c>
      <c r="BJ228" cm="1">
        <f t="array" ref="BJ228">IF(OR(AC228={"NS","NA"},$T228={"NS","NA"}),0,IF(AC228&lt;=$T228,0,1))</f>
        <v>0</v>
      </c>
      <c r="BK228" cm="1">
        <f t="array" ref="BK228">IF(OR(AD228={"NS","NA"},$U228={"NS","NA"}),0,IF(AD228&lt;=$U228,0,1))</f>
        <v>0</v>
      </c>
    </row>
    <row r="229" spans="1:63">
      <c r="A229" s="169"/>
      <c r="B229" s="90"/>
      <c r="C229" s="143" t="s">
        <v>2518</v>
      </c>
      <c r="D229" s="796" t="str">
        <f>IF(CNSIPEE_2024_M2_Secc1!D44="","",CNSIPEE_2024_M2_Secc1!D44)</f>
        <v/>
      </c>
      <c r="E229" s="796"/>
      <c r="F229" s="796"/>
      <c r="G229" s="796"/>
      <c r="H229" s="796"/>
      <c r="I229" s="796"/>
      <c r="J229" s="796"/>
      <c r="K229" s="796"/>
      <c r="L229" s="796"/>
      <c r="M229" s="749"/>
      <c r="N229" s="749"/>
      <c r="O229" s="749"/>
      <c r="P229" s="749"/>
      <c r="Q229" s="749"/>
      <c r="R229" s="749"/>
      <c r="S229" s="100"/>
      <c r="T229" s="100"/>
      <c r="U229" s="100"/>
      <c r="V229" s="100"/>
      <c r="W229" s="100"/>
      <c r="X229" s="116"/>
      <c r="Y229" s="100"/>
      <c r="Z229" s="100"/>
      <c r="AA229" s="100"/>
      <c r="AB229" s="100"/>
      <c r="AC229" s="100"/>
      <c r="AD229" s="100"/>
      <c r="AF229">
        <f t="shared" si="158"/>
        <v>0</v>
      </c>
      <c r="AG229">
        <f t="shared" si="159"/>
        <v>0</v>
      </c>
      <c r="AH229">
        <f t="shared" si="145"/>
        <v>0</v>
      </c>
      <c r="AI229"/>
      <c r="AJ229"/>
      <c r="AK229">
        <f t="shared" si="146"/>
        <v>0</v>
      </c>
      <c r="AL229">
        <f t="shared" si="147"/>
        <v>0</v>
      </c>
      <c r="AM229">
        <f t="shared" si="160"/>
        <v>0</v>
      </c>
      <c r="AN229">
        <f t="shared" si="148"/>
        <v>0</v>
      </c>
      <c r="AO229">
        <f t="shared" si="149"/>
        <v>0</v>
      </c>
      <c r="AP229">
        <f t="shared" si="150"/>
        <v>0</v>
      </c>
      <c r="AQ229">
        <f t="shared" si="151"/>
        <v>0</v>
      </c>
      <c r="AR229">
        <f t="shared" si="152"/>
        <v>0</v>
      </c>
      <c r="AS229">
        <f t="shared" si="153"/>
        <v>0</v>
      </c>
      <c r="AT229">
        <f t="shared" si="154"/>
        <v>0</v>
      </c>
      <c r="AU229">
        <f t="shared" si="155"/>
        <v>0</v>
      </c>
      <c r="AV229">
        <f t="shared" si="156"/>
        <v>0</v>
      </c>
      <c r="AW229" cm="1">
        <f t="array" ref="AW229">IF(OR(S229={"NS","NA"},AZ229={"NS","NA"}),0,IF(S229&lt;=AZ229,0,1))</f>
        <v>0</v>
      </c>
      <c r="AX229" cm="1">
        <f t="array" ref="AX229">IF(OR(T229={"NS","NA"},BA229={"NS","NA"}),0,IF(T229&lt;=BA229,0,1))</f>
        <v>0</v>
      </c>
      <c r="AY229" cm="1">
        <f t="array" ref="AY229">IF(OR(U229={"NS","NA"},BB229={"NS","NA"}),0,IF(U229&lt;=BB229,0,1))</f>
        <v>0</v>
      </c>
      <c r="AZ229">
        <f t="shared" si="157"/>
        <v>0</v>
      </c>
      <c r="BA229">
        <f t="shared" si="157"/>
        <v>0</v>
      </c>
      <c r="BB229">
        <f t="shared" si="157"/>
        <v>0</v>
      </c>
      <c r="BC229" cm="1">
        <f t="array" ref="BC229">IF(OR(V229={"NS","NA"},$S229={"NS","NA"}),0,IF(V229&lt;=$S229,0,1))</f>
        <v>0</v>
      </c>
      <c r="BD229" cm="1">
        <f t="array" ref="BD229">IF(OR(W229={"NS","NA"},$T229={"NS","NA"}),0,IF(W229&lt;=$T229,0,1))</f>
        <v>0</v>
      </c>
      <c r="BE229" cm="1">
        <f t="array" ref="BE229">IF(OR(X229={"NS","NA"},$U229={"NS","NA"}),0,IF(X229&lt;=$U229,0,1))</f>
        <v>0</v>
      </c>
      <c r="BF229" cm="1">
        <f t="array" ref="BF229">IF(OR(Y229={"NS","NA"},$S229={"NS","NA"}),0,IF(Y229&lt;=$S229,0,1))</f>
        <v>0</v>
      </c>
      <c r="BG229" cm="1">
        <f t="array" ref="BG229">IF(OR(Z229={"NS","NA"},$T229={"NS","NA"}),0,IF(Z229&lt;=$T229,0,1))</f>
        <v>0</v>
      </c>
      <c r="BH229" cm="1">
        <f t="array" ref="BH229">IF(OR(AA229={"NS","NA"},$U229={"NS","NA"}),0,IF(AA229&lt;=$U229,0,1))</f>
        <v>0</v>
      </c>
      <c r="BI229" cm="1">
        <f t="array" ref="BI229">IF(OR(AB229={"NS","NA"},$S229={"NS","NA"}),0,IF(AB229&lt;=$S229,0,1))</f>
        <v>0</v>
      </c>
      <c r="BJ229" cm="1">
        <f t="array" ref="BJ229">IF(OR(AC229={"NS","NA"},$T229={"NS","NA"}),0,IF(AC229&lt;=$T229,0,1))</f>
        <v>0</v>
      </c>
      <c r="BK229" cm="1">
        <f t="array" ref="BK229">IF(OR(AD229={"NS","NA"},$U229={"NS","NA"}),0,IF(AD229&lt;=$U229,0,1))</f>
        <v>0</v>
      </c>
    </row>
    <row r="230" spans="1:63">
      <c r="A230" s="169"/>
      <c r="B230" s="90"/>
      <c r="C230" s="143" t="s">
        <v>2519</v>
      </c>
      <c r="D230" s="796" t="str">
        <f>IF(CNSIPEE_2024_M2_Secc1!D45="","",CNSIPEE_2024_M2_Secc1!D45)</f>
        <v/>
      </c>
      <c r="E230" s="796"/>
      <c r="F230" s="796"/>
      <c r="G230" s="796"/>
      <c r="H230" s="796"/>
      <c r="I230" s="796"/>
      <c r="J230" s="796"/>
      <c r="K230" s="796"/>
      <c r="L230" s="796"/>
      <c r="M230" s="749"/>
      <c r="N230" s="749"/>
      <c r="O230" s="749"/>
      <c r="P230" s="749"/>
      <c r="Q230" s="749"/>
      <c r="R230" s="749"/>
      <c r="S230" s="100"/>
      <c r="T230" s="100"/>
      <c r="U230" s="100"/>
      <c r="V230" s="100"/>
      <c r="W230" s="100"/>
      <c r="X230" s="116"/>
      <c r="Y230" s="100"/>
      <c r="Z230" s="100"/>
      <c r="AA230" s="100"/>
      <c r="AB230" s="100"/>
      <c r="AC230" s="100"/>
      <c r="AD230" s="100"/>
      <c r="AF230">
        <f t="shared" si="158"/>
        <v>0</v>
      </c>
      <c r="AG230">
        <f t="shared" si="159"/>
        <v>0</v>
      </c>
      <c r="AH230">
        <f t="shared" si="145"/>
        <v>0</v>
      </c>
      <c r="AI230"/>
      <c r="AJ230"/>
      <c r="AK230">
        <f t="shared" si="146"/>
        <v>0</v>
      </c>
      <c r="AL230">
        <f t="shared" si="147"/>
        <v>0</v>
      </c>
      <c r="AM230">
        <f t="shared" si="160"/>
        <v>0</v>
      </c>
      <c r="AN230">
        <f t="shared" si="148"/>
        <v>0</v>
      </c>
      <c r="AO230">
        <f t="shared" si="149"/>
        <v>0</v>
      </c>
      <c r="AP230">
        <f t="shared" si="150"/>
        <v>0</v>
      </c>
      <c r="AQ230">
        <f t="shared" si="151"/>
        <v>0</v>
      </c>
      <c r="AR230">
        <f t="shared" si="152"/>
        <v>0</v>
      </c>
      <c r="AS230">
        <f t="shared" si="153"/>
        <v>0</v>
      </c>
      <c r="AT230">
        <f t="shared" si="154"/>
        <v>0</v>
      </c>
      <c r="AU230">
        <f t="shared" si="155"/>
        <v>0</v>
      </c>
      <c r="AV230">
        <f t="shared" si="156"/>
        <v>0</v>
      </c>
      <c r="AW230" cm="1">
        <f t="array" ref="AW230">IF(OR(S230={"NS","NA"},AZ230={"NS","NA"}),0,IF(S230&lt;=AZ230,0,1))</f>
        <v>0</v>
      </c>
      <c r="AX230" cm="1">
        <f t="array" ref="AX230">IF(OR(T230={"NS","NA"},BA230={"NS","NA"}),0,IF(T230&lt;=BA230,0,1))</f>
        <v>0</v>
      </c>
      <c r="AY230" cm="1">
        <f t="array" ref="AY230">IF(OR(U230={"NS","NA"},BB230={"NS","NA"}),0,IF(U230&lt;=BB230,0,1))</f>
        <v>0</v>
      </c>
      <c r="AZ230">
        <f t="shared" si="157"/>
        <v>0</v>
      </c>
      <c r="BA230">
        <f t="shared" si="157"/>
        <v>0</v>
      </c>
      <c r="BB230">
        <f t="shared" si="157"/>
        <v>0</v>
      </c>
      <c r="BC230" cm="1">
        <f t="array" ref="BC230">IF(OR(V230={"NS","NA"},$S230={"NS","NA"}),0,IF(V230&lt;=$S230,0,1))</f>
        <v>0</v>
      </c>
      <c r="BD230" cm="1">
        <f t="array" ref="BD230">IF(OR(W230={"NS","NA"},$T230={"NS","NA"}),0,IF(W230&lt;=$T230,0,1))</f>
        <v>0</v>
      </c>
      <c r="BE230" cm="1">
        <f t="array" ref="BE230">IF(OR(X230={"NS","NA"},$U230={"NS","NA"}),0,IF(X230&lt;=$U230,0,1))</f>
        <v>0</v>
      </c>
      <c r="BF230" cm="1">
        <f t="array" ref="BF230">IF(OR(Y230={"NS","NA"},$S230={"NS","NA"}),0,IF(Y230&lt;=$S230,0,1))</f>
        <v>0</v>
      </c>
      <c r="BG230" cm="1">
        <f t="array" ref="BG230">IF(OR(Z230={"NS","NA"},$T230={"NS","NA"}),0,IF(Z230&lt;=$T230,0,1))</f>
        <v>0</v>
      </c>
      <c r="BH230" cm="1">
        <f t="array" ref="BH230">IF(OR(AA230={"NS","NA"},$U230={"NS","NA"}),0,IF(AA230&lt;=$U230,0,1))</f>
        <v>0</v>
      </c>
      <c r="BI230" cm="1">
        <f t="array" ref="BI230">IF(OR(AB230={"NS","NA"},$S230={"NS","NA"}),0,IF(AB230&lt;=$S230,0,1))</f>
        <v>0</v>
      </c>
      <c r="BJ230" cm="1">
        <f t="array" ref="BJ230">IF(OR(AC230={"NS","NA"},$T230={"NS","NA"}),0,IF(AC230&lt;=$T230,0,1))</f>
        <v>0</v>
      </c>
      <c r="BK230" cm="1">
        <f t="array" ref="BK230">IF(OR(AD230={"NS","NA"},$U230={"NS","NA"}),0,IF(AD230&lt;=$U230,0,1))</f>
        <v>0</v>
      </c>
    </row>
    <row r="231" spans="1:63">
      <c r="A231" s="169"/>
      <c r="B231" s="90"/>
      <c r="C231" s="143" t="s">
        <v>2520</v>
      </c>
      <c r="D231" s="796" t="str">
        <f>IF(CNSIPEE_2024_M2_Secc1!D46="","",CNSIPEE_2024_M2_Secc1!D46)</f>
        <v/>
      </c>
      <c r="E231" s="796"/>
      <c r="F231" s="796"/>
      <c r="G231" s="796"/>
      <c r="H231" s="796"/>
      <c r="I231" s="796"/>
      <c r="J231" s="796"/>
      <c r="K231" s="796"/>
      <c r="L231" s="796"/>
      <c r="M231" s="749"/>
      <c r="N231" s="749"/>
      <c r="O231" s="749"/>
      <c r="P231" s="749"/>
      <c r="Q231" s="749"/>
      <c r="R231" s="749"/>
      <c r="S231" s="100"/>
      <c r="T231" s="100"/>
      <c r="U231" s="100"/>
      <c r="V231" s="100"/>
      <c r="W231" s="100"/>
      <c r="X231" s="116"/>
      <c r="Y231" s="100"/>
      <c r="Z231" s="100"/>
      <c r="AA231" s="100"/>
      <c r="AB231" s="100"/>
      <c r="AC231" s="100"/>
      <c r="AD231" s="100"/>
      <c r="AF231">
        <f t="shared" si="158"/>
        <v>0</v>
      </c>
      <c r="AG231">
        <f t="shared" si="159"/>
        <v>0</v>
      </c>
      <c r="AH231">
        <f t="shared" si="145"/>
        <v>0</v>
      </c>
      <c r="AI231"/>
      <c r="AJ231"/>
      <c r="AK231">
        <f t="shared" si="146"/>
        <v>0</v>
      </c>
      <c r="AL231">
        <f t="shared" si="147"/>
        <v>0</v>
      </c>
      <c r="AM231">
        <f t="shared" si="160"/>
        <v>0</v>
      </c>
      <c r="AN231">
        <f t="shared" si="148"/>
        <v>0</v>
      </c>
      <c r="AO231">
        <f t="shared" si="149"/>
        <v>0</v>
      </c>
      <c r="AP231">
        <f t="shared" si="150"/>
        <v>0</v>
      </c>
      <c r="AQ231">
        <f t="shared" si="151"/>
        <v>0</v>
      </c>
      <c r="AR231">
        <f t="shared" si="152"/>
        <v>0</v>
      </c>
      <c r="AS231">
        <f t="shared" si="153"/>
        <v>0</v>
      </c>
      <c r="AT231">
        <f t="shared" si="154"/>
        <v>0</v>
      </c>
      <c r="AU231">
        <f t="shared" si="155"/>
        <v>0</v>
      </c>
      <c r="AV231">
        <f t="shared" si="156"/>
        <v>0</v>
      </c>
      <c r="AW231" cm="1">
        <f t="array" ref="AW231">IF(OR(S231={"NS","NA"},AZ231={"NS","NA"}),0,IF(S231&lt;=AZ231,0,1))</f>
        <v>0</v>
      </c>
      <c r="AX231" cm="1">
        <f t="array" ref="AX231">IF(OR(T231={"NS","NA"},BA231={"NS","NA"}),0,IF(T231&lt;=BA231,0,1))</f>
        <v>0</v>
      </c>
      <c r="AY231" cm="1">
        <f t="array" ref="AY231">IF(OR(U231={"NS","NA"},BB231={"NS","NA"}),0,IF(U231&lt;=BB231,0,1))</f>
        <v>0</v>
      </c>
      <c r="AZ231">
        <f t="shared" si="157"/>
        <v>0</v>
      </c>
      <c r="BA231">
        <f t="shared" si="157"/>
        <v>0</v>
      </c>
      <c r="BB231">
        <f t="shared" si="157"/>
        <v>0</v>
      </c>
      <c r="BC231" cm="1">
        <f t="array" ref="BC231">IF(OR(V231={"NS","NA"},$S231={"NS","NA"}),0,IF(V231&lt;=$S231,0,1))</f>
        <v>0</v>
      </c>
      <c r="BD231" cm="1">
        <f t="array" ref="BD231">IF(OR(W231={"NS","NA"},$T231={"NS","NA"}),0,IF(W231&lt;=$T231,0,1))</f>
        <v>0</v>
      </c>
      <c r="BE231" cm="1">
        <f t="array" ref="BE231">IF(OR(X231={"NS","NA"},$U231={"NS","NA"}),0,IF(X231&lt;=$U231,0,1))</f>
        <v>0</v>
      </c>
      <c r="BF231" cm="1">
        <f t="array" ref="BF231">IF(OR(Y231={"NS","NA"},$S231={"NS","NA"}),0,IF(Y231&lt;=$S231,0,1))</f>
        <v>0</v>
      </c>
      <c r="BG231" cm="1">
        <f t="array" ref="BG231">IF(OR(Z231={"NS","NA"},$T231={"NS","NA"}),0,IF(Z231&lt;=$T231,0,1))</f>
        <v>0</v>
      </c>
      <c r="BH231" cm="1">
        <f t="array" ref="BH231">IF(OR(AA231={"NS","NA"},$U231={"NS","NA"}),0,IF(AA231&lt;=$U231,0,1))</f>
        <v>0</v>
      </c>
      <c r="BI231" cm="1">
        <f t="array" ref="BI231">IF(OR(AB231={"NS","NA"},$S231={"NS","NA"}),0,IF(AB231&lt;=$S231,0,1))</f>
        <v>0</v>
      </c>
      <c r="BJ231" cm="1">
        <f t="array" ref="BJ231">IF(OR(AC231={"NS","NA"},$T231={"NS","NA"}),0,IF(AC231&lt;=$T231,0,1))</f>
        <v>0</v>
      </c>
      <c r="BK231" cm="1">
        <f t="array" ref="BK231">IF(OR(AD231={"NS","NA"},$U231={"NS","NA"}),0,IF(AD231&lt;=$U231,0,1))</f>
        <v>0</v>
      </c>
    </row>
    <row r="232" spans="1:63">
      <c r="A232" s="169"/>
      <c r="B232" s="90"/>
      <c r="C232" s="143" t="s">
        <v>2521</v>
      </c>
      <c r="D232" s="796" t="str">
        <f>IF(CNSIPEE_2024_M2_Secc1!D47="","",CNSIPEE_2024_M2_Secc1!D47)</f>
        <v/>
      </c>
      <c r="E232" s="796"/>
      <c r="F232" s="796"/>
      <c r="G232" s="796"/>
      <c r="H232" s="796"/>
      <c r="I232" s="796"/>
      <c r="J232" s="796"/>
      <c r="K232" s="796"/>
      <c r="L232" s="796"/>
      <c r="M232" s="749"/>
      <c r="N232" s="749"/>
      <c r="O232" s="749"/>
      <c r="P232" s="749"/>
      <c r="Q232" s="749"/>
      <c r="R232" s="749"/>
      <c r="S232" s="100"/>
      <c r="T232" s="100"/>
      <c r="U232" s="100"/>
      <c r="V232" s="100"/>
      <c r="W232" s="100"/>
      <c r="X232" s="116"/>
      <c r="Y232" s="100"/>
      <c r="Z232" s="100"/>
      <c r="AA232" s="100"/>
      <c r="AB232" s="100"/>
      <c r="AC232" s="100"/>
      <c r="AD232" s="100"/>
      <c r="AF232">
        <f t="shared" si="158"/>
        <v>0</v>
      </c>
      <c r="AG232">
        <f t="shared" si="159"/>
        <v>0</v>
      </c>
      <c r="AH232">
        <f t="shared" si="145"/>
        <v>0</v>
      </c>
      <c r="AI232"/>
      <c r="AJ232"/>
      <c r="AK232">
        <f t="shared" si="146"/>
        <v>0</v>
      </c>
      <c r="AL232">
        <f t="shared" si="147"/>
        <v>0</v>
      </c>
      <c r="AM232">
        <f t="shared" si="160"/>
        <v>0</v>
      </c>
      <c r="AN232">
        <f t="shared" si="148"/>
        <v>0</v>
      </c>
      <c r="AO232">
        <f t="shared" si="149"/>
        <v>0</v>
      </c>
      <c r="AP232">
        <f t="shared" si="150"/>
        <v>0</v>
      </c>
      <c r="AQ232">
        <f t="shared" si="151"/>
        <v>0</v>
      </c>
      <c r="AR232">
        <f t="shared" si="152"/>
        <v>0</v>
      </c>
      <c r="AS232">
        <f t="shared" si="153"/>
        <v>0</v>
      </c>
      <c r="AT232">
        <f t="shared" si="154"/>
        <v>0</v>
      </c>
      <c r="AU232">
        <f t="shared" si="155"/>
        <v>0</v>
      </c>
      <c r="AV232">
        <f t="shared" si="156"/>
        <v>0</v>
      </c>
      <c r="AW232" cm="1">
        <f t="array" ref="AW232">IF(OR(S232={"NS","NA"},AZ232={"NS","NA"}),0,IF(S232&lt;=AZ232,0,1))</f>
        <v>0</v>
      </c>
      <c r="AX232" cm="1">
        <f t="array" ref="AX232">IF(OR(T232={"NS","NA"},BA232={"NS","NA"}),0,IF(T232&lt;=BA232,0,1))</f>
        <v>0</v>
      </c>
      <c r="AY232" cm="1">
        <f t="array" ref="AY232">IF(OR(U232={"NS","NA"},BB232={"NS","NA"}),0,IF(U232&lt;=BB232,0,1))</f>
        <v>0</v>
      </c>
      <c r="AZ232">
        <f t="shared" si="157"/>
        <v>0</v>
      </c>
      <c r="BA232">
        <f t="shared" si="157"/>
        <v>0</v>
      </c>
      <c r="BB232">
        <f t="shared" si="157"/>
        <v>0</v>
      </c>
      <c r="BC232" cm="1">
        <f t="array" ref="BC232">IF(OR(V232={"NS","NA"},$S232={"NS","NA"}),0,IF(V232&lt;=$S232,0,1))</f>
        <v>0</v>
      </c>
      <c r="BD232" cm="1">
        <f t="array" ref="BD232">IF(OR(W232={"NS","NA"},$T232={"NS","NA"}),0,IF(W232&lt;=$T232,0,1))</f>
        <v>0</v>
      </c>
      <c r="BE232" cm="1">
        <f t="array" ref="BE232">IF(OR(X232={"NS","NA"},$U232={"NS","NA"}),0,IF(X232&lt;=$U232,0,1))</f>
        <v>0</v>
      </c>
      <c r="BF232" cm="1">
        <f t="array" ref="BF232">IF(OR(Y232={"NS","NA"},$S232={"NS","NA"}),0,IF(Y232&lt;=$S232,0,1))</f>
        <v>0</v>
      </c>
      <c r="BG232" cm="1">
        <f t="array" ref="BG232">IF(OR(Z232={"NS","NA"},$T232={"NS","NA"}),0,IF(Z232&lt;=$T232,0,1))</f>
        <v>0</v>
      </c>
      <c r="BH232" cm="1">
        <f t="array" ref="BH232">IF(OR(AA232={"NS","NA"},$U232={"NS","NA"}),0,IF(AA232&lt;=$U232,0,1))</f>
        <v>0</v>
      </c>
      <c r="BI232" cm="1">
        <f t="array" ref="BI232">IF(OR(AB232={"NS","NA"},$S232={"NS","NA"}),0,IF(AB232&lt;=$S232,0,1))</f>
        <v>0</v>
      </c>
      <c r="BJ232" cm="1">
        <f t="array" ref="BJ232">IF(OR(AC232={"NS","NA"},$T232={"NS","NA"}),0,IF(AC232&lt;=$T232,0,1))</f>
        <v>0</v>
      </c>
      <c r="BK232" cm="1">
        <f t="array" ref="BK232">IF(OR(AD232={"NS","NA"},$U232={"NS","NA"}),0,IF(AD232&lt;=$U232,0,1))</f>
        <v>0</v>
      </c>
    </row>
    <row r="233" spans="1:63">
      <c r="A233" s="169"/>
      <c r="B233" s="90"/>
      <c r="C233" s="143" t="s">
        <v>2522</v>
      </c>
      <c r="D233" s="796" t="str">
        <f>IF(CNSIPEE_2024_M2_Secc1!D48="","",CNSIPEE_2024_M2_Secc1!D48)</f>
        <v/>
      </c>
      <c r="E233" s="796"/>
      <c r="F233" s="796"/>
      <c r="G233" s="796"/>
      <c r="H233" s="796"/>
      <c r="I233" s="796"/>
      <c r="J233" s="796"/>
      <c r="K233" s="796"/>
      <c r="L233" s="796"/>
      <c r="M233" s="749"/>
      <c r="N233" s="749"/>
      <c r="O233" s="749"/>
      <c r="P233" s="749"/>
      <c r="Q233" s="749"/>
      <c r="R233" s="749"/>
      <c r="S233" s="100"/>
      <c r="T233" s="100"/>
      <c r="U233" s="100"/>
      <c r="V233" s="100"/>
      <c r="W233" s="100"/>
      <c r="X233" s="116"/>
      <c r="Y233" s="100"/>
      <c r="Z233" s="100"/>
      <c r="AA233" s="100"/>
      <c r="AB233" s="100"/>
      <c r="AC233" s="100"/>
      <c r="AD233" s="100"/>
      <c r="AF233">
        <f t="shared" si="158"/>
        <v>0</v>
      </c>
      <c r="AG233">
        <f t="shared" si="159"/>
        <v>0</v>
      </c>
      <c r="AH233">
        <f t="shared" si="145"/>
        <v>0</v>
      </c>
      <c r="AI233"/>
      <c r="AJ233"/>
      <c r="AK233">
        <f t="shared" si="146"/>
        <v>0</v>
      </c>
      <c r="AL233">
        <f t="shared" si="147"/>
        <v>0</v>
      </c>
      <c r="AM233">
        <f t="shared" si="160"/>
        <v>0</v>
      </c>
      <c r="AN233">
        <f t="shared" si="148"/>
        <v>0</v>
      </c>
      <c r="AO233">
        <f t="shared" si="149"/>
        <v>0</v>
      </c>
      <c r="AP233">
        <f t="shared" si="150"/>
        <v>0</v>
      </c>
      <c r="AQ233">
        <f t="shared" si="151"/>
        <v>0</v>
      </c>
      <c r="AR233">
        <f t="shared" si="152"/>
        <v>0</v>
      </c>
      <c r="AS233">
        <f t="shared" si="153"/>
        <v>0</v>
      </c>
      <c r="AT233">
        <f t="shared" si="154"/>
        <v>0</v>
      </c>
      <c r="AU233">
        <f t="shared" si="155"/>
        <v>0</v>
      </c>
      <c r="AV233">
        <f t="shared" si="156"/>
        <v>0</v>
      </c>
      <c r="AW233" cm="1">
        <f t="array" ref="AW233">IF(OR(S233={"NS","NA"},AZ233={"NS","NA"}),0,IF(S233&lt;=AZ233,0,1))</f>
        <v>0</v>
      </c>
      <c r="AX233" cm="1">
        <f t="array" ref="AX233">IF(OR(T233={"NS","NA"},BA233={"NS","NA"}),0,IF(T233&lt;=BA233,0,1))</f>
        <v>0</v>
      </c>
      <c r="AY233" cm="1">
        <f t="array" ref="AY233">IF(OR(U233={"NS","NA"},BB233={"NS","NA"}),0,IF(U233&lt;=BB233,0,1))</f>
        <v>0</v>
      </c>
      <c r="AZ233">
        <f t="shared" si="157"/>
        <v>0</v>
      </c>
      <c r="BA233">
        <f t="shared" si="157"/>
        <v>0</v>
      </c>
      <c r="BB233">
        <f t="shared" si="157"/>
        <v>0</v>
      </c>
      <c r="BC233" cm="1">
        <f t="array" ref="BC233">IF(OR(V233={"NS","NA"},$S233={"NS","NA"}),0,IF(V233&lt;=$S233,0,1))</f>
        <v>0</v>
      </c>
      <c r="BD233" cm="1">
        <f t="array" ref="BD233">IF(OR(W233={"NS","NA"},$T233={"NS","NA"}),0,IF(W233&lt;=$T233,0,1))</f>
        <v>0</v>
      </c>
      <c r="BE233" cm="1">
        <f t="array" ref="BE233">IF(OR(X233={"NS","NA"},$U233={"NS","NA"}),0,IF(X233&lt;=$U233,0,1))</f>
        <v>0</v>
      </c>
      <c r="BF233" cm="1">
        <f t="array" ref="BF233">IF(OR(Y233={"NS","NA"},$S233={"NS","NA"}),0,IF(Y233&lt;=$S233,0,1))</f>
        <v>0</v>
      </c>
      <c r="BG233" cm="1">
        <f t="array" ref="BG233">IF(OR(Z233={"NS","NA"},$T233={"NS","NA"}),0,IF(Z233&lt;=$T233,0,1))</f>
        <v>0</v>
      </c>
      <c r="BH233" cm="1">
        <f t="array" ref="BH233">IF(OR(AA233={"NS","NA"},$U233={"NS","NA"}),0,IF(AA233&lt;=$U233,0,1))</f>
        <v>0</v>
      </c>
      <c r="BI233" cm="1">
        <f t="array" ref="BI233">IF(OR(AB233={"NS","NA"},$S233={"NS","NA"}),0,IF(AB233&lt;=$S233,0,1))</f>
        <v>0</v>
      </c>
      <c r="BJ233" cm="1">
        <f t="array" ref="BJ233">IF(OR(AC233={"NS","NA"},$T233={"NS","NA"}),0,IF(AC233&lt;=$T233,0,1))</f>
        <v>0</v>
      </c>
      <c r="BK233" cm="1">
        <f t="array" ref="BK233">IF(OR(AD233={"NS","NA"},$U233={"NS","NA"}),0,IF(AD233&lt;=$U233,0,1))</f>
        <v>0</v>
      </c>
    </row>
    <row r="234" spans="1:63">
      <c r="A234" s="169"/>
      <c r="B234" s="90"/>
      <c r="C234" s="143" t="s">
        <v>2523</v>
      </c>
      <c r="D234" s="796" t="str">
        <f>IF(CNSIPEE_2024_M2_Secc1!D49="","",CNSIPEE_2024_M2_Secc1!D49)</f>
        <v/>
      </c>
      <c r="E234" s="796"/>
      <c r="F234" s="796"/>
      <c r="G234" s="796"/>
      <c r="H234" s="796"/>
      <c r="I234" s="796"/>
      <c r="J234" s="796"/>
      <c r="K234" s="796"/>
      <c r="L234" s="796"/>
      <c r="M234" s="749"/>
      <c r="N234" s="749"/>
      <c r="O234" s="749"/>
      <c r="P234" s="749"/>
      <c r="Q234" s="749"/>
      <c r="R234" s="749"/>
      <c r="S234" s="100"/>
      <c r="T234" s="100"/>
      <c r="U234" s="100"/>
      <c r="V234" s="100"/>
      <c r="W234" s="100"/>
      <c r="X234" s="116"/>
      <c r="Y234" s="100"/>
      <c r="Z234" s="100"/>
      <c r="AA234" s="100"/>
      <c r="AB234" s="100"/>
      <c r="AC234" s="100"/>
      <c r="AD234" s="100"/>
      <c r="AF234">
        <f t="shared" si="158"/>
        <v>0</v>
      </c>
      <c r="AG234">
        <f t="shared" si="159"/>
        <v>0</v>
      </c>
      <c r="AH234">
        <f t="shared" si="145"/>
        <v>0</v>
      </c>
      <c r="AI234"/>
      <c r="AJ234"/>
      <c r="AK234">
        <f t="shared" si="146"/>
        <v>0</v>
      </c>
      <c r="AL234">
        <f t="shared" si="147"/>
        <v>0</v>
      </c>
      <c r="AM234">
        <f t="shared" si="160"/>
        <v>0</v>
      </c>
      <c r="AN234">
        <f t="shared" si="148"/>
        <v>0</v>
      </c>
      <c r="AO234">
        <f t="shared" si="149"/>
        <v>0</v>
      </c>
      <c r="AP234">
        <f t="shared" si="150"/>
        <v>0</v>
      </c>
      <c r="AQ234">
        <f t="shared" si="151"/>
        <v>0</v>
      </c>
      <c r="AR234">
        <f t="shared" si="152"/>
        <v>0</v>
      </c>
      <c r="AS234">
        <f t="shared" si="153"/>
        <v>0</v>
      </c>
      <c r="AT234">
        <f t="shared" si="154"/>
        <v>0</v>
      </c>
      <c r="AU234">
        <f t="shared" si="155"/>
        <v>0</v>
      </c>
      <c r="AV234">
        <f t="shared" si="156"/>
        <v>0</v>
      </c>
      <c r="AW234" cm="1">
        <f t="array" ref="AW234">IF(OR(S234={"NS","NA"},AZ234={"NS","NA"}),0,IF(S234&lt;=AZ234,0,1))</f>
        <v>0</v>
      </c>
      <c r="AX234" cm="1">
        <f t="array" ref="AX234">IF(OR(T234={"NS","NA"},BA234={"NS","NA"}),0,IF(T234&lt;=BA234,0,1))</f>
        <v>0</v>
      </c>
      <c r="AY234" cm="1">
        <f t="array" ref="AY234">IF(OR(U234={"NS","NA"},BB234={"NS","NA"}),0,IF(U234&lt;=BB234,0,1))</f>
        <v>0</v>
      </c>
      <c r="AZ234">
        <f t="shared" si="157"/>
        <v>0</v>
      </c>
      <c r="BA234">
        <f t="shared" si="157"/>
        <v>0</v>
      </c>
      <c r="BB234">
        <f t="shared" si="157"/>
        <v>0</v>
      </c>
      <c r="BC234" cm="1">
        <f t="array" ref="BC234">IF(OR(V234={"NS","NA"},$S234={"NS","NA"}),0,IF(V234&lt;=$S234,0,1))</f>
        <v>0</v>
      </c>
      <c r="BD234" cm="1">
        <f t="array" ref="BD234">IF(OR(W234={"NS","NA"},$T234={"NS","NA"}),0,IF(W234&lt;=$T234,0,1))</f>
        <v>0</v>
      </c>
      <c r="BE234" cm="1">
        <f t="array" ref="BE234">IF(OR(X234={"NS","NA"},$U234={"NS","NA"}),0,IF(X234&lt;=$U234,0,1))</f>
        <v>0</v>
      </c>
      <c r="BF234" cm="1">
        <f t="array" ref="BF234">IF(OR(Y234={"NS","NA"},$S234={"NS","NA"}),0,IF(Y234&lt;=$S234,0,1))</f>
        <v>0</v>
      </c>
      <c r="BG234" cm="1">
        <f t="array" ref="BG234">IF(OR(Z234={"NS","NA"},$T234={"NS","NA"}),0,IF(Z234&lt;=$T234,0,1))</f>
        <v>0</v>
      </c>
      <c r="BH234" cm="1">
        <f t="array" ref="BH234">IF(OR(AA234={"NS","NA"},$U234={"NS","NA"}),0,IF(AA234&lt;=$U234,0,1))</f>
        <v>0</v>
      </c>
      <c r="BI234" cm="1">
        <f t="array" ref="BI234">IF(OR(AB234={"NS","NA"},$S234={"NS","NA"}),0,IF(AB234&lt;=$S234,0,1))</f>
        <v>0</v>
      </c>
      <c r="BJ234" cm="1">
        <f t="array" ref="BJ234">IF(OR(AC234={"NS","NA"},$T234={"NS","NA"}),0,IF(AC234&lt;=$T234,0,1))</f>
        <v>0</v>
      </c>
      <c r="BK234" cm="1">
        <f t="array" ref="BK234">IF(OR(AD234={"NS","NA"},$U234={"NS","NA"}),0,IF(AD234&lt;=$U234,0,1))</f>
        <v>0</v>
      </c>
    </row>
    <row r="235" spans="1:63">
      <c r="A235" s="169"/>
      <c r="B235" s="90"/>
      <c r="C235" s="90"/>
      <c r="D235" s="90"/>
      <c r="E235" s="90"/>
      <c r="F235" s="90"/>
      <c r="G235" s="90"/>
      <c r="H235" s="90"/>
      <c r="I235" s="90"/>
      <c r="J235" s="90"/>
      <c r="K235" s="90"/>
      <c r="L235" s="90"/>
      <c r="O235" s="117"/>
      <c r="R235" s="99" t="s">
        <v>2649</v>
      </c>
      <c r="S235" s="124">
        <f t="shared" ref="S235:AD235" si="161">IF(AND(SUM(S227:S234)=0,COUNTIF(S227:S234,"NS")&gt;0),"NS",IF(AND(SUM(S227:S234)=0,COUNTIF(S227:S234,0)&gt;0),0,IF(AND(SUM(S227:S234)=0,COUNTIF(S227:S234,"NA")&gt;0),"NA",SUM(S227:S234))))</f>
        <v>0</v>
      </c>
      <c r="T235" s="124">
        <f t="shared" si="161"/>
        <v>0</v>
      </c>
      <c r="U235" s="124">
        <f t="shared" si="161"/>
        <v>0</v>
      </c>
      <c r="V235" s="124">
        <f t="shared" si="161"/>
        <v>0</v>
      </c>
      <c r="W235" s="124">
        <f t="shared" si="161"/>
        <v>0</v>
      </c>
      <c r="X235" s="172">
        <f t="shared" si="161"/>
        <v>0</v>
      </c>
      <c r="Y235" s="124">
        <f t="shared" si="161"/>
        <v>0</v>
      </c>
      <c r="Z235" s="124">
        <f t="shared" si="161"/>
        <v>0</v>
      </c>
      <c r="AA235" s="124">
        <f t="shared" si="161"/>
        <v>0</v>
      </c>
      <c r="AB235" s="124">
        <f t="shared" si="161"/>
        <v>0</v>
      </c>
      <c r="AC235" s="124">
        <f t="shared" si="161"/>
        <v>0</v>
      </c>
      <c r="AD235" s="124">
        <f t="shared" si="161"/>
        <v>0</v>
      </c>
      <c r="AF235" s="507">
        <f>SUM(AF227:AF234)</f>
        <v>0</v>
      </c>
      <c r="AG235" s="507">
        <f>SUM(AG227:AG234)</f>
        <v>0</v>
      </c>
      <c r="AH235" s="507">
        <f>SUM(AH227:AH234)</f>
        <v>0</v>
      </c>
      <c r="AJ235"/>
      <c r="AK235">
        <f>SUM(AK227:AK234)</f>
        <v>0</v>
      </c>
      <c r="AM235">
        <f>SUM(AM227:AM234)</f>
        <v>0</v>
      </c>
      <c r="AN235">
        <f>SUM(AN227:AN234)</f>
        <v>0</v>
      </c>
      <c r="AP235">
        <f>SUM(AP227:AP234)</f>
        <v>0</v>
      </c>
      <c r="AQ235">
        <f>SUM(AQ227:AQ234)</f>
        <v>0</v>
      </c>
      <c r="AS235">
        <f>SUM(AS227:AS234)</f>
        <v>0</v>
      </c>
      <c r="AT235">
        <f>SUM(AT227:AT234)</f>
        <v>0</v>
      </c>
      <c r="AV235">
        <f>SUM(AV227:AV234)</f>
        <v>0</v>
      </c>
      <c r="AY235" s="507">
        <f>SUM(AW227:AY234)</f>
        <v>0</v>
      </c>
    </row>
    <row r="236" spans="1:63">
      <c r="A236" s="169"/>
      <c r="B236" s="90"/>
      <c r="C236" s="90"/>
      <c r="D236" s="90"/>
      <c r="E236" s="90"/>
      <c r="F236" s="90"/>
      <c r="G236" s="90"/>
      <c r="H236" s="90"/>
      <c r="I236" s="90"/>
      <c r="J236" s="90"/>
      <c r="K236" s="90"/>
      <c r="L236" s="90"/>
      <c r="M236" s="90"/>
      <c r="N236" s="90"/>
      <c r="O236" s="90"/>
      <c r="P236" s="90"/>
      <c r="Q236" s="90"/>
      <c r="R236" s="90"/>
      <c r="S236" s="90"/>
      <c r="T236" s="90"/>
      <c r="U236" s="90"/>
      <c r="V236" s="90"/>
      <c r="W236" s="90"/>
      <c r="X236" s="90"/>
      <c r="Y236" s="90"/>
      <c r="Z236" s="90"/>
      <c r="AA236" s="90"/>
      <c r="AB236" s="90"/>
      <c r="AC236" s="90"/>
      <c r="AD236" s="90"/>
      <c r="AF236"/>
      <c r="AK236" t="s">
        <v>2650</v>
      </c>
      <c r="AL236" s="590">
        <f>SUM(AM235,AP235,AS235,AV235)</f>
        <v>0</v>
      </c>
      <c r="AM236" t="s">
        <v>2651</v>
      </c>
      <c r="AN236">
        <f>SUM(AK235,AN235,AQ235,AT235)</f>
        <v>0</v>
      </c>
    </row>
    <row r="237" spans="1:63">
      <c r="A237" s="169"/>
      <c r="B237" s="90"/>
      <c r="C237" s="90"/>
      <c r="D237" s="90"/>
      <c r="E237" s="90"/>
      <c r="F237" s="90"/>
      <c r="G237" s="90"/>
      <c r="H237" s="90"/>
      <c r="I237" s="90"/>
      <c r="J237" s="90"/>
      <c r="K237" s="90"/>
      <c r="L237" s="90"/>
      <c r="M237" s="90"/>
      <c r="N237" s="90"/>
      <c r="O237" s="90"/>
      <c r="P237" s="90"/>
      <c r="Q237" s="90"/>
      <c r="R237" s="90"/>
      <c r="S237" s="90"/>
      <c r="T237" s="90"/>
      <c r="U237" s="90"/>
      <c r="V237" s="90"/>
      <c r="W237" s="90"/>
      <c r="X237" s="90"/>
      <c r="Y237" s="90"/>
      <c r="Z237" s="90"/>
      <c r="AA237" s="873" t="s">
        <v>2668</v>
      </c>
      <c r="AB237" s="873"/>
      <c r="AC237" s="873"/>
      <c r="AD237" s="873"/>
      <c r="AF237"/>
      <c r="AK237" t="s">
        <v>2652</v>
      </c>
      <c r="AL237">
        <f>IF(AN236&gt;0,IF(SUM(S235)&gt;=SUM(V235,Y235,AB235),0,1),IF(SUM(S235)&lt;&gt;SUM(V235,Y235,AB235),1,0))</f>
        <v>0</v>
      </c>
      <c r="AM237" t="s">
        <v>2653</v>
      </c>
      <c r="AN237">
        <f>IF(AN236&gt;0,IF(SUM(T235)&gt;=SUM(W235,Z235,AC235),0,1),IF(SUM(T235)&lt;&gt;SUM(W235,Z235,AC235),1,0))</f>
        <v>0</v>
      </c>
      <c r="AO237" t="s">
        <v>2654</v>
      </c>
      <c r="AP237">
        <f>IF(AN236&gt;0,IF(SUM(U235)&gt;=SUM(X235,AA235,AD235),0,1),IF(SUM(U235)&lt;&gt;SUM(X235,AA235,AD235),1,0))</f>
        <v>0</v>
      </c>
    </row>
    <row r="238" spans="1:63" ht="48" customHeight="1">
      <c r="A238" s="169"/>
      <c r="B238" s="90"/>
      <c r="C238" s="797" t="s">
        <v>2581</v>
      </c>
      <c r="D238" s="798"/>
      <c r="E238" s="798"/>
      <c r="F238" s="798"/>
      <c r="G238" s="798"/>
      <c r="H238" s="798"/>
      <c r="I238" s="798"/>
      <c r="J238" s="798"/>
      <c r="K238" s="798"/>
      <c r="L238" s="799"/>
      <c r="M238" s="739" t="s">
        <v>5856</v>
      </c>
      <c r="N238" s="740"/>
      <c r="O238" s="740"/>
      <c r="P238" s="740"/>
      <c r="Q238" s="740"/>
      <c r="R238" s="740"/>
      <c r="S238" s="740"/>
      <c r="T238" s="740"/>
      <c r="U238" s="740"/>
      <c r="V238" s="740"/>
      <c r="W238" s="740"/>
      <c r="X238" s="740"/>
      <c r="Y238" s="740"/>
      <c r="Z238" s="740"/>
      <c r="AA238" s="740"/>
      <c r="AB238" s="740"/>
      <c r="AC238" s="740"/>
      <c r="AD238" s="741"/>
      <c r="AF238"/>
    </row>
    <row r="239" spans="1:63" ht="15" customHeight="1">
      <c r="A239" s="169"/>
      <c r="B239" s="90"/>
      <c r="C239" s="800"/>
      <c r="D239" s="801"/>
      <c r="E239" s="801"/>
      <c r="F239" s="801"/>
      <c r="G239" s="801"/>
      <c r="H239" s="801"/>
      <c r="I239" s="801"/>
      <c r="J239" s="801"/>
      <c r="K239" s="801"/>
      <c r="L239" s="802"/>
      <c r="M239" s="733" t="s">
        <v>5857</v>
      </c>
      <c r="N239" s="734"/>
      <c r="O239" s="734"/>
      <c r="P239" s="734"/>
      <c r="Q239" s="734"/>
      <c r="R239" s="734"/>
      <c r="S239" s="734"/>
      <c r="T239" s="734"/>
      <c r="U239" s="734"/>
      <c r="V239" s="734"/>
      <c r="W239" s="734"/>
      <c r="X239" s="734"/>
      <c r="Y239" s="734"/>
      <c r="Z239" s="734"/>
      <c r="AA239" s="734"/>
      <c r="AB239" s="734"/>
      <c r="AC239" s="734"/>
      <c r="AD239" s="735"/>
      <c r="AF239"/>
    </row>
    <row r="240" spans="1:63" ht="120" customHeight="1">
      <c r="A240" s="169"/>
      <c r="B240" s="90"/>
      <c r="C240" s="800"/>
      <c r="D240" s="801"/>
      <c r="E240" s="801"/>
      <c r="F240" s="801"/>
      <c r="G240" s="801"/>
      <c r="H240" s="801"/>
      <c r="I240" s="801"/>
      <c r="J240" s="801"/>
      <c r="K240" s="801"/>
      <c r="L240" s="802"/>
      <c r="M240" s="858" t="s">
        <v>5861</v>
      </c>
      <c r="N240" s="859"/>
      <c r="O240" s="860"/>
      <c r="P240" s="858" t="s">
        <v>5862</v>
      </c>
      <c r="Q240" s="859"/>
      <c r="R240" s="860"/>
      <c r="S240" s="858" t="s">
        <v>5863</v>
      </c>
      <c r="T240" s="859"/>
      <c r="U240" s="860"/>
      <c r="V240" s="858" t="s">
        <v>5864</v>
      </c>
      <c r="W240" s="859"/>
      <c r="X240" s="860"/>
      <c r="Y240" s="858" t="s">
        <v>5865</v>
      </c>
      <c r="Z240" s="859"/>
      <c r="AA240" s="860"/>
      <c r="AB240" s="858" t="s">
        <v>2990</v>
      </c>
      <c r="AC240" s="859"/>
      <c r="AD240" s="860"/>
      <c r="AF240"/>
    </row>
    <row r="241" spans="1:72" ht="48" customHeight="1">
      <c r="A241" s="169"/>
      <c r="B241" s="90"/>
      <c r="C241" s="803"/>
      <c r="D241" s="804"/>
      <c r="E241" s="804"/>
      <c r="F241" s="804"/>
      <c r="G241" s="804"/>
      <c r="H241" s="804"/>
      <c r="I241" s="804"/>
      <c r="J241" s="804"/>
      <c r="K241" s="804"/>
      <c r="L241" s="805"/>
      <c r="M241" s="171" t="s">
        <v>2635</v>
      </c>
      <c r="N241" s="128" t="s">
        <v>2629</v>
      </c>
      <c r="O241" s="128" t="s">
        <v>2630</v>
      </c>
      <c r="P241" s="171" t="s">
        <v>2635</v>
      </c>
      <c r="Q241" s="128" t="s">
        <v>2629</v>
      </c>
      <c r="R241" s="128" t="s">
        <v>2630</v>
      </c>
      <c r="S241" s="171" t="s">
        <v>2635</v>
      </c>
      <c r="T241" s="128" t="s">
        <v>2629</v>
      </c>
      <c r="U241" s="128" t="s">
        <v>2630</v>
      </c>
      <c r="V241" s="171" t="s">
        <v>2635</v>
      </c>
      <c r="W241" s="128" t="s">
        <v>2629</v>
      </c>
      <c r="X241" s="128" t="s">
        <v>2630</v>
      </c>
      <c r="Y241" s="171" t="s">
        <v>2635</v>
      </c>
      <c r="Z241" s="128" t="s">
        <v>2629</v>
      </c>
      <c r="AA241" s="128" t="s">
        <v>2630</v>
      </c>
      <c r="AB241" s="171" t="s">
        <v>2635</v>
      </c>
      <c r="AC241" s="128" t="s">
        <v>2629</v>
      </c>
      <c r="AD241" s="128" t="s">
        <v>2630</v>
      </c>
      <c r="AF241"/>
      <c r="AK241" t="s">
        <v>4573</v>
      </c>
      <c r="AL241" t="s">
        <v>2638</v>
      </c>
      <c r="AM241" t="s">
        <v>2639</v>
      </c>
      <c r="AN241" t="s">
        <v>4574</v>
      </c>
      <c r="AO241" t="s">
        <v>2641</v>
      </c>
      <c r="AP241" t="s">
        <v>2642</v>
      </c>
      <c r="AQ241" t="s">
        <v>4575</v>
      </c>
      <c r="AR241" t="s">
        <v>2644</v>
      </c>
      <c r="AS241" t="s">
        <v>2645</v>
      </c>
      <c r="AT241" t="s">
        <v>4576</v>
      </c>
      <c r="AU241" t="s">
        <v>2647</v>
      </c>
      <c r="AV241" t="s">
        <v>2648</v>
      </c>
      <c r="AW241" t="s">
        <v>5177</v>
      </c>
      <c r="AX241" t="s">
        <v>2757</v>
      </c>
      <c r="AY241" t="s">
        <v>2758</v>
      </c>
      <c r="AZ241" t="s">
        <v>5194</v>
      </c>
      <c r="BA241" t="s">
        <v>2760</v>
      </c>
      <c r="BB241" t="s">
        <v>2761</v>
      </c>
      <c r="BC241" t="s">
        <v>5290</v>
      </c>
      <c r="BD241"/>
      <c r="BE241"/>
      <c r="BF241"/>
      <c r="BG241"/>
      <c r="BH241"/>
      <c r="BI241"/>
      <c r="BJ241"/>
      <c r="BK241"/>
      <c r="BL241"/>
      <c r="BM241"/>
      <c r="BN241"/>
      <c r="BO241"/>
      <c r="BP241"/>
      <c r="BQ241"/>
      <c r="BR241"/>
      <c r="BS241"/>
      <c r="BT241"/>
    </row>
    <row r="242" spans="1:72">
      <c r="A242" s="169"/>
      <c r="B242" s="90"/>
      <c r="C242" s="44" t="s">
        <v>2516</v>
      </c>
      <c r="D242" s="796" t="str">
        <f>IF(CNSIPEE_2024_M2_Secc1!D42="","",CNSIPEE_2024_M2_Secc1!D42)</f>
        <v/>
      </c>
      <c r="E242" s="796"/>
      <c r="F242" s="796"/>
      <c r="G242" s="796"/>
      <c r="H242" s="796"/>
      <c r="I242" s="796"/>
      <c r="J242" s="796"/>
      <c r="K242" s="796"/>
      <c r="L242" s="796"/>
      <c r="M242" s="100"/>
      <c r="N242" s="100"/>
      <c r="O242" s="100"/>
      <c r="P242" s="100"/>
      <c r="Q242" s="100"/>
      <c r="R242" s="100"/>
      <c r="S242" s="100"/>
      <c r="T242" s="100"/>
      <c r="U242" s="100"/>
      <c r="V242" s="100"/>
      <c r="W242" s="100"/>
      <c r="X242" s="100"/>
      <c r="Y242" s="100"/>
      <c r="Z242" s="100"/>
      <c r="AA242" s="100"/>
      <c r="AB242" s="100"/>
      <c r="AC242" s="100"/>
      <c r="AD242" s="100"/>
      <c r="AF242"/>
      <c r="AK242">
        <f t="shared" ref="AK242:AK249" si="162">COUNTIF(N242:O242,"NS")</f>
        <v>0</v>
      </c>
      <c r="AL242">
        <f t="shared" ref="AL242:AL249" si="163">SUM(N242:O242)</f>
        <v>0</v>
      </c>
      <c r="AM242">
        <f>IF(COUNTIF(M242:O242,"NA")=3,0,IF(COUNTA(M242:O242)=0,0,IF(OR(AND(M242=0,AK242&gt;0),AND(M242="ns",AL242&gt;0),AND(M242="ns",AK242=0,AL242=0)),1,IF(OR(AND(M242&gt;0,AK242=2),AND(M242="ns",AK242=2),AND(M242="ns",AL242=0,AK242&gt;0),M242=AL242),0,1))))</f>
        <v>0</v>
      </c>
      <c r="AN242">
        <f t="shared" ref="AN242:AN249" si="164">COUNTIF(Q242:R242,"NS")</f>
        <v>0</v>
      </c>
      <c r="AO242">
        <f t="shared" ref="AO242:AO249" si="165">SUM(Q242:R242)</f>
        <v>0</v>
      </c>
      <c r="AP242">
        <f t="shared" ref="AP242:AP249" si="166">IF(COUNTIF(P242:R242,"NA")=3,0,IF(COUNTA(P242:R242)=0,0,IF(OR(AND(P242=0,AN242&gt;0),AND(P242="ns",AO242&gt;0),AND(P242="ns",AN242=0,AO242=0)),1,IF(OR(AND(P242&gt;0,AN242=2),AND(P242="ns",AN242=2),AND(P242="ns",AO242=0,AN242&gt;0),P242=AO242),0,1))))</f>
        <v>0</v>
      </c>
      <c r="AQ242">
        <f t="shared" ref="AQ242:AQ249" si="167">COUNTIF(T242:U242,"NS")</f>
        <v>0</v>
      </c>
      <c r="AR242">
        <f t="shared" ref="AR242:AR249" si="168">SUM(T242:U242)</f>
        <v>0</v>
      </c>
      <c r="AS242">
        <f t="shared" ref="AS242:AS249" si="169">IF(COUNTIF(S242:U242,"NA")=3,0,IF(COUNTA(S242:U242)=0,0,IF(OR(AND(S242=0,AQ242&gt;0),AND(S242="ns",AR242&gt;0),AND(S242="ns",AQ242=0,AR242=0)),1,IF(OR(AND(S242&gt;0,AQ242=2),AND(S242="ns",AQ242=2),AND(S242="ns",AR242=0,AQ242&gt;0),S242=AR242),0,1))))</f>
        <v>0</v>
      </c>
      <c r="AT242">
        <f t="shared" ref="AT242:AT249" si="170">COUNTIF(W242:X242,"NS")</f>
        <v>0</v>
      </c>
      <c r="AU242">
        <f t="shared" ref="AU242:AU249" si="171">SUM(W242:X242)</f>
        <v>0</v>
      </c>
      <c r="AV242">
        <f t="shared" ref="AV242:AV249" si="172">IF(COUNTIF(V242:X242,"NA")=3,0,IF(COUNTA(V242:X242)=0,0,IF(OR(AND(V242=0,AT242&gt;0),AND(V242="ns",AU242&gt;0),AND(V242="ns",AT242=0,AU242=0)),1,IF(OR(AND(V242&gt;0,AT242=2),AND(V242="ns",AT242=2),AND(V242="ns",AU242=0,AT242&gt;0),V242=AU242),0,1))))</f>
        <v>0</v>
      </c>
      <c r="AW242">
        <f t="shared" ref="AW242:AW249" si="173">COUNTIF(Z242:AA242,"NS")</f>
        <v>0</v>
      </c>
      <c r="AX242">
        <f t="shared" ref="AX242:AX249" si="174">SUM(Z242:AA242)</f>
        <v>0</v>
      </c>
      <c r="AY242">
        <f t="shared" ref="AY242:AY249" si="175">IF(COUNTIF(Y242:AA242,"NA")=3,0,IF(COUNTA(Y242:AA242)=0,0,IF(OR(AND(Y242=0,AW242&gt;0),AND(Y242="ns",AX242&gt;0),AND(Y242="ns",AW242=0,AX242=0)),1,IF(OR(AND(Y242&gt;0,AW242=2),AND(Y242="ns",AW242=2),AND(Y242="ns",AX242=0,AW242&gt;0),Y242=AX242),0,1))))</f>
        <v>0</v>
      </c>
      <c r="AZ242">
        <f t="shared" ref="AZ242:AZ249" si="176">COUNTIF(AC242:AD242,"NS")</f>
        <v>0</v>
      </c>
      <c r="BA242">
        <f t="shared" ref="BA242:BA249" si="177">SUM(AC242:AD242)</f>
        <v>0</v>
      </c>
      <c r="BB242">
        <f t="shared" ref="BB242:BB249" si="178">IF(COUNTIF(AB242:AD242,"NA")=3,0,IF(COUNTA(AB242:AD242)=0,0,IF(OR(AND(AB242=0,AZ242&gt;0),AND(AB242="ns",BA242&gt;0),AND(AB242="ns",AZ242=0,BA242=0)),1,IF(OR(AND(AB242&gt;0,AZ242=2),AND(AB242="ns",AZ242=2),AND(AB242="ns",BA242=0,AZ242&gt;0),AB242=BA242),0,1))))</f>
        <v>0</v>
      </c>
      <c r="BC242" cm="1">
        <f t="array" ref="BC242">IF(OR(M242={"NS","NA"},$S227={"NS","NA"}),0,IF(M242&lt;=$S227,0,1))</f>
        <v>0</v>
      </c>
      <c r="BD242" cm="1">
        <f t="array" ref="BD242">IF(OR(N242={"NS","NA"},$T227={"NS","NA"}),0,IF(N242&lt;=$T227,0,1))</f>
        <v>0</v>
      </c>
      <c r="BE242" cm="1">
        <f t="array" ref="BE242">IF(OR(O242={"NS","NA"},$U227={"NS","NA"}),0,IF(O242&lt;=$U227,0,1))</f>
        <v>0</v>
      </c>
      <c r="BF242" cm="1">
        <f t="array" ref="BF242">IF(OR(P242={"NS","NA"},$S227={"NS","NA"}),0,IF(P242&lt;=$S227,0,1))</f>
        <v>0</v>
      </c>
      <c r="BG242" cm="1">
        <f t="array" ref="BG242">IF(OR(Q242={"NS","NA"},$T227={"NS","NA"}),0,IF(Q242&lt;=$T227,0,1))</f>
        <v>0</v>
      </c>
      <c r="BH242" cm="1">
        <f t="array" ref="BH242">IF(OR(R242={"NS","NA"},$U227={"NS","NA"}),0,IF(R242&lt;=$U227,0,1))</f>
        <v>0</v>
      </c>
      <c r="BI242" cm="1">
        <f t="array" ref="BI242">IF(OR(S242={"NS","NA"},$S227={"NS","NA"}),0,IF(S242&lt;=$S227,0,1))</f>
        <v>0</v>
      </c>
      <c r="BJ242" cm="1">
        <f t="array" ref="BJ242">IF(OR(T242={"NS","NA"},$T227={"NS","NA"}),0,IF(T242&lt;=$T227,0,1))</f>
        <v>0</v>
      </c>
      <c r="BK242" cm="1">
        <f t="array" ref="BK242">IF(OR(U242={"NS","NA"},$U227={"NS","NA"}),0,IF(U242&lt;=$U227,0,1))</f>
        <v>0</v>
      </c>
      <c r="BL242" cm="1">
        <f t="array" ref="BL242">IF(OR(V242={"NS","NA"},$S227={"NS","NA"}),0,IF(V242&lt;=$S227,0,1))</f>
        <v>0</v>
      </c>
      <c r="BM242" cm="1">
        <f t="array" ref="BM242">IF(OR(W242={"NS","NA"},$T227={"NS","NA"}),0,IF(W242&lt;=$T227,0,1))</f>
        <v>0</v>
      </c>
      <c r="BN242" cm="1">
        <f t="array" ref="BN242">IF(OR(X242={"NS","NA"},$U227={"NS","NA"}),0,IF(X242&lt;=$U227,0,1))</f>
        <v>0</v>
      </c>
      <c r="BO242" cm="1">
        <f t="array" ref="BO242">IF(OR(Y242={"NS","NA"},$S227={"NS","NA"}),0,IF(Y242&lt;=$S227,0,1))</f>
        <v>0</v>
      </c>
      <c r="BP242" cm="1">
        <f t="array" ref="BP242">IF(OR(Z242={"NS","NA"},$T227={"NS","NA"}),0,IF(Z242&lt;=$T227,0,1))</f>
        <v>0</v>
      </c>
      <c r="BQ242" cm="1">
        <f t="array" ref="BQ242">IF(OR(AA242={"NS","NA"},$U227={"NS","NA"}),0,IF(AA242&lt;=$U227,0,1))</f>
        <v>0</v>
      </c>
      <c r="BR242" cm="1">
        <f t="array" ref="BR242">IF(OR(AB242={"NS","NA"},$S227={"NS","NA"}),0,IF(AB242&lt;=$S227,0,1))</f>
        <v>0</v>
      </c>
      <c r="BS242" cm="1">
        <f t="array" ref="BS242">IF(OR(AC242={"NS","NA"},$T227={"NS","NA"}),0,IF(AC242&lt;=$T227,0,1))</f>
        <v>0</v>
      </c>
      <c r="BT242" cm="1">
        <f t="array" ref="BT242">IF(OR(AD242={"NS","NA"},$U227={"NS","NA"}),0,IF(AD242&lt;=$U227,0,1))</f>
        <v>0</v>
      </c>
    </row>
    <row r="243" spans="1:72">
      <c r="A243" s="169"/>
      <c r="B243" s="90"/>
      <c r="C243" s="44" t="s">
        <v>2517</v>
      </c>
      <c r="D243" s="796" t="str">
        <f>IF(CNSIPEE_2024_M2_Secc1!D43="","",CNSIPEE_2024_M2_Secc1!D43)</f>
        <v/>
      </c>
      <c r="E243" s="796"/>
      <c r="F243" s="796"/>
      <c r="G243" s="796"/>
      <c r="H243" s="796"/>
      <c r="I243" s="796"/>
      <c r="J243" s="796"/>
      <c r="K243" s="796"/>
      <c r="L243" s="796"/>
      <c r="M243" s="100"/>
      <c r="N243" s="100"/>
      <c r="O243" s="100"/>
      <c r="P243" s="100"/>
      <c r="Q243" s="100"/>
      <c r="R243" s="100"/>
      <c r="S243" s="100"/>
      <c r="T243" s="100"/>
      <c r="U243" s="100"/>
      <c r="V243" s="100"/>
      <c r="W243" s="100"/>
      <c r="X243" s="100"/>
      <c r="Y243" s="100"/>
      <c r="Z243" s="100"/>
      <c r="AA243" s="100"/>
      <c r="AB243" s="100"/>
      <c r="AC243" s="100"/>
      <c r="AD243" s="100"/>
      <c r="AF243"/>
      <c r="AK243">
        <f t="shared" si="162"/>
        <v>0</v>
      </c>
      <c r="AL243">
        <f t="shared" si="163"/>
        <v>0</v>
      </c>
      <c r="AM243">
        <f t="shared" ref="AM243:AM249" si="179">IF(COUNTIF(M243:O243,"NA")=3,0,IF(COUNTA(M243:O243)=0,0,IF(OR(AND(M243=0,AK243&gt;0),AND(M243="ns",AL243&gt;0),AND(M243="ns",AK243=0,AL243=0)),1,IF(OR(AND(M243&gt;0,AK243=2),AND(M243="ns",AK243=2),AND(M243="ns",AL243=0,AK243&gt;0),M243=AL243),0,1))))</f>
        <v>0</v>
      </c>
      <c r="AN243">
        <f t="shared" si="164"/>
        <v>0</v>
      </c>
      <c r="AO243">
        <f t="shared" si="165"/>
        <v>0</v>
      </c>
      <c r="AP243">
        <f t="shared" si="166"/>
        <v>0</v>
      </c>
      <c r="AQ243">
        <f t="shared" si="167"/>
        <v>0</v>
      </c>
      <c r="AR243">
        <f t="shared" si="168"/>
        <v>0</v>
      </c>
      <c r="AS243">
        <f t="shared" si="169"/>
        <v>0</v>
      </c>
      <c r="AT243">
        <f t="shared" si="170"/>
        <v>0</v>
      </c>
      <c r="AU243">
        <f t="shared" si="171"/>
        <v>0</v>
      </c>
      <c r="AV243">
        <f t="shared" si="172"/>
        <v>0</v>
      </c>
      <c r="AW243">
        <f t="shared" si="173"/>
        <v>0</v>
      </c>
      <c r="AX243">
        <f t="shared" si="174"/>
        <v>0</v>
      </c>
      <c r="AY243">
        <f t="shared" si="175"/>
        <v>0</v>
      </c>
      <c r="AZ243">
        <f t="shared" si="176"/>
        <v>0</v>
      </c>
      <c r="BA243">
        <f t="shared" si="177"/>
        <v>0</v>
      </c>
      <c r="BB243">
        <f t="shared" si="178"/>
        <v>0</v>
      </c>
      <c r="BC243" cm="1">
        <f t="array" ref="BC243">IF(OR(M243={"NS","NA"},$S228={"NS","NA"}),0,IF(M243&lt;=$S228,0,1))</f>
        <v>0</v>
      </c>
      <c r="BD243" cm="1">
        <f t="array" ref="BD243">IF(OR(N243={"NS","NA"},$T228={"NS","NA"}),0,IF(N243&lt;=$T228,0,1))</f>
        <v>0</v>
      </c>
      <c r="BE243" cm="1">
        <f t="array" ref="BE243">IF(OR(O243={"NS","NA"},$U228={"NS","NA"}),0,IF(O243&lt;=$U228,0,1))</f>
        <v>0</v>
      </c>
      <c r="BF243" cm="1">
        <f t="array" ref="BF243">IF(OR(P243={"NS","NA"},$S228={"NS","NA"}),0,IF(P243&lt;=$S228,0,1))</f>
        <v>0</v>
      </c>
      <c r="BG243" cm="1">
        <f t="array" ref="BG243">IF(OR(Q243={"NS","NA"},$T228={"NS","NA"}),0,IF(Q243&lt;=$T228,0,1))</f>
        <v>0</v>
      </c>
      <c r="BH243" cm="1">
        <f t="array" ref="BH243">IF(OR(R243={"NS","NA"},$U228={"NS","NA"}),0,IF(R243&lt;=$U228,0,1))</f>
        <v>0</v>
      </c>
      <c r="BI243" cm="1">
        <f t="array" ref="BI243">IF(OR(S243={"NS","NA"},$S228={"NS","NA"}),0,IF(S243&lt;=$S228,0,1))</f>
        <v>0</v>
      </c>
      <c r="BJ243" cm="1">
        <f t="array" ref="BJ243">IF(OR(T243={"NS","NA"},$T228={"NS","NA"}),0,IF(T243&lt;=$T228,0,1))</f>
        <v>0</v>
      </c>
      <c r="BK243" cm="1">
        <f t="array" ref="BK243">IF(OR(U243={"NS","NA"},$U228={"NS","NA"}),0,IF(U243&lt;=$U228,0,1))</f>
        <v>0</v>
      </c>
      <c r="BL243" cm="1">
        <f t="array" ref="BL243">IF(OR(V243={"NS","NA"},$S228={"NS","NA"}),0,IF(V243&lt;=$S228,0,1))</f>
        <v>0</v>
      </c>
      <c r="BM243" cm="1">
        <f t="array" ref="BM243">IF(OR(W243={"NS","NA"},$T228={"NS","NA"}),0,IF(W243&lt;=$T228,0,1))</f>
        <v>0</v>
      </c>
      <c r="BN243" cm="1">
        <f t="array" ref="BN243">IF(OR(X243={"NS","NA"},$U228={"NS","NA"}),0,IF(X243&lt;=$U228,0,1))</f>
        <v>0</v>
      </c>
      <c r="BO243" cm="1">
        <f t="array" ref="BO243">IF(OR(Y243={"NS","NA"},$S228={"NS","NA"}),0,IF(Y243&lt;=$S228,0,1))</f>
        <v>0</v>
      </c>
      <c r="BP243" cm="1">
        <f t="array" ref="BP243">IF(OR(Z243={"NS","NA"},$T228={"NS","NA"}),0,IF(Z243&lt;=$T228,0,1))</f>
        <v>0</v>
      </c>
      <c r="BQ243" cm="1">
        <f t="array" ref="BQ243">IF(OR(AA243={"NS","NA"},$U228={"NS","NA"}),0,IF(AA243&lt;=$U228,0,1))</f>
        <v>0</v>
      </c>
      <c r="BR243" cm="1">
        <f t="array" ref="BR243">IF(OR(AB243={"NS","NA"},$S228={"NS","NA"}),0,IF(AB243&lt;=$S228,0,1))</f>
        <v>0</v>
      </c>
      <c r="BS243" cm="1">
        <f t="array" ref="BS243">IF(OR(AC243={"NS","NA"},$T228={"NS","NA"}),0,IF(AC243&lt;=$T228,0,1))</f>
        <v>0</v>
      </c>
      <c r="BT243" cm="1">
        <f t="array" ref="BT243">IF(OR(AD243={"NS","NA"},$U228={"NS","NA"}),0,IF(AD243&lt;=$U228,0,1))</f>
        <v>0</v>
      </c>
    </row>
    <row r="244" spans="1:72">
      <c r="A244" s="169"/>
      <c r="B244" s="90"/>
      <c r="C244" s="44" t="s">
        <v>2518</v>
      </c>
      <c r="D244" s="796" t="str">
        <f>IF(CNSIPEE_2024_M2_Secc1!D44="","",CNSIPEE_2024_M2_Secc1!D44)</f>
        <v/>
      </c>
      <c r="E244" s="796"/>
      <c r="F244" s="796"/>
      <c r="G244" s="796"/>
      <c r="H244" s="796"/>
      <c r="I244" s="796"/>
      <c r="J244" s="796"/>
      <c r="K244" s="796"/>
      <c r="L244" s="796"/>
      <c r="M244" s="100"/>
      <c r="N244" s="100"/>
      <c r="O244" s="100"/>
      <c r="P244" s="100"/>
      <c r="Q244" s="100"/>
      <c r="R244" s="100"/>
      <c r="S244" s="100"/>
      <c r="T244" s="100"/>
      <c r="U244" s="100"/>
      <c r="V244" s="100"/>
      <c r="W244" s="100"/>
      <c r="X244" s="100"/>
      <c r="Y244" s="100"/>
      <c r="Z244" s="100"/>
      <c r="AA244" s="100"/>
      <c r="AB244" s="100"/>
      <c r="AC244" s="100"/>
      <c r="AD244" s="100"/>
      <c r="AF244"/>
      <c r="AK244">
        <f t="shared" si="162"/>
        <v>0</v>
      </c>
      <c r="AL244">
        <f t="shared" si="163"/>
        <v>0</v>
      </c>
      <c r="AM244">
        <f t="shared" si="179"/>
        <v>0</v>
      </c>
      <c r="AN244">
        <f t="shared" si="164"/>
        <v>0</v>
      </c>
      <c r="AO244">
        <f t="shared" si="165"/>
        <v>0</v>
      </c>
      <c r="AP244">
        <f t="shared" si="166"/>
        <v>0</v>
      </c>
      <c r="AQ244">
        <f t="shared" si="167"/>
        <v>0</v>
      </c>
      <c r="AR244">
        <f t="shared" si="168"/>
        <v>0</v>
      </c>
      <c r="AS244">
        <f t="shared" si="169"/>
        <v>0</v>
      </c>
      <c r="AT244">
        <f t="shared" si="170"/>
        <v>0</v>
      </c>
      <c r="AU244">
        <f t="shared" si="171"/>
        <v>0</v>
      </c>
      <c r="AV244">
        <f t="shared" si="172"/>
        <v>0</v>
      </c>
      <c r="AW244">
        <f t="shared" si="173"/>
        <v>0</v>
      </c>
      <c r="AX244">
        <f t="shared" si="174"/>
        <v>0</v>
      </c>
      <c r="AY244">
        <f t="shared" si="175"/>
        <v>0</v>
      </c>
      <c r="AZ244">
        <f t="shared" si="176"/>
        <v>0</v>
      </c>
      <c r="BA244">
        <f t="shared" si="177"/>
        <v>0</v>
      </c>
      <c r="BB244">
        <f t="shared" si="178"/>
        <v>0</v>
      </c>
      <c r="BC244" cm="1">
        <f t="array" ref="BC244">IF(OR(M244={"NS","NA"},$S229={"NS","NA"}),0,IF(M244&lt;=$S229,0,1))</f>
        <v>0</v>
      </c>
      <c r="BD244" cm="1">
        <f t="array" ref="BD244">IF(OR(N244={"NS","NA"},$T229={"NS","NA"}),0,IF(N244&lt;=$T229,0,1))</f>
        <v>0</v>
      </c>
      <c r="BE244" cm="1">
        <f t="array" ref="BE244">IF(OR(O244={"NS","NA"},$U229={"NS","NA"}),0,IF(O244&lt;=$U229,0,1))</f>
        <v>0</v>
      </c>
      <c r="BF244" cm="1">
        <f t="array" ref="BF244">IF(OR(P244={"NS","NA"},$S229={"NS","NA"}),0,IF(P244&lt;=$S229,0,1))</f>
        <v>0</v>
      </c>
      <c r="BG244" cm="1">
        <f t="array" ref="BG244">IF(OR(Q244={"NS","NA"},$T229={"NS","NA"}),0,IF(Q244&lt;=$T229,0,1))</f>
        <v>0</v>
      </c>
      <c r="BH244" cm="1">
        <f t="array" ref="BH244">IF(OR(R244={"NS","NA"},$U229={"NS","NA"}),0,IF(R244&lt;=$U229,0,1))</f>
        <v>0</v>
      </c>
      <c r="BI244" cm="1">
        <f t="array" ref="BI244">IF(OR(S244={"NS","NA"},$S229={"NS","NA"}),0,IF(S244&lt;=$S229,0,1))</f>
        <v>0</v>
      </c>
      <c r="BJ244" cm="1">
        <f t="array" ref="BJ244">IF(OR(T244={"NS","NA"},$T229={"NS","NA"}),0,IF(T244&lt;=$T229,0,1))</f>
        <v>0</v>
      </c>
      <c r="BK244" cm="1">
        <f t="array" ref="BK244">IF(OR(U244={"NS","NA"},$U229={"NS","NA"}),0,IF(U244&lt;=$U229,0,1))</f>
        <v>0</v>
      </c>
      <c r="BL244" cm="1">
        <f t="array" ref="BL244">IF(OR(V244={"NS","NA"},$S229={"NS","NA"}),0,IF(V244&lt;=$S229,0,1))</f>
        <v>0</v>
      </c>
      <c r="BM244" cm="1">
        <f t="array" ref="BM244">IF(OR(W244={"NS","NA"},$T229={"NS","NA"}),0,IF(W244&lt;=$T229,0,1))</f>
        <v>0</v>
      </c>
      <c r="BN244" cm="1">
        <f t="array" ref="BN244">IF(OR(X244={"NS","NA"},$U229={"NS","NA"}),0,IF(X244&lt;=$U229,0,1))</f>
        <v>0</v>
      </c>
      <c r="BO244" cm="1">
        <f t="array" ref="BO244">IF(OR(Y244={"NS","NA"},$S229={"NS","NA"}),0,IF(Y244&lt;=$S229,0,1))</f>
        <v>0</v>
      </c>
      <c r="BP244" cm="1">
        <f t="array" ref="BP244">IF(OR(Z244={"NS","NA"},$T229={"NS","NA"}),0,IF(Z244&lt;=$T229,0,1))</f>
        <v>0</v>
      </c>
      <c r="BQ244" cm="1">
        <f t="array" ref="BQ244">IF(OR(AA244={"NS","NA"},$U229={"NS","NA"}),0,IF(AA244&lt;=$U229,0,1))</f>
        <v>0</v>
      </c>
      <c r="BR244" cm="1">
        <f t="array" ref="BR244">IF(OR(AB244={"NS","NA"},$S229={"NS","NA"}),0,IF(AB244&lt;=$S229,0,1))</f>
        <v>0</v>
      </c>
      <c r="BS244" cm="1">
        <f t="array" ref="BS244">IF(OR(AC244={"NS","NA"},$T229={"NS","NA"}),0,IF(AC244&lt;=$T229,0,1))</f>
        <v>0</v>
      </c>
      <c r="BT244" cm="1">
        <f t="array" ref="BT244">IF(OR(AD244={"NS","NA"},$U229={"NS","NA"}),0,IF(AD244&lt;=$U229,0,1))</f>
        <v>0</v>
      </c>
    </row>
    <row r="245" spans="1:72">
      <c r="A245" s="169"/>
      <c r="B245" s="90"/>
      <c r="C245" s="44" t="s">
        <v>2519</v>
      </c>
      <c r="D245" s="796" t="str">
        <f>IF(CNSIPEE_2024_M2_Secc1!D45="","",CNSIPEE_2024_M2_Secc1!D45)</f>
        <v/>
      </c>
      <c r="E245" s="796"/>
      <c r="F245" s="796"/>
      <c r="G245" s="796"/>
      <c r="H245" s="796"/>
      <c r="I245" s="796"/>
      <c r="J245" s="796"/>
      <c r="K245" s="796"/>
      <c r="L245" s="796"/>
      <c r="M245" s="100"/>
      <c r="N245" s="100"/>
      <c r="O245" s="100"/>
      <c r="P245" s="100"/>
      <c r="Q245" s="100"/>
      <c r="R245" s="100"/>
      <c r="S245" s="100"/>
      <c r="T245" s="100"/>
      <c r="U245" s="100"/>
      <c r="V245" s="100"/>
      <c r="W245" s="100"/>
      <c r="X245" s="100"/>
      <c r="Y245" s="100"/>
      <c r="Z245" s="100"/>
      <c r="AA245" s="100"/>
      <c r="AB245" s="100"/>
      <c r="AC245" s="100"/>
      <c r="AD245" s="100"/>
      <c r="AF245"/>
      <c r="AK245">
        <f t="shared" si="162"/>
        <v>0</v>
      </c>
      <c r="AL245">
        <f t="shared" si="163"/>
        <v>0</v>
      </c>
      <c r="AM245">
        <f t="shared" si="179"/>
        <v>0</v>
      </c>
      <c r="AN245">
        <f t="shared" si="164"/>
        <v>0</v>
      </c>
      <c r="AO245">
        <f t="shared" si="165"/>
        <v>0</v>
      </c>
      <c r="AP245">
        <f t="shared" si="166"/>
        <v>0</v>
      </c>
      <c r="AQ245">
        <f t="shared" si="167"/>
        <v>0</v>
      </c>
      <c r="AR245">
        <f t="shared" si="168"/>
        <v>0</v>
      </c>
      <c r="AS245">
        <f t="shared" si="169"/>
        <v>0</v>
      </c>
      <c r="AT245">
        <f t="shared" si="170"/>
        <v>0</v>
      </c>
      <c r="AU245">
        <f t="shared" si="171"/>
        <v>0</v>
      </c>
      <c r="AV245">
        <f t="shared" si="172"/>
        <v>0</v>
      </c>
      <c r="AW245">
        <f t="shared" si="173"/>
        <v>0</v>
      </c>
      <c r="AX245">
        <f t="shared" si="174"/>
        <v>0</v>
      </c>
      <c r="AY245">
        <f t="shared" si="175"/>
        <v>0</v>
      </c>
      <c r="AZ245">
        <f t="shared" si="176"/>
        <v>0</v>
      </c>
      <c r="BA245">
        <f t="shared" si="177"/>
        <v>0</v>
      </c>
      <c r="BB245">
        <f t="shared" si="178"/>
        <v>0</v>
      </c>
      <c r="BC245" cm="1">
        <f t="array" ref="BC245">IF(OR(M245={"NS","NA"},$S230={"NS","NA"}),0,IF(M245&lt;=$S230,0,1))</f>
        <v>0</v>
      </c>
      <c r="BD245" cm="1">
        <f t="array" ref="BD245">IF(OR(N245={"NS","NA"},$T230={"NS","NA"}),0,IF(N245&lt;=$T230,0,1))</f>
        <v>0</v>
      </c>
      <c r="BE245" cm="1">
        <f t="array" ref="BE245">IF(OR(O245={"NS","NA"},$U230={"NS","NA"}),0,IF(O245&lt;=$U230,0,1))</f>
        <v>0</v>
      </c>
      <c r="BF245" cm="1">
        <f t="array" ref="BF245">IF(OR(P245={"NS","NA"},$S230={"NS","NA"}),0,IF(P245&lt;=$S230,0,1))</f>
        <v>0</v>
      </c>
      <c r="BG245" cm="1">
        <f t="array" ref="BG245">IF(OR(Q245={"NS","NA"},$T230={"NS","NA"}),0,IF(Q245&lt;=$T230,0,1))</f>
        <v>0</v>
      </c>
      <c r="BH245" cm="1">
        <f t="array" ref="BH245">IF(OR(R245={"NS","NA"},$U230={"NS","NA"}),0,IF(R245&lt;=$U230,0,1))</f>
        <v>0</v>
      </c>
      <c r="BI245" cm="1">
        <f t="array" ref="BI245">IF(OR(S245={"NS","NA"},$S230={"NS","NA"}),0,IF(S245&lt;=$S230,0,1))</f>
        <v>0</v>
      </c>
      <c r="BJ245" cm="1">
        <f t="array" ref="BJ245">IF(OR(T245={"NS","NA"},$T230={"NS","NA"}),0,IF(T245&lt;=$T230,0,1))</f>
        <v>0</v>
      </c>
      <c r="BK245" cm="1">
        <f t="array" ref="BK245">IF(OR(U245={"NS","NA"},$U230={"NS","NA"}),0,IF(U245&lt;=$U230,0,1))</f>
        <v>0</v>
      </c>
      <c r="BL245" cm="1">
        <f t="array" ref="BL245">IF(OR(V245={"NS","NA"},$S230={"NS","NA"}),0,IF(V245&lt;=$S230,0,1))</f>
        <v>0</v>
      </c>
      <c r="BM245" cm="1">
        <f t="array" ref="BM245">IF(OR(W245={"NS","NA"},$T230={"NS","NA"}),0,IF(W245&lt;=$T230,0,1))</f>
        <v>0</v>
      </c>
      <c r="BN245" cm="1">
        <f t="array" ref="BN245">IF(OR(X245={"NS","NA"},$U230={"NS","NA"}),0,IF(X245&lt;=$U230,0,1))</f>
        <v>0</v>
      </c>
      <c r="BO245" cm="1">
        <f t="array" ref="BO245">IF(OR(Y245={"NS","NA"},$S230={"NS","NA"}),0,IF(Y245&lt;=$S230,0,1))</f>
        <v>0</v>
      </c>
      <c r="BP245" cm="1">
        <f t="array" ref="BP245">IF(OR(Z245={"NS","NA"},$T230={"NS","NA"}),0,IF(Z245&lt;=$T230,0,1))</f>
        <v>0</v>
      </c>
      <c r="BQ245" cm="1">
        <f t="array" ref="BQ245">IF(OR(AA245={"NS","NA"},$U230={"NS","NA"}),0,IF(AA245&lt;=$U230,0,1))</f>
        <v>0</v>
      </c>
      <c r="BR245" cm="1">
        <f t="array" ref="BR245">IF(OR(AB245={"NS","NA"},$S230={"NS","NA"}),0,IF(AB245&lt;=$S230,0,1))</f>
        <v>0</v>
      </c>
      <c r="BS245" cm="1">
        <f t="array" ref="BS245">IF(OR(AC245={"NS","NA"},$T230={"NS","NA"}),0,IF(AC245&lt;=$T230,0,1))</f>
        <v>0</v>
      </c>
      <c r="BT245" cm="1">
        <f t="array" ref="BT245">IF(OR(AD245={"NS","NA"},$U230={"NS","NA"}),0,IF(AD245&lt;=$U230,0,1))</f>
        <v>0</v>
      </c>
    </row>
    <row r="246" spans="1:72">
      <c r="A246" s="169"/>
      <c r="B246" s="90"/>
      <c r="C246" s="44" t="s">
        <v>2520</v>
      </c>
      <c r="D246" s="796" t="str">
        <f>IF(CNSIPEE_2024_M2_Secc1!D46="","",CNSIPEE_2024_M2_Secc1!D46)</f>
        <v/>
      </c>
      <c r="E246" s="796"/>
      <c r="F246" s="796"/>
      <c r="G246" s="796"/>
      <c r="H246" s="796"/>
      <c r="I246" s="796"/>
      <c r="J246" s="796"/>
      <c r="K246" s="796"/>
      <c r="L246" s="796"/>
      <c r="M246" s="100"/>
      <c r="N246" s="100"/>
      <c r="O246" s="100"/>
      <c r="P246" s="100"/>
      <c r="Q246" s="100"/>
      <c r="R246" s="100"/>
      <c r="S246" s="100"/>
      <c r="T246" s="100"/>
      <c r="U246" s="100"/>
      <c r="V246" s="100"/>
      <c r="W246" s="100"/>
      <c r="X246" s="100"/>
      <c r="Y246" s="100"/>
      <c r="Z246" s="100"/>
      <c r="AA246" s="100"/>
      <c r="AB246" s="100"/>
      <c r="AC246" s="100"/>
      <c r="AD246" s="100"/>
      <c r="AF246"/>
      <c r="AK246">
        <f t="shared" si="162"/>
        <v>0</v>
      </c>
      <c r="AL246">
        <f t="shared" si="163"/>
        <v>0</v>
      </c>
      <c r="AM246">
        <f t="shared" si="179"/>
        <v>0</v>
      </c>
      <c r="AN246">
        <f t="shared" si="164"/>
        <v>0</v>
      </c>
      <c r="AO246">
        <f t="shared" si="165"/>
        <v>0</v>
      </c>
      <c r="AP246">
        <f t="shared" si="166"/>
        <v>0</v>
      </c>
      <c r="AQ246">
        <f t="shared" si="167"/>
        <v>0</v>
      </c>
      <c r="AR246">
        <f t="shared" si="168"/>
        <v>0</v>
      </c>
      <c r="AS246">
        <f t="shared" si="169"/>
        <v>0</v>
      </c>
      <c r="AT246">
        <f t="shared" si="170"/>
        <v>0</v>
      </c>
      <c r="AU246">
        <f t="shared" si="171"/>
        <v>0</v>
      </c>
      <c r="AV246">
        <f t="shared" si="172"/>
        <v>0</v>
      </c>
      <c r="AW246">
        <f t="shared" si="173"/>
        <v>0</v>
      </c>
      <c r="AX246">
        <f t="shared" si="174"/>
        <v>0</v>
      </c>
      <c r="AY246">
        <f t="shared" si="175"/>
        <v>0</v>
      </c>
      <c r="AZ246">
        <f t="shared" si="176"/>
        <v>0</v>
      </c>
      <c r="BA246">
        <f t="shared" si="177"/>
        <v>0</v>
      </c>
      <c r="BB246">
        <f t="shared" si="178"/>
        <v>0</v>
      </c>
      <c r="BC246" cm="1">
        <f t="array" ref="BC246">IF(OR(M246={"NS","NA"},$S231={"NS","NA"}),0,IF(M246&lt;=$S231,0,1))</f>
        <v>0</v>
      </c>
      <c r="BD246" cm="1">
        <f t="array" ref="BD246">IF(OR(N246={"NS","NA"},$T231={"NS","NA"}),0,IF(N246&lt;=$T231,0,1))</f>
        <v>0</v>
      </c>
      <c r="BE246" cm="1">
        <f t="array" ref="BE246">IF(OR(O246={"NS","NA"},$U231={"NS","NA"}),0,IF(O246&lt;=$U231,0,1))</f>
        <v>0</v>
      </c>
      <c r="BF246" cm="1">
        <f t="array" ref="BF246">IF(OR(P246={"NS","NA"},$S231={"NS","NA"}),0,IF(P246&lt;=$S231,0,1))</f>
        <v>0</v>
      </c>
      <c r="BG246" cm="1">
        <f t="array" ref="BG246">IF(OR(Q246={"NS","NA"},$T231={"NS","NA"}),0,IF(Q246&lt;=$T231,0,1))</f>
        <v>0</v>
      </c>
      <c r="BH246" cm="1">
        <f t="array" ref="BH246">IF(OR(R246={"NS","NA"},$U231={"NS","NA"}),0,IF(R246&lt;=$U231,0,1))</f>
        <v>0</v>
      </c>
      <c r="BI246" cm="1">
        <f t="array" ref="BI246">IF(OR(S246={"NS","NA"},$S231={"NS","NA"}),0,IF(S246&lt;=$S231,0,1))</f>
        <v>0</v>
      </c>
      <c r="BJ246" cm="1">
        <f t="array" ref="BJ246">IF(OR(T246={"NS","NA"},$T231={"NS","NA"}),0,IF(T246&lt;=$T231,0,1))</f>
        <v>0</v>
      </c>
      <c r="BK246" cm="1">
        <f t="array" ref="BK246">IF(OR(U246={"NS","NA"},$U231={"NS","NA"}),0,IF(U246&lt;=$U231,0,1))</f>
        <v>0</v>
      </c>
      <c r="BL246" cm="1">
        <f t="array" ref="BL246">IF(OR(V246={"NS","NA"},$S231={"NS","NA"}),0,IF(V246&lt;=$S231,0,1))</f>
        <v>0</v>
      </c>
      <c r="BM246" cm="1">
        <f t="array" ref="BM246">IF(OR(W246={"NS","NA"},$T231={"NS","NA"}),0,IF(W246&lt;=$T231,0,1))</f>
        <v>0</v>
      </c>
      <c r="BN246" cm="1">
        <f t="array" ref="BN246">IF(OR(X246={"NS","NA"},$U231={"NS","NA"}),0,IF(X246&lt;=$U231,0,1))</f>
        <v>0</v>
      </c>
      <c r="BO246" cm="1">
        <f t="array" ref="BO246">IF(OR(Y246={"NS","NA"},$S231={"NS","NA"}),0,IF(Y246&lt;=$S231,0,1))</f>
        <v>0</v>
      </c>
      <c r="BP246" cm="1">
        <f t="array" ref="BP246">IF(OR(Z246={"NS","NA"},$T231={"NS","NA"}),0,IF(Z246&lt;=$T231,0,1))</f>
        <v>0</v>
      </c>
      <c r="BQ246" cm="1">
        <f t="array" ref="BQ246">IF(OR(AA246={"NS","NA"},$U231={"NS","NA"}),0,IF(AA246&lt;=$U231,0,1))</f>
        <v>0</v>
      </c>
      <c r="BR246" cm="1">
        <f t="array" ref="BR246">IF(OR(AB246={"NS","NA"},$S231={"NS","NA"}),0,IF(AB246&lt;=$S231,0,1))</f>
        <v>0</v>
      </c>
      <c r="BS246" cm="1">
        <f t="array" ref="BS246">IF(OR(AC246={"NS","NA"},$T231={"NS","NA"}),0,IF(AC246&lt;=$T231,0,1))</f>
        <v>0</v>
      </c>
      <c r="BT246" cm="1">
        <f t="array" ref="BT246">IF(OR(AD246={"NS","NA"},$U231={"NS","NA"}),0,IF(AD246&lt;=$U231,0,1))</f>
        <v>0</v>
      </c>
    </row>
    <row r="247" spans="1:72">
      <c r="A247" s="169"/>
      <c r="B247" s="90"/>
      <c r="C247" s="44" t="s">
        <v>2521</v>
      </c>
      <c r="D247" s="796" t="str">
        <f>IF(CNSIPEE_2024_M2_Secc1!D47="","",CNSIPEE_2024_M2_Secc1!D47)</f>
        <v/>
      </c>
      <c r="E247" s="796"/>
      <c r="F247" s="796"/>
      <c r="G247" s="796"/>
      <c r="H247" s="796"/>
      <c r="I247" s="796"/>
      <c r="J247" s="796"/>
      <c r="K247" s="796"/>
      <c r="L247" s="796"/>
      <c r="M247" s="100"/>
      <c r="N247" s="100"/>
      <c r="O247" s="100"/>
      <c r="P247" s="100"/>
      <c r="Q247" s="100"/>
      <c r="R247" s="100"/>
      <c r="S247" s="100"/>
      <c r="T247" s="100"/>
      <c r="U247" s="100"/>
      <c r="V247" s="100"/>
      <c r="W247" s="100"/>
      <c r="X247" s="100"/>
      <c r="Y247" s="100"/>
      <c r="Z247" s="100"/>
      <c r="AA247" s="100"/>
      <c r="AB247" s="100"/>
      <c r="AC247" s="100"/>
      <c r="AD247" s="100"/>
      <c r="AF247"/>
      <c r="AK247">
        <f t="shared" si="162"/>
        <v>0</v>
      </c>
      <c r="AL247">
        <f t="shared" si="163"/>
        <v>0</v>
      </c>
      <c r="AM247">
        <f t="shared" si="179"/>
        <v>0</v>
      </c>
      <c r="AN247">
        <f t="shared" si="164"/>
        <v>0</v>
      </c>
      <c r="AO247">
        <f t="shared" si="165"/>
        <v>0</v>
      </c>
      <c r="AP247">
        <f t="shared" si="166"/>
        <v>0</v>
      </c>
      <c r="AQ247">
        <f t="shared" si="167"/>
        <v>0</v>
      </c>
      <c r="AR247">
        <f t="shared" si="168"/>
        <v>0</v>
      </c>
      <c r="AS247">
        <f t="shared" si="169"/>
        <v>0</v>
      </c>
      <c r="AT247">
        <f t="shared" si="170"/>
        <v>0</v>
      </c>
      <c r="AU247">
        <f t="shared" si="171"/>
        <v>0</v>
      </c>
      <c r="AV247">
        <f t="shared" si="172"/>
        <v>0</v>
      </c>
      <c r="AW247">
        <f t="shared" si="173"/>
        <v>0</v>
      </c>
      <c r="AX247">
        <f t="shared" si="174"/>
        <v>0</v>
      </c>
      <c r="AY247">
        <f t="shared" si="175"/>
        <v>0</v>
      </c>
      <c r="AZ247">
        <f t="shared" si="176"/>
        <v>0</v>
      </c>
      <c r="BA247">
        <f t="shared" si="177"/>
        <v>0</v>
      </c>
      <c r="BB247">
        <f t="shared" si="178"/>
        <v>0</v>
      </c>
      <c r="BC247" cm="1">
        <f t="array" ref="BC247">IF(OR(M247={"NS","NA"},$S232={"NS","NA"}),0,IF(M247&lt;=$S232,0,1))</f>
        <v>0</v>
      </c>
      <c r="BD247" cm="1">
        <f t="array" ref="BD247">IF(OR(N247={"NS","NA"},$T232={"NS","NA"}),0,IF(N247&lt;=$T232,0,1))</f>
        <v>0</v>
      </c>
      <c r="BE247" cm="1">
        <f t="array" ref="BE247">IF(OR(O247={"NS","NA"},$U232={"NS","NA"}),0,IF(O247&lt;=$U232,0,1))</f>
        <v>0</v>
      </c>
      <c r="BF247" cm="1">
        <f t="array" ref="BF247">IF(OR(P247={"NS","NA"},$S232={"NS","NA"}),0,IF(P247&lt;=$S232,0,1))</f>
        <v>0</v>
      </c>
      <c r="BG247" cm="1">
        <f t="array" ref="BG247">IF(OR(Q247={"NS","NA"},$T232={"NS","NA"}),0,IF(Q247&lt;=$T232,0,1))</f>
        <v>0</v>
      </c>
      <c r="BH247" cm="1">
        <f t="array" ref="BH247">IF(OR(R247={"NS","NA"},$U232={"NS","NA"}),0,IF(R247&lt;=$U232,0,1))</f>
        <v>0</v>
      </c>
      <c r="BI247" cm="1">
        <f t="array" ref="BI247">IF(OR(S247={"NS","NA"},$S232={"NS","NA"}),0,IF(S247&lt;=$S232,0,1))</f>
        <v>0</v>
      </c>
      <c r="BJ247" cm="1">
        <f t="array" ref="BJ247">IF(OR(T247={"NS","NA"},$T232={"NS","NA"}),0,IF(T247&lt;=$T232,0,1))</f>
        <v>0</v>
      </c>
      <c r="BK247" cm="1">
        <f t="array" ref="BK247">IF(OR(U247={"NS","NA"},$U232={"NS","NA"}),0,IF(U247&lt;=$U232,0,1))</f>
        <v>0</v>
      </c>
      <c r="BL247" cm="1">
        <f t="array" ref="BL247">IF(OR(V247={"NS","NA"},$S232={"NS","NA"}),0,IF(V247&lt;=$S232,0,1))</f>
        <v>0</v>
      </c>
      <c r="BM247" cm="1">
        <f t="array" ref="BM247">IF(OR(W247={"NS","NA"},$T232={"NS","NA"}),0,IF(W247&lt;=$T232,0,1))</f>
        <v>0</v>
      </c>
      <c r="BN247" cm="1">
        <f t="array" ref="BN247">IF(OR(X247={"NS","NA"},$U232={"NS","NA"}),0,IF(X247&lt;=$U232,0,1))</f>
        <v>0</v>
      </c>
      <c r="BO247" cm="1">
        <f t="array" ref="BO247">IF(OR(Y247={"NS","NA"},$S232={"NS","NA"}),0,IF(Y247&lt;=$S232,0,1))</f>
        <v>0</v>
      </c>
      <c r="BP247" cm="1">
        <f t="array" ref="BP247">IF(OR(Z247={"NS","NA"},$T232={"NS","NA"}),0,IF(Z247&lt;=$T232,0,1))</f>
        <v>0</v>
      </c>
      <c r="BQ247" cm="1">
        <f t="array" ref="BQ247">IF(OR(AA247={"NS","NA"},$U232={"NS","NA"}),0,IF(AA247&lt;=$U232,0,1))</f>
        <v>0</v>
      </c>
      <c r="BR247" cm="1">
        <f t="array" ref="BR247">IF(OR(AB247={"NS","NA"},$S232={"NS","NA"}),0,IF(AB247&lt;=$S232,0,1))</f>
        <v>0</v>
      </c>
      <c r="BS247" cm="1">
        <f t="array" ref="BS247">IF(OR(AC247={"NS","NA"},$T232={"NS","NA"}),0,IF(AC247&lt;=$T232,0,1))</f>
        <v>0</v>
      </c>
      <c r="BT247" cm="1">
        <f t="array" ref="BT247">IF(OR(AD247={"NS","NA"},$U232={"NS","NA"}),0,IF(AD247&lt;=$U232,0,1))</f>
        <v>0</v>
      </c>
    </row>
    <row r="248" spans="1:72">
      <c r="A248" s="169"/>
      <c r="B248" s="90"/>
      <c r="C248" s="44" t="s">
        <v>2522</v>
      </c>
      <c r="D248" s="796" t="str">
        <f>IF(CNSIPEE_2024_M2_Secc1!D48="","",CNSIPEE_2024_M2_Secc1!D48)</f>
        <v/>
      </c>
      <c r="E248" s="796"/>
      <c r="F248" s="796"/>
      <c r="G248" s="796"/>
      <c r="H248" s="796"/>
      <c r="I248" s="796"/>
      <c r="J248" s="796"/>
      <c r="K248" s="796"/>
      <c r="L248" s="796"/>
      <c r="M248" s="100"/>
      <c r="N248" s="100"/>
      <c r="O248" s="100"/>
      <c r="P248" s="100"/>
      <c r="Q248" s="100"/>
      <c r="R248" s="100"/>
      <c r="S248" s="100"/>
      <c r="T248" s="100"/>
      <c r="U248" s="100"/>
      <c r="V248" s="100"/>
      <c r="W248" s="100"/>
      <c r="X248" s="100"/>
      <c r="Y248" s="100"/>
      <c r="Z248" s="100"/>
      <c r="AA248" s="100"/>
      <c r="AB248" s="100"/>
      <c r="AC248" s="100"/>
      <c r="AD248" s="100"/>
      <c r="AF248"/>
      <c r="AK248">
        <f t="shared" si="162"/>
        <v>0</v>
      </c>
      <c r="AL248">
        <f t="shared" si="163"/>
        <v>0</v>
      </c>
      <c r="AM248">
        <f t="shared" si="179"/>
        <v>0</v>
      </c>
      <c r="AN248">
        <f t="shared" si="164"/>
        <v>0</v>
      </c>
      <c r="AO248">
        <f t="shared" si="165"/>
        <v>0</v>
      </c>
      <c r="AP248">
        <f t="shared" si="166"/>
        <v>0</v>
      </c>
      <c r="AQ248">
        <f t="shared" si="167"/>
        <v>0</v>
      </c>
      <c r="AR248">
        <f t="shared" si="168"/>
        <v>0</v>
      </c>
      <c r="AS248">
        <f t="shared" si="169"/>
        <v>0</v>
      </c>
      <c r="AT248">
        <f t="shared" si="170"/>
        <v>0</v>
      </c>
      <c r="AU248">
        <f t="shared" si="171"/>
        <v>0</v>
      </c>
      <c r="AV248">
        <f t="shared" si="172"/>
        <v>0</v>
      </c>
      <c r="AW248">
        <f t="shared" si="173"/>
        <v>0</v>
      </c>
      <c r="AX248">
        <f t="shared" si="174"/>
        <v>0</v>
      </c>
      <c r="AY248">
        <f t="shared" si="175"/>
        <v>0</v>
      </c>
      <c r="AZ248">
        <f t="shared" si="176"/>
        <v>0</v>
      </c>
      <c r="BA248">
        <f t="shared" si="177"/>
        <v>0</v>
      </c>
      <c r="BB248">
        <f t="shared" si="178"/>
        <v>0</v>
      </c>
      <c r="BC248" cm="1">
        <f t="array" ref="BC248">IF(OR(M248={"NS","NA"},$S233={"NS","NA"}),0,IF(M248&lt;=$S233,0,1))</f>
        <v>0</v>
      </c>
      <c r="BD248" cm="1">
        <f t="array" ref="BD248">IF(OR(N248={"NS","NA"},$T233={"NS","NA"}),0,IF(N248&lt;=$T233,0,1))</f>
        <v>0</v>
      </c>
      <c r="BE248" cm="1">
        <f t="array" ref="BE248">IF(OR(O248={"NS","NA"},$U233={"NS","NA"}),0,IF(O248&lt;=$U233,0,1))</f>
        <v>0</v>
      </c>
      <c r="BF248" cm="1">
        <f t="array" ref="BF248">IF(OR(P248={"NS","NA"},$S233={"NS","NA"}),0,IF(P248&lt;=$S233,0,1))</f>
        <v>0</v>
      </c>
      <c r="BG248" cm="1">
        <f t="array" ref="BG248">IF(OR(Q248={"NS","NA"},$T233={"NS","NA"}),0,IF(Q248&lt;=$T233,0,1))</f>
        <v>0</v>
      </c>
      <c r="BH248" cm="1">
        <f t="array" ref="BH248">IF(OR(R248={"NS","NA"},$U233={"NS","NA"}),0,IF(R248&lt;=$U233,0,1))</f>
        <v>0</v>
      </c>
      <c r="BI248" cm="1">
        <f t="array" ref="BI248">IF(OR(S248={"NS","NA"},$S233={"NS","NA"}),0,IF(S248&lt;=$S233,0,1))</f>
        <v>0</v>
      </c>
      <c r="BJ248" cm="1">
        <f t="array" ref="BJ248">IF(OR(T248={"NS","NA"},$T233={"NS","NA"}),0,IF(T248&lt;=$T233,0,1))</f>
        <v>0</v>
      </c>
      <c r="BK248" cm="1">
        <f t="array" ref="BK248">IF(OR(U248={"NS","NA"},$U233={"NS","NA"}),0,IF(U248&lt;=$U233,0,1))</f>
        <v>0</v>
      </c>
      <c r="BL248" cm="1">
        <f t="array" ref="BL248">IF(OR(V248={"NS","NA"},$S233={"NS","NA"}),0,IF(V248&lt;=$S233,0,1))</f>
        <v>0</v>
      </c>
      <c r="BM248" cm="1">
        <f t="array" ref="BM248">IF(OR(W248={"NS","NA"},$T233={"NS","NA"}),0,IF(W248&lt;=$T233,0,1))</f>
        <v>0</v>
      </c>
      <c r="BN248" cm="1">
        <f t="array" ref="BN248">IF(OR(X248={"NS","NA"},$U233={"NS","NA"}),0,IF(X248&lt;=$U233,0,1))</f>
        <v>0</v>
      </c>
      <c r="BO248" cm="1">
        <f t="array" ref="BO248">IF(OR(Y248={"NS","NA"},$S233={"NS","NA"}),0,IF(Y248&lt;=$S233,0,1))</f>
        <v>0</v>
      </c>
      <c r="BP248" cm="1">
        <f t="array" ref="BP248">IF(OR(Z248={"NS","NA"},$T233={"NS","NA"}),0,IF(Z248&lt;=$T233,0,1))</f>
        <v>0</v>
      </c>
      <c r="BQ248" cm="1">
        <f t="array" ref="BQ248">IF(OR(AA248={"NS","NA"},$U233={"NS","NA"}),0,IF(AA248&lt;=$U233,0,1))</f>
        <v>0</v>
      </c>
      <c r="BR248" cm="1">
        <f t="array" ref="BR248">IF(OR(AB248={"NS","NA"},$S233={"NS","NA"}),0,IF(AB248&lt;=$S233,0,1))</f>
        <v>0</v>
      </c>
      <c r="BS248" cm="1">
        <f t="array" ref="BS248">IF(OR(AC248={"NS","NA"},$T233={"NS","NA"}),0,IF(AC248&lt;=$T233,0,1))</f>
        <v>0</v>
      </c>
      <c r="BT248" cm="1">
        <f t="array" ref="BT248">IF(OR(AD248={"NS","NA"},$U233={"NS","NA"}),0,IF(AD248&lt;=$U233,0,1))</f>
        <v>0</v>
      </c>
    </row>
    <row r="249" spans="1:72">
      <c r="A249" s="169"/>
      <c r="B249" s="90"/>
      <c r="C249" s="44" t="s">
        <v>2523</v>
      </c>
      <c r="D249" s="796" t="str">
        <f>IF(CNSIPEE_2024_M2_Secc1!D49="","",CNSIPEE_2024_M2_Secc1!D49)</f>
        <v/>
      </c>
      <c r="E249" s="796"/>
      <c r="F249" s="796"/>
      <c r="G249" s="796"/>
      <c r="H249" s="796"/>
      <c r="I249" s="796"/>
      <c r="J249" s="796"/>
      <c r="K249" s="796"/>
      <c r="L249" s="796"/>
      <c r="M249" s="100"/>
      <c r="N249" s="100"/>
      <c r="O249" s="100"/>
      <c r="P249" s="100"/>
      <c r="Q249" s="100"/>
      <c r="R249" s="100"/>
      <c r="S249" s="100"/>
      <c r="T249" s="100"/>
      <c r="U249" s="100"/>
      <c r="V249" s="100"/>
      <c r="W249" s="100"/>
      <c r="X249" s="100"/>
      <c r="Y249" s="100"/>
      <c r="Z249" s="100"/>
      <c r="AA249" s="100"/>
      <c r="AB249" s="100"/>
      <c r="AC249" s="100"/>
      <c r="AD249" s="100"/>
      <c r="AF249"/>
      <c r="AK249">
        <f t="shared" si="162"/>
        <v>0</v>
      </c>
      <c r="AL249">
        <f t="shared" si="163"/>
        <v>0</v>
      </c>
      <c r="AM249">
        <f t="shared" si="179"/>
        <v>0</v>
      </c>
      <c r="AN249">
        <f t="shared" si="164"/>
        <v>0</v>
      </c>
      <c r="AO249">
        <f t="shared" si="165"/>
        <v>0</v>
      </c>
      <c r="AP249">
        <f t="shared" si="166"/>
        <v>0</v>
      </c>
      <c r="AQ249">
        <f t="shared" si="167"/>
        <v>0</v>
      </c>
      <c r="AR249">
        <f t="shared" si="168"/>
        <v>0</v>
      </c>
      <c r="AS249">
        <f t="shared" si="169"/>
        <v>0</v>
      </c>
      <c r="AT249">
        <f t="shared" si="170"/>
        <v>0</v>
      </c>
      <c r="AU249">
        <f t="shared" si="171"/>
        <v>0</v>
      </c>
      <c r="AV249">
        <f t="shared" si="172"/>
        <v>0</v>
      </c>
      <c r="AW249">
        <f t="shared" si="173"/>
        <v>0</v>
      </c>
      <c r="AX249">
        <f t="shared" si="174"/>
        <v>0</v>
      </c>
      <c r="AY249">
        <f t="shared" si="175"/>
        <v>0</v>
      </c>
      <c r="AZ249">
        <f t="shared" si="176"/>
        <v>0</v>
      </c>
      <c r="BA249">
        <f t="shared" si="177"/>
        <v>0</v>
      </c>
      <c r="BB249">
        <f t="shared" si="178"/>
        <v>0</v>
      </c>
      <c r="BC249" cm="1">
        <f t="array" ref="BC249">IF(OR(M249={"NS","NA"},$S234={"NS","NA"}),0,IF(M249&lt;=$S234,0,1))</f>
        <v>0</v>
      </c>
      <c r="BD249" cm="1">
        <f t="array" ref="BD249">IF(OR(N249={"NS","NA"},$T234={"NS","NA"}),0,IF(N249&lt;=$T234,0,1))</f>
        <v>0</v>
      </c>
      <c r="BE249" cm="1">
        <f t="array" ref="BE249">IF(OR(O249={"NS","NA"},$U234={"NS","NA"}),0,IF(O249&lt;=$U234,0,1))</f>
        <v>0</v>
      </c>
      <c r="BF249" cm="1">
        <f t="array" ref="BF249">IF(OR(P249={"NS","NA"},$S234={"NS","NA"}),0,IF(P249&lt;=$S234,0,1))</f>
        <v>0</v>
      </c>
      <c r="BG249" cm="1">
        <f t="array" ref="BG249">IF(OR(Q249={"NS","NA"},$T234={"NS","NA"}),0,IF(Q249&lt;=$T234,0,1))</f>
        <v>0</v>
      </c>
      <c r="BH249" cm="1">
        <f t="array" ref="BH249">IF(OR(R249={"NS","NA"},$U234={"NS","NA"}),0,IF(R249&lt;=$U234,0,1))</f>
        <v>0</v>
      </c>
      <c r="BI249" cm="1">
        <f t="array" ref="BI249">IF(OR(S249={"NS","NA"},$S234={"NS","NA"}),0,IF(S249&lt;=$S234,0,1))</f>
        <v>0</v>
      </c>
      <c r="BJ249" cm="1">
        <f t="array" ref="BJ249">IF(OR(T249={"NS","NA"},$T234={"NS","NA"}),0,IF(T249&lt;=$T234,0,1))</f>
        <v>0</v>
      </c>
      <c r="BK249" cm="1">
        <f t="array" ref="BK249">IF(OR(U249={"NS","NA"},$U234={"NS","NA"}),0,IF(U249&lt;=$U234,0,1))</f>
        <v>0</v>
      </c>
      <c r="BL249" cm="1">
        <f t="array" ref="BL249">IF(OR(V249={"NS","NA"},$S234={"NS","NA"}),0,IF(V249&lt;=$S234,0,1))</f>
        <v>0</v>
      </c>
      <c r="BM249" cm="1">
        <f t="array" ref="BM249">IF(OR(W249={"NS","NA"},$T234={"NS","NA"}),0,IF(W249&lt;=$T234,0,1))</f>
        <v>0</v>
      </c>
      <c r="BN249" cm="1">
        <f t="array" ref="BN249">IF(OR(X249={"NS","NA"},$U234={"NS","NA"}),0,IF(X249&lt;=$U234,0,1))</f>
        <v>0</v>
      </c>
      <c r="BO249" cm="1">
        <f t="array" ref="BO249">IF(OR(Y249={"NS","NA"},$S234={"NS","NA"}),0,IF(Y249&lt;=$S234,0,1))</f>
        <v>0</v>
      </c>
      <c r="BP249" cm="1">
        <f t="array" ref="BP249">IF(OR(Z249={"NS","NA"},$T234={"NS","NA"}),0,IF(Z249&lt;=$T234,0,1))</f>
        <v>0</v>
      </c>
      <c r="BQ249" cm="1">
        <f t="array" ref="BQ249">IF(OR(AA249={"NS","NA"},$U234={"NS","NA"}),0,IF(AA249&lt;=$U234,0,1))</f>
        <v>0</v>
      </c>
      <c r="BR249" cm="1">
        <f t="array" ref="BR249">IF(OR(AB249={"NS","NA"},$S234={"NS","NA"}),0,IF(AB249&lt;=$S234,0,1))</f>
        <v>0</v>
      </c>
      <c r="BS249" cm="1">
        <f t="array" ref="BS249">IF(OR(AC249={"NS","NA"},$T234={"NS","NA"}),0,IF(AC249&lt;=$T234,0,1))</f>
        <v>0</v>
      </c>
      <c r="BT249" cm="1">
        <f t="array" ref="BT249">IF(OR(AD249={"NS","NA"},$U234={"NS","NA"}),0,IF(AD249&lt;=$U234,0,1))</f>
        <v>0</v>
      </c>
    </row>
    <row r="250" spans="1:72">
      <c r="A250" s="169"/>
      <c r="B250" s="90"/>
      <c r="C250" s="90"/>
      <c r="D250" s="90"/>
      <c r="E250" s="90"/>
      <c r="F250" s="90"/>
      <c r="G250" s="90"/>
      <c r="H250" s="90"/>
      <c r="I250" s="90"/>
      <c r="J250" s="90"/>
      <c r="K250" s="90"/>
      <c r="L250" s="90"/>
      <c r="M250" s="124">
        <f t="shared" ref="M250:AD250" si="180">IF(AND(SUM(M242:M249)=0,COUNTIF(M242:M249,"NS")&gt;0),"NS",IF(AND(SUM(M242:M249)=0,COUNTIF(M242:M249,0)&gt;0),0,IF(AND(SUM(M242:M249)=0,COUNTIF(M242:M249,"NA")&gt;0),"NA",SUM(M242:M249))))</f>
        <v>0</v>
      </c>
      <c r="N250" s="124">
        <f t="shared" si="180"/>
        <v>0</v>
      </c>
      <c r="O250" s="124">
        <f t="shared" si="180"/>
        <v>0</v>
      </c>
      <c r="P250" s="124">
        <f t="shared" si="180"/>
        <v>0</v>
      </c>
      <c r="Q250" s="124">
        <f t="shared" si="180"/>
        <v>0</v>
      </c>
      <c r="R250" s="124">
        <f t="shared" si="180"/>
        <v>0</v>
      </c>
      <c r="S250" s="124">
        <f t="shared" si="180"/>
        <v>0</v>
      </c>
      <c r="T250" s="124">
        <f t="shared" si="180"/>
        <v>0</v>
      </c>
      <c r="U250" s="124">
        <f t="shared" si="180"/>
        <v>0</v>
      </c>
      <c r="V250" s="124">
        <f t="shared" si="180"/>
        <v>0</v>
      </c>
      <c r="W250" s="124">
        <f t="shared" si="180"/>
        <v>0</v>
      </c>
      <c r="X250" s="124">
        <f t="shared" si="180"/>
        <v>0</v>
      </c>
      <c r="Y250" s="124">
        <f t="shared" si="180"/>
        <v>0</v>
      </c>
      <c r="Z250" s="124">
        <f t="shared" si="180"/>
        <v>0</v>
      </c>
      <c r="AA250" s="124">
        <f t="shared" si="180"/>
        <v>0</v>
      </c>
      <c r="AB250" s="124">
        <f t="shared" si="180"/>
        <v>0</v>
      </c>
      <c r="AC250" s="124">
        <f t="shared" si="180"/>
        <v>0</v>
      </c>
      <c r="AD250" s="124">
        <f t="shared" si="180"/>
        <v>0</v>
      </c>
      <c r="AF250"/>
      <c r="AK250">
        <f>SUM(AK242:AK249)</f>
        <v>0</v>
      </c>
      <c r="AM250">
        <f>SUM(AM242:AM249)</f>
        <v>0</v>
      </c>
      <c r="AN250">
        <f>SUM(AN242:AN249)</f>
        <v>0</v>
      </c>
      <c r="AP250">
        <f>SUM(AP242:AP249)</f>
        <v>0</v>
      </c>
      <c r="AQ250">
        <f>SUM(AQ242:AQ249)</f>
        <v>0</v>
      </c>
      <c r="AS250">
        <f>SUM(AS242:AS249)</f>
        <v>0</v>
      </c>
      <c r="AT250">
        <f>SUM(AT242:AT249)</f>
        <v>0</v>
      </c>
      <c r="AV250">
        <f>SUM(AV242:AV249)</f>
        <v>0</v>
      </c>
      <c r="AW250">
        <f>SUM(AW242:AW249)</f>
        <v>0</v>
      </c>
      <c r="AY250">
        <f>SUM(AY242:AY249)</f>
        <v>0</v>
      </c>
      <c r="AZ250">
        <f>SUM(AZ242:AZ249)</f>
        <v>0</v>
      </c>
      <c r="BB250">
        <f>SUM(BB242:BB249)</f>
        <v>0</v>
      </c>
      <c r="BT250" s="507">
        <f>SUM(BC227:BK234,BC242:BT249)</f>
        <v>0</v>
      </c>
    </row>
    <row r="251" spans="1:72">
      <c r="A251" s="169"/>
      <c r="B251" s="90"/>
      <c r="C251" s="90"/>
      <c r="D251" s="90"/>
      <c r="E251" s="90"/>
      <c r="F251" s="90"/>
      <c r="G251" s="90"/>
      <c r="H251" s="90"/>
      <c r="I251" s="90"/>
      <c r="J251" s="90"/>
      <c r="K251" s="90"/>
      <c r="L251" s="90"/>
      <c r="M251" s="90"/>
      <c r="N251" s="90"/>
      <c r="O251" s="90"/>
      <c r="P251" s="90"/>
      <c r="Q251" s="90"/>
      <c r="R251" s="90"/>
      <c r="S251" s="90"/>
      <c r="T251" s="90"/>
      <c r="U251" s="90"/>
      <c r="V251" s="90"/>
      <c r="W251" s="90"/>
      <c r="X251" s="90"/>
      <c r="Y251" s="90"/>
      <c r="Z251" s="90"/>
      <c r="AA251" s="90"/>
      <c r="AB251" s="90"/>
      <c r="AC251" s="90"/>
      <c r="AD251" s="90"/>
      <c r="AF251"/>
      <c r="AK251" t="s">
        <v>2650</v>
      </c>
      <c r="AL251" s="590">
        <f>SUM(AM250,AP250,AS250,AV250,AY250,BB250)</f>
        <v>0</v>
      </c>
      <c r="AM251" t="s">
        <v>2651</v>
      </c>
      <c r="AN251">
        <f>SUM(AK250,AN250,AQ250,AT250,AW250,AZ250)</f>
        <v>0</v>
      </c>
    </row>
    <row r="252" spans="1:72" ht="45" customHeight="1">
      <c r="A252" s="169"/>
      <c r="B252" s="90"/>
      <c r="C252" s="822" t="s">
        <v>2798</v>
      </c>
      <c r="D252" s="822"/>
      <c r="E252" s="822"/>
      <c r="F252" s="749"/>
      <c r="G252" s="749"/>
      <c r="H252" s="749"/>
      <c r="I252" s="749"/>
      <c r="J252" s="749"/>
      <c r="K252" s="749"/>
      <c r="L252" s="749"/>
      <c r="M252" s="749"/>
      <c r="N252" s="749"/>
      <c r="O252" s="749"/>
      <c r="P252" s="749"/>
      <c r="Q252" s="749"/>
      <c r="R252" s="749"/>
      <c r="S252" s="749"/>
      <c r="T252" s="749"/>
      <c r="U252" s="749"/>
      <c r="V252" s="749"/>
      <c r="W252" s="749"/>
      <c r="X252" s="749"/>
      <c r="Y252" s="749"/>
      <c r="Z252" s="749"/>
      <c r="AA252" s="749"/>
      <c r="AB252" s="749"/>
      <c r="AC252" s="749"/>
      <c r="AD252" s="749"/>
      <c r="AF252"/>
      <c r="AK252" t="s">
        <v>2652</v>
      </c>
      <c r="AL252">
        <f>IF(AN251&gt;0,IF(SUM(M250)&gt;=SUM(P250,S250,V250,Y250,AB250),0,1),IF(SUM(M250)&lt;&gt;SUM(P250,S250,V250,Y250,AB250),1,0))</f>
        <v>0</v>
      </c>
      <c r="AM252" t="s">
        <v>2653</v>
      </c>
      <c r="AN252">
        <f>IF(AN251&gt;0,IF(SUM(N250)&gt;=SUM(Q250,T250,W250,Z250,AC250),0,1),IF(SUM(N250)&lt;&gt;SUM(Q250,T250,W250,Z250,AC250),1,0))</f>
        <v>0</v>
      </c>
      <c r="AO252" t="s">
        <v>2654</v>
      </c>
      <c r="AP252">
        <f>IF(AN251&gt;0,IF(SUM(O250)&gt;=SUM(R250,U250,X250,AA250,AD250),0,1),IF(SUM(O250)&lt;&gt;SUM(R250,U250,X250,AA250,AD250),1,0))</f>
        <v>0</v>
      </c>
    </row>
    <row r="253" spans="1:72">
      <c r="A253" s="169"/>
      <c r="B253" s="1003" t="str">
        <f>IF(AND(AB250&gt;0,AB250&lt;&gt;"NA",AB250&lt;&gt;"NS",F252=""),"Debido a que registró un número mayor a cero en el apartado Otro tipo, debe anotar el n. de dicho(s) tipo(s) de actividad(es) o servicio(s)","")</f>
        <v/>
      </c>
      <c r="C253" s="1003"/>
      <c r="D253" s="1003"/>
      <c r="E253" s="1003"/>
      <c r="F253" s="1003"/>
      <c r="G253" s="1003"/>
      <c r="H253" s="1003"/>
      <c r="I253" s="1003"/>
      <c r="J253" s="1003"/>
      <c r="K253" s="1003"/>
      <c r="L253" s="1003"/>
      <c r="M253" s="1003"/>
      <c r="N253" s="1003"/>
      <c r="O253" s="1003"/>
      <c r="P253" s="1003"/>
      <c r="Q253" s="1003"/>
      <c r="R253" s="1003"/>
      <c r="S253" s="1003"/>
      <c r="T253" s="1003"/>
      <c r="U253" s="1003"/>
      <c r="V253" s="1003"/>
      <c r="W253" s="1003"/>
      <c r="X253" s="1003"/>
      <c r="Y253" s="1003"/>
      <c r="Z253" s="1003"/>
      <c r="AA253" s="1003"/>
      <c r="AB253" s="1003"/>
      <c r="AC253" s="1003"/>
      <c r="AD253" s="1003"/>
      <c r="AE253" s="1003"/>
      <c r="AF253"/>
      <c r="AK253" t="s">
        <v>5218</v>
      </c>
      <c r="AL253" s="506">
        <f>SUM(AL251,AL236)</f>
        <v>0</v>
      </c>
    </row>
    <row r="254" spans="1:72" ht="24" customHeight="1">
      <c r="A254" s="169"/>
      <c r="B254" s="90"/>
      <c r="C254" s="754" t="s">
        <v>2611</v>
      </c>
      <c r="D254" s="754"/>
      <c r="E254" s="754"/>
      <c r="F254" s="754"/>
      <c r="G254" s="754"/>
      <c r="H254" s="754"/>
      <c r="I254" s="754"/>
      <c r="J254" s="754"/>
      <c r="K254" s="754"/>
      <c r="L254" s="754"/>
      <c r="M254" s="754"/>
      <c r="N254" s="754"/>
      <c r="O254" s="754"/>
      <c r="P254" s="754"/>
      <c r="Q254" s="754"/>
      <c r="R254" s="754"/>
      <c r="S254" s="754"/>
      <c r="T254" s="754"/>
      <c r="U254" s="754"/>
      <c r="V254" s="754"/>
      <c r="W254" s="754"/>
      <c r="X254" s="754"/>
      <c r="Y254" s="754"/>
      <c r="Z254" s="754"/>
      <c r="AA254" s="754"/>
      <c r="AB254" s="754"/>
      <c r="AC254" s="754"/>
      <c r="AD254" s="7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row>
    <row r="255" spans="1:72" ht="60" customHeight="1">
      <c r="A255" s="169"/>
      <c r="B255" s="90"/>
      <c r="C255" s="851"/>
      <c r="D255" s="851"/>
      <c r="E255" s="851"/>
      <c r="F255" s="851"/>
      <c r="G255" s="851"/>
      <c r="H255" s="851"/>
      <c r="I255" s="851"/>
      <c r="J255" s="851"/>
      <c r="K255" s="851"/>
      <c r="L255" s="851"/>
      <c r="M255" s="851"/>
      <c r="N255" s="851"/>
      <c r="O255" s="851"/>
      <c r="P255" s="851"/>
      <c r="Q255" s="851"/>
      <c r="R255" s="851"/>
      <c r="S255" s="851"/>
      <c r="T255" s="851"/>
      <c r="U255" s="851"/>
      <c r="V255" s="851"/>
      <c r="W255" s="851"/>
      <c r="X255" s="851"/>
      <c r="Y255" s="851"/>
      <c r="Z255" s="851"/>
      <c r="AA255" s="851"/>
      <c r="AB255" s="851"/>
      <c r="AC255" s="851"/>
      <c r="AD255" s="851"/>
    </row>
    <row r="256" spans="1:72">
      <c r="A256" s="169"/>
      <c r="B256" s="794" t="str">
        <f>IF(AG235=0,"","Favor de ingresar toda la información requerida en la pregunta")</f>
        <v/>
      </c>
      <c r="C256" s="794"/>
      <c r="D256" s="794"/>
      <c r="E256" s="794"/>
      <c r="F256" s="794"/>
      <c r="G256" s="794"/>
      <c r="H256" s="794"/>
      <c r="I256" s="794"/>
      <c r="J256" s="794"/>
      <c r="K256" s="794"/>
      <c r="L256" s="794"/>
      <c r="M256" s="794"/>
      <c r="N256" s="794"/>
      <c r="O256" s="794"/>
      <c r="P256" s="794"/>
      <c r="Q256" s="794"/>
      <c r="R256" s="794"/>
      <c r="S256" s="794"/>
      <c r="T256" s="794"/>
      <c r="U256" s="794"/>
      <c r="V256" s="794"/>
      <c r="W256" s="794"/>
      <c r="X256" s="794"/>
      <c r="Y256" s="794"/>
      <c r="Z256" s="794"/>
      <c r="AA256" s="794"/>
      <c r="AB256" s="794"/>
      <c r="AC256" s="794"/>
      <c r="AD256" s="794"/>
      <c r="AE256" s="794"/>
    </row>
    <row r="257" spans="1:84">
      <c r="A257" s="169"/>
      <c r="B257" s="1087" t="str">
        <f>IF(SUM(COUNTIF(S227:AD234,"NS"),COUNTIF(M242:AD249,"NS"))&lt;&gt;0,"Alerta: debido a que cuenta con registros NS, debe proporcionar una justificación en el area de comentarios al final de la pregunta","")</f>
        <v/>
      </c>
      <c r="C257" s="1087"/>
      <c r="D257" s="1087"/>
      <c r="E257" s="1087"/>
      <c r="F257" s="1087"/>
      <c r="G257" s="1087"/>
      <c r="H257" s="1087"/>
      <c r="I257" s="1087"/>
      <c r="J257" s="1087"/>
      <c r="K257" s="1087"/>
      <c r="L257" s="1087"/>
      <c r="M257" s="1087"/>
      <c r="N257" s="1087"/>
      <c r="O257" s="1087"/>
      <c r="P257" s="1087"/>
      <c r="Q257" s="1087"/>
      <c r="R257" s="1087"/>
      <c r="S257" s="1087"/>
      <c r="T257" s="1087"/>
      <c r="U257" s="1087"/>
      <c r="V257" s="1087"/>
      <c r="W257" s="1087"/>
      <c r="X257" s="1087"/>
      <c r="Y257" s="1087"/>
      <c r="Z257" s="1087"/>
      <c r="AA257" s="1087"/>
      <c r="AB257" s="1087"/>
      <c r="AC257" s="1087"/>
      <c r="AD257" s="1087"/>
      <c r="AE257" s="1087"/>
    </row>
    <row r="258" spans="1:84">
      <c r="A258" s="169"/>
      <c r="B258" s="1003" t="str">
        <f>IF(AH235&gt;0,"Revise la información capturada, ya que tiene datos ingresados en celdas que están sombreadas","")</f>
        <v/>
      </c>
      <c r="C258" s="1003"/>
      <c r="D258" s="1003"/>
      <c r="E258" s="1003"/>
      <c r="F258" s="1003"/>
      <c r="G258" s="1003"/>
      <c r="H258" s="1003"/>
      <c r="I258" s="1003"/>
      <c r="J258" s="1003"/>
      <c r="K258" s="1003"/>
      <c r="L258" s="1003"/>
      <c r="M258" s="1003"/>
      <c r="N258" s="1003"/>
      <c r="O258" s="1003"/>
      <c r="P258" s="1003"/>
      <c r="Q258" s="1003"/>
      <c r="R258" s="1003"/>
      <c r="S258" s="1003"/>
      <c r="T258" s="1003"/>
      <c r="U258" s="1003"/>
      <c r="V258" s="1003"/>
      <c r="W258" s="1003"/>
      <c r="X258" s="1003"/>
      <c r="Y258" s="1003"/>
      <c r="Z258" s="1003"/>
      <c r="AA258" s="1003"/>
      <c r="AB258" s="1003"/>
      <c r="AC258" s="1003"/>
      <c r="AD258" s="1003"/>
      <c r="AE258" s="1003"/>
    </row>
    <row r="259" spans="1:84">
      <c r="A259" s="169"/>
      <c r="B259" s="1003" t="str">
        <f>IF(AL253&gt;0,"Favor de revisar la suma y consistencia de totales y/o subtotales por filas (numéricos y NS)",IF(AF235=0,"","Debido a que cuenta con registro(s) con el código 1, el total de la fila respectiva debe ser mayor a cero"))</f>
        <v/>
      </c>
      <c r="C259" s="1003"/>
      <c r="D259" s="1003"/>
      <c r="E259" s="1003"/>
      <c r="F259" s="1003"/>
      <c r="G259" s="1003"/>
      <c r="H259" s="1003"/>
      <c r="I259" s="1003"/>
      <c r="J259" s="1003"/>
      <c r="K259" s="1003"/>
      <c r="L259" s="1003"/>
      <c r="M259" s="1003"/>
      <c r="N259" s="1003"/>
      <c r="O259" s="1003"/>
      <c r="P259" s="1003"/>
      <c r="Q259" s="1003"/>
      <c r="R259" s="1003"/>
      <c r="S259" s="1003"/>
      <c r="T259" s="1003"/>
      <c r="U259" s="1003"/>
      <c r="V259" s="1003"/>
      <c r="W259" s="1003"/>
      <c r="X259" s="1003"/>
      <c r="Y259" s="1003"/>
      <c r="Z259" s="1003"/>
      <c r="AA259" s="1003"/>
      <c r="AB259" s="1003"/>
      <c r="AC259" s="1003"/>
      <c r="AD259" s="1003"/>
      <c r="AE259" s="1003"/>
    </row>
    <row r="260" spans="1:84">
      <c r="A260" s="169"/>
      <c r="B260" s="794" t="str">
        <f>IF(AY235&gt;0,"Favor de revisar la instrucción 2, debido a que no se cumplen con los criterios mencionados","")</f>
        <v/>
      </c>
      <c r="C260" s="794"/>
      <c r="D260" s="794"/>
      <c r="E260" s="794"/>
      <c r="F260" s="794"/>
      <c r="G260" s="794"/>
      <c r="H260" s="794"/>
      <c r="I260" s="794"/>
      <c r="J260" s="794"/>
      <c r="K260" s="794"/>
      <c r="L260" s="794"/>
      <c r="M260" s="794"/>
      <c r="N260" s="794"/>
      <c r="O260" s="794"/>
      <c r="P260" s="794"/>
      <c r="Q260" s="794"/>
      <c r="R260" s="794"/>
      <c r="S260" s="794"/>
      <c r="T260" s="794"/>
      <c r="U260" s="794"/>
      <c r="V260" s="794"/>
      <c r="W260" s="794"/>
      <c r="X260" s="794"/>
      <c r="Y260" s="794"/>
      <c r="Z260" s="794"/>
      <c r="AA260" s="794"/>
      <c r="AB260" s="794"/>
      <c r="AC260" s="794"/>
      <c r="AD260" s="794"/>
      <c r="AE260" s="794"/>
    </row>
    <row r="261" spans="1:84">
      <c r="A261" s="169"/>
      <c r="B261" s="795" t="str">
        <f>IF(BT250&gt;0,"Alerta: debe de proporcionar una justificación de acuerdo a lo establecido en la instrucción 3","")</f>
        <v/>
      </c>
      <c r="C261" s="795"/>
      <c r="D261" s="795"/>
      <c r="E261" s="795"/>
      <c r="F261" s="795"/>
      <c r="G261" s="795"/>
      <c r="H261" s="795"/>
      <c r="I261" s="795"/>
      <c r="J261" s="795"/>
      <c r="K261" s="795"/>
      <c r="L261" s="795"/>
      <c r="M261" s="795"/>
      <c r="N261" s="795"/>
      <c r="O261" s="795"/>
      <c r="P261" s="795"/>
      <c r="Q261" s="795"/>
      <c r="R261" s="795"/>
      <c r="S261" s="795"/>
      <c r="T261" s="795"/>
      <c r="U261" s="795"/>
      <c r="V261" s="795"/>
      <c r="W261" s="795"/>
      <c r="X261" s="795"/>
      <c r="Y261" s="795"/>
      <c r="Z261" s="795"/>
      <c r="AA261" s="795"/>
      <c r="AB261" s="795"/>
      <c r="AC261" s="795"/>
      <c r="AD261" s="795"/>
      <c r="AE261" s="795"/>
    </row>
    <row r="262" spans="1:84" ht="36" customHeight="1">
      <c r="A262" s="49" t="s">
        <v>5866</v>
      </c>
      <c r="B262" s="829" t="s">
        <v>5867</v>
      </c>
      <c r="C262" s="829"/>
      <c r="D262" s="829"/>
      <c r="E262" s="829"/>
      <c r="F262" s="829"/>
      <c r="G262" s="829"/>
      <c r="H262" s="829"/>
      <c r="I262" s="829"/>
      <c r="J262" s="829"/>
      <c r="K262" s="829"/>
      <c r="L262" s="829"/>
      <c r="M262" s="829"/>
      <c r="N262" s="829"/>
      <c r="O262" s="829"/>
      <c r="P262" s="829"/>
      <c r="Q262" s="829"/>
      <c r="R262" s="829"/>
      <c r="S262" s="829"/>
      <c r="T262" s="829"/>
      <c r="U262" s="829"/>
      <c r="V262" s="829"/>
      <c r="W262" s="829"/>
      <c r="X262" s="829"/>
      <c r="Y262" s="829"/>
      <c r="Z262" s="829"/>
      <c r="AA262" s="829"/>
      <c r="AB262" s="829"/>
      <c r="AC262" s="829"/>
      <c r="AD262" s="829"/>
    </row>
    <row r="263" spans="1:84" ht="24" customHeight="1">
      <c r="A263" s="169"/>
      <c r="B263" s="90"/>
      <c r="C263" s="830" t="s">
        <v>5868</v>
      </c>
      <c r="D263" s="830"/>
      <c r="E263" s="830"/>
      <c r="F263" s="830"/>
      <c r="G263" s="830"/>
      <c r="H263" s="830"/>
      <c r="I263" s="830"/>
      <c r="J263" s="830"/>
      <c r="K263" s="830"/>
      <c r="L263" s="830"/>
      <c r="M263" s="830"/>
      <c r="N263" s="830"/>
      <c r="O263" s="830"/>
      <c r="P263" s="830"/>
      <c r="Q263" s="830"/>
      <c r="R263" s="830"/>
      <c r="S263" s="830"/>
      <c r="T263" s="830"/>
      <c r="U263" s="830"/>
      <c r="V263" s="830"/>
      <c r="W263" s="830"/>
      <c r="X263" s="830"/>
      <c r="Y263" s="830"/>
      <c r="Z263" s="830"/>
      <c r="AA263" s="830"/>
      <c r="AB263" s="830"/>
      <c r="AC263" s="830"/>
      <c r="AD263" s="830"/>
    </row>
    <row r="264" spans="1:84" ht="36" customHeight="1">
      <c r="A264" s="169"/>
      <c r="B264" s="90"/>
      <c r="C264" s="754" t="s">
        <v>5869</v>
      </c>
      <c r="D264" s="754"/>
      <c r="E264" s="754"/>
      <c r="F264" s="754"/>
      <c r="G264" s="754"/>
      <c r="H264" s="754"/>
      <c r="I264" s="754"/>
      <c r="J264" s="754"/>
      <c r="K264" s="754"/>
      <c r="L264" s="754"/>
      <c r="M264" s="754"/>
      <c r="N264" s="754"/>
      <c r="O264" s="754"/>
      <c r="P264" s="754"/>
      <c r="Q264" s="754"/>
      <c r="R264" s="754"/>
      <c r="S264" s="754"/>
      <c r="T264" s="754"/>
      <c r="U264" s="754"/>
      <c r="V264" s="754"/>
      <c r="W264" s="754"/>
      <c r="X264" s="754"/>
      <c r="Y264" s="754"/>
      <c r="Z264" s="754"/>
      <c r="AA264" s="754"/>
      <c r="AB264" s="754"/>
      <c r="AC264" s="754"/>
      <c r="AD264" s="754"/>
    </row>
    <row r="265" spans="1:84" ht="48" customHeight="1">
      <c r="A265" s="169"/>
      <c r="B265" s="90"/>
      <c r="C265" s="754" t="s">
        <v>5870</v>
      </c>
      <c r="D265" s="754"/>
      <c r="E265" s="754"/>
      <c r="F265" s="754"/>
      <c r="G265" s="754"/>
      <c r="H265" s="754"/>
      <c r="I265" s="754"/>
      <c r="J265" s="754"/>
      <c r="K265" s="754"/>
      <c r="L265" s="754"/>
      <c r="M265" s="754"/>
      <c r="N265" s="754"/>
      <c r="O265" s="754"/>
      <c r="P265" s="754"/>
      <c r="Q265" s="754"/>
      <c r="R265" s="754"/>
      <c r="S265" s="754"/>
      <c r="T265" s="754"/>
      <c r="U265" s="754"/>
      <c r="V265" s="754"/>
      <c r="W265" s="754"/>
      <c r="X265" s="754"/>
      <c r="Y265" s="754"/>
      <c r="Z265" s="754"/>
      <c r="AA265" s="754"/>
      <c r="AB265" s="754"/>
      <c r="AC265" s="754"/>
      <c r="AD265" s="754"/>
    </row>
    <row r="266" spans="1:84" ht="24" customHeight="1">
      <c r="A266" s="169"/>
      <c r="B266" s="90"/>
      <c r="C266" s="754" t="s">
        <v>5871</v>
      </c>
      <c r="D266" s="754"/>
      <c r="E266" s="754"/>
      <c r="F266" s="754"/>
      <c r="G266" s="754"/>
      <c r="H266" s="754"/>
      <c r="I266" s="754"/>
      <c r="J266" s="754"/>
      <c r="K266" s="754"/>
      <c r="L266" s="754"/>
      <c r="M266" s="754"/>
      <c r="N266" s="754"/>
      <c r="O266" s="754"/>
      <c r="P266" s="754"/>
      <c r="Q266" s="754"/>
      <c r="R266" s="754"/>
      <c r="S266" s="754"/>
      <c r="T266" s="754"/>
      <c r="U266" s="754"/>
      <c r="V266" s="754"/>
      <c r="W266" s="754"/>
      <c r="X266" s="754"/>
      <c r="Y266" s="754"/>
      <c r="Z266" s="754"/>
      <c r="AA266" s="754"/>
      <c r="AB266" s="754"/>
      <c r="AC266" s="754"/>
      <c r="AD266" s="754"/>
    </row>
    <row r="267" spans="1:84" ht="15" customHeight="1">
      <c r="A267" s="169"/>
      <c r="B267" s="90"/>
      <c r="C267" s="75"/>
      <c r="D267" s="75"/>
      <c r="E267" s="75"/>
      <c r="F267" s="75"/>
      <c r="G267" s="75"/>
      <c r="H267" s="75"/>
      <c r="I267" s="75"/>
      <c r="J267" s="75"/>
      <c r="K267" s="75"/>
      <c r="L267" s="75"/>
      <c r="M267" s="75"/>
      <c r="N267" s="75"/>
      <c r="O267" s="75"/>
      <c r="P267" s="75"/>
      <c r="Q267" s="75"/>
      <c r="R267" s="75"/>
      <c r="S267" s="75"/>
      <c r="T267" s="75"/>
      <c r="U267" s="75"/>
      <c r="V267" s="75"/>
      <c r="W267" s="75"/>
      <c r="X267" s="75"/>
      <c r="Y267" s="75"/>
      <c r="Z267" s="75"/>
      <c r="AA267" s="75"/>
      <c r="AB267" s="75"/>
      <c r="AC267" s="75"/>
      <c r="AD267" s="75"/>
    </row>
    <row r="268" spans="1:84">
      <c r="A268" s="169"/>
      <c r="B268" s="90"/>
      <c r="C268" s="90"/>
      <c r="D268" s="90"/>
      <c r="E268" s="90"/>
      <c r="F268" s="90"/>
      <c r="G268" s="90"/>
      <c r="H268" s="90"/>
      <c r="I268" s="90"/>
      <c r="J268" s="90"/>
      <c r="K268" s="90"/>
      <c r="L268" s="90"/>
      <c r="M268" s="90"/>
      <c r="N268" s="90"/>
      <c r="O268" s="90"/>
      <c r="P268" s="90"/>
      <c r="Q268" s="90"/>
      <c r="R268" s="90"/>
      <c r="S268" s="90"/>
      <c r="T268" s="90"/>
      <c r="U268" s="90"/>
      <c r="V268" s="90"/>
      <c r="W268" s="90"/>
      <c r="X268" s="90"/>
      <c r="Y268" s="90"/>
      <c r="Z268" s="90"/>
      <c r="AA268" s="875" t="s">
        <v>2664</v>
      </c>
      <c r="AB268" s="875"/>
      <c r="AC268" s="875"/>
      <c r="AD268" s="875"/>
    </row>
    <row r="269" spans="1:84" ht="24" customHeight="1">
      <c r="A269" s="50"/>
      <c r="B269" s="38"/>
      <c r="C269" s="732" t="s">
        <v>2581</v>
      </c>
      <c r="D269" s="732"/>
      <c r="E269" s="732"/>
      <c r="F269" s="732"/>
      <c r="G269" s="732" t="s">
        <v>5872</v>
      </c>
      <c r="H269" s="732"/>
      <c r="I269" s="732"/>
      <c r="J269" s="732"/>
      <c r="K269" s="732"/>
      <c r="L269" s="732"/>
      <c r="M269" s="732"/>
      <c r="N269" s="732"/>
      <c r="O269" s="732"/>
      <c r="P269" s="732"/>
      <c r="Q269" s="732"/>
      <c r="R269" s="732"/>
      <c r="S269" s="732"/>
      <c r="T269" s="732"/>
      <c r="U269" s="732"/>
      <c r="V269" s="732"/>
      <c r="W269" s="732"/>
      <c r="X269" s="732"/>
      <c r="Y269" s="732"/>
      <c r="Z269" s="732"/>
      <c r="AA269" s="732"/>
      <c r="AB269" s="732"/>
      <c r="AC269" s="732"/>
      <c r="AD269" s="732"/>
    </row>
    <row r="270" spans="1:84" ht="120" customHeight="1">
      <c r="A270" s="50"/>
      <c r="B270" s="38"/>
      <c r="C270" s="732"/>
      <c r="D270" s="732"/>
      <c r="E270" s="732"/>
      <c r="F270" s="732"/>
      <c r="G270" s="958" t="s">
        <v>2628</v>
      </c>
      <c r="H270" s="959" t="s">
        <v>2629</v>
      </c>
      <c r="I270" s="959" t="s">
        <v>2630</v>
      </c>
      <c r="J270" s="857" t="s">
        <v>5873</v>
      </c>
      <c r="K270" s="857"/>
      <c r="L270" s="857"/>
      <c r="M270" s="857" t="s">
        <v>5874</v>
      </c>
      <c r="N270" s="857"/>
      <c r="O270" s="857"/>
      <c r="P270" s="857" t="s">
        <v>5875</v>
      </c>
      <c r="Q270" s="857"/>
      <c r="R270" s="857"/>
      <c r="S270" s="857" t="s">
        <v>5876</v>
      </c>
      <c r="T270" s="857"/>
      <c r="U270" s="857"/>
      <c r="V270" s="857" t="s">
        <v>5877</v>
      </c>
      <c r="W270" s="857"/>
      <c r="X270" s="857"/>
      <c r="Y270" s="857" t="s">
        <v>5878</v>
      </c>
      <c r="Z270" s="857"/>
      <c r="AA270" s="857"/>
      <c r="AB270" s="857" t="s">
        <v>5879</v>
      </c>
      <c r="AC270" s="857"/>
      <c r="AD270" s="857"/>
    </row>
    <row r="271" spans="1:84" ht="48" customHeight="1">
      <c r="A271" s="50"/>
      <c r="B271" s="38"/>
      <c r="C271" s="732"/>
      <c r="D271" s="732"/>
      <c r="E271" s="732"/>
      <c r="F271" s="732"/>
      <c r="G271" s="888"/>
      <c r="H271" s="890"/>
      <c r="I271" s="890"/>
      <c r="J271" s="198" t="s">
        <v>2635</v>
      </c>
      <c r="K271" s="128" t="s">
        <v>2629</v>
      </c>
      <c r="L271" s="128" t="s">
        <v>2630</v>
      </c>
      <c r="M271" s="198" t="s">
        <v>2635</v>
      </c>
      <c r="N271" s="128" t="s">
        <v>2629</v>
      </c>
      <c r="O271" s="128" t="s">
        <v>2630</v>
      </c>
      <c r="P271" s="127" t="s">
        <v>2635</v>
      </c>
      <c r="Q271" s="128" t="s">
        <v>2629</v>
      </c>
      <c r="R271" s="128" t="s">
        <v>2630</v>
      </c>
      <c r="S271" s="127" t="s">
        <v>2635</v>
      </c>
      <c r="T271" s="128" t="s">
        <v>2629</v>
      </c>
      <c r="U271" s="128" t="s">
        <v>2630</v>
      </c>
      <c r="V271" s="127" t="s">
        <v>2635</v>
      </c>
      <c r="W271" s="128" t="s">
        <v>2629</v>
      </c>
      <c r="X271" s="128" t="s">
        <v>2630</v>
      </c>
      <c r="Y271" s="127" t="s">
        <v>2635</v>
      </c>
      <c r="Z271" s="128" t="s">
        <v>2629</v>
      </c>
      <c r="AA271" s="128" t="s">
        <v>2630</v>
      </c>
      <c r="AB271" s="127" t="s">
        <v>2635</v>
      </c>
      <c r="AC271" s="128" t="s">
        <v>2629</v>
      </c>
      <c r="AD271" s="128" t="s">
        <v>2630</v>
      </c>
      <c r="AG271" t="s">
        <v>2586</v>
      </c>
      <c r="AH271" t="s">
        <v>4581</v>
      </c>
      <c r="AI271"/>
      <c r="AJ271"/>
      <c r="AK271" t="s">
        <v>4573</v>
      </c>
      <c r="AL271" t="s">
        <v>2638</v>
      </c>
      <c r="AM271" t="s">
        <v>2639</v>
      </c>
      <c r="AN271" t="s">
        <v>4574</v>
      </c>
      <c r="AO271" t="s">
        <v>2641</v>
      </c>
      <c r="AP271" t="s">
        <v>2642</v>
      </c>
      <c r="AQ271" t="s">
        <v>4575</v>
      </c>
      <c r="AR271" t="s">
        <v>2644</v>
      </c>
      <c r="AS271" t="s">
        <v>2645</v>
      </c>
      <c r="AT271" t="s">
        <v>4576</v>
      </c>
      <c r="AU271" t="s">
        <v>2647</v>
      </c>
      <c r="AV271" t="s">
        <v>2648</v>
      </c>
      <c r="AW271" t="s">
        <v>5177</v>
      </c>
      <c r="AX271" t="s">
        <v>2757</v>
      </c>
      <c r="AY271" t="s">
        <v>2758</v>
      </c>
      <c r="AZ271" t="s">
        <v>5194</v>
      </c>
      <c r="BA271" t="s">
        <v>2760</v>
      </c>
      <c r="BB271" t="s">
        <v>2761</v>
      </c>
      <c r="BC271" t="s">
        <v>5195</v>
      </c>
      <c r="BD271" t="s">
        <v>2763</v>
      </c>
      <c r="BE271" t="s">
        <v>2764</v>
      </c>
      <c r="BF271" t="s">
        <v>5563</v>
      </c>
      <c r="BG271" t="s">
        <v>2766</v>
      </c>
      <c r="BH271" t="s">
        <v>2767</v>
      </c>
      <c r="BI271" t="s">
        <v>5291</v>
      </c>
      <c r="BJ271"/>
      <c r="BK271"/>
      <c r="BL271" t="s">
        <v>5290</v>
      </c>
      <c r="BM271"/>
      <c r="BN271"/>
      <c r="BO271"/>
      <c r="BP271"/>
      <c r="BQ271"/>
      <c r="BR271"/>
      <c r="BS271"/>
      <c r="BT271"/>
      <c r="BU271"/>
      <c r="BV271"/>
      <c r="BW271"/>
      <c r="BX271"/>
      <c r="BY271"/>
      <c r="BZ271"/>
      <c r="CA271"/>
      <c r="CB271"/>
      <c r="CC271"/>
      <c r="CD271"/>
      <c r="CE271"/>
      <c r="CF271"/>
    </row>
    <row r="272" spans="1:84">
      <c r="A272" s="142"/>
      <c r="B272" s="57"/>
      <c r="C272" s="44" t="s">
        <v>2516</v>
      </c>
      <c r="D272" s="872" t="str">
        <f>IF(CNSIPEE_2024_M2_Secc1!D42="","",CNSIPEE_2024_M2_Secc1!D42)</f>
        <v/>
      </c>
      <c r="E272" s="872"/>
      <c r="F272" s="872"/>
      <c r="G272" s="100"/>
      <c r="H272" s="100"/>
      <c r="I272" s="100"/>
      <c r="J272" s="100"/>
      <c r="K272" s="100"/>
      <c r="L272" s="100"/>
      <c r="M272" s="100"/>
      <c r="N272" s="100"/>
      <c r="O272" s="100"/>
      <c r="P272" s="100"/>
      <c r="Q272" s="100"/>
      <c r="R272" s="100"/>
      <c r="S272" s="100"/>
      <c r="T272" s="100"/>
      <c r="U272" s="100"/>
      <c r="V272" s="100"/>
      <c r="W272" s="100"/>
      <c r="X272" s="100"/>
      <c r="Y272" s="100"/>
      <c r="Z272" s="100"/>
      <c r="AA272" s="100"/>
      <c r="AB272" s="100"/>
      <c r="AC272" s="100"/>
      <c r="AD272" s="100"/>
      <c r="AG272">
        <f>IF(OR($M242=0,$M242="NS",$M242="NA"),0,IF(OR(SUM(COUNTBLANK(D272:AD272),COUNTBLANK(G286:AD286))=2,SUM(COUNTBLANK(D272:AD272),COUNTBLANK(G286:AD286))=51),0,1))</f>
        <v>0</v>
      </c>
      <c r="AH272">
        <f t="shared" ref="AH272:AH279" si="181">IF(OR($M242=0,$M242="NS",$M242="NA"),IF(SUM(COUNTBLANK(G272:AD272),COUNTBLANK(G286:AD286))=48,0,1),0)</f>
        <v>0</v>
      </c>
      <c r="AI272"/>
      <c r="AJ272"/>
      <c r="AK272">
        <f t="shared" ref="AK272:AK279" si="182">COUNTIF(H272:I272,"NS")</f>
        <v>0</v>
      </c>
      <c r="AL272">
        <f t="shared" ref="AL272:AL279" si="183">SUM(H272:I272)</f>
        <v>0</v>
      </c>
      <c r="AM272">
        <f>IF(COUNTIF(G272:I272,"NA")=3,0,IF(COUNTA(G272:I272)=0,0,IF(OR(AND(G272=0,AK272&gt;0),AND(G272="ns",AL272&gt;0),AND(G272="ns",AK272=0,AL272=0)),1,IF(OR(AND(G272&gt;0,AK272=2),AND(G272="ns",AK272=2),AND(G272="ns",AL272=0,AK272&gt;0),G272=AL272),0,1))))</f>
        <v>0</v>
      </c>
      <c r="AN272">
        <f t="shared" ref="AN272:AN279" si="184">COUNTIF(K272:L272,"NS")</f>
        <v>0</v>
      </c>
      <c r="AO272">
        <f t="shared" ref="AO272:AO279" si="185">SUM(K272:L272)</f>
        <v>0</v>
      </c>
      <c r="AP272">
        <f t="shared" ref="AP272:AP279" si="186">IF(COUNTIF(J272:L272,"NA")=3,0,IF(COUNTA(J272:L272)=0,0,IF(OR(AND(J272=0,AN272&gt;0),AND(J272="ns",AO272&gt;0),AND(J272="ns",AN272=0,AO272=0)),1,IF(OR(AND(J272&gt;0,AN272=2),AND(J272="ns",AN272=2),AND(J272="ns",AO272=0,AN272&gt;0),J272=AO272),0,1))))</f>
        <v>0</v>
      </c>
      <c r="AQ272">
        <f t="shared" ref="AQ272:AQ279" si="187">COUNTIF(N272:O272,"NS")</f>
        <v>0</v>
      </c>
      <c r="AR272">
        <f t="shared" ref="AR272:AR279" si="188">SUM(N272:O272)</f>
        <v>0</v>
      </c>
      <c r="AS272">
        <f t="shared" ref="AS272:AS279" si="189">IF(COUNTIF(M272:O272,"NA")=3,0,IF(COUNTA(M272:O272)=0,0,IF(OR(AND(M272=0,AQ272&gt;0),AND(M272="ns",AR272&gt;0),AND(M272="ns",AQ272=0,AR272=0)),1,IF(OR(AND(M272&gt;0,AQ272=2),AND(M272="ns",AQ272=2),AND(M272="ns",AR272=0,AQ272&gt;0),M272=AR272),0,1))))</f>
        <v>0</v>
      </c>
      <c r="AT272">
        <f t="shared" ref="AT272:AT279" si="190">COUNTIF(Q272:R272,"NS")</f>
        <v>0</v>
      </c>
      <c r="AU272">
        <f t="shared" ref="AU272:AU279" si="191">SUM(Q272:R272)</f>
        <v>0</v>
      </c>
      <c r="AV272">
        <f t="shared" ref="AV272:AV279" si="192">IF(COUNTIF(P272:R272,"NA")=3,0,IF(COUNTA(P272:R272)=0,0,IF(OR(AND(P272=0,AT272&gt;0),AND(P272="ns",AU272&gt;0),AND(P272="ns",AT272=0,AU272=0)),1,IF(OR(AND(P272&gt;0,AT272=2),AND(P272="ns",AT272=2),AND(P272="ns",AU272=0,AT272&gt;0),P272=AU272),0,1))))</f>
        <v>0</v>
      </c>
      <c r="AW272">
        <f t="shared" ref="AW272:AW279" si="193">COUNTIF(T272:U272,"NS")</f>
        <v>0</v>
      </c>
      <c r="AX272">
        <f t="shared" ref="AX272:AX279" si="194">SUM(T272:U272)</f>
        <v>0</v>
      </c>
      <c r="AY272">
        <f t="shared" ref="AY272:AY279" si="195">IF(COUNTIF(S272:U272,"NA")=3,0,IF(COUNTA(S272:U272)=0,0,IF(OR(AND(S272=0,AW272&gt;0),AND(S272="ns",AX272&gt;0),AND(S272="ns",AW272=0,AX272=0)),1,IF(OR(AND(S272&gt;0,AW272=2),AND(S272="ns",AW272=2),AND(S272="ns",AX272=0,AW272&gt;0),S272=AX272),0,1))))</f>
        <v>0</v>
      </c>
      <c r="AZ272">
        <f t="shared" ref="AZ272:AZ279" si="196">COUNTIF(W272:X272,"NS")</f>
        <v>0</v>
      </c>
      <c r="BA272">
        <f t="shared" ref="BA272:BA279" si="197">SUM(W272:X272)</f>
        <v>0</v>
      </c>
      <c r="BB272">
        <f t="shared" ref="BB272:BB279" si="198">IF(COUNTIF(V272:X272,"NA")=3,0,IF(COUNTA(V272:X272)=0,0,IF(OR(AND(V272=0,AZ272&gt;0),AND(V272="ns",BA272&gt;0),AND(V272="ns",AZ272=0,BA272=0)),1,IF(OR(AND(V272&gt;0,AZ272=2),AND(V272="ns",AZ272=2),AND(V272="ns",BA272=0,AZ272&gt;0),V272=BA272),0,1))))</f>
        <v>0</v>
      </c>
      <c r="BC272">
        <f t="shared" ref="BC272:BC279" si="199">COUNTIF(Z272:AA272,"NS")</f>
        <v>0</v>
      </c>
      <c r="BD272">
        <f t="shared" ref="BD272:BD279" si="200">SUM(Z272:AA272)</f>
        <v>0</v>
      </c>
      <c r="BE272">
        <f t="shared" ref="BE272:BE279" si="201">IF(COUNTIF(Y272:AA272,"NA")=3,0,IF(COUNTA(Y272:AA272)=0,0,IF(OR(AND(Y272=0,BC272&gt;0),AND(Y272="ns",BD272&gt;0),AND(Y272="ns",BC272=0,BD272=0)),1,IF(OR(AND(Y272&gt;0,BC272=2),AND(Y272="ns",BC272=2),AND(Y272="ns",BD272=0,BC272&gt;0),Y272=BD272),0,1))))</f>
        <v>0</v>
      </c>
      <c r="BF272">
        <f t="shared" ref="BF272:BF279" si="202">COUNTIF(AC272:AD272,"NS")</f>
        <v>0</v>
      </c>
      <c r="BG272">
        <f t="shared" ref="BG272:BG279" si="203">SUM(AC272:AD272)</f>
        <v>0</v>
      </c>
      <c r="BH272">
        <f t="shared" ref="BH272:BH279" si="204">IF(COUNTIF(AB272:AD272,"NA")=3,0,IF(COUNTA(AB272:AD272)=0,0,IF(OR(AND(AB272=0,BF272&gt;0),AND(AB272="ns",BG272&gt;0),AND(AB272="ns",BF272=0,BG272=0)),1,IF(OR(AND(AB272&gt;0,BF272=2),AND(AB272="ns",BF272=2),AND(AB272="ns",BG272=0,BF272&gt;0),AB272=BG272),0,1))))</f>
        <v>0</v>
      </c>
      <c r="BI272" cm="1">
        <f t="array" ref="BI272">IF(OR(G272={"NS","NA"},M242={"NS","NA"}),0,IF(G272&gt;=M242,0,1))</f>
        <v>0</v>
      </c>
      <c r="BJ272" cm="1">
        <f t="array" ref="BJ272">IF(OR(H272={"NS","NA"},N242={"NS","NA"}),0,IF(H272&gt;=N242,0,1))</f>
        <v>0</v>
      </c>
      <c r="BK272" cm="1">
        <f t="array" ref="BK272">IF(OR(I272={"NS","NA"},O242={"NS","NA"}),0,IF(I272&gt;=O242,0,1))</f>
        <v>0</v>
      </c>
      <c r="BL272" cm="1">
        <f t="array" ref="BL272">IF(OR(J272={"NS","NA"},$M242={"NS","NA"}),0,IF(J272&lt;=$M242,0,1))</f>
        <v>0</v>
      </c>
      <c r="BM272" cm="1">
        <f t="array" ref="BM272">IF(OR(K272={"NS","NA"},$N242={"NS","NA"}),0,IF(K272&lt;=$N242,0,1))</f>
        <v>0</v>
      </c>
      <c r="BN272" cm="1">
        <f t="array" ref="BN272">IF(OR(L272={"NS","NA"},$O242={"NS","NA"}),0,IF(L272&lt;=$O242,0,1))</f>
        <v>0</v>
      </c>
      <c r="BO272" cm="1">
        <f t="array" ref="BO272">IF(OR(M272={"NS","NA"},$M242={"NS","NA"}),0,IF(M272&lt;=$M242,0,1))</f>
        <v>0</v>
      </c>
      <c r="BP272" cm="1">
        <f t="array" ref="BP272">IF(OR(N272={"NS","NA"},$N242={"NS","NA"}),0,IF(N272&lt;=$N242,0,1))</f>
        <v>0</v>
      </c>
      <c r="BQ272" cm="1">
        <f t="array" ref="BQ272">IF(OR(O272={"NS","NA"},$O242={"NS","NA"}),0,IF(O272&lt;=$O242,0,1))</f>
        <v>0</v>
      </c>
      <c r="BR272" cm="1">
        <f t="array" ref="BR272">IF(OR(P272={"NS","NA"},$M242={"NS","NA"}),0,IF(P272&lt;=$M242,0,1))</f>
        <v>0</v>
      </c>
      <c r="BS272" cm="1">
        <f t="array" ref="BS272">IF(OR(Q272={"NS","NA"},$N242={"NS","NA"}),0,IF(Q272&lt;=$N242,0,1))</f>
        <v>0</v>
      </c>
      <c r="BT272" cm="1">
        <f t="array" ref="BT272">IF(OR(R272={"NS","NA"},$O242={"NS","NA"}),0,IF(R272&lt;=$O242,0,1))</f>
        <v>0</v>
      </c>
      <c r="BU272" cm="1">
        <f t="array" ref="BU272">IF(OR(S272={"NS","NA"},$M242={"NS","NA"}),0,IF(S272&lt;=$M242,0,1))</f>
        <v>0</v>
      </c>
      <c r="BV272" cm="1">
        <f t="array" ref="BV272">IF(OR(T272={"NS","NA"},$N242={"NS","NA"}),0,IF(T272&lt;=$N242,0,1))</f>
        <v>0</v>
      </c>
      <c r="BW272" cm="1">
        <f t="array" ref="BW272">IF(OR(U272={"NS","NA"},$O242={"NS","NA"}),0,IF(U272&lt;=$O242,0,1))</f>
        <v>0</v>
      </c>
      <c r="BX272" cm="1">
        <f t="array" ref="BX272">IF(OR(V272={"NS","NA"},$M242={"NS","NA"}),0,IF(V272&lt;=$M242,0,1))</f>
        <v>0</v>
      </c>
      <c r="BY272" cm="1">
        <f t="array" ref="BY272">IF(OR(W272={"NS","NA"},$N242={"NS","NA"}),0,IF(W272&lt;=$N242,0,1))</f>
        <v>0</v>
      </c>
      <c r="BZ272" cm="1">
        <f t="array" ref="BZ272">IF(OR(X272={"NS","NA"},$O242={"NS","NA"}),0,IF(X272&lt;=$O242,0,1))</f>
        <v>0</v>
      </c>
      <c r="CA272" cm="1">
        <f t="array" ref="CA272">IF(OR(Y272={"NS","NA"},$M242={"NS","NA"}),0,IF(Y272&lt;=$M242,0,1))</f>
        <v>0</v>
      </c>
      <c r="CB272" cm="1">
        <f t="array" ref="CB272">IF(OR(Z272={"NS","NA"},$N242={"NS","NA"}),0,IF(Z272&lt;=$N242,0,1))</f>
        <v>0</v>
      </c>
      <c r="CC272" cm="1">
        <f t="array" ref="CC272">IF(OR(AA272={"NS","NA"},$O242={"NS","NA"}),0,IF(AA272&lt;=$O242,0,1))</f>
        <v>0</v>
      </c>
      <c r="CD272" cm="1">
        <f t="array" ref="CD272">IF(OR(AB272={"NS","NA"},$M242={"NS","NA"}),0,IF(AB272&lt;=$M242,0,1))</f>
        <v>0</v>
      </c>
      <c r="CE272" cm="1">
        <f t="array" ref="CE272">IF(OR(AC272={"NS","NA"},$N242={"NS","NA"}),0,IF(AC272&lt;=$N242,0,1))</f>
        <v>0</v>
      </c>
      <c r="CF272" cm="1">
        <f t="array" ref="CF272">IF(OR(AD272={"NS","NA"},$O242={"NS","NA"}),0,IF(AD272&lt;=$O242,0,1))</f>
        <v>0</v>
      </c>
    </row>
    <row r="273" spans="1:84" ht="14.25" customHeight="1">
      <c r="A273" s="142"/>
      <c r="B273" s="57"/>
      <c r="C273" s="199" t="s">
        <v>2517</v>
      </c>
      <c r="D273" s="872" t="str">
        <f>IF(CNSIPEE_2024_M2_Secc1!D43="","",CNSIPEE_2024_M2_Secc1!D43)</f>
        <v/>
      </c>
      <c r="E273" s="872"/>
      <c r="F273" s="872"/>
      <c r="G273" s="100"/>
      <c r="H273" s="100"/>
      <c r="I273" s="100"/>
      <c r="J273" s="100"/>
      <c r="K273" s="100"/>
      <c r="L273" s="100"/>
      <c r="M273" s="100"/>
      <c r="N273" s="100"/>
      <c r="O273" s="100"/>
      <c r="P273" s="100"/>
      <c r="Q273" s="100"/>
      <c r="R273" s="100"/>
      <c r="S273" s="100"/>
      <c r="T273" s="100"/>
      <c r="U273" s="100"/>
      <c r="V273" s="100"/>
      <c r="W273" s="100"/>
      <c r="X273" s="100"/>
      <c r="Y273" s="100"/>
      <c r="Z273" s="100"/>
      <c r="AA273" s="100"/>
      <c r="AB273" s="100"/>
      <c r="AC273" s="100"/>
      <c r="AD273" s="100"/>
      <c r="AG273">
        <f t="shared" ref="AG273:AG278" si="205">IF(OR($M243=0,$M243="NS",$M243="NA"),0,IF(OR(SUM(COUNTBLANK(D273:AD273),COUNTBLANK(G287:AD287))=2,SUM(COUNTBLANK(D273:AD273),COUNTBLANK(G287:AD287))=51),0,1))</f>
        <v>0</v>
      </c>
      <c r="AH273">
        <f t="shared" si="181"/>
        <v>0</v>
      </c>
      <c r="AI273"/>
      <c r="AJ273"/>
      <c r="AK273">
        <f t="shared" si="182"/>
        <v>0</v>
      </c>
      <c r="AL273">
        <f t="shared" si="183"/>
        <v>0</v>
      </c>
      <c r="AM273">
        <f t="shared" ref="AM273:AM279" si="206">IF(COUNTIF(G273:I273,"NA")=3,0,IF(COUNTA(G273:I273)=0,0,IF(OR(AND(G273=0,AK273&gt;0),AND(G273="ns",AL273&gt;0),AND(G273="ns",AK273=0,AL273=0)),1,IF(OR(AND(G273&gt;0,AK273=2),AND(G273="ns",AK273=2),AND(G273="ns",AL273=0,AK273&gt;0),G273=AL273),0,1))))</f>
        <v>0</v>
      </c>
      <c r="AN273">
        <f t="shared" si="184"/>
        <v>0</v>
      </c>
      <c r="AO273">
        <f t="shared" si="185"/>
        <v>0</v>
      </c>
      <c r="AP273">
        <f t="shared" si="186"/>
        <v>0</v>
      </c>
      <c r="AQ273">
        <f t="shared" si="187"/>
        <v>0</v>
      </c>
      <c r="AR273">
        <f t="shared" si="188"/>
        <v>0</v>
      </c>
      <c r="AS273">
        <f t="shared" si="189"/>
        <v>0</v>
      </c>
      <c r="AT273">
        <f t="shared" si="190"/>
        <v>0</v>
      </c>
      <c r="AU273">
        <f t="shared" si="191"/>
        <v>0</v>
      </c>
      <c r="AV273">
        <f t="shared" si="192"/>
        <v>0</v>
      </c>
      <c r="AW273">
        <f t="shared" si="193"/>
        <v>0</v>
      </c>
      <c r="AX273">
        <f t="shared" si="194"/>
        <v>0</v>
      </c>
      <c r="AY273">
        <f t="shared" si="195"/>
        <v>0</v>
      </c>
      <c r="AZ273">
        <f t="shared" si="196"/>
        <v>0</v>
      </c>
      <c r="BA273">
        <f t="shared" si="197"/>
        <v>0</v>
      </c>
      <c r="BB273">
        <f t="shared" si="198"/>
        <v>0</v>
      </c>
      <c r="BC273">
        <f t="shared" si="199"/>
        <v>0</v>
      </c>
      <c r="BD273">
        <f t="shared" si="200"/>
        <v>0</v>
      </c>
      <c r="BE273">
        <f t="shared" si="201"/>
        <v>0</v>
      </c>
      <c r="BF273">
        <f t="shared" si="202"/>
        <v>0</v>
      </c>
      <c r="BG273">
        <f t="shared" si="203"/>
        <v>0</v>
      </c>
      <c r="BH273">
        <f t="shared" si="204"/>
        <v>0</v>
      </c>
      <c r="BI273" cm="1">
        <f t="array" ref="BI273">IF(OR(G273={"NS","NA"},M243={"NS","NA"}),0,IF(G273&gt;=M243,0,1))</f>
        <v>0</v>
      </c>
      <c r="BJ273" cm="1">
        <f t="array" ref="BJ273">IF(OR(H273={"NS","NA"},N243={"NS","NA"}),0,IF(H273&gt;=N243,0,1))</f>
        <v>0</v>
      </c>
      <c r="BK273" cm="1">
        <f t="array" ref="BK273">IF(OR(I273={"NS","NA"},O243={"NS","NA"}),0,IF(I273&gt;=O243,0,1))</f>
        <v>0</v>
      </c>
      <c r="BL273" cm="1">
        <f t="array" ref="BL273">IF(OR(J273={"NS","NA"},$M243={"NS","NA"}),0,IF(J273&lt;=$M243,0,1))</f>
        <v>0</v>
      </c>
      <c r="BM273" cm="1">
        <f t="array" ref="BM273">IF(OR(K273={"NS","NA"},$N243={"NS","NA"}),0,IF(K273&lt;=$N243,0,1))</f>
        <v>0</v>
      </c>
      <c r="BN273" cm="1">
        <f t="array" ref="BN273">IF(OR(L273={"NS","NA"},$O243={"NS","NA"}),0,IF(L273&lt;=$O243,0,1))</f>
        <v>0</v>
      </c>
      <c r="BO273" cm="1">
        <f t="array" ref="BO273">IF(OR(M273={"NS","NA"},$M243={"NS","NA"}),0,IF(M273&lt;=$M243,0,1))</f>
        <v>0</v>
      </c>
      <c r="BP273" cm="1">
        <f t="array" ref="BP273">IF(OR(N273={"NS","NA"},$N243={"NS","NA"}),0,IF(N273&lt;=$N243,0,1))</f>
        <v>0</v>
      </c>
      <c r="BQ273" cm="1">
        <f t="array" ref="BQ273">IF(OR(O273={"NS","NA"},$O243={"NS","NA"}),0,IF(O273&lt;=$O243,0,1))</f>
        <v>0</v>
      </c>
      <c r="BR273" cm="1">
        <f t="array" ref="BR273">IF(OR(P273={"NS","NA"},$M243={"NS","NA"}),0,IF(P273&lt;=$M243,0,1))</f>
        <v>0</v>
      </c>
      <c r="BS273" cm="1">
        <f t="array" ref="BS273">IF(OR(Q273={"NS","NA"},$N243={"NS","NA"}),0,IF(Q273&lt;=$N243,0,1))</f>
        <v>0</v>
      </c>
      <c r="BT273" cm="1">
        <f t="array" ref="BT273">IF(OR(R273={"NS","NA"},$O243={"NS","NA"}),0,IF(R273&lt;=$O243,0,1))</f>
        <v>0</v>
      </c>
      <c r="BU273" cm="1">
        <f t="array" ref="BU273">IF(OR(S273={"NS","NA"},$M243={"NS","NA"}),0,IF(S273&lt;=$M243,0,1))</f>
        <v>0</v>
      </c>
      <c r="BV273" cm="1">
        <f t="array" ref="BV273">IF(OR(T273={"NS","NA"},$N243={"NS","NA"}),0,IF(T273&lt;=$N243,0,1))</f>
        <v>0</v>
      </c>
      <c r="BW273" cm="1">
        <f t="array" ref="BW273">IF(OR(U273={"NS","NA"},$O243={"NS","NA"}),0,IF(U273&lt;=$O243,0,1))</f>
        <v>0</v>
      </c>
      <c r="BX273" cm="1">
        <f t="array" ref="BX273">IF(OR(V273={"NS","NA"},$M243={"NS","NA"}),0,IF(V273&lt;=$M243,0,1))</f>
        <v>0</v>
      </c>
      <c r="BY273" cm="1">
        <f t="array" ref="BY273">IF(OR(W273={"NS","NA"},$N243={"NS","NA"}),0,IF(W273&lt;=$N243,0,1))</f>
        <v>0</v>
      </c>
      <c r="BZ273" cm="1">
        <f t="array" ref="BZ273">IF(OR(X273={"NS","NA"},$O243={"NS","NA"}),0,IF(X273&lt;=$O243,0,1))</f>
        <v>0</v>
      </c>
      <c r="CA273" cm="1">
        <f t="array" ref="CA273">IF(OR(Y273={"NS","NA"},$M243={"NS","NA"}),0,IF(Y273&lt;=$M243,0,1))</f>
        <v>0</v>
      </c>
      <c r="CB273" cm="1">
        <f t="array" ref="CB273">IF(OR(Z273={"NS","NA"},$N243={"NS","NA"}),0,IF(Z273&lt;=$N243,0,1))</f>
        <v>0</v>
      </c>
      <c r="CC273" cm="1">
        <f t="array" ref="CC273">IF(OR(AA273={"NS","NA"},$O243={"NS","NA"}),0,IF(AA273&lt;=$O243,0,1))</f>
        <v>0</v>
      </c>
      <c r="CD273" cm="1">
        <f t="array" ref="CD273">IF(OR(AB273={"NS","NA"},$M243={"NS","NA"}),0,IF(AB273&lt;=$M243,0,1))</f>
        <v>0</v>
      </c>
      <c r="CE273" cm="1">
        <f t="array" ref="CE273">IF(OR(AC273={"NS","NA"},$N243={"NS","NA"}),0,IF(AC273&lt;=$N243,0,1))</f>
        <v>0</v>
      </c>
      <c r="CF273" cm="1">
        <f t="array" ref="CF273">IF(OR(AD273={"NS","NA"},$O243={"NS","NA"}),0,IF(AD273&lt;=$O243,0,1))</f>
        <v>0</v>
      </c>
    </row>
    <row r="274" spans="1:84">
      <c r="A274" s="142"/>
      <c r="B274" s="57"/>
      <c r="C274" s="143" t="s">
        <v>2518</v>
      </c>
      <c r="D274" s="872" t="str">
        <f>IF(CNSIPEE_2024_M2_Secc1!D44="","",CNSIPEE_2024_M2_Secc1!D44)</f>
        <v/>
      </c>
      <c r="E274" s="872"/>
      <c r="F274" s="872"/>
      <c r="G274" s="100"/>
      <c r="H274" s="100"/>
      <c r="I274" s="100"/>
      <c r="J274" s="100"/>
      <c r="K274" s="100"/>
      <c r="L274" s="100"/>
      <c r="M274" s="100"/>
      <c r="N274" s="100"/>
      <c r="O274" s="100"/>
      <c r="P274" s="100"/>
      <c r="Q274" s="100"/>
      <c r="R274" s="100"/>
      <c r="S274" s="100"/>
      <c r="T274" s="100"/>
      <c r="U274" s="100"/>
      <c r="V274" s="100"/>
      <c r="W274" s="100"/>
      <c r="X274" s="100"/>
      <c r="Y274" s="100"/>
      <c r="Z274" s="100"/>
      <c r="AA274" s="100"/>
      <c r="AB274" s="100"/>
      <c r="AC274" s="100"/>
      <c r="AD274" s="100"/>
      <c r="AG274">
        <f t="shared" si="205"/>
        <v>0</v>
      </c>
      <c r="AH274">
        <f t="shared" si="181"/>
        <v>0</v>
      </c>
      <c r="AI274"/>
      <c r="AJ274"/>
      <c r="AK274">
        <f t="shared" si="182"/>
        <v>0</v>
      </c>
      <c r="AL274">
        <f t="shared" si="183"/>
        <v>0</v>
      </c>
      <c r="AM274">
        <f t="shared" si="206"/>
        <v>0</v>
      </c>
      <c r="AN274">
        <f t="shared" si="184"/>
        <v>0</v>
      </c>
      <c r="AO274">
        <f t="shared" si="185"/>
        <v>0</v>
      </c>
      <c r="AP274">
        <f t="shared" si="186"/>
        <v>0</v>
      </c>
      <c r="AQ274">
        <f t="shared" si="187"/>
        <v>0</v>
      </c>
      <c r="AR274">
        <f t="shared" si="188"/>
        <v>0</v>
      </c>
      <c r="AS274">
        <f t="shared" si="189"/>
        <v>0</v>
      </c>
      <c r="AT274">
        <f t="shared" si="190"/>
        <v>0</v>
      </c>
      <c r="AU274">
        <f t="shared" si="191"/>
        <v>0</v>
      </c>
      <c r="AV274">
        <f t="shared" si="192"/>
        <v>0</v>
      </c>
      <c r="AW274">
        <f t="shared" si="193"/>
        <v>0</v>
      </c>
      <c r="AX274">
        <f t="shared" si="194"/>
        <v>0</v>
      </c>
      <c r="AY274">
        <f t="shared" si="195"/>
        <v>0</v>
      </c>
      <c r="AZ274">
        <f t="shared" si="196"/>
        <v>0</v>
      </c>
      <c r="BA274">
        <f t="shared" si="197"/>
        <v>0</v>
      </c>
      <c r="BB274">
        <f t="shared" si="198"/>
        <v>0</v>
      </c>
      <c r="BC274">
        <f t="shared" si="199"/>
        <v>0</v>
      </c>
      <c r="BD274">
        <f t="shared" si="200"/>
        <v>0</v>
      </c>
      <c r="BE274">
        <f t="shared" si="201"/>
        <v>0</v>
      </c>
      <c r="BF274">
        <f t="shared" si="202"/>
        <v>0</v>
      </c>
      <c r="BG274">
        <f t="shared" si="203"/>
        <v>0</v>
      </c>
      <c r="BH274">
        <f t="shared" si="204"/>
        <v>0</v>
      </c>
      <c r="BI274" cm="1">
        <f t="array" ref="BI274">IF(OR(G274={"NS","NA"},M244={"NS","NA"}),0,IF(G274&gt;=M244,0,1))</f>
        <v>0</v>
      </c>
      <c r="BJ274" cm="1">
        <f t="array" ref="BJ274">IF(OR(H274={"NS","NA"},N244={"NS","NA"}),0,IF(H274&gt;=N244,0,1))</f>
        <v>0</v>
      </c>
      <c r="BK274" cm="1">
        <f t="array" ref="BK274">IF(OR(I274={"NS","NA"},O244={"NS","NA"}),0,IF(I274&gt;=O244,0,1))</f>
        <v>0</v>
      </c>
      <c r="BL274" cm="1">
        <f t="array" ref="BL274">IF(OR(J274={"NS","NA"},$M244={"NS","NA"}),0,IF(J274&lt;=$M244,0,1))</f>
        <v>0</v>
      </c>
      <c r="BM274" cm="1">
        <f t="array" ref="BM274">IF(OR(K274={"NS","NA"},$N244={"NS","NA"}),0,IF(K274&lt;=$N244,0,1))</f>
        <v>0</v>
      </c>
      <c r="BN274" cm="1">
        <f t="array" ref="BN274">IF(OR(L274={"NS","NA"},$O244={"NS","NA"}),0,IF(L274&lt;=$O244,0,1))</f>
        <v>0</v>
      </c>
      <c r="BO274" cm="1">
        <f t="array" ref="BO274">IF(OR(M274={"NS","NA"},$M244={"NS","NA"}),0,IF(M274&lt;=$M244,0,1))</f>
        <v>0</v>
      </c>
      <c r="BP274" cm="1">
        <f t="array" ref="BP274">IF(OR(N274={"NS","NA"},$N244={"NS","NA"}),0,IF(N274&lt;=$N244,0,1))</f>
        <v>0</v>
      </c>
      <c r="BQ274" cm="1">
        <f t="array" ref="BQ274">IF(OR(O274={"NS","NA"},$O244={"NS","NA"}),0,IF(O274&lt;=$O244,0,1))</f>
        <v>0</v>
      </c>
      <c r="BR274" cm="1">
        <f t="array" ref="BR274">IF(OR(P274={"NS","NA"},$M244={"NS","NA"}),0,IF(P274&lt;=$M244,0,1))</f>
        <v>0</v>
      </c>
      <c r="BS274" cm="1">
        <f t="array" ref="BS274">IF(OR(Q274={"NS","NA"},$N244={"NS","NA"}),0,IF(Q274&lt;=$N244,0,1))</f>
        <v>0</v>
      </c>
      <c r="BT274" cm="1">
        <f t="array" ref="BT274">IF(OR(R274={"NS","NA"},$O244={"NS","NA"}),0,IF(R274&lt;=$O244,0,1))</f>
        <v>0</v>
      </c>
      <c r="BU274" cm="1">
        <f t="array" ref="BU274">IF(OR(S274={"NS","NA"},$M244={"NS","NA"}),0,IF(S274&lt;=$M244,0,1))</f>
        <v>0</v>
      </c>
      <c r="BV274" cm="1">
        <f t="array" ref="BV274">IF(OR(T274={"NS","NA"},$N244={"NS","NA"}),0,IF(T274&lt;=$N244,0,1))</f>
        <v>0</v>
      </c>
      <c r="BW274" cm="1">
        <f t="array" ref="BW274">IF(OR(U274={"NS","NA"},$O244={"NS","NA"}),0,IF(U274&lt;=$O244,0,1))</f>
        <v>0</v>
      </c>
      <c r="BX274" cm="1">
        <f t="array" ref="BX274">IF(OR(V274={"NS","NA"},$M244={"NS","NA"}),0,IF(V274&lt;=$M244,0,1))</f>
        <v>0</v>
      </c>
      <c r="BY274" cm="1">
        <f t="array" ref="BY274">IF(OR(W274={"NS","NA"},$N244={"NS","NA"}),0,IF(W274&lt;=$N244,0,1))</f>
        <v>0</v>
      </c>
      <c r="BZ274" cm="1">
        <f t="array" ref="BZ274">IF(OR(X274={"NS","NA"},$O244={"NS","NA"}),0,IF(X274&lt;=$O244,0,1))</f>
        <v>0</v>
      </c>
      <c r="CA274" cm="1">
        <f t="array" ref="CA274">IF(OR(Y274={"NS","NA"},$M244={"NS","NA"}),0,IF(Y274&lt;=$M244,0,1))</f>
        <v>0</v>
      </c>
      <c r="CB274" cm="1">
        <f t="array" ref="CB274">IF(OR(Z274={"NS","NA"},$N244={"NS","NA"}),0,IF(Z274&lt;=$N244,0,1))</f>
        <v>0</v>
      </c>
      <c r="CC274" cm="1">
        <f t="array" ref="CC274">IF(OR(AA274={"NS","NA"},$O244={"NS","NA"}),0,IF(AA274&lt;=$O244,0,1))</f>
        <v>0</v>
      </c>
      <c r="CD274" cm="1">
        <f t="array" ref="CD274">IF(OR(AB274={"NS","NA"},$M244={"NS","NA"}),0,IF(AB274&lt;=$M244,0,1))</f>
        <v>0</v>
      </c>
      <c r="CE274" cm="1">
        <f t="array" ref="CE274">IF(OR(AC274={"NS","NA"},$N244={"NS","NA"}),0,IF(AC274&lt;=$N244,0,1))</f>
        <v>0</v>
      </c>
      <c r="CF274" cm="1">
        <f t="array" ref="CF274">IF(OR(AD274={"NS","NA"},$O244={"NS","NA"}),0,IF(AD274&lt;=$O244,0,1))</f>
        <v>0</v>
      </c>
    </row>
    <row r="275" spans="1:84" ht="14.25" customHeight="1">
      <c r="A275" s="142"/>
      <c r="B275" s="57"/>
      <c r="C275" s="143" t="s">
        <v>2519</v>
      </c>
      <c r="D275" s="872" t="str">
        <f>IF(CNSIPEE_2024_M2_Secc1!D45="","",CNSIPEE_2024_M2_Secc1!D45)</f>
        <v/>
      </c>
      <c r="E275" s="872"/>
      <c r="F275" s="872"/>
      <c r="G275" s="100"/>
      <c r="H275" s="100"/>
      <c r="I275" s="100"/>
      <c r="J275" s="100"/>
      <c r="K275" s="100"/>
      <c r="L275" s="100"/>
      <c r="M275" s="100"/>
      <c r="N275" s="100"/>
      <c r="O275" s="100"/>
      <c r="P275" s="100"/>
      <c r="Q275" s="100"/>
      <c r="R275" s="100"/>
      <c r="S275" s="100"/>
      <c r="T275" s="100"/>
      <c r="U275" s="100"/>
      <c r="V275" s="100"/>
      <c r="W275" s="100"/>
      <c r="X275" s="100"/>
      <c r="Y275" s="100"/>
      <c r="Z275" s="100"/>
      <c r="AA275" s="100"/>
      <c r="AB275" s="100"/>
      <c r="AC275" s="100"/>
      <c r="AD275" s="100"/>
      <c r="AG275">
        <f t="shared" si="205"/>
        <v>0</v>
      </c>
      <c r="AH275">
        <f t="shared" si="181"/>
        <v>0</v>
      </c>
      <c r="AI275"/>
      <c r="AJ275"/>
      <c r="AK275">
        <f t="shared" si="182"/>
        <v>0</v>
      </c>
      <c r="AL275">
        <f t="shared" si="183"/>
        <v>0</v>
      </c>
      <c r="AM275">
        <f t="shared" si="206"/>
        <v>0</v>
      </c>
      <c r="AN275">
        <f t="shared" si="184"/>
        <v>0</v>
      </c>
      <c r="AO275">
        <f t="shared" si="185"/>
        <v>0</v>
      </c>
      <c r="AP275">
        <f t="shared" si="186"/>
        <v>0</v>
      </c>
      <c r="AQ275">
        <f t="shared" si="187"/>
        <v>0</v>
      </c>
      <c r="AR275">
        <f t="shared" si="188"/>
        <v>0</v>
      </c>
      <c r="AS275">
        <f t="shared" si="189"/>
        <v>0</v>
      </c>
      <c r="AT275">
        <f t="shared" si="190"/>
        <v>0</v>
      </c>
      <c r="AU275">
        <f t="shared" si="191"/>
        <v>0</v>
      </c>
      <c r="AV275">
        <f t="shared" si="192"/>
        <v>0</v>
      </c>
      <c r="AW275">
        <f t="shared" si="193"/>
        <v>0</v>
      </c>
      <c r="AX275">
        <f t="shared" si="194"/>
        <v>0</v>
      </c>
      <c r="AY275">
        <f t="shared" si="195"/>
        <v>0</v>
      </c>
      <c r="AZ275">
        <f t="shared" si="196"/>
        <v>0</v>
      </c>
      <c r="BA275">
        <f t="shared" si="197"/>
        <v>0</v>
      </c>
      <c r="BB275">
        <f t="shared" si="198"/>
        <v>0</v>
      </c>
      <c r="BC275">
        <f t="shared" si="199"/>
        <v>0</v>
      </c>
      <c r="BD275">
        <f t="shared" si="200"/>
        <v>0</v>
      </c>
      <c r="BE275">
        <f t="shared" si="201"/>
        <v>0</v>
      </c>
      <c r="BF275">
        <f t="shared" si="202"/>
        <v>0</v>
      </c>
      <c r="BG275">
        <f t="shared" si="203"/>
        <v>0</v>
      </c>
      <c r="BH275">
        <f t="shared" si="204"/>
        <v>0</v>
      </c>
      <c r="BI275" cm="1">
        <f t="array" ref="BI275">IF(OR(G275={"NS","NA"},M245={"NS","NA"}),0,IF(G275&gt;=M245,0,1))</f>
        <v>0</v>
      </c>
      <c r="BJ275" cm="1">
        <f t="array" ref="BJ275">IF(OR(H275={"NS","NA"},N245={"NS","NA"}),0,IF(H275&gt;=N245,0,1))</f>
        <v>0</v>
      </c>
      <c r="BK275" cm="1">
        <f t="array" ref="BK275">IF(OR(I275={"NS","NA"},O245={"NS","NA"}),0,IF(I275&gt;=O245,0,1))</f>
        <v>0</v>
      </c>
      <c r="BL275" cm="1">
        <f t="array" ref="BL275">IF(OR(J275={"NS","NA"},$M245={"NS","NA"}),0,IF(J275&lt;=$M245,0,1))</f>
        <v>0</v>
      </c>
      <c r="BM275" cm="1">
        <f t="array" ref="BM275">IF(OR(K275={"NS","NA"},$N245={"NS","NA"}),0,IF(K275&lt;=$N245,0,1))</f>
        <v>0</v>
      </c>
      <c r="BN275" cm="1">
        <f t="array" ref="BN275">IF(OR(L275={"NS","NA"},$O245={"NS","NA"}),0,IF(L275&lt;=$O245,0,1))</f>
        <v>0</v>
      </c>
      <c r="BO275" cm="1">
        <f t="array" ref="BO275">IF(OR(M275={"NS","NA"},$M245={"NS","NA"}),0,IF(M275&lt;=$M245,0,1))</f>
        <v>0</v>
      </c>
      <c r="BP275" cm="1">
        <f t="array" ref="BP275">IF(OR(N275={"NS","NA"},$N245={"NS","NA"}),0,IF(N275&lt;=$N245,0,1))</f>
        <v>0</v>
      </c>
      <c r="BQ275" cm="1">
        <f t="array" ref="BQ275">IF(OR(O275={"NS","NA"},$O245={"NS","NA"}),0,IF(O275&lt;=$O245,0,1))</f>
        <v>0</v>
      </c>
      <c r="BR275" cm="1">
        <f t="array" ref="BR275">IF(OR(P275={"NS","NA"},$M245={"NS","NA"}),0,IF(P275&lt;=$M245,0,1))</f>
        <v>0</v>
      </c>
      <c r="BS275" cm="1">
        <f t="array" ref="BS275">IF(OR(Q275={"NS","NA"},$N245={"NS","NA"}),0,IF(Q275&lt;=$N245,0,1))</f>
        <v>0</v>
      </c>
      <c r="BT275" cm="1">
        <f t="array" ref="BT275">IF(OR(R275={"NS","NA"},$O245={"NS","NA"}),0,IF(R275&lt;=$O245,0,1))</f>
        <v>0</v>
      </c>
      <c r="BU275" cm="1">
        <f t="array" ref="BU275">IF(OR(S275={"NS","NA"},$M245={"NS","NA"}),0,IF(S275&lt;=$M245,0,1))</f>
        <v>0</v>
      </c>
      <c r="BV275" cm="1">
        <f t="array" ref="BV275">IF(OR(T275={"NS","NA"},$N245={"NS","NA"}),0,IF(T275&lt;=$N245,0,1))</f>
        <v>0</v>
      </c>
      <c r="BW275" cm="1">
        <f t="array" ref="BW275">IF(OR(U275={"NS","NA"},$O245={"NS","NA"}),0,IF(U275&lt;=$O245,0,1))</f>
        <v>0</v>
      </c>
      <c r="BX275" cm="1">
        <f t="array" ref="BX275">IF(OR(V275={"NS","NA"},$M245={"NS","NA"}),0,IF(V275&lt;=$M245,0,1))</f>
        <v>0</v>
      </c>
      <c r="BY275" cm="1">
        <f t="array" ref="BY275">IF(OR(W275={"NS","NA"},$N245={"NS","NA"}),0,IF(W275&lt;=$N245,0,1))</f>
        <v>0</v>
      </c>
      <c r="BZ275" cm="1">
        <f t="array" ref="BZ275">IF(OR(X275={"NS","NA"},$O245={"NS","NA"}),0,IF(X275&lt;=$O245,0,1))</f>
        <v>0</v>
      </c>
      <c r="CA275" cm="1">
        <f t="array" ref="CA275">IF(OR(Y275={"NS","NA"},$M245={"NS","NA"}),0,IF(Y275&lt;=$M245,0,1))</f>
        <v>0</v>
      </c>
      <c r="CB275" cm="1">
        <f t="array" ref="CB275">IF(OR(Z275={"NS","NA"},$N245={"NS","NA"}),0,IF(Z275&lt;=$N245,0,1))</f>
        <v>0</v>
      </c>
      <c r="CC275" cm="1">
        <f t="array" ref="CC275">IF(OR(AA275={"NS","NA"},$O245={"NS","NA"}),0,IF(AA275&lt;=$O245,0,1))</f>
        <v>0</v>
      </c>
      <c r="CD275" cm="1">
        <f t="array" ref="CD275">IF(OR(AB275={"NS","NA"},$M245={"NS","NA"}),0,IF(AB275&lt;=$M245,0,1))</f>
        <v>0</v>
      </c>
      <c r="CE275" cm="1">
        <f t="array" ref="CE275">IF(OR(AC275={"NS","NA"},$N245={"NS","NA"}),0,IF(AC275&lt;=$N245,0,1))</f>
        <v>0</v>
      </c>
      <c r="CF275" cm="1">
        <f t="array" ref="CF275">IF(OR(AD275={"NS","NA"},$O245={"NS","NA"}),0,IF(AD275&lt;=$O245,0,1))</f>
        <v>0</v>
      </c>
    </row>
    <row r="276" spans="1:84">
      <c r="A276" s="142"/>
      <c r="B276" s="57"/>
      <c r="C276" s="143" t="s">
        <v>2520</v>
      </c>
      <c r="D276" s="872" t="str">
        <f>IF(CNSIPEE_2024_M2_Secc1!D46="","",CNSIPEE_2024_M2_Secc1!D46)</f>
        <v/>
      </c>
      <c r="E276" s="872"/>
      <c r="F276" s="872"/>
      <c r="G276" s="100"/>
      <c r="H276" s="100"/>
      <c r="I276" s="100"/>
      <c r="J276" s="100"/>
      <c r="K276" s="100"/>
      <c r="L276" s="100"/>
      <c r="M276" s="100"/>
      <c r="N276" s="100"/>
      <c r="O276" s="100"/>
      <c r="P276" s="100"/>
      <c r="Q276" s="100"/>
      <c r="R276" s="100"/>
      <c r="S276" s="100"/>
      <c r="T276" s="100"/>
      <c r="U276" s="100"/>
      <c r="V276" s="100"/>
      <c r="W276" s="100"/>
      <c r="X276" s="100"/>
      <c r="Y276" s="100"/>
      <c r="Z276" s="100"/>
      <c r="AA276" s="100"/>
      <c r="AB276" s="100"/>
      <c r="AC276" s="100"/>
      <c r="AD276" s="100"/>
      <c r="AG276">
        <f t="shared" si="205"/>
        <v>0</v>
      </c>
      <c r="AH276">
        <f t="shared" si="181"/>
        <v>0</v>
      </c>
      <c r="AI276"/>
      <c r="AJ276"/>
      <c r="AK276">
        <f t="shared" si="182"/>
        <v>0</v>
      </c>
      <c r="AL276">
        <f t="shared" si="183"/>
        <v>0</v>
      </c>
      <c r="AM276">
        <f t="shared" si="206"/>
        <v>0</v>
      </c>
      <c r="AN276">
        <f t="shared" si="184"/>
        <v>0</v>
      </c>
      <c r="AO276">
        <f t="shared" si="185"/>
        <v>0</v>
      </c>
      <c r="AP276">
        <f t="shared" si="186"/>
        <v>0</v>
      </c>
      <c r="AQ276">
        <f t="shared" si="187"/>
        <v>0</v>
      </c>
      <c r="AR276">
        <f t="shared" si="188"/>
        <v>0</v>
      </c>
      <c r="AS276">
        <f t="shared" si="189"/>
        <v>0</v>
      </c>
      <c r="AT276">
        <f t="shared" si="190"/>
        <v>0</v>
      </c>
      <c r="AU276">
        <f t="shared" si="191"/>
        <v>0</v>
      </c>
      <c r="AV276">
        <f t="shared" si="192"/>
        <v>0</v>
      </c>
      <c r="AW276">
        <f t="shared" si="193"/>
        <v>0</v>
      </c>
      <c r="AX276">
        <f t="shared" si="194"/>
        <v>0</v>
      </c>
      <c r="AY276">
        <f t="shared" si="195"/>
        <v>0</v>
      </c>
      <c r="AZ276">
        <f t="shared" si="196"/>
        <v>0</v>
      </c>
      <c r="BA276">
        <f t="shared" si="197"/>
        <v>0</v>
      </c>
      <c r="BB276">
        <f t="shared" si="198"/>
        <v>0</v>
      </c>
      <c r="BC276">
        <f t="shared" si="199"/>
        <v>0</v>
      </c>
      <c r="BD276">
        <f t="shared" si="200"/>
        <v>0</v>
      </c>
      <c r="BE276">
        <f t="shared" si="201"/>
        <v>0</v>
      </c>
      <c r="BF276">
        <f t="shared" si="202"/>
        <v>0</v>
      </c>
      <c r="BG276">
        <f t="shared" si="203"/>
        <v>0</v>
      </c>
      <c r="BH276">
        <f t="shared" si="204"/>
        <v>0</v>
      </c>
      <c r="BI276" cm="1">
        <f t="array" ref="BI276">IF(OR(G276={"NS","NA"},M246={"NS","NA"}),0,IF(G276&gt;=M246,0,1))</f>
        <v>0</v>
      </c>
      <c r="BJ276" cm="1">
        <f t="array" ref="BJ276">IF(OR(H276={"NS","NA"},N246={"NS","NA"}),0,IF(H276&gt;=N246,0,1))</f>
        <v>0</v>
      </c>
      <c r="BK276" cm="1">
        <f t="array" ref="BK276">IF(OR(I276={"NS","NA"},O246={"NS","NA"}),0,IF(I276&gt;=O246,0,1))</f>
        <v>0</v>
      </c>
      <c r="BL276" cm="1">
        <f t="array" ref="BL276">IF(OR(J276={"NS","NA"},$M246={"NS","NA"}),0,IF(J276&lt;=$M246,0,1))</f>
        <v>0</v>
      </c>
      <c r="BM276" cm="1">
        <f t="array" ref="BM276">IF(OR(K276={"NS","NA"},$N246={"NS","NA"}),0,IF(K276&lt;=$N246,0,1))</f>
        <v>0</v>
      </c>
      <c r="BN276" cm="1">
        <f t="array" ref="BN276">IF(OR(L276={"NS","NA"},$O246={"NS","NA"}),0,IF(L276&lt;=$O246,0,1))</f>
        <v>0</v>
      </c>
      <c r="BO276" cm="1">
        <f t="array" ref="BO276">IF(OR(M276={"NS","NA"},$M246={"NS","NA"}),0,IF(M276&lt;=$M246,0,1))</f>
        <v>0</v>
      </c>
      <c r="BP276" cm="1">
        <f t="array" ref="BP276">IF(OR(N276={"NS","NA"},$N246={"NS","NA"}),0,IF(N276&lt;=$N246,0,1))</f>
        <v>0</v>
      </c>
      <c r="BQ276" cm="1">
        <f t="array" ref="BQ276">IF(OR(O276={"NS","NA"},$O246={"NS","NA"}),0,IF(O276&lt;=$O246,0,1))</f>
        <v>0</v>
      </c>
      <c r="BR276" cm="1">
        <f t="array" ref="BR276">IF(OR(P276={"NS","NA"},$M246={"NS","NA"}),0,IF(P276&lt;=$M246,0,1))</f>
        <v>0</v>
      </c>
      <c r="BS276" cm="1">
        <f t="array" ref="BS276">IF(OR(Q276={"NS","NA"},$N246={"NS","NA"}),0,IF(Q276&lt;=$N246,0,1))</f>
        <v>0</v>
      </c>
      <c r="BT276" cm="1">
        <f t="array" ref="BT276">IF(OR(R276={"NS","NA"},$O246={"NS","NA"}),0,IF(R276&lt;=$O246,0,1))</f>
        <v>0</v>
      </c>
      <c r="BU276" cm="1">
        <f t="array" ref="BU276">IF(OR(S276={"NS","NA"},$M246={"NS","NA"}),0,IF(S276&lt;=$M246,0,1))</f>
        <v>0</v>
      </c>
      <c r="BV276" cm="1">
        <f t="array" ref="BV276">IF(OR(T276={"NS","NA"},$N246={"NS","NA"}),0,IF(T276&lt;=$N246,0,1))</f>
        <v>0</v>
      </c>
      <c r="BW276" cm="1">
        <f t="array" ref="BW276">IF(OR(U276={"NS","NA"},$O246={"NS","NA"}),0,IF(U276&lt;=$O246,0,1))</f>
        <v>0</v>
      </c>
      <c r="BX276" cm="1">
        <f t="array" ref="BX276">IF(OR(V276={"NS","NA"},$M246={"NS","NA"}),0,IF(V276&lt;=$M246,0,1))</f>
        <v>0</v>
      </c>
      <c r="BY276" cm="1">
        <f t="array" ref="BY276">IF(OR(W276={"NS","NA"},$N246={"NS","NA"}),0,IF(W276&lt;=$N246,0,1))</f>
        <v>0</v>
      </c>
      <c r="BZ276" cm="1">
        <f t="array" ref="BZ276">IF(OR(X276={"NS","NA"},$O246={"NS","NA"}),0,IF(X276&lt;=$O246,0,1))</f>
        <v>0</v>
      </c>
      <c r="CA276" cm="1">
        <f t="array" ref="CA276">IF(OR(Y276={"NS","NA"},$M246={"NS","NA"}),0,IF(Y276&lt;=$M246,0,1))</f>
        <v>0</v>
      </c>
      <c r="CB276" cm="1">
        <f t="array" ref="CB276">IF(OR(Z276={"NS","NA"},$N246={"NS","NA"}),0,IF(Z276&lt;=$N246,0,1))</f>
        <v>0</v>
      </c>
      <c r="CC276" cm="1">
        <f t="array" ref="CC276">IF(OR(AA276={"NS","NA"},$O246={"NS","NA"}),0,IF(AA276&lt;=$O246,0,1))</f>
        <v>0</v>
      </c>
      <c r="CD276" cm="1">
        <f t="array" ref="CD276">IF(OR(AB276={"NS","NA"},$M246={"NS","NA"}),0,IF(AB276&lt;=$M246,0,1))</f>
        <v>0</v>
      </c>
      <c r="CE276" cm="1">
        <f t="array" ref="CE276">IF(OR(AC276={"NS","NA"},$N246={"NS","NA"}),0,IF(AC276&lt;=$N246,0,1))</f>
        <v>0</v>
      </c>
      <c r="CF276" cm="1">
        <f t="array" ref="CF276">IF(OR(AD276={"NS","NA"},$O246={"NS","NA"}),0,IF(AD276&lt;=$O246,0,1))</f>
        <v>0</v>
      </c>
    </row>
    <row r="277" spans="1:84" ht="14.25" customHeight="1">
      <c r="A277" s="142"/>
      <c r="B277" s="57"/>
      <c r="C277" s="143" t="s">
        <v>2521</v>
      </c>
      <c r="D277" s="872" t="str">
        <f>IF(CNSIPEE_2024_M2_Secc1!D47="","",CNSIPEE_2024_M2_Secc1!D47)</f>
        <v/>
      </c>
      <c r="E277" s="872"/>
      <c r="F277" s="872"/>
      <c r="G277" s="100"/>
      <c r="H277" s="100"/>
      <c r="I277" s="100"/>
      <c r="J277" s="100"/>
      <c r="K277" s="100"/>
      <c r="L277" s="100"/>
      <c r="M277" s="100"/>
      <c r="N277" s="100"/>
      <c r="O277" s="100"/>
      <c r="P277" s="100"/>
      <c r="Q277" s="100"/>
      <c r="R277" s="100"/>
      <c r="S277" s="100"/>
      <c r="T277" s="100"/>
      <c r="U277" s="100"/>
      <c r="V277" s="100"/>
      <c r="W277" s="100"/>
      <c r="X277" s="100"/>
      <c r="Y277" s="100"/>
      <c r="Z277" s="100"/>
      <c r="AA277" s="100"/>
      <c r="AB277" s="100"/>
      <c r="AC277" s="100"/>
      <c r="AD277" s="100"/>
      <c r="AG277">
        <f t="shared" si="205"/>
        <v>0</v>
      </c>
      <c r="AH277">
        <f t="shared" si="181"/>
        <v>0</v>
      </c>
      <c r="AI277"/>
      <c r="AJ277"/>
      <c r="AK277">
        <f t="shared" si="182"/>
        <v>0</v>
      </c>
      <c r="AL277">
        <f t="shared" si="183"/>
        <v>0</v>
      </c>
      <c r="AM277">
        <f t="shared" si="206"/>
        <v>0</v>
      </c>
      <c r="AN277">
        <f t="shared" si="184"/>
        <v>0</v>
      </c>
      <c r="AO277">
        <f t="shared" si="185"/>
        <v>0</v>
      </c>
      <c r="AP277">
        <f t="shared" si="186"/>
        <v>0</v>
      </c>
      <c r="AQ277">
        <f t="shared" si="187"/>
        <v>0</v>
      </c>
      <c r="AR277">
        <f t="shared" si="188"/>
        <v>0</v>
      </c>
      <c r="AS277">
        <f t="shared" si="189"/>
        <v>0</v>
      </c>
      <c r="AT277">
        <f t="shared" si="190"/>
        <v>0</v>
      </c>
      <c r="AU277">
        <f t="shared" si="191"/>
        <v>0</v>
      </c>
      <c r="AV277">
        <f t="shared" si="192"/>
        <v>0</v>
      </c>
      <c r="AW277">
        <f t="shared" si="193"/>
        <v>0</v>
      </c>
      <c r="AX277">
        <f t="shared" si="194"/>
        <v>0</v>
      </c>
      <c r="AY277">
        <f t="shared" si="195"/>
        <v>0</v>
      </c>
      <c r="AZ277">
        <f t="shared" si="196"/>
        <v>0</v>
      </c>
      <c r="BA277">
        <f t="shared" si="197"/>
        <v>0</v>
      </c>
      <c r="BB277">
        <f t="shared" si="198"/>
        <v>0</v>
      </c>
      <c r="BC277">
        <f t="shared" si="199"/>
        <v>0</v>
      </c>
      <c r="BD277">
        <f t="shared" si="200"/>
        <v>0</v>
      </c>
      <c r="BE277">
        <f t="shared" si="201"/>
        <v>0</v>
      </c>
      <c r="BF277">
        <f t="shared" si="202"/>
        <v>0</v>
      </c>
      <c r="BG277">
        <f t="shared" si="203"/>
        <v>0</v>
      </c>
      <c r="BH277">
        <f t="shared" si="204"/>
        <v>0</v>
      </c>
      <c r="BI277" cm="1">
        <f t="array" ref="BI277">IF(OR(G277={"NS","NA"},M247={"NS","NA"}),0,IF(G277&gt;=M247,0,1))</f>
        <v>0</v>
      </c>
      <c r="BJ277" cm="1">
        <f t="array" ref="BJ277">IF(OR(H277={"NS","NA"},N247={"NS","NA"}),0,IF(H277&gt;=N247,0,1))</f>
        <v>0</v>
      </c>
      <c r="BK277" cm="1">
        <f t="array" ref="BK277">IF(OR(I277={"NS","NA"},O247={"NS","NA"}),0,IF(I277&gt;=O247,0,1))</f>
        <v>0</v>
      </c>
      <c r="BL277" cm="1">
        <f t="array" ref="BL277">IF(OR(J277={"NS","NA"},$M247={"NS","NA"}),0,IF(J277&lt;=$M247,0,1))</f>
        <v>0</v>
      </c>
      <c r="BM277" cm="1">
        <f t="array" ref="BM277">IF(OR(K277={"NS","NA"},$N247={"NS","NA"}),0,IF(K277&lt;=$N247,0,1))</f>
        <v>0</v>
      </c>
      <c r="BN277" cm="1">
        <f t="array" ref="BN277">IF(OR(L277={"NS","NA"},$O247={"NS","NA"}),0,IF(L277&lt;=$O247,0,1))</f>
        <v>0</v>
      </c>
      <c r="BO277" cm="1">
        <f t="array" ref="BO277">IF(OR(M277={"NS","NA"},$M247={"NS","NA"}),0,IF(M277&lt;=$M247,0,1))</f>
        <v>0</v>
      </c>
      <c r="BP277" cm="1">
        <f t="array" ref="BP277">IF(OR(N277={"NS","NA"},$N247={"NS","NA"}),0,IF(N277&lt;=$N247,0,1))</f>
        <v>0</v>
      </c>
      <c r="BQ277" cm="1">
        <f t="array" ref="BQ277">IF(OR(O277={"NS","NA"},$O247={"NS","NA"}),0,IF(O277&lt;=$O247,0,1))</f>
        <v>0</v>
      </c>
      <c r="BR277" cm="1">
        <f t="array" ref="BR277">IF(OR(P277={"NS","NA"},$M247={"NS","NA"}),0,IF(P277&lt;=$M247,0,1))</f>
        <v>0</v>
      </c>
      <c r="BS277" cm="1">
        <f t="array" ref="BS277">IF(OR(Q277={"NS","NA"},$N247={"NS","NA"}),0,IF(Q277&lt;=$N247,0,1))</f>
        <v>0</v>
      </c>
      <c r="BT277" cm="1">
        <f t="array" ref="BT277">IF(OR(R277={"NS","NA"},$O247={"NS","NA"}),0,IF(R277&lt;=$O247,0,1))</f>
        <v>0</v>
      </c>
      <c r="BU277" cm="1">
        <f t="array" ref="BU277">IF(OR(S277={"NS","NA"},$M247={"NS","NA"}),0,IF(S277&lt;=$M247,0,1))</f>
        <v>0</v>
      </c>
      <c r="BV277" cm="1">
        <f t="array" ref="BV277">IF(OR(T277={"NS","NA"},$N247={"NS","NA"}),0,IF(T277&lt;=$N247,0,1))</f>
        <v>0</v>
      </c>
      <c r="BW277" cm="1">
        <f t="array" ref="BW277">IF(OR(U277={"NS","NA"},$O247={"NS","NA"}),0,IF(U277&lt;=$O247,0,1))</f>
        <v>0</v>
      </c>
      <c r="BX277" cm="1">
        <f t="array" ref="BX277">IF(OR(V277={"NS","NA"},$M247={"NS","NA"}),0,IF(V277&lt;=$M247,0,1))</f>
        <v>0</v>
      </c>
      <c r="BY277" cm="1">
        <f t="array" ref="BY277">IF(OR(W277={"NS","NA"},$N247={"NS","NA"}),0,IF(W277&lt;=$N247,0,1))</f>
        <v>0</v>
      </c>
      <c r="BZ277" cm="1">
        <f t="array" ref="BZ277">IF(OR(X277={"NS","NA"},$O247={"NS","NA"}),0,IF(X277&lt;=$O247,0,1))</f>
        <v>0</v>
      </c>
      <c r="CA277" cm="1">
        <f t="array" ref="CA277">IF(OR(Y277={"NS","NA"},$M247={"NS","NA"}),0,IF(Y277&lt;=$M247,0,1))</f>
        <v>0</v>
      </c>
      <c r="CB277" cm="1">
        <f t="array" ref="CB277">IF(OR(Z277={"NS","NA"},$N247={"NS","NA"}),0,IF(Z277&lt;=$N247,0,1))</f>
        <v>0</v>
      </c>
      <c r="CC277" cm="1">
        <f t="array" ref="CC277">IF(OR(AA277={"NS","NA"},$O247={"NS","NA"}),0,IF(AA277&lt;=$O247,0,1))</f>
        <v>0</v>
      </c>
      <c r="CD277" cm="1">
        <f t="array" ref="CD277">IF(OR(AB277={"NS","NA"},$M247={"NS","NA"}),0,IF(AB277&lt;=$M247,0,1))</f>
        <v>0</v>
      </c>
      <c r="CE277" cm="1">
        <f t="array" ref="CE277">IF(OR(AC277={"NS","NA"},$N247={"NS","NA"}),0,IF(AC277&lt;=$N247,0,1))</f>
        <v>0</v>
      </c>
      <c r="CF277" cm="1">
        <f t="array" ref="CF277">IF(OR(AD277={"NS","NA"},$O247={"NS","NA"}),0,IF(AD277&lt;=$O247,0,1))</f>
        <v>0</v>
      </c>
    </row>
    <row r="278" spans="1:84">
      <c r="A278" s="142"/>
      <c r="B278" s="57"/>
      <c r="C278" s="143" t="s">
        <v>2522</v>
      </c>
      <c r="D278" s="872" t="str">
        <f>IF(CNSIPEE_2024_M2_Secc1!D48="","",CNSIPEE_2024_M2_Secc1!D48)</f>
        <v/>
      </c>
      <c r="E278" s="872"/>
      <c r="F278" s="872"/>
      <c r="G278" s="100"/>
      <c r="H278" s="100"/>
      <c r="I278" s="100"/>
      <c r="J278" s="100"/>
      <c r="K278" s="100"/>
      <c r="L278" s="100"/>
      <c r="M278" s="100"/>
      <c r="N278" s="100"/>
      <c r="O278" s="100"/>
      <c r="P278" s="100"/>
      <c r="Q278" s="100"/>
      <c r="R278" s="100"/>
      <c r="S278" s="100"/>
      <c r="T278" s="100"/>
      <c r="U278" s="100"/>
      <c r="V278" s="100"/>
      <c r="W278" s="100"/>
      <c r="X278" s="100"/>
      <c r="Y278" s="100"/>
      <c r="Z278" s="100"/>
      <c r="AA278" s="100"/>
      <c r="AB278" s="100"/>
      <c r="AC278" s="100"/>
      <c r="AD278" s="100"/>
      <c r="AG278">
        <f t="shared" si="205"/>
        <v>0</v>
      </c>
      <c r="AH278">
        <f t="shared" si="181"/>
        <v>0</v>
      </c>
      <c r="AI278"/>
      <c r="AJ278"/>
      <c r="AK278">
        <f t="shared" si="182"/>
        <v>0</v>
      </c>
      <c r="AL278">
        <f t="shared" si="183"/>
        <v>0</v>
      </c>
      <c r="AM278">
        <f t="shared" si="206"/>
        <v>0</v>
      </c>
      <c r="AN278">
        <f t="shared" si="184"/>
        <v>0</v>
      </c>
      <c r="AO278">
        <f t="shared" si="185"/>
        <v>0</v>
      </c>
      <c r="AP278">
        <f t="shared" si="186"/>
        <v>0</v>
      </c>
      <c r="AQ278">
        <f t="shared" si="187"/>
        <v>0</v>
      </c>
      <c r="AR278">
        <f t="shared" si="188"/>
        <v>0</v>
      </c>
      <c r="AS278">
        <f t="shared" si="189"/>
        <v>0</v>
      </c>
      <c r="AT278">
        <f t="shared" si="190"/>
        <v>0</v>
      </c>
      <c r="AU278">
        <f t="shared" si="191"/>
        <v>0</v>
      </c>
      <c r="AV278">
        <f t="shared" si="192"/>
        <v>0</v>
      </c>
      <c r="AW278">
        <f t="shared" si="193"/>
        <v>0</v>
      </c>
      <c r="AX278">
        <f t="shared" si="194"/>
        <v>0</v>
      </c>
      <c r="AY278">
        <f t="shared" si="195"/>
        <v>0</v>
      </c>
      <c r="AZ278">
        <f t="shared" si="196"/>
        <v>0</v>
      </c>
      <c r="BA278">
        <f t="shared" si="197"/>
        <v>0</v>
      </c>
      <c r="BB278">
        <f t="shared" si="198"/>
        <v>0</v>
      </c>
      <c r="BC278">
        <f t="shared" si="199"/>
        <v>0</v>
      </c>
      <c r="BD278">
        <f t="shared" si="200"/>
        <v>0</v>
      </c>
      <c r="BE278">
        <f t="shared" si="201"/>
        <v>0</v>
      </c>
      <c r="BF278">
        <f t="shared" si="202"/>
        <v>0</v>
      </c>
      <c r="BG278">
        <f t="shared" si="203"/>
        <v>0</v>
      </c>
      <c r="BH278">
        <f t="shared" si="204"/>
        <v>0</v>
      </c>
      <c r="BI278" cm="1">
        <f t="array" ref="BI278">IF(OR(G278={"NS","NA"},M248={"NS","NA"}),0,IF(G278&gt;=M248,0,1))</f>
        <v>0</v>
      </c>
      <c r="BJ278" cm="1">
        <f t="array" ref="BJ278">IF(OR(H278={"NS","NA"},N248={"NS","NA"}),0,IF(H278&gt;=N248,0,1))</f>
        <v>0</v>
      </c>
      <c r="BK278" cm="1">
        <f t="array" ref="BK278">IF(OR(I278={"NS","NA"},O248={"NS","NA"}),0,IF(I278&gt;=O248,0,1))</f>
        <v>0</v>
      </c>
      <c r="BL278" cm="1">
        <f t="array" ref="BL278">IF(OR(J278={"NS","NA"},$M248={"NS","NA"}),0,IF(J278&lt;=$M248,0,1))</f>
        <v>0</v>
      </c>
      <c r="BM278" cm="1">
        <f t="array" ref="BM278">IF(OR(K278={"NS","NA"},$N248={"NS","NA"}),0,IF(K278&lt;=$N248,0,1))</f>
        <v>0</v>
      </c>
      <c r="BN278" cm="1">
        <f t="array" ref="BN278">IF(OR(L278={"NS","NA"},$O248={"NS","NA"}),0,IF(L278&lt;=$O248,0,1))</f>
        <v>0</v>
      </c>
      <c r="BO278" cm="1">
        <f t="array" ref="BO278">IF(OR(M278={"NS","NA"},$M248={"NS","NA"}),0,IF(M278&lt;=$M248,0,1))</f>
        <v>0</v>
      </c>
      <c r="BP278" cm="1">
        <f t="array" ref="BP278">IF(OR(N278={"NS","NA"},$N248={"NS","NA"}),0,IF(N278&lt;=$N248,0,1))</f>
        <v>0</v>
      </c>
      <c r="BQ278" cm="1">
        <f t="array" ref="BQ278">IF(OR(O278={"NS","NA"},$O248={"NS","NA"}),0,IF(O278&lt;=$O248,0,1))</f>
        <v>0</v>
      </c>
      <c r="BR278" cm="1">
        <f t="array" ref="BR278">IF(OR(P278={"NS","NA"},$M248={"NS","NA"}),0,IF(P278&lt;=$M248,0,1))</f>
        <v>0</v>
      </c>
      <c r="BS278" cm="1">
        <f t="array" ref="BS278">IF(OR(Q278={"NS","NA"},$N248={"NS","NA"}),0,IF(Q278&lt;=$N248,0,1))</f>
        <v>0</v>
      </c>
      <c r="BT278" cm="1">
        <f t="array" ref="BT278">IF(OR(R278={"NS","NA"},$O248={"NS","NA"}),0,IF(R278&lt;=$O248,0,1))</f>
        <v>0</v>
      </c>
      <c r="BU278" cm="1">
        <f t="array" ref="BU278">IF(OR(S278={"NS","NA"},$M248={"NS","NA"}),0,IF(S278&lt;=$M248,0,1))</f>
        <v>0</v>
      </c>
      <c r="BV278" cm="1">
        <f t="array" ref="BV278">IF(OR(T278={"NS","NA"},$N248={"NS","NA"}),0,IF(T278&lt;=$N248,0,1))</f>
        <v>0</v>
      </c>
      <c r="BW278" cm="1">
        <f t="array" ref="BW278">IF(OR(U278={"NS","NA"},$O248={"NS","NA"}),0,IF(U278&lt;=$O248,0,1))</f>
        <v>0</v>
      </c>
      <c r="BX278" cm="1">
        <f t="array" ref="BX278">IF(OR(V278={"NS","NA"},$M248={"NS","NA"}),0,IF(V278&lt;=$M248,0,1))</f>
        <v>0</v>
      </c>
      <c r="BY278" cm="1">
        <f t="array" ref="BY278">IF(OR(W278={"NS","NA"},$N248={"NS","NA"}),0,IF(W278&lt;=$N248,0,1))</f>
        <v>0</v>
      </c>
      <c r="BZ278" cm="1">
        <f t="array" ref="BZ278">IF(OR(X278={"NS","NA"},$O248={"NS","NA"}),0,IF(X278&lt;=$O248,0,1))</f>
        <v>0</v>
      </c>
      <c r="CA278" cm="1">
        <f t="array" ref="CA278">IF(OR(Y278={"NS","NA"},$M248={"NS","NA"}),0,IF(Y278&lt;=$M248,0,1))</f>
        <v>0</v>
      </c>
      <c r="CB278" cm="1">
        <f t="array" ref="CB278">IF(OR(Z278={"NS","NA"},$N248={"NS","NA"}),0,IF(Z278&lt;=$N248,0,1))</f>
        <v>0</v>
      </c>
      <c r="CC278" cm="1">
        <f t="array" ref="CC278">IF(OR(AA278={"NS","NA"},$O248={"NS","NA"}),0,IF(AA278&lt;=$O248,0,1))</f>
        <v>0</v>
      </c>
      <c r="CD278" cm="1">
        <f t="array" ref="CD278">IF(OR(AB278={"NS","NA"},$M248={"NS","NA"}),0,IF(AB278&lt;=$M248,0,1))</f>
        <v>0</v>
      </c>
      <c r="CE278" cm="1">
        <f t="array" ref="CE278">IF(OR(AC278={"NS","NA"},$N248={"NS","NA"}),0,IF(AC278&lt;=$N248,0,1))</f>
        <v>0</v>
      </c>
      <c r="CF278" cm="1">
        <f t="array" ref="CF278">IF(OR(AD278={"NS","NA"},$O248={"NS","NA"}),0,IF(AD278&lt;=$O248,0,1))</f>
        <v>0</v>
      </c>
    </row>
    <row r="279" spans="1:84" ht="14.25" customHeight="1">
      <c r="A279" s="142"/>
      <c r="B279" s="57"/>
      <c r="C279" s="143" t="s">
        <v>2523</v>
      </c>
      <c r="D279" s="872" t="str">
        <f>IF(CNSIPEE_2024_M2_Secc1!D49="","",CNSIPEE_2024_M2_Secc1!D49)</f>
        <v/>
      </c>
      <c r="E279" s="872"/>
      <c r="F279" s="872"/>
      <c r="G279" s="100"/>
      <c r="H279" s="100"/>
      <c r="I279" s="100"/>
      <c r="J279" s="100"/>
      <c r="K279" s="100"/>
      <c r="L279" s="100"/>
      <c r="M279" s="100"/>
      <c r="N279" s="100"/>
      <c r="O279" s="100"/>
      <c r="P279" s="100"/>
      <c r="Q279" s="100"/>
      <c r="R279" s="100"/>
      <c r="S279" s="100"/>
      <c r="T279" s="100"/>
      <c r="U279" s="100"/>
      <c r="V279" s="100"/>
      <c r="W279" s="100"/>
      <c r="X279" s="100"/>
      <c r="Y279" s="100"/>
      <c r="Z279" s="100"/>
      <c r="AA279" s="100"/>
      <c r="AB279" s="100"/>
      <c r="AC279" s="100"/>
      <c r="AD279" s="100"/>
      <c r="AG279">
        <f>IF(OR($M249=0,$M249="NS",$M249="NA"),0,IF(OR(SUM(COUNTBLANK(D279:AD279),COUNTBLANK(G293:AD293))=2,SUM(COUNTBLANK(D279:AD279),COUNTBLANK(G293:AD293))=51),0,1))</f>
        <v>0</v>
      </c>
      <c r="AH279">
        <f t="shared" si="181"/>
        <v>0</v>
      </c>
      <c r="AI279"/>
      <c r="AJ279"/>
      <c r="AK279">
        <f t="shared" si="182"/>
        <v>0</v>
      </c>
      <c r="AL279">
        <f t="shared" si="183"/>
        <v>0</v>
      </c>
      <c r="AM279">
        <f t="shared" si="206"/>
        <v>0</v>
      </c>
      <c r="AN279">
        <f t="shared" si="184"/>
        <v>0</v>
      </c>
      <c r="AO279">
        <f t="shared" si="185"/>
        <v>0</v>
      </c>
      <c r="AP279">
        <f t="shared" si="186"/>
        <v>0</v>
      </c>
      <c r="AQ279">
        <f t="shared" si="187"/>
        <v>0</v>
      </c>
      <c r="AR279">
        <f t="shared" si="188"/>
        <v>0</v>
      </c>
      <c r="AS279">
        <f t="shared" si="189"/>
        <v>0</v>
      </c>
      <c r="AT279">
        <f t="shared" si="190"/>
        <v>0</v>
      </c>
      <c r="AU279">
        <f t="shared" si="191"/>
        <v>0</v>
      </c>
      <c r="AV279">
        <f t="shared" si="192"/>
        <v>0</v>
      </c>
      <c r="AW279">
        <f t="shared" si="193"/>
        <v>0</v>
      </c>
      <c r="AX279">
        <f t="shared" si="194"/>
        <v>0</v>
      </c>
      <c r="AY279">
        <f t="shared" si="195"/>
        <v>0</v>
      </c>
      <c r="AZ279">
        <f t="shared" si="196"/>
        <v>0</v>
      </c>
      <c r="BA279">
        <f t="shared" si="197"/>
        <v>0</v>
      </c>
      <c r="BB279">
        <f t="shared" si="198"/>
        <v>0</v>
      </c>
      <c r="BC279">
        <f t="shared" si="199"/>
        <v>0</v>
      </c>
      <c r="BD279">
        <f t="shared" si="200"/>
        <v>0</v>
      </c>
      <c r="BE279">
        <f t="shared" si="201"/>
        <v>0</v>
      </c>
      <c r="BF279">
        <f t="shared" si="202"/>
        <v>0</v>
      </c>
      <c r="BG279">
        <f t="shared" si="203"/>
        <v>0</v>
      </c>
      <c r="BH279">
        <f t="shared" si="204"/>
        <v>0</v>
      </c>
      <c r="BI279" cm="1">
        <f t="array" ref="BI279">IF(OR(G279={"NS","NA"},M249={"NS","NA"}),0,IF(G279&gt;=M249,0,1))</f>
        <v>0</v>
      </c>
      <c r="BJ279" cm="1">
        <f t="array" ref="BJ279">IF(OR(H279={"NS","NA"},N249={"NS","NA"}),0,IF(H279&gt;=N249,0,1))</f>
        <v>0</v>
      </c>
      <c r="BK279" cm="1">
        <f t="array" ref="BK279">IF(OR(I279={"NS","NA"},O249={"NS","NA"}),0,IF(I279&gt;=O249,0,1))</f>
        <v>0</v>
      </c>
      <c r="BL279" cm="1">
        <f t="array" ref="BL279">IF(OR(J279={"NS","NA"},$M249={"NS","NA"}),0,IF(J279&lt;=$M249,0,1))</f>
        <v>0</v>
      </c>
      <c r="BM279" cm="1">
        <f t="array" ref="BM279">IF(OR(K279={"NS","NA"},$N249={"NS","NA"}),0,IF(K279&lt;=$N249,0,1))</f>
        <v>0</v>
      </c>
      <c r="BN279" cm="1">
        <f t="array" ref="BN279">IF(OR(L279={"NS","NA"},$O249={"NS","NA"}),0,IF(L279&lt;=$O249,0,1))</f>
        <v>0</v>
      </c>
      <c r="BO279" cm="1">
        <f t="array" ref="BO279">IF(OR(M279={"NS","NA"},$M249={"NS","NA"}),0,IF(M279&lt;=$M249,0,1))</f>
        <v>0</v>
      </c>
      <c r="BP279" cm="1">
        <f t="array" ref="BP279">IF(OR(N279={"NS","NA"},$N249={"NS","NA"}),0,IF(N279&lt;=$N249,0,1))</f>
        <v>0</v>
      </c>
      <c r="BQ279" cm="1">
        <f t="array" ref="BQ279">IF(OR(O279={"NS","NA"},$O249={"NS","NA"}),0,IF(O279&lt;=$O249,0,1))</f>
        <v>0</v>
      </c>
      <c r="BR279" cm="1">
        <f t="array" ref="BR279">IF(OR(P279={"NS","NA"},$M249={"NS","NA"}),0,IF(P279&lt;=$M249,0,1))</f>
        <v>0</v>
      </c>
      <c r="BS279" cm="1">
        <f t="array" ref="BS279">IF(OR(Q279={"NS","NA"},$N249={"NS","NA"}),0,IF(Q279&lt;=$N249,0,1))</f>
        <v>0</v>
      </c>
      <c r="BT279" cm="1">
        <f t="array" ref="BT279">IF(OR(R279={"NS","NA"},$O249={"NS","NA"}),0,IF(R279&lt;=$O249,0,1))</f>
        <v>0</v>
      </c>
      <c r="BU279" cm="1">
        <f t="array" ref="BU279">IF(OR(S279={"NS","NA"},$M249={"NS","NA"}),0,IF(S279&lt;=$M249,0,1))</f>
        <v>0</v>
      </c>
      <c r="BV279" cm="1">
        <f t="array" ref="BV279">IF(OR(T279={"NS","NA"},$N249={"NS","NA"}),0,IF(T279&lt;=$N249,0,1))</f>
        <v>0</v>
      </c>
      <c r="BW279" cm="1">
        <f t="array" ref="BW279">IF(OR(U279={"NS","NA"},$O249={"NS","NA"}),0,IF(U279&lt;=$O249,0,1))</f>
        <v>0</v>
      </c>
      <c r="BX279" cm="1">
        <f t="array" ref="BX279">IF(OR(V279={"NS","NA"},$M249={"NS","NA"}),0,IF(V279&lt;=$M249,0,1))</f>
        <v>0</v>
      </c>
      <c r="BY279" cm="1">
        <f t="array" ref="BY279">IF(OR(W279={"NS","NA"},$N249={"NS","NA"}),0,IF(W279&lt;=$N249,0,1))</f>
        <v>0</v>
      </c>
      <c r="BZ279" cm="1">
        <f t="array" ref="BZ279">IF(OR(X279={"NS","NA"},$O249={"NS","NA"}),0,IF(X279&lt;=$O249,0,1))</f>
        <v>0</v>
      </c>
      <c r="CA279" cm="1">
        <f t="array" ref="CA279">IF(OR(Y279={"NS","NA"},$M249={"NS","NA"}),0,IF(Y279&lt;=$M249,0,1))</f>
        <v>0</v>
      </c>
      <c r="CB279" cm="1">
        <f t="array" ref="CB279">IF(OR(Z279={"NS","NA"},$N249={"NS","NA"}),0,IF(Z279&lt;=$N249,0,1))</f>
        <v>0</v>
      </c>
      <c r="CC279" cm="1">
        <f t="array" ref="CC279">IF(OR(AA279={"NS","NA"},$O249={"NS","NA"}),0,IF(AA279&lt;=$O249,0,1))</f>
        <v>0</v>
      </c>
      <c r="CD279" cm="1">
        <f t="array" ref="CD279">IF(OR(AB279={"NS","NA"},$M249={"NS","NA"}),0,IF(AB279&lt;=$M249,0,1))</f>
        <v>0</v>
      </c>
      <c r="CE279" cm="1">
        <f t="array" ref="CE279">IF(OR(AC279={"NS","NA"},$N249={"NS","NA"}),0,IF(AC279&lt;=$N249,0,1))</f>
        <v>0</v>
      </c>
      <c r="CF279" cm="1">
        <f t="array" ref="CF279">IF(OR(AD279={"NS","NA"},$O249={"NS","NA"}),0,IF(AD279&lt;=$O249,0,1))</f>
        <v>0</v>
      </c>
    </row>
    <row r="280" spans="1:84" ht="14.25" customHeight="1">
      <c r="A280" s="142"/>
      <c r="B280" s="57"/>
      <c r="C280" s="86"/>
      <c r="D280" s="86"/>
      <c r="E280" s="86"/>
      <c r="F280" s="99" t="s">
        <v>2649</v>
      </c>
      <c r="G280" s="124">
        <f t="shared" ref="G280:AD280" si="207">IF(AND(SUM(G272:G279)=0,COUNTIF(G272:G279,"NS")&gt;0),"NS",IF(AND(SUM(G272:G279)=0,COUNTIF(G272:G279,0)&gt;0),0,IF(AND(SUM(G272:G279)=0,COUNTIF(G272:G279,"NA")&gt;0),"NA",SUM(G272:G279))))</f>
        <v>0</v>
      </c>
      <c r="H280" s="124">
        <f t="shared" si="207"/>
        <v>0</v>
      </c>
      <c r="I280" s="124">
        <f t="shared" si="207"/>
        <v>0</v>
      </c>
      <c r="J280" s="124">
        <f t="shared" si="207"/>
        <v>0</v>
      </c>
      <c r="K280" s="124">
        <f t="shared" si="207"/>
        <v>0</v>
      </c>
      <c r="L280" s="124">
        <f t="shared" si="207"/>
        <v>0</v>
      </c>
      <c r="M280" s="124">
        <f t="shared" si="207"/>
        <v>0</v>
      </c>
      <c r="N280" s="124">
        <f t="shared" si="207"/>
        <v>0</v>
      </c>
      <c r="O280" s="124">
        <f t="shared" si="207"/>
        <v>0</v>
      </c>
      <c r="P280" s="124">
        <f t="shared" si="207"/>
        <v>0</v>
      </c>
      <c r="Q280" s="124">
        <f t="shared" si="207"/>
        <v>0</v>
      </c>
      <c r="R280" s="124">
        <f t="shared" si="207"/>
        <v>0</v>
      </c>
      <c r="S280" s="124">
        <f t="shared" si="207"/>
        <v>0</v>
      </c>
      <c r="T280" s="124">
        <f t="shared" si="207"/>
        <v>0</v>
      </c>
      <c r="U280" s="124">
        <f t="shared" si="207"/>
        <v>0</v>
      </c>
      <c r="V280" s="124">
        <f t="shared" si="207"/>
        <v>0</v>
      </c>
      <c r="W280" s="124">
        <f t="shared" si="207"/>
        <v>0</v>
      </c>
      <c r="X280" s="124">
        <f t="shared" si="207"/>
        <v>0</v>
      </c>
      <c r="Y280" s="124">
        <f t="shared" si="207"/>
        <v>0</v>
      </c>
      <c r="Z280" s="124">
        <f t="shared" si="207"/>
        <v>0</v>
      </c>
      <c r="AA280" s="124">
        <f t="shared" si="207"/>
        <v>0</v>
      </c>
      <c r="AB280" s="124">
        <f t="shared" si="207"/>
        <v>0</v>
      </c>
      <c r="AC280" s="124">
        <f t="shared" si="207"/>
        <v>0</v>
      </c>
      <c r="AD280" s="124">
        <f t="shared" si="207"/>
        <v>0</v>
      </c>
      <c r="AG280" s="507">
        <f>SUM(AG272:AG279)</f>
        <v>0</v>
      </c>
      <c r="AH280" s="507">
        <f>SUM(AH272:AH279)</f>
        <v>0</v>
      </c>
      <c r="AJ280"/>
      <c r="AK280">
        <f>SUM(AK272:AK279)</f>
        <v>0</v>
      </c>
      <c r="AM280">
        <f>SUM(AM272:AM279)</f>
        <v>0</v>
      </c>
      <c r="AN280">
        <f>SUM(AN272:AN279)</f>
        <v>0</v>
      </c>
      <c r="AP280">
        <f>SUM(AP272:AP279)</f>
        <v>0</v>
      </c>
      <c r="AQ280">
        <f>SUM(AQ272:AQ279)</f>
        <v>0</v>
      </c>
      <c r="AS280">
        <f>SUM(AS272:AS279)</f>
        <v>0</v>
      </c>
      <c r="AT280">
        <f>SUM(AT272:AT279)</f>
        <v>0</v>
      </c>
      <c r="AV280">
        <f>SUM(AV272:AV279)</f>
        <v>0</v>
      </c>
      <c r="AW280">
        <f>SUM(AW272:AW279)</f>
        <v>0</v>
      </c>
      <c r="AY280">
        <f>SUM(AY272:AY279)</f>
        <v>0</v>
      </c>
      <c r="AZ280">
        <f>SUM(AZ272:AZ279)</f>
        <v>0</v>
      </c>
      <c r="BB280">
        <f>SUM(BB272:BB279)</f>
        <v>0</v>
      </c>
      <c r="BC280">
        <f>SUM(BC272:BC279)</f>
        <v>0</v>
      </c>
      <c r="BE280">
        <f>SUM(BE272:BE279)</f>
        <v>0</v>
      </c>
      <c r="BF280">
        <f>SUM(BF272:BF279)</f>
        <v>0</v>
      </c>
      <c r="BH280">
        <f>SUM(BH272:BH279)</f>
        <v>0</v>
      </c>
      <c r="BK280" s="507">
        <f>SUM(BI272:BK279)</f>
        <v>0</v>
      </c>
      <c r="CF280" s="693">
        <f>SUM(BL272:CF279)</f>
        <v>0</v>
      </c>
    </row>
    <row r="281" spans="1:84">
      <c r="A281" s="142"/>
      <c r="B281" s="57"/>
      <c r="C281" s="70"/>
      <c r="D281" s="86"/>
      <c r="E281" s="86"/>
      <c r="F281" s="86"/>
      <c r="G281" s="86"/>
      <c r="H281" s="86"/>
      <c r="I281" s="86"/>
      <c r="J281" s="86"/>
      <c r="K281" s="86"/>
      <c r="L281" s="86"/>
      <c r="M281" s="86"/>
      <c r="N281" s="86"/>
      <c r="O281" s="86"/>
      <c r="P281" s="86"/>
      <c r="Q281" s="86"/>
      <c r="R281" s="86"/>
      <c r="S281" s="86"/>
      <c r="T281" s="86"/>
      <c r="U281" s="86"/>
      <c r="V281" s="86"/>
      <c r="W281" s="86"/>
      <c r="X281" s="86"/>
      <c r="Y281" s="86"/>
      <c r="Z281" s="86"/>
      <c r="AA281" s="214"/>
      <c r="AB281" s="214"/>
      <c r="AC281" s="214"/>
      <c r="AD281" s="214"/>
      <c r="AK281" t="s">
        <v>2650</v>
      </c>
      <c r="AL281" s="590">
        <f>SUM(AM280,AP280,AS280,AV280,AY280,BB280,BE280,BH280)</f>
        <v>0</v>
      </c>
      <c r="AM281" t="s">
        <v>2651</v>
      </c>
      <c r="AN281">
        <f>SUM(AK280,AN280,AQ280,AT280,AW280,AZ280,BC280,BF280)</f>
        <v>0</v>
      </c>
    </row>
    <row r="282" spans="1:84">
      <c r="A282" s="169"/>
      <c r="B282" s="90"/>
      <c r="C282" s="90"/>
      <c r="D282" s="90"/>
      <c r="E282" s="90"/>
      <c r="F282" s="90"/>
      <c r="G282" s="90"/>
      <c r="H282" s="90"/>
      <c r="I282" s="90"/>
      <c r="J282" s="90"/>
      <c r="K282" s="90"/>
      <c r="L282" s="90"/>
      <c r="M282" s="90"/>
      <c r="N282" s="90"/>
      <c r="O282" s="90"/>
      <c r="P282" s="90"/>
      <c r="Q282" s="90"/>
      <c r="R282" s="90"/>
      <c r="S282" s="90"/>
      <c r="T282" s="90"/>
      <c r="U282" s="90"/>
      <c r="V282" s="90"/>
      <c r="W282" s="90"/>
      <c r="X282" s="90"/>
      <c r="Y282" s="90"/>
      <c r="Z282" s="90"/>
      <c r="AA282" s="873" t="s">
        <v>2668</v>
      </c>
      <c r="AB282" s="873"/>
      <c r="AC282" s="873"/>
      <c r="AD282" s="873"/>
      <c r="AK282" t="s">
        <v>2652</v>
      </c>
      <c r="AL282">
        <f>IF(AN281&gt;0,IF(SUM(G280)&gt;=SUM(J280,M280,P280,S280,V280,Y280,AB280),0,1),IF(SUM(G280)&lt;&gt;SUM(J280,M280,P280,S280,V280,Y280,AB280),1,0))</f>
        <v>0</v>
      </c>
      <c r="AM282" t="s">
        <v>2653</v>
      </c>
      <c r="AN282">
        <f>IF(AN281&gt;0,IF(SUM(H280)&gt;=SUM(K280,N280,Q280,T280,W280,Z280,AC280),0,1),IF(SUM(H280)&lt;&gt;SUM(K280,N280,Q280,T280,W280,Z280,AC280),1,0))</f>
        <v>0</v>
      </c>
      <c r="AO282" t="s">
        <v>2654</v>
      </c>
      <c r="AP282">
        <f>IF(AN281&gt;0,IF(SUM(I280)&gt;=SUM(L280,O280,R280,U280,X280,AA280,AD280),0,1),IF(SUM(I280)&lt;&gt;SUM(L280,O280,R280,U280,X280,AA280,AD280),1,0))</f>
        <v>0</v>
      </c>
    </row>
    <row r="283" spans="1:84" ht="24" customHeight="1">
      <c r="A283" s="50"/>
      <c r="B283" s="57"/>
      <c r="C283" s="732" t="s">
        <v>2581</v>
      </c>
      <c r="D283" s="732"/>
      <c r="E283" s="732"/>
      <c r="F283" s="732"/>
      <c r="G283" s="732" t="s">
        <v>5872</v>
      </c>
      <c r="H283" s="732"/>
      <c r="I283" s="732"/>
      <c r="J283" s="732"/>
      <c r="K283" s="732"/>
      <c r="L283" s="732"/>
      <c r="M283" s="732"/>
      <c r="N283" s="732"/>
      <c r="O283" s="732"/>
      <c r="P283" s="732"/>
      <c r="Q283" s="732"/>
      <c r="R283" s="732"/>
      <c r="S283" s="732"/>
      <c r="T283" s="732"/>
      <c r="U283" s="732"/>
      <c r="V283" s="732"/>
      <c r="W283" s="732"/>
      <c r="X283" s="732"/>
      <c r="Y283" s="732"/>
      <c r="Z283" s="732"/>
      <c r="AA283" s="732"/>
      <c r="AB283" s="732"/>
      <c r="AC283" s="732"/>
      <c r="AD283" s="732"/>
    </row>
    <row r="284" spans="1:84" ht="120" customHeight="1">
      <c r="A284" s="50"/>
      <c r="B284" s="57"/>
      <c r="C284" s="732"/>
      <c r="D284" s="732"/>
      <c r="E284" s="732"/>
      <c r="F284" s="732"/>
      <c r="G284" s="845" t="s">
        <v>5880</v>
      </c>
      <c r="H284" s="952"/>
      <c r="I284" s="846"/>
      <c r="J284" s="845" t="s">
        <v>5881</v>
      </c>
      <c r="K284" s="952"/>
      <c r="L284" s="846"/>
      <c r="M284" s="845" t="s">
        <v>5882</v>
      </c>
      <c r="N284" s="952"/>
      <c r="O284" s="846"/>
      <c r="P284" s="845" t="s">
        <v>5883</v>
      </c>
      <c r="Q284" s="952"/>
      <c r="R284" s="846"/>
      <c r="S284" s="845" t="s">
        <v>5884</v>
      </c>
      <c r="T284" s="952"/>
      <c r="U284" s="846"/>
      <c r="V284" s="845" t="s">
        <v>5885</v>
      </c>
      <c r="W284" s="952"/>
      <c r="X284" s="846"/>
      <c r="Y284" s="845" t="s">
        <v>5886</v>
      </c>
      <c r="Z284" s="952"/>
      <c r="AA284" s="846"/>
      <c r="AB284" s="845" t="s">
        <v>2990</v>
      </c>
      <c r="AC284" s="952"/>
      <c r="AD284" s="846"/>
    </row>
    <row r="285" spans="1:84" ht="48" customHeight="1">
      <c r="A285" s="50"/>
      <c r="B285" s="57"/>
      <c r="C285" s="732"/>
      <c r="D285" s="732"/>
      <c r="E285" s="732"/>
      <c r="F285" s="732"/>
      <c r="G285" s="127" t="s">
        <v>2635</v>
      </c>
      <c r="H285" s="128" t="s">
        <v>2629</v>
      </c>
      <c r="I285" s="128" t="s">
        <v>2630</v>
      </c>
      <c r="J285" s="127" t="s">
        <v>2635</v>
      </c>
      <c r="K285" s="128" t="s">
        <v>2629</v>
      </c>
      <c r="L285" s="128" t="s">
        <v>2630</v>
      </c>
      <c r="M285" s="127" t="s">
        <v>2635</v>
      </c>
      <c r="N285" s="128" t="s">
        <v>2629</v>
      </c>
      <c r="O285" s="128" t="s">
        <v>2630</v>
      </c>
      <c r="P285" s="127" t="s">
        <v>2635</v>
      </c>
      <c r="Q285" s="128" t="s">
        <v>2629</v>
      </c>
      <c r="R285" s="128" t="s">
        <v>2630</v>
      </c>
      <c r="S285" s="127" t="s">
        <v>2635</v>
      </c>
      <c r="T285" s="128" t="s">
        <v>2629</v>
      </c>
      <c r="U285" s="128" t="s">
        <v>2630</v>
      </c>
      <c r="V285" s="127" t="s">
        <v>2635</v>
      </c>
      <c r="W285" s="128" t="s">
        <v>2629</v>
      </c>
      <c r="X285" s="128" t="s">
        <v>2630</v>
      </c>
      <c r="Y285" s="127" t="s">
        <v>2635</v>
      </c>
      <c r="Z285" s="128" t="s">
        <v>2629</v>
      </c>
      <c r="AA285" s="128" t="s">
        <v>2630</v>
      </c>
      <c r="AB285" s="127" t="s">
        <v>2635</v>
      </c>
      <c r="AC285" s="128" t="s">
        <v>2629</v>
      </c>
      <c r="AD285" s="128" t="s">
        <v>2630</v>
      </c>
      <c r="AK285" t="s">
        <v>4573</v>
      </c>
      <c r="AL285" t="s">
        <v>2638</v>
      </c>
      <c r="AM285" t="s">
        <v>2639</v>
      </c>
      <c r="AN285" t="s">
        <v>4574</v>
      </c>
      <c r="AO285" t="s">
        <v>2641</v>
      </c>
      <c r="AP285" t="s">
        <v>2642</v>
      </c>
      <c r="AQ285" t="s">
        <v>4575</v>
      </c>
      <c r="AR285" t="s">
        <v>2644</v>
      </c>
      <c r="AS285" t="s">
        <v>2645</v>
      </c>
      <c r="AT285" t="s">
        <v>4576</v>
      </c>
      <c r="AU285" t="s">
        <v>2647</v>
      </c>
      <c r="AV285" t="s">
        <v>2648</v>
      </c>
      <c r="AW285" t="s">
        <v>5177</v>
      </c>
      <c r="AX285" t="s">
        <v>2757</v>
      </c>
      <c r="AY285" t="s">
        <v>2758</v>
      </c>
      <c r="AZ285" t="s">
        <v>5194</v>
      </c>
      <c r="BA285" t="s">
        <v>2760</v>
      </c>
      <c r="BB285" t="s">
        <v>2761</v>
      </c>
      <c r="BC285" t="s">
        <v>5195</v>
      </c>
      <c r="BD285" t="s">
        <v>2763</v>
      </c>
      <c r="BE285" t="s">
        <v>2764</v>
      </c>
      <c r="BF285" t="s">
        <v>5563</v>
      </c>
      <c r="BG285" t="s">
        <v>2766</v>
      </c>
      <c r="BH285" t="s">
        <v>2767</v>
      </c>
      <c r="BI285" t="s">
        <v>5290</v>
      </c>
      <c r="BJ285"/>
      <c r="BK285"/>
      <c r="BL285"/>
      <c r="BM285"/>
      <c r="BN285"/>
      <c r="BO285"/>
      <c r="BP285"/>
      <c r="BQ285"/>
      <c r="BR285"/>
      <c r="BS285"/>
      <c r="BT285"/>
      <c r="BU285"/>
      <c r="BV285"/>
      <c r="BW285"/>
      <c r="BX285"/>
      <c r="BY285"/>
      <c r="BZ285"/>
      <c r="CA285"/>
      <c r="CB285"/>
      <c r="CC285"/>
      <c r="CD285"/>
      <c r="CE285"/>
      <c r="CF285"/>
    </row>
    <row r="286" spans="1:84">
      <c r="A286" s="142"/>
      <c r="B286" s="57"/>
      <c r="C286" s="44" t="s">
        <v>2516</v>
      </c>
      <c r="D286" s="814" t="str">
        <f>IF(CNSIPEE_2024_M2_Secc1!D42="","",CNSIPEE_2024_M2_Secc1!D42)</f>
        <v/>
      </c>
      <c r="E286" s="814"/>
      <c r="F286" s="815"/>
      <c r="G286" s="116"/>
      <c r="H286" s="116"/>
      <c r="I286" s="116"/>
      <c r="J286" s="100"/>
      <c r="K286" s="100"/>
      <c r="L286" s="100"/>
      <c r="M286" s="100"/>
      <c r="N286" s="100"/>
      <c r="O286" s="100"/>
      <c r="P286" s="100"/>
      <c r="Q286" s="100"/>
      <c r="R286" s="100"/>
      <c r="S286" s="100"/>
      <c r="T286" s="100"/>
      <c r="U286" s="100"/>
      <c r="V286" s="100"/>
      <c r="W286" s="100"/>
      <c r="X286" s="100"/>
      <c r="Y286" s="100"/>
      <c r="Z286" s="100"/>
      <c r="AA286" s="100"/>
      <c r="AB286" s="100"/>
      <c r="AC286" s="100"/>
      <c r="AD286" s="100"/>
      <c r="AK286">
        <f t="shared" ref="AK286:AK293" si="208">COUNTIF(H286:I286,"NS")</f>
        <v>0</v>
      </c>
      <c r="AL286">
        <f t="shared" ref="AL286:AL293" si="209">SUM(H286:I286)</f>
        <v>0</v>
      </c>
      <c r="AM286">
        <f>IF(COUNTIF(G286:I286,"NA")=3,0,IF(COUNTA(G286:I286)=0,0,IF(OR(AND(G286=0,AK286&gt;0),AND(G286="ns",AL286&gt;0),AND(G286="ns",AK286=0,AL286=0)),1,IF(OR(AND(G286&gt;0,AK286=2),AND(G286="ns",AK286=2),AND(G286="ns",AL286=0,AK286&gt;0),G286=AL286),0,1))))</f>
        <v>0</v>
      </c>
      <c r="AN286">
        <f t="shared" ref="AN286:AN293" si="210">COUNTIF(K286:L286,"NS")</f>
        <v>0</v>
      </c>
      <c r="AO286">
        <f t="shared" ref="AO286:AO293" si="211">SUM(K286:L286)</f>
        <v>0</v>
      </c>
      <c r="AP286">
        <f t="shared" ref="AP286:AP293" si="212">IF(COUNTIF(J286:L286,"NA")=3,0,IF(COUNTA(J286:L286)=0,0,IF(OR(AND(J286=0,AN286&gt;0),AND(J286="ns",AO286&gt;0),AND(J286="ns",AN286=0,AO286=0)),1,IF(OR(AND(J286&gt;0,AN286=2),AND(J286="ns",AN286=2),AND(J286="ns",AO286=0,AN286&gt;0),J286=AO286),0,1))))</f>
        <v>0</v>
      </c>
      <c r="AQ286">
        <f t="shared" ref="AQ286:AQ293" si="213">COUNTIF(N286:O286,"NS")</f>
        <v>0</v>
      </c>
      <c r="AR286">
        <f t="shared" ref="AR286:AR293" si="214">SUM(N286:O286)</f>
        <v>0</v>
      </c>
      <c r="AS286">
        <f t="shared" ref="AS286:AS293" si="215">IF(COUNTIF(M286:O286,"NA")=3,0,IF(COUNTA(M286:O286)=0,0,IF(OR(AND(M286=0,AQ286&gt;0),AND(M286="ns",AR286&gt;0),AND(M286="ns",AQ286=0,AR286=0)),1,IF(OR(AND(M286&gt;0,AQ286=2),AND(M286="ns",AQ286=2),AND(M286="ns",AR286=0,AQ286&gt;0),M286=AR286),0,1))))</f>
        <v>0</v>
      </c>
      <c r="AT286">
        <f t="shared" ref="AT286:AT293" si="216">COUNTIF(Q286:R286,"NS")</f>
        <v>0</v>
      </c>
      <c r="AU286">
        <f t="shared" ref="AU286:AU293" si="217">SUM(Q286:R286)</f>
        <v>0</v>
      </c>
      <c r="AV286">
        <f t="shared" ref="AV286:AV293" si="218">IF(COUNTIF(P286:R286,"NA")=3,0,IF(COUNTA(P286:R286)=0,0,IF(OR(AND(P286=0,AT286&gt;0),AND(P286="ns",AU286&gt;0),AND(P286="ns",AT286=0,AU286=0)),1,IF(OR(AND(P286&gt;0,AT286=2),AND(P286="ns",AT286=2),AND(P286="ns",AU286=0,AT286&gt;0),P286=AU286),0,1))))</f>
        <v>0</v>
      </c>
      <c r="AW286">
        <f t="shared" ref="AW286:AW293" si="219">COUNTIF(T286:U286,"NS")</f>
        <v>0</v>
      </c>
      <c r="AX286">
        <f t="shared" ref="AX286:AX293" si="220">SUM(T286:U286)</f>
        <v>0</v>
      </c>
      <c r="AY286">
        <f t="shared" ref="AY286:AY293" si="221">IF(COUNTIF(S286:U286,"NA")=3,0,IF(COUNTA(S286:U286)=0,0,IF(OR(AND(S286=0,AW286&gt;0),AND(S286="ns",AX286&gt;0),AND(S286="ns",AW286=0,AX286=0)),1,IF(OR(AND(S286&gt;0,AW286=2),AND(S286="ns",AW286=2),AND(S286="ns",AX286=0,AW286&gt;0),S286=AX286),0,1))))</f>
        <v>0</v>
      </c>
      <c r="AZ286">
        <f t="shared" ref="AZ286:AZ293" si="222">COUNTIF(W286:X286,"NS")</f>
        <v>0</v>
      </c>
      <c r="BA286">
        <f t="shared" ref="BA286:BA293" si="223">SUM(W286:X286)</f>
        <v>0</v>
      </c>
      <c r="BB286">
        <f t="shared" ref="BB286:BB293" si="224">IF(COUNTIF(V286:X286,"NA")=3,0,IF(COUNTA(V286:X286)=0,0,IF(OR(AND(V286=0,AZ286&gt;0),AND(V286="ns",BA286&gt;0),AND(V286="ns",AZ286=0,BA286=0)),1,IF(OR(AND(V286&gt;0,AZ286=2),AND(V286="ns",AZ286=2),AND(V286="ns",BA286=0,AZ286&gt;0),V286=BA286),0,1))))</f>
        <v>0</v>
      </c>
      <c r="BC286">
        <f t="shared" ref="BC286:BC293" si="225">COUNTIF(Z286:AA286,"NS")</f>
        <v>0</v>
      </c>
      <c r="BD286">
        <f t="shared" ref="BD286:BD293" si="226">SUM(Z286:AA286)</f>
        <v>0</v>
      </c>
      <c r="BE286">
        <f t="shared" ref="BE286:BE293" si="227">IF(COUNTIF(Y286:AA286,"NA")=3,0,IF(COUNTA(Y286:AA286)=0,0,IF(OR(AND(Y286=0,BC286&gt;0),AND(Y286="ns",BD286&gt;0),AND(Y286="ns",BC286=0,BD286=0)),1,IF(OR(AND(Y286&gt;0,BC286=2),AND(Y286="ns",BC286=2),AND(Y286="ns",BD286=0,BC286&gt;0),Y286=BD286),0,1))))</f>
        <v>0</v>
      </c>
      <c r="BF286">
        <f t="shared" ref="BF286:BF293" si="228">COUNTIF(AC286:AD286,"NS")</f>
        <v>0</v>
      </c>
      <c r="BG286">
        <f t="shared" ref="BG286:BG293" si="229">SUM(AC286:AD286)</f>
        <v>0</v>
      </c>
      <c r="BH286">
        <f t="shared" ref="BH286:BH293" si="230">IF(COUNTIF(AB286:AD286,"NA")=3,0,IF(COUNTA(AB286:AD286)=0,0,IF(OR(AND(AB286=0,BF286&gt;0),AND(AB286="ns",BG286&gt;0),AND(AB286="ns",BF286=0,BG286=0)),1,IF(OR(AND(AB286&gt;0,BF286=2),AND(AB286="ns",BF286=2),AND(AB286="ns",BG286=0,BF286&gt;0),AB286=BG286),0,1))))</f>
        <v>0</v>
      </c>
      <c r="BI286" cm="1">
        <f t="array" ref="BI286">IF(OR(G286={"NS","NA"},$M242={"NS","NA"}),0,IF(G286&lt;=$M242,0,1))</f>
        <v>0</v>
      </c>
      <c r="BJ286" cm="1">
        <f t="array" ref="BJ286">IF(OR(H286={"NS","NA"},$N242={"NS","NA"}),0,IF(H286&lt;=$N242,0,1))</f>
        <v>0</v>
      </c>
      <c r="BK286" cm="1">
        <f t="array" ref="BK286">IF(OR(I286={"NS","NA"},$O242={"NS","NA"}),0,IF(I286&lt;=$O242,0,1))</f>
        <v>0</v>
      </c>
      <c r="BL286" cm="1">
        <f t="array" ref="BL286">IF(OR(J286={"NS","NA"},$M242={"NS","NA"}),0,IF(J286&lt;=$M242,0,1))</f>
        <v>0</v>
      </c>
      <c r="BM286" cm="1">
        <f t="array" ref="BM286">IF(OR(K286={"NS","NA"},$N242={"NS","NA"}),0,IF(K286&lt;=$N242,0,1))</f>
        <v>0</v>
      </c>
      <c r="BN286" cm="1">
        <f t="array" ref="BN286">IF(OR(L286={"NS","NA"},$O242={"NS","NA"}),0,IF(L286&lt;=$O242,0,1))</f>
        <v>0</v>
      </c>
      <c r="BO286" cm="1">
        <f t="array" ref="BO286">IF(OR(M286={"NS","NA"},$M242={"NS","NA"}),0,IF(M286&lt;=$M242,0,1))</f>
        <v>0</v>
      </c>
      <c r="BP286" cm="1">
        <f t="array" ref="BP286">IF(OR(N286={"NS","NA"},$N242={"NS","NA"}),0,IF(N286&lt;=$N242,0,1))</f>
        <v>0</v>
      </c>
      <c r="BQ286" cm="1">
        <f t="array" ref="BQ286">IF(OR(O286={"NS","NA"},$O242={"NS","NA"}),0,IF(O286&lt;=$O242,0,1))</f>
        <v>0</v>
      </c>
      <c r="BR286" cm="1">
        <f t="array" ref="BR286">IF(OR(P286={"NS","NA"},$M242={"NS","NA"}),0,IF(P286&lt;=$M242,0,1))</f>
        <v>0</v>
      </c>
      <c r="BS286" cm="1">
        <f t="array" ref="BS286">IF(OR(Q286={"NS","NA"},$N242={"NS","NA"}),0,IF(Q286&lt;=$N242,0,1))</f>
        <v>0</v>
      </c>
      <c r="BT286" cm="1">
        <f t="array" ref="BT286">IF(OR(R286={"NS","NA"},$O242={"NS","NA"}),0,IF(R286&lt;=$O242,0,1))</f>
        <v>0</v>
      </c>
      <c r="BU286" cm="1">
        <f t="array" ref="BU286">IF(OR(S286={"NS","NA"},$M242={"NS","NA"}),0,IF(S286&lt;=$M242,0,1))</f>
        <v>0</v>
      </c>
      <c r="BV286" cm="1">
        <f t="array" ref="BV286">IF(OR(T286={"NS","NA"},$N242={"NS","NA"}),0,IF(T286&lt;=$N242,0,1))</f>
        <v>0</v>
      </c>
      <c r="BW286" cm="1">
        <f t="array" ref="BW286">IF(OR(U286={"NS","NA"},$O242={"NS","NA"}),0,IF(U286&lt;=$O242,0,1))</f>
        <v>0</v>
      </c>
      <c r="BX286" cm="1">
        <f t="array" ref="BX286">IF(OR(V286={"NS","NA"},$M242={"NS","NA"}),0,IF(V286&lt;=$M242,0,1))</f>
        <v>0</v>
      </c>
      <c r="BY286" cm="1">
        <f t="array" ref="BY286">IF(OR(W286={"NS","NA"},$N242={"NS","NA"}),0,IF(W286&lt;=$N242,0,1))</f>
        <v>0</v>
      </c>
      <c r="BZ286" cm="1">
        <f t="array" ref="BZ286">IF(OR(X286={"NS","NA"},$O242={"NS","NA"}),0,IF(X286&lt;=$O242,0,1))</f>
        <v>0</v>
      </c>
      <c r="CA286" cm="1">
        <f t="array" ref="CA286">IF(OR(Y286={"NS","NA"},$M242={"NS","NA"}),0,IF(Y286&lt;=$M242,0,1))</f>
        <v>0</v>
      </c>
      <c r="CB286" cm="1">
        <f t="array" ref="CB286">IF(OR(Z286={"NS","NA"},$N242={"NS","NA"}),0,IF(Z286&lt;=$N242,0,1))</f>
        <v>0</v>
      </c>
      <c r="CC286" cm="1">
        <f t="array" ref="CC286">IF(OR(AA286={"NS","NA"},$O242={"NS","NA"}),0,IF(AA286&lt;=$O242,0,1))</f>
        <v>0</v>
      </c>
      <c r="CD286" cm="1">
        <f t="array" ref="CD286">IF(OR(AB286={"NS","NA"},$M242={"NS","NA"}),0,IF(AB286&lt;=$M242,0,1))</f>
        <v>0</v>
      </c>
      <c r="CE286" cm="1">
        <f t="array" ref="CE286">IF(OR(AC286={"NS","NA"},$N242={"NS","NA"}),0,IF(AC286&lt;=$N242,0,1))</f>
        <v>0</v>
      </c>
      <c r="CF286" cm="1">
        <f t="array" ref="CF286">IF(OR(AD286={"NS","NA"},$O242={"NS","NA"}),0,IF(AD286&lt;=$O242,0,1))</f>
        <v>0</v>
      </c>
    </row>
    <row r="287" spans="1:84">
      <c r="A287" s="142"/>
      <c r="B287" s="57"/>
      <c r="C287" s="44" t="s">
        <v>2517</v>
      </c>
      <c r="D287" s="814" t="str">
        <f>IF(CNSIPEE_2024_M2_Secc1!D43="","",CNSIPEE_2024_M2_Secc1!D43)</f>
        <v/>
      </c>
      <c r="E287" s="814"/>
      <c r="F287" s="815"/>
      <c r="G287" s="116"/>
      <c r="H287" s="116"/>
      <c r="I287" s="116"/>
      <c r="J287" s="100"/>
      <c r="K287" s="100"/>
      <c r="L287" s="100"/>
      <c r="M287" s="100"/>
      <c r="N287" s="100"/>
      <c r="O287" s="100"/>
      <c r="P287" s="100"/>
      <c r="Q287" s="100"/>
      <c r="R287" s="100"/>
      <c r="S287" s="100"/>
      <c r="T287" s="100"/>
      <c r="U287" s="100"/>
      <c r="V287" s="100"/>
      <c r="W287" s="100"/>
      <c r="X287" s="100"/>
      <c r="Y287" s="100"/>
      <c r="Z287" s="100"/>
      <c r="AA287" s="100"/>
      <c r="AB287" s="100"/>
      <c r="AC287" s="100"/>
      <c r="AD287" s="100"/>
      <c r="AK287">
        <f t="shared" si="208"/>
        <v>0</v>
      </c>
      <c r="AL287">
        <f t="shared" si="209"/>
        <v>0</v>
      </c>
      <c r="AM287">
        <f t="shared" ref="AM287:AM293" si="231">IF(COUNTIF(G287:I287,"NA")=3,0,IF(COUNTA(G287:I287)=0,0,IF(OR(AND(G287=0,AK287&gt;0),AND(G287="ns",AL287&gt;0),AND(G287="ns",AK287=0,AL287=0)),1,IF(OR(AND(G287&gt;0,AK287=2),AND(G287="ns",AK287=2),AND(G287="ns",AL287=0,AK287&gt;0),G287=AL287),0,1))))</f>
        <v>0</v>
      </c>
      <c r="AN287">
        <f t="shared" si="210"/>
        <v>0</v>
      </c>
      <c r="AO287">
        <f t="shared" si="211"/>
        <v>0</v>
      </c>
      <c r="AP287">
        <f t="shared" si="212"/>
        <v>0</v>
      </c>
      <c r="AQ287">
        <f t="shared" si="213"/>
        <v>0</v>
      </c>
      <c r="AR287">
        <f t="shared" si="214"/>
        <v>0</v>
      </c>
      <c r="AS287">
        <f t="shared" si="215"/>
        <v>0</v>
      </c>
      <c r="AT287">
        <f t="shared" si="216"/>
        <v>0</v>
      </c>
      <c r="AU287">
        <f t="shared" si="217"/>
        <v>0</v>
      </c>
      <c r="AV287">
        <f t="shared" si="218"/>
        <v>0</v>
      </c>
      <c r="AW287">
        <f t="shared" si="219"/>
        <v>0</v>
      </c>
      <c r="AX287">
        <f t="shared" si="220"/>
        <v>0</v>
      </c>
      <c r="AY287">
        <f t="shared" si="221"/>
        <v>0</v>
      </c>
      <c r="AZ287">
        <f t="shared" si="222"/>
        <v>0</v>
      </c>
      <c r="BA287">
        <f t="shared" si="223"/>
        <v>0</v>
      </c>
      <c r="BB287">
        <f t="shared" si="224"/>
        <v>0</v>
      </c>
      <c r="BC287">
        <f t="shared" si="225"/>
        <v>0</v>
      </c>
      <c r="BD287">
        <f t="shared" si="226"/>
        <v>0</v>
      </c>
      <c r="BE287">
        <f t="shared" si="227"/>
        <v>0</v>
      </c>
      <c r="BF287">
        <f t="shared" si="228"/>
        <v>0</v>
      </c>
      <c r="BG287">
        <f t="shared" si="229"/>
        <v>0</v>
      </c>
      <c r="BH287">
        <f t="shared" si="230"/>
        <v>0</v>
      </c>
      <c r="BI287" cm="1">
        <f t="array" ref="BI287">IF(OR(G287={"NS","NA"},$M243={"NS","NA"}),0,IF(G287&lt;=$M243,0,1))</f>
        <v>0</v>
      </c>
      <c r="BJ287" cm="1">
        <f t="array" ref="BJ287">IF(OR(H287={"NS","NA"},$N243={"NS","NA"}),0,IF(H287&lt;=$N243,0,1))</f>
        <v>0</v>
      </c>
      <c r="BK287" cm="1">
        <f t="array" ref="BK287">IF(OR(I287={"NS","NA"},$O243={"NS","NA"}),0,IF(I287&lt;=$O243,0,1))</f>
        <v>0</v>
      </c>
      <c r="BL287" cm="1">
        <f t="array" ref="BL287">IF(OR(J287={"NS","NA"},$M243={"NS","NA"}),0,IF(J287&lt;=$M243,0,1))</f>
        <v>0</v>
      </c>
      <c r="BM287" cm="1">
        <f t="array" ref="BM287">IF(OR(K287={"NS","NA"},$N243={"NS","NA"}),0,IF(K287&lt;=$N243,0,1))</f>
        <v>0</v>
      </c>
      <c r="BN287" cm="1">
        <f t="array" ref="BN287">IF(OR(L287={"NS","NA"},$O243={"NS","NA"}),0,IF(L287&lt;=$O243,0,1))</f>
        <v>0</v>
      </c>
      <c r="BO287" cm="1">
        <f t="array" ref="BO287">IF(OR(M287={"NS","NA"},$M243={"NS","NA"}),0,IF(M287&lt;=$M243,0,1))</f>
        <v>0</v>
      </c>
      <c r="BP287" cm="1">
        <f t="array" ref="BP287">IF(OR(N287={"NS","NA"},$N243={"NS","NA"}),0,IF(N287&lt;=$N243,0,1))</f>
        <v>0</v>
      </c>
      <c r="BQ287" cm="1">
        <f t="array" ref="BQ287">IF(OR(O287={"NS","NA"},$O243={"NS","NA"}),0,IF(O287&lt;=$O243,0,1))</f>
        <v>0</v>
      </c>
      <c r="BR287" cm="1">
        <f t="array" ref="BR287">IF(OR(P287={"NS","NA"},$M243={"NS","NA"}),0,IF(P287&lt;=$M243,0,1))</f>
        <v>0</v>
      </c>
      <c r="BS287" cm="1">
        <f t="array" ref="BS287">IF(OR(Q287={"NS","NA"},$N243={"NS","NA"}),0,IF(Q287&lt;=$N243,0,1))</f>
        <v>0</v>
      </c>
      <c r="BT287" cm="1">
        <f t="array" ref="BT287">IF(OR(R287={"NS","NA"},$O243={"NS","NA"}),0,IF(R287&lt;=$O243,0,1))</f>
        <v>0</v>
      </c>
      <c r="BU287" cm="1">
        <f t="array" ref="BU287">IF(OR(S287={"NS","NA"},$M243={"NS","NA"}),0,IF(S287&lt;=$M243,0,1))</f>
        <v>0</v>
      </c>
      <c r="BV287" cm="1">
        <f t="array" ref="BV287">IF(OR(T287={"NS","NA"},$N243={"NS","NA"}),0,IF(T287&lt;=$N243,0,1))</f>
        <v>0</v>
      </c>
      <c r="BW287" cm="1">
        <f t="array" ref="BW287">IF(OR(U287={"NS","NA"},$O243={"NS","NA"}),0,IF(U287&lt;=$O243,0,1))</f>
        <v>0</v>
      </c>
      <c r="BX287" cm="1">
        <f t="array" ref="BX287">IF(OR(V287={"NS","NA"},$M243={"NS","NA"}),0,IF(V287&lt;=$M243,0,1))</f>
        <v>0</v>
      </c>
      <c r="BY287" cm="1">
        <f t="array" ref="BY287">IF(OR(W287={"NS","NA"},$N243={"NS","NA"}),0,IF(W287&lt;=$N243,0,1))</f>
        <v>0</v>
      </c>
      <c r="BZ287" cm="1">
        <f t="array" ref="BZ287">IF(OR(X287={"NS","NA"},$O243={"NS","NA"}),0,IF(X287&lt;=$O243,0,1))</f>
        <v>0</v>
      </c>
      <c r="CA287" cm="1">
        <f t="array" ref="CA287">IF(OR(Y287={"NS","NA"},$M243={"NS","NA"}),0,IF(Y287&lt;=$M243,0,1))</f>
        <v>0</v>
      </c>
      <c r="CB287" cm="1">
        <f t="array" ref="CB287">IF(OR(Z287={"NS","NA"},$N243={"NS","NA"}),0,IF(Z287&lt;=$N243,0,1))</f>
        <v>0</v>
      </c>
      <c r="CC287" cm="1">
        <f t="array" ref="CC287">IF(OR(AA287={"NS","NA"},$O243={"NS","NA"}),0,IF(AA287&lt;=$O243,0,1))</f>
        <v>0</v>
      </c>
      <c r="CD287" cm="1">
        <f t="array" ref="CD287">IF(OR(AB287={"NS","NA"},$M243={"NS","NA"}),0,IF(AB287&lt;=$M243,0,1))</f>
        <v>0</v>
      </c>
      <c r="CE287" cm="1">
        <f t="array" ref="CE287">IF(OR(AC287={"NS","NA"},$N243={"NS","NA"}),0,IF(AC287&lt;=$N243,0,1))</f>
        <v>0</v>
      </c>
      <c r="CF287" cm="1">
        <f t="array" ref="CF287">IF(OR(AD287={"NS","NA"},$O243={"NS","NA"}),0,IF(AD287&lt;=$O243,0,1))</f>
        <v>0</v>
      </c>
    </row>
    <row r="288" spans="1:84">
      <c r="A288" s="142"/>
      <c r="B288" s="57"/>
      <c r="C288" s="44" t="s">
        <v>2518</v>
      </c>
      <c r="D288" s="814" t="str">
        <f>IF(CNSIPEE_2024_M2_Secc1!D44="","",CNSIPEE_2024_M2_Secc1!D44)</f>
        <v/>
      </c>
      <c r="E288" s="814"/>
      <c r="F288" s="815"/>
      <c r="G288" s="116"/>
      <c r="H288" s="116"/>
      <c r="I288" s="116"/>
      <c r="J288" s="100"/>
      <c r="K288" s="100"/>
      <c r="L288" s="100"/>
      <c r="M288" s="100"/>
      <c r="N288" s="100"/>
      <c r="O288" s="100"/>
      <c r="P288" s="100"/>
      <c r="Q288" s="100"/>
      <c r="R288" s="100"/>
      <c r="S288" s="100"/>
      <c r="T288" s="100"/>
      <c r="U288" s="100"/>
      <c r="V288" s="100"/>
      <c r="W288" s="100"/>
      <c r="X288" s="100"/>
      <c r="Y288" s="100"/>
      <c r="Z288" s="100"/>
      <c r="AA288" s="100"/>
      <c r="AB288" s="100"/>
      <c r="AC288" s="100"/>
      <c r="AD288" s="100"/>
      <c r="AK288">
        <f t="shared" si="208"/>
        <v>0</v>
      </c>
      <c r="AL288">
        <f t="shared" si="209"/>
        <v>0</v>
      </c>
      <c r="AM288">
        <f t="shared" si="231"/>
        <v>0</v>
      </c>
      <c r="AN288">
        <f t="shared" si="210"/>
        <v>0</v>
      </c>
      <c r="AO288">
        <f t="shared" si="211"/>
        <v>0</v>
      </c>
      <c r="AP288">
        <f t="shared" si="212"/>
        <v>0</v>
      </c>
      <c r="AQ288">
        <f t="shared" si="213"/>
        <v>0</v>
      </c>
      <c r="AR288">
        <f t="shared" si="214"/>
        <v>0</v>
      </c>
      <c r="AS288">
        <f t="shared" si="215"/>
        <v>0</v>
      </c>
      <c r="AT288">
        <f t="shared" si="216"/>
        <v>0</v>
      </c>
      <c r="AU288">
        <f t="shared" si="217"/>
        <v>0</v>
      </c>
      <c r="AV288">
        <f t="shared" si="218"/>
        <v>0</v>
      </c>
      <c r="AW288">
        <f t="shared" si="219"/>
        <v>0</v>
      </c>
      <c r="AX288">
        <f t="shared" si="220"/>
        <v>0</v>
      </c>
      <c r="AY288">
        <f t="shared" si="221"/>
        <v>0</v>
      </c>
      <c r="AZ288">
        <f t="shared" si="222"/>
        <v>0</v>
      </c>
      <c r="BA288">
        <f t="shared" si="223"/>
        <v>0</v>
      </c>
      <c r="BB288">
        <f t="shared" si="224"/>
        <v>0</v>
      </c>
      <c r="BC288">
        <f t="shared" si="225"/>
        <v>0</v>
      </c>
      <c r="BD288">
        <f t="shared" si="226"/>
        <v>0</v>
      </c>
      <c r="BE288">
        <f t="shared" si="227"/>
        <v>0</v>
      </c>
      <c r="BF288">
        <f t="shared" si="228"/>
        <v>0</v>
      </c>
      <c r="BG288">
        <f t="shared" si="229"/>
        <v>0</v>
      </c>
      <c r="BH288">
        <f t="shared" si="230"/>
        <v>0</v>
      </c>
      <c r="BI288" cm="1">
        <f t="array" ref="BI288">IF(OR(G288={"NS","NA"},$M244={"NS","NA"}),0,IF(G288&lt;=$M244,0,1))</f>
        <v>0</v>
      </c>
      <c r="BJ288" cm="1">
        <f t="array" ref="BJ288">IF(OR(H288={"NS","NA"},$N244={"NS","NA"}),0,IF(H288&lt;=$N244,0,1))</f>
        <v>0</v>
      </c>
      <c r="BK288" cm="1">
        <f t="array" ref="BK288">IF(OR(I288={"NS","NA"},$O244={"NS","NA"}),0,IF(I288&lt;=$O244,0,1))</f>
        <v>0</v>
      </c>
      <c r="BL288" cm="1">
        <f t="array" ref="BL288">IF(OR(J288={"NS","NA"},$M244={"NS","NA"}),0,IF(J288&lt;=$M244,0,1))</f>
        <v>0</v>
      </c>
      <c r="BM288" cm="1">
        <f t="array" ref="BM288">IF(OR(K288={"NS","NA"},$N244={"NS","NA"}),0,IF(K288&lt;=$N244,0,1))</f>
        <v>0</v>
      </c>
      <c r="BN288" cm="1">
        <f t="array" ref="BN288">IF(OR(L288={"NS","NA"},$O244={"NS","NA"}),0,IF(L288&lt;=$O244,0,1))</f>
        <v>0</v>
      </c>
      <c r="BO288" cm="1">
        <f t="array" ref="BO288">IF(OR(M288={"NS","NA"},$M244={"NS","NA"}),0,IF(M288&lt;=$M244,0,1))</f>
        <v>0</v>
      </c>
      <c r="BP288" cm="1">
        <f t="array" ref="BP288">IF(OR(N288={"NS","NA"},$N244={"NS","NA"}),0,IF(N288&lt;=$N244,0,1))</f>
        <v>0</v>
      </c>
      <c r="BQ288" cm="1">
        <f t="array" ref="BQ288">IF(OR(O288={"NS","NA"},$O244={"NS","NA"}),0,IF(O288&lt;=$O244,0,1))</f>
        <v>0</v>
      </c>
      <c r="BR288" cm="1">
        <f t="array" ref="BR288">IF(OR(P288={"NS","NA"},$M244={"NS","NA"}),0,IF(P288&lt;=$M244,0,1))</f>
        <v>0</v>
      </c>
      <c r="BS288" cm="1">
        <f t="array" ref="BS288">IF(OR(Q288={"NS","NA"},$N244={"NS","NA"}),0,IF(Q288&lt;=$N244,0,1))</f>
        <v>0</v>
      </c>
      <c r="BT288" cm="1">
        <f t="array" ref="BT288">IF(OR(R288={"NS","NA"},$O244={"NS","NA"}),0,IF(R288&lt;=$O244,0,1))</f>
        <v>0</v>
      </c>
      <c r="BU288" cm="1">
        <f t="array" ref="BU288">IF(OR(S288={"NS","NA"},$M244={"NS","NA"}),0,IF(S288&lt;=$M244,0,1))</f>
        <v>0</v>
      </c>
      <c r="BV288" cm="1">
        <f t="array" ref="BV288">IF(OR(T288={"NS","NA"},$N244={"NS","NA"}),0,IF(T288&lt;=$N244,0,1))</f>
        <v>0</v>
      </c>
      <c r="BW288" cm="1">
        <f t="array" ref="BW288">IF(OR(U288={"NS","NA"},$O244={"NS","NA"}),0,IF(U288&lt;=$O244,0,1))</f>
        <v>0</v>
      </c>
      <c r="BX288" cm="1">
        <f t="array" ref="BX288">IF(OR(V288={"NS","NA"},$M244={"NS","NA"}),0,IF(V288&lt;=$M244,0,1))</f>
        <v>0</v>
      </c>
      <c r="BY288" cm="1">
        <f t="array" ref="BY288">IF(OR(W288={"NS","NA"},$N244={"NS","NA"}),0,IF(W288&lt;=$N244,0,1))</f>
        <v>0</v>
      </c>
      <c r="BZ288" cm="1">
        <f t="array" ref="BZ288">IF(OR(X288={"NS","NA"},$O244={"NS","NA"}),0,IF(X288&lt;=$O244,0,1))</f>
        <v>0</v>
      </c>
      <c r="CA288" cm="1">
        <f t="array" ref="CA288">IF(OR(Y288={"NS","NA"},$M244={"NS","NA"}),0,IF(Y288&lt;=$M244,0,1))</f>
        <v>0</v>
      </c>
      <c r="CB288" cm="1">
        <f t="array" ref="CB288">IF(OR(Z288={"NS","NA"},$N244={"NS","NA"}),0,IF(Z288&lt;=$N244,0,1))</f>
        <v>0</v>
      </c>
      <c r="CC288" cm="1">
        <f t="array" ref="CC288">IF(OR(AA288={"NS","NA"},$O244={"NS","NA"}),0,IF(AA288&lt;=$O244,0,1))</f>
        <v>0</v>
      </c>
      <c r="CD288" cm="1">
        <f t="array" ref="CD288">IF(OR(AB288={"NS","NA"},$M244={"NS","NA"}),0,IF(AB288&lt;=$M244,0,1))</f>
        <v>0</v>
      </c>
      <c r="CE288" cm="1">
        <f t="array" ref="CE288">IF(OR(AC288={"NS","NA"},$N244={"NS","NA"}),0,IF(AC288&lt;=$N244,0,1))</f>
        <v>0</v>
      </c>
      <c r="CF288" cm="1">
        <f t="array" ref="CF288">IF(OR(AD288={"NS","NA"},$O244={"NS","NA"}),0,IF(AD288&lt;=$O244,0,1))</f>
        <v>0</v>
      </c>
    </row>
    <row r="289" spans="1:84">
      <c r="A289" s="142"/>
      <c r="B289" s="57"/>
      <c r="C289" s="44" t="s">
        <v>2519</v>
      </c>
      <c r="D289" s="814" t="str">
        <f>IF(CNSIPEE_2024_M2_Secc1!D45="","",CNSIPEE_2024_M2_Secc1!D45)</f>
        <v/>
      </c>
      <c r="E289" s="814"/>
      <c r="F289" s="815"/>
      <c r="G289" s="116"/>
      <c r="H289" s="116"/>
      <c r="I289" s="116"/>
      <c r="J289" s="100"/>
      <c r="K289" s="100"/>
      <c r="L289" s="100"/>
      <c r="M289" s="100"/>
      <c r="N289" s="100"/>
      <c r="O289" s="100"/>
      <c r="P289" s="100"/>
      <c r="Q289" s="100"/>
      <c r="R289" s="100"/>
      <c r="S289" s="100"/>
      <c r="T289" s="100"/>
      <c r="U289" s="100"/>
      <c r="V289" s="100"/>
      <c r="W289" s="100"/>
      <c r="X289" s="100"/>
      <c r="Y289" s="100"/>
      <c r="Z289" s="100"/>
      <c r="AA289" s="100"/>
      <c r="AB289" s="100"/>
      <c r="AC289" s="100"/>
      <c r="AD289" s="100"/>
      <c r="AK289">
        <f t="shared" si="208"/>
        <v>0</v>
      </c>
      <c r="AL289">
        <f t="shared" si="209"/>
        <v>0</v>
      </c>
      <c r="AM289">
        <f t="shared" si="231"/>
        <v>0</v>
      </c>
      <c r="AN289">
        <f t="shared" si="210"/>
        <v>0</v>
      </c>
      <c r="AO289">
        <f t="shared" si="211"/>
        <v>0</v>
      </c>
      <c r="AP289">
        <f t="shared" si="212"/>
        <v>0</v>
      </c>
      <c r="AQ289">
        <f t="shared" si="213"/>
        <v>0</v>
      </c>
      <c r="AR289">
        <f t="shared" si="214"/>
        <v>0</v>
      </c>
      <c r="AS289">
        <f t="shared" si="215"/>
        <v>0</v>
      </c>
      <c r="AT289">
        <f t="shared" si="216"/>
        <v>0</v>
      </c>
      <c r="AU289">
        <f t="shared" si="217"/>
        <v>0</v>
      </c>
      <c r="AV289">
        <f t="shared" si="218"/>
        <v>0</v>
      </c>
      <c r="AW289">
        <f t="shared" si="219"/>
        <v>0</v>
      </c>
      <c r="AX289">
        <f t="shared" si="220"/>
        <v>0</v>
      </c>
      <c r="AY289">
        <f t="shared" si="221"/>
        <v>0</v>
      </c>
      <c r="AZ289">
        <f t="shared" si="222"/>
        <v>0</v>
      </c>
      <c r="BA289">
        <f t="shared" si="223"/>
        <v>0</v>
      </c>
      <c r="BB289">
        <f t="shared" si="224"/>
        <v>0</v>
      </c>
      <c r="BC289">
        <f t="shared" si="225"/>
        <v>0</v>
      </c>
      <c r="BD289">
        <f t="shared" si="226"/>
        <v>0</v>
      </c>
      <c r="BE289">
        <f t="shared" si="227"/>
        <v>0</v>
      </c>
      <c r="BF289">
        <f t="shared" si="228"/>
        <v>0</v>
      </c>
      <c r="BG289">
        <f t="shared" si="229"/>
        <v>0</v>
      </c>
      <c r="BH289">
        <f t="shared" si="230"/>
        <v>0</v>
      </c>
      <c r="BI289" cm="1">
        <f t="array" ref="BI289">IF(OR(G289={"NS","NA"},$M245={"NS","NA"}),0,IF(G289&lt;=$M245,0,1))</f>
        <v>0</v>
      </c>
      <c r="BJ289" cm="1">
        <f t="array" ref="BJ289">IF(OR(H289={"NS","NA"},$N245={"NS","NA"}),0,IF(H289&lt;=$N245,0,1))</f>
        <v>0</v>
      </c>
      <c r="BK289" cm="1">
        <f t="array" ref="BK289">IF(OR(I289={"NS","NA"},$O245={"NS","NA"}),0,IF(I289&lt;=$O245,0,1))</f>
        <v>0</v>
      </c>
      <c r="BL289" cm="1">
        <f t="array" ref="BL289">IF(OR(J289={"NS","NA"},$M245={"NS","NA"}),0,IF(J289&lt;=$M245,0,1))</f>
        <v>0</v>
      </c>
      <c r="BM289" cm="1">
        <f t="array" ref="BM289">IF(OR(K289={"NS","NA"},$N245={"NS","NA"}),0,IF(K289&lt;=$N245,0,1))</f>
        <v>0</v>
      </c>
      <c r="BN289" cm="1">
        <f t="array" ref="BN289">IF(OR(L289={"NS","NA"},$O245={"NS","NA"}),0,IF(L289&lt;=$O245,0,1))</f>
        <v>0</v>
      </c>
      <c r="BO289" cm="1">
        <f t="array" ref="BO289">IF(OR(M289={"NS","NA"},$M245={"NS","NA"}),0,IF(M289&lt;=$M245,0,1))</f>
        <v>0</v>
      </c>
      <c r="BP289" cm="1">
        <f t="array" ref="BP289">IF(OR(N289={"NS","NA"},$N245={"NS","NA"}),0,IF(N289&lt;=$N245,0,1))</f>
        <v>0</v>
      </c>
      <c r="BQ289" cm="1">
        <f t="array" ref="BQ289">IF(OR(O289={"NS","NA"},$O245={"NS","NA"}),0,IF(O289&lt;=$O245,0,1))</f>
        <v>0</v>
      </c>
      <c r="BR289" cm="1">
        <f t="array" ref="BR289">IF(OR(P289={"NS","NA"},$M245={"NS","NA"}),0,IF(P289&lt;=$M245,0,1))</f>
        <v>0</v>
      </c>
      <c r="BS289" cm="1">
        <f t="array" ref="BS289">IF(OR(Q289={"NS","NA"},$N245={"NS","NA"}),0,IF(Q289&lt;=$N245,0,1))</f>
        <v>0</v>
      </c>
      <c r="BT289" cm="1">
        <f t="array" ref="BT289">IF(OR(R289={"NS","NA"},$O245={"NS","NA"}),0,IF(R289&lt;=$O245,0,1))</f>
        <v>0</v>
      </c>
      <c r="BU289" cm="1">
        <f t="array" ref="BU289">IF(OR(S289={"NS","NA"},$M245={"NS","NA"}),0,IF(S289&lt;=$M245,0,1))</f>
        <v>0</v>
      </c>
      <c r="BV289" cm="1">
        <f t="array" ref="BV289">IF(OR(T289={"NS","NA"},$N245={"NS","NA"}),0,IF(T289&lt;=$N245,0,1))</f>
        <v>0</v>
      </c>
      <c r="BW289" cm="1">
        <f t="array" ref="BW289">IF(OR(U289={"NS","NA"},$O245={"NS","NA"}),0,IF(U289&lt;=$O245,0,1))</f>
        <v>0</v>
      </c>
      <c r="BX289" cm="1">
        <f t="array" ref="BX289">IF(OR(V289={"NS","NA"},$M245={"NS","NA"}),0,IF(V289&lt;=$M245,0,1))</f>
        <v>0</v>
      </c>
      <c r="BY289" cm="1">
        <f t="array" ref="BY289">IF(OR(W289={"NS","NA"},$N245={"NS","NA"}),0,IF(W289&lt;=$N245,0,1))</f>
        <v>0</v>
      </c>
      <c r="BZ289" cm="1">
        <f t="array" ref="BZ289">IF(OR(X289={"NS","NA"},$O245={"NS","NA"}),0,IF(X289&lt;=$O245,0,1))</f>
        <v>0</v>
      </c>
      <c r="CA289" cm="1">
        <f t="array" ref="CA289">IF(OR(Y289={"NS","NA"},$M245={"NS","NA"}),0,IF(Y289&lt;=$M245,0,1))</f>
        <v>0</v>
      </c>
      <c r="CB289" cm="1">
        <f t="array" ref="CB289">IF(OR(Z289={"NS","NA"},$N245={"NS","NA"}),0,IF(Z289&lt;=$N245,0,1))</f>
        <v>0</v>
      </c>
      <c r="CC289" cm="1">
        <f t="array" ref="CC289">IF(OR(AA289={"NS","NA"},$O245={"NS","NA"}),0,IF(AA289&lt;=$O245,0,1))</f>
        <v>0</v>
      </c>
      <c r="CD289" cm="1">
        <f t="array" ref="CD289">IF(OR(AB289={"NS","NA"},$M245={"NS","NA"}),0,IF(AB289&lt;=$M245,0,1))</f>
        <v>0</v>
      </c>
      <c r="CE289" cm="1">
        <f t="array" ref="CE289">IF(OR(AC289={"NS","NA"},$N245={"NS","NA"}),0,IF(AC289&lt;=$N245,0,1))</f>
        <v>0</v>
      </c>
      <c r="CF289" cm="1">
        <f t="array" ref="CF289">IF(OR(AD289={"NS","NA"},$O245={"NS","NA"}),0,IF(AD289&lt;=$O245,0,1))</f>
        <v>0</v>
      </c>
    </row>
    <row r="290" spans="1:84">
      <c r="A290" s="142"/>
      <c r="B290" s="57"/>
      <c r="C290" s="44" t="s">
        <v>2520</v>
      </c>
      <c r="D290" s="814" t="str">
        <f>IF(CNSIPEE_2024_M2_Secc1!D46="","",CNSIPEE_2024_M2_Secc1!D46)</f>
        <v/>
      </c>
      <c r="E290" s="814"/>
      <c r="F290" s="815"/>
      <c r="G290" s="116"/>
      <c r="H290" s="116"/>
      <c r="I290" s="116"/>
      <c r="J290" s="100"/>
      <c r="K290" s="100"/>
      <c r="L290" s="100"/>
      <c r="M290" s="100"/>
      <c r="N290" s="100"/>
      <c r="O290" s="100"/>
      <c r="P290" s="100"/>
      <c r="Q290" s="100"/>
      <c r="R290" s="100"/>
      <c r="S290" s="100"/>
      <c r="T290" s="100"/>
      <c r="U290" s="100"/>
      <c r="V290" s="100"/>
      <c r="W290" s="100"/>
      <c r="X290" s="100"/>
      <c r="Y290" s="100"/>
      <c r="Z290" s="100"/>
      <c r="AA290" s="100"/>
      <c r="AB290" s="100"/>
      <c r="AC290" s="100"/>
      <c r="AD290" s="100"/>
      <c r="AK290">
        <f t="shared" si="208"/>
        <v>0</v>
      </c>
      <c r="AL290">
        <f t="shared" si="209"/>
        <v>0</v>
      </c>
      <c r="AM290">
        <f t="shared" si="231"/>
        <v>0</v>
      </c>
      <c r="AN290">
        <f t="shared" si="210"/>
        <v>0</v>
      </c>
      <c r="AO290">
        <f t="shared" si="211"/>
        <v>0</v>
      </c>
      <c r="AP290">
        <f t="shared" si="212"/>
        <v>0</v>
      </c>
      <c r="AQ290">
        <f t="shared" si="213"/>
        <v>0</v>
      </c>
      <c r="AR290">
        <f t="shared" si="214"/>
        <v>0</v>
      </c>
      <c r="AS290">
        <f t="shared" si="215"/>
        <v>0</v>
      </c>
      <c r="AT290">
        <f t="shared" si="216"/>
        <v>0</v>
      </c>
      <c r="AU290">
        <f t="shared" si="217"/>
        <v>0</v>
      </c>
      <c r="AV290">
        <f t="shared" si="218"/>
        <v>0</v>
      </c>
      <c r="AW290">
        <f t="shared" si="219"/>
        <v>0</v>
      </c>
      <c r="AX290">
        <f t="shared" si="220"/>
        <v>0</v>
      </c>
      <c r="AY290">
        <f t="shared" si="221"/>
        <v>0</v>
      </c>
      <c r="AZ290">
        <f t="shared" si="222"/>
        <v>0</v>
      </c>
      <c r="BA290">
        <f t="shared" si="223"/>
        <v>0</v>
      </c>
      <c r="BB290">
        <f t="shared" si="224"/>
        <v>0</v>
      </c>
      <c r="BC290">
        <f t="shared" si="225"/>
        <v>0</v>
      </c>
      <c r="BD290">
        <f t="shared" si="226"/>
        <v>0</v>
      </c>
      <c r="BE290">
        <f t="shared" si="227"/>
        <v>0</v>
      </c>
      <c r="BF290">
        <f t="shared" si="228"/>
        <v>0</v>
      </c>
      <c r="BG290">
        <f t="shared" si="229"/>
        <v>0</v>
      </c>
      <c r="BH290">
        <f t="shared" si="230"/>
        <v>0</v>
      </c>
      <c r="BI290" cm="1">
        <f t="array" ref="BI290">IF(OR(G290={"NS","NA"},$M246={"NS","NA"}),0,IF(G290&lt;=$M246,0,1))</f>
        <v>0</v>
      </c>
      <c r="BJ290" cm="1">
        <f t="array" ref="BJ290">IF(OR(H290={"NS","NA"},$N246={"NS","NA"}),0,IF(H290&lt;=$N246,0,1))</f>
        <v>0</v>
      </c>
      <c r="BK290" cm="1">
        <f t="array" ref="BK290">IF(OR(I290={"NS","NA"},$O246={"NS","NA"}),0,IF(I290&lt;=$O246,0,1))</f>
        <v>0</v>
      </c>
      <c r="BL290" cm="1">
        <f t="array" ref="BL290">IF(OR(J290={"NS","NA"},$M246={"NS","NA"}),0,IF(J290&lt;=$M246,0,1))</f>
        <v>0</v>
      </c>
      <c r="BM290" cm="1">
        <f t="array" ref="BM290">IF(OR(K290={"NS","NA"},$N246={"NS","NA"}),0,IF(K290&lt;=$N246,0,1))</f>
        <v>0</v>
      </c>
      <c r="BN290" cm="1">
        <f t="array" ref="BN290">IF(OR(L290={"NS","NA"},$O246={"NS","NA"}),0,IF(L290&lt;=$O246,0,1))</f>
        <v>0</v>
      </c>
      <c r="BO290" cm="1">
        <f t="array" ref="BO290">IF(OR(M290={"NS","NA"},$M246={"NS","NA"}),0,IF(M290&lt;=$M246,0,1))</f>
        <v>0</v>
      </c>
      <c r="BP290" cm="1">
        <f t="array" ref="BP290">IF(OR(N290={"NS","NA"},$N246={"NS","NA"}),0,IF(N290&lt;=$N246,0,1))</f>
        <v>0</v>
      </c>
      <c r="BQ290" cm="1">
        <f t="array" ref="BQ290">IF(OR(O290={"NS","NA"},$O246={"NS","NA"}),0,IF(O290&lt;=$O246,0,1))</f>
        <v>0</v>
      </c>
      <c r="BR290" cm="1">
        <f t="array" ref="BR290">IF(OR(P290={"NS","NA"},$M246={"NS","NA"}),0,IF(P290&lt;=$M246,0,1))</f>
        <v>0</v>
      </c>
      <c r="BS290" cm="1">
        <f t="array" ref="BS290">IF(OR(Q290={"NS","NA"},$N246={"NS","NA"}),0,IF(Q290&lt;=$N246,0,1))</f>
        <v>0</v>
      </c>
      <c r="BT290" cm="1">
        <f t="array" ref="BT290">IF(OR(R290={"NS","NA"},$O246={"NS","NA"}),0,IF(R290&lt;=$O246,0,1))</f>
        <v>0</v>
      </c>
      <c r="BU290" cm="1">
        <f t="array" ref="BU290">IF(OR(S290={"NS","NA"},$M246={"NS","NA"}),0,IF(S290&lt;=$M246,0,1))</f>
        <v>0</v>
      </c>
      <c r="BV290" cm="1">
        <f t="array" ref="BV290">IF(OR(T290={"NS","NA"},$N246={"NS","NA"}),0,IF(T290&lt;=$N246,0,1))</f>
        <v>0</v>
      </c>
      <c r="BW290" cm="1">
        <f t="array" ref="BW290">IF(OR(U290={"NS","NA"},$O246={"NS","NA"}),0,IF(U290&lt;=$O246,0,1))</f>
        <v>0</v>
      </c>
      <c r="BX290" cm="1">
        <f t="array" ref="BX290">IF(OR(V290={"NS","NA"},$M246={"NS","NA"}),0,IF(V290&lt;=$M246,0,1))</f>
        <v>0</v>
      </c>
      <c r="BY290" cm="1">
        <f t="array" ref="BY290">IF(OR(W290={"NS","NA"},$N246={"NS","NA"}),0,IF(W290&lt;=$N246,0,1))</f>
        <v>0</v>
      </c>
      <c r="BZ290" cm="1">
        <f t="array" ref="BZ290">IF(OR(X290={"NS","NA"},$O246={"NS","NA"}),0,IF(X290&lt;=$O246,0,1))</f>
        <v>0</v>
      </c>
      <c r="CA290" cm="1">
        <f t="array" ref="CA290">IF(OR(Y290={"NS","NA"},$M246={"NS","NA"}),0,IF(Y290&lt;=$M246,0,1))</f>
        <v>0</v>
      </c>
      <c r="CB290" cm="1">
        <f t="array" ref="CB290">IF(OR(Z290={"NS","NA"},$N246={"NS","NA"}),0,IF(Z290&lt;=$N246,0,1))</f>
        <v>0</v>
      </c>
      <c r="CC290" cm="1">
        <f t="array" ref="CC290">IF(OR(AA290={"NS","NA"},$O246={"NS","NA"}),0,IF(AA290&lt;=$O246,0,1))</f>
        <v>0</v>
      </c>
      <c r="CD290" cm="1">
        <f t="array" ref="CD290">IF(OR(AB290={"NS","NA"},$M246={"NS","NA"}),0,IF(AB290&lt;=$M246,0,1))</f>
        <v>0</v>
      </c>
      <c r="CE290" cm="1">
        <f t="array" ref="CE290">IF(OR(AC290={"NS","NA"},$N246={"NS","NA"}),0,IF(AC290&lt;=$N246,0,1))</f>
        <v>0</v>
      </c>
      <c r="CF290" cm="1">
        <f t="array" ref="CF290">IF(OR(AD290={"NS","NA"},$O246={"NS","NA"}),0,IF(AD290&lt;=$O246,0,1))</f>
        <v>0</v>
      </c>
    </row>
    <row r="291" spans="1:84">
      <c r="A291" s="142"/>
      <c r="B291" s="57"/>
      <c r="C291" s="44" t="s">
        <v>2521</v>
      </c>
      <c r="D291" s="814" t="str">
        <f>IF(CNSIPEE_2024_M2_Secc1!D47="","",CNSIPEE_2024_M2_Secc1!D47)</f>
        <v/>
      </c>
      <c r="E291" s="814"/>
      <c r="F291" s="815"/>
      <c r="G291" s="116"/>
      <c r="H291" s="116"/>
      <c r="I291" s="116"/>
      <c r="J291" s="100"/>
      <c r="K291" s="100"/>
      <c r="L291" s="100"/>
      <c r="M291" s="100"/>
      <c r="N291" s="100"/>
      <c r="O291" s="100"/>
      <c r="P291" s="100"/>
      <c r="Q291" s="100"/>
      <c r="R291" s="100"/>
      <c r="S291" s="100"/>
      <c r="T291" s="100"/>
      <c r="U291" s="100"/>
      <c r="V291" s="100"/>
      <c r="W291" s="100"/>
      <c r="X291" s="100"/>
      <c r="Y291" s="100"/>
      <c r="Z291" s="100"/>
      <c r="AA291" s="100"/>
      <c r="AB291" s="100"/>
      <c r="AC291" s="100"/>
      <c r="AD291" s="100"/>
      <c r="AK291">
        <f t="shared" si="208"/>
        <v>0</v>
      </c>
      <c r="AL291">
        <f t="shared" si="209"/>
        <v>0</v>
      </c>
      <c r="AM291">
        <f t="shared" si="231"/>
        <v>0</v>
      </c>
      <c r="AN291">
        <f t="shared" si="210"/>
        <v>0</v>
      </c>
      <c r="AO291">
        <f t="shared" si="211"/>
        <v>0</v>
      </c>
      <c r="AP291">
        <f t="shared" si="212"/>
        <v>0</v>
      </c>
      <c r="AQ291">
        <f t="shared" si="213"/>
        <v>0</v>
      </c>
      <c r="AR291">
        <f t="shared" si="214"/>
        <v>0</v>
      </c>
      <c r="AS291">
        <f t="shared" si="215"/>
        <v>0</v>
      </c>
      <c r="AT291">
        <f t="shared" si="216"/>
        <v>0</v>
      </c>
      <c r="AU291">
        <f t="shared" si="217"/>
        <v>0</v>
      </c>
      <c r="AV291">
        <f t="shared" si="218"/>
        <v>0</v>
      </c>
      <c r="AW291">
        <f t="shared" si="219"/>
        <v>0</v>
      </c>
      <c r="AX291">
        <f t="shared" si="220"/>
        <v>0</v>
      </c>
      <c r="AY291">
        <f t="shared" si="221"/>
        <v>0</v>
      </c>
      <c r="AZ291">
        <f t="shared" si="222"/>
        <v>0</v>
      </c>
      <c r="BA291">
        <f t="shared" si="223"/>
        <v>0</v>
      </c>
      <c r="BB291">
        <f t="shared" si="224"/>
        <v>0</v>
      </c>
      <c r="BC291">
        <f t="shared" si="225"/>
        <v>0</v>
      </c>
      <c r="BD291">
        <f t="shared" si="226"/>
        <v>0</v>
      </c>
      <c r="BE291">
        <f t="shared" si="227"/>
        <v>0</v>
      </c>
      <c r="BF291">
        <f t="shared" si="228"/>
        <v>0</v>
      </c>
      <c r="BG291">
        <f t="shared" si="229"/>
        <v>0</v>
      </c>
      <c r="BH291">
        <f t="shared" si="230"/>
        <v>0</v>
      </c>
      <c r="BI291" cm="1">
        <f t="array" ref="BI291">IF(OR(G291={"NS","NA"},$M247={"NS","NA"}),0,IF(G291&lt;=$M247,0,1))</f>
        <v>0</v>
      </c>
      <c r="BJ291" cm="1">
        <f t="array" ref="BJ291">IF(OR(H291={"NS","NA"},$N247={"NS","NA"}),0,IF(H291&lt;=$N247,0,1))</f>
        <v>0</v>
      </c>
      <c r="BK291" cm="1">
        <f t="array" ref="BK291">IF(OR(I291={"NS","NA"},$O247={"NS","NA"}),0,IF(I291&lt;=$O247,0,1))</f>
        <v>0</v>
      </c>
      <c r="BL291" cm="1">
        <f t="array" ref="BL291">IF(OR(J291={"NS","NA"},$M247={"NS","NA"}),0,IF(J291&lt;=$M247,0,1))</f>
        <v>0</v>
      </c>
      <c r="BM291" cm="1">
        <f t="array" ref="BM291">IF(OR(K291={"NS","NA"},$N247={"NS","NA"}),0,IF(K291&lt;=$N247,0,1))</f>
        <v>0</v>
      </c>
      <c r="BN291" cm="1">
        <f t="array" ref="BN291">IF(OR(L291={"NS","NA"},$O247={"NS","NA"}),0,IF(L291&lt;=$O247,0,1))</f>
        <v>0</v>
      </c>
      <c r="BO291" cm="1">
        <f t="array" ref="BO291">IF(OR(M291={"NS","NA"},$M247={"NS","NA"}),0,IF(M291&lt;=$M247,0,1))</f>
        <v>0</v>
      </c>
      <c r="BP291" cm="1">
        <f t="array" ref="BP291">IF(OR(N291={"NS","NA"},$N247={"NS","NA"}),0,IF(N291&lt;=$N247,0,1))</f>
        <v>0</v>
      </c>
      <c r="BQ291" cm="1">
        <f t="array" ref="BQ291">IF(OR(O291={"NS","NA"},$O247={"NS","NA"}),0,IF(O291&lt;=$O247,0,1))</f>
        <v>0</v>
      </c>
      <c r="BR291" cm="1">
        <f t="array" ref="BR291">IF(OR(P291={"NS","NA"},$M247={"NS","NA"}),0,IF(P291&lt;=$M247,0,1))</f>
        <v>0</v>
      </c>
      <c r="BS291" cm="1">
        <f t="array" ref="BS291">IF(OR(Q291={"NS","NA"},$N247={"NS","NA"}),0,IF(Q291&lt;=$N247,0,1))</f>
        <v>0</v>
      </c>
      <c r="BT291" cm="1">
        <f t="array" ref="BT291">IF(OR(R291={"NS","NA"},$O247={"NS","NA"}),0,IF(R291&lt;=$O247,0,1))</f>
        <v>0</v>
      </c>
      <c r="BU291" cm="1">
        <f t="array" ref="BU291">IF(OR(S291={"NS","NA"},$M247={"NS","NA"}),0,IF(S291&lt;=$M247,0,1))</f>
        <v>0</v>
      </c>
      <c r="BV291" cm="1">
        <f t="array" ref="BV291">IF(OR(T291={"NS","NA"},$N247={"NS","NA"}),0,IF(T291&lt;=$N247,0,1))</f>
        <v>0</v>
      </c>
      <c r="BW291" cm="1">
        <f t="array" ref="BW291">IF(OR(U291={"NS","NA"},$O247={"NS","NA"}),0,IF(U291&lt;=$O247,0,1))</f>
        <v>0</v>
      </c>
      <c r="BX291" cm="1">
        <f t="array" ref="BX291">IF(OR(V291={"NS","NA"},$M247={"NS","NA"}),0,IF(V291&lt;=$M247,0,1))</f>
        <v>0</v>
      </c>
      <c r="BY291" cm="1">
        <f t="array" ref="BY291">IF(OR(W291={"NS","NA"},$N247={"NS","NA"}),0,IF(W291&lt;=$N247,0,1))</f>
        <v>0</v>
      </c>
      <c r="BZ291" cm="1">
        <f t="array" ref="BZ291">IF(OR(X291={"NS","NA"},$O247={"NS","NA"}),0,IF(X291&lt;=$O247,0,1))</f>
        <v>0</v>
      </c>
      <c r="CA291" cm="1">
        <f t="array" ref="CA291">IF(OR(Y291={"NS","NA"},$M247={"NS","NA"}),0,IF(Y291&lt;=$M247,0,1))</f>
        <v>0</v>
      </c>
      <c r="CB291" cm="1">
        <f t="array" ref="CB291">IF(OR(Z291={"NS","NA"},$N247={"NS","NA"}),0,IF(Z291&lt;=$N247,0,1))</f>
        <v>0</v>
      </c>
      <c r="CC291" cm="1">
        <f t="array" ref="CC291">IF(OR(AA291={"NS","NA"},$O247={"NS","NA"}),0,IF(AA291&lt;=$O247,0,1))</f>
        <v>0</v>
      </c>
      <c r="CD291" cm="1">
        <f t="array" ref="CD291">IF(OR(AB291={"NS","NA"},$M247={"NS","NA"}),0,IF(AB291&lt;=$M247,0,1))</f>
        <v>0</v>
      </c>
      <c r="CE291" cm="1">
        <f t="array" ref="CE291">IF(OR(AC291={"NS","NA"},$N247={"NS","NA"}),0,IF(AC291&lt;=$N247,0,1))</f>
        <v>0</v>
      </c>
      <c r="CF291" cm="1">
        <f t="array" ref="CF291">IF(OR(AD291={"NS","NA"},$O247={"NS","NA"}),0,IF(AD291&lt;=$O247,0,1))</f>
        <v>0</v>
      </c>
    </row>
    <row r="292" spans="1:84">
      <c r="A292" s="142"/>
      <c r="B292" s="57"/>
      <c r="C292" s="44" t="s">
        <v>2522</v>
      </c>
      <c r="D292" s="814" t="str">
        <f>IF(CNSIPEE_2024_M2_Secc1!D48="","",CNSIPEE_2024_M2_Secc1!D48)</f>
        <v/>
      </c>
      <c r="E292" s="814"/>
      <c r="F292" s="815"/>
      <c r="G292" s="116"/>
      <c r="H292" s="116"/>
      <c r="I292" s="116"/>
      <c r="J292" s="100"/>
      <c r="K292" s="100"/>
      <c r="L292" s="100"/>
      <c r="M292" s="100"/>
      <c r="N292" s="100"/>
      <c r="O292" s="100"/>
      <c r="P292" s="100"/>
      <c r="Q292" s="100"/>
      <c r="R292" s="100"/>
      <c r="S292" s="100"/>
      <c r="T292" s="100"/>
      <c r="U292" s="100"/>
      <c r="V292" s="100"/>
      <c r="W292" s="100"/>
      <c r="X292" s="100"/>
      <c r="Y292" s="100"/>
      <c r="Z292" s="100"/>
      <c r="AA292" s="100"/>
      <c r="AB292" s="100"/>
      <c r="AC292" s="100"/>
      <c r="AD292" s="100"/>
      <c r="AK292">
        <f t="shared" si="208"/>
        <v>0</v>
      </c>
      <c r="AL292">
        <f t="shared" si="209"/>
        <v>0</v>
      </c>
      <c r="AM292">
        <f t="shared" si="231"/>
        <v>0</v>
      </c>
      <c r="AN292">
        <f t="shared" si="210"/>
        <v>0</v>
      </c>
      <c r="AO292">
        <f t="shared" si="211"/>
        <v>0</v>
      </c>
      <c r="AP292">
        <f t="shared" si="212"/>
        <v>0</v>
      </c>
      <c r="AQ292">
        <f t="shared" si="213"/>
        <v>0</v>
      </c>
      <c r="AR292">
        <f t="shared" si="214"/>
        <v>0</v>
      </c>
      <c r="AS292">
        <f t="shared" si="215"/>
        <v>0</v>
      </c>
      <c r="AT292">
        <f t="shared" si="216"/>
        <v>0</v>
      </c>
      <c r="AU292">
        <f t="shared" si="217"/>
        <v>0</v>
      </c>
      <c r="AV292">
        <f t="shared" si="218"/>
        <v>0</v>
      </c>
      <c r="AW292">
        <f t="shared" si="219"/>
        <v>0</v>
      </c>
      <c r="AX292">
        <f t="shared" si="220"/>
        <v>0</v>
      </c>
      <c r="AY292">
        <f t="shared" si="221"/>
        <v>0</v>
      </c>
      <c r="AZ292">
        <f t="shared" si="222"/>
        <v>0</v>
      </c>
      <c r="BA292">
        <f t="shared" si="223"/>
        <v>0</v>
      </c>
      <c r="BB292">
        <f t="shared" si="224"/>
        <v>0</v>
      </c>
      <c r="BC292">
        <f t="shared" si="225"/>
        <v>0</v>
      </c>
      <c r="BD292">
        <f t="shared" si="226"/>
        <v>0</v>
      </c>
      <c r="BE292">
        <f t="shared" si="227"/>
        <v>0</v>
      </c>
      <c r="BF292">
        <f t="shared" si="228"/>
        <v>0</v>
      </c>
      <c r="BG292">
        <f t="shared" si="229"/>
        <v>0</v>
      </c>
      <c r="BH292">
        <f t="shared" si="230"/>
        <v>0</v>
      </c>
      <c r="BI292" cm="1">
        <f t="array" ref="BI292">IF(OR(G292={"NS","NA"},$M248={"NS","NA"}),0,IF(G292&lt;=$M248,0,1))</f>
        <v>0</v>
      </c>
      <c r="BJ292" cm="1">
        <f t="array" ref="BJ292">IF(OR(H292={"NS","NA"},$N248={"NS","NA"}),0,IF(H292&lt;=$N248,0,1))</f>
        <v>0</v>
      </c>
      <c r="BK292" cm="1">
        <f t="array" ref="BK292">IF(OR(I292={"NS","NA"},$O248={"NS","NA"}),0,IF(I292&lt;=$O248,0,1))</f>
        <v>0</v>
      </c>
      <c r="BL292" cm="1">
        <f t="array" ref="BL292">IF(OR(J292={"NS","NA"},$M248={"NS","NA"}),0,IF(J292&lt;=$M248,0,1))</f>
        <v>0</v>
      </c>
      <c r="BM292" cm="1">
        <f t="array" ref="BM292">IF(OR(K292={"NS","NA"},$N248={"NS","NA"}),0,IF(K292&lt;=$N248,0,1))</f>
        <v>0</v>
      </c>
      <c r="BN292" cm="1">
        <f t="array" ref="BN292">IF(OR(L292={"NS","NA"},$O248={"NS","NA"}),0,IF(L292&lt;=$O248,0,1))</f>
        <v>0</v>
      </c>
      <c r="BO292" cm="1">
        <f t="array" ref="BO292">IF(OR(M292={"NS","NA"},$M248={"NS","NA"}),0,IF(M292&lt;=$M248,0,1))</f>
        <v>0</v>
      </c>
      <c r="BP292" cm="1">
        <f t="array" ref="BP292">IF(OR(N292={"NS","NA"},$N248={"NS","NA"}),0,IF(N292&lt;=$N248,0,1))</f>
        <v>0</v>
      </c>
      <c r="BQ292" cm="1">
        <f t="array" ref="BQ292">IF(OR(O292={"NS","NA"},$O248={"NS","NA"}),0,IF(O292&lt;=$O248,0,1))</f>
        <v>0</v>
      </c>
      <c r="BR292" cm="1">
        <f t="array" ref="BR292">IF(OR(P292={"NS","NA"},$M248={"NS","NA"}),0,IF(P292&lt;=$M248,0,1))</f>
        <v>0</v>
      </c>
      <c r="BS292" cm="1">
        <f t="array" ref="BS292">IF(OR(Q292={"NS","NA"},$N248={"NS","NA"}),0,IF(Q292&lt;=$N248,0,1))</f>
        <v>0</v>
      </c>
      <c r="BT292" cm="1">
        <f t="array" ref="BT292">IF(OR(R292={"NS","NA"},$O248={"NS","NA"}),0,IF(R292&lt;=$O248,0,1))</f>
        <v>0</v>
      </c>
      <c r="BU292" cm="1">
        <f t="array" ref="BU292">IF(OR(S292={"NS","NA"},$M248={"NS","NA"}),0,IF(S292&lt;=$M248,0,1))</f>
        <v>0</v>
      </c>
      <c r="BV292" cm="1">
        <f t="array" ref="BV292">IF(OR(T292={"NS","NA"},$N248={"NS","NA"}),0,IF(T292&lt;=$N248,0,1))</f>
        <v>0</v>
      </c>
      <c r="BW292" cm="1">
        <f t="array" ref="BW292">IF(OR(U292={"NS","NA"},$O248={"NS","NA"}),0,IF(U292&lt;=$O248,0,1))</f>
        <v>0</v>
      </c>
      <c r="BX292" cm="1">
        <f t="array" ref="BX292">IF(OR(V292={"NS","NA"},$M248={"NS","NA"}),0,IF(V292&lt;=$M248,0,1))</f>
        <v>0</v>
      </c>
      <c r="BY292" cm="1">
        <f t="array" ref="BY292">IF(OR(W292={"NS","NA"},$N248={"NS","NA"}),0,IF(W292&lt;=$N248,0,1))</f>
        <v>0</v>
      </c>
      <c r="BZ292" cm="1">
        <f t="array" ref="BZ292">IF(OR(X292={"NS","NA"},$O248={"NS","NA"}),0,IF(X292&lt;=$O248,0,1))</f>
        <v>0</v>
      </c>
      <c r="CA292" cm="1">
        <f t="array" ref="CA292">IF(OR(Y292={"NS","NA"},$M248={"NS","NA"}),0,IF(Y292&lt;=$M248,0,1))</f>
        <v>0</v>
      </c>
      <c r="CB292" cm="1">
        <f t="array" ref="CB292">IF(OR(Z292={"NS","NA"},$N248={"NS","NA"}),0,IF(Z292&lt;=$N248,0,1))</f>
        <v>0</v>
      </c>
      <c r="CC292" cm="1">
        <f t="array" ref="CC292">IF(OR(AA292={"NS","NA"},$O248={"NS","NA"}),0,IF(AA292&lt;=$O248,0,1))</f>
        <v>0</v>
      </c>
      <c r="CD292" cm="1">
        <f t="array" ref="CD292">IF(OR(AB292={"NS","NA"},$M248={"NS","NA"}),0,IF(AB292&lt;=$M248,0,1))</f>
        <v>0</v>
      </c>
      <c r="CE292" cm="1">
        <f t="array" ref="CE292">IF(OR(AC292={"NS","NA"},$N248={"NS","NA"}),0,IF(AC292&lt;=$N248,0,1))</f>
        <v>0</v>
      </c>
      <c r="CF292" cm="1">
        <f t="array" ref="CF292">IF(OR(AD292={"NS","NA"},$O248={"NS","NA"}),0,IF(AD292&lt;=$O248,0,1))</f>
        <v>0</v>
      </c>
    </row>
    <row r="293" spans="1:84">
      <c r="A293" s="142"/>
      <c r="B293" s="57"/>
      <c r="C293" s="44" t="s">
        <v>2523</v>
      </c>
      <c r="D293" s="814" t="str">
        <f>IF(CNSIPEE_2024_M2_Secc1!D49="","",CNSIPEE_2024_M2_Secc1!D49)</f>
        <v/>
      </c>
      <c r="E293" s="814"/>
      <c r="F293" s="815"/>
      <c r="G293" s="116"/>
      <c r="H293" s="116"/>
      <c r="I293" s="116"/>
      <c r="J293" s="100"/>
      <c r="K293" s="100"/>
      <c r="L293" s="100"/>
      <c r="M293" s="100"/>
      <c r="N293" s="100"/>
      <c r="O293" s="100"/>
      <c r="P293" s="100"/>
      <c r="Q293" s="100"/>
      <c r="R293" s="100"/>
      <c r="S293" s="100"/>
      <c r="T293" s="100"/>
      <c r="U293" s="100"/>
      <c r="V293" s="100"/>
      <c r="W293" s="100"/>
      <c r="X293" s="100"/>
      <c r="Y293" s="100"/>
      <c r="Z293" s="100"/>
      <c r="AA293" s="100"/>
      <c r="AB293" s="100"/>
      <c r="AC293" s="100"/>
      <c r="AD293" s="100"/>
      <c r="AK293">
        <f t="shared" si="208"/>
        <v>0</v>
      </c>
      <c r="AL293">
        <f t="shared" si="209"/>
        <v>0</v>
      </c>
      <c r="AM293">
        <f t="shared" si="231"/>
        <v>0</v>
      </c>
      <c r="AN293">
        <f t="shared" si="210"/>
        <v>0</v>
      </c>
      <c r="AO293">
        <f t="shared" si="211"/>
        <v>0</v>
      </c>
      <c r="AP293">
        <f t="shared" si="212"/>
        <v>0</v>
      </c>
      <c r="AQ293">
        <f t="shared" si="213"/>
        <v>0</v>
      </c>
      <c r="AR293">
        <f t="shared" si="214"/>
        <v>0</v>
      </c>
      <c r="AS293">
        <f t="shared" si="215"/>
        <v>0</v>
      </c>
      <c r="AT293">
        <f t="shared" si="216"/>
        <v>0</v>
      </c>
      <c r="AU293">
        <f t="shared" si="217"/>
        <v>0</v>
      </c>
      <c r="AV293">
        <f t="shared" si="218"/>
        <v>0</v>
      </c>
      <c r="AW293">
        <f t="shared" si="219"/>
        <v>0</v>
      </c>
      <c r="AX293">
        <f t="shared" si="220"/>
        <v>0</v>
      </c>
      <c r="AY293">
        <f t="shared" si="221"/>
        <v>0</v>
      </c>
      <c r="AZ293">
        <f t="shared" si="222"/>
        <v>0</v>
      </c>
      <c r="BA293">
        <f t="shared" si="223"/>
        <v>0</v>
      </c>
      <c r="BB293">
        <f t="shared" si="224"/>
        <v>0</v>
      </c>
      <c r="BC293">
        <f t="shared" si="225"/>
        <v>0</v>
      </c>
      <c r="BD293">
        <f t="shared" si="226"/>
        <v>0</v>
      </c>
      <c r="BE293">
        <f t="shared" si="227"/>
        <v>0</v>
      </c>
      <c r="BF293">
        <f t="shared" si="228"/>
        <v>0</v>
      </c>
      <c r="BG293">
        <f t="shared" si="229"/>
        <v>0</v>
      </c>
      <c r="BH293">
        <f t="shared" si="230"/>
        <v>0</v>
      </c>
      <c r="BI293" cm="1">
        <f t="array" ref="BI293">IF(OR(G293={"NS","NA"},$M249={"NS","NA"}),0,IF(G293&lt;=$M249,0,1))</f>
        <v>0</v>
      </c>
      <c r="BJ293" cm="1">
        <f t="array" ref="BJ293">IF(OR(H293={"NS","NA"},$N249={"NS","NA"}),0,IF(H293&lt;=$N249,0,1))</f>
        <v>0</v>
      </c>
      <c r="BK293" cm="1">
        <f t="array" ref="BK293">IF(OR(I293={"NS","NA"},$O249={"NS","NA"}),0,IF(I293&lt;=$O249,0,1))</f>
        <v>0</v>
      </c>
      <c r="BL293" cm="1">
        <f t="array" ref="BL293">IF(OR(J293={"NS","NA"},$M249={"NS","NA"}),0,IF(J293&lt;=$M249,0,1))</f>
        <v>0</v>
      </c>
      <c r="BM293" cm="1">
        <f t="array" ref="BM293">IF(OR(K293={"NS","NA"},$N249={"NS","NA"}),0,IF(K293&lt;=$N249,0,1))</f>
        <v>0</v>
      </c>
      <c r="BN293" cm="1">
        <f t="array" ref="BN293">IF(OR(L293={"NS","NA"},$O249={"NS","NA"}),0,IF(L293&lt;=$O249,0,1))</f>
        <v>0</v>
      </c>
      <c r="BO293" cm="1">
        <f t="array" ref="BO293">IF(OR(M293={"NS","NA"},$M249={"NS","NA"}),0,IF(M293&lt;=$M249,0,1))</f>
        <v>0</v>
      </c>
      <c r="BP293" cm="1">
        <f t="array" ref="BP293">IF(OR(N293={"NS","NA"},$N249={"NS","NA"}),0,IF(N293&lt;=$N249,0,1))</f>
        <v>0</v>
      </c>
      <c r="BQ293" cm="1">
        <f t="array" ref="BQ293">IF(OR(O293={"NS","NA"},$O249={"NS","NA"}),0,IF(O293&lt;=$O249,0,1))</f>
        <v>0</v>
      </c>
      <c r="BR293" cm="1">
        <f t="array" ref="BR293">IF(OR(P293={"NS","NA"},$M249={"NS","NA"}),0,IF(P293&lt;=$M249,0,1))</f>
        <v>0</v>
      </c>
      <c r="BS293" cm="1">
        <f t="array" ref="BS293">IF(OR(Q293={"NS","NA"},$N249={"NS","NA"}),0,IF(Q293&lt;=$N249,0,1))</f>
        <v>0</v>
      </c>
      <c r="BT293" cm="1">
        <f t="array" ref="BT293">IF(OR(R293={"NS","NA"},$O249={"NS","NA"}),0,IF(R293&lt;=$O249,0,1))</f>
        <v>0</v>
      </c>
      <c r="BU293" cm="1">
        <f t="array" ref="BU293">IF(OR(S293={"NS","NA"},$M249={"NS","NA"}),0,IF(S293&lt;=$M249,0,1))</f>
        <v>0</v>
      </c>
      <c r="BV293" cm="1">
        <f t="array" ref="BV293">IF(OR(T293={"NS","NA"},$N249={"NS","NA"}),0,IF(T293&lt;=$N249,0,1))</f>
        <v>0</v>
      </c>
      <c r="BW293" cm="1">
        <f t="array" ref="BW293">IF(OR(U293={"NS","NA"},$O249={"NS","NA"}),0,IF(U293&lt;=$O249,0,1))</f>
        <v>0</v>
      </c>
      <c r="BX293" cm="1">
        <f t="array" ref="BX293">IF(OR(V293={"NS","NA"},$M249={"NS","NA"}),0,IF(V293&lt;=$M249,0,1))</f>
        <v>0</v>
      </c>
      <c r="BY293" cm="1">
        <f t="array" ref="BY293">IF(OR(W293={"NS","NA"},$N249={"NS","NA"}),0,IF(W293&lt;=$N249,0,1))</f>
        <v>0</v>
      </c>
      <c r="BZ293" cm="1">
        <f t="array" ref="BZ293">IF(OR(X293={"NS","NA"},$O249={"NS","NA"}),0,IF(X293&lt;=$O249,0,1))</f>
        <v>0</v>
      </c>
      <c r="CA293" cm="1">
        <f t="array" ref="CA293">IF(OR(Y293={"NS","NA"},$M249={"NS","NA"}),0,IF(Y293&lt;=$M249,0,1))</f>
        <v>0</v>
      </c>
      <c r="CB293" cm="1">
        <f t="array" ref="CB293">IF(OR(Z293={"NS","NA"},$N249={"NS","NA"}),0,IF(Z293&lt;=$N249,0,1))</f>
        <v>0</v>
      </c>
      <c r="CC293" cm="1">
        <f t="array" ref="CC293">IF(OR(AA293={"NS","NA"},$O249={"NS","NA"}),0,IF(AA293&lt;=$O249,0,1))</f>
        <v>0</v>
      </c>
      <c r="CD293" cm="1">
        <f t="array" ref="CD293">IF(OR(AB293={"NS","NA"},$M249={"NS","NA"}),0,IF(AB293&lt;=$M249,0,1))</f>
        <v>0</v>
      </c>
      <c r="CE293" cm="1">
        <f t="array" ref="CE293">IF(OR(AC293={"NS","NA"},$N249={"NS","NA"}),0,IF(AC293&lt;=$N249,0,1))</f>
        <v>0</v>
      </c>
      <c r="CF293" cm="1">
        <f t="array" ref="CF293">IF(OR(AD293={"NS","NA"},$O249={"NS","NA"}),0,IF(AD293&lt;=$O249,0,1))</f>
        <v>0</v>
      </c>
    </row>
    <row r="294" spans="1:84">
      <c r="A294" s="142"/>
      <c r="B294" s="57"/>
      <c r="C294" s="70"/>
      <c r="D294" s="86"/>
      <c r="E294" s="86"/>
      <c r="F294" s="86"/>
      <c r="G294" s="124">
        <f t="shared" ref="G294:AD294" si="232">IF(AND(SUM(G286:G293)=0,COUNTIF(G286:G293,"NS")&gt;0),"NS",IF(AND(SUM(G286:G293)=0,COUNTIF(G286:G293,0)&gt;0),0,IF(AND(SUM(G286:G293)=0,COUNTIF(G286:G293,"NA")&gt;0),"NA",SUM(G286:G293))))</f>
        <v>0</v>
      </c>
      <c r="H294" s="124">
        <f t="shared" si="232"/>
        <v>0</v>
      </c>
      <c r="I294" s="124">
        <f t="shared" si="232"/>
        <v>0</v>
      </c>
      <c r="J294" s="124">
        <f t="shared" si="232"/>
        <v>0</v>
      </c>
      <c r="K294" s="124">
        <f t="shared" si="232"/>
        <v>0</v>
      </c>
      <c r="L294" s="124">
        <f t="shared" si="232"/>
        <v>0</v>
      </c>
      <c r="M294" s="124">
        <f t="shared" si="232"/>
        <v>0</v>
      </c>
      <c r="N294" s="124">
        <f t="shared" si="232"/>
        <v>0</v>
      </c>
      <c r="O294" s="124">
        <f t="shared" si="232"/>
        <v>0</v>
      </c>
      <c r="P294" s="124">
        <f t="shared" si="232"/>
        <v>0</v>
      </c>
      <c r="Q294" s="124">
        <f t="shared" si="232"/>
        <v>0</v>
      </c>
      <c r="R294" s="124">
        <f t="shared" si="232"/>
        <v>0</v>
      </c>
      <c r="S294" s="124">
        <f t="shared" si="232"/>
        <v>0</v>
      </c>
      <c r="T294" s="124">
        <f t="shared" si="232"/>
        <v>0</v>
      </c>
      <c r="U294" s="124">
        <f t="shared" si="232"/>
        <v>0</v>
      </c>
      <c r="V294" s="124">
        <f t="shared" si="232"/>
        <v>0</v>
      </c>
      <c r="W294" s="124">
        <f t="shared" si="232"/>
        <v>0</v>
      </c>
      <c r="X294" s="124">
        <f t="shared" si="232"/>
        <v>0</v>
      </c>
      <c r="Y294" s="124">
        <f t="shared" si="232"/>
        <v>0</v>
      </c>
      <c r="Z294" s="124">
        <f t="shared" si="232"/>
        <v>0</v>
      </c>
      <c r="AA294" s="124">
        <f t="shared" si="232"/>
        <v>0</v>
      </c>
      <c r="AB294" s="124">
        <f t="shared" si="232"/>
        <v>0</v>
      </c>
      <c r="AC294" s="124">
        <f t="shared" si="232"/>
        <v>0</v>
      </c>
      <c r="AD294" s="124">
        <f t="shared" si="232"/>
        <v>0</v>
      </c>
      <c r="AK294">
        <f>SUM(AK286:AK293)</f>
        <v>0</v>
      </c>
      <c r="AM294">
        <f>SUM(AM286:AM293)</f>
        <v>0</v>
      </c>
      <c r="AN294">
        <f>SUM(AN286:AN293)</f>
        <v>0</v>
      </c>
      <c r="AP294">
        <f>SUM(AP286:AP293)</f>
        <v>0</v>
      </c>
      <c r="AQ294">
        <f>SUM(AQ286:AQ293)</f>
        <v>0</v>
      </c>
      <c r="AS294">
        <f>SUM(AS286:AS293)</f>
        <v>0</v>
      </c>
      <c r="AT294">
        <f>SUM(AT286:AT293)</f>
        <v>0</v>
      </c>
      <c r="AV294">
        <f>SUM(AV286:AV293)</f>
        <v>0</v>
      </c>
      <c r="AW294">
        <f>SUM(AW286:AW293)</f>
        <v>0</v>
      </c>
      <c r="AY294">
        <f>SUM(AY286:AY293)</f>
        <v>0</v>
      </c>
      <c r="AZ294">
        <f>SUM(AZ286:AZ293)</f>
        <v>0</v>
      </c>
      <c r="BB294">
        <f>SUM(BB286:BB293)</f>
        <v>0</v>
      </c>
      <c r="BC294">
        <f>SUM(BC286:BC293)</f>
        <v>0</v>
      </c>
      <c r="BE294">
        <f>SUM(BE286:BE293)</f>
        <v>0</v>
      </c>
      <c r="BF294">
        <f>SUM(BF286:BF293)</f>
        <v>0</v>
      </c>
      <c r="BH294">
        <f>SUM(BH286:BH293)</f>
        <v>0</v>
      </c>
      <c r="CF294" s="693">
        <f>SUM(BI286:CF293)</f>
        <v>0</v>
      </c>
    </row>
    <row r="295" spans="1:84">
      <c r="A295" s="142"/>
      <c r="B295" s="57"/>
      <c r="C295" s="57"/>
      <c r="D295" s="57"/>
      <c r="E295" s="57"/>
      <c r="F295" s="57"/>
      <c r="G295" s="57"/>
      <c r="H295" s="57"/>
      <c r="I295" s="57"/>
      <c r="J295" s="57"/>
      <c r="K295" s="57"/>
      <c r="L295" s="57"/>
      <c r="M295" s="57"/>
      <c r="N295" s="57"/>
      <c r="O295" s="57"/>
      <c r="P295" s="57"/>
      <c r="Q295" s="57"/>
      <c r="R295" s="57"/>
      <c r="S295" s="57"/>
      <c r="T295" s="57"/>
      <c r="U295" s="57"/>
      <c r="V295" s="57"/>
      <c r="W295" s="57"/>
      <c r="X295" s="57"/>
      <c r="Y295" s="57"/>
      <c r="Z295" s="57"/>
      <c r="AA295" s="57"/>
      <c r="AB295" s="57"/>
      <c r="AC295" s="57"/>
      <c r="AD295" s="57"/>
      <c r="AK295" t="s">
        <v>2650</v>
      </c>
      <c r="AL295" s="590">
        <f>SUM(AM294,AP294,AS294,AV294,AY294,BB294,BE294,BH294)</f>
        <v>0</v>
      </c>
      <c r="AM295" t="s">
        <v>2651</v>
      </c>
      <c r="AN295">
        <f>SUM(AK294,AN294,AQ294,AT294,AW294,AZ294,BC294,BF294)</f>
        <v>0</v>
      </c>
      <c r="CF295" s="507">
        <f>SUM(CF294,CF280)</f>
        <v>0</v>
      </c>
    </row>
    <row r="296" spans="1:84" ht="45" customHeight="1">
      <c r="A296" s="142"/>
      <c r="B296" s="57"/>
      <c r="C296" s="822" t="s">
        <v>2798</v>
      </c>
      <c r="D296" s="822"/>
      <c r="E296" s="822"/>
      <c r="F296" s="749"/>
      <c r="G296" s="749"/>
      <c r="H296" s="749"/>
      <c r="I296" s="749"/>
      <c r="J296" s="749"/>
      <c r="K296" s="749"/>
      <c r="L296" s="749"/>
      <c r="M296" s="749"/>
      <c r="N296" s="749"/>
      <c r="O296" s="749"/>
      <c r="P296" s="749"/>
      <c r="Q296" s="749"/>
      <c r="R296" s="749"/>
      <c r="S296" s="749"/>
      <c r="T296" s="749"/>
      <c r="U296" s="749"/>
      <c r="V296" s="749"/>
      <c r="W296" s="749"/>
      <c r="X296" s="749"/>
      <c r="Y296" s="749"/>
      <c r="Z296" s="749"/>
      <c r="AA296" s="749"/>
      <c r="AB296" s="749"/>
      <c r="AC296" s="749"/>
      <c r="AD296" s="749"/>
      <c r="AK296" t="s">
        <v>2652</v>
      </c>
      <c r="AL296">
        <f>IF(AN295&gt;0,IF(SUM(G294)&gt;=SUM(J294,M294,P294,S294,V294,Y294,AB294),0,1),IF(SUM(G294)&lt;&gt;SUM(J294,M294,P294,S294,V294,Y294,AB294),1,0))</f>
        <v>0</v>
      </c>
      <c r="AM296" t="s">
        <v>2653</v>
      </c>
      <c r="AN296">
        <f>IF(AN295&gt;0,IF(SUM(H294)&gt;=SUM(K294,N294,Q294,T294,W294,Z294,AC294),0,1),IF(SUM(H294)&lt;&gt;SUM(K294,N294,Q294,T294,W294,Z294,AC294),1,0))</f>
        <v>0</v>
      </c>
      <c r="AO296" t="s">
        <v>2654</v>
      </c>
      <c r="AP296">
        <f>IF(AN295&gt;0,IF(SUM(I294)&gt;=SUM(L294,O294,R294,U294,X294,AA294,AD294),0,1),IF(SUM(I294)&lt;&gt;SUM(L294,O294,R294,U294,X294,AA294,AD294),1,0))</f>
        <v>0</v>
      </c>
    </row>
    <row r="297" spans="1:84">
      <c r="A297" s="142"/>
      <c r="B297" s="1003" t="str">
        <f>IF(AND(AB294&gt;0,AB294&lt;&gt;"NA",AB294&lt;&gt;"NS",F296=""),"Debido a que registró un número mayor a cero en el apartado Otro tipo, debe anotar el n. de dicho(s) tipo(s) de oficio(s)","")</f>
        <v/>
      </c>
      <c r="C297" s="1003"/>
      <c r="D297" s="1003"/>
      <c r="E297" s="1003"/>
      <c r="F297" s="1003"/>
      <c r="G297" s="1003"/>
      <c r="H297" s="1003"/>
      <c r="I297" s="1003"/>
      <c r="J297" s="1003"/>
      <c r="K297" s="1003"/>
      <c r="L297" s="1003"/>
      <c r="M297" s="1003"/>
      <c r="N297" s="1003"/>
      <c r="O297" s="1003"/>
      <c r="P297" s="1003"/>
      <c r="Q297" s="1003"/>
      <c r="R297" s="1003"/>
      <c r="S297" s="1003"/>
      <c r="T297" s="1003"/>
      <c r="U297" s="1003"/>
      <c r="V297" s="1003"/>
      <c r="W297" s="1003"/>
      <c r="X297" s="1003"/>
      <c r="Y297" s="1003"/>
      <c r="Z297" s="1003"/>
      <c r="AA297" s="1003"/>
      <c r="AB297" s="1003"/>
      <c r="AC297" s="1003"/>
      <c r="AD297" s="1003"/>
      <c r="AE297" s="1003"/>
      <c r="AK297" t="s">
        <v>5218</v>
      </c>
      <c r="AL297" s="506">
        <f>SUM(AL295,AL281)</f>
        <v>0</v>
      </c>
      <c r="AM297" t="s">
        <v>5219</v>
      </c>
      <c r="AN297">
        <f>SUM(AN295,AN281)</f>
        <v>0</v>
      </c>
    </row>
    <row r="298" spans="1:84" ht="24" customHeight="1">
      <c r="A298" s="142"/>
      <c r="B298" s="57"/>
      <c r="C298" s="754" t="s">
        <v>2611</v>
      </c>
      <c r="D298" s="754"/>
      <c r="E298" s="754"/>
      <c r="F298" s="754"/>
      <c r="G298" s="754"/>
      <c r="H298" s="754"/>
      <c r="I298" s="754"/>
      <c r="J298" s="754"/>
      <c r="K298" s="754"/>
      <c r="L298" s="754"/>
      <c r="M298" s="754"/>
      <c r="N298" s="754"/>
      <c r="O298" s="754"/>
      <c r="P298" s="754"/>
      <c r="Q298" s="754"/>
      <c r="R298" s="754"/>
      <c r="S298" s="754"/>
      <c r="T298" s="754"/>
      <c r="U298" s="754"/>
      <c r="V298" s="754"/>
      <c r="W298" s="754"/>
      <c r="X298" s="754"/>
      <c r="Y298" s="754"/>
      <c r="Z298" s="754"/>
      <c r="AA298" s="754"/>
      <c r="AB298" s="754"/>
      <c r="AC298" s="754"/>
      <c r="AD298" s="754"/>
      <c r="AK298" t="s">
        <v>5220</v>
      </c>
      <c r="AL298">
        <f>IF(AN297&gt;0,IF(SUM(G280)&gt;=SUM(J280,M280,P280,S280,V280,Y280,AB280,G294,J294,M294,P294,S294,V294,Y294,AB294),0,1),IF(SUM(G280)&lt;&gt;SUM(J280,M280,P280,S280,V280,Y280,AB280,G294,J294,M294,P294,S294,V294,Y294,AB294),1,0))</f>
        <v>0</v>
      </c>
      <c r="AM298" t="s">
        <v>5221</v>
      </c>
      <c r="AN298">
        <f>IF(AN297&gt;0,IF(SUM(H280)&gt;=SUM(K280,N280,Q280,T280,W280,Z280,AC280,H294,K294,N294,Q294,T294,W294,Z294,AC294),0,1),IF(SUM(H280)&lt;&gt;SUM(K280,N280,Q280,T280,W280,Z280,AC280,H294,K294,N294,Q294,T294,W294,Z294,AC294),1,0))</f>
        <v>0</v>
      </c>
      <c r="AO298" t="s">
        <v>5222</v>
      </c>
      <c r="AP298">
        <f>IF(AN297&gt;0,IF(SUM(I280)&gt;=SUM(L280,O280,R280,U280,X280,AA280,AD280,I294,L294,O294,R294,U294,X294,AA294,AD294),0,1),IF(SUM(I280)&lt;&gt;SUM(L280,O280,R280,U280,X280,AA280,AD280,I294,L294,O294,R294,U294,X294,AA294,AD294),1,0))</f>
        <v>0</v>
      </c>
    </row>
    <row r="299" spans="1:84" ht="60" customHeight="1">
      <c r="A299" s="142"/>
      <c r="B299" s="57"/>
      <c r="C299" s="812"/>
      <c r="D299" s="812"/>
      <c r="E299" s="812"/>
      <c r="F299" s="812"/>
      <c r="G299" s="812"/>
      <c r="H299" s="812"/>
      <c r="I299" s="812"/>
      <c r="J299" s="812"/>
      <c r="K299" s="812"/>
      <c r="L299" s="812"/>
      <c r="M299" s="812"/>
      <c r="N299" s="812"/>
      <c r="O299" s="812"/>
      <c r="P299" s="812"/>
      <c r="Q299" s="812"/>
      <c r="R299" s="812"/>
      <c r="S299" s="812"/>
      <c r="T299" s="812"/>
      <c r="U299" s="812"/>
      <c r="V299" s="812"/>
      <c r="W299" s="812"/>
      <c r="X299" s="812"/>
      <c r="Y299" s="812"/>
      <c r="Z299" s="812"/>
      <c r="AA299" s="812"/>
      <c r="AB299" s="812"/>
      <c r="AC299" s="812"/>
      <c r="AD299" s="812"/>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row>
    <row r="300" spans="1:84">
      <c r="A300" s="142"/>
      <c r="B300" s="794" t="str">
        <f>IF(AG280=0,"","Favor de ingresar toda la información requerida en la pregunta")</f>
        <v/>
      </c>
      <c r="C300" s="794"/>
      <c r="D300" s="794"/>
      <c r="E300" s="794"/>
      <c r="F300" s="794"/>
      <c r="G300" s="794"/>
      <c r="H300" s="794"/>
      <c r="I300" s="794"/>
      <c r="J300" s="794"/>
      <c r="K300" s="794"/>
      <c r="L300" s="794"/>
      <c r="M300" s="794"/>
      <c r="N300" s="794"/>
      <c r="O300" s="794"/>
      <c r="P300" s="794"/>
      <c r="Q300" s="794"/>
      <c r="R300" s="794"/>
      <c r="S300" s="794"/>
      <c r="T300" s="794"/>
      <c r="U300" s="794"/>
      <c r="V300" s="794"/>
      <c r="W300" s="794"/>
      <c r="X300" s="794"/>
      <c r="Y300" s="794"/>
      <c r="Z300" s="794"/>
      <c r="AA300" s="794"/>
      <c r="AB300" s="794"/>
      <c r="AC300" s="794"/>
      <c r="AD300" s="794"/>
      <c r="AE300" s="794"/>
    </row>
    <row r="301" spans="1:84">
      <c r="A301" s="142"/>
      <c r="B301" s="1087" t="str">
        <f>IF(SUM(COUNTIF(G272:AD279,"NS"),COUNTIF(G286:AD293,"NS"))&lt;&gt;0,"Alerta: debido a que cuenta con registros NS, debe proporcionar una justificación en el area de comentarios al final de la pregunta","")</f>
        <v/>
      </c>
      <c r="C301" s="1087"/>
      <c r="D301" s="1087"/>
      <c r="E301" s="1087"/>
      <c r="F301" s="1087"/>
      <c r="G301" s="1087"/>
      <c r="H301" s="1087"/>
      <c r="I301" s="1087"/>
      <c r="J301" s="1087"/>
      <c r="K301" s="1087"/>
      <c r="L301" s="1087"/>
      <c r="M301" s="1087"/>
      <c r="N301" s="1087"/>
      <c r="O301" s="1087"/>
      <c r="P301" s="1087"/>
      <c r="Q301" s="1087"/>
      <c r="R301" s="1087"/>
      <c r="S301" s="1087"/>
      <c r="T301" s="1087"/>
      <c r="U301" s="1087"/>
      <c r="V301" s="1087"/>
      <c r="W301" s="1087"/>
      <c r="X301" s="1087"/>
      <c r="Y301" s="1087"/>
      <c r="Z301" s="1087"/>
      <c r="AA301" s="1087"/>
      <c r="AB301" s="1087"/>
      <c r="AC301" s="1087"/>
      <c r="AD301" s="1087"/>
      <c r="AE301" s="1087"/>
    </row>
    <row r="302" spans="1:84">
      <c r="A302" s="142"/>
      <c r="B302" s="1003" t="str">
        <f>IF(AH280&gt;0,"Revise la información capturada, ya que tiene datos ingresados en celdas que están sombreadas","")</f>
        <v/>
      </c>
      <c r="C302" s="1003"/>
      <c r="D302" s="1003"/>
      <c r="E302" s="1003"/>
      <c r="F302" s="1003"/>
      <c r="G302" s="1003"/>
      <c r="H302" s="1003"/>
      <c r="I302" s="1003"/>
      <c r="J302" s="1003"/>
      <c r="K302" s="1003"/>
      <c r="L302" s="1003"/>
      <c r="M302" s="1003"/>
      <c r="N302" s="1003"/>
      <c r="O302" s="1003"/>
      <c r="P302" s="1003"/>
      <c r="Q302" s="1003"/>
      <c r="R302" s="1003"/>
      <c r="S302" s="1003"/>
      <c r="T302" s="1003"/>
      <c r="U302" s="1003"/>
      <c r="V302" s="1003"/>
      <c r="W302" s="1003"/>
      <c r="X302" s="1003"/>
      <c r="Y302" s="1003"/>
      <c r="Z302" s="1003"/>
      <c r="AA302" s="1003"/>
      <c r="AB302" s="1003"/>
      <c r="AC302" s="1003"/>
      <c r="AD302" s="1003"/>
      <c r="AE302" s="1003"/>
    </row>
    <row r="303" spans="1:84">
      <c r="A303" s="142"/>
      <c r="B303" s="1003" t="str">
        <f>IF(AL297&gt;0,"Favor de revisar la suma y consistencia de totales y/o subtotales por filas (numéricos y NS)","")</f>
        <v/>
      </c>
      <c r="C303" s="1003"/>
      <c r="D303" s="1003"/>
      <c r="E303" s="1003"/>
      <c r="F303" s="1003"/>
      <c r="G303" s="1003"/>
      <c r="H303" s="1003"/>
      <c r="I303" s="1003"/>
      <c r="J303" s="1003"/>
      <c r="K303" s="1003"/>
      <c r="L303" s="1003"/>
      <c r="M303" s="1003"/>
      <c r="N303" s="1003"/>
      <c r="O303" s="1003"/>
      <c r="P303" s="1003"/>
      <c r="Q303" s="1003"/>
      <c r="R303" s="1003"/>
      <c r="S303" s="1003"/>
      <c r="T303" s="1003"/>
      <c r="U303" s="1003"/>
      <c r="V303" s="1003"/>
      <c r="W303" s="1003"/>
      <c r="X303" s="1003"/>
      <c r="Y303" s="1003"/>
      <c r="Z303" s="1003"/>
      <c r="AA303" s="1003"/>
      <c r="AB303" s="1003"/>
      <c r="AC303" s="1003"/>
      <c r="AD303" s="1003"/>
      <c r="AE303" s="1003"/>
    </row>
    <row r="304" spans="1:84">
      <c r="A304" s="142"/>
      <c r="B304" s="794" t="str">
        <f>IF(BK280&gt;0,"Favor de revisar la instrucción 2, debido a que no se cumplen con los criterios mencionados","")</f>
        <v/>
      </c>
      <c r="C304" s="794"/>
      <c r="D304" s="794"/>
      <c r="E304" s="794"/>
      <c r="F304" s="794"/>
      <c r="G304" s="794"/>
      <c r="H304" s="794"/>
      <c r="I304" s="794"/>
      <c r="J304" s="794"/>
      <c r="K304" s="794"/>
      <c r="L304" s="794"/>
      <c r="M304" s="794"/>
      <c r="N304" s="794"/>
      <c r="O304" s="794"/>
      <c r="P304" s="794"/>
      <c r="Q304" s="794"/>
      <c r="R304" s="794"/>
      <c r="S304" s="794"/>
      <c r="T304" s="794"/>
      <c r="U304" s="794"/>
      <c r="V304" s="794"/>
      <c r="W304" s="794"/>
      <c r="X304" s="794"/>
      <c r="Y304" s="794"/>
      <c r="Z304" s="794"/>
      <c r="AA304" s="794"/>
      <c r="AB304" s="794"/>
      <c r="AC304" s="794"/>
      <c r="AD304" s="794"/>
      <c r="AE304" s="794"/>
    </row>
    <row r="305" spans="1:85">
      <c r="A305" s="142"/>
      <c r="B305" s="795" t="str">
        <f>IF(CF295&gt;0,"Alerta: debe de proporcionar una justificación de acuerdo a lo establecido en la instrucción 3","")</f>
        <v/>
      </c>
      <c r="C305" s="795"/>
      <c r="D305" s="795"/>
      <c r="E305" s="795"/>
      <c r="F305" s="795"/>
      <c r="G305" s="795"/>
      <c r="H305" s="795"/>
      <c r="I305" s="795"/>
      <c r="J305" s="795"/>
      <c r="K305" s="795"/>
      <c r="L305" s="795"/>
      <c r="M305" s="795"/>
      <c r="N305" s="795"/>
      <c r="O305" s="795"/>
      <c r="P305" s="795"/>
      <c r="Q305" s="795"/>
      <c r="R305" s="795"/>
      <c r="S305" s="795"/>
      <c r="T305" s="795"/>
      <c r="U305" s="795"/>
      <c r="V305" s="795"/>
      <c r="W305" s="795"/>
      <c r="X305" s="795"/>
      <c r="Y305" s="795"/>
      <c r="Z305" s="795"/>
      <c r="AA305" s="795"/>
      <c r="AB305" s="795"/>
      <c r="AC305" s="795"/>
      <c r="AD305" s="795"/>
      <c r="AE305" s="795"/>
    </row>
    <row r="306" spans="1:85" ht="36" customHeight="1">
      <c r="A306" s="49" t="s">
        <v>5887</v>
      </c>
      <c r="B306" s="829" t="s">
        <v>5888</v>
      </c>
      <c r="C306" s="829"/>
      <c r="D306" s="829"/>
      <c r="E306" s="829"/>
      <c r="F306" s="829"/>
      <c r="G306" s="829"/>
      <c r="H306" s="829"/>
      <c r="I306" s="829"/>
      <c r="J306" s="829"/>
      <c r="K306" s="829"/>
      <c r="L306" s="829"/>
      <c r="M306" s="829"/>
      <c r="N306" s="829"/>
      <c r="O306" s="829"/>
      <c r="P306" s="829"/>
      <c r="Q306" s="829"/>
      <c r="R306" s="829"/>
      <c r="S306" s="829"/>
      <c r="T306" s="829"/>
      <c r="U306" s="829"/>
      <c r="V306" s="829"/>
      <c r="W306" s="829"/>
      <c r="X306" s="829"/>
      <c r="Y306" s="829"/>
      <c r="Z306" s="829"/>
      <c r="AA306" s="829"/>
      <c r="AB306" s="829"/>
      <c r="AC306" s="829"/>
      <c r="AD306" s="829"/>
    </row>
    <row r="307" spans="1:85" ht="24" customHeight="1">
      <c r="A307" s="50"/>
      <c r="B307" s="38"/>
      <c r="C307" s="830" t="s">
        <v>5889</v>
      </c>
      <c r="D307" s="830"/>
      <c r="E307" s="830"/>
      <c r="F307" s="830"/>
      <c r="G307" s="830"/>
      <c r="H307" s="830"/>
      <c r="I307" s="830"/>
      <c r="J307" s="830"/>
      <c r="K307" s="830"/>
      <c r="L307" s="830"/>
      <c r="M307" s="830"/>
      <c r="N307" s="830"/>
      <c r="O307" s="830"/>
      <c r="P307" s="830"/>
      <c r="Q307" s="830"/>
      <c r="R307" s="830"/>
      <c r="S307" s="830"/>
      <c r="T307" s="830"/>
      <c r="U307" s="830"/>
      <c r="V307" s="830"/>
      <c r="W307" s="830"/>
      <c r="X307" s="830"/>
      <c r="Y307" s="830"/>
      <c r="Z307" s="830"/>
      <c r="AA307" s="830"/>
      <c r="AB307" s="830"/>
      <c r="AC307" s="830"/>
      <c r="AD307" s="830"/>
    </row>
    <row r="308" spans="1:85" ht="36" customHeight="1">
      <c r="A308" s="50"/>
      <c r="B308" s="38"/>
      <c r="C308" s="754" t="s">
        <v>5890</v>
      </c>
      <c r="D308" s="754"/>
      <c r="E308" s="754"/>
      <c r="F308" s="754"/>
      <c r="G308" s="754"/>
      <c r="H308" s="754"/>
      <c r="I308" s="754"/>
      <c r="J308" s="754"/>
      <c r="K308" s="754"/>
      <c r="L308" s="754"/>
      <c r="M308" s="754"/>
      <c r="N308" s="754"/>
      <c r="O308" s="754"/>
      <c r="P308" s="754"/>
      <c r="Q308" s="754"/>
      <c r="R308" s="754"/>
      <c r="S308" s="754"/>
      <c r="T308" s="754"/>
      <c r="U308" s="754"/>
      <c r="V308" s="754"/>
      <c r="W308" s="754"/>
      <c r="X308" s="754"/>
      <c r="Y308" s="754"/>
      <c r="Z308" s="754"/>
      <c r="AA308" s="754"/>
      <c r="AB308" s="754"/>
      <c r="AC308" s="754"/>
      <c r="AD308" s="754"/>
    </row>
    <row r="309" spans="1:85" ht="48" customHeight="1">
      <c r="A309" s="50"/>
      <c r="B309" s="38"/>
      <c r="C309" s="754" t="s">
        <v>5891</v>
      </c>
      <c r="D309" s="754"/>
      <c r="E309" s="754"/>
      <c r="F309" s="754"/>
      <c r="G309" s="754"/>
      <c r="H309" s="754"/>
      <c r="I309" s="754"/>
      <c r="J309" s="754"/>
      <c r="K309" s="754"/>
      <c r="L309" s="754"/>
      <c r="M309" s="754"/>
      <c r="N309" s="754"/>
      <c r="O309" s="754"/>
      <c r="P309" s="754"/>
      <c r="Q309" s="754"/>
      <c r="R309" s="754"/>
      <c r="S309" s="754"/>
      <c r="T309" s="754"/>
      <c r="U309" s="754"/>
      <c r="V309" s="754"/>
      <c r="W309" s="754"/>
      <c r="X309" s="754"/>
      <c r="Y309" s="754"/>
      <c r="Z309" s="754"/>
      <c r="AA309" s="754"/>
      <c r="AB309" s="754"/>
      <c r="AC309" s="754"/>
      <c r="AD309" s="754"/>
    </row>
    <row r="310" spans="1:85" ht="24" customHeight="1">
      <c r="A310" s="142"/>
      <c r="B310" s="57"/>
      <c r="C310" s="754" t="s">
        <v>5892</v>
      </c>
      <c r="D310" s="754"/>
      <c r="E310" s="754"/>
      <c r="F310" s="754"/>
      <c r="G310" s="754"/>
      <c r="H310" s="754"/>
      <c r="I310" s="754"/>
      <c r="J310" s="754"/>
      <c r="K310" s="754"/>
      <c r="L310" s="754"/>
      <c r="M310" s="754"/>
      <c r="N310" s="754"/>
      <c r="O310" s="754"/>
      <c r="P310" s="754"/>
      <c r="Q310" s="754"/>
      <c r="R310" s="754"/>
      <c r="S310" s="754"/>
      <c r="T310" s="754"/>
      <c r="U310" s="754"/>
      <c r="V310" s="754"/>
      <c r="W310" s="754"/>
      <c r="X310" s="754"/>
      <c r="Y310" s="754"/>
      <c r="Z310" s="754"/>
      <c r="AA310" s="754"/>
      <c r="AB310" s="754"/>
      <c r="AC310" s="754"/>
      <c r="AD310" s="754"/>
    </row>
    <row r="311" spans="1:85">
      <c r="A311" s="142"/>
      <c r="B311" s="57"/>
      <c r="C311" s="75"/>
      <c r="D311" s="75"/>
      <c r="E311" s="75"/>
      <c r="F311" s="75"/>
      <c r="G311" s="75"/>
      <c r="H311" s="75"/>
      <c r="I311" s="75"/>
      <c r="J311" s="75"/>
      <c r="K311" s="75"/>
      <c r="L311" s="75"/>
      <c r="M311" s="75"/>
      <c r="N311" s="75"/>
      <c r="O311" s="75"/>
      <c r="P311" s="75"/>
      <c r="Q311" s="75"/>
      <c r="R311" s="75"/>
      <c r="S311" s="75"/>
      <c r="T311" s="75"/>
      <c r="U311" s="75"/>
      <c r="V311" s="75"/>
      <c r="W311" s="75"/>
      <c r="X311" s="75"/>
      <c r="Y311" s="75"/>
    </row>
    <row r="312" spans="1:85" ht="24" customHeight="1">
      <c r="A312" s="142"/>
      <c r="B312" s="57"/>
      <c r="C312" s="797" t="s">
        <v>2581</v>
      </c>
      <c r="D312" s="798"/>
      <c r="E312" s="798"/>
      <c r="F312" s="799"/>
      <c r="G312" s="732" t="s">
        <v>5893</v>
      </c>
      <c r="H312" s="732"/>
      <c r="I312" s="732"/>
      <c r="J312" s="732"/>
      <c r="K312" s="732"/>
      <c r="L312" s="732"/>
      <c r="M312" s="732"/>
      <c r="N312" s="732"/>
      <c r="O312" s="732"/>
      <c r="P312" s="732"/>
      <c r="Q312" s="732"/>
      <c r="R312" s="732"/>
      <c r="S312" s="732"/>
      <c r="T312" s="732"/>
      <c r="U312" s="732"/>
      <c r="V312" s="732"/>
      <c r="W312" s="732"/>
      <c r="X312" s="732"/>
      <c r="Y312" s="732"/>
      <c r="Z312" s="732"/>
      <c r="AA312" s="732"/>
      <c r="AB312" s="732"/>
      <c r="AC312" s="732"/>
      <c r="AD312" s="732"/>
    </row>
    <row r="313" spans="1:85" ht="120" customHeight="1">
      <c r="A313" s="142"/>
      <c r="B313" s="57"/>
      <c r="C313" s="800"/>
      <c r="D313" s="801"/>
      <c r="E313" s="801"/>
      <c r="F313" s="802"/>
      <c r="G313" s="887" t="s">
        <v>2628</v>
      </c>
      <c r="H313" s="889" t="s">
        <v>2629</v>
      </c>
      <c r="I313" s="889" t="s">
        <v>2630</v>
      </c>
      <c r="J313" s="858" t="s">
        <v>5894</v>
      </c>
      <c r="K313" s="859"/>
      <c r="L313" s="860"/>
      <c r="M313" s="858" t="s">
        <v>5895</v>
      </c>
      <c r="N313" s="859"/>
      <c r="O313" s="860"/>
      <c r="P313" s="858" t="s">
        <v>5896</v>
      </c>
      <c r="Q313" s="859"/>
      <c r="R313" s="860"/>
      <c r="S313" s="858" t="s">
        <v>5897</v>
      </c>
      <c r="T313" s="859"/>
      <c r="U313" s="860"/>
      <c r="V313" s="858" t="s">
        <v>5898</v>
      </c>
      <c r="W313" s="859"/>
      <c r="X313" s="860"/>
      <c r="Y313" s="858" t="s">
        <v>5899</v>
      </c>
      <c r="Z313" s="859"/>
      <c r="AA313" s="860"/>
      <c r="AB313" s="858" t="s">
        <v>2990</v>
      </c>
      <c r="AC313" s="859"/>
      <c r="AD313" s="860"/>
    </row>
    <row r="314" spans="1:85" ht="48" customHeight="1">
      <c r="A314" s="142"/>
      <c r="B314" s="57"/>
      <c r="C314" s="803"/>
      <c r="D314" s="804"/>
      <c r="E314" s="804"/>
      <c r="F314" s="805"/>
      <c r="G314" s="888"/>
      <c r="H314" s="890"/>
      <c r="I314" s="890"/>
      <c r="J314" s="171" t="s">
        <v>2635</v>
      </c>
      <c r="K314" s="128" t="s">
        <v>2629</v>
      </c>
      <c r="L314" s="128" t="s">
        <v>2630</v>
      </c>
      <c r="M314" s="171" t="s">
        <v>2635</v>
      </c>
      <c r="N314" s="128" t="s">
        <v>2629</v>
      </c>
      <c r="O314" s="128" t="s">
        <v>2630</v>
      </c>
      <c r="P314" s="171" t="s">
        <v>2635</v>
      </c>
      <c r="Q314" s="128" t="s">
        <v>2629</v>
      </c>
      <c r="R314" s="128" t="s">
        <v>2630</v>
      </c>
      <c r="S314" s="171" t="s">
        <v>2635</v>
      </c>
      <c r="T314" s="128" t="s">
        <v>2629</v>
      </c>
      <c r="U314" s="128" t="s">
        <v>2630</v>
      </c>
      <c r="V314" s="171" t="s">
        <v>2635</v>
      </c>
      <c r="W314" s="128" t="s">
        <v>2629</v>
      </c>
      <c r="X314" s="128" t="s">
        <v>2630</v>
      </c>
      <c r="Y314" s="171" t="s">
        <v>2635</v>
      </c>
      <c r="Z314" s="128" t="s">
        <v>2629</v>
      </c>
      <c r="AA314" s="128" t="s">
        <v>2630</v>
      </c>
      <c r="AB314" s="171" t="s">
        <v>2635</v>
      </c>
      <c r="AC314" s="128" t="s">
        <v>2629</v>
      </c>
      <c r="AD314" s="128" t="s">
        <v>2630</v>
      </c>
      <c r="AG314" t="s">
        <v>2586</v>
      </c>
      <c r="AH314" t="s">
        <v>4581</v>
      </c>
      <c r="AI314"/>
      <c r="AJ314"/>
      <c r="AK314" t="s">
        <v>4573</v>
      </c>
      <c r="AL314" t="s">
        <v>2638</v>
      </c>
      <c r="AM314" t="s">
        <v>2639</v>
      </c>
      <c r="AN314" t="s">
        <v>4574</v>
      </c>
      <c r="AO314" t="s">
        <v>2641</v>
      </c>
      <c r="AP314" t="s">
        <v>2642</v>
      </c>
      <c r="AQ314" t="s">
        <v>4575</v>
      </c>
      <c r="AR314" t="s">
        <v>2644</v>
      </c>
      <c r="AS314" t="s">
        <v>2645</v>
      </c>
      <c r="AT314" t="s">
        <v>4576</v>
      </c>
      <c r="AU314" t="s">
        <v>2647</v>
      </c>
      <c r="AV314" t="s">
        <v>2648</v>
      </c>
      <c r="AW314" t="s">
        <v>5177</v>
      </c>
      <c r="AX314" t="s">
        <v>2757</v>
      </c>
      <c r="AY314" t="s">
        <v>2758</v>
      </c>
      <c r="AZ314" t="s">
        <v>5194</v>
      </c>
      <c r="BA314" t="s">
        <v>2760</v>
      </c>
      <c r="BB314" t="s">
        <v>2761</v>
      </c>
      <c r="BC314" t="s">
        <v>5195</v>
      </c>
      <c r="BD314" t="s">
        <v>2763</v>
      </c>
      <c r="BE314" t="s">
        <v>2764</v>
      </c>
      <c r="BF314" t="s">
        <v>5563</v>
      </c>
      <c r="BG314" t="s">
        <v>2766</v>
      </c>
      <c r="BH314" t="s">
        <v>2767</v>
      </c>
      <c r="BI314" t="s">
        <v>5291</v>
      </c>
      <c r="BJ314"/>
      <c r="BK314"/>
      <c r="BL314" t="s">
        <v>5290</v>
      </c>
      <c r="BM314"/>
      <c r="BN314"/>
      <c r="BO314"/>
      <c r="BP314"/>
      <c r="BQ314"/>
      <c r="BR314"/>
      <c r="BS314"/>
      <c r="BT314"/>
      <c r="BU314"/>
      <c r="BV314"/>
      <c r="BW314"/>
      <c r="BX314"/>
      <c r="BY314"/>
      <c r="BZ314"/>
      <c r="CA314"/>
      <c r="CB314"/>
      <c r="CC314"/>
      <c r="CD314"/>
      <c r="CE314"/>
      <c r="CF314"/>
      <c r="CG314"/>
    </row>
    <row r="315" spans="1:85">
      <c r="A315" s="142"/>
      <c r="B315" s="57"/>
      <c r="C315" s="44" t="s">
        <v>2516</v>
      </c>
      <c r="D315" s="814" t="str">
        <f>IF(CNSIPEE_2024_M2_Secc1!D42="","",CNSIPEE_2024_M2_Secc1!D42)</f>
        <v/>
      </c>
      <c r="E315" s="814"/>
      <c r="F315" s="815"/>
      <c r="G315" s="100"/>
      <c r="H315" s="100"/>
      <c r="I315" s="100"/>
      <c r="J315" s="100"/>
      <c r="K315" s="100"/>
      <c r="L315" s="100"/>
      <c r="M315" s="100"/>
      <c r="N315" s="100"/>
      <c r="O315" s="100"/>
      <c r="P315" s="100"/>
      <c r="Q315" s="100"/>
      <c r="R315" s="100"/>
      <c r="S315" s="100"/>
      <c r="T315" s="100"/>
      <c r="U315" s="100"/>
      <c r="V315" s="100"/>
      <c r="W315" s="100"/>
      <c r="X315" s="100"/>
      <c r="Y315" s="100"/>
      <c r="Z315" s="100"/>
      <c r="AA315" s="100"/>
      <c r="AB315" s="100"/>
      <c r="AC315" s="100"/>
      <c r="AD315" s="100"/>
      <c r="AG315">
        <f>IF(OR($P242=0,$P242="NS",$P242="NA"),0,IF(OR(COUNTBLANK(D315:AD315)=2,COUNTBLANK(D315:AD315)=27),0,1))</f>
        <v>0</v>
      </c>
      <c r="AH315">
        <f t="shared" ref="AH315:AH322" si="233">IF(OR($P242=0,$P242="NS",$P242="NA"),IF(COUNTBLANK(G315:AD315)=24,0,1),0)</f>
        <v>0</v>
      </c>
      <c r="AI315"/>
      <c r="AJ315"/>
      <c r="AK315">
        <f t="shared" ref="AK315:AK322" si="234">COUNTIF(H315:I315,"NS")</f>
        <v>0</v>
      </c>
      <c r="AL315">
        <f t="shared" ref="AL315:AL322" si="235">SUM(H315:I315)</f>
        <v>0</v>
      </c>
      <c r="AM315">
        <f>IF(COUNTIF(G315:I315,"NA")=3,0,IF(COUNTA(G315:I315)=0,0,IF(OR(AND(G315=0,AK315&gt;0),AND(G315="ns",AL315&gt;0),AND(G315="ns",AK315=0,AL315=0)),1,IF(OR(AND(G315&gt;0,AK315=2),AND(G315="ns",AK315=2),AND(G315="ns",AL315=0,AK315&gt;0),G315=AL315),0,1))))</f>
        <v>0</v>
      </c>
      <c r="AN315">
        <f t="shared" ref="AN315:AN322" si="236">COUNTIF(K315:L315,"NS")</f>
        <v>0</v>
      </c>
      <c r="AO315">
        <f t="shared" ref="AO315:AO322" si="237">SUM(K315:L315)</f>
        <v>0</v>
      </c>
      <c r="AP315">
        <f t="shared" ref="AP315:AP322" si="238">IF(COUNTIF(J315:L315,"NA")=3,0,IF(COUNTA(J315:L315)=0,0,IF(OR(AND(J315=0,AN315&gt;0),AND(J315="ns",AO315&gt;0),AND(J315="ns",AN315=0,AO315=0)),1,IF(OR(AND(J315&gt;0,AN315=2),AND(J315="ns",AN315=2),AND(J315="ns",AO315=0,AN315&gt;0),J315=AO315),0,1))))</f>
        <v>0</v>
      </c>
      <c r="AQ315">
        <f t="shared" ref="AQ315:AQ322" si="239">COUNTIF(N315:O315,"NS")</f>
        <v>0</v>
      </c>
      <c r="AR315">
        <f t="shared" ref="AR315:AR322" si="240">SUM(N315:O315)</f>
        <v>0</v>
      </c>
      <c r="AS315">
        <f t="shared" ref="AS315:AS322" si="241">IF(COUNTIF(M315:O315,"NA")=3,0,IF(COUNTA(M315:O315)=0,0,IF(OR(AND(M315=0,AQ315&gt;0),AND(M315="ns",AR315&gt;0),AND(M315="ns",AQ315=0,AR315=0)),1,IF(OR(AND(M315&gt;0,AQ315=2),AND(M315="ns",AQ315=2),AND(M315="ns",AR315=0,AQ315&gt;0),M315=AR315),0,1))))</f>
        <v>0</v>
      </c>
      <c r="AT315">
        <f t="shared" ref="AT315:AT322" si="242">COUNTIF(Q315:R315,"NS")</f>
        <v>0</v>
      </c>
      <c r="AU315">
        <f t="shared" ref="AU315:AU322" si="243">SUM(Q315:R315)</f>
        <v>0</v>
      </c>
      <c r="AV315">
        <f t="shared" ref="AV315:AV322" si="244">IF(COUNTIF(P315:R315,"NA")=3,0,IF(COUNTA(P315:R315)=0,0,IF(OR(AND(P315=0,AT315&gt;0),AND(P315="ns",AU315&gt;0),AND(P315="ns",AT315=0,AU315=0)),1,IF(OR(AND(P315&gt;0,AT315=2),AND(P315="ns",AT315=2),AND(P315="ns",AU315=0,AT315&gt;0),P315=AU315),0,1))))</f>
        <v>0</v>
      </c>
      <c r="AW315">
        <f t="shared" ref="AW315:AW322" si="245">COUNTIF(T315:U315,"NS")</f>
        <v>0</v>
      </c>
      <c r="AX315">
        <f t="shared" ref="AX315:AX322" si="246">SUM(T315:U315)</f>
        <v>0</v>
      </c>
      <c r="AY315">
        <f t="shared" ref="AY315:AY322" si="247">IF(COUNTIF(S315:U315,"NA")=3,0,IF(COUNTA(S315:U315)=0,0,IF(OR(AND(S315=0,AW315&gt;0),AND(S315="ns",AX315&gt;0),AND(S315="ns",AW315=0,AX315=0)),1,IF(OR(AND(S315&gt;0,AW315=2),AND(S315="ns",AW315=2),AND(S315="ns",AX315=0,AW315&gt;0),S315=AX315),0,1))))</f>
        <v>0</v>
      </c>
      <c r="AZ315">
        <f t="shared" ref="AZ315:AZ322" si="248">COUNTIF(W315:X315,"NS")</f>
        <v>0</v>
      </c>
      <c r="BA315">
        <f t="shared" ref="BA315:BA322" si="249">SUM(W315:X315)</f>
        <v>0</v>
      </c>
      <c r="BB315">
        <f t="shared" ref="BB315:BB322" si="250">IF(COUNTIF(V315:X315,"NA")=3,0,IF(COUNTA(V315:X315)=0,0,IF(OR(AND(V315=0,AZ315&gt;0),AND(V315="ns",BA315&gt;0),AND(V315="ns",AZ315=0,BA315=0)),1,IF(OR(AND(V315&gt;0,AZ315=2),AND(V315="ns",AZ315=2),AND(V315="ns",BA315=0,AZ315&gt;0),V315=BA315),0,1))))</f>
        <v>0</v>
      </c>
      <c r="BC315">
        <f t="shared" ref="BC315:BC322" si="251">COUNTIF(Z315:AA315,"NS")</f>
        <v>0</v>
      </c>
      <c r="BD315">
        <f t="shared" ref="BD315:BD322" si="252">SUM(Z315:AA315)</f>
        <v>0</v>
      </c>
      <c r="BE315">
        <f t="shared" ref="BE315:BE322" si="253">IF(COUNTIF(Y315:AA315,"NA")=3,0,IF(COUNTA(Y315:AA315)=0,0,IF(OR(AND(Y315=0,BC315&gt;0),AND(Y315="ns",BD315&gt;0),AND(Y315="ns",BC315=0,BD315=0)),1,IF(OR(AND(Y315&gt;0,BC315=2),AND(Y315="ns",BC315=2),AND(Y315="ns",BD315=0,BC315&gt;0),Y315=BD315),0,1))))</f>
        <v>0</v>
      </c>
      <c r="BF315">
        <f t="shared" ref="BF315:BF322" si="254">COUNTIF(AC315:AD315,"NS")</f>
        <v>0</v>
      </c>
      <c r="BG315">
        <f t="shared" ref="BG315:BG322" si="255">SUM(AC315:AD315)</f>
        <v>0</v>
      </c>
      <c r="BH315">
        <f t="shared" ref="BH315:BH322" si="256">IF(COUNTIF(AB315:AD315,"NA")=3,0,IF(COUNTA(AB315:AD315)=0,0,IF(OR(AND(AB315=0,BF315&gt;0),AND(AB315="ns",BG315&gt;0),AND(AB315="ns",BF315=0,BG315=0)),1,IF(OR(AND(AB315&gt;0,BF315=2),AND(AB315="ns",BF315=2),AND(AB315="ns",BG315=0,BF315&gt;0),AB315=BG315),0,1))))</f>
        <v>0</v>
      </c>
      <c r="BI315" cm="1">
        <f t="array" ref="BI315">IF(OR(G315={"NS","NA"},P242={"NS","NA"}),0,IF(G315&gt;=P242,0,1))</f>
        <v>0</v>
      </c>
      <c r="BJ315" cm="1">
        <f t="array" ref="BJ315">IF(OR(H315={"NS","NA"},Q242={"NS","NA"}),0,IF(H315&gt;=Q242,0,1))</f>
        <v>0</v>
      </c>
      <c r="BK315" cm="1">
        <f t="array" ref="BK315">IF(OR(I315={"NS","NA"},R242={"NS","NA"}),0,IF(I315&gt;=R242,0,1))</f>
        <v>0</v>
      </c>
      <c r="BL315" cm="1">
        <f t="array" ref="BL315">IF(OR(J315={"NS","NA"},$P242={"NS","NA"}),0,IF(J315&lt;=$P242,0,1))</f>
        <v>0</v>
      </c>
      <c r="BM315" cm="1">
        <f t="array" ref="BM315">IF(OR(K315={"NS","NA"},$Q242={"NS","NA"}),0,IF(K315&lt;=$Q242,0,1))</f>
        <v>0</v>
      </c>
      <c r="BN315" cm="1">
        <f t="array" ref="BN315">IF(OR(L315={"NS","NA"},$R242={"NS","NA"}),0,IF(L315&lt;=$R242,0,1))</f>
        <v>0</v>
      </c>
      <c r="BO315" cm="1">
        <f t="array" ref="BO315">IF(OR(M315={"NS","NA"},$P242={"NS","NA"}),0,IF(M315&lt;=$P242,0,1))</f>
        <v>0</v>
      </c>
      <c r="BP315" cm="1">
        <f t="array" ref="BP315">IF(OR(N315={"NS","NA"},$Q242={"NS","NA"}),0,IF(N315&lt;=$Q242,0,1))</f>
        <v>0</v>
      </c>
      <c r="BQ315" cm="1">
        <f t="array" ref="BQ315">IF(OR(O315={"NS","NA"},$R242={"NS","NA"}),0,IF(O315&lt;=$R242,0,1))</f>
        <v>0</v>
      </c>
      <c r="BR315" cm="1">
        <f t="array" ref="BR315">IF(OR(P315={"NS","NA"},$P242={"NS","NA"}),0,IF(P315&lt;=$P242,0,1))</f>
        <v>0</v>
      </c>
      <c r="BS315" cm="1">
        <f t="array" ref="BS315">IF(OR(Q315={"NS","NA"},$Q242={"NS","NA"}),0,IF(Q315&lt;=$Q242,0,1))</f>
        <v>0</v>
      </c>
      <c r="BT315" cm="1">
        <f t="array" ref="BT315">IF(OR(R315={"NS","NA"},$R242={"NS","NA"}),0,IF(R315&lt;=$R242,0,1))</f>
        <v>0</v>
      </c>
      <c r="BU315" cm="1">
        <f t="array" ref="BU315">IF(OR(S315={"NS","NA"},$P242={"NS","NA"}),0,IF(S315&lt;=$P242,0,1))</f>
        <v>0</v>
      </c>
      <c r="BV315" cm="1">
        <f t="array" ref="BV315">IF(OR(T315={"NS","NA"},$Q242={"NS","NA"}),0,IF(T315&lt;=$Q242,0,1))</f>
        <v>0</v>
      </c>
      <c r="BW315" cm="1">
        <f t="array" ref="BW315">IF(OR(U315={"NS","NA"},$R242={"NS","NA"}),0,IF(U315&lt;=$R242,0,1))</f>
        <v>0</v>
      </c>
      <c r="BX315" cm="1">
        <f t="array" ref="BX315">IF(OR(V315={"NS","NA"},$P242={"NS","NA"}),0,IF(V315&lt;=$P242,0,1))</f>
        <v>0</v>
      </c>
      <c r="BY315" cm="1">
        <f t="array" ref="BY315">IF(OR(W315={"NS","NA"},$Q242={"NS","NA"}),0,IF(W315&lt;=$Q242,0,1))</f>
        <v>0</v>
      </c>
      <c r="BZ315" cm="1">
        <f t="array" ref="BZ315">IF(OR(X315={"NS","NA"},$R242={"NS","NA"}),0,IF(X315&lt;=$R242,0,1))</f>
        <v>0</v>
      </c>
      <c r="CA315" cm="1">
        <f t="array" ref="CA315">IF(OR(Y315={"NS","NA"},$P242={"NS","NA"}),0,IF(Y315&lt;=$P242,0,1))</f>
        <v>0</v>
      </c>
      <c r="CB315" cm="1">
        <f t="array" ref="CB315">IF(OR(Z315={"NS","NA"},$Q242={"NS","NA"}),0,IF(Z315&lt;=$Q242,0,1))</f>
        <v>0</v>
      </c>
      <c r="CC315" cm="1">
        <f t="array" ref="CC315">IF(OR(AA315={"NS","NA"},$R242={"NS","NA"}),0,IF(AA315&lt;=$R242,0,1))</f>
        <v>0</v>
      </c>
      <c r="CD315" cm="1">
        <f t="array" ref="CD315">IF(OR(AB315={"NS","NA"},$P242={"NS","NA"}),0,IF(AB315&lt;=$P242,0,1))</f>
        <v>0</v>
      </c>
      <c r="CE315" cm="1">
        <f t="array" ref="CE315">IF(OR(AC315={"NS","NA"},$Q242={"NS","NA"}),0,IF(AC315&lt;=$Q242,0,1))</f>
        <v>0</v>
      </c>
      <c r="CF315" cm="1">
        <f t="array" ref="CF315">IF(OR(AD315={"NS","NA"},$R242={"NS","NA"}),0,IF(AD315&lt;=$R242,0,1))</f>
        <v>0</v>
      </c>
      <c r="CG315"/>
    </row>
    <row r="316" spans="1:85">
      <c r="A316" s="142"/>
      <c r="B316" s="57"/>
      <c r="C316" s="199" t="s">
        <v>2517</v>
      </c>
      <c r="D316" s="814" t="str">
        <f>IF(CNSIPEE_2024_M2_Secc1!D43="","",CNSIPEE_2024_M2_Secc1!D43)</f>
        <v/>
      </c>
      <c r="E316" s="814"/>
      <c r="F316" s="815"/>
      <c r="G316" s="100"/>
      <c r="H316" s="100"/>
      <c r="I316" s="100"/>
      <c r="J316" s="100"/>
      <c r="K316" s="100"/>
      <c r="L316" s="100"/>
      <c r="M316" s="100"/>
      <c r="N316" s="100"/>
      <c r="O316" s="100"/>
      <c r="P316" s="100"/>
      <c r="Q316" s="100"/>
      <c r="R316" s="100"/>
      <c r="S316" s="100"/>
      <c r="T316" s="100"/>
      <c r="U316" s="100"/>
      <c r="V316" s="100"/>
      <c r="W316" s="100"/>
      <c r="X316" s="100"/>
      <c r="Y316" s="100"/>
      <c r="Z316" s="100"/>
      <c r="AA316" s="100"/>
      <c r="AB316" s="100"/>
      <c r="AC316" s="100"/>
      <c r="AD316" s="100"/>
      <c r="AG316">
        <f t="shared" ref="AG316:AG322" si="257">IF(OR($P243=0,$P243="NS",$P243="NA"),0,IF(OR(COUNTBLANK(D316:AD316)=2,COUNTBLANK(D316:AD316)=27),0,1))</f>
        <v>0</v>
      </c>
      <c r="AH316">
        <f t="shared" si="233"/>
        <v>0</v>
      </c>
      <c r="AI316"/>
      <c r="AJ316"/>
      <c r="AK316">
        <f t="shared" si="234"/>
        <v>0</v>
      </c>
      <c r="AL316">
        <f t="shared" si="235"/>
        <v>0</v>
      </c>
      <c r="AM316">
        <f t="shared" ref="AM316:AM322" si="258">IF(COUNTIF(G316:I316,"NA")=3,0,IF(COUNTA(G316:I316)=0,0,IF(OR(AND(G316=0,AK316&gt;0),AND(G316="ns",AL316&gt;0),AND(G316="ns",AK316=0,AL316=0)),1,IF(OR(AND(G316&gt;0,AK316=2),AND(G316="ns",AK316=2),AND(G316="ns",AL316=0,AK316&gt;0),G316=AL316),0,1))))</f>
        <v>0</v>
      </c>
      <c r="AN316">
        <f t="shared" si="236"/>
        <v>0</v>
      </c>
      <c r="AO316">
        <f t="shared" si="237"/>
        <v>0</v>
      </c>
      <c r="AP316">
        <f t="shared" si="238"/>
        <v>0</v>
      </c>
      <c r="AQ316">
        <f t="shared" si="239"/>
        <v>0</v>
      </c>
      <c r="AR316">
        <f t="shared" si="240"/>
        <v>0</v>
      </c>
      <c r="AS316">
        <f t="shared" si="241"/>
        <v>0</v>
      </c>
      <c r="AT316">
        <f t="shared" si="242"/>
        <v>0</v>
      </c>
      <c r="AU316">
        <f t="shared" si="243"/>
        <v>0</v>
      </c>
      <c r="AV316">
        <f t="shared" si="244"/>
        <v>0</v>
      </c>
      <c r="AW316">
        <f t="shared" si="245"/>
        <v>0</v>
      </c>
      <c r="AX316">
        <f t="shared" si="246"/>
        <v>0</v>
      </c>
      <c r="AY316">
        <f t="shared" si="247"/>
        <v>0</v>
      </c>
      <c r="AZ316">
        <f t="shared" si="248"/>
        <v>0</v>
      </c>
      <c r="BA316">
        <f t="shared" si="249"/>
        <v>0</v>
      </c>
      <c r="BB316">
        <f t="shared" si="250"/>
        <v>0</v>
      </c>
      <c r="BC316">
        <f t="shared" si="251"/>
        <v>0</v>
      </c>
      <c r="BD316">
        <f t="shared" si="252"/>
        <v>0</v>
      </c>
      <c r="BE316">
        <f t="shared" si="253"/>
        <v>0</v>
      </c>
      <c r="BF316">
        <f t="shared" si="254"/>
        <v>0</v>
      </c>
      <c r="BG316">
        <f t="shared" si="255"/>
        <v>0</v>
      </c>
      <c r="BH316">
        <f t="shared" si="256"/>
        <v>0</v>
      </c>
      <c r="BI316" cm="1">
        <f t="array" ref="BI316">IF(OR(G316={"NS","NA"},P243={"NS","NA"}),0,IF(G316&gt;=P243,0,1))</f>
        <v>0</v>
      </c>
      <c r="BJ316" cm="1">
        <f t="array" ref="BJ316">IF(OR(H316={"NS","NA"},Q243={"NS","NA"}),0,IF(H316&gt;=Q243,0,1))</f>
        <v>0</v>
      </c>
      <c r="BK316" cm="1">
        <f t="array" ref="BK316">IF(OR(I316={"NS","NA"},R243={"NS","NA"}),0,IF(I316&gt;=R243,0,1))</f>
        <v>0</v>
      </c>
      <c r="BL316" cm="1">
        <f t="array" ref="BL316">IF(OR(J316={"NS","NA"},$P243={"NS","NA"}),0,IF(J316&lt;=$P243,0,1))</f>
        <v>0</v>
      </c>
      <c r="BM316" cm="1">
        <f t="array" ref="BM316">IF(OR(K316={"NS","NA"},$Q243={"NS","NA"}),0,IF(K316&lt;=$Q243,0,1))</f>
        <v>0</v>
      </c>
      <c r="BN316" cm="1">
        <f t="array" ref="BN316">IF(OR(L316={"NS","NA"},$R243={"NS","NA"}),0,IF(L316&lt;=$R243,0,1))</f>
        <v>0</v>
      </c>
      <c r="BO316" cm="1">
        <f t="array" ref="BO316">IF(OR(M316={"NS","NA"},$P243={"NS","NA"}),0,IF(M316&lt;=$P243,0,1))</f>
        <v>0</v>
      </c>
      <c r="BP316" cm="1">
        <f t="array" ref="BP316">IF(OR(N316={"NS","NA"},$Q243={"NS","NA"}),0,IF(N316&lt;=$Q243,0,1))</f>
        <v>0</v>
      </c>
      <c r="BQ316" cm="1">
        <f t="array" ref="BQ316">IF(OR(O316={"NS","NA"},$R243={"NS","NA"}),0,IF(O316&lt;=$R243,0,1))</f>
        <v>0</v>
      </c>
      <c r="BR316" cm="1">
        <f t="array" ref="BR316">IF(OR(P316={"NS","NA"},$P243={"NS","NA"}),0,IF(P316&lt;=$P243,0,1))</f>
        <v>0</v>
      </c>
      <c r="BS316" cm="1">
        <f t="array" ref="BS316">IF(OR(Q316={"NS","NA"},$Q243={"NS","NA"}),0,IF(Q316&lt;=$Q243,0,1))</f>
        <v>0</v>
      </c>
      <c r="BT316" cm="1">
        <f t="array" ref="BT316">IF(OR(R316={"NS","NA"},$R243={"NS","NA"}),0,IF(R316&lt;=$R243,0,1))</f>
        <v>0</v>
      </c>
      <c r="BU316" cm="1">
        <f t="array" ref="BU316">IF(OR(S316={"NS","NA"},$P243={"NS","NA"}),0,IF(S316&lt;=$P243,0,1))</f>
        <v>0</v>
      </c>
      <c r="BV316" cm="1">
        <f t="array" ref="BV316">IF(OR(T316={"NS","NA"},$Q243={"NS","NA"}),0,IF(T316&lt;=$Q243,0,1))</f>
        <v>0</v>
      </c>
      <c r="BW316" cm="1">
        <f t="array" ref="BW316">IF(OR(U316={"NS","NA"},$R243={"NS","NA"}),0,IF(U316&lt;=$R243,0,1))</f>
        <v>0</v>
      </c>
      <c r="BX316" cm="1">
        <f t="array" ref="BX316">IF(OR(V316={"NS","NA"},$P243={"NS","NA"}),0,IF(V316&lt;=$P243,0,1))</f>
        <v>0</v>
      </c>
      <c r="BY316" cm="1">
        <f t="array" ref="BY316">IF(OR(W316={"NS","NA"},$Q243={"NS","NA"}),0,IF(W316&lt;=$Q243,0,1))</f>
        <v>0</v>
      </c>
      <c r="BZ316" cm="1">
        <f t="array" ref="BZ316">IF(OR(X316={"NS","NA"},$R243={"NS","NA"}),0,IF(X316&lt;=$R243,0,1))</f>
        <v>0</v>
      </c>
      <c r="CA316" cm="1">
        <f t="array" ref="CA316">IF(OR(Y316={"NS","NA"},$P243={"NS","NA"}),0,IF(Y316&lt;=$P243,0,1))</f>
        <v>0</v>
      </c>
      <c r="CB316" cm="1">
        <f t="array" ref="CB316">IF(OR(Z316={"NS","NA"},$Q243={"NS","NA"}),0,IF(Z316&lt;=$Q243,0,1))</f>
        <v>0</v>
      </c>
      <c r="CC316" cm="1">
        <f t="array" ref="CC316">IF(OR(AA316={"NS","NA"},$R243={"NS","NA"}),0,IF(AA316&lt;=$R243,0,1))</f>
        <v>0</v>
      </c>
      <c r="CD316" cm="1">
        <f t="array" ref="CD316">IF(OR(AB316={"NS","NA"},$P243={"NS","NA"}),0,IF(AB316&lt;=$P243,0,1))</f>
        <v>0</v>
      </c>
      <c r="CE316" cm="1">
        <f t="array" ref="CE316">IF(OR(AC316={"NS","NA"},$Q243={"NS","NA"}),0,IF(AC316&lt;=$Q243,0,1))</f>
        <v>0</v>
      </c>
      <c r="CF316" cm="1">
        <f t="array" ref="CF316">IF(OR(AD316={"NS","NA"},$R243={"NS","NA"}),0,IF(AD316&lt;=$R243,0,1))</f>
        <v>0</v>
      </c>
      <c r="CG316"/>
    </row>
    <row r="317" spans="1:85">
      <c r="A317" s="142"/>
      <c r="B317" s="57"/>
      <c r="C317" s="143" t="s">
        <v>2518</v>
      </c>
      <c r="D317" s="814" t="str">
        <f>IF(CNSIPEE_2024_M2_Secc1!D44="","",CNSIPEE_2024_M2_Secc1!D44)</f>
        <v/>
      </c>
      <c r="E317" s="814"/>
      <c r="F317" s="815"/>
      <c r="G317" s="100"/>
      <c r="H317" s="100"/>
      <c r="I317" s="100"/>
      <c r="J317" s="100"/>
      <c r="K317" s="100"/>
      <c r="L317" s="100"/>
      <c r="M317" s="100"/>
      <c r="N317" s="100"/>
      <c r="O317" s="100"/>
      <c r="P317" s="100"/>
      <c r="Q317" s="100"/>
      <c r="R317" s="100"/>
      <c r="S317" s="100"/>
      <c r="T317" s="100"/>
      <c r="U317" s="100"/>
      <c r="V317" s="100"/>
      <c r="W317" s="100"/>
      <c r="X317" s="100"/>
      <c r="Y317" s="100"/>
      <c r="Z317" s="100"/>
      <c r="AA317" s="100"/>
      <c r="AB317" s="100"/>
      <c r="AC317" s="100"/>
      <c r="AD317" s="100"/>
      <c r="AG317">
        <f t="shared" si="257"/>
        <v>0</v>
      </c>
      <c r="AH317">
        <f t="shared" si="233"/>
        <v>0</v>
      </c>
      <c r="AI317"/>
      <c r="AJ317"/>
      <c r="AK317">
        <f t="shared" si="234"/>
        <v>0</v>
      </c>
      <c r="AL317">
        <f t="shared" si="235"/>
        <v>0</v>
      </c>
      <c r="AM317">
        <f t="shared" si="258"/>
        <v>0</v>
      </c>
      <c r="AN317">
        <f t="shared" si="236"/>
        <v>0</v>
      </c>
      <c r="AO317">
        <f t="shared" si="237"/>
        <v>0</v>
      </c>
      <c r="AP317">
        <f t="shared" si="238"/>
        <v>0</v>
      </c>
      <c r="AQ317">
        <f t="shared" si="239"/>
        <v>0</v>
      </c>
      <c r="AR317">
        <f t="shared" si="240"/>
        <v>0</v>
      </c>
      <c r="AS317">
        <f t="shared" si="241"/>
        <v>0</v>
      </c>
      <c r="AT317">
        <f t="shared" si="242"/>
        <v>0</v>
      </c>
      <c r="AU317">
        <f t="shared" si="243"/>
        <v>0</v>
      </c>
      <c r="AV317">
        <f t="shared" si="244"/>
        <v>0</v>
      </c>
      <c r="AW317">
        <f t="shared" si="245"/>
        <v>0</v>
      </c>
      <c r="AX317">
        <f t="shared" si="246"/>
        <v>0</v>
      </c>
      <c r="AY317">
        <f t="shared" si="247"/>
        <v>0</v>
      </c>
      <c r="AZ317">
        <f t="shared" si="248"/>
        <v>0</v>
      </c>
      <c r="BA317">
        <f t="shared" si="249"/>
        <v>0</v>
      </c>
      <c r="BB317">
        <f t="shared" si="250"/>
        <v>0</v>
      </c>
      <c r="BC317">
        <f t="shared" si="251"/>
        <v>0</v>
      </c>
      <c r="BD317">
        <f t="shared" si="252"/>
        <v>0</v>
      </c>
      <c r="BE317">
        <f t="shared" si="253"/>
        <v>0</v>
      </c>
      <c r="BF317">
        <f t="shared" si="254"/>
        <v>0</v>
      </c>
      <c r="BG317">
        <f t="shared" si="255"/>
        <v>0</v>
      </c>
      <c r="BH317">
        <f t="shared" si="256"/>
        <v>0</v>
      </c>
      <c r="BI317" cm="1">
        <f t="array" ref="BI317">IF(OR(G317={"NS","NA"},P244={"NS","NA"}),0,IF(G317&gt;=P244,0,1))</f>
        <v>0</v>
      </c>
      <c r="BJ317" cm="1">
        <f t="array" ref="BJ317">IF(OR(H317={"NS","NA"},Q244={"NS","NA"}),0,IF(H317&gt;=Q244,0,1))</f>
        <v>0</v>
      </c>
      <c r="BK317" cm="1">
        <f t="array" ref="BK317">IF(OR(I317={"NS","NA"},R244={"NS","NA"}),0,IF(I317&gt;=R244,0,1))</f>
        <v>0</v>
      </c>
      <c r="BL317" cm="1">
        <f t="array" ref="BL317">IF(OR(J317={"NS","NA"},$P244={"NS","NA"}),0,IF(J317&lt;=$P244,0,1))</f>
        <v>0</v>
      </c>
      <c r="BM317" cm="1">
        <f t="array" ref="BM317">IF(OR(K317={"NS","NA"},$Q244={"NS","NA"}),0,IF(K317&lt;=$Q244,0,1))</f>
        <v>0</v>
      </c>
      <c r="BN317" cm="1">
        <f t="array" ref="BN317">IF(OR(L317={"NS","NA"},$R244={"NS","NA"}),0,IF(L317&lt;=$R244,0,1))</f>
        <v>0</v>
      </c>
      <c r="BO317" cm="1">
        <f t="array" ref="BO317">IF(OR(M317={"NS","NA"},$P244={"NS","NA"}),0,IF(M317&lt;=$P244,0,1))</f>
        <v>0</v>
      </c>
      <c r="BP317" cm="1">
        <f t="array" ref="BP317">IF(OR(N317={"NS","NA"},$Q244={"NS","NA"}),0,IF(N317&lt;=$Q244,0,1))</f>
        <v>0</v>
      </c>
      <c r="BQ317" cm="1">
        <f t="array" ref="BQ317">IF(OR(O317={"NS","NA"},$R244={"NS","NA"}),0,IF(O317&lt;=$R244,0,1))</f>
        <v>0</v>
      </c>
      <c r="BR317" cm="1">
        <f t="array" ref="BR317">IF(OR(P317={"NS","NA"},$P244={"NS","NA"}),0,IF(P317&lt;=$P244,0,1))</f>
        <v>0</v>
      </c>
      <c r="BS317" cm="1">
        <f t="array" ref="BS317">IF(OR(Q317={"NS","NA"},$Q244={"NS","NA"}),0,IF(Q317&lt;=$Q244,0,1))</f>
        <v>0</v>
      </c>
      <c r="BT317" cm="1">
        <f t="array" ref="BT317">IF(OR(R317={"NS","NA"},$R244={"NS","NA"}),0,IF(R317&lt;=$R244,0,1))</f>
        <v>0</v>
      </c>
      <c r="BU317" cm="1">
        <f t="array" ref="BU317">IF(OR(S317={"NS","NA"},$P244={"NS","NA"}),0,IF(S317&lt;=$P244,0,1))</f>
        <v>0</v>
      </c>
      <c r="BV317" cm="1">
        <f t="array" ref="BV317">IF(OR(T317={"NS","NA"},$Q244={"NS","NA"}),0,IF(T317&lt;=$Q244,0,1))</f>
        <v>0</v>
      </c>
      <c r="BW317" cm="1">
        <f t="array" ref="BW317">IF(OR(U317={"NS","NA"},$R244={"NS","NA"}),0,IF(U317&lt;=$R244,0,1))</f>
        <v>0</v>
      </c>
      <c r="BX317" cm="1">
        <f t="array" ref="BX317">IF(OR(V317={"NS","NA"},$P244={"NS","NA"}),0,IF(V317&lt;=$P244,0,1))</f>
        <v>0</v>
      </c>
      <c r="BY317" cm="1">
        <f t="array" ref="BY317">IF(OR(W317={"NS","NA"},$Q244={"NS","NA"}),0,IF(W317&lt;=$Q244,0,1))</f>
        <v>0</v>
      </c>
      <c r="BZ317" cm="1">
        <f t="array" ref="BZ317">IF(OR(X317={"NS","NA"},$R244={"NS","NA"}),0,IF(X317&lt;=$R244,0,1))</f>
        <v>0</v>
      </c>
      <c r="CA317" cm="1">
        <f t="array" ref="CA317">IF(OR(Y317={"NS","NA"},$P244={"NS","NA"}),0,IF(Y317&lt;=$P244,0,1))</f>
        <v>0</v>
      </c>
      <c r="CB317" cm="1">
        <f t="array" ref="CB317">IF(OR(Z317={"NS","NA"},$Q244={"NS","NA"}),0,IF(Z317&lt;=$Q244,0,1))</f>
        <v>0</v>
      </c>
      <c r="CC317" cm="1">
        <f t="array" ref="CC317">IF(OR(AA317={"NS","NA"},$R244={"NS","NA"}),0,IF(AA317&lt;=$R244,0,1))</f>
        <v>0</v>
      </c>
      <c r="CD317" cm="1">
        <f t="array" ref="CD317">IF(OR(AB317={"NS","NA"},$P244={"NS","NA"}),0,IF(AB317&lt;=$P244,0,1))</f>
        <v>0</v>
      </c>
      <c r="CE317" cm="1">
        <f t="array" ref="CE317">IF(OR(AC317={"NS","NA"},$Q244={"NS","NA"}),0,IF(AC317&lt;=$Q244,0,1))</f>
        <v>0</v>
      </c>
      <c r="CF317" cm="1">
        <f t="array" ref="CF317">IF(OR(AD317={"NS","NA"},$R244={"NS","NA"}),0,IF(AD317&lt;=$R244,0,1))</f>
        <v>0</v>
      </c>
      <c r="CG317"/>
    </row>
    <row r="318" spans="1:85">
      <c r="A318" s="142"/>
      <c r="B318" s="57"/>
      <c r="C318" s="143" t="s">
        <v>2519</v>
      </c>
      <c r="D318" s="814" t="str">
        <f>IF(CNSIPEE_2024_M2_Secc1!D45="","",CNSIPEE_2024_M2_Secc1!D45)</f>
        <v/>
      </c>
      <c r="E318" s="814"/>
      <c r="F318" s="815"/>
      <c r="G318" s="100"/>
      <c r="H318" s="100"/>
      <c r="I318" s="100"/>
      <c r="J318" s="100"/>
      <c r="K318" s="100"/>
      <c r="L318" s="100"/>
      <c r="M318" s="100"/>
      <c r="N318" s="100"/>
      <c r="O318" s="100"/>
      <c r="P318" s="100"/>
      <c r="Q318" s="100"/>
      <c r="R318" s="100"/>
      <c r="S318" s="100"/>
      <c r="T318" s="100"/>
      <c r="U318" s="100"/>
      <c r="V318" s="100"/>
      <c r="W318" s="100"/>
      <c r="X318" s="100"/>
      <c r="Y318" s="100"/>
      <c r="Z318" s="100"/>
      <c r="AA318" s="100"/>
      <c r="AB318" s="100"/>
      <c r="AC318" s="100"/>
      <c r="AD318" s="100"/>
      <c r="AG318">
        <f t="shared" si="257"/>
        <v>0</v>
      </c>
      <c r="AH318">
        <f t="shared" si="233"/>
        <v>0</v>
      </c>
      <c r="AI318"/>
      <c r="AJ318"/>
      <c r="AK318">
        <f t="shared" si="234"/>
        <v>0</v>
      </c>
      <c r="AL318">
        <f t="shared" si="235"/>
        <v>0</v>
      </c>
      <c r="AM318">
        <f t="shared" si="258"/>
        <v>0</v>
      </c>
      <c r="AN318">
        <f t="shared" si="236"/>
        <v>0</v>
      </c>
      <c r="AO318">
        <f t="shared" si="237"/>
        <v>0</v>
      </c>
      <c r="AP318">
        <f t="shared" si="238"/>
        <v>0</v>
      </c>
      <c r="AQ318">
        <f t="shared" si="239"/>
        <v>0</v>
      </c>
      <c r="AR318">
        <f t="shared" si="240"/>
        <v>0</v>
      </c>
      <c r="AS318">
        <f t="shared" si="241"/>
        <v>0</v>
      </c>
      <c r="AT318">
        <f t="shared" si="242"/>
        <v>0</v>
      </c>
      <c r="AU318">
        <f t="shared" si="243"/>
        <v>0</v>
      </c>
      <c r="AV318">
        <f t="shared" si="244"/>
        <v>0</v>
      </c>
      <c r="AW318">
        <f t="shared" si="245"/>
        <v>0</v>
      </c>
      <c r="AX318">
        <f t="shared" si="246"/>
        <v>0</v>
      </c>
      <c r="AY318">
        <f t="shared" si="247"/>
        <v>0</v>
      </c>
      <c r="AZ318">
        <f t="shared" si="248"/>
        <v>0</v>
      </c>
      <c r="BA318">
        <f t="shared" si="249"/>
        <v>0</v>
      </c>
      <c r="BB318">
        <f t="shared" si="250"/>
        <v>0</v>
      </c>
      <c r="BC318">
        <f t="shared" si="251"/>
        <v>0</v>
      </c>
      <c r="BD318">
        <f t="shared" si="252"/>
        <v>0</v>
      </c>
      <c r="BE318">
        <f t="shared" si="253"/>
        <v>0</v>
      </c>
      <c r="BF318">
        <f t="shared" si="254"/>
        <v>0</v>
      </c>
      <c r="BG318">
        <f t="shared" si="255"/>
        <v>0</v>
      </c>
      <c r="BH318">
        <f t="shared" si="256"/>
        <v>0</v>
      </c>
      <c r="BI318" cm="1">
        <f t="array" ref="BI318">IF(OR(G318={"NS","NA"},P245={"NS","NA"}),0,IF(G318&gt;=P245,0,1))</f>
        <v>0</v>
      </c>
      <c r="BJ318" cm="1">
        <f t="array" ref="BJ318">IF(OR(H318={"NS","NA"},Q245={"NS","NA"}),0,IF(H318&gt;=Q245,0,1))</f>
        <v>0</v>
      </c>
      <c r="BK318" cm="1">
        <f t="array" ref="BK318">IF(OR(I318={"NS","NA"},R245={"NS","NA"}),0,IF(I318&gt;=R245,0,1))</f>
        <v>0</v>
      </c>
      <c r="BL318" cm="1">
        <f t="array" ref="BL318">IF(OR(J318={"NS","NA"},$P245={"NS","NA"}),0,IF(J318&lt;=$P245,0,1))</f>
        <v>0</v>
      </c>
      <c r="BM318" cm="1">
        <f t="array" ref="BM318">IF(OR(K318={"NS","NA"},$Q245={"NS","NA"}),0,IF(K318&lt;=$Q245,0,1))</f>
        <v>0</v>
      </c>
      <c r="BN318" cm="1">
        <f t="array" ref="BN318">IF(OR(L318={"NS","NA"},$R245={"NS","NA"}),0,IF(L318&lt;=$R245,0,1))</f>
        <v>0</v>
      </c>
      <c r="BO318" cm="1">
        <f t="array" ref="BO318">IF(OR(M318={"NS","NA"},$P245={"NS","NA"}),0,IF(M318&lt;=$P245,0,1))</f>
        <v>0</v>
      </c>
      <c r="BP318" cm="1">
        <f t="array" ref="BP318">IF(OR(N318={"NS","NA"},$Q245={"NS","NA"}),0,IF(N318&lt;=$Q245,0,1))</f>
        <v>0</v>
      </c>
      <c r="BQ318" cm="1">
        <f t="array" ref="BQ318">IF(OR(O318={"NS","NA"},$R245={"NS","NA"}),0,IF(O318&lt;=$R245,0,1))</f>
        <v>0</v>
      </c>
      <c r="BR318" cm="1">
        <f t="array" ref="BR318">IF(OR(P318={"NS","NA"},$P245={"NS","NA"}),0,IF(P318&lt;=$P245,0,1))</f>
        <v>0</v>
      </c>
      <c r="BS318" cm="1">
        <f t="array" ref="BS318">IF(OR(Q318={"NS","NA"},$Q245={"NS","NA"}),0,IF(Q318&lt;=$Q245,0,1))</f>
        <v>0</v>
      </c>
      <c r="BT318" cm="1">
        <f t="array" ref="BT318">IF(OR(R318={"NS","NA"},$R245={"NS","NA"}),0,IF(R318&lt;=$R245,0,1))</f>
        <v>0</v>
      </c>
      <c r="BU318" cm="1">
        <f t="array" ref="BU318">IF(OR(S318={"NS","NA"},$P245={"NS","NA"}),0,IF(S318&lt;=$P245,0,1))</f>
        <v>0</v>
      </c>
      <c r="BV318" cm="1">
        <f t="array" ref="BV318">IF(OR(T318={"NS","NA"},$Q245={"NS","NA"}),0,IF(T318&lt;=$Q245,0,1))</f>
        <v>0</v>
      </c>
      <c r="BW318" cm="1">
        <f t="array" ref="BW318">IF(OR(U318={"NS","NA"},$R245={"NS","NA"}),0,IF(U318&lt;=$R245,0,1))</f>
        <v>0</v>
      </c>
      <c r="BX318" cm="1">
        <f t="array" ref="BX318">IF(OR(V318={"NS","NA"},$P245={"NS","NA"}),0,IF(V318&lt;=$P245,0,1))</f>
        <v>0</v>
      </c>
      <c r="BY318" cm="1">
        <f t="array" ref="BY318">IF(OR(W318={"NS","NA"},$Q245={"NS","NA"}),0,IF(W318&lt;=$Q245,0,1))</f>
        <v>0</v>
      </c>
      <c r="BZ318" cm="1">
        <f t="array" ref="BZ318">IF(OR(X318={"NS","NA"},$R245={"NS","NA"}),0,IF(X318&lt;=$R245,0,1))</f>
        <v>0</v>
      </c>
      <c r="CA318" cm="1">
        <f t="array" ref="CA318">IF(OR(Y318={"NS","NA"},$P245={"NS","NA"}),0,IF(Y318&lt;=$P245,0,1))</f>
        <v>0</v>
      </c>
      <c r="CB318" cm="1">
        <f t="array" ref="CB318">IF(OR(Z318={"NS","NA"},$Q245={"NS","NA"}),0,IF(Z318&lt;=$Q245,0,1))</f>
        <v>0</v>
      </c>
      <c r="CC318" cm="1">
        <f t="array" ref="CC318">IF(OR(AA318={"NS","NA"},$R245={"NS","NA"}),0,IF(AA318&lt;=$R245,0,1))</f>
        <v>0</v>
      </c>
      <c r="CD318" cm="1">
        <f t="array" ref="CD318">IF(OR(AB318={"NS","NA"},$P245={"NS","NA"}),0,IF(AB318&lt;=$P245,0,1))</f>
        <v>0</v>
      </c>
      <c r="CE318" cm="1">
        <f t="array" ref="CE318">IF(OR(AC318={"NS","NA"},$Q245={"NS","NA"}),0,IF(AC318&lt;=$Q245,0,1))</f>
        <v>0</v>
      </c>
      <c r="CF318" cm="1">
        <f t="array" ref="CF318">IF(OR(AD318={"NS","NA"},$R245={"NS","NA"}),0,IF(AD318&lt;=$R245,0,1))</f>
        <v>0</v>
      </c>
      <c r="CG318"/>
    </row>
    <row r="319" spans="1:85">
      <c r="A319" s="142"/>
      <c r="B319" s="57"/>
      <c r="C319" s="143" t="s">
        <v>2520</v>
      </c>
      <c r="D319" s="814" t="str">
        <f>IF(CNSIPEE_2024_M2_Secc1!D46="","",CNSIPEE_2024_M2_Secc1!D46)</f>
        <v/>
      </c>
      <c r="E319" s="814"/>
      <c r="F319" s="815"/>
      <c r="G319" s="100"/>
      <c r="H319" s="100"/>
      <c r="I319" s="100"/>
      <c r="J319" s="100"/>
      <c r="K319" s="100"/>
      <c r="L319" s="100"/>
      <c r="M319" s="100"/>
      <c r="N319" s="100"/>
      <c r="O319" s="100"/>
      <c r="P319" s="100"/>
      <c r="Q319" s="100"/>
      <c r="R319" s="100"/>
      <c r="S319" s="100"/>
      <c r="T319" s="100"/>
      <c r="U319" s="100"/>
      <c r="V319" s="100"/>
      <c r="W319" s="100"/>
      <c r="X319" s="100"/>
      <c r="Y319" s="100"/>
      <c r="Z319" s="100"/>
      <c r="AA319" s="100"/>
      <c r="AB319" s="100"/>
      <c r="AC319" s="100"/>
      <c r="AD319" s="100"/>
      <c r="AG319">
        <f t="shared" si="257"/>
        <v>0</v>
      </c>
      <c r="AH319">
        <f t="shared" si="233"/>
        <v>0</v>
      </c>
      <c r="AI319"/>
      <c r="AJ319"/>
      <c r="AK319">
        <f t="shared" si="234"/>
        <v>0</v>
      </c>
      <c r="AL319">
        <f t="shared" si="235"/>
        <v>0</v>
      </c>
      <c r="AM319">
        <f t="shared" si="258"/>
        <v>0</v>
      </c>
      <c r="AN319">
        <f t="shared" si="236"/>
        <v>0</v>
      </c>
      <c r="AO319">
        <f t="shared" si="237"/>
        <v>0</v>
      </c>
      <c r="AP319">
        <f t="shared" si="238"/>
        <v>0</v>
      </c>
      <c r="AQ319">
        <f t="shared" si="239"/>
        <v>0</v>
      </c>
      <c r="AR319">
        <f t="shared" si="240"/>
        <v>0</v>
      </c>
      <c r="AS319">
        <f t="shared" si="241"/>
        <v>0</v>
      </c>
      <c r="AT319">
        <f t="shared" si="242"/>
        <v>0</v>
      </c>
      <c r="AU319">
        <f t="shared" si="243"/>
        <v>0</v>
      </c>
      <c r="AV319">
        <f t="shared" si="244"/>
        <v>0</v>
      </c>
      <c r="AW319">
        <f t="shared" si="245"/>
        <v>0</v>
      </c>
      <c r="AX319">
        <f t="shared" si="246"/>
        <v>0</v>
      </c>
      <c r="AY319">
        <f t="shared" si="247"/>
        <v>0</v>
      </c>
      <c r="AZ319">
        <f t="shared" si="248"/>
        <v>0</v>
      </c>
      <c r="BA319">
        <f t="shared" si="249"/>
        <v>0</v>
      </c>
      <c r="BB319">
        <f t="shared" si="250"/>
        <v>0</v>
      </c>
      <c r="BC319">
        <f t="shared" si="251"/>
        <v>0</v>
      </c>
      <c r="BD319">
        <f t="shared" si="252"/>
        <v>0</v>
      </c>
      <c r="BE319">
        <f t="shared" si="253"/>
        <v>0</v>
      </c>
      <c r="BF319">
        <f t="shared" si="254"/>
        <v>0</v>
      </c>
      <c r="BG319">
        <f t="shared" si="255"/>
        <v>0</v>
      </c>
      <c r="BH319">
        <f t="shared" si="256"/>
        <v>0</v>
      </c>
      <c r="BI319" cm="1">
        <f t="array" ref="BI319">IF(OR(G319={"NS","NA"},P246={"NS","NA"}),0,IF(G319&gt;=P246,0,1))</f>
        <v>0</v>
      </c>
      <c r="BJ319" cm="1">
        <f t="array" ref="BJ319">IF(OR(H319={"NS","NA"},Q246={"NS","NA"}),0,IF(H319&gt;=Q246,0,1))</f>
        <v>0</v>
      </c>
      <c r="BK319" cm="1">
        <f t="array" ref="BK319">IF(OR(I319={"NS","NA"},R246={"NS","NA"}),0,IF(I319&gt;=R246,0,1))</f>
        <v>0</v>
      </c>
      <c r="BL319" cm="1">
        <f t="array" ref="BL319">IF(OR(J319={"NS","NA"},$P246={"NS","NA"}),0,IF(J319&lt;=$P246,0,1))</f>
        <v>0</v>
      </c>
      <c r="BM319" cm="1">
        <f t="array" ref="BM319">IF(OR(K319={"NS","NA"},$Q246={"NS","NA"}),0,IF(K319&lt;=$Q246,0,1))</f>
        <v>0</v>
      </c>
      <c r="BN319" cm="1">
        <f t="array" ref="BN319">IF(OR(L319={"NS","NA"},$R246={"NS","NA"}),0,IF(L319&lt;=$R246,0,1))</f>
        <v>0</v>
      </c>
      <c r="BO319" cm="1">
        <f t="array" ref="BO319">IF(OR(M319={"NS","NA"},$P246={"NS","NA"}),0,IF(M319&lt;=$P246,0,1))</f>
        <v>0</v>
      </c>
      <c r="BP319" cm="1">
        <f t="array" ref="BP319">IF(OR(N319={"NS","NA"},$Q246={"NS","NA"}),0,IF(N319&lt;=$Q246,0,1))</f>
        <v>0</v>
      </c>
      <c r="BQ319" cm="1">
        <f t="array" ref="BQ319">IF(OR(O319={"NS","NA"},$R246={"NS","NA"}),0,IF(O319&lt;=$R246,0,1))</f>
        <v>0</v>
      </c>
      <c r="BR319" cm="1">
        <f t="array" ref="BR319">IF(OR(P319={"NS","NA"},$P246={"NS","NA"}),0,IF(P319&lt;=$P246,0,1))</f>
        <v>0</v>
      </c>
      <c r="BS319" cm="1">
        <f t="array" ref="BS319">IF(OR(Q319={"NS","NA"},$Q246={"NS","NA"}),0,IF(Q319&lt;=$Q246,0,1))</f>
        <v>0</v>
      </c>
      <c r="BT319" cm="1">
        <f t="array" ref="BT319">IF(OR(R319={"NS","NA"},$R246={"NS","NA"}),0,IF(R319&lt;=$R246,0,1))</f>
        <v>0</v>
      </c>
      <c r="BU319" cm="1">
        <f t="array" ref="BU319">IF(OR(S319={"NS","NA"},$P246={"NS","NA"}),0,IF(S319&lt;=$P246,0,1))</f>
        <v>0</v>
      </c>
      <c r="BV319" cm="1">
        <f t="array" ref="BV319">IF(OR(T319={"NS","NA"},$Q246={"NS","NA"}),0,IF(T319&lt;=$Q246,0,1))</f>
        <v>0</v>
      </c>
      <c r="BW319" cm="1">
        <f t="array" ref="BW319">IF(OR(U319={"NS","NA"},$R246={"NS","NA"}),0,IF(U319&lt;=$R246,0,1))</f>
        <v>0</v>
      </c>
      <c r="BX319" cm="1">
        <f t="array" ref="BX319">IF(OR(V319={"NS","NA"},$P246={"NS","NA"}),0,IF(V319&lt;=$P246,0,1))</f>
        <v>0</v>
      </c>
      <c r="BY319" cm="1">
        <f t="array" ref="BY319">IF(OR(W319={"NS","NA"},$Q246={"NS","NA"}),0,IF(W319&lt;=$Q246,0,1))</f>
        <v>0</v>
      </c>
      <c r="BZ319" cm="1">
        <f t="array" ref="BZ319">IF(OR(X319={"NS","NA"},$R246={"NS","NA"}),0,IF(X319&lt;=$R246,0,1))</f>
        <v>0</v>
      </c>
      <c r="CA319" cm="1">
        <f t="array" ref="CA319">IF(OR(Y319={"NS","NA"},$P246={"NS","NA"}),0,IF(Y319&lt;=$P246,0,1))</f>
        <v>0</v>
      </c>
      <c r="CB319" cm="1">
        <f t="array" ref="CB319">IF(OR(Z319={"NS","NA"},$Q246={"NS","NA"}),0,IF(Z319&lt;=$Q246,0,1))</f>
        <v>0</v>
      </c>
      <c r="CC319" cm="1">
        <f t="array" ref="CC319">IF(OR(AA319={"NS","NA"},$R246={"NS","NA"}),0,IF(AA319&lt;=$R246,0,1))</f>
        <v>0</v>
      </c>
      <c r="CD319" cm="1">
        <f t="array" ref="CD319">IF(OR(AB319={"NS","NA"},$P246={"NS","NA"}),0,IF(AB319&lt;=$P246,0,1))</f>
        <v>0</v>
      </c>
      <c r="CE319" cm="1">
        <f t="array" ref="CE319">IF(OR(AC319={"NS","NA"},$Q246={"NS","NA"}),0,IF(AC319&lt;=$Q246,0,1))</f>
        <v>0</v>
      </c>
      <c r="CF319" cm="1">
        <f t="array" ref="CF319">IF(OR(AD319={"NS","NA"},$R246={"NS","NA"}),0,IF(AD319&lt;=$R246,0,1))</f>
        <v>0</v>
      </c>
      <c r="CG319"/>
    </row>
    <row r="320" spans="1:85">
      <c r="A320" s="142"/>
      <c r="B320" s="57"/>
      <c r="C320" s="143" t="s">
        <v>2521</v>
      </c>
      <c r="D320" s="814" t="str">
        <f>IF(CNSIPEE_2024_M2_Secc1!D47="","",CNSIPEE_2024_M2_Secc1!D47)</f>
        <v/>
      </c>
      <c r="E320" s="814"/>
      <c r="F320" s="815"/>
      <c r="G320" s="100"/>
      <c r="H320" s="100"/>
      <c r="I320" s="100"/>
      <c r="J320" s="100"/>
      <c r="K320" s="100"/>
      <c r="L320" s="100"/>
      <c r="M320" s="100"/>
      <c r="N320" s="100"/>
      <c r="O320" s="100"/>
      <c r="P320" s="100"/>
      <c r="Q320" s="100"/>
      <c r="R320" s="100"/>
      <c r="S320" s="100"/>
      <c r="T320" s="100"/>
      <c r="U320" s="100"/>
      <c r="V320" s="100"/>
      <c r="W320" s="100"/>
      <c r="X320" s="100"/>
      <c r="Y320" s="100"/>
      <c r="Z320" s="100"/>
      <c r="AA320" s="100"/>
      <c r="AB320" s="100"/>
      <c r="AC320" s="100"/>
      <c r="AD320" s="100"/>
      <c r="AG320">
        <f t="shared" si="257"/>
        <v>0</v>
      </c>
      <c r="AH320">
        <f t="shared" si="233"/>
        <v>0</v>
      </c>
      <c r="AI320"/>
      <c r="AJ320"/>
      <c r="AK320">
        <f t="shared" si="234"/>
        <v>0</v>
      </c>
      <c r="AL320">
        <f t="shared" si="235"/>
        <v>0</v>
      </c>
      <c r="AM320">
        <f t="shared" si="258"/>
        <v>0</v>
      </c>
      <c r="AN320">
        <f t="shared" si="236"/>
        <v>0</v>
      </c>
      <c r="AO320">
        <f t="shared" si="237"/>
        <v>0</v>
      </c>
      <c r="AP320">
        <f t="shared" si="238"/>
        <v>0</v>
      </c>
      <c r="AQ320">
        <f t="shared" si="239"/>
        <v>0</v>
      </c>
      <c r="AR320">
        <f t="shared" si="240"/>
        <v>0</v>
      </c>
      <c r="AS320">
        <f t="shared" si="241"/>
        <v>0</v>
      </c>
      <c r="AT320">
        <f t="shared" si="242"/>
        <v>0</v>
      </c>
      <c r="AU320">
        <f t="shared" si="243"/>
        <v>0</v>
      </c>
      <c r="AV320">
        <f t="shared" si="244"/>
        <v>0</v>
      </c>
      <c r="AW320">
        <f t="shared" si="245"/>
        <v>0</v>
      </c>
      <c r="AX320">
        <f t="shared" si="246"/>
        <v>0</v>
      </c>
      <c r="AY320">
        <f t="shared" si="247"/>
        <v>0</v>
      </c>
      <c r="AZ320">
        <f t="shared" si="248"/>
        <v>0</v>
      </c>
      <c r="BA320">
        <f t="shared" si="249"/>
        <v>0</v>
      </c>
      <c r="BB320">
        <f t="shared" si="250"/>
        <v>0</v>
      </c>
      <c r="BC320">
        <f t="shared" si="251"/>
        <v>0</v>
      </c>
      <c r="BD320">
        <f t="shared" si="252"/>
        <v>0</v>
      </c>
      <c r="BE320">
        <f t="shared" si="253"/>
        <v>0</v>
      </c>
      <c r="BF320">
        <f t="shared" si="254"/>
        <v>0</v>
      </c>
      <c r="BG320">
        <f t="shared" si="255"/>
        <v>0</v>
      </c>
      <c r="BH320">
        <f t="shared" si="256"/>
        <v>0</v>
      </c>
      <c r="BI320" cm="1">
        <f t="array" ref="BI320">IF(OR(G320={"NS","NA"},P247={"NS","NA"}),0,IF(G320&gt;=P247,0,1))</f>
        <v>0</v>
      </c>
      <c r="BJ320" cm="1">
        <f t="array" ref="BJ320">IF(OR(H320={"NS","NA"},Q247={"NS","NA"}),0,IF(H320&gt;=Q247,0,1))</f>
        <v>0</v>
      </c>
      <c r="BK320" cm="1">
        <f t="array" ref="BK320">IF(OR(I320={"NS","NA"},R247={"NS","NA"}),0,IF(I320&gt;=R247,0,1))</f>
        <v>0</v>
      </c>
      <c r="BL320" cm="1">
        <f t="array" ref="BL320">IF(OR(J320={"NS","NA"},$P247={"NS","NA"}),0,IF(J320&lt;=$P247,0,1))</f>
        <v>0</v>
      </c>
      <c r="BM320" cm="1">
        <f t="array" ref="BM320">IF(OR(K320={"NS","NA"},$Q247={"NS","NA"}),0,IF(K320&lt;=$Q247,0,1))</f>
        <v>0</v>
      </c>
      <c r="BN320" cm="1">
        <f t="array" ref="BN320">IF(OR(L320={"NS","NA"},$R247={"NS","NA"}),0,IF(L320&lt;=$R247,0,1))</f>
        <v>0</v>
      </c>
      <c r="BO320" cm="1">
        <f t="array" ref="BO320">IF(OR(M320={"NS","NA"},$P247={"NS","NA"}),0,IF(M320&lt;=$P247,0,1))</f>
        <v>0</v>
      </c>
      <c r="BP320" cm="1">
        <f t="array" ref="BP320">IF(OR(N320={"NS","NA"},$Q247={"NS","NA"}),0,IF(N320&lt;=$Q247,0,1))</f>
        <v>0</v>
      </c>
      <c r="BQ320" cm="1">
        <f t="array" ref="BQ320">IF(OR(O320={"NS","NA"},$R247={"NS","NA"}),0,IF(O320&lt;=$R247,0,1))</f>
        <v>0</v>
      </c>
      <c r="BR320" cm="1">
        <f t="array" ref="BR320">IF(OR(P320={"NS","NA"},$P247={"NS","NA"}),0,IF(P320&lt;=$P247,0,1))</f>
        <v>0</v>
      </c>
      <c r="BS320" cm="1">
        <f t="array" ref="BS320">IF(OR(Q320={"NS","NA"},$Q247={"NS","NA"}),0,IF(Q320&lt;=$Q247,0,1))</f>
        <v>0</v>
      </c>
      <c r="BT320" cm="1">
        <f t="array" ref="BT320">IF(OR(R320={"NS","NA"},$R247={"NS","NA"}),0,IF(R320&lt;=$R247,0,1))</f>
        <v>0</v>
      </c>
      <c r="BU320" cm="1">
        <f t="array" ref="BU320">IF(OR(S320={"NS","NA"},$P247={"NS","NA"}),0,IF(S320&lt;=$P247,0,1))</f>
        <v>0</v>
      </c>
      <c r="BV320" cm="1">
        <f t="array" ref="BV320">IF(OR(T320={"NS","NA"},$Q247={"NS","NA"}),0,IF(T320&lt;=$Q247,0,1))</f>
        <v>0</v>
      </c>
      <c r="BW320" cm="1">
        <f t="array" ref="BW320">IF(OR(U320={"NS","NA"},$R247={"NS","NA"}),0,IF(U320&lt;=$R247,0,1))</f>
        <v>0</v>
      </c>
      <c r="BX320" cm="1">
        <f t="array" ref="BX320">IF(OR(V320={"NS","NA"},$P247={"NS","NA"}),0,IF(V320&lt;=$P247,0,1))</f>
        <v>0</v>
      </c>
      <c r="BY320" cm="1">
        <f t="array" ref="BY320">IF(OR(W320={"NS","NA"},$Q247={"NS","NA"}),0,IF(W320&lt;=$Q247,0,1))</f>
        <v>0</v>
      </c>
      <c r="BZ320" cm="1">
        <f t="array" ref="BZ320">IF(OR(X320={"NS","NA"},$R247={"NS","NA"}),0,IF(X320&lt;=$R247,0,1))</f>
        <v>0</v>
      </c>
      <c r="CA320" cm="1">
        <f t="array" ref="CA320">IF(OR(Y320={"NS","NA"},$P247={"NS","NA"}),0,IF(Y320&lt;=$P247,0,1))</f>
        <v>0</v>
      </c>
      <c r="CB320" cm="1">
        <f t="array" ref="CB320">IF(OR(Z320={"NS","NA"},$Q247={"NS","NA"}),0,IF(Z320&lt;=$Q247,0,1))</f>
        <v>0</v>
      </c>
      <c r="CC320" cm="1">
        <f t="array" ref="CC320">IF(OR(AA320={"NS","NA"},$R247={"NS","NA"}),0,IF(AA320&lt;=$R247,0,1))</f>
        <v>0</v>
      </c>
      <c r="CD320" cm="1">
        <f t="array" ref="CD320">IF(OR(AB320={"NS","NA"},$P247={"NS","NA"}),0,IF(AB320&lt;=$P247,0,1))</f>
        <v>0</v>
      </c>
      <c r="CE320" cm="1">
        <f t="array" ref="CE320">IF(OR(AC320={"NS","NA"},$Q247={"NS","NA"}),0,IF(AC320&lt;=$Q247,0,1))</f>
        <v>0</v>
      </c>
      <c r="CF320" cm="1">
        <f t="array" ref="CF320">IF(OR(AD320={"NS","NA"},$R247={"NS","NA"}),0,IF(AD320&lt;=$R247,0,1))</f>
        <v>0</v>
      </c>
      <c r="CG320"/>
    </row>
    <row r="321" spans="1:85">
      <c r="A321" s="142"/>
      <c r="B321" s="57"/>
      <c r="C321" s="143" t="s">
        <v>2522</v>
      </c>
      <c r="D321" s="814" t="str">
        <f>IF(CNSIPEE_2024_M2_Secc1!D48="","",CNSIPEE_2024_M2_Secc1!D48)</f>
        <v/>
      </c>
      <c r="E321" s="814"/>
      <c r="F321" s="815"/>
      <c r="G321" s="100"/>
      <c r="H321" s="100"/>
      <c r="I321" s="100"/>
      <c r="J321" s="100"/>
      <c r="K321" s="100"/>
      <c r="L321" s="100"/>
      <c r="M321" s="100"/>
      <c r="N321" s="100"/>
      <c r="O321" s="100"/>
      <c r="P321" s="100"/>
      <c r="Q321" s="100"/>
      <c r="R321" s="100"/>
      <c r="S321" s="100"/>
      <c r="T321" s="100"/>
      <c r="U321" s="100"/>
      <c r="V321" s="100"/>
      <c r="W321" s="100"/>
      <c r="X321" s="100"/>
      <c r="Y321" s="100"/>
      <c r="Z321" s="100"/>
      <c r="AA321" s="100"/>
      <c r="AB321" s="100"/>
      <c r="AC321" s="100"/>
      <c r="AD321" s="100"/>
      <c r="AG321">
        <f t="shared" si="257"/>
        <v>0</v>
      </c>
      <c r="AH321">
        <f t="shared" si="233"/>
        <v>0</v>
      </c>
      <c r="AI321"/>
      <c r="AJ321"/>
      <c r="AK321">
        <f t="shared" si="234"/>
        <v>0</v>
      </c>
      <c r="AL321">
        <f t="shared" si="235"/>
        <v>0</v>
      </c>
      <c r="AM321">
        <f t="shared" si="258"/>
        <v>0</v>
      </c>
      <c r="AN321">
        <f t="shared" si="236"/>
        <v>0</v>
      </c>
      <c r="AO321">
        <f t="shared" si="237"/>
        <v>0</v>
      </c>
      <c r="AP321">
        <f t="shared" si="238"/>
        <v>0</v>
      </c>
      <c r="AQ321">
        <f t="shared" si="239"/>
        <v>0</v>
      </c>
      <c r="AR321">
        <f t="shared" si="240"/>
        <v>0</v>
      </c>
      <c r="AS321">
        <f t="shared" si="241"/>
        <v>0</v>
      </c>
      <c r="AT321">
        <f t="shared" si="242"/>
        <v>0</v>
      </c>
      <c r="AU321">
        <f t="shared" si="243"/>
        <v>0</v>
      </c>
      <c r="AV321">
        <f t="shared" si="244"/>
        <v>0</v>
      </c>
      <c r="AW321">
        <f t="shared" si="245"/>
        <v>0</v>
      </c>
      <c r="AX321">
        <f t="shared" si="246"/>
        <v>0</v>
      </c>
      <c r="AY321">
        <f t="shared" si="247"/>
        <v>0</v>
      </c>
      <c r="AZ321">
        <f t="shared" si="248"/>
        <v>0</v>
      </c>
      <c r="BA321">
        <f t="shared" si="249"/>
        <v>0</v>
      </c>
      <c r="BB321">
        <f t="shared" si="250"/>
        <v>0</v>
      </c>
      <c r="BC321">
        <f t="shared" si="251"/>
        <v>0</v>
      </c>
      <c r="BD321">
        <f t="shared" si="252"/>
        <v>0</v>
      </c>
      <c r="BE321">
        <f t="shared" si="253"/>
        <v>0</v>
      </c>
      <c r="BF321">
        <f t="shared" si="254"/>
        <v>0</v>
      </c>
      <c r="BG321">
        <f t="shared" si="255"/>
        <v>0</v>
      </c>
      <c r="BH321">
        <f t="shared" si="256"/>
        <v>0</v>
      </c>
      <c r="BI321" cm="1">
        <f t="array" ref="BI321">IF(OR(G321={"NS","NA"},P248={"NS","NA"}),0,IF(G321&gt;=P248,0,1))</f>
        <v>0</v>
      </c>
      <c r="BJ321" cm="1">
        <f t="array" ref="BJ321">IF(OR(H321={"NS","NA"},Q248={"NS","NA"}),0,IF(H321&gt;=Q248,0,1))</f>
        <v>0</v>
      </c>
      <c r="BK321" cm="1">
        <f t="array" ref="BK321">IF(OR(I321={"NS","NA"},R248={"NS","NA"}),0,IF(I321&gt;=R248,0,1))</f>
        <v>0</v>
      </c>
      <c r="BL321" cm="1">
        <f t="array" ref="BL321">IF(OR(J321={"NS","NA"},$P248={"NS","NA"}),0,IF(J321&lt;=$P248,0,1))</f>
        <v>0</v>
      </c>
      <c r="BM321" cm="1">
        <f t="array" ref="BM321">IF(OR(K321={"NS","NA"},$Q248={"NS","NA"}),0,IF(K321&lt;=$Q248,0,1))</f>
        <v>0</v>
      </c>
      <c r="BN321" cm="1">
        <f t="array" ref="BN321">IF(OR(L321={"NS","NA"},$R248={"NS","NA"}),0,IF(L321&lt;=$R248,0,1))</f>
        <v>0</v>
      </c>
      <c r="BO321" cm="1">
        <f t="array" ref="BO321">IF(OR(M321={"NS","NA"},$P248={"NS","NA"}),0,IF(M321&lt;=$P248,0,1))</f>
        <v>0</v>
      </c>
      <c r="BP321" cm="1">
        <f t="array" ref="BP321">IF(OR(N321={"NS","NA"},$Q248={"NS","NA"}),0,IF(N321&lt;=$Q248,0,1))</f>
        <v>0</v>
      </c>
      <c r="BQ321" cm="1">
        <f t="array" ref="BQ321">IF(OR(O321={"NS","NA"},$R248={"NS","NA"}),0,IF(O321&lt;=$R248,0,1))</f>
        <v>0</v>
      </c>
      <c r="BR321" cm="1">
        <f t="array" ref="BR321">IF(OR(P321={"NS","NA"},$P248={"NS","NA"}),0,IF(P321&lt;=$P248,0,1))</f>
        <v>0</v>
      </c>
      <c r="BS321" cm="1">
        <f t="array" ref="BS321">IF(OR(Q321={"NS","NA"},$Q248={"NS","NA"}),0,IF(Q321&lt;=$Q248,0,1))</f>
        <v>0</v>
      </c>
      <c r="BT321" cm="1">
        <f t="array" ref="BT321">IF(OR(R321={"NS","NA"},$R248={"NS","NA"}),0,IF(R321&lt;=$R248,0,1))</f>
        <v>0</v>
      </c>
      <c r="BU321" cm="1">
        <f t="array" ref="BU321">IF(OR(S321={"NS","NA"},$P248={"NS","NA"}),0,IF(S321&lt;=$P248,0,1))</f>
        <v>0</v>
      </c>
      <c r="BV321" cm="1">
        <f t="array" ref="BV321">IF(OR(T321={"NS","NA"},$Q248={"NS","NA"}),0,IF(T321&lt;=$Q248,0,1))</f>
        <v>0</v>
      </c>
      <c r="BW321" cm="1">
        <f t="array" ref="BW321">IF(OR(U321={"NS","NA"},$R248={"NS","NA"}),0,IF(U321&lt;=$R248,0,1))</f>
        <v>0</v>
      </c>
      <c r="BX321" cm="1">
        <f t="array" ref="BX321">IF(OR(V321={"NS","NA"},$P248={"NS","NA"}),0,IF(V321&lt;=$P248,0,1))</f>
        <v>0</v>
      </c>
      <c r="BY321" cm="1">
        <f t="array" ref="BY321">IF(OR(W321={"NS","NA"},$Q248={"NS","NA"}),0,IF(W321&lt;=$Q248,0,1))</f>
        <v>0</v>
      </c>
      <c r="BZ321" cm="1">
        <f t="array" ref="BZ321">IF(OR(X321={"NS","NA"},$R248={"NS","NA"}),0,IF(X321&lt;=$R248,0,1))</f>
        <v>0</v>
      </c>
      <c r="CA321" cm="1">
        <f t="array" ref="CA321">IF(OR(Y321={"NS","NA"},$P248={"NS","NA"}),0,IF(Y321&lt;=$P248,0,1))</f>
        <v>0</v>
      </c>
      <c r="CB321" cm="1">
        <f t="array" ref="CB321">IF(OR(Z321={"NS","NA"},$Q248={"NS","NA"}),0,IF(Z321&lt;=$Q248,0,1))</f>
        <v>0</v>
      </c>
      <c r="CC321" cm="1">
        <f t="array" ref="CC321">IF(OR(AA321={"NS","NA"},$R248={"NS","NA"}),0,IF(AA321&lt;=$R248,0,1))</f>
        <v>0</v>
      </c>
      <c r="CD321" cm="1">
        <f t="array" ref="CD321">IF(OR(AB321={"NS","NA"},$P248={"NS","NA"}),0,IF(AB321&lt;=$P248,0,1))</f>
        <v>0</v>
      </c>
      <c r="CE321" cm="1">
        <f t="array" ref="CE321">IF(OR(AC321={"NS","NA"},$Q248={"NS","NA"}),0,IF(AC321&lt;=$Q248,0,1))</f>
        <v>0</v>
      </c>
      <c r="CF321" cm="1">
        <f t="array" ref="CF321">IF(OR(AD321={"NS","NA"},$R248={"NS","NA"}),0,IF(AD321&lt;=$R248,0,1))</f>
        <v>0</v>
      </c>
      <c r="CG321"/>
    </row>
    <row r="322" spans="1:85">
      <c r="A322" s="142"/>
      <c r="B322" s="57"/>
      <c r="C322" s="143" t="s">
        <v>2523</v>
      </c>
      <c r="D322" s="814" t="str">
        <f>IF(CNSIPEE_2024_M2_Secc1!D49="","",CNSIPEE_2024_M2_Secc1!D49)</f>
        <v/>
      </c>
      <c r="E322" s="814"/>
      <c r="F322" s="815"/>
      <c r="G322" s="100"/>
      <c r="H322" s="100"/>
      <c r="I322" s="100"/>
      <c r="J322" s="100"/>
      <c r="K322" s="100"/>
      <c r="L322" s="100"/>
      <c r="M322" s="100"/>
      <c r="N322" s="100"/>
      <c r="O322" s="100"/>
      <c r="P322" s="100"/>
      <c r="Q322" s="100"/>
      <c r="R322" s="100"/>
      <c r="S322" s="100"/>
      <c r="T322" s="100"/>
      <c r="U322" s="100"/>
      <c r="V322" s="100"/>
      <c r="W322" s="100"/>
      <c r="X322" s="100"/>
      <c r="Y322" s="100"/>
      <c r="Z322" s="100"/>
      <c r="AA322" s="100"/>
      <c r="AB322" s="100"/>
      <c r="AC322" s="100"/>
      <c r="AD322" s="100"/>
      <c r="AG322">
        <f t="shared" si="257"/>
        <v>0</v>
      </c>
      <c r="AH322">
        <f t="shared" si="233"/>
        <v>0</v>
      </c>
      <c r="AI322"/>
      <c r="AJ322"/>
      <c r="AK322">
        <f t="shared" si="234"/>
        <v>0</v>
      </c>
      <c r="AL322">
        <f t="shared" si="235"/>
        <v>0</v>
      </c>
      <c r="AM322">
        <f t="shared" si="258"/>
        <v>0</v>
      </c>
      <c r="AN322">
        <f t="shared" si="236"/>
        <v>0</v>
      </c>
      <c r="AO322">
        <f t="shared" si="237"/>
        <v>0</v>
      </c>
      <c r="AP322">
        <f t="shared" si="238"/>
        <v>0</v>
      </c>
      <c r="AQ322">
        <f t="shared" si="239"/>
        <v>0</v>
      </c>
      <c r="AR322">
        <f t="shared" si="240"/>
        <v>0</v>
      </c>
      <c r="AS322">
        <f t="shared" si="241"/>
        <v>0</v>
      </c>
      <c r="AT322">
        <f t="shared" si="242"/>
        <v>0</v>
      </c>
      <c r="AU322">
        <f t="shared" si="243"/>
        <v>0</v>
      </c>
      <c r="AV322">
        <f t="shared" si="244"/>
        <v>0</v>
      </c>
      <c r="AW322">
        <f t="shared" si="245"/>
        <v>0</v>
      </c>
      <c r="AX322">
        <f t="shared" si="246"/>
        <v>0</v>
      </c>
      <c r="AY322">
        <f t="shared" si="247"/>
        <v>0</v>
      </c>
      <c r="AZ322">
        <f t="shared" si="248"/>
        <v>0</v>
      </c>
      <c r="BA322">
        <f t="shared" si="249"/>
        <v>0</v>
      </c>
      <c r="BB322">
        <f t="shared" si="250"/>
        <v>0</v>
      </c>
      <c r="BC322">
        <f t="shared" si="251"/>
        <v>0</v>
      </c>
      <c r="BD322">
        <f t="shared" si="252"/>
        <v>0</v>
      </c>
      <c r="BE322">
        <f t="shared" si="253"/>
        <v>0</v>
      </c>
      <c r="BF322">
        <f t="shared" si="254"/>
        <v>0</v>
      </c>
      <c r="BG322">
        <f t="shared" si="255"/>
        <v>0</v>
      </c>
      <c r="BH322">
        <f t="shared" si="256"/>
        <v>0</v>
      </c>
      <c r="BI322" cm="1">
        <f t="array" ref="BI322">IF(OR(G322={"NS","NA"},P249={"NS","NA"}),0,IF(G322&gt;=P249,0,1))</f>
        <v>0</v>
      </c>
      <c r="BJ322" cm="1">
        <f t="array" ref="BJ322">IF(OR(H322={"NS","NA"},Q249={"NS","NA"}),0,IF(H322&gt;=Q249,0,1))</f>
        <v>0</v>
      </c>
      <c r="BK322" cm="1">
        <f t="array" ref="BK322">IF(OR(I322={"NS","NA"},R249={"NS","NA"}),0,IF(I322&gt;=R249,0,1))</f>
        <v>0</v>
      </c>
      <c r="BL322" cm="1">
        <f t="array" ref="BL322">IF(OR(J322={"NS","NA"},$P249={"NS","NA"}),0,IF(J322&lt;=$P249,0,1))</f>
        <v>0</v>
      </c>
      <c r="BM322" cm="1">
        <f t="array" ref="BM322">IF(OR(K322={"NS","NA"},$Q249={"NS","NA"}),0,IF(K322&lt;=$Q249,0,1))</f>
        <v>0</v>
      </c>
      <c r="BN322" cm="1">
        <f t="array" ref="BN322">IF(OR(L322={"NS","NA"},$R249={"NS","NA"}),0,IF(L322&lt;=$R249,0,1))</f>
        <v>0</v>
      </c>
      <c r="BO322" cm="1">
        <f t="array" ref="BO322">IF(OR(M322={"NS","NA"},$P249={"NS","NA"}),0,IF(M322&lt;=$P249,0,1))</f>
        <v>0</v>
      </c>
      <c r="BP322" cm="1">
        <f t="array" ref="BP322">IF(OR(N322={"NS","NA"},$Q249={"NS","NA"}),0,IF(N322&lt;=$Q249,0,1))</f>
        <v>0</v>
      </c>
      <c r="BQ322" cm="1">
        <f t="array" ref="BQ322">IF(OR(O322={"NS","NA"},$R249={"NS","NA"}),0,IF(O322&lt;=$R249,0,1))</f>
        <v>0</v>
      </c>
      <c r="BR322" cm="1">
        <f t="array" ref="BR322">IF(OR(P322={"NS","NA"},$P249={"NS","NA"}),0,IF(P322&lt;=$P249,0,1))</f>
        <v>0</v>
      </c>
      <c r="BS322" cm="1">
        <f t="array" ref="BS322">IF(OR(Q322={"NS","NA"},$Q249={"NS","NA"}),0,IF(Q322&lt;=$Q249,0,1))</f>
        <v>0</v>
      </c>
      <c r="BT322" cm="1">
        <f t="array" ref="BT322">IF(OR(R322={"NS","NA"},$R249={"NS","NA"}),0,IF(R322&lt;=$R249,0,1))</f>
        <v>0</v>
      </c>
      <c r="BU322" cm="1">
        <f t="array" ref="BU322">IF(OR(S322={"NS","NA"},$P249={"NS","NA"}),0,IF(S322&lt;=$P249,0,1))</f>
        <v>0</v>
      </c>
      <c r="BV322" cm="1">
        <f t="array" ref="BV322">IF(OR(T322={"NS","NA"},$Q249={"NS","NA"}),0,IF(T322&lt;=$Q249,0,1))</f>
        <v>0</v>
      </c>
      <c r="BW322" cm="1">
        <f t="array" ref="BW322">IF(OR(U322={"NS","NA"},$R249={"NS","NA"}),0,IF(U322&lt;=$R249,0,1))</f>
        <v>0</v>
      </c>
      <c r="BX322" cm="1">
        <f t="array" ref="BX322">IF(OR(V322={"NS","NA"},$P249={"NS","NA"}),0,IF(V322&lt;=$P249,0,1))</f>
        <v>0</v>
      </c>
      <c r="BY322" cm="1">
        <f t="array" ref="BY322">IF(OR(W322={"NS","NA"},$Q249={"NS","NA"}),0,IF(W322&lt;=$Q249,0,1))</f>
        <v>0</v>
      </c>
      <c r="BZ322" cm="1">
        <f t="array" ref="BZ322">IF(OR(X322={"NS","NA"},$R249={"NS","NA"}),0,IF(X322&lt;=$R249,0,1))</f>
        <v>0</v>
      </c>
      <c r="CA322" cm="1">
        <f t="array" ref="CA322">IF(OR(Y322={"NS","NA"},$P249={"NS","NA"}),0,IF(Y322&lt;=$P249,0,1))</f>
        <v>0</v>
      </c>
      <c r="CB322" cm="1">
        <f t="array" ref="CB322">IF(OR(Z322={"NS","NA"},$Q249={"NS","NA"}),0,IF(Z322&lt;=$Q249,0,1))</f>
        <v>0</v>
      </c>
      <c r="CC322" cm="1">
        <f t="array" ref="CC322">IF(OR(AA322={"NS","NA"},$R249={"NS","NA"}),0,IF(AA322&lt;=$R249,0,1))</f>
        <v>0</v>
      </c>
      <c r="CD322" cm="1">
        <f t="array" ref="CD322">IF(OR(AB322={"NS","NA"},$P249={"NS","NA"}),0,IF(AB322&lt;=$P249,0,1))</f>
        <v>0</v>
      </c>
      <c r="CE322" cm="1">
        <f t="array" ref="CE322">IF(OR(AC322={"NS","NA"},$Q249={"NS","NA"}),0,IF(AC322&lt;=$Q249,0,1))</f>
        <v>0</v>
      </c>
      <c r="CF322" cm="1">
        <f t="array" ref="CF322">IF(OR(AD322={"NS","NA"},$R249={"NS","NA"}),0,IF(AD322&lt;=$R249,0,1))</f>
        <v>0</v>
      </c>
      <c r="CG322"/>
    </row>
    <row r="323" spans="1:85">
      <c r="A323" s="142"/>
      <c r="B323" s="57"/>
      <c r="C323" s="75"/>
      <c r="D323" s="75"/>
      <c r="E323" s="75"/>
      <c r="F323" s="99" t="s">
        <v>2649</v>
      </c>
      <c r="G323" s="124">
        <f t="shared" ref="G323:AD323" si="259">IF(AND(SUM(G315:G322)=0,COUNTIF(G315:G322,"NS")&gt;0),"NS",IF(AND(SUM(G315:G322)=0,COUNTIF(G315:G322,0)&gt;0),0,IF(AND(SUM(G315:G322)=0,COUNTIF(G315:G322,"NA")&gt;0),"NA",SUM(G315:G322))))</f>
        <v>0</v>
      </c>
      <c r="H323" s="124">
        <f t="shared" si="259"/>
        <v>0</v>
      </c>
      <c r="I323" s="124">
        <f t="shared" si="259"/>
        <v>0</v>
      </c>
      <c r="J323" s="124">
        <f t="shared" si="259"/>
        <v>0</v>
      </c>
      <c r="K323" s="124">
        <f t="shared" si="259"/>
        <v>0</v>
      </c>
      <c r="L323" s="124">
        <f t="shared" si="259"/>
        <v>0</v>
      </c>
      <c r="M323" s="124">
        <f t="shared" si="259"/>
        <v>0</v>
      </c>
      <c r="N323" s="124">
        <f t="shared" si="259"/>
        <v>0</v>
      </c>
      <c r="O323" s="124">
        <f t="shared" si="259"/>
        <v>0</v>
      </c>
      <c r="P323" s="124">
        <f t="shared" si="259"/>
        <v>0</v>
      </c>
      <c r="Q323" s="124">
        <f t="shared" si="259"/>
        <v>0</v>
      </c>
      <c r="R323" s="124">
        <f t="shared" si="259"/>
        <v>0</v>
      </c>
      <c r="S323" s="124">
        <f t="shared" si="259"/>
        <v>0</v>
      </c>
      <c r="T323" s="124">
        <f t="shared" si="259"/>
        <v>0</v>
      </c>
      <c r="U323" s="124">
        <f t="shared" si="259"/>
        <v>0</v>
      </c>
      <c r="V323" s="124">
        <f t="shared" si="259"/>
        <v>0</v>
      </c>
      <c r="W323" s="124">
        <f t="shared" si="259"/>
        <v>0</v>
      </c>
      <c r="X323" s="124">
        <f t="shared" si="259"/>
        <v>0</v>
      </c>
      <c r="Y323" s="124">
        <f t="shared" si="259"/>
        <v>0</v>
      </c>
      <c r="Z323" s="124">
        <f t="shared" si="259"/>
        <v>0</v>
      </c>
      <c r="AA323" s="124">
        <f t="shared" si="259"/>
        <v>0</v>
      </c>
      <c r="AB323" s="124">
        <f t="shared" si="259"/>
        <v>0</v>
      </c>
      <c r="AC323" s="124">
        <f t="shared" si="259"/>
        <v>0</v>
      </c>
      <c r="AD323" s="124">
        <f t="shared" si="259"/>
        <v>0</v>
      </c>
      <c r="AG323" s="507">
        <f>SUM(AG315:AG322)</f>
        <v>0</v>
      </c>
      <c r="AH323" s="507">
        <f>SUM(AH315:AH322)</f>
        <v>0</v>
      </c>
      <c r="AJ323"/>
      <c r="AK323">
        <f>SUM(AK315:AK322)</f>
        <v>0</v>
      </c>
      <c r="AM323">
        <f>SUM(AM315:AM322)</f>
        <v>0</v>
      </c>
      <c r="AN323">
        <f>SUM(AN315:AN322)</f>
        <v>0</v>
      </c>
      <c r="AP323">
        <f>SUM(AP315:AP322)</f>
        <v>0</v>
      </c>
      <c r="AQ323">
        <f>SUM(AQ315:AQ322)</f>
        <v>0</v>
      </c>
      <c r="AS323">
        <f>SUM(AS315:AS322)</f>
        <v>0</v>
      </c>
      <c r="AT323">
        <f>SUM(AT315:AT322)</f>
        <v>0</v>
      </c>
      <c r="AV323">
        <f>SUM(AV315:AV322)</f>
        <v>0</v>
      </c>
      <c r="AW323">
        <f>SUM(AW315:AW322)</f>
        <v>0</v>
      </c>
      <c r="AY323">
        <f>SUM(AY315:AY322)</f>
        <v>0</v>
      </c>
      <c r="AZ323">
        <f>SUM(AZ315:AZ322)</f>
        <v>0</v>
      </c>
      <c r="BB323">
        <f>SUM(BB315:BB322)</f>
        <v>0</v>
      </c>
      <c r="BC323">
        <f>SUM(BC315:BC322)</f>
        <v>0</v>
      </c>
      <c r="BE323">
        <f>SUM(BE315:BE322)</f>
        <v>0</v>
      </c>
      <c r="BF323">
        <f>SUM(BF315:BF322)</f>
        <v>0</v>
      </c>
      <c r="BH323">
        <f>SUM(BH315:BH322)</f>
        <v>0</v>
      </c>
      <c r="BK323" s="507">
        <f>SUM(BI315:BK322)</f>
        <v>0</v>
      </c>
      <c r="CF323" s="507">
        <f>SUM(BL315:CF322)</f>
        <v>0</v>
      </c>
      <c r="CG323"/>
    </row>
    <row r="324" spans="1:85">
      <c r="A324" s="169"/>
      <c r="B324" s="90"/>
      <c r="C324" s="90"/>
      <c r="D324" s="90"/>
      <c r="E324" s="90"/>
      <c r="F324" s="90"/>
      <c r="G324" s="90"/>
      <c r="H324" s="90"/>
      <c r="I324" s="90"/>
      <c r="J324" s="90"/>
      <c r="K324" s="90"/>
      <c r="L324" s="90"/>
      <c r="M324" s="90"/>
      <c r="N324" s="90"/>
      <c r="O324" s="90"/>
      <c r="P324" s="90"/>
      <c r="Q324" s="90"/>
      <c r="R324" s="90"/>
      <c r="S324" s="90"/>
      <c r="T324" s="90"/>
      <c r="U324" s="90"/>
      <c r="V324" s="90"/>
      <c r="W324" s="90"/>
      <c r="X324" s="90"/>
      <c r="Y324" s="90"/>
      <c r="Z324" s="90"/>
      <c r="AA324" s="90"/>
      <c r="AB324" s="90"/>
      <c r="AC324" s="90"/>
      <c r="AD324" s="90"/>
      <c r="AK324" t="s">
        <v>2650</v>
      </c>
      <c r="AL324" s="506">
        <f>SUM(AM323,AP323,AS323,AV323,AY323,BB323,BE323,BH323)</f>
        <v>0</v>
      </c>
      <c r="AM324" t="s">
        <v>2651</v>
      </c>
      <c r="AN324">
        <f>SUM(AK323,AN323,AQ323,AT323,AW323,AZ323,BC323,BF323)</f>
        <v>0</v>
      </c>
      <c r="CG324"/>
    </row>
    <row r="325" spans="1:85" ht="45" customHeight="1">
      <c r="A325" s="169"/>
      <c r="B325" s="90"/>
      <c r="C325" s="822" t="s">
        <v>2798</v>
      </c>
      <c r="D325" s="822"/>
      <c r="E325" s="822"/>
      <c r="F325" s="749"/>
      <c r="G325" s="749"/>
      <c r="H325" s="749"/>
      <c r="I325" s="749"/>
      <c r="J325" s="749"/>
      <c r="K325" s="749"/>
      <c r="L325" s="749"/>
      <c r="M325" s="749"/>
      <c r="N325" s="749"/>
      <c r="O325" s="749"/>
      <c r="P325" s="749"/>
      <c r="Q325" s="749"/>
      <c r="R325" s="749"/>
      <c r="S325" s="749"/>
      <c r="T325" s="749"/>
      <c r="U325" s="749"/>
      <c r="V325" s="749"/>
      <c r="W325" s="749"/>
      <c r="X325" s="749"/>
      <c r="Y325" s="749"/>
      <c r="Z325" s="749"/>
      <c r="AA325" s="749"/>
      <c r="AB325" s="749"/>
      <c r="AC325" s="749"/>
      <c r="AD325" s="749"/>
      <c r="AK325" t="s">
        <v>2652</v>
      </c>
      <c r="AL325">
        <f>IF(AN324&gt;0,IF(SUM(G323)&gt;=SUM(J323,M323,P323,S323,V323,Y323,AB323),0,1),IF(SUM(G323)&lt;&gt;SUM(J323,M323,P323,S323,V323,Y323,AB323),1,0))</f>
        <v>0</v>
      </c>
      <c r="AM325" t="s">
        <v>2653</v>
      </c>
      <c r="AN325">
        <f>IF(AN324&gt;0,IF(SUM(H323)&gt;=SUM(K323,N323,Q323,T323,W323,Z323,AC323),0,1),IF(SUM(H323)&lt;&gt;SUM(K323,N323,Q323,T323,W323,Z323,AC323),1,0))</f>
        <v>0</v>
      </c>
      <c r="AO325" t="s">
        <v>2654</v>
      </c>
      <c r="AP325">
        <f>IF(AN324&gt;0,IF(SUM(I323)&gt;=SUM(L323,O323,R323,U323,X323,AA323,AD323),0,1),IF(SUM(I323)&lt;&gt;SUM(L323,O323,R323,U323,X323,AA323,AD323),1,0))</f>
        <v>0</v>
      </c>
      <c r="CG325"/>
    </row>
    <row r="326" spans="1:85">
      <c r="A326" s="169"/>
      <c r="B326" s="1003" t="str">
        <f>IF(AND(AB323&gt;0,AB323&lt;&gt;"NA",AB323&lt;&gt;"NS",F325=""),"Debido a que registró un número mayor a cero en el apartado Otro tipo, debe anotar el n. de dicho(s) tipo(s) de actividad(es) artística(s)","")</f>
        <v/>
      </c>
      <c r="C326" s="1003"/>
      <c r="D326" s="1003"/>
      <c r="E326" s="1003"/>
      <c r="F326" s="1003"/>
      <c r="G326" s="1003"/>
      <c r="H326" s="1003"/>
      <c r="I326" s="1003"/>
      <c r="J326" s="1003"/>
      <c r="K326" s="1003"/>
      <c r="L326" s="1003"/>
      <c r="M326" s="1003"/>
      <c r="N326" s="1003"/>
      <c r="O326" s="1003"/>
      <c r="P326" s="1003"/>
      <c r="Q326" s="1003"/>
      <c r="R326" s="1003"/>
      <c r="S326" s="1003"/>
      <c r="T326" s="1003"/>
      <c r="U326" s="1003"/>
      <c r="V326" s="1003"/>
      <c r="W326" s="1003"/>
      <c r="X326" s="1003"/>
      <c r="Y326" s="1003"/>
      <c r="Z326" s="1003"/>
      <c r="AA326" s="1003"/>
      <c r="AB326" s="1003"/>
      <c r="AC326" s="1003"/>
      <c r="AD326" s="1003"/>
      <c r="AE326" s="1003"/>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row>
    <row r="327" spans="1:85" ht="24" customHeight="1">
      <c r="A327" s="50"/>
      <c r="B327" s="38"/>
      <c r="C327" s="754" t="s">
        <v>2611</v>
      </c>
      <c r="D327" s="754"/>
      <c r="E327" s="754"/>
      <c r="F327" s="754"/>
      <c r="G327" s="754"/>
      <c r="H327" s="754"/>
      <c r="I327" s="754"/>
      <c r="J327" s="754"/>
      <c r="K327" s="754"/>
      <c r="L327" s="754"/>
      <c r="M327" s="754"/>
      <c r="N327" s="754"/>
      <c r="O327" s="754"/>
      <c r="P327" s="754"/>
      <c r="Q327" s="754"/>
      <c r="R327" s="754"/>
      <c r="S327" s="754"/>
      <c r="T327" s="754"/>
      <c r="U327" s="754"/>
      <c r="V327" s="754"/>
      <c r="W327" s="754"/>
      <c r="X327" s="754"/>
      <c r="Y327" s="754"/>
      <c r="Z327" s="754"/>
      <c r="AA327" s="754"/>
      <c r="AB327" s="754"/>
      <c r="AC327" s="754"/>
      <c r="AD327" s="754"/>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row>
    <row r="328" spans="1:85" ht="60" customHeight="1">
      <c r="A328" s="50"/>
      <c r="B328" s="38"/>
      <c r="C328" s="851"/>
      <c r="D328" s="851"/>
      <c r="E328" s="851"/>
      <c r="F328" s="851"/>
      <c r="G328" s="851"/>
      <c r="H328" s="851"/>
      <c r="I328" s="851"/>
      <c r="J328" s="851"/>
      <c r="K328" s="851"/>
      <c r="L328" s="851"/>
      <c r="M328" s="851"/>
      <c r="N328" s="851"/>
      <c r="O328" s="851"/>
      <c r="P328" s="851"/>
      <c r="Q328" s="851"/>
      <c r="R328" s="851"/>
      <c r="S328" s="851"/>
      <c r="T328" s="851"/>
      <c r="U328" s="851"/>
      <c r="V328" s="851"/>
      <c r="W328" s="851"/>
      <c r="X328" s="851"/>
      <c r="Y328" s="851"/>
      <c r="Z328" s="851"/>
      <c r="AA328" s="851"/>
      <c r="AB328" s="851"/>
      <c r="AC328" s="851"/>
      <c r="AD328" s="851"/>
    </row>
    <row r="329" spans="1:85">
      <c r="A329" s="142"/>
      <c r="B329" s="794" t="str">
        <f>IF(AG323=0,"","Favor de ingresar toda la información requerida en la pregunta")</f>
        <v/>
      </c>
      <c r="C329" s="794"/>
      <c r="D329" s="794"/>
      <c r="E329" s="794"/>
      <c r="F329" s="794"/>
      <c r="G329" s="794"/>
      <c r="H329" s="794"/>
      <c r="I329" s="794"/>
      <c r="J329" s="794"/>
      <c r="K329" s="794"/>
      <c r="L329" s="794"/>
      <c r="M329" s="794"/>
      <c r="N329" s="794"/>
      <c r="O329" s="794"/>
      <c r="P329" s="794"/>
      <c r="Q329" s="794"/>
      <c r="R329" s="794"/>
      <c r="S329" s="794"/>
      <c r="T329" s="794"/>
      <c r="U329" s="794"/>
      <c r="V329" s="794"/>
      <c r="W329" s="794"/>
      <c r="X329" s="794"/>
      <c r="Y329" s="794"/>
      <c r="Z329" s="794"/>
      <c r="AA329" s="794"/>
      <c r="AB329" s="794"/>
      <c r="AC329" s="794"/>
      <c r="AD329" s="794"/>
      <c r="AE329" s="794"/>
    </row>
    <row r="330" spans="1:85">
      <c r="A330" s="142"/>
      <c r="B330" s="1087" t="str">
        <f>IF(COUNTIF(G315:AD322,"NS")&lt;&gt;0,"Alerta: debido a que cuenta con registros NS, debe proporcionar una justificación en el area de comentarios al final de la pregunta","")</f>
        <v/>
      </c>
      <c r="C330" s="1087"/>
      <c r="D330" s="1087"/>
      <c r="E330" s="1087"/>
      <c r="F330" s="1087"/>
      <c r="G330" s="1087"/>
      <c r="H330" s="1087"/>
      <c r="I330" s="1087"/>
      <c r="J330" s="1087"/>
      <c r="K330" s="1087"/>
      <c r="L330" s="1087"/>
      <c r="M330" s="1087"/>
      <c r="N330" s="1087"/>
      <c r="O330" s="1087"/>
      <c r="P330" s="1087"/>
      <c r="Q330" s="1087"/>
      <c r="R330" s="1087"/>
      <c r="S330" s="1087"/>
      <c r="T330" s="1087"/>
      <c r="U330" s="1087"/>
      <c r="V330" s="1087"/>
      <c r="W330" s="1087"/>
      <c r="X330" s="1087"/>
      <c r="Y330" s="1087"/>
      <c r="Z330" s="1087"/>
      <c r="AA330" s="1087"/>
      <c r="AB330" s="1087"/>
      <c r="AC330" s="1087"/>
      <c r="AD330" s="1087"/>
      <c r="AE330" s="1087"/>
    </row>
    <row r="331" spans="1:85">
      <c r="A331" s="142"/>
      <c r="B331" s="1003" t="str">
        <f>IF(AH323&gt;0,"Revise la información capturada, ya que tiene datos ingresados en celdas que están sombreadas","")</f>
        <v/>
      </c>
      <c r="C331" s="1003"/>
      <c r="D331" s="1003"/>
      <c r="E331" s="1003"/>
      <c r="F331" s="1003"/>
      <c r="G331" s="1003"/>
      <c r="H331" s="1003"/>
      <c r="I331" s="1003"/>
      <c r="J331" s="1003"/>
      <c r="K331" s="1003"/>
      <c r="L331" s="1003"/>
      <c r="M331" s="1003"/>
      <c r="N331" s="1003"/>
      <c r="O331" s="1003"/>
      <c r="P331" s="1003"/>
      <c r="Q331" s="1003"/>
      <c r="R331" s="1003"/>
      <c r="S331" s="1003"/>
      <c r="T331" s="1003"/>
      <c r="U331" s="1003"/>
      <c r="V331" s="1003"/>
      <c r="W331" s="1003"/>
      <c r="X331" s="1003"/>
      <c r="Y331" s="1003"/>
      <c r="Z331" s="1003"/>
      <c r="AA331" s="1003"/>
      <c r="AB331" s="1003"/>
      <c r="AC331" s="1003"/>
      <c r="AD331" s="1003"/>
      <c r="AE331" s="1003"/>
    </row>
    <row r="332" spans="1:85">
      <c r="A332" s="142"/>
      <c r="B332" s="1003" t="str">
        <f>IF(AL324&gt;0,"Favor de revisar la suma y consistencia de totales y/o subtotales por filas (numéricos y NS)","")</f>
        <v/>
      </c>
      <c r="C332" s="1003"/>
      <c r="D332" s="1003"/>
      <c r="E332" s="1003"/>
      <c r="F332" s="1003"/>
      <c r="G332" s="1003"/>
      <c r="H332" s="1003"/>
      <c r="I332" s="1003"/>
      <c r="J332" s="1003"/>
      <c r="K332" s="1003"/>
      <c r="L332" s="1003"/>
      <c r="M332" s="1003"/>
      <c r="N332" s="1003"/>
      <c r="O332" s="1003"/>
      <c r="P332" s="1003"/>
      <c r="Q332" s="1003"/>
      <c r="R332" s="1003"/>
      <c r="S332" s="1003"/>
      <c r="T332" s="1003"/>
      <c r="U332" s="1003"/>
      <c r="V332" s="1003"/>
      <c r="W332" s="1003"/>
      <c r="X332" s="1003"/>
      <c r="Y332" s="1003"/>
      <c r="Z332" s="1003"/>
      <c r="AA332" s="1003"/>
      <c r="AB332" s="1003"/>
      <c r="AC332" s="1003"/>
      <c r="AD332" s="1003"/>
      <c r="AE332" s="1003"/>
    </row>
    <row r="333" spans="1:85">
      <c r="A333" s="142"/>
      <c r="B333" s="794" t="str">
        <f>IF(BK323&gt;0,"Favor de revisar la instrucción 2, debido a que no se cumplen con los criterios mencionados","")</f>
        <v/>
      </c>
      <c r="C333" s="794"/>
      <c r="D333" s="794"/>
      <c r="E333" s="794"/>
      <c r="F333" s="794"/>
      <c r="G333" s="794"/>
      <c r="H333" s="794"/>
      <c r="I333" s="794"/>
      <c r="J333" s="794"/>
      <c r="K333" s="794"/>
      <c r="L333" s="794"/>
      <c r="M333" s="794"/>
      <c r="N333" s="794"/>
      <c r="O333" s="794"/>
      <c r="P333" s="794"/>
      <c r="Q333" s="794"/>
      <c r="R333" s="794"/>
      <c r="S333" s="794"/>
      <c r="T333" s="794"/>
      <c r="U333" s="794"/>
      <c r="V333" s="794"/>
      <c r="W333" s="794"/>
      <c r="X333" s="794"/>
      <c r="Y333" s="794"/>
      <c r="Z333" s="794"/>
      <c r="AA333" s="794"/>
      <c r="AB333" s="794"/>
      <c r="AC333" s="794"/>
      <c r="AD333" s="794"/>
      <c r="AE333" s="794"/>
    </row>
    <row r="334" spans="1:85">
      <c r="A334" s="142"/>
      <c r="B334" s="795" t="str">
        <f>IF(CF323&gt;0,"Alerta: debe de proporcionar una justificación de acuerdo a lo establecido en la instrucción 3","")</f>
        <v/>
      </c>
      <c r="C334" s="795"/>
      <c r="D334" s="795"/>
      <c r="E334" s="795"/>
      <c r="F334" s="795"/>
      <c r="G334" s="795"/>
      <c r="H334" s="795"/>
      <c r="I334" s="795"/>
      <c r="J334" s="795"/>
      <c r="K334" s="795"/>
      <c r="L334" s="795"/>
      <c r="M334" s="795"/>
      <c r="N334" s="795"/>
      <c r="O334" s="795"/>
      <c r="P334" s="795"/>
      <c r="Q334" s="795"/>
      <c r="R334" s="795"/>
      <c r="S334" s="795"/>
      <c r="T334" s="795"/>
      <c r="U334" s="795"/>
      <c r="V334" s="795"/>
      <c r="W334" s="795"/>
      <c r="X334" s="795"/>
      <c r="Y334" s="795"/>
      <c r="Z334" s="795"/>
      <c r="AA334" s="795"/>
      <c r="AB334" s="795"/>
      <c r="AC334" s="795"/>
      <c r="AD334" s="795"/>
      <c r="AE334" s="795"/>
    </row>
    <row r="335" spans="1:85" ht="36" customHeight="1">
      <c r="A335" s="49" t="s">
        <v>5900</v>
      </c>
      <c r="B335" s="829" t="s">
        <v>5901</v>
      </c>
      <c r="C335" s="829"/>
      <c r="D335" s="829"/>
      <c r="E335" s="829"/>
      <c r="F335" s="829"/>
      <c r="G335" s="829"/>
      <c r="H335" s="829"/>
      <c r="I335" s="829"/>
      <c r="J335" s="829"/>
      <c r="K335" s="829"/>
      <c r="L335" s="829"/>
      <c r="M335" s="829"/>
      <c r="N335" s="829"/>
      <c r="O335" s="829"/>
      <c r="P335" s="829"/>
      <c r="Q335" s="829"/>
      <c r="R335" s="829"/>
      <c r="S335" s="829"/>
      <c r="T335" s="829"/>
      <c r="U335" s="829"/>
      <c r="V335" s="829"/>
      <c r="W335" s="829"/>
      <c r="X335" s="829"/>
      <c r="Y335" s="829"/>
      <c r="Z335" s="829"/>
      <c r="AA335" s="829"/>
      <c r="AB335" s="829"/>
      <c r="AC335" s="829"/>
      <c r="AD335" s="829"/>
    </row>
    <row r="336" spans="1:85" ht="48" customHeight="1">
      <c r="A336" s="142"/>
      <c r="B336" s="142"/>
      <c r="C336" s="830" t="s">
        <v>5902</v>
      </c>
      <c r="D336" s="830"/>
      <c r="E336" s="830"/>
      <c r="F336" s="830"/>
      <c r="G336" s="830"/>
      <c r="H336" s="830"/>
      <c r="I336" s="830"/>
      <c r="J336" s="830"/>
      <c r="K336" s="830"/>
      <c r="L336" s="830"/>
      <c r="M336" s="830"/>
      <c r="N336" s="830"/>
      <c r="O336" s="830"/>
      <c r="P336" s="830"/>
      <c r="Q336" s="830"/>
      <c r="R336" s="830"/>
      <c r="S336" s="830"/>
      <c r="T336" s="830"/>
      <c r="U336" s="830"/>
      <c r="V336" s="830"/>
      <c r="W336" s="830"/>
      <c r="X336" s="830"/>
      <c r="Y336" s="830"/>
      <c r="Z336" s="830"/>
      <c r="AA336" s="830"/>
      <c r="AB336" s="830"/>
      <c r="AC336" s="830"/>
      <c r="AD336" s="830"/>
    </row>
    <row r="337" spans="1:37" ht="36" customHeight="1">
      <c r="A337" s="142"/>
      <c r="B337" s="57"/>
      <c r="C337" s="830" t="s">
        <v>5903</v>
      </c>
      <c r="D337" s="830"/>
      <c r="E337" s="830"/>
      <c r="F337" s="830"/>
      <c r="G337" s="830"/>
      <c r="H337" s="830"/>
      <c r="I337" s="830"/>
      <c r="J337" s="830"/>
      <c r="K337" s="830"/>
      <c r="L337" s="830"/>
      <c r="M337" s="830"/>
      <c r="N337" s="830"/>
      <c r="O337" s="830"/>
      <c r="P337" s="830"/>
      <c r="Q337" s="830"/>
      <c r="R337" s="830"/>
      <c r="S337" s="830"/>
      <c r="T337" s="830"/>
      <c r="U337" s="830"/>
      <c r="V337" s="830"/>
      <c r="W337" s="830"/>
      <c r="X337" s="830"/>
      <c r="Y337" s="830"/>
      <c r="Z337" s="830"/>
      <c r="AA337" s="830"/>
      <c r="AB337" s="830"/>
      <c r="AC337" s="830"/>
      <c r="AD337" s="830"/>
    </row>
    <row r="338" spans="1:37" ht="24" customHeight="1">
      <c r="A338" s="142"/>
      <c r="B338" s="57"/>
      <c r="C338" s="754" t="s">
        <v>5904</v>
      </c>
      <c r="D338" s="830"/>
      <c r="E338" s="830"/>
      <c r="F338" s="830"/>
      <c r="G338" s="830"/>
      <c r="H338" s="830"/>
      <c r="I338" s="830"/>
      <c r="J338" s="830"/>
      <c r="K338" s="830"/>
      <c r="L338" s="830"/>
      <c r="M338" s="830"/>
      <c r="N338" s="830"/>
      <c r="O338" s="830"/>
      <c r="P338" s="830"/>
      <c r="Q338" s="830"/>
      <c r="R338" s="830"/>
      <c r="S338" s="830"/>
      <c r="T338" s="830"/>
      <c r="U338" s="830"/>
      <c r="V338" s="830"/>
      <c r="W338" s="830"/>
      <c r="X338" s="830"/>
      <c r="Y338" s="830"/>
      <c r="Z338" s="830"/>
      <c r="AA338" s="830"/>
      <c r="AB338" s="830"/>
      <c r="AC338" s="830"/>
      <c r="AD338" s="830"/>
    </row>
    <row r="339" spans="1:37">
      <c r="A339" s="142"/>
      <c r="B339" s="57"/>
      <c r="C339" s="57"/>
      <c r="D339" s="57"/>
      <c r="E339" s="57"/>
      <c r="F339" s="57"/>
      <c r="G339" s="57"/>
      <c r="H339" s="57"/>
      <c r="I339" s="57"/>
      <c r="J339" s="57"/>
      <c r="K339" s="57"/>
      <c r="L339" s="57"/>
      <c r="M339" s="57"/>
      <c r="N339" s="57"/>
      <c r="O339" s="57"/>
      <c r="P339" s="57"/>
      <c r="Q339" s="57"/>
      <c r="R339" s="57"/>
      <c r="S339" s="57"/>
      <c r="T339" s="57"/>
      <c r="U339" s="57"/>
      <c r="V339" s="57"/>
      <c r="W339" s="57"/>
      <c r="X339" s="57"/>
      <c r="Y339" s="57"/>
      <c r="Z339" s="57"/>
      <c r="AA339" s="57"/>
      <c r="AB339" s="57"/>
      <c r="AC339" s="57"/>
      <c r="AD339" s="57"/>
    </row>
    <row r="340" spans="1:37" ht="120" customHeight="1">
      <c r="A340" s="142"/>
      <c r="B340" s="57"/>
      <c r="C340" s="732" t="s">
        <v>2581</v>
      </c>
      <c r="D340" s="732"/>
      <c r="E340" s="732"/>
      <c r="F340" s="732"/>
      <c r="G340" s="732"/>
      <c r="H340" s="732"/>
      <c r="I340" s="732"/>
      <c r="J340" s="732"/>
      <c r="K340" s="732"/>
      <c r="L340" s="732"/>
      <c r="M340" s="732"/>
      <c r="N340" s="732"/>
      <c r="O340" s="732"/>
      <c r="P340" s="732"/>
      <c r="Q340" s="732"/>
      <c r="R340" s="732"/>
      <c r="S340" s="732" t="s">
        <v>5905</v>
      </c>
      <c r="T340" s="732"/>
      <c r="U340" s="732"/>
      <c r="V340" s="732"/>
      <c r="W340" s="732"/>
      <c r="X340" s="732"/>
      <c r="Y340" s="732" t="s">
        <v>5906</v>
      </c>
      <c r="Z340" s="732"/>
      <c r="AA340" s="732"/>
      <c r="AB340" s="732"/>
      <c r="AC340" s="732"/>
      <c r="AD340" s="732"/>
      <c r="AG340" t="s">
        <v>2586</v>
      </c>
      <c r="AH340"/>
      <c r="AI340" t="s">
        <v>5907</v>
      </c>
      <c r="AJ340" t="s">
        <v>5908</v>
      </c>
      <c r="AK340"/>
    </row>
    <row r="341" spans="1:37">
      <c r="A341" s="142"/>
      <c r="B341" s="57"/>
      <c r="C341" s="97" t="s">
        <v>2516</v>
      </c>
      <c r="D341" s="796" t="str">
        <f>IF(CNSIPEE_2024_M2_Secc1!D42="","",CNSIPEE_2024_M2_Secc1!D42)</f>
        <v/>
      </c>
      <c r="E341" s="796"/>
      <c r="F341" s="796"/>
      <c r="G341" s="796"/>
      <c r="H341" s="796"/>
      <c r="I341" s="796"/>
      <c r="J341" s="796"/>
      <c r="K341" s="796"/>
      <c r="L341" s="796"/>
      <c r="M341" s="796"/>
      <c r="N341" s="796"/>
      <c r="O341" s="796"/>
      <c r="P341" s="796"/>
      <c r="Q341" s="796"/>
      <c r="R341" s="796"/>
      <c r="S341" s="816"/>
      <c r="T341" s="738"/>
      <c r="U341" s="738"/>
      <c r="V341" s="738"/>
      <c r="W341" s="738"/>
      <c r="X341" s="817"/>
      <c r="Y341" s="816"/>
      <c r="Z341" s="738"/>
      <c r="AA341" s="738"/>
      <c r="AB341" s="738"/>
      <c r="AC341" s="738"/>
      <c r="AD341" s="817"/>
      <c r="AG341">
        <f t="shared" ref="AG341:AG348" si="260">IF(AND(OR($M242=0,$M242="NS",$M242="NA"),OR($P242=0,$P242="NS",$P242="NA")),0,IF(OR($M242=0,$M242="NS",$M242="NA"),IF(OR(SUM(COUNTBLANK(D341),COUNTBLANK(Y341))=0,SUM(COUNTBLANK(D341),COUNTBLANK(Y341))=2),0,1),IF(OR($P242=0,$P242="NS",$P242="NA"),IF(OR(COUNTBLANK(D341:X341)=19,COUNTBLANK(D341:X341)=21),0,1),IF(COUNTBLANK(D341:AD341)=24,0,1))))</f>
        <v>0</v>
      </c>
      <c r="AH341"/>
      <c r="AI341">
        <f t="shared" ref="AI341:AI348" si="261">IF(OR($M242=0,$M242="NS",$M242="NA"),IF(COUNTBLANK(S341)=1,0,1),0)</f>
        <v>0</v>
      </c>
      <c r="AJ341">
        <f t="shared" ref="AJ341:AJ348" si="262">IF(OR($P242=0,$P242="NS",$P242="NA"),IF(COUNTBLANK(Y341)=1,0,1),0)</f>
        <v>0</v>
      </c>
      <c r="AK341"/>
    </row>
    <row r="342" spans="1:37">
      <c r="A342" s="142"/>
      <c r="B342" s="57"/>
      <c r="C342" s="143" t="s">
        <v>2517</v>
      </c>
      <c r="D342" s="796" t="str">
        <f>IF(CNSIPEE_2024_M2_Secc1!D43="","",CNSIPEE_2024_M2_Secc1!D43)</f>
        <v/>
      </c>
      <c r="E342" s="796"/>
      <c r="F342" s="796"/>
      <c r="G342" s="796"/>
      <c r="H342" s="796"/>
      <c r="I342" s="796"/>
      <c r="J342" s="796"/>
      <c r="K342" s="796"/>
      <c r="L342" s="796"/>
      <c r="M342" s="796"/>
      <c r="N342" s="796"/>
      <c r="O342" s="796"/>
      <c r="P342" s="796"/>
      <c r="Q342" s="796"/>
      <c r="R342" s="796"/>
      <c r="S342" s="816"/>
      <c r="T342" s="738"/>
      <c r="U342" s="738"/>
      <c r="V342" s="738"/>
      <c r="W342" s="738"/>
      <c r="X342" s="817"/>
      <c r="Y342" s="816"/>
      <c r="Z342" s="738"/>
      <c r="AA342" s="738"/>
      <c r="AB342" s="738"/>
      <c r="AC342" s="738"/>
      <c r="AD342" s="817"/>
      <c r="AG342">
        <f t="shared" si="260"/>
        <v>0</v>
      </c>
      <c r="AH342"/>
      <c r="AI342">
        <f t="shared" si="261"/>
        <v>0</v>
      </c>
      <c r="AJ342">
        <f t="shared" si="262"/>
        <v>0</v>
      </c>
      <c r="AK342"/>
    </row>
    <row r="343" spans="1:37">
      <c r="A343" s="142"/>
      <c r="B343" s="57"/>
      <c r="C343" s="143" t="s">
        <v>2518</v>
      </c>
      <c r="D343" s="796" t="str">
        <f>IF(CNSIPEE_2024_M2_Secc1!D44="","",CNSIPEE_2024_M2_Secc1!D44)</f>
        <v/>
      </c>
      <c r="E343" s="796"/>
      <c r="F343" s="796"/>
      <c r="G343" s="796"/>
      <c r="H343" s="796"/>
      <c r="I343" s="796"/>
      <c r="J343" s="796"/>
      <c r="K343" s="796"/>
      <c r="L343" s="796"/>
      <c r="M343" s="796"/>
      <c r="N343" s="796"/>
      <c r="O343" s="796"/>
      <c r="P343" s="796"/>
      <c r="Q343" s="796"/>
      <c r="R343" s="796"/>
      <c r="S343" s="816"/>
      <c r="T343" s="738"/>
      <c r="U343" s="738"/>
      <c r="V343" s="738"/>
      <c r="W343" s="738"/>
      <c r="X343" s="817"/>
      <c r="Y343" s="816"/>
      <c r="Z343" s="738"/>
      <c r="AA343" s="738"/>
      <c r="AB343" s="738"/>
      <c r="AC343" s="738"/>
      <c r="AD343" s="817"/>
      <c r="AG343">
        <f t="shared" si="260"/>
        <v>0</v>
      </c>
      <c r="AH343"/>
      <c r="AI343">
        <f t="shared" si="261"/>
        <v>0</v>
      </c>
      <c r="AJ343">
        <f t="shared" si="262"/>
        <v>0</v>
      </c>
      <c r="AK343"/>
    </row>
    <row r="344" spans="1:37">
      <c r="A344" s="142"/>
      <c r="B344" s="57"/>
      <c r="C344" s="143" t="s">
        <v>2519</v>
      </c>
      <c r="D344" s="796" t="str">
        <f>IF(CNSIPEE_2024_M2_Secc1!D45="","",CNSIPEE_2024_M2_Secc1!D45)</f>
        <v/>
      </c>
      <c r="E344" s="796"/>
      <c r="F344" s="796"/>
      <c r="G344" s="796"/>
      <c r="H344" s="796"/>
      <c r="I344" s="796"/>
      <c r="J344" s="796"/>
      <c r="K344" s="796"/>
      <c r="L344" s="796"/>
      <c r="M344" s="796"/>
      <c r="N344" s="796"/>
      <c r="O344" s="796"/>
      <c r="P344" s="796"/>
      <c r="Q344" s="796"/>
      <c r="R344" s="796"/>
      <c r="S344" s="816"/>
      <c r="T344" s="738"/>
      <c r="U344" s="738"/>
      <c r="V344" s="738"/>
      <c r="W344" s="738"/>
      <c r="X344" s="817"/>
      <c r="Y344" s="816"/>
      <c r="Z344" s="738"/>
      <c r="AA344" s="738"/>
      <c r="AB344" s="738"/>
      <c r="AC344" s="738"/>
      <c r="AD344" s="817"/>
      <c r="AG344">
        <f t="shared" si="260"/>
        <v>0</v>
      </c>
      <c r="AH344"/>
      <c r="AI344">
        <f t="shared" si="261"/>
        <v>0</v>
      </c>
      <c r="AJ344">
        <f t="shared" si="262"/>
        <v>0</v>
      </c>
      <c r="AK344"/>
    </row>
    <row r="345" spans="1:37">
      <c r="A345" s="142"/>
      <c r="B345" s="57"/>
      <c r="C345" s="143" t="s">
        <v>2520</v>
      </c>
      <c r="D345" s="796" t="str">
        <f>IF(CNSIPEE_2024_M2_Secc1!D46="","",CNSIPEE_2024_M2_Secc1!D46)</f>
        <v/>
      </c>
      <c r="E345" s="796"/>
      <c r="F345" s="796"/>
      <c r="G345" s="796"/>
      <c r="H345" s="796"/>
      <c r="I345" s="796"/>
      <c r="J345" s="796"/>
      <c r="K345" s="796"/>
      <c r="L345" s="796"/>
      <c r="M345" s="796"/>
      <c r="N345" s="796"/>
      <c r="O345" s="796"/>
      <c r="P345" s="796"/>
      <c r="Q345" s="796"/>
      <c r="R345" s="796"/>
      <c r="S345" s="816"/>
      <c r="T345" s="738"/>
      <c r="U345" s="738"/>
      <c r="V345" s="738"/>
      <c r="W345" s="738"/>
      <c r="X345" s="817"/>
      <c r="Y345" s="816"/>
      <c r="Z345" s="738"/>
      <c r="AA345" s="738"/>
      <c r="AB345" s="738"/>
      <c r="AC345" s="738"/>
      <c r="AD345" s="817"/>
      <c r="AG345">
        <f t="shared" si="260"/>
        <v>0</v>
      </c>
      <c r="AH345"/>
      <c r="AI345">
        <f t="shared" si="261"/>
        <v>0</v>
      </c>
      <c r="AJ345">
        <f t="shared" si="262"/>
        <v>0</v>
      </c>
      <c r="AK345"/>
    </row>
    <row r="346" spans="1:37">
      <c r="A346" s="142"/>
      <c r="B346" s="57"/>
      <c r="C346" s="143" t="s">
        <v>2521</v>
      </c>
      <c r="D346" s="796" t="str">
        <f>IF(CNSIPEE_2024_M2_Secc1!D47="","",CNSIPEE_2024_M2_Secc1!D47)</f>
        <v/>
      </c>
      <c r="E346" s="796"/>
      <c r="F346" s="796"/>
      <c r="G346" s="796"/>
      <c r="H346" s="796"/>
      <c r="I346" s="796"/>
      <c r="J346" s="796"/>
      <c r="K346" s="796"/>
      <c r="L346" s="796"/>
      <c r="M346" s="796"/>
      <c r="N346" s="796"/>
      <c r="O346" s="796"/>
      <c r="P346" s="796"/>
      <c r="Q346" s="796"/>
      <c r="R346" s="796"/>
      <c r="S346" s="816"/>
      <c r="T346" s="738"/>
      <c r="U346" s="738"/>
      <c r="V346" s="738"/>
      <c r="W346" s="738"/>
      <c r="X346" s="817"/>
      <c r="Y346" s="816"/>
      <c r="Z346" s="738"/>
      <c r="AA346" s="738"/>
      <c r="AB346" s="738"/>
      <c r="AC346" s="738"/>
      <c r="AD346" s="817"/>
      <c r="AG346">
        <f t="shared" si="260"/>
        <v>0</v>
      </c>
      <c r="AH346"/>
      <c r="AI346">
        <f t="shared" si="261"/>
        <v>0</v>
      </c>
      <c r="AJ346">
        <f t="shared" si="262"/>
        <v>0</v>
      </c>
      <c r="AK346"/>
    </row>
    <row r="347" spans="1:37">
      <c r="A347" s="142"/>
      <c r="B347" s="57"/>
      <c r="C347" s="143" t="s">
        <v>2522</v>
      </c>
      <c r="D347" s="796" t="str">
        <f>IF(CNSIPEE_2024_M2_Secc1!D48="","",CNSIPEE_2024_M2_Secc1!D48)</f>
        <v/>
      </c>
      <c r="E347" s="796"/>
      <c r="F347" s="796"/>
      <c r="G347" s="796"/>
      <c r="H347" s="796"/>
      <c r="I347" s="796"/>
      <c r="J347" s="796"/>
      <c r="K347" s="796"/>
      <c r="L347" s="796"/>
      <c r="M347" s="796"/>
      <c r="N347" s="796"/>
      <c r="O347" s="796"/>
      <c r="P347" s="796"/>
      <c r="Q347" s="796"/>
      <c r="R347" s="796"/>
      <c r="S347" s="816"/>
      <c r="T347" s="738"/>
      <c r="U347" s="738"/>
      <c r="V347" s="738"/>
      <c r="W347" s="738"/>
      <c r="X347" s="817"/>
      <c r="Y347" s="816"/>
      <c r="Z347" s="738"/>
      <c r="AA347" s="738"/>
      <c r="AB347" s="738"/>
      <c r="AC347" s="738"/>
      <c r="AD347" s="817"/>
      <c r="AG347">
        <f t="shared" si="260"/>
        <v>0</v>
      </c>
      <c r="AH347"/>
      <c r="AI347">
        <f t="shared" si="261"/>
        <v>0</v>
      </c>
      <c r="AJ347">
        <f t="shared" si="262"/>
        <v>0</v>
      </c>
      <c r="AK347"/>
    </row>
    <row r="348" spans="1:37">
      <c r="A348" s="142"/>
      <c r="B348" s="57"/>
      <c r="C348" s="143" t="s">
        <v>2523</v>
      </c>
      <c r="D348" s="796" t="str">
        <f>IF(CNSIPEE_2024_M2_Secc1!D49="","",CNSIPEE_2024_M2_Secc1!D49)</f>
        <v/>
      </c>
      <c r="E348" s="796"/>
      <c r="F348" s="796"/>
      <c r="G348" s="796"/>
      <c r="H348" s="796"/>
      <c r="I348" s="796"/>
      <c r="J348" s="796"/>
      <c r="K348" s="796"/>
      <c r="L348" s="796"/>
      <c r="M348" s="796"/>
      <c r="N348" s="796"/>
      <c r="O348" s="796"/>
      <c r="P348" s="796"/>
      <c r="Q348" s="796"/>
      <c r="R348" s="796"/>
      <c r="S348" s="816"/>
      <c r="T348" s="738"/>
      <c r="U348" s="738"/>
      <c r="V348" s="738"/>
      <c r="W348" s="738"/>
      <c r="X348" s="817"/>
      <c r="Y348" s="816"/>
      <c r="Z348" s="738"/>
      <c r="AA348" s="738"/>
      <c r="AB348" s="738"/>
      <c r="AC348" s="738"/>
      <c r="AD348" s="817"/>
      <c r="AG348">
        <f t="shared" si="260"/>
        <v>0</v>
      </c>
      <c r="AH348"/>
      <c r="AI348">
        <f t="shared" si="261"/>
        <v>0</v>
      </c>
      <c r="AJ348">
        <f t="shared" si="262"/>
        <v>0</v>
      </c>
      <c r="AK348"/>
    </row>
    <row r="349" spans="1:37">
      <c r="A349" s="142"/>
      <c r="B349" s="57"/>
      <c r="C349" s="57"/>
      <c r="D349" s="57"/>
      <c r="E349" s="57"/>
      <c r="F349" s="57"/>
      <c r="G349" s="57"/>
      <c r="H349" s="57"/>
      <c r="I349" s="57"/>
      <c r="J349" s="57"/>
      <c r="K349" s="57"/>
      <c r="L349" s="57"/>
      <c r="M349" s="57"/>
      <c r="N349" s="57"/>
      <c r="O349" s="57"/>
      <c r="P349" s="57"/>
      <c r="Q349" s="57"/>
      <c r="R349" s="57"/>
      <c r="S349" s="57"/>
      <c r="T349" s="57"/>
      <c r="U349" s="57"/>
      <c r="V349" s="57"/>
      <c r="W349" s="57"/>
      <c r="X349" s="57"/>
      <c r="Y349" s="57"/>
      <c r="Z349" s="57"/>
      <c r="AA349" s="57"/>
      <c r="AB349" s="57"/>
      <c r="AC349" s="57"/>
      <c r="AD349" s="57"/>
      <c r="AG349" s="507">
        <f>SUM(AG341:AG348)</f>
        <v>0</v>
      </c>
      <c r="AJ349" s="507">
        <f>SUM(AI341:AJ348)</f>
        <v>0</v>
      </c>
      <c r="AK349"/>
    </row>
    <row r="350" spans="1:37" ht="24" customHeight="1">
      <c r="A350" s="142"/>
      <c r="B350" s="57"/>
      <c r="C350" s="754" t="s">
        <v>2611</v>
      </c>
      <c r="D350" s="754"/>
      <c r="E350" s="754"/>
      <c r="F350" s="754"/>
      <c r="G350" s="754"/>
      <c r="H350" s="754"/>
      <c r="I350" s="754"/>
      <c r="J350" s="754"/>
      <c r="K350" s="754"/>
      <c r="L350" s="754"/>
      <c r="M350" s="754"/>
      <c r="N350" s="754"/>
      <c r="O350" s="754"/>
      <c r="P350" s="754"/>
      <c r="Q350" s="754"/>
      <c r="R350" s="754"/>
      <c r="S350" s="754"/>
      <c r="T350" s="754"/>
      <c r="U350" s="754"/>
      <c r="V350" s="754"/>
      <c r="W350" s="754"/>
      <c r="X350" s="754"/>
      <c r="Y350" s="754"/>
      <c r="Z350" s="754"/>
      <c r="AA350" s="754"/>
      <c r="AB350" s="754"/>
      <c r="AC350" s="754"/>
      <c r="AD350" s="754"/>
    </row>
    <row r="351" spans="1:37" ht="60" customHeight="1">
      <c r="A351" s="142"/>
      <c r="B351" s="57"/>
      <c r="C351" s="851"/>
      <c r="D351" s="851"/>
      <c r="E351" s="851"/>
      <c r="F351" s="851"/>
      <c r="G351" s="851"/>
      <c r="H351" s="851"/>
      <c r="I351" s="851"/>
      <c r="J351" s="851"/>
      <c r="K351" s="851"/>
      <c r="L351" s="851"/>
      <c r="M351" s="851"/>
      <c r="N351" s="851"/>
      <c r="O351" s="851"/>
      <c r="P351" s="851"/>
      <c r="Q351" s="851"/>
      <c r="R351" s="851"/>
      <c r="S351" s="851"/>
      <c r="T351" s="851"/>
      <c r="U351" s="851"/>
      <c r="V351" s="851"/>
      <c r="W351" s="851"/>
      <c r="X351" s="851"/>
      <c r="Y351" s="851"/>
      <c r="Z351" s="851"/>
      <c r="AA351" s="851"/>
      <c r="AB351" s="851"/>
      <c r="AC351" s="851"/>
      <c r="AD351" s="851"/>
    </row>
    <row r="352" spans="1:37">
      <c r="A352" s="142"/>
      <c r="B352" s="794" t="str">
        <f>IF(AG349=0,"","Favor de ingresar toda la información requerida en la pregunta")</f>
        <v/>
      </c>
      <c r="C352" s="794"/>
      <c r="D352" s="794"/>
      <c r="E352" s="794"/>
      <c r="F352" s="794"/>
      <c r="G352" s="794"/>
      <c r="H352" s="794"/>
      <c r="I352" s="794"/>
      <c r="J352" s="794"/>
      <c r="K352" s="794"/>
      <c r="L352" s="794"/>
      <c r="M352" s="794"/>
      <c r="N352" s="794"/>
      <c r="O352" s="794"/>
      <c r="P352" s="794"/>
      <c r="Q352" s="794"/>
      <c r="R352" s="794"/>
      <c r="S352" s="794"/>
      <c r="T352" s="794"/>
      <c r="U352" s="794"/>
      <c r="V352" s="794"/>
      <c r="W352" s="794"/>
      <c r="X352" s="794"/>
      <c r="Y352" s="794"/>
      <c r="Z352" s="794"/>
      <c r="AA352" s="794"/>
      <c r="AB352" s="794"/>
      <c r="AC352" s="794"/>
      <c r="AD352" s="794"/>
      <c r="AE352" s="794"/>
    </row>
    <row r="353" spans="1:31">
      <c r="A353" s="142"/>
      <c r="B353" s="1003" t="str">
        <f>IF(AJ349&gt;0,"Revise la información capturada, ya que tiene datos ingresados en celdas que están sombreadas","")</f>
        <v/>
      </c>
      <c r="C353" s="1003"/>
      <c r="D353" s="1003"/>
      <c r="E353" s="1003"/>
      <c r="F353" s="1003"/>
      <c r="G353" s="1003"/>
      <c r="H353" s="1003"/>
      <c r="I353" s="1003"/>
      <c r="J353" s="1003"/>
      <c r="K353" s="1003"/>
      <c r="L353" s="1003"/>
      <c r="M353" s="1003"/>
      <c r="N353" s="1003"/>
      <c r="O353" s="1003"/>
      <c r="P353" s="1003"/>
      <c r="Q353" s="1003"/>
      <c r="R353" s="1003"/>
      <c r="S353" s="1003"/>
      <c r="T353" s="1003"/>
      <c r="U353" s="1003"/>
      <c r="V353" s="1003"/>
      <c r="W353" s="1003"/>
      <c r="X353" s="1003"/>
      <c r="Y353" s="1003"/>
      <c r="Z353" s="1003"/>
      <c r="AA353" s="1003"/>
      <c r="AB353" s="1003"/>
      <c r="AC353" s="1003"/>
      <c r="AD353" s="1003"/>
      <c r="AE353" s="1003"/>
    </row>
    <row r="354" spans="1:31">
      <c r="A354" s="142"/>
      <c r="B354" s="57"/>
      <c r="C354" s="57"/>
      <c r="D354" s="57"/>
      <c r="E354" s="57"/>
      <c r="F354" s="57"/>
      <c r="G354" s="57"/>
      <c r="H354" s="57"/>
      <c r="I354" s="57"/>
      <c r="J354" s="57"/>
      <c r="K354" s="57"/>
      <c r="L354" s="57"/>
      <c r="M354" s="57"/>
      <c r="N354" s="57"/>
      <c r="O354" s="57"/>
      <c r="P354" s="57"/>
      <c r="Q354" s="57"/>
      <c r="R354" s="57"/>
      <c r="S354" s="57"/>
      <c r="T354" s="57"/>
      <c r="U354" s="57"/>
      <c r="V354" s="57"/>
      <c r="W354" s="57"/>
      <c r="X354" s="57"/>
      <c r="Y354" s="57"/>
      <c r="Z354" s="57"/>
      <c r="AA354" s="57"/>
      <c r="AB354" s="57"/>
      <c r="AC354" s="57"/>
      <c r="AD354" s="57"/>
      <c r="AE354"/>
    </row>
    <row r="355" spans="1:31">
      <c r="A355" s="142"/>
      <c r="B355" s="57"/>
      <c r="C355" s="57"/>
      <c r="D355" s="57"/>
      <c r="E355" s="57"/>
      <c r="F355" s="57"/>
      <c r="G355" s="57"/>
      <c r="H355" s="57"/>
      <c r="I355" s="57"/>
      <c r="J355" s="57"/>
      <c r="K355" s="57"/>
      <c r="L355" s="57"/>
      <c r="M355" s="57"/>
      <c r="N355" s="57"/>
      <c r="O355" s="57"/>
      <c r="P355" s="57"/>
      <c r="Q355" s="57"/>
      <c r="R355" s="57"/>
      <c r="S355" s="57"/>
      <c r="T355" s="57"/>
      <c r="U355" s="57"/>
      <c r="V355" s="57"/>
      <c r="W355" s="57"/>
      <c r="X355" s="57"/>
      <c r="Y355" s="57"/>
      <c r="Z355" s="57"/>
      <c r="AA355" s="57"/>
      <c r="AB355" s="57"/>
      <c r="AC355" s="57"/>
      <c r="AD355" s="57"/>
      <c r="AE355"/>
    </row>
    <row r="356" spans="1:31">
      <c r="A356" s="142"/>
      <c r="B356" s="57"/>
      <c r="C356" s="57"/>
      <c r="D356" s="57"/>
      <c r="E356" s="57"/>
      <c r="F356" s="57"/>
      <c r="G356" s="57"/>
      <c r="H356" s="57"/>
      <c r="I356" s="57"/>
      <c r="J356" s="57"/>
      <c r="K356" s="57"/>
      <c r="L356" s="57"/>
      <c r="M356" s="57"/>
      <c r="N356" s="57"/>
      <c r="O356" s="57"/>
      <c r="P356" s="57"/>
      <c r="Q356" s="57"/>
      <c r="R356" s="57"/>
      <c r="S356" s="57"/>
      <c r="T356" s="57"/>
      <c r="U356" s="57"/>
      <c r="V356" s="57"/>
      <c r="W356" s="57"/>
      <c r="X356" s="57"/>
      <c r="Y356" s="57"/>
      <c r="Z356" s="57"/>
      <c r="AA356" s="57"/>
      <c r="AB356" s="57"/>
      <c r="AC356" s="57"/>
      <c r="AD356" s="57"/>
      <c r="AE356"/>
    </row>
    <row r="357" spans="1:31" ht="15.75" thickBot="1">
      <c r="A357" s="142"/>
      <c r="B357" s="57"/>
      <c r="C357" s="57"/>
      <c r="D357" s="57"/>
      <c r="E357" s="57"/>
      <c r="F357" s="57"/>
      <c r="G357" s="57"/>
      <c r="H357" s="57"/>
      <c r="I357" s="57"/>
      <c r="J357" s="57"/>
      <c r="K357" s="57"/>
      <c r="L357" s="57"/>
      <c r="M357" s="57"/>
      <c r="N357" s="57"/>
      <c r="O357" s="57"/>
      <c r="P357" s="57"/>
      <c r="Q357" s="57"/>
      <c r="R357" s="57"/>
      <c r="S357" s="57"/>
      <c r="T357" s="57"/>
      <c r="U357" s="57"/>
      <c r="V357" s="57"/>
      <c r="W357" s="57"/>
      <c r="X357" s="57"/>
      <c r="Y357" s="57"/>
      <c r="Z357" s="57"/>
      <c r="AA357" s="57"/>
      <c r="AB357" s="57"/>
      <c r="AC357" s="57"/>
      <c r="AD357" s="57"/>
      <c r="AE357"/>
    </row>
    <row r="358" spans="1:31" customFormat="1" ht="15" customHeight="1" thickBot="1">
      <c r="A358" s="19" t="s">
        <v>2563</v>
      </c>
      <c r="B358" s="1081" t="s">
        <v>5909</v>
      </c>
      <c r="C358" s="1082"/>
      <c r="D358" s="1082"/>
      <c r="E358" s="1082"/>
      <c r="F358" s="1082"/>
      <c r="G358" s="1082"/>
      <c r="H358" s="1082"/>
      <c r="I358" s="1082"/>
      <c r="J358" s="1082"/>
      <c r="K358" s="1082"/>
      <c r="L358" s="1082"/>
      <c r="M358" s="1082"/>
      <c r="N358" s="1082"/>
      <c r="O358" s="1082"/>
      <c r="P358" s="1082"/>
      <c r="Q358" s="1082"/>
      <c r="R358" s="1082"/>
      <c r="S358" s="1082"/>
      <c r="T358" s="1082"/>
      <c r="U358" s="1082"/>
      <c r="V358" s="1082"/>
      <c r="W358" s="1082"/>
      <c r="X358" s="1082"/>
      <c r="Y358" s="1082"/>
      <c r="Z358" s="1082"/>
      <c r="AA358" s="1082"/>
      <c r="AB358" s="1082"/>
      <c r="AC358" s="1082"/>
      <c r="AD358" s="1083"/>
      <c r="AE358" s="3"/>
    </row>
    <row r="359" spans="1:31" customFormat="1" ht="15" customHeight="1" thickBot="1">
      <c r="A359" s="19" t="s">
        <v>2563</v>
      </c>
      <c r="B359" s="1137" t="s">
        <v>5910</v>
      </c>
      <c r="C359" s="1138"/>
      <c r="D359" s="1138"/>
      <c r="E359" s="1138"/>
      <c r="F359" s="1138"/>
      <c r="G359" s="1138"/>
      <c r="H359" s="1138"/>
      <c r="I359" s="1138"/>
      <c r="J359" s="1138"/>
      <c r="K359" s="1138"/>
      <c r="L359" s="1138"/>
      <c r="M359" s="1138"/>
      <c r="N359" s="1138"/>
      <c r="O359" s="1138"/>
      <c r="P359" s="1138"/>
      <c r="Q359" s="1138"/>
      <c r="R359" s="1138"/>
      <c r="S359" s="1138"/>
      <c r="T359" s="1138"/>
      <c r="U359" s="1138"/>
      <c r="V359" s="1138"/>
      <c r="W359" s="1138"/>
      <c r="X359" s="1138"/>
      <c r="Y359" s="1138"/>
      <c r="Z359" s="1138"/>
      <c r="AA359" s="1138"/>
      <c r="AB359" s="1138"/>
      <c r="AC359" s="1138"/>
      <c r="AD359" s="1139"/>
      <c r="AE359" s="3"/>
    </row>
    <row r="360" spans="1:31">
      <c r="A360" s="120"/>
      <c r="B360" s="852" t="s">
        <v>3675</v>
      </c>
      <c r="C360" s="853"/>
      <c r="D360" s="853"/>
      <c r="E360" s="853"/>
      <c r="F360" s="853"/>
      <c r="G360" s="853"/>
      <c r="H360" s="853"/>
      <c r="I360" s="853"/>
      <c r="J360" s="853"/>
      <c r="K360" s="853"/>
      <c r="L360" s="853"/>
      <c r="M360" s="853"/>
      <c r="N360" s="853"/>
      <c r="O360" s="853"/>
      <c r="P360" s="853"/>
      <c r="Q360" s="853"/>
      <c r="R360" s="853"/>
      <c r="S360" s="853"/>
      <c r="T360" s="853"/>
      <c r="U360" s="853"/>
      <c r="V360" s="853"/>
      <c r="W360" s="853"/>
      <c r="X360" s="853"/>
      <c r="Y360" s="853"/>
      <c r="Z360" s="853"/>
      <c r="AA360" s="853"/>
      <c r="AB360" s="853"/>
      <c r="AC360" s="853"/>
      <c r="AD360" s="854"/>
    </row>
    <row r="361" spans="1:31" ht="24" customHeight="1">
      <c r="A361" s="120"/>
      <c r="B361" s="151"/>
      <c r="C361" s="864" t="s">
        <v>5911</v>
      </c>
      <c r="D361" s="979"/>
      <c r="E361" s="979"/>
      <c r="F361" s="979"/>
      <c r="G361" s="979"/>
      <c r="H361" s="979"/>
      <c r="I361" s="979"/>
      <c r="J361" s="979"/>
      <c r="K361" s="979"/>
      <c r="L361" s="979"/>
      <c r="M361" s="979"/>
      <c r="N361" s="979"/>
      <c r="O361" s="979"/>
      <c r="P361" s="979"/>
      <c r="Q361" s="979"/>
      <c r="R361" s="979"/>
      <c r="S361" s="979"/>
      <c r="T361" s="979"/>
      <c r="U361" s="979"/>
      <c r="V361" s="979"/>
      <c r="W361" s="979"/>
      <c r="X361" s="979"/>
      <c r="Y361" s="979"/>
      <c r="Z361" s="979"/>
      <c r="AA361" s="979"/>
      <c r="AB361" s="979"/>
      <c r="AC361" s="979"/>
      <c r="AD361" s="1148"/>
    </row>
    <row r="362" spans="1:31">
      <c r="A362" s="142"/>
      <c r="B362" s="141"/>
      <c r="C362" s="141"/>
      <c r="D362" s="141"/>
      <c r="E362" s="141"/>
      <c r="F362" s="141"/>
      <c r="G362" s="141"/>
      <c r="H362" s="141"/>
      <c r="I362" s="141"/>
      <c r="J362" s="141"/>
      <c r="K362" s="141"/>
      <c r="L362" s="141"/>
      <c r="M362" s="141"/>
      <c r="N362" s="141"/>
      <c r="O362" s="141"/>
      <c r="P362" s="141"/>
      <c r="Q362" s="141"/>
      <c r="R362" s="141"/>
      <c r="S362" s="141"/>
      <c r="T362" s="141"/>
      <c r="U362" s="141"/>
      <c r="V362" s="141"/>
      <c r="W362" s="141"/>
      <c r="X362" s="141"/>
      <c r="Y362" s="141"/>
      <c r="Z362" s="141"/>
      <c r="AA362" s="141"/>
      <c r="AB362" s="141"/>
      <c r="AC362" s="141"/>
      <c r="AD362" s="141"/>
    </row>
    <row r="363" spans="1:31" ht="36" customHeight="1">
      <c r="A363" s="49" t="s">
        <v>5912</v>
      </c>
      <c r="B363" s="829" t="s">
        <v>5913</v>
      </c>
      <c r="C363" s="829"/>
      <c r="D363" s="829"/>
      <c r="E363" s="829"/>
      <c r="F363" s="829"/>
      <c r="G363" s="829"/>
      <c r="H363" s="829"/>
      <c r="I363" s="829"/>
      <c r="J363" s="829"/>
      <c r="K363" s="829"/>
      <c r="L363" s="829"/>
      <c r="M363" s="829"/>
      <c r="N363" s="829"/>
      <c r="O363" s="829"/>
      <c r="P363" s="829"/>
      <c r="Q363" s="829"/>
      <c r="R363" s="829"/>
      <c r="S363" s="829"/>
      <c r="T363" s="829"/>
      <c r="U363" s="829"/>
      <c r="V363" s="829"/>
      <c r="W363" s="829"/>
      <c r="X363" s="829"/>
      <c r="Y363" s="829"/>
      <c r="Z363" s="829"/>
      <c r="AA363" s="829"/>
      <c r="AB363" s="829"/>
      <c r="AC363" s="829"/>
      <c r="AD363" s="829"/>
    </row>
    <row r="364" spans="1:31" ht="36" customHeight="1">
      <c r="A364" s="142"/>
      <c r="B364" s="57"/>
      <c r="C364" s="830" t="s">
        <v>5914</v>
      </c>
      <c r="D364" s="830"/>
      <c r="E364" s="830"/>
      <c r="F364" s="830"/>
      <c r="G364" s="830"/>
      <c r="H364" s="830"/>
      <c r="I364" s="830"/>
      <c r="J364" s="830"/>
      <c r="K364" s="830"/>
      <c r="L364" s="830"/>
      <c r="M364" s="830"/>
      <c r="N364" s="830"/>
      <c r="O364" s="830"/>
      <c r="P364" s="830"/>
      <c r="Q364" s="830"/>
      <c r="R364" s="830"/>
      <c r="S364" s="830"/>
      <c r="T364" s="830"/>
      <c r="U364" s="830"/>
      <c r="V364" s="830"/>
      <c r="W364" s="830"/>
      <c r="X364" s="830"/>
      <c r="Y364" s="830"/>
      <c r="Z364" s="830"/>
      <c r="AA364" s="830"/>
      <c r="AB364" s="830"/>
      <c r="AC364" s="830"/>
      <c r="AD364" s="830"/>
    </row>
    <row r="365" spans="1:31" ht="48" customHeight="1">
      <c r="A365" s="210"/>
      <c r="B365" s="38"/>
      <c r="C365" s="830" t="s">
        <v>5915</v>
      </c>
      <c r="D365" s="830"/>
      <c r="E365" s="830"/>
      <c r="F365" s="830"/>
      <c r="G365" s="830"/>
      <c r="H365" s="830"/>
      <c r="I365" s="830"/>
      <c r="J365" s="830"/>
      <c r="K365" s="830"/>
      <c r="L365" s="830"/>
      <c r="M365" s="830"/>
      <c r="N365" s="830"/>
      <c r="O365" s="830"/>
      <c r="P365" s="830"/>
      <c r="Q365" s="830"/>
      <c r="R365" s="830"/>
      <c r="S365" s="830"/>
      <c r="T365" s="830"/>
      <c r="U365" s="830"/>
      <c r="V365" s="830"/>
      <c r="W365" s="830"/>
      <c r="X365" s="830"/>
      <c r="Y365" s="830"/>
      <c r="Z365" s="830"/>
      <c r="AA365" s="830"/>
      <c r="AB365" s="830"/>
      <c r="AC365" s="830"/>
      <c r="AD365" s="830"/>
    </row>
    <row r="366" spans="1:31" ht="60" customHeight="1">
      <c r="A366" s="210"/>
      <c r="B366" s="57"/>
      <c r="C366" s="754" t="s">
        <v>5916</v>
      </c>
      <c r="D366" s="754"/>
      <c r="E366" s="754"/>
      <c r="F366" s="754"/>
      <c r="G366" s="754"/>
      <c r="H366" s="754"/>
      <c r="I366" s="754"/>
      <c r="J366" s="754"/>
      <c r="K366" s="754"/>
      <c r="L366" s="754"/>
      <c r="M366" s="754"/>
      <c r="N366" s="754"/>
      <c r="O366" s="754"/>
      <c r="P366" s="754"/>
      <c r="Q366" s="754"/>
      <c r="R366" s="754"/>
      <c r="S366" s="754"/>
      <c r="T366" s="754"/>
      <c r="U366" s="754"/>
      <c r="V366" s="754"/>
      <c r="W366" s="754"/>
      <c r="X366" s="754"/>
      <c r="Y366" s="754"/>
      <c r="Z366" s="754"/>
      <c r="AA366" s="754"/>
      <c r="AB366" s="754"/>
      <c r="AC366" s="754"/>
      <c r="AD366" s="754"/>
    </row>
    <row r="367" spans="1:31" ht="36" customHeight="1">
      <c r="A367" s="142"/>
      <c r="B367" s="57"/>
      <c r="C367" s="830" t="s">
        <v>5917</v>
      </c>
      <c r="D367" s="830"/>
      <c r="E367" s="830"/>
      <c r="F367" s="830"/>
      <c r="G367" s="830"/>
      <c r="H367" s="830"/>
      <c r="I367" s="830"/>
      <c r="J367" s="830"/>
      <c r="K367" s="830"/>
      <c r="L367" s="830"/>
      <c r="M367" s="830"/>
      <c r="N367" s="830"/>
      <c r="O367" s="830"/>
      <c r="P367" s="830"/>
      <c r="Q367" s="830"/>
      <c r="R367" s="830"/>
      <c r="S367" s="830"/>
      <c r="T367" s="830"/>
      <c r="U367" s="830"/>
      <c r="V367" s="830"/>
      <c r="W367" s="830"/>
      <c r="X367" s="830"/>
      <c r="Y367" s="830"/>
      <c r="Z367" s="830"/>
      <c r="AA367" s="830"/>
      <c r="AB367" s="830"/>
      <c r="AC367" s="830"/>
      <c r="AD367" s="830"/>
    </row>
    <row r="368" spans="1:31" ht="36" customHeight="1">
      <c r="A368" s="142"/>
      <c r="B368" s="57"/>
      <c r="C368" s="754" t="s">
        <v>5918</v>
      </c>
      <c r="D368" s="754"/>
      <c r="E368" s="754"/>
      <c r="F368" s="754"/>
      <c r="G368" s="754"/>
      <c r="H368" s="754"/>
      <c r="I368" s="754"/>
      <c r="J368" s="754"/>
      <c r="K368" s="754"/>
      <c r="L368" s="754"/>
      <c r="M368" s="754"/>
      <c r="N368" s="754"/>
      <c r="O368" s="754"/>
      <c r="P368" s="754"/>
      <c r="Q368" s="754"/>
      <c r="R368" s="754"/>
      <c r="S368" s="754"/>
      <c r="T368" s="754"/>
      <c r="U368" s="754"/>
      <c r="V368" s="754"/>
      <c r="W368" s="754"/>
      <c r="X368" s="754"/>
      <c r="Y368" s="754"/>
      <c r="Z368" s="754"/>
      <c r="AA368" s="754"/>
      <c r="AB368" s="754"/>
      <c r="AC368" s="754"/>
      <c r="AD368" s="754"/>
    </row>
    <row r="369" spans="1:82" ht="24" customHeight="1">
      <c r="A369" s="142"/>
      <c r="B369" s="57"/>
      <c r="C369" s="754" t="s">
        <v>5919</v>
      </c>
      <c r="D369" s="754"/>
      <c r="E369" s="754"/>
      <c r="F369" s="754"/>
      <c r="G369" s="754"/>
      <c r="H369" s="754"/>
      <c r="I369" s="754"/>
      <c r="J369" s="754"/>
      <c r="K369" s="754"/>
      <c r="L369" s="754"/>
      <c r="M369" s="754"/>
      <c r="N369" s="754"/>
      <c r="O369" s="754"/>
      <c r="P369" s="754"/>
      <c r="Q369" s="754"/>
      <c r="R369" s="754"/>
      <c r="S369" s="754"/>
      <c r="T369" s="754"/>
      <c r="U369" s="754"/>
      <c r="V369" s="754"/>
      <c r="W369" s="754"/>
      <c r="X369" s="754"/>
      <c r="Y369" s="754"/>
      <c r="Z369" s="754"/>
      <c r="AA369" s="754"/>
      <c r="AB369" s="754"/>
      <c r="AC369" s="754"/>
      <c r="AD369" s="754"/>
    </row>
    <row r="370" spans="1:82">
      <c r="A370" s="142"/>
      <c r="B370" s="57"/>
      <c r="C370" s="86"/>
      <c r="D370" s="86"/>
      <c r="E370" s="86"/>
      <c r="F370" s="86"/>
      <c r="G370" s="86"/>
      <c r="H370" s="86"/>
      <c r="I370" s="86"/>
      <c r="J370" s="86"/>
      <c r="K370" s="86"/>
      <c r="L370" s="86"/>
      <c r="M370" s="86"/>
      <c r="N370" s="86"/>
      <c r="O370" s="86"/>
      <c r="P370" s="86"/>
      <c r="Q370" s="86"/>
      <c r="R370" s="86"/>
      <c r="S370" s="86"/>
      <c r="T370" s="86"/>
      <c r="U370" s="86"/>
      <c r="V370" s="86"/>
      <c r="W370" s="86"/>
      <c r="X370" s="86"/>
      <c r="Y370" s="86"/>
      <c r="Z370" s="86"/>
      <c r="AA370" s="86"/>
      <c r="AB370" s="86"/>
      <c r="AC370" s="86"/>
      <c r="AD370" s="86"/>
    </row>
    <row r="371" spans="1:82">
      <c r="A371" s="169"/>
      <c r="B371" s="90"/>
      <c r="C371" s="90"/>
      <c r="D371" s="90"/>
      <c r="E371" s="90"/>
      <c r="F371" s="90"/>
      <c r="G371" s="90"/>
      <c r="H371" s="90"/>
      <c r="I371" s="90"/>
      <c r="J371" s="90"/>
      <c r="K371" s="90"/>
      <c r="L371" s="90"/>
      <c r="M371" s="90"/>
      <c r="N371" s="90"/>
      <c r="O371" s="90"/>
      <c r="P371" s="90"/>
      <c r="Q371" s="90"/>
      <c r="R371" s="90"/>
      <c r="S371" s="90"/>
      <c r="T371" s="90"/>
      <c r="U371" s="90"/>
      <c r="V371" s="90"/>
      <c r="W371" s="90"/>
      <c r="X371" s="90"/>
      <c r="Y371" s="90"/>
      <c r="Z371" s="90"/>
      <c r="AA371" s="875" t="s">
        <v>2664</v>
      </c>
      <c r="AB371" s="875"/>
      <c r="AC371" s="875"/>
      <c r="AD371" s="875"/>
    </row>
    <row r="372" spans="1:82" ht="24" customHeight="1">
      <c r="A372" s="50"/>
      <c r="B372" s="38"/>
      <c r="C372" s="732" t="s">
        <v>2581</v>
      </c>
      <c r="D372" s="732"/>
      <c r="E372" s="732"/>
      <c r="F372" s="732"/>
      <c r="G372" s="732"/>
      <c r="H372" s="732"/>
      <c r="I372" s="732"/>
      <c r="J372" s="732"/>
      <c r="K372" s="732"/>
      <c r="L372" s="732" t="s">
        <v>5920</v>
      </c>
      <c r="M372" s="732"/>
      <c r="N372" s="732"/>
      <c r="O372" s="732"/>
      <c r="P372" s="732" t="s">
        <v>5921</v>
      </c>
      <c r="Q372" s="732"/>
      <c r="R372" s="732"/>
      <c r="S372" s="732"/>
      <c r="T372" s="732"/>
      <c r="U372" s="732"/>
      <c r="V372" s="732"/>
      <c r="W372" s="732"/>
      <c r="X372" s="732"/>
      <c r="Y372" s="732"/>
      <c r="Z372" s="732"/>
      <c r="AA372" s="732"/>
      <c r="AB372" s="732"/>
      <c r="AC372" s="732"/>
      <c r="AD372" s="732"/>
    </row>
    <row r="373" spans="1:82" ht="15" customHeight="1">
      <c r="A373" s="50"/>
      <c r="B373" s="38"/>
      <c r="C373" s="732"/>
      <c r="D373" s="732"/>
      <c r="E373" s="732"/>
      <c r="F373" s="732"/>
      <c r="G373" s="732"/>
      <c r="H373" s="732"/>
      <c r="I373" s="732"/>
      <c r="J373" s="732"/>
      <c r="K373" s="732"/>
      <c r="L373" s="732"/>
      <c r="M373" s="732"/>
      <c r="N373" s="732"/>
      <c r="O373" s="732"/>
      <c r="P373" s="874" t="s">
        <v>2628</v>
      </c>
      <c r="Q373" s="857" t="s">
        <v>2629</v>
      </c>
      <c r="R373" s="857" t="s">
        <v>2630</v>
      </c>
      <c r="S373" s="736" t="s">
        <v>5922</v>
      </c>
      <c r="T373" s="736"/>
      <c r="U373" s="736"/>
      <c r="V373" s="736"/>
      <c r="W373" s="736"/>
      <c r="X373" s="736"/>
      <c r="Y373" s="736"/>
      <c r="Z373" s="736"/>
      <c r="AA373" s="736"/>
      <c r="AB373" s="736"/>
      <c r="AC373" s="736"/>
      <c r="AD373" s="736"/>
    </row>
    <row r="374" spans="1:82" ht="120" customHeight="1">
      <c r="A374" s="50"/>
      <c r="B374" s="38"/>
      <c r="C374" s="732"/>
      <c r="D374" s="732"/>
      <c r="E374" s="732"/>
      <c r="F374" s="732"/>
      <c r="G374" s="732"/>
      <c r="H374" s="732"/>
      <c r="I374" s="732"/>
      <c r="J374" s="732"/>
      <c r="K374" s="732"/>
      <c r="L374" s="732"/>
      <c r="M374" s="732"/>
      <c r="N374" s="732"/>
      <c r="O374" s="732"/>
      <c r="P374" s="874"/>
      <c r="Q374" s="857"/>
      <c r="R374" s="857"/>
      <c r="S374" s="857" t="s">
        <v>5923</v>
      </c>
      <c r="T374" s="857"/>
      <c r="U374" s="857"/>
      <c r="V374" s="857" t="s">
        <v>5924</v>
      </c>
      <c r="W374" s="857"/>
      <c r="X374" s="857"/>
      <c r="Y374" s="857" t="s">
        <v>5925</v>
      </c>
      <c r="Z374" s="857"/>
      <c r="AA374" s="857"/>
      <c r="AB374" s="857" t="s">
        <v>5926</v>
      </c>
      <c r="AC374" s="857"/>
      <c r="AD374" s="857"/>
    </row>
    <row r="375" spans="1:82" ht="48" customHeight="1">
      <c r="A375" s="50"/>
      <c r="B375" s="38"/>
      <c r="C375" s="732"/>
      <c r="D375" s="732"/>
      <c r="E375" s="732"/>
      <c r="F375" s="732"/>
      <c r="G375" s="732"/>
      <c r="H375" s="732"/>
      <c r="I375" s="732"/>
      <c r="J375" s="732"/>
      <c r="K375" s="732"/>
      <c r="L375" s="732"/>
      <c r="M375" s="732"/>
      <c r="N375" s="732"/>
      <c r="O375" s="732"/>
      <c r="P375" s="874"/>
      <c r="Q375" s="857"/>
      <c r="R375" s="857"/>
      <c r="S375" s="127" t="s">
        <v>2635</v>
      </c>
      <c r="T375" s="128" t="s">
        <v>2629</v>
      </c>
      <c r="U375" s="128" t="s">
        <v>2630</v>
      </c>
      <c r="V375" s="127" t="s">
        <v>2635</v>
      </c>
      <c r="W375" s="128" t="s">
        <v>2629</v>
      </c>
      <c r="X375" s="128" t="s">
        <v>2630</v>
      </c>
      <c r="Y375" s="127" t="s">
        <v>2635</v>
      </c>
      <c r="Z375" s="128" t="s">
        <v>2629</v>
      </c>
      <c r="AA375" s="128" t="s">
        <v>2630</v>
      </c>
      <c r="AB375" s="857" t="s">
        <v>2630</v>
      </c>
      <c r="AC375" s="857"/>
      <c r="AD375" s="857"/>
      <c r="AF375" t="s">
        <v>4713</v>
      </c>
      <c r="AG375" t="s">
        <v>2586</v>
      </c>
      <c r="AH375" t="s">
        <v>4581</v>
      </c>
      <c r="AI375"/>
      <c r="AJ375"/>
      <c r="AK375" t="s">
        <v>2590</v>
      </c>
      <c r="AL375" t="s">
        <v>3163</v>
      </c>
      <c r="AM375" t="s">
        <v>4564</v>
      </c>
      <c r="AN375" t="s">
        <v>2590</v>
      </c>
      <c r="AO375" t="s">
        <v>3163</v>
      </c>
      <c r="AP375" t="s">
        <v>4564</v>
      </c>
      <c r="AQ375" t="s">
        <v>2590</v>
      </c>
      <c r="AR375" t="s">
        <v>3163</v>
      </c>
      <c r="AS375" t="s">
        <v>4564</v>
      </c>
      <c r="AT375" t="s">
        <v>2590</v>
      </c>
      <c r="AU375" t="s">
        <v>3163</v>
      </c>
      <c r="AV375" t="s">
        <v>4564</v>
      </c>
      <c r="AW375"/>
      <c r="AX375"/>
      <c r="AY375"/>
      <c r="AZ375" t="s">
        <v>5253</v>
      </c>
      <c r="BA375"/>
      <c r="BB375"/>
      <c r="BC375" t="s">
        <v>5840</v>
      </c>
      <c r="BD375"/>
      <c r="BE375"/>
      <c r="BF375" t="s">
        <v>5841</v>
      </c>
      <c r="BG375"/>
      <c r="BH375"/>
      <c r="BI375"/>
      <c r="BJ375"/>
      <c r="BK375"/>
      <c r="BL375"/>
      <c r="BM375"/>
      <c r="BN375"/>
      <c r="BO375"/>
      <c r="BP375"/>
      <c r="BQ375"/>
      <c r="CA375"/>
      <c r="CB375"/>
      <c r="CC375"/>
      <c r="CD375"/>
    </row>
    <row r="376" spans="1:82">
      <c r="A376" s="142"/>
      <c r="B376" s="57"/>
      <c r="C376" s="43" t="s">
        <v>2516</v>
      </c>
      <c r="D376" s="813" t="str">
        <f>IF(CNSIPEE_2024_M2_Secc1!D42="","",CNSIPEE_2024_M2_Secc1!D42)</f>
        <v/>
      </c>
      <c r="E376" s="814"/>
      <c r="F376" s="814"/>
      <c r="G376" s="814"/>
      <c r="H376" s="814"/>
      <c r="I376" s="814"/>
      <c r="J376" s="814"/>
      <c r="K376" s="815"/>
      <c r="L376" s="816"/>
      <c r="M376" s="738"/>
      <c r="N376" s="738"/>
      <c r="O376" s="817"/>
      <c r="P376" s="100"/>
      <c r="Q376" s="100"/>
      <c r="R376" s="100"/>
      <c r="S376" s="100"/>
      <c r="T376" s="100"/>
      <c r="U376" s="100"/>
      <c r="V376" s="100"/>
      <c r="W376" s="100"/>
      <c r="X376" s="100"/>
      <c r="Y376" s="100"/>
      <c r="Z376" s="100"/>
      <c r="AA376" s="100"/>
      <c r="AB376" s="816"/>
      <c r="AC376" s="738"/>
      <c r="AD376" s="817"/>
      <c r="AF376">
        <f>IF(AND(L376=1,P376=0),1,0)</f>
        <v>0</v>
      </c>
      <c r="AG376">
        <f>IF(SUM(COUNTBLANK(D376:AD376),COUNTBLANK(G391:AD391))=51,0,IF(COUNTBLANK(D376)=1,1,IF(L376&gt;1,0,IF(AND(COUNTA(P376:AD376,G391:AD391)=37,L376=1),0,1))))</f>
        <v>0</v>
      </c>
      <c r="AH376">
        <f>IF(L376&gt;1,IF(COUNTA(P376:AD376,G391:AD391)=0,0,1),0)</f>
        <v>0</v>
      </c>
      <c r="AI376"/>
      <c r="AJ376"/>
      <c r="AK376">
        <f>COUNTIF(Q376:R376,"NS")</f>
        <v>0</v>
      </c>
      <c r="AL376">
        <f>SUM(Q376:R376)</f>
        <v>0</v>
      </c>
      <c r="AM376">
        <f>IF(COUNTIF(P376:R376,"NA")=3,0,IF(COUNTA(P376:R376)=0,0,IF(OR(AND(P376=0,AK376&gt;0),AND(P376="ns",AL376&gt;0),AND(P376="ns",AK376=0,AL376=0)),1,IF(OR(AND(P376&gt;0,AK376=2),AND(P376="ns",AK376=2),AND(P376="ns",AL376=0,AK376&gt;0),P376=AL376),0,1))))</f>
        <v>0</v>
      </c>
      <c r="AN376">
        <f t="shared" ref="AN376" si="263">COUNTIF(T376:U376,"NS")</f>
        <v>0</v>
      </c>
      <c r="AO376">
        <f t="shared" ref="AO376" si="264">SUM(T376:U376)</f>
        <v>0</v>
      </c>
      <c r="AP376">
        <f t="shared" ref="AP376" si="265">IF(COUNTIF(S376:U376,"NA")=3,0,IF(COUNTA(S376:U376)=0,0,IF(OR(AND(S376=0,AN376&gt;0),AND(S376="ns",AO376&gt;0),AND(S376="ns",AN376=0,AO376=0)),1,IF(OR(AND(S376&gt;0,AN376=2),AND(S376="ns",AN376=2),AND(S376="ns",AO376=0,AN376&gt;0),S376=AO376),0,1))))</f>
        <v>0</v>
      </c>
      <c r="AQ376">
        <f t="shared" ref="AQ376" si="266">COUNTIF(W376:X376,"NS")</f>
        <v>0</v>
      </c>
      <c r="AR376">
        <f t="shared" ref="AR376" si="267">SUM(W376:X376)</f>
        <v>0</v>
      </c>
      <c r="AS376">
        <f t="shared" ref="AS376" si="268">IF(COUNTIF(V376:X376,"NA")=3,0,IF(COUNTA(V376:X376)=0,0,IF(OR(AND(V376=0,AQ376&gt;0),AND(V376="ns",AR376&gt;0),AND(V376="ns",AQ376=0,AR376=0)),1,IF(OR(AND(V376&gt;0,AQ376=2),AND(V376="ns",AQ376=2),AND(V376="ns",AR376=0,AQ376&gt;0),V376=AR376),0,1))))</f>
        <v>0</v>
      </c>
      <c r="AT376">
        <f t="shared" ref="AT376" si="269">COUNTIF(Z376:AA376,"NS")</f>
        <v>0</v>
      </c>
      <c r="AU376">
        <f t="shared" ref="AU376" si="270">SUM(Z376:AA376)</f>
        <v>0</v>
      </c>
      <c r="AV376">
        <f t="shared" ref="AV376" si="271">IF(COUNTIF(Y376:AA376,"NA")=3,0,IF(COUNTA(Y376:AA376)=0,0,IF(OR(AND(Y376=0,AT376&gt;0),AND(Y376="ns",AU376&gt;0),AND(Y376="ns",AT376=0,AU376=0)),1,IF(OR(AND(Y376&gt;0,AT376=2),AND(Y376="ns",AT376=2),AND(Y376="ns",AU376=0,AT376&gt;0),Y376=AU376),0,1))))</f>
        <v>0</v>
      </c>
      <c r="AW376"/>
      <c r="AX376"/>
      <c r="AY376"/>
      <c r="AZ376" cm="1">
        <f t="array" ref="AZ376">IF(OR(P376={"NS","NA"},BC376={"NS","NA"}),0,IF(P376&lt;=BC376,0,1))</f>
        <v>0</v>
      </c>
      <c r="BA376" cm="1">
        <f t="array" ref="BA376">IF(OR(Q376={"NS","NA"},BD376={"NS","NA"}),0,IF(Q376&lt;=BD376,0,1))</f>
        <v>0</v>
      </c>
      <c r="BB376" cm="1">
        <f t="array" ref="BB376">IF(OR(R376={"NS","NA"},BE376={"NS","NA"}),0,IF(R376&lt;=BE376,0,1))</f>
        <v>0</v>
      </c>
      <c r="BC376">
        <f t="shared" ref="BC376" si="272">IF(AND(SUM(P376,S376,V376,Y376,AB376,G391,J391,M391,P391,S391,V391,Y391,AB391)=0,SUM(COUNTIF(P376,"NS"),COUNTIF(S376,"NS"),COUNTIF(V376,"NS"),COUNTIF(Y376,"NS"),COUNTIF(AB376,"NS"),COUNTIF(G391,"NS"),COUNTIF(J391,"NS"),COUNTIF(M391,"NS"),COUNTIF(P391,"NS"),COUNTIF(S391,"NS"),COUNTIF(V391,"NS"),COUNTIF(Y391,"NS"),COUNTIF(AB391,"NS"))&gt;0),"NS",
IF(AND(SUM(P376,S376,V376,Y376,AB376,G391,J391,M391,P391,S391,V391,Y391,AB391)=0,SUM(COUNTIF(P376,0),COUNTIF(S376,0),COUNTIF(V376,0),COUNTIF(Y376,0),COUNTIF(AB376,0),COUNTIF(G391,0),COUNTIF(J391,0),COUNTIF(M391,0),COUNTIF(P391,0),COUNTIF(S391,0),COUNTIF(V391,0),COUNTIF(Y391,0),COUNTIF(AB391,0))&gt;0),0,
IF(AND(SUM(P376,S376,V376,Y376,AB376,G391,J391,M391,P391,S391,V391,Y391,AB391)=0,SUM(COUNTIF(P376,"NA"),COUNTIF(S376,"NA"),COUNTIF(V376,"NA"),COUNTIF(Y376,"NA"),COUNTIF(AB376,"NA"),COUNTIF(G391,"NA"),COUNTIF(J391,"NA"),COUNTIF(M391,"NA"),COUNTIF(P391,"NA"),COUNTIF(S391,"NA"),COUNTIF(V391,"NA"),COUNTIF(Y391,"NA"),COUNTIF(AB391,"NA"))&gt;0),"NA",
SUM(P376,S376,V376,Y376,AB376,G391,J391,M391,P391,S391,V391,Y391,AB391))))</f>
        <v>0</v>
      </c>
      <c r="BD376">
        <f>IF(AND(SUM(Q376,T376,W376,Z376,H391,K391,N391,Q391,T391,W391,Z391,AC391)=0,SUM(COUNTIF(Q376,"NS"),COUNTIF(T376,"NS"),COUNTIF(W376,"NS"),COUNTIF(Z376,"NS"),COUNTIF(H391,"NS"),COUNTIF(K391,"NS"),COUNTIF(N391,"NS"),COUNTIF(Q391,"NS"),COUNTIF(T391,"NS"),COUNTIF(W391,"NS"),COUNTIF(Z391,"NS"),COUNTIF(AC391,"NS"))&gt;0),"NS",
IF(AND(SUM(Q376,T376,W376,Z376,H391,K391,N391,Q391,T391,W391,Z391,AC391)=0,SUM(COUNTIF(Q376,0),COUNTIF(T376,0),COUNTIF(W376,0),COUNTIF(Z376,0),COUNTIF(H391,0),COUNTIF(K391,0),COUNTIF(N391,0),COUNTIF(Q391,0),COUNTIF(T391,0),COUNTIF(W391,0),COUNTIF(Z391,0),COUNTIF(AC391,0))&gt;0),0,
IF(AND(SUM(Q376,T376,W376,Z376,H391,K391,N391,Q391,T391,W391,Z391,AC391)=0,SUM(COUNTIF(Q376,"NA"),COUNTIF(T376,"NA"),COUNTIF(W376,"NA"),COUNTIF(Z376,"NA"),COUNTIF(H391,"NA"),COUNTIF(K391,"NA"),COUNTIF(N391,"NA"),COUNTIF(Q391,"NA"),COUNTIF(T391,"NA"),COUNTIF(W391,"NA"),COUNTIF(Z391,"NA"),COUNTIF(AC391,"NA"))&gt;0),"NA",
SUM(Q376,T376,W376,Z376,H391,K391,N391,Q391,T391,W391,Z391,AC391))))</f>
        <v>0</v>
      </c>
      <c r="BE376">
        <f>IF(AND(SUM(R376,U376,X376,AA376,AB376,I391,L391,O391,R391,U391,X391,AA391,AD391)=0,SUM(COUNTIF(R376,"NS"),COUNTIF(U376,"NS"),COUNTIF(X376,"NS"),COUNTIF(AA376,"NS"),COUNTIF(AB376,"NS"),COUNTIF(I391,"NS"),COUNTIF(L391,"NS"),COUNTIF(O391,"NS"),COUNTIF(R391,"NS"),COUNTIF(U391,"NS"),COUNTIF(X391,"NS"),COUNTIF(AA391,"NS"),COUNTIF(AD391,"NS"))&gt;0),"NS",
IF(AND(SUM(R376,U376,X376,AA376,AB376,I391,L391,O391,R391,U391,X391,AA391,AD391)=0,SUM(COUNTIF(R376,0),COUNTIF(U376,0),COUNTIF(X376,0),COUNTIF(AA376,0),COUNTIF(AB376,0),COUNTIF(I391,0),COUNTIF(L391,0),COUNTIF(O391,0),COUNTIF(R391,0),COUNTIF(U391,0),COUNTIF(X391,0),COUNTIF(AA391,0),COUNTIF(AD391,0))&gt;0),0,
IF(AND(SUM(R376,U376,X376,AA376,AB376,I391,L391,O391,R391,U391,X391,AA391,AD391)=0,SUM(COUNTIF(R376,"NA"),COUNTIF(U376,"NA"),COUNTIF(X376,"NA"),COUNTIF(AA376,"NA"),COUNTIF(AB376,"NA"),COUNTIF(I391,"NA"),COUNTIF(L391,"NA"),COUNTIF(O391,"NA"),COUNTIF(R391,"NA"),COUNTIF(U391,"NA"),COUNTIF(X391,"NA"),COUNTIF(AA391,"NA"),COUNTIF(AD391,"NA"))&gt;0),"NA",SUM(R376,U376,X376,,AA376,AB376,I391,L391,O391,R391,U391,X391,AA391,AD391))))</f>
        <v>0</v>
      </c>
      <c r="BF376" cm="1">
        <f t="array" ref="BF376">IF(OR(S376={"NS","NA"},$P376={"NS","NA"}),0,IF(S376&lt;=$P376,0,1))</f>
        <v>0</v>
      </c>
      <c r="BG376" cm="1">
        <f t="array" ref="BG376">IF(OR(T376={"NS","NA"},$Q376={"NS","NA"}),0,IF(T376&lt;=$Q376,0,1))</f>
        <v>0</v>
      </c>
      <c r="BH376" cm="1">
        <f t="array" ref="BH376">IF(OR(U376={"NS","NA"},$R376={"NS","NA"}),0,IF(U376&lt;=$R376,0,1))</f>
        <v>0</v>
      </c>
      <c r="BI376" cm="1">
        <f t="array" ref="BI376">IF(OR(V376={"NS","NA"},$P376={"NS","NA"}),0,IF(V376&lt;=$P376,0,1))</f>
        <v>0</v>
      </c>
      <c r="BJ376" cm="1">
        <f t="array" ref="BJ376">IF(OR(W376={"NS","NA"},$Q376={"NS","NA"}),0,IF(W376&lt;=$Q376,0,1))</f>
        <v>0</v>
      </c>
      <c r="BK376" cm="1">
        <f t="array" ref="BK376">IF(OR(X376={"NS","NA"},$R376={"NS","NA"}),0,IF(X376&lt;=$R376,0,1))</f>
        <v>0</v>
      </c>
      <c r="BL376" cm="1">
        <f t="array" ref="BL376">IF(OR(Y376={"NS","NA"},$P376={"NS","NA"}),0,IF(Y376&lt;=$P376,0,1))</f>
        <v>0</v>
      </c>
      <c r="BM376" cm="1">
        <f t="array" ref="BM376">IF(OR(Z376={"NS","NA"},$Q376={"NS","NA"}),0,IF(Z376&lt;=$Q376,0,1))</f>
        <v>0</v>
      </c>
      <c r="BN376" cm="1">
        <f t="array" ref="BN376">IF(OR(AA376={"NS","NA"},$R376={"NS","NA"}),0,IF(AA376&lt;=$R376,0,1))</f>
        <v>0</v>
      </c>
      <c r="BO376" cm="1">
        <f t="array" ref="BO376">IF(OR(AB376={"NS","NA"},$R376={"NS","NA"}),0,IF(AB376&lt;=$R376,0,1))</f>
        <v>0</v>
      </c>
      <c r="BP376"/>
      <c r="BQ376"/>
      <c r="BR376"/>
      <c r="CA376"/>
      <c r="CB376"/>
      <c r="CC376"/>
      <c r="CD376"/>
    </row>
    <row r="377" spans="1:82" ht="14.25" customHeight="1">
      <c r="A377" s="142"/>
      <c r="B377" s="57"/>
      <c r="C377" s="43" t="s">
        <v>2517</v>
      </c>
      <c r="D377" s="813" t="str">
        <f>IF(CNSIPEE_2024_M2_Secc1!D43="","",CNSIPEE_2024_M2_Secc1!D43)</f>
        <v/>
      </c>
      <c r="E377" s="814"/>
      <c r="F377" s="814"/>
      <c r="G377" s="814"/>
      <c r="H377" s="814"/>
      <c r="I377" s="814"/>
      <c r="J377" s="814"/>
      <c r="K377" s="815"/>
      <c r="L377" s="816"/>
      <c r="M377" s="738"/>
      <c r="N377" s="738"/>
      <c r="O377" s="817"/>
      <c r="P377" s="100"/>
      <c r="Q377" s="100"/>
      <c r="R377" s="100"/>
      <c r="S377" s="100"/>
      <c r="T377" s="100"/>
      <c r="U377" s="100"/>
      <c r="V377" s="100"/>
      <c r="W377" s="100"/>
      <c r="X377" s="100"/>
      <c r="Y377" s="100"/>
      <c r="Z377" s="100"/>
      <c r="AA377" s="100"/>
      <c r="AB377" s="816"/>
      <c r="AC377" s="738"/>
      <c r="AD377" s="817"/>
      <c r="AF377">
        <f t="shared" ref="AF377:AF383" si="273">IF(AND(L377=1,P377=0),1,0)</f>
        <v>0</v>
      </c>
      <c r="AG377">
        <f t="shared" ref="AG377:AG383" si="274">IF(SUM(COUNTBLANK(D377:AD377),COUNTBLANK(G392:AD392))=51,0,IF(COUNTBLANK(D377)=1,1,IF(L377&gt;1,0,IF(AND(COUNTA(P377:AD377,G392:AD392)=37,L377=1),0,1))))</f>
        <v>0</v>
      </c>
      <c r="AH377">
        <f t="shared" ref="AH377:AH383" si="275">IF(L377&gt;1,IF(COUNTA(P377:AD377,G392:AD392)=0,0,1),0)</f>
        <v>0</v>
      </c>
      <c r="AI377"/>
      <c r="AJ377"/>
      <c r="AK377">
        <f t="shared" ref="AK377:AK383" si="276">COUNTIF(Q377:R377,"NS")</f>
        <v>0</v>
      </c>
      <c r="AL377">
        <f t="shared" ref="AL377:AL383" si="277">SUM(Q377:R377)</f>
        <v>0</v>
      </c>
      <c r="AM377">
        <f t="shared" ref="AM377:AM383" si="278">IF(COUNTIF(P377:R377,"NA")=3,0,IF(COUNTA(P377:R377)=0,0,IF(OR(AND(P377=0,AK377&gt;0),AND(P377="ns",AL377&gt;0),AND(P377="ns",AK377=0,AL377=0)),1,IF(OR(AND(P377&gt;0,AK377=2),AND(P377="ns",AK377=2),AND(P377="ns",AL377=0,AK377&gt;0),P377=AL377),0,1))))</f>
        <v>0</v>
      </c>
      <c r="AN377">
        <f t="shared" ref="AN377:AN383" si="279">COUNTIF(T377:U377,"NS")</f>
        <v>0</v>
      </c>
      <c r="AO377">
        <f t="shared" ref="AO377:AO383" si="280">SUM(T377:U377)</f>
        <v>0</v>
      </c>
      <c r="AP377">
        <f t="shared" ref="AP377:AP383" si="281">IF(COUNTIF(S377:U377,"NA")=3,0,IF(COUNTA(S377:U377)=0,0,IF(OR(AND(S377=0,AN377&gt;0),AND(S377="ns",AO377&gt;0),AND(S377="ns",AN377=0,AO377=0)),1,IF(OR(AND(S377&gt;0,AN377=2),AND(S377="ns",AN377=2),AND(S377="ns",AO377=0,AN377&gt;0),S377=AO377),0,1))))</f>
        <v>0</v>
      </c>
      <c r="AQ377">
        <f t="shared" ref="AQ377:AQ383" si="282">COUNTIF(W377:X377,"NS")</f>
        <v>0</v>
      </c>
      <c r="AR377">
        <f t="shared" ref="AR377:AR383" si="283">SUM(W377:X377)</f>
        <v>0</v>
      </c>
      <c r="AS377">
        <f t="shared" ref="AS377:AS383" si="284">IF(COUNTIF(V377:X377,"NA")=3,0,IF(COUNTA(V377:X377)=0,0,IF(OR(AND(V377=0,AQ377&gt;0),AND(V377="ns",AR377&gt;0),AND(V377="ns",AQ377=0,AR377=0)),1,IF(OR(AND(V377&gt;0,AQ377=2),AND(V377="ns",AQ377=2),AND(V377="ns",AR377=0,AQ377&gt;0),V377=AR377),0,1))))</f>
        <v>0</v>
      </c>
      <c r="AT377">
        <f t="shared" ref="AT377:AT383" si="285">COUNTIF(Z377:AA377,"NS")</f>
        <v>0</v>
      </c>
      <c r="AU377">
        <f t="shared" ref="AU377:AU383" si="286">SUM(Z377:AA377)</f>
        <v>0</v>
      </c>
      <c r="AV377">
        <f t="shared" ref="AV377:AV383" si="287">IF(COUNTIF(Y377:AA377,"NA")=3,0,IF(COUNTA(Y377:AA377)=0,0,IF(OR(AND(Y377=0,AT377&gt;0),AND(Y377="ns",AU377&gt;0),AND(Y377="ns",AT377=0,AU377=0)),1,IF(OR(AND(Y377&gt;0,AT377=2),AND(Y377="ns",AT377=2),AND(Y377="ns",AU377=0,AT377&gt;0),Y377=AU377),0,1))))</f>
        <v>0</v>
      </c>
      <c r="AW377"/>
      <c r="AX377"/>
      <c r="AY377"/>
      <c r="AZ377" cm="1">
        <f t="array" ref="AZ377">IF(OR(P377={"NS","NA"},BC377={"NS","NA"}),0,IF(P377&lt;=BC377,0,1))</f>
        <v>0</v>
      </c>
      <c r="BA377" cm="1">
        <f t="array" ref="BA377">IF(OR(Q377={"NS","NA"},BD377={"NS","NA"}),0,IF(Q377&lt;=BD377,0,1))</f>
        <v>0</v>
      </c>
      <c r="BB377" cm="1">
        <f t="array" ref="BB377">IF(OR(R377={"NS","NA"},BE377={"NS","NA"}),0,IF(R377&lt;=BE377,0,1))</f>
        <v>0</v>
      </c>
      <c r="BC377">
        <f t="shared" ref="BC377:BC383" si="288">IF(AND(SUM(P377,S377,V377,Y377,AB377,G392,J392,M392,P392,S392,V392,Y392,AB392)=0,SUM(COUNTIF(P377,"NS"),COUNTIF(S377,"NS"),COUNTIF(V377,"NS"),COUNTIF(Y377,"NS"),COUNTIF(AB377,"NS"),COUNTIF(G392,"NS"),COUNTIF(J392,"NS"),COUNTIF(M392,"NS"),COUNTIF(P392,"NS"),COUNTIF(S392,"NS"),COUNTIF(V392,"NS"),COUNTIF(Y392,"NS"),COUNTIF(AB392,"NS"))&gt;0),"NS",
IF(AND(SUM(P377,S377,V377,Y377,AB377,G392,J392,M392,P392,S392,V392,Y392,AB392)=0,SUM(COUNTIF(P377,0),COUNTIF(S377,0),COUNTIF(V377,0),COUNTIF(Y377,0),COUNTIF(AB377,0),COUNTIF(G392,0),COUNTIF(J392,0),COUNTIF(M392,0),COUNTIF(P392,0),COUNTIF(S392,0),COUNTIF(V392,0),COUNTIF(Y392,0),COUNTIF(AB392,0))&gt;0),0,
IF(AND(SUM(P377,S377,V377,Y377,AB377,G392,J392,M392,P392,S392,V392,Y392,AB392)=0,SUM(COUNTIF(P377,"NA"),COUNTIF(S377,"NA"),COUNTIF(V377,"NA"),COUNTIF(Y377,"NA"),COUNTIF(AB377,"NA"),COUNTIF(G392,"NA"),COUNTIF(J392,"NA"),COUNTIF(M392,"NA"),COUNTIF(P392,"NA"),COUNTIF(S392,"NA"),COUNTIF(V392,"NA"),COUNTIF(Y392,"NA"),COUNTIF(AB392,"NA"))&gt;0),"NA",
SUM(P377,S377,V377,Y377,AB377,G392,J392,M392,P392,S392,V392,Y392,AB392))))</f>
        <v>0</v>
      </c>
      <c r="BD377">
        <f t="shared" ref="BD377:BD383" si="289">IF(AND(SUM(Q377,T377,W377,Z377,H392,K392,N392,Q392,T392,W392,Z392,AC392)=0,SUM(COUNTIF(Q377,"NS"),COUNTIF(T377,"NS"),COUNTIF(W377,"NS"),COUNTIF(Z377,"NS"),COUNTIF(H392,"NS"),COUNTIF(K392,"NS"),COUNTIF(N392,"NS"),COUNTIF(Q392,"NS"),COUNTIF(T392,"NS"),COUNTIF(W392,"NS"),COUNTIF(Z392,"NS"),COUNTIF(AC392,"NS"))&gt;0),"NS",
IF(AND(SUM(Q377,T377,W377,Z377,H392,K392,N392,Q392,T392,W392,Z392,AC392)=0,SUM(COUNTIF(Q377,0),COUNTIF(T377,0),COUNTIF(W377,0),COUNTIF(Z377,0),COUNTIF(H392,0),COUNTIF(K392,0),COUNTIF(N392,0),COUNTIF(Q392,0),COUNTIF(T392,0),COUNTIF(W392,0),COUNTIF(Z392,0),COUNTIF(AC392,0))&gt;0),0,
IF(AND(SUM(Q377,T377,W377,Z377,H392,K392,N392,Q392,T392,W392,Z392,AC392)=0,SUM(COUNTIF(Q377,"NA"),COUNTIF(T377,"NA"),COUNTIF(W377,"NA"),COUNTIF(Z377,"NA"),COUNTIF(H392,"NA"),COUNTIF(K392,"NA"),COUNTIF(N392,"NA"),COUNTIF(Q392,"NA"),COUNTIF(T392,"NA"),COUNTIF(W392,"NA"),COUNTIF(Z392,"NA"),COUNTIF(AC392,"NA"))&gt;0),"NA",
SUM(Q377,T377,W377,Z377,H392,K392,N392,Q392,T392,W392,Z392,AC392))))</f>
        <v>0</v>
      </c>
      <c r="BE377">
        <f t="shared" ref="BE377:BE383" si="290">IF(AND(SUM(R377,U377,X377,AA377,AB377,I392,L392,O392,R392,U392,X392,AA392,AD392)=0,SUM(COUNTIF(R377,"NS"),COUNTIF(U377,"NS"),COUNTIF(X377,"NS"),COUNTIF(AA377,"NS"),COUNTIF(AB377,"NS"),COUNTIF(I392,"NS"),COUNTIF(L392,"NS"),COUNTIF(O392,"NS"),COUNTIF(R392,"NS"),COUNTIF(U392,"NS"),COUNTIF(X392,"NS"),COUNTIF(AA392,"NS"),COUNTIF(AD392,"NS"))&gt;0),"NS",
IF(AND(SUM(R377,U377,X377,AA377,AB377,I392,L392,O392,R392,U392,X392,AA392,AD392)=0,SUM(COUNTIF(R377,0),COUNTIF(U377,0),COUNTIF(X377,0),COUNTIF(AA377,0),COUNTIF(AB377,0),COUNTIF(I392,0),COUNTIF(L392,0),COUNTIF(O392,0),COUNTIF(R392,0),COUNTIF(U392,0),COUNTIF(X392,0),COUNTIF(AA392,0),COUNTIF(AD392,0))&gt;0),0,
IF(AND(SUM(R377,U377,X377,AA377,AB377,I392,L392,O392,R392,U392,X392,AA392,AD392)=0,SUM(COUNTIF(R377,"NA"),COUNTIF(U377,"NA"),COUNTIF(X377,"NA"),COUNTIF(AA377,"NA"),COUNTIF(AB377,"NA"),COUNTIF(I392,"NA"),COUNTIF(L392,"NA"),COUNTIF(O392,"NA"),COUNTIF(R392,"NA"),COUNTIF(U392,"NA"),COUNTIF(X392,"NA"),COUNTIF(AA392,"NA"),COUNTIF(AD392,"NA"))&gt;0),"NA",SUM(R377,U377,X377,,AA377,AB377,I392,L392,O392,R392,U392,X392,AA392,AD392))))</f>
        <v>0</v>
      </c>
      <c r="BF377" cm="1">
        <f t="array" ref="BF377">IF(OR(S377={"NS","NA"},$P377={"NS","NA"}),0,IF(S377&lt;=$P377,0,1))</f>
        <v>0</v>
      </c>
      <c r="BG377" cm="1">
        <f t="array" ref="BG377">IF(OR(T377={"NS","NA"},$Q377={"NS","NA"}),0,IF(T377&lt;=$Q377,0,1))</f>
        <v>0</v>
      </c>
      <c r="BH377" cm="1">
        <f t="array" ref="BH377">IF(OR(U377={"NS","NA"},$R377={"NS","NA"}),0,IF(U377&lt;=$R377,0,1))</f>
        <v>0</v>
      </c>
      <c r="BI377" cm="1">
        <f t="array" ref="BI377">IF(OR(V377={"NS","NA"},$P377={"NS","NA"}),0,IF(V377&lt;=$P377,0,1))</f>
        <v>0</v>
      </c>
      <c r="BJ377" cm="1">
        <f t="array" ref="BJ377">IF(OR(W377={"NS","NA"},$Q377={"NS","NA"}),0,IF(W377&lt;=$Q377,0,1))</f>
        <v>0</v>
      </c>
      <c r="BK377" cm="1">
        <f t="array" ref="BK377">IF(OR(X377={"NS","NA"},$R377={"NS","NA"}),0,IF(X377&lt;=$R377,0,1))</f>
        <v>0</v>
      </c>
      <c r="BL377" cm="1">
        <f t="array" ref="BL377">IF(OR(Y377={"NS","NA"},$P377={"NS","NA"}),0,IF(Y377&lt;=$P377,0,1))</f>
        <v>0</v>
      </c>
      <c r="BM377" cm="1">
        <f t="array" ref="BM377">IF(OR(Z377={"NS","NA"},$Q377={"NS","NA"}),0,IF(Z377&lt;=$Q377,0,1))</f>
        <v>0</v>
      </c>
      <c r="BN377" cm="1">
        <f t="array" ref="BN377">IF(OR(AA377={"NS","NA"},$R377={"NS","NA"}),0,IF(AA377&lt;=$R377,0,1))</f>
        <v>0</v>
      </c>
      <c r="BO377" cm="1">
        <f t="array" ref="BO377">IF(OR(AB377={"NS","NA"},$R377={"NS","NA"}),0,IF(AB377&lt;=$R377,0,1))</f>
        <v>0</v>
      </c>
      <c r="BP377"/>
      <c r="BQ377"/>
      <c r="BR377"/>
      <c r="CA377"/>
      <c r="CB377"/>
      <c r="CC377"/>
      <c r="CD377"/>
    </row>
    <row r="378" spans="1:82">
      <c r="A378" s="142"/>
      <c r="B378" s="57"/>
      <c r="C378" s="43" t="s">
        <v>2518</v>
      </c>
      <c r="D378" s="813" t="str">
        <f>IF(CNSIPEE_2024_M2_Secc1!D44="","",CNSIPEE_2024_M2_Secc1!D44)</f>
        <v/>
      </c>
      <c r="E378" s="814"/>
      <c r="F378" s="814"/>
      <c r="G378" s="814"/>
      <c r="H378" s="814"/>
      <c r="I378" s="814"/>
      <c r="J378" s="814"/>
      <c r="K378" s="815"/>
      <c r="L378" s="816"/>
      <c r="M378" s="738"/>
      <c r="N378" s="738"/>
      <c r="O378" s="817"/>
      <c r="P378" s="100"/>
      <c r="Q378" s="100"/>
      <c r="R378" s="100"/>
      <c r="S378" s="100"/>
      <c r="T378" s="100"/>
      <c r="U378" s="100"/>
      <c r="V378" s="100"/>
      <c r="W378" s="100"/>
      <c r="X378" s="100"/>
      <c r="Y378" s="100"/>
      <c r="Z378" s="100"/>
      <c r="AA378" s="100"/>
      <c r="AB378" s="816"/>
      <c r="AC378" s="738"/>
      <c r="AD378" s="817"/>
      <c r="AF378">
        <f t="shared" si="273"/>
        <v>0</v>
      </c>
      <c r="AG378">
        <f t="shared" si="274"/>
        <v>0</v>
      </c>
      <c r="AH378">
        <f t="shared" si="275"/>
        <v>0</v>
      </c>
      <c r="AI378"/>
      <c r="AJ378"/>
      <c r="AK378">
        <f t="shared" si="276"/>
        <v>0</v>
      </c>
      <c r="AL378">
        <f t="shared" si="277"/>
        <v>0</v>
      </c>
      <c r="AM378">
        <f t="shared" si="278"/>
        <v>0</v>
      </c>
      <c r="AN378">
        <f t="shared" si="279"/>
        <v>0</v>
      </c>
      <c r="AO378">
        <f t="shared" si="280"/>
        <v>0</v>
      </c>
      <c r="AP378">
        <f t="shared" si="281"/>
        <v>0</v>
      </c>
      <c r="AQ378">
        <f t="shared" si="282"/>
        <v>0</v>
      </c>
      <c r="AR378">
        <f t="shared" si="283"/>
        <v>0</v>
      </c>
      <c r="AS378">
        <f t="shared" si="284"/>
        <v>0</v>
      </c>
      <c r="AT378">
        <f t="shared" si="285"/>
        <v>0</v>
      </c>
      <c r="AU378">
        <f t="shared" si="286"/>
        <v>0</v>
      </c>
      <c r="AV378">
        <f t="shared" si="287"/>
        <v>0</v>
      </c>
      <c r="AW378"/>
      <c r="AX378"/>
      <c r="AY378"/>
      <c r="AZ378" cm="1">
        <f t="array" ref="AZ378">IF(OR(P378={"NS","NA"},BC378={"NS","NA"}),0,IF(P378&lt;=BC378,0,1))</f>
        <v>0</v>
      </c>
      <c r="BA378" cm="1">
        <f t="array" ref="BA378">IF(OR(Q378={"NS","NA"},BD378={"NS","NA"}),0,IF(Q378&lt;=BD378,0,1))</f>
        <v>0</v>
      </c>
      <c r="BB378" cm="1">
        <f t="array" ref="BB378">IF(OR(R378={"NS","NA"},BE378={"NS","NA"}),0,IF(R378&lt;=BE378,0,1))</f>
        <v>0</v>
      </c>
      <c r="BC378">
        <f t="shared" si="288"/>
        <v>0</v>
      </c>
      <c r="BD378">
        <f t="shared" si="289"/>
        <v>0</v>
      </c>
      <c r="BE378">
        <f t="shared" si="290"/>
        <v>0</v>
      </c>
      <c r="BF378" cm="1">
        <f t="array" ref="BF378">IF(OR(S378={"NS","NA"},$P378={"NS","NA"}),0,IF(S378&lt;=$P378,0,1))</f>
        <v>0</v>
      </c>
      <c r="BG378" cm="1">
        <f t="array" ref="BG378">IF(OR(T378={"NS","NA"},$Q378={"NS","NA"}),0,IF(T378&lt;=$Q378,0,1))</f>
        <v>0</v>
      </c>
      <c r="BH378" cm="1">
        <f t="array" ref="BH378">IF(OR(U378={"NS","NA"},$R378={"NS","NA"}),0,IF(U378&lt;=$R378,0,1))</f>
        <v>0</v>
      </c>
      <c r="BI378" cm="1">
        <f t="array" ref="BI378">IF(OR(V378={"NS","NA"},$P378={"NS","NA"}),0,IF(V378&lt;=$P378,0,1))</f>
        <v>0</v>
      </c>
      <c r="BJ378" cm="1">
        <f t="array" ref="BJ378">IF(OR(W378={"NS","NA"},$Q378={"NS","NA"}),0,IF(W378&lt;=$Q378,0,1))</f>
        <v>0</v>
      </c>
      <c r="BK378" cm="1">
        <f t="array" ref="BK378">IF(OR(X378={"NS","NA"},$R378={"NS","NA"}),0,IF(X378&lt;=$R378,0,1))</f>
        <v>0</v>
      </c>
      <c r="BL378" cm="1">
        <f t="array" ref="BL378">IF(OR(Y378={"NS","NA"},$P378={"NS","NA"}),0,IF(Y378&lt;=$P378,0,1))</f>
        <v>0</v>
      </c>
      <c r="BM378" cm="1">
        <f t="array" ref="BM378">IF(OR(Z378={"NS","NA"},$Q378={"NS","NA"}),0,IF(Z378&lt;=$Q378,0,1))</f>
        <v>0</v>
      </c>
      <c r="BN378" cm="1">
        <f t="array" ref="BN378">IF(OR(AA378={"NS","NA"},$R378={"NS","NA"}),0,IF(AA378&lt;=$R378,0,1))</f>
        <v>0</v>
      </c>
      <c r="BO378" cm="1">
        <f t="array" ref="BO378">IF(OR(AB378={"NS","NA"},$R378={"NS","NA"}),0,IF(AB378&lt;=$R378,0,1))</f>
        <v>0</v>
      </c>
      <c r="BP378"/>
      <c r="BQ378"/>
      <c r="BR378"/>
      <c r="CA378"/>
      <c r="CB378"/>
      <c r="CC378"/>
      <c r="CD378"/>
    </row>
    <row r="379" spans="1:82" ht="14.25" customHeight="1">
      <c r="A379" s="142"/>
      <c r="B379" s="57"/>
      <c r="C379" s="43" t="s">
        <v>2519</v>
      </c>
      <c r="D379" s="813" t="str">
        <f>IF(CNSIPEE_2024_M2_Secc1!D45="","",CNSIPEE_2024_M2_Secc1!D45)</f>
        <v/>
      </c>
      <c r="E379" s="814"/>
      <c r="F379" s="814"/>
      <c r="G379" s="814"/>
      <c r="H379" s="814"/>
      <c r="I379" s="814"/>
      <c r="J379" s="814"/>
      <c r="K379" s="815"/>
      <c r="L379" s="816"/>
      <c r="M379" s="738"/>
      <c r="N379" s="738"/>
      <c r="O379" s="817"/>
      <c r="P379" s="100"/>
      <c r="Q379" s="100"/>
      <c r="R379" s="100"/>
      <c r="S379" s="100"/>
      <c r="T379" s="100"/>
      <c r="U379" s="100"/>
      <c r="V379" s="100"/>
      <c r="W379" s="100"/>
      <c r="X379" s="100"/>
      <c r="Y379" s="100"/>
      <c r="Z379" s="100"/>
      <c r="AA379" s="100"/>
      <c r="AB379" s="816"/>
      <c r="AC379" s="738"/>
      <c r="AD379" s="817"/>
      <c r="AF379">
        <f t="shared" si="273"/>
        <v>0</v>
      </c>
      <c r="AG379">
        <f t="shared" si="274"/>
        <v>0</v>
      </c>
      <c r="AH379">
        <f t="shared" si="275"/>
        <v>0</v>
      </c>
      <c r="AI379"/>
      <c r="AJ379"/>
      <c r="AK379">
        <f t="shared" si="276"/>
        <v>0</v>
      </c>
      <c r="AL379">
        <f t="shared" si="277"/>
        <v>0</v>
      </c>
      <c r="AM379">
        <f t="shared" si="278"/>
        <v>0</v>
      </c>
      <c r="AN379">
        <f t="shared" si="279"/>
        <v>0</v>
      </c>
      <c r="AO379">
        <f t="shared" si="280"/>
        <v>0</v>
      </c>
      <c r="AP379">
        <f t="shared" si="281"/>
        <v>0</v>
      </c>
      <c r="AQ379">
        <f t="shared" si="282"/>
        <v>0</v>
      </c>
      <c r="AR379">
        <f t="shared" si="283"/>
        <v>0</v>
      </c>
      <c r="AS379">
        <f t="shared" si="284"/>
        <v>0</v>
      </c>
      <c r="AT379">
        <f t="shared" si="285"/>
        <v>0</v>
      </c>
      <c r="AU379">
        <f t="shared" si="286"/>
        <v>0</v>
      </c>
      <c r="AV379">
        <f t="shared" si="287"/>
        <v>0</v>
      </c>
      <c r="AW379"/>
      <c r="AX379"/>
      <c r="AY379"/>
      <c r="AZ379" cm="1">
        <f t="array" ref="AZ379">IF(OR(P379={"NS","NA"},BC379={"NS","NA"}),0,IF(P379&lt;=BC379,0,1))</f>
        <v>0</v>
      </c>
      <c r="BA379" cm="1">
        <f t="array" ref="BA379">IF(OR(Q379={"NS","NA"},BD379={"NS","NA"}),0,IF(Q379&lt;=BD379,0,1))</f>
        <v>0</v>
      </c>
      <c r="BB379" cm="1">
        <f t="array" ref="BB379">IF(OR(R379={"NS","NA"},BE379={"NS","NA"}),0,IF(R379&lt;=BE379,0,1))</f>
        <v>0</v>
      </c>
      <c r="BC379">
        <f t="shared" si="288"/>
        <v>0</v>
      </c>
      <c r="BD379">
        <f t="shared" si="289"/>
        <v>0</v>
      </c>
      <c r="BE379">
        <f t="shared" si="290"/>
        <v>0</v>
      </c>
      <c r="BF379" cm="1">
        <f t="array" ref="BF379">IF(OR(S379={"NS","NA"},$P379={"NS","NA"}),0,IF(S379&lt;=$P379,0,1))</f>
        <v>0</v>
      </c>
      <c r="BG379" cm="1">
        <f t="array" ref="BG379">IF(OR(T379={"NS","NA"},$Q379={"NS","NA"}),0,IF(T379&lt;=$Q379,0,1))</f>
        <v>0</v>
      </c>
      <c r="BH379" cm="1">
        <f t="array" ref="BH379">IF(OR(U379={"NS","NA"},$R379={"NS","NA"}),0,IF(U379&lt;=$R379,0,1))</f>
        <v>0</v>
      </c>
      <c r="BI379" cm="1">
        <f t="array" ref="BI379">IF(OR(V379={"NS","NA"},$P379={"NS","NA"}),0,IF(V379&lt;=$P379,0,1))</f>
        <v>0</v>
      </c>
      <c r="BJ379" cm="1">
        <f t="array" ref="BJ379">IF(OR(W379={"NS","NA"},$Q379={"NS","NA"}),0,IF(W379&lt;=$Q379,0,1))</f>
        <v>0</v>
      </c>
      <c r="BK379" cm="1">
        <f t="array" ref="BK379">IF(OR(X379={"NS","NA"},$R379={"NS","NA"}),0,IF(X379&lt;=$R379,0,1))</f>
        <v>0</v>
      </c>
      <c r="BL379" cm="1">
        <f t="array" ref="BL379">IF(OR(Y379={"NS","NA"},$P379={"NS","NA"}),0,IF(Y379&lt;=$P379,0,1))</f>
        <v>0</v>
      </c>
      <c r="BM379" cm="1">
        <f t="array" ref="BM379">IF(OR(Z379={"NS","NA"},$Q379={"NS","NA"}),0,IF(Z379&lt;=$Q379,0,1))</f>
        <v>0</v>
      </c>
      <c r="BN379" cm="1">
        <f t="array" ref="BN379">IF(OR(AA379={"NS","NA"},$R379={"NS","NA"}),0,IF(AA379&lt;=$R379,0,1))</f>
        <v>0</v>
      </c>
      <c r="BO379" cm="1">
        <f t="array" ref="BO379">IF(OR(AB379={"NS","NA"},$R379={"NS","NA"}),0,IF(AB379&lt;=$R379,0,1))</f>
        <v>0</v>
      </c>
      <c r="BP379"/>
      <c r="BQ379"/>
      <c r="BR379"/>
      <c r="CA379"/>
      <c r="CB379"/>
      <c r="CC379"/>
      <c r="CD379"/>
    </row>
    <row r="380" spans="1:82">
      <c r="A380" s="142"/>
      <c r="B380" s="57"/>
      <c r="C380" s="43" t="s">
        <v>2520</v>
      </c>
      <c r="D380" s="813" t="str">
        <f>IF(CNSIPEE_2024_M2_Secc1!D46="","",CNSIPEE_2024_M2_Secc1!D46)</f>
        <v/>
      </c>
      <c r="E380" s="814"/>
      <c r="F380" s="814"/>
      <c r="G380" s="814"/>
      <c r="H380" s="814"/>
      <c r="I380" s="814"/>
      <c r="J380" s="814"/>
      <c r="K380" s="815"/>
      <c r="L380" s="816"/>
      <c r="M380" s="738"/>
      <c r="N380" s="738"/>
      <c r="O380" s="817"/>
      <c r="P380" s="100"/>
      <c r="Q380" s="100"/>
      <c r="R380" s="100"/>
      <c r="S380" s="100"/>
      <c r="T380" s="100"/>
      <c r="U380" s="100"/>
      <c r="V380" s="100"/>
      <c r="W380" s="100"/>
      <c r="X380" s="100"/>
      <c r="Y380" s="100"/>
      <c r="Z380" s="100"/>
      <c r="AA380" s="100"/>
      <c r="AB380" s="816"/>
      <c r="AC380" s="738"/>
      <c r="AD380" s="817"/>
      <c r="AF380">
        <f t="shared" si="273"/>
        <v>0</v>
      </c>
      <c r="AG380">
        <f t="shared" si="274"/>
        <v>0</v>
      </c>
      <c r="AH380">
        <f t="shared" si="275"/>
        <v>0</v>
      </c>
      <c r="AI380"/>
      <c r="AJ380"/>
      <c r="AK380">
        <f t="shared" si="276"/>
        <v>0</v>
      </c>
      <c r="AL380">
        <f t="shared" si="277"/>
        <v>0</v>
      </c>
      <c r="AM380">
        <f t="shared" si="278"/>
        <v>0</v>
      </c>
      <c r="AN380">
        <f t="shared" si="279"/>
        <v>0</v>
      </c>
      <c r="AO380">
        <f t="shared" si="280"/>
        <v>0</v>
      </c>
      <c r="AP380">
        <f t="shared" si="281"/>
        <v>0</v>
      </c>
      <c r="AQ380">
        <f t="shared" si="282"/>
        <v>0</v>
      </c>
      <c r="AR380">
        <f t="shared" si="283"/>
        <v>0</v>
      </c>
      <c r="AS380">
        <f t="shared" si="284"/>
        <v>0</v>
      </c>
      <c r="AT380">
        <f t="shared" si="285"/>
        <v>0</v>
      </c>
      <c r="AU380">
        <f t="shared" si="286"/>
        <v>0</v>
      </c>
      <c r="AV380">
        <f t="shared" si="287"/>
        <v>0</v>
      </c>
      <c r="AW380"/>
      <c r="AX380"/>
      <c r="AY380"/>
      <c r="AZ380" cm="1">
        <f t="array" ref="AZ380">IF(OR(P380={"NS","NA"},BC380={"NS","NA"}),0,IF(P380&lt;=BC380,0,1))</f>
        <v>0</v>
      </c>
      <c r="BA380" cm="1">
        <f t="array" ref="BA380">IF(OR(Q380={"NS","NA"},BD380={"NS","NA"}),0,IF(Q380&lt;=BD380,0,1))</f>
        <v>0</v>
      </c>
      <c r="BB380" cm="1">
        <f t="array" ref="BB380">IF(OR(R380={"NS","NA"},BE380={"NS","NA"}),0,IF(R380&lt;=BE380,0,1))</f>
        <v>0</v>
      </c>
      <c r="BC380">
        <f t="shared" si="288"/>
        <v>0</v>
      </c>
      <c r="BD380">
        <f t="shared" si="289"/>
        <v>0</v>
      </c>
      <c r="BE380">
        <f t="shared" si="290"/>
        <v>0</v>
      </c>
      <c r="BF380" cm="1">
        <f t="array" ref="BF380">IF(OR(S380={"NS","NA"},$P380={"NS","NA"}),0,IF(S380&lt;=$P380,0,1))</f>
        <v>0</v>
      </c>
      <c r="BG380" cm="1">
        <f t="array" ref="BG380">IF(OR(T380={"NS","NA"},$Q380={"NS","NA"}),0,IF(T380&lt;=$Q380,0,1))</f>
        <v>0</v>
      </c>
      <c r="BH380" cm="1">
        <f t="array" ref="BH380">IF(OR(U380={"NS","NA"},$R380={"NS","NA"}),0,IF(U380&lt;=$R380,0,1))</f>
        <v>0</v>
      </c>
      <c r="BI380" cm="1">
        <f t="array" ref="BI380">IF(OR(V380={"NS","NA"},$P380={"NS","NA"}),0,IF(V380&lt;=$P380,0,1))</f>
        <v>0</v>
      </c>
      <c r="BJ380" cm="1">
        <f t="array" ref="BJ380">IF(OR(W380={"NS","NA"},$Q380={"NS","NA"}),0,IF(W380&lt;=$Q380,0,1))</f>
        <v>0</v>
      </c>
      <c r="BK380" cm="1">
        <f t="array" ref="BK380">IF(OR(X380={"NS","NA"},$R380={"NS","NA"}),0,IF(X380&lt;=$R380,0,1))</f>
        <v>0</v>
      </c>
      <c r="BL380" cm="1">
        <f t="array" ref="BL380">IF(OR(Y380={"NS","NA"},$P380={"NS","NA"}),0,IF(Y380&lt;=$P380,0,1))</f>
        <v>0</v>
      </c>
      <c r="BM380" cm="1">
        <f t="array" ref="BM380">IF(OR(Z380={"NS","NA"},$Q380={"NS","NA"}),0,IF(Z380&lt;=$Q380,0,1))</f>
        <v>0</v>
      </c>
      <c r="BN380" cm="1">
        <f t="array" ref="BN380">IF(OR(AA380={"NS","NA"},$R380={"NS","NA"}),0,IF(AA380&lt;=$R380,0,1))</f>
        <v>0</v>
      </c>
      <c r="BO380" cm="1">
        <f t="array" ref="BO380">IF(OR(AB380={"NS","NA"},$R380={"NS","NA"}),0,IF(AB380&lt;=$R380,0,1))</f>
        <v>0</v>
      </c>
      <c r="BP380"/>
      <c r="BQ380"/>
      <c r="BR380"/>
      <c r="CA380"/>
      <c r="CB380"/>
      <c r="CC380"/>
      <c r="CD380"/>
    </row>
    <row r="381" spans="1:82" ht="14.25" customHeight="1">
      <c r="A381" s="142"/>
      <c r="B381" s="57"/>
      <c r="C381" s="43" t="s">
        <v>2521</v>
      </c>
      <c r="D381" s="813" t="str">
        <f>IF(CNSIPEE_2024_M2_Secc1!D47="","",CNSIPEE_2024_M2_Secc1!D47)</f>
        <v/>
      </c>
      <c r="E381" s="814"/>
      <c r="F381" s="814"/>
      <c r="G381" s="814"/>
      <c r="H381" s="814"/>
      <c r="I381" s="814"/>
      <c r="J381" s="814"/>
      <c r="K381" s="815"/>
      <c r="L381" s="816"/>
      <c r="M381" s="738"/>
      <c r="N381" s="738"/>
      <c r="O381" s="817"/>
      <c r="P381" s="100"/>
      <c r="Q381" s="100"/>
      <c r="R381" s="100"/>
      <c r="S381" s="100"/>
      <c r="T381" s="100"/>
      <c r="U381" s="100"/>
      <c r="V381" s="100"/>
      <c r="W381" s="100"/>
      <c r="X381" s="100"/>
      <c r="Y381" s="100"/>
      <c r="Z381" s="100"/>
      <c r="AA381" s="100"/>
      <c r="AB381" s="816"/>
      <c r="AC381" s="738"/>
      <c r="AD381" s="817"/>
      <c r="AF381">
        <f t="shared" si="273"/>
        <v>0</v>
      </c>
      <c r="AG381">
        <f t="shared" si="274"/>
        <v>0</v>
      </c>
      <c r="AH381">
        <f t="shared" si="275"/>
        <v>0</v>
      </c>
      <c r="AI381"/>
      <c r="AJ381"/>
      <c r="AK381">
        <f t="shared" si="276"/>
        <v>0</v>
      </c>
      <c r="AL381">
        <f t="shared" si="277"/>
        <v>0</v>
      </c>
      <c r="AM381">
        <f t="shared" si="278"/>
        <v>0</v>
      </c>
      <c r="AN381">
        <f t="shared" si="279"/>
        <v>0</v>
      </c>
      <c r="AO381">
        <f t="shared" si="280"/>
        <v>0</v>
      </c>
      <c r="AP381">
        <f t="shared" si="281"/>
        <v>0</v>
      </c>
      <c r="AQ381">
        <f t="shared" si="282"/>
        <v>0</v>
      </c>
      <c r="AR381">
        <f t="shared" si="283"/>
        <v>0</v>
      </c>
      <c r="AS381">
        <f t="shared" si="284"/>
        <v>0</v>
      </c>
      <c r="AT381">
        <f t="shared" si="285"/>
        <v>0</v>
      </c>
      <c r="AU381">
        <f t="shared" si="286"/>
        <v>0</v>
      </c>
      <c r="AV381">
        <f t="shared" si="287"/>
        <v>0</v>
      </c>
      <c r="AW381"/>
      <c r="AX381"/>
      <c r="AY381"/>
      <c r="AZ381" cm="1">
        <f t="array" ref="AZ381">IF(OR(P381={"NS","NA"},BC381={"NS","NA"}),0,IF(P381&lt;=BC381,0,1))</f>
        <v>0</v>
      </c>
      <c r="BA381" cm="1">
        <f t="array" ref="BA381">IF(OR(Q381={"NS","NA"},BD381={"NS","NA"}),0,IF(Q381&lt;=BD381,0,1))</f>
        <v>0</v>
      </c>
      <c r="BB381" cm="1">
        <f t="array" ref="BB381">IF(OR(R381={"NS","NA"},BE381={"NS","NA"}),0,IF(R381&lt;=BE381,0,1))</f>
        <v>0</v>
      </c>
      <c r="BC381">
        <f t="shared" si="288"/>
        <v>0</v>
      </c>
      <c r="BD381">
        <f t="shared" si="289"/>
        <v>0</v>
      </c>
      <c r="BE381">
        <f t="shared" si="290"/>
        <v>0</v>
      </c>
      <c r="BF381" cm="1">
        <f t="array" ref="BF381">IF(OR(S381={"NS","NA"},$P381={"NS","NA"}),0,IF(S381&lt;=$P381,0,1))</f>
        <v>0</v>
      </c>
      <c r="BG381" cm="1">
        <f t="array" ref="BG381">IF(OR(T381={"NS","NA"},$Q381={"NS","NA"}),0,IF(T381&lt;=$Q381,0,1))</f>
        <v>0</v>
      </c>
      <c r="BH381" cm="1">
        <f t="array" ref="BH381">IF(OR(U381={"NS","NA"},$R381={"NS","NA"}),0,IF(U381&lt;=$R381,0,1))</f>
        <v>0</v>
      </c>
      <c r="BI381" cm="1">
        <f t="array" ref="BI381">IF(OR(V381={"NS","NA"},$P381={"NS","NA"}),0,IF(V381&lt;=$P381,0,1))</f>
        <v>0</v>
      </c>
      <c r="BJ381" cm="1">
        <f t="array" ref="BJ381">IF(OR(W381={"NS","NA"},$Q381={"NS","NA"}),0,IF(W381&lt;=$Q381,0,1))</f>
        <v>0</v>
      </c>
      <c r="BK381" cm="1">
        <f t="array" ref="BK381">IF(OR(X381={"NS","NA"},$R381={"NS","NA"}),0,IF(X381&lt;=$R381,0,1))</f>
        <v>0</v>
      </c>
      <c r="BL381" cm="1">
        <f t="array" ref="BL381">IF(OR(Y381={"NS","NA"},$P381={"NS","NA"}),0,IF(Y381&lt;=$P381,0,1))</f>
        <v>0</v>
      </c>
      <c r="BM381" cm="1">
        <f t="array" ref="BM381">IF(OR(Z381={"NS","NA"},$Q381={"NS","NA"}),0,IF(Z381&lt;=$Q381,0,1))</f>
        <v>0</v>
      </c>
      <c r="BN381" cm="1">
        <f t="array" ref="BN381">IF(OR(AA381={"NS","NA"},$R381={"NS","NA"}),0,IF(AA381&lt;=$R381,0,1))</f>
        <v>0</v>
      </c>
      <c r="BO381" cm="1">
        <f t="array" ref="BO381">IF(OR(AB381={"NS","NA"},$R381={"NS","NA"}),0,IF(AB381&lt;=$R381,0,1))</f>
        <v>0</v>
      </c>
      <c r="BP381"/>
      <c r="BQ381"/>
      <c r="BR381"/>
      <c r="CA381"/>
      <c r="CB381"/>
      <c r="CC381"/>
      <c r="CD381"/>
    </row>
    <row r="382" spans="1:82">
      <c r="A382" s="142"/>
      <c r="B382" s="57"/>
      <c r="C382" s="43" t="s">
        <v>2522</v>
      </c>
      <c r="D382" s="813" t="str">
        <f>IF(CNSIPEE_2024_M2_Secc1!D48="","",CNSIPEE_2024_M2_Secc1!D48)</f>
        <v/>
      </c>
      <c r="E382" s="814"/>
      <c r="F382" s="814"/>
      <c r="G382" s="814"/>
      <c r="H382" s="814"/>
      <c r="I382" s="814"/>
      <c r="J382" s="814"/>
      <c r="K382" s="815"/>
      <c r="L382" s="816"/>
      <c r="M382" s="738"/>
      <c r="N382" s="738"/>
      <c r="O382" s="817"/>
      <c r="P382" s="100"/>
      <c r="Q382" s="100"/>
      <c r="R382" s="100"/>
      <c r="S382" s="100"/>
      <c r="T382" s="100"/>
      <c r="U382" s="100"/>
      <c r="V382" s="100"/>
      <c r="W382" s="100"/>
      <c r="X382" s="100"/>
      <c r="Y382" s="100"/>
      <c r="Z382" s="100"/>
      <c r="AA382" s="100"/>
      <c r="AB382" s="816"/>
      <c r="AC382" s="738"/>
      <c r="AD382" s="817"/>
      <c r="AF382">
        <f t="shared" si="273"/>
        <v>0</v>
      </c>
      <c r="AG382">
        <f t="shared" si="274"/>
        <v>0</v>
      </c>
      <c r="AH382">
        <f t="shared" si="275"/>
        <v>0</v>
      </c>
      <c r="AI382"/>
      <c r="AJ382"/>
      <c r="AK382">
        <f t="shared" si="276"/>
        <v>0</v>
      </c>
      <c r="AL382">
        <f t="shared" si="277"/>
        <v>0</v>
      </c>
      <c r="AM382">
        <f t="shared" si="278"/>
        <v>0</v>
      </c>
      <c r="AN382">
        <f t="shared" si="279"/>
        <v>0</v>
      </c>
      <c r="AO382">
        <f t="shared" si="280"/>
        <v>0</v>
      </c>
      <c r="AP382">
        <f t="shared" si="281"/>
        <v>0</v>
      </c>
      <c r="AQ382">
        <f t="shared" si="282"/>
        <v>0</v>
      </c>
      <c r="AR382">
        <f t="shared" si="283"/>
        <v>0</v>
      </c>
      <c r="AS382">
        <f t="shared" si="284"/>
        <v>0</v>
      </c>
      <c r="AT382">
        <f t="shared" si="285"/>
        <v>0</v>
      </c>
      <c r="AU382">
        <f t="shared" si="286"/>
        <v>0</v>
      </c>
      <c r="AV382">
        <f t="shared" si="287"/>
        <v>0</v>
      </c>
      <c r="AW382"/>
      <c r="AX382"/>
      <c r="AY382"/>
      <c r="AZ382" cm="1">
        <f t="array" ref="AZ382">IF(OR(P382={"NS","NA"},BC382={"NS","NA"}),0,IF(P382&lt;=BC382,0,1))</f>
        <v>0</v>
      </c>
      <c r="BA382" cm="1">
        <f t="array" ref="BA382">IF(OR(Q382={"NS","NA"},BD382={"NS","NA"}),0,IF(Q382&lt;=BD382,0,1))</f>
        <v>0</v>
      </c>
      <c r="BB382" cm="1">
        <f t="array" ref="BB382">IF(OR(R382={"NS","NA"},BE382={"NS","NA"}),0,IF(R382&lt;=BE382,0,1))</f>
        <v>0</v>
      </c>
      <c r="BC382">
        <f t="shared" si="288"/>
        <v>0</v>
      </c>
      <c r="BD382">
        <f t="shared" si="289"/>
        <v>0</v>
      </c>
      <c r="BE382">
        <f t="shared" si="290"/>
        <v>0</v>
      </c>
      <c r="BF382" cm="1">
        <f t="array" ref="BF382">IF(OR(S382={"NS","NA"},$P382={"NS","NA"}),0,IF(S382&lt;=$P382,0,1))</f>
        <v>0</v>
      </c>
      <c r="BG382" cm="1">
        <f t="array" ref="BG382">IF(OR(T382={"NS","NA"},$Q382={"NS","NA"}),0,IF(T382&lt;=$Q382,0,1))</f>
        <v>0</v>
      </c>
      <c r="BH382" cm="1">
        <f t="array" ref="BH382">IF(OR(U382={"NS","NA"},$R382={"NS","NA"}),0,IF(U382&lt;=$R382,0,1))</f>
        <v>0</v>
      </c>
      <c r="BI382" cm="1">
        <f t="array" ref="BI382">IF(OR(V382={"NS","NA"},$P382={"NS","NA"}),0,IF(V382&lt;=$P382,0,1))</f>
        <v>0</v>
      </c>
      <c r="BJ382" cm="1">
        <f t="array" ref="BJ382">IF(OR(W382={"NS","NA"},$Q382={"NS","NA"}),0,IF(W382&lt;=$Q382,0,1))</f>
        <v>0</v>
      </c>
      <c r="BK382" cm="1">
        <f t="array" ref="BK382">IF(OR(X382={"NS","NA"},$R382={"NS","NA"}),0,IF(X382&lt;=$R382,0,1))</f>
        <v>0</v>
      </c>
      <c r="BL382" cm="1">
        <f t="array" ref="BL382">IF(OR(Y382={"NS","NA"},$P382={"NS","NA"}),0,IF(Y382&lt;=$P382,0,1))</f>
        <v>0</v>
      </c>
      <c r="BM382" cm="1">
        <f t="array" ref="BM382">IF(OR(Z382={"NS","NA"},$Q382={"NS","NA"}),0,IF(Z382&lt;=$Q382,0,1))</f>
        <v>0</v>
      </c>
      <c r="BN382" cm="1">
        <f t="array" ref="BN382">IF(OR(AA382={"NS","NA"},$R382={"NS","NA"}),0,IF(AA382&lt;=$R382,0,1))</f>
        <v>0</v>
      </c>
      <c r="BO382" cm="1">
        <f t="array" ref="BO382">IF(OR(AB382={"NS","NA"},$R382={"NS","NA"}),0,IF(AB382&lt;=$R382,0,1))</f>
        <v>0</v>
      </c>
      <c r="BP382"/>
      <c r="BQ382"/>
      <c r="BR382"/>
      <c r="CA382"/>
      <c r="CB382"/>
      <c r="CC382"/>
      <c r="CD382"/>
    </row>
    <row r="383" spans="1:82" ht="14.25" customHeight="1">
      <c r="A383" s="142"/>
      <c r="B383" s="57"/>
      <c r="C383" s="43" t="s">
        <v>2523</v>
      </c>
      <c r="D383" s="813" t="str">
        <f>IF(CNSIPEE_2024_M2_Secc1!D49="","",CNSIPEE_2024_M2_Secc1!D49)</f>
        <v/>
      </c>
      <c r="E383" s="814"/>
      <c r="F383" s="814"/>
      <c r="G383" s="814"/>
      <c r="H383" s="814"/>
      <c r="I383" s="814"/>
      <c r="J383" s="814"/>
      <c r="K383" s="815"/>
      <c r="L383" s="816"/>
      <c r="M383" s="738"/>
      <c r="N383" s="738"/>
      <c r="O383" s="817"/>
      <c r="P383" s="100"/>
      <c r="Q383" s="100"/>
      <c r="R383" s="100"/>
      <c r="S383" s="100"/>
      <c r="T383" s="100"/>
      <c r="U383" s="100"/>
      <c r="V383" s="100"/>
      <c r="W383" s="100"/>
      <c r="X383" s="100"/>
      <c r="Y383" s="100"/>
      <c r="Z383" s="100"/>
      <c r="AA383" s="100"/>
      <c r="AB383" s="816"/>
      <c r="AC383" s="738"/>
      <c r="AD383" s="817"/>
      <c r="AF383">
        <f t="shared" si="273"/>
        <v>0</v>
      </c>
      <c r="AG383">
        <f t="shared" si="274"/>
        <v>0</v>
      </c>
      <c r="AH383">
        <f t="shared" si="275"/>
        <v>0</v>
      </c>
      <c r="AI383"/>
      <c r="AJ383"/>
      <c r="AK383">
        <f t="shared" si="276"/>
        <v>0</v>
      </c>
      <c r="AL383">
        <f t="shared" si="277"/>
        <v>0</v>
      </c>
      <c r="AM383">
        <f t="shared" si="278"/>
        <v>0</v>
      </c>
      <c r="AN383">
        <f t="shared" si="279"/>
        <v>0</v>
      </c>
      <c r="AO383">
        <f t="shared" si="280"/>
        <v>0</v>
      </c>
      <c r="AP383">
        <f t="shared" si="281"/>
        <v>0</v>
      </c>
      <c r="AQ383">
        <f t="shared" si="282"/>
        <v>0</v>
      </c>
      <c r="AR383">
        <f t="shared" si="283"/>
        <v>0</v>
      </c>
      <c r="AS383">
        <f t="shared" si="284"/>
        <v>0</v>
      </c>
      <c r="AT383">
        <f t="shared" si="285"/>
        <v>0</v>
      </c>
      <c r="AU383">
        <f t="shared" si="286"/>
        <v>0</v>
      </c>
      <c r="AV383">
        <f t="shared" si="287"/>
        <v>0</v>
      </c>
      <c r="AW383"/>
      <c r="AX383"/>
      <c r="AY383"/>
      <c r="AZ383" cm="1">
        <f t="array" ref="AZ383">IF(OR(P383={"NS","NA"},BC383={"NS","NA"}),0,IF(P383&lt;=BC383,0,1))</f>
        <v>0</v>
      </c>
      <c r="BA383" cm="1">
        <f t="array" ref="BA383">IF(OR(Q383={"NS","NA"},BD383={"NS","NA"}),0,IF(Q383&lt;=BD383,0,1))</f>
        <v>0</v>
      </c>
      <c r="BB383" cm="1">
        <f t="array" ref="BB383">IF(OR(R383={"NS","NA"},BE383={"NS","NA"}),0,IF(R383&lt;=BE383,0,1))</f>
        <v>0</v>
      </c>
      <c r="BC383">
        <f t="shared" si="288"/>
        <v>0</v>
      </c>
      <c r="BD383">
        <f t="shared" si="289"/>
        <v>0</v>
      </c>
      <c r="BE383">
        <f t="shared" si="290"/>
        <v>0</v>
      </c>
      <c r="BF383" cm="1">
        <f t="array" ref="BF383">IF(OR(S383={"NS","NA"},$P383={"NS","NA"}),0,IF(S383&lt;=$P383,0,1))</f>
        <v>0</v>
      </c>
      <c r="BG383" cm="1">
        <f t="array" ref="BG383">IF(OR(T383={"NS","NA"},$Q383={"NS","NA"}),0,IF(T383&lt;=$Q383,0,1))</f>
        <v>0</v>
      </c>
      <c r="BH383" cm="1">
        <f t="array" ref="BH383">IF(OR(U383={"NS","NA"},$R383={"NS","NA"}),0,IF(U383&lt;=$R383,0,1))</f>
        <v>0</v>
      </c>
      <c r="BI383" cm="1">
        <f t="array" ref="BI383">IF(OR(V383={"NS","NA"},$P383={"NS","NA"}),0,IF(V383&lt;=$P383,0,1))</f>
        <v>0</v>
      </c>
      <c r="BJ383" cm="1">
        <f t="array" ref="BJ383">IF(OR(W383={"NS","NA"},$Q383={"NS","NA"}),0,IF(W383&lt;=$Q383,0,1))</f>
        <v>0</v>
      </c>
      <c r="BK383" cm="1">
        <f t="array" ref="BK383">IF(OR(X383={"NS","NA"},$R383={"NS","NA"}),0,IF(X383&lt;=$R383,0,1))</f>
        <v>0</v>
      </c>
      <c r="BL383" cm="1">
        <f t="array" ref="BL383">IF(OR(Y383={"NS","NA"},$P383={"NS","NA"}),0,IF(Y383&lt;=$P383,0,1))</f>
        <v>0</v>
      </c>
      <c r="BM383" cm="1">
        <f t="array" ref="BM383">IF(OR(Z383={"NS","NA"},$Q383={"NS","NA"}),0,IF(Z383&lt;=$Q383,0,1))</f>
        <v>0</v>
      </c>
      <c r="BN383" cm="1">
        <f t="array" ref="BN383">IF(OR(AA383={"NS","NA"},$R383={"NS","NA"}),0,IF(AA383&lt;=$R383,0,1))</f>
        <v>0</v>
      </c>
      <c r="BO383" cm="1">
        <f t="array" ref="BO383">IF(OR(AB383={"NS","NA"},$R383={"NS","NA"}),0,IF(AB383&lt;=$R383,0,1))</f>
        <v>0</v>
      </c>
      <c r="BP383"/>
      <c r="BQ383"/>
      <c r="BR383"/>
      <c r="CA383"/>
      <c r="CB383"/>
      <c r="CC383"/>
      <c r="CD383"/>
    </row>
    <row r="384" spans="1:82" ht="14.25" customHeight="1">
      <c r="A384" s="142"/>
      <c r="B384" s="57"/>
      <c r="C384" s="86"/>
      <c r="D384" s="86"/>
      <c r="E384" s="86"/>
      <c r="F384" s="86"/>
      <c r="G384" s="86"/>
      <c r="H384" s="86"/>
      <c r="I384" s="86"/>
      <c r="J384" s="86"/>
      <c r="K384" s="86"/>
      <c r="O384" s="99" t="s">
        <v>2649</v>
      </c>
      <c r="P384" s="124">
        <f>IF(AND(SUM(P376:P383)=0,COUNTIF(P376:P383,"NS")&gt;0),"NS",IF(AND(SUM(P376:P383)=0,COUNTIF(P376:P383,0)&gt;0),0,IF(AND(SUM(P376:P383)=0,COUNTIF(P376:P383,"NA")&gt;0),"NA",SUM(P376:P383))))</f>
        <v>0</v>
      </c>
      <c r="Q384" s="124">
        <f t="shared" ref="Q384:AA384" si="291">IF(AND(SUM(Q376:Q383)=0,COUNTIF(Q376:Q383,"NS")&gt;0),"NS",IF(AND(SUM(Q376:Q383)=0,COUNTIF(Q376:Q383,0)&gt;0),0,IF(AND(SUM(Q376:Q383)=0,COUNTIF(Q376:Q383,"NA")&gt;0),"NA",SUM(Q376:Q383))))</f>
        <v>0</v>
      </c>
      <c r="R384" s="124">
        <f t="shared" si="291"/>
        <v>0</v>
      </c>
      <c r="S384" s="124">
        <f t="shared" si="291"/>
        <v>0</v>
      </c>
      <c r="T384" s="124">
        <f t="shared" si="291"/>
        <v>0</v>
      </c>
      <c r="U384" s="124">
        <f t="shared" si="291"/>
        <v>0</v>
      </c>
      <c r="V384" s="124">
        <f t="shared" si="291"/>
        <v>0</v>
      </c>
      <c r="W384" s="124">
        <f t="shared" si="291"/>
        <v>0</v>
      </c>
      <c r="X384" s="124">
        <f t="shared" si="291"/>
        <v>0</v>
      </c>
      <c r="Y384" s="124">
        <f t="shared" si="291"/>
        <v>0</v>
      </c>
      <c r="Z384" s="124">
        <f t="shared" si="291"/>
        <v>0</v>
      </c>
      <c r="AA384" s="124">
        <f t="shared" si="291"/>
        <v>0</v>
      </c>
      <c r="AB384" s="736">
        <f>IF(AND(SUM(AB376:AB383)=0,COUNTIF(AB376:AB383,"NS")&gt;0),"NS",IF(AND(SUM(AB376:AB383)=0,COUNTIF(AB376:AB383,0)&gt;0),0,IF(AND(SUM(AB376:AB383)=0,COUNTIF(AB376:AB383,"NA")&gt;0),"NA",SUM(AB376:AB383))))</f>
        <v>0</v>
      </c>
      <c r="AC384" s="1085"/>
      <c r="AD384" s="1086"/>
      <c r="AF384" s="507">
        <f>SUM(AF376:AF383)</f>
        <v>0</v>
      </c>
      <c r="AG384" s="507">
        <f>SUM(AG376:AG383)</f>
        <v>0</v>
      </c>
      <c r="AH384" s="507">
        <f>SUM(AH376:AH383)</f>
        <v>0</v>
      </c>
      <c r="AJ384"/>
      <c r="AK384">
        <f>SUM(AK376:AK383)</f>
        <v>0</v>
      </c>
      <c r="AM384">
        <f>SUM(AM376:AM383)</f>
        <v>0</v>
      </c>
      <c r="AN384">
        <f>SUM(AN376:AN383)</f>
        <v>0</v>
      </c>
      <c r="AP384">
        <f>SUM(AP376:AP383)</f>
        <v>0</v>
      </c>
      <c r="AQ384">
        <f>SUM(AQ376:AQ383)</f>
        <v>0</v>
      </c>
      <c r="AS384">
        <f>SUM(AS376:AS383)</f>
        <v>0</v>
      </c>
      <c r="AT384">
        <f>SUM(AT376:AT383)</f>
        <v>0</v>
      </c>
      <c r="AV384">
        <f>SUM(AV376:AV383)</f>
        <v>0</v>
      </c>
      <c r="AW384"/>
      <c r="AY384"/>
      <c r="BB384" s="507">
        <f>SUM(AZ376:BB383)</f>
        <v>0</v>
      </c>
      <c r="BO384" s="693">
        <f>SUM(BF376:BO383)</f>
        <v>0</v>
      </c>
      <c r="BR384"/>
      <c r="CA384"/>
      <c r="CB384"/>
      <c r="CC384"/>
      <c r="CD384"/>
    </row>
    <row r="385" spans="1:82">
      <c r="A385" s="142"/>
      <c r="B385" s="57"/>
      <c r="C385" s="70"/>
      <c r="D385" s="86"/>
      <c r="E385" s="86"/>
      <c r="F385" s="86"/>
      <c r="G385" s="86"/>
      <c r="H385" s="86"/>
      <c r="I385" s="86"/>
      <c r="J385" s="86"/>
      <c r="K385" s="86"/>
      <c r="L385" s="86"/>
      <c r="M385" s="86"/>
      <c r="N385" s="86"/>
      <c r="O385" s="86"/>
      <c r="P385" s="86"/>
      <c r="Q385" s="86"/>
      <c r="R385" s="86"/>
      <c r="S385" s="86"/>
      <c r="T385" s="86"/>
      <c r="U385" s="86"/>
      <c r="V385" s="86"/>
      <c r="W385" s="86"/>
      <c r="X385" s="86"/>
      <c r="Y385" s="86"/>
      <c r="Z385" s="86"/>
      <c r="AA385" s="214"/>
      <c r="AB385" s="214"/>
      <c r="AC385" s="214"/>
      <c r="AD385" s="214"/>
      <c r="AM385" s="590">
        <f>SUM(AM384,AP384,AS384,AV384)</f>
        <v>0</v>
      </c>
      <c r="CA385"/>
      <c r="CB385"/>
      <c r="CC385"/>
      <c r="CD385"/>
    </row>
    <row r="386" spans="1:82">
      <c r="A386" s="169"/>
      <c r="B386" s="90"/>
      <c r="C386" s="90"/>
      <c r="D386" s="90"/>
      <c r="E386" s="90"/>
      <c r="F386" s="90"/>
      <c r="G386" s="90"/>
      <c r="H386" s="90"/>
      <c r="I386" s="90"/>
      <c r="J386" s="90"/>
      <c r="K386" s="90"/>
      <c r="L386" s="90"/>
      <c r="M386" s="90"/>
      <c r="N386" s="90"/>
      <c r="O386" s="90"/>
      <c r="P386" s="90"/>
      <c r="Q386" s="90"/>
      <c r="R386" s="90"/>
      <c r="S386" s="90"/>
      <c r="T386" s="90"/>
      <c r="U386" s="90"/>
      <c r="V386" s="90"/>
      <c r="W386" s="90"/>
      <c r="X386" s="90"/>
      <c r="Y386" s="90"/>
      <c r="Z386" s="90"/>
      <c r="AA386" s="873" t="s">
        <v>2668</v>
      </c>
      <c r="AB386" s="873"/>
      <c r="AC386" s="873"/>
      <c r="AD386" s="873"/>
      <c r="CA386"/>
      <c r="CB386"/>
      <c r="CC386"/>
      <c r="CD386"/>
    </row>
    <row r="387" spans="1:82" ht="24" customHeight="1">
      <c r="A387" s="50"/>
      <c r="B387" s="57"/>
      <c r="C387" s="797" t="s">
        <v>2581</v>
      </c>
      <c r="D387" s="798"/>
      <c r="E387" s="798"/>
      <c r="F387" s="799"/>
      <c r="G387" s="739" t="s">
        <v>5921</v>
      </c>
      <c r="H387" s="740"/>
      <c r="I387" s="740"/>
      <c r="J387" s="740"/>
      <c r="K387" s="740"/>
      <c r="L387" s="740"/>
      <c r="M387" s="740"/>
      <c r="N387" s="740"/>
      <c r="O387" s="740"/>
      <c r="P387" s="740"/>
      <c r="Q387" s="740"/>
      <c r="R387" s="740"/>
      <c r="S387" s="740"/>
      <c r="T387" s="740"/>
      <c r="U387" s="740"/>
      <c r="V387" s="740"/>
      <c r="W387" s="740"/>
      <c r="X387" s="740"/>
      <c r="Y387" s="740"/>
      <c r="Z387" s="740"/>
      <c r="AA387" s="740"/>
      <c r="AB387" s="740"/>
      <c r="AC387" s="740"/>
      <c r="AD387" s="741"/>
      <c r="CA387"/>
      <c r="CB387"/>
      <c r="CC387"/>
      <c r="CD387"/>
    </row>
    <row r="388" spans="1:82" ht="15" customHeight="1">
      <c r="A388" s="50"/>
      <c r="B388" s="57"/>
      <c r="C388" s="800"/>
      <c r="D388" s="801"/>
      <c r="E388" s="801"/>
      <c r="F388" s="802"/>
      <c r="G388" s="733" t="s">
        <v>5922</v>
      </c>
      <c r="H388" s="734"/>
      <c r="I388" s="734"/>
      <c r="J388" s="734"/>
      <c r="K388" s="734"/>
      <c r="L388" s="734"/>
      <c r="M388" s="734"/>
      <c r="N388" s="734"/>
      <c r="O388" s="734"/>
      <c r="P388" s="734"/>
      <c r="Q388" s="734"/>
      <c r="R388" s="734"/>
      <c r="S388" s="734"/>
      <c r="T388" s="734"/>
      <c r="U388" s="734"/>
      <c r="V388" s="734"/>
      <c r="W388" s="734"/>
      <c r="X388" s="734"/>
      <c r="Y388" s="734"/>
      <c r="Z388" s="734"/>
      <c r="AA388" s="734"/>
      <c r="AB388" s="734"/>
      <c r="AC388" s="734"/>
      <c r="AD388" s="735"/>
      <c r="CA388"/>
      <c r="CB388"/>
      <c r="CC388"/>
      <c r="CD388"/>
    </row>
    <row r="389" spans="1:82" ht="120" customHeight="1">
      <c r="A389" s="50"/>
      <c r="B389" s="57"/>
      <c r="C389" s="800"/>
      <c r="D389" s="801"/>
      <c r="E389" s="801"/>
      <c r="F389" s="802"/>
      <c r="G389" s="857" t="s">
        <v>2969</v>
      </c>
      <c r="H389" s="857"/>
      <c r="I389" s="857"/>
      <c r="J389" s="857" t="s">
        <v>2971</v>
      </c>
      <c r="K389" s="857"/>
      <c r="L389" s="857"/>
      <c r="M389" s="857" t="s">
        <v>2973</v>
      </c>
      <c r="N389" s="857"/>
      <c r="O389" s="857"/>
      <c r="P389" s="857" t="s">
        <v>2975</v>
      </c>
      <c r="Q389" s="857"/>
      <c r="R389" s="857"/>
      <c r="S389" s="857" t="s">
        <v>2977</v>
      </c>
      <c r="T389" s="857"/>
      <c r="U389" s="857"/>
      <c r="V389" s="857" t="s">
        <v>5927</v>
      </c>
      <c r="W389" s="857"/>
      <c r="X389" s="857"/>
      <c r="Y389" s="857" t="s">
        <v>2966</v>
      </c>
      <c r="Z389" s="857"/>
      <c r="AA389" s="857"/>
      <c r="AB389" s="857" t="s">
        <v>5928</v>
      </c>
      <c r="AC389" s="857"/>
      <c r="AD389" s="857"/>
      <c r="CA389"/>
      <c r="CB389"/>
      <c r="CC389"/>
      <c r="CD389"/>
    </row>
    <row r="390" spans="1:82" ht="48" customHeight="1">
      <c r="A390" s="50"/>
      <c r="B390" s="57"/>
      <c r="C390" s="803"/>
      <c r="D390" s="804"/>
      <c r="E390" s="804"/>
      <c r="F390" s="805"/>
      <c r="G390" s="127" t="s">
        <v>2635</v>
      </c>
      <c r="H390" s="128" t="s">
        <v>2629</v>
      </c>
      <c r="I390" s="128" t="s">
        <v>2630</v>
      </c>
      <c r="J390" s="127" t="s">
        <v>2635</v>
      </c>
      <c r="K390" s="128" t="s">
        <v>2629</v>
      </c>
      <c r="L390" s="128" t="s">
        <v>2630</v>
      </c>
      <c r="M390" s="127" t="s">
        <v>2635</v>
      </c>
      <c r="N390" s="128" t="s">
        <v>2629</v>
      </c>
      <c r="O390" s="128" t="s">
        <v>2630</v>
      </c>
      <c r="P390" s="127" t="s">
        <v>2635</v>
      </c>
      <c r="Q390" s="128" t="s">
        <v>2629</v>
      </c>
      <c r="R390" s="128" t="s">
        <v>2630</v>
      </c>
      <c r="S390" s="127" t="s">
        <v>2635</v>
      </c>
      <c r="T390" s="128" t="s">
        <v>2629</v>
      </c>
      <c r="U390" s="128" t="s">
        <v>2630</v>
      </c>
      <c r="V390" s="127" t="s">
        <v>2635</v>
      </c>
      <c r="W390" s="128" t="s">
        <v>2629</v>
      </c>
      <c r="X390" s="128" t="s">
        <v>2630</v>
      </c>
      <c r="Y390" s="127" t="s">
        <v>2635</v>
      </c>
      <c r="Z390" s="128" t="s">
        <v>2629</v>
      </c>
      <c r="AA390" s="128" t="s">
        <v>2630</v>
      </c>
      <c r="AB390" s="127" t="s">
        <v>2635</v>
      </c>
      <c r="AC390" s="128" t="s">
        <v>2629</v>
      </c>
      <c r="AD390" s="128" t="s">
        <v>2630</v>
      </c>
      <c r="AH390" t="s">
        <v>4573</v>
      </c>
      <c r="AI390" t="s">
        <v>2638</v>
      </c>
      <c r="AJ390" t="s">
        <v>2639</v>
      </c>
      <c r="AK390" t="s">
        <v>4574</v>
      </c>
      <c r="AL390" t="s">
        <v>2641</v>
      </c>
      <c r="AM390" t="s">
        <v>2642</v>
      </c>
      <c r="AN390" t="s">
        <v>4575</v>
      </c>
      <c r="AO390" t="s">
        <v>2644</v>
      </c>
      <c r="AP390" t="s">
        <v>2645</v>
      </c>
      <c r="AQ390" t="s">
        <v>4576</v>
      </c>
      <c r="AR390" t="s">
        <v>2647</v>
      </c>
      <c r="AS390" t="s">
        <v>2648</v>
      </c>
      <c r="AT390" t="s">
        <v>5177</v>
      </c>
      <c r="AU390" t="s">
        <v>2757</v>
      </c>
      <c r="AV390" t="s">
        <v>2758</v>
      </c>
      <c r="AW390" t="s">
        <v>5194</v>
      </c>
      <c r="AX390" t="s">
        <v>2760</v>
      </c>
      <c r="AY390" t="s">
        <v>2761</v>
      </c>
      <c r="AZ390" t="s">
        <v>5195</v>
      </c>
      <c r="BA390" t="s">
        <v>2763</v>
      </c>
      <c r="BB390" t="s">
        <v>2764</v>
      </c>
      <c r="BC390" t="s">
        <v>5563</v>
      </c>
      <c r="BD390" t="s">
        <v>2766</v>
      </c>
      <c r="BE390" t="s">
        <v>2767</v>
      </c>
      <c r="BF390" t="s">
        <v>5841</v>
      </c>
      <c r="BG390"/>
      <c r="BH390"/>
      <c r="BI390"/>
      <c r="BJ390"/>
      <c r="BK390"/>
      <c r="BL390"/>
      <c r="BM390"/>
      <c r="BN390"/>
      <c r="BO390"/>
      <c r="BP390"/>
      <c r="BQ390"/>
      <c r="BR390"/>
      <c r="BS390"/>
      <c r="BT390"/>
      <c r="BU390"/>
      <c r="BV390"/>
      <c r="BW390"/>
      <c r="BX390"/>
      <c r="BY390"/>
      <c r="BZ390"/>
      <c r="CA390"/>
      <c r="CB390"/>
      <c r="CC390"/>
      <c r="CD390"/>
    </row>
    <row r="391" spans="1:82">
      <c r="A391" s="142"/>
      <c r="B391" s="57"/>
      <c r="C391" s="44" t="s">
        <v>2516</v>
      </c>
      <c r="D391" s="814" t="str">
        <f>IF(CNSIPEE_2024_M2_Secc1!D42="","",CNSIPEE_2024_M2_Secc1!D42)</f>
        <v/>
      </c>
      <c r="E391" s="814"/>
      <c r="F391" s="815"/>
      <c r="G391" s="100"/>
      <c r="H391" s="100"/>
      <c r="I391" s="100"/>
      <c r="J391" s="100"/>
      <c r="K391" s="100"/>
      <c r="L391" s="100"/>
      <c r="M391" s="100"/>
      <c r="N391" s="100"/>
      <c r="O391" s="100"/>
      <c r="P391" s="100"/>
      <c r="Q391" s="100"/>
      <c r="R391" s="100"/>
      <c r="S391" s="100"/>
      <c r="T391" s="100"/>
      <c r="U391" s="100"/>
      <c r="V391" s="100"/>
      <c r="W391" s="100"/>
      <c r="X391" s="100"/>
      <c r="Y391" s="100"/>
      <c r="Z391" s="100"/>
      <c r="AA391" s="100"/>
      <c r="AB391" s="100"/>
      <c r="AC391" s="100"/>
      <c r="AD391" s="100"/>
      <c r="AH391">
        <f t="shared" ref="AH391:AH398" si="292">COUNTIF(H391:I391,"NS")</f>
        <v>0</v>
      </c>
      <c r="AI391">
        <f t="shared" ref="AI391:AI398" si="293">SUM(H391:I391)</f>
        <v>0</v>
      </c>
      <c r="AJ391">
        <f t="shared" ref="AJ391:AJ398" si="294">IF(COUNTIF(G391:I391,"NA")=3,0,IF(COUNTA(G391:I391)=0,0,IF(OR(AND(G391=0,AH391&gt;0),AND(G391="ns",AI391&gt;0),AND(G391="ns",AH391=0,AI391=0)),1,IF(OR(AND(G391&gt;0,AH391=2),AND(G391="ns",AH391=2),AND(G391="ns",AI391=0,AH391&gt;0),G391=AI391),0,1))))</f>
        <v>0</v>
      </c>
      <c r="AK391">
        <f t="shared" ref="AK391:AK398" si="295">COUNTIF(K391:L391,"NS")</f>
        <v>0</v>
      </c>
      <c r="AL391">
        <f t="shared" ref="AL391:AL398" si="296">SUM(K391:L391)</f>
        <v>0</v>
      </c>
      <c r="AM391">
        <f t="shared" ref="AM391:AM398" si="297">IF(COUNTIF(J391:L391,"NA")=3,0,IF(COUNTA(J391:L391)=0,0,IF(OR(AND(J391=0,AK391&gt;0),AND(J391="ns",AL391&gt;0),AND(J391="ns",AK391=0,AL391=0)),1,IF(OR(AND(J391&gt;0,AK391=2),AND(J391="ns",AK391=2),AND(J391="ns",AL391=0,AK391&gt;0),J391=AL391),0,1))))</f>
        <v>0</v>
      </c>
      <c r="AN391">
        <f t="shared" ref="AN391:AN398" si="298">COUNTIF(N391:O391,"NS")</f>
        <v>0</v>
      </c>
      <c r="AO391">
        <f t="shared" ref="AO391:AO398" si="299">SUM(N391:O391)</f>
        <v>0</v>
      </c>
      <c r="AP391">
        <f t="shared" ref="AP391:AP398" si="300">IF(COUNTIF(M391:O391,"NA")=3,0,IF(COUNTA(M391:O391)=0,0,IF(OR(AND(M391=0,AN391&gt;0),AND(M391="ns",AO391&gt;0),AND(M391="ns",AN391=0,AO391=0)),1,IF(OR(AND(M391&gt;0,AN391=2),AND(M391="ns",AN391=2),AND(M391="ns",AO391=0,AN391&gt;0),M391=AO391),0,1))))</f>
        <v>0</v>
      </c>
      <c r="AQ391">
        <f t="shared" ref="AQ391:AQ398" si="301">COUNTIF(Q391:R391,"NS")</f>
        <v>0</v>
      </c>
      <c r="AR391">
        <f t="shared" ref="AR391:AR398" si="302">SUM(Q391:R391)</f>
        <v>0</v>
      </c>
      <c r="AS391">
        <f t="shared" ref="AS391:AS398" si="303">IF(COUNTIF(P391:R391,"NA")=3,0,IF(COUNTA(P391:R391)=0,0,IF(OR(AND(P391=0,AQ391&gt;0),AND(P391="ns",AR391&gt;0),AND(P391="ns",AQ391=0,AR391=0)),1,IF(OR(AND(P391&gt;0,AQ391=2),AND(P391="ns",AQ391=2),AND(P391="ns",AR391=0,AQ391&gt;0),P391=AR391),0,1))))</f>
        <v>0</v>
      </c>
      <c r="AT391">
        <f t="shared" ref="AT391:AT398" si="304">COUNTIF(T391:U391,"NS")</f>
        <v>0</v>
      </c>
      <c r="AU391">
        <f t="shared" ref="AU391:AU398" si="305">SUM(T391:U391)</f>
        <v>0</v>
      </c>
      <c r="AV391">
        <f t="shared" ref="AV391:AV398" si="306">IF(COUNTIF(S391:U391,"NA")=3,0,IF(COUNTA(S391:U391)=0,0,IF(OR(AND(S391=0,AT391&gt;0),AND(S391="ns",AU391&gt;0),AND(S391="ns",AT391=0,AU391=0)),1,IF(OR(AND(S391&gt;0,AT391=2),AND(S391="ns",AT391=2),AND(S391="ns",AU391=0,AT391&gt;0),S391=AU391),0,1))))</f>
        <v>0</v>
      </c>
      <c r="AW391">
        <f t="shared" ref="AW391:AW398" si="307">COUNTIF(W391:X391,"NS")</f>
        <v>0</v>
      </c>
      <c r="AX391">
        <f t="shared" ref="AX391:AX398" si="308">SUM(W391:X391)</f>
        <v>0</v>
      </c>
      <c r="AY391">
        <f t="shared" ref="AY391:AY398" si="309">IF(COUNTIF(V391:X391,"NA")=3,0,IF(COUNTA(V391:X391)=0,0,IF(OR(AND(V391=0,AW391&gt;0),AND(V391="ns",AX391&gt;0),AND(V391="ns",AW391=0,AX391=0)),1,IF(OR(AND(V391&gt;0,AW391=2),AND(V391="ns",AW391=2),AND(V391="ns",AX391=0,AW391&gt;0),V391=AX391),0,1))))</f>
        <v>0</v>
      </c>
      <c r="AZ391">
        <f t="shared" ref="AZ391:AZ398" si="310">COUNTIF(Z391:AA391,"NS")</f>
        <v>0</v>
      </c>
      <c r="BA391">
        <f t="shared" ref="BA391:BA398" si="311">SUM(Z391:AA391)</f>
        <v>0</v>
      </c>
      <c r="BB391">
        <f t="shared" ref="BB391:BB398" si="312">IF(COUNTIF(Y391:AA391,"NA")=3,0,IF(COUNTA(Y391:AA391)=0,0,IF(OR(AND(Y391=0,AZ391&gt;0),AND(Y391="ns",BA391&gt;0),AND(Y391="ns",AZ391=0,BA391=0)),1,IF(OR(AND(Y391&gt;0,AZ391=2),AND(Y391="ns",AZ391=2),AND(Y391="ns",BA391=0,AZ391&gt;0),Y391=BA391),0,1))))</f>
        <v>0</v>
      </c>
      <c r="BC391">
        <f t="shared" ref="BC391:BC398" si="313">COUNTIF(AC391:AD391,"NS")</f>
        <v>0</v>
      </c>
      <c r="BD391">
        <f t="shared" ref="BD391:BD398" si="314">SUM(AC391:AD391)</f>
        <v>0</v>
      </c>
      <c r="BE391">
        <f t="shared" ref="BE391:BE398" si="315">IF(COUNTIF(AB391:AD391,"NA")=3,0,IF(COUNTA(AB391:AD391)=0,0,IF(OR(AND(AB391=0,BC391&gt;0),AND(AB391="ns",BD391&gt;0),AND(AB391="ns",BC391=0,BD391=0)),1,IF(OR(AND(AB391&gt;0,BC391=2),AND(AB391="ns",BC391=2),AND(AB391="ns",BD391=0,BC391&gt;0),AB391=BD391),0,1))))</f>
        <v>0</v>
      </c>
      <c r="BF391" cm="1">
        <f t="array" ref="BF391">IF(OR(G391={"NS","NA"},$P376={"NS","NA"}),0,IF(G391&lt;=$P376,0,1))</f>
        <v>0</v>
      </c>
      <c r="BG391" cm="1">
        <f t="array" ref="BG391">IF(OR(H391={"NS","NA"},$Q376={"NS","NA"}),0,IF(H391&lt;=$Q376,0,1))</f>
        <v>0</v>
      </c>
      <c r="BH391" cm="1">
        <f t="array" ref="BH391">IF(OR(I391={"NS","NA"},$R376={"NS","NA"}),0,IF(I391&lt;=$R376,0,1))</f>
        <v>0</v>
      </c>
      <c r="BI391" cm="1">
        <f t="array" ref="BI391">IF(OR(J391={"NS","NA"},$P376={"NS","NA"}),0,IF(J391&lt;=$P376,0,1))</f>
        <v>0</v>
      </c>
      <c r="BJ391" cm="1">
        <f t="array" ref="BJ391">IF(OR(K391={"NS","NA"},$Q376={"NS","NA"}),0,IF(K391&lt;=$Q376,0,1))</f>
        <v>0</v>
      </c>
      <c r="BK391" cm="1">
        <f t="array" ref="BK391">IF(OR(L391={"NS","NA"},$R376={"NS","NA"}),0,IF(L391&lt;=$R376,0,1))</f>
        <v>0</v>
      </c>
      <c r="BL391" cm="1">
        <f t="array" ref="BL391">IF(OR(M391={"NS","NA"},$P376={"NS","NA"}),0,IF(M391&lt;=$P376,0,1))</f>
        <v>0</v>
      </c>
      <c r="BM391" cm="1">
        <f t="array" ref="BM391">IF(OR(N391={"NS","NA"},$Q376={"NS","NA"}),0,IF(N391&lt;=$Q376,0,1))</f>
        <v>0</v>
      </c>
      <c r="BN391" cm="1">
        <f t="array" ref="BN391">IF(OR(O391={"NS","NA"},$R376={"NS","NA"}),0,IF(O391&lt;=$R376,0,1))</f>
        <v>0</v>
      </c>
      <c r="BO391" cm="1">
        <f t="array" ref="BO391">IF(OR(P391={"NS","NA"},$P376={"NS","NA"}),0,IF(P391&lt;=$P376,0,1))</f>
        <v>0</v>
      </c>
      <c r="BP391" cm="1">
        <f t="array" ref="BP391">IF(OR(Q391={"NS","NA"},$Q376={"NS","NA"}),0,IF(Q391&lt;=$Q376,0,1))</f>
        <v>0</v>
      </c>
      <c r="BQ391" cm="1">
        <f t="array" ref="BQ391">IF(OR(R391={"NS","NA"},$R376={"NS","NA"}),0,IF(R391&lt;=$R376,0,1))</f>
        <v>0</v>
      </c>
      <c r="BR391" cm="1">
        <f t="array" ref="BR391">IF(OR(S391={"NS","NA"},$P376={"NS","NA"}),0,IF(S391&lt;=$P376,0,1))</f>
        <v>0</v>
      </c>
      <c r="BS391" cm="1">
        <f t="array" ref="BS391">IF(OR(T391={"NS","NA"},$Q376={"NS","NA"}),0,IF(T391&lt;=$Q376,0,1))</f>
        <v>0</v>
      </c>
      <c r="BT391" cm="1">
        <f t="array" ref="BT391">IF(OR(U391={"NS","NA"},$R376={"NS","NA"}),0,IF(U391&lt;=$R376,0,1))</f>
        <v>0</v>
      </c>
      <c r="BU391" cm="1">
        <f t="array" ref="BU391">IF(OR(V391={"NS","NA"},$P376={"NS","NA"}),0,IF(V391&lt;=$P376,0,1))</f>
        <v>0</v>
      </c>
      <c r="BV391" cm="1">
        <f t="array" ref="BV391">IF(OR(W391={"NS","NA"},$Q376={"NS","NA"}),0,IF(W391&lt;=$Q376,0,1))</f>
        <v>0</v>
      </c>
      <c r="BW391" cm="1">
        <f t="array" ref="BW391">IF(OR(X391={"NS","NA"},$R376={"NS","NA"}),0,IF(X391&lt;=$R376,0,1))</f>
        <v>0</v>
      </c>
      <c r="BX391" cm="1">
        <f t="array" ref="BX391">IF(OR(Y391={"NS","NA"},$P376={"NS","NA"}),0,IF(Y391&lt;=$P376,0,1))</f>
        <v>0</v>
      </c>
      <c r="BY391" cm="1">
        <f t="array" ref="BY391">IF(OR(Z391={"NS","NA"},$Q376={"NS","NA"}),0,IF(Z391&lt;=$Q376,0,1))</f>
        <v>0</v>
      </c>
      <c r="BZ391" cm="1">
        <f t="array" ref="BZ391">IF(OR(AA391={"NS","NA"},$R376={"NS","NA"}),0,IF(AA391&lt;=$R376,0,1))</f>
        <v>0</v>
      </c>
      <c r="CA391" cm="1">
        <f t="array" ref="CA391">IF(OR(AB391={"NS","NA"},$P376={"NS","NA"}),0,IF(AB391&lt;=$P376,0,1))</f>
        <v>0</v>
      </c>
      <c r="CB391" cm="1">
        <f t="array" ref="CB391">IF(OR(AC391={"NS","NA"},$Q376={"NS","NA"}),0,IF(AC391&lt;=$Q376,0,1))</f>
        <v>0</v>
      </c>
      <c r="CC391" cm="1">
        <f t="array" ref="CC391">IF(OR(AD391={"NS","NA"},$R376={"NS","NA"}),0,IF(AD391&lt;=$R376,0,1))</f>
        <v>0</v>
      </c>
      <c r="CD391"/>
    </row>
    <row r="392" spans="1:82">
      <c r="A392" s="142"/>
      <c r="B392" s="57"/>
      <c r="C392" s="199" t="s">
        <v>2517</v>
      </c>
      <c r="D392" s="814" t="str">
        <f>IF(CNSIPEE_2024_M2_Secc1!D43="","",CNSIPEE_2024_M2_Secc1!D43)</f>
        <v/>
      </c>
      <c r="E392" s="814"/>
      <c r="F392" s="815"/>
      <c r="G392" s="100"/>
      <c r="H392" s="100"/>
      <c r="I392" s="100"/>
      <c r="J392" s="100"/>
      <c r="K392" s="100"/>
      <c r="L392" s="100"/>
      <c r="M392" s="100"/>
      <c r="N392" s="100"/>
      <c r="O392" s="100"/>
      <c r="P392" s="100"/>
      <c r="Q392" s="100"/>
      <c r="R392" s="100"/>
      <c r="S392" s="100"/>
      <c r="T392" s="100"/>
      <c r="U392" s="100"/>
      <c r="V392" s="100"/>
      <c r="W392" s="100"/>
      <c r="X392" s="100"/>
      <c r="Y392" s="100"/>
      <c r="Z392" s="100"/>
      <c r="AA392" s="100"/>
      <c r="AB392" s="100"/>
      <c r="AC392" s="100"/>
      <c r="AD392" s="100"/>
      <c r="AH392">
        <f t="shared" si="292"/>
        <v>0</v>
      </c>
      <c r="AI392">
        <f t="shared" si="293"/>
        <v>0</v>
      </c>
      <c r="AJ392">
        <f t="shared" si="294"/>
        <v>0</v>
      </c>
      <c r="AK392">
        <f t="shared" si="295"/>
        <v>0</v>
      </c>
      <c r="AL392">
        <f t="shared" si="296"/>
        <v>0</v>
      </c>
      <c r="AM392">
        <f t="shared" si="297"/>
        <v>0</v>
      </c>
      <c r="AN392">
        <f t="shared" si="298"/>
        <v>0</v>
      </c>
      <c r="AO392">
        <f t="shared" si="299"/>
        <v>0</v>
      </c>
      <c r="AP392">
        <f t="shared" si="300"/>
        <v>0</v>
      </c>
      <c r="AQ392">
        <f t="shared" si="301"/>
        <v>0</v>
      </c>
      <c r="AR392">
        <f t="shared" si="302"/>
        <v>0</v>
      </c>
      <c r="AS392">
        <f t="shared" si="303"/>
        <v>0</v>
      </c>
      <c r="AT392">
        <f t="shared" si="304"/>
        <v>0</v>
      </c>
      <c r="AU392">
        <f t="shared" si="305"/>
        <v>0</v>
      </c>
      <c r="AV392">
        <f t="shared" si="306"/>
        <v>0</v>
      </c>
      <c r="AW392">
        <f t="shared" si="307"/>
        <v>0</v>
      </c>
      <c r="AX392">
        <f t="shared" si="308"/>
        <v>0</v>
      </c>
      <c r="AY392">
        <f t="shared" si="309"/>
        <v>0</v>
      </c>
      <c r="AZ392">
        <f t="shared" si="310"/>
        <v>0</v>
      </c>
      <c r="BA392">
        <f t="shared" si="311"/>
        <v>0</v>
      </c>
      <c r="BB392">
        <f t="shared" si="312"/>
        <v>0</v>
      </c>
      <c r="BC392">
        <f t="shared" si="313"/>
        <v>0</v>
      </c>
      <c r="BD392">
        <f t="shared" si="314"/>
        <v>0</v>
      </c>
      <c r="BE392">
        <f t="shared" si="315"/>
        <v>0</v>
      </c>
      <c r="BF392" cm="1">
        <f t="array" ref="BF392">IF(OR(G392={"NS","NA"},$P377={"NS","NA"}),0,IF(G392&lt;=$P377,0,1))</f>
        <v>0</v>
      </c>
      <c r="BG392" cm="1">
        <f t="array" ref="BG392">IF(OR(H392={"NS","NA"},$Q377={"NS","NA"}),0,IF(H392&lt;=$Q377,0,1))</f>
        <v>0</v>
      </c>
      <c r="BH392" cm="1">
        <f t="array" ref="BH392">IF(OR(I392={"NS","NA"},$R377={"NS","NA"}),0,IF(I392&lt;=$R377,0,1))</f>
        <v>0</v>
      </c>
      <c r="BI392" cm="1">
        <f t="array" ref="BI392">IF(OR(J392={"NS","NA"},$P377={"NS","NA"}),0,IF(J392&lt;=$P377,0,1))</f>
        <v>0</v>
      </c>
      <c r="BJ392" cm="1">
        <f t="array" ref="BJ392">IF(OR(K392={"NS","NA"},$Q377={"NS","NA"}),0,IF(K392&lt;=$Q377,0,1))</f>
        <v>0</v>
      </c>
      <c r="BK392" cm="1">
        <f t="array" ref="BK392">IF(OR(L392={"NS","NA"},$R377={"NS","NA"}),0,IF(L392&lt;=$R377,0,1))</f>
        <v>0</v>
      </c>
      <c r="BL392" cm="1">
        <f t="array" ref="BL392">IF(OR(M392={"NS","NA"},$P377={"NS","NA"}),0,IF(M392&lt;=$P377,0,1))</f>
        <v>0</v>
      </c>
      <c r="BM392" cm="1">
        <f t="array" ref="BM392">IF(OR(N392={"NS","NA"},$Q377={"NS","NA"}),0,IF(N392&lt;=$Q377,0,1))</f>
        <v>0</v>
      </c>
      <c r="BN392" cm="1">
        <f t="array" ref="BN392">IF(OR(O392={"NS","NA"},$R377={"NS","NA"}),0,IF(O392&lt;=$R377,0,1))</f>
        <v>0</v>
      </c>
      <c r="BO392" cm="1">
        <f t="array" ref="BO392">IF(OR(P392={"NS","NA"},$P377={"NS","NA"}),0,IF(P392&lt;=$P377,0,1))</f>
        <v>0</v>
      </c>
      <c r="BP392" cm="1">
        <f t="array" ref="BP392">IF(OR(Q392={"NS","NA"},$Q377={"NS","NA"}),0,IF(Q392&lt;=$Q377,0,1))</f>
        <v>0</v>
      </c>
      <c r="BQ392" cm="1">
        <f t="array" ref="BQ392">IF(OR(R392={"NS","NA"},$R377={"NS","NA"}),0,IF(R392&lt;=$R377,0,1))</f>
        <v>0</v>
      </c>
      <c r="BR392" cm="1">
        <f t="array" ref="BR392">IF(OR(S392={"NS","NA"},$P377={"NS","NA"}),0,IF(S392&lt;=$P377,0,1))</f>
        <v>0</v>
      </c>
      <c r="BS392" cm="1">
        <f t="array" ref="BS392">IF(OR(T392={"NS","NA"},$Q377={"NS","NA"}),0,IF(T392&lt;=$Q377,0,1))</f>
        <v>0</v>
      </c>
      <c r="BT392" cm="1">
        <f t="array" ref="BT392">IF(OR(U392={"NS","NA"},$R377={"NS","NA"}),0,IF(U392&lt;=$R377,0,1))</f>
        <v>0</v>
      </c>
      <c r="BU392" cm="1">
        <f t="array" ref="BU392">IF(OR(V392={"NS","NA"},$P377={"NS","NA"}),0,IF(V392&lt;=$P377,0,1))</f>
        <v>0</v>
      </c>
      <c r="BV392" cm="1">
        <f t="array" ref="BV392">IF(OR(W392={"NS","NA"},$Q377={"NS","NA"}),0,IF(W392&lt;=$Q377,0,1))</f>
        <v>0</v>
      </c>
      <c r="BW392" cm="1">
        <f t="array" ref="BW392">IF(OR(X392={"NS","NA"},$R377={"NS","NA"}),0,IF(X392&lt;=$R377,0,1))</f>
        <v>0</v>
      </c>
      <c r="BX392" cm="1">
        <f t="array" ref="BX392">IF(OR(Y392={"NS","NA"},$P377={"NS","NA"}),0,IF(Y392&lt;=$P377,0,1))</f>
        <v>0</v>
      </c>
      <c r="BY392" cm="1">
        <f t="array" ref="BY392">IF(OR(Z392={"NS","NA"},$Q377={"NS","NA"}),0,IF(Z392&lt;=$Q377,0,1))</f>
        <v>0</v>
      </c>
      <c r="BZ392" cm="1">
        <f t="array" ref="BZ392">IF(OR(AA392={"NS","NA"},$R377={"NS","NA"}),0,IF(AA392&lt;=$R377,0,1))</f>
        <v>0</v>
      </c>
      <c r="CA392" cm="1">
        <f t="array" ref="CA392">IF(OR(AB392={"NS","NA"},$P377={"NS","NA"}),0,IF(AB392&lt;=$P377,0,1))</f>
        <v>0</v>
      </c>
      <c r="CB392" cm="1">
        <f t="array" ref="CB392">IF(OR(AC392={"NS","NA"},$Q377={"NS","NA"}),0,IF(AC392&lt;=$Q377,0,1))</f>
        <v>0</v>
      </c>
      <c r="CC392" cm="1">
        <f t="array" ref="CC392">IF(OR(AD392={"NS","NA"},$R377={"NS","NA"}),0,IF(AD392&lt;=$R377,0,1))</f>
        <v>0</v>
      </c>
      <c r="CD392"/>
    </row>
    <row r="393" spans="1:82">
      <c r="A393" s="142"/>
      <c r="B393" s="57"/>
      <c r="C393" s="143" t="s">
        <v>2518</v>
      </c>
      <c r="D393" s="814" t="str">
        <f>IF(CNSIPEE_2024_M2_Secc1!D44="","",CNSIPEE_2024_M2_Secc1!D44)</f>
        <v/>
      </c>
      <c r="E393" s="814"/>
      <c r="F393" s="815"/>
      <c r="G393" s="100"/>
      <c r="H393" s="100"/>
      <c r="I393" s="100"/>
      <c r="J393" s="100"/>
      <c r="K393" s="100"/>
      <c r="L393" s="100"/>
      <c r="M393" s="100"/>
      <c r="N393" s="100"/>
      <c r="O393" s="100"/>
      <c r="P393" s="100"/>
      <c r="Q393" s="100"/>
      <c r="R393" s="100"/>
      <c r="S393" s="100"/>
      <c r="T393" s="100"/>
      <c r="U393" s="100"/>
      <c r="V393" s="100"/>
      <c r="W393" s="100"/>
      <c r="X393" s="100"/>
      <c r="Y393" s="100"/>
      <c r="Z393" s="100"/>
      <c r="AA393" s="100"/>
      <c r="AB393" s="100"/>
      <c r="AC393" s="100"/>
      <c r="AD393" s="100"/>
      <c r="AH393">
        <f t="shared" si="292"/>
        <v>0</v>
      </c>
      <c r="AI393">
        <f t="shared" si="293"/>
        <v>0</v>
      </c>
      <c r="AJ393">
        <f t="shared" si="294"/>
        <v>0</v>
      </c>
      <c r="AK393">
        <f t="shared" si="295"/>
        <v>0</v>
      </c>
      <c r="AL393">
        <f t="shared" si="296"/>
        <v>0</v>
      </c>
      <c r="AM393">
        <f t="shared" si="297"/>
        <v>0</v>
      </c>
      <c r="AN393">
        <f t="shared" si="298"/>
        <v>0</v>
      </c>
      <c r="AO393">
        <f t="shared" si="299"/>
        <v>0</v>
      </c>
      <c r="AP393">
        <f t="shared" si="300"/>
        <v>0</v>
      </c>
      <c r="AQ393">
        <f t="shared" si="301"/>
        <v>0</v>
      </c>
      <c r="AR393">
        <f t="shared" si="302"/>
        <v>0</v>
      </c>
      <c r="AS393">
        <f t="shared" si="303"/>
        <v>0</v>
      </c>
      <c r="AT393">
        <f t="shared" si="304"/>
        <v>0</v>
      </c>
      <c r="AU393">
        <f t="shared" si="305"/>
        <v>0</v>
      </c>
      <c r="AV393">
        <f t="shared" si="306"/>
        <v>0</v>
      </c>
      <c r="AW393">
        <f t="shared" si="307"/>
        <v>0</v>
      </c>
      <c r="AX393">
        <f t="shared" si="308"/>
        <v>0</v>
      </c>
      <c r="AY393">
        <f t="shared" si="309"/>
        <v>0</v>
      </c>
      <c r="AZ393">
        <f t="shared" si="310"/>
        <v>0</v>
      </c>
      <c r="BA393">
        <f t="shared" si="311"/>
        <v>0</v>
      </c>
      <c r="BB393">
        <f t="shared" si="312"/>
        <v>0</v>
      </c>
      <c r="BC393">
        <f t="shared" si="313"/>
        <v>0</v>
      </c>
      <c r="BD393">
        <f t="shared" si="314"/>
        <v>0</v>
      </c>
      <c r="BE393">
        <f t="shared" si="315"/>
        <v>0</v>
      </c>
      <c r="BF393" cm="1">
        <f t="array" ref="BF393">IF(OR(G393={"NS","NA"},$P378={"NS","NA"}),0,IF(G393&lt;=$P378,0,1))</f>
        <v>0</v>
      </c>
      <c r="BG393" cm="1">
        <f t="array" ref="BG393">IF(OR(H393={"NS","NA"},$Q378={"NS","NA"}),0,IF(H393&lt;=$Q378,0,1))</f>
        <v>0</v>
      </c>
      <c r="BH393" cm="1">
        <f t="array" ref="BH393">IF(OR(I393={"NS","NA"},$R378={"NS","NA"}),0,IF(I393&lt;=$R378,0,1))</f>
        <v>0</v>
      </c>
      <c r="BI393" cm="1">
        <f t="array" ref="BI393">IF(OR(J393={"NS","NA"},$P378={"NS","NA"}),0,IF(J393&lt;=$P378,0,1))</f>
        <v>0</v>
      </c>
      <c r="BJ393" cm="1">
        <f t="array" ref="BJ393">IF(OR(K393={"NS","NA"},$Q378={"NS","NA"}),0,IF(K393&lt;=$Q378,0,1))</f>
        <v>0</v>
      </c>
      <c r="BK393" cm="1">
        <f t="array" ref="BK393">IF(OR(L393={"NS","NA"},$R378={"NS","NA"}),0,IF(L393&lt;=$R378,0,1))</f>
        <v>0</v>
      </c>
      <c r="BL393" cm="1">
        <f t="array" ref="BL393">IF(OR(M393={"NS","NA"},$P378={"NS","NA"}),0,IF(M393&lt;=$P378,0,1))</f>
        <v>0</v>
      </c>
      <c r="BM393" cm="1">
        <f t="array" ref="BM393">IF(OR(N393={"NS","NA"},$Q378={"NS","NA"}),0,IF(N393&lt;=$Q378,0,1))</f>
        <v>0</v>
      </c>
      <c r="BN393" cm="1">
        <f t="array" ref="BN393">IF(OR(O393={"NS","NA"},$R378={"NS","NA"}),0,IF(O393&lt;=$R378,0,1))</f>
        <v>0</v>
      </c>
      <c r="BO393" cm="1">
        <f t="array" ref="BO393">IF(OR(P393={"NS","NA"},$P378={"NS","NA"}),0,IF(P393&lt;=$P378,0,1))</f>
        <v>0</v>
      </c>
      <c r="BP393" cm="1">
        <f t="array" ref="BP393">IF(OR(Q393={"NS","NA"},$Q378={"NS","NA"}),0,IF(Q393&lt;=$Q378,0,1))</f>
        <v>0</v>
      </c>
      <c r="BQ393" cm="1">
        <f t="array" ref="BQ393">IF(OR(R393={"NS","NA"},$R378={"NS","NA"}),0,IF(R393&lt;=$R378,0,1))</f>
        <v>0</v>
      </c>
      <c r="BR393" cm="1">
        <f t="array" ref="BR393">IF(OR(S393={"NS","NA"},$P378={"NS","NA"}),0,IF(S393&lt;=$P378,0,1))</f>
        <v>0</v>
      </c>
      <c r="BS393" cm="1">
        <f t="array" ref="BS393">IF(OR(T393={"NS","NA"},$Q378={"NS","NA"}),0,IF(T393&lt;=$Q378,0,1))</f>
        <v>0</v>
      </c>
      <c r="BT393" cm="1">
        <f t="array" ref="BT393">IF(OR(U393={"NS","NA"},$R378={"NS","NA"}),0,IF(U393&lt;=$R378,0,1))</f>
        <v>0</v>
      </c>
      <c r="BU393" cm="1">
        <f t="array" ref="BU393">IF(OR(V393={"NS","NA"},$P378={"NS","NA"}),0,IF(V393&lt;=$P378,0,1))</f>
        <v>0</v>
      </c>
      <c r="BV393" cm="1">
        <f t="array" ref="BV393">IF(OR(W393={"NS","NA"},$Q378={"NS","NA"}),0,IF(W393&lt;=$Q378,0,1))</f>
        <v>0</v>
      </c>
      <c r="BW393" cm="1">
        <f t="array" ref="BW393">IF(OR(X393={"NS","NA"},$R378={"NS","NA"}),0,IF(X393&lt;=$R378,0,1))</f>
        <v>0</v>
      </c>
      <c r="BX393" cm="1">
        <f t="array" ref="BX393">IF(OR(Y393={"NS","NA"},$P378={"NS","NA"}),0,IF(Y393&lt;=$P378,0,1))</f>
        <v>0</v>
      </c>
      <c r="BY393" cm="1">
        <f t="array" ref="BY393">IF(OR(Z393={"NS","NA"},$Q378={"NS","NA"}),0,IF(Z393&lt;=$Q378,0,1))</f>
        <v>0</v>
      </c>
      <c r="BZ393" cm="1">
        <f t="array" ref="BZ393">IF(OR(AA393={"NS","NA"},$R378={"NS","NA"}),0,IF(AA393&lt;=$R378,0,1))</f>
        <v>0</v>
      </c>
      <c r="CA393" cm="1">
        <f t="array" ref="CA393">IF(OR(AB393={"NS","NA"},$P378={"NS","NA"}),0,IF(AB393&lt;=$P378,0,1))</f>
        <v>0</v>
      </c>
      <c r="CB393" cm="1">
        <f t="array" ref="CB393">IF(OR(AC393={"NS","NA"},$Q378={"NS","NA"}),0,IF(AC393&lt;=$Q378,0,1))</f>
        <v>0</v>
      </c>
      <c r="CC393" cm="1">
        <f t="array" ref="CC393">IF(OR(AD393={"NS","NA"},$R378={"NS","NA"}),0,IF(AD393&lt;=$R378,0,1))</f>
        <v>0</v>
      </c>
      <c r="CD393"/>
    </row>
    <row r="394" spans="1:82">
      <c r="A394" s="142"/>
      <c r="B394" s="57"/>
      <c r="C394" s="143" t="s">
        <v>2519</v>
      </c>
      <c r="D394" s="814" t="str">
        <f>IF(CNSIPEE_2024_M2_Secc1!D45="","",CNSIPEE_2024_M2_Secc1!D45)</f>
        <v/>
      </c>
      <c r="E394" s="814"/>
      <c r="F394" s="815"/>
      <c r="G394" s="100"/>
      <c r="H394" s="100"/>
      <c r="I394" s="100"/>
      <c r="J394" s="100"/>
      <c r="K394" s="100"/>
      <c r="L394" s="100"/>
      <c r="M394" s="100"/>
      <c r="N394" s="100"/>
      <c r="O394" s="100"/>
      <c r="P394" s="100"/>
      <c r="Q394" s="100"/>
      <c r="R394" s="100"/>
      <c r="S394" s="100"/>
      <c r="T394" s="100"/>
      <c r="U394" s="100"/>
      <c r="V394" s="100"/>
      <c r="W394" s="100"/>
      <c r="X394" s="100"/>
      <c r="Y394" s="100"/>
      <c r="Z394" s="100"/>
      <c r="AA394" s="100"/>
      <c r="AB394" s="100"/>
      <c r="AC394" s="100"/>
      <c r="AD394" s="100"/>
      <c r="AH394">
        <f t="shared" si="292"/>
        <v>0</v>
      </c>
      <c r="AI394">
        <f t="shared" si="293"/>
        <v>0</v>
      </c>
      <c r="AJ394">
        <f t="shared" si="294"/>
        <v>0</v>
      </c>
      <c r="AK394">
        <f t="shared" si="295"/>
        <v>0</v>
      </c>
      <c r="AL394">
        <f t="shared" si="296"/>
        <v>0</v>
      </c>
      <c r="AM394">
        <f t="shared" si="297"/>
        <v>0</v>
      </c>
      <c r="AN394">
        <f t="shared" si="298"/>
        <v>0</v>
      </c>
      <c r="AO394">
        <f t="shared" si="299"/>
        <v>0</v>
      </c>
      <c r="AP394">
        <f t="shared" si="300"/>
        <v>0</v>
      </c>
      <c r="AQ394">
        <f t="shared" si="301"/>
        <v>0</v>
      </c>
      <c r="AR394">
        <f t="shared" si="302"/>
        <v>0</v>
      </c>
      <c r="AS394">
        <f t="shared" si="303"/>
        <v>0</v>
      </c>
      <c r="AT394">
        <f t="shared" si="304"/>
        <v>0</v>
      </c>
      <c r="AU394">
        <f t="shared" si="305"/>
        <v>0</v>
      </c>
      <c r="AV394">
        <f t="shared" si="306"/>
        <v>0</v>
      </c>
      <c r="AW394">
        <f t="shared" si="307"/>
        <v>0</v>
      </c>
      <c r="AX394">
        <f t="shared" si="308"/>
        <v>0</v>
      </c>
      <c r="AY394">
        <f t="shared" si="309"/>
        <v>0</v>
      </c>
      <c r="AZ394">
        <f t="shared" si="310"/>
        <v>0</v>
      </c>
      <c r="BA394">
        <f t="shared" si="311"/>
        <v>0</v>
      </c>
      <c r="BB394">
        <f t="shared" si="312"/>
        <v>0</v>
      </c>
      <c r="BC394">
        <f t="shared" si="313"/>
        <v>0</v>
      </c>
      <c r="BD394">
        <f t="shared" si="314"/>
        <v>0</v>
      </c>
      <c r="BE394">
        <f t="shared" si="315"/>
        <v>0</v>
      </c>
      <c r="BF394" cm="1">
        <f t="array" ref="BF394">IF(OR(G394={"NS","NA"},$P379={"NS","NA"}),0,IF(G394&lt;=$P379,0,1))</f>
        <v>0</v>
      </c>
      <c r="BG394" cm="1">
        <f t="array" ref="BG394">IF(OR(H394={"NS","NA"},$Q379={"NS","NA"}),0,IF(H394&lt;=$Q379,0,1))</f>
        <v>0</v>
      </c>
      <c r="BH394" cm="1">
        <f t="array" ref="BH394">IF(OR(I394={"NS","NA"},$R379={"NS","NA"}),0,IF(I394&lt;=$R379,0,1))</f>
        <v>0</v>
      </c>
      <c r="BI394" cm="1">
        <f t="array" ref="BI394">IF(OR(J394={"NS","NA"},$P379={"NS","NA"}),0,IF(J394&lt;=$P379,0,1))</f>
        <v>0</v>
      </c>
      <c r="BJ394" cm="1">
        <f t="array" ref="BJ394">IF(OR(K394={"NS","NA"},$Q379={"NS","NA"}),0,IF(K394&lt;=$Q379,0,1))</f>
        <v>0</v>
      </c>
      <c r="BK394" cm="1">
        <f t="array" ref="BK394">IF(OR(L394={"NS","NA"},$R379={"NS","NA"}),0,IF(L394&lt;=$R379,0,1))</f>
        <v>0</v>
      </c>
      <c r="BL394" cm="1">
        <f t="array" ref="BL394">IF(OR(M394={"NS","NA"},$P379={"NS","NA"}),0,IF(M394&lt;=$P379,0,1))</f>
        <v>0</v>
      </c>
      <c r="BM394" cm="1">
        <f t="array" ref="BM394">IF(OR(N394={"NS","NA"},$Q379={"NS","NA"}),0,IF(N394&lt;=$Q379,0,1))</f>
        <v>0</v>
      </c>
      <c r="BN394" cm="1">
        <f t="array" ref="BN394">IF(OR(O394={"NS","NA"},$R379={"NS","NA"}),0,IF(O394&lt;=$R379,0,1))</f>
        <v>0</v>
      </c>
      <c r="BO394" cm="1">
        <f t="array" ref="BO394">IF(OR(P394={"NS","NA"},$P379={"NS","NA"}),0,IF(P394&lt;=$P379,0,1))</f>
        <v>0</v>
      </c>
      <c r="BP394" cm="1">
        <f t="array" ref="BP394">IF(OR(Q394={"NS","NA"},$Q379={"NS","NA"}),0,IF(Q394&lt;=$Q379,0,1))</f>
        <v>0</v>
      </c>
      <c r="BQ394" cm="1">
        <f t="array" ref="BQ394">IF(OR(R394={"NS","NA"},$R379={"NS","NA"}),0,IF(R394&lt;=$R379,0,1))</f>
        <v>0</v>
      </c>
      <c r="BR394" cm="1">
        <f t="array" ref="BR394">IF(OR(S394={"NS","NA"},$P379={"NS","NA"}),0,IF(S394&lt;=$P379,0,1))</f>
        <v>0</v>
      </c>
      <c r="BS394" cm="1">
        <f t="array" ref="BS394">IF(OR(T394={"NS","NA"},$Q379={"NS","NA"}),0,IF(T394&lt;=$Q379,0,1))</f>
        <v>0</v>
      </c>
      <c r="BT394" cm="1">
        <f t="array" ref="BT394">IF(OR(U394={"NS","NA"},$R379={"NS","NA"}),0,IF(U394&lt;=$R379,0,1))</f>
        <v>0</v>
      </c>
      <c r="BU394" cm="1">
        <f t="array" ref="BU394">IF(OR(V394={"NS","NA"},$P379={"NS","NA"}),0,IF(V394&lt;=$P379,0,1))</f>
        <v>0</v>
      </c>
      <c r="BV394" cm="1">
        <f t="array" ref="BV394">IF(OR(W394={"NS","NA"},$Q379={"NS","NA"}),0,IF(W394&lt;=$Q379,0,1))</f>
        <v>0</v>
      </c>
      <c r="BW394" cm="1">
        <f t="array" ref="BW394">IF(OR(X394={"NS","NA"},$R379={"NS","NA"}),0,IF(X394&lt;=$R379,0,1))</f>
        <v>0</v>
      </c>
      <c r="BX394" cm="1">
        <f t="array" ref="BX394">IF(OR(Y394={"NS","NA"},$P379={"NS","NA"}),0,IF(Y394&lt;=$P379,0,1))</f>
        <v>0</v>
      </c>
      <c r="BY394" cm="1">
        <f t="array" ref="BY394">IF(OR(Z394={"NS","NA"},$Q379={"NS","NA"}),0,IF(Z394&lt;=$Q379,0,1))</f>
        <v>0</v>
      </c>
      <c r="BZ394" cm="1">
        <f t="array" ref="BZ394">IF(OR(AA394={"NS","NA"},$R379={"NS","NA"}),0,IF(AA394&lt;=$R379,0,1))</f>
        <v>0</v>
      </c>
      <c r="CA394" cm="1">
        <f t="array" ref="CA394">IF(OR(AB394={"NS","NA"},$P379={"NS","NA"}),0,IF(AB394&lt;=$P379,0,1))</f>
        <v>0</v>
      </c>
      <c r="CB394" cm="1">
        <f t="array" ref="CB394">IF(OR(AC394={"NS","NA"},$Q379={"NS","NA"}),0,IF(AC394&lt;=$Q379,0,1))</f>
        <v>0</v>
      </c>
      <c r="CC394" cm="1">
        <f t="array" ref="CC394">IF(OR(AD394={"NS","NA"},$R379={"NS","NA"}),0,IF(AD394&lt;=$R379,0,1))</f>
        <v>0</v>
      </c>
      <c r="CD394"/>
    </row>
    <row r="395" spans="1:82">
      <c r="A395" s="142"/>
      <c r="B395" s="57"/>
      <c r="C395" s="143" t="s">
        <v>2520</v>
      </c>
      <c r="D395" s="814" t="str">
        <f>IF(CNSIPEE_2024_M2_Secc1!D46="","",CNSIPEE_2024_M2_Secc1!D46)</f>
        <v/>
      </c>
      <c r="E395" s="814"/>
      <c r="F395" s="815"/>
      <c r="G395" s="100"/>
      <c r="H395" s="100"/>
      <c r="I395" s="100"/>
      <c r="J395" s="100"/>
      <c r="K395" s="100"/>
      <c r="L395" s="100"/>
      <c r="M395" s="100"/>
      <c r="N395" s="100"/>
      <c r="O395" s="100"/>
      <c r="P395" s="100"/>
      <c r="Q395" s="100"/>
      <c r="R395" s="100"/>
      <c r="S395" s="100"/>
      <c r="T395" s="100"/>
      <c r="U395" s="100"/>
      <c r="V395" s="100"/>
      <c r="W395" s="100"/>
      <c r="X395" s="100"/>
      <c r="Y395" s="100"/>
      <c r="Z395" s="100"/>
      <c r="AA395" s="100"/>
      <c r="AB395" s="100"/>
      <c r="AC395" s="100"/>
      <c r="AD395" s="100"/>
      <c r="AH395">
        <f t="shared" si="292"/>
        <v>0</v>
      </c>
      <c r="AI395">
        <f t="shared" si="293"/>
        <v>0</v>
      </c>
      <c r="AJ395">
        <f t="shared" si="294"/>
        <v>0</v>
      </c>
      <c r="AK395">
        <f t="shared" si="295"/>
        <v>0</v>
      </c>
      <c r="AL395">
        <f t="shared" si="296"/>
        <v>0</v>
      </c>
      <c r="AM395">
        <f t="shared" si="297"/>
        <v>0</v>
      </c>
      <c r="AN395">
        <f t="shared" si="298"/>
        <v>0</v>
      </c>
      <c r="AO395">
        <f t="shared" si="299"/>
        <v>0</v>
      </c>
      <c r="AP395">
        <f t="shared" si="300"/>
        <v>0</v>
      </c>
      <c r="AQ395">
        <f t="shared" si="301"/>
        <v>0</v>
      </c>
      <c r="AR395">
        <f t="shared" si="302"/>
        <v>0</v>
      </c>
      <c r="AS395">
        <f t="shared" si="303"/>
        <v>0</v>
      </c>
      <c r="AT395">
        <f t="shared" si="304"/>
        <v>0</v>
      </c>
      <c r="AU395">
        <f t="shared" si="305"/>
        <v>0</v>
      </c>
      <c r="AV395">
        <f t="shared" si="306"/>
        <v>0</v>
      </c>
      <c r="AW395">
        <f t="shared" si="307"/>
        <v>0</v>
      </c>
      <c r="AX395">
        <f t="shared" si="308"/>
        <v>0</v>
      </c>
      <c r="AY395">
        <f t="shared" si="309"/>
        <v>0</v>
      </c>
      <c r="AZ395">
        <f t="shared" si="310"/>
        <v>0</v>
      </c>
      <c r="BA395">
        <f t="shared" si="311"/>
        <v>0</v>
      </c>
      <c r="BB395">
        <f t="shared" si="312"/>
        <v>0</v>
      </c>
      <c r="BC395">
        <f t="shared" si="313"/>
        <v>0</v>
      </c>
      <c r="BD395">
        <f t="shared" si="314"/>
        <v>0</v>
      </c>
      <c r="BE395">
        <f t="shared" si="315"/>
        <v>0</v>
      </c>
      <c r="BF395" cm="1">
        <f t="array" ref="BF395">IF(OR(G395={"NS","NA"},$P380={"NS","NA"}),0,IF(G395&lt;=$P380,0,1))</f>
        <v>0</v>
      </c>
      <c r="BG395" cm="1">
        <f t="array" ref="BG395">IF(OR(H395={"NS","NA"},$Q380={"NS","NA"}),0,IF(H395&lt;=$Q380,0,1))</f>
        <v>0</v>
      </c>
      <c r="BH395" cm="1">
        <f t="array" ref="BH395">IF(OR(I395={"NS","NA"},$R380={"NS","NA"}),0,IF(I395&lt;=$R380,0,1))</f>
        <v>0</v>
      </c>
      <c r="BI395" cm="1">
        <f t="array" ref="BI395">IF(OR(J395={"NS","NA"},$P380={"NS","NA"}),0,IF(J395&lt;=$P380,0,1))</f>
        <v>0</v>
      </c>
      <c r="BJ395" cm="1">
        <f t="array" ref="BJ395">IF(OR(K395={"NS","NA"},$Q380={"NS","NA"}),0,IF(K395&lt;=$Q380,0,1))</f>
        <v>0</v>
      </c>
      <c r="BK395" cm="1">
        <f t="array" ref="BK395">IF(OR(L395={"NS","NA"},$R380={"NS","NA"}),0,IF(L395&lt;=$R380,0,1))</f>
        <v>0</v>
      </c>
      <c r="BL395" cm="1">
        <f t="array" ref="BL395">IF(OR(M395={"NS","NA"},$P380={"NS","NA"}),0,IF(M395&lt;=$P380,0,1))</f>
        <v>0</v>
      </c>
      <c r="BM395" cm="1">
        <f t="array" ref="BM395">IF(OR(N395={"NS","NA"},$Q380={"NS","NA"}),0,IF(N395&lt;=$Q380,0,1))</f>
        <v>0</v>
      </c>
      <c r="BN395" cm="1">
        <f t="array" ref="BN395">IF(OR(O395={"NS","NA"},$R380={"NS","NA"}),0,IF(O395&lt;=$R380,0,1))</f>
        <v>0</v>
      </c>
      <c r="BO395" cm="1">
        <f t="array" ref="BO395">IF(OR(P395={"NS","NA"},$P380={"NS","NA"}),0,IF(P395&lt;=$P380,0,1))</f>
        <v>0</v>
      </c>
      <c r="BP395" cm="1">
        <f t="array" ref="BP395">IF(OR(Q395={"NS","NA"},$Q380={"NS","NA"}),0,IF(Q395&lt;=$Q380,0,1))</f>
        <v>0</v>
      </c>
      <c r="BQ395" cm="1">
        <f t="array" ref="BQ395">IF(OR(R395={"NS","NA"},$R380={"NS","NA"}),0,IF(R395&lt;=$R380,0,1))</f>
        <v>0</v>
      </c>
      <c r="BR395" cm="1">
        <f t="array" ref="BR395">IF(OR(S395={"NS","NA"},$P380={"NS","NA"}),0,IF(S395&lt;=$P380,0,1))</f>
        <v>0</v>
      </c>
      <c r="BS395" cm="1">
        <f t="array" ref="BS395">IF(OR(T395={"NS","NA"},$Q380={"NS","NA"}),0,IF(T395&lt;=$Q380,0,1))</f>
        <v>0</v>
      </c>
      <c r="BT395" cm="1">
        <f t="array" ref="BT395">IF(OR(U395={"NS","NA"},$R380={"NS","NA"}),0,IF(U395&lt;=$R380,0,1))</f>
        <v>0</v>
      </c>
      <c r="BU395" cm="1">
        <f t="array" ref="BU395">IF(OR(V395={"NS","NA"},$P380={"NS","NA"}),0,IF(V395&lt;=$P380,0,1))</f>
        <v>0</v>
      </c>
      <c r="BV395" cm="1">
        <f t="array" ref="BV395">IF(OR(W395={"NS","NA"},$Q380={"NS","NA"}),0,IF(W395&lt;=$Q380,0,1))</f>
        <v>0</v>
      </c>
      <c r="BW395" cm="1">
        <f t="array" ref="BW395">IF(OR(X395={"NS","NA"},$R380={"NS","NA"}),0,IF(X395&lt;=$R380,0,1))</f>
        <v>0</v>
      </c>
      <c r="BX395" cm="1">
        <f t="array" ref="BX395">IF(OR(Y395={"NS","NA"},$P380={"NS","NA"}),0,IF(Y395&lt;=$P380,0,1))</f>
        <v>0</v>
      </c>
      <c r="BY395" cm="1">
        <f t="array" ref="BY395">IF(OR(Z395={"NS","NA"},$Q380={"NS","NA"}),0,IF(Z395&lt;=$Q380,0,1))</f>
        <v>0</v>
      </c>
      <c r="BZ395" cm="1">
        <f t="array" ref="BZ395">IF(OR(AA395={"NS","NA"},$R380={"NS","NA"}),0,IF(AA395&lt;=$R380,0,1))</f>
        <v>0</v>
      </c>
      <c r="CA395" cm="1">
        <f t="array" ref="CA395">IF(OR(AB395={"NS","NA"},$P380={"NS","NA"}),0,IF(AB395&lt;=$P380,0,1))</f>
        <v>0</v>
      </c>
      <c r="CB395" cm="1">
        <f t="array" ref="CB395">IF(OR(AC395={"NS","NA"},$Q380={"NS","NA"}),0,IF(AC395&lt;=$Q380,0,1))</f>
        <v>0</v>
      </c>
      <c r="CC395" cm="1">
        <f t="array" ref="CC395">IF(OR(AD395={"NS","NA"},$R380={"NS","NA"}),0,IF(AD395&lt;=$R380,0,1))</f>
        <v>0</v>
      </c>
      <c r="CD395"/>
    </row>
    <row r="396" spans="1:82">
      <c r="A396" s="142"/>
      <c r="B396" s="57"/>
      <c r="C396" s="143" t="s">
        <v>2521</v>
      </c>
      <c r="D396" s="814" t="str">
        <f>IF(CNSIPEE_2024_M2_Secc1!D47="","",CNSIPEE_2024_M2_Secc1!D47)</f>
        <v/>
      </c>
      <c r="E396" s="814"/>
      <c r="F396" s="815"/>
      <c r="G396" s="100"/>
      <c r="H396" s="100"/>
      <c r="I396" s="100"/>
      <c r="J396" s="100"/>
      <c r="K396" s="100"/>
      <c r="L396" s="100"/>
      <c r="M396" s="100"/>
      <c r="N396" s="100"/>
      <c r="O396" s="100"/>
      <c r="P396" s="100"/>
      <c r="Q396" s="100"/>
      <c r="R396" s="100"/>
      <c r="S396" s="100"/>
      <c r="T396" s="100"/>
      <c r="U396" s="100"/>
      <c r="V396" s="100"/>
      <c r="W396" s="100"/>
      <c r="X396" s="100"/>
      <c r="Y396" s="100"/>
      <c r="Z396" s="100"/>
      <c r="AA396" s="100"/>
      <c r="AB396" s="100"/>
      <c r="AC396" s="100"/>
      <c r="AD396" s="100"/>
      <c r="AH396">
        <f t="shared" si="292"/>
        <v>0</v>
      </c>
      <c r="AI396">
        <f t="shared" si="293"/>
        <v>0</v>
      </c>
      <c r="AJ396">
        <f t="shared" si="294"/>
        <v>0</v>
      </c>
      <c r="AK396">
        <f t="shared" si="295"/>
        <v>0</v>
      </c>
      <c r="AL396">
        <f t="shared" si="296"/>
        <v>0</v>
      </c>
      <c r="AM396">
        <f t="shared" si="297"/>
        <v>0</v>
      </c>
      <c r="AN396">
        <f t="shared" si="298"/>
        <v>0</v>
      </c>
      <c r="AO396">
        <f t="shared" si="299"/>
        <v>0</v>
      </c>
      <c r="AP396">
        <f t="shared" si="300"/>
        <v>0</v>
      </c>
      <c r="AQ396">
        <f t="shared" si="301"/>
        <v>0</v>
      </c>
      <c r="AR396">
        <f t="shared" si="302"/>
        <v>0</v>
      </c>
      <c r="AS396">
        <f t="shared" si="303"/>
        <v>0</v>
      </c>
      <c r="AT396">
        <f t="shared" si="304"/>
        <v>0</v>
      </c>
      <c r="AU396">
        <f t="shared" si="305"/>
        <v>0</v>
      </c>
      <c r="AV396">
        <f t="shared" si="306"/>
        <v>0</v>
      </c>
      <c r="AW396">
        <f t="shared" si="307"/>
        <v>0</v>
      </c>
      <c r="AX396">
        <f t="shared" si="308"/>
        <v>0</v>
      </c>
      <c r="AY396">
        <f t="shared" si="309"/>
        <v>0</v>
      </c>
      <c r="AZ396">
        <f t="shared" si="310"/>
        <v>0</v>
      </c>
      <c r="BA396">
        <f t="shared" si="311"/>
        <v>0</v>
      </c>
      <c r="BB396">
        <f t="shared" si="312"/>
        <v>0</v>
      </c>
      <c r="BC396">
        <f t="shared" si="313"/>
        <v>0</v>
      </c>
      <c r="BD396">
        <f t="shared" si="314"/>
        <v>0</v>
      </c>
      <c r="BE396">
        <f t="shared" si="315"/>
        <v>0</v>
      </c>
      <c r="BF396" cm="1">
        <f t="array" ref="BF396">IF(OR(G396={"NS","NA"},$P381={"NS","NA"}),0,IF(G396&lt;=$P381,0,1))</f>
        <v>0</v>
      </c>
      <c r="BG396" cm="1">
        <f t="array" ref="BG396">IF(OR(H396={"NS","NA"},$Q381={"NS","NA"}),0,IF(H396&lt;=$Q381,0,1))</f>
        <v>0</v>
      </c>
      <c r="BH396" cm="1">
        <f t="array" ref="BH396">IF(OR(I396={"NS","NA"},$R381={"NS","NA"}),0,IF(I396&lt;=$R381,0,1))</f>
        <v>0</v>
      </c>
      <c r="BI396" cm="1">
        <f t="array" ref="BI396">IF(OR(J396={"NS","NA"},$P381={"NS","NA"}),0,IF(J396&lt;=$P381,0,1))</f>
        <v>0</v>
      </c>
      <c r="BJ396" cm="1">
        <f t="array" ref="BJ396">IF(OR(K396={"NS","NA"},$Q381={"NS","NA"}),0,IF(K396&lt;=$Q381,0,1))</f>
        <v>0</v>
      </c>
      <c r="BK396" cm="1">
        <f t="array" ref="BK396">IF(OR(L396={"NS","NA"},$R381={"NS","NA"}),0,IF(L396&lt;=$R381,0,1))</f>
        <v>0</v>
      </c>
      <c r="BL396" cm="1">
        <f t="array" ref="BL396">IF(OR(M396={"NS","NA"},$P381={"NS","NA"}),0,IF(M396&lt;=$P381,0,1))</f>
        <v>0</v>
      </c>
      <c r="BM396" cm="1">
        <f t="array" ref="BM396">IF(OR(N396={"NS","NA"},$Q381={"NS","NA"}),0,IF(N396&lt;=$Q381,0,1))</f>
        <v>0</v>
      </c>
      <c r="BN396" cm="1">
        <f t="array" ref="BN396">IF(OR(O396={"NS","NA"},$R381={"NS","NA"}),0,IF(O396&lt;=$R381,0,1))</f>
        <v>0</v>
      </c>
      <c r="BO396" cm="1">
        <f t="array" ref="BO396">IF(OR(P396={"NS","NA"},$P381={"NS","NA"}),0,IF(P396&lt;=$P381,0,1))</f>
        <v>0</v>
      </c>
      <c r="BP396" cm="1">
        <f t="array" ref="BP396">IF(OR(Q396={"NS","NA"},$Q381={"NS","NA"}),0,IF(Q396&lt;=$Q381,0,1))</f>
        <v>0</v>
      </c>
      <c r="BQ396" cm="1">
        <f t="array" ref="BQ396">IF(OR(R396={"NS","NA"},$R381={"NS","NA"}),0,IF(R396&lt;=$R381,0,1))</f>
        <v>0</v>
      </c>
      <c r="BR396" cm="1">
        <f t="array" ref="BR396">IF(OR(S396={"NS","NA"},$P381={"NS","NA"}),0,IF(S396&lt;=$P381,0,1))</f>
        <v>0</v>
      </c>
      <c r="BS396" cm="1">
        <f t="array" ref="BS396">IF(OR(T396={"NS","NA"},$Q381={"NS","NA"}),0,IF(T396&lt;=$Q381,0,1))</f>
        <v>0</v>
      </c>
      <c r="BT396" cm="1">
        <f t="array" ref="BT396">IF(OR(U396={"NS","NA"},$R381={"NS","NA"}),0,IF(U396&lt;=$R381,0,1))</f>
        <v>0</v>
      </c>
      <c r="BU396" cm="1">
        <f t="array" ref="BU396">IF(OR(V396={"NS","NA"},$P381={"NS","NA"}),0,IF(V396&lt;=$P381,0,1))</f>
        <v>0</v>
      </c>
      <c r="BV396" cm="1">
        <f t="array" ref="BV396">IF(OR(W396={"NS","NA"},$Q381={"NS","NA"}),0,IF(W396&lt;=$Q381,0,1))</f>
        <v>0</v>
      </c>
      <c r="BW396" cm="1">
        <f t="array" ref="BW396">IF(OR(X396={"NS","NA"},$R381={"NS","NA"}),0,IF(X396&lt;=$R381,0,1))</f>
        <v>0</v>
      </c>
      <c r="BX396" cm="1">
        <f t="array" ref="BX396">IF(OR(Y396={"NS","NA"},$P381={"NS","NA"}),0,IF(Y396&lt;=$P381,0,1))</f>
        <v>0</v>
      </c>
      <c r="BY396" cm="1">
        <f t="array" ref="BY396">IF(OR(Z396={"NS","NA"},$Q381={"NS","NA"}),0,IF(Z396&lt;=$Q381,0,1))</f>
        <v>0</v>
      </c>
      <c r="BZ396" cm="1">
        <f t="array" ref="BZ396">IF(OR(AA396={"NS","NA"},$R381={"NS","NA"}),0,IF(AA396&lt;=$R381,0,1))</f>
        <v>0</v>
      </c>
      <c r="CA396" cm="1">
        <f t="array" ref="CA396">IF(OR(AB396={"NS","NA"},$P381={"NS","NA"}),0,IF(AB396&lt;=$P381,0,1))</f>
        <v>0</v>
      </c>
      <c r="CB396" cm="1">
        <f t="array" ref="CB396">IF(OR(AC396={"NS","NA"},$Q381={"NS","NA"}),0,IF(AC396&lt;=$Q381,0,1))</f>
        <v>0</v>
      </c>
      <c r="CC396" cm="1">
        <f t="array" ref="CC396">IF(OR(AD396={"NS","NA"},$R381={"NS","NA"}),0,IF(AD396&lt;=$R381,0,1))</f>
        <v>0</v>
      </c>
      <c r="CD396"/>
    </row>
    <row r="397" spans="1:82">
      <c r="A397" s="142"/>
      <c r="B397" s="57"/>
      <c r="C397" s="143" t="s">
        <v>2522</v>
      </c>
      <c r="D397" s="814" t="str">
        <f>IF(CNSIPEE_2024_M2_Secc1!D48="","",CNSIPEE_2024_M2_Secc1!D48)</f>
        <v/>
      </c>
      <c r="E397" s="814"/>
      <c r="F397" s="815"/>
      <c r="G397" s="100"/>
      <c r="H397" s="100"/>
      <c r="I397" s="100"/>
      <c r="J397" s="100"/>
      <c r="K397" s="100"/>
      <c r="L397" s="100"/>
      <c r="M397" s="100"/>
      <c r="N397" s="100"/>
      <c r="O397" s="100"/>
      <c r="P397" s="100"/>
      <c r="Q397" s="100"/>
      <c r="R397" s="100"/>
      <c r="S397" s="100"/>
      <c r="T397" s="100"/>
      <c r="U397" s="100"/>
      <c r="V397" s="100"/>
      <c r="W397" s="100"/>
      <c r="X397" s="100"/>
      <c r="Y397" s="100"/>
      <c r="Z397" s="100"/>
      <c r="AA397" s="100"/>
      <c r="AB397" s="100"/>
      <c r="AC397" s="100"/>
      <c r="AD397" s="100"/>
      <c r="AH397">
        <f t="shared" si="292"/>
        <v>0</v>
      </c>
      <c r="AI397">
        <f t="shared" si="293"/>
        <v>0</v>
      </c>
      <c r="AJ397">
        <f t="shared" si="294"/>
        <v>0</v>
      </c>
      <c r="AK397">
        <f t="shared" si="295"/>
        <v>0</v>
      </c>
      <c r="AL397">
        <f t="shared" si="296"/>
        <v>0</v>
      </c>
      <c r="AM397">
        <f t="shared" si="297"/>
        <v>0</v>
      </c>
      <c r="AN397">
        <f t="shared" si="298"/>
        <v>0</v>
      </c>
      <c r="AO397">
        <f t="shared" si="299"/>
        <v>0</v>
      </c>
      <c r="AP397">
        <f t="shared" si="300"/>
        <v>0</v>
      </c>
      <c r="AQ397">
        <f t="shared" si="301"/>
        <v>0</v>
      </c>
      <c r="AR397">
        <f t="shared" si="302"/>
        <v>0</v>
      </c>
      <c r="AS397">
        <f t="shared" si="303"/>
        <v>0</v>
      </c>
      <c r="AT397">
        <f t="shared" si="304"/>
        <v>0</v>
      </c>
      <c r="AU397">
        <f t="shared" si="305"/>
        <v>0</v>
      </c>
      <c r="AV397">
        <f t="shared" si="306"/>
        <v>0</v>
      </c>
      <c r="AW397">
        <f t="shared" si="307"/>
        <v>0</v>
      </c>
      <c r="AX397">
        <f t="shared" si="308"/>
        <v>0</v>
      </c>
      <c r="AY397">
        <f t="shared" si="309"/>
        <v>0</v>
      </c>
      <c r="AZ397">
        <f t="shared" si="310"/>
        <v>0</v>
      </c>
      <c r="BA397">
        <f t="shared" si="311"/>
        <v>0</v>
      </c>
      <c r="BB397">
        <f t="shared" si="312"/>
        <v>0</v>
      </c>
      <c r="BC397">
        <f t="shared" si="313"/>
        <v>0</v>
      </c>
      <c r="BD397">
        <f t="shared" si="314"/>
        <v>0</v>
      </c>
      <c r="BE397">
        <f t="shared" si="315"/>
        <v>0</v>
      </c>
      <c r="BF397" cm="1">
        <f t="array" ref="BF397">IF(OR(G397={"NS","NA"},$P382={"NS","NA"}),0,IF(G397&lt;=$P382,0,1))</f>
        <v>0</v>
      </c>
      <c r="BG397" cm="1">
        <f t="array" ref="BG397">IF(OR(H397={"NS","NA"},$Q382={"NS","NA"}),0,IF(H397&lt;=$Q382,0,1))</f>
        <v>0</v>
      </c>
      <c r="BH397" cm="1">
        <f t="array" ref="BH397">IF(OR(I397={"NS","NA"},$R382={"NS","NA"}),0,IF(I397&lt;=$R382,0,1))</f>
        <v>0</v>
      </c>
      <c r="BI397" cm="1">
        <f t="array" ref="BI397">IF(OR(J397={"NS","NA"},$P382={"NS","NA"}),0,IF(J397&lt;=$P382,0,1))</f>
        <v>0</v>
      </c>
      <c r="BJ397" cm="1">
        <f t="array" ref="BJ397">IF(OR(K397={"NS","NA"},$Q382={"NS","NA"}),0,IF(K397&lt;=$Q382,0,1))</f>
        <v>0</v>
      </c>
      <c r="BK397" cm="1">
        <f t="array" ref="BK397">IF(OR(L397={"NS","NA"},$R382={"NS","NA"}),0,IF(L397&lt;=$R382,0,1))</f>
        <v>0</v>
      </c>
      <c r="BL397" cm="1">
        <f t="array" ref="BL397">IF(OR(M397={"NS","NA"},$P382={"NS","NA"}),0,IF(M397&lt;=$P382,0,1))</f>
        <v>0</v>
      </c>
      <c r="BM397" cm="1">
        <f t="array" ref="BM397">IF(OR(N397={"NS","NA"},$Q382={"NS","NA"}),0,IF(N397&lt;=$Q382,0,1))</f>
        <v>0</v>
      </c>
      <c r="BN397" cm="1">
        <f t="array" ref="BN397">IF(OR(O397={"NS","NA"},$R382={"NS","NA"}),0,IF(O397&lt;=$R382,0,1))</f>
        <v>0</v>
      </c>
      <c r="BO397" cm="1">
        <f t="array" ref="BO397">IF(OR(P397={"NS","NA"},$P382={"NS","NA"}),0,IF(P397&lt;=$P382,0,1))</f>
        <v>0</v>
      </c>
      <c r="BP397" cm="1">
        <f t="array" ref="BP397">IF(OR(Q397={"NS","NA"},$Q382={"NS","NA"}),0,IF(Q397&lt;=$Q382,0,1))</f>
        <v>0</v>
      </c>
      <c r="BQ397" cm="1">
        <f t="array" ref="BQ397">IF(OR(R397={"NS","NA"},$R382={"NS","NA"}),0,IF(R397&lt;=$R382,0,1))</f>
        <v>0</v>
      </c>
      <c r="BR397" cm="1">
        <f t="array" ref="BR397">IF(OR(S397={"NS","NA"},$P382={"NS","NA"}),0,IF(S397&lt;=$P382,0,1))</f>
        <v>0</v>
      </c>
      <c r="BS397" cm="1">
        <f t="array" ref="BS397">IF(OR(T397={"NS","NA"},$Q382={"NS","NA"}),0,IF(T397&lt;=$Q382,0,1))</f>
        <v>0</v>
      </c>
      <c r="BT397" cm="1">
        <f t="array" ref="BT397">IF(OR(U397={"NS","NA"},$R382={"NS","NA"}),0,IF(U397&lt;=$R382,0,1))</f>
        <v>0</v>
      </c>
      <c r="BU397" cm="1">
        <f t="array" ref="BU397">IF(OR(V397={"NS","NA"},$P382={"NS","NA"}),0,IF(V397&lt;=$P382,0,1))</f>
        <v>0</v>
      </c>
      <c r="BV397" cm="1">
        <f t="array" ref="BV397">IF(OR(W397={"NS","NA"},$Q382={"NS","NA"}),0,IF(W397&lt;=$Q382,0,1))</f>
        <v>0</v>
      </c>
      <c r="BW397" cm="1">
        <f t="array" ref="BW397">IF(OR(X397={"NS","NA"},$R382={"NS","NA"}),0,IF(X397&lt;=$R382,0,1))</f>
        <v>0</v>
      </c>
      <c r="BX397" cm="1">
        <f t="array" ref="BX397">IF(OR(Y397={"NS","NA"},$P382={"NS","NA"}),0,IF(Y397&lt;=$P382,0,1))</f>
        <v>0</v>
      </c>
      <c r="BY397" cm="1">
        <f t="array" ref="BY397">IF(OR(Z397={"NS","NA"},$Q382={"NS","NA"}),0,IF(Z397&lt;=$Q382,0,1))</f>
        <v>0</v>
      </c>
      <c r="BZ397" cm="1">
        <f t="array" ref="BZ397">IF(OR(AA397={"NS","NA"},$R382={"NS","NA"}),0,IF(AA397&lt;=$R382,0,1))</f>
        <v>0</v>
      </c>
      <c r="CA397" cm="1">
        <f t="array" ref="CA397">IF(OR(AB397={"NS","NA"},$P382={"NS","NA"}),0,IF(AB397&lt;=$P382,0,1))</f>
        <v>0</v>
      </c>
      <c r="CB397" cm="1">
        <f t="array" ref="CB397">IF(OR(AC397={"NS","NA"},$Q382={"NS","NA"}),0,IF(AC397&lt;=$Q382,0,1))</f>
        <v>0</v>
      </c>
      <c r="CC397" cm="1">
        <f t="array" ref="CC397">IF(OR(AD397={"NS","NA"},$R382={"NS","NA"}),0,IF(AD397&lt;=$R382,0,1))</f>
        <v>0</v>
      </c>
      <c r="CD397"/>
    </row>
    <row r="398" spans="1:82">
      <c r="A398" s="142"/>
      <c r="B398" s="57"/>
      <c r="C398" s="143" t="s">
        <v>2523</v>
      </c>
      <c r="D398" s="814" t="str">
        <f>IF(CNSIPEE_2024_M2_Secc1!D49="","",CNSIPEE_2024_M2_Secc1!D49)</f>
        <v/>
      </c>
      <c r="E398" s="814"/>
      <c r="F398" s="815"/>
      <c r="G398" s="100"/>
      <c r="H398" s="100"/>
      <c r="I398" s="100"/>
      <c r="J398" s="100"/>
      <c r="K398" s="100"/>
      <c r="L398" s="100"/>
      <c r="M398" s="100"/>
      <c r="N398" s="100"/>
      <c r="O398" s="100"/>
      <c r="P398" s="100"/>
      <c r="Q398" s="100"/>
      <c r="R398" s="100"/>
      <c r="S398" s="100"/>
      <c r="T398" s="100"/>
      <c r="U398" s="100"/>
      <c r="V398" s="100"/>
      <c r="W398" s="100"/>
      <c r="X398" s="100"/>
      <c r="Y398" s="100"/>
      <c r="Z398" s="100"/>
      <c r="AA398" s="100"/>
      <c r="AB398" s="100"/>
      <c r="AC398" s="100"/>
      <c r="AD398" s="100"/>
      <c r="AH398">
        <f t="shared" si="292"/>
        <v>0</v>
      </c>
      <c r="AI398">
        <f t="shared" si="293"/>
        <v>0</v>
      </c>
      <c r="AJ398">
        <f t="shared" si="294"/>
        <v>0</v>
      </c>
      <c r="AK398">
        <f t="shared" si="295"/>
        <v>0</v>
      </c>
      <c r="AL398">
        <f t="shared" si="296"/>
        <v>0</v>
      </c>
      <c r="AM398">
        <f t="shared" si="297"/>
        <v>0</v>
      </c>
      <c r="AN398">
        <f t="shared" si="298"/>
        <v>0</v>
      </c>
      <c r="AO398">
        <f t="shared" si="299"/>
        <v>0</v>
      </c>
      <c r="AP398">
        <f t="shared" si="300"/>
        <v>0</v>
      </c>
      <c r="AQ398">
        <f t="shared" si="301"/>
        <v>0</v>
      </c>
      <c r="AR398">
        <f t="shared" si="302"/>
        <v>0</v>
      </c>
      <c r="AS398">
        <f t="shared" si="303"/>
        <v>0</v>
      </c>
      <c r="AT398">
        <f t="shared" si="304"/>
        <v>0</v>
      </c>
      <c r="AU398">
        <f t="shared" si="305"/>
        <v>0</v>
      </c>
      <c r="AV398">
        <f t="shared" si="306"/>
        <v>0</v>
      </c>
      <c r="AW398">
        <f t="shared" si="307"/>
        <v>0</v>
      </c>
      <c r="AX398">
        <f t="shared" si="308"/>
        <v>0</v>
      </c>
      <c r="AY398">
        <f t="shared" si="309"/>
        <v>0</v>
      </c>
      <c r="AZ398">
        <f t="shared" si="310"/>
        <v>0</v>
      </c>
      <c r="BA398">
        <f t="shared" si="311"/>
        <v>0</v>
      </c>
      <c r="BB398">
        <f t="shared" si="312"/>
        <v>0</v>
      </c>
      <c r="BC398">
        <f t="shared" si="313"/>
        <v>0</v>
      </c>
      <c r="BD398">
        <f t="shared" si="314"/>
        <v>0</v>
      </c>
      <c r="BE398">
        <f t="shared" si="315"/>
        <v>0</v>
      </c>
      <c r="BF398" cm="1">
        <f t="array" ref="BF398">IF(OR(G398={"NS","NA"},$P383={"NS","NA"}),0,IF(G398&lt;=$P383,0,1))</f>
        <v>0</v>
      </c>
      <c r="BG398" cm="1">
        <f t="array" ref="BG398">IF(OR(H398={"NS","NA"},$Q383={"NS","NA"}),0,IF(H398&lt;=$Q383,0,1))</f>
        <v>0</v>
      </c>
      <c r="BH398" cm="1">
        <f t="array" ref="BH398">IF(OR(I398={"NS","NA"},$R383={"NS","NA"}),0,IF(I398&lt;=$R383,0,1))</f>
        <v>0</v>
      </c>
      <c r="BI398" cm="1">
        <f t="array" ref="BI398">IF(OR(J398={"NS","NA"},$P383={"NS","NA"}),0,IF(J398&lt;=$P383,0,1))</f>
        <v>0</v>
      </c>
      <c r="BJ398" cm="1">
        <f t="array" ref="BJ398">IF(OR(K398={"NS","NA"},$Q383={"NS","NA"}),0,IF(K398&lt;=$Q383,0,1))</f>
        <v>0</v>
      </c>
      <c r="BK398" cm="1">
        <f t="array" ref="BK398">IF(OR(L398={"NS","NA"},$R383={"NS","NA"}),0,IF(L398&lt;=$R383,0,1))</f>
        <v>0</v>
      </c>
      <c r="BL398" cm="1">
        <f t="array" ref="BL398">IF(OR(M398={"NS","NA"},$P383={"NS","NA"}),0,IF(M398&lt;=$P383,0,1))</f>
        <v>0</v>
      </c>
      <c r="BM398" cm="1">
        <f t="array" ref="BM398">IF(OR(N398={"NS","NA"},$Q383={"NS","NA"}),0,IF(N398&lt;=$Q383,0,1))</f>
        <v>0</v>
      </c>
      <c r="BN398" cm="1">
        <f t="array" ref="BN398">IF(OR(O398={"NS","NA"},$R383={"NS","NA"}),0,IF(O398&lt;=$R383,0,1))</f>
        <v>0</v>
      </c>
      <c r="BO398" cm="1">
        <f t="array" ref="BO398">IF(OR(P398={"NS","NA"},$P383={"NS","NA"}),0,IF(P398&lt;=$P383,0,1))</f>
        <v>0</v>
      </c>
      <c r="BP398" cm="1">
        <f t="array" ref="BP398">IF(OR(Q398={"NS","NA"},$Q383={"NS","NA"}),0,IF(Q398&lt;=$Q383,0,1))</f>
        <v>0</v>
      </c>
      <c r="BQ398" cm="1">
        <f t="array" ref="BQ398">IF(OR(R398={"NS","NA"},$R383={"NS","NA"}),0,IF(R398&lt;=$R383,0,1))</f>
        <v>0</v>
      </c>
      <c r="BR398" cm="1">
        <f t="array" ref="BR398">IF(OR(S398={"NS","NA"},$P383={"NS","NA"}),0,IF(S398&lt;=$P383,0,1))</f>
        <v>0</v>
      </c>
      <c r="BS398" cm="1">
        <f t="array" ref="BS398">IF(OR(T398={"NS","NA"},$Q383={"NS","NA"}),0,IF(T398&lt;=$Q383,0,1))</f>
        <v>0</v>
      </c>
      <c r="BT398" cm="1">
        <f t="array" ref="BT398">IF(OR(U398={"NS","NA"},$R383={"NS","NA"}),0,IF(U398&lt;=$R383,0,1))</f>
        <v>0</v>
      </c>
      <c r="BU398" cm="1">
        <f t="array" ref="BU398">IF(OR(V398={"NS","NA"},$P383={"NS","NA"}),0,IF(V398&lt;=$P383,0,1))</f>
        <v>0</v>
      </c>
      <c r="BV398" cm="1">
        <f t="array" ref="BV398">IF(OR(W398={"NS","NA"},$Q383={"NS","NA"}),0,IF(W398&lt;=$Q383,0,1))</f>
        <v>0</v>
      </c>
      <c r="BW398" cm="1">
        <f t="array" ref="BW398">IF(OR(X398={"NS","NA"},$R383={"NS","NA"}),0,IF(X398&lt;=$R383,0,1))</f>
        <v>0</v>
      </c>
      <c r="BX398" cm="1">
        <f t="array" ref="BX398">IF(OR(Y398={"NS","NA"},$P383={"NS","NA"}),0,IF(Y398&lt;=$P383,0,1))</f>
        <v>0</v>
      </c>
      <c r="BY398" cm="1">
        <f t="array" ref="BY398">IF(OR(Z398={"NS","NA"},$Q383={"NS","NA"}),0,IF(Z398&lt;=$Q383,0,1))</f>
        <v>0</v>
      </c>
      <c r="BZ398" cm="1">
        <f t="array" ref="BZ398">IF(OR(AA398={"NS","NA"},$R383={"NS","NA"}),0,IF(AA398&lt;=$R383,0,1))</f>
        <v>0</v>
      </c>
      <c r="CA398" cm="1">
        <f t="array" ref="CA398">IF(OR(AB398={"NS","NA"},$P383={"NS","NA"}),0,IF(AB398&lt;=$P383,0,1))</f>
        <v>0</v>
      </c>
      <c r="CB398" cm="1">
        <f t="array" ref="CB398">IF(OR(AC398={"NS","NA"},$Q383={"NS","NA"}),0,IF(AC398&lt;=$Q383,0,1))</f>
        <v>0</v>
      </c>
      <c r="CC398" cm="1">
        <f t="array" ref="CC398">IF(OR(AD398={"NS","NA"},$R383={"NS","NA"}),0,IF(AD398&lt;=$R383,0,1))</f>
        <v>0</v>
      </c>
      <c r="CD398"/>
    </row>
    <row r="399" spans="1:82">
      <c r="A399" s="142"/>
      <c r="B399" s="57"/>
      <c r="C399" s="75"/>
      <c r="D399" s="75"/>
      <c r="E399" s="75"/>
      <c r="F399" s="99"/>
      <c r="G399" s="124">
        <f t="shared" ref="G399:AD399" si="316">IF(AND(SUM(G391:G398)=0,COUNTIF(G391:G398,"NS")&gt;0),"NS",IF(AND(SUM(G391:G398)=0,COUNTIF(G391:G398,0)&gt;0),0,IF(AND(SUM(G391:G398)=0,COUNTIF(G391:G398,"NA")&gt;0),"NA",SUM(G391:G398))))</f>
        <v>0</v>
      </c>
      <c r="H399" s="124">
        <f t="shared" si="316"/>
        <v>0</v>
      </c>
      <c r="I399" s="124">
        <f t="shared" si="316"/>
        <v>0</v>
      </c>
      <c r="J399" s="124">
        <f t="shared" si="316"/>
        <v>0</v>
      </c>
      <c r="K399" s="124">
        <f t="shared" si="316"/>
        <v>0</v>
      </c>
      <c r="L399" s="124">
        <f t="shared" si="316"/>
        <v>0</v>
      </c>
      <c r="M399" s="124">
        <f t="shared" si="316"/>
        <v>0</v>
      </c>
      <c r="N399" s="124">
        <f t="shared" si="316"/>
        <v>0</v>
      </c>
      <c r="O399" s="124">
        <f t="shared" si="316"/>
        <v>0</v>
      </c>
      <c r="P399" s="124">
        <f t="shared" si="316"/>
        <v>0</v>
      </c>
      <c r="Q399" s="124">
        <f t="shared" si="316"/>
        <v>0</v>
      </c>
      <c r="R399" s="124">
        <f t="shared" si="316"/>
        <v>0</v>
      </c>
      <c r="S399" s="124">
        <f t="shared" si="316"/>
        <v>0</v>
      </c>
      <c r="T399" s="124">
        <f t="shared" si="316"/>
        <v>0</v>
      </c>
      <c r="U399" s="124">
        <f t="shared" si="316"/>
        <v>0</v>
      </c>
      <c r="V399" s="124">
        <f t="shared" si="316"/>
        <v>0</v>
      </c>
      <c r="W399" s="124">
        <f t="shared" si="316"/>
        <v>0</v>
      </c>
      <c r="X399" s="124">
        <f t="shared" si="316"/>
        <v>0</v>
      </c>
      <c r="Y399" s="124">
        <f t="shared" si="316"/>
        <v>0</v>
      </c>
      <c r="Z399" s="124">
        <f t="shared" si="316"/>
        <v>0</v>
      </c>
      <c r="AA399" s="124">
        <f t="shared" si="316"/>
        <v>0</v>
      </c>
      <c r="AB399" s="124">
        <f t="shared" si="316"/>
        <v>0</v>
      </c>
      <c r="AC399" s="124">
        <f t="shared" si="316"/>
        <v>0</v>
      </c>
      <c r="AD399" s="124">
        <f t="shared" si="316"/>
        <v>0</v>
      </c>
      <c r="AH399">
        <f>SUM(AH391:AH398)</f>
        <v>0</v>
      </c>
      <c r="AJ399">
        <f>SUM(AJ391:AJ398)</f>
        <v>0</v>
      </c>
      <c r="AK399">
        <f>SUM(AK391:AK398)</f>
        <v>0</v>
      </c>
      <c r="AM399">
        <f>SUM(AM391:AM398)</f>
        <v>0</v>
      </c>
      <c r="AN399">
        <f>SUM(AN391:AN398)</f>
        <v>0</v>
      </c>
      <c r="AP399">
        <f>SUM(AP391:AP398)</f>
        <v>0</v>
      </c>
      <c r="AQ399">
        <f>SUM(AQ391:AQ398)</f>
        <v>0</v>
      </c>
      <c r="AS399">
        <f>SUM(AS391:AS398)</f>
        <v>0</v>
      </c>
      <c r="AT399">
        <f>SUM(AT391:AT398)</f>
        <v>0</v>
      </c>
      <c r="AV399">
        <f>SUM(AV391:AV398)</f>
        <v>0</v>
      </c>
      <c r="AW399">
        <f>SUM(AW391:AW398)</f>
        <v>0</v>
      </c>
      <c r="AY399">
        <f>SUM(AY391:AY398)</f>
        <v>0</v>
      </c>
      <c r="AZ399">
        <f>SUM(AZ391:AZ398)</f>
        <v>0</v>
      </c>
      <c r="BB399">
        <f>SUM(BB391:BB398)</f>
        <v>0</v>
      </c>
      <c r="BC399">
        <f>SUM(BC391:BC398)</f>
        <v>0</v>
      </c>
      <c r="BE399">
        <f>SUM(BE391:BE398)</f>
        <v>0</v>
      </c>
      <c r="BZ399"/>
      <c r="CA399"/>
      <c r="CB399"/>
      <c r="CC399" s="405">
        <f>SUM(BF391:CC398)</f>
        <v>0</v>
      </c>
      <c r="CD399"/>
    </row>
    <row r="400" spans="1:82">
      <c r="A400" s="142"/>
      <c r="B400" s="57"/>
      <c r="C400" s="57"/>
      <c r="D400" s="57"/>
      <c r="E400" s="57"/>
      <c r="F400" s="57"/>
      <c r="G400" s="57"/>
      <c r="H400" s="57"/>
      <c r="I400" s="57"/>
      <c r="J400" s="57"/>
      <c r="K400" s="57"/>
      <c r="L400" s="57"/>
      <c r="M400" s="57"/>
      <c r="N400" s="57"/>
      <c r="O400" s="57"/>
      <c r="P400" s="57"/>
      <c r="Q400" s="57"/>
      <c r="R400" s="57"/>
      <c r="S400" s="57"/>
      <c r="T400" s="57"/>
      <c r="U400" s="57"/>
      <c r="V400" s="57"/>
      <c r="W400" s="57"/>
      <c r="X400" s="57"/>
      <c r="Y400" s="57"/>
      <c r="Z400" s="57"/>
      <c r="AA400" s="57"/>
      <c r="AB400" s="57"/>
      <c r="AC400" s="57"/>
      <c r="AD400" s="57"/>
      <c r="AK400" t="s">
        <v>2650</v>
      </c>
      <c r="AL400" s="590">
        <f>SUM(AJ399,AM399,AP399,AS399,AV399,AY399,BB399,BE399)</f>
        <v>0</v>
      </c>
      <c r="AM400" t="s">
        <v>2651</v>
      </c>
      <c r="AN400">
        <f>SUM(AK399,AN399,AQ399,AT399,AW399,AZ399,BC399)</f>
        <v>0</v>
      </c>
      <c r="BZ400"/>
      <c r="CA400"/>
      <c r="CB400"/>
      <c r="CC400" s="506">
        <f>SUM(CC399,BO384)</f>
        <v>0</v>
      </c>
      <c r="CD400"/>
    </row>
    <row r="401" spans="1:82" ht="45" customHeight="1">
      <c r="A401" s="142"/>
      <c r="B401" s="57"/>
      <c r="C401" s="822" t="s">
        <v>2798</v>
      </c>
      <c r="D401" s="822"/>
      <c r="E401" s="822"/>
      <c r="F401" s="749"/>
      <c r="G401" s="749"/>
      <c r="H401" s="749"/>
      <c r="I401" s="749"/>
      <c r="J401" s="749"/>
      <c r="K401" s="749"/>
      <c r="L401" s="749"/>
      <c r="M401" s="749"/>
      <c r="N401" s="749"/>
      <c r="O401" s="749"/>
      <c r="P401" s="749"/>
      <c r="Q401" s="749"/>
      <c r="R401" s="749"/>
      <c r="S401" s="749"/>
      <c r="T401" s="749"/>
      <c r="U401" s="749"/>
      <c r="V401" s="749"/>
      <c r="W401" s="749"/>
      <c r="X401" s="749"/>
      <c r="Y401" s="749"/>
      <c r="Z401" s="749"/>
      <c r="AA401" s="749"/>
      <c r="AB401" s="749"/>
      <c r="AC401" s="749"/>
      <c r="AD401" s="749"/>
      <c r="AK401" t="s">
        <v>2652</v>
      </c>
      <c r="AL401">
        <f>IF(AN400&gt;0,IF(SUM(J399)&gt;=SUM(M399,P399,S399,V399,Y399,AB399),0,1),IF(SUM(J399)&lt;&gt;SUM(M399,P399,S399,V399,Y399,AB399),1,0))</f>
        <v>0</v>
      </c>
      <c r="AM401" t="s">
        <v>2653</v>
      </c>
      <c r="AN401">
        <f>IF(AN400&gt;0,IF(SUM(K399)&gt;=SUM(N399,Q399,T399,W399,Z399,AC399),0,1),IF(SUM(K399)&lt;&gt;SUM(N399,Q399,T399,W399,Z399,AC399),1,0))</f>
        <v>0</v>
      </c>
      <c r="AO401" t="s">
        <v>2654</v>
      </c>
      <c r="AP401">
        <f>IF(AN400&gt;0,IF(SUM(L399)&gt;=SUM(O399,R399,U399,X399,AA399,AD399),0,1),IF(SUM(L399)&lt;&gt;SUM(O399,R399,U399,X399,AA399,AD399),1,0))</f>
        <v>0</v>
      </c>
      <c r="CA401"/>
      <c r="CB401"/>
      <c r="CC401"/>
      <c r="CD401"/>
    </row>
    <row r="402" spans="1:82">
      <c r="A402" s="142"/>
      <c r="B402" s="1003" t="str">
        <f>IF(AND(AB399&gt;0,AB399&lt;&gt;"NA",AB399&lt;&gt;"NS",F401=""),"Debido a que registró un número mayor a cero en el apdo. Otro tipo, debe anotar el n. de dicho(s) tipo(s) de atención y/ o tratamiento médico","")</f>
        <v/>
      </c>
      <c r="C402" s="1003"/>
      <c r="D402" s="1003"/>
      <c r="E402" s="1003"/>
      <c r="F402" s="1003"/>
      <c r="G402" s="1003"/>
      <c r="H402" s="1003"/>
      <c r="I402" s="1003"/>
      <c r="J402" s="1003"/>
      <c r="K402" s="1003"/>
      <c r="L402" s="1003"/>
      <c r="M402" s="1003"/>
      <c r="N402" s="1003"/>
      <c r="O402" s="1003"/>
      <c r="P402" s="1003"/>
      <c r="Q402" s="1003"/>
      <c r="R402" s="1003"/>
      <c r="S402" s="1003"/>
      <c r="T402" s="1003"/>
      <c r="U402" s="1003"/>
      <c r="V402" s="1003"/>
      <c r="W402" s="1003"/>
      <c r="X402" s="1003"/>
      <c r="Y402" s="1003"/>
      <c r="Z402" s="1003"/>
      <c r="AA402" s="1003"/>
      <c r="AB402" s="1003"/>
      <c r="AC402" s="1003"/>
      <c r="AD402" s="1003"/>
      <c r="AE402" s="1003"/>
      <c r="AK402" t="s">
        <v>5218</v>
      </c>
      <c r="AL402" s="506">
        <f>SUM(AL400,AM385)</f>
        <v>0</v>
      </c>
      <c r="CA402"/>
      <c r="CB402"/>
      <c r="CC402"/>
      <c r="CD402"/>
    </row>
    <row r="403" spans="1:82" ht="24" customHeight="1">
      <c r="A403" s="142"/>
      <c r="B403" s="57"/>
      <c r="C403" s="754" t="s">
        <v>2611</v>
      </c>
      <c r="D403" s="754"/>
      <c r="E403" s="754"/>
      <c r="F403" s="754"/>
      <c r="G403" s="754"/>
      <c r="H403" s="754"/>
      <c r="I403" s="754"/>
      <c r="J403" s="754"/>
      <c r="K403" s="754"/>
      <c r="L403" s="754"/>
      <c r="M403" s="754"/>
      <c r="N403" s="754"/>
      <c r="O403" s="754"/>
      <c r="P403" s="754"/>
      <c r="Q403" s="754"/>
      <c r="R403" s="754"/>
      <c r="S403" s="754"/>
      <c r="T403" s="754"/>
      <c r="U403" s="754"/>
      <c r="V403" s="754"/>
      <c r="W403" s="754"/>
      <c r="X403" s="754"/>
      <c r="Y403" s="754"/>
      <c r="Z403" s="754"/>
      <c r="AA403" s="754"/>
      <c r="AB403" s="754"/>
      <c r="AC403" s="754"/>
      <c r="AD403" s="754"/>
      <c r="CA403"/>
      <c r="CB403"/>
      <c r="CC403"/>
      <c r="CD403"/>
    </row>
    <row r="404" spans="1:82" ht="60" customHeight="1">
      <c r="A404" s="142"/>
      <c r="B404" s="57"/>
      <c r="C404" s="812"/>
      <c r="D404" s="812"/>
      <c r="E404" s="812"/>
      <c r="F404" s="812"/>
      <c r="G404" s="812"/>
      <c r="H404" s="812"/>
      <c r="I404" s="812"/>
      <c r="J404" s="812"/>
      <c r="K404" s="812"/>
      <c r="L404" s="812"/>
      <c r="M404" s="812"/>
      <c r="N404" s="812"/>
      <c r="O404" s="812"/>
      <c r="P404" s="812"/>
      <c r="Q404" s="812"/>
      <c r="R404" s="812"/>
      <c r="S404" s="812"/>
      <c r="T404" s="812"/>
      <c r="U404" s="812"/>
      <c r="V404" s="812"/>
      <c r="W404" s="812"/>
      <c r="X404" s="812"/>
      <c r="Y404" s="812"/>
      <c r="Z404" s="812"/>
      <c r="AA404" s="812"/>
      <c r="AB404" s="812"/>
      <c r="AC404" s="812"/>
      <c r="AD404" s="812"/>
    </row>
    <row r="405" spans="1:82">
      <c r="A405" s="142"/>
      <c r="B405" s="794" t="str">
        <f>IF(AG384=0,"","Favor de ingresar toda la información requerida en la pregunta")</f>
        <v/>
      </c>
      <c r="C405" s="794"/>
      <c r="D405" s="794"/>
      <c r="E405" s="794"/>
      <c r="F405" s="794"/>
      <c r="G405" s="794"/>
      <c r="H405" s="794"/>
      <c r="I405" s="794"/>
      <c r="J405" s="794"/>
      <c r="K405" s="794"/>
      <c r="L405" s="794"/>
      <c r="M405" s="794"/>
      <c r="N405" s="794"/>
      <c r="O405" s="794"/>
      <c r="P405" s="794"/>
      <c r="Q405" s="794"/>
      <c r="R405" s="794"/>
      <c r="S405" s="794"/>
      <c r="T405" s="794"/>
      <c r="U405" s="794"/>
      <c r="V405" s="794"/>
      <c r="W405" s="794"/>
      <c r="X405" s="794"/>
      <c r="Y405" s="794"/>
      <c r="Z405" s="794"/>
      <c r="AA405" s="794"/>
      <c r="AB405" s="794"/>
      <c r="AC405" s="794"/>
      <c r="AD405" s="794"/>
      <c r="AE405" s="794"/>
    </row>
    <row r="406" spans="1:82">
      <c r="A406" s="142"/>
      <c r="B406" s="1087" t="str">
        <f>IF(SUM(COUNTIF(P376:AD383,"NS"),COUNTIF(G391:AD398,"NS"))&lt;&gt;0,"Alerta: debido a que cuenta con registros NS, debe proporcionar una justificación en el area de comentarios al final de la pregunta","")</f>
        <v/>
      </c>
      <c r="C406" s="1087"/>
      <c r="D406" s="1087"/>
      <c r="E406" s="1087"/>
      <c r="F406" s="1087"/>
      <c r="G406" s="1087"/>
      <c r="H406" s="1087"/>
      <c r="I406" s="1087"/>
      <c r="J406" s="1087"/>
      <c r="K406" s="1087"/>
      <c r="L406" s="1087"/>
      <c r="M406" s="1087"/>
      <c r="N406" s="1087"/>
      <c r="O406" s="1087"/>
      <c r="P406" s="1087"/>
      <c r="Q406" s="1087"/>
      <c r="R406" s="1087"/>
      <c r="S406" s="1087"/>
      <c r="T406" s="1087"/>
      <c r="U406" s="1087"/>
      <c r="V406" s="1087"/>
      <c r="W406" s="1087"/>
      <c r="X406" s="1087"/>
      <c r="Y406" s="1087"/>
      <c r="Z406" s="1087"/>
      <c r="AA406" s="1087"/>
      <c r="AB406" s="1087"/>
      <c r="AC406" s="1087"/>
      <c r="AD406" s="1087"/>
      <c r="AE406" s="1087"/>
    </row>
    <row r="407" spans="1:82">
      <c r="A407" s="142"/>
      <c r="B407" s="1003" t="str">
        <f>IF(AH384&gt;0,"Revise la información capturada, ya que tiene datos ingresados en celdas que están sombreadas","")</f>
        <v/>
      </c>
      <c r="C407" s="1003"/>
      <c r="D407" s="1003"/>
      <c r="E407" s="1003"/>
      <c r="F407" s="1003"/>
      <c r="G407" s="1003"/>
      <c r="H407" s="1003"/>
      <c r="I407" s="1003"/>
      <c r="J407" s="1003"/>
      <c r="K407" s="1003"/>
      <c r="L407" s="1003"/>
      <c r="M407" s="1003"/>
      <c r="N407" s="1003"/>
      <c r="O407" s="1003"/>
      <c r="P407" s="1003"/>
      <c r="Q407" s="1003"/>
      <c r="R407" s="1003"/>
      <c r="S407" s="1003"/>
      <c r="T407" s="1003"/>
      <c r="U407" s="1003"/>
      <c r="V407" s="1003"/>
      <c r="W407" s="1003"/>
      <c r="X407" s="1003"/>
      <c r="Y407" s="1003"/>
      <c r="Z407" s="1003"/>
      <c r="AA407" s="1003"/>
      <c r="AB407" s="1003"/>
      <c r="AC407" s="1003"/>
      <c r="AD407" s="1003"/>
      <c r="AE407" s="1003"/>
    </row>
    <row r="408" spans="1:82">
      <c r="A408" s="142"/>
      <c r="B408" s="1003" t="str">
        <f>IF(AL402&gt;0,"Favor de revisar la suma y consistencia de totales y/o subtotales por filas (numéricos y NS)",IF(AF384=0,"","Debido a que cuenta con registro(s) con el código 1, el total de la fila respectiva debe ser mayor a cero"))</f>
        <v/>
      </c>
      <c r="C408" s="1003"/>
      <c r="D408" s="1003"/>
      <c r="E408" s="1003"/>
      <c r="F408" s="1003"/>
      <c r="G408" s="1003"/>
      <c r="H408" s="1003"/>
      <c r="I408" s="1003"/>
      <c r="J408" s="1003"/>
      <c r="K408" s="1003"/>
      <c r="L408" s="1003"/>
      <c r="M408" s="1003"/>
      <c r="N408" s="1003"/>
      <c r="O408" s="1003"/>
      <c r="P408" s="1003"/>
      <c r="Q408" s="1003"/>
      <c r="R408" s="1003"/>
      <c r="S408" s="1003"/>
      <c r="T408" s="1003"/>
      <c r="U408" s="1003"/>
      <c r="V408" s="1003"/>
      <c r="W408" s="1003"/>
      <c r="X408" s="1003"/>
      <c r="Y408" s="1003"/>
      <c r="Z408" s="1003"/>
      <c r="AA408" s="1003"/>
      <c r="AB408" s="1003"/>
      <c r="AC408" s="1003"/>
      <c r="AD408" s="1003"/>
      <c r="AE408" s="1003"/>
    </row>
    <row r="409" spans="1:82">
      <c r="A409" s="142"/>
      <c r="B409" s="794" t="str">
        <f>IF(BB384&gt;0,"Favor de revisar la instrucción 4, debido a que no se cumplen con los criterios mencionados","")</f>
        <v/>
      </c>
      <c r="C409" s="794"/>
      <c r="D409" s="794"/>
      <c r="E409" s="794"/>
      <c r="F409" s="794"/>
      <c r="G409" s="794"/>
      <c r="H409" s="794"/>
      <c r="I409" s="794"/>
      <c r="J409" s="794"/>
      <c r="K409" s="794"/>
      <c r="L409" s="794"/>
      <c r="M409" s="794"/>
      <c r="N409" s="794"/>
      <c r="O409" s="794"/>
      <c r="P409" s="794"/>
      <c r="Q409" s="794"/>
      <c r="R409" s="794"/>
      <c r="S409" s="794"/>
      <c r="T409" s="794"/>
      <c r="U409" s="794"/>
      <c r="V409" s="794"/>
      <c r="W409" s="794"/>
      <c r="X409" s="794"/>
      <c r="Y409" s="794"/>
      <c r="Z409" s="794"/>
      <c r="AA409" s="794"/>
      <c r="AB409" s="794"/>
      <c r="AC409" s="794"/>
      <c r="AD409" s="794"/>
      <c r="AE409" s="794"/>
    </row>
    <row r="410" spans="1:82">
      <c r="A410" s="142"/>
      <c r="B410" s="795" t="str">
        <f>IF(CC400&gt;0,"Alerta: debe de proporcionar una justificación de acuerdo a lo establecido en la instrucción 5","")</f>
        <v/>
      </c>
      <c r="C410" s="795"/>
      <c r="D410" s="795"/>
      <c r="E410" s="795"/>
      <c r="F410" s="795"/>
      <c r="G410" s="795"/>
      <c r="H410" s="795"/>
      <c r="I410" s="795"/>
      <c r="J410" s="795"/>
      <c r="K410" s="795"/>
      <c r="L410" s="795"/>
      <c r="M410" s="795"/>
      <c r="N410" s="795"/>
      <c r="O410" s="795"/>
      <c r="P410" s="795"/>
      <c r="Q410" s="795"/>
      <c r="R410" s="795"/>
      <c r="S410" s="795"/>
      <c r="T410" s="795"/>
      <c r="U410" s="795"/>
      <c r="V410" s="795"/>
      <c r="W410" s="795"/>
      <c r="X410" s="795"/>
      <c r="Y410" s="795"/>
      <c r="Z410" s="795"/>
      <c r="AA410" s="795"/>
      <c r="AB410" s="795"/>
      <c r="AC410" s="795"/>
      <c r="AD410" s="795"/>
      <c r="AE410" s="795"/>
    </row>
    <row r="411" spans="1:82" ht="36" customHeight="1">
      <c r="A411" s="49" t="s">
        <v>5929</v>
      </c>
      <c r="B411" s="829" t="s">
        <v>5930</v>
      </c>
      <c r="C411" s="829"/>
      <c r="D411" s="829"/>
      <c r="E411" s="829"/>
      <c r="F411" s="829"/>
      <c r="G411" s="829"/>
      <c r="H411" s="829"/>
      <c r="I411" s="829"/>
      <c r="J411" s="829"/>
      <c r="K411" s="829"/>
      <c r="L411" s="829"/>
      <c r="M411" s="829"/>
      <c r="N411" s="829"/>
      <c r="O411" s="829"/>
      <c r="P411" s="829"/>
      <c r="Q411" s="829"/>
      <c r="R411" s="829"/>
      <c r="S411" s="829"/>
      <c r="T411" s="829"/>
      <c r="U411" s="829"/>
      <c r="V411" s="829"/>
      <c r="W411" s="829"/>
      <c r="X411" s="829"/>
      <c r="Y411" s="829"/>
      <c r="Z411" s="829"/>
      <c r="AA411" s="829"/>
      <c r="AB411" s="829"/>
      <c r="AC411" s="829"/>
      <c r="AD411" s="829"/>
    </row>
    <row r="412" spans="1:82" ht="24" customHeight="1">
      <c r="A412" s="50"/>
      <c r="B412" s="38"/>
      <c r="C412" s="830" t="s">
        <v>5931</v>
      </c>
      <c r="D412" s="830"/>
      <c r="E412" s="830"/>
      <c r="F412" s="830"/>
      <c r="G412" s="830"/>
      <c r="H412" s="830"/>
      <c r="I412" s="830"/>
      <c r="J412" s="830"/>
      <c r="K412" s="830"/>
      <c r="L412" s="830"/>
      <c r="M412" s="830"/>
      <c r="N412" s="830"/>
      <c r="O412" s="830"/>
      <c r="P412" s="830"/>
      <c r="Q412" s="830"/>
      <c r="R412" s="830"/>
      <c r="S412" s="830"/>
      <c r="T412" s="830"/>
      <c r="U412" s="830"/>
      <c r="V412" s="830"/>
      <c r="W412" s="830"/>
      <c r="X412" s="830"/>
      <c r="Y412" s="830"/>
      <c r="Z412" s="830"/>
      <c r="AA412" s="830"/>
      <c r="AB412" s="830"/>
      <c r="AC412" s="830"/>
      <c r="AD412" s="830"/>
    </row>
    <row r="413" spans="1:82" ht="36" customHeight="1">
      <c r="A413" s="50"/>
      <c r="B413" s="38"/>
      <c r="C413" s="754" t="s">
        <v>5932</v>
      </c>
      <c r="D413" s="754"/>
      <c r="E413" s="754"/>
      <c r="F413" s="754"/>
      <c r="G413" s="754"/>
      <c r="H413" s="754"/>
      <c r="I413" s="754"/>
      <c r="J413" s="754"/>
      <c r="K413" s="754"/>
      <c r="L413" s="754"/>
      <c r="M413" s="754"/>
      <c r="N413" s="754"/>
      <c r="O413" s="754"/>
      <c r="P413" s="754"/>
      <c r="Q413" s="754"/>
      <c r="R413" s="754"/>
      <c r="S413" s="754"/>
      <c r="T413" s="754"/>
      <c r="U413" s="754"/>
      <c r="V413" s="754"/>
      <c r="W413" s="754"/>
      <c r="X413" s="754"/>
      <c r="Y413" s="754"/>
      <c r="Z413" s="754"/>
      <c r="AA413" s="754"/>
      <c r="AB413" s="754"/>
      <c r="AC413" s="754"/>
      <c r="AD413" s="754"/>
    </row>
    <row r="414" spans="1:82" ht="48" customHeight="1">
      <c r="A414" s="50"/>
      <c r="B414" s="38"/>
      <c r="C414" s="754" t="s">
        <v>5933</v>
      </c>
      <c r="D414" s="754"/>
      <c r="E414" s="754"/>
      <c r="F414" s="754"/>
      <c r="G414" s="754"/>
      <c r="H414" s="754"/>
      <c r="I414" s="754"/>
      <c r="J414" s="754"/>
      <c r="K414" s="754"/>
      <c r="L414" s="754"/>
      <c r="M414" s="754"/>
      <c r="N414" s="754"/>
      <c r="O414" s="754"/>
      <c r="P414" s="754"/>
      <c r="Q414" s="754"/>
      <c r="R414" s="754"/>
      <c r="S414" s="754"/>
      <c r="T414" s="754"/>
      <c r="U414" s="754"/>
      <c r="V414" s="754"/>
      <c r="W414" s="754"/>
      <c r="X414" s="754"/>
      <c r="Y414" s="754"/>
      <c r="Z414" s="754"/>
      <c r="AA414" s="754"/>
      <c r="AB414" s="754"/>
      <c r="AC414" s="754"/>
      <c r="AD414" s="754"/>
    </row>
    <row r="415" spans="1:82" ht="24" customHeight="1">
      <c r="A415" s="50"/>
      <c r="B415" s="38"/>
      <c r="C415" s="754" t="s">
        <v>5934</v>
      </c>
      <c r="D415" s="754"/>
      <c r="E415" s="754"/>
      <c r="F415" s="754"/>
      <c r="G415" s="754"/>
      <c r="H415" s="754"/>
      <c r="I415" s="754"/>
      <c r="J415" s="754"/>
      <c r="K415" s="754"/>
      <c r="L415" s="754"/>
      <c r="M415" s="754"/>
      <c r="N415" s="754"/>
      <c r="O415" s="754"/>
      <c r="P415" s="754"/>
      <c r="Q415" s="754"/>
      <c r="R415" s="754"/>
      <c r="S415" s="754"/>
      <c r="T415" s="754"/>
      <c r="U415" s="754"/>
      <c r="V415" s="754"/>
      <c r="W415" s="754"/>
      <c r="X415" s="754"/>
      <c r="Y415" s="754"/>
      <c r="Z415" s="754"/>
      <c r="AA415" s="754"/>
      <c r="AB415" s="754"/>
      <c r="AC415" s="754"/>
      <c r="AD415" s="754"/>
    </row>
    <row r="416" spans="1:82">
      <c r="A416" s="142"/>
      <c r="B416" s="57"/>
      <c r="C416" s="57"/>
      <c r="D416" s="57"/>
      <c r="E416" s="57"/>
      <c r="F416" s="57"/>
      <c r="G416" s="57"/>
      <c r="H416" s="57"/>
      <c r="I416" s="57"/>
      <c r="J416" s="57"/>
      <c r="K416" s="57"/>
      <c r="L416" s="57"/>
      <c r="M416" s="57"/>
      <c r="N416" s="57"/>
      <c r="O416" s="57"/>
      <c r="P416" s="57"/>
      <c r="Q416" s="57"/>
      <c r="R416" s="57"/>
      <c r="S416" s="57"/>
      <c r="T416" s="57"/>
      <c r="U416" s="57"/>
      <c r="V416" s="57"/>
      <c r="W416" s="57"/>
      <c r="X416" s="57"/>
      <c r="Y416" s="57"/>
      <c r="Z416" s="57"/>
      <c r="AA416" s="57"/>
      <c r="AB416" s="57"/>
      <c r="AC416" s="57"/>
      <c r="AD416" s="57"/>
    </row>
    <row r="417" spans="1:73">
      <c r="A417" s="169"/>
      <c r="B417" s="90"/>
      <c r="C417" s="90"/>
      <c r="D417" s="90"/>
      <c r="E417" s="90"/>
      <c r="F417" s="90"/>
      <c r="G417" s="90"/>
      <c r="H417" s="90"/>
      <c r="I417" s="90"/>
      <c r="J417" s="90"/>
      <c r="K417" s="90"/>
      <c r="L417" s="90"/>
      <c r="M417" s="90"/>
      <c r="N417" s="90"/>
      <c r="O417" s="90"/>
      <c r="P417" s="90"/>
      <c r="Q417" s="90"/>
      <c r="R417" s="90"/>
      <c r="S417" s="90"/>
      <c r="T417" s="90"/>
      <c r="U417" s="90"/>
      <c r="V417" s="90"/>
      <c r="W417" s="90"/>
      <c r="X417" s="90"/>
      <c r="Y417" s="90"/>
      <c r="Z417" s="90"/>
      <c r="AA417" s="873" t="s">
        <v>2664</v>
      </c>
      <c r="AB417" s="873"/>
      <c r="AC417" s="873"/>
      <c r="AD417" s="873"/>
    </row>
    <row r="418" spans="1:73" ht="24" customHeight="1">
      <c r="A418" s="50"/>
      <c r="B418" s="38"/>
      <c r="C418" s="797" t="s">
        <v>2581</v>
      </c>
      <c r="D418" s="798"/>
      <c r="E418" s="798"/>
      <c r="F418" s="798"/>
      <c r="G418" s="798"/>
      <c r="H418" s="798"/>
      <c r="I418" s="798"/>
      <c r="J418" s="798"/>
      <c r="K418" s="798"/>
      <c r="L418" s="798"/>
      <c r="M418" s="798"/>
      <c r="N418" s="798"/>
      <c r="O418" s="799"/>
      <c r="P418" s="739" t="s">
        <v>5935</v>
      </c>
      <c r="Q418" s="740"/>
      <c r="R418" s="740"/>
      <c r="S418" s="740"/>
      <c r="T418" s="740"/>
      <c r="U418" s="740"/>
      <c r="V418" s="740"/>
      <c r="W418" s="740"/>
      <c r="X418" s="740"/>
      <c r="Y418" s="740"/>
      <c r="Z418" s="740"/>
      <c r="AA418" s="740"/>
      <c r="AB418" s="740"/>
      <c r="AC418" s="740"/>
      <c r="AD418" s="741"/>
    </row>
    <row r="419" spans="1:73" ht="120" customHeight="1">
      <c r="A419" s="50"/>
      <c r="B419" s="38"/>
      <c r="C419" s="800"/>
      <c r="D419" s="801"/>
      <c r="E419" s="801"/>
      <c r="F419" s="801"/>
      <c r="G419" s="801"/>
      <c r="H419" s="801"/>
      <c r="I419" s="801"/>
      <c r="J419" s="801"/>
      <c r="K419" s="801"/>
      <c r="L419" s="801"/>
      <c r="M419" s="801"/>
      <c r="N419" s="801"/>
      <c r="O419" s="802"/>
      <c r="P419" s="958" t="s">
        <v>2628</v>
      </c>
      <c r="Q419" s="959" t="s">
        <v>2629</v>
      </c>
      <c r="R419" s="959" t="s">
        <v>2630</v>
      </c>
      <c r="S419" s="857" t="s">
        <v>5936</v>
      </c>
      <c r="T419" s="857"/>
      <c r="U419" s="857"/>
      <c r="V419" s="857" t="s">
        <v>5937</v>
      </c>
      <c r="W419" s="857"/>
      <c r="X419" s="857"/>
      <c r="Y419" s="857" t="s">
        <v>5938</v>
      </c>
      <c r="Z419" s="857"/>
      <c r="AA419" s="857"/>
      <c r="AB419" s="857" t="s">
        <v>5939</v>
      </c>
      <c r="AC419" s="857"/>
      <c r="AD419" s="857"/>
    </row>
    <row r="420" spans="1:73" ht="48" customHeight="1">
      <c r="A420" s="50"/>
      <c r="B420" s="38"/>
      <c r="C420" s="803"/>
      <c r="D420" s="804"/>
      <c r="E420" s="804"/>
      <c r="F420" s="804"/>
      <c r="G420" s="804"/>
      <c r="H420" s="804"/>
      <c r="I420" s="804"/>
      <c r="J420" s="804"/>
      <c r="K420" s="804"/>
      <c r="L420" s="804"/>
      <c r="M420" s="804"/>
      <c r="N420" s="804"/>
      <c r="O420" s="805"/>
      <c r="P420" s="888"/>
      <c r="Q420" s="890"/>
      <c r="R420" s="890"/>
      <c r="S420" s="127" t="s">
        <v>2635</v>
      </c>
      <c r="T420" s="128" t="s">
        <v>2629</v>
      </c>
      <c r="U420" s="128" t="s">
        <v>2630</v>
      </c>
      <c r="V420" s="127" t="s">
        <v>2635</v>
      </c>
      <c r="W420" s="128" t="s">
        <v>2629</v>
      </c>
      <c r="X420" s="128" t="s">
        <v>2630</v>
      </c>
      <c r="Y420" s="127" t="s">
        <v>2635</v>
      </c>
      <c r="Z420" s="128" t="s">
        <v>2629</v>
      </c>
      <c r="AA420" s="128" t="s">
        <v>2630</v>
      </c>
      <c r="AB420" s="127" t="s">
        <v>2635</v>
      </c>
      <c r="AC420" s="128" t="s">
        <v>2629</v>
      </c>
      <c r="AD420" s="128" t="s">
        <v>2630</v>
      </c>
      <c r="AG420" t="s">
        <v>2586</v>
      </c>
      <c r="AH420" t="s">
        <v>5940</v>
      </c>
      <c r="AI420"/>
      <c r="AJ420"/>
      <c r="AK420" t="s">
        <v>4573</v>
      </c>
      <c r="AL420" t="s">
        <v>2638</v>
      </c>
      <c r="AM420" t="s">
        <v>2639</v>
      </c>
      <c r="AN420" t="s">
        <v>4574</v>
      </c>
      <c r="AO420" t="s">
        <v>2641</v>
      </c>
      <c r="AP420" t="s">
        <v>2642</v>
      </c>
      <c r="AQ420" t="s">
        <v>4575</v>
      </c>
      <c r="AR420" t="s">
        <v>2644</v>
      </c>
      <c r="AS420" t="s">
        <v>2645</v>
      </c>
      <c r="AT420" t="s">
        <v>4576</v>
      </c>
      <c r="AU420" t="s">
        <v>2647</v>
      </c>
      <c r="AV420" t="s">
        <v>2648</v>
      </c>
      <c r="AW420" t="s">
        <v>5177</v>
      </c>
      <c r="AX420" t="s">
        <v>2757</v>
      </c>
      <c r="AY420" t="s">
        <v>2758</v>
      </c>
      <c r="AZ420" t="s">
        <v>5291</v>
      </c>
      <c r="BA420"/>
      <c r="BB420"/>
      <c r="BC420" t="s">
        <v>5290</v>
      </c>
      <c r="BD420"/>
      <c r="BE420"/>
      <c r="BF420"/>
      <c r="BG420"/>
      <c r="BH420"/>
      <c r="BI420"/>
      <c r="BJ420"/>
      <c r="BK420"/>
      <c r="BL420"/>
      <c r="BM420"/>
      <c r="BN420"/>
      <c r="BU420"/>
    </row>
    <row r="421" spans="1:73">
      <c r="A421" s="142"/>
      <c r="B421" s="57"/>
      <c r="C421" s="44" t="s">
        <v>2516</v>
      </c>
      <c r="D421" s="813" t="str">
        <f>IF(CNSIPEE_2024_M2_Secc1!D42="","",CNSIPEE_2024_M2_Secc1!D42)</f>
        <v/>
      </c>
      <c r="E421" s="814"/>
      <c r="F421" s="814"/>
      <c r="G421" s="814"/>
      <c r="H421" s="814"/>
      <c r="I421" s="814"/>
      <c r="J421" s="814"/>
      <c r="K421" s="814"/>
      <c r="L421" s="814"/>
      <c r="M421" s="814"/>
      <c r="N421" s="814"/>
      <c r="O421" s="815"/>
      <c r="P421" s="100"/>
      <c r="Q421" s="100"/>
      <c r="R421" s="100"/>
      <c r="S421" s="100"/>
      <c r="T421" s="100"/>
      <c r="U421" s="100"/>
      <c r="V421" s="100"/>
      <c r="W421" s="100"/>
      <c r="X421" s="100"/>
      <c r="Y421" s="100"/>
      <c r="Z421" s="100"/>
      <c r="AA421" s="100"/>
      <c r="AB421" s="100"/>
      <c r="AC421" s="100"/>
      <c r="AD421" s="100"/>
      <c r="AG421">
        <f>IF(OR($V376=0,$V376="NS",$V376="NA"),0,IF(OR(SUM(COUNTBLANK(D421:AD421),COUNTBLANK(M435:AD435))=11,SUM(COUNTBLANK(D421:AD421),COUNTBLANK(M435:AD435))=45),0,1))</f>
        <v>0</v>
      </c>
      <c r="AH421">
        <f>IF(OR($V376=0,$V376="NS",$V376="NA"),IF(SUM(COUNTBLANK(P421:AD421),COUNTBLANK(M435:AD435))=33,0,1),0)</f>
        <v>0</v>
      </c>
      <c r="AI421"/>
      <c r="AJ421"/>
      <c r="AK421">
        <f t="shared" ref="AK421:AK428" si="317">COUNTIF(Q421:R421,"NS")</f>
        <v>0</v>
      </c>
      <c r="AL421">
        <f t="shared" ref="AL421:AL428" si="318">SUM(Q421:R421)</f>
        <v>0</v>
      </c>
      <c r="AM421">
        <f>IF(COUNTIF(P421:R421,"NA")=3,0,IF(COUNTA(P421:R421)=0,0,IF(OR(AND(P421=0,AK421&gt;0),AND(P421="ns",AL421&gt;0),AND(P421="ns",AK421=0,AL421=0)),1,IF(OR(AND(P421&gt;0,AK421=2),AND(P421="ns",AK421=2),AND(P421="ns",AL421=0,AK421&gt;0),P421=AL421),0,1))))</f>
        <v>0</v>
      </c>
      <c r="AN421">
        <f t="shared" ref="AN421:AN428" si="319">COUNTIF(T421:U421,"NS")</f>
        <v>0</v>
      </c>
      <c r="AO421">
        <f t="shared" ref="AO421:AO428" si="320">SUM(T421:U421)</f>
        <v>0</v>
      </c>
      <c r="AP421">
        <f t="shared" ref="AP421:AP428" si="321">IF(COUNTIF(S421:U421,"NA")=3,0,IF(COUNTA(S421:U421)=0,0,IF(OR(AND(S421=0,AN421&gt;0),AND(S421="ns",AO421&gt;0),AND(S421="ns",AN421=0,AO421=0)),1,IF(OR(AND(S421&gt;0,AN421=2),AND(S421="ns",AN421=2),AND(S421="ns",AO421=0,AN421&gt;0),S421=AO421),0,1))))</f>
        <v>0</v>
      </c>
      <c r="AQ421">
        <f t="shared" ref="AQ421:AQ428" si="322">COUNTIF(W421:X421,"NS")</f>
        <v>0</v>
      </c>
      <c r="AR421">
        <f t="shared" ref="AR421:AR428" si="323">SUM(W421:X421)</f>
        <v>0</v>
      </c>
      <c r="AS421">
        <f t="shared" ref="AS421:AS428" si="324">IF(COUNTIF(V421:X421,"NA")=3,0,IF(COUNTA(V421:X421)=0,0,IF(OR(AND(V421=0,AQ421&gt;0),AND(V421="ns",AR421&gt;0),AND(V421="ns",AQ421=0,AR421=0)),1,IF(OR(AND(V421&gt;0,AQ421=2),AND(V421="ns",AQ421=2),AND(V421="ns",AR421=0,AQ421&gt;0),V421=AR421),0,1))))</f>
        <v>0</v>
      </c>
      <c r="AT421">
        <f t="shared" ref="AT421:AT428" si="325">COUNTIF(Z421:AA421,"NS")</f>
        <v>0</v>
      </c>
      <c r="AU421">
        <f t="shared" ref="AU421:AU428" si="326">SUM(Z421:AA421)</f>
        <v>0</v>
      </c>
      <c r="AV421">
        <f t="shared" ref="AV421:AV428" si="327">IF(COUNTIF(Y421:AA421,"NA")=3,0,IF(COUNTA(Y421:AA421)=0,0,IF(OR(AND(Y421=0,AT421&gt;0),AND(Y421="ns",AU421&gt;0),AND(Y421="ns",AT421=0,AU421=0)),1,IF(OR(AND(Y421&gt;0,AT421=2),AND(Y421="ns",AT421=2),AND(Y421="ns",AU421=0,AT421&gt;0),Y421=AU421),0,1))))</f>
        <v>0</v>
      </c>
      <c r="AW421">
        <f t="shared" ref="AW421:AW428" si="328">COUNTIF(AC421:AD421,"NS")</f>
        <v>0</v>
      </c>
      <c r="AX421">
        <f t="shared" ref="AX421:AX428" si="329">SUM(AC421:AD421)</f>
        <v>0</v>
      </c>
      <c r="AY421">
        <f t="shared" ref="AY421:AY428" si="330">IF(COUNTIF(AB421:AD421,"NA")=3,0,IF(COUNTA(AB421:AD421)=0,0,IF(OR(AND(AB421=0,AW421&gt;0),AND(AB421="ns",AX421&gt;0),AND(AB421="ns",AW421=0,AX421=0)),1,IF(OR(AND(AB421&gt;0,AW421=2),AND(AB421="ns",AW421=2),AND(AB421="ns",AX421=0,AW421&gt;0),AB421=AX421),0,1))))</f>
        <v>0</v>
      </c>
      <c r="AZ421" cm="1">
        <f t="array" ref="AZ421">IF(OR(P421={"NS","NA"},V376={"NS","NA"}),0,IF(P421&gt;=V376,0,1))</f>
        <v>0</v>
      </c>
      <c r="BA421" cm="1">
        <f t="array" ref="BA421">IF(OR(Q421={"NS","NA"},W376={"NS","NA"}),0,IF(Q421&gt;=W376,0,1))</f>
        <v>0</v>
      </c>
      <c r="BB421" cm="1">
        <f t="array" ref="BB421">IF(OR(R421={"NS","NA"},X376={"NS","NA"}),0,IF(R421&gt;=X376,0,1))</f>
        <v>0</v>
      </c>
      <c r="BC421" cm="1">
        <f t="array" ref="BC421">IF(OR(S421={"NS","NA"},$V376={"NS","NA"}),0,IF(S421&lt;=$V376,0,1))</f>
        <v>0</v>
      </c>
      <c r="BD421" cm="1">
        <f t="array" ref="BD421">IF(OR(T421={"NS","NA"},$W376={"NS","NA"}),0,IF(T421&lt;=$W376,0,1))</f>
        <v>0</v>
      </c>
      <c r="BE421" cm="1">
        <f t="array" ref="BE421">IF(OR(U421={"NS","NA"},$X376={"NS","NA"}),0,IF(U421&lt;=$X376,0,1))</f>
        <v>0</v>
      </c>
      <c r="BF421" cm="1">
        <f t="array" ref="BF421">IF(OR(V421={"NS","NA"},$V376={"NS","NA"}),0,IF(V421&lt;=$V376,0,1))</f>
        <v>0</v>
      </c>
      <c r="BG421" cm="1">
        <f t="array" ref="BG421">IF(OR(W421={"NS","NA"},$W376={"NS","NA"}),0,IF(W421&lt;=$W376,0,1))</f>
        <v>0</v>
      </c>
      <c r="BH421" cm="1">
        <f t="array" ref="BH421">IF(OR(X421={"NS","NA"},$X376={"NS","NA"}),0,IF(X421&lt;=$X376,0,1))</f>
        <v>0</v>
      </c>
      <c r="BI421" cm="1">
        <f t="array" ref="BI421">IF(OR(Y421={"NS","NA"},$V376={"NS","NA"}),0,IF(Y421&lt;=$V376,0,1))</f>
        <v>0</v>
      </c>
      <c r="BJ421" cm="1">
        <f t="array" ref="BJ421">IF(OR(Z421={"NS","NA"},$W376={"NS","NA"}),0,IF(Z421&lt;=$W376,0,1))</f>
        <v>0</v>
      </c>
      <c r="BK421" cm="1">
        <f t="array" ref="BK421">IF(OR(AA421={"NS","NA"},$X376={"NS","NA"}),0,IF(AA421&lt;=$X376,0,1))</f>
        <v>0</v>
      </c>
      <c r="BL421" cm="1">
        <f t="array" ref="BL421">IF(OR(AB421={"NS","NA"},$V376={"NS","NA"}),0,IF(AB421&lt;=$V376,0,1))</f>
        <v>0</v>
      </c>
      <c r="BM421" cm="1">
        <f t="array" ref="BM421">IF(OR(AC421={"NS","NA"},$W376={"NS","NA"}),0,IF(AC421&lt;=$W376,0,1))</f>
        <v>0</v>
      </c>
      <c r="BN421" cm="1">
        <f t="array" ref="BN421">IF(OR(AD421={"NS","NA"},$X376={"NS","NA"}),0,IF(AD421&lt;=$X376,0,1))</f>
        <v>0</v>
      </c>
      <c r="BU421"/>
    </row>
    <row r="422" spans="1:73" ht="14.25" customHeight="1">
      <c r="A422" s="142"/>
      <c r="B422" s="57"/>
      <c r="C422" s="199" t="s">
        <v>2517</v>
      </c>
      <c r="D422" s="813" t="str">
        <f>IF(CNSIPEE_2024_M2_Secc1!D43="","",CNSIPEE_2024_M2_Secc1!D43)</f>
        <v/>
      </c>
      <c r="E422" s="814"/>
      <c r="F422" s="814"/>
      <c r="G422" s="814"/>
      <c r="H422" s="814"/>
      <c r="I422" s="814"/>
      <c r="J422" s="814"/>
      <c r="K422" s="814"/>
      <c r="L422" s="814"/>
      <c r="M422" s="814"/>
      <c r="N422" s="814"/>
      <c r="O422" s="815"/>
      <c r="P422" s="100"/>
      <c r="Q422" s="100"/>
      <c r="R422" s="100"/>
      <c r="S422" s="100"/>
      <c r="T422" s="100"/>
      <c r="U422" s="100"/>
      <c r="V422" s="100"/>
      <c r="W422" s="100"/>
      <c r="X422" s="100"/>
      <c r="Y422" s="100"/>
      <c r="Z422" s="100"/>
      <c r="AA422" s="100"/>
      <c r="AB422" s="100"/>
      <c r="AC422" s="100"/>
      <c r="AD422" s="100"/>
      <c r="AG422">
        <f t="shared" ref="AG422:AG428" si="331">IF(OR($V377=0,$V377="NS",$V377="NA"),0,IF(OR(SUM(COUNTBLANK(D422:AD422),COUNTBLANK(M436:AD436))=11,SUM(COUNTBLANK(D422:AD422),COUNTBLANK(M436:AD436))=45),0,1))</f>
        <v>0</v>
      </c>
      <c r="AH422">
        <f t="shared" ref="AH422:AH428" si="332">IF(OR($V377=0,$V377="NS",$V377="NA"),IF(SUM(COUNTBLANK(P422:AD422),COUNTBLANK(M436:AD436))=33,0,1),0)</f>
        <v>0</v>
      </c>
      <c r="AI422"/>
      <c r="AJ422"/>
      <c r="AK422">
        <f t="shared" si="317"/>
        <v>0</v>
      </c>
      <c r="AL422">
        <f t="shared" si="318"/>
        <v>0</v>
      </c>
      <c r="AM422">
        <f t="shared" ref="AM422:AM428" si="333">IF(COUNTIF(P422:R422,"NA")=3,0,IF(COUNTA(P422:R422)=0,0,IF(OR(AND(P422=0,AK422&gt;0),AND(P422="ns",AL422&gt;0),AND(P422="ns",AK422=0,AL422=0)),1,IF(OR(AND(P422&gt;0,AK422=2),AND(P422="ns",AK422=2),AND(P422="ns",AL422=0,AK422&gt;0),P422=AL422),0,1))))</f>
        <v>0</v>
      </c>
      <c r="AN422">
        <f t="shared" si="319"/>
        <v>0</v>
      </c>
      <c r="AO422">
        <f t="shared" si="320"/>
        <v>0</v>
      </c>
      <c r="AP422">
        <f t="shared" si="321"/>
        <v>0</v>
      </c>
      <c r="AQ422">
        <f t="shared" si="322"/>
        <v>0</v>
      </c>
      <c r="AR422">
        <f t="shared" si="323"/>
        <v>0</v>
      </c>
      <c r="AS422">
        <f t="shared" si="324"/>
        <v>0</v>
      </c>
      <c r="AT422">
        <f t="shared" si="325"/>
        <v>0</v>
      </c>
      <c r="AU422">
        <f t="shared" si="326"/>
        <v>0</v>
      </c>
      <c r="AV422">
        <f t="shared" si="327"/>
        <v>0</v>
      </c>
      <c r="AW422">
        <f t="shared" si="328"/>
        <v>0</v>
      </c>
      <c r="AX422">
        <f t="shared" si="329"/>
        <v>0</v>
      </c>
      <c r="AY422">
        <f t="shared" si="330"/>
        <v>0</v>
      </c>
      <c r="AZ422" cm="1">
        <f t="array" ref="AZ422">IF(OR(P422={"NS","NA"},V377={"NS","NA"}),0,IF(P422&gt;=V377,0,1))</f>
        <v>0</v>
      </c>
      <c r="BA422" cm="1">
        <f t="array" ref="BA422">IF(OR(Q422={"NS","NA"},W377={"NS","NA"}),0,IF(Q422&gt;=W377,0,1))</f>
        <v>0</v>
      </c>
      <c r="BB422" cm="1">
        <f t="array" ref="BB422">IF(OR(R422={"NS","NA"},X377={"NS","NA"}),0,IF(R422&gt;=X377,0,1))</f>
        <v>0</v>
      </c>
      <c r="BC422" cm="1">
        <f t="array" ref="BC422">IF(OR(S422={"NS","NA"},$V377={"NS","NA"}),0,IF(S422&lt;=$V377,0,1))</f>
        <v>0</v>
      </c>
      <c r="BD422" cm="1">
        <f t="array" ref="BD422">IF(OR(T422={"NS","NA"},$W377={"NS","NA"}),0,IF(T422&lt;=$W377,0,1))</f>
        <v>0</v>
      </c>
      <c r="BE422" cm="1">
        <f t="array" ref="BE422">IF(OR(U422={"NS","NA"},$X377={"NS","NA"}),0,IF(U422&lt;=$X377,0,1))</f>
        <v>0</v>
      </c>
      <c r="BF422" cm="1">
        <f t="array" ref="BF422">IF(OR(V422={"NS","NA"},$V377={"NS","NA"}),0,IF(V422&lt;=$V377,0,1))</f>
        <v>0</v>
      </c>
      <c r="BG422" cm="1">
        <f t="array" ref="BG422">IF(OR(W422={"NS","NA"},$W377={"NS","NA"}),0,IF(W422&lt;=$W377,0,1))</f>
        <v>0</v>
      </c>
      <c r="BH422" cm="1">
        <f t="array" ref="BH422">IF(OR(X422={"NS","NA"},$X377={"NS","NA"}),0,IF(X422&lt;=$X377,0,1))</f>
        <v>0</v>
      </c>
      <c r="BI422" cm="1">
        <f t="array" ref="BI422">IF(OR(Y422={"NS","NA"},$V377={"NS","NA"}),0,IF(Y422&lt;=$V377,0,1))</f>
        <v>0</v>
      </c>
      <c r="BJ422" cm="1">
        <f t="array" ref="BJ422">IF(OR(Z422={"NS","NA"},$W377={"NS","NA"}),0,IF(Z422&lt;=$W377,0,1))</f>
        <v>0</v>
      </c>
      <c r="BK422" cm="1">
        <f t="array" ref="BK422">IF(OR(AA422={"NS","NA"},$X377={"NS","NA"}),0,IF(AA422&lt;=$X377,0,1))</f>
        <v>0</v>
      </c>
      <c r="BL422" cm="1">
        <f t="array" ref="BL422">IF(OR(AB422={"NS","NA"},$V377={"NS","NA"}),0,IF(AB422&lt;=$V377,0,1))</f>
        <v>0</v>
      </c>
      <c r="BM422" cm="1">
        <f t="array" ref="BM422">IF(OR(AC422={"NS","NA"},$W377={"NS","NA"}),0,IF(AC422&lt;=$W377,0,1))</f>
        <v>0</v>
      </c>
      <c r="BN422" cm="1">
        <f t="array" ref="BN422">IF(OR(AD422={"NS","NA"},$X377={"NS","NA"}),0,IF(AD422&lt;=$X377,0,1))</f>
        <v>0</v>
      </c>
      <c r="BU422"/>
    </row>
    <row r="423" spans="1:73">
      <c r="A423" s="142"/>
      <c r="B423" s="57"/>
      <c r="C423" s="143" t="s">
        <v>2518</v>
      </c>
      <c r="D423" s="813" t="str">
        <f>IF(CNSIPEE_2024_M2_Secc1!D44="","",CNSIPEE_2024_M2_Secc1!D44)</f>
        <v/>
      </c>
      <c r="E423" s="814"/>
      <c r="F423" s="814"/>
      <c r="G423" s="814"/>
      <c r="H423" s="814"/>
      <c r="I423" s="814"/>
      <c r="J423" s="814"/>
      <c r="K423" s="814"/>
      <c r="L423" s="814"/>
      <c r="M423" s="814"/>
      <c r="N423" s="814"/>
      <c r="O423" s="815"/>
      <c r="P423" s="100"/>
      <c r="Q423" s="100"/>
      <c r="R423" s="100"/>
      <c r="S423" s="100"/>
      <c r="T423" s="100"/>
      <c r="U423" s="100"/>
      <c r="V423" s="100"/>
      <c r="W423" s="100"/>
      <c r="X423" s="100"/>
      <c r="Y423" s="100"/>
      <c r="Z423" s="100"/>
      <c r="AA423" s="100"/>
      <c r="AB423" s="100"/>
      <c r="AC423" s="100"/>
      <c r="AD423" s="100"/>
      <c r="AG423">
        <f t="shared" si="331"/>
        <v>0</v>
      </c>
      <c r="AH423">
        <f t="shared" si="332"/>
        <v>0</v>
      </c>
      <c r="AI423"/>
      <c r="AJ423"/>
      <c r="AK423">
        <f t="shared" si="317"/>
        <v>0</v>
      </c>
      <c r="AL423">
        <f t="shared" si="318"/>
        <v>0</v>
      </c>
      <c r="AM423">
        <f t="shared" si="333"/>
        <v>0</v>
      </c>
      <c r="AN423">
        <f t="shared" si="319"/>
        <v>0</v>
      </c>
      <c r="AO423">
        <f t="shared" si="320"/>
        <v>0</v>
      </c>
      <c r="AP423">
        <f t="shared" si="321"/>
        <v>0</v>
      </c>
      <c r="AQ423">
        <f t="shared" si="322"/>
        <v>0</v>
      </c>
      <c r="AR423">
        <f t="shared" si="323"/>
        <v>0</v>
      </c>
      <c r="AS423">
        <f t="shared" si="324"/>
        <v>0</v>
      </c>
      <c r="AT423">
        <f t="shared" si="325"/>
        <v>0</v>
      </c>
      <c r="AU423">
        <f t="shared" si="326"/>
        <v>0</v>
      </c>
      <c r="AV423">
        <f t="shared" si="327"/>
        <v>0</v>
      </c>
      <c r="AW423">
        <f t="shared" si="328"/>
        <v>0</v>
      </c>
      <c r="AX423">
        <f t="shared" si="329"/>
        <v>0</v>
      </c>
      <c r="AY423">
        <f t="shared" si="330"/>
        <v>0</v>
      </c>
      <c r="AZ423" cm="1">
        <f t="array" ref="AZ423">IF(OR(P423={"NS","NA"},V378={"NS","NA"}),0,IF(P423&gt;=V378,0,1))</f>
        <v>0</v>
      </c>
      <c r="BA423" cm="1">
        <f t="array" ref="BA423">IF(OR(Q423={"NS","NA"},W378={"NS","NA"}),0,IF(Q423&gt;=W378,0,1))</f>
        <v>0</v>
      </c>
      <c r="BB423" cm="1">
        <f t="array" ref="BB423">IF(OR(R423={"NS","NA"},X378={"NS","NA"}),0,IF(R423&gt;=X378,0,1))</f>
        <v>0</v>
      </c>
      <c r="BC423" cm="1">
        <f t="array" ref="BC423">IF(OR(S423={"NS","NA"},$V378={"NS","NA"}),0,IF(S423&lt;=$V378,0,1))</f>
        <v>0</v>
      </c>
      <c r="BD423" cm="1">
        <f t="array" ref="BD423">IF(OR(T423={"NS","NA"},$W378={"NS","NA"}),0,IF(T423&lt;=$W378,0,1))</f>
        <v>0</v>
      </c>
      <c r="BE423" cm="1">
        <f t="array" ref="BE423">IF(OR(U423={"NS","NA"},$X378={"NS","NA"}),0,IF(U423&lt;=$X378,0,1))</f>
        <v>0</v>
      </c>
      <c r="BF423" cm="1">
        <f t="array" ref="BF423">IF(OR(V423={"NS","NA"},$V378={"NS","NA"}),0,IF(V423&lt;=$V378,0,1))</f>
        <v>0</v>
      </c>
      <c r="BG423" cm="1">
        <f t="array" ref="BG423">IF(OR(W423={"NS","NA"},$W378={"NS","NA"}),0,IF(W423&lt;=$W378,0,1))</f>
        <v>0</v>
      </c>
      <c r="BH423" cm="1">
        <f t="array" ref="BH423">IF(OR(X423={"NS","NA"},$X378={"NS","NA"}),0,IF(X423&lt;=$X378,0,1))</f>
        <v>0</v>
      </c>
      <c r="BI423" cm="1">
        <f t="array" ref="BI423">IF(OR(Y423={"NS","NA"},$V378={"NS","NA"}),0,IF(Y423&lt;=$V378,0,1))</f>
        <v>0</v>
      </c>
      <c r="BJ423" cm="1">
        <f t="array" ref="BJ423">IF(OR(Z423={"NS","NA"},$W378={"NS","NA"}),0,IF(Z423&lt;=$W378,0,1))</f>
        <v>0</v>
      </c>
      <c r="BK423" cm="1">
        <f t="array" ref="BK423">IF(OR(AA423={"NS","NA"},$X378={"NS","NA"}),0,IF(AA423&lt;=$X378,0,1))</f>
        <v>0</v>
      </c>
      <c r="BL423" cm="1">
        <f t="array" ref="BL423">IF(OR(AB423={"NS","NA"},$V378={"NS","NA"}),0,IF(AB423&lt;=$V378,0,1))</f>
        <v>0</v>
      </c>
      <c r="BM423" cm="1">
        <f t="array" ref="BM423">IF(OR(AC423={"NS","NA"},$W378={"NS","NA"}),0,IF(AC423&lt;=$W378,0,1))</f>
        <v>0</v>
      </c>
      <c r="BN423" cm="1">
        <f t="array" ref="BN423">IF(OR(AD423={"NS","NA"},$X378={"NS","NA"}),0,IF(AD423&lt;=$X378,0,1))</f>
        <v>0</v>
      </c>
      <c r="BU423"/>
    </row>
    <row r="424" spans="1:73" ht="14.25" customHeight="1">
      <c r="A424" s="142"/>
      <c r="B424" s="57"/>
      <c r="C424" s="143" t="s">
        <v>2519</v>
      </c>
      <c r="D424" s="813" t="str">
        <f>IF(CNSIPEE_2024_M2_Secc1!D45="","",CNSIPEE_2024_M2_Secc1!D45)</f>
        <v/>
      </c>
      <c r="E424" s="814"/>
      <c r="F424" s="814"/>
      <c r="G424" s="814"/>
      <c r="H424" s="814"/>
      <c r="I424" s="814"/>
      <c r="J424" s="814"/>
      <c r="K424" s="814"/>
      <c r="L424" s="814"/>
      <c r="M424" s="814"/>
      <c r="N424" s="814"/>
      <c r="O424" s="815"/>
      <c r="P424" s="100"/>
      <c r="Q424" s="100"/>
      <c r="R424" s="100"/>
      <c r="S424" s="100"/>
      <c r="T424" s="100"/>
      <c r="U424" s="100"/>
      <c r="V424" s="100"/>
      <c r="W424" s="100"/>
      <c r="X424" s="100"/>
      <c r="Y424" s="100"/>
      <c r="Z424" s="100"/>
      <c r="AA424" s="100"/>
      <c r="AB424" s="100"/>
      <c r="AC424" s="100"/>
      <c r="AD424" s="100"/>
      <c r="AG424">
        <f t="shared" si="331"/>
        <v>0</v>
      </c>
      <c r="AH424">
        <f t="shared" si="332"/>
        <v>0</v>
      </c>
      <c r="AI424"/>
      <c r="AJ424"/>
      <c r="AK424">
        <f t="shared" si="317"/>
        <v>0</v>
      </c>
      <c r="AL424">
        <f t="shared" si="318"/>
        <v>0</v>
      </c>
      <c r="AM424">
        <f t="shared" si="333"/>
        <v>0</v>
      </c>
      <c r="AN424">
        <f t="shared" si="319"/>
        <v>0</v>
      </c>
      <c r="AO424">
        <f t="shared" si="320"/>
        <v>0</v>
      </c>
      <c r="AP424">
        <f t="shared" si="321"/>
        <v>0</v>
      </c>
      <c r="AQ424">
        <f t="shared" si="322"/>
        <v>0</v>
      </c>
      <c r="AR424">
        <f t="shared" si="323"/>
        <v>0</v>
      </c>
      <c r="AS424">
        <f t="shared" si="324"/>
        <v>0</v>
      </c>
      <c r="AT424">
        <f t="shared" si="325"/>
        <v>0</v>
      </c>
      <c r="AU424">
        <f t="shared" si="326"/>
        <v>0</v>
      </c>
      <c r="AV424">
        <f t="shared" si="327"/>
        <v>0</v>
      </c>
      <c r="AW424">
        <f t="shared" si="328"/>
        <v>0</v>
      </c>
      <c r="AX424">
        <f t="shared" si="329"/>
        <v>0</v>
      </c>
      <c r="AY424">
        <f t="shared" si="330"/>
        <v>0</v>
      </c>
      <c r="AZ424" cm="1">
        <f t="array" ref="AZ424">IF(OR(P424={"NS","NA"},V379={"NS","NA"}),0,IF(P424&gt;=V379,0,1))</f>
        <v>0</v>
      </c>
      <c r="BA424" cm="1">
        <f t="array" ref="BA424">IF(OR(Q424={"NS","NA"},W379={"NS","NA"}),0,IF(Q424&gt;=W379,0,1))</f>
        <v>0</v>
      </c>
      <c r="BB424" cm="1">
        <f t="array" ref="BB424">IF(OR(R424={"NS","NA"},X379={"NS","NA"}),0,IF(R424&gt;=X379,0,1))</f>
        <v>0</v>
      </c>
      <c r="BC424" cm="1">
        <f t="array" ref="BC424">IF(OR(S424={"NS","NA"},$V379={"NS","NA"}),0,IF(S424&lt;=$V379,0,1))</f>
        <v>0</v>
      </c>
      <c r="BD424" cm="1">
        <f t="array" ref="BD424">IF(OR(T424={"NS","NA"},$W379={"NS","NA"}),0,IF(T424&lt;=$W379,0,1))</f>
        <v>0</v>
      </c>
      <c r="BE424" cm="1">
        <f t="array" ref="BE424">IF(OR(U424={"NS","NA"},$X379={"NS","NA"}),0,IF(U424&lt;=$X379,0,1))</f>
        <v>0</v>
      </c>
      <c r="BF424" cm="1">
        <f t="array" ref="BF424">IF(OR(V424={"NS","NA"},$V379={"NS","NA"}),0,IF(V424&lt;=$V379,0,1))</f>
        <v>0</v>
      </c>
      <c r="BG424" cm="1">
        <f t="array" ref="BG424">IF(OR(W424={"NS","NA"},$W379={"NS","NA"}),0,IF(W424&lt;=$W379,0,1))</f>
        <v>0</v>
      </c>
      <c r="BH424" cm="1">
        <f t="array" ref="BH424">IF(OR(X424={"NS","NA"},$X379={"NS","NA"}),0,IF(X424&lt;=$X379,0,1))</f>
        <v>0</v>
      </c>
      <c r="BI424" cm="1">
        <f t="array" ref="BI424">IF(OR(Y424={"NS","NA"},$V379={"NS","NA"}),0,IF(Y424&lt;=$V379,0,1))</f>
        <v>0</v>
      </c>
      <c r="BJ424" cm="1">
        <f t="array" ref="BJ424">IF(OR(Z424={"NS","NA"},$W379={"NS","NA"}),0,IF(Z424&lt;=$W379,0,1))</f>
        <v>0</v>
      </c>
      <c r="BK424" cm="1">
        <f t="array" ref="BK424">IF(OR(AA424={"NS","NA"},$X379={"NS","NA"}),0,IF(AA424&lt;=$X379,0,1))</f>
        <v>0</v>
      </c>
      <c r="BL424" cm="1">
        <f t="array" ref="BL424">IF(OR(AB424={"NS","NA"},$V379={"NS","NA"}),0,IF(AB424&lt;=$V379,0,1))</f>
        <v>0</v>
      </c>
      <c r="BM424" cm="1">
        <f t="array" ref="BM424">IF(OR(AC424={"NS","NA"},$W379={"NS","NA"}),0,IF(AC424&lt;=$W379,0,1))</f>
        <v>0</v>
      </c>
      <c r="BN424" cm="1">
        <f t="array" ref="BN424">IF(OR(AD424={"NS","NA"},$X379={"NS","NA"}),0,IF(AD424&lt;=$X379,0,1))</f>
        <v>0</v>
      </c>
      <c r="BU424"/>
    </row>
    <row r="425" spans="1:73">
      <c r="A425" s="142"/>
      <c r="B425" s="57"/>
      <c r="C425" s="143" t="s">
        <v>2520</v>
      </c>
      <c r="D425" s="813" t="str">
        <f>IF(CNSIPEE_2024_M2_Secc1!D46="","",CNSIPEE_2024_M2_Secc1!D46)</f>
        <v/>
      </c>
      <c r="E425" s="814"/>
      <c r="F425" s="814"/>
      <c r="G425" s="814"/>
      <c r="H425" s="814"/>
      <c r="I425" s="814"/>
      <c r="J425" s="814"/>
      <c r="K425" s="814"/>
      <c r="L425" s="814"/>
      <c r="M425" s="814"/>
      <c r="N425" s="814"/>
      <c r="O425" s="815"/>
      <c r="P425" s="100"/>
      <c r="Q425" s="100"/>
      <c r="R425" s="100"/>
      <c r="S425" s="100"/>
      <c r="T425" s="100"/>
      <c r="U425" s="100"/>
      <c r="V425" s="100"/>
      <c r="W425" s="100"/>
      <c r="X425" s="100"/>
      <c r="Y425" s="100"/>
      <c r="Z425" s="100"/>
      <c r="AA425" s="100"/>
      <c r="AB425" s="100"/>
      <c r="AC425" s="100"/>
      <c r="AD425" s="100"/>
      <c r="AG425">
        <f t="shared" si="331"/>
        <v>0</v>
      </c>
      <c r="AH425">
        <f t="shared" si="332"/>
        <v>0</v>
      </c>
      <c r="AI425"/>
      <c r="AJ425"/>
      <c r="AK425">
        <f t="shared" si="317"/>
        <v>0</v>
      </c>
      <c r="AL425">
        <f t="shared" si="318"/>
        <v>0</v>
      </c>
      <c r="AM425">
        <f t="shared" si="333"/>
        <v>0</v>
      </c>
      <c r="AN425">
        <f t="shared" si="319"/>
        <v>0</v>
      </c>
      <c r="AO425">
        <f t="shared" si="320"/>
        <v>0</v>
      </c>
      <c r="AP425">
        <f t="shared" si="321"/>
        <v>0</v>
      </c>
      <c r="AQ425">
        <f t="shared" si="322"/>
        <v>0</v>
      </c>
      <c r="AR425">
        <f t="shared" si="323"/>
        <v>0</v>
      </c>
      <c r="AS425">
        <f t="shared" si="324"/>
        <v>0</v>
      </c>
      <c r="AT425">
        <f t="shared" si="325"/>
        <v>0</v>
      </c>
      <c r="AU425">
        <f t="shared" si="326"/>
        <v>0</v>
      </c>
      <c r="AV425">
        <f t="shared" si="327"/>
        <v>0</v>
      </c>
      <c r="AW425">
        <f t="shared" si="328"/>
        <v>0</v>
      </c>
      <c r="AX425">
        <f t="shared" si="329"/>
        <v>0</v>
      </c>
      <c r="AY425">
        <f t="shared" si="330"/>
        <v>0</v>
      </c>
      <c r="AZ425" cm="1">
        <f t="array" ref="AZ425">IF(OR(P425={"NS","NA"},V380={"NS","NA"}),0,IF(P425&gt;=V380,0,1))</f>
        <v>0</v>
      </c>
      <c r="BA425" cm="1">
        <f t="array" ref="BA425">IF(OR(Q425={"NS","NA"},W380={"NS","NA"}),0,IF(Q425&gt;=W380,0,1))</f>
        <v>0</v>
      </c>
      <c r="BB425" cm="1">
        <f t="array" ref="BB425">IF(OR(R425={"NS","NA"},X380={"NS","NA"}),0,IF(R425&gt;=X380,0,1))</f>
        <v>0</v>
      </c>
      <c r="BC425" cm="1">
        <f t="array" ref="BC425">IF(OR(S425={"NS","NA"},$V380={"NS","NA"}),0,IF(S425&lt;=$V380,0,1))</f>
        <v>0</v>
      </c>
      <c r="BD425" cm="1">
        <f t="array" ref="BD425">IF(OR(T425={"NS","NA"},$W380={"NS","NA"}),0,IF(T425&lt;=$W380,0,1))</f>
        <v>0</v>
      </c>
      <c r="BE425" cm="1">
        <f t="array" ref="BE425">IF(OR(U425={"NS","NA"},$X380={"NS","NA"}),0,IF(U425&lt;=$X380,0,1))</f>
        <v>0</v>
      </c>
      <c r="BF425" cm="1">
        <f t="array" ref="BF425">IF(OR(V425={"NS","NA"},$V380={"NS","NA"}),0,IF(V425&lt;=$V380,0,1))</f>
        <v>0</v>
      </c>
      <c r="BG425" cm="1">
        <f t="array" ref="BG425">IF(OR(W425={"NS","NA"},$W380={"NS","NA"}),0,IF(W425&lt;=$W380,0,1))</f>
        <v>0</v>
      </c>
      <c r="BH425" cm="1">
        <f t="array" ref="BH425">IF(OR(X425={"NS","NA"},$X380={"NS","NA"}),0,IF(X425&lt;=$X380,0,1))</f>
        <v>0</v>
      </c>
      <c r="BI425" cm="1">
        <f t="array" ref="BI425">IF(OR(Y425={"NS","NA"},$V380={"NS","NA"}),0,IF(Y425&lt;=$V380,0,1))</f>
        <v>0</v>
      </c>
      <c r="BJ425" cm="1">
        <f t="array" ref="BJ425">IF(OR(Z425={"NS","NA"},$W380={"NS","NA"}),0,IF(Z425&lt;=$W380,0,1))</f>
        <v>0</v>
      </c>
      <c r="BK425" cm="1">
        <f t="array" ref="BK425">IF(OR(AA425={"NS","NA"},$X380={"NS","NA"}),0,IF(AA425&lt;=$X380,0,1))</f>
        <v>0</v>
      </c>
      <c r="BL425" cm="1">
        <f t="array" ref="BL425">IF(OR(AB425={"NS","NA"},$V380={"NS","NA"}),0,IF(AB425&lt;=$V380,0,1))</f>
        <v>0</v>
      </c>
      <c r="BM425" cm="1">
        <f t="array" ref="BM425">IF(OR(AC425={"NS","NA"},$W380={"NS","NA"}),0,IF(AC425&lt;=$W380,0,1))</f>
        <v>0</v>
      </c>
      <c r="BN425" cm="1">
        <f t="array" ref="BN425">IF(OR(AD425={"NS","NA"},$X380={"NS","NA"}),0,IF(AD425&lt;=$X380,0,1))</f>
        <v>0</v>
      </c>
      <c r="BU425"/>
    </row>
    <row r="426" spans="1:73" ht="14.25" customHeight="1">
      <c r="A426" s="142"/>
      <c r="B426" s="57"/>
      <c r="C426" s="143" t="s">
        <v>2521</v>
      </c>
      <c r="D426" s="813" t="str">
        <f>IF(CNSIPEE_2024_M2_Secc1!D47="","",CNSIPEE_2024_M2_Secc1!D47)</f>
        <v/>
      </c>
      <c r="E426" s="814"/>
      <c r="F426" s="814"/>
      <c r="G426" s="814"/>
      <c r="H426" s="814"/>
      <c r="I426" s="814"/>
      <c r="J426" s="814"/>
      <c r="K426" s="814"/>
      <c r="L426" s="814"/>
      <c r="M426" s="814"/>
      <c r="N426" s="814"/>
      <c r="O426" s="815"/>
      <c r="P426" s="100"/>
      <c r="Q426" s="100"/>
      <c r="R426" s="100"/>
      <c r="S426" s="100"/>
      <c r="T426" s="100"/>
      <c r="U426" s="100"/>
      <c r="V426" s="100"/>
      <c r="W426" s="100"/>
      <c r="X426" s="100"/>
      <c r="Y426" s="100"/>
      <c r="Z426" s="100"/>
      <c r="AA426" s="100"/>
      <c r="AB426" s="100"/>
      <c r="AC426" s="100"/>
      <c r="AD426" s="100"/>
      <c r="AG426">
        <f t="shared" si="331"/>
        <v>0</v>
      </c>
      <c r="AH426">
        <f t="shared" si="332"/>
        <v>0</v>
      </c>
      <c r="AI426"/>
      <c r="AJ426"/>
      <c r="AK426">
        <f t="shared" si="317"/>
        <v>0</v>
      </c>
      <c r="AL426">
        <f t="shared" si="318"/>
        <v>0</v>
      </c>
      <c r="AM426">
        <f t="shared" si="333"/>
        <v>0</v>
      </c>
      <c r="AN426">
        <f t="shared" si="319"/>
        <v>0</v>
      </c>
      <c r="AO426">
        <f t="shared" si="320"/>
        <v>0</v>
      </c>
      <c r="AP426">
        <f t="shared" si="321"/>
        <v>0</v>
      </c>
      <c r="AQ426">
        <f t="shared" si="322"/>
        <v>0</v>
      </c>
      <c r="AR426">
        <f t="shared" si="323"/>
        <v>0</v>
      </c>
      <c r="AS426">
        <f t="shared" si="324"/>
        <v>0</v>
      </c>
      <c r="AT426">
        <f t="shared" si="325"/>
        <v>0</v>
      </c>
      <c r="AU426">
        <f t="shared" si="326"/>
        <v>0</v>
      </c>
      <c r="AV426">
        <f t="shared" si="327"/>
        <v>0</v>
      </c>
      <c r="AW426">
        <f t="shared" si="328"/>
        <v>0</v>
      </c>
      <c r="AX426">
        <f t="shared" si="329"/>
        <v>0</v>
      </c>
      <c r="AY426">
        <f t="shared" si="330"/>
        <v>0</v>
      </c>
      <c r="AZ426" cm="1">
        <f t="array" ref="AZ426">IF(OR(P426={"NS","NA"},V381={"NS","NA"}),0,IF(P426&gt;=V381,0,1))</f>
        <v>0</v>
      </c>
      <c r="BA426" cm="1">
        <f t="array" ref="BA426">IF(OR(Q426={"NS","NA"},W381={"NS","NA"}),0,IF(Q426&gt;=W381,0,1))</f>
        <v>0</v>
      </c>
      <c r="BB426" cm="1">
        <f t="array" ref="BB426">IF(OR(R426={"NS","NA"},X381={"NS","NA"}),0,IF(R426&gt;=X381,0,1))</f>
        <v>0</v>
      </c>
      <c r="BC426" cm="1">
        <f t="array" ref="BC426">IF(OR(S426={"NS","NA"},$V381={"NS","NA"}),0,IF(S426&lt;=$V381,0,1))</f>
        <v>0</v>
      </c>
      <c r="BD426" cm="1">
        <f t="array" ref="BD426">IF(OR(T426={"NS","NA"},$W381={"NS","NA"}),0,IF(T426&lt;=$W381,0,1))</f>
        <v>0</v>
      </c>
      <c r="BE426" cm="1">
        <f t="array" ref="BE426">IF(OR(U426={"NS","NA"},$X381={"NS","NA"}),0,IF(U426&lt;=$X381,0,1))</f>
        <v>0</v>
      </c>
      <c r="BF426" cm="1">
        <f t="array" ref="BF426">IF(OR(V426={"NS","NA"},$V381={"NS","NA"}),0,IF(V426&lt;=$V381,0,1))</f>
        <v>0</v>
      </c>
      <c r="BG426" cm="1">
        <f t="array" ref="BG426">IF(OR(W426={"NS","NA"},$W381={"NS","NA"}),0,IF(W426&lt;=$W381,0,1))</f>
        <v>0</v>
      </c>
      <c r="BH426" cm="1">
        <f t="array" ref="BH426">IF(OR(X426={"NS","NA"},$X381={"NS","NA"}),0,IF(X426&lt;=$X381,0,1))</f>
        <v>0</v>
      </c>
      <c r="BI426" cm="1">
        <f t="array" ref="BI426">IF(OR(Y426={"NS","NA"},$V381={"NS","NA"}),0,IF(Y426&lt;=$V381,0,1))</f>
        <v>0</v>
      </c>
      <c r="BJ426" cm="1">
        <f t="array" ref="BJ426">IF(OR(Z426={"NS","NA"},$W381={"NS","NA"}),0,IF(Z426&lt;=$W381,0,1))</f>
        <v>0</v>
      </c>
      <c r="BK426" cm="1">
        <f t="array" ref="BK426">IF(OR(AA426={"NS","NA"},$X381={"NS","NA"}),0,IF(AA426&lt;=$X381,0,1))</f>
        <v>0</v>
      </c>
      <c r="BL426" cm="1">
        <f t="array" ref="BL426">IF(OR(AB426={"NS","NA"},$V381={"NS","NA"}),0,IF(AB426&lt;=$V381,0,1))</f>
        <v>0</v>
      </c>
      <c r="BM426" cm="1">
        <f t="array" ref="BM426">IF(OR(AC426={"NS","NA"},$W381={"NS","NA"}),0,IF(AC426&lt;=$W381,0,1))</f>
        <v>0</v>
      </c>
      <c r="BN426" cm="1">
        <f t="array" ref="BN426">IF(OR(AD426={"NS","NA"},$X381={"NS","NA"}),0,IF(AD426&lt;=$X381,0,1))</f>
        <v>0</v>
      </c>
      <c r="BU426"/>
    </row>
    <row r="427" spans="1:73">
      <c r="A427" s="142"/>
      <c r="B427" s="57"/>
      <c r="C427" s="143" t="s">
        <v>2522</v>
      </c>
      <c r="D427" s="813" t="str">
        <f>IF(CNSIPEE_2024_M2_Secc1!D48="","",CNSIPEE_2024_M2_Secc1!D48)</f>
        <v/>
      </c>
      <c r="E427" s="814"/>
      <c r="F427" s="814"/>
      <c r="G427" s="814"/>
      <c r="H427" s="814"/>
      <c r="I427" s="814"/>
      <c r="J427" s="814"/>
      <c r="K427" s="814"/>
      <c r="L427" s="814"/>
      <c r="M427" s="814"/>
      <c r="N427" s="814"/>
      <c r="O427" s="815"/>
      <c r="P427" s="100"/>
      <c r="Q427" s="100"/>
      <c r="R427" s="100"/>
      <c r="S427" s="100"/>
      <c r="T427" s="100"/>
      <c r="U427" s="100"/>
      <c r="V427" s="100"/>
      <c r="W427" s="100"/>
      <c r="X427" s="100"/>
      <c r="Y427" s="100"/>
      <c r="Z427" s="100"/>
      <c r="AA427" s="100"/>
      <c r="AB427" s="100"/>
      <c r="AC427" s="100"/>
      <c r="AD427" s="100"/>
      <c r="AG427">
        <f t="shared" si="331"/>
        <v>0</v>
      </c>
      <c r="AH427">
        <f t="shared" si="332"/>
        <v>0</v>
      </c>
      <c r="AI427"/>
      <c r="AJ427"/>
      <c r="AK427">
        <f t="shared" si="317"/>
        <v>0</v>
      </c>
      <c r="AL427">
        <f t="shared" si="318"/>
        <v>0</v>
      </c>
      <c r="AM427">
        <f t="shared" si="333"/>
        <v>0</v>
      </c>
      <c r="AN427">
        <f t="shared" si="319"/>
        <v>0</v>
      </c>
      <c r="AO427">
        <f t="shared" si="320"/>
        <v>0</v>
      </c>
      <c r="AP427">
        <f t="shared" si="321"/>
        <v>0</v>
      </c>
      <c r="AQ427">
        <f t="shared" si="322"/>
        <v>0</v>
      </c>
      <c r="AR427">
        <f t="shared" si="323"/>
        <v>0</v>
      </c>
      <c r="AS427">
        <f t="shared" si="324"/>
        <v>0</v>
      </c>
      <c r="AT427">
        <f t="shared" si="325"/>
        <v>0</v>
      </c>
      <c r="AU427">
        <f t="shared" si="326"/>
        <v>0</v>
      </c>
      <c r="AV427">
        <f t="shared" si="327"/>
        <v>0</v>
      </c>
      <c r="AW427">
        <f t="shared" si="328"/>
        <v>0</v>
      </c>
      <c r="AX427">
        <f t="shared" si="329"/>
        <v>0</v>
      </c>
      <c r="AY427">
        <f t="shared" si="330"/>
        <v>0</v>
      </c>
      <c r="AZ427" cm="1">
        <f t="array" ref="AZ427">IF(OR(P427={"NS","NA"},V382={"NS","NA"}),0,IF(P427&gt;=V382,0,1))</f>
        <v>0</v>
      </c>
      <c r="BA427" cm="1">
        <f t="array" ref="BA427">IF(OR(Q427={"NS","NA"},W382={"NS","NA"}),0,IF(Q427&gt;=W382,0,1))</f>
        <v>0</v>
      </c>
      <c r="BB427" cm="1">
        <f t="array" ref="BB427">IF(OR(R427={"NS","NA"},X382={"NS","NA"}),0,IF(R427&gt;=X382,0,1))</f>
        <v>0</v>
      </c>
      <c r="BC427" cm="1">
        <f t="array" ref="BC427">IF(OR(S427={"NS","NA"},$V382={"NS","NA"}),0,IF(S427&lt;=$V382,0,1))</f>
        <v>0</v>
      </c>
      <c r="BD427" cm="1">
        <f t="array" ref="BD427">IF(OR(T427={"NS","NA"},$W382={"NS","NA"}),0,IF(T427&lt;=$W382,0,1))</f>
        <v>0</v>
      </c>
      <c r="BE427" cm="1">
        <f t="array" ref="BE427">IF(OR(U427={"NS","NA"},$X382={"NS","NA"}),0,IF(U427&lt;=$X382,0,1))</f>
        <v>0</v>
      </c>
      <c r="BF427" cm="1">
        <f t="array" ref="BF427">IF(OR(V427={"NS","NA"},$V382={"NS","NA"}),0,IF(V427&lt;=$V382,0,1))</f>
        <v>0</v>
      </c>
      <c r="BG427" cm="1">
        <f t="array" ref="BG427">IF(OR(W427={"NS","NA"},$W382={"NS","NA"}),0,IF(W427&lt;=$W382,0,1))</f>
        <v>0</v>
      </c>
      <c r="BH427" cm="1">
        <f t="array" ref="BH427">IF(OR(X427={"NS","NA"},$X382={"NS","NA"}),0,IF(X427&lt;=$X382,0,1))</f>
        <v>0</v>
      </c>
      <c r="BI427" cm="1">
        <f t="array" ref="BI427">IF(OR(Y427={"NS","NA"},$V382={"NS","NA"}),0,IF(Y427&lt;=$V382,0,1))</f>
        <v>0</v>
      </c>
      <c r="BJ427" cm="1">
        <f t="array" ref="BJ427">IF(OR(Z427={"NS","NA"},$W382={"NS","NA"}),0,IF(Z427&lt;=$W382,0,1))</f>
        <v>0</v>
      </c>
      <c r="BK427" cm="1">
        <f t="array" ref="BK427">IF(OR(AA427={"NS","NA"},$X382={"NS","NA"}),0,IF(AA427&lt;=$X382,0,1))</f>
        <v>0</v>
      </c>
      <c r="BL427" cm="1">
        <f t="array" ref="BL427">IF(OR(AB427={"NS","NA"},$V382={"NS","NA"}),0,IF(AB427&lt;=$V382,0,1))</f>
        <v>0</v>
      </c>
      <c r="BM427" cm="1">
        <f t="array" ref="BM427">IF(OR(AC427={"NS","NA"},$W382={"NS","NA"}),0,IF(AC427&lt;=$W382,0,1))</f>
        <v>0</v>
      </c>
      <c r="BN427" cm="1">
        <f t="array" ref="BN427">IF(OR(AD427={"NS","NA"},$X382={"NS","NA"}),0,IF(AD427&lt;=$X382,0,1))</f>
        <v>0</v>
      </c>
      <c r="BU427"/>
    </row>
    <row r="428" spans="1:73" ht="14.25" customHeight="1">
      <c r="A428" s="142"/>
      <c r="B428" s="57"/>
      <c r="C428" s="143" t="s">
        <v>2523</v>
      </c>
      <c r="D428" s="813" t="str">
        <f>IF(CNSIPEE_2024_M2_Secc1!D49="","",CNSIPEE_2024_M2_Secc1!D49)</f>
        <v/>
      </c>
      <c r="E428" s="814"/>
      <c r="F428" s="814"/>
      <c r="G428" s="814"/>
      <c r="H428" s="814"/>
      <c r="I428" s="814"/>
      <c r="J428" s="814"/>
      <c r="K428" s="814"/>
      <c r="L428" s="814"/>
      <c r="M428" s="814"/>
      <c r="N428" s="814"/>
      <c r="O428" s="815"/>
      <c r="P428" s="100"/>
      <c r="Q428" s="100"/>
      <c r="R428" s="100"/>
      <c r="S428" s="100"/>
      <c r="T428" s="100"/>
      <c r="U428" s="100"/>
      <c r="V428" s="100"/>
      <c r="W428" s="100"/>
      <c r="X428" s="100"/>
      <c r="Y428" s="100"/>
      <c r="Z428" s="100"/>
      <c r="AA428" s="100"/>
      <c r="AB428" s="100"/>
      <c r="AC428" s="100"/>
      <c r="AD428" s="100"/>
      <c r="AG428">
        <f t="shared" si="331"/>
        <v>0</v>
      </c>
      <c r="AH428">
        <f t="shared" si="332"/>
        <v>0</v>
      </c>
      <c r="AI428"/>
      <c r="AJ428"/>
      <c r="AK428">
        <f t="shared" si="317"/>
        <v>0</v>
      </c>
      <c r="AL428">
        <f t="shared" si="318"/>
        <v>0</v>
      </c>
      <c r="AM428">
        <f t="shared" si="333"/>
        <v>0</v>
      </c>
      <c r="AN428">
        <f t="shared" si="319"/>
        <v>0</v>
      </c>
      <c r="AO428">
        <f t="shared" si="320"/>
        <v>0</v>
      </c>
      <c r="AP428">
        <f t="shared" si="321"/>
        <v>0</v>
      </c>
      <c r="AQ428">
        <f t="shared" si="322"/>
        <v>0</v>
      </c>
      <c r="AR428">
        <f t="shared" si="323"/>
        <v>0</v>
      </c>
      <c r="AS428">
        <f t="shared" si="324"/>
        <v>0</v>
      </c>
      <c r="AT428">
        <f t="shared" si="325"/>
        <v>0</v>
      </c>
      <c r="AU428">
        <f t="shared" si="326"/>
        <v>0</v>
      </c>
      <c r="AV428">
        <f t="shared" si="327"/>
        <v>0</v>
      </c>
      <c r="AW428">
        <f t="shared" si="328"/>
        <v>0</v>
      </c>
      <c r="AX428">
        <f t="shared" si="329"/>
        <v>0</v>
      </c>
      <c r="AY428">
        <f t="shared" si="330"/>
        <v>0</v>
      </c>
      <c r="AZ428" cm="1">
        <f t="array" ref="AZ428">IF(OR(P428={"NS","NA"},V383={"NS","NA"}),0,IF(P428&gt;=V383,0,1))</f>
        <v>0</v>
      </c>
      <c r="BA428" cm="1">
        <f t="array" ref="BA428">IF(OR(Q428={"NS","NA"},W383={"NS","NA"}),0,IF(Q428&gt;=W383,0,1))</f>
        <v>0</v>
      </c>
      <c r="BB428" cm="1">
        <f t="array" ref="BB428">IF(OR(R428={"NS","NA"},X383={"NS","NA"}),0,IF(R428&gt;=X383,0,1))</f>
        <v>0</v>
      </c>
      <c r="BC428" cm="1">
        <f t="array" ref="BC428">IF(OR(S428={"NS","NA"},$V383={"NS","NA"}),0,IF(S428&lt;=$V383,0,1))</f>
        <v>0</v>
      </c>
      <c r="BD428" cm="1">
        <f t="array" ref="BD428">IF(OR(T428={"NS","NA"},$W383={"NS","NA"}),0,IF(T428&lt;=$W383,0,1))</f>
        <v>0</v>
      </c>
      <c r="BE428" cm="1">
        <f t="array" ref="BE428">IF(OR(U428={"NS","NA"},$X383={"NS","NA"}),0,IF(U428&lt;=$X383,0,1))</f>
        <v>0</v>
      </c>
      <c r="BF428" cm="1">
        <f t="array" ref="BF428">IF(OR(V428={"NS","NA"},$V383={"NS","NA"}),0,IF(V428&lt;=$V383,0,1))</f>
        <v>0</v>
      </c>
      <c r="BG428" cm="1">
        <f t="array" ref="BG428">IF(OR(W428={"NS","NA"},$W383={"NS","NA"}),0,IF(W428&lt;=$W383,0,1))</f>
        <v>0</v>
      </c>
      <c r="BH428" cm="1">
        <f t="array" ref="BH428">IF(OR(X428={"NS","NA"},$X383={"NS","NA"}),0,IF(X428&lt;=$X383,0,1))</f>
        <v>0</v>
      </c>
      <c r="BI428" cm="1">
        <f t="array" ref="BI428">IF(OR(Y428={"NS","NA"},$V383={"NS","NA"}),0,IF(Y428&lt;=$V383,0,1))</f>
        <v>0</v>
      </c>
      <c r="BJ428" cm="1">
        <f t="array" ref="BJ428">IF(OR(Z428={"NS","NA"},$W383={"NS","NA"}),0,IF(Z428&lt;=$W383,0,1))</f>
        <v>0</v>
      </c>
      <c r="BK428" cm="1">
        <f t="array" ref="BK428">IF(OR(AA428={"NS","NA"},$X383={"NS","NA"}),0,IF(AA428&lt;=$X383,0,1))</f>
        <v>0</v>
      </c>
      <c r="BL428" cm="1">
        <f t="array" ref="BL428">IF(OR(AB428={"NS","NA"},$V383={"NS","NA"}),0,IF(AB428&lt;=$V383,0,1))</f>
        <v>0</v>
      </c>
      <c r="BM428" cm="1">
        <f t="array" ref="BM428">IF(OR(AC428={"NS","NA"},$W383={"NS","NA"}),0,IF(AC428&lt;=$W383,0,1))</f>
        <v>0</v>
      </c>
      <c r="BN428" cm="1">
        <f t="array" ref="BN428">IF(OR(AD428={"NS","NA"},$X383={"NS","NA"}),0,IF(AD428&lt;=$X383,0,1))</f>
        <v>0</v>
      </c>
      <c r="BU428"/>
    </row>
    <row r="429" spans="1:73" ht="14.25" customHeight="1">
      <c r="A429" s="142"/>
      <c r="B429" s="57"/>
      <c r="C429" s="86"/>
      <c r="D429" s="86"/>
      <c r="E429" s="86"/>
      <c r="F429" s="86"/>
      <c r="G429" s="86"/>
      <c r="H429" s="86"/>
      <c r="I429" s="86"/>
      <c r="J429" s="86"/>
      <c r="K429" s="86"/>
      <c r="L429" s="117"/>
      <c r="M429" s="104"/>
      <c r="N429" s="104"/>
      <c r="O429" s="117" t="s">
        <v>2649</v>
      </c>
      <c r="P429" s="124">
        <f t="shared" ref="P429:AD429" si="334">IF(AND(SUM(P421:P428)=0,COUNTIF(P421:P428,"NS")&gt;0),"NS",IF(AND(SUM(P421:P428)=0,COUNTIF(P421:P428,0)&gt;0),0,IF(AND(SUM(P421:P428)=0,COUNTIF(P421:P428,"NA")&gt;0),"NA",SUM(P421:P428))))</f>
        <v>0</v>
      </c>
      <c r="Q429" s="124">
        <f t="shared" si="334"/>
        <v>0</v>
      </c>
      <c r="R429" s="124">
        <f t="shared" si="334"/>
        <v>0</v>
      </c>
      <c r="S429" s="124">
        <f t="shared" si="334"/>
        <v>0</v>
      </c>
      <c r="T429" s="124">
        <f t="shared" si="334"/>
        <v>0</v>
      </c>
      <c r="U429" s="124">
        <f t="shared" si="334"/>
        <v>0</v>
      </c>
      <c r="V429" s="124">
        <f t="shared" si="334"/>
        <v>0</v>
      </c>
      <c r="W429" s="124">
        <f t="shared" si="334"/>
        <v>0</v>
      </c>
      <c r="X429" s="124">
        <f t="shared" si="334"/>
        <v>0</v>
      </c>
      <c r="Y429" s="124">
        <f t="shared" si="334"/>
        <v>0</v>
      </c>
      <c r="Z429" s="124">
        <f t="shared" si="334"/>
        <v>0</v>
      </c>
      <c r="AA429" s="124">
        <f t="shared" si="334"/>
        <v>0</v>
      </c>
      <c r="AB429" s="124">
        <f t="shared" si="334"/>
        <v>0</v>
      </c>
      <c r="AC429" s="124">
        <f t="shared" si="334"/>
        <v>0</v>
      </c>
      <c r="AD429" s="124">
        <f t="shared" si="334"/>
        <v>0</v>
      </c>
      <c r="AG429" s="507">
        <f>SUM(AG421:AG428)</f>
        <v>0</v>
      </c>
      <c r="AH429" s="507">
        <f>SUM(AH421:AH428)</f>
        <v>0</v>
      </c>
      <c r="AJ429"/>
      <c r="AK429">
        <f>SUM(AK421:AK428)</f>
        <v>0</v>
      </c>
      <c r="AM429">
        <f>SUM(AM421:AM428)</f>
        <v>0</v>
      </c>
      <c r="AN429">
        <f>SUM(AN421:AN428)</f>
        <v>0</v>
      </c>
      <c r="AP429">
        <f>SUM(AP421:AP428)</f>
        <v>0</v>
      </c>
      <c r="AQ429">
        <f>SUM(AQ421:AQ428)</f>
        <v>0</v>
      </c>
      <c r="AS429">
        <f>SUM(AS421:AS428)</f>
        <v>0</v>
      </c>
      <c r="AT429">
        <f>SUM(AT421:AT428)</f>
        <v>0</v>
      </c>
      <c r="AV429">
        <f>SUM(AV421:AV428)</f>
        <v>0</v>
      </c>
      <c r="AW429">
        <f>SUM(AW421:AW428)</f>
        <v>0</v>
      </c>
      <c r="AY429">
        <f>SUM(AY421:AY428)</f>
        <v>0</v>
      </c>
      <c r="BB429" s="507">
        <f>SUM(AZ421:BB428)</f>
        <v>0</v>
      </c>
      <c r="BN429" s="693">
        <f>SUM(BC421:BN428)</f>
        <v>0</v>
      </c>
      <c r="BU429"/>
    </row>
    <row r="430" spans="1:73">
      <c r="A430" s="142"/>
      <c r="B430" s="57"/>
      <c r="C430" s="57"/>
      <c r="D430" s="57"/>
      <c r="E430" s="57"/>
      <c r="F430" s="57"/>
      <c r="G430" s="57"/>
      <c r="H430" s="57"/>
      <c r="I430" s="57"/>
      <c r="J430" s="57"/>
      <c r="K430" s="57"/>
      <c r="L430" s="57"/>
      <c r="M430" s="57"/>
      <c r="N430" s="57"/>
      <c r="O430" s="57"/>
      <c r="P430" s="57"/>
      <c r="Q430" s="57"/>
      <c r="R430" s="57"/>
      <c r="S430" s="57"/>
      <c r="T430" s="57"/>
      <c r="U430" s="57"/>
      <c r="V430" s="57"/>
      <c r="W430" s="57"/>
      <c r="X430" s="57"/>
      <c r="Y430" s="57"/>
      <c r="Z430" s="57"/>
      <c r="AA430" s="57"/>
      <c r="AB430" s="57"/>
      <c r="AC430" s="57"/>
      <c r="AD430" s="57"/>
      <c r="AK430" t="s">
        <v>2650</v>
      </c>
      <c r="AL430" s="405">
        <f>SUM(AM429,AP429,AS429,AV429,AY429)</f>
        <v>0</v>
      </c>
      <c r="AM430" t="s">
        <v>2651</v>
      </c>
      <c r="AN430">
        <f>SUM(AK429,AN429,AQ429,AT429,AW429)</f>
        <v>0</v>
      </c>
      <c r="BU430"/>
    </row>
    <row r="431" spans="1:73">
      <c r="A431" s="169"/>
      <c r="B431" s="90"/>
      <c r="C431" s="90"/>
      <c r="D431" s="90"/>
      <c r="E431" s="90"/>
      <c r="F431" s="90"/>
      <c r="G431" s="90"/>
      <c r="H431" s="90"/>
      <c r="I431" s="90"/>
      <c r="J431" s="90"/>
      <c r="K431" s="90"/>
      <c r="L431" s="90"/>
      <c r="M431" s="90"/>
      <c r="N431" s="90"/>
      <c r="O431" s="90"/>
      <c r="P431" s="90"/>
      <c r="Q431" s="90"/>
      <c r="R431" s="90"/>
      <c r="S431" s="90"/>
      <c r="T431" s="90"/>
      <c r="U431" s="90"/>
      <c r="V431" s="90"/>
      <c r="W431" s="90"/>
      <c r="X431" s="90"/>
      <c r="Y431" s="90"/>
      <c r="Z431" s="90"/>
      <c r="AA431" s="873" t="s">
        <v>2668</v>
      </c>
      <c r="AB431" s="873"/>
      <c r="AC431" s="873"/>
      <c r="AD431" s="873"/>
      <c r="AK431" t="s">
        <v>2652</v>
      </c>
      <c r="AL431">
        <f>IF(AN430&gt;0,IF(SUM(P429)&gt;=SUM(S429,V429,Y429,AB429),0,1),IF(SUM(P429)&lt;&gt;SUM(S429,V429,Y429,AB429),1,0))</f>
        <v>0</v>
      </c>
      <c r="AM431" t="s">
        <v>2653</v>
      </c>
      <c r="AN431">
        <f>IF(AN430&gt;0,IF(SUM(Q429)&gt;=SUM(T429,W429,Z429,AC429),0,1),IF(SUM(Q429)&lt;&gt;SUM(T429,W429,Z429,AC429),1,0))</f>
        <v>0</v>
      </c>
      <c r="AO431" t="s">
        <v>2654</v>
      </c>
      <c r="AP431">
        <f>IF(AN430&gt;0,IF(SUM(R429)&gt;=SUM(U429,X429,AA429,AD429),0,1),IF(SUM(R429)&lt;&gt;SUM(U429,X429,AA429,AD429),1,0))</f>
        <v>0</v>
      </c>
      <c r="BU431"/>
    </row>
    <row r="432" spans="1:73" ht="24" customHeight="1">
      <c r="A432" s="50"/>
      <c r="B432" s="57"/>
      <c r="C432" s="732" t="s">
        <v>2581</v>
      </c>
      <c r="D432" s="732"/>
      <c r="E432" s="732"/>
      <c r="F432" s="732"/>
      <c r="G432" s="732"/>
      <c r="H432" s="732"/>
      <c r="I432" s="732"/>
      <c r="J432" s="732"/>
      <c r="K432" s="732"/>
      <c r="L432" s="732"/>
      <c r="M432" s="732" t="s">
        <v>5935</v>
      </c>
      <c r="N432" s="732"/>
      <c r="O432" s="732"/>
      <c r="P432" s="732"/>
      <c r="Q432" s="732"/>
      <c r="R432" s="732"/>
      <c r="S432" s="732"/>
      <c r="T432" s="732"/>
      <c r="U432" s="732"/>
      <c r="V432" s="732"/>
      <c r="W432" s="732"/>
      <c r="X432" s="732"/>
      <c r="Y432" s="732"/>
      <c r="Z432" s="732"/>
      <c r="AA432" s="732"/>
      <c r="AB432" s="732"/>
      <c r="AC432" s="732"/>
      <c r="AD432" s="732"/>
      <c r="BU432"/>
    </row>
    <row r="433" spans="1:73" ht="120" customHeight="1">
      <c r="A433" s="50"/>
      <c r="B433" s="57"/>
      <c r="C433" s="732"/>
      <c r="D433" s="732"/>
      <c r="E433" s="732"/>
      <c r="F433" s="732"/>
      <c r="G433" s="732"/>
      <c r="H433" s="732"/>
      <c r="I433" s="732"/>
      <c r="J433" s="732"/>
      <c r="K433" s="732"/>
      <c r="L433" s="732"/>
      <c r="M433" s="857" t="s">
        <v>5941</v>
      </c>
      <c r="N433" s="857"/>
      <c r="O433" s="857"/>
      <c r="P433" s="857" t="s">
        <v>5942</v>
      </c>
      <c r="Q433" s="857"/>
      <c r="R433" s="857"/>
      <c r="S433" s="857" t="s">
        <v>5943</v>
      </c>
      <c r="T433" s="857"/>
      <c r="U433" s="857"/>
      <c r="V433" s="857" t="s">
        <v>5944</v>
      </c>
      <c r="W433" s="857"/>
      <c r="X433" s="857"/>
      <c r="Y433" s="857" t="s">
        <v>5945</v>
      </c>
      <c r="Z433" s="857"/>
      <c r="AA433" s="857"/>
      <c r="AB433" s="857" t="s">
        <v>5946</v>
      </c>
      <c r="AC433" s="857"/>
      <c r="AD433" s="857"/>
      <c r="BU433"/>
    </row>
    <row r="434" spans="1:73" ht="48" customHeight="1">
      <c r="A434" s="50"/>
      <c r="B434" s="57"/>
      <c r="C434" s="732"/>
      <c r="D434" s="732"/>
      <c r="E434" s="732"/>
      <c r="F434" s="732"/>
      <c r="G434" s="732"/>
      <c r="H434" s="732"/>
      <c r="I434" s="732"/>
      <c r="J434" s="732"/>
      <c r="K434" s="732"/>
      <c r="L434" s="732"/>
      <c r="M434" s="127" t="s">
        <v>2635</v>
      </c>
      <c r="N434" s="128" t="s">
        <v>2629</v>
      </c>
      <c r="O434" s="128" t="s">
        <v>2630</v>
      </c>
      <c r="P434" s="127" t="s">
        <v>2635</v>
      </c>
      <c r="Q434" s="128" t="s">
        <v>2629</v>
      </c>
      <c r="R434" s="128" t="s">
        <v>2630</v>
      </c>
      <c r="S434" s="127" t="s">
        <v>2635</v>
      </c>
      <c r="T434" s="128" t="s">
        <v>2629</v>
      </c>
      <c r="U434" s="128" t="s">
        <v>2630</v>
      </c>
      <c r="V434" s="127" t="s">
        <v>2635</v>
      </c>
      <c r="W434" s="128" t="s">
        <v>2629</v>
      </c>
      <c r="X434" s="128" t="s">
        <v>2630</v>
      </c>
      <c r="Y434" s="127" t="s">
        <v>2635</v>
      </c>
      <c r="Z434" s="128" t="s">
        <v>2629</v>
      </c>
      <c r="AA434" s="128" t="s">
        <v>2630</v>
      </c>
      <c r="AB434" s="127" t="s">
        <v>2635</v>
      </c>
      <c r="AC434" s="128" t="s">
        <v>2629</v>
      </c>
      <c r="AD434" s="128" t="s">
        <v>2630</v>
      </c>
      <c r="AK434" t="s">
        <v>4573</v>
      </c>
      <c r="AL434" t="s">
        <v>2638</v>
      </c>
      <c r="AM434" t="s">
        <v>2639</v>
      </c>
      <c r="AN434" t="s">
        <v>4574</v>
      </c>
      <c r="AO434" t="s">
        <v>2641</v>
      </c>
      <c r="AP434" t="s">
        <v>2642</v>
      </c>
      <c r="AQ434" t="s">
        <v>4575</v>
      </c>
      <c r="AR434" t="s">
        <v>2644</v>
      </c>
      <c r="AS434" t="s">
        <v>2645</v>
      </c>
      <c r="AT434" t="s">
        <v>4576</v>
      </c>
      <c r="AU434" t="s">
        <v>2647</v>
      </c>
      <c r="AV434" t="s">
        <v>2648</v>
      </c>
      <c r="AW434" t="s">
        <v>5177</v>
      </c>
      <c r="AX434" t="s">
        <v>2757</v>
      </c>
      <c r="AY434" t="s">
        <v>2758</v>
      </c>
      <c r="AZ434" t="s">
        <v>5194</v>
      </c>
      <c r="BA434" t="s">
        <v>2760</v>
      </c>
      <c r="BB434" t="s">
        <v>2761</v>
      </c>
      <c r="BC434" t="s">
        <v>5290</v>
      </c>
      <c r="BD434"/>
      <c r="BE434"/>
      <c r="BF434"/>
      <c r="BG434"/>
      <c r="BH434"/>
      <c r="BI434"/>
      <c r="BJ434"/>
      <c r="BK434"/>
      <c r="BL434"/>
      <c r="BM434"/>
      <c r="BN434"/>
      <c r="BO434"/>
      <c r="BP434"/>
      <c r="BQ434"/>
      <c r="BR434"/>
      <c r="BS434"/>
      <c r="BT434"/>
      <c r="BU434"/>
    </row>
    <row r="435" spans="1:73">
      <c r="A435" s="142"/>
      <c r="B435" s="57"/>
      <c r="C435" s="44" t="s">
        <v>2516</v>
      </c>
      <c r="D435" s="872" t="str">
        <f>IF(CNSIPEE_2024_M2_Secc1!D42="","",CNSIPEE_2024_M2_Secc1!D42)</f>
        <v/>
      </c>
      <c r="E435" s="872"/>
      <c r="F435" s="872"/>
      <c r="G435" s="872"/>
      <c r="H435" s="872"/>
      <c r="I435" s="872"/>
      <c r="J435" s="872"/>
      <c r="K435" s="872"/>
      <c r="L435" s="872"/>
      <c r="M435" s="100"/>
      <c r="N435" s="100"/>
      <c r="O435" s="100"/>
      <c r="P435" s="100"/>
      <c r="Q435" s="100"/>
      <c r="R435" s="100"/>
      <c r="S435" s="100"/>
      <c r="T435" s="100"/>
      <c r="U435" s="100"/>
      <c r="V435" s="100"/>
      <c r="W435" s="100"/>
      <c r="X435" s="100"/>
      <c r="Y435" s="100"/>
      <c r="Z435" s="100"/>
      <c r="AA435" s="100"/>
      <c r="AB435" s="100"/>
      <c r="AC435" s="100"/>
      <c r="AD435" s="100"/>
      <c r="AK435">
        <f t="shared" ref="AK435:AK442" si="335">COUNTIF(N435:O435,"NS")</f>
        <v>0</v>
      </c>
      <c r="AL435">
        <f t="shared" ref="AL435:AL442" si="336">SUM(N435:O435)</f>
        <v>0</v>
      </c>
      <c r="AM435">
        <f>IF(COUNTIF(M435:O435,"NA")=3,0,IF(COUNTA(M435:O435)=0,0,IF(OR(AND(M435=0,AK435&gt;0),AND(M435="ns",AL435&gt;0),AND(M435="ns",AK435=0,AL435=0)),1,IF(OR(AND(M435&gt;0,AK435=2),AND(M435="ns",AK435=2),AND(M435="ns",AL435=0,AK435&gt;0),M435=AL435),0,1))))</f>
        <v>0</v>
      </c>
      <c r="AN435">
        <f t="shared" ref="AN435:AN442" si="337">COUNTIF(Q435:R435,"NS")</f>
        <v>0</v>
      </c>
      <c r="AO435">
        <f t="shared" ref="AO435:AO442" si="338">SUM(Q435:R435)</f>
        <v>0</v>
      </c>
      <c r="AP435">
        <f t="shared" ref="AP435:AP442" si="339">IF(COUNTIF(P435:R435,"NA")=3,0,IF(COUNTA(P435:R435)=0,0,IF(OR(AND(P435=0,AN435&gt;0),AND(P435="ns",AO435&gt;0),AND(P435="ns",AN435=0,AO435=0)),1,IF(OR(AND(P435&gt;0,AN435=2),AND(P435="ns",AN435=2),AND(P435="ns",AO435=0,AN435&gt;0),P435=AO435),0,1))))</f>
        <v>0</v>
      </c>
      <c r="AQ435">
        <f t="shared" ref="AQ435:AQ442" si="340">COUNTIF(T435:U435,"NS")</f>
        <v>0</v>
      </c>
      <c r="AR435">
        <f t="shared" ref="AR435:AR442" si="341">SUM(T435:U435)</f>
        <v>0</v>
      </c>
      <c r="AS435">
        <f t="shared" ref="AS435:AS442" si="342">IF(COUNTIF(S435:U435,"NA")=3,0,IF(COUNTA(S435:U435)=0,0,IF(OR(AND(S435=0,AQ435&gt;0),AND(S435="ns",AR435&gt;0),AND(S435="ns",AQ435=0,AR435=0)),1,IF(OR(AND(S435&gt;0,AQ435=2),AND(S435="ns",AQ435=2),AND(S435="ns",AR435=0,AQ435&gt;0),S435=AR435),0,1))))</f>
        <v>0</v>
      </c>
      <c r="AT435">
        <f t="shared" ref="AT435:AT442" si="343">COUNTIF(W435:X435,"NS")</f>
        <v>0</v>
      </c>
      <c r="AU435">
        <f t="shared" ref="AU435:AU442" si="344">SUM(W435:X435)</f>
        <v>0</v>
      </c>
      <c r="AV435">
        <f t="shared" ref="AV435:AV442" si="345">IF(COUNTIF(V435:X435,"NA")=3,0,IF(COUNTA(V435:X435)=0,0,IF(OR(AND(V435=0,AT435&gt;0),AND(V435="ns",AU435&gt;0),AND(V435="ns",AT435=0,AU435=0)),1,IF(OR(AND(V435&gt;0,AT435=2),AND(V435="ns",AT435=2),AND(V435="ns",AU435=0,AT435&gt;0),V435=AU435),0,1))))</f>
        <v>0</v>
      </c>
      <c r="AW435">
        <f t="shared" ref="AW435:AW442" si="346">COUNTIF(Z435:AA435,"NS")</f>
        <v>0</v>
      </c>
      <c r="AX435">
        <f t="shared" ref="AX435:AX442" si="347">SUM(Z435:AA435)</f>
        <v>0</v>
      </c>
      <c r="AY435">
        <f t="shared" ref="AY435:AY442" si="348">IF(COUNTIF(Y435:AA435,"NA")=3,0,IF(COUNTA(Y435:AA435)=0,0,IF(OR(AND(Y435=0,AW435&gt;0),AND(Y435="ns",AX435&gt;0),AND(Y435="ns",AW435=0,AX435=0)),1,IF(OR(AND(Y435&gt;0,AW435=2),AND(Y435="ns",AW435=2),AND(Y435="ns",AX435=0,AW435&gt;0),Y435=AX435),0,1))))</f>
        <v>0</v>
      </c>
      <c r="AZ435">
        <f t="shared" ref="AZ435:AZ442" si="349">COUNTIF(AC435:AD435,"NS")</f>
        <v>0</v>
      </c>
      <c r="BA435">
        <f t="shared" ref="BA435:BA442" si="350">SUM(AC435:AD435)</f>
        <v>0</v>
      </c>
      <c r="BB435">
        <f t="shared" ref="BB435:BB442" si="351">IF(COUNTIF(AB435:AD435,"NA")=3,0,IF(COUNTA(AB435:AD435)=0,0,IF(OR(AND(AB435=0,AZ435&gt;0),AND(AB435="ns",BA435&gt;0),AND(AB435="ns",AZ435=0,BA435=0)),1,IF(OR(AND(AB435&gt;0,AZ435=2),AND(AB435="ns",AZ435=2),AND(AB435="ns",BA435=0,AZ435&gt;0),AB435=BA435),0,1))))</f>
        <v>0</v>
      </c>
      <c r="BC435" cm="1">
        <f t="array" ref="BC435">IF(OR(M435={"NS","NA"},$V376={"NS","NA"}),0,IF(M435&lt;=$V376,0,1))</f>
        <v>0</v>
      </c>
      <c r="BD435" cm="1">
        <f t="array" ref="BD435">IF(OR(N435={"NS","NA"},$W376={"NS","NA"}),0,IF(N435&lt;=$W376,0,1))</f>
        <v>0</v>
      </c>
      <c r="BE435" cm="1">
        <f t="array" ref="BE435">IF(OR(O435={"NS","NA"},$X376={"NS","NA"}),0,IF(O435&lt;=$X376,0,1))</f>
        <v>0</v>
      </c>
      <c r="BF435" cm="1">
        <f t="array" ref="BF435">IF(OR(P435={"NS","NA"},$V376={"NS","NA"}),0,IF(P435&lt;=$V376,0,1))</f>
        <v>0</v>
      </c>
      <c r="BG435" cm="1">
        <f t="array" ref="BG435">IF(OR(Q435={"NS","NA"},$W376={"NS","NA"}),0,IF(Q435&lt;=$W376,0,1))</f>
        <v>0</v>
      </c>
      <c r="BH435" cm="1">
        <f t="array" ref="BH435">IF(OR(R435={"NS","NA"},$X376={"NS","NA"}),0,IF(R435&lt;=$X376,0,1))</f>
        <v>0</v>
      </c>
      <c r="BI435" cm="1">
        <f t="array" ref="BI435">IF(OR(S435={"NS","NA"},$V376={"NS","NA"}),0,IF(S435&lt;=$V376,0,1))</f>
        <v>0</v>
      </c>
      <c r="BJ435" cm="1">
        <f t="array" ref="BJ435">IF(OR(T435={"NS","NA"},$W376={"NS","NA"}),0,IF(T435&lt;=$W376,0,1))</f>
        <v>0</v>
      </c>
      <c r="BK435" cm="1">
        <f t="array" ref="BK435">IF(OR(U435={"NS","NA"},$X376={"NS","NA"}),0,IF(U435&lt;=$X376,0,1))</f>
        <v>0</v>
      </c>
      <c r="BL435" cm="1">
        <f t="array" ref="BL435">IF(OR(V435={"NS","NA"},$V376={"NS","NA"}),0,IF(V435&lt;=$V376,0,1))</f>
        <v>0</v>
      </c>
      <c r="BM435" cm="1">
        <f t="array" ref="BM435">IF(OR(W435={"NS","NA"},$W376={"NS","NA"}),0,IF(W435&lt;=$W376,0,1))</f>
        <v>0</v>
      </c>
      <c r="BN435" cm="1">
        <f t="array" ref="BN435">IF(OR(X435={"NS","NA"},$X376={"NS","NA"}),0,IF(X435&lt;=$X376,0,1))</f>
        <v>0</v>
      </c>
      <c r="BO435" cm="1">
        <f t="array" ref="BO435">IF(OR(Y435={"NS","NA"},$V376={"NS","NA"}),0,IF(Y435&lt;=$V376,0,1))</f>
        <v>0</v>
      </c>
      <c r="BP435" cm="1">
        <f t="array" ref="BP435">IF(OR(Z435={"NS","NA"},$W376={"NS","NA"}),0,IF(Z435&lt;=$W376,0,1))</f>
        <v>0</v>
      </c>
      <c r="BQ435" cm="1">
        <f t="array" ref="BQ435">IF(OR(AA435={"NS","NA"},$X376={"NS","NA"}),0,IF(AA435&lt;=$X376,0,1))</f>
        <v>0</v>
      </c>
      <c r="BR435" cm="1">
        <f t="array" ref="BR435">IF(OR(AB435={"NS","NA"},$V376={"NS","NA"}),0,IF(AB435&lt;=$V376,0,1))</f>
        <v>0</v>
      </c>
      <c r="BS435" cm="1">
        <f t="array" ref="BS435">IF(OR(AC435={"NS","NA"},$W376={"NS","NA"}),0,IF(AC435&lt;=$W376,0,1))</f>
        <v>0</v>
      </c>
      <c r="BT435" cm="1">
        <f t="array" ref="BT435">IF(OR(AD435={"NS","NA"},$X376={"NS","NA"}),0,IF(AD435&lt;=$X376,0,1))</f>
        <v>0</v>
      </c>
      <c r="BU435"/>
    </row>
    <row r="436" spans="1:73" ht="14.25" customHeight="1">
      <c r="A436" s="142"/>
      <c r="B436" s="57"/>
      <c r="C436" s="199" t="s">
        <v>2517</v>
      </c>
      <c r="D436" s="872" t="str">
        <f>IF(CNSIPEE_2024_M2_Secc1!D43="","",CNSIPEE_2024_M2_Secc1!D43)</f>
        <v/>
      </c>
      <c r="E436" s="872"/>
      <c r="F436" s="872"/>
      <c r="G436" s="872"/>
      <c r="H436" s="872"/>
      <c r="I436" s="872"/>
      <c r="J436" s="872"/>
      <c r="K436" s="872"/>
      <c r="L436" s="872"/>
      <c r="M436" s="100"/>
      <c r="N436" s="100"/>
      <c r="O436" s="100"/>
      <c r="P436" s="100"/>
      <c r="Q436" s="100"/>
      <c r="R436" s="100"/>
      <c r="S436" s="100"/>
      <c r="T436" s="100"/>
      <c r="U436" s="100"/>
      <c r="V436" s="100"/>
      <c r="W436" s="100"/>
      <c r="X436" s="100"/>
      <c r="Y436" s="100"/>
      <c r="Z436" s="100"/>
      <c r="AA436" s="100"/>
      <c r="AB436" s="100"/>
      <c r="AC436" s="100"/>
      <c r="AD436" s="100"/>
      <c r="AK436">
        <f t="shared" si="335"/>
        <v>0</v>
      </c>
      <c r="AL436">
        <f t="shared" si="336"/>
        <v>0</v>
      </c>
      <c r="AM436">
        <f t="shared" ref="AM436:AM442" si="352">IF(COUNTIF(M436:O436,"NA")=3,0,IF(COUNTA(M436:O436)=0,0,IF(OR(AND(M436=0,AK436&gt;0),AND(M436="ns",AL436&gt;0),AND(M436="ns",AK436=0,AL436=0)),1,IF(OR(AND(M436&gt;0,AK436=2),AND(M436="ns",AK436=2),AND(M436="ns",AL436=0,AK436&gt;0),M436=AL436),0,1))))</f>
        <v>0</v>
      </c>
      <c r="AN436">
        <f t="shared" si="337"/>
        <v>0</v>
      </c>
      <c r="AO436">
        <f t="shared" si="338"/>
        <v>0</v>
      </c>
      <c r="AP436">
        <f t="shared" si="339"/>
        <v>0</v>
      </c>
      <c r="AQ436">
        <f t="shared" si="340"/>
        <v>0</v>
      </c>
      <c r="AR436">
        <f t="shared" si="341"/>
        <v>0</v>
      </c>
      <c r="AS436">
        <f t="shared" si="342"/>
        <v>0</v>
      </c>
      <c r="AT436">
        <f t="shared" si="343"/>
        <v>0</v>
      </c>
      <c r="AU436">
        <f t="shared" si="344"/>
        <v>0</v>
      </c>
      <c r="AV436">
        <f t="shared" si="345"/>
        <v>0</v>
      </c>
      <c r="AW436">
        <f t="shared" si="346"/>
        <v>0</v>
      </c>
      <c r="AX436">
        <f t="shared" si="347"/>
        <v>0</v>
      </c>
      <c r="AY436">
        <f t="shared" si="348"/>
        <v>0</v>
      </c>
      <c r="AZ436">
        <f t="shared" si="349"/>
        <v>0</v>
      </c>
      <c r="BA436">
        <f t="shared" si="350"/>
        <v>0</v>
      </c>
      <c r="BB436">
        <f t="shared" si="351"/>
        <v>0</v>
      </c>
      <c r="BC436" cm="1">
        <f t="array" ref="BC436">IF(OR(M436={"NS","NA"},$V377={"NS","NA"}),0,IF(M436&lt;=$V377,0,1))</f>
        <v>0</v>
      </c>
      <c r="BD436" cm="1">
        <f t="array" ref="BD436">IF(OR(N436={"NS","NA"},$W377={"NS","NA"}),0,IF(N436&lt;=$W377,0,1))</f>
        <v>0</v>
      </c>
      <c r="BE436" cm="1">
        <f t="array" ref="BE436">IF(OR(O436={"NS","NA"},$X377={"NS","NA"}),0,IF(O436&lt;=$X377,0,1))</f>
        <v>0</v>
      </c>
      <c r="BF436" cm="1">
        <f t="array" ref="BF436">IF(OR(P436={"NS","NA"},$V377={"NS","NA"}),0,IF(P436&lt;=$V377,0,1))</f>
        <v>0</v>
      </c>
      <c r="BG436" cm="1">
        <f t="array" ref="BG436">IF(OR(Q436={"NS","NA"},$W377={"NS","NA"}),0,IF(Q436&lt;=$W377,0,1))</f>
        <v>0</v>
      </c>
      <c r="BH436" cm="1">
        <f t="array" ref="BH436">IF(OR(R436={"NS","NA"},$X377={"NS","NA"}),0,IF(R436&lt;=$X377,0,1))</f>
        <v>0</v>
      </c>
      <c r="BI436" cm="1">
        <f t="array" ref="BI436">IF(OR(S436={"NS","NA"},$V377={"NS","NA"}),0,IF(S436&lt;=$V377,0,1))</f>
        <v>0</v>
      </c>
      <c r="BJ436" cm="1">
        <f t="array" ref="BJ436">IF(OR(T436={"NS","NA"},$W377={"NS","NA"}),0,IF(T436&lt;=$W377,0,1))</f>
        <v>0</v>
      </c>
      <c r="BK436" cm="1">
        <f t="array" ref="BK436">IF(OR(U436={"NS","NA"},$X377={"NS","NA"}),0,IF(U436&lt;=$X377,0,1))</f>
        <v>0</v>
      </c>
      <c r="BL436" cm="1">
        <f t="array" ref="BL436">IF(OR(V436={"NS","NA"},$V377={"NS","NA"}),0,IF(V436&lt;=$V377,0,1))</f>
        <v>0</v>
      </c>
      <c r="BM436" cm="1">
        <f t="array" ref="BM436">IF(OR(W436={"NS","NA"},$W377={"NS","NA"}),0,IF(W436&lt;=$W377,0,1))</f>
        <v>0</v>
      </c>
      <c r="BN436" cm="1">
        <f t="array" ref="BN436">IF(OR(X436={"NS","NA"},$X377={"NS","NA"}),0,IF(X436&lt;=$X377,0,1))</f>
        <v>0</v>
      </c>
      <c r="BO436" cm="1">
        <f t="array" ref="BO436">IF(OR(Y436={"NS","NA"},$V377={"NS","NA"}),0,IF(Y436&lt;=$V377,0,1))</f>
        <v>0</v>
      </c>
      <c r="BP436" cm="1">
        <f t="array" ref="BP436">IF(OR(Z436={"NS","NA"},$W377={"NS","NA"}),0,IF(Z436&lt;=$W377,0,1))</f>
        <v>0</v>
      </c>
      <c r="BQ436" cm="1">
        <f t="array" ref="BQ436">IF(OR(AA436={"NS","NA"},$X377={"NS","NA"}),0,IF(AA436&lt;=$X377,0,1))</f>
        <v>0</v>
      </c>
      <c r="BR436" cm="1">
        <f t="array" ref="BR436">IF(OR(AB436={"NS","NA"},$V377={"NS","NA"}),0,IF(AB436&lt;=$V377,0,1))</f>
        <v>0</v>
      </c>
      <c r="BS436" cm="1">
        <f t="array" ref="BS436">IF(OR(AC436={"NS","NA"},$W377={"NS","NA"}),0,IF(AC436&lt;=$W377,0,1))</f>
        <v>0</v>
      </c>
      <c r="BT436" cm="1">
        <f t="array" ref="BT436">IF(OR(AD436={"NS","NA"},$X377={"NS","NA"}),0,IF(AD436&lt;=$X377,0,1))</f>
        <v>0</v>
      </c>
      <c r="BU436"/>
    </row>
    <row r="437" spans="1:73">
      <c r="A437" s="142"/>
      <c r="B437" s="57"/>
      <c r="C437" s="143" t="s">
        <v>2518</v>
      </c>
      <c r="D437" s="872" t="str">
        <f>IF(CNSIPEE_2024_M2_Secc1!D44="","",CNSIPEE_2024_M2_Secc1!D44)</f>
        <v/>
      </c>
      <c r="E437" s="872"/>
      <c r="F437" s="872"/>
      <c r="G437" s="872"/>
      <c r="H437" s="872"/>
      <c r="I437" s="872"/>
      <c r="J437" s="872"/>
      <c r="K437" s="872"/>
      <c r="L437" s="872"/>
      <c r="M437" s="100"/>
      <c r="N437" s="100"/>
      <c r="O437" s="100"/>
      <c r="P437" s="100"/>
      <c r="Q437" s="100"/>
      <c r="R437" s="100"/>
      <c r="S437" s="100"/>
      <c r="T437" s="100"/>
      <c r="U437" s="100"/>
      <c r="V437" s="100"/>
      <c r="W437" s="100"/>
      <c r="X437" s="100"/>
      <c r="Y437" s="100"/>
      <c r="Z437" s="100"/>
      <c r="AA437" s="100"/>
      <c r="AB437" s="100"/>
      <c r="AC437" s="100"/>
      <c r="AD437" s="100"/>
      <c r="AK437">
        <f t="shared" si="335"/>
        <v>0</v>
      </c>
      <c r="AL437">
        <f t="shared" si="336"/>
        <v>0</v>
      </c>
      <c r="AM437">
        <f t="shared" si="352"/>
        <v>0</v>
      </c>
      <c r="AN437">
        <f t="shared" si="337"/>
        <v>0</v>
      </c>
      <c r="AO437">
        <f t="shared" si="338"/>
        <v>0</v>
      </c>
      <c r="AP437">
        <f t="shared" si="339"/>
        <v>0</v>
      </c>
      <c r="AQ437">
        <f t="shared" si="340"/>
        <v>0</v>
      </c>
      <c r="AR437">
        <f t="shared" si="341"/>
        <v>0</v>
      </c>
      <c r="AS437">
        <f t="shared" si="342"/>
        <v>0</v>
      </c>
      <c r="AT437">
        <f t="shared" si="343"/>
        <v>0</v>
      </c>
      <c r="AU437">
        <f t="shared" si="344"/>
        <v>0</v>
      </c>
      <c r="AV437">
        <f t="shared" si="345"/>
        <v>0</v>
      </c>
      <c r="AW437">
        <f t="shared" si="346"/>
        <v>0</v>
      </c>
      <c r="AX437">
        <f t="shared" si="347"/>
        <v>0</v>
      </c>
      <c r="AY437">
        <f t="shared" si="348"/>
        <v>0</v>
      </c>
      <c r="AZ437">
        <f t="shared" si="349"/>
        <v>0</v>
      </c>
      <c r="BA437">
        <f t="shared" si="350"/>
        <v>0</v>
      </c>
      <c r="BB437">
        <f t="shared" si="351"/>
        <v>0</v>
      </c>
      <c r="BC437" cm="1">
        <f t="array" ref="BC437">IF(OR(M437={"NS","NA"},$V378={"NS","NA"}),0,IF(M437&lt;=$V378,0,1))</f>
        <v>0</v>
      </c>
      <c r="BD437" cm="1">
        <f t="array" ref="BD437">IF(OR(N437={"NS","NA"},$W378={"NS","NA"}),0,IF(N437&lt;=$W378,0,1))</f>
        <v>0</v>
      </c>
      <c r="BE437" cm="1">
        <f t="array" ref="BE437">IF(OR(O437={"NS","NA"},$X378={"NS","NA"}),0,IF(O437&lt;=$X378,0,1))</f>
        <v>0</v>
      </c>
      <c r="BF437" cm="1">
        <f t="array" ref="BF437">IF(OR(P437={"NS","NA"},$V378={"NS","NA"}),0,IF(P437&lt;=$V378,0,1))</f>
        <v>0</v>
      </c>
      <c r="BG437" cm="1">
        <f t="array" ref="BG437">IF(OR(Q437={"NS","NA"},$W378={"NS","NA"}),0,IF(Q437&lt;=$W378,0,1))</f>
        <v>0</v>
      </c>
      <c r="BH437" cm="1">
        <f t="array" ref="BH437">IF(OR(R437={"NS","NA"},$X378={"NS","NA"}),0,IF(R437&lt;=$X378,0,1))</f>
        <v>0</v>
      </c>
      <c r="BI437" cm="1">
        <f t="array" ref="BI437">IF(OR(S437={"NS","NA"},$V378={"NS","NA"}),0,IF(S437&lt;=$V378,0,1))</f>
        <v>0</v>
      </c>
      <c r="BJ437" cm="1">
        <f t="array" ref="BJ437">IF(OR(T437={"NS","NA"},$W378={"NS","NA"}),0,IF(T437&lt;=$W378,0,1))</f>
        <v>0</v>
      </c>
      <c r="BK437" cm="1">
        <f t="array" ref="BK437">IF(OR(U437={"NS","NA"},$X378={"NS","NA"}),0,IF(U437&lt;=$X378,0,1))</f>
        <v>0</v>
      </c>
      <c r="BL437" cm="1">
        <f t="array" ref="BL437">IF(OR(V437={"NS","NA"},$V378={"NS","NA"}),0,IF(V437&lt;=$V378,0,1))</f>
        <v>0</v>
      </c>
      <c r="BM437" cm="1">
        <f t="array" ref="BM437">IF(OR(W437={"NS","NA"},$W378={"NS","NA"}),0,IF(W437&lt;=$W378,0,1))</f>
        <v>0</v>
      </c>
      <c r="BN437" cm="1">
        <f t="array" ref="BN437">IF(OR(X437={"NS","NA"},$X378={"NS","NA"}),0,IF(X437&lt;=$X378,0,1))</f>
        <v>0</v>
      </c>
      <c r="BO437" cm="1">
        <f t="array" ref="BO437">IF(OR(Y437={"NS","NA"},$V378={"NS","NA"}),0,IF(Y437&lt;=$V378,0,1))</f>
        <v>0</v>
      </c>
      <c r="BP437" cm="1">
        <f t="array" ref="BP437">IF(OR(Z437={"NS","NA"},$W378={"NS","NA"}),0,IF(Z437&lt;=$W378,0,1))</f>
        <v>0</v>
      </c>
      <c r="BQ437" cm="1">
        <f t="array" ref="BQ437">IF(OR(AA437={"NS","NA"},$X378={"NS","NA"}),0,IF(AA437&lt;=$X378,0,1))</f>
        <v>0</v>
      </c>
      <c r="BR437" cm="1">
        <f t="array" ref="BR437">IF(OR(AB437={"NS","NA"},$V378={"NS","NA"}),0,IF(AB437&lt;=$V378,0,1))</f>
        <v>0</v>
      </c>
      <c r="BS437" cm="1">
        <f t="array" ref="BS437">IF(OR(AC437={"NS","NA"},$W378={"NS","NA"}),0,IF(AC437&lt;=$W378,0,1))</f>
        <v>0</v>
      </c>
      <c r="BT437" cm="1">
        <f t="array" ref="BT437">IF(OR(AD437={"NS","NA"},$X378={"NS","NA"}),0,IF(AD437&lt;=$X378,0,1))</f>
        <v>0</v>
      </c>
      <c r="BU437"/>
    </row>
    <row r="438" spans="1:73" ht="14.25" customHeight="1">
      <c r="A438" s="142"/>
      <c r="B438" s="57"/>
      <c r="C438" s="143" t="s">
        <v>2519</v>
      </c>
      <c r="D438" s="872" t="str">
        <f>IF(CNSIPEE_2024_M2_Secc1!D45="","",CNSIPEE_2024_M2_Secc1!D45)</f>
        <v/>
      </c>
      <c r="E438" s="872"/>
      <c r="F438" s="872"/>
      <c r="G438" s="872"/>
      <c r="H438" s="872"/>
      <c r="I438" s="872"/>
      <c r="J438" s="872"/>
      <c r="K438" s="872"/>
      <c r="L438" s="872"/>
      <c r="M438" s="100"/>
      <c r="N438" s="100"/>
      <c r="O438" s="100"/>
      <c r="P438" s="100"/>
      <c r="Q438" s="100"/>
      <c r="R438" s="100"/>
      <c r="S438" s="100"/>
      <c r="T438" s="100"/>
      <c r="U438" s="100"/>
      <c r="V438" s="100"/>
      <c r="W438" s="100"/>
      <c r="X438" s="100"/>
      <c r="Y438" s="100"/>
      <c r="Z438" s="100"/>
      <c r="AA438" s="100"/>
      <c r="AB438" s="100"/>
      <c r="AC438" s="100"/>
      <c r="AD438" s="100"/>
      <c r="AK438">
        <f t="shared" si="335"/>
        <v>0</v>
      </c>
      <c r="AL438">
        <f t="shared" si="336"/>
        <v>0</v>
      </c>
      <c r="AM438">
        <f t="shared" si="352"/>
        <v>0</v>
      </c>
      <c r="AN438">
        <f t="shared" si="337"/>
        <v>0</v>
      </c>
      <c r="AO438">
        <f t="shared" si="338"/>
        <v>0</v>
      </c>
      <c r="AP438">
        <f t="shared" si="339"/>
        <v>0</v>
      </c>
      <c r="AQ438">
        <f t="shared" si="340"/>
        <v>0</v>
      </c>
      <c r="AR438">
        <f t="shared" si="341"/>
        <v>0</v>
      </c>
      <c r="AS438">
        <f t="shared" si="342"/>
        <v>0</v>
      </c>
      <c r="AT438">
        <f t="shared" si="343"/>
        <v>0</v>
      </c>
      <c r="AU438">
        <f t="shared" si="344"/>
        <v>0</v>
      </c>
      <c r="AV438">
        <f t="shared" si="345"/>
        <v>0</v>
      </c>
      <c r="AW438">
        <f t="shared" si="346"/>
        <v>0</v>
      </c>
      <c r="AX438">
        <f t="shared" si="347"/>
        <v>0</v>
      </c>
      <c r="AY438">
        <f t="shared" si="348"/>
        <v>0</v>
      </c>
      <c r="AZ438">
        <f t="shared" si="349"/>
        <v>0</v>
      </c>
      <c r="BA438">
        <f t="shared" si="350"/>
        <v>0</v>
      </c>
      <c r="BB438">
        <f t="shared" si="351"/>
        <v>0</v>
      </c>
      <c r="BC438" cm="1">
        <f t="array" ref="BC438">IF(OR(M438={"NS","NA"},$V379={"NS","NA"}),0,IF(M438&lt;=$V379,0,1))</f>
        <v>0</v>
      </c>
      <c r="BD438" cm="1">
        <f t="array" ref="BD438">IF(OR(N438={"NS","NA"},$W379={"NS","NA"}),0,IF(N438&lt;=$W379,0,1))</f>
        <v>0</v>
      </c>
      <c r="BE438" cm="1">
        <f t="array" ref="BE438">IF(OR(O438={"NS","NA"},$X379={"NS","NA"}),0,IF(O438&lt;=$X379,0,1))</f>
        <v>0</v>
      </c>
      <c r="BF438" cm="1">
        <f t="array" ref="BF438">IF(OR(P438={"NS","NA"},$V379={"NS","NA"}),0,IF(P438&lt;=$V379,0,1))</f>
        <v>0</v>
      </c>
      <c r="BG438" cm="1">
        <f t="array" ref="BG438">IF(OR(Q438={"NS","NA"},$W379={"NS","NA"}),0,IF(Q438&lt;=$W379,0,1))</f>
        <v>0</v>
      </c>
      <c r="BH438" cm="1">
        <f t="array" ref="BH438">IF(OR(R438={"NS","NA"},$X379={"NS","NA"}),0,IF(R438&lt;=$X379,0,1))</f>
        <v>0</v>
      </c>
      <c r="BI438" cm="1">
        <f t="array" ref="BI438">IF(OR(S438={"NS","NA"},$V379={"NS","NA"}),0,IF(S438&lt;=$V379,0,1))</f>
        <v>0</v>
      </c>
      <c r="BJ438" cm="1">
        <f t="array" ref="BJ438">IF(OR(T438={"NS","NA"},$W379={"NS","NA"}),0,IF(T438&lt;=$W379,0,1))</f>
        <v>0</v>
      </c>
      <c r="BK438" cm="1">
        <f t="array" ref="BK438">IF(OR(U438={"NS","NA"},$X379={"NS","NA"}),0,IF(U438&lt;=$X379,0,1))</f>
        <v>0</v>
      </c>
      <c r="BL438" cm="1">
        <f t="array" ref="BL438">IF(OR(V438={"NS","NA"},$V379={"NS","NA"}),0,IF(V438&lt;=$V379,0,1))</f>
        <v>0</v>
      </c>
      <c r="BM438" cm="1">
        <f t="array" ref="BM438">IF(OR(W438={"NS","NA"},$W379={"NS","NA"}),0,IF(W438&lt;=$W379,0,1))</f>
        <v>0</v>
      </c>
      <c r="BN438" cm="1">
        <f t="array" ref="BN438">IF(OR(X438={"NS","NA"},$X379={"NS","NA"}),0,IF(X438&lt;=$X379,0,1))</f>
        <v>0</v>
      </c>
      <c r="BO438" cm="1">
        <f t="array" ref="BO438">IF(OR(Y438={"NS","NA"},$V379={"NS","NA"}),0,IF(Y438&lt;=$V379,0,1))</f>
        <v>0</v>
      </c>
      <c r="BP438" cm="1">
        <f t="array" ref="BP438">IF(OR(Z438={"NS","NA"},$W379={"NS","NA"}),0,IF(Z438&lt;=$W379,0,1))</f>
        <v>0</v>
      </c>
      <c r="BQ438" cm="1">
        <f t="array" ref="BQ438">IF(OR(AA438={"NS","NA"},$X379={"NS","NA"}),0,IF(AA438&lt;=$X379,0,1))</f>
        <v>0</v>
      </c>
      <c r="BR438" cm="1">
        <f t="array" ref="BR438">IF(OR(AB438={"NS","NA"},$V379={"NS","NA"}),0,IF(AB438&lt;=$V379,0,1))</f>
        <v>0</v>
      </c>
      <c r="BS438" cm="1">
        <f t="array" ref="BS438">IF(OR(AC438={"NS","NA"},$W379={"NS","NA"}),0,IF(AC438&lt;=$W379,0,1))</f>
        <v>0</v>
      </c>
      <c r="BT438" cm="1">
        <f t="array" ref="BT438">IF(OR(AD438={"NS","NA"},$X379={"NS","NA"}),0,IF(AD438&lt;=$X379,0,1))</f>
        <v>0</v>
      </c>
      <c r="BU438"/>
    </row>
    <row r="439" spans="1:73">
      <c r="A439" s="142"/>
      <c r="B439" s="57"/>
      <c r="C439" s="143" t="s">
        <v>2520</v>
      </c>
      <c r="D439" s="872" t="str">
        <f>IF(CNSIPEE_2024_M2_Secc1!D46="","",CNSIPEE_2024_M2_Secc1!D46)</f>
        <v/>
      </c>
      <c r="E439" s="872"/>
      <c r="F439" s="872"/>
      <c r="G439" s="872"/>
      <c r="H439" s="872"/>
      <c r="I439" s="872"/>
      <c r="J439" s="872"/>
      <c r="K439" s="872"/>
      <c r="L439" s="872"/>
      <c r="M439" s="100"/>
      <c r="N439" s="100"/>
      <c r="O439" s="100"/>
      <c r="P439" s="100"/>
      <c r="Q439" s="100"/>
      <c r="R439" s="100"/>
      <c r="S439" s="100"/>
      <c r="T439" s="100"/>
      <c r="U439" s="100"/>
      <c r="V439" s="100"/>
      <c r="W439" s="100"/>
      <c r="X439" s="100"/>
      <c r="Y439" s="100"/>
      <c r="Z439" s="100"/>
      <c r="AA439" s="100"/>
      <c r="AB439" s="100"/>
      <c r="AC439" s="100"/>
      <c r="AD439" s="100"/>
      <c r="AK439">
        <f t="shared" si="335"/>
        <v>0</v>
      </c>
      <c r="AL439">
        <f t="shared" si="336"/>
        <v>0</v>
      </c>
      <c r="AM439">
        <f t="shared" si="352"/>
        <v>0</v>
      </c>
      <c r="AN439">
        <f t="shared" si="337"/>
        <v>0</v>
      </c>
      <c r="AO439">
        <f t="shared" si="338"/>
        <v>0</v>
      </c>
      <c r="AP439">
        <f t="shared" si="339"/>
        <v>0</v>
      </c>
      <c r="AQ439">
        <f t="shared" si="340"/>
        <v>0</v>
      </c>
      <c r="AR439">
        <f t="shared" si="341"/>
        <v>0</v>
      </c>
      <c r="AS439">
        <f t="shared" si="342"/>
        <v>0</v>
      </c>
      <c r="AT439">
        <f t="shared" si="343"/>
        <v>0</v>
      </c>
      <c r="AU439">
        <f t="shared" si="344"/>
        <v>0</v>
      </c>
      <c r="AV439">
        <f t="shared" si="345"/>
        <v>0</v>
      </c>
      <c r="AW439">
        <f t="shared" si="346"/>
        <v>0</v>
      </c>
      <c r="AX439">
        <f t="shared" si="347"/>
        <v>0</v>
      </c>
      <c r="AY439">
        <f t="shared" si="348"/>
        <v>0</v>
      </c>
      <c r="AZ439">
        <f t="shared" si="349"/>
        <v>0</v>
      </c>
      <c r="BA439">
        <f t="shared" si="350"/>
        <v>0</v>
      </c>
      <c r="BB439">
        <f t="shared" si="351"/>
        <v>0</v>
      </c>
      <c r="BC439" cm="1">
        <f t="array" ref="BC439">IF(OR(M439={"NS","NA"},$V380={"NS","NA"}),0,IF(M439&lt;=$V380,0,1))</f>
        <v>0</v>
      </c>
      <c r="BD439" cm="1">
        <f t="array" ref="BD439">IF(OR(N439={"NS","NA"},$W380={"NS","NA"}),0,IF(N439&lt;=$W380,0,1))</f>
        <v>0</v>
      </c>
      <c r="BE439" cm="1">
        <f t="array" ref="BE439">IF(OR(O439={"NS","NA"},$X380={"NS","NA"}),0,IF(O439&lt;=$X380,0,1))</f>
        <v>0</v>
      </c>
      <c r="BF439" cm="1">
        <f t="array" ref="BF439">IF(OR(P439={"NS","NA"},$V380={"NS","NA"}),0,IF(P439&lt;=$V380,0,1))</f>
        <v>0</v>
      </c>
      <c r="BG439" cm="1">
        <f t="array" ref="BG439">IF(OR(Q439={"NS","NA"},$W380={"NS","NA"}),0,IF(Q439&lt;=$W380,0,1))</f>
        <v>0</v>
      </c>
      <c r="BH439" cm="1">
        <f t="array" ref="BH439">IF(OR(R439={"NS","NA"},$X380={"NS","NA"}),0,IF(R439&lt;=$X380,0,1))</f>
        <v>0</v>
      </c>
      <c r="BI439" cm="1">
        <f t="array" ref="BI439">IF(OR(S439={"NS","NA"},$V380={"NS","NA"}),0,IF(S439&lt;=$V380,0,1))</f>
        <v>0</v>
      </c>
      <c r="BJ439" cm="1">
        <f t="array" ref="BJ439">IF(OR(T439={"NS","NA"},$W380={"NS","NA"}),0,IF(T439&lt;=$W380,0,1))</f>
        <v>0</v>
      </c>
      <c r="BK439" cm="1">
        <f t="array" ref="BK439">IF(OR(U439={"NS","NA"},$X380={"NS","NA"}),0,IF(U439&lt;=$X380,0,1))</f>
        <v>0</v>
      </c>
      <c r="BL439" cm="1">
        <f t="array" ref="BL439">IF(OR(V439={"NS","NA"},$V380={"NS","NA"}),0,IF(V439&lt;=$V380,0,1))</f>
        <v>0</v>
      </c>
      <c r="BM439" cm="1">
        <f t="array" ref="BM439">IF(OR(W439={"NS","NA"},$W380={"NS","NA"}),0,IF(W439&lt;=$W380,0,1))</f>
        <v>0</v>
      </c>
      <c r="BN439" cm="1">
        <f t="array" ref="BN439">IF(OR(X439={"NS","NA"},$X380={"NS","NA"}),0,IF(X439&lt;=$X380,0,1))</f>
        <v>0</v>
      </c>
      <c r="BO439" cm="1">
        <f t="array" ref="BO439">IF(OR(Y439={"NS","NA"},$V380={"NS","NA"}),0,IF(Y439&lt;=$V380,0,1))</f>
        <v>0</v>
      </c>
      <c r="BP439" cm="1">
        <f t="array" ref="BP439">IF(OR(Z439={"NS","NA"},$W380={"NS","NA"}),0,IF(Z439&lt;=$W380,0,1))</f>
        <v>0</v>
      </c>
      <c r="BQ439" cm="1">
        <f t="array" ref="BQ439">IF(OR(AA439={"NS","NA"},$X380={"NS","NA"}),0,IF(AA439&lt;=$X380,0,1))</f>
        <v>0</v>
      </c>
      <c r="BR439" cm="1">
        <f t="array" ref="BR439">IF(OR(AB439={"NS","NA"},$V380={"NS","NA"}),0,IF(AB439&lt;=$V380,0,1))</f>
        <v>0</v>
      </c>
      <c r="BS439" cm="1">
        <f t="array" ref="BS439">IF(OR(AC439={"NS","NA"},$W380={"NS","NA"}),0,IF(AC439&lt;=$W380,0,1))</f>
        <v>0</v>
      </c>
      <c r="BT439" cm="1">
        <f t="array" ref="BT439">IF(OR(AD439={"NS","NA"},$X380={"NS","NA"}),0,IF(AD439&lt;=$X380,0,1))</f>
        <v>0</v>
      </c>
      <c r="BU439"/>
    </row>
    <row r="440" spans="1:73" ht="14.25" customHeight="1">
      <c r="A440" s="142"/>
      <c r="B440" s="57"/>
      <c r="C440" s="143" t="s">
        <v>2521</v>
      </c>
      <c r="D440" s="872" t="str">
        <f>IF(CNSIPEE_2024_M2_Secc1!D47="","",CNSIPEE_2024_M2_Secc1!D47)</f>
        <v/>
      </c>
      <c r="E440" s="872"/>
      <c r="F440" s="872"/>
      <c r="G440" s="872"/>
      <c r="H440" s="872"/>
      <c r="I440" s="872"/>
      <c r="J440" s="872"/>
      <c r="K440" s="872"/>
      <c r="L440" s="872"/>
      <c r="M440" s="100"/>
      <c r="N440" s="100"/>
      <c r="O440" s="100"/>
      <c r="P440" s="100"/>
      <c r="Q440" s="100"/>
      <c r="R440" s="100"/>
      <c r="S440" s="100"/>
      <c r="T440" s="100"/>
      <c r="U440" s="100"/>
      <c r="V440" s="100"/>
      <c r="W440" s="100"/>
      <c r="X440" s="100"/>
      <c r="Y440" s="100"/>
      <c r="Z440" s="100"/>
      <c r="AA440" s="100"/>
      <c r="AB440" s="100"/>
      <c r="AC440" s="100"/>
      <c r="AD440" s="100"/>
      <c r="AK440">
        <f t="shared" si="335"/>
        <v>0</v>
      </c>
      <c r="AL440">
        <f t="shared" si="336"/>
        <v>0</v>
      </c>
      <c r="AM440">
        <f t="shared" si="352"/>
        <v>0</v>
      </c>
      <c r="AN440">
        <f t="shared" si="337"/>
        <v>0</v>
      </c>
      <c r="AO440">
        <f t="shared" si="338"/>
        <v>0</v>
      </c>
      <c r="AP440">
        <f t="shared" si="339"/>
        <v>0</v>
      </c>
      <c r="AQ440">
        <f t="shared" si="340"/>
        <v>0</v>
      </c>
      <c r="AR440">
        <f t="shared" si="341"/>
        <v>0</v>
      </c>
      <c r="AS440">
        <f t="shared" si="342"/>
        <v>0</v>
      </c>
      <c r="AT440">
        <f t="shared" si="343"/>
        <v>0</v>
      </c>
      <c r="AU440">
        <f t="shared" si="344"/>
        <v>0</v>
      </c>
      <c r="AV440">
        <f t="shared" si="345"/>
        <v>0</v>
      </c>
      <c r="AW440">
        <f t="shared" si="346"/>
        <v>0</v>
      </c>
      <c r="AX440">
        <f t="shared" si="347"/>
        <v>0</v>
      </c>
      <c r="AY440">
        <f t="shared" si="348"/>
        <v>0</v>
      </c>
      <c r="AZ440">
        <f t="shared" si="349"/>
        <v>0</v>
      </c>
      <c r="BA440">
        <f t="shared" si="350"/>
        <v>0</v>
      </c>
      <c r="BB440">
        <f t="shared" si="351"/>
        <v>0</v>
      </c>
      <c r="BC440" cm="1">
        <f t="array" ref="BC440">IF(OR(M440={"NS","NA"},$V381={"NS","NA"}),0,IF(M440&lt;=$V381,0,1))</f>
        <v>0</v>
      </c>
      <c r="BD440" cm="1">
        <f t="array" ref="BD440">IF(OR(N440={"NS","NA"},$W381={"NS","NA"}),0,IF(N440&lt;=$W381,0,1))</f>
        <v>0</v>
      </c>
      <c r="BE440" cm="1">
        <f t="array" ref="BE440">IF(OR(O440={"NS","NA"},$X381={"NS","NA"}),0,IF(O440&lt;=$X381,0,1))</f>
        <v>0</v>
      </c>
      <c r="BF440" cm="1">
        <f t="array" ref="BF440">IF(OR(P440={"NS","NA"},$V381={"NS","NA"}),0,IF(P440&lt;=$V381,0,1))</f>
        <v>0</v>
      </c>
      <c r="BG440" cm="1">
        <f t="array" ref="BG440">IF(OR(Q440={"NS","NA"},$W381={"NS","NA"}),0,IF(Q440&lt;=$W381,0,1))</f>
        <v>0</v>
      </c>
      <c r="BH440" cm="1">
        <f t="array" ref="BH440">IF(OR(R440={"NS","NA"},$X381={"NS","NA"}),0,IF(R440&lt;=$X381,0,1))</f>
        <v>0</v>
      </c>
      <c r="BI440" cm="1">
        <f t="array" ref="BI440">IF(OR(S440={"NS","NA"},$V381={"NS","NA"}),0,IF(S440&lt;=$V381,0,1))</f>
        <v>0</v>
      </c>
      <c r="BJ440" cm="1">
        <f t="array" ref="BJ440">IF(OR(T440={"NS","NA"},$W381={"NS","NA"}),0,IF(T440&lt;=$W381,0,1))</f>
        <v>0</v>
      </c>
      <c r="BK440" cm="1">
        <f t="array" ref="BK440">IF(OR(U440={"NS","NA"},$X381={"NS","NA"}),0,IF(U440&lt;=$X381,0,1))</f>
        <v>0</v>
      </c>
      <c r="BL440" cm="1">
        <f t="array" ref="BL440">IF(OR(V440={"NS","NA"},$V381={"NS","NA"}),0,IF(V440&lt;=$V381,0,1))</f>
        <v>0</v>
      </c>
      <c r="BM440" cm="1">
        <f t="array" ref="BM440">IF(OR(W440={"NS","NA"},$W381={"NS","NA"}),0,IF(W440&lt;=$W381,0,1))</f>
        <v>0</v>
      </c>
      <c r="BN440" cm="1">
        <f t="array" ref="BN440">IF(OR(X440={"NS","NA"},$X381={"NS","NA"}),0,IF(X440&lt;=$X381,0,1))</f>
        <v>0</v>
      </c>
      <c r="BO440" cm="1">
        <f t="array" ref="BO440">IF(OR(Y440={"NS","NA"},$V381={"NS","NA"}),0,IF(Y440&lt;=$V381,0,1))</f>
        <v>0</v>
      </c>
      <c r="BP440" cm="1">
        <f t="array" ref="BP440">IF(OR(Z440={"NS","NA"},$W381={"NS","NA"}),0,IF(Z440&lt;=$W381,0,1))</f>
        <v>0</v>
      </c>
      <c r="BQ440" cm="1">
        <f t="array" ref="BQ440">IF(OR(AA440={"NS","NA"},$X381={"NS","NA"}),0,IF(AA440&lt;=$X381,0,1))</f>
        <v>0</v>
      </c>
      <c r="BR440" cm="1">
        <f t="array" ref="BR440">IF(OR(AB440={"NS","NA"},$V381={"NS","NA"}),0,IF(AB440&lt;=$V381,0,1))</f>
        <v>0</v>
      </c>
      <c r="BS440" cm="1">
        <f t="array" ref="BS440">IF(OR(AC440={"NS","NA"},$W381={"NS","NA"}),0,IF(AC440&lt;=$W381,0,1))</f>
        <v>0</v>
      </c>
      <c r="BT440" cm="1">
        <f t="array" ref="BT440">IF(OR(AD440={"NS","NA"},$X381={"NS","NA"}),0,IF(AD440&lt;=$X381,0,1))</f>
        <v>0</v>
      </c>
      <c r="BU440"/>
    </row>
    <row r="441" spans="1:73">
      <c r="A441" s="142"/>
      <c r="B441" s="57"/>
      <c r="C441" s="143" t="s">
        <v>2522</v>
      </c>
      <c r="D441" s="872" t="str">
        <f>IF(CNSIPEE_2024_M2_Secc1!D48="","",CNSIPEE_2024_M2_Secc1!D48)</f>
        <v/>
      </c>
      <c r="E441" s="872"/>
      <c r="F441" s="872"/>
      <c r="G441" s="872"/>
      <c r="H441" s="872"/>
      <c r="I441" s="872"/>
      <c r="J441" s="872"/>
      <c r="K441" s="872"/>
      <c r="L441" s="872"/>
      <c r="M441" s="100"/>
      <c r="N441" s="100"/>
      <c r="O441" s="100"/>
      <c r="P441" s="100"/>
      <c r="Q441" s="100"/>
      <c r="R441" s="100"/>
      <c r="S441" s="100"/>
      <c r="T441" s="100"/>
      <c r="U441" s="100"/>
      <c r="V441" s="100"/>
      <c r="W441" s="100"/>
      <c r="X441" s="100"/>
      <c r="Y441" s="100"/>
      <c r="Z441" s="100"/>
      <c r="AA441" s="100"/>
      <c r="AB441" s="100"/>
      <c r="AC441" s="100"/>
      <c r="AD441" s="100"/>
      <c r="AK441">
        <f t="shared" si="335"/>
        <v>0</v>
      </c>
      <c r="AL441">
        <f t="shared" si="336"/>
        <v>0</v>
      </c>
      <c r="AM441">
        <f t="shared" si="352"/>
        <v>0</v>
      </c>
      <c r="AN441">
        <f t="shared" si="337"/>
        <v>0</v>
      </c>
      <c r="AO441">
        <f t="shared" si="338"/>
        <v>0</v>
      </c>
      <c r="AP441">
        <f t="shared" si="339"/>
        <v>0</v>
      </c>
      <c r="AQ441">
        <f t="shared" si="340"/>
        <v>0</v>
      </c>
      <c r="AR441">
        <f t="shared" si="341"/>
        <v>0</v>
      </c>
      <c r="AS441">
        <f t="shared" si="342"/>
        <v>0</v>
      </c>
      <c r="AT441">
        <f t="shared" si="343"/>
        <v>0</v>
      </c>
      <c r="AU441">
        <f t="shared" si="344"/>
        <v>0</v>
      </c>
      <c r="AV441">
        <f t="shared" si="345"/>
        <v>0</v>
      </c>
      <c r="AW441">
        <f t="shared" si="346"/>
        <v>0</v>
      </c>
      <c r="AX441">
        <f t="shared" si="347"/>
        <v>0</v>
      </c>
      <c r="AY441">
        <f t="shared" si="348"/>
        <v>0</v>
      </c>
      <c r="AZ441">
        <f t="shared" si="349"/>
        <v>0</v>
      </c>
      <c r="BA441">
        <f t="shared" si="350"/>
        <v>0</v>
      </c>
      <c r="BB441">
        <f t="shared" si="351"/>
        <v>0</v>
      </c>
      <c r="BC441" cm="1">
        <f t="array" ref="BC441">IF(OR(M441={"NS","NA"},$V382={"NS","NA"}),0,IF(M441&lt;=$V382,0,1))</f>
        <v>0</v>
      </c>
      <c r="BD441" cm="1">
        <f t="array" ref="BD441">IF(OR(N441={"NS","NA"},$W382={"NS","NA"}),0,IF(N441&lt;=$W382,0,1))</f>
        <v>0</v>
      </c>
      <c r="BE441" cm="1">
        <f t="array" ref="BE441">IF(OR(O441={"NS","NA"},$X382={"NS","NA"}),0,IF(O441&lt;=$X382,0,1))</f>
        <v>0</v>
      </c>
      <c r="BF441" cm="1">
        <f t="array" ref="BF441">IF(OR(P441={"NS","NA"},$V382={"NS","NA"}),0,IF(P441&lt;=$V382,0,1))</f>
        <v>0</v>
      </c>
      <c r="BG441" cm="1">
        <f t="array" ref="BG441">IF(OR(Q441={"NS","NA"},$W382={"NS","NA"}),0,IF(Q441&lt;=$W382,0,1))</f>
        <v>0</v>
      </c>
      <c r="BH441" cm="1">
        <f t="array" ref="BH441">IF(OR(R441={"NS","NA"},$X382={"NS","NA"}),0,IF(R441&lt;=$X382,0,1))</f>
        <v>0</v>
      </c>
      <c r="BI441" cm="1">
        <f t="array" ref="BI441">IF(OR(S441={"NS","NA"},$V382={"NS","NA"}),0,IF(S441&lt;=$V382,0,1))</f>
        <v>0</v>
      </c>
      <c r="BJ441" cm="1">
        <f t="array" ref="BJ441">IF(OR(T441={"NS","NA"},$W382={"NS","NA"}),0,IF(T441&lt;=$W382,0,1))</f>
        <v>0</v>
      </c>
      <c r="BK441" cm="1">
        <f t="array" ref="BK441">IF(OR(U441={"NS","NA"},$X382={"NS","NA"}),0,IF(U441&lt;=$X382,0,1))</f>
        <v>0</v>
      </c>
      <c r="BL441" cm="1">
        <f t="array" ref="BL441">IF(OR(V441={"NS","NA"},$V382={"NS","NA"}),0,IF(V441&lt;=$V382,0,1))</f>
        <v>0</v>
      </c>
      <c r="BM441" cm="1">
        <f t="array" ref="BM441">IF(OR(W441={"NS","NA"},$W382={"NS","NA"}),0,IF(W441&lt;=$W382,0,1))</f>
        <v>0</v>
      </c>
      <c r="BN441" cm="1">
        <f t="array" ref="BN441">IF(OR(X441={"NS","NA"},$X382={"NS","NA"}),0,IF(X441&lt;=$X382,0,1))</f>
        <v>0</v>
      </c>
      <c r="BO441" cm="1">
        <f t="array" ref="BO441">IF(OR(Y441={"NS","NA"},$V382={"NS","NA"}),0,IF(Y441&lt;=$V382,0,1))</f>
        <v>0</v>
      </c>
      <c r="BP441" cm="1">
        <f t="array" ref="BP441">IF(OR(Z441={"NS","NA"},$W382={"NS","NA"}),0,IF(Z441&lt;=$W382,0,1))</f>
        <v>0</v>
      </c>
      <c r="BQ441" cm="1">
        <f t="array" ref="BQ441">IF(OR(AA441={"NS","NA"},$X382={"NS","NA"}),0,IF(AA441&lt;=$X382,0,1))</f>
        <v>0</v>
      </c>
      <c r="BR441" cm="1">
        <f t="array" ref="BR441">IF(OR(AB441={"NS","NA"},$V382={"NS","NA"}),0,IF(AB441&lt;=$V382,0,1))</f>
        <v>0</v>
      </c>
      <c r="BS441" cm="1">
        <f t="array" ref="BS441">IF(OR(AC441={"NS","NA"},$W382={"NS","NA"}),0,IF(AC441&lt;=$W382,0,1))</f>
        <v>0</v>
      </c>
      <c r="BT441" cm="1">
        <f t="array" ref="BT441">IF(OR(AD441={"NS","NA"},$X382={"NS","NA"}),0,IF(AD441&lt;=$X382,0,1))</f>
        <v>0</v>
      </c>
      <c r="BU441"/>
    </row>
    <row r="442" spans="1:73" ht="14.25" customHeight="1">
      <c r="A442" s="142"/>
      <c r="B442" s="57"/>
      <c r="C442" s="143" t="s">
        <v>2523</v>
      </c>
      <c r="D442" s="872" t="str">
        <f>IF(CNSIPEE_2024_M2_Secc1!D49="","",CNSIPEE_2024_M2_Secc1!D49)</f>
        <v/>
      </c>
      <c r="E442" s="872"/>
      <c r="F442" s="872"/>
      <c r="G442" s="872"/>
      <c r="H442" s="872"/>
      <c r="I442" s="872"/>
      <c r="J442" s="872"/>
      <c r="K442" s="872"/>
      <c r="L442" s="872"/>
      <c r="M442" s="100"/>
      <c r="N442" s="100"/>
      <c r="O442" s="100"/>
      <c r="P442" s="100"/>
      <c r="Q442" s="100"/>
      <c r="R442" s="100"/>
      <c r="S442" s="100"/>
      <c r="T442" s="100"/>
      <c r="U442" s="100"/>
      <c r="V442" s="100"/>
      <c r="W442" s="100"/>
      <c r="X442" s="100"/>
      <c r="Y442" s="100"/>
      <c r="Z442" s="100"/>
      <c r="AA442" s="100"/>
      <c r="AB442" s="100"/>
      <c r="AC442" s="100"/>
      <c r="AD442" s="100"/>
      <c r="AK442">
        <f t="shared" si="335"/>
        <v>0</v>
      </c>
      <c r="AL442">
        <f t="shared" si="336"/>
        <v>0</v>
      </c>
      <c r="AM442">
        <f t="shared" si="352"/>
        <v>0</v>
      </c>
      <c r="AN442">
        <f t="shared" si="337"/>
        <v>0</v>
      </c>
      <c r="AO442">
        <f t="shared" si="338"/>
        <v>0</v>
      </c>
      <c r="AP442">
        <f t="shared" si="339"/>
        <v>0</v>
      </c>
      <c r="AQ442">
        <f t="shared" si="340"/>
        <v>0</v>
      </c>
      <c r="AR442">
        <f t="shared" si="341"/>
        <v>0</v>
      </c>
      <c r="AS442">
        <f t="shared" si="342"/>
        <v>0</v>
      </c>
      <c r="AT442">
        <f t="shared" si="343"/>
        <v>0</v>
      </c>
      <c r="AU442">
        <f t="shared" si="344"/>
        <v>0</v>
      </c>
      <c r="AV442">
        <f t="shared" si="345"/>
        <v>0</v>
      </c>
      <c r="AW442">
        <f t="shared" si="346"/>
        <v>0</v>
      </c>
      <c r="AX442">
        <f t="shared" si="347"/>
        <v>0</v>
      </c>
      <c r="AY442">
        <f t="shared" si="348"/>
        <v>0</v>
      </c>
      <c r="AZ442">
        <f t="shared" si="349"/>
        <v>0</v>
      </c>
      <c r="BA442">
        <f t="shared" si="350"/>
        <v>0</v>
      </c>
      <c r="BB442">
        <f t="shared" si="351"/>
        <v>0</v>
      </c>
      <c r="BC442" cm="1">
        <f t="array" ref="BC442">IF(OR(M442={"NS","NA"},$V383={"NS","NA"}),0,IF(M442&lt;=$V383,0,1))</f>
        <v>0</v>
      </c>
      <c r="BD442" cm="1">
        <f t="array" ref="BD442">IF(OR(N442={"NS","NA"},$W383={"NS","NA"}),0,IF(N442&lt;=$W383,0,1))</f>
        <v>0</v>
      </c>
      <c r="BE442" cm="1">
        <f t="array" ref="BE442">IF(OR(O442={"NS","NA"},$X383={"NS","NA"}),0,IF(O442&lt;=$X383,0,1))</f>
        <v>0</v>
      </c>
      <c r="BF442" cm="1">
        <f t="array" ref="BF442">IF(OR(P442={"NS","NA"},$V383={"NS","NA"}),0,IF(P442&lt;=$V383,0,1))</f>
        <v>0</v>
      </c>
      <c r="BG442" cm="1">
        <f t="array" ref="BG442">IF(OR(Q442={"NS","NA"},$W383={"NS","NA"}),0,IF(Q442&lt;=$W383,0,1))</f>
        <v>0</v>
      </c>
      <c r="BH442" cm="1">
        <f t="array" ref="BH442">IF(OR(R442={"NS","NA"},$X383={"NS","NA"}),0,IF(R442&lt;=$X383,0,1))</f>
        <v>0</v>
      </c>
      <c r="BI442" cm="1">
        <f t="array" ref="BI442">IF(OR(S442={"NS","NA"},$V383={"NS","NA"}),0,IF(S442&lt;=$V383,0,1))</f>
        <v>0</v>
      </c>
      <c r="BJ442" cm="1">
        <f t="array" ref="BJ442">IF(OR(T442={"NS","NA"},$W383={"NS","NA"}),0,IF(T442&lt;=$W383,0,1))</f>
        <v>0</v>
      </c>
      <c r="BK442" cm="1">
        <f t="array" ref="BK442">IF(OR(U442={"NS","NA"},$X383={"NS","NA"}),0,IF(U442&lt;=$X383,0,1))</f>
        <v>0</v>
      </c>
      <c r="BL442" cm="1">
        <f t="array" ref="BL442">IF(OR(V442={"NS","NA"},$V383={"NS","NA"}),0,IF(V442&lt;=$V383,0,1))</f>
        <v>0</v>
      </c>
      <c r="BM442" cm="1">
        <f t="array" ref="BM442">IF(OR(W442={"NS","NA"},$W383={"NS","NA"}),0,IF(W442&lt;=$W383,0,1))</f>
        <v>0</v>
      </c>
      <c r="BN442" cm="1">
        <f t="array" ref="BN442">IF(OR(X442={"NS","NA"},$X383={"NS","NA"}),0,IF(X442&lt;=$X383,0,1))</f>
        <v>0</v>
      </c>
      <c r="BO442" cm="1">
        <f t="array" ref="BO442">IF(OR(Y442={"NS","NA"},$V383={"NS","NA"}),0,IF(Y442&lt;=$V383,0,1))</f>
        <v>0</v>
      </c>
      <c r="BP442" cm="1">
        <f t="array" ref="BP442">IF(OR(Z442={"NS","NA"},$W383={"NS","NA"}),0,IF(Z442&lt;=$W383,0,1))</f>
        <v>0</v>
      </c>
      <c r="BQ442" cm="1">
        <f t="array" ref="BQ442">IF(OR(AA442={"NS","NA"},$X383={"NS","NA"}),0,IF(AA442&lt;=$X383,0,1))</f>
        <v>0</v>
      </c>
      <c r="BR442" cm="1">
        <f t="array" ref="BR442">IF(OR(AB442={"NS","NA"},$V383={"NS","NA"}),0,IF(AB442&lt;=$V383,0,1))</f>
        <v>0</v>
      </c>
      <c r="BS442" cm="1">
        <f t="array" ref="BS442">IF(OR(AC442={"NS","NA"},$W383={"NS","NA"}),0,IF(AC442&lt;=$W383,0,1))</f>
        <v>0</v>
      </c>
      <c r="BT442" cm="1">
        <f t="array" ref="BT442">IF(OR(AD442={"NS","NA"},$X383={"NS","NA"}),0,IF(AD442&lt;=$X383,0,1))</f>
        <v>0</v>
      </c>
      <c r="BU442"/>
    </row>
    <row r="443" spans="1:73" ht="14.25" customHeight="1">
      <c r="A443" s="142"/>
      <c r="B443" s="57"/>
      <c r="C443" s="86"/>
      <c r="D443" s="86"/>
      <c r="E443" s="86"/>
      <c r="F443" s="86"/>
      <c r="G443" s="86"/>
      <c r="H443" s="86"/>
      <c r="I443" s="86"/>
      <c r="J443" s="86"/>
      <c r="K443" s="86"/>
      <c r="L443" s="86"/>
      <c r="M443" s="124">
        <f t="shared" ref="M443:AD443" si="353">IF(AND(SUM(M435:M442)=0,COUNTIF(M435:M442,"NS")&gt;0),"NS",IF(AND(SUM(M435:M442)=0,COUNTIF(M435:M442,0)&gt;0),0,IF(AND(SUM(M435:M442)=0,COUNTIF(M435:M442,"NA")&gt;0),"NA",SUM(M435:M442))))</f>
        <v>0</v>
      </c>
      <c r="N443" s="124">
        <f t="shared" si="353"/>
        <v>0</v>
      </c>
      <c r="O443" s="124">
        <f t="shared" si="353"/>
        <v>0</v>
      </c>
      <c r="P443" s="124">
        <f t="shared" si="353"/>
        <v>0</v>
      </c>
      <c r="Q443" s="124">
        <f t="shared" si="353"/>
        <v>0</v>
      </c>
      <c r="R443" s="124">
        <f t="shared" si="353"/>
        <v>0</v>
      </c>
      <c r="S443" s="124">
        <f t="shared" si="353"/>
        <v>0</v>
      </c>
      <c r="T443" s="124">
        <f t="shared" si="353"/>
        <v>0</v>
      </c>
      <c r="U443" s="124">
        <f t="shared" si="353"/>
        <v>0</v>
      </c>
      <c r="V443" s="124">
        <f t="shared" si="353"/>
        <v>0</v>
      </c>
      <c r="W443" s="124">
        <f t="shared" si="353"/>
        <v>0</v>
      </c>
      <c r="X443" s="124">
        <f t="shared" si="353"/>
        <v>0</v>
      </c>
      <c r="Y443" s="124">
        <f t="shared" si="353"/>
        <v>0</v>
      </c>
      <c r="Z443" s="124">
        <f t="shared" si="353"/>
        <v>0</v>
      </c>
      <c r="AA443" s="124">
        <f t="shared" si="353"/>
        <v>0</v>
      </c>
      <c r="AB443" s="124">
        <f t="shared" si="353"/>
        <v>0</v>
      </c>
      <c r="AC443" s="124">
        <f t="shared" si="353"/>
        <v>0</v>
      </c>
      <c r="AD443" s="124">
        <f t="shared" si="353"/>
        <v>0</v>
      </c>
      <c r="AK443">
        <f>SUM(AK435:AK442)</f>
        <v>0</v>
      </c>
      <c r="AM443">
        <f>SUM(AM435:AM442)</f>
        <v>0</v>
      </c>
      <c r="AN443">
        <f>SUM(AN435:AN442)</f>
        <v>0</v>
      </c>
      <c r="AP443">
        <f>SUM(AP435:AP442)</f>
        <v>0</v>
      </c>
      <c r="AQ443">
        <f>SUM(AQ435:AQ442)</f>
        <v>0</v>
      </c>
      <c r="AS443">
        <f>SUM(AS435:AS442)</f>
        <v>0</v>
      </c>
      <c r="AT443">
        <f>SUM(AT435:AT442)</f>
        <v>0</v>
      </c>
      <c r="AV443">
        <f>SUM(AV435:AV442)</f>
        <v>0</v>
      </c>
      <c r="AW443">
        <f>SUM(AW435:AW442)</f>
        <v>0</v>
      </c>
      <c r="AY443">
        <f>SUM(AY435:AY442)</f>
        <v>0</v>
      </c>
      <c r="AZ443">
        <f>SUM(AZ435:AZ442)</f>
        <v>0</v>
      </c>
      <c r="BB443">
        <f>SUM(BB435:BB442)</f>
        <v>0</v>
      </c>
      <c r="BT443" s="693">
        <f>SUM(BC435:BT442)</f>
        <v>0</v>
      </c>
      <c r="BU443"/>
    </row>
    <row r="444" spans="1:73">
      <c r="A444" s="142"/>
      <c r="B444" s="57"/>
      <c r="C444" s="57"/>
      <c r="D444" s="57"/>
      <c r="E444" s="57"/>
      <c r="F444" s="57"/>
      <c r="G444" s="57"/>
      <c r="H444" s="57"/>
      <c r="I444" s="57"/>
      <c r="J444" s="57"/>
      <c r="K444" s="57"/>
      <c r="L444" s="57"/>
      <c r="M444" s="57"/>
      <c r="N444" s="57"/>
      <c r="O444" s="57"/>
      <c r="P444" s="57"/>
      <c r="Q444" s="57"/>
      <c r="R444" s="57"/>
      <c r="S444" s="57"/>
      <c r="T444" s="57"/>
      <c r="U444" s="57"/>
      <c r="V444" s="57"/>
      <c r="W444" s="57"/>
      <c r="X444" s="57"/>
      <c r="Y444" s="57"/>
      <c r="Z444" s="57"/>
      <c r="AA444" s="57"/>
      <c r="AB444" s="57"/>
      <c r="AC444" s="57"/>
      <c r="AD444" s="57"/>
      <c r="AK444" t="s">
        <v>2650</v>
      </c>
      <c r="AL444" s="405">
        <f>SUM(AM443,AP443,AS443,AV443,AY443,BB443)</f>
        <v>0</v>
      </c>
      <c r="AM444" t="s">
        <v>2651</v>
      </c>
      <c r="AN444">
        <f>SUM(AK443,AN443,AQ443,AT443,AW443,AZ443)</f>
        <v>0</v>
      </c>
      <c r="BT444" s="707">
        <f>SUM(BT443,BN429)</f>
        <v>0</v>
      </c>
      <c r="BU444"/>
    </row>
    <row r="445" spans="1:73" ht="45" customHeight="1">
      <c r="A445" s="142"/>
      <c r="B445" s="57"/>
      <c r="C445" s="822" t="s">
        <v>5947</v>
      </c>
      <c r="D445" s="822"/>
      <c r="E445" s="822"/>
      <c r="F445" s="749"/>
      <c r="G445" s="749"/>
      <c r="H445" s="749"/>
      <c r="I445" s="749"/>
      <c r="J445" s="749"/>
      <c r="K445" s="749"/>
      <c r="L445" s="749"/>
      <c r="M445" s="749"/>
      <c r="N445" s="749"/>
      <c r="O445" s="749"/>
      <c r="P445" s="749"/>
      <c r="Q445" s="749"/>
      <c r="R445" s="749"/>
      <c r="S445" s="749"/>
      <c r="T445" s="749"/>
      <c r="U445" s="749"/>
      <c r="V445" s="749"/>
      <c r="W445" s="749"/>
      <c r="X445" s="749"/>
      <c r="Y445" s="749"/>
      <c r="Z445" s="749"/>
      <c r="AA445" s="749"/>
      <c r="AB445" s="749"/>
      <c r="AC445" s="749"/>
      <c r="AD445" s="749"/>
      <c r="AK445" t="s">
        <v>2652</v>
      </c>
      <c r="AL445">
        <f>IF(AN444&gt;0,IF(SUM(M443)&gt;=SUM(P443,S443,V443,Y443,AB443),0,1),IF(SUM(M443)&lt;&gt;SUM(P443,S443,V443,Y443,AB443),1,0))</f>
        <v>0</v>
      </c>
      <c r="AM445" t="s">
        <v>2653</v>
      </c>
      <c r="AN445">
        <f>IF(AN444&gt;0,IF(SUM(N443)&gt;=SUM(Q443,T443,W443,Z443,AC443),0,1),IF(SUM(N443)&lt;&gt;SUM(Q443,T443,W443,Z443,AC443),1,0))</f>
        <v>0</v>
      </c>
      <c r="AO445" t="s">
        <v>2654</v>
      </c>
      <c r="AP445">
        <f>IF(AN444&gt;0,IF(SUM(O443)&gt;=SUM(R443,U443,X443,AA443,AD443),0,1),IF(SUM(O443)&lt;&gt;SUM(R443,U443,X443,AA443,AD443),1,0))</f>
        <v>0</v>
      </c>
      <c r="BU445"/>
    </row>
    <row r="446" spans="1:73">
      <c r="A446" s="142"/>
      <c r="B446" s="1003" t="str">
        <f>IF(AND(AB443&gt;0,AB443&lt;&gt;"NA",AB443&lt;&gt;"NS",F445=""),"Debido a que registró un número mayor a cero en el apartado Otra causa, debe anotar el nombre de dicha(s) causa(s)","")</f>
        <v/>
      </c>
      <c r="C446" s="1003"/>
      <c r="D446" s="1003"/>
      <c r="E446" s="1003"/>
      <c r="F446" s="1003"/>
      <c r="G446" s="1003"/>
      <c r="H446" s="1003"/>
      <c r="I446" s="1003"/>
      <c r="J446" s="1003"/>
      <c r="K446" s="1003"/>
      <c r="L446" s="1003"/>
      <c r="M446" s="1003"/>
      <c r="N446" s="1003"/>
      <c r="O446" s="1003"/>
      <c r="P446" s="1003"/>
      <c r="Q446" s="1003"/>
      <c r="R446" s="1003"/>
      <c r="S446" s="1003"/>
      <c r="T446" s="1003"/>
      <c r="U446" s="1003"/>
      <c r="V446" s="1003"/>
      <c r="W446" s="1003"/>
      <c r="X446" s="1003"/>
      <c r="Y446" s="1003"/>
      <c r="Z446" s="1003"/>
      <c r="AA446" s="1003"/>
      <c r="AB446" s="1003"/>
      <c r="AC446" s="1003"/>
      <c r="AD446" s="1003"/>
      <c r="AE446" s="1003"/>
      <c r="AK446" t="s">
        <v>5218</v>
      </c>
      <c r="AL446" s="506">
        <f>SUM(AL444,AL430)</f>
        <v>0</v>
      </c>
      <c r="AM446" t="s">
        <v>5219</v>
      </c>
      <c r="AN446">
        <f>SUM(AN444,AN430)</f>
        <v>0</v>
      </c>
      <c r="BU446"/>
    </row>
    <row r="447" spans="1:73" ht="24" customHeight="1">
      <c r="A447" s="50"/>
      <c r="B447" s="38"/>
      <c r="C447" s="754" t="s">
        <v>2611</v>
      </c>
      <c r="D447" s="754"/>
      <c r="E447" s="754"/>
      <c r="F447" s="754"/>
      <c r="G447" s="754"/>
      <c r="H447" s="754"/>
      <c r="I447" s="754"/>
      <c r="J447" s="754"/>
      <c r="K447" s="754"/>
      <c r="L447" s="754"/>
      <c r="M447" s="754"/>
      <c r="N447" s="754"/>
      <c r="O447" s="754"/>
      <c r="P447" s="754"/>
      <c r="Q447" s="754"/>
      <c r="R447" s="754"/>
      <c r="S447" s="754"/>
      <c r="T447" s="754"/>
      <c r="U447" s="754"/>
      <c r="V447" s="754"/>
      <c r="W447" s="754"/>
      <c r="X447" s="754"/>
      <c r="Y447" s="754"/>
      <c r="Z447" s="754"/>
      <c r="AA447" s="754"/>
      <c r="AB447" s="754"/>
      <c r="AC447" s="754"/>
      <c r="AD447" s="754"/>
      <c r="AK447" t="s">
        <v>5220</v>
      </c>
      <c r="AL447">
        <f>IF(AN446&gt;0,IF(SUM(P429)&gt;=SUM(S429,V429,Y429,AB429,M443,P443,S443,V443,Y443,AB443),0,1),IF(SUM(P429)&lt;&gt;SUM(S429,V429,Y429,AB429,M443,P443,S443,V443,Y443,AB443),1,0))</f>
        <v>0</v>
      </c>
      <c r="AM447" t="s">
        <v>5221</v>
      </c>
      <c r="AN447">
        <f>IF(AN446&gt;0,IF(SUM(Q429)&gt;=SUM(T429,W429,Z429,AC429,N443,Q443,T443,W443,Z443,AC443),0,1),IF(SUM(Q429)&lt;&gt;SUM(T429,W429,Z429,AC429,N443,Q443,T443,W443,Z443,AC443),1,0))</f>
        <v>0</v>
      </c>
      <c r="AO447" t="s">
        <v>5222</v>
      </c>
      <c r="AP447">
        <f>IF(AN446&gt;0,IF(SUM(R429)&gt;=SUM(U429,X429,AA429,AD429,O443,R443,U443,X443,AA443,AD443),0,1),IF(SUM(R429)&lt;&gt;SUM(U429,X429,AA429,AD429,O443,R443,U443,X443,AA443,AD443),1,0))</f>
        <v>0</v>
      </c>
      <c r="BU447"/>
    </row>
    <row r="448" spans="1:73" ht="60" customHeight="1">
      <c r="A448" s="50"/>
      <c r="B448" s="38"/>
      <c r="C448" s="851"/>
      <c r="D448" s="851"/>
      <c r="E448" s="851"/>
      <c r="F448" s="851"/>
      <c r="G448" s="851"/>
      <c r="H448" s="851"/>
      <c r="I448" s="851"/>
      <c r="J448" s="851"/>
      <c r="K448" s="851"/>
      <c r="L448" s="851"/>
      <c r="M448" s="851"/>
      <c r="N448" s="851"/>
      <c r="O448" s="851"/>
      <c r="P448" s="851"/>
      <c r="Q448" s="851"/>
      <c r="R448" s="851"/>
      <c r="S448" s="851"/>
      <c r="T448" s="851"/>
      <c r="U448" s="851"/>
      <c r="V448" s="851"/>
      <c r="W448" s="851"/>
      <c r="X448" s="851"/>
      <c r="Y448" s="851"/>
      <c r="Z448" s="851"/>
      <c r="AA448" s="851"/>
      <c r="AB448" s="851"/>
      <c r="AC448" s="851"/>
      <c r="AD448" s="851"/>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row>
    <row r="449" spans="1:67">
      <c r="A449" s="142"/>
      <c r="B449" s="794" t="str">
        <f>IF(AG429=0,"","Favor de ingresar toda la información requerida en la pregunta")</f>
        <v/>
      </c>
      <c r="C449" s="794"/>
      <c r="D449" s="794"/>
      <c r="E449" s="794"/>
      <c r="F449" s="794"/>
      <c r="G449" s="794"/>
      <c r="H449" s="794"/>
      <c r="I449" s="794"/>
      <c r="J449" s="794"/>
      <c r="K449" s="794"/>
      <c r="L449" s="794"/>
      <c r="M449" s="794"/>
      <c r="N449" s="794"/>
      <c r="O449" s="794"/>
      <c r="P449" s="794"/>
      <c r="Q449" s="794"/>
      <c r="R449" s="794"/>
      <c r="S449" s="794"/>
      <c r="T449" s="794"/>
      <c r="U449" s="794"/>
      <c r="V449" s="794"/>
      <c r="W449" s="794"/>
      <c r="X449" s="794"/>
      <c r="Y449" s="794"/>
      <c r="Z449" s="794"/>
      <c r="AA449" s="794"/>
      <c r="AB449" s="794"/>
      <c r="AC449" s="794"/>
      <c r="AD449" s="794"/>
      <c r="AE449" s="794"/>
    </row>
    <row r="450" spans="1:67">
      <c r="A450" s="142"/>
      <c r="B450" s="1087" t="str">
        <f>IF(SUM(COUNTIF(P421:AD428,"NS"),COUNTIF(M435:AD442,"NS"))&lt;&gt;0,"Alerta: debido a que cuenta con registros NS, debe proporcionar una justificación en el area de comentarios al final de la pregunta","")</f>
        <v/>
      </c>
      <c r="C450" s="1087"/>
      <c r="D450" s="1087"/>
      <c r="E450" s="1087"/>
      <c r="F450" s="1087"/>
      <c r="G450" s="1087"/>
      <c r="H450" s="1087"/>
      <c r="I450" s="1087"/>
      <c r="J450" s="1087"/>
      <c r="K450" s="1087"/>
      <c r="L450" s="1087"/>
      <c r="M450" s="1087"/>
      <c r="N450" s="1087"/>
      <c r="O450" s="1087"/>
      <c r="P450" s="1087"/>
      <c r="Q450" s="1087"/>
      <c r="R450" s="1087"/>
      <c r="S450" s="1087"/>
      <c r="T450" s="1087"/>
      <c r="U450" s="1087"/>
      <c r="V450" s="1087"/>
      <c r="W450" s="1087"/>
      <c r="X450" s="1087"/>
      <c r="Y450" s="1087"/>
      <c r="Z450" s="1087"/>
      <c r="AA450" s="1087"/>
      <c r="AB450" s="1087"/>
      <c r="AC450" s="1087"/>
      <c r="AD450" s="1087"/>
      <c r="AE450" s="1087"/>
    </row>
    <row r="451" spans="1:67">
      <c r="A451" s="142"/>
      <c r="B451" s="1003" t="str">
        <f>IF(AH429&gt;0,"Revise la información capturada, ya que tiene datos ingresados en celdas que están sombreadas","")</f>
        <v/>
      </c>
      <c r="C451" s="1003"/>
      <c r="D451" s="1003"/>
      <c r="E451" s="1003"/>
      <c r="F451" s="1003"/>
      <c r="G451" s="1003"/>
      <c r="H451" s="1003"/>
      <c r="I451" s="1003"/>
      <c r="J451" s="1003"/>
      <c r="K451" s="1003"/>
      <c r="L451" s="1003"/>
      <c r="M451" s="1003"/>
      <c r="N451" s="1003"/>
      <c r="O451" s="1003"/>
      <c r="P451" s="1003"/>
      <c r="Q451" s="1003"/>
      <c r="R451" s="1003"/>
      <c r="S451" s="1003"/>
      <c r="T451" s="1003"/>
      <c r="U451" s="1003"/>
      <c r="V451" s="1003"/>
      <c r="W451" s="1003"/>
      <c r="X451" s="1003"/>
      <c r="Y451" s="1003"/>
      <c r="Z451" s="1003"/>
      <c r="AA451" s="1003"/>
      <c r="AB451" s="1003"/>
      <c r="AC451" s="1003"/>
      <c r="AD451" s="1003"/>
      <c r="AE451" s="1003"/>
    </row>
    <row r="452" spans="1:67">
      <c r="A452" s="142"/>
      <c r="B452" s="1003" t="str">
        <f>IF(AL446&gt;0,"Favor de revisar la suma y consistencia de totales y/o subtotales por filas (numéricos y NS)","")</f>
        <v/>
      </c>
      <c r="C452" s="1003"/>
      <c r="D452" s="1003"/>
      <c r="E452" s="1003"/>
      <c r="F452" s="1003"/>
      <c r="G452" s="1003"/>
      <c r="H452" s="1003"/>
      <c r="I452" s="1003"/>
      <c r="J452" s="1003"/>
      <c r="K452" s="1003"/>
      <c r="L452" s="1003"/>
      <c r="M452" s="1003"/>
      <c r="N452" s="1003"/>
      <c r="O452" s="1003"/>
      <c r="P452" s="1003"/>
      <c r="Q452" s="1003"/>
      <c r="R452" s="1003"/>
      <c r="S452" s="1003"/>
      <c r="T452" s="1003"/>
      <c r="U452" s="1003"/>
      <c r="V452" s="1003"/>
      <c r="W452" s="1003"/>
      <c r="X452" s="1003"/>
      <c r="Y452" s="1003"/>
      <c r="Z452" s="1003"/>
      <c r="AA452" s="1003"/>
      <c r="AB452" s="1003"/>
      <c r="AC452" s="1003"/>
      <c r="AD452" s="1003"/>
      <c r="AE452" s="1003"/>
    </row>
    <row r="453" spans="1:67">
      <c r="A453" s="142"/>
      <c r="B453" s="794" t="str">
        <f>IF(BB429&gt;0,"Favor de revisar la instrucción 2, debido a que no se cumplen con los criterios mencionados","")</f>
        <v/>
      </c>
      <c r="C453" s="794"/>
      <c r="D453" s="794"/>
      <c r="E453" s="794"/>
      <c r="F453" s="794"/>
      <c r="G453" s="794"/>
      <c r="H453" s="794"/>
      <c r="I453" s="794"/>
      <c r="J453" s="794"/>
      <c r="K453" s="794"/>
      <c r="L453" s="794"/>
      <c r="M453" s="794"/>
      <c r="N453" s="794"/>
      <c r="O453" s="794"/>
      <c r="P453" s="794"/>
      <c r="Q453" s="794"/>
      <c r="R453" s="794"/>
      <c r="S453" s="794"/>
      <c r="T453" s="794"/>
      <c r="U453" s="794"/>
      <c r="V453" s="794"/>
      <c r="W453" s="794"/>
      <c r="X453" s="794"/>
      <c r="Y453" s="794"/>
      <c r="Z453" s="794"/>
      <c r="AA453" s="794"/>
      <c r="AB453" s="794"/>
      <c r="AC453" s="794"/>
      <c r="AD453" s="794"/>
      <c r="AE453" s="794"/>
    </row>
    <row r="454" spans="1:67">
      <c r="A454" s="142"/>
      <c r="B454" s="795" t="str">
        <f>IF(BT444&gt;0,"Alerta: debe de proporcionar una justificación de acuerdo a lo establecido en la instrucción 3","")</f>
        <v/>
      </c>
      <c r="C454" s="795"/>
      <c r="D454" s="795"/>
      <c r="E454" s="795"/>
      <c r="F454" s="795"/>
      <c r="G454" s="795"/>
      <c r="H454" s="795"/>
      <c r="I454" s="795"/>
      <c r="J454" s="795"/>
      <c r="K454" s="795"/>
      <c r="L454" s="795"/>
      <c r="M454" s="795"/>
      <c r="N454" s="795"/>
      <c r="O454" s="795"/>
      <c r="P454" s="795"/>
      <c r="Q454" s="795"/>
      <c r="R454" s="795"/>
      <c r="S454" s="795"/>
      <c r="T454" s="795"/>
      <c r="U454" s="795"/>
      <c r="V454" s="795"/>
      <c r="W454" s="795"/>
      <c r="X454" s="795"/>
      <c r="Y454" s="795"/>
      <c r="Z454" s="795"/>
      <c r="AA454" s="795"/>
      <c r="AB454" s="795"/>
      <c r="AC454" s="795"/>
      <c r="AD454" s="795"/>
      <c r="AE454" s="795"/>
    </row>
    <row r="455" spans="1:67" ht="36" customHeight="1">
      <c r="A455" s="49" t="s">
        <v>5948</v>
      </c>
      <c r="B455" s="829" t="s">
        <v>5949</v>
      </c>
      <c r="C455" s="829"/>
      <c r="D455" s="829"/>
      <c r="E455" s="829"/>
      <c r="F455" s="829"/>
      <c r="G455" s="829"/>
      <c r="H455" s="829"/>
      <c r="I455" s="829"/>
      <c r="J455" s="829"/>
      <c r="K455" s="829"/>
      <c r="L455" s="829"/>
      <c r="M455" s="829"/>
      <c r="N455" s="829"/>
      <c r="O455" s="829"/>
      <c r="P455" s="829"/>
      <c r="Q455" s="829"/>
      <c r="R455" s="829"/>
      <c r="S455" s="829"/>
      <c r="T455" s="829"/>
      <c r="U455" s="829"/>
      <c r="V455" s="829"/>
      <c r="W455" s="829"/>
      <c r="X455" s="829"/>
      <c r="Y455" s="829"/>
      <c r="Z455" s="829"/>
      <c r="AA455" s="829"/>
      <c r="AB455" s="829"/>
      <c r="AC455" s="829"/>
      <c r="AD455" s="829"/>
    </row>
    <row r="456" spans="1:67" ht="36" customHeight="1">
      <c r="A456" s="50"/>
      <c r="B456" s="38"/>
      <c r="C456" s="830" t="s">
        <v>5950</v>
      </c>
      <c r="D456" s="830"/>
      <c r="E456" s="830"/>
      <c r="F456" s="830"/>
      <c r="G456" s="830"/>
      <c r="H456" s="830"/>
      <c r="I456" s="830"/>
      <c r="J456" s="830"/>
      <c r="K456" s="830"/>
      <c r="L456" s="830"/>
      <c r="M456" s="830"/>
      <c r="N456" s="830"/>
      <c r="O456" s="830"/>
      <c r="P456" s="830"/>
      <c r="Q456" s="830"/>
      <c r="R456" s="830"/>
      <c r="S456" s="830"/>
      <c r="T456" s="830"/>
      <c r="U456" s="830"/>
      <c r="V456" s="830"/>
      <c r="W456" s="830"/>
      <c r="X456" s="830"/>
      <c r="Y456" s="830"/>
      <c r="Z456" s="830"/>
      <c r="AA456" s="830"/>
      <c r="AB456" s="830"/>
      <c r="AC456" s="830"/>
      <c r="AD456" s="830"/>
    </row>
    <row r="457" spans="1:67" ht="48" customHeight="1">
      <c r="A457" s="50"/>
      <c r="B457" s="38"/>
      <c r="C457" s="754" t="s">
        <v>5951</v>
      </c>
      <c r="D457" s="754"/>
      <c r="E457" s="754"/>
      <c r="F457" s="754"/>
      <c r="G457" s="754"/>
      <c r="H457" s="754"/>
      <c r="I457" s="754"/>
      <c r="J457" s="754"/>
      <c r="K457" s="754"/>
      <c r="L457" s="754"/>
      <c r="M457" s="754"/>
      <c r="N457" s="754"/>
      <c r="O457" s="754"/>
      <c r="P457" s="754"/>
      <c r="Q457" s="754"/>
      <c r="R457" s="754"/>
      <c r="S457" s="754"/>
      <c r="T457" s="754"/>
      <c r="U457" s="754"/>
      <c r="V457" s="754"/>
      <c r="W457" s="754"/>
      <c r="X457" s="754"/>
      <c r="Y457" s="754"/>
      <c r="Z457" s="754"/>
      <c r="AA457" s="754"/>
      <c r="AB457" s="754"/>
      <c r="AC457" s="754"/>
      <c r="AD457" s="754"/>
    </row>
    <row r="458" spans="1:67" ht="48" customHeight="1">
      <c r="A458" s="50"/>
      <c r="B458" s="38"/>
      <c r="C458" s="754" t="s">
        <v>5952</v>
      </c>
      <c r="D458" s="754"/>
      <c r="E458" s="754"/>
      <c r="F458" s="754"/>
      <c r="G458" s="754"/>
      <c r="H458" s="754"/>
      <c r="I458" s="754"/>
      <c r="J458" s="754"/>
      <c r="K458" s="754"/>
      <c r="L458" s="754"/>
      <c r="M458" s="754"/>
      <c r="N458" s="754"/>
      <c r="O458" s="754"/>
      <c r="P458" s="754"/>
      <c r="Q458" s="754"/>
      <c r="R458" s="754"/>
      <c r="S458" s="754"/>
      <c r="T458" s="754"/>
      <c r="U458" s="754"/>
      <c r="V458" s="754"/>
      <c r="W458" s="754"/>
      <c r="X458" s="754"/>
      <c r="Y458" s="754"/>
      <c r="Z458" s="754"/>
      <c r="AA458" s="754"/>
      <c r="AB458" s="754"/>
      <c r="AC458" s="754"/>
      <c r="AD458" s="754"/>
    </row>
    <row r="459" spans="1:67" ht="24" customHeight="1">
      <c r="A459" s="50"/>
      <c r="B459" s="38"/>
      <c r="C459" s="754" t="s">
        <v>5953</v>
      </c>
      <c r="D459" s="754"/>
      <c r="E459" s="754"/>
      <c r="F459" s="754"/>
      <c r="G459" s="754"/>
      <c r="H459" s="754"/>
      <c r="I459" s="754"/>
      <c r="J459" s="754"/>
      <c r="K459" s="754"/>
      <c r="L459" s="754"/>
      <c r="M459" s="754"/>
      <c r="N459" s="754"/>
      <c r="O459" s="754"/>
      <c r="P459" s="754"/>
      <c r="Q459" s="754"/>
      <c r="R459" s="754"/>
      <c r="S459" s="754"/>
      <c r="T459" s="754"/>
      <c r="U459" s="754"/>
      <c r="V459" s="754"/>
      <c r="W459" s="754"/>
      <c r="X459" s="754"/>
      <c r="Y459" s="754"/>
      <c r="Z459" s="754"/>
      <c r="AA459" s="754"/>
      <c r="AB459" s="754"/>
      <c r="AC459" s="754"/>
      <c r="AD459" s="754"/>
    </row>
    <row r="460" spans="1:67">
      <c r="A460" s="142"/>
      <c r="B460" s="57"/>
      <c r="C460" s="57"/>
      <c r="D460" s="57"/>
      <c r="E460" s="57"/>
      <c r="F460" s="57"/>
      <c r="G460" s="57"/>
      <c r="H460" s="57"/>
      <c r="I460" s="57"/>
      <c r="J460" s="57"/>
      <c r="K460" s="57"/>
      <c r="L460" s="57"/>
      <c r="M460" s="57"/>
      <c r="N460" s="57"/>
      <c r="O460" s="57"/>
      <c r="P460" s="57"/>
      <c r="Q460" s="57"/>
      <c r="R460" s="57"/>
      <c r="S460" s="57"/>
      <c r="T460" s="57"/>
      <c r="U460" s="57"/>
      <c r="V460" s="57"/>
      <c r="W460" s="57"/>
      <c r="X460" s="57"/>
      <c r="Y460" s="57"/>
      <c r="Z460" s="57"/>
      <c r="AA460" s="57"/>
      <c r="AB460" s="57"/>
      <c r="AC460" s="57"/>
      <c r="AD460" s="57"/>
    </row>
    <row r="461" spans="1:67">
      <c r="A461" s="215"/>
      <c r="B461" s="90"/>
      <c r="C461" s="90"/>
      <c r="D461" s="90"/>
      <c r="E461" s="90"/>
      <c r="F461" s="90"/>
      <c r="G461" s="90"/>
      <c r="H461" s="90"/>
      <c r="I461" s="90"/>
      <c r="J461" s="90"/>
      <c r="K461" s="90"/>
      <c r="L461" s="90"/>
      <c r="M461" s="90"/>
      <c r="N461" s="90"/>
      <c r="O461" s="90"/>
      <c r="P461" s="90"/>
      <c r="Q461" s="90"/>
      <c r="R461" s="90"/>
      <c r="S461" s="90"/>
      <c r="T461" s="90"/>
      <c r="U461" s="90"/>
      <c r="V461" s="90"/>
      <c r="W461" s="90"/>
      <c r="X461" s="90"/>
      <c r="Y461" s="90"/>
      <c r="Z461" s="90"/>
      <c r="AA461" s="873" t="s">
        <v>2664</v>
      </c>
      <c r="AB461" s="873"/>
      <c r="AC461" s="873"/>
      <c r="AD461" s="873"/>
    </row>
    <row r="462" spans="1:67" ht="36" customHeight="1">
      <c r="A462" s="50"/>
      <c r="B462" s="38"/>
      <c r="C462" s="732" t="s">
        <v>2581</v>
      </c>
      <c r="D462" s="732"/>
      <c r="E462" s="732"/>
      <c r="F462" s="732"/>
      <c r="G462" s="732"/>
      <c r="H462" s="732"/>
      <c r="I462" s="732"/>
      <c r="J462" s="732"/>
      <c r="K462" s="732"/>
      <c r="L462" s="732"/>
      <c r="M462" s="732"/>
      <c r="N462" s="732"/>
      <c r="O462" s="732"/>
      <c r="P462" s="739" t="s">
        <v>5954</v>
      </c>
      <c r="Q462" s="740"/>
      <c r="R462" s="740"/>
      <c r="S462" s="740"/>
      <c r="T462" s="740"/>
      <c r="U462" s="740"/>
      <c r="V462" s="740"/>
      <c r="W462" s="740"/>
      <c r="X462" s="740"/>
      <c r="Y462" s="740"/>
      <c r="Z462" s="740"/>
      <c r="AA462" s="740"/>
      <c r="AB462" s="740"/>
      <c r="AC462" s="740"/>
      <c r="AD462" s="741"/>
    </row>
    <row r="463" spans="1:67" ht="120" customHeight="1">
      <c r="A463" s="212"/>
      <c r="B463" s="213"/>
      <c r="C463" s="732"/>
      <c r="D463" s="732"/>
      <c r="E463" s="732"/>
      <c r="F463" s="732"/>
      <c r="G463" s="732"/>
      <c r="H463" s="732"/>
      <c r="I463" s="732"/>
      <c r="J463" s="732"/>
      <c r="K463" s="732"/>
      <c r="L463" s="732"/>
      <c r="M463" s="732"/>
      <c r="N463" s="732"/>
      <c r="O463" s="732"/>
      <c r="P463" s="958" t="s">
        <v>2628</v>
      </c>
      <c r="Q463" s="959" t="s">
        <v>2629</v>
      </c>
      <c r="R463" s="959" t="s">
        <v>2630</v>
      </c>
      <c r="S463" s="857" t="s">
        <v>5342</v>
      </c>
      <c r="T463" s="857"/>
      <c r="U463" s="857"/>
      <c r="V463" s="857" t="s">
        <v>5343</v>
      </c>
      <c r="W463" s="857"/>
      <c r="X463" s="857"/>
      <c r="Y463" s="857" t="s">
        <v>5344</v>
      </c>
      <c r="Z463" s="857"/>
      <c r="AA463" s="857"/>
      <c r="AB463" s="857" t="s">
        <v>5345</v>
      </c>
      <c r="AC463" s="857"/>
      <c r="AD463" s="857"/>
    </row>
    <row r="464" spans="1:67" ht="48" customHeight="1">
      <c r="A464" s="142"/>
      <c r="B464" s="57"/>
      <c r="C464" s="732"/>
      <c r="D464" s="732"/>
      <c r="E464" s="732"/>
      <c r="F464" s="732"/>
      <c r="G464" s="732"/>
      <c r="H464" s="732"/>
      <c r="I464" s="732"/>
      <c r="J464" s="732"/>
      <c r="K464" s="732"/>
      <c r="L464" s="732"/>
      <c r="M464" s="732"/>
      <c r="N464" s="732"/>
      <c r="O464" s="732"/>
      <c r="P464" s="888"/>
      <c r="Q464" s="890"/>
      <c r="R464" s="890"/>
      <c r="S464" s="127" t="s">
        <v>2635</v>
      </c>
      <c r="T464" s="128" t="s">
        <v>2629</v>
      </c>
      <c r="U464" s="128" t="s">
        <v>2630</v>
      </c>
      <c r="V464" s="127" t="s">
        <v>2635</v>
      </c>
      <c r="W464" s="128" t="s">
        <v>2629</v>
      </c>
      <c r="X464" s="128" t="s">
        <v>2630</v>
      </c>
      <c r="Y464" s="127" t="s">
        <v>2635</v>
      </c>
      <c r="Z464" s="128" t="s">
        <v>2629</v>
      </c>
      <c r="AA464" s="128" t="s">
        <v>2630</v>
      </c>
      <c r="AB464" s="127" t="s">
        <v>2635</v>
      </c>
      <c r="AC464" s="128" t="s">
        <v>2629</v>
      </c>
      <c r="AD464" s="128" t="s">
        <v>2630</v>
      </c>
      <c r="AG464" t="s">
        <v>2586</v>
      </c>
      <c r="AH464" t="s">
        <v>4581</v>
      </c>
      <c r="AI464"/>
      <c r="AJ464"/>
      <c r="AK464" t="s">
        <v>4573</v>
      </c>
      <c r="AL464" t="s">
        <v>2638</v>
      </c>
      <c r="AM464" t="s">
        <v>2639</v>
      </c>
      <c r="AN464" t="s">
        <v>4574</v>
      </c>
      <c r="AO464" t="s">
        <v>2641</v>
      </c>
      <c r="AP464" t="s">
        <v>2642</v>
      </c>
      <c r="AQ464" t="s">
        <v>4575</v>
      </c>
      <c r="AR464" t="s">
        <v>2644</v>
      </c>
      <c r="AS464" t="s">
        <v>2645</v>
      </c>
      <c r="AT464" t="s">
        <v>4576</v>
      </c>
      <c r="AU464" t="s">
        <v>2647</v>
      </c>
      <c r="AV464" t="s">
        <v>2648</v>
      </c>
      <c r="AW464" t="s">
        <v>5177</v>
      </c>
      <c r="AX464" t="s">
        <v>2757</v>
      </c>
      <c r="AY464" t="s">
        <v>2758</v>
      </c>
      <c r="AZ464" t="s">
        <v>5291</v>
      </c>
      <c r="BA464"/>
      <c r="BB464"/>
      <c r="BC464" t="s">
        <v>5290</v>
      </c>
      <c r="BD464"/>
      <c r="BE464"/>
      <c r="BF464"/>
      <c r="BG464"/>
      <c r="BH464"/>
      <c r="BI464"/>
      <c r="BJ464"/>
      <c r="BK464"/>
      <c r="BL464"/>
      <c r="BM464"/>
      <c r="BN464"/>
      <c r="BO464"/>
    </row>
    <row r="465" spans="1:67">
      <c r="A465" s="142"/>
      <c r="B465" s="57"/>
      <c r="C465" s="44" t="s">
        <v>2516</v>
      </c>
      <c r="D465" s="869" t="str">
        <f>IF(CNSIPEE_2024_M2_Secc1!D42="","",CNSIPEE_2024_M2_Secc1!D42)</f>
        <v/>
      </c>
      <c r="E465" s="870"/>
      <c r="F465" s="870"/>
      <c r="G465" s="870"/>
      <c r="H465" s="870"/>
      <c r="I465" s="870"/>
      <c r="J465" s="870"/>
      <c r="K465" s="870"/>
      <c r="L465" s="870"/>
      <c r="M465" s="870"/>
      <c r="N465" s="870"/>
      <c r="O465" s="871"/>
      <c r="P465" s="100"/>
      <c r="Q465" s="100"/>
      <c r="R465" s="100"/>
      <c r="S465" s="100"/>
      <c r="T465" s="100"/>
      <c r="U465" s="100"/>
      <c r="V465" s="100"/>
      <c r="W465" s="100"/>
      <c r="X465" s="100"/>
      <c r="Y465" s="100"/>
      <c r="Z465" s="100"/>
      <c r="AA465" s="100"/>
      <c r="AB465" s="100"/>
      <c r="AC465" s="100"/>
      <c r="AD465" s="100"/>
      <c r="AG465">
        <f>IF(OR($G391=0,$G391="NS",$G391="NA"),0,IF(OR(SUM(COUNTBLANK(D465:AD465),COUNTBLANK(P479:AD479))=11,SUM(COUNTBLANK(D465:AD465),COUNTBLANK(P479:AD479))=42),0,1))</f>
        <v>0</v>
      </c>
      <c r="AH465">
        <f t="shared" ref="AH465:AH472" si="354">IF(OR($G391=0,$G391="NS",$G391="NA"),IF(SUM(COUNTBLANK(P465:AD465),COUNTBLANK(P479:AD479))=30,0,1),0)</f>
        <v>0</v>
      </c>
      <c r="AI465"/>
      <c r="AJ465"/>
      <c r="AK465">
        <f t="shared" ref="AK465:AK472" si="355">COUNTIF(Q465:R465,"NS")</f>
        <v>0</v>
      </c>
      <c r="AL465">
        <f t="shared" ref="AL465:AL472" si="356">SUM(Q465:R465)</f>
        <v>0</v>
      </c>
      <c r="AM465">
        <f>IF(COUNTIF(P465:R465,"NA")=3,0,IF(COUNTA(P465:R465)=0,0,IF(OR(AND(P465=0,AK465&gt;0),AND(P465="ns",AL465&gt;0),AND(P465="ns",AK465=0,AL465=0)),1,IF(OR(AND(P465&gt;0,AK465=2),AND(P465="ns",AK465=2),AND(P465="ns",AL465=0,AK465&gt;0),P465=AL465),0,1))))</f>
        <v>0</v>
      </c>
      <c r="AN465">
        <f t="shared" ref="AN465:AN472" si="357">COUNTIF(T465:U465,"NS")</f>
        <v>0</v>
      </c>
      <c r="AO465">
        <f t="shared" ref="AO465:AO472" si="358">SUM(T465:U465)</f>
        <v>0</v>
      </c>
      <c r="AP465">
        <f t="shared" ref="AP465:AP472" si="359">IF(COUNTIF(S465:U465,"NA")=3,0,IF(COUNTA(S465:U465)=0,0,IF(OR(AND(S465=0,AN465&gt;0),AND(S465="ns",AO465&gt;0),AND(S465="ns",AN465=0,AO465=0)),1,IF(OR(AND(S465&gt;0,AN465=2),AND(S465="ns",AN465=2),AND(S465="ns",AO465=0,AN465&gt;0),S465=AO465),0,1))))</f>
        <v>0</v>
      </c>
      <c r="AQ465">
        <f t="shared" ref="AQ465:AQ472" si="360">COUNTIF(W465:X465,"NS")</f>
        <v>0</v>
      </c>
      <c r="AR465">
        <f t="shared" ref="AR465:AR472" si="361">SUM(W465:X465)</f>
        <v>0</v>
      </c>
      <c r="AS465">
        <f t="shared" ref="AS465:AS472" si="362">IF(COUNTIF(V465:X465,"NA")=3,0,IF(COUNTA(V465:X465)=0,0,IF(OR(AND(V465=0,AQ465&gt;0),AND(V465="ns",AR465&gt;0),AND(V465="ns",AQ465=0,AR465=0)),1,IF(OR(AND(V465&gt;0,AQ465=2),AND(V465="ns",AQ465=2),AND(V465="ns",AR465=0,AQ465&gt;0),V465=AR465),0,1))))</f>
        <v>0</v>
      </c>
      <c r="AT465">
        <f t="shared" ref="AT465:AT472" si="363">COUNTIF(Z465:AA465,"NS")</f>
        <v>0</v>
      </c>
      <c r="AU465">
        <f t="shared" ref="AU465:AU472" si="364">SUM(Z465:AA465)</f>
        <v>0</v>
      </c>
      <c r="AV465">
        <f t="shared" ref="AV465:AV472" si="365">IF(COUNTIF(Y465:AA465,"NA")=3,0,IF(COUNTA(Y465:AA465)=0,0,IF(OR(AND(Y465=0,AT465&gt;0),AND(Y465="ns",AU465&gt;0),AND(Y465="ns",AT465=0,AU465=0)),1,IF(OR(AND(Y465&gt;0,AT465=2),AND(Y465="ns",AT465=2),AND(Y465="ns",AU465=0,AT465&gt;0),Y465=AU465),0,1))))</f>
        <v>0</v>
      </c>
      <c r="AW465">
        <f t="shared" ref="AW465:AW472" si="366">COUNTIF(AC465:AD465,"NS")</f>
        <v>0</v>
      </c>
      <c r="AX465">
        <f t="shared" ref="AX465:AX472" si="367">SUM(AC465:AD465)</f>
        <v>0</v>
      </c>
      <c r="AY465">
        <f t="shared" ref="AY465:AY472" si="368">IF(COUNTIF(AB465:AD465,"NA")=3,0,IF(COUNTA(AB465:AD465)=0,0,IF(OR(AND(AB465=0,AW465&gt;0),AND(AB465="ns",AX465&gt;0),AND(AB465="ns",AW465=0,AX465=0)),1,IF(OR(AND(AB465&gt;0,AW465=2),AND(AB465="ns",AW465=2),AND(AB465="ns",AX465=0,AW465&gt;0),AB465=AX465),0,1))))</f>
        <v>0</v>
      </c>
      <c r="AZ465" cm="1">
        <f t="array" ref="AZ465">IF(OR(P465={"NS","NA"},G391={"NS","NA"}),0,IF(P465&gt;=G391,0,1))</f>
        <v>0</v>
      </c>
      <c r="BA465" cm="1">
        <f t="array" ref="BA465">IF(OR(Q465={"NS","NA"},H391={"NS","NA"}),0,IF(Q465&gt;=H391,0,1))</f>
        <v>0</v>
      </c>
      <c r="BB465" cm="1">
        <f t="array" ref="BB465">IF(OR(R465={"NS","NA"},I391={"NS","NA"}),0,IF(R465&gt;=I391,0,1))</f>
        <v>0</v>
      </c>
      <c r="BC465" cm="1">
        <f t="array" ref="BC465">IF(OR(S465={"NS","NA"},$G391={"NS","NA"}),0,IF(S465&lt;=$G391,0,1))</f>
        <v>0</v>
      </c>
      <c r="BD465" cm="1">
        <f t="array" ref="BD465">IF(OR(T465={"NS","NA"},$H391={"NS","NA"}),0,IF(T465&lt;=$H391,0,1))</f>
        <v>0</v>
      </c>
      <c r="BE465" cm="1">
        <f t="array" ref="BE465">IF(OR(U465={"NS","NA"},$I391={"NS","NA"}),0,IF(U465&lt;=$I391,0,1))</f>
        <v>0</v>
      </c>
      <c r="BF465" cm="1">
        <f t="array" ref="BF465">IF(OR(V465={"NS","NA"},$G391={"NS","NA"}),0,IF(V465&lt;=$G391,0,1))</f>
        <v>0</v>
      </c>
      <c r="BG465" cm="1">
        <f t="array" ref="BG465">IF(OR(W465={"NS","NA"},$H391={"NS","NA"}),0,IF(W465&lt;=$H391,0,1))</f>
        <v>0</v>
      </c>
      <c r="BH465" cm="1">
        <f t="array" ref="BH465">IF(OR(X465={"NS","NA"},$I391={"NS","NA"}),0,IF(X465&lt;=$I391,0,1))</f>
        <v>0</v>
      </c>
      <c r="BI465" cm="1">
        <f t="array" ref="BI465">IF(OR(Y465={"NS","NA"},$G391={"NS","NA"}),0,IF(Y465&lt;=$G391,0,1))</f>
        <v>0</v>
      </c>
      <c r="BJ465" cm="1">
        <f t="array" ref="BJ465">IF(OR(Z465={"NS","NA"},$H391={"NS","NA"}),0,IF(Z465&lt;=$H391,0,1))</f>
        <v>0</v>
      </c>
      <c r="BK465" cm="1">
        <f t="array" ref="BK465">IF(OR(AA465={"NS","NA"},$I391={"NS","NA"}),0,IF(AA465&lt;=$I391,0,1))</f>
        <v>0</v>
      </c>
      <c r="BL465" cm="1">
        <f t="array" ref="BL465">IF(OR(AB465={"NS","NA"},$G391={"NS","NA"}),0,IF(AB465&lt;=$G391,0,1))</f>
        <v>0</v>
      </c>
      <c r="BM465" cm="1">
        <f t="array" ref="BM465">IF(OR(AC465={"NS","NA"},$H391={"NS","NA"}),0,IF(AC465&lt;=$H391,0,1))</f>
        <v>0</v>
      </c>
      <c r="BN465" cm="1">
        <f t="array" ref="BN465">IF(OR(AD465={"NS","NA"},$I391={"NS","NA"}),0,IF(AD465&lt;=$I391,0,1))</f>
        <v>0</v>
      </c>
      <c r="BO465"/>
    </row>
    <row r="466" spans="1:67">
      <c r="A466" s="142"/>
      <c r="B466" s="57"/>
      <c r="C466" s="199" t="s">
        <v>2517</v>
      </c>
      <c r="D466" s="869" t="str">
        <f>IF(CNSIPEE_2024_M2_Secc1!D43="","",CNSIPEE_2024_M2_Secc1!D43)</f>
        <v/>
      </c>
      <c r="E466" s="870"/>
      <c r="F466" s="870"/>
      <c r="G466" s="870"/>
      <c r="H466" s="870"/>
      <c r="I466" s="870"/>
      <c r="J466" s="870"/>
      <c r="K466" s="870"/>
      <c r="L466" s="870"/>
      <c r="M466" s="870"/>
      <c r="N466" s="870"/>
      <c r="O466" s="871"/>
      <c r="P466" s="100"/>
      <c r="Q466" s="100"/>
      <c r="R466" s="100"/>
      <c r="S466" s="100"/>
      <c r="T466" s="100"/>
      <c r="U466" s="100"/>
      <c r="V466" s="100"/>
      <c r="W466" s="100"/>
      <c r="X466" s="100"/>
      <c r="Y466" s="100"/>
      <c r="Z466" s="100"/>
      <c r="AA466" s="100"/>
      <c r="AB466" s="100"/>
      <c r="AC466" s="100"/>
      <c r="AD466" s="100"/>
      <c r="AG466">
        <f t="shared" ref="AG466:AG471" si="369">IF(OR($G392=0,$G392="NS",$G392="NA"),0,IF(OR(SUM(COUNTBLANK(D466:AD466),COUNTBLANK(P480:AD480))=11,SUM(COUNTBLANK(D466:AD466),COUNTBLANK(P480:AD480))=42),0,1))</f>
        <v>0</v>
      </c>
      <c r="AH466">
        <f t="shared" si="354"/>
        <v>0</v>
      </c>
      <c r="AI466"/>
      <c r="AJ466"/>
      <c r="AK466">
        <f t="shared" si="355"/>
        <v>0</v>
      </c>
      <c r="AL466">
        <f t="shared" si="356"/>
        <v>0</v>
      </c>
      <c r="AM466">
        <f t="shared" ref="AM466:AM472" si="370">IF(COUNTIF(P466:R466,"NA")=3,0,IF(COUNTA(P466:R466)=0,0,IF(OR(AND(P466=0,AK466&gt;0),AND(P466="ns",AL466&gt;0),AND(P466="ns",AK466=0,AL466=0)),1,IF(OR(AND(P466&gt;0,AK466=2),AND(P466="ns",AK466=2),AND(P466="ns",AL466=0,AK466&gt;0),P466=AL466),0,1))))</f>
        <v>0</v>
      </c>
      <c r="AN466">
        <f t="shared" si="357"/>
        <v>0</v>
      </c>
      <c r="AO466">
        <f t="shared" si="358"/>
        <v>0</v>
      </c>
      <c r="AP466">
        <f t="shared" si="359"/>
        <v>0</v>
      </c>
      <c r="AQ466">
        <f t="shared" si="360"/>
        <v>0</v>
      </c>
      <c r="AR466">
        <f t="shared" si="361"/>
        <v>0</v>
      </c>
      <c r="AS466">
        <f t="shared" si="362"/>
        <v>0</v>
      </c>
      <c r="AT466">
        <f t="shared" si="363"/>
        <v>0</v>
      </c>
      <c r="AU466">
        <f t="shared" si="364"/>
        <v>0</v>
      </c>
      <c r="AV466">
        <f t="shared" si="365"/>
        <v>0</v>
      </c>
      <c r="AW466">
        <f t="shared" si="366"/>
        <v>0</v>
      </c>
      <c r="AX466">
        <f t="shared" si="367"/>
        <v>0</v>
      </c>
      <c r="AY466">
        <f t="shared" si="368"/>
        <v>0</v>
      </c>
      <c r="AZ466" cm="1">
        <f t="array" ref="AZ466">IF(OR(P466={"NS","NA"},G392={"NS","NA"}),0,IF(P466&gt;=G392,0,1))</f>
        <v>0</v>
      </c>
      <c r="BA466" cm="1">
        <f t="array" ref="BA466">IF(OR(Q466={"NS","NA"},H392={"NS","NA"}),0,IF(Q466&gt;=H392,0,1))</f>
        <v>0</v>
      </c>
      <c r="BB466" cm="1">
        <f t="array" ref="BB466">IF(OR(R466={"NS","NA"},I392={"NS","NA"}),0,IF(R466&gt;=I392,0,1))</f>
        <v>0</v>
      </c>
      <c r="BC466" cm="1">
        <f t="array" ref="BC466">IF(OR(S466={"NS","NA"},$G392={"NS","NA"}),0,IF(S466&lt;=$G392,0,1))</f>
        <v>0</v>
      </c>
      <c r="BD466" cm="1">
        <f t="array" ref="BD466">IF(OR(T466={"NS","NA"},$H392={"NS","NA"}),0,IF(T466&lt;=$H392,0,1))</f>
        <v>0</v>
      </c>
      <c r="BE466" cm="1">
        <f t="array" ref="BE466">IF(OR(U466={"NS","NA"},$I392={"NS","NA"}),0,IF(U466&lt;=$I392,0,1))</f>
        <v>0</v>
      </c>
      <c r="BF466" cm="1">
        <f t="array" ref="BF466">IF(OR(V466={"NS","NA"},$G392={"NS","NA"}),0,IF(V466&lt;=$G392,0,1))</f>
        <v>0</v>
      </c>
      <c r="BG466" cm="1">
        <f t="array" ref="BG466">IF(OR(W466={"NS","NA"},$H392={"NS","NA"}),0,IF(W466&lt;=$H392,0,1))</f>
        <v>0</v>
      </c>
      <c r="BH466" cm="1">
        <f t="array" ref="BH466">IF(OR(X466={"NS","NA"},$I392={"NS","NA"}),0,IF(X466&lt;=$I392,0,1))</f>
        <v>0</v>
      </c>
      <c r="BI466" cm="1">
        <f t="array" ref="BI466">IF(OR(Y466={"NS","NA"},$G392={"NS","NA"}),0,IF(Y466&lt;=$G392,0,1))</f>
        <v>0</v>
      </c>
      <c r="BJ466" cm="1">
        <f t="array" ref="BJ466">IF(OR(Z466={"NS","NA"},$H392={"NS","NA"}),0,IF(Z466&lt;=$H392,0,1))</f>
        <v>0</v>
      </c>
      <c r="BK466" cm="1">
        <f t="array" ref="BK466">IF(OR(AA466={"NS","NA"},$I392={"NS","NA"}),0,IF(AA466&lt;=$I392,0,1))</f>
        <v>0</v>
      </c>
      <c r="BL466" cm="1">
        <f t="array" ref="BL466">IF(OR(AB466={"NS","NA"},$G392={"NS","NA"}),0,IF(AB466&lt;=$G392,0,1))</f>
        <v>0</v>
      </c>
      <c r="BM466" cm="1">
        <f t="array" ref="BM466">IF(OR(AC466={"NS","NA"},$H392={"NS","NA"}),0,IF(AC466&lt;=$H392,0,1))</f>
        <v>0</v>
      </c>
      <c r="BN466" cm="1">
        <f t="array" ref="BN466">IF(OR(AD466={"NS","NA"},$I392={"NS","NA"}),0,IF(AD466&lt;=$I392,0,1))</f>
        <v>0</v>
      </c>
      <c r="BO466"/>
    </row>
    <row r="467" spans="1:67">
      <c r="A467" s="142"/>
      <c r="B467" s="57"/>
      <c r="C467" s="143" t="s">
        <v>2518</v>
      </c>
      <c r="D467" s="869" t="str">
        <f>IF(CNSIPEE_2024_M2_Secc1!D44="","",CNSIPEE_2024_M2_Secc1!D44)</f>
        <v/>
      </c>
      <c r="E467" s="870"/>
      <c r="F467" s="870"/>
      <c r="G467" s="870"/>
      <c r="H467" s="870"/>
      <c r="I467" s="870"/>
      <c r="J467" s="870"/>
      <c r="K467" s="870"/>
      <c r="L467" s="870"/>
      <c r="M467" s="870"/>
      <c r="N467" s="870"/>
      <c r="O467" s="871"/>
      <c r="P467" s="100"/>
      <c r="Q467" s="100"/>
      <c r="R467" s="100"/>
      <c r="S467" s="100"/>
      <c r="T467" s="100"/>
      <c r="U467" s="100"/>
      <c r="V467" s="100"/>
      <c r="W467" s="100"/>
      <c r="X467" s="100"/>
      <c r="Y467" s="100"/>
      <c r="Z467" s="100"/>
      <c r="AA467" s="100"/>
      <c r="AB467" s="100"/>
      <c r="AC467" s="100"/>
      <c r="AD467" s="100"/>
      <c r="AG467">
        <f t="shared" si="369"/>
        <v>0</v>
      </c>
      <c r="AH467">
        <f t="shared" si="354"/>
        <v>0</v>
      </c>
      <c r="AI467"/>
      <c r="AJ467"/>
      <c r="AK467">
        <f t="shared" si="355"/>
        <v>0</v>
      </c>
      <c r="AL467">
        <f t="shared" si="356"/>
        <v>0</v>
      </c>
      <c r="AM467">
        <f t="shared" si="370"/>
        <v>0</v>
      </c>
      <c r="AN467">
        <f t="shared" si="357"/>
        <v>0</v>
      </c>
      <c r="AO467">
        <f t="shared" si="358"/>
        <v>0</v>
      </c>
      <c r="AP467">
        <f t="shared" si="359"/>
        <v>0</v>
      </c>
      <c r="AQ467">
        <f t="shared" si="360"/>
        <v>0</v>
      </c>
      <c r="AR467">
        <f t="shared" si="361"/>
        <v>0</v>
      </c>
      <c r="AS467">
        <f t="shared" si="362"/>
        <v>0</v>
      </c>
      <c r="AT467">
        <f t="shared" si="363"/>
        <v>0</v>
      </c>
      <c r="AU467">
        <f t="shared" si="364"/>
        <v>0</v>
      </c>
      <c r="AV467">
        <f t="shared" si="365"/>
        <v>0</v>
      </c>
      <c r="AW467">
        <f t="shared" si="366"/>
        <v>0</v>
      </c>
      <c r="AX467">
        <f t="shared" si="367"/>
        <v>0</v>
      </c>
      <c r="AY467">
        <f t="shared" si="368"/>
        <v>0</v>
      </c>
      <c r="AZ467" cm="1">
        <f t="array" ref="AZ467">IF(OR(P467={"NS","NA"},G393={"NS","NA"}),0,IF(P467&gt;=G393,0,1))</f>
        <v>0</v>
      </c>
      <c r="BA467" cm="1">
        <f t="array" ref="BA467">IF(OR(Q467={"NS","NA"},H393={"NS","NA"}),0,IF(Q467&gt;=H393,0,1))</f>
        <v>0</v>
      </c>
      <c r="BB467" cm="1">
        <f t="array" ref="BB467">IF(OR(R467={"NS","NA"},I393={"NS","NA"}),0,IF(R467&gt;=I393,0,1))</f>
        <v>0</v>
      </c>
      <c r="BC467" cm="1">
        <f t="array" ref="BC467">IF(OR(S467={"NS","NA"},$G393={"NS","NA"}),0,IF(S467&lt;=$G393,0,1))</f>
        <v>0</v>
      </c>
      <c r="BD467" cm="1">
        <f t="array" ref="BD467">IF(OR(T467={"NS","NA"},$H393={"NS","NA"}),0,IF(T467&lt;=$H393,0,1))</f>
        <v>0</v>
      </c>
      <c r="BE467" cm="1">
        <f t="array" ref="BE467">IF(OR(U467={"NS","NA"},$I393={"NS","NA"}),0,IF(U467&lt;=$I393,0,1))</f>
        <v>0</v>
      </c>
      <c r="BF467" cm="1">
        <f t="array" ref="BF467">IF(OR(V467={"NS","NA"},$G393={"NS","NA"}),0,IF(V467&lt;=$G393,0,1))</f>
        <v>0</v>
      </c>
      <c r="BG467" cm="1">
        <f t="array" ref="BG467">IF(OR(W467={"NS","NA"},$H393={"NS","NA"}),0,IF(W467&lt;=$H393,0,1))</f>
        <v>0</v>
      </c>
      <c r="BH467" cm="1">
        <f t="array" ref="BH467">IF(OR(X467={"NS","NA"},$I393={"NS","NA"}),0,IF(X467&lt;=$I393,0,1))</f>
        <v>0</v>
      </c>
      <c r="BI467" cm="1">
        <f t="array" ref="BI467">IF(OR(Y467={"NS","NA"},$G393={"NS","NA"}),0,IF(Y467&lt;=$G393,0,1))</f>
        <v>0</v>
      </c>
      <c r="BJ467" cm="1">
        <f t="array" ref="BJ467">IF(OR(Z467={"NS","NA"},$H393={"NS","NA"}),0,IF(Z467&lt;=$H393,0,1))</f>
        <v>0</v>
      </c>
      <c r="BK467" cm="1">
        <f t="array" ref="BK467">IF(OR(AA467={"NS","NA"},$I393={"NS","NA"}),0,IF(AA467&lt;=$I393,0,1))</f>
        <v>0</v>
      </c>
      <c r="BL467" cm="1">
        <f t="array" ref="BL467">IF(OR(AB467={"NS","NA"},$G393={"NS","NA"}),0,IF(AB467&lt;=$G393,0,1))</f>
        <v>0</v>
      </c>
      <c r="BM467" cm="1">
        <f t="array" ref="BM467">IF(OR(AC467={"NS","NA"},$H393={"NS","NA"}),0,IF(AC467&lt;=$H393,0,1))</f>
        <v>0</v>
      </c>
      <c r="BN467" cm="1">
        <f t="array" ref="BN467">IF(OR(AD467={"NS","NA"},$I393={"NS","NA"}),0,IF(AD467&lt;=$I393,0,1))</f>
        <v>0</v>
      </c>
      <c r="BO467"/>
    </row>
    <row r="468" spans="1:67">
      <c r="A468" s="142"/>
      <c r="B468" s="57"/>
      <c r="C468" s="143" t="s">
        <v>2519</v>
      </c>
      <c r="D468" s="869" t="str">
        <f>IF(CNSIPEE_2024_M2_Secc1!D45="","",CNSIPEE_2024_M2_Secc1!D45)</f>
        <v/>
      </c>
      <c r="E468" s="870"/>
      <c r="F468" s="870"/>
      <c r="G468" s="870"/>
      <c r="H468" s="870"/>
      <c r="I468" s="870"/>
      <c r="J468" s="870"/>
      <c r="K468" s="870"/>
      <c r="L468" s="870"/>
      <c r="M468" s="870"/>
      <c r="N468" s="870"/>
      <c r="O468" s="871"/>
      <c r="P468" s="100"/>
      <c r="Q468" s="100"/>
      <c r="R468" s="100"/>
      <c r="S468" s="100"/>
      <c r="T468" s="100"/>
      <c r="U468" s="100"/>
      <c r="V468" s="100"/>
      <c r="W468" s="100"/>
      <c r="X468" s="100"/>
      <c r="Y468" s="100"/>
      <c r="Z468" s="100"/>
      <c r="AA468" s="100"/>
      <c r="AB468" s="100"/>
      <c r="AC468" s="100"/>
      <c r="AD468" s="100"/>
      <c r="AG468">
        <f t="shared" si="369"/>
        <v>0</v>
      </c>
      <c r="AH468">
        <f t="shared" si="354"/>
        <v>0</v>
      </c>
      <c r="AI468"/>
      <c r="AJ468"/>
      <c r="AK468">
        <f t="shared" si="355"/>
        <v>0</v>
      </c>
      <c r="AL468">
        <f t="shared" si="356"/>
        <v>0</v>
      </c>
      <c r="AM468">
        <f t="shared" si="370"/>
        <v>0</v>
      </c>
      <c r="AN468">
        <f t="shared" si="357"/>
        <v>0</v>
      </c>
      <c r="AO468">
        <f t="shared" si="358"/>
        <v>0</v>
      </c>
      <c r="AP468">
        <f t="shared" si="359"/>
        <v>0</v>
      </c>
      <c r="AQ468">
        <f t="shared" si="360"/>
        <v>0</v>
      </c>
      <c r="AR468">
        <f t="shared" si="361"/>
        <v>0</v>
      </c>
      <c r="AS468">
        <f t="shared" si="362"/>
        <v>0</v>
      </c>
      <c r="AT468">
        <f t="shared" si="363"/>
        <v>0</v>
      </c>
      <c r="AU468">
        <f t="shared" si="364"/>
        <v>0</v>
      </c>
      <c r="AV468">
        <f t="shared" si="365"/>
        <v>0</v>
      </c>
      <c r="AW468">
        <f t="shared" si="366"/>
        <v>0</v>
      </c>
      <c r="AX468">
        <f t="shared" si="367"/>
        <v>0</v>
      </c>
      <c r="AY468">
        <f t="shared" si="368"/>
        <v>0</v>
      </c>
      <c r="AZ468" cm="1">
        <f t="array" ref="AZ468">IF(OR(P468={"NS","NA"},G394={"NS","NA"}),0,IF(P468&gt;=G394,0,1))</f>
        <v>0</v>
      </c>
      <c r="BA468" cm="1">
        <f t="array" ref="BA468">IF(OR(Q468={"NS","NA"},H394={"NS","NA"}),0,IF(Q468&gt;=H394,0,1))</f>
        <v>0</v>
      </c>
      <c r="BB468" cm="1">
        <f t="array" ref="BB468">IF(OR(R468={"NS","NA"},I394={"NS","NA"}),0,IF(R468&gt;=I394,0,1))</f>
        <v>0</v>
      </c>
      <c r="BC468" cm="1">
        <f t="array" ref="BC468">IF(OR(S468={"NS","NA"},$G394={"NS","NA"}),0,IF(S468&lt;=$G394,0,1))</f>
        <v>0</v>
      </c>
      <c r="BD468" cm="1">
        <f t="array" ref="BD468">IF(OR(T468={"NS","NA"},$H394={"NS","NA"}),0,IF(T468&lt;=$H394,0,1))</f>
        <v>0</v>
      </c>
      <c r="BE468" cm="1">
        <f t="array" ref="BE468">IF(OR(U468={"NS","NA"},$I394={"NS","NA"}),0,IF(U468&lt;=$I394,0,1))</f>
        <v>0</v>
      </c>
      <c r="BF468" cm="1">
        <f t="array" ref="BF468">IF(OR(V468={"NS","NA"},$G394={"NS","NA"}),0,IF(V468&lt;=$G394,0,1))</f>
        <v>0</v>
      </c>
      <c r="BG468" cm="1">
        <f t="array" ref="BG468">IF(OR(W468={"NS","NA"},$H394={"NS","NA"}),0,IF(W468&lt;=$H394,0,1))</f>
        <v>0</v>
      </c>
      <c r="BH468" cm="1">
        <f t="array" ref="BH468">IF(OR(X468={"NS","NA"},$I394={"NS","NA"}),0,IF(X468&lt;=$I394,0,1))</f>
        <v>0</v>
      </c>
      <c r="BI468" cm="1">
        <f t="array" ref="BI468">IF(OR(Y468={"NS","NA"},$G394={"NS","NA"}),0,IF(Y468&lt;=$G394,0,1))</f>
        <v>0</v>
      </c>
      <c r="BJ468" cm="1">
        <f t="array" ref="BJ468">IF(OR(Z468={"NS","NA"},$H394={"NS","NA"}),0,IF(Z468&lt;=$H394,0,1))</f>
        <v>0</v>
      </c>
      <c r="BK468" cm="1">
        <f t="array" ref="BK468">IF(OR(AA468={"NS","NA"},$I394={"NS","NA"}),0,IF(AA468&lt;=$I394,0,1))</f>
        <v>0</v>
      </c>
      <c r="BL468" cm="1">
        <f t="array" ref="BL468">IF(OR(AB468={"NS","NA"},$G394={"NS","NA"}),0,IF(AB468&lt;=$G394,0,1))</f>
        <v>0</v>
      </c>
      <c r="BM468" cm="1">
        <f t="array" ref="BM468">IF(OR(AC468={"NS","NA"},$H394={"NS","NA"}),0,IF(AC468&lt;=$H394,0,1))</f>
        <v>0</v>
      </c>
      <c r="BN468" cm="1">
        <f t="array" ref="BN468">IF(OR(AD468={"NS","NA"},$I394={"NS","NA"}),0,IF(AD468&lt;=$I394,0,1))</f>
        <v>0</v>
      </c>
      <c r="BO468"/>
    </row>
    <row r="469" spans="1:67">
      <c r="A469" s="142"/>
      <c r="B469" s="57"/>
      <c r="C469" s="143" t="s">
        <v>2520</v>
      </c>
      <c r="D469" s="869" t="str">
        <f>IF(CNSIPEE_2024_M2_Secc1!D46="","",CNSIPEE_2024_M2_Secc1!D46)</f>
        <v/>
      </c>
      <c r="E469" s="870"/>
      <c r="F469" s="870"/>
      <c r="G469" s="870"/>
      <c r="H469" s="870"/>
      <c r="I469" s="870"/>
      <c r="J469" s="870"/>
      <c r="K469" s="870"/>
      <c r="L469" s="870"/>
      <c r="M469" s="870"/>
      <c r="N469" s="870"/>
      <c r="O469" s="871"/>
      <c r="P469" s="100"/>
      <c r="Q469" s="100"/>
      <c r="R469" s="100"/>
      <c r="S469" s="100"/>
      <c r="T469" s="100"/>
      <c r="U469" s="100"/>
      <c r="V469" s="100"/>
      <c r="W469" s="100"/>
      <c r="X469" s="100"/>
      <c r="Y469" s="100"/>
      <c r="Z469" s="100"/>
      <c r="AA469" s="100"/>
      <c r="AB469" s="100"/>
      <c r="AC469" s="100"/>
      <c r="AD469" s="100"/>
      <c r="AG469">
        <f t="shared" si="369"/>
        <v>0</v>
      </c>
      <c r="AH469">
        <f t="shared" si="354"/>
        <v>0</v>
      </c>
      <c r="AI469"/>
      <c r="AJ469"/>
      <c r="AK469">
        <f t="shared" si="355"/>
        <v>0</v>
      </c>
      <c r="AL469">
        <f t="shared" si="356"/>
        <v>0</v>
      </c>
      <c r="AM469">
        <f t="shared" si="370"/>
        <v>0</v>
      </c>
      <c r="AN469">
        <f t="shared" si="357"/>
        <v>0</v>
      </c>
      <c r="AO469">
        <f t="shared" si="358"/>
        <v>0</v>
      </c>
      <c r="AP469">
        <f t="shared" si="359"/>
        <v>0</v>
      </c>
      <c r="AQ469">
        <f t="shared" si="360"/>
        <v>0</v>
      </c>
      <c r="AR469">
        <f t="shared" si="361"/>
        <v>0</v>
      </c>
      <c r="AS469">
        <f t="shared" si="362"/>
        <v>0</v>
      </c>
      <c r="AT469">
        <f t="shared" si="363"/>
        <v>0</v>
      </c>
      <c r="AU469">
        <f t="shared" si="364"/>
        <v>0</v>
      </c>
      <c r="AV469">
        <f t="shared" si="365"/>
        <v>0</v>
      </c>
      <c r="AW469">
        <f t="shared" si="366"/>
        <v>0</v>
      </c>
      <c r="AX469">
        <f t="shared" si="367"/>
        <v>0</v>
      </c>
      <c r="AY469">
        <f t="shared" si="368"/>
        <v>0</v>
      </c>
      <c r="AZ469" cm="1">
        <f t="array" ref="AZ469">IF(OR(P469={"NS","NA"},G395={"NS","NA"}),0,IF(P469&gt;=G395,0,1))</f>
        <v>0</v>
      </c>
      <c r="BA469" cm="1">
        <f t="array" ref="BA469">IF(OR(Q469={"NS","NA"},H395={"NS","NA"}),0,IF(Q469&gt;=H395,0,1))</f>
        <v>0</v>
      </c>
      <c r="BB469" cm="1">
        <f t="array" ref="BB469">IF(OR(R469={"NS","NA"},I395={"NS","NA"}),0,IF(R469&gt;=I395,0,1))</f>
        <v>0</v>
      </c>
      <c r="BC469" cm="1">
        <f t="array" ref="BC469">IF(OR(S469={"NS","NA"},$G395={"NS","NA"}),0,IF(S469&lt;=$G395,0,1))</f>
        <v>0</v>
      </c>
      <c r="BD469" cm="1">
        <f t="array" ref="BD469">IF(OR(T469={"NS","NA"},$H395={"NS","NA"}),0,IF(T469&lt;=$H395,0,1))</f>
        <v>0</v>
      </c>
      <c r="BE469" cm="1">
        <f t="array" ref="BE469">IF(OR(U469={"NS","NA"},$I395={"NS","NA"}),0,IF(U469&lt;=$I395,0,1))</f>
        <v>0</v>
      </c>
      <c r="BF469" cm="1">
        <f t="array" ref="BF469">IF(OR(V469={"NS","NA"},$G395={"NS","NA"}),0,IF(V469&lt;=$G395,0,1))</f>
        <v>0</v>
      </c>
      <c r="BG469" cm="1">
        <f t="array" ref="BG469">IF(OR(W469={"NS","NA"},$H395={"NS","NA"}),0,IF(W469&lt;=$H395,0,1))</f>
        <v>0</v>
      </c>
      <c r="BH469" cm="1">
        <f t="array" ref="BH469">IF(OR(X469={"NS","NA"},$I395={"NS","NA"}),0,IF(X469&lt;=$I395,0,1))</f>
        <v>0</v>
      </c>
      <c r="BI469" cm="1">
        <f t="array" ref="BI469">IF(OR(Y469={"NS","NA"},$G395={"NS","NA"}),0,IF(Y469&lt;=$G395,0,1))</f>
        <v>0</v>
      </c>
      <c r="BJ469" cm="1">
        <f t="array" ref="BJ469">IF(OR(Z469={"NS","NA"},$H395={"NS","NA"}),0,IF(Z469&lt;=$H395,0,1))</f>
        <v>0</v>
      </c>
      <c r="BK469" cm="1">
        <f t="array" ref="BK469">IF(OR(AA469={"NS","NA"},$I395={"NS","NA"}),0,IF(AA469&lt;=$I395,0,1))</f>
        <v>0</v>
      </c>
      <c r="BL469" cm="1">
        <f t="array" ref="BL469">IF(OR(AB469={"NS","NA"},$G395={"NS","NA"}),0,IF(AB469&lt;=$G395,0,1))</f>
        <v>0</v>
      </c>
      <c r="BM469" cm="1">
        <f t="array" ref="BM469">IF(OR(AC469={"NS","NA"},$H395={"NS","NA"}),0,IF(AC469&lt;=$H395,0,1))</f>
        <v>0</v>
      </c>
      <c r="BN469" cm="1">
        <f t="array" ref="BN469">IF(OR(AD469={"NS","NA"},$I395={"NS","NA"}),0,IF(AD469&lt;=$I395,0,1))</f>
        <v>0</v>
      </c>
      <c r="BO469"/>
    </row>
    <row r="470" spans="1:67">
      <c r="A470" s="142"/>
      <c r="B470" s="57"/>
      <c r="C470" s="143" t="s">
        <v>2521</v>
      </c>
      <c r="D470" s="869" t="str">
        <f>IF(CNSIPEE_2024_M2_Secc1!D47="","",CNSIPEE_2024_M2_Secc1!D47)</f>
        <v/>
      </c>
      <c r="E470" s="870"/>
      <c r="F470" s="870"/>
      <c r="G470" s="870"/>
      <c r="H470" s="870"/>
      <c r="I470" s="870"/>
      <c r="J470" s="870"/>
      <c r="K470" s="870"/>
      <c r="L470" s="870"/>
      <c r="M470" s="870"/>
      <c r="N470" s="870"/>
      <c r="O470" s="871"/>
      <c r="P470" s="100"/>
      <c r="Q470" s="100"/>
      <c r="R470" s="100"/>
      <c r="S470" s="100"/>
      <c r="T470" s="100"/>
      <c r="U470" s="100"/>
      <c r="V470" s="100"/>
      <c r="W470" s="100"/>
      <c r="X470" s="100"/>
      <c r="Y470" s="100"/>
      <c r="Z470" s="100"/>
      <c r="AA470" s="100"/>
      <c r="AB470" s="100"/>
      <c r="AC470" s="100"/>
      <c r="AD470" s="100"/>
      <c r="AG470">
        <f t="shared" si="369"/>
        <v>0</v>
      </c>
      <c r="AH470">
        <f t="shared" si="354"/>
        <v>0</v>
      </c>
      <c r="AI470"/>
      <c r="AJ470"/>
      <c r="AK470">
        <f t="shared" si="355"/>
        <v>0</v>
      </c>
      <c r="AL470">
        <f t="shared" si="356"/>
        <v>0</v>
      </c>
      <c r="AM470">
        <f t="shared" si="370"/>
        <v>0</v>
      </c>
      <c r="AN470">
        <f t="shared" si="357"/>
        <v>0</v>
      </c>
      <c r="AO470">
        <f t="shared" si="358"/>
        <v>0</v>
      </c>
      <c r="AP470">
        <f t="shared" si="359"/>
        <v>0</v>
      </c>
      <c r="AQ470">
        <f t="shared" si="360"/>
        <v>0</v>
      </c>
      <c r="AR470">
        <f t="shared" si="361"/>
        <v>0</v>
      </c>
      <c r="AS470">
        <f t="shared" si="362"/>
        <v>0</v>
      </c>
      <c r="AT470">
        <f t="shared" si="363"/>
        <v>0</v>
      </c>
      <c r="AU470">
        <f t="shared" si="364"/>
        <v>0</v>
      </c>
      <c r="AV470">
        <f t="shared" si="365"/>
        <v>0</v>
      </c>
      <c r="AW470">
        <f t="shared" si="366"/>
        <v>0</v>
      </c>
      <c r="AX470">
        <f t="shared" si="367"/>
        <v>0</v>
      </c>
      <c r="AY470">
        <f t="shared" si="368"/>
        <v>0</v>
      </c>
      <c r="AZ470" cm="1">
        <f t="array" ref="AZ470">IF(OR(P470={"NS","NA"},G396={"NS","NA"}),0,IF(P470&gt;=G396,0,1))</f>
        <v>0</v>
      </c>
      <c r="BA470" cm="1">
        <f t="array" ref="BA470">IF(OR(Q470={"NS","NA"},H396={"NS","NA"}),0,IF(Q470&gt;=H396,0,1))</f>
        <v>0</v>
      </c>
      <c r="BB470" cm="1">
        <f t="array" ref="BB470">IF(OR(R470={"NS","NA"},I396={"NS","NA"}),0,IF(R470&gt;=I396,0,1))</f>
        <v>0</v>
      </c>
      <c r="BC470" cm="1">
        <f t="array" ref="BC470">IF(OR(S470={"NS","NA"},$G396={"NS","NA"}),0,IF(S470&lt;=$G396,0,1))</f>
        <v>0</v>
      </c>
      <c r="BD470" cm="1">
        <f t="array" ref="BD470">IF(OR(T470={"NS","NA"},$H396={"NS","NA"}),0,IF(T470&lt;=$H396,0,1))</f>
        <v>0</v>
      </c>
      <c r="BE470" cm="1">
        <f t="array" ref="BE470">IF(OR(U470={"NS","NA"},$I396={"NS","NA"}),0,IF(U470&lt;=$I396,0,1))</f>
        <v>0</v>
      </c>
      <c r="BF470" cm="1">
        <f t="array" ref="BF470">IF(OR(V470={"NS","NA"},$G396={"NS","NA"}),0,IF(V470&lt;=$G396,0,1))</f>
        <v>0</v>
      </c>
      <c r="BG470" cm="1">
        <f t="array" ref="BG470">IF(OR(W470={"NS","NA"},$H396={"NS","NA"}),0,IF(W470&lt;=$H396,0,1))</f>
        <v>0</v>
      </c>
      <c r="BH470" cm="1">
        <f t="array" ref="BH470">IF(OR(X470={"NS","NA"},$I396={"NS","NA"}),0,IF(X470&lt;=$I396,0,1))</f>
        <v>0</v>
      </c>
      <c r="BI470" cm="1">
        <f t="array" ref="BI470">IF(OR(Y470={"NS","NA"},$G396={"NS","NA"}),0,IF(Y470&lt;=$G396,0,1))</f>
        <v>0</v>
      </c>
      <c r="BJ470" cm="1">
        <f t="array" ref="BJ470">IF(OR(Z470={"NS","NA"},$H396={"NS","NA"}),0,IF(Z470&lt;=$H396,0,1))</f>
        <v>0</v>
      </c>
      <c r="BK470" cm="1">
        <f t="array" ref="BK470">IF(OR(AA470={"NS","NA"},$I396={"NS","NA"}),0,IF(AA470&lt;=$I396,0,1))</f>
        <v>0</v>
      </c>
      <c r="BL470" cm="1">
        <f t="array" ref="BL470">IF(OR(AB470={"NS","NA"},$G396={"NS","NA"}),0,IF(AB470&lt;=$G396,0,1))</f>
        <v>0</v>
      </c>
      <c r="BM470" cm="1">
        <f t="array" ref="BM470">IF(OR(AC470={"NS","NA"},$H396={"NS","NA"}),0,IF(AC470&lt;=$H396,0,1))</f>
        <v>0</v>
      </c>
      <c r="BN470" cm="1">
        <f t="array" ref="BN470">IF(OR(AD470={"NS","NA"},$I396={"NS","NA"}),0,IF(AD470&lt;=$I396,0,1))</f>
        <v>0</v>
      </c>
      <c r="BO470"/>
    </row>
    <row r="471" spans="1:67">
      <c r="A471" s="142"/>
      <c r="B471" s="57"/>
      <c r="C471" s="143" t="s">
        <v>2522</v>
      </c>
      <c r="D471" s="869" t="str">
        <f>IF(CNSIPEE_2024_M2_Secc1!D48="","",CNSIPEE_2024_M2_Secc1!D48)</f>
        <v/>
      </c>
      <c r="E471" s="870"/>
      <c r="F471" s="870"/>
      <c r="G471" s="870"/>
      <c r="H471" s="870"/>
      <c r="I471" s="870"/>
      <c r="J471" s="870"/>
      <c r="K471" s="870"/>
      <c r="L471" s="870"/>
      <c r="M471" s="870"/>
      <c r="N471" s="870"/>
      <c r="O471" s="871"/>
      <c r="P471" s="100"/>
      <c r="Q471" s="100"/>
      <c r="R471" s="100"/>
      <c r="S471" s="100"/>
      <c r="T471" s="100"/>
      <c r="U471" s="100"/>
      <c r="V471" s="100"/>
      <c r="W471" s="100"/>
      <c r="X471" s="100"/>
      <c r="Y471" s="100"/>
      <c r="Z471" s="100"/>
      <c r="AA471" s="100"/>
      <c r="AB471" s="100"/>
      <c r="AC471" s="100"/>
      <c r="AD471" s="100"/>
      <c r="AG471">
        <f t="shared" si="369"/>
        <v>0</v>
      </c>
      <c r="AH471">
        <f t="shared" si="354"/>
        <v>0</v>
      </c>
      <c r="AI471"/>
      <c r="AJ471"/>
      <c r="AK471">
        <f t="shared" si="355"/>
        <v>0</v>
      </c>
      <c r="AL471">
        <f t="shared" si="356"/>
        <v>0</v>
      </c>
      <c r="AM471">
        <f t="shared" si="370"/>
        <v>0</v>
      </c>
      <c r="AN471">
        <f t="shared" si="357"/>
        <v>0</v>
      </c>
      <c r="AO471">
        <f t="shared" si="358"/>
        <v>0</v>
      </c>
      <c r="AP471">
        <f t="shared" si="359"/>
        <v>0</v>
      </c>
      <c r="AQ471">
        <f t="shared" si="360"/>
        <v>0</v>
      </c>
      <c r="AR471">
        <f t="shared" si="361"/>
        <v>0</v>
      </c>
      <c r="AS471">
        <f t="shared" si="362"/>
        <v>0</v>
      </c>
      <c r="AT471">
        <f t="shared" si="363"/>
        <v>0</v>
      </c>
      <c r="AU471">
        <f t="shared" si="364"/>
        <v>0</v>
      </c>
      <c r="AV471">
        <f t="shared" si="365"/>
        <v>0</v>
      </c>
      <c r="AW471">
        <f t="shared" si="366"/>
        <v>0</v>
      </c>
      <c r="AX471">
        <f t="shared" si="367"/>
        <v>0</v>
      </c>
      <c r="AY471">
        <f t="shared" si="368"/>
        <v>0</v>
      </c>
      <c r="AZ471" cm="1">
        <f t="array" ref="AZ471">IF(OR(P471={"NS","NA"},G397={"NS","NA"}),0,IF(P471&gt;=G397,0,1))</f>
        <v>0</v>
      </c>
      <c r="BA471" cm="1">
        <f t="array" ref="BA471">IF(OR(Q471={"NS","NA"},H397={"NS","NA"}),0,IF(Q471&gt;=H397,0,1))</f>
        <v>0</v>
      </c>
      <c r="BB471" cm="1">
        <f t="array" ref="BB471">IF(OR(R471={"NS","NA"},I397={"NS","NA"}),0,IF(R471&gt;=I397,0,1))</f>
        <v>0</v>
      </c>
      <c r="BC471" cm="1">
        <f t="array" ref="BC471">IF(OR(S471={"NS","NA"},$G397={"NS","NA"}),0,IF(S471&lt;=$G397,0,1))</f>
        <v>0</v>
      </c>
      <c r="BD471" cm="1">
        <f t="array" ref="BD471">IF(OR(T471={"NS","NA"},$H397={"NS","NA"}),0,IF(T471&lt;=$H397,0,1))</f>
        <v>0</v>
      </c>
      <c r="BE471" cm="1">
        <f t="array" ref="BE471">IF(OR(U471={"NS","NA"},$I397={"NS","NA"}),0,IF(U471&lt;=$I397,0,1))</f>
        <v>0</v>
      </c>
      <c r="BF471" cm="1">
        <f t="array" ref="BF471">IF(OR(V471={"NS","NA"},$G397={"NS","NA"}),0,IF(V471&lt;=$G397,0,1))</f>
        <v>0</v>
      </c>
      <c r="BG471" cm="1">
        <f t="array" ref="BG471">IF(OR(W471={"NS","NA"},$H397={"NS","NA"}),0,IF(W471&lt;=$H397,0,1))</f>
        <v>0</v>
      </c>
      <c r="BH471" cm="1">
        <f t="array" ref="BH471">IF(OR(X471={"NS","NA"},$I397={"NS","NA"}),0,IF(X471&lt;=$I397,0,1))</f>
        <v>0</v>
      </c>
      <c r="BI471" cm="1">
        <f t="array" ref="BI471">IF(OR(Y471={"NS","NA"},$G397={"NS","NA"}),0,IF(Y471&lt;=$G397,0,1))</f>
        <v>0</v>
      </c>
      <c r="BJ471" cm="1">
        <f t="array" ref="BJ471">IF(OR(Z471={"NS","NA"},$H397={"NS","NA"}),0,IF(Z471&lt;=$H397,0,1))</f>
        <v>0</v>
      </c>
      <c r="BK471" cm="1">
        <f t="array" ref="BK471">IF(OR(AA471={"NS","NA"},$I397={"NS","NA"}),0,IF(AA471&lt;=$I397,0,1))</f>
        <v>0</v>
      </c>
      <c r="BL471" cm="1">
        <f t="array" ref="BL471">IF(OR(AB471={"NS","NA"},$G397={"NS","NA"}),0,IF(AB471&lt;=$G397,0,1))</f>
        <v>0</v>
      </c>
      <c r="BM471" cm="1">
        <f t="array" ref="BM471">IF(OR(AC471={"NS","NA"},$H397={"NS","NA"}),0,IF(AC471&lt;=$H397,0,1))</f>
        <v>0</v>
      </c>
      <c r="BN471" cm="1">
        <f t="array" ref="BN471">IF(OR(AD471={"NS","NA"},$I397={"NS","NA"}),0,IF(AD471&lt;=$I397,0,1))</f>
        <v>0</v>
      </c>
      <c r="BO471"/>
    </row>
    <row r="472" spans="1:67">
      <c r="A472" s="142"/>
      <c r="B472" s="57"/>
      <c r="C472" s="143" t="s">
        <v>2523</v>
      </c>
      <c r="D472" s="869" t="str">
        <f>IF(CNSIPEE_2024_M2_Secc1!D49="","",CNSIPEE_2024_M2_Secc1!D49)</f>
        <v/>
      </c>
      <c r="E472" s="870"/>
      <c r="F472" s="870"/>
      <c r="G472" s="870"/>
      <c r="H472" s="870"/>
      <c r="I472" s="870"/>
      <c r="J472" s="870"/>
      <c r="K472" s="870"/>
      <c r="L472" s="870"/>
      <c r="M472" s="870"/>
      <c r="N472" s="870"/>
      <c r="O472" s="871"/>
      <c r="P472" s="100"/>
      <c r="Q472" s="100"/>
      <c r="R472" s="100"/>
      <c r="S472" s="100"/>
      <c r="T472" s="100"/>
      <c r="U472" s="100"/>
      <c r="V472" s="100"/>
      <c r="W472" s="100"/>
      <c r="X472" s="100"/>
      <c r="Y472" s="100"/>
      <c r="Z472" s="100"/>
      <c r="AA472" s="100"/>
      <c r="AB472" s="100"/>
      <c r="AC472" s="100"/>
      <c r="AD472" s="100"/>
      <c r="AG472">
        <f>IF(OR($G398=0,$G398="NS",$G398="NA"),0,IF(OR(SUM(COUNTBLANK(D472:AD472),COUNTBLANK(P486:AD486))=11,SUM(COUNTBLANK(D472:AD472),COUNTBLANK(P486:AD486))=42),0,1))</f>
        <v>0</v>
      </c>
      <c r="AH472">
        <f t="shared" si="354"/>
        <v>0</v>
      </c>
      <c r="AI472"/>
      <c r="AJ472"/>
      <c r="AK472">
        <f t="shared" si="355"/>
        <v>0</v>
      </c>
      <c r="AL472">
        <f t="shared" si="356"/>
        <v>0</v>
      </c>
      <c r="AM472">
        <f t="shared" si="370"/>
        <v>0</v>
      </c>
      <c r="AN472">
        <f t="shared" si="357"/>
        <v>0</v>
      </c>
      <c r="AO472">
        <f t="shared" si="358"/>
        <v>0</v>
      </c>
      <c r="AP472">
        <f t="shared" si="359"/>
        <v>0</v>
      </c>
      <c r="AQ472">
        <f t="shared" si="360"/>
        <v>0</v>
      </c>
      <c r="AR472">
        <f t="shared" si="361"/>
        <v>0</v>
      </c>
      <c r="AS472">
        <f t="shared" si="362"/>
        <v>0</v>
      </c>
      <c r="AT472">
        <f t="shared" si="363"/>
        <v>0</v>
      </c>
      <c r="AU472">
        <f t="shared" si="364"/>
        <v>0</v>
      </c>
      <c r="AV472">
        <f t="shared" si="365"/>
        <v>0</v>
      </c>
      <c r="AW472">
        <f t="shared" si="366"/>
        <v>0</v>
      </c>
      <c r="AX472">
        <f t="shared" si="367"/>
        <v>0</v>
      </c>
      <c r="AY472">
        <f t="shared" si="368"/>
        <v>0</v>
      </c>
      <c r="AZ472" cm="1">
        <f t="array" ref="AZ472">IF(OR(P472={"NS","NA"},G398={"NS","NA"}),0,IF(P472&gt;=G398,0,1))</f>
        <v>0</v>
      </c>
      <c r="BA472" cm="1">
        <f t="array" ref="BA472">IF(OR(Q472={"NS","NA"},H398={"NS","NA"}),0,IF(Q472&gt;=H398,0,1))</f>
        <v>0</v>
      </c>
      <c r="BB472" cm="1">
        <f t="array" ref="BB472">IF(OR(R472={"NS","NA"},I398={"NS","NA"}),0,IF(R472&gt;=I398,0,1))</f>
        <v>0</v>
      </c>
      <c r="BC472" cm="1">
        <f t="array" ref="BC472">IF(OR(S472={"NS","NA"},$G398={"NS","NA"}),0,IF(S472&lt;=$G398,0,1))</f>
        <v>0</v>
      </c>
      <c r="BD472" cm="1">
        <f t="array" ref="BD472">IF(OR(T472={"NS","NA"},$H398={"NS","NA"}),0,IF(T472&lt;=$H398,0,1))</f>
        <v>0</v>
      </c>
      <c r="BE472" cm="1">
        <f t="array" ref="BE472">IF(OR(U472={"NS","NA"},$I398={"NS","NA"}),0,IF(U472&lt;=$I398,0,1))</f>
        <v>0</v>
      </c>
      <c r="BF472" cm="1">
        <f t="array" ref="BF472">IF(OR(V472={"NS","NA"},$G398={"NS","NA"}),0,IF(V472&lt;=$G398,0,1))</f>
        <v>0</v>
      </c>
      <c r="BG472" cm="1">
        <f t="array" ref="BG472">IF(OR(W472={"NS","NA"},$H398={"NS","NA"}),0,IF(W472&lt;=$H398,0,1))</f>
        <v>0</v>
      </c>
      <c r="BH472" cm="1">
        <f t="array" ref="BH472">IF(OR(X472={"NS","NA"},$I398={"NS","NA"}),0,IF(X472&lt;=$I398,0,1))</f>
        <v>0</v>
      </c>
      <c r="BI472" cm="1">
        <f t="array" ref="BI472">IF(OR(Y472={"NS","NA"},$G398={"NS","NA"}),0,IF(Y472&lt;=$G398,0,1))</f>
        <v>0</v>
      </c>
      <c r="BJ472" cm="1">
        <f t="array" ref="BJ472">IF(OR(Z472={"NS","NA"},$H398={"NS","NA"}),0,IF(Z472&lt;=$H398,0,1))</f>
        <v>0</v>
      </c>
      <c r="BK472" cm="1">
        <f t="array" ref="BK472">IF(OR(AA472={"NS","NA"},$I398={"NS","NA"}),0,IF(AA472&lt;=$I398,0,1))</f>
        <v>0</v>
      </c>
      <c r="BL472" cm="1">
        <f t="array" ref="BL472">IF(OR(AB472={"NS","NA"},$G398={"NS","NA"}),0,IF(AB472&lt;=$G398,0,1))</f>
        <v>0</v>
      </c>
      <c r="BM472" cm="1">
        <f t="array" ref="BM472">IF(OR(AC472={"NS","NA"},$H398={"NS","NA"}),0,IF(AC472&lt;=$H398,0,1))</f>
        <v>0</v>
      </c>
      <c r="BN472" cm="1">
        <f t="array" ref="BN472">IF(OR(AD472={"NS","NA"},$I398={"NS","NA"}),0,IF(AD472&lt;=$I398,0,1))</f>
        <v>0</v>
      </c>
      <c r="BO472"/>
    </row>
    <row r="473" spans="1:67">
      <c r="A473" s="142"/>
      <c r="B473" s="57"/>
      <c r="C473" s="57"/>
      <c r="D473" s="57"/>
      <c r="E473" s="57"/>
      <c r="F473" s="57"/>
      <c r="G473" s="57"/>
      <c r="O473" s="99" t="s">
        <v>2649</v>
      </c>
      <c r="P473" s="124">
        <f t="shared" ref="P473:AD473" si="371">IF(AND(SUM(P465:P472)=0,COUNTIF(P465:P472,"NS")&gt;0),"NS",IF(AND(SUM(P465:P472)=0,COUNTIF(P465:P472,0)&gt;0),0,IF(AND(SUM(P465:P472)=0,COUNTIF(P465:P472,"NA")&gt;0),"NA",SUM(P465:P472))))</f>
        <v>0</v>
      </c>
      <c r="Q473" s="124">
        <f t="shared" si="371"/>
        <v>0</v>
      </c>
      <c r="R473" s="124">
        <f t="shared" si="371"/>
        <v>0</v>
      </c>
      <c r="S473" s="124">
        <f t="shared" si="371"/>
        <v>0</v>
      </c>
      <c r="T473" s="124">
        <f t="shared" si="371"/>
        <v>0</v>
      </c>
      <c r="U473" s="124">
        <f t="shared" si="371"/>
        <v>0</v>
      </c>
      <c r="V473" s="124">
        <f t="shared" si="371"/>
        <v>0</v>
      </c>
      <c r="W473" s="124">
        <f t="shared" si="371"/>
        <v>0</v>
      </c>
      <c r="X473" s="124">
        <f t="shared" si="371"/>
        <v>0</v>
      </c>
      <c r="Y473" s="124">
        <f t="shared" si="371"/>
        <v>0</v>
      </c>
      <c r="Z473" s="124">
        <f t="shared" si="371"/>
        <v>0</v>
      </c>
      <c r="AA473" s="124">
        <f t="shared" si="371"/>
        <v>0</v>
      </c>
      <c r="AB473" s="124">
        <f t="shared" si="371"/>
        <v>0</v>
      </c>
      <c r="AC473" s="124">
        <f t="shared" si="371"/>
        <v>0</v>
      </c>
      <c r="AD473" s="124">
        <f t="shared" si="371"/>
        <v>0</v>
      </c>
      <c r="AG473" s="507">
        <f>SUM(AG465:AG472)</f>
        <v>0</v>
      </c>
      <c r="AH473" s="507">
        <f>SUM(AH465:AH472)</f>
        <v>0</v>
      </c>
      <c r="AJ473"/>
      <c r="AK473">
        <f>SUM(AK465:AK472)</f>
        <v>0</v>
      </c>
      <c r="AM473">
        <f>SUM(AM465:AM472)</f>
        <v>0</v>
      </c>
      <c r="AN473">
        <f>SUM(AN465:AN472)</f>
        <v>0</v>
      </c>
      <c r="AP473">
        <f>SUM(AP465:AP472)</f>
        <v>0</v>
      </c>
      <c r="AQ473">
        <f>SUM(AQ465:AQ472)</f>
        <v>0</v>
      </c>
      <c r="AS473">
        <f>SUM(AS465:AS472)</f>
        <v>0</v>
      </c>
      <c r="AT473">
        <f>SUM(AT465:AT472)</f>
        <v>0</v>
      </c>
      <c r="AV473">
        <f>SUM(AV465:AV472)</f>
        <v>0</v>
      </c>
      <c r="AW473">
        <f>SUM(AW465:AW472)</f>
        <v>0</v>
      </c>
      <c r="AY473">
        <f>SUM(AY465:AY472)</f>
        <v>0</v>
      </c>
      <c r="BB473" s="507">
        <f>SUM(AZ465:BB472)</f>
        <v>0</v>
      </c>
      <c r="BN473" s="693">
        <f>SUM(BC465:BN472)</f>
        <v>0</v>
      </c>
      <c r="BO473"/>
    </row>
    <row r="474" spans="1:67">
      <c r="A474" s="142"/>
      <c r="B474" s="57"/>
      <c r="C474" s="57"/>
      <c r="D474" s="57"/>
      <c r="E474" s="57"/>
      <c r="F474" s="57"/>
      <c r="G474" s="57"/>
      <c r="H474" s="57"/>
      <c r="I474" s="57"/>
      <c r="J474" s="57"/>
      <c r="K474" s="57"/>
      <c r="L474" s="57"/>
      <c r="M474" s="57"/>
      <c r="N474" s="57"/>
      <c r="O474" s="57"/>
      <c r="P474" s="57"/>
      <c r="Q474" s="57"/>
      <c r="R474" s="57"/>
      <c r="S474" s="57"/>
      <c r="T474" s="57"/>
      <c r="U474" s="57"/>
      <c r="V474" s="57"/>
      <c r="W474" s="57"/>
      <c r="X474" s="57"/>
      <c r="Y474" s="57"/>
      <c r="Z474" s="57"/>
      <c r="AA474" s="57"/>
      <c r="AB474" s="57"/>
      <c r="AC474" s="57"/>
      <c r="AD474" s="57"/>
      <c r="AK474" t="s">
        <v>2650</v>
      </c>
      <c r="AL474" s="405">
        <f>SUM(AM473,AP473,AS473,AV473,AY473)</f>
        <v>0</v>
      </c>
      <c r="AM474" t="s">
        <v>2651</v>
      </c>
      <c r="AN474">
        <f>SUM(AK473,AN473,AQ473,AT473,AW473)</f>
        <v>0</v>
      </c>
      <c r="BO474"/>
    </row>
    <row r="475" spans="1:67">
      <c r="A475" s="215"/>
      <c r="B475" s="90"/>
      <c r="C475" s="90"/>
      <c r="D475" s="90"/>
      <c r="E475" s="90"/>
      <c r="F475" s="90"/>
      <c r="G475" s="90"/>
      <c r="H475" s="90"/>
      <c r="I475" s="90"/>
      <c r="J475" s="90"/>
      <c r="K475" s="90"/>
      <c r="L475" s="90"/>
      <c r="M475" s="90"/>
      <c r="N475" s="90"/>
      <c r="O475" s="90"/>
      <c r="P475" s="90"/>
      <c r="Q475" s="90"/>
      <c r="R475" s="90"/>
      <c r="S475" s="90"/>
      <c r="T475" s="90"/>
      <c r="U475" s="90"/>
      <c r="V475" s="90"/>
      <c r="W475" s="90"/>
      <c r="X475" s="90"/>
      <c r="Y475" s="90"/>
      <c r="Z475" s="90"/>
      <c r="AA475" s="873" t="s">
        <v>2668</v>
      </c>
      <c r="AB475" s="873"/>
      <c r="AC475" s="873"/>
      <c r="AD475" s="873"/>
      <c r="AK475" t="s">
        <v>2652</v>
      </c>
      <c r="AL475">
        <f>IF(AN474&gt;0,IF(SUM(P473)&gt;=SUM(S473,V473,Y473,AB473),0,1),IF(SUM(P473)&lt;&gt;SUM(S473,V473,Y473,AB473),1,0))</f>
        <v>0</v>
      </c>
      <c r="AM475" t="s">
        <v>2653</v>
      </c>
      <c r="AN475">
        <f>IF(AN474&gt;0,IF(SUM(Q473)&gt;=SUM(T473,W473,Z473,AC473),0,1),IF(SUM(Q473)&lt;&gt;SUM(T473,W473,Z473,AC473),1,0))</f>
        <v>0</v>
      </c>
      <c r="AO475" t="s">
        <v>2654</v>
      </c>
      <c r="AP475">
        <f>IF(AN474&gt;0,IF(SUM(R473)&gt;=SUM(U473,X473,AA473,AD473),0,1),IF(SUM(R473)&lt;&gt;SUM(U473,X473,AA473,AD473),1,0))</f>
        <v>0</v>
      </c>
      <c r="BO475"/>
    </row>
    <row r="476" spans="1:67" ht="36" customHeight="1">
      <c r="A476" s="50"/>
      <c r="B476" s="38"/>
      <c r="C476" s="732" t="s">
        <v>2581</v>
      </c>
      <c r="D476" s="732"/>
      <c r="E476" s="732"/>
      <c r="F476" s="732"/>
      <c r="G476" s="732"/>
      <c r="H476" s="732"/>
      <c r="I476" s="732"/>
      <c r="J476" s="732"/>
      <c r="K476" s="732"/>
      <c r="L476" s="732"/>
      <c r="M476" s="732"/>
      <c r="N476" s="732"/>
      <c r="O476" s="732"/>
      <c r="P476" s="739" t="s">
        <v>5954</v>
      </c>
      <c r="Q476" s="740"/>
      <c r="R476" s="740"/>
      <c r="S476" s="740"/>
      <c r="T476" s="740"/>
      <c r="U476" s="740"/>
      <c r="V476" s="740"/>
      <c r="W476" s="740"/>
      <c r="X476" s="740"/>
      <c r="Y476" s="740"/>
      <c r="Z476" s="740"/>
      <c r="AA476" s="740"/>
      <c r="AB476" s="740"/>
      <c r="AC476" s="740"/>
      <c r="AD476" s="741"/>
      <c r="BO476"/>
    </row>
    <row r="477" spans="1:67" ht="120" customHeight="1">
      <c r="A477" s="212"/>
      <c r="B477" s="213"/>
      <c r="C477" s="732"/>
      <c r="D477" s="732"/>
      <c r="E477" s="732"/>
      <c r="F477" s="732"/>
      <c r="G477" s="732"/>
      <c r="H477" s="732"/>
      <c r="I477" s="732"/>
      <c r="J477" s="732"/>
      <c r="K477" s="732"/>
      <c r="L477" s="732"/>
      <c r="M477" s="732"/>
      <c r="N477" s="732"/>
      <c r="O477" s="732"/>
      <c r="P477" s="857" t="s">
        <v>5346</v>
      </c>
      <c r="Q477" s="857"/>
      <c r="R477" s="857"/>
      <c r="S477" s="857" t="s">
        <v>5347</v>
      </c>
      <c r="T477" s="857"/>
      <c r="U477" s="857"/>
      <c r="V477" s="857" t="s">
        <v>5348</v>
      </c>
      <c r="W477" s="857"/>
      <c r="X477" s="857"/>
      <c r="Y477" s="857" t="s">
        <v>5349</v>
      </c>
      <c r="Z477" s="857"/>
      <c r="AA477" s="857"/>
      <c r="AB477" s="857" t="s">
        <v>2990</v>
      </c>
      <c r="AC477" s="857"/>
      <c r="AD477" s="857"/>
      <c r="BO477"/>
    </row>
    <row r="478" spans="1:67" ht="48" customHeight="1">
      <c r="A478" s="142"/>
      <c r="B478" s="57"/>
      <c r="C478" s="732"/>
      <c r="D478" s="732"/>
      <c r="E478" s="732"/>
      <c r="F478" s="732"/>
      <c r="G478" s="732"/>
      <c r="H478" s="732"/>
      <c r="I478" s="732"/>
      <c r="J478" s="732"/>
      <c r="K478" s="732"/>
      <c r="L478" s="732"/>
      <c r="M478" s="732"/>
      <c r="N478" s="732"/>
      <c r="O478" s="732"/>
      <c r="P478" s="127" t="s">
        <v>2635</v>
      </c>
      <c r="Q478" s="128" t="s">
        <v>2629</v>
      </c>
      <c r="R478" s="128" t="s">
        <v>2630</v>
      </c>
      <c r="S478" s="127" t="s">
        <v>2635</v>
      </c>
      <c r="T478" s="128" t="s">
        <v>2629</v>
      </c>
      <c r="U478" s="128" t="s">
        <v>2630</v>
      </c>
      <c r="V478" s="127" t="s">
        <v>2635</v>
      </c>
      <c r="W478" s="128" t="s">
        <v>2629</v>
      </c>
      <c r="X478" s="128" t="s">
        <v>2630</v>
      </c>
      <c r="Y478" s="127" t="s">
        <v>2635</v>
      </c>
      <c r="Z478" s="128" t="s">
        <v>2629</v>
      </c>
      <c r="AA478" s="128" t="s">
        <v>2630</v>
      </c>
      <c r="AB478" s="127" t="s">
        <v>2635</v>
      </c>
      <c r="AC478" s="128" t="s">
        <v>2629</v>
      </c>
      <c r="AD478" s="128" t="s">
        <v>2630</v>
      </c>
      <c r="AK478" t="s">
        <v>4573</v>
      </c>
      <c r="AL478" t="s">
        <v>2638</v>
      </c>
      <c r="AM478" t="s">
        <v>2639</v>
      </c>
      <c r="AN478" t="s">
        <v>4574</v>
      </c>
      <c r="AO478" t="s">
        <v>2641</v>
      </c>
      <c r="AP478" t="s">
        <v>2642</v>
      </c>
      <c r="AQ478" t="s">
        <v>4575</v>
      </c>
      <c r="AR478" t="s">
        <v>2644</v>
      </c>
      <c r="AS478" t="s">
        <v>2645</v>
      </c>
      <c r="AT478" t="s">
        <v>4576</v>
      </c>
      <c r="AU478" t="s">
        <v>2647</v>
      </c>
      <c r="AV478" t="s">
        <v>2648</v>
      </c>
      <c r="AW478" t="s">
        <v>5177</v>
      </c>
      <c r="AX478" t="s">
        <v>2757</v>
      </c>
      <c r="AY478" t="s">
        <v>2758</v>
      </c>
      <c r="AZ478" t="s">
        <v>5290</v>
      </c>
      <c r="BA478"/>
      <c r="BB478"/>
      <c r="BC478"/>
      <c r="BD478"/>
      <c r="BE478"/>
      <c r="BF478"/>
      <c r="BG478"/>
      <c r="BH478"/>
      <c r="BI478"/>
      <c r="BJ478"/>
      <c r="BK478"/>
      <c r="BL478"/>
      <c r="BM478"/>
      <c r="BN478"/>
      <c r="BO478"/>
    </row>
    <row r="479" spans="1:67">
      <c r="A479" s="142"/>
      <c r="B479" s="57"/>
      <c r="C479" s="44" t="s">
        <v>2516</v>
      </c>
      <c r="D479" s="869" t="str">
        <f>IF(CNSIPEE_2024_M2_Secc1!D42="","",CNSIPEE_2024_M2_Secc1!D42)</f>
        <v/>
      </c>
      <c r="E479" s="870"/>
      <c r="F479" s="870"/>
      <c r="G479" s="870"/>
      <c r="H479" s="870"/>
      <c r="I479" s="870"/>
      <c r="J479" s="870"/>
      <c r="K479" s="870"/>
      <c r="L479" s="870"/>
      <c r="M479" s="870"/>
      <c r="N479" s="870"/>
      <c r="O479" s="871"/>
      <c r="P479" s="100"/>
      <c r="Q479" s="100"/>
      <c r="R479" s="100"/>
      <c r="S479" s="100"/>
      <c r="T479" s="100"/>
      <c r="U479" s="100"/>
      <c r="V479" s="100"/>
      <c r="W479" s="100"/>
      <c r="X479" s="100"/>
      <c r="Y479" s="100"/>
      <c r="Z479" s="100"/>
      <c r="AA479" s="100"/>
      <c r="AB479" s="100"/>
      <c r="AC479" s="100"/>
      <c r="AD479" s="100"/>
      <c r="AK479">
        <f t="shared" ref="AK479:AK486" si="372">COUNTIF(Q479:R479,"NS")</f>
        <v>0</v>
      </c>
      <c r="AL479">
        <f t="shared" ref="AL479:AL486" si="373">SUM(Q479:R479)</f>
        <v>0</v>
      </c>
      <c r="AM479">
        <f>IF(COUNTIF(P479:R479,"NA")=3,0,IF(COUNTA(P479:R479)=0,0,IF(OR(AND(P479=0,AK479&gt;0),AND(P479="ns",AL479&gt;0),AND(P479="ns",AK479=0,AL479=0)),1,IF(OR(AND(P479&gt;0,AK479=2),AND(P479="ns",AK479=2),AND(P479="ns",AL479=0,AK479&gt;0),P479=AL479),0,1))))</f>
        <v>0</v>
      </c>
      <c r="AN479">
        <f t="shared" ref="AN479:AN486" si="374">COUNTIF(T479:U479,"NS")</f>
        <v>0</v>
      </c>
      <c r="AO479">
        <f t="shared" ref="AO479:AO486" si="375">SUM(T479:U479)</f>
        <v>0</v>
      </c>
      <c r="AP479">
        <f t="shared" ref="AP479:AP486" si="376">IF(COUNTIF(S479:U479,"NA")=3,0,IF(COUNTA(S479:U479)=0,0,IF(OR(AND(S479=0,AN479&gt;0),AND(S479="ns",AO479&gt;0),AND(S479="ns",AN479=0,AO479=0)),1,IF(OR(AND(S479&gt;0,AN479=2),AND(S479="ns",AN479=2),AND(S479="ns",AO479=0,AN479&gt;0),S479=AO479),0,1))))</f>
        <v>0</v>
      </c>
      <c r="AQ479">
        <f t="shared" ref="AQ479:AQ486" si="377">COUNTIF(W479:X479,"NS")</f>
        <v>0</v>
      </c>
      <c r="AR479">
        <f t="shared" ref="AR479:AR486" si="378">SUM(W479:X479)</f>
        <v>0</v>
      </c>
      <c r="AS479">
        <f t="shared" ref="AS479:AS486" si="379">IF(COUNTIF(V479:X479,"NA")=3,0,IF(COUNTA(V479:X479)=0,0,IF(OR(AND(V479=0,AQ479&gt;0),AND(V479="ns",AR479&gt;0),AND(V479="ns",AQ479=0,AR479=0)),1,IF(OR(AND(V479&gt;0,AQ479=2),AND(V479="ns",AQ479=2),AND(V479="ns",AR479=0,AQ479&gt;0),V479=AR479),0,1))))</f>
        <v>0</v>
      </c>
      <c r="AT479">
        <f t="shared" ref="AT479:AT486" si="380">COUNTIF(Z479:AA479,"NS")</f>
        <v>0</v>
      </c>
      <c r="AU479">
        <f t="shared" ref="AU479:AU486" si="381">SUM(Z479:AA479)</f>
        <v>0</v>
      </c>
      <c r="AV479">
        <f t="shared" ref="AV479:AV486" si="382">IF(COUNTIF(Y479:AA479,"NA")=3,0,IF(COUNTA(Y479:AA479)=0,0,IF(OR(AND(Y479=0,AT479&gt;0),AND(Y479="ns",AU479&gt;0),AND(Y479="ns",AT479=0,AU479=0)),1,IF(OR(AND(Y479&gt;0,AT479=2),AND(Y479="ns",AT479=2),AND(Y479="ns",AU479=0,AT479&gt;0),Y479=AU479),0,1))))</f>
        <v>0</v>
      </c>
      <c r="AW479">
        <f t="shared" ref="AW479:AW486" si="383">COUNTIF(AC479:AD479,"NS")</f>
        <v>0</v>
      </c>
      <c r="AX479">
        <f t="shared" ref="AX479:AX486" si="384">SUM(AC479:AD479)</f>
        <v>0</v>
      </c>
      <c r="AY479">
        <f t="shared" ref="AY479:AY486" si="385">IF(COUNTIF(AB479:AD479,"NA")=3,0,IF(COUNTA(AB479:AD479)=0,0,IF(OR(AND(AB479=0,AW479&gt;0),AND(AB479="ns",AX479&gt;0),AND(AB479="ns",AW479=0,AX479=0)),1,IF(OR(AND(AB479&gt;0,AW479=2),AND(AB479="ns",AW479=2),AND(AB479="ns",AX479=0,AW479&gt;0),AB479=AX479),0,1))))</f>
        <v>0</v>
      </c>
      <c r="AZ479" cm="1">
        <f t="array" ref="AZ479">IF(OR(P479={"NS","NA"},$G391={"NS","NA"}),0,IF(P479&lt;=$G391,0,1))</f>
        <v>0</v>
      </c>
      <c r="BA479" cm="1">
        <f t="array" ref="BA479">IF(OR(Q479={"NS","NA"},$H391={"NS","NA"}),0,IF(Q479&lt;=$H391,0,1))</f>
        <v>0</v>
      </c>
      <c r="BB479" cm="1">
        <f t="array" ref="BB479">IF(OR(R479={"NS","NA"},$I391={"NS","NA"}),0,IF(R479&lt;=$I391,0,1))</f>
        <v>0</v>
      </c>
      <c r="BC479" cm="1">
        <f t="array" ref="BC479">IF(OR(S479={"NS","NA"},$G391={"NS","NA"}),0,IF(S479&lt;=$G391,0,1))</f>
        <v>0</v>
      </c>
      <c r="BD479" cm="1">
        <f t="array" ref="BD479">IF(OR(T479={"NS","NA"},$H391={"NS","NA"}),0,IF(T479&lt;=$H391,0,1))</f>
        <v>0</v>
      </c>
      <c r="BE479" cm="1">
        <f t="array" ref="BE479">IF(OR(U479={"NS","NA"},$I391={"NS","NA"}),0,IF(U479&lt;=$I391,0,1))</f>
        <v>0</v>
      </c>
      <c r="BF479" cm="1">
        <f t="array" ref="BF479">IF(OR(V479={"NS","NA"},$G391={"NS","NA"}),0,IF(V479&lt;=$G391,0,1))</f>
        <v>0</v>
      </c>
      <c r="BG479" cm="1">
        <f t="array" ref="BG479">IF(OR(W479={"NS","NA"},$H391={"NS","NA"}),0,IF(W479&lt;=$H391,0,1))</f>
        <v>0</v>
      </c>
      <c r="BH479" cm="1">
        <f t="array" ref="BH479">IF(OR(X479={"NS","NA"},$I391={"NS","NA"}),0,IF(X479&lt;=$I391,0,1))</f>
        <v>0</v>
      </c>
      <c r="BI479" cm="1">
        <f t="array" ref="BI479">IF(OR(Y479={"NS","NA"},$G391={"NS","NA"}),0,IF(Y479&lt;=$G391,0,1))</f>
        <v>0</v>
      </c>
      <c r="BJ479" cm="1">
        <f t="array" ref="BJ479">IF(OR(Z479={"NS","NA"},$H391={"NS","NA"}),0,IF(Z479&lt;=$H391,0,1))</f>
        <v>0</v>
      </c>
      <c r="BK479" cm="1">
        <f t="array" ref="BK479">IF(OR(AA479={"NS","NA"},$I391={"NS","NA"}),0,IF(AA479&lt;=$I391,0,1))</f>
        <v>0</v>
      </c>
      <c r="BL479" cm="1">
        <f t="array" ref="BL479">IF(OR(AB479={"NS","NA"},$G391={"NS","NA"}),0,IF(AB479&lt;=$G391,0,1))</f>
        <v>0</v>
      </c>
      <c r="BM479" cm="1">
        <f t="array" ref="BM479">IF(OR(AC479={"NS","NA"},$H391={"NS","NA"}),0,IF(AC479&lt;=$H391,0,1))</f>
        <v>0</v>
      </c>
      <c r="BN479" cm="1">
        <f t="array" ref="BN479">IF(OR(AD479={"NS","NA"},$I391={"NS","NA"}),0,IF(AD479&lt;=$I391,0,1))</f>
        <v>0</v>
      </c>
      <c r="BO479"/>
    </row>
    <row r="480" spans="1:67">
      <c r="A480" s="142"/>
      <c r="B480" s="57"/>
      <c r="C480" s="199" t="s">
        <v>2517</v>
      </c>
      <c r="D480" s="869" t="str">
        <f>IF(CNSIPEE_2024_M2_Secc1!D43="","",CNSIPEE_2024_M2_Secc1!D43)</f>
        <v/>
      </c>
      <c r="E480" s="870"/>
      <c r="F480" s="870"/>
      <c r="G480" s="870"/>
      <c r="H480" s="870"/>
      <c r="I480" s="870"/>
      <c r="J480" s="870"/>
      <c r="K480" s="870"/>
      <c r="L480" s="870"/>
      <c r="M480" s="870"/>
      <c r="N480" s="870"/>
      <c r="O480" s="871"/>
      <c r="P480" s="100"/>
      <c r="Q480" s="100"/>
      <c r="R480" s="100"/>
      <c r="S480" s="100"/>
      <c r="T480" s="100"/>
      <c r="U480" s="100"/>
      <c r="V480" s="100"/>
      <c r="W480" s="100"/>
      <c r="X480" s="100"/>
      <c r="Y480" s="100"/>
      <c r="Z480" s="100"/>
      <c r="AA480" s="100"/>
      <c r="AB480" s="100"/>
      <c r="AC480" s="100"/>
      <c r="AD480" s="100"/>
      <c r="AK480">
        <f t="shared" si="372"/>
        <v>0</v>
      </c>
      <c r="AL480">
        <f t="shared" si="373"/>
        <v>0</v>
      </c>
      <c r="AM480">
        <f t="shared" ref="AM480:AM486" si="386">IF(COUNTIF(P480:R480,"NA")=3,0,IF(COUNTA(P480:R480)=0,0,IF(OR(AND(P480=0,AK480&gt;0),AND(P480="ns",AL480&gt;0),AND(P480="ns",AK480=0,AL480=0)),1,IF(OR(AND(P480&gt;0,AK480=2),AND(P480="ns",AK480=2),AND(P480="ns",AL480=0,AK480&gt;0),P480=AL480),0,1))))</f>
        <v>0</v>
      </c>
      <c r="AN480">
        <f t="shared" si="374"/>
        <v>0</v>
      </c>
      <c r="AO480">
        <f t="shared" si="375"/>
        <v>0</v>
      </c>
      <c r="AP480">
        <f t="shared" si="376"/>
        <v>0</v>
      </c>
      <c r="AQ480">
        <f t="shared" si="377"/>
        <v>0</v>
      </c>
      <c r="AR480">
        <f t="shared" si="378"/>
        <v>0</v>
      </c>
      <c r="AS480">
        <f t="shared" si="379"/>
        <v>0</v>
      </c>
      <c r="AT480">
        <f t="shared" si="380"/>
        <v>0</v>
      </c>
      <c r="AU480">
        <f t="shared" si="381"/>
        <v>0</v>
      </c>
      <c r="AV480">
        <f t="shared" si="382"/>
        <v>0</v>
      </c>
      <c r="AW480">
        <f t="shared" si="383"/>
        <v>0</v>
      </c>
      <c r="AX480">
        <f t="shared" si="384"/>
        <v>0</v>
      </c>
      <c r="AY480">
        <f t="shared" si="385"/>
        <v>0</v>
      </c>
      <c r="AZ480" cm="1">
        <f t="array" ref="AZ480">IF(OR(P480={"NS","NA"},$G392={"NS","NA"}),0,IF(P480&lt;=$G392,0,1))</f>
        <v>0</v>
      </c>
      <c r="BA480" cm="1">
        <f t="array" ref="BA480">IF(OR(Q480={"NS","NA"},$H392={"NS","NA"}),0,IF(Q480&lt;=$H392,0,1))</f>
        <v>0</v>
      </c>
      <c r="BB480" cm="1">
        <f t="array" ref="BB480">IF(OR(R480={"NS","NA"},$I392={"NS","NA"}),0,IF(R480&lt;=$I392,0,1))</f>
        <v>0</v>
      </c>
      <c r="BC480" cm="1">
        <f t="array" ref="BC480">IF(OR(S480={"NS","NA"},$G392={"NS","NA"}),0,IF(S480&lt;=$G392,0,1))</f>
        <v>0</v>
      </c>
      <c r="BD480" cm="1">
        <f t="array" ref="BD480">IF(OR(T480={"NS","NA"},$H392={"NS","NA"}),0,IF(T480&lt;=$H392,0,1))</f>
        <v>0</v>
      </c>
      <c r="BE480" cm="1">
        <f t="array" ref="BE480">IF(OR(U480={"NS","NA"},$I392={"NS","NA"}),0,IF(U480&lt;=$I392,0,1))</f>
        <v>0</v>
      </c>
      <c r="BF480" cm="1">
        <f t="array" ref="BF480">IF(OR(V480={"NS","NA"},$G392={"NS","NA"}),0,IF(V480&lt;=$G392,0,1))</f>
        <v>0</v>
      </c>
      <c r="BG480" cm="1">
        <f t="array" ref="BG480">IF(OR(W480={"NS","NA"},$H392={"NS","NA"}),0,IF(W480&lt;=$H392,0,1))</f>
        <v>0</v>
      </c>
      <c r="BH480" cm="1">
        <f t="array" ref="BH480">IF(OR(X480={"NS","NA"},$I392={"NS","NA"}),0,IF(X480&lt;=$I392,0,1))</f>
        <v>0</v>
      </c>
      <c r="BI480" cm="1">
        <f t="array" ref="BI480">IF(OR(Y480={"NS","NA"},$G392={"NS","NA"}),0,IF(Y480&lt;=$G392,0,1))</f>
        <v>0</v>
      </c>
      <c r="BJ480" cm="1">
        <f t="array" ref="BJ480">IF(OR(Z480={"NS","NA"},$H392={"NS","NA"}),0,IF(Z480&lt;=$H392,0,1))</f>
        <v>0</v>
      </c>
      <c r="BK480" cm="1">
        <f t="array" ref="BK480">IF(OR(AA480={"NS","NA"},$I392={"NS","NA"}),0,IF(AA480&lt;=$I392,0,1))</f>
        <v>0</v>
      </c>
      <c r="BL480" cm="1">
        <f t="array" ref="BL480">IF(OR(AB480={"NS","NA"},$G392={"NS","NA"}),0,IF(AB480&lt;=$G392,0,1))</f>
        <v>0</v>
      </c>
      <c r="BM480" cm="1">
        <f t="array" ref="BM480">IF(OR(AC480={"NS","NA"},$H392={"NS","NA"}),0,IF(AC480&lt;=$H392,0,1))</f>
        <v>0</v>
      </c>
      <c r="BN480" cm="1">
        <f t="array" ref="BN480">IF(OR(AD480={"NS","NA"},$I392={"NS","NA"}),0,IF(AD480&lt;=$I392,0,1))</f>
        <v>0</v>
      </c>
      <c r="BO480"/>
    </row>
    <row r="481" spans="1:67">
      <c r="A481" s="142"/>
      <c r="B481" s="57"/>
      <c r="C481" s="143" t="s">
        <v>2518</v>
      </c>
      <c r="D481" s="869" t="str">
        <f>IF(CNSIPEE_2024_M2_Secc1!D44="","",CNSIPEE_2024_M2_Secc1!D44)</f>
        <v/>
      </c>
      <c r="E481" s="870"/>
      <c r="F481" s="870"/>
      <c r="G481" s="870"/>
      <c r="H481" s="870"/>
      <c r="I481" s="870"/>
      <c r="J481" s="870"/>
      <c r="K481" s="870"/>
      <c r="L481" s="870"/>
      <c r="M481" s="870"/>
      <c r="N481" s="870"/>
      <c r="O481" s="871"/>
      <c r="P481" s="100"/>
      <c r="Q481" s="100"/>
      <c r="R481" s="100"/>
      <c r="S481" s="100"/>
      <c r="T481" s="100"/>
      <c r="U481" s="100"/>
      <c r="V481" s="100"/>
      <c r="W481" s="100"/>
      <c r="X481" s="100"/>
      <c r="Y481" s="100"/>
      <c r="Z481" s="100"/>
      <c r="AA481" s="100"/>
      <c r="AB481" s="100"/>
      <c r="AC481" s="100"/>
      <c r="AD481" s="100"/>
      <c r="AK481">
        <f t="shared" si="372"/>
        <v>0</v>
      </c>
      <c r="AL481">
        <f t="shared" si="373"/>
        <v>0</v>
      </c>
      <c r="AM481">
        <f t="shared" si="386"/>
        <v>0</v>
      </c>
      <c r="AN481">
        <f t="shared" si="374"/>
        <v>0</v>
      </c>
      <c r="AO481">
        <f t="shared" si="375"/>
        <v>0</v>
      </c>
      <c r="AP481">
        <f t="shared" si="376"/>
        <v>0</v>
      </c>
      <c r="AQ481">
        <f t="shared" si="377"/>
        <v>0</v>
      </c>
      <c r="AR481">
        <f t="shared" si="378"/>
        <v>0</v>
      </c>
      <c r="AS481">
        <f t="shared" si="379"/>
        <v>0</v>
      </c>
      <c r="AT481">
        <f t="shared" si="380"/>
        <v>0</v>
      </c>
      <c r="AU481">
        <f t="shared" si="381"/>
        <v>0</v>
      </c>
      <c r="AV481">
        <f t="shared" si="382"/>
        <v>0</v>
      </c>
      <c r="AW481">
        <f t="shared" si="383"/>
        <v>0</v>
      </c>
      <c r="AX481">
        <f t="shared" si="384"/>
        <v>0</v>
      </c>
      <c r="AY481">
        <f t="shared" si="385"/>
        <v>0</v>
      </c>
      <c r="AZ481" cm="1">
        <f t="array" ref="AZ481">IF(OR(P481={"NS","NA"},$G393={"NS","NA"}),0,IF(P481&lt;=$G393,0,1))</f>
        <v>0</v>
      </c>
      <c r="BA481" cm="1">
        <f t="array" ref="BA481">IF(OR(Q481={"NS","NA"},$H393={"NS","NA"}),0,IF(Q481&lt;=$H393,0,1))</f>
        <v>0</v>
      </c>
      <c r="BB481" cm="1">
        <f t="array" ref="BB481">IF(OR(R481={"NS","NA"},$I393={"NS","NA"}),0,IF(R481&lt;=$I393,0,1))</f>
        <v>0</v>
      </c>
      <c r="BC481" cm="1">
        <f t="array" ref="BC481">IF(OR(S481={"NS","NA"},$G393={"NS","NA"}),0,IF(S481&lt;=$G393,0,1))</f>
        <v>0</v>
      </c>
      <c r="BD481" cm="1">
        <f t="array" ref="BD481">IF(OR(T481={"NS","NA"},$H393={"NS","NA"}),0,IF(T481&lt;=$H393,0,1))</f>
        <v>0</v>
      </c>
      <c r="BE481" cm="1">
        <f t="array" ref="BE481">IF(OR(U481={"NS","NA"},$I393={"NS","NA"}),0,IF(U481&lt;=$I393,0,1))</f>
        <v>0</v>
      </c>
      <c r="BF481" cm="1">
        <f t="array" ref="BF481">IF(OR(V481={"NS","NA"},$G393={"NS","NA"}),0,IF(V481&lt;=$G393,0,1))</f>
        <v>0</v>
      </c>
      <c r="BG481" cm="1">
        <f t="array" ref="BG481">IF(OR(W481={"NS","NA"},$H393={"NS","NA"}),0,IF(W481&lt;=$H393,0,1))</f>
        <v>0</v>
      </c>
      <c r="BH481" cm="1">
        <f t="array" ref="BH481">IF(OR(X481={"NS","NA"},$I393={"NS","NA"}),0,IF(X481&lt;=$I393,0,1))</f>
        <v>0</v>
      </c>
      <c r="BI481" cm="1">
        <f t="array" ref="BI481">IF(OR(Y481={"NS","NA"},$G393={"NS","NA"}),0,IF(Y481&lt;=$G393,0,1))</f>
        <v>0</v>
      </c>
      <c r="BJ481" cm="1">
        <f t="array" ref="BJ481">IF(OR(Z481={"NS","NA"},$H393={"NS","NA"}),0,IF(Z481&lt;=$H393,0,1))</f>
        <v>0</v>
      </c>
      <c r="BK481" cm="1">
        <f t="array" ref="BK481">IF(OR(AA481={"NS","NA"},$I393={"NS","NA"}),0,IF(AA481&lt;=$I393,0,1))</f>
        <v>0</v>
      </c>
      <c r="BL481" cm="1">
        <f t="array" ref="BL481">IF(OR(AB481={"NS","NA"},$G393={"NS","NA"}),0,IF(AB481&lt;=$G393,0,1))</f>
        <v>0</v>
      </c>
      <c r="BM481" cm="1">
        <f t="array" ref="BM481">IF(OR(AC481={"NS","NA"},$H393={"NS","NA"}),0,IF(AC481&lt;=$H393,0,1))</f>
        <v>0</v>
      </c>
      <c r="BN481" cm="1">
        <f t="array" ref="BN481">IF(OR(AD481={"NS","NA"},$I393={"NS","NA"}),0,IF(AD481&lt;=$I393,0,1))</f>
        <v>0</v>
      </c>
      <c r="BO481"/>
    </row>
    <row r="482" spans="1:67">
      <c r="A482" s="142"/>
      <c r="B482" s="57"/>
      <c r="C482" s="143" t="s">
        <v>2519</v>
      </c>
      <c r="D482" s="869" t="str">
        <f>IF(CNSIPEE_2024_M2_Secc1!D45="","",CNSIPEE_2024_M2_Secc1!D45)</f>
        <v/>
      </c>
      <c r="E482" s="870"/>
      <c r="F482" s="870"/>
      <c r="G482" s="870"/>
      <c r="H482" s="870"/>
      <c r="I482" s="870"/>
      <c r="J482" s="870"/>
      <c r="K482" s="870"/>
      <c r="L482" s="870"/>
      <c r="M482" s="870"/>
      <c r="N482" s="870"/>
      <c r="O482" s="871"/>
      <c r="P482" s="100"/>
      <c r="Q482" s="100"/>
      <c r="R482" s="100"/>
      <c r="S482" s="100"/>
      <c r="T482" s="100"/>
      <c r="U482" s="100"/>
      <c r="V482" s="100"/>
      <c r="W482" s="100"/>
      <c r="X482" s="100"/>
      <c r="Y482" s="100"/>
      <c r="Z482" s="100"/>
      <c r="AA482" s="100"/>
      <c r="AB482" s="100"/>
      <c r="AC482" s="100"/>
      <c r="AD482" s="100"/>
      <c r="AK482">
        <f t="shared" si="372"/>
        <v>0</v>
      </c>
      <c r="AL482">
        <f t="shared" si="373"/>
        <v>0</v>
      </c>
      <c r="AM482">
        <f t="shared" si="386"/>
        <v>0</v>
      </c>
      <c r="AN482">
        <f t="shared" si="374"/>
        <v>0</v>
      </c>
      <c r="AO482">
        <f t="shared" si="375"/>
        <v>0</v>
      </c>
      <c r="AP482">
        <f t="shared" si="376"/>
        <v>0</v>
      </c>
      <c r="AQ482">
        <f t="shared" si="377"/>
        <v>0</v>
      </c>
      <c r="AR482">
        <f t="shared" si="378"/>
        <v>0</v>
      </c>
      <c r="AS482">
        <f t="shared" si="379"/>
        <v>0</v>
      </c>
      <c r="AT482">
        <f t="shared" si="380"/>
        <v>0</v>
      </c>
      <c r="AU482">
        <f t="shared" si="381"/>
        <v>0</v>
      </c>
      <c r="AV482">
        <f t="shared" si="382"/>
        <v>0</v>
      </c>
      <c r="AW482">
        <f t="shared" si="383"/>
        <v>0</v>
      </c>
      <c r="AX482">
        <f t="shared" si="384"/>
        <v>0</v>
      </c>
      <c r="AY482">
        <f t="shared" si="385"/>
        <v>0</v>
      </c>
      <c r="AZ482" cm="1">
        <f t="array" ref="AZ482">IF(OR(P482={"NS","NA"},$G394={"NS","NA"}),0,IF(P482&lt;=$G394,0,1))</f>
        <v>0</v>
      </c>
      <c r="BA482" cm="1">
        <f t="array" ref="BA482">IF(OR(Q482={"NS","NA"},$H394={"NS","NA"}),0,IF(Q482&lt;=$H394,0,1))</f>
        <v>0</v>
      </c>
      <c r="BB482" cm="1">
        <f t="array" ref="BB482">IF(OR(R482={"NS","NA"},$I394={"NS","NA"}),0,IF(R482&lt;=$I394,0,1))</f>
        <v>0</v>
      </c>
      <c r="BC482" cm="1">
        <f t="array" ref="BC482">IF(OR(S482={"NS","NA"},$G394={"NS","NA"}),0,IF(S482&lt;=$G394,0,1))</f>
        <v>0</v>
      </c>
      <c r="BD482" cm="1">
        <f t="array" ref="BD482">IF(OR(T482={"NS","NA"},$H394={"NS","NA"}),0,IF(T482&lt;=$H394,0,1))</f>
        <v>0</v>
      </c>
      <c r="BE482" cm="1">
        <f t="array" ref="BE482">IF(OR(U482={"NS","NA"},$I394={"NS","NA"}),0,IF(U482&lt;=$I394,0,1))</f>
        <v>0</v>
      </c>
      <c r="BF482" cm="1">
        <f t="array" ref="BF482">IF(OR(V482={"NS","NA"},$G394={"NS","NA"}),0,IF(V482&lt;=$G394,0,1))</f>
        <v>0</v>
      </c>
      <c r="BG482" cm="1">
        <f t="array" ref="BG482">IF(OR(W482={"NS","NA"},$H394={"NS","NA"}),0,IF(W482&lt;=$H394,0,1))</f>
        <v>0</v>
      </c>
      <c r="BH482" cm="1">
        <f t="array" ref="BH482">IF(OR(X482={"NS","NA"},$I394={"NS","NA"}),0,IF(X482&lt;=$I394,0,1))</f>
        <v>0</v>
      </c>
      <c r="BI482" cm="1">
        <f t="array" ref="BI482">IF(OR(Y482={"NS","NA"},$G394={"NS","NA"}),0,IF(Y482&lt;=$G394,0,1))</f>
        <v>0</v>
      </c>
      <c r="BJ482" cm="1">
        <f t="array" ref="BJ482">IF(OR(Z482={"NS","NA"},$H394={"NS","NA"}),0,IF(Z482&lt;=$H394,0,1))</f>
        <v>0</v>
      </c>
      <c r="BK482" cm="1">
        <f t="array" ref="BK482">IF(OR(AA482={"NS","NA"},$I394={"NS","NA"}),0,IF(AA482&lt;=$I394,0,1))</f>
        <v>0</v>
      </c>
      <c r="BL482" cm="1">
        <f t="array" ref="BL482">IF(OR(AB482={"NS","NA"},$G394={"NS","NA"}),0,IF(AB482&lt;=$G394,0,1))</f>
        <v>0</v>
      </c>
      <c r="BM482" cm="1">
        <f t="array" ref="BM482">IF(OR(AC482={"NS","NA"},$H394={"NS","NA"}),0,IF(AC482&lt;=$H394,0,1))</f>
        <v>0</v>
      </c>
      <c r="BN482" cm="1">
        <f t="array" ref="BN482">IF(OR(AD482={"NS","NA"},$I394={"NS","NA"}),0,IF(AD482&lt;=$I394,0,1))</f>
        <v>0</v>
      </c>
      <c r="BO482"/>
    </row>
    <row r="483" spans="1:67">
      <c r="A483" s="142"/>
      <c r="B483" s="57"/>
      <c r="C483" s="143" t="s">
        <v>2520</v>
      </c>
      <c r="D483" s="869" t="str">
        <f>IF(CNSIPEE_2024_M2_Secc1!D46="","",CNSIPEE_2024_M2_Secc1!D46)</f>
        <v/>
      </c>
      <c r="E483" s="870"/>
      <c r="F483" s="870"/>
      <c r="G483" s="870"/>
      <c r="H483" s="870"/>
      <c r="I483" s="870"/>
      <c r="J483" s="870"/>
      <c r="K483" s="870"/>
      <c r="L483" s="870"/>
      <c r="M483" s="870"/>
      <c r="N483" s="870"/>
      <c r="O483" s="871"/>
      <c r="P483" s="100"/>
      <c r="Q483" s="100"/>
      <c r="R483" s="100"/>
      <c r="S483" s="100"/>
      <c r="T483" s="100"/>
      <c r="U483" s="100"/>
      <c r="V483" s="100"/>
      <c r="W483" s="100"/>
      <c r="X483" s="100"/>
      <c r="Y483" s="100"/>
      <c r="Z483" s="100"/>
      <c r="AA483" s="100"/>
      <c r="AB483" s="100"/>
      <c r="AC483" s="100"/>
      <c r="AD483" s="100"/>
      <c r="AK483">
        <f t="shared" si="372"/>
        <v>0</v>
      </c>
      <c r="AL483">
        <f t="shared" si="373"/>
        <v>0</v>
      </c>
      <c r="AM483">
        <f t="shared" si="386"/>
        <v>0</v>
      </c>
      <c r="AN483">
        <f t="shared" si="374"/>
        <v>0</v>
      </c>
      <c r="AO483">
        <f t="shared" si="375"/>
        <v>0</v>
      </c>
      <c r="AP483">
        <f t="shared" si="376"/>
        <v>0</v>
      </c>
      <c r="AQ483">
        <f t="shared" si="377"/>
        <v>0</v>
      </c>
      <c r="AR483">
        <f t="shared" si="378"/>
        <v>0</v>
      </c>
      <c r="AS483">
        <f t="shared" si="379"/>
        <v>0</v>
      </c>
      <c r="AT483">
        <f t="shared" si="380"/>
        <v>0</v>
      </c>
      <c r="AU483">
        <f t="shared" si="381"/>
        <v>0</v>
      </c>
      <c r="AV483">
        <f t="shared" si="382"/>
        <v>0</v>
      </c>
      <c r="AW483">
        <f t="shared" si="383"/>
        <v>0</v>
      </c>
      <c r="AX483">
        <f t="shared" si="384"/>
        <v>0</v>
      </c>
      <c r="AY483">
        <f t="shared" si="385"/>
        <v>0</v>
      </c>
      <c r="AZ483" cm="1">
        <f t="array" ref="AZ483">IF(OR(P483={"NS","NA"},$G395={"NS","NA"}),0,IF(P483&lt;=$G395,0,1))</f>
        <v>0</v>
      </c>
      <c r="BA483" cm="1">
        <f t="array" ref="BA483">IF(OR(Q483={"NS","NA"},$H395={"NS","NA"}),0,IF(Q483&lt;=$H395,0,1))</f>
        <v>0</v>
      </c>
      <c r="BB483" cm="1">
        <f t="array" ref="BB483">IF(OR(R483={"NS","NA"},$I395={"NS","NA"}),0,IF(R483&lt;=$I395,0,1))</f>
        <v>0</v>
      </c>
      <c r="BC483" cm="1">
        <f t="array" ref="BC483">IF(OR(S483={"NS","NA"},$G395={"NS","NA"}),0,IF(S483&lt;=$G395,0,1))</f>
        <v>0</v>
      </c>
      <c r="BD483" cm="1">
        <f t="array" ref="BD483">IF(OR(T483={"NS","NA"},$H395={"NS","NA"}),0,IF(T483&lt;=$H395,0,1))</f>
        <v>0</v>
      </c>
      <c r="BE483" cm="1">
        <f t="array" ref="BE483">IF(OR(U483={"NS","NA"},$I395={"NS","NA"}),0,IF(U483&lt;=$I395,0,1))</f>
        <v>0</v>
      </c>
      <c r="BF483" cm="1">
        <f t="array" ref="BF483">IF(OR(V483={"NS","NA"},$G395={"NS","NA"}),0,IF(V483&lt;=$G395,0,1))</f>
        <v>0</v>
      </c>
      <c r="BG483" cm="1">
        <f t="array" ref="BG483">IF(OR(W483={"NS","NA"},$H395={"NS","NA"}),0,IF(W483&lt;=$H395,0,1))</f>
        <v>0</v>
      </c>
      <c r="BH483" cm="1">
        <f t="array" ref="BH483">IF(OR(X483={"NS","NA"},$I395={"NS","NA"}),0,IF(X483&lt;=$I395,0,1))</f>
        <v>0</v>
      </c>
      <c r="BI483" cm="1">
        <f t="array" ref="BI483">IF(OR(Y483={"NS","NA"},$G395={"NS","NA"}),0,IF(Y483&lt;=$G395,0,1))</f>
        <v>0</v>
      </c>
      <c r="BJ483" cm="1">
        <f t="array" ref="BJ483">IF(OR(Z483={"NS","NA"},$H395={"NS","NA"}),0,IF(Z483&lt;=$H395,0,1))</f>
        <v>0</v>
      </c>
      <c r="BK483" cm="1">
        <f t="array" ref="BK483">IF(OR(AA483={"NS","NA"},$I395={"NS","NA"}),0,IF(AA483&lt;=$I395,0,1))</f>
        <v>0</v>
      </c>
      <c r="BL483" cm="1">
        <f t="array" ref="BL483">IF(OR(AB483={"NS","NA"},$G395={"NS","NA"}),0,IF(AB483&lt;=$G395,0,1))</f>
        <v>0</v>
      </c>
      <c r="BM483" cm="1">
        <f t="array" ref="BM483">IF(OR(AC483={"NS","NA"},$H395={"NS","NA"}),0,IF(AC483&lt;=$H395,0,1))</f>
        <v>0</v>
      </c>
      <c r="BN483" cm="1">
        <f t="array" ref="BN483">IF(OR(AD483={"NS","NA"},$I395={"NS","NA"}),0,IF(AD483&lt;=$I395,0,1))</f>
        <v>0</v>
      </c>
      <c r="BO483"/>
    </row>
    <row r="484" spans="1:67">
      <c r="A484" s="142"/>
      <c r="B484" s="57"/>
      <c r="C484" s="143" t="s">
        <v>2521</v>
      </c>
      <c r="D484" s="869" t="str">
        <f>IF(CNSIPEE_2024_M2_Secc1!D47="","",CNSIPEE_2024_M2_Secc1!D47)</f>
        <v/>
      </c>
      <c r="E484" s="870"/>
      <c r="F484" s="870"/>
      <c r="G484" s="870"/>
      <c r="H484" s="870"/>
      <c r="I484" s="870"/>
      <c r="J484" s="870"/>
      <c r="K484" s="870"/>
      <c r="L484" s="870"/>
      <c r="M484" s="870"/>
      <c r="N484" s="870"/>
      <c r="O484" s="871"/>
      <c r="P484" s="100"/>
      <c r="Q484" s="100"/>
      <c r="R484" s="100"/>
      <c r="S484" s="100"/>
      <c r="T484" s="100"/>
      <c r="U484" s="100"/>
      <c r="V484" s="100"/>
      <c r="W484" s="100"/>
      <c r="X484" s="100"/>
      <c r="Y484" s="100"/>
      <c r="Z484" s="100"/>
      <c r="AA484" s="100"/>
      <c r="AB484" s="100"/>
      <c r="AC484" s="100"/>
      <c r="AD484" s="100"/>
      <c r="AK484">
        <f t="shared" si="372"/>
        <v>0</v>
      </c>
      <c r="AL484">
        <f t="shared" si="373"/>
        <v>0</v>
      </c>
      <c r="AM484">
        <f t="shared" si="386"/>
        <v>0</v>
      </c>
      <c r="AN484">
        <f t="shared" si="374"/>
        <v>0</v>
      </c>
      <c r="AO484">
        <f t="shared" si="375"/>
        <v>0</v>
      </c>
      <c r="AP484">
        <f t="shared" si="376"/>
        <v>0</v>
      </c>
      <c r="AQ484">
        <f t="shared" si="377"/>
        <v>0</v>
      </c>
      <c r="AR484">
        <f t="shared" si="378"/>
        <v>0</v>
      </c>
      <c r="AS484">
        <f t="shared" si="379"/>
        <v>0</v>
      </c>
      <c r="AT484">
        <f t="shared" si="380"/>
        <v>0</v>
      </c>
      <c r="AU484">
        <f t="shared" si="381"/>
        <v>0</v>
      </c>
      <c r="AV484">
        <f t="shared" si="382"/>
        <v>0</v>
      </c>
      <c r="AW484">
        <f t="shared" si="383"/>
        <v>0</v>
      </c>
      <c r="AX484">
        <f t="shared" si="384"/>
        <v>0</v>
      </c>
      <c r="AY484">
        <f t="shared" si="385"/>
        <v>0</v>
      </c>
      <c r="AZ484" cm="1">
        <f t="array" ref="AZ484">IF(OR(P484={"NS","NA"},$G396={"NS","NA"}),0,IF(P484&lt;=$G396,0,1))</f>
        <v>0</v>
      </c>
      <c r="BA484" cm="1">
        <f t="array" ref="BA484">IF(OR(Q484={"NS","NA"},$H396={"NS","NA"}),0,IF(Q484&lt;=$H396,0,1))</f>
        <v>0</v>
      </c>
      <c r="BB484" cm="1">
        <f t="array" ref="BB484">IF(OR(R484={"NS","NA"},$I396={"NS","NA"}),0,IF(R484&lt;=$I396,0,1))</f>
        <v>0</v>
      </c>
      <c r="BC484" cm="1">
        <f t="array" ref="BC484">IF(OR(S484={"NS","NA"},$G396={"NS","NA"}),0,IF(S484&lt;=$G396,0,1))</f>
        <v>0</v>
      </c>
      <c r="BD484" cm="1">
        <f t="array" ref="BD484">IF(OR(T484={"NS","NA"},$H396={"NS","NA"}),0,IF(T484&lt;=$H396,0,1))</f>
        <v>0</v>
      </c>
      <c r="BE484" cm="1">
        <f t="array" ref="BE484">IF(OR(U484={"NS","NA"},$I396={"NS","NA"}),0,IF(U484&lt;=$I396,0,1))</f>
        <v>0</v>
      </c>
      <c r="BF484" cm="1">
        <f t="array" ref="BF484">IF(OR(V484={"NS","NA"},$G396={"NS","NA"}),0,IF(V484&lt;=$G396,0,1))</f>
        <v>0</v>
      </c>
      <c r="BG484" cm="1">
        <f t="array" ref="BG484">IF(OR(W484={"NS","NA"},$H396={"NS","NA"}),0,IF(W484&lt;=$H396,0,1))</f>
        <v>0</v>
      </c>
      <c r="BH484" cm="1">
        <f t="array" ref="BH484">IF(OR(X484={"NS","NA"},$I396={"NS","NA"}),0,IF(X484&lt;=$I396,0,1))</f>
        <v>0</v>
      </c>
      <c r="BI484" cm="1">
        <f t="array" ref="BI484">IF(OR(Y484={"NS","NA"},$G396={"NS","NA"}),0,IF(Y484&lt;=$G396,0,1))</f>
        <v>0</v>
      </c>
      <c r="BJ484" cm="1">
        <f t="array" ref="BJ484">IF(OR(Z484={"NS","NA"},$H396={"NS","NA"}),0,IF(Z484&lt;=$H396,0,1))</f>
        <v>0</v>
      </c>
      <c r="BK484" cm="1">
        <f t="array" ref="BK484">IF(OR(AA484={"NS","NA"},$I396={"NS","NA"}),0,IF(AA484&lt;=$I396,0,1))</f>
        <v>0</v>
      </c>
      <c r="BL484" cm="1">
        <f t="array" ref="BL484">IF(OR(AB484={"NS","NA"},$G396={"NS","NA"}),0,IF(AB484&lt;=$G396,0,1))</f>
        <v>0</v>
      </c>
      <c r="BM484" cm="1">
        <f t="array" ref="BM484">IF(OR(AC484={"NS","NA"},$H396={"NS","NA"}),0,IF(AC484&lt;=$H396,0,1))</f>
        <v>0</v>
      </c>
      <c r="BN484" cm="1">
        <f t="array" ref="BN484">IF(OR(AD484={"NS","NA"},$I396={"NS","NA"}),0,IF(AD484&lt;=$I396,0,1))</f>
        <v>0</v>
      </c>
      <c r="BO484"/>
    </row>
    <row r="485" spans="1:67">
      <c r="A485" s="142"/>
      <c r="B485" s="57"/>
      <c r="C485" s="143" t="s">
        <v>2522</v>
      </c>
      <c r="D485" s="869" t="str">
        <f>IF(CNSIPEE_2024_M2_Secc1!D48="","",CNSIPEE_2024_M2_Secc1!D48)</f>
        <v/>
      </c>
      <c r="E485" s="870"/>
      <c r="F485" s="870"/>
      <c r="G485" s="870"/>
      <c r="H485" s="870"/>
      <c r="I485" s="870"/>
      <c r="J485" s="870"/>
      <c r="K485" s="870"/>
      <c r="L485" s="870"/>
      <c r="M485" s="870"/>
      <c r="N485" s="870"/>
      <c r="O485" s="871"/>
      <c r="P485" s="100"/>
      <c r="Q485" s="100"/>
      <c r="R485" s="100"/>
      <c r="S485" s="100"/>
      <c r="T485" s="100"/>
      <c r="U485" s="100"/>
      <c r="V485" s="100"/>
      <c r="W485" s="100"/>
      <c r="X485" s="100"/>
      <c r="Y485" s="100"/>
      <c r="Z485" s="100"/>
      <c r="AA485" s="100"/>
      <c r="AB485" s="100"/>
      <c r="AC485" s="100"/>
      <c r="AD485" s="100"/>
      <c r="AK485">
        <f t="shared" si="372"/>
        <v>0</v>
      </c>
      <c r="AL485">
        <f t="shared" si="373"/>
        <v>0</v>
      </c>
      <c r="AM485">
        <f t="shared" si="386"/>
        <v>0</v>
      </c>
      <c r="AN485">
        <f t="shared" si="374"/>
        <v>0</v>
      </c>
      <c r="AO485">
        <f t="shared" si="375"/>
        <v>0</v>
      </c>
      <c r="AP485">
        <f t="shared" si="376"/>
        <v>0</v>
      </c>
      <c r="AQ485">
        <f t="shared" si="377"/>
        <v>0</v>
      </c>
      <c r="AR485">
        <f t="shared" si="378"/>
        <v>0</v>
      </c>
      <c r="AS485">
        <f t="shared" si="379"/>
        <v>0</v>
      </c>
      <c r="AT485">
        <f t="shared" si="380"/>
        <v>0</v>
      </c>
      <c r="AU485">
        <f t="shared" si="381"/>
        <v>0</v>
      </c>
      <c r="AV485">
        <f t="shared" si="382"/>
        <v>0</v>
      </c>
      <c r="AW485">
        <f t="shared" si="383"/>
        <v>0</v>
      </c>
      <c r="AX485">
        <f t="shared" si="384"/>
        <v>0</v>
      </c>
      <c r="AY485">
        <f t="shared" si="385"/>
        <v>0</v>
      </c>
      <c r="AZ485" cm="1">
        <f t="array" ref="AZ485">IF(OR(P485={"NS","NA"},$G397={"NS","NA"}),0,IF(P485&lt;=$G397,0,1))</f>
        <v>0</v>
      </c>
      <c r="BA485" cm="1">
        <f t="array" ref="BA485">IF(OR(Q485={"NS","NA"},$H397={"NS","NA"}),0,IF(Q485&lt;=$H397,0,1))</f>
        <v>0</v>
      </c>
      <c r="BB485" cm="1">
        <f t="array" ref="BB485">IF(OR(R485={"NS","NA"},$I397={"NS","NA"}),0,IF(R485&lt;=$I397,0,1))</f>
        <v>0</v>
      </c>
      <c r="BC485" cm="1">
        <f t="array" ref="BC485">IF(OR(S485={"NS","NA"},$G397={"NS","NA"}),0,IF(S485&lt;=$G397,0,1))</f>
        <v>0</v>
      </c>
      <c r="BD485" cm="1">
        <f t="array" ref="BD485">IF(OR(T485={"NS","NA"},$H397={"NS","NA"}),0,IF(T485&lt;=$H397,0,1))</f>
        <v>0</v>
      </c>
      <c r="BE485" cm="1">
        <f t="array" ref="BE485">IF(OR(U485={"NS","NA"},$I397={"NS","NA"}),0,IF(U485&lt;=$I397,0,1))</f>
        <v>0</v>
      </c>
      <c r="BF485" cm="1">
        <f t="array" ref="BF485">IF(OR(V485={"NS","NA"},$G397={"NS","NA"}),0,IF(V485&lt;=$G397,0,1))</f>
        <v>0</v>
      </c>
      <c r="BG485" cm="1">
        <f t="array" ref="BG485">IF(OR(W485={"NS","NA"},$H397={"NS","NA"}),0,IF(W485&lt;=$H397,0,1))</f>
        <v>0</v>
      </c>
      <c r="BH485" cm="1">
        <f t="array" ref="BH485">IF(OR(X485={"NS","NA"},$I397={"NS","NA"}),0,IF(X485&lt;=$I397,0,1))</f>
        <v>0</v>
      </c>
      <c r="BI485" cm="1">
        <f t="array" ref="BI485">IF(OR(Y485={"NS","NA"},$G397={"NS","NA"}),0,IF(Y485&lt;=$G397,0,1))</f>
        <v>0</v>
      </c>
      <c r="BJ485" cm="1">
        <f t="array" ref="BJ485">IF(OR(Z485={"NS","NA"},$H397={"NS","NA"}),0,IF(Z485&lt;=$H397,0,1))</f>
        <v>0</v>
      </c>
      <c r="BK485" cm="1">
        <f t="array" ref="BK485">IF(OR(AA485={"NS","NA"},$I397={"NS","NA"}),0,IF(AA485&lt;=$I397,0,1))</f>
        <v>0</v>
      </c>
      <c r="BL485" cm="1">
        <f t="array" ref="BL485">IF(OR(AB485={"NS","NA"},$G397={"NS","NA"}),0,IF(AB485&lt;=$G397,0,1))</f>
        <v>0</v>
      </c>
      <c r="BM485" cm="1">
        <f t="array" ref="BM485">IF(OR(AC485={"NS","NA"},$H397={"NS","NA"}),0,IF(AC485&lt;=$H397,0,1))</f>
        <v>0</v>
      </c>
      <c r="BN485" cm="1">
        <f t="array" ref="BN485">IF(OR(AD485={"NS","NA"},$I397={"NS","NA"}),0,IF(AD485&lt;=$I397,0,1))</f>
        <v>0</v>
      </c>
      <c r="BO485"/>
    </row>
    <row r="486" spans="1:67">
      <c r="A486" s="142"/>
      <c r="B486" s="57"/>
      <c r="C486" s="143" t="s">
        <v>2523</v>
      </c>
      <c r="D486" s="869" t="str">
        <f>IF(CNSIPEE_2024_M2_Secc1!D49="","",CNSIPEE_2024_M2_Secc1!D49)</f>
        <v/>
      </c>
      <c r="E486" s="870"/>
      <c r="F486" s="870"/>
      <c r="G486" s="870"/>
      <c r="H486" s="870"/>
      <c r="I486" s="870"/>
      <c r="J486" s="870"/>
      <c r="K486" s="870"/>
      <c r="L486" s="870"/>
      <c r="M486" s="870"/>
      <c r="N486" s="870"/>
      <c r="O486" s="871"/>
      <c r="P486" s="100"/>
      <c r="Q486" s="100"/>
      <c r="R486" s="100"/>
      <c r="S486" s="100"/>
      <c r="T486" s="100"/>
      <c r="U486" s="100"/>
      <c r="V486" s="100"/>
      <c r="W486" s="100"/>
      <c r="X486" s="100"/>
      <c r="Y486" s="100"/>
      <c r="Z486" s="100"/>
      <c r="AA486" s="100"/>
      <c r="AB486" s="100"/>
      <c r="AC486" s="100"/>
      <c r="AD486" s="100"/>
      <c r="AK486">
        <f t="shared" si="372"/>
        <v>0</v>
      </c>
      <c r="AL486">
        <f t="shared" si="373"/>
        <v>0</v>
      </c>
      <c r="AM486">
        <f t="shared" si="386"/>
        <v>0</v>
      </c>
      <c r="AN486">
        <f t="shared" si="374"/>
        <v>0</v>
      </c>
      <c r="AO486">
        <f t="shared" si="375"/>
        <v>0</v>
      </c>
      <c r="AP486">
        <f t="shared" si="376"/>
        <v>0</v>
      </c>
      <c r="AQ486">
        <f t="shared" si="377"/>
        <v>0</v>
      </c>
      <c r="AR486">
        <f t="shared" si="378"/>
        <v>0</v>
      </c>
      <c r="AS486">
        <f t="shared" si="379"/>
        <v>0</v>
      </c>
      <c r="AT486">
        <f t="shared" si="380"/>
        <v>0</v>
      </c>
      <c r="AU486">
        <f t="shared" si="381"/>
        <v>0</v>
      </c>
      <c r="AV486">
        <f t="shared" si="382"/>
        <v>0</v>
      </c>
      <c r="AW486">
        <f t="shared" si="383"/>
        <v>0</v>
      </c>
      <c r="AX486">
        <f t="shared" si="384"/>
        <v>0</v>
      </c>
      <c r="AY486">
        <f t="shared" si="385"/>
        <v>0</v>
      </c>
      <c r="AZ486" cm="1">
        <f t="array" ref="AZ486">IF(OR(P486={"NS","NA"},$G398={"NS","NA"}),0,IF(P486&lt;=$G398,0,1))</f>
        <v>0</v>
      </c>
      <c r="BA486" cm="1">
        <f t="array" ref="BA486">IF(OR(Q486={"NS","NA"},$H398={"NS","NA"}),0,IF(Q486&lt;=$H398,0,1))</f>
        <v>0</v>
      </c>
      <c r="BB486" cm="1">
        <f t="array" ref="BB486">IF(OR(R486={"NS","NA"},$I398={"NS","NA"}),0,IF(R486&lt;=$I398,0,1))</f>
        <v>0</v>
      </c>
      <c r="BC486" cm="1">
        <f t="array" ref="BC486">IF(OR(S486={"NS","NA"},$G398={"NS","NA"}),0,IF(S486&lt;=$G398,0,1))</f>
        <v>0</v>
      </c>
      <c r="BD486" cm="1">
        <f t="array" ref="BD486">IF(OR(T486={"NS","NA"},$H398={"NS","NA"}),0,IF(T486&lt;=$H398,0,1))</f>
        <v>0</v>
      </c>
      <c r="BE486" cm="1">
        <f t="array" ref="BE486">IF(OR(U486={"NS","NA"},$I398={"NS","NA"}),0,IF(U486&lt;=$I398,0,1))</f>
        <v>0</v>
      </c>
      <c r="BF486" cm="1">
        <f t="array" ref="BF486">IF(OR(V486={"NS","NA"},$G398={"NS","NA"}),0,IF(V486&lt;=$G398,0,1))</f>
        <v>0</v>
      </c>
      <c r="BG486" cm="1">
        <f t="array" ref="BG486">IF(OR(W486={"NS","NA"},$H398={"NS","NA"}),0,IF(W486&lt;=$H398,0,1))</f>
        <v>0</v>
      </c>
      <c r="BH486" cm="1">
        <f t="array" ref="BH486">IF(OR(X486={"NS","NA"},$I398={"NS","NA"}),0,IF(X486&lt;=$I398,0,1))</f>
        <v>0</v>
      </c>
      <c r="BI486" cm="1">
        <f t="array" ref="BI486">IF(OR(Y486={"NS","NA"},$G398={"NS","NA"}),0,IF(Y486&lt;=$G398,0,1))</f>
        <v>0</v>
      </c>
      <c r="BJ486" cm="1">
        <f t="array" ref="BJ486">IF(OR(Z486={"NS","NA"},$H398={"NS","NA"}),0,IF(Z486&lt;=$H398,0,1))</f>
        <v>0</v>
      </c>
      <c r="BK486" cm="1">
        <f t="array" ref="BK486">IF(OR(AA486={"NS","NA"},$I398={"NS","NA"}),0,IF(AA486&lt;=$I398,0,1))</f>
        <v>0</v>
      </c>
      <c r="BL486" cm="1">
        <f t="array" ref="BL486">IF(OR(AB486={"NS","NA"},$G398={"NS","NA"}),0,IF(AB486&lt;=$G398,0,1))</f>
        <v>0</v>
      </c>
      <c r="BM486" cm="1">
        <f t="array" ref="BM486">IF(OR(AC486={"NS","NA"},$H398={"NS","NA"}),0,IF(AC486&lt;=$H398,0,1))</f>
        <v>0</v>
      </c>
      <c r="BN486" cm="1">
        <f t="array" ref="BN486">IF(OR(AD486={"NS","NA"},$I398={"NS","NA"}),0,IF(AD486&lt;=$I398,0,1))</f>
        <v>0</v>
      </c>
      <c r="BO486"/>
    </row>
    <row r="487" spans="1:67">
      <c r="A487" s="142"/>
      <c r="B487" s="57"/>
      <c r="C487" s="57"/>
      <c r="D487" s="57"/>
      <c r="E487" s="57"/>
      <c r="F487" s="57"/>
      <c r="G487" s="57"/>
      <c r="O487" s="117"/>
      <c r="P487" s="124">
        <f t="shared" ref="P487:AD487" si="387">IF(AND(SUM(P479:P486)=0,COUNTIF(P479:P486,"NS")&gt;0),"NS",IF(AND(SUM(P479:P486)=0,COUNTIF(P479:P486,0)&gt;0),0,IF(AND(SUM(P479:P486)=0,COUNTIF(P479:P486,"NA")&gt;0),"NA",SUM(P479:P486))))</f>
        <v>0</v>
      </c>
      <c r="Q487" s="124">
        <f t="shared" si="387"/>
        <v>0</v>
      </c>
      <c r="R487" s="124">
        <f t="shared" si="387"/>
        <v>0</v>
      </c>
      <c r="S487" s="124">
        <f t="shared" si="387"/>
        <v>0</v>
      </c>
      <c r="T487" s="124">
        <f t="shared" si="387"/>
        <v>0</v>
      </c>
      <c r="U487" s="124">
        <f t="shared" si="387"/>
        <v>0</v>
      </c>
      <c r="V487" s="124">
        <f t="shared" si="387"/>
        <v>0</v>
      </c>
      <c r="W487" s="124">
        <f t="shared" si="387"/>
        <v>0</v>
      </c>
      <c r="X487" s="124">
        <f t="shared" si="387"/>
        <v>0</v>
      </c>
      <c r="Y487" s="124">
        <f t="shared" si="387"/>
        <v>0</v>
      </c>
      <c r="Z487" s="124">
        <f t="shared" si="387"/>
        <v>0</v>
      </c>
      <c r="AA487" s="124">
        <f t="shared" si="387"/>
        <v>0</v>
      </c>
      <c r="AB487" s="124">
        <f t="shared" si="387"/>
        <v>0</v>
      </c>
      <c r="AC487" s="124">
        <f t="shared" si="387"/>
        <v>0</v>
      </c>
      <c r="AD487" s="124">
        <f t="shared" si="387"/>
        <v>0</v>
      </c>
      <c r="AK487">
        <f>SUM(AK479:AK486)</f>
        <v>0</v>
      </c>
      <c r="AM487">
        <f>SUM(AM479:AM486)</f>
        <v>0</v>
      </c>
      <c r="AN487">
        <f>SUM(AN479:AN486)</f>
        <v>0</v>
      </c>
      <c r="AP487">
        <f>SUM(AP479:AP486)</f>
        <v>0</v>
      </c>
      <c r="AQ487">
        <f>SUM(AQ479:AQ486)</f>
        <v>0</v>
      </c>
      <c r="AS487">
        <f>SUM(AS479:AS486)</f>
        <v>0</v>
      </c>
      <c r="AT487">
        <f>SUM(AT479:AT486)</f>
        <v>0</v>
      </c>
      <c r="AV487">
        <f>SUM(AV479:AV486)</f>
        <v>0</v>
      </c>
      <c r="AW487">
        <f>SUM(AW479:AW486)</f>
        <v>0</v>
      </c>
      <c r="AY487">
        <f>SUM(AY479:AY486)</f>
        <v>0</v>
      </c>
      <c r="BN487" s="693">
        <f>SUM(AZ479:BN486)</f>
        <v>0</v>
      </c>
      <c r="BO487"/>
    </row>
    <row r="488" spans="1:67">
      <c r="A488" s="142"/>
      <c r="B488" s="57"/>
      <c r="C488" s="57"/>
      <c r="D488" s="57"/>
      <c r="E488" s="57"/>
      <c r="F488" s="57"/>
      <c r="G488" s="57"/>
      <c r="H488" s="57"/>
      <c r="I488" s="57"/>
      <c r="J488" s="57"/>
      <c r="K488" s="57"/>
      <c r="L488" s="57"/>
      <c r="M488" s="57"/>
      <c r="N488" s="57"/>
      <c r="O488" s="57"/>
      <c r="P488" s="57"/>
      <c r="Q488" s="57"/>
      <c r="R488" s="57"/>
      <c r="S488" s="57"/>
      <c r="T488" s="57"/>
      <c r="U488" s="57"/>
      <c r="V488" s="57"/>
      <c r="W488" s="57"/>
      <c r="X488" s="57"/>
      <c r="Y488" s="57"/>
      <c r="Z488" s="57"/>
      <c r="AA488" s="57"/>
      <c r="AB488" s="57"/>
      <c r="AC488" s="57"/>
      <c r="AD488" s="57"/>
      <c r="AK488" t="s">
        <v>2650</v>
      </c>
      <c r="AL488" s="405">
        <f>SUM(AM487,AP487,AS487,AV487,AY487)</f>
        <v>0</v>
      </c>
      <c r="AM488" t="s">
        <v>2651</v>
      </c>
      <c r="AN488">
        <f>SUM(AK487,AN487,AQ487,AT487,AW487)</f>
        <v>0</v>
      </c>
      <c r="BN488" s="507">
        <f>SUM(BN487,BN473)</f>
        <v>0</v>
      </c>
      <c r="BO488"/>
    </row>
    <row r="489" spans="1:67" ht="45" customHeight="1">
      <c r="A489" s="142"/>
      <c r="B489" s="57"/>
      <c r="C489" s="822" t="s">
        <v>2798</v>
      </c>
      <c r="D489" s="822"/>
      <c r="E489" s="822"/>
      <c r="F489" s="749"/>
      <c r="G489" s="749"/>
      <c r="H489" s="749"/>
      <c r="I489" s="749"/>
      <c r="J489" s="749"/>
      <c r="K489" s="749"/>
      <c r="L489" s="749"/>
      <c r="M489" s="749"/>
      <c r="N489" s="749"/>
      <c r="O489" s="749"/>
      <c r="P489" s="749"/>
      <c r="Q489" s="749"/>
      <c r="R489" s="749"/>
      <c r="S489" s="749"/>
      <c r="T489" s="749"/>
      <c r="U489" s="749"/>
      <c r="V489" s="749"/>
      <c r="W489" s="749"/>
      <c r="X489" s="749"/>
      <c r="Y489" s="749"/>
      <c r="Z489" s="749"/>
      <c r="AA489" s="749"/>
      <c r="AB489" s="749"/>
      <c r="AC489" s="749"/>
      <c r="AD489" s="749"/>
      <c r="AK489" t="s">
        <v>2652</v>
      </c>
      <c r="AL489">
        <f>IF(AN488&gt;0,IF(SUM(P487)&gt;=SUM(S487,V487,Y487,AB487),0,1),IF(SUM(P487)&lt;&gt;SUM(S487,V487,Y487,AB487),1,0))</f>
        <v>0</v>
      </c>
      <c r="AM489" t="s">
        <v>2653</v>
      </c>
      <c r="AN489">
        <f>IF(AN488&gt;0,IF(SUM(Q487)&gt;=SUM(T487,W487,Z487,AC487),0,1),IF(SUM(Q487)&lt;&gt;SUM(T487,W487,Z487,AC487),1,0))</f>
        <v>0</v>
      </c>
      <c r="AO489" t="s">
        <v>2654</v>
      </c>
      <c r="AP489">
        <f>IF(AN488&gt;0,IF(SUM(R487)&gt;=SUM(U487,X487,AA487,AD487),0,1),IF(SUM(R487)&lt;&gt;SUM(U487,X487,AA487,AD487),1,0))</f>
        <v>0</v>
      </c>
      <c r="BO489"/>
    </row>
    <row r="490" spans="1:67">
      <c r="A490" s="142"/>
      <c r="B490" s="1003" t="str">
        <f>IF(AND(AB487&gt;0,AB487&lt;&gt;"NA",AB487&lt;&gt;"NS",F489=""),"Debido a que registró un número mayor a cero en el apartado Otro tipo, debe anotar el n. de dicho(s) tipo(s) de enfermedad(es)","")</f>
        <v/>
      </c>
      <c r="C490" s="1003"/>
      <c r="D490" s="1003"/>
      <c r="E490" s="1003"/>
      <c r="F490" s="1003"/>
      <c r="G490" s="1003"/>
      <c r="H490" s="1003"/>
      <c r="I490" s="1003"/>
      <c r="J490" s="1003"/>
      <c r="K490" s="1003"/>
      <c r="L490" s="1003"/>
      <c r="M490" s="1003"/>
      <c r="N490" s="1003"/>
      <c r="O490" s="1003"/>
      <c r="P490" s="1003"/>
      <c r="Q490" s="1003"/>
      <c r="R490" s="1003"/>
      <c r="S490" s="1003"/>
      <c r="T490" s="1003"/>
      <c r="U490" s="1003"/>
      <c r="V490" s="1003"/>
      <c r="W490" s="1003"/>
      <c r="X490" s="1003"/>
      <c r="Y490" s="1003"/>
      <c r="Z490" s="1003"/>
      <c r="AA490" s="1003"/>
      <c r="AB490" s="1003"/>
      <c r="AC490" s="1003"/>
      <c r="AD490" s="1003"/>
      <c r="AE490" s="1003"/>
      <c r="AK490" t="s">
        <v>5218</v>
      </c>
      <c r="AL490" s="506">
        <f>SUM(AL488,AL474)</f>
        <v>0</v>
      </c>
      <c r="AM490" t="s">
        <v>5219</v>
      </c>
      <c r="AN490">
        <f>SUM(AN488,AN474)</f>
        <v>0</v>
      </c>
      <c r="BO490"/>
    </row>
    <row r="491" spans="1:67" ht="24" customHeight="1">
      <c r="A491" s="50"/>
      <c r="B491" s="38"/>
      <c r="C491" s="754" t="s">
        <v>2611</v>
      </c>
      <c r="D491" s="754"/>
      <c r="E491" s="754"/>
      <c r="F491" s="754"/>
      <c r="G491" s="754"/>
      <c r="H491" s="754"/>
      <c r="I491" s="754"/>
      <c r="J491" s="754"/>
      <c r="K491" s="754"/>
      <c r="L491" s="754"/>
      <c r="M491" s="754"/>
      <c r="N491" s="754"/>
      <c r="O491" s="754"/>
      <c r="P491" s="754"/>
      <c r="Q491" s="754"/>
      <c r="R491" s="754"/>
      <c r="S491" s="754"/>
      <c r="T491" s="754"/>
      <c r="U491" s="754"/>
      <c r="V491" s="754"/>
      <c r="W491" s="754"/>
      <c r="X491" s="754"/>
      <c r="Y491" s="754"/>
      <c r="Z491" s="754"/>
      <c r="AA491" s="754"/>
      <c r="AB491" s="754"/>
      <c r="AC491" s="754"/>
      <c r="AD491" s="754"/>
      <c r="AK491" t="s">
        <v>5220</v>
      </c>
      <c r="AL491">
        <f>IF(AN490&gt;0,IF(SUM(P473)&gt;=SUM(S473,V473,Y473,AB473,P487,S487,V487,Y487,AB487),0,1),IF(SUM(P473)&lt;&gt;SUM(S473,V473,Y473,AB473,P487,S487,V487,Y487,AB487),1,0))</f>
        <v>0</v>
      </c>
      <c r="AM491" t="s">
        <v>5221</v>
      </c>
      <c r="AN491">
        <f>IF(AN490&gt;0,IF(SUM(Q473)&gt;=SUM(T473,W473,Z473,AC473,Q487,T487,W487,Z487,AC487),0,1),IF(SUM(Q473)&lt;&gt;SUM(T473,W473,Z473,AC473,Q487,T487,W487,Z487,AC487),1,0))</f>
        <v>0</v>
      </c>
      <c r="AO491" t="s">
        <v>5222</v>
      </c>
      <c r="AP491">
        <f>IF(AN490&gt;0,IF(SUM(R473)&gt;=SUM(U473,X473,AA473,AD473,R487,U487,X487,AA487,AD487),0,1),IF(SUM(R473)&lt;&gt;SUM(U473,X473,AA473,AD473,R487,U487,X487,AA487,AD487),1,0))</f>
        <v>0</v>
      </c>
      <c r="BO491"/>
    </row>
    <row r="492" spans="1:67" ht="60" customHeight="1">
      <c r="A492" s="50"/>
      <c r="B492" s="38"/>
      <c r="C492" s="851"/>
      <c r="D492" s="851"/>
      <c r="E492" s="851"/>
      <c r="F492" s="851"/>
      <c r="G492" s="851"/>
      <c r="H492" s="851"/>
      <c r="I492" s="851"/>
      <c r="J492" s="851"/>
      <c r="K492" s="851"/>
      <c r="L492" s="851"/>
      <c r="M492" s="851"/>
      <c r="N492" s="851"/>
      <c r="O492" s="851"/>
      <c r="P492" s="851"/>
      <c r="Q492" s="851"/>
      <c r="R492" s="851"/>
      <c r="S492" s="851"/>
      <c r="T492" s="851"/>
      <c r="U492" s="851"/>
      <c r="V492" s="851"/>
      <c r="W492" s="851"/>
      <c r="X492" s="851"/>
      <c r="Y492" s="851"/>
      <c r="Z492" s="851"/>
      <c r="AA492" s="851"/>
      <c r="AB492" s="851"/>
      <c r="AC492" s="851"/>
      <c r="AD492" s="851"/>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row>
    <row r="493" spans="1:67">
      <c r="A493" s="142"/>
      <c r="B493" s="794" t="str">
        <f>IF(AG473=0,"","Favor de ingresar toda la información requerida en la pregunta")</f>
        <v/>
      </c>
      <c r="C493" s="794"/>
      <c r="D493" s="794"/>
      <c r="E493" s="794"/>
      <c r="F493" s="794"/>
      <c r="G493" s="794"/>
      <c r="H493" s="794"/>
      <c r="I493" s="794"/>
      <c r="J493" s="794"/>
      <c r="K493" s="794"/>
      <c r="L493" s="794"/>
      <c r="M493" s="794"/>
      <c r="N493" s="794"/>
      <c r="O493" s="794"/>
      <c r="P493" s="794"/>
      <c r="Q493" s="794"/>
      <c r="R493" s="794"/>
      <c r="S493" s="794"/>
      <c r="T493" s="794"/>
      <c r="U493" s="794"/>
      <c r="V493" s="794"/>
      <c r="W493" s="794"/>
      <c r="X493" s="794"/>
      <c r="Y493" s="794"/>
      <c r="Z493" s="794"/>
      <c r="AA493" s="794"/>
      <c r="AB493" s="794"/>
      <c r="AC493" s="794"/>
      <c r="AD493" s="794"/>
      <c r="AE493" s="794"/>
    </row>
    <row r="494" spans="1:67">
      <c r="A494" s="142"/>
      <c r="B494" s="1087" t="str">
        <f>IF(SUM(COUNTIF(P465:AD472,"NS"),COUNTIF(P479:AD486,"NS"))&lt;&gt;0,"Alerta: debido a que cuenta con registros NS, debe proporcionar una justificación en el area de comentarios al final de la pregunta","")</f>
        <v/>
      </c>
      <c r="C494" s="1087"/>
      <c r="D494" s="1087"/>
      <c r="E494" s="1087"/>
      <c r="F494" s="1087"/>
      <c r="G494" s="1087"/>
      <c r="H494" s="1087"/>
      <c r="I494" s="1087"/>
      <c r="J494" s="1087"/>
      <c r="K494" s="1087"/>
      <c r="L494" s="1087"/>
      <c r="M494" s="1087"/>
      <c r="N494" s="1087"/>
      <c r="O494" s="1087"/>
      <c r="P494" s="1087"/>
      <c r="Q494" s="1087"/>
      <c r="R494" s="1087"/>
      <c r="S494" s="1087"/>
      <c r="T494" s="1087"/>
      <c r="U494" s="1087"/>
      <c r="V494" s="1087"/>
      <c r="W494" s="1087"/>
      <c r="X494" s="1087"/>
      <c r="Y494" s="1087"/>
      <c r="Z494" s="1087"/>
      <c r="AA494" s="1087"/>
      <c r="AB494" s="1087"/>
      <c r="AC494" s="1087"/>
      <c r="AD494" s="1087"/>
      <c r="AE494" s="1087"/>
    </row>
    <row r="495" spans="1:67">
      <c r="A495" s="142"/>
      <c r="B495" s="1003" t="str">
        <f>IF(AH473&gt;0,"Revise la información capturada, ya que tiene datos ingresados en celdas que están sombreadas","")</f>
        <v/>
      </c>
      <c r="C495" s="1003"/>
      <c r="D495" s="1003"/>
      <c r="E495" s="1003"/>
      <c r="F495" s="1003"/>
      <c r="G495" s="1003"/>
      <c r="H495" s="1003"/>
      <c r="I495" s="1003"/>
      <c r="J495" s="1003"/>
      <c r="K495" s="1003"/>
      <c r="L495" s="1003"/>
      <c r="M495" s="1003"/>
      <c r="N495" s="1003"/>
      <c r="O495" s="1003"/>
      <c r="P495" s="1003"/>
      <c r="Q495" s="1003"/>
      <c r="R495" s="1003"/>
      <c r="S495" s="1003"/>
      <c r="T495" s="1003"/>
      <c r="U495" s="1003"/>
      <c r="V495" s="1003"/>
      <c r="W495" s="1003"/>
      <c r="X495" s="1003"/>
      <c r="Y495" s="1003"/>
      <c r="Z495" s="1003"/>
      <c r="AA495" s="1003"/>
      <c r="AB495" s="1003"/>
      <c r="AC495" s="1003"/>
      <c r="AD495" s="1003"/>
      <c r="AE495" s="1003"/>
    </row>
    <row r="496" spans="1:67">
      <c r="A496" s="142"/>
      <c r="B496" s="1003" t="str">
        <f>IF(AL490&gt;0,"Favor de revisar la suma y consistencia de totales y/o subtotales por filas (numéricos y NS)","")</f>
        <v/>
      </c>
      <c r="C496" s="1003"/>
      <c r="D496" s="1003"/>
      <c r="E496" s="1003"/>
      <c r="F496" s="1003"/>
      <c r="G496" s="1003"/>
      <c r="H496" s="1003"/>
      <c r="I496" s="1003"/>
      <c r="J496" s="1003"/>
      <c r="K496" s="1003"/>
      <c r="L496" s="1003"/>
      <c r="M496" s="1003"/>
      <c r="N496" s="1003"/>
      <c r="O496" s="1003"/>
      <c r="P496" s="1003"/>
      <c r="Q496" s="1003"/>
      <c r="R496" s="1003"/>
      <c r="S496" s="1003"/>
      <c r="T496" s="1003"/>
      <c r="U496" s="1003"/>
      <c r="V496" s="1003"/>
      <c r="W496" s="1003"/>
      <c r="X496" s="1003"/>
      <c r="Y496" s="1003"/>
      <c r="Z496" s="1003"/>
      <c r="AA496" s="1003"/>
      <c r="AB496" s="1003"/>
      <c r="AC496" s="1003"/>
      <c r="AD496" s="1003"/>
      <c r="AE496" s="1003"/>
    </row>
    <row r="497" spans="1:67">
      <c r="A497" s="142"/>
      <c r="B497" s="794" t="str">
        <f>IF(BB473&gt;0,"Favor de revisar la instrucción 2, debido a que no se cumplen con los criterios mencionados","")</f>
        <v/>
      </c>
      <c r="C497" s="794"/>
      <c r="D497" s="794"/>
      <c r="E497" s="794"/>
      <c r="F497" s="794"/>
      <c r="G497" s="794"/>
      <c r="H497" s="794"/>
      <c r="I497" s="794"/>
      <c r="J497" s="794"/>
      <c r="K497" s="794"/>
      <c r="L497" s="794"/>
      <c r="M497" s="794"/>
      <c r="N497" s="794"/>
      <c r="O497" s="794"/>
      <c r="P497" s="794"/>
      <c r="Q497" s="794"/>
      <c r="R497" s="794"/>
      <c r="S497" s="794"/>
      <c r="T497" s="794"/>
      <c r="U497" s="794"/>
      <c r="V497" s="794"/>
      <c r="W497" s="794"/>
      <c r="X497" s="794"/>
      <c r="Y497" s="794"/>
      <c r="Z497" s="794"/>
      <c r="AA497" s="794"/>
      <c r="AB497" s="794"/>
      <c r="AC497" s="794"/>
      <c r="AD497" s="794"/>
      <c r="AE497" s="794"/>
    </row>
    <row r="498" spans="1:67">
      <c r="A498" s="142"/>
      <c r="B498" s="795" t="str">
        <f>IF(BN488&gt;0,"Alerta: debe de proporcionar una justificación de acuerdo a lo establecido en la instrucción 3","")</f>
        <v/>
      </c>
      <c r="C498" s="795"/>
      <c r="D498" s="795"/>
      <c r="E498" s="795"/>
      <c r="F498" s="795"/>
      <c r="G498" s="795"/>
      <c r="H498" s="795"/>
      <c r="I498" s="795"/>
      <c r="J498" s="795"/>
      <c r="K498" s="795"/>
      <c r="L498" s="795"/>
      <c r="M498" s="795"/>
      <c r="N498" s="795"/>
      <c r="O498" s="795"/>
      <c r="P498" s="795"/>
      <c r="Q498" s="795"/>
      <c r="R498" s="795"/>
      <c r="S498" s="795"/>
      <c r="T498" s="795"/>
      <c r="U498" s="795"/>
      <c r="V498" s="795"/>
      <c r="W498" s="795"/>
      <c r="X498" s="795"/>
      <c r="Y498" s="795"/>
      <c r="Z498" s="795"/>
      <c r="AA498" s="795"/>
      <c r="AB498" s="795"/>
      <c r="AC498" s="795"/>
      <c r="AD498" s="795"/>
      <c r="AE498" s="795"/>
    </row>
    <row r="499" spans="1:67" ht="36" customHeight="1">
      <c r="A499" s="49" t="s">
        <v>5955</v>
      </c>
      <c r="B499" s="829" t="s">
        <v>5956</v>
      </c>
      <c r="C499" s="829"/>
      <c r="D499" s="829"/>
      <c r="E499" s="829"/>
      <c r="F499" s="829"/>
      <c r="G499" s="829"/>
      <c r="H499" s="829"/>
      <c r="I499" s="829"/>
      <c r="J499" s="829"/>
      <c r="K499" s="829"/>
      <c r="L499" s="829"/>
      <c r="M499" s="829"/>
      <c r="N499" s="829"/>
      <c r="O499" s="829"/>
      <c r="P499" s="829"/>
      <c r="Q499" s="829"/>
      <c r="R499" s="829"/>
      <c r="S499" s="829"/>
      <c r="T499" s="829"/>
      <c r="U499" s="829"/>
      <c r="V499" s="829"/>
      <c r="W499" s="829"/>
      <c r="X499" s="829"/>
      <c r="Y499" s="829"/>
      <c r="Z499" s="829"/>
      <c r="AA499" s="829"/>
      <c r="AB499" s="829"/>
      <c r="AC499" s="829"/>
      <c r="AD499" s="829"/>
    </row>
    <row r="500" spans="1:67" ht="36" customHeight="1">
      <c r="A500" s="50"/>
      <c r="B500" s="38"/>
      <c r="C500" s="830" t="s">
        <v>5957</v>
      </c>
      <c r="D500" s="830"/>
      <c r="E500" s="830"/>
      <c r="F500" s="830"/>
      <c r="G500" s="830"/>
      <c r="H500" s="830"/>
      <c r="I500" s="830"/>
      <c r="J500" s="830"/>
      <c r="K500" s="830"/>
      <c r="L500" s="830"/>
      <c r="M500" s="830"/>
      <c r="N500" s="830"/>
      <c r="O500" s="830"/>
      <c r="P500" s="830"/>
      <c r="Q500" s="830"/>
      <c r="R500" s="830"/>
      <c r="S500" s="830"/>
      <c r="T500" s="830"/>
      <c r="U500" s="830"/>
      <c r="V500" s="830"/>
      <c r="W500" s="830"/>
      <c r="X500" s="830"/>
      <c r="Y500" s="830"/>
      <c r="Z500" s="830"/>
      <c r="AA500" s="830"/>
      <c r="AB500" s="830"/>
      <c r="AC500" s="830"/>
      <c r="AD500" s="830"/>
    </row>
    <row r="501" spans="1:67" ht="48" customHeight="1">
      <c r="A501" s="50"/>
      <c r="B501" s="38"/>
      <c r="C501" s="754" t="s">
        <v>5958</v>
      </c>
      <c r="D501" s="754"/>
      <c r="E501" s="754"/>
      <c r="F501" s="754"/>
      <c r="G501" s="754"/>
      <c r="H501" s="754"/>
      <c r="I501" s="754"/>
      <c r="J501" s="754"/>
      <c r="K501" s="754"/>
      <c r="L501" s="754"/>
      <c r="M501" s="754"/>
      <c r="N501" s="754"/>
      <c r="O501" s="754"/>
      <c r="P501" s="754"/>
      <c r="Q501" s="754"/>
      <c r="R501" s="754"/>
      <c r="S501" s="754"/>
      <c r="T501" s="754"/>
      <c r="U501" s="754"/>
      <c r="V501" s="754"/>
      <c r="W501" s="754"/>
      <c r="X501" s="754"/>
      <c r="Y501" s="754"/>
      <c r="Z501" s="754"/>
      <c r="AA501" s="754"/>
      <c r="AB501" s="754"/>
      <c r="AC501" s="754"/>
      <c r="AD501" s="754"/>
    </row>
    <row r="502" spans="1:67" ht="48" customHeight="1">
      <c r="A502" s="50"/>
      <c r="B502" s="38"/>
      <c r="C502" s="754" t="s">
        <v>5959</v>
      </c>
      <c r="D502" s="754"/>
      <c r="E502" s="754"/>
      <c r="F502" s="754"/>
      <c r="G502" s="754"/>
      <c r="H502" s="754"/>
      <c r="I502" s="754"/>
      <c r="J502" s="754"/>
      <c r="K502" s="754"/>
      <c r="L502" s="754"/>
      <c r="M502" s="754"/>
      <c r="N502" s="754"/>
      <c r="O502" s="754"/>
      <c r="P502" s="754"/>
      <c r="Q502" s="754"/>
      <c r="R502" s="754"/>
      <c r="S502" s="754"/>
      <c r="T502" s="754"/>
      <c r="U502" s="754"/>
      <c r="V502" s="754"/>
      <c r="W502" s="754"/>
      <c r="X502" s="754"/>
      <c r="Y502" s="754"/>
      <c r="Z502" s="754"/>
      <c r="AA502" s="754"/>
      <c r="AB502" s="754"/>
      <c r="AC502" s="754"/>
      <c r="AD502" s="754"/>
    </row>
    <row r="503" spans="1:67" ht="24" customHeight="1">
      <c r="A503" s="50"/>
      <c r="B503" s="38"/>
      <c r="C503" s="754" t="s">
        <v>5960</v>
      </c>
      <c r="D503" s="754"/>
      <c r="E503" s="754"/>
      <c r="F503" s="754"/>
      <c r="G503" s="754"/>
      <c r="H503" s="754"/>
      <c r="I503" s="754"/>
      <c r="J503" s="754"/>
      <c r="K503" s="754"/>
      <c r="L503" s="754"/>
      <c r="M503" s="754"/>
      <c r="N503" s="754"/>
      <c r="O503" s="754"/>
      <c r="P503" s="754"/>
      <c r="Q503" s="754"/>
      <c r="R503" s="754"/>
      <c r="S503" s="754"/>
      <c r="T503" s="754"/>
      <c r="U503" s="754"/>
      <c r="V503" s="754"/>
      <c r="W503" s="754"/>
      <c r="X503" s="754"/>
      <c r="Y503" s="754"/>
      <c r="Z503" s="754"/>
      <c r="AA503" s="754"/>
      <c r="AB503" s="754"/>
      <c r="AC503" s="754"/>
      <c r="AD503" s="754"/>
    </row>
    <row r="504" spans="1:67">
      <c r="A504" s="142"/>
      <c r="B504" s="57"/>
      <c r="C504" s="57"/>
      <c r="D504" s="57"/>
      <c r="E504" s="57"/>
      <c r="F504" s="57"/>
      <c r="G504" s="57"/>
      <c r="H504" s="57"/>
      <c r="I504" s="57"/>
      <c r="J504" s="57"/>
      <c r="K504" s="57"/>
      <c r="L504" s="57"/>
      <c r="M504" s="57"/>
      <c r="N504" s="57"/>
      <c r="O504" s="57"/>
      <c r="P504" s="57"/>
      <c r="Q504" s="57"/>
      <c r="R504" s="57"/>
      <c r="S504" s="57"/>
      <c r="T504" s="57"/>
      <c r="U504" s="57"/>
      <c r="V504" s="57"/>
      <c r="W504" s="57"/>
      <c r="X504" s="57"/>
      <c r="Y504" s="57"/>
      <c r="Z504" s="57"/>
      <c r="AA504" s="57"/>
      <c r="AB504" s="57"/>
      <c r="AC504" s="57"/>
      <c r="AD504" s="57"/>
    </row>
    <row r="505" spans="1:67">
      <c r="A505" s="142"/>
      <c r="B505" s="57"/>
      <c r="C505" s="75"/>
      <c r="D505" s="75"/>
      <c r="E505" s="75"/>
      <c r="F505" s="75"/>
      <c r="G505" s="75"/>
      <c r="H505" s="75"/>
      <c r="I505" s="75"/>
      <c r="J505" s="75"/>
      <c r="K505" s="75"/>
      <c r="L505" s="75"/>
      <c r="M505" s="75"/>
      <c r="N505" s="75"/>
      <c r="O505" s="75"/>
      <c r="P505" s="75"/>
      <c r="Q505" s="75"/>
      <c r="R505" s="75"/>
      <c r="S505" s="75"/>
      <c r="T505" s="75"/>
      <c r="U505" s="75"/>
      <c r="V505" s="75"/>
      <c r="W505" s="75"/>
      <c r="X505" s="75"/>
      <c r="Y505" s="75"/>
      <c r="Z505" s="75"/>
      <c r="AA505" s="873" t="s">
        <v>2664</v>
      </c>
      <c r="AB505" s="873"/>
      <c r="AC505" s="873"/>
      <c r="AD505" s="873"/>
    </row>
    <row r="506" spans="1:67" ht="36" customHeight="1">
      <c r="A506" s="142"/>
      <c r="B506" s="57"/>
      <c r="C506" s="732" t="s">
        <v>2581</v>
      </c>
      <c r="D506" s="732"/>
      <c r="E506" s="732"/>
      <c r="F506" s="732"/>
      <c r="G506" s="732"/>
      <c r="H506" s="732"/>
      <c r="I506" s="732"/>
      <c r="J506" s="732"/>
      <c r="K506" s="732"/>
      <c r="L506" s="732"/>
      <c r="M506" s="732"/>
      <c r="N506" s="732"/>
      <c r="O506" s="732"/>
      <c r="P506" s="739" t="s">
        <v>5961</v>
      </c>
      <c r="Q506" s="740"/>
      <c r="R506" s="740"/>
      <c r="S506" s="740"/>
      <c r="T506" s="740"/>
      <c r="U506" s="740"/>
      <c r="V506" s="740"/>
      <c r="W506" s="740"/>
      <c r="X506" s="740"/>
      <c r="Y506" s="740"/>
      <c r="Z506" s="740"/>
      <c r="AA506" s="740"/>
      <c r="AB506" s="740"/>
      <c r="AC506" s="740"/>
      <c r="AD506" s="741"/>
    </row>
    <row r="507" spans="1:67" ht="120" customHeight="1">
      <c r="A507" s="142"/>
      <c r="B507" s="57"/>
      <c r="C507" s="732"/>
      <c r="D507" s="732"/>
      <c r="E507" s="732"/>
      <c r="F507" s="732"/>
      <c r="G507" s="732"/>
      <c r="H507" s="732"/>
      <c r="I507" s="732"/>
      <c r="J507" s="732"/>
      <c r="K507" s="732"/>
      <c r="L507" s="732"/>
      <c r="M507" s="732"/>
      <c r="N507" s="732"/>
      <c r="O507" s="732"/>
      <c r="P507" s="958" t="s">
        <v>2628</v>
      </c>
      <c r="Q507" s="959" t="s">
        <v>2629</v>
      </c>
      <c r="R507" s="959" t="s">
        <v>2630</v>
      </c>
      <c r="S507" s="858" t="s">
        <v>5362</v>
      </c>
      <c r="T507" s="859"/>
      <c r="U507" s="860"/>
      <c r="V507" s="858" t="s">
        <v>5363</v>
      </c>
      <c r="W507" s="859"/>
      <c r="X507" s="860"/>
      <c r="Y507" s="858" t="s">
        <v>5364</v>
      </c>
      <c r="Z507" s="859"/>
      <c r="AA507" s="860"/>
      <c r="AB507" s="858" t="s">
        <v>5365</v>
      </c>
      <c r="AC507" s="859"/>
      <c r="AD507" s="860"/>
    </row>
    <row r="508" spans="1:67" ht="48" customHeight="1">
      <c r="A508" s="142"/>
      <c r="B508" s="57"/>
      <c r="C508" s="732"/>
      <c r="D508" s="732"/>
      <c r="E508" s="732"/>
      <c r="F508" s="732"/>
      <c r="G508" s="732"/>
      <c r="H508" s="732"/>
      <c r="I508" s="732"/>
      <c r="J508" s="732"/>
      <c r="K508" s="732"/>
      <c r="L508" s="732"/>
      <c r="M508" s="732"/>
      <c r="N508" s="732"/>
      <c r="O508" s="732"/>
      <c r="P508" s="888"/>
      <c r="Q508" s="890"/>
      <c r="R508" s="890"/>
      <c r="S508" s="171" t="s">
        <v>2635</v>
      </c>
      <c r="T508" s="128" t="s">
        <v>2629</v>
      </c>
      <c r="U508" s="128" t="s">
        <v>2630</v>
      </c>
      <c r="V508" s="171" t="s">
        <v>2635</v>
      </c>
      <c r="W508" s="128" t="s">
        <v>2629</v>
      </c>
      <c r="X508" s="128" t="s">
        <v>2630</v>
      </c>
      <c r="Y508" s="171" t="s">
        <v>2635</v>
      </c>
      <c r="Z508" s="128" t="s">
        <v>2629</v>
      </c>
      <c r="AA508" s="128" t="s">
        <v>2630</v>
      </c>
      <c r="AB508" s="171" t="s">
        <v>2635</v>
      </c>
      <c r="AC508" s="128" t="s">
        <v>2629</v>
      </c>
      <c r="AD508" s="128" t="s">
        <v>2630</v>
      </c>
      <c r="AG508" t="s">
        <v>2586</v>
      </c>
      <c r="AH508" t="s">
        <v>4581</v>
      </c>
      <c r="AI508"/>
      <c r="AJ508"/>
      <c r="AK508" t="s">
        <v>4573</v>
      </c>
      <c r="AL508" t="s">
        <v>2638</v>
      </c>
      <c r="AM508" t="s">
        <v>2639</v>
      </c>
      <c r="AN508" t="s">
        <v>4574</v>
      </c>
      <c r="AO508" t="s">
        <v>2641</v>
      </c>
      <c r="AP508" t="s">
        <v>2642</v>
      </c>
      <c r="AQ508" t="s">
        <v>4575</v>
      </c>
      <c r="AR508" t="s">
        <v>2644</v>
      </c>
      <c r="AS508" t="s">
        <v>2645</v>
      </c>
      <c r="AT508" t="s">
        <v>4576</v>
      </c>
      <c r="AU508" t="s">
        <v>2647</v>
      </c>
      <c r="AV508" t="s">
        <v>2648</v>
      </c>
      <c r="AW508" t="s">
        <v>5177</v>
      </c>
      <c r="AX508" t="s">
        <v>2757</v>
      </c>
      <c r="AY508" t="s">
        <v>2758</v>
      </c>
      <c r="AZ508" t="s">
        <v>5291</v>
      </c>
      <c r="BA508"/>
      <c r="BB508"/>
      <c r="BC508" t="s">
        <v>5290</v>
      </c>
      <c r="BD508"/>
      <c r="BE508"/>
      <c r="BF508"/>
      <c r="BG508"/>
      <c r="BH508"/>
      <c r="BI508"/>
      <c r="BJ508"/>
      <c r="BK508"/>
      <c r="BL508"/>
      <c r="BM508"/>
      <c r="BN508"/>
      <c r="BO508"/>
    </row>
    <row r="509" spans="1:67">
      <c r="A509" s="142"/>
      <c r="B509" s="57"/>
      <c r="C509" s="44" t="s">
        <v>2516</v>
      </c>
      <c r="D509" s="872" t="str">
        <f>IF(CNSIPEE_2024_M2_Secc1!D42="","",CNSIPEE_2024_M2_Secc1!D42)</f>
        <v/>
      </c>
      <c r="E509" s="872"/>
      <c r="F509" s="872"/>
      <c r="G509" s="872"/>
      <c r="H509" s="872"/>
      <c r="I509" s="872"/>
      <c r="J509" s="872"/>
      <c r="K509" s="872"/>
      <c r="L509" s="872"/>
      <c r="M509" s="872"/>
      <c r="N509" s="872"/>
      <c r="O509" s="872"/>
      <c r="P509" s="100"/>
      <c r="Q509" s="100"/>
      <c r="R509" s="100"/>
      <c r="S509" s="100"/>
      <c r="T509" s="100"/>
      <c r="U509" s="100"/>
      <c r="V509" s="100"/>
      <c r="W509" s="100"/>
      <c r="X509" s="100"/>
      <c r="Y509" s="100"/>
      <c r="Z509" s="100"/>
      <c r="AA509" s="100"/>
      <c r="AB509" s="100"/>
      <c r="AC509" s="100"/>
      <c r="AD509" s="100"/>
      <c r="AG509">
        <f>IF(OR($J391=0,$J391="NS",$J391="NA"),0,IF(OR(SUM(COUNTBLANK(D509:AD509),COUNTBLANK(P523:AD523))=11,SUM(COUNTBLANK(D509:AD509),COUNTBLANK(P523:AD523))=42),0,1))</f>
        <v>0</v>
      </c>
      <c r="AH509">
        <f t="shared" ref="AH509:AH516" si="388">IF(OR($J391=0,$J391="NS",$J391="NA"),IF(SUM(COUNTBLANK(P509:AD509),COUNTBLANK(P523:AD523))=30,0,1),0)</f>
        <v>0</v>
      </c>
      <c r="AI509"/>
      <c r="AJ509"/>
      <c r="AK509">
        <f t="shared" ref="AK509:AK516" si="389">COUNTIF(Q509:R509,"NS")</f>
        <v>0</v>
      </c>
      <c r="AL509">
        <f t="shared" ref="AL509:AL516" si="390">SUM(Q509:R509)</f>
        <v>0</v>
      </c>
      <c r="AM509">
        <f>IF(COUNTIF(P509:R509,"NA")=3,0,IF(COUNTA(P509:R509)=0,0,IF(OR(AND(P509=0,AK509&gt;0),AND(P509="ns",AL509&gt;0),AND(P509="ns",AK509=0,AL509=0)),1,IF(OR(AND(P509&gt;0,AK509=2),AND(P509="ns",AK509=2),AND(P509="ns",AL509=0,AK509&gt;0),P509=AL509),0,1))))</f>
        <v>0</v>
      </c>
      <c r="AN509">
        <f t="shared" ref="AN509:AN516" si="391">COUNTIF(T509:U509,"NS")</f>
        <v>0</v>
      </c>
      <c r="AO509">
        <f t="shared" ref="AO509:AO516" si="392">SUM(T509:U509)</f>
        <v>0</v>
      </c>
      <c r="AP509">
        <f t="shared" ref="AP509:AP516" si="393">IF(COUNTIF(S509:U509,"NA")=3,0,IF(COUNTA(S509:U509)=0,0,IF(OR(AND(S509=0,AN509&gt;0),AND(S509="ns",AO509&gt;0),AND(S509="ns",AN509=0,AO509=0)),1,IF(OR(AND(S509&gt;0,AN509=2),AND(S509="ns",AN509=2),AND(S509="ns",AO509=0,AN509&gt;0),S509=AO509),0,1))))</f>
        <v>0</v>
      </c>
      <c r="AQ509">
        <f t="shared" ref="AQ509:AQ516" si="394">COUNTIF(W509:X509,"NS")</f>
        <v>0</v>
      </c>
      <c r="AR509">
        <f t="shared" ref="AR509:AR516" si="395">SUM(W509:X509)</f>
        <v>0</v>
      </c>
      <c r="AS509">
        <f t="shared" ref="AS509:AS516" si="396">IF(COUNTIF(V509:X509,"NA")=3,0,IF(COUNTA(V509:X509)=0,0,IF(OR(AND(V509=0,AQ509&gt;0),AND(V509="ns",AR509&gt;0),AND(V509="ns",AQ509=0,AR509=0)),1,IF(OR(AND(V509&gt;0,AQ509=2),AND(V509="ns",AQ509=2),AND(V509="ns",AR509=0,AQ509&gt;0),V509=AR509),0,1))))</f>
        <v>0</v>
      </c>
      <c r="AT509">
        <f t="shared" ref="AT509:AT516" si="397">COUNTIF(Z509:AA509,"NS")</f>
        <v>0</v>
      </c>
      <c r="AU509">
        <f t="shared" ref="AU509:AU516" si="398">SUM(Z509:AA509)</f>
        <v>0</v>
      </c>
      <c r="AV509">
        <f t="shared" ref="AV509:AV516" si="399">IF(COUNTIF(Y509:AA509,"NA")=3,0,IF(COUNTA(Y509:AA509)=0,0,IF(OR(AND(Y509=0,AT509&gt;0),AND(Y509="ns",AU509&gt;0),AND(Y509="ns",AT509=0,AU509=0)),1,IF(OR(AND(Y509&gt;0,AT509=2),AND(Y509="ns",AT509=2),AND(Y509="ns",AU509=0,AT509&gt;0),Y509=AU509),0,1))))</f>
        <v>0</v>
      </c>
      <c r="AW509">
        <f t="shared" ref="AW509:AW516" si="400">COUNTIF(AC509:AD509,"NS")</f>
        <v>0</v>
      </c>
      <c r="AX509">
        <f t="shared" ref="AX509:AX516" si="401">SUM(AC509:AD509)</f>
        <v>0</v>
      </c>
      <c r="AY509">
        <f t="shared" ref="AY509:AY516" si="402">IF(COUNTIF(AB509:AD509,"NA")=3,0,IF(COUNTA(AB509:AD509)=0,0,IF(OR(AND(AB509=0,AW509&gt;0),AND(AB509="ns",AX509&gt;0),AND(AB509="ns",AW509=0,AX509=0)),1,IF(OR(AND(AB509&gt;0,AW509=2),AND(AB509="ns",AW509=2),AND(AB509="ns",AX509=0,AW509&gt;0),AB509=AX509),0,1))))</f>
        <v>0</v>
      </c>
      <c r="AZ509" cm="1">
        <f t="array" ref="AZ509">IF(OR(P509={"NS","NA"},J391={"NS","NA"}),0,IF(P509&gt;=J391,0,1))</f>
        <v>0</v>
      </c>
      <c r="BA509" cm="1">
        <f t="array" ref="BA509">IF(OR(Q509={"NS","NA"},K391={"NS","NA"}),0,IF(Q509&gt;=K391,0,1))</f>
        <v>0</v>
      </c>
      <c r="BB509" cm="1">
        <f t="array" ref="BB509">IF(OR(R509={"NS","NA"},L391={"NS","NA"}),0,IF(R509&gt;=L391,0,1))</f>
        <v>0</v>
      </c>
      <c r="BC509" cm="1">
        <f t="array" ref="BC509">IF(OR(S509={"NS","NA"},$J391={"NS","NA"}),0,IF(S509&lt;=$J391,0,1))</f>
        <v>0</v>
      </c>
      <c r="BD509" cm="1">
        <f t="array" ref="BD509">IF(OR(T509={"NS","NA"},$K391={"NS","NA"}),0,IF(T509&lt;=$K391,0,1))</f>
        <v>0</v>
      </c>
      <c r="BE509" cm="1">
        <f t="array" ref="BE509">IF(OR(U509={"NS","NA"},$L391={"NS","NA"}),0,IF(U509&lt;=$L391,0,1))</f>
        <v>0</v>
      </c>
      <c r="BF509" cm="1">
        <f t="array" ref="BF509">IF(OR(V509={"NS","NA"},$J391={"NS","NA"}),0,IF(V509&lt;=$J391,0,1))</f>
        <v>0</v>
      </c>
      <c r="BG509" cm="1">
        <f t="array" ref="BG509">IF(OR(W509={"NS","NA"},$K391={"NS","NA"}),0,IF(W509&lt;=$K391,0,1))</f>
        <v>0</v>
      </c>
      <c r="BH509" cm="1">
        <f t="array" ref="BH509">IF(OR(X509={"NS","NA"},$L391={"NS","NA"}),0,IF(X509&lt;=$L391,0,1))</f>
        <v>0</v>
      </c>
      <c r="BI509" cm="1">
        <f t="array" ref="BI509">IF(OR(Y509={"NS","NA"},$J391={"NS","NA"}),0,IF(Y509&lt;=$J391,0,1))</f>
        <v>0</v>
      </c>
      <c r="BJ509" cm="1">
        <f t="array" ref="BJ509">IF(OR(Z509={"NS","NA"},$K391={"NS","NA"}),0,IF(Z509&lt;=$K391,0,1))</f>
        <v>0</v>
      </c>
      <c r="BK509" cm="1">
        <f t="array" ref="BK509">IF(OR(AA509={"NS","NA"},$L391={"NS","NA"}),0,IF(AA509&lt;=$L391,0,1))</f>
        <v>0</v>
      </c>
      <c r="BL509" cm="1">
        <f t="array" ref="BL509">IF(OR(AB509={"NS","NA"},$J391={"NS","NA"}),0,IF(AB509&lt;=$J391,0,1))</f>
        <v>0</v>
      </c>
      <c r="BM509" cm="1">
        <f t="array" ref="BM509">IF(OR(AC509={"NS","NA"},$K391={"NS","NA"}),0,IF(AC509&lt;=$K391,0,1))</f>
        <v>0</v>
      </c>
      <c r="BN509" cm="1">
        <f t="array" ref="BN509">IF(OR(AD509={"NS","NA"},$L391={"NS","NA"}),0,IF(AD509&lt;=$L391,0,1))</f>
        <v>0</v>
      </c>
      <c r="BO509"/>
    </row>
    <row r="510" spans="1:67">
      <c r="A510" s="142"/>
      <c r="B510" s="57"/>
      <c r="C510" s="199" t="s">
        <v>2517</v>
      </c>
      <c r="D510" s="872" t="str">
        <f>IF(CNSIPEE_2024_M2_Secc1!D43="","",CNSIPEE_2024_M2_Secc1!D43)</f>
        <v/>
      </c>
      <c r="E510" s="872"/>
      <c r="F510" s="872"/>
      <c r="G510" s="872"/>
      <c r="H510" s="872"/>
      <c r="I510" s="872"/>
      <c r="J510" s="872"/>
      <c r="K510" s="872"/>
      <c r="L510" s="872"/>
      <c r="M510" s="872"/>
      <c r="N510" s="872"/>
      <c r="O510" s="872"/>
      <c r="P510" s="100"/>
      <c r="Q510" s="100"/>
      <c r="R510" s="100"/>
      <c r="S510" s="100"/>
      <c r="T510" s="100"/>
      <c r="U510" s="100"/>
      <c r="V510" s="100"/>
      <c r="W510" s="100"/>
      <c r="X510" s="100"/>
      <c r="Y510" s="100"/>
      <c r="Z510" s="100"/>
      <c r="AA510" s="100"/>
      <c r="AB510" s="100"/>
      <c r="AC510" s="100"/>
      <c r="AD510" s="100"/>
      <c r="AG510">
        <f t="shared" ref="AG510:AG516" si="403">IF(OR($J392=0,$J392="NS",$J392="NA"),0,IF(OR(SUM(COUNTBLANK(D510:AD510),COUNTBLANK(P524:AD524))=11,SUM(COUNTBLANK(D510:AD510),COUNTBLANK(P524:AD524))=42),0,1))</f>
        <v>0</v>
      </c>
      <c r="AH510">
        <f t="shared" si="388"/>
        <v>0</v>
      </c>
      <c r="AI510"/>
      <c r="AJ510"/>
      <c r="AK510">
        <f t="shared" si="389"/>
        <v>0</v>
      </c>
      <c r="AL510">
        <f t="shared" si="390"/>
        <v>0</v>
      </c>
      <c r="AM510">
        <f t="shared" ref="AM510:AM516" si="404">IF(COUNTIF(P510:R510,"NA")=3,0,IF(COUNTA(P510:R510)=0,0,IF(OR(AND(P510=0,AK510&gt;0),AND(P510="ns",AL510&gt;0),AND(P510="ns",AK510=0,AL510=0)),1,IF(OR(AND(P510&gt;0,AK510=2),AND(P510="ns",AK510=2),AND(P510="ns",AL510=0,AK510&gt;0),P510=AL510),0,1))))</f>
        <v>0</v>
      </c>
      <c r="AN510">
        <f t="shared" si="391"/>
        <v>0</v>
      </c>
      <c r="AO510">
        <f t="shared" si="392"/>
        <v>0</v>
      </c>
      <c r="AP510">
        <f t="shared" si="393"/>
        <v>0</v>
      </c>
      <c r="AQ510">
        <f t="shared" si="394"/>
        <v>0</v>
      </c>
      <c r="AR510">
        <f t="shared" si="395"/>
        <v>0</v>
      </c>
      <c r="AS510">
        <f t="shared" si="396"/>
        <v>0</v>
      </c>
      <c r="AT510">
        <f t="shared" si="397"/>
        <v>0</v>
      </c>
      <c r="AU510">
        <f t="shared" si="398"/>
        <v>0</v>
      </c>
      <c r="AV510">
        <f t="shared" si="399"/>
        <v>0</v>
      </c>
      <c r="AW510">
        <f t="shared" si="400"/>
        <v>0</v>
      </c>
      <c r="AX510">
        <f t="shared" si="401"/>
        <v>0</v>
      </c>
      <c r="AY510">
        <f t="shared" si="402"/>
        <v>0</v>
      </c>
      <c r="AZ510" cm="1">
        <f t="array" ref="AZ510">IF(OR(P510={"NS","NA"},J392={"NS","NA"}),0,IF(P510&gt;=J392,0,1))</f>
        <v>0</v>
      </c>
      <c r="BA510" cm="1">
        <f t="array" ref="BA510">IF(OR(Q510={"NS","NA"},K392={"NS","NA"}),0,IF(Q510&gt;=K392,0,1))</f>
        <v>0</v>
      </c>
      <c r="BB510" cm="1">
        <f t="array" ref="BB510">IF(OR(R510={"NS","NA"},L392={"NS","NA"}),0,IF(R510&gt;=L392,0,1))</f>
        <v>0</v>
      </c>
      <c r="BC510" cm="1">
        <f t="array" ref="BC510">IF(OR(S510={"NS","NA"},$J392={"NS","NA"}),0,IF(S510&lt;=$J392,0,1))</f>
        <v>0</v>
      </c>
      <c r="BD510" cm="1">
        <f t="array" ref="BD510">IF(OR(T510={"NS","NA"},$K392={"NS","NA"}),0,IF(T510&lt;=$K392,0,1))</f>
        <v>0</v>
      </c>
      <c r="BE510" cm="1">
        <f t="array" ref="BE510">IF(OR(U510={"NS","NA"},$L392={"NS","NA"}),0,IF(U510&lt;=$L392,0,1))</f>
        <v>0</v>
      </c>
      <c r="BF510" cm="1">
        <f t="array" ref="BF510">IF(OR(V510={"NS","NA"},$J392={"NS","NA"}),0,IF(V510&lt;=$J392,0,1))</f>
        <v>0</v>
      </c>
      <c r="BG510" cm="1">
        <f t="array" ref="BG510">IF(OR(W510={"NS","NA"},$K392={"NS","NA"}),0,IF(W510&lt;=$K392,0,1))</f>
        <v>0</v>
      </c>
      <c r="BH510" cm="1">
        <f t="array" ref="BH510">IF(OR(X510={"NS","NA"},$L392={"NS","NA"}),0,IF(X510&lt;=$L392,0,1))</f>
        <v>0</v>
      </c>
      <c r="BI510" cm="1">
        <f t="array" ref="BI510">IF(OR(Y510={"NS","NA"},$J392={"NS","NA"}),0,IF(Y510&lt;=$J392,0,1))</f>
        <v>0</v>
      </c>
      <c r="BJ510" cm="1">
        <f t="array" ref="BJ510">IF(OR(Z510={"NS","NA"},$K392={"NS","NA"}),0,IF(Z510&lt;=$K392,0,1))</f>
        <v>0</v>
      </c>
      <c r="BK510" cm="1">
        <f t="array" ref="BK510">IF(OR(AA510={"NS","NA"},$L392={"NS","NA"}),0,IF(AA510&lt;=$L392,0,1))</f>
        <v>0</v>
      </c>
      <c r="BL510" cm="1">
        <f t="array" ref="BL510">IF(OR(AB510={"NS","NA"},$J392={"NS","NA"}),0,IF(AB510&lt;=$J392,0,1))</f>
        <v>0</v>
      </c>
      <c r="BM510" cm="1">
        <f t="array" ref="BM510">IF(OR(AC510={"NS","NA"},$K392={"NS","NA"}),0,IF(AC510&lt;=$K392,0,1))</f>
        <v>0</v>
      </c>
      <c r="BN510" cm="1">
        <f t="array" ref="BN510">IF(OR(AD510={"NS","NA"},$L392={"NS","NA"}),0,IF(AD510&lt;=$L392,0,1))</f>
        <v>0</v>
      </c>
      <c r="BO510"/>
    </row>
    <row r="511" spans="1:67">
      <c r="A511" s="142"/>
      <c r="B511" s="57"/>
      <c r="C511" s="143" t="s">
        <v>2518</v>
      </c>
      <c r="D511" s="872" t="str">
        <f>IF(CNSIPEE_2024_M2_Secc1!D44="","",CNSIPEE_2024_M2_Secc1!D44)</f>
        <v/>
      </c>
      <c r="E511" s="872"/>
      <c r="F511" s="872"/>
      <c r="G511" s="872"/>
      <c r="H511" s="872"/>
      <c r="I511" s="872"/>
      <c r="J511" s="872"/>
      <c r="K511" s="872"/>
      <c r="L511" s="872"/>
      <c r="M511" s="872"/>
      <c r="N511" s="872"/>
      <c r="O511" s="872"/>
      <c r="P511" s="100"/>
      <c r="Q511" s="100"/>
      <c r="R511" s="100"/>
      <c r="S511" s="100"/>
      <c r="T511" s="100"/>
      <c r="U511" s="100"/>
      <c r="V511" s="100"/>
      <c r="W511" s="100"/>
      <c r="X511" s="100"/>
      <c r="Y511" s="100"/>
      <c r="Z511" s="100"/>
      <c r="AA511" s="100"/>
      <c r="AB511" s="100"/>
      <c r="AC511" s="100"/>
      <c r="AD511" s="100"/>
      <c r="AG511">
        <f t="shared" si="403"/>
        <v>0</v>
      </c>
      <c r="AH511">
        <f t="shared" si="388"/>
        <v>0</v>
      </c>
      <c r="AI511"/>
      <c r="AJ511"/>
      <c r="AK511">
        <f t="shared" si="389"/>
        <v>0</v>
      </c>
      <c r="AL511">
        <f t="shared" si="390"/>
        <v>0</v>
      </c>
      <c r="AM511">
        <f t="shared" si="404"/>
        <v>0</v>
      </c>
      <c r="AN511">
        <f t="shared" si="391"/>
        <v>0</v>
      </c>
      <c r="AO511">
        <f t="shared" si="392"/>
        <v>0</v>
      </c>
      <c r="AP511">
        <f t="shared" si="393"/>
        <v>0</v>
      </c>
      <c r="AQ511">
        <f t="shared" si="394"/>
        <v>0</v>
      </c>
      <c r="AR511">
        <f t="shared" si="395"/>
        <v>0</v>
      </c>
      <c r="AS511">
        <f t="shared" si="396"/>
        <v>0</v>
      </c>
      <c r="AT511">
        <f t="shared" si="397"/>
        <v>0</v>
      </c>
      <c r="AU511">
        <f t="shared" si="398"/>
        <v>0</v>
      </c>
      <c r="AV511">
        <f t="shared" si="399"/>
        <v>0</v>
      </c>
      <c r="AW511">
        <f t="shared" si="400"/>
        <v>0</v>
      </c>
      <c r="AX511">
        <f t="shared" si="401"/>
        <v>0</v>
      </c>
      <c r="AY511">
        <f t="shared" si="402"/>
        <v>0</v>
      </c>
      <c r="AZ511" cm="1">
        <f t="array" ref="AZ511">IF(OR(P511={"NS","NA"},J393={"NS","NA"}),0,IF(P511&gt;=J393,0,1))</f>
        <v>0</v>
      </c>
      <c r="BA511" cm="1">
        <f t="array" ref="BA511">IF(OR(Q511={"NS","NA"},K393={"NS","NA"}),0,IF(Q511&gt;=K393,0,1))</f>
        <v>0</v>
      </c>
      <c r="BB511" cm="1">
        <f t="array" ref="BB511">IF(OR(R511={"NS","NA"},L393={"NS","NA"}),0,IF(R511&gt;=L393,0,1))</f>
        <v>0</v>
      </c>
      <c r="BC511" cm="1">
        <f t="array" ref="BC511">IF(OR(S511={"NS","NA"},$J393={"NS","NA"}),0,IF(S511&lt;=$J393,0,1))</f>
        <v>0</v>
      </c>
      <c r="BD511" cm="1">
        <f t="array" ref="BD511">IF(OR(T511={"NS","NA"},$K393={"NS","NA"}),0,IF(T511&lt;=$K393,0,1))</f>
        <v>0</v>
      </c>
      <c r="BE511" cm="1">
        <f t="array" ref="BE511">IF(OR(U511={"NS","NA"},$L393={"NS","NA"}),0,IF(U511&lt;=$L393,0,1))</f>
        <v>0</v>
      </c>
      <c r="BF511" cm="1">
        <f t="array" ref="BF511">IF(OR(V511={"NS","NA"},$J393={"NS","NA"}),0,IF(V511&lt;=$J393,0,1))</f>
        <v>0</v>
      </c>
      <c r="BG511" cm="1">
        <f t="array" ref="BG511">IF(OR(W511={"NS","NA"},$K393={"NS","NA"}),0,IF(W511&lt;=$K393,0,1))</f>
        <v>0</v>
      </c>
      <c r="BH511" cm="1">
        <f t="array" ref="BH511">IF(OR(X511={"NS","NA"},$L393={"NS","NA"}),0,IF(X511&lt;=$L393,0,1))</f>
        <v>0</v>
      </c>
      <c r="BI511" cm="1">
        <f t="array" ref="BI511">IF(OR(Y511={"NS","NA"},$J393={"NS","NA"}),0,IF(Y511&lt;=$J393,0,1))</f>
        <v>0</v>
      </c>
      <c r="BJ511" cm="1">
        <f t="array" ref="BJ511">IF(OR(Z511={"NS","NA"},$K393={"NS","NA"}),0,IF(Z511&lt;=$K393,0,1))</f>
        <v>0</v>
      </c>
      <c r="BK511" cm="1">
        <f t="array" ref="BK511">IF(OR(AA511={"NS","NA"},$L393={"NS","NA"}),0,IF(AA511&lt;=$L393,0,1))</f>
        <v>0</v>
      </c>
      <c r="BL511" cm="1">
        <f t="array" ref="BL511">IF(OR(AB511={"NS","NA"},$J393={"NS","NA"}),0,IF(AB511&lt;=$J393,0,1))</f>
        <v>0</v>
      </c>
      <c r="BM511" cm="1">
        <f t="array" ref="BM511">IF(OR(AC511={"NS","NA"},$K393={"NS","NA"}),0,IF(AC511&lt;=$K393,0,1))</f>
        <v>0</v>
      </c>
      <c r="BN511" cm="1">
        <f t="array" ref="BN511">IF(OR(AD511={"NS","NA"},$L393={"NS","NA"}),0,IF(AD511&lt;=$L393,0,1))</f>
        <v>0</v>
      </c>
      <c r="BO511"/>
    </row>
    <row r="512" spans="1:67">
      <c r="A512" s="142"/>
      <c r="B512" s="57"/>
      <c r="C512" s="143" t="s">
        <v>2519</v>
      </c>
      <c r="D512" s="872" t="str">
        <f>IF(CNSIPEE_2024_M2_Secc1!D45="","",CNSIPEE_2024_M2_Secc1!D45)</f>
        <v/>
      </c>
      <c r="E512" s="872"/>
      <c r="F512" s="872"/>
      <c r="G512" s="872"/>
      <c r="H512" s="872"/>
      <c r="I512" s="872"/>
      <c r="J512" s="872"/>
      <c r="K512" s="872"/>
      <c r="L512" s="872"/>
      <c r="M512" s="872"/>
      <c r="N512" s="872"/>
      <c r="O512" s="872"/>
      <c r="P512" s="100"/>
      <c r="Q512" s="100"/>
      <c r="R512" s="100"/>
      <c r="S512" s="100"/>
      <c r="T512" s="100"/>
      <c r="U512" s="100"/>
      <c r="V512" s="100"/>
      <c r="W512" s="100"/>
      <c r="X512" s="100"/>
      <c r="Y512" s="100"/>
      <c r="Z512" s="100"/>
      <c r="AA512" s="100"/>
      <c r="AB512" s="100"/>
      <c r="AC512" s="100"/>
      <c r="AD512" s="100"/>
      <c r="AG512">
        <f t="shared" si="403"/>
        <v>0</v>
      </c>
      <c r="AH512">
        <f t="shared" si="388"/>
        <v>0</v>
      </c>
      <c r="AI512"/>
      <c r="AJ512"/>
      <c r="AK512">
        <f t="shared" si="389"/>
        <v>0</v>
      </c>
      <c r="AL512">
        <f t="shared" si="390"/>
        <v>0</v>
      </c>
      <c r="AM512">
        <f t="shared" si="404"/>
        <v>0</v>
      </c>
      <c r="AN512">
        <f t="shared" si="391"/>
        <v>0</v>
      </c>
      <c r="AO512">
        <f t="shared" si="392"/>
        <v>0</v>
      </c>
      <c r="AP512">
        <f t="shared" si="393"/>
        <v>0</v>
      </c>
      <c r="AQ512">
        <f t="shared" si="394"/>
        <v>0</v>
      </c>
      <c r="AR512">
        <f t="shared" si="395"/>
        <v>0</v>
      </c>
      <c r="AS512">
        <f t="shared" si="396"/>
        <v>0</v>
      </c>
      <c r="AT512">
        <f t="shared" si="397"/>
        <v>0</v>
      </c>
      <c r="AU512">
        <f t="shared" si="398"/>
        <v>0</v>
      </c>
      <c r="AV512">
        <f t="shared" si="399"/>
        <v>0</v>
      </c>
      <c r="AW512">
        <f t="shared" si="400"/>
        <v>0</v>
      </c>
      <c r="AX512">
        <f t="shared" si="401"/>
        <v>0</v>
      </c>
      <c r="AY512">
        <f t="shared" si="402"/>
        <v>0</v>
      </c>
      <c r="AZ512" cm="1">
        <f t="array" ref="AZ512">IF(OR(P512={"NS","NA"},J394={"NS","NA"}),0,IF(P512&gt;=J394,0,1))</f>
        <v>0</v>
      </c>
      <c r="BA512" cm="1">
        <f t="array" ref="BA512">IF(OR(Q512={"NS","NA"},K394={"NS","NA"}),0,IF(Q512&gt;=K394,0,1))</f>
        <v>0</v>
      </c>
      <c r="BB512" cm="1">
        <f t="array" ref="BB512">IF(OR(R512={"NS","NA"},L394={"NS","NA"}),0,IF(R512&gt;=L394,0,1))</f>
        <v>0</v>
      </c>
      <c r="BC512" cm="1">
        <f t="array" ref="BC512">IF(OR(S512={"NS","NA"},$J394={"NS","NA"}),0,IF(S512&lt;=$J394,0,1))</f>
        <v>0</v>
      </c>
      <c r="BD512" cm="1">
        <f t="array" ref="BD512">IF(OR(T512={"NS","NA"},$K394={"NS","NA"}),0,IF(T512&lt;=$K394,0,1))</f>
        <v>0</v>
      </c>
      <c r="BE512" cm="1">
        <f t="array" ref="BE512">IF(OR(U512={"NS","NA"},$L394={"NS","NA"}),0,IF(U512&lt;=$L394,0,1))</f>
        <v>0</v>
      </c>
      <c r="BF512" cm="1">
        <f t="array" ref="BF512">IF(OR(V512={"NS","NA"},$J394={"NS","NA"}),0,IF(V512&lt;=$J394,0,1))</f>
        <v>0</v>
      </c>
      <c r="BG512" cm="1">
        <f t="array" ref="BG512">IF(OR(W512={"NS","NA"},$K394={"NS","NA"}),0,IF(W512&lt;=$K394,0,1))</f>
        <v>0</v>
      </c>
      <c r="BH512" cm="1">
        <f t="array" ref="BH512">IF(OR(X512={"NS","NA"},$L394={"NS","NA"}),0,IF(X512&lt;=$L394,0,1))</f>
        <v>0</v>
      </c>
      <c r="BI512" cm="1">
        <f t="array" ref="BI512">IF(OR(Y512={"NS","NA"},$J394={"NS","NA"}),0,IF(Y512&lt;=$J394,0,1))</f>
        <v>0</v>
      </c>
      <c r="BJ512" cm="1">
        <f t="array" ref="BJ512">IF(OR(Z512={"NS","NA"},$K394={"NS","NA"}),0,IF(Z512&lt;=$K394,0,1))</f>
        <v>0</v>
      </c>
      <c r="BK512" cm="1">
        <f t="array" ref="BK512">IF(OR(AA512={"NS","NA"},$L394={"NS","NA"}),0,IF(AA512&lt;=$L394,0,1))</f>
        <v>0</v>
      </c>
      <c r="BL512" cm="1">
        <f t="array" ref="BL512">IF(OR(AB512={"NS","NA"},$J394={"NS","NA"}),0,IF(AB512&lt;=$J394,0,1))</f>
        <v>0</v>
      </c>
      <c r="BM512" cm="1">
        <f t="array" ref="BM512">IF(OR(AC512={"NS","NA"},$K394={"NS","NA"}),0,IF(AC512&lt;=$K394,0,1))</f>
        <v>0</v>
      </c>
      <c r="BN512" cm="1">
        <f t="array" ref="BN512">IF(OR(AD512={"NS","NA"},$L394={"NS","NA"}),0,IF(AD512&lt;=$L394,0,1))</f>
        <v>0</v>
      </c>
      <c r="BO512"/>
    </row>
    <row r="513" spans="1:67">
      <c r="A513" s="142"/>
      <c r="B513" s="57"/>
      <c r="C513" s="143" t="s">
        <v>2520</v>
      </c>
      <c r="D513" s="872" t="str">
        <f>IF(CNSIPEE_2024_M2_Secc1!D46="","",CNSIPEE_2024_M2_Secc1!D46)</f>
        <v/>
      </c>
      <c r="E513" s="872"/>
      <c r="F513" s="872"/>
      <c r="G513" s="872"/>
      <c r="H513" s="872"/>
      <c r="I513" s="872"/>
      <c r="J513" s="872"/>
      <c r="K513" s="872"/>
      <c r="L513" s="872"/>
      <c r="M513" s="872"/>
      <c r="N513" s="872"/>
      <c r="O513" s="872"/>
      <c r="P513" s="100"/>
      <c r="Q513" s="100"/>
      <c r="R513" s="100"/>
      <c r="S513" s="100"/>
      <c r="T513" s="100"/>
      <c r="U513" s="100"/>
      <c r="V513" s="100"/>
      <c r="W513" s="100"/>
      <c r="X513" s="100"/>
      <c r="Y513" s="100"/>
      <c r="Z513" s="100"/>
      <c r="AA513" s="100"/>
      <c r="AB513" s="100"/>
      <c r="AC513" s="100"/>
      <c r="AD513" s="100"/>
      <c r="AG513">
        <f t="shared" si="403"/>
        <v>0</v>
      </c>
      <c r="AH513">
        <f t="shared" si="388"/>
        <v>0</v>
      </c>
      <c r="AI513"/>
      <c r="AJ513"/>
      <c r="AK513">
        <f t="shared" si="389"/>
        <v>0</v>
      </c>
      <c r="AL513">
        <f t="shared" si="390"/>
        <v>0</v>
      </c>
      <c r="AM513">
        <f t="shared" si="404"/>
        <v>0</v>
      </c>
      <c r="AN513">
        <f t="shared" si="391"/>
        <v>0</v>
      </c>
      <c r="AO513">
        <f t="shared" si="392"/>
        <v>0</v>
      </c>
      <c r="AP513">
        <f t="shared" si="393"/>
        <v>0</v>
      </c>
      <c r="AQ513">
        <f t="shared" si="394"/>
        <v>0</v>
      </c>
      <c r="AR513">
        <f t="shared" si="395"/>
        <v>0</v>
      </c>
      <c r="AS513">
        <f t="shared" si="396"/>
        <v>0</v>
      </c>
      <c r="AT513">
        <f t="shared" si="397"/>
        <v>0</v>
      </c>
      <c r="AU513">
        <f t="shared" si="398"/>
        <v>0</v>
      </c>
      <c r="AV513">
        <f t="shared" si="399"/>
        <v>0</v>
      </c>
      <c r="AW513">
        <f t="shared" si="400"/>
        <v>0</v>
      </c>
      <c r="AX513">
        <f t="shared" si="401"/>
        <v>0</v>
      </c>
      <c r="AY513">
        <f t="shared" si="402"/>
        <v>0</v>
      </c>
      <c r="AZ513" cm="1">
        <f t="array" ref="AZ513">IF(OR(P513={"NS","NA"},J395={"NS","NA"}),0,IF(P513&gt;=J395,0,1))</f>
        <v>0</v>
      </c>
      <c r="BA513" cm="1">
        <f t="array" ref="BA513">IF(OR(Q513={"NS","NA"},K395={"NS","NA"}),0,IF(Q513&gt;=K395,0,1))</f>
        <v>0</v>
      </c>
      <c r="BB513" cm="1">
        <f t="array" ref="BB513">IF(OR(R513={"NS","NA"},L395={"NS","NA"}),0,IF(R513&gt;=L395,0,1))</f>
        <v>0</v>
      </c>
      <c r="BC513" cm="1">
        <f t="array" ref="BC513">IF(OR(S513={"NS","NA"},$J395={"NS","NA"}),0,IF(S513&lt;=$J395,0,1))</f>
        <v>0</v>
      </c>
      <c r="BD513" cm="1">
        <f t="array" ref="BD513">IF(OR(T513={"NS","NA"},$K395={"NS","NA"}),0,IF(T513&lt;=$K395,0,1))</f>
        <v>0</v>
      </c>
      <c r="BE513" cm="1">
        <f t="array" ref="BE513">IF(OR(U513={"NS","NA"},$L395={"NS","NA"}),0,IF(U513&lt;=$L395,0,1))</f>
        <v>0</v>
      </c>
      <c r="BF513" cm="1">
        <f t="array" ref="BF513">IF(OR(V513={"NS","NA"},$J395={"NS","NA"}),0,IF(V513&lt;=$J395,0,1))</f>
        <v>0</v>
      </c>
      <c r="BG513" cm="1">
        <f t="array" ref="BG513">IF(OR(W513={"NS","NA"},$K395={"NS","NA"}),0,IF(W513&lt;=$K395,0,1))</f>
        <v>0</v>
      </c>
      <c r="BH513" cm="1">
        <f t="array" ref="BH513">IF(OR(X513={"NS","NA"},$L395={"NS","NA"}),0,IF(X513&lt;=$L395,0,1))</f>
        <v>0</v>
      </c>
      <c r="BI513" cm="1">
        <f t="array" ref="BI513">IF(OR(Y513={"NS","NA"},$J395={"NS","NA"}),0,IF(Y513&lt;=$J395,0,1))</f>
        <v>0</v>
      </c>
      <c r="BJ513" cm="1">
        <f t="array" ref="BJ513">IF(OR(Z513={"NS","NA"},$K395={"NS","NA"}),0,IF(Z513&lt;=$K395,0,1))</f>
        <v>0</v>
      </c>
      <c r="BK513" cm="1">
        <f t="array" ref="BK513">IF(OR(AA513={"NS","NA"},$L395={"NS","NA"}),0,IF(AA513&lt;=$L395,0,1))</f>
        <v>0</v>
      </c>
      <c r="BL513" cm="1">
        <f t="array" ref="BL513">IF(OR(AB513={"NS","NA"},$J395={"NS","NA"}),0,IF(AB513&lt;=$J395,0,1))</f>
        <v>0</v>
      </c>
      <c r="BM513" cm="1">
        <f t="array" ref="BM513">IF(OR(AC513={"NS","NA"},$K395={"NS","NA"}),0,IF(AC513&lt;=$K395,0,1))</f>
        <v>0</v>
      </c>
      <c r="BN513" cm="1">
        <f t="array" ref="BN513">IF(OR(AD513={"NS","NA"},$L395={"NS","NA"}),0,IF(AD513&lt;=$L395,0,1))</f>
        <v>0</v>
      </c>
      <c r="BO513"/>
    </row>
    <row r="514" spans="1:67">
      <c r="A514" s="142"/>
      <c r="B514" s="57"/>
      <c r="C514" s="143" t="s">
        <v>2521</v>
      </c>
      <c r="D514" s="872" t="str">
        <f>IF(CNSIPEE_2024_M2_Secc1!D47="","",CNSIPEE_2024_M2_Secc1!D47)</f>
        <v/>
      </c>
      <c r="E514" s="872"/>
      <c r="F514" s="872"/>
      <c r="G514" s="872"/>
      <c r="H514" s="872"/>
      <c r="I514" s="872"/>
      <c r="J514" s="872"/>
      <c r="K514" s="872"/>
      <c r="L514" s="872"/>
      <c r="M514" s="872"/>
      <c r="N514" s="872"/>
      <c r="O514" s="872"/>
      <c r="P514" s="100"/>
      <c r="Q514" s="100"/>
      <c r="R514" s="100"/>
      <c r="S514" s="100"/>
      <c r="T514" s="100"/>
      <c r="U514" s="100"/>
      <c r="V514" s="100"/>
      <c r="W514" s="100"/>
      <c r="X514" s="100"/>
      <c r="Y514" s="100"/>
      <c r="Z514" s="100"/>
      <c r="AA514" s="100"/>
      <c r="AB514" s="100"/>
      <c r="AC514" s="100"/>
      <c r="AD514" s="100"/>
      <c r="AG514">
        <f t="shared" si="403"/>
        <v>0</v>
      </c>
      <c r="AH514">
        <f t="shared" si="388"/>
        <v>0</v>
      </c>
      <c r="AI514"/>
      <c r="AJ514"/>
      <c r="AK514">
        <f t="shared" si="389"/>
        <v>0</v>
      </c>
      <c r="AL514">
        <f t="shared" si="390"/>
        <v>0</v>
      </c>
      <c r="AM514">
        <f t="shared" si="404"/>
        <v>0</v>
      </c>
      <c r="AN514">
        <f t="shared" si="391"/>
        <v>0</v>
      </c>
      <c r="AO514">
        <f t="shared" si="392"/>
        <v>0</v>
      </c>
      <c r="AP514">
        <f t="shared" si="393"/>
        <v>0</v>
      </c>
      <c r="AQ514">
        <f t="shared" si="394"/>
        <v>0</v>
      </c>
      <c r="AR514">
        <f t="shared" si="395"/>
        <v>0</v>
      </c>
      <c r="AS514">
        <f t="shared" si="396"/>
        <v>0</v>
      </c>
      <c r="AT514">
        <f t="shared" si="397"/>
        <v>0</v>
      </c>
      <c r="AU514">
        <f t="shared" si="398"/>
        <v>0</v>
      </c>
      <c r="AV514">
        <f t="shared" si="399"/>
        <v>0</v>
      </c>
      <c r="AW514">
        <f t="shared" si="400"/>
        <v>0</v>
      </c>
      <c r="AX514">
        <f t="shared" si="401"/>
        <v>0</v>
      </c>
      <c r="AY514">
        <f t="shared" si="402"/>
        <v>0</v>
      </c>
      <c r="AZ514" cm="1">
        <f t="array" ref="AZ514">IF(OR(P514={"NS","NA"},J396={"NS","NA"}),0,IF(P514&gt;=J396,0,1))</f>
        <v>0</v>
      </c>
      <c r="BA514" cm="1">
        <f t="array" ref="BA514">IF(OR(Q514={"NS","NA"},K396={"NS","NA"}),0,IF(Q514&gt;=K396,0,1))</f>
        <v>0</v>
      </c>
      <c r="BB514" cm="1">
        <f t="array" ref="BB514">IF(OR(R514={"NS","NA"},L396={"NS","NA"}),0,IF(R514&gt;=L396,0,1))</f>
        <v>0</v>
      </c>
      <c r="BC514" cm="1">
        <f t="array" ref="BC514">IF(OR(S514={"NS","NA"},$J396={"NS","NA"}),0,IF(S514&lt;=$J396,0,1))</f>
        <v>0</v>
      </c>
      <c r="BD514" cm="1">
        <f t="array" ref="BD514">IF(OR(T514={"NS","NA"},$K396={"NS","NA"}),0,IF(T514&lt;=$K396,0,1))</f>
        <v>0</v>
      </c>
      <c r="BE514" cm="1">
        <f t="array" ref="BE514">IF(OR(U514={"NS","NA"},$L396={"NS","NA"}),0,IF(U514&lt;=$L396,0,1))</f>
        <v>0</v>
      </c>
      <c r="BF514" cm="1">
        <f t="array" ref="BF514">IF(OR(V514={"NS","NA"},$J396={"NS","NA"}),0,IF(V514&lt;=$J396,0,1))</f>
        <v>0</v>
      </c>
      <c r="BG514" cm="1">
        <f t="array" ref="BG514">IF(OR(W514={"NS","NA"},$K396={"NS","NA"}),0,IF(W514&lt;=$K396,0,1))</f>
        <v>0</v>
      </c>
      <c r="BH514" cm="1">
        <f t="array" ref="BH514">IF(OR(X514={"NS","NA"},$L396={"NS","NA"}),0,IF(X514&lt;=$L396,0,1))</f>
        <v>0</v>
      </c>
      <c r="BI514" cm="1">
        <f t="array" ref="BI514">IF(OR(Y514={"NS","NA"},$J396={"NS","NA"}),0,IF(Y514&lt;=$J396,0,1))</f>
        <v>0</v>
      </c>
      <c r="BJ514" cm="1">
        <f t="array" ref="BJ514">IF(OR(Z514={"NS","NA"},$K396={"NS","NA"}),0,IF(Z514&lt;=$K396,0,1))</f>
        <v>0</v>
      </c>
      <c r="BK514" cm="1">
        <f t="array" ref="BK514">IF(OR(AA514={"NS","NA"},$L396={"NS","NA"}),0,IF(AA514&lt;=$L396,0,1))</f>
        <v>0</v>
      </c>
      <c r="BL514" cm="1">
        <f t="array" ref="BL514">IF(OR(AB514={"NS","NA"},$J396={"NS","NA"}),0,IF(AB514&lt;=$J396,0,1))</f>
        <v>0</v>
      </c>
      <c r="BM514" cm="1">
        <f t="array" ref="BM514">IF(OR(AC514={"NS","NA"},$K396={"NS","NA"}),0,IF(AC514&lt;=$K396,0,1))</f>
        <v>0</v>
      </c>
      <c r="BN514" cm="1">
        <f t="array" ref="BN514">IF(OR(AD514={"NS","NA"},$L396={"NS","NA"}),0,IF(AD514&lt;=$L396,0,1))</f>
        <v>0</v>
      </c>
      <c r="BO514"/>
    </row>
    <row r="515" spans="1:67">
      <c r="A515" s="142"/>
      <c r="B515" s="57"/>
      <c r="C515" s="143" t="s">
        <v>2522</v>
      </c>
      <c r="D515" s="872" t="str">
        <f>IF(CNSIPEE_2024_M2_Secc1!D48="","",CNSIPEE_2024_M2_Secc1!D48)</f>
        <v/>
      </c>
      <c r="E515" s="872"/>
      <c r="F515" s="872"/>
      <c r="G515" s="872"/>
      <c r="H515" s="872"/>
      <c r="I515" s="872"/>
      <c r="J515" s="872"/>
      <c r="K515" s="872"/>
      <c r="L515" s="872"/>
      <c r="M515" s="872"/>
      <c r="N515" s="872"/>
      <c r="O515" s="872"/>
      <c r="P515" s="100"/>
      <c r="Q515" s="100"/>
      <c r="R515" s="100"/>
      <c r="S515" s="100"/>
      <c r="T515" s="100"/>
      <c r="U515" s="100"/>
      <c r="V515" s="100"/>
      <c r="W515" s="100"/>
      <c r="X515" s="100"/>
      <c r="Y515" s="100"/>
      <c r="Z515" s="100"/>
      <c r="AA515" s="100"/>
      <c r="AB515" s="100"/>
      <c r="AC515" s="100"/>
      <c r="AD515" s="100"/>
      <c r="AG515">
        <f t="shared" si="403"/>
        <v>0</v>
      </c>
      <c r="AH515">
        <f t="shared" si="388"/>
        <v>0</v>
      </c>
      <c r="AI515"/>
      <c r="AJ515"/>
      <c r="AK515">
        <f t="shared" si="389"/>
        <v>0</v>
      </c>
      <c r="AL515">
        <f t="shared" si="390"/>
        <v>0</v>
      </c>
      <c r="AM515">
        <f t="shared" si="404"/>
        <v>0</v>
      </c>
      <c r="AN515">
        <f t="shared" si="391"/>
        <v>0</v>
      </c>
      <c r="AO515">
        <f t="shared" si="392"/>
        <v>0</v>
      </c>
      <c r="AP515">
        <f t="shared" si="393"/>
        <v>0</v>
      </c>
      <c r="AQ515">
        <f t="shared" si="394"/>
        <v>0</v>
      </c>
      <c r="AR515">
        <f t="shared" si="395"/>
        <v>0</v>
      </c>
      <c r="AS515">
        <f t="shared" si="396"/>
        <v>0</v>
      </c>
      <c r="AT515">
        <f t="shared" si="397"/>
        <v>0</v>
      </c>
      <c r="AU515">
        <f t="shared" si="398"/>
        <v>0</v>
      </c>
      <c r="AV515">
        <f t="shared" si="399"/>
        <v>0</v>
      </c>
      <c r="AW515">
        <f t="shared" si="400"/>
        <v>0</v>
      </c>
      <c r="AX515">
        <f t="shared" si="401"/>
        <v>0</v>
      </c>
      <c r="AY515">
        <f t="shared" si="402"/>
        <v>0</v>
      </c>
      <c r="AZ515" cm="1">
        <f t="array" ref="AZ515">IF(OR(P515={"NS","NA"},J397={"NS","NA"}),0,IF(P515&gt;=J397,0,1))</f>
        <v>0</v>
      </c>
      <c r="BA515" cm="1">
        <f t="array" ref="BA515">IF(OR(Q515={"NS","NA"},K397={"NS","NA"}),0,IF(Q515&gt;=K397,0,1))</f>
        <v>0</v>
      </c>
      <c r="BB515" cm="1">
        <f t="array" ref="BB515">IF(OR(R515={"NS","NA"},L397={"NS","NA"}),0,IF(R515&gt;=L397,0,1))</f>
        <v>0</v>
      </c>
      <c r="BC515" cm="1">
        <f t="array" ref="BC515">IF(OR(S515={"NS","NA"},$J397={"NS","NA"}),0,IF(S515&lt;=$J397,0,1))</f>
        <v>0</v>
      </c>
      <c r="BD515" cm="1">
        <f t="array" ref="BD515">IF(OR(T515={"NS","NA"},$K397={"NS","NA"}),0,IF(T515&lt;=$K397,0,1))</f>
        <v>0</v>
      </c>
      <c r="BE515" cm="1">
        <f t="array" ref="BE515">IF(OR(U515={"NS","NA"},$L397={"NS","NA"}),0,IF(U515&lt;=$L397,0,1))</f>
        <v>0</v>
      </c>
      <c r="BF515" cm="1">
        <f t="array" ref="BF515">IF(OR(V515={"NS","NA"},$J397={"NS","NA"}),0,IF(V515&lt;=$J397,0,1))</f>
        <v>0</v>
      </c>
      <c r="BG515" cm="1">
        <f t="array" ref="BG515">IF(OR(W515={"NS","NA"},$K397={"NS","NA"}),0,IF(W515&lt;=$K397,0,1))</f>
        <v>0</v>
      </c>
      <c r="BH515" cm="1">
        <f t="array" ref="BH515">IF(OR(X515={"NS","NA"},$L397={"NS","NA"}),0,IF(X515&lt;=$L397,0,1))</f>
        <v>0</v>
      </c>
      <c r="BI515" cm="1">
        <f t="array" ref="BI515">IF(OR(Y515={"NS","NA"},$J397={"NS","NA"}),0,IF(Y515&lt;=$J397,0,1))</f>
        <v>0</v>
      </c>
      <c r="BJ515" cm="1">
        <f t="array" ref="BJ515">IF(OR(Z515={"NS","NA"},$K397={"NS","NA"}),0,IF(Z515&lt;=$K397,0,1))</f>
        <v>0</v>
      </c>
      <c r="BK515" cm="1">
        <f t="array" ref="BK515">IF(OR(AA515={"NS","NA"},$L397={"NS","NA"}),0,IF(AA515&lt;=$L397,0,1))</f>
        <v>0</v>
      </c>
      <c r="BL515" cm="1">
        <f t="array" ref="BL515">IF(OR(AB515={"NS","NA"},$J397={"NS","NA"}),0,IF(AB515&lt;=$J397,0,1))</f>
        <v>0</v>
      </c>
      <c r="BM515" cm="1">
        <f t="array" ref="BM515">IF(OR(AC515={"NS","NA"},$K397={"NS","NA"}),0,IF(AC515&lt;=$K397,0,1))</f>
        <v>0</v>
      </c>
      <c r="BN515" cm="1">
        <f t="array" ref="BN515">IF(OR(AD515={"NS","NA"},$L397={"NS","NA"}),0,IF(AD515&lt;=$L397,0,1))</f>
        <v>0</v>
      </c>
      <c r="BO515"/>
    </row>
    <row r="516" spans="1:67">
      <c r="A516" s="142"/>
      <c r="B516" s="57"/>
      <c r="C516" s="143" t="s">
        <v>2523</v>
      </c>
      <c r="D516" s="872" t="str">
        <f>IF(CNSIPEE_2024_M2_Secc1!D49="","",CNSIPEE_2024_M2_Secc1!D49)</f>
        <v/>
      </c>
      <c r="E516" s="872"/>
      <c r="F516" s="872"/>
      <c r="G516" s="872"/>
      <c r="H516" s="872"/>
      <c r="I516" s="872"/>
      <c r="J516" s="872"/>
      <c r="K516" s="872"/>
      <c r="L516" s="872"/>
      <c r="M516" s="872"/>
      <c r="N516" s="872"/>
      <c r="O516" s="872"/>
      <c r="P516" s="100"/>
      <c r="Q516" s="100"/>
      <c r="R516" s="100"/>
      <c r="S516" s="100"/>
      <c r="T516" s="100"/>
      <c r="U516" s="100"/>
      <c r="V516" s="100"/>
      <c r="W516" s="100"/>
      <c r="X516" s="100"/>
      <c r="Y516" s="100"/>
      <c r="Z516" s="100"/>
      <c r="AA516" s="100"/>
      <c r="AB516" s="100"/>
      <c r="AC516" s="100"/>
      <c r="AD516" s="100"/>
      <c r="AG516">
        <f t="shared" si="403"/>
        <v>0</v>
      </c>
      <c r="AH516">
        <f t="shared" si="388"/>
        <v>0</v>
      </c>
      <c r="AI516"/>
      <c r="AJ516"/>
      <c r="AK516">
        <f t="shared" si="389"/>
        <v>0</v>
      </c>
      <c r="AL516">
        <f t="shared" si="390"/>
        <v>0</v>
      </c>
      <c r="AM516">
        <f t="shared" si="404"/>
        <v>0</v>
      </c>
      <c r="AN516">
        <f t="shared" si="391"/>
        <v>0</v>
      </c>
      <c r="AO516">
        <f t="shared" si="392"/>
        <v>0</v>
      </c>
      <c r="AP516">
        <f t="shared" si="393"/>
        <v>0</v>
      </c>
      <c r="AQ516">
        <f t="shared" si="394"/>
        <v>0</v>
      </c>
      <c r="AR516">
        <f t="shared" si="395"/>
        <v>0</v>
      </c>
      <c r="AS516">
        <f t="shared" si="396"/>
        <v>0</v>
      </c>
      <c r="AT516">
        <f t="shared" si="397"/>
        <v>0</v>
      </c>
      <c r="AU516">
        <f t="shared" si="398"/>
        <v>0</v>
      </c>
      <c r="AV516">
        <f t="shared" si="399"/>
        <v>0</v>
      </c>
      <c r="AW516">
        <f t="shared" si="400"/>
        <v>0</v>
      </c>
      <c r="AX516">
        <f t="shared" si="401"/>
        <v>0</v>
      </c>
      <c r="AY516">
        <f t="shared" si="402"/>
        <v>0</v>
      </c>
      <c r="AZ516" cm="1">
        <f t="array" ref="AZ516">IF(OR(P516={"NS","NA"},J398={"NS","NA"}),0,IF(P516&gt;=J398,0,1))</f>
        <v>0</v>
      </c>
      <c r="BA516" cm="1">
        <f t="array" ref="BA516">IF(OR(Q516={"NS","NA"},K398={"NS","NA"}),0,IF(Q516&gt;=K398,0,1))</f>
        <v>0</v>
      </c>
      <c r="BB516" cm="1">
        <f t="array" ref="BB516">IF(OR(R516={"NS","NA"},L398={"NS","NA"}),0,IF(R516&gt;=L398,0,1))</f>
        <v>0</v>
      </c>
      <c r="BC516" cm="1">
        <f t="array" ref="BC516">IF(OR(S516={"NS","NA"},$J398={"NS","NA"}),0,IF(S516&lt;=$J398,0,1))</f>
        <v>0</v>
      </c>
      <c r="BD516" cm="1">
        <f t="array" ref="BD516">IF(OR(T516={"NS","NA"},$K398={"NS","NA"}),0,IF(T516&lt;=$K398,0,1))</f>
        <v>0</v>
      </c>
      <c r="BE516" cm="1">
        <f t="array" ref="BE516">IF(OR(U516={"NS","NA"},$L398={"NS","NA"}),0,IF(U516&lt;=$L398,0,1))</f>
        <v>0</v>
      </c>
      <c r="BF516" cm="1">
        <f t="array" ref="BF516">IF(OR(V516={"NS","NA"},$J398={"NS","NA"}),0,IF(V516&lt;=$J398,0,1))</f>
        <v>0</v>
      </c>
      <c r="BG516" cm="1">
        <f t="array" ref="BG516">IF(OR(W516={"NS","NA"},$K398={"NS","NA"}),0,IF(W516&lt;=$K398,0,1))</f>
        <v>0</v>
      </c>
      <c r="BH516" cm="1">
        <f t="array" ref="BH516">IF(OR(X516={"NS","NA"},$L398={"NS","NA"}),0,IF(X516&lt;=$L398,0,1))</f>
        <v>0</v>
      </c>
      <c r="BI516" cm="1">
        <f t="array" ref="BI516">IF(OR(Y516={"NS","NA"},$J398={"NS","NA"}),0,IF(Y516&lt;=$J398,0,1))</f>
        <v>0</v>
      </c>
      <c r="BJ516" cm="1">
        <f t="array" ref="BJ516">IF(OR(Z516={"NS","NA"},$K398={"NS","NA"}),0,IF(Z516&lt;=$K398,0,1))</f>
        <v>0</v>
      </c>
      <c r="BK516" cm="1">
        <f t="array" ref="BK516">IF(OR(AA516={"NS","NA"},$L398={"NS","NA"}),0,IF(AA516&lt;=$L398,0,1))</f>
        <v>0</v>
      </c>
      <c r="BL516" cm="1">
        <f t="array" ref="BL516">IF(OR(AB516={"NS","NA"},$J398={"NS","NA"}),0,IF(AB516&lt;=$J398,0,1))</f>
        <v>0</v>
      </c>
      <c r="BM516" cm="1">
        <f t="array" ref="BM516">IF(OR(AC516={"NS","NA"},$K398={"NS","NA"}),0,IF(AC516&lt;=$K398,0,1))</f>
        <v>0</v>
      </c>
      <c r="BN516" cm="1">
        <f t="array" ref="BN516">IF(OR(AD516={"NS","NA"},$L398={"NS","NA"}),0,IF(AD516&lt;=$L398,0,1))</f>
        <v>0</v>
      </c>
      <c r="BO516"/>
    </row>
    <row r="517" spans="1:67">
      <c r="A517" s="142"/>
      <c r="B517" s="57"/>
      <c r="C517" s="57"/>
      <c r="D517" s="57"/>
      <c r="E517" s="57"/>
      <c r="F517" s="57"/>
      <c r="G517" s="57"/>
      <c r="O517" s="117" t="s">
        <v>2649</v>
      </c>
      <c r="P517" s="124">
        <f t="shared" ref="P517:AD517" si="405">IF(AND(SUM(P509:P516)=0,COUNTIF(P509:P516,"NS")&gt;0),"NS",IF(AND(SUM(P509:P516)=0,COUNTIF(P509:P516,0)&gt;0),0,IF(AND(SUM(P509:P516)=0,COUNTIF(P509:P516,"NA")&gt;0),"NA",SUM(P509:P516))))</f>
        <v>0</v>
      </c>
      <c r="Q517" s="124">
        <f t="shared" si="405"/>
        <v>0</v>
      </c>
      <c r="R517" s="124">
        <f t="shared" si="405"/>
        <v>0</v>
      </c>
      <c r="S517" s="124">
        <f t="shared" si="405"/>
        <v>0</v>
      </c>
      <c r="T517" s="124">
        <f t="shared" si="405"/>
        <v>0</v>
      </c>
      <c r="U517" s="124">
        <f t="shared" si="405"/>
        <v>0</v>
      </c>
      <c r="V517" s="124">
        <f t="shared" si="405"/>
        <v>0</v>
      </c>
      <c r="W517" s="124">
        <f t="shared" si="405"/>
        <v>0</v>
      </c>
      <c r="X517" s="124">
        <f t="shared" si="405"/>
        <v>0</v>
      </c>
      <c r="Y517" s="124">
        <f t="shared" si="405"/>
        <v>0</v>
      </c>
      <c r="Z517" s="124">
        <f t="shared" si="405"/>
        <v>0</v>
      </c>
      <c r="AA517" s="124">
        <f t="shared" si="405"/>
        <v>0</v>
      </c>
      <c r="AB517" s="124">
        <f t="shared" si="405"/>
        <v>0</v>
      </c>
      <c r="AC517" s="124">
        <f t="shared" si="405"/>
        <v>0</v>
      </c>
      <c r="AD517" s="124">
        <f t="shared" si="405"/>
        <v>0</v>
      </c>
      <c r="AG517" s="507">
        <f>SUM(AG509:AG516)</f>
        <v>0</v>
      </c>
      <c r="AH517" s="507">
        <f>SUM(AH509:AH516)</f>
        <v>0</v>
      </c>
      <c r="AJ517"/>
      <c r="AK517">
        <f>SUM(AK509:AK516)</f>
        <v>0</v>
      </c>
      <c r="AM517">
        <f>SUM(AM509:AM516)</f>
        <v>0</v>
      </c>
      <c r="AN517">
        <f>SUM(AN509:AN516)</f>
        <v>0</v>
      </c>
      <c r="AP517">
        <f>SUM(AP509:AP516)</f>
        <v>0</v>
      </c>
      <c r="AQ517">
        <f>SUM(AQ509:AQ516)</f>
        <v>0</v>
      </c>
      <c r="AS517">
        <f>SUM(AS509:AS516)</f>
        <v>0</v>
      </c>
      <c r="AT517">
        <f>SUM(AT509:AT516)</f>
        <v>0</v>
      </c>
      <c r="AV517">
        <f>SUM(AV509:AV516)</f>
        <v>0</v>
      </c>
      <c r="AW517">
        <f>SUM(AW509:AW516)</f>
        <v>0</v>
      </c>
      <c r="AY517">
        <f>SUM(AY509:AY516)</f>
        <v>0</v>
      </c>
      <c r="BB517" s="507">
        <f>SUM(AZ509:BB516)</f>
        <v>0</v>
      </c>
      <c r="BN517" s="693">
        <f>SUM(BC509:BN516)</f>
        <v>0</v>
      </c>
      <c r="BO517"/>
    </row>
    <row r="518" spans="1:67">
      <c r="A518" s="142"/>
      <c r="B518" s="57"/>
      <c r="C518" s="57"/>
      <c r="D518" s="57"/>
      <c r="E518" s="57"/>
      <c r="F518" s="57"/>
      <c r="G518" s="57"/>
      <c r="H518" s="57"/>
      <c r="I518" s="57"/>
      <c r="J518" s="57"/>
      <c r="K518" s="57"/>
      <c r="L518" s="57"/>
      <c r="M518" s="57"/>
      <c r="N518" s="57"/>
      <c r="O518" s="57"/>
      <c r="P518" s="57"/>
      <c r="Q518" s="57"/>
      <c r="R518" s="57"/>
      <c r="S518" s="57"/>
      <c r="T518" s="57"/>
      <c r="U518" s="57"/>
      <c r="V518" s="57"/>
      <c r="W518" s="57"/>
      <c r="X518" s="57"/>
      <c r="Y518" s="57"/>
      <c r="Z518" s="57"/>
      <c r="AA518" s="57"/>
      <c r="AB518" s="57"/>
      <c r="AC518" s="57"/>
      <c r="AD518" s="57"/>
      <c r="AK518" t="s">
        <v>2650</v>
      </c>
      <c r="AL518" s="405">
        <f>SUM(AM517,AP517,AS517,AV517,AY517)</f>
        <v>0</v>
      </c>
      <c r="AM518" t="s">
        <v>2651</v>
      </c>
      <c r="AN518">
        <f>SUM(AK517,AN517,AQ517,AT517,AW517)</f>
        <v>0</v>
      </c>
      <c r="BO518"/>
    </row>
    <row r="519" spans="1:67">
      <c r="A519" s="142"/>
      <c r="B519" s="57"/>
      <c r="C519" s="75"/>
      <c r="D519" s="75"/>
      <c r="E519" s="75"/>
      <c r="F519" s="75"/>
      <c r="G519" s="75"/>
      <c r="H519" s="75"/>
      <c r="I519" s="75"/>
      <c r="J519" s="75"/>
      <c r="K519" s="75"/>
      <c r="L519" s="75"/>
      <c r="M519" s="75"/>
      <c r="N519" s="75"/>
      <c r="O519" s="75"/>
      <c r="P519" s="75"/>
      <c r="Q519" s="75"/>
      <c r="R519" s="75"/>
      <c r="S519" s="75"/>
      <c r="T519" s="75"/>
      <c r="U519" s="75"/>
      <c r="V519" s="75"/>
      <c r="W519" s="75"/>
      <c r="X519" s="75"/>
      <c r="Y519" s="75"/>
      <c r="Z519" s="75"/>
      <c r="AA519" s="873" t="s">
        <v>2668</v>
      </c>
      <c r="AB519" s="873"/>
      <c r="AC519" s="873"/>
      <c r="AD519" s="873"/>
      <c r="AK519" t="s">
        <v>2652</v>
      </c>
      <c r="AL519">
        <f>IF(AN518&gt;0,IF(SUM(P517)&gt;=SUM(S517,V517,Y517,AB517),0,1),IF(SUM(P517)&lt;&gt;SUM(S517,V517,Y517,AB517),1,0))</f>
        <v>0</v>
      </c>
      <c r="AM519" t="s">
        <v>2653</v>
      </c>
      <c r="AN519">
        <f>IF(AN518&gt;0,IF(SUM(Q517)&gt;=SUM(T517,W517,Z517,AC517),0,1),IF(SUM(Q517)&lt;&gt;SUM(T517,W517,Z517,AC517),1,0))</f>
        <v>0</v>
      </c>
      <c r="AO519" t="s">
        <v>2654</v>
      </c>
      <c r="AP519">
        <f>IF(AN518&gt;0,IF(SUM(R517)&gt;=SUM(U517,X517,AA517,AD517),0,1),IF(SUM(R517)&lt;&gt;SUM(U517,X517,AA517,AD517),1,0))</f>
        <v>0</v>
      </c>
      <c r="BO519"/>
    </row>
    <row r="520" spans="1:67" ht="36" customHeight="1">
      <c r="A520" s="142"/>
      <c r="B520" s="57"/>
      <c r="C520" s="732" t="s">
        <v>2581</v>
      </c>
      <c r="D520" s="732"/>
      <c r="E520" s="732"/>
      <c r="F520" s="732"/>
      <c r="G520" s="732"/>
      <c r="H520" s="732"/>
      <c r="I520" s="732"/>
      <c r="J520" s="732"/>
      <c r="K520" s="732"/>
      <c r="L520" s="732"/>
      <c r="M520" s="732"/>
      <c r="N520" s="732"/>
      <c r="O520" s="732"/>
      <c r="P520" s="739" t="s">
        <v>5961</v>
      </c>
      <c r="Q520" s="740"/>
      <c r="R520" s="740"/>
      <c r="S520" s="740"/>
      <c r="T520" s="740"/>
      <c r="U520" s="740"/>
      <c r="V520" s="740"/>
      <c r="W520" s="740"/>
      <c r="X520" s="740"/>
      <c r="Y520" s="740"/>
      <c r="Z520" s="740"/>
      <c r="AA520" s="740"/>
      <c r="AB520" s="740"/>
      <c r="AC520" s="740"/>
      <c r="AD520" s="741"/>
      <c r="BO520"/>
    </row>
    <row r="521" spans="1:67" ht="120" customHeight="1">
      <c r="A521" s="142"/>
      <c r="B521" s="57"/>
      <c r="C521" s="732"/>
      <c r="D521" s="732"/>
      <c r="E521" s="732"/>
      <c r="F521" s="732"/>
      <c r="G521" s="732"/>
      <c r="H521" s="732"/>
      <c r="I521" s="732"/>
      <c r="J521" s="732"/>
      <c r="K521" s="732"/>
      <c r="L521" s="732"/>
      <c r="M521" s="732"/>
      <c r="N521" s="732"/>
      <c r="O521" s="732"/>
      <c r="P521" s="858" t="s">
        <v>5366</v>
      </c>
      <c r="Q521" s="859"/>
      <c r="R521" s="860"/>
      <c r="S521" s="858" t="s">
        <v>5367</v>
      </c>
      <c r="T521" s="859"/>
      <c r="U521" s="860"/>
      <c r="V521" s="858" t="s">
        <v>5368</v>
      </c>
      <c r="W521" s="859"/>
      <c r="X521" s="860"/>
      <c r="Y521" s="858" t="s">
        <v>5962</v>
      </c>
      <c r="Z521" s="859"/>
      <c r="AA521" s="860"/>
      <c r="AB521" s="858" t="s">
        <v>2990</v>
      </c>
      <c r="AC521" s="859"/>
      <c r="AD521" s="860"/>
      <c r="BO521"/>
    </row>
    <row r="522" spans="1:67" ht="48" customHeight="1">
      <c r="A522" s="142"/>
      <c r="B522" s="57"/>
      <c r="C522" s="732"/>
      <c r="D522" s="732"/>
      <c r="E522" s="732"/>
      <c r="F522" s="732"/>
      <c r="G522" s="732"/>
      <c r="H522" s="732"/>
      <c r="I522" s="732"/>
      <c r="J522" s="732"/>
      <c r="K522" s="732"/>
      <c r="L522" s="732"/>
      <c r="M522" s="732"/>
      <c r="N522" s="732"/>
      <c r="O522" s="732"/>
      <c r="P522" s="171" t="s">
        <v>2635</v>
      </c>
      <c r="Q522" s="128" t="s">
        <v>2629</v>
      </c>
      <c r="R522" s="128" t="s">
        <v>2630</v>
      </c>
      <c r="S522" s="171" t="s">
        <v>2635</v>
      </c>
      <c r="T522" s="128" t="s">
        <v>2629</v>
      </c>
      <c r="U522" s="128" t="s">
        <v>2630</v>
      </c>
      <c r="V522" s="171" t="s">
        <v>2635</v>
      </c>
      <c r="W522" s="128" t="s">
        <v>2629</v>
      </c>
      <c r="X522" s="128" t="s">
        <v>2630</v>
      </c>
      <c r="Y522" s="171" t="s">
        <v>2635</v>
      </c>
      <c r="Z522" s="128" t="s">
        <v>2629</v>
      </c>
      <c r="AA522" s="128" t="s">
        <v>2630</v>
      </c>
      <c r="AB522" s="171" t="s">
        <v>2635</v>
      </c>
      <c r="AC522" s="128" t="s">
        <v>2629</v>
      </c>
      <c r="AD522" s="128" t="s">
        <v>2630</v>
      </c>
      <c r="AK522" t="s">
        <v>4573</v>
      </c>
      <c r="AL522" t="s">
        <v>2638</v>
      </c>
      <c r="AM522" t="s">
        <v>2639</v>
      </c>
      <c r="AN522" t="s">
        <v>4574</v>
      </c>
      <c r="AO522" t="s">
        <v>2641</v>
      </c>
      <c r="AP522" t="s">
        <v>2642</v>
      </c>
      <c r="AQ522" t="s">
        <v>4575</v>
      </c>
      <c r="AR522" t="s">
        <v>2644</v>
      </c>
      <c r="AS522" t="s">
        <v>2645</v>
      </c>
      <c r="AT522" t="s">
        <v>4576</v>
      </c>
      <c r="AU522" t="s">
        <v>2647</v>
      </c>
      <c r="AV522" t="s">
        <v>2648</v>
      </c>
      <c r="AW522" t="s">
        <v>5177</v>
      </c>
      <c r="AX522" t="s">
        <v>2757</v>
      </c>
      <c r="AY522" t="s">
        <v>2758</v>
      </c>
      <c r="AZ522" t="s">
        <v>5290</v>
      </c>
      <c r="BA522"/>
      <c r="BB522"/>
      <c r="BC522"/>
      <c r="BD522"/>
      <c r="BE522"/>
      <c r="BF522"/>
      <c r="BG522"/>
      <c r="BH522"/>
      <c r="BI522"/>
      <c r="BJ522"/>
      <c r="BK522"/>
      <c r="BL522"/>
      <c r="BM522"/>
      <c r="BN522"/>
      <c r="BO522"/>
    </row>
    <row r="523" spans="1:67">
      <c r="A523" s="142"/>
      <c r="B523" s="57"/>
      <c r="C523" s="44" t="s">
        <v>2516</v>
      </c>
      <c r="D523" s="872" t="str">
        <f>IF(CNSIPEE_2024_M2_Secc1!D42="","",CNSIPEE_2024_M2_Secc1!D42)</f>
        <v/>
      </c>
      <c r="E523" s="872"/>
      <c r="F523" s="872"/>
      <c r="G523" s="872"/>
      <c r="H523" s="872"/>
      <c r="I523" s="872"/>
      <c r="J523" s="872"/>
      <c r="K523" s="872"/>
      <c r="L523" s="872"/>
      <c r="M523" s="872"/>
      <c r="N523" s="872"/>
      <c r="O523" s="872"/>
      <c r="P523" s="100"/>
      <c r="Q523" s="100"/>
      <c r="R523" s="100"/>
      <c r="S523" s="100"/>
      <c r="T523" s="100"/>
      <c r="U523" s="100"/>
      <c r="V523" s="100"/>
      <c r="W523" s="100"/>
      <c r="X523" s="100"/>
      <c r="Y523" s="100"/>
      <c r="Z523" s="100"/>
      <c r="AA523" s="100"/>
      <c r="AB523" s="100"/>
      <c r="AC523" s="100"/>
      <c r="AD523" s="100"/>
      <c r="AK523">
        <f t="shared" ref="AK523:AK530" si="406">COUNTIF(Q523:R523,"NS")</f>
        <v>0</v>
      </c>
      <c r="AL523">
        <f t="shared" ref="AL523:AL530" si="407">SUM(Q523:R523)</f>
        <v>0</v>
      </c>
      <c r="AM523">
        <f>IF(COUNTIF(P523:R523,"NA")=3,0,IF(COUNTA(P523:R523)=0,0,IF(OR(AND(P523=0,AK523&gt;0),AND(P523="ns",AL523&gt;0),AND(P523="ns",AK523=0,AL523=0)),1,IF(OR(AND(P523&gt;0,AK523=2),AND(P523="ns",AK523=2),AND(P523="ns",AL523=0,AK523&gt;0),P523=AL523),0,1))))</f>
        <v>0</v>
      </c>
      <c r="AN523">
        <f t="shared" ref="AN523:AN530" si="408">COUNTIF(T523:U523,"NS")</f>
        <v>0</v>
      </c>
      <c r="AO523">
        <f t="shared" ref="AO523:AO530" si="409">SUM(T523:U523)</f>
        <v>0</v>
      </c>
      <c r="AP523">
        <f t="shared" ref="AP523:AP530" si="410">IF(COUNTIF(S523:U523,"NA")=3,0,IF(COUNTA(S523:U523)=0,0,IF(OR(AND(S523=0,AN523&gt;0),AND(S523="ns",AO523&gt;0),AND(S523="ns",AN523=0,AO523=0)),1,IF(OR(AND(S523&gt;0,AN523=2),AND(S523="ns",AN523=2),AND(S523="ns",AO523=0,AN523&gt;0),S523=AO523),0,1))))</f>
        <v>0</v>
      </c>
      <c r="AQ523">
        <f t="shared" ref="AQ523:AQ530" si="411">COUNTIF(W523:X523,"NS")</f>
        <v>0</v>
      </c>
      <c r="AR523">
        <f t="shared" ref="AR523:AR530" si="412">SUM(W523:X523)</f>
        <v>0</v>
      </c>
      <c r="AS523">
        <f t="shared" ref="AS523:AS530" si="413">IF(COUNTIF(V523:X523,"NA")=3,0,IF(COUNTA(V523:X523)=0,0,IF(OR(AND(V523=0,AQ523&gt;0),AND(V523="ns",AR523&gt;0),AND(V523="ns",AQ523=0,AR523=0)),1,IF(OR(AND(V523&gt;0,AQ523=2),AND(V523="ns",AQ523=2),AND(V523="ns",AR523=0,AQ523&gt;0),V523=AR523),0,1))))</f>
        <v>0</v>
      </c>
      <c r="AT523">
        <f t="shared" ref="AT523:AT530" si="414">COUNTIF(Z523:AA523,"NS")</f>
        <v>0</v>
      </c>
      <c r="AU523">
        <f t="shared" ref="AU523:AU530" si="415">SUM(Z523:AA523)</f>
        <v>0</v>
      </c>
      <c r="AV523">
        <f t="shared" ref="AV523:AV530" si="416">IF(COUNTIF(Y523:AA523,"NA")=3,0,IF(COUNTA(Y523:AA523)=0,0,IF(OR(AND(Y523=0,AT523&gt;0),AND(Y523="ns",AU523&gt;0),AND(Y523="ns",AT523=0,AU523=0)),1,IF(OR(AND(Y523&gt;0,AT523=2),AND(Y523="ns",AT523=2),AND(Y523="ns",AU523=0,AT523&gt;0),Y523=AU523),0,1))))</f>
        <v>0</v>
      </c>
      <c r="AW523">
        <f t="shared" ref="AW523:AW530" si="417">COUNTIF(AC523:AD523,"NS")</f>
        <v>0</v>
      </c>
      <c r="AX523">
        <f t="shared" ref="AX523:AX530" si="418">SUM(AC523:AD523)</f>
        <v>0</v>
      </c>
      <c r="AY523">
        <f t="shared" ref="AY523:AY530" si="419">IF(COUNTIF(AB523:AD523,"NA")=3,0,IF(COUNTA(AB523:AD523)=0,0,IF(OR(AND(AB523=0,AW523&gt;0),AND(AB523="ns",AX523&gt;0),AND(AB523="ns",AW523=0,AX523=0)),1,IF(OR(AND(AB523&gt;0,AW523=2),AND(AB523="ns",AW523=2),AND(AB523="ns",AX523=0,AW523&gt;0),AB523=AX523),0,1))))</f>
        <v>0</v>
      </c>
      <c r="AZ523" cm="1">
        <f t="array" ref="AZ523">IF(OR(P523={"NS","NA"},$J391={"NS","NA"}),0,IF(P523&lt;=$J391,0,1))</f>
        <v>0</v>
      </c>
      <c r="BA523" cm="1">
        <f t="array" ref="BA523">IF(OR(Q523={"NS","NA"},$K391={"NS","NA"}),0,IF(Q523&lt;=$K391,0,1))</f>
        <v>0</v>
      </c>
      <c r="BB523" cm="1">
        <f t="array" ref="BB523">IF(OR(R523={"NS","NA"},$L391={"NS","NA"}),0,IF(R523&lt;=$L391,0,1))</f>
        <v>0</v>
      </c>
      <c r="BC523" cm="1">
        <f t="array" ref="BC523">IF(OR(S523={"NS","NA"},$J391={"NS","NA"}),0,IF(S523&lt;=$J391,0,1))</f>
        <v>0</v>
      </c>
      <c r="BD523" cm="1">
        <f t="array" ref="BD523">IF(OR(T523={"NS","NA"},$K391={"NS","NA"}),0,IF(T523&lt;=$K391,0,1))</f>
        <v>0</v>
      </c>
      <c r="BE523" cm="1">
        <f t="array" ref="BE523">IF(OR(U523={"NS","NA"},$L391={"NS","NA"}),0,IF(U523&lt;=$L391,0,1))</f>
        <v>0</v>
      </c>
      <c r="BF523" cm="1">
        <f t="array" ref="BF523">IF(OR(V523={"NS","NA"},$J391={"NS","NA"}),0,IF(V523&lt;=$J391,0,1))</f>
        <v>0</v>
      </c>
      <c r="BG523" cm="1">
        <f t="array" ref="BG523">IF(OR(W523={"NS","NA"},$K391={"NS","NA"}),0,IF(W523&lt;=$K391,0,1))</f>
        <v>0</v>
      </c>
      <c r="BH523" cm="1">
        <f t="array" ref="BH523">IF(OR(X523={"NS","NA"},$L391={"NS","NA"}),0,IF(X523&lt;=$L391,0,1))</f>
        <v>0</v>
      </c>
      <c r="BI523" cm="1">
        <f t="array" ref="BI523">IF(OR(Y523={"NS","NA"},$J391={"NS","NA"}),0,IF(Y523&lt;=$J391,0,1))</f>
        <v>0</v>
      </c>
      <c r="BJ523" cm="1">
        <f t="array" ref="BJ523">IF(OR(Z523={"NS","NA"},$K391={"NS","NA"}),0,IF(Z523&lt;=$K391,0,1))</f>
        <v>0</v>
      </c>
      <c r="BK523" cm="1">
        <f t="array" ref="BK523">IF(OR(AA523={"NS","NA"},$L391={"NS","NA"}),0,IF(AA523&lt;=$L391,0,1))</f>
        <v>0</v>
      </c>
      <c r="BL523" cm="1">
        <f t="array" ref="BL523">IF(OR(AB523={"NS","NA"},$J391={"NS","NA"}),0,IF(AB523&lt;=$J391,0,1))</f>
        <v>0</v>
      </c>
      <c r="BM523" cm="1">
        <f t="array" ref="BM523">IF(OR(AC523={"NS","NA"},$K391={"NS","NA"}),0,IF(AC523&lt;=$K391,0,1))</f>
        <v>0</v>
      </c>
      <c r="BN523" cm="1">
        <f t="array" ref="BN523">IF(OR(AD523={"NS","NA"},$L391={"NS","NA"}),0,IF(AD523&lt;=$L391,0,1))</f>
        <v>0</v>
      </c>
      <c r="BO523"/>
    </row>
    <row r="524" spans="1:67">
      <c r="A524" s="142"/>
      <c r="B524" s="57"/>
      <c r="C524" s="199" t="s">
        <v>2517</v>
      </c>
      <c r="D524" s="872" t="str">
        <f>IF(CNSIPEE_2024_M2_Secc1!D43="","",CNSIPEE_2024_M2_Secc1!D43)</f>
        <v/>
      </c>
      <c r="E524" s="872"/>
      <c r="F524" s="872"/>
      <c r="G524" s="872"/>
      <c r="H524" s="872"/>
      <c r="I524" s="872"/>
      <c r="J524" s="872"/>
      <c r="K524" s="872"/>
      <c r="L524" s="872"/>
      <c r="M524" s="872"/>
      <c r="N524" s="872"/>
      <c r="O524" s="872"/>
      <c r="P524" s="100"/>
      <c r="Q524" s="100"/>
      <c r="R524" s="100"/>
      <c r="S524" s="100"/>
      <c r="T524" s="100"/>
      <c r="U524" s="100"/>
      <c r="V524" s="100"/>
      <c r="W524" s="100"/>
      <c r="X524" s="100"/>
      <c r="Y524" s="100"/>
      <c r="Z524" s="100"/>
      <c r="AA524" s="100"/>
      <c r="AB524" s="100"/>
      <c r="AC524" s="100"/>
      <c r="AD524" s="100"/>
      <c r="AK524">
        <f t="shared" si="406"/>
        <v>0</v>
      </c>
      <c r="AL524">
        <f t="shared" si="407"/>
        <v>0</v>
      </c>
      <c r="AM524">
        <f t="shared" ref="AM524:AM530" si="420">IF(COUNTIF(P524:R524,"NA")=3,0,IF(COUNTA(P524:R524)=0,0,IF(OR(AND(P524=0,AK524&gt;0),AND(P524="ns",AL524&gt;0),AND(P524="ns",AK524=0,AL524=0)),1,IF(OR(AND(P524&gt;0,AK524=2),AND(P524="ns",AK524=2),AND(P524="ns",AL524=0,AK524&gt;0),P524=AL524),0,1))))</f>
        <v>0</v>
      </c>
      <c r="AN524">
        <f t="shared" si="408"/>
        <v>0</v>
      </c>
      <c r="AO524">
        <f t="shared" si="409"/>
        <v>0</v>
      </c>
      <c r="AP524">
        <f t="shared" si="410"/>
        <v>0</v>
      </c>
      <c r="AQ524">
        <f t="shared" si="411"/>
        <v>0</v>
      </c>
      <c r="AR524">
        <f t="shared" si="412"/>
        <v>0</v>
      </c>
      <c r="AS524">
        <f t="shared" si="413"/>
        <v>0</v>
      </c>
      <c r="AT524">
        <f t="shared" si="414"/>
        <v>0</v>
      </c>
      <c r="AU524">
        <f t="shared" si="415"/>
        <v>0</v>
      </c>
      <c r="AV524">
        <f t="shared" si="416"/>
        <v>0</v>
      </c>
      <c r="AW524">
        <f t="shared" si="417"/>
        <v>0</v>
      </c>
      <c r="AX524">
        <f t="shared" si="418"/>
        <v>0</v>
      </c>
      <c r="AY524">
        <f t="shared" si="419"/>
        <v>0</v>
      </c>
      <c r="AZ524" cm="1">
        <f t="array" ref="AZ524">IF(OR(P524={"NS","NA"},$J392={"NS","NA"}),0,IF(P524&lt;=$J392,0,1))</f>
        <v>0</v>
      </c>
      <c r="BA524" cm="1">
        <f t="array" ref="BA524">IF(OR(Q524={"NS","NA"},$K392={"NS","NA"}),0,IF(Q524&lt;=$K392,0,1))</f>
        <v>0</v>
      </c>
      <c r="BB524" cm="1">
        <f t="array" ref="BB524">IF(OR(R524={"NS","NA"},$L392={"NS","NA"}),0,IF(R524&lt;=$L392,0,1))</f>
        <v>0</v>
      </c>
      <c r="BC524" cm="1">
        <f t="array" ref="BC524">IF(OR(S524={"NS","NA"},$J392={"NS","NA"}),0,IF(S524&lt;=$J392,0,1))</f>
        <v>0</v>
      </c>
      <c r="BD524" cm="1">
        <f t="array" ref="BD524">IF(OR(T524={"NS","NA"},$K392={"NS","NA"}),0,IF(T524&lt;=$K392,0,1))</f>
        <v>0</v>
      </c>
      <c r="BE524" cm="1">
        <f t="array" ref="BE524">IF(OR(U524={"NS","NA"},$L392={"NS","NA"}),0,IF(U524&lt;=$L392,0,1))</f>
        <v>0</v>
      </c>
      <c r="BF524" cm="1">
        <f t="array" ref="BF524">IF(OR(V524={"NS","NA"},$J392={"NS","NA"}),0,IF(V524&lt;=$J392,0,1))</f>
        <v>0</v>
      </c>
      <c r="BG524" cm="1">
        <f t="array" ref="BG524">IF(OR(W524={"NS","NA"},$K392={"NS","NA"}),0,IF(W524&lt;=$K392,0,1))</f>
        <v>0</v>
      </c>
      <c r="BH524" cm="1">
        <f t="array" ref="BH524">IF(OR(X524={"NS","NA"},$L392={"NS","NA"}),0,IF(X524&lt;=$L392,0,1))</f>
        <v>0</v>
      </c>
      <c r="BI524" cm="1">
        <f t="array" ref="BI524">IF(OR(Y524={"NS","NA"},$J392={"NS","NA"}),0,IF(Y524&lt;=$J392,0,1))</f>
        <v>0</v>
      </c>
      <c r="BJ524" cm="1">
        <f t="array" ref="BJ524">IF(OR(Z524={"NS","NA"},$K392={"NS","NA"}),0,IF(Z524&lt;=$K392,0,1))</f>
        <v>0</v>
      </c>
      <c r="BK524" cm="1">
        <f t="array" ref="BK524">IF(OR(AA524={"NS","NA"},$L392={"NS","NA"}),0,IF(AA524&lt;=$L392,0,1))</f>
        <v>0</v>
      </c>
      <c r="BL524" cm="1">
        <f t="array" ref="BL524">IF(OR(AB524={"NS","NA"},$J392={"NS","NA"}),0,IF(AB524&lt;=$J392,0,1))</f>
        <v>0</v>
      </c>
      <c r="BM524" cm="1">
        <f t="array" ref="BM524">IF(OR(AC524={"NS","NA"},$K392={"NS","NA"}),0,IF(AC524&lt;=$K392,0,1))</f>
        <v>0</v>
      </c>
      <c r="BN524" cm="1">
        <f t="array" ref="BN524">IF(OR(AD524={"NS","NA"},$L392={"NS","NA"}),0,IF(AD524&lt;=$L392,0,1))</f>
        <v>0</v>
      </c>
      <c r="BO524"/>
    </row>
    <row r="525" spans="1:67">
      <c r="A525" s="142"/>
      <c r="B525" s="57"/>
      <c r="C525" s="143" t="s">
        <v>2518</v>
      </c>
      <c r="D525" s="872" t="str">
        <f>IF(CNSIPEE_2024_M2_Secc1!D44="","",CNSIPEE_2024_M2_Secc1!D44)</f>
        <v/>
      </c>
      <c r="E525" s="872"/>
      <c r="F525" s="872"/>
      <c r="G525" s="872"/>
      <c r="H525" s="872"/>
      <c r="I525" s="872"/>
      <c r="J525" s="872"/>
      <c r="K525" s="872"/>
      <c r="L525" s="872"/>
      <c r="M525" s="872"/>
      <c r="N525" s="872"/>
      <c r="O525" s="872"/>
      <c r="P525" s="100"/>
      <c r="Q525" s="100"/>
      <c r="R525" s="100"/>
      <c r="S525" s="100"/>
      <c r="T525" s="100"/>
      <c r="U525" s="100"/>
      <c r="V525" s="100"/>
      <c r="W525" s="100"/>
      <c r="X525" s="100"/>
      <c r="Y525" s="100"/>
      <c r="Z525" s="100"/>
      <c r="AA525" s="100"/>
      <c r="AB525" s="100"/>
      <c r="AC525" s="100"/>
      <c r="AD525" s="100"/>
      <c r="AK525">
        <f t="shared" si="406"/>
        <v>0</v>
      </c>
      <c r="AL525">
        <f t="shared" si="407"/>
        <v>0</v>
      </c>
      <c r="AM525">
        <f t="shared" si="420"/>
        <v>0</v>
      </c>
      <c r="AN525">
        <f t="shared" si="408"/>
        <v>0</v>
      </c>
      <c r="AO525">
        <f t="shared" si="409"/>
        <v>0</v>
      </c>
      <c r="AP525">
        <f t="shared" si="410"/>
        <v>0</v>
      </c>
      <c r="AQ525">
        <f t="shared" si="411"/>
        <v>0</v>
      </c>
      <c r="AR525">
        <f t="shared" si="412"/>
        <v>0</v>
      </c>
      <c r="AS525">
        <f t="shared" si="413"/>
        <v>0</v>
      </c>
      <c r="AT525">
        <f t="shared" si="414"/>
        <v>0</v>
      </c>
      <c r="AU525">
        <f t="shared" si="415"/>
        <v>0</v>
      </c>
      <c r="AV525">
        <f t="shared" si="416"/>
        <v>0</v>
      </c>
      <c r="AW525">
        <f t="shared" si="417"/>
        <v>0</v>
      </c>
      <c r="AX525">
        <f t="shared" si="418"/>
        <v>0</v>
      </c>
      <c r="AY525">
        <f t="shared" si="419"/>
        <v>0</v>
      </c>
      <c r="AZ525" cm="1">
        <f t="array" ref="AZ525">IF(OR(P525={"NS","NA"},$J393={"NS","NA"}),0,IF(P525&lt;=$J393,0,1))</f>
        <v>0</v>
      </c>
      <c r="BA525" cm="1">
        <f t="array" ref="BA525">IF(OR(Q525={"NS","NA"},$K393={"NS","NA"}),0,IF(Q525&lt;=$K393,0,1))</f>
        <v>0</v>
      </c>
      <c r="BB525" cm="1">
        <f t="array" ref="BB525">IF(OR(R525={"NS","NA"},$L393={"NS","NA"}),0,IF(R525&lt;=$L393,0,1))</f>
        <v>0</v>
      </c>
      <c r="BC525" cm="1">
        <f t="array" ref="BC525">IF(OR(S525={"NS","NA"},$J393={"NS","NA"}),0,IF(S525&lt;=$J393,0,1))</f>
        <v>0</v>
      </c>
      <c r="BD525" cm="1">
        <f t="array" ref="BD525">IF(OR(T525={"NS","NA"},$K393={"NS","NA"}),0,IF(T525&lt;=$K393,0,1))</f>
        <v>0</v>
      </c>
      <c r="BE525" cm="1">
        <f t="array" ref="BE525">IF(OR(U525={"NS","NA"},$L393={"NS","NA"}),0,IF(U525&lt;=$L393,0,1))</f>
        <v>0</v>
      </c>
      <c r="BF525" cm="1">
        <f t="array" ref="BF525">IF(OR(V525={"NS","NA"},$J393={"NS","NA"}),0,IF(V525&lt;=$J393,0,1))</f>
        <v>0</v>
      </c>
      <c r="BG525" cm="1">
        <f t="array" ref="BG525">IF(OR(W525={"NS","NA"},$K393={"NS","NA"}),0,IF(W525&lt;=$K393,0,1))</f>
        <v>0</v>
      </c>
      <c r="BH525" cm="1">
        <f t="array" ref="BH525">IF(OR(X525={"NS","NA"},$L393={"NS","NA"}),0,IF(X525&lt;=$L393,0,1))</f>
        <v>0</v>
      </c>
      <c r="BI525" cm="1">
        <f t="array" ref="BI525">IF(OR(Y525={"NS","NA"},$J393={"NS","NA"}),0,IF(Y525&lt;=$J393,0,1))</f>
        <v>0</v>
      </c>
      <c r="BJ525" cm="1">
        <f t="array" ref="BJ525">IF(OR(Z525={"NS","NA"},$K393={"NS","NA"}),0,IF(Z525&lt;=$K393,0,1))</f>
        <v>0</v>
      </c>
      <c r="BK525" cm="1">
        <f t="array" ref="BK525">IF(OR(AA525={"NS","NA"},$L393={"NS","NA"}),0,IF(AA525&lt;=$L393,0,1))</f>
        <v>0</v>
      </c>
      <c r="BL525" cm="1">
        <f t="array" ref="BL525">IF(OR(AB525={"NS","NA"},$J393={"NS","NA"}),0,IF(AB525&lt;=$J393,0,1))</f>
        <v>0</v>
      </c>
      <c r="BM525" cm="1">
        <f t="array" ref="BM525">IF(OR(AC525={"NS","NA"},$K393={"NS","NA"}),0,IF(AC525&lt;=$K393,0,1))</f>
        <v>0</v>
      </c>
      <c r="BN525" cm="1">
        <f t="array" ref="BN525">IF(OR(AD525={"NS","NA"},$L393={"NS","NA"}),0,IF(AD525&lt;=$L393,0,1))</f>
        <v>0</v>
      </c>
      <c r="BO525"/>
    </row>
    <row r="526" spans="1:67">
      <c r="A526" s="142"/>
      <c r="B526" s="57"/>
      <c r="C526" s="143" t="s">
        <v>2519</v>
      </c>
      <c r="D526" s="872" t="str">
        <f>IF(CNSIPEE_2024_M2_Secc1!D45="","",CNSIPEE_2024_M2_Secc1!D45)</f>
        <v/>
      </c>
      <c r="E526" s="872"/>
      <c r="F526" s="872"/>
      <c r="G526" s="872"/>
      <c r="H526" s="872"/>
      <c r="I526" s="872"/>
      <c r="J526" s="872"/>
      <c r="K526" s="872"/>
      <c r="L526" s="872"/>
      <c r="M526" s="872"/>
      <c r="N526" s="872"/>
      <c r="O526" s="872"/>
      <c r="P526" s="100"/>
      <c r="Q526" s="100"/>
      <c r="R526" s="100"/>
      <c r="S526" s="100"/>
      <c r="T526" s="100"/>
      <c r="U526" s="100"/>
      <c r="V526" s="100"/>
      <c r="W526" s="100"/>
      <c r="X526" s="100"/>
      <c r="Y526" s="100"/>
      <c r="Z526" s="100"/>
      <c r="AA526" s="100"/>
      <c r="AB526" s="100"/>
      <c r="AC526" s="100"/>
      <c r="AD526" s="100"/>
      <c r="AK526">
        <f t="shared" si="406"/>
        <v>0</v>
      </c>
      <c r="AL526">
        <f t="shared" si="407"/>
        <v>0</v>
      </c>
      <c r="AM526">
        <f t="shared" si="420"/>
        <v>0</v>
      </c>
      <c r="AN526">
        <f t="shared" si="408"/>
        <v>0</v>
      </c>
      <c r="AO526">
        <f t="shared" si="409"/>
        <v>0</v>
      </c>
      <c r="AP526">
        <f t="shared" si="410"/>
        <v>0</v>
      </c>
      <c r="AQ526">
        <f t="shared" si="411"/>
        <v>0</v>
      </c>
      <c r="AR526">
        <f t="shared" si="412"/>
        <v>0</v>
      </c>
      <c r="AS526">
        <f t="shared" si="413"/>
        <v>0</v>
      </c>
      <c r="AT526">
        <f t="shared" si="414"/>
        <v>0</v>
      </c>
      <c r="AU526">
        <f t="shared" si="415"/>
        <v>0</v>
      </c>
      <c r="AV526">
        <f t="shared" si="416"/>
        <v>0</v>
      </c>
      <c r="AW526">
        <f t="shared" si="417"/>
        <v>0</v>
      </c>
      <c r="AX526">
        <f t="shared" si="418"/>
        <v>0</v>
      </c>
      <c r="AY526">
        <f t="shared" si="419"/>
        <v>0</v>
      </c>
      <c r="AZ526" cm="1">
        <f t="array" ref="AZ526">IF(OR(P526={"NS","NA"},$J394={"NS","NA"}),0,IF(P526&lt;=$J394,0,1))</f>
        <v>0</v>
      </c>
      <c r="BA526" cm="1">
        <f t="array" ref="BA526">IF(OR(Q526={"NS","NA"},$K394={"NS","NA"}),0,IF(Q526&lt;=$K394,0,1))</f>
        <v>0</v>
      </c>
      <c r="BB526" cm="1">
        <f t="array" ref="BB526">IF(OR(R526={"NS","NA"},$L394={"NS","NA"}),0,IF(R526&lt;=$L394,0,1))</f>
        <v>0</v>
      </c>
      <c r="BC526" cm="1">
        <f t="array" ref="BC526">IF(OR(S526={"NS","NA"},$J394={"NS","NA"}),0,IF(S526&lt;=$J394,0,1))</f>
        <v>0</v>
      </c>
      <c r="BD526" cm="1">
        <f t="array" ref="BD526">IF(OR(T526={"NS","NA"},$K394={"NS","NA"}),0,IF(T526&lt;=$K394,0,1))</f>
        <v>0</v>
      </c>
      <c r="BE526" cm="1">
        <f t="array" ref="BE526">IF(OR(U526={"NS","NA"},$L394={"NS","NA"}),0,IF(U526&lt;=$L394,0,1))</f>
        <v>0</v>
      </c>
      <c r="BF526" cm="1">
        <f t="array" ref="BF526">IF(OR(V526={"NS","NA"},$J394={"NS","NA"}),0,IF(V526&lt;=$J394,0,1))</f>
        <v>0</v>
      </c>
      <c r="BG526" cm="1">
        <f t="array" ref="BG526">IF(OR(W526={"NS","NA"},$K394={"NS","NA"}),0,IF(W526&lt;=$K394,0,1))</f>
        <v>0</v>
      </c>
      <c r="BH526" cm="1">
        <f t="array" ref="BH526">IF(OR(X526={"NS","NA"},$L394={"NS","NA"}),0,IF(X526&lt;=$L394,0,1))</f>
        <v>0</v>
      </c>
      <c r="BI526" cm="1">
        <f t="array" ref="BI526">IF(OR(Y526={"NS","NA"},$J394={"NS","NA"}),0,IF(Y526&lt;=$J394,0,1))</f>
        <v>0</v>
      </c>
      <c r="BJ526" cm="1">
        <f t="array" ref="BJ526">IF(OR(Z526={"NS","NA"},$K394={"NS","NA"}),0,IF(Z526&lt;=$K394,0,1))</f>
        <v>0</v>
      </c>
      <c r="BK526" cm="1">
        <f t="array" ref="BK526">IF(OR(AA526={"NS","NA"},$L394={"NS","NA"}),0,IF(AA526&lt;=$L394,0,1))</f>
        <v>0</v>
      </c>
      <c r="BL526" cm="1">
        <f t="array" ref="BL526">IF(OR(AB526={"NS","NA"},$J394={"NS","NA"}),0,IF(AB526&lt;=$J394,0,1))</f>
        <v>0</v>
      </c>
      <c r="BM526" cm="1">
        <f t="array" ref="BM526">IF(OR(AC526={"NS","NA"},$K394={"NS","NA"}),0,IF(AC526&lt;=$K394,0,1))</f>
        <v>0</v>
      </c>
      <c r="BN526" cm="1">
        <f t="array" ref="BN526">IF(OR(AD526={"NS","NA"},$L394={"NS","NA"}),0,IF(AD526&lt;=$L394,0,1))</f>
        <v>0</v>
      </c>
      <c r="BO526"/>
    </row>
    <row r="527" spans="1:67">
      <c r="A527" s="142"/>
      <c r="B527" s="57"/>
      <c r="C527" s="143" t="s">
        <v>2520</v>
      </c>
      <c r="D527" s="872" t="str">
        <f>IF(CNSIPEE_2024_M2_Secc1!D46="","",CNSIPEE_2024_M2_Secc1!D46)</f>
        <v/>
      </c>
      <c r="E527" s="872"/>
      <c r="F527" s="872"/>
      <c r="G527" s="872"/>
      <c r="H527" s="872"/>
      <c r="I527" s="872"/>
      <c r="J527" s="872"/>
      <c r="K527" s="872"/>
      <c r="L527" s="872"/>
      <c r="M527" s="872"/>
      <c r="N527" s="872"/>
      <c r="O527" s="872"/>
      <c r="P527" s="100"/>
      <c r="Q527" s="100"/>
      <c r="R527" s="100"/>
      <c r="S527" s="100"/>
      <c r="T527" s="100"/>
      <c r="U527" s="100"/>
      <c r="V527" s="100"/>
      <c r="W527" s="100"/>
      <c r="X527" s="100"/>
      <c r="Y527" s="100"/>
      <c r="Z527" s="100"/>
      <c r="AA527" s="100"/>
      <c r="AB527" s="100"/>
      <c r="AC527" s="100"/>
      <c r="AD527" s="100"/>
      <c r="AK527">
        <f t="shared" si="406"/>
        <v>0</v>
      </c>
      <c r="AL527">
        <f t="shared" si="407"/>
        <v>0</v>
      </c>
      <c r="AM527">
        <f t="shared" si="420"/>
        <v>0</v>
      </c>
      <c r="AN527">
        <f t="shared" si="408"/>
        <v>0</v>
      </c>
      <c r="AO527">
        <f t="shared" si="409"/>
        <v>0</v>
      </c>
      <c r="AP527">
        <f t="shared" si="410"/>
        <v>0</v>
      </c>
      <c r="AQ527">
        <f t="shared" si="411"/>
        <v>0</v>
      </c>
      <c r="AR527">
        <f t="shared" si="412"/>
        <v>0</v>
      </c>
      <c r="AS527">
        <f t="shared" si="413"/>
        <v>0</v>
      </c>
      <c r="AT527">
        <f t="shared" si="414"/>
        <v>0</v>
      </c>
      <c r="AU527">
        <f t="shared" si="415"/>
        <v>0</v>
      </c>
      <c r="AV527">
        <f t="shared" si="416"/>
        <v>0</v>
      </c>
      <c r="AW527">
        <f t="shared" si="417"/>
        <v>0</v>
      </c>
      <c r="AX527">
        <f t="shared" si="418"/>
        <v>0</v>
      </c>
      <c r="AY527">
        <f t="shared" si="419"/>
        <v>0</v>
      </c>
      <c r="AZ527" cm="1">
        <f t="array" ref="AZ527">IF(OR(P527={"NS","NA"},$J395={"NS","NA"}),0,IF(P527&lt;=$J395,0,1))</f>
        <v>0</v>
      </c>
      <c r="BA527" cm="1">
        <f t="array" ref="BA527">IF(OR(Q527={"NS","NA"},$K395={"NS","NA"}),0,IF(Q527&lt;=$K395,0,1))</f>
        <v>0</v>
      </c>
      <c r="BB527" cm="1">
        <f t="array" ref="BB527">IF(OR(R527={"NS","NA"},$L395={"NS","NA"}),0,IF(R527&lt;=$L395,0,1))</f>
        <v>0</v>
      </c>
      <c r="BC527" cm="1">
        <f t="array" ref="BC527">IF(OR(S527={"NS","NA"},$J395={"NS","NA"}),0,IF(S527&lt;=$J395,0,1))</f>
        <v>0</v>
      </c>
      <c r="BD527" cm="1">
        <f t="array" ref="BD527">IF(OR(T527={"NS","NA"},$K395={"NS","NA"}),0,IF(T527&lt;=$K395,0,1))</f>
        <v>0</v>
      </c>
      <c r="BE527" cm="1">
        <f t="array" ref="BE527">IF(OR(U527={"NS","NA"},$L395={"NS","NA"}),0,IF(U527&lt;=$L395,0,1))</f>
        <v>0</v>
      </c>
      <c r="BF527" cm="1">
        <f t="array" ref="BF527">IF(OR(V527={"NS","NA"},$J395={"NS","NA"}),0,IF(V527&lt;=$J395,0,1))</f>
        <v>0</v>
      </c>
      <c r="BG527" cm="1">
        <f t="array" ref="BG527">IF(OR(W527={"NS","NA"},$K395={"NS","NA"}),0,IF(W527&lt;=$K395,0,1))</f>
        <v>0</v>
      </c>
      <c r="BH527" cm="1">
        <f t="array" ref="BH527">IF(OR(X527={"NS","NA"},$L395={"NS","NA"}),0,IF(X527&lt;=$L395,0,1))</f>
        <v>0</v>
      </c>
      <c r="BI527" cm="1">
        <f t="array" ref="BI527">IF(OR(Y527={"NS","NA"},$J395={"NS","NA"}),0,IF(Y527&lt;=$J395,0,1))</f>
        <v>0</v>
      </c>
      <c r="BJ527" cm="1">
        <f t="array" ref="BJ527">IF(OR(Z527={"NS","NA"},$K395={"NS","NA"}),0,IF(Z527&lt;=$K395,0,1))</f>
        <v>0</v>
      </c>
      <c r="BK527" cm="1">
        <f t="array" ref="BK527">IF(OR(AA527={"NS","NA"},$L395={"NS","NA"}),0,IF(AA527&lt;=$L395,0,1))</f>
        <v>0</v>
      </c>
      <c r="BL527" cm="1">
        <f t="array" ref="BL527">IF(OR(AB527={"NS","NA"},$J395={"NS","NA"}),0,IF(AB527&lt;=$J395,0,1))</f>
        <v>0</v>
      </c>
      <c r="BM527" cm="1">
        <f t="array" ref="BM527">IF(OR(AC527={"NS","NA"},$K395={"NS","NA"}),0,IF(AC527&lt;=$K395,0,1))</f>
        <v>0</v>
      </c>
      <c r="BN527" cm="1">
        <f t="array" ref="BN527">IF(OR(AD527={"NS","NA"},$L395={"NS","NA"}),0,IF(AD527&lt;=$L395,0,1))</f>
        <v>0</v>
      </c>
      <c r="BO527"/>
    </row>
    <row r="528" spans="1:67">
      <c r="A528" s="142"/>
      <c r="B528" s="57"/>
      <c r="C528" s="143" t="s">
        <v>2521</v>
      </c>
      <c r="D528" s="872" t="str">
        <f>IF(CNSIPEE_2024_M2_Secc1!D47="","",CNSIPEE_2024_M2_Secc1!D47)</f>
        <v/>
      </c>
      <c r="E528" s="872"/>
      <c r="F528" s="872"/>
      <c r="G528" s="872"/>
      <c r="H528" s="872"/>
      <c r="I528" s="872"/>
      <c r="J528" s="872"/>
      <c r="K528" s="872"/>
      <c r="L528" s="872"/>
      <c r="M528" s="872"/>
      <c r="N528" s="872"/>
      <c r="O528" s="872"/>
      <c r="P528" s="100"/>
      <c r="Q528" s="100"/>
      <c r="R528" s="100"/>
      <c r="S528" s="100"/>
      <c r="T528" s="100"/>
      <c r="U528" s="100"/>
      <c r="V528" s="100"/>
      <c r="W528" s="100"/>
      <c r="X528" s="100"/>
      <c r="Y528" s="100"/>
      <c r="Z528" s="100"/>
      <c r="AA528" s="100"/>
      <c r="AB528" s="100"/>
      <c r="AC528" s="100"/>
      <c r="AD528" s="100"/>
      <c r="AK528">
        <f t="shared" si="406"/>
        <v>0</v>
      </c>
      <c r="AL528">
        <f t="shared" si="407"/>
        <v>0</v>
      </c>
      <c r="AM528">
        <f t="shared" si="420"/>
        <v>0</v>
      </c>
      <c r="AN528">
        <f t="shared" si="408"/>
        <v>0</v>
      </c>
      <c r="AO528">
        <f t="shared" si="409"/>
        <v>0</v>
      </c>
      <c r="AP528">
        <f t="shared" si="410"/>
        <v>0</v>
      </c>
      <c r="AQ528">
        <f t="shared" si="411"/>
        <v>0</v>
      </c>
      <c r="AR528">
        <f t="shared" si="412"/>
        <v>0</v>
      </c>
      <c r="AS528">
        <f t="shared" si="413"/>
        <v>0</v>
      </c>
      <c r="AT528">
        <f t="shared" si="414"/>
        <v>0</v>
      </c>
      <c r="AU528">
        <f t="shared" si="415"/>
        <v>0</v>
      </c>
      <c r="AV528">
        <f t="shared" si="416"/>
        <v>0</v>
      </c>
      <c r="AW528">
        <f t="shared" si="417"/>
        <v>0</v>
      </c>
      <c r="AX528">
        <f t="shared" si="418"/>
        <v>0</v>
      </c>
      <c r="AY528">
        <f t="shared" si="419"/>
        <v>0</v>
      </c>
      <c r="AZ528" cm="1">
        <f t="array" ref="AZ528">IF(OR(P528={"NS","NA"},$J396={"NS","NA"}),0,IF(P528&lt;=$J396,0,1))</f>
        <v>0</v>
      </c>
      <c r="BA528" cm="1">
        <f t="array" ref="BA528">IF(OR(Q528={"NS","NA"},$K396={"NS","NA"}),0,IF(Q528&lt;=$K396,0,1))</f>
        <v>0</v>
      </c>
      <c r="BB528" cm="1">
        <f t="array" ref="BB528">IF(OR(R528={"NS","NA"},$L396={"NS","NA"}),0,IF(R528&lt;=$L396,0,1))</f>
        <v>0</v>
      </c>
      <c r="BC528" cm="1">
        <f t="array" ref="BC528">IF(OR(S528={"NS","NA"},$J396={"NS","NA"}),0,IF(S528&lt;=$J396,0,1))</f>
        <v>0</v>
      </c>
      <c r="BD528" cm="1">
        <f t="array" ref="BD528">IF(OR(T528={"NS","NA"},$K396={"NS","NA"}),0,IF(T528&lt;=$K396,0,1))</f>
        <v>0</v>
      </c>
      <c r="BE528" cm="1">
        <f t="array" ref="BE528">IF(OR(U528={"NS","NA"},$L396={"NS","NA"}),0,IF(U528&lt;=$L396,0,1))</f>
        <v>0</v>
      </c>
      <c r="BF528" cm="1">
        <f t="array" ref="BF528">IF(OR(V528={"NS","NA"},$J396={"NS","NA"}),0,IF(V528&lt;=$J396,0,1))</f>
        <v>0</v>
      </c>
      <c r="BG528" cm="1">
        <f t="array" ref="BG528">IF(OR(W528={"NS","NA"},$K396={"NS","NA"}),0,IF(W528&lt;=$K396,0,1))</f>
        <v>0</v>
      </c>
      <c r="BH528" cm="1">
        <f t="array" ref="BH528">IF(OR(X528={"NS","NA"},$L396={"NS","NA"}),0,IF(X528&lt;=$L396,0,1))</f>
        <v>0</v>
      </c>
      <c r="BI528" cm="1">
        <f t="array" ref="BI528">IF(OR(Y528={"NS","NA"},$J396={"NS","NA"}),0,IF(Y528&lt;=$J396,0,1))</f>
        <v>0</v>
      </c>
      <c r="BJ528" cm="1">
        <f t="array" ref="BJ528">IF(OR(Z528={"NS","NA"},$K396={"NS","NA"}),0,IF(Z528&lt;=$K396,0,1))</f>
        <v>0</v>
      </c>
      <c r="BK528" cm="1">
        <f t="array" ref="BK528">IF(OR(AA528={"NS","NA"},$L396={"NS","NA"}),0,IF(AA528&lt;=$L396,0,1))</f>
        <v>0</v>
      </c>
      <c r="BL528" cm="1">
        <f t="array" ref="BL528">IF(OR(AB528={"NS","NA"},$J396={"NS","NA"}),0,IF(AB528&lt;=$J396,0,1))</f>
        <v>0</v>
      </c>
      <c r="BM528" cm="1">
        <f t="array" ref="BM528">IF(OR(AC528={"NS","NA"},$K396={"NS","NA"}),0,IF(AC528&lt;=$K396,0,1))</f>
        <v>0</v>
      </c>
      <c r="BN528" cm="1">
        <f t="array" ref="BN528">IF(OR(AD528={"NS","NA"},$L396={"NS","NA"}),0,IF(AD528&lt;=$L396,0,1))</f>
        <v>0</v>
      </c>
      <c r="BO528"/>
    </row>
    <row r="529" spans="1:67">
      <c r="A529" s="142"/>
      <c r="B529" s="57"/>
      <c r="C529" s="143" t="s">
        <v>2522</v>
      </c>
      <c r="D529" s="872" t="str">
        <f>IF(CNSIPEE_2024_M2_Secc1!D48="","",CNSIPEE_2024_M2_Secc1!D48)</f>
        <v/>
      </c>
      <c r="E529" s="872"/>
      <c r="F529" s="872"/>
      <c r="G529" s="872"/>
      <c r="H529" s="872"/>
      <c r="I529" s="872"/>
      <c r="J529" s="872"/>
      <c r="K529" s="872"/>
      <c r="L529" s="872"/>
      <c r="M529" s="872"/>
      <c r="N529" s="872"/>
      <c r="O529" s="872"/>
      <c r="P529" s="100"/>
      <c r="Q529" s="100"/>
      <c r="R529" s="100"/>
      <c r="S529" s="100"/>
      <c r="T529" s="100"/>
      <c r="U529" s="100"/>
      <c r="V529" s="100"/>
      <c r="W529" s="100"/>
      <c r="X529" s="100"/>
      <c r="Y529" s="100"/>
      <c r="Z529" s="100"/>
      <c r="AA529" s="100"/>
      <c r="AB529" s="100"/>
      <c r="AC529" s="100"/>
      <c r="AD529" s="100"/>
      <c r="AK529">
        <f t="shared" si="406"/>
        <v>0</v>
      </c>
      <c r="AL529">
        <f t="shared" si="407"/>
        <v>0</v>
      </c>
      <c r="AM529">
        <f t="shared" si="420"/>
        <v>0</v>
      </c>
      <c r="AN529">
        <f t="shared" si="408"/>
        <v>0</v>
      </c>
      <c r="AO529">
        <f t="shared" si="409"/>
        <v>0</v>
      </c>
      <c r="AP529">
        <f t="shared" si="410"/>
        <v>0</v>
      </c>
      <c r="AQ529">
        <f t="shared" si="411"/>
        <v>0</v>
      </c>
      <c r="AR529">
        <f t="shared" si="412"/>
        <v>0</v>
      </c>
      <c r="AS529">
        <f t="shared" si="413"/>
        <v>0</v>
      </c>
      <c r="AT529">
        <f t="shared" si="414"/>
        <v>0</v>
      </c>
      <c r="AU529">
        <f t="shared" si="415"/>
        <v>0</v>
      </c>
      <c r="AV529">
        <f t="shared" si="416"/>
        <v>0</v>
      </c>
      <c r="AW529">
        <f t="shared" si="417"/>
        <v>0</v>
      </c>
      <c r="AX529">
        <f t="shared" si="418"/>
        <v>0</v>
      </c>
      <c r="AY529">
        <f t="shared" si="419"/>
        <v>0</v>
      </c>
      <c r="AZ529" cm="1">
        <f t="array" ref="AZ529">IF(OR(P529={"NS","NA"},$J397={"NS","NA"}),0,IF(P529&lt;=$J397,0,1))</f>
        <v>0</v>
      </c>
      <c r="BA529" cm="1">
        <f t="array" ref="BA529">IF(OR(Q529={"NS","NA"},$K397={"NS","NA"}),0,IF(Q529&lt;=$K397,0,1))</f>
        <v>0</v>
      </c>
      <c r="BB529" cm="1">
        <f t="array" ref="BB529">IF(OR(R529={"NS","NA"},$L397={"NS","NA"}),0,IF(R529&lt;=$L397,0,1))</f>
        <v>0</v>
      </c>
      <c r="BC529" cm="1">
        <f t="array" ref="BC529">IF(OR(S529={"NS","NA"},$J397={"NS","NA"}),0,IF(S529&lt;=$J397,0,1))</f>
        <v>0</v>
      </c>
      <c r="BD529" cm="1">
        <f t="array" ref="BD529">IF(OR(T529={"NS","NA"},$K397={"NS","NA"}),0,IF(T529&lt;=$K397,0,1))</f>
        <v>0</v>
      </c>
      <c r="BE529" cm="1">
        <f t="array" ref="BE529">IF(OR(U529={"NS","NA"},$L397={"NS","NA"}),0,IF(U529&lt;=$L397,0,1))</f>
        <v>0</v>
      </c>
      <c r="BF529" cm="1">
        <f t="array" ref="BF529">IF(OR(V529={"NS","NA"},$J397={"NS","NA"}),0,IF(V529&lt;=$J397,0,1))</f>
        <v>0</v>
      </c>
      <c r="BG529" cm="1">
        <f t="array" ref="BG529">IF(OR(W529={"NS","NA"},$K397={"NS","NA"}),0,IF(W529&lt;=$K397,0,1))</f>
        <v>0</v>
      </c>
      <c r="BH529" cm="1">
        <f t="array" ref="BH529">IF(OR(X529={"NS","NA"},$L397={"NS","NA"}),0,IF(X529&lt;=$L397,0,1))</f>
        <v>0</v>
      </c>
      <c r="BI529" cm="1">
        <f t="array" ref="BI529">IF(OR(Y529={"NS","NA"},$J397={"NS","NA"}),0,IF(Y529&lt;=$J397,0,1))</f>
        <v>0</v>
      </c>
      <c r="BJ529" cm="1">
        <f t="array" ref="BJ529">IF(OR(Z529={"NS","NA"},$K397={"NS","NA"}),0,IF(Z529&lt;=$K397,0,1))</f>
        <v>0</v>
      </c>
      <c r="BK529" cm="1">
        <f t="array" ref="BK529">IF(OR(AA529={"NS","NA"},$L397={"NS","NA"}),0,IF(AA529&lt;=$L397,0,1))</f>
        <v>0</v>
      </c>
      <c r="BL529" cm="1">
        <f t="array" ref="BL529">IF(OR(AB529={"NS","NA"},$J397={"NS","NA"}),0,IF(AB529&lt;=$J397,0,1))</f>
        <v>0</v>
      </c>
      <c r="BM529" cm="1">
        <f t="array" ref="BM529">IF(OR(AC529={"NS","NA"},$K397={"NS","NA"}),0,IF(AC529&lt;=$K397,0,1))</f>
        <v>0</v>
      </c>
      <c r="BN529" cm="1">
        <f t="array" ref="BN529">IF(OR(AD529={"NS","NA"},$L397={"NS","NA"}),0,IF(AD529&lt;=$L397,0,1))</f>
        <v>0</v>
      </c>
      <c r="BO529"/>
    </row>
    <row r="530" spans="1:67">
      <c r="A530" s="142"/>
      <c r="B530" s="57"/>
      <c r="C530" s="143" t="s">
        <v>2523</v>
      </c>
      <c r="D530" s="872" t="str">
        <f>IF(CNSIPEE_2024_M2_Secc1!D49="","",CNSIPEE_2024_M2_Secc1!D49)</f>
        <v/>
      </c>
      <c r="E530" s="872"/>
      <c r="F530" s="872"/>
      <c r="G530" s="872"/>
      <c r="H530" s="872"/>
      <c r="I530" s="872"/>
      <c r="J530" s="872"/>
      <c r="K530" s="872"/>
      <c r="L530" s="872"/>
      <c r="M530" s="872"/>
      <c r="N530" s="872"/>
      <c r="O530" s="872"/>
      <c r="P530" s="100"/>
      <c r="Q530" s="100"/>
      <c r="R530" s="100"/>
      <c r="S530" s="100"/>
      <c r="T530" s="100"/>
      <c r="U530" s="100"/>
      <c r="V530" s="100"/>
      <c r="W530" s="100"/>
      <c r="X530" s="100"/>
      <c r="Y530" s="100"/>
      <c r="Z530" s="100"/>
      <c r="AA530" s="100"/>
      <c r="AB530" s="100"/>
      <c r="AC530" s="100"/>
      <c r="AD530" s="100"/>
      <c r="AK530">
        <f t="shared" si="406"/>
        <v>0</v>
      </c>
      <c r="AL530">
        <f t="shared" si="407"/>
        <v>0</v>
      </c>
      <c r="AM530">
        <f t="shared" si="420"/>
        <v>0</v>
      </c>
      <c r="AN530">
        <f t="shared" si="408"/>
        <v>0</v>
      </c>
      <c r="AO530">
        <f t="shared" si="409"/>
        <v>0</v>
      </c>
      <c r="AP530">
        <f t="shared" si="410"/>
        <v>0</v>
      </c>
      <c r="AQ530">
        <f t="shared" si="411"/>
        <v>0</v>
      </c>
      <c r="AR530">
        <f t="shared" si="412"/>
        <v>0</v>
      </c>
      <c r="AS530">
        <f t="shared" si="413"/>
        <v>0</v>
      </c>
      <c r="AT530">
        <f t="shared" si="414"/>
        <v>0</v>
      </c>
      <c r="AU530">
        <f t="shared" si="415"/>
        <v>0</v>
      </c>
      <c r="AV530">
        <f t="shared" si="416"/>
        <v>0</v>
      </c>
      <c r="AW530">
        <f t="shared" si="417"/>
        <v>0</v>
      </c>
      <c r="AX530">
        <f t="shared" si="418"/>
        <v>0</v>
      </c>
      <c r="AY530">
        <f t="shared" si="419"/>
        <v>0</v>
      </c>
      <c r="AZ530" cm="1">
        <f t="array" ref="AZ530">IF(OR(P530={"NS","NA"},$J398={"NS","NA"}),0,IF(P530&lt;=$J398,0,1))</f>
        <v>0</v>
      </c>
      <c r="BA530" cm="1">
        <f t="array" ref="BA530">IF(OR(Q530={"NS","NA"},$K398={"NS","NA"}),0,IF(Q530&lt;=$K398,0,1))</f>
        <v>0</v>
      </c>
      <c r="BB530" cm="1">
        <f t="array" ref="BB530">IF(OR(R530={"NS","NA"},$L398={"NS","NA"}),0,IF(R530&lt;=$L398,0,1))</f>
        <v>0</v>
      </c>
      <c r="BC530" cm="1">
        <f t="array" ref="BC530">IF(OR(S530={"NS","NA"},$J398={"NS","NA"}),0,IF(S530&lt;=$J398,0,1))</f>
        <v>0</v>
      </c>
      <c r="BD530" cm="1">
        <f t="array" ref="BD530">IF(OR(T530={"NS","NA"},$K398={"NS","NA"}),0,IF(T530&lt;=$K398,0,1))</f>
        <v>0</v>
      </c>
      <c r="BE530" cm="1">
        <f t="array" ref="BE530">IF(OR(U530={"NS","NA"},$L398={"NS","NA"}),0,IF(U530&lt;=$L398,0,1))</f>
        <v>0</v>
      </c>
      <c r="BF530" cm="1">
        <f t="array" ref="BF530">IF(OR(V530={"NS","NA"},$J398={"NS","NA"}),0,IF(V530&lt;=$J398,0,1))</f>
        <v>0</v>
      </c>
      <c r="BG530" cm="1">
        <f t="array" ref="BG530">IF(OR(W530={"NS","NA"},$K398={"NS","NA"}),0,IF(W530&lt;=$K398,0,1))</f>
        <v>0</v>
      </c>
      <c r="BH530" cm="1">
        <f t="array" ref="BH530">IF(OR(X530={"NS","NA"},$L398={"NS","NA"}),0,IF(X530&lt;=$L398,0,1))</f>
        <v>0</v>
      </c>
      <c r="BI530" cm="1">
        <f t="array" ref="BI530">IF(OR(Y530={"NS","NA"},$J398={"NS","NA"}),0,IF(Y530&lt;=$J398,0,1))</f>
        <v>0</v>
      </c>
      <c r="BJ530" cm="1">
        <f t="array" ref="BJ530">IF(OR(Z530={"NS","NA"},$K398={"NS","NA"}),0,IF(Z530&lt;=$K398,0,1))</f>
        <v>0</v>
      </c>
      <c r="BK530" cm="1">
        <f t="array" ref="BK530">IF(OR(AA530={"NS","NA"},$L398={"NS","NA"}),0,IF(AA530&lt;=$L398,0,1))</f>
        <v>0</v>
      </c>
      <c r="BL530" cm="1">
        <f t="array" ref="BL530">IF(OR(AB530={"NS","NA"},$J398={"NS","NA"}),0,IF(AB530&lt;=$J398,0,1))</f>
        <v>0</v>
      </c>
      <c r="BM530" cm="1">
        <f t="array" ref="BM530">IF(OR(AC530={"NS","NA"},$K398={"NS","NA"}),0,IF(AC530&lt;=$K398,0,1))</f>
        <v>0</v>
      </c>
      <c r="BN530" cm="1">
        <f t="array" ref="BN530">IF(OR(AD530={"NS","NA"},$L398={"NS","NA"}),0,IF(AD530&lt;=$L398,0,1))</f>
        <v>0</v>
      </c>
      <c r="BO530"/>
    </row>
    <row r="531" spans="1:67">
      <c r="A531" s="142"/>
      <c r="B531" s="57"/>
      <c r="C531" s="57"/>
      <c r="D531" s="57"/>
      <c r="E531" s="57"/>
      <c r="F531" s="57"/>
      <c r="G531" s="57"/>
      <c r="P531" s="124">
        <f t="shared" ref="P531:AD531" si="421">IF(AND(SUM(P523:P530)=0,COUNTIF(P523:P530,"NS")&gt;0),"NS",IF(AND(SUM(P523:P530)=0,COUNTIF(P523:P530,0)&gt;0),0,IF(AND(SUM(P523:P530)=0,COUNTIF(P523:P530,"NA")&gt;0),"NA",SUM(P523:P530))))</f>
        <v>0</v>
      </c>
      <c r="Q531" s="124">
        <f t="shared" si="421"/>
        <v>0</v>
      </c>
      <c r="R531" s="124">
        <f t="shared" si="421"/>
        <v>0</v>
      </c>
      <c r="S531" s="124">
        <f t="shared" si="421"/>
        <v>0</v>
      </c>
      <c r="T531" s="124">
        <f t="shared" si="421"/>
        <v>0</v>
      </c>
      <c r="U531" s="124">
        <f t="shared" si="421"/>
        <v>0</v>
      </c>
      <c r="V531" s="124">
        <f t="shared" si="421"/>
        <v>0</v>
      </c>
      <c r="W531" s="124">
        <f t="shared" si="421"/>
        <v>0</v>
      </c>
      <c r="X531" s="124">
        <f t="shared" si="421"/>
        <v>0</v>
      </c>
      <c r="Y531" s="124">
        <f t="shared" si="421"/>
        <v>0</v>
      </c>
      <c r="Z531" s="124">
        <f t="shared" si="421"/>
        <v>0</v>
      </c>
      <c r="AA531" s="124">
        <f t="shared" si="421"/>
        <v>0</v>
      </c>
      <c r="AB531" s="124">
        <f t="shared" si="421"/>
        <v>0</v>
      </c>
      <c r="AC531" s="124">
        <f t="shared" si="421"/>
        <v>0</v>
      </c>
      <c r="AD531" s="124">
        <f t="shared" si="421"/>
        <v>0</v>
      </c>
      <c r="AK531">
        <f>SUM(AK523:AK530)</f>
        <v>0</v>
      </c>
      <c r="AM531">
        <f>SUM(AM523:AM530)</f>
        <v>0</v>
      </c>
      <c r="AN531">
        <f>SUM(AN523:AN530)</f>
        <v>0</v>
      </c>
      <c r="AP531">
        <f>SUM(AP523:AP530)</f>
        <v>0</v>
      </c>
      <c r="AQ531">
        <f>SUM(AQ523:AQ530)</f>
        <v>0</v>
      </c>
      <c r="AS531">
        <f>SUM(AS523:AS530)</f>
        <v>0</v>
      </c>
      <c r="AT531">
        <f>SUM(AT523:AT530)</f>
        <v>0</v>
      </c>
      <c r="AV531">
        <f>SUM(AV523:AV530)</f>
        <v>0</v>
      </c>
      <c r="AW531">
        <f>SUM(AW523:AW530)</f>
        <v>0</v>
      </c>
      <c r="AY531">
        <f>SUM(AY523:AY530)</f>
        <v>0</v>
      </c>
      <c r="BN531" s="693">
        <f>SUM(AZ523:BN530)</f>
        <v>0</v>
      </c>
      <c r="BO531"/>
    </row>
    <row r="532" spans="1:67">
      <c r="A532" s="142"/>
      <c r="B532" s="57"/>
      <c r="C532" s="57"/>
      <c r="D532" s="57"/>
      <c r="E532" s="57"/>
      <c r="F532" s="57"/>
      <c r="G532" s="57"/>
      <c r="H532" s="57"/>
      <c r="I532" s="57"/>
      <c r="J532" s="57"/>
      <c r="K532" s="57"/>
      <c r="L532" s="57"/>
      <c r="M532" s="57"/>
      <c r="N532" s="57"/>
      <c r="O532" s="57"/>
      <c r="P532" s="57"/>
      <c r="Q532" s="57"/>
      <c r="R532" s="57"/>
      <c r="S532" s="57"/>
      <c r="T532" s="57"/>
      <c r="U532" s="57"/>
      <c r="V532" s="57"/>
      <c r="W532" s="57"/>
      <c r="X532" s="57"/>
      <c r="Y532" s="57"/>
      <c r="Z532" s="57"/>
      <c r="AA532" s="57"/>
      <c r="AB532" s="57"/>
      <c r="AC532" s="57"/>
      <c r="AD532" s="57"/>
      <c r="AK532" t="s">
        <v>2650</v>
      </c>
      <c r="AL532" s="405">
        <f>SUM(AM531,AP531,AS531,AV531,AY531)</f>
        <v>0</v>
      </c>
      <c r="AM532" t="s">
        <v>2651</v>
      </c>
      <c r="AN532">
        <f>SUM(AK531,AN531,AQ531,AT531,AW531)</f>
        <v>0</v>
      </c>
      <c r="BN532" s="507">
        <f>SUM(BN531,BN517)</f>
        <v>0</v>
      </c>
      <c r="BO532"/>
    </row>
    <row r="533" spans="1:67" ht="45" customHeight="1">
      <c r="A533" s="142"/>
      <c r="B533" s="57"/>
      <c r="C533" s="822" t="s">
        <v>2798</v>
      </c>
      <c r="D533" s="822"/>
      <c r="E533" s="822"/>
      <c r="F533" s="749"/>
      <c r="G533" s="749"/>
      <c r="H533" s="749"/>
      <c r="I533" s="749"/>
      <c r="J533" s="749"/>
      <c r="K533" s="749"/>
      <c r="L533" s="749"/>
      <c r="M533" s="749"/>
      <c r="N533" s="749"/>
      <c r="O533" s="749"/>
      <c r="P533" s="749"/>
      <c r="Q533" s="749"/>
      <c r="R533" s="749"/>
      <c r="S533" s="749"/>
      <c r="T533" s="749"/>
      <c r="U533" s="749"/>
      <c r="V533" s="749"/>
      <c r="W533" s="749"/>
      <c r="X533" s="749"/>
      <c r="Y533" s="749"/>
      <c r="Z533" s="749"/>
      <c r="AA533" s="749"/>
      <c r="AB533" s="749"/>
      <c r="AC533" s="749"/>
      <c r="AD533" s="749"/>
      <c r="AK533" t="s">
        <v>2652</v>
      </c>
      <c r="AL533">
        <f>IF(AN532&gt;0,IF(SUM(P531)&gt;=SUM(S531,V531,Y531,AB531),0,1),IF(SUM(P531)&lt;&gt;SUM(S531,V531,Y531,AB531),1,0))</f>
        <v>0</v>
      </c>
      <c r="AM533" t="s">
        <v>2653</v>
      </c>
      <c r="AN533">
        <f>IF(AN532&gt;0,IF(SUM(Q531)&gt;=SUM(T531,W531,Z531,AC531),0,1),IF(SUM(Q531)&lt;&gt;SUM(T531,W531,Z531,AC531),1,0))</f>
        <v>0</v>
      </c>
      <c r="AO533" t="s">
        <v>2654</v>
      </c>
      <c r="AP533">
        <f>IF(AN532&gt;0,IF(SUM(R531)&gt;=SUM(U531,X531,AA531,AD531),0,1),IF(SUM(R531)&lt;&gt;SUM(U531,X531,AA531,AD531),1,0))</f>
        <v>0</v>
      </c>
      <c r="BO533"/>
    </row>
    <row r="534" spans="1:67">
      <c r="A534" s="142"/>
      <c r="B534" s="1003" t="str">
        <f>IF(AND(AB531&gt;0,AB531&lt;&gt;"NA",AB531&lt;&gt;"NS",F533=""),"Debido a que registró un número mayor a cero en el apdo. Otro tipo, debe anotar el n. de dicho(s) tipo(s) de enfermedad(es) y/ o trastorno(s)","")</f>
        <v/>
      </c>
      <c r="C534" s="1003"/>
      <c r="D534" s="1003"/>
      <c r="E534" s="1003"/>
      <c r="F534" s="1003"/>
      <c r="G534" s="1003"/>
      <c r="H534" s="1003"/>
      <c r="I534" s="1003"/>
      <c r="J534" s="1003"/>
      <c r="K534" s="1003"/>
      <c r="L534" s="1003"/>
      <c r="M534" s="1003"/>
      <c r="N534" s="1003"/>
      <c r="O534" s="1003"/>
      <c r="P534" s="1003"/>
      <c r="Q534" s="1003"/>
      <c r="R534" s="1003"/>
      <c r="S534" s="1003"/>
      <c r="T534" s="1003"/>
      <c r="U534" s="1003"/>
      <c r="V534" s="1003"/>
      <c r="W534" s="1003"/>
      <c r="X534" s="1003"/>
      <c r="Y534" s="1003"/>
      <c r="Z534" s="1003"/>
      <c r="AA534" s="1003"/>
      <c r="AB534" s="1003"/>
      <c r="AC534" s="1003"/>
      <c r="AD534" s="1003"/>
      <c r="AE534" s="1003"/>
      <c r="AK534" t="s">
        <v>5218</v>
      </c>
      <c r="AL534" s="506">
        <f>SUM(AL532,AL518)</f>
        <v>0</v>
      </c>
      <c r="AM534" t="s">
        <v>5219</v>
      </c>
      <c r="AN534">
        <f>SUM(AN532,AN518)</f>
        <v>0</v>
      </c>
      <c r="BO534"/>
    </row>
    <row r="535" spans="1:67" ht="24" customHeight="1">
      <c r="A535" s="50"/>
      <c r="B535" s="38"/>
      <c r="C535" s="754" t="s">
        <v>2611</v>
      </c>
      <c r="D535" s="754"/>
      <c r="E535" s="754"/>
      <c r="F535" s="754"/>
      <c r="G535" s="754"/>
      <c r="H535" s="754"/>
      <c r="I535" s="754"/>
      <c r="J535" s="754"/>
      <c r="K535" s="754"/>
      <c r="L535" s="754"/>
      <c r="M535" s="754"/>
      <c r="N535" s="754"/>
      <c r="O535" s="754"/>
      <c r="P535" s="754"/>
      <c r="Q535" s="754"/>
      <c r="R535" s="754"/>
      <c r="S535" s="754"/>
      <c r="T535" s="754"/>
      <c r="U535" s="754"/>
      <c r="V535" s="754"/>
      <c r="W535" s="754"/>
      <c r="X535" s="754"/>
      <c r="Y535" s="754"/>
      <c r="Z535" s="754"/>
      <c r="AA535" s="754"/>
      <c r="AB535" s="754"/>
      <c r="AC535" s="754"/>
      <c r="AD535" s="754"/>
      <c r="AK535" t="s">
        <v>5220</v>
      </c>
      <c r="AL535">
        <f>IF(AN534&gt;0,IF(SUM(P517)&gt;=SUM(S517,V517,Y517,AB517,P531,S531,V531,Y531,AB531),0,1),IF(SUM(P517)&lt;&gt;SUM(S517,V517,Y517,AB517,P531,S531,V531,Y531,AB531),1,0))</f>
        <v>0</v>
      </c>
      <c r="AM535" t="s">
        <v>5221</v>
      </c>
      <c r="AN535">
        <f>IF(AN534&gt;0,IF(SUM(Q517)&gt;=SUM(T517,W517,Z517,AC517,Q531,T531,W531,Z531,AC531),0,1),IF(SUM(Q517)&lt;&gt;SUM(T517,W517,Z517,AC517,Q531,T531,W531,Z531,AC531),1,0))</f>
        <v>0</v>
      </c>
      <c r="AO535" t="s">
        <v>5222</v>
      </c>
      <c r="AP535">
        <f>IF(AN534&gt;0,IF(SUM(R517)&gt;=SUM(U517,X517,AA517,AD517,R531,U531,X531,AA531,AD531),0,1),IF(SUM(R517)&lt;&gt;SUM(U517,X517,AA517,AD517,R531,U531,X531,AA531,AD531),1,0))</f>
        <v>0</v>
      </c>
      <c r="BO535"/>
    </row>
    <row r="536" spans="1:67" ht="60" customHeight="1">
      <c r="A536" s="50"/>
      <c r="B536" s="38"/>
      <c r="C536" s="851"/>
      <c r="D536" s="851"/>
      <c r="E536" s="851"/>
      <c r="F536" s="851"/>
      <c r="G536" s="851"/>
      <c r="H536" s="851"/>
      <c r="I536" s="851"/>
      <c r="J536" s="851"/>
      <c r="K536" s="851"/>
      <c r="L536" s="851"/>
      <c r="M536" s="851"/>
      <c r="N536" s="851"/>
      <c r="O536" s="851"/>
      <c r="P536" s="851"/>
      <c r="Q536" s="851"/>
      <c r="R536" s="851"/>
      <c r="S536" s="851"/>
      <c r="T536" s="851"/>
      <c r="U536" s="851"/>
      <c r="V536" s="851"/>
      <c r="W536" s="851"/>
      <c r="X536" s="851"/>
      <c r="Y536" s="851"/>
      <c r="Z536" s="851"/>
      <c r="AA536" s="851"/>
      <c r="AB536" s="851"/>
      <c r="AC536" s="851"/>
      <c r="AD536" s="851"/>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row>
    <row r="537" spans="1:67">
      <c r="A537" s="142"/>
      <c r="B537" s="794" t="str">
        <f>IF(AG517=0,"","Favor de ingresar toda la información requerida en la pregunta")</f>
        <v/>
      </c>
      <c r="C537" s="794"/>
      <c r="D537" s="794"/>
      <c r="E537" s="794"/>
      <c r="F537" s="794"/>
      <c r="G537" s="794"/>
      <c r="H537" s="794"/>
      <c r="I537" s="794"/>
      <c r="J537" s="794"/>
      <c r="K537" s="794"/>
      <c r="L537" s="794"/>
      <c r="M537" s="794"/>
      <c r="N537" s="794"/>
      <c r="O537" s="794"/>
      <c r="P537" s="794"/>
      <c r="Q537" s="794"/>
      <c r="R537" s="794"/>
      <c r="S537" s="794"/>
      <c r="T537" s="794"/>
      <c r="U537" s="794"/>
      <c r="V537" s="794"/>
      <c r="W537" s="794"/>
      <c r="X537" s="794"/>
      <c r="Y537" s="794"/>
      <c r="Z537" s="794"/>
      <c r="AA537" s="794"/>
      <c r="AB537" s="794"/>
      <c r="AC537" s="794"/>
      <c r="AD537" s="794"/>
      <c r="AE537" s="794"/>
    </row>
    <row r="538" spans="1:67">
      <c r="A538" s="142"/>
      <c r="B538" s="1087" t="str">
        <f>IF(SUM(COUNTIF(P509:AD516,"NS"),COUNTIF(P523:AD530,"NS"))&lt;&gt;0,"Alerta: debido a que cuenta con registros NS, debe proporcionar una justificación en el area de comentarios al final de la pregunta","")</f>
        <v/>
      </c>
      <c r="C538" s="1087"/>
      <c r="D538" s="1087"/>
      <c r="E538" s="1087"/>
      <c r="F538" s="1087"/>
      <c r="G538" s="1087"/>
      <c r="H538" s="1087"/>
      <c r="I538" s="1087"/>
      <c r="J538" s="1087"/>
      <c r="K538" s="1087"/>
      <c r="L538" s="1087"/>
      <c r="M538" s="1087"/>
      <c r="N538" s="1087"/>
      <c r="O538" s="1087"/>
      <c r="P538" s="1087"/>
      <c r="Q538" s="1087"/>
      <c r="R538" s="1087"/>
      <c r="S538" s="1087"/>
      <c r="T538" s="1087"/>
      <c r="U538" s="1087"/>
      <c r="V538" s="1087"/>
      <c r="W538" s="1087"/>
      <c r="X538" s="1087"/>
      <c r="Y538" s="1087"/>
      <c r="Z538" s="1087"/>
      <c r="AA538" s="1087"/>
      <c r="AB538" s="1087"/>
      <c r="AC538" s="1087"/>
      <c r="AD538" s="1087"/>
      <c r="AE538" s="1087"/>
    </row>
    <row r="539" spans="1:67">
      <c r="A539" s="142"/>
      <c r="B539" s="1003" t="str">
        <f>IF(AH517&gt;0,"Revise la información capturada, ya que tiene datos ingresados en celdas que están sombreadas","")</f>
        <v/>
      </c>
      <c r="C539" s="1003"/>
      <c r="D539" s="1003"/>
      <c r="E539" s="1003"/>
      <c r="F539" s="1003"/>
      <c r="G539" s="1003"/>
      <c r="H539" s="1003"/>
      <c r="I539" s="1003"/>
      <c r="J539" s="1003"/>
      <c r="K539" s="1003"/>
      <c r="L539" s="1003"/>
      <c r="M539" s="1003"/>
      <c r="N539" s="1003"/>
      <c r="O539" s="1003"/>
      <c r="P539" s="1003"/>
      <c r="Q539" s="1003"/>
      <c r="R539" s="1003"/>
      <c r="S539" s="1003"/>
      <c r="T539" s="1003"/>
      <c r="U539" s="1003"/>
      <c r="V539" s="1003"/>
      <c r="W539" s="1003"/>
      <c r="X539" s="1003"/>
      <c r="Y539" s="1003"/>
      <c r="Z539" s="1003"/>
      <c r="AA539" s="1003"/>
      <c r="AB539" s="1003"/>
      <c r="AC539" s="1003"/>
      <c r="AD539" s="1003"/>
      <c r="AE539" s="1003"/>
    </row>
    <row r="540" spans="1:67">
      <c r="A540" s="142"/>
      <c r="B540" s="1003" t="str">
        <f>IF(AL534&gt;0,"Favor de revisar la suma y consistencia de totales y/o subtotales por filas (numéricos y NS)","")</f>
        <v/>
      </c>
      <c r="C540" s="1003"/>
      <c r="D540" s="1003"/>
      <c r="E540" s="1003"/>
      <c r="F540" s="1003"/>
      <c r="G540" s="1003"/>
      <c r="H540" s="1003"/>
      <c r="I540" s="1003"/>
      <c r="J540" s="1003"/>
      <c r="K540" s="1003"/>
      <c r="L540" s="1003"/>
      <c r="M540" s="1003"/>
      <c r="N540" s="1003"/>
      <c r="O540" s="1003"/>
      <c r="P540" s="1003"/>
      <c r="Q540" s="1003"/>
      <c r="R540" s="1003"/>
      <c r="S540" s="1003"/>
      <c r="T540" s="1003"/>
      <c r="U540" s="1003"/>
      <c r="V540" s="1003"/>
      <c r="W540" s="1003"/>
      <c r="X540" s="1003"/>
      <c r="Y540" s="1003"/>
      <c r="Z540" s="1003"/>
      <c r="AA540" s="1003"/>
      <c r="AB540" s="1003"/>
      <c r="AC540" s="1003"/>
      <c r="AD540" s="1003"/>
      <c r="AE540" s="1003"/>
    </row>
    <row r="541" spans="1:67">
      <c r="A541" s="142"/>
      <c r="B541" s="794" t="str">
        <f>IF(BB517&gt;0,"Favor de revisar la instrucción 2, debido a que no se cumplen con los criterios mencionados","")</f>
        <v/>
      </c>
      <c r="C541" s="794"/>
      <c r="D541" s="794"/>
      <c r="E541" s="794"/>
      <c r="F541" s="794"/>
      <c r="G541" s="794"/>
      <c r="H541" s="794"/>
      <c r="I541" s="794"/>
      <c r="J541" s="794"/>
      <c r="K541" s="794"/>
      <c r="L541" s="794"/>
      <c r="M541" s="794"/>
      <c r="N541" s="794"/>
      <c r="O541" s="794"/>
      <c r="P541" s="794"/>
      <c r="Q541" s="794"/>
      <c r="R541" s="794"/>
      <c r="S541" s="794"/>
      <c r="T541" s="794"/>
      <c r="U541" s="794"/>
      <c r="V541" s="794"/>
      <c r="W541" s="794"/>
      <c r="X541" s="794"/>
      <c r="Y541" s="794"/>
      <c r="Z541" s="794"/>
      <c r="AA541" s="794"/>
      <c r="AB541" s="794"/>
      <c r="AC541" s="794"/>
      <c r="AD541" s="794"/>
      <c r="AE541" s="794"/>
    </row>
    <row r="542" spans="1:67">
      <c r="A542" s="142"/>
      <c r="B542" s="795" t="str">
        <f>IF(BN532&gt;0,"Alerta: debe de proporcionar una justificación de acuerdo a lo establecido en la instrucción 3","")</f>
        <v/>
      </c>
      <c r="C542" s="795"/>
      <c r="D542" s="795"/>
      <c r="E542" s="795"/>
      <c r="F542" s="795"/>
      <c r="G542" s="795"/>
      <c r="H542" s="795"/>
      <c r="I542" s="795"/>
      <c r="J542" s="795"/>
      <c r="K542" s="795"/>
      <c r="L542" s="795"/>
      <c r="M542" s="795"/>
      <c r="N542" s="795"/>
      <c r="O542" s="795"/>
      <c r="P542" s="795"/>
      <c r="Q542" s="795"/>
      <c r="R542" s="795"/>
      <c r="S542" s="795"/>
      <c r="T542" s="795"/>
      <c r="U542" s="795"/>
      <c r="V542" s="795"/>
      <c r="W542" s="795"/>
      <c r="X542" s="795"/>
      <c r="Y542" s="795"/>
      <c r="Z542" s="795"/>
      <c r="AA542" s="795"/>
      <c r="AB542" s="795"/>
      <c r="AC542" s="795"/>
      <c r="AD542" s="795"/>
      <c r="AE542" s="795"/>
    </row>
    <row r="543" spans="1:67" ht="36" customHeight="1">
      <c r="A543" s="49" t="s">
        <v>5963</v>
      </c>
      <c r="B543" s="829" t="s">
        <v>5964</v>
      </c>
      <c r="C543" s="829"/>
      <c r="D543" s="829"/>
      <c r="E543" s="829"/>
      <c r="F543" s="829"/>
      <c r="G543" s="829"/>
      <c r="H543" s="829"/>
      <c r="I543" s="829"/>
      <c r="J543" s="829"/>
      <c r="K543" s="829"/>
      <c r="L543" s="829"/>
      <c r="M543" s="829"/>
      <c r="N543" s="829"/>
      <c r="O543" s="829"/>
      <c r="P543" s="829"/>
      <c r="Q543" s="829"/>
      <c r="R543" s="829"/>
      <c r="S543" s="829"/>
      <c r="T543" s="829"/>
      <c r="U543" s="829"/>
      <c r="V543" s="829"/>
      <c r="W543" s="829"/>
      <c r="X543" s="829"/>
      <c r="Y543" s="829"/>
      <c r="Z543" s="829"/>
      <c r="AA543" s="829"/>
      <c r="AB543" s="829"/>
      <c r="AC543" s="829"/>
      <c r="AD543" s="829"/>
    </row>
    <row r="544" spans="1:67" ht="36" customHeight="1">
      <c r="A544" s="50"/>
      <c r="B544" s="38"/>
      <c r="C544" s="830" t="s">
        <v>5965</v>
      </c>
      <c r="D544" s="830"/>
      <c r="E544" s="830"/>
      <c r="F544" s="830"/>
      <c r="G544" s="830"/>
      <c r="H544" s="830"/>
      <c r="I544" s="830"/>
      <c r="J544" s="830"/>
      <c r="K544" s="830"/>
      <c r="L544" s="830"/>
      <c r="M544" s="830"/>
      <c r="N544" s="830"/>
      <c r="O544" s="830"/>
      <c r="P544" s="830"/>
      <c r="Q544" s="830"/>
      <c r="R544" s="830"/>
      <c r="S544" s="830"/>
      <c r="T544" s="830"/>
      <c r="U544" s="830"/>
      <c r="V544" s="830"/>
      <c r="W544" s="830"/>
      <c r="X544" s="830"/>
      <c r="Y544" s="830"/>
      <c r="Z544" s="830"/>
      <c r="AA544" s="830"/>
      <c r="AB544" s="830"/>
      <c r="AC544" s="830"/>
      <c r="AD544" s="830"/>
    </row>
    <row r="545" spans="1:75" ht="48" customHeight="1">
      <c r="A545" s="50"/>
      <c r="B545" s="38"/>
      <c r="C545" s="754" t="s">
        <v>5966</v>
      </c>
      <c r="D545" s="754"/>
      <c r="E545" s="754"/>
      <c r="F545" s="754"/>
      <c r="G545" s="754"/>
      <c r="H545" s="754"/>
      <c r="I545" s="754"/>
      <c r="J545" s="754"/>
      <c r="K545" s="754"/>
      <c r="L545" s="754"/>
      <c r="M545" s="754"/>
      <c r="N545" s="754"/>
      <c r="O545" s="754"/>
      <c r="P545" s="754"/>
      <c r="Q545" s="754"/>
      <c r="R545" s="754"/>
      <c r="S545" s="754"/>
      <c r="T545" s="754"/>
      <c r="U545" s="754"/>
      <c r="V545" s="754"/>
      <c r="W545" s="754"/>
      <c r="X545" s="754"/>
      <c r="Y545" s="754"/>
      <c r="Z545" s="754"/>
      <c r="AA545" s="754"/>
      <c r="AB545" s="754"/>
      <c r="AC545" s="754"/>
      <c r="AD545" s="754"/>
    </row>
    <row r="546" spans="1:75" ht="48" customHeight="1">
      <c r="A546" s="50"/>
      <c r="B546" s="38"/>
      <c r="C546" s="754" t="s">
        <v>5967</v>
      </c>
      <c r="D546" s="754"/>
      <c r="E546" s="754"/>
      <c r="F546" s="754"/>
      <c r="G546" s="754"/>
      <c r="H546" s="754"/>
      <c r="I546" s="754"/>
      <c r="J546" s="754"/>
      <c r="K546" s="754"/>
      <c r="L546" s="754"/>
      <c r="M546" s="754"/>
      <c r="N546" s="754"/>
      <c r="O546" s="754"/>
      <c r="P546" s="754"/>
      <c r="Q546" s="754"/>
      <c r="R546" s="754"/>
      <c r="S546" s="754"/>
      <c r="T546" s="754"/>
      <c r="U546" s="754"/>
      <c r="V546" s="754"/>
      <c r="W546" s="754"/>
      <c r="X546" s="754"/>
      <c r="Y546" s="754"/>
      <c r="Z546" s="754"/>
      <c r="AA546" s="754"/>
      <c r="AB546" s="754"/>
      <c r="AC546" s="754"/>
      <c r="AD546" s="754"/>
    </row>
    <row r="547" spans="1:75" ht="24" customHeight="1">
      <c r="A547" s="50"/>
      <c r="B547" s="38"/>
      <c r="C547" s="754" t="s">
        <v>5953</v>
      </c>
      <c r="D547" s="754"/>
      <c r="E547" s="754"/>
      <c r="F547" s="754"/>
      <c r="G547" s="754"/>
      <c r="H547" s="754"/>
      <c r="I547" s="754"/>
      <c r="J547" s="754"/>
      <c r="K547" s="754"/>
      <c r="L547" s="754"/>
      <c r="M547" s="754"/>
      <c r="N547" s="754"/>
      <c r="O547" s="754"/>
      <c r="P547" s="754"/>
      <c r="Q547" s="754"/>
      <c r="R547" s="754"/>
      <c r="S547" s="754"/>
      <c r="T547" s="754"/>
      <c r="U547" s="754"/>
      <c r="V547" s="754"/>
      <c r="W547" s="754"/>
      <c r="X547" s="754"/>
      <c r="Y547" s="754"/>
      <c r="Z547" s="754"/>
      <c r="AA547" s="754"/>
      <c r="AB547" s="754"/>
      <c r="AC547" s="754"/>
      <c r="AD547" s="754"/>
    </row>
    <row r="548" spans="1:75">
      <c r="A548" s="142"/>
      <c r="B548" s="57"/>
      <c r="C548" s="57"/>
      <c r="D548" s="57"/>
      <c r="E548" s="57"/>
      <c r="F548" s="57"/>
      <c r="G548" s="57"/>
      <c r="H548" s="57"/>
      <c r="I548" s="57"/>
      <c r="J548" s="57"/>
      <c r="K548" s="57"/>
      <c r="L548" s="57"/>
      <c r="M548" s="57"/>
      <c r="N548" s="57"/>
      <c r="O548" s="57"/>
      <c r="P548" s="57"/>
      <c r="Q548" s="57"/>
      <c r="R548" s="57"/>
      <c r="S548" s="57"/>
      <c r="T548" s="57"/>
      <c r="U548" s="57"/>
      <c r="V548" s="57"/>
      <c r="W548" s="57"/>
      <c r="X548" s="57"/>
      <c r="Y548" s="57"/>
      <c r="Z548" s="57"/>
      <c r="AA548" s="57"/>
      <c r="AB548" s="57"/>
      <c r="AC548" s="57"/>
      <c r="AD548" s="57"/>
    </row>
    <row r="549" spans="1:75">
      <c r="A549" s="142"/>
      <c r="B549" s="57"/>
      <c r="C549" s="57"/>
      <c r="D549" s="57"/>
      <c r="E549" s="57"/>
      <c r="F549" s="57"/>
      <c r="G549" s="57"/>
      <c r="H549" s="57"/>
      <c r="I549" s="57"/>
      <c r="J549" s="57"/>
      <c r="K549" s="57"/>
      <c r="L549" s="57"/>
      <c r="M549" s="57"/>
      <c r="N549" s="57"/>
      <c r="O549" s="57"/>
      <c r="P549" s="57"/>
      <c r="Q549" s="57"/>
      <c r="R549" s="57"/>
      <c r="S549" s="57"/>
      <c r="T549" s="57"/>
      <c r="U549" s="57"/>
      <c r="V549" s="57"/>
      <c r="W549" s="57"/>
      <c r="X549" s="57"/>
      <c r="Y549" s="57"/>
      <c r="Z549" s="57"/>
      <c r="AA549" s="875" t="s">
        <v>3205</v>
      </c>
      <c r="AB549" s="875"/>
      <c r="AC549" s="875"/>
      <c r="AD549" s="875"/>
    </row>
    <row r="550" spans="1:75" ht="36" customHeight="1">
      <c r="A550" s="119"/>
      <c r="B550" s="211"/>
      <c r="C550" s="732" t="s">
        <v>2581</v>
      </c>
      <c r="D550" s="732"/>
      <c r="E550" s="732"/>
      <c r="F550" s="732"/>
      <c r="G550" s="732"/>
      <c r="H550" s="732"/>
      <c r="I550" s="732"/>
      <c r="J550" s="732"/>
      <c r="K550" s="732"/>
      <c r="L550" s="732"/>
      <c r="M550" s="732"/>
      <c r="N550" s="732"/>
      <c r="O550" s="732"/>
      <c r="P550" s="732" t="s">
        <v>5968</v>
      </c>
      <c r="Q550" s="732"/>
      <c r="R550" s="732"/>
      <c r="S550" s="732"/>
      <c r="T550" s="732"/>
      <c r="U550" s="732"/>
      <c r="V550" s="732"/>
      <c r="W550" s="732"/>
      <c r="X550" s="732"/>
      <c r="Y550" s="732"/>
      <c r="Z550" s="732"/>
      <c r="AA550" s="732"/>
      <c r="AB550" s="732"/>
      <c r="AC550" s="732"/>
      <c r="AD550" s="732"/>
    </row>
    <row r="551" spans="1:75" ht="120" customHeight="1">
      <c r="A551" s="119"/>
      <c r="B551" s="211"/>
      <c r="C551" s="732"/>
      <c r="D551" s="732"/>
      <c r="E551" s="732"/>
      <c r="F551" s="732"/>
      <c r="G551" s="732"/>
      <c r="H551" s="732"/>
      <c r="I551" s="732"/>
      <c r="J551" s="732"/>
      <c r="K551" s="732"/>
      <c r="L551" s="732"/>
      <c r="M551" s="732"/>
      <c r="N551" s="732"/>
      <c r="O551" s="732"/>
      <c r="P551" s="874" t="s">
        <v>2628</v>
      </c>
      <c r="Q551" s="857" t="s">
        <v>2629</v>
      </c>
      <c r="R551" s="857" t="s">
        <v>2630</v>
      </c>
      <c r="S551" s="857" t="s">
        <v>5382</v>
      </c>
      <c r="T551" s="857"/>
      <c r="U551" s="857"/>
      <c r="V551" s="857" t="s">
        <v>5383</v>
      </c>
      <c r="W551" s="857"/>
      <c r="X551" s="857"/>
      <c r="Y551" s="857" t="s">
        <v>5384</v>
      </c>
      <c r="Z551" s="857"/>
      <c r="AA551" s="857"/>
      <c r="AB551" s="857" t="s">
        <v>5385</v>
      </c>
      <c r="AC551" s="857"/>
      <c r="AD551" s="857"/>
    </row>
    <row r="552" spans="1:75" ht="48" customHeight="1">
      <c r="A552" s="50"/>
      <c r="B552" s="38"/>
      <c r="C552" s="732"/>
      <c r="D552" s="732"/>
      <c r="E552" s="732"/>
      <c r="F552" s="732"/>
      <c r="G552" s="732"/>
      <c r="H552" s="732"/>
      <c r="I552" s="732"/>
      <c r="J552" s="732"/>
      <c r="K552" s="732"/>
      <c r="L552" s="732"/>
      <c r="M552" s="732"/>
      <c r="N552" s="732"/>
      <c r="O552" s="732"/>
      <c r="P552" s="874"/>
      <c r="Q552" s="857"/>
      <c r="R552" s="857"/>
      <c r="S552" s="127" t="s">
        <v>2635</v>
      </c>
      <c r="T552" s="128" t="s">
        <v>2629</v>
      </c>
      <c r="U552" s="128" t="s">
        <v>2630</v>
      </c>
      <c r="V552" s="127" t="s">
        <v>2635</v>
      </c>
      <c r="W552" s="128" t="s">
        <v>2629</v>
      </c>
      <c r="X552" s="128" t="s">
        <v>2630</v>
      </c>
      <c r="Y552" s="127" t="s">
        <v>2635</v>
      </c>
      <c r="Z552" s="128" t="s">
        <v>2629</v>
      </c>
      <c r="AA552" s="128" t="s">
        <v>2630</v>
      </c>
      <c r="AB552" s="127" t="s">
        <v>2635</v>
      </c>
      <c r="AC552" s="128" t="s">
        <v>2629</v>
      </c>
      <c r="AD552" s="128" t="s">
        <v>2630</v>
      </c>
      <c r="AG552" t="s">
        <v>2586</v>
      </c>
      <c r="AH552" t="s">
        <v>4581</v>
      </c>
      <c r="AI552"/>
      <c r="AJ552"/>
      <c r="AK552" t="s">
        <v>4573</v>
      </c>
      <c r="AL552" t="s">
        <v>2638</v>
      </c>
      <c r="AM552" t="s">
        <v>2639</v>
      </c>
      <c r="AN552" t="s">
        <v>4574</v>
      </c>
      <c r="AO552" t="s">
        <v>2641</v>
      </c>
      <c r="AP552" t="s">
        <v>2642</v>
      </c>
      <c r="AQ552" t="s">
        <v>4575</v>
      </c>
      <c r="AR552" t="s">
        <v>2644</v>
      </c>
      <c r="AS552" t="s">
        <v>2645</v>
      </c>
      <c r="AT552" t="s">
        <v>4576</v>
      </c>
      <c r="AU552" t="s">
        <v>2647</v>
      </c>
      <c r="AV552" t="s">
        <v>2648</v>
      </c>
      <c r="AW552" t="s">
        <v>5177</v>
      </c>
      <c r="AX552" t="s">
        <v>2757</v>
      </c>
      <c r="AY552" t="s">
        <v>2758</v>
      </c>
      <c r="AZ552" t="s">
        <v>5291</v>
      </c>
      <c r="BA552"/>
      <c r="BB552"/>
      <c r="BC552" t="s">
        <v>5290</v>
      </c>
      <c r="BD552"/>
      <c r="BE552"/>
      <c r="BF552"/>
      <c r="BG552"/>
      <c r="BH552"/>
      <c r="BI552"/>
      <c r="BJ552"/>
      <c r="BK552"/>
      <c r="BL552"/>
      <c r="BM552"/>
      <c r="BN552"/>
      <c r="BO552"/>
      <c r="BP552"/>
      <c r="BQ552"/>
      <c r="BR552"/>
      <c r="BS552"/>
      <c r="BT552"/>
      <c r="BU552"/>
      <c r="BV552"/>
      <c r="BW552"/>
    </row>
    <row r="553" spans="1:75">
      <c r="A553" s="119"/>
      <c r="B553" s="211"/>
      <c r="C553" s="44" t="s">
        <v>2516</v>
      </c>
      <c r="D553" s="813" t="str">
        <f>IF(CNSIPEE_2024_M2_Secc1!D42="","",CNSIPEE_2024_M2_Secc1!D42)</f>
        <v/>
      </c>
      <c r="E553" s="814"/>
      <c r="F553" s="814"/>
      <c r="G553" s="814"/>
      <c r="H553" s="814"/>
      <c r="I553" s="814"/>
      <c r="J553" s="814"/>
      <c r="K553" s="814"/>
      <c r="L553" s="814"/>
      <c r="M553" s="814"/>
      <c r="N553" s="814"/>
      <c r="O553" s="815"/>
      <c r="P553" s="100"/>
      <c r="Q553" s="100"/>
      <c r="R553" s="100"/>
      <c r="S553" s="100"/>
      <c r="T553" s="100"/>
      <c r="U553" s="100"/>
      <c r="V553" s="100"/>
      <c r="W553" s="100"/>
      <c r="X553" s="100"/>
      <c r="Y553" s="100"/>
      <c r="Z553" s="100"/>
      <c r="AA553" s="100"/>
      <c r="AB553" s="100"/>
      <c r="AC553" s="100"/>
      <c r="AD553" s="100"/>
      <c r="AG553">
        <f>IF(OR($S391=0,$S391="NS",$S391="NA",COUNTBLANK(D553:AD553)=27),0,IF(COUNTBLANK(D553)=1,1,IF(COUNTA(P553:AD553,J567:AD567,J581:AD581)=57,0,1)))</f>
        <v>0</v>
      </c>
      <c r="AH553">
        <f t="shared" ref="AH553:AH559" si="422">IF(OR($S391=0,$S391="NS",$S391="NA"),IF(COUNTA(P553:AD553,J567:AD567,J581:AD581)=0,0,1),0)</f>
        <v>0</v>
      </c>
      <c r="AI553"/>
      <c r="AJ553"/>
      <c r="AK553">
        <f>COUNTIF(Q553:R553,"NS")</f>
        <v>0</v>
      </c>
      <c r="AL553">
        <f>SUM(Q553:R553)</f>
        <v>0</v>
      </c>
      <c r="AM553">
        <f>IF(COUNTIF(P553:R553,"NA")=3,0,IF(COUNTA(P553:R553)=0,0,IF(OR(AND(P553=0,AK553&gt;0),AND(P553="ns",AL553&gt;0),AND(P553="ns",AK553=0,AL553=0)),1,IF(OR(AND(P553&gt;0,AK553=2),AND(P553="ns",AK553=2),AND(P553="ns",AL553=0,AK553&gt;0),P553=AL553),0,1))))</f>
        <v>0</v>
      </c>
      <c r="AN553">
        <f t="shared" ref="AN553:AN560" si="423">COUNTIF(T553:U553,"NS")</f>
        <v>0</v>
      </c>
      <c r="AO553">
        <f t="shared" ref="AO553:AO560" si="424">SUM(T553:U553)</f>
        <v>0</v>
      </c>
      <c r="AP553">
        <f t="shared" ref="AP553:AP560" si="425">IF(COUNTIF(S553:U553,"NA")=3,0,IF(COUNTA(S553:U553)=0,0,IF(OR(AND(S553=0,AN553&gt;0),AND(S553="ns",AO553&gt;0),AND(S553="ns",AN553=0,AO553=0)),1,IF(OR(AND(S553&gt;0,AN553=2),AND(S553="ns",AN553=2),AND(S553="ns",AO553=0,AN553&gt;0),S553=AO553),0,1))))</f>
        <v>0</v>
      </c>
      <c r="AQ553">
        <f t="shared" ref="AQ553:AQ560" si="426">COUNTIF(W553:X553,"NS")</f>
        <v>0</v>
      </c>
      <c r="AR553">
        <f t="shared" ref="AR553:AR560" si="427">SUM(W553:X553)</f>
        <v>0</v>
      </c>
      <c r="AS553">
        <f t="shared" ref="AS553:AS560" si="428">IF(COUNTIF(V553:X553,"NA")=3,0,IF(COUNTA(V553:X553)=0,0,IF(OR(AND(V553=0,AQ553&gt;0),AND(V553="ns",AR553&gt;0),AND(V553="ns",AQ553=0,AR553=0)),1,IF(OR(AND(V553&gt;0,AQ553=2),AND(V553="ns",AQ553=2),AND(V553="ns",AR553=0,AQ553&gt;0),V553=AR553),0,1))))</f>
        <v>0</v>
      </c>
      <c r="AT553">
        <f t="shared" ref="AT553:AT560" si="429">COUNTIF(Z553:AA553,"NS")</f>
        <v>0</v>
      </c>
      <c r="AU553">
        <f t="shared" ref="AU553:AU560" si="430">SUM(Z553:AA553)</f>
        <v>0</v>
      </c>
      <c r="AV553">
        <f t="shared" ref="AV553:AV560" si="431">IF(COUNTIF(Y553:AA553,"NA")=3,0,IF(COUNTA(Y553:AA553)=0,0,IF(OR(AND(Y553=0,AT553&gt;0),AND(Y553="ns",AU553&gt;0),AND(Y553="ns",AT553=0,AU553=0)),1,IF(OR(AND(Y553&gt;0,AT553=2),AND(Y553="ns",AT553=2),AND(Y553="ns",AU553=0,AT553&gt;0),Y553=AU553),0,1))))</f>
        <v>0</v>
      </c>
      <c r="AW553">
        <f t="shared" ref="AW553:AW560" si="432">COUNTIF(AC553:AD553,"NS")</f>
        <v>0</v>
      </c>
      <c r="AX553">
        <f t="shared" ref="AX553:AX560" si="433">SUM(AC553:AD553)</f>
        <v>0</v>
      </c>
      <c r="AY553">
        <f t="shared" ref="AY553:AY560" si="434">IF(COUNTIF(AB553:AD553,"NA")=3,0,IF(COUNTA(AB553:AD553)=0,0,IF(OR(AND(AB553=0,AW553&gt;0),AND(AB553="ns",AX553&gt;0),AND(AB553="ns",AW553=0,AX553=0)),1,IF(OR(AND(AB553&gt;0,AW553=2),AND(AB553="ns",AW553=2),AND(AB553="ns",AX553=0,AW553&gt;0),AB553=AX553),0,1))))</f>
        <v>0</v>
      </c>
      <c r="AZ553" cm="1">
        <f t="array" ref="AZ553">IF(OR(P553={"NS","NA"},S391={"NS","NA"}),0,IF(P553&gt;=S391,0,1))</f>
        <v>0</v>
      </c>
      <c r="BA553" cm="1">
        <f t="array" ref="BA553">IF(OR(Q553={"NS","NA"},T391={"NS","NA"}),0,IF(Q553&gt;=T391,0,1))</f>
        <v>0</v>
      </c>
      <c r="BB553" cm="1">
        <f t="array" ref="BB553">IF(OR(R553={"NS","NA"},U391={"NS","NA"}),0,IF(R553&gt;=U391,0,1))</f>
        <v>0</v>
      </c>
      <c r="BC553" cm="1">
        <f t="array" ref="BC553">IF(OR(S553={"NS","NA"},$S391={"NS","NA"}),0,IF(S553&lt;=$S391,0,1))</f>
        <v>0</v>
      </c>
      <c r="BD553" cm="1">
        <f t="array" ref="BD553">IF(OR(T553={"NS","NA"},$T391={"NS","NA"}),0,IF(T553&lt;=$T391,0,1))</f>
        <v>0</v>
      </c>
      <c r="BE553" cm="1">
        <f t="array" ref="BE553">IF(OR(U553={"NS","NA"},$U391={"NS","NA"}),0,IF(U553&lt;=$U391,0,1))</f>
        <v>0</v>
      </c>
      <c r="BF553" cm="1">
        <f t="array" ref="BF553">IF(OR(V553={"NS","NA"},$S391={"NS","NA"}),0,IF(V553&lt;=$S391,0,1))</f>
        <v>0</v>
      </c>
      <c r="BG553" cm="1">
        <f t="array" ref="BG553">IF(OR(W553={"NS","NA"},$T391={"NS","NA"}),0,IF(W553&lt;=$T391,0,1))</f>
        <v>0</v>
      </c>
      <c r="BH553" cm="1">
        <f t="array" ref="BH553">IF(OR(X553={"NS","NA"},$U391={"NS","NA"}),0,IF(X553&lt;=$U391,0,1))</f>
        <v>0</v>
      </c>
      <c r="BI553" cm="1">
        <f t="array" ref="BI553">IF(OR(Y553={"NS","NA"},$S391={"NS","NA"}),0,IF(Y553&lt;=$S391,0,1))</f>
        <v>0</v>
      </c>
      <c r="BJ553" cm="1">
        <f t="array" ref="BJ553">IF(OR(Z553={"NS","NA"},$T391={"NS","NA"}),0,IF(Z553&lt;=$T391,0,1))</f>
        <v>0</v>
      </c>
      <c r="BK553" cm="1">
        <f t="array" ref="BK553">IF(OR(AA553={"NS","NA"},$U391={"NS","NA"}),0,IF(AA553&lt;=$U391,0,1))</f>
        <v>0</v>
      </c>
      <c r="BL553" cm="1">
        <f t="array" ref="BL553">IF(OR(AB553={"NS","NA"},$S391={"NS","NA"}),0,IF(AB553&lt;=$S391,0,1))</f>
        <v>0</v>
      </c>
      <c r="BM553" cm="1">
        <f t="array" ref="BM553">IF(OR(AC553={"NS","NA"},$T391={"NS","NA"}),0,IF(AC553&lt;=$T391,0,1))</f>
        <v>0</v>
      </c>
      <c r="BN553" cm="1">
        <f t="array" ref="BN553">IF(OR(AD553={"NS","NA"},$U391={"NS","NA"}),0,IF(AD553&lt;=$U391,0,1))</f>
        <v>0</v>
      </c>
      <c r="BO553"/>
      <c r="BP553"/>
      <c r="BQ553"/>
      <c r="BR553"/>
      <c r="BS553"/>
      <c r="BT553"/>
      <c r="BU553"/>
      <c r="BV553"/>
      <c r="BW553"/>
    </row>
    <row r="554" spans="1:75">
      <c r="A554" s="119"/>
      <c r="B554" s="211"/>
      <c r="C554" s="199" t="s">
        <v>2517</v>
      </c>
      <c r="D554" s="813" t="str">
        <f>IF(CNSIPEE_2024_M2_Secc1!D43="","",CNSIPEE_2024_M2_Secc1!D43)</f>
        <v/>
      </c>
      <c r="E554" s="814"/>
      <c r="F554" s="814"/>
      <c r="G554" s="814"/>
      <c r="H554" s="814"/>
      <c r="I554" s="814"/>
      <c r="J554" s="814"/>
      <c r="K554" s="814"/>
      <c r="L554" s="814"/>
      <c r="M554" s="814"/>
      <c r="N554" s="814"/>
      <c r="O554" s="815"/>
      <c r="P554" s="100"/>
      <c r="Q554" s="100"/>
      <c r="R554" s="100"/>
      <c r="S554" s="100"/>
      <c r="T554" s="100"/>
      <c r="U554" s="100"/>
      <c r="V554" s="100"/>
      <c r="W554" s="100"/>
      <c r="X554" s="100"/>
      <c r="Y554" s="100"/>
      <c r="Z554" s="100"/>
      <c r="AA554" s="100"/>
      <c r="AB554" s="100"/>
      <c r="AC554" s="100"/>
      <c r="AD554" s="100"/>
      <c r="AG554">
        <f t="shared" ref="AG554:AG560" si="435">IF(OR($S392=0,$S392="NS",$S392="NA",COUNTBLANK(D554:AD554)=27),0,IF(COUNTBLANK(D554)=1,1,IF(COUNTA(P554:AD554,J568:AD568,J582:AD582)=57,0,1)))</f>
        <v>0</v>
      </c>
      <c r="AH554">
        <f t="shared" si="422"/>
        <v>0</v>
      </c>
      <c r="AI554"/>
      <c r="AJ554"/>
      <c r="AK554">
        <f t="shared" ref="AK554:AK560" si="436">COUNTIF(Q554:R554,"NS")</f>
        <v>0</v>
      </c>
      <c r="AL554">
        <f t="shared" ref="AL554:AL560" si="437">SUM(Q554:R554)</f>
        <v>0</v>
      </c>
      <c r="AM554">
        <f t="shared" ref="AM554:AM560" si="438">IF(COUNTIF(P554:R554,"NA")=3,0,IF(COUNTA(P554:R554)=0,0,IF(OR(AND(P554=0,AK554&gt;0),AND(P554="ns",AL554&gt;0),AND(P554="ns",AK554=0,AL554=0)),1,IF(OR(AND(P554&gt;0,AK554=2),AND(P554="ns",AK554=2),AND(P554="ns",AL554=0,AK554&gt;0),P554=AL554),0,1))))</f>
        <v>0</v>
      </c>
      <c r="AN554">
        <f t="shared" si="423"/>
        <v>0</v>
      </c>
      <c r="AO554">
        <f t="shared" si="424"/>
        <v>0</v>
      </c>
      <c r="AP554">
        <f t="shared" si="425"/>
        <v>0</v>
      </c>
      <c r="AQ554">
        <f t="shared" si="426"/>
        <v>0</v>
      </c>
      <c r="AR554">
        <f t="shared" si="427"/>
        <v>0</v>
      </c>
      <c r="AS554">
        <f t="shared" si="428"/>
        <v>0</v>
      </c>
      <c r="AT554">
        <f t="shared" si="429"/>
        <v>0</v>
      </c>
      <c r="AU554">
        <f t="shared" si="430"/>
        <v>0</v>
      </c>
      <c r="AV554">
        <f t="shared" si="431"/>
        <v>0</v>
      </c>
      <c r="AW554">
        <f t="shared" si="432"/>
        <v>0</v>
      </c>
      <c r="AX554">
        <f t="shared" si="433"/>
        <v>0</v>
      </c>
      <c r="AY554">
        <f t="shared" si="434"/>
        <v>0</v>
      </c>
      <c r="AZ554" cm="1">
        <f t="array" ref="AZ554">IF(OR(P554={"NS","NA"},S392={"NS","NA"}),0,IF(P554&gt;=S392,0,1))</f>
        <v>0</v>
      </c>
      <c r="BA554" cm="1">
        <f t="array" ref="BA554">IF(OR(Q554={"NS","NA"},T392={"NS","NA"}),0,IF(Q554&gt;=T392,0,1))</f>
        <v>0</v>
      </c>
      <c r="BB554" cm="1">
        <f t="array" ref="BB554">IF(OR(R554={"NS","NA"},U392={"NS","NA"}),0,IF(R554&gt;=U392,0,1))</f>
        <v>0</v>
      </c>
      <c r="BC554" cm="1">
        <f t="array" ref="BC554">IF(OR(S554={"NS","NA"},$S392={"NS","NA"}),0,IF(S554&lt;=$S392,0,1))</f>
        <v>0</v>
      </c>
      <c r="BD554" cm="1">
        <f t="array" ref="BD554">IF(OR(T554={"NS","NA"},$T392={"NS","NA"}),0,IF(T554&lt;=$T392,0,1))</f>
        <v>0</v>
      </c>
      <c r="BE554" cm="1">
        <f t="array" ref="BE554">IF(OR(U554={"NS","NA"},$U392={"NS","NA"}),0,IF(U554&lt;=$U392,0,1))</f>
        <v>0</v>
      </c>
      <c r="BF554" cm="1">
        <f t="array" ref="BF554">IF(OR(V554={"NS","NA"},$S392={"NS","NA"}),0,IF(V554&lt;=$S392,0,1))</f>
        <v>0</v>
      </c>
      <c r="BG554" cm="1">
        <f t="array" ref="BG554">IF(OR(W554={"NS","NA"},$T392={"NS","NA"}),0,IF(W554&lt;=$T392,0,1))</f>
        <v>0</v>
      </c>
      <c r="BH554" cm="1">
        <f t="array" ref="BH554">IF(OR(X554={"NS","NA"},$U392={"NS","NA"}),0,IF(X554&lt;=$U392,0,1))</f>
        <v>0</v>
      </c>
      <c r="BI554" cm="1">
        <f t="array" ref="BI554">IF(OR(Y554={"NS","NA"},$S392={"NS","NA"}),0,IF(Y554&lt;=$S392,0,1))</f>
        <v>0</v>
      </c>
      <c r="BJ554" cm="1">
        <f t="array" ref="BJ554">IF(OR(Z554={"NS","NA"},$T392={"NS","NA"}),0,IF(Z554&lt;=$T392,0,1))</f>
        <v>0</v>
      </c>
      <c r="BK554" cm="1">
        <f t="array" ref="BK554">IF(OR(AA554={"NS","NA"},$U392={"NS","NA"}),0,IF(AA554&lt;=$U392,0,1))</f>
        <v>0</v>
      </c>
      <c r="BL554" cm="1">
        <f t="array" ref="BL554">IF(OR(AB554={"NS","NA"},$S392={"NS","NA"}),0,IF(AB554&lt;=$S392,0,1))</f>
        <v>0</v>
      </c>
      <c r="BM554" cm="1">
        <f t="array" ref="BM554">IF(OR(AC554={"NS","NA"},$T392={"NS","NA"}),0,IF(AC554&lt;=$T392,0,1))</f>
        <v>0</v>
      </c>
      <c r="BN554" cm="1">
        <f t="array" ref="BN554">IF(OR(AD554={"NS","NA"},$U392={"NS","NA"}),0,IF(AD554&lt;=$U392,0,1))</f>
        <v>0</v>
      </c>
      <c r="BO554"/>
      <c r="BP554"/>
      <c r="BQ554"/>
      <c r="BR554"/>
      <c r="BS554"/>
      <c r="BT554"/>
      <c r="BU554"/>
      <c r="BV554"/>
      <c r="BW554"/>
    </row>
    <row r="555" spans="1:75">
      <c r="A555" s="119"/>
      <c r="B555" s="211"/>
      <c r="C555" s="143" t="s">
        <v>2518</v>
      </c>
      <c r="D555" s="813" t="str">
        <f>IF(CNSIPEE_2024_M2_Secc1!D44="","",CNSIPEE_2024_M2_Secc1!D44)</f>
        <v/>
      </c>
      <c r="E555" s="814"/>
      <c r="F555" s="814"/>
      <c r="G555" s="814"/>
      <c r="H555" s="814"/>
      <c r="I555" s="814"/>
      <c r="J555" s="814"/>
      <c r="K555" s="814"/>
      <c r="L555" s="814"/>
      <c r="M555" s="814"/>
      <c r="N555" s="814"/>
      <c r="O555" s="815"/>
      <c r="P555" s="100"/>
      <c r="Q555" s="100"/>
      <c r="R555" s="100"/>
      <c r="S555" s="100"/>
      <c r="T555" s="100"/>
      <c r="U555" s="100"/>
      <c r="V555" s="100"/>
      <c r="W555" s="100"/>
      <c r="X555" s="100"/>
      <c r="Y555" s="100"/>
      <c r="Z555" s="100"/>
      <c r="AA555" s="100"/>
      <c r="AB555" s="100"/>
      <c r="AC555" s="100"/>
      <c r="AD555" s="100"/>
      <c r="AG555">
        <f t="shared" si="435"/>
        <v>0</v>
      </c>
      <c r="AH555">
        <f t="shared" si="422"/>
        <v>0</v>
      </c>
      <c r="AI555"/>
      <c r="AJ555"/>
      <c r="AK555">
        <f t="shared" si="436"/>
        <v>0</v>
      </c>
      <c r="AL555">
        <f t="shared" si="437"/>
        <v>0</v>
      </c>
      <c r="AM555">
        <f t="shared" si="438"/>
        <v>0</v>
      </c>
      <c r="AN555">
        <f t="shared" si="423"/>
        <v>0</v>
      </c>
      <c r="AO555">
        <f t="shared" si="424"/>
        <v>0</v>
      </c>
      <c r="AP555">
        <f t="shared" si="425"/>
        <v>0</v>
      </c>
      <c r="AQ555">
        <f t="shared" si="426"/>
        <v>0</v>
      </c>
      <c r="AR555">
        <f t="shared" si="427"/>
        <v>0</v>
      </c>
      <c r="AS555">
        <f t="shared" si="428"/>
        <v>0</v>
      </c>
      <c r="AT555">
        <f t="shared" si="429"/>
        <v>0</v>
      </c>
      <c r="AU555">
        <f t="shared" si="430"/>
        <v>0</v>
      </c>
      <c r="AV555">
        <f t="shared" si="431"/>
        <v>0</v>
      </c>
      <c r="AW555">
        <f t="shared" si="432"/>
        <v>0</v>
      </c>
      <c r="AX555">
        <f t="shared" si="433"/>
        <v>0</v>
      </c>
      <c r="AY555">
        <f t="shared" si="434"/>
        <v>0</v>
      </c>
      <c r="AZ555" cm="1">
        <f t="array" ref="AZ555">IF(OR(P555={"NS","NA"},S393={"NS","NA"}),0,IF(P555&gt;=S393,0,1))</f>
        <v>0</v>
      </c>
      <c r="BA555" cm="1">
        <f t="array" ref="BA555">IF(OR(Q555={"NS","NA"},T393={"NS","NA"}),0,IF(Q555&gt;=T393,0,1))</f>
        <v>0</v>
      </c>
      <c r="BB555" cm="1">
        <f t="array" ref="BB555">IF(OR(R555={"NS","NA"},U393={"NS","NA"}),0,IF(R555&gt;=U393,0,1))</f>
        <v>0</v>
      </c>
      <c r="BC555" cm="1">
        <f t="array" ref="BC555">IF(OR(S555={"NS","NA"},$S393={"NS","NA"}),0,IF(S555&lt;=$S393,0,1))</f>
        <v>0</v>
      </c>
      <c r="BD555" cm="1">
        <f t="array" ref="BD555">IF(OR(T555={"NS","NA"},$T393={"NS","NA"}),0,IF(T555&lt;=$T393,0,1))</f>
        <v>0</v>
      </c>
      <c r="BE555" cm="1">
        <f t="array" ref="BE555">IF(OR(U555={"NS","NA"},$U393={"NS","NA"}),0,IF(U555&lt;=$U393,0,1))</f>
        <v>0</v>
      </c>
      <c r="BF555" cm="1">
        <f t="array" ref="BF555">IF(OR(V555={"NS","NA"},$S393={"NS","NA"}),0,IF(V555&lt;=$S393,0,1))</f>
        <v>0</v>
      </c>
      <c r="BG555" cm="1">
        <f t="array" ref="BG555">IF(OR(W555={"NS","NA"},$T393={"NS","NA"}),0,IF(W555&lt;=$T393,0,1))</f>
        <v>0</v>
      </c>
      <c r="BH555" cm="1">
        <f t="array" ref="BH555">IF(OR(X555={"NS","NA"},$U393={"NS","NA"}),0,IF(X555&lt;=$U393,0,1))</f>
        <v>0</v>
      </c>
      <c r="BI555" cm="1">
        <f t="array" ref="BI555">IF(OR(Y555={"NS","NA"},$S393={"NS","NA"}),0,IF(Y555&lt;=$S393,0,1))</f>
        <v>0</v>
      </c>
      <c r="BJ555" cm="1">
        <f t="array" ref="BJ555">IF(OR(Z555={"NS","NA"},$T393={"NS","NA"}),0,IF(Z555&lt;=$T393,0,1))</f>
        <v>0</v>
      </c>
      <c r="BK555" cm="1">
        <f t="array" ref="BK555">IF(OR(AA555={"NS","NA"},$U393={"NS","NA"}),0,IF(AA555&lt;=$U393,0,1))</f>
        <v>0</v>
      </c>
      <c r="BL555" cm="1">
        <f t="array" ref="BL555">IF(OR(AB555={"NS","NA"},$S393={"NS","NA"}),0,IF(AB555&lt;=$S393,0,1))</f>
        <v>0</v>
      </c>
      <c r="BM555" cm="1">
        <f t="array" ref="BM555">IF(OR(AC555={"NS","NA"},$T393={"NS","NA"}),0,IF(AC555&lt;=$T393,0,1))</f>
        <v>0</v>
      </c>
      <c r="BN555" cm="1">
        <f t="array" ref="BN555">IF(OR(AD555={"NS","NA"},$U393={"NS","NA"}),0,IF(AD555&lt;=$U393,0,1))</f>
        <v>0</v>
      </c>
      <c r="BO555"/>
      <c r="BP555"/>
      <c r="BQ555"/>
      <c r="BR555"/>
      <c r="BS555"/>
      <c r="BT555"/>
      <c r="BU555"/>
      <c r="BV555"/>
      <c r="BW555"/>
    </row>
    <row r="556" spans="1:75">
      <c r="A556" s="119"/>
      <c r="B556" s="211"/>
      <c r="C556" s="143" t="s">
        <v>2519</v>
      </c>
      <c r="D556" s="813" t="str">
        <f>IF(CNSIPEE_2024_M2_Secc1!D45="","",CNSIPEE_2024_M2_Secc1!D45)</f>
        <v/>
      </c>
      <c r="E556" s="814"/>
      <c r="F556" s="814"/>
      <c r="G556" s="814"/>
      <c r="H556" s="814"/>
      <c r="I556" s="814"/>
      <c r="J556" s="814"/>
      <c r="K556" s="814"/>
      <c r="L556" s="814"/>
      <c r="M556" s="814"/>
      <c r="N556" s="814"/>
      <c r="O556" s="815"/>
      <c r="P556" s="100"/>
      <c r="Q556" s="100"/>
      <c r="R556" s="100"/>
      <c r="S556" s="100"/>
      <c r="T556" s="100"/>
      <c r="U556" s="100"/>
      <c r="V556" s="100"/>
      <c r="W556" s="100"/>
      <c r="X556" s="100"/>
      <c r="Y556" s="100"/>
      <c r="Z556" s="100"/>
      <c r="AA556" s="100"/>
      <c r="AB556" s="100"/>
      <c r="AC556" s="100"/>
      <c r="AD556" s="100"/>
      <c r="AG556">
        <f t="shared" si="435"/>
        <v>0</v>
      </c>
      <c r="AH556">
        <f t="shared" si="422"/>
        <v>0</v>
      </c>
      <c r="AI556"/>
      <c r="AJ556"/>
      <c r="AK556">
        <f t="shared" si="436"/>
        <v>0</v>
      </c>
      <c r="AL556">
        <f t="shared" si="437"/>
        <v>0</v>
      </c>
      <c r="AM556">
        <f t="shared" si="438"/>
        <v>0</v>
      </c>
      <c r="AN556">
        <f t="shared" si="423"/>
        <v>0</v>
      </c>
      <c r="AO556">
        <f t="shared" si="424"/>
        <v>0</v>
      </c>
      <c r="AP556">
        <f t="shared" si="425"/>
        <v>0</v>
      </c>
      <c r="AQ556">
        <f t="shared" si="426"/>
        <v>0</v>
      </c>
      <c r="AR556">
        <f t="shared" si="427"/>
        <v>0</v>
      </c>
      <c r="AS556">
        <f t="shared" si="428"/>
        <v>0</v>
      </c>
      <c r="AT556">
        <f t="shared" si="429"/>
        <v>0</v>
      </c>
      <c r="AU556">
        <f t="shared" si="430"/>
        <v>0</v>
      </c>
      <c r="AV556">
        <f t="shared" si="431"/>
        <v>0</v>
      </c>
      <c r="AW556">
        <f t="shared" si="432"/>
        <v>0</v>
      </c>
      <c r="AX556">
        <f t="shared" si="433"/>
        <v>0</v>
      </c>
      <c r="AY556">
        <f t="shared" si="434"/>
        <v>0</v>
      </c>
      <c r="AZ556" cm="1">
        <f t="array" ref="AZ556">IF(OR(P556={"NS","NA"},S394={"NS","NA"}),0,IF(P556&gt;=S394,0,1))</f>
        <v>0</v>
      </c>
      <c r="BA556" cm="1">
        <f t="array" ref="BA556">IF(OR(Q556={"NS","NA"},T394={"NS","NA"}),0,IF(Q556&gt;=T394,0,1))</f>
        <v>0</v>
      </c>
      <c r="BB556" cm="1">
        <f t="array" ref="BB556">IF(OR(R556={"NS","NA"},U394={"NS","NA"}),0,IF(R556&gt;=U394,0,1))</f>
        <v>0</v>
      </c>
      <c r="BC556" cm="1">
        <f t="array" ref="BC556">IF(OR(S556={"NS","NA"},$S394={"NS","NA"}),0,IF(S556&lt;=$S394,0,1))</f>
        <v>0</v>
      </c>
      <c r="BD556" cm="1">
        <f t="array" ref="BD556">IF(OR(T556={"NS","NA"},$T394={"NS","NA"}),0,IF(T556&lt;=$T394,0,1))</f>
        <v>0</v>
      </c>
      <c r="BE556" cm="1">
        <f t="array" ref="BE556">IF(OR(U556={"NS","NA"},$U394={"NS","NA"}),0,IF(U556&lt;=$U394,0,1))</f>
        <v>0</v>
      </c>
      <c r="BF556" cm="1">
        <f t="array" ref="BF556">IF(OR(V556={"NS","NA"},$S394={"NS","NA"}),0,IF(V556&lt;=$S394,0,1))</f>
        <v>0</v>
      </c>
      <c r="BG556" cm="1">
        <f t="array" ref="BG556">IF(OR(W556={"NS","NA"},$T394={"NS","NA"}),0,IF(W556&lt;=$T394,0,1))</f>
        <v>0</v>
      </c>
      <c r="BH556" cm="1">
        <f t="array" ref="BH556">IF(OR(X556={"NS","NA"},$U394={"NS","NA"}),0,IF(X556&lt;=$U394,0,1))</f>
        <v>0</v>
      </c>
      <c r="BI556" cm="1">
        <f t="array" ref="BI556">IF(OR(Y556={"NS","NA"},$S394={"NS","NA"}),0,IF(Y556&lt;=$S394,0,1))</f>
        <v>0</v>
      </c>
      <c r="BJ556" cm="1">
        <f t="array" ref="BJ556">IF(OR(Z556={"NS","NA"},$T394={"NS","NA"}),0,IF(Z556&lt;=$T394,0,1))</f>
        <v>0</v>
      </c>
      <c r="BK556" cm="1">
        <f t="array" ref="BK556">IF(OR(AA556={"NS","NA"},$U394={"NS","NA"}),0,IF(AA556&lt;=$U394,0,1))</f>
        <v>0</v>
      </c>
      <c r="BL556" cm="1">
        <f t="array" ref="BL556">IF(OR(AB556={"NS","NA"},$S394={"NS","NA"}),0,IF(AB556&lt;=$S394,0,1))</f>
        <v>0</v>
      </c>
      <c r="BM556" cm="1">
        <f t="array" ref="BM556">IF(OR(AC556={"NS","NA"},$T394={"NS","NA"}),0,IF(AC556&lt;=$T394,0,1))</f>
        <v>0</v>
      </c>
      <c r="BN556" cm="1">
        <f t="array" ref="BN556">IF(OR(AD556={"NS","NA"},$U394={"NS","NA"}),0,IF(AD556&lt;=$U394,0,1))</f>
        <v>0</v>
      </c>
      <c r="BO556"/>
      <c r="BP556"/>
      <c r="BQ556"/>
      <c r="BR556"/>
      <c r="BS556"/>
      <c r="BT556"/>
      <c r="BU556"/>
      <c r="BV556"/>
      <c r="BW556"/>
    </row>
    <row r="557" spans="1:75">
      <c r="A557" s="119"/>
      <c r="B557" s="211"/>
      <c r="C557" s="143" t="s">
        <v>2520</v>
      </c>
      <c r="D557" s="813" t="str">
        <f>IF(CNSIPEE_2024_M2_Secc1!D46="","",CNSIPEE_2024_M2_Secc1!D46)</f>
        <v/>
      </c>
      <c r="E557" s="814"/>
      <c r="F557" s="814"/>
      <c r="G557" s="814"/>
      <c r="H557" s="814"/>
      <c r="I557" s="814"/>
      <c r="J557" s="814"/>
      <c r="K557" s="814"/>
      <c r="L557" s="814"/>
      <c r="M557" s="814"/>
      <c r="N557" s="814"/>
      <c r="O557" s="815"/>
      <c r="P557" s="100"/>
      <c r="Q557" s="100"/>
      <c r="R557" s="100"/>
      <c r="S557" s="100"/>
      <c r="T557" s="100"/>
      <c r="U557" s="100"/>
      <c r="V557" s="100"/>
      <c r="W557" s="100"/>
      <c r="X557" s="100"/>
      <c r="Y557" s="100"/>
      <c r="Z557" s="100"/>
      <c r="AA557" s="100"/>
      <c r="AB557" s="100"/>
      <c r="AC557" s="100"/>
      <c r="AD557" s="100"/>
      <c r="AG557">
        <f t="shared" si="435"/>
        <v>0</v>
      </c>
      <c r="AH557">
        <f t="shared" si="422"/>
        <v>0</v>
      </c>
      <c r="AI557"/>
      <c r="AJ557"/>
      <c r="AK557">
        <f t="shared" si="436"/>
        <v>0</v>
      </c>
      <c r="AL557">
        <f t="shared" si="437"/>
        <v>0</v>
      </c>
      <c r="AM557">
        <f t="shared" si="438"/>
        <v>0</v>
      </c>
      <c r="AN557">
        <f t="shared" si="423"/>
        <v>0</v>
      </c>
      <c r="AO557">
        <f t="shared" si="424"/>
        <v>0</v>
      </c>
      <c r="AP557">
        <f t="shared" si="425"/>
        <v>0</v>
      </c>
      <c r="AQ557">
        <f t="shared" si="426"/>
        <v>0</v>
      </c>
      <c r="AR557">
        <f t="shared" si="427"/>
        <v>0</v>
      </c>
      <c r="AS557">
        <f t="shared" si="428"/>
        <v>0</v>
      </c>
      <c r="AT557">
        <f t="shared" si="429"/>
        <v>0</v>
      </c>
      <c r="AU557">
        <f t="shared" si="430"/>
        <v>0</v>
      </c>
      <c r="AV557">
        <f t="shared" si="431"/>
        <v>0</v>
      </c>
      <c r="AW557">
        <f t="shared" si="432"/>
        <v>0</v>
      </c>
      <c r="AX557">
        <f t="shared" si="433"/>
        <v>0</v>
      </c>
      <c r="AY557">
        <f t="shared" si="434"/>
        <v>0</v>
      </c>
      <c r="AZ557" cm="1">
        <f t="array" ref="AZ557">IF(OR(P557={"NS","NA"},S395={"NS","NA"}),0,IF(P557&gt;=S395,0,1))</f>
        <v>0</v>
      </c>
      <c r="BA557" cm="1">
        <f t="array" ref="BA557">IF(OR(Q557={"NS","NA"},T395={"NS","NA"}),0,IF(Q557&gt;=T395,0,1))</f>
        <v>0</v>
      </c>
      <c r="BB557" cm="1">
        <f t="array" ref="BB557">IF(OR(R557={"NS","NA"},U395={"NS","NA"}),0,IF(R557&gt;=U395,0,1))</f>
        <v>0</v>
      </c>
      <c r="BC557" cm="1">
        <f t="array" ref="BC557">IF(OR(S557={"NS","NA"},$S395={"NS","NA"}),0,IF(S557&lt;=$S395,0,1))</f>
        <v>0</v>
      </c>
      <c r="BD557" cm="1">
        <f t="array" ref="BD557">IF(OR(T557={"NS","NA"},$T395={"NS","NA"}),0,IF(T557&lt;=$T395,0,1))</f>
        <v>0</v>
      </c>
      <c r="BE557" cm="1">
        <f t="array" ref="BE557">IF(OR(U557={"NS","NA"},$U395={"NS","NA"}),0,IF(U557&lt;=$U395,0,1))</f>
        <v>0</v>
      </c>
      <c r="BF557" cm="1">
        <f t="array" ref="BF557">IF(OR(V557={"NS","NA"},$S395={"NS","NA"}),0,IF(V557&lt;=$S395,0,1))</f>
        <v>0</v>
      </c>
      <c r="BG557" cm="1">
        <f t="array" ref="BG557">IF(OR(W557={"NS","NA"},$T395={"NS","NA"}),0,IF(W557&lt;=$T395,0,1))</f>
        <v>0</v>
      </c>
      <c r="BH557" cm="1">
        <f t="array" ref="BH557">IF(OR(X557={"NS","NA"},$U395={"NS","NA"}),0,IF(X557&lt;=$U395,0,1))</f>
        <v>0</v>
      </c>
      <c r="BI557" cm="1">
        <f t="array" ref="BI557">IF(OR(Y557={"NS","NA"},$S395={"NS","NA"}),0,IF(Y557&lt;=$S395,0,1))</f>
        <v>0</v>
      </c>
      <c r="BJ557" cm="1">
        <f t="array" ref="BJ557">IF(OR(Z557={"NS","NA"},$T395={"NS","NA"}),0,IF(Z557&lt;=$T395,0,1))</f>
        <v>0</v>
      </c>
      <c r="BK557" cm="1">
        <f t="array" ref="BK557">IF(OR(AA557={"NS","NA"},$U395={"NS","NA"}),0,IF(AA557&lt;=$U395,0,1))</f>
        <v>0</v>
      </c>
      <c r="BL557" cm="1">
        <f t="array" ref="BL557">IF(OR(AB557={"NS","NA"},$S395={"NS","NA"}),0,IF(AB557&lt;=$S395,0,1))</f>
        <v>0</v>
      </c>
      <c r="BM557" cm="1">
        <f t="array" ref="BM557">IF(OR(AC557={"NS","NA"},$T395={"NS","NA"}),0,IF(AC557&lt;=$T395,0,1))</f>
        <v>0</v>
      </c>
      <c r="BN557" cm="1">
        <f t="array" ref="BN557">IF(OR(AD557={"NS","NA"},$U395={"NS","NA"}),0,IF(AD557&lt;=$U395,0,1))</f>
        <v>0</v>
      </c>
      <c r="BO557"/>
      <c r="BP557"/>
      <c r="BQ557"/>
      <c r="BR557"/>
      <c r="BS557"/>
      <c r="BT557"/>
      <c r="BU557"/>
      <c r="BV557"/>
      <c r="BW557"/>
    </row>
    <row r="558" spans="1:75">
      <c r="A558" s="119"/>
      <c r="B558" s="211"/>
      <c r="C558" s="143" t="s">
        <v>2521</v>
      </c>
      <c r="D558" s="813" t="str">
        <f>IF(CNSIPEE_2024_M2_Secc1!D47="","",CNSIPEE_2024_M2_Secc1!D47)</f>
        <v/>
      </c>
      <c r="E558" s="814"/>
      <c r="F558" s="814"/>
      <c r="G558" s="814"/>
      <c r="H558" s="814"/>
      <c r="I558" s="814"/>
      <c r="J558" s="814"/>
      <c r="K558" s="814"/>
      <c r="L558" s="814"/>
      <c r="M558" s="814"/>
      <c r="N558" s="814"/>
      <c r="O558" s="815"/>
      <c r="P558" s="100"/>
      <c r="Q558" s="100"/>
      <c r="R558" s="100"/>
      <c r="S558" s="100"/>
      <c r="T558" s="100"/>
      <c r="U558" s="100"/>
      <c r="V558" s="100"/>
      <c r="W558" s="100"/>
      <c r="X558" s="100"/>
      <c r="Y558" s="100"/>
      <c r="Z558" s="100"/>
      <c r="AA558" s="100"/>
      <c r="AB558" s="100"/>
      <c r="AC558" s="100"/>
      <c r="AD558" s="100"/>
      <c r="AG558">
        <f t="shared" si="435"/>
        <v>0</v>
      </c>
      <c r="AH558">
        <f t="shared" si="422"/>
        <v>0</v>
      </c>
      <c r="AI558"/>
      <c r="AJ558"/>
      <c r="AK558">
        <f t="shared" si="436"/>
        <v>0</v>
      </c>
      <c r="AL558">
        <f t="shared" si="437"/>
        <v>0</v>
      </c>
      <c r="AM558">
        <f t="shared" si="438"/>
        <v>0</v>
      </c>
      <c r="AN558">
        <f t="shared" si="423"/>
        <v>0</v>
      </c>
      <c r="AO558">
        <f t="shared" si="424"/>
        <v>0</v>
      </c>
      <c r="AP558">
        <f t="shared" si="425"/>
        <v>0</v>
      </c>
      <c r="AQ558">
        <f t="shared" si="426"/>
        <v>0</v>
      </c>
      <c r="AR558">
        <f t="shared" si="427"/>
        <v>0</v>
      </c>
      <c r="AS558">
        <f t="shared" si="428"/>
        <v>0</v>
      </c>
      <c r="AT558">
        <f t="shared" si="429"/>
        <v>0</v>
      </c>
      <c r="AU558">
        <f t="shared" si="430"/>
        <v>0</v>
      </c>
      <c r="AV558">
        <f t="shared" si="431"/>
        <v>0</v>
      </c>
      <c r="AW558">
        <f t="shared" si="432"/>
        <v>0</v>
      </c>
      <c r="AX558">
        <f t="shared" si="433"/>
        <v>0</v>
      </c>
      <c r="AY558">
        <f t="shared" si="434"/>
        <v>0</v>
      </c>
      <c r="AZ558" cm="1">
        <f t="array" ref="AZ558">IF(OR(P558={"NS","NA"},S396={"NS","NA"}),0,IF(P558&gt;=S396,0,1))</f>
        <v>0</v>
      </c>
      <c r="BA558" cm="1">
        <f t="array" ref="BA558">IF(OR(Q558={"NS","NA"},T396={"NS","NA"}),0,IF(Q558&gt;=T396,0,1))</f>
        <v>0</v>
      </c>
      <c r="BB558" cm="1">
        <f t="array" ref="BB558">IF(OR(R558={"NS","NA"},U396={"NS","NA"}),0,IF(R558&gt;=U396,0,1))</f>
        <v>0</v>
      </c>
      <c r="BC558" cm="1">
        <f t="array" ref="BC558">IF(OR(S558={"NS","NA"},$S396={"NS","NA"}),0,IF(S558&lt;=$S396,0,1))</f>
        <v>0</v>
      </c>
      <c r="BD558" cm="1">
        <f t="array" ref="BD558">IF(OR(T558={"NS","NA"},$T396={"NS","NA"}),0,IF(T558&lt;=$T396,0,1))</f>
        <v>0</v>
      </c>
      <c r="BE558" cm="1">
        <f t="array" ref="BE558">IF(OR(U558={"NS","NA"},$U396={"NS","NA"}),0,IF(U558&lt;=$U396,0,1))</f>
        <v>0</v>
      </c>
      <c r="BF558" cm="1">
        <f t="array" ref="BF558">IF(OR(V558={"NS","NA"},$S396={"NS","NA"}),0,IF(V558&lt;=$S396,0,1))</f>
        <v>0</v>
      </c>
      <c r="BG558" cm="1">
        <f t="array" ref="BG558">IF(OR(W558={"NS","NA"},$T396={"NS","NA"}),0,IF(W558&lt;=$T396,0,1))</f>
        <v>0</v>
      </c>
      <c r="BH558" cm="1">
        <f t="array" ref="BH558">IF(OR(X558={"NS","NA"},$U396={"NS","NA"}),0,IF(X558&lt;=$U396,0,1))</f>
        <v>0</v>
      </c>
      <c r="BI558" cm="1">
        <f t="array" ref="BI558">IF(OR(Y558={"NS","NA"},$S396={"NS","NA"}),0,IF(Y558&lt;=$S396,0,1))</f>
        <v>0</v>
      </c>
      <c r="BJ558" cm="1">
        <f t="array" ref="BJ558">IF(OR(Z558={"NS","NA"},$T396={"NS","NA"}),0,IF(Z558&lt;=$T396,0,1))</f>
        <v>0</v>
      </c>
      <c r="BK558" cm="1">
        <f t="array" ref="BK558">IF(OR(AA558={"NS","NA"},$U396={"NS","NA"}),0,IF(AA558&lt;=$U396,0,1))</f>
        <v>0</v>
      </c>
      <c r="BL558" cm="1">
        <f t="array" ref="BL558">IF(OR(AB558={"NS","NA"},$S396={"NS","NA"}),0,IF(AB558&lt;=$S396,0,1))</f>
        <v>0</v>
      </c>
      <c r="BM558" cm="1">
        <f t="array" ref="BM558">IF(OR(AC558={"NS","NA"},$T396={"NS","NA"}),0,IF(AC558&lt;=$T396,0,1))</f>
        <v>0</v>
      </c>
      <c r="BN558" cm="1">
        <f t="array" ref="BN558">IF(OR(AD558={"NS","NA"},$U396={"NS","NA"}),0,IF(AD558&lt;=$U396,0,1))</f>
        <v>0</v>
      </c>
      <c r="BO558"/>
      <c r="BP558"/>
      <c r="BQ558"/>
      <c r="BR558"/>
      <c r="BS558"/>
      <c r="BT558"/>
      <c r="BU558"/>
      <c r="BV558"/>
      <c r="BW558"/>
    </row>
    <row r="559" spans="1:75">
      <c r="A559" s="119"/>
      <c r="B559" s="211"/>
      <c r="C559" s="143" t="s">
        <v>2522</v>
      </c>
      <c r="D559" s="813" t="str">
        <f>IF(CNSIPEE_2024_M2_Secc1!D48="","",CNSIPEE_2024_M2_Secc1!D48)</f>
        <v/>
      </c>
      <c r="E559" s="814"/>
      <c r="F559" s="814"/>
      <c r="G559" s="814"/>
      <c r="H559" s="814"/>
      <c r="I559" s="814"/>
      <c r="J559" s="814"/>
      <c r="K559" s="814"/>
      <c r="L559" s="814"/>
      <c r="M559" s="814"/>
      <c r="N559" s="814"/>
      <c r="O559" s="815"/>
      <c r="P559" s="100"/>
      <c r="Q559" s="100"/>
      <c r="R559" s="100"/>
      <c r="S559" s="100"/>
      <c r="T559" s="100"/>
      <c r="U559" s="100"/>
      <c r="V559" s="100"/>
      <c r="W559" s="100"/>
      <c r="X559" s="100"/>
      <c r="Y559" s="100"/>
      <c r="Z559" s="100"/>
      <c r="AA559" s="100"/>
      <c r="AB559" s="100"/>
      <c r="AC559" s="100"/>
      <c r="AD559" s="100"/>
      <c r="AG559">
        <f t="shared" si="435"/>
        <v>0</v>
      </c>
      <c r="AH559">
        <f t="shared" si="422"/>
        <v>0</v>
      </c>
      <c r="AI559"/>
      <c r="AJ559"/>
      <c r="AK559">
        <f t="shared" si="436"/>
        <v>0</v>
      </c>
      <c r="AL559">
        <f t="shared" si="437"/>
        <v>0</v>
      </c>
      <c r="AM559">
        <f t="shared" si="438"/>
        <v>0</v>
      </c>
      <c r="AN559">
        <f t="shared" si="423"/>
        <v>0</v>
      </c>
      <c r="AO559">
        <f t="shared" si="424"/>
        <v>0</v>
      </c>
      <c r="AP559">
        <f t="shared" si="425"/>
        <v>0</v>
      </c>
      <c r="AQ559">
        <f t="shared" si="426"/>
        <v>0</v>
      </c>
      <c r="AR559">
        <f t="shared" si="427"/>
        <v>0</v>
      </c>
      <c r="AS559">
        <f t="shared" si="428"/>
        <v>0</v>
      </c>
      <c r="AT559">
        <f t="shared" si="429"/>
        <v>0</v>
      </c>
      <c r="AU559">
        <f t="shared" si="430"/>
        <v>0</v>
      </c>
      <c r="AV559">
        <f t="shared" si="431"/>
        <v>0</v>
      </c>
      <c r="AW559">
        <f t="shared" si="432"/>
        <v>0</v>
      </c>
      <c r="AX559">
        <f t="shared" si="433"/>
        <v>0</v>
      </c>
      <c r="AY559">
        <f t="shared" si="434"/>
        <v>0</v>
      </c>
      <c r="AZ559" cm="1">
        <f t="array" ref="AZ559">IF(OR(P559={"NS","NA"},S397={"NS","NA"}),0,IF(P559&gt;=S397,0,1))</f>
        <v>0</v>
      </c>
      <c r="BA559" cm="1">
        <f t="array" ref="BA559">IF(OR(Q559={"NS","NA"},T397={"NS","NA"}),0,IF(Q559&gt;=T397,0,1))</f>
        <v>0</v>
      </c>
      <c r="BB559" cm="1">
        <f t="array" ref="BB559">IF(OR(R559={"NS","NA"},U397={"NS","NA"}),0,IF(R559&gt;=U397,0,1))</f>
        <v>0</v>
      </c>
      <c r="BC559" cm="1">
        <f t="array" ref="BC559">IF(OR(S559={"NS","NA"},$S397={"NS","NA"}),0,IF(S559&lt;=$S397,0,1))</f>
        <v>0</v>
      </c>
      <c r="BD559" cm="1">
        <f t="array" ref="BD559">IF(OR(T559={"NS","NA"},$T397={"NS","NA"}),0,IF(T559&lt;=$T397,0,1))</f>
        <v>0</v>
      </c>
      <c r="BE559" cm="1">
        <f t="array" ref="BE559">IF(OR(U559={"NS","NA"},$U397={"NS","NA"}),0,IF(U559&lt;=$U397,0,1))</f>
        <v>0</v>
      </c>
      <c r="BF559" cm="1">
        <f t="array" ref="BF559">IF(OR(V559={"NS","NA"},$S397={"NS","NA"}),0,IF(V559&lt;=$S397,0,1))</f>
        <v>0</v>
      </c>
      <c r="BG559" cm="1">
        <f t="array" ref="BG559">IF(OR(W559={"NS","NA"},$T397={"NS","NA"}),0,IF(W559&lt;=$T397,0,1))</f>
        <v>0</v>
      </c>
      <c r="BH559" cm="1">
        <f t="array" ref="BH559">IF(OR(X559={"NS","NA"},$U397={"NS","NA"}),0,IF(X559&lt;=$U397,0,1))</f>
        <v>0</v>
      </c>
      <c r="BI559" cm="1">
        <f t="array" ref="BI559">IF(OR(Y559={"NS","NA"},$S397={"NS","NA"}),0,IF(Y559&lt;=$S397,0,1))</f>
        <v>0</v>
      </c>
      <c r="BJ559" cm="1">
        <f t="array" ref="BJ559">IF(OR(Z559={"NS","NA"},$T397={"NS","NA"}),0,IF(Z559&lt;=$T397,0,1))</f>
        <v>0</v>
      </c>
      <c r="BK559" cm="1">
        <f t="array" ref="BK559">IF(OR(AA559={"NS","NA"},$U397={"NS","NA"}),0,IF(AA559&lt;=$U397,0,1))</f>
        <v>0</v>
      </c>
      <c r="BL559" cm="1">
        <f t="array" ref="BL559">IF(OR(AB559={"NS","NA"},$S397={"NS","NA"}),0,IF(AB559&lt;=$S397,0,1))</f>
        <v>0</v>
      </c>
      <c r="BM559" cm="1">
        <f t="array" ref="BM559">IF(OR(AC559={"NS","NA"},$T397={"NS","NA"}),0,IF(AC559&lt;=$T397,0,1))</f>
        <v>0</v>
      </c>
      <c r="BN559" cm="1">
        <f t="array" ref="BN559">IF(OR(AD559={"NS","NA"},$U397={"NS","NA"}),0,IF(AD559&lt;=$U397,0,1))</f>
        <v>0</v>
      </c>
      <c r="BO559"/>
      <c r="BP559"/>
      <c r="BQ559"/>
      <c r="BR559"/>
      <c r="BS559"/>
      <c r="BT559"/>
      <c r="BU559"/>
      <c r="BV559"/>
      <c r="BW559"/>
    </row>
    <row r="560" spans="1:75">
      <c r="A560" s="119"/>
      <c r="B560" s="211"/>
      <c r="C560" s="143" t="s">
        <v>2523</v>
      </c>
      <c r="D560" s="813" t="str">
        <f>IF(CNSIPEE_2024_M2_Secc1!D49="","",CNSIPEE_2024_M2_Secc1!D49)</f>
        <v/>
      </c>
      <c r="E560" s="814"/>
      <c r="F560" s="814"/>
      <c r="G560" s="814"/>
      <c r="H560" s="814"/>
      <c r="I560" s="814"/>
      <c r="J560" s="814"/>
      <c r="K560" s="814"/>
      <c r="L560" s="814"/>
      <c r="M560" s="814"/>
      <c r="N560" s="814"/>
      <c r="O560" s="815"/>
      <c r="P560" s="100"/>
      <c r="Q560" s="100"/>
      <c r="R560" s="100"/>
      <c r="S560" s="100"/>
      <c r="T560" s="100"/>
      <c r="U560" s="100"/>
      <c r="V560" s="100"/>
      <c r="W560" s="100"/>
      <c r="X560" s="100"/>
      <c r="Y560" s="100"/>
      <c r="Z560" s="100"/>
      <c r="AA560" s="100"/>
      <c r="AB560" s="100"/>
      <c r="AC560" s="100"/>
      <c r="AD560" s="100"/>
      <c r="AG560">
        <f t="shared" si="435"/>
        <v>0</v>
      </c>
      <c r="AH560">
        <f>IF(OR($S398=0,$S398="NS",$S398="NA"),IF(COUNTA(P560:AD560,J574:AD574,J588:AD588)=0,0,1),0)</f>
        <v>0</v>
      </c>
      <c r="AI560"/>
      <c r="AJ560"/>
      <c r="AK560">
        <f t="shared" si="436"/>
        <v>0</v>
      </c>
      <c r="AL560">
        <f t="shared" si="437"/>
        <v>0</v>
      </c>
      <c r="AM560">
        <f t="shared" si="438"/>
        <v>0</v>
      </c>
      <c r="AN560">
        <f t="shared" si="423"/>
        <v>0</v>
      </c>
      <c r="AO560">
        <f t="shared" si="424"/>
        <v>0</v>
      </c>
      <c r="AP560">
        <f t="shared" si="425"/>
        <v>0</v>
      </c>
      <c r="AQ560">
        <f t="shared" si="426"/>
        <v>0</v>
      </c>
      <c r="AR560">
        <f t="shared" si="427"/>
        <v>0</v>
      </c>
      <c r="AS560">
        <f t="shared" si="428"/>
        <v>0</v>
      </c>
      <c r="AT560">
        <f t="shared" si="429"/>
        <v>0</v>
      </c>
      <c r="AU560">
        <f t="shared" si="430"/>
        <v>0</v>
      </c>
      <c r="AV560">
        <f t="shared" si="431"/>
        <v>0</v>
      </c>
      <c r="AW560">
        <f t="shared" si="432"/>
        <v>0</v>
      </c>
      <c r="AX560">
        <f t="shared" si="433"/>
        <v>0</v>
      </c>
      <c r="AY560">
        <f t="shared" si="434"/>
        <v>0</v>
      </c>
      <c r="AZ560" cm="1">
        <f t="array" ref="AZ560">IF(OR(P560={"NS","NA"},S398={"NS","NA"}),0,IF(P560&gt;=S398,0,1))</f>
        <v>0</v>
      </c>
      <c r="BA560" cm="1">
        <f t="array" ref="BA560">IF(OR(Q560={"NS","NA"},T398={"NS","NA"}),0,IF(Q560&gt;=T398,0,1))</f>
        <v>0</v>
      </c>
      <c r="BB560" cm="1">
        <f t="array" ref="BB560">IF(OR(R560={"NS","NA"},U398={"NS","NA"}),0,IF(R560&gt;=U398,0,1))</f>
        <v>0</v>
      </c>
      <c r="BC560" cm="1">
        <f t="array" ref="BC560">IF(OR(S560={"NS","NA"},$S398={"NS","NA"}),0,IF(S560&lt;=$S398,0,1))</f>
        <v>0</v>
      </c>
      <c r="BD560" cm="1">
        <f t="array" ref="BD560">IF(OR(T560={"NS","NA"},$T398={"NS","NA"}),0,IF(T560&lt;=$T398,0,1))</f>
        <v>0</v>
      </c>
      <c r="BE560" cm="1">
        <f t="array" ref="BE560">IF(OR(U560={"NS","NA"},$U398={"NS","NA"}),0,IF(U560&lt;=$U398,0,1))</f>
        <v>0</v>
      </c>
      <c r="BF560" cm="1">
        <f t="array" ref="BF560">IF(OR(V560={"NS","NA"},$S398={"NS","NA"}),0,IF(V560&lt;=$S398,0,1))</f>
        <v>0</v>
      </c>
      <c r="BG560" cm="1">
        <f t="array" ref="BG560">IF(OR(W560={"NS","NA"},$T398={"NS","NA"}),0,IF(W560&lt;=$T398,0,1))</f>
        <v>0</v>
      </c>
      <c r="BH560" cm="1">
        <f t="array" ref="BH560">IF(OR(X560={"NS","NA"},$U398={"NS","NA"}),0,IF(X560&lt;=$U398,0,1))</f>
        <v>0</v>
      </c>
      <c r="BI560" cm="1">
        <f t="array" ref="BI560">IF(OR(Y560={"NS","NA"},$S398={"NS","NA"}),0,IF(Y560&lt;=$S398,0,1))</f>
        <v>0</v>
      </c>
      <c r="BJ560" cm="1">
        <f t="array" ref="BJ560">IF(OR(Z560={"NS","NA"},$T398={"NS","NA"}),0,IF(Z560&lt;=$T398,0,1))</f>
        <v>0</v>
      </c>
      <c r="BK560" cm="1">
        <f t="array" ref="BK560">IF(OR(AA560={"NS","NA"},$U398={"NS","NA"}),0,IF(AA560&lt;=$U398,0,1))</f>
        <v>0</v>
      </c>
      <c r="BL560" cm="1">
        <f t="array" ref="BL560">IF(OR(AB560={"NS","NA"},$S398={"NS","NA"}),0,IF(AB560&lt;=$S398,0,1))</f>
        <v>0</v>
      </c>
      <c r="BM560" cm="1">
        <f t="array" ref="BM560">IF(OR(AC560={"NS","NA"},$T398={"NS","NA"}),0,IF(AC560&lt;=$T398,0,1))</f>
        <v>0</v>
      </c>
      <c r="BN560" cm="1">
        <f t="array" ref="BN560">IF(OR(AD560={"NS","NA"},$U398={"NS","NA"}),0,IF(AD560&lt;=$U398,0,1))</f>
        <v>0</v>
      </c>
      <c r="BO560"/>
      <c r="BP560"/>
      <c r="BQ560"/>
      <c r="BR560"/>
      <c r="BS560"/>
      <c r="BT560"/>
      <c r="BU560"/>
      <c r="BV560"/>
      <c r="BW560"/>
    </row>
    <row r="561" spans="1:75">
      <c r="A561" s="119"/>
      <c r="B561" s="211"/>
      <c r="C561" s="57"/>
      <c r="D561" s="57"/>
      <c r="E561" s="57"/>
      <c r="F561" s="57"/>
      <c r="G561" s="57"/>
      <c r="I561" s="99"/>
      <c r="J561" s="104"/>
      <c r="K561" s="104"/>
      <c r="L561" s="104"/>
      <c r="M561" s="104"/>
      <c r="N561" s="104"/>
      <c r="O561" s="99" t="s">
        <v>2649</v>
      </c>
      <c r="P561" s="124">
        <f t="shared" ref="P561:AD561" si="439">IF(AND(SUM(P553:P560)=0,COUNTIF(P553:P560,"NS")&gt;0),"NS",IF(AND(SUM(P553:P560)=0,COUNTIF(P553:P560,0)&gt;0),0,IF(AND(SUM(P553:P560)=0,COUNTIF(P553:P560,"NA")&gt;0),"NA",SUM(P553:P560))))</f>
        <v>0</v>
      </c>
      <c r="Q561" s="124">
        <f t="shared" si="439"/>
        <v>0</v>
      </c>
      <c r="R561" s="124">
        <f t="shared" si="439"/>
        <v>0</v>
      </c>
      <c r="S561" s="124">
        <f t="shared" si="439"/>
        <v>0</v>
      </c>
      <c r="T561" s="124">
        <f t="shared" si="439"/>
        <v>0</v>
      </c>
      <c r="U561" s="124">
        <f t="shared" si="439"/>
        <v>0</v>
      </c>
      <c r="V561" s="124">
        <f t="shared" si="439"/>
        <v>0</v>
      </c>
      <c r="W561" s="124">
        <f t="shared" si="439"/>
        <v>0</v>
      </c>
      <c r="X561" s="124">
        <f t="shared" si="439"/>
        <v>0</v>
      </c>
      <c r="Y561" s="124">
        <f t="shared" si="439"/>
        <v>0</v>
      </c>
      <c r="Z561" s="124">
        <f t="shared" si="439"/>
        <v>0</v>
      </c>
      <c r="AA561" s="124">
        <f t="shared" si="439"/>
        <v>0</v>
      </c>
      <c r="AB561" s="124">
        <f t="shared" si="439"/>
        <v>0</v>
      </c>
      <c r="AC561" s="124">
        <f t="shared" si="439"/>
        <v>0</v>
      </c>
      <c r="AD561" s="124">
        <f t="shared" si="439"/>
        <v>0</v>
      </c>
      <c r="AG561" s="507">
        <f>SUM(AG553:AG560)</f>
        <v>0</v>
      </c>
      <c r="AH561" s="507">
        <f>SUM(AH553:AH560)</f>
        <v>0</v>
      </c>
      <c r="AJ561"/>
      <c r="AK561">
        <f>SUM(AK553:AK560)</f>
        <v>0</v>
      </c>
      <c r="AM561">
        <f>SUM(AM553:AM560)</f>
        <v>0</v>
      </c>
      <c r="AN561">
        <f>SUM(AN553:AN560)</f>
        <v>0</v>
      </c>
      <c r="AP561">
        <f>SUM(AP553:AP560)</f>
        <v>0</v>
      </c>
      <c r="AQ561">
        <f>SUM(AQ553:AQ560)</f>
        <v>0</v>
      </c>
      <c r="AS561">
        <f>SUM(AS553:AS560)</f>
        <v>0</v>
      </c>
      <c r="AT561">
        <f>SUM(AT553:AT560)</f>
        <v>0</v>
      </c>
      <c r="AV561">
        <f>SUM(AV553:AV560)</f>
        <v>0</v>
      </c>
      <c r="AW561">
        <f>SUM(AW553:AW560)</f>
        <v>0</v>
      </c>
      <c r="AY561">
        <f>SUM(AY553:AY560)</f>
        <v>0</v>
      </c>
      <c r="AZ561"/>
      <c r="BB561" s="507">
        <f>SUM(AZ553:BB560)</f>
        <v>0</v>
      </c>
      <c r="BC561"/>
      <c r="BE561"/>
      <c r="BH561"/>
      <c r="BN561" s="693">
        <f>SUM(BC553:BN560)</f>
        <v>0</v>
      </c>
    </row>
    <row r="562" spans="1:75">
      <c r="A562" s="119"/>
      <c r="B562" s="211"/>
      <c r="C562" s="57"/>
      <c r="D562" s="57"/>
      <c r="E562" s="57"/>
      <c r="F562" s="57"/>
      <c r="G562" s="57"/>
      <c r="H562" s="57"/>
      <c r="I562" s="57"/>
      <c r="J562" s="57"/>
      <c r="K562" s="57"/>
      <c r="L562" s="57"/>
      <c r="M562" s="57"/>
      <c r="N562" s="57"/>
      <c r="O562" s="57"/>
      <c r="P562" s="57"/>
      <c r="Q562" s="57"/>
      <c r="R562" s="57"/>
      <c r="S562" s="57"/>
      <c r="T562" s="57"/>
      <c r="U562" s="57"/>
      <c r="V562" s="57"/>
      <c r="W562" s="57"/>
      <c r="X562" s="57"/>
      <c r="Y562" s="57"/>
      <c r="Z562" s="57"/>
      <c r="AA562" s="57"/>
      <c r="AB562" s="57"/>
      <c r="AC562" s="57"/>
      <c r="AD562" s="57"/>
      <c r="AK562" t="s">
        <v>2650</v>
      </c>
      <c r="AL562" s="405">
        <f>SUM(AM561,AP561,AS561,AV561,AY561)</f>
        <v>0</v>
      </c>
      <c r="AM562" t="s">
        <v>2651</v>
      </c>
      <c r="AN562">
        <f>SUM(AK561,AN561,AQ561,AT561,AW561,AZ561,BC561)</f>
        <v>0</v>
      </c>
    </row>
    <row r="563" spans="1:75">
      <c r="A563" s="119"/>
      <c r="B563" s="211"/>
      <c r="C563" s="57"/>
      <c r="D563" s="57"/>
      <c r="E563" s="57"/>
      <c r="F563" s="57"/>
      <c r="G563" s="57"/>
      <c r="H563" s="57"/>
      <c r="I563" s="57"/>
      <c r="J563" s="57"/>
      <c r="K563" s="57"/>
      <c r="L563" s="57"/>
      <c r="M563" s="57"/>
      <c r="N563" s="57"/>
      <c r="O563" s="57"/>
      <c r="P563" s="57"/>
      <c r="Q563" s="57"/>
      <c r="R563" s="57"/>
      <c r="S563" s="57"/>
      <c r="T563" s="57"/>
      <c r="U563" s="57"/>
      <c r="V563" s="57"/>
      <c r="W563" s="57"/>
      <c r="X563" s="57"/>
      <c r="Y563" s="57"/>
      <c r="Z563" s="57"/>
      <c r="AA563" s="875" t="s">
        <v>3233</v>
      </c>
      <c r="AB563" s="875"/>
      <c r="AC563" s="875"/>
      <c r="AD563" s="875"/>
      <c r="AK563" t="s">
        <v>2652</v>
      </c>
      <c r="AL563">
        <f>IF(AN562&gt;0,IF(SUM(J561)&gt;=SUM(M561,P561,S561,V561,Y561,AB561),0,1),IF(SUM(J561)&lt;&gt;SUM(M561,P561,S561,V561,Y561,AB561),1,0))</f>
        <v>0</v>
      </c>
      <c r="AM563" t="s">
        <v>2653</v>
      </c>
      <c r="AN563">
        <f>IF(AN562&gt;0,IF(SUM(K561)&gt;=SUM(N561,Q561,T561,W561,Z561,AC561),0,1),IF(SUM(K561)&lt;&gt;SUM(N561,Q561,T561,W561,Z561,AC561),1,0))</f>
        <v>0</v>
      </c>
      <c r="AO563" t="s">
        <v>2654</v>
      </c>
      <c r="AP563">
        <f>IF(AN562&gt;0,IF(SUM(L561)&gt;=SUM(O561,R561,U561,X561,AA561,AD561),0,1),IF(SUM(L561)&lt;&gt;SUM(O561,R561,U561,X561,AA561,AD561),1,0))</f>
        <v>0</v>
      </c>
    </row>
    <row r="564" spans="1:75" ht="36" customHeight="1">
      <c r="A564" s="119"/>
      <c r="B564" s="211"/>
      <c r="C564" s="797" t="s">
        <v>2581</v>
      </c>
      <c r="D564" s="798"/>
      <c r="E564" s="798"/>
      <c r="F564" s="798"/>
      <c r="G564" s="798"/>
      <c r="H564" s="798"/>
      <c r="I564" s="799"/>
      <c r="J564" s="739" t="s">
        <v>5968</v>
      </c>
      <c r="K564" s="740"/>
      <c r="L564" s="740"/>
      <c r="M564" s="740"/>
      <c r="N564" s="740"/>
      <c r="O564" s="740"/>
      <c r="P564" s="740"/>
      <c r="Q564" s="740"/>
      <c r="R564" s="740"/>
      <c r="S564" s="740"/>
      <c r="T564" s="740"/>
      <c r="U564" s="740"/>
      <c r="V564" s="740"/>
      <c r="W564" s="740"/>
      <c r="X564" s="740"/>
      <c r="Y564" s="740"/>
      <c r="Z564" s="740"/>
      <c r="AA564" s="740"/>
      <c r="AB564" s="740"/>
      <c r="AC564" s="740"/>
      <c r="AD564" s="741"/>
    </row>
    <row r="565" spans="1:75" ht="120" customHeight="1">
      <c r="A565" s="119"/>
      <c r="B565" s="211"/>
      <c r="C565" s="800"/>
      <c r="D565" s="801"/>
      <c r="E565" s="801"/>
      <c r="F565" s="801"/>
      <c r="G565" s="801"/>
      <c r="H565" s="801"/>
      <c r="I565" s="802"/>
      <c r="J565" s="845" t="s">
        <v>5386</v>
      </c>
      <c r="K565" s="952"/>
      <c r="L565" s="846"/>
      <c r="M565" s="845" t="s">
        <v>5387</v>
      </c>
      <c r="N565" s="952"/>
      <c r="O565" s="846"/>
      <c r="P565" s="845" t="s">
        <v>5388</v>
      </c>
      <c r="Q565" s="952"/>
      <c r="R565" s="846"/>
      <c r="S565" s="845" t="s">
        <v>5389</v>
      </c>
      <c r="T565" s="952"/>
      <c r="U565" s="846"/>
      <c r="V565" s="845" t="s">
        <v>5390</v>
      </c>
      <c r="W565" s="952"/>
      <c r="X565" s="846"/>
      <c r="Y565" s="845" t="s">
        <v>5391</v>
      </c>
      <c r="Z565" s="952"/>
      <c r="AA565" s="846"/>
      <c r="AB565" s="845" t="s">
        <v>5392</v>
      </c>
      <c r="AC565" s="952"/>
      <c r="AD565" s="846"/>
    </row>
    <row r="566" spans="1:75" ht="48" customHeight="1">
      <c r="A566" s="50"/>
      <c r="B566" s="38"/>
      <c r="C566" s="803"/>
      <c r="D566" s="804"/>
      <c r="E566" s="804"/>
      <c r="F566" s="804"/>
      <c r="G566" s="804"/>
      <c r="H566" s="804"/>
      <c r="I566" s="805"/>
      <c r="J566" s="127" t="s">
        <v>2635</v>
      </c>
      <c r="K566" s="128" t="s">
        <v>2629</v>
      </c>
      <c r="L566" s="128" t="s">
        <v>2630</v>
      </c>
      <c r="M566" s="127" t="s">
        <v>2635</v>
      </c>
      <c r="N566" s="128" t="s">
        <v>2629</v>
      </c>
      <c r="O566" s="128" t="s">
        <v>2630</v>
      </c>
      <c r="P566" s="127" t="s">
        <v>2635</v>
      </c>
      <c r="Q566" s="128" t="s">
        <v>2629</v>
      </c>
      <c r="R566" s="128" t="s">
        <v>2630</v>
      </c>
      <c r="S566" s="127" t="s">
        <v>2635</v>
      </c>
      <c r="T566" s="128" t="s">
        <v>2629</v>
      </c>
      <c r="U566" s="128" t="s">
        <v>2630</v>
      </c>
      <c r="V566" s="127" t="s">
        <v>2635</v>
      </c>
      <c r="W566" s="128" t="s">
        <v>2629</v>
      </c>
      <c r="X566" s="128" t="s">
        <v>2630</v>
      </c>
      <c r="Y566" s="127" t="s">
        <v>2635</v>
      </c>
      <c r="Z566" s="128" t="s">
        <v>2629</v>
      </c>
      <c r="AA566" s="128" t="s">
        <v>2630</v>
      </c>
      <c r="AB566" s="127" t="s">
        <v>2635</v>
      </c>
      <c r="AC566" s="128" t="s">
        <v>2629</v>
      </c>
      <c r="AD566" s="128" t="s">
        <v>2630</v>
      </c>
      <c r="AH566" t="s">
        <v>4573</v>
      </c>
      <c r="AI566" t="s">
        <v>2638</v>
      </c>
      <c r="AJ566" t="s">
        <v>2639</v>
      </c>
      <c r="AK566" t="s">
        <v>4574</v>
      </c>
      <c r="AL566" t="s">
        <v>2641</v>
      </c>
      <c r="AM566" t="s">
        <v>2642</v>
      </c>
      <c r="AN566" t="s">
        <v>4575</v>
      </c>
      <c r="AO566" t="s">
        <v>2644</v>
      </c>
      <c r="AP566" t="s">
        <v>2645</v>
      </c>
      <c r="AQ566" t="s">
        <v>4576</v>
      </c>
      <c r="AR566" t="s">
        <v>2647</v>
      </c>
      <c r="AS566" t="s">
        <v>2648</v>
      </c>
      <c r="AT566" t="s">
        <v>5177</v>
      </c>
      <c r="AU566" t="s">
        <v>2757</v>
      </c>
      <c r="AV566" t="s">
        <v>2758</v>
      </c>
      <c r="AW566" t="s">
        <v>5194</v>
      </c>
      <c r="AX566" t="s">
        <v>2760</v>
      </c>
      <c r="AY566" t="s">
        <v>2761</v>
      </c>
      <c r="AZ566" t="s">
        <v>5195</v>
      </c>
      <c r="BA566" t="s">
        <v>2763</v>
      </c>
      <c r="BB566" t="s">
        <v>2764</v>
      </c>
      <c r="BC566" t="s">
        <v>5290</v>
      </c>
      <c r="BD566"/>
      <c r="BE566"/>
      <c r="BF566"/>
      <c r="BG566"/>
      <c r="BH566"/>
      <c r="BI566"/>
      <c r="BJ566"/>
      <c r="BK566"/>
      <c r="BL566"/>
      <c r="BM566"/>
      <c r="BN566"/>
      <c r="BO566"/>
      <c r="BP566"/>
      <c r="BQ566"/>
      <c r="BR566"/>
      <c r="BS566"/>
      <c r="BT566"/>
    </row>
    <row r="567" spans="1:75">
      <c r="A567" s="119"/>
      <c r="B567" s="211"/>
      <c r="C567" s="44" t="s">
        <v>2516</v>
      </c>
      <c r="D567" s="796" t="str">
        <f>IF(CNSIPEE_2024_M2_Secc1!D42="","",CNSIPEE_2024_M2_Secc1!D42)</f>
        <v/>
      </c>
      <c r="E567" s="796"/>
      <c r="F567" s="796"/>
      <c r="G567" s="796"/>
      <c r="H567" s="796"/>
      <c r="I567" s="796"/>
      <c r="J567" s="100"/>
      <c r="K567" s="100"/>
      <c r="L567" s="100"/>
      <c r="M567" s="100"/>
      <c r="N567" s="100"/>
      <c r="O567" s="100"/>
      <c r="P567" s="100"/>
      <c r="Q567" s="100"/>
      <c r="R567" s="100"/>
      <c r="S567" s="100"/>
      <c r="T567" s="100"/>
      <c r="U567" s="100"/>
      <c r="V567" s="100"/>
      <c r="W567" s="100"/>
      <c r="X567" s="100"/>
      <c r="Y567" s="100"/>
      <c r="Z567" s="100"/>
      <c r="AA567" s="100"/>
      <c r="AB567" s="100"/>
      <c r="AC567" s="100"/>
      <c r="AD567" s="100"/>
      <c r="AH567">
        <f t="shared" ref="AH567:AH574" si="440">COUNTIF(K567:L567,"NS")</f>
        <v>0</v>
      </c>
      <c r="AI567">
        <f t="shared" ref="AI567:AI574" si="441">SUM(K567:L567)</f>
        <v>0</v>
      </c>
      <c r="AJ567">
        <f>IF(COUNTIF(J567:L567,"NA")=3,0,IF(COUNTA(J567:L567)=0,0,IF(OR(AND(J567=0,AH567&gt;0),AND(J567="ns",AI567&gt;0),AND(J567="ns",AH567=0,AI567=0)),1,IF(OR(AND(J567&gt;0,AH567=2),AND(J567="ns",AH567=2),AND(J567="ns",AI567=0,AH567&gt;0),J567=AI567),0,1))))</f>
        <v>0</v>
      </c>
      <c r="AK567">
        <f t="shared" ref="AK567:AK574" si="442">COUNTIF(N567:O567,"NS")</f>
        <v>0</v>
      </c>
      <c r="AL567">
        <f t="shared" ref="AL567:AL574" si="443">SUM(N567:O567)</f>
        <v>0</v>
      </c>
      <c r="AM567">
        <f t="shared" ref="AM567:AM574" si="444">IF(COUNTIF(M567:O567,"NA")=3,0,IF(COUNTA(M567:O567)=0,0,IF(OR(AND(M567=0,AK567&gt;0),AND(M567="ns",AL567&gt;0),AND(M567="ns",AK567=0,AL567=0)),1,IF(OR(AND(M567&gt;0,AK567=2),AND(M567="ns",AK567=2),AND(M567="ns",AL567=0,AK567&gt;0),M567=AL567),0,1))))</f>
        <v>0</v>
      </c>
      <c r="AN567">
        <f t="shared" ref="AN567:AN574" si="445">COUNTIF(Q567:R567,"NS")</f>
        <v>0</v>
      </c>
      <c r="AO567">
        <f t="shared" ref="AO567:AO574" si="446">SUM(Q567:R567)</f>
        <v>0</v>
      </c>
      <c r="AP567">
        <f t="shared" ref="AP567:AP574" si="447">IF(COUNTIF(P567:R567,"NA")=3,0,IF(COUNTA(P567:R567)=0,0,IF(OR(AND(P567=0,AN567&gt;0),AND(P567="ns",AO567&gt;0),AND(P567="ns",AN567=0,AO567=0)),1,IF(OR(AND(P567&gt;0,AN567=2),AND(P567="ns",AN567=2),AND(P567="ns",AO567=0,AN567&gt;0),P567=AO567),0,1))))</f>
        <v>0</v>
      </c>
      <c r="AQ567">
        <f t="shared" ref="AQ567:AQ574" si="448">COUNTIF(T567:U567,"NS")</f>
        <v>0</v>
      </c>
      <c r="AR567">
        <f t="shared" ref="AR567:AR574" si="449">SUM(T567:U567)</f>
        <v>0</v>
      </c>
      <c r="AS567">
        <f t="shared" ref="AS567:AS574" si="450">IF(COUNTIF(S567:U567,"NA")=3,0,IF(COUNTA(S567:U567)=0,0,IF(OR(AND(S567=0,AQ567&gt;0),AND(S567="ns",AR567&gt;0),AND(S567="ns",AQ567=0,AR567=0)),1,IF(OR(AND(S567&gt;0,AQ567=2),AND(S567="ns",AQ567=2),AND(S567="ns",AR567=0,AQ567&gt;0),S567=AR567),0,1))))</f>
        <v>0</v>
      </c>
      <c r="AT567">
        <f t="shared" ref="AT567:AT574" si="451">COUNTIF(W567:X567,"NS")</f>
        <v>0</v>
      </c>
      <c r="AU567">
        <f t="shared" ref="AU567:AU574" si="452">SUM(W567:X567)</f>
        <v>0</v>
      </c>
      <c r="AV567">
        <f t="shared" ref="AV567:AV574" si="453">IF(COUNTIF(V567:X567,"NA")=3,0,IF(COUNTA(V567:X567)=0,0,IF(OR(AND(V567=0,AT567&gt;0),AND(V567="ns",AU567&gt;0),AND(V567="ns",AT567=0,AU567=0)),1,IF(OR(AND(V567&gt;0,AT567=2),AND(V567="ns",AT567=2),AND(V567="ns",AU567=0,AT567&gt;0),V567=AU567),0,1))))</f>
        <v>0</v>
      </c>
      <c r="AW567">
        <f t="shared" ref="AW567:AW574" si="454">COUNTIF(Z567:AA567,"NS")</f>
        <v>0</v>
      </c>
      <c r="AX567">
        <f t="shared" ref="AX567:AX574" si="455">SUM(Z567:AA567)</f>
        <v>0</v>
      </c>
      <c r="AY567">
        <f t="shared" ref="AY567:AY574" si="456">IF(COUNTIF(Y567:AA567,"NA")=3,0,IF(COUNTA(Y567:AA567)=0,0,IF(OR(AND(Y567=0,AW567&gt;0),AND(Y567="ns",AX567&gt;0),AND(Y567="ns",AW567=0,AX567=0)),1,IF(OR(AND(Y567&gt;0,AW567=2),AND(Y567="ns",AW567=2),AND(Y567="ns",AX567=0,AW567&gt;0),Y567=AX567),0,1))))</f>
        <v>0</v>
      </c>
      <c r="AZ567">
        <f t="shared" ref="AZ567:AZ574" si="457">COUNTIF(AC567:AD567,"NS")</f>
        <v>0</v>
      </c>
      <c r="BA567">
        <f t="shared" ref="BA567:BA574" si="458">SUM(AC567:AD567)</f>
        <v>0</v>
      </c>
      <c r="BB567">
        <f t="shared" ref="BB567:BB574" si="459">IF(COUNTIF(AB567:AD567,"NA")=3,0,IF(COUNTA(AB567:AD567)=0,0,IF(OR(AND(AB567=0,AZ567&gt;0),AND(AB567="ns",BA567&gt;0),AND(AB567="ns",AZ567=0,BA567=0)),1,IF(OR(AND(AB567&gt;0,AZ567=2),AND(AB567="ns",AZ567=2),AND(AB567="ns",BA567=0,AZ567&gt;0),AB567=BA567),0,1))))</f>
        <v>0</v>
      </c>
      <c r="BC567" cm="1">
        <f t="array" ref="BC567">IF(OR(J567={"NS","NA"},$S391={"NS","NA"}),0,IF(J567&lt;=$S391,0,1))</f>
        <v>0</v>
      </c>
      <c r="BD567" cm="1">
        <f t="array" ref="BD567">IF(OR(K567={"NS","NA"},$T391={"NS","NA"}),0,IF(K567&lt;=$T391,0,1))</f>
        <v>0</v>
      </c>
      <c r="BE567" cm="1">
        <f t="array" ref="BE567">IF(OR(L567={"NS","NA"},$U391={"NS","NA"}),0,IF(L567&lt;=$U391,0,1))</f>
        <v>0</v>
      </c>
      <c r="BF567" cm="1">
        <f t="array" ref="BF567">IF(OR(M567={"NS","NA"},$S391={"NS","NA"}),0,IF(M567&lt;=$S391,0,1))</f>
        <v>0</v>
      </c>
      <c r="BG567" cm="1">
        <f t="array" ref="BG567">IF(OR(N567={"NS","NA"},$T391={"NS","NA"}),0,IF(N567&lt;=$T391,0,1))</f>
        <v>0</v>
      </c>
      <c r="BH567" cm="1">
        <f t="array" ref="BH567">IF(OR(O567={"NS","NA"},$U391={"NS","NA"}),0,IF(O567&lt;=$U391,0,1))</f>
        <v>0</v>
      </c>
      <c r="BI567" cm="1">
        <f t="array" ref="BI567">IF(OR(P567={"NS","NA"},$S391={"NS","NA"}),0,IF(P567&lt;=$S391,0,1))</f>
        <v>0</v>
      </c>
      <c r="BJ567" cm="1">
        <f t="array" ref="BJ567">IF(OR(Q567={"NS","NA"},$T391={"NS","NA"}),0,IF(Q567&lt;=$T391,0,1))</f>
        <v>0</v>
      </c>
      <c r="BK567" cm="1">
        <f t="array" ref="BK567">IF(OR(R567={"NS","NA"},$U391={"NS","NA"}),0,IF(R567&lt;=$U391,0,1))</f>
        <v>0</v>
      </c>
      <c r="BL567" cm="1">
        <f t="array" ref="BL567">IF(OR(S567={"NS","NA"},$S391={"NS","NA"}),0,IF(S567&lt;=$S391,0,1))</f>
        <v>0</v>
      </c>
      <c r="BM567" cm="1">
        <f t="array" ref="BM567">IF(OR(T567={"NS","NA"},$T391={"NS","NA"}),0,IF(T567&lt;=$T391,0,1))</f>
        <v>0</v>
      </c>
      <c r="BN567" cm="1">
        <f t="array" ref="BN567">IF(OR(U567={"NS","NA"},$U391={"NS","NA"}),0,IF(U567&lt;=$U391,0,1))</f>
        <v>0</v>
      </c>
      <c r="BO567" cm="1">
        <f t="array" ref="BO567">IF(OR(V567={"NS","NA"},$S391={"NS","NA"}),0,IF(V567&lt;=$S391,0,1))</f>
        <v>0</v>
      </c>
      <c r="BP567" cm="1">
        <f t="array" ref="BP567">IF(OR(W567={"NS","NA"},$T391={"NS","NA"}),0,IF(W567&lt;=$T391,0,1))</f>
        <v>0</v>
      </c>
      <c r="BQ567" cm="1">
        <f t="array" ref="BQ567">IF(OR(X567={"NS","NA"},$U391={"NS","NA"}),0,IF(X567&lt;=$U391,0,1))</f>
        <v>0</v>
      </c>
      <c r="BR567" cm="1">
        <f t="array" ref="BR567">IF(OR(Y567={"NS","NA"},$S391={"NS","NA"}),0,IF(Y567&lt;=$S391,0,1))</f>
        <v>0</v>
      </c>
      <c r="BS567" cm="1">
        <f t="array" ref="BS567">IF(OR(Z567={"NS","NA"},$T391={"NS","NA"}),0,IF(Z567&lt;=$T391,0,1))</f>
        <v>0</v>
      </c>
      <c r="BT567" cm="1">
        <f t="array" ref="BT567">IF(OR(AA567={"NS","NA"},$U391={"NS","NA"}),0,IF(AA567&lt;=$U391,0,1))</f>
        <v>0</v>
      </c>
      <c r="BU567" cm="1">
        <f t="array" ref="BU567">IF(OR(AB567={"NS","NA"},$S391={"NS","NA"}),0,IF(AB567&lt;=$S391,0,1))</f>
        <v>0</v>
      </c>
      <c r="BV567" cm="1">
        <f t="array" ref="BV567">IF(OR(AC567={"NS","NA"},$T391={"NS","NA"}),0,IF(AC567&lt;=$T391,0,1))</f>
        <v>0</v>
      </c>
      <c r="BW567" cm="1">
        <f t="array" ref="BW567">IF(OR(AD567={"NS","NA"},$U391={"NS","NA"}),0,IF(AD567&lt;=$U391,0,1))</f>
        <v>0</v>
      </c>
    </row>
    <row r="568" spans="1:75">
      <c r="A568" s="119"/>
      <c r="B568" s="211"/>
      <c r="C568" s="199" t="s">
        <v>2517</v>
      </c>
      <c r="D568" s="796" t="str">
        <f>IF(CNSIPEE_2024_M2_Secc1!D43="","",CNSIPEE_2024_M2_Secc1!D43)</f>
        <v/>
      </c>
      <c r="E568" s="796"/>
      <c r="F568" s="796"/>
      <c r="G568" s="796"/>
      <c r="H568" s="796"/>
      <c r="I568" s="796"/>
      <c r="J568" s="100"/>
      <c r="K568" s="100"/>
      <c r="L568" s="100"/>
      <c r="M568" s="100"/>
      <c r="N568" s="100"/>
      <c r="O568" s="100"/>
      <c r="P568" s="100"/>
      <c r="Q568" s="100"/>
      <c r="R568" s="100"/>
      <c r="S568" s="100"/>
      <c r="T568" s="100"/>
      <c r="U568" s="100"/>
      <c r="V568" s="100"/>
      <c r="W568" s="100"/>
      <c r="X568" s="100"/>
      <c r="Y568" s="100"/>
      <c r="Z568" s="100"/>
      <c r="AA568" s="100"/>
      <c r="AB568" s="100"/>
      <c r="AC568" s="100"/>
      <c r="AD568" s="100"/>
      <c r="AH568">
        <f t="shared" si="440"/>
        <v>0</v>
      </c>
      <c r="AI568">
        <f t="shared" si="441"/>
        <v>0</v>
      </c>
      <c r="AJ568">
        <f t="shared" ref="AJ568:AJ574" si="460">IF(COUNTIF(J568:L568,"NA")=3,0,IF(COUNTA(J568:L568)=0,0,IF(OR(AND(J568=0,AH568&gt;0),AND(J568="ns",AI568&gt;0),AND(J568="ns",AH568=0,AI568=0)),1,IF(OR(AND(J568&gt;0,AH568=2),AND(J568="ns",AH568=2),AND(J568="ns",AI568=0,AH568&gt;0),J568=AI568),0,1))))</f>
        <v>0</v>
      </c>
      <c r="AK568">
        <f t="shared" si="442"/>
        <v>0</v>
      </c>
      <c r="AL568">
        <f t="shared" si="443"/>
        <v>0</v>
      </c>
      <c r="AM568">
        <f t="shared" si="444"/>
        <v>0</v>
      </c>
      <c r="AN568">
        <f t="shared" si="445"/>
        <v>0</v>
      </c>
      <c r="AO568">
        <f t="shared" si="446"/>
        <v>0</v>
      </c>
      <c r="AP568">
        <f t="shared" si="447"/>
        <v>0</v>
      </c>
      <c r="AQ568">
        <f t="shared" si="448"/>
        <v>0</v>
      </c>
      <c r="AR568">
        <f t="shared" si="449"/>
        <v>0</v>
      </c>
      <c r="AS568">
        <f t="shared" si="450"/>
        <v>0</v>
      </c>
      <c r="AT568">
        <f t="shared" si="451"/>
        <v>0</v>
      </c>
      <c r="AU568">
        <f t="shared" si="452"/>
        <v>0</v>
      </c>
      <c r="AV568">
        <f t="shared" si="453"/>
        <v>0</v>
      </c>
      <c r="AW568">
        <f t="shared" si="454"/>
        <v>0</v>
      </c>
      <c r="AX568">
        <f t="shared" si="455"/>
        <v>0</v>
      </c>
      <c r="AY568">
        <f t="shared" si="456"/>
        <v>0</v>
      </c>
      <c r="AZ568">
        <f t="shared" si="457"/>
        <v>0</v>
      </c>
      <c r="BA568">
        <f t="shared" si="458"/>
        <v>0</v>
      </c>
      <c r="BB568">
        <f t="shared" si="459"/>
        <v>0</v>
      </c>
      <c r="BC568" cm="1">
        <f t="array" ref="BC568">IF(OR(J568={"NS","NA"},$S392={"NS","NA"}),0,IF(J568&lt;=$S392,0,1))</f>
        <v>0</v>
      </c>
      <c r="BD568" cm="1">
        <f t="array" ref="BD568">IF(OR(K568={"NS","NA"},$T392={"NS","NA"}),0,IF(K568&lt;=$T392,0,1))</f>
        <v>0</v>
      </c>
      <c r="BE568" cm="1">
        <f t="array" ref="BE568">IF(OR(L568={"NS","NA"},$U392={"NS","NA"}),0,IF(L568&lt;=$U392,0,1))</f>
        <v>0</v>
      </c>
      <c r="BF568" cm="1">
        <f t="array" ref="BF568">IF(OR(M568={"NS","NA"},$S392={"NS","NA"}),0,IF(M568&lt;=$S392,0,1))</f>
        <v>0</v>
      </c>
      <c r="BG568" cm="1">
        <f t="array" ref="BG568">IF(OR(N568={"NS","NA"},$T392={"NS","NA"}),0,IF(N568&lt;=$T392,0,1))</f>
        <v>0</v>
      </c>
      <c r="BH568" cm="1">
        <f t="array" ref="BH568">IF(OR(O568={"NS","NA"},$U392={"NS","NA"}),0,IF(O568&lt;=$U392,0,1))</f>
        <v>0</v>
      </c>
      <c r="BI568" cm="1">
        <f t="array" ref="BI568">IF(OR(P568={"NS","NA"},$S392={"NS","NA"}),0,IF(P568&lt;=$S392,0,1))</f>
        <v>0</v>
      </c>
      <c r="BJ568" cm="1">
        <f t="array" ref="BJ568">IF(OR(Q568={"NS","NA"},$T392={"NS","NA"}),0,IF(Q568&lt;=$T392,0,1))</f>
        <v>0</v>
      </c>
      <c r="BK568" cm="1">
        <f t="array" ref="BK568">IF(OR(R568={"NS","NA"},$U392={"NS","NA"}),0,IF(R568&lt;=$U392,0,1))</f>
        <v>0</v>
      </c>
      <c r="BL568" cm="1">
        <f t="array" ref="BL568">IF(OR(S568={"NS","NA"},$S392={"NS","NA"}),0,IF(S568&lt;=$S392,0,1))</f>
        <v>0</v>
      </c>
      <c r="BM568" cm="1">
        <f t="array" ref="BM568">IF(OR(T568={"NS","NA"},$T392={"NS","NA"}),0,IF(T568&lt;=$T392,0,1))</f>
        <v>0</v>
      </c>
      <c r="BN568" cm="1">
        <f t="array" ref="BN568">IF(OR(U568={"NS","NA"},$U392={"NS","NA"}),0,IF(U568&lt;=$U392,0,1))</f>
        <v>0</v>
      </c>
      <c r="BO568" cm="1">
        <f t="array" ref="BO568">IF(OR(V568={"NS","NA"},$S392={"NS","NA"}),0,IF(V568&lt;=$S392,0,1))</f>
        <v>0</v>
      </c>
      <c r="BP568" cm="1">
        <f t="array" ref="BP568">IF(OR(W568={"NS","NA"},$T392={"NS","NA"}),0,IF(W568&lt;=$T392,0,1))</f>
        <v>0</v>
      </c>
      <c r="BQ568" cm="1">
        <f t="array" ref="BQ568">IF(OR(X568={"NS","NA"},$U392={"NS","NA"}),0,IF(X568&lt;=$U392,0,1))</f>
        <v>0</v>
      </c>
      <c r="BR568" cm="1">
        <f t="array" ref="BR568">IF(OR(Y568={"NS","NA"},$S392={"NS","NA"}),0,IF(Y568&lt;=$S392,0,1))</f>
        <v>0</v>
      </c>
      <c r="BS568" cm="1">
        <f t="array" ref="BS568">IF(OR(Z568={"NS","NA"},$T392={"NS","NA"}),0,IF(Z568&lt;=$T392,0,1))</f>
        <v>0</v>
      </c>
      <c r="BT568" cm="1">
        <f t="array" ref="BT568">IF(OR(AA568={"NS","NA"},$U392={"NS","NA"}),0,IF(AA568&lt;=$U392,0,1))</f>
        <v>0</v>
      </c>
      <c r="BU568" cm="1">
        <f t="array" ref="BU568">IF(OR(AB568={"NS","NA"},$S392={"NS","NA"}),0,IF(AB568&lt;=$S392,0,1))</f>
        <v>0</v>
      </c>
      <c r="BV568" cm="1">
        <f t="array" ref="BV568">IF(OR(AC568={"NS","NA"},$T392={"NS","NA"}),0,IF(AC568&lt;=$T392,0,1))</f>
        <v>0</v>
      </c>
      <c r="BW568" cm="1">
        <f t="array" ref="BW568">IF(OR(AD568={"NS","NA"},$U392={"NS","NA"}),0,IF(AD568&lt;=$U392,0,1))</f>
        <v>0</v>
      </c>
    </row>
    <row r="569" spans="1:75">
      <c r="A569" s="119"/>
      <c r="B569" s="211"/>
      <c r="C569" s="143" t="s">
        <v>2518</v>
      </c>
      <c r="D569" s="796" t="str">
        <f>IF(CNSIPEE_2024_M2_Secc1!D44="","",CNSIPEE_2024_M2_Secc1!D44)</f>
        <v/>
      </c>
      <c r="E569" s="796"/>
      <c r="F569" s="796"/>
      <c r="G569" s="796"/>
      <c r="H569" s="796"/>
      <c r="I569" s="796"/>
      <c r="J569" s="100"/>
      <c r="K569" s="100"/>
      <c r="L569" s="100"/>
      <c r="M569" s="100"/>
      <c r="N569" s="100"/>
      <c r="O569" s="100"/>
      <c r="P569" s="100"/>
      <c r="Q569" s="100"/>
      <c r="R569" s="100"/>
      <c r="S569" s="100"/>
      <c r="T569" s="100"/>
      <c r="U569" s="100"/>
      <c r="V569" s="100"/>
      <c r="W569" s="100"/>
      <c r="X569" s="100"/>
      <c r="Y569" s="100"/>
      <c r="Z569" s="100"/>
      <c r="AA569" s="100"/>
      <c r="AB569" s="100"/>
      <c r="AC569" s="100"/>
      <c r="AD569" s="100"/>
      <c r="AH569">
        <f t="shared" si="440"/>
        <v>0</v>
      </c>
      <c r="AI569">
        <f t="shared" si="441"/>
        <v>0</v>
      </c>
      <c r="AJ569">
        <f t="shared" si="460"/>
        <v>0</v>
      </c>
      <c r="AK569">
        <f t="shared" si="442"/>
        <v>0</v>
      </c>
      <c r="AL569">
        <f t="shared" si="443"/>
        <v>0</v>
      </c>
      <c r="AM569">
        <f t="shared" si="444"/>
        <v>0</v>
      </c>
      <c r="AN569">
        <f t="shared" si="445"/>
        <v>0</v>
      </c>
      <c r="AO569">
        <f t="shared" si="446"/>
        <v>0</v>
      </c>
      <c r="AP569">
        <f t="shared" si="447"/>
        <v>0</v>
      </c>
      <c r="AQ569">
        <f t="shared" si="448"/>
        <v>0</v>
      </c>
      <c r="AR569">
        <f t="shared" si="449"/>
        <v>0</v>
      </c>
      <c r="AS569">
        <f t="shared" si="450"/>
        <v>0</v>
      </c>
      <c r="AT569">
        <f t="shared" si="451"/>
        <v>0</v>
      </c>
      <c r="AU569">
        <f t="shared" si="452"/>
        <v>0</v>
      </c>
      <c r="AV569">
        <f t="shared" si="453"/>
        <v>0</v>
      </c>
      <c r="AW569">
        <f t="shared" si="454"/>
        <v>0</v>
      </c>
      <c r="AX569">
        <f t="shared" si="455"/>
        <v>0</v>
      </c>
      <c r="AY569">
        <f t="shared" si="456"/>
        <v>0</v>
      </c>
      <c r="AZ569">
        <f t="shared" si="457"/>
        <v>0</v>
      </c>
      <c r="BA569">
        <f t="shared" si="458"/>
        <v>0</v>
      </c>
      <c r="BB569">
        <f t="shared" si="459"/>
        <v>0</v>
      </c>
      <c r="BC569" cm="1">
        <f t="array" ref="BC569">IF(OR(J569={"NS","NA"},$S393={"NS","NA"}),0,IF(J569&lt;=$S393,0,1))</f>
        <v>0</v>
      </c>
      <c r="BD569" cm="1">
        <f t="array" ref="BD569">IF(OR(K569={"NS","NA"},$T393={"NS","NA"}),0,IF(K569&lt;=$T393,0,1))</f>
        <v>0</v>
      </c>
      <c r="BE569" cm="1">
        <f t="array" ref="BE569">IF(OR(L569={"NS","NA"},$U393={"NS","NA"}),0,IF(L569&lt;=$U393,0,1))</f>
        <v>0</v>
      </c>
      <c r="BF569" cm="1">
        <f t="array" ref="BF569">IF(OR(M569={"NS","NA"},$S393={"NS","NA"}),0,IF(M569&lt;=$S393,0,1))</f>
        <v>0</v>
      </c>
      <c r="BG569" cm="1">
        <f t="array" ref="BG569">IF(OR(N569={"NS","NA"},$T393={"NS","NA"}),0,IF(N569&lt;=$T393,0,1))</f>
        <v>0</v>
      </c>
      <c r="BH569" cm="1">
        <f t="array" ref="BH569">IF(OR(O569={"NS","NA"},$U393={"NS","NA"}),0,IF(O569&lt;=$U393,0,1))</f>
        <v>0</v>
      </c>
      <c r="BI569" cm="1">
        <f t="array" ref="BI569">IF(OR(P569={"NS","NA"},$S393={"NS","NA"}),0,IF(P569&lt;=$S393,0,1))</f>
        <v>0</v>
      </c>
      <c r="BJ569" cm="1">
        <f t="array" ref="BJ569">IF(OR(Q569={"NS","NA"},$T393={"NS","NA"}),0,IF(Q569&lt;=$T393,0,1))</f>
        <v>0</v>
      </c>
      <c r="BK569" cm="1">
        <f t="array" ref="BK569">IF(OR(R569={"NS","NA"},$U393={"NS","NA"}),0,IF(R569&lt;=$U393,0,1))</f>
        <v>0</v>
      </c>
      <c r="BL569" cm="1">
        <f t="array" ref="BL569">IF(OR(S569={"NS","NA"},$S393={"NS","NA"}),0,IF(S569&lt;=$S393,0,1))</f>
        <v>0</v>
      </c>
      <c r="BM569" cm="1">
        <f t="array" ref="BM569">IF(OR(T569={"NS","NA"},$T393={"NS","NA"}),0,IF(T569&lt;=$T393,0,1))</f>
        <v>0</v>
      </c>
      <c r="BN569" cm="1">
        <f t="array" ref="BN569">IF(OR(U569={"NS","NA"},$U393={"NS","NA"}),0,IF(U569&lt;=$U393,0,1))</f>
        <v>0</v>
      </c>
      <c r="BO569" cm="1">
        <f t="array" ref="BO569">IF(OR(V569={"NS","NA"},$S393={"NS","NA"}),0,IF(V569&lt;=$S393,0,1))</f>
        <v>0</v>
      </c>
      <c r="BP569" cm="1">
        <f t="array" ref="BP569">IF(OR(W569={"NS","NA"},$T393={"NS","NA"}),0,IF(W569&lt;=$T393,0,1))</f>
        <v>0</v>
      </c>
      <c r="BQ569" cm="1">
        <f t="array" ref="BQ569">IF(OR(X569={"NS","NA"},$U393={"NS","NA"}),0,IF(X569&lt;=$U393,0,1))</f>
        <v>0</v>
      </c>
      <c r="BR569" cm="1">
        <f t="array" ref="BR569">IF(OR(Y569={"NS","NA"},$S393={"NS","NA"}),0,IF(Y569&lt;=$S393,0,1))</f>
        <v>0</v>
      </c>
      <c r="BS569" cm="1">
        <f t="array" ref="BS569">IF(OR(Z569={"NS","NA"},$T393={"NS","NA"}),0,IF(Z569&lt;=$T393,0,1))</f>
        <v>0</v>
      </c>
      <c r="BT569" cm="1">
        <f t="array" ref="BT569">IF(OR(AA569={"NS","NA"},$U393={"NS","NA"}),0,IF(AA569&lt;=$U393,0,1))</f>
        <v>0</v>
      </c>
      <c r="BU569" cm="1">
        <f t="array" ref="BU569">IF(OR(AB569={"NS","NA"},$S393={"NS","NA"}),0,IF(AB569&lt;=$S393,0,1))</f>
        <v>0</v>
      </c>
      <c r="BV569" cm="1">
        <f t="array" ref="BV569">IF(OR(AC569={"NS","NA"},$T393={"NS","NA"}),0,IF(AC569&lt;=$T393,0,1))</f>
        <v>0</v>
      </c>
      <c r="BW569" cm="1">
        <f t="array" ref="BW569">IF(OR(AD569={"NS","NA"},$U393={"NS","NA"}),0,IF(AD569&lt;=$U393,0,1))</f>
        <v>0</v>
      </c>
    </row>
    <row r="570" spans="1:75">
      <c r="A570" s="119"/>
      <c r="B570" s="211"/>
      <c r="C570" s="143" t="s">
        <v>2519</v>
      </c>
      <c r="D570" s="796" t="str">
        <f>IF(CNSIPEE_2024_M2_Secc1!D45="","",CNSIPEE_2024_M2_Secc1!D45)</f>
        <v/>
      </c>
      <c r="E570" s="796"/>
      <c r="F570" s="796"/>
      <c r="G570" s="796"/>
      <c r="H570" s="796"/>
      <c r="I570" s="796"/>
      <c r="J570" s="100"/>
      <c r="K570" s="100"/>
      <c r="L570" s="100"/>
      <c r="M570" s="100"/>
      <c r="N570" s="100"/>
      <c r="O570" s="100"/>
      <c r="P570" s="100"/>
      <c r="Q570" s="100"/>
      <c r="R570" s="100"/>
      <c r="S570" s="100"/>
      <c r="T570" s="100"/>
      <c r="U570" s="100"/>
      <c r="V570" s="100"/>
      <c r="W570" s="100"/>
      <c r="X570" s="100"/>
      <c r="Y570" s="100"/>
      <c r="Z570" s="100"/>
      <c r="AA570" s="100"/>
      <c r="AB570" s="100"/>
      <c r="AC570" s="100"/>
      <c r="AD570" s="100"/>
      <c r="AH570">
        <f t="shared" si="440"/>
        <v>0</v>
      </c>
      <c r="AI570">
        <f t="shared" si="441"/>
        <v>0</v>
      </c>
      <c r="AJ570">
        <f t="shared" si="460"/>
        <v>0</v>
      </c>
      <c r="AK570">
        <f t="shared" si="442"/>
        <v>0</v>
      </c>
      <c r="AL570">
        <f t="shared" si="443"/>
        <v>0</v>
      </c>
      <c r="AM570">
        <f t="shared" si="444"/>
        <v>0</v>
      </c>
      <c r="AN570">
        <f t="shared" si="445"/>
        <v>0</v>
      </c>
      <c r="AO570">
        <f t="shared" si="446"/>
        <v>0</v>
      </c>
      <c r="AP570">
        <f t="shared" si="447"/>
        <v>0</v>
      </c>
      <c r="AQ570">
        <f t="shared" si="448"/>
        <v>0</v>
      </c>
      <c r="AR570">
        <f t="shared" si="449"/>
        <v>0</v>
      </c>
      <c r="AS570">
        <f t="shared" si="450"/>
        <v>0</v>
      </c>
      <c r="AT570">
        <f t="shared" si="451"/>
        <v>0</v>
      </c>
      <c r="AU570">
        <f t="shared" si="452"/>
        <v>0</v>
      </c>
      <c r="AV570">
        <f t="shared" si="453"/>
        <v>0</v>
      </c>
      <c r="AW570">
        <f t="shared" si="454"/>
        <v>0</v>
      </c>
      <c r="AX570">
        <f t="shared" si="455"/>
        <v>0</v>
      </c>
      <c r="AY570">
        <f t="shared" si="456"/>
        <v>0</v>
      </c>
      <c r="AZ570">
        <f t="shared" si="457"/>
        <v>0</v>
      </c>
      <c r="BA570">
        <f t="shared" si="458"/>
        <v>0</v>
      </c>
      <c r="BB570">
        <f t="shared" si="459"/>
        <v>0</v>
      </c>
      <c r="BC570" cm="1">
        <f t="array" ref="BC570">IF(OR(J570={"NS","NA"},$S394={"NS","NA"}),0,IF(J570&lt;=$S394,0,1))</f>
        <v>0</v>
      </c>
      <c r="BD570" cm="1">
        <f t="array" ref="BD570">IF(OR(K570={"NS","NA"},$T394={"NS","NA"}),0,IF(K570&lt;=$T394,0,1))</f>
        <v>0</v>
      </c>
      <c r="BE570" cm="1">
        <f t="array" ref="BE570">IF(OR(L570={"NS","NA"},$U394={"NS","NA"}),0,IF(L570&lt;=$U394,0,1))</f>
        <v>0</v>
      </c>
      <c r="BF570" cm="1">
        <f t="array" ref="BF570">IF(OR(M570={"NS","NA"},$S394={"NS","NA"}),0,IF(M570&lt;=$S394,0,1))</f>
        <v>0</v>
      </c>
      <c r="BG570" cm="1">
        <f t="array" ref="BG570">IF(OR(N570={"NS","NA"},$T394={"NS","NA"}),0,IF(N570&lt;=$T394,0,1))</f>
        <v>0</v>
      </c>
      <c r="BH570" cm="1">
        <f t="array" ref="BH570">IF(OR(O570={"NS","NA"},$U394={"NS","NA"}),0,IF(O570&lt;=$U394,0,1))</f>
        <v>0</v>
      </c>
      <c r="BI570" cm="1">
        <f t="array" ref="BI570">IF(OR(P570={"NS","NA"},$S394={"NS","NA"}),0,IF(P570&lt;=$S394,0,1))</f>
        <v>0</v>
      </c>
      <c r="BJ570" cm="1">
        <f t="array" ref="BJ570">IF(OR(Q570={"NS","NA"},$T394={"NS","NA"}),0,IF(Q570&lt;=$T394,0,1))</f>
        <v>0</v>
      </c>
      <c r="BK570" cm="1">
        <f t="array" ref="BK570">IF(OR(R570={"NS","NA"},$U394={"NS","NA"}),0,IF(R570&lt;=$U394,0,1))</f>
        <v>0</v>
      </c>
      <c r="BL570" cm="1">
        <f t="array" ref="BL570">IF(OR(S570={"NS","NA"},$S394={"NS","NA"}),0,IF(S570&lt;=$S394,0,1))</f>
        <v>0</v>
      </c>
      <c r="BM570" cm="1">
        <f t="array" ref="BM570">IF(OR(T570={"NS","NA"},$T394={"NS","NA"}),0,IF(T570&lt;=$T394,0,1))</f>
        <v>0</v>
      </c>
      <c r="BN570" cm="1">
        <f t="array" ref="BN570">IF(OR(U570={"NS","NA"},$U394={"NS","NA"}),0,IF(U570&lt;=$U394,0,1))</f>
        <v>0</v>
      </c>
      <c r="BO570" cm="1">
        <f t="array" ref="BO570">IF(OR(V570={"NS","NA"},$S394={"NS","NA"}),0,IF(V570&lt;=$S394,0,1))</f>
        <v>0</v>
      </c>
      <c r="BP570" cm="1">
        <f t="array" ref="BP570">IF(OR(W570={"NS","NA"},$T394={"NS","NA"}),0,IF(W570&lt;=$T394,0,1))</f>
        <v>0</v>
      </c>
      <c r="BQ570" cm="1">
        <f t="array" ref="BQ570">IF(OR(X570={"NS","NA"},$U394={"NS","NA"}),0,IF(X570&lt;=$U394,0,1))</f>
        <v>0</v>
      </c>
      <c r="BR570" cm="1">
        <f t="array" ref="BR570">IF(OR(Y570={"NS","NA"},$S394={"NS","NA"}),0,IF(Y570&lt;=$S394,0,1))</f>
        <v>0</v>
      </c>
      <c r="BS570" cm="1">
        <f t="array" ref="BS570">IF(OR(Z570={"NS","NA"},$T394={"NS","NA"}),0,IF(Z570&lt;=$T394,0,1))</f>
        <v>0</v>
      </c>
      <c r="BT570" cm="1">
        <f t="array" ref="BT570">IF(OR(AA570={"NS","NA"},$U394={"NS","NA"}),0,IF(AA570&lt;=$U394,0,1))</f>
        <v>0</v>
      </c>
      <c r="BU570" cm="1">
        <f t="array" ref="BU570">IF(OR(AB570={"NS","NA"},$S394={"NS","NA"}),0,IF(AB570&lt;=$S394,0,1))</f>
        <v>0</v>
      </c>
      <c r="BV570" cm="1">
        <f t="array" ref="BV570">IF(OR(AC570={"NS","NA"},$T394={"NS","NA"}),0,IF(AC570&lt;=$T394,0,1))</f>
        <v>0</v>
      </c>
      <c r="BW570" cm="1">
        <f t="array" ref="BW570">IF(OR(AD570={"NS","NA"},$U394={"NS","NA"}),0,IF(AD570&lt;=$U394,0,1))</f>
        <v>0</v>
      </c>
    </row>
    <row r="571" spans="1:75">
      <c r="A571" s="119"/>
      <c r="B571" s="211"/>
      <c r="C571" s="143" t="s">
        <v>2520</v>
      </c>
      <c r="D571" s="796" t="str">
        <f>IF(CNSIPEE_2024_M2_Secc1!D46="","",CNSIPEE_2024_M2_Secc1!D46)</f>
        <v/>
      </c>
      <c r="E571" s="796"/>
      <c r="F571" s="796"/>
      <c r="G571" s="796"/>
      <c r="H571" s="796"/>
      <c r="I571" s="796"/>
      <c r="J571" s="100"/>
      <c r="K571" s="100"/>
      <c r="L571" s="100"/>
      <c r="M571" s="100"/>
      <c r="N571" s="100"/>
      <c r="O571" s="100"/>
      <c r="P571" s="100"/>
      <c r="Q571" s="100"/>
      <c r="R571" s="100"/>
      <c r="S571" s="100"/>
      <c r="T571" s="100"/>
      <c r="U571" s="100"/>
      <c r="V571" s="100"/>
      <c r="W571" s="100"/>
      <c r="X571" s="100"/>
      <c r="Y571" s="100"/>
      <c r="Z571" s="100"/>
      <c r="AA571" s="100"/>
      <c r="AB571" s="100"/>
      <c r="AC571" s="100"/>
      <c r="AD571" s="100"/>
      <c r="AH571">
        <f t="shared" si="440"/>
        <v>0</v>
      </c>
      <c r="AI571">
        <f t="shared" si="441"/>
        <v>0</v>
      </c>
      <c r="AJ571">
        <f t="shared" si="460"/>
        <v>0</v>
      </c>
      <c r="AK571">
        <f t="shared" si="442"/>
        <v>0</v>
      </c>
      <c r="AL571">
        <f t="shared" si="443"/>
        <v>0</v>
      </c>
      <c r="AM571">
        <f t="shared" si="444"/>
        <v>0</v>
      </c>
      <c r="AN571">
        <f t="shared" si="445"/>
        <v>0</v>
      </c>
      <c r="AO571">
        <f t="shared" si="446"/>
        <v>0</v>
      </c>
      <c r="AP571">
        <f t="shared" si="447"/>
        <v>0</v>
      </c>
      <c r="AQ571">
        <f t="shared" si="448"/>
        <v>0</v>
      </c>
      <c r="AR571">
        <f t="shared" si="449"/>
        <v>0</v>
      </c>
      <c r="AS571">
        <f t="shared" si="450"/>
        <v>0</v>
      </c>
      <c r="AT571">
        <f t="shared" si="451"/>
        <v>0</v>
      </c>
      <c r="AU571">
        <f t="shared" si="452"/>
        <v>0</v>
      </c>
      <c r="AV571">
        <f t="shared" si="453"/>
        <v>0</v>
      </c>
      <c r="AW571">
        <f t="shared" si="454"/>
        <v>0</v>
      </c>
      <c r="AX571">
        <f t="shared" si="455"/>
        <v>0</v>
      </c>
      <c r="AY571">
        <f t="shared" si="456"/>
        <v>0</v>
      </c>
      <c r="AZ571">
        <f t="shared" si="457"/>
        <v>0</v>
      </c>
      <c r="BA571">
        <f t="shared" si="458"/>
        <v>0</v>
      </c>
      <c r="BB571">
        <f t="shared" si="459"/>
        <v>0</v>
      </c>
      <c r="BC571" cm="1">
        <f t="array" ref="BC571">IF(OR(J571={"NS","NA"},$S395={"NS","NA"}),0,IF(J571&lt;=$S395,0,1))</f>
        <v>0</v>
      </c>
      <c r="BD571" cm="1">
        <f t="array" ref="BD571">IF(OR(K571={"NS","NA"},$T395={"NS","NA"}),0,IF(K571&lt;=$T395,0,1))</f>
        <v>0</v>
      </c>
      <c r="BE571" cm="1">
        <f t="array" ref="BE571">IF(OR(L571={"NS","NA"},$U395={"NS","NA"}),0,IF(L571&lt;=$U395,0,1))</f>
        <v>0</v>
      </c>
      <c r="BF571" cm="1">
        <f t="array" ref="BF571">IF(OR(M571={"NS","NA"},$S395={"NS","NA"}),0,IF(M571&lt;=$S395,0,1))</f>
        <v>0</v>
      </c>
      <c r="BG571" cm="1">
        <f t="array" ref="BG571">IF(OR(N571={"NS","NA"},$T395={"NS","NA"}),0,IF(N571&lt;=$T395,0,1))</f>
        <v>0</v>
      </c>
      <c r="BH571" cm="1">
        <f t="array" ref="BH571">IF(OR(O571={"NS","NA"},$U395={"NS","NA"}),0,IF(O571&lt;=$U395,0,1))</f>
        <v>0</v>
      </c>
      <c r="BI571" cm="1">
        <f t="array" ref="BI571">IF(OR(P571={"NS","NA"},$S395={"NS","NA"}),0,IF(P571&lt;=$S395,0,1))</f>
        <v>0</v>
      </c>
      <c r="BJ571" cm="1">
        <f t="array" ref="BJ571">IF(OR(Q571={"NS","NA"},$T395={"NS","NA"}),0,IF(Q571&lt;=$T395,0,1))</f>
        <v>0</v>
      </c>
      <c r="BK571" cm="1">
        <f t="array" ref="BK571">IF(OR(R571={"NS","NA"},$U395={"NS","NA"}),0,IF(R571&lt;=$U395,0,1))</f>
        <v>0</v>
      </c>
      <c r="BL571" cm="1">
        <f t="array" ref="BL571">IF(OR(S571={"NS","NA"},$S395={"NS","NA"}),0,IF(S571&lt;=$S395,0,1))</f>
        <v>0</v>
      </c>
      <c r="BM571" cm="1">
        <f t="array" ref="BM571">IF(OR(T571={"NS","NA"},$T395={"NS","NA"}),0,IF(T571&lt;=$T395,0,1))</f>
        <v>0</v>
      </c>
      <c r="BN571" cm="1">
        <f t="array" ref="BN571">IF(OR(U571={"NS","NA"},$U395={"NS","NA"}),0,IF(U571&lt;=$U395,0,1))</f>
        <v>0</v>
      </c>
      <c r="BO571" cm="1">
        <f t="array" ref="BO571">IF(OR(V571={"NS","NA"},$S395={"NS","NA"}),0,IF(V571&lt;=$S395,0,1))</f>
        <v>0</v>
      </c>
      <c r="BP571" cm="1">
        <f t="array" ref="BP571">IF(OR(W571={"NS","NA"},$T395={"NS","NA"}),0,IF(W571&lt;=$T395,0,1))</f>
        <v>0</v>
      </c>
      <c r="BQ571" cm="1">
        <f t="array" ref="BQ571">IF(OR(X571={"NS","NA"},$U395={"NS","NA"}),0,IF(X571&lt;=$U395,0,1))</f>
        <v>0</v>
      </c>
      <c r="BR571" cm="1">
        <f t="array" ref="BR571">IF(OR(Y571={"NS","NA"},$S395={"NS","NA"}),0,IF(Y571&lt;=$S395,0,1))</f>
        <v>0</v>
      </c>
      <c r="BS571" cm="1">
        <f t="array" ref="BS571">IF(OR(Z571={"NS","NA"},$T395={"NS","NA"}),0,IF(Z571&lt;=$T395,0,1))</f>
        <v>0</v>
      </c>
      <c r="BT571" cm="1">
        <f t="array" ref="BT571">IF(OR(AA571={"NS","NA"},$U395={"NS","NA"}),0,IF(AA571&lt;=$U395,0,1))</f>
        <v>0</v>
      </c>
      <c r="BU571" cm="1">
        <f t="array" ref="BU571">IF(OR(AB571={"NS","NA"},$S395={"NS","NA"}),0,IF(AB571&lt;=$S395,0,1))</f>
        <v>0</v>
      </c>
      <c r="BV571" cm="1">
        <f t="array" ref="BV571">IF(OR(AC571={"NS","NA"},$T395={"NS","NA"}),0,IF(AC571&lt;=$T395,0,1))</f>
        <v>0</v>
      </c>
      <c r="BW571" cm="1">
        <f t="array" ref="BW571">IF(OR(AD571={"NS","NA"},$U395={"NS","NA"}),0,IF(AD571&lt;=$U395,0,1))</f>
        <v>0</v>
      </c>
    </row>
    <row r="572" spans="1:75">
      <c r="A572" s="119"/>
      <c r="B572" s="211"/>
      <c r="C572" s="143" t="s">
        <v>2521</v>
      </c>
      <c r="D572" s="796" t="str">
        <f>IF(CNSIPEE_2024_M2_Secc1!D47="","",CNSIPEE_2024_M2_Secc1!D47)</f>
        <v/>
      </c>
      <c r="E572" s="796"/>
      <c r="F572" s="796"/>
      <c r="G572" s="796"/>
      <c r="H572" s="796"/>
      <c r="I572" s="796"/>
      <c r="J572" s="100"/>
      <c r="K572" s="100"/>
      <c r="L572" s="100"/>
      <c r="M572" s="100"/>
      <c r="N572" s="100"/>
      <c r="O572" s="100"/>
      <c r="P572" s="100"/>
      <c r="Q572" s="100"/>
      <c r="R572" s="100"/>
      <c r="S572" s="100"/>
      <c r="T572" s="100"/>
      <c r="U572" s="100"/>
      <c r="V572" s="100"/>
      <c r="W572" s="100"/>
      <c r="X572" s="100"/>
      <c r="Y572" s="100"/>
      <c r="Z572" s="100"/>
      <c r="AA572" s="100"/>
      <c r="AB572" s="100"/>
      <c r="AC572" s="100"/>
      <c r="AD572" s="100"/>
      <c r="AH572">
        <f t="shared" si="440"/>
        <v>0</v>
      </c>
      <c r="AI572">
        <f t="shared" si="441"/>
        <v>0</v>
      </c>
      <c r="AJ572">
        <f t="shared" si="460"/>
        <v>0</v>
      </c>
      <c r="AK572">
        <f t="shared" si="442"/>
        <v>0</v>
      </c>
      <c r="AL572">
        <f t="shared" si="443"/>
        <v>0</v>
      </c>
      <c r="AM572">
        <f t="shared" si="444"/>
        <v>0</v>
      </c>
      <c r="AN572">
        <f t="shared" si="445"/>
        <v>0</v>
      </c>
      <c r="AO572">
        <f t="shared" si="446"/>
        <v>0</v>
      </c>
      <c r="AP572">
        <f t="shared" si="447"/>
        <v>0</v>
      </c>
      <c r="AQ572">
        <f t="shared" si="448"/>
        <v>0</v>
      </c>
      <c r="AR572">
        <f t="shared" si="449"/>
        <v>0</v>
      </c>
      <c r="AS572">
        <f t="shared" si="450"/>
        <v>0</v>
      </c>
      <c r="AT572">
        <f t="shared" si="451"/>
        <v>0</v>
      </c>
      <c r="AU572">
        <f t="shared" si="452"/>
        <v>0</v>
      </c>
      <c r="AV572">
        <f t="shared" si="453"/>
        <v>0</v>
      </c>
      <c r="AW572">
        <f t="shared" si="454"/>
        <v>0</v>
      </c>
      <c r="AX572">
        <f t="shared" si="455"/>
        <v>0</v>
      </c>
      <c r="AY572">
        <f t="shared" si="456"/>
        <v>0</v>
      </c>
      <c r="AZ572">
        <f t="shared" si="457"/>
        <v>0</v>
      </c>
      <c r="BA572">
        <f t="shared" si="458"/>
        <v>0</v>
      </c>
      <c r="BB572">
        <f t="shared" si="459"/>
        <v>0</v>
      </c>
      <c r="BC572" cm="1">
        <f t="array" ref="BC572">IF(OR(J572={"NS","NA"},$S396={"NS","NA"}),0,IF(J572&lt;=$S396,0,1))</f>
        <v>0</v>
      </c>
      <c r="BD572" cm="1">
        <f t="array" ref="BD572">IF(OR(K572={"NS","NA"},$T396={"NS","NA"}),0,IF(K572&lt;=$T396,0,1))</f>
        <v>0</v>
      </c>
      <c r="BE572" cm="1">
        <f t="array" ref="BE572">IF(OR(L572={"NS","NA"},$U396={"NS","NA"}),0,IF(L572&lt;=$U396,0,1))</f>
        <v>0</v>
      </c>
      <c r="BF572" cm="1">
        <f t="array" ref="BF572">IF(OR(M572={"NS","NA"},$S396={"NS","NA"}),0,IF(M572&lt;=$S396,0,1))</f>
        <v>0</v>
      </c>
      <c r="BG572" cm="1">
        <f t="array" ref="BG572">IF(OR(N572={"NS","NA"},$T396={"NS","NA"}),0,IF(N572&lt;=$T396,0,1))</f>
        <v>0</v>
      </c>
      <c r="BH572" cm="1">
        <f t="array" ref="BH572">IF(OR(O572={"NS","NA"},$U396={"NS","NA"}),0,IF(O572&lt;=$U396,0,1))</f>
        <v>0</v>
      </c>
      <c r="BI572" cm="1">
        <f t="array" ref="BI572">IF(OR(P572={"NS","NA"},$S396={"NS","NA"}),0,IF(P572&lt;=$S396,0,1))</f>
        <v>0</v>
      </c>
      <c r="BJ572" cm="1">
        <f t="array" ref="BJ572">IF(OR(Q572={"NS","NA"},$T396={"NS","NA"}),0,IF(Q572&lt;=$T396,0,1))</f>
        <v>0</v>
      </c>
      <c r="BK572" cm="1">
        <f t="array" ref="BK572">IF(OR(R572={"NS","NA"},$U396={"NS","NA"}),0,IF(R572&lt;=$U396,0,1))</f>
        <v>0</v>
      </c>
      <c r="BL572" cm="1">
        <f t="array" ref="BL572">IF(OR(S572={"NS","NA"},$S396={"NS","NA"}),0,IF(S572&lt;=$S396,0,1))</f>
        <v>0</v>
      </c>
      <c r="BM572" cm="1">
        <f t="array" ref="BM572">IF(OR(T572={"NS","NA"},$T396={"NS","NA"}),0,IF(T572&lt;=$T396,0,1))</f>
        <v>0</v>
      </c>
      <c r="BN572" cm="1">
        <f t="array" ref="BN572">IF(OR(U572={"NS","NA"},$U396={"NS","NA"}),0,IF(U572&lt;=$U396,0,1))</f>
        <v>0</v>
      </c>
      <c r="BO572" cm="1">
        <f t="array" ref="BO572">IF(OR(V572={"NS","NA"},$S396={"NS","NA"}),0,IF(V572&lt;=$S396,0,1))</f>
        <v>0</v>
      </c>
      <c r="BP572" cm="1">
        <f t="array" ref="BP572">IF(OR(W572={"NS","NA"},$T396={"NS","NA"}),0,IF(W572&lt;=$T396,0,1))</f>
        <v>0</v>
      </c>
      <c r="BQ572" cm="1">
        <f t="array" ref="BQ572">IF(OR(X572={"NS","NA"},$U396={"NS","NA"}),0,IF(X572&lt;=$U396,0,1))</f>
        <v>0</v>
      </c>
      <c r="BR572" cm="1">
        <f t="array" ref="BR572">IF(OR(Y572={"NS","NA"},$S396={"NS","NA"}),0,IF(Y572&lt;=$S396,0,1))</f>
        <v>0</v>
      </c>
      <c r="BS572" cm="1">
        <f t="array" ref="BS572">IF(OR(Z572={"NS","NA"},$T396={"NS","NA"}),0,IF(Z572&lt;=$T396,0,1))</f>
        <v>0</v>
      </c>
      <c r="BT572" cm="1">
        <f t="array" ref="BT572">IF(OR(AA572={"NS","NA"},$U396={"NS","NA"}),0,IF(AA572&lt;=$U396,0,1))</f>
        <v>0</v>
      </c>
      <c r="BU572" cm="1">
        <f t="array" ref="BU572">IF(OR(AB572={"NS","NA"},$S396={"NS","NA"}),0,IF(AB572&lt;=$S396,0,1))</f>
        <v>0</v>
      </c>
      <c r="BV572" cm="1">
        <f t="array" ref="BV572">IF(OR(AC572={"NS","NA"},$T396={"NS","NA"}),0,IF(AC572&lt;=$T396,0,1))</f>
        <v>0</v>
      </c>
      <c r="BW572" cm="1">
        <f t="array" ref="BW572">IF(OR(AD572={"NS","NA"},$U396={"NS","NA"}),0,IF(AD572&lt;=$U396,0,1))</f>
        <v>0</v>
      </c>
    </row>
    <row r="573" spans="1:75">
      <c r="A573" s="119"/>
      <c r="B573" s="211"/>
      <c r="C573" s="143" t="s">
        <v>2522</v>
      </c>
      <c r="D573" s="796" t="str">
        <f>IF(CNSIPEE_2024_M2_Secc1!D48="","",CNSIPEE_2024_M2_Secc1!D48)</f>
        <v/>
      </c>
      <c r="E573" s="796"/>
      <c r="F573" s="796"/>
      <c r="G573" s="796"/>
      <c r="H573" s="796"/>
      <c r="I573" s="796"/>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H573">
        <f t="shared" si="440"/>
        <v>0</v>
      </c>
      <c r="AI573">
        <f t="shared" si="441"/>
        <v>0</v>
      </c>
      <c r="AJ573">
        <f t="shared" si="460"/>
        <v>0</v>
      </c>
      <c r="AK573">
        <f t="shared" si="442"/>
        <v>0</v>
      </c>
      <c r="AL573">
        <f t="shared" si="443"/>
        <v>0</v>
      </c>
      <c r="AM573">
        <f t="shared" si="444"/>
        <v>0</v>
      </c>
      <c r="AN573">
        <f t="shared" si="445"/>
        <v>0</v>
      </c>
      <c r="AO573">
        <f t="shared" si="446"/>
        <v>0</v>
      </c>
      <c r="AP573">
        <f t="shared" si="447"/>
        <v>0</v>
      </c>
      <c r="AQ573">
        <f t="shared" si="448"/>
        <v>0</v>
      </c>
      <c r="AR573">
        <f t="shared" si="449"/>
        <v>0</v>
      </c>
      <c r="AS573">
        <f t="shared" si="450"/>
        <v>0</v>
      </c>
      <c r="AT573">
        <f t="shared" si="451"/>
        <v>0</v>
      </c>
      <c r="AU573">
        <f t="shared" si="452"/>
        <v>0</v>
      </c>
      <c r="AV573">
        <f t="shared" si="453"/>
        <v>0</v>
      </c>
      <c r="AW573">
        <f t="shared" si="454"/>
        <v>0</v>
      </c>
      <c r="AX573">
        <f t="shared" si="455"/>
        <v>0</v>
      </c>
      <c r="AY573">
        <f t="shared" si="456"/>
        <v>0</v>
      </c>
      <c r="AZ573">
        <f t="shared" si="457"/>
        <v>0</v>
      </c>
      <c r="BA573">
        <f t="shared" si="458"/>
        <v>0</v>
      </c>
      <c r="BB573">
        <f t="shared" si="459"/>
        <v>0</v>
      </c>
      <c r="BC573" cm="1">
        <f t="array" ref="BC573">IF(OR(J573={"NS","NA"},$S397={"NS","NA"}),0,IF(J573&lt;=$S397,0,1))</f>
        <v>0</v>
      </c>
      <c r="BD573" cm="1">
        <f t="array" ref="BD573">IF(OR(K573={"NS","NA"},$T397={"NS","NA"}),0,IF(K573&lt;=$T397,0,1))</f>
        <v>0</v>
      </c>
      <c r="BE573" cm="1">
        <f t="array" ref="BE573">IF(OR(L573={"NS","NA"},$U397={"NS","NA"}),0,IF(L573&lt;=$U397,0,1))</f>
        <v>0</v>
      </c>
      <c r="BF573" cm="1">
        <f t="array" ref="BF573">IF(OR(M573={"NS","NA"},$S397={"NS","NA"}),0,IF(M573&lt;=$S397,0,1))</f>
        <v>0</v>
      </c>
      <c r="BG573" cm="1">
        <f t="array" ref="BG573">IF(OR(N573={"NS","NA"},$T397={"NS","NA"}),0,IF(N573&lt;=$T397,0,1))</f>
        <v>0</v>
      </c>
      <c r="BH573" cm="1">
        <f t="array" ref="BH573">IF(OR(O573={"NS","NA"},$U397={"NS","NA"}),0,IF(O573&lt;=$U397,0,1))</f>
        <v>0</v>
      </c>
      <c r="BI573" cm="1">
        <f t="array" ref="BI573">IF(OR(P573={"NS","NA"},$S397={"NS","NA"}),0,IF(P573&lt;=$S397,0,1))</f>
        <v>0</v>
      </c>
      <c r="BJ573" cm="1">
        <f t="array" ref="BJ573">IF(OR(Q573={"NS","NA"},$T397={"NS","NA"}),0,IF(Q573&lt;=$T397,0,1))</f>
        <v>0</v>
      </c>
      <c r="BK573" cm="1">
        <f t="array" ref="BK573">IF(OR(R573={"NS","NA"},$U397={"NS","NA"}),0,IF(R573&lt;=$U397,0,1))</f>
        <v>0</v>
      </c>
      <c r="BL573" cm="1">
        <f t="array" ref="BL573">IF(OR(S573={"NS","NA"},$S397={"NS","NA"}),0,IF(S573&lt;=$S397,0,1))</f>
        <v>0</v>
      </c>
      <c r="BM573" cm="1">
        <f t="array" ref="BM573">IF(OR(T573={"NS","NA"},$T397={"NS","NA"}),0,IF(T573&lt;=$T397,0,1))</f>
        <v>0</v>
      </c>
      <c r="BN573" cm="1">
        <f t="array" ref="BN573">IF(OR(U573={"NS","NA"},$U397={"NS","NA"}),0,IF(U573&lt;=$U397,0,1))</f>
        <v>0</v>
      </c>
      <c r="BO573" cm="1">
        <f t="array" ref="BO573">IF(OR(V573={"NS","NA"},$S397={"NS","NA"}),0,IF(V573&lt;=$S397,0,1))</f>
        <v>0</v>
      </c>
      <c r="BP573" cm="1">
        <f t="array" ref="BP573">IF(OR(W573={"NS","NA"},$T397={"NS","NA"}),0,IF(W573&lt;=$T397,0,1))</f>
        <v>0</v>
      </c>
      <c r="BQ573" cm="1">
        <f t="array" ref="BQ573">IF(OR(X573={"NS","NA"},$U397={"NS","NA"}),0,IF(X573&lt;=$U397,0,1))</f>
        <v>0</v>
      </c>
      <c r="BR573" cm="1">
        <f t="array" ref="BR573">IF(OR(Y573={"NS","NA"},$S397={"NS","NA"}),0,IF(Y573&lt;=$S397,0,1))</f>
        <v>0</v>
      </c>
      <c r="BS573" cm="1">
        <f t="array" ref="BS573">IF(OR(Z573={"NS","NA"},$T397={"NS","NA"}),0,IF(Z573&lt;=$T397,0,1))</f>
        <v>0</v>
      </c>
      <c r="BT573" cm="1">
        <f t="array" ref="BT573">IF(OR(AA573={"NS","NA"},$U397={"NS","NA"}),0,IF(AA573&lt;=$U397,0,1))</f>
        <v>0</v>
      </c>
      <c r="BU573" cm="1">
        <f t="array" ref="BU573">IF(OR(AB573={"NS","NA"},$S397={"NS","NA"}),0,IF(AB573&lt;=$S397,0,1))</f>
        <v>0</v>
      </c>
      <c r="BV573" cm="1">
        <f t="array" ref="BV573">IF(OR(AC573={"NS","NA"},$T397={"NS","NA"}),0,IF(AC573&lt;=$T397,0,1))</f>
        <v>0</v>
      </c>
      <c r="BW573" cm="1">
        <f t="array" ref="BW573">IF(OR(AD573={"NS","NA"},$U397={"NS","NA"}),0,IF(AD573&lt;=$U397,0,1))</f>
        <v>0</v>
      </c>
    </row>
    <row r="574" spans="1:75">
      <c r="A574" s="119"/>
      <c r="B574" s="211"/>
      <c r="C574" s="143" t="s">
        <v>2523</v>
      </c>
      <c r="D574" s="796" t="str">
        <f>IF(CNSIPEE_2024_M2_Secc1!D49="","",CNSIPEE_2024_M2_Secc1!D49)</f>
        <v/>
      </c>
      <c r="E574" s="796"/>
      <c r="F574" s="796"/>
      <c r="G574" s="796"/>
      <c r="H574" s="796"/>
      <c r="I574" s="796"/>
      <c r="J574" s="100"/>
      <c r="K574" s="100"/>
      <c r="L574" s="100"/>
      <c r="M574" s="100"/>
      <c r="N574" s="100"/>
      <c r="O574" s="100"/>
      <c r="P574" s="100"/>
      <c r="Q574" s="100"/>
      <c r="R574" s="100"/>
      <c r="S574" s="100"/>
      <c r="T574" s="100"/>
      <c r="U574" s="100"/>
      <c r="V574" s="100"/>
      <c r="W574" s="100"/>
      <c r="X574" s="100"/>
      <c r="Y574" s="100"/>
      <c r="Z574" s="100"/>
      <c r="AA574" s="100"/>
      <c r="AB574" s="100"/>
      <c r="AC574" s="100"/>
      <c r="AD574" s="100"/>
      <c r="AH574">
        <f t="shared" si="440"/>
        <v>0</v>
      </c>
      <c r="AI574">
        <f t="shared" si="441"/>
        <v>0</v>
      </c>
      <c r="AJ574">
        <f t="shared" si="460"/>
        <v>0</v>
      </c>
      <c r="AK574">
        <f t="shared" si="442"/>
        <v>0</v>
      </c>
      <c r="AL574">
        <f t="shared" si="443"/>
        <v>0</v>
      </c>
      <c r="AM574">
        <f t="shared" si="444"/>
        <v>0</v>
      </c>
      <c r="AN574">
        <f t="shared" si="445"/>
        <v>0</v>
      </c>
      <c r="AO574">
        <f t="shared" si="446"/>
        <v>0</v>
      </c>
      <c r="AP574">
        <f t="shared" si="447"/>
        <v>0</v>
      </c>
      <c r="AQ574">
        <f t="shared" si="448"/>
        <v>0</v>
      </c>
      <c r="AR574">
        <f t="shared" si="449"/>
        <v>0</v>
      </c>
      <c r="AS574">
        <f t="shared" si="450"/>
        <v>0</v>
      </c>
      <c r="AT574">
        <f t="shared" si="451"/>
        <v>0</v>
      </c>
      <c r="AU574">
        <f t="shared" si="452"/>
        <v>0</v>
      </c>
      <c r="AV574">
        <f t="shared" si="453"/>
        <v>0</v>
      </c>
      <c r="AW574">
        <f t="shared" si="454"/>
        <v>0</v>
      </c>
      <c r="AX574">
        <f t="shared" si="455"/>
        <v>0</v>
      </c>
      <c r="AY574">
        <f t="shared" si="456"/>
        <v>0</v>
      </c>
      <c r="AZ574">
        <f t="shared" si="457"/>
        <v>0</v>
      </c>
      <c r="BA574">
        <f t="shared" si="458"/>
        <v>0</v>
      </c>
      <c r="BB574">
        <f t="shared" si="459"/>
        <v>0</v>
      </c>
      <c r="BC574" cm="1">
        <f t="array" ref="BC574">IF(OR(J574={"NS","NA"},$S398={"NS","NA"}),0,IF(J574&lt;=$S398,0,1))</f>
        <v>0</v>
      </c>
      <c r="BD574" cm="1">
        <f t="array" ref="BD574">IF(OR(K574={"NS","NA"},$T398={"NS","NA"}),0,IF(K574&lt;=$T398,0,1))</f>
        <v>0</v>
      </c>
      <c r="BE574" cm="1">
        <f t="array" ref="BE574">IF(OR(L574={"NS","NA"},$U398={"NS","NA"}),0,IF(L574&lt;=$U398,0,1))</f>
        <v>0</v>
      </c>
      <c r="BF574" cm="1">
        <f t="array" ref="BF574">IF(OR(M574={"NS","NA"},$S398={"NS","NA"}),0,IF(M574&lt;=$S398,0,1))</f>
        <v>0</v>
      </c>
      <c r="BG574" cm="1">
        <f t="array" ref="BG574">IF(OR(N574={"NS","NA"},$T398={"NS","NA"}),0,IF(N574&lt;=$T398,0,1))</f>
        <v>0</v>
      </c>
      <c r="BH574" cm="1">
        <f t="array" ref="BH574">IF(OR(O574={"NS","NA"},$U398={"NS","NA"}),0,IF(O574&lt;=$U398,0,1))</f>
        <v>0</v>
      </c>
      <c r="BI574" cm="1">
        <f t="array" ref="BI574">IF(OR(P574={"NS","NA"},$S398={"NS","NA"}),0,IF(P574&lt;=$S398,0,1))</f>
        <v>0</v>
      </c>
      <c r="BJ574" cm="1">
        <f t="array" ref="BJ574">IF(OR(Q574={"NS","NA"},$T398={"NS","NA"}),0,IF(Q574&lt;=$T398,0,1))</f>
        <v>0</v>
      </c>
      <c r="BK574" cm="1">
        <f t="array" ref="BK574">IF(OR(R574={"NS","NA"},$U398={"NS","NA"}),0,IF(R574&lt;=$U398,0,1))</f>
        <v>0</v>
      </c>
      <c r="BL574" cm="1">
        <f t="array" ref="BL574">IF(OR(S574={"NS","NA"},$S398={"NS","NA"}),0,IF(S574&lt;=$S398,0,1))</f>
        <v>0</v>
      </c>
      <c r="BM574" cm="1">
        <f t="array" ref="BM574">IF(OR(T574={"NS","NA"},$T398={"NS","NA"}),0,IF(T574&lt;=$T398,0,1))</f>
        <v>0</v>
      </c>
      <c r="BN574" cm="1">
        <f t="array" ref="BN574">IF(OR(U574={"NS","NA"},$U398={"NS","NA"}),0,IF(U574&lt;=$U398,0,1))</f>
        <v>0</v>
      </c>
      <c r="BO574" cm="1">
        <f t="array" ref="BO574">IF(OR(V574={"NS","NA"},$S398={"NS","NA"}),0,IF(V574&lt;=$S398,0,1))</f>
        <v>0</v>
      </c>
      <c r="BP574" cm="1">
        <f t="array" ref="BP574">IF(OR(W574={"NS","NA"},$T398={"NS","NA"}),0,IF(W574&lt;=$T398,0,1))</f>
        <v>0</v>
      </c>
      <c r="BQ574" cm="1">
        <f t="array" ref="BQ574">IF(OR(X574={"NS","NA"},$U398={"NS","NA"}),0,IF(X574&lt;=$U398,0,1))</f>
        <v>0</v>
      </c>
      <c r="BR574" cm="1">
        <f t="array" ref="BR574">IF(OR(Y574={"NS","NA"},$S398={"NS","NA"}),0,IF(Y574&lt;=$S398,0,1))</f>
        <v>0</v>
      </c>
      <c r="BS574" cm="1">
        <f t="array" ref="BS574">IF(OR(Z574={"NS","NA"},$T398={"NS","NA"}),0,IF(Z574&lt;=$T398,0,1))</f>
        <v>0</v>
      </c>
      <c r="BT574" cm="1">
        <f t="array" ref="BT574">IF(OR(AA574={"NS","NA"},$U398={"NS","NA"}),0,IF(AA574&lt;=$U398,0,1))</f>
        <v>0</v>
      </c>
      <c r="BU574" cm="1">
        <f t="array" ref="BU574">IF(OR(AB574={"NS","NA"},$S398={"NS","NA"}),0,IF(AB574&lt;=$S398,0,1))</f>
        <v>0</v>
      </c>
      <c r="BV574" cm="1">
        <f t="array" ref="BV574">IF(OR(AC574={"NS","NA"},$T398={"NS","NA"}),0,IF(AC574&lt;=$T398,0,1))</f>
        <v>0</v>
      </c>
      <c r="BW574" cm="1">
        <f t="array" ref="BW574">IF(OR(AD574={"NS","NA"},$U398={"NS","NA"}),0,IF(AD574&lt;=$U398,0,1))</f>
        <v>0</v>
      </c>
    </row>
    <row r="575" spans="1:75">
      <c r="A575" s="119"/>
      <c r="B575" s="211"/>
      <c r="C575" s="57"/>
      <c r="D575" s="57"/>
      <c r="E575" s="57"/>
      <c r="F575" s="57"/>
      <c r="G575" s="57"/>
      <c r="I575" s="57"/>
      <c r="J575" s="124">
        <f t="shared" ref="J575:AD575" si="461">IF(AND(SUM(J567:J574)=0,COUNTIF(J567:J574,"NS")&gt;0),"NS",IF(AND(SUM(J567:J574)=0,COUNTIF(J567:J574,0)&gt;0),0,IF(AND(SUM(J567:J574)=0,COUNTIF(J567:J574,"NA")&gt;0),"NA",SUM(J567:J574))))</f>
        <v>0</v>
      </c>
      <c r="K575" s="124">
        <f t="shared" si="461"/>
        <v>0</v>
      </c>
      <c r="L575" s="124">
        <f t="shared" si="461"/>
        <v>0</v>
      </c>
      <c r="M575" s="124">
        <f t="shared" si="461"/>
        <v>0</v>
      </c>
      <c r="N575" s="124">
        <f t="shared" si="461"/>
        <v>0</v>
      </c>
      <c r="O575" s="124">
        <f t="shared" si="461"/>
        <v>0</v>
      </c>
      <c r="P575" s="124">
        <f t="shared" si="461"/>
        <v>0</v>
      </c>
      <c r="Q575" s="124">
        <f t="shared" si="461"/>
        <v>0</v>
      </c>
      <c r="R575" s="124">
        <f t="shared" si="461"/>
        <v>0</v>
      </c>
      <c r="S575" s="124">
        <f t="shared" si="461"/>
        <v>0</v>
      </c>
      <c r="T575" s="124">
        <f t="shared" si="461"/>
        <v>0</v>
      </c>
      <c r="U575" s="124">
        <f t="shared" si="461"/>
        <v>0</v>
      </c>
      <c r="V575" s="124">
        <f t="shared" si="461"/>
        <v>0</v>
      </c>
      <c r="W575" s="124">
        <f t="shared" si="461"/>
        <v>0</v>
      </c>
      <c r="X575" s="124">
        <f t="shared" si="461"/>
        <v>0</v>
      </c>
      <c r="Y575" s="124">
        <f t="shared" si="461"/>
        <v>0</v>
      </c>
      <c r="Z575" s="124">
        <f t="shared" si="461"/>
        <v>0</v>
      </c>
      <c r="AA575" s="124">
        <f t="shared" si="461"/>
        <v>0</v>
      </c>
      <c r="AB575" s="124">
        <f t="shared" si="461"/>
        <v>0</v>
      </c>
      <c r="AC575" s="124">
        <f t="shared" si="461"/>
        <v>0</v>
      </c>
      <c r="AD575" s="124">
        <f t="shared" si="461"/>
        <v>0</v>
      </c>
      <c r="AH575">
        <f>SUM(AH567:AH574)</f>
        <v>0</v>
      </c>
      <c r="AJ575">
        <f>SUM(AJ567:AJ574)</f>
        <v>0</v>
      </c>
      <c r="AK575">
        <f>SUM(AK567:AK574)</f>
        <v>0</v>
      </c>
      <c r="AM575">
        <f>SUM(AM567:AM574)</f>
        <v>0</v>
      </c>
      <c r="AN575">
        <f>SUM(AN567:AN574)</f>
        <v>0</v>
      </c>
      <c r="AP575">
        <f>SUM(AP567:AP574)</f>
        <v>0</v>
      </c>
      <c r="AQ575">
        <f>SUM(AQ567:AQ574)</f>
        <v>0</v>
      </c>
      <c r="AS575">
        <f>SUM(AS567:AS574)</f>
        <v>0</v>
      </c>
      <c r="AT575">
        <f>SUM(AT567:AT574)</f>
        <v>0</v>
      </c>
      <c r="AV575">
        <f>SUM(AV567:AV574)</f>
        <v>0</v>
      </c>
      <c r="AW575">
        <f>SUM(AW567:AW574)</f>
        <v>0</v>
      </c>
      <c r="AY575">
        <f>SUM(AY567:AY574)</f>
        <v>0</v>
      </c>
      <c r="AZ575">
        <f>SUM(AZ567:AZ574)</f>
        <v>0</v>
      </c>
      <c r="BB575">
        <f>SUM(BB567:BB574)</f>
        <v>0</v>
      </c>
      <c r="BT575"/>
      <c r="BW575" s="693">
        <f>SUM(BC567:BW574)</f>
        <v>0</v>
      </c>
    </row>
    <row r="576" spans="1:75">
      <c r="A576" s="142"/>
      <c r="B576" s="57"/>
      <c r="C576" s="57"/>
      <c r="D576" s="57"/>
      <c r="E576" s="57"/>
      <c r="F576" s="57"/>
      <c r="G576" s="57"/>
      <c r="H576" s="57"/>
      <c r="I576" s="57"/>
      <c r="J576" s="57"/>
      <c r="K576" s="57"/>
      <c r="L576" s="57"/>
      <c r="M576" s="57"/>
      <c r="N576" s="57"/>
      <c r="O576" s="57"/>
      <c r="P576" s="57"/>
      <c r="Q576" s="57"/>
      <c r="R576" s="57"/>
      <c r="S576" s="57"/>
      <c r="T576" s="57"/>
      <c r="U576" s="57"/>
      <c r="V576" s="57"/>
      <c r="W576" s="57"/>
      <c r="X576" s="57"/>
      <c r="Y576" s="57"/>
      <c r="Z576" s="57"/>
      <c r="AA576" s="57"/>
      <c r="AB576" s="57"/>
      <c r="AC576" s="57"/>
      <c r="AD576" s="57"/>
      <c r="AK576" t="s">
        <v>2650</v>
      </c>
      <c r="AL576" s="405">
        <f>SUM(AJ575,AM575,AP575,AS575,AV575,AY575,BB575)</f>
        <v>0</v>
      </c>
      <c r="AM576" t="s">
        <v>2651</v>
      </c>
      <c r="AN576">
        <f>SUM(AK575,AN575,AQ575,AT575,AW575,AZ575)</f>
        <v>0</v>
      </c>
    </row>
    <row r="577" spans="1:75">
      <c r="A577" s="119"/>
      <c r="B577" s="211"/>
      <c r="C577" s="57"/>
      <c r="D577" s="57"/>
      <c r="E577" s="57"/>
      <c r="F577" s="57"/>
      <c r="G577" s="57"/>
      <c r="H577" s="57"/>
      <c r="I577" s="57"/>
      <c r="J577" s="57"/>
      <c r="K577" s="57"/>
      <c r="L577" s="57"/>
      <c r="M577" s="57"/>
      <c r="N577" s="57"/>
      <c r="O577" s="57"/>
      <c r="P577" s="57"/>
      <c r="Q577" s="57"/>
      <c r="R577" s="57"/>
      <c r="S577" s="57"/>
      <c r="T577" s="57"/>
      <c r="U577" s="57"/>
      <c r="V577" s="57"/>
      <c r="W577" s="57"/>
      <c r="X577" s="57"/>
      <c r="Y577" s="57"/>
      <c r="Z577" s="57"/>
      <c r="AA577" s="875" t="s">
        <v>3240</v>
      </c>
      <c r="AB577" s="875"/>
      <c r="AC577" s="875"/>
      <c r="AD577" s="875"/>
      <c r="AK577" t="s">
        <v>2652</v>
      </c>
      <c r="AL577">
        <f>IF(AN576&gt;0,IF(SUM(M575)&gt;=SUM(P575,S575,V575,Y575,AB575),0,1),IF(SUM(M575)&lt;&gt;SUM(P575,S575,V575,Y575,AB575),1,0))</f>
        <v>0</v>
      </c>
      <c r="AM577" t="s">
        <v>2653</v>
      </c>
      <c r="AN577">
        <f>IF(AN576&gt;0,IF(SUM(N575)&gt;=SUM(Q575,T575,W575,Z575,AC575),0,1),IF(SUM(N575)&lt;&gt;SUM(Q575,T575,W575,Z575,AC575),1,0))</f>
        <v>0</v>
      </c>
      <c r="AO577" t="s">
        <v>2654</v>
      </c>
      <c r="AP577">
        <f>IF(AN576&gt;0,IF(SUM(O575)&gt;=SUM(R575,U575,X575,AA575,AD575),0,1),IF(SUM(O575)&lt;&gt;SUM(R575,U575,X575,AA575,AD575),1,0))</f>
        <v>0</v>
      </c>
    </row>
    <row r="578" spans="1:75" ht="36" customHeight="1">
      <c r="A578" s="119"/>
      <c r="B578" s="211"/>
      <c r="C578" s="797" t="s">
        <v>2581</v>
      </c>
      <c r="D578" s="798"/>
      <c r="E578" s="798"/>
      <c r="F578" s="798"/>
      <c r="G578" s="798"/>
      <c r="H578" s="798"/>
      <c r="I578" s="799"/>
      <c r="J578" s="739" t="s">
        <v>5968</v>
      </c>
      <c r="K578" s="740"/>
      <c r="L578" s="740"/>
      <c r="M578" s="740"/>
      <c r="N578" s="740"/>
      <c r="O578" s="740"/>
      <c r="P578" s="740"/>
      <c r="Q578" s="740"/>
      <c r="R578" s="740"/>
      <c r="S578" s="740"/>
      <c r="T578" s="740"/>
      <c r="U578" s="740"/>
      <c r="V578" s="740"/>
      <c r="W578" s="740"/>
      <c r="X578" s="740"/>
      <c r="Y578" s="740"/>
      <c r="Z578" s="740"/>
      <c r="AA578" s="740"/>
      <c r="AB578" s="740"/>
      <c r="AC578" s="740"/>
      <c r="AD578" s="741"/>
    </row>
    <row r="579" spans="1:75" ht="120" customHeight="1">
      <c r="A579" s="119"/>
      <c r="B579" s="211"/>
      <c r="C579" s="800"/>
      <c r="D579" s="801"/>
      <c r="E579" s="801"/>
      <c r="F579" s="801"/>
      <c r="G579" s="801"/>
      <c r="H579" s="801"/>
      <c r="I579" s="802"/>
      <c r="J579" s="845" t="s">
        <v>5393</v>
      </c>
      <c r="K579" s="952"/>
      <c r="L579" s="846"/>
      <c r="M579" s="845" t="s">
        <v>5969</v>
      </c>
      <c r="N579" s="952"/>
      <c r="O579" s="846"/>
      <c r="P579" s="845" t="s">
        <v>5395</v>
      </c>
      <c r="Q579" s="952"/>
      <c r="R579" s="846"/>
      <c r="S579" s="845" t="s">
        <v>5396</v>
      </c>
      <c r="T579" s="952"/>
      <c r="U579" s="846"/>
      <c r="V579" s="845" t="s">
        <v>5397</v>
      </c>
      <c r="W579" s="952"/>
      <c r="X579" s="846"/>
      <c r="Y579" s="845" t="s">
        <v>5398</v>
      </c>
      <c r="Z579" s="952"/>
      <c r="AA579" s="846"/>
      <c r="AB579" s="845" t="s">
        <v>2990</v>
      </c>
      <c r="AC579" s="952"/>
      <c r="AD579" s="846"/>
    </row>
    <row r="580" spans="1:75" ht="48" customHeight="1">
      <c r="A580" s="50"/>
      <c r="B580" s="38"/>
      <c r="C580" s="803"/>
      <c r="D580" s="804"/>
      <c r="E580" s="804"/>
      <c r="F580" s="804"/>
      <c r="G580" s="804"/>
      <c r="H580" s="804"/>
      <c r="I580" s="805"/>
      <c r="J580" s="127" t="s">
        <v>2635</v>
      </c>
      <c r="K580" s="128" t="s">
        <v>2629</v>
      </c>
      <c r="L580" s="128" t="s">
        <v>2630</v>
      </c>
      <c r="M580" s="127" t="s">
        <v>2635</v>
      </c>
      <c r="N580" s="128" t="s">
        <v>2629</v>
      </c>
      <c r="O580" s="128" t="s">
        <v>2630</v>
      </c>
      <c r="P580" s="127" t="s">
        <v>2635</v>
      </c>
      <c r="Q580" s="128" t="s">
        <v>2629</v>
      </c>
      <c r="R580" s="128" t="s">
        <v>2630</v>
      </c>
      <c r="S580" s="127" t="s">
        <v>2635</v>
      </c>
      <c r="T580" s="128" t="s">
        <v>2629</v>
      </c>
      <c r="U580" s="128" t="s">
        <v>2630</v>
      </c>
      <c r="V580" s="127" t="s">
        <v>2635</v>
      </c>
      <c r="W580" s="128" t="s">
        <v>2629</v>
      </c>
      <c r="X580" s="128" t="s">
        <v>2630</v>
      </c>
      <c r="Y580" s="127" t="s">
        <v>2635</v>
      </c>
      <c r="Z580" s="128" t="s">
        <v>2629</v>
      </c>
      <c r="AA580" s="128" t="s">
        <v>2630</v>
      </c>
      <c r="AB580" s="127" t="s">
        <v>2635</v>
      </c>
      <c r="AC580" s="128" t="s">
        <v>2629</v>
      </c>
      <c r="AD580" s="128" t="s">
        <v>2630</v>
      </c>
      <c r="AH580" t="s">
        <v>4573</v>
      </c>
      <c r="AI580" t="s">
        <v>2638</v>
      </c>
      <c r="AJ580" t="s">
        <v>2639</v>
      </c>
      <c r="AK580" t="s">
        <v>4574</v>
      </c>
      <c r="AL580" t="s">
        <v>2641</v>
      </c>
      <c r="AM580" t="s">
        <v>2642</v>
      </c>
      <c r="AN580" t="s">
        <v>4575</v>
      </c>
      <c r="AO580" t="s">
        <v>2644</v>
      </c>
      <c r="AP580" t="s">
        <v>2645</v>
      </c>
      <c r="AQ580" t="s">
        <v>4576</v>
      </c>
      <c r="AR580" t="s">
        <v>2647</v>
      </c>
      <c r="AS580" t="s">
        <v>2648</v>
      </c>
      <c r="AT580" t="s">
        <v>5177</v>
      </c>
      <c r="AU580" t="s">
        <v>2757</v>
      </c>
      <c r="AV580" t="s">
        <v>2758</v>
      </c>
      <c r="AW580" t="s">
        <v>5194</v>
      </c>
      <c r="AX580" t="s">
        <v>2760</v>
      </c>
      <c r="AY580" t="s">
        <v>2761</v>
      </c>
      <c r="AZ580" t="s">
        <v>5195</v>
      </c>
      <c r="BA580" t="s">
        <v>2763</v>
      </c>
      <c r="BB580" t="s">
        <v>2764</v>
      </c>
      <c r="BC580" t="s">
        <v>5290</v>
      </c>
      <c r="BD580"/>
      <c r="BE580"/>
      <c r="BF580"/>
      <c r="BG580"/>
      <c r="BH580"/>
      <c r="BI580"/>
      <c r="BJ580"/>
      <c r="BK580"/>
      <c r="BL580"/>
      <c r="BM580"/>
      <c r="BN580"/>
      <c r="BO580"/>
      <c r="BP580"/>
      <c r="BQ580"/>
      <c r="BR580"/>
      <c r="BS580"/>
      <c r="BT580"/>
    </row>
    <row r="581" spans="1:75">
      <c r="A581" s="119"/>
      <c r="B581" s="211"/>
      <c r="C581" s="44" t="s">
        <v>2516</v>
      </c>
      <c r="D581" s="796" t="str">
        <f>IF(CNSIPEE_2024_M2_Secc1!D42="","",CNSIPEE_2024_M2_Secc1!D42)</f>
        <v/>
      </c>
      <c r="E581" s="796"/>
      <c r="F581" s="796"/>
      <c r="G581" s="796"/>
      <c r="H581" s="796"/>
      <c r="I581" s="796"/>
      <c r="J581" s="100"/>
      <c r="K581" s="100"/>
      <c r="L581" s="100"/>
      <c r="M581" s="100"/>
      <c r="N581" s="100"/>
      <c r="O581" s="100"/>
      <c r="P581" s="100"/>
      <c r="Q581" s="100"/>
      <c r="R581" s="100"/>
      <c r="S581" s="100"/>
      <c r="T581" s="100"/>
      <c r="U581" s="100"/>
      <c r="V581" s="100"/>
      <c r="W581" s="100"/>
      <c r="X581" s="100"/>
      <c r="Y581" s="100"/>
      <c r="Z581" s="100"/>
      <c r="AA581" s="100"/>
      <c r="AB581" s="100"/>
      <c r="AC581" s="100"/>
      <c r="AD581" s="100"/>
      <c r="AH581">
        <f t="shared" ref="AH581:AH588" si="462">COUNTIF(K581:L581,"NS")</f>
        <v>0</v>
      </c>
      <c r="AI581">
        <f t="shared" ref="AI581:AI588" si="463">SUM(K581:L581)</f>
        <v>0</v>
      </c>
      <c r="AJ581">
        <f>IF(COUNTIF(J581:L581,"NA")=3,0,IF(COUNTA(J581:L581)=0,0,IF(OR(AND(J581=0,AH581&gt;0),AND(J581="ns",AI581&gt;0),AND(J581="ns",AH581=0,AI581=0)),1,IF(OR(AND(J581&gt;0,AH581=2),AND(J581="ns",AH581=2),AND(J581="ns",AI581=0,AH581&gt;0),J581=AI581),0,1))))</f>
        <v>0</v>
      </c>
      <c r="AK581">
        <f t="shared" ref="AK581:AK588" si="464">COUNTIF(N581:O581,"NS")</f>
        <v>0</v>
      </c>
      <c r="AL581">
        <f t="shared" ref="AL581:AL588" si="465">SUM(N581:O581)</f>
        <v>0</v>
      </c>
      <c r="AM581">
        <f t="shared" ref="AM581:AM588" si="466">IF(COUNTIF(M581:O581,"NA")=3,0,IF(COUNTA(M581:O581)=0,0,IF(OR(AND(M581=0,AK581&gt;0),AND(M581="ns",AL581&gt;0),AND(M581="ns",AK581=0,AL581=0)),1,IF(OR(AND(M581&gt;0,AK581=2),AND(M581="ns",AK581=2),AND(M581="ns",AL581=0,AK581&gt;0),M581=AL581),0,1))))</f>
        <v>0</v>
      </c>
      <c r="AN581">
        <f t="shared" ref="AN581:AN588" si="467">COUNTIF(Q581:R581,"NS")</f>
        <v>0</v>
      </c>
      <c r="AO581">
        <f t="shared" ref="AO581:AO588" si="468">SUM(Q581:R581)</f>
        <v>0</v>
      </c>
      <c r="AP581">
        <f t="shared" ref="AP581:AP588" si="469">IF(COUNTIF(P581:R581,"NA")=3,0,IF(COUNTA(P581:R581)=0,0,IF(OR(AND(P581=0,AN581&gt;0),AND(P581="ns",AO581&gt;0),AND(P581="ns",AN581=0,AO581=0)),1,IF(OR(AND(P581&gt;0,AN581=2),AND(P581="ns",AN581=2),AND(P581="ns",AO581=0,AN581&gt;0),P581=AO581),0,1))))</f>
        <v>0</v>
      </c>
      <c r="AQ581">
        <f t="shared" ref="AQ581:AQ588" si="470">COUNTIF(T581:U581,"NS")</f>
        <v>0</v>
      </c>
      <c r="AR581">
        <f t="shared" ref="AR581:AR588" si="471">SUM(T581:U581)</f>
        <v>0</v>
      </c>
      <c r="AS581">
        <f t="shared" ref="AS581:AS588" si="472">IF(COUNTIF(S581:U581,"NA")=3,0,IF(COUNTA(S581:U581)=0,0,IF(OR(AND(S581=0,AQ581&gt;0),AND(S581="ns",AR581&gt;0),AND(S581="ns",AQ581=0,AR581=0)),1,IF(OR(AND(S581&gt;0,AQ581=2),AND(S581="ns",AQ581=2),AND(S581="ns",AR581=0,AQ581&gt;0),S581=AR581),0,1))))</f>
        <v>0</v>
      </c>
      <c r="AT581">
        <f t="shared" ref="AT581:AT588" si="473">COUNTIF(W581:X581,"NS")</f>
        <v>0</v>
      </c>
      <c r="AU581">
        <f t="shared" ref="AU581:AU588" si="474">SUM(W581:X581)</f>
        <v>0</v>
      </c>
      <c r="AV581">
        <f t="shared" ref="AV581:AV588" si="475">IF(COUNTIF(V581:X581,"NA")=3,0,IF(COUNTA(V581:X581)=0,0,IF(OR(AND(V581=0,AT581&gt;0),AND(V581="ns",AU581&gt;0),AND(V581="ns",AT581=0,AU581=0)),1,IF(OR(AND(V581&gt;0,AT581=2),AND(V581="ns",AT581=2),AND(V581="ns",AU581=0,AT581&gt;0),V581=AU581),0,1))))</f>
        <v>0</v>
      </c>
      <c r="AW581">
        <f t="shared" ref="AW581:AW588" si="476">COUNTIF(Z581:AA581,"NS")</f>
        <v>0</v>
      </c>
      <c r="AX581">
        <f t="shared" ref="AX581:AX588" si="477">SUM(Z581:AA581)</f>
        <v>0</v>
      </c>
      <c r="AY581">
        <f t="shared" ref="AY581:AY588" si="478">IF(COUNTIF(Y581:AA581,"NA")=3,0,IF(COUNTA(Y581:AA581)=0,0,IF(OR(AND(Y581=0,AW581&gt;0),AND(Y581="ns",AX581&gt;0),AND(Y581="ns",AW581=0,AX581=0)),1,IF(OR(AND(Y581&gt;0,AW581=2),AND(Y581="ns",AW581=2),AND(Y581="ns",AX581=0,AW581&gt;0),Y581=AX581),0,1))))</f>
        <v>0</v>
      </c>
      <c r="AZ581">
        <f t="shared" ref="AZ581:AZ588" si="479">COUNTIF(AC581:AD581,"NS")</f>
        <v>0</v>
      </c>
      <c r="BA581">
        <f t="shared" ref="BA581:BA588" si="480">SUM(AC581:AD581)</f>
        <v>0</v>
      </c>
      <c r="BB581">
        <f t="shared" ref="BB581:BB588" si="481">IF(COUNTIF(AB581:AD581,"NA")=3,0,IF(COUNTA(AB581:AD581)=0,0,IF(OR(AND(AB581=0,AZ581&gt;0),AND(AB581="ns",BA581&gt;0),AND(AB581="ns",AZ581=0,BA581=0)),1,IF(OR(AND(AB581&gt;0,AZ581=2),AND(AB581="ns",AZ581=2),AND(AB581="ns",BA581=0,AZ581&gt;0),AB581=BA581),0,1))))</f>
        <v>0</v>
      </c>
      <c r="BC581" cm="1">
        <f t="array" ref="BC581">IF(OR(J581={"NS","NA"},$S391={"NS","NA"}),0,IF(J581&lt;=$S391,0,1))</f>
        <v>0</v>
      </c>
      <c r="BD581" cm="1">
        <f t="array" ref="BD581">IF(OR(K581={"NS","NA"},$T391={"NS","NA"}),0,IF(K581&lt;=$T391,0,1))</f>
        <v>0</v>
      </c>
      <c r="BE581" cm="1">
        <f t="array" ref="BE581">IF(OR(L581={"NS","NA"},$U391={"NS","NA"}),0,IF(L581&lt;=$U391,0,1))</f>
        <v>0</v>
      </c>
      <c r="BF581" cm="1">
        <f t="array" ref="BF581">IF(OR(M581={"NS","NA"},$S391={"NS","NA"}),0,IF(M581&lt;=$S391,0,1))</f>
        <v>0</v>
      </c>
      <c r="BG581" cm="1">
        <f t="array" ref="BG581">IF(OR(N581={"NS","NA"},$T391={"NS","NA"}),0,IF(N581&lt;=$T391,0,1))</f>
        <v>0</v>
      </c>
      <c r="BH581" cm="1">
        <f t="array" ref="BH581">IF(OR(O581={"NS","NA"},$U391={"NS","NA"}),0,IF(O581&lt;=$U391,0,1))</f>
        <v>0</v>
      </c>
      <c r="BI581" cm="1">
        <f t="array" ref="BI581">IF(OR(P581={"NS","NA"},$S391={"NS","NA"}),0,IF(P581&lt;=$S391,0,1))</f>
        <v>0</v>
      </c>
      <c r="BJ581" cm="1">
        <f t="array" ref="BJ581">IF(OR(Q581={"NS","NA"},$T391={"NS","NA"}),0,IF(Q581&lt;=$T391,0,1))</f>
        <v>0</v>
      </c>
      <c r="BK581" cm="1">
        <f t="array" ref="BK581">IF(OR(R581={"NS","NA"},$U391={"NS","NA"}),0,IF(R581&lt;=$U391,0,1))</f>
        <v>0</v>
      </c>
      <c r="BL581" cm="1">
        <f t="array" ref="BL581">IF(OR(S581={"NS","NA"},$S391={"NS","NA"}),0,IF(S581&lt;=$S391,0,1))</f>
        <v>0</v>
      </c>
      <c r="BM581" cm="1">
        <f t="array" ref="BM581">IF(OR(T581={"NS","NA"},$T391={"NS","NA"}),0,IF(T581&lt;=$T391,0,1))</f>
        <v>0</v>
      </c>
      <c r="BN581" cm="1">
        <f t="array" ref="BN581">IF(OR(U581={"NS","NA"},$U391={"NS","NA"}),0,IF(U581&lt;=$U391,0,1))</f>
        <v>0</v>
      </c>
      <c r="BO581" cm="1">
        <f t="array" ref="BO581">IF(OR(V581={"NS","NA"},$S391={"NS","NA"}),0,IF(V581&lt;=$S391,0,1))</f>
        <v>0</v>
      </c>
      <c r="BP581" cm="1">
        <f t="array" ref="BP581">IF(OR(W581={"NS","NA"},$T391={"NS","NA"}),0,IF(W581&lt;=$T391,0,1))</f>
        <v>0</v>
      </c>
      <c r="BQ581" cm="1">
        <f t="array" ref="BQ581">IF(OR(X581={"NS","NA"},$U391={"NS","NA"}),0,IF(X581&lt;=$U391,0,1))</f>
        <v>0</v>
      </c>
      <c r="BR581" cm="1">
        <f t="array" ref="BR581">IF(OR(Y581={"NS","NA"},$S391={"NS","NA"}),0,IF(Y581&lt;=$S391,0,1))</f>
        <v>0</v>
      </c>
      <c r="BS581" cm="1">
        <f t="array" ref="BS581">IF(OR(Z581={"NS","NA"},$T391={"NS","NA"}),0,IF(Z581&lt;=$T391,0,1))</f>
        <v>0</v>
      </c>
      <c r="BT581" cm="1">
        <f t="array" ref="BT581">IF(OR(AA581={"NS","NA"},$U391={"NS","NA"}),0,IF(AA581&lt;=$U391,0,1))</f>
        <v>0</v>
      </c>
      <c r="BU581" cm="1">
        <f t="array" ref="BU581">IF(OR(AB581={"NS","NA"},$S391={"NS","NA"}),0,IF(AB581&lt;=$S391,0,1))</f>
        <v>0</v>
      </c>
      <c r="BV581" cm="1">
        <f t="array" ref="BV581">IF(OR(AC581={"NS","NA"},$T391={"NS","NA"}),0,IF(AC581&lt;=$T391,0,1))</f>
        <v>0</v>
      </c>
      <c r="BW581" cm="1">
        <f t="array" ref="BW581">IF(OR(AD581={"NS","NA"},$U391={"NS","NA"}),0,IF(AD581&lt;=$U391,0,1))</f>
        <v>0</v>
      </c>
    </row>
    <row r="582" spans="1:75">
      <c r="A582" s="119"/>
      <c r="B582" s="211"/>
      <c r="C582" s="199" t="s">
        <v>2517</v>
      </c>
      <c r="D582" s="796" t="str">
        <f>IF(CNSIPEE_2024_M2_Secc1!D43="","",CNSIPEE_2024_M2_Secc1!D43)</f>
        <v/>
      </c>
      <c r="E582" s="796"/>
      <c r="F582" s="796"/>
      <c r="G582" s="796"/>
      <c r="H582" s="796"/>
      <c r="I582" s="796"/>
      <c r="J582" s="100"/>
      <c r="K582" s="100"/>
      <c r="L582" s="100"/>
      <c r="M582" s="100"/>
      <c r="N582" s="100"/>
      <c r="O582" s="100"/>
      <c r="P582" s="100"/>
      <c r="Q582" s="100"/>
      <c r="R582" s="100"/>
      <c r="S582" s="100"/>
      <c r="T582" s="100"/>
      <c r="U582" s="100"/>
      <c r="V582" s="100"/>
      <c r="W582" s="100"/>
      <c r="X582" s="100"/>
      <c r="Y582" s="100"/>
      <c r="Z582" s="100"/>
      <c r="AA582" s="100"/>
      <c r="AB582" s="100"/>
      <c r="AC582" s="100"/>
      <c r="AD582" s="100"/>
      <c r="AH582">
        <f t="shared" si="462"/>
        <v>0</v>
      </c>
      <c r="AI582">
        <f t="shared" si="463"/>
        <v>0</v>
      </c>
      <c r="AJ582">
        <f t="shared" ref="AJ582:AJ588" si="482">IF(COUNTIF(J582:L582,"NA")=3,0,IF(COUNTA(J582:L582)=0,0,IF(OR(AND(J582=0,AH582&gt;0),AND(J582="ns",AI582&gt;0),AND(J582="ns",AH582=0,AI582=0)),1,IF(OR(AND(J582&gt;0,AH582=2),AND(J582="ns",AH582=2),AND(J582="ns",AI582=0,AH582&gt;0),J582=AI582),0,1))))</f>
        <v>0</v>
      </c>
      <c r="AK582">
        <f t="shared" si="464"/>
        <v>0</v>
      </c>
      <c r="AL582">
        <f t="shared" si="465"/>
        <v>0</v>
      </c>
      <c r="AM582">
        <f t="shared" si="466"/>
        <v>0</v>
      </c>
      <c r="AN582">
        <f t="shared" si="467"/>
        <v>0</v>
      </c>
      <c r="AO582">
        <f t="shared" si="468"/>
        <v>0</v>
      </c>
      <c r="AP582">
        <f t="shared" si="469"/>
        <v>0</v>
      </c>
      <c r="AQ582">
        <f t="shared" si="470"/>
        <v>0</v>
      </c>
      <c r="AR582">
        <f t="shared" si="471"/>
        <v>0</v>
      </c>
      <c r="AS582">
        <f t="shared" si="472"/>
        <v>0</v>
      </c>
      <c r="AT582">
        <f t="shared" si="473"/>
        <v>0</v>
      </c>
      <c r="AU582">
        <f t="shared" si="474"/>
        <v>0</v>
      </c>
      <c r="AV582">
        <f t="shared" si="475"/>
        <v>0</v>
      </c>
      <c r="AW582">
        <f t="shared" si="476"/>
        <v>0</v>
      </c>
      <c r="AX582">
        <f t="shared" si="477"/>
        <v>0</v>
      </c>
      <c r="AY582">
        <f t="shared" si="478"/>
        <v>0</v>
      </c>
      <c r="AZ582">
        <f t="shared" si="479"/>
        <v>0</v>
      </c>
      <c r="BA582">
        <f t="shared" si="480"/>
        <v>0</v>
      </c>
      <c r="BB582">
        <f t="shared" si="481"/>
        <v>0</v>
      </c>
      <c r="BC582" cm="1">
        <f t="array" ref="BC582">IF(OR(J582={"NS","NA"},$S392={"NS","NA"}),0,IF(J582&lt;=$S392,0,1))</f>
        <v>0</v>
      </c>
      <c r="BD582" cm="1">
        <f t="array" ref="BD582">IF(OR(K582={"NS","NA"},$T392={"NS","NA"}),0,IF(K582&lt;=$T392,0,1))</f>
        <v>0</v>
      </c>
      <c r="BE582" cm="1">
        <f t="array" ref="BE582">IF(OR(L582={"NS","NA"},$U392={"NS","NA"}),0,IF(L582&lt;=$U392,0,1))</f>
        <v>0</v>
      </c>
      <c r="BF582" cm="1">
        <f t="array" ref="BF582">IF(OR(M582={"NS","NA"},$S392={"NS","NA"}),0,IF(M582&lt;=$S392,0,1))</f>
        <v>0</v>
      </c>
      <c r="BG582" cm="1">
        <f t="array" ref="BG582">IF(OR(N582={"NS","NA"},$T392={"NS","NA"}),0,IF(N582&lt;=$T392,0,1))</f>
        <v>0</v>
      </c>
      <c r="BH582" cm="1">
        <f t="array" ref="BH582">IF(OR(O582={"NS","NA"},$U392={"NS","NA"}),0,IF(O582&lt;=$U392,0,1))</f>
        <v>0</v>
      </c>
      <c r="BI582" cm="1">
        <f t="array" ref="BI582">IF(OR(P582={"NS","NA"},$S392={"NS","NA"}),0,IF(P582&lt;=$S392,0,1))</f>
        <v>0</v>
      </c>
      <c r="BJ582" cm="1">
        <f t="array" ref="BJ582">IF(OR(Q582={"NS","NA"},$T392={"NS","NA"}),0,IF(Q582&lt;=$T392,0,1))</f>
        <v>0</v>
      </c>
      <c r="BK582" cm="1">
        <f t="array" ref="BK582">IF(OR(R582={"NS","NA"},$U392={"NS","NA"}),0,IF(R582&lt;=$U392,0,1))</f>
        <v>0</v>
      </c>
      <c r="BL582" cm="1">
        <f t="array" ref="BL582">IF(OR(S582={"NS","NA"},$S392={"NS","NA"}),0,IF(S582&lt;=$S392,0,1))</f>
        <v>0</v>
      </c>
      <c r="BM582" cm="1">
        <f t="array" ref="BM582">IF(OR(T582={"NS","NA"},$T392={"NS","NA"}),0,IF(T582&lt;=$T392,0,1))</f>
        <v>0</v>
      </c>
      <c r="BN582" cm="1">
        <f t="array" ref="BN582">IF(OR(U582={"NS","NA"},$U392={"NS","NA"}),0,IF(U582&lt;=$U392,0,1))</f>
        <v>0</v>
      </c>
      <c r="BO582" cm="1">
        <f t="array" ref="BO582">IF(OR(V582={"NS","NA"},$S392={"NS","NA"}),0,IF(V582&lt;=$S392,0,1))</f>
        <v>0</v>
      </c>
      <c r="BP582" cm="1">
        <f t="array" ref="BP582">IF(OR(W582={"NS","NA"},$T392={"NS","NA"}),0,IF(W582&lt;=$T392,0,1))</f>
        <v>0</v>
      </c>
      <c r="BQ582" cm="1">
        <f t="array" ref="BQ582">IF(OR(X582={"NS","NA"},$U392={"NS","NA"}),0,IF(X582&lt;=$U392,0,1))</f>
        <v>0</v>
      </c>
      <c r="BR582" cm="1">
        <f t="array" ref="BR582">IF(OR(Y582={"NS","NA"},$S392={"NS","NA"}),0,IF(Y582&lt;=$S392,0,1))</f>
        <v>0</v>
      </c>
      <c r="BS582" cm="1">
        <f t="array" ref="BS582">IF(OR(Z582={"NS","NA"},$T392={"NS","NA"}),0,IF(Z582&lt;=$T392,0,1))</f>
        <v>0</v>
      </c>
      <c r="BT582" cm="1">
        <f t="array" ref="BT582">IF(OR(AA582={"NS","NA"},$U392={"NS","NA"}),0,IF(AA582&lt;=$U392,0,1))</f>
        <v>0</v>
      </c>
      <c r="BU582" cm="1">
        <f t="array" ref="BU582">IF(OR(AB582={"NS","NA"},$S392={"NS","NA"}),0,IF(AB582&lt;=$S392,0,1))</f>
        <v>0</v>
      </c>
      <c r="BV582" cm="1">
        <f t="array" ref="BV582">IF(OR(AC582={"NS","NA"},$T392={"NS","NA"}),0,IF(AC582&lt;=$T392,0,1))</f>
        <v>0</v>
      </c>
      <c r="BW582" cm="1">
        <f t="array" ref="BW582">IF(OR(AD582={"NS","NA"},$U392={"NS","NA"}),0,IF(AD582&lt;=$U392,0,1))</f>
        <v>0</v>
      </c>
    </row>
    <row r="583" spans="1:75">
      <c r="A583" s="119"/>
      <c r="B583" s="211"/>
      <c r="C583" s="143" t="s">
        <v>2518</v>
      </c>
      <c r="D583" s="796" t="str">
        <f>IF(CNSIPEE_2024_M2_Secc1!D44="","",CNSIPEE_2024_M2_Secc1!D44)</f>
        <v/>
      </c>
      <c r="E583" s="796"/>
      <c r="F583" s="796"/>
      <c r="G583" s="796"/>
      <c r="H583" s="796"/>
      <c r="I583" s="796"/>
      <c r="J583" s="100"/>
      <c r="K583" s="100"/>
      <c r="L583" s="100"/>
      <c r="M583" s="100"/>
      <c r="N583" s="100"/>
      <c r="O583" s="100"/>
      <c r="P583" s="100"/>
      <c r="Q583" s="100"/>
      <c r="R583" s="100"/>
      <c r="S583" s="100"/>
      <c r="T583" s="100"/>
      <c r="U583" s="100"/>
      <c r="V583" s="100"/>
      <c r="W583" s="100"/>
      <c r="X583" s="100"/>
      <c r="Y583" s="100"/>
      <c r="Z583" s="100"/>
      <c r="AA583" s="100"/>
      <c r="AB583" s="100"/>
      <c r="AC583" s="100"/>
      <c r="AD583" s="100"/>
      <c r="AH583">
        <f t="shared" si="462"/>
        <v>0</v>
      </c>
      <c r="AI583">
        <f t="shared" si="463"/>
        <v>0</v>
      </c>
      <c r="AJ583">
        <f t="shared" si="482"/>
        <v>0</v>
      </c>
      <c r="AK583">
        <f t="shared" si="464"/>
        <v>0</v>
      </c>
      <c r="AL583">
        <f t="shared" si="465"/>
        <v>0</v>
      </c>
      <c r="AM583">
        <f t="shared" si="466"/>
        <v>0</v>
      </c>
      <c r="AN583">
        <f t="shared" si="467"/>
        <v>0</v>
      </c>
      <c r="AO583">
        <f t="shared" si="468"/>
        <v>0</v>
      </c>
      <c r="AP583">
        <f t="shared" si="469"/>
        <v>0</v>
      </c>
      <c r="AQ583">
        <f t="shared" si="470"/>
        <v>0</v>
      </c>
      <c r="AR583">
        <f t="shared" si="471"/>
        <v>0</v>
      </c>
      <c r="AS583">
        <f t="shared" si="472"/>
        <v>0</v>
      </c>
      <c r="AT583">
        <f t="shared" si="473"/>
        <v>0</v>
      </c>
      <c r="AU583">
        <f t="shared" si="474"/>
        <v>0</v>
      </c>
      <c r="AV583">
        <f t="shared" si="475"/>
        <v>0</v>
      </c>
      <c r="AW583">
        <f t="shared" si="476"/>
        <v>0</v>
      </c>
      <c r="AX583">
        <f t="shared" si="477"/>
        <v>0</v>
      </c>
      <c r="AY583">
        <f t="shared" si="478"/>
        <v>0</v>
      </c>
      <c r="AZ583">
        <f t="shared" si="479"/>
        <v>0</v>
      </c>
      <c r="BA583">
        <f t="shared" si="480"/>
        <v>0</v>
      </c>
      <c r="BB583">
        <f t="shared" si="481"/>
        <v>0</v>
      </c>
      <c r="BC583" cm="1">
        <f t="array" ref="BC583">IF(OR(J583={"NS","NA"},$S393={"NS","NA"}),0,IF(J583&lt;=$S393,0,1))</f>
        <v>0</v>
      </c>
      <c r="BD583" cm="1">
        <f t="array" ref="BD583">IF(OR(K583={"NS","NA"},$T393={"NS","NA"}),0,IF(K583&lt;=$T393,0,1))</f>
        <v>0</v>
      </c>
      <c r="BE583" cm="1">
        <f t="array" ref="BE583">IF(OR(L583={"NS","NA"},$U393={"NS","NA"}),0,IF(L583&lt;=$U393,0,1))</f>
        <v>0</v>
      </c>
      <c r="BF583" cm="1">
        <f t="array" ref="BF583">IF(OR(M583={"NS","NA"},$S393={"NS","NA"}),0,IF(M583&lt;=$S393,0,1))</f>
        <v>0</v>
      </c>
      <c r="BG583" cm="1">
        <f t="array" ref="BG583">IF(OR(N583={"NS","NA"},$T393={"NS","NA"}),0,IF(N583&lt;=$T393,0,1))</f>
        <v>0</v>
      </c>
      <c r="BH583" cm="1">
        <f t="array" ref="BH583">IF(OR(O583={"NS","NA"},$U393={"NS","NA"}),0,IF(O583&lt;=$U393,0,1))</f>
        <v>0</v>
      </c>
      <c r="BI583" cm="1">
        <f t="array" ref="BI583">IF(OR(P583={"NS","NA"},$S393={"NS","NA"}),0,IF(P583&lt;=$S393,0,1))</f>
        <v>0</v>
      </c>
      <c r="BJ583" cm="1">
        <f t="array" ref="BJ583">IF(OR(Q583={"NS","NA"},$T393={"NS","NA"}),0,IF(Q583&lt;=$T393,0,1))</f>
        <v>0</v>
      </c>
      <c r="BK583" cm="1">
        <f t="array" ref="BK583">IF(OR(R583={"NS","NA"},$U393={"NS","NA"}),0,IF(R583&lt;=$U393,0,1))</f>
        <v>0</v>
      </c>
      <c r="BL583" cm="1">
        <f t="array" ref="BL583">IF(OR(S583={"NS","NA"},$S393={"NS","NA"}),0,IF(S583&lt;=$S393,0,1))</f>
        <v>0</v>
      </c>
      <c r="BM583" cm="1">
        <f t="array" ref="BM583">IF(OR(T583={"NS","NA"},$T393={"NS","NA"}),0,IF(T583&lt;=$T393,0,1))</f>
        <v>0</v>
      </c>
      <c r="BN583" cm="1">
        <f t="array" ref="BN583">IF(OR(U583={"NS","NA"},$U393={"NS","NA"}),0,IF(U583&lt;=$U393,0,1))</f>
        <v>0</v>
      </c>
      <c r="BO583" cm="1">
        <f t="array" ref="BO583">IF(OR(V583={"NS","NA"},$S393={"NS","NA"}),0,IF(V583&lt;=$S393,0,1))</f>
        <v>0</v>
      </c>
      <c r="BP583" cm="1">
        <f t="array" ref="BP583">IF(OR(W583={"NS","NA"},$T393={"NS","NA"}),0,IF(W583&lt;=$T393,0,1))</f>
        <v>0</v>
      </c>
      <c r="BQ583" cm="1">
        <f t="array" ref="BQ583">IF(OR(X583={"NS","NA"},$U393={"NS","NA"}),0,IF(X583&lt;=$U393,0,1))</f>
        <v>0</v>
      </c>
      <c r="BR583" cm="1">
        <f t="array" ref="BR583">IF(OR(Y583={"NS","NA"},$S393={"NS","NA"}),0,IF(Y583&lt;=$S393,0,1))</f>
        <v>0</v>
      </c>
      <c r="BS583" cm="1">
        <f t="array" ref="BS583">IF(OR(Z583={"NS","NA"},$T393={"NS","NA"}),0,IF(Z583&lt;=$T393,0,1))</f>
        <v>0</v>
      </c>
      <c r="BT583" cm="1">
        <f t="array" ref="BT583">IF(OR(AA583={"NS","NA"},$U393={"NS","NA"}),0,IF(AA583&lt;=$U393,0,1))</f>
        <v>0</v>
      </c>
      <c r="BU583" cm="1">
        <f t="array" ref="BU583">IF(OR(AB583={"NS","NA"},$S393={"NS","NA"}),0,IF(AB583&lt;=$S393,0,1))</f>
        <v>0</v>
      </c>
      <c r="BV583" cm="1">
        <f t="array" ref="BV583">IF(OR(AC583={"NS","NA"},$T393={"NS","NA"}),0,IF(AC583&lt;=$T393,0,1))</f>
        <v>0</v>
      </c>
      <c r="BW583" cm="1">
        <f t="array" ref="BW583">IF(OR(AD583={"NS","NA"},$U393={"NS","NA"}),0,IF(AD583&lt;=$U393,0,1))</f>
        <v>0</v>
      </c>
    </row>
    <row r="584" spans="1:75">
      <c r="A584" s="119"/>
      <c r="B584" s="211"/>
      <c r="C584" s="143" t="s">
        <v>2519</v>
      </c>
      <c r="D584" s="796" t="str">
        <f>IF(CNSIPEE_2024_M2_Secc1!D45="","",CNSIPEE_2024_M2_Secc1!D45)</f>
        <v/>
      </c>
      <c r="E584" s="796"/>
      <c r="F584" s="796"/>
      <c r="G584" s="796"/>
      <c r="H584" s="796"/>
      <c r="I584" s="796"/>
      <c r="J584" s="100"/>
      <c r="K584" s="100"/>
      <c r="L584" s="100"/>
      <c r="M584" s="100"/>
      <c r="N584" s="100"/>
      <c r="O584" s="100"/>
      <c r="P584" s="100"/>
      <c r="Q584" s="100"/>
      <c r="R584" s="100"/>
      <c r="S584" s="100"/>
      <c r="T584" s="100"/>
      <c r="U584" s="100"/>
      <c r="V584" s="100"/>
      <c r="W584" s="100"/>
      <c r="X584" s="100"/>
      <c r="Y584" s="100"/>
      <c r="Z584" s="100"/>
      <c r="AA584" s="100"/>
      <c r="AB584" s="100"/>
      <c r="AC584" s="100"/>
      <c r="AD584" s="100"/>
      <c r="AH584">
        <f t="shared" si="462"/>
        <v>0</v>
      </c>
      <c r="AI584">
        <f t="shared" si="463"/>
        <v>0</v>
      </c>
      <c r="AJ584">
        <f t="shared" si="482"/>
        <v>0</v>
      </c>
      <c r="AK584">
        <f t="shared" si="464"/>
        <v>0</v>
      </c>
      <c r="AL584">
        <f t="shared" si="465"/>
        <v>0</v>
      </c>
      <c r="AM584">
        <f t="shared" si="466"/>
        <v>0</v>
      </c>
      <c r="AN584">
        <f t="shared" si="467"/>
        <v>0</v>
      </c>
      <c r="AO584">
        <f t="shared" si="468"/>
        <v>0</v>
      </c>
      <c r="AP584">
        <f t="shared" si="469"/>
        <v>0</v>
      </c>
      <c r="AQ584">
        <f t="shared" si="470"/>
        <v>0</v>
      </c>
      <c r="AR584">
        <f t="shared" si="471"/>
        <v>0</v>
      </c>
      <c r="AS584">
        <f t="shared" si="472"/>
        <v>0</v>
      </c>
      <c r="AT584">
        <f t="shared" si="473"/>
        <v>0</v>
      </c>
      <c r="AU584">
        <f t="shared" si="474"/>
        <v>0</v>
      </c>
      <c r="AV584">
        <f t="shared" si="475"/>
        <v>0</v>
      </c>
      <c r="AW584">
        <f t="shared" si="476"/>
        <v>0</v>
      </c>
      <c r="AX584">
        <f t="shared" si="477"/>
        <v>0</v>
      </c>
      <c r="AY584">
        <f t="shared" si="478"/>
        <v>0</v>
      </c>
      <c r="AZ584">
        <f t="shared" si="479"/>
        <v>0</v>
      </c>
      <c r="BA584">
        <f t="shared" si="480"/>
        <v>0</v>
      </c>
      <c r="BB584">
        <f t="shared" si="481"/>
        <v>0</v>
      </c>
      <c r="BC584" cm="1">
        <f t="array" ref="BC584">IF(OR(J584={"NS","NA"},$S394={"NS","NA"}),0,IF(J584&lt;=$S394,0,1))</f>
        <v>0</v>
      </c>
      <c r="BD584" cm="1">
        <f t="array" ref="BD584">IF(OR(K584={"NS","NA"},$T394={"NS","NA"}),0,IF(K584&lt;=$T394,0,1))</f>
        <v>0</v>
      </c>
      <c r="BE584" cm="1">
        <f t="array" ref="BE584">IF(OR(L584={"NS","NA"},$U394={"NS","NA"}),0,IF(L584&lt;=$U394,0,1))</f>
        <v>0</v>
      </c>
      <c r="BF584" cm="1">
        <f t="array" ref="BF584">IF(OR(M584={"NS","NA"},$S394={"NS","NA"}),0,IF(M584&lt;=$S394,0,1))</f>
        <v>0</v>
      </c>
      <c r="BG584" cm="1">
        <f t="array" ref="BG584">IF(OR(N584={"NS","NA"},$T394={"NS","NA"}),0,IF(N584&lt;=$T394,0,1))</f>
        <v>0</v>
      </c>
      <c r="BH584" cm="1">
        <f t="array" ref="BH584">IF(OR(O584={"NS","NA"},$U394={"NS","NA"}),0,IF(O584&lt;=$U394,0,1))</f>
        <v>0</v>
      </c>
      <c r="BI584" cm="1">
        <f t="array" ref="BI584">IF(OR(P584={"NS","NA"},$S394={"NS","NA"}),0,IF(P584&lt;=$S394,0,1))</f>
        <v>0</v>
      </c>
      <c r="BJ584" cm="1">
        <f t="array" ref="BJ584">IF(OR(Q584={"NS","NA"},$T394={"NS","NA"}),0,IF(Q584&lt;=$T394,0,1))</f>
        <v>0</v>
      </c>
      <c r="BK584" cm="1">
        <f t="array" ref="BK584">IF(OR(R584={"NS","NA"},$U394={"NS","NA"}),0,IF(R584&lt;=$U394,0,1))</f>
        <v>0</v>
      </c>
      <c r="BL584" cm="1">
        <f t="array" ref="BL584">IF(OR(S584={"NS","NA"},$S394={"NS","NA"}),0,IF(S584&lt;=$S394,0,1))</f>
        <v>0</v>
      </c>
      <c r="BM584" cm="1">
        <f t="array" ref="BM584">IF(OR(T584={"NS","NA"},$T394={"NS","NA"}),0,IF(T584&lt;=$T394,0,1))</f>
        <v>0</v>
      </c>
      <c r="BN584" cm="1">
        <f t="array" ref="BN584">IF(OR(U584={"NS","NA"},$U394={"NS","NA"}),0,IF(U584&lt;=$U394,0,1))</f>
        <v>0</v>
      </c>
      <c r="BO584" cm="1">
        <f t="array" ref="BO584">IF(OR(V584={"NS","NA"},$S394={"NS","NA"}),0,IF(V584&lt;=$S394,0,1))</f>
        <v>0</v>
      </c>
      <c r="BP584" cm="1">
        <f t="array" ref="BP584">IF(OR(W584={"NS","NA"},$T394={"NS","NA"}),0,IF(W584&lt;=$T394,0,1))</f>
        <v>0</v>
      </c>
      <c r="BQ584" cm="1">
        <f t="array" ref="BQ584">IF(OR(X584={"NS","NA"},$U394={"NS","NA"}),0,IF(X584&lt;=$U394,0,1))</f>
        <v>0</v>
      </c>
      <c r="BR584" cm="1">
        <f t="array" ref="BR584">IF(OR(Y584={"NS","NA"},$S394={"NS","NA"}),0,IF(Y584&lt;=$S394,0,1))</f>
        <v>0</v>
      </c>
      <c r="BS584" cm="1">
        <f t="array" ref="BS584">IF(OR(Z584={"NS","NA"},$T394={"NS","NA"}),0,IF(Z584&lt;=$T394,0,1))</f>
        <v>0</v>
      </c>
      <c r="BT584" cm="1">
        <f t="array" ref="BT584">IF(OR(AA584={"NS","NA"},$U394={"NS","NA"}),0,IF(AA584&lt;=$U394,0,1))</f>
        <v>0</v>
      </c>
      <c r="BU584" cm="1">
        <f t="array" ref="BU584">IF(OR(AB584={"NS","NA"},$S394={"NS","NA"}),0,IF(AB584&lt;=$S394,0,1))</f>
        <v>0</v>
      </c>
      <c r="BV584" cm="1">
        <f t="array" ref="BV584">IF(OR(AC584={"NS","NA"},$T394={"NS","NA"}),0,IF(AC584&lt;=$T394,0,1))</f>
        <v>0</v>
      </c>
      <c r="BW584" cm="1">
        <f t="array" ref="BW584">IF(OR(AD584={"NS","NA"},$U394={"NS","NA"}),0,IF(AD584&lt;=$U394,0,1))</f>
        <v>0</v>
      </c>
    </row>
    <row r="585" spans="1:75">
      <c r="A585" s="119"/>
      <c r="B585" s="211"/>
      <c r="C585" s="143" t="s">
        <v>2520</v>
      </c>
      <c r="D585" s="796" t="str">
        <f>IF(CNSIPEE_2024_M2_Secc1!D46="","",CNSIPEE_2024_M2_Secc1!D46)</f>
        <v/>
      </c>
      <c r="E585" s="796"/>
      <c r="F585" s="796"/>
      <c r="G585" s="796"/>
      <c r="H585" s="796"/>
      <c r="I585" s="796"/>
      <c r="J585" s="100"/>
      <c r="K585" s="100"/>
      <c r="L585" s="100"/>
      <c r="M585" s="100"/>
      <c r="N585" s="100"/>
      <c r="O585" s="100"/>
      <c r="P585" s="100"/>
      <c r="Q585" s="100"/>
      <c r="R585" s="100"/>
      <c r="S585" s="100"/>
      <c r="T585" s="100"/>
      <c r="U585" s="100"/>
      <c r="V585" s="100"/>
      <c r="W585" s="100"/>
      <c r="X585" s="100"/>
      <c r="Y585" s="100"/>
      <c r="Z585" s="100"/>
      <c r="AA585" s="100"/>
      <c r="AB585" s="100"/>
      <c r="AC585" s="100"/>
      <c r="AD585" s="100"/>
      <c r="AH585">
        <f t="shared" si="462"/>
        <v>0</v>
      </c>
      <c r="AI585">
        <f t="shared" si="463"/>
        <v>0</v>
      </c>
      <c r="AJ585">
        <f t="shared" si="482"/>
        <v>0</v>
      </c>
      <c r="AK585">
        <f t="shared" si="464"/>
        <v>0</v>
      </c>
      <c r="AL585">
        <f t="shared" si="465"/>
        <v>0</v>
      </c>
      <c r="AM585">
        <f t="shared" si="466"/>
        <v>0</v>
      </c>
      <c r="AN585">
        <f t="shared" si="467"/>
        <v>0</v>
      </c>
      <c r="AO585">
        <f t="shared" si="468"/>
        <v>0</v>
      </c>
      <c r="AP585">
        <f t="shared" si="469"/>
        <v>0</v>
      </c>
      <c r="AQ585">
        <f t="shared" si="470"/>
        <v>0</v>
      </c>
      <c r="AR585">
        <f t="shared" si="471"/>
        <v>0</v>
      </c>
      <c r="AS585">
        <f t="shared" si="472"/>
        <v>0</v>
      </c>
      <c r="AT585">
        <f t="shared" si="473"/>
        <v>0</v>
      </c>
      <c r="AU585">
        <f t="shared" si="474"/>
        <v>0</v>
      </c>
      <c r="AV585">
        <f t="shared" si="475"/>
        <v>0</v>
      </c>
      <c r="AW585">
        <f t="shared" si="476"/>
        <v>0</v>
      </c>
      <c r="AX585">
        <f t="shared" si="477"/>
        <v>0</v>
      </c>
      <c r="AY585">
        <f t="shared" si="478"/>
        <v>0</v>
      </c>
      <c r="AZ585">
        <f t="shared" si="479"/>
        <v>0</v>
      </c>
      <c r="BA585">
        <f t="shared" si="480"/>
        <v>0</v>
      </c>
      <c r="BB585">
        <f t="shared" si="481"/>
        <v>0</v>
      </c>
      <c r="BC585" cm="1">
        <f t="array" ref="BC585">IF(OR(J585={"NS","NA"},$S395={"NS","NA"}),0,IF(J585&lt;=$S395,0,1))</f>
        <v>0</v>
      </c>
      <c r="BD585" cm="1">
        <f t="array" ref="BD585">IF(OR(K585={"NS","NA"},$T395={"NS","NA"}),0,IF(K585&lt;=$T395,0,1))</f>
        <v>0</v>
      </c>
      <c r="BE585" cm="1">
        <f t="array" ref="BE585">IF(OR(L585={"NS","NA"},$U395={"NS","NA"}),0,IF(L585&lt;=$U395,0,1))</f>
        <v>0</v>
      </c>
      <c r="BF585" cm="1">
        <f t="array" ref="BF585">IF(OR(M585={"NS","NA"},$S395={"NS","NA"}),0,IF(M585&lt;=$S395,0,1))</f>
        <v>0</v>
      </c>
      <c r="BG585" cm="1">
        <f t="array" ref="BG585">IF(OR(N585={"NS","NA"},$T395={"NS","NA"}),0,IF(N585&lt;=$T395,0,1))</f>
        <v>0</v>
      </c>
      <c r="BH585" cm="1">
        <f t="array" ref="BH585">IF(OR(O585={"NS","NA"},$U395={"NS","NA"}),0,IF(O585&lt;=$U395,0,1))</f>
        <v>0</v>
      </c>
      <c r="BI585" cm="1">
        <f t="array" ref="BI585">IF(OR(P585={"NS","NA"},$S395={"NS","NA"}),0,IF(P585&lt;=$S395,0,1))</f>
        <v>0</v>
      </c>
      <c r="BJ585" cm="1">
        <f t="array" ref="BJ585">IF(OR(Q585={"NS","NA"},$T395={"NS","NA"}),0,IF(Q585&lt;=$T395,0,1))</f>
        <v>0</v>
      </c>
      <c r="BK585" cm="1">
        <f t="array" ref="BK585">IF(OR(R585={"NS","NA"},$U395={"NS","NA"}),0,IF(R585&lt;=$U395,0,1))</f>
        <v>0</v>
      </c>
      <c r="BL585" cm="1">
        <f t="array" ref="BL585">IF(OR(S585={"NS","NA"},$S395={"NS","NA"}),0,IF(S585&lt;=$S395,0,1))</f>
        <v>0</v>
      </c>
      <c r="BM585" cm="1">
        <f t="array" ref="BM585">IF(OR(T585={"NS","NA"},$T395={"NS","NA"}),0,IF(T585&lt;=$T395,0,1))</f>
        <v>0</v>
      </c>
      <c r="BN585" cm="1">
        <f t="array" ref="BN585">IF(OR(U585={"NS","NA"},$U395={"NS","NA"}),0,IF(U585&lt;=$U395,0,1))</f>
        <v>0</v>
      </c>
      <c r="BO585" cm="1">
        <f t="array" ref="BO585">IF(OR(V585={"NS","NA"},$S395={"NS","NA"}),0,IF(V585&lt;=$S395,0,1))</f>
        <v>0</v>
      </c>
      <c r="BP585" cm="1">
        <f t="array" ref="BP585">IF(OR(W585={"NS","NA"},$T395={"NS","NA"}),0,IF(W585&lt;=$T395,0,1))</f>
        <v>0</v>
      </c>
      <c r="BQ585" cm="1">
        <f t="array" ref="BQ585">IF(OR(X585={"NS","NA"},$U395={"NS","NA"}),0,IF(X585&lt;=$U395,0,1))</f>
        <v>0</v>
      </c>
      <c r="BR585" cm="1">
        <f t="array" ref="BR585">IF(OR(Y585={"NS","NA"},$S395={"NS","NA"}),0,IF(Y585&lt;=$S395,0,1))</f>
        <v>0</v>
      </c>
      <c r="BS585" cm="1">
        <f t="array" ref="BS585">IF(OR(Z585={"NS","NA"},$T395={"NS","NA"}),0,IF(Z585&lt;=$T395,0,1))</f>
        <v>0</v>
      </c>
      <c r="BT585" cm="1">
        <f t="array" ref="BT585">IF(OR(AA585={"NS","NA"},$U395={"NS","NA"}),0,IF(AA585&lt;=$U395,0,1))</f>
        <v>0</v>
      </c>
      <c r="BU585" cm="1">
        <f t="array" ref="BU585">IF(OR(AB585={"NS","NA"},$S395={"NS","NA"}),0,IF(AB585&lt;=$S395,0,1))</f>
        <v>0</v>
      </c>
      <c r="BV585" cm="1">
        <f t="array" ref="BV585">IF(OR(AC585={"NS","NA"},$T395={"NS","NA"}),0,IF(AC585&lt;=$T395,0,1))</f>
        <v>0</v>
      </c>
      <c r="BW585" cm="1">
        <f t="array" ref="BW585">IF(OR(AD585={"NS","NA"},$U395={"NS","NA"}),0,IF(AD585&lt;=$U395,0,1))</f>
        <v>0</v>
      </c>
    </row>
    <row r="586" spans="1:75">
      <c r="A586" s="119"/>
      <c r="B586" s="211"/>
      <c r="C586" s="143" t="s">
        <v>2521</v>
      </c>
      <c r="D586" s="796" t="str">
        <f>IF(CNSIPEE_2024_M2_Secc1!D47="","",CNSIPEE_2024_M2_Secc1!D47)</f>
        <v/>
      </c>
      <c r="E586" s="796"/>
      <c r="F586" s="796"/>
      <c r="G586" s="796"/>
      <c r="H586" s="796"/>
      <c r="I586" s="796"/>
      <c r="J586" s="100"/>
      <c r="K586" s="100"/>
      <c r="L586" s="100"/>
      <c r="M586" s="100"/>
      <c r="N586" s="100"/>
      <c r="O586" s="100"/>
      <c r="P586" s="100"/>
      <c r="Q586" s="100"/>
      <c r="R586" s="100"/>
      <c r="S586" s="100"/>
      <c r="T586" s="100"/>
      <c r="U586" s="100"/>
      <c r="V586" s="100"/>
      <c r="W586" s="100"/>
      <c r="X586" s="100"/>
      <c r="Y586" s="100"/>
      <c r="Z586" s="100"/>
      <c r="AA586" s="100"/>
      <c r="AB586" s="100"/>
      <c r="AC586" s="100"/>
      <c r="AD586" s="100"/>
      <c r="AH586">
        <f t="shared" si="462"/>
        <v>0</v>
      </c>
      <c r="AI586">
        <f t="shared" si="463"/>
        <v>0</v>
      </c>
      <c r="AJ586">
        <f t="shared" si="482"/>
        <v>0</v>
      </c>
      <c r="AK586">
        <f t="shared" si="464"/>
        <v>0</v>
      </c>
      <c r="AL586">
        <f t="shared" si="465"/>
        <v>0</v>
      </c>
      <c r="AM586">
        <f t="shared" si="466"/>
        <v>0</v>
      </c>
      <c r="AN586">
        <f t="shared" si="467"/>
        <v>0</v>
      </c>
      <c r="AO586">
        <f t="shared" si="468"/>
        <v>0</v>
      </c>
      <c r="AP586">
        <f t="shared" si="469"/>
        <v>0</v>
      </c>
      <c r="AQ586">
        <f t="shared" si="470"/>
        <v>0</v>
      </c>
      <c r="AR586">
        <f t="shared" si="471"/>
        <v>0</v>
      </c>
      <c r="AS586">
        <f t="shared" si="472"/>
        <v>0</v>
      </c>
      <c r="AT586">
        <f t="shared" si="473"/>
        <v>0</v>
      </c>
      <c r="AU586">
        <f t="shared" si="474"/>
        <v>0</v>
      </c>
      <c r="AV586">
        <f t="shared" si="475"/>
        <v>0</v>
      </c>
      <c r="AW586">
        <f t="shared" si="476"/>
        <v>0</v>
      </c>
      <c r="AX586">
        <f t="shared" si="477"/>
        <v>0</v>
      </c>
      <c r="AY586">
        <f t="shared" si="478"/>
        <v>0</v>
      </c>
      <c r="AZ586">
        <f t="shared" si="479"/>
        <v>0</v>
      </c>
      <c r="BA586">
        <f t="shared" si="480"/>
        <v>0</v>
      </c>
      <c r="BB586">
        <f t="shared" si="481"/>
        <v>0</v>
      </c>
      <c r="BC586" cm="1">
        <f t="array" ref="BC586">IF(OR(J586={"NS","NA"},$S396={"NS","NA"}),0,IF(J586&lt;=$S396,0,1))</f>
        <v>0</v>
      </c>
      <c r="BD586" cm="1">
        <f t="array" ref="BD586">IF(OR(K586={"NS","NA"},$T396={"NS","NA"}),0,IF(K586&lt;=$T396,0,1))</f>
        <v>0</v>
      </c>
      <c r="BE586" cm="1">
        <f t="array" ref="BE586">IF(OR(L586={"NS","NA"},$U396={"NS","NA"}),0,IF(L586&lt;=$U396,0,1))</f>
        <v>0</v>
      </c>
      <c r="BF586" cm="1">
        <f t="array" ref="BF586">IF(OR(M586={"NS","NA"},$S396={"NS","NA"}),0,IF(M586&lt;=$S396,0,1))</f>
        <v>0</v>
      </c>
      <c r="BG586" cm="1">
        <f t="array" ref="BG586">IF(OR(N586={"NS","NA"},$T396={"NS","NA"}),0,IF(N586&lt;=$T396,0,1))</f>
        <v>0</v>
      </c>
      <c r="BH586" cm="1">
        <f t="array" ref="BH586">IF(OR(O586={"NS","NA"},$U396={"NS","NA"}),0,IF(O586&lt;=$U396,0,1))</f>
        <v>0</v>
      </c>
      <c r="BI586" cm="1">
        <f t="array" ref="BI586">IF(OR(P586={"NS","NA"},$S396={"NS","NA"}),0,IF(P586&lt;=$S396,0,1))</f>
        <v>0</v>
      </c>
      <c r="BJ586" cm="1">
        <f t="array" ref="BJ586">IF(OR(Q586={"NS","NA"},$T396={"NS","NA"}),0,IF(Q586&lt;=$T396,0,1))</f>
        <v>0</v>
      </c>
      <c r="BK586" cm="1">
        <f t="array" ref="BK586">IF(OR(R586={"NS","NA"},$U396={"NS","NA"}),0,IF(R586&lt;=$U396,0,1))</f>
        <v>0</v>
      </c>
      <c r="BL586" cm="1">
        <f t="array" ref="BL586">IF(OR(S586={"NS","NA"},$S396={"NS","NA"}),0,IF(S586&lt;=$S396,0,1))</f>
        <v>0</v>
      </c>
      <c r="BM586" cm="1">
        <f t="array" ref="BM586">IF(OR(T586={"NS","NA"},$T396={"NS","NA"}),0,IF(T586&lt;=$T396,0,1))</f>
        <v>0</v>
      </c>
      <c r="BN586" cm="1">
        <f t="array" ref="BN586">IF(OR(U586={"NS","NA"},$U396={"NS","NA"}),0,IF(U586&lt;=$U396,0,1))</f>
        <v>0</v>
      </c>
      <c r="BO586" cm="1">
        <f t="array" ref="BO586">IF(OR(V586={"NS","NA"},$S396={"NS","NA"}),0,IF(V586&lt;=$S396,0,1))</f>
        <v>0</v>
      </c>
      <c r="BP586" cm="1">
        <f t="array" ref="BP586">IF(OR(W586={"NS","NA"},$T396={"NS","NA"}),0,IF(W586&lt;=$T396,0,1))</f>
        <v>0</v>
      </c>
      <c r="BQ586" cm="1">
        <f t="array" ref="BQ586">IF(OR(X586={"NS","NA"},$U396={"NS","NA"}),0,IF(X586&lt;=$U396,0,1))</f>
        <v>0</v>
      </c>
      <c r="BR586" cm="1">
        <f t="array" ref="BR586">IF(OR(Y586={"NS","NA"},$S396={"NS","NA"}),0,IF(Y586&lt;=$S396,0,1))</f>
        <v>0</v>
      </c>
      <c r="BS586" cm="1">
        <f t="array" ref="BS586">IF(OR(Z586={"NS","NA"},$T396={"NS","NA"}),0,IF(Z586&lt;=$T396,0,1))</f>
        <v>0</v>
      </c>
      <c r="BT586" cm="1">
        <f t="array" ref="BT586">IF(OR(AA586={"NS","NA"},$U396={"NS","NA"}),0,IF(AA586&lt;=$U396,0,1))</f>
        <v>0</v>
      </c>
      <c r="BU586" cm="1">
        <f t="array" ref="BU586">IF(OR(AB586={"NS","NA"},$S396={"NS","NA"}),0,IF(AB586&lt;=$S396,0,1))</f>
        <v>0</v>
      </c>
      <c r="BV586" cm="1">
        <f t="array" ref="BV586">IF(OR(AC586={"NS","NA"},$T396={"NS","NA"}),0,IF(AC586&lt;=$T396,0,1))</f>
        <v>0</v>
      </c>
      <c r="BW586" cm="1">
        <f t="array" ref="BW586">IF(OR(AD586={"NS","NA"},$U396={"NS","NA"}),0,IF(AD586&lt;=$U396,0,1))</f>
        <v>0</v>
      </c>
    </row>
    <row r="587" spans="1:75">
      <c r="A587" s="119"/>
      <c r="B587" s="211"/>
      <c r="C587" s="143" t="s">
        <v>2522</v>
      </c>
      <c r="D587" s="796" t="str">
        <f>IF(CNSIPEE_2024_M2_Secc1!D48="","",CNSIPEE_2024_M2_Secc1!D48)</f>
        <v/>
      </c>
      <c r="E587" s="796"/>
      <c r="F587" s="796"/>
      <c r="G587" s="796"/>
      <c r="H587" s="796"/>
      <c r="I587" s="796"/>
      <c r="J587" s="100"/>
      <c r="K587" s="100"/>
      <c r="L587" s="100"/>
      <c r="M587" s="100"/>
      <c r="N587" s="100"/>
      <c r="O587" s="100"/>
      <c r="P587" s="100"/>
      <c r="Q587" s="100"/>
      <c r="R587" s="100"/>
      <c r="S587" s="100"/>
      <c r="T587" s="100"/>
      <c r="U587" s="100"/>
      <c r="V587" s="100"/>
      <c r="W587" s="100"/>
      <c r="X587" s="100"/>
      <c r="Y587" s="100"/>
      <c r="Z587" s="100"/>
      <c r="AA587" s="100"/>
      <c r="AB587" s="100"/>
      <c r="AC587" s="100"/>
      <c r="AD587" s="100"/>
      <c r="AH587">
        <f t="shared" si="462"/>
        <v>0</v>
      </c>
      <c r="AI587">
        <f t="shared" si="463"/>
        <v>0</v>
      </c>
      <c r="AJ587">
        <f t="shared" si="482"/>
        <v>0</v>
      </c>
      <c r="AK587">
        <f t="shared" si="464"/>
        <v>0</v>
      </c>
      <c r="AL587">
        <f t="shared" si="465"/>
        <v>0</v>
      </c>
      <c r="AM587">
        <f t="shared" si="466"/>
        <v>0</v>
      </c>
      <c r="AN587">
        <f t="shared" si="467"/>
        <v>0</v>
      </c>
      <c r="AO587">
        <f t="shared" si="468"/>
        <v>0</v>
      </c>
      <c r="AP587">
        <f t="shared" si="469"/>
        <v>0</v>
      </c>
      <c r="AQ587">
        <f t="shared" si="470"/>
        <v>0</v>
      </c>
      <c r="AR587">
        <f t="shared" si="471"/>
        <v>0</v>
      </c>
      <c r="AS587">
        <f t="shared" si="472"/>
        <v>0</v>
      </c>
      <c r="AT587">
        <f t="shared" si="473"/>
        <v>0</v>
      </c>
      <c r="AU587">
        <f t="shared" si="474"/>
        <v>0</v>
      </c>
      <c r="AV587">
        <f t="shared" si="475"/>
        <v>0</v>
      </c>
      <c r="AW587">
        <f t="shared" si="476"/>
        <v>0</v>
      </c>
      <c r="AX587">
        <f t="shared" si="477"/>
        <v>0</v>
      </c>
      <c r="AY587">
        <f t="shared" si="478"/>
        <v>0</v>
      </c>
      <c r="AZ587">
        <f t="shared" si="479"/>
        <v>0</v>
      </c>
      <c r="BA587">
        <f t="shared" si="480"/>
        <v>0</v>
      </c>
      <c r="BB587">
        <f t="shared" si="481"/>
        <v>0</v>
      </c>
      <c r="BC587" cm="1">
        <f t="array" ref="BC587">IF(OR(J587={"NS","NA"},$S397={"NS","NA"}),0,IF(J587&lt;=$S397,0,1))</f>
        <v>0</v>
      </c>
      <c r="BD587" cm="1">
        <f t="array" ref="BD587">IF(OR(K587={"NS","NA"},$T397={"NS","NA"}),0,IF(K587&lt;=$T397,0,1))</f>
        <v>0</v>
      </c>
      <c r="BE587" cm="1">
        <f t="array" ref="BE587">IF(OR(L587={"NS","NA"},$U397={"NS","NA"}),0,IF(L587&lt;=$U397,0,1))</f>
        <v>0</v>
      </c>
      <c r="BF587" cm="1">
        <f t="array" ref="BF587">IF(OR(M587={"NS","NA"},$S397={"NS","NA"}),0,IF(M587&lt;=$S397,0,1))</f>
        <v>0</v>
      </c>
      <c r="BG587" cm="1">
        <f t="array" ref="BG587">IF(OR(N587={"NS","NA"},$T397={"NS","NA"}),0,IF(N587&lt;=$T397,0,1))</f>
        <v>0</v>
      </c>
      <c r="BH587" cm="1">
        <f t="array" ref="BH587">IF(OR(O587={"NS","NA"},$U397={"NS","NA"}),0,IF(O587&lt;=$U397,0,1))</f>
        <v>0</v>
      </c>
      <c r="BI587" cm="1">
        <f t="array" ref="BI587">IF(OR(P587={"NS","NA"},$S397={"NS","NA"}),0,IF(P587&lt;=$S397,0,1))</f>
        <v>0</v>
      </c>
      <c r="BJ587" cm="1">
        <f t="array" ref="BJ587">IF(OR(Q587={"NS","NA"},$T397={"NS","NA"}),0,IF(Q587&lt;=$T397,0,1))</f>
        <v>0</v>
      </c>
      <c r="BK587" cm="1">
        <f t="array" ref="BK587">IF(OR(R587={"NS","NA"},$U397={"NS","NA"}),0,IF(R587&lt;=$U397,0,1))</f>
        <v>0</v>
      </c>
      <c r="BL587" cm="1">
        <f t="array" ref="BL587">IF(OR(S587={"NS","NA"},$S397={"NS","NA"}),0,IF(S587&lt;=$S397,0,1))</f>
        <v>0</v>
      </c>
      <c r="BM587" cm="1">
        <f t="array" ref="BM587">IF(OR(T587={"NS","NA"},$T397={"NS","NA"}),0,IF(T587&lt;=$T397,0,1))</f>
        <v>0</v>
      </c>
      <c r="BN587" cm="1">
        <f t="array" ref="BN587">IF(OR(U587={"NS","NA"},$U397={"NS","NA"}),0,IF(U587&lt;=$U397,0,1))</f>
        <v>0</v>
      </c>
      <c r="BO587" cm="1">
        <f t="array" ref="BO587">IF(OR(V587={"NS","NA"},$S397={"NS","NA"}),0,IF(V587&lt;=$S397,0,1))</f>
        <v>0</v>
      </c>
      <c r="BP587" cm="1">
        <f t="array" ref="BP587">IF(OR(W587={"NS","NA"},$T397={"NS","NA"}),0,IF(W587&lt;=$T397,0,1))</f>
        <v>0</v>
      </c>
      <c r="BQ587" cm="1">
        <f t="array" ref="BQ587">IF(OR(X587={"NS","NA"},$U397={"NS","NA"}),0,IF(X587&lt;=$U397,0,1))</f>
        <v>0</v>
      </c>
      <c r="BR587" cm="1">
        <f t="array" ref="BR587">IF(OR(Y587={"NS","NA"},$S397={"NS","NA"}),0,IF(Y587&lt;=$S397,0,1))</f>
        <v>0</v>
      </c>
      <c r="BS587" cm="1">
        <f t="array" ref="BS587">IF(OR(Z587={"NS","NA"},$T397={"NS","NA"}),0,IF(Z587&lt;=$T397,0,1))</f>
        <v>0</v>
      </c>
      <c r="BT587" cm="1">
        <f t="array" ref="BT587">IF(OR(AA587={"NS","NA"},$U397={"NS","NA"}),0,IF(AA587&lt;=$U397,0,1))</f>
        <v>0</v>
      </c>
      <c r="BU587" cm="1">
        <f t="array" ref="BU587">IF(OR(AB587={"NS","NA"},$S397={"NS","NA"}),0,IF(AB587&lt;=$S397,0,1))</f>
        <v>0</v>
      </c>
      <c r="BV587" cm="1">
        <f t="array" ref="BV587">IF(OR(AC587={"NS","NA"},$T397={"NS","NA"}),0,IF(AC587&lt;=$T397,0,1))</f>
        <v>0</v>
      </c>
      <c r="BW587" cm="1">
        <f t="array" ref="BW587">IF(OR(AD587={"NS","NA"},$U397={"NS","NA"}),0,IF(AD587&lt;=$U397,0,1))</f>
        <v>0</v>
      </c>
    </row>
    <row r="588" spans="1:75">
      <c r="A588" s="119"/>
      <c r="B588" s="211"/>
      <c r="C588" s="143" t="s">
        <v>2523</v>
      </c>
      <c r="D588" s="796" t="str">
        <f>IF(CNSIPEE_2024_M2_Secc1!D49="","",CNSIPEE_2024_M2_Secc1!D49)</f>
        <v/>
      </c>
      <c r="E588" s="796"/>
      <c r="F588" s="796"/>
      <c r="G588" s="796"/>
      <c r="H588" s="796"/>
      <c r="I588" s="796"/>
      <c r="J588" s="100"/>
      <c r="K588" s="100"/>
      <c r="L588" s="100"/>
      <c r="M588" s="100"/>
      <c r="N588" s="100"/>
      <c r="O588" s="100"/>
      <c r="P588" s="100"/>
      <c r="Q588" s="100"/>
      <c r="R588" s="100"/>
      <c r="S588" s="100"/>
      <c r="T588" s="100"/>
      <c r="U588" s="100"/>
      <c r="V588" s="100"/>
      <c r="W588" s="100"/>
      <c r="X588" s="100"/>
      <c r="Y588" s="100"/>
      <c r="Z588" s="100"/>
      <c r="AA588" s="100"/>
      <c r="AB588" s="100"/>
      <c r="AC588" s="100"/>
      <c r="AD588" s="100"/>
      <c r="AH588">
        <f t="shared" si="462"/>
        <v>0</v>
      </c>
      <c r="AI588">
        <f t="shared" si="463"/>
        <v>0</v>
      </c>
      <c r="AJ588">
        <f t="shared" si="482"/>
        <v>0</v>
      </c>
      <c r="AK588">
        <f t="shared" si="464"/>
        <v>0</v>
      </c>
      <c r="AL588">
        <f t="shared" si="465"/>
        <v>0</v>
      </c>
      <c r="AM588">
        <f t="shared" si="466"/>
        <v>0</v>
      </c>
      <c r="AN588">
        <f t="shared" si="467"/>
        <v>0</v>
      </c>
      <c r="AO588">
        <f t="shared" si="468"/>
        <v>0</v>
      </c>
      <c r="AP588">
        <f t="shared" si="469"/>
        <v>0</v>
      </c>
      <c r="AQ588">
        <f t="shared" si="470"/>
        <v>0</v>
      </c>
      <c r="AR588">
        <f t="shared" si="471"/>
        <v>0</v>
      </c>
      <c r="AS588">
        <f t="shared" si="472"/>
        <v>0</v>
      </c>
      <c r="AT588">
        <f t="shared" si="473"/>
        <v>0</v>
      </c>
      <c r="AU588">
        <f t="shared" si="474"/>
        <v>0</v>
      </c>
      <c r="AV588">
        <f t="shared" si="475"/>
        <v>0</v>
      </c>
      <c r="AW588">
        <f t="shared" si="476"/>
        <v>0</v>
      </c>
      <c r="AX588">
        <f t="shared" si="477"/>
        <v>0</v>
      </c>
      <c r="AY588">
        <f t="shared" si="478"/>
        <v>0</v>
      </c>
      <c r="AZ588">
        <f t="shared" si="479"/>
        <v>0</v>
      </c>
      <c r="BA588">
        <f t="shared" si="480"/>
        <v>0</v>
      </c>
      <c r="BB588">
        <f t="shared" si="481"/>
        <v>0</v>
      </c>
      <c r="BC588" cm="1">
        <f t="array" ref="BC588">IF(OR(J588={"NS","NA"},$S398={"NS","NA"}),0,IF(J588&lt;=$S398,0,1))</f>
        <v>0</v>
      </c>
      <c r="BD588" cm="1">
        <f t="array" ref="BD588">IF(OR(K588={"NS","NA"},$T398={"NS","NA"}),0,IF(K588&lt;=$T398,0,1))</f>
        <v>0</v>
      </c>
      <c r="BE588" cm="1">
        <f t="array" ref="BE588">IF(OR(L588={"NS","NA"},$U398={"NS","NA"}),0,IF(L588&lt;=$U398,0,1))</f>
        <v>0</v>
      </c>
      <c r="BF588" cm="1">
        <f t="array" ref="BF588">IF(OR(M588={"NS","NA"},$S398={"NS","NA"}),0,IF(M588&lt;=$S398,0,1))</f>
        <v>0</v>
      </c>
      <c r="BG588" cm="1">
        <f t="array" ref="BG588">IF(OR(N588={"NS","NA"},$T398={"NS","NA"}),0,IF(N588&lt;=$T398,0,1))</f>
        <v>0</v>
      </c>
      <c r="BH588" cm="1">
        <f t="array" ref="BH588">IF(OR(O588={"NS","NA"},$U398={"NS","NA"}),0,IF(O588&lt;=$U398,0,1))</f>
        <v>0</v>
      </c>
      <c r="BI588" cm="1">
        <f t="array" ref="BI588">IF(OR(P588={"NS","NA"},$S398={"NS","NA"}),0,IF(P588&lt;=$S398,0,1))</f>
        <v>0</v>
      </c>
      <c r="BJ588" cm="1">
        <f t="array" ref="BJ588">IF(OR(Q588={"NS","NA"},$T398={"NS","NA"}),0,IF(Q588&lt;=$T398,0,1))</f>
        <v>0</v>
      </c>
      <c r="BK588" cm="1">
        <f t="array" ref="BK588">IF(OR(R588={"NS","NA"},$U398={"NS","NA"}),0,IF(R588&lt;=$U398,0,1))</f>
        <v>0</v>
      </c>
      <c r="BL588" cm="1">
        <f t="array" ref="BL588">IF(OR(S588={"NS","NA"},$S398={"NS","NA"}),0,IF(S588&lt;=$S398,0,1))</f>
        <v>0</v>
      </c>
      <c r="BM588" cm="1">
        <f t="array" ref="BM588">IF(OR(T588={"NS","NA"},$T398={"NS","NA"}),0,IF(T588&lt;=$T398,0,1))</f>
        <v>0</v>
      </c>
      <c r="BN588" cm="1">
        <f t="array" ref="BN588">IF(OR(U588={"NS","NA"},$U398={"NS","NA"}),0,IF(U588&lt;=$U398,0,1))</f>
        <v>0</v>
      </c>
      <c r="BO588" cm="1">
        <f t="array" ref="BO588">IF(OR(V588={"NS","NA"},$S398={"NS","NA"}),0,IF(V588&lt;=$S398,0,1))</f>
        <v>0</v>
      </c>
      <c r="BP588" cm="1">
        <f t="array" ref="BP588">IF(OR(W588={"NS","NA"},$T398={"NS","NA"}),0,IF(W588&lt;=$T398,0,1))</f>
        <v>0</v>
      </c>
      <c r="BQ588" cm="1">
        <f t="array" ref="BQ588">IF(OR(X588={"NS","NA"},$U398={"NS","NA"}),0,IF(X588&lt;=$U398,0,1))</f>
        <v>0</v>
      </c>
      <c r="BR588" cm="1">
        <f t="array" ref="BR588">IF(OR(Y588={"NS","NA"},$S398={"NS","NA"}),0,IF(Y588&lt;=$S398,0,1))</f>
        <v>0</v>
      </c>
      <c r="BS588" cm="1">
        <f t="array" ref="BS588">IF(OR(Z588={"NS","NA"},$T398={"NS","NA"}),0,IF(Z588&lt;=$T398,0,1))</f>
        <v>0</v>
      </c>
      <c r="BT588" cm="1">
        <f t="array" ref="BT588">IF(OR(AA588={"NS","NA"},$U398={"NS","NA"}),0,IF(AA588&lt;=$U398,0,1))</f>
        <v>0</v>
      </c>
      <c r="BU588" cm="1">
        <f t="array" ref="BU588">IF(OR(AB588={"NS","NA"},$S398={"NS","NA"}),0,IF(AB588&lt;=$S398,0,1))</f>
        <v>0</v>
      </c>
      <c r="BV588" cm="1">
        <f t="array" ref="BV588">IF(OR(AC588={"NS","NA"},$T398={"NS","NA"}),0,IF(AC588&lt;=$T398,0,1))</f>
        <v>0</v>
      </c>
      <c r="BW588" cm="1">
        <f t="array" ref="BW588">IF(OR(AD588={"NS","NA"},$U398={"NS","NA"}),0,IF(AD588&lt;=$U398,0,1))</f>
        <v>0</v>
      </c>
    </row>
    <row r="589" spans="1:75">
      <c r="A589" s="119"/>
      <c r="B589" s="211"/>
      <c r="C589" s="57"/>
      <c r="D589" s="57"/>
      <c r="E589" s="57"/>
      <c r="F589" s="57"/>
      <c r="G589" s="57"/>
      <c r="I589" s="57"/>
      <c r="J589" s="124">
        <f t="shared" ref="J589:AD589" si="483">IF(AND(SUM(J581:J588)=0,COUNTIF(J581:J588,"NS")&gt;0),"NS",IF(AND(SUM(J581:J588)=0,COUNTIF(J581:J588,0)&gt;0),0,IF(AND(SUM(J581:J588)=0,COUNTIF(J581:J588,"NA")&gt;0),"NA",SUM(J581:J588))))</f>
        <v>0</v>
      </c>
      <c r="K589" s="124">
        <f t="shared" si="483"/>
        <v>0</v>
      </c>
      <c r="L589" s="124">
        <f t="shared" si="483"/>
        <v>0</v>
      </c>
      <c r="M589" s="124">
        <f t="shared" si="483"/>
        <v>0</v>
      </c>
      <c r="N589" s="124">
        <f t="shared" si="483"/>
        <v>0</v>
      </c>
      <c r="O589" s="124">
        <f t="shared" si="483"/>
        <v>0</v>
      </c>
      <c r="P589" s="124">
        <f t="shared" si="483"/>
        <v>0</v>
      </c>
      <c r="Q589" s="124">
        <f t="shared" si="483"/>
        <v>0</v>
      </c>
      <c r="R589" s="124">
        <f t="shared" si="483"/>
        <v>0</v>
      </c>
      <c r="S589" s="124">
        <f t="shared" si="483"/>
        <v>0</v>
      </c>
      <c r="T589" s="124">
        <f t="shared" si="483"/>
        <v>0</v>
      </c>
      <c r="U589" s="124">
        <f t="shared" si="483"/>
        <v>0</v>
      </c>
      <c r="V589" s="124">
        <f t="shared" si="483"/>
        <v>0</v>
      </c>
      <c r="W589" s="124">
        <f t="shared" si="483"/>
        <v>0</v>
      </c>
      <c r="X589" s="124">
        <f t="shared" si="483"/>
        <v>0</v>
      </c>
      <c r="Y589" s="124">
        <f t="shared" si="483"/>
        <v>0</v>
      </c>
      <c r="Z589" s="124">
        <f t="shared" si="483"/>
        <v>0</v>
      </c>
      <c r="AA589" s="124">
        <f t="shared" si="483"/>
        <v>0</v>
      </c>
      <c r="AB589" s="124">
        <f t="shared" si="483"/>
        <v>0</v>
      </c>
      <c r="AC589" s="124">
        <f t="shared" si="483"/>
        <v>0</v>
      </c>
      <c r="AD589" s="124">
        <f t="shared" si="483"/>
        <v>0</v>
      </c>
      <c r="AH589">
        <f>SUM(AH581:AH588)</f>
        <v>0</v>
      </c>
      <c r="AJ589">
        <f>SUM(AJ581:AJ588)</f>
        <v>0</v>
      </c>
      <c r="AK589">
        <f>SUM(AK581:AK588)</f>
        <v>0</v>
      </c>
      <c r="AM589">
        <f>SUM(AM581:AM588)</f>
        <v>0</v>
      </c>
      <c r="AN589">
        <f>SUM(AN581:AN588)</f>
        <v>0</v>
      </c>
      <c r="AP589">
        <f>SUM(AP581:AP588)</f>
        <v>0</v>
      </c>
      <c r="AQ589">
        <f>SUM(AQ581:AQ588)</f>
        <v>0</v>
      </c>
      <c r="AS589">
        <f>SUM(AS581:AS588)</f>
        <v>0</v>
      </c>
      <c r="AT589">
        <f>SUM(AT581:AT588)</f>
        <v>0</v>
      </c>
      <c r="AV589">
        <f>SUM(AV581:AV588)</f>
        <v>0</v>
      </c>
      <c r="AW589">
        <f>SUM(AW581:AW588)</f>
        <v>0</v>
      </c>
      <c r="AY589">
        <f>SUM(AY581:AY588)</f>
        <v>0</v>
      </c>
      <c r="AZ589">
        <f>SUM(AZ581:AZ588)</f>
        <v>0</v>
      </c>
      <c r="BB589">
        <f>SUM(BB581:BB588)</f>
        <v>0</v>
      </c>
      <c r="BT589"/>
      <c r="BW589" s="693">
        <f>SUM(BC581:BW588)</f>
        <v>0</v>
      </c>
    </row>
    <row r="590" spans="1:75">
      <c r="A590" s="142"/>
      <c r="B590" s="57"/>
      <c r="C590" s="207"/>
      <c r="D590" s="207"/>
      <c r="E590" s="207"/>
      <c r="F590" s="207"/>
      <c r="G590" s="207"/>
      <c r="H590" s="207"/>
      <c r="I590" s="207"/>
      <c r="J590" s="207"/>
      <c r="K590" s="207"/>
      <c r="L590" s="207"/>
      <c r="M590" s="207"/>
      <c r="N590" s="57"/>
      <c r="O590" s="180"/>
      <c r="P590" s="120"/>
      <c r="Q590" s="120"/>
      <c r="R590" s="120"/>
      <c r="S590" s="120"/>
      <c r="T590" s="120"/>
      <c r="U590" s="120"/>
      <c r="V590" s="120"/>
      <c r="W590" s="120"/>
      <c r="X590" s="120"/>
      <c r="Y590" s="120"/>
      <c r="Z590" s="120"/>
      <c r="AA590" s="120"/>
      <c r="AB590" s="120"/>
      <c r="AC590" s="120"/>
      <c r="AD590" s="120"/>
      <c r="AK590" t="s">
        <v>2650</v>
      </c>
      <c r="AL590" s="405">
        <f>SUM(AJ589,AM589,AP589,AS589,AV589,AY589,BB589)</f>
        <v>0</v>
      </c>
      <c r="AM590" t="s">
        <v>2651</v>
      </c>
      <c r="AN590">
        <f>SUM(AK589,AN589,AQ589,AT589,AW589,AZ589)</f>
        <v>0</v>
      </c>
      <c r="BT590"/>
      <c r="BW590" s="507">
        <f>SUM(BW589,BW575,BN561)</f>
        <v>0</v>
      </c>
    </row>
    <row r="591" spans="1:75" ht="45" customHeight="1">
      <c r="A591" s="142"/>
      <c r="B591" s="57"/>
      <c r="C591" s="822" t="s">
        <v>2798</v>
      </c>
      <c r="D591" s="822"/>
      <c r="E591" s="822"/>
      <c r="F591" s="749"/>
      <c r="G591" s="749"/>
      <c r="H591" s="749"/>
      <c r="I591" s="749"/>
      <c r="J591" s="749"/>
      <c r="K591" s="749"/>
      <c r="L591" s="749"/>
      <c r="M591" s="749"/>
      <c r="N591" s="749"/>
      <c r="O591" s="749"/>
      <c r="P591" s="749"/>
      <c r="Q591" s="749"/>
      <c r="R591" s="749"/>
      <c r="S591" s="749"/>
      <c r="T591" s="749"/>
      <c r="U591" s="749"/>
      <c r="V591" s="749"/>
      <c r="W591" s="749"/>
      <c r="X591" s="749"/>
      <c r="Y591" s="749"/>
      <c r="Z591" s="749"/>
      <c r="AA591" s="749"/>
      <c r="AB591" s="749"/>
      <c r="AC591" s="749"/>
      <c r="AD591" s="749"/>
      <c r="AK591" t="s">
        <v>2652</v>
      </c>
      <c r="AL591">
        <f>IF(AN590&gt;0,IF(SUM(M589)&gt;=SUM(P589,S589,V589,Y589,AB589),0,1),IF(SUM(M589)&lt;&gt;SUM(P589,S589,V589,Y589,AB589),1,0))</f>
        <v>0</v>
      </c>
      <c r="AM591" t="s">
        <v>2653</v>
      </c>
      <c r="AN591">
        <f>IF(AN590&gt;0,IF(SUM(N589)&gt;=SUM(Q589,T589,W589,Z589,AC589),0,1),IF(SUM(N589)&lt;&gt;SUM(Q589,T589,W589,Z589,AC589),1,0))</f>
        <v>0</v>
      </c>
      <c r="AO591" t="s">
        <v>2654</v>
      </c>
      <c r="AP591">
        <f>IF(AN590&gt;0,IF(SUM(O589)&gt;=SUM(R589,U589,X589,AA589,AD589),0,1),IF(SUM(O589)&lt;&gt;SUM(R589,U589,X589,AA589,AD589),1,0))</f>
        <v>0</v>
      </c>
    </row>
    <row r="592" spans="1:75">
      <c r="A592" s="142"/>
      <c r="B592" s="1003" t="str">
        <f>IF(AND(AB589&gt;0,AB589&lt;&gt;"NA",AB589&lt;&gt;"NS",F591=""),"Debido a que registró un número mayor a cero en el apartado Otro tipo, debe anotar el n. de dicho(s) tipo(s) de enfermedad(es)","")</f>
        <v/>
      </c>
      <c r="C592" s="1003"/>
      <c r="D592" s="1003"/>
      <c r="E592" s="1003"/>
      <c r="F592" s="1003"/>
      <c r="G592" s="1003"/>
      <c r="H592" s="1003"/>
      <c r="I592" s="1003"/>
      <c r="J592" s="1003"/>
      <c r="K592" s="1003"/>
      <c r="L592" s="1003"/>
      <c r="M592" s="1003"/>
      <c r="N592" s="1003"/>
      <c r="O592" s="1003"/>
      <c r="P592" s="1003"/>
      <c r="Q592" s="1003"/>
      <c r="R592" s="1003"/>
      <c r="S592" s="1003"/>
      <c r="T592" s="1003"/>
      <c r="U592" s="1003"/>
      <c r="V592" s="1003"/>
      <c r="W592" s="1003"/>
      <c r="X592" s="1003"/>
      <c r="Y592" s="1003"/>
      <c r="Z592" s="1003"/>
      <c r="AA592" s="1003"/>
      <c r="AB592" s="1003"/>
      <c r="AC592" s="1003"/>
      <c r="AD592" s="1003"/>
      <c r="AE592" s="1003"/>
      <c r="AK592" t="s">
        <v>5218</v>
      </c>
      <c r="AL592" s="506">
        <f>SUM(AL590,AL576,AL562)</f>
        <v>0</v>
      </c>
      <c r="AM592" t="s">
        <v>5219</v>
      </c>
      <c r="AN592">
        <f>SUM(AN590,AN576,AN562)</f>
        <v>0</v>
      </c>
    </row>
    <row r="593" spans="1:75" ht="24" customHeight="1">
      <c r="A593" s="142"/>
      <c r="B593" s="57"/>
      <c r="C593" s="754" t="s">
        <v>2611</v>
      </c>
      <c r="D593" s="754"/>
      <c r="E593" s="754"/>
      <c r="F593" s="754"/>
      <c r="G593" s="754"/>
      <c r="H593" s="754"/>
      <c r="I593" s="754"/>
      <c r="J593" s="754"/>
      <c r="K593" s="754"/>
      <c r="L593" s="754"/>
      <c r="M593" s="754"/>
      <c r="N593" s="754"/>
      <c r="O593" s="754"/>
      <c r="P593" s="754"/>
      <c r="Q593" s="754"/>
      <c r="R593" s="754"/>
      <c r="S593" s="754"/>
      <c r="T593" s="754"/>
      <c r="U593" s="754"/>
      <c r="V593" s="754"/>
      <c r="W593" s="754"/>
      <c r="X593" s="754"/>
      <c r="Y593" s="754"/>
      <c r="Z593" s="754"/>
      <c r="AA593" s="754"/>
      <c r="AB593" s="754"/>
      <c r="AC593" s="754"/>
      <c r="AD593" s="754"/>
      <c r="AK593" t="s">
        <v>5220</v>
      </c>
      <c r="AL593">
        <f>IF(AN592&gt;0,IF(SUM(J561)&gt;=SUM(M561,P561,S561,V561,Y561,AB561,M575,P575,S575,V575,Y575,AB575,M589,P589,S589,V589,Y589,AB589),0,1),IF(SUM(J561)&lt;&gt;SUM(M561,P561,S561,V561,Y561,AB561,M575,P575,S575,V575,Y575,AB575,M589,P589,S589,V589,Y589,AB589),1,0))</f>
        <v>0</v>
      </c>
      <c r="AM593" t="s">
        <v>5221</v>
      </c>
      <c r="AN593">
        <f>IF(AN592&gt;0,IF(SUM(K561)&gt;=SUM(N561,Q561,T561,W561,Z561,AC561,N575,Q575,T575,W575,Z575,AC575,N589,Q589,T589,W589,Z589,AC589),0,1),IF(SUM(K561)&lt;&gt;SUM(N561,Q561,T561,W561,Z561,AC561,N575,Q575,T575,W575,Z575,AC575,N589,Q589,T589,W589,Z589,AC589),1,0))</f>
        <v>0</v>
      </c>
      <c r="AO593" t="s">
        <v>5222</v>
      </c>
      <c r="AP593">
        <f>IF(AN592&gt;0,IF(SUM(L561)&gt;=SUM(O561,R561,U561,X561,AA561,AD561,O575,R575,U575,X575,AA575,AD575,O589,R589,U589,X589,AA589,AD589),0,1),IF(SUM(L561)&lt;&gt;SUM(O561,R561,U561,X561,AA561,AD561,O575,R575,U575,X575,AA575,AD575,O589,R589,U589,X589,AA589,AD589),1,0))</f>
        <v>0</v>
      </c>
    </row>
    <row r="594" spans="1:75" ht="60" customHeight="1">
      <c r="A594" s="142"/>
      <c r="B594" s="57"/>
      <c r="C594" s="851"/>
      <c r="D594" s="851"/>
      <c r="E594" s="851"/>
      <c r="F594" s="851"/>
      <c r="G594" s="851"/>
      <c r="H594" s="851"/>
      <c r="I594" s="851"/>
      <c r="J594" s="851"/>
      <c r="K594" s="851"/>
      <c r="L594" s="851"/>
      <c r="M594" s="851"/>
      <c r="N594" s="851"/>
      <c r="O594" s="851"/>
      <c r="P594" s="851"/>
      <c r="Q594" s="851"/>
      <c r="R594" s="851"/>
      <c r="S594" s="851"/>
      <c r="T594" s="851"/>
      <c r="U594" s="851"/>
      <c r="V594" s="851"/>
      <c r="W594" s="851"/>
      <c r="X594" s="851"/>
      <c r="Y594" s="851"/>
      <c r="Z594" s="851"/>
      <c r="AA594" s="851"/>
      <c r="AB594" s="851"/>
      <c r="AC594" s="851"/>
      <c r="AD594" s="851"/>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row>
    <row r="595" spans="1:75">
      <c r="A595" s="142"/>
      <c r="B595" s="794" t="str">
        <f>IF(AG561=0,"","Favor de ingresar toda la información requerida en la pregunta")</f>
        <v/>
      </c>
      <c r="C595" s="794"/>
      <c r="D595" s="794"/>
      <c r="E595" s="794"/>
      <c r="F595" s="794"/>
      <c r="G595" s="794"/>
      <c r="H595" s="794"/>
      <c r="I595" s="794"/>
      <c r="J595" s="794"/>
      <c r="K595" s="794"/>
      <c r="L595" s="794"/>
      <c r="M595" s="794"/>
      <c r="N595" s="794"/>
      <c r="O595" s="794"/>
      <c r="P595" s="794"/>
      <c r="Q595" s="794"/>
      <c r="R595" s="794"/>
      <c r="S595" s="794"/>
      <c r="T595" s="794"/>
      <c r="U595" s="794"/>
      <c r="V595" s="794"/>
      <c r="W595" s="794"/>
      <c r="X595" s="794"/>
      <c r="Y595" s="794"/>
      <c r="Z595" s="794"/>
      <c r="AA595" s="794"/>
      <c r="AB595" s="794"/>
      <c r="AC595" s="794"/>
      <c r="AD595" s="794"/>
      <c r="AE595" s="794"/>
    </row>
    <row r="596" spans="1:75">
      <c r="A596" s="142"/>
      <c r="B596" s="1087" t="str">
        <f>IF(SUM(COUNTIF(P553:AD560,"NS"),COUNTIF(J567:AD574,"NS"),COUNTIF(J581:AD588,"NS"))&lt;&gt;0,"Alerta: debido a que cuenta con registros NS, debe proporcionar una justificación en el area de comentarios al final de la pregunta","")</f>
        <v/>
      </c>
      <c r="C596" s="1087"/>
      <c r="D596" s="1087"/>
      <c r="E596" s="1087"/>
      <c r="F596" s="1087"/>
      <c r="G596" s="1087"/>
      <c r="H596" s="1087"/>
      <c r="I596" s="1087"/>
      <c r="J596" s="1087"/>
      <c r="K596" s="1087"/>
      <c r="L596" s="1087"/>
      <c r="M596" s="1087"/>
      <c r="N596" s="1087"/>
      <c r="O596" s="1087"/>
      <c r="P596" s="1087"/>
      <c r="Q596" s="1087"/>
      <c r="R596" s="1087"/>
      <c r="S596" s="1087"/>
      <c r="T596" s="1087"/>
      <c r="U596" s="1087"/>
      <c r="V596" s="1087"/>
      <c r="W596" s="1087"/>
      <c r="X596" s="1087"/>
      <c r="Y596" s="1087"/>
      <c r="Z596" s="1087"/>
      <c r="AA596" s="1087"/>
      <c r="AB596" s="1087"/>
      <c r="AC596" s="1087"/>
      <c r="AD596" s="1087"/>
      <c r="AE596" s="1087"/>
    </row>
    <row r="597" spans="1:75">
      <c r="A597" s="142"/>
      <c r="B597" s="1003" t="str">
        <f>IF(AH561&gt;0,"Revise la información capturada, ya que tiene datos ingresados en celdas que están sombreadas","")</f>
        <v/>
      </c>
      <c r="C597" s="1003"/>
      <c r="D597" s="1003"/>
      <c r="E597" s="1003"/>
      <c r="F597" s="1003"/>
      <c r="G597" s="1003"/>
      <c r="H597" s="1003"/>
      <c r="I597" s="1003"/>
      <c r="J597" s="1003"/>
      <c r="K597" s="1003"/>
      <c r="L597" s="1003"/>
      <c r="M597" s="1003"/>
      <c r="N597" s="1003"/>
      <c r="O597" s="1003"/>
      <c r="P597" s="1003"/>
      <c r="Q597" s="1003"/>
      <c r="R597" s="1003"/>
      <c r="S597" s="1003"/>
      <c r="T597" s="1003"/>
      <c r="U597" s="1003"/>
      <c r="V597" s="1003"/>
      <c r="W597" s="1003"/>
      <c r="X597" s="1003"/>
      <c r="Y597" s="1003"/>
      <c r="Z597" s="1003"/>
      <c r="AA597" s="1003"/>
      <c r="AB597" s="1003"/>
      <c r="AC597" s="1003"/>
      <c r="AD597" s="1003"/>
      <c r="AE597" s="1003"/>
    </row>
    <row r="598" spans="1:75">
      <c r="A598" s="142"/>
      <c r="B598" s="1003" t="str">
        <f>IF(AL592&gt;0,"Favor de revisar la suma y consistencia de totales y/o subtotales por filas (numéricos y NS)","")</f>
        <v/>
      </c>
      <c r="C598" s="1003"/>
      <c r="D598" s="1003"/>
      <c r="E598" s="1003"/>
      <c r="F598" s="1003"/>
      <c r="G598" s="1003"/>
      <c r="H598" s="1003"/>
      <c r="I598" s="1003"/>
      <c r="J598" s="1003"/>
      <c r="K598" s="1003"/>
      <c r="L598" s="1003"/>
      <c r="M598" s="1003"/>
      <c r="N598" s="1003"/>
      <c r="O598" s="1003"/>
      <c r="P598" s="1003"/>
      <c r="Q598" s="1003"/>
      <c r="R598" s="1003"/>
      <c r="S598" s="1003"/>
      <c r="T598" s="1003"/>
      <c r="U598" s="1003"/>
      <c r="V598" s="1003"/>
      <c r="W598" s="1003"/>
      <c r="X598" s="1003"/>
      <c r="Y598" s="1003"/>
      <c r="Z598" s="1003"/>
      <c r="AA598" s="1003"/>
      <c r="AB598" s="1003"/>
      <c r="AC598" s="1003"/>
      <c r="AD598" s="1003"/>
      <c r="AE598" s="1003"/>
    </row>
    <row r="599" spans="1:75">
      <c r="A599" s="142"/>
      <c r="B599" s="794" t="str">
        <f>IF(BB561&gt;0,"Favor de revisar la instrucción 2, debido a que no se cumplen con los criterios mencionados","")</f>
        <v/>
      </c>
      <c r="C599" s="794"/>
      <c r="D599" s="794"/>
      <c r="E599" s="794"/>
      <c r="F599" s="794"/>
      <c r="G599" s="794"/>
      <c r="H599" s="794"/>
      <c r="I599" s="794"/>
      <c r="J599" s="794"/>
      <c r="K599" s="794"/>
      <c r="L599" s="794"/>
      <c r="M599" s="794"/>
      <c r="N599" s="794"/>
      <c r="O599" s="794"/>
      <c r="P599" s="794"/>
      <c r="Q599" s="794"/>
      <c r="R599" s="794"/>
      <c r="S599" s="794"/>
      <c r="T599" s="794"/>
      <c r="U599" s="794"/>
      <c r="V599" s="794"/>
      <c r="W599" s="794"/>
      <c r="X599" s="794"/>
      <c r="Y599" s="794"/>
      <c r="Z599" s="794"/>
      <c r="AA599" s="794"/>
      <c r="AB599" s="794"/>
      <c r="AC599" s="794"/>
      <c r="AD599" s="794"/>
      <c r="AE599" s="794"/>
    </row>
    <row r="600" spans="1:75" ht="15.75" thickBot="1">
      <c r="A600" s="142"/>
      <c r="B600" s="795" t="str">
        <f>IF(BW590&gt;0,"Alerta: debe de proporcionar una justificación de acuerdo a lo establecido en la instrucción 3","")</f>
        <v/>
      </c>
      <c r="C600" s="795"/>
      <c r="D600" s="795"/>
      <c r="E600" s="795"/>
      <c r="F600" s="795"/>
      <c r="G600" s="795"/>
      <c r="H600" s="795"/>
      <c r="I600" s="795"/>
      <c r="J600" s="795"/>
      <c r="K600" s="795"/>
      <c r="L600" s="795"/>
      <c r="M600" s="795"/>
      <c r="N600" s="795"/>
      <c r="O600" s="795"/>
      <c r="P600" s="795"/>
      <c r="Q600" s="795"/>
      <c r="R600" s="795"/>
      <c r="S600" s="795"/>
      <c r="T600" s="795"/>
      <c r="U600" s="795"/>
      <c r="V600" s="795"/>
      <c r="W600" s="795"/>
      <c r="X600" s="795"/>
      <c r="Y600" s="795"/>
      <c r="Z600" s="795"/>
      <c r="AA600" s="795"/>
      <c r="AB600" s="795"/>
      <c r="AC600" s="795"/>
      <c r="AD600" s="795"/>
      <c r="AE600" s="795"/>
    </row>
    <row r="601" spans="1:75" customFormat="1" ht="15" customHeight="1" thickBot="1">
      <c r="A601" s="19" t="s">
        <v>2563</v>
      </c>
      <c r="B601" s="1137" t="s">
        <v>5970</v>
      </c>
      <c r="C601" s="1138"/>
      <c r="D601" s="1138"/>
      <c r="E601" s="1138"/>
      <c r="F601" s="1138"/>
      <c r="G601" s="1138"/>
      <c r="H601" s="1138"/>
      <c r="I601" s="1138"/>
      <c r="J601" s="1138"/>
      <c r="K601" s="1138"/>
      <c r="L601" s="1138"/>
      <c r="M601" s="1138"/>
      <c r="N601" s="1138"/>
      <c r="O601" s="1138"/>
      <c r="P601" s="1138"/>
      <c r="Q601" s="1138"/>
      <c r="R601" s="1138"/>
      <c r="S601" s="1138"/>
      <c r="T601" s="1138"/>
      <c r="U601" s="1138"/>
      <c r="V601" s="1138"/>
      <c r="W601" s="1138"/>
      <c r="X601" s="1138"/>
      <c r="Y601" s="1138"/>
      <c r="Z601" s="1138"/>
      <c r="AA601" s="1138"/>
      <c r="AB601" s="1138"/>
      <c r="AC601" s="1138"/>
      <c r="AD601" s="1139"/>
      <c r="AE601" s="3"/>
    </row>
    <row r="602" spans="1:75">
      <c r="A602" s="142"/>
      <c r="B602" s="57"/>
      <c r="C602" s="57"/>
      <c r="D602" s="57"/>
      <c r="E602" s="57"/>
      <c r="F602" s="57"/>
      <c r="G602" s="57"/>
      <c r="H602" s="57"/>
      <c r="I602" s="57"/>
      <c r="J602" s="57"/>
      <c r="K602" s="57"/>
      <c r="L602" s="57"/>
      <c r="M602" s="57"/>
      <c r="N602" s="57"/>
      <c r="O602" s="57"/>
      <c r="P602" s="57"/>
      <c r="Q602" s="57"/>
      <c r="R602" s="57"/>
      <c r="S602" s="57"/>
      <c r="T602" s="57"/>
      <c r="U602" s="57"/>
      <c r="V602" s="57"/>
      <c r="W602" s="57"/>
      <c r="X602" s="57"/>
      <c r="Y602" s="57"/>
      <c r="Z602" s="57"/>
      <c r="AA602" s="57"/>
      <c r="AB602" s="57"/>
      <c r="AC602" s="57"/>
      <c r="AD602" s="57"/>
    </row>
    <row r="603" spans="1:75" ht="48" customHeight="1">
      <c r="A603" s="49" t="s">
        <v>5971</v>
      </c>
      <c r="B603" s="829" t="s">
        <v>5972</v>
      </c>
      <c r="C603" s="829"/>
      <c r="D603" s="829"/>
      <c r="E603" s="829"/>
      <c r="F603" s="829"/>
      <c r="G603" s="829"/>
      <c r="H603" s="829"/>
      <c r="I603" s="829"/>
      <c r="J603" s="829"/>
      <c r="K603" s="829"/>
      <c r="L603" s="829"/>
      <c r="M603" s="829"/>
      <c r="N603" s="829"/>
      <c r="O603" s="829"/>
      <c r="P603" s="829"/>
      <c r="Q603" s="829"/>
      <c r="R603" s="829"/>
      <c r="S603" s="829"/>
      <c r="T603" s="829"/>
      <c r="U603" s="829"/>
      <c r="V603" s="829"/>
      <c r="W603" s="829"/>
      <c r="X603" s="829"/>
      <c r="Y603" s="829"/>
      <c r="Z603" s="829"/>
      <c r="AA603" s="829"/>
      <c r="AB603" s="829"/>
      <c r="AC603" s="829"/>
      <c r="AD603" s="829"/>
    </row>
    <row r="604" spans="1:75" ht="36" customHeight="1">
      <c r="A604" s="50"/>
      <c r="B604" s="38"/>
      <c r="C604" s="830" t="s">
        <v>5973</v>
      </c>
      <c r="D604" s="830"/>
      <c r="E604" s="830"/>
      <c r="F604" s="830"/>
      <c r="G604" s="830"/>
      <c r="H604" s="830"/>
      <c r="I604" s="830"/>
      <c r="J604" s="830"/>
      <c r="K604" s="830"/>
      <c r="L604" s="830"/>
      <c r="M604" s="830"/>
      <c r="N604" s="830"/>
      <c r="O604" s="830"/>
      <c r="P604" s="830"/>
      <c r="Q604" s="830"/>
      <c r="R604" s="830"/>
      <c r="S604" s="830"/>
      <c r="T604" s="830"/>
      <c r="U604" s="830"/>
      <c r="V604" s="830"/>
      <c r="W604" s="830"/>
      <c r="X604" s="830"/>
      <c r="Y604" s="830"/>
      <c r="Z604" s="830"/>
      <c r="AA604" s="830"/>
      <c r="AB604" s="830"/>
      <c r="AC604" s="830"/>
      <c r="AD604" s="830"/>
    </row>
    <row r="605" spans="1:75" ht="48" customHeight="1">
      <c r="A605" s="50"/>
      <c r="B605" s="38"/>
      <c r="C605" s="830" t="s">
        <v>5974</v>
      </c>
      <c r="D605" s="830"/>
      <c r="E605" s="830"/>
      <c r="F605" s="830"/>
      <c r="G605" s="830"/>
      <c r="H605" s="830"/>
      <c r="I605" s="830"/>
      <c r="J605" s="830"/>
      <c r="K605" s="830"/>
      <c r="L605" s="830"/>
      <c r="M605" s="830"/>
      <c r="N605" s="830"/>
      <c r="O605" s="830"/>
      <c r="P605" s="830"/>
      <c r="Q605" s="830"/>
      <c r="R605" s="830"/>
      <c r="S605" s="830"/>
      <c r="T605" s="830"/>
      <c r="U605" s="830"/>
      <c r="V605" s="830"/>
      <c r="W605" s="830"/>
      <c r="X605" s="830"/>
      <c r="Y605" s="830"/>
      <c r="Z605" s="830"/>
      <c r="AA605" s="830"/>
      <c r="AB605" s="830"/>
      <c r="AC605" s="830"/>
      <c r="AD605" s="830"/>
    </row>
    <row r="606" spans="1:75" ht="36" customHeight="1">
      <c r="A606" s="50"/>
      <c r="B606" s="38"/>
      <c r="C606" s="754" t="s">
        <v>5975</v>
      </c>
      <c r="D606" s="754"/>
      <c r="E606" s="754"/>
      <c r="F606" s="754"/>
      <c r="G606" s="754"/>
      <c r="H606" s="754"/>
      <c r="I606" s="754"/>
      <c r="J606" s="754"/>
      <c r="K606" s="754"/>
      <c r="L606" s="754"/>
      <c r="M606" s="754"/>
      <c r="N606" s="754"/>
      <c r="O606" s="754"/>
      <c r="P606" s="754"/>
      <c r="Q606" s="754"/>
      <c r="R606" s="754"/>
      <c r="S606" s="754"/>
      <c r="T606" s="754"/>
      <c r="U606" s="754"/>
      <c r="V606" s="754"/>
      <c r="W606" s="754"/>
      <c r="X606" s="754"/>
      <c r="Y606" s="754"/>
      <c r="Z606" s="754"/>
      <c r="AA606" s="754"/>
      <c r="AB606" s="754"/>
      <c r="AC606" s="754"/>
      <c r="AD606" s="754"/>
    </row>
    <row r="607" spans="1:75" ht="24" customHeight="1">
      <c r="A607" s="142"/>
      <c r="B607" s="57"/>
      <c r="C607" s="754" t="s">
        <v>5976</v>
      </c>
      <c r="D607" s="754"/>
      <c r="E607" s="754"/>
      <c r="F607" s="754"/>
      <c r="G607" s="754"/>
      <c r="H607" s="754"/>
      <c r="I607" s="754"/>
      <c r="J607" s="754"/>
      <c r="K607" s="754"/>
      <c r="L607" s="754"/>
      <c r="M607" s="754"/>
      <c r="N607" s="754"/>
      <c r="O607" s="754"/>
      <c r="P607" s="754"/>
      <c r="Q607" s="754"/>
      <c r="R607" s="754"/>
      <c r="S607" s="754"/>
      <c r="T607" s="754"/>
      <c r="U607" s="754"/>
      <c r="V607" s="754"/>
      <c r="W607" s="754"/>
      <c r="X607" s="754"/>
      <c r="Y607" s="754"/>
      <c r="Z607" s="754"/>
      <c r="AA607" s="754"/>
      <c r="AB607" s="754"/>
      <c r="AC607" s="754"/>
      <c r="AD607" s="754"/>
    </row>
    <row r="608" spans="1:75">
      <c r="A608" s="142"/>
      <c r="B608" s="57"/>
      <c r="C608" s="75"/>
      <c r="D608" s="75"/>
      <c r="E608" s="75"/>
      <c r="F608" s="75"/>
      <c r="G608" s="75"/>
      <c r="H608" s="75"/>
      <c r="I608" s="75"/>
      <c r="J608" s="75"/>
      <c r="K608" s="75"/>
      <c r="L608" s="75"/>
      <c r="M608" s="75"/>
      <c r="N608" s="75"/>
      <c r="O608" s="75"/>
      <c r="P608" s="75"/>
      <c r="Q608" s="75"/>
      <c r="R608" s="75"/>
      <c r="S608" s="75"/>
      <c r="T608" s="75"/>
      <c r="U608" s="75"/>
      <c r="V608" s="75"/>
      <c r="W608" s="75"/>
      <c r="X608" s="75"/>
      <c r="Y608" s="75"/>
      <c r="Z608" s="75"/>
      <c r="AA608" s="75"/>
      <c r="AB608" s="75"/>
      <c r="AC608" s="75"/>
      <c r="AD608" s="75"/>
    </row>
    <row r="609" spans="1:81" ht="24" customHeight="1">
      <c r="A609" s="142"/>
      <c r="B609" s="57"/>
      <c r="C609" s="732" t="s">
        <v>2581</v>
      </c>
      <c r="D609" s="732"/>
      <c r="E609" s="732"/>
      <c r="F609" s="732"/>
      <c r="G609" s="847" t="s">
        <v>5977</v>
      </c>
      <c r="H609" s="953"/>
      <c r="I609" s="848"/>
      <c r="J609" s="732" t="s">
        <v>5978</v>
      </c>
      <c r="K609" s="732"/>
      <c r="L609" s="732"/>
      <c r="M609" s="732"/>
      <c r="N609" s="732"/>
      <c r="O609" s="732"/>
      <c r="P609" s="732"/>
      <c r="Q609" s="732"/>
      <c r="R609" s="732"/>
      <c r="S609" s="732"/>
      <c r="T609" s="732"/>
      <c r="U609" s="732"/>
      <c r="V609" s="732"/>
      <c r="W609" s="732"/>
      <c r="X609" s="732"/>
      <c r="Y609" s="732"/>
      <c r="Z609" s="732"/>
      <c r="AA609" s="732"/>
      <c r="AB609" s="732"/>
      <c r="AC609" s="732"/>
      <c r="AD609" s="732"/>
    </row>
    <row r="610" spans="1:81" ht="15" customHeight="1">
      <c r="A610" s="142"/>
      <c r="B610" s="57"/>
      <c r="C610" s="732"/>
      <c r="D610" s="732"/>
      <c r="E610" s="732"/>
      <c r="F610" s="732"/>
      <c r="G610" s="954"/>
      <c r="H610" s="955"/>
      <c r="I610" s="956"/>
      <c r="J610" s="958" t="s">
        <v>2628</v>
      </c>
      <c r="K610" s="959" t="s">
        <v>2629</v>
      </c>
      <c r="L610" s="959" t="s">
        <v>2630</v>
      </c>
      <c r="M610" s="736" t="s">
        <v>5979</v>
      </c>
      <c r="N610" s="736"/>
      <c r="O610" s="736"/>
      <c r="P610" s="736"/>
      <c r="Q610" s="736"/>
      <c r="R610" s="736"/>
      <c r="S610" s="736"/>
      <c r="T610" s="736"/>
      <c r="U610" s="736"/>
      <c r="V610" s="736"/>
      <c r="W610" s="736"/>
      <c r="X610" s="736"/>
      <c r="Y610" s="736"/>
      <c r="Z610" s="736"/>
      <c r="AA610" s="736"/>
      <c r="AB610" s="736"/>
      <c r="AC610" s="736"/>
      <c r="AD610" s="736"/>
    </row>
    <row r="611" spans="1:81" ht="120" customHeight="1">
      <c r="A611" s="142"/>
      <c r="B611" s="57"/>
      <c r="C611" s="732"/>
      <c r="D611" s="732"/>
      <c r="E611" s="732"/>
      <c r="F611" s="732"/>
      <c r="G611" s="954"/>
      <c r="H611" s="955"/>
      <c r="I611" s="956"/>
      <c r="J611" s="958"/>
      <c r="K611" s="959"/>
      <c r="L611" s="959"/>
      <c r="M611" s="845" t="s">
        <v>5980</v>
      </c>
      <c r="N611" s="952"/>
      <c r="O611" s="952"/>
      <c r="P611" s="890" t="s">
        <v>5981</v>
      </c>
      <c r="Q611" s="890"/>
      <c r="R611" s="890"/>
      <c r="S611" s="890" t="s">
        <v>5982</v>
      </c>
      <c r="T611" s="890"/>
      <c r="U611" s="890"/>
      <c r="V611" s="845" t="s">
        <v>5983</v>
      </c>
      <c r="W611" s="952"/>
      <c r="X611" s="846"/>
      <c r="Y611" s="845" t="s">
        <v>5984</v>
      </c>
      <c r="Z611" s="952"/>
      <c r="AA611" s="846"/>
      <c r="AB611" s="845" t="s">
        <v>2990</v>
      </c>
      <c r="AC611" s="952"/>
      <c r="AD611" s="846"/>
    </row>
    <row r="612" spans="1:81" ht="48" customHeight="1">
      <c r="A612" s="142"/>
      <c r="B612" s="57"/>
      <c r="C612" s="732"/>
      <c r="D612" s="732"/>
      <c r="E612" s="732"/>
      <c r="F612" s="732"/>
      <c r="G612" s="849"/>
      <c r="H612" s="957"/>
      <c r="I612" s="850"/>
      <c r="J612" s="888"/>
      <c r="K612" s="890"/>
      <c r="L612" s="890"/>
      <c r="M612" s="127" t="s">
        <v>2635</v>
      </c>
      <c r="N612" s="128" t="s">
        <v>2629</v>
      </c>
      <c r="O612" s="128" t="s">
        <v>2630</v>
      </c>
      <c r="P612" s="127" t="s">
        <v>2635</v>
      </c>
      <c r="Q612" s="128" t="s">
        <v>2629</v>
      </c>
      <c r="R612" s="128" t="s">
        <v>2630</v>
      </c>
      <c r="S612" s="127" t="s">
        <v>2635</v>
      </c>
      <c r="T612" s="128" t="s">
        <v>2629</v>
      </c>
      <c r="U612" s="128" t="s">
        <v>2630</v>
      </c>
      <c r="V612" s="127" t="s">
        <v>2635</v>
      </c>
      <c r="W612" s="128" t="s">
        <v>2629</v>
      </c>
      <c r="X612" s="128" t="s">
        <v>2630</v>
      </c>
      <c r="Y612" s="127" t="s">
        <v>2635</v>
      </c>
      <c r="Z612" s="128" t="s">
        <v>2629</v>
      </c>
      <c r="AA612" s="128" t="s">
        <v>2630</v>
      </c>
      <c r="AB612" s="127" t="s">
        <v>2635</v>
      </c>
      <c r="AC612" s="128" t="s">
        <v>2629</v>
      </c>
      <c r="AD612" s="128" t="s">
        <v>2630</v>
      </c>
      <c r="AF612" t="s">
        <v>4713</v>
      </c>
      <c r="AG612" t="s">
        <v>2586</v>
      </c>
      <c r="AH612" t="s">
        <v>4581</v>
      </c>
      <c r="AI612"/>
      <c r="AJ612"/>
      <c r="AK612" t="s">
        <v>4573</v>
      </c>
      <c r="AL612" t="s">
        <v>2638</v>
      </c>
      <c r="AM612" t="s">
        <v>2639</v>
      </c>
      <c r="AN612" t="s">
        <v>4574</v>
      </c>
      <c r="AO612" t="s">
        <v>2641</v>
      </c>
      <c r="AP612" t="s">
        <v>2642</v>
      </c>
      <c r="AQ612" t="s">
        <v>4575</v>
      </c>
      <c r="AR612" t="s">
        <v>2644</v>
      </c>
      <c r="AS612" t="s">
        <v>2645</v>
      </c>
      <c r="AT612" t="s">
        <v>4576</v>
      </c>
      <c r="AU612" t="s">
        <v>2647</v>
      </c>
      <c r="AV612" t="s">
        <v>2648</v>
      </c>
      <c r="AW612" t="s">
        <v>5177</v>
      </c>
      <c r="AX612" t="s">
        <v>2757</v>
      </c>
      <c r="AY612" t="s">
        <v>2758</v>
      </c>
      <c r="AZ612" t="s">
        <v>5194</v>
      </c>
      <c r="BA612" t="s">
        <v>2760</v>
      </c>
      <c r="BB612" t="s">
        <v>2761</v>
      </c>
      <c r="BC612" t="s">
        <v>5195</v>
      </c>
      <c r="BD612" t="s">
        <v>2763</v>
      </c>
      <c r="BE612" t="s">
        <v>2764</v>
      </c>
      <c r="BF612" t="s">
        <v>5291</v>
      </c>
      <c r="BG612"/>
      <c r="BH612"/>
      <c r="BI612" t="s">
        <v>5806</v>
      </c>
      <c r="BJ612"/>
      <c r="BK612"/>
      <c r="BL612" t="s">
        <v>5290</v>
      </c>
      <c r="BM612"/>
      <c r="BN612"/>
      <c r="BO612"/>
      <c r="BP612"/>
      <c r="BQ612"/>
      <c r="BR612"/>
      <c r="BS612"/>
      <c r="BT612"/>
      <c r="BU612"/>
      <c r="BV612"/>
      <c r="BW612"/>
      <c r="BX612"/>
      <c r="BY612"/>
      <c r="BZ612"/>
      <c r="CA612"/>
      <c r="CB612"/>
      <c r="CC612"/>
    </row>
    <row r="613" spans="1:81">
      <c r="A613" s="142"/>
      <c r="B613" s="57"/>
      <c r="C613" s="44" t="s">
        <v>2516</v>
      </c>
      <c r="D613" s="796" t="str">
        <f>IF(CNSIPEE_2024_M2_Secc1!D42="","",CNSIPEE_2024_M2_Secc1!D42)</f>
        <v/>
      </c>
      <c r="E613" s="796"/>
      <c r="F613" s="796"/>
      <c r="G613" s="816"/>
      <c r="H613" s="738"/>
      <c r="I613" s="817"/>
      <c r="J613" s="100"/>
      <c r="K613" s="100"/>
      <c r="L613" s="100"/>
      <c r="M613" s="100"/>
      <c r="N613" s="100"/>
      <c r="O613" s="100"/>
      <c r="P613" s="100"/>
      <c r="Q613" s="100"/>
      <c r="R613" s="100"/>
      <c r="S613" s="100"/>
      <c r="T613" s="100"/>
      <c r="U613" s="100"/>
      <c r="V613" s="100"/>
      <c r="W613" s="100"/>
      <c r="X613" s="100"/>
      <c r="Y613" s="100"/>
      <c r="Z613" s="100"/>
      <c r="AA613" s="100"/>
      <c r="AB613" s="100"/>
      <c r="AC613" s="100"/>
      <c r="AD613" s="100"/>
      <c r="AF613">
        <f>IF(AND(G613=1,J613=0),1,0)</f>
        <v>0</v>
      </c>
      <c r="AG613">
        <f>IF(AND(G613&gt;1,D613&lt;&gt;""),0,IF(OR(COUNTBLANK(D613:AD613)=4,COUNTBLANK(D613:AD613)=27),0,1))</f>
        <v>0</v>
      </c>
      <c r="AH613">
        <f t="shared" ref="AH613:AH620" si="484">IF(G613&gt;1,IF(COUNTBLANK(J613:AD613)=21,0,1),0)</f>
        <v>0</v>
      </c>
      <c r="AI613"/>
      <c r="AJ613"/>
      <c r="AK613">
        <f t="shared" ref="AK613:AK620" si="485">COUNTIF(K613:L613,"NS")</f>
        <v>0</v>
      </c>
      <c r="AL613">
        <f t="shared" ref="AL613:AL620" si="486">SUM(K613:L613)</f>
        <v>0</v>
      </c>
      <c r="AM613">
        <f>IF(COUNTIF(J613:L613,"NA")=3,0,IF(COUNTA(J613:L613)=0,0,IF(OR(AND(J613=0,AK613&gt;0),AND(J613="ns",AL613&gt;0),AND(J613="ns",AK613=0,AL613=0)),1,IF(OR(AND(J613&gt;0,AK613=2),AND(J613="ns",AK613=2),AND(J613="ns",AL613=0,AK613&gt;0),J613=AL613),0,1))))</f>
        <v>0</v>
      </c>
      <c r="AN613">
        <f t="shared" ref="AN613:AN620" si="487">COUNTIF(N613:O613,"NS")</f>
        <v>0</v>
      </c>
      <c r="AO613">
        <f t="shared" ref="AO613:AO620" si="488">SUM(N613:O613)</f>
        <v>0</v>
      </c>
      <c r="AP613">
        <f t="shared" ref="AP613:AP620" si="489">IF(COUNTIF(M613:O613,"NA")=3,0,IF(COUNTA(M613:O613)=0,0,IF(OR(AND(M613=0,AN613&gt;0),AND(M613="ns",AO613&gt;0),AND(M613="ns",AN613=0,AO613=0)),1,IF(OR(AND(M613&gt;0,AN613=2),AND(M613="ns",AN613=2),AND(M613="ns",AO613=0,AN613&gt;0),M613=AO613),0,1))))</f>
        <v>0</v>
      </c>
      <c r="AQ613">
        <f t="shared" ref="AQ613:AQ620" si="490">COUNTIF(Q613:R613,"NS")</f>
        <v>0</v>
      </c>
      <c r="AR613">
        <f t="shared" ref="AR613:AR620" si="491">SUM(Q613:R613)</f>
        <v>0</v>
      </c>
      <c r="AS613">
        <f t="shared" ref="AS613:AS620" si="492">IF(COUNTIF(P613:R613,"NA")=3,0,IF(COUNTA(P613:R613)=0,0,IF(OR(AND(P613=0,AQ613&gt;0),AND(P613="ns",AR613&gt;0),AND(P613="ns",AQ613=0,AR613=0)),1,IF(OR(AND(P613&gt;0,AQ613=2),AND(P613="ns",AQ613=2),AND(P613="ns",AR613=0,AQ613&gt;0),P613=AR613),0,1))))</f>
        <v>0</v>
      </c>
      <c r="AT613">
        <f t="shared" ref="AT613:AT620" si="493">COUNTIF(T613:U613,"NS")</f>
        <v>0</v>
      </c>
      <c r="AU613">
        <f t="shared" ref="AU613:AU620" si="494">SUM(T613:U613)</f>
        <v>0</v>
      </c>
      <c r="AV613">
        <f t="shared" ref="AV613:AV620" si="495">IF(COUNTIF(S613:U613,"NA")=3,0,IF(COUNTA(S613:U613)=0,0,IF(OR(AND(S613=0,AT613&gt;0),AND(S613="ns",AU613&gt;0),AND(S613="ns",AT613=0,AU613=0)),1,IF(OR(AND(S613&gt;0,AT613=2),AND(S613="ns",AT613=2),AND(S613="ns",AU613=0,AT613&gt;0),S613=AU613),0,1))))</f>
        <v>0</v>
      </c>
      <c r="AW613">
        <f t="shared" ref="AW613:AW620" si="496">COUNTIF(W613:X613,"NS")</f>
        <v>0</v>
      </c>
      <c r="AX613">
        <f t="shared" ref="AX613:AX620" si="497">SUM(W613:X613)</f>
        <v>0</v>
      </c>
      <c r="AY613">
        <f t="shared" ref="AY613:AY620" si="498">IF(COUNTIF(V613:X613,"NA")=3,0,IF(COUNTA(V613:X613)=0,0,IF(OR(AND(V613=0,AW613&gt;0),AND(V613="ns",AX613&gt;0),AND(V613="ns",AW613=0,AX613=0)),1,IF(OR(AND(V613&gt;0,AW613=2),AND(V613="ns",AW613=2),AND(V613="ns",AX613=0,AW613&gt;0),V613=AX613),0,1))))</f>
        <v>0</v>
      </c>
      <c r="AZ613">
        <f t="shared" ref="AZ613:AZ620" si="499">COUNTIF(Z613:AA613,"NS")</f>
        <v>0</v>
      </c>
      <c r="BA613">
        <f t="shared" ref="BA613:BA620" si="500">SUM(Z613:AA613)</f>
        <v>0</v>
      </c>
      <c r="BB613">
        <f t="shared" ref="BB613:BB620" si="501">IF(COUNTIF(Y613:AA613,"NA")=3,0,IF(COUNTA(Y613:AA613)=0,0,IF(OR(AND(Y613=0,AZ613&gt;0),AND(Y613="ns",BA613&gt;0),AND(Y613="ns",AZ613=0,BA613=0)),1,IF(OR(AND(Y613&gt;0,AZ613=2),AND(Y613="ns",AZ613=2),AND(Y613="ns",BA613=0,AZ613&gt;0),Y613=BA613),0,1))))</f>
        <v>0</v>
      </c>
      <c r="BC613">
        <f t="shared" ref="BC613:BC620" si="502">COUNTIF(AC613:AD613,"NS")</f>
        <v>0</v>
      </c>
      <c r="BD613">
        <f t="shared" ref="BD613:BD620" si="503">SUM(AC613:AD613)</f>
        <v>0</v>
      </c>
      <c r="BE613">
        <f t="shared" ref="BE613:BE620" si="504">IF(COUNTIF(AB613:AD613,"NA")=3,0,IF(COUNTA(AB613:AD613)=0,0,IF(OR(AND(AB613=0,BC613&gt;0),AND(AB613="ns",BD613&gt;0),AND(AB613="ns",BC613=0,BD613=0)),1,IF(OR(AND(AB613&gt;0,BC613=2),AND(AB613="ns",BC613=2),AND(AB613="ns",BD613=0,BC613&gt;0),AB613=BD613),0,1))))</f>
        <v>0</v>
      </c>
      <c r="BF613" cm="1">
        <f t="array" ref="BF613">IF(OR(J613={"NS","NA"},BI613={"NS","NA"}),0,IF(J613&lt;=BI613,0,1))</f>
        <v>0</v>
      </c>
      <c r="BG613" cm="1">
        <f t="array" ref="BG613">IF(OR(K613={"NS","NA"},BJ613={"NS","NA"}),0,IF(K613&lt;=BJ613,0,1))</f>
        <v>0</v>
      </c>
      <c r="BH613" cm="1">
        <f t="array" ref="BH613">IF(OR(L613={"NS","NA"},BK613={"NS","NA"}),0,IF(L613&lt;=BK613,0,1))</f>
        <v>0</v>
      </c>
      <c r="BI613">
        <f>IF(AND(SUM(M613,P613,S613,V613,Y613,AB613)=0,SUM(COUNTIF(M613,"NS"),COUNTIF(P613,"NS"),COUNTIF(S613,"NS"),COUNTIF(V613,"NS"),COUNTIF(Y613,"NS"),COUNTIF(AB613,"NS"))&gt;0),"NS",
IF(AND(SUM(M613,P613,S613,V613,Y613,AB613)=0,SUM(COUNTIF(M613,0),COUNTIF(P613,0),COUNTIF(S613,0),COUNTIF(V613,0),COUNTIF(Y613,0),COUNTIF(AB613,0))&gt;0),0,
IF(AND(SUM(M613,P613,S613,V613,Y613,AB613)=0,SUM(COUNTIF(M613,"NA"),COUNTIF(P613,"NA"),COUNTIF(S613,"NA"),COUNTIF(V613,"NA"),COUNTIF(Y613,"NA"),COUNTIF(AB613,"NA"))&gt;0),"NA",
SUM(M613,P613,S613,V613,Y613,AB613))))</f>
        <v>0</v>
      </c>
      <c r="BJ613">
        <f t="shared" ref="BJ613:BK620" si="505">IF(AND(SUM(N613,Q613,T613,W613,Z613,AC613)=0,SUM(COUNTIF(N613,"NS"),COUNTIF(Q613,"NS"),COUNTIF(T613,"NS"),COUNTIF(W613,"NS"),COUNTIF(Z613,"NS"),COUNTIF(AC613,"NS"))&gt;0),"NS",
IF(AND(SUM(N613,Q613,T613,W613,Z613,AC613)=0,SUM(COUNTIF(N613,0),COUNTIF(Q613,0),COUNTIF(T613,0),COUNTIF(W613,0),COUNTIF(Z613,0),COUNTIF(AC613,0))&gt;0),0,
IF(AND(SUM(N613,Q613,T613,W613,Z613,AC613)=0,SUM(COUNTIF(N613,"NA"),COUNTIF(Q613,"NA"),COUNTIF(T613,"NA"),COUNTIF(W613,"NA"),COUNTIF(Z613,"NA"),COUNTIF(AC613,"NA"))&gt;0),"NA",
SUM(N613,Q613,T613,W613,Z613,AC613))))</f>
        <v>0</v>
      </c>
      <c r="BK613">
        <f t="shared" si="505"/>
        <v>0</v>
      </c>
      <c r="BL613" cm="1">
        <f t="array" ref="BL613">IF(OR(M613={"NS","NA"},$J613={"NS","NA"}),0,IF(M613&lt;=$J613,0,1))</f>
        <v>0</v>
      </c>
      <c r="BM613" cm="1">
        <f t="array" ref="BM613">IF(OR(N613={"NS","NA"},$K613={"NS","NA"}),0,IF(N613&lt;=$K613,0,1))</f>
        <v>0</v>
      </c>
      <c r="BN613" cm="1">
        <f t="array" ref="BN613">IF(OR(O613={"NS","NA"},$L613={"NS","NA"}),0,IF(O613&lt;=$L613,0,1))</f>
        <v>0</v>
      </c>
      <c r="BO613" cm="1">
        <f t="array" ref="BO613">IF(OR(P613={"NS","NA"},$J613={"NS","NA"}),0,IF(P613&lt;=$J613,0,1))</f>
        <v>0</v>
      </c>
      <c r="BP613" cm="1">
        <f t="array" ref="BP613">IF(OR(Q613={"NS","NA"},$K613={"NS","NA"}),0,IF(Q613&lt;=$K613,0,1))</f>
        <v>0</v>
      </c>
      <c r="BQ613" cm="1">
        <f t="array" ref="BQ613">IF(OR(R613={"NS","NA"},$L613={"NS","NA"}),0,IF(R613&lt;=$L613,0,1))</f>
        <v>0</v>
      </c>
      <c r="BR613" cm="1">
        <f t="array" ref="BR613">IF(OR(S613={"NS","NA"},$J613={"NS","NA"}),0,IF(S613&lt;=$J613,0,1))</f>
        <v>0</v>
      </c>
      <c r="BS613" cm="1">
        <f t="array" ref="BS613">IF(OR(T613={"NS","NA"},$K613={"NS","NA"}),0,IF(T613&lt;=$K613,0,1))</f>
        <v>0</v>
      </c>
      <c r="BT613" cm="1">
        <f t="array" ref="BT613">IF(OR(U613={"NS","NA"},$L613={"NS","NA"}),0,IF(U613&lt;=$L613,0,1))</f>
        <v>0</v>
      </c>
      <c r="BU613" cm="1">
        <f t="array" ref="BU613">IF(OR(V613={"NS","NA"},$J613={"NS","NA"}),0,IF(V613&lt;=$J613,0,1))</f>
        <v>0</v>
      </c>
      <c r="BV613" cm="1">
        <f t="array" ref="BV613">IF(OR(W613={"NS","NA"},$K613={"NS","NA"}),0,IF(W613&lt;=$K613,0,1))</f>
        <v>0</v>
      </c>
      <c r="BW613" cm="1">
        <f t="array" ref="BW613">IF(OR(X613={"NS","NA"},$L613={"NS","NA"}),0,IF(X613&lt;=$L613,0,1))</f>
        <v>0</v>
      </c>
      <c r="BX613" cm="1">
        <f t="array" ref="BX613">IF(OR(Y613={"NS","NA"},$J613={"NS","NA"}),0,IF(Y613&lt;=$J613,0,1))</f>
        <v>0</v>
      </c>
      <c r="BY613" cm="1">
        <f t="array" ref="BY613">IF(OR(Z613={"NS","NA"},$K613={"NS","NA"}),0,IF(Z613&lt;=$K613,0,1))</f>
        <v>0</v>
      </c>
      <c r="BZ613" cm="1">
        <f t="array" ref="BZ613">IF(OR(AA613={"NS","NA"},$L613={"NS","NA"}),0,IF(AA613&lt;=$L613,0,1))</f>
        <v>0</v>
      </c>
      <c r="CA613" cm="1">
        <f t="array" ref="CA613">IF(OR(AB613={"NS","NA"},$J613={"NS","NA"}),0,IF(AB613&lt;=$J613,0,1))</f>
        <v>0</v>
      </c>
      <c r="CB613" cm="1">
        <f t="array" ref="CB613">IF(OR(AC613={"NS","NA"},$K613={"NS","NA"}),0,IF(AC613&lt;=$K613,0,1))</f>
        <v>0</v>
      </c>
      <c r="CC613" cm="1">
        <f t="array" ref="CC613">IF(OR(AD613={"NS","NA"},$L613={"NS","NA"}),0,IF(AD613&lt;=$L613,0,1))</f>
        <v>0</v>
      </c>
    </row>
    <row r="614" spans="1:81">
      <c r="A614" s="142"/>
      <c r="B614" s="57"/>
      <c r="C614" s="199" t="s">
        <v>2517</v>
      </c>
      <c r="D614" s="796" t="str">
        <f>IF(CNSIPEE_2024_M2_Secc1!D43="","",CNSIPEE_2024_M2_Secc1!D43)</f>
        <v/>
      </c>
      <c r="E614" s="796"/>
      <c r="F614" s="796"/>
      <c r="G614" s="816"/>
      <c r="H614" s="738"/>
      <c r="I614" s="817"/>
      <c r="J614" s="100"/>
      <c r="K614" s="100"/>
      <c r="L614" s="100"/>
      <c r="M614" s="100"/>
      <c r="N614" s="100"/>
      <c r="O614" s="100"/>
      <c r="P614" s="100"/>
      <c r="Q614" s="100"/>
      <c r="R614" s="100"/>
      <c r="S614" s="100"/>
      <c r="T614" s="100"/>
      <c r="U614" s="100"/>
      <c r="V614" s="100"/>
      <c r="W614" s="100"/>
      <c r="X614" s="100"/>
      <c r="Y614" s="100"/>
      <c r="Z614" s="100"/>
      <c r="AA614" s="100"/>
      <c r="AB614" s="100"/>
      <c r="AC614" s="100"/>
      <c r="AD614" s="100"/>
      <c r="AF614">
        <f t="shared" ref="AF614:AF620" si="506">IF(AND(G614=1,J614=0),1,0)</f>
        <v>0</v>
      </c>
      <c r="AG614">
        <f t="shared" ref="AG614:AG620" si="507">IF(AND(G614&gt;1,D614&lt;&gt;""),0,IF(OR(COUNTBLANK(D614:AD614)=4,COUNTBLANK(D614:AD614)=27),0,1))</f>
        <v>0</v>
      </c>
      <c r="AH614">
        <f t="shared" si="484"/>
        <v>0</v>
      </c>
      <c r="AI614"/>
      <c r="AJ614"/>
      <c r="AK614">
        <f t="shared" si="485"/>
        <v>0</v>
      </c>
      <c r="AL614">
        <f t="shared" si="486"/>
        <v>0</v>
      </c>
      <c r="AM614">
        <f t="shared" ref="AM614:AM620" si="508">IF(COUNTIF(J614:L614,"NA")=3,0,IF(COUNTA(J614:L614)=0,0,IF(OR(AND(J614=0,AK614&gt;0),AND(J614="ns",AL614&gt;0),AND(J614="ns",AK614=0,AL614=0)),1,IF(OR(AND(J614&gt;0,AK614=2),AND(J614="ns",AK614=2),AND(J614="ns",AL614=0,AK614&gt;0),J614=AL614),0,1))))</f>
        <v>0</v>
      </c>
      <c r="AN614">
        <f t="shared" si="487"/>
        <v>0</v>
      </c>
      <c r="AO614">
        <f t="shared" si="488"/>
        <v>0</v>
      </c>
      <c r="AP614">
        <f t="shared" si="489"/>
        <v>0</v>
      </c>
      <c r="AQ614">
        <f t="shared" si="490"/>
        <v>0</v>
      </c>
      <c r="AR614">
        <f t="shared" si="491"/>
        <v>0</v>
      </c>
      <c r="AS614">
        <f t="shared" si="492"/>
        <v>0</v>
      </c>
      <c r="AT614">
        <f t="shared" si="493"/>
        <v>0</v>
      </c>
      <c r="AU614">
        <f t="shared" si="494"/>
        <v>0</v>
      </c>
      <c r="AV614">
        <f t="shared" si="495"/>
        <v>0</v>
      </c>
      <c r="AW614">
        <f t="shared" si="496"/>
        <v>0</v>
      </c>
      <c r="AX614">
        <f t="shared" si="497"/>
        <v>0</v>
      </c>
      <c r="AY614">
        <f t="shared" si="498"/>
        <v>0</v>
      </c>
      <c r="AZ614">
        <f t="shared" si="499"/>
        <v>0</v>
      </c>
      <c r="BA614">
        <f t="shared" si="500"/>
        <v>0</v>
      </c>
      <c r="BB614">
        <f t="shared" si="501"/>
        <v>0</v>
      </c>
      <c r="BC614">
        <f t="shared" si="502"/>
        <v>0</v>
      </c>
      <c r="BD614">
        <f t="shared" si="503"/>
        <v>0</v>
      </c>
      <c r="BE614">
        <f t="shared" si="504"/>
        <v>0</v>
      </c>
      <c r="BF614" cm="1">
        <f t="array" ref="BF614">IF(OR(J614={"NS","NA"},BI614={"NS","NA"}),0,IF(J614&lt;=BI614,0,1))</f>
        <v>0</v>
      </c>
      <c r="BG614" cm="1">
        <f t="array" ref="BG614">IF(OR(K614={"NS","NA"},BJ614={"NS","NA"}),0,IF(K614&lt;=BJ614,0,1))</f>
        <v>0</v>
      </c>
      <c r="BH614" cm="1">
        <f t="array" ref="BH614">IF(OR(L614={"NS","NA"},BK614={"NS","NA"}),0,IF(L614&lt;=BK614,0,1))</f>
        <v>0</v>
      </c>
      <c r="BI614">
        <f t="shared" ref="BI614:BI620" si="509">IF(AND(SUM(M614,P614,S614,V614,Y614,AB614)=0,SUM(COUNTIF(M614,"NS"),COUNTIF(P614,"NS"),COUNTIF(S614,"NS"),COUNTIF(V614,"NS"),COUNTIF(Y614,"NS"),COUNTIF(AB614,"NS"))&gt;0),"NS",
IF(AND(SUM(M614,P614,S614,V614,Y614,AB614)=0,SUM(COUNTIF(M614,0),COUNTIF(P614,0),COUNTIF(S614,0),COUNTIF(V614,0),COUNTIF(Y614,0),COUNTIF(AB614,0))&gt;0),0,
IF(AND(SUM(M614,P614,S614,V614,Y614,AB614)=0,SUM(COUNTIF(M614,"NA"),COUNTIF(P614,"NA"),COUNTIF(S614,"NA"),COUNTIF(V614,"NA"),COUNTIF(Y614,"NA"),COUNTIF(AB614,"NA"))&gt;0),"NA",
SUM(M614,P614,S614,V614,Y614,AB614))))</f>
        <v>0</v>
      </c>
      <c r="BJ614">
        <f t="shared" si="505"/>
        <v>0</v>
      </c>
      <c r="BK614">
        <f t="shared" si="505"/>
        <v>0</v>
      </c>
      <c r="BL614" cm="1">
        <f t="array" ref="BL614">IF(OR(M614={"NS","NA"},$J614={"NS","NA"}),0,IF(M614&lt;=$J614,0,1))</f>
        <v>0</v>
      </c>
      <c r="BM614" cm="1">
        <f t="array" ref="BM614">IF(OR(N614={"NS","NA"},$K614={"NS","NA"}),0,IF(N614&lt;=$K614,0,1))</f>
        <v>0</v>
      </c>
      <c r="BN614" cm="1">
        <f t="array" ref="BN614">IF(OR(O614={"NS","NA"},$L614={"NS","NA"}),0,IF(O614&lt;=$L614,0,1))</f>
        <v>0</v>
      </c>
      <c r="BO614" cm="1">
        <f t="array" ref="BO614">IF(OR(P614={"NS","NA"},$J614={"NS","NA"}),0,IF(P614&lt;=$J614,0,1))</f>
        <v>0</v>
      </c>
      <c r="BP614" cm="1">
        <f t="array" ref="BP614">IF(OR(Q614={"NS","NA"},$K614={"NS","NA"}),0,IF(Q614&lt;=$K614,0,1))</f>
        <v>0</v>
      </c>
      <c r="BQ614" cm="1">
        <f t="array" ref="BQ614">IF(OR(R614={"NS","NA"},$L614={"NS","NA"}),0,IF(R614&lt;=$L614,0,1))</f>
        <v>0</v>
      </c>
      <c r="BR614" cm="1">
        <f t="array" ref="BR614">IF(OR(S614={"NS","NA"},$J614={"NS","NA"}),0,IF(S614&lt;=$J614,0,1))</f>
        <v>0</v>
      </c>
      <c r="BS614" cm="1">
        <f t="array" ref="BS614">IF(OR(T614={"NS","NA"},$K614={"NS","NA"}),0,IF(T614&lt;=$K614,0,1))</f>
        <v>0</v>
      </c>
      <c r="BT614" cm="1">
        <f t="array" ref="BT614">IF(OR(U614={"NS","NA"},$L614={"NS","NA"}),0,IF(U614&lt;=$L614,0,1))</f>
        <v>0</v>
      </c>
      <c r="BU614" cm="1">
        <f t="array" ref="BU614">IF(OR(V614={"NS","NA"},$J614={"NS","NA"}),0,IF(V614&lt;=$J614,0,1))</f>
        <v>0</v>
      </c>
      <c r="BV614" cm="1">
        <f t="array" ref="BV614">IF(OR(W614={"NS","NA"},$K614={"NS","NA"}),0,IF(W614&lt;=$K614,0,1))</f>
        <v>0</v>
      </c>
      <c r="BW614" cm="1">
        <f t="array" ref="BW614">IF(OR(X614={"NS","NA"},$L614={"NS","NA"}),0,IF(X614&lt;=$L614,0,1))</f>
        <v>0</v>
      </c>
      <c r="BX614" cm="1">
        <f t="array" ref="BX614">IF(OR(Y614={"NS","NA"},$J614={"NS","NA"}),0,IF(Y614&lt;=$J614,0,1))</f>
        <v>0</v>
      </c>
      <c r="BY614" cm="1">
        <f t="array" ref="BY614">IF(OR(Z614={"NS","NA"},$K614={"NS","NA"}),0,IF(Z614&lt;=$K614,0,1))</f>
        <v>0</v>
      </c>
      <c r="BZ614" cm="1">
        <f t="array" ref="BZ614">IF(OR(AA614={"NS","NA"},$L614={"NS","NA"}),0,IF(AA614&lt;=$L614,0,1))</f>
        <v>0</v>
      </c>
      <c r="CA614" cm="1">
        <f t="array" ref="CA614">IF(OR(AB614={"NS","NA"},$J614={"NS","NA"}),0,IF(AB614&lt;=$J614,0,1))</f>
        <v>0</v>
      </c>
      <c r="CB614" cm="1">
        <f t="array" ref="CB614">IF(OR(AC614={"NS","NA"},$K614={"NS","NA"}),0,IF(AC614&lt;=$K614,0,1))</f>
        <v>0</v>
      </c>
      <c r="CC614" cm="1">
        <f t="array" ref="CC614">IF(OR(AD614={"NS","NA"},$L614={"NS","NA"}),0,IF(AD614&lt;=$L614,0,1))</f>
        <v>0</v>
      </c>
    </row>
    <row r="615" spans="1:81">
      <c r="A615" s="142"/>
      <c r="B615" s="57"/>
      <c r="C615" s="143" t="s">
        <v>2518</v>
      </c>
      <c r="D615" s="796" t="str">
        <f>IF(CNSIPEE_2024_M2_Secc1!D44="","",CNSIPEE_2024_M2_Secc1!D44)</f>
        <v/>
      </c>
      <c r="E615" s="796"/>
      <c r="F615" s="796"/>
      <c r="G615" s="816"/>
      <c r="H615" s="738"/>
      <c r="I615" s="817"/>
      <c r="J615" s="100"/>
      <c r="K615" s="100"/>
      <c r="L615" s="100"/>
      <c r="M615" s="100"/>
      <c r="N615" s="100"/>
      <c r="O615" s="100"/>
      <c r="P615" s="100"/>
      <c r="Q615" s="100"/>
      <c r="R615" s="100"/>
      <c r="S615" s="100"/>
      <c r="T615" s="100"/>
      <c r="U615" s="100"/>
      <c r="V615" s="100"/>
      <c r="W615" s="100"/>
      <c r="X615" s="100"/>
      <c r="Y615" s="100"/>
      <c r="Z615" s="100"/>
      <c r="AA615" s="100"/>
      <c r="AB615" s="100"/>
      <c r="AC615" s="100"/>
      <c r="AD615" s="100"/>
      <c r="AF615">
        <f t="shared" si="506"/>
        <v>0</v>
      </c>
      <c r="AG615">
        <f t="shared" si="507"/>
        <v>0</v>
      </c>
      <c r="AH615">
        <f t="shared" si="484"/>
        <v>0</v>
      </c>
      <c r="AI615"/>
      <c r="AJ615"/>
      <c r="AK615">
        <f t="shared" si="485"/>
        <v>0</v>
      </c>
      <c r="AL615">
        <f t="shared" si="486"/>
        <v>0</v>
      </c>
      <c r="AM615">
        <f t="shared" si="508"/>
        <v>0</v>
      </c>
      <c r="AN615">
        <f t="shared" si="487"/>
        <v>0</v>
      </c>
      <c r="AO615">
        <f t="shared" si="488"/>
        <v>0</v>
      </c>
      <c r="AP615">
        <f t="shared" si="489"/>
        <v>0</v>
      </c>
      <c r="AQ615">
        <f t="shared" si="490"/>
        <v>0</v>
      </c>
      <c r="AR615">
        <f t="shared" si="491"/>
        <v>0</v>
      </c>
      <c r="AS615">
        <f t="shared" si="492"/>
        <v>0</v>
      </c>
      <c r="AT615">
        <f t="shared" si="493"/>
        <v>0</v>
      </c>
      <c r="AU615">
        <f t="shared" si="494"/>
        <v>0</v>
      </c>
      <c r="AV615">
        <f t="shared" si="495"/>
        <v>0</v>
      </c>
      <c r="AW615">
        <f t="shared" si="496"/>
        <v>0</v>
      </c>
      <c r="AX615">
        <f t="shared" si="497"/>
        <v>0</v>
      </c>
      <c r="AY615">
        <f t="shared" si="498"/>
        <v>0</v>
      </c>
      <c r="AZ615">
        <f t="shared" si="499"/>
        <v>0</v>
      </c>
      <c r="BA615">
        <f t="shared" si="500"/>
        <v>0</v>
      </c>
      <c r="BB615">
        <f t="shared" si="501"/>
        <v>0</v>
      </c>
      <c r="BC615">
        <f t="shared" si="502"/>
        <v>0</v>
      </c>
      <c r="BD615">
        <f t="shared" si="503"/>
        <v>0</v>
      </c>
      <c r="BE615">
        <f t="shared" si="504"/>
        <v>0</v>
      </c>
      <c r="BF615" cm="1">
        <f t="array" ref="BF615">IF(OR(J615={"NS","NA"},BI615={"NS","NA"}),0,IF(J615&lt;=BI615,0,1))</f>
        <v>0</v>
      </c>
      <c r="BG615" cm="1">
        <f t="array" ref="BG615">IF(OR(K615={"NS","NA"},BJ615={"NS","NA"}),0,IF(K615&lt;=BJ615,0,1))</f>
        <v>0</v>
      </c>
      <c r="BH615" cm="1">
        <f t="array" ref="BH615">IF(OR(L615={"NS","NA"},BK615={"NS","NA"}),0,IF(L615&lt;=BK615,0,1))</f>
        <v>0</v>
      </c>
      <c r="BI615">
        <f t="shared" si="509"/>
        <v>0</v>
      </c>
      <c r="BJ615">
        <f t="shared" si="505"/>
        <v>0</v>
      </c>
      <c r="BK615">
        <f t="shared" si="505"/>
        <v>0</v>
      </c>
      <c r="BL615" cm="1">
        <f t="array" ref="BL615">IF(OR(M615={"NS","NA"},$J615={"NS","NA"}),0,IF(M615&lt;=$J615,0,1))</f>
        <v>0</v>
      </c>
      <c r="BM615" cm="1">
        <f t="array" ref="BM615">IF(OR(N615={"NS","NA"},$K615={"NS","NA"}),0,IF(N615&lt;=$K615,0,1))</f>
        <v>0</v>
      </c>
      <c r="BN615" cm="1">
        <f t="array" ref="BN615">IF(OR(O615={"NS","NA"},$L615={"NS","NA"}),0,IF(O615&lt;=$L615,0,1))</f>
        <v>0</v>
      </c>
      <c r="BO615" cm="1">
        <f t="array" ref="BO615">IF(OR(P615={"NS","NA"},$J615={"NS","NA"}),0,IF(P615&lt;=$J615,0,1))</f>
        <v>0</v>
      </c>
      <c r="BP615" cm="1">
        <f t="array" ref="BP615">IF(OR(Q615={"NS","NA"},$K615={"NS","NA"}),0,IF(Q615&lt;=$K615,0,1))</f>
        <v>0</v>
      </c>
      <c r="BQ615" cm="1">
        <f t="array" ref="BQ615">IF(OR(R615={"NS","NA"},$L615={"NS","NA"}),0,IF(R615&lt;=$L615,0,1))</f>
        <v>0</v>
      </c>
      <c r="BR615" cm="1">
        <f t="array" ref="BR615">IF(OR(S615={"NS","NA"},$J615={"NS","NA"}),0,IF(S615&lt;=$J615,0,1))</f>
        <v>0</v>
      </c>
      <c r="BS615" cm="1">
        <f t="array" ref="BS615">IF(OR(T615={"NS","NA"},$K615={"NS","NA"}),0,IF(T615&lt;=$K615,0,1))</f>
        <v>0</v>
      </c>
      <c r="BT615" cm="1">
        <f t="array" ref="BT615">IF(OR(U615={"NS","NA"},$L615={"NS","NA"}),0,IF(U615&lt;=$L615,0,1))</f>
        <v>0</v>
      </c>
      <c r="BU615" cm="1">
        <f t="array" ref="BU615">IF(OR(V615={"NS","NA"},$J615={"NS","NA"}),0,IF(V615&lt;=$J615,0,1))</f>
        <v>0</v>
      </c>
      <c r="BV615" cm="1">
        <f t="array" ref="BV615">IF(OR(W615={"NS","NA"},$K615={"NS","NA"}),0,IF(W615&lt;=$K615,0,1))</f>
        <v>0</v>
      </c>
      <c r="BW615" cm="1">
        <f t="array" ref="BW615">IF(OR(X615={"NS","NA"},$L615={"NS","NA"}),0,IF(X615&lt;=$L615,0,1))</f>
        <v>0</v>
      </c>
      <c r="BX615" cm="1">
        <f t="array" ref="BX615">IF(OR(Y615={"NS","NA"},$J615={"NS","NA"}),0,IF(Y615&lt;=$J615,0,1))</f>
        <v>0</v>
      </c>
      <c r="BY615" cm="1">
        <f t="array" ref="BY615">IF(OR(Z615={"NS","NA"},$K615={"NS","NA"}),0,IF(Z615&lt;=$K615,0,1))</f>
        <v>0</v>
      </c>
      <c r="BZ615" cm="1">
        <f t="array" ref="BZ615">IF(OR(AA615={"NS","NA"},$L615={"NS","NA"}),0,IF(AA615&lt;=$L615,0,1))</f>
        <v>0</v>
      </c>
      <c r="CA615" cm="1">
        <f t="array" ref="CA615">IF(OR(AB615={"NS","NA"},$J615={"NS","NA"}),0,IF(AB615&lt;=$J615,0,1))</f>
        <v>0</v>
      </c>
      <c r="CB615" cm="1">
        <f t="array" ref="CB615">IF(OR(AC615={"NS","NA"},$K615={"NS","NA"}),0,IF(AC615&lt;=$K615,0,1))</f>
        <v>0</v>
      </c>
      <c r="CC615" cm="1">
        <f t="array" ref="CC615">IF(OR(AD615={"NS","NA"},$L615={"NS","NA"}),0,IF(AD615&lt;=$L615,0,1))</f>
        <v>0</v>
      </c>
    </row>
    <row r="616" spans="1:81">
      <c r="A616" s="142"/>
      <c r="B616" s="57"/>
      <c r="C616" s="143" t="s">
        <v>2519</v>
      </c>
      <c r="D616" s="796" t="str">
        <f>IF(CNSIPEE_2024_M2_Secc1!D45="","",CNSIPEE_2024_M2_Secc1!D45)</f>
        <v/>
      </c>
      <c r="E616" s="796"/>
      <c r="F616" s="796"/>
      <c r="G616" s="816"/>
      <c r="H616" s="738"/>
      <c r="I616" s="817"/>
      <c r="J616" s="100"/>
      <c r="K616" s="100"/>
      <c r="L616" s="100"/>
      <c r="M616" s="100"/>
      <c r="N616" s="100"/>
      <c r="O616" s="100"/>
      <c r="P616" s="100"/>
      <c r="Q616" s="100"/>
      <c r="R616" s="100"/>
      <c r="S616" s="100"/>
      <c r="T616" s="100"/>
      <c r="U616" s="100"/>
      <c r="V616" s="100"/>
      <c r="W616" s="100"/>
      <c r="X616" s="100"/>
      <c r="Y616" s="100"/>
      <c r="Z616" s="100"/>
      <c r="AA616" s="100"/>
      <c r="AB616" s="100"/>
      <c r="AC616" s="100"/>
      <c r="AD616" s="100"/>
      <c r="AF616">
        <f t="shared" si="506"/>
        <v>0</v>
      </c>
      <c r="AG616">
        <f t="shared" si="507"/>
        <v>0</v>
      </c>
      <c r="AH616">
        <f t="shared" si="484"/>
        <v>0</v>
      </c>
      <c r="AI616"/>
      <c r="AJ616"/>
      <c r="AK616">
        <f t="shared" si="485"/>
        <v>0</v>
      </c>
      <c r="AL616">
        <f t="shared" si="486"/>
        <v>0</v>
      </c>
      <c r="AM616">
        <f t="shared" si="508"/>
        <v>0</v>
      </c>
      <c r="AN616">
        <f t="shared" si="487"/>
        <v>0</v>
      </c>
      <c r="AO616">
        <f t="shared" si="488"/>
        <v>0</v>
      </c>
      <c r="AP616">
        <f t="shared" si="489"/>
        <v>0</v>
      </c>
      <c r="AQ616">
        <f t="shared" si="490"/>
        <v>0</v>
      </c>
      <c r="AR616">
        <f t="shared" si="491"/>
        <v>0</v>
      </c>
      <c r="AS616">
        <f t="shared" si="492"/>
        <v>0</v>
      </c>
      <c r="AT616">
        <f t="shared" si="493"/>
        <v>0</v>
      </c>
      <c r="AU616">
        <f t="shared" si="494"/>
        <v>0</v>
      </c>
      <c r="AV616">
        <f t="shared" si="495"/>
        <v>0</v>
      </c>
      <c r="AW616">
        <f t="shared" si="496"/>
        <v>0</v>
      </c>
      <c r="AX616">
        <f t="shared" si="497"/>
        <v>0</v>
      </c>
      <c r="AY616">
        <f t="shared" si="498"/>
        <v>0</v>
      </c>
      <c r="AZ616">
        <f t="shared" si="499"/>
        <v>0</v>
      </c>
      <c r="BA616">
        <f t="shared" si="500"/>
        <v>0</v>
      </c>
      <c r="BB616">
        <f t="shared" si="501"/>
        <v>0</v>
      </c>
      <c r="BC616">
        <f t="shared" si="502"/>
        <v>0</v>
      </c>
      <c r="BD616">
        <f t="shared" si="503"/>
        <v>0</v>
      </c>
      <c r="BE616">
        <f t="shared" si="504"/>
        <v>0</v>
      </c>
      <c r="BF616" cm="1">
        <f t="array" ref="BF616">IF(OR(J616={"NS","NA"},BI616={"NS","NA"}),0,IF(J616&lt;=BI616,0,1))</f>
        <v>0</v>
      </c>
      <c r="BG616" cm="1">
        <f t="array" ref="BG616">IF(OR(K616={"NS","NA"},BJ616={"NS","NA"}),0,IF(K616&lt;=BJ616,0,1))</f>
        <v>0</v>
      </c>
      <c r="BH616" cm="1">
        <f t="array" ref="BH616">IF(OR(L616={"NS","NA"},BK616={"NS","NA"}),0,IF(L616&lt;=BK616,0,1))</f>
        <v>0</v>
      </c>
      <c r="BI616">
        <f t="shared" si="509"/>
        <v>0</v>
      </c>
      <c r="BJ616">
        <f t="shared" si="505"/>
        <v>0</v>
      </c>
      <c r="BK616">
        <f t="shared" si="505"/>
        <v>0</v>
      </c>
      <c r="BL616" cm="1">
        <f t="array" ref="BL616">IF(OR(M616={"NS","NA"},$J616={"NS","NA"}),0,IF(M616&lt;=$J616,0,1))</f>
        <v>0</v>
      </c>
      <c r="BM616" cm="1">
        <f t="array" ref="BM616">IF(OR(N616={"NS","NA"},$K616={"NS","NA"}),0,IF(N616&lt;=$K616,0,1))</f>
        <v>0</v>
      </c>
      <c r="BN616" cm="1">
        <f t="array" ref="BN616">IF(OR(O616={"NS","NA"},$L616={"NS","NA"}),0,IF(O616&lt;=$L616,0,1))</f>
        <v>0</v>
      </c>
      <c r="BO616" cm="1">
        <f t="array" ref="BO616">IF(OR(P616={"NS","NA"},$J616={"NS","NA"}),0,IF(P616&lt;=$J616,0,1))</f>
        <v>0</v>
      </c>
      <c r="BP616" cm="1">
        <f t="array" ref="BP616">IF(OR(Q616={"NS","NA"},$K616={"NS","NA"}),0,IF(Q616&lt;=$K616,0,1))</f>
        <v>0</v>
      </c>
      <c r="BQ616" cm="1">
        <f t="array" ref="BQ616">IF(OR(R616={"NS","NA"},$L616={"NS","NA"}),0,IF(R616&lt;=$L616,0,1))</f>
        <v>0</v>
      </c>
      <c r="BR616" cm="1">
        <f t="array" ref="BR616">IF(OR(S616={"NS","NA"},$J616={"NS","NA"}),0,IF(S616&lt;=$J616,0,1))</f>
        <v>0</v>
      </c>
      <c r="BS616" cm="1">
        <f t="array" ref="BS616">IF(OR(T616={"NS","NA"},$K616={"NS","NA"}),0,IF(T616&lt;=$K616,0,1))</f>
        <v>0</v>
      </c>
      <c r="BT616" cm="1">
        <f t="array" ref="BT616">IF(OR(U616={"NS","NA"},$L616={"NS","NA"}),0,IF(U616&lt;=$L616,0,1))</f>
        <v>0</v>
      </c>
      <c r="BU616" cm="1">
        <f t="array" ref="BU616">IF(OR(V616={"NS","NA"},$J616={"NS","NA"}),0,IF(V616&lt;=$J616,0,1))</f>
        <v>0</v>
      </c>
      <c r="BV616" cm="1">
        <f t="array" ref="BV616">IF(OR(W616={"NS","NA"},$K616={"NS","NA"}),0,IF(W616&lt;=$K616,0,1))</f>
        <v>0</v>
      </c>
      <c r="BW616" cm="1">
        <f t="array" ref="BW616">IF(OR(X616={"NS","NA"},$L616={"NS","NA"}),0,IF(X616&lt;=$L616,0,1))</f>
        <v>0</v>
      </c>
      <c r="BX616" cm="1">
        <f t="array" ref="BX616">IF(OR(Y616={"NS","NA"},$J616={"NS","NA"}),0,IF(Y616&lt;=$J616,0,1))</f>
        <v>0</v>
      </c>
      <c r="BY616" cm="1">
        <f t="array" ref="BY616">IF(OR(Z616={"NS","NA"},$K616={"NS","NA"}),0,IF(Z616&lt;=$K616,0,1))</f>
        <v>0</v>
      </c>
      <c r="BZ616" cm="1">
        <f t="array" ref="BZ616">IF(OR(AA616={"NS","NA"},$L616={"NS","NA"}),0,IF(AA616&lt;=$L616,0,1))</f>
        <v>0</v>
      </c>
      <c r="CA616" cm="1">
        <f t="array" ref="CA616">IF(OR(AB616={"NS","NA"},$J616={"NS","NA"}),0,IF(AB616&lt;=$J616,0,1))</f>
        <v>0</v>
      </c>
      <c r="CB616" cm="1">
        <f t="array" ref="CB616">IF(OR(AC616={"NS","NA"},$K616={"NS","NA"}),0,IF(AC616&lt;=$K616,0,1))</f>
        <v>0</v>
      </c>
      <c r="CC616" cm="1">
        <f t="array" ref="CC616">IF(OR(AD616={"NS","NA"},$L616={"NS","NA"}),0,IF(AD616&lt;=$L616,0,1))</f>
        <v>0</v>
      </c>
    </row>
    <row r="617" spans="1:81">
      <c r="A617" s="142"/>
      <c r="B617" s="57"/>
      <c r="C617" s="143" t="s">
        <v>2520</v>
      </c>
      <c r="D617" s="796" t="str">
        <f>IF(CNSIPEE_2024_M2_Secc1!D46="","",CNSIPEE_2024_M2_Secc1!D46)</f>
        <v/>
      </c>
      <c r="E617" s="796"/>
      <c r="F617" s="796"/>
      <c r="G617" s="816"/>
      <c r="H617" s="738"/>
      <c r="I617" s="817"/>
      <c r="J617" s="100"/>
      <c r="K617" s="100"/>
      <c r="L617" s="100"/>
      <c r="M617" s="100"/>
      <c r="N617" s="100"/>
      <c r="O617" s="100"/>
      <c r="P617" s="100"/>
      <c r="Q617" s="100"/>
      <c r="R617" s="100"/>
      <c r="S617" s="100"/>
      <c r="T617" s="100"/>
      <c r="U617" s="100"/>
      <c r="V617" s="100"/>
      <c r="W617" s="100"/>
      <c r="X617" s="100"/>
      <c r="Y617" s="100"/>
      <c r="Z617" s="100"/>
      <c r="AA617" s="100"/>
      <c r="AB617" s="100"/>
      <c r="AC617" s="100"/>
      <c r="AD617" s="100"/>
      <c r="AF617">
        <f t="shared" si="506"/>
        <v>0</v>
      </c>
      <c r="AG617">
        <f t="shared" si="507"/>
        <v>0</v>
      </c>
      <c r="AH617">
        <f t="shared" si="484"/>
        <v>0</v>
      </c>
      <c r="AI617"/>
      <c r="AJ617"/>
      <c r="AK617">
        <f t="shared" si="485"/>
        <v>0</v>
      </c>
      <c r="AL617">
        <f t="shared" si="486"/>
        <v>0</v>
      </c>
      <c r="AM617">
        <f t="shared" si="508"/>
        <v>0</v>
      </c>
      <c r="AN617">
        <f t="shared" si="487"/>
        <v>0</v>
      </c>
      <c r="AO617">
        <f t="shared" si="488"/>
        <v>0</v>
      </c>
      <c r="AP617">
        <f t="shared" si="489"/>
        <v>0</v>
      </c>
      <c r="AQ617">
        <f t="shared" si="490"/>
        <v>0</v>
      </c>
      <c r="AR617">
        <f t="shared" si="491"/>
        <v>0</v>
      </c>
      <c r="AS617">
        <f t="shared" si="492"/>
        <v>0</v>
      </c>
      <c r="AT617">
        <f t="shared" si="493"/>
        <v>0</v>
      </c>
      <c r="AU617">
        <f t="shared" si="494"/>
        <v>0</v>
      </c>
      <c r="AV617">
        <f t="shared" si="495"/>
        <v>0</v>
      </c>
      <c r="AW617">
        <f t="shared" si="496"/>
        <v>0</v>
      </c>
      <c r="AX617">
        <f t="shared" si="497"/>
        <v>0</v>
      </c>
      <c r="AY617">
        <f t="shared" si="498"/>
        <v>0</v>
      </c>
      <c r="AZ617">
        <f t="shared" si="499"/>
        <v>0</v>
      </c>
      <c r="BA617">
        <f t="shared" si="500"/>
        <v>0</v>
      </c>
      <c r="BB617">
        <f t="shared" si="501"/>
        <v>0</v>
      </c>
      <c r="BC617">
        <f t="shared" si="502"/>
        <v>0</v>
      </c>
      <c r="BD617">
        <f t="shared" si="503"/>
        <v>0</v>
      </c>
      <c r="BE617">
        <f t="shared" si="504"/>
        <v>0</v>
      </c>
      <c r="BF617" cm="1">
        <f t="array" ref="BF617">IF(OR(J617={"NS","NA"},BI617={"NS","NA"}),0,IF(J617&lt;=BI617,0,1))</f>
        <v>0</v>
      </c>
      <c r="BG617" cm="1">
        <f t="array" ref="BG617">IF(OR(K617={"NS","NA"},BJ617={"NS","NA"}),0,IF(K617&lt;=BJ617,0,1))</f>
        <v>0</v>
      </c>
      <c r="BH617" cm="1">
        <f t="array" ref="BH617">IF(OR(L617={"NS","NA"},BK617={"NS","NA"}),0,IF(L617&lt;=BK617,0,1))</f>
        <v>0</v>
      </c>
      <c r="BI617">
        <f t="shared" si="509"/>
        <v>0</v>
      </c>
      <c r="BJ617">
        <f t="shared" si="505"/>
        <v>0</v>
      </c>
      <c r="BK617">
        <f t="shared" si="505"/>
        <v>0</v>
      </c>
      <c r="BL617" cm="1">
        <f t="array" ref="BL617">IF(OR(M617={"NS","NA"},$J617={"NS","NA"}),0,IF(M617&lt;=$J617,0,1))</f>
        <v>0</v>
      </c>
      <c r="BM617" cm="1">
        <f t="array" ref="BM617">IF(OR(N617={"NS","NA"},$K617={"NS","NA"}),0,IF(N617&lt;=$K617,0,1))</f>
        <v>0</v>
      </c>
      <c r="BN617" cm="1">
        <f t="array" ref="BN617">IF(OR(O617={"NS","NA"},$L617={"NS","NA"}),0,IF(O617&lt;=$L617,0,1))</f>
        <v>0</v>
      </c>
      <c r="BO617" cm="1">
        <f t="array" ref="BO617">IF(OR(P617={"NS","NA"},$J617={"NS","NA"}),0,IF(P617&lt;=$J617,0,1))</f>
        <v>0</v>
      </c>
      <c r="BP617" cm="1">
        <f t="array" ref="BP617">IF(OR(Q617={"NS","NA"},$K617={"NS","NA"}),0,IF(Q617&lt;=$K617,0,1))</f>
        <v>0</v>
      </c>
      <c r="BQ617" cm="1">
        <f t="array" ref="BQ617">IF(OR(R617={"NS","NA"},$L617={"NS","NA"}),0,IF(R617&lt;=$L617,0,1))</f>
        <v>0</v>
      </c>
      <c r="BR617" cm="1">
        <f t="array" ref="BR617">IF(OR(S617={"NS","NA"},$J617={"NS","NA"}),0,IF(S617&lt;=$J617,0,1))</f>
        <v>0</v>
      </c>
      <c r="BS617" cm="1">
        <f t="array" ref="BS617">IF(OR(T617={"NS","NA"},$K617={"NS","NA"}),0,IF(T617&lt;=$K617,0,1))</f>
        <v>0</v>
      </c>
      <c r="BT617" cm="1">
        <f t="array" ref="BT617">IF(OR(U617={"NS","NA"},$L617={"NS","NA"}),0,IF(U617&lt;=$L617,0,1))</f>
        <v>0</v>
      </c>
      <c r="BU617" cm="1">
        <f t="array" ref="BU617">IF(OR(V617={"NS","NA"},$J617={"NS","NA"}),0,IF(V617&lt;=$J617,0,1))</f>
        <v>0</v>
      </c>
      <c r="BV617" cm="1">
        <f t="array" ref="BV617">IF(OR(W617={"NS","NA"},$K617={"NS","NA"}),0,IF(W617&lt;=$K617,0,1))</f>
        <v>0</v>
      </c>
      <c r="BW617" cm="1">
        <f t="array" ref="BW617">IF(OR(X617={"NS","NA"},$L617={"NS","NA"}),0,IF(X617&lt;=$L617,0,1))</f>
        <v>0</v>
      </c>
      <c r="BX617" cm="1">
        <f t="array" ref="BX617">IF(OR(Y617={"NS","NA"},$J617={"NS","NA"}),0,IF(Y617&lt;=$J617,0,1))</f>
        <v>0</v>
      </c>
      <c r="BY617" cm="1">
        <f t="array" ref="BY617">IF(OR(Z617={"NS","NA"},$K617={"NS","NA"}),0,IF(Z617&lt;=$K617,0,1))</f>
        <v>0</v>
      </c>
      <c r="BZ617" cm="1">
        <f t="array" ref="BZ617">IF(OR(AA617={"NS","NA"},$L617={"NS","NA"}),0,IF(AA617&lt;=$L617,0,1))</f>
        <v>0</v>
      </c>
      <c r="CA617" cm="1">
        <f t="array" ref="CA617">IF(OR(AB617={"NS","NA"},$J617={"NS","NA"}),0,IF(AB617&lt;=$J617,0,1))</f>
        <v>0</v>
      </c>
      <c r="CB617" cm="1">
        <f t="array" ref="CB617">IF(OR(AC617={"NS","NA"},$K617={"NS","NA"}),0,IF(AC617&lt;=$K617,0,1))</f>
        <v>0</v>
      </c>
      <c r="CC617" cm="1">
        <f t="array" ref="CC617">IF(OR(AD617={"NS","NA"},$L617={"NS","NA"}),0,IF(AD617&lt;=$L617,0,1))</f>
        <v>0</v>
      </c>
    </row>
    <row r="618" spans="1:81">
      <c r="A618" s="142"/>
      <c r="B618" s="57"/>
      <c r="C618" s="143" t="s">
        <v>2521</v>
      </c>
      <c r="D618" s="796" t="str">
        <f>IF(CNSIPEE_2024_M2_Secc1!D47="","",CNSIPEE_2024_M2_Secc1!D47)</f>
        <v/>
      </c>
      <c r="E618" s="796"/>
      <c r="F618" s="796"/>
      <c r="G618" s="816"/>
      <c r="H618" s="738"/>
      <c r="I618" s="817"/>
      <c r="J618" s="100"/>
      <c r="K618" s="100"/>
      <c r="L618" s="100"/>
      <c r="M618" s="100"/>
      <c r="N618" s="100"/>
      <c r="O618" s="100"/>
      <c r="P618" s="100"/>
      <c r="Q618" s="100"/>
      <c r="R618" s="100"/>
      <c r="S618" s="100"/>
      <c r="T618" s="100"/>
      <c r="U618" s="100"/>
      <c r="V618" s="100"/>
      <c r="W618" s="100"/>
      <c r="X618" s="100"/>
      <c r="Y618" s="100"/>
      <c r="Z618" s="100"/>
      <c r="AA618" s="100"/>
      <c r="AB618" s="100"/>
      <c r="AC618" s="100"/>
      <c r="AD618" s="100"/>
      <c r="AF618">
        <f t="shared" si="506"/>
        <v>0</v>
      </c>
      <c r="AG618">
        <f t="shared" si="507"/>
        <v>0</v>
      </c>
      <c r="AH618">
        <f t="shared" si="484"/>
        <v>0</v>
      </c>
      <c r="AI618"/>
      <c r="AJ618"/>
      <c r="AK618">
        <f t="shared" si="485"/>
        <v>0</v>
      </c>
      <c r="AL618">
        <f t="shared" si="486"/>
        <v>0</v>
      </c>
      <c r="AM618">
        <f t="shared" si="508"/>
        <v>0</v>
      </c>
      <c r="AN618">
        <f t="shared" si="487"/>
        <v>0</v>
      </c>
      <c r="AO618">
        <f t="shared" si="488"/>
        <v>0</v>
      </c>
      <c r="AP618">
        <f t="shared" si="489"/>
        <v>0</v>
      </c>
      <c r="AQ618">
        <f t="shared" si="490"/>
        <v>0</v>
      </c>
      <c r="AR618">
        <f t="shared" si="491"/>
        <v>0</v>
      </c>
      <c r="AS618">
        <f t="shared" si="492"/>
        <v>0</v>
      </c>
      <c r="AT618">
        <f t="shared" si="493"/>
        <v>0</v>
      </c>
      <c r="AU618">
        <f t="shared" si="494"/>
        <v>0</v>
      </c>
      <c r="AV618">
        <f t="shared" si="495"/>
        <v>0</v>
      </c>
      <c r="AW618">
        <f t="shared" si="496"/>
        <v>0</v>
      </c>
      <c r="AX618">
        <f t="shared" si="497"/>
        <v>0</v>
      </c>
      <c r="AY618">
        <f t="shared" si="498"/>
        <v>0</v>
      </c>
      <c r="AZ618">
        <f t="shared" si="499"/>
        <v>0</v>
      </c>
      <c r="BA618">
        <f t="shared" si="500"/>
        <v>0</v>
      </c>
      <c r="BB618">
        <f t="shared" si="501"/>
        <v>0</v>
      </c>
      <c r="BC618">
        <f t="shared" si="502"/>
        <v>0</v>
      </c>
      <c r="BD618">
        <f t="shared" si="503"/>
        <v>0</v>
      </c>
      <c r="BE618">
        <f t="shared" si="504"/>
        <v>0</v>
      </c>
      <c r="BF618" cm="1">
        <f t="array" ref="BF618">IF(OR(J618={"NS","NA"},BI618={"NS","NA"}),0,IF(J618&lt;=BI618,0,1))</f>
        <v>0</v>
      </c>
      <c r="BG618" cm="1">
        <f t="array" ref="BG618">IF(OR(K618={"NS","NA"},BJ618={"NS","NA"}),0,IF(K618&lt;=BJ618,0,1))</f>
        <v>0</v>
      </c>
      <c r="BH618" cm="1">
        <f t="array" ref="BH618">IF(OR(L618={"NS","NA"},BK618={"NS","NA"}),0,IF(L618&lt;=BK618,0,1))</f>
        <v>0</v>
      </c>
      <c r="BI618">
        <f t="shared" si="509"/>
        <v>0</v>
      </c>
      <c r="BJ618">
        <f t="shared" si="505"/>
        <v>0</v>
      </c>
      <c r="BK618">
        <f t="shared" si="505"/>
        <v>0</v>
      </c>
      <c r="BL618" cm="1">
        <f t="array" ref="BL618">IF(OR(M618={"NS","NA"},$J618={"NS","NA"}),0,IF(M618&lt;=$J618,0,1))</f>
        <v>0</v>
      </c>
      <c r="BM618" cm="1">
        <f t="array" ref="BM618">IF(OR(N618={"NS","NA"},$K618={"NS","NA"}),0,IF(N618&lt;=$K618,0,1))</f>
        <v>0</v>
      </c>
      <c r="BN618" cm="1">
        <f t="array" ref="BN618">IF(OR(O618={"NS","NA"},$L618={"NS","NA"}),0,IF(O618&lt;=$L618,0,1))</f>
        <v>0</v>
      </c>
      <c r="BO618" cm="1">
        <f t="array" ref="BO618">IF(OR(P618={"NS","NA"},$J618={"NS","NA"}),0,IF(P618&lt;=$J618,0,1))</f>
        <v>0</v>
      </c>
      <c r="BP618" cm="1">
        <f t="array" ref="BP618">IF(OR(Q618={"NS","NA"},$K618={"NS","NA"}),0,IF(Q618&lt;=$K618,0,1))</f>
        <v>0</v>
      </c>
      <c r="BQ618" cm="1">
        <f t="array" ref="BQ618">IF(OR(R618={"NS","NA"},$L618={"NS","NA"}),0,IF(R618&lt;=$L618,0,1))</f>
        <v>0</v>
      </c>
      <c r="BR618" cm="1">
        <f t="array" ref="BR618">IF(OR(S618={"NS","NA"},$J618={"NS","NA"}),0,IF(S618&lt;=$J618,0,1))</f>
        <v>0</v>
      </c>
      <c r="BS618" cm="1">
        <f t="array" ref="BS618">IF(OR(T618={"NS","NA"},$K618={"NS","NA"}),0,IF(T618&lt;=$K618,0,1))</f>
        <v>0</v>
      </c>
      <c r="BT618" cm="1">
        <f t="array" ref="BT618">IF(OR(U618={"NS","NA"},$L618={"NS","NA"}),0,IF(U618&lt;=$L618,0,1))</f>
        <v>0</v>
      </c>
      <c r="BU618" cm="1">
        <f t="array" ref="BU618">IF(OR(V618={"NS","NA"},$J618={"NS","NA"}),0,IF(V618&lt;=$J618,0,1))</f>
        <v>0</v>
      </c>
      <c r="BV618" cm="1">
        <f t="array" ref="BV618">IF(OR(W618={"NS","NA"},$K618={"NS","NA"}),0,IF(W618&lt;=$K618,0,1))</f>
        <v>0</v>
      </c>
      <c r="BW618" cm="1">
        <f t="array" ref="BW618">IF(OR(X618={"NS","NA"},$L618={"NS","NA"}),0,IF(X618&lt;=$L618,0,1))</f>
        <v>0</v>
      </c>
      <c r="BX618" cm="1">
        <f t="array" ref="BX618">IF(OR(Y618={"NS","NA"},$J618={"NS","NA"}),0,IF(Y618&lt;=$J618,0,1))</f>
        <v>0</v>
      </c>
      <c r="BY618" cm="1">
        <f t="array" ref="BY618">IF(OR(Z618={"NS","NA"},$K618={"NS","NA"}),0,IF(Z618&lt;=$K618,0,1))</f>
        <v>0</v>
      </c>
      <c r="BZ618" cm="1">
        <f t="array" ref="BZ618">IF(OR(AA618={"NS","NA"},$L618={"NS","NA"}),0,IF(AA618&lt;=$L618,0,1))</f>
        <v>0</v>
      </c>
      <c r="CA618" cm="1">
        <f t="array" ref="CA618">IF(OR(AB618={"NS","NA"},$J618={"NS","NA"}),0,IF(AB618&lt;=$J618,0,1))</f>
        <v>0</v>
      </c>
      <c r="CB618" cm="1">
        <f t="array" ref="CB618">IF(OR(AC618={"NS","NA"},$K618={"NS","NA"}),0,IF(AC618&lt;=$K618,0,1))</f>
        <v>0</v>
      </c>
      <c r="CC618" cm="1">
        <f t="array" ref="CC618">IF(OR(AD618={"NS","NA"},$L618={"NS","NA"}),0,IF(AD618&lt;=$L618,0,1))</f>
        <v>0</v>
      </c>
    </row>
    <row r="619" spans="1:81">
      <c r="A619" s="142"/>
      <c r="B619" s="57"/>
      <c r="C619" s="143" t="s">
        <v>2522</v>
      </c>
      <c r="D619" s="796" t="str">
        <f>IF(CNSIPEE_2024_M2_Secc1!D48="","",CNSIPEE_2024_M2_Secc1!D48)</f>
        <v/>
      </c>
      <c r="E619" s="796"/>
      <c r="F619" s="796"/>
      <c r="G619" s="816"/>
      <c r="H619" s="738"/>
      <c r="I619" s="817"/>
      <c r="J619" s="100"/>
      <c r="K619" s="100"/>
      <c r="L619" s="100"/>
      <c r="M619" s="100"/>
      <c r="N619" s="100"/>
      <c r="O619" s="100"/>
      <c r="P619" s="100"/>
      <c r="Q619" s="100"/>
      <c r="R619" s="100"/>
      <c r="S619" s="100"/>
      <c r="T619" s="100"/>
      <c r="U619" s="100"/>
      <c r="V619" s="100"/>
      <c r="W619" s="100"/>
      <c r="X619" s="100"/>
      <c r="Y619" s="100"/>
      <c r="Z619" s="100"/>
      <c r="AA619" s="100"/>
      <c r="AB619" s="100"/>
      <c r="AC619" s="100"/>
      <c r="AD619" s="100"/>
      <c r="AF619">
        <f t="shared" si="506"/>
        <v>0</v>
      </c>
      <c r="AG619">
        <f t="shared" si="507"/>
        <v>0</v>
      </c>
      <c r="AH619">
        <f t="shared" si="484"/>
        <v>0</v>
      </c>
      <c r="AI619"/>
      <c r="AJ619"/>
      <c r="AK619">
        <f t="shared" si="485"/>
        <v>0</v>
      </c>
      <c r="AL619">
        <f t="shared" si="486"/>
        <v>0</v>
      </c>
      <c r="AM619">
        <f t="shared" si="508"/>
        <v>0</v>
      </c>
      <c r="AN619">
        <f t="shared" si="487"/>
        <v>0</v>
      </c>
      <c r="AO619">
        <f t="shared" si="488"/>
        <v>0</v>
      </c>
      <c r="AP619">
        <f t="shared" si="489"/>
        <v>0</v>
      </c>
      <c r="AQ619">
        <f t="shared" si="490"/>
        <v>0</v>
      </c>
      <c r="AR619">
        <f t="shared" si="491"/>
        <v>0</v>
      </c>
      <c r="AS619">
        <f t="shared" si="492"/>
        <v>0</v>
      </c>
      <c r="AT619">
        <f t="shared" si="493"/>
        <v>0</v>
      </c>
      <c r="AU619">
        <f t="shared" si="494"/>
        <v>0</v>
      </c>
      <c r="AV619">
        <f t="shared" si="495"/>
        <v>0</v>
      </c>
      <c r="AW619">
        <f t="shared" si="496"/>
        <v>0</v>
      </c>
      <c r="AX619">
        <f t="shared" si="497"/>
        <v>0</v>
      </c>
      <c r="AY619">
        <f t="shared" si="498"/>
        <v>0</v>
      </c>
      <c r="AZ619">
        <f t="shared" si="499"/>
        <v>0</v>
      </c>
      <c r="BA619">
        <f t="shared" si="500"/>
        <v>0</v>
      </c>
      <c r="BB619">
        <f t="shared" si="501"/>
        <v>0</v>
      </c>
      <c r="BC619">
        <f t="shared" si="502"/>
        <v>0</v>
      </c>
      <c r="BD619">
        <f t="shared" si="503"/>
        <v>0</v>
      </c>
      <c r="BE619">
        <f t="shared" si="504"/>
        <v>0</v>
      </c>
      <c r="BF619" cm="1">
        <f t="array" ref="BF619">IF(OR(J619={"NS","NA"},BI619={"NS","NA"}),0,IF(J619&lt;=BI619,0,1))</f>
        <v>0</v>
      </c>
      <c r="BG619" cm="1">
        <f t="array" ref="BG619">IF(OR(K619={"NS","NA"},BJ619={"NS","NA"}),0,IF(K619&lt;=BJ619,0,1))</f>
        <v>0</v>
      </c>
      <c r="BH619" cm="1">
        <f t="array" ref="BH619">IF(OR(L619={"NS","NA"},BK619={"NS","NA"}),0,IF(L619&lt;=BK619,0,1))</f>
        <v>0</v>
      </c>
      <c r="BI619">
        <f t="shared" si="509"/>
        <v>0</v>
      </c>
      <c r="BJ619">
        <f t="shared" si="505"/>
        <v>0</v>
      </c>
      <c r="BK619">
        <f t="shared" si="505"/>
        <v>0</v>
      </c>
      <c r="BL619" cm="1">
        <f t="array" ref="BL619">IF(OR(M619={"NS","NA"},$J619={"NS","NA"}),0,IF(M619&lt;=$J619,0,1))</f>
        <v>0</v>
      </c>
      <c r="BM619" cm="1">
        <f t="array" ref="BM619">IF(OR(N619={"NS","NA"},$K619={"NS","NA"}),0,IF(N619&lt;=$K619,0,1))</f>
        <v>0</v>
      </c>
      <c r="BN619" cm="1">
        <f t="array" ref="BN619">IF(OR(O619={"NS","NA"},$L619={"NS","NA"}),0,IF(O619&lt;=$L619,0,1))</f>
        <v>0</v>
      </c>
      <c r="BO619" cm="1">
        <f t="array" ref="BO619">IF(OR(P619={"NS","NA"},$J619={"NS","NA"}),0,IF(P619&lt;=$J619,0,1))</f>
        <v>0</v>
      </c>
      <c r="BP619" cm="1">
        <f t="array" ref="BP619">IF(OR(Q619={"NS","NA"},$K619={"NS","NA"}),0,IF(Q619&lt;=$K619,0,1))</f>
        <v>0</v>
      </c>
      <c r="BQ619" cm="1">
        <f t="array" ref="BQ619">IF(OR(R619={"NS","NA"},$L619={"NS","NA"}),0,IF(R619&lt;=$L619,0,1))</f>
        <v>0</v>
      </c>
      <c r="BR619" cm="1">
        <f t="array" ref="BR619">IF(OR(S619={"NS","NA"},$J619={"NS","NA"}),0,IF(S619&lt;=$J619,0,1))</f>
        <v>0</v>
      </c>
      <c r="BS619" cm="1">
        <f t="array" ref="BS619">IF(OR(T619={"NS","NA"},$K619={"NS","NA"}),0,IF(T619&lt;=$K619,0,1))</f>
        <v>0</v>
      </c>
      <c r="BT619" cm="1">
        <f t="array" ref="BT619">IF(OR(U619={"NS","NA"},$L619={"NS","NA"}),0,IF(U619&lt;=$L619,0,1))</f>
        <v>0</v>
      </c>
      <c r="BU619" cm="1">
        <f t="array" ref="BU619">IF(OR(V619={"NS","NA"},$J619={"NS","NA"}),0,IF(V619&lt;=$J619,0,1))</f>
        <v>0</v>
      </c>
      <c r="BV619" cm="1">
        <f t="array" ref="BV619">IF(OR(W619={"NS","NA"},$K619={"NS","NA"}),0,IF(W619&lt;=$K619,0,1))</f>
        <v>0</v>
      </c>
      <c r="BW619" cm="1">
        <f t="array" ref="BW619">IF(OR(X619={"NS","NA"},$L619={"NS","NA"}),0,IF(X619&lt;=$L619,0,1))</f>
        <v>0</v>
      </c>
      <c r="BX619" cm="1">
        <f t="array" ref="BX619">IF(OR(Y619={"NS","NA"},$J619={"NS","NA"}),0,IF(Y619&lt;=$J619,0,1))</f>
        <v>0</v>
      </c>
      <c r="BY619" cm="1">
        <f t="array" ref="BY619">IF(OR(Z619={"NS","NA"},$K619={"NS","NA"}),0,IF(Z619&lt;=$K619,0,1))</f>
        <v>0</v>
      </c>
      <c r="BZ619" cm="1">
        <f t="array" ref="BZ619">IF(OR(AA619={"NS","NA"},$L619={"NS","NA"}),0,IF(AA619&lt;=$L619,0,1))</f>
        <v>0</v>
      </c>
      <c r="CA619" cm="1">
        <f t="array" ref="CA619">IF(OR(AB619={"NS","NA"},$J619={"NS","NA"}),0,IF(AB619&lt;=$J619,0,1))</f>
        <v>0</v>
      </c>
      <c r="CB619" cm="1">
        <f t="array" ref="CB619">IF(OR(AC619={"NS","NA"},$K619={"NS","NA"}),0,IF(AC619&lt;=$K619,0,1))</f>
        <v>0</v>
      </c>
      <c r="CC619" cm="1">
        <f t="array" ref="CC619">IF(OR(AD619={"NS","NA"},$L619={"NS","NA"}),0,IF(AD619&lt;=$L619,0,1))</f>
        <v>0</v>
      </c>
    </row>
    <row r="620" spans="1:81">
      <c r="A620" s="142"/>
      <c r="B620" s="57"/>
      <c r="C620" s="143" t="s">
        <v>2523</v>
      </c>
      <c r="D620" s="796" t="str">
        <f>IF(CNSIPEE_2024_M2_Secc1!D49="","",CNSIPEE_2024_M2_Secc1!D49)</f>
        <v/>
      </c>
      <c r="E620" s="796"/>
      <c r="F620" s="796"/>
      <c r="G620" s="816"/>
      <c r="H620" s="738"/>
      <c r="I620" s="817"/>
      <c r="J620" s="100"/>
      <c r="K620" s="100"/>
      <c r="L620" s="100"/>
      <c r="M620" s="100"/>
      <c r="N620" s="100"/>
      <c r="O620" s="100"/>
      <c r="P620" s="100"/>
      <c r="Q620" s="100"/>
      <c r="R620" s="100"/>
      <c r="S620" s="100"/>
      <c r="T620" s="100"/>
      <c r="U620" s="100"/>
      <c r="V620" s="100"/>
      <c r="W620" s="100"/>
      <c r="X620" s="100"/>
      <c r="Y620" s="100"/>
      <c r="Z620" s="100"/>
      <c r="AA620" s="100"/>
      <c r="AB620" s="100"/>
      <c r="AC620" s="100"/>
      <c r="AD620" s="100"/>
      <c r="AF620">
        <f t="shared" si="506"/>
        <v>0</v>
      </c>
      <c r="AG620">
        <f t="shared" si="507"/>
        <v>0</v>
      </c>
      <c r="AH620">
        <f t="shared" si="484"/>
        <v>0</v>
      </c>
      <c r="AI620"/>
      <c r="AJ620"/>
      <c r="AK620">
        <f t="shared" si="485"/>
        <v>0</v>
      </c>
      <c r="AL620">
        <f t="shared" si="486"/>
        <v>0</v>
      </c>
      <c r="AM620">
        <f t="shared" si="508"/>
        <v>0</v>
      </c>
      <c r="AN620">
        <f t="shared" si="487"/>
        <v>0</v>
      </c>
      <c r="AO620">
        <f t="shared" si="488"/>
        <v>0</v>
      </c>
      <c r="AP620">
        <f t="shared" si="489"/>
        <v>0</v>
      </c>
      <c r="AQ620">
        <f t="shared" si="490"/>
        <v>0</v>
      </c>
      <c r="AR620">
        <f t="shared" si="491"/>
        <v>0</v>
      </c>
      <c r="AS620">
        <f t="shared" si="492"/>
        <v>0</v>
      </c>
      <c r="AT620">
        <f t="shared" si="493"/>
        <v>0</v>
      </c>
      <c r="AU620">
        <f t="shared" si="494"/>
        <v>0</v>
      </c>
      <c r="AV620">
        <f t="shared" si="495"/>
        <v>0</v>
      </c>
      <c r="AW620">
        <f t="shared" si="496"/>
        <v>0</v>
      </c>
      <c r="AX620">
        <f t="shared" si="497"/>
        <v>0</v>
      </c>
      <c r="AY620">
        <f t="shared" si="498"/>
        <v>0</v>
      </c>
      <c r="AZ620">
        <f t="shared" si="499"/>
        <v>0</v>
      </c>
      <c r="BA620">
        <f t="shared" si="500"/>
        <v>0</v>
      </c>
      <c r="BB620">
        <f t="shared" si="501"/>
        <v>0</v>
      </c>
      <c r="BC620">
        <f t="shared" si="502"/>
        <v>0</v>
      </c>
      <c r="BD620">
        <f t="shared" si="503"/>
        <v>0</v>
      </c>
      <c r="BE620">
        <f t="shared" si="504"/>
        <v>0</v>
      </c>
      <c r="BF620" cm="1">
        <f t="array" ref="BF620">IF(OR(J620={"NS","NA"},BI620={"NS","NA"}),0,IF(J620&lt;=BI620,0,1))</f>
        <v>0</v>
      </c>
      <c r="BG620" cm="1">
        <f t="array" ref="BG620">IF(OR(K620={"NS","NA"},BJ620={"NS","NA"}),0,IF(K620&lt;=BJ620,0,1))</f>
        <v>0</v>
      </c>
      <c r="BH620" cm="1">
        <f t="array" ref="BH620">IF(OR(L620={"NS","NA"},BK620={"NS","NA"}),0,IF(L620&lt;=BK620,0,1))</f>
        <v>0</v>
      </c>
      <c r="BI620">
        <f t="shared" si="509"/>
        <v>0</v>
      </c>
      <c r="BJ620">
        <f t="shared" si="505"/>
        <v>0</v>
      </c>
      <c r="BK620">
        <f t="shared" si="505"/>
        <v>0</v>
      </c>
      <c r="BL620" cm="1">
        <f t="array" ref="BL620">IF(OR(M620={"NS","NA"},$J620={"NS","NA"}),0,IF(M620&lt;=$J620,0,1))</f>
        <v>0</v>
      </c>
      <c r="BM620" cm="1">
        <f t="array" ref="BM620">IF(OR(N620={"NS","NA"},$K620={"NS","NA"}),0,IF(N620&lt;=$K620,0,1))</f>
        <v>0</v>
      </c>
      <c r="BN620" cm="1">
        <f t="array" ref="BN620">IF(OR(O620={"NS","NA"},$L620={"NS","NA"}),0,IF(O620&lt;=$L620,0,1))</f>
        <v>0</v>
      </c>
      <c r="BO620" cm="1">
        <f t="array" ref="BO620">IF(OR(P620={"NS","NA"},$J620={"NS","NA"}),0,IF(P620&lt;=$J620,0,1))</f>
        <v>0</v>
      </c>
      <c r="BP620" cm="1">
        <f t="array" ref="BP620">IF(OR(Q620={"NS","NA"},$K620={"NS","NA"}),0,IF(Q620&lt;=$K620,0,1))</f>
        <v>0</v>
      </c>
      <c r="BQ620" cm="1">
        <f t="array" ref="BQ620">IF(OR(R620={"NS","NA"},$L620={"NS","NA"}),0,IF(R620&lt;=$L620,0,1))</f>
        <v>0</v>
      </c>
      <c r="BR620" cm="1">
        <f t="array" ref="BR620">IF(OR(S620={"NS","NA"},$J620={"NS","NA"}),0,IF(S620&lt;=$J620,0,1))</f>
        <v>0</v>
      </c>
      <c r="BS620" cm="1">
        <f t="array" ref="BS620">IF(OR(T620={"NS","NA"},$K620={"NS","NA"}),0,IF(T620&lt;=$K620,0,1))</f>
        <v>0</v>
      </c>
      <c r="BT620" cm="1">
        <f t="array" ref="BT620">IF(OR(U620={"NS","NA"},$L620={"NS","NA"}),0,IF(U620&lt;=$L620,0,1))</f>
        <v>0</v>
      </c>
      <c r="BU620" cm="1">
        <f t="array" ref="BU620">IF(OR(V620={"NS","NA"},$J620={"NS","NA"}),0,IF(V620&lt;=$J620,0,1))</f>
        <v>0</v>
      </c>
      <c r="BV620" cm="1">
        <f t="array" ref="BV620">IF(OR(W620={"NS","NA"},$K620={"NS","NA"}),0,IF(W620&lt;=$K620,0,1))</f>
        <v>0</v>
      </c>
      <c r="BW620" cm="1">
        <f t="array" ref="BW620">IF(OR(X620={"NS","NA"},$L620={"NS","NA"}),0,IF(X620&lt;=$L620,0,1))</f>
        <v>0</v>
      </c>
      <c r="BX620" cm="1">
        <f t="array" ref="BX620">IF(OR(Y620={"NS","NA"},$J620={"NS","NA"}),0,IF(Y620&lt;=$J620,0,1))</f>
        <v>0</v>
      </c>
      <c r="BY620" cm="1">
        <f t="array" ref="BY620">IF(OR(Z620={"NS","NA"},$K620={"NS","NA"}),0,IF(Z620&lt;=$K620,0,1))</f>
        <v>0</v>
      </c>
      <c r="BZ620" cm="1">
        <f t="array" ref="BZ620">IF(OR(AA620={"NS","NA"},$L620={"NS","NA"}),0,IF(AA620&lt;=$L620,0,1))</f>
        <v>0</v>
      </c>
      <c r="CA620" cm="1">
        <f t="array" ref="CA620">IF(OR(AB620={"NS","NA"},$J620={"NS","NA"}),0,IF(AB620&lt;=$J620,0,1))</f>
        <v>0</v>
      </c>
      <c r="CB620" cm="1">
        <f t="array" ref="CB620">IF(OR(AC620={"NS","NA"},$K620={"NS","NA"}),0,IF(AC620&lt;=$K620,0,1))</f>
        <v>0</v>
      </c>
      <c r="CC620" cm="1">
        <f t="array" ref="CC620">IF(OR(AD620={"NS","NA"},$L620={"NS","NA"}),0,IF(AD620&lt;=$L620,0,1))</f>
        <v>0</v>
      </c>
    </row>
    <row r="621" spans="1:81">
      <c r="A621" s="142"/>
      <c r="B621" s="57"/>
      <c r="C621" s="75"/>
      <c r="D621" s="75"/>
      <c r="E621" s="75"/>
      <c r="F621" s="75"/>
      <c r="G621" s="75"/>
      <c r="H621" s="75"/>
      <c r="I621" s="99" t="s">
        <v>2649</v>
      </c>
      <c r="J621" s="124">
        <f t="shared" ref="J621:AD621" si="510">IF(AND(SUM(J613:J620)=0,COUNTIF(J613:J620,"NS")&gt;0),"NS",IF(AND(SUM(J613:J620)=0,COUNTIF(J613:J620,0)&gt;0),0,IF(AND(SUM(J613:J620)=0,COUNTIF(J613:J620,"NA")&gt;0),"NA",SUM(J613:J620))))</f>
        <v>0</v>
      </c>
      <c r="K621" s="124">
        <f t="shared" si="510"/>
        <v>0</v>
      </c>
      <c r="L621" s="124">
        <f t="shared" si="510"/>
        <v>0</v>
      </c>
      <c r="M621" s="124">
        <f t="shared" si="510"/>
        <v>0</v>
      </c>
      <c r="N621" s="124">
        <f t="shared" si="510"/>
        <v>0</v>
      </c>
      <c r="O621" s="124">
        <f t="shared" si="510"/>
        <v>0</v>
      </c>
      <c r="P621" s="124">
        <f t="shared" si="510"/>
        <v>0</v>
      </c>
      <c r="Q621" s="124">
        <f t="shared" si="510"/>
        <v>0</v>
      </c>
      <c r="R621" s="124">
        <f t="shared" si="510"/>
        <v>0</v>
      </c>
      <c r="S621" s="124">
        <f t="shared" si="510"/>
        <v>0</v>
      </c>
      <c r="T621" s="124">
        <f t="shared" si="510"/>
        <v>0</v>
      </c>
      <c r="U621" s="124">
        <f t="shared" si="510"/>
        <v>0</v>
      </c>
      <c r="V621" s="124">
        <f t="shared" si="510"/>
        <v>0</v>
      </c>
      <c r="W621" s="124">
        <f t="shared" si="510"/>
        <v>0</v>
      </c>
      <c r="X621" s="124">
        <f t="shared" si="510"/>
        <v>0</v>
      </c>
      <c r="Y621" s="124">
        <f t="shared" si="510"/>
        <v>0</v>
      </c>
      <c r="Z621" s="124">
        <f t="shared" si="510"/>
        <v>0</v>
      </c>
      <c r="AA621" s="124">
        <f t="shared" si="510"/>
        <v>0</v>
      </c>
      <c r="AB621" s="124">
        <f t="shared" si="510"/>
        <v>0</v>
      </c>
      <c r="AC621" s="124">
        <f t="shared" si="510"/>
        <v>0</v>
      </c>
      <c r="AD621" s="124">
        <f t="shared" si="510"/>
        <v>0</v>
      </c>
      <c r="AF621" s="507">
        <f>SUM(AF613:AF620)</f>
        <v>0</v>
      </c>
      <c r="AG621" s="507">
        <f>SUM(AG613:AG620)</f>
        <v>0</v>
      </c>
      <c r="AH621" s="507">
        <f>SUM(AH613:AH620)</f>
        <v>0</v>
      </c>
      <c r="AJ621"/>
      <c r="AK621">
        <f>SUM(AK613:AK620)</f>
        <v>0</v>
      </c>
      <c r="AM621">
        <f>SUM(AM613:AM620)</f>
        <v>0</v>
      </c>
      <c r="AN621">
        <f>SUM(AN613:AN620)</f>
        <v>0</v>
      </c>
      <c r="AP621">
        <f>SUM(AP613:AP620)</f>
        <v>0</v>
      </c>
      <c r="AQ621">
        <f>SUM(AQ613:AQ620)</f>
        <v>0</v>
      </c>
      <c r="AS621">
        <f>SUM(AS613:AS620)</f>
        <v>0</v>
      </c>
      <c r="AT621">
        <f>SUM(AT613:AT620)</f>
        <v>0</v>
      </c>
      <c r="AV621">
        <f>SUM(AV613:AV620)</f>
        <v>0</v>
      </c>
      <c r="AW621">
        <f>SUM(AW613:AW620)</f>
        <v>0</v>
      </c>
      <c r="AY621">
        <f>SUM(AY613:AY620)</f>
        <v>0</v>
      </c>
      <c r="AZ621">
        <f>SUM(AZ613:AZ620)</f>
        <v>0</v>
      </c>
      <c r="BB621">
        <f>SUM(BB613:BB620)</f>
        <v>0</v>
      </c>
      <c r="BC621">
        <f>SUM(BC613:BC620)</f>
        <v>0</v>
      </c>
      <c r="BE621">
        <f>SUM(BE613:BE620)</f>
        <v>0</v>
      </c>
      <c r="BH621" s="507">
        <f>SUM(BF613:BH620)</f>
        <v>0</v>
      </c>
      <c r="CC621" s="507">
        <f>SUM(BL613:CC620)</f>
        <v>0</v>
      </c>
    </row>
    <row r="622" spans="1:81">
      <c r="A622" s="142"/>
      <c r="B622" s="57"/>
      <c r="C622" s="75"/>
      <c r="D622" s="75"/>
      <c r="E622" s="75"/>
      <c r="F622" s="75"/>
      <c r="G622" s="75"/>
      <c r="H622" s="75"/>
      <c r="I622" s="75"/>
      <c r="J622" s="75"/>
      <c r="K622" s="75"/>
      <c r="L622" s="75"/>
      <c r="M622" s="75"/>
      <c r="N622" s="75"/>
      <c r="O622" s="75"/>
      <c r="P622" s="75"/>
      <c r="Q622" s="75"/>
      <c r="R622" s="75"/>
      <c r="S622" s="75"/>
      <c r="T622" s="75"/>
      <c r="U622" s="75"/>
      <c r="V622" s="75"/>
      <c r="W622" s="75"/>
      <c r="X622" s="75"/>
      <c r="Y622" s="75"/>
      <c r="Z622" s="75"/>
      <c r="AA622" s="75"/>
      <c r="AB622" s="75"/>
      <c r="AC622" s="75"/>
      <c r="AD622" s="75"/>
      <c r="AK622" t="s">
        <v>2650</v>
      </c>
      <c r="AL622" s="506">
        <f>SUM(AM621,AP621,AS621,AV621,AY621,BB621,BE621)</f>
        <v>0</v>
      </c>
      <c r="AM622" t="s">
        <v>2651</v>
      </c>
      <c r="AN622">
        <f>SUM(AK621,AN621,AQ621,AT621,AW621,AZ621,BC621)</f>
        <v>0</v>
      </c>
      <c r="CA622"/>
      <c r="CB622"/>
      <c r="CC622"/>
    </row>
    <row r="623" spans="1:81" ht="45" customHeight="1">
      <c r="A623" s="142"/>
      <c r="B623" s="57"/>
      <c r="C623" s="822" t="s">
        <v>2798</v>
      </c>
      <c r="D623" s="822"/>
      <c r="E623" s="822"/>
      <c r="F623" s="749"/>
      <c r="G623" s="749"/>
      <c r="H623" s="749"/>
      <c r="I623" s="749"/>
      <c r="J623" s="749"/>
      <c r="K623" s="749"/>
      <c r="L623" s="749"/>
      <c r="M623" s="749"/>
      <c r="N623" s="749"/>
      <c r="O623" s="749"/>
      <c r="P623" s="749"/>
      <c r="Q623" s="749"/>
      <c r="R623" s="749"/>
      <c r="S623" s="749"/>
      <c r="T623" s="749"/>
      <c r="U623" s="749"/>
      <c r="V623" s="749"/>
      <c r="W623" s="749"/>
      <c r="X623" s="749"/>
      <c r="Y623" s="749"/>
      <c r="Z623" s="749"/>
      <c r="AA623" s="749"/>
      <c r="AB623" s="749"/>
      <c r="AC623" s="749"/>
      <c r="AD623" s="749"/>
      <c r="AK623" t="s">
        <v>2652</v>
      </c>
      <c r="AL623">
        <f>IF(AN622&gt;0,IF(SUM(J621)&gt;=SUM(M621,P621,S621,V621,Y621,AB621),0,1),IF(SUM(J621)&lt;&gt;SUM(M621,P621,S621,V621,Y621,AB621),1,0))</f>
        <v>0</v>
      </c>
      <c r="AM623" t="s">
        <v>2653</v>
      </c>
      <c r="AN623">
        <f>IF(AN622&gt;0,IF(SUM(K621)&gt;=SUM(N621,Q621,T621,W621,Z621,AC621),0,1),IF(SUM(K621)&lt;&gt;SUM(N621,Q621,T621,W621,Z621,AC621),1,0))</f>
        <v>0</v>
      </c>
      <c r="AO623" t="s">
        <v>2654</v>
      </c>
      <c r="AP623">
        <f>IF(AN622&gt;0,IF(SUM(L621)&gt;=SUM(O621,R621,U621,X621,AA621,AD621),0,1),IF(SUM(L621)&lt;&gt;SUM(O621,R621,U621,X621,AA621,AD621),1,0))</f>
        <v>0</v>
      </c>
      <c r="CA623"/>
      <c r="CB623"/>
      <c r="CC623"/>
    </row>
    <row r="624" spans="1:81">
      <c r="A624" s="142"/>
      <c r="B624" s="1003" t="str">
        <f>IF(AND(AB621&gt;0,AB621&lt;&gt;"NA",AB621&lt;&gt;"NS",F623=""),"Debido a que registró un número mayor a cero en el apartado Otro tipo, debe anotar el nombre de dicho(s) tipo(s) de problemática(s)","")</f>
        <v/>
      </c>
      <c r="C624" s="1003"/>
      <c r="D624" s="1003"/>
      <c r="E624" s="1003"/>
      <c r="F624" s="1003"/>
      <c r="G624" s="1003"/>
      <c r="H624" s="1003"/>
      <c r="I624" s="1003"/>
      <c r="J624" s="1003"/>
      <c r="K624" s="1003"/>
      <c r="L624" s="1003"/>
      <c r="M624" s="1003"/>
      <c r="N624" s="1003"/>
      <c r="O624" s="1003"/>
      <c r="P624" s="1003"/>
      <c r="Q624" s="1003"/>
      <c r="R624" s="1003"/>
      <c r="S624" s="1003"/>
      <c r="T624" s="1003"/>
      <c r="U624" s="1003"/>
      <c r="V624" s="1003"/>
      <c r="W624" s="1003"/>
      <c r="X624" s="1003"/>
      <c r="Y624" s="1003"/>
      <c r="Z624" s="1003"/>
      <c r="AA624" s="1003"/>
      <c r="AB624" s="1003"/>
      <c r="AC624" s="1003"/>
      <c r="AD624" s="1003"/>
      <c r="AE624" s="1003"/>
    </row>
    <row r="625" spans="1:31" ht="24" customHeight="1">
      <c r="A625" s="50"/>
      <c r="B625" s="38"/>
      <c r="C625" s="754" t="s">
        <v>2611</v>
      </c>
      <c r="D625" s="754"/>
      <c r="E625" s="754"/>
      <c r="F625" s="754"/>
      <c r="G625" s="754"/>
      <c r="H625" s="754"/>
      <c r="I625" s="754"/>
      <c r="J625" s="754"/>
      <c r="K625" s="754"/>
      <c r="L625" s="754"/>
      <c r="M625" s="754"/>
      <c r="N625" s="754"/>
      <c r="O625" s="754"/>
      <c r="P625" s="754"/>
      <c r="Q625" s="754"/>
      <c r="R625" s="754"/>
      <c r="S625" s="754"/>
      <c r="T625" s="754"/>
      <c r="U625" s="754"/>
      <c r="V625" s="754"/>
      <c r="W625" s="754"/>
      <c r="X625" s="754"/>
      <c r="Y625" s="754"/>
      <c r="Z625" s="754"/>
      <c r="AA625" s="754"/>
      <c r="AB625" s="754"/>
      <c r="AC625" s="754"/>
      <c r="AD625" s="754"/>
    </row>
    <row r="626" spans="1:31" ht="60" customHeight="1">
      <c r="A626" s="50"/>
      <c r="B626" s="38"/>
      <c r="C626" s="851"/>
      <c r="D626" s="851"/>
      <c r="E626" s="851"/>
      <c r="F626" s="851"/>
      <c r="G626" s="851"/>
      <c r="H626" s="851"/>
      <c r="I626" s="851"/>
      <c r="J626" s="851"/>
      <c r="K626" s="851"/>
      <c r="L626" s="851"/>
      <c r="M626" s="851"/>
      <c r="N626" s="851"/>
      <c r="O626" s="851"/>
      <c r="P626" s="851"/>
      <c r="Q626" s="851"/>
      <c r="R626" s="851"/>
      <c r="S626" s="851"/>
      <c r="T626" s="851"/>
      <c r="U626" s="851"/>
      <c r="V626" s="851"/>
      <c r="W626" s="851"/>
      <c r="X626" s="851"/>
      <c r="Y626" s="851"/>
      <c r="Z626" s="851"/>
      <c r="AA626" s="851"/>
      <c r="AB626" s="851"/>
      <c r="AC626" s="851"/>
      <c r="AD626" s="851"/>
    </row>
    <row r="627" spans="1:31">
      <c r="A627" s="142"/>
      <c r="B627" s="794" t="str">
        <f>IF(AG621=0,"","Favor de ingresar toda la información requerida en la pregunta")</f>
        <v/>
      </c>
      <c r="C627" s="794"/>
      <c r="D627" s="794"/>
      <c r="E627" s="794"/>
      <c r="F627" s="794"/>
      <c r="G627" s="794"/>
      <c r="H627" s="794"/>
      <c r="I627" s="794"/>
      <c r="J627" s="794"/>
      <c r="K627" s="794"/>
      <c r="L627" s="794"/>
      <c r="M627" s="794"/>
      <c r="N627" s="794"/>
      <c r="O627" s="794"/>
      <c r="P627" s="794"/>
      <c r="Q627" s="794"/>
      <c r="R627" s="794"/>
      <c r="S627" s="794"/>
      <c r="T627" s="794"/>
      <c r="U627" s="794"/>
      <c r="V627" s="794"/>
      <c r="W627" s="794"/>
      <c r="X627" s="794"/>
      <c r="Y627" s="794"/>
      <c r="Z627" s="794"/>
      <c r="AA627" s="794"/>
      <c r="AB627" s="794"/>
      <c r="AC627" s="794"/>
      <c r="AD627" s="794"/>
      <c r="AE627" s="794"/>
    </row>
    <row r="628" spans="1:31">
      <c r="A628" s="142"/>
      <c r="B628" s="1087" t="str">
        <f>IF(COUNTIF(J613:AD620,"NS")&lt;&gt;0,"Alerta: debido a que cuenta con registros NS, debe proporcionar una justificación en el area de comentarios al final de la pregunta","")</f>
        <v/>
      </c>
      <c r="C628" s="1087"/>
      <c r="D628" s="1087"/>
      <c r="E628" s="1087"/>
      <c r="F628" s="1087"/>
      <c r="G628" s="1087"/>
      <c r="H628" s="1087"/>
      <c r="I628" s="1087"/>
      <c r="J628" s="1087"/>
      <c r="K628" s="1087"/>
      <c r="L628" s="1087"/>
      <c r="M628" s="1087"/>
      <c r="N628" s="1087"/>
      <c r="O628" s="1087"/>
      <c r="P628" s="1087"/>
      <c r="Q628" s="1087"/>
      <c r="R628" s="1087"/>
      <c r="S628" s="1087"/>
      <c r="T628" s="1087"/>
      <c r="U628" s="1087"/>
      <c r="V628" s="1087"/>
      <c r="W628" s="1087"/>
      <c r="X628" s="1087"/>
      <c r="Y628" s="1087"/>
      <c r="Z628" s="1087"/>
      <c r="AA628" s="1087"/>
      <c r="AB628" s="1087"/>
      <c r="AC628" s="1087"/>
      <c r="AD628" s="1087"/>
      <c r="AE628" s="1087"/>
    </row>
    <row r="629" spans="1:31">
      <c r="A629" s="142"/>
      <c r="B629" s="1003" t="str">
        <f>IF(AH621&gt;0,"Revise la información capturada, ya que tiene datos ingresados en celdas que están sombreadas","")</f>
        <v/>
      </c>
      <c r="C629" s="1003"/>
      <c r="D629" s="1003"/>
      <c r="E629" s="1003"/>
      <c r="F629" s="1003"/>
      <c r="G629" s="1003"/>
      <c r="H629" s="1003"/>
      <c r="I629" s="1003"/>
      <c r="J629" s="1003"/>
      <c r="K629" s="1003"/>
      <c r="L629" s="1003"/>
      <c r="M629" s="1003"/>
      <c r="N629" s="1003"/>
      <c r="O629" s="1003"/>
      <c r="P629" s="1003"/>
      <c r="Q629" s="1003"/>
      <c r="R629" s="1003"/>
      <c r="S629" s="1003"/>
      <c r="T629" s="1003"/>
      <c r="U629" s="1003"/>
      <c r="V629" s="1003"/>
      <c r="W629" s="1003"/>
      <c r="X629" s="1003"/>
      <c r="Y629" s="1003"/>
      <c r="Z629" s="1003"/>
      <c r="AA629" s="1003"/>
      <c r="AB629" s="1003"/>
      <c r="AC629" s="1003"/>
      <c r="AD629" s="1003"/>
      <c r="AE629" s="1003"/>
    </row>
    <row r="630" spans="1:31">
      <c r="A630" s="142"/>
      <c r="B630" s="1003" t="str">
        <f>IF(AL622&gt;0,"Favor de revisar la suma y consistencia de totales y/o subtotales por filas (numéricos y NS)",IF(AF621=0,"","Debido a que cuenta con registro(s) con el código 1, el total de la fila respectiva debe ser mayor a cero"))</f>
        <v/>
      </c>
      <c r="C630" s="1003"/>
      <c r="D630" s="1003"/>
      <c r="E630" s="1003"/>
      <c r="F630" s="1003"/>
      <c r="G630" s="1003"/>
      <c r="H630" s="1003"/>
      <c r="I630" s="1003"/>
      <c r="J630" s="1003"/>
      <c r="K630" s="1003"/>
      <c r="L630" s="1003"/>
      <c r="M630" s="1003"/>
      <c r="N630" s="1003"/>
      <c r="O630" s="1003"/>
      <c r="P630" s="1003"/>
      <c r="Q630" s="1003"/>
      <c r="R630" s="1003"/>
      <c r="S630" s="1003"/>
      <c r="T630" s="1003"/>
      <c r="U630" s="1003"/>
      <c r="V630" s="1003"/>
      <c r="W630" s="1003"/>
      <c r="X630" s="1003"/>
      <c r="Y630" s="1003"/>
      <c r="Z630" s="1003"/>
      <c r="AA630" s="1003"/>
      <c r="AB630" s="1003"/>
      <c r="AC630" s="1003"/>
      <c r="AD630" s="1003"/>
      <c r="AE630" s="1003"/>
    </row>
    <row r="631" spans="1:31">
      <c r="A631" s="142"/>
      <c r="B631" s="794" t="str">
        <f>IF(BH621&gt;0,"Favor de revisar la instrucción 2, debido a que no se cumplen con los criterios mencionados","")</f>
        <v/>
      </c>
      <c r="C631" s="794"/>
      <c r="D631" s="794"/>
      <c r="E631" s="794"/>
      <c r="F631" s="794"/>
      <c r="G631" s="794"/>
      <c r="H631" s="794"/>
      <c r="I631" s="794"/>
      <c r="J631" s="794"/>
      <c r="K631" s="794"/>
      <c r="L631" s="794"/>
      <c r="M631" s="794"/>
      <c r="N631" s="794"/>
      <c r="O631" s="794"/>
      <c r="P631" s="794"/>
      <c r="Q631" s="794"/>
      <c r="R631" s="794"/>
      <c r="S631" s="794"/>
      <c r="T631" s="794"/>
      <c r="U631" s="794"/>
      <c r="V631" s="794"/>
      <c r="W631" s="794"/>
      <c r="X631" s="794"/>
      <c r="Y631" s="794"/>
      <c r="Z631" s="794"/>
      <c r="AA631" s="794"/>
      <c r="AB631" s="794"/>
      <c r="AC631" s="794"/>
      <c r="AD631" s="794"/>
      <c r="AE631" s="794"/>
    </row>
    <row r="632" spans="1:31" ht="15.75" thickBot="1">
      <c r="A632" s="142"/>
      <c r="B632" s="795" t="str">
        <f>IF(CC621&gt;0,"Alerta: debe de proporcionar una justificación de acuerdo a lo establecido en la instrucción 3","")</f>
        <v/>
      </c>
      <c r="C632" s="795"/>
      <c r="D632" s="795"/>
      <c r="E632" s="795"/>
      <c r="F632" s="795"/>
      <c r="G632" s="795"/>
      <c r="H632" s="795"/>
      <c r="I632" s="795"/>
      <c r="J632" s="795"/>
      <c r="K632" s="795"/>
      <c r="L632" s="795"/>
      <c r="M632" s="795"/>
      <c r="N632" s="795"/>
      <c r="O632" s="795"/>
      <c r="P632" s="795"/>
      <c r="Q632" s="795"/>
      <c r="R632" s="795"/>
      <c r="S632" s="795"/>
      <c r="T632" s="795"/>
      <c r="U632" s="795"/>
      <c r="V632" s="795"/>
      <c r="W632" s="795"/>
      <c r="X632" s="795"/>
      <c r="Y632" s="795"/>
      <c r="Z632" s="795"/>
      <c r="AA632" s="795"/>
      <c r="AB632" s="795"/>
      <c r="AC632" s="795"/>
      <c r="AD632" s="795"/>
      <c r="AE632" s="795"/>
    </row>
    <row r="633" spans="1:31" customFormat="1" ht="15" customHeight="1" thickBot="1">
      <c r="A633" s="19" t="s">
        <v>2563</v>
      </c>
      <c r="B633" s="1081" t="s">
        <v>5985</v>
      </c>
      <c r="C633" s="1082"/>
      <c r="D633" s="1082"/>
      <c r="E633" s="1082"/>
      <c r="F633" s="1082"/>
      <c r="G633" s="1082"/>
      <c r="H633" s="1082"/>
      <c r="I633" s="1082"/>
      <c r="J633" s="1082"/>
      <c r="K633" s="1082"/>
      <c r="L633" s="1082"/>
      <c r="M633" s="1082"/>
      <c r="N633" s="1082"/>
      <c r="O633" s="1082"/>
      <c r="P633" s="1082"/>
      <c r="Q633" s="1082"/>
      <c r="R633" s="1082"/>
      <c r="S633" s="1082"/>
      <c r="T633" s="1082"/>
      <c r="U633" s="1082"/>
      <c r="V633" s="1082"/>
      <c r="W633" s="1082"/>
      <c r="X633" s="1082"/>
      <c r="Y633" s="1082"/>
      <c r="Z633" s="1082"/>
      <c r="AA633" s="1082"/>
      <c r="AB633" s="1082"/>
      <c r="AC633" s="1082"/>
      <c r="AD633" s="1083"/>
      <c r="AE633" s="3"/>
    </row>
    <row r="634" spans="1:31">
      <c r="A634" s="119"/>
    </row>
    <row r="635" spans="1:31" ht="36" customHeight="1">
      <c r="A635" s="49" t="s">
        <v>5986</v>
      </c>
      <c r="B635" s="829" t="s">
        <v>5987</v>
      </c>
      <c r="C635" s="829"/>
      <c r="D635" s="829"/>
      <c r="E635" s="829"/>
      <c r="F635" s="829"/>
      <c r="G635" s="829"/>
      <c r="H635" s="829"/>
      <c r="I635" s="829"/>
      <c r="J635" s="829"/>
      <c r="K635" s="829"/>
      <c r="L635" s="829"/>
      <c r="M635" s="829"/>
      <c r="N635" s="829"/>
      <c r="O635" s="829"/>
      <c r="P635" s="829"/>
      <c r="Q635" s="829"/>
      <c r="R635" s="829"/>
      <c r="S635" s="829"/>
      <c r="T635" s="829"/>
      <c r="U635" s="829"/>
      <c r="V635" s="829"/>
      <c r="W635" s="829"/>
      <c r="X635" s="829"/>
      <c r="Y635" s="829"/>
      <c r="Z635" s="829"/>
      <c r="AA635" s="829"/>
      <c r="AB635" s="829"/>
      <c r="AC635" s="829"/>
      <c r="AD635" s="829"/>
    </row>
    <row r="636" spans="1:31" ht="36" customHeight="1">
      <c r="A636" s="50"/>
      <c r="B636" s="38"/>
      <c r="C636" s="830" t="s">
        <v>5988</v>
      </c>
      <c r="D636" s="830"/>
      <c r="E636" s="830"/>
      <c r="F636" s="830"/>
      <c r="G636" s="830"/>
      <c r="H636" s="830"/>
      <c r="I636" s="830"/>
      <c r="J636" s="830"/>
      <c r="K636" s="830"/>
      <c r="L636" s="830"/>
      <c r="M636" s="830"/>
      <c r="N636" s="830"/>
      <c r="O636" s="830"/>
      <c r="P636" s="830"/>
      <c r="Q636" s="830"/>
      <c r="R636" s="830"/>
      <c r="S636" s="830"/>
      <c r="T636" s="830"/>
      <c r="U636" s="830"/>
      <c r="V636" s="830"/>
      <c r="W636" s="830"/>
      <c r="X636" s="830"/>
      <c r="Y636" s="830"/>
      <c r="Z636" s="830"/>
      <c r="AA636" s="830"/>
      <c r="AB636" s="830"/>
      <c r="AC636" s="830"/>
      <c r="AD636" s="830"/>
    </row>
    <row r="637" spans="1:31" ht="36" customHeight="1">
      <c r="A637" s="50"/>
      <c r="B637" s="38"/>
      <c r="C637" s="754" t="s">
        <v>5989</v>
      </c>
      <c r="D637" s="754"/>
      <c r="E637" s="754"/>
      <c r="F637" s="754"/>
      <c r="G637" s="754"/>
      <c r="H637" s="754"/>
      <c r="I637" s="754"/>
      <c r="J637" s="754"/>
      <c r="K637" s="754"/>
      <c r="L637" s="754"/>
      <c r="M637" s="754"/>
      <c r="N637" s="754"/>
      <c r="O637" s="754"/>
      <c r="P637" s="754"/>
      <c r="Q637" s="754"/>
      <c r="R637" s="754"/>
      <c r="S637" s="754"/>
      <c r="T637" s="754"/>
      <c r="U637" s="754"/>
      <c r="V637" s="754"/>
      <c r="W637" s="754"/>
      <c r="X637" s="754"/>
      <c r="Y637" s="754"/>
      <c r="Z637" s="754"/>
      <c r="AA637" s="754"/>
      <c r="AB637" s="754"/>
      <c r="AC637" s="754"/>
      <c r="AD637" s="754"/>
    </row>
    <row r="638" spans="1:31" ht="24" customHeight="1">
      <c r="A638" s="50"/>
      <c r="B638" s="38"/>
      <c r="C638" s="754" t="s">
        <v>5990</v>
      </c>
      <c r="D638" s="754"/>
      <c r="E638" s="754"/>
      <c r="F638" s="754"/>
      <c r="G638" s="754"/>
      <c r="H638" s="754"/>
      <c r="I638" s="754"/>
      <c r="J638" s="754"/>
      <c r="K638" s="754"/>
      <c r="L638" s="754"/>
      <c r="M638" s="754"/>
      <c r="N638" s="754"/>
      <c r="O638" s="754"/>
      <c r="P638" s="754"/>
      <c r="Q638" s="754"/>
      <c r="R638" s="754"/>
      <c r="S638" s="754"/>
      <c r="T638" s="754"/>
      <c r="U638" s="754"/>
      <c r="V638" s="754"/>
      <c r="W638" s="754"/>
      <c r="X638" s="754"/>
      <c r="Y638" s="754"/>
      <c r="Z638" s="754"/>
      <c r="AA638" s="754"/>
      <c r="AB638" s="754"/>
      <c r="AC638" s="754"/>
      <c r="AD638" s="754"/>
    </row>
    <row r="639" spans="1:31">
      <c r="A639" s="142"/>
      <c r="B639" s="57"/>
      <c r="C639" s="57"/>
      <c r="D639" s="57"/>
      <c r="E639" s="57"/>
      <c r="F639" s="57"/>
      <c r="G639" s="57"/>
      <c r="H639" s="57"/>
      <c r="I639" s="57"/>
      <c r="J639" s="57"/>
      <c r="K639" s="57"/>
      <c r="L639" s="57"/>
      <c r="M639" s="57"/>
      <c r="N639" s="57"/>
      <c r="O639" s="57"/>
      <c r="P639" s="57"/>
      <c r="Q639" s="57"/>
      <c r="R639" s="57"/>
      <c r="S639" s="57"/>
      <c r="T639" s="57"/>
      <c r="U639" s="57"/>
      <c r="V639" s="57"/>
      <c r="W639" s="57"/>
      <c r="X639" s="57"/>
      <c r="Y639" s="57"/>
      <c r="Z639" s="57"/>
      <c r="AA639" s="57"/>
      <c r="AB639" s="57"/>
      <c r="AC639" s="57"/>
      <c r="AD639" s="57"/>
    </row>
    <row r="640" spans="1:31" ht="24" customHeight="1">
      <c r="A640" s="50"/>
      <c r="B640" s="38"/>
      <c r="C640" s="732" t="s">
        <v>2581</v>
      </c>
      <c r="D640" s="732"/>
      <c r="E640" s="732"/>
      <c r="F640" s="732"/>
      <c r="G640" s="797" t="s">
        <v>5991</v>
      </c>
      <c r="H640" s="798"/>
      <c r="I640" s="798"/>
      <c r="J640" s="798"/>
      <c r="K640" s="798"/>
      <c r="L640" s="798"/>
      <c r="M640" s="798"/>
      <c r="N640" s="798"/>
      <c r="O640" s="798"/>
      <c r="P640" s="798"/>
      <c r="Q640" s="798"/>
      <c r="R640" s="798"/>
      <c r="S640" s="798"/>
      <c r="T640" s="798"/>
      <c r="U640" s="798"/>
      <c r="V640" s="798"/>
      <c r="W640" s="798"/>
      <c r="X640" s="798"/>
      <c r="Y640" s="798"/>
      <c r="Z640" s="798"/>
      <c r="AA640" s="798"/>
      <c r="AB640" s="798"/>
      <c r="AC640" s="798"/>
      <c r="AD640" s="799"/>
    </row>
    <row r="641" spans="1:87" ht="15" customHeight="1">
      <c r="A641" s="142"/>
      <c r="B641" s="57"/>
      <c r="C641" s="732"/>
      <c r="D641" s="732"/>
      <c r="E641" s="732"/>
      <c r="F641" s="732"/>
      <c r="G641" s="874" t="s">
        <v>2628</v>
      </c>
      <c r="H641" s="857" t="s">
        <v>2629</v>
      </c>
      <c r="I641" s="857" t="s">
        <v>2630</v>
      </c>
      <c r="J641" s="736" t="s">
        <v>5992</v>
      </c>
      <c r="K641" s="736"/>
      <c r="L641" s="736"/>
      <c r="M641" s="736"/>
      <c r="N641" s="736"/>
      <c r="O641" s="736"/>
      <c r="P641" s="736"/>
      <c r="Q641" s="736"/>
      <c r="R641" s="736"/>
      <c r="S641" s="736"/>
      <c r="T641" s="736"/>
      <c r="U641" s="736"/>
      <c r="V641" s="736"/>
      <c r="W641" s="736"/>
      <c r="X641" s="736"/>
      <c r="Y641" s="736"/>
      <c r="Z641" s="736"/>
      <c r="AA641" s="736"/>
      <c r="AB641" s="736"/>
      <c r="AC641" s="736"/>
      <c r="AD641" s="736"/>
    </row>
    <row r="642" spans="1:87" ht="120" customHeight="1">
      <c r="A642" s="212"/>
      <c r="B642" s="213"/>
      <c r="C642" s="732"/>
      <c r="D642" s="732"/>
      <c r="E642" s="732"/>
      <c r="F642" s="732"/>
      <c r="G642" s="874"/>
      <c r="H642" s="857"/>
      <c r="I642" s="857"/>
      <c r="J642" s="952" t="s">
        <v>5993</v>
      </c>
      <c r="K642" s="952"/>
      <c r="L642" s="846"/>
      <c r="M642" s="952" t="s">
        <v>5994</v>
      </c>
      <c r="N642" s="952"/>
      <c r="O642" s="846"/>
      <c r="P642" s="845" t="s">
        <v>5995</v>
      </c>
      <c r="Q642" s="952"/>
      <c r="R642" s="846"/>
      <c r="S642" s="845" t="s">
        <v>5996</v>
      </c>
      <c r="T642" s="952"/>
      <c r="U642" s="846"/>
      <c r="V642" s="845" t="s">
        <v>5997</v>
      </c>
      <c r="W642" s="952"/>
      <c r="X642" s="846"/>
      <c r="Y642" s="845" t="s">
        <v>5998</v>
      </c>
      <c r="Z642" s="952"/>
      <c r="AA642" s="846"/>
      <c r="AB642" s="890" t="s">
        <v>2990</v>
      </c>
      <c r="AC642" s="890"/>
      <c r="AD642" s="890"/>
    </row>
    <row r="643" spans="1:87" ht="48" customHeight="1">
      <c r="A643" s="142"/>
      <c r="B643" s="57"/>
      <c r="C643" s="732"/>
      <c r="D643" s="732"/>
      <c r="E643" s="732"/>
      <c r="F643" s="732"/>
      <c r="G643" s="874"/>
      <c r="H643" s="857"/>
      <c r="I643" s="857"/>
      <c r="J643" s="127" t="s">
        <v>2635</v>
      </c>
      <c r="K643" s="128" t="s">
        <v>2629</v>
      </c>
      <c r="L643" s="128" t="s">
        <v>2630</v>
      </c>
      <c r="M643" s="127" t="s">
        <v>2635</v>
      </c>
      <c r="N643" s="128" t="s">
        <v>2629</v>
      </c>
      <c r="O643" s="128" t="s">
        <v>2630</v>
      </c>
      <c r="P643" s="127" t="s">
        <v>2635</v>
      </c>
      <c r="Q643" s="128" t="s">
        <v>2629</v>
      </c>
      <c r="R643" s="128" t="s">
        <v>2630</v>
      </c>
      <c r="S643" s="127" t="s">
        <v>2635</v>
      </c>
      <c r="T643" s="128" t="s">
        <v>2629</v>
      </c>
      <c r="U643" s="128" t="s">
        <v>2630</v>
      </c>
      <c r="V643" s="127" t="s">
        <v>2635</v>
      </c>
      <c r="W643" s="128" t="s">
        <v>2629</v>
      </c>
      <c r="X643" s="128" t="s">
        <v>2630</v>
      </c>
      <c r="Y643" s="127" t="s">
        <v>2635</v>
      </c>
      <c r="Z643" s="128" t="s">
        <v>2629</v>
      </c>
      <c r="AA643" s="128" t="s">
        <v>2630</v>
      </c>
      <c r="AB643" s="127" t="s">
        <v>2635</v>
      </c>
      <c r="AC643" s="128" t="s">
        <v>2629</v>
      </c>
      <c r="AD643" s="128" t="s">
        <v>2630</v>
      </c>
      <c r="AG643" t="s">
        <v>2586</v>
      </c>
      <c r="AH643"/>
      <c r="AI643"/>
      <c r="AK643" t="s">
        <v>4573</v>
      </c>
      <c r="AL643" t="s">
        <v>2638</v>
      </c>
      <c r="AM643" t="s">
        <v>2639</v>
      </c>
      <c r="AN643" t="s">
        <v>4574</v>
      </c>
      <c r="AO643" t="s">
        <v>2641</v>
      </c>
      <c r="AP643" t="s">
        <v>2642</v>
      </c>
      <c r="AQ643" t="s">
        <v>4575</v>
      </c>
      <c r="AR643" t="s">
        <v>2644</v>
      </c>
      <c r="AS643" t="s">
        <v>2645</v>
      </c>
      <c r="AT643" t="s">
        <v>4576</v>
      </c>
      <c r="AU643" t="s">
        <v>2647</v>
      </c>
      <c r="AV643" t="s">
        <v>2648</v>
      </c>
      <c r="AW643" t="s">
        <v>5177</v>
      </c>
      <c r="AX643" t="s">
        <v>2757</v>
      </c>
      <c r="AY643" t="s">
        <v>2758</v>
      </c>
      <c r="AZ643" t="s">
        <v>5194</v>
      </c>
      <c r="BA643" t="s">
        <v>2760</v>
      </c>
      <c r="BB643" t="s">
        <v>2761</v>
      </c>
      <c r="BC643" t="s">
        <v>5195</v>
      </c>
      <c r="BD643" t="s">
        <v>2763</v>
      </c>
      <c r="BE643" t="s">
        <v>2764</v>
      </c>
      <c r="BF643" t="s">
        <v>5563</v>
      </c>
      <c r="BG643" t="s">
        <v>2766</v>
      </c>
      <c r="BH643" t="s">
        <v>2767</v>
      </c>
      <c r="BI643" t="s">
        <v>5486</v>
      </c>
      <c r="BJ643"/>
      <c r="BK643"/>
      <c r="BL643" t="s">
        <v>5999</v>
      </c>
      <c r="BM643"/>
      <c r="BN643"/>
      <c r="BO643" t="s">
        <v>5291</v>
      </c>
      <c r="BP643"/>
      <c r="BQ643"/>
      <c r="BR643"/>
      <c r="BS643"/>
      <c r="BT643"/>
      <c r="BU643"/>
      <c r="BV643"/>
      <c r="BW643"/>
      <c r="BX643"/>
      <c r="BY643"/>
      <c r="BZ643"/>
      <c r="CA643"/>
      <c r="CB643"/>
      <c r="CC643"/>
      <c r="CD643"/>
      <c r="CE643"/>
      <c r="CF643"/>
      <c r="CG643"/>
      <c r="CH643"/>
      <c r="CI643"/>
    </row>
    <row r="644" spans="1:87">
      <c r="A644" s="142"/>
      <c r="B644" s="57"/>
      <c r="C644" s="44" t="s">
        <v>2516</v>
      </c>
      <c r="D644" s="872" t="str">
        <f>IF(CNSIPEE_2024_M2_Secc1!D42="","",CNSIPEE_2024_M2_Secc1!D42)</f>
        <v/>
      </c>
      <c r="E644" s="872"/>
      <c r="F644" s="872"/>
      <c r="G644" s="100"/>
      <c r="H644" s="100"/>
      <c r="I644" s="100"/>
      <c r="J644" s="100"/>
      <c r="K644" s="100"/>
      <c r="L644" s="100"/>
      <c r="M644" s="100"/>
      <c r="N644" s="100"/>
      <c r="O644" s="100"/>
      <c r="P644" s="100"/>
      <c r="Q644" s="100"/>
      <c r="R644" s="100"/>
      <c r="S644" s="100"/>
      <c r="T644" s="100"/>
      <c r="U644" s="100"/>
      <c r="V644" s="100"/>
      <c r="W644" s="100"/>
      <c r="X644" s="100"/>
      <c r="Y644" s="100"/>
      <c r="Z644" s="100"/>
      <c r="AA644" s="100"/>
      <c r="AB644" s="100"/>
      <c r="AC644" s="100"/>
      <c r="AD644" s="100"/>
      <c r="AG644">
        <f>IF(OR(COUNTBLANK(D644:AD644)=2,COUNTBLANK(D644:AD644)=27),0,1)</f>
        <v>0</v>
      </c>
      <c r="AH644"/>
      <c r="AI644"/>
      <c r="AK644">
        <f t="shared" ref="AK644:AK651" si="511">COUNTIF(H644:I644,"NS")</f>
        <v>0</v>
      </c>
      <c r="AL644">
        <f t="shared" ref="AL644:AL651" si="512">SUM(H644:I644)</f>
        <v>0</v>
      </c>
      <c r="AM644">
        <f>IF(COUNTIF(G644:I644,"NA")=3,0,IF(COUNTA(G644:I644)=0,0,IF(OR(AND(G644=0,AK644&gt;0),AND(G644="ns",AL644&gt;0),AND(G644="ns",AK644=0,AL644=0)),1,IF(OR(AND(G644&gt;0,AK644=2),AND(G644="ns",AK644=2),AND(G644="ns",AL644=0,AK644&gt;0),G644=AL644),0,1))))</f>
        <v>0</v>
      </c>
      <c r="AN644">
        <f t="shared" ref="AN644:AN651" si="513">COUNTIF(K644:L644,"NS")</f>
        <v>0</v>
      </c>
      <c r="AO644">
        <f t="shared" ref="AO644:AO651" si="514">SUM(K644:L644)</f>
        <v>0</v>
      </c>
      <c r="AP644">
        <f t="shared" ref="AP644:AP651" si="515">IF(COUNTIF(J644:L644,"NA")=3,0,IF(COUNTA(J644:L644)=0,0,IF(OR(AND(J644=0,AN644&gt;0),AND(J644="ns",AO644&gt;0),AND(J644="ns",AN644=0,AO644=0)),1,IF(OR(AND(J644&gt;0,AN644=2),AND(J644="ns",AN644=2),AND(J644="ns",AO644=0,AN644&gt;0),J644=AO644),0,1))))</f>
        <v>0</v>
      </c>
      <c r="AQ644">
        <f t="shared" ref="AQ644:AQ651" si="516">COUNTIF(N644:O644,"NS")</f>
        <v>0</v>
      </c>
      <c r="AR644">
        <f t="shared" ref="AR644:AR651" si="517">SUM(N644:O644)</f>
        <v>0</v>
      </c>
      <c r="AS644">
        <f t="shared" ref="AS644:AS651" si="518">IF(COUNTIF(M644:O644,"NA")=3,0,IF(COUNTA(M644:O644)=0,0,IF(OR(AND(M644=0,AQ644&gt;0),AND(M644="ns",AR644&gt;0),AND(M644="ns",AQ644=0,AR644=0)),1,IF(OR(AND(M644&gt;0,AQ644=2),AND(M644="ns",AQ644=2),AND(M644="ns",AR644=0,AQ644&gt;0),M644=AR644),0,1))))</f>
        <v>0</v>
      </c>
      <c r="AT644">
        <f t="shared" ref="AT644:AT651" si="519">COUNTIF(Q644:R644,"NS")</f>
        <v>0</v>
      </c>
      <c r="AU644">
        <f t="shared" ref="AU644:AU651" si="520">SUM(Q644:R644)</f>
        <v>0</v>
      </c>
      <c r="AV644">
        <f t="shared" ref="AV644:AV651" si="521">IF(COUNTIF(P644:R644,"NA")=3,0,IF(COUNTA(P644:R644)=0,0,IF(OR(AND(P644=0,AT644&gt;0),AND(P644="ns",AU644&gt;0),AND(P644="ns",AT644=0,AU644=0)),1,IF(OR(AND(P644&gt;0,AT644=2),AND(P644="ns",AT644=2),AND(P644="ns",AU644=0,AT644&gt;0),P644=AU644),0,1))))</f>
        <v>0</v>
      </c>
      <c r="AW644">
        <f t="shared" ref="AW644:AW651" si="522">COUNTIF(T644:U644,"NS")</f>
        <v>0</v>
      </c>
      <c r="AX644">
        <f t="shared" ref="AX644:AX651" si="523">SUM(T644:U644)</f>
        <v>0</v>
      </c>
      <c r="AY644">
        <f t="shared" ref="AY644:AY651" si="524">IF(COUNTIF(S644:U644,"NA")=3,0,IF(COUNTA(S644:U644)=0,0,IF(OR(AND(S644=0,AW644&gt;0),AND(S644="ns",AX644&gt;0),AND(S644="ns",AW644=0,AX644=0)),1,IF(OR(AND(S644&gt;0,AW644=2),AND(S644="ns",AW644=2),AND(S644="ns",AX644=0,AW644&gt;0),S644=AX644),0,1))))</f>
        <v>0</v>
      </c>
      <c r="AZ644">
        <f t="shared" ref="AZ644:AZ651" si="525">COUNTIF(W644:X644,"NS")</f>
        <v>0</v>
      </c>
      <c r="BA644">
        <f t="shared" ref="BA644:BA651" si="526">SUM(W644:X644)</f>
        <v>0</v>
      </c>
      <c r="BB644">
        <f t="shared" ref="BB644:BB651" si="527">IF(COUNTIF(V644:X644,"NA")=3,0,IF(COUNTA(V644:X644)=0,0,IF(OR(AND(V644=0,AZ644&gt;0),AND(V644="ns",BA644&gt;0),AND(V644="ns",AZ644=0,BA644=0)),1,IF(OR(AND(V644&gt;0,AZ644=2),AND(V644="ns",AZ644=2),AND(V644="ns",BA644=0,AZ644&gt;0),V644=BA644),0,1))))</f>
        <v>0</v>
      </c>
      <c r="BC644">
        <f t="shared" ref="BC644:BC651" si="528">COUNTIF(Z644:AA644,"NS")</f>
        <v>0</v>
      </c>
      <c r="BD644">
        <f t="shared" ref="BD644:BD651" si="529">SUM(Z644:AA644)</f>
        <v>0</v>
      </c>
      <c r="BE644">
        <f t="shared" ref="BE644:BE651" si="530">IF(COUNTIF(Y644:AA644,"NA")=3,0,IF(COUNTA(Y644:AA644)=0,0,IF(OR(AND(Y644=0,BC644&gt;0),AND(Y644="ns",BD644&gt;0),AND(Y644="ns",BC644=0,BD644=0)),1,IF(OR(AND(Y644&gt;0,BC644=2),AND(Y644="ns",BC644=2),AND(Y644="ns",BD644=0,BC644&gt;0),Y644=BD644),0,1))))</f>
        <v>0</v>
      </c>
      <c r="BF644">
        <f t="shared" ref="BF644:BF651" si="531">COUNTIF(AC644:AD644,"NS")</f>
        <v>0</v>
      </c>
      <c r="BG644">
        <f t="shared" ref="BG644:BG651" si="532">SUM(AC644:AD644)</f>
        <v>0</v>
      </c>
      <c r="BH644">
        <f t="shared" ref="BH644:BH651" si="533">IF(COUNTIF(AB644:AD644,"NA")=3,0,IF(COUNTA(AB644:AD644)=0,0,IF(OR(AND(AB644=0,BF644&gt;0),AND(AB644="ns",BG644&gt;0),AND(AB644="ns",BF644=0,BG644=0)),1,IF(OR(AND(AB644&gt;0,BF644=2),AND(AB644="ns",BF644=2),AND(AB644="ns",BG644=0,BF644&gt;0),AB644=BG644),0,1))))</f>
        <v>0</v>
      </c>
      <c r="BI644" cm="1">
        <f t="array" ref="BI644">IF(OR(G644={"NS","NA"},BL644={"NS","NA"}),0,IF(G644&lt;=BL644,0,1))</f>
        <v>0</v>
      </c>
      <c r="BJ644" cm="1">
        <f t="array" ref="BJ644">IF(OR(H644={"NS","NA"},BM644={"NS","NA"}),0,IF(H644&lt;=BM644,0,1))</f>
        <v>0</v>
      </c>
      <c r="BK644" cm="1">
        <f t="array" ref="BK644">IF(OR(I644={"NS","NA"},BN644={"NS","NA"}),0,IF(I644&lt;=BN644,0,1))</f>
        <v>0</v>
      </c>
      <c r="BL644">
        <f>IF(AND(SUM(J644,M644,P644,S644,V644,Y644,AB644)=0,SUM(COUNTIF(J644,"NS"),COUNTIF(M644,"NS"),COUNTIF(P644,"NS"),COUNTIF(S644,"NS"),COUNTIF(V644,"NS"),COUNTIF(Y644,"NS"),COUNTIF(AB644,"NS"))&gt;0),"NS",
IF(AND(SUM(J644,M644,P644,S644,V644,Y644,AB644)=0,SUM(COUNTIF(J644,0),COUNTIF(M644,0),COUNTIF(P644,0),COUNTIF(S644,0),COUNTIF(V644,0),COUNTIF(Y644,0),COUNTIF(AB644,0))&gt;0),0,
IF(AND(SUM(J644,M644,P644,S644,V644,Y644,AB644)=0,SUM(COUNTIF(J644,"NA"),COUNTIF(M644,"NA"),COUNTIF(P644,"NA"),COUNTIF(S644,"NA"),COUNTIF(V644,"NA"),COUNTIF(Y644,"NA"),COUNTIF(AB644,"NA"))&gt;0),"NA",
SUM(J644,M644,P644,S644,V644,Y644,AB644))))</f>
        <v>0</v>
      </c>
      <c r="BM644">
        <f>IF(AND(SUM(K644,N644,Q644,T644,W644,Z644,AC644)=0,SUM(COUNTIF(K644,"NS"),COUNTIF(N644,"NS"),COUNTIF(Q644,"NS"),COUNTIF(T644,"NS"),COUNTIF(W644,"NS"),COUNTIF(Z644,"NS"),COUNTIF(AC644,"NS"))&gt;0),"NS",
IF(AND(SUM(K644,N644,Q644,T644,W644,Z644,AC644)=0,SUM(COUNTIF(K644,0),COUNTIF(N644,0),COUNTIF(Q644,0),COUNTIF(T644,0),COUNTIF(W644,0),COUNTIF(Z644,0),COUNTIF(AC644,0))&gt;0),0,
IF(AND(SUM(K644,N644,Q644,T644,W644,Z644,AC644)=0,SUM(COUNTIF(K644,"NA"),COUNTIF(N644,"NA"),COUNTIF(Q644,"NA"),COUNTIF(T644,"NA"),COUNTIF(W644,"NA"),COUNTIF(Z644,"NA"),COUNTIF(AC644,"NA"))&gt;0),"NA",
SUM(K644,N644,Q644,T644,W644,Z644,AC644))))</f>
        <v>0</v>
      </c>
      <c r="BN644">
        <f t="shared" ref="BN644:BN651" si="534">IF(AND(SUM(L644,O644,R644,U644,X644,AA644,AD644)=0,SUM(COUNTIF(L644,"NS"),COUNTIF(O644,"NS"),COUNTIF(R644,"NS"),COUNTIF(U644,"NS"),COUNTIF(X644,"NS"),COUNTIF(AA644,"NS"),COUNTIF(AD644,"NS"))&gt;0),"NS",
IF(AND(SUM(L644,O644,R644,U644,X644,AA644,AD644)=0,SUM(COUNTIF(L644,0),COUNTIF(O644,0),COUNTIF(R644,0),COUNTIF(U644,0),COUNTIF(X644,0),COUNTIF(AA644,0),COUNTIF(AD644,0))&gt;0),0,
IF(AND(SUM(L644,O644,R644,U644,X644,AA644,AD644)=0,SUM(COUNTIF(L644,"NA"),COUNTIF(O644,"NA"),COUNTIF(R644,"NA"),COUNTIF(U644,"NA"),COUNTIF(X644,"NA"),COUNTIF(AA644,"NA"),COUNTIF(AD644,"NA"))&gt;0),"NA",
SUM(L644,O644,R644,U644,X644,AA644,AD644))))</f>
        <v>0</v>
      </c>
      <c r="BO644" cm="1">
        <f t="array" ref="BO644">IF(OR(J644={"NS","NA"},$G644={"NS","NA"}),0,IF(J644&lt;=$G644,0,1))</f>
        <v>0</v>
      </c>
      <c r="BP644" cm="1">
        <f t="array" ref="BP644">IF(OR(K644={"NS","NA"},$H644={"NS","NA"}),0,IF(K644&lt;=$H644,0,1))</f>
        <v>0</v>
      </c>
      <c r="BQ644" cm="1">
        <f t="array" ref="BQ644">IF(OR(L644={"NS","NA"},$I644={"NS","NA"}),0,IF(L644&lt;=$I644,0,1))</f>
        <v>0</v>
      </c>
      <c r="BR644" cm="1">
        <f t="array" ref="BR644">IF(OR(M644={"NS","NA"},$G644={"NS","NA"}),0,IF(M644&lt;=$G644,0,1))</f>
        <v>0</v>
      </c>
      <c r="BS644" cm="1">
        <f t="array" ref="BS644">IF(OR(N644={"NS","NA"},$H644={"NS","NA"}),0,IF(N644&lt;=$H644,0,1))</f>
        <v>0</v>
      </c>
      <c r="BT644" cm="1">
        <f t="array" ref="BT644">IF(OR(O644={"NS","NA"},$I644={"NS","NA"}),0,IF(O644&lt;=$I644,0,1))</f>
        <v>0</v>
      </c>
      <c r="BU644" cm="1">
        <f t="array" ref="BU644">IF(OR(P644={"NS","NA"},$G644={"NS","NA"}),0,IF(P644&lt;=$G644,0,1))</f>
        <v>0</v>
      </c>
      <c r="BV644" cm="1">
        <f t="array" ref="BV644">IF(OR(Q644={"NS","NA"},$H644={"NS","NA"}),0,IF(Q644&lt;=$H644,0,1))</f>
        <v>0</v>
      </c>
      <c r="BW644" cm="1">
        <f t="array" ref="BW644">IF(OR(R644={"NS","NA"},$I644={"NS","NA"}),0,IF(R644&lt;=$I644,0,1))</f>
        <v>0</v>
      </c>
      <c r="BX644" cm="1">
        <f t="array" ref="BX644">IF(OR(S644={"NS","NA"},$G644={"NS","NA"}),0,IF(S644&lt;=$G644,0,1))</f>
        <v>0</v>
      </c>
      <c r="BY644" cm="1">
        <f t="array" ref="BY644">IF(OR(T644={"NS","NA"},$H644={"NS","NA"}),0,IF(T644&lt;=$H644,0,1))</f>
        <v>0</v>
      </c>
      <c r="BZ644" cm="1">
        <f t="array" ref="BZ644">IF(OR(U644={"NS","NA"},$I644={"NS","NA"}),0,IF(U644&lt;=$I644,0,1))</f>
        <v>0</v>
      </c>
      <c r="CA644" cm="1">
        <f t="array" ref="CA644">IF(OR(V644={"NS","NA"},$G644={"NS","NA"}),0,IF(V644&lt;=$G644,0,1))</f>
        <v>0</v>
      </c>
      <c r="CB644" cm="1">
        <f t="array" ref="CB644">IF(OR(W644={"NS","NA"},$H644={"NS","NA"}),0,IF(W644&lt;=$H644,0,1))</f>
        <v>0</v>
      </c>
      <c r="CC644" cm="1">
        <f t="array" ref="CC644">IF(OR(X644={"NS","NA"},$I644={"NS","NA"}),0,IF(X644&lt;=$I644,0,1))</f>
        <v>0</v>
      </c>
      <c r="CD644" cm="1">
        <f t="array" ref="CD644">IF(OR(Y644={"NS","NA"},$G644={"NS","NA"}),0,IF(Y644&lt;=$G644,0,1))</f>
        <v>0</v>
      </c>
      <c r="CE644" cm="1">
        <f t="array" ref="CE644">IF(OR(Z644={"NS","NA"},$H644={"NS","NA"}),0,IF(Z644&lt;=$H644,0,1))</f>
        <v>0</v>
      </c>
      <c r="CF644" cm="1">
        <f t="array" ref="CF644">IF(OR(AA644={"NS","NA"},$I644={"NS","NA"}),0,IF(AA644&lt;=$I644,0,1))</f>
        <v>0</v>
      </c>
      <c r="CG644" cm="1">
        <f t="array" ref="CG644">IF(OR(AB644={"NS","NA"},$G644={"NS","NA"}),0,IF(AB644&lt;=$G644,0,1))</f>
        <v>0</v>
      </c>
      <c r="CH644" cm="1">
        <f t="array" ref="CH644">IF(OR(AC644={"NS","NA"},$H644={"NS","NA"}),0,IF(AC644&lt;=$H644,0,1))</f>
        <v>0</v>
      </c>
      <c r="CI644" cm="1">
        <f t="array" ref="CI644">IF(OR(AD644={"NS","NA"},$I644={"NS","NA"}),0,IF(AD644&lt;=$I644,0,1))</f>
        <v>0</v>
      </c>
    </row>
    <row r="645" spans="1:87">
      <c r="A645" s="142"/>
      <c r="B645" s="57"/>
      <c r="C645" s="199" t="s">
        <v>2517</v>
      </c>
      <c r="D645" s="872" t="str">
        <f>IF(CNSIPEE_2024_M2_Secc1!D43="","",CNSIPEE_2024_M2_Secc1!D43)</f>
        <v/>
      </c>
      <c r="E645" s="872"/>
      <c r="F645" s="872"/>
      <c r="G645" s="100"/>
      <c r="H645" s="100"/>
      <c r="I645" s="100"/>
      <c r="J645" s="100"/>
      <c r="K645" s="100"/>
      <c r="L645" s="100"/>
      <c r="M645" s="100"/>
      <c r="N645" s="100"/>
      <c r="O645" s="100"/>
      <c r="P645" s="100"/>
      <c r="Q645" s="100"/>
      <c r="R645" s="100"/>
      <c r="S645" s="100"/>
      <c r="T645" s="100"/>
      <c r="U645" s="100"/>
      <c r="V645" s="100"/>
      <c r="W645" s="100"/>
      <c r="X645" s="100"/>
      <c r="Y645" s="100"/>
      <c r="Z645" s="100"/>
      <c r="AA645" s="100"/>
      <c r="AB645" s="100"/>
      <c r="AC645" s="100"/>
      <c r="AD645" s="100"/>
      <c r="AG645">
        <f t="shared" ref="AG645:AG651" si="535">IF(OR(COUNTBLANK(D645:AD645)=2,COUNTBLANK(D645:AD645)=27),0,1)</f>
        <v>0</v>
      </c>
      <c r="AH645"/>
      <c r="AI645"/>
      <c r="AK645">
        <f t="shared" si="511"/>
        <v>0</v>
      </c>
      <c r="AL645">
        <f t="shared" si="512"/>
        <v>0</v>
      </c>
      <c r="AM645">
        <f t="shared" ref="AM645:AM651" si="536">IF(COUNTIF(G645:I645,"NA")=3,0,IF(COUNTA(G645:I645)=0,0,IF(OR(AND(G645=0,AK645&gt;0),AND(G645="ns",AL645&gt;0),AND(G645="ns",AK645=0,AL645=0)),1,IF(OR(AND(G645&gt;0,AK645=2),AND(G645="ns",AK645=2),AND(G645="ns",AL645=0,AK645&gt;0),G645=AL645),0,1))))</f>
        <v>0</v>
      </c>
      <c r="AN645">
        <f t="shared" si="513"/>
        <v>0</v>
      </c>
      <c r="AO645">
        <f t="shared" si="514"/>
        <v>0</v>
      </c>
      <c r="AP645">
        <f t="shared" si="515"/>
        <v>0</v>
      </c>
      <c r="AQ645">
        <f t="shared" si="516"/>
        <v>0</v>
      </c>
      <c r="AR645">
        <f t="shared" si="517"/>
        <v>0</v>
      </c>
      <c r="AS645">
        <f t="shared" si="518"/>
        <v>0</v>
      </c>
      <c r="AT645">
        <f t="shared" si="519"/>
        <v>0</v>
      </c>
      <c r="AU645">
        <f t="shared" si="520"/>
        <v>0</v>
      </c>
      <c r="AV645">
        <f t="shared" si="521"/>
        <v>0</v>
      </c>
      <c r="AW645">
        <f t="shared" si="522"/>
        <v>0</v>
      </c>
      <c r="AX645">
        <f t="shared" si="523"/>
        <v>0</v>
      </c>
      <c r="AY645">
        <f t="shared" si="524"/>
        <v>0</v>
      </c>
      <c r="AZ645">
        <f t="shared" si="525"/>
        <v>0</v>
      </c>
      <c r="BA645">
        <f t="shared" si="526"/>
        <v>0</v>
      </c>
      <c r="BB645">
        <f t="shared" si="527"/>
        <v>0</v>
      </c>
      <c r="BC645">
        <f t="shared" si="528"/>
        <v>0</v>
      </c>
      <c r="BD645">
        <f t="shared" si="529"/>
        <v>0</v>
      </c>
      <c r="BE645">
        <f t="shared" si="530"/>
        <v>0</v>
      </c>
      <c r="BF645">
        <f t="shared" si="531"/>
        <v>0</v>
      </c>
      <c r="BG645">
        <f t="shared" si="532"/>
        <v>0</v>
      </c>
      <c r="BH645">
        <f t="shared" si="533"/>
        <v>0</v>
      </c>
      <c r="BI645" cm="1">
        <f t="array" ref="BI645">IF(OR(G645={"NS","NA"},BL645={"NS","NA"}),0,IF(G645&lt;=BL645,0,1))</f>
        <v>0</v>
      </c>
      <c r="BJ645" cm="1">
        <f t="array" ref="BJ645">IF(OR(H645={"NS","NA"},BM645={"NS","NA"}),0,IF(H645&lt;=BM645,0,1))</f>
        <v>0</v>
      </c>
      <c r="BK645" cm="1">
        <f t="array" ref="BK645">IF(OR(I645={"NS","NA"},BN645={"NS","NA"}),0,IF(I645&lt;=BN645,0,1))</f>
        <v>0</v>
      </c>
      <c r="BL645">
        <f t="shared" ref="BL645:BM651" si="537">IF(AND(SUM(J645,M645,P645,S645,V645,Y645,AB645)=0,SUM(COUNTIF(J645,"NS"),COUNTIF(M645,"NS"),COUNTIF(P645,"NS"),COUNTIF(S645,"NS"),COUNTIF(V645,"NS"),COUNTIF(Y645,"NS"),COUNTIF(AB645,"NS"))&gt;0),"NS",
IF(AND(SUM(J645,M645,P645,S645,V645,Y645,AB645)=0,SUM(COUNTIF(J645,0),COUNTIF(M645,0),COUNTIF(P645,0),COUNTIF(S645,0),COUNTIF(V645,0),COUNTIF(Y645,0),COUNTIF(AB645,0))&gt;0),0,
IF(AND(SUM(J645,M645,P645,S645,V645,Y645,AB645)=0,SUM(COUNTIF(J645,"NA"),COUNTIF(M645,"NA"),COUNTIF(P645,"NA"),COUNTIF(S645,"NA"),COUNTIF(V645,"NA"),COUNTIF(Y645,"NA"),COUNTIF(AB645,"NA"))&gt;0),"NA",
SUM(J645,M645,P645,S645,V645,Y645,AB645))))</f>
        <v>0</v>
      </c>
      <c r="BM645">
        <f t="shared" si="537"/>
        <v>0</v>
      </c>
      <c r="BN645">
        <f t="shared" si="534"/>
        <v>0</v>
      </c>
      <c r="BO645" cm="1">
        <f t="array" ref="BO645">IF(OR(J645={"NS","NA"},$G645={"NS","NA"}),0,IF(J645&lt;=$G645,0,1))</f>
        <v>0</v>
      </c>
      <c r="BP645" cm="1">
        <f t="array" ref="BP645">IF(OR(K645={"NS","NA"},$H645={"NS","NA"}),0,IF(K645&lt;=$H645,0,1))</f>
        <v>0</v>
      </c>
      <c r="BQ645" cm="1">
        <f t="array" ref="BQ645">IF(OR(L645={"NS","NA"},$I645={"NS","NA"}),0,IF(L645&lt;=$I645,0,1))</f>
        <v>0</v>
      </c>
      <c r="BR645" cm="1">
        <f t="array" ref="BR645">IF(OR(M645={"NS","NA"},$G645={"NS","NA"}),0,IF(M645&lt;=$G645,0,1))</f>
        <v>0</v>
      </c>
      <c r="BS645" cm="1">
        <f t="array" ref="BS645">IF(OR(N645={"NS","NA"},$H645={"NS","NA"}),0,IF(N645&lt;=$H645,0,1))</f>
        <v>0</v>
      </c>
      <c r="BT645" cm="1">
        <f t="array" ref="BT645">IF(OR(O645={"NS","NA"},$I645={"NS","NA"}),0,IF(O645&lt;=$I645,0,1))</f>
        <v>0</v>
      </c>
      <c r="BU645" cm="1">
        <f t="array" ref="BU645">IF(OR(P645={"NS","NA"},$G645={"NS","NA"}),0,IF(P645&lt;=$G645,0,1))</f>
        <v>0</v>
      </c>
      <c r="BV645" cm="1">
        <f t="array" ref="BV645">IF(OR(Q645={"NS","NA"},$H645={"NS","NA"}),0,IF(Q645&lt;=$H645,0,1))</f>
        <v>0</v>
      </c>
      <c r="BW645" cm="1">
        <f t="array" ref="BW645">IF(OR(R645={"NS","NA"},$I645={"NS","NA"}),0,IF(R645&lt;=$I645,0,1))</f>
        <v>0</v>
      </c>
      <c r="BX645" cm="1">
        <f t="array" ref="BX645">IF(OR(S645={"NS","NA"},$G645={"NS","NA"}),0,IF(S645&lt;=$G645,0,1))</f>
        <v>0</v>
      </c>
      <c r="BY645" cm="1">
        <f t="array" ref="BY645">IF(OR(T645={"NS","NA"},$H645={"NS","NA"}),0,IF(T645&lt;=$H645,0,1))</f>
        <v>0</v>
      </c>
      <c r="BZ645" cm="1">
        <f t="array" ref="BZ645">IF(OR(U645={"NS","NA"},$I645={"NS","NA"}),0,IF(U645&lt;=$I645,0,1))</f>
        <v>0</v>
      </c>
      <c r="CA645" cm="1">
        <f t="array" ref="CA645">IF(OR(V645={"NS","NA"},$G645={"NS","NA"}),0,IF(V645&lt;=$G645,0,1))</f>
        <v>0</v>
      </c>
      <c r="CB645" cm="1">
        <f t="array" ref="CB645">IF(OR(W645={"NS","NA"},$H645={"NS","NA"}),0,IF(W645&lt;=$H645,0,1))</f>
        <v>0</v>
      </c>
      <c r="CC645" cm="1">
        <f t="array" ref="CC645">IF(OR(X645={"NS","NA"},$I645={"NS","NA"}),0,IF(X645&lt;=$I645,0,1))</f>
        <v>0</v>
      </c>
      <c r="CD645" cm="1">
        <f t="array" ref="CD645">IF(OR(Y645={"NS","NA"},$G645={"NS","NA"}),0,IF(Y645&lt;=$G645,0,1))</f>
        <v>0</v>
      </c>
      <c r="CE645" cm="1">
        <f t="array" ref="CE645">IF(OR(Z645={"NS","NA"},$H645={"NS","NA"}),0,IF(Z645&lt;=$H645,0,1))</f>
        <v>0</v>
      </c>
      <c r="CF645" cm="1">
        <f t="array" ref="CF645">IF(OR(AA645={"NS","NA"},$I645={"NS","NA"}),0,IF(AA645&lt;=$I645,0,1))</f>
        <v>0</v>
      </c>
      <c r="CG645" cm="1">
        <f t="array" ref="CG645">IF(OR(AB645={"NS","NA"},$G645={"NS","NA"}),0,IF(AB645&lt;=$G645,0,1))</f>
        <v>0</v>
      </c>
      <c r="CH645" cm="1">
        <f t="array" ref="CH645">IF(OR(AC645={"NS","NA"},$H645={"NS","NA"}),0,IF(AC645&lt;=$H645,0,1))</f>
        <v>0</v>
      </c>
      <c r="CI645" cm="1">
        <f t="array" ref="CI645">IF(OR(AD645={"NS","NA"},$I645={"NS","NA"}),0,IF(AD645&lt;=$I645,0,1))</f>
        <v>0</v>
      </c>
    </row>
    <row r="646" spans="1:87">
      <c r="A646" s="142"/>
      <c r="B646" s="57"/>
      <c r="C646" s="143" t="s">
        <v>2518</v>
      </c>
      <c r="D646" s="872" t="str">
        <f>IF(CNSIPEE_2024_M2_Secc1!D44="","",CNSIPEE_2024_M2_Secc1!D44)</f>
        <v/>
      </c>
      <c r="E646" s="872"/>
      <c r="F646" s="872"/>
      <c r="G646" s="100"/>
      <c r="H646" s="100"/>
      <c r="I646" s="100"/>
      <c r="J646" s="100"/>
      <c r="K646" s="100"/>
      <c r="L646" s="100"/>
      <c r="M646" s="100"/>
      <c r="N646" s="100"/>
      <c r="O646" s="100"/>
      <c r="P646" s="100"/>
      <c r="Q646" s="100"/>
      <c r="R646" s="100"/>
      <c r="S646" s="100"/>
      <c r="T646" s="100"/>
      <c r="U646" s="100"/>
      <c r="V646" s="100"/>
      <c r="W646" s="100"/>
      <c r="X646" s="100"/>
      <c r="Y646" s="100"/>
      <c r="Z646" s="100"/>
      <c r="AA646" s="100"/>
      <c r="AB646" s="100"/>
      <c r="AC646" s="100"/>
      <c r="AD646" s="100"/>
      <c r="AG646">
        <f t="shared" si="535"/>
        <v>0</v>
      </c>
      <c r="AH646"/>
      <c r="AI646"/>
      <c r="AK646">
        <f t="shared" si="511"/>
        <v>0</v>
      </c>
      <c r="AL646">
        <f t="shared" si="512"/>
        <v>0</v>
      </c>
      <c r="AM646">
        <f t="shared" si="536"/>
        <v>0</v>
      </c>
      <c r="AN646">
        <f t="shared" si="513"/>
        <v>0</v>
      </c>
      <c r="AO646">
        <f t="shared" si="514"/>
        <v>0</v>
      </c>
      <c r="AP646">
        <f t="shared" si="515"/>
        <v>0</v>
      </c>
      <c r="AQ646">
        <f t="shared" si="516"/>
        <v>0</v>
      </c>
      <c r="AR646">
        <f t="shared" si="517"/>
        <v>0</v>
      </c>
      <c r="AS646">
        <f t="shared" si="518"/>
        <v>0</v>
      </c>
      <c r="AT646">
        <f t="shared" si="519"/>
        <v>0</v>
      </c>
      <c r="AU646">
        <f t="shared" si="520"/>
        <v>0</v>
      </c>
      <c r="AV646">
        <f t="shared" si="521"/>
        <v>0</v>
      </c>
      <c r="AW646">
        <f t="shared" si="522"/>
        <v>0</v>
      </c>
      <c r="AX646">
        <f t="shared" si="523"/>
        <v>0</v>
      </c>
      <c r="AY646">
        <f t="shared" si="524"/>
        <v>0</v>
      </c>
      <c r="AZ646">
        <f t="shared" si="525"/>
        <v>0</v>
      </c>
      <c r="BA646">
        <f t="shared" si="526"/>
        <v>0</v>
      </c>
      <c r="BB646">
        <f t="shared" si="527"/>
        <v>0</v>
      </c>
      <c r="BC646">
        <f t="shared" si="528"/>
        <v>0</v>
      </c>
      <c r="BD646">
        <f t="shared" si="529"/>
        <v>0</v>
      </c>
      <c r="BE646">
        <f t="shared" si="530"/>
        <v>0</v>
      </c>
      <c r="BF646">
        <f t="shared" si="531"/>
        <v>0</v>
      </c>
      <c r="BG646">
        <f t="shared" si="532"/>
        <v>0</v>
      </c>
      <c r="BH646">
        <f t="shared" si="533"/>
        <v>0</v>
      </c>
      <c r="BI646" cm="1">
        <f t="array" ref="BI646">IF(OR(G646={"NS","NA"},BL646={"NS","NA"}),0,IF(G646&lt;=BL646,0,1))</f>
        <v>0</v>
      </c>
      <c r="BJ646" cm="1">
        <f t="array" ref="BJ646">IF(OR(H646={"NS","NA"},BM646={"NS","NA"}),0,IF(H646&lt;=BM646,0,1))</f>
        <v>0</v>
      </c>
      <c r="BK646" cm="1">
        <f t="array" ref="BK646">IF(OR(I646={"NS","NA"},BN646={"NS","NA"}),0,IF(I646&lt;=BN646,0,1))</f>
        <v>0</v>
      </c>
      <c r="BL646">
        <f t="shared" si="537"/>
        <v>0</v>
      </c>
      <c r="BM646">
        <f t="shared" si="537"/>
        <v>0</v>
      </c>
      <c r="BN646">
        <f t="shared" si="534"/>
        <v>0</v>
      </c>
      <c r="BO646" cm="1">
        <f t="array" ref="BO646">IF(OR(J646={"NS","NA"},$G646={"NS","NA"}),0,IF(J646&lt;=$G646,0,1))</f>
        <v>0</v>
      </c>
      <c r="BP646" cm="1">
        <f t="array" ref="BP646">IF(OR(K646={"NS","NA"},$H646={"NS","NA"}),0,IF(K646&lt;=$H646,0,1))</f>
        <v>0</v>
      </c>
      <c r="BQ646" cm="1">
        <f t="array" ref="BQ646">IF(OR(L646={"NS","NA"},$I646={"NS","NA"}),0,IF(L646&lt;=$I646,0,1))</f>
        <v>0</v>
      </c>
      <c r="BR646" cm="1">
        <f t="array" ref="BR646">IF(OR(M646={"NS","NA"},$G646={"NS","NA"}),0,IF(M646&lt;=$G646,0,1))</f>
        <v>0</v>
      </c>
      <c r="BS646" cm="1">
        <f t="array" ref="BS646">IF(OR(N646={"NS","NA"},$H646={"NS","NA"}),0,IF(N646&lt;=$H646,0,1))</f>
        <v>0</v>
      </c>
      <c r="BT646" cm="1">
        <f t="array" ref="BT646">IF(OR(O646={"NS","NA"},$I646={"NS","NA"}),0,IF(O646&lt;=$I646,0,1))</f>
        <v>0</v>
      </c>
      <c r="BU646" cm="1">
        <f t="array" ref="BU646">IF(OR(P646={"NS","NA"},$G646={"NS","NA"}),0,IF(P646&lt;=$G646,0,1))</f>
        <v>0</v>
      </c>
      <c r="BV646" cm="1">
        <f t="array" ref="BV646">IF(OR(Q646={"NS","NA"},$H646={"NS","NA"}),0,IF(Q646&lt;=$H646,0,1))</f>
        <v>0</v>
      </c>
      <c r="BW646" cm="1">
        <f t="array" ref="BW646">IF(OR(R646={"NS","NA"},$I646={"NS","NA"}),0,IF(R646&lt;=$I646,0,1))</f>
        <v>0</v>
      </c>
      <c r="BX646" cm="1">
        <f t="array" ref="BX646">IF(OR(S646={"NS","NA"},$G646={"NS","NA"}),0,IF(S646&lt;=$G646,0,1))</f>
        <v>0</v>
      </c>
      <c r="BY646" cm="1">
        <f t="array" ref="BY646">IF(OR(T646={"NS","NA"},$H646={"NS","NA"}),0,IF(T646&lt;=$H646,0,1))</f>
        <v>0</v>
      </c>
      <c r="BZ646" cm="1">
        <f t="array" ref="BZ646">IF(OR(U646={"NS","NA"},$I646={"NS","NA"}),0,IF(U646&lt;=$I646,0,1))</f>
        <v>0</v>
      </c>
      <c r="CA646" cm="1">
        <f t="array" ref="CA646">IF(OR(V646={"NS","NA"},$G646={"NS","NA"}),0,IF(V646&lt;=$G646,0,1))</f>
        <v>0</v>
      </c>
      <c r="CB646" cm="1">
        <f t="array" ref="CB646">IF(OR(W646={"NS","NA"},$H646={"NS","NA"}),0,IF(W646&lt;=$H646,0,1))</f>
        <v>0</v>
      </c>
      <c r="CC646" cm="1">
        <f t="array" ref="CC646">IF(OR(X646={"NS","NA"},$I646={"NS","NA"}),0,IF(X646&lt;=$I646,0,1))</f>
        <v>0</v>
      </c>
      <c r="CD646" cm="1">
        <f t="array" ref="CD646">IF(OR(Y646={"NS","NA"},$G646={"NS","NA"}),0,IF(Y646&lt;=$G646,0,1))</f>
        <v>0</v>
      </c>
      <c r="CE646" cm="1">
        <f t="array" ref="CE646">IF(OR(Z646={"NS","NA"},$H646={"NS","NA"}),0,IF(Z646&lt;=$H646,0,1))</f>
        <v>0</v>
      </c>
      <c r="CF646" cm="1">
        <f t="array" ref="CF646">IF(OR(AA646={"NS","NA"},$I646={"NS","NA"}),0,IF(AA646&lt;=$I646,0,1))</f>
        <v>0</v>
      </c>
      <c r="CG646" cm="1">
        <f t="array" ref="CG646">IF(OR(AB646={"NS","NA"},$G646={"NS","NA"}),0,IF(AB646&lt;=$G646,0,1))</f>
        <v>0</v>
      </c>
      <c r="CH646" cm="1">
        <f t="array" ref="CH646">IF(OR(AC646={"NS","NA"},$H646={"NS","NA"}),0,IF(AC646&lt;=$H646,0,1))</f>
        <v>0</v>
      </c>
      <c r="CI646" cm="1">
        <f t="array" ref="CI646">IF(OR(AD646={"NS","NA"},$I646={"NS","NA"}),0,IF(AD646&lt;=$I646,0,1))</f>
        <v>0</v>
      </c>
    </row>
    <row r="647" spans="1:87">
      <c r="A647" s="142"/>
      <c r="B647" s="57"/>
      <c r="C647" s="143" t="s">
        <v>2519</v>
      </c>
      <c r="D647" s="872" t="str">
        <f>IF(CNSIPEE_2024_M2_Secc1!D45="","",CNSIPEE_2024_M2_Secc1!D45)</f>
        <v/>
      </c>
      <c r="E647" s="872"/>
      <c r="F647" s="872"/>
      <c r="G647" s="100"/>
      <c r="H647" s="100"/>
      <c r="I647" s="100"/>
      <c r="J647" s="100"/>
      <c r="K647" s="100"/>
      <c r="L647" s="100"/>
      <c r="M647" s="100"/>
      <c r="N647" s="100"/>
      <c r="O647" s="100"/>
      <c r="P647" s="100"/>
      <c r="Q647" s="100"/>
      <c r="R647" s="100"/>
      <c r="S647" s="100"/>
      <c r="T647" s="100"/>
      <c r="U647" s="100"/>
      <c r="V647" s="100"/>
      <c r="W647" s="100"/>
      <c r="X647" s="100"/>
      <c r="Y647" s="100"/>
      <c r="Z647" s="100"/>
      <c r="AA647" s="100"/>
      <c r="AB647" s="100"/>
      <c r="AC647" s="100"/>
      <c r="AD647" s="100"/>
      <c r="AG647">
        <f t="shared" si="535"/>
        <v>0</v>
      </c>
      <c r="AH647"/>
      <c r="AI647"/>
      <c r="AK647">
        <f t="shared" si="511"/>
        <v>0</v>
      </c>
      <c r="AL647">
        <f t="shared" si="512"/>
        <v>0</v>
      </c>
      <c r="AM647">
        <f t="shared" si="536"/>
        <v>0</v>
      </c>
      <c r="AN647">
        <f t="shared" si="513"/>
        <v>0</v>
      </c>
      <c r="AO647">
        <f t="shared" si="514"/>
        <v>0</v>
      </c>
      <c r="AP647">
        <f t="shared" si="515"/>
        <v>0</v>
      </c>
      <c r="AQ647">
        <f t="shared" si="516"/>
        <v>0</v>
      </c>
      <c r="AR647">
        <f t="shared" si="517"/>
        <v>0</v>
      </c>
      <c r="AS647">
        <f t="shared" si="518"/>
        <v>0</v>
      </c>
      <c r="AT647">
        <f t="shared" si="519"/>
        <v>0</v>
      </c>
      <c r="AU647">
        <f t="shared" si="520"/>
        <v>0</v>
      </c>
      <c r="AV647">
        <f t="shared" si="521"/>
        <v>0</v>
      </c>
      <c r="AW647">
        <f t="shared" si="522"/>
        <v>0</v>
      </c>
      <c r="AX647">
        <f t="shared" si="523"/>
        <v>0</v>
      </c>
      <c r="AY647">
        <f t="shared" si="524"/>
        <v>0</v>
      </c>
      <c r="AZ647">
        <f t="shared" si="525"/>
        <v>0</v>
      </c>
      <c r="BA647">
        <f t="shared" si="526"/>
        <v>0</v>
      </c>
      <c r="BB647">
        <f t="shared" si="527"/>
        <v>0</v>
      </c>
      <c r="BC647">
        <f t="shared" si="528"/>
        <v>0</v>
      </c>
      <c r="BD647">
        <f t="shared" si="529"/>
        <v>0</v>
      </c>
      <c r="BE647">
        <f t="shared" si="530"/>
        <v>0</v>
      </c>
      <c r="BF647">
        <f t="shared" si="531"/>
        <v>0</v>
      </c>
      <c r="BG647">
        <f t="shared" si="532"/>
        <v>0</v>
      </c>
      <c r="BH647">
        <f t="shared" si="533"/>
        <v>0</v>
      </c>
      <c r="BI647" cm="1">
        <f t="array" ref="BI647">IF(OR(G647={"NS","NA"},BL647={"NS","NA"}),0,IF(G647&lt;=BL647,0,1))</f>
        <v>0</v>
      </c>
      <c r="BJ647" cm="1">
        <f t="array" ref="BJ647">IF(OR(H647={"NS","NA"},BM647={"NS","NA"}),0,IF(H647&lt;=BM647,0,1))</f>
        <v>0</v>
      </c>
      <c r="BK647" cm="1">
        <f t="array" ref="BK647">IF(OR(I647={"NS","NA"},BN647={"NS","NA"}),0,IF(I647&lt;=BN647,0,1))</f>
        <v>0</v>
      </c>
      <c r="BL647">
        <f t="shared" si="537"/>
        <v>0</v>
      </c>
      <c r="BM647">
        <f t="shared" si="537"/>
        <v>0</v>
      </c>
      <c r="BN647">
        <f t="shared" si="534"/>
        <v>0</v>
      </c>
      <c r="BO647" cm="1">
        <f t="array" ref="BO647">IF(OR(J647={"NS","NA"},$G647={"NS","NA"}),0,IF(J647&lt;=$G647,0,1))</f>
        <v>0</v>
      </c>
      <c r="BP647" cm="1">
        <f t="array" ref="BP647">IF(OR(K647={"NS","NA"},$H647={"NS","NA"}),0,IF(K647&lt;=$H647,0,1))</f>
        <v>0</v>
      </c>
      <c r="BQ647" cm="1">
        <f t="array" ref="BQ647">IF(OR(L647={"NS","NA"},$I647={"NS","NA"}),0,IF(L647&lt;=$I647,0,1))</f>
        <v>0</v>
      </c>
      <c r="BR647" cm="1">
        <f t="array" ref="BR647">IF(OR(M647={"NS","NA"},$G647={"NS","NA"}),0,IF(M647&lt;=$G647,0,1))</f>
        <v>0</v>
      </c>
      <c r="BS647" cm="1">
        <f t="array" ref="BS647">IF(OR(N647={"NS","NA"},$H647={"NS","NA"}),0,IF(N647&lt;=$H647,0,1))</f>
        <v>0</v>
      </c>
      <c r="BT647" cm="1">
        <f t="array" ref="BT647">IF(OR(O647={"NS","NA"},$I647={"NS","NA"}),0,IF(O647&lt;=$I647,0,1))</f>
        <v>0</v>
      </c>
      <c r="BU647" cm="1">
        <f t="array" ref="BU647">IF(OR(P647={"NS","NA"},$G647={"NS","NA"}),0,IF(P647&lt;=$G647,0,1))</f>
        <v>0</v>
      </c>
      <c r="BV647" cm="1">
        <f t="array" ref="BV647">IF(OR(Q647={"NS","NA"},$H647={"NS","NA"}),0,IF(Q647&lt;=$H647,0,1))</f>
        <v>0</v>
      </c>
      <c r="BW647" cm="1">
        <f t="array" ref="BW647">IF(OR(R647={"NS","NA"},$I647={"NS","NA"}),0,IF(R647&lt;=$I647,0,1))</f>
        <v>0</v>
      </c>
      <c r="BX647" cm="1">
        <f t="array" ref="BX647">IF(OR(S647={"NS","NA"},$G647={"NS","NA"}),0,IF(S647&lt;=$G647,0,1))</f>
        <v>0</v>
      </c>
      <c r="BY647" cm="1">
        <f t="array" ref="BY647">IF(OR(T647={"NS","NA"},$H647={"NS","NA"}),0,IF(T647&lt;=$H647,0,1))</f>
        <v>0</v>
      </c>
      <c r="BZ647" cm="1">
        <f t="array" ref="BZ647">IF(OR(U647={"NS","NA"},$I647={"NS","NA"}),0,IF(U647&lt;=$I647,0,1))</f>
        <v>0</v>
      </c>
      <c r="CA647" cm="1">
        <f t="array" ref="CA647">IF(OR(V647={"NS","NA"},$G647={"NS","NA"}),0,IF(V647&lt;=$G647,0,1))</f>
        <v>0</v>
      </c>
      <c r="CB647" cm="1">
        <f t="array" ref="CB647">IF(OR(W647={"NS","NA"},$H647={"NS","NA"}),0,IF(W647&lt;=$H647,0,1))</f>
        <v>0</v>
      </c>
      <c r="CC647" cm="1">
        <f t="array" ref="CC647">IF(OR(X647={"NS","NA"},$I647={"NS","NA"}),0,IF(X647&lt;=$I647,0,1))</f>
        <v>0</v>
      </c>
      <c r="CD647" cm="1">
        <f t="array" ref="CD647">IF(OR(Y647={"NS","NA"},$G647={"NS","NA"}),0,IF(Y647&lt;=$G647,0,1))</f>
        <v>0</v>
      </c>
      <c r="CE647" cm="1">
        <f t="array" ref="CE647">IF(OR(Z647={"NS","NA"},$H647={"NS","NA"}),0,IF(Z647&lt;=$H647,0,1))</f>
        <v>0</v>
      </c>
      <c r="CF647" cm="1">
        <f t="array" ref="CF647">IF(OR(AA647={"NS","NA"},$I647={"NS","NA"}),0,IF(AA647&lt;=$I647,0,1))</f>
        <v>0</v>
      </c>
      <c r="CG647" cm="1">
        <f t="array" ref="CG647">IF(OR(AB647={"NS","NA"},$G647={"NS","NA"}),0,IF(AB647&lt;=$G647,0,1))</f>
        <v>0</v>
      </c>
      <c r="CH647" cm="1">
        <f t="array" ref="CH647">IF(OR(AC647={"NS","NA"},$H647={"NS","NA"}),0,IF(AC647&lt;=$H647,0,1))</f>
        <v>0</v>
      </c>
      <c r="CI647" cm="1">
        <f t="array" ref="CI647">IF(OR(AD647={"NS","NA"},$I647={"NS","NA"}),0,IF(AD647&lt;=$I647,0,1))</f>
        <v>0</v>
      </c>
    </row>
    <row r="648" spans="1:87">
      <c r="A648" s="142"/>
      <c r="B648" s="57"/>
      <c r="C648" s="143" t="s">
        <v>2520</v>
      </c>
      <c r="D648" s="872" t="str">
        <f>IF(CNSIPEE_2024_M2_Secc1!D46="","",CNSIPEE_2024_M2_Secc1!D46)</f>
        <v/>
      </c>
      <c r="E648" s="872"/>
      <c r="F648" s="872"/>
      <c r="G648" s="100"/>
      <c r="H648" s="100"/>
      <c r="I648" s="100"/>
      <c r="J648" s="100"/>
      <c r="K648" s="100"/>
      <c r="L648" s="100"/>
      <c r="M648" s="100"/>
      <c r="N648" s="100"/>
      <c r="O648" s="100"/>
      <c r="P648" s="100"/>
      <c r="Q648" s="100"/>
      <c r="R648" s="100"/>
      <c r="S648" s="100"/>
      <c r="T648" s="100"/>
      <c r="U648" s="100"/>
      <c r="V648" s="100"/>
      <c r="W648" s="100"/>
      <c r="X648" s="100"/>
      <c r="Y648" s="100"/>
      <c r="Z648" s="100"/>
      <c r="AA648" s="100"/>
      <c r="AB648" s="100"/>
      <c r="AC648" s="100"/>
      <c r="AD648" s="100"/>
      <c r="AG648">
        <f t="shared" si="535"/>
        <v>0</v>
      </c>
      <c r="AH648"/>
      <c r="AI648"/>
      <c r="AK648">
        <f t="shared" si="511"/>
        <v>0</v>
      </c>
      <c r="AL648">
        <f t="shared" si="512"/>
        <v>0</v>
      </c>
      <c r="AM648">
        <f t="shared" si="536"/>
        <v>0</v>
      </c>
      <c r="AN648">
        <f t="shared" si="513"/>
        <v>0</v>
      </c>
      <c r="AO648">
        <f t="shared" si="514"/>
        <v>0</v>
      </c>
      <c r="AP648">
        <f t="shared" si="515"/>
        <v>0</v>
      </c>
      <c r="AQ648">
        <f t="shared" si="516"/>
        <v>0</v>
      </c>
      <c r="AR648">
        <f t="shared" si="517"/>
        <v>0</v>
      </c>
      <c r="AS648">
        <f t="shared" si="518"/>
        <v>0</v>
      </c>
      <c r="AT648">
        <f t="shared" si="519"/>
        <v>0</v>
      </c>
      <c r="AU648">
        <f t="shared" si="520"/>
        <v>0</v>
      </c>
      <c r="AV648">
        <f t="shared" si="521"/>
        <v>0</v>
      </c>
      <c r="AW648">
        <f t="shared" si="522"/>
        <v>0</v>
      </c>
      <c r="AX648">
        <f t="shared" si="523"/>
        <v>0</v>
      </c>
      <c r="AY648">
        <f t="shared" si="524"/>
        <v>0</v>
      </c>
      <c r="AZ648">
        <f t="shared" si="525"/>
        <v>0</v>
      </c>
      <c r="BA648">
        <f t="shared" si="526"/>
        <v>0</v>
      </c>
      <c r="BB648">
        <f t="shared" si="527"/>
        <v>0</v>
      </c>
      <c r="BC648">
        <f t="shared" si="528"/>
        <v>0</v>
      </c>
      <c r="BD648">
        <f t="shared" si="529"/>
        <v>0</v>
      </c>
      <c r="BE648">
        <f t="shared" si="530"/>
        <v>0</v>
      </c>
      <c r="BF648">
        <f t="shared" si="531"/>
        <v>0</v>
      </c>
      <c r="BG648">
        <f t="shared" si="532"/>
        <v>0</v>
      </c>
      <c r="BH648">
        <f t="shared" si="533"/>
        <v>0</v>
      </c>
      <c r="BI648" cm="1">
        <f t="array" ref="BI648">IF(OR(G648={"NS","NA"},BL648={"NS","NA"}),0,IF(G648&lt;=BL648,0,1))</f>
        <v>0</v>
      </c>
      <c r="BJ648" cm="1">
        <f t="array" ref="BJ648">IF(OR(H648={"NS","NA"},BM648={"NS","NA"}),0,IF(H648&lt;=BM648,0,1))</f>
        <v>0</v>
      </c>
      <c r="BK648" cm="1">
        <f t="array" ref="BK648">IF(OR(I648={"NS","NA"},BN648={"NS","NA"}),0,IF(I648&lt;=BN648,0,1))</f>
        <v>0</v>
      </c>
      <c r="BL648">
        <f t="shared" si="537"/>
        <v>0</v>
      </c>
      <c r="BM648">
        <f t="shared" si="537"/>
        <v>0</v>
      </c>
      <c r="BN648">
        <f t="shared" si="534"/>
        <v>0</v>
      </c>
      <c r="BO648" cm="1">
        <f t="array" ref="BO648">IF(OR(J648={"NS","NA"},$G648={"NS","NA"}),0,IF(J648&lt;=$G648,0,1))</f>
        <v>0</v>
      </c>
      <c r="BP648" cm="1">
        <f t="array" ref="BP648">IF(OR(K648={"NS","NA"},$H648={"NS","NA"}),0,IF(K648&lt;=$H648,0,1))</f>
        <v>0</v>
      </c>
      <c r="BQ648" cm="1">
        <f t="array" ref="BQ648">IF(OR(L648={"NS","NA"},$I648={"NS","NA"}),0,IF(L648&lt;=$I648,0,1))</f>
        <v>0</v>
      </c>
      <c r="BR648" cm="1">
        <f t="array" ref="BR648">IF(OR(M648={"NS","NA"},$G648={"NS","NA"}),0,IF(M648&lt;=$G648,0,1))</f>
        <v>0</v>
      </c>
      <c r="BS648" cm="1">
        <f t="array" ref="BS648">IF(OR(N648={"NS","NA"},$H648={"NS","NA"}),0,IF(N648&lt;=$H648,0,1))</f>
        <v>0</v>
      </c>
      <c r="BT648" cm="1">
        <f t="array" ref="BT648">IF(OR(O648={"NS","NA"},$I648={"NS","NA"}),0,IF(O648&lt;=$I648,0,1))</f>
        <v>0</v>
      </c>
      <c r="BU648" cm="1">
        <f t="array" ref="BU648">IF(OR(P648={"NS","NA"},$G648={"NS","NA"}),0,IF(P648&lt;=$G648,0,1))</f>
        <v>0</v>
      </c>
      <c r="BV648" cm="1">
        <f t="array" ref="BV648">IF(OR(Q648={"NS","NA"},$H648={"NS","NA"}),0,IF(Q648&lt;=$H648,0,1))</f>
        <v>0</v>
      </c>
      <c r="BW648" cm="1">
        <f t="array" ref="BW648">IF(OR(R648={"NS","NA"},$I648={"NS","NA"}),0,IF(R648&lt;=$I648,0,1))</f>
        <v>0</v>
      </c>
      <c r="BX648" cm="1">
        <f t="array" ref="BX648">IF(OR(S648={"NS","NA"},$G648={"NS","NA"}),0,IF(S648&lt;=$G648,0,1))</f>
        <v>0</v>
      </c>
      <c r="BY648" cm="1">
        <f t="array" ref="BY648">IF(OR(T648={"NS","NA"},$H648={"NS","NA"}),0,IF(T648&lt;=$H648,0,1))</f>
        <v>0</v>
      </c>
      <c r="BZ648" cm="1">
        <f t="array" ref="BZ648">IF(OR(U648={"NS","NA"},$I648={"NS","NA"}),0,IF(U648&lt;=$I648,0,1))</f>
        <v>0</v>
      </c>
      <c r="CA648" cm="1">
        <f t="array" ref="CA648">IF(OR(V648={"NS","NA"},$G648={"NS","NA"}),0,IF(V648&lt;=$G648,0,1))</f>
        <v>0</v>
      </c>
      <c r="CB648" cm="1">
        <f t="array" ref="CB648">IF(OR(W648={"NS","NA"},$H648={"NS","NA"}),0,IF(W648&lt;=$H648,0,1))</f>
        <v>0</v>
      </c>
      <c r="CC648" cm="1">
        <f t="array" ref="CC648">IF(OR(X648={"NS","NA"},$I648={"NS","NA"}),0,IF(X648&lt;=$I648,0,1))</f>
        <v>0</v>
      </c>
      <c r="CD648" cm="1">
        <f t="array" ref="CD648">IF(OR(Y648={"NS","NA"},$G648={"NS","NA"}),0,IF(Y648&lt;=$G648,0,1))</f>
        <v>0</v>
      </c>
      <c r="CE648" cm="1">
        <f t="array" ref="CE648">IF(OR(Z648={"NS","NA"},$H648={"NS","NA"}),0,IF(Z648&lt;=$H648,0,1))</f>
        <v>0</v>
      </c>
      <c r="CF648" cm="1">
        <f t="array" ref="CF648">IF(OR(AA648={"NS","NA"},$I648={"NS","NA"}),0,IF(AA648&lt;=$I648,0,1))</f>
        <v>0</v>
      </c>
      <c r="CG648" cm="1">
        <f t="array" ref="CG648">IF(OR(AB648={"NS","NA"},$G648={"NS","NA"}),0,IF(AB648&lt;=$G648,0,1))</f>
        <v>0</v>
      </c>
      <c r="CH648" cm="1">
        <f t="array" ref="CH648">IF(OR(AC648={"NS","NA"},$H648={"NS","NA"}),0,IF(AC648&lt;=$H648,0,1))</f>
        <v>0</v>
      </c>
      <c r="CI648" cm="1">
        <f t="array" ref="CI648">IF(OR(AD648={"NS","NA"},$I648={"NS","NA"}),0,IF(AD648&lt;=$I648,0,1))</f>
        <v>0</v>
      </c>
    </row>
    <row r="649" spans="1:87">
      <c r="A649" s="142"/>
      <c r="B649" s="57"/>
      <c r="C649" s="143" t="s">
        <v>2521</v>
      </c>
      <c r="D649" s="872" t="str">
        <f>IF(CNSIPEE_2024_M2_Secc1!D47="","",CNSIPEE_2024_M2_Secc1!D47)</f>
        <v/>
      </c>
      <c r="E649" s="872"/>
      <c r="F649" s="872"/>
      <c r="G649" s="100"/>
      <c r="H649" s="100"/>
      <c r="I649" s="100"/>
      <c r="J649" s="100"/>
      <c r="K649" s="100"/>
      <c r="L649" s="100"/>
      <c r="M649" s="100"/>
      <c r="N649" s="100"/>
      <c r="O649" s="100"/>
      <c r="P649" s="100"/>
      <c r="Q649" s="100"/>
      <c r="R649" s="100"/>
      <c r="S649" s="100"/>
      <c r="T649" s="100"/>
      <c r="U649" s="100"/>
      <c r="V649" s="100"/>
      <c r="W649" s="100"/>
      <c r="X649" s="100"/>
      <c r="Y649" s="100"/>
      <c r="Z649" s="100"/>
      <c r="AA649" s="100"/>
      <c r="AB649" s="100"/>
      <c r="AC649" s="100"/>
      <c r="AD649" s="100"/>
      <c r="AG649">
        <f t="shared" si="535"/>
        <v>0</v>
      </c>
      <c r="AH649"/>
      <c r="AI649"/>
      <c r="AK649">
        <f t="shared" si="511"/>
        <v>0</v>
      </c>
      <c r="AL649">
        <f t="shared" si="512"/>
        <v>0</v>
      </c>
      <c r="AM649">
        <f t="shared" si="536"/>
        <v>0</v>
      </c>
      <c r="AN649">
        <f t="shared" si="513"/>
        <v>0</v>
      </c>
      <c r="AO649">
        <f t="shared" si="514"/>
        <v>0</v>
      </c>
      <c r="AP649">
        <f t="shared" si="515"/>
        <v>0</v>
      </c>
      <c r="AQ649">
        <f t="shared" si="516"/>
        <v>0</v>
      </c>
      <c r="AR649">
        <f t="shared" si="517"/>
        <v>0</v>
      </c>
      <c r="AS649">
        <f t="shared" si="518"/>
        <v>0</v>
      </c>
      <c r="AT649">
        <f t="shared" si="519"/>
        <v>0</v>
      </c>
      <c r="AU649">
        <f t="shared" si="520"/>
        <v>0</v>
      </c>
      <c r="AV649">
        <f t="shared" si="521"/>
        <v>0</v>
      </c>
      <c r="AW649">
        <f t="shared" si="522"/>
        <v>0</v>
      </c>
      <c r="AX649">
        <f t="shared" si="523"/>
        <v>0</v>
      </c>
      <c r="AY649">
        <f t="shared" si="524"/>
        <v>0</v>
      </c>
      <c r="AZ649">
        <f t="shared" si="525"/>
        <v>0</v>
      </c>
      <c r="BA649">
        <f t="shared" si="526"/>
        <v>0</v>
      </c>
      <c r="BB649">
        <f t="shared" si="527"/>
        <v>0</v>
      </c>
      <c r="BC649">
        <f t="shared" si="528"/>
        <v>0</v>
      </c>
      <c r="BD649">
        <f t="shared" si="529"/>
        <v>0</v>
      </c>
      <c r="BE649">
        <f t="shared" si="530"/>
        <v>0</v>
      </c>
      <c r="BF649">
        <f t="shared" si="531"/>
        <v>0</v>
      </c>
      <c r="BG649">
        <f t="shared" si="532"/>
        <v>0</v>
      </c>
      <c r="BH649">
        <f t="shared" si="533"/>
        <v>0</v>
      </c>
      <c r="BI649" cm="1">
        <f t="array" ref="BI649">IF(OR(G649={"NS","NA"},BL649={"NS","NA"}),0,IF(G649&lt;=BL649,0,1))</f>
        <v>0</v>
      </c>
      <c r="BJ649" cm="1">
        <f t="array" ref="BJ649">IF(OR(H649={"NS","NA"},BM649={"NS","NA"}),0,IF(H649&lt;=BM649,0,1))</f>
        <v>0</v>
      </c>
      <c r="BK649" cm="1">
        <f t="array" ref="BK649">IF(OR(I649={"NS","NA"},BN649={"NS","NA"}),0,IF(I649&lt;=BN649,0,1))</f>
        <v>0</v>
      </c>
      <c r="BL649">
        <f t="shared" si="537"/>
        <v>0</v>
      </c>
      <c r="BM649">
        <f t="shared" si="537"/>
        <v>0</v>
      </c>
      <c r="BN649">
        <f t="shared" si="534"/>
        <v>0</v>
      </c>
      <c r="BO649" cm="1">
        <f t="array" ref="BO649">IF(OR(J649={"NS","NA"},$G649={"NS","NA"}),0,IF(J649&lt;=$G649,0,1))</f>
        <v>0</v>
      </c>
      <c r="BP649" cm="1">
        <f t="array" ref="BP649">IF(OR(K649={"NS","NA"},$H649={"NS","NA"}),0,IF(K649&lt;=$H649,0,1))</f>
        <v>0</v>
      </c>
      <c r="BQ649" cm="1">
        <f t="array" ref="BQ649">IF(OR(L649={"NS","NA"},$I649={"NS","NA"}),0,IF(L649&lt;=$I649,0,1))</f>
        <v>0</v>
      </c>
      <c r="BR649" cm="1">
        <f t="array" ref="BR649">IF(OR(M649={"NS","NA"},$G649={"NS","NA"}),0,IF(M649&lt;=$G649,0,1))</f>
        <v>0</v>
      </c>
      <c r="BS649" cm="1">
        <f t="array" ref="BS649">IF(OR(N649={"NS","NA"},$H649={"NS","NA"}),0,IF(N649&lt;=$H649,0,1))</f>
        <v>0</v>
      </c>
      <c r="BT649" cm="1">
        <f t="array" ref="BT649">IF(OR(O649={"NS","NA"},$I649={"NS","NA"}),0,IF(O649&lt;=$I649,0,1))</f>
        <v>0</v>
      </c>
      <c r="BU649" cm="1">
        <f t="array" ref="BU649">IF(OR(P649={"NS","NA"},$G649={"NS","NA"}),0,IF(P649&lt;=$G649,0,1))</f>
        <v>0</v>
      </c>
      <c r="BV649" cm="1">
        <f t="array" ref="BV649">IF(OR(Q649={"NS","NA"},$H649={"NS","NA"}),0,IF(Q649&lt;=$H649,0,1))</f>
        <v>0</v>
      </c>
      <c r="BW649" cm="1">
        <f t="array" ref="BW649">IF(OR(R649={"NS","NA"},$I649={"NS","NA"}),0,IF(R649&lt;=$I649,0,1))</f>
        <v>0</v>
      </c>
      <c r="BX649" cm="1">
        <f t="array" ref="BX649">IF(OR(S649={"NS","NA"},$G649={"NS","NA"}),0,IF(S649&lt;=$G649,0,1))</f>
        <v>0</v>
      </c>
      <c r="BY649" cm="1">
        <f t="array" ref="BY649">IF(OR(T649={"NS","NA"},$H649={"NS","NA"}),0,IF(T649&lt;=$H649,0,1))</f>
        <v>0</v>
      </c>
      <c r="BZ649" cm="1">
        <f t="array" ref="BZ649">IF(OR(U649={"NS","NA"},$I649={"NS","NA"}),0,IF(U649&lt;=$I649,0,1))</f>
        <v>0</v>
      </c>
      <c r="CA649" cm="1">
        <f t="array" ref="CA649">IF(OR(V649={"NS","NA"},$G649={"NS","NA"}),0,IF(V649&lt;=$G649,0,1))</f>
        <v>0</v>
      </c>
      <c r="CB649" cm="1">
        <f t="array" ref="CB649">IF(OR(W649={"NS","NA"},$H649={"NS","NA"}),0,IF(W649&lt;=$H649,0,1))</f>
        <v>0</v>
      </c>
      <c r="CC649" cm="1">
        <f t="array" ref="CC649">IF(OR(X649={"NS","NA"},$I649={"NS","NA"}),0,IF(X649&lt;=$I649,0,1))</f>
        <v>0</v>
      </c>
      <c r="CD649" cm="1">
        <f t="array" ref="CD649">IF(OR(Y649={"NS","NA"},$G649={"NS","NA"}),0,IF(Y649&lt;=$G649,0,1))</f>
        <v>0</v>
      </c>
      <c r="CE649" cm="1">
        <f t="array" ref="CE649">IF(OR(Z649={"NS","NA"},$H649={"NS","NA"}),0,IF(Z649&lt;=$H649,0,1))</f>
        <v>0</v>
      </c>
      <c r="CF649" cm="1">
        <f t="array" ref="CF649">IF(OR(AA649={"NS","NA"},$I649={"NS","NA"}),0,IF(AA649&lt;=$I649,0,1))</f>
        <v>0</v>
      </c>
      <c r="CG649" cm="1">
        <f t="array" ref="CG649">IF(OR(AB649={"NS","NA"},$G649={"NS","NA"}),0,IF(AB649&lt;=$G649,0,1))</f>
        <v>0</v>
      </c>
      <c r="CH649" cm="1">
        <f t="array" ref="CH649">IF(OR(AC649={"NS","NA"},$H649={"NS","NA"}),0,IF(AC649&lt;=$H649,0,1))</f>
        <v>0</v>
      </c>
      <c r="CI649" cm="1">
        <f t="array" ref="CI649">IF(OR(AD649={"NS","NA"},$I649={"NS","NA"}),0,IF(AD649&lt;=$I649,0,1))</f>
        <v>0</v>
      </c>
    </row>
    <row r="650" spans="1:87">
      <c r="A650" s="142"/>
      <c r="B650" s="57"/>
      <c r="C650" s="143" t="s">
        <v>2522</v>
      </c>
      <c r="D650" s="872" t="str">
        <f>IF(CNSIPEE_2024_M2_Secc1!D48="","",CNSIPEE_2024_M2_Secc1!D48)</f>
        <v/>
      </c>
      <c r="E650" s="872"/>
      <c r="F650" s="872"/>
      <c r="G650" s="100"/>
      <c r="H650" s="100"/>
      <c r="I650" s="100"/>
      <c r="J650" s="100"/>
      <c r="K650" s="100"/>
      <c r="L650" s="100"/>
      <c r="M650" s="100"/>
      <c r="N650" s="100"/>
      <c r="O650" s="100"/>
      <c r="P650" s="100"/>
      <c r="Q650" s="100"/>
      <c r="R650" s="100"/>
      <c r="S650" s="100"/>
      <c r="T650" s="100"/>
      <c r="U650" s="100"/>
      <c r="V650" s="100"/>
      <c r="W650" s="100"/>
      <c r="X650" s="100"/>
      <c r="Y650" s="100"/>
      <c r="Z650" s="100"/>
      <c r="AA650" s="100"/>
      <c r="AB650" s="100"/>
      <c r="AC650" s="100"/>
      <c r="AD650" s="100"/>
      <c r="AG650">
        <f t="shared" si="535"/>
        <v>0</v>
      </c>
      <c r="AH650"/>
      <c r="AI650"/>
      <c r="AK650">
        <f t="shared" si="511"/>
        <v>0</v>
      </c>
      <c r="AL650">
        <f t="shared" si="512"/>
        <v>0</v>
      </c>
      <c r="AM650">
        <f t="shared" si="536"/>
        <v>0</v>
      </c>
      <c r="AN650">
        <f t="shared" si="513"/>
        <v>0</v>
      </c>
      <c r="AO650">
        <f t="shared" si="514"/>
        <v>0</v>
      </c>
      <c r="AP650">
        <f t="shared" si="515"/>
        <v>0</v>
      </c>
      <c r="AQ650">
        <f t="shared" si="516"/>
        <v>0</v>
      </c>
      <c r="AR650">
        <f t="shared" si="517"/>
        <v>0</v>
      </c>
      <c r="AS650">
        <f t="shared" si="518"/>
        <v>0</v>
      </c>
      <c r="AT650">
        <f t="shared" si="519"/>
        <v>0</v>
      </c>
      <c r="AU650">
        <f t="shared" si="520"/>
        <v>0</v>
      </c>
      <c r="AV650">
        <f t="shared" si="521"/>
        <v>0</v>
      </c>
      <c r="AW650">
        <f t="shared" si="522"/>
        <v>0</v>
      </c>
      <c r="AX650">
        <f t="shared" si="523"/>
        <v>0</v>
      </c>
      <c r="AY650">
        <f t="shared" si="524"/>
        <v>0</v>
      </c>
      <c r="AZ650">
        <f t="shared" si="525"/>
        <v>0</v>
      </c>
      <c r="BA650">
        <f t="shared" si="526"/>
        <v>0</v>
      </c>
      <c r="BB650">
        <f t="shared" si="527"/>
        <v>0</v>
      </c>
      <c r="BC650">
        <f t="shared" si="528"/>
        <v>0</v>
      </c>
      <c r="BD650">
        <f t="shared" si="529"/>
        <v>0</v>
      </c>
      <c r="BE650">
        <f t="shared" si="530"/>
        <v>0</v>
      </c>
      <c r="BF650">
        <f t="shared" si="531"/>
        <v>0</v>
      </c>
      <c r="BG650">
        <f t="shared" si="532"/>
        <v>0</v>
      </c>
      <c r="BH650">
        <f t="shared" si="533"/>
        <v>0</v>
      </c>
      <c r="BI650" cm="1">
        <f t="array" ref="BI650">IF(OR(G650={"NS","NA"},BL650={"NS","NA"}),0,IF(G650&lt;=BL650,0,1))</f>
        <v>0</v>
      </c>
      <c r="BJ650" cm="1">
        <f t="array" ref="BJ650">IF(OR(H650={"NS","NA"},BM650={"NS","NA"}),0,IF(H650&lt;=BM650,0,1))</f>
        <v>0</v>
      </c>
      <c r="BK650" cm="1">
        <f t="array" ref="BK650">IF(OR(I650={"NS","NA"},BN650={"NS","NA"}),0,IF(I650&lt;=BN650,0,1))</f>
        <v>0</v>
      </c>
      <c r="BL650">
        <f t="shared" si="537"/>
        <v>0</v>
      </c>
      <c r="BM650">
        <f t="shared" si="537"/>
        <v>0</v>
      </c>
      <c r="BN650">
        <f t="shared" si="534"/>
        <v>0</v>
      </c>
      <c r="BO650" cm="1">
        <f t="array" ref="BO650">IF(OR(J650={"NS","NA"},$G650={"NS","NA"}),0,IF(J650&lt;=$G650,0,1))</f>
        <v>0</v>
      </c>
      <c r="BP650" cm="1">
        <f t="array" ref="BP650">IF(OR(K650={"NS","NA"},$H650={"NS","NA"}),0,IF(K650&lt;=$H650,0,1))</f>
        <v>0</v>
      </c>
      <c r="BQ650" cm="1">
        <f t="array" ref="BQ650">IF(OR(L650={"NS","NA"},$I650={"NS","NA"}),0,IF(L650&lt;=$I650,0,1))</f>
        <v>0</v>
      </c>
      <c r="BR650" cm="1">
        <f t="array" ref="BR650">IF(OR(M650={"NS","NA"},$G650={"NS","NA"}),0,IF(M650&lt;=$G650,0,1))</f>
        <v>0</v>
      </c>
      <c r="BS650" cm="1">
        <f t="array" ref="BS650">IF(OR(N650={"NS","NA"},$H650={"NS","NA"}),0,IF(N650&lt;=$H650,0,1))</f>
        <v>0</v>
      </c>
      <c r="BT650" cm="1">
        <f t="array" ref="BT650">IF(OR(O650={"NS","NA"},$I650={"NS","NA"}),0,IF(O650&lt;=$I650,0,1))</f>
        <v>0</v>
      </c>
      <c r="BU650" cm="1">
        <f t="array" ref="BU650">IF(OR(P650={"NS","NA"},$G650={"NS","NA"}),0,IF(P650&lt;=$G650,0,1))</f>
        <v>0</v>
      </c>
      <c r="BV650" cm="1">
        <f t="array" ref="BV650">IF(OR(Q650={"NS","NA"},$H650={"NS","NA"}),0,IF(Q650&lt;=$H650,0,1))</f>
        <v>0</v>
      </c>
      <c r="BW650" cm="1">
        <f t="array" ref="BW650">IF(OR(R650={"NS","NA"},$I650={"NS","NA"}),0,IF(R650&lt;=$I650,0,1))</f>
        <v>0</v>
      </c>
      <c r="BX650" cm="1">
        <f t="array" ref="BX650">IF(OR(S650={"NS","NA"},$G650={"NS","NA"}),0,IF(S650&lt;=$G650,0,1))</f>
        <v>0</v>
      </c>
      <c r="BY650" cm="1">
        <f t="array" ref="BY650">IF(OR(T650={"NS","NA"},$H650={"NS","NA"}),0,IF(T650&lt;=$H650,0,1))</f>
        <v>0</v>
      </c>
      <c r="BZ650" cm="1">
        <f t="array" ref="BZ650">IF(OR(U650={"NS","NA"},$I650={"NS","NA"}),0,IF(U650&lt;=$I650,0,1))</f>
        <v>0</v>
      </c>
      <c r="CA650" cm="1">
        <f t="array" ref="CA650">IF(OR(V650={"NS","NA"},$G650={"NS","NA"}),0,IF(V650&lt;=$G650,0,1))</f>
        <v>0</v>
      </c>
      <c r="CB650" cm="1">
        <f t="array" ref="CB650">IF(OR(W650={"NS","NA"},$H650={"NS","NA"}),0,IF(W650&lt;=$H650,0,1))</f>
        <v>0</v>
      </c>
      <c r="CC650" cm="1">
        <f t="array" ref="CC650">IF(OR(X650={"NS","NA"},$I650={"NS","NA"}),0,IF(X650&lt;=$I650,0,1))</f>
        <v>0</v>
      </c>
      <c r="CD650" cm="1">
        <f t="array" ref="CD650">IF(OR(Y650={"NS","NA"},$G650={"NS","NA"}),0,IF(Y650&lt;=$G650,0,1))</f>
        <v>0</v>
      </c>
      <c r="CE650" cm="1">
        <f t="array" ref="CE650">IF(OR(Z650={"NS","NA"},$H650={"NS","NA"}),0,IF(Z650&lt;=$H650,0,1))</f>
        <v>0</v>
      </c>
      <c r="CF650" cm="1">
        <f t="array" ref="CF650">IF(OR(AA650={"NS","NA"},$I650={"NS","NA"}),0,IF(AA650&lt;=$I650,0,1))</f>
        <v>0</v>
      </c>
      <c r="CG650" cm="1">
        <f t="array" ref="CG650">IF(OR(AB650={"NS","NA"},$G650={"NS","NA"}),0,IF(AB650&lt;=$G650,0,1))</f>
        <v>0</v>
      </c>
      <c r="CH650" cm="1">
        <f t="array" ref="CH650">IF(OR(AC650={"NS","NA"},$H650={"NS","NA"}),0,IF(AC650&lt;=$H650,0,1))</f>
        <v>0</v>
      </c>
      <c r="CI650" cm="1">
        <f t="array" ref="CI650">IF(OR(AD650={"NS","NA"},$I650={"NS","NA"}),0,IF(AD650&lt;=$I650,0,1))</f>
        <v>0</v>
      </c>
    </row>
    <row r="651" spans="1:87">
      <c r="A651" s="142"/>
      <c r="B651" s="57"/>
      <c r="C651" s="143" t="s">
        <v>2523</v>
      </c>
      <c r="D651" s="872" t="str">
        <f>IF(CNSIPEE_2024_M2_Secc1!D49="","",CNSIPEE_2024_M2_Secc1!D49)</f>
        <v/>
      </c>
      <c r="E651" s="872"/>
      <c r="F651" s="872"/>
      <c r="G651" s="100"/>
      <c r="H651" s="100"/>
      <c r="I651" s="100"/>
      <c r="J651" s="100"/>
      <c r="K651" s="100"/>
      <c r="L651" s="100"/>
      <c r="M651" s="100"/>
      <c r="N651" s="100"/>
      <c r="O651" s="100"/>
      <c r="P651" s="100"/>
      <c r="Q651" s="100"/>
      <c r="R651" s="100"/>
      <c r="S651" s="100"/>
      <c r="T651" s="100"/>
      <c r="U651" s="100"/>
      <c r="V651" s="100"/>
      <c r="W651" s="100"/>
      <c r="X651" s="100"/>
      <c r="Y651" s="100"/>
      <c r="Z651" s="100"/>
      <c r="AA651" s="100"/>
      <c r="AB651" s="100"/>
      <c r="AC651" s="100"/>
      <c r="AD651" s="100"/>
      <c r="AG651">
        <f t="shared" si="535"/>
        <v>0</v>
      </c>
      <c r="AH651"/>
      <c r="AI651"/>
      <c r="AK651">
        <f t="shared" si="511"/>
        <v>0</v>
      </c>
      <c r="AL651">
        <f t="shared" si="512"/>
        <v>0</v>
      </c>
      <c r="AM651">
        <f t="shared" si="536"/>
        <v>0</v>
      </c>
      <c r="AN651">
        <f t="shared" si="513"/>
        <v>0</v>
      </c>
      <c r="AO651">
        <f t="shared" si="514"/>
        <v>0</v>
      </c>
      <c r="AP651">
        <f t="shared" si="515"/>
        <v>0</v>
      </c>
      <c r="AQ651">
        <f t="shared" si="516"/>
        <v>0</v>
      </c>
      <c r="AR651">
        <f t="shared" si="517"/>
        <v>0</v>
      </c>
      <c r="AS651">
        <f t="shared" si="518"/>
        <v>0</v>
      </c>
      <c r="AT651">
        <f t="shared" si="519"/>
        <v>0</v>
      </c>
      <c r="AU651">
        <f t="shared" si="520"/>
        <v>0</v>
      </c>
      <c r="AV651">
        <f t="shared" si="521"/>
        <v>0</v>
      </c>
      <c r="AW651">
        <f t="shared" si="522"/>
        <v>0</v>
      </c>
      <c r="AX651">
        <f t="shared" si="523"/>
        <v>0</v>
      </c>
      <c r="AY651">
        <f t="shared" si="524"/>
        <v>0</v>
      </c>
      <c r="AZ651">
        <f t="shared" si="525"/>
        <v>0</v>
      </c>
      <c r="BA651">
        <f t="shared" si="526"/>
        <v>0</v>
      </c>
      <c r="BB651">
        <f t="shared" si="527"/>
        <v>0</v>
      </c>
      <c r="BC651">
        <f t="shared" si="528"/>
        <v>0</v>
      </c>
      <c r="BD651">
        <f t="shared" si="529"/>
        <v>0</v>
      </c>
      <c r="BE651">
        <f t="shared" si="530"/>
        <v>0</v>
      </c>
      <c r="BF651">
        <f t="shared" si="531"/>
        <v>0</v>
      </c>
      <c r="BG651">
        <f t="shared" si="532"/>
        <v>0</v>
      </c>
      <c r="BH651">
        <f t="shared" si="533"/>
        <v>0</v>
      </c>
      <c r="BI651" cm="1">
        <f t="array" ref="BI651">IF(OR(G651={"NS","NA"},BL651={"NS","NA"}),0,IF(G651&lt;=BL651,0,1))</f>
        <v>0</v>
      </c>
      <c r="BJ651" cm="1">
        <f t="array" ref="BJ651">IF(OR(H651={"NS","NA"},BM651={"NS","NA"}),0,IF(H651&lt;=BM651,0,1))</f>
        <v>0</v>
      </c>
      <c r="BK651" cm="1">
        <f t="array" ref="BK651">IF(OR(I651={"NS","NA"},BN651={"NS","NA"}),0,IF(I651&lt;=BN651,0,1))</f>
        <v>0</v>
      </c>
      <c r="BL651">
        <f t="shared" si="537"/>
        <v>0</v>
      </c>
      <c r="BM651">
        <f t="shared" si="537"/>
        <v>0</v>
      </c>
      <c r="BN651">
        <f t="shared" si="534"/>
        <v>0</v>
      </c>
      <c r="BO651" cm="1">
        <f t="array" ref="BO651">IF(OR(J651={"NS","NA"},$G651={"NS","NA"}),0,IF(J651&lt;=$G651,0,1))</f>
        <v>0</v>
      </c>
      <c r="BP651" cm="1">
        <f t="array" ref="BP651">IF(OR(K651={"NS","NA"},$H651={"NS","NA"}),0,IF(K651&lt;=$H651,0,1))</f>
        <v>0</v>
      </c>
      <c r="BQ651" cm="1">
        <f t="array" ref="BQ651">IF(OR(L651={"NS","NA"},$I651={"NS","NA"}),0,IF(L651&lt;=$I651,0,1))</f>
        <v>0</v>
      </c>
      <c r="BR651" cm="1">
        <f t="array" ref="BR651">IF(OR(M651={"NS","NA"},$G651={"NS","NA"}),0,IF(M651&lt;=$G651,0,1))</f>
        <v>0</v>
      </c>
      <c r="BS651" cm="1">
        <f t="array" ref="BS651">IF(OR(N651={"NS","NA"},$H651={"NS","NA"}),0,IF(N651&lt;=$H651,0,1))</f>
        <v>0</v>
      </c>
      <c r="BT651" cm="1">
        <f t="array" ref="BT651">IF(OR(O651={"NS","NA"},$I651={"NS","NA"}),0,IF(O651&lt;=$I651,0,1))</f>
        <v>0</v>
      </c>
      <c r="BU651" cm="1">
        <f t="array" ref="BU651">IF(OR(P651={"NS","NA"},$G651={"NS","NA"}),0,IF(P651&lt;=$G651,0,1))</f>
        <v>0</v>
      </c>
      <c r="BV651" cm="1">
        <f t="array" ref="BV651">IF(OR(Q651={"NS","NA"},$H651={"NS","NA"}),0,IF(Q651&lt;=$H651,0,1))</f>
        <v>0</v>
      </c>
      <c r="BW651" cm="1">
        <f t="array" ref="BW651">IF(OR(R651={"NS","NA"},$I651={"NS","NA"}),0,IF(R651&lt;=$I651,0,1))</f>
        <v>0</v>
      </c>
      <c r="BX651" cm="1">
        <f t="array" ref="BX651">IF(OR(S651={"NS","NA"},$G651={"NS","NA"}),0,IF(S651&lt;=$G651,0,1))</f>
        <v>0</v>
      </c>
      <c r="BY651" cm="1">
        <f t="array" ref="BY651">IF(OR(T651={"NS","NA"},$H651={"NS","NA"}),0,IF(T651&lt;=$H651,0,1))</f>
        <v>0</v>
      </c>
      <c r="BZ651" cm="1">
        <f t="array" ref="BZ651">IF(OR(U651={"NS","NA"},$I651={"NS","NA"}),0,IF(U651&lt;=$I651,0,1))</f>
        <v>0</v>
      </c>
      <c r="CA651" cm="1">
        <f t="array" ref="CA651">IF(OR(V651={"NS","NA"},$G651={"NS","NA"}),0,IF(V651&lt;=$G651,0,1))</f>
        <v>0</v>
      </c>
      <c r="CB651" cm="1">
        <f t="array" ref="CB651">IF(OR(W651={"NS","NA"},$H651={"NS","NA"}),0,IF(W651&lt;=$H651,0,1))</f>
        <v>0</v>
      </c>
      <c r="CC651" cm="1">
        <f t="array" ref="CC651">IF(OR(X651={"NS","NA"},$I651={"NS","NA"}),0,IF(X651&lt;=$I651,0,1))</f>
        <v>0</v>
      </c>
      <c r="CD651" cm="1">
        <f t="array" ref="CD651">IF(OR(Y651={"NS","NA"},$G651={"NS","NA"}),0,IF(Y651&lt;=$G651,0,1))</f>
        <v>0</v>
      </c>
      <c r="CE651" cm="1">
        <f t="array" ref="CE651">IF(OR(Z651={"NS","NA"},$H651={"NS","NA"}),0,IF(Z651&lt;=$H651,0,1))</f>
        <v>0</v>
      </c>
      <c r="CF651" cm="1">
        <f t="array" ref="CF651">IF(OR(AA651={"NS","NA"},$I651={"NS","NA"}),0,IF(AA651&lt;=$I651,0,1))</f>
        <v>0</v>
      </c>
      <c r="CG651" cm="1">
        <f t="array" ref="CG651">IF(OR(AB651={"NS","NA"},$G651={"NS","NA"}),0,IF(AB651&lt;=$G651,0,1))</f>
        <v>0</v>
      </c>
      <c r="CH651" cm="1">
        <f t="array" ref="CH651">IF(OR(AC651={"NS","NA"},$H651={"NS","NA"}),0,IF(AC651&lt;=$H651,0,1))</f>
        <v>0</v>
      </c>
      <c r="CI651" cm="1">
        <f t="array" ref="CI651">IF(OR(AD651={"NS","NA"},$I651={"NS","NA"}),0,IF(AD651&lt;=$I651,0,1))</f>
        <v>0</v>
      </c>
    </row>
    <row r="652" spans="1:87">
      <c r="A652" s="142"/>
      <c r="B652" s="57"/>
      <c r="C652" s="57"/>
      <c r="D652" s="57"/>
      <c r="E652" s="57"/>
      <c r="F652" s="99" t="s">
        <v>2649</v>
      </c>
      <c r="G652" s="124">
        <f t="shared" ref="G652:AD652" si="538">IF(AND(SUM(G644:G651)=0,COUNTIF(G644:G651,"NS")&gt;0),"NS",IF(AND(SUM(G644:G651)=0,COUNTIF(G644:G651,0)&gt;0),0,IF(AND(SUM(G644:G651)=0,COUNTIF(G644:G651,"NA")&gt;0),"NA",SUM(G644:G651))))</f>
        <v>0</v>
      </c>
      <c r="H652" s="124">
        <f t="shared" si="538"/>
        <v>0</v>
      </c>
      <c r="I652" s="124">
        <f t="shared" si="538"/>
        <v>0</v>
      </c>
      <c r="J652" s="124">
        <f t="shared" si="538"/>
        <v>0</v>
      </c>
      <c r="K652" s="124">
        <f t="shared" si="538"/>
        <v>0</v>
      </c>
      <c r="L652" s="124">
        <f t="shared" si="538"/>
        <v>0</v>
      </c>
      <c r="M652" s="124">
        <f t="shared" si="538"/>
        <v>0</v>
      </c>
      <c r="N652" s="124">
        <f t="shared" si="538"/>
        <v>0</v>
      </c>
      <c r="O652" s="124">
        <f t="shared" si="538"/>
        <v>0</v>
      </c>
      <c r="P652" s="124">
        <f t="shared" si="538"/>
        <v>0</v>
      </c>
      <c r="Q652" s="124">
        <f t="shared" si="538"/>
        <v>0</v>
      </c>
      <c r="R652" s="124">
        <f t="shared" si="538"/>
        <v>0</v>
      </c>
      <c r="S652" s="124">
        <f t="shared" si="538"/>
        <v>0</v>
      </c>
      <c r="T652" s="124">
        <f t="shared" si="538"/>
        <v>0</v>
      </c>
      <c r="U652" s="124">
        <f t="shared" si="538"/>
        <v>0</v>
      </c>
      <c r="V652" s="124">
        <f t="shared" si="538"/>
        <v>0</v>
      </c>
      <c r="W652" s="124">
        <f t="shared" si="538"/>
        <v>0</v>
      </c>
      <c r="X652" s="124">
        <f t="shared" si="538"/>
        <v>0</v>
      </c>
      <c r="Y652" s="124">
        <f t="shared" si="538"/>
        <v>0</v>
      </c>
      <c r="Z652" s="124">
        <f t="shared" si="538"/>
        <v>0</v>
      </c>
      <c r="AA652" s="124">
        <f t="shared" si="538"/>
        <v>0</v>
      </c>
      <c r="AB652" s="124">
        <f t="shared" si="538"/>
        <v>0</v>
      </c>
      <c r="AC652" s="124">
        <f t="shared" si="538"/>
        <v>0</v>
      </c>
      <c r="AD652" s="124">
        <f t="shared" si="538"/>
        <v>0</v>
      </c>
      <c r="AG652" s="507">
        <f>SUM(AG644:AG651)</f>
        <v>0</v>
      </c>
      <c r="AI652"/>
      <c r="AK652">
        <f>SUM(AK644:AK651)</f>
        <v>0</v>
      </c>
      <c r="AM652">
        <f>SUM(AM644:AM651)</f>
        <v>0</v>
      </c>
      <c r="AN652">
        <f>SUM(AN644:AN651)</f>
        <v>0</v>
      </c>
      <c r="AP652">
        <f>SUM(AP644:AP651)</f>
        <v>0</v>
      </c>
      <c r="AQ652">
        <f>SUM(AQ644:AQ651)</f>
        <v>0</v>
      </c>
      <c r="AS652">
        <f>SUM(AS644:AS651)</f>
        <v>0</v>
      </c>
      <c r="AT652">
        <f>SUM(AT644:AT651)</f>
        <v>0</v>
      </c>
      <c r="AV652">
        <f>SUM(AV644:AV651)</f>
        <v>0</v>
      </c>
      <c r="AW652">
        <f>SUM(AW644:AW651)</f>
        <v>0</v>
      </c>
      <c r="AY652">
        <f>SUM(AY644:AY651)</f>
        <v>0</v>
      </c>
      <c r="AZ652">
        <f>SUM(AZ644:AZ651)</f>
        <v>0</v>
      </c>
      <c r="BB652">
        <f>SUM(BB644:BB651)</f>
        <v>0</v>
      </c>
      <c r="BC652">
        <f>SUM(BC644:BC651)</f>
        <v>0</v>
      </c>
      <c r="BE652">
        <f>SUM(BE644:BE651)</f>
        <v>0</v>
      </c>
      <c r="BF652">
        <f>SUM(BF644:BF651)</f>
        <v>0</v>
      </c>
      <c r="BH652">
        <f>SUM(BH644:BH651)</f>
        <v>0</v>
      </c>
      <c r="BK652" s="507">
        <f>SUM(BI644:BK651)</f>
        <v>0</v>
      </c>
      <c r="CI652" s="507">
        <f>SUM(BO644:CI651)</f>
        <v>0</v>
      </c>
    </row>
    <row r="653" spans="1:87">
      <c r="A653" s="142"/>
      <c r="B653" s="57"/>
      <c r="C653" s="57"/>
      <c r="D653" s="57"/>
      <c r="E653" s="57"/>
      <c r="F653" s="57"/>
      <c r="G653" s="57"/>
      <c r="H653" s="57"/>
      <c r="I653" s="57"/>
      <c r="J653" s="57"/>
      <c r="K653" s="57"/>
      <c r="L653" s="57"/>
      <c r="M653" s="57"/>
      <c r="N653" s="57"/>
      <c r="O653" s="57"/>
      <c r="P653" s="57"/>
      <c r="Q653" s="57"/>
      <c r="R653" s="57"/>
      <c r="S653" s="57"/>
      <c r="T653" s="57"/>
      <c r="U653" s="57"/>
      <c r="V653" s="57"/>
      <c r="W653" s="57"/>
      <c r="X653" s="57"/>
      <c r="Y653" s="57"/>
      <c r="Z653" s="57"/>
      <c r="AA653" s="57"/>
      <c r="AB653" s="57"/>
      <c r="AC653" s="57"/>
      <c r="AD653" s="57"/>
      <c r="AG653" s="57"/>
      <c r="AK653" t="s">
        <v>2650</v>
      </c>
      <c r="AL653" s="506">
        <f>SUM(AM652,AP652,AS652,AV652,AY652,BB652,BE652,BH652)</f>
        <v>0</v>
      </c>
      <c r="AM653" t="s">
        <v>2651</v>
      </c>
      <c r="AN653">
        <f>SUM(AK652,AN652,AQ652,AT652,AW652,AZ652,BC652,BF652)</f>
        <v>0</v>
      </c>
      <c r="CG653"/>
      <c r="CH653"/>
      <c r="CI653"/>
    </row>
    <row r="654" spans="1:87" ht="45" customHeight="1">
      <c r="A654" s="142"/>
      <c r="B654" s="57"/>
      <c r="C654" s="822" t="s">
        <v>2798</v>
      </c>
      <c r="D654" s="822"/>
      <c r="E654" s="822"/>
      <c r="F654" s="749"/>
      <c r="G654" s="749"/>
      <c r="H654" s="749"/>
      <c r="I654" s="749"/>
      <c r="J654" s="749"/>
      <c r="K654" s="749"/>
      <c r="L654" s="749"/>
      <c r="M654" s="749"/>
      <c r="N654" s="749"/>
      <c r="O654" s="749"/>
      <c r="P654" s="749"/>
      <c r="Q654" s="749"/>
      <c r="R654" s="749"/>
      <c r="S654" s="749"/>
      <c r="T654" s="749"/>
      <c r="U654" s="749"/>
      <c r="V654" s="749"/>
      <c r="W654" s="749"/>
      <c r="X654" s="749"/>
      <c r="Y654" s="749"/>
      <c r="Z654" s="749"/>
      <c r="AA654" s="749"/>
      <c r="AB654" s="749"/>
      <c r="AC654" s="749"/>
      <c r="AD654" s="749"/>
      <c r="AK654" t="s">
        <v>2652</v>
      </c>
      <c r="AL654">
        <f>IF(AN653&gt;0,IF(SUM(G652)&gt;=SUM(J652,M652,P652,S652,V652,Y652,AB652),0,1),IF(SUM(G652)&lt;&gt;SUM(J652,M652,P652,S652,V652,Y652,AB652),1,0))</f>
        <v>0</v>
      </c>
      <c r="AM654" t="s">
        <v>2653</v>
      </c>
      <c r="AN654">
        <f>IF(AN653&gt;0,IF(SUM(H652)&gt;=SUM(K652,N652,Q652,T652,W652,Z652,AC652),0,1),IF(SUM(H652)&lt;&gt;SUM(K652,N652,Q652,T652,W652,Z652,AC652),1,0))</f>
        <v>0</v>
      </c>
      <c r="AO654" t="s">
        <v>2654</v>
      </c>
      <c r="AP654">
        <f>IF(AN653&gt;0,IF(SUM(I652)&gt;=SUM(L652,O652,R652,U652,X652,AA652,AD652),0,1),IF(SUM(I652)&lt;&gt;SUM(L652,O652,R652,U652,X652,AA652,AD652),1,0))</f>
        <v>0</v>
      </c>
      <c r="CG654"/>
      <c r="CH654"/>
      <c r="CI654"/>
    </row>
    <row r="655" spans="1:87">
      <c r="A655" s="142"/>
      <c r="B655" s="1003" t="str">
        <f>IF(AND(AB652&gt;0,AB652&lt;&gt;"NA",AB652&lt;&gt;"NS",F654=""),"Debido a que registró un número mayor a cero en el apartado Otro tipo, debe anotar el n. de dicho(s) tipo(s) de actividad(es) física(s)","")</f>
        <v/>
      </c>
      <c r="C655" s="1003"/>
      <c r="D655" s="1003"/>
      <c r="E655" s="1003"/>
      <c r="F655" s="1003"/>
      <c r="G655" s="1003"/>
      <c r="H655" s="1003"/>
      <c r="I655" s="1003"/>
      <c r="J655" s="1003"/>
      <c r="K655" s="1003"/>
      <c r="L655" s="1003"/>
      <c r="M655" s="1003"/>
      <c r="N655" s="1003"/>
      <c r="O655" s="1003"/>
      <c r="P655" s="1003"/>
      <c r="Q655" s="1003"/>
      <c r="R655" s="1003"/>
      <c r="S655" s="1003"/>
      <c r="T655" s="1003"/>
      <c r="U655" s="1003"/>
      <c r="V655" s="1003"/>
      <c r="W655" s="1003"/>
      <c r="X655" s="1003"/>
      <c r="Y655" s="1003"/>
      <c r="Z655" s="1003"/>
      <c r="AA655" s="1003"/>
      <c r="AB655" s="1003"/>
      <c r="AC655" s="1003"/>
      <c r="AD655" s="1003"/>
      <c r="AE655" s="1003"/>
    </row>
    <row r="656" spans="1:87" ht="24" customHeight="1">
      <c r="A656" s="50"/>
      <c r="B656" s="38"/>
      <c r="C656" s="754" t="s">
        <v>2611</v>
      </c>
      <c r="D656" s="754"/>
      <c r="E656" s="754"/>
      <c r="F656" s="754"/>
      <c r="G656" s="754"/>
      <c r="H656" s="754"/>
      <c r="I656" s="754"/>
      <c r="J656" s="754"/>
      <c r="K656" s="754"/>
      <c r="L656" s="754"/>
      <c r="M656" s="754"/>
      <c r="N656" s="754"/>
      <c r="O656" s="754"/>
      <c r="P656" s="754"/>
      <c r="Q656" s="754"/>
      <c r="R656" s="754"/>
      <c r="S656" s="754"/>
      <c r="T656" s="754"/>
      <c r="U656" s="754"/>
      <c r="V656" s="754"/>
      <c r="W656" s="754"/>
      <c r="X656" s="754"/>
      <c r="Y656" s="754"/>
      <c r="Z656" s="754"/>
      <c r="AA656" s="754"/>
      <c r="AB656" s="754"/>
      <c r="AC656" s="754"/>
      <c r="AD656" s="754"/>
    </row>
    <row r="657" spans="1:37" ht="60" customHeight="1">
      <c r="A657" s="50"/>
      <c r="B657" s="38"/>
      <c r="C657" s="851"/>
      <c r="D657" s="851"/>
      <c r="E657" s="851"/>
      <c r="F657" s="851"/>
      <c r="G657" s="851"/>
      <c r="H657" s="851"/>
      <c r="I657" s="851"/>
      <c r="J657" s="851"/>
      <c r="K657" s="851"/>
      <c r="L657" s="851"/>
      <c r="M657" s="851"/>
      <c r="N657" s="851"/>
      <c r="O657" s="851"/>
      <c r="P657" s="851"/>
      <c r="Q657" s="851"/>
      <c r="R657" s="851"/>
      <c r="S657" s="851"/>
      <c r="T657" s="851"/>
      <c r="U657" s="851"/>
      <c r="V657" s="851"/>
      <c r="W657" s="851"/>
      <c r="X657" s="851"/>
      <c r="Y657" s="851"/>
      <c r="Z657" s="851"/>
      <c r="AA657" s="851"/>
      <c r="AB657" s="851"/>
      <c r="AC657" s="851"/>
      <c r="AD657" s="851"/>
    </row>
    <row r="658" spans="1:37" ht="15" customHeight="1">
      <c r="A658" s="91"/>
      <c r="B658" s="794" t="str">
        <f>IF(AG652=0,"","Favor de ingresar toda la información requerida en la pregunta")</f>
        <v/>
      </c>
      <c r="C658" s="794"/>
      <c r="D658" s="794"/>
      <c r="E658" s="794"/>
      <c r="F658" s="794"/>
      <c r="G658" s="794"/>
      <c r="H658" s="794"/>
      <c r="I658" s="794"/>
      <c r="J658" s="794"/>
      <c r="K658" s="794"/>
      <c r="L658" s="794"/>
      <c r="M658" s="794"/>
      <c r="N658" s="794"/>
      <c r="O658" s="794"/>
      <c r="P658" s="794"/>
      <c r="Q658" s="794"/>
      <c r="R658" s="794"/>
      <c r="S658" s="794"/>
      <c r="T658" s="794"/>
      <c r="U658" s="794"/>
      <c r="V658" s="794"/>
      <c r="W658" s="794"/>
      <c r="X658" s="794"/>
      <c r="Y658" s="794"/>
      <c r="Z658" s="794"/>
      <c r="AA658" s="794"/>
      <c r="AB658" s="794"/>
      <c r="AC658" s="794"/>
      <c r="AD658" s="794"/>
      <c r="AE658" s="794"/>
    </row>
    <row r="659" spans="1:37" ht="15" customHeight="1">
      <c r="A659" s="91"/>
      <c r="B659" s="1087" t="str">
        <f>IF(COUNTIF(G644:AD651,"NS")&lt;&gt;0,"Alerta: debido a que cuenta con registros NS, debe proporcionar una justificación en el area de comentarios al final de la pregunta","")</f>
        <v/>
      </c>
      <c r="C659" s="1087"/>
      <c r="D659" s="1087"/>
      <c r="E659" s="1087"/>
      <c r="F659" s="1087"/>
      <c r="G659" s="1087"/>
      <c r="H659" s="1087"/>
      <c r="I659" s="1087"/>
      <c r="J659" s="1087"/>
      <c r="K659" s="1087"/>
      <c r="L659" s="1087"/>
      <c r="M659" s="1087"/>
      <c r="N659" s="1087"/>
      <c r="O659" s="1087"/>
      <c r="P659" s="1087"/>
      <c r="Q659" s="1087"/>
      <c r="R659" s="1087"/>
      <c r="S659" s="1087"/>
      <c r="T659" s="1087"/>
      <c r="U659" s="1087"/>
      <c r="V659" s="1087"/>
      <c r="W659" s="1087"/>
      <c r="X659" s="1087"/>
      <c r="Y659" s="1087"/>
      <c r="Z659" s="1087"/>
      <c r="AA659" s="1087"/>
      <c r="AB659" s="1087"/>
      <c r="AC659" s="1087"/>
      <c r="AD659" s="1087"/>
      <c r="AE659" s="1087"/>
    </row>
    <row r="660" spans="1:37" ht="15" customHeight="1">
      <c r="A660" s="91"/>
      <c r="B660" s="1003" t="str">
        <f>IF(AL653&gt;0,"Favor de revisar la suma y consistencia de totales y/o subtotales por filas (numéricos y NS)","")</f>
        <v/>
      </c>
      <c r="C660" s="1003"/>
      <c r="D660" s="1003"/>
      <c r="E660" s="1003"/>
      <c r="F660" s="1003"/>
      <c r="G660" s="1003"/>
      <c r="H660" s="1003"/>
      <c r="I660" s="1003"/>
      <c r="J660" s="1003"/>
      <c r="K660" s="1003"/>
      <c r="L660" s="1003"/>
      <c r="M660" s="1003"/>
      <c r="N660" s="1003"/>
      <c r="O660" s="1003"/>
      <c r="P660" s="1003"/>
      <c r="Q660" s="1003"/>
      <c r="R660" s="1003"/>
      <c r="S660" s="1003"/>
      <c r="T660" s="1003"/>
      <c r="U660" s="1003"/>
      <c r="V660" s="1003"/>
      <c r="W660" s="1003"/>
      <c r="X660" s="1003"/>
      <c r="Y660" s="1003"/>
      <c r="Z660" s="1003"/>
      <c r="AA660" s="1003"/>
      <c r="AB660" s="1003"/>
      <c r="AC660" s="1003"/>
      <c r="AD660" s="1003"/>
      <c r="AE660" s="1003"/>
    </row>
    <row r="661" spans="1:37" ht="15" customHeight="1">
      <c r="A661" s="91"/>
      <c r="B661" s="794" t="str">
        <f>IF(BK652&gt;0,"Favor de revisar la instrucción 1, debido a que no se cumplen con los criterios mencionados","")</f>
        <v/>
      </c>
      <c r="C661" s="794"/>
      <c r="D661" s="794"/>
      <c r="E661" s="794"/>
      <c r="F661" s="794"/>
      <c r="G661" s="794"/>
      <c r="H661" s="794"/>
      <c r="I661" s="794"/>
      <c r="J661" s="794"/>
      <c r="K661" s="794"/>
      <c r="L661" s="794"/>
      <c r="M661" s="794"/>
      <c r="N661" s="794"/>
      <c r="O661" s="794"/>
      <c r="P661" s="794"/>
      <c r="Q661" s="794"/>
      <c r="R661" s="794"/>
      <c r="S661" s="794"/>
      <c r="T661" s="794"/>
      <c r="U661" s="794"/>
      <c r="V661" s="794"/>
      <c r="W661" s="794"/>
      <c r="X661" s="794"/>
      <c r="Y661" s="794"/>
      <c r="Z661" s="794"/>
      <c r="AA661" s="794"/>
      <c r="AB661" s="794"/>
      <c r="AC661" s="794"/>
      <c r="AD661" s="794"/>
      <c r="AE661" s="794"/>
    </row>
    <row r="662" spans="1:37" ht="15" customHeight="1">
      <c r="A662" s="91"/>
      <c r="B662" s="795" t="str">
        <f>IF(CI652&gt;0,"Alerta: debe de proporcionar una justificación de acuerdo a lo establecido en la instrucción 2","")</f>
        <v/>
      </c>
      <c r="C662" s="795"/>
      <c r="D662" s="795"/>
      <c r="E662" s="795"/>
      <c r="F662" s="795"/>
      <c r="G662" s="795"/>
      <c r="H662" s="795"/>
      <c r="I662" s="795"/>
      <c r="J662" s="795"/>
      <c r="K662" s="795"/>
      <c r="L662" s="795"/>
      <c r="M662" s="795"/>
      <c r="N662" s="795"/>
      <c r="O662" s="795"/>
      <c r="P662" s="795"/>
      <c r="Q662" s="795"/>
      <c r="R662" s="795"/>
      <c r="S662" s="795"/>
      <c r="T662" s="795"/>
      <c r="U662" s="795"/>
      <c r="V662" s="795"/>
      <c r="W662" s="795"/>
      <c r="X662" s="795"/>
      <c r="Y662" s="795"/>
      <c r="Z662" s="795"/>
      <c r="AA662" s="795"/>
      <c r="AB662" s="795"/>
      <c r="AC662" s="795"/>
      <c r="AD662" s="795"/>
      <c r="AE662" s="795"/>
    </row>
    <row r="663" spans="1:37" ht="15" customHeight="1" thickBot="1">
      <c r="A663" s="91"/>
      <c r="B663" s="706"/>
      <c r="C663" s="706"/>
      <c r="D663" s="706"/>
      <c r="E663" s="706"/>
      <c r="F663" s="706"/>
      <c r="G663" s="706"/>
      <c r="H663" s="706"/>
      <c r="I663" s="706"/>
      <c r="J663" s="706"/>
      <c r="K663" s="706"/>
      <c r="L663" s="706"/>
      <c r="M663" s="706"/>
      <c r="N663" s="706"/>
      <c r="O663" s="706"/>
      <c r="P663" s="706"/>
      <c r="Q663" s="706"/>
      <c r="R663" s="706"/>
      <c r="S663" s="706"/>
      <c r="T663" s="706"/>
      <c r="U663" s="706"/>
      <c r="V663" s="706"/>
      <c r="W663" s="706"/>
      <c r="X663" s="706"/>
      <c r="Y663" s="706"/>
      <c r="Z663" s="706"/>
      <c r="AA663" s="706"/>
      <c r="AB663" s="706"/>
      <c r="AC663" s="706"/>
      <c r="AD663" s="706"/>
      <c r="AE663" s="706"/>
    </row>
    <row r="664" spans="1:37" customFormat="1" ht="15" customHeight="1" thickBot="1">
      <c r="A664" s="19" t="s">
        <v>2563</v>
      </c>
      <c r="B664" s="1081" t="s">
        <v>6000</v>
      </c>
      <c r="C664" s="1082"/>
      <c r="D664" s="1082"/>
      <c r="E664" s="1082"/>
      <c r="F664" s="1082"/>
      <c r="G664" s="1082"/>
      <c r="H664" s="1082"/>
      <c r="I664" s="1082"/>
      <c r="J664" s="1082"/>
      <c r="K664" s="1082"/>
      <c r="L664" s="1082"/>
      <c r="M664" s="1082"/>
      <c r="N664" s="1082"/>
      <c r="O664" s="1082"/>
      <c r="P664" s="1082"/>
      <c r="Q664" s="1082"/>
      <c r="R664" s="1082"/>
      <c r="S664" s="1082"/>
      <c r="T664" s="1082"/>
      <c r="U664" s="1082"/>
      <c r="V664" s="1082"/>
      <c r="W664" s="1082"/>
      <c r="X664" s="1082"/>
      <c r="Y664" s="1082"/>
      <c r="Z664" s="1082"/>
      <c r="AA664" s="1082"/>
      <c r="AB664" s="1082"/>
      <c r="AC664" s="1082"/>
      <c r="AD664" s="1083"/>
      <c r="AE664" s="3"/>
    </row>
    <row r="665" spans="1:37" ht="15" customHeight="1">
      <c r="A665" s="91"/>
    </row>
    <row r="666" spans="1:37" ht="36" customHeight="1">
      <c r="A666" s="49" t="s">
        <v>6001</v>
      </c>
      <c r="B666" s="829" t="s">
        <v>6002</v>
      </c>
      <c r="C666" s="829"/>
      <c r="D666" s="829"/>
      <c r="E666" s="829"/>
      <c r="F666" s="829"/>
      <c r="G666" s="829"/>
      <c r="H666" s="829"/>
      <c r="I666" s="829"/>
      <c r="J666" s="829"/>
      <c r="K666" s="829"/>
      <c r="L666" s="829"/>
      <c r="M666" s="829"/>
      <c r="N666" s="829"/>
      <c r="O666" s="829"/>
      <c r="P666" s="829"/>
      <c r="Q666" s="829"/>
      <c r="R666" s="829"/>
      <c r="S666" s="829"/>
      <c r="T666" s="829"/>
      <c r="U666" s="829"/>
      <c r="V666" s="829"/>
      <c r="W666" s="829"/>
      <c r="X666" s="829"/>
      <c r="Y666" s="829"/>
      <c r="Z666" s="829"/>
      <c r="AA666" s="829"/>
      <c r="AB666" s="829"/>
      <c r="AC666" s="829"/>
      <c r="AD666" s="829"/>
    </row>
    <row r="667" spans="1:37" ht="24" customHeight="1">
      <c r="A667" s="142"/>
      <c r="B667" s="57"/>
      <c r="C667" s="830" t="s">
        <v>6003</v>
      </c>
      <c r="D667" s="830"/>
      <c r="E667" s="830"/>
      <c r="F667" s="830"/>
      <c r="G667" s="830"/>
      <c r="H667" s="830"/>
      <c r="I667" s="830"/>
      <c r="J667" s="830"/>
      <c r="K667" s="830"/>
      <c r="L667" s="830"/>
      <c r="M667" s="830"/>
      <c r="N667" s="830"/>
      <c r="O667" s="830"/>
      <c r="P667" s="830"/>
      <c r="Q667" s="830"/>
      <c r="R667" s="830"/>
      <c r="S667" s="830"/>
      <c r="T667" s="830"/>
      <c r="U667" s="830"/>
      <c r="V667" s="830"/>
      <c r="W667" s="830"/>
      <c r="X667" s="830"/>
      <c r="Y667" s="830"/>
      <c r="Z667" s="830"/>
      <c r="AA667" s="830"/>
      <c r="AB667" s="830"/>
      <c r="AC667" s="830"/>
      <c r="AD667" s="830"/>
    </row>
    <row r="668" spans="1:37" ht="24" customHeight="1">
      <c r="A668" s="142"/>
      <c r="B668" s="57"/>
      <c r="C668" s="754" t="s">
        <v>6004</v>
      </c>
      <c r="D668" s="754"/>
      <c r="E668" s="754"/>
      <c r="F668" s="754"/>
      <c r="G668" s="754"/>
      <c r="H668" s="754"/>
      <c r="I668" s="754"/>
      <c r="J668" s="754"/>
      <c r="K668" s="754"/>
      <c r="L668" s="754"/>
      <c r="M668" s="754"/>
      <c r="N668" s="754"/>
      <c r="O668" s="754"/>
      <c r="P668" s="754"/>
      <c r="Q668" s="754"/>
      <c r="R668" s="754"/>
      <c r="S668" s="754"/>
      <c r="T668" s="754"/>
      <c r="U668" s="754"/>
      <c r="V668" s="754"/>
      <c r="W668" s="754"/>
      <c r="X668" s="754"/>
      <c r="Y668" s="754"/>
      <c r="Z668" s="754"/>
      <c r="AA668" s="754"/>
      <c r="AB668" s="754"/>
      <c r="AC668" s="754"/>
      <c r="AD668" s="754"/>
    </row>
    <row r="669" spans="1:37">
      <c r="A669" s="142"/>
      <c r="B669" s="57"/>
      <c r="C669" s="57"/>
      <c r="D669" s="57"/>
      <c r="E669" s="57"/>
      <c r="F669" s="57"/>
      <c r="G669" s="57"/>
      <c r="H669" s="57"/>
      <c r="I669" s="57"/>
      <c r="J669" s="57"/>
      <c r="K669" s="57"/>
      <c r="L669" s="57"/>
      <c r="M669" s="57"/>
      <c r="N669" s="57"/>
      <c r="O669" s="57"/>
      <c r="P669" s="57"/>
      <c r="Q669" s="57"/>
      <c r="R669" s="57"/>
      <c r="S669" s="57"/>
      <c r="T669" s="57"/>
      <c r="U669" s="57"/>
      <c r="V669" s="57"/>
      <c r="W669" s="57"/>
      <c r="X669" s="57"/>
      <c r="Y669" s="57"/>
      <c r="Z669" s="57"/>
      <c r="AA669" s="57"/>
      <c r="AB669" s="57"/>
      <c r="AC669" s="57"/>
      <c r="AD669" s="57"/>
    </row>
    <row r="670" spans="1:37" ht="15" customHeight="1">
      <c r="A670" s="142"/>
      <c r="B670" s="57"/>
      <c r="C670" s="797" t="s">
        <v>2581</v>
      </c>
      <c r="D670" s="798"/>
      <c r="E670" s="798"/>
      <c r="F670" s="798"/>
      <c r="G670" s="798"/>
      <c r="H670" s="799"/>
      <c r="I670" s="732" t="s">
        <v>6005</v>
      </c>
      <c r="J670" s="732"/>
      <c r="K670" s="732"/>
      <c r="L670" s="732"/>
      <c r="M670" s="739" t="s">
        <v>6006</v>
      </c>
      <c r="N670" s="740"/>
      <c r="O670" s="740"/>
      <c r="P670" s="740"/>
      <c r="Q670" s="740"/>
      <c r="R670" s="740"/>
      <c r="S670" s="740"/>
      <c r="T670" s="740"/>
      <c r="U670" s="740"/>
      <c r="V670" s="740"/>
      <c r="W670" s="740"/>
      <c r="X670" s="740"/>
      <c r="Y670" s="740"/>
      <c r="Z670" s="740"/>
      <c r="AA670" s="740"/>
      <c r="AB670" s="740"/>
      <c r="AC670" s="740"/>
      <c r="AD670" s="741"/>
    </row>
    <row r="671" spans="1:37" ht="120" customHeight="1">
      <c r="A671" s="142"/>
      <c r="B671" s="57"/>
      <c r="C671" s="803"/>
      <c r="D671" s="804"/>
      <c r="E671" s="804"/>
      <c r="F671" s="804"/>
      <c r="G671" s="804"/>
      <c r="H671" s="805"/>
      <c r="I671" s="732"/>
      <c r="J671" s="732"/>
      <c r="K671" s="732"/>
      <c r="L671" s="732"/>
      <c r="M671" s="739" t="s">
        <v>2628</v>
      </c>
      <c r="N671" s="741"/>
      <c r="O671" s="858" t="s">
        <v>6007</v>
      </c>
      <c r="P671" s="860"/>
      <c r="Q671" s="858" t="s">
        <v>6008</v>
      </c>
      <c r="R671" s="860"/>
      <c r="S671" s="858" t="s">
        <v>6009</v>
      </c>
      <c r="T671" s="860"/>
      <c r="U671" s="858" t="s">
        <v>6010</v>
      </c>
      <c r="V671" s="860"/>
      <c r="W671" s="858" t="s">
        <v>6011</v>
      </c>
      <c r="X671" s="860"/>
      <c r="Y671" s="858" t="s">
        <v>6012</v>
      </c>
      <c r="Z671" s="860"/>
      <c r="AA671" s="858" t="s">
        <v>6013</v>
      </c>
      <c r="AB671" s="860"/>
      <c r="AC671" s="858" t="s">
        <v>2990</v>
      </c>
      <c r="AD671" s="860"/>
      <c r="AF671" t="s">
        <v>4713</v>
      </c>
      <c r="AG671" t="s">
        <v>2586</v>
      </c>
      <c r="AH671" t="s">
        <v>5940</v>
      </c>
      <c r="AI671" t="s">
        <v>2590</v>
      </c>
      <c r="AJ671" t="s">
        <v>3163</v>
      </c>
      <c r="AK671" t="s">
        <v>4564</v>
      </c>
    </row>
    <row r="672" spans="1:37">
      <c r="A672" s="142"/>
      <c r="B672" s="57"/>
      <c r="C672" s="97" t="s">
        <v>2516</v>
      </c>
      <c r="D672" s="813" t="str">
        <f>IF(CNSIPEE_2024_M2_Secc1!D42="","",CNSIPEE_2024_M2_Secc1!D42)</f>
        <v/>
      </c>
      <c r="E672" s="814"/>
      <c r="F672" s="814"/>
      <c r="G672" s="814"/>
      <c r="H672" s="815"/>
      <c r="I672" s="749"/>
      <c r="J672" s="749"/>
      <c r="K672" s="749"/>
      <c r="L672" s="749"/>
      <c r="M672" s="816"/>
      <c r="N672" s="817"/>
      <c r="O672" s="816"/>
      <c r="P672" s="817"/>
      <c r="Q672" s="816"/>
      <c r="R672" s="817"/>
      <c r="S672" s="816"/>
      <c r="T672" s="817"/>
      <c r="U672" s="816"/>
      <c r="V672" s="817"/>
      <c r="W672" s="816"/>
      <c r="X672" s="817"/>
      <c r="Y672" s="816"/>
      <c r="Z672" s="817"/>
      <c r="AA672" s="816"/>
      <c r="AB672" s="817"/>
      <c r="AC672" s="816"/>
      <c r="AD672" s="817"/>
      <c r="AF672">
        <f>IF(AND(I672=1,M672=0),1,0)</f>
        <v>0</v>
      </c>
      <c r="AG672">
        <f>IF(COUNTBLANK(D672:AD672)=27,0,IF(COUNTBLANK(D672)=1,1,IF(I672&gt;1,0,IF(AND(COUNTA(M672:AD672)=9,I672=1),0,1))))</f>
        <v>0</v>
      </c>
      <c r="AH672">
        <f>IF(I672&gt;1,IF(COUNTA(M672:AD672)=0,0,1),0)</f>
        <v>0</v>
      </c>
      <c r="AI672">
        <f>COUNTIF(O672:AD672,"NS")</f>
        <v>0</v>
      </c>
      <c r="AJ672">
        <f>SUM(O672:AD672)</f>
        <v>0</v>
      </c>
      <c r="AK672">
        <f>IF(COUNTIF(M672:AD672,"NA")=9,0,IF(COUNTA(M672:AD672)=0,0,IF(OR(AND(M672=0,AI672&gt;0),AND(M672="ns",AJ672&gt;0),AND(M672="ns",AI672=0,AJ672=0)),1,IF(OR(AND(M672&gt;0,AI672=2),AND(M672="ns",AI672=2),AND(M672="ns",AJ672=0,AI672&gt;0),M672=AJ672),0,1))))</f>
        <v>0</v>
      </c>
    </row>
    <row r="673" spans="1:37">
      <c r="A673" s="142"/>
      <c r="B673" s="57"/>
      <c r="C673" s="143" t="s">
        <v>2517</v>
      </c>
      <c r="D673" s="813" t="str">
        <f>IF(CNSIPEE_2024_M2_Secc1!D43="","",CNSIPEE_2024_M2_Secc1!D43)</f>
        <v/>
      </c>
      <c r="E673" s="814"/>
      <c r="F673" s="814"/>
      <c r="G673" s="814"/>
      <c r="H673" s="815"/>
      <c r="I673" s="749"/>
      <c r="J673" s="749"/>
      <c r="K673" s="749"/>
      <c r="L673" s="749"/>
      <c r="M673" s="816"/>
      <c r="N673" s="817"/>
      <c r="O673" s="816"/>
      <c r="P673" s="817"/>
      <c r="Q673" s="816"/>
      <c r="R673" s="817"/>
      <c r="S673" s="816"/>
      <c r="T673" s="817"/>
      <c r="U673" s="816"/>
      <c r="V673" s="817"/>
      <c r="W673" s="816"/>
      <c r="X673" s="817"/>
      <c r="Y673" s="816"/>
      <c r="Z673" s="817"/>
      <c r="AA673" s="816"/>
      <c r="AB673" s="817"/>
      <c r="AC673" s="816"/>
      <c r="AD673" s="817"/>
      <c r="AF673">
        <f t="shared" ref="AF673:AF679" si="539">IF(AND(I673=1,M673=0),1,0)</f>
        <v>0</v>
      </c>
      <c r="AG673">
        <f t="shared" ref="AG673:AG679" si="540">IF(COUNTBLANK(D673:AD673)=27,0,IF(COUNTBLANK(D673)=1,1,IF(I673&gt;1,0,IF(AND(COUNTA(M673:AD673)=9,I673=1),0,1))))</f>
        <v>0</v>
      </c>
      <c r="AH673">
        <f t="shared" ref="AH673:AH679" si="541">IF(I673&gt;1,IF(COUNTA(M673:AD673)=0,0,1),0)</f>
        <v>0</v>
      </c>
      <c r="AI673">
        <f t="shared" ref="AI673:AI679" si="542">COUNTIF(O673:AD673,"NS")</f>
        <v>0</v>
      </c>
      <c r="AJ673">
        <f t="shared" ref="AJ673:AJ679" si="543">SUM(O673:AD673)</f>
        <v>0</v>
      </c>
      <c r="AK673">
        <f t="shared" ref="AK673:AK679" si="544">IF(COUNTIF(M673:AD673,"NA")=9,0,IF(COUNTA(M673:AD673)=0,0,IF(OR(AND(M673=0,AI673&gt;0),AND(M673="ns",AJ673&gt;0),AND(M673="ns",AI673=0,AJ673=0)),1,IF(OR(AND(M673&gt;0,AI673=2),AND(M673="ns",AI673=2),AND(M673="ns",AJ673=0,AI673&gt;0),M673=AJ673),0,1))))</f>
        <v>0</v>
      </c>
    </row>
    <row r="674" spans="1:37">
      <c r="A674" s="142"/>
      <c r="B674" s="57"/>
      <c r="C674" s="143" t="s">
        <v>2518</v>
      </c>
      <c r="D674" s="813" t="str">
        <f>IF(CNSIPEE_2024_M2_Secc1!D44="","",CNSIPEE_2024_M2_Secc1!D44)</f>
        <v/>
      </c>
      <c r="E674" s="814"/>
      <c r="F674" s="814"/>
      <c r="G674" s="814"/>
      <c r="H674" s="815"/>
      <c r="I674" s="749"/>
      <c r="J674" s="749"/>
      <c r="K674" s="749"/>
      <c r="L674" s="749"/>
      <c r="M674" s="816"/>
      <c r="N674" s="817"/>
      <c r="O674" s="816"/>
      <c r="P674" s="817"/>
      <c r="Q674" s="816"/>
      <c r="R674" s="817"/>
      <c r="S674" s="816"/>
      <c r="T674" s="817"/>
      <c r="U674" s="816"/>
      <c r="V674" s="817"/>
      <c r="W674" s="816"/>
      <c r="X674" s="817"/>
      <c r="Y674" s="816"/>
      <c r="Z674" s="817"/>
      <c r="AA674" s="816"/>
      <c r="AB674" s="817"/>
      <c r="AC674" s="816"/>
      <c r="AD674" s="817"/>
      <c r="AF674">
        <f t="shared" si="539"/>
        <v>0</v>
      </c>
      <c r="AG674">
        <f t="shared" si="540"/>
        <v>0</v>
      </c>
      <c r="AH674">
        <f t="shared" si="541"/>
        <v>0</v>
      </c>
      <c r="AI674">
        <f t="shared" si="542"/>
        <v>0</v>
      </c>
      <c r="AJ674">
        <f t="shared" si="543"/>
        <v>0</v>
      </c>
      <c r="AK674">
        <f t="shared" si="544"/>
        <v>0</v>
      </c>
    </row>
    <row r="675" spans="1:37">
      <c r="A675" s="142"/>
      <c r="B675" s="57"/>
      <c r="C675" s="143" t="s">
        <v>2519</v>
      </c>
      <c r="D675" s="813" t="str">
        <f>IF(CNSIPEE_2024_M2_Secc1!D45="","",CNSIPEE_2024_M2_Secc1!D45)</f>
        <v/>
      </c>
      <c r="E675" s="814"/>
      <c r="F675" s="814"/>
      <c r="G675" s="814"/>
      <c r="H675" s="815"/>
      <c r="I675" s="749"/>
      <c r="J675" s="749"/>
      <c r="K675" s="749"/>
      <c r="L675" s="749"/>
      <c r="M675" s="816"/>
      <c r="N675" s="817"/>
      <c r="O675" s="816"/>
      <c r="P675" s="817"/>
      <c r="Q675" s="816"/>
      <c r="R675" s="817"/>
      <c r="S675" s="816"/>
      <c r="T675" s="817"/>
      <c r="U675" s="816"/>
      <c r="V675" s="817"/>
      <c r="W675" s="816"/>
      <c r="X675" s="817"/>
      <c r="Y675" s="816"/>
      <c r="Z675" s="817"/>
      <c r="AA675" s="816"/>
      <c r="AB675" s="817"/>
      <c r="AC675" s="816"/>
      <c r="AD675" s="817"/>
      <c r="AF675">
        <f t="shared" si="539"/>
        <v>0</v>
      </c>
      <c r="AG675">
        <f t="shared" si="540"/>
        <v>0</v>
      </c>
      <c r="AH675">
        <f t="shared" si="541"/>
        <v>0</v>
      </c>
      <c r="AI675">
        <f t="shared" si="542"/>
        <v>0</v>
      </c>
      <c r="AJ675">
        <f t="shared" si="543"/>
        <v>0</v>
      </c>
      <c r="AK675">
        <f t="shared" si="544"/>
        <v>0</v>
      </c>
    </row>
    <row r="676" spans="1:37">
      <c r="A676" s="142"/>
      <c r="B676" s="57"/>
      <c r="C676" s="143" t="s">
        <v>2520</v>
      </c>
      <c r="D676" s="813" t="str">
        <f>IF(CNSIPEE_2024_M2_Secc1!D46="","",CNSIPEE_2024_M2_Secc1!D46)</f>
        <v/>
      </c>
      <c r="E676" s="814"/>
      <c r="F676" s="814"/>
      <c r="G676" s="814"/>
      <c r="H676" s="815"/>
      <c r="I676" s="749"/>
      <c r="J676" s="749"/>
      <c r="K676" s="749"/>
      <c r="L676" s="749"/>
      <c r="M676" s="816"/>
      <c r="N676" s="817"/>
      <c r="O676" s="816"/>
      <c r="P676" s="817"/>
      <c r="Q676" s="816"/>
      <c r="R676" s="817"/>
      <c r="S676" s="816"/>
      <c r="T676" s="817"/>
      <c r="U676" s="816"/>
      <c r="V676" s="817"/>
      <c r="W676" s="816"/>
      <c r="X676" s="817"/>
      <c r="Y676" s="816"/>
      <c r="Z676" s="817"/>
      <c r="AA676" s="816"/>
      <c r="AB676" s="817"/>
      <c r="AC676" s="816"/>
      <c r="AD676" s="817"/>
      <c r="AF676">
        <f t="shared" si="539"/>
        <v>0</v>
      </c>
      <c r="AG676">
        <f t="shared" si="540"/>
        <v>0</v>
      </c>
      <c r="AH676">
        <f t="shared" si="541"/>
        <v>0</v>
      </c>
      <c r="AI676">
        <f t="shared" si="542"/>
        <v>0</v>
      </c>
      <c r="AJ676">
        <f t="shared" si="543"/>
        <v>0</v>
      </c>
      <c r="AK676">
        <f t="shared" si="544"/>
        <v>0</v>
      </c>
    </row>
    <row r="677" spans="1:37">
      <c r="A677" s="142"/>
      <c r="B677" s="57"/>
      <c r="C677" s="143" t="s">
        <v>2521</v>
      </c>
      <c r="D677" s="813" t="str">
        <f>IF(CNSIPEE_2024_M2_Secc1!D47="","",CNSIPEE_2024_M2_Secc1!D47)</f>
        <v/>
      </c>
      <c r="E677" s="814"/>
      <c r="F677" s="814"/>
      <c r="G677" s="814"/>
      <c r="H677" s="815"/>
      <c r="I677" s="749"/>
      <c r="J677" s="749"/>
      <c r="K677" s="749"/>
      <c r="L677" s="749"/>
      <c r="M677" s="816"/>
      <c r="N677" s="817"/>
      <c r="O677" s="816"/>
      <c r="P677" s="817"/>
      <c r="Q677" s="816"/>
      <c r="R677" s="817"/>
      <c r="S677" s="816"/>
      <c r="T677" s="817"/>
      <c r="U677" s="816"/>
      <c r="V677" s="817"/>
      <c r="W677" s="816"/>
      <c r="X677" s="817"/>
      <c r="Y677" s="816"/>
      <c r="Z677" s="817"/>
      <c r="AA677" s="816"/>
      <c r="AB677" s="817"/>
      <c r="AC677" s="816"/>
      <c r="AD677" s="817"/>
      <c r="AF677">
        <f t="shared" si="539"/>
        <v>0</v>
      </c>
      <c r="AG677">
        <f t="shared" si="540"/>
        <v>0</v>
      </c>
      <c r="AH677">
        <f t="shared" si="541"/>
        <v>0</v>
      </c>
      <c r="AI677">
        <f t="shared" si="542"/>
        <v>0</v>
      </c>
      <c r="AJ677">
        <f t="shared" si="543"/>
        <v>0</v>
      </c>
      <c r="AK677">
        <f t="shared" si="544"/>
        <v>0</v>
      </c>
    </row>
    <row r="678" spans="1:37">
      <c r="A678" s="142"/>
      <c r="B678" s="57"/>
      <c r="C678" s="143" t="s">
        <v>2522</v>
      </c>
      <c r="D678" s="813" t="str">
        <f>IF(CNSIPEE_2024_M2_Secc1!D48="","",CNSIPEE_2024_M2_Secc1!D48)</f>
        <v/>
      </c>
      <c r="E678" s="814"/>
      <c r="F678" s="814"/>
      <c r="G678" s="814"/>
      <c r="H678" s="815"/>
      <c r="I678" s="749"/>
      <c r="J678" s="749"/>
      <c r="K678" s="749"/>
      <c r="L678" s="749"/>
      <c r="M678" s="816"/>
      <c r="N678" s="817"/>
      <c r="O678" s="816"/>
      <c r="P678" s="817"/>
      <c r="Q678" s="816"/>
      <c r="R678" s="817"/>
      <c r="S678" s="816"/>
      <c r="T678" s="817"/>
      <c r="U678" s="816"/>
      <c r="V678" s="817"/>
      <c r="W678" s="816"/>
      <c r="X678" s="817"/>
      <c r="Y678" s="816"/>
      <c r="Z678" s="817"/>
      <c r="AA678" s="816"/>
      <c r="AB678" s="817"/>
      <c r="AC678" s="816"/>
      <c r="AD678" s="817"/>
      <c r="AF678">
        <f t="shared" si="539"/>
        <v>0</v>
      </c>
      <c r="AG678">
        <f t="shared" si="540"/>
        <v>0</v>
      </c>
      <c r="AH678">
        <f t="shared" si="541"/>
        <v>0</v>
      </c>
      <c r="AI678">
        <f t="shared" si="542"/>
        <v>0</v>
      </c>
      <c r="AJ678">
        <f t="shared" si="543"/>
        <v>0</v>
      </c>
      <c r="AK678">
        <f t="shared" si="544"/>
        <v>0</v>
      </c>
    </row>
    <row r="679" spans="1:37">
      <c r="A679" s="142"/>
      <c r="B679" s="57"/>
      <c r="C679" s="143" t="s">
        <v>2523</v>
      </c>
      <c r="D679" s="813" t="str">
        <f>IF(CNSIPEE_2024_M2_Secc1!D49="","",CNSIPEE_2024_M2_Secc1!D49)</f>
        <v/>
      </c>
      <c r="E679" s="814"/>
      <c r="F679" s="814"/>
      <c r="G679" s="814"/>
      <c r="H679" s="815"/>
      <c r="I679" s="749"/>
      <c r="J679" s="749"/>
      <c r="K679" s="749"/>
      <c r="L679" s="749"/>
      <c r="M679" s="816"/>
      <c r="N679" s="817"/>
      <c r="O679" s="816"/>
      <c r="P679" s="817"/>
      <c r="Q679" s="816"/>
      <c r="R679" s="817"/>
      <c r="S679" s="816"/>
      <c r="T679" s="817"/>
      <c r="U679" s="816"/>
      <c r="V679" s="817"/>
      <c r="W679" s="816"/>
      <c r="X679" s="817"/>
      <c r="Y679" s="816"/>
      <c r="Z679" s="817"/>
      <c r="AA679" s="816"/>
      <c r="AB679" s="817"/>
      <c r="AC679" s="816"/>
      <c r="AD679" s="817"/>
      <c r="AF679">
        <f t="shared" si="539"/>
        <v>0</v>
      </c>
      <c r="AG679">
        <f t="shared" si="540"/>
        <v>0</v>
      </c>
      <c r="AH679">
        <f t="shared" si="541"/>
        <v>0</v>
      </c>
      <c r="AI679">
        <f t="shared" si="542"/>
        <v>0</v>
      </c>
      <c r="AJ679">
        <f t="shared" si="543"/>
        <v>0</v>
      </c>
      <c r="AK679">
        <f t="shared" si="544"/>
        <v>0</v>
      </c>
    </row>
    <row r="680" spans="1:37">
      <c r="A680" s="142"/>
      <c r="B680" s="57"/>
      <c r="C680" s="70"/>
      <c r="D680" s="36"/>
      <c r="E680" s="36"/>
      <c r="F680" s="36"/>
      <c r="G680" s="36"/>
      <c r="H680" s="36"/>
      <c r="I680" s="36"/>
      <c r="J680" s="36"/>
      <c r="K680" s="36"/>
      <c r="L680" s="99" t="s">
        <v>2649</v>
      </c>
      <c r="M680" s="733">
        <f>IF(AND(SUM(M672:M679)=0,COUNTIF(M672:M679,"NS")&gt;0),"NS",IF(AND(SUM(M672:M679)=0,COUNTIF(M672:M679,0)&gt;0),0,IF(AND(SUM(M672:M679)=0,COUNTIF(M672:M679,"NA")&gt;0),"NA",SUM(M672:M679))))</f>
        <v>0</v>
      </c>
      <c r="N680" s="735"/>
      <c r="O680" s="733">
        <f>IF(AND(SUM(O672:O679)=0,COUNTIF(O672:O679,"NS")&gt;0),"NS",IF(AND(SUM(O672:O679)=0,COUNTIF(O672:O679,0)&gt;0),0,IF(AND(SUM(O672:O679)=0,COUNTIF(O672:O679,"NA")&gt;0),"NA",SUM(O672:O679))))</f>
        <v>0</v>
      </c>
      <c r="P680" s="735"/>
      <c r="Q680" s="733">
        <f>IF(AND(SUM(Q672:Q679)=0,COUNTIF(Q672:Q679,"NS")&gt;0),"NS",IF(AND(SUM(Q672:Q679)=0,COUNTIF(Q672:Q679,0)&gt;0),0,IF(AND(SUM(Q672:Q679)=0,COUNTIF(Q672:Q679,"NA")&gt;0),"NA",SUM(Q672:Q679))))</f>
        <v>0</v>
      </c>
      <c r="R680" s="735"/>
      <c r="S680" s="733">
        <f>IF(AND(SUM(S672:S679)=0,COUNTIF(S672:S679,"NS")&gt;0),"NS",IF(AND(SUM(S672:S679)=0,COUNTIF(S672:S679,0)&gt;0),0,IF(AND(SUM(S672:S679)=0,COUNTIF(S672:S679,"NA")&gt;0),"NA",SUM(S672:S679))))</f>
        <v>0</v>
      </c>
      <c r="T680" s="735"/>
      <c r="U680" s="733">
        <f>IF(AND(SUM(U672:U679)=0,COUNTIF(U672:U679,"NS")&gt;0),"NS",IF(AND(SUM(U672:U679)=0,COUNTIF(U672:U679,0)&gt;0),0,IF(AND(SUM(U672:U679)=0,COUNTIF(U672:U679,"NA")&gt;0),"NA",SUM(U672:U679))))</f>
        <v>0</v>
      </c>
      <c r="V680" s="735"/>
      <c r="W680" s="733">
        <f>IF(AND(SUM(W672:W679)=0,COUNTIF(W672:W679,"NS")&gt;0),"NS",IF(AND(SUM(W672:W679)=0,COUNTIF(W672:W679,0)&gt;0),0,IF(AND(SUM(W672:W679)=0,COUNTIF(W672:W679,"NA")&gt;0),"NA",SUM(W672:W679))))</f>
        <v>0</v>
      </c>
      <c r="X680" s="735"/>
      <c r="Y680" s="733">
        <f>IF(AND(SUM(Y672:Y679)=0,COUNTIF(Y672:Y679,"NS")&gt;0),"NS",IF(AND(SUM(Y672:Y679)=0,COUNTIF(Y672:Y679,0)&gt;0),0,IF(AND(SUM(Y672:Y679)=0,COUNTIF(Y672:Y679,"NA")&gt;0),"NA",SUM(Y672:Y679))))</f>
        <v>0</v>
      </c>
      <c r="Z680" s="735"/>
      <c r="AA680" s="733">
        <f>IF(AND(SUM(AA672:AA679)=0,COUNTIF(AA672:AA679,"NS")&gt;0),"NS",IF(AND(SUM(AA672:AA679)=0,COUNTIF(AA672:AA679,0)&gt;0),0,IF(AND(SUM(AA672:AA679)=0,COUNTIF(AA672:AA679,"NA")&gt;0),"NA",SUM(AA672:AA679))))</f>
        <v>0</v>
      </c>
      <c r="AB680" s="735"/>
      <c r="AC680" s="733">
        <f>IF(AND(SUM(AC672:AC679)=0,COUNTIF(AC672:AC679,"NS")&gt;0),"NS",IF(AND(SUM(AC672:AC679)=0,COUNTIF(AC672:AC679,0)&gt;0),0,IF(AND(SUM(AC672:AC679)=0,COUNTIF(AC672:AC679,"NA")&gt;0),"NA",SUM(AC672:AC679))))</f>
        <v>0</v>
      </c>
      <c r="AD680" s="735"/>
      <c r="AF680" s="507">
        <f>SUM(AF672:AF679)</f>
        <v>0</v>
      </c>
      <c r="AG680" s="507">
        <f>SUM(AG672:AG679)</f>
        <v>0</v>
      </c>
      <c r="AH680" s="507">
        <f>SUM(AH672:AH679)</f>
        <v>0</v>
      </c>
      <c r="AI680">
        <f>SUM(AI672:AI679)</f>
        <v>0</v>
      </c>
      <c r="AJ680" s="57"/>
      <c r="AK680" s="506">
        <f>SUM(AK672:AK679)</f>
        <v>0</v>
      </c>
    </row>
    <row r="681" spans="1:37">
      <c r="A681" s="142"/>
      <c r="B681" s="57"/>
      <c r="C681" s="90"/>
      <c r="D681" s="90"/>
      <c r="E681" s="90"/>
      <c r="F681" s="90"/>
      <c r="G681" s="90"/>
      <c r="H681" s="90"/>
      <c r="I681" s="90"/>
      <c r="J681" s="90"/>
      <c r="K681" s="90"/>
      <c r="L681" s="90"/>
      <c r="M681" s="90"/>
      <c r="N681" s="90"/>
      <c r="O681" s="90"/>
      <c r="P681" s="90"/>
      <c r="Q681" s="90"/>
      <c r="R681" s="90"/>
      <c r="S681" s="90"/>
      <c r="T681" s="90"/>
      <c r="U681" s="90"/>
      <c r="V681" s="90"/>
      <c r="W681" s="90"/>
      <c r="X681" s="90"/>
      <c r="Y681" s="90"/>
      <c r="Z681" s="90"/>
      <c r="AA681" s="90"/>
      <c r="AB681" s="90"/>
      <c r="AC681" s="90"/>
      <c r="AD681" s="90"/>
    </row>
    <row r="682" spans="1:37" ht="45" customHeight="1">
      <c r="A682" s="142"/>
      <c r="B682" s="57"/>
      <c r="C682" s="822" t="s">
        <v>2798</v>
      </c>
      <c r="D682" s="822"/>
      <c r="E682" s="822"/>
      <c r="F682" s="749"/>
      <c r="G682" s="749"/>
      <c r="H682" s="749"/>
      <c r="I682" s="749"/>
      <c r="J682" s="749"/>
      <c r="K682" s="749"/>
      <c r="L682" s="749"/>
      <c r="M682" s="749"/>
      <c r="N682" s="749"/>
      <c r="O682" s="749"/>
      <c r="P682" s="749"/>
      <c r="Q682" s="749"/>
      <c r="R682" s="749"/>
      <c r="S682" s="749"/>
      <c r="T682" s="749"/>
      <c r="U682" s="749"/>
      <c r="V682" s="749"/>
      <c r="W682" s="749"/>
      <c r="X682" s="749"/>
      <c r="Y682" s="749"/>
      <c r="Z682" s="749"/>
      <c r="AA682" s="749"/>
      <c r="AB682" s="749"/>
      <c r="AC682" s="749"/>
      <c r="AD682" s="749"/>
    </row>
    <row r="683" spans="1:37">
      <c r="A683" s="142"/>
      <c r="B683" s="1003" t="str">
        <f>IF(AND(AC680&gt;0,AC680&lt;&gt;"NA",AC680&lt;&gt;"NS",F682=""),"Debido a que registró un número mayor a cero en la columna Otro tipo, debe anotar el nombre de dicho(s) tipo(s) de evento(s)","")</f>
        <v/>
      </c>
      <c r="C683" s="1003"/>
      <c r="D683" s="1003"/>
      <c r="E683" s="1003"/>
      <c r="F683" s="1003"/>
      <c r="G683" s="1003"/>
      <c r="H683" s="1003"/>
      <c r="I683" s="1003"/>
      <c r="J683" s="1003"/>
      <c r="K683" s="1003"/>
      <c r="L683" s="1003"/>
      <c r="M683" s="1003"/>
      <c r="N683" s="1003"/>
      <c r="O683" s="1003"/>
      <c r="P683" s="1003"/>
      <c r="Q683" s="1003"/>
      <c r="R683" s="1003"/>
      <c r="S683" s="1003"/>
      <c r="T683" s="1003"/>
      <c r="U683" s="1003"/>
      <c r="V683" s="1003"/>
      <c r="W683" s="1003"/>
      <c r="X683" s="1003"/>
      <c r="Y683" s="1003"/>
      <c r="Z683" s="1003"/>
      <c r="AA683" s="1003"/>
      <c r="AB683" s="1003"/>
      <c r="AC683" s="1003"/>
      <c r="AD683" s="1003"/>
      <c r="AE683" s="1003"/>
    </row>
    <row r="684" spans="1:37" ht="24" customHeight="1">
      <c r="A684" s="142"/>
      <c r="B684" s="57"/>
      <c r="C684" s="754" t="s">
        <v>2611</v>
      </c>
      <c r="D684" s="754"/>
      <c r="E684" s="754"/>
      <c r="F684" s="754"/>
      <c r="G684" s="754"/>
      <c r="H684" s="754"/>
      <c r="I684" s="754"/>
      <c r="J684" s="754"/>
      <c r="K684" s="754"/>
      <c r="L684" s="754"/>
      <c r="M684" s="754"/>
      <c r="N684" s="754"/>
      <c r="O684" s="754"/>
      <c r="P684" s="754"/>
      <c r="Q684" s="754"/>
      <c r="R684" s="754"/>
      <c r="S684" s="754"/>
      <c r="T684" s="754"/>
      <c r="U684" s="754"/>
      <c r="V684" s="754"/>
      <c r="W684" s="754"/>
      <c r="X684" s="754"/>
      <c r="Y684" s="754"/>
      <c r="Z684" s="754"/>
      <c r="AA684" s="754"/>
      <c r="AB684" s="754"/>
      <c r="AC684" s="754"/>
      <c r="AD684" s="754"/>
    </row>
    <row r="685" spans="1:37" ht="60" customHeight="1">
      <c r="A685" s="142"/>
      <c r="B685" s="57"/>
      <c r="C685" s="851"/>
      <c r="D685" s="851"/>
      <c r="E685" s="851"/>
      <c r="F685" s="851"/>
      <c r="G685" s="851"/>
      <c r="H685" s="851"/>
      <c r="I685" s="851"/>
      <c r="J685" s="851"/>
      <c r="K685" s="851"/>
      <c r="L685" s="851"/>
      <c r="M685" s="851"/>
      <c r="N685" s="851"/>
      <c r="O685" s="851"/>
      <c r="P685" s="851"/>
      <c r="Q685" s="851"/>
      <c r="R685" s="851"/>
      <c r="S685" s="851"/>
      <c r="T685" s="851"/>
      <c r="U685" s="851"/>
      <c r="V685" s="851"/>
      <c r="W685" s="851"/>
      <c r="X685" s="851"/>
      <c r="Y685" s="851"/>
      <c r="Z685" s="851"/>
      <c r="AA685" s="851"/>
      <c r="AB685" s="851"/>
      <c r="AC685" s="851"/>
      <c r="AD685" s="851"/>
    </row>
    <row r="686" spans="1:37" ht="15" customHeight="1">
      <c r="A686" s="91"/>
      <c r="B686" s="794" t="str">
        <f>IF(AG680=0,"","Favor de ingresar toda la información requerida en la pregunta")</f>
        <v/>
      </c>
      <c r="C686" s="794"/>
      <c r="D686" s="794"/>
      <c r="E686" s="794"/>
      <c r="F686" s="794"/>
      <c r="G686" s="794"/>
      <c r="H686" s="794"/>
      <c r="I686" s="794"/>
      <c r="J686" s="794"/>
      <c r="K686" s="794"/>
      <c r="L686" s="794"/>
      <c r="M686" s="794"/>
      <c r="N686" s="794"/>
      <c r="O686" s="794"/>
      <c r="P686" s="794"/>
      <c r="Q686" s="794"/>
      <c r="R686" s="794"/>
      <c r="S686" s="794"/>
      <c r="T686" s="794"/>
      <c r="U686" s="794"/>
      <c r="V686" s="794"/>
      <c r="W686" s="794"/>
      <c r="X686" s="794"/>
      <c r="Y686" s="794"/>
      <c r="Z686" s="794"/>
      <c r="AA686" s="794"/>
      <c r="AB686" s="794"/>
      <c r="AC686" s="794"/>
      <c r="AD686" s="794"/>
      <c r="AE686" s="794"/>
    </row>
    <row r="687" spans="1:37" ht="15" customHeight="1">
      <c r="A687" s="91"/>
      <c r="B687" s="1087" t="str">
        <f>IF(COUNTIF(M672:AD679,"NS")&lt;&gt;0,"Alerta: debido a que cuenta con registros NS, debe proporcionar una justificación en el area de comentarios al final de la pregunta","")</f>
        <v/>
      </c>
      <c r="C687" s="1087"/>
      <c r="D687" s="1087"/>
      <c r="E687" s="1087"/>
      <c r="F687" s="1087"/>
      <c r="G687" s="1087"/>
      <c r="H687" s="1087"/>
      <c r="I687" s="1087"/>
      <c r="J687" s="1087"/>
      <c r="K687" s="1087"/>
      <c r="L687" s="1087"/>
      <c r="M687" s="1087"/>
      <c r="N687" s="1087"/>
      <c r="O687" s="1087"/>
      <c r="P687" s="1087"/>
      <c r="Q687" s="1087"/>
      <c r="R687" s="1087"/>
      <c r="S687" s="1087"/>
      <c r="T687" s="1087"/>
      <c r="U687" s="1087"/>
      <c r="V687" s="1087"/>
      <c r="W687" s="1087"/>
      <c r="X687" s="1087"/>
      <c r="Y687" s="1087"/>
      <c r="Z687" s="1087"/>
      <c r="AA687" s="1087"/>
      <c r="AB687" s="1087"/>
      <c r="AC687" s="1087"/>
      <c r="AD687" s="1087"/>
      <c r="AE687" s="1087"/>
    </row>
    <row r="688" spans="1:37" ht="15" customHeight="1">
      <c r="A688" s="91"/>
      <c r="B688" s="1003" t="str">
        <f>IF(AH680&gt;0,"Revise la información capturada, ya que tiene datos ingresados en celdas que están sombreadas","")</f>
        <v/>
      </c>
      <c r="C688" s="1003"/>
      <c r="D688" s="1003"/>
      <c r="E688" s="1003"/>
      <c r="F688" s="1003"/>
      <c r="G688" s="1003"/>
      <c r="H688" s="1003"/>
      <c r="I688" s="1003"/>
      <c r="J688" s="1003"/>
      <c r="K688" s="1003"/>
      <c r="L688" s="1003"/>
      <c r="M688" s="1003"/>
      <c r="N688" s="1003"/>
      <c r="O688" s="1003"/>
      <c r="P688" s="1003"/>
      <c r="Q688" s="1003"/>
      <c r="R688" s="1003"/>
      <c r="S688" s="1003"/>
      <c r="T688" s="1003"/>
      <c r="U688" s="1003"/>
      <c r="V688" s="1003"/>
      <c r="W688" s="1003"/>
      <c r="X688" s="1003"/>
      <c r="Y688" s="1003"/>
      <c r="Z688" s="1003"/>
      <c r="AA688" s="1003"/>
      <c r="AB688" s="1003"/>
      <c r="AC688" s="1003"/>
      <c r="AD688" s="1003"/>
      <c r="AE688" s="1003"/>
    </row>
    <row r="689" spans="1:31" ht="15" customHeight="1">
      <c r="A689" s="91"/>
      <c r="B689" s="1003" t="str">
        <f>IF(AK680&gt;0,"Favor de revisar la suma y consistencia de totales y/o subtotales por filas (numéricos y NS)","")</f>
        <v/>
      </c>
      <c r="C689" s="1003"/>
      <c r="D689" s="1003"/>
      <c r="E689" s="1003"/>
      <c r="F689" s="1003"/>
      <c r="G689" s="1003"/>
      <c r="H689" s="1003"/>
      <c r="I689" s="1003"/>
      <c r="J689" s="1003"/>
      <c r="K689" s="1003"/>
      <c r="L689" s="1003"/>
      <c r="M689" s="1003"/>
      <c r="N689" s="1003"/>
      <c r="O689" s="1003"/>
      <c r="P689" s="1003"/>
      <c r="Q689" s="1003"/>
      <c r="R689" s="1003"/>
      <c r="S689" s="1003"/>
      <c r="T689" s="1003"/>
      <c r="U689" s="1003"/>
      <c r="V689" s="1003"/>
      <c r="W689" s="1003"/>
      <c r="X689" s="1003"/>
      <c r="Y689" s="1003"/>
      <c r="Z689" s="1003"/>
      <c r="AA689" s="1003"/>
      <c r="AB689" s="1003"/>
      <c r="AC689" s="1003"/>
      <c r="AD689" s="1003"/>
      <c r="AE689" s="1003"/>
    </row>
    <row r="690" spans="1:31" ht="15" customHeight="1">
      <c r="A690" s="91"/>
      <c r="B690" s="1003" t="str">
        <f>IF(AF680=0,"","Debido a que cuenta con registro(s) con el código 1, el total de la fila respectiva debe ser mayor a cero")</f>
        <v/>
      </c>
      <c r="C690" s="1003"/>
      <c r="D690" s="1003"/>
      <c r="E690" s="1003"/>
      <c r="F690" s="1003"/>
      <c r="G690" s="1003"/>
      <c r="H690" s="1003"/>
      <c r="I690" s="1003"/>
      <c r="J690" s="1003"/>
      <c r="K690" s="1003"/>
      <c r="L690" s="1003"/>
      <c r="M690" s="1003"/>
      <c r="N690" s="1003"/>
      <c r="O690" s="1003"/>
      <c r="P690" s="1003"/>
      <c r="Q690" s="1003"/>
      <c r="R690" s="1003"/>
      <c r="S690" s="1003"/>
      <c r="T690" s="1003"/>
      <c r="U690" s="1003"/>
      <c r="V690" s="1003"/>
      <c r="W690" s="1003"/>
      <c r="X690" s="1003"/>
      <c r="Y690" s="1003"/>
      <c r="Z690" s="1003"/>
      <c r="AA690" s="1003"/>
      <c r="AB690" s="1003"/>
      <c r="AC690" s="1003"/>
      <c r="AD690" s="1003"/>
      <c r="AE690" s="1003"/>
    </row>
    <row r="691" spans="1:31" ht="15" customHeight="1" thickBot="1">
      <c r="A691" s="91"/>
      <c r="AE691"/>
    </row>
    <row r="692" spans="1:31" customFormat="1" ht="15" customHeight="1" thickBot="1">
      <c r="A692" s="19" t="s">
        <v>2563</v>
      </c>
      <c r="B692" s="1081" t="s">
        <v>6014</v>
      </c>
      <c r="C692" s="1082"/>
      <c r="D692" s="1082"/>
      <c r="E692" s="1082"/>
      <c r="F692" s="1082"/>
      <c r="G692" s="1082"/>
      <c r="H692" s="1082"/>
      <c r="I692" s="1082"/>
      <c r="J692" s="1082"/>
      <c r="K692" s="1082"/>
      <c r="L692" s="1082"/>
      <c r="M692" s="1082"/>
      <c r="N692" s="1082"/>
      <c r="O692" s="1082"/>
      <c r="P692" s="1082"/>
      <c r="Q692" s="1082"/>
      <c r="R692" s="1082"/>
      <c r="S692" s="1082"/>
      <c r="T692" s="1082"/>
      <c r="U692" s="1082"/>
      <c r="V692" s="1082"/>
      <c r="W692" s="1082"/>
      <c r="X692" s="1082"/>
      <c r="Y692" s="1082"/>
      <c r="Z692" s="1082"/>
      <c r="AA692" s="1082"/>
      <c r="AB692" s="1082"/>
      <c r="AC692" s="1082"/>
      <c r="AD692" s="1083"/>
      <c r="AE692" s="3"/>
    </row>
    <row r="693" spans="1:31" ht="15" customHeight="1">
      <c r="A693" s="170"/>
      <c r="B693" s="941" t="s">
        <v>3157</v>
      </c>
      <c r="C693" s="839"/>
      <c r="D693" s="839"/>
      <c r="E693" s="839"/>
      <c r="F693" s="839"/>
      <c r="G693" s="839"/>
      <c r="H693" s="839"/>
      <c r="I693" s="839"/>
      <c r="J693" s="839"/>
      <c r="K693" s="839"/>
      <c r="L693" s="839"/>
      <c r="M693" s="839"/>
      <c r="N693" s="839"/>
      <c r="O693" s="839"/>
      <c r="P693" s="839"/>
      <c r="Q693" s="839"/>
      <c r="R693" s="839"/>
      <c r="S693" s="839"/>
      <c r="T693" s="839"/>
      <c r="U693" s="839"/>
      <c r="V693" s="839"/>
      <c r="W693" s="839"/>
      <c r="X693" s="839"/>
      <c r="Y693" s="839"/>
      <c r="Z693" s="839"/>
      <c r="AA693" s="839"/>
      <c r="AB693" s="839"/>
      <c r="AC693" s="839"/>
      <c r="AD693" s="942"/>
    </row>
    <row r="694" spans="1:31" ht="36" customHeight="1">
      <c r="A694" s="115"/>
      <c r="B694" s="76"/>
      <c r="C694" s="754" t="s">
        <v>6015</v>
      </c>
      <c r="D694" s="830"/>
      <c r="E694" s="830"/>
      <c r="F694" s="830"/>
      <c r="G694" s="830"/>
      <c r="H694" s="830"/>
      <c r="I694" s="830"/>
      <c r="J694" s="830"/>
      <c r="K694" s="830"/>
      <c r="L694" s="830"/>
      <c r="M694" s="830"/>
      <c r="N694" s="830"/>
      <c r="O694" s="830"/>
      <c r="P694" s="830"/>
      <c r="Q694" s="830"/>
      <c r="R694" s="830"/>
      <c r="S694" s="830"/>
      <c r="T694" s="830"/>
      <c r="U694" s="830"/>
      <c r="V694" s="830"/>
      <c r="W694" s="830"/>
      <c r="X694" s="830"/>
      <c r="Y694" s="830"/>
      <c r="Z694" s="830"/>
      <c r="AA694" s="830"/>
      <c r="AB694" s="830"/>
      <c r="AC694" s="830"/>
      <c r="AD694" s="886"/>
    </row>
    <row r="695" spans="1:31" ht="36" customHeight="1">
      <c r="A695" s="115"/>
      <c r="B695" s="95"/>
      <c r="C695" s="764" t="s">
        <v>6016</v>
      </c>
      <c r="D695" s="876"/>
      <c r="E695" s="876"/>
      <c r="F695" s="876"/>
      <c r="G695" s="876"/>
      <c r="H695" s="876"/>
      <c r="I695" s="876"/>
      <c r="J695" s="876"/>
      <c r="K695" s="876"/>
      <c r="L695" s="876"/>
      <c r="M695" s="876"/>
      <c r="N695" s="876"/>
      <c r="O695" s="876"/>
      <c r="P695" s="876"/>
      <c r="Q695" s="876"/>
      <c r="R695" s="876"/>
      <c r="S695" s="876"/>
      <c r="T695" s="876"/>
      <c r="U695" s="876"/>
      <c r="V695" s="876"/>
      <c r="W695" s="876"/>
      <c r="X695" s="876"/>
      <c r="Y695" s="876"/>
      <c r="Z695" s="876"/>
      <c r="AA695" s="876"/>
      <c r="AB695" s="876"/>
      <c r="AC695" s="876"/>
      <c r="AD695" s="877"/>
    </row>
    <row r="696" spans="1:31" ht="15" customHeight="1">
      <c r="A696" s="176"/>
      <c r="B696" s="57"/>
      <c r="C696" s="57"/>
      <c r="D696" s="57"/>
      <c r="E696" s="57"/>
      <c r="F696" s="57"/>
      <c r="G696" s="57"/>
      <c r="H696" s="57"/>
      <c r="I696" s="57"/>
      <c r="J696" s="57"/>
      <c r="K696" s="57"/>
      <c r="L696" s="57"/>
      <c r="M696" s="57"/>
      <c r="N696" s="57"/>
      <c r="O696" s="57"/>
      <c r="P696" s="57"/>
      <c r="Q696" s="57"/>
      <c r="R696" s="57"/>
      <c r="S696" s="57"/>
      <c r="T696" s="57"/>
      <c r="U696" s="57"/>
      <c r="V696" s="57"/>
      <c r="W696" s="57"/>
      <c r="X696" s="57"/>
      <c r="Y696" s="57"/>
      <c r="Z696" s="57"/>
      <c r="AA696" s="57"/>
      <c r="AB696" s="57"/>
      <c r="AC696" s="57"/>
      <c r="AD696" s="57"/>
    </row>
    <row r="697" spans="1:31" ht="60" customHeight="1">
      <c r="A697" s="49" t="s">
        <v>6017</v>
      </c>
      <c r="B697" s="829" t="s">
        <v>6018</v>
      </c>
      <c r="C697" s="829"/>
      <c r="D697" s="829"/>
      <c r="E697" s="829"/>
      <c r="F697" s="829"/>
      <c r="G697" s="829"/>
      <c r="H697" s="829"/>
      <c r="I697" s="829"/>
      <c r="J697" s="829"/>
      <c r="K697" s="829"/>
      <c r="L697" s="829"/>
      <c r="M697" s="829"/>
      <c r="N697" s="829"/>
      <c r="O697" s="829"/>
      <c r="P697" s="829"/>
      <c r="Q697" s="829"/>
      <c r="R697" s="829"/>
      <c r="S697" s="829"/>
      <c r="T697" s="829"/>
      <c r="U697" s="829"/>
      <c r="V697" s="829"/>
      <c r="W697" s="829"/>
      <c r="X697" s="829"/>
      <c r="Y697" s="829"/>
      <c r="Z697" s="829"/>
      <c r="AA697" s="829"/>
      <c r="AB697" s="829"/>
      <c r="AC697" s="829"/>
      <c r="AD697" s="829"/>
    </row>
    <row r="698" spans="1:31" ht="36" customHeight="1">
      <c r="A698" s="49"/>
      <c r="B698" s="105"/>
      <c r="C698" s="830" t="s">
        <v>6019</v>
      </c>
      <c r="D698" s="830"/>
      <c r="E698" s="830"/>
      <c r="F698" s="830"/>
      <c r="G698" s="830"/>
      <c r="H698" s="830"/>
      <c r="I698" s="830"/>
      <c r="J698" s="830"/>
      <c r="K698" s="830"/>
      <c r="L698" s="830"/>
      <c r="M698" s="830"/>
      <c r="N698" s="830"/>
      <c r="O698" s="830"/>
      <c r="P698" s="830"/>
      <c r="Q698" s="830"/>
      <c r="R698" s="830"/>
      <c r="S698" s="830"/>
      <c r="T698" s="830"/>
      <c r="U698" s="830"/>
      <c r="V698" s="830"/>
      <c r="W698" s="830"/>
      <c r="X698" s="830"/>
      <c r="Y698" s="830"/>
      <c r="Z698" s="830"/>
      <c r="AA698" s="830"/>
      <c r="AB698" s="830"/>
      <c r="AC698" s="830"/>
      <c r="AD698" s="830"/>
    </row>
    <row r="699" spans="1:31" ht="36" customHeight="1">
      <c r="A699" s="49"/>
      <c r="B699" s="105"/>
      <c r="C699" s="830" t="s">
        <v>6020</v>
      </c>
      <c r="D699" s="830"/>
      <c r="E699" s="830"/>
      <c r="F699" s="830"/>
      <c r="G699" s="830"/>
      <c r="H699" s="830"/>
      <c r="I699" s="830"/>
      <c r="J699" s="830"/>
      <c r="K699" s="830"/>
      <c r="L699" s="830"/>
      <c r="M699" s="830"/>
      <c r="N699" s="830"/>
      <c r="O699" s="830"/>
      <c r="P699" s="830"/>
      <c r="Q699" s="830"/>
      <c r="R699" s="830"/>
      <c r="S699" s="830"/>
      <c r="T699" s="830"/>
      <c r="U699" s="830"/>
      <c r="V699" s="830"/>
      <c r="W699" s="830"/>
      <c r="X699" s="830"/>
      <c r="Y699" s="830"/>
      <c r="Z699" s="830"/>
      <c r="AA699" s="830"/>
      <c r="AB699" s="830"/>
      <c r="AC699" s="830"/>
      <c r="AD699" s="830"/>
    </row>
    <row r="700" spans="1:31" ht="36" customHeight="1">
      <c r="A700" s="49"/>
      <c r="B700" s="105"/>
      <c r="C700" s="830" t="s">
        <v>6021</v>
      </c>
      <c r="D700" s="830"/>
      <c r="E700" s="830"/>
      <c r="F700" s="830"/>
      <c r="G700" s="830"/>
      <c r="H700" s="830"/>
      <c r="I700" s="830"/>
      <c r="J700" s="830"/>
      <c r="K700" s="830"/>
      <c r="L700" s="830"/>
      <c r="M700" s="830"/>
      <c r="N700" s="830"/>
      <c r="O700" s="830"/>
      <c r="P700" s="830"/>
      <c r="Q700" s="830"/>
      <c r="R700" s="830"/>
      <c r="S700" s="830"/>
      <c r="T700" s="830"/>
      <c r="U700" s="830"/>
      <c r="V700" s="830"/>
      <c r="W700" s="830"/>
      <c r="X700" s="830"/>
      <c r="Y700" s="830"/>
      <c r="Z700" s="830"/>
      <c r="AA700" s="830"/>
      <c r="AB700" s="830"/>
      <c r="AC700" s="830"/>
      <c r="AD700" s="830"/>
    </row>
    <row r="701" spans="1:31" ht="51" customHeight="1">
      <c r="A701" s="49"/>
      <c r="B701" s="105"/>
      <c r="C701" s="754" t="s">
        <v>6022</v>
      </c>
      <c r="D701" s="754"/>
      <c r="E701" s="754"/>
      <c r="F701" s="754"/>
      <c r="G701" s="754"/>
      <c r="H701" s="754"/>
      <c r="I701" s="754"/>
      <c r="J701" s="754"/>
      <c r="K701" s="754"/>
      <c r="L701" s="754"/>
      <c r="M701" s="754"/>
      <c r="N701" s="754"/>
      <c r="O701" s="754"/>
      <c r="P701" s="754"/>
      <c r="Q701" s="754"/>
      <c r="R701" s="754"/>
      <c r="S701" s="754"/>
      <c r="T701" s="754"/>
      <c r="U701" s="754"/>
      <c r="V701" s="754"/>
      <c r="W701" s="754"/>
      <c r="X701" s="754"/>
      <c r="Y701" s="754"/>
      <c r="Z701" s="754"/>
      <c r="AA701" s="754"/>
      <c r="AB701" s="754"/>
      <c r="AC701" s="754"/>
      <c r="AD701" s="754"/>
    </row>
    <row r="702" spans="1:31" ht="15" customHeight="1">
      <c r="A702" s="169"/>
      <c r="B702" s="90"/>
      <c r="C702" s="90"/>
      <c r="D702" s="90"/>
      <c r="E702" s="90"/>
      <c r="F702" s="90"/>
      <c r="G702" s="90"/>
      <c r="H702" s="90"/>
      <c r="I702" s="90"/>
      <c r="J702" s="90"/>
      <c r="K702" s="90"/>
      <c r="L702" s="90"/>
      <c r="M702" s="90"/>
      <c r="N702" s="90"/>
      <c r="O702" s="90"/>
      <c r="P702" s="90"/>
      <c r="Q702" s="90"/>
      <c r="R702" s="90"/>
      <c r="S702" s="90"/>
      <c r="T702" s="90"/>
      <c r="U702" s="90"/>
      <c r="V702" s="90"/>
      <c r="W702" s="90"/>
      <c r="X702" s="90"/>
      <c r="Y702" s="90"/>
      <c r="Z702" s="90"/>
      <c r="AA702" s="90"/>
      <c r="AB702" s="90"/>
      <c r="AC702" s="90"/>
      <c r="AD702" s="90"/>
    </row>
    <row r="703" spans="1:31" ht="15" customHeight="1">
      <c r="A703" s="185"/>
      <c r="B703" s="57"/>
      <c r="C703" s="45" t="s">
        <v>6023</v>
      </c>
      <c r="D703" s="86"/>
      <c r="E703" s="86"/>
      <c r="F703" s="86"/>
      <c r="G703" s="86"/>
      <c r="H703" s="86"/>
      <c r="I703" s="86"/>
      <c r="J703" s="86"/>
      <c r="K703" s="86"/>
      <c r="L703" s="86"/>
      <c r="M703" s="86"/>
      <c r="N703" s="86"/>
      <c r="O703" s="86"/>
      <c r="P703" s="86"/>
      <c r="Q703" s="86"/>
      <c r="R703" s="86"/>
      <c r="S703" s="86"/>
      <c r="T703" s="86"/>
      <c r="U703" s="86"/>
      <c r="V703" s="86"/>
      <c r="W703" s="86"/>
      <c r="X703" s="86"/>
      <c r="Y703" s="86"/>
      <c r="Z703" s="86"/>
      <c r="AA703" s="86"/>
      <c r="AB703" s="86"/>
      <c r="AC703" s="86"/>
      <c r="AD703" s="86"/>
    </row>
    <row r="704" spans="1:31" ht="15" customHeight="1">
      <c r="A704" s="185"/>
      <c r="B704" s="57"/>
      <c r="C704" s="86"/>
      <c r="D704" s="86"/>
      <c r="E704" s="86"/>
      <c r="F704" s="86"/>
      <c r="G704" s="86"/>
      <c r="H704" s="86"/>
      <c r="I704" s="86"/>
      <c r="J704" s="86"/>
      <c r="K704" s="86"/>
      <c r="L704" s="86"/>
      <c r="M704" s="86"/>
      <c r="N704" s="86"/>
      <c r="O704" s="86"/>
      <c r="P704" s="86"/>
      <c r="Q704" s="86"/>
      <c r="R704" s="86"/>
      <c r="S704" s="86"/>
      <c r="T704" s="86"/>
      <c r="U704" s="86"/>
      <c r="V704" s="86"/>
      <c r="W704" s="86"/>
      <c r="X704" s="86"/>
      <c r="Y704" s="86"/>
      <c r="Z704" s="86"/>
      <c r="AA704" s="86"/>
      <c r="AB704" s="86"/>
      <c r="AC704" s="86"/>
      <c r="AD704" s="86"/>
    </row>
    <row r="705" spans="1:48" ht="60" customHeight="1">
      <c r="A705" s="185"/>
      <c r="B705" s="90"/>
      <c r="C705" s="732" t="s">
        <v>2581</v>
      </c>
      <c r="D705" s="732"/>
      <c r="E705" s="732"/>
      <c r="F705" s="732"/>
      <c r="G705" s="732"/>
      <c r="H705" s="732"/>
      <c r="I705" s="732"/>
      <c r="J705" s="732"/>
      <c r="K705" s="732"/>
      <c r="L705" s="732"/>
      <c r="M705" s="732" t="s">
        <v>6024</v>
      </c>
      <c r="N705" s="732"/>
      <c r="O705" s="732"/>
      <c r="P705" s="732"/>
      <c r="Q705" s="732"/>
      <c r="R705" s="732"/>
      <c r="S705" s="732" t="s">
        <v>6025</v>
      </c>
      <c r="T705" s="732"/>
      <c r="U705" s="732"/>
      <c r="V705" s="732"/>
      <c r="W705" s="732"/>
      <c r="X705" s="732"/>
      <c r="Y705" s="732"/>
      <c r="Z705" s="732"/>
      <c r="AA705" s="732"/>
      <c r="AB705" s="732"/>
      <c r="AC705" s="732"/>
      <c r="AD705" s="732"/>
    </row>
    <row r="706" spans="1:48" ht="15" customHeight="1">
      <c r="A706" s="185"/>
      <c r="B706" s="90"/>
      <c r="C706" s="732"/>
      <c r="D706" s="732"/>
      <c r="E706" s="732"/>
      <c r="F706" s="732"/>
      <c r="G706" s="732"/>
      <c r="H706" s="732"/>
      <c r="I706" s="732"/>
      <c r="J706" s="732"/>
      <c r="K706" s="732"/>
      <c r="L706" s="732"/>
      <c r="M706" s="732"/>
      <c r="N706" s="732"/>
      <c r="O706" s="732"/>
      <c r="P706" s="732"/>
      <c r="Q706" s="732"/>
      <c r="R706" s="732"/>
      <c r="S706" s="732" t="s">
        <v>2628</v>
      </c>
      <c r="T706" s="732"/>
      <c r="U706" s="732"/>
      <c r="V706" s="732"/>
      <c r="W706" s="736" t="s">
        <v>2629</v>
      </c>
      <c r="X706" s="736"/>
      <c r="Y706" s="736"/>
      <c r="Z706" s="736"/>
      <c r="AA706" s="736" t="s">
        <v>2630</v>
      </c>
      <c r="AB706" s="736"/>
      <c r="AC706" s="736"/>
      <c r="AD706" s="736"/>
      <c r="AG706" t="s">
        <v>2586</v>
      </c>
      <c r="AH706" t="s">
        <v>5940</v>
      </c>
      <c r="AI706" t="s">
        <v>2590</v>
      </c>
      <c r="AJ706" t="s">
        <v>3163</v>
      </c>
      <c r="AK706" t="s">
        <v>4564</v>
      </c>
      <c r="AL706"/>
      <c r="AM706"/>
      <c r="AN706" t="s">
        <v>4713</v>
      </c>
      <c r="AO706" t="s">
        <v>5486</v>
      </c>
      <c r="AP706"/>
      <c r="AQ706"/>
      <c r="AR706"/>
      <c r="AS706"/>
      <c r="AT706"/>
      <c r="AU706"/>
      <c r="AV706"/>
    </row>
    <row r="707" spans="1:48" ht="15" customHeight="1">
      <c r="A707" s="185"/>
      <c r="B707" s="90"/>
      <c r="C707" s="97" t="s">
        <v>2516</v>
      </c>
      <c r="D707" s="813" t="str">
        <f>IF(CNSIPEE_2024_M2_Secc1!D42="","",CNSIPEE_2024_M2_Secc1!D42)</f>
        <v/>
      </c>
      <c r="E707" s="814"/>
      <c r="F707" s="814"/>
      <c r="G707" s="814"/>
      <c r="H707" s="814"/>
      <c r="I707" s="814"/>
      <c r="J707" s="814"/>
      <c r="K707" s="814"/>
      <c r="L707" s="815"/>
      <c r="M707" s="816"/>
      <c r="N707" s="738"/>
      <c r="O707" s="738"/>
      <c r="P707" s="738"/>
      <c r="Q707" s="738"/>
      <c r="R707" s="817"/>
      <c r="S707" s="749"/>
      <c r="T707" s="749"/>
      <c r="U707" s="749"/>
      <c r="V707" s="749"/>
      <c r="W707" s="749"/>
      <c r="X707" s="749"/>
      <c r="Y707" s="749"/>
      <c r="Z707" s="749"/>
      <c r="AA707" s="749"/>
      <c r="AB707" s="749"/>
      <c r="AC707" s="749"/>
      <c r="AD707" s="749"/>
      <c r="AG707">
        <f>IF(OR(AND(M707&gt;1,D707&lt;&gt;""),COUNTIF(CNSIPEE_2024_M2_Secc5!$W$34:$W$63,"X")=0),0,IF(OR(COUNTBLANK(D707:AD707)=22,COUNTBLANK(D707:AD707)=27),0,1))</f>
        <v>0</v>
      </c>
      <c r="AH707">
        <f>IF(COUNTIF(CNSIPEE_2024_M2_Secc5!$W$34:$W$63,"X")=0,IF(COUNTA(M707:AD707)=0,0,1),IF(M707&gt;1,IF(COUNTA(S707:AD707)=0,0,1),0))</f>
        <v>0</v>
      </c>
      <c r="AI707">
        <f t="shared" ref="AI707:AI714" si="545">COUNTIF(W707:AD707,"NS")</f>
        <v>0</v>
      </c>
      <c r="AJ707">
        <f t="shared" ref="AJ707:AJ714" si="546">SUM(W707:AD707)</f>
        <v>0</v>
      </c>
      <c r="AK707">
        <f>IF(COUNTIF(S707:AD707,"NA")=3,0,IF(COUNTA(S707:AD707)=0,0,IF(OR(AND(S707=0,AI707&gt;0),AND(S707="ns",AJ707&gt;0),AND(S707="ns",AI707=0,AJ707=0)),1,IF(OR(AND(S707&gt;0,AI707=2),AND(S707="ns",AI707=2),AND(S707="ns",AJ707=0,AI707&gt;0),S707=AJ707),0,1))))</f>
        <v>0</v>
      </c>
      <c r="AL707"/>
      <c r="AM707"/>
      <c r="AN707">
        <f t="shared" ref="AN707:AN714" si="547">IF(AND(M707=1,S707=0),1,0)</f>
        <v>0</v>
      </c>
      <c r="AO707" s="506">
        <f>IF(COUNTIF(CNSIPEE_2024_M2_Secc5!$W$34:$W$63,"X")=0,IF(COUNTA(M707:AD714)=0,0,1),0)</f>
        <v>0</v>
      </c>
      <c r="AP707"/>
      <c r="AQ707"/>
      <c r="AR707"/>
      <c r="AS707"/>
      <c r="AT707"/>
      <c r="AU707"/>
      <c r="AV707"/>
    </row>
    <row r="708" spans="1:48" ht="15" customHeight="1">
      <c r="A708" s="185"/>
      <c r="B708" s="90"/>
      <c r="C708" s="98" t="s">
        <v>2517</v>
      </c>
      <c r="D708" s="813" t="str">
        <f>IF(CNSIPEE_2024_M2_Secc1!D43="","",CNSIPEE_2024_M2_Secc1!D43)</f>
        <v/>
      </c>
      <c r="E708" s="814"/>
      <c r="F708" s="814"/>
      <c r="G708" s="814"/>
      <c r="H708" s="814"/>
      <c r="I708" s="814"/>
      <c r="J708" s="814"/>
      <c r="K708" s="814"/>
      <c r="L708" s="815"/>
      <c r="M708" s="816"/>
      <c r="N708" s="738"/>
      <c r="O708" s="738"/>
      <c r="P708" s="738"/>
      <c r="Q708" s="738"/>
      <c r="R708" s="817"/>
      <c r="S708" s="749"/>
      <c r="T708" s="749"/>
      <c r="U708" s="749"/>
      <c r="V708" s="749"/>
      <c r="W708" s="749"/>
      <c r="X708" s="749"/>
      <c r="Y708" s="749"/>
      <c r="Z708" s="749"/>
      <c r="AA708" s="749"/>
      <c r="AB708" s="749"/>
      <c r="AC708" s="749"/>
      <c r="AD708" s="749"/>
      <c r="AG708">
        <f>IF(OR(AND(M708&gt;1,D708&lt;&gt;""),COUNTIF(CNSIPEE_2024_M2_Secc5!$W$34:$W$63,"X")=0),0,IF(OR(COUNTBLANK(D708:AD708)=22,COUNTBLANK(D708:AD708)=27),0,1))</f>
        <v>0</v>
      </c>
      <c r="AH708">
        <f>IF(COUNTIF(CNSIPEE_2024_M2_Secc5!$W$34:$W$63,"X")=0,IF(COUNTA(M708:AD708)=0,0,1),IF(M708&gt;1,IF(COUNTA(S708:AD708)=0,0,1),0))</f>
        <v>0</v>
      </c>
      <c r="AI708">
        <f t="shared" si="545"/>
        <v>0</v>
      </c>
      <c r="AJ708">
        <f t="shared" si="546"/>
        <v>0</v>
      </c>
      <c r="AK708">
        <f t="shared" ref="AK708:AK714" si="548">IF(COUNTIF(S708:AD708,"NA")=3,0,IF(COUNTA(S708:AD708)=0,0,IF(OR(AND(S708=0,AI708&gt;0),AND(S708="ns",AJ708&gt;0),AND(S708="ns",AI708=0,AJ708=0)),1,IF(OR(AND(S708&gt;0,AI708=2),AND(S708="ns",AI708=2),AND(S708="ns",AJ708=0,AI708&gt;0),S708=AJ708),0,1))))</f>
        <v>0</v>
      </c>
      <c r="AL708"/>
      <c r="AM708"/>
      <c r="AN708">
        <f t="shared" si="547"/>
        <v>0</v>
      </c>
      <c r="AO708"/>
      <c r="AP708"/>
      <c r="AQ708"/>
      <c r="AR708"/>
      <c r="AS708"/>
      <c r="AT708"/>
      <c r="AU708"/>
      <c r="AV708"/>
    </row>
    <row r="709" spans="1:48" ht="15" customHeight="1">
      <c r="A709" s="185"/>
      <c r="B709" s="90"/>
      <c r="C709" s="98" t="s">
        <v>2518</v>
      </c>
      <c r="D709" s="813" t="str">
        <f>IF(CNSIPEE_2024_M2_Secc1!D44="","",CNSIPEE_2024_M2_Secc1!D44)</f>
        <v/>
      </c>
      <c r="E709" s="814"/>
      <c r="F709" s="814"/>
      <c r="G709" s="814"/>
      <c r="H709" s="814"/>
      <c r="I709" s="814"/>
      <c r="J709" s="814"/>
      <c r="K709" s="814"/>
      <c r="L709" s="815"/>
      <c r="M709" s="816"/>
      <c r="N709" s="738"/>
      <c r="O709" s="738"/>
      <c r="P709" s="738"/>
      <c r="Q709" s="738"/>
      <c r="R709" s="817"/>
      <c r="S709" s="749"/>
      <c r="T709" s="749"/>
      <c r="U709" s="749"/>
      <c r="V709" s="749"/>
      <c r="W709" s="749"/>
      <c r="X709" s="749"/>
      <c r="Y709" s="749"/>
      <c r="Z709" s="749"/>
      <c r="AA709" s="749"/>
      <c r="AB709" s="749"/>
      <c r="AC709" s="749"/>
      <c r="AD709" s="749"/>
      <c r="AG709">
        <f>IF(OR(AND(M709&gt;1,D709&lt;&gt;""),COUNTIF(CNSIPEE_2024_M2_Secc5!$W$34:$W$63,"X")=0),0,IF(OR(COUNTBLANK(D709:AD709)=22,COUNTBLANK(D709:AD709)=27),0,1))</f>
        <v>0</v>
      </c>
      <c r="AH709">
        <f>IF(COUNTIF(CNSIPEE_2024_M2_Secc5!$W$34:$W$63,"X")=0,IF(COUNTA(M709:AD709)=0,0,1),IF(M709&gt;1,IF(COUNTA(S709:AD709)=0,0,1),0))</f>
        <v>0</v>
      </c>
      <c r="AI709">
        <f t="shared" si="545"/>
        <v>0</v>
      </c>
      <c r="AJ709">
        <f t="shared" si="546"/>
        <v>0</v>
      </c>
      <c r="AK709">
        <f t="shared" si="548"/>
        <v>0</v>
      </c>
      <c r="AL709"/>
      <c r="AM709"/>
      <c r="AN709">
        <f t="shared" si="547"/>
        <v>0</v>
      </c>
      <c r="AO709"/>
      <c r="AP709"/>
      <c r="AQ709"/>
      <c r="AR709"/>
      <c r="AS709"/>
      <c r="AT709"/>
      <c r="AU709"/>
      <c r="AV709"/>
    </row>
    <row r="710" spans="1:48" ht="15" customHeight="1">
      <c r="A710" s="185"/>
      <c r="B710" s="90"/>
      <c r="C710" s="98" t="s">
        <v>2519</v>
      </c>
      <c r="D710" s="813" t="str">
        <f>IF(CNSIPEE_2024_M2_Secc1!D45="","",CNSIPEE_2024_M2_Secc1!D45)</f>
        <v/>
      </c>
      <c r="E710" s="814"/>
      <c r="F710" s="814"/>
      <c r="G710" s="814"/>
      <c r="H710" s="814"/>
      <c r="I710" s="814"/>
      <c r="J710" s="814"/>
      <c r="K710" s="814"/>
      <c r="L710" s="815"/>
      <c r="M710" s="816"/>
      <c r="N710" s="738"/>
      <c r="O710" s="738"/>
      <c r="P710" s="738"/>
      <c r="Q710" s="738"/>
      <c r="R710" s="817"/>
      <c r="S710" s="749"/>
      <c r="T710" s="749"/>
      <c r="U710" s="749"/>
      <c r="V710" s="749"/>
      <c r="W710" s="749"/>
      <c r="X710" s="749"/>
      <c r="Y710" s="749"/>
      <c r="Z710" s="749"/>
      <c r="AA710" s="749"/>
      <c r="AB710" s="749"/>
      <c r="AC710" s="749"/>
      <c r="AD710" s="749"/>
      <c r="AG710">
        <f>IF(OR(AND(M710&gt;1,D710&lt;&gt;""),COUNTIF(CNSIPEE_2024_M2_Secc5!$W$34:$W$63,"X")=0),0,IF(OR(COUNTBLANK(D710:AD710)=22,COUNTBLANK(D710:AD710)=27),0,1))</f>
        <v>0</v>
      </c>
      <c r="AH710">
        <f>IF(COUNTIF(CNSIPEE_2024_M2_Secc5!$W$34:$W$63,"X")=0,IF(COUNTA(M710:AD710)=0,0,1),IF(M710&gt;1,IF(COUNTA(S710:AD710)=0,0,1),0))</f>
        <v>0</v>
      </c>
      <c r="AI710">
        <f t="shared" si="545"/>
        <v>0</v>
      </c>
      <c r="AJ710">
        <f t="shared" si="546"/>
        <v>0</v>
      </c>
      <c r="AK710">
        <f t="shared" si="548"/>
        <v>0</v>
      </c>
      <c r="AL710"/>
      <c r="AM710"/>
      <c r="AN710">
        <f t="shared" si="547"/>
        <v>0</v>
      </c>
      <c r="AO710"/>
      <c r="AP710"/>
      <c r="AQ710"/>
      <c r="AR710"/>
      <c r="AS710"/>
      <c r="AT710"/>
      <c r="AU710"/>
      <c r="AV710"/>
    </row>
    <row r="711" spans="1:48" ht="15" customHeight="1">
      <c r="A711" s="185"/>
      <c r="B711" s="90"/>
      <c r="C711" s="98" t="s">
        <v>2520</v>
      </c>
      <c r="D711" s="813" t="str">
        <f>IF(CNSIPEE_2024_M2_Secc1!D46="","",CNSIPEE_2024_M2_Secc1!D46)</f>
        <v/>
      </c>
      <c r="E711" s="814"/>
      <c r="F711" s="814"/>
      <c r="G711" s="814"/>
      <c r="H711" s="814"/>
      <c r="I711" s="814"/>
      <c r="J711" s="814"/>
      <c r="K711" s="814"/>
      <c r="L711" s="815"/>
      <c r="M711" s="816"/>
      <c r="N711" s="738"/>
      <c r="O711" s="738"/>
      <c r="P711" s="738"/>
      <c r="Q711" s="738"/>
      <c r="R711" s="817"/>
      <c r="S711" s="749"/>
      <c r="T711" s="749"/>
      <c r="U711" s="749"/>
      <c r="V711" s="749"/>
      <c r="W711" s="749"/>
      <c r="X711" s="749"/>
      <c r="Y711" s="749"/>
      <c r="Z711" s="749"/>
      <c r="AA711" s="749"/>
      <c r="AB711" s="749"/>
      <c r="AC711" s="749"/>
      <c r="AD711" s="749"/>
      <c r="AG711">
        <f>IF(OR(AND(M711&gt;1,D711&lt;&gt;""),COUNTIF(CNSIPEE_2024_M2_Secc5!$W$34:$W$63,"X")=0),0,IF(OR(COUNTBLANK(D711:AD711)=22,COUNTBLANK(D711:AD711)=27),0,1))</f>
        <v>0</v>
      </c>
      <c r="AH711">
        <f>IF(COUNTIF(CNSIPEE_2024_M2_Secc5!$W$34:$W$63,"X")=0,IF(COUNTA(M711:AD711)=0,0,1),IF(M711&gt;1,IF(COUNTA(S711:AD711)=0,0,1),0))</f>
        <v>0</v>
      </c>
      <c r="AI711">
        <f t="shared" si="545"/>
        <v>0</v>
      </c>
      <c r="AJ711">
        <f t="shared" si="546"/>
        <v>0</v>
      </c>
      <c r="AK711">
        <f t="shared" si="548"/>
        <v>0</v>
      </c>
      <c r="AL711"/>
      <c r="AM711"/>
      <c r="AN711">
        <f t="shared" si="547"/>
        <v>0</v>
      </c>
      <c r="AO711"/>
      <c r="AP711"/>
      <c r="AQ711"/>
      <c r="AR711"/>
      <c r="AS711"/>
      <c r="AT711"/>
      <c r="AU711"/>
      <c r="AV711"/>
    </row>
    <row r="712" spans="1:48" ht="15" customHeight="1">
      <c r="A712" s="185"/>
      <c r="B712" s="90"/>
      <c r="C712" s="98" t="s">
        <v>2521</v>
      </c>
      <c r="D712" s="813" t="str">
        <f>IF(CNSIPEE_2024_M2_Secc1!D47="","",CNSIPEE_2024_M2_Secc1!D47)</f>
        <v/>
      </c>
      <c r="E712" s="814"/>
      <c r="F712" s="814"/>
      <c r="G712" s="814"/>
      <c r="H712" s="814"/>
      <c r="I712" s="814"/>
      <c r="J712" s="814"/>
      <c r="K712" s="814"/>
      <c r="L712" s="815"/>
      <c r="M712" s="816"/>
      <c r="N712" s="738"/>
      <c r="O712" s="738"/>
      <c r="P712" s="738"/>
      <c r="Q712" s="738"/>
      <c r="R712" s="817"/>
      <c r="S712" s="749"/>
      <c r="T712" s="749"/>
      <c r="U712" s="749"/>
      <c r="V712" s="749"/>
      <c r="W712" s="749"/>
      <c r="X712" s="749"/>
      <c r="Y712" s="749"/>
      <c r="Z712" s="749"/>
      <c r="AA712" s="749"/>
      <c r="AB712" s="749"/>
      <c r="AC712" s="749"/>
      <c r="AD712" s="749"/>
      <c r="AG712">
        <f>IF(OR(AND(M712&gt;1,D712&lt;&gt;""),COUNTIF(CNSIPEE_2024_M2_Secc5!$W$34:$W$63,"X")=0),0,IF(OR(COUNTBLANK(D712:AD712)=22,COUNTBLANK(D712:AD712)=27),0,1))</f>
        <v>0</v>
      </c>
      <c r="AH712">
        <f>IF(COUNTIF(CNSIPEE_2024_M2_Secc5!$W$34:$W$63,"X")=0,IF(COUNTA(M712:AD712)=0,0,1),IF(M712&gt;1,IF(COUNTA(S712:AD712)=0,0,1),0))</f>
        <v>0</v>
      </c>
      <c r="AI712">
        <f t="shared" si="545"/>
        <v>0</v>
      </c>
      <c r="AJ712">
        <f t="shared" si="546"/>
        <v>0</v>
      </c>
      <c r="AK712">
        <f t="shared" si="548"/>
        <v>0</v>
      </c>
      <c r="AL712"/>
      <c r="AM712"/>
      <c r="AN712">
        <f t="shared" si="547"/>
        <v>0</v>
      </c>
      <c r="AO712"/>
      <c r="AP712"/>
      <c r="AQ712"/>
      <c r="AR712"/>
      <c r="AS712"/>
      <c r="AT712"/>
      <c r="AU712"/>
      <c r="AV712"/>
    </row>
    <row r="713" spans="1:48" ht="15" customHeight="1">
      <c r="A713" s="185"/>
      <c r="B713" s="90"/>
      <c r="C713" s="98" t="s">
        <v>2522</v>
      </c>
      <c r="D713" s="813" t="str">
        <f>IF(CNSIPEE_2024_M2_Secc1!D48="","",CNSIPEE_2024_M2_Secc1!D48)</f>
        <v/>
      </c>
      <c r="E713" s="814"/>
      <c r="F713" s="814"/>
      <c r="G713" s="814"/>
      <c r="H713" s="814"/>
      <c r="I713" s="814"/>
      <c r="J713" s="814"/>
      <c r="K713" s="814"/>
      <c r="L713" s="815"/>
      <c r="M713" s="816"/>
      <c r="N713" s="738"/>
      <c r="O713" s="738"/>
      <c r="P713" s="738"/>
      <c r="Q713" s="738"/>
      <c r="R713" s="817"/>
      <c r="S713" s="749"/>
      <c r="T713" s="749"/>
      <c r="U713" s="749"/>
      <c r="V713" s="749"/>
      <c r="W713" s="749"/>
      <c r="X713" s="749"/>
      <c r="Y713" s="749"/>
      <c r="Z713" s="749"/>
      <c r="AA713" s="749"/>
      <c r="AB713" s="749"/>
      <c r="AC713" s="749"/>
      <c r="AD713" s="749"/>
      <c r="AG713">
        <f>IF(OR(AND(M713&gt;1,D713&lt;&gt;""),COUNTIF(CNSIPEE_2024_M2_Secc5!$W$34:$W$63,"X")=0),0,IF(OR(COUNTBLANK(D713:AD713)=22,COUNTBLANK(D713:AD713)=27),0,1))</f>
        <v>0</v>
      </c>
      <c r="AH713">
        <f>IF(COUNTIF(CNSIPEE_2024_M2_Secc5!$W$34:$W$63,"X")=0,IF(COUNTA(M713:AD713)=0,0,1),IF(M713&gt;1,IF(COUNTA(S713:AD713)=0,0,1),0))</f>
        <v>0</v>
      </c>
      <c r="AI713">
        <f t="shared" si="545"/>
        <v>0</v>
      </c>
      <c r="AJ713">
        <f t="shared" si="546"/>
        <v>0</v>
      </c>
      <c r="AK713">
        <f t="shared" si="548"/>
        <v>0</v>
      </c>
      <c r="AL713"/>
      <c r="AM713"/>
      <c r="AN713">
        <f t="shared" si="547"/>
        <v>0</v>
      </c>
      <c r="AO713"/>
      <c r="AP713"/>
      <c r="AQ713"/>
      <c r="AR713"/>
      <c r="AS713"/>
      <c r="AT713"/>
      <c r="AU713"/>
      <c r="AV713"/>
    </row>
    <row r="714" spans="1:48" ht="15" customHeight="1">
      <c r="A714" s="185"/>
      <c r="B714" s="90"/>
      <c r="C714" s="98" t="s">
        <v>2523</v>
      </c>
      <c r="D714" s="813" t="str">
        <f>IF(CNSIPEE_2024_M2_Secc1!D49="","",CNSIPEE_2024_M2_Secc1!D49)</f>
        <v/>
      </c>
      <c r="E714" s="814"/>
      <c r="F714" s="814"/>
      <c r="G714" s="814"/>
      <c r="H714" s="814"/>
      <c r="I714" s="814"/>
      <c r="J714" s="814"/>
      <c r="K714" s="814"/>
      <c r="L714" s="815"/>
      <c r="M714" s="816"/>
      <c r="N714" s="738"/>
      <c r="O714" s="738"/>
      <c r="P714" s="738"/>
      <c r="Q714" s="738"/>
      <c r="R714" s="817"/>
      <c r="S714" s="749"/>
      <c r="T714" s="749"/>
      <c r="U714" s="749"/>
      <c r="V714" s="749"/>
      <c r="W714" s="749"/>
      <c r="X714" s="749"/>
      <c r="Y714" s="749"/>
      <c r="Z714" s="749"/>
      <c r="AA714" s="749"/>
      <c r="AB714" s="749"/>
      <c r="AC714" s="749"/>
      <c r="AD714" s="749"/>
      <c r="AG714">
        <f>IF(OR(AND(M714&gt;1,D714&lt;&gt;""),COUNTIF(CNSIPEE_2024_M2_Secc5!$W$34:$W$63,"X")=0),0,IF(OR(COUNTBLANK(D714:AD714)=22,COUNTBLANK(D714:AD714)=27),0,1))</f>
        <v>0</v>
      </c>
      <c r="AH714">
        <f>IF(COUNTIF(CNSIPEE_2024_M2_Secc5!$W$34:$W$63,"X")=0,IF(COUNTA(M714:AD714)=0,0,1),IF(M714&gt;1,IF(COUNTA(S714:AD714)=0,0,1),0))</f>
        <v>0</v>
      </c>
      <c r="AI714">
        <f t="shared" si="545"/>
        <v>0</v>
      </c>
      <c r="AJ714">
        <f t="shared" si="546"/>
        <v>0</v>
      </c>
      <c r="AK714">
        <f t="shared" si="548"/>
        <v>0</v>
      </c>
      <c r="AL714"/>
      <c r="AM714"/>
      <c r="AN714">
        <f t="shared" si="547"/>
        <v>0</v>
      </c>
      <c r="AO714"/>
      <c r="AP714"/>
      <c r="AQ714"/>
      <c r="AR714"/>
      <c r="AS714"/>
      <c r="AT714"/>
      <c r="AU714"/>
      <c r="AV714"/>
    </row>
    <row r="715" spans="1:48" ht="15" customHeight="1">
      <c r="A715" s="185"/>
      <c r="B715" s="90"/>
      <c r="C715" s="90"/>
      <c r="D715" s="90"/>
      <c r="E715" s="90"/>
      <c r="F715" s="90"/>
      <c r="G715" s="90"/>
      <c r="H715" s="90"/>
      <c r="I715" s="90"/>
      <c r="J715" s="90"/>
      <c r="K715" s="90"/>
      <c r="R715" s="117" t="s">
        <v>2649</v>
      </c>
      <c r="S715" s="736">
        <f>IF(AND(SUM(S707:S714)=0,COUNTIF(S707:S714,"NS")&gt;0),"NS",IF(AND(SUM(S707:S714)=0,COUNTIF(S707:S714,0)&gt;0),0,IF(AND(SUM(S707:S714)=0,COUNTIF(S707:S714,"NA")&gt;0),"NA",SUM(S707:S714))))</f>
        <v>0</v>
      </c>
      <c r="T715" s="1085"/>
      <c r="U715" s="1085"/>
      <c r="V715" s="1086"/>
      <c r="W715" s="736">
        <f>IF(AND(SUM(W707:W714)=0,COUNTIF(W707:W714,"NS")&gt;0),"NS",IF(AND(SUM(W707:W714)=0,COUNTIF(W707:W714,0)&gt;0),0,IF(AND(SUM(W707:W714)=0,COUNTIF(W707:W714,"NA")&gt;0),"NA",SUM(W707:W714))))</f>
        <v>0</v>
      </c>
      <c r="X715" s="1085"/>
      <c r="Y715" s="1085"/>
      <c r="Z715" s="1086"/>
      <c r="AA715" s="736">
        <f>IF(AND(SUM(AA707:AA714)=0,COUNTIF(AA707:AA714,"NS")&gt;0),"NS",IF(AND(SUM(AA707:AA714)=0,COUNTIF(AA707:AA714,0)&gt;0),0,IF(AND(SUM(AA707:AA714)=0,COUNTIF(AA707:AA714,"NA")&gt;0),"NA",SUM(AA707:AA714))))</f>
        <v>0</v>
      </c>
      <c r="AB715" s="1085"/>
      <c r="AC715" s="1085"/>
      <c r="AD715" s="1086"/>
      <c r="AG715" s="507">
        <f>SUM(AG707:AG714)</f>
        <v>0</v>
      </c>
      <c r="AH715" s="507">
        <f>SUM(AH707:AH714)</f>
        <v>0</v>
      </c>
      <c r="AI715">
        <f>SUM(AI707:AI714)</f>
        <v>0</v>
      </c>
      <c r="AK715" s="506">
        <f>SUM(AK707:AK714)</f>
        <v>0</v>
      </c>
      <c r="AM715"/>
      <c r="AN715" s="507">
        <f>SUM(AN707:AN714)</f>
        <v>0</v>
      </c>
      <c r="AO715"/>
      <c r="AP715"/>
      <c r="AQ715"/>
      <c r="AR715"/>
      <c r="AS715"/>
      <c r="AT715"/>
      <c r="AU715"/>
      <c r="AV715"/>
    </row>
    <row r="716" spans="1:48" ht="15" customHeight="1">
      <c r="A716" s="185"/>
      <c r="B716" s="90"/>
      <c r="C716" s="90"/>
      <c r="D716" s="90"/>
      <c r="E716" s="90"/>
      <c r="F716" s="90"/>
      <c r="G716" s="90"/>
      <c r="H716" s="90"/>
      <c r="I716" s="90"/>
      <c r="J716" s="90"/>
      <c r="K716" s="90"/>
      <c r="L716" s="90"/>
      <c r="M716" s="90"/>
      <c r="N716" s="90"/>
      <c r="O716" s="90"/>
      <c r="P716" s="90"/>
      <c r="Q716" s="90"/>
      <c r="R716" s="90"/>
      <c r="S716" s="90"/>
      <c r="T716" s="90"/>
      <c r="U716" s="90"/>
      <c r="V716" s="90"/>
      <c r="W716" s="90"/>
      <c r="X716" s="90"/>
      <c r="Y716" s="90"/>
      <c r="Z716" s="90"/>
      <c r="AA716" s="90"/>
      <c r="AB716" s="90"/>
      <c r="AC716" s="90"/>
      <c r="AD716" s="90"/>
      <c r="AG716"/>
      <c r="AH716"/>
      <c r="AI716"/>
      <c r="AJ716"/>
      <c r="AK716"/>
      <c r="AL716"/>
      <c r="AM716"/>
      <c r="AN716"/>
      <c r="AO716"/>
      <c r="AP716"/>
      <c r="AQ716"/>
      <c r="AR716"/>
      <c r="AS716"/>
      <c r="AT716"/>
      <c r="AU716"/>
      <c r="AV716"/>
    </row>
    <row r="717" spans="1:48" ht="24" customHeight="1">
      <c r="A717" s="96"/>
      <c r="B717" s="90"/>
      <c r="C717" s="754" t="s">
        <v>2611</v>
      </c>
      <c r="D717" s="754"/>
      <c r="E717" s="754"/>
      <c r="F717" s="754"/>
      <c r="G717" s="754"/>
      <c r="H717" s="754"/>
      <c r="I717" s="754"/>
      <c r="J717" s="754"/>
      <c r="K717" s="754"/>
      <c r="L717" s="754"/>
      <c r="M717" s="754"/>
      <c r="N717" s="754"/>
      <c r="O717" s="754"/>
      <c r="P717" s="754"/>
      <c r="Q717" s="754"/>
      <c r="R717" s="754"/>
      <c r="S717" s="754"/>
      <c r="T717" s="754"/>
      <c r="U717" s="754"/>
      <c r="V717" s="754"/>
      <c r="W717" s="754"/>
      <c r="X717" s="754"/>
      <c r="Y717" s="754"/>
      <c r="Z717" s="754"/>
      <c r="AA717" s="754"/>
      <c r="AB717" s="754"/>
      <c r="AC717" s="754"/>
      <c r="AD717" s="754"/>
      <c r="AG717"/>
      <c r="AH717"/>
      <c r="AI717"/>
      <c r="AJ717"/>
      <c r="AK717"/>
      <c r="AL717"/>
      <c r="AM717"/>
      <c r="AN717"/>
      <c r="AO717"/>
      <c r="AP717"/>
      <c r="AQ717"/>
      <c r="AR717"/>
      <c r="AS717"/>
      <c r="AT717"/>
      <c r="AU717"/>
      <c r="AV717"/>
    </row>
    <row r="718" spans="1:48" ht="60" customHeight="1">
      <c r="A718" s="96"/>
      <c r="B718" s="90"/>
      <c r="C718" s="851"/>
      <c r="D718" s="851"/>
      <c r="E718" s="851"/>
      <c r="F718" s="851"/>
      <c r="G718" s="851"/>
      <c r="H718" s="851"/>
      <c r="I718" s="851"/>
      <c r="J718" s="851"/>
      <c r="K718" s="851"/>
      <c r="L718" s="851"/>
      <c r="M718" s="851"/>
      <c r="N718" s="851"/>
      <c r="O718" s="851"/>
      <c r="P718" s="851"/>
      <c r="Q718" s="851"/>
      <c r="R718" s="851"/>
      <c r="S718" s="851"/>
      <c r="T718" s="851"/>
      <c r="U718" s="851"/>
      <c r="V718" s="851"/>
      <c r="W718" s="851"/>
      <c r="X718" s="851"/>
      <c r="Y718" s="851"/>
      <c r="Z718" s="851"/>
      <c r="AA718" s="851"/>
      <c r="AB718" s="851"/>
      <c r="AC718" s="851"/>
      <c r="AD718" s="851"/>
      <c r="AG718"/>
      <c r="AH718"/>
      <c r="AI718"/>
      <c r="AJ718"/>
      <c r="AK718"/>
      <c r="AL718"/>
      <c r="AM718"/>
      <c r="AN718"/>
      <c r="AO718"/>
      <c r="AP718"/>
      <c r="AQ718"/>
      <c r="AR718"/>
      <c r="AS718"/>
      <c r="AT718"/>
      <c r="AU718"/>
      <c r="AV718"/>
    </row>
    <row r="719" spans="1:48" ht="15" customHeight="1">
      <c r="A719" s="96"/>
      <c r="B719" s="794" t="str">
        <f>IF(AG715=0,"","Favor de ingresar toda la información requerida en la pregunta")</f>
        <v/>
      </c>
      <c r="C719" s="794"/>
      <c r="D719" s="794"/>
      <c r="E719" s="794"/>
      <c r="F719" s="794"/>
      <c r="G719" s="794"/>
      <c r="H719" s="794"/>
      <c r="I719" s="794"/>
      <c r="J719" s="794"/>
      <c r="K719" s="794"/>
      <c r="L719" s="794"/>
      <c r="M719" s="794"/>
      <c r="N719" s="794"/>
      <c r="O719" s="794"/>
      <c r="P719" s="794"/>
      <c r="Q719" s="794"/>
      <c r="R719" s="794"/>
      <c r="S719" s="794"/>
      <c r="T719" s="794"/>
      <c r="U719" s="794"/>
      <c r="V719" s="794"/>
      <c r="W719" s="794"/>
      <c r="X719" s="794"/>
      <c r="Y719" s="794"/>
      <c r="Z719" s="794"/>
      <c r="AA719" s="794"/>
      <c r="AB719" s="794"/>
      <c r="AC719" s="794"/>
      <c r="AD719" s="794"/>
      <c r="AE719" s="794"/>
      <c r="AG719"/>
      <c r="AH719"/>
      <c r="AI719"/>
      <c r="AJ719"/>
      <c r="AK719"/>
      <c r="AL719"/>
      <c r="AM719"/>
      <c r="AN719"/>
      <c r="AO719"/>
      <c r="AP719"/>
      <c r="AQ719"/>
      <c r="AR719"/>
      <c r="AS719"/>
      <c r="AT719"/>
      <c r="AU719"/>
      <c r="AV719"/>
    </row>
    <row r="720" spans="1:48" ht="15" customHeight="1">
      <c r="A720" s="185"/>
      <c r="B720" s="1087" t="str">
        <f>IF(COUNTIF(S707:AD714,"NS")&lt;&gt;0,"Alerta: debido a que cuenta con registros NS, debe proporcionar una justificación en el area de comentarios al final de la pregunta","")</f>
        <v/>
      </c>
      <c r="C720" s="1087"/>
      <c r="D720" s="1087"/>
      <c r="E720" s="1087"/>
      <c r="F720" s="1087"/>
      <c r="G720" s="1087"/>
      <c r="H720" s="1087"/>
      <c r="I720" s="1087"/>
      <c r="J720" s="1087"/>
      <c r="K720" s="1087"/>
      <c r="L720" s="1087"/>
      <c r="M720" s="1087"/>
      <c r="N720" s="1087"/>
      <c r="O720" s="1087"/>
      <c r="P720" s="1087"/>
      <c r="Q720" s="1087"/>
      <c r="R720" s="1087"/>
      <c r="S720" s="1087"/>
      <c r="T720" s="1087"/>
      <c r="U720" s="1087"/>
      <c r="V720" s="1087"/>
      <c r="W720" s="1087"/>
      <c r="X720" s="1087"/>
      <c r="Y720" s="1087"/>
      <c r="Z720" s="1087"/>
      <c r="AA720" s="1087"/>
      <c r="AB720" s="1087"/>
      <c r="AC720" s="1087"/>
      <c r="AD720" s="1087"/>
      <c r="AE720" s="1087"/>
      <c r="AG720"/>
      <c r="AH720"/>
      <c r="AI720"/>
      <c r="AJ720"/>
      <c r="AK720"/>
      <c r="AL720"/>
      <c r="AM720"/>
      <c r="AN720"/>
      <c r="AO720"/>
      <c r="AP720"/>
      <c r="AQ720"/>
      <c r="AR720"/>
      <c r="AS720"/>
      <c r="AT720"/>
      <c r="AU720"/>
      <c r="AV720"/>
    </row>
    <row r="721" spans="1:48" ht="15" customHeight="1">
      <c r="A721" s="185"/>
      <c r="B721" s="1003" t="str">
        <f>IF(AH715&gt;0,"Revise la información capturada, ya que tiene datos ingresados en celdas que están sombreadas","")</f>
        <v/>
      </c>
      <c r="C721" s="1003"/>
      <c r="D721" s="1003"/>
      <c r="E721" s="1003"/>
      <c r="F721" s="1003"/>
      <c r="G721" s="1003"/>
      <c r="H721" s="1003"/>
      <c r="I721" s="1003"/>
      <c r="J721" s="1003"/>
      <c r="K721" s="1003"/>
      <c r="L721" s="1003"/>
      <c r="M721" s="1003"/>
      <c r="N721" s="1003"/>
      <c r="O721" s="1003"/>
      <c r="P721" s="1003"/>
      <c r="Q721" s="1003"/>
      <c r="R721" s="1003"/>
      <c r="S721" s="1003"/>
      <c r="T721" s="1003"/>
      <c r="U721" s="1003"/>
      <c r="V721" s="1003"/>
      <c r="W721" s="1003"/>
      <c r="X721" s="1003"/>
      <c r="Y721" s="1003"/>
      <c r="Z721" s="1003"/>
      <c r="AA721" s="1003"/>
      <c r="AB721" s="1003"/>
      <c r="AC721" s="1003"/>
      <c r="AD721" s="1003"/>
      <c r="AE721" s="1003"/>
      <c r="AG721"/>
      <c r="AH721"/>
      <c r="AI721"/>
      <c r="AJ721"/>
      <c r="AK721"/>
      <c r="AL721"/>
      <c r="AM721"/>
      <c r="AN721"/>
      <c r="AO721"/>
      <c r="AP721"/>
      <c r="AQ721"/>
      <c r="AR721"/>
      <c r="AS721"/>
      <c r="AT721"/>
      <c r="AU721"/>
      <c r="AV721"/>
    </row>
    <row r="722" spans="1:48" ht="15" customHeight="1">
      <c r="A722" s="185"/>
      <c r="B722" s="1003" t="str">
        <f>IF(AK715&gt;0,"Favor de revisar la suma y consistencia de totales y/o subtotales por filas (numéricos y NS)","")</f>
        <v/>
      </c>
      <c r="C722" s="1003"/>
      <c r="D722" s="1003"/>
      <c r="E722" s="1003"/>
      <c r="F722" s="1003"/>
      <c r="G722" s="1003"/>
      <c r="H722" s="1003"/>
      <c r="I722" s="1003"/>
      <c r="J722" s="1003"/>
      <c r="K722" s="1003"/>
      <c r="L722" s="1003"/>
      <c r="M722" s="1003"/>
      <c r="N722" s="1003"/>
      <c r="O722" s="1003"/>
      <c r="P722" s="1003"/>
      <c r="Q722" s="1003"/>
      <c r="R722" s="1003"/>
      <c r="S722" s="1003"/>
      <c r="T722" s="1003"/>
      <c r="U722" s="1003"/>
      <c r="V722" s="1003"/>
      <c r="W722" s="1003"/>
      <c r="X722" s="1003"/>
      <c r="Y722" s="1003"/>
      <c r="Z722" s="1003"/>
      <c r="AA722" s="1003"/>
      <c r="AB722" s="1003"/>
      <c r="AC722" s="1003"/>
      <c r="AD722" s="1003"/>
      <c r="AE722" s="1003"/>
      <c r="AG722"/>
      <c r="AH722"/>
      <c r="AI722"/>
      <c r="AJ722"/>
      <c r="AK722"/>
      <c r="AL722"/>
      <c r="AM722"/>
      <c r="AN722"/>
      <c r="AO722"/>
      <c r="AP722"/>
      <c r="AQ722"/>
      <c r="AR722"/>
      <c r="AS722"/>
      <c r="AT722"/>
      <c r="AU722"/>
      <c r="AV722"/>
    </row>
    <row r="723" spans="1:48" ht="15" customHeight="1">
      <c r="A723" s="185"/>
      <c r="B723" s="795" t="str">
        <f>IF(AO707&gt;0,"Alerta: debe de proporcionar una justificación de acuerdo a lo establecido en la instrucción 1","")</f>
        <v/>
      </c>
      <c r="C723" s="795"/>
      <c r="D723" s="795"/>
      <c r="E723" s="795"/>
      <c r="F723" s="795"/>
      <c r="G723" s="795"/>
      <c r="H723" s="795"/>
      <c r="I723" s="795"/>
      <c r="J723" s="795"/>
      <c r="K723" s="795"/>
      <c r="L723" s="795"/>
      <c r="M723" s="795"/>
      <c r="N723" s="795"/>
      <c r="O723" s="795"/>
      <c r="P723" s="795"/>
      <c r="Q723" s="795"/>
      <c r="R723" s="795"/>
      <c r="S723" s="795"/>
      <c r="T723" s="795"/>
      <c r="U723" s="795"/>
      <c r="V723" s="795"/>
      <c r="W723" s="795"/>
      <c r="X723" s="795"/>
      <c r="Y723" s="795"/>
      <c r="Z723" s="795"/>
      <c r="AA723" s="795"/>
      <c r="AB723" s="795"/>
      <c r="AC723" s="795"/>
      <c r="AD723" s="795"/>
      <c r="AE723" s="795"/>
      <c r="AG723"/>
      <c r="AH723"/>
      <c r="AI723"/>
      <c r="AJ723"/>
      <c r="AK723"/>
      <c r="AL723"/>
      <c r="AM723"/>
      <c r="AN723"/>
      <c r="AO723"/>
      <c r="AP723"/>
      <c r="AQ723"/>
      <c r="AR723"/>
      <c r="AS723"/>
      <c r="AT723"/>
      <c r="AU723"/>
      <c r="AV723"/>
    </row>
    <row r="724" spans="1:48" ht="15" customHeight="1">
      <c r="A724" s="185"/>
      <c r="B724" s="1003" t="str">
        <f>IF(AN715=0,"","Debido a que cuenta con registro(s) con el código 1, el total de la fila respectiva debe ser mayor a cero")</f>
        <v/>
      </c>
      <c r="C724" s="1003"/>
      <c r="D724" s="1003"/>
      <c r="E724" s="1003"/>
      <c r="F724" s="1003"/>
      <c r="G724" s="1003"/>
      <c r="H724" s="1003"/>
      <c r="I724" s="1003"/>
      <c r="J724" s="1003"/>
      <c r="K724" s="1003"/>
      <c r="L724" s="1003"/>
      <c r="M724" s="1003"/>
      <c r="N724" s="1003"/>
      <c r="O724" s="1003"/>
      <c r="P724" s="1003"/>
      <c r="Q724" s="1003"/>
      <c r="R724" s="1003"/>
      <c r="S724" s="1003"/>
      <c r="T724" s="1003"/>
      <c r="U724" s="1003"/>
      <c r="V724" s="1003"/>
      <c r="W724" s="1003"/>
      <c r="X724" s="1003"/>
      <c r="Y724" s="1003"/>
      <c r="Z724" s="1003"/>
      <c r="AA724" s="1003"/>
      <c r="AB724" s="1003"/>
      <c r="AC724" s="1003"/>
      <c r="AD724" s="1003"/>
      <c r="AE724" s="1003"/>
      <c r="AG724"/>
      <c r="AH724"/>
      <c r="AI724"/>
      <c r="AJ724"/>
      <c r="AK724"/>
      <c r="AL724"/>
      <c r="AM724"/>
      <c r="AN724"/>
      <c r="AO724"/>
      <c r="AP724"/>
      <c r="AQ724"/>
      <c r="AR724"/>
      <c r="AS724"/>
      <c r="AT724"/>
      <c r="AU724"/>
      <c r="AV724"/>
    </row>
    <row r="725" spans="1:48" ht="15" customHeight="1">
      <c r="A725" s="185"/>
      <c r="B725" s="57"/>
      <c r="C725" s="45" t="s">
        <v>6026</v>
      </c>
      <c r="D725" s="86"/>
      <c r="E725" s="86"/>
      <c r="F725" s="86"/>
      <c r="G725" s="86"/>
      <c r="H725" s="86"/>
      <c r="I725" s="86"/>
      <c r="J725" s="86"/>
      <c r="K725" s="86"/>
      <c r="L725" s="86"/>
      <c r="M725" s="86"/>
      <c r="N725" s="86"/>
      <c r="O725" s="86"/>
      <c r="P725" s="86"/>
      <c r="Q725" s="86"/>
      <c r="R725" s="86"/>
      <c r="S725" s="86"/>
      <c r="T725" s="86"/>
      <c r="U725" s="86"/>
      <c r="V725" s="86"/>
      <c r="W725" s="86"/>
      <c r="X725" s="86"/>
      <c r="Y725" s="86"/>
      <c r="Z725" s="86"/>
      <c r="AA725" s="86"/>
      <c r="AB725" s="86"/>
      <c r="AC725" s="86"/>
      <c r="AD725" s="86"/>
      <c r="AG725"/>
      <c r="AH725"/>
      <c r="AI725"/>
      <c r="AJ725"/>
      <c r="AK725"/>
      <c r="AL725"/>
      <c r="AM725"/>
      <c r="AN725"/>
      <c r="AO725"/>
      <c r="AP725"/>
      <c r="AQ725"/>
      <c r="AR725"/>
      <c r="AS725"/>
      <c r="AT725"/>
      <c r="AU725"/>
      <c r="AV725"/>
    </row>
    <row r="726" spans="1:48" ht="15" customHeight="1">
      <c r="A726" s="185"/>
      <c r="B726" s="57"/>
      <c r="C726" s="86"/>
      <c r="D726" s="86"/>
      <c r="E726" s="86"/>
      <c r="F726" s="86"/>
      <c r="G726" s="86"/>
      <c r="H726" s="86"/>
      <c r="I726" s="86"/>
      <c r="J726" s="86"/>
      <c r="K726" s="86"/>
      <c r="L726" s="86"/>
      <c r="M726" s="86"/>
      <c r="N726" s="86"/>
      <c r="O726" s="86"/>
      <c r="P726" s="86"/>
      <c r="Q726" s="86"/>
      <c r="R726" s="86"/>
      <c r="S726" s="86"/>
      <c r="T726" s="86"/>
      <c r="U726" s="86"/>
      <c r="V726" s="86"/>
      <c r="W726" s="86"/>
      <c r="X726" s="86"/>
      <c r="Y726" s="86"/>
      <c r="Z726" s="86"/>
      <c r="AA726" s="86"/>
      <c r="AB726" s="86"/>
      <c r="AC726" s="86"/>
      <c r="AD726" s="86"/>
      <c r="AG726"/>
      <c r="AH726"/>
      <c r="AI726"/>
      <c r="AJ726"/>
      <c r="AK726"/>
      <c r="AL726"/>
      <c r="AM726"/>
      <c r="AN726"/>
      <c r="AO726"/>
      <c r="AP726"/>
      <c r="AQ726"/>
      <c r="AR726"/>
      <c r="AS726"/>
      <c r="AT726"/>
      <c r="AU726"/>
      <c r="AV726"/>
    </row>
    <row r="727" spans="1:48" ht="24" customHeight="1">
      <c r="A727" s="185"/>
      <c r="B727" s="90"/>
      <c r="C727" s="797" t="s">
        <v>2581</v>
      </c>
      <c r="D727" s="798"/>
      <c r="E727" s="798"/>
      <c r="F727" s="798"/>
      <c r="G727" s="798"/>
      <c r="H727" s="798"/>
      <c r="I727" s="798"/>
      <c r="J727" s="798"/>
      <c r="K727" s="798"/>
      <c r="L727" s="799"/>
      <c r="M727" s="797" t="s">
        <v>6027</v>
      </c>
      <c r="N727" s="798"/>
      <c r="O727" s="798"/>
      <c r="P727" s="798"/>
      <c r="Q727" s="798"/>
      <c r="R727" s="799"/>
      <c r="S727" s="739" t="s">
        <v>6028</v>
      </c>
      <c r="T727" s="740"/>
      <c r="U727" s="740"/>
      <c r="V727" s="740"/>
      <c r="W727" s="740"/>
      <c r="X727" s="740"/>
      <c r="Y727" s="740"/>
      <c r="Z727" s="740"/>
      <c r="AA727" s="740"/>
      <c r="AB727" s="740"/>
      <c r="AC727" s="740"/>
      <c r="AD727" s="741"/>
      <c r="AG727"/>
      <c r="AH727"/>
      <c r="AI727"/>
      <c r="AJ727"/>
      <c r="AK727"/>
      <c r="AL727"/>
      <c r="AM727"/>
      <c r="AN727"/>
      <c r="AO727"/>
      <c r="AP727"/>
      <c r="AQ727"/>
      <c r="AR727"/>
      <c r="AS727"/>
      <c r="AT727"/>
      <c r="AU727"/>
      <c r="AV727"/>
    </row>
    <row r="728" spans="1:48" ht="24" customHeight="1">
      <c r="A728" s="185"/>
      <c r="B728" s="90"/>
      <c r="C728" s="800"/>
      <c r="D728" s="801"/>
      <c r="E728" s="801"/>
      <c r="F728" s="801"/>
      <c r="G728" s="801"/>
      <c r="H728" s="801"/>
      <c r="I728" s="801"/>
      <c r="J728" s="801"/>
      <c r="K728" s="801"/>
      <c r="L728" s="801"/>
      <c r="M728" s="800"/>
      <c r="N728" s="801"/>
      <c r="O728" s="801"/>
      <c r="P728" s="801"/>
      <c r="Q728" s="801"/>
      <c r="R728" s="802"/>
      <c r="S728" s="874" t="s">
        <v>2628</v>
      </c>
      <c r="T728" s="857" t="s">
        <v>2629</v>
      </c>
      <c r="U728" s="857" t="s">
        <v>2630</v>
      </c>
      <c r="V728" s="733" t="s">
        <v>4637</v>
      </c>
      <c r="W728" s="734"/>
      <c r="X728" s="735"/>
      <c r="Y728" s="733" t="s">
        <v>4638</v>
      </c>
      <c r="Z728" s="734"/>
      <c r="AA728" s="735"/>
      <c r="AB728" s="733" t="s">
        <v>201</v>
      </c>
      <c r="AC728" s="734"/>
      <c r="AD728" s="735"/>
      <c r="AG728"/>
      <c r="AH728"/>
      <c r="AI728"/>
      <c r="AJ728"/>
      <c r="AK728"/>
      <c r="AL728"/>
      <c r="AM728"/>
      <c r="AN728"/>
      <c r="AO728"/>
      <c r="AP728"/>
      <c r="AQ728"/>
      <c r="AR728"/>
      <c r="AS728"/>
      <c r="AT728"/>
      <c r="AU728"/>
      <c r="AV728"/>
    </row>
    <row r="729" spans="1:48" ht="48" customHeight="1">
      <c r="A729" s="185"/>
      <c r="B729" s="90"/>
      <c r="C729" s="803"/>
      <c r="D729" s="804"/>
      <c r="E729" s="804"/>
      <c r="F729" s="804"/>
      <c r="G729" s="804"/>
      <c r="H729" s="804"/>
      <c r="I729" s="804"/>
      <c r="J729" s="804"/>
      <c r="K729" s="804"/>
      <c r="L729" s="804"/>
      <c r="M729" s="803"/>
      <c r="N729" s="804"/>
      <c r="O729" s="804"/>
      <c r="P729" s="804"/>
      <c r="Q729" s="804"/>
      <c r="R729" s="805"/>
      <c r="S729" s="874"/>
      <c r="T729" s="857"/>
      <c r="U729" s="857"/>
      <c r="V729" s="171" t="s">
        <v>2635</v>
      </c>
      <c r="W729" s="128" t="s">
        <v>2629</v>
      </c>
      <c r="X729" s="128" t="s">
        <v>2630</v>
      </c>
      <c r="Y729" s="171" t="s">
        <v>2635</v>
      </c>
      <c r="Z729" s="128" t="s">
        <v>2629</v>
      </c>
      <c r="AA729" s="128" t="s">
        <v>2630</v>
      </c>
      <c r="AB729" s="171" t="s">
        <v>2635</v>
      </c>
      <c r="AC729" s="128" t="s">
        <v>2629</v>
      </c>
      <c r="AD729" s="128" t="s">
        <v>2630</v>
      </c>
      <c r="AG729" t="s">
        <v>2586</v>
      </c>
      <c r="AH729" t="s">
        <v>5940</v>
      </c>
      <c r="AI729" t="s">
        <v>4713</v>
      </c>
      <c r="AJ729" t="s">
        <v>5486</v>
      </c>
      <c r="AK729" t="s">
        <v>4573</v>
      </c>
      <c r="AL729" t="s">
        <v>2638</v>
      </c>
      <c r="AM729" t="s">
        <v>2639</v>
      </c>
      <c r="AN729" t="s">
        <v>4574</v>
      </c>
      <c r="AO729" t="s">
        <v>2641</v>
      </c>
      <c r="AP729" t="s">
        <v>2642</v>
      </c>
      <c r="AQ729" t="s">
        <v>4575</v>
      </c>
      <c r="AR729" t="s">
        <v>2644</v>
      </c>
      <c r="AS729" t="s">
        <v>2645</v>
      </c>
      <c r="AT729" t="s">
        <v>4576</v>
      </c>
      <c r="AU729" t="s">
        <v>2647</v>
      </c>
      <c r="AV729" t="s">
        <v>2648</v>
      </c>
    </row>
    <row r="730" spans="1:48" ht="15" customHeight="1">
      <c r="A730" s="185"/>
      <c r="B730" s="90"/>
      <c r="C730" s="97" t="s">
        <v>2516</v>
      </c>
      <c r="D730" s="813" t="str">
        <f>IF(CNSIPEE_2024_M2_Secc1!D42="","",CNSIPEE_2024_M2_Secc1!D42)</f>
        <v/>
      </c>
      <c r="E730" s="814"/>
      <c r="F730" s="814"/>
      <c r="G730" s="814"/>
      <c r="H730" s="814"/>
      <c r="I730" s="814"/>
      <c r="J730" s="814"/>
      <c r="K730" s="814"/>
      <c r="L730" s="815"/>
      <c r="M730" s="816"/>
      <c r="N730" s="738"/>
      <c r="O730" s="738"/>
      <c r="P730" s="738"/>
      <c r="Q730" s="738"/>
      <c r="R730" s="817"/>
      <c r="S730" s="100"/>
      <c r="T730" s="100"/>
      <c r="U730" s="100"/>
      <c r="V730" s="100"/>
      <c r="W730" s="100"/>
      <c r="X730" s="100"/>
      <c r="Y730" s="100"/>
      <c r="Z730" s="100"/>
      <c r="AA730" s="100"/>
      <c r="AB730" s="100"/>
      <c r="AC730" s="100"/>
      <c r="AD730" s="100"/>
      <c r="AG730">
        <f>IF(OR(AND(M730&gt;1,D730&lt;&gt;""),COUNTIF(CNSIPEE_2024_M2_Secc5!$W$34:$W$63,"X")=0),0,IF(OR(COUNTBLANK(D730:AD730)=27,COUNTBLANK(D730:AD730)=13),0,1))</f>
        <v>0</v>
      </c>
      <c r="AH730">
        <f>IF(COUNTIF(CNSIPEE_2024_M2_Secc5!$W$34:$W$63,"X")=0,IF(COUNTA(M730:AD730)=0,0,1),IF(M730&gt;1,IF(COUNTA(S730:AD730)=0,0,1),0))</f>
        <v>0</v>
      </c>
      <c r="AI730">
        <f>IF(AND(M730=1,S730=0),1,0)</f>
        <v>0</v>
      </c>
      <c r="AJ730" s="506">
        <f>IF(COUNTIF(CNSIPEE_2024_M2_Secc5!$W$34:$W$63,"X")=0,IF(COUNTA(M730:AD737)=0,0,1),0)</f>
        <v>0</v>
      </c>
      <c r="AK730">
        <f t="shared" ref="AK730:AK737" si="549">COUNTIF(T730:U730,"NS")</f>
        <v>0</v>
      </c>
      <c r="AL730">
        <f t="shared" ref="AL730:AL737" si="550">SUM(T730:U730)</f>
        <v>0</v>
      </c>
      <c r="AM730">
        <f>IF(COUNTIF(S730:U730,"NA")=3,0,IF(COUNTA(S730:U730)=0,0,IF(OR(AND(S730=0,AK730&gt;0),AND(S730="ns",AL730&gt;0),AND(S730="ns",AK730=0,AL730=0)),1,IF(OR(AND(S730&gt;0,AK730=2),AND(S730="ns",AK730=2),AND(S730="ns",AL730=0,AK730&gt;0),S730=AL730),0,1))))</f>
        <v>0</v>
      </c>
      <c r="AN730">
        <f t="shared" ref="AN730:AN737" si="551">COUNTIF(W730:X730,"NS")</f>
        <v>0</v>
      </c>
      <c r="AO730">
        <f t="shared" ref="AO730:AO737" si="552">SUM(W730:X730)</f>
        <v>0</v>
      </c>
      <c r="AP730">
        <f t="shared" ref="AP730:AP737" si="553">IF(COUNTIF(V730:X730,"NA")=3,0,IF(COUNTA(V730:X730)=0,0,IF(OR(AND(V730=0,AN730&gt;0),AND(V730="ns",AO730&gt;0),AND(V730="ns",AN730=0,AO730=0)),1,IF(OR(AND(V730&gt;0,AN730=2),AND(V730="ns",AN730=2),AND(V730="ns",AO730=0,AN730&gt;0),V730=AO730),0,1))))</f>
        <v>0</v>
      </c>
      <c r="AQ730">
        <f t="shared" ref="AQ730:AQ737" si="554">COUNTIF(Z730:AA730,"NS")</f>
        <v>0</v>
      </c>
      <c r="AR730">
        <f t="shared" ref="AR730:AR737" si="555">SUM(Z730:AA730)</f>
        <v>0</v>
      </c>
      <c r="AS730">
        <f t="shared" ref="AS730:AS737" si="556">IF(COUNTIF(Y730:AA730,"NA")=3,0,IF(COUNTA(Y730:AA730)=0,0,IF(OR(AND(Y730=0,AQ730&gt;0),AND(Y730="ns",AR730&gt;0),AND(Y730="ns",AQ730=0,AR730=0)),1,IF(OR(AND(Y730&gt;0,AQ730=2),AND(Y730="ns",AQ730=2),AND(Y730="ns",AR730=0,AQ730&gt;0),Y730=AR730),0,1))))</f>
        <v>0</v>
      </c>
      <c r="AT730">
        <f t="shared" ref="AT730:AT737" si="557">COUNTIF(AC730:AD730,"NS")</f>
        <v>0</v>
      </c>
      <c r="AU730">
        <f t="shared" ref="AU730:AU737" si="558">SUM(AC730:AD730)</f>
        <v>0</v>
      </c>
      <c r="AV730">
        <f t="shared" ref="AV730:AV737" si="559">IF(COUNTIF(AB730:AD730,"NA")=3,0,IF(COUNTA(AB730:AD730)=0,0,IF(OR(AND(AB730=0,AT730&gt;0),AND(AB730="ns",AU730&gt;0),AND(AB730="ns",AT730=0,AU730=0)),1,IF(OR(AND(AB730&gt;0,AT730=2),AND(AB730="ns",AT730=2),AND(AB730="ns",AU730=0,AT730&gt;0),AB730=AU730),0,1))))</f>
        <v>0</v>
      </c>
    </row>
    <row r="731" spans="1:48" ht="15" customHeight="1">
      <c r="A731" s="185"/>
      <c r="B731" s="90"/>
      <c r="C731" s="98" t="s">
        <v>2517</v>
      </c>
      <c r="D731" s="813" t="str">
        <f>IF(CNSIPEE_2024_M2_Secc1!D43="","",CNSIPEE_2024_M2_Secc1!D43)</f>
        <v/>
      </c>
      <c r="E731" s="814"/>
      <c r="F731" s="814"/>
      <c r="G731" s="814"/>
      <c r="H731" s="814"/>
      <c r="I731" s="814"/>
      <c r="J731" s="814"/>
      <c r="K731" s="814"/>
      <c r="L731" s="815"/>
      <c r="M731" s="816"/>
      <c r="N731" s="738"/>
      <c r="O731" s="738"/>
      <c r="P731" s="738"/>
      <c r="Q731" s="738"/>
      <c r="R731" s="817"/>
      <c r="S731" s="100"/>
      <c r="T731" s="100"/>
      <c r="U731" s="100"/>
      <c r="V731" s="100"/>
      <c r="W731" s="100"/>
      <c r="X731" s="100"/>
      <c r="Y731" s="100"/>
      <c r="Z731" s="100"/>
      <c r="AA731" s="100"/>
      <c r="AB731" s="100"/>
      <c r="AC731" s="100"/>
      <c r="AD731" s="100"/>
      <c r="AG731">
        <f>IF(OR(AND(M731&gt;1,D731&lt;&gt;""),COUNTIF(CNSIPEE_2024_M2_Secc5!$W$34:$W$63,"X")=0),0,IF(OR(COUNTBLANK(D731:AD731)=27,COUNTBLANK(D731:AD731)=13),0,1))</f>
        <v>0</v>
      </c>
      <c r="AH731">
        <f>IF(COUNTIF(CNSIPEE_2024_M2_Secc5!$W$34:$W$63,"X")=0,IF(COUNTA(M731:AD731)=0,0,1),IF(M731&gt;1,IF(COUNTA(S731:AD731)=0,0,1),0))</f>
        <v>0</v>
      </c>
      <c r="AI731">
        <f t="shared" ref="AI731:AI737" si="560">IF(AND(M731=1,S731=0),1,0)</f>
        <v>0</v>
      </c>
      <c r="AJ731"/>
      <c r="AK731">
        <f t="shared" si="549"/>
        <v>0</v>
      </c>
      <c r="AL731">
        <f t="shared" si="550"/>
        <v>0</v>
      </c>
      <c r="AM731">
        <f t="shared" ref="AM731:AM737" si="561">IF(COUNTIF(S731:U731,"NA")=3,0,IF(COUNTA(S731:U731)=0,0,IF(OR(AND(S731=0,AK731&gt;0),AND(S731="ns",AL731&gt;0),AND(S731="ns",AK731=0,AL731=0)),1,IF(OR(AND(S731&gt;0,AK731=2),AND(S731="ns",AK731=2),AND(S731="ns",AL731=0,AK731&gt;0),S731=AL731),0,1))))</f>
        <v>0</v>
      </c>
      <c r="AN731">
        <f t="shared" si="551"/>
        <v>0</v>
      </c>
      <c r="AO731">
        <f t="shared" si="552"/>
        <v>0</v>
      </c>
      <c r="AP731">
        <f t="shared" si="553"/>
        <v>0</v>
      </c>
      <c r="AQ731">
        <f t="shared" si="554"/>
        <v>0</v>
      </c>
      <c r="AR731">
        <f t="shared" si="555"/>
        <v>0</v>
      </c>
      <c r="AS731">
        <f t="shared" si="556"/>
        <v>0</v>
      </c>
      <c r="AT731">
        <f t="shared" si="557"/>
        <v>0</v>
      </c>
      <c r="AU731">
        <f t="shared" si="558"/>
        <v>0</v>
      </c>
      <c r="AV731">
        <f t="shared" si="559"/>
        <v>0</v>
      </c>
    </row>
    <row r="732" spans="1:48" ht="15" customHeight="1">
      <c r="A732" s="185"/>
      <c r="B732" s="90"/>
      <c r="C732" s="98" t="s">
        <v>2518</v>
      </c>
      <c r="D732" s="813" t="str">
        <f>IF(CNSIPEE_2024_M2_Secc1!D44="","",CNSIPEE_2024_M2_Secc1!D44)</f>
        <v/>
      </c>
      <c r="E732" s="814"/>
      <c r="F732" s="814"/>
      <c r="G732" s="814"/>
      <c r="H732" s="814"/>
      <c r="I732" s="814"/>
      <c r="J732" s="814"/>
      <c r="K732" s="814"/>
      <c r="L732" s="815"/>
      <c r="M732" s="816"/>
      <c r="N732" s="738"/>
      <c r="O732" s="738"/>
      <c r="P732" s="738"/>
      <c r="Q732" s="738"/>
      <c r="R732" s="817"/>
      <c r="S732" s="100"/>
      <c r="T732" s="100"/>
      <c r="U732" s="100"/>
      <c r="V732" s="100"/>
      <c r="W732" s="100"/>
      <c r="X732" s="100"/>
      <c r="Y732" s="100"/>
      <c r="Z732" s="100"/>
      <c r="AA732" s="100"/>
      <c r="AB732" s="100"/>
      <c r="AC732" s="100"/>
      <c r="AD732" s="100"/>
      <c r="AG732">
        <f>IF(OR(AND(M732&gt;1,D732&lt;&gt;""),COUNTIF(CNSIPEE_2024_M2_Secc5!$W$34:$W$63,"X")=0),0,IF(OR(COUNTBLANK(D732:AD732)=27,COUNTBLANK(D732:AD732)=13),0,1))</f>
        <v>0</v>
      </c>
      <c r="AH732">
        <f>IF(COUNTIF(CNSIPEE_2024_M2_Secc5!$W$34:$W$63,"X")=0,IF(COUNTA(M732:AD732)=0,0,1),IF(M732&gt;1,IF(COUNTA(S732:AD732)=0,0,1),0))</f>
        <v>0</v>
      </c>
      <c r="AI732">
        <f t="shared" si="560"/>
        <v>0</v>
      </c>
      <c r="AJ732"/>
      <c r="AK732">
        <f t="shared" si="549"/>
        <v>0</v>
      </c>
      <c r="AL732">
        <f t="shared" si="550"/>
        <v>0</v>
      </c>
      <c r="AM732">
        <f t="shared" si="561"/>
        <v>0</v>
      </c>
      <c r="AN732">
        <f t="shared" si="551"/>
        <v>0</v>
      </c>
      <c r="AO732">
        <f t="shared" si="552"/>
        <v>0</v>
      </c>
      <c r="AP732">
        <f t="shared" si="553"/>
        <v>0</v>
      </c>
      <c r="AQ732">
        <f t="shared" si="554"/>
        <v>0</v>
      </c>
      <c r="AR732">
        <f t="shared" si="555"/>
        <v>0</v>
      </c>
      <c r="AS732">
        <f t="shared" si="556"/>
        <v>0</v>
      </c>
      <c r="AT732">
        <f t="shared" si="557"/>
        <v>0</v>
      </c>
      <c r="AU732">
        <f t="shared" si="558"/>
        <v>0</v>
      </c>
      <c r="AV732">
        <f t="shared" si="559"/>
        <v>0</v>
      </c>
    </row>
    <row r="733" spans="1:48" ht="15" customHeight="1">
      <c r="A733" s="185"/>
      <c r="B733" s="90"/>
      <c r="C733" s="98" t="s">
        <v>2519</v>
      </c>
      <c r="D733" s="813" t="str">
        <f>IF(CNSIPEE_2024_M2_Secc1!D45="","",CNSIPEE_2024_M2_Secc1!D45)</f>
        <v/>
      </c>
      <c r="E733" s="814"/>
      <c r="F733" s="814"/>
      <c r="G733" s="814"/>
      <c r="H733" s="814"/>
      <c r="I733" s="814"/>
      <c r="J733" s="814"/>
      <c r="K733" s="814"/>
      <c r="L733" s="815"/>
      <c r="M733" s="816"/>
      <c r="N733" s="738"/>
      <c r="O733" s="738"/>
      <c r="P733" s="738"/>
      <c r="Q733" s="738"/>
      <c r="R733" s="817"/>
      <c r="S733" s="100"/>
      <c r="T733" s="100"/>
      <c r="U733" s="100"/>
      <c r="V733" s="100"/>
      <c r="W733" s="100"/>
      <c r="X733" s="100"/>
      <c r="Y733" s="100"/>
      <c r="Z733" s="100"/>
      <c r="AA733" s="100"/>
      <c r="AB733" s="100"/>
      <c r="AC733" s="100"/>
      <c r="AD733" s="100"/>
      <c r="AG733">
        <f>IF(OR(AND(M733&gt;1,D733&lt;&gt;""),COUNTIF(CNSIPEE_2024_M2_Secc5!$W$34:$W$63,"X")=0),0,IF(OR(COUNTBLANK(D733:AD733)=27,COUNTBLANK(D733:AD733)=13),0,1))</f>
        <v>0</v>
      </c>
      <c r="AH733">
        <f>IF(COUNTIF(CNSIPEE_2024_M2_Secc5!$W$34:$W$63,"X")=0,IF(COUNTA(M733:AD733)=0,0,1),IF(M733&gt;1,IF(COUNTA(S733:AD733)=0,0,1),0))</f>
        <v>0</v>
      </c>
      <c r="AI733">
        <f t="shared" si="560"/>
        <v>0</v>
      </c>
      <c r="AJ733"/>
      <c r="AK733">
        <f t="shared" si="549"/>
        <v>0</v>
      </c>
      <c r="AL733">
        <f t="shared" si="550"/>
        <v>0</v>
      </c>
      <c r="AM733">
        <f t="shared" si="561"/>
        <v>0</v>
      </c>
      <c r="AN733">
        <f t="shared" si="551"/>
        <v>0</v>
      </c>
      <c r="AO733">
        <f t="shared" si="552"/>
        <v>0</v>
      </c>
      <c r="AP733">
        <f t="shared" si="553"/>
        <v>0</v>
      </c>
      <c r="AQ733">
        <f t="shared" si="554"/>
        <v>0</v>
      </c>
      <c r="AR733">
        <f t="shared" si="555"/>
        <v>0</v>
      </c>
      <c r="AS733">
        <f t="shared" si="556"/>
        <v>0</v>
      </c>
      <c r="AT733">
        <f t="shared" si="557"/>
        <v>0</v>
      </c>
      <c r="AU733">
        <f t="shared" si="558"/>
        <v>0</v>
      </c>
      <c r="AV733">
        <f t="shared" si="559"/>
        <v>0</v>
      </c>
    </row>
    <row r="734" spans="1:48" ht="15" customHeight="1">
      <c r="A734" s="185"/>
      <c r="B734" s="90"/>
      <c r="C734" s="98" t="s">
        <v>2520</v>
      </c>
      <c r="D734" s="813" t="str">
        <f>IF(CNSIPEE_2024_M2_Secc1!D46="","",CNSIPEE_2024_M2_Secc1!D46)</f>
        <v/>
      </c>
      <c r="E734" s="814"/>
      <c r="F734" s="814"/>
      <c r="G734" s="814"/>
      <c r="H734" s="814"/>
      <c r="I734" s="814"/>
      <c r="J734" s="814"/>
      <c r="K734" s="814"/>
      <c r="L734" s="815"/>
      <c r="M734" s="816"/>
      <c r="N734" s="738"/>
      <c r="O734" s="738"/>
      <c r="P734" s="738"/>
      <c r="Q734" s="738"/>
      <c r="R734" s="817"/>
      <c r="S734" s="100"/>
      <c r="T734" s="100"/>
      <c r="U734" s="100"/>
      <c r="V734" s="100"/>
      <c r="W734" s="100"/>
      <c r="X734" s="100"/>
      <c r="Y734" s="100"/>
      <c r="Z734" s="100"/>
      <c r="AA734" s="100"/>
      <c r="AB734" s="100"/>
      <c r="AC734" s="100"/>
      <c r="AD734" s="100"/>
      <c r="AG734">
        <f>IF(OR(AND(M734&gt;1,D734&lt;&gt;""),COUNTIF(CNSIPEE_2024_M2_Secc5!$W$34:$W$63,"X")=0),0,IF(OR(COUNTBLANK(D734:AD734)=27,COUNTBLANK(D734:AD734)=13),0,1))</f>
        <v>0</v>
      </c>
      <c r="AH734">
        <f>IF(COUNTIF(CNSIPEE_2024_M2_Secc5!$W$34:$W$63,"X")=0,IF(COUNTA(M734:AD734)=0,0,1),IF(M734&gt;1,IF(COUNTA(S734:AD734)=0,0,1),0))</f>
        <v>0</v>
      </c>
      <c r="AI734">
        <f t="shared" si="560"/>
        <v>0</v>
      </c>
      <c r="AJ734"/>
      <c r="AK734">
        <f t="shared" si="549"/>
        <v>0</v>
      </c>
      <c r="AL734">
        <f t="shared" si="550"/>
        <v>0</v>
      </c>
      <c r="AM734">
        <f t="shared" si="561"/>
        <v>0</v>
      </c>
      <c r="AN734">
        <f t="shared" si="551"/>
        <v>0</v>
      </c>
      <c r="AO734">
        <f t="shared" si="552"/>
        <v>0</v>
      </c>
      <c r="AP734">
        <f t="shared" si="553"/>
        <v>0</v>
      </c>
      <c r="AQ734">
        <f t="shared" si="554"/>
        <v>0</v>
      </c>
      <c r="AR734">
        <f t="shared" si="555"/>
        <v>0</v>
      </c>
      <c r="AS734">
        <f t="shared" si="556"/>
        <v>0</v>
      </c>
      <c r="AT734">
        <f t="shared" si="557"/>
        <v>0</v>
      </c>
      <c r="AU734">
        <f t="shared" si="558"/>
        <v>0</v>
      </c>
      <c r="AV734">
        <f t="shared" si="559"/>
        <v>0</v>
      </c>
    </row>
    <row r="735" spans="1:48" ht="15" customHeight="1">
      <c r="A735" s="185"/>
      <c r="B735" s="90"/>
      <c r="C735" s="98" t="s">
        <v>2521</v>
      </c>
      <c r="D735" s="813" t="str">
        <f>IF(CNSIPEE_2024_M2_Secc1!D47="","",CNSIPEE_2024_M2_Secc1!D47)</f>
        <v/>
      </c>
      <c r="E735" s="814"/>
      <c r="F735" s="814"/>
      <c r="G735" s="814"/>
      <c r="H735" s="814"/>
      <c r="I735" s="814"/>
      <c r="J735" s="814"/>
      <c r="K735" s="814"/>
      <c r="L735" s="815"/>
      <c r="M735" s="816"/>
      <c r="N735" s="738"/>
      <c r="O735" s="738"/>
      <c r="P735" s="738"/>
      <c r="Q735" s="738"/>
      <c r="R735" s="817"/>
      <c r="S735" s="100"/>
      <c r="T735" s="100"/>
      <c r="U735" s="100"/>
      <c r="V735" s="100"/>
      <c r="W735" s="100"/>
      <c r="X735" s="100"/>
      <c r="Y735" s="100"/>
      <c r="Z735" s="100"/>
      <c r="AA735" s="100"/>
      <c r="AB735" s="100"/>
      <c r="AC735" s="100"/>
      <c r="AD735" s="100"/>
      <c r="AG735">
        <f>IF(OR(AND(M735&gt;1,D735&lt;&gt;""),COUNTIF(CNSIPEE_2024_M2_Secc5!$W$34:$W$63,"X")=0),0,IF(OR(COUNTBLANK(D735:AD735)=27,COUNTBLANK(D735:AD735)=13),0,1))</f>
        <v>0</v>
      </c>
      <c r="AH735">
        <f>IF(COUNTIF(CNSIPEE_2024_M2_Secc5!$W$34:$W$63,"X")=0,IF(COUNTA(M735:AD735)=0,0,1),IF(M735&gt;1,IF(COUNTA(S735:AD735)=0,0,1),0))</f>
        <v>0</v>
      </c>
      <c r="AI735">
        <f t="shared" si="560"/>
        <v>0</v>
      </c>
      <c r="AJ735"/>
      <c r="AK735">
        <f t="shared" si="549"/>
        <v>0</v>
      </c>
      <c r="AL735">
        <f t="shared" si="550"/>
        <v>0</v>
      </c>
      <c r="AM735">
        <f t="shared" si="561"/>
        <v>0</v>
      </c>
      <c r="AN735">
        <f t="shared" si="551"/>
        <v>0</v>
      </c>
      <c r="AO735">
        <f t="shared" si="552"/>
        <v>0</v>
      </c>
      <c r="AP735">
        <f t="shared" si="553"/>
        <v>0</v>
      </c>
      <c r="AQ735">
        <f t="shared" si="554"/>
        <v>0</v>
      </c>
      <c r="AR735">
        <f t="shared" si="555"/>
        <v>0</v>
      </c>
      <c r="AS735">
        <f t="shared" si="556"/>
        <v>0</v>
      </c>
      <c r="AT735">
        <f t="shared" si="557"/>
        <v>0</v>
      </c>
      <c r="AU735">
        <f t="shared" si="558"/>
        <v>0</v>
      </c>
      <c r="AV735">
        <f t="shared" si="559"/>
        <v>0</v>
      </c>
    </row>
    <row r="736" spans="1:48" ht="15" customHeight="1">
      <c r="A736" s="185"/>
      <c r="B736" s="90"/>
      <c r="C736" s="98" t="s">
        <v>2522</v>
      </c>
      <c r="D736" s="813" t="str">
        <f>IF(CNSIPEE_2024_M2_Secc1!D48="","",CNSIPEE_2024_M2_Secc1!D48)</f>
        <v/>
      </c>
      <c r="E736" s="814"/>
      <c r="F736" s="814"/>
      <c r="G736" s="814"/>
      <c r="H736" s="814"/>
      <c r="I736" s="814"/>
      <c r="J736" s="814"/>
      <c r="K736" s="814"/>
      <c r="L736" s="815"/>
      <c r="M736" s="816"/>
      <c r="N736" s="738"/>
      <c r="O736" s="738"/>
      <c r="P736" s="738"/>
      <c r="Q736" s="738"/>
      <c r="R736" s="817"/>
      <c r="S736" s="100"/>
      <c r="T736" s="100"/>
      <c r="U736" s="100"/>
      <c r="V736" s="100"/>
      <c r="W736" s="100"/>
      <c r="X736" s="100"/>
      <c r="Y736" s="100"/>
      <c r="Z736" s="100"/>
      <c r="AA736" s="100"/>
      <c r="AB736" s="100"/>
      <c r="AC736" s="100"/>
      <c r="AD736" s="100"/>
      <c r="AG736">
        <f>IF(OR(AND(M736&gt;1,D736&lt;&gt;""),COUNTIF(CNSIPEE_2024_M2_Secc5!$W$34:$W$63,"X")=0),0,IF(OR(COUNTBLANK(D736:AD736)=27,COUNTBLANK(D736:AD736)=13),0,1))</f>
        <v>0</v>
      </c>
      <c r="AH736">
        <f>IF(COUNTIF(CNSIPEE_2024_M2_Secc5!$W$34:$W$63,"X")=0,IF(COUNTA(M736:AD736)=0,0,1),IF(M736&gt;1,IF(COUNTA(S736:AD736)=0,0,1),0))</f>
        <v>0</v>
      </c>
      <c r="AI736">
        <f t="shared" si="560"/>
        <v>0</v>
      </c>
      <c r="AJ736"/>
      <c r="AK736">
        <f t="shared" si="549"/>
        <v>0</v>
      </c>
      <c r="AL736">
        <f t="shared" si="550"/>
        <v>0</v>
      </c>
      <c r="AM736">
        <f t="shared" si="561"/>
        <v>0</v>
      </c>
      <c r="AN736">
        <f t="shared" si="551"/>
        <v>0</v>
      </c>
      <c r="AO736">
        <f t="shared" si="552"/>
        <v>0</v>
      </c>
      <c r="AP736">
        <f t="shared" si="553"/>
        <v>0</v>
      </c>
      <c r="AQ736">
        <f t="shared" si="554"/>
        <v>0</v>
      </c>
      <c r="AR736">
        <f t="shared" si="555"/>
        <v>0</v>
      </c>
      <c r="AS736">
        <f t="shared" si="556"/>
        <v>0</v>
      </c>
      <c r="AT736">
        <f t="shared" si="557"/>
        <v>0</v>
      </c>
      <c r="AU736">
        <f t="shared" si="558"/>
        <v>0</v>
      </c>
      <c r="AV736">
        <f t="shared" si="559"/>
        <v>0</v>
      </c>
    </row>
    <row r="737" spans="1:48" ht="15" customHeight="1">
      <c r="A737" s="185"/>
      <c r="B737" s="90"/>
      <c r="C737" s="98" t="s">
        <v>2523</v>
      </c>
      <c r="D737" s="813" t="str">
        <f>IF(CNSIPEE_2024_M2_Secc1!D49="","",CNSIPEE_2024_M2_Secc1!D49)</f>
        <v/>
      </c>
      <c r="E737" s="814"/>
      <c r="F737" s="814"/>
      <c r="G737" s="814"/>
      <c r="H737" s="814"/>
      <c r="I737" s="814"/>
      <c r="J737" s="814"/>
      <c r="K737" s="814"/>
      <c r="L737" s="815"/>
      <c r="M737" s="816"/>
      <c r="N737" s="738"/>
      <c r="O737" s="738"/>
      <c r="P737" s="738"/>
      <c r="Q737" s="738"/>
      <c r="R737" s="817"/>
      <c r="S737" s="100"/>
      <c r="T737" s="100"/>
      <c r="U737" s="100"/>
      <c r="V737" s="100"/>
      <c r="W737" s="100"/>
      <c r="X737" s="100"/>
      <c r="Y737" s="100"/>
      <c r="Z737" s="100"/>
      <c r="AA737" s="100"/>
      <c r="AB737" s="100"/>
      <c r="AC737" s="100"/>
      <c r="AD737" s="100"/>
      <c r="AG737">
        <f>IF(OR(AND(M737&gt;1,D737&lt;&gt;""),COUNTIF(CNSIPEE_2024_M2_Secc5!$W$34:$W$63,"X")=0),0,IF(OR(COUNTBLANK(D737:AD737)=27,COUNTBLANK(D737:AD737)=13),0,1))</f>
        <v>0</v>
      </c>
      <c r="AH737">
        <f>IF(COUNTIF(CNSIPEE_2024_M2_Secc5!$W$34:$W$63,"X")=0,IF(COUNTA(M737:AD737)=0,0,1),IF(M737&gt;1,IF(COUNTA(S737:AD737)=0,0,1),0))</f>
        <v>0</v>
      </c>
      <c r="AI737">
        <f t="shared" si="560"/>
        <v>0</v>
      </c>
      <c r="AJ737"/>
      <c r="AK737">
        <f t="shared" si="549"/>
        <v>0</v>
      </c>
      <c r="AL737">
        <f t="shared" si="550"/>
        <v>0</v>
      </c>
      <c r="AM737">
        <f t="shared" si="561"/>
        <v>0</v>
      </c>
      <c r="AN737">
        <f t="shared" si="551"/>
        <v>0</v>
      </c>
      <c r="AO737">
        <f t="shared" si="552"/>
        <v>0</v>
      </c>
      <c r="AP737">
        <f t="shared" si="553"/>
        <v>0</v>
      </c>
      <c r="AQ737">
        <f t="shared" si="554"/>
        <v>0</v>
      </c>
      <c r="AR737">
        <f t="shared" si="555"/>
        <v>0</v>
      </c>
      <c r="AS737">
        <f t="shared" si="556"/>
        <v>0</v>
      </c>
      <c r="AT737">
        <f t="shared" si="557"/>
        <v>0</v>
      </c>
      <c r="AU737">
        <f t="shared" si="558"/>
        <v>0</v>
      </c>
      <c r="AV737">
        <f t="shared" si="559"/>
        <v>0</v>
      </c>
    </row>
    <row r="738" spans="1:48" ht="15" customHeight="1">
      <c r="A738" s="185"/>
      <c r="B738" s="90"/>
      <c r="C738" s="90"/>
      <c r="D738" s="90"/>
      <c r="E738" s="90"/>
      <c r="F738" s="90"/>
      <c r="G738" s="90"/>
      <c r="H738" s="90"/>
      <c r="I738" s="90"/>
      <c r="J738" s="90"/>
      <c r="K738" s="90"/>
      <c r="L738" s="117"/>
      <c r="M738" s="51"/>
      <c r="N738" s="51"/>
      <c r="O738" s="51"/>
      <c r="P738" s="51"/>
      <c r="Q738" s="51"/>
      <c r="R738" s="117" t="s">
        <v>2649</v>
      </c>
      <c r="S738" s="124">
        <f t="shared" ref="S738:AD738" si="562">IF(AND(SUM(S730:S737)=0,COUNTIF(S730:S737,"NS")&gt;0),"NS",IF(AND(SUM(S730:S737)=0,COUNTIF(S730:S737,0)&gt;0),0,IF(AND(SUM(S730:S737)=0,COUNTIF(S730:S737,"NA")&gt;0),"NA",SUM(S730:S737))))</f>
        <v>0</v>
      </c>
      <c r="T738" s="124">
        <f t="shared" si="562"/>
        <v>0</v>
      </c>
      <c r="U738" s="124">
        <f t="shared" si="562"/>
        <v>0</v>
      </c>
      <c r="V738" s="124">
        <f t="shared" si="562"/>
        <v>0</v>
      </c>
      <c r="W738" s="124">
        <f t="shared" si="562"/>
        <v>0</v>
      </c>
      <c r="X738" s="124">
        <f t="shared" si="562"/>
        <v>0</v>
      </c>
      <c r="Y738" s="124">
        <f t="shared" si="562"/>
        <v>0</v>
      </c>
      <c r="Z738" s="124">
        <f t="shared" si="562"/>
        <v>0</v>
      </c>
      <c r="AA738" s="124">
        <f t="shared" si="562"/>
        <v>0</v>
      </c>
      <c r="AB738" s="124">
        <f t="shared" si="562"/>
        <v>0</v>
      </c>
      <c r="AC738" s="124">
        <f t="shared" si="562"/>
        <v>0</v>
      </c>
      <c r="AD738" s="124">
        <f t="shared" si="562"/>
        <v>0</v>
      </c>
      <c r="AG738" s="507">
        <f>SUM(AG730:AG737)</f>
        <v>0</v>
      </c>
      <c r="AH738" s="507">
        <f>SUM(AH730:AH737)</f>
        <v>0</v>
      </c>
      <c r="AI738" s="507">
        <f>SUM(AI730:AI737)</f>
        <v>0</v>
      </c>
      <c r="AJ738"/>
      <c r="AK738">
        <f>SUM(AK730:AK737)</f>
        <v>0</v>
      </c>
      <c r="AM738">
        <f>SUM(AM730:AM737)</f>
        <v>0</v>
      </c>
      <c r="AN738">
        <f>SUM(AN730:AN737)</f>
        <v>0</v>
      </c>
      <c r="AP738">
        <f>SUM(AP730:AP737)</f>
        <v>0</v>
      </c>
      <c r="AQ738">
        <f>SUM(AQ730:AQ737)</f>
        <v>0</v>
      </c>
      <c r="AS738">
        <f>SUM(AS730:AS737)</f>
        <v>0</v>
      </c>
      <c r="AT738">
        <f>SUM(AT730:AT737)</f>
        <v>0</v>
      </c>
      <c r="AV738">
        <f>SUM(AV730:AV737)</f>
        <v>0</v>
      </c>
    </row>
    <row r="739" spans="1:48" ht="15" customHeight="1">
      <c r="A739" s="185"/>
      <c r="B739" s="90"/>
      <c r="C739" s="90"/>
      <c r="D739" s="90"/>
      <c r="E739" s="90"/>
      <c r="F739" s="90"/>
      <c r="G739" s="90"/>
      <c r="H739" s="90"/>
      <c r="I739" s="90"/>
      <c r="J739" s="90"/>
      <c r="K739" s="90"/>
      <c r="L739" s="90"/>
      <c r="M739" s="90"/>
      <c r="N739" s="90"/>
      <c r="O739" s="90"/>
      <c r="P739" s="90"/>
      <c r="Q739" s="90"/>
      <c r="R739" s="90"/>
      <c r="S739" s="90"/>
      <c r="T739" s="90"/>
      <c r="U739" s="90"/>
      <c r="V739" s="90"/>
      <c r="W739" s="90"/>
      <c r="X739" s="90"/>
      <c r="Y739" s="90"/>
      <c r="Z739" s="90"/>
      <c r="AA739" s="90"/>
      <c r="AB739" s="90"/>
      <c r="AC739" s="90"/>
      <c r="AD739" s="90"/>
      <c r="AK739" t="s">
        <v>2650</v>
      </c>
      <c r="AL739" s="506">
        <f>SUM(AM738,AP738,AS738,AV738)</f>
        <v>0</v>
      </c>
      <c r="AM739" t="s">
        <v>2651</v>
      </c>
      <c r="AN739">
        <f>SUM(AK738,AN738,AQ738,AT738)</f>
        <v>0</v>
      </c>
    </row>
    <row r="740" spans="1:48" ht="24" customHeight="1">
      <c r="A740" s="185"/>
      <c r="B740" s="90"/>
      <c r="C740" s="754" t="s">
        <v>2611</v>
      </c>
      <c r="D740" s="754"/>
      <c r="E740" s="754"/>
      <c r="F740" s="754"/>
      <c r="G740" s="754"/>
      <c r="H740" s="754"/>
      <c r="I740" s="754"/>
      <c r="J740" s="754"/>
      <c r="K740" s="754"/>
      <c r="L740" s="754"/>
      <c r="M740" s="754"/>
      <c r="N740" s="754"/>
      <c r="O740" s="754"/>
      <c r="P740" s="754"/>
      <c r="Q740" s="754"/>
      <c r="R740" s="754"/>
      <c r="S740" s="754"/>
      <c r="T740" s="754"/>
      <c r="U740" s="754"/>
      <c r="V740" s="754"/>
      <c r="W740" s="754"/>
      <c r="X740" s="754"/>
      <c r="Y740" s="754"/>
      <c r="Z740" s="754"/>
      <c r="AA740" s="754"/>
      <c r="AB740" s="754"/>
      <c r="AC740" s="754"/>
      <c r="AD740" s="754"/>
      <c r="AK740" t="s">
        <v>2652</v>
      </c>
      <c r="AL740" s="507">
        <f>IF(AN739&gt;0,IF(SUM(S738)&gt;=SUM(V738,Y738,AB738),0,1),IF(SUM(S738)&lt;&gt;SUM(V738,Y738,AB738),1,0))</f>
        <v>0</v>
      </c>
      <c r="AM740" t="s">
        <v>2653</v>
      </c>
      <c r="AN740" s="507">
        <f>IF(AN739&gt;0,IF(SUM(T738)&gt;=SUM(W738,Z738,AC738),0,1),IF(SUM(T738)&lt;&gt;SUM(W738,Z738,AC738),1,0))</f>
        <v>0</v>
      </c>
      <c r="AO740" t="s">
        <v>2654</v>
      </c>
      <c r="AP740" s="507">
        <f>IF(AN739&gt;0,IF(SUM(U738)&gt;=SUM(X738,AA738,AD738),0,1),IF(SUM(U738)&lt;&gt;SUM(X738,AA738,AD738),1,0))</f>
        <v>0</v>
      </c>
    </row>
    <row r="741" spans="1:48" ht="60" customHeight="1">
      <c r="A741" s="185"/>
      <c r="B741" s="90"/>
      <c r="C741" s="851"/>
      <c r="D741" s="851"/>
      <c r="E741" s="851"/>
      <c r="F741" s="851"/>
      <c r="G741" s="851"/>
      <c r="H741" s="851"/>
      <c r="I741" s="851"/>
      <c r="J741" s="851"/>
      <c r="K741" s="851"/>
      <c r="L741" s="851"/>
      <c r="M741" s="851"/>
      <c r="N741" s="851"/>
      <c r="O741" s="851"/>
      <c r="P741" s="851"/>
      <c r="Q741" s="851"/>
      <c r="R741" s="851"/>
      <c r="S741" s="851"/>
      <c r="T741" s="851"/>
      <c r="U741" s="851"/>
      <c r="V741" s="851"/>
      <c r="W741" s="851"/>
      <c r="X741" s="851"/>
      <c r="Y741" s="851"/>
      <c r="Z741" s="851"/>
      <c r="AA741" s="851"/>
      <c r="AB741" s="851"/>
      <c r="AC741" s="851"/>
      <c r="AD741" s="851"/>
    </row>
    <row r="742" spans="1:48" ht="15" customHeight="1">
      <c r="A742" s="185"/>
      <c r="B742" s="794" t="str">
        <f>IF(AG738=0,"","Favor de ingresar toda la información requerida en la pregunta")</f>
        <v/>
      </c>
      <c r="C742" s="794"/>
      <c r="D742" s="794"/>
      <c r="E742" s="794"/>
      <c r="F742" s="794"/>
      <c r="G742" s="794"/>
      <c r="H742" s="794"/>
      <c r="I742" s="794"/>
      <c r="J742" s="794"/>
      <c r="K742" s="794"/>
      <c r="L742" s="794"/>
      <c r="M742" s="794"/>
      <c r="N742" s="794"/>
      <c r="O742" s="794"/>
      <c r="P742" s="794"/>
      <c r="Q742" s="794"/>
      <c r="R742" s="794"/>
      <c r="S742" s="794"/>
      <c r="T742" s="794"/>
      <c r="U742" s="794"/>
      <c r="V742" s="794"/>
      <c r="W742" s="794"/>
      <c r="X742" s="794"/>
      <c r="Y742" s="794"/>
      <c r="Z742" s="794"/>
      <c r="AA742" s="794"/>
      <c r="AB742" s="794"/>
      <c r="AC742" s="794"/>
      <c r="AD742" s="794"/>
      <c r="AE742" s="794"/>
    </row>
    <row r="743" spans="1:48" ht="15" customHeight="1">
      <c r="A743" s="185"/>
      <c r="B743" s="1087" t="str">
        <f>IF(COUNTIF(S730:AD737,"NS")&lt;&gt;0,"Alerta: debido a que cuenta con registros NS, debe proporcionar una justificación en el area de comentarios al final de la pregunta","")</f>
        <v/>
      </c>
      <c r="C743" s="1087"/>
      <c r="D743" s="1087"/>
      <c r="E743" s="1087"/>
      <c r="F743" s="1087"/>
      <c r="G743" s="1087"/>
      <c r="H743" s="1087"/>
      <c r="I743" s="1087"/>
      <c r="J743" s="1087"/>
      <c r="K743" s="1087"/>
      <c r="L743" s="1087"/>
      <c r="M743" s="1087"/>
      <c r="N743" s="1087"/>
      <c r="O743" s="1087"/>
      <c r="P743" s="1087"/>
      <c r="Q743" s="1087"/>
      <c r="R743" s="1087"/>
      <c r="S743" s="1087"/>
      <c r="T743" s="1087"/>
      <c r="U743" s="1087"/>
      <c r="V743" s="1087"/>
      <c r="W743" s="1087"/>
      <c r="X743" s="1087"/>
      <c r="Y743" s="1087"/>
      <c r="Z743" s="1087"/>
      <c r="AA743" s="1087"/>
      <c r="AB743" s="1087"/>
      <c r="AC743" s="1087"/>
      <c r="AD743" s="1087"/>
      <c r="AE743" s="1087"/>
    </row>
    <row r="744" spans="1:48" ht="15" customHeight="1">
      <c r="A744" s="185"/>
      <c r="B744" s="1003" t="str">
        <f>IF(AH738&gt;0,"Revise la información capturada, ya que tiene datos ingresados en celdas que están sombreadas","")</f>
        <v/>
      </c>
      <c r="C744" s="1003"/>
      <c r="D744" s="1003"/>
      <c r="E744" s="1003"/>
      <c r="F744" s="1003"/>
      <c r="G744" s="1003"/>
      <c r="H744" s="1003"/>
      <c r="I744" s="1003"/>
      <c r="J744" s="1003"/>
      <c r="K744" s="1003"/>
      <c r="L744" s="1003"/>
      <c r="M744" s="1003"/>
      <c r="N744" s="1003"/>
      <c r="O744" s="1003"/>
      <c r="P744" s="1003"/>
      <c r="Q744" s="1003"/>
      <c r="R744" s="1003"/>
      <c r="S744" s="1003"/>
      <c r="T744" s="1003"/>
      <c r="U744" s="1003"/>
      <c r="V744" s="1003"/>
      <c r="W744" s="1003"/>
      <c r="X744" s="1003"/>
      <c r="Y744" s="1003"/>
      <c r="Z744" s="1003"/>
      <c r="AA744" s="1003"/>
      <c r="AB744" s="1003"/>
      <c r="AC744" s="1003"/>
      <c r="AD744" s="1003"/>
      <c r="AE744" s="1003"/>
    </row>
    <row r="745" spans="1:48" ht="15" customHeight="1">
      <c r="A745" s="185"/>
      <c r="B745" s="1003" t="str">
        <f>IF(OR(AL739&gt;0,AL740&gt;0,AN740&gt;0,AP740&gt;0),"Favor de revisar la suma y consistencia de totales y/o subtotales por filas (numéricos y NS)","")</f>
        <v/>
      </c>
      <c r="C745" s="1003"/>
      <c r="D745" s="1003"/>
      <c r="E745" s="1003"/>
      <c r="F745" s="1003"/>
      <c r="G745" s="1003"/>
      <c r="H745" s="1003"/>
      <c r="I745" s="1003"/>
      <c r="J745" s="1003"/>
      <c r="K745" s="1003"/>
      <c r="L745" s="1003"/>
      <c r="M745" s="1003"/>
      <c r="N745" s="1003"/>
      <c r="O745" s="1003"/>
      <c r="P745" s="1003"/>
      <c r="Q745" s="1003"/>
      <c r="R745" s="1003"/>
      <c r="S745" s="1003"/>
      <c r="T745" s="1003"/>
      <c r="U745" s="1003"/>
      <c r="V745" s="1003"/>
      <c r="W745" s="1003"/>
      <c r="X745" s="1003"/>
      <c r="Y745" s="1003"/>
      <c r="Z745" s="1003"/>
      <c r="AA745" s="1003"/>
      <c r="AB745" s="1003"/>
      <c r="AC745" s="1003"/>
      <c r="AD745" s="1003"/>
      <c r="AE745" s="1003"/>
    </row>
    <row r="746" spans="1:48" ht="15" customHeight="1">
      <c r="A746" s="185"/>
      <c r="B746" s="795" t="str">
        <f>IF(AJ730&gt;0,"Alerta: debe de proporcionar una justificación de acuerdo a lo establecido en la instrucción 1","")</f>
        <v/>
      </c>
      <c r="C746" s="795"/>
      <c r="D746" s="795"/>
      <c r="E746" s="795"/>
      <c r="F746" s="795"/>
      <c r="G746" s="795"/>
      <c r="H746" s="795"/>
      <c r="I746" s="795"/>
      <c r="J746" s="795"/>
      <c r="K746" s="795"/>
      <c r="L746" s="795"/>
      <c r="M746" s="795"/>
      <c r="N746" s="795"/>
      <c r="O746" s="795"/>
      <c r="P746" s="795"/>
      <c r="Q746" s="795"/>
      <c r="R746" s="795"/>
      <c r="S746" s="795"/>
      <c r="T746" s="795"/>
      <c r="U746" s="795"/>
      <c r="V746" s="795"/>
      <c r="W746" s="795"/>
      <c r="X746" s="795"/>
      <c r="Y746" s="795"/>
      <c r="Z746" s="795"/>
      <c r="AA746" s="795"/>
      <c r="AB746" s="795"/>
      <c r="AC746" s="795"/>
      <c r="AD746" s="795"/>
      <c r="AE746" s="795"/>
    </row>
    <row r="747" spans="1:48" ht="15" customHeight="1">
      <c r="A747" s="185"/>
      <c r="B747" s="1003" t="str">
        <f>IF(AI738=0,"","Debido a que cuenta con registro(s) con el código 1, el total de la fila respectiva debe ser mayor a cero")</f>
        <v/>
      </c>
      <c r="C747" s="1003"/>
      <c r="D747" s="1003"/>
      <c r="E747" s="1003"/>
      <c r="F747" s="1003"/>
      <c r="G747" s="1003"/>
      <c r="H747" s="1003"/>
      <c r="I747" s="1003"/>
      <c r="J747" s="1003"/>
      <c r="K747" s="1003"/>
      <c r="L747" s="1003"/>
      <c r="M747" s="1003"/>
      <c r="N747" s="1003"/>
      <c r="O747" s="1003"/>
      <c r="P747" s="1003"/>
      <c r="Q747" s="1003"/>
      <c r="R747" s="1003"/>
      <c r="S747" s="1003"/>
      <c r="T747" s="1003"/>
      <c r="U747" s="1003"/>
      <c r="V747" s="1003"/>
      <c r="W747" s="1003"/>
      <c r="X747" s="1003"/>
      <c r="Y747" s="1003"/>
      <c r="Z747" s="1003"/>
      <c r="AA747" s="1003"/>
      <c r="AB747" s="1003"/>
      <c r="AC747" s="1003"/>
      <c r="AD747" s="1003"/>
      <c r="AE747" s="1003"/>
    </row>
    <row r="748" spans="1:48" ht="36" customHeight="1">
      <c r="A748" s="49" t="s">
        <v>6029</v>
      </c>
      <c r="B748" s="829" t="s">
        <v>6030</v>
      </c>
      <c r="C748" s="829"/>
      <c r="D748" s="829"/>
      <c r="E748" s="829"/>
      <c r="F748" s="829"/>
      <c r="G748" s="829"/>
      <c r="H748" s="829"/>
      <c r="I748" s="829"/>
      <c r="J748" s="829"/>
      <c r="K748" s="829"/>
      <c r="L748" s="829"/>
      <c r="M748" s="829"/>
      <c r="N748" s="829"/>
      <c r="O748" s="829"/>
      <c r="P748" s="829"/>
      <c r="Q748" s="829"/>
      <c r="R748" s="829"/>
      <c r="S748" s="829"/>
      <c r="T748" s="829"/>
      <c r="U748" s="829"/>
      <c r="V748" s="829"/>
      <c r="W748" s="829"/>
      <c r="X748" s="829"/>
      <c r="Y748" s="829"/>
      <c r="Z748" s="829"/>
      <c r="AA748" s="829"/>
      <c r="AB748" s="829"/>
      <c r="AC748" s="829"/>
      <c r="AD748" s="829"/>
    </row>
    <row r="749" spans="1:48" ht="24" customHeight="1">
      <c r="A749" s="169"/>
      <c r="B749" s="90"/>
      <c r="C749" s="830" t="s">
        <v>6031</v>
      </c>
      <c r="D749" s="830"/>
      <c r="E749" s="830"/>
      <c r="F749" s="830"/>
      <c r="G749" s="830"/>
      <c r="H749" s="830"/>
      <c r="I749" s="830"/>
      <c r="J749" s="830"/>
      <c r="K749" s="830"/>
      <c r="L749" s="830"/>
      <c r="M749" s="830"/>
      <c r="N749" s="830"/>
      <c r="O749" s="830"/>
      <c r="P749" s="830"/>
      <c r="Q749" s="830"/>
      <c r="R749" s="830"/>
      <c r="S749" s="830"/>
      <c r="T749" s="830"/>
      <c r="U749" s="830"/>
      <c r="V749" s="830"/>
      <c r="W749" s="830"/>
      <c r="X749" s="830"/>
      <c r="Y749" s="830"/>
      <c r="Z749" s="830"/>
      <c r="AA749" s="830"/>
      <c r="AB749" s="830"/>
      <c r="AC749" s="830"/>
      <c r="AD749" s="830"/>
    </row>
    <row r="750" spans="1:48" ht="24" customHeight="1">
      <c r="A750" s="96"/>
      <c r="B750" s="90"/>
      <c r="C750" s="754" t="s">
        <v>6032</v>
      </c>
      <c r="D750" s="754"/>
      <c r="E750" s="754"/>
      <c r="F750" s="754"/>
      <c r="G750" s="754"/>
      <c r="H750" s="754"/>
      <c r="I750" s="754"/>
      <c r="J750" s="754"/>
      <c r="K750" s="754"/>
      <c r="L750" s="754"/>
      <c r="M750" s="754"/>
      <c r="N750" s="754"/>
      <c r="O750" s="754"/>
      <c r="P750" s="754"/>
      <c r="Q750" s="754"/>
      <c r="R750" s="754"/>
      <c r="S750" s="754"/>
      <c r="T750" s="754"/>
      <c r="U750" s="754"/>
      <c r="V750" s="754"/>
      <c r="W750" s="754"/>
      <c r="X750" s="754"/>
      <c r="Y750" s="754"/>
      <c r="Z750" s="754"/>
      <c r="AA750" s="754"/>
      <c r="AB750" s="754"/>
      <c r="AC750" s="754"/>
      <c r="AD750" s="754"/>
    </row>
    <row r="751" spans="1:48" ht="15" customHeight="1">
      <c r="A751" s="96"/>
      <c r="B751" s="90"/>
      <c r="C751" s="90"/>
      <c r="D751" s="90"/>
      <c r="E751" s="90"/>
      <c r="F751" s="90"/>
      <c r="G751" s="90"/>
      <c r="H751" s="90"/>
      <c r="I751" s="90"/>
      <c r="J751" s="90"/>
      <c r="K751" s="90"/>
      <c r="L751" s="90"/>
      <c r="M751" s="90"/>
      <c r="N751" s="90"/>
      <c r="O751" s="90"/>
      <c r="P751" s="90"/>
      <c r="Q751" s="90"/>
      <c r="R751" s="90"/>
      <c r="S751" s="90"/>
      <c r="T751" s="90"/>
      <c r="U751" s="90"/>
      <c r="V751" s="90"/>
      <c r="W751" s="90"/>
      <c r="X751" s="90"/>
      <c r="Y751" s="90"/>
      <c r="Z751" s="90"/>
      <c r="AA751" s="90"/>
      <c r="AB751" s="90"/>
      <c r="AC751" s="90"/>
      <c r="AD751" s="90"/>
    </row>
    <row r="752" spans="1:48" ht="36" customHeight="1">
      <c r="A752" s="108"/>
      <c r="B752" s="38"/>
      <c r="C752" s="797" t="s">
        <v>2581</v>
      </c>
      <c r="D752" s="798"/>
      <c r="E752" s="798"/>
      <c r="F752" s="798"/>
      <c r="G752" s="798"/>
      <c r="H752" s="798"/>
      <c r="I752" s="798"/>
      <c r="J752" s="798"/>
      <c r="K752" s="798"/>
      <c r="L752" s="799"/>
      <c r="M752" s="739" t="s">
        <v>6033</v>
      </c>
      <c r="N752" s="740"/>
      <c r="O752" s="740"/>
      <c r="P752" s="740"/>
      <c r="Q752" s="740"/>
      <c r="R752" s="740"/>
      <c r="S752" s="740"/>
      <c r="T752" s="740"/>
      <c r="U752" s="740"/>
      <c r="V752" s="740"/>
      <c r="W752" s="740"/>
      <c r="X752" s="740"/>
      <c r="Y752" s="740"/>
      <c r="Z752" s="740"/>
      <c r="AA752" s="740"/>
      <c r="AB752" s="740"/>
      <c r="AC752" s="740"/>
      <c r="AD752" s="741"/>
    </row>
    <row r="753" spans="1:42" ht="15" customHeight="1">
      <c r="A753" s="108"/>
      <c r="B753" s="38"/>
      <c r="C753" s="803"/>
      <c r="D753" s="804"/>
      <c r="E753" s="804"/>
      <c r="F753" s="804"/>
      <c r="G753" s="804"/>
      <c r="H753" s="804"/>
      <c r="I753" s="804"/>
      <c r="J753" s="804"/>
      <c r="K753" s="804"/>
      <c r="L753" s="805"/>
      <c r="M753" s="739" t="s">
        <v>2628</v>
      </c>
      <c r="N753" s="740"/>
      <c r="O753" s="740"/>
      <c r="P753" s="740"/>
      <c r="Q753" s="740"/>
      <c r="R753" s="741"/>
      <c r="S753" s="733" t="s">
        <v>2629</v>
      </c>
      <c r="T753" s="734"/>
      <c r="U753" s="734"/>
      <c r="V753" s="734"/>
      <c r="W753" s="734"/>
      <c r="X753" s="735"/>
      <c r="Y753" s="733" t="s">
        <v>2630</v>
      </c>
      <c r="Z753" s="734"/>
      <c r="AA753" s="734"/>
      <c r="AB753" s="734"/>
      <c r="AC753" s="734"/>
      <c r="AD753" s="735"/>
      <c r="AG753" t="s">
        <v>2586</v>
      </c>
      <c r="AH753" t="s">
        <v>4581</v>
      </c>
      <c r="AI753" t="s">
        <v>2590</v>
      </c>
      <c r="AJ753" t="s">
        <v>3163</v>
      </c>
      <c r="AK753" t="s">
        <v>4564</v>
      </c>
      <c r="AL753"/>
      <c r="AM753"/>
      <c r="AN753" t="s">
        <v>5291</v>
      </c>
      <c r="AO753"/>
      <c r="AP753"/>
    </row>
    <row r="754" spans="1:42" ht="15" customHeight="1">
      <c r="A754" s="108"/>
      <c r="B754" s="38"/>
      <c r="C754" s="92" t="s">
        <v>2516</v>
      </c>
      <c r="D754" s="796" t="str">
        <f>IF(CNSIPEE_2024_M2_Secc1!D42="","",CNSIPEE_2024_M2_Secc1!D42)</f>
        <v/>
      </c>
      <c r="E754" s="796"/>
      <c r="F754" s="796"/>
      <c r="G754" s="796"/>
      <c r="H754" s="796"/>
      <c r="I754" s="796"/>
      <c r="J754" s="796"/>
      <c r="K754" s="796"/>
      <c r="L754" s="796"/>
      <c r="M754" s="816"/>
      <c r="N754" s="738"/>
      <c r="O754" s="738"/>
      <c r="P754" s="738"/>
      <c r="Q754" s="738"/>
      <c r="R754" s="817"/>
      <c r="S754" s="816"/>
      <c r="T754" s="738"/>
      <c r="U754" s="738"/>
      <c r="V754" s="738"/>
      <c r="W754" s="738"/>
      <c r="X754" s="817"/>
      <c r="Y754" s="816"/>
      <c r="Z754" s="738"/>
      <c r="AA754" s="738"/>
      <c r="AB754" s="738"/>
      <c r="AC754" s="738"/>
      <c r="AD754" s="817"/>
      <c r="AG754">
        <f>IF(OR($S707=0,$S707="NS",$S707="NA"),0,IF(OR(COUNTBLANK(D754:AD754)=23,COUNTBLANK(D754:AD754)=27),0,1))</f>
        <v>0</v>
      </c>
      <c r="AH754">
        <f t="shared" ref="AH754:AH761" si="563">IF(OR($S707=0,$S707="NS",$S707="NA"),IF(COUNTBLANK(M754:AD754)=18,0,1),0)</f>
        <v>0</v>
      </c>
      <c r="AI754">
        <f t="shared" ref="AI754:AI761" si="564">COUNTIF(S754:AD754,"NS")</f>
        <v>0</v>
      </c>
      <c r="AJ754">
        <f t="shared" ref="AJ754:AJ761" si="565">SUM(S754:AD754)</f>
        <v>0</v>
      </c>
      <c r="AK754">
        <f>IF(COUNTIF(M754:AD754,"NA")=3,0,IF(COUNTA(M754:AD754)=0,0,IF(OR(AND(M754=0,AI754&gt;0),AND(M754="ns",AJ754&gt;0),AND(M754="ns",AI754=0,AJ754=0)),1,IF(OR(AND(M754&gt;0,AI754=2),AND(M754="ns",AI754=2),AND(M754="ns",AJ754=0,AI754&gt;0),M754=AJ754),0,1))))</f>
        <v>0</v>
      </c>
      <c r="AL754"/>
      <c r="AM754"/>
      <c r="AN754" cm="1">
        <f t="array" ref="AN754">IF(OR($S707=0,$S707="NS",$S707="NA"),0,IF(OR(M754={"NS","NA"},S707={"NS","NA"}),0,IF(M754&lt;=S707,0,1)))</f>
        <v>0</v>
      </c>
      <c r="AO754" cm="1">
        <f t="array" ref="AO754">IF(OR($S707=0,$S707="NS",$S707="NA"),0,IF(OR(S754={"NS","NA"},W707={"NS","NA"}),0,IF(S754&lt;=W707,0,1)))</f>
        <v>0</v>
      </c>
      <c r="AP754" cm="1">
        <f t="array" ref="AP754">IF(OR($S707=0,$S707="NS",$S707="NA"),0,IF(OR(Y754={"NS","NA"},AA707={"NS","NA"}),0,IF(Y754&lt;=AA707,0,1)))</f>
        <v>0</v>
      </c>
    </row>
    <row r="755" spans="1:42">
      <c r="A755" s="108"/>
      <c r="B755" s="38"/>
      <c r="C755" s="44" t="s">
        <v>2517</v>
      </c>
      <c r="D755" s="796" t="str">
        <f>IF(CNSIPEE_2024_M2_Secc1!D43="","",CNSIPEE_2024_M2_Secc1!D43)</f>
        <v/>
      </c>
      <c r="E755" s="796"/>
      <c r="F755" s="796"/>
      <c r="G755" s="796"/>
      <c r="H755" s="796"/>
      <c r="I755" s="796"/>
      <c r="J755" s="796"/>
      <c r="K755" s="796"/>
      <c r="L755" s="796"/>
      <c r="M755" s="816"/>
      <c r="N755" s="738"/>
      <c r="O755" s="738"/>
      <c r="P755" s="738"/>
      <c r="Q755" s="738"/>
      <c r="R755" s="817"/>
      <c r="S755" s="816"/>
      <c r="T755" s="738"/>
      <c r="U755" s="738"/>
      <c r="V755" s="738"/>
      <c r="W755" s="738"/>
      <c r="X755" s="817"/>
      <c r="Y755" s="816"/>
      <c r="Z755" s="738"/>
      <c r="AA755" s="738"/>
      <c r="AB755" s="738"/>
      <c r="AC755" s="738"/>
      <c r="AD755" s="817"/>
      <c r="AG755">
        <f t="shared" ref="AG755:AG761" si="566">IF(OR($S708=0,$S708="NS",$S708="NA"),0,IF(OR(COUNTBLANK(D755:AD755)=23,COUNTBLANK(D755:AD755)=27),0,1))</f>
        <v>0</v>
      </c>
      <c r="AH755">
        <f t="shared" si="563"/>
        <v>0</v>
      </c>
      <c r="AI755">
        <f t="shared" si="564"/>
        <v>0</v>
      </c>
      <c r="AJ755">
        <f t="shared" si="565"/>
        <v>0</v>
      </c>
      <c r="AK755">
        <f t="shared" ref="AK755:AK761" si="567">IF(COUNTIF(M755:AD755,"NA")=3,0,IF(COUNTA(M755:AD755)=0,0,IF(OR(AND(M755=0,AI755&gt;0),AND(M755="ns",AJ755&gt;0),AND(M755="ns",AI755=0,AJ755=0)),1,IF(OR(AND(M755&gt;0,AI755=2),AND(M755="ns",AI755=2),AND(M755="ns",AJ755=0,AI755&gt;0),M755=AJ755),0,1))))</f>
        <v>0</v>
      </c>
      <c r="AL755"/>
      <c r="AM755"/>
      <c r="AN755" cm="1">
        <f t="array" ref="AN755">IF(OR($S708=0,$S708="NS",$S708="NA"),0,IF(OR(M755={"NS","NA"},S708={"NS","NA"}),0,IF(M755&lt;=S708,0,1)))</f>
        <v>0</v>
      </c>
      <c r="AO755" cm="1">
        <f t="array" ref="AO755">IF(OR($S708=0,$S708="NS",$S708="NA"),0,IF(OR(S755={"NS","NA"},W708={"NS","NA"}),0,IF(S755&lt;=W708,0,1)))</f>
        <v>0</v>
      </c>
      <c r="AP755" cm="1">
        <f t="array" ref="AP755">IF(OR($S708=0,$S708="NS",$S708="NA"),0,IF(OR(Y755={"NS","NA"},AA708={"NS","NA"}),0,IF(Y755&lt;=AA708,0,1)))</f>
        <v>0</v>
      </c>
    </row>
    <row r="756" spans="1:42">
      <c r="A756" s="108"/>
      <c r="B756" s="38"/>
      <c r="C756" s="44" t="s">
        <v>2518</v>
      </c>
      <c r="D756" s="796" t="str">
        <f>IF(CNSIPEE_2024_M2_Secc1!D44="","",CNSIPEE_2024_M2_Secc1!D44)</f>
        <v/>
      </c>
      <c r="E756" s="796"/>
      <c r="F756" s="796"/>
      <c r="G756" s="796"/>
      <c r="H756" s="796"/>
      <c r="I756" s="796"/>
      <c r="J756" s="796"/>
      <c r="K756" s="796"/>
      <c r="L756" s="796"/>
      <c r="M756" s="816"/>
      <c r="N756" s="738"/>
      <c r="O756" s="738"/>
      <c r="P756" s="738"/>
      <c r="Q756" s="738"/>
      <c r="R756" s="817"/>
      <c r="S756" s="816"/>
      <c r="T756" s="738"/>
      <c r="U756" s="738"/>
      <c r="V756" s="738"/>
      <c r="W756" s="738"/>
      <c r="X756" s="817"/>
      <c r="Y756" s="816"/>
      <c r="Z756" s="738"/>
      <c r="AA756" s="738"/>
      <c r="AB756" s="738"/>
      <c r="AC756" s="738"/>
      <c r="AD756" s="817"/>
      <c r="AG756">
        <f t="shared" si="566"/>
        <v>0</v>
      </c>
      <c r="AH756">
        <f t="shared" si="563"/>
        <v>0</v>
      </c>
      <c r="AI756">
        <f t="shared" si="564"/>
        <v>0</v>
      </c>
      <c r="AJ756">
        <f t="shared" si="565"/>
        <v>0</v>
      </c>
      <c r="AK756">
        <f t="shared" si="567"/>
        <v>0</v>
      </c>
      <c r="AL756"/>
      <c r="AM756"/>
      <c r="AN756" cm="1">
        <f t="array" ref="AN756">IF(OR($S709=0,$S709="NS",$S709="NA"),0,IF(OR(M756={"NS","NA"},S709={"NS","NA"}),0,IF(M756&lt;=S709,0,1)))</f>
        <v>0</v>
      </c>
      <c r="AO756" cm="1">
        <f t="array" ref="AO756">IF(OR($S709=0,$S709="NS",$S709="NA"),0,IF(OR(S756={"NS","NA"},W709={"NS","NA"}),0,IF(S756&lt;=W709,0,1)))</f>
        <v>0</v>
      </c>
      <c r="AP756" cm="1">
        <f t="array" ref="AP756">IF(OR($S709=0,$S709="NS",$S709="NA"),0,IF(OR(Y756={"NS","NA"},AA709={"NS","NA"}),0,IF(Y756&lt;=AA709,0,1)))</f>
        <v>0</v>
      </c>
    </row>
    <row r="757" spans="1:42">
      <c r="A757" s="108"/>
      <c r="B757" s="38"/>
      <c r="C757" s="44" t="s">
        <v>2519</v>
      </c>
      <c r="D757" s="796" t="str">
        <f>IF(CNSIPEE_2024_M2_Secc1!D45="","",CNSIPEE_2024_M2_Secc1!D45)</f>
        <v/>
      </c>
      <c r="E757" s="796"/>
      <c r="F757" s="796"/>
      <c r="G757" s="796"/>
      <c r="H757" s="796"/>
      <c r="I757" s="796"/>
      <c r="J757" s="796"/>
      <c r="K757" s="796"/>
      <c r="L757" s="796"/>
      <c r="M757" s="816"/>
      <c r="N757" s="738"/>
      <c r="O757" s="738"/>
      <c r="P757" s="738"/>
      <c r="Q757" s="738"/>
      <c r="R757" s="817"/>
      <c r="S757" s="816"/>
      <c r="T757" s="738"/>
      <c r="U757" s="738"/>
      <c r="V757" s="738"/>
      <c r="W757" s="738"/>
      <c r="X757" s="817"/>
      <c r="Y757" s="816"/>
      <c r="Z757" s="738"/>
      <c r="AA757" s="738"/>
      <c r="AB757" s="738"/>
      <c r="AC757" s="738"/>
      <c r="AD757" s="817"/>
      <c r="AG757">
        <f t="shared" si="566"/>
        <v>0</v>
      </c>
      <c r="AH757">
        <f t="shared" si="563"/>
        <v>0</v>
      </c>
      <c r="AI757">
        <f t="shared" si="564"/>
        <v>0</v>
      </c>
      <c r="AJ757">
        <f t="shared" si="565"/>
        <v>0</v>
      </c>
      <c r="AK757">
        <f t="shared" si="567"/>
        <v>0</v>
      </c>
      <c r="AL757"/>
      <c r="AM757"/>
      <c r="AN757" cm="1">
        <f t="array" ref="AN757">IF(OR($S710=0,$S710="NS",$S710="NA"),0,IF(OR(M757={"NS","NA"},S710={"NS","NA"}),0,IF(M757&lt;=S710,0,1)))</f>
        <v>0</v>
      </c>
      <c r="AO757" cm="1">
        <f t="array" ref="AO757">IF(OR($S710=0,$S710="NS",$S710="NA"),0,IF(OR(S757={"NS","NA"},W710={"NS","NA"}),0,IF(S757&lt;=W710,0,1)))</f>
        <v>0</v>
      </c>
      <c r="AP757" cm="1">
        <f t="array" ref="AP757">IF(OR($S710=0,$S710="NS",$S710="NA"),0,IF(OR(Y757={"NS","NA"},AA710={"NS","NA"}),0,IF(Y757&lt;=AA710,0,1)))</f>
        <v>0</v>
      </c>
    </row>
    <row r="758" spans="1:42">
      <c r="A758" s="108"/>
      <c r="B758" s="38"/>
      <c r="C758" s="44" t="s">
        <v>2520</v>
      </c>
      <c r="D758" s="796" t="str">
        <f>IF(CNSIPEE_2024_M2_Secc1!D46="","",CNSIPEE_2024_M2_Secc1!D46)</f>
        <v/>
      </c>
      <c r="E758" s="796"/>
      <c r="F758" s="796"/>
      <c r="G758" s="796"/>
      <c r="H758" s="796"/>
      <c r="I758" s="796"/>
      <c r="J758" s="796"/>
      <c r="K758" s="796"/>
      <c r="L758" s="796"/>
      <c r="M758" s="816"/>
      <c r="N758" s="738"/>
      <c r="O758" s="738"/>
      <c r="P758" s="738"/>
      <c r="Q758" s="738"/>
      <c r="R758" s="817"/>
      <c r="S758" s="816"/>
      <c r="T758" s="738"/>
      <c r="U758" s="738"/>
      <c r="V758" s="738"/>
      <c r="W758" s="738"/>
      <c r="X758" s="817"/>
      <c r="Y758" s="816"/>
      <c r="Z758" s="738"/>
      <c r="AA758" s="738"/>
      <c r="AB758" s="738"/>
      <c r="AC758" s="738"/>
      <c r="AD758" s="817"/>
      <c r="AG758">
        <f t="shared" si="566"/>
        <v>0</v>
      </c>
      <c r="AH758">
        <f t="shared" si="563"/>
        <v>0</v>
      </c>
      <c r="AI758">
        <f t="shared" si="564"/>
        <v>0</v>
      </c>
      <c r="AJ758">
        <f t="shared" si="565"/>
        <v>0</v>
      </c>
      <c r="AK758">
        <f t="shared" si="567"/>
        <v>0</v>
      </c>
      <c r="AL758"/>
      <c r="AM758"/>
      <c r="AN758" cm="1">
        <f t="array" ref="AN758">IF(OR($S711=0,$S711="NS",$S711="NA"),0,IF(OR(M758={"NS","NA"},S711={"NS","NA"}),0,IF(M758&lt;=S711,0,1)))</f>
        <v>0</v>
      </c>
      <c r="AO758" cm="1">
        <f t="array" ref="AO758">IF(OR($S711=0,$S711="NS",$S711="NA"),0,IF(OR(S758={"NS","NA"},W711={"NS","NA"}),0,IF(S758&lt;=W711,0,1)))</f>
        <v>0</v>
      </c>
      <c r="AP758" cm="1">
        <f t="array" ref="AP758">IF(OR($S711=0,$S711="NS",$S711="NA"),0,IF(OR(Y758={"NS","NA"},AA711={"NS","NA"}),0,IF(Y758&lt;=AA711,0,1)))</f>
        <v>0</v>
      </c>
    </row>
    <row r="759" spans="1:42">
      <c r="A759" s="108"/>
      <c r="B759" s="38"/>
      <c r="C759" s="44" t="s">
        <v>2521</v>
      </c>
      <c r="D759" s="796" t="str">
        <f>IF(CNSIPEE_2024_M2_Secc1!D47="","",CNSIPEE_2024_M2_Secc1!D47)</f>
        <v/>
      </c>
      <c r="E759" s="796"/>
      <c r="F759" s="796"/>
      <c r="G759" s="796"/>
      <c r="H759" s="796"/>
      <c r="I759" s="796"/>
      <c r="J759" s="796"/>
      <c r="K759" s="796"/>
      <c r="L759" s="796"/>
      <c r="M759" s="816"/>
      <c r="N759" s="738"/>
      <c r="O759" s="738"/>
      <c r="P759" s="738"/>
      <c r="Q759" s="738"/>
      <c r="R759" s="817"/>
      <c r="S759" s="816"/>
      <c r="T759" s="738"/>
      <c r="U759" s="738"/>
      <c r="V759" s="738"/>
      <c r="W759" s="738"/>
      <c r="X759" s="817"/>
      <c r="Y759" s="816"/>
      <c r="Z759" s="738"/>
      <c r="AA759" s="738"/>
      <c r="AB759" s="738"/>
      <c r="AC759" s="738"/>
      <c r="AD759" s="817"/>
      <c r="AG759">
        <f t="shared" si="566"/>
        <v>0</v>
      </c>
      <c r="AH759">
        <f t="shared" si="563"/>
        <v>0</v>
      </c>
      <c r="AI759">
        <f t="shared" si="564"/>
        <v>0</v>
      </c>
      <c r="AJ759">
        <f t="shared" si="565"/>
        <v>0</v>
      </c>
      <c r="AK759">
        <f t="shared" si="567"/>
        <v>0</v>
      </c>
      <c r="AL759"/>
      <c r="AM759"/>
      <c r="AN759" cm="1">
        <f t="array" ref="AN759">IF(OR($S712=0,$S712="NS",$S712="NA"),0,IF(OR(M759={"NS","NA"},S712={"NS","NA"}),0,IF(M759&lt;=S712,0,1)))</f>
        <v>0</v>
      </c>
      <c r="AO759" cm="1">
        <f t="array" ref="AO759">IF(OR($S712=0,$S712="NS",$S712="NA"),0,IF(OR(S759={"NS","NA"},W712={"NS","NA"}),0,IF(S759&lt;=W712,0,1)))</f>
        <v>0</v>
      </c>
      <c r="AP759" cm="1">
        <f t="array" ref="AP759">IF(OR($S712=0,$S712="NS",$S712="NA"),0,IF(OR(Y759={"NS","NA"},AA712={"NS","NA"}),0,IF(Y759&lt;=AA712,0,1)))</f>
        <v>0</v>
      </c>
    </row>
    <row r="760" spans="1:42">
      <c r="A760" s="108"/>
      <c r="B760" s="38"/>
      <c r="C760" s="44" t="s">
        <v>2522</v>
      </c>
      <c r="D760" s="796" t="str">
        <f>IF(CNSIPEE_2024_M2_Secc1!D48="","",CNSIPEE_2024_M2_Secc1!D48)</f>
        <v/>
      </c>
      <c r="E760" s="796"/>
      <c r="F760" s="796"/>
      <c r="G760" s="796"/>
      <c r="H760" s="796"/>
      <c r="I760" s="796"/>
      <c r="J760" s="796"/>
      <c r="K760" s="796"/>
      <c r="L760" s="796"/>
      <c r="M760" s="816"/>
      <c r="N760" s="738"/>
      <c r="O760" s="738"/>
      <c r="P760" s="738"/>
      <c r="Q760" s="738"/>
      <c r="R760" s="817"/>
      <c r="S760" s="816"/>
      <c r="T760" s="738"/>
      <c r="U760" s="738"/>
      <c r="V760" s="738"/>
      <c r="W760" s="738"/>
      <c r="X760" s="817"/>
      <c r="Y760" s="816"/>
      <c r="Z760" s="738"/>
      <c r="AA760" s="738"/>
      <c r="AB760" s="738"/>
      <c r="AC760" s="738"/>
      <c r="AD760" s="817"/>
      <c r="AG760">
        <f t="shared" si="566"/>
        <v>0</v>
      </c>
      <c r="AH760">
        <f t="shared" si="563"/>
        <v>0</v>
      </c>
      <c r="AI760">
        <f t="shared" si="564"/>
        <v>0</v>
      </c>
      <c r="AJ760">
        <f t="shared" si="565"/>
        <v>0</v>
      </c>
      <c r="AK760">
        <f t="shared" si="567"/>
        <v>0</v>
      </c>
      <c r="AL760"/>
      <c r="AM760"/>
      <c r="AN760" cm="1">
        <f t="array" ref="AN760">IF(OR($S713=0,$S713="NS",$S713="NA"),0,IF(OR(M760={"NS","NA"},S713={"NS","NA"}),0,IF(M760&lt;=S713,0,1)))</f>
        <v>0</v>
      </c>
      <c r="AO760" cm="1">
        <f t="array" ref="AO760">IF(OR($S713=0,$S713="NS",$S713="NA"),0,IF(OR(S760={"NS","NA"},W713={"NS","NA"}),0,IF(S760&lt;=W713,0,1)))</f>
        <v>0</v>
      </c>
      <c r="AP760" cm="1">
        <f t="array" ref="AP760">IF(OR($S713=0,$S713="NS",$S713="NA"),0,IF(OR(Y760={"NS","NA"},AA713={"NS","NA"}),0,IF(Y760&lt;=AA713,0,1)))</f>
        <v>0</v>
      </c>
    </row>
    <row r="761" spans="1:42">
      <c r="A761" s="108"/>
      <c r="B761" s="38"/>
      <c r="C761" s="44" t="s">
        <v>2523</v>
      </c>
      <c r="D761" s="796" t="str">
        <f>IF(CNSIPEE_2024_M2_Secc1!D49="","",CNSIPEE_2024_M2_Secc1!D49)</f>
        <v/>
      </c>
      <c r="E761" s="796"/>
      <c r="F761" s="796"/>
      <c r="G761" s="796"/>
      <c r="H761" s="796"/>
      <c r="I761" s="796"/>
      <c r="J761" s="796"/>
      <c r="K761" s="796"/>
      <c r="L761" s="796"/>
      <c r="M761" s="816"/>
      <c r="N761" s="738"/>
      <c r="O761" s="738"/>
      <c r="P761" s="738"/>
      <c r="Q761" s="738"/>
      <c r="R761" s="817"/>
      <c r="S761" s="816"/>
      <c r="T761" s="738"/>
      <c r="U761" s="738"/>
      <c r="V761" s="738"/>
      <c r="W761" s="738"/>
      <c r="X761" s="817"/>
      <c r="Y761" s="816"/>
      <c r="Z761" s="738"/>
      <c r="AA761" s="738"/>
      <c r="AB761" s="738"/>
      <c r="AC761" s="738"/>
      <c r="AD761" s="817"/>
      <c r="AG761">
        <f t="shared" si="566"/>
        <v>0</v>
      </c>
      <c r="AH761">
        <f t="shared" si="563"/>
        <v>0</v>
      </c>
      <c r="AI761">
        <f t="shared" si="564"/>
        <v>0</v>
      </c>
      <c r="AJ761">
        <f t="shared" si="565"/>
        <v>0</v>
      </c>
      <c r="AK761">
        <f t="shared" si="567"/>
        <v>0</v>
      </c>
      <c r="AL761"/>
      <c r="AM761"/>
      <c r="AN761" cm="1">
        <f t="array" ref="AN761">IF(OR($S714=0,$S714="NS",$S714="NA"),0,IF(OR(M761={"NS","NA"},S714={"NS","NA"}),0,IF(M761&lt;=S714,0,1)))</f>
        <v>0</v>
      </c>
      <c r="AO761" cm="1">
        <f t="array" ref="AO761">IF(OR($S714=0,$S714="NS",$S714="NA"),0,IF(OR(S761={"NS","NA"},W714={"NS","NA"}),0,IF(S761&lt;=W714,0,1)))</f>
        <v>0</v>
      </c>
      <c r="AP761" cm="1">
        <f t="array" ref="AP761">IF(OR($S714=0,$S714="NS",$S714="NA"),0,IF(OR(Y761={"NS","NA"},AA714={"NS","NA"}),0,IF(Y761&lt;=AA714,0,1)))</f>
        <v>0</v>
      </c>
    </row>
    <row r="762" spans="1:42">
      <c r="A762" s="108"/>
      <c r="B762" s="38"/>
      <c r="C762" s="84"/>
      <c r="D762" s="203"/>
      <c r="E762" s="203"/>
      <c r="F762" s="203"/>
      <c r="G762" s="203"/>
      <c r="H762" s="203"/>
      <c r="I762" s="203"/>
      <c r="J762" s="203"/>
      <c r="K762" s="84"/>
      <c r="L762" s="117" t="s">
        <v>2649</v>
      </c>
      <c r="M762" s="736">
        <f>IF(AND(SUM(M754:M761)=0,COUNTIF(M754:M761,"NS")&gt;0),"NS",IF(AND(SUM(M754:M761)=0,COUNTIF(M754:M761,0)&gt;0),0,IF(AND(SUM(M754:M761)=0,COUNTIF(M754:M761,"NA")&gt;0),"NA",SUM(M754:M761))))</f>
        <v>0</v>
      </c>
      <c r="N762" s="1085"/>
      <c r="O762" s="1085"/>
      <c r="P762" s="1085"/>
      <c r="Q762" s="1085"/>
      <c r="R762" s="1086"/>
      <c r="S762" s="736">
        <f>IF(AND(SUM(S754:S761)=0,COUNTIF(S754:S761,"NS")&gt;0),"NS",IF(AND(SUM(S754:S761)=0,COUNTIF(S754:S761,0)&gt;0),0,IF(AND(SUM(S754:S761)=0,COUNTIF(S754:S761,"NA")&gt;0),"NA",SUM(S754:S761))))</f>
        <v>0</v>
      </c>
      <c r="T762" s="1085"/>
      <c r="U762" s="1085"/>
      <c r="V762" s="1085"/>
      <c r="W762" s="1085"/>
      <c r="X762" s="1086"/>
      <c r="Y762" s="736">
        <f>IF(AND(SUM(Y754:Y761)=0,COUNTIF(Y754:Y761,"NS")&gt;0),"NS",IF(AND(SUM(Y754:Y761)=0,COUNTIF(Y754:Y761,0)&gt;0),0,IF(AND(SUM(Y754:Y761)=0,COUNTIF(Y754:Y761,"NA")&gt;0),"NA",SUM(Y754:Y761))))</f>
        <v>0</v>
      </c>
      <c r="Z762" s="1085"/>
      <c r="AA762" s="1085"/>
      <c r="AB762" s="1085"/>
      <c r="AC762" s="1085"/>
      <c r="AD762" s="1086"/>
      <c r="AG762" s="507">
        <f>SUM(AG754:AG761)</f>
        <v>0</v>
      </c>
      <c r="AH762" s="507">
        <f>SUM(AH754:AH761)</f>
        <v>0</v>
      </c>
      <c r="AI762">
        <f>SUM(AI754:AI761)</f>
        <v>0</v>
      </c>
      <c r="AK762" s="506">
        <f>SUM(AK754:AK761)</f>
        <v>0</v>
      </c>
      <c r="AM762"/>
      <c r="AP762" s="506">
        <f>SUM(AN754:AP761)</f>
        <v>0</v>
      </c>
    </row>
    <row r="763" spans="1:42" ht="15" customHeight="1">
      <c r="A763" s="185"/>
      <c r="B763" s="90"/>
      <c r="C763" s="90"/>
      <c r="D763" s="90"/>
      <c r="E763" s="90"/>
      <c r="F763" s="90"/>
      <c r="G763" s="90"/>
      <c r="H763" s="90"/>
      <c r="I763" s="90"/>
      <c r="J763" s="90"/>
      <c r="K763" s="90"/>
      <c r="L763" s="90"/>
      <c r="M763" s="90"/>
      <c r="N763" s="90"/>
      <c r="O763" s="90"/>
      <c r="P763" s="90"/>
      <c r="Q763" s="90"/>
      <c r="R763" s="90"/>
      <c r="S763" s="90"/>
      <c r="T763" s="90"/>
      <c r="U763" s="90"/>
      <c r="V763" s="90"/>
      <c r="W763" s="90"/>
      <c r="X763" s="90"/>
      <c r="Y763" s="90"/>
      <c r="Z763" s="90"/>
      <c r="AA763" s="90"/>
      <c r="AB763" s="90"/>
      <c r="AC763" s="90"/>
      <c r="AD763" s="90"/>
    </row>
    <row r="764" spans="1:42" ht="24" customHeight="1">
      <c r="A764" s="185"/>
      <c r="B764" s="90"/>
      <c r="C764" s="754" t="s">
        <v>2611</v>
      </c>
      <c r="D764" s="754"/>
      <c r="E764" s="754"/>
      <c r="F764" s="754"/>
      <c r="G764" s="754"/>
      <c r="H764" s="754"/>
      <c r="I764" s="754"/>
      <c r="J764" s="754"/>
      <c r="K764" s="754"/>
      <c r="L764" s="754"/>
      <c r="M764" s="754"/>
      <c r="N764" s="754"/>
      <c r="O764" s="754"/>
      <c r="P764" s="754"/>
      <c r="Q764" s="754"/>
      <c r="R764" s="754"/>
      <c r="S764" s="754"/>
      <c r="T764" s="754"/>
      <c r="U764" s="754"/>
      <c r="V764" s="754"/>
      <c r="W764" s="754"/>
      <c r="X764" s="754"/>
      <c r="Y764" s="754"/>
      <c r="Z764" s="754"/>
      <c r="AA764" s="754"/>
      <c r="AB764" s="754"/>
      <c r="AC764" s="754"/>
      <c r="AD764" s="754"/>
    </row>
    <row r="765" spans="1:42" ht="60" customHeight="1">
      <c r="A765" s="185"/>
      <c r="B765" s="90"/>
      <c r="C765" s="851"/>
      <c r="D765" s="851"/>
      <c r="E765" s="851"/>
      <c r="F765" s="851"/>
      <c r="G765" s="851"/>
      <c r="H765" s="851"/>
      <c r="I765" s="851"/>
      <c r="J765" s="851"/>
      <c r="K765" s="851"/>
      <c r="L765" s="851"/>
      <c r="M765" s="851"/>
      <c r="N765" s="851"/>
      <c r="O765" s="851"/>
      <c r="P765" s="851"/>
      <c r="Q765" s="851"/>
      <c r="R765" s="851"/>
      <c r="S765" s="851"/>
      <c r="T765" s="851"/>
      <c r="U765" s="851"/>
      <c r="V765" s="851"/>
      <c r="W765" s="851"/>
      <c r="X765" s="851"/>
      <c r="Y765" s="851"/>
      <c r="Z765" s="851"/>
      <c r="AA765" s="851"/>
      <c r="AB765" s="851"/>
      <c r="AC765" s="851"/>
      <c r="AD765" s="851"/>
    </row>
    <row r="766" spans="1:42" ht="15" customHeight="1">
      <c r="A766" s="185"/>
      <c r="B766" s="794" t="str">
        <f>IF(AG762=0,"","Favor de ingresar toda la información requerida en la pregunta")</f>
        <v/>
      </c>
      <c r="C766" s="794"/>
      <c r="D766" s="794"/>
      <c r="E766" s="794"/>
      <c r="F766" s="794"/>
      <c r="G766" s="794"/>
      <c r="H766" s="794"/>
      <c r="I766" s="794"/>
      <c r="J766" s="794"/>
      <c r="K766" s="794"/>
      <c r="L766" s="794"/>
      <c r="M766" s="794"/>
      <c r="N766" s="794"/>
      <c r="O766" s="794"/>
      <c r="P766" s="794"/>
      <c r="Q766" s="794"/>
      <c r="R766" s="794"/>
      <c r="S766" s="794"/>
      <c r="T766" s="794"/>
      <c r="U766" s="794"/>
      <c r="V766" s="794"/>
      <c r="W766" s="794"/>
      <c r="X766" s="794"/>
      <c r="Y766" s="794"/>
      <c r="Z766" s="794"/>
      <c r="AA766" s="794"/>
      <c r="AB766" s="794"/>
      <c r="AC766" s="794"/>
      <c r="AD766" s="794"/>
      <c r="AE766" s="794"/>
    </row>
    <row r="767" spans="1:42" ht="15" customHeight="1">
      <c r="A767" s="185"/>
      <c r="B767" s="1087" t="str">
        <f>IF(COUNTIF(M754:AD761,"NS")&lt;&gt;0,"Alerta: debido a que cuenta con registros NS, debe proporcionar una justificación en el area de comentarios al final de la pregunta","")</f>
        <v/>
      </c>
      <c r="C767" s="1087"/>
      <c r="D767" s="1087"/>
      <c r="E767" s="1087"/>
      <c r="F767" s="1087"/>
      <c r="G767" s="1087"/>
      <c r="H767" s="1087"/>
      <c r="I767" s="1087"/>
      <c r="J767" s="1087"/>
      <c r="K767" s="1087"/>
      <c r="L767" s="1087"/>
      <c r="M767" s="1087"/>
      <c r="N767" s="1087"/>
      <c r="O767" s="1087"/>
      <c r="P767" s="1087"/>
      <c r="Q767" s="1087"/>
      <c r="R767" s="1087"/>
      <c r="S767" s="1087"/>
      <c r="T767" s="1087"/>
      <c r="U767" s="1087"/>
      <c r="V767" s="1087"/>
      <c r="W767" s="1087"/>
      <c r="X767" s="1087"/>
      <c r="Y767" s="1087"/>
      <c r="Z767" s="1087"/>
      <c r="AA767" s="1087"/>
      <c r="AB767" s="1087"/>
      <c r="AC767" s="1087"/>
      <c r="AD767" s="1087"/>
      <c r="AE767" s="1087"/>
    </row>
    <row r="768" spans="1:42" ht="15" customHeight="1">
      <c r="A768" s="185"/>
      <c r="B768" s="1003" t="str">
        <f>IF(AH762&gt;0,"Revise la información capturada, ya que tiene datos ingresados en celdas que están sombreadas","")</f>
        <v/>
      </c>
      <c r="C768" s="1003"/>
      <c r="D768" s="1003"/>
      <c r="E768" s="1003"/>
      <c r="F768" s="1003"/>
      <c r="G768" s="1003"/>
      <c r="H768" s="1003"/>
      <c r="I768" s="1003"/>
      <c r="J768" s="1003"/>
      <c r="K768" s="1003"/>
      <c r="L768" s="1003"/>
      <c r="M768" s="1003"/>
      <c r="N768" s="1003"/>
      <c r="O768" s="1003"/>
      <c r="P768" s="1003"/>
      <c r="Q768" s="1003"/>
      <c r="R768" s="1003"/>
      <c r="S768" s="1003"/>
      <c r="T768" s="1003"/>
      <c r="U768" s="1003"/>
      <c r="V768" s="1003"/>
      <c r="W768" s="1003"/>
      <c r="X768" s="1003"/>
      <c r="Y768" s="1003"/>
      <c r="Z768" s="1003"/>
      <c r="AA768" s="1003"/>
      <c r="AB768" s="1003"/>
      <c r="AC768" s="1003"/>
      <c r="AD768" s="1003"/>
      <c r="AE768" s="1003"/>
    </row>
    <row r="769" spans="1:48" ht="15" customHeight="1">
      <c r="A769" s="185"/>
      <c r="B769" s="1003" t="str">
        <f>IF(AK762&gt;0,"Favor de revisar la suma y consistencia de totales y/o subtotales por filas (numéricos y NS)","")</f>
        <v/>
      </c>
      <c r="C769" s="1003"/>
      <c r="D769" s="1003"/>
      <c r="E769" s="1003"/>
      <c r="F769" s="1003"/>
      <c r="G769" s="1003"/>
      <c r="H769" s="1003"/>
      <c r="I769" s="1003"/>
      <c r="J769" s="1003"/>
      <c r="K769" s="1003"/>
      <c r="L769" s="1003"/>
      <c r="M769" s="1003"/>
      <c r="N769" s="1003"/>
      <c r="O769" s="1003"/>
      <c r="P769" s="1003"/>
      <c r="Q769" s="1003"/>
      <c r="R769" s="1003"/>
      <c r="S769" s="1003"/>
      <c r="T769" s="1003"/>
      <c r="U769" s="1003"/>
      <c r="V769" s="1003"/>
      <c r="W769" s="1003"/>
      <c r="X769" s="1003"/>
      <c r="Y769" s="1003"/>
      <c r="Z769" s="1003"/>
      <c r="AA769" s="1003"/>
      <c r="AB769" s="1003"/>
      <c r="AC769" s="1003"/>
      <c r="AD769" s="1003"/>
      <c r="AE769" s="1003"/>
    </row>
    <row r="770" spans="1:48" ht="15" customHeight="1">
      <c r="A770" s="185"/>
      <c r="B770" s="794" t="str">
        <f>IF(AP762&gt;0,"Favor de revisar la instrucción 2, debido a que no se cumplen con los criterios mencionados","")</f>
        <v/>
      </c>
      <c r="C770" s="794"/>
      <c r="D770" s="794"/>
      <c r="E770" s="794"/>
      <c r="F770" s="794"/>
      <c r="G770" s="794"/>
      <c r="H770" s="794"/>
      <c r="I770" s="794"/>
      <c r="J770" s="794"/>
      <c r="K770" s="794"/>
      <c r="L770" s="794"/>
      <c r="M770" s="794"/>
      <c r="N770" s="794"/>
      <c r="O770" s="794"/>
      <c r="P770" s="794"/>
      <c r="Q770" s="794"/>
      <c r="R770" s="794"/>
      <c r="S770" s="794"/>
      <c r="T770" s="794"/>
      <c r="U770" s="794"/>
      <c r="V770" s="794"/>
      <c r="W770" s="794"/>
      <c r="X770" s="794"/>
      <c r="Y770" s="794"/>
      <c r="Z770" s="794"/>
      <c r="AA770" s="794"/>
      <c r="AB770" s="794"/>
      <c r="AC770" s="794"/>
      <c r="AD770" s="794"/>
      <c r="AE770" s="794"/>
    </row>
    <row r="771" spans="1:48" ht="15" customHeight="1">
      <c r="A771" s="185"/>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c r="AA771" s="38"/>
      <c r="AB771" s="38"/>
      <c r="AC771" s="38"/>
      <c r="AD771" s="38"/>
      <c r="AE771"/>
    </row>
    <row r="772" spans="1:48" ht="36" customHeight="1">
      <c r="A772" s="49" t="s">
        <v>6034</v>
      </c>
      <c r="B772" s="829" t="s">
        <v>6035</v>
      </c>
      <c r="C772" s="829"/>
      <c r="D772" s="829"/>
      <c r="E772" s="829"/>
      <c r="F772" s="829"/>
      <c r="G772" s="829"/>
      <c r="H772" s="829"/>
      <c r="I772" s="829"/>
      <c r="J772" s="829"/>
      <c r="K772" s="829"/>
      <c r="L772" s="829"/>
      <c r="M772" s="829"/>
      <c r="N772" s="829"/>
      <c r="O772" s="829"/>
      <c r="P772" s="829"/>
      <c r="Q772" s="829"/>
      <c r="R772" s="829"/>
      <c r="S772" s="829"/>
      <c r="T772" s="829"/>
      <c r="U772" s="829"/>
      <c r="V772" s="829"/>
      <c r="W772" s="829"/>
      <c r="X772" s="829"/>
      <c r="Y772" s="829"/>
      <c r="Z772" s="829"/>
      <c r="AA772" s="829"/>
      <c r="AB772" s="829"/>
      <c r="AC772" s="829"/>
      <c r="AD772" s="829"/>
    </row>
    <row r="773" spans="1:48" ht="24" customHeight="1">
      <c r="A773" s="169"/>
      <c r="B773" s="90"/>
      <c r="C773" s="830" t="s">
        <v>6036</v>
      </c>
      <c r="D773" s="830"/>
      <c r="E773" s="830"/>
      <c r="F773" s="830"/>
      <c r="G773" s="830"/>
      <c r="H773" s="830"/>
      <c r="I773" s="830"/>
      <c r="J773" s="830"/>
      <c r="K773" s="830"/>
      <c r="L773" s="830"/>
      <c r="M773" s="830"/>
      <c r="N773" s="830"/>
      <c r="O773" s="830"/>
      <c r="P773" s="830"/>
      <c r="Q773" s="830"/>
      <c r="R773" s="830"/>
      <c r="S773" s="830"/>
      <c r="T773" s="830"/>
      <c r="U773" s="830"/>
      <c r="V773" s="830"/>
      <c r="W773" s="830"/>
      <c r="X773" s="830"/>
      <c r="Y773" s="830"/>
      <c r="Z773" s="830"/>
      <c r="AA773" s="830"/>
      <c r="AB773" s="830"/>
      <c r="AC773" s="830"/>
      <c r="AD773" s="830"/>
    </row>
    <row r="774" spans="1:48" ht="24" customHeight="1">
      <c r="A774" s="96"/>
      <c r="B774" s="90"/>
      <c r="C774" s="754" t="s">
        <v>6037</v>
      </c>
      <c r="D774" s="754"/>
      <c r="E774" s="754"/>
      <c r="F774" s="754"/>
      <c r="G774" s="754"/>
      <c r="H774" s="754"/>
      <c r="I774" s="754"/>
      <c r="J774" s="754"/>
      <c r="K774" s="754"/>
      <c r="L774" s="754"/>
      <c r="M774" s="754"/>
      <c r="N774" s="754"/>
      <c r="O774" s="754"/>
      <c r="P774" s="754"/>
      <c r="Q774" s="754"/>
      <c r="R774" s="754"/>
      <c r="S774" s="754"/>
      <c r="T774" s="754"/>
      <c r="U774" s="754"/>
      <c r="V774" s="754"/>
      <c r="W774" s="754"/>
      <c r="X774" s="754"/>
      <c r="Y774" s="754"/>
      <c r="Z774" s="754"/>
      <c r="AA774" s="754"/>
      <c r="AB774" s="754"/>
      <c r="AC774" s="754"/>
      <c r="AD774" s="754"/>
    </row>
    <row r="775" spans="1:48" ht="15" customHeight="1">
      <c r="A775" s="96"/>
      <c r="B775" s="90"/>
      <c r="C775" s="90"/>
      <c r="D775" s="90"/>
      <c r="E775" s="90"/>
      <c r="F775" s="90"/>
      <c r="G775" s="90"/>
      <c r="H775" s="90"/>
      <c r="I775" s="90"/>
      <c r="J775" s="90"/>
      <c r="K775" s="90"/>
      <c r="L775" s="90"/>
      <c r="M775" s="90"/>
      <c r="N775" s="90"/>
      <c r="O775" s="90"/>
      <c r="P775" s="90"/>
      <c r="Q775" s="90"/>
      <c r="R775" s="90"/>
      <c r="S775" s="90"/>
      <c r="T775" s="90"/>
      <c r="U775" s="90"/>
      <c r="V775" s="90"/>
      <c r="W775" s="90"/>
      <c r="X775" s="90"/>
      <c r="Y775" s="90"/>
      <c r="Z775" s="90"/>
      <c r="AA775" s="90"/>
      <c r="AB775" s="90"/>
      <c r="AC775" s="90"/>
      <c r="AD775" s="90"/>
    </row>
    <row r="776" spans="1:48" ht="36" customHeight="1">
      <c r="A776" s="108"/>
      <c r="B776" s="38"/>
      <c r="C776" s="797" t="s">
        <v>2581</v>
      </c>
      <c r="D776" s="798"/>
      <c r="E776" s="798"/>
      <c r="F776" s="798"/>
      <c r="G776" s="798"/>
      <c r="H776" s="798"/>
      <c r="I776" s="798"/>
      <c r="J776" s="798"/>
      <c r="K776" s="798"/>
      <c r="L776" s="799"/>
      <c r="M776" s="739" t="s">
        <v>6038</v>
      </c>
      <c r="N776" s="740"/>
      <c r="O776" s="740"/>
      <c r="P776" s="740"/>
      <c r="Q776" s="740"/>
      <c r="R776" s="740"/>
      <c r="S776" s="740"/>
      <c r="T776" s="740"/>
      <c r="U776" s="740"/>
      <c r="V776" s="740"/>
      <c r="W776" s="740"/>
      <c r="X776" s="740"/>
      <c r="Y776" s="740"/>
      <c r="Z776" s="740"/>
      <c r="AA776" s="740"/>
      <c r="AB776" s="740"/>
      <c r="AC776" s="740"/>
      <c r="AD776" s="741"/>
    </row>
    <row r="777" spans="1:48" ht="15" customHeight="1">
      <c r="A777" s="108"/>
      <c r="B777" s="38"/>
      <c r="C777" s="803"/>
      <c r="D777" s="804"/>
      <c r="E777" s="804"/>
      <c r="F777" s="804"/>
      <c r="G777" s="804"/>
      <c r="H777" s="804"/>
      <c r="I777" s="804"/>
      <c r="J777" s="804"/>
      <c r="K777" s="804"/>
      <c r="L777" s="805"/>
      <c r="M777" s="739" t="s">
        <v>2628</v>
      </c>
      <c r="N777" s="740"/>
      <c r="O777" s="740"/>
      <c r="P777" s="740"/>
      <c r="Q777" s="740"/>
      <c r="R777" s="741"/>
      <c r="S777" s="733" t="s">
        <v>2629</v>
      </c>
      <c r="T777" s="734"/>
      <c r="U777" s="734"/>
      <c r="V777" s="734"/>
      <c r="W777" s="734"/>
      <c r="X777" s="735"/>
      <c r="Y777" s="733" t="s">
        <v>2630</v>
      </c>
      <c r="Z777" s="734"/>
      <c r="AA777" s="734"/>
      <c r="AB777" s="734"/>
      <c r="AC777" s="734"/>
      <c r="AD777" s="735"/>
      <c r="AG777" t="s">
        <v>2586</v>
      </c>
      <c r="AH777" t="s">
        <v>4581</v>
      </c>
      <c r="AI777" t="s">
        <v>2590</v>
      </c>
      <c r="AJ777" t="s">
        <v>3163</v>
      </c>
      <c r="AK777" t="s">
        <v>4564</v>
      </c>
      <c r="AL777"/>
      <c r="AM777"/>
      <c r="AN777" t="s">
        <v>5291</v>
      </c>
      <c r="AO777"/>
      <c r="AP777"/>
      <c r="AQ777" t="s">
        <v>6039</v>
      </c>
      <c r="AR777"/>
      <c r="AS777"/>
      <c r="AT777" t="s">
        <v>6040</v>
      </c>
      <c r="AU777"/>
      <c r="AV777"/>
    </row>
    <row r="778" spans="1:48" ht="15" customHeight="1">
      <c r="A778" s="108"/>
      <c r="B778" s="38"/>
      <c r="C778" s="92" t="s">
        <v>2516</v>
      </c>
      <c r="D778" s="796" t="str">
        <f>IF(CNSIPEE_2024_M2_Secc1!D42="","",CNSIPEE_2024_M2_Secc1!D42)</f>
        <v/>
      </c>
      <c r="E778" s="796"/>
      <c r="F778" s="796"/>
      <c r="G778" s="796"/>
      <c r="H778" s="796"/>
      <c r="I778" s="796"/>
      <c r="J778" s="796"/>
      <c r="K778" s="796"/>
      <c r="L778" s="796"/>
      <c r="M778" s="816"/>
      <c r="N778" s="738"/>
      <c r="O778" s="738"/>
      <c r="P778" s="738"/>
      <c r="Q778" s="738"/>
      <c r="R778" s="817"/>
      <c r="S778" s="816"/>
      <c r="T778" s="738"/>
      <c r="U778" s="738"/>
      <c r="V778" s="738"/>
      <c r="W778" s="738"/>
      <c r="X778" s="817"/>
      <c r="Y778" s="816"/>
      <c r="Z778" s="738"/>
      <c r="AA778" s="738"/>
      <c r="AB778" s="738"/>
      <c r="AC778" s="738"/>
      <c r="AD778" s="817"/>
      <c r="AG778">
        <f>IF(OR($S707=0,$S707="NS",$S707="NA"),0,IF(OR(COUNTBLANK(D778:AD778)=23,COUNTBLANK(D778:AD778)=27),0,1))</f>
        <v>0</v>
      </c>
      <c r="AH778">
        <f t="shared" ref="AH778:AH785" si="568">IF(OR($S707=0,$S707="NS",$S707="NA"),IF(COUNTBLANK(M778:AD778)=18,0,1),0)</f>
        <v>0</v>
      </c>
      <c r="AI778">
        <f t="shared" ref="AI778:AI785" si="569">COUNTIF(S778:AD778,"NS")</f>
        <v>0</v>
      </c>
      <c r="AJ778">
        <f t="shared" ref="AJ778:AJ785" si="570">SUM(S778:AD778)</f>
        <v>0</v>
      </c>
      <c r="AK778">
        <f>IF(COUNTIF(M778:AD778,"NA")=3,0,IF(COUNTA(M778:AD778)=0,0,IF(OR(AND(M778=0,AI778&gt;0),AND(M778="ns",AJ778&gt;0),AND(M778="ns",AI778=0,AJ778=0)),1,IF(OR(AND(M778&gt;0,AI778=2),AND(M778="ns",AI778=2),AND(M778="ns",AJ778=0,AI778&gt;0),M778=AJ778),0,1))))</f>
        <v>0</v>
      </c>
      <c r="AL778"/>
      <c r="AM778"/>
      <c r="AN778" cm="1">
        <f t="array" ref="AN778">IF(OR($S707=0,$S707="NS",$S707="NA"),0,IF(OR(M778={"NS","NA"},S707={"NS","NA"}),0,IF(M778&lt;=S707,0,1)))</f>
        <v>0</v>
      </c>
      <c r="AO778" cm="1">
        <f t="array" ref="AO778">IF(OR($S707=0,$S707="NS",$S707="NA"),0,IF(OR(S778={"NS","NA"},W707={"NS","NA"}),0,IF(S778&lt;=W707,0,1)))</f>
        <v>0</v>
      </c>
      <c r="AP778" cm="1">
        <f t="array" ref="AP778">IF(OR($S707=0,$S707="NS",$S707="NA"),0,IF(OR(Y778={"NS","NA"},AA707={"NS","NA"}),0,IF(Y778&lt;=AA707,0,1)))</f>
        <v>0</v>
      </c>
      <c r="AQ778">
        <f t="shared" ref="AQ778:AQ785" si="571">IF(AND(SUM(M754,M778)=0,SUM(COUNTIF(M754,"NS"),COUNTIF(M778,"NS"))&gt;0),"NS",IF(AND(SUM(M754,M778)=0,SUM(COUNTIF(M754,0),COUNTIF(M778,0))&gt;0),0,IF(AND(SUM(M754,M778)=0,SUM(COUNTIF(M754,"NA"),COUNTIF(M778,"NA"))&gt;0),"NA",SUM(M754,M778))))</f>
        <v>0</v>
      </c>
      <c r="AR778">
        <f t="shared" ref="AR778:AR785" si="572">IF(AND(SUM(S754,S778)=0,SUM(COUNTIF(S754,"NS"),COUNTIF(S778,"NS"))&gt;0),"NS",IF(AND(SUM(S754,S778)=0,SUM(COUNTIF(S754,0),COUNTIF(S778,0))&gt;0),0,IF(AND(SUM(S754,S778)=0,SUM(COUNTIF(S754,"NA"),COUNTIF(S778,"NA"))&gt;0),"NA",SUM(S754,S778))))</f>
        <v>0</v>
      </c>
      <c r="AS778">
        <f t="shared" ref="AS778:AS785" si="573">IF(AND(SUM(Y754,Y778)=0,SUM(COUNTIF(Y754,"NS"),COUNTIF(Y778,"NS"))&gt;0),"NS",IF(AND(SUM(Y754,Y778)=0,SUM(COUNTIF(Y754,0),COUNTIF(Y778,0))&gt;0),0,IF(AND(SUM(Y754,Y778)=0,SUM(COUNTIF(Y754,"NA"),COUNTIF(Y778,"NA"))&gt;0),"NA",SUM(Y754,Y778))))</f>
        <v>0</v>
      </c>
      <c r="AT778" cm="1">
        <f t="array" ref="AT778">IF(OR($S707=0,$S707="NS",$S707="NA"),0,IF(OR(AQ778={"NS","NA"},S707={"NS","NA"}),0,IF(AQ778&lt;=S707,0,1)))</f>
        <v>0</v>
      </c>
      <c r="AU778" cm="1">
        <f t="array" ref="AU778">IF(OR($S707=0,$S707="NS",$S707="NA"),0,IF(OR(AR778={"NS","NA"},W707={"NS","NA"}),0,IF(AR778&lt;=W707,0,1)))</f>
        <v>0</v>
      </c>
      <c r="AV778" cm="1">
        <f t="array" ref="AV778">IF(OR($S707=0,$S707="NS",$S707="NA"),0,IF(OR(AS778={"NS","NA"},AA707={"NS","NA"}),0,IF(AS778&lt;=AA707,0,1)))</f>
        <v>0</v>
      </c>
    </row>
    <row r="779" spans="1:48" ht="15" customHeight="1">
      <c r="A779" s="108"/>
      <c r="B779" s="38"/>
      <c r="C779" s="44" t="s">
        <v>2517</v>
      </c>
      <c r="D779" s="796" t="str">
        <f>IF(CNSIPEE_2024_M2_Secc1!D43="","",CNSIPEE_2024_M2_Secc1!D43)</f>
        <v/>
      </c>
      <c r="E779" s="796"/>
      <c r="F779" s="796"/>
      <c r="G779" s="796"/>
      <c r="H779" s="796"/>
      <c r="I779" s="796"/>
      <c r="J779" s="796"/>
      <c r="K779" s="796"/>
      <c r="L779" s="796"/>
      <c r="M779" s="816"/>
      <c r="N779" s="738"/>
      <c r="O779" s="738"/>
      <c r="P779" s="738"/>
      <c r="Q779" s="738"/>
      <c r="R779" s="817"/>
      <c r="S779" s="816"/>
      <c r="T779" s="738"/>
      <c r="U779" s="738"/>
      <c r="V779" s="738"/>
      <c r="W779" s="738"/>
      <c r="X779" s="817"/>
      <c r="Y779" s="816"/>
      <c r="Z779" s="738"/>
      <c r="AA779" s="738"/>
      <c r="AB779" s="738"/>
      <c r="AC779" s="738"/>
      <c r="AD779" s="817"/>
      <c r="AG779">
        <f t="shared" ref="AG779:AG785" si="574">IF(OR($S708=0,$S708="NS",$S708="NA"),0,IF(OR(COUNTBLANK(D779:AD779)=23,COUNTBLANK(D779:AD779)=27),0,1))</f>
        <v>0</v>
      </c>
      <c r="AH779">
        <f t="shared" si="568"/>
        <v>0</v>
      </c>
      <c r="AI779">
        <f t="shared" si="569"/>
        <v>0</v>
      </c>
      <c r="AJ779">
        <f t="shared" si="570"/>
        <v>0</v>
      </c>
      <c r="AK779">
        <f t="shared" ref="AK779:AK785" si="575">IF(COUNTIF(M779:AD779,"NA")=3,0,IF(COUNTA(M779:AD779)=0,0,IF(OR(AND(M779=0,AI779&gt;0),AND(M779="ns",AJ779&gt;0),AND(M779="ns",AI779=0,AJ779=0)),1,IF(OR(AND(M779&gt;0,AI779=2),AND(M779="ns",AI779=2),AND(M779="ns",AJ779=0,AI779&gt;0),M779=AJ779),0,1))))</f>
        <v>0</v>
      </c>
      <c r="AL779"/>
      <c r="AM779"/>
      <c r="AN779" cm="1">
        <f t="array" ref="AN779">IF(OR($S708=0,$S708="NS",$S708="NA"),0,IF(OR(M779={"NS","NA"},S708={"NS","NA"}),0,IF(M779&lt;=S708,0,1)))</f>
        <v>0</v>
      </c>
      <c r="AO779" cm="1">
        <f t="array" ref="AO779">IF(OR($S708=0,$S708="NS",$S708="NA"),0,IF(OR(S779={"NS","NA"},W708={"NS","NA"}),0,IF(S779&lt;=W708,0,1)))</f>
        <v>0</v>
      </c>
      <c r="AP779" cm="1">
        <f t="array" ref="AP779">IF(OR($S708=0,$S708="NS",$S708="NA"),0,IF(OR(Y779={"NS","NA"},AA708={"NS","NA"}),0,IF(Y779&lt;=AA708,0,1)))</f>
        <v>0</v>
      </c>
      <c r="AQ779">
        <f t="shared" si="571"/>
        <v>0</v>
      </c>
      <c r="AR779">
        <f t="shared" si="572"/>
        <v>0</v>
      </c>
      <c r="AS779">
        <f t="shared" si="573"/>
        <v>0</v>
      </c>
      <c r="AT779" cm="1">
        <f t="array" ref="AT779">IF(OR($S708=0,$S708="NS",$S708="NA"),0,IF(OR(AQ779={"NS","NA"},S708={"NS","NA"}),0,IF(AQ779&lt;=S708,0,1)))</f>
        <v>0</v>
      </c>
      <c r="AU779" cm="1">
        <f t="array" ref="AU779">IF(OR($S708=0,$S708="NS",$S708="NA"),0,IF(OR(AR779={"NS","NA"},W708={"NS","NA"}),0,IF(AR779&lt;=W708,0,1)))</f>
        <v>0</v>
      </c>
      <c r="AV779" cm="1">
        <f t="array" ref="AV779">IF(OR($S708=0,$S708="NS",$S708="NA"),0,IF(OR(AS779={"NS","NA"},AA708={"NS","NA"}),0,IF(AS779&lt;=AA708,0,1)))</f>
        <v>0</v>
      </c>
    </row>
    <row r="780" spans="1:48" ht="15" customHeight="1">
      <c r="A780" s="108"/>
      <c r="B780" s="38"/>
      <c r="C780" s="44" t="s">
        <v>2518</v>
      </c>
      <c r="D780" s="796" t="str">
        <f>IF(CNSIPEE_2024_M2_Secc1!D44="","",CNSIPEE_2024_M2_Secc1!D44)</f>
        <v/>
      </c>
      <c r="E780" s="796"/>
      <c r="F780" s="796"/>
      <c r="G780" s="796"/>
      <c r="H780" s="796"/>
      <c r="I780" s="796"/>
      <c r="J780" s="796"/>
      <c r="K780" s="796"/>
      <c r="L780" s="796"/>
      <c r="M780" s="816"/>
      <c r="N780" s="738"/>
      <c r="O780" s="738"/>
      <c r="P780" s="738"/>
      <c r="Q780" s="738"/>
      <c r="R780" s="817"/>
      <c r="S780" s="816"/>
      <c r="T780" s="738"/>
      <c r="U780" s="738"/>
      <c r="V780" s="738"/>
      <c r="W780" s="738"/>
      <c r="X780" s="817"/>
      <c r="Y780" s="816"/>
      <c r="Z780" s="738"/>
      <c r="AA780" s="738"/>
      <c r="AB780" s="738"/>
      <c r="AC780" s="738"/>
      <c r="AD780" s="817"/>
      <c r="AG780">
        <f t="shared" si="574"/>
        <v>0</v>
      </c>
      <c r="AH780">
        <f t="shared" si="568"/>
        <v>0</v>
      </c>
      <c r="AI780">
        <f t="shared" si="569"/>
        <v>0</v>
      </c>
      <c r="AJ780">
        <f t="shared" si="570"/>
        <v>0</v>
      </c>
      <c r="AK780">
        <f t="shared" si="575"/>
        <v>0</v>
      </c>
      <c r="AL780"/>
      <c r="AM780"/>
      <c r="AN780" cm="1">
        <f t="array" ref="AN780">IF(OR($S709=0,$S709="NS",$S709="NA"),0,IF(OR(M780={"NS","NA"},S709={"NS","NA"}),0,IF(M780&lt;=S709,0,1)))</f>
        <v>0</v>
      </c>
      <c r="AO780" cm="1">
        <f t="array" ref="AO780">IF(OR($S709=0,$S709="NS",$S709="NA"),0,IF(OR(S780={"NS","NA"},W709={"NS","NA"}),0,IF(S780&lt;=W709,0,1)))</f>
        <v>0</v>
      </c>
      <c r="AP780" cm="1">
        <f t="array" ref="AP780">IF(OR($S709=0,$S709="NS",$S709="NA"),0,IF(OR(Y780={"NS","NA"},AA709={"NS","NA"}),0,IF(Y780&lt;=AA709,0,1)))</f>
        <v>0</v>
      </c>
      <c r="AQ780">
        <f t="shared" si="571"/>
        <v>0</v>
      </c>
      <c r="AR780">
        <f t="shared" si="572"/>
        <v>0</v>
      </c>
      <c r="AS780">
        <f t="shared" si="573"/>
        <v>0</v>
      </c>
      <c r="AT780" cm="1">
        <f t="array" ref="AT780">IF(OR($S709=0,$S709="NS",$S709="NA"),0,IF(OR(AQ780={"NS","NA"},S709={"NS","NA"}),0,IF(AQ780&lt;=S709,0,1)))</f>
        <v>0</v>
      </c>
      <c r="AU780" cm="1">
        <f t="array" ref="AU780">IF(OR($S709=0,$S709="NS",$S709="NA"),0,IF(OR(AR780={"NS","NA"},W709={"NS","NA"}),0,IF(AR780&lt;=W709,0,1)))</f>
        <v>0</v>
      </c>
      <c r="AV780" cm="1">
        <f t="array" ref="AV780">IF(OR($S709=0,$S709="NS",$S709="NA"),0,IF(OR(AS780={"NS","NA"},AA709={"NS","NA"}),0,IF(AS780&lt;=AA709,0,1)))</f>
        <v>0</v>
      </c>
    </row>
    <row r="781" spans="1:48" ht="15" customHeight="1">
      <c r="A781" s="108"/>
      <c r="B781" s="38"/>
      <c r="C781" s="44" t="s">
        <v>2519</v>
      </c>
      <c r="D781" s="796" t="str">
        <f>IF(CNSIPEE_2024_M2_Secc1!D45="","",CNSIPEE_2024_M2_Secc1!D45)</f>
        <v/>
      </c>
      <c r="E781" s="796"/>
      <c r="F781" s="796"/>
      <c r="G781" s="796"/>
      <c r="H781" s="796"/>
      <c r="I781" s="796"/>
      <c r="J781" s="796"/>
      <c r="K781" s="796"/>
      <c r="L781" s="796"/>
      <c r="M781" s="816"/>
      <c r="N781" s="738"/>
      <c r="O781" s="738"/>
      <c r="P781" s="738"/>
      <c r="Q781" s="738"/>
      <c r="R781" s="817"/>
      <c r="S781" s="816"/>
      <c r="T781" s="738"/>
      <c r="U781" s="738"/>
      <c r="V781" s="738"/>
      <c r="W781" s="738"/>
      <c r="X781" s="817"/>
      <c r="Y781" s="816"/>
      <c r="Z781" s="738"/>
      <c r="AA781" s="738"/>
      <c r="AB781" s="738"/>
      <c r="AC781" s="738"/>
      <c r="AD781" s="817"/>
      <c r="AG781">
        <f t="shared" si="574"/>
        <v>0</v>
      </c>
      <c r="AH781">
        <f t="shared" si="568"/>
        <v>0</v>
      </c>
      <c r="AI781">
        <f t="shared" si="569"/>
        <v>0</v>
      </c>
      <c r="AJ781">
        <f t="shared" si="570"/>
        <v>0</v>
      </c>
      <c r="AK781">
        <f t="shared" si="575"/>
        <v>0</v>
      </c>
      <c r="AL781"/>
      <c r="AM781"/>
      <c r="AN781" cm="1">
        <f t="array" ref="AN781">IF(OR($S710=0,$S710="NS",$S710="NA"),0,IF(OR(M781={"NS","NA"},S710={"NS","NA"}),0,IF(M781&lt;=S710,0,1)))</f>
        <v>0</v>
      </c>
      <c r="AO781" cm="1">
        <f t="array" ref="AO781">IF(OR($S710=0,$S710="NS",$S710="NA"),0,IF(OR(S781={"NS","NA"},W710={"NS","NA"}),0,IF(S781&lt;=W710,0,1)))</f>
        <v>0</v>
      </c>
      <c r="AP781" cm="1">
        <f t="array" ref="AP781">IF(OR($S710=0,$S710="NS",$S710="NA"),0,IF(OR(Y781={"NS","NA"},AA710={"NS","NA"}),0,IF(Y781&lt;=AA710,0,1)))</f>
        <v>0</v>
      </c>
      <c r="AQ781">
        <f t="shared" si="571"/>
        <v>0</v>
      </c>
      <c r="AR781">
        <f t="shared" si="572"/>
        <v>0</v>
      </c>
      <c r="AS781">
        <f t="shared" si="573"/>
        <v>0</v>
      </c>
      <c r="AT781" cm="1">
        <f t="array" ref="AT781">IF(OR($S710=0,$S710="NS",$S710="NA"),0,IF(OR(AQ781={"NS","NA"},S710={"NS","NA"}),0,IF(AQ781&lt;=S710,0,1)))</f>
        <v>0</v>
      </c>
      <c r="AU781" cm="1">
        <f t="array" ref="AU781">IF(OR($S710=0,$S710="NS",$S710="NA"),0,IF(OR(AR781={"NS","NA"},W710={"NS","NA"}),0,IF(AR781&lt;=W710,0,1)))</f>
        <v>0</v>
      </c>
      <c r="AV781" cm="1">
        <f t="array" ref="AV781">IF(OR($S710=0,$S710="NS",$S710="NA"),0,IF(OR(AS781={"NS","NA"},AA710={"NS","NA"}),0,IF(AS781&lt;=AA710,0,1)))</f>
        <v>0</v>
      </c>
    </row>
    <row r="782" spans="1:48" ht="15" customHeight="1">
      <c r="A782" s="108"/>
      <c r="B782" s="38"/>
      <c r="C782" s="44" t="s">
        <v>2520</v>
      </c>
      <c r="D782" s="796" t="str">
        <f>IF(CNSIPEE_2024_M2_Secc1!D46="","",CNSIPEE_2024_M2_Secc1!D46)</f>
        <v/>
      </c>
      <c r="E782" s="796"/>
      <c r="F782" s="796"/>
      <c r="G782" s="796"/>
      <c r="H782" s="796"/>
      <c r="I782" s="796"/>
      <c r="J782" s="796"/>
      <c r="K782" s="796"/>
      <c r="L782" s="796"/>
      <c r="M782" s="816"/>
      <c r="N782" s="738"/>
      <c r="O782" s="738"/>
      <c r="P782" s="738"/>
      <c r="Q782" s="738"/>
      <c r="R782" s="817"/>
      <c r="S782" s="816"/>
      <c r="T782" s="738"/>
      <c r="U782" s="738"/>
      <c r="V782" s="738"/>
      <c r="W782" s="738"/>
      <c r="X782" s="817"/>
      <c r="Y782" s="816"/>
      <c r="Z782" s="738"/>
      <c r="AA782" s="738"/>
      <c r="AB782" s="738"/>
      <c r="AC782" s="738"/>
      <c r="AD782" s="817"/>
      <c r="AG782">
        <f t="shared" si="574"/>
        <v>0</v>
      </c>
      <c r="AH782">
        <f t="shared" si="568"/>
        <v>0</v>
      </c>
      <c r="AI782">
        <f t="shared" si="569"/>
        <v>0</v>
      </c>
      <c r="AJ782">
        <f t="shared" si="570"/>
        <v>0</v>
      </c>
      <c r="AK782">
        <f t="shared" si="575"/>
        <v>0</v>
      </c>
      <c r="AL782"/>
      <c r="AM782"/>
      <c r="AN782" cm="1">
        <f t="array" ref="AN782">IF(OR($S711=0,$S711="NS",$S711="NA"),0,IF(OR(M782={"NS","NA"},S711={"NS","NA"}),0,IF(M782&lt;=S711,0,1)))</f>
        <v>0</v>
      </c>
      <c r="AO782" cm="1">
        <f t="array" ref="AO782">IF(OR($S711=0,$S711="NS",$S711="NA"),0,IF(OR(S782={"NS","NA"},W711={"NS","NA"}),0,IF(S782&lt;=W711,0,1)))</f>
        <v>0</v>
      </c>
      <c r="AP782" cm="1">
        <f t="array" ref="AP782">IF(OR($S711=0,$S711="NS",$S711="NA"),0,IF(OR(Y782={"NS","NA"},AA711={"NS","NA"}),0,IF(Y782&lt;=AA711,0,1)))</f>
        <v>0</v>
      </c>
      <c r="AQ782">
        <f t="shared" si="571"/>
        <v>0</v>
      </c>
      <c r="AR782">
        <f t="shared" si="572"/>
        <v>0</v>
      </c>
      <c r="AS782">
        <f t="shared" si="573"/>
        <v>0</v>
      </c>
      <c r="AT782" cm="1">
        <f t="array" ref="AT782">IF(OR($S711=0,$S711="NS",$S711="NA"),0,IF(OR(AQ782={"NS","NA"},S711={"NS","NA"}),0,IF(AQ782&lt;=S711,0,1)))</f>
        <v>0</v>
      </c>
      <c r="AU782" cm="1">
        <f t="array" ref="AU782">IF(OR($S711=0,$S711="NS",$S711="NA"),0,IF(OR(AR782={"NS","NA"},W711={"NS","NA"}),0,IF(AR782&lt;=W711,0,1)))</f>
        <v>0</v>
      </c>
      <c r="AV782" cm="1">
        <f t="array" ref="AV782">IF(OR($S711=0,$S711="NS",$S711="NA"),0,IF(OR(AS782={"NS","NA"},AA711={"NS","NA"}),0,IF(AS782&lt;=AA711,0,1)))</f>
        <v>0</v>
      </c>
    </row>
    <row r="783" spans="1:48" ht="15" customHeight="1">
      <c r="A783" s="108"/>
      <c r="B783" s="38"/>
      <c r="C783" s="44" t="s">
        <v>2521</v>
      </c>
      <c r="D783" s="796" t="str">
        <f>IF(CNSIPEE_2024_M2_Secc1!D47="","",CNSIPEE_2024_M2_Secc1!D47)</f>
        <v/>
      </c>
      <c r="E783" s="796"/>
      <c r="F783" s="796"/>
      <c r="G783" s="796"/>
      <c r="H783" s="796"/>
      <c r="I783" s="796"/>
      <c r="J783" s="796"/>
      <c r="K783" s="796"/>
      <c r="L783" s="796"/>
      <c r="M783" s="816"/>
      <c r="N783" s="738"/>
      <c r="O783" s="738"/>
      <c r="P783" s="738"/>
      <c r="Q783" s="738"/>
      <c r="R783" s="817"/>
      <c r="S783" s="816"/>
      <c r="T783" s="738"/>
      <c r="U783" s="738"/>
      <c r="V783" s="738"/>
      <c r="W783" s="738"/>
      <c r="X783" s="817"/>
      <c r="Y783" s="816"/>
      <c r="Z783" s="738"/>
      <c r="AA783" s="738"/>
      <c r="AB783" s="738"/>
      <c r="AC783" s="738"/>
      <c r="AD783" s="817"/>
      <c r="AG783">
        <f t="shared" si="574"/>
        <v>0</v>
      </c>
      <c r="AH783">
        <f t="shared" si="568"/>
        <v>0</v>
      </c>
      <c r="AI783">
        <f t="shared" si="569"/>
        <v>0</v>
      </c>
      <c r="AJ783">
        <f t="shared" si="570"/>
        <v>0</v>
      </c>
      <c r="AK783">
        <f t="shared" si="575"/>
        <v>0</v>
      </c>
      <c r="AL783"/>
      <c r="AM783"/>
      <c r="AN783" cm="1">
        <f t="array" ref="AN783">IF(OR($S712=0,$S712="NS",$S712="NA"),0,IF(OR(M783={"NS","NA"},S712={"NS","NA"}),0,IF(M783&lt;=S712,0,1)))</f>
        <v>0</v>
      </c>
      <c r="AO783" cm="1">
        <f t="array" ref="AO783">IF(OR($S712=0,$S712="NS",$S712="NA"),0,IF(OR(S783={"NS","NA"},W712={"NS","NA"}),0,IF(S783&lt;=W712,0,1)))</f>
        <v>0</v>
      </c>
      <c r="AP783" cm="1">
        <f t="array" ref="AP783">IF(OR($S712=0,$S712="NS",$S712="NA"),0,IF(OR(Y783={"NS","NA"},AA712={"NS","NA"}),0,IF(Y783&lt;=AA712,0,1)))</f>
        <v>0</v>
      </c>
      <c r="AQ783">
        <f t="shared" si="571"/>
        <v>0</v>
      </c>
      <c r="AR783">
        <f t="shared" si="572"/>
        <v>0</v>
      </c>
      <c r="AS783">
        <f t="shared" si="573"/>
        <v>0</v>
      </c>
      <c r="AT783" cm="1">
        <f t="array" ref="AT783">IF(OR($S712=0,$S712="NS",$S712="NA"),0,IF(OR(AQ783={"NS","NA"},S712={"NS","NA"}),0,IF(AQ783&lt;=S712,0,1)))</f>
        <v>0</v>
      </c>
      <c r="AU783" cm="1">
        <f t="array" ref="AU783">IF(OR($S712=0,$S712="NS",$S712="NA"),0,IF(OR(AR783={"NS","NA"},W712={"NS","NA"}),0,IF(AR783&lt;=W712,0,1)))</f>
        <v>0</v>
      </c>
      <c r="AV783" cm="1">
        <f t="array" ref="AV783">IF(OR($S712=0,$S712="NS",$S712="NA"),0,IF(OR(AS783={"NS","NA"},AA712={"NS","NA"}),0,IF(AS783&lt;=AA712,0,1)))</f>
        <v>0</v>
      </c>
    </row>
    <row r="784" spans="1:48" ht="15" customHeight="1">
      <c r="A784" s="108"/>
      <c r="B784" s="38"/>
      <c r="C784" s="44" t="s">
        <v>2522</v>
      </c>
      <c r="D784" s="796" t="str">
        <f>IF(CNSIPEE_2024_M2_Secc1!D48="","",CNSIPEE_2024_M2_Secc1!D48)</f>
        <v/>
      </c>
      <c r="E784" s="796"/>
      <c r="F784" s="796"/>
      <c r="G784" s="796"/>
      <c r="H784" s="796"/>
      <c r="I784" s="796"/>
      <c r="J784" s="796"/>
      <c r="K784" s="796"/>
      <c r="L784" s="796"/>
      <c r="M784" s="816"/>
      <c r="N784" s="738"/>
      <c r="O784" s="738"/>
      <c r="P784" s="738"/>
      <c r="Q784" s="738"/>
      <c r="R784" s="817"/>
      <c r="S784" s="816"/>
      <c r="T784" s="738"/>
      <c r="U784" s="738"/>
      <c r="V784" s="738"/>
      <c r="W784" s="738"/>
      <c r="X784" s="817"/>
      <c r="Y784" s="816"/>
      <c r="Z784" s="738"/>
      <c r="AA784" s="738"/>
      <c r="AB784" s="738"/>
      <c r="AC784" s="738"/>
      <c r="AD784" s="817"/>
      <c r="AG784">
        <f t="shared" si="574"/>
        <v>0</v>
      </c>
      <c r="AH784">
        <f t="shared" si="568"/>
        <v>0</v>
      </c>
      <c r="AI784">
        <f t="shared" si="569"/>
        <v>0</v>
      </c>
      <c r="AJ784">
        <f t="shared" si="570"/>
        <v>0</v>
      </c>
      <c r="AK784">
        <f t="shared" si="575"/>
        <v>0</v>
      </c>
      <c r="AL784"/>
      <c r="AM784"/>
      <c r="AN784" cm="1">
        <f t="array" ref="AN784">IF(OR($S713=0,$S713="NS",$S713="NA"),0,IF(OR(M784={"NS","NA"},S713={"NS","NA"}),0,IF(M784&lt;=S713,0,1)))</f>
        <v>0</v>
      </c>
      <c r="AO784" cm="1">
        <f t="array" ref="AO784">IF(OR($S713=0,$S713="NS",$S713="NA"),0,IF(OR(S784={"NS","NA"},W713={"NS","NA"}),0,IF(S784&lt;=W713,0,1)))</f>
        <v>0</v>
      </c>
      <c r="AP784" cm="1">
        <f t="array" ref="AP784">IF(OR($S713=0,$S713="NS",$S713="NA"),0,IF(OR(Y784={"NS","NA"},AA713={"NS","NA"}),0,IF(Y784&lt;=AA713,0,1)))</f>
        <v>0</v>
      </c>
      <c r="AQ784">
        <f t="shared" si="571"/>
        <v>0</v>
      </c>
      <c r="AR784">
        <f t="shared" si="572"/>
        <v>0</v>
      </c>
      <c r="AS784">
        <f t="shared" si="573"/>
        <v>0</v>
      </c>
      <c r="AT784" cm="1">
        <f t="array" ref="AT784">IF(OR($S713=0,$S713="NS",$S713="NA"),0,IF(OR(AQ784={"NS","NA"},S713={"NS","NA"}),0,IF(AQ784&lt;=S713,0,1)))</f>
        <v>0</v>
      </c>
      <c r="AU784" cm="1">
        <f t="array" ref="AU784">IF(OR($S713=0,$S713="NS",$S713="NA"),0,IF(OR(AR784={"NS","NA"},W713={"NS","NA"}),0,IF(AR784&lt;=W713,0,1)))</f>
        <v>0</v>
      </c>
      <c r="AV784" cm="1">
        <f t="array" ref="AV784">IF(OR($S713=0,$S713="NS",$S713="NA"),0,IF(OR(AS784={"NS","NA"},AA713={"NS","NA"}),0,IF(AS784&lt;=AA713,0,1)))</f>
        <v>0</v>
      </c>
    </row>
    <row r="785" spans="1:48" ht="15" customHeight="1">
      <c r="A785" s="108"/>
      <c r="B785" s="38"/>
      <c r="C785" s="44" t="s">
        <v>2523</v>
      </c>
      <c r="D785" s="796" t="str">
        <f>IF(CNSIPEE_2024_M2_Secc1!D49="","",CNSIPEE_2024_M2_Secc1!D49)</f>
        <v/>
      </c>
      <c r="E785" s="796"/>
      <c r="F785" s="796"/>
      <c r="G785" s="796"/>
      <c r="H785" s="796"/>
      <c r="I785" s="796"/>
      <c r="J785" s="796"/>
      <c r="K785" s="796"/>
      <c r="L785" s="796"/>
      <c r="M785" s="816"/>
      <c r="N785" s="738"/>
      <c r="O785" s="738"/>
      <c r="P785" s="738"/>
      <c r="Q785" s="738"/>
      <c r="R785" s="817"/>
      <c r="S785" s="816"/>
      <c r="T785" s="738"/>
      <c r="U785" s="738"/>
      <c r="V785" s="738"/>
      <c r="W785" s="738"/>
      <c r="X785" s="817"/>
      <c r="Y785" s="816"/>
      <c r="Z785" s="738"/>
      <c r="AA785" s="738"/>
      <c r="AB785" s="738"/>
      <c r="AC785" s="738"/>
      <c r="AD785" s="817"/>
      <c r="AG785">
        <f t="shared" si="574"/>
        <v>0</v>
      </c>
      <c r="AH785">
        <f t="shared" si="568"/>
        <v>0</v>
      </c>
      <c r="AI785">
        <f t="shared" si="569"/>
        <v>0</v>
      </c>
      <c r="AJ785">
        <f t="shared" si="570"/>
        <v>0</v>
      </c>
      <c r="AK785">
        <f t="shared" si="575"/>
        <v>0</v>
      </c>
      <c r="AL785"/>
      <c r="AM785"/>
      <c r="AN785" cm="1">
        <f t="array" ref="AN785">IF(OR($S714=0,$S714="NS",$S714="NA"),0,IF(OR(M785={"NS","NA"},S714={"NS","NA"}),0,IF(M785&lt;=S714,0,1)))</f>
        <v>0</v>
      </c>
      <c r="AO785" cm="1">
        <f t="array" ref="AO785">IF(OR($S714=0,$S714="NS",$S714="NA"),0,IF(OR(S785={"NS","NA"},W714={"NS","NA"}),0,IF(S785&lt;=W714,0,1)))</f>
        <v>0</v>
      </c>
      <c r="AP785" cm="1">
        <f t="array" ref="AP785">IF(OR($S714=0,$S714="NS",$S714="NA"),0,IF(OR(Y785={"NS","NA"},AA714={"NS","NA"}),0,IF(Y785&lt;=AA714,0,1)))</f>
        <v>0</v>
      </c>
      <c r="AQ785">
        <f t="shared" si="571"/>
        <v>0</v>
      </c>
      <c r="AR785">
        <f t="shared" si="572"/>
        <v>0</v>
      </c>
      <c r="AS785">
        <f t="shared" si="573"/>
        <v>0</v>
      </c>
      <c r="AT785" cm="1">
        <f t="array" ref="AT785">IF(OR($S714=0,$S714="NS",$S714="NA"),0,IF(OR(AQ785={"NS","NA"},S714={"NS","NA"}),0,IF(AQ785&lt;=S714,0,1)))</f>
        <v>0</v>
      </c>
      <c r="AU785" cm="1">
        <f t="array" ref="AU785">IF(OR($S714=0,$S714="NS",$S714="NA"),0,IF(OR(AR785={"NS","NA"},W714={"NS","NA"}),0,IF(AR785&lt;=W714,0,1)))</f>
        <v>0</v>
      </c>
      <c r="AV785" cm="1">
        <f t="array" ref="AV785">IF(OR($S714=0,$S714="NS",$S714="NA"),0,IF(OR(AS785={"NS","NA"},AA714={"NS","NA"}),0,IF(AS785&lt;=AA714,0,1)))</f>
        <v>0</v>
      </c>
    </row>
    <row r="786" spans="1:48" ht="15" customHeight="1">
      <c r="A786" s="108"/>
      <c r="B786" s="38"/>
      <c r="C786" s="201"/>
      <c r="D786" s="201"/>
      <c r="E786" s="201"/>
      <c r="F786" s="201"/>
      <c r="G786" s="201"/>
      <c r="H786" s="201"/>
      <c r="I786" s="117"/>
      <c r="J786" s="38"/>
      <c r="K786" s="38"/>
      <c r="L786" s="117" t="s">
        <v>2649</v>
      </c>
      <c r="M786" s="736">
        <f>IF(AND(SUM(M778:M785)=0,COUNTIF(M778:M785,"NS")&gt;0),"NS",IF(AND(SUM(M778:M785)=0,COUNTIF(M778:M785,0)&gt;0),0,IF(AND(SUM(M778:M785)=0,COUNTIF(M778:M785,"NA")&gt;0),"NA",SUM(M778:M785))))</f>
        <v>0</v>
      </c>
      <c r="N786" s="1085"/>
      <c r="O786" s="1085"/>
      <c r="P786" s="1085"/>
      <c r="Q786" s="1085"/>
      <c r="R786" s="1086"/>
      <c r="S786" s="736">
        <f>IF(AND(SUM(S778:S785)=0,COUNTIF(S778:S785,"NS")&gt;0),"NS",IF(AND(SUM(S778:S785)=0,COUNTIF(S778:S785,0)&gt;0),0,IF(AND(SUM(S778:S785)=0,COUNTIF(S778:S785,"NA")&gt;0),"NA",SUM(S778:S785))))</f>
        <v>0</v>
      </c>
      <c r="T786" s="1085"/>
      <c r="U786" s="1085"/>
      <c r="V786" s="1085"/>
      <c r="W786" s="1085"/>
      <c r="X786" s="1086"/>
      <c r="Y786" s="736">
        <f>IF(AND(SUM(Y778:Y785)=0,COUNTIF(Y778:Y785,"NS")&gt;0),"NS",IF(AND(SUM(Y778:Y785)=0,COUNTIF(Y778:Y785,0)&gt;0),0,IF(AND(SUM(Y778:Y785)=0,COUNTIF(Y778:Y785,"NA")&gt;0),"NA",SUM(Y778:Y785))))</f>
        <v>0</v>
      </c>
      <c r="Z786" s="1085"/>
      <c r="AA786" s="1085"/>
      <c r="AB786" s="1085"/>
      <c r="AC786" s="1085"/>
      <c r="AD786" s="1086"/>
      <c r="AG786" s="507">
        <f>SUM(AG778:AG785)</f>
        <v>0</v>
      </c>
      <c r="AH786" s="507">
        <f>SUM(AH778:AH785)</f>
        <v>0</v>
      </c>
      <c r="AI786">
        <f>SUM(AI778:AI785)</f>
        <v>0</v>
      </c>
      <c r="AK786" s="506">
        <f>SUM(AK778:AK785)</f>
        <v>0</v>
      </c>
      <c r="AM786"/>
      <c r="AP786" s="506">
        <f>SUM(AN778:AP785)</f>
        <v>0</v>
      </c>
      <c r="AV786" s="506">
        <f>SUM(AT778:AV785)</f>
        <v>0</v>
      </c>
    </row>
    <row r="787" spans="1:48" ht="15" customHeight="1">
      <c r="A787" s="185"/>
      <c r="B787" s="90"/>
      <c r="C787" s="90"/>
      <c r="D787" s="90"/>
      <c r="E787" s="90"/>
      <c r="F787" s="90"/>
      <c r="G787" s="90"/>
      <c r="H787" s="90"/>
      <c r="I787" s="90"/>
      <c r="J787" s="90"/>
      <c r="K787" s="90"/>
      <c r="L787" s="90"/>
      <c r="M787" s="90"/>
      <c r="N787" s="90"/>
      <c r="O787" s="90"/>
      <c r="P787" s="90"/>
      <c r="Q787" s="90"/>
      <c r="R787" s="90"/>
      <c r="S787" s="90"/>
      <c r="T787" s="90"/>
      <c r="U787" s="90"/>
      <c r="V787" s="90"/>
      <c r="W787" s="90"/>
      <c r="X787" s="90"/>
      <c r="Y787" s="90"/>
      <c r="Z787" s="90"/>
      <c r="AA787" s="90"/>
      <c r="AB787" s="90"/>
      <c r="AC787" s="90"/>
      <c r="AD787" s="90"/>
    </row>
    <row r="788" spans="1:48" ht="24" customHeight="1">
      <c r="A788" s="185"/>
      <c r="B788" s="90"/>
      <c r="C788" s="754" t="s">
        <v>2611</v>
      </c>
      <c r="D788" s="754"/>
      <c r="E788" s="754"/>
      <c r="F788" s="754"/>
      <c r="G788" s="754"/>
      <c r="H788" s="754"/>
      <c r="I788" s="754"/>
      <c r="J788" s="754"/>
      <c r="K788" s="754"/>
      <c r="L788" s="754"/>
      <c r="M788" s="754"/>
      <c r="N788" s="754"/>
      <c r="O788" s="754"/>
      <c r="P788" s="754"/>
      <c r="Q788" s="754"/>
      <c r="R788" s="754"/>
      <c r="S788" s="754"/>
      <c r="T788" s="754"/>
      <c r="U788" s="754"/>
      <c r="V788" s="754"/>
      <c r="W788" s="754"/>
      <c r="X788" s="754"/>
      <c r="Y788" s="754"/>
      <c r="Z788" s="754"/>
      <c r="AA788" s="754"/>
      <c r="AB788" s="754"/>
      <c r="AC788" s="754"/>
      <c r="AD788" s="754"/>
    </row>
    <row r="789" spans="1:48" ht="60" customHeight="1">
      <c r="A789" s="185"/>
      <c r="B789" s="90"/>
      <c r="C789" s="851"/>
      <c r="D789" s="851"/>
      <c r="E789" s="851"/>
      <c r="F789" s="851"/>
      <c r="G789" s="851"/>
      <c r="H789" s="851"/>
      <c r="I789" s="851"/>
      <c r="J789" s="851"/>
      <c r="K789" s="851"/>
      <c r="L789" s="851"/>
      <c r="M789" s="851"/>
      <c r="N789" s="851"/>
      <c r="O789" s="851"/>
      <c r="P789" s="851"/>
      <c r="Q789" s="851"/>
      <c r="R789" s="851"/>
      <c r="S789" s="851"/>
      <c r="T789" s="851"/>
      <c r="U789" s="851"/>
      <c r="V789" s="851"/>
      <c r="W789" s="851"/>
      <c r="X789" s="851"/>
      <c r="Y789" s="851"/>
      <c r="Z789" s="851"/>
      <c r="AA789" s="851"/>
      <c r="AB789" s="851"/>
      <c r="AC789" s="851"/>
      <c r="AD789" s="851"/>
    </row>
    <row r="790" spans="1:48" ht="15" customHeight="1">
      <c r="B790" s="794" t="str">
        <f>IF(AG786=0,"","Favor de ingresar toda la información requerida en la pregunta")</f>
        <v/>
      </c>
      <c r="C790" s="794"/>
      <c r="D790" s="794"/>
      <c r="E790" s="794"/>
      <c r="F790" s="794"/>
      <c r="G790" s="794"/>
      <c r="H790" s="794"/>
      <c r="I790" s="794"/>
      <c r="J790" s="794"/>
      <c r="K790" s="794"/>
      <c r="L790" s="794"/>
      <c r="M790" s="794"/>
      <c r="N790" s="794"/>
      <c r="O790" s="794"/>
      <c r="P790" s="794"/>
      <c r="Q790" s="794"/>
      <c r="R790" s="794"/>
      <c r="S790" s="794"/>
      <c r="T790" s="794"/>
      <c r="U790" s="794"/>
      <c r="V790" s="794"/>
      <c r="W790" s="794"/>
      <c r="X790" s="794"/>
      <c r="Y790" s="794"/>
      <c r="Z790" s="794"/>
      <c r="AA790" s="794"/>
      <c r="AB790" s="794"/>
      <c r="AC790" s="794"/>
      <c r="AD790" s="794"/>
      <c r="AE790" s="794"/>
    </row>
    <row r="791" spans="1:48" ht="15" customHeight="1">
      <c r="B791" s="1087" t="str">
        <f>IF(COUNTIF(M778:AD785,"NS")&lt;&gt;0,"Alerta: debido a que cuenta con registros NS, debe proporcionar una justificación en el area de comentarios al final de la pregunta","")</f>
        <v/>
      </c>
      <c r="C791" s="1087"/>
      <c r="D791" s="1087"/>
      <c r="E791" s="1087"/>
      <c r="F791" s="1087"/>
      <c r="G791" s="1087"/>
      <c r="H791" s="1087"/>
      <c r="I791" s="1087"/>
      <c r="J791" s="1087"/>
      <c r="K791" s="1087"/>
      <c r="L791" s="1087"/>
      <c r="M791" s="1087"/>
      <c r="N791" s="1087"/>
      <c r="O791" s="1087"/>
      <c r="P791" s="1087"/>
      <c r="Q791" s="1087"/>
      <c r="R791" s="1087"/>
      <c r="S791" s="1087"/>
      <c r="T791" s="1087"/>
      <c r="U791" s="1087"/>
      <c r="V791" s="1087"/>
      <c r="W791" s="1087"/>
      <c r="X791" s="1087"/>
      <c r="Y791" s="1087"/>
      <c r="Z791" s="1087"/>
      <c r="AA791" s="1087"/>
      <c r="AB791" s="1087"/>
      <c r="AC791" s="1087"/>
      <c r="AD791" s="1087"/>
      <c r="AE791" s="1087"/>
    </row>
    <row r="792" spans="1:48" ht="15" customHeight="1">
      <c r="B792" s="1003" t="str">
        <f>IF(AH786&gt;0,"Revise la información capturada, ya que tiene datos ingresados en celdas que están sombreadas","")</f>
        <v/>
      </c>
      <c r="C792" s="1003"/>
      <c r="D792" s="1003"/>
      <c r="E792" s="1003"/>
      <c r="F792" s="1003"/>
      <c r="G792" s="1003"/>
      <c r="H792" s="1003"/>
      <c r="I792" s="1003"/>
      <c r="J792" s="1003"/>
      <c r="K792" s="1003"/>
      <c r="L792" s="1003"/>
      <c r="M792" s="1003"/>
      <c r="N792" s="1003"/>
      <c r="O792" s="1003"/>
      <c r="P792" s="1003"/>
      <c r="Q792" s="1003"/>
      <c r="R792" s="1003"/>
      <c r="S792" s="1003"/>
      <c r="T792" s="1003"/>
      <c r="U792" s="1003"/>
      <c r="V792" s="1003"/>
      <c r="W792" s="1003"/>
      <c r="X792" s="1003"/>
      <c r="Y792" s="1003"/>
      <c r="Z792" s="1003"/>
      <c r="AA792" s="1003"/>
      <c r="AB792" s="1003"/>
      <c r="AC792" s="1003"/>
      <c r="AD792" s="1003"/>
      <c r="AE792" s="1003"/>
    </row>
    <row r="793" spans="1:48" ht="15" customHeight="1">
      <c r="B793" s="1003" t="str">
        <f>IF(AK786&gt;0,"Favor de revisar la suma y consistencia de totales y/o subtotales por filas (numéricos y NS)","")</f>
        <v/>
      </c>
      <c r="C793" s="1003"/>
      <c r="D793" s="1003"/>
      <c r="E793" s="1003"/>
      <c r="F793" s="1003"/>
      <c r="G793" s="1003"/>
      <c r="H793" s="1003"/>
      <c r="I793" s="1003"/>
      <c r="J793" s="1003"/>
      <c r="K793" s="1003"/>
      <c r="L793" s="1003"/>
      <c r="M793" s="1003"/>
      <c r="N793" s="1003"/>
      <c r="O793" s="1003"/>
      <c r="P793" s="1003"/>
      <c r="Q793" s="1003"/>
      <c r="R793" s="1003"/>
      <c r="S793" s="1003"/>
      <c r="T793" s="1003"/>
      <c r="U793" s="1003"/>
      <c r="V793" s="1003"/>
      <c r="W793" s="1003"/>
      <c r="X793" s="1003"/>
      <c r="Y793" s="1003"/>
      <c r="Z793" s="1003"/>
      <c r="AA793" s="1003"/>
      <c r="AB793" s="1003"/>
      <c r="AC793" s="1003"/>
      <c r="AD793" s="1003"/>
      <c r="AE793" s="1003"/>
    </row>
    <row r="794" spans="1:48" ht="15" customHeight="1">
      <c r="B794" s="794" t="str">
        <f>IF(AP786&gt;0,"Favor de revisar la instrucción 2, debido a que no se cumplen con los criterios mencionados","")</f>
        <v/>
      </c>
      <c r="C794" s="794"/>
      <c r="D794" s="794"/>
      <c r="E794" s="794"/>
      <c r="F794" s="794"/>
      <c r="G794" s="794"/>
      <c r="H794" s="794"/>
      <c r="I794" s="794"/>
      <c r="J794" s="794"/>
      <c r="K794" s="794"/>
      <c r="L794" s="794"/>
      <c r="M794" s="794"/>
      <c r="N794" s="794"/>
      <c r="O794" s="794"/>
      <c r="P794" s="794"/>
      <c r="Q794" s="794"/>
      <c r="R794" s="794"/>
      <c r="S794" s="794"/>
      <c r="T794" s="794"/>
      <c r="U794" s="794"/>
      <c r="V794" s="794"/>
      <c r="W794" s="794"/>
      <c r="X794" s="794"/>
      <c r="Y794" s="794"/>
      <c r="Z794" s="794"/>
      <c r="AA794" s="794"/>
      <c r="AB794" s="794"/>
      <c r="AC794" s="794"/>
      <c r="AD794" s="794"/>
      <c r="AE794" s="794"/>
    </row>
    <row r="795" spans="1:48" ht="15" customHeight="1">
      <c r="B795" s="794" t="str">
        <f>IF(AV786=0,"","La suma de Hombres y Mujeres de las preg. 13.19 y 13.20 por c. especializado debe ser igual o menor a los datos de la preg. 13.18")</f>
        <v/>
      </c>
      <c r="C795" s="794"/>
      <c r="D795" s="794"/>
      <c r="E795" s="794"/>
      <c r="F795" s="794"/>
      <c r="G795" s="794"/>
      <c r="H795" s="794"/>
      <c r="I795" s="794"/>
      <c r="J795" s="794"/>
      <c r="K795" s="794"/>
      <c r="L795" s="794"/>
      <c r="M795" s="794"/>
      <c r="N795" s="794"/>
      <c r="O795" s="794"/>
      <c r="P795" s="794"/>
      <c r="Q795" s="794"/>
      <c r="R795" s="794"/>
      <c r="S795" s="794"/>
      <c r="T795" s="794"/>
      <c r="U795" s="794"/>
      <c r="V795" s="794"/>
      <c r="W795" s="794"/>
      <c r="X795" s="794"/>
      <c r="Y795" s="794"/>
      <c r="Z795" s="794"/>
      <c r="AA795" s="794"/>
      <c r="AB795" s="794"/>
      <c r="AC795" s="794"/>
      <c r="AD795" s="794"/>
      <c r="AE795" s="794"/>
    </row>
  </sheetData>
  <sheetProtection algorithmName="SHA-512" hashValue="Ewh9XNIf1Z7Z+WaUO0XZZ0wadq0TSwKjn9dUE9lfqntTBYEFqGm9dn57x/zV/PDaYU3w4boe9jakmMnW31It4Q==" saltValue="3KfriS7cHE5YHbVOVlJmew==" spinCount="100000" sheet="1" objects="1" scenarios="1"/>
  <mergeCells count="1296">
    <mergeCell ref="B790:AE790"/>
    <mergeCell ref="B791:AE791"/>
    <mergeCell ref="B792:AE792"/>
    <mergeCell ref="B793:AE793"/>
    <mergeCell ref="B794:AE794"/>
    <mergeCell ref="B795:AE795"/>
    <mergeCell ref="B660:AE660"/>
    <mergeCell ref="B661:AE661"/>
    <mergeCell ref="B662:AE662"/>
    <mergeCell ref="B683:AE683"/>
    <mergeCell ref="B686:AE686"/>
    <mergeCell ref="B687:AE687"/>
    <mergeCell ref="B688:AE688"/>
    <mergeCell ref="B689:AE689"/>
    <mergeCell ref="B690:AE690"/>
    <mergeCell ref="B719:AE719"/>
    <mergeCell ref="B720:AE720"/>
    <mergeCell ref="B721:AE721"/>
    <mergeCell ref="B722:AE722"/>
    <mergeCell ref="B723:AE723"/>
    <mergeCell ref="B724:AE724"/>
    <mergeCell ref="B742:AE742"/>
    <mergeCell ref="C667:AD667"/>
    <mergeCell ref="W671:X671"/>
    <mergeCell ref="Y671:Z671"/>
    <mergeCell ref="AA671:AB671"/>
    <mergeCell ref="AC671:AD671"/>
    <mergeCell ref="AA672:AB672"/>
    <mergeCell ref="AC672:AD672"/>
    <mergeCell ref="B664:AD664"/>
    <mergeCell ref="B666:AD666"/>
    <mergeCell ref="C670:H671"/>
    <mergeCell ref="B600:AE600"/>
    <mergeCell ref="B624:AE624"/>
    <mergeCell ref="B627:AE627"/>
    <mergeCell ref="B628:AE628"/>
    <mergeCell ref="B629:AE629"/>
    <mergeCell ref="B630:AE630"/>
    <mergeCell ref="B631:AE631"/>
    <mergeCell ref="B632:AE632"/>
    <mergeCell ref="B655:AE655"/>
    <mergeCell ref="B658:AE658"/>
    <mergeCell ref="B659:AE659"/>
    <mergeCell ref="D650:F650"/>
    <mergeCell ref="D651:F651"/>
    <mergeCell ref="C656:AD656"/>
    <mergeCell ref="C657:AD657"/>
    <mergeCell ref="D644:F644"/>
    <mergeCell ref="C593:AD593"/>
    <mergeCell ref="C594:AD594"/>
    <mergeCell ref="B601:AD601"/>
    <mergeCell ref="D646:F646"/>
    <mergeCell ref="D647:F647"/>
    <mergeCell ref="D645:F645"/>
    <mergeCell ref="D614:F614"/>
    <mergeCell ref="G614:I614"/>
    <mergeCell ref="D648:F648"/>
    <mergeCell ref="D649:F649"/>
    <mergeCell ref="J641:AD641"/>
    <mergeCell ref="J642:L642"/>
    <mergeCell ref="M642:O642"/>
    <mergeCell ref="P642:R642"/>
    <mergeCell ref="S642:U642"/>
    <mergeCell ref="V642:X642"/>
    <mergeCell ref="B534:AE534"/>
    <mergeCell ref="B537:AE537"/>
    <mergeCell ref="B538:AE538"/>
    <mergeCell ref="B539:AE539"/>
    <mergeCell ref="C456:AD456"/>
    <mergeCell ref="C457:AD457"/>
    <mergeCell ref="C489:E489"/>
    <mergeCell ref="F489:AD489"/>
    <mergeCell ref="P477:R477"/>
    <mergeCell ref="S477:U477"/>
    <mergeCell ref="V477:X477"/>
    <mergeCell ref="Y477:AA477"/>
    <mergeCell ref="AB463:AD463"/>
    <mergeCell ref="D465:O465"/>
    <mergeCell ref="D466:O466"/>
    <mergeCell ref="D467:O467"/>
    <mergeCell ref="D529:O529"/>
    <mergeCell ref="D530:O530"/>
    <mergeCell ref="C535:AD535"/>
    <mergeCell ref="D515:O515"/>
    <mergeCell ref="D516:O516"/>
    <mergeCell ref="AA519:AD519"/>
    <mergeCell ref="C520:O522"/>
    <mergeCell ref="P520:AD520"/>
    <mergeCell ref="P521:R521"/>
    <mergeCell ref="S521:U521"/>
    <mergeCell ref="V521:X521"/>
    <mergeCell ref="Y521:AA521"/>
    <mergeCell ref="AB521:AD521"/>
    <mergeCell ref="B499:AD499"/>
    <mergeCell ref="C502:AD502"/>
    <mergeCell ref="C503:AD503"/>
    <mergeCell ref="B449:AE449"/>
    <mergeCell ref="B450:AE450"/>
    <mergeCell ref="B451:AE451"/>
    <mergeCell ref="B452:AE452"/>
    <mergeCell ref="B453:AE453"/>
    <mergeCell ref="B454:AE454"/>
    <mergeCell ref="B490:AE490"/>
    <mergeCell ref="B493:AE493"/>
    <mergeCell ref="B494:AE494"/>
    <mergeCell ref="C448:AD448"/>
    <mergeCell ref="B455:AD455"/>
    <mergeCell ref="C458:AD458"/>
    <mergeCell ref="AB433:AD433"/>
    <mergeCell ref="D435:L435"/>
    <mergeCell ref="D436:L436"/>
    <mergeCell ref="D437:L437"/>
    <mergeCell ref="D438:L438"/>
    <mergeCell ref="C432:L434"/>
    <mergeCell ref="M432:AD432"/>
    <mergeCell ref="M433:O433"/>
    <mergeCell ref="D484:O484"/>
    <mergeCell ref="D485:O485"/>
    <mergeCell ref="D486:O486"/>
    <mergeCell ref="C491:AD491"/>
    <mergeCell ref="C459:AD459"/>
    <mergeCell ref="AA461:AD461"/>
    <mergeCell ref="C462:O464"/>
    <mergeCell ref="P462:AD462"/>
    <mergeCell ref="P463:P464"/>
    <mergeCell ref="Q463:Q464"/>
    <mergeCell ref="R463:R464"/>
    <mergeCell ref="S463:U463"/>
    <mergeCell ref="B162:AE162"/>
    <mergeCell ref="B163:AE163"/>
    <mergeCell ref="B164:AE164"/>
    <mergeCell ref="B165:AE165"/>
    <mergeCell ref="B166:AE166"/>
    <mergeCell ref="B167:AE167"/>
    <mergeCell ref="B207:AE207"/>
    <mergeCell ref="B210:AE210"/>
    <mergeCell ref="B211:AE211"/>
    <mergeCell ref="B212:AE212"/>
    <mergeCell ref="B213:AE213"/>
    <mergeCell ref="B214:AE214"/>
    <mergeCell ref="B215:AE215"/>
    <mergeCell ref="B253:AE253"/>
    <mergeCell ref="B256:AE256"/>
    <mergeCell ref="B257:AE257"/>
    <mergeCell ref="B258:AE258"/>
    <mergeCell ref="D242:L242"/>
    <mergeCell ref="D243:L243"/>
    <mergeCell ref="D233:L233"/>
    <mergeCell ref="M233:R233"/>
    <mergeCell ref="D234:L234"/>
    <mergeCell ref="M234:R234"/>
    <mergeCell ref="AA237:AD237"/>
    <mergeCell ref="C238:L241"/>
    <mergeCell ref="M238:AD238"/>
    <mergeCell ref="M239:AD239"/>
    <mergeCell ref="M240:O240"/>
    <mergeCell ref="P240:R240"/>
    <mergeCell ref="C252:E252"/>
    <mergeCell ref="F252:AD252"/>
    <mergeCell ref="C254:AD254"/>
    <mergeCell ref="B46:AE46"/>
    <mergeCell ref="B47:AE47"/>
    <mergeCell ref="B48:AE48"/>
    <mergeCell ref="B49:AE49"/>
    <mergeCell ref="B50:AE50"/>
    <mergeCell ref="B51:AE51"/>
    <mergeCell ref="B72:AE72"/>
    <mergeCell ref="B73:AE73"/>
    <mergeCell ref="B74:AE74"/>
    <mergeCell ref="B132:AE132"/>
    <mergeCell ref="B135:AE135"/>
    <mergeCell ref="B136:AE136"/>
    <mergeCell ref="B137:AE137"/>
    <mergeCell ref="B138:AE138"/>
    <mergeCell ref="B139:AE139"/>
    <mergeCell ref="D60:F60"/>
    <mergeCell ref="D61:F61"/>
    <mergeCell ref="D62:F62"/>
    <mergeCell ref="D63:F63"/>
    <mergeCell ref="D64:F64"/>
    <mergeCell ref="D65:F65"/>
    <mergeCell ref="D66:F66"/>
    <mergeCell ref="D67:F67"/>
    <mergeCell ref="C57:F59"/>
    <mergeCell ref="G57:AD57"/>
    <mergeCell ref="G58:G59"/>
    <mergeCell ref="H58:H59"/>
    <mergeCell ref="I58:I59"/>
    <mergeCell ref="J58:L58"/>
    <mergeCell ref="M58:O58"/>
    <mergeCell ref="C133:AD133"/>
    <mergeCell ref="C134:AD134"/>
    <mergeCell ref="C264:AD264"/>
    <mergeCell ref="AB384:AD384"/>
    <mergeCell ref="C668:AD668"/>
    <mergeCell ref="C682:E682"/>
    <mergeCell ref="F682:AD682"/>
    <mergeCell ref="C694:AD694"/>
    <mergeCell ref="C695:AD695"/>
    <mergeCell ref="AA563:AD563"/>
    <mergeCell ref="D569:I569"/>
    <mergeCell ref="D570:I570"/>
    <mergeCell ref="D571:I571"/>
    <mergeCell ref="D572:I572"/>
    <mergeCell ref="D573:I573"/>
    <mergeCell ref="D574:I574"/>
    <mergeCell ref="D588:I588"/>
    <mergeCell ref="AA577:AD577"/>
    <mergeCell ref="C578:I580"/>
    <mergeCell ref="J578:AD578"/>
    <mergeCell ref="J579:L579"/>
    <mergeCell ref="M579:O579"/>
    <mergeCell ref="P579:R579"/>
    <mergeCell ref="S579:U579"/>
    <mergeCell ref="B326:AE326"/>
    <mergeCell ref="B329:AE329"/>
    <mergeCell ref="B330:AE330"/>
    <mergeCell ref="B331:AE331"/>
    <mergeCell ref="B332:AE332"/>
    <mergeCell ref="B333:AE333"/>
    <mergeCell ref="B334:AE334"/>
    <mergeCell ref="P389:R389"/>
    <mergeCell ref="S389:U389"/>
    <mergeCell ref="V389:X389"/>
    <mergeCell ref="C387:F390"/>
    <mergeCell ref="G387:AD387"/>
    <mergeCell ref="G388:AD388"/>
    <mergeCell ref="D439:L439"/>
    <mergeCell ref="D440:L440"/>
    <mergeCell ref="D393:F393"/>
    <mergeCell ref="D394:F394"/>
    <mergeCell ref="D395:F395"/>
    <mergeCell ref="D396:F396"/>
    <mergeCell ref="C401:E401"/>
    <mergeCell ref="F401:AD401"/>
    <mergeCell ref="D397:F397"/>
    <mergeCell ref="D398:F398"/>
    <mergeCell ref="Y433:AA433"/>
    <mergeCell ref="D315:F315"/>
    <mergeCell ref="D316:F316"/>
    <mergeCell ref="D317:F317"/>
    <mergeCell ref="Y389:AA389"/>
    <mergeCell ref="AB389:AD389"/>
    <mergeCell ref="B360:AD360"/>
    <mergeCell ref="C361:AD361"/>
    <mergeCell ref="C364:AD364"/>
    <mergeCell ref="D426:O426"/>
    <mergeCell ref="D427:O427"/>
    <mergeCell ref="D428:O428"/>
    <mergeCell ref="AA431:AD431"/>
    <mergeCell ref="V433:X433"/>
    <mergeCell ref="AA386:AD386"/>
    <mergeCell ref="C403:AD403"/>
    <mergeCell ref="Q373:Q375"/>
    <mergeCell ref="D378:K378"/>
    <mergeCell ref="L378:O378"/>
    <mergeCell ref="J565:L565"/>
    <mergeCell ref="M565:O565"/>
    <mergeCell ref="P565:R565"/>
    <mergeCell ref="S565:U565"/>
    <mergeCell ref="V565:X565"/>
    <mergeCell ref="Y565:AA565"/>
    <mergeCell ref="AB565:AD565"/>
    <mergeCell ref="D567:I567"/>
    <mergeCell ref="D568:I568"/>
    <mergeCell ref="C698:AD698"/>
    <mergeCell ref="C699:AD699"/>
    <mergeCell ref="C591:E591"/>
    <mergeCell ref="F591:AD591"/>
    <mergeCell ref="B603:AD603"/>
    <mergeCell ref="C604:AD604"/>
    <mergeCell ref="C605:AD605"/>
    <mergeCell ref="C606:AD606"/>
    <mergeCell ref="C607:AD607"/>
    <mergeCell ref="C623:E623"/>
    <mergeCell ref="F623:AD623"/>
    <mergeCell ref="B635:AD635"/>
    <mergeCell ref="C636:AD636"/>
    <mergeCell ref="C637:AD637"/>
    <mergeCell ref="C638:AD638"/>
    <mergeCell ref="C654:E654"/>
    <mergeCell ref="F654:AD654"/>
    <mergeCell ref="B592:AE592"/>
    <mergeCell ref="B595:AE595"/>
    <mergeCell ref="B596:AE596"/>
    <mergeCell ref="B597:AE597"/>
    <mergeCell ref="B598:AE598"/>
    <mergeCell ref="B599:AE599"/>
    <mergeCell ref="AA40:AB40"/>
    <mergeCell ref="AC40:AD40"/>
    <mergeCell ref="D41:J41"/>
    <mergeCell ref="K41:N41"/>
    <mergeCell ref="O41:R41"/>
    <mergeCell ref="P58:R58"/>
    <mergeCell ref="S58:U58"/>
    <mergeCell ref="V58:X58"/>
    <mergeCell ref="Y58:AA58"/>
    <mergeCell ref="AB58:AD58"/>
    <mergeCell ref="O39:R39"/>
    <mergeCell ref="S39:T39"/>
    <mergeCell ref="U39:V39"/>
    <mergeCell ref="W39:X39"/>
    <mergeCell ref="C169:AD169"/>
    <mergeCell ref="C170:AD170"/>
    <mergeCell ref="D557:O557"/>
    <mergeCell ref="D318:F318"/>
    <mergeCell ref="D319:F319"/>
    <mergeCell ref="D320:F320"/>
    <mergeCell ref="D321:F321"/>
    <mergeCell ref="D322:F322"/>
    <mergeCell ref="C325:E325"/>
    <mergeCell ref="F325:AD325"/>
    <mergeCell ref="B352:AE352"/>
    <mergeCell ref="B353:AE353"/>
    <mergeCell ref="B402:AE402"/>
    <mergeCell ref="B405:AE405"/>
    <mergeCell ref="B406:AE406"/>
    <mergeCell ref="B407:AE407"/>
    <mergeCell ref="B408:AE408"/>
    <mergeCell ref="B409:AE409"/>
    <mergeCell ref="C171:AD171"/>
    <mergeCell ref="C172:AD172"/>
    <mergeCell ref="C173:AD173"/>
    <mergeCell ref="C174:AD174"/>
    <mergeCell ref="C263:AD263"/>
    <mergeCell ref="P611:R611"/>
    <mergeCell ref="S611:U611"/>
    <mergeCell ref="V611:X611"/>
    <mergeCell ref="D620:F620"/>
    <mergeCell ref="G620:I620"/>
    <mergeCell ref="C625:AD625"/>
    <mergeCell ref="D617:F617"/>
    <mergeCell ref="G617:I617"/>
    <mergeCell ref="D618:F618"/>
    <mergeCell ref="G618:I618"/>
    <mergeCell ref="D619:F619"/>
    <mergeCell ref="G619:I619"/>
    <mergeCell ref="Y611:AA611"/>
    <mergeCell ref="C546:AD546"/>
    <mergeCell ref="C547:AD547"/>
    <mergeCell ref="AA549:AD549"/>
    <mergeCell ref="D553:O553"/>
    <mergeCell ref="D554:O554"/>
    <mergeCell ref="V579:X579"/>
    <mergeCell ref="Y579:AA579"/>
    <mergeCell ref="AB579:AD579"/>
    <mergeCell ref="D581:I581"/>
    <mergeCell ref="D582:I582"/>
    <mergeCell ref="D583:I583"/>
    <mergeCell ref="D584:I584"/>
    <mergeCell ref="D585:I585"/>
    <mergeCell ref="D586:I586"/>
    <mergeCell ref="Y642:AA642"/>
    <mergeCell ref="AB642:AD642"/>
    <mergeCell ref="B633:AD633"/>
    <mergeCell ref="C640:F643"/>
    <mergeCell ref="G640:AD640"/>
    <mergeCell ref="G641:G643"/>
    <mergeCell ref="H641:H643"/>
    <mergeCell ref="I641:I643"/>
    <mergeCell ref="C626:AD626"/>
    <mergeCell ref="AB611:AD611"/>
    <mergeCell ref="D613:F613"/>
    <mergeCell ref="G613:I613"/>
    <mergeCell ref="C609:F612"/>
    <mergeCell ref="G609:I612"/>
    <mergeCell ref="J609:AD609"/>
    <mergeCell ref="J610:J612"/>
    <mergeCell ref="K610:K612"/>
    <mergeCell ref="L610:L612"/>
    <mergeCell ref="M610:AD610"/>
    <mergeCell ref="M611:O611"/>
    <mergeCell ref="D615:F615"/>
    <mergeCell ref="G615:I615"/>
    <mergeCell ref="D616:F616"/>
    <mergeCell ref="G616:I616"/>
    <mergeCell ref="D587:I587"/>
    <mergeCell ref="D555:O555"/>
    <mergeCell ref="D556:O556"/>
    <mergeCell ref="C536:AD536"/>
    <mergeCell ref="C533:E533"/>
    <mergeCell ref="F533:AD533"/>
    <mergeCell ref="C544:AD544"/>
    <mergeCell ref="C545:AD545"/>
    <mergeCell ref="C550:O552"/>
    <mergeCell ref="D523:O523"/>
    <mergeCell ref="D524:O524"/>
    <mergeCell ref="D525:O525"/>
    <mergeCell ref="D526:O526"/>
    <mergeCell ref="D527:O527"/>
    <mergeCell ref="D528:O528"/>
    <mergeCell ref="P550:AD550"/>
    <mergeCell ref="P551:P552"/>
    <mergeCell ref="Q551:Q552"/>
    <mergeCell ref="R551:R552"/>
    <mergeCell ref="S551:U551"/>
    <mergeCell ref="V551:X551"/>
    <mergeCell ref="Y551:AA551"/>
    <mergeCell ref="AB551:AD551"/>
    <mergeCell ref="B540:AE540"/>
    <mergeCell ref="B541:AE541"/>
    <mergeCell ref="B542:AE542"/>
    <mergeCell ref="B543:AD543"/>
    <mergeCell ref="D558:O558"/>
    <mergeCell ref="D559:O559"/>
    <mergeCell ref="D560:O560"/>
    <mergeCell ref="C564:I566"/>
    <mergeCell ref="J564:AD564"/>
    <mergeCell ref="D509:O509"/>
    <mergeCell ref="D510:O510"/>
    <mergeCell ref="D511:O511"/>
    <mergeCell ref="D512:O512"/>
    <mergeCell ref="D513:O513"/>
    <mergeCell ref="D514:O514"/>
    <mergeCell ref="AA505:AD505"/>
    <mergeCell ref="C506:O508"/>
    <mergeCell ref="P506:AD506"/>
    <mergeCell ref="P507:P508"/>
    <mergeCell ref="Q507:Q508"/>
    <mergeCell ref="R507:R508"/>
    <mergeCell ref="S507:U507"/>
    <mergeCell ref="V507:X507"/>
    <mergeCell ref="B498:AE498"/>
    <mergeCell ref="D468:O468"/>
    <mergeCell ref="D469:O469"/>
    <mergeCell ref="V463:X463"/>
    <mergeCell ref="Y463:AA463"/>
    <mergeCell ref="Y507:AA507"/>
    <mergeCell ref="AB507:AD507"/>
    <mergeCell ref="C500:AD500"/>
    <mergeCell ref="C501:AD501"/>
    <mergeCell ref="AB477:AD477"/>
    <mergeCell ref="D479:O479"/>
    <mergeCell ref="D480:O480"/>
    <mergeCell ref="D481:O481"/>
    <mergeCell ref="D482:O482"/>
    <mergeCell ref="D483:O483"/>
    <mergeCell ref="D470:O470"/>
    <mergeCell ref="D471:O471"/>
    <mergeCell ref="D472:O472"/>
    <mergeCell ref="AA475:AD475"/>
    <mergeCell ref="C476:O478"/>
    <mergeCell ref="P476:AD476"/>
    <mergeCell ref="C492:AD492"/>
    <mergeCell ref="B495:AE495"/>
    <mergeCell ref="B496:AE496"/>
    <mergeCell ref="B497:AE497"/>
    <mergeCell ref="C447:AD447"/>
    <mergeCell ref="D441:L441"/>
    <mergeCell ref="D442:L442"/>
    <mergeCell ref="C445:E445"/>
    <mergeCell ref="F445:AD445"/>
    <mergeCell ref="C404:AD404"/>
    <mergeCell ref="B411:AD411"/>
    <mergeCell ref="C414:AD414"/>
    <mergeCell ref="AB419:AD419"/>
    <mergeCell ref="D421:O421"/>
    <mergeCell ref="D422:O422"/>
    <mergeCell ref="D423:O423"/>
    <mergeCell ref="D424:O424"/>
    <mergeCell ref="D425:O425"/>
    <mergeCell ref="C415:AD415"/>
    <mergeCell ref="AA417:AD417"/>
    <mergeCell ref="C418:O420"/>
    <mergeCell ref="P418:AD418"/>
    <mergeCell ref="P419:P420"/>
    <mergeCell ref="Q419:Q420"/>
    <mergeCell ref="R419:R420"/>
    <mergeCell ref="S419:U419"/>
    <mergeCell ref="V419:X419"/>
    <mergeCell ref="Y419:AA419"/>
    <mergeCell ref="C412:AD412"/>
    <mergeCell ref="C413:AD413"/>
    <mergeCell ref="P433:R433"/>
    <mergeCell ref="S433:U433"/>
    <mergeCell ref="B410:AE410"/>
    <mergeCell ref="B446:AE446"/>
    <mergeCell ref="AB378:AD378"/>
    <mergeCell ref="D379:K379"/>
    <mergeCell ref="L379:O379"/>
    <mergeCell ref="AB379:AD379"/>
    <mergeCell ref="D376:K376"/>
    <mergeCell ref="L376:O376"/>
    <mergeCell ref="AB376:AD376"/>
    <mergeCell ref="D377:K377"/>
    <mergeCell ref="L377:O377"/>
    <mergeCell ref="AB377:AD377"/>
    <mergeCell ref="D382:K382"/>
    <mergeCell ref="L382:O382"/>
    <mergeCell ref="AB382:AD382"/>
    <mergeCell ref="D383:K383"/>
    <mergeCell ref="L383:O383"/>
    <mergeCell ref="AB383:AD383"/>
    <mergeCell ref="D380:K380"/>
    <mergeCell ref="L380:O380"/>
    <mergeCell ref="AB380:AD380"/>
    <mergeCell ref="D381:K381"/>
    <mergeCell ref="L381:O381"/>
    <mergeCell ref="AB381:AD381"/>
    <mergeCell ref="D391:F391"/>
    <mergeCell ref="D392:F392"/>
    <mergeCell ref="G389:I389"/>
    <mergeCell ref="J389:L389"/>
    <mergeCell ref="M389:O389"/>
    <mergeCell ref="D348:R348"/>
    <mergeCell ref="S348:X348"/>
    <mergeCell ref="Y348:AD348"/>
    <mergeCell ref="C350:AD350"/>
    <mergeCell ref="C351:AD351"/>
    <mergeCell ref="D346:R346"/>
    <mergeCell ref="S346:X346"/>
    <mergeCell ref="Y346:AD346"/>
    <mergeCell ref="D347:R347"/>
    <mergeCell ref="S347:X347"/>
    <mergeCell ref="Y347:AD347"/>
    <mergeCell ref="B358:AD358"/>
    <mergeCell ref="B359:AD359"/>
    <mergeCell ref="B363:AD363"/>
    <mergeCell ref="R373:R375"/>
    <mergeCell ref="S373:AD373"/>
    <mergeCell ref="S374:U374"/>
    <mergeCell ref="V374:X374"/>
    <mergeCell ref="Y374:AA374"/>
    <mergeCell ref="AB374:AD374"/>
    <mergeCell ref="AB375:AD375"/>
    <mergeCell ref="AA371:AD371"/>
    <mergeCell ref="C372:K375"/>
    <mergeCell ref="L372:O375"/>
    <mergeCell ref="P372:AD372"/>
    <mergeCell ref="P373:P375"/>
    <mergeCell ref="C365:AD365"/>
    <mergeCell ref="C367:AD367"/>
    <mergeCell ref="C368:AD368"/>
    <mergeCell ref="C369:AD369"/>
    <mergeCell ref="C366:AD366"/>
    <mergeCell ref="D341:R341"/>
    <mergeCell ref="S341:X341"/>
    <mergeCell ref="Y341:AD341"/>
    <mergeCell ref="C327:AD327"/>
    <mergeCell ref="C328:AD328"/>
    <mergeCell ref="B335:AD335"/>
    <mergeCell ref="C336:AD336"/>
    <mergeCell ref="C337:AD337"/>
    <mergeCell ref="D344:R344"/>
    <mergeCell ref="S344:X344"/>
    <mergeCell ref="Y344:AD344"/>
    <mergeCell ref="D345:R345"/>
    <mergeCell ref="S345:X345"/>
    <mergeCell ref="Y345:AD345"/>
    <mergeCell ref="D342:R342"/>
    <mergeCell ref="S342:X342"/>
    <mergeCell ref="Y342:AD342"/>
    <mergeCell ref="D343:R343"/>
    <mergeCell ref="S343:X343"/>
    <mergeCell ref="Y343:AD343"/>
    <mergeCell ref="C340:R340"/>
    <mergeCell ref="S340:X340"/>
    <mergeCell ref="Y340:AD340"/>
    <mergeCell ref="C338:AD338"/>
    <mergeCell ref="C309:AD309"/>
    <mergeCell ref="D289:F289"/>
    <mergeCell ref="D290:F290"/>
    <mergeCell ref="D291:F291"/>
    <mergeCell ref="D292:F292"/>
    <mergeCell ref="D293:F293"/>
    <mergeCell ref="C296:E296"/>
    <mergeCell ref="F296:AD296"/>
    <mergeCell ref="C310:AD310"/>
    <mergeCell ref="C312:F314"/>
    <mergeCell ref="G312:AD312"/>
    <mergeCell ref="G313:G314"/>
    <mergeCell ref="H313:H314"/>
    <mergeCell ref="I313:I314"/>
    <mergeCell ref="J313:L313"/>
    <mergeCell ref="M313:O313"/>
    <mergeCell ref="P313:R313"/>
    <mergeCell ref="S313:U313"/>
    <mergeCell ref="C307:AD307"/>
    <mergeCell ref="C308:AD308"/>
    <mergeCell ref="V313:X313"/>
    <mergeCell ref="Y313:AA313"/>
    <mergeCell ref="AB313:AD313"/>
    <mergeCell ref="C298:AD298"/>
    <mergeCell ref="C299:AD299"/>
    <mergeCell ref="B297:AE297"/>
    <mergeCell ref="B300:AE300"/>
    <mergeCell ref="B301:AE301"/>
    <mergeCell ref="B302:AE302"/>
    <mergeCell ref="B303:AE303"/>
    <mergeCell ref="B304:AE304"/>
    <mergeCell ref="B305:AE305"/>
    <mergeCell ref="V284:X284"/>
    <mergeCell ref="Y284:AA284"/>
    <mergeCell ref="AB284:AD284"/>
    <mergeCell ref="D286:F286"/>
    <mergeCell ref="D287:F287"/>
    <mergeCell ref="D288:F288"/>
    <mergeCell ref="D278:F278"/>
    <mergeCell ref="D279:F279"/>
    <mergeCell ref="AA282:AD282"/>
    <mergeCell ref="C283:F285"/>
    <mergeCell ref="G283:AD283"/>
    <mergeCell ref="G284:I284"/>
    <mergeCell ref="J284:L284"/>
    <mergeCell ref="M284:O284"/>
    <mergeCell ref="P284:R284"/>
    <mergeCell ref="S284:U284"/>
    <mergeCell ref="B306:AD306"/>
    <mergeCell ref="V270:X270"/>
    <mergeCell ref="Y270:AA270"/>
    <mergeCell ref="AB270:AD270"/>
    <mergeCell ref="C265:AD265"/>
    <mergeCell ref="AA268:AD268"/>
    <mergeCell ref="C269:F271"/>
    <mergeCell ref="G269:AD269"/>
    <mergeCell ref="G270:G271"/>
    <mergeCell ref="H270:H271"/>
    <mergeCell ref="I270:I271"/>
    <mergeCell ref="J270:L270"/>
    <mergeCell ref="D272:F272"/>
    <mergeCell ref="D273:F273"/>
    <mergeCell ref="D274:F274"/>
    <mergeCell ref="D275:F275"/>
    <mergeCell ref="D276:F276"/>
    <mergeCell ref="D277:F277"/>
    <mergeCell ref="M270:O270"/>
    <mergeCell ref="P270:R270"/>
    <mergeCell ref="S270:U270"/>
    <mergeCell ref="C266:AD266"/>
    <mergeCell ref="C255:AD255"/>
    <mergeCell ref="B262:AD262"/>
    <mergeCell ref="D244:L244"/>
    <mergeCell ref="D245:L245"/>
    <mergeCell ref="D246:L246"/>
    <mergeCell ref="D247:L247"/>
    <mergeCell ref="D248:L248"/>
    <mergeCell ref="D249:L249"/>
    <mergeCell ref="B259:AE259"/>
    <mergeCell ref="B260:AE260"/>
    <mergeCell ref="B261:AE261"/>
    <mergeCell ref="D230:L230"/>
    <mergeCell ref="M230:R230"/>
    <mergeCell ref="D231:L231"/>
    <mergeCell ref="M231:R231"/>
    <mergeCell ref="D232:L232"/>
    <mergeCell ref="M232:R232"/>
    <mergeCell ref="AB225:AD225"/>
    <mergeCell ref="D227:L227"/>
    <mergeCell ref="M227:R227"/>
    <mergeCell ref="D228:L228"/>
    <mergeCell ref="M228:R228"/>
    <mergeCell ref="D229:L229"/>
    <mergeCell ref="M229:R229"/>
    <mergeCell ref="S240:U240"/>
    <mergeCell ref="V240:X240"/>
    <mergeCell ref="Y240:AA240"/>
    <mergeCell ref="AB240:AD240"/>
    <mergeCell ref="C209:AD209"/>
    <mergeCell ref="D201:I201"/>
    <mergeCell ref="D202:I202"/>
    <mergeCell ref="D203:I203"/>
    <mergeCell ref="C206:E206"/>
    <mergeCell ref="F206:AD206"/>
    <mergeCell ref="C208:AD208"/>
    <mergeCell ref="AA222:AD222"/>
    <mergeCell ref="C223:L226"/>
    <mergeCell ref="M223:R226"/>
    <mergeCell ref="S223:AD223"/>
    <mergeCell ref="S224:S226"/>
    <mergeCell ref="T224:T226"/>
    <mergeCell ref="U224:U226"/>
    <mergeCell ref="V224:AD224"/>
    <mergeCell ref="V225:X225"/>
    <mergeCell ref="Y225:AA225"/>
    <mergeCell ref="B216:AD216"/>
    <mergeCell ref="C217:AD217"/>
    <mergeCell ref="C218:AD218"/>
    <mergeCell ref="C219:AD219"/>
    <mergeCell ref="C220:AD220"/>
    <mergeCell ref="D187:I187"/>
    <mergeCell ref="J187:O187"/>
    <mergeCell ref="D188:I188"/>
    <mergeCell ref="J188:O188"/>
    <mergeCell ref="D183:I183"/>
    <mergeCell ref="J183:O183"/>
    <mergeCell ref="D184:I184"/>
    <mergeCell ref="J184:O184"/>
    <mergeCell ref="D185:I185"/>
    <mergeCell ref="J185:O185"/>
    <mergeCell ref="AB194:AD194"/>
    <mergeCell ref="D196:I196"/>
    <mergeCell ref="D197:I197"/>
    <mergeCell ref="D198:I198"/>
    <mergeCell ref="D199:I199"/>
    <mergeCell ref="D200:I200"/>
    <mergeCell ref="AA191:AD191"/>
    <mergeCell ref="C192:I195"/>
    <mergeCell ref="J192:AD192"/>
    <mergeCell ref="J193:AD193"/>
    <mergeCell ref="J194:L194"/>
    <mergeCell ref="M194:O194"/>
    <mergeCell ref="P194:R194"/>
    <mergeCell ref="S194:U194"/>
    <mergeCell ref="V194:X194"/>
    <mergeCell ref="Y194:AA194"/>
    <mergeCell ref="Y179:AA179"/>
    <mergeCell ref="AB179:AD179"/>
    <mergeCell ref="D181:I181"/>
    <mergeCell ref="J181:O181"/>
    <mergeCell ref="D182:I182"/>
    <mergeCell ref="J182:O182"/>
    <mergeCell ref="AA176:AD176"/>
    <mergeCell ref="C177:I180"/>
    <mergeCell ref="J177:O180"/>
    <mergeCell ref="P177:AD177"/>
    <mergeCell ref="P178:P180"/>
    <mergeCell ref="Q178:Q180"/>
    <mergeCell ref="R178:R180"/>
    <mergeCell ref="S178:AD178"/>
    <mergeCell ref="S179:U179"/>
    <mergeCell ref="V179:X179"/>
    <mergeCell ref="D186:I186"/>
    <mergeCell ref="J186:O186"/>
    <mergeCell ref="Y158:Z158"/>
    <mergeCell ref="AA158:AB158"/>
    <mergeCell ref="AC158:AD158"/>
    <mergeCell ref="C160:AD160"/>
    <mergeCell ref="C161:AD161"/>
    <mergeCell ref="B168:AD168"/>
    <mergeCell ref="M158:N158"/>
    <mergeCell ref="O158:P158"/>
    <mergeCell ref="Q158:R158"/>
    <mergeCell ref="S158:T158"/>
    <mergeCell ref="U158:V158"/>
    <mergeCell ref="W158:X158"/>
    <mergeCell ref="AC156:AD156"/>
    <mergeCell ref="D157:L157"/>
    <mergeCell ref="M157:N157"/>
    <mergeCell ref="O157:P157"/>
    <mergeCell ref="Q157:R157"/>
    <mergeCell ref="S157:T157"/>
    <mergeCell ref="U157:V157"/>
    <mergeCell ref="W157:X157"/>
    <mergeCell ref="Y157:Z157"/>
    <mergeCell ref="AA157:AB157"/>
    <mergeCell ref="AC157:AD157"/>
    <mergeCell ref="D156:L156"/>
    <mergeCell ref="M156:N156"/>
    <mergeCell ref="O156:P156"/>
    <mergeCell ref="Q156:R156"/>
    <mergeCell ref="S156:T156"/>
    <mergeCell ref="U156:V156"/>
    <mergeCell ref="W156:X156"/>
    <mergeCell ref="Y156:Z156"/>
    <mergeCell ref="AA156:AB156"/>
    <mergeCell ref="AC154:AD154"/>
    <mergeCell ref="D155:L155"/>
    <mergeCell ref="M155:N155"/>
    <mergeCell ref="O155:P155"/>
    <mergeCell ref="Q155:R155"/>
    <mergeCell ref="S155:T155"/>
    <mergeCell ref="U155:V155"/>
    <mergeCell ref="W155:X155"/>
    <mergeCell ref="Y155:Z155"/>
    <mergeCell ref="AA155:AB155"/>
    <mergeCell ref="AC155:AD155"/>
    <mergeCell ref="D154:L154"/>
    <mergeCell ref="M154:N154"/>
    <mergeCell ref="O154:P154"/>
    <mergeCell ref="Q154:R154"/>
    <mergeCell ref="S154:T154"/>
    <mergeCell ref="U154:V154"/>
    <mergeCell ref="W154:X154"/>
    <mergeCell ref="Y154:Z154"/>
    <mergeCell ref="AA154:AB154"/>
    <mergeCell ref="AC152:AD152"/>
    <mergeCell ref="D153:L153"/>
    <mergeCell ref="M153:N153"/>
    <mergeCell ref="O153:P153"/>
    <mergeCell ref="Q153:R153"/>
    <mergeCell ref="S153:T153"/>
    <mergeCell ref="U153:V153"/>
    <mergeCell ref="W153:X153"/>
    <mergeCell ref="Y153:Z153"/>
    <mergeCell ref="AA153:AB153"/>
    <mergeCell ref="AC153:AD153"/>
    <mergeCell ref="D152:L152"/>
    <mergeCell ref="M152:N152"/>
    <mergeCell ref="O152:P152"/>
    <mergeCell ref="Q152:R152"/>
    <mergeCell ref="S152:T152"/>
    <mergeCell ref="U152:V152"/>
    <mergeCell ref="W152:X152"/>
    <mergeCell ref="Y152:Z152"/>
    <mergeCell ref="AA152:AB152"/>
    <mergeCell ref="W150:X150"/>
    <mergeCell ref="Y150:Z150"/>
    <mergeCell ref="AA150:AB150"/>
    <mergeCell ref="AC150:AD150"/>
    <mergeCell ref="D151:L151"/>
    <mergeCell ref="M151:N151"/>
    <mergeCell ref="O151:P151"/>
    <mergeCell ref="Q151:R151"/>
    <mergeCell ref="S151:T151"/>
    <mergeCell ref="U151:V151"/>
    <mergeCell ref="D150:L150"/>
    <mergeCell ref="M150:N150"/>
    <mergeCell ref="O150:P150"/>
    <mergeCell ref="Q150:R150"/>
    <mergeCell ref="S150:T150"/>
    <mergeCell ref="U150:V150"/>
    <mergeCell ref="W151:X151"/>
    <mergeCell ref="Y151:Z151"/>
    <mergeCell ref="AA151:AB151"/>
    <mergeCell ref="AC151:AD151"/>
    <mergeCell ref="S148:X148"/>
    <mergeCell ref="Y148:AD148"/>
    <mergeCell ref="S149:T149"/>
    <mergeCell ref="U149:V149"/>
    <mergeCell ref="W149:X149"/>
    <mergeCell ref="Y149:Z149"/>
    <mergeCell ref="AA149:AB149"/>
    <mergeCell ref="AC149:AD149"/>
    <mergeCell ref="B141:AD141"/>
    <mergeCell ref="C142:AD142"/>
    <mergeCell ref="C143:AD143"/>
    <mergeCell ref="C145:AD145"/>
    <mergeCell ref="C147:L149"/>
    <mergeCell ref="M147:AD147"/>
    <mergeCell ref="M148:N149"/>
    <mergeCell ref="O148:P149"/>
    <mergeCell ref="Q148:R149"/>
    <mergeCell ref="C144:AD144"/>
    <mergeCell ref="C117:L120"/>
    <mergeCell ref="M117:AD117"/>
    <mergeCell ref="M119:O119"/>
    <mergeCell ref="P119:R119"/>
    <mergeCell ref="S119:U119"/>
    <mergeCell ref="V119:X119"/>
    <mergeCell ref="Y119:AA119"/>
    <mergeCell ref="AB119:AD119"/>
    <mergeCell ref="D109:L109"/>
    <mergeCell ref="D110:L110"/>
    <mergeCell ref="D111:L111"/>
    <mergeCell ref="D112:L112"/>
    <mergeCell ref="D113:L113"/>
    <mergeCell ref="AA116:AD116"/>
    <mergeCell ref="D127:L127"/>
    <mergeCell ref="D128:L128"/>
    <mergeCell ref="C131:E131"/>
    <mergeCell ref="F131:AD131"/>
    <mergeCell ref="M118:AD118"/>
    <mergeCell ref="D121:L121"/>
    <mergeCell ref="D122:L122"/>
    <mergeCell ref="D123:L123"/>
    <mergeCell ref="D124:L124"/>
    <mergeCell ref="D125:L125"/>
    <mergeCell ref="D126:L126"/>
    <mergeCell ref="D94:L94"/>
    <mergeCell ref="AA86:AD86"/>
    <mergeCell ref="C87:L90"/>
    <mergeCell ref="M87:AD87"/>
    <mergeCell ref="P89:R89"/>
    <mergeCell ref="S89:U89"/>
    <mergeCell ref="V89:X89"/>
    <mergeCell ref="C82:AD82"/>
    <mergeCell ref="C83:AD83"/>
    <mergeCell ref="C84:AD84"/>
    <mergeCell ref="V104:X104"/>
    <mergeCell ref="Y104:AA104"/>
    <mergeCell ref="AB104:AD104"/>
    <mergeCell ref="D106:L106"/>
    <mergeCell ref="D107:L107"/>
    <mergeCell ref="D108:L108"/>
    <mergeCell ref="D95:L95"/>
    <mergeCell ref="D96:L96"/>
    <mergeCell ref="D97:L97"/>
    <mergeCell ref="D98:L98"/>
    <mergeCell ref="AA101:AD101"/>
    <mergeCell ref="C102:L105"/>
    <mergeCell ref="M102:AD102"/>
    <mergeCell ref="M104:O104"/>
    <mergeCell ref="P104:R104"/>
    <mergeCell ref="S104:U104"/>
    <mergeCell ref="M103:AD103"/>
    <mergeCell ref="C44:AD44"/>
    <mergeCell ref="U36:V36"/>
    <mergeCell ref="W36:X36"/>
    <mergeCell ref="Y36:Z36"/>
    <mergeCell ref="AA36:AB36"/>
    <mergeCell ref="AC36:AD36"/>
    <mergeCell ref="D37:J37"/>
    <mergeCell ref="K37:N37"/>
    <mergeCell ref="O37:R37"/>
    <mergeCell ref="S37:T37"/>
    <mergeCell ref="U37:V37"/>
    <mergeCell ref="S41:T41"/>
    <mergeCell ref="U41:V41"/>
    <mergeCell ref="Y41:Z41"/>
    <mergeCell ref="AA41:AB41"/>
    <mergeCell ref="AC41:AD41"/>
    <mergeCell ref="D39:J39"/>
    <mergeCell ref="K39:N39"/>
    <mergeCell ref="AC39:AD39"/>
    <mergeCell ref="S42:T42"/>
    <mergeCell ref="U42:V42"/>
    <mergeCell ref="W42:X42"/>
    <mergeCell ref="Y42:Z42"/>
    <mergeCell ref="AA42:AB42"/>
    <mergeCell ref="AC42:AD42"/>
    <mergeCell ref="D40:J40"/>
    <mergeCell ref="K40:N40"/>
    <mergeCell ref="O40:R40"/>
    <mergeCell ref="S40:T40"/>
    <mergeCell ref="U40:V40"/>
    <mergeCell ref="W40:X40"/>
    <mergeCell ref="Y40:Z40"/>
    <mergeCell ref="AA39:AB39"/>
    <mergeCell ref="C32:J33"/>
    <mergeCell ref="K32:N33"/>
    <mergeCell ref="O32:R33"/>
    <mergeCell ref="S32:X32"/>
    <mergeCell ref="Y32:AD32"/>
    <mergeCell ref="S33:T33"/>
    <mergeCell ref="U33:V33"/>
    <mergeCell ref="W33:X33"/>
    <mergeCell ref="Y33:Z33"/>
    <mergeCell ref="AA33:AB33"/>
    <mergeCell ref="AC33:AD33"/>
    <mergeCell ref="D34:J34"/>
    <mergeCell ref="K34:N34"/>
    <mergeCell ref="O34:R34"/>
    <mergeCell ref="S34:T34"/>
    <mergeCell ref="Y34:Z34"/>
    <mergeCell ref="AA34:AB34"/>
    <mergeCell ref="AC34:AD34"/>
    <mergeCell ref="D35:J35"/>
    <mergeCell ref="K35:N35"/>
    <mergeCell ref="O35:R35"/>
    <mergeCell ref="S35:T35"/>
    <mergeCell ref="U35:V35"/>
    <mergeCell ref="W35:X35"/>
    <mergeCell ref="K36:N36"/>
    <mergeCell ref="O36:R36"/>
    <mergeCell ref="S36:T36"/>
    <mergeCell ref="W41:X41"/>
    <mergeCell ref="B54:AD54"/>
    <mergeCell ref="B1:AD1"/>
    <mergeCell ref="B3:AD3"/>
    <mergeCell ref="B5:AD5"/>
    <mergeCell ref="AA7:AD7"/>
    <mergeCell ref="B8:L8"/>
    <mergeCell ref="N8:O8"/>
    <mergeCell ref="C11:AD11"/>
    <mergeCell ref="C12:AD12"/>
    <mergeCell ref="C13:AD13"/>
    <mergeCell ref="C16:AD16"/>
    <mergeCell ref="C17:AD17"/>
    <mergeCell ref="C18:AD18"/>
    <mergeCell ref="C27:AD27"/>
    <mergeCell ref="C29:AD29"/>
    <mergeCell ref="C30:AD30"/>
    <mergeCell ref="B52:AD52"/>
    <mergeCell ref="W37:X37"/>
    <mergeCell ref="Y37:Z37"/>
    <mergeCell ref="AA37:AB37"/>
    <mergeCell ref="AC37:AD37"/>
    <mergeCell ref="D38:J38"/>
    <mergeCell ref="K38:N38"/>
    <mergeCell ref="O38:R38"/>
    <mergeCell ref="S38:T38"/>
    <mergeCell ref="U38:V38"/>
    <mergeCell ref="W38:X38"/>
    <mergeCell ref="Y38:Z38"/>
    <mergeCell ref="AA38:AB38"/>
    <mergeCell ref="AC38:AD38"/>
    <mergeCell ref="Y39:Z39"/>
    <mergeCell ref="C55:AD55"/>
    <mergeCell ref="C70:AD70"/>
    <mergeCell ref="C71:AD71"/>
    <mergeCell ref="B80:AD80"/>
    <mergeCell ref="C81:AD81"/>
    <mergeCell ref="B78:AD78"/>
    <mergeCell ref="Y89:AA89"/>
    <mergeCell ref="AB89:AD89"/>
    <mergeCell ref="D91:L91"/>
    <mergeCell ref="D92:L92"/>
    <mergeCell ref="D93:L93"/>
    <mergeCell ref="B10:AD10"/>
    <mergeCell ref="B19:AD19"/>
    <mergeCell ref="B22:AD22"/>
    <mergeCell ref="B23:AD23"/>
    <mergeCell ref="C24:AD24"/>
    <mergeCell ref="P88:AD88"/>
    <mergeCell ref="M88:M90"/>
    <mergeCell ref="N88:N90"/>
    <mergeCell ref="O88:O90"/>
    <mergeCell ref="Y35:Z35"/>
    <mergeCell ref="AA35:AB35"/>
    <mergeCell ref="AC35:AD35"/>
    <mergeCell ref="D36:J36"/>
    <mergeCell ref="C14:AD14"/>
    <mergeCell ref="C15:AD15"/>
    <mergeCell ref="C20:AD20"/>
    <mergeCell ref="B26:AD26"/>
    <mergeCell ref="C28:AD28"/>
    <mergeCell ref="C45:AD45"/>
    <mergeCell ref="U34:V34"/>
    <mergeCell ref="W34:X34"/>
    <mergeCell ref="I670:L671"/>
    <mergeCell ref="M670:AD670"/>
    <mergeCell ref="M671:N671"/>
    <mergeCell ref="O671:P671"/>
    <mergeCell ref="Q671:R671"/>
    <mergeCell ref="S671:T671"/>
    <mergeCell ref="U671:V671"/>
    <mergeCell ref="D673:H673"/>
    <mergeCell ref="I673:L673"/>
    <mergeCell ref="M673:N673"/>
    <mergeCell ref="O673:P673"/>
    <mergeCell ref="Q673:R673"/>
    <mergeCell ref="S673:T673"/>
    <mergeCell ref="U673:V673"/>
    <mergeCell ref="W673:X673"/>
    <mergeCell ref="Y673:Z673"/>
    <mergeCell ref="AA673:AB673"/>
    <mergeCell ref="AC673:AD673"/>
    <mergeCell ref="D672:H672"/>
    <mergeCell ref="I672:L672"/>
    <mergeCell ref="M672:N672"/>
    <mergeCell ref="O672:P672"/>
    <mergeCell ref="Q672:R672"/>
    <mergeCell ref="S672:T672"/>
    <mergeCell ref="U672:V672"/>
    <mergeCell ref="W672:X672"/>
    <mergeCell ref="Y672:Z672"/>
    <mergeCell ref="AA674:AB674"/>
    <mergeCell ref="AC674:AD674"/>
    <mergeCell ref="D675:H675"/>
    <mergeCell ref="I675:L675"/>
    <mergeCell ref="M675:N675"/>
    <mergeCell ref="O675:P675"/>
    <mergeCell ref="Q675:R675"/>
    <mergeCell ref="S675:T675"/>
    <mergeCell ref="U675:V675"/>
    <mergeCell ref="W675:X675"/>
    <mergeCell ref="Y675:Z675"/>
    <mergeCell ref="AA675:AB675"/>
    <mergeCell ref="AC675:AD675"/>
    <mergeCell ref="D674:H674"/>
    <mergeCell ref="I674:L674"/>
    <mergeCell ref="M674:N674"/>
    <mergeCell ref="O674:P674"/>
    <mergeCell ref="Q674:R674"/>
    <mergeCell ref="S674:T674"/>
    <mergeCell ref="U674:V674"/>
    <mergeCell ref="W674:X674"/>
    <mergeCell ref="Y674:Z674"/>
    <mergeCell ref="AA676:AB676"/>
    <mergeCell ref="AC676:AD676"/>
    <mergeCell ref="D677:H677"/>
    <mergeCell ref="I677:L677"/>
    <mergeCell ref="M677:N677"/>
    <mergeCell ref="O677:P677"/>
    <mergeCell ref="Q677:R677"/>
    <mergeCell ref="S677:T677"/>
    <mergeCell ref="U677:V677"/>
    <mergeCell ref="W677:X677"/>
    <mergeCell ref="Y677:Z677"/>
    <mergeCell ref="AA677:AB677"/>
    <mergeCell ref="AC677:AD677"/>
    <mergeCell ref="D676:H676"/>
    <mergeCell ref="I676:L676"/>
    <mergeCell ref="M676:N676"/>
    <mergeCell ref="O676:P676"/>
    <mergeCell ref="Q676:R676"/>
    <mergeCell ref="S676:T676"/>
    <mergeCell ref="U676:V676"/>
    <mergeCell ref="W676:X676"/>
    <mergeCell ref="Y676:Z676"/>
    <mergeCell ref="AA678:AB678"/>
    <mergeCell ref="AC678:AD678"/>
    <mergeCell ref="D679:H679"/>
    <mergeCell ref="I679:L679"/>
    <mergeCell ref="M679:N679"/>
    <mergeCell ref="O679:P679"/>
    <mergeCell ref="Q679:R679"/>
    <mergeCell ref="S679:T679"/>
    <mergeCell ref="U679:V679"/>
    <mergeCell ref="W679:X679"/>
    <mergeCell ref="Y679:Z679"/>
    <mergeCell ref="AA679:AB679"/>
    <mergeCell ref="AC679:AD679"/>
    <mergeCell ref="D678:H678"/>
    <mergeCell ref="I678:L678"/>
    <mergeCell ref="M678:N678"/>
    <mergeCell ref="O678:P678"/>
    <mergeCell ref="Q678:R678"/>
    <mergeCell ref="S678:T678"/>
    <mergeCell ref="U678:V678"/>
    <mergeCell ref="W678:X678"/>
    <mergeCell ref="Y678:Z678"/>
    <mergeCell ref="M680:N680"/>
    <mergeCell ref="O680:P680"/>
    <mergeCell ref="Q680:R680"/>
    <mergeCell ref="S680:T680"/>
    <mergeCell ref="U680:V680"/>
    <mergeCell ref="W680:X680"/>
    <mergeCell ref="Y680:Z680"/>
    <mergeCell ref="AA680:AB680"/>
    <mergeCell ref="AC680:AD680"/>
    <mergeCell ref="C705:L706"/>
    <mergeCell ref="M705:R706"/>
    <mergeCell ref="S705:AD705"/>
    <mergeCell ref="S706:V706"/>
    <mergeCell ref="W706:Z706"/>
    <mergeCell ref="AA706:AD706"/>
    <mergeCell ref="D707:L707"/>
    <mergeCell ref="M707:R707"/>
    <mergeCell ref="S707:V707"/>
    <mergeCell ref="W707:Z707"/>
    <mergeCell ref="AA707:AD707"/>
    <mergeCell ref="B692:AD692"/>
    <mergeCell ref="B693:AD693"/>
    <mergeCell ref="B697:AD697"/>
    <mergeCell ref="C700:AD700"/>
    <mergeCell ref="C701:AD701"/>
    <mergeCell ref="D708:L708"/>
    <mergeCell ref="M708:R708"/>
    <mergeCell ref="S708:V708"/>
    <mergeCell ref="W708:Z708"/>
    <mergeCell ref="AA708:AD708"/>
    <mergeCell ref="D709:L709"/>
    <mergeCell ref="M709:R709"/>
    <mergeCell ref="S709:V709"/>
    <mergeCell ref="W709:Z709"/>
    <mergeCell ref="AA709:AD709"/>
    <mergeCell ref="D712:L712"/>
    <mergeCell ref="M712:R712"/>
    <mergeCell ref="S712:V712"/>
    <mergeCell ref="W712:Z712"/>
    <mergeCell ref="AA712:AD712"/>
    <mergeCell ref="D713:L713"/>
    <mergeCell ref="C684:AD684"/>
    <mergeCell ref="C685:AD685"/>
    <mergeCell ref="D710:L710"/>
    <mergeCell ref="M713:R713"/>
    <mergeCell ref="S713:V713"/>
    <mergeCell ref="W713:Z713"/>
    <mergeCell ref="AA713:AD713"/>
    <mergeCell ref="D714:L714"/>
    <mergeCell ref="M714:R714"/>
    <mergeCell ref="S714:V714"/>
    <mergeCell ref="W714:Z714"/>
    <mergeCell ref="AA714:AD714"/>
    <mergeCell ref="M710:R710"/>
    <mergeCell ref="S710:V710"/>
    <mergeCell ref="W710:Z710"/>
    <mergeCell ref="AA710:AD710"/>
    <mergeCell ref="D711:L711"/>
    <mergeCell ref="M711:R711"/>
    <mergeCell ref="S711:V711"/>
    <mergeCell ref="W711:Z711"/>
    <mergeCell ref="AA711:AD711"/>
    <mergeCell ref="M730:R730"/>
    <mergeCell ref="D731:L731"/>
    <mergeCell ref="M731:R731"/>
    <mergeCell ref="D732:L732"/>
    <mergeCell ref="M732:R732"/>
    <mergeCell ref="D733:L733"/>
    <mergeCell ref="M733:R733"/>
    <mergeCell ref="D734:L734"/>
    <mergeCell ref="M734:R734"/>
    <mergeCell ref="D730:L730"/>
    <mergeCell ref="D735:L735"/>
    <mergeCell ref="S715:V715"/>
    <mergeCell ref="W715:Z715"/>
    <mergeCell ref="AA715:AD715"/>
    <mergeCell ref="C717:AD717"/>
    <mergeCell ref="C718:AD718"/>
    <mergeCell ref="C727:L729"/>
    <mergeCell ref="M727:R729"/>
    <mergeCell ref="S727:AD727"/>
    <mergeCell ref="S728:S729"/>
    <mergeCell ref="T728:T729"/>
    <mergeCell ref="U728:U729"/>
    <mergeCell ref="V728:X728"/>
    <mergeCell ref="Y728:AA728"/>
    <mergeCell ref="AB728:AD728"/>
    <mergeCell ref="C752:L753"/>
    <mergeCell ref="M752:AD752"/>
    <mergeCell ref="M753:R753"/>
    <mergeCell ref="S753:X753"/>
    <mergeCell ref="Y753:AD753"/>
    <mergeCell ref="D754:L754"/>
    <mergeCell ref="M754:R754"/>
    <mergeCell ref="S754:X754"/>
    <mergeCell ref="Y754:AD754"/>
    <mergeCell ref="M735:R735"/>
    <mergeCell ref="D736:L736"/>
    <mergeCell ref="M736:R736"/>
    <mergeCell ref="D737:L737"/>
    <mergeCell ref="M737:R737"/>
    <mergeCell ref="C740:AD740"/>
    <mergeCell ref="C741:AD741"/>
    <mergeCell ref="B748:AD748"/>
    <mergeCell ref="C750:AD750"/>
    <mergeCell ref="C749:AD749"/>
    <mergeCell ref="B743:AE743"/>
    <mergeCell ref="B744:AE744"/>
    <mergeCell ref="B745:AE745"/>
    <mergeCell ref="B746:AE746"/>
    <mergeCell ref="B747:AE747"/>
    <mergeCell ref="D758:L758"/>
    <mergeCell ref="M758:R758"/>
    <mergeCell ref="S758:X758"/>
    <mergeCell ref="Y758:AD758"/>
    <mergeCell ref="D759:L759"/>
    <mergeCell ref="M759:R759"/>
    <mergeCell ref="S759:X759"/>
    <mergeCell ref="Y759:AD759"/>
    <mergeCell ref="D760:L760"/>
    <mergeCell ref="M760:R760"/>
    <mergeCell ref="S760:X760"/>
    <mergeCell ref="Y760:AD760"/>
    <mergeCell ref="D755:L755"/>
    <mergeCell ref="M755:R755"/>
    <mergeCell ref="S755:X755"/>
    <mergeCell ref="Y755:AD755"/>
    <mergeCell ref="D756:L756"/>
    <mergeCell ref="M756:R756"/>
    <mergeCell ref="S756:X756"/>
    <mergeCell ref="Y756:AD756"/>
    <mergeCell ref="D757:L757"/>
    <mergeCell ref="M757:R757"/>
    <mergeCell ref="S757:X757"/>
    <mergeCell ref="Y757:AD757"/>
    <mergeCell ref="S761:X761"/>
    <mergeCell ref="Y761:AD761"/>
    <mergeCell ref="M762:R762"/>
    <mergeCell ref="S762:X762"/>
    <mergeCell ref="Y762:AD762"/>
    <mergeCell ref="C764:AD764"/>
    <mergeCell ref="C765:AD765"/>
    <mergeCell ref="Y786:AD786"/>
    <mergeCell ref="B772:AD772"/>
    <mergeCell ref="C774:AD774"/>
    <mergeCell ref="C776:L777"/>
    <mergeCell ref="M776:AD776"/>
    <mergeCell ref="M777:R777"/>
    <mergeCell ref="S777:X777"/>
    <mergeCell ref="Y777:AD777"/>
    <mergeCell ref="D778:L778"/>
    <mergeCell ref="M778:R778"/>
    <mergeCell ref="S778:X778"/>
    <mergeCell ref="Y778:AD778"/>
    <mergeCell ref="D761:L761"/>
    <mergeCell ref="M761:R761"/>
    <mergeCell ref="C773:AD773"/>
    <mergeCell ref="B766:AE766"/>
    <mergeCell ref="B767:AE767"/>
    <mergeCell ref="B768:AE768"/>
    <mergeCell ref="B769:AE769"/>
    <mergeCell ref="B770:AE770"/>
    <mergeCell ref="C788:AD788"/>
    <mergeCell ref="C789:AD789"/>
    <mergeCell ref="D782:L782"/>
    <mergeCell ref="M782:R782"/>
    <mergeCell ref="S782:X782"/>
    <mergeCell ref="Y782:AD782"/>
    <mergeCell ref="D783:L783"/>
    <mergeCell ref="M783:R783"/>
    <mergeCell ref="S783:X783"/>
    <mergeCell ref="Y783:AD783"/>
    <mergeCell ref="D784:L784"/>
    <mergeCell ref="M784:R784"/>
    <mergeCell ref="S784:X784"/>
    <mergeCell ref="Y784:AD784"/>
    <mergeCell ref="D779:L779"/>
    <mergeCell ref="M779:R779"/>
    <mergeCell ref="S779:X779"/>
    <mergeCell ref="Y779:AD779"/>
    <mergeCell ref="D780:L780"/>
    <mergeCell ref="M780:R780"/>
    <mergeCell ref="S780:X780"/>
    <mergeCell ref="Y780:AD780"/>
    <mergeCell ref="D781:L781"/>
    <mergeCell ref="M781:R781"/>
    <mergeCell ref="S781:X781"/>
    <mergeCell ref="Y781:AD781"/>
    <mergeCell ref="D785:L785"/>
    <mergeCell ref="M785:R785"/>
    <mergeCell ref="S785:X785"/>
    <mergeCell ref="Y785:AD785"/>
    <mergeCell ref="M786:R786"/>
    <mergeCell ref="S786:X786"/>
  </mergeCells>
  <conditionalFormatting sqref="C29:AD29">
    <cfRule type="expression" dxfId="422" priority="65">
      <formula>AM42&gt;0</formula>
    </cfRule>
  </conditionalFormatting>
  <conditionalFormatting sqref="C30:AD30">
    <cfRule type="expression" dxfId="421" priority="64">
      <formula>AP42&gt;0</formula>
    </cfRule>
  </conditionalFormatting>
  <conditionalFormatting sqref="C82:AD82">
    <cfRule type="expression" dxfId="420" priority="61">
      <formula>BE99&gt;0</formula>
    </cfRule>
  </conditionalFormatting>
  <conditionalFormatting sqref="C83:AD83">
    <cfRule type="expression" dxfId="419" priority="60">
      <formula>AND(BT129&gt;0,C134="")</formula>
    </cfRule>
  </conditionalFormatting>
  <conditionalFormatting sqref="C144:AD144">
    <cfRule type="expression" dxfId="418" priority="58">
      <formula>AV158&gt;0</formula>
    </cfRule>
  </conditionalFormatting>
  <conditionalFormatting sqref="C145:AD145">
    <cfRule type="expression" dxfId="417" priority="57">
      <formula>AND(BB158&gt;0,C161="")</formula>
    </cfRule>
  </conditionalFormatting>
  <conditionalFormatting sqref="C173:AD173">
    <cfRule type="expression" dxfId="416" priority="56">
      <formula>AND(BZ204&gt;0,C209="")</formula>
    </cfRule>
  </conditionalFormatting>
  <conditionalFormatting sqref="C218:AD218">
    <cfRule type="expression" dxfId="415" priority="53">
      <formula>AY235&gt;0</formula>
    </cfRule>
  </conditionalFormatting>
  <conditionalFormatting sqref="C219:AD219">
    <cfRule type="expression" dxfId="414" priority="52">
      <formula>AND(BT250&gt;0,C255="")</formula>
    </cfRule>
  </conditionalFormatting>
  <conditionalFormatting sqref="C264:AD264">
    <cfRule type="expression" dxfId="413" priority="49">
      <formula>BK280&gt;0</formula>
    </cfRule>
  </conditionalFormatting>
  <conditionalFormatting sqref="C265:AD265">
    <cfRule type="expression" dxfId="412" priority="48">
      <formula>AND(CF295&gt;0,C299="")</formula>
    </cfRule>
  </conditionalFormatting>
  <conditionalFormatting sqref="C308:AD308">
    <cfRule type="expression" dxfId="411" priority="46">
      <formula>BK323&gt;0</formula>
    </cfRule>
  </conditionalFormatting>
  <conditionalFormatting sqref="C309:AD309">
    <cfRule type="expression" dxfId="410" priority="45">
      <formula>AND(CF323&gt;0,C328="")</formula>
    </cfRule>
  </conditionalFormatting>
  <conditionalFormatting sqref="C367:AD367">
    <cfRule type="expression" dxfId="409" priority="42">
      <formula>BB384&gt;0</formula>
    </cfRule>
  </conditionalFormatting>
  <conditionalFormatting sqref="C368:AD368">
    <cfRule type="expression" dxfId="408" priority="41">
      <formula>AND(CC400&gt;0,C404="")</formula>
    </cfRule>
  </conditionalFormatting>
  <conditionalFormatting sqref="C413:AD413">
    <cfRule type="expression" dxfId="407" priority="36">
      <formula>BB429&gt;0</formula>
    </cfRule>
  </conditionalFormatting>
  <conditionalFormatting sqref="C414:AD414">
    <cfRule type="expression" dxfId="406" priority="35">
      <formula>AND(BT444&gt;0,C448="")</formula>
    </cfRule>
  </conditionalFormatting>
  <conditionalFormatting sqref="C457:AD457">
    <cfRule type="expression" dxfId="405" priority="32">
      <formula>BB473&gt;0</formula>
    </cfRule>
  </conditionalFormatting>
  <conditionalFormatting sqref="C458:AD458">
    <cfRule type="expression" dxfId="404" priority="31">
      <formula>AND(BN488&gt;0,C492="")</formula>
    </cfRule>
  </conditionalFormatting>
  <conditionalFormatting sqref="C501:AD501">
    <cfRule type="expression" dxfId="403" priority="28">
      <formula>BB517&gt;0</formula>
    </cfRule>
  </conditionalFormatting>
  <conditionalFormatting sqref="C502:AD502">
    <cfRule type="expression" dxfId="402" priority="27">
      <formula>AND(BN532&gt;0,C536="")</formula>
    </cfRule>
  </conditionalFormatting>
  <conditionalFormatting sqref="C545:AD545">
    <cfRule type="expression" dxfId="401" priority="23">
      <formula>BB561&gt;0</formula>
    </cfRule>
  </conditionalFormatting>
  <conditionalFormatting sqref="C546:AD546">
    <cfRule type="expression" dxfId="400" priority="22">
      <formula>AND(BW590&gt;0,C594="")</formula>
    </cfRule>
  </conditionalFormatting>
  <conditionalFormatting sqref="C605:AD605">
    <cfRule type="expression" dxfId="399" priority="20">
      <formula>BH621&gt;0</formula>
    </cfRule>
  </conditionalFormatting>
  <conditionalFormatting sqref="C606:AD606">
    <cfRule type="expression" dxfId="398" priority="19">
      <formula>AND(CC621&gt;0,C626="")</formula>
    </cfRule>
  </conditionalFormatting>
  <conditionalFormatting sqref="C636:AD636">
    <cfRule type="expression" dxfId="397" priority="18">
      <formula>BK652&gt;0</formula>
    </cfRule>
  </conditionalFormatting>
  <conditionalFormatting sqref="C637:AD637">
    <cfRule type="expression" dxfId="396" priority="17">
      <formula>AND(CI652&gt;0,C657="")</formula>
    </cfRule>
  </conditionalFormatting>
  <conditionalFormatting sqref="C750:AD750">
    <cfRule type="expression" dxfId="395" priority="10">
      <formula>AP762&gt;0</formula>
    </cfRule>
  </conditionalFormatting>
  <conditionalFormatting sqref="C774:AD774">
    <cfRule type="expression" dxfId="394" priority="8">
      <formula>AP786&gt;0</formula>
    </cfRule>
  </conditionalFormatting>
  <conditionalFormatting sqref="F131:AD131">
    <cfRule type="expression" dxfId="393" priority="91">
      <formula>AND(AB129&gt;0,AB129&lt;&gt;"NA",AB129&lt;&gt;"NS",F131="")</formula>
    </cfRule>
    <cfRule type="expression" dxfId="392" priority="90">
      <formula>OR(AB129=0,AB129="NA",AB129="NS")</formula>
    </cfRule>
  </conditionalFormatting>
  <conditionalFormatting sqref="F206:AD206">
    <cfRule type="expression" dxfId="391" priority="88">
      <formula>OR(AB204=0,AB204="NA",AB204="NS")</formula>
    </cfRule>
    <cfRule type="expression" dxfId="390" priority="89">
      <formula>AND(AB204&gt;0,AB204&lt;&gt;"NA",AB204&lt;&gt;"NS",F206="")</formula>
    </cfRule>
  </conditionalFormatting>
  <conditionalFormatting sqref="F252:AD252">
    <cfRule type="expression" dxfId="389" priority="86">
      <formula>OR(AB250=0,AB250="NA",AB250="NS")</formula>
    </cfRule>
    <cfRule type="expression" dxfId="388" priority="87">
      <formula>AND(AB250&gt;0,AB250&lt;&gt;"NA",AB250&lt;&gt;"NS",F252="")</formula>
    </cfRule>
  </conditionalFormatting>
  <conditionalFormatting sqref="F296:AD296">
    <cfRule type="expression" dxfId="387" priority="85">
      <formula>AND(AB294&gt;0,AB294&lt;&gt;"NA",AB294&lt;&gt;"NS",F296="")</formula>
    </cfRule>
    <cfRule type="expression" dxfId="386" priority="84">
      <formula>OR(AB294=0,AB294="NA",AB294="NS")</formula>
    </cfRule>
  </conditionalFormatting>
  <conditionalFormatting sqref="F325:AD325">
    <cfRule type="expression" dxfId="385" priority="82">
      <formula>OR(AB323=0,AB323="NA",AB323="NS")</formula>
    </cfRule>
    <cfRule type="expression" dxfId="384" priority="83">
      <formula>AND(AB323&gt;0,AB323&lt;&gt;"NA",AB323&lt;&gt;"NS",F325="")</formula>
    </cfRule>
  </conditionalFormatting>
  <conditionalFormatting sqref="F401:AD401">
    <cfRule type="expression" dxfId="383" priority="81">
      <formula>AND(AB399&gt;0,AB399&lt;&gt;"NA",AB399&lt;&gt;"NS",F401="")</formula>
    </cfRule>
    <cfRule type="expression" dxfId="382" priority="80">
      <formula>OR(AB399=0,AB399="NA",AB399="NS")</formula>
    </cfRule>
  </conditionalFormatting>
  <conditionalFormatting sqref="F445:AD445">
    <cfRule type="expression" dxfId="381" priority="79">
      <formula>AND(AB443&gt;0,AB443&lt;&gt;"NA",AB443&lt;&gt;"NS",F445="")</formula>
    </cfRule>
    <cfRule type="expression" dxfId="380" priority="78">
      <formula>OR(AB443=0,AB443="NA",AB443="NS")</formula>
    </cfRule>
  </conditionalFormatting>
  <conditionalFormatting sqref="F489:AD489">
    <cfRule type="expression" dxfId="379" priority="77">
      <formula>AND(AB487&gt;0,AB487&lt;&gt;"NA",AB487&lt;&gt;"NS",F489="")</formula>
    </cfRule>
    <cfRule type="expression" dxfId="378" priority="76">
      <formula>OR(AB487=0,AB487="NA",AB487="NS")</formula>
    </cfRule>
  </conditionalFormatting>
  <conditionalFormatting sqref="F533:AD533">
    <cfRule type="expression" dxfId="377" priority="74">
      <formula>OR(AB531=0,AB531="NA",AB531="NS")</formula>
    </cfRule>
    <cfRule type="expression" dxfId="376" priority="75">
      <formula>AND(AB531&gt;0,AB531&lt;&gt;"NA",AB531&lt;&gt;"NS",F533="")</formula>
    </cfRule>
  </conditionalFormatting>
  <conditionalFormatting sqref="F591:AD591">
    <cfRule type="expression" dxfId="375" priority="73">
      <formula>AND(AB589&gt;0,AB589&lt;&gt;"NA",AB589&lt;&gt;"NS",F591="")</formula>
    </cfRule>
    <cfRule type="expression" dxfId="374" priority="72">
      <formula>OR(AB589=0,AB589="NA",AB589="NS")</formula>
    </cfRule>
  </conditionalFormatting>
  <conditionalFormatting sqref="F623:AD623">
    <cfRule type="expression" dxfId="373" priority="70">
      <formula>OR(AB621=0,AB621="NA",AB621="NS")</formula>
    </cfRule>
    <cfRule type="expression" dxfId="372" priority="71">
      <formula>AND(AB621&gt;0,AB621&lt;&gt;"NA",AB621&lt;&gt;"NS",F623="")</formula>
    </cfRule>
  </conditionalFormatting>
  <conditionalFormatting sqref="F654:AD654">
    <cfRule type="expression" dxfId="371" priority="68">
      <formula>OR(AB652=0,AB652="NA",AB652="NS")</formula>
    </cfRule>
    <cfRule type="expression" dxfId="370" priority="69">
      <formula>AND(AB652&gt;0,AB652&lt;&gt;"NA",AB652&lt;&gt;"NS",F654="")</formula>
    </cfRule>
  </conditionalFormatting>
  <conditionalFormatting sqref="F682:AD682">
    <cfRule type="expression" dxfId="369" priority="66">
      <formula>OR(AC680=0,AC680="NA",AC680="NS")</formula>
    </cfRule>
    <cfRule type="expression" dxfId="368" priority="67">
      <formula>AND(AC680&gt;0,AC680&lt;&gt;"NA",AC680&lt;&gt;"NS",F682="")</formula>
    </cfRule>
  </conditionalFormatting>
  <conditionalFormatting sqref="G272:AD279">
    <cfRule type="expression" dxfId="367" priority="51">
      <formula>OR($M242=0,$M242="NS",$M242="NA")</formula>
    </cfRule>
  </conditionalFormatting>
  <conditionalFormatting sqref="G286:AD293">
    <cfRule type="expression" dxfId="366" priority="50">
      <formula>OR($M242=0,$M242="NS",$M242="NA")</formula>
    </cfRule>
  </conditionalFormatting>
  <conditionalFormatting sqref="G315:AD322">
    <cfRule type="expression" dxfId="365" priority="47">
      <formula>OR($P242=0,$P242="NS",$P242="NA")</formula>
    </cfRule>
  </conditionalFormatting>
  <conditionalFormatting sqref="G391:AD398">
    <cfRule type="expression" dxfId="364" priority="39">
      <formula>$L376&gt;1</formula>
    </cfRule>
  </conditionalFormatting>
  <conditionalFormatting sqref="J181:AD188">
    <cfRule type="expression" dxfId="363" priority="4">
      <formula>OR($S150=0,$S150="NS",$S150="NA")</formula>
    </cfRule>
  </conditionalFormatting>
  <conditionalFormatting sqref="J196:AD203">
    <cfRule type="expression" dxfId="362" priority="3">
      <formula>OR($S150=0,$S150="NS",$S150="NA")</formula>
    </cfRule>
    <cfRule type="expression" dxfId="361" priority="1">
      <formula>$J181&gt;1</formula>
    </cfRule>
  </conditionalFormatting>
  <conditionalFormatting sqref="J567:AD574">
    <cfRule type="expression" dxfId="360" priority="25">
      <formula>OR($S391=0,$S391="NS",$S391="NA")</formula>
    </cfRule>
  </conditionalFormatting>
  <conditionalFormatting sqref="J581:AD588">
    <cfRule type="expression" dxfId="359" priority="24">
      <formula>OR($S391=0,$S391="NS",$S391="NA")</formula>
    </cfRule>
  </conditionalFormatting>
  <conditionalFormatting sqref="J613:AD620">
    <cfRule type="expression" dxfId="358" priority="21">
      <formula>$G613&gt;1</formula>
    </cfRule>
  </conditionalFormatting>
  <conditionalFormatting sqref="M150:AD157">
    <cfRule type="expression" dxfId="357" priority="59">
      <formula>OR($M91=0,$M91="NS",$M91="NA")</formula>
    </cfRule>
  </conditionalFormatting>
  <conditionalFormatting sqref="M242:AD249">
    <cfRule type="expression" dxfId="356" priority="54">
      <formula>$M227&gt;1</formula>
    </cfRule>
  </conditionalFormatting>
  <conditionalFormatting sqref="M435:AD442">
    <cfRule type="expression" dxfId="355" priority="37">
      <formula>OR($V376=0,$V376="NS",$V376="NA")</formula>
    </cfRule>
  </conditionalFormatting>
  <conditionalFormatting sqref="M672:AD679">
    <cfRule type="expression" dxfId="354" priority="16">
      <formula>$I672&gt;1</formula>
    </cfRule>
  </conditionalFormatting>
  <conditionalFormatting sqref="M754:AD761">
    <cfRule type="expression" dxfId="353" priority="11">
      <formula>OR($S707=0,$S707="NS",$S707="NA")</formula>
    </cfRule>
  </conditionalFormatting>
  <conditionalFormatting sqref="M778:AD785">
    <cfRule type="expression" dxfId="352" priority="9">
      <formula>OR($S707=0,$S707="NS",$S707="NA")</formula>
    </cfRule>
  </conditionalFormatting>
  <conditionalFormatting sqref="O34:AD41">
    <cfRule type="expression" dxfId="351" priority="63">
      <formula>$K34&gt;1</formula>
    </cfRule>
  </conditionalFormatting>
  <conditionalFormatting sqref="P181:AD188">
    <cfRule type="expression" dxfId="350" priority="2">
      <formula>$J181&gt;1</formula>
    </cfRule>
  </conditionalFormatting>
  <conditionalFormatting sqref="P376:AD383">
    <cfRule type="expression" dxfId="349" priority="40">
      <formula>$L376&gt;1</formula>
    </cfRule>
  </conditionalFormatting>
  <conditionalFormatting sqref="P421:AD428">
    <cfRule type="expression" dxfId="348" priority="38">
      <formula>OR($V376=0,$V376="NS",$V376="NA")</formula>
    </cfRule>
  </conditionalFormatting>
  <conditionalFormatting sqref="P465:AD472">
    <cfRule type="expression" dxfId="347" priority="34">
      <formula>OR($G391=0,$G391="NS",$G391="NA")</formula>
    </cfRule>
  </conditionalFormatting>
  <conditionalFormatting sqref="P479:AD486">
    <cfRule type="expression" dxfId="346" priority="33">
      <formula>OR($G391=0,$G391="NS",$G391="NA")</formula>
    </cfRule>
  </conditionalFormatting>
  <conditionalFormatting sqref="P509:AD516">
    <cfRule type="expression" dxfId="345" priority="30">
      <formula>OR($J391=0,$J391="NS",$J391="NA")</formula>
    </cfRule>
  </conditionalFormatting>
  <conditionalFormatting sqref="P523:AD530">
    <cfRule type="expression" dxfId="344" priority="29">
      <formula>OR($J391=0,$J391="NS",$J391="NA")</formula>
    </cfRule>
  </conditionalFormatting>
  <conditionalFormatting sqref="P553:AD560">
    <cfRule type="expression" dxfId="343" priority="26">
      <formula>OR($S391=0,$S391="NS",$S391="NA")</formula>
    </cfRule>
  </conditionalFormatting>
  <conditionalFormatting sqref="S341:X348">
    <cfRule type="expression" dxfId="342" priority="44">
      <formula>OR($M242=0,$M242="NS",$M242="NA")</formula>
    </cfRule>
  </conditionalFormatting>
  <conditionalFormatting sqref="S227:AD234">
    <cfRule type="expression" dxfId="341" priority="55">
      <formula>$M227&gt;1</formula>
    </cfRule>
  </conditionalFormatting>
  <conditionalFormatting sqref="S707:AD714">
    <cfRule type="expression" dxfId="340" priority="15">
      <formula>$M707&gt;1</formula>
    </cfRule>
  </conditionalFormatting>
  <conditionalFormatting sqref="S730:AD737">
    <cfRule type="expression" dxfId="339" priority="13">
      <formula>$M730&gt;1</formula>
    </cfRule>
  </conditionalFormatting>
  <conditionalFormatting sqref="Y341:AD348">
    <cfRule type="expression" dxfId="338" priority="43">
      <formula>OR($P242=0,$P242="NS",$P242="NA")</formula>
    </cfRule>
  </conditionalFormatting>
  <dataValidations count="1">
    <dataValidation type="list" allowBlank="1" showInputMessage="1" showErrorMessage="1" sqref="K34:R41 J181:O188 S341:AD348 M227:R234 G613:I620 M707:R714 M730:R737 L376:O383 I672:L679" xr:uid="{C2427855-8319-4773-BEA0-B7D99822E5ED}">
      <formula1>"1,2,9"</formula1>
    </dataValidation>
  </dataValidations>
  <hyperlinks>
    <hyperlink ref="AA7:AD7" location="Índice!B39" display="Índice" xr:uid="{1647FCF3-CC47-4699-9F28-173DC552DC1E}"/>
  </hyperlinks>
  <printOptions horizontalCentered="1"/>
  <pageMargins left="0.70866141732283472" right="0.70866141732283472" top="0.74803149606299213" bottom="0.74803149606299213" header="0.31496062992125984" footer="0.31496062992125984"/>
  <pageSetup scale="75" orientation="portrait" r:id="rId1"/>
  <headerFooter>
    <oddHeader>&amp;CMódulo 2 Sección XIII
Cuestionario</oddHeader>
    <oddFooter>&amp;LCenso Nacional de Sistemas Penitenciarios Estatales 2024&amp;R&amp;P de &amp;N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62" id="{F0FB2F75-21E1-4D32-898F-044C577DF79C}">
            <xm:f>OR(CNSIPEE_2024_M2_Secc8!$M40=0,CNSIPEE_2024_M2_Secc8!$M40="NS",CNSIPEE_2024_M2_Secc8!$M40="NA")</xm:f>
            <x14:dxf>
              <fill>
                <patternFill patternType="mediumGray"/>
              </fill>
            </x14:dxf>
          </x14:cfRule>
          <xm:sqref>K34:AD41</xm:sqref>
        </x14:conditionalFormatting>
        <x14:conditionalFormatting xmlns:xm="http://schemas.microsoft.com/office/excel/2006/main">
          <x14:cfRule type="expression" priority="14" id="{41D691E6-8534-4662-86F1-89C1EF557E49}">
            <xm:f>COUNTIF(CNSIPEE_2024_M2_Secc5!$W$34:$W$63,"X")=0</xm:f>
            <x14:dxf>
              <fill>
                <patternFill patternType="mediumGray"/>
              </fill>
            </x14:dxf>
          </x14:cfRule>
          <xm:sqref>M707:AD714</xm:sqref>
        </x14:conditionalFormatting>
        <x14:conditionalFormatting xmlns:xm="http://schemas.microsoft.com/office/excel/2006/main">
          <x14:cfRule type="expression" priority="12" id="{5D3CE618-9377-4A9F-89D7-D266AF27456C}">
            <xm:f>COUNTIF(CNSIPEE_2024_M2_Secc5!$W$34:$W$63,"X")=0</xm:f>
            <x14:dxf>
              <fill>
                <patternFill patternType="mediumGray"/>
              </fill>
            </x14:dxf>
          </x14:cfRule>
          <xm:sqref>M730:AD737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98000-EE3A-446F-B661-25FA8D8B9721}">
  <dimension ref="A1:CG986"/>
  <sheetViews>
    <sheetView showGridLines="0" zoomScaleNormal="100" workbookViewId="0"/>
  </sheetViews>
  <sheetFormatPr baseColWidth="10" defaultColWidth="0" defaultRowHeight="15" customHeight="1" zeroHeight="1"/>
  <cols>
    <col min="1" max="1" width="5.7109375" style="3" customWidth="1"/>
    <col min="2" max="30" width="3.7109375" style="3" customWidth="1"/>
    <col min="31" max="31" width="5.7109375" style="3" customWidth="1"/>
    <col min="32" max="85" width="0" style="3" hidden="1" customWidth="1"/>
    <col min="86" max="16384" width="9.28515625" style="3" hidden="1"/>
  </cols>
  <sheetData>
    <row r="1" spans="1:30" ht="173.25" customHeight="1">
      <c r="A1" s="91"/>
      <c r="B1" s="718" t="s">
        <v>0</v>
      </c>
      <c r="C1" s="719"/>
      <c r="D1" s="719"/>
      <c r="E1" s="719"/>
      <c r="F1" s="719"/>
      <c r="G1" s="719"/>
      <c r="H1" s="719"/>
      <c r="I1" s="719"/>
      <c r="J1" s="719"/>
      <c r="K1" s="719"/>
      <c r="L1" s="719"/>
      <c r="M1" s="719"/>
      <c r="N1" s="719"/>
      <c r="O1" s="719"/>
      <c r="P1" s="719"/>
      <c r="Q1" s="719"/>
      <c r="R1" s="719"/>
      <c r="S1" s="719"/>
      <c r="T1" s="719"/>
      <c r="U1" s="719"/>
      <c r="V1" s="719"/>
      <c r="W1" s="719"/>
      <c r="X1" s="719"/>
      <c r="Y1" s="719"/>
      <c r="Z1" s="719"/>
      <c r="AA1" s="719"/>
      <c r="AB1" s="719"/>
      <c r="AC1" s="719"/>
      <c r="AD1" s="719"/>
    </row>
    <row r="2" spans="1:30" ht="15" customHeight="1">
      <c r="A2" s="91"/>
    </row>
    <row r="3" spans="1:30" ht="45" customHeight="1">
      <c r="A3" s="91"/>
      <c r="B3" s="720" t="s">
        <v>1</v>
      </c>
      <c r="C3" s="721"/>
      <c r="D3" s="721"/>
      <c r="E3" s="721"/>
      <c r="F3" s="721"/>
      <c r="G3" s="721"/>
      <c r="H3" s="721"/>
      <c r="I3" s="721"/>
      <c r="J3" s="721"/>
      <c r="K3" s="721"/>
      <c r="L3" s="721"/>
      <c r="M3" s="721"/>
      <c r="N3" s="721"/>
      <c r="O3" s="721"/>
      <c r="P3" s="721"/>
      <c r="Q3" s="721"/>
      <c r="R3" s="721"/>
      <c r="S3" s="721"/>
      <c r="T3" s="721"/>
      <c r="U3" s="721"/>
      <c r="V3" s="721"/>
      <c r="W3" s="721"/>
      <c r="X3" s="721"/>
      <c r="Y3" s="721"/>
      <c r="Z3" s="721"/>
      <c r="AA3" s="721"/>
      <c r="AB3" s="721"/>
      <c r="AC3" s="721"/>
      <c r="AD3" s="721"/>
    </row>
    <row r="4" spans="1:30" ht="15" customHeight="1">
      <c r="A4" s="91"/>
    </row>
    <row r="5" spans="1:30" ht="45" customHeight="1">
      <c r="A5" s="91"/>
      <c r="B5" s="720" t="s">
        <v>34</v>
      </c>
      <c r="C5" s="721"/>
      <c r="D5" s="721"/>
      <c r="E5" s="721"/>
      <c r="F5" s="721"/>
      <c r="G5" s="721"/>
      <c r="H5" s="721"/>
      <c r="I5" s="721"/>
      <c r="J5" s="721"/>
      <c r="K5" s="721"/>
      <c r="L5" s="721"/>
      <c r="M5" s="721"/>
      <c r="N5" s="721"/>
      <c r="O5" s="721"/>
      <c r="P5" s="721"/>
      <c r="Q5" s="721"/>
      <c r="R5" s="721"/>
      <c r="S5" s="721"/>
      <c r="T5" s="721"/>
      <c r="U5" s="721"/>
      <c r="V5" s="721"/>
      <c r="W5" s="721"/>
      <c r="X5" s="721"/>
      <c r="Y5" s="721"/>
      <c r="Z5" s="721"/>
      <c r="AA5" s="721"/>
      <c r="AB5" s="721"/>
      <c r="AC5" s="721"/>
      <c r="AD5" s="721"/>
    </row>
    <row r="6" spans="1:30" ht="15" customHeight="1">
      <c r="A6" s="91"/>
    </row>
    <row r="7" spans="1:30" ht="15" customHeight="1" thickBot="1">
      <c r="A7" s="91"/>
      <c r="B7" s="23" t="s">
        <v>3</v>
      </c>
      <c r="N7" s="23" t="s">
        <v>4</v>
      </c>
      <c r="P7" s="24"/>
      <c r="Q7" s="24"/>
      <c r="R7" s="24"/>
      <c r="S7" s="24"/>
      <c r="T7" s="24"/>
      <c r="U7" s="24"/>
      <c r="V7" s="24"/>
      <c r="W7" s="24"/>
      <c r="X7" s="24"/>
      <c r="Y7" s="24"/>
      <c r="Z7" s="24"/>
      <c r="AA7" s="758" t="s">
        <v>2</v>
      </c>
      <c r="AB7" s="758"/>
      <c r="AC7" s="758"/>
      <c r="AD7" s="758"/>
    </row>
    <row r="8" spans="1:30" ht="15" customHeight="1" thickBot="1">
      <c r="A8" s="108"/>
      <c r="B8" s="722" t="str">
        <f>IF(Presentación!B8="","",Presentación!B8)</f>
        <v>Puebla</v>
      </c>
      <c r="C8" s="723"/>
      <c r="D8" s="723"/>
      <c r="E8" s="723"/>
      <c r="F8" s="723"/>
      <c r="G8" s="723"/>
      <c r="H8" s="723"/>
      <c r="I8" s="723"/>
      <c r="J8" s="723"/>
      <c r="K8" s="723"/>
      <c r="L8" s="724"/>
      <c r="M8" s="25"/>
      <c r="N8" s="722">
        <f>IF(Presentación!N8="","",Presentación!N8)</f>
        <v>221</v>
      </c>
      <c r="O8" s="724"/>
      <c r="P8" s="107"/>
      <c r="Q8" s="107"/>
      <c r="R8" s="107"/>
      <c r="S8" s="109"/>
      <c r="T8" s="107"/>
      <c r="U8" s="107"/>
      <c r="V8" s="107"/>
      <c r="W8" s="107"/>
      <c r="X8" s="107"/>
      <c r="Y8" s="107"/>
      <c r="Z8" s="107"/>
      <c r="AA8" s="107"/>
      <c r="AB8" s="107"/>
      <c r="AC8" s="107"/>
      <c r="AD8" s="107"/>
    </row>
    <row r="9" spans="1:30" ht="15" customHeight="1">
      <c r="A9" s="91"/>
      <c r="C9" s="24"/>
      <c r="D9" s="24"/>
      <c r="E9" s="24"/>
      <c r="F9" s="24"/>
      <c r="G9" s="24"/>
      <c r="H9" s="24"/>
      <c r="I9" s="24"/>
      <c r="J9" s="24"/>
      <c r="K9" s="24"/>
      <c r="L9" s="24"/>
      <c r="M9" s="24"/>
      <c r="N9" s="24"/>
      <c r="O9" s="24"/>
      <c r="P9" s="24"/>
      <c r="Q9" s="24"/>
      <c r="R9" s="24"/>
      <c r="S9" s="24"/>
      <c r="T9" s="24"/>
      <c r="U9" s="24"/>
      <c r="V9" s="24"/>
      <c r="W9" s="24"/>
      <c r="X9" s="24"/>
      <c r="Y9" s="24"/>
      <c r="Z9" s="24"/>
      <c r="AA9" s="24"/>
      <c r="AB9" s="24"/>
      <c r="AC9" s="24"/>
    </row>
    <row r="10" spans="1:30" ht="15" customHeight="1">
      <c r="A10" s="94"/>
      <c r="B10" s="892" t="s">
        <v>2552</v>
      </c>
      <c r="C10" s="893"/>
      <c r="D10" s="893"/>
      <c r="E10" s="893"/>
      <c r="F10" s="893"/>
      <c r="G10" s="893"/>
      <c r="H10" s="893"/>
      <c r="I10" s="893"/>
      <c r="J10" s="893"/>
      <c r="K10" s="893"/>
      <c r="L10" s="893"/>
      <c r="M10" s="893"/>
      <c r="N10" s="893"/>
      <c r="O10" s="893"/>
      <c r="P10" s="893"/>
      <c r="Q10" s="893"/>
      <c r="R10" s="893"/>
      <c r="S10" s="893"/>
      <c r="T10" s="893"/>
      <c r="U10" s="893"/>
      <c r="V10" s="893"/>
      <c r="W10" s="893"/>
      <c r="X10" s="893"/>
      <c r="Y10" s="893"/>
      <c r="Z10" s="893"/>
      <c r="AA10" s="893"/>
      <c r="AB10" s="893"/>
      <c r="AC10" s="893"/>
      <c r="AD10" s="894"/>
    </row>
    <row r="11" spans="1:30" ht="24" customHeight="1">
      <c r="A11" s="94"/>
      <c r="B11" s="654"/>
      <c r="C11" s="754" t="s">
        <v>4151</v>
      </c>
      <c r="D11" s="830"/>
      <c r="E11" s="830"/>
      <c r="F11" s="830"/>
      <c r="G11" s="830"/>
      <c r="H11" s="830"/>
      <c r="I11" s="830"/>
      <c r="J11" s="830"/>
      <c r="K11" s="830"/>
      <c r="L11" s="830"/>
      <c r="M11" s="830"/>
      <c r="N11" s="830"/>
      <c r="O11" s="830"/>
      <c r="P11" s="830"/>
      <c r="Q11" s="830"/>
      <c r="R11" s="830"/>
      <c r="S11" s="830"/>
      <c r="T11" s="830"/>
      <c r="U11" s="830"/>
      <c r="V11" s="830"/>
      <c r="W11" s="830"/>
      <c r="X11" s="830"/>
      <c r="Y11" s="830"/>
      <c r="Z11" s="830"/>
      <c r="AA11" s="830"/>
      <c r="AB11" s="830"/>
      <c r="AC11" s="830"/>
      <c r="AD11" s="895"/>
    </row>
    <row r="12" spans="1:30" ht="24" customHeight="1">
      <c r="A12" s="94"/>
      <c r="B12" s="654"/>
      <c r="C12" s="754" t="s">
        <v>2554</v>
      </c>
      <c r="D12" s="830"/>
      <c r="E12" s="830"/>
      <c r="F12" s="830"/>
      <c r="G12" s="830"/>
      <c r="H12" s="830"/>
      <c r="I12" s="830"/>
      <c r="J12" s="830"/>
      <c r="K12" s="830"/>
      <c r="L12" s="830"/>
      <c r="M12" s="830"/>
      <c r="N12" s="830"/>
      <c r="O12" s="830"/>
      <c r="P12" s="830"/>
      <c r="Q12" s="830"/>
      <c r="R12" s="830"/>
      <c r="S12" s="830"/>
      <c r="T12" s="830"/>
      <c r="U12" s="830"/>
      <c r="V12" s="830"/>
      <c r="W12" s="830"/>
      <c r="X12" s="830"/>
      <c r="Y12" s="830"/>
      <c r="Z12" s="830"/>
      <c r="AA12" s="830"/>
      <c r="AB12" s="830"/>
      <c r="AC12" s="830"/>
      <c r="AD12" s="895"/>
    </row>
    <row r="13" spans="1:30" ht="60" customHeight="1">
      <c r="A13" s="146"/>
      <c r="B13" s="654"/>
      <c r="C13" s="754" t="s">
        <v>2555</v>
      </c>
      <c r="D13" s="830"/>
      <c r="E13" s="830"/>
      <c r="F13" s="830"/>
      <c r="G13" s="830"/>
      <c r="H13" s="830"/>
      <c r="I13" s="830"/>
      <c r="J13" s="830"/>
      <c r="K13" s="830"/>
      <c r="L13" s="830"/>
      <c r="M13" s="830"/>
      <c r="N13" s="830"/>
      <c r="O13" s="830"/>
      <c r="P13" s="830"/>
      <c r="Q13" s="830"/>
      <c r="R13" s="830"/>
      <c r="S13" s="830"/>
      <c r="T13" s="830"/>
      <c r="U13" s="830"/>
      <c r="V13" s="830"/>
      <c r="W13" s="830"/>
      <c r="X13" s="830"/>
      <c r="Y13" s="830"/>
      <c r="Z13" s="830"/>
      <c r="AA13" s="830"/>
      <c r="AB13" s="830"/>
      <c r="AC13" s="830"/>
      <c r="AD13" s="895"/>
    </row>
    <row r="14" spans="1:30" ht="15" customHeight="1">
      <c r="A14" s="147"/>
      <c r="B14" s="654"/>
      <c r="C14" s="754" t="s">
        <v>3021</v>
      </c>
      <c r="D14" s="754"/>
      <c r="E14" s="754"/>
      <c r="F14" s="754"/>
      <c r="G14" s="754"/>
      <c r="H14" s="754"/>
      <c r="I14" s="754"/>
      <c r="J14" s="754"/>
      <c r="K14" s="754"/>
      <c r="L14" s="754"/>
      <c r="M14" s="754"/>
      <c r="N14" s="754"/>
      <c r="O14" s="754"/>
      <c r="P14" s="754"/>
      <c r="Q14" s="754"/>
      <c r="R14" s="754"/>
      <c r="S14" s="754"/>
      <c r="T14" s="754"/>
      <c r="U14" s="754"/>
      <c r="V14" s="754"/>
      <c r="W14" s="754"/>
      <c r="X14" s="754"/>
      <c r="Y14" s="754"/>
      <c r="Z14" s="754"/>
      <c r="AA14" s="754"/>
      <c r="AB14" s="754"/>
      <c r="AC14" s="754"/>
      <c r="AD14" s="755"/>
    </row>
    <row r="15" spans="1:30" ht="24" customHeight="1">
      <c r="A15" s="115"/>
      <c r="B15" s="181"/>
      <c r="C15" s="754" t="s">
        <v>3022</v>
      </c>
      <c r="D15" s="754"/>
      <c r="E15" s="754"/>
      <c r="F15" s="754"/>
      <c r="G15" s="754"/>
      <c r="H15" s="754"/>
      <c r="I15" s="754"/>
      <c r="J15" s="754"/>
      <c r="K15" s="754"/>
      <c r="L15" s="754"/>
      <c r="M15" s="754"/>
      <c r="N15" s="754"/>
      <c r="O15" s="754"/>
      <c r="P15" s="754"/>
      <c r="Q15" s="754"/>
      <c r="R15" s="754"/>
      <c r="S15" s="754"/>
      <c r="T15" s="754"/>
      <c r="U15" s="754"/>
      <c r="V15" s="754"/>
      <c r="W15" s="754"/>
      <c r="X15" s="754"/>
      <c r="Y15" s="754"/>
      <c r="Z15" s="754"/>
      <c r="AA15" s="754"/>
      <c r="AB15" s="754"/>
      <c r="AC15" s="754"/>
      <c r="AD15" s="891"/>
    </row>
    <row r="16" spans="1:30" ht="36" customHeight="1">
      <c r="A16" s="110"/>
      <c r="B16" s="111"/>
      <c r="C16" s="754" t="s">
        <v>2558</v>
      </c>
      <c r="D16" s="754"/>
      <c r="E16" s="754"/>
      <c r="F16" s="754"/>
      <c r="G16" s="754"/>
      <c r="H16" s="754"/>
      <c r="I16" s="754"/>
      <c r="J16" s="754"/>
      <c r="K16" s="754"/>
      <c r="L16" s="754"/>
      <c r="M16" s="754"/>
      <c r="N16" s="754"/>
      <c r="O16" s="754"/>
      <c r="P16" s="754"/>
      <c r="Q16" s="754"/>
      <c r="R16" s="754"/>
      <c r="S16" s="754"/>
      <c r="T16" s="754"/>
      <c r="U16" s="754"/>
      <c r="V16" s="754"/>
      <c r="W16" s="754"/>
      <c r="X16" s="754"/>
      <c r="Y16" s="754"/>
      <c r="Z16" s="754"/>
      <c r="AA16" s="754"/>
      <c r="AB16" s="754"/>
      <c r="AC16" s="754"/>
      <c r="AD16" s="755"/>
    </row>
    <row r="17" spans="1:34" ht="48" customHeight="1">
      <c r="A17" s="146"/>
      <c r="B17" s="654"/>
      <c r="C17" s="754" t="s">
        <v>2559</v>
      </c>
      <c r="D17" s="754"/>
      <c r="E17" s="754"/>
      <c r="F17" s="754"/>
      <c r="G17" s="754"/>
      <c r="H17" s="754"/>
      <c r="I17" s="754"/>
      <c r="J17" s="754"/>
      <c r="K17" s="754"/>
      <c r="L17" s="754"/>
      <c r="M17" s="754"/>
      <c r="N17" s="754"/>
      <c r="O17" s="754"/>
      <c r="P17" s="754"/>
      <c r="Q17" s="754"/>
      <c r="R17" s="754"/>
      <c r="S17" s="754"/>
      <c r="T17" s="754"/>
      <c r="U17" s="754"/>
      <c r="V17" s="754"/>
      <c r="W17" s="754"/>
      <c r="X17" s="754"/>
      <c r="Y17" s="754"/>
      <c r="Z17" s="754"/>
      <c r="AA17" s="754"/>
      <c r="AB17" s="754"/>
      <c r="AC17" s="754"/>
      <c r="AD17" s="755"/>
    </row>
    <row r="18" spans="1:34" ht="15" customHeight="1">
      <c r="A18" s="94"/>
      <c r="B18" s="209"/>
      <c r="C18" s="764" t="s">
        <v>2560</v>
      </c>
      <c r="D18" s="764"/>
      <c r="E18" s="764"/>
      <c r="F18" s="764"/>
      <c r="G18" s="764"/>
      <c r="H18" s="764"/>
      <c r="I18" s="764"/>
      <c r="J18" s="764"/>
      <c r="K18" s="764"/>
      <c r="L18" s="764"/>
      <c r="M18" s="764"/>
      <c r="N18" s="764"/>
      <c r="O18" s="764"/>
      <c r="P18" s="764"/>
      <c r="Q18" s="764"/>
      <c r="R18" s="764"/>
      <c r="S18" s="764"/>
      <c r="T18" s="764"/>
      <c r="U18" s="764"/>
      <c r="V18" s="764"/>
      <c r="W18" s="764"/>
      <c r="X18" s="764"/>
      <c r="Y18" s="764"/>
      <c r="Z18" s="764"/>
      <c r="AA18" s="764"/>
      <c r="AB18" s="764"/>
      <c r="AC18" s="764"/>
      <c r="AD18" s="765"/>
    </row>
    <row r="19" spans="1:34" ht="15.75" thickBot="1">
      <c r="A19" s="94"/>
    </row>
    <row r="20" spans="1:34" customFormat="1" ht="15" customHeight="1" thickBot="1">
      <c r="A20" s="19" t="s">
        <v>2563</v>
      </c>
      <c r="B20" s="1081" t="s">
        <v>6041</v>
      </c>
      <c r="C20" s="1082"/>
      <c r="D20" s="1082"/>
      <c r="E20" s="1082"/>
      <c r="F20" s="1082"/>
      <c r="G20" s="1082"/>
      <c r="H20" s="1082"/>
      <c r="I20" s="1082"/>
      <c r="J20" s="1082"/>
      <c r="K20" s="1082"/>
      <c r="L20" s="1082"/>
      <c r="M20" s="1082"/>
      <c r="N20" s="1082"/>
      <c r="O20" s="1082"/>
      <c r="P20" s="1082"/>
      <c r="Q20" s="1082"/>
      <c r="R20" s="1082"/>
      <c r="S20" s="1082"/>
      <c r="T20" s="1082"/>
      <c r="U20" s="1082"/>
      <c r="V20" s="1082"/>
      <c r="W20" s="1082"/>
      <c r="X20" s="1082"/>
      <c r="Y20" s="1082"/>
      <c r="Z20" s="1082"/>
      <c r="AA20" s="1082"/>
      <c r="AB20" s="1082"/>
      <c r="AC20" s="1082"/>
      <c r="AD20" s="1083"/>
      <c r="AE20" s="3"/>
    </row>
    <row r="21" spans="1:34" ht="15" customHeight="1">
      <c r="A21" s="147"/>
    </row>
    <row r="22" spans="1:34" ht="36" customHeight="1">
      <c r="A22" s="49" t="s">
        <v>6042</v>
      </c>
      <c r="B22" s="829" t="s">
        <v>6043</v>
      </c>
      <c r="C22" s="829"/>
      <c r="D22" s="829"/>
      <c r="E22" s="829"/>
      <c r="F22" s="829"/>
      <c r="G22" s="829"/>
      <c r="H22" s="829"/>
      <c r="I22" s="829"/>
      <c r="J22" s="829"/>
      <c r="K22" s="829"/>
      <c r="L22" s="829"/>
      <c r="M22" s="829"/>
      <c r="N22" s="829"/>
      <c r="O22" s="829"/>
      <c r="P22" s="829"/>
      <c r="Q22" s="829"/>
      <c r="R22" s="829"/>
      <c r="S22" s="829"/>
      <c r="T22" s="829"/>
      <c r="U22" s="829"/>
      <c r="V22" s="829"/>
      <c r="W22" s="829"/>
      <c r="X22" s="829"/>
      <c r="Y22" s="829"/>
      <c r="Z22" s="829"/>
      <c r="AA22" s="829"/>
      <c r="AB22" s="829"/>
      <c r="AC22" s="829"/>
      <c r="AD22" s="829"/>
    </row>
    <row r="23" spans="1:34" ht="24" customHeight="1">
      <c r="A23" s="49"/>
      <c r="B23" s="57"/>
      <c r="C23" s="830" t="s">
        <v>6044</v>
      </c>
      <c r="D23" s="830"/>
      <c r="E23" s="830"/>
      <c r="F23" s="830"/>
      <c r="G23" s="830"/>
      <c r="H23" s="830"/>
      <c r="I23" s="830"/>
      <c r="J23" s="830"/>
      <c r="K23" s="830"/>
      <c r="L23" s="830"/>
      <c r="M23" s="830"/>
      <c r="N23" s="830"/>
      <c r="O23" s="830"/>
      <c r="P23" s="830"/>
      <c r="Q23" s="830"/>
      <c r="R23" s="830"/>
      <c r="S23" s="830"/>
      <c r="T23" s="830"/>
      <c r="U23" s="830"/>
      <c r="V23" s="830"/>
      <c r="W23" s="830"/>
      <c r="X23" s="830"/>
      <c r="Y23" s="830"/>
      <c r="Z23" s="830"/>
      <c r="AA23" s="830"/>
      <c r="AB23" s="830"/>
      <c r="AC23" s="830"/>
      <c r="AD23" s="830"/>
    </row>
    <row r="24" spans="1:34" ht="15" customHeight="1">
      <c r="A24" s="50"/>
      <c r="B24" s="57"/>
      <c r="C24" s="830" t="s">
        <v>6045</v>
      </c>
      <c r="D24" s="830"/>
      <c r="E24" s="830"/>
      <c r="F24" s="830"/>
      <c r="G24" s="830"/>
      <c r="H24" s="830"/>
      <c r="I24" s="830"/>
      <c r="J24" s="830"/>
      <c r="K24" s="830"/>
      <c r="L24" s="830"/>
      <c r="M24" s="830"/>
      <c r="N24" s="830"/>
      <c r="O24" s="830"/>
      <c r="P24" s="830"/>
      <c r="Q24" s="830"/>
      <c r="R24" s="830"/>
      <c r="S24" s="830"/>
      <c r="T24" s="830"/>
      <c r="U24" s="830"/>
      <c r="V24" s="830"/>
      <c r="W24" s="830"/>
      <c r="X24" s="830"/>
      <c r="Y24" s="830"/>
      <c r="Z24" s="830"/>
      <c r="AA24" s="830"/>
      <c r="AB24" s="830"/>
      <c r="AC24" s="830"/>
      <c r="AD24" s="830"/>
    </row>
    <row r="25" spans="1:34" ht="24" customHeight="1">
      <c r="A25" s="50"/>
      <c r="B25" s="57"/>
      <c r="C25" s="830" t="s">
        <v>6046</v>
      </c>
      <c r="D25" s="830"/>
      <c r="E25" s="830"/>
      <c r="F25" s="830"/>
      <c r="G25" s="830"/>
      <c r="H25" s="830"/>
      <c r="I25" s="830"/>
      <c r="J25" s="830"/>
      <c r="K25" s="830"/>
      <c r="L25" s="830"/>
      <c r="M25" s="830"/>
      <c r="N25" s="830"/>
      <c r="O25" s="830"/>
      <c r="P25" s="830"/>
      <c r="Q25" s="830"/>
      <c r="R25" s="830"/>
      <c r="S25" s="830"/>
      <c r="T25" s="830"/>
      <c r="U25" s="830"/>
      <c r="V25" s="830"/>
      <c r="W25" s="830"/>
      <c r="X25" s="830"/>
      <c r="Y25" s="830"/>
      <c r="Z25" s="830"/>
      <c r="AA25" s="830"/>
      <c r="AB25" s="830"/>
      <c r="AC25" s="830"/>
      <c r="AD25" s="830"/>
    </row>
    <row r="26" spans="1:34" ht="15" customHeight="1">
      <c r="A26" s="49"/>
      <c r="B26" s="57"/>
      <c r="C26" s="57"/>
      <c r="D26" s="57"/>
      <c r="E26" s="57"/>
      <c r="F26" s="57"/>
      <c r="G26" s="57"/>
      <c r="H26" s="57"/>
      <c r="I26" s="57"/>
      <c r="J26" s="57"/>
      <c r="K26" s="57"/>
      <c r="L26" s="57"/>
      <c r="M26" s="57"/>
      <c r="N26" s="57"/>
      <c r="O26" s="57"/>
      <c r="P26" s="57"/>
      <c r="Q26" s="57"/>
      <c r="R26" s="57"/>
      <c r="S26" s="57"/>
      <c r="T26" s="57"/>
      <c r="U26" s="57"/>
      <c r="V26" s="57"/>
      <c r="W26" s="57"/>
      <c r="X26" s="57"/>
      <c r="Y26" s="57"/>
      <c r="Z26" s="57"/>
      <c r="AA26" s="57"/>
      <c r="AB26" s="57"/>
      <c r="AC26" s="57"/>
      <c r="AD26" s="57"/>
    </row>
    <row r="27" spans="1:34" ht="48" customHeight="1">
      <c r="A27" s="49"/>
      <c r="B27" s="57"/>
      <c r="C27" s="732" t="s">
        <v>2581</v>
      </c>
      <c r="D27" s="732"/>
      <c r="E27" s="732"/>
      <c r="F27" s="732"/>
      <c r="G27" s="732"/>
      <c r="H27" s="732"/>
      <c r="I27" s="732"/>
      <c r="J27" s="732"/>
      <c r="K27" s="732"/>
      <c r="L27" s="732"/>
      <c r="M27" s="732" t="s">
        <v>6047</v>
      </c>
      <c r="N27" s="732"/>
      <c r="O27" s="732"/>
      <c r="P27" s="732"/>
      <c r="Q27" s="732"/>
      <c r="R27" s="732"/>
      <c r="S27" s="741" t="s">
        <v>6048</v>
      </c>
      <c r="T27" s="732"/>
      <c r="U27" s="732"/>
      <c r="V27" s="732"/>
      <c r="W27" s="732"/>
      <c r="X27" s="732"/>
      <c r="Y27" s="732"/>
      <c r="Z27" s="732"/>
      <c r="AA27" s="732"/>
      <c r="AB27" s="732"/>
      <c r="AC27" s="732"/>
      <c r="AD27" s="732"/>
    </row>
    <row r="28" spans="1:34" ht="15" customHeight="1">
      <c r="A28" s="49"/>
      <c r="B28" s="57"/>
      <c r="C28" s="732"/>
      <c r="D28" s="732"/>
      <c r="E28" s="732"/>
      <c r="F28" s="732"/>
      <c r="G28" s="732"/>
      <c r="H28" s="732"/>
      <c r="I28" s="732"/>
      <c r="J28" s="732"/>
      <c r="K28" s="732"/>
      <c r="L28" s="732"/>
      <c r="M28" s="732"/>
      <c r="N28" s="732"/>
      <c r="O28" s="732"/>
      <c r="P28" s="732"/>
      <c r="Q28" s="732"/>
      <c r="R28" s="732"/>
      <c r="S28" s="97" t="s">
        <v>2516</v>
      </c>
      <c r="T28" s="143" t="s">
        <v>2517</v>
      </c>
      <c r="U28" s="143" t="s">
        <v>2518</v>
      </c>
      <c r="V28" s="143" t="s">
        <v>2519</v>
      </c>
      <c r="W28" s="143" t="s">
        <v>2520</v>
      </c>
      <c r="X28" s="143" t="s">
        <v>2521</v>
      </c>
      <c r="Y28" s="143" t="s">
        <v>2522</v>
      </c>
      <c r="Z28" s="143" t="s">
        <v>2523</v>
      </c>
      <c r="AA28" s="143" t="s">
        <v>2524</v>
      </c>
      <c r="AB28" s="143" t="s">
        <v>2525</v>
      </c>
      <c r="AC28" s="143" t="s">
        <v>2526</v>
      </c>
      <c r="AD28" s="143" t="s">
        <v>2527</v>
      </c>
      <c r="AG28" t="s">
        <v>2586</v>
      </c>
      <c r="AH28" t="s">
        <v>4581</v>
      </c>
    </row>
    <row r="29" spans="1:34" ht="15" customHeight="1">
      <c r="A29" s="49"/>
      <c r="B29" s="57"/>
      <c r="C29" s="97" t="s">
        <v>2516</v>
      </c>
      <c r="D29" s="813" t="str">
        <f>IF(CNSIPEE_2024_M2_Secc1!D42="","",CNSIPEE_2024_M2_Secc1!D42)</f>
        <v/>
      </c>
      <c r="E29" s="814"/>
      <c r="F29" s="814"/>
      <c r="G29" s="814"/>
      <c r="H29" s="814"/>
      <c r="I29" s="814"/>
      <c r="J29" s="814"/>
      <c r="K29" s="814"/>
      <c r="L29" s="815"/>
      <c r="M29" s="749"/>
      <c r="N29" s="749"/>
      <c r="O29" s="749"/>
      <c r="P29" s="749"/>
      <c r="Q29" s="749"/>
      <c r="R29" s="749"/>
      <c r="S29" s="88"/>
      <c r="T29" s="88"/>
      <c r="U29" s="88"/>
      <c r="V29" s="88"/>
      <c r="W29" s="88"/>
      <c r="X29" s="88"/>
      <c r="Y29" s="88"/>
      <c r="Z29" s="88"/>
      <c r="AA29" s="88"/>
      <c r="AB29" s="88"/>
      <c r="AC29" s="88"/>
      <c r="AD29" s="88"/>
      <c r="AG29">
        <f t="shared" ref="AG29:AG36" si="0">IF(AND(M29&gt;1,D29&lt;&gt;""),0,IF(AND(D29="",M29="",COUNTBLANK(S29:AD29)=12),0,IF(AND(D29&lt;&gt;"",M29=1,COUNTBLANK(S29:AD29)&lt;12),0,1)))</f>
        <v>0</v>
      </c>
      <c r="AH29">
        <f t="shared" ref="AH29:AH36" si="1">IF($M29&gt;1,IF(COUNTBLANK(S29:AD29)=12,0,1),0)</f>
        <v>0</v>
      </c>
    </row>
    <row r="30" spans="1:34" ht="15" customHeight="1">
      <c r="A30" s="49"/>
      <c r="B30" s="57"/>
      <c r="C30" s="143" t="s">
        <v>2517</v>
      </c>
      <c r="D30" s="813" t="str">
        <f>IF(CNSIPEE_2024_M2_Secc1!D43="","",CNSIPEE_2024_M2_Secc1!D43)</f>
        <v/>
      </c>
      <c r="E30" s="814"/>
      <c r="F30" s="814"/>
      <c r="G30" s="814"/>
      <c r="H30" s="814"/>
      <c r="I30" s="814"/>
      <c r="J30" s="814"/>
      <c r="K30" s="814"/>
      <c r="L30" s="815"/>
      <c r="M30" s="749"/>
      <c r="N30" s="749"/>
      <c r="O30" s="749"/>
      <c r="P30" s="749"/>
      <c r="Q30" s="749"/>
      <c r="R30" s="749"/>
      <c r="S30" s="88"/>
      <c r="T30" s="88"/>
      <c r="U30" s="88"/>
      <c r="V30" s="88"/>
      <c r="W30" s="88"/>
      <c r="X30" s="88"/>
      <c r="Y30" s="88"/>
      <c r="Z30" s="88"/>
      <c r="AA30" s="88"/>
      <c r="AB30" s="88"/>
      <c r="AC30" s="88"/>
      <c r="AD30" s="88"/>
      <c r="AG30">
        <f t="shared" si="0"/>
        <v>0</v>
      </c>
      <c r="AH30">
        <f t="shared" si="1"/>
        <v>0</v>
      </c>
    </row>
    <row r="31" spans="1:34" ht="15" customHeight="1">
      <c r="A31" s="49"/>
      <c r="B31" s="57"/>
      <c r="C31" s="143" t="s">
        <v>2518</v>
      </c>
      <c r="D31" s="813" t="str">
        <f>IF(CNSIPEE_2024_M2_Secc1!D44="","",CNSIPEE_2024_M2_Secc1!D44)</f>
        <v/>
      </c>
      <c r="E31" s="814"/>
      <c r="F31" s="814"/>
      <c r="G31" s="814"/>
      <c r="H31" s="814"/>
      <c r="I31" s="814"/>
      <c r="J31" s="814"/>
      <c r="K31" s="814"/>
      <c r="L31" s="815"/>
      <c r="M31" s="749"/>
      <c r="N31" s="749"/>
      <c r="O31" s="749"/>
      <c r="P31" s="749"/>
      <c r="Q31" s="749"/>
      <c r="R31" s="749"/>
      <c r="S31" s="88"/>
      <c r="T31" s="88"/>
      <c r="U31" s="88"/>
      <c r="V31" s="88"/>
      <c r="W31" s="88"/>
      <c r="X31" s="88"/>
      <c r="Y31" s="88"/>
      <c r="Z31" s="88"/>
      <c r="AA31" s="88"/>
      <c r="AB31" s="88"/>
      <c r="AC31" s="88"/>
      <c r="AD31" s="88"/>
      <c r="AG31">
        <f t="shared" si="0"/>
        <v>0</v>
      </c>
      <c r="AH31">
        <f t="shared" si="1"/>
        <v>0</v>
      </c>
    </row>
    <row r="32" spans="1:34" ht="15" customHeight="1">
      <c r="A32" s="49"/>
      <c r="B32" s="57"/>
      <c r="C32" s="143" t="s">
        <v>2519</v>
      </c>
      <c r="D32" s="813" t="str">
        <f>IF(CNSIPEE_2024_M2_Secc1!D45="","",CNSIPEE_2024_M2_Secc1!D45)</f>
        <v/>
      </c>
      <c r="E32" s="814"/>
      <c r="F32" s="814"/>
      <c r="G32" s="814"/>
      <c r="H32" s="814"/>
      <c r="I32" s="814"/>
      <c r="J32" s="814"/>
      <c r="K32" s="814"/>
      <c r="L32" s="815"/>
      <c r="M32" s="749"/>
      <c r="N32" s="749"/>
      <c r="O32" s="749"/>
      <c r="P32" s="749"/>
      <c r="Q32" s="749"/>
      <c r="R32" s="749"/>
      <c r="S32" s="88"/>
      <c r="T32" s="88"/>
      <c r="U32" s="88"/>
      <c r="V32" s="88"/>
      <c r="W32" s="88"/>
      <c r="X32" s="88"/>
      <c r="Y32" s="88"/>
      <c r="Z32" s="88"/>
      <c r="AA32" s="88"/>
      <c r="AB32" s="88"/>
      <c r="AC32" s="88"/>
      <c r="AD32" s="88"/>
      <c r="AG32">
        <f t="shared" si="0"/>
        <v>0</v>
      </c>
      <c r="AH32">
        <f t="shared" si="1"/>
        <v>0</v>
      </c>
    </row>
    <row r="33" spans="1:34" ht="15" customHeight="1">
      <c r="A33" s="49"/>
      <c r="B33" s="57"/>
      <c r="C33" s="143" t="s">
        <v>2520</v>
      </c>
      <c r="D33" s="813" t="str">
        <f>IF(CNSIPEE_2024_M2_Secc1!D46="","",CNSIPEE_2024_M2_Secc1!D46)</f>
        <v/>
      </c>
      <c r="E33" s="814"/>
      <c r="F33" s="814"/>
      <c r="G33" s="814"/>
      <c r="H33" s="814"/>
      <c r="I33" s="814"/>
      <c r="J33" s="814"/>
      <c r="K33" s="814"/>
      <c r="L33" s="815"/>
      <c r="M33" s="749"/>
      <c r="N33" s="749"/>
      <c r="O33" s="749"/>
      <c r="P33" s="749"/>
      <c r="Q33" s="749"/>
      <c r="R33" s="749"/>
      <c r="S33" s="88"/>
      <c r="T33" s="88"/>
      <c r="U33" s="88"/>
      <c r="V33" s="88"/>
      <c r="W33" s="88"/>
      <c r="X33" s="88"/>
      <c r="Y33" s="88"/>
      <c r="Z33" s="88"/>
      <c r="AA33" s="88"/>
      <c r="AB33" s="88"/>
      <c r="AC33" s="88"/>
      <c r="AD33" s="88"/>
      <c r="AG33">
        <f t="shared" si="0"/>
        <v>0</v>
      </c>
      <c r="AH33">
        <f t="shared" si="1"/>
        <v>0</v>
      </c>
    </row>
    <row r="34" spans="1:34" ht="15" customHeight="1">
      <c r="A34" s="49"/>
      <c r="B34" s="57"/>
      <c r="C34" s="143" t="s">
        <v>2521</v>
      </c>
      <c r="D34" s="813" t="str">
        <f>IF(CNSIPEE_2024_M2_Secc1!D47="","",CNSIPEE_2024_M2_Secc1!D47)</f>
        <v/>
      </c>
      <c r="E34" s="814"/>
      <c r="F34" s="814"/>
      <c r="G34" s="814"/>
      <c r="H34" s="814"/>
      <c r="I34" s="814"/>
      <c r="J34" s="814"/>
      <c r="K34" s="814"/>
      <c r="L34" s="815"/>
      <c r="M34" s="749"/>
      <c r="N34" s="749"/>
      <c r="O34" s="749"/>
      <c r="P34" s="749"/>
      <c r="Q34" s="749"/>
      <c r="R34" s="749"/>
      <c r="S34" s="88"/>
      <c r="T34" s="88"/>
      <c r="U34" s="88"/>
      <c r="V34" s="88"/>
      <c r="W34" s="88"/>
      <c r="X34" s="88"/>
      <c r="Y34" s="88"/>
      <c r="Z34" s="88"/>
      <c r="AA34" s="88"/>
      <c r="AB34" s="88"/>
      <c r="AC34" s="88"/>
      <c r="AD34" s="88"/>
      <c r="AG34">
        <f t="shared" si="0"/>
        <v>0</v>
      </c>
      <c r="AH34">
        <f t="shared" si="1"/>
        <v>0</v>
      </c>
    </row>
    <row r="35" spans="1:34" ht="15" customHeight="1">
      <c r="A35" s="49"/>
      <c r="B35" s="57"/>
      <c r="C35" s="143" t="s">
        <v>2522</v>
      </c>
      <c r="D35" s="813" t="str">
        <f>IF(CNSIPEE_2024_M2_Secc1!D48="","",CNSIPEE_2024_M2_Secc1!D48)</f>
        <v/>
      </c>
      <c r="E35" s="814"/>
      <c r="F35" s="814"/>
      <c r="G35" s="814"/>
      <c r="H35" s="814"/>
      <c r="I35" s="814"/>
      <c r="J35" s="814"/>
      <c r="K35" s="814"/>
      <c r="L35" s="815"/>
      <c r="M35" s="749"/>
      <c r="N35" s="749"/>
      <c r="O35" s="749"/>
      <c r="P35" s="749"/>
      <c r="Q35" s="749"/>
      <c r="R35" s="749"/>
      <c r="S35" s="88"/>
      <c r="T35" s="88"/>
      <c r="U35" s="88"/>
      <c r="V35" s="88"/>
      <c r="W35" s="88"/>
      <c r="X35" s="88"/>
      <c r="Y35" s="88"/>
      <c r="Z35" s="88"/>
      <c r="AA35" s="88"/>
      <c r="AB35" s="88"/>
      <c r="AC35" s="88"/>
      <c r="AD35" s="88"/>
      <c r="AG35">
        <f t="shared" si="0"/>
        <v>0</v>
      </c>
      <c r="AH35">
        <f t="shared" si="1"/>
        <v>0</v>
      </c>
    </row>
    <row r="36" spans="1:34" ht="15" customHeight="1">
      <c r="A36" s="49"/>
      <c r="B36" s="57"/>
      <c r="C36" s="143" t="s">
        <v>2523</v>
      </c>
      <c r="D36" s="813" t="str">
        <f>IF(CNSIPEE_2024_M2_Secc1!D49="","",CNSIPEE_2024_M2_Secc1!D49)</f>
        <v/>
      </c>
      <c r="E36" s="814"/>
      <c r="F36" s="814"/>
      <c r="G36" s="814"/>
      <c r="H36" s="814"/>
      <c r="I36" s="814"/>
      <c r="J36" s="814"/>
      <c r="K36" s="814"/>
      <c r="L36" s="815"/>
      <c r="M36" s="749"/>
      <c r="N36" s="749"/>
      <c r="O36" s="749"/>
      <c r="P36" s="749"/>
      <c r="Q36" s="749"/>
      <c r="R36" s="749"/>
      <c r="S36" s="88"/>
      <c r="T36" s="88"/>
      <c r="U36" s="88"/>
      <c r="V36" s="88"/>
      <c r="W36" s="88"/>
      <c r="X36" s="88"/>
      <c r="Y36" s="88"/>
      <c r="Z36" s="88"/>
      <c r="AA36" s="88"/>
      <c r="AB36" s="88"/>
      <c r="AC36" s="88"/>
      <c r="AD36" s="88"/>
      <c r="AG36">
        <f t="shared" si="0"/>
        <v>0</v>
      </c>
      <c r="AH36">
        <f t="shared" si="1"/>
        <v>0</v>
      </c>
    </row>
    <row r="37" spans="1:34" ht="15" customHeight="1">
      <c r="A37" s="49"/>
      <c r="B37" s="57"/>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7"/>
      <c r="AC37" s="57"/>
      <c r="AD37" s="57"/>
      <c r="AG37" s="507">
        <f>SUM(AG29:AG36)</f>
        <v>0</v>
      </c>
      <c r="AH37" s="507">
        <f>SUM(AH29:AH36)</f>
        <v>0</v>
      </c>
    </row>
    <row r="38" spans="1:34" ht="45" customHeight="1">
      <c r="A38" s="49"/>
      <c r="B38" s="57"/>
      <c r="C38" s="822" t="s">
        <v>2798</v>
      </c>
      <c r="D38" s="822"/>
      <c r="E38" s="822"/>
      <c r="F38" s="749"/>
      <c r="G38" s="749"/>
      <c r="H38" s="749"/>
      <c r="I38" s="749"/>
      <c r="J38" s="749"/>
      <c r="K38" s="749"/>
      <c r="L38" s="749"/>
      <c r="M38" s="749"/>
      <c r="N38" s="749"/>
      <c r="O38" s="749"/>
      <c r="P38" s="749"/>
      <c r="Q38" s="749"/>
      <c r="R38" s="749"/>
      <c r="S38" s="749"/>
      <c r="T38" s="749"/>
      <c r="U38" s="749"/>
      <c r="V38" s="749"/>
      <c r="W38" s="749"/>
      <c r="X38" s="749"/>
      <c r="Y38" s="749"/>
      <c r="Z38" s="749"/>
      <c r="AA38" s="749"/>
      <c r="AB38" s="749"/>
      <c r="AC38" s="749"/>
      <c r="AD38" s="749"/>
    </row>
    <row r="39" spans="1:34" ht="15" customHeight="1">
      <c r="A39" s="49"/>
      <c r="B39" s="794" t="str">
        <f>IF(AND(COUNTIF(AD29:AD36,"X")&gt;0,F38=""),"Debido a que seleccionó el código 12, debe anotar el nombre de dicho(s) tipo(s) de medida(s)","")</f>
        <v/>
      </c>
      <c r="C39" s="794"/>
      <c r="D39" s="794"/>
      <c r="E39" s="794"/>
      <c r="F39" s="794"/>
      <c r="G39" s="794"/>
      <c r="H39" s="794"/>
      <c r="I39" s="794"/>
      <c r="J39" s="794"/>
      <c r="K39" s="794"/>
      <c r="L39" s="794"/>
      <c r="M39" s="794"/>
      <c r="N39" s="794"/>
      <c r="O39" s="794"/>
      <c r="P39" s="794"/>
      <c r="Q39" s="794"/>
      <c r="R39" s="794"/>
      <c r="S39" s="794"/>
      <c r="T39" s="794"/>
      <c r="U39" s="794"/>
      <c r="V39" s="794"/>
      <c r="W39" s="794"/>
      <c r="X39" s="794"/>
      <c r="Y39" s="794"/>
      <c r="Z39" s="794"/>
      <c r="AA39" s="794"/>
      <c r="AB39" s="794"/>
      <c r="AC39" s="794"/>
      <c r="AD39" s="794"/>
      <c r="AE39" s="794"/>
    </row>
    <row r="40" spans="1:34" ht="15" customHeight="1">
      <c r="A40" s="49"/>
      <c r="B40" s="57"/>
      <c r="C40" s="880" t="s">
        <v>6049</v>
      </c>
      <c r="D40" s="880"/>
      <c r="E40" s="880"/>
      <c r="F40" s="880"/>
      <c r="G40" s="880"/>
      <c r="H40" s="880"/>
      <c r="I40" s="880"/>
      <c r="J40" s="880"/>
      <c r="K40" s="880"/>
      <c r="L40" s="880"/>
      <c r="M40" s="880"/>
      <c r="N40" s="880"/>
      <c r="O40" s="880"/>
      <c r="P40" s="880"/>
      <c r="Q40" s="880"/>
      <c r="R40" s="880"/>
      <c r="S40" s="880"/>
      <c r="T40" s="880"/>
      <c r="U40" s="880"/>
      <c r="V40" s="880"/>
      <c r="W40" s="880"/>
      <c r="X40" s="880"/>
      <c r="Y40" s="880"/>
      <c r="Z40" s="880"/>
      <c r="AA40" s="880"/>
      <c r="AB40" s="880"/>
      <c r="AC40" s="880"/>
      <c r="AD40" s="880"/>
    </row>
    <row r="41" spans="1:34" ht="48" customHeight="1">
      <c r="A41" s="49"/>
      <c r="B41" s="57"/>
      <c r="C41" s="97" t="s">
        <v>2516</v>
      </c>
      <c r="D41" s="962" t="s">
        <v>6050</v>
      </c>
      <c r="E41" s="963"/>
      <c r="F41" s="963"/>
      <c r="G41" s="963"/>
      <c r="H41" s="963"/>
      <c r="I41" s="963"/>
      <c r="J41" s="963"/>
      <c r="K41" s="963"/>
      <c r="L41" s="963"/>
      <c r="M41" s="963"/>
      <c r="N41" s="963"/>
      <c r="O41" s="963"/>
      <c r="P41" s="1154"/>
      <c r="Q41" s="199" t="s">
        <v>2522</v>
      </c>
      <c r="R41" s="1155" t="s">
        <v>6051</v>
      </c>
      <c r="S41" s="963"/>
      <c r="T41" s="963"/>
      <c r="U41" s="963"/>
      <c r="V41" s="963"/>
      <c r="W41" s="963"/>
      <c r="X41" s="963"/>
      <c r="Y41" s="963"/>
      <c r="Z41" s="963"/>
      <c r="AA41" s="963"/>
      <c r="AB41" s="963"/>
      <c r="AC41" s="963"/>
      <c r="AD41" s="964"/>
    </row>
    <row r="42" spans="1:34" ht="36" customHeight="1">
      <c r="A42" s="49"/>
      <c r="B42" s="57"/>
      <c r="C42" s="143" t="s">
        <v>2517</v>
      </c>
      <c r="D42" s="961" t="s">
        <v>6052</v>
      </c>
      <c r="E42" s="814"/>
      <c r="F42" s="814"/>
      <c r="G42" s="814"/>
      <c r="H42" s="814"/>
      <c r="I42" s="814"/>
      <c r="J42" s="814"/>
      <c r="K42" s="814"/>
      <c r="L42" s="814"/>
      <c r="M42" s="814"/>
      <c r="N42" s="814"/>
      <c r="O42" s="814"/>
      <c r="P42" s="1153"/>
      <c r="Q42" s="143" t="s">
        <v>2523</v>
      </c>
      <c r="R42" s="961" t="s">
        <v>6053</v>
      </c>
      <c r="S42" s="814"/>
      <c r="T42" s="814"/>
      <c r="U42" s="814"/>
      <c r="V42" s="814"/>
      <c r="W42" s="814"/>
      <c r="X42" s="814"/>
      <c r="Y42" s="814"/>
      <c r="Z42" s="814"/>
      <c r="AA42" s="814"/>
      <c r="AB42" s="814"/>
      <c r="AC42" s="814"/>
      <c r="AD42" s="815"/>
    </row>
    <row r="43" spans="1:34" ht="36" customHeight="1">
      <c r="A43" s="49"/>
      <c r="B43" s="57"/>
      <c r="C43" s="143" t="s">
        <v>2518</v>
      </c>
      <c r="D43" s="961" t="s">
        <v>6054</v>
      </c>
      <c r="E43" s="814"/>
      <c r="F43" s="814"/>
      <c r="G43" s="814"/>
      <c r="H43" s="814"/>
      <c r="I43" s="814"/>
      <c r="J43" s="814"/>
      <c r="K43" s="814"/>
      <c r="L43" s="814"/>
      <c r="M43" s="814"/>
      <c r="N43" s="814"/>
      <c r="O43" s="814"/>
      <c r="P43" s="1153"/>
      <c r="Q43" s="143" t="s">
        <v>2524</v>
      </c>
      <c r="R43" s="961" t="s">
        <v>6055</v>
      </c>
      <c r="S43" s="814"/>
      <c r="T43" s="814"/>
      <c r="U43" s="814"/>
      <c r="V43" s="814"/>
      <c r="W43" s="814"/>
      <c r="X43" s="814"/>
      <c r="Y43" s="814"/>
      <c r="Z43" s="814"/>
      <c r="AA43" s="814"/>
      <c r="AB43" s="814"/>
      <c r="AC43" s="814"/>
      <c r="AD43" s="815"/>
    </row>
    <row r="44" spans="1:34" ht="36" customHeight="1">
      <c r="A44" s="49"/>
      <c r="B44" s="57"/>
      <c r="C44" s="143" t="s">
        <v>2519</v>
      </c>
      <c r="D44" s="961" t="s">
        <v>6056</v>
      </c>
      <c r="E44" s="814"/>
      <c r="F44" s="814"/>
      <c r="G44" s="814"/>
      <c r="H44" s="814"/>
      <c r="I44" s="814"/>
      <c r="J44" s="814"/>
      <c r="K44" s="814"/>
      <c r="L44" s="814"/>
      <c r="M44" s="814"/>
      <c r="N44" s="814"/>
      <c r="O44" s="814"/>
      <c r="P44" s="1153"/>
      <c r="Q44" s="143" t="s">
        <v>2525</v>
      </c>
      <c r="R44" s="961" t="s">
        <v>6057</v>
      </c>
      <c r="S44" s="814"/>
      <c r="T44" s="814"/>
      <c r="U44" s="814"/>
      <c r="V44" s="814"/>
      <c r="W44" s="814"/>
      <c r="X44" s="814"/>
      <c r="Y44" s="814"/>
      <c r="Z44" s="814"/>
      <c r="AA44" s="814"/>
      <c r="AB44" s="814"/>
      <c r="AC44" s="814"/>
      <c r="AD44" s="815"/>
    </row>
    <row r="45" spans="1:34" ht="24" customHeight="1">
      <c r="A45" s="49"/>
      <c r="B45" s="57"/>
      <c r="C45" s="143" t="s">
        <v>2520</v>
      </c>
      <c r="D45" s="961" t="s">
        <v>6058</v>
      </c>
      <c r="E45" s="814"/>
      <c r="F45" s="814"/>
      <c r="G45" s="814"/>
      <c r="H45" s="814"/>
      <c r="I45" s="814"/>
      <c r="J45" s="814"/>
      <c r="K45" s="814"/>
      <c r="L45" s="814"/>
      <c r="M45" s="814"/>
      <c r="N45" s="814"/>
      <c r="O45" s="814"/>
      <c r="P45" s="1153"/>
      <c r="Q45" s="143" t="s">
        <v>2526</v>
      </c>
      <c r="R45" s="961" t="s">
        <v>6059</v>
      </c>
      <c r="S45" s="814"/>
      <c r="T45" s="814"/>
      <c r="U45" s="814"/>
      <c r="V45" s="814"/>
      <c r="W45" s="814"/>
      <c r="X45" s="814"/>
      <c r="Y45" s="814"/>
      <c r="Z45" s="814"/>
      <c r="AA45" s="814"/>
      <c r="AB45" s="814"/>
      <c r="AC45" s="814"/>
      <c r="AD45" s="815"/>
    </row>
    <row r="46" spans="1:34" ht="24" customHeight="1">
      <c r="A46" s="49"/>
      <c r="B46" s="57"/>
      <c r="C46" s="143" t="s">
        <v>2521</v>
      </c>
      <c r="D46" s="961" t="s">
        <v>6060</v>
      </c>
      <c r="E46" s="814"/>
      <c r="F46" s="814"/>
      <c r="G46" s="814"/>
      <c r="H46" s="814"/>
      <c r="I46" s="814"/>
      <c r="J46" s="814"/>
      <c r="K46" s="814"/>
      <c r="L46" s="814"/>
      <c r="M46" s="814"/>
      <c r="N46" s="814"/>
      <c r="O46" s="814"/>
      <c r="P46" s="1153"/>
      <c r="Q46" s="143" t="s">
        <v>2527</v>
      </c>
      <c r="R46" s="813" t="s">
        <v>2609</v>
      </c>
      <c r="S46" s="814"/>
      <c r="T46" s="814"/>
      <c r="U46" s="814"/>
      <c r="V46" s="814"/>
      <c r="W46" s="814"/>
      <c r="X46" s="814"/>
      <c r="Y46" s="814"/>
      <c r="Z46" s="814"/>
      <c r="AA46" s="814"/>
      <c r="AB46" s="814"/>
      <c r="AC46" s="814"/>
      <c r="AD46" s="815"/>
    </row>
    <row r="47" spans="1:34" ht="15" customHeight="1">
      <c r="A47" s="49"/>
      <c r="B47" s="57"/>
    </row>
    <row r="48" spans="1:34" ht="24" customHeight="1">
      <c r="A48" s="49"/>
      <c r="B48" s="57"/>
      <c r="C48" s="754" t="s">
        <v>2611</v>
      </c>
      <c r="D48" s="754"/>
      <c r="E48" s="754"/>
      <c r="F48" s="754"/>
      <c r="G48" s="754"/>
      <c r="H48" s="754"/>
      <c r="I48" s="754"/>
      <c r="J48" s="754"/>
      <c r="K48" s="754"/>
      <c r="L48" s="754"/>
      <c r="M48" s="754"/>
      <c r="N48" s="754"/>
      <c r="O48" s="754"/>
      <c r="P48" s="754"/>
      <c r="Q48" s="754"/>
      <c r="R48" s="754"/>
      <c r="S48" s="754"/>
      <c r="T48" s="754"/>
      <c r="U48" s="754"/>
      <c r="V48" s="754"/>
      <c r="W48" s="754"/>
      <c r="X48" s="754"/>
      <c r="Y48" s="754"/>
      <c r="Z48" s="754"/>
      <c r="AA48" s="754"/>
      <c r="AB48" s="754"/>
      <c r="AC48" s="754"/>
      <c r="AD48" s="754"/>
    </row>
    <row r="49" spans="1:31" ht="60" customHeight="1">
      <c r="A49" s="49"/>
      <c r="B49" s="57"/>
      <c r="C49" s="851"/>
      <c r="D49" s="851"/>
      <c r="E49" s="851"/>
      <c r="F49" s="851"/>
      <c r="G49" s="851"/>
      <c r="H49" s="851"/>
      <c r="I49" s="851"/>
      <c r="J49" s="851"/>
      <c r="K49" s="851"/>
      <c r="L49" s="851"/>
      <c r="M49" s="851"/>
      <c r="N49" s="851"/>
      <c r="O49" s="851"/>
      <c r="P49" s="851"/>
      <c r="Q49" s="851"/>
      <c r="R49" s="851"/>
      <c r="S49" s="851"/>
      <c r="T49" s="851"/>
      <c r="U49" s="851"/>
      <c r="V49" s="851"/>
      <c r="W49" s="851"/>
      <c r="X49" s="851"/>
      <c r="Y49" s="851"/>
      <c r="Z49" s="851"/>
      <c r="AA49" s="851"/>
      <c r="AB49" s="851"/>
      <c r="AC49" s="851"/>
      <c r="AD49" s="851"/>
    </row>
    <row r="50" spans="1:31">
      <c r="A50" s="215"/>
      <c r="B50" s="794" t="str">
        <f>IF(AG37=0,"","Favor de ingresar toda la información requerida en la pregunta")</f>
        <v/>
      </c>
      <c r="C50" s="794"/>
      <c r="D50" s="794"/>
      <c r="E50" s="794"/>
      <c r="F50" s="794"/>
      <c r="G50" s="794"/>
      <c r="H50" s="794"/>
      <c r="I50" s="794"/>
      <c r="J50" s="794"/>
      <c r="K50" s="794"/>
      <c r="L50" s="794"/>
      <c r="M50" s="794"/>
      <c r="N50" s="794"/>
      <c r="O50" s="794"/>
      <c r="P50" s="794"/>
      <c r="Q50" s="794"/>
      <c r="R50" s="794"/>
      <c r="S50" s="794"/>
      <c r="T50" s="794"/>
      <c r="U50" s="794"/>
      <c r="V50" s="794"/>
      <c r="W50" s="794"/>
      <c r="X50" s="794"/>
      <c r="Y50" s="794"/>
      <c r="Z50" s="794"/>
      <c r="AA50" s="794"/>
      <c r="AB50" s="794"/>
      <c r="AC50" s="794"/>
      <c r="AD50" s="794"/>
      <c r="AE50" s="794"/>
    </row>
    <row r="51" spans="1:31">
      <c r="A51" s="215"/>
      <c r="B51" s="1003" t="str">
        <f>IF(AH37&gt;0,"Revise la información capturada, ya que tiene datos ingresados en celdas que están sombreadas","")</f>
        <v/>
      </c>
      <c r="C51" s="1003"/>
      <c r="D51" s="1003"/>
      <c r="E51" s="1003"/>
      <c r="F51" s="1003"/>
      <c r="G51" s="1003"/>
      <c r="H51" s="1003"/>
      <c r="I51" s="1003"/>
      <c r="J51" s="1003"/>
      <c r="K51" s="1003"/>
      <c r="L51" s="1003"/>
      <c r="M51" s="1003"/>
      <c r="N51" s="1003"/>
      <c r="O51" s="1003"/>
      <c r="P51" s="1003"/>
      <c r="Q51" s="1003"/>
      <c r="R51" s="1003"/>
      <c r="S51" s="1003"/>
      <c r="T51" s="1003"/>
      <c r="U51" s="1003"/>
      <c r="V51" s="1003"/>
      <c r="W51" s="1003"/>
      <c r="X51" s="1003"/>
      <c r="Y51" s="1003"/>
      <c r="Z51" s="1003"/>
      <c r="AA51" s="1003"/>
      <c r="AB51" s="1003"/>
      <c r="AC51" s="1003"/>
      <c r="AD51" s="1003"/>
      <c r="AE51" s="1003"/>
    </row>
    <row r="52" spans="1:31">
      <c r="A52" s="215"/>
      <c r="AE52"/>
    </row>
    <row r="53" spans="1:31">
      <c r="A53" s="215"/>
      <c r="AE53"/>
    </row>
    <row r="54" spans="1:31">
      <c r="A54" s="215"/>
      <c r="AE54"/>
    </row>
    <row r="55" spans="1:31" ht="15.75" thickBot="1">
      <c r="A55" s="215"/>
      <c r="AE55"/>
    </row>
    <row r="56" spans="1:31" customFormat="1" ht="15" customHeight="1" thickBot="1">
      <c r="A56" s="19" t="s">
        <v>2563</v>
      </c>
      <c r="B56" s="1081" t="s">
        <v>6061</v>
      </c>
      <c r="C56" s="1082"/>
      <c r="D56" s="1082"/>
      <c r="E56" s="1082"/>
      <c r="F56" s="1082"/>
      <c r="G56" s="1082"/>
      <c r="H56" s="1082"/>
      <c r="I56" s="1082"/>
      <c r="J56" s="1082"/>
      <c r="K56" s="1082"/>
      <c r="L56" s="1082"/>
      <c r="M56" s="1082"/>
      <c r="N56" s="1082"/>
      <c r="O56" s="1082"/>
      <c r="P56" s="1082"/>
      <c r="Q56" s="1082"/>
      <c r="R56" s="1082"/>
      <c r="S56" s="1082"/>
      <c r="T56" s="1082"/>
      <c r="U56" s="1082"/>
      <c r="V56" s="1082"/>
      <c r="W56" s="1082"/>
      <c r="X56" s="1082"/>
      <c r="Y56" s="1082"/>
      <c r="Z56" s="1082"/>
      <c r="AA56" s="1082"/>
      <c r="AB56" s="1082"/>
      <c r="AC56" s="1082"/>
      <c r="AD56" s="1083"/>
      <c r="AE56" s="3"/>
    </row>
    <row r="57" spans="1:31" ht="15" customHeight="1">
      <c r="A57" s="94"/>
      <c r="B57" s="1006" t="s">
        <v>2565</v>
      </c>
      <c r="C57" s="893"/>
      <c r="D57" s="893"/>
      <c r="E57" s="893"/>
      <c r="F57" s="893"/>
      <c r="G57" s="893"/>
      <c r="H57" s="893"/>
      <c r="I57" s="893"/>
      <c r="J57" s="893"/>
      <c r="K57" s="893"/>
      <c r="L57" s="893"/>
      <c r="M57" s="893"/>
      <c r="N57" s="893"/>
      <c r="O57" s="893"/>
      <c r="P57" s="893"/>
      <c r="Q57" s="893"/>
      <c r="R57" s="893"/>
      <c r="S57" s="893"/>
      <c r="T57" s="893"/>
      <c r="U57" s="893"/>
      <c r="V57" s="893"/>
      <c r="W57" s="893"/>
      <c r="X57" s="893"/>
      <c r="Y57" s="893"/>
      <c r="Z57" s="893"/>
      <c r="AA57" s="893"/>
      <c r="AB57" s="893"/>
      <c r="AC57" s="893"/>
      <c r="AD57" s="1007"/>
    </row>
    <row r="58" spans="1:31" ht="24" customHeight="1">
      <c r="A58" s="49"/>
      <c r="B58" s="200"/>
      <c r="C58" s="1156" t="s">
        <v>6062</v>
      </c>
      <c r="D58" s="1156"/>
      <c r="E58" s="1156"/>
      <c r="F58" s="1156"/>
      <c r="G58" s="1156"/>
      <c r="H58" s="1156"/>
      <c r="I58" s="1156"/>
      <c r="J58" s="1156"/>
      <c r="K58" s="1156"/>
      <c r="L58" s="1156"/>
      <c r="M58" s="1156"/>
      <c r="N58" s="1156"/>
      <c r="O58" s="1156"/>
      <c r="P58" s="1156"/>
      <c r="Q58" s="1156"/>
      <c r="R58" s="1156"/>
      <c r="S58" s="1156"/>
      <c r="T58" s="1156"/>
      <c r="U58" s="1156"/>
      <c r="V58" s="1156"/>
      <c r="W58" s="1156"/>
      <c r="X58" s="1156"/>
      <c r="Y58" s="1156"/>
      <c r="Z58" s="1156"/>
      <c r="AA58" s="1156"/>
      <c r="AB58" s="1156"/>
      <c r="AC58" s="1156"/>
      <c r="AD58" s="1157"/>
    </row>
    <row r="59" spans="1:31" ht="15.75" thickBot="1">
      <c r="A59" s="119"/>
    </row>
    <row r="60" spans="1:31" customFormat="1" ht="15" customHeight="1" thickBot="1">
      <c r="A60" s="19" t="s">
        <v>2563</v>
      </c>
      <c r="B60" s="1137" t="s">
        <v>6063</v>
      </c>
      <c r="C60" s="1138"/>
      <c r="D60" s="1138"/>
      <c r="E60" s="1138"/>
      <c r="F60" s="1138"/>
      <c r="G60" s="1138"/>
      <c r="H60" s="1138"/>
      <c r="I60" s="1138"/>
      <c r="J60" s="1138"/>
      <c r="K60" s="1138"/>
      <c r="L60" s="1138"/>
      <c r="M60" s="1138"/>
      <c r="N60" s="1138"/>
      <c r="O60" s="1138"/>
      <c r="P60" s="1138"/>
      <c r="Q60" s="1138"/>
      <c r="R60" s="1138"/>
      <c r="S60" s="1138"/>
      <c r="T60" s="1138"/>
      <c r="U60" s="1138"/>
      <c r="V60" s="1138"/>
      <c r="W60" s="1138"/>
      <c r="X60" s="1138"/>
      <c r="Y60" s="1138"/>
      <c r="Z60" s="1138"/>
      <c r="AA60" s="1138"/>
      <c r="AB60" s="1138"/>
      <c r="AC60" s="1138"/>
      <c r="AD60" s="1139"/>
      <c r="AE60" s="3"/>
    </row>
    <row r="61" spans="1:31" ht="15" customHeight="1">
      <c r="A61" s="142"/>
      <c r="B61" s="1144" t="s">
        <v>3332</v>
      </c>
      <c r="C61" s="977"/>
      <c r="D61" s="977"/>
      <c r="E61" s="977"/>
      <c r="F61" s="977"/>
      <c r="G61" s="977"/>
      <c r="H61" s="977"/>
      <c r="I61" s="977"/>
      <c r="J61" s="977"/>
      <c r="K61" s="977"/>
      <c r="L61" s="977"/>
      <c r="M61" s="977"/>
      <c r="N61" s="977"/>
      <c r="O61" s="977"/>
      <c r="P61" s="977"/>
      <c r="Q61" s="977"/>
      <c r="R61" s="977"/>
      <c r="S61" s="977"/>
      <c r="T61" s="977"/>
      <c r="U61" s="977"/>
      <c r="V61" s="977"/>
      <c r="W61" s="977"/>
      <c r="X61" s="977"/>
      <c r="Y61" s="977"/>
      <c r="Z61" s="977"/>
      <c r="AA61" s="977"/>
      <c r="AB61" s="977"/>
      <c r="AC61" s="977"/>
      <c r="AD61" s="1145"/>
    </row>
    <row r="62" spans="1:31" ht="60" customHeight="1">
      <c r="A62" s="142"/>
      <c r="B62" s="200"/>
      <c r="C62" s="764" t="s">
        <v>6064</v>
      </c>
      <c r="D62" s="876"/>
      <c r="E62" s="876"/>
      <c r="F62" s="876"/>
      <c r="G62" s="876"/>
      <c r="H62" s="876"/>
      <c r="I62" s="876"/>
      <c r="J62" s="876"/>
      <c r="K62" s="876"/>
      <c r="L62" s="876"/>
      <c r="M62" s="876"/>
      <c r="N62" s="876"/>
      <c r="O62" s="876"/>
      <c r="P62" s="876"/>
      <c r="Q62" s="876"/>
      <c r="R62" s="876"/>
      <c r="S62" s="876"/>
      <c r="T62" s="876"/>
      <c r="U62" s="876"/>
      <c r="V62" s="876"/>
      <c r="W62" s="876"/>
      <c r="X62" s="876"/>
      <c r="Y62" s="876"/>
      <c r="Z62" s="876"/>
      <c r="AA62" s="876"/>
      <c r="AB62" s="876"/>
      <c r="AC62" s="876"/>
      <c r="AD62" s="877"/>
    </row>
    <row r="63" spans="1:31">
      <c r="A63" s="119"/>
    </row>
    <row r="64" spans="1:31" ht="24" customHeight="1">
      <c r="A64" s="49" t="s">
        <v>6065</v>
      </c>
      <c r="B64" s="829" t="s">
        <v>6066</v>
      </c>
      <c r="C64" s="829"/>
      <c r="D64" s="829"/>
      <c r="E64" s="829"/>
      <c r="F64" s="829"/>
      <c r="G64" s="829"/>
      <c r="H64" s="829"/>
      <c r="I64" s="829"/>
      <c r="J64" s="829"/>
      <c r="K64" s="829"/>
      <c r="L64" s="829"/>
      <c r="M64" s="829"/>
      <c r="N64" s="829"/>
      <c r="O64" s="829"/>
      <c r="P64" s="829"/>
      <c r="Q64" s="829"/>
      <c r="R64" s="829"/>
      <c r="S64" s="829"/>
      <c r="T64" s="829"/>
      <c r="U64" s="829"/>
      <c r="V64" s="829"/>
      <c r="W64" s="829"/>
      <c r="X64" s="829"/>
      <c r="Y64" s="829"/>
      <c r="Z64" s="829"/>
      <c r="AA64" s="829"/>
      <c r="AB64" s="829"/>
      <c r="AC64" s="829"/>
      <c r="AD64" s="829"/>
    </row>
    <row r="65" spans="1:34" ht="24" customHeight="1">
      <c r="A65" s="215"/>
      <c r="B65" s="38"/>
      <c r="C65" s="830" t="s">
        <v>6067</v>
      </c>
      <c r="D65" s="830"/>
      <c r="E65" s="830"/>
      <c r="F65" s="830"/>
      <c r="G65" s="830"/>
      <c r="H65" s="830"/>
      <c r="I65" s="830"/>
      <c r="J65" s="830"/>
      <c r="K65" s="830"/>
      <c r="L65" s="830"/>
      <c r="M65" s="830"/>
      <c r="N65" s="830"/>
      <c r="O65" s="830"/>
      <c r="P65" s="830"/>
      <c r="Q65" s="830"/>
      <c r="R65" s="830"/>
      <c r="S65" s="830"/>
      <c r="T65" s="830"/>
      <c r="U65" s="830"/>
      <c r="V65" s="830"/>
      <c r="W65" s="830"/>
      <c r="X65" s="830"/>
      <c r="Y65" s="830"/>
      <c r="Z65" s="830"/>
      <c r="AA65" s="830"/>
      <c r="AB65" s="830"/>
      <c r="AC65" s="830"/>
      <c r="AD65" s="830"/>
    </row>
    <row r="66" spans="1:34" ht="15" customHeight="1">
      <c r="A66" s="210"/>
      <c r="B66" s="57"/>
      <c r="C66" s="830" t="s">
        <v>6068</v>
      </c>
      <c r="D66" s="830"/>
      <c r="E66" s="830"/>
      <c r="F66" s="830"/>
      <c r="G66" s="830"/>
      <c r="H66" s="830"/>
      <c r="I66" s="830"/>
      <c r="J66" s="830"/>
      <c r="K66" s="830"/>
      <c r="L66" s="830"/>
      <c r="M66" s="830"/>
      <c r="N66" s="830"/>
      <c r="O66" s="830"/>
      <c r="P66" s="830"/>
      <c r="Q66" s="830"/>
      <c r="R66" s="830"/>
      <c r="S66" s="830"/>
      <c r="T66" s="830"/>
      <c r="U66" s="830"/>
      <c r="V66" s="830"/>
      <c r="W66" s="830"/>
      <c r="X66" s="830"/>
      <c r="Y66" s="830"/>
      <c r="Z66" s="830"/>
      <c r="AA66" s="830"/>
      <c r="AB66" s="830"/>
      <c r="AC66" s="830"/>
      <c r="AD66" s="830"/>
    </row>
    <row r="67" spans="1:34" ht="15" customHeight="1">
      <c r="A67" s="169"/>
      <c r="B67" s="90"/>
      <c r="C67" s="90"/>
      <c r="D67" s="90"/>
      <c r="E67" s="90"/>
      <c r="F67" s="90"/>
      <c r="G67" s="90"/>
      <c r="H67" s="90"/>
      <c r="I67" s="90"/>
      <c r="J67" s="90"/>
      <c r="K67" s="90"/>
      <c r="L67" s="90"/>
      <c r="M67" s="90"/>
      <c r="N67" s="90"/>
      <c r="O67" s="90"/>
      <c r="P67" s="90"/>
      <c r="Q67" s="90"/>
      <c r="R67" s="90"/>
      <c r="S67" s="90"/>
      <c r="T67" s="90"/>
      <c r="U67" s="90"/>
      <c r="V67" s="90"/>
      <c r="W67" s="90"/>
      <c r="X67" s="90"/>
      <c r="Y67" s="90"/>
      <c r="Z67" s="90"/>
      <c r="AA67" s="90"/>
      <c r="AB67" s="90"/>
      <c r="AC67" s="90"/>
      <c r="AD67" s="90"/>
    </row>
    <row r="68" spans="1:34" ht="15" customHeight="1">
      <c r="A68" s="169"/>
      <c r="B68" s="90"/>
      <c r="C68" s="732" t="s">
        <v>2581</v>
      </c>
      <c r="D68" s="732"/>
      <c r="E68" s="732"/>
      <c r="F68" s="732"/>
      <c r="G68" s="732"/>
      <c r="H68" s="732"/>
      <c r="I68" s="732"/>
      <c r="J68" s="732"/>
      <c r="K68" s="732"/>
      <c r="L68" s="732"/>
      <c r="M68" s="732" t="s">
        <v>6069</v>
      </c>
      <c r="N68" s="732"/>
      <c r="O68" s="732"/>
      <c r="P68" s="732"/>
      <c r="Q68" s="732"/>
      <c r="R68" s="732"/>
      <c r="S68" s="732" t="s">
        <v>6070</v>
      </c>
      <c r="T68" s="732"/>
      <c r="U68" s="732"/>
      <c r="V68" s="732"/>
      <c r="W68" s="732"/>
      <c r="X68" s="732"/>
      <c r="Y68" s="732"/>
      <c r="Z68" s="732"/>
      <c r="AA68" s="732"/>
      <c r="AB68" s="732"/>
      <c r="AC68" s="732"/>
      <c r="AD68" s="732"/>
    </row>
    <row r="69" spans="1:34" ht="36" customHeight="1">
      <c r="A69" s="50"/>
      <c r="B69" s="90"/>
      <c r="C69" s="732"/>
      <c r="D69" s="732"/>
      <c r="E69" s="732"/>
      <c r="F69" s="732"/>
      <c r="G69" s="732"/>
      <c r="H69" s="732"/>
      <c r="I69" s="732"/>
      <c r="J69" s="732"/>
      <c r="K69" s="732"/>
      <c r="L69" s="732"/>
      <c r="M69" s="732"/>
      <c r="N69" s="732"/>
      <c r="O69" s="732"/>
      <c r="P69" s="732"/>
      <c r="Q69" s="732"/>
      <c r="R69" s="732"/>
      <c r="S69" s="736" t="s">
        <v>6071</v>
      </c>
      <c r="T69" s="736"/>
      <c r="U69" s="736"/>
      <c r="V69" s="736"/>
      <c r="W69" s="736" t="s">
        <v>6072</v>
      </c>
      <c r="X69" s="736"/>
      <c r="Y69" s="736"/>
      <c r="Z69" s="736"/>
      <c r="AA69" s="736" t="s">
        <v>6073</v>
      </c>
      <c r="AB69" s="736"/>
      <c r="AC69" s="736"/>
      <c r="AD69" s="736"/>
      <c r="AG69" t="s">
        <v>2586</v>
      </c>
      <c r="AH69" t="s">
        <v>4581</v>
      </c>
    </row>
    <row r="70" spans="1:34" ht="15" customHeight="1">
      <c r="A70" s="169"/>
      <c r="B70" s="90"/>
      <c r="C70" s="44" t="s">
        <v>2516</v>
      </c>
      <c r="D70" s="796" t="str">
        <f>IF(CNSIPEE_2024_M2_Secc1!D42="","",CNSIPEE_2024_M2_Secc1!D42)</f>
        <v/>
      </c>
      <c r="E70" s="796"/>
      <c r="F70" s="796"/>
      <c r="G70" s="796"/>
      <c r="H70" s="796"/>
      <c r="I70" s="796"/>
      <c r="J70" s="796"/>
      <c r="K70" s="796"/>
      <c r="L70" s="796"/>
      <c r="M70" s="749"/>
      <c r="N70" s="749"/>
      <c r="O70" s="749"/>
      <c r="P70" s="749"/>
      <c r="Q70" s="749"/>
      <c r="R70" s="749"/>
      <c r="S70" s="749"/>
      <c r="T70" s="749"/>
      <c r="U70" s="749"/>
      <c r="V70" s="749"/>
      <c r="W70" s="749"/>
      <c r="X70" s="749"/>
      <c r="Y70" s="749"/>
      <c r="Z70" s="749"/>
      <c r="AA70" s="749"/>
      <c r="AB70" s="749"/>
      <c r="AC70" s="749"/>
      <c r="AD70" s="749"/>
      <c r="AG70">
        <f t="shared" ref="AG70:AG77" si="2">IF(AND(M70&gt;1,D70&lt;&gt;""),0,IF(AND(D70="",M70="",COUNTBLANK(S70:AD70)=12),0,IF(AND(D70&lt;&gt;"",M70=1,COUNTBLANK(S70:AD70)&lt;12),0,1)))</f>
        <v>0</v>
      </c>
      <c r="AH70">
        <f t="shared" ref="AH70:AH77" si="3">IF($M70&gt;1,IF(COUNTBLANK(S70:AD70)=12,0,1),0)</f>
        <v>0</v>
      </c>
    </row>
    <row r="71" spans="1:34" ht="15" customHeight="1">
      <c r="A71" s="169"/>
      <c r="B71" s="90"/>
      <c r="C71" s="44" t="s">
        <v>2517</v>
      </c>
      <c r="D71" s="796" t="str">
        <f>IF(CNSIPEE_2024_M2_Secc1!D43="","",CNSIPEE_2024_M2_Secc1!D43)</f>
        <v/>
      </c>
      <c r="E71" s="796"/>
      <c r="F71" s="796"/>
      <c r="G71" s="796"/>
      <c r="H71" s="796"/>
      <c r="I71" s="796"/>
      <c r="J71" s="796"/>
      <c r="K71" s="796"/>
      <c r="L71" s="796"/>
      <c r="M71" s="749"/>
      <c r="N71" s="749"/>
      <c r="O71" s="749"/>
      <c r="P71" s="749"/>
      <c r="Q71" s="749"/>
      <c r="R71" s="749"/>
      <c r="S71" s="749"/>
      <c r="T71" s="749"/>
      <c r="U71" s="749"/>
      <c r="V71" s="749"/>
      <c r="W71" s="749"/>
      <c r="X71" s="749"/>
      <c r="Y71" s="749"/>
      <c r="Z71" s="749"/>
      <c r="AA71" s="749"/>
      <c r="AB71" s="749"/>
      <c r="AC71" s="749"/>
      <c r="AD71" s="749"/>
      <c r="AG71">
        <f t="shared" si="2"/>
        <v>0</v>
      </c>
      <c r="AH71">
        <f t="shared" si="3"/>
        <v>0</v>
      </c>
    </row>
    <row r="72" spans="1:34" ht="15" customHeight="1">
      <c r="A72" s="169"/>
      <c r="B72" s="90"/>
      <c r="C72" s="44" t="s">
        <v>2518</v>
      </c>
      <c r="D72" s="796" t="str">
        <f>IF(CNSIPEE_2024_M2_Secc1!D44="","",CNSIPEE_2024_M2_Secc1!D44)</f>
        <v/>
      </c>
      <c r="E72" s="796"/>
      <c r="F72" s="796"/>
      <c r="G72" s="796"/>
      <c r="H72" s="796"/>
      <c r="I72" s="796"/>
      <c r="J72" s="796"/>
      <c r="K72" s="796"/>
      <c r="L72" s="796"/>
      <c r="M72" s="749"/>
      <c r="N72" s="749"/>
      <c r="O72" s="749"/>
      <c r="P72" s="749"/>
      <c r="Q72" s="749"/>
      <c r="R72" s="749"/>
      <c r="S72" s="749"/>
      <c r="T72" s="749"/>
      <c r="U72" s="749"/>
      <c r="V72" s="749"/>
      <c r="W72" s="749"/>
      <c r="X72" s="749"/>
      <c r="Y72" s="749"/>
      <c r="Z72" s="749"/>
      <c r="AA72" s="749"/>
      <c r="AB72" s="749"/>
      <c r="AC72" s="749"/>
      <c r="AD72" s="749"/>
      <c r="AG72">
        <f t="shared" si="2"/>
        <v>0</v>
      </c>
      <c r="AH72">
        <f t="shared" si="3"/>
        <v>0</v>
      </c>
    </row>
    <row r="73" spans="1:34" ht="15" customHeight="1">
      <c r="A73" s="169"/>
      <c r="B73" s="90"/>
      <c r="C73" s="44" t="s">
        <v>2519</v>
      </c>
      <c r="D73" s="796" t="str">
        <f>IF(CNSIPEE_2024_M2_Secc1!D45="","",CNSIPEE_2024_M2_Secc1!D45)</f>
        <v/>
      </c>
      <c r="E73" s="796"/>
      <c r="F73" s="796"/>
      <c r="G73" s="796"/>
      <c r="H73" s="796"/>
      <c r="I73" s="796"/>
      <c r="J73" s="796"/>
      <c r="K73" s="796"/>
      <c r="L73" s="796"/>
      <c r="M73" s="749"/>
      <c r="N73" s="749"/>
      <c r="O73" s="749"/>
      <c r="P73" s="749"/>
      <c r="Q73" s="749"/>
      <c r="R73" s="749"/>
      <c r="S73" s="749"/>
      <c r="T73" s="749"/>
      <c r="U73" s="749"/>
      <c r="V73" s="749"/>
      <c r="W73" s="749"/>
      <c r="X73" s="749"/>
      <c r="Y73" s="749"/>
      <c r="Z73" s="749"/>
      <c r="AA73" s="749"/>
      <c r="AB73" s="749"/>
      <c r="AC73" s="749"/>
      <c r="AD73" s="749"/>
      <c r="AG73">
        <f t="shared" si="2"/>
        <v>0</v>
      </c>
      <c r="AH73">
        <f t="shared" si="3"/>
        <v>0</v>
      </c>
    </row>
    <row r="74" spans="1:34" ht="15" customHeight="1">
      <c r="A74" s="169"/>
      <c r="B74" s="90"/>
      <c r="C74" s="44" t="s">
        <v>2520</v>
      </c>
      <c r="D74" s="796" t="str">
        <f>IF(CNSIPEE_2024_M2_Secc1!D46="","",CNSIPEE_2024_M2_Secc1!D46)</f>
        <v/>
      </c>
      <c r="E74" s="796"/>
      <c r="F74" s="796"/>
      <c r="G74" s="796"/>
      <c r="H74" s="796"/>
      <c r="I74" s="796"/>
      <c r="J74" s="796"/>
      <c r="K74" s="796"/>
      <c r="L74" s="796"/>
      <c r="M74" s="749"/>
      <c r="N74" s="749"/>
      <c r="O74" s="749"/>
      <c r="P74" s="749"/>
      <c r="Q74" s="749"/>
      <c r="R74" s="749"/>
      <c r="S74" s="749"/>
      <c r="T74" s="749"/>
      <c r="U74" s="749"/>
      <c r="V74" s="749"/>
      <c r="W74" s="749"/>
      <c r="X74" s="749"/>
      <c r="Y74" s="749"/>
      <c r="Z74" s="749"/>
      <c r="AA74" s="749"/>
      <c r="AB74" s="749"/>
      <c r="AC74" s="749"/>
      <c r="AD74" s="749"/>
      <c r="AG74">
        <f t="shared" si="2"/>
        <v>0</v>
      </c>
      <c r="AH74">
        <f t="shared" si="3"/>
        <v>0</v>
      </c>
    </row>
    <row r="75" spans="1:34" ht="15" customHeight="1">
      <c r="A75" s="169"/>
      <c r="B75" s="90"/>
      <c r="C75" s="97" t="s">
        <v>2521</v>
      </c>
      <c r="D75" s="796" t="str">
        <f>IF(CNSIPEE_2024_M2_Secc1!D47="","",CNSIPEE_2024_M2_Secc1!D47)</f>
        <v/>
      </c>
      <c r="E75" s="796"/>
      <c r="F75" s="796"/>
      <c r="G75" s="796"/>
      <c r="H75" s="796"/>
      <c r="I75" s="796"/>
      <c r="J75" s="796"/>
      <c r="K75" s="796"/>
      <c r="L75" s="796"/>
      <c r="M75" s="1141"/>
      <c r="N75" s="1141"/>
      <c r="O75" s="1141"/>
      <c r="P75" s="1141"/>
      <c r="Q75" s="1141"/>
      <c r="R75" s="1141"/>
      <c r="S75" s="1141"/>
      <c r="T75" s="1141"/>
      <c r="U75" s="1141"/>
      <c r="V75" s="1141"/>
      <c r="W75" s="1141"/>
      <c r="X75" s="1141"/>
      <c r="Y75" s="1141"/>
      <c r="Z75" s="1141"/>
      <c r="AA75" s="1141"/>
      <c r="AB75" s="1141"/>
      <c r="AC75" s="1141"/>
      <c r="AD75" s="1141"/>
      <c r="AG75">
        <f t="shared" si="2"/>
        <v>0</v>
      </c>
      <c r="AH75">
        <f t="shared" si="3"/>
        <v>0</v>
      </c>
    </row>
    <row r="76" spans="1:34" ht="15" customHeight="1">
      <c r="A76" s="169"/>
      <c r="B76" s="90"/>
      <c r="C76" s="98" t="s">
        <v>2522</v>
      </c>
      <c r="D76" s="796" t="str">
        <f>IF(CNSIPEE_2024_M2_Secc1!D48="","",CNSIPEE_2024_M2_Secc1!D48)</f>
        <v/>
      </c>
      <c r="E76" s="796"/>
      <c r="F76" s="796"/>
      <c r="G76" s="796"/>
      <c r="H76" s="796"/>
      <c r="I76" s="796"/>
      <c r="J76" s="796"/>
      <c r="K76" s="796"/>
      <c r="L76" s="796"/>
      <c r="M76" s="749"/>
      <c r="N76" s="749"/>
      <c r="O76" s="749"/>
      <c r="P76" s="749"/>
      <c r="Q76" s="749"/>
      <c r="R76" s="749"/>
      <c r="S76" s="749"/>
      <c r="T76" s="749"/>
      <c r="U76" s="749"/>
      <c r="V76" s="749"/>
      <c r="W76" s="749"/>
      <c r="X76" s="749"/>
      <c r="Y76" s="749"/>
      <c r="Z76" s="749"/>
      <c r="AA76" s="749"/>
      <c r="AB76" s="749"/>
      <c r="AC76" s="749"/>
      <c r="AD76" s="749"/>
      <c r="AG76">
        <f t="shared" si="2"/>
        <v>0</v>
      </c>
      <c r="AH76">
        <f t="shared" si="3"/>
        <v>0</v>
      </c>
    </row>
    <row r="77" spans="1:34" ht="15" customHeight="1">
      <c r="A77" s="169"/>
      <c r="B77" s="90"/>
      <c r="C77" s="98" t="s">
        <v>2523</v>
      </c>
      <c r="D77" s="796" t="str">
        <f>IF(CNSIPEE_2024_M2_Secc1!D49="","",CNSIPEE_2024_M2_Secc1!D49)</f>
        <v/>
      </c>
      <c r="E77" s="796"/>
      <c r="F77" s="796"/>
      <c r="G77" s="796"/>
      <c r="H77" s="796"/>
      <c r="I77" s="796"/>
      <c r="J77" s="796"/>
      <c r="K77" s="796"/>
      <c r="L77" s="796"/>
      <c r="M77" s="749"/>
      <c r="N77" s="749"/>
      <c r="O77" s="749"/>
      <c r="P77" s="749"/>
      <c r="Q77" s="749"/>
      <c r="R77" s="749"/>
      <c r="S77" s="749"/>
      <c r="T77" s="749"/>
      <c r="U77" s="749"/>
      <c r="V77" s="749"/>
      <c r="W77" s="749"/>
      <c r="X77" s="749"/>
      <c r="Y77" s="749"/>
      <c r="Z77" s="749"/>
      <c r="AA77" s="749"/>
      <c r="AB77" s="749"/>
      <c r="AC77" s="749"/>
      <c r="AD77" s="749"/>
      <c r="AG77">
        <f t="shared" si="2"/>
        <v>0</v>
      </c>
      <c r="AH77">
        <f t="shared" si="3"/>
        <v>0</v>
      </c>
    </row>
    <row r="78" spans="1:34" ht="15" customHeight="1">
      <c r="A78" s="169"/>
      <c r="B78" s="90"/>
      <c r="C78" s="90"/>
      <c r="D78" s="90"/>
      <c r="E78" s="90"/>
      <c r="F78" s="90"/>
      <c r="G78" s="90"/>
      <c r="H78" s="90"/>
      <c r="I78" s="90"/>
      <c r="J78" s="90"/>
      <c r="K78" s="90"/>
      <c r="L78" s="90"/>
      <c r="M78" s="90"/>
      <c r="N78" s="90"/>
      <c r="O78" s="90"/>
      <c r="P78" s="90"/>
      <c r="Q78" s="90"/>
      <c r="R78" s="90"/>
      <c r="S78" s="90"/>
      <c r="T78" s="90"/>
      <c r="U78" s="90"/>
      <c r="V78" s="90"/>
      <c r="W78" s="90"/>
      <c r="X78" s="90"/>
      <c r="Y78" s="90"/>
      <c r="Z78" s="90"/>
      <c r="AA78" s="90"/>
      <c r="AB78" s="90"/>
      <c r="AC78" s="90"/>
      <c r="AD78" s="90"/>
      <c r="AG78" s="507">
        <f>SUM(AG70:AG77)</f>
        <v>0</v>
      </c>
      <c r="AH78" s="507">
        <f>SUM(AH70:AH77)</f>
        <v>0</v>
      </c>
    </row>
    <row r="79" spans="1:34" ht="24" customHeight="1">
      <c r="A79" s="169"/>
      <c r="B79" s="90"/>
      <c r="C79" s="754" t="s">
        <v>2611</v>
      </c>
      <c r="D79" s="754"/>
      <c r="E79" s="754"/>
      <c r="F79" s="754"/>
      <c r="G79" s="754"/>
      <c r="H79" s="754"/>
      <c r="I79" s="754"/>
      <c r="J79" s="754"/>
      <c r="K79" s="754"/>
      <c r="L79" s="754"/>
      <c r="M79" s="754"/>
      <c r="N79" s="754"/>
      <c r="O79" s="754"/>
      <c r="P79" s="754"/>
      <c r="Q79" s="754"/>
      <c r="R79" s="754"/>
      <c r="S79" s="754"/>
      <c r="T79" s="754"/>
      <c r="U79" s="754"/>
      <c r="V79" s="754"/>
      <c r="W79" s="754"/>
      <c r="X79" s="754"/>
      <c r="Y79" s="754"/>
      <c r="Z79" s="754"/>
      <c r="AA79" s="754"/>
      <c r="AB79" s="754"/>
      <c r="AC79" s="754"/>
      <c r="AD79" s="754"/>
    </row>
    <row r="80" spans="1:34" ht="60" customHeight="1">
      <c r="A80" s="169"/>
      <c r="B80" s="90"/>
      <c r="C80" s="851"/>
      <c r="D80" s="851"/>
      <c r="E80" s="851"/>
      <c r="F80" s="851"/>
      <c r="G80" s="851"/>
      <c r="H80" s="851"/>
      <c r="I80" s="851"/>
      <c r="J80" s="851"/>
      <c r="K80" s="851"/>
      <c r="L80" s="851"/>
      <c r="M80" s="851"/>
      <c r="N80" s="851"/>
      <c r="O80" s="851"/>
      <c r="P80" s="851"/>
      <c r="Q80" s="851"/>
      <c r="R80" s="851"/>
      <c r="S80" s="851"/>
      <c r="T80" s="851"/>
      <c r="U80" s="851"/>
      <c r="V80" s="851"/>
      <c r="W80" s="851"/>
      <c r="X80" s="851"/>
      <c r="Y80" s="851"/>
      <c r="Z80" s="851"/>
      <c r="AA80" s="851"/>
      <c r="AB80" s="851"/>
      <c r="AC80" s="851"/>
      <c r="AD80" s="851"/>
    </row>
    <row r="81" spans="1:34" ht="15" customHeight="1">
      <c r="A81" s="169"/>
      <c r="B81" s="794" t="str">
        <f>IF(AG78=0,"","Favor de ingresar toda la información requerida en la pregunta")</f>
        <v/>
      </c>
      <c r="C81" s="794"/>
      <c r="D81" s="794"/>
      <c r="E81" s="794"/>
      <c r="F81" s="794"/>
      <c r="G81" s="794"/>
      <c r="H81" s="794"/>
      <c r="I81" s="794"/>
      <c r="J81" s="794"/>
      <c r="K81" s="794"/>
      <c r="L81" s="794"/>
      <c r="M81" s="794"/>
      <c r="N81" s="794"/>
      <c r="O81" s="794"/>
      <c r="P81" s="794"/>
      <c r="Q81" s="794"/>
      <c r="R81" s="794"/>
      <c r="S81" s="794"/>
      <c r="T81" s="794"/>
      <c r="U81" s="794"/>
      <c r="V81" s="794"/>
      <c r="W81" s="794"/>
      <c r="X81" s="794"/>
      <c r="Y81" s="794"/>
      <c r="Z81" s="794"/>
      <c r="AA81" s="794"/>
      <c r="AB81" s="794"/>
      <c r="AC81" s="794"/>
      <c r="AD81" s="794"/>
      <c r="AE81" s="794"/>
    </row>
    <row r="82" spans="1:34" ht="15" customHeight="1">
      <c r="A82" s="169"/>
      <c r="B82" s="1003" t="str">
        <f>IF(AH78&gt;0,"Revise la información capturada, ya que tiene datos ingresados en celdas que están sombreadas","")</f>
        <v/>
      </c>
      <c r="C82" s="1003"/>
      <c r="D82" s="1003"/>
      <c r="E82" s="1003"/>
      <c r="F82" s="1003"/>
      <c r="G82" s="1003"/>
      <c r="H82" s="1003"/>
      <c r="I82" s="1003"/>
      <c r="J82" s="1003"/>
      <c r="K82" s="1003"/>
      <c r="L82" s="1003"/>
      <c r="M82" s="1003"/>
      <c r="N82" s="1003"/>
      <c r="O82" s="1003"/>
      <c r="P82" s="1003"/>
      <c r="Q82" s="1003"/>
      <c r="R82" s="1003"/>
      <c r="S82" s="1003"/>
      <c r="T82" s="1003"/>
      <c r="U82" s="1003"/>
      <c r="V82" s="1003"/>
      <c r="W82" s="1003"/>
      <c r="X82" s="1003"/>
      <c r="Y82" s="1003"/>
      <c r="Z82" s="1003"/>
      <c r="AA82" s="1003"/>
      <c r="AB82" s="1003"/>
      <c r="AC82" s="1003"/>
      <c r="AD82" s="1003"/>
      <c r="AE82" s="1003"/>
    </row>
    <row r="83" spans="1:34" ht="15" customHeight="1">
      <c r="A83" s="169"/>
      <c r="B83" s="90"/>
      <c r="C83" s="90"/>
      <c r="D83" s="90"/>
      <c r="E83" s="90"/>
      <c r="F83" s="90"/>
      <c r="G83" s="90"/>
      <c r="H83" s="90"/>
      <c r="I83" s="90"/>
      <c r="J83" s="90"/>
      <c r="K83" s="90"/>
      <c r="L83" s="90"/>
      <c r="M83" s="90"/>
      <c r="N83" s="90"/>
      <c r="O83" s="90"/>
      <c r="P83" s="90"/>
      <c r="Q83" s="90"/>
      <c r="R83" s="90"/>
      <c r="S83" s="90"/>
      <c r="T83" s="90"/>
      <c r="U83" s="90"/>
      <c r="V83" s="90"/>
      <c r="W83" s="90"/>
      <c r="X83" s="90"/>
      <c r="Y83" s="90"/>
      <c r="Z83" s="90"/>
      <c r="AA83" s="90"/>
      <c r="AB83" s="90"/>
      <c r="AC83" s="90"/>
      <c r="AD83" s="90"/>
      <c r="AE83"/>
    </row>
    <row r="84" spans="1:34" ht="15" customHeight="1">
      <c r="A84" s="169"/>
      <c r="B84" s="90"/>
      <c r="C84" s="90"/>
      <c r="D84" s="90"/>
      <c r="E84" s="90"/>
      <c r="F84" s="90"/>
      <c r="G84" s="90"/>
      <c r="H84" s="90"/>
      <c r="I84" s="90"/>
      <c r="J84" s="90"/>
      <c r="K84" s="90"/>
      <c r="L84" s="90"/>
      <c r="M84" s="90"/>
      <c r="N84" s="90"/>
      <c r="O84" s="90"/>
      <c r="P84" s="90"/>
      <c r="Q84" s="90"/>
      <c r="R84" s="90"/>
      <c r="S84" s="90"/>
      <c r="T84" s="90"/>
      <c r="U84" s="90"/>
      <c r="V84" s="90"/>
      <c r="W84" s="90"/>
      <c r="X84" s="90"/>
      <c r="Y84" s="90"/>
      <c r="Z84" s="90"/>
      <c r="AA84" s="90"/>
      <c r="AB84" s="90"/>
      <c r="AC84" s="90"/>
      <c r="AD84" s="90"/>
      <c r="AE84"/>
    </row>
    <row r="85" spans="1:34" ht="15" customHeight="1">
      <c r="A85" s="169"/>
      <c r="B85" s="90"/>
      <c r="C85" s="90"/>
      <c r="D85" s="90"/>
      <c r="E85" s="90"/>
      <c r="F85" s="90"/>
      <c r="G85" s="90"/>
      <c r="H85" s="90"/>
      <c r="I85" s="90"/>
      <c r="J85" s="90"/>
      <c r="K85" s="90"/>
      <c r="L85" s="90"/>
      <c r="M85" s="90"/>
      <c r="N85" s="90"/>
      <c r="O85" s="90"/>
      <c r="P85" s="90"/>
      <c r="Q85" s="90"/>
      <c r="R85" s="90"/>
      <c r="S85" s="90"/>
      <c r="T85" s="90"/>
      <c r="U85" s="90"/>
      <c r="V85" s="90"/>
      <c r="W85" s="90"/>
      <c r="X85" s="90"/>
      <c r="Y85" s="90"/>
      <c r="Z85" s="90"/>
      <c r="AA85" s="90"/>
      <c r="AB85" s="90"/>
      <c r="AC85" s="90"/>
      <c r="AD85" s="90"/>
      <c r="AE85"/>
    </row>
    <row r="86" spans="1:34" ht="15" customHeight="1">
      <c r="A86" s="119"/>
      <c r="AE86"/>
    </row>
    <row r="87" spans="1:34" ht="48" customHeight="1">
      <c r="A87" s="49" t="s">
        <v>6074</v>
      </c>
      <c r="B87" s="829" t="s">
        <v>6075</v>
      </c>
      <c r="C87" s="829"/>
      <c r="D87" s="829"/>
      <c r="E87" s="829"/>
      <c r="F87" s="829"/>
      <c r="G87" s="829"/>
      <c r="H87" s="829"/>
      <c r="I87" s="829"/>
      <c r="J87" s="829"/>
      <c r="K87" s="829"/>
      <c r="L87" s="829"/>
      <c r="M87" s="829"/>
      <c r="N87" s="829"/>
      <c r="O87" s="829"/>
      <c r="P87" s="829"/>
      <c r="Q87" s="829"/>
      <c r="R87" s="829"/>
      <c r="S87" s="829"/>
      <c r="T87" s="829"/>
      <c r="U87" s="829"/>
      <c r="V87" s="829"/>
      <c r="W87" s="829"/>
      <c r="X87" s="829"/>
      <c r="Y87" s="829"/>
      <c r="Z87" s="829"/>
      <c r="AA87" s="829"/>
      <c r="AB87" s="829"/>
      <c r="AC87" s="829"/>
      <c r="AD87" s="829"/>
    </row>
    <row r="88" spans="1:34" ht="24" customHeight="1">
      <c r="A88" s="49"/>
      <c r="B88" s="105"/>
      <c r="C88" s="754" t="s">
        <v>6076</v>
      </c>
      <c r="D88" s="754"/>
      <c r="E88" s="754"/>
      <c r="F88" s="754"/>
      <c r="G88" s="754"/>
      <c r="H88" s="754"/>
      <c r="I88" s="754"/>
      <c r="J88" s="754"/>
      <c r="K88" s="754"/>
      <c r="L88" s="754"/>
      <c r="M88" s="754"/>
      <c r="N88" s="754"/>
      <c r="O88" s="754"/>
      <c r="P88" s="754"/>
      <c r="Q88" s="754"/>
      <c r="R88" s="754"/>
      <c r="S88" s="754"/>
      <c r="T88" s="754"/>
      <c r="U88" s="754"/>
      <c r="V88" s="754"/>
      <c r="W88" s="754"/>
      <c r="X88" s="754"/>
      <c r="Y88" s="754"/>
      <c r="Z88" s="754"/>
      <c r="AA88" s="754"/>
      <c r="AB88" s="754"/>
      <c r="AC88" s="754"/>
      <c r="AD88" s="754"/>
    </row>
    <row r="89" spans="1:34" ht="36" customHeight="1">
      <c r="A89" s="49"/>
      <c r="B89" s="102"/>
      <c r="C89" s="830" t="s">
        <v>6077</v>
      </c>
      <c r="D89" s="830"/>
      <c r="E89" s="830"/>
      <c r="F89" s="830"/>
      <c r="G89" s="830"/>
      <c r="H89" s="830"/>
      <c r="I89" s="830"/>
      <c r="J89" s="830"/>
      <c r="K89" s="830"/>
      <c r="L89" s="830"/>
      <c r="M89" s="830"/>
      <c r="N89" s="830"/>
      <c r="O89" s="830"/>
      <c r="P89" s="830"/>
      <c r="Q89" s="830"/>
      <c r="R89" s="830"/>
      <c r="S89" s="830"/>
      <c r="T89" s="830"/>
      <c r="U89" s="830"/>
      <c r="V89" s="830"/>
      <c r="W89" s="830"/>
      <c r="X89" s="830"/>
      <c r="Y89" s="830"/>
      <c r="Z89" s="830"/>
      <c r="AA89" s="830"/>
      <c r="AB89" s="830"/>
      <c r="AC89" s="830"/>
      <c r="AD89" s="830"/>
    </row>
    <row r="90" spans="1:34" ht="15" customHeight="1">
      <c r="A90" s="49"/>
      <c r="B90" s="118"/>
      <c r="C90" s="754" t="s">
        <v>6078</v>
      </c>
      <c r="D90" s="754"/>
      <c r="E90" s="754"/>
      <c r="F90" s="754"/>
      <c r="G90" s="754"/>
      <c r="H90" s="754"/>
      <c r="I90" s="754"/>
      <c r="J90" s="754"/>
      <c r="K90" s="754"/>
      <c r="L90" s="754"/>
      <c r="M90" s="754"/>
      <c r="N90" s="754"/>
      <c r="O90" s="754"/>
      <c r="P90" s="754"/>
      <c r="Q90" s="754"/>
      <c r="R90" s="754"/>
      <c r="S90" s="754"/>
      <c r="T90" s="754"/>
      <c r="U90" s="754"/>
      <c r="V90" s="754"/>
      <c r="W90" s="754"/>
      <c r="X90" s="754"/>
      <c r="Y90" s="754"/>
      <c r="Z90" s="754"/>
      <c r="AA90" s="754"/>
      <c r="AB90" s="754"/>
      <c r="AC90" s="754"/>
      <c r="AD90" s="754"/>
    </row>
    <row r="91" spans="1:34" ht="36" customHeight="1">
      <c r="A91" s="142"/>
      <c r="B91" s="57"/>
      <c r="C91" s="754" t="s">
        <v>6079</v>
      </c>
      <c r="D91" s="754"/>
      <c r="E91" s="754"/>
      <c r="F91" s="754"/>
      <c r="G91" s="754"/>
      <c r="H91" s="754"/>
      <c r="I91" s="754"/>
      <c r="J91" s="754"/>
      <c r="K91" s="754"/>
      <c r="L91" s="754"/>
      <c r="M91" s="754"/>
      <c r="N91" s="754"/>
      <c r="O91" s="754"/>
      <c r="P91" s="754"/>
      <c r="Q91" s="754"/>
      <c r="R91" s="754"/>
      <c r="S91" s="754"/>
      <c r="T91" s="754"/>
      <c r="U91" s="754"/>
      <c r="V91" s="754"/>
      <c r="W91" s="754"/>
      <c r="X91" s="754"/>
      <c r="Y91" s="754"/>
      <c r="Z91" s="754"/>
      <c r="AA91" s="754"/>
      <c r="AB91" s="754"/>
      <c r="AC91" s="754"/>
      <c r="AD91" s="754"/>
    </row>
    <row r="92" spans="1:34" ht="36" customHeight="1">
      <c r="A92" s="142"/>
      <c r="B92" s="57"/>
      <c r="C92" s="754" t="s">
        <v>6080</v>
      </c>
      <c r="D92" s="754"/>
      <c r="E92" s="754"/>
      <c r="F92" s="754"/>
      <c r="G92" s="754"/>
      <c r="H92" s="754"/>
      <c r="I92" s="754"/>
      <c r="J92" s="754"/>
      <c r="K92" s="754"/>
      <c r="L92" s="754"/>
      <c r="M92" s="754"/>
      <c r="N92" s="754"/>
      <c r="O92" s="754"/>
      <c r="P92" s="754"/>
      <c r="Q92" s="754"/>
      <c r="R92" s="754"/>
      <c r="S92" s="754"/>
      <c r="T92" s="754"/>
      <c r="U92" s="754"/>
      <c r="V92" s="754"/>
      <c r="W92" s="754"/>
      <c r="X92" s="754"/>
      <c r="Y92" s="754"/>
      <c r="Z92" s="754"/>
      <c r="AA92" s="754"/>
      <c r="AB92" s="754"/>
      <c r="AC92" s="754"/>
      <c r="AD92" s="754"/>
    </row>
    <row r="93" spans="1:34" ht="36" customHeight="1">
      <c r="A93" s="142"/>
      <c r="B93" s="57"/>
      <c r="C93" s="754" t="s">
        <v>6081</v>
      </c>
      <c r="D93" s="754"/>
      <c r="E93" s="754"/>
      <c r="F93" s="754"/>
      <c r="G93" s="754"/>
      <c r="H93" s="754"/>
      <c r="I93" s="754"/>
      <c r="J93" s="754"/>
      <c r="K93" s="754"/>
      <c r="L93" s="754"/>
      <c r="M93" s="754"/>
      <c r="N93" s="754"/>
      <c r="O93" s="754"/>
      <c r="P93" s="754"/>
      <c r="Q93" s="754"/>
      <c r="R93" s="754"/>
      <c r="S93" s="754"/>
      <c r="T93" s="754"/>
      <c r="U93" s="754"/>
      <c r="V93" s="754"/>
      <c r="W93" s="754"/>
      <c r="X93" s="754"/>
      <c r="Y93" s="754"/>
      <c r="Z93" s="754"/>
      <c r="AA93" s="754"/>
      <c r="AB93" s="754"/>
      <c r="AC93" s="754"/>
      <c r="AD93" s="754"/>
    </row>
    <row r="94" spans="1:34" ht="24" customHeight="1">
      <c r="A94" s="142"/>
      <c r="B94" s="57"/>
      <c r="C94" s="754" t="s">
        <v>6082</v>
      </c>
      <c r="D94" s="754"/>
      <c r="E94" s="754"/>
      <c r="F94" s="754"/>
      <c r="G94" s="754"/>
      <c r="H94" s="754"/>
      <c r="I94" s="754"/>
      <c r="J94" s="754"/>
      <c r="K94" s="754"/>
      <c r="L94" s="754"/>
      <c r="M94" s="754"/>
      <c r="N94" s="754"/>
      <c r="O94" s="754"/>
      <c r="P94" s="754"/>
      <c r="Q94" s="754"/>
      <c r="R94" s="754"/>
      <c r="S94" s="754"/>
      <c r="T94" s="754"/>
      <c r="U94" s="754"/>
      <c r="V94" s="754"/>
      <c r="W94" s="754"/>
      <c r="X94" s="754"/>
      <c r="Y94" s="754"/>
      <c r="Z94" s="754"/>
      <c r="AA94" s="754"/>
      <c r="AB94" s="754"/>
      <c r="AC94" s="754"/>
      <c r="AD94" s="754"/>
      <c r="AF94" t="s">
        <v>6083</v>
      </c>
    </row>
    <row r="95" spans="1:34" ht="15" customHeight="1">
      <c r="A95" s="169"/>
      <c r="B95" s="90"/>
      <c r="C95" s="90"/>
      <c r="D95" s="90"/>
      <c r="E95" s="90"/>
      <c r="F95" s="90"/>
      <c r="G95" s="90"/>
      <c r="H95" s="90"/>
      <c r="I95" s="90"/>
      <c r="J95" s="90"/>
      <c r="K95" s="90"/>
      <c r="L95" s="90"/>
      <c r="M95" s="90"/>
      <c r="N95" s="90"/>
      <c r="O95" s="90"/>
      <c r="P95" s="90"/>
      <c r="Q95" s="90"/>
      <c r="R95" s="90"/>
      <c r="S95" s="90"/>
      <c r="T95" s="90"/>
      <c r="U95" s="90"/>
      <c r="V95" s="90"/>
      <c r="W95" s="90"/>
      <c r="X95" s="90"/>
      <c r="Y95" s="90"/>
      <c r="Z95" s="90"/>
      <c r="AA95" s="90"/>
      <c r="AB95" s="90"/>
      <c r="AC95" s="90"/>
      <c r="AD95" s="90"/>
      <c r="AF95">
        <f>IF(OR(COUNTBLANK(D70:D77)=8,COUNTIF(M70:R77,"&gt;1")=(8-COUNTBLANK(D70:D77))),8,-1)</f>
        <v>8</v>
      </c>
    </row>
    <row r="96" spans="1:34" ht="72" customHeight="1">
      <c r="A96" s="119"/>
      <c r="C96" s="732" t="s">
        <v>6084</v>
      </c>
      <c r="D96" s="732"/>
      <c r="E96" s="732"/>
      <c r="F96" s="732"/>
      <c r="G96" s="732"/>
      <c r="H96" s="732"/>
      <c r="I96" s="732"/>
      <c r="J96" s="732"/>
      <c r="K96" s="732"/>
      <c r="L96" s="732"/>
      <c r="M96" s="739" t="s">
        <v>6085</v>
      </c>
      <c r="N96" s="740"/>
      <c r="O96" s="740"/>
      <c r="P96" s="740"/>
      <c r="Q96" s="740"/>
      <c r="R96" s="741"/>
      <c r="S96" s="739" t="s">
        <v>6086</v>
      </c>
      <c r="T96" s="740"/>
      <c r="U96" s="740"/>
      <c r="V96" s="740"/>
      <c r="W96" s="740"/>
      <c r="X96" s="741"/>
      <c r="Y96" s="739" t="s">
        <v>6087</v>
      </c>
      <c r="Z96" s="740"/>
      <c r="AA96" s="740"/>
      <c r="AB96" s="740"/>
      <c r="AC96" s="740"/>
      <c r="AD96" s="741"/>
      <c r="AF96" t="s">
        <v>4713</v>
      </c>
      <c r="AG96" t="s">
        <v>2586</v>
      </c>
      <c r="AH96" t="s">
        <v>4581</v>
      </c>
    </row>
    <row r="97" spans="1:34" ht="15" customHeight="1">
      <c r="A97" s="119"/>
      <c r="C97" s="841" t="s">
        <v>6088</v>
      </c>
      <c r="D97" s="842"/>
      <c r="E97" s="44" t="s">
        <v>3626</v>
      </c>
      <c r="F97" s="813" t="s">
        <v>6089</v>
      </c>
      <c r="G97" s="814"/>
      <c r="H97" s="814"/>
      <c r="I97" s="814"/>
      <c r="J97" s="814"/>
      <c r="K97" s="814"/>
      <c r="L97" s="815"/>
      <c r="M97" s="816"/>
      <c r="N97" s="738"/>
      <c r="O97" s="738"/>
      <c r="P97" s="738"/>
      <c r="Q97" s="738"/>
      <c r="R97" s="817"/>
      <c r="S97" s="816"/>
      <c r="T97" s="738"/>
      <c r="U97" s="738"/>
      <c r="V97" s="738"/>
      <c r="W97" s="738"/>
      <c r="X97" s="817"/>
      <c r="Y97" s="816"/>
      <c r="Z97" s="738"/>
      <c r="AA97" s="738"/>
      <c r="AB97" s="738"/>
      <c r="AC97" s="738"/>
      <c r="AD97" s="817"/>
      <c r="AF97">
        <f t="shared" ref="AF97:AF126" si="4">IF(AND(M97=1,Y97=0),1,0)</f>
        <v>0</v>
      </c>
      <c r="AG97">
        <f>IF($AF$95=8,0,IF(M97=1,IF(COUNTA(S97:AD97)=2,0,1),IF(OR(AND(M97="",COUNTA(S97:AD97)&gt;0),AND(M97="",COUNTA(S97:AD97)=0)),1,0)))</f>
        <v>0</v>
      </c>
      <c r="AH97">
        <f>IF($AF$95=8,IF(COUNTBLANK(M97:AD97)=18,0,1),IF(M97&gt;1,IF(COUNTBLANK(S97:AD97)=12,0,1),0))</f>
        <v>0</v>
      </c>
    </row>
    <row r="98" spans="1:34" ht="15" customHeight="1">
      <c r="A98" s="119"/>
      <c r="C98" s="843"/>
      <c r="D98" s="844"/>
      <c r="E98" s="44" t="s">
        <v>3628</v>
      </c>
      <c r="F98" s="813" t="s">
        <v>6090</v>
      </c>
      <c r="G98" s="814"/>
      <c r="H98" s="814"/>
      <c r="I98" s="814"/>
      <c r="J98" s="814"/>
      <c r="K98" s="814"/>
      <c r="L98" s="815"/>
      <c r="M98" s="816"/>
      <c r="N98" s="738"/>
      <c r="O98" s="738"/>
      <c r="P98" s="738"/>
      <c r="Q98" s="738"/>
      <c r="R98" s="817"/>
      <c r="S98" s="816"/>
      <c r="T98" s="738"/>
      <c r="U98" s="738"/>
      <c r="V98" s="738"/>
      <c r="W98" s="738"/>
      <c r="X98" s="817"/>
      <c r="Y98" s="816"/>
      <c r="Z98" s="738"/>
      <c r="AA98" s="738"/>
      <c r="AB98" s="738"/>
      <c r="AC98" s="738"/>
      <c r="AD98" s="817"/>
      <c r="AF98">
        <f t="shared" si="4"/>
        <v>0</v>
      </c>
      <c r="AG98">
        <f t="shared" ref="AG98:AG126" si="5">IF($AF$95=8,0,IF(M98=1,IF(COUNTA(S98:AD98)=2,0,1),IF(OR(AND(M98="",COUNTA(S98:AD98)&gt;0),AND(M98="",COUNTA(S98:AD98)=0)),1,0)))</f>
        <v>0</v>
      </c>
      <c r="AH98">
        <f t="shared" ref="AH98:AH125" si="6">IF($AF$95=8,IF(COUNTBLANK(M98:AD98)=18,0,1),IF(M98&gt;1,IF(COUNTBLANK(S98:AD98)=12,0,1),0))</f>
        <v>0</v>
      </c>
    </row>
    <row r="99" spans="1:34" ht="15" customHeight="1">
      <c r="A99" s="119"/>
      <c r="C99" s="843"/>
      <c r="D99" s="844"/>
      <c r="E99" s="44" t="s">
        <v>3630</v>
      </c>
      <c r="F99" s="813" t="s">
        <v>6091</v>
      </c>
      <c r="G99" s="814"/>
      <c r="H99" s="814"/>
      <c r="I99" s="814"/>
      <c r="J99" s="814"/>
      <c r="K99" s="814"/>
      <c r="L99" s="815"/>
      <c r="M99" s="816"/>
      <c r="N99" s="738"/>
      <c r="O99" s="738"/>
      <c r="P99" s="738"/>
      <c r="Q99" s="738"/>
      <c r="R99" s="817"/>
      <c r="S99" s="816"/>
      <c r="T99" s="738"/>
      <c r="U99" s="738"/>
      <c r="V99" s="738"/>
      <c r="W99" s="738"/>
      <c r="X99" s="817"/>
      <c r="Y99" s="816"/>
      <c r="Z99" s="738"/>
      <c r="AA99" s="738"/>
      <c r="AB99" s="738"/>
      <c r="AC99" s="738"/>
      <c r="AD99" s="817"/>
      <c r="AF99">
        <f t="shared" si="4"/>
        <v>0</v>
      </c>
      <c r="AG99">
        <f t="shared" si="5"/>
        <v>0</v>
      </c>
      <c r="AH99">
        <f t="shared" si="6"/>
        <v>0</v>
      </c>
    </row>
    <row r="100" spans="1:34" ht="15" customHeight="1">
      <c r="A100" s="119"/>
      <c r="C100" s="845"/>
      <c r="D100" s="846"/>
      <c r="E100" s="44" t="s">
        <v>3632</v>
      </c>
      <c r="F100" s="813" t="s">
        <v>6092</v>
      </c>
      <c r="G100" s="814"/>
      <c r="H100" s="814"/>
      <c r="I100" s="814"/>
      <c r="J100" s="814"/>
      <c r="K100" s="814"/>
      <c r="L100" s="815"/>
      <c r="M100" s="816"/>
      <c r="N100" s="738"/>
      <c r="O100" s="738"/>
      <c r="P100" s="738"/>
      <c r="Q100" s="738"/>
      <c r="R100" s="817"/>
      <c r="S100" s="816"/>
      <c r="T100" s="738"/>
      <c r="U100" s="738"/>
      <c r="V100" s="738"/>
      <c r="W100" s="738"/>
      <c r="X100" s="817"/>
      <c r="Y100" s="816"/>
      <c r="Z100" s="738"/>
      <c r="AA100" s="738"/>
      <c r="AB100" s="738"/>
      <c r="AC100" s="738"/>
      <c r="AD100" s="817"/>
      <c r="AF100">
        <f t="shared" si="4"/>
        <v>0</v>
      </c>
      <c r="AG100">
        <f t="shared" si="5"/>
        <v>0</v>
      </c>
      <c r="AH100">
        <f t="shared" si="6"/>
        <v>0</v>
      </c>
    </row>
    <row r="101" spans="1:34" ht="15" customHeight="1">
      <c r="A101" s="119"/>
      <c r="C101" s="736" t="s">
        <v>2517</v>
      </c>
      <c r="D101" s="736"/>
      <c r="E101" s="736"/>
      <c r="F101" s="813" t="s">
        <v>6093</v>
      </c>
      <c r="G101" s="814"/>
      <c r="H101" s="814"/>
      <c r="I101" s="814"/>
      <c r="J101" s="814"/>
      <c r="K101" s="814"/>
      <c r="L101" s="815"/>
      <c r="M101" s="816"/>
      <c r="N101" s="738"/>
      <c r="O101" s="738"/>
      <c r="P101" s="738"/>
      <c r="Q101" s="738"/>
      <c r="R101" s="817"/>
      <c r="S101" s="816"/>
      <c r="T101" s="738"/>
      <c r="U101" s="738"/>
      <c r="V101" s="738"/>
      <c r="W101" s="738"/>
      <c r="X101" s="817"/>
      <c r="Y101" s="816"/>
      <c r="Z101" s="738"/>
      <c r="AA101" s="738"/>
      <c r="AB101" s="738"/>
      <c r="AC101" s="738"/>
      <c r="AD101" s="817"/>
      <c r="AF101">
        <f t="shared" si="4"/>
        <v>0</v>
      </c>
      <c r="AG101">
        <f t="shared" si="5"/>
        <v>0</v>
      </c>
      <c r="AH101">
        <f t="shared" si="6"/>
        <v>0</v>
      </c>
    </row>
    <row r="102" spans="1:34" ht="15" customHeight="1">
      <c r="A102" s="119"/>
      <c r="C102" s="841" t="s">
        <v>6094</v>
      </c>
      <c r="D102" s="842"/>
      <c r="E102" s="92" t="s">
        <v>3654</v>
      </c>
      <c r="F102" s="813" t="s">
        <v>6095</v>
      </c>
      <c r="G102" s="814"/>
      <c r="H102" s="814"/>
      <c r="I102" s="814"/>
      <c r="J102" s="814"/>
      <c r="K102" s="814"/>
      <c r="L102" s="815"/>
      <c r="M102" s="816"/>
      <c r="N102" s="738"/>
      <c r="O102" s="738"/>
      <c r="P102" s="738"/>
      <c r="Q102" s="738"/>
      <c r="R102" s="817"/>
      <c r="S102" s="816"/>
      <c r="T102" s="738"/>
      <c r="U102" s="738"/>
      <c r="V102" s="738"/>
      <c r="W102" s="738"/>
      <c r="X102" s="817"/>
      <c r="Y102" s="816"/>
      <c r="Z102" s="738"/>
      <c r="AA102" s="738"/>
      <c r="AB102" s="738"/>
      <c r="AC102" s="738"/>
      <c r="AD102" s="817"/>
      <c r="AF102">
        <f t="shared" si="4"/>
        <v>0</v>
      </c>
      <c r="AG102">
        <f t="shared" si="5"/>
        <v>0</v>
      </c>
      <c r="AH102">
        <f t="shared" si="6"/>
        <v>0</v>
      </c>
    </row>
    <row r="103" spans="1:34" ht="15" customHeight="1">
      <c r="A103" s="119"/>
      <c r="C103" s="843"/>
      <c r="D103" s="844"/>
      <c r="E103" s="44" t="s">
        <v>3656</v>
      </c>
      <c r="F103" s="813" t="s">
        <v>6096</v>
      </c>
      <c r="G103" s="814"/>
      <c r="H103" s="814"/>
      <c r="I103" s="814"/>
      <c r="J103" s="814"/>
      <c r="K103" s="814"/>
      <c r="L103" s="815"/>
      <c r="M103" s="816"/>
      <c r="N103" s="738"/>
      <c r="O103" s="738"/>
      <c r="P103" s="738"/>
      <c r="Q103" s="738"/>
      <c r="R103" s="817"/>
      <c r="S103" s="816"/>
      <c r="T103" s="738"/>
      <c r="U103" s="738"/>
      <c r="V103" s="738"/>
      <c r="W103" s="738"/>
      <c r="X103" s="817"/>
      <c r="Y103" s="816"/>
      <c r="Z103" s="738"/>
      <c r="AA103" s="738"/>
      <c r="AB103" s="738"/>
      <c r="AC103" s="738"/>
      <c r="AD103" s="817"/>
      <c r="AF103">
        <f t="shared" si="4"/>
        <v>0</v>
      </c>
      <c r="AG103">
        <f t="shared" si="5"/>
        <v>0</v>
      </c>
      <c r="AH103">
        <f t="shared" si="6"/>
        <v>0</v>
      </c>
    </row>
    <row r="104" spans="1:34" ht="15" customHeight="1">
      <c r="A104" s="119"/>
      <c r="C104" s="843"/>
      <c r="D104" s="844"/>
      <c r="E104" s="44" t="s">
        <v>6097</v>
      </c>
      <c r="F104" s="813" t="s">
        <v>6098</v>
      </c>
      <c r="G104" s="814"/>
      <c r="H104" s="814"/>
      <c r="I104" s="814"/>
      <c r="J104" s="814"/>
      <c r="K104" s="814"/>
      <c r="L104" s="815"/>
      <c r="M104" s="816"/>
      <c r="N104" s="738"/>
      <c r="O104" s="738"/>
      <c r="P104" s="738"/>
      <c r="Q104" s="738"/>
      <c r="R104" s="817"/>
      <c r="S104" s="816"/>
      <c r="T104" s="738"/>
      <c r="U104" s="738"/>
      <c r="V104" s="738"/>
      <c r="W104" s="738"/>
      <c r="X104" s="817"/>
      <c r="Y104" s="816"/>
      <c r="Z104" s="738"/>
      <c r="AA104" s="738"/>
      <c r="AB104" s="738"/>
      <c r="AC104" s="738"/>
      <c r="AD104" s="817"/>
      <c r="AF104">
        <f t="shared" si="4"/>
        <v>0</v>
      </c>
      <c r="AG104">
        <f t="shared" si="5"/>
        <v>0</v>
      </c>
      <c r="AH104">
        <f t="shared" si="6"/>
        <v>0</v>
      </c>
    </row>
    <row r="105" spans="1:34" ht="15" customHeight="1">
      <c r="A105" s="119"/>
      <c r="C105" s="843"/>
      <c r="D105" s="844"/>
      <c r="E105" s="44" t="s">
        <v>6099</v>
      </c>
      <c r="F105" s="813" t="s">
        <v>6100</v>
      </c>
      <c r="G105" s="814"/>
      <c r="H105" s="814"/>
      <c r="I105" s="814"/>
      <c r="J105" s="814"/>
      <c r="K105" s="814"/>
      <c r="L105" s="815"/>
      <c r="M105" s="816"/>
      <c r="N105" s="738"/>
      <c r="O105" s="738"/>
      <c r="P105" s="738"/>
      <c r="Q105" s="738"/>
      <c r="R105" s="817"/>
      <c r="S105" s="816"/>
      <c r="T105" s="738"/>
      <c r="U105" s="738"/>
      <c r="V105" s="738"/>
      <c r="W105" s="738"/>
      <c r="X105" s="817"/>
      <c r="Y105" s="816"/>
      <c r="Z105" s="738"/>
      <c r="AA105" s="738"/>
      <c r="AB105" s="738"/>
      <c r="AC105" s="738"/>
      <c r="AD105" s="817"/>
      <c r="AF105">
        <f t="shared" si="4"/>
        <v>0</v>
      </c>
      <c r="AG105">
        <f t="shared" si="5"/>
        <v>0</v>
      </c>
      <c r="AH105">
        <f t="shared" si="6"/>
        <v>0</v>
      </c>
    </row>
    <row r="106" spans="1:34" ht="15" customHeight="1">
      <c r="A106" s="119"/>
      <c r="C106" s="843"/>
      <c r="D106" s="844"/>
      <c r="E106" s="44" t="s">
        <v>6101</v>
      </c>
      <c r="F106" s="813" t="s">
        <v>6102</v>
      </c>
      <c r="G106" s="814"/>
      <c r="H106" s="814"/>
      <c r="I106" s="814"/>
      <c r="J106" s="814"/>
      <c r="K106" s="814"/>
      <c r="L106" s="815"/>
      <c r="M106" s="816"/>
      <c r="N106" s="738"/>
      <c r="O106" s="738"/>
      <c r="P106" s="738"/>
      <c r="Q106" s="738"/>
      <c r="R106" s="817"/>
      <c r="S106" s="816"/>
      <c r="T106" s="738"/>
      <c r="U106" s="738"/>
      <c r="V106" s="738"/>
      <c r="W106" s="738"/>
      <c r="X106" s="817"/>
      <c r="Y106" s="816"/>
      <c r="Z106" s="738"/>
      <c r="AA106" s="738"/>
      <c r="AB106" s="738"/>
      <c r="AC106" s="738"/>
      <c r="AD106" s="817"/>
      <c r="AF106">
        <f t="shared" si="4"/>
        <v>0</v>
      </c>
      <c r="AG106">
        <f t="shared" si="5"/>
        <v>0</v>
      </c>
      <c r="AH106">
        <f t="shared" si="6"/>
        <v>0</v>
      </c>
    </row>
    <row r="107" spans="1:34" ht="36" customHeight="1">
      <c r="A107" s="119"/>
      <c r="C107" s="843"/>
      <c r="D107" s="844"/>
      <c r="E107" s="44" t="s">
        <v>6103</v>
      </c>
      <c r="F107" s="813" t="s">
        <v>6104</v>
      </c>
      <c r="G107" s="814"/>
      <c r="H107" s="814"/>
      <c r="I107" s="814"/>
      <c r="J107" s="814"/>
      <c r="K107" s="814"/>
      <c r="L107" s="815"/>
      <c r="M107" s="816"/>
      <c r="N107" s="738"/>
      <c r="O107" s="738"/>
      <c r="P107" s="738"/>
      <c r="Q107" s="738"/>
      <c r="R107" s="817"/>
      <c r="S107" s="816"/>
      <c r="T107" s="738"/>
      <c r="U107" s="738"/>
      <c r="V107" s="738"/>
      <c r="W107" s="738"/>
      <c r="X107" s="817"/>
      <c r="Y107" s="816"/>
      <c r="Z107" s="738"/>
      <c r="AA107" s="738"/>
      <c r="AB107" s="738"/>
      <c r="AC107" s="738"/>
      <c r="AD107" s="817"/>
      <c r="AF107">
        <f t="shared" si="4"/>
        <v>0</v>
      </c>
      <c r="AG107">
        <f t="shared" si="5"/>
        <v>0</v>
      </c>
      <c r="AH107">
        <f t="shared" si="6"/>
        <v>0</v>
      </c>
    </row>
    <row r="108" spans="1:34" ht="24" customHeight="1">
      <c r="A108" s="119"/>
      <c r="C108" s="843"/>
      <c r="D108" s="844"/>
      <c r="E108" s="44" t="s">
        <v>6105</v>
      </c>
      <c r="F108" s="813" t="s">
        <v>6106</v>
      </c>
      <c r="G108" s="814"/>
      <c r="H108" s="814"/>
      <c r="I108" s="814"/>
      <c r="J108" s="814"/>
      <c r="K108" s="814"/>
      <c r="L108" s="815"/>
      <c r="M108" s="816"/>
      <c r="N108" s="738"/>
      <c r="O108" s="738"/>
      <c r="P108" s="738"/>
      <c r="Q108" s="738"/>
      <c r="R108" s="817"/>
      <c r="S108" s="816"/>
      <c r="T108" s="738"/>
      <c r="U108" s="738"/>
      <c r="V108" s="738"/>
      <c r="W108" s="738"/>
      <c r="X108" s="817"/>
      <c r="Y108" s="816"/>
      <c r="Z108" s="738"/>
      <c r="AA108" s="738"/>
      <c r="AB108" s="738"/>
      <c r="AC108" s="738"/>
      <c r="AD108" s="817"/>
      <c r="AF108">
        <f t="shared" si="4"/>
        <v>0</v>
      </c>
      <c r="AG108">
        <f t="shared" si="5"/>
        <v>0</v>
      </c>
      <c r="AH108">
        <f t="shared" si="6"/>
        <v>0</v>
      </c>
    </row>
    <row r="109" spans="1:34" ht="24" customHeight="1">
      <c r="A109" s="119"/>
      <c r="C109" s="845"/>
      <c r="D109" s="846"/>
      <c r="E109" s="167" t="s">
        <v>6107</v>
      </c>
      <c r="F109" s="813" t="s">
        <v>6108</v>
      </c>
      <c r="G109" s="814"/>
      <c r="H109" s="814"/>
      <c r="I109" s="814"/>
      <c r="J109" s="814"/>
      <c r="K109" s="814"/>
      <c r="L109" s="815"/>
      <c r="M109" s="816"/>
      <c r="N109" s="738"/>
      <c r="O109" s="738"/>
      <c r="P109" s="738"/>
      <c r="Q109" s="738"/>
      <c r="R109" s="817"/>
      <c r="S109" s="816"/>
      <c r="T109" s="738"/>
      <c r="U109" s="738"/>
      <c r="V109" s="738"/>
      <c r="W109" s="738"/>
      <c r="X109" s="817"/>
      <c r="Y109" s="816"/>
      <c r="Z109" s="738"/>
      <c r="AA109" s="738"/>
      <c r="AB109" s="738"/>
      <c r="AC109" s="738"/>
      <c r="AD109" s="817"/>
      <c r="AF109">
        <f t="shared" si="4"/>
        <v>0</v>
      </c>
      <c r="AG109">
        <f t="shared" si="5"/>
        <v>0</v>
      </c>
      <c r="AH109">
        <f t="shared" si="6"/>
        <v>0</v>
      </c>
    </row>
    <row r="110" spans="1:34" ht="15" customHeight="1">
      <c r="A110" s="119"/>
      <c r="C110" s="736" t="s">
        <v>2519</v>
      </c>
      <c r="D110" s="736"/>
      <c r="E110" s="736"/>
      <c r="F110" s="813" t="s">
        <v>6109</v>
      </c>
      <c r="G110" s="814"/>
      <c r="H110" s="814"/>
      <c r="I110" s="814"/>
      <c r="J110" s="814"/>
      <c r="K110" s="814"/>
      <c r="L110" s="815"/>
      <c r="M110" s="816"/>
      <c r="N110" s="738"/>
      <c r="O110" s="738"/>
      <c r="P110" s="738"/>
      <c r="Q110" s="738"/>
      <c r="R110" s="817"/>
      <c r="S110" s="816"/>
      <c r="T110" s="738"/>
      <c r="U110" s="738"/>
      <c r="V110" s="738"/>
      <c r="W110" s="738"/>
      <c r="X110" s="817"/>
      <c r="Y110" s="816"/>
      <c r="Z110" s="738"/>
      <c r="AA110" s="738"/>
      <c r="AB110" s="738"/>
      <c r="AC110" s="738"/>
      <c r="AD110" s="817"/>
      <c r="AF110">
        <f t="shared" si="4"/>
        <v>0</v>
      </c>
      <c r="AG110">
        <f t="shared" si="5"/>
        <v>0</v>
      </c>
      <c r="AH110">
        <f t="shared" si="6"/>
        <v>0</v>
      </c>
    </row>
    <row r="111" spans="1:34" ht="15" customHeight="1">
      <c r="A111" s="119"/>
      <c r="C111" s="736" t="s">
        <v>2520</v>
      </c>
      <c r="D111" s="736"/>
      <c r="E111" s="736"/>
      <c r="F111" s="813" t="s">
        <v>6110</v>
      </c>
      <c r="G111" s="814"/>
      <c r="H111" s="814"/>
      <c r="I111" s="814"/>
      <c r="J111" s="814"/>
      <c r="K111" s="814"/>
      <c r="L111" s="815"/>
      <c r="M111" s="816"/>
      <c r="N111" s="738"/>
      <c r="O111" s="738"/>
      <c r="P111" s="738"/>
      <c r="Q111" s="738"/>
      <c r="R111" s="817"/>
      <c r="S111" s="816"/>
      <c r="T111" s="738"/>
      <c r="U111" s="738"/>
      <c r="V111" s="738"/>
      <c r="W111" s="738"/>
      <c r="X111" s="817"/>
      <c r="Y111" s="816"/>
      <c r="Z111" s="738"/>
      <c r="AA111" s="738"/>
      <c r="AB111" s="738"/>
      <c r="AC111" s="738"/>
      <c r="AD111" s="817"/>
      <c r="AF111">
        <f t="shared" si="4"/>
        <v>0</v>
      </c>
      <c r="AG111">
        <f t="shared" si="5"/>
        <v>0</v>
      </c>
      <c r="AH111">
        <f t="shared" si="6"/>
        <v>0</v>
      </c>
    </row>
    <row r="112" spans="1:34" ht="15" customHeight="1">
      <c r="A112" s="119"/>
      <c r="C112" s="841" t="s">
        <v>6111</v>
      </c>
      <c r="D112" s="842"/>
      <c r="E112" s="226" t="s">
        <v>2831</v>
      </c>
      <c r="F112" s="813" t="s">
        <v>5437</v>
      </c>
      <c r="G112" s="814"/>
      <c r="H112" s="814"/>
      <c r="I112" s="814"/>
      <c r="J112" s="814"/>
      <c r="K112" s="814"/>
      <c r="L112" s="815"/>
      <c r="M112" s="816"/>
      <c r="N112" s="738"/>
      <c r="O112" s="738"/>
      <c r="P112" s="738"/>
      <c r="Q112" s="738"/>
      <c r="R112" s="817"/>
      <c r="S112" s="816"/>
      <c r="T112" s="738"/>
      <c r="U112" s="738"/>
      <c r="V112" s="738"/>
      <c r="W112" s="738"/>
      <c r="X112" s="817"/>
      <c r="Y112" s="816"/>
      <c r="Z112" s="738"/>
      <c r="AA112" s="738"/>
      <c r="AB112" s="738"/>
      <c r="AC112" s="738"/>
      <c r="AD112" s="817"/>
      <c r="AF112">
        <f t="shared" si="4"/>
        <v>0</v>
      </c>
      <c r="AG112">
        <f t="shared" si="5"/>
        <v>0</v>
      </c>
      <c r="AH112">
        <f t="shared" si="6"/>
        <v>0</v>
      </c>
    </row>
    <row r="113" spans="1:34" ht="24" customHeight="1">
      <c r="A113" s="119"/>
      <c r="C113" s="843"/>
      <c r="D113" s="844"/>
      <c r="E113" s="226" t="s">
        <v>2832</v>
      </c>
      <c r="F113" s="813" t="s">
        <v>6112</v>
      </c>
      <c r="G113" s="814"/>
      <c r="H113" s="814"/>
      <c r="I113" s="814"/>
      <c r="J113" s="814"/>
      <c r="K113" s="814"/>
      <c r="L113" s="815"/>
      <c r="M113" s="816"/>
      <c r="N113" s="738"/>
      <c r="O113" s="738"/>
      <c r="P113" s="738"/>
      <c r="Q113" s="738"/>
      <c r="R113" s="817"/>
      <c r="S113" s="816"/>
      <c r="T113" s="738"/>
      <c r="U113" s="738"/>
      <c r="V113" s="738"/>
      <c r="W113" s="738"/>
      <c r="X113" s="817"/>
      <c r="Y113" s="816"/>
      <c r="Z113" s="738"/>
      <c r="AA113" s="738"/>
      <c r="AB113" s="738"/>
      <c r="AC113" s="738"/>
      <c r="AD113" s="817"/>
      <c r="AF113">
        <f t="shared" si="4"/>
        <v>0</v>
      </c>
      <c r="AG113">
        <f t="shared" si="5"/>
        <v>0</v>
      </c>
      <c r="AH113">
        <f t="shared" si="6"/>
        <v>0</v>
      </c>
    </row>
    <row r="114" spans="1:34" ht="15" customHeight="1">
      <c r="A114" s="119"/>
      <c r="C114" s="843"/>
      <c r="D114" s="844"/>
      <c r="E114" s="226" t="s">
        <v>2833</v>
      </c>
      <c r="F114" s="813" t="s">
        <v>6113</v>
      </c>
      <c r="G114" s="814"/>
      <c r="H114" s="814"/>
      <c r="I114" s="814"/>
      <c r="J114" s="814"/>
      <c r="K114" s="814"/>
      <c r="L114" s="815"/>
      <c r="M114" s="816"/>
      <c r="N114" s="738"/>
      <c r="O114" s="738"/>
      <c r="P114" s="738"/>
      <c r="Q114" s="738"/>
      <c r="R114" s="817"/>
      <c r="S114" s="816"/>
      <c r="T114" s="738"/>
      <c r="U114" s="738"/>
      <c r="V114" s="738"/>
      <c r="W114" s="738"/>
      <c r="X114" s="817"/>
      <c r="Y114" s="816"/>
      <c r="Z114" s="738"/>
      <c r="AA114" s="738"/>
      <c r="AB114" s="738"/>
      <c r="AC114" s="738"/>
      <c r="AD114" s="817"/>
      <c r="AF114">
        <f t="shared" si="4"/>
        <v>0</v>
      </c>
      <c r="AG114">
        <f t="shared" si="5"/>
        <v>0</v>
      </c>
      <c r="AH114">
        <f t="shared" si="6"/>
        <v>0</v>
      </c>
    </row>
    <row r="115" spans="1:34" ht="15" customHeight="1">
      <c r="A115" s="119"/>
      <c r="C115" s="843"/>
      <c r="D115" s="844"/>
      <c r="E115" s="226" t="s">
        <v>2834</v>
      </c>
      <c r="F115" s="813" t="s">
        <v>5439</v>
      </c>
      <c r="G115" s="814"/>
      <c r="H115" s="814"/>
      <c r="I115" s="814"/>
      <c r="J115" s="814"/>
      <c r="K115" s="814"/>
      <c r="L115" s="815"/>
      <c r="M115" s="816"/>
      <c r="N115" s="738"/>
      <c r="O115" s="738"/>
      <c r="P115" s="738"/>
      <c r="Q115" s="738"/>
      <c r="R115" s="817"/>
      <c r="S115" s="816"/>
      <c r="T115" s="738"/>
      <c r="U115" s="738"/>
      <c r="V115" s="738"/>
      <c r="W115" s="738"/>
      <c r="X115" s="817"/>
      <c r="Y115" s="816"/>
      <c r="Z115" s="738"/>
      <c r="AA115" s="738"/>
      <c r="AB115" s="738"/>
      <c r="AC115" s="738"/>
      <c r="AD115" s="817"/>
      <c r="AF115">
        <f t="shared" si="4"/>
        <v>0</v>
      </c>
      <c r="AG115">
        <f t="shared" si="5"/>
        <v>0</v>
      </c>
      <c r="AH115">
        <f t="shared" si="6"/>
        <v>0</v>
      </c>
    </row>
    <row r="116" spans="1:34" ht="15" customHeight="1">
      <c r="A116" s="119"/>
      <c r="C116" s="843"/>
      <c r="D116" s="844"/>
      <c r="E116" s="226" t="s">
        <v>6114</v>
      </c>
      <c r="F116" s="813" t="s">
        <v>5440</v>
      </c>
      <c r="G116" s="814"/>
      <c r="H116" s="814"/>
      <c r="I116" s="814"/>
      <c r="J116" s="814"/>
      <c r="K116" s="814"/>
      <c r="L116" s="815"/>
      <c r="M116" s="816"/>
      <c r="N116" s="738"/>
      <c r="O116" s="738"/>
      <c r="P116" s="738"/>
      <c r="Q116" s="738"/>
      <c r="R116" s="817"/>
      <c r="S116" s="816"/>
      <c r="T116" s="738"/>
      <c r="U116" s="738"/>
      <c r="V116" s="738"/>
      <c r="W116" s="738"/>
      <c r="X116" s="817"/>
      <c r="Y116" s="816"/>
      <c r="Z116" s="738"/>
      <c r="AA116" s="738"/>
      <c r="AB116" s="738"/>
      <c r="AC116" s="738"/>
      <c r="AD116" s="817"/>
      <c r="AF116">
        <f t="shared" si="4"/>
        <v>0</v>
      </c>
      <c r="AG116">
        <f t="shared" si="5"/>
        <v>0</v>
      </c>
      <c r="AH116">
        <f t="shared" si="6"/>
        <v>0</v>
      </c>
    </row>
    <row r="117" spans="1:34" ht="24" customHeight="1">
      <c r="A117" s="119"/>
      <c r="C117" s="843"/>
      <c r="D117" s="844"/>
      <c r="E117" s="226" t="s">
        <v>6115</v>
      </c>
      <c r="F117" s="813" t="s">
        <v>5441</v>
      </c>
      <c r="G117" s="814"/>
      <c r="H117" s="814"/>
      <c r="I117" s="814"/>
      <c r="J117" s="814"/>
      <c r="K117" s="814"/>
      <c r="L117" s="815"/>
      <c r="M117" s="816"/>
      <c r="N117" s="738"/>
      <c r="O117" s="738"/>
      <c r="P117" s="738"/>
      <c r="Q117" s="738"/>
      <c r="R117" s="817"/>
      <c r="S117" s="816"/>
      <c r="T117" s="738"/>
      <c r="U117" s="738"/>
      <c r="V117" s="738"/>
      <c r="W117" s="738"/>
      <c r="X117" s="817"/>
      <c r="Y117" s="816"/>
      <c r="Z117" s="738"/>
      <c r="AA117" s="738"/>
      <c r="AB117" s="738"/>
      <c r="AC117" s="738"/>
      <c r="AD117" s="817"/>
      <c r="AF117">
        <f t="shared" si="4"/>
        <v>0</v>
      </c>
      <c r="AG117">
        <f t="shared" si="5"/>
        <v>0</v>
      </c>
      <c r="AH117">
        <f t="shared" si="6"/>
        <v>0</v>
      </c>
    </row>
    <row r="118" spans="1:34" ht="15" customHeight="1">
      <c r="A118" s="119"/>
      <c r="C118" s="843"/>
      <c r="D118" s="844"/>
      <c r="E118" s="226" t="s">
        <v>6116</v>
      </c>
      <c r="F118" s="813" t="s">
        <v>5442</v>
      </c>
      <c r="G118" s="814"/>
      <c r="H118" s="814"/>
      <c r="I118" s="814"/>
      <c r="J118" s="814"/>
      <c r="K118" s="814"/>
      <c r="L118" s="815"/>
      <c r="M118" s="816"/>
      <c r="N118" s="738"/>
      <c r="O118" s="738"/>
      <c r="P118" s="738"/>
      <c r="Q118" s="738"/>
      <c r="R118" s="817"/>
      <c r="S118" s="816"/>
      <c r="T118" s="738"/>
      <c r="U118" s="738"/>
      <c r="V118" s="738"/>
      <c r="W118" s="738"/>
      <c r="X118" s="817"/>
      <c r="Y118" s="816"/>
      <c r="Z118" s="738"/>
      <c r="AA118" s="738"/>
      <c r="AB118" s="738"/>
      <c r="AC118" s="738"/>
      <c r="AD118" s="817"/>
      <c r="AF118">
        <f t="shared" si="4"/>
        <v>0</v>
      </c>
      <c r="AG118">
        <f t="shared" si="5"/>
        <v>0</v>
      </c>
      <c r="AH118">
        <f t="shared" si="6"/>
        <v>0</v>
      </c>
    </row>
    <row r="119" spans="1:34" ht="15" customHeight="1">
      <c r="A119" s="119"/>
      <c r="C119" s="843"/>
      <c r="D119" s="844"/>
      <c r="E119" s="226" t="s">
        <v>6117</v>
      </c>
      <c r="F119" s="813" t="s">
        <v>6118</v>
      </c>
      <c r="G119" s="814"/>
      <c r="H119" s="814"/>
      <c r="I119" s="814"/>
      <c r="J119" s="814"/>
      <c r="K119" s="814"/>
      <c r="L119" s="815"/>
      <c r="M119" s="816"/>
      <c r="N119" s="738"/>
      <c r="O119" s="738"/>
      <c r="P119" s="738"/>
      <c r="Q119" s="738"/>
      <c r="R119" s="817"/>
      <c r="S119" s="816"/>
      <c r="T119" s="738"/>
      <c r="U119" s="738"/>
      <c r="V119" s="738"/>
      <c r="W119" s="738"/>
      <c r="X119" s="817"/>
      <c r="Y119" s="816"/>
      <c r="Z119" s="738"/>
      <c r="AA119" s="738"/>
      <c r="AB119" s="738"/>
      <c r="AC119" s="738"/>
      <c r="AD119" s="817"/>
      <c r="AF119">
        <f t="shared" si="4"/>
        <v>0</v>
      </c>
      <c r="AG119">
        <f t="shared" si="5"/>
        <v>0</v>
      </c>
      <c r="AH119">
        <f t="shared" si="6"/>
        <v>0</v>
      </c>
    </row>
    <row r="120" spans="1:34" ht="15" customHeight="1">
      <c r="A120" s="119"/>
      <c r="C120" s="843"/>
      <c r="D120" s="844"/>
      <c r="E120" s="226" t="s">
        <v>6119</v>
      </c>
      <c r="F120" s="813" t="s">
        <v>6120</v>
      </c>
      <c r="G120" s="814"/>
      <c r="H120" s="814"/>
      <c r="I120" s="814"/>
      <c r="J120" s="814"/>
      <c r="K120" s="814"/>
      <c r="L120" s="815"/>
      <c r="M120" s="816"/>
      <c r="N120" s="738"/>
      <c r="O120" s="738"/>
      <c r="P120" s="738"/>
      <c r="Q120" s="738"/>
      <c r="R120" s="817"/>
      <c r="S120" s="816"/>
      <c r="T120" s="738"/>
      <c r="U120" s="738"/>
      <c r="V120" s="738"/>
      <c r="W120" s="738"/>
      <c r="X120" s="817"/>
      <c r="Y120" s="816"/>
      <c r="Z120" s="738"/>
      <c r="AA120" s="738"/>
      <c r="AB120" s="738"/>
      <c r="AC120" s="738"/>
      <c r="AD120" s="817"/>
      <c r="AF120">
        <f t="shared" si="4"/>
        <v>0</v>
      </c>
      <c r="AG120">
        <f t="shared" si="5"/>
        <v>0</v>
      </c>
      <c r="AH120">
        <f t="shared" si="6"/>
        <v>0</v>
      </c>
    </row>
    <row r="121" spans="1:34" ht="24" customHeight="1">
      <c r="A121" s="119"/>
      <c r="C121" s="843"/>
      <c r="D121" s="844"/>
      <c r="E121" s="225" t="s">
        <v>6121</v>
      </c>
      <c r="F121" s="813" t="s">
        <v>6122</v>
      </c>
      <c r="G121" s="814"/>
      <c r="H121" s="814"/>
      <c r="I121" s="814"/>
      <c r="J121" s="814"/>
      <c r="K121" s="814"/>
      <c r="L121" s="815"/>
      <c r="M121" s="816"/>
      <c r="N121" s="738"/>
      <c r="O121" s="738"/>
      <c r="P121" s="738"/>
      <c r="Q121" s="738"/>
      <c r="R121" s="817"/>
      <c r="S121" s="816"/>
      <c r="T121" s="738"/>
      <c r="U121" s="738"/>
      <c r="V121" s="738"/>
      <c r="W121" s="738"/>
      <c r="X121" s="817"/>
      <c r="Y121" s="816"/>
      <c r="Z121" s="738"/>
      <c r="AA121" s="738"/>
      <c r="AB121" s="738"/>
      <c r="AC121" s="738"/>
      <c r="AD121" s="817"/>
      <c r="AF121">
        <f t="shared" si="4"/>
        <v>0</v>
      </c>
      <c r="AG121">
        <f t="shared" si="5"/>
        <v>0</v>
      </c>
      <c r="AH121">
        <f t="shared" si="6"/>
        <v>0</v>
      </c>
    </row>
    <row r="122" spans="1:34" ht="15" customHeight="1">
      <c r="A122" s="119"/>
      <c r="C122" s="845"/>
      <c r="D122" s="846"/>
      <c r="E122" s="225" t="s">
        <v>6123</v>
      </c>
      <c r="F122" s="813" t="s">
        <v>6124</v>
      </c>
      <c r="G122" s="814"/>
      <c r="H122" s="814"/>
      <c r="I122" s="814"/>
      <c r="J122" s="814"/>
      <c r="K122" s="814"/>
      <c r="L122" s="815"/>
      <c r="M122" s="816"/>
      <c r="N122" s="738"/>
      <c r="O122" s="738"/>
      <c r="P122" s="738"/>
      <c r="Q122" s="738"/>
      <c r="R122" s="817"/>
      <c r="S122" s="816"/>
      <c r="T122" s="738"/>
      <c r="U122" s="738"/>
      <c r="V122" s="738"/>
      <c r="W122" s="738"/>
      <c r="X122" s="817"/>
      <c r="Y122" s="816"/>
      <c r="Z122" s="738"/>
      <c r="AA122" s="738"/>
      <c r="AB122" s="738"/>
      <c r="AC122" s="738"/>
      <c r="AD122" s="817"/>
      <c r="AF122">
        <f t="shared" si="4"/>
        <v>0</v>
      </c>
      <c r="AG122">
        <f t="shared" si="5"/>
        <v>0</v>
      </c>
      <c r="AH122">
        <f t="shared" si="6"/>
        <v>0</v>
      </c>
    </row>
    <row r="123" spans="1:34" ht="15" customHeight="1">
      <c r="A123" s="119"/>
      <c r="C123" s="736" t="s">
        <v>2522</v>
      </c>
      <c r="D123" s="736"/>
      <c r="E123" s="736"/>
      <c r="F123" s="813" t="s">
        <v>6125</v>
      </c>
      <c r="G123" s="814"/>
      <c r="H123" s="814"/>
      <c r="I123" s="814"/>
      <c r="J123" s="814"/>
      <c r="K123" s="814"/>
      <c r="L123" s="815"/>
      <c r="M123" s="816"/>
      <c r="N123" s="738"/>
      <c r="O123" s="738"/>
      <c r="P123" s="738"/>
      <c r="Q123" s="738"/>
      <c r="R123" s="817"/>
      <c r="S123" s="816"/>
      <c r="T123" s="738"/>
      <c r="U123" s="738"/>
      <c r="V123" s="738"/>
      <c r="W123" s="738"/>
      <c r="X123" s="817"/>
      <c r="Y123" s="816"/>
      <c r="Z123" s="738"/>
      <c r="AA123" s="738"/>
      <c r="AB123" s="738"/>
      <c r="AC123" s="738"/>
      <c r="AD123" s="817"/>
      <c r="AF123">
        <f t="shared" si="4"/>
        <v>0</v>
      </c>
      <c r="AG123">
        <f t="shared" si="5"/>
        <v>0</v>
      </c>
      <c r="AH123">
        <f t="shared" si="6"/>
        <v>0</v>
      </c>
    </row>
    <row r="124" spans="1:34" ht="15" customHeight="1">
      <c r="A124" s="119"/>
      <c r="C124" s="736" t="s">
        <v>2523</v>
      </c>
      <c r="D124" s="736"/>
      <c r="E124" s="736"/>
      <c r="F124" s="813" t="s">
        <v>6126</v>
      </c>
      <c r="G124" s="814"/>
      <c r="H124" s="814"/>
      <c r="I124" s="814"/>
      <c r="J124" s="814"/>
      <c r="K124" s="814"/>
      <c r="L124" s="815"/>
      <c r="M124" s="816"/>
      <c r="N124" s="738"/>
      <c r="O124" s="738"/>
      <c r="P124" s="738"/>
      <c r="Q124" s="738"/>
      <c r="R124" s="817"/>
      <c r="S124" s="816"/>
      <c r="T124" s="738"/>
      <c r="U124" s="738"/>
      <c r="V124" s="738"/>
      <c r="W124" s="738"/>
      <c r="X124" s="817"/>
      <c r="Y124" s="816"/>
      <c r="Z124" s="738"/>
      <c r="AA124" s="738"/>
      <c r="AB124" s="738"/>
      <c r="AC124" s="738"/>
      <c r="AD124" s="817"/>
      <c r="AF124">
        <f t="shared" si="4"/>
        <v>0</v>
      </c>
      <c r="AG124">
        <f t="shared" si="5"/>
        <v>0</v>
      </c>
      <c r="AH124">
        <f t="shared" si="6"/>
        <v>0</v>
      </c>
    </row>
    <row r="125" spans="1:34" ht="15" customHeight="1">
      <c r="A125" s="119"/>
      <c r="C125" s="736" t="s">
        <v>2524</v>
      </c>
      <c r="D125" s="736"/>
      <c r="E125" s="736"/>
      <c r="F125" s="813" t="s">
        <v>6127</v>
      </c>
      <c r="G125" s="814"/>
      <c r="H125" s="814"/>
      <c r="I125" s="814"/>
      <c r="J125" s="814"/>
      <c r="K125" s="814"/>
      <c r="L125" s="815"/>
      <c r="M125" s="816"/>
      <c r="N125" s="738"/>
      <c r="O125" s="738"/>
      <c r="P125" s="738"/>
      <c r="Q125" s="738"/>
      <c r="R125" s="817"/>
      <c r="S125" s="816"/>
      <c r="T125" s="738"/>
      <c r="U125" s="738"/>
      <c r="V125" s="738"/>
      <c r="W125" s="738"/>
      <c r="X125" s="817"/>
      <c r="Y125" s="816"/>
      <c r="Z125" s="738"/>
      <c r="AA125" s="738"/>
      <c r="AB125" s="738"/>
      <c r="AC125" s="738"/>
      <c r="AD125" s="817"/>
      <c r="AF125">
        <f t="shared" si="4"/>
        <v>0</v>
      </c>
      <c r="AG125">
        <f t="shared" si="5"/>
        <v>0</v>
      </c>
      <c r="AH125">
        <f t="shared" si="6"/>
        <v>0</v>
      </c>
    </row>
    <row r="126" spans="1:34" ht="24" customHeight="1">
      <c r="A126" s="119"/>
      <c r="C126" s="1158" t="s">
        <v>2525</v>
      </c>
      <c r="D126" s="1158"/>
      <c r="E126" s="1158"/>
      <c r="F126" s="813" t="s">
        <v>6128</v>
      </c>
      <c r="G126" s="814"/>
      <c r="H126" s="814"/>
      <c r="I126" s="814"/>
      <c r="J126" s="814"/>
      <c r="K126" s="814"/>
      <c r="L126" s="815"/>
      <c r="M126" s="816"/>
      <c r="N126" s="738"/>
      <c r="O126" s="738"/>
      <c r="P126" s="738"/>
      <c r="Q126" s="738"/>
      <c r="R126" s="817"/>
      <c r="S126" s="816"/>
      <c r="T126" s="738"/>
      <c r="U126" s="738"/>
      <c r="V126" s="738"/>
      <c r="W126" s="738"/>
      <c r="X126" s="817"/>
      <c r="Y126" s="816"/>
      <c r="Z126" s="738"/>
      <c r="AA126" s="738"/>
      <c r="AB126" s="738"/>
      <c r="AC126" s="738"/>
      <c r="AD126" s="817"/>
      <c r="AF126">
        <f t="shared" si="4"/>
        <v>0</v>
      </c>
      <c r="AG126">
        <f t="shared" si="5"/>
        <v>0</v>
      </c>
      <c r="AH126">
        <f>IF($AF$95=8,IF(COUNTBLANK(M126:AD126)=18,0,1),IF(M126&gt;1,IF(COUNTBLANK(S126:AD126)=12,0,1),0))</f>
        <v>0</v>
      </c>
    </row>
    <row r="127" spans="1:34">
      <c r="A127" s="119"/>
      <c r="C127" s="54"/>
      <c r="D127" s="54"/>
      <c r="E127" s="118"/>
      <c r="F127" s="118"/>
      <c r="G127" s="118"/>
      <c r="H127" s="118"/>
      <c r="I127" s="118"/>
      <c r="J127" s="118"/>
      <c r="K127" s="118"/>
      <c r="L127" s="118"/>
      <c r="M127" s="118"/>
      <c r="N127" s="118"/>
      <c r="O127" s="118"/>
      <c r="P127" s="118"/>
      <c r="Q127" s="118"/>
      <c r="R127" s="118"/>
      <c r="S127" s="118"/>
      <c r="T127" s="118"/>
      <c r="U127" s="118"/>
      <c r="V127" s="118"/>
      <c r="W127" s="118"/>
      <c r="X127" s="118"/>
      <c r="Y127" s="118"/>
      <c r="Z127" s="118"/>
      <c r="AA127" s="118"/>
      <c r="AB127" s="118"/>
      <c r="AC127" s="118"/>
      <c r="AD127" s="118"/>
      <c r="AF127" s="507">
        <f>SUM(AF97:AF126)</f>
        <v>0</v>
      </c>
      <c r="AG127" s="507">
        <f>SUM(AG97:AG126)</f>
        <v>0</v>
      </c>
      <c r="AH127" s="507">
        <f>SUM(AH97:AH126)</f>
        <v>0</v>
      </c>
    </row>
    <row r="128" spans="1:34" ht="45" customHeight="1">
      <c r="A128" s="119"/>
      <c r="C128" s="905" t="s">
        <v>6129</v>
      </c>
      <c r="D128" s="905"/>
      <c r="E128" s="905"/>
      <c r="F128" s="905"/>
      <c r="G128" s="906"/>
      <c r="H128" s="816"/>
      <c r="I128" s="738"/>
      <c r="J128" s="738"/>
      <c r="K128" s="738"/>
      <c r="L128" s="738"/>
      <c r="M128" s="738"/>
      <c r="N128" s="738"/>
      <c r="O128" s="738"/>
      <c r="P128" s="738"/>
      <c r="Q128" s="738"/>
      <c r="R128" s="738"/>
      <c r="S128" s="738"/>
      <c r="T128" s="738"/>
      <c r="U128" s="738"/>
      <c r="V128" s="738"/>
      <c r="W128" s="738"/>
      <c r="X128" s="738"/>
      <c r="Y128" s="738"/>
      <c r="Z128" s="738"/>
      <c r="AA128" s="738"/>
      <c r="AB128" s="738"/>
      <c r="AC128" s="738"/>
      <c r="AD128" s="817"/>
    </row>
    <row r="129" spans="1:31">
      <c r="A129" s="119"/>
      <c r="B129" s="794" t="str">
        <f>IF(AND(M108=1,H128=""),"Debido a que seleccionó para el numeral 3.7 el código 1, debe anotar el n. de dicho(s) tipo(s) de equipo(s) electrónico(s) o informático(s)","")</f>
        <v/>
      </c>
      <c r="C129" s="794"/>
      <c r="D129" s="794"/>
      <c r="E129" s="794"/>
      <c r="F129" s="794"/>
      <c r="G129" s="794"/>
      <c r="H129" s="794"/>
      <c r="I129" s="794"/>
      <c r="J129" s="794"/>
      <c r="K129" s="794"/>
      <c r="L129" s="794"/>
      <c r="M129" s="794"/>
      <c r="N129" s="794"/>
      <c r="O129" s="794"/>
      <c r="P129" s="794"/>
      <c r="Q129" s="794"/>
      <c r="R129" s="794"/>
      <c r="S129" s="794"/>
      <c r="T129" s="794"/>
      <c r="U129" s="794"/>
      <c r="V129" s="794"/>
      <c r="W129" s="794"/>
      <c r="X129" s="794"/>
      <c r="Y129" s="794"/>
      <c r="Z129" s="794"/>
      <c r="AA129" s="794"/>
      <c r="AB129" s="794"/>
      <c r="AC129" s="794"/>
      <c r="AD129" s="794"/>
      <c r="AE129" s="794"/>
    </row>
    <row r="130" spans="1:31" ht="45" customHeight="1">
      <c r="A130" s="119"/>
      <c r="C130" s="905" t="s">
        <v>6130</v>
      </c>
      <c r="D130" s="905"/>
      <c r="E130" s="905"/>
      <c r="F130" s="905"/>
      <c r="G130" s="906"/>
      <c r="H130" s="816"/>
      <c r="I130" s="738"/>
      <c r="J130" s="738"/>
      <c r="K130" s="738"/>
      <c r="L130" s="738"/>
      <c r="M130" s="738"/>
      <c r="N130" s="738"/>
      <c r="O130" s="738"/>
      <c r="P130" s="738"/>
      <c r="Q130" s="738"/>
      <c r="R130" s="738"/>
      <c r="S130" s="738"/>
      <c r="T130" s="738"/>
      <c r="U130" s="738"/>
      <c r="V130" s="738"/>
      <c r="W130" s="738"/>
      <c r="X130" s="738"/>
      <c r="Y130" s="738"/>
      <c r="Z130" s="738"/>
      <c r="AA130" s="738"/>
      <c r="AB130" s="738"/>
      <c r="AC130" s="738"/>
      <c r="AD130" s="817"/>
    </row>
    <row r="131" spans="1:31">
      <c r="A131" s="119"/>
      <c r="B131" s="794" t="str">
        <f>IF(AND(M121=1,H130=""),"Debido a que seleccionó para el numeral 6.10 el código 1, debe anotar el nombre de dicho(s) dicho(s) tipo(s) de narcótico(s)","")</f>
        <v/>
      </c>
      <c r="C131" s="794"/>
      <c r="D131" s="794"/>
      <c r="E131" s="794"/>
      <c r="F131" s="794"/>
      <c r="G131" s="794"/>
      <c r="H131" s="794"/>
      <c r="I131" s="794"/>
      <c r="J131" s="794"/>
      <c r="K131" s="794"/>
      <c r="L131" s="794"/>
      <c r="M131" s="794"/>
      <c r="N131" s="794"/>
      <c r="O131" s="794"/>
      <c r="P131" s="794"/>
      <c r="Q131" s="794"/>
      <c r="R131" s="794"/>
      <c r="S131" s="794"/>
      <c r="T131" s="794"/>
      <c r="U131" s="794"/>
      <c r="V131" s="794"/>
      <c r="W131" s="794"/>
      <c r="X131" s="794"/>
      <c r="Y131" s="794"/>
      <c r="Z131" s="794"/>
      <c r="AA131" s="794"/>
      <c r="AB131" s="794"/>
      <c r="AC131" s="794"/>
      <c r="AD131" s="794"/>
      <c r="AE131" s="794"/>
    </row>
    <row r="132" spans="1:31" ht="45" customHeight="1">
      <c r="A132" s="119"/>
      <c r="C132" s="905" t="s">
        <v>6131</v>
      </c>
      <c r="D132" s="905"/>
      <c r="E132" s="905"/>
      <c r="F132" s="905"/>
      <c r="G132" s="906"/>
      <c r="H132" s="816"/>
      <c r="I132" s="738"/>
      <c r="J132" s="738"/>
      <c r="K132" s="738"/>
      <c r="L132" s="738"/>
      <c r="M132" s="738"/>
      <c r="N132" s="738"/>
      <c r="O132" s="738"/>
      <c r="P132" s="738"/>
      <c r="Q132" s="738"/>
      <c r="R132" s="738"/>
      <c r="S132" s="738"/>
      <c r="T132" s="738"/>
      <c r="U132" s="738"/>
      <c r="V132" s="738"/>
      <c r="W132" s="738"/>
      <c r="X132" s="738"/>
      <c r="Y132" s="738"/>
      <c r="Z132" s="738"/>
      <c r="AA132" s="738"/>
      <c r="AB132" s="738"/>
      <c r="AC132" s="738"/>
      <c r="AD132" s="817"/>
    </row>
    <row r="133" spans="1:31">
      <c r="A133" s="119"/>
      <c r="B133" s="794" t="str">
        <f>IF(AND(M126=1,H132=""),"Debido a que seleccionó para el numeral 10 el código 1, debe anotar el nombre de dicho(s) tipo(s) de sustancia(s) u objeto(s) prohibido(s)","")</f>
        <v/>
      </c>
      <c r="C133" s="794"/>
      <c r="D133" s="794"/>
      <c r="E133" s="794"/>
      <c r="F133" s="794"/>
      <c r="G133" s="794"/>
      <c r="H133" s="794"/>
      <c r="I133" s="794"/>
      <c r="J133" s="794"/>
      <c r="K133" s="794"/>
      <c r="L133" s="794"/>
      <c r="M133" s="794"/>
      <c r="N133" s="794"/>
      <c r="O133" s="794"/>
      <c r="P133" s="794"/>
      <c r="Q133" s="794"/>
      <c r="R133" s="794"/>
      <c r="S133" s="794"/>
      <c r="T133" s="794"/>
      <c r="U133" s="794"/>
      <c r="V133" s="794"/>
      <c r="W133" s="794"/>
      <c r="X133" s="794"/>
      <c r="Y133" s="794"/>
      <c r="Z133" s="794"/>
      <c r="AA133" s="794"/>
      <c r="AB133" s="794"/>
      <c r="AC133" s="794"/>
      <c r="AD133" s="794"/>
      <c r="AE133" s="794"/>
    </row>
    <row r="134" spans="1:31" ht="45" customHeight="1">
      <c r="A134" s="119"/>
      <c r="C134" s="905" t="s">
        <v>6132</v>
      </c>
      <c r="D134" s="905"/>
      <c r="E134" s="905"/>
      <c r="F134" s="905"/>
      <c r="G134" s="906"/>
      <c r="H134" s="816"/>
      <c r="I134" s="738"/>
      <c r="J134" s="738"/>
      <c r="K134" s="738"/>
      <c r="L134" s="738"/>
      <c r="M134" s="738"/>
      <c r="N134" s="738"/>
      <c r="O134" s="738"/>
      <c r="P134" s="738"/>
      <c r="Q134" s="738"/>
      <c r="R134" s="738"/>
      <c r="S134" s="738"/>
      <c r="T134" s="738"/>
      <c r="U134" s="738"/>
      <c r="V134" s="738"/>
      <c r="W134" s="738"/>
      <c r="X134" s="738"/>
      <c r="Y134" s="738"/>
      <c r="Z134" s="738"/>
      <c r="AA134" s="738"/>
      <c r="AB134" s="738"/>
      <c r="AC134" s="738"/>
      <c r="AD134" s="817"/>
    </row>
    <row r="135" spans="1:31">
      <c r="A135" s="119"/>
      <c r="B135" s="794" t="str">
        <f>IF(AND(COUNTIF(S97:S126,"8")&gt;0,H134=""),"Debido a que seleccionó el código 8, debe anotar el nombre de dicha(s) unidad(es) de medida","")</f>
        <v/>
      </c>
      <c r="C135" s="794"/>
      <c r="D135" s="794"/>
      <c r="E135" s="794"/>
      <c r="F135" s="794"/>
      <c r="G135" s="794"/>
      <c r="H135" s="794"/>
      <c r="I135" s="794"/>
      <c r="J135" s="794"/>
      <c r="K135" s="794"/>
      <c r="L135" s="794"/>
      <c r="M135" s="794"/>
      <c r="N135" s="794"/>
      <c r="O135" s="794"/>
      <c r="P135" s="794"/>
      <c r="Q135" s="794"/>
      <c r="R135" s="794"/>
      <c r="S135" s="794"/>
      <c r="T135" s="794"/>
      <c r="U135" s="794"/>
      <c r="V135" s="794"/>
      <c r="W135" s="794"/>
      <c r="X135" s="794"/>
      <c r="Y135" s="794"/>
      <c r="Z135" s="794"/>
      <c r="AA135" s="794"/>
      <c r="AB135" s="794"/>
      <c r="AC135" s="794"/>
      <c r="AD135" s="794"/>
      <c r="AE135" s="794"/>
    </row>
    <row r="136" spans="1:31">
      <c r="A136" s="119"/>
      <c r="C136" s="732" t="s">
        <v>6133</v>
      </c>
      <c r="D136" s="732"/>
      <c r="E136" s="732"/>
      <c r="F136" s="732"/>
      <c r="G136" s="732"/>
      <c r="H136" s="732"/>
      <c r="I136" s="732"/>
      <c r="J136" s="732"/>
      <c r="K136" s="732"/>
      <c r="L136" s="732"/>
      <c r="M136" s="732"/>
      <c r="N136" s="732"/>
      <c r="O136" s="732"/>
      <c r="P136" s="732"/>
      <c r="Q136" s="732"/>
      <c r="R136" s="732"/>
      <c r="S136" s="732"/>
      <c r="T136" s="732"/>
      <c r="U136" s="732"/>
      <c r="V136" s="732"/>
      <c r="W136" s="732"/>
      <c r="X136" s="732"/>
      <c r="Y136" s="732"/>
      <c r="Z136" s="732"/>
      <c r="AA136" s="732"/>
      <c r="AB136" s="732"/>
      <c r="AC136" s="732"/>
      <c r="AD136" s="732"/>
    </row>
    <row r="137" spans="1:31">
      <c r="A137" s="119"/>
      <c r="C137" s="92" t="s">
        <v>2516</v>
      </c>
      <c r="D137" s="861" t="s">
        <v>6134</v>
      </c>
      <c r="E137" s="862"/>
      <c r="F137" s="862"/>
      <c r="G137" s="862"/>
      <c r="H137" s="862"/>
      <c r="I137" s="862"/>
      <c r="J137" s="862"/>
      <c r="K137" s="862"/>
      <c r="L137" s="862"/>
      <c r="M137" s="862"/>
      <c r="N137" s="862"/>
      <c r="O137" s="862"/>
      <c r="P137" s="862"/>
      <c r="Q137" s="862"/>
      <c r="R137" s="862"/>
      <c r="S137" s="862"/>
      <c r="T137" s="862"/>
      <c r="U137" s="862"/>
      <c r="V137" s="862"/>
      <c r="W137" s="862"/>
      <c r="X137" s="862"/>
      <c r="Y137" s="862"/>
      <c r="Z137" s="862"/>
      <c r="AA137" s="862"/>
      <c r="AB137" s="862"/>
      <c r="AC137" s="862"/>
      <c r="AD137" s="863"/>
    </row>
    <row r="138" spans="1:31" ht="15" customHeight="1">
      <c r="A138" s="119"/>
      <c r="C138" s="44" t="s">
        <v>2517</v>
      </c>
      <c r="D138" s="796" t="s">
        <v>6135</v>
      </c>
      <c r="E138" s="796"/>
      <c r="F138" s="796"/>
      <c r="G138" s="796"/>
      <c r="H138" s="796"/>
      <c r="I138" s="796"/>
      <c r="J138" s="796"/>
      <c r="K138" s="796"/>
      <c r="L138" s="796"/>
      <c r="M138" s="796"/>
      <c r="N138" s="796"/>
      <c r="O138" s="796"/>
      <c r="P138" s="796"/>
      <c r="Q138" s="796"/>
      <c r="R138" s="796"/>
      <c r="S138" s="796"/>
      <c r="T138" s="796"/>
      <c r="U138" s="796"/>
      <c r="V138" s="796"/>
      <c r="W138" s="796"/>
      <c r="X138" s="796"/>
      <c r="Y138" s="796"/>
      <c r="Z138" s="796"/>
      <c r="AA138" s="796"/>
      <c r="AB138" s="796"/>
      <c r="AC138" s="796"/>
      <c r="AD138" s="796"/>
    </row>
    <row r="139" spans="1:31">
      <c r="A139" s="119"/>
      <c r="C139" s="44" t="s">
        <v>2518</v>
      </c>
      <c r="D139" s="796" t="s">
        <v>6136</v>
      </c>
      <c r="E139" s="796"/>
      <c r="F139" s="796"/>
      <c r="G139" s="796"/>
      <c r="H139" s="796"/>
      <c r="I139" s="796"/>
      <c r="J139" s="796"/>
      <c r="K139" s="796"/>
      <c r="L139" s="796"/>
      <c r="M139" s="796"/>
      <c r="N139" s="796"/>
      <c r="O139" s="796"/>
      <c r="P139" s="796"/>
      <c r="Q139" s="796"/>
      <c r="R139" s="796"/>
      <c r="S139" s="796"/>
      <c r="T139" s="796"/>
      <c r="U139" s="796"/>
      <c r="V139" s="796"/>
      <c r="W139" s="796"/>
      <c r="X139" s="796"/>
      <c r="Y139" s="796"/>
      <c r="Z139" s="796"/>
      <c r="AA139" s="796"/>
      <c r="AB139" s="796"/>
      <c r="AC139" s="796"/>
      <c r="AD139" s="796"/>
    </row>
    <row r="140" spans="1:31">
      <c r="A140" s="119"/>
      <c r="C140" s="44" t="s">
        <v>2519</v>
      </c>
      <c r="D140" s="796" t="s">
        <v>6137</v>
      </c>
      <c r="E140" s="796"/>
      <c r="F140" s="796"/>
      <c r="G140" s="796"/>
      <c r="H140" s="796"/>
      <c r="I140" s="796"/>
      <c r="J140" s="796"/>
      <c r="K140" s="796"/>
      <c r="L140" s="796"/>
      <c r="M140" s="796"/>
      <c r="N140" s="796"/>
      <c r="O140" s="796"/>
      <c r="P140" s="796"/>
      <c r="Q140" s="796"/>
      <c r="R140" s="796"/>
      <c r="S140" s="796"/>
      <c r="T140" s="796"/>
      <c r="U140" s="796"/>
      <c r="V140" s="796"/>
      <c r="W140" s="796"/>
      <c r="X140" s="796"/>
      <c r="Y140" s="796"/>
      <c r="Z140" s="796"/>
      <c r="AA140" s="796"/>
      <c r="AB140" s="796"/>
      <c r="AC140" s="796"/>
      <c r="AD140" s="796"/>
    </row>
    <row r="141" spans="1:31" ht="15" customHeight="1">
      <c r="A141" s="119"/>
      <c r="C141" s="44" t="s">
        <v>2520</v>
      </c>
      <c r="D141" s="813" t="s">
        <v>6138</v>
      </c>
      <c r="E141" s="814"/>
      <c r="F141" s="814"/>
      <c r="G141" s="814"/>
      <c r="H141" s="814"/>
      <c r="I141" s="814"/>
      <c r="J141" s="814"/>
      <c r="K141" s="814"/>
      <c r="L141" s="814"/>
      <c r="M141" s="814"/>
      <c r="N141" s="814"/>
      <c r="O141" s="814"/>
      <c r="P141" s="814"/>
      <c r="Q141" s="814"/>
      <c r="R141" s="814"/>
      <c r="S141" s="814"/>
      <c r="T141" s="814"/>
      <c r="U141" s="814"/>
      <c r="V141" s="814"/>
      <c r="W141" s="814"/>
      <c r="X141" s="814"/>
      <c r="Y141" s="814"/>
      <c r="Z141" s="814"/>
      <c r="AA141" s="814"/>
      <c r="AB141" s="814"/>
      <c r="AC141" s="814"/>
      <c r="AD141" s="815"/>
    </row>
    <row r="142" spans="1:31">
      <c r="A142" s="119"/>
      <c r="C142" s="44" t="s">
        <v>2521</v>
      </c>
      <c r="D142" s="796" t="s">
        <v>6139</v>
      </c>
      <c r="E142" s="796"/>
      <c r="F142" s="796"/>
      <c r="G142" s="796"/>
      <c r="H142" s="796"/>
      <c r="I142" s="796"/>
      <c r="J142" s="796"/>
      <c r="K142" s="796"/>
      <c r="L142" s="796"/>
      <c r="M142" s="796"/>
      <c r="N142" s="796"/>
      <c r="O142" s="796"/>
      <c r="P142" s="796"/>
      <c r="Q142" s="796"/>
      <c r="R142" s="796"/>
      <c r="S142" s="796"/>
      <c r="T142" s="796"/>
      <c r="U142" s="796"/>
      <c r="V142" s="796"/>
      <c r="W142" s="796"/>
      <c r="X142" s="796"/>
      <c r="Y142" s="796"/>
      <c r="Z142" s="796"/>
      <c r="AA142" s="796"/>
      <c r="AB142" s="796"/>
      <c r="AC142" s="796"/>
      <c r="AD142" s="796"/>
    </row>
    <row r="143" spans="1:31">
      <c r="A143" s="119"/>
      <c r="C143" s="44" t="s">
        <v>2522</v>
      </c>
      <c r="D143" s="796" t="s">
        <v>6140</v>
      </c>
      <c r="E143" s="796"/>
      <c r="F143" s="796"/>
      <c r="G143" s="796"/>
      <c r="H143" s="796"/>
      <c r="I143" s="796"/>
      <c r="J143" s="796"/>
      <c r="K143" s="796"/>
      <c r="L143" s="796"/>
      <c r="M143" s="796"/>
      <c r="N143" s="796"/>
      <c r="O143" s="796"/>
      <c r="P143" s="796"/>
      <c r="Q143" s="796"/>
      <c r="R143" s="796"/>
      <c r="S143" s="796"/>
      <c r="T143" s="796"/>
      <c r="U143" s="796"/>
      <c r="V143" s="796"/>
      <c r="W143" s="796"/>
      <c r="X143" s="796"/>
      <c r="Y143" s="796"/>
      <c r="Z143" s="796"/>
      <c r="AA143" s="796"/>
      <c r="AB143" s="796"/>
      <c r="AC143" s="796"/>
      <c r="AD143" s="796"/>
    </row>
    <row r="144" spans="1:31">
      <c r="A144" s="119"/>
      <c r="C144" s="44" t="s">
        <v>2523</v>
      </c>
      <c r="D144" s="796" t="s">
        <v>6141</v>
      </c>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c r="AA144" s="796"/>
      <c r="AB144" s="796"/>
      <c r="AC144" s="796"/>
      <c r="AD144" s="796"/>
    </row>
    <row r="145" spans="1:31">
      <c r="A145" s="119"/>
    </row>
    <row r="146" spans="1:31" ht="24" customHeight="1">
      <c r="A146" s="119"/>
      <c r="C146" s="754" t="s">
        <v>2611</v>
      </c>
      <c r="D146" s="754"/>
      <c r="E146" s="754"/>
      <c r="F146" s="754"/>
      <c r="G146" s="754"/>
      <c r="H146" s="754"/>
      <c r="I146" s="754"/>
      <c r="J146" s="754"/>
      <c r="K146" s="754"/>
      <c r="L146" s="754"/>
      <c r="M146" s="754"/>
      <c r="N146" s="754"/>
      <c r="O146" s="754"/>
      <c r="P146" s="754"/>
      <c r="Q146" s="754"/>
      <c r="R146" s="754"/>
      <c r="S146" s="754"/>
      <c r="T146" s="754"/>
      <c r="U146" s="754"/>
      <c r="V146" s="754"/>
      <c r="W146" s="754"/>
      <c r="X146" s="754"/>
      <c r="Y146" s="754"/>
      <c r="Z146" s="754"/>
      <c r="AA146" s="754"/>
      <c r="AB146" s="754"/>
      <c r="AC146" s="754"/>
      <c r="AD146" s="754"/>
    </row>
    <row r="147" spans="1:31" ht="60" customHeight="1">
      <c r="A147" s="119"/>
      <c r="C147" s="851"/>
      <c r="D147" s="851"/>
      <c r="E147" s="851"/>
      <c r="F147" s="851"/>
      <c r="G147" s="851"/>
      <c r="H147" s="851"/>
      <c r="I147" s="851"/>
      <c r="J147" s="851"/>
      <c r="K147" s="851"/>
      <c r="L147" s="851"/>
      <c r="M147" s="851"/>
      <c r="N147" s="851"/>
      <c r="O147" s="851"/>
      <c r="P147" s="851"/>
      <c r="Q147" s="851"/>
      <c r="R147" s="851"/>
      <c r="S147" s="851"/>
      <c r="T147" s="851"/>
      <c r="U147" s="851"/>
      <c r="V147" s="851"/>
      <c r="W147" s="851"/>
      <c r="X147" s="851"/>
      <c r="Y147" s="851"/>
      <c r="Z147" s="851"/>
      <c r="AA147" s="851"/>
      <c r="AB147" s="851"/>
      <c r="AC147" s="851"/>
      <c r="AD147" s="851"/>
    </row>
    <row r="148" spans="1:31">
      <c r="A148" s="119"/>
      <c r="B148" s="794" t="str">
        <f>IF(AG127=0,"","Favor de ingresar toda la información requerida en la pregunta")</f>
        <v/>
      </c>
      <c r="C148" s="794"/>
      <c r="D148" s="794"/>
      <c r="E148" s="794"/>
      <c r="F148" s="794"/>
      <c r="G148" s="794"/>
      <c r="H148" s="794"/>
      <c r="I148" s="794"/>
      <c r="J148" s="794"/>
      <c r="K148" s="794"/>
      <c r="L148" s="794"/>
      <c r="M148" s="794"/>
      <c r="N148" s="794"/>
      <c r="O148" s="794"/>
      <c r="P148" s="794"/>
      <c r="Q148" s="794"/>
      <c r="R148" s="794"/>
      <c r="S148" s="794"/>
      <c r="T148" s="794"/>
      <c r="U148" s="794"/>
      <c r="V148" s="794"/>
      <c r="W148" s="794"/>
      <c r="X148" s="794"/>
      <c r="Y148" s="794"/>
      <c r="Z148" s="794"/>
      <c r="AA148" s="794"/>
      <c r="AB148" s="794"/>
      <c r="AC148" s="794"/>
      <c r="AD148" s="794"/>
      <c r="AE148" s="794"/>
    </row>
    <row r="149" spans="1:31">
      <c r="A149" s="119"/>
      <c r="B149" s="1087" t="str">
        <f>IF(COUNTIF(Y97:AD126,"NS")&lt;&gt;0,"Alerta: debido a que cuenta con registros NS, debe proporcionar una justificación en el area de comentarios al final de la pregunta","")</f>
        <v/>
      </c>
      <c r="C149" s="1087"/>
      <c r="D149" s="1087"/>
      <c r="E149" s="1087"/>
      <c r="F149" s="1087"/>
      <c r="G149" s="1087"/>
      <c r="H149" s="1087"/>
      <c r="I149" s="1087"/>
      <c r="J149" s="1087"/>
      <c r="K149" s="1087"/>
      <c r="L149" s="1087"/>
      <c r="M149" s="1087"/>
      <c r="N149" s="1087"/>
      <c r="O149" s="1087"/>
      <c r="P149" s="1087"/>
      <c r="Q149" s="1087"/>
      <c r="R149" s="1087"/>
      <c r="S149" s="1087"/>
      <c r="T149" s="1087"/>
      <c r="U149" s="1087"/>
      <c r="V149" s="1087"/>
      <c r="W149" s="1087"/>
      <c r="X149" s="1087"/>
      <c r="Y149" s="1087"/>
      <c r="Z149" s="1087"/>
      <c r="AA149" s="1087"/>
      <c r="AB149" s="1087"/>
      <c r="AC149" s="1087"/>
      <c r="AD149" s="1087"/>
      <c r="AE149" s="1087"/>
    </row>
    <row r="150" spans="1:31">
      <c r="A150" s="119"/>
      <c r="B150" s="1003" t="str">
        <f>IF(AH127&gt;0,"Revise la información capturada, ya que tiene datos ingresados en celdas que están sombreadas","")</f>
        <v/>
      </c>
      <c r="C150" s="1003"/>
      <c r="D150" s="1003"/>
      <c r="E150" s="1003"/>
      <c r="F150" s="1003"/>
      <c r="G150" s="1003"/>
      <c r="H150" s="1003"/>
      <c r="I150" s="1003"/>
      <c r="J150" s="1003"/>
      <c r="K150" s="1003"/>
      <c r="L150" s="1003"/>
      <c r="M150" s="1003"/>
      <c r="N150" s="1003"/>
      <c r="O150" s="1003"/>
      <c r="P150" s="1003"/>
      <c r="Q150" s="1003"/>
      <c r="R150" s="1003"/>
      <c r="S150" s="1003"/>
      <c r="T150" s="1003"/>
      <c r="U150" s="1003"/>
      <c r="V150" s="1003"/>
      <c r="W150" s="1003"/>
      <c r="X150" s="1003"/>
      <c r="Y150" s="1003"/>
      <c r="Z150" s="1003"/>
      <c r="AA150" s="1003"/>
      <c r="AB150" s="1003"/>
      <c r="AC150" s="1003"/>
      <c r="AD150" s="1003"/>
      <c r="AE150" s="1003"/>
    </row>
    <row r="151" spans="1:31">
      <c r="A151" s="119"/>
      <c r="B151" s="1003" t="str">
        <f>IF(AF127=0,"","Debido a que cuenta con registro(s) con el código 1, el total de la fila respectiva debe ser mayor a cero")</f>
        <v/>
      </c>
      <c r="C151" s="1003"/>
      <c r="D151" s="1003"/>
      <c r="E151" s="1003"/>
      <c r="F151" s="1003"/>
      <c r="G151" s="1003"/>
      <c r="H151" s="1003"/>
      <c r="I151" s="1003"/>
      <c r="J151" s="1003"/>
      <c r="K151" s="1003"/>
      <c r="L151" s="1003"/>
      <c r="M151" s="1003"/>
      <c r="N151" s="1003"/>
      <c r="O151" s="1003"/>
      <c r="P151" s="1003"/>
      <c r="Q151" s="1003"/>
      <c r="R151" s="1003"/>
      <c r="S151" s="1003"/>
      <c r="T151" s="1003"/>
      <c r="U151" s="1003"/>
      <c r="V151" s="1003"/>
      <c r="W151" s="1003"/>
      <c r="X151" s="1003"/>
      <c r="Y151" s="1003"/>
      <c r="Z151" s="1003"/>
      <c r="AA151" s="1003"/>
      <c r="AB151" s="1003"/>
      <c r="AC151" s="1003"/>
      <c r="AD151" s="1003"/>
      <c r="AE151" s="1003"/>
    </row>
    <row r="152" spans="1:31">
      <c r="A152" s="119"/>
      <c r="AE152"/>
    </row>
    <row r="153" spans="1:31" ht="15.75" thickBot="1">
      <c r="A153" s="119"/>
      <c r="AE153"/>
    </row>
    <row r="154" spans="1:31" customFormat="1" ht="15" customHeight="1" thickBot="1">
      <c r="A154" s="19" t="s">
        <v>2563</v>
      </c>
      <c r="B154" s="1137" t="s">
        <v>6142</v>
      </c>
      <c r="C154" s="1138"/>
      <c r="D154" s="1138"/>
      <c r="E154" s="1138"/>
      <c r="F154" s="1138"/>
      <c r="G154" s="1138"/>
      <c r="H154" s="1138"/>
      <c r="I154" s="1138"/>
      <c r="J154" s="1138"/>
      <c r="K154" s="1138"/>
      <c r="L154" s="1138"/>
      <c r="M154" s="1138"/>
      <c r="N154" s="1138"/>
      <c r="O154" s="1138"/>
      <c r="P154" s="1138"/>
      <c r="Q154" s="1138"/>
      <c r="R154" s="1138"/>
      <c r="S154" s="1138"/>
      <c r="T154" s="1138"/>
      <c r="U154" s="1138"/>
      <c r="V154" s="1138"/>
      <c r="W154" s="1138"/>
      <c r="X154" s="1138"/>
      <c r="Y154" s="1138"/>
      <c r="Z154" s="1138"/>
      <c r="AA154" s="1138"/>
      <c r="AB154" s="1138"/>
      <c r="AC154" s="1138"/>
      <c r="AD154" s="1139"/>
      <c r="AE154" s="3"/>
    </row>
    <row r="155" spans="1:31" ht="15" customHeight="1">
      <c r="A155" s="142"/>
      <c r="B155" s="1144" t="s">
        <v>3332</v>
      </c>
      <c r="C155" s="977"/>
      <c r="D155" s="977"/>
      <c r="E155" s="977"/>
      <c r="F155" s="977"/>
      <c r="G155" s="977"/>
      <c r="H155" s="977"/>
      <c r="I155" s="977"/>
      <c r="J155" s="977"/>
      <c r="K155" s="977"/>
      <c r="L155" s="977"/>
      <c r="M155" s="977"/>
      <c r="N155" s="977"/>
      <c r="O155" s="977"/>
      <c r="P155" s="977"/>
      <c r="Q155" s="977"/>
      <c r="R155" s="977"/>
      <c r="S155" s="977"/>
      <c r="T155" s="977"/>
      <c r="U155" s="977"/>
      <c r="V155" s="977"/>
      <c r="W155" s="977"/>
      <c r="X155" s="977"/>
      <c r="Y155" s="977"/>
      <c r="Z155" s="977"/>
      <c r="AA155" s="977"/>
      <c r="AB155" s="977"/>
      <c r="AC155" s="977"/>
      <c r="AD155" s="1145"/>
    </row>
    <row r="156" spans="1:31" ht="48" customHeight="1">
      <c r="A156" s="142"/>
      <c r="B156" s="200"/>
      <c r="C156" s="764" t="s">
        <v>6143</v>
      </c>
      <c r="D156" s="876"/>
      <c r="E156" s="876"/>
      <c r="F156" s="876"/>
      <c r="G156" s="876"/>
      <c r="H156" s="876"/>
      <c r="I156" s="876"/>
      <c r="J156" s="876"/>
      <c r="K156" s="876"/>
      <c r="L156" s="876"/>
      <c r="M156" s="876"/>
      <c r="N156" s="876"/>
      <c r="O156" s="876"/>
      <c r="P156" s="876"/>
      <c r="Q156" s="876"/>
      <c r="R156" s="876"/>
      <c r="S156" s="876"/>
      <c r="T156" s="876"/>
      <c r="U156" s="876"/>
      <c r="V156" s="876"/>
      <c r="W156" s="876"/>
      <c r="X156" s="876"/>
      <c r="Y156" s="876"/>
      <c r="Z156" s="876"/>
      <c r="AA156" s="876"/>
      <c r="AB156" s="876"/>
      <c r="AC156" s="876"/>
      <c r="AD156" s="877"/>
    </row>
    <row r="157" spans="1:31" ht="15" customHeight="1">
      <c r="A157" s="119"/>
    </row>
    <row r="158" spans="1:31" ht="36" customHeight="1">
      <c r="A158" s="49" t="s">
        <v>6144</v>
      </c>
      <c r="B158" s="829" t="s">
        <v>6145</v>
      </c>
      <c r="C158" s="829"/>
      <c r="D158" s="829"/>
      <c r="E158" s="829"/>
      <c r="F158" s="829"/>
      <c r="G158" s="829"/>
      <c r="H158" s="829"/>
      <c r="I158" s="829"/>
      <c r="J158" s="829"/>
      <c r="K158" s="829"/>
      <c r="L158" s="829"/>
      <c r="M158" s="829"/>
      <c r="N158" s="829"/>
      <c r="O158" s="829"/>
      <c r="P158" s="829"/>
      <c r="Q158" s="829"/>
      <c r="R158" s="829"/>
      <c r="S158" s="829"/>
      <c r="T158" s="829"/>
      <c r="U158" s="829"/>
      <c r="V158" s="829"/>
      <c r="W158" s="829"/>
      <c r="X158" s="829"/>
      <c r="Y158" s="829"/>
      <c r="Z158" s="829"/>
      <c r="AA158" s="829"/>
      <c r="AB158" s="829"/>
      <c r="AC158" s="829"/>
      <c r="AD158" s="829"/>
    </row>
    <row r="159" spans="1:31" ht="24" customHeight="1">
      <c r="A159" s="215"/>
      <c r="B159" s="38"/>
      <c r="C159" s="830" t="s">
        <v>6146</v>
      </c>
      <c r="D159" s="830"/>
      <c r="E159" s="830"/>
      <c r="F159" s="830"/>
      <c r="G159" s="830"/>
      <c r="H159" s="830"/>
      <c r="I159" s="830"/>
      <c r="J159" s="830"/>
      <c r="K159" s="830"/>
      <c r="L159" s="830"/>
      <c r="M159" s="830"/>
      <c r="N159" s="830"/>
      <c r="O159" s="830"/>
      <c r="P159" s="830"/>
      <c r="Q159" s="830"/>
      <c r="R159" s="830"/>
      <c r="S159" s="830"/>
      <c r="T159" s="830"/>
      <c r="U159" s="830"/>
      <c r="V159" s="830"/>
      <c r="W159" s="830"/>
      <c r="X159" s="830"/>
      <c r="Y159" s="830"/>
      <c r="Z159" s="830"/>
      <c r="AA159" s="830"/>
      <c r="AB159" s="830"/>
      <c r="AC159" s="830"/>
      <c r="AD159" s="830"/>
    </row>
    <row r="160" spans="1:31" ht="15" customHeight="1">
      <c r="A160" s="210"/>
      <c r="B160" s="57"/>
      <c r="C160" s="830" t="s">
        <v>6147</v>
      </c>
      <c r="D160" s="830"/>
      <c r="E160" s="830"/>
      <c r="F160" s="830"/>
      <c r="G160" s="830"/>
      <c r="H160" s="830"/>
      <c r="I160" s="830"/>
      <c r="J160" s="830"/>
      <c r="K160" s="830"/>
      <c r="L160" s="830"/>
      <c r="M160" s="830"/>
      <c r="N160" s="830"/>
      <c r="O160" s="830"/>
      <c r="P160" s="830"/>
      <c r="Q160" s="830"/>
      <c r="R160" s="830"/>
      <c r="S160" s="830"/>
      <c r="T160" s="830"/>
      <c r="U160" s="830"/>
      <c r="V160" s="830"/>
      <c r="W160" s="830"/>
      <c r="X160" s="830"/>
      <c r="Y160" s="830"/>
      <c r="Z160" s="830"/>
      <c r="AA160" s="830"/>
      <c r="AB160" s="830"/>
      <c r="AC160" s="830"/>
      <c r="AD160" s="830"/>
    </row>
    <row r="161" spans="1:34" ht="24" customHeight="1">
      <c r="A161" s="50"/>
      <c r="B161" s="57"/>
      <c r="C161" s="830" t="s">
        <v>6148</v>
      </c>
      <c r="D161" s="830"/>
      <c r="E161" s="830"/>
      <c r="F161" s="830"/>
      <c r="G161" s="830"/>
      <c r="H161" s="830"/>
      <c r="I161" s="830"/>
      <c r="J161" s="830"/>
      <c r="K161" s="830"/>
      <c r="L161" s="830"/>
      <c r="M161" s="830"/>
      <c r="N161" s="830"/>
      <c r="O161" s="830"/>
      <c r="P161" s="830"/>
      <c r="Q161" s="830"/>
      <c r="R161" s="830"/>
      <c r="S161" s="830"/>
      <c r="T161" s="830"/>
      <c r="U161" s="830"/>
      <c r="V161" s="830"/>
      <c r="W161" s="830"/>
      <c r="X161" s="830"/>
      <c r="Y161" s="830"/>
      <c r="Z161" s="830"/>
      <c r="AA161" s="830"/>
      <c r="AB161" s="830"/>
      <c r="AC161" s="830"/>
      <c r="AD161" s="830"/>
    </row>
    <row r="162" spans="1:34" ht="15" customHeight="1">
      <c r="A162" s="169"/>
      <c r="B162" s="90"/>
      <c r="C162" s="90"/>
      <c r="D162" s="90"/>
      <c r="E162" s="90"/>
      <c r="F162" s="90"/>
      <c r="G162" s="90"/>
      <c r="H162" s="90"/>
      <c r="I162" s="90"/>
      <c r="J162" s="90"/>
      <c r="K162" s="90"/>
      <c r="L162" s="90"/>
      <c r="M162" s="90"/>
      <c r="N162" s="90"/>
      <c r="O162" s="90"/>
      <c r="P162" s="90"/>
      <c r="Q162" s="90"/>
      <c r="R162" s="90"/>
      <c r="S162" s="90"/>
      <c r="T162" s="90"/>
      <c r="U162" s="90"/>
      <c r="V162" s="90"/>
      <c r="W162" s="90"/>
      <c r="X162" s="90"/>
      <c r="Y162" s="90"/>
      <c r="Z162" s="90"/>
      <c r="AA162" s="90"/>
      <c r="AB162" s="90"/>
      <c r="AC162" s="90"/>
      <c r="AD162" s="90"/>
    </row>
    <row r="163" spans="1:34" ht="120" customHeight="1">
      <c r="A163" s="210"/>
      <c r="B163" s="38"/>
      <c r="C163" s="732" t="s">
        <v>2581</v>
      </c>
      <c r="D163" s="732"/>
      <c r="E163" s="732"/>
      <c r="F163" s="732"/>
      <c r="G163" s="732"/>
      <c r="H163" s="874" t="s">
        <v>6149</v>
      </c>
      <c r="I163" s="874"/>
      <c r="J163" s="732" t="s">
        <v>6150</v>
      </c>
      <c r="K163" s="732"/>
      <c r="L163" s="732"/>
      <c r="M163" s="732"/>
      <c r="N163" s="732"/>
      <c r="O163" s="732"/>
      <c r="P163" s="732"/>
      <c r="Q163" s="732"/>
      <c r="R163" s="732"/>
      <c r="S163" s="732"/>
      <c r="T163" s="732"/>
      <c r="U163" s="732"/>
      <c r="V163" s="732"/>
      <c r="W163" s="732"/>
      <c r="X163" s="732"/>
      <c r="Y163" s="732"/>
      <c r="Z163" s="732"/>
      <c r="AA163" s="732"/>
      <c r="AB163" s="732"/>
      <c r="AC163" s="732"/>
      <c r="AD163" s="732"/>
    </row>
    <row r="164" spans="1:34" ht="15" customHeight="1">
      <c r="A164" s="210"/>
      <c r="B164" s="38"/>
      <c r="C164" s="732"/>
      <c r="D164" s="732"/>
      <c r="E164" s="732"/>
      <c r="F164" s="732"/>
      <c r="G164" s="732"/>
      <c r="H164" s="874"/>
      <c r="I164" s="874"/>
      <c r="J164" s="44" t="s">
        <v>2516</v>
      </c>
      <c r="K164" s="44" t="s">
        <v>2517</v>
      </c>
      <c r="L164" s="44" t="s">
        <v>2518</v>
      </c>
      <c r="M164" s="44" t="s">
        <v>2519</v>
      </c>
      <c r="N164" s="44" t="s">
        <v>2520</v>
      </c>
      <c r="O164" s="44" t="s">
        <v>2521</v>
      </c>
      <c r="P164" s="44" t="s">
        <v>2522</v>
      </c>
      <c r="Q164" s="44" t="s">
        <v>2523</v>
      </c>
      <c r="R164" s="44" t="s">
        <v>2524</v>
      </c>
      <c r="S164" s="44" t="s">
        <v>2525</v>
      </c>
      <c r="T164" s="44" t="s">
        <v>2526</v>
      </c>
      <c r="U164" s="44" t="s">
        <v>2527</v>
      </c>
      <c r="V164" s="44" t="s">
        <v>2528</v>
      </c>
      <c r="W164" s="44" t="s">
        <v>2529</v>
      </c>
      <c r="X164" s="44" t="s">
        <v>2530</v>
      </c>
      <c r="Y164" s="44" t="s">
        <v>2531</v>
      </c>
      <c r="Z164" s="44" t="s">
        <v>2532</v>
      </c>
      <c r="AA164" s="44" t="s">
        <v>2533</v>
      </c>
      <c r="AB164" s="44" t="s">
        <v>2534</v>
      </c>
      <c r="AC164" s="44" t="s">
        <v>2535</v>
      </c>
      <c r="AD164" s="44" t="s">
        <v>2536</v>
      </c>
      <c r="AG164" t="s">
        <v>2586</v>
      </c>
      <c r="AH164" t="s">
        <v>5940</v>
      </c>
    </row>
    <row r="165" spans="1:34" ht="15" customHeight="1">
      <c r="A165" s="169"/>
      <c r="B165" s="90"/>
      <c r="C165" s="97" t="s">
        <v>2516</v>
      </c>
      <c r="D165" s="796" t="str">
        <f>IF(CNSIPEE_2024_M2_Secc1!D42="","",CNSIPEE_2024_M2_Secc1!D42)</f>
        <v/>
      </c>
      <c r="E165" s="796"/>
      <c r="F165" s="796"/>
      <c r="G165" s="796"/>
      <c r="H165" s="738"/>
      <c r="I165" s="738"/>
      <c r="J165" s="88"/>
      <c r="K165" s="88"/>
      <c r="L165" s="88"/>
      <c r="M165" s="88"/>
      <c r="N165" s="88"/>
      <c r="O165" s="88"/>
      <c r="P165" s="88"/>
      <c r="Q165" s="88"/>
      <c r="R165" s="88"/>
      <c r="S165" s="88"/>
      <c r="T165" s="88"/>
      <c r="U165" s="88"/>
      <c r="V165" s="88"/>
      <c r="W165" s="88"/>
      <c r="X165" s="88"/>
      <c r="Y165" s="88"/>
      <c r="Z165" s="88"/>
      <c r="AA165" s="88"/>
      <c r="AB165" s="88"/>
      <c r="AC165" s="88"/>
      <c r="AD165" s="88"/>
      <c r="AG165">
        <f t="shared" ref="AG165:AG172" si="7">IF(AND(H165&gt;1,D165&lt;&gt;""),0,IF(AND(D165="",H165="",COUNTBLANK(J165:AD165)=21),0,IF(AND(D165&lt;&gt;"",H165=1,COUNTBLANK(J165:AD165)&lt;21),0,1)))</f>
        <v>0</v>
      </c>
      <c r="AH165">
        <f t="shared" ref="AH165:AH172" si="8">IF($H165&gt;1,IF(COUNTBLANK(J165:AD165)=21,0,1),0)</f>
        <v>0</v>
      </c>
    </row>
    <row r="166" spans="1:34" ht="15" customHeight="1">
      <c r="A166" s="169"/>
      <c r="B166" s="90"/>
      <c r="C166" s="98" t="s">
        <v>2517</v>
      </c>
      <c r="D166" s="796" t="str">
        <f>IF(CNSIPEE_2024_M2_Secc1!D43="","",CNSIPEE_2024_M2_Secc1!D43)</f>
        <v/>
      </c>
      <c r="E166" s="796"/>
      <c r="F166" s="796"/>
      <c r="G166" s="796"/>
      <c r="H166" s="738"/>
      <c r="I166" s="738"/>
      <c r="J166" s="88"/>
      <c r="K166" s="88"/>
      <c r="L166" s="88"/>
      <c r="M166" s="88"/>
      <c r="N166" s="88"/>
      <c r="O166" s="88"/>
      <c r="P166" s="88"/>
      <c r="Q166" s="88"/>
      <c r="R166" s="88"/>
      <c r="S166" s="88"/>
      <c r="T166" s="88"/>
      <c r="U166" s="88"/>
      <c r="V166" s="88"/>
      <c r="W166" s="88"/>
      <c r="X166" s="88"/>
      <c r="Y166" s="88"/>
      <c r="Z166" s="88"/>
      <c r="AA166" s="88"/>
      <c r="AB166" s="88"/>
      <c r="AC166" s="88"/>
      <c r="AD166" s="88"/>
      <c r="AG166">
        <f t="shared" si="7"/>
        <v>0</v>
      </c>
      <c r="AH166">
        <f t="shared" si="8"/>
        <v>0</v>
      </c>
    </row>
    <row r="167" spans="1:34" ht="15" customHeight="1">
      <c r="A167" s="169"/>
      <c r="B167" s="90"/>
      <c r="C167" s="98" t="s">
        <v>2518</v>
      </c>
      <c r="D167" s="796" t="str">
        <f>IF(CNSIPEE_2024_M2_Secc1!D44="","",CNSIPEE_2024_M2_Secc1!D44)</f>
        <v/>
      </c>
      <c r="E167" s="796"/>
      <c r="F167" s="796"/>
      <c r="G167" s="796"/>
      <c r="H167" s="738"/>
      <c r="I167" s="738"/>
      <c r="J167" s="88"/>
      <c r="K167" s="88"/>
      <c r="L167" s="88"/>
      <c r="M167" s="88"/>
      <c r="N167" s="88"/>
      <c r="O167" s="88"/>
      <c r="P167" s="88"/>
      <c r="Q167" s="88"/>
      <c r="R167" s="88"/>
      <c r="S167" s="88"/>
      <c r="T167" s="88"/>
      <c r="U167" s="88"/>
      <c r="V167" s="88"/>
      <c r="W167" s="88"/>
      <c r="X167" s="88"/>
      <c r="Y167" s="88"/>
      <c r="Z167" s="88"/>
      <c r="AA167" s="88"/>
      <c r="AB167" s="88"/>
      <c r="AC167" s="88"/>
      <c r="AD167" s="88"/>
      <c r="AG167">
        <f t="shared" si="7"/>
        <v>0</v>
      </c>
      <c r="AH167">
        <f t="shared" si="8"/>
        <v>0</v>
      </c>
    </row>
    <row r="168" spans="1:34" ht="15" customHeight="1">
      <c r="A168" s="169"/>
      <c r="B168" s="90"/>
      <c r="C168" s="98" t="s">
        <v>2519</v>
      </c>
      <c r="D168" s="796" t="str">
        <f>IF(CNSIPEE_2024_M2_Secc1!D45="","",CNSIPEE_2024_M2_Secc1!D45)</f>
        <v/>
      </c>
      <c r="E168" s="796"/>
      <c r="F168" s="796"/>
      <c r="G168" s="796"/>
      <c r="H168" s="738"/>
      <c r="I168" s="738"/>
      <c r="J168" s="88"/>
      <c r="K168" s="88"/>
      <c r="L168" s="88"/>
      <c r="M168" s="88"/>
      <c r="N168" s="88"/>
      <c r="O168" s="88"/>
      <c r="P168" s="88"/>
      <c r="Q168" s="88"/>
      <c r="R168" s="88"/>
      <c r="S168" s="88"/>
      <c r="T168" s="88"/>
      <c r="U168" s="88"/>
      <c r="V168" s="88"/>
      <c r="W168" s="88"/>
      <c r="X168" s="88"/>
      <c r="Y168" s="88"/>
      <c r="Z168" s="88"/>
      <c r="AA168" s="88"/>
      <c r="AB168" s="88"/>
      <c r="AC168" s="88"/>
      <c r="AD168" s="88"/>
      <c r="AG168">
        <f t="shared" si="7"/>
        <v>0</v>
      </c>
      <c r="AH168">
        <f t="shared" si="8"/>
        <v>0</v>
      </c>
    </row>
    <row r="169" spans="1:34" ht="15" customHeight="1">
      <c r="A169" s="169"/>
      <c r="B169" s="90"/>
      <c r="C169" s="98" t="s">
        <v>2520</v>
      </c>
      <c r="D169" s="796" t="str">
        <f>IF(CNSIPEE_2024_M2_Secc1!D46="","",CNSIPEE_2024_M2_Secc1!D46)</f>
        <v/>
      </c>
      <c r="E169" s="796"/>
      <c r="F169" s="796"/>
      <c r="G169" s="796"/>
      <c r="H169" s="738"/>
      <c r="I169" s="738"/>
      <c r="J169" s="88"/>
      <c r="K169" s="88"/>
      <c r="L169" s="88"/>
      <c r="M169" s="88"/>
      <c r="N169" s="88"/>
      <c r="O169" s="88"/>
      <c r="P169" s="88"/>
      <c r="Q169" s="88"/>
      <c r="R169" s="88"/>
      <c r="S169" s="88"/>
      <c r="T169" s="88"/>
      <c r="U169" s="88"/>
      <c r="V169" s="88"/>
      <c r="W169" s="88"/>
      <c r="X169" s="88"/>
      <c r="Y169" s="88"/>
      <c r="Z169" s="88"/>
      <c r="AA169" s="88"/>
      <c r="AB169" s="88"/>
      <c r="AC169" s="88"/>
      <c r="AD169" s="88"/>
      <c r="AG169">
        <f t="shared" si="7"/>
        <v>0</v>
      </c>
      <c r="AH169">
        <f t="shared" si="8"/>
        <v>0</v>
      </c>
    </row>
    <row r="170" spans="1:34" ht="15" customHeight="1">
      <c r="A170" s="169"/>
      <c r="B170" s="90"/>
      <c r="C170" s="98" t="s">
        <v>2521</v>
      </c>
      <c r="D170" s="796" t="str">
        <f>IF(CNSIPEE_2024_M2_Secc1!D47="","",CNSIPEE_2024_M2_Secc1!D47)</f>
        <v/>
      </c>
      <c r="E170" s="796"/>
      <c r="F170" s="796"/>
      <c r="G170" s="796"/>
      <c r="H170" s="738"/>
      <c r="I170" s="738"/>
      <c r="J170" s="88"/>
      <c r="K170" s="88"/>
      <c r="L170" s="88"/>
      <c r="M170" s="88"/>
      <c r="N170" s="88"/>
      <c r="O170" s="88"/>
      <c r="P170" s="88"/>
      <c r="Q170" s="88"/>
      <c r="R170" s="88"/>
      <c r="S170" s="88"/>
      <c r="T170" s="88"/>
      <c r="U170" s="88"/>
      <c r="V170" s="88"/>
      <c r="W170" s="88"/>
      <c r="X170" s="88"/>
      <c r="Y170" s="88"/>
      <c r="Z170" s="88"/>
      <c r="AA170" s="88"/>
      <c r="AB170" s="88"/>
      <c r="AC170" s="88"/>
      <c r="AD170" s="88"/>
      <c r="AG170">
        <f t="shared" si="7"/>
        <v>0</v>
      </c>
      <c r="AH170">
        <f t="shared" si="8"/>
        <v>0</v>
      </c>
    </row>
    <row r="171" spans="1:34" ht="15" customHeight="1">
      <c r="A171" s="169"/>
      <c r="B171" s="90"/>
      <c r="C171" s="98" t="s">
        <v>2522</v>
      </c>
      <c r="D171" s="796" t="str">
        <f>IF(CNSIPEE_2024_M2_Secc1!D48="","",CNSIPEE_2024_M2_Secc1!D48)</f>
        <v/>
      </c>
      <c r="E171" s="796"/>
      <c r="F171" s="796"/>
      <c r="G171" s="796"/>
      <c r="H171" s="738"/>
      <c r="I171" s="738"/>
      <c r="J171" s="88"/>
      <c r="K171" s="88"/>
      <c r="L171" s="88"/>
      <c r="M171" s="88"/>
      <c r="N171" s="88"/>
      <c r="O171" s="88"/>
      <c r="P171" s="88"/>
      <c r="Q171" s="88"/>
      <c r="R171" s="88"/>
      <c r="S171" s="88"/>
      <c r="T171" s="88"/>
      <c r="U171" s="88"/>
      <c r="V171" s="88"/>
      <c r="W171" s="88"/>
      <c r="X171" s="88"/>
      <c r="Y171" s="88"/>
      <c r="Z171" s="88"/>
      <c r="AA171" s="88"/>
      <c r="AB171" s="88"/>
      <c r="AC171" s="88"/>
      <c r="AD171" s="88"/>
      <c r="AG171">
        <f t="shared" si="7"/>
        <v>0</v>
      </c>
      <c r="AH171">
        <f t="shared" si="8"/>
        <v>0</v>
      </c>
    </row>
    <row r="172" spans="1:34" ht="15" customHeight="1">
      <c r="A172" s="169"/>
      <c r="B172" s="90"/>
      <c r="C172" s="98" t="s">
        <v>2523</v>
      </c>
      <c r="D172" s="796" t="str">
        <f>IF(CNSIPEE_2024_M2_Secc1!D49="","",CNSIPEE_2024_M2_Secc1!D49)</f>
        <v/>
      </c>
      <c r="E172" s="796"/>
      <c r="F172" s="796"/>
      <c r="G172" s="796"/>
      <c r="H172" s="738"/>
      <c r="I172" s="738"/>
      <c r="J172" s="88"/>
      <c r="K172" s="88"/>
      <c r="L172" s="88"/>
      <c r="M172" s="88"/>
      <c r="N172" s="88"/>
      <c r="O172" s="88"/>
      <c r="P172" s="88"/>
      <c r="Q172" s="88"/>
      <c r="R172" s="88"/>
      <c r="S172" s="88"/>
      <c r="T172" s="88"/>
      <c r="U172" s="88"/>
      <c r="V172" s="88"/>
      <c r="W172" s="88"/>
      <c r="X172" s="88"/>
      <c r="Y172" s="88"/>
      <c r="Z172" s="88"/>
      <c r="AA172" s="88"/>
      <c r="AB172" s="88"/>
      <c r="AC172" s="88"/>
      <c r="AD172" s="88"/>
      <c r="AG172">
        <f t="shared" si="7"/>
        <v>0</v>
      </c>
      <c r="AH172">
        <f t="shared" si="8"/>
        <v>0</v>
      </c>
    </row>
    <row r="173" spans="1:34" ht="15" customHeight="1">
      <c r="A173" s="169"/>
      <c r="B173" s="90"/>
      <c r="C173" s="90"/>
      <c r="D173" s="90"/>
      <c r="E173" s="90"/>
      <c r="F173" s="90"/>
      <c r="G173" s="90"/>
      <c r="H173" s="90"/>
      <c r="I173" s="90"/>
      <c r="J173" s="90"/>
      <c r="K173" s="90"/>
      <c r="L173" s="90"/>
      <c r="M173" s="90"/>
      <c r="N173" s="90"/>
      <c r="O173" s="90"/>
      <c r="P173" s="90"/>
      <c r="Q173" s="90"/>
      <c r="R173" s="90"/>
      <c r="S173" s="90"/>
      <c r="T173" s="90"/>
      <c r="U173" s="90"/>
      <c r="V173" s="90"/>
      <c r="W173" s="90"/>
      <c r="X173" s="90"/>
      <c r="Y173" s="90"/>
      <c r="Z173" s="90"/>
      <c r="AA173" s="90"/>
      <c r="AB173" s="90"/>
      <c r="AC173" s="90"/>
      <c r="AD173" s="90"/>
      <c r="AG173" s="507">
        <f>SUM(AG165:AG172)</f>
        <v>0</v>
      </c>
      <c r="AH173" s="507">
        <f>SUM(AH165:AH172)</f>
        <v>0</v>
      </c>
    </row>
    <row r="174" spans="1:34" ht="45" customHeight="1">
      <c r="A174" s="142"/>
      <c r="B174" s="57"/>
      <c r="C174" s="822" t="s">
        <v>2798</v>
      </c>
      <c r="D174" s="822"/>
      <c r="E174" s="822"/>
      <c r="F174" s="816"/>
      <c r="G174" s="738"/>
      <c r="H174" s="738"/>
      <c r="I174" s="738"/>
      <c r="J174" s="738"/>
      <c r="K174" s="738"/>
      <c r="L174" s="738"/>
      <c r="M174" s="738"/>
      <c r="N174" s="738"/>
      <c r="O174" s="738"/>
      <c r="P174" s="738"/>
      <c r="Q174" s="738"/>
      <c r="R174" s="738"/>
      <c r="S174" s="738"/>
      <c r="T174" s="738"/>
      <c r="U174" s="738"/>
      <c r="V174" s="738"/>
      <c r="W174" s="738"/>
      <c r="X174" s="738"/>
      <c r="Y174" s="738"/>
      <c r="Z174" s="738"/>
      <c r="AA174" s="738"/>
      <c r="AB174" s="738"/>
      <c r="AC174" s="738"/>
      <c r="AD174" s="817"/>
    </row>
    <row r="175" spans="1:34">
      <c r="A175" s="142"/>
      <c r="B175" s="794" t="str">
        <f>IF(AND(COUNTIF(AD165:AD172,"X")&gt;0,F174=""),"Debido a que seleccionó el código 21, debe anotar el nombre de dicho(s) tipo(s) de lugar(es)","")</f>
        <v/>
      </c>
      <c r="C175" s="794"/>
      <c r="D175" s="794"/>
      <c r="E175" s="794"/>
      <c r="F175" s="794"/>
      <c r="G175" s="794"/>
      <c r="H175" s="794"/>
      <c r="I175" s="794"/>
      <c r="J175" s="794"/>
      <c r="K175" s="794"/>
      <c r="L175" s="794"/>
      <c r="M175" s="794"/>
      <c r="N175" s="794"/>
      <c r="O175" s="794"/>
      <c r="P175" s="794"/>
      <c r="Q175" s="794"/>
      <c r="R175" s="794"/>
      <c r="S175" s="794"/>
      <c r="T175" s="794"/>
      <c r="U175" s="794"/>
      <c r="V175" s="794"/>
      <c r="W175" s="794"/>
      <c r="X175" s="794"/>
      <c r="Y175" s="794"/>
      <c r="Z175" s="794"/>
      <c r="AA175" s="794"/>
      <c r="AB175" s="794"/>
      <c r="AC175" s="794"/>
      <c r="AD175" s="794"/>
      <c r="AE175" s="794"/>
    </row>
    <row r="176" spans="1:34">
      <c r="A176" s="215"/>
      <c r="B176" s="90"/>
      <c r="C176" s="732" t="s">
        <v>6151</v>
      </c>
      <c r="D176" s="732"/>
      <c r="E176" s="732"/>
      <c r="F176" s="732"/>
      <c r="G176" s="732"/>
      <c r="H176" s="732"/>
      <c r="I176" s="732"/>
      <c r="J176" s="732"/>
      <c r="K176" s="732"/>
      <c r="L176" s="732"/>
      <c r="M176" s="732"/>
      <c r="N176" s="732"/>
      <c r="O176" s="732"/>
      <c r="P176" s="732"/>
      <c r="Q176" s="732"/>
      <c r="R176" s="732"/>
      <c r="S176" s="732"/>
      <c r="T176" s="732"/>
      <c r="U176" s="732"/>
      <c r="V176" s="732"/>
      <c r="W176" s="732"/>
      <c r="X176" s="732"/>
      <c r="Y176" s="732"/>
      <c r="Z176" s="732"/>
      <c r="AA176" s="732"/>
      <c r="AB176" s="732"/>
      <c r="AC176" s="732"/>
      <c r="AD176" s="732"/>
    </row>
    <row r="177" spans="1:31" ht="15" customHeight="1">
      <c r="A177" s="215"/>
      <c r="B177" s="90"/>
      <c r="C177" s="97" t="s">
        <v>2516</v>
      </c>
      <c r="D177" s="813" t="s">
        <v>6152</v>
      </c>
      <c r="E177" s="814"/>
      <c r="F177" s="814"/>
      <c r="G177" s="814"/>
      <c r="H177" s="814"/>
      <c r="I177" s="814"/>
      <c r="J177" s="814"/>
      <c r="K177" s="814"/>
      <c r="L177" s="814"/>
      <c r="M177" s="814"/>
      <c r="N177" s="814"/>
      <c r="O177" s="814"/>
      <c r="P177" s="1153"/>
      <c r="Q177" s="98" t="s">
        <v>2527</v>
      </c>
      <c r="R177" s="813" t="s">
        <v>2676</v>
      </c>
      <c r="S177" s="814"/>
      <c r="T177" s="814"/>
      <c r="U177" s="814"/>
      <c r="V177" s="814"/>
      <c r="W177" s="814"/>
      <c r="X177" s="814"/>
      <c r="Y177" s="814"/>
      <c r="Z177" s="814"/>
      <c r="AA177" s="814"/>
      <c r="AB177" s="814"/>
      <c r="AC177" s="814"/>
      <c r="AD177" s="815"/>
    </row>
    <row r="178" spans="1:31" ht="15" customHeight="1">
      <c r="A178" s="215"/>
      <c r="B178" s="90"/>
      <c r="C178" s="98" t="s">
        <v>2517</v>
      </c>
      <c r="D178" s="961" t="s">
        <v>6153</v>
      </c>
      <c r="E178" s="814"/>
      <c r="F178" s="814"/>
      <c r="G178" s="814"/>
      <c r="H178" s="814"/>
      <c r="I178" s="814"/>
      <c r="J178" s="814"/>
      <c r="K178" s="814"/>
      <c r="L178" s="814"/>
      <c r="M178" s="814"/>
      <c r="N178" s="814"/>
      <c r="O178" s="814"/>
      <c r="P178" s="1153"/>
      <c r="Q178" s="98" t="s">
        <v>2528</v>
      </c>
      <c r="R178" s="813" t="s">
        <v>2678</v>
      </c>
      <c r="S178" s="814"/>
      <c r="T178" s="814"/>
      <c r="U178" s="814"/>
      <c r="V178" s="814"/>
      <c r="W178" s="814"/>
      <c r="X178" s="814"/>
      <c r="Y178" s="814"/>
      <c r="Z178" s="814"/>
      <c r="AA178" s="814"/>
      <c r="AB178" s="814"/>
      <c r="AC178" s="814"/>
      <c r="AD178" s="815"/>
    </row>
    <row r="179" spans="1:31" ht="24" customHeight="1">
      <c r="A179" s="215"/>
      <c r="B179" s="90"/>
      <c r="C179" s="98" t="s">
        <v>2518</v>
      </c>
      <c r="D179" s="961" t="s">
        <v>2671</v>
      </c>
      <c r="E179" s="814"/>
      <c r="F179" s="814"/>
      <c r="G179" s="814"/>
      <c r="H179" s="814"/>
      <c r="I179" s="814"/>
      <c r="J179" s="814"/>
      <c r="K179" s="814"/>
      <c r="L179" s="814"/>
      <c r="M179" s="814"/>
      <c r="N179" s="814"/>
      <c r="O179" s="814"/>
      <c r="P179" s="1153"/>
      <c r="Q179" s="44" t="s">
        <v>2529</v>
      </c>
      <c r="R179" s="813" t="s">
        <v>2680</v>
      </c>
      <c r="S179" s="814"/>
      <c r="T179" s="814"/>
      <c r="U179" s="814"/>
      <c r="V179" s="814"/>
      <c r="W179" s="814"/>
      <c r="X179" s="814"/>
      <c r="Y179" s="814"/>
      <c r="Z179" s="814"/>
      <c r="AA179" s="814"/>
      <c r="AB179" s="814"/>
      <c r="AC179" s="814"/>
      <c r="AD179" s="815"/>
    </row>
    <row r="180" spans="1:31" ht="36" customHeight="1">
      <c r="A180" s="215"/>
      <c r="B180" s="90"/>
      <c r="C180" s="98" t="s">
        <v>2519</v>
      </c>
      <c r="D180" s="961" t="s">
        <v>2673</v>
      </c>
      <c r="E180" s="814"/>
      <c r="F180" s="814"/>
      <c r="G180" s="814"/>
      <c r="H180" s="814"/>
      <c r="I180" s="814"/>
      <c r="J180" s="814"/>
      <c r="K180" s="814"/>
      <c r="L180" s="814"/>
      <c r="M180" s="814"/>
      <c r="N180" s="814"/>
      <c r="O180" s="814"/>
      <c r="P180" s="1153"/>
      <c r="Q180" s="44" t="s">
        <v>2530</v>
      </c>
      <c r="R180" s="813" t="s">
        <v>2682</v>
      </c>
      <c r="S180" s="814"/>
      <c r="T180" s="814"/>
      <c r="U180" s="814"/>
      <c r="V180" s="814"/>
      <c r="W180" s="814"/>
      <c r="X180" s="814"/>
      <c r="Y180" s="814"/>
      <c r="Z180" s="814"/>
      <c r="AA180" s="814"/>
      <c r="AB180" s="814"/>
      <c r="AC180" s="814"/>
      <c r="AD180" s="815"/>
    </row>
    <row r="181" spans="1:31" ht="15" customHeight="1">
      <c r="A181" s="215"/>
      <c r="B181" s="90"/>
      <c r="C181" s="98" t="s">
        <v>2520</v>
      </c>
      <c r="D181" s="813" t="s">
        <v>2675</v>
      </c>
      <c r="E181" s="814"/>
      <c r="F181" s="814"/>
      <c r="G181" s="814"/>
      <c r="H181" s="814"/>
      <c r="I181" s="814"/>
      <c r="J181" s="814"/>
      <c r="K181" s="814"/>
      <c r="L181" s="814"/>
      <c r="M181" s="814"/>
      <c r="N181" s="814"/>
      <c r="O181" s="814"/>
      <c r="P181" s="815"/>
      <c r="Q181" s="44" t="s">
        <v>2531</v>
      </c>
      <c r="R181" s="796" t="s">
        <v>2684</v>
      </c>
      <c r="S181" s="796"/>
      <c r="T181" s="796"/>
      <c r="U181" s="796"/>
      <c r="V181" s="796"/>
      <c r="W181" s="796"/>
      <c r="X181" s="796"/>
      <c r="Y181" s="796"/>
      <c r="Z181" s="796"/>
      <c r="AA181" s="796"/>
      <c r="AB181" s="796"/>
      <c r="AC181" s="796"/>
      <c r="AD181" s="796"/>
    </row>
    <row r="182" spans="1:31" ht="15" customHeight="1">
      <c r="A182" s="215"/>
      <c r="B182" s="90"/>
      <c r="C182" s="98" t="s">
        <v>2521</v>
      </c>
      <c r="D182" s="961" t="s">
        <v>2677</v>
      </c>
      <c r="E182" s="814"/>
      <c r="F182" s="814"/>
      <c r="G182" s="814"/>
      <c r="H182" s="814"/>
      <c r="I182" s="814"/>
      <c r="J182" s="814"/>
      <c r="K182" s="814"/>
      <c r="L182" s="814"/>
      <c r="M182" s="814"/>
      <c r="N182" s="814"/>
      <c r="O182" s="814"/>
      <c r="P182" s="1153"/>
      <c r="Q182" s="44" t="s">
        <v>2532</v>
      </c>
      <c r="R182" s="813" t="s">
        <v>2688</v>
      </c>
      <c r="S182" s="814"/>
      <c r="T182" s="814"/>
      <c r="U182" s="814"/>
      <c r="V182" s="814"/>
      <c r="W182" s="814"/>
      <c r="X182" s="814"/>
      <c r="Y182" s="814"/>
      <c r="Z182" s="814"/>
      <c r="AA182" s="814"/>
      <c r="AB182" s="814"/>
      <c r="AC182" s="814"/>
      <c r="AD182" s="815"/>
    </row>
    <row r="183" spans="1:31" ht="15" customHeight="1">
      <c r="A183" s="215"/>
      <c r="B183" s="90"/>
      <c r="C183" s="98" t="s">
        <v>2522</v>
      </c>
      <c r="D183" s="961" t="s">
        <v>2679</v>
      </c>
      <c r="E183" s="814"/>
      <c r="F183" s="814"/>
      <c r="G183" s="814"/>
      <c r="H183" s="814"/>
      <c r="I183" s="814"/>
      <c r="J183" s="814"/>
      <c r="K183" s="814"/>
      <c r="L183" s="814"/>
      <c r="M183" s="814"/>
      <c r="N183" s="814"/>
      <c r="O183" s="814"/>
      <c r="P183" s="1153"/>
      <c r="Q183" s="44" t="s">
        <v>2533</v>
      </c>
      <c r="R183" s="796" t="s">
        <v>2690</v>
      </c>
      <c r="S183" s="796"/>
      <c r="T183" s="796"/>
      <c r="U183" s="796"/>
      <c r="V183" s="796"/>
      <c r="W183" s="796"/>
      <c r="X183" s="796"/>
      <c r="Y183" s="796"/>
      <c r="Z183" s="796"/>
      <c r="AA183" s="796"/>
      <c r="AB183" s="796"/>
      <c r="AC183" s="796"/>
      <c r="AD183" s="796"/>
    </row>
    <row r="184" spans="1:31" ht="24" customHeight="1">
      <c r="A184" s="215"/>
      <c r="B184" s="90"/>
      <c r="C184" s="98" t="s">
        <v>2523</v>
      </c>
      <c r="D184" s="961" t="s">
        <v>2681</v>
      </c>
      <c r="E184" s="814"/>
      <c r="F184" s="814"/>
      <c r="G184" s="814"/>
      <c r="H184" s="814"/>
      <c r="I184" s="814"/>
      <c r="J184" s="814"/>
      <c r="K184" s="814"/>
      <c r="L184" s="814"/>
      <c r="M184" s="814"/>
      <c r="N184" s="814"/>
      <c r="O184" s="814"/>
      <c r="P184" s="1153"/>
      <c r="Q184" s="44" t="s">
        <v>2534</v>
      </c>
      <c r="R184" s="813" t="s">
        <v>2692</v>
      </c>
      <c r="S184" s="814"/>
      <c r="T184" s="814"/>
      <c r="U184" s="814"/>
      <c r="V184" s="814"/>
      <c r="W184" s="814"/>
      <c r="X184" s="814"/>
      <c r="Y184" s="814"/>
      <c r="Z184" s="814"/>
      <c r="AA184" s="814"/>
      <c r="AB184" s="814"/>
      <c r="AC184" s="814"/>
      <c r="AD184" s="815"/>
    </row>
    <row r="185" spans="1:31" ht="15" customHeight="1">
      <c r="A185" s="215"/>
      <c r="B185" s="90"/>
      <c r="C185" s="98" t="s">
        <v>2524</v>
      </c>
      <c r="D185" s="961" t="s">
        <v>2683</v>
      </c>
      <c r="E185" s="814"/>
      <c r="F185" s="814"/>
      <c r="G185" s="814"/>
      <c r="H185" s="814"/>
      <c r="I185" s="814"/>
      <c r="J185" s="814"/>
      <c r="K185" s="814"/>
      <c r="L185" s="814"/>
      <c r="M185" s="814"/>
      <c r="N185" s="814"/>
      <c r="O185" s="814"/>
      <c r="P185" s="1153"/>
      <c r="Q185" s="44" t="s">
        <v>2535</v>
      </c>
      <c r="R185" s="813" t="s">
        <v>2694</v>
      </c>
      <c r="S185" s="814"/>
      <c r="T185" s="814"/>
      <c r="U185" s="814"/>
      <c r="V185" s="814"/>
      <c r="W185" s="814"/>
      <c r="X185" s="814"/>
      <c r="Y185" s="814"/>
      <c r="Z185" s="814"/>
      <c r="AA185" s="814"/>
      <c r="AB185" s="814"/>
      <c r="AC185" s="814"/>
      <c r="AD185" s="815"/>
    </row>
    <row r="186" spans="1:31" ht="15" customHeight="1">
      <c r="A186" s="215"/>
      <c r="B186" s="90"/>
      <c r="C186" s="98" t="s">
        <v>2525</v>
      </c>
      <c r="D186" s="796" t="s">
        <v>2685</v>
      </c>
      <c r="E186" s="796"/>
      <c r="F186" s="796"/>
      <c r="G186" s="796"/>
      <c r="H186" s="796"/>
      <c r="I186" s="796"/>
      <c r="J186" s="796"/>
      <c r="K186" s="796"/>
      <c r="L186" s="796"/>
      <c r="M186" s="796"/>
      <c r="N186" s="796"/>
      <c r="O186" s="796"/>
      <c r="P186" s="796"/>
      <c r="Q186" s="44" t="s">
        <v>2536</v>
      </c>
      <c r="R186" s="796" t="s">
        <v>2609</v>
      </c>
      <c r="S186" s="796"/>
      <c r="T186" s="796"/>
      <c r="U186" s="796"/>
      <c r="V186" s="796"/>
      <c r="W186" s="796"/>
      <c r="X186" s="796"/>
      <c r="Y186" s="796"/>
      <c r="Z186" s="796"/>
      <c r="AA186" s="796"/>
      <c r="AB186" s="796"/>
      <c r="AC186" s="796"/>
      <c r="AD186" s="796"/>
    </row>
    <row r="187" spans="1:31" ht="15" customHeight="1">
      <c r="A187" s="215"/>
      <c r="B187" s="90"/>
      <c r="C187" s="98" t="s">
        <v>2526</v>
      </c>
      <c r="D187" s="813" t="s">
        <v>2695</v>
      </c>
      <c r="E187" s="814"/>
      <c r="F187" s="814"/>
      <c r="G187" s="814"/>
      <c r="H187" s="814"/>
      <c r="I187" s="814"/>
      <c r="J187" s="814"/>
      <c r="K187" s="814"/>
      <c r="L187" s="814"/>
      <c r="M187" s="814"/>
      <c r="N187" s="814"/>
      <c r="O187" s="814"/>
      <c r="P187" s="815"/>
      <c r="Q187" s="1152"/>
      <c r="R187" s="1152"/>
      <c r="S187" s="1152"/>
      <c r="T187" s="1152"/>
      <c r="U187" s="1152"/>
      <c r="V187" s="1152"/>
      <c r="W187" s="1152"/>
      <c r="X187" s="1152"/>
      <c r="Y187" s="1152"/>
      <c r="Z187" s="1152"/>
      <c r="AA187" s="1152"/>
      <c r="AB187" s="1152"/>
      <c r="AC187" s="1152"/>
      <c r="AD187" s="1152"/>
    </row>
    <row r="188" spans="1:31" ht="15" customHeight="1">
      <c r="A188" s="169"/>
      <c r="B188" s="90"/>
      <c r="C188" s="90"/>
      <c r="D188" s="90"/>
      <c r="E188" s="90"/>
      <c r="F188" s="90"/>
      <c r="G188" s="90"/>
      <c r="H188" s="90"/>
      <c r="I188" s="90"/>
      <c r="J188" s="90"/>
      <c r="K188" s="90"/>
      <c r="L188" s="90"/>
      <c r="M188" s="90"/>
      <c r="N188" s="90"/>
      <c r="O188" s="90"/>
      <c r="P188" s="90"/>
      <c r="Q188" s="90"/>
      <c r="R188" s="90"/>
      <c r="S188" s="90"/>
      <c r="T188" s="90"/>
      <c r="U188" s="90"/>
      <c r="V188" s="90"/>
      <c r="W188" s="90"/>
      <c r="X188" s="90"/>
      <c r="Y188" s="90"/>
      <c r="Z188" s="90"/>
      <c r="AA188" s="90"/>
      <c r="AB188" s="90"/>
      <c r="AC188" s="90"/>
      <c r="AD188" s="90"/>
    </row>
    <row r="189" spans="1:31" ht="24" customHeight="1">
      <c r="A189" s="169"/>
      <c r="B189" s="90"/>
      <c r="C189" s="754" t="s">
        <v>2611</v>
      </c>
      <c r="D189" s="754"/>
      <c r="E189" s="754"/>
      <c r="F189" s="754"/>
      <c r="G189" s="754"/>
      <c r="H189" s="754"/>
      <c r="I189" s="754"/>
      <c r="J189" s="754"/>
      <c r="K189" s="754"/>
      <c r="L189" s="754"/>
      <c r="M189" s="754"/>
      <c r="N189" s="754"/>
      <c r="O189" s="754"/>
      <c r="P189" s="754"/>
      <c r="Q189" s="754"/>
      <c r="R189" s="754"/>
      <c r="S189" s="754"/>
      <c r="T189" s="754"/>
      <c r="U189" s="754"/>
      <c r="V189" s="754"/>
      <c r="W189" s="754"/>
      <c r="X189" s="754"/>
      <c r="Y189" s="754"/>
      <c r="Z189" s="754"/>
      <c r="AA189" s="754"/>
      <c r="AB189" s="754"/>
      <c r="AC189" s="754"/>
      <c r="AD189" s="754"/>
    </row>
    <row r="190" spans="1:31" ht="60" customHeight="1">
      <c r="A190" s="169"/>
      <c r="B190" s="90"/>
      <c r="C190" s="851"/>
      <c r="D190" s="851"/>
      <c r="E190" s="851"/>
      <c r="F190" s="851"/>
      <c r="G190" s="851"/>
      <c r="H190" s="851"/>
      <c r="I190" s="851"/>
      <c r="J190" s="851"/>
      <c r="K190" s="851"/>
      <c r="L190" s="851"/>
      <c r="M190" s="851"/>
      <c r="N190" s="851"/>
      <c r="O190" s="851"/>
      <c r="P190" s="851"/>
      <c r="Q190" s="851"/>
      <c r="R190" s="851"/>
      <c r="S190" s="851"/>
      <c r="T190" s="851"/>
      <c r="U190" s="851"/>
      <c r="V190" s="851"/>
      <c r="W190" s="851"/>
      <c r="X190" s="851"/>
      <c r="Y190" s="851"/>
      <c r="Z190" s="851"/>
      <c r="AA190" s="851"/>
      <c r="AB190" s="851"/>
      <c r="AC190" s="851"/>
      <c r="AD190" s="851"/>
    </row>
    <row r="191" spans="1:31" ht="15" customHeight="1">
      <c r="A191" s="169"/>
      <c r="B191" s="794" t="str">
        <f>IF(AG173=0,"","Favor de ingresar toda la información requerida en la pregunta")</f>
        <v/>
      </c>
      <c r="C191" s="794"/>
      <c r="D191" s="794"/>
      <c r="E191" s="794"/>
      <c r="F191" s="794"/>
      <c r="G191" s="794"/>
      <c r="H191" s="794"/>
      <c r="I191" s="794"/>
      <c r="J191" s="794"/>
      <c r="K191" s="794"/>
      <c r="L191" s="794"/>
      <c r="M191" s="794"/>
      <c r="N191" s="794"/>
      <c r="O191" s="794"/>
      <c r="P191" s="794"/>
      <c r="Q191" s="794"/>
      <c r="R191" s="794"/>
      <c r="S191" s="794"/>
      <c r="T191" s="794"/>
      <c r="U191" s="794"/>
      <c r="V191" s="794"/>
      <c r="W191" s="794"/>
      <c r="X191" s="794"/>
      <c r="Y191" s="794"/>
      <c r="Z191" s="794"/>
      <c r="AA191" s="794"/>
      <c r="AB191" s="794"/>
      <c r="AC191" s="794"/>
      <c r="AD191" s="794"/>
      <c r="AE191" s="794"/>
    </row>
    <row r="192" spans="1:31" ht="15" customHeight="1">
      <c r="A192" s="169"/>
      <c r="B192" s="1003" t="str">
        <f>IF(AH173&gt;0,"Revise la información capturada, ya que tiene datos ingresados en celdas que están sombreadas","")</f>
        <v/>
      </c>
      <c r="C192" s="1003"/>
      <c r="D192" s="1003"/>
      <c r="E192" s="1003"/>
      <c r="F192" s="1003"/>
      <c r="G192" s="1003"/>
      <c r="H192" s="1003"/>
      <c r="I192" s="1003"/>
      <c r="J192" s="1003"/>
      <c r="K192" s="1003"/>
      <c r="L192" s="1003"/>
      <c r="M192" s="1003"/>
      <c r="N192" s="1003"/>
      <c r="O192" s="1003"/>
      <c r="P192" s="1003"/>
      <c r="Q192" s="1003"/>
      <c r="R192" s="1003"/>
      <c r="S192" s="1003"/>
      <c r="T192" s="1003"/>
      <c r="U192" s="1003"/>
      <c r="V192" s="1003"/>
      <c r="W192" s="1003"/>
      <c r="X192" s="1003"/>
      <c r="Y192" s="1003"/>
      <c r="Z192" s="1003"/>
      <c r="AA192" s="1003"/>
      <c r="AB192" s="1003"/>
      <c r="AC192" s="1003"/>
      <c r="AD192" s="1003"/>
      <c r="AE192" s="1003"/>
    </row>
    <row r="193" spans="1:34" ht="15" customHeight="1">
      <c r="A193" s="169"/>
      <c r="AE193"/>
    </row>
    <row r="194" spans="1:34" ht="15" customHeight="1">
      <c r="A194" s="169"/>
      <c r="B194" s="90"/>
      <c r="C194" s="90"/>
      <c r="D194" s="90"/>
      <c r="E194" s="90"/>
      <c r="F194" s="90"/>
      <c r="G194" s="90"/>
      <c r="H194" s="90"/>
      <c r="I194" s="90"/>
      <c r="J194" s="90"/>
      <c r="K194" s="90"/>
      <c r="L194" s="90"/>
      <c r="M194" s="90"/>
      <c r="N194" s="90"/>
      <c r="O194" s="90"/>
      <c r="P194" s="90"/>
      <c r="Q194" s="90"/>
      <c r="R194" s="90"/>
      <c r="S194" s="90"/>
      <c r="T194" s="90"/>
      <c r="U194" s="90"/>
      <c r="V194" s="90"/>
      <c r="W194" s="90"/>
      <c r="X194" s="90"/>
      <c r="Y194" s="90"/>
      <c r="Z194" s="90"/>
      <c r="AA194" s="90"/>
      <c r="AB194" s="90"/>
      <c r="AC194" s="90"/>
      <c r="AD194" s="90"/>
      <c r="AE194"/>
    </row>
    <row r="195" spans="1:34" ht="15" customHeight="1">
      <c r="A195" s="169"/>
      <c r="B195" s="90"/>
      <c r="C195" s="90"/>
      <c r="D195" s="90"/>
      <c r="E195" s="90"/>
      <c r="F195" s="90"/>
      <c r="G195" s="90"/>
      <c r="H195" s="90"/>
      <c r="I195" s="90"/>
      <c r="J195" s="90"/>
      <c r="K195" s="90"/>
      <c r="L195" s="90"/>
      <c r="M195" s="90"/>
      <c r="N195" s="90"/>
      <c r="O195" s="90"/>
      <c r="P195" s="90"/>
      <c r="Q195" s="90"/>
      <c r="R195" s="90"/>
      <c r="S195" s="90"/>
      <c r="T195" s="90"/>
      <c r="U195" s="90"/>
      <c r="V195" s="90"/>
      <c r="W195" s="90"/>
      <c r="X195" s="90"/>
      <c r="Y195" s="90"/>
      <c r="Z195" s="90"/>
      <c r="AA195" s="90"/>
      <c r="AB195" s="90"/>
      <c r="AC195" s="90"/>
      <c r="AD195" s="90"/>
      <c r="AE195"/>
    </row>
    <row r="196" spans="1:34" ht="15" customHeight="1">
      <c r="A196" s="119"/>
      <c r="AE196"/>
    </row>
    <row r="197" spans="1:34" ht="48" customHeight="1">
      <c r="A197" s="49" t="s">
        <v>6154</v>
      </c>
      <c r="B197" s="829" t="s">
        <v>6155</v>
      </c>
      <c r="C197" s="829"/>
      <c r="D197" s="829"/>
      <c r="E197" s="829"/>
      <c r="F197" s="829"/>
      <c r="G197" s="829"/>
      <c r="H197" s="829"/>
      <c r="I197" s="829"/>
      <c r="J197" s="829"/>
      <c r="K197" s="829"/>
      <c r="L197" s="829"/>
      <c r="M197" s="829"/>
      <c r="N197" s="829"/>
      <c r="O197" s="829"/>
      <c r="P197" s="829"/>
      <c r="Q197" s="829"/>
      <c r="R197" s="829"/>
      <c r="S197" s="829"/>
      <c r="T197" s="829"/>
      <c r="U197" s="829"/>
      <c r="V197" s="829"/>
      <c r="W197" s="829"/>
      <c r="X197" s="829"/>
      <c r="Y197" s="829"/>
      <c r="Z197" s="829"/>
      <c r="AA197" s="829"/>
      <c r="AB197" s="829"/>
      <c r="AC197" s="829"/>
      <c r="AD197" s="829"/>
    </row>
    <row r="198" spans="1:34" ht="24" customHeight="1">
      <c r="A198" s="49"/>
      <c r="B198" s="105"/>
      <c r="C198" s="754" t="s">
        <v>6156</v>
      </c>
      <c r="D198" s="754"/>
      <c r="E198" s="754"/>
      <c r="F198" s="754"/>
      <c r="G198" s="754"/>
      <c r="H198" s="754"/>
      <c r="I198" s="754"/>
      <c r="J198" s="754"/>
      <c r="K198" s="754"/>
      <c r="L198" s="754"/>
      <c r="M198" s="754"/>
      <c r="N198" s="754"/>
      <c r="O198" s="754"/>
      <c r="P198" s="754"/>
      <c r="Q198" s="754"/>
      <c r="R198" s="754"/>
      <c r="S198" s="754"/>
      <c r="T198" s="754"/>
      <c r="U198" s="754"/>
      <c r="V198" s="754"/>
      <c r="W198" s="754"/>
      <c r="X198" s="754"/>
      <c r="Y198" s="754"/>
      <c r="Z198" s="754"/>
      <c r="AA198" s="754"/>
      <c r="AB198" s="754"/>
      <c r="AC198" s="754"/>
      <c r="AD198" s="754"/>
    </row>
    <row r="199" spans="1:34" ht="36" customHeight="1">
      <c r="A199" s="49"/>
      <c r="B199" s="102"/>
      <c r="C199" s="830" t="s">
        <v>6157</v>
      </c>
      <c r="D199" s="830"/>
      <c r="E199" s="830"/>
      <c r="F199" s="830"/>
      <c r="G199" s="830"/>
      <c r="H199" s="830"/>
      <c r="I199" s="830"/>
      <c r="J199" s="830"/>
      <c r="K199" s="830"/>
      <c r="L199" s="830"/>
      <c r="M199" s="830"/>
      <c r="N199" s="830"/>
      <c r="O199" s="830"/>
      <c r="P199" s="830"/>
      <c r="Q199" s="830"/>
      <c r="R199" s="830"/>
      <c r="S199" s="830"/>
      <c r="T199" s="830"/>
      <c r="U199" s="830"/>
      <c r="V199" s="830"/>
      <c r="W199" s="830"/>
      <c r="X199" s="830"/>
      <c r="Y199" s="830"/>
      <c r="Z199" s="830"/>
      <c r="AA199" s="830"/>
      <c r="AB199" s="830"/>
      <c r="AC199" s="830"/>
      <c r="AD199" s="830"/>
    </row>
    <row r="200" spans="1:34">
      <c r="A200" s="49"/>
      <c r="B200" s="118"/>
      <c r="C200" s="754" t="s">
        <v>6078</v>
      </c>
      <c r="D200" s="754"/>
      <c r="E200" s="754"/>
      <c r="F200" s="754"/>
      <c r="G200" s="754"/>
      <c r="H200" s="754"/>
      <c r="I200" s="754"/>
      <c r="J200" s="754"/>
      <c r="K200" s="754"/>
      <c r="L200" s="754"/>
      <c r="M200" s="754"/>
      <c r="N200" s="754"/>
      <c r="O200" s="754"/>
      <c r="P200" s="754"/>
      <c r="Q200" s="754"/>
      <c r="R200" s="754"/>
      <c r="S200" s="754"/>
      <c r="T200" s="754"/>
      <c r="U200" s="754"/>
      <c r="V200" s="754"/>
      <c r="W200" s="754"/>
      <c r="X200" s="754"/>
      <c r="Y200" s="754"/>
      <c r="Z200" s="754"/>
      <c r="AA200" s="754"/>
      <c r="AB200" s="754"/>
      <c r="AC200" s="754"/>
      <c r="AD200" s="754"/>
    </row>
    <row r="201" spans="1:34" ht="36" customHeight="1">
      <c r="A201" s="142"/>
      <c r="B201" s="57"/>
      <c r="C201" s="754" t="s">
        <v>6158</v>
      </c>
      <c r="D201" s="754"/>
      <c r="E201" s="754"/>
      <c r="F201" s="754"/>
      <c r="G201" s="754"/>
      <c r="H201" s="754"/>
      <c r="I201" s="754"/>
      <c r="J201" s="754"/>
      <c r="K201" s="754"/>
      <c r="L201" s="754"/>
      <c r="M201" s="754"/>
      <c r="N201" s="754"/>
      <c r="O201" s="754"/>
      <c r="P201" s="754"/>
      <c r="Q201" s="754"/>
      <c r="R201" s="754"/>
      <c r="S201" s="754"/>
      <c r="T201" s="754"/>
      <c r="U201" s="754"/>
      <c r="V201" s="754"/>
      <c r="W201" s="754"/>
      <c r="X201" s="754"/>
      <c r="Y201" s="754"/>
      <c r="Z201" s="754"/>
      <c r="AA201" s="754"/>
      <c r="AB201" s="754"/>
      <c r="AC201" s="754"/>
      <c r="AD201" s="754"/>
    </row>
    <row r="202" spans="1:34" ht="36" customHeight="1">
      <c r="A202" s="142"/>
      <c r="B202" s="57"/>
      <c r="C202" s="754" t="s">
        <v>6159</v>
      </c>
      <c r="D202" s="754"/>
      <c r="E202" s="754"/>
      <c r="F202" s="754"/>
      <c r="G202" s="754"/>
      <c r="H202" s="754"/>
      <c r="I202" s="754"/>
      <c r="J202" s="754"/>
      <c r="K202" s="754"/>
      <c r="L202" s="754"/>
      <c r="M202" s="754"/>
      <c r="N202" s="754"/>
      <c r="O202" s="754"/>
      <c r="P202" s="754"/>
      <c r="Q202" s="754"/>
      <c r="R202" s="754"/>
      <c r="S202" s="754"/>
      <c r="T202" s="754"/>
      <c r="U202" s="754"/>
      <c r="V202" s="754"/>
      <c r="W202" s="754"/>
      <c r="X202" s="754"/>
      <c r="Y202" s="754"/>
      <c r="Z202" s="754"/>
      <c r="AA202" s="754"/>
      <c r="AB202" s="754"/>
      <c r="AC202" s="754"/>
      <c r="AD202" s="754"/>
    </row>
    <row r="203" spans="1:34" ht="36" customHeight="1">
      <c r="A203" s="142"/>
      <c r="B203" s="57"/>
      <c r="C203" s="754" t="s">
        <v>6160</v>
      </c>
      <c r="D203" s="754"/>
      <c r="E203" s="754"/>
      <c r="F203" s="754"/>
      <c r="G203" s="754"/>
      <c r="H203" s="754"/>
      <c r="I203" s="754"/>
      <c r="J203" s="754"/>
      <c r="K203" s="754"/>
      <c r="L203" s="754"/>
      <c r="M203" s="754"/>
      <c r="N203" s="754"/>
      <c r="O203" s="754"/>
      <c r="P203" s="754"/>
      <c r="Q203" s="754"/>
      <c r="R203" s="754"/>
      <c r="S203" s="754"/>
      <c r="T203" s="754"/>
      <c r="U203" s="754"/>
      <c r="V203" s="754"/>
      <c r="W203" s="754"/>
      <c r="X203" s="754"/>
      <c r="Y203" s="754"/>
      <c r="Z203" s="754"/>
      <c r="AA203" s="754"/>
      <c r="AB203" s="754"/>
      <c r="AC203" s="754"/>
      <c r="AD203" s="754"/>
    </row>
    <row r="204" spans="1:34" ht="24" customHeight="1">
      <c r="A204" s="142"/>
      <c r="B204" s="57"/>
      <c r="C204" s="754" t="s">
        <v>6082</v>
      </c>
      <c r="D204" s="754"/>
      <c r="E204" s="754"/>
      <c r="F204" s="754"/>
      <c r="G204" s="754"/>
      <c r="H204" s="754"/>
      <c r="I204" s="754"/>
      <c r="J204" s="754"/>
      <c r="K204" s="754"/>
      <c r="L204" s="754"/>
      <c r="M204" s="754"/>
      <c r="N204" s="754"/>
      <c r="O204" s="754"/>
      <c r="P204" s="754"/>
      <c r="Q204" s="754"/>
      <c r="R204" s="754"/>
      <c r="S204" s="754"/>
      <c r="T204" s="754"/>
      <c r="U204" s="754"/>
      <c r="V204" s="754"/>
      <c r="W204" s="754"/>
      <c r="X204" s="754"/>
      <c r="Y204" s="754"/>
      <c r="Z204" s="754"/>
      <c r="AA204" s="754"/>
      <c r="AB204" s="754"/>
      <c r="AC204" s="754"/>
      <c r="AD204" s="754"/>
      <c r="AF204" t="s">
        <v>6161</v>
      </c>
    </row>
    <row r="205" spans="1:34">
      <c r="A205" s="169"/>
      <c r="B205" s="90"/>
      <c r="C205" s="90"/>
      <c r="D205" s="90"/>
      <c r="E205" s="90"/>
      <c r="F205" s="90"/>
      <c r="G205" s="90"/>
      <c r="H205" s="90"/>
      <c r="I205" s="90"/>
      <c r="J205" s="90"/>
      <c r="K205" s="90"/>
      <c r="L205" s="90"/>
      <c r="M205" s="90"/>
      <c r="N205" s="90"/>
      <c r="O205" s="90"/>
      <c r="P205" s="90"/>
      <c r="Q205" s="90"/>
      <c r="R205" s="90"/>
      <c r="S205" s="90"/>
      <c r="T205" s="90"/>
      <c r="U205" s="90"/>
      <c r="V205" s="90"/>
      <c r="W205" s="90"/>
      <c r="X205" s="90"/>
      <c r="Y205" s="90"/>
      <c r="Z205" s="90"/>
      <c r="AA205" s="90"/>
      <c r="AB205" s="90"/>
      <c r="AC205" s="90"/>
      <c r="AD205" s="90"/>
      <c r="AF205">
        <f>IF(OR(COUNTBLANK(D165:D172)=8,COUNTIF(H165:I172,"&gt;1")=(8-COUNTBLANK(D165:D172))),8,-1)</f>
        <v>8</v>
      </c>
    </row>
    <row r="206" spans="1:34" ht="72" customHeight="1">
      <c r="A206" s="119"/>
      <c r="C206" s="732" t="s">
        <v>6084</v>
      </c>
      <c r="D206" s="732"/>
      <c r="E206" s="732"/>
      <c r="F206" s="732"/>
      <c r="G206" s="732"/>
      <c r="H206" s="732"/>
      <c r="I206" s="732"/>
      <c r="J206" s="732"/>
      <c r="K206" s="732"/>
      <c r="L206" s="732"/>
      <c r="M206" s="739" t="s">
        <v>6162</v>
      </c>
      <c r="N206" s="740"/>
      <c r="O206" s="740"/>
      <c r="P206" s="740"/>
      <c r="Q206" s="740"/>
      <c r="R206" s="741"/>
      <c r="S206" s="739" t="s">
        <v>6086</v>
      </c>
      <c r="T206" s="740"/>
      <c r="U206" s="740"/>
      <c r="V206" s="740"/>
      <c r="W206" s="740"/>
      <c r="X206" s="741"/>
      <c r="Y206" s="739" t="s">
        <v>6087</v>
      </c>
      <c r="Z206" s="740"/>
      <c r="AA206" s="740"/>
      <c r="AB206" s="740"/>
      <c r="AC206" s="740"/>
      <c r="AD206" s="741"/>
      <c r="AF206" t="s">
        <v>4713</v>
      </c>
      <c r="AG206" t="s">
        <v>2586</v>
      </c>
      <c r="AH206" t="s">
        <v>4581</v>
      </c>
    </row>
    <row r="207" spans="1:34" ht="15" customHeight="1">
      <c r="A207" s="119"/>
      <c r="C207" s="841" t="s">
        <v>6088</v>
      </c>
      <c r="D207" s="842"/>
      <c r="E207" s="44" t="s">
        <v>3626</v>
      </c>
      <c r="F207" s="813" t="s">
        <v>6089</v>
      </c>
      <c r="G207" s="814"/>
      <c r="H207" s="814"/>
      <c r="I207" s="814"/>
      <c r="J207" s="814"/>
      <c r="K207" s="814"/>
      <c r="L207" s="815"/>
      <c r="M207" s="816"/>
      <c r="N207" s="738"/>
      <c r="O207" s="738"/>
      <c r="P207" s="738"/>
      <c r="Q207" s="738"/>
      <c r="R207" s="817"/>
      <c r="S207" s="816"/>
      <c r="T207" s="738"/>
      <c r="U207" s="738"/>
      <c r="V207" s="738"/>
      <c r="W207" s="738"/>
      <c r="X207" s="817"/>
      <c r="Y207" s="816"/>
      <c r="Z207" s="738"/>
      <c r="AA207" s="738"/>
      <c r="AB207" s="738"/>
      <c r="AC207" s="738"/>
      <c r="AD207" s="817"/>
      <c r="AF207">
        <f t="shared" ref="AF207:AF236" si="9">IF(AND(M207=1,Y207=0),1,0)</f>
        <v>0</v>
      </c>
      <c r="AG207">
        <f>IF($AF$205=8,0,IF(M207=1,IF(COUNTA(S207:AD207)=2,0,1),IF(OR(AND(M207="",COUNTA(S207:AD207)&gt;0),AND(M207="",COUNTA(S207:AD207)=0)),1,0)))</f>
        <v>0</v>
      </c>
      <c r="AH207">
        <f>IF($AF$205=8,IF(COUNTBLANK(M207:AD207)=18,0,1),IF(M207&gt;1,IF(COUNTBLANK(S207:AD207)=12,0,1),0))</f>
        <v>0</v>
      </c>
    </row>
    <row r="208" spans="1:34" ht="15" customHeight="1">
      <c r="A208" s="119"/>
      <c r="C208" s="843"/>
      <c r="D208" s="844"/>
      <c r="E208" s="44" t="s">
        <v>3628</v>
      </c>
      <c r="F208" s="813" t="s">
        <v>6090</v>
      </c>
      <c r="G208" s="814"/>
      <c r="H208" s="814"/>
      <c r="I208" s="814"/>
      <c r="J208" s="814"/>
      <c r="K208" s="814"/>
      <c r="L208" s="815"/>
      <c r="M208" s="816"/>
      <c r="N208" s="738"/>
      <c r="O208" s="738"/>
      <c r="P208" s="738"/>
      <c r="Q208" s="738"/>
      <c r="R208" s="817"/>
      <c r="S208" s="816"/>
      <c r="T208" s="738"/>
      <c r="U208" s="738"/>
      <c r="V208" s="738"/>
      <c r="W208" s="738"/>
      <c r="X208" s="817"/>
      <c r="Y208" s="816"/>
      <c r="Z208" s="738"/>
      <c r="AA208" s="738"/>
      <c r="AB208" s="738"/>
      <c r="AC208" s="738"/>
      <c r="AD208" s="817"/>
      <c r="AF208">
        <f t="shared" si="9"/>
        <v>0</v>
      </c>
      <c r="AG208">
        <f t="shared" ref="AG208:AG235" si="10">IF($AF$205=8,0,IF(M208=1,IF(COUNTA(S208:AD208)=2,0,1),IF(OR(AND(M208="",COUNTA(S208:AD208)&gt;0),AND(M208="",COUNTA(S208:AD208)=0)),1,0)))</f>
        <v>0</v>
      </c>
      <c r="AH208">
        <f t="shared" ref="AH208:AH235" si="11">IF($AF$205=8,IF(COUNTBLANK(M208:AD208)=18,0,1),IF(M208&gt;1,IF(COUNTBLANK(S208:AD208)=12,0,1),0))</f>
        <v>0</v>
      </c>
    </row>
    <row r="209" spans="1:34" ht="15" customHeight="1">
      <c r="A209" s="119"/>
      <c r="C209" s="843"/>
      <c r="D209" s="844"/>
      <c r="E209" s="44" t="s">
        <v>3630</v>
      </c>
      <c r="F209" s="813" t="s">
        <v>6091</v>
      </c>
      <c r="G209" s="814"/>
      <c r="H209" s="814"/>
      <c r="I209" s="814"/>
      <c r="J209" s="814"/>
      <c r="K209" s="814"/>
      <c r="L209" s="815"/>
      <c r="M209" s="816"/>
      <c r="N209" s="738"/>
      <c r="O209" s="738"/>
      <c r="P209" s="738"/>
      <c r="Q209" s="738"/>
      <c r="R209" s="817"/>
      <c r="S209" s="816"/>
      <c r="T209" s="738"/>
      <c r="U209" s="738"/>
      <c r="V209" s="738"/>
      <c r="W209" s="738"/>
      <c r="X209" s="817"/>
      <c r="Y209" s="816"/>
      <c r="Z209" s="738"/>
      <c r="AA209" s="738"/>
      <c r="AB209" s="738"/>
      <c r="AC209" s="738"/>
      <c r="AD209" s="817"/>
      <c r="AF209">
        <f t="shared" si="9"/>
        <v>0</v>
      </c>
      <c r="AG209">
        <f t="shared" si="10"/>
        <v>0</v>
      </c>
      <c r="AH209">
        <f t="shared" si="11"/>
        <v>0</v>
      </c>
    </row>
    <row r="210" spans="1:34" ht="15" customHeight="1">
      <c r="A210" s="119"/>
      <c r="C210" s="845"/>
      <c r="D210" s="846"/>
      <c r="E210" s="44" t="s">
        <v>3632</v>
      </c>
      <c r="F210" s="813" t="s">
        <v>6092</v>
      </c>
      <c r="G210" s="814"/>
      <c r="H210" s="814"/>
      <c r="I210" s="814"/>
      <c r="J210" s="814"/>
      <c r="K210" s="814"/>
      <c r="L210" s="815"/>
      <c r="M210" s="816"/>
      <c r="N210" s="738"/>
      <c r="O210" s="738"/>
      <c r="P210" s="738"/>
      <c r="Q210" s="738"/>
      <c r="R210" s="817"/>
      <c r="S210" s="816"/>
      <c r="T210" s="738"/>
      <c r="U210" s="738"/>
      <c r="V210" s="738"/>
      <c r="W210" s="738"/>
      <c r="X210" s="817"/>
      <c r="Y210" s="816"/>
      <c r="Z210" s="738"/>
      <c r="AA210" s="738"/>
      <c r="AB210" s="738"/>
      <c r="AC210" s="738"/>
      <c r="AD210" s="817"/>
      <c r="AF210">
        <f t="shared" si="9"/>
        <v>0</v>
      </c>
      <c r="AG210">
        <f t="shared" si="10"/>
        <v>0</v>
      </c>
      <c r="AH210">
        <f t="shared" si="11"/>
        <v>0</v>
      </c>
    </row>
    <row r="211" spans="1:34" ht="15" customHeight="1">
      <c r="A211" s="119"/>
      <c r="C211" s="736" t="s">
        <v>2517</v>
      </c>
      <c r="D211" s="736"/>
      <c r="E211" s="736"/>
      <c r="F211" s="813" t="s">
        <v>6093</v>
      </c>
      <c r="G211" s="814"/>
      <c r="H211" s="814"/>
      <c r="I211" s="814"/>
      <c r="J211" s="814"/>
      <c r="K211" s="814"/>
      <c r="L211" s="815"/>
      <c r="M211" s="816"/>
      <c r="N211" s="738"/>
      <c r="O211" s="738"/>
      <c r="P211" s="738"/>
      <c r="Q211" s="738"/>
      <c r="R211" s="817"/>
      <c r="S211" s="816"/>
      <c r="T211" s="738"/>
      <c r="U211" s="738"/>
      <c r="V211" s="738"/>
      <c r="W211" s="738"/>
      <c r="X211" s="817"/>
      <c r="Y211" s="816"/>
      <c r="Z211" s="738"/>
      <c r="AA211" s="738"/>
      <c r="AB211" s="738"/>
      <c r="AC211" s="738"/>
      <c r="AD211" s="817"/>
      <c r="AF211">
        <f t="shared" si="9"/>
        <v>0</v>
      </c>
      <c r="AG211">
        <f t="shared" si="10"/>
        <v>0</v>
      </c>
      <c r="AH211">
        <f t="shared" si="11"/>
        <v>0</v>
      </c>
    </row>
    <row r="212" spans="1:34" ht="15" customHeight="1">
      <c r="A212" s="119"/>
      <c r="C212" s="841" t="s">
        <v>6094</v>
      </c>
      <c r="D212" s="842"/>
      <c r="E212" s="92" t="s">
        <v>3654</v>
      </c>
      <c r="F212" s="813" t="s">
        <v>6095</v>
      </c>
      <c r="G212" s="814"/>
      <c r="H212" s="814"/>
      <c r="I212" s="814"/>
      <c r="J212" s="814"/>
      <c r="K212" s="814"/>
      <c r="L212" s="815"/>
      <c r="M212" s="816"/>
      <c r="N212" s="738"/>
      <c r="O212" s="738"/>
      <c r="P212" s="738"/>
      <c r="Q212" s="738"/>
      <c r="R212" s="817"/>
      <c r="S212" s="816"/>
      <c r="T212" s="738"/>
      <c r="U212" s="738"/>
      <c r="V212" s="738"/>
      <c r="W212" s="738"/>
      <c r="X212" s="817"/>
      <c r="Y212" s="816"/>
      <c r="Z212" s="738"/>
      <c r="AA212" s="738"/>
      <c r="AB212" s="738"/>
      <c r="AC212" s="738"/>
      <c r="AD212" s="817"/>
      <c r="AF212">
        <f t="shared" si="9"/>
        <v>0</v>
      </c>
      <c r="AG212">
        <f t="shared" si="10"/>
        <v>0</v>
      </c>
      <c r="AH212">
        <f t="shared" si="11"/>
        <v>0</v>
      </c>
    </row>
    <row r="213" spans="1:34" ht="15" customHeight="1">
      <c r="A213" s="119"/>
      <c r="C213" s="843"/>
      <c r="D213" s="844"/>
      <c r="E213" s="44" t="s">
        <v>3656</v>
      </c>
      <c r="F213" s="813" t="s">
        <v>6096</v>
      </c>
      <c r="G213" s="814"/>
      <c r="H213" s="814"/>
      <c r="I213" s="814"/>
      <c r="J213" s="814"/>
      <c r="K213" s="814"/>
      <c r="L213" s="815"/>
      <c r="M213" s="816"/>
      <c r="N213" s="738"/>
      <c r="O213" s="738"/>
      <c r="P213" s="738"/>
      <c r="Q213" s="738"/>
      <c r="R213" s="817"/>
      <c r="S213" s="816"/>
      <c r="T213" s="738"/>
      <c r="U213" s="738"/>
      <c r="V213" s="738"/>
      <c r="W213" s="738"/>
      <c r="X213" s="817"/>
      <c r="Y213" s="816"/>
      <c r="Z213" s="738"/>
      <c r="AA213" s="738"/>
      <c r="AB213" s="738"/>
      <c r="AC213" s="738"/>
      <c r="AD213" s="817"/>
      <c r="AF213">
        <f t="shared" si="9"/>
        <v>0</v>
      </c>
      <c r="AG213">
        <f t="shared" si="10"/>
        <v>0</v>
      </c>
      <c r="AH213">
        <f t="shared" si="11"/>
        <v>0</v>
      </c>
    </row>
    <row r="214" spans="1:34" ht="15" customHeight="1">
      <c r="A214" s="119"/>
      <c r="C214" s="843"/>
      <c r="D214" s="844"/>
      <c r="E214" s="44" t="s">
        <v>6097</v>
      </c>
      <c r="F214" s="813" t="s">
        <v>6098</v>
      </c>
      <c r="G214" s="814"/>
      <c r="H214" s="814"/>
      <c r="I214" s="814"/>
      <c r="J214" s="814"/>
      <c r="K214" s="814"/>
      <c r="L214" s="815"/>
      <c r="M214" s="816"/>
      <c r="N214" s="738"/>
      <c r="O214" s="738"/>
      <c r="P214" s="738"/>
      <c r="Q214" s="738"/>
      <c r="R214" s="817"/>
      <c r="S214" s="816"/>
      <c r="T214" s="738"/>
      <c r="U214" s="738"/>
      <c r="V214" s="738"/>
      <c r="W214" s="738"/>
      <c r="X214" s="817"/>
      <c r="Y214" s="816"/>
      <c r="Z214" s="738"/>
      <c r="AA214" s="738"/>
      <c r="AB214" s="738"/>
      <c r="AC214" s="738"/>
      <c r="AD214" s="817"/>
      <c r="AF214">
        <f t="shared" si="9"/>
        <v>0</v>
      </c>
      <c r="AG214">
        <f t="shared" si="10"/>
        <v>0</v>
      </c>
      <c r="AH214">
        <f t="shared" si="11"/>
        <v>0</v>
      </c>
    </row>
    <row r="215" spans="1:34" ht="15" customHeight="1">
      <c r="A215" s="119"/>
      <c r="C215" s="843"/>
      <c r="D215" s="844"/>
      <c r="E215" s="44" t="s">
        <v>6099</v>
      </c>
      <c r="F215" s="813" t="s">
        <v>6100</v>
      </c>
      <c r="G215" s="814"/>
      <c r="H215" s="814"/>
      <c r="I215" s="814"/>
      <c r="J215" s="814"/>
      <c r="K215" s="814"/>
      <c r="L215" s="815"/>
      <c r="M215" s="816"/>
      <c r="N215" s="738"/>
      <c r="O215" s="738"/>
      <c r="P215" s="738"/>
      <c r="Q215" s="738"/>
      <c r="R215" s="817"/>
      <c r="S215" s="816"/>
      <c r="T215" s="738"/>
      <c r="U215" s="738"/>
      <c r="V215" s="738"/>
      <c r="W215" s="738"/>
      <c r="X215" s="817"/>
      <c r="Y215" s="816"/>
      <c r="Z215" s="738"/>
      <c r="AA215" s="738"/>
      <c r="AB215" s="738"/>
      <c r="AC215" s="738"/>
      <c r="AD215" s="817"/>
      <c r="AF215">
        <f t="shared" si="9"/>
        <v>0</v>
      </c>
      <c r="AG215">
        <f t="shared" si="10"/>
        <v>0</v>
      </c>
      <c r="AH215">
        <f t="shared" si="11"/>
        <v>0</v>
      </c>
    </row>
    <row r="216" spans="1:34" ht="15" customHeight="1">
      <c r="A216" s="119"/>
      <c r="C216" s="843"/>
      <c r="D216" s="844"/>
      <c r="E216" s="44" t="s">
        <v>6101</v>
      </c>
      <c r="F216" s="813" t="s">
        <v>6102</v>
      </c>
      <c r="G216" s="814"/>
      <c r="H216" s="814"/>
      <c r="I216" s="814"/>
      <c r="J216" s="814"/>
      <c r="K216" s="814"/>
      <c r="L216" s="815"/>
      <c r="M216" s="816"/>
      <c r="N216" s="738"/>
      <c r="O216" s="738"/>
      <c r="P216" s="738"/>
      <c r="Q216" s="738"/>
      <c r="R216" s="817"/>
      <c r="S216" s="816"/>
      <c r="T216" s="738"/>
      <c r="U216" s="738"/>
      <c r="V216" s="738"/>
      <c r="W216" s="738"/>
      <c r="X216" s="817"/>
      <c r="Y216" s="816"/>
      <c r="Z216" s="738"/>
      <c r="AA216" s="738"/>
      <c r="AB216" s="738"/>
      <c r="AC216" s="738"/>
      <c r="AD216" s="817"/>
      <c r="AF216">
        <f t="shared" si="9"/>
        <v>0</v>
      </c>
      <c r="AG216">
        <f t="shared" si="10"/>
        <v>0</v>
      </c>
      <c r="AH216">
        <f t="shared" si="11"/>
        <v>0</v>
      </c>
    </row>
    <row r="217" spans="1:34" ht="36" customHeight="1">
      <c r="A217" s="119"/>
      <c r="C217" s="843"/>
      <c r="D217" s="844"/>
      <c r="E217" s="44" t="s">
        <v>6103</v>
      </c>
      <c r="F217" s="813" t="s">
        <v>6104</v>
      </c>
      <c r="G217" s="814"/>
      <c r="H217" s="814"/>
      <c r="I217" s="814"/>
      <c r="J217" s="814"/>
      <c r="K217" s="814"/>
      <c r="L217" s="815"/>
      <c r="M217" s="816"/>
      <c r="N217" s="738"/>
      <c r="O217" s="738"/>
      <c r="P217" s="738"/>
      <c r="Q217" s="738"/>
      <c r="R217" s="817"/>
      <c r="S217" s="816"/>
      <c r="T217" s="738"/>
      <c r="U217" s="738"/>
      <c r="V217" s="738"/>
      <c r="W217" s="738"/>
      <c r="X217" s="817"/>
      <c r="Y217" s="816"/>
      <c r="Z217" s="738"/>
      <c r="AA217" s="738"/>
      <c r="AB217" s="738"/>
      <c r="AC217" s="738"/>
      <c r="AD217" s="817"/>
      <c r="AF217">
        <f t="shared" si="9"/>
        <v>0</v>
      </c>
      <c r="AG217">
        <f t="shared" si="10"/>
        <v>0</v>
      </c>
      <c r="AH217">
        <f t="shared" si="11"/>
        <v>0</v>
      </c>
    </row>
    <row r="218" spans="1:34" ht="24" customHeight="1">
      <c r="A218" s="119"/>
      <c r="C218" s="843"/>
      <c r="D218" s="844"/>
      <c r="E218" s="44" t="s">
        <v>6105</v>
      </c>
      <c r="F218" s="813" t="s">
        <v>6106</v>
      </c>
      <c r="G218" s="814"/>
      <c r="H218" s="814"/>
      <c r="I218" s="814"/>
      <c r="J218" s="814"/>
      <c r="K218" s="814"/>
      <c r="L218" s="815"/>
      <c r="M218" s="816"/>
      <c r="N218" s="738"/>
      <c r="O218" s="738"/>
      <c r="P218" s="738"/>
      <c r="Q218" s="738"/>
      <c r="R218" s="817"/>
      <c r="S218" s="816"/>
      <c r="T218" s="738"/>
      <c r="U218" s="738"/>
      <c r="V218" s="738"/>
      <c r="W218" s="738"/>
      <c r="X218" s="817"/>
      <c r="Y218" s="816"/>
      <c r="Z218" s="738"/>
      <c r="AA218" s="738"/>
      <c r="AB218" s="738"/>
      <c r="AC218" s="738"/>
      <c r="AD218" s="817"/>
      <c r="AF218">
        <f t="shared" si="9"/>
        <v>0</v>
      </c>
      <c r="AG218">
        <f t="shared" si="10"/>
        <v>0</v>
      </c>
      <c r="AH218">
        <f t="shared" si="11"/>
        <v>0</v>
      </c>
    </row>
    <row r="219" spans="1:34" ht="24" customHeight="1">
      <c r="A219" s="119"/>
      <c r="C219" s="845"/>
      <c r="D219" s="846"/>
      <c r="E219" s="167" t="s">
        <v>6107</v>
      </c>
      <c r="F219" s="813" t="s">
        <v>6108</v>
      </c>
      <c r="G219" s="814"/>
      <c r="H219" s="814"/>
      <c r="I219" s="814"/>
      <c r="J219" s="814"/>
      <c r="K219" s="814"/>
      <c r="L219" s="815"/>
      <c r="M219" s="816"/>
      <c r="N219" s="738"/>
      <c r="O219" s="738"/>
      <c r="P219" s="738"/>
      <c r="Q219" s="738"/>
      <c r="R219" s="817"/>
      <c r="S219" s="816"/>
      <c r="T219" s="738"/>
      <c r="U219" s="738"/>
      <c r="V219" s="738"/>
      <c r="W219" s="738"/>
      <c r="X219" s="817"/>
      <c r="Y219" s="816"/>
      <c r="Z219" s="738"/>
      <c r="AA219" s="738"/>
      <c r="AB219" s="738"/>
      <c r="AC219" s="738"/>
      <c r="AD219" s="817"/>
      <c r="AF219">
        <f t="shared" si="9"/>
        <v>0</v>
      </c>
      <c r="AG219">
        <f t="shared" si="10"/>
        <v>0</v>
      </c>
      <c r="AH219">
        <f t="shared" si="11"/>
        <v>0</v>
      </c>
    </row>
    <row r="220" spans="1:34" ht="15" customHeight="1">
      <c r="A220" s="119"/>
      <c r="C220" s="736" t="s">
        <v>2519</v>
      </c>
      <c r="D220" s="736"/>
      <c r="E220" s="736"/>
      <c r="F220" s="813" t="s">
        <v>6109</v>
      </c>
      <c r="G220" s="814"/>
      <c r="H220" s="814"/>
      <c r="I220" s="814"/>
      <c r="J220" s="814"/>
      <c r="K220" s="814"/>
      <c r="L220" s="815"/>
      <c r="M220" s="816"/>
      <c r="N220" s="738"/>
      <c r="O220" s="738"/>
      <c r="P220" s="738"/>
      <c r="Q220" s="738"/>
      <c r="R220" s="817"/>
      <c r="S220" s="816"/>
      <c r="T220" s="738"/>
      <c r="U220" s="738"/>
      <c r="V220" s="738"/>
      <c r="W220" s="738"/>
      <c r="X220" s="817"/>
      <c r="Y220" s="816"/>
      <c r="Z220" s="738"/>
      <c r="AA220" s="738"/>
      <c r="AB220" s="738"/>
      <c r="AC220" s="738"/>
      <c r="AD220" s="817"/>
      <c r="AF220">
        <f t="shared" si="9"/>
        <v>0</v>
      </c>
      <c r="AG220">
        <f t="shared" si="10"/>
        <v>0</v>
      </c>
      <c r="AH220">
        <f t="shared" si="11"/>
        <v>0</v>
      </c>
    </row>
    <row r="221" spans="1:34" ht="15" customHeight="1">
      <c r="A221" s="119"/>
      <c r="C221" s="736" t="s">
        <v>2520</v>
      </c>
      <c r="D221" s="736"/>
      <c r="E221" s="736"/>
      <c r="F221" s="813" t="s">
        <v>6110</v>
      </c>
      <c r="G221" s="814"/>
      <c r="H221" s="814"/>
      <c r="I221" s="814"/>
      <c r="J221" s="814"/>
      <c r="K221" s="814"/>
      <c r="L221" s="815"/>
      <c r="M221" s="816"/>
      <c r="N221" s="738"/>
      <c r="O221" s="738"/>
      <c r="P221" s="738"/>
      <c r="Q221" s="738"/>
      <c r="R221" s="817"/>
      <c r="S221" s="816"/>
      <c r="T221" s="738"/>
      <c r="U221" s="738"/>
      <c r="V221" s="738"/>
      <c r="W221" s="738"/>
      <c r="X221" s="817"/>
      <c r="Y221" s="816"/>
      <c r="Z221" s="738"/>
      <c r="AA221" s="738"/>
      <c r="AB221" s="738"/>
      <c r="AC221" s="738"/>
      <c r="AD221" s="817"/>
      <c r="AF221">
        <f t="shared" si="9"/>
        <v>0</v>
      </c>
      <c r="AG221">
        <f t="shared" si="10"/>
        <v>0</v>
      </c>
      <c r="AH221">
        <f t="shared" si="11"/>
        <v>0</v>
      </c>
    </row>
    <row r="222" spans="1:34" ht="15" customHeight="1">
      <c r="A222" s="119"/>
      <c r="C222" s="841" t="s">
        <v>6111</v>
      </c>
      <c r="D222" s="842"/>
      <c r="E222" s="92" t="s">
        <v>2831</v>
      </c>
      <c r="F222" s="813" t="s">
        <v>5437</v>
      </c>
      <c r="G222" s="814"/>
      <c r="H222" s="814"/>
      <c r="I222" s="814"/>
      <c r="J222" s="814"/>
      <c r="K222" s="814"/>
      <c r="L222" s="815"/>
      <c r="M222" s="816"/>
      <c r="N222" s="738"/>
      <c r="O222" s="738"/>
      <c r="P222" s="738"/>
      <c r="Q222" s="738"/>
      <c r="R222" s="817"/>
      <c r="S222" s="816"/>
      <c r="T222" s="738"/>
      <c r="U222" s="738"/>
      <c r="V222" s="738"/>
      <c r="W222" s="738"/>
      <c r="X222" s="817"/>
      <c r="Y222" s="816"/>
      <c r="Z222" s="738"/>
      <c r="AA222" s="738"/>
      <c r="AB222" s="738"/>
      <c r="AC222" s="738"/>
      <c r="AD222" s="817"/>
      <c r="AF222">
        <f t="shared" si="9"/>
        <v>0</v>
      </c>
      <c r="AG222">
        <f t="shared" si="10"/>
        <v>0</v>
      </c>
      <c r="AH222">
        <f t="shared" si="11"/>
        <v>0</v>
      </c>
    </row>
    <row r="223" spans="1:34" ht="24" customHeight="1">
      <c r="A223" s="119"/>
      <c r="C223" s="843"/>
      <c r="D223" s="844"/>
      <c r="E223" s="92" t="s">
        <v>2832</v>
      </c>
      <c r="F223" s="813" t="s">
        <v>6112</v>
      </c>
      <c r="G223" s="814"/>
      <c r="H223" s="814"/>
      <c r="I223" s="814"/>
      <c r="J223" s="814"/>
      <c r="K223" s="814"/>
      <c r="L223" s="815"/>
      <c r="M223" s="816"/>
      <c r="N223" s="738"/>
      <c r="O223" s="738"/>
      <c r="P223" s="738"/>
      <c r="Q223" s="738"/>
      <c r="R223" s="817"/>
      <c r="S223" s="816"/>
      <c r="T223" s="738"/>
      <c r="U223" s="738"/>
      <c r="V223" s="738"/>
      <c r="W223" s="738"/>
      <c r="X223" s="817"/>
      <c r="Y223" s="816"/>
      <c r="Z223" s="738"/>
      <c r="AA223" s="738"/>
      <c r="AB223" s="738"/>
      <c r="AC223" s="738"/>
      <c r="AD223" s="817"/>
      <c r="AF223">
        <f t="shared" si="9"/>
        <v>0</v>
      </c>
      <c r="AG223">
        <f t="shared" si="10"/>
        <v>0</v>
      </c>
      <c r="AH223">
        <f t="shared" si="11"/>
        <v>0</v>
      </c>
    </row>
    <row r="224" spans="1:34" ht="15" customHeight="1">
      <c r="A224" s="119"/>
      <c r="C224" s="843"/>
      <c r="D224" s="844"/>
      <c r="E224" s="92" t="s">
        <v>2833</v>
      </c>
      <c r="F224" s="813" t="s">
        <v>6113</v>
      </c>
      <c r="G224" s="814"/>
      <c r="H224" s="814"/>
      <c r="I224" s="814"/>
      <c r="J224" s="814"/>
      <c r="K224" s="814"/>
      <c r="L224" s="815"/>
      <c r="M224" s="816"/>
      <c r="N224" s="738"/>
      <c r="O224" s="738"/>
      <c r="P224" s="738"/>
      <c r="Q224" s="738"/>
      <c r="R224" s="817"/>
      <c r="S224" s="816"/>
      <c r="T224" s="738"/>
      <c r="U224" s="738"/>
      <c r="V224" s="738"/>
      <c r="W224" s="738"/>
      <c r="X224" s="817"/>
      <c r="Y224" s="816"/>
      <c r="Z224" s="738"/>
      <c r="AA224" s="738"/>
      <c r="AB224" s="738"/>
      <c r="AC224" s="738"/>
      <c r="AD224" s="817"/>
      <c r="AF224">
        <f t="shared" si="9"/>
        <v>0</v>
      </c>
      <c r="AG224">
        <f t="shared" si="10"/>
        <v>0</v>
      </c>
      <c r="AH224">
        <f t="shared" si="11"/>
        <v>0</v>
      </c>
    </row>
    <row r="225" spans="1:34" ht="15" customHeight="1">
      <c r="A225" s="119"/>
      <c r="C225" s="843"/>
      <c r="D225" s="844"/>
      <c r="E225" s="92" t="s">
        <v>2834</v>
      </c>
      <c r="F225" s="813" t="s">
        <v>5439</v>
      </c>
      <c r="G225" s="814"/>
      <c r="H225" s="814"/>
      <c r="I225" s="814"/>
      <c r="J225" s="814"/>
      <c r="K225" s="814"/>
      <c r="L225" s="815"/>
      <c r="M225" s="816"/>
      <c r="N225" s="738"/>
      <c r="O225" s="738"/>
      <c r="P225" s="738"/>
      <c r="Q225" s="738"/>
      <c r="R225" s="817"/>
      <c r="S225" s="816"/>
      <c r="T225" s="738"/>
      <c r="U225" s="738"/>
      <c r="V225" s="738"/>
      <c r="W225" s="738"/>
      <c r="X225" s="817"/>
      <c r="Y225" s="816"/>
      <c r="Z225" s="738"/>
      <c r="AA225" s="738"/>
      <c r="AB225" s="738"/>
      <c r="AC225" s="738"/>
      <c r="AD225" s="817"/>
      <c r="AF225">
        <f t="shared" si="9"/>
        <v>0</v>
      </c>
      <c r="AG225">
        <f t="shared" si="10"/>
        <v>0</v>
      </c>
      <c r="AH225">
        <f t="shared" si="11"/>
        <v>0</v>
      </c>
    </row>
    <row r="226" spans="1:34" ht="15" customHeight="1">
      <c r="A226" s="119"/>
      <c r="C226" s="843"/>
      <c r="D226" s="844"/>
      <c r="E226" s="92" t="s">
        <v>6114</v>
      </c>
      <c r="F226" s="813" t="s">
        <v>5440</v>
      </c>
      <c r="G226" s="814"/>
      <c r="H226" s="814"/>
      <c r="I226" s="814"/>
      <c r="J226" s="814"/>
      <c r="K226" s="814"/>
      <c r="L226" s="815"/>
      <c r="M226" s="816"/>
      <c r="N226" s="738"/>
      <c r="O226" s="738"/>
      <c r="P226" s="738"/>
      <c r="Q226" s="738"/>
      <c r="R226" s="817"/>
      <c r="S226" s="816"/>
      <c r="T226" s="738"/>
      <c r="U226" s="738"/>
      <c r="V226" s="738"/>
      <c r="W226" s="738"/>
      <c r="X226" s="817"/>
      <c r="Y226" s="816"/>
      <c r="Z226" s="738"/>
      <c r="AA226" s="738"/>
      <c r="AB226" s="738"/>
      <c r="AC226" s="738"/>
      <c r="AD226" s="817"/>
      <c r="AF226">
        <f t="shared" si="9"/>
        <v>0</v>
      </c>
      <c r="AG226">
        <f t="shared" si="10"/>
        <v>0</v>
      </c>
      <c r="AH226">
        <f t="shared" si="11"/>
        <v>0</v>
      </c>
    </row>
    <row r="227" spans="1:34" ht="24" customHeight="1">
      <c r="A227" s="119"/>
      <c r="C227" s="843"/>
      <c r="D227" s="844"/>
      <c r="E227" s="92" t="s">
        <v>6115</v>
      </c>
      <c r="F227" s="813" t="s">
        <v>5441</v>
      </c>
      <c r="G227" s="814"/>
      <c r="H227" s="814"/>
      <c r="I227" s="814"/>
      <c r="J227" s="814"/>
      <c r="K227" s="814"/>
      <c r="L227" s="815"/>
      <c r="M227" s="816"/>
      <c r="N227" s="738"/>
      <c r="O227" s="738"/>
      <c r="P227" s="738"/>
      <c r="Q227" s="738"/>
      <c r="R227" s="817"/>
      <c r="S227" s="816"/>
      <c r="T227" s="738"/>
      <c r="U227" s="738"/>
      <c r="V227" s="738"/>
      <c r="W227" s="738"/>
      <c r="X227" s="817"/>
      <c r="Y227" s="816"/>
      <c r="Z227" s="738"/>
      <c r="AA227" s="738"/>
      <c r="AB227" s="738"/>
      <c r="AC227" s="738"/>
      <c r="AD227" s="817"/>
      <c r="AF227">
        <f t="shared" si="9"/>
        <v>0</v>
      </c>
      <c r="AG227">
        <f t="shared" si="10"/>
        <v>0</v>
      </c>
      <c r="AH227">
        <f t="shared" si="11"/>
        <v>0</v>
      </c>
    </row>
    <row r="228" spans="1:34" ht="15" customHeight="1">
      <c r="A228" s="119"/>
      <c r="C228" s="843"/>
      <c r="D228" s="844"/>
      <c r="E228" s="92" t="s">
        <v>6116</v>
      </c>
      <c r="F228" s="813" t="s">
        <v>5442</v>
      </c>
      <c r="G228" s="814"/>
      <c r="H228" s="814"/>
      <c r="I228" s="814"/>
      <c r="J228" s="814"/>
      <c r="K228" s="814"/>
      <c r="L228" s="815"/>
      <c r="M228" s="816"/>
      <c r="N228" s="738"/>
      <c r="O228" s="738"/>
      <c r="P228" s="738"/>
      <c r="Q228" s="738"/>
      <c r="R228" s="817"/>
      <c r="S228" s="816"/>
      <c r="T228" s="738"/>
      <c r="U228" s="738"/>
      <c r="V228" s="738"/>
      <c r="W228" s="738"/>
      <c r="X228" s="817"/>
      <c r="Y228" s="816"/>
      <c r="Z228" s="738"/>
      <c r="AA228" s="738"/>
      <c r="AB228" s="738"/>
      <c r="AC228" s="738"/>
      <c r="AD228" s="817"/>
      <c r="AF228">
        <f t="shared" si="9"/>
        <v>0</v>
      </c>
      <c r="AG228">
        <f t="shared" si="10"/>
        <v>0</v>
      </c>
      <c r="AH228">
        <f t="shared" si="11"/>
        <v>0</v>
      </c>
    </row>
    <row r="229" spans="1:34" ht="15" customHeight="1">
      <c r="A229" s="119"/>
      <c r="C229" s="843"/>
      <c r="D229" s="844"/>
      <c r="E229" s="92" t="s">
        <v>6117</v>
      </c>
      <c r="F229" s="813" t="s">
        <v>6118</v>
      </c>
      <c r="G229" s="814"/>
      <c r="H229" s="814"/>
      <c r="I229" s="814"/>
      <c r="J229" s="814"/>
      <c r="K229" s="814"/>
      <c r="L229" s="815"/>
      <c r="M229" s="816"/>
      <c r="N229" s="738"/>
      <c r="O229" s="738"/>
      <c r="P229" s="738"/>
      <c r="Q229" s="738"/>
      <c r="R229" s="817"/>
      <c r="S229" s="816"/>
      <c r="T229" s="738"/>
      <c r="U229" s="738"/>
      <c r="V229" s="738"/>
      <c r="W229" s="738"/>
      <c r="X229" s="817"/>
      <c r="Y229" s="816"/>
      <c r="Z229" s="738"/>
      <c r="AA229" s="738"/>
      <c r="AB229" s="738"/>
      <c r="AC229" s="738"/>
      <c r="AD229" s="817"/>
      <c r="AF229">
        <f t="shared" si="9"/>
        <v>0</v>
      </c>
      <c r="AG229">
        <f t="shared" si="10"/>
        <v>0</v>
      </c>
      <c r="AH229">
        <f t="shared" si="11"/>
        <v>0</v>
      </c>
    </row>
    <row r="230" spans="1:34" ht="15" customHeight="1">
      <c r="A230" s="119"/>
      <c r="C230" s="843"/>
      <c r="D230" s="844"/>
      <c r="E230" s="92" t="s">
        <v>6119</v>
      </c>
      <c r="F230" s="813" t="s">
        <v>6120</v>
      </c>
      <c r="G230" s="814"/>
      <c r="H230" s="814"/>
      <c r="I230" s="814"/>
      <c r="J230" s="814"/>
      <c r="K230" s="814"/>
      <c r="L230" s="815"/>
      <c r="M230" s="816"/>
      <c r="N230" s="738"/>
      <c r="O230" s="738"/>
      <c r="P230" s="738"/>
      <c r="Q230" s="738"/>
      <c r="R230" s="817"/>
      <c r="S230" s="816"/>
      <c r="T230" s="738"/>
      <c r="U230" s="738"/>
      <c r="V230" s="738"/>
      <c r="W230" s="738"/>
      <c r="X230" s="817"/>
      <c r="Y230" s="816"/>
      <c r="Z230" s="738"/>
      <c r="AA230" s="738"/>
      <c r="AB230" s="738"/>
      <c r="AC230" s="738"/>
      <c r="AD230" s="817"/>
      <c r="AF230">
        <f t="shared" si="9"/>
        <v>0</v>
      </c>
      <c r="AG230">
        <f t="shared" si="10"/>
        <v>0</v>
      </c>
      <c r="AH230">
        <f t="shared" si="11"/>
        <v>0</v>
      </c>
    </row>
    <row r="231" spans="1:34" ht="24" customHeight="1">
      <c r="A231" s="119"/>
      <c r="C231" s="843"/>
      <c r="D231" s="844"/>
      <c r="E231" s="225" t="s">
        <v>6121</v>
      </c>
      <c r="F231" s="813" t="s">
        <v>6122</v>
      </c>
      <c r="G231" s="814"/>
      <c r="H231" s="814"/>
      <c r="I231" s="814"/>
      <c r="J231" s="814"/>
      <c r="K231" s="814"/>
      <c r="L231" s="815"/>
      <c r="M231" s="816"/>
      <c r="N231" s="738"/>
      <c r="O231" s="738"/>
      <c r="P231" s="738"/>
      <c r="Q231" s="738"/>
      <c r="R231" s="817"/>
      <c r="S231" s="816"/>
      <c r="T231" s="738"/>
      <c r="U231" s="738"/>
      <c r="V231" s="738"/>
      <c r="W231" s="738"/>
      <c r="X231" s="817"/>
      <c r="Y231" s="816"/>
      <c r="Z231" s="738"/>
      <c r="AA231" s="738"/>
      <c r="AB231" s="738"/>
      <c r="AC231" s="738"/>
      <c r="AD231" s="817"/>
      <c r="AF231">
        <f t="shared" si="9"/>
        <v>0</v>
      </c>
      <c r="AG231">
        <f t="shared" si="10"/>
        <v>0</v>
      </c>
      <c r="AH231">
        <f t="shared" si="11"/>
        <v>0</v>
      </c>
    </row>
    <row r="232" spans="1:34" ht="15" customHeight="1">
      <c r="A232" s="119"/>
      <c r="C232" s="845"/>
      <c r="D232" s="846"/>
      <c r="E232" s="225" t="s">
        <v>6123</v>
      </c>
      <c r="F232" s="813" t="s">
        <v>6124</v>
      </c>
      <c r="G232" s="814"/>
      <c r="H232" s="814"/>
      <c r="I232" s="814"/>
      <c r="J232" s="814"/>
      <c r="K232" s="814"/>
      <c r="L232" s="815"/>
      <c r="M232" s="816"/>
      <c r="N232" s="738"/>
      <c r="O232" s="738"/>
      <c r="P232" s="738"/>
      <c r="Q232" s="738"/>
      <c r="R232" s="817"/>
      <c r="S232" s="816"/>
      <c r="T232" s="738"/>
      <c r="U232" s="738"/>
      <c r="V232" s="738"/>
      <c r="W232" s="738"/>
      <c r="X232" s="817"/>
      <c r="Y232" s="816"/>
      <c r="Z232" s="738"/>
      <c r="AA232" s="738"/>
      <c r="AB232" s="738"/>
      <c r="AC232" s="738"/>
      <c r="AD232" s="817"/>
      <c r="AF232">
        <f t="shared" si="9"/>
        <v>0</v>
      </c>
      <c r="AG232">
        <f t="shared" si="10"/>
        <v>0</v>
      </c>
      <c r="AH232">
        <f t="shared" si="11"/>
        <v>0</v>
      </c>
    </row>
    <row r="233" spans="1:34" ht="15" customHeight="1">
      <c r="A233" s="119"/>
      <c r="C233" s="736" t="s">
        <v>2522</v>
      </c>
      <c r="D233" s="736"/>
      <c r="E233" s="736"/>
      <c r="F233" s="813" t="s">
        <v>6125</v>
      </c>
      <c r="G233" s="814"/>
      <c r="H233" s="814"/>
      <c r="I233" s="814"/>
      <c r="J233" s="814"/>
      <c r="K233" s="814"/>
      <c r="L233" s="815"/>
      <c r="M233" s="816"/>
      <c r="N233" s="738"/>
      <c r="O233" s="738"/>
      <c r="P233" s="738"/>
      <c r="Q233" s="738"/>
      <c r="R233" s="817"/>
      <c r="S233" s="816"/>
      <c r="T233" s="738"/>
      <c r="U233" s="738"/>
      <c r="V233" s="738"/>
      <c r="W233" s="738"/>
      <c r="X233" s="817"/>
      <c r="Y233" s="816"/>
      <c r="Z233" s="738"/>
      <c r="AA233" s="738"/>
      <c r="AB233" s="738"/>
      <c r="AC233" s="738"/>
      <c r="AD233" s="817"/>
      <c r="AF233">
        <f t="shared" si="9"/>
        <v>0</v>
      </c>
      <c r="AG233">
        <f t="shared" si="10"/>
        <v>0</v>
      </c>
      <c r="AH233">
        <f t="shared" si="11"/>
        <v>0</v>
      </c>
    </row>
    <row r="234" spans="1:34" ht="15" customHeight="1">
      <c r="A234" s="119"/>
      <c r="C234" s="736" t="s">
        <v>2523</v>
      </c>
      <c r="D234" s="736"/>
      <c r="E234" s="736"/>
      <c r="F234" s="813" t="s">
        <v>6126</v>
      </c>
      <c r="G234" s="814"/>
      <c r="H234" s="814"/>
      <c r="I234" s="814"/>
      <c r="J234" s="814"/>
      <c r="K234" s="814"/>
      <c r="L234" s="815"/>
      <c r="M234" s="816"/>
      <c r="N234" s="738"/>
      <c r="O234" s="738"/>
      <c r="P234" s="738"/>
      <c r="Q234" s="738"/>
      <c r="R234" s="817"/>
      <c r="S234" s="816"/>
      <c r="T234" s="738"/>
      <c r="U234" s="738"/>
      <c r="V234" s="738"/>
      <c r="W234" s="738"/>
      <c r="X234" s="817"/>
      <c r="Y234" s="816"/>
      <c r="Z234" s="738"/>
      <c r="AA234" s="738"/>
      <c r="AB234" s="738"/>
      <c r="AC234" s="738"/>
      <c r="AD234" s="817"/>
      <c r="AF234">
        <f t="shared" si="9"/>
        <v>0</v>
      </c>
      <c r="AG234">
        <f t="shared" si="10"/>
        <v>0</v>
      </c>
      <c r="AH234">
        <f t="shared" si="11"/>
        <v>0</v>
      </c>
    </row>
    <row r="235" spans="1:34" ht="15" customHeight="1">
      <c r="A235" s="119"/>
      <c r="C235" s="736" t="s">
        <v>2524</v>
      </c>
      <c r="D235" s="736"/>
      <c r="E235" s="736"/>
      <c r="F235" s="813" t="s">
        <v>6127</v>
      </c>
      <c r="G235" s="814"/>
      <c r="H235" s="814"/>
      <c r="I235" s="814"/>
      <c r="J235" s="814"/>
      <c r="K235" s="814"/>
      <c r="L235" s="815"/>
      <c r="M235" s="816"/>
      <c r="N235" s="738"/>
      <c r="O235" s="738"/>
      <c r="P235" s="738"/>
      <c r="Q235" s="738"/>
      <c r="R235" s="817"/>
      <c r="S235" s="816"/>
      <c r="T235" s="738"/>
      <c r="U235" s="738"/>
      <c r="V235" s="738"/>
      <c r="W235" s="738"/>
      <c r="X235" s="817"/>
      <c r="Y235" s="816"/>
      <c r="Z235" s="738"/>
      <c r="AA235" s="738"/>
      <c r="AB235" s="738"/>
      <c r="AC235" s="738"/>
      <c r="AD235" s="817"/>
      <c r="AF235">
        <f t="shared" si="9"/>
        <v>0</v>
      </c>
      <c r="AG235">
        <f t="shared" si="10"/>
        <v>0</v>
      </c>
      <c r="AH235">
        <f t="shared" si="11"/>
        <v>0</v>
      </c>
    </row>
    <row r="236" spans="1:34" ht="24" customHeight="1">
      <c r="A236" s="119"/>
      <c r="C236" s="1158" t="s">
        <v>2525</v>
      </c>
      <c r="D236" s="1158"/>
      <c r="E236" s="1158"/>
      <c r="F236" s="813" t="s">
        <v>6128</v>
      </c>
      <c r="G236" s="814"/>
      <c r="H236" s="814"/>
      <c r="I236" s="814"/>
      <c r="J236" s="814"/>
      <c r="K236" s="814"/>
      <c r="L236" s="815"/>
      <c r="M236" s="816"/>
      <c r="N236" s="738"/>
      <c r="O236" s="738"/>
      <c r="P236" s="738"/>
      <c r="Q236" s="738"/>
      <c r="R236" s="817"/>
      <c r="S236" s="816"/>
      <c r="T236" s="738"/>
      <c r="U236" s="738"/>
      <c r="V236" s="738"/>
      <c r="W236" s="738"/>
      <c r="X236" s="817"/>
      <c r="Y236" s="816"/>
      <c r="Z236" s="738"/>
      <c r="AA236" s="738"/>
      <c r="AB236" s="738"/>
      <c r="AC236" s="738"/>
      <c r="AD236" s="817"/>
      <c r="AF236">
        <f t="shared" si="9"/>
        <v>0</v>
      </c>
      <c r="AG236">
        <f>IF($AF$205=8,0,IF(M236=1,IF(COUNTA(S236:AD236)=2,0,1),IF(OR(AND(M236="",COUNTA(S236:AD236)&gt;0),AND(M236="",COUNTA(S236:AD236)=0)),1,0)))</f>
        <v>0</v>
      </c>
      <c r="AH236">
        <f>IF($AF$205=8,IF(COUNTBLANK(M236:AD236)=18,0,1),IF(M236&gt;1,IF(COUNTBLANK(S236:AD236)=12,0,1),0))</f>
        <v>0</v>
      </c>
    </row>
    <row r="237" spans="1:34">
      <c r="A237" s="119"/>
      <c r="C237" s="54"/>
      <c r="D237" s="54"/>
      <c r="E237" s="118"/>
      <c r="F237" s="118"/>
      <c r="G237" s="118"/>
      <c r="H237" s="118"/>
      <c r="I237" s="118"/>
      <c r="J237" s="118"/>
      <c r="K237" s="118"/>
      <c r="L237" s="118"/>
      <c r="M237" s="118"/>
      <c r="N237" s="118"/>
      <c r="O237" s="118"/>
      <c r="P237" s="118"/>
      <c r="Q237" s="118"/>
      <c r="R237" s="118"/>
      <c r="S237" s="118"/>
      <c r="T237" s="118"/>
      <c r="U237" s="118"/>
      <c r="V237" s="118"/>
      <c r="W237" s="118"/>
      <c r="X237" s="118"/>
      <c r="Y237" s="118"/>
      <c r="Z237" s="118"/>
      <c r="AA237" s="118"/>
      <c r="AB237" s="118"/>
      <c r="AC237" s="118"/>
      <c r="AD237" s="118"/>
      <c r="AF237" s="507">
        <f>SUM(AF207:AF236)</f>
        <v>0</v>
      </c>
      <c r="AG237" s="507">
        <f>SUM(AG207:AG236)</f>
        <v>0</v>
      </c>
      <c r="AH237" s="507">
        <f>SUM(AH207:AH236)</f>
        <v>0</v>
      </c>
    </row>
    <row r="238" spans="1:34" ht="45" customHeight="1">
      <c r="A238" s="119"/>
      <c r="C238" s="905" t="s">
        <v>6129</v>
      </c>
      <c r="D238" s="905"/>
      <c r="E238" s="905"/>
      <c r="F238" s="905"/>
      <c r="G238" s="906"/>
      <c r="H238" s="816"/>
      <c r="I238" s="738"/>
      <c r="J238" s="738"/>
      <c r="K238" s="738"/>
      <c r="L238" s="738"/>
      <c r="M238" s="738"/>
      <c r="N238" s="738"/>
      <c r="O238" s="738"/>
      <c r="P238" s="738"/>
      <c r="Q238" s="738"/>
      <c r="R238" s="738"/>
      <c r="S238" s="738"/>
      <c r="T238" s="738"/>
      <c r="U238" s="738"/>
      <c r="V238" s="738"/>
      <c r="W238" s="738"/>
      <c r="X238" s="738"/>
      <c r="Y238" s="738"/>
      <c r="Z238" s="738"/>
      <c r="AA238" s="738"/>
      <c r="AB238" s="738"/>
      <c r="AC238" s="738"/>
      <c r="AD238" s="817"/>
    </row>
    <row r="239" spans="1:34">
      <c r="A239" s="119"/>
      <c r="B239" s="794" t="str">
        <f>IF(AND(M218=1,H238=""),"Debido a que seleccionó para el numeral 3.7 el código 1, debe anotar el n. de dicho(s) tipo(s) de equipo(s) electrónico(s) o informático(s)","")</f>
        <v/>
      </c>
      <c r="C239" s="794"/>
      <c r="D239" s="794"/>
      <c r="E239" s="794"/>
      <c r="F239" s="794"/>
      <c r="G239" s="794"/>
      <c r="H239" s="794"/>
      <c r="I239" s="794"/>
      <c r="J239" s="794"/>
      <c r="K239" s="794"/>
      <c r="L239" s="794"/>
      <c r="M239" s="794"/>
      <c r="N239" s="794"/>
      <c r="O239" s="794"/>
      <c r="P239" s="794"/>
      <c r="Q239" s="794"/>
      <c r="R239" s="794"/>
      <c r="S239" s="794"/>
      <c r="T239" s="794"/>
      <c r="U239" s="794"/>
      <c r="V239" s="794"/>
      <c r="W239" s="794"/>
      <c r="X239" s="794"/>
      <c r="Y239" s="794"/>
      <c r="Z239" s="794"/>
      <c r="AA239" s="794"/>
      <c r="AB239" s="794"/>
      <c r="AC239" s="794"/>
      <c r="AD239" s="794"/>
      <c r="AE239" s="794"/>
    </row>
    <row r="240" spans="1:34" ht="45" customHeight="1">
      <c r="A240" s="119"/>
      <c r="C240" s="905" t="s">
        <v>6130</v>
      </c>
      <c r="D240" s="905"/>
      <c r="E240" s="905"/>
      <c r="F240" s="905"/>
      <c r="G240" s="906"/>
      <c r="H240" s="816"/>
      <c r="I240" s="738"/>
      <c r="J240" s="738"/>
      <c r="K240" s="738"/>
      <c r="L240" s="738"/>
      <c r="M240" s="738"/>
      <c r="N240" s="738"/>
      <c r="O240" s="738"/>
      <c r="P240" s="738"/>
      <c r="Q240" s="738"/>
      <c r="R240" s="738"/>
      <c r="S240" s="738"/>
      <c r="T240" s="738"/>
      <c r="U240" s="738"/>
      <c r="V240" s="738"/>
      <c r="W240" s="738"/>
      <c r="X240" s="738"/>
      <c r="Y240" s="738"/>
      <c r="Z240" s="738"/>
      <c r="AA240" s="738"/>
      <c r="AB240" s="738"/>
      <c r="AC240" s="738"/>
      <c r="AD240" s="817"/>
    </row>
    <row r="241" spans="1:31">
      <c r="A241" s="119"/>
      <c r="B241" s="794" t="str">
        <f>IF(AND(M231=1,H240=""),"Debido a que seleccionó para el numeral 6.10 el código 1, debe anotar el nombre de dicho(s) dicho(s) tipo(s) de narcótico(s)","")</f>
        <v/>
      </c>
      <c r="C241" s="794"/>
      <c r="D241" s="794"/>
      <c r="E241" s="794"/>
      <c r="F241" s="794"/>
      <c r="G241" s="794"/>
      <c r="H241" s="794"/>
      <c r="I241" s="794"/>
      <c r="J241" s="794"/>
      <c r="K241" s="794"/>
      <c r="L241" s="794"/>
      <c r="M241" s="794"/>
      <c r="N241" s="794"/>
      <c r="O241" s="794"/>
      <c r="P241" s="794"/>
      <c r="Q241" s="794"/>
      <c r="R241" s="794"/>
      <c r="S241" s="794"/>
      <c r="T241" s="794"/>
      <c r="U241" s="794"/>
      <c r="V241" s="794"/>
      <c r="W241" s="794"/>
      <c r="X241" s="794"/>
      <c r="Y241" s="794"/>
      <c r="Z241" s="794"/>
      <c r="AA241" s="794"/>
      <c r="AB241" s="794"/>
      <c r="AC241" s="794"/>
      <c r="AD241" s="794"/>
      <c r="AE241" s="794"/>
    </row>
    <row r="242" spans="1:31" ht="45" customHeight="1">
      <c r="A242" s="119"/>
      <c r="C242" s="905" t="s">
        <v>6131</v>
      </c>
      <c r="D242" s="905"/>
      <c r="E242" s="905"/>
      <c r="F242" s="905"/>
      <c r="G242" s="906"/>
      <c r="H242" s="816"/>
      <c r="I242" s="738"/>
      <c r="J242" s="738"/>
      <c r="K242" s="738"/>
      <c r="L242" s="738"/>
      <c r="M242" s="738"/>
      <c r="N242" s="738"/>
      <c r="O242" s="738"/>
      <c r="P242" s="738"/>
      <c r="Q242" s="738"/>
      <c r="R242" s="738"/>
      <c r="S242" s="738"/>
      <c r="T242" s="738"/>
      <c r="U242" s="738"/>
      <c r="V242" s="738"/>
      <c r="W242" s="738"/>
      <c r="X242" s="738"/>
      <c r="Y242" s="738"/>
      <c r="Z242" s="738"/>
      <c r="AA242" s="738"/>
      <c r="AB242" s="738"/>
      <c r="AC242" s="738"/>
      <c r="AD242" s="817"/>
    </row>
    <row r="243" spans="1:31">
      <c r="A243" s="119"/>
      <c r="B243" s="794" t="str">
        <f>IF(AND(M236=1,H242=""),"Debido a que seleccionó para el numeral 10 el código 1, debe anotar el nombre de dicho(s) tipo(s) de sustancia(s) u objeto(s) prohibido(s)","")</f>
        <v/>
      </c>
      <c r="C243" s="794"/>
      <c r="D243" s="794"/>
      <c r="E243" s="794"/>
      <c r="F243" s="794"/>
      <c r="G243" s="794"/>
      <c r="H243" s="794"/>
      <c r="I243" s="794"/>
      <c r="J243" s="794"/>
      <c r="K243" s="794"/>
      <c r="L243" s="794"/>
      <c r="M243" s="794"/>
      <c r="N243" s="794"/>
      <c r="O243" s="794"/>
      <c r="P243" s="794"/>
      <c r="Q243" s="794"/>
      <c r="R243" s="794"/>
      <c r="S243" s="794"/>
      <c r="T243" s="794"/>
      <c r="U243" s="794"/>
      <c r="V243" s="794"/>
      <c r="W243" s="794"/>
      <c r="X243" s="794"/>
      <c r="Y243" s="794"/>
      <c r="Z243" s="794"/>
      <c r="AA243" s="794"/>
      <c r="AB243" s="794"/>
      <c r="AC243" s="794"/>
      <c r="AD243" s="794"/>
      <c r="AE243" s="794"/>
    </row>
    <row r="244" spans="1:31" ht="45" customHeight="1">
      <c r="A244" s="119"/>
      <c r="C244" s="905" t="s">
        <v>6132</v>
      </c>
      <c r="D244" s="905"/>
      <c r="E244" s="905"/>
      <c r="F244" s="905"/>
      <c r="G244" s="906"/>
      <c r="H244" s="816"/>
      <c r="I244" s="738"/>
      <c r="J244" s="738"/>
      <c r="K244" s="738"/>
      <c r="L244" s="738"/>
      <c r="M244" s="738"/>
      <c r="N244" s="738"/>
      <c r="O244" s="738"/>
      <c r="P244" s="738"/>
      <c r="Q244" s="738"/>
      <c r="R244" s="738"/>
      <c r="S244" s="738"/>
      <c r="T244" s="738"/>
      <c r="U244" s="738"/>
      <c r="V244" s="738"/>
      <c r="W244" s="738"/>
      <c r="X244" s="738"/>
      <c r="Y244" s="738"/>
      <c r="Z244" s="738"/>
      <c r="AA244" s="738"/>
      <c r="AB244" s="738"/>
      <c r="AC244" s="738"/>
      <c r="AD244" s="817"/>
    </row>
    <row r="245" spans="1:31">
      <c r="A245" s="119"/>
      <c r="B245" s="794" t="str">
        <f>IF(AND(COUNTIF(S207:S236,"8")&gt;0,H244=""),"Debido a que seleccionó el código 8, debe anotar el nombre de dicha(s) unidad(es) de medida","")</f>
        <v/>
      </c>
      <c r="C245" s="794"/>
      <c r="D245" s="794"/>
      <c r="E245" s="794"/>
      <c r="F245" s="794"/>
      <c r="G245" s="794"/>
      <c r="H245" s="794"/>
      <c r="I245" s="794"/>
      <c r="J245" s="794"/>
      <c r="K245" s="794"/>
      <c r="L245" s="794"/>
      <c r="M245" s="794"/>
      <c r="N245" s="794"/>
      <c r="O245" s="794"/>
      <c r="P245" s="794"/>
      <c r="Q245" s="794"/>
      <c r="R245" s="794"/>
      <c r="S245" s="794"/>
      <c r="T245" s="794"/>
      <c r="U245" s="794"/>
      <c r="V245" s="794"/>
      <c r="W245" s="794"/>
      <c r="X245" s="794"/>
      <c r="Y245" s="794"/>
      <c r="Z245" s="794"/>
      <c r="AA245" s="794"/>
      <c r="AB245" s="794"/>
      <c r="AC245" s="794"/>
      <c r="AD245" s="794"/>
      <c r="AE245" s="794"/>
    </row>
    <row r="246" spans="1:31" ht="15" customHeight="1">
      <c r="A246" s="119"/>
      <c r="C246" s="732" t="s">
        <v>6133</v>
      </c>
      <c r="D246" s="732"/>
      <c r="E246" s="732"/>
      <c r="F246" s="732"/>
      <c r="G246" s="732"/>
      <c r="H246" s="732"/>
      <c r="I246" s="732"/>
      <c r="J246" s="732"/>
      <c r="K246" s="732"/>
      <c r="L246" s="732"/>
      <c r="M246" s="732"/>
      <c r="N246" s="732"/>
      <c r="O246" s="732"/>
      <c r="P246" s="732"/>
      <c r="Q246" s="732"/>
      <c r="R246" s="732"/>
      <c r="S246" s="732"/>
      <c r="T246" s="732"/>
      <c r="U246" s="732"/>
      <c r="V246" s="732"/>
      <c r="W246" s="732"/>
      <c r="X246" s="732"/>
      <c r="Y246" s="732"/>
      <c r="Z246" s="732"/>
      <c r="AA246" s="732"/>
      <c r="AB246" s="732"/>
      <c r="AC246" s="732"/>
      <c r="AD246" s="732"/>
    </row>
    <row r="247" spans="1:31" ht="15" customHeight="1">
      <c r="A247" s="119"/>
      <c r="C247" s="92" t="s">
        <v>2516</v>
      </c>
      <c r="D247" s="861" t="s">
        <v>6134</v>
      </c>
      <c r="E247" s="862"/>
      <c r="F247" s="862"/>
      <c r="G247" s="862"/>
      <c r="H247" s="862"/>
      <c r="I247" s="862"/>
      <c r="J247" s="862"/>
      <c r="K247" s="862"/>
      <c r="L247" s="862"/>
      <c r="M247" s="862"/>
      <c r="N247" s="862"/>
      <c r="O247" s="862"/>
      <c r="P247" s="862"/>
      <c r="Q247" s="862"/>
      <c r="R247" s="862"/>
      <c r="S247" s="862"/>
      <c r="T247" s="862"/>
      <c r="U247" s="862"/>
      <c r="V247" s="862"/>
      <c r="W247" s="862"/>
      <c r="X247" s="862"/>
      <c r="Y247" s="862"/>
      <c r="Z247" s="862"/>
      <c r="AA247" s="862"/>
      <c r="AB247" s="862"/>
      <c r="AC247" s="862"/>
      <c r="AD247" s="863"/>
    </row>
    <row r="248" spans="1:31" ht="15" customHeight="1">
      <c r="A248" s="119"/>
      <c r="C248" s="44" t="s">
        <v>2517</v>
      </c>
      <c r="D248" s="796" t="s">
        <v>6135</v>
      </c>
      <c r="E248" s="796"/>
      <c r="F248" s="796"/>
      <c r="G248" s="796"/>
      <c r="H248" s="796"/>
      <c r="I248" s="796"/>
      <c r="J248" s="796"/>
      <c r="K248" s="796"/>
      <c r="L248" s="796"/>
      <c r="M248" s="796"/>
      <c r="N248" s="796"/>
      <c r="O248" s="796"/>
      <c r="P248" s="796"/>
      <c r="Q248" s="796"/>
      <c r="R248" s="796"/>
      <c r="S248" s="796"/>
      <c r="T248" s="796"/>
      <c r="U248" s="796"/>
      <c r="V248" s="796"/>
      <c r="W248" s="796"/>
      <c r="X248" s="796"/>
      <c r="Y248" s="796"/>
      <c r="Z248" s="796"/>
      <c r="AA248" s="796"/>
      <c r="AB248" s="796"/>
      <c r="AC248" s="796"/>
      <c r="AD248" s="796"/>
    </row>
    <row r="249" spans="1:31" ht="15" customHeight="1">
      <c r="A249" s="119"/>
      <c r="C249" s="44" t="s">
        <v>2518</v>
      </c>
      <c r="D249" s="796" t="s">
        <v>6136</v>
      </c>
      <c r="E249" s="796"/>
      <c r="F249" s="796"/>
      <c r="G249" s="796"/>
      <c r="H249" s="796"/>
      <c r="I249" s="796"/>
      <c r="J249" s="796"/>
      <c r="K249" s="796"/>
      <c r="L249" s="796"/>
      <c r="M249" s="796"/>
      <c r="N249" s="796"/>
      <c r="O249" s="796"/>
      <c r="P249" s="796"/>
      <c r="Q249" s="796"/>
      <c r="R249" s="796"/>
      <c r="S249" s="796"/>
      <c r="T249" s="796"/>
      <c r="U249" s="796"/>
      <c r="V249" s="796"/>
      <c r="W249" s="796"/>
      <c r="X249" s="796"/>
      <c r="Y249" s="796"/>
      <c r="Z249" s="796"/>
      <c r="AA249" s="796"/>
      <c r="AB249" s="796"/>
      <c r="AC249" s="796"/>
      <c r="AD249" s="796"/>
    </row>
    <row r="250" spans="1:31" ht="15" customHeight="1">
      <c r="A250" s="119"/>
      <c r="C250" s="44" t="s">
        <v>2519</v>
      </c>
      <c r="D250" s="796" t="s">
        <v>6137</v>
      </c>
      <c r="E250" s="796"/>
      <c r="F250" s="796"/>
      <c r="G250" s="796"/>
      <c r="H250" s="796"/>
      <c r="I250" s="796"/>
      <c r="J250" s="796"/>
      <c r="K250" s="796"/>
      <c r="L250" s="796"/>
      <c r="M250" s="796"/>
      <c r="N250" s="796"/>
      <c r="O250" s="796"/>
      <c r="P250" s="796"/>
      <c r="Q250" s="796"/>
      <c r="R250" s="796"/>
      <c r="S250" s="796"/>
      <c r="T250" s="796"/>
      <c r="U250" s="796"/>
      <c r="V250" s="796"/>
      <c r="W250" s="796"/>
      <c r="X250" s="796"/>
      <c r="Y250" s="796"/>
      <c r="Z250" s="796"/>
      <c r="AA250" s="796"/>
      <c r="AB250" s="796"/>
      <c r="AC250" s="796"/>
      <c r="AD250" s="796"/>
    </row>
    <row r="251" spans="1:31" ht="15" customHeight="1">
      <c r="A251" s="119"/>
      <c r="C251" s="44" t="s">
        <v>2520</v>
      </c>
      <c r="D251" s="813" t="s">
        <v>6138</v>
      </c>
      <c r="E251" s="814"/>
      <c r="F251" s="814"/>
      <c r="G251" s="814"/>
      <c r="H251" s="814"/>
      <c r="I251" s="814"/>
      <c r="J251" s="814"/>
      <c r="K251" s="814"/>
      <c r="L251" s="814"/>
      <c r="M251" s="814"/>
      <c r="N251" s="814"/>
      <c r="O251" s="814"/>
      <c r="P251" s="814"/>
      <c r="Q251" s="814"/>
      <c r="R251" s="814"/>
      <c r="S251" s="814"/>
      <c r="T251" s="814"/>
      <c r="U251" s="814"/>
      <c r="V251" s="814"/>
      <c r="W251" s="814"/>
      <c r="X251" s="814"/>
      <c r="Y251" s="814"/>
      <c r="Z251" s="814"/>
      <c r="AA251" s="814"/>
      <c r="AB251" s="814"/>
      <c r="AC251" s="814"/>
      <c r="AD251" s="815"/>
    </row>
    <row r="252" spans="1:31" ht="15" customHeight="1">
      <c r="A252" s="119"/>
      <c r="C252" s="44" t="s">
        <v>2521</v>
      </c>
      <c r="D252" s="796" t="s">
        <v>6139</v>
      </c>
      <c r="E252" s="796"/>
      <c r="F252" s="796"/>
      <c r="G252" s="796"/>
      <c r="H252" s="796"/>
      <c r="I252" s="796"/>
      <c r="J252" s="796"/>
      <c r="K252" s="796"/>
      <c r="L252" s="796"/>
      <c r="M252" s="796"/>
      <c r="N252" s="796"/>
      <c r="O252" s="796"/>
      <c r="P252" s="796"/>
      <c r="Q252" s="796"/>
      <c r="R252" s="796"/>
      <c r="S252" s="796"/>
      <c r="T252" s="796"/>
      <c r="U252" s="796"/>
      <c r="V252" s="796"/>
      <c r="W252" s="796"/>
      <c r="X252" s="796"/>
      <c r="Y252" s="796"/>
      <c r="Z252" s="796"/>
      <c r="AA252" s="796"/>
      <c r="AB252" s="796"/>
      <c r="AC252" s="796"/>
      <c r="AD252" s="796"/>
    </row>
    <row r="253" spans="1:31" ht="15" customHeight="1">
      <c r="A253" s="119"/>
      <c r="C253" s="44" t="s">
        <v>2522</v>
      </c>
      <c r="D253" s="796" t="s">
        <v>6140</v>
      </c>
      <c r="E253" s="796"/>
      <c r="F253" s="796"/>
      <c r="G253" s="796"/>
      <c r="H253" s="796"/>
      <c r="I253" s="796"/>
      <c r="J253" s="796"/>
      <c r="K253" s="796"/>
      <c r="L253" s="796"/>
      <c r="M253" s="796"/>
      <c r="N253" s="796"/>
      <c r="O253" s="796"/>
      <c r="P253" s="796"/>
      <c r="Q253" s="796"/>
      <c r="R253" s="796"/>
      <c r="S253" s="796"/>
      <c r="T253" s="796"/>
      <c r="U253" s="796"/>
      <c r="V253" s="796"/>
      <c r="W253" s="796"/>
      <c r="X253" s="796"/>
      <c r="Y253" s="796"/>
      <c r="Z253" s="796"/>
      <c r="AA253" s="796"/>
      <c r="AB253" s="796"/>
      <c r="AC253" s="796"/>
      <c r="AD253" s="796"/>
    </row>
    <row r="254" spans="1:31" ht="15" customHeight="1">
      <c r="A254" s="119"/>
      <c r="C254" s="44" t="s">
        <v>2523</v>
      </c>
      <c r="D254" s="796" t="s">
        <v>6141</v>
      </c>
      <c r="E254" s="796"/>
      <c r="F254" s="796"/>
      <c r="G254" s="796"/>
      <c r="H254" s="796"/>
      <c r="I254" s="796"/>
      <c r="J254" s="796"/>
      <c r="K254" s="796"/>
      <c r="L254" s="796"/>
      <c r="M254" s="796"/>
      <c r="N254" s="796"/>
      <c r="O254" s="796"/>
      <c r="P254" s="796"/>
      <c r="Q254" s="796"/>
      <c r="R254" s="796"/>
      <c r="S254" s="796"/>
      <c r="T254" s="796"/>
      <c r="U254" s="796"/>
      <c r="V254" s="796"/>
      <c r="W254" s="796"/>
      <c r="X254" s="796"/>
      <c r="Y254" s="796"/>
      <c r="Z254" s="796"/>
      <c r="AA254" s="796"/>
      <c r="AB254" s="796"/>
      <c r="AC254" s="796"/>
      <c r="AD254" s="796"/>
    </row>
    <row r="255" spans="1:31">
      <c r="A255" s="119"/>
    </row>
    <row r="256" spans="1:31" ht="24" customHeight="1">
      <c r="A256" s="119"/>
      <c r="C256" s="754" t="s">
        <v>2611</v>
      </c>
      <c r="D256" s="754"/>
      <c r="E256" s="754"/>
      <c r="F256" s="754"/>
      <c r="G256" s="754"/>
      <c r="H256" s="754"/>
      <c r="I256" s="754"/>
      <c r="J256" s="754"/>
      <c r="K256" s="754"/>
      <c r="L256" s="754"/>
      <c r="M256" s="754"/>
      <c r="N256" s="754"/>
      <c r="O256" s="754"/>
      <c r="P256" s="754"/>
      <c r="Q256" s="754"/>
      <c r="R256" s="754"/>
      <c r="S256" s="754"/>
      <c r="T256" s="754"/>
      <c r="U256" s="754"/>
      <c r="V256" s="754"/>
      <c r="W256" s="754"/>
      <c r="X256" s="754"/>
      <c r="Y256" s="754"/>
      <c r="Z256" s="754"/>
      <c r="AA256" s="754"/>
      <c r="AB256" s="754"/>
      <c r="AC256" s="754"/>
      <c r="AD256" s="754"/>
    </row>
    <row r="257" spans="1:31" ht="60" customHeight="1">
      <c r="A257" s="119"/>
      <c r="C257" s="851"/>
      <c r="D257" s="851"/>
      <c r="E257" s="851"/>
      <c r="F257" s="851"/>
      <c r="G257" s="851"/>
      <c r="H257" s="851"/>
      <c r="I257" s="851"/>
      <c r="J257" s="851"/>
      <c r="K257" s="851"/>
      <c r="L257" s="851"/>
      <c r="M257" s="851"/>
      <c r="N257" s="851"/>
      <c r="O257" s="851"/>
      <c r="P257" s="851"/>
      <c r="Q257" s="851"/>
      <c r="R257" s="851"/>
      <c r="S257" s="851"/>
      <c r="T257" s="851"/>
      <c r="U257" s="851"/>
      <c r="V257" s="851"/>
      <c r="W257" s="851"/>
      <c r="X257" s="851"/>
      <c r="Y257" s="851"/>
      <c r="Z257" s="851"/>
      <c r="AA257" s="851"/>
      <c r="AB257" s="851"/>
      <c r="AC257" s="851"/>
      <c r="AD257" s="851"/>
    </row>
    <row r="258" spans="1:31">
      <c r="A258" s="119"/>
      <c r="B258" s="794" t="str">
        <f>IF(AG237=0,"","Favor de ingresar toda la información requerida en la pregunta")</f>
        <v/>
      </c>
      <c r="C258" s="794"/>
      <c r="D258" s="794"/>
      <c r="E258" s="794"/>
      <c r="F258" s="794"/>
      <c r="G258" s="794"/>
      <c r="H258" s="794"/>
      <c r="I258" s="794"/>
      <c r="J258" s="794"/>
      <c r="K258" s="794"/>
      <c r="L258" s="794"/>
      <c r="M258" s="794"/>
      <c r="N258" s="794"/>
      <c r="O258" s="794"/>
      <c r="P258" s="794"/>
      <c r="Q258" s="794"/>
      <c r="R258" s="794"/>
      <c r="S258" s="794"/>
      <c r="T258" s="794"/>
      <c r="U258" s="794"/>
      <c r="V258" s="794"/>
      <c r="W258" s="794"/>
      <c r="X258" s="794"/>
      <c r="Y258" s="794"/>
      <c r="Z258" s="794"/>
      <c r="AA258" s="794"/>
      <c r="AB258" s="794"/>
      <c r="AC258" s="794"/>
      <c r="AD258" s="794"/>
      <c r="AE258" s="794"/>
    </row>
    <row r="259" spans="1:31">
      <c r="A259" s="119"/>
      <c r="B259" s="1087" t="str">
        <f>IF(COUNTIF(Y207:AD236,"NS")&lt;&gt;0,"Alerta: debido a que cuenta con registros NS, debe proporcionar una justificación en el area de comentarios al final de la pregunta","")</f>
        <v/>
      </c>
      <c r="C259" s="1087"/>
      <c r="D259" s="1087"/>
      <c r="E259" s="1087"/>
      <c r="F259" s="1087"/>
      <c r="G259" s="1087"/>
      <c r="H259" s="1087"/>
      <c r="I259" s="1087"/>
      <c r="J259" s="1087"/>
      <c r="K259" s="1087"/>
      <c r="L259" s="1087"/>
      <c r="M259" s="1087"/>
      <c r="N259" s="1087"/>
      <c r="O259" s="1087"/>
      <c r="P259" s="1087"/>
      <c r="Q259" s="1087"/>
      <c r="R259" s="1087"/>
      <c r="S259" s="1087"/>
      <c r="T259" s="1087"/>
      <c r="U259" s="1087"/>
      <c r="V259" s="1087"/>
      <c r="W259" s="1087"/>
      <c r="X259" s="1087"/>
      <c r="Y259" s="1087"/>
      <c r="Z259" s="1087"/>
      <c r="AA259" s="1087"/>
      <c r="AB259" s="1087"/>
      <c r="AC259" s="1087"/>
      <c r="AD259" s="1087"/>
      <c r="AE259" s="1087"/>
    </row>
    <row r="260" spans="1:31">
      <c r="A260" s="119"/>
      <c r="B260" s="1003" t="str">
        <f>IF(AH237&gt;0,"Revise la información capturada, ya que tiene datos ingresados en celdas que están sombreadas","")</f>
        <v/>
      </c>
      <c r="C260" s="1003"/>
      <c r="D260" s="1003"/>
      <c r="E260" s="1003"/>
      <c r="F260" s="1003"/>
      <c r="G260" s="1003"/>
      <c r="H260" s="1003"/>
      <c r="I260" s="1003"/>
      <c r="J260" s="1003"/>
      <c r="K260" s="1003"/>
      <c r="L260" s="1003"/>
      <c r="M260" s="1003"/>
      <c r="N260" s="1003"/>
      <c r="O260" s="1003"/>
      <c r="P260" s="1003"/>
      <c r="Q260" s="1003"/>
      <c r="R260" s="1003"/>
      <c r="S260" s="1003"/>
      <c r="T260" s="1003"/>
      <c r="U260" s="1003"/>
      <c r="V260" s="1003"/>
      <c r="W260" s="1003"/>
      <c r="X260" s="1003"/>
      <c r="Y260" s="1003"/>
      <c r="Z260" s="1003"/>
      <c r="AA260" s="1003"/>
      <c r="AB260" s="1003"/>
      <c r="AC260" s="1003"/>
      <c r="AD260" s="1003"/>
      <c r="AE260" s="1003"/>
    </row>
    <row r="261" spans="1:31">
      <c r="A261" s="119"/>
      <c r="B261" s="1003" t="str">
        <f>IF(AF237=0,"","Debido a que cuenta con registro(s) con el código 1, el total de la fila respectiva debe ser mayor a cero")</f>
        <v/>
      </c>
      <c r="C261" s="1003"/>
      <c r="D261" s="1003"/>
      <c r="E261" s="1003"/>
      <c r="F261" s="1003"/>
      <c r="G261" s="1003"/>
      <c r="H261" s="1003"/>
      <c r="I261" s="1003"/>
      <c r="J261" s="1003"/>
      <c r="K261" s="1003"/>
      <c r="L261" s="1003"/>
      <c r="M261" s="1003"/>
      <c r="N261" s="1003"/>
      <c r="O261" s="1003"/>
      <c r="P261" s="1003"/>
      <c r="Q261" s="1003"/>
      <c r="R261" s="1003"/>
      <c r="S261" s="1003"/>
      <c r="T261" s="1003"/>
      <c r="U261" s="1003"/>
      <c r="V261" s="1003"/>
      <c r="W261" s="1003"/>
      <c r="X261" s="1003"/>
      <c r="Y261" s="1003"/>
      <c r="Z261" s="1003"/>
      <c r="AA261" s="1003"/>
      <c r="AB261" s="1003"/>
      <c r="AC261" s="1003"/>
      <c r="AD261" s="1003"/>
      <c r="AE261" s="1003"/>
    </row>
    <row r="262" spans="1:31">
      <c r="A262" s="119"/>
      <c r="AE262"/>
    </row>
    <row r="263" spans="1:31" ht="15.75" thickBot="1">
      <c r="A263" s="119"/>
      <c r="AE263"/>
    </row>
    <row r="264" spans="1:31" customFormat="1" ht="15" customHeight="1" thickBot="1">
      <c r="A264" s="19" t="s">
        <v>2563</v>
      </c>
      <c r="B264" s="1081" t="s">
        <v>6163</v>
      </c>
      <c r="C264" s="1082"/>
      <c r="D264" s="1082"/>
      <c r="E264" s="1082"/>
      <c r="F264" s="1082"/>
      <c r="G264" s="1082"/>
      <c r="H264" s="1082"/>
      <c r="I264" s="1082"/>
      <c r="J264" s="1082"/>
      <c r="K264" s="1082"/>
      <c r="L264" s="1082"/>
      <c r="M264" s="1082"/>
      <c r="N264" s="1082"/>
      <c r="O264" s="1082"/>
      <c r="P264" s="1082"/>
      <c r="Q264" s="1082"/>
      <c r="R264" s="1082"/>
      <c r="S264" s="1082"/>
      <c r="T264" s="1082"/>
      <c r="U264" s="1082"/>
      <c r="V264" s="1082"/>
      <c r="W264" s="1082"/>
      <c r="X264" s="1082"/>
      <c r="Y264" s="1082"/>
      <c r="Z264" s="1082"/>
      <c r="AA264" s="1082"/>
      <c r="AB264" s="1082"/>
      <c r="AC264" s="1082"/>
      <c r="AD264" s="1083"/>
      <c r="AE264" s="3"/>
    </row>
    <row r="265" spans="1:31">
      <c r="A265" s="119"/>
      <c r="B265" s="866" t="s">
        <v>2565</v>
      </c>
      <c r="C265" s="867"/>
      <c r="D265" s="867"/>
      <c r="E265" s="867"/>
      <c r="F265" s="867"/>
      <c r="G265" s="867"/>
      <c r="H265" s="867"/>
      <c r="I265" s="867"/>
      <c r="J265" s="867"/>
      <c r="K265" s="867"/>
      <c r="L265" s="867"/>
      <c r="M265" s="867"/>
      <c r="N265" s="867"/>
      <c r="O265" s="867"/>
      <c r="P265" s="867"/>
      <c r="Q265" s="867"/>
      <c r="R265" s="867"/>
      <c r="S265" s="867"/>
      <c r="T265" s="867"/>
      <c r="U265" s="867"/>
      <c r="V265" s="867"/>
      <c r="W265" s="867"/>
      <c r="X265" s="867"/>
      <c r="Y265" s="867"/>
      <c r="Z265" s="867"/>
      <c r="AA265" s="867"/>
      <c r="AB265" s="867"/>
      <c r="AC265" s="867"/>
      <c r="AD265" s="868"/>
    </row>
    <row r="266" spans="1:31" ht="36" customHeight="1">
      <c r="A266" s="119"/>
      <c r="B266" s="130"/>
      <c r="C266" s="754" t="s">
        <v>6164</v>
      </c>
      <c r="D266" s="754"/>
      <c r="E266" s="754"/>
      <c r="F266" s="754"/>
      <c r="G266" s="754"/>
      <c r="H266" s="754"/>
      <c r="I266" s="754"/>
      <c r="J266" s="754"/>
      <c r="K266" s="754"/>
      <c r="L266" s="754"/>
      <c r="M266" s="754"/>
      <c r="N266" s="754"/>
      <c r="O266" s="754"/>
      <c r="P266" s="754"/>
      <c r="Q266" s="754"/>
      <c r="R266" s="754"/>
      <c r="S266" s="754"/>
      <c r="T266" s="754"/>
      <c r="U266" s="754"/>
      <c r="V266" s="754"/>
      <c r="W266" s="754"/>
      <c r="X266" s="754"/>
      <c r="Y266" s="754"/>
      <c r="Z266" s="754"/>
      <c r="AA266" s="754"/>
      <c r="AB266" s="754"/>
      <c r="AC266" s="754"/>
      <c r="AD266" s="755"/>
    </row>
    <row r="267" spans="1:31" ht="36" customHeight="1">
      <c r="A267" s="50"/>
      <c r="B267" s="74"/>
      <c r="C267" s="754" t="s">
        <v>6165</v>
      </c>
      <c r="D267" s="754"/>
      <c r="E267" s="754"/>
      <c r="F267" s="754"/>
      <c r="G267" s="754"/>
      <c r="H267" s="754"/>
      <c r="I267" s="754"/>
      <c r="J267" s="754"/>
      <c r="K267" s="754"/>
      <c r="L267" s="754"/>
      <c r="M267" s="754"/>
      <c r="N267" s="754"/>
      <c r="O267" s="754"/>
      <c r="P267" s="754"/>
      <c r="Q267" s="754"/>
      <c r="R267" s="754"/>
      <c r="S267" s="754"/>
      <c r="T267" s="754"/>
      <c r="U267" s="754"/>
      <c r="V267" s="754"/>
      <c r="W267" s="754"/>
      <c r="X267" s="754"/>
      <c r="Y267" s="754"/>
      <c r="Z267" s="754"/>
      <c r="AA267" s="754"/>
      <c r="AB267" s="754"/>
      <c r="AC267" s="754"/>
      <c r="AD267" s="755"/>
    </row>
    <row r="268" spans="1:31" ht="84" customHeight="1">
      <c r="A268" s="50"/>
      <c r="B268" s="95"/>
      <c r="C268" s="764" t="s">
        <v>6166</v>
      </c>
      <c r="D268" s="764"/>
      <c r="E268" s="764"/>
      <c r="F268" s="764"/>
      <c r="G268" s="764"/>
      <c r="H268" s="764"/>
      <c r="I268" s="764"/>
      <c r="J268" s="764"/>
      <c r="K268" s="764"/>
      <c r="L268" s="764"/>
      <c r="M268" s="764"/>
      <c r="N268" s="764"/>
      <c r="O268" s="764"/>
      <c r="P268" s="764"/>
      <c r="Q268" s="764"/>
      <c r="R268" s="764"/>
      <c r="S268" s="764"/>
      <c r="T268" s="764"/>
      <c r="U268" s="764"/>
      <c r="V268" s="764"/>
      <c r="W268" s="764"/>
      <c r="X268" s="764"/>
      <c r="Y268" s="764"/>
      <c r="Z268" s="764"/>
      <c r="AA268" s="764"/>
      <c r="AB268" s="764"/>
      <c r="AC268" s="764"/>
      <c r="AD268" s="765"/>
    </row>
    <row r="269" spans="1:31" ht="15.75" thickBot="1">
      <c r="A269" s="119"/>
    </row>
    <row r="270" spans="1:31" customFormat="1" ht="15" customHeight="1" thickBot="1">
      <c r="A270" s="19" t="s">
        <v>2563</v>
      </c>
      <c r="B270" s="1137" t="s">
        <v>6167</v>
      </c>
      <c r="C270" s="1138"/>
      <c r="D270" s="1138"/>
      <c r="E270" s="1138"/>
      <c r="F270" s="1138"/>
      <c r="G270" s="1138"/>
      <c r="H270" s="1138"/>
      <c r="I270" s="1138"/>
      <c r="J270" s="1138"/>
      <c r="K270" s="1138"/>
      <c r="L270" s="1138"/>
      <c r="M270" s="1138"/>
      <c r="N270" s="1138"/>
      <c r="O270" s="1138"/>
      <c r="P270" s="1138"/>
      <c r="Q270" s="1138"/>
      <c r="R270" s="1138"/>
      <c r="S270" s="1138"/>
      <c r="T270" s="1138"/>
      <c r="U270" s="1138"/>
      <c r="V270" s="1138"/>
      <c r="W270" s="1138"/>
      <c r="X270" s="1138"/>
      <c r="Y270" s="1138"/>
      <c r="Z270" s="1138"/>
      <c r="AA270" s="1138"/>
      <c r="AB270" s="1138"/>
      <c r="AC270" s="1138"/>
      <c r="AD270" s="1139"/>
      <c r="AE270" s="3"/>
    </row>
    <row r="271" spans="1:31">
      <c r="A271" s="119"/>
      <c r="B271" s="946" t="s">
        <v>3675</v>
      </c>
      <c r="C271" s="867"/>
      <c r="D271" s="867"/>
      <c r="E271" s="867"/>
      <c r="F271" s="867"/>
      <c r="G271" s="867"/>
      <c r="H271" s="867"/>
      <c r="I271" s="867"/>
      <c r="J271" s="867"/>
      <c r="K271" s="867"/>
      <c r="L271" s="867"/>
      <c r="M271" s="867"/>
      <c r="N271" s="867"/>
      <c r="O271" s="867"/>
      <c r="P271" s="867"/>
      <c r="Q271" s="867"/>
      <c r="R271" s="867"/>
      <c r="S271" s="867"/>
      <c r="T271" s="867"/>
      <c r="U271" s="867"/>
      <c r="V271" s="867"/>
      <c r="W271" s="867"/>
      <c r="X271" s="867"/>
      <c r="Y271" s="867"/>
      <c r="Z271" s="867"/>
      <c r="AA271" s="867"/>
      <c r="AB271" s="867"/>
      <c r="AC271" s="867"/>
      <c r="AD271" s="947"/>
    </row>
    <row r="272" spans="1:31" ht="24" customHeight="1">
      <c r="A272" s="119"/>
      <c r="B272" s="122"/>
      <c r="C272" s="764" t="s">
        <v>6168</v>
      </c>
      <c r="D272" s="876"/>
      <c r="E272" s="876"/>
      <c r="F272" s="876"/>
      <c r="G272" s="876"/>
      <c r="H272" s="876"/>
      <c r="I272" s="876"/>
      <c r="J272" s="876"/>
      <c r="K272" s="876"/>
      <c r="L272" s="876"/>
      <c r="M272" s="876"/>
      <c r="N272" s="876"/>
      <c r="O272" s="876"/>
      <c r="P272" s="876"/>
      <c r="Q272" s="876"/>
      <c r="R272" s="876"/>
      <c r="S272" s="876"/>
      <c r="T272" s="876"/>
      <c r="U272" s="876"/>
      <c r="V272" s="876"/>
      <c r="W272" s="876"/>
      <c r="X272" s="876"/>
      <c r="Y272" s="876"/>
      <c r="Z272" s="876"/>
      <c r="AA272" s="876"/>
      <c r="AB272" s="876"/>
      <c r="AC272" s="876"/>
      <c r="AD272" s="877"/>
    </row>
    <row r="273" spans="1:44">
      <c r="A273" s="119"/>
    </row>
    <row r="274" spans="1:44" ht="48" customHeight="1">
      <c r="A274" s="49" t="s">
        <v>6169</v>
      </c>
      <c r="B274" s="829" t="s">
        <v>6170</v>
      </c>
      <c r="C274" s="829"/>
      <c r="D274" s="829"/>
      <c r="E274" s="829"/>
      <c r="F274" s="829"/>
      <c r="G274" s="829"/>
      <c r="H274" s="829"/>
      <c r="I274" s="829"/>
      <c r="J274" s="829"/>
      <c r="K274" s="829"/>
      <c r="L274" s="829"/>
      <c r="M274" s="829"/>
      <c r="N274" s="829"/>
      <c r="O274" s="829"/>
      <c r="P274" s="829"/>
      <c r="Q274" s="829"/>
      <c r="R274" s="829"/>
      <c r="S274" s="829"/>
      <c r="T274" s="829"/>
      <c r="U274" s="829"/>
      <c r="V274" s="829"/>
      <c r="W274" s="829"/>
      <c r="X274" s="829"/>
      <c r="Y274" s="829"/>
      <c r="Z274" s="829"/>
      <c r="AA274" s="829"/>
      <c r="AB274" s="829"/>
      <c r="AC274" s="829"/>
      <c r="AD274" s="829"/>
    </row>
    <row r="275" spans="1:44" ht="24" customHeight="1">
      <c r="A275" s="49"/>
      <c r="B275" s="105"/>
      <c r="C275" s="754" t="s">
        <v>6171</v>
      </c>
      <c r="D275" s="754"/>
      <c r="E275" s="754"/>
      <c r="F275" s="754"/>
      <c r="G275" s="754"/>
      <c r="H275" s="754"/>
      <c r="I275" s="754"/>
      <c r="J275" s="754"/>
      <c r="K275" s="754"/>
      <c r="L275" s="754"/>
      <c r="M275" s="754"/>
      <c r="N275" s="754"/>
      <c r="O275" s="754"/>
      <c r="P275" s="754"/>
      <c r="Q275" s="754"/>
      <c r="R275" s="754"/>
      <c r="S275" s="754"/>
      <c r="T275" s="754"/>
      <c r="U275" s="754"/>
      <c r="V275" s="754"/>
      <c r="W275" s="754"/>
      <c r="X275" s="754"/>
      <c r="Y275" s="754"/>
      <c r="Z275" s="754"/>
      <c r="AA275" s="754"/>
      <c r="AB275" s="754"/>
      <c r="AC275" s="754"/>
      <c r="AD275" s="754"/>
    </row>
    <row r="276" spans="1:44" ht="36" customHeight="1">
      <c r="A276" s="50"/>
      <c r="B276" s="38"/>
      <c r="C276" s="754" t="s">
        <v>6172</v>
      </c>
      <c r="D276" s="754"/>
      <c r="E276" s="754"/>
      <c r="F276" s="754"/>
      <c r="G276" s="754"/>
      <c r="H276" s="754"/>
      <c r="I276" s="754"/>
      <c r="J276" s="754"/>
      <c r="K276" s="754"/>
      <c r="L276" s="754"/>
      <c r="M276" s="754"/>
      <c r="N276" s="754"/>
      <c r="O276" s="754"/>
      <c r="P276" s="754"/>
      <c r="Q276" s="754"/>
      <c r="R276" s="754"/>
      <c r="S276" s="754"/>
      <c r="T276" s="754"/>
      <c r="U276" s="754"/>
      <c r="V276" s="754"/>
      <c r="W276" s="754"/>
      <c r="X276" s="754"/>
      <c r="Y276" s="754"/>
      <c r="Z276" s="754"/>
      <c r="AA276" s="754"/>
      <c r="AB276" s="754"/>
      <c r="AC276" s="754"/>
      <c r="AD276" s="754"/>
    </row>
    <row r="277" spans="1:44" ht="36" customHeight="1">
      <c r="A277" s="50"/>
      <c r="B277" s="38"/>
      <c r="C277" s="754" t="s">
        <v>6173</v>
      </c>
      <c r="D277" s="754"/>
      <c r="E277" s="754"/>
      <c r="F277" s="754"/>
      <c r="G277" s="754"/>
      <c r="H277" s="754"/>
      <c r="I277" s="754"/>
      <c r="J277" s="754"/>
      <c r="K277" s="754"/>
      <c r="L277" s="754"/>
      <c r="M277" s="754"/>
      <c r="N277" s="754"/>
      <c r="O277" s="754"/>
      <c r="P277" s="754"/>
      <c r="Q277" s="754"/>
      <c r="R277" s="754"/>
      <c r="S277" s="754"/>
      <c r="T277" s="754"/>
      <c r="U277" s="754"/>
      <c r="V277" s="754"/>
      <c r="W277" s="754"/>
      <c r="X277" s="754"/>
      <c r="Y277" s="754"/>
      <c r="Z277" s="754"/>
      <c r="AA277" s="754"/>
      <c r="AB277" s="754"/>
      <c r="AC277" s="754"/>
      <c r="AD277" s="754"/>
    </row>
    <row r="278" spans="1:44">
      <c r="A278" s="217"/>
      <c r="B278" s="57"/>
      <c r="C278" s="57"/>
      <c r="D278" s="57"/>
      <c r="E278" s="57"/>
      <c r="F278" s="57"/>
      <c r="G278" s="57"/>
      <c r="H278" s="57"/>
      <c r="I278" s="57"/>
      <c r="J278" s="57"/>
      <c r="K278" s="57"/>
      <c r="L278" s="57"/>
      <c r="M278" s="57"/>
      <c r="N278" s="57"/>
      <c r="O278" s="57"/>
      <c r="P278" s="57"/>
      <c r="Q278" s="57"/>
      <c r="R278" s="57"/>
      <c r="S278" s="57"/>
      <c r="T278" s="57"/>
      <c r="U278" s="57"/>
      <c r="V278" s="57"/>
      <c r="W278" s="57"/>
      <c r="X278" s="57"/>
      <c r="Y278" s="57"/>
      <c r="Z278" s="57"/>
      <c r="AA278" s="57"/>
      <c r="AB278" s="57"/>
      <c r="AC278" s="57"/>
      <c r="AD278" s="57"/>
    </row>
    <row r="279" spans="1:44" ht="108" customHeight="1">
      <c r="A279" s="50"/>
      <c r="B279" s="38"/>
      <c r="C279" s="732" t="s">
        <v>2581</v>
      </c>
      <c r="D279" s="732"/>
      <c r="E279" s="732"/>
      <c r="F279" s="732"/>
      <c r="G279" s="732"/>
      <c r="H279" s="732"/>
      <c r="I279" s="732"/>
      <c r="J279" s="732"/>
      <c r="K279" s="732"/>
      <c r="L279" s="732"/>
      <c r="M279" s="732"/>
      <c r="N279" s="732" t="s">
        <v>6174</v>
      </c>
      <c r="O279" s="732"/>
      <c r="P279" s="732"/>
      <c r="Q279" s="732"/>
      <c r="R279" s="732"/>
      <c r="S279" s="732"/>
      <c r="T279" s="739" t="s">
        <v>6175</v>
      </c>
      <c r="U279" s="740"/>
      <c r="V279" s="740"/>
      <c r="W279" s="740"/>
      <c r="X279" s="740"/>
      <c r="Y279" s="740"/>
      <c r="Z279" s="740"/>
      <c r="AA279" s="741"/>
      <c r="AB279" s="874" t="s">
        <v>6176</v>
      </c>
      <c r="AC279" s="874"/>
      <c r="AD279" s="874"/>
    </row>
    <row r="280" spans="1:44" ht="48" customHeight="1">
      <c r="A280" s="50"/>
      <c r="B280" s="38"/>
      <c r="C280" s="732"/>
      <c r="D280" s="732"/>
      <c r="E280" s="732"/>
      <c r="F280" s="732"/>
      <c r="G280" s="732"/>
      <c r="H280" s="732"/>
      <c r="I280" s="732"/>
      <c r="J280" s="732"/>
      <c r="K280" s="732"/>
      <c r="L280" s="732"/>
      <c r="M280" s="732"/>
      <c r="N280" s="732"/>
      <c r="O280" s="732"/>
      <c r="P280" s="732"/>
      <c r="Q280" s="732"/>
      <c r="R280" s="732"/>
      <c r="S280" s="732"/>
      <c r="T280" s="127" t="s">
        <v>2628</v>
      </c>
      <c r="U280" s="44" t="s">
        <v>2516</v>
      </c>
      <c r="V280" s="44" t="s">
        <v>2517</v>
      </c>
      <c r="W280" s="44" t="s">
        <v>2518</v>
      </c>
      <c r="X280" s="44" t="s">
        <v>2519</v>
      </c>
      <c r="Y280" s="44" t="s">
        <v>2520</v>
      </c>
      <c r="Z280" s="44" t="s">
        <v>2521</v>
      </c>
      <c r="AA280" s="44" t="s">
        <v>2522</v>
      </c>
      <c r="AB280" s="127" t="s">
        <v>2628</v>
      </c>
      <c r="AC280" s="128" t="s">
        <v>2629</v>
      </c>
      <c r="AD280" s="128" t="s">
        <v>2630</v>
      </c>
      <c r="AG280" t="s">
        <v>2586</v>
      </c>
      <c r="AH280" t="s">
        <v>4581</v>
      </c>
      <c r="AI280"/>
      <c r="AJ280"/>
      <c r="AK280" t="s">
        <v>2637</v>
      </c>
      <c r="AL280" t="s">
        <v>2638</v>
      </c>
      <c r="AM280" t="s">
        <v>2639</v>
      </c>
      <c r="AN280" t="s">
        <v>4573</v>
      </c>
      <c r="AO280" t="s">
        <v>2638</v>
      </c>
      <c r="AP280" t="s">
        <v>2639</v>
      </c>
      <c r="AQ280" t="s">
        <v>4713</v>
      </c>
      <c r="AR280" t="s">
        <v>5291</v>
      </c>
    </row>
    <row r="281" spans="1:44">
      <c r="A281" s="50"/>
      <c r="B281" s="38"/>
      <c r="C281" s="92" t="s">
        <v>2516</v>
      </c>
      <c r="D281" s="813" t="str">
        <f>IF(CNSIPEE_2024_M2_Secc1!D42="","",CNSIPEE_2024_M2_Secc1!D42)</f>
        <v/>
      </c>
      <c r="E281" s="814"/>
      <c r="F281" s="814"/>
      <c r="G281" s="814"/>
      <c r="H281" s="814"/>
      <c r="I281" s="814"/>
      <c r="J281" s="814"/>
      <c r="K281" s="814"/>
      <c r="L281" s="814"/>
      <c r="M281" s="815"/>
      <c r="N281" s="816"/>
      <c r="O281" s="738"/>
      <c r="P281" s="738"/>
      <c r="Q281" s="738"/>
      <c r="R281" s="738"/>
      <c r="S281" s="817"/>
      <c r="T281" s="100"/>
      <c r="U281" s="100"/>
      <c r="V281" s="100"/>
      <c r="W281" s="100"/>
      <c r="X281" s="100"/>
      <c r="Y281" s="100"/>
      <c r="Z281" s="100"/>
      <c r="AA281" s="100"/>
      <c r="AB281" s="100"/>
      <c r="AC281" s="100"/>
      <c r="AD281" s="100"/>
      <c r="AG281">
        <f>IF(AND(N281&gt;1,D281&lt;&gt;""),0,IF(OR(COUNTBLANK(D281:AD281)=14,COUNTBLANK(D281:AD281)=27),0,1))</f>
        <v>0</v>
      </c>
      <c r="AH281">
        <f t="shared" ref="AH281:AH288" si="12">IF(N281&gt;1,IF(COUNTBLANK(T281:AD281)=11,0,1),0)</f>
        <v>0</v>
      </c>
      <c r="AI281"/>
      <c r="AJ281"/>
      <c r="AK281">
        <f t="shared" ref="AK281:AK288" si="13">COUNTIF(U281:AA281,"NS")</f>
        <v>0</v>
      </c>
      <c r="AL281">
        <f t="shared" ref="AL281:AL288" si="14">SUM(U281:AA281)</f>
        <v>0</v>
      </c>
      <c r="AM281">
        <f>IF(COUNTIF(T281:AA281,"NA")=8,0,IF(COUNTA(T281:AA281)=0,0,IF(OR(AND(T281=0,AK281&gt;0),AND(T281="ns",AL281&gt;0),AND(T281="ns",AK281=0,AL281=0)),1,IF(OR(AND(AK281&gt;=2,T281&gt;AL281),AND(T281="ns",AL281=0,AK281&gt;0),T281=AL281),0,1))))</f>
        <v>0</v>
      </c>
      <c r="AN281">
        <f t="shared" ref="AN281:AN288" si="15">COUNTIF(AC281:AD281,"NS")</f>
        <v>0</v>
      </c>
      <c r="AO281">
        <f t="shared" ref="AO281:AO288" si="16">SUM(AC281:AD281)</f>
        <v>0</v>
      </c>
      <c r="AP281">
        <f>IF(COUNTIF(AB281:AD281,"NA")=3,0,IF(COUNTA(AB281:AD281)=0,0,IF(OR(AND(AB281=0,AN281&gt;0),AND(AB281="ns",AO281&gt;0),AND(AB281="ns",AN281=0,AO281=0)),1,IF(OR(AND(AB281&gt;0,AN281=2),AND(AB281="ns",AN281=2),AND(AB281="ns",AO281=0,AN281&gt;0),AB281=AO281),0,1))))</f>
        <v>0</v>
      </c>
      <c r="AQ281">
        <f t="shared" ref="AQ281:AQ288" si="17">IF(AND(N281=1,T281=0),1,0)</f>
        <v>0</v>
      </c>
      <c r="AR281" cm="1">
        <f t="array" ref="AR281">IF(OR(AB281={"NS","NA"},T281={"NS","NA"}),0,IF(AB281&gt;=T281,0,1))</f>
        <v>0</v>
      </c>
    </row>
    <row r="282" spans="1:44">
      <c r="A282" s="50"/>
      <c r="B282" s="38"/>
      <c r="C282" s="44" t="s">
        <v>2517</v>
      </c>
      <c r="D282" s="813" t="str">
        <f>IF(CNSIPEE_2024_M2_Secc1!D43="","",CNSIPEE_2024_M2_Secc1!D43)</f>
        <v/>
      </c>
      <c r="E282" s="814"/>
      <c r="F282" s="814"/>
      <c r="G282" s="814"/>
      <c r="H282" s="814"/>
      <c r="I282" s="814"/>
      <c r="J282" s="814"/>
      <c r="K282" s="814"/>
      <c r="L282" s="814"/>
      <c r="M282" s="815"/>
      <c r="N282" s="816"/>
      <c r="O282" s="738"/>
      <c r="P282" s="738"/>
      <c r="Q282" s="738"/>
      <c r="R282" s="738"/>
      <c r="S282" s="817"/>
      <c r="T282" s="100"/>
      <c r="U282" s="100"/>
      <c r="V282" s="100"/>
      <c r="W282" s="100"/>
      <c r="X282" s="100"/>
      <c r="Y282" s="100"/>
      <c r="Z282" s="100"/>
      <c r="AA282" s="100"/>
      <c r="AB282" s="100"/>
      <c r="AC282" s="100"/>
      <c r="AD282" s="100"/>
      <c r="AG282">
        <f t="shared" ref="AG282:AG288" si="18">IF(AND(N282&gt;1,D282&lt;&gt;""),0,IF(OR(COUNTBLANK(D282:AD282)=14,COUNTBLANK(D282:AD282)=27),0,1))</f>
        <v>0</v>
      </c>
      <c r="AH282">
        <f t="shared" si="12"/>
        <v>0</v>
      </c>
      <c r="AI282"/>
      <c r="AJ282"/>
      <c r="AK282">
        <f t="shared" si="13"/>
        <v>0</v>
      </c>
      <c r="AL282">
        <f t="shared" si="14"/>
        <v>0</v>
      </c>
      <c r="AM282">
        <f t="shared" ref="AM282:AM288" si="19">IF(COUNTIF(T282:AA282,"NA")=8,0,IF(COUNTA(T282:AA282)=0,0,IF(OR(AND(T282=0,AK282&gt;0),AND(T282="ns",AL282&gt;0),AND(T282="ns",AK282=0,AL282=0)),1,IF(OR(AND(AK282&gt;=2,T282&gt;AL282),AND(T282="ns",AL282=0,AK282&gt;0),T282=AL282),0,1))))</f>
        <v>0</v>
      </c>
      <c r="AN282">
        <f t="shared" si="15"/>
        <v>0</v>
      </c>
      <c r="AO282">
        <f t="shared" si="16"/>
        <v>0</v>
      </c>
      <c r="AP282">
        <f t="shared" ref="AP282:AP288" si="20">IF(COUNTIF(AB282:AD282,"NA")=3,0,IF(COUNTA(AB282:AD282)=0,0,IF(OR(AND(AB282=0,AN282&gt;0),AND(AB282="ns",AO282&gt;0),AND(AB282="ns",AN282=0,AO282=0)),1,IF(OR(AND(AB282&gt;0,AN282=2),AND(AB282="ns",AN282=2),AND(AB282="ns",AO282=0,AN282&gt;0),AB282=AO282),0,1))))</f>
        <v>0</v>
      </c>
      <c r="AQ282">
        <f t="shared" si="17"/>
        <v>0</v>
      </c>
      <c r="AR282" cm="1">
        <f t="array" ref="AR282">IF(OR(AB282={"NS","NA"},T282={"NS","NA"}),0,IF(AB282&gt;=T282,0,1))</f>
        <v>0</v>
      </c>
    </row>
    <row r="283" spans="1:44">
      <c r="A283" s="50"/>
      <c r="B283" s="38"/>
      <c r="C283" s="44" t="s">
        <v>2518</v>
      </c>
      <c r="D283" s="813" t="str">
        <f>IF(CNSIPEE_2024_M2_Secc1!D44="","",CNSIPEE_2024_M2_Secc1!D44)</f>
        <v/>
      </c>
      <c r="E283" s="814"/>
      <c r="F283" s="814"/>
      <c r="G283" s="814"/>
      <c r="H283" s="814"/>
      <c r="I283" s="814"/>
      <c r="J283" s="814"/>
      <c r="K283" s="814"/>
      <c r="L283" s="814"/>
      <c r="M283" s="815"/>
      <c r="N283" s="816"/>
      <c r="O283" s="738"/>
      <c r="P283" s="738"/>
      <c r="Q283" s="738"/>
      <c r="R283" s="738"/>
      <c r="S283" s="817"/>
      <c r="T283" s="100"/>
      <c r="U283" s="100"/>
      <c r="V283" s="100"/>
      <c r="W283" s="100"/>
      <c r="X283" s="100"/>
      <c r="Y283" s="100"/>
      <c r="Z283" s="100"/>
      <c r="AA283" s="100"/>
      <c r="AB283" s="100"/>
      <c r="AC283" s="100"/>
      <c r="AD283" s="100"/>
      <c r="AG283">
        <f t="shared" si="18"/>
        <v>0</v>
      </c>
      <c r="AH283">
        <f t="shared" si="12"/>
        <v>0</v>
      </c>
      <c r="AI283"/>
      <c r="AJ283"/>
      <c r="AK283">
        <f t="shared" si="13"/>
        <v>0</v>
      </c>
      <c r="AL283">
        <f t="shared" si="14"/>
        <v>0</v>
      </c>
      <c r="AM283">
        <f t="shared" si="19"/>
        <v>0</v>
      </c>
      <c r="AN283">
        <f t="shared" si="15"/>
        <v>0</v>
      </c>
      <c r="AO283">
        <f t="shared" si="16"/>
        <v>0</v>
      </c>
      <c r="AP283">
        <f t="shared" si="20"/>
        <v>0</v>
      </c>
      <c r="AQ283">
        <f t="shared" si="17"/>
        <v>0</v>
      </c>
      <c r="AR283" cm="1">
        <f t="array" ref="AR283">IF(OR(AB283={"NS","NA"},T283={"NS","NA"}),0,IF(AB283&gt;=T283,0,1))</f>
        <v>0</v>
      </c>
    </row>
    <row r="284" spans="1:44">
      <c r="A284" s="50"/>
      <c r="B284" s="38"/>
      <c r="C284" s="44" t="s">
        <v>2519</v>
      </c>
      <c r="D284" s="813" t="str">
        <f>IF(CNSIPEE_2024_M2_Secc1!D45="","",CNSIPEE_2024_M2_Secc1!D45)</f>
        <v/>
      </c>
      <c r="E284" s="814"/>
      <c r="F284" s="814"/>
      <c r="G284" s="814"/>
      <c r="H284" s="814"/>
      <c r="I284" s="814"/>
      <c r="J284" s="814"/>
      <c r="K284" s="814"/>
      <c r="L284" s="814"/>
      <c r="M284" s="815"/>
      <c r="N284" s="816"/>
      <c r="O284" s="738"/>
      <c r="P284" s="738"/>
      <c r="Q284" s="738"/>
      <c r="R284" s="738"/>
      <c r="S284" s="817"/>
      <c r="T284" s="100"/>
      <c r="U284" s="100"/>
      <c r="V284" s="100"/>
      <c r="W284" s="100"/>
      <c r="X284" s="100"/>
      <c r="Y284" s="100"/>
      <c r="Z284" s="100"/>
      <c r="AA284" s="100"/>
      <c r="AB284" s="100"/>
      <c r="AC284" s="100"/>
      <c r="AD284" s="100"/>
      <c r="AG284">
        <f t="shared" si="18"/>
        <v>0</v>
      </c>
      <c r="AH284">
        <f t="shared" si="12"/>
        <v>0</v>
      </c>
      <c r="AI284"/>
      <c r="AJ284"/>
      <c r="AK284">
        <f t="shared" si="13"/>
        <v>0</v>
      </c>
      <c r="AL284">
        <f t="shared" si="14"/>
        <v>0</v>
      </c>
      <c r="AM284">
        <f t="shared" si="19"/>
        <v>0</v>
      </c>
      <c r="AN284">
        <f t="shared" si="15"/>
        <v>0</v>
      </c>
      <c r="AO284">
        <f t="shared" si="16"/>
        <v>0</v>
      </c>
      <c r="AP284">
        <f t="shared" si="20"/>
        <v>0</v>
      </c>
      <c r="AQ284">
        <f t="shared" si="17"/>
        <v>0</v>
      </c>
      <c r="AR284" cm="1">
        <f t="array" ref="AR284">IF(OR(AB284={"NS","NA"},T284={"NS","NA"}),0,IF(AB284&gt;=T284,0,1))</f>
        <v>0</v>
      </c>
    </row>
    <row r="285" spans="1:44">
      <c r="A285" s="50"/>
      <c r="B285" s="38"/>
      <c r="C285" s="44" t="s">
        <v>2520</v>
      </c>
      <c r="D285" s="813" t="str">
        <f>IF(CNSIPEE_2024_M2_Secc1!D46="","",CNSIPEE_2024_M2_Secc1!D46)</f>
        <v/>
      </c>
      <c r="E285" s="814"/>
      <c r="F285" s="814"/>
      <c r="G285" s="814"/>
      <c r="H285" s="814"/>
      <c r="I285" s="814"/>
      <c r="J285" s="814"/>
      <c r="K285" s="814"/>
      <c r="L285" s="814"/>
      <c r="M285" s="815"/>
      <c r="N285" s="816"/>
      <c r="O285" s="738"/>
      <c r="P285" s="738"/>
      <c r="Q285" s="738"/>
      <c r="R285" s="738"/>
      <c r="S285" s="817"/>
      <c r="T285" s="100"/>
      <c r="U285" s="100"/>
      <c r="V285" s="100"/>
      <c r="W285" s="100"/>
      <c r="X285" s="100"/>
      <c r="Y285" s="100"/>
      <c r="Z285" s="100"/>
      <c r="AA285" s="100"/>
      <c r="AB285" s="100"/>
      <c r="AC285" s="100"/>
      <c r="AD285" s="100"/>
      <c r="AG285">
        <f t="shared" si="18"/>
        <v>0</v>
      </c>
      <c r="AH285">
        <f t="shared" si="12"/>
        <v>0</v>
      </c>
      <c r="AI285"/>
      <c r="AJ285"/>
      <c r="AK285">
        <f t="shared" si="13"/>
        <v>0</v>
      </c>
      <c r="AL285">
        <f t="shared" si="14"/>
        <v>0</v>
      </c>
      <c r="AM285">
        <f t="shared" si="19"/>
        <v>0</v>
      </c>
      <c r="AN285">
        <f t="shared" si="15"/>
        <v>0</v>
      </c>
      <c r="AO285">
        <f t="shared" si="16"/>
        <v>0</v>
      </c>
      <c r="AP285">
        <f t="shared" si="20"/>
        <v>0</v>
      </c>
      <c r="AQ285">
        <f t="shared" si="17"/>
        <v>0</v>
      </c>
      <c r="AR285" cm="1">
        <f t="array" ref="AR285">IF(OR(AB285={"NS","NA"},T285={"NS","NA"}),0,IF(AB285&gt;=T285,0,1))</f>
        <v>0</v>
      </c>
    </row>
    <row r="286" spans="1:44">
      <c r="A286" s="50"/>
      <c r="B286" s="38"/>
      <c r="C286" s="44" t="s">
        <v>2521</v>
      </c>
      <c r="D286" s="813" t="str">
        <f>IF(CNSIPEE_2024_M2_Secc1!D47="","",CNSIPEE_2024_M2_Secc1!D47)</f>
        <v/>
      </c>
      <c r="E286" s="814"/>
      <c r="F286" s="814"/>
      <c r="G286" s="814"/>
      <c r="H286" s="814"/>
      <c r="I286" s="814"/>
      <c r="J286" s="814"/>
      <c r="K286" s="814"/>
      <c r="L286" s="814"/>
      <c r="M286" s="815"/>
      <c r="N286" s="816"/>
      <c r="O286" s="738"/>
      <c r="P286" s="738"/>
      <c r="Q286" s="738"/>
      <c r="R286" s="738"/>
      <c r="S286" s="817"/>
      <c r="T286" s="100"/>
      <c r="U286" s="100"/>
      <c r="V286" s="100"/>
      <c r="W286" s="100"/>
      <c r="X286" s="100"/>
      <c r="Y286" s="100"/>
      <c r="Z286" s="100"/>
      <c r="AA286" s="100"/>
      <c r="AB286" s="100"/>
      <c r="AC286" s="100"/>
      <c r="AD286" s="100"/>
      <c r="AG286">
        <f t="shared" si="18"/>
        <v>0</v>
      </c>
      <c r="AH286">
        <f t="shared" si="12"/>
        <v>0</v>
      </c>
      <c r="AI286"/>
      <c r="AJ286"/>
      <c r="AK286">
        <f t="shared" si="13"/>
        <v>0</v>
      </c>
      <c r="AL286">
        <f t="shared" si="14"/>
        <v>0</v>
      </c>
      <c r="AM286">
        <f t="shared" si="19"/>
        <v>0</v>
      </c>
      <c r="AN286">
        <f t="shared" si="15"/>
        <v>0</v>
      </c>
      <c r="AO286">
        <f t="shared" si="16"/>
        <v>0</v>
      </c>
      <c r="AP286">
        <f t="shared" si="20"/>
        <v>0</v>
      </c>
      <c r="AQ286">
        <f t="shared" si="17"/>
        <v>0</v>
      </c>
      <c r="AR286" cm="1">
        <f t="array" ref="AR286">IF(OR(AB286={"NS","NA"},T286={"NS","NA"}),0,IF(AB286&gt;=T286,0,1))</f>
        <v>0</v>
      </c>
    </row>
    <row r="287" spans="1:44">
      <c r="A287" s="50"/>
      <c r="B287" s="38"/>
      <c r="C287" s="44" t="s">
        <v>2522</v>
      </c>
      <c r="D287" s="813" t="str">
        <f>IF(CNSIPEE_2024_M2_Secc1!D48="","",CNSIPEE_2024_M2_Secc1!D48)</f>
        <v/>
      </c>
      <c r="E287" s="814"/>
      <c r="F287" s="814"/>
      <c r="G287" s="814"/>
      <c r="H287" s="814"/>
      <c r="I287" s="814"/>
      <c r="J287" s="814"/>
      <c r="K287" s="814"/>
      <c r="L287" s="814"/>
      <c r="M287" s="815"/>
      <c r="N287" s="816"/>
      <c r="O287" s="738"/>
      <c r="P287" s="738"/>
      <c r="Q287" s="738"/>
      <c r="R287" s="738"/>
      <c r="S287" s="817"/>
      <c r="T287" s="100"/>
      <c r="U287" s="100"/>
      <c r="V287" s="100"/>
      <c r="W287" s="100"/>
      <c r="X287" s="100"/>
      <c r="Y287" s="100"/>
      <c r="Z287" s="100"/>
      <c r="AA287" s="100"/>
      <c r="AB287" s="100"/>
      <c r="AC287" s="100"/>
      <c r="AD287" s="100"/>
      <c r="AG287">
        <f t="shared" si="18"/>
        <v>0</v>
      </c>
      <c r="AH287">
        <f t="shared" si="12"/>
        <v>0</v>
      </c>
      <c r="AI287"/>
      <c r="AJ287"/>
      <c r="AK287">
        <f t="shared" si="13"/>
        <v>0</v>
      </c>
      <c r="AL287">
        <f t="shared" si="14"/>
        <v>0</v>
      </c>
      <c r="AM287">
        <f t="shared" si="19"/>
        <v>0</v>
      </c>
      <c r="AN287">
        <f t="shared" si="15"/>
        <v>0</v>
      </c>
      <c r="AO287">
        <f t="shared" si="16"/>
        <v>0</v>
      </c>
      <c r="AP287">
        <f t="shared" si="20"/>
        <v>0</v>
      </c>
      <c r="AQ287">
        <f t="shared" si="17"/>
        <v>0</v>
      </c>
      <c r="AR287" cm="1">
        <f t="array" ref="AR287">IF(OR(AB287={"NS","NA"},T287={"NS","NA"}),0,IF(AB287&gt;=T287,0,1))</f>
        <v>0</v>
      </c>
    </row>
    <row r="288" spans="1:44">
      <c r="A288" s="217"/>
      <c r="B288" s="57"/>
      <c r="C288" s="44" t="s">
        <v>2523</v>
      </c>
      <c r="D288" s="813" t="str">
        <f>IF(CNSIPEE_2024_M2_Secc1!D49="","",CNSIPEE_2024_M2_Secc1!D49)</f>
        <v/>
      </c>
      <c r="E288" s="814"/>
      <c r="F288" s="814"/>
      <c r="G288" s="814"/>
      <c r="H288" s="814"/>
      <c r="I288" s="814"/>
      <c r="J288" s="814"/>
      <c r="K288" s="814"/>
      <c r="L288" s="814"/>
      <c r="M288" s="815"/>
      <c r="N288" s="816"/>
      <c r="O288" s="738"/>
      <c r="P288" s="738"/>
      <c r="Q288" s="738"/>
      <c r="R288" s="738"/>
      <c r="S288" s="817"/>
      <c r="T288" s="100"/>
      <c r="U288" s="100"/>
      <c r="V288" s="100"/>
      <c r="W288" s="100"/>
      <c r="X288" s="100"/>
      <c r="Y288" s="100"/>
      <c r="Z288" s="100"/>
      <c r="AA288" s="100"/>
      <c r="AB288" s="100"/>
      <c r="AC288" s="100"/>
      <c r="AD288" s="100"/>
      <c r="AG288">
        <f t="shared" si="18"/>
        <v>0</v>
      </c>
      <c r="AH288">
        <f t="shared" si="12"/>
        <v>0</v>
      </c>
      <c r="AI288"/>
      <c r="AJ288"/>
      <c r="AK288">
        <f t="shared" si="13"/>
        <v>0</v>
      </c>
      <c r="AL288">
        <f t="shared" si="14"/>
        <v>0</v>
      </c>
      <c r="AM288">
        <f t="shared" si="19"/>
        <v>0</v>
      </c>
      <c r="AN288">
        <f t="shared" si="15"/>
        <v>0</v>
      </c>
      <c r="AO288">
        <f t="shared" si="16"/>
        <v>0</v>
      </c>
      <c r="AP288">
        <f t="shared" si="20"/>
        <v>0</v>
      </c>
      <c r="AQ288">
        <f t="shared" si="17"/>
        <v>0</v>
      </c>
      <c r="AR288" cm="1">
        <f t="array" ref="AR288">IF(OR(AB288={"NS","NA"},T288={"NS","NA"}),0,IF(AB288&gt;=T288,0,1))</f>
        <v>0</v>
      </c>
    </row>
    <row r="289" spans="1:44">
      <c r="A289" s="50"/>
      <c r="B289" s="38"/>
      <c r="C289" s="84"/>
      <c r="D289" s="36"/>
      <c r="E289" s="36"/>
      <c r="F289" s="36"/>
      <c r="G289" s="36"/>
      <c r="H289" s="36"/>
      <c r="I289" s="36"/>
      <c r="J289" s="36"/>
      <c r="K289" s="36"/>
      <c r="L289" s="36"/>
      <c r="M289" s="84"/>
      <c r="N289" s="84"/>
      <c r="O289" s="84"/>
      <c r="P289" s="84"/>
      <c r="Q289" s="84"/>
      <c r="S289" s="99" t="s">
        <v>2649</v>
      </c>
      <c r="T289" s="124">
        <f t="shared" ref="T289:AD289" si="21">IF(AND(SUM(T281:T288)=0,COUNTIF(T281:T288,"NS")&gt;0),"NS",IF(AND(SUM(T281:T288)=0,COUNTIF(T281:T288,0)&gt;0),0,IF(AND(SUM(T281:T288)=0,COUNTIF(T281:T288,"NA")&gt;0),"NA",SUM(T281:T288))))</f>
        <v>0</v>
      </c>
      <c r="U289" s="124">
        <f t="shared" si="21"/>
        <v>0</v>
      </c>
      <c r="V289" s="124">
        <f t="shared" si="21"/>
        <v>0</v>
      </c>
      <c r="W289" s="124">
        <f t="shared" si="21"/>
        <v>0</v>
      </c>
      <c r="X289" s="124">
        <f t="shared" si="21"/>
        <v>0</v>
      </c>
      <c r="Y289" s="124">
        <f t="shared" si="21"/>
        <v>0</v>
      </c>
      <c r="Z289" s="124">
        <f t="shared" si="21"/>
        <v>0</v>
      </c>
      <c r="AA289" s="124">
        <f t="shared" si="21"/>
        <v>0</v>
      </c>
      <c r="AB289" s="124">
        <f t="shared" si="21"/>
        <v>0</v>
      </c>
      <c r="AC289" s="124">
        <f t="shared" si="21"/>
        <v>0</v>
      </c>
      <c r="AD289" s="124">
        <f t="shared" si="21"/>
        <v>0</v>
      </c>
      <c r="AG289" s="507">
        <f>SUM(AG281:AG288)</f>
        <v>0</v>
      </c>
      <c r="AH289" s="507">
        <f>SUM(AH281:AH288)</f>
        <v>0</v>
      </c>
      <c r="AJ289"/>
      <c r="AK289">
        <f>SUM(AK281:AK288)</f>
        <v>0</v>
      </c>
      <c r="AM289" s="405">
        <f>SUM(AM281:AM288)</f>
        <v>0</v>
      </c>
      <c r="AP289" s="405">
        <f>SUM(AP281:AP288)</f>
        <v>0</v>
      </c>
      <c r="AQ289" s="507">
        <f>SUM(AQ281:AQ288)</f>
        <v>0</v>
      </c>
      <c r="AR289" s="507">
        <f>SUM(AR281:AR288)</f>
        <v>0</v>
      </c>
    </row>
    <row r="290" spans="1:44">
      <c r="A290" s="215"/>
      <c r="B290" s="90"/>
      <c r="C290" s="90"/>
      <c r="D290" s="90"/>
      <c r="E290" s="90"/>
      <c r="F290" s="90"/>
      <c r="G290" s="90"/>
      <c r="H290" s="90"/>
      <c r="I290" s="90"/>
      <c r="J290" s="90"/>
      <c r="K290" s="90"/>
      <c r="L290" s="90"/>
      <c r="M290" s="90"/>
      <c r="N290" s="90"/>
      <c r="O290" s="90"/>
      <c r="P290" s="90"/>
      <c r="Q290" s="90"/>
      <c r="R290" s="90"/>
      <c r="S290" s="90"/>
      <c r="T290" s="90"/>
      <c r="U290" s="90"/>
      <c r="V290" s="90"/>
      <c r="W290" s="90"/>
      <c r="X290" s="90"/>
      <c r="Y290" s="90"/>
      <c r="Z290" s="90"/>
      <c r="AA290" s="90"/>
      <c r="AB290" s="90"/>
      <c r="AC290" s="90"/>
      <c r="AD290" s="90"/>
      <c r="AK290" t="s">
        <v>2650</v>
      </c>
      <c r="AL290" s="506">
        <f>SUM(AM289,AP289)</f>
        <v>0</v>
      </c>
    </row>
    <row r="291" spans="1:44" ht="45" customHeight="1">
      <c r="A291" s="215"/>
      <c r="B291" s="90"/>
      <c r="C291" s="822" t="s">
        <v>2798</v>
      </c>
      <c r="D291" s="822"/>
      <c r="E291" s="822"/>
      <c r="F291" s="749"/>
      <c r="G291" s="749"/>
      <c r="H291" s="749"/>
      <c r="I291" s="749"/>
      <c r="J291" s="749"/>
      <c r="K291" s="749"/>
      <c r="L291" s="749"/>
      <c r="M291" s="749"/>
      <c r="N291" s="749"/>
      <c r="O291" s="749"/>
      <c r="P291" s="749"/>
      <c r="Q291" s="749"/>
      <c r="R291" s="749"/>
      <c r="S291" s="749"/>
      <c r="T291" s="749"/>
      <c r="U291" s="749"/>
      <c r="V291" s="749"/>
      <c r="W291" s="749"/>
      <c r="X291" s="749"/>
      <c r="Y291" s="749"/>
      <c r="Z291" s="749"/>
      <c r="AA291" s="749"/>
      <c r="AB291" s="749"/>
      <c r="AC291" s="749"/>
      <c r="AD291" s="749"/>
    </row>
    <row r="292" spans="1:44">
      <c r="A292" s="215"/>
      <c r="B292" s="794" t="str">
        <f>IF(AND(AA289&gt;0,AA289&lt;&gt;"NA",AA289&lt;&gt;"NS",F291=""),"Debido a que cuenta con un valor mayor a cero en la columna 7, debe anotar el nombre de dicho(s) tipo(s) de incidente(s)","")</f>
        <v/>
      </c>
      <c r="C292" s="794"/>
      <c r="D292" s="794"/>
      <c r="E292" s="794"/>
      <c r="F292" s="794"/>
      <c r="G292" s="794"/>
      <c r="H292" s="794"/>
      <c r="I292" s="794"/>
      <c r="J292" s="794"/>
      <c r="K292" s="794"/>
      <c r="L292" s="794"/>
      <c r="M292" s="794"/>
      <c r="N292" s="794"/>
      <c r="O292" s="794"/>
      <c r="P292" s="794"/>
      <c r="Q292" s="794"/>
      <c r="R292" s="794"/>
      <c r="S292" s="794"/>
      <c r="T292" s="794"/>
      <c r="U292" s="794"/>
      <c r="V292" s="794"/>
      <c r="W292" s="794"/>
      <c r="X292" s="794"/>
      <c r="Y292" s="794"/>
      <c r="Z292" s="794"/>
      <c r="AA292" s="794"/>
      <c r="AB292" s="794"/>
      <c r="AC292" s="794"/>
      <c r="AD292" s="794"/>
      <c r="AE292" s="794"/>
    </row>
    <row r="293" spans="1:44">
      <c r="A293" s="215"/>
      <c r="B293" s="90"/>
      <c r="C293" s="732" t="s">
        <v>6177</v>
      </c>
      <c r="D293" s="732"/>
      <c r="E293" s="732"/>
      <c r="F293" s="732"/>
      <c r="G293" s="732"/>
      <c r="H293" s="732"/>
      <c r="I293" s="732"/>
      <c r="J293" s="732"/>
      <c r="K293" s="732"/>
      <c r="L293" s="732"/>
      <c r="M293" s="732"/>
      <c r="N293" s="732"/>
      <c r="O293" s="732"/>
      <c r="P293" s="732"/>
      <c r="Q293" s="732"/>
      <c r="R293" s="732"/>
      <c r="S293" s="732"/>
      <c r="T293" s="732"/>
      <c r="U293" s="732"/>
      <c r="V293" s="732"/>
      <c r="W293" s="732"/>
      <c r="X293" s="732"/>
      <c r="Y293" s="732"/>
      <c r="Z293" s="732"/>
      <c r="AA293" s="732"/>
      <c r="AB293" s="732"/>
      <c r="AC293" s="732"/>
      <c r="AD293" s="732"/>
    </row>
    <row r="294" spans="1:44" ht="24" customHeight="1">
      <c r="A294" s="215"/>
      <c r="B294" s="90"/>
      <c r="C294" s="92" t="s">
        <v>2516</v>
      </c>
      <c r="D294" s="813" t="s">
        <v>6178</v>
      </c>
      <c r="E294" s="814"/>
      <c r="F294" s="814"/>
      <c r="G294" s="814"/>
      <c r="H294" s="814"/>
      <c r="I294" s="814"/>
      <c r="J294" s="814"/>
      <c r="K294" s="814"/>
      <c r="L294" s="814"/>
      <c r="M294" s="814"/>
      <c r="N294" s="814"/>
      <c r="O294" s="814"/>
      <c r="P294" s="815"/>
      <c r="Q294" s="44" t="s">
        <v>2520</v>
      </c>
      <c r="R294" s="813" t="s">
        <v>6179</v>
      </c>
      <c r="S294" s="814"/>
      <c r="T294" s="814"/>
      <c r="U294" s="814"/>
      <c r="V294" s="814"/>
      <c r="W294" s="814"/>
      <c r="X294" s="814"/>
      <c r="Y294" s="814"/>
      <c r="Z294" s="814"/>
      <c r="AA294" s="814"/>
      <c r="AB294" s="814"/>
      <c r="AC294" s="814"/>
      <c r="AD294" s="815"/>
    </row>
    <row r="295" spans="1:44" ht="24" customHeight="1">
      <c r="A295" s="215"/>
      <c r="B295" s="90"/>
      <c r="C295" s="44" t="s">
        <v>2517</v>
      </c>
      <c r="D295" s="813" t="s">
        <v>6180</v>
      </c>
      <c r="E295" s="814"/>
      <c r="F295" s="814"/>
      <c r="G295" s="814"/>
      <c r="H295" s="814"/>
      <c r="I295" s="814"/>
      <c r="J295" s="814"/>
      <c r="K295" s="814"/>
      <c r="L295" s="814"/>
      <c r="M295" s="814"/>
      <c r="N295" s="814"/>
      <c r="O295" s="814"/>
      <c r="P295" s="815"/>
      <c r="Q295" s="44" t="s">
        <v>2521</v>
      </c>
      <c r="R295" s="813" t="s">
        <v>6181</v>
      </c>
      <c r="S295" s="814"/>
      <c r="T295" s="814"/>
      <c r="U295" s="814"/>
      <c r="V295" s="814"/>
      <c r="W295" s="814"/>
      <c r="X295" s="814"/>
      <c r="Y295" s="814"/>
      <c r="Z295" s="814"/>
      <c r="AA295" s="814"/>
      <c r="AB295" s="814"/>
      <c r="AC295" s="814"/>
      <c r="AD295" s="815"/>
    </row>
    <row r="296" spans="1:44" ht="15" customHeight="1">
      <c r="A296" s="215"/>
      <c r="B296" s="90"/>
      <c r="C296" s="44" t="s">
        <v>2518</v>
      </c>
      <c r="D296" s="813" t="s">
        <v>6182</v>
      </c>
      <c r="E296" s="814"/>
      <c r="F296" s="814"/>
      <c r="G296" s="814"/>
      <c r="H296" s="814"/>
      <c r="I296" s="814"/>
      <c r="J296" s="814"/>
      <c r="K296" s="814"/>
      <c r="L296" s="814"/>
      <c r="M296" s="814"/>
      <c r="N296" s="814"/>
      <c r="O296" s="814"/>
      <c r="P296" s="815"/>
      <c r="Q296" s="44" t="s">
        <v>2522</v>
      </c>
      <c r="R296" s="813" t="s">
        <v>2609</v>
      </c>
      <c r="S296" s="814"/>
      <c r="T296" s="814"/>
      <c r="U296" s="814"/>
      <c r="V296" s="814"/>
      <c r="W296" s="814"/>
      <c r="X296" s="814"/>
      <c r="Y296" s="814"/>
      <c r="Z296" s="814"/>
      <c r="AA296" s="814"/>
      <c r="AB296" s="814"/>
      <c r="AC296" s="814"/>
      <c r="AD296" s="815"/>
    </row>
    <row r="297" spans="1:44" ht="15" customHeight="1">
      <c r="A297" s="215"/>
      <c r="B297" s="90"/>
      <c r="C297" s="44" t="s">
        <v>2519</v>
      </c>
      <c r="D297" s="813" t="s">
        <v>6183</v>
      </c>
      <c r="E297" s="814"/>
      <c r="F297" s="814"/>
      <c r="G297" s="814"/>
      <c r="H297" s="814"/>
      <c r="I297" s="814"/>
      <c r="J297" s="814"/>
      <c r="K297" s="814"/>
      <c r="L297" s="814"/>
      <c r="M297" s="814"/>
      <c r="N297" s="814"/>
      <c r="O297" s="814"/>
      <c r="P297" s="815"/>
      <c r="Q297" s="869"/>
      <c r="R297" s="870"/>
      <c r="S297" s="870"/>
      <c r="T297" s="870"/>
      <c r="U297" s="870"/>
      <c r="V297" s="870"/>
      <c r="W297" s="870"/>
      <c r="X297" s="870"/>
      <c r="Y297" s="870"/>
      <c r="Z297" s="870"/>
      <c r="AA297" s="870"/>
      <c r="AB297" s="870"/>
      <c r="AC297" s="870"/>
      <c r="AD297" s="871"/>
    </row>
    <row r="298" spans="1:44">
      <c r="A298" s="215"/>
      <c r="B298" s="90"/>
      <c r="C298" s="90"/>
      <c r="D298" s="90"/>
      <c r="E298" s="90"/>
      <c r="F298" s="90"/>
      <c r="G298" s="90"/>
      <c r="H298" s="90"/>
      <c r="I298" s="90"/>
      <c r="J298" s="90"/>
      <c r="K298" s="90"/>
      <c r="L298" s="90"/>
      <c r="M298" s="90"/>
      <c r="N298" s="90"/>
      <c r="O298" s="90"/>
      <c r="P298" s="90"/>
      <c r="Q298" s="90"/>
      <c r="R298" s="90"/>
      <c r="S298" s="90"/>
      <c r="T298" s="90"/>
      <c r="U298" s="90"/>
      <c r="V298" s="90"/>
      <c r="W298" s="90"/>
      <c r="X298" s="90"/>
      <c r="Y298" s="90"/>
      <c r="Z298" s="90"/>
      <c r="AA298" s="90"/>
      <c r="AB298" s="90"/>
      <c r="AC298" s="90"/>
      <c r="AD298" s="90"/>
    </row>
    <row r="299" spans="1:44" ht="24" customHeight="1">
      <c r="A299" s="50"/>
      <c r="B299" s="38"/>
      <c r="C299" s="754" t="s">
        <v>2611</v>
      </c>
      <c r="D299" s="754"/>
      <c r="E299" s="754"/>
      <c r="F299" s="754"/>
      <c r="G299" s="754"/>
      <c r="H299" s="754"/>
      <c r="I299" s="754"/>
      <c r="J299" s="754"/>
      <c r="K299" s="754"/>
      <c r="L299" s="754"/>
      <c r="M299" s="754"/>
      <c r="N299" s="754"/>
      <c r="O299" s="754"/>
      <c r="P299" s="754"/>
      <c r="Q299" s="754"/>
      <c r="R299" s="754"/>
      <c r="S299" s="754"/>
      <c r="T299" s="754"/>
      <c r="U299" s="754"/>
      <c r="V299" s="754"/>
      <c r="W299" s="754"/>
      <c r="X299" s="754"/>
      <c r="Y299" s="754"/>
      <c r="Z299" s="754"/>
      <c r="AA299" s="754"/>
      <c r="AB299" s="754"/>
      <c r="AC299" s="754"/>
      <c r="AD299" s="754"/>
    </row>
    <row r="300" spans="1:44" ht="60" customHeight="1">
      <c r="A300" s="50"/>
      <c r="B300" s="38"/>
      <c r="C300" s="851"/>
      <c r="D300" s="851"/>
      <c r="E300" s="851"/>
      <c r="F300" s="851"/>
      <c r="G300" s="851"/>
      <c r="H300" s="851"/>
      <c r="I300" s="851"/>
      <c r="J300" s="851"/>
      <c r="K300" s="851"/>
      <c r="L300" s="851"/>
      <c r="M300" s="851"/>
      <c r="N300" s="851"/>
      <c r="O300" s="851"/>
      <c r="P300" s="851"/>
      <c r="Q300" s="851"/>
      <c r="R300" s="851"/>
      <c r="S300" s="851"/>
      <c r="T300" s="851"/>
      <c r="U300" s="851"/>
      <c r="V300" s="851"/>
      <c r="W300" s="851"/>
      <c r="X300" s="851"/>
      <c r="Y300" s="851"/>
      <c r="Z300" s="851"/>
      <c r="AA300" s="851"/>
      <c r="AB300" s="851"/>
      <c r="AC300" s="851"/>
      <c r="AD300" s="851"/>
    </row>
    <row r="301" spans="1:44">
      <c r="A301" s="217"/>
      <c r="B301" s="794" t="str">
        <f>IF(AG289=0,"","Favor de ingresar toda la información requerida en la pregunta")</f>
        <v/>
      </c>
      <c r="C301" s="794"/>
      <c r="D301" s="794"/>
      <c r="E301" s="794"/>
      <c r="F301" s="794"/>
      <c r="G301" s="794"/>
      <c r="H301" s="794"/>
      <c r="I301" s="794"/>
      <c r="J301" s="794"/>
      <c r="K301" s="794"/>
      <c r="L301" s="794"/>
      <c r="M301" s="794"/>
      <c r="N301" s="794"/>
      <c r="O301" s="794"/>
      <c r="P301" s="794"/>
      <c r="Q301" s="794"/>
      <c r="R301" s="794"/>
      <c r="S301" s="794"/>
      <c r="T301" s="794"/>
      <c r="U301" s="794"/>
      <c r="V301" s="794"/>
      <c r="W301" s="794"/>
      <c r="X301" s="794"/>
      <c r="Y301" s="794"/>
      <c r="Z301" s="794"/>
      <c r="AA301" s="794"/>
      <c r="AB301" s="794"/>
      <c r="AC301" s="794"/>
      <c r="AD301" s="794"/>
      <c r="AE301" s="794"/>
    </row>
    <row r="302" spans="1:44">
      <c r="A302" s="215"/>
      <c r="B302" s="1087" t="str">
        <f>IF(COUNTIF(T281:AD288,"NS")&lt;&gt;0,"Alerta: debido a que cuenta con registros NS, debe proporcionar una justificación en el area de comentarios al final de la pregunta","")</f>
        <v/>
      </c>
      <c r="C302" s="1087"/>
      <c r="D302" s="1087"/>
      <c r="E302" s="1087"/>
      <c r="F302" s="1087"/>
      <c r="G302" s="1087"/>
      <c r="H302" s="1087"/>
      <c r="I302" s="1087"/>
      <c r="J302" s="1087"/>
      <c r="K302" s="1087"/>
      <c r="L302" s="1087"/>
      <c r="M302" s="1087"/>
      <c r="N302" s="1087"/>
      <c r="O302" s="1087"/>
      <c r="P302" s="1087"/>
      <c r="Q302" s="1087"/>
      <c r="R302" s="1087"/>
      <c r="S302" s="1087"/>
      <c r="T302" s="1087"/>
      <c r="U302" s="1087"/>
      <c r="V302" s="1087"/>
      <c r="W302" s="1087"/>
      <c r="X302" s="1087"/>
      <c r="Y302" s="1087"/>
      <c r="Z302" s="1087"/>
      <c r="AA302" s="1087"/>
      <c r="AB302" s="1087"/>
      <c r="AC302" s="1087"/>
      <c r="AD302" s="1087"/>
      <c r="AE302" s="1087"/>
    </row>
    <row r="303" spans="1:44">
      <c r="A303" s="215"/>
      <c r="B303" s="1003" t="str">
        <f>IF(AH289&gt;0,"Revise la información capturada, ya que tiene datos ingresados en celdas que están sombreadas","")</f>
        <v/>
      </c>
      <c r="C303" s="1003"/>
      <c r="D303" s="1003"/>
      <c r="E303" s="1003"/>
      <c r="F303" s="1003"/>
      <c r="G303" s="1003"/>
      <c r="H303" s="1003"/>
      <c r="I303" s="1003"/>
      <c r="J303" s="1003"/>
      <c r="K303" s="1003"/>
      <c r="L303" s="1003"/>
      <c r="M303" s="1003"/>
      <c r="N303" s="1003"/>
      <c r="O303" s="1003"/>
      <c r="P303" s="1003"/>
      <c r="Q303" s="1003"/>
      <c r="R303" s="1003"/>
      <c r="S303" s="1003"/>
      <c r="T303" s="1003"/>
      <c r="U303" s="1003"/>
      <c r="V303" s="1003"/>
      <c r="W303" s="1003"/>
      <c r="X303" s="1003"/>
      <c r="Y303" s="1003"/>
      <c r="Z303" s="1003"/>
      <c r="AA303" s="1003"/>
      <c r="AB303" s="1003"/>
      <c r="AC303" s="1003"/>
      <c r="AD303" s="1003"/>
      <c r="AE303" s="1003"/>
    </row>
    <row r="304" spans="1:44">
      <c r="A304" s="215"/>
      <c r="B304" s="1003" t="str">
        <f>IF(AL290&gt;0,"Favor de revisar la suma y consistencia de totales y/o subtotales por filas (numéricos y NS)","")</f>
        <v/>
      </c>
      <c r="C304" s="1003"/>
      <c r="D304" s="1003"/>
      <c r="E304" s="1003"/>
      <c r="F304" s="1003"/>
      <c r="G304" s="1003"/>
      <c r="H304" s="1003"/>
      <c r="I304" s="1003"/>
      <c r="J304" s="1003"/>
      <c r="K304" s="1003"/>
      <c r="L304" s="1003"/>
      <c r="M304" s="1003"/>
      <c r="N304" s="1003"/>
      <c r="O304" s="1003"/>
      <c r="P304" s="1003"/>
      <c r="Q304" s="1003"/>
      <c r="R304" s="1003"/>
      <c r="S304" s="1003"/>
      <c r="T304" s="1003"/>
      <c r="U304" s="1003"/>
      <c r="V304" s="1003"/>
      <c r="W304" s="1003"/>
      <c r="X304" s="1003"/>
      <c r="Y304" s="1003"/>
      <c r="Z304" s="1003"/>
      <c r="AA304" s="1003"/>
      <c r="AB304" s="1003"/>
      <c r="AC304" s="1003"/>
      <c r="AD304" s="1003"/>
      <c r="AE304" s="1003"/>
    </row>
    <row r="305" spans="1:52">
      <c r="A305" s="215"/>
      <c r="B305" s="794" t="str">
        <f>IF(AQ289=0,"","Debido a que cuenta con registro(s) con el código 1, el total de la fila respectiva debe ser mayor a cero")</f>
        <v/>
      </c>
      <c r="C305" s="794"/>
      <c r="D305" s="794"/>
      <c r="E305" s="794"/>
      <c r="F305" s="794"/>
      <c r="G305" s="794"/>
      <c r="H305" s="794"/>
      <c r="I305" s="794"/>
      <c r="J305" s="794"/>
      <c r="K305" s="794"/>
      <c r="L305" s="794"/>
      <c r="M305" s="794"/>
      <c r="N305" s="794"/>
      <c r="O305" s="794"/>
      <c r="P305" s="794"/>
      <c r="Q305" s="794"/>
      <c r="R305" s="794"/>
      <c r="S305" s="794"/>
      <c r="T305" s="794"/>
      <c r="U305" s="794"/>
      <c r="V305" s="794"/>
      <c r="W305" s="794"/>
      <c r="X305" s="794"/>
      <c r="Y305" s="794"/>
      <c r="Z305" s="794"/>
      <c r="AA305" s="794"/>
      <c r="AB305" s="794"/>
      <c r="AC305" s="794"/>
      <c r="AD305" s="794"/>
      <c r="AE305" s="794"/>
    </row>
    <row r="306" spans="1:52">
      <c r="A306" s="215"/>
      <c r="B306" s="794" t="str">
        <f>IF(AR289&gt;0,"Favor de revisar la instrucción 2, debido a que no se cumplen con los criterios mencionados","")</f>
        <v/>
      </c>
      <c r="C306" s="794"/>
      <c r="D306" s="794"/>
      <c r="E306" s="794"/>
      <c r="F306" s="794"/>
      <c r="G306" s="794"/>
      <c r="H306" s="794"/>
      <c r="I306" s="794"/>
      <c r="J306" s="794"/>
      <c r="K306" s="794"/>
      <c r="L306" s="794"/>
      <c r="M306" s="794"/>
      <c r="N306" s="794"/>
      <c r="O306" s="794"/>
      <c r="P306" s="794"/>
      <c r="Q306" s="794"/>
      <c r="R306" s="794"/>
      <c r="S306" s="794"/>
      <c r="T306" s="794"/>
      <c r="U306" s="794"/>
      <c r="V306" s="794"/>
      <c r="W306" s="794"/>
      <c r="X306" s="794"/>
      <c r="Y306" s="794"/>
      <c r="Z306" s="794"/>
      <c r="AA306" s="794"/>
      <c r="AB306" s="794"/>
      <c r="AC306" s="794"/>
      <c r="AD306" s="794"/>
      <c r="AE306" s="794"/>
    </row>
    <row r="307" spans="1:52" ht="36" customHeight="1">
      <c r="A307" s="49" t="s">
        <v>6184</v>
      </c>
      <c r="B307" s="829" t="s">
        <v>6185</v>
      </c>
      <c r="C307" s="829"/>
      <c r="D307" s="829"/>
      <c r="E307" s="829"/>
      <c r="F307" s="829"/>
      <c r="G307" s="829"/>
      <c r="H307" s="829"/>
      <c r="I307" s="829"/>
      <c r="J307" s="829"/>
      <c r="K307" s="829"/>
      <c r="L307" s="829"/>
      <c r="M307" s="829"/>
      <c r="N307" s="829"/>
      <c r="O307" s="829"/>
      <c r="P307" s="829"/>
      <c r="Q307" s="829"/>
      <c r="R307" s="829"/>
      <c r="S307" s="829"/>
      <c r="T307" s="829"/>
      <c r="U307" s="829"/>
      <c r="V307" s="829"/>
      <c r="W307" s="829"/>
      <c r="X307" s="829"/>
      <c r="Y307" s="829"/>
      <c r="Z307" s="829"/>
      <c r="AA307" s="829"/>
      <c r="AB307" s="829"/>
      <c r="AC307" s="829"/>
      <c r="AD307" s="829"/>
    </row>
    <row r="308" spans="1:52" ht="24" customHeight="1">
      <c r="A308" s="49"/>
      <c r="B308" s="105"/>
      <c r="C308" s="754" t="s">
        <v>6186</v>
      </c>
      <c r="D308" s="754"/>
      <c r="E308" s="754"/>
      <c r="F308" s="754"/>
      <c r="G308" s="754"/>
      <c r="H308" s="754"/>
      <c r="I308" s="754"/>
      <c r="J308" s="754"/>
      <c r="K308" s="754"/>
      <c r="L308" s="754"/>
      <c r="M308" s="754"/>
      <c r="N308" s="754"/>
      <c r="O308" s="754"/>
      <c r="P308" s="754"/>
      <c r="Q308" s="754"/>
      <c r="R308" s="754"/>
      <c r="S308" s="754"/>
      <c r="T308" s="754"/>
      <c r="U308" s="754"/>
      <c r="V308" s="754"/>
      <c r="W308" s="754"/>
      <c r="X308" s="754"/>
      <c r="Y308" s="754"/>
      <c r="Z308" s="754"/>
      <c r="AA308" s="754"/>
      <c r="AB308" s="754"/>
      <c r="AC308" s="754"/>
      <c r="AD308" s="754"/>
    </row>
    <row r="309" spans="1:52" ht="36" customHeight="1">
      <c r="A309" s="49"/>
      <c r="B309" s="105"/>
      <c r="C309" s="754" t="s">
        <v>6187</v>
      </c>
      <c r="D309" s="754"/>
      <c r="E309" s="754"/>
      <c r="F309" s="754"/>
      <c r="G309" s="754"/>
      <c r="H309" s="754"/>
      <c r="I309" s="754"/>
      <c r="J309" s="754"/>
      <c r="K309" s="754"/>
      <c r="L309" s="754"/>
      <c r="M309" s="754"/>
      <c r="N309" s="754"/>
      <c r="O309" s="754"/>
      <c r="P309" s="754"/>
      <c r="Q309" s="754"/>
      <c r="R309" s="754"/>
      <c r="S309" s="754"/>
      <c r="T309" s="754"/>
      <c r="U309" s="754"/>
      <c r="V309" s="754"/>
      <c r="W309" s="754"/>
      <c r="X309" s="754"/>
      <c r="Y309" s="754"/>
      <c r="Z309" s="754"/>
      <c r="AA309" s="754"/>
      <c r="AB309" s="754"/>
      <c r="AC309" s="754"/>
      <c r="AD309" s="754"/>
    </row>
    <row r="310" spans="1:52" ht="36" customHeight="1">
      <c r="A310" s="50"/>
      <c r="B310" s="38"/>
      <c r="C310" s="754" t="s">
        <v>6188</v>
      </c>
      <c r="D310" s="754"/>
      <c r="E310" s="754"/>
      <c r="F310" s="754"/>
      <c r="G310" s="754"/>
      <c r="H310" s="754"/>
      <c r="I310" s="754"/>
      <c r="J310" s="754"/>
      <c r="K310" s="754"/>
      <c r="L310" s="754"/>
      <c r="M310" s="754"/>
      <c r="N310" s="754"/>
      <c r="O310" s="754"/>
      <c r="P310" s="754"/>
      <c r="Q310" s="754"/>
      <c r="R310" s="754"/>
      <c r="S310" s="754"/>
      <c r="T310" s="754"/>
      <c r="U310" s="754"/>
      <c r="V310" s="754"/>
      <c r="W310" s="754"/>
      <c r="X310" s="754"/>
      <c r="Y310" s="754"/>
      <c r="Z310" s="754"/>
      <c r="AA310" s="754"/>
      <c r="AB310" s="754"/>
      <c r="AC310" s="754"/>
      <c r="AD310" s="754"/>
    </row>
    <row r="311" spans="1:52">
      <c r="A311" s="215"/>
      <c r="B311" s="90"/>
      <c r="C311" s="90"/>
      <c r="D311" s="90"/>
      <c r="E311" s="90"/>
      <c r="F311" s="90"/>
      <c r="G311" s="90"/>
      <c r="H311" s="90"/>
      <c r="I311" s="90"/>
      <c r="J311" s="90"/>
      <c r="K311" s="90"/>
      <c r="L311" s="90"/>
      <c r="M311" s="90"/>
      <c r="N311" s="90"/>
      <c r="O311" s="90"/>
      <c r="P311" s="90"/>
      <c r="Q311" s="90"/>
      <c r="R311" s="90"/>
      <c r="S311" s="90"/>
      <c r="T311" s="90"/>
      <c r="U311" s="90"/>
      <c r="V311" s="90"/>
      <c r="W311" s="90"/>
      <c r="X311" s="90"/>
      <c r="Y311" s="90"/>
      <c r="Z311" s="90"/>
      <c r="AA311" s="90"/>
      <c r="AB311" s="90"/>
      <c r="AC311" s="90"/>
      <c r="AD311" s="90"/>
    </row>
    <row r="312" spans="1:52" ht="15" customHeight="1">
      <c r="A312" s="119"/>
      <c r="AA312" s="875" t="s">
        <v>2664</v>
      </c>
      <c r="AB312" s="875"/>
      <c r="AC312" s="875"/>
      <c r="AD312" s="875"/>
    </row>
    <row r="313" spans="1:52" ht="36" customHeight="1">
      <c r="A313" s="50"/>
      <c r="B313" s="38"/>
      <c r="C313" s="732" t="s">
        <v>6189</v>
      </c>
      <c r="D313" s="732"/>
      <c r="E313" s="732"/>
      <c r="F313" s="732"/>
      <c r="G313" s="732"/>
      <c r="H313" s="732"/>
      <c r="I313" s="732"/>
      <c r="J313" s="732"/>
      <c r="K313" s="732"/>
      <c r="L313" s="732"/>
      <c r="M313" s="732"/>
      <c r="N313" s="732"/>
      <c r="O313" s="732"/>
      <c r="P313" s="732"/>
      <c r="Q313" s="732" t="s">
        <v>6190</v>
      </c>
      <c r="R313" s="732"/>
      <c r="S313" s="732"/>
      <c r="T313" s="732"/>
      <c r="U313" s="732"/>
      <c r="V313" s="732"/>
      <c r="W313" s="732"/>
      <c r="X313" s="732"/>
      <c r="Y313" s="732"/>
      <c r="Z313" s="732"/>
      <c r="AA313" s="732"/>
      <c r="AB313" s="732"/>
      <c r="AC313" s="732"/>
      <c r="AD313" s="732"/>
    </row>
    <row r="314" spans="1:52" ht="36" customHeight="1">
      <c r="A314" s="50"/>
      <c r="B314" s="38"/>
      <c r="C314" s="732"/>
      <c r="D314" s="732"/>
      <c r="E314" s="732"/>
      <c r="F314" s="732"/>
      <c r="G314" s="732"/>
      <c r="H314" s="732"/>
      <c r="I314" s="732"/>
      <c r="J314" s="732"/>
      <c r="K314" s="732"/>
      <c r="L314" s="732"/>
      <c r="M314" s="732"/>
      <c r="N314" s="732"/>
      <c r="O314" s="732"/>
      <c r="P314" s="732"/>
      <c r="Q314" s="127" t="s">
        <v>2628</v>
      </c>
      <c r="R314" s="92" t="s">
        <v>2516</v>
      </c>
      <c r="S314" s="44" t="s">
        <v>2517</v>
      </c>
      <c r="T314" s="44" t="s">
        <v>2518</v>
      </c>
      <c r="U314" s="44" t="s">
        <v>2519</v>
      </c>
      <c r="V314" s="44" t="s">
        <v>2520</v>
      </c>
      <c r="W314" s="44" t="s">
        <v>2521</v>
      </c>
      <c r="X314" s="44" t="s">
        <v>2522</v>
      </c>
      <c r="Y314" s="44" t="s">
        <v>2523</v>
      </c>
      <c r="Z314" s="44" t="s">
        <v>2524</v>
      </c>
      <c r="AA314" s="44" t="s">
        <v>2525</v>
      </c>
      <c r="AB314" s="44" t="s">
        <v>2526</v>
      </c>
      <c r="AC314" s="44" t="s">
        <v>2527</v>
      </c>
      <c r="AD314" s="44" t="s">
        <v>2528</v>
      </c>
      <c r="AG314" t="s">
        <v>2586</v>
      </c>
      <c r="AH314" t="s">
        <v>5940</v>
      </c>
      <c r="AI314" t="s">
        <v>5291</v>
      </c>
      <c r="AK314" t="s">
        <v>2637</v>
      </c>
      <c r="AL314" t="s">
        <v>2638</v>
      </c>
      <c r="AM314" t="s">
        <v>2639</v>
      </c>
      <c r="AN314" t="s">
        <v>5290</v>
      </c>
      <c r="AO314"/>
      <c r="AP314"/>
      <c r="AQ314"/>
      <c r="AR314"/>
      <c r="AS314"/>
      <c r="AT314"/>
      <c r="AU314"/>
      <c r="AV314"/>
      <c r="AW314"/>
      <c r="AX314"/>
      <c r="AY314"/>
      <c r="AZ314"/>
    </row>
    <row r="315" spans="1:52" ht="15" customHeight="1">
      <c r="A315" s="50"/>
      <c r="B315" s="38"/>
      <c r="C315" s="92" t="s">
        <v>2516</v>
      </c>
      <c r="D315" s="872" t="s">
        <v>6178</v>
      </c>
      <c r="E315" s="872"/>
      <c r="F315" s="872"/>
      <c r="G315" s="872"/>
      <c r="H315" s="872"/>
      <c r="I315" s="872"/>
      <c r="J315" s="872"/>
      <c r="K315" s="872"/>
      <c r="L315" s="872"/>
      <c r="M315" s="872"/>
      <c r="N315" s="872"/>
      <c r="O315" s="872"/>
      <c r="P315" s="872"/>
      <c r="Q315" s="100"/>
      <c r="R315" s="100"/>
      <c r="S315" s="100"/>
      <c r="T315" s="100"/>
      <c r="U315" s="100"/>
      <c r="V315" s="100"/>
      <c r="W315" s="100"/>
      <c r="X315" s="100"/>
      <c r="Y315" s="100"/>
      <c r="Z315" s="100"/>
      <c r="AA315" s="100"/>
      <c r="AB315" s="100"/>
      <c r="AC315" s="100"/>
      <c r="AD315" s="100"/>
      <c r="AG315">
        <f>IF(OR($U289=0,$U289="NS",$U289="NA"),0,IF(SUM(COUNTBLANK(Q315:AD315),COUNTBLANK(P327:AD327))=0,0,1))</f>
        <v>0</v>
      </c>
      <c r="AH315">
        <f>IF(OR($U289=0,$U289="NS",$U289="NA"),IF(SUM(COUNTBLANK(Q315:AD315),COUNTBLANK(P327:AD327))=29,0,1),0)</f>
        <v>0</v>
      </c>
      <c r="AI315" cm="1">
        <f t="array" ref="AI315">IF(OR(Q315={"NS","NA"},U289={"NS","NA"}),0,IF(Q315&gt;=U289,0,1))</f>
        <v>0</v>
      </c>
      <c r="AK315">
        <f>SUM(COUNTIF(R315:AD315,"NS"),COUNTIF(P327:AD327,"NS"))</f>
        <v>0</v>
      </c>
      <c r="AL315">
        <f>SUM(R315:AD315,P327:AD327)</f>
        <v>0</v>
      </c>
      <c r="AM315">
        <f>IF(SUM(COUNTIF(Q315:AD315,"NA"),COUNTIF(P327:AD327,"NA"))=29,0,IF(COUNTA(Q315:AD315,P327:AD327)=0,0,IF(OR(AND(Q315=0,AK315&gt;0),AND(Q315="ns",AL315&gt;0),AND(Q315="ns",AK315=0,AL315=0)),1,IF(OR(AND(AK315&gt;=2,Q315&gt;AL315),AND(Q315="ns",AL315=0,AK315&gt;0),Q315=AL315),0,1))))</f>
        <v>0</v>
      </c>
      <c r="AN315" cm="1">
        <f t="array" ref="AN315">IF(OR(R315={"NS","NA"},$U289={"NS","NA"}),0,IF(R315&lt;=$U289,0,1))</f>
        <v>0</v>
      </c>
      <c r="AO315" cm="1">
        <f t="array" ref="AO315">IF(OR(S315={"NS","NA"},$U289={"NS","NA"}),0,IF(S315&lt;=$U289,0,1))</f>
        <v>0</v>
      </c>
      <c r="AP315" cm="1">
        <f t="array" ref="AP315">IF(OR(T315={"NS","NA"},$U289={"NS","NA"}),0,IF(T315&lt;=$U289,0,1))</f>
        <v>0</v>
      </c>
      <c r="AQ315" cm="1">
        <f t="array" ref="AQ315">IF(OR(U315={"NS","NA"},$U289={"NS","NA"}),0,IF(U315&lt;=$U289,0,1))</f>
        <v>0</v>
      </c>
      <c r="AR315" cm="1">
        <f t="array" ref="AR315">IF(OR(V315={"NS","NA"},$U289={"NS","NA"}),0,IF(V315&lt;=$U289,0,1))</f>
        <v>0</v>
      </c>
      <c r="AS315" cm="1">
        <f t="array" ref="AS315">IF(OR(W315={"NS","NA"},$U289={"NS","NA"}),0,IF(W315&lt;=$U289,0,1))</f>
        <v>0</v>
      </c>
      <c r="AT315" cm="1">
        <f t="array" ref="AT315">IF(OR(X315={"NS","NA"},$U289={"NS","NA"}),0,IF(X315&lt;=$U289,0,1))</f>
        <v>0</v>
      </c>
      <c r="AU315" cm="1">
        <f t="array" ref="AU315">IF(OR(Y315={"NS","NA"},$U289={"NS","NA"}),0,IF(Y315&lt;=$U289,0,1))</f>
        <v>0</v>
      </c>
      <c r="AV315" cm="1">
        <f t="array" ref="AV315">IF(OR(Z315={"NS","NA"},$U289={"NS","NA"}),0,IF(Z315&lt;=$U289,0,1))</f>
        <v>0</v>
      </c>
      <c r="AW315" cm="1">
        <f t="array" ref="AW315">IF(OR(AA315={"NS","NA"},$U289={"NS","NA"}),0,IF(AA315&lt;=$U289,0,1))</f>
        <v>0</v>
      </c>
      <c r="AX315" cm="1">
        <f t="array" ref="AX315">IF(OR(AB315={"NS","NA"},$U289={"NS","NA"}),0,IF(AB315&lt;=$U289,0,1))</f>
        <v>0</v>
      </c>
      <c r="AY315" cm="1">
        <f t="array" ref="AY315">IF(OR(AC315={"NS","NA"},$U289={"NS","NA"}),0,IF(AC315&lt;=$U289,0,1))</f>
        <v>0</v>
      </c>
      <c r="AZ315" cm="1">
        <f t="array" ref="AZ315">IF(OR(AD315={"NS","NA"},$U289={"NS","NA"}),0,IF(AD315&lt;=$U289,0,1))</f>
        <v>0</v>
      </c>
    </row>
    <row r="316" spans="1:52" ht="24" customHeight="1">
      <c r="A316" s="50"/>
      <c r="B316" s="38"/>
      <c r="C316" s="44" t="s">
        <v>2517</v>
      </c>
      <c r="D316" s="872" t="s">
        <v>6180</v>
      </c>
      <c r="E316" s="872"/>
      <c r="F316" s="872"/>
      <c r="G316" s="872"/>
      <c r="H316" s="872"/>
      <c r="I316" s="872"/>
      <c r="J316" s="872"/>
      <c r="K316" s="872"/>
      <c r="L316" s="872"/>
      <c r="M316" s="872"/>
      <c r="N316" s="872"/>
      <c r="O316" s="872"/>
      <c r="P316" s="872"/>
      <c r="Q316" s="100"/>
      <c r="R316" s="100"/>
      <c r="S316" s="100"/>
      <c r="T316" s="100"/>
      <c r="U316" s="100"/>
      <c r="V316" s="100"/>
      <c r="W316" s="100"/>
      <c r="X316" s="100"/>
      <c r="Y316" s="100"/>
      <c r="Z316" s="100"/>
      <c r="AA316" s="100"/>
      <c r="AB316" s="100"/>
      <c r="AC316" s="100"/>
      <c r="AD316" s="100"/>
      <c r="AG316">
        <f>IF(OR($V289=0,$V289="NS",$V289="NA"),0,IF(SUM(COUNTBLANK(Q316:AD316),COUNTBLANK(P328:AD328))=0,0,1))</f>
        <v>0</v>
      </c>
      <c r="AH316">
        <f>IF(OR($V289=0,$V289="NS",$V289="NA"),IF(SUM(COUNTBLANK(Q316:AD316),COUNTBLANK(P328:AD328))=29,0,1),0)</f>
        <v>0</v>
      </c>
      <c r="AI316" cm="1">
        <f t="array" ref="AI316">IF(OR(Q316={"NS","NA"},V289={"NS","NA"}),0,IF(Q316&gt;=V289,0,1))</f>
        <v>0</v>
      </c>
      <c r="AK316">
        <f t="shared" ref="AK316:AK321" si="22">SUM(COUNTIF(R316:AD316,"NS"),COUNTIF(P328:AD328,"NS"))</f>
        <v>0</v>
      </c>
      <c r="AL316">
        <f t="shared" ref="AL316:AL321" si="23">SUM(R316:AD316,P328:AD328)</f>
        <v>0</v>
      </c>
      <c r="AM316">
        <f t="shared" ref="AM316:AM321" si="24">IF(SUM(COUNTIF(Q316:AD316,"NA"),COUNTIF(P328:AD328,"NA"))=29,0,IF(COUNTA(Q316:AD316,P328:AD328)=0,0,IF(OR(AND(Q316=0,AK316&gt;0),AND(Q316="ns",AL316&gt;0),AND(Q316="ns",AK316=0,AL316=0)),1,IF(OR(AND(AK316&gt;=2,Q316&gt;AL316),AND(Q316="ns",AL316=0,AK316&gt;0),Q316=AL316),0,1))))</f>
        <v>0</v>
      </c>
      <c r="AN316" cm="1">
        <f t="array" ref="AN316">IF(OR(R316={"NS","NA"},$V289={"NS","NA"}),0,IF(R316&lt;=$V289,0,1))</f>
        <v>0</v>
      </c>
      <c r="AO316" cm="1">
        <f t="array" ref="AO316">IF(OR(S316={"NS","NA"},$V289={"NS","NA"}),0,IF(S316&lt;=$V289,0,1))</f>
        <v>0</v>
      </c>
      <c r="AP316" cm="1">
        <f t="array" ref="AP316">IF(OR(T316={"NS","NA"},$V289={"NS","NA"}),0,IF(T316&lt;=$V289,0,1))</f>
        <v>0</v>
      </c>
      <c r="AQ316" cm="1">
        <f t="array" ref="AQ316">IF(OR(U316={"NS","NA"},$V289={"NS","NA"}),0,IF(U316&lt;=$V289,0,1))</f>
        <v>0</v>
      </c>
      <c r="AR316" cm="1">
        <f t="array" ref="AR316">IF(OR(V316={"NS","NA"},$V289={"NS","NA"}),0,IF(V316&lt;=$V289,0,1))</f>
        <v>0</v>
      </c>
      <c r="AS316" cm="1">
        <f t="array" ref="AS316">IF(OR(W316={"NS","NA"},$V289={"NS","NA"}),0,IF(W316&lt;=$V289,0,1))</f>
        <v>0</v>
      </c>
      <c r="AT316" cm="1">
        <f t="array" ref="AT316">IF(OR(X316={"NS","NA"},$V289={"NS","NA"}),0,IF(X316&lt;=$V289,0,1))</f>
        <v>0</v>
      </c>
      <c r="AU316" cm="1">
        <f t="array" ref="AU316">IF(OR(Y316={"NS","NA"},$V289={"NS","NA"}),0,IF(Y316&lt;=$V289,0,1))</f>
        <v>0</v>
      </c>
      <c r="AV316" cm="1">
        <f t="array" ref="AV316">IF(OR(Z316={"NS","NA"},$V289={"NS","NA"}),0,IF(Z316&lt;=$V289,0,1))</f>
        <v>0</v>
      </c>
      <c r="AW316" cm="1">
        <f t="array" ref="AW316">IF(OR(AA316={"NS","NA"},$V289={"NS","NA"}),0,IF(AA316&lt;=$V289,0,1))</f>
        <v>0</v>
      </c>
      <c r="AX316" cm="1">
        <f t="array" ref="AX316">IF(OR(AB316={"NS","NA"},$V289={"NS","NA"}),0,IF(AB316&lt;=$V289,0,1))</f>
        <v>0</v>
      </c>
      <c r="AY316" cm="1">
        <f t="array" ref="AY316">IF(OR(AC316={"NS","NA"},$V289={"NS","NA"}),0,IF(AC316&lt;=$V289,0,1))</f>
        <v>0</v>
      </c>
      <c r="AZ316" cm="1">
        <f t="array" ref="AZ316">IF(OR(AD316={"NS","NA"},$V289={"NS","NA"}),0,IF(AD316&lt;=$V289,0,1))</f>
        <v>0</v>
      </c>
    </row>
    <row r="317" spans="1:52" ht="15" customHeight="1">
      <c r="A317" s="50"/>
      <c r="B317" s="38"/>
      <c r="C317" s="44" t="s">
        <v>2518</v>
      </c>
      <c r="D317" s="869" t="s">
        <v>6182</v>
      </c>
      <c r="E317" s="870"/>
      <c r="F317" s="870"/>
      <c r="G317" s="870"/>
      <c r="H317" s="870"/>
      <c r="I317" s="870"/>
      <c r="J317" s="870"/>
      <c r="K317" s="870"/>
      <c r="L317" s="870"/>
      <c r="M317" s="870"/>
      <c r="N317" s="870"/>
      <c r="O317" s="870"/>
      <c r="P317" s="871"/>
      <c r="Q317" s="100"/>
      <c r="R317" s="100"/>
      <c r="S317" s="100"/>
      <c r="T317" s="100"/>
      <c r="U317" s="100"/>
      <c r="V317" s="100"/>
      <c r="W317" s="100"/>
      <c r="X317" s="100"/>
      <c r="Y317" s="100"/>
      <c r="Z317" s="100"/>
      <c r="AA317" s="100"/>
      <c r="AB317" s="100"/>
      <c r="AC317" s="100"/>
      <c r="AD317" s="100"/>
      <c r="AG317">
        <f>IF(OR($W289=0,$W289="NS",$W289="NA"),0,IF(SUM(COUNTBLANK(Q317:AD317),COUNTBLANK(P329:AD329))=0,0,1))</f>
        <v>0</v>
      </c>
      <c r="AH317">
        <f>IF(OR($W289=0,$W289="NS",$W289="NA"),IF(SUM(COUNTBLANK(Q317:AD317),COUNTBLANK(P329:AD329))=29,0,1),0)</f>
        <v>0</v>
      </c>
      <c r="AI317" cm="1">
        <f t="array" ref="AI317">IF(OR(Q317={"NS","NA"},W289={"NS","NA"}),0,IF(Q317&gt;=W289,0,1))</f>
        <v>0</v>
      </c>
      <c r="AK317">
        <f t="shared" si="22"/>
        <v>0</v>
      </c>
      <c r="AL317">
        <f t="shared" si="23"/>
        <v>0</v>
      </c>
      <c r="AM317">
        <f t="shared" si="24"/>
        <v>0</v>
      </c>
      <c r="AN317" cm="1">
        <f t="array" ref="AN317">IF(OR(R317={"NS","NA"},$W289={"NS","NA"}),0,IF(R317&lt;=$W289,0,1))</f>
        <v>0</v>
      </c>
      <c r="AO317" cm="1">
        <f t="array" ref="AO317">IF(OR(S317={"NS","NA"},$W289={"NS","NA"}),0,IF(S317&lt;=$W289,0,1))</f>
        <v>0</v>
      </c>
      <c r="AP317" cm="1">
        <f t="array" ref="AP317">IF(OR(T317={"NS","NA"},$W289={"NS","NA"}),0,IF(T317&lt;=$W289,0,1))</f>
        <v>0</v>
      </c>
      <c r="AQ317" cm="1">
        <f t="array" ref="AQ317">IF(OR(U317={"NS","NA"},$W289={"NS","NA"}),0,IF(U317&lt;=$W289,0,1))</f>
        <v>0</v>
      </c>
      <c r="AR317" cm="1">
        <f t="array" ref="AR317">IF(OR(V317={"NS","NA"},$W289={"NS","NA"}),0,IF(V317&lt;=$W289,0,1))</f>
        <v>0</v>
      </c>
      <c r="AS317" cm="1">
        <f t="array" ref="AS317">IF(OR(W317={"NS","NA"},$W289={"NS","NA"}),0,IF(W317&lt;=$W289,0,1))</f>
        <v>0</v>
      </c>
      <c r="AT317" cm="1">
        <f t="array" ref="AT317">IF(OR(X317={"NS","NA"},$W289={"NS","NA"}),0,IF(X317&lt;=$W289,0,1))</f>
        <v>0</v>
      </c>
      <c r="AU317" cm="1">
        <f t="array" ref="AU317">IF(OR(Y317={"NS","NA"},$W289={"NS","NA"}),0,IF(Y317&lt;=$W289,0,1))</f>
        <v>0</v>
      </c>
      <c r="AV317" cm="1">
        <f t="array" ref="AV317">IF(OR(Z317={"NS","NA"},$W289={"NS","NA"}),0,IF(Z317&lt;=$W289,0,1))</f>
        <v>0</v>
      </c>
      <c r="AW317" cm="1">
        <f t="array" ref="AW317">IF(OR(AA317={"NS","NA"},$W289={"NS","NA"}),0,IF(AA317&lt;=$W289,0,1))</f>
        <v>0</v>
      </c>
      <c r="AX317" cm="1">
        <f t="array" ref="AX317">IF(OR(AB317={"NS","NA"},$W289={"NS","NA"}),0,IF(AB317&lt;=$W289,0,1))</f>
        <v>0</v>
      </c>
      <c r="AY317" cm="1">
        <f t="array" ref="AY317">IF(OR(AC317={"NS","NA"},$W289={"NS","NA"}),0,IF(AC317&lt;=$W289,0,1))</f>
        <v>0</v>
      </c>
      <c r="AZ317" cm="1">
        <f t="array" ref="AZ317">IF(OR(AD317={"NS","NA"},$W289={"NS","NA"}),0,IF(AD317&lt;=$W289,0,1))</f>
        <v>0</v>
      </c>
    </row>
    <row r="318" spans="1:52" ht="15" customHeight="1">
      <c r="A318" s="50"/>
      <c r="B318" s="38"/>
      <c r="C318" s="44" t="s">
        <v>2519</v>
      </c>
      <c r="D318" s="869" t="s">
        <v>6183</v>
      </c>
      <c r="E318" s="870"/>
      <c r="F318" s="870"/>
      <c r="G318" s="870"/>
      <c r="H318" s="870"/>
      <c r="I318" s="870"/>
      <c r="J318" s="870"/>
      <c r="K318" s="870"/>
      <c r="L318" s="870"/>
      <c r="M318" s="870"/>
      <c r="N318" s="870"/>
      <c r="O318" s="870"/>
      <c r="P318" s="871"/>
      <c r="Q318" s="100"/>
      <c r="R318" s="100"/>
      <c r="S318" s="100"/>
      <c r="T318" s="100"/>
      <c r="U318" s="100"/>
      <c r="V318" s="100"/>
      <c r="W318" s="100"/>
      <c r="X318" s="100"/>
      <c r="Y318" s="100"/>
      <c r="Z318" s="100"/>
      <c r="AA318" s="100"/>
      <c r="AB318" s="100"/>
      <c r="AC318" s="100"/>
      <c r="AD318" s="100"/>
      <c r="AG318">
        <f>IF(OR($X289=0,$X289="NS",$X289="NA"),0,IF(SUM(COUNTBLANK(Q318:AD318),COUNTBLANK(P330:AD330))=0,0,1))</f>
        <v>0</v>
      </c>
      <c r="AH318">
        <f>IF(OR($X289=0,$X289="NS",$X289="NA"),IF(SUM(COUNTBLANK(Q318:AD318),COUNTBLANK(P330:AD330))=29,0,1),0)</f>
        <v>0</v>
      </c>
      <c r="AI318" cm="1">
        <f t="array" ref="AI318">IF(OR(Q318={"NS","NA"},X289={"NS","NA"}),0,IF(Q318&gt;=X289,0,1))</f>
        <v>0</v>
      </c>
      <c r="AK318">
        <f t="shared" si="22"/>
        <v>0</v>
      </c>
      <c r="AL318">
        <f t="shared" si="23"/>
        <v>0</v>
      </c>
      <c r="AM318">
        <f t="shared" si="24"/>
        <v>0</v>
      </c>
      <c r="AN318" cm="1">
        <f t="array" ref="AN318">IF(OR(R318={"NS","NA"},$X289={"NS","NA"}),0,IF(R318&lt;=$X289,0,1))</f>
        <v>0</v>
      </c>
      <c r="AO318" cm="1">
        <f t="array" ref="AO318">IF(OR(S318={"NS","NA"},$X289={"NS","NA"}),0,IF(S318&lt;=$X289,0,1))</f>
        <v>0</v>
      </c>
      <c r="AP318" cm="1">
        <f t="array" ref="AP318">IF(OR(T318={"NS","NA"},$X289={"NS","NA"}),0,IF(T318&lt;=$X289,0,1))</f>
        <v>0</v>
      </c>
      <c r="AQ318" cm="1">
        <f t="array" ref="AQ318">IF(OR(U318={"NS","NA"},$X289={"NS","NA"}),0,IF(U318&lt;=$X289,0,1))</f>
        <v>0</v>
      </c>
      <c r="AR318" cm="1">
        <f t="array" ref="AR318">IF(OR(V318={"NS","NA"},$X289={"NS","NA"}),0,IF(V318&lt;=$X289,0,1))</f>
        <v>0</v>
      </c>
      <c r="AS318" cm="1">
        <f t="array" ref="AS318">IF(OR(W318={"NS","NA"},$X289={"NS","NA"}),0,IF(W318&lt;=$X289,0,1))</f>
        <v>0</v>
      </c>
      <c r="AT318" cm="1">
        <f t="array" ref="AT318">IF(OR(X318={"NS","NA"},$X289={"NS","NA"}),0,IF(X318&lt;=$X289,0,1))</f>
        <v>0</v>
      </c>
      <c r="AU318" cm="1">
        <f t="array" ref="AU318">IF(OR(Y318={"NS","NA"},$X289={"NS","NA"}),0,IF(Y318&lt;=$X289,0,1))</f>
        <v>0</v>
      </c>
      <c r="AV318" cm="1">
        <f t="array" ref="AV318">IF(OR(Z318={"NS","NA"},$X289={"NS","NA"}),0,IF(Z318&lt;=$X289,0,1))</f>
        <v>0</v>
      </c>
      <c r="AW318" cm="1">
        <f t="array" ref="AW318">IF(OR(AA318={"NS","NA"},$X289={"NS","NA"}),0,IF(AA318&lt;=$X289,0,1))</f>
        <v>0</v>
      </c>
      <c r="AX318" cm="1">
        <f t="array" ref="AX318">IF(OR(AB318={"NS","NA"},$X289={"NS","NA"}),0,IF(AB318&lt;=$X289,0,1))</f>
        <v>0</v>
      </c>
      <c r="AY318" cm="1">
        <f t="array" ref="AY318">IF(OR(AC318={"NS","NA"},$X289={"NS","NA"}),0,IF(AC318&lt;=$X289,0,1))</f>
        <v>0</v>
      </c>
      <c r="AZ318" cm="1">
        <f t="array" ref="AZ318">IF(OR(AD318={"NS","NA"},$X289={"NS","NA"}),0,IF(AD318&lt;=$X289,0,1))</f>
        <v>0</v>
      </c>
    </row>
    <row r="319" spans="1:52" ht="24" customHeight="1">
      <c r="A319" s="50"/>
      <c r="B319" s="38"/>
      <c r="C319" s="44" t="s">
        <v>2520</v>
      </c>
      <c r="D319" s="813" t="s">
        <v>6179</v>
      </c>
      <c r="E319" s="814"/>
      <c r="F319" s="814"/>
      <c r="G319" s="814"/>
      <c r="H319" s="814"/>
      <c r="I319" s="814"/>
      <c r="J319" s="814"/>
      <c r="K319" s="814"/>
      <c r="L319" s="814"/>
      <c r="M319" s="814"/>
      <c r="N319" s="814"/>
      <c r="O319" s="814"/>
      <c r="P319" s="815"/>
      <c r="Q319" s="100"/>
      <c r="R319" s="100"/>
      <c r="S319" s="100"/>
      <c r="T319" s="100"/>
      <c r="U319" s="100"/>
      <c r="V319" s="100"/>
      <c r="W319" s="100"/>
      <c r="X319" s="100"/>
      <c r="Y319" s="100"/>
      <c r="Z319" s="100"/>
      <c r="AA319" s="100"/>
      <c r="AB319" s="100"/>
      <c r="AC319" s="100"/>
      <c r="AD319" s="100"/>
      <c r="AG319">
        <f>IF(OR($Y289=0,$Y289="NS",$Y289="NA"),0,IF(SUM(COUNTBLANK(Q319:AD319),COUNTBLANK(P331:AD331))=0,0,1))</f>
        <v>0</v>
      </c>
      <c r="AH319">
        <f>IF(OR($Y289=0,$Y289="NS",$Y289="NA"),IF(SUM(COUNTBLANK(Q319:AD319),COUNTBLANK(P331:AD331))=29,0,1),0)</f>
        <v>0</v>
      </c>
      <c r="AI319" cm="1">
        <f t="array" ref="AI319">IF(OR(Q319={"NS","NA"},Y289={"NS","NA"}),0,IF(Q319&gt;=Y289,0,1))</f>
        <v>0</v>
      </c>
      <c r="AK319">
        <f t="shared" si="22"/>
        <v>0</v>
      </c>
      <c r="AL319">
        <f t="shared" si="23"/>
        <v>0</v>
      </c>
      <c r="AM319">
        <f t="shared" si="24"/>
        <v>0</v>
      </c>
      <c r="AN319" cm="1">
        <f t="array" ref="AN319">IF(OR(R319={"NS","NA"},$Y289={"NS","NA"}),0,IF(R319&lt;=$Y289,0,1))</f>
        <v>0</v>
      </c>
      <c r="AO319" cm="1">
        <f t="array" ref="AO319">IF(OR(S319={"NS","NA"},$Y289={"NS","NA"}),0,IF(S319&lt;=$Y289,0,1))</f>
        <v>0</v>
      </c>
      <c r="AP319" cm="1">
        <f t="array" ref="AP319">IF(OR(T319={"NS","NA"},$Y289={"NS","NA"}),0,IF(T319&lt;=$Y289,0,1))</f>
        <v>0</v>
      </c>
      <c r="AQ319" cm="1">
        <f t="array" ref="AQ319">IF(OR(U319={"NS","NA"},$Y289={"NS","NA"}),0,IF(U319&lt;=$Y289,0,1))</f>
        <v>0</v>
      </c>
      <c r="AR319" cm="1">
        <f t="array" ref="AR319">IF(OR(V319={"NS","NA"},$Y289={"NS","NA"}),0,IF(V319&lt;=$Y289,0,1))</f>
        <v>0</v>
      </c>
      <c r="AS319" cm="1">
        <f t="array" ref="AS319">IF(OR(W319={"NS","NA"},$Y289={"NS","NA"}),0,IF(W319&lt;=$Y289,0,1))</f>
        <v>0</v>
      </c>
      <c r="AT319" cm="1">
        <f t="array" ref="AT319">IF(OR(X319={"NS","NA"},$Y289={"NS","NA"}),0,IF(X319&lt;=$Y289,0,1))</f>
        <v>0</v>
      </c>
      <c r="AU319" cm="1">
        <f t="array" ref="AU319">IF(OR(Y319={"NS","NA"},$Y289={"NS","NA"}),0,IF(Y319&lt;=$Y289,0,1))</f>
        <v>0</v>
      </c>
      <c r="AV319" cm="1">
        <f t="array" ref="AV319">IF(OR(Z319={"NS","NA"},$Y289={"NS","NA"}),0,IF(Z319&lt;=$Y289,0,1))</f>
        <v>0</v>
      </c>
      <c r="AW319" cm="1">
        <f t="array" ref="AW319">IF(OR(AA319={"NS","NA"},$Y289={"NS","NA"}),0,IF(AA319&lt;=$Y289,0,1))</f>
        <v>0</v>
      </c>
      <c r="AX319" cm="1">
        <f t="array" ref="AX319">IF(OR(AB319={"NS","NA"},$Y289={"NS","NA"}),0,IF(AB319&lt;=$Y289,0,1))</f>
        <v>0</v>
      </c>
      <c r="AY319" cm="1">
        <f t="array" ref="AY319">IF(OR(AC319={"NS","NA"},$Y289={"NS","NA"}),0,IF(AC319&lt;=$Y289,0,1))</f>
        <v>0</v>
      </c>
      <c r="AZ319" cm="1">
        <f t="array" ref="AZ319">IF(OR(AD319={"NS","NA"},$Y289={"NS","NA"}),0,IF(AD319&lt;=$Y289,0,1))</f>
        <v>0</v>
      </c>
    </row>
    <row r="320" spans="1:52" ht="24" customHeight="1">
      <c r="A320" s="50"/>
      <c r="B320" s="38"/>
      <c r="C320" s="44" t="s">
        <v>2521</v>
      </c>
      <c r="D320" s="813" t="s">
        <v>6181</v>
      </c>
      <c r="E320" s="814"/>
      <c r="F320" s="814"/>
      <c r="G320" s="814"/>
      <c r="H320" s="814"/>
      <c r="I320" s="814"/>
      <c r="J320" s="814"/>
      <c r="K320" s="814"/>
      <c r="L320" s="814"/>
      <c r="M320" s="814"/>
      <c r="N320" s="814"/>
      <c r="O320" s="814"/>
      <c r="P320" s="815"/>
      <c r="Q320" s="100"/>
      <c r="R320" s="100"/>
      <c r="S320" s="100"/>
      <c r="T320" s="100"/>
      <c r="U320" s="100"/>
      <c r="V320" s="100"/>
      <c r="W320" s="100"/>
      <c r="X320" s="100"/>
      <c r="Y320" s="100"/>
      <c r="Z320" s="100"/>
      <c r="AA320" s="100"/>
      <c r="AB320" s="100"/>
      <c r="AC320" s="100"/>
      <c r="AD320" s="100"/>
      <c r="AG320">
        <f>IF(OR($Z289=0,$Z289="NS",$Z289="NA"),0,IF(SUM(COUNTBLANK(Q320:AD320),COUNTBLANK(P332:AD332))=0,0,1))</f>
        <v>0</v>
      </c>
      <c r="AH320">
        <f>IF(OR($Z289=0,$Z289="NS",$Z289="NA"),IF(SUM(COUNTBLANK(Q320:AD320),COUNTBLANK(P332:AD332))=29,0,1),0)</f>
        <v>0</v>
      </c>
      <c r="AI320" cm="1">
        <f t="array" ref="AI320">IF(OR(Q320={"NS","NA"},Z289={"NS","NA"}),0,IF(Q320&gt;=Z289,0,1))</f>
        <v>0</v>
      </c>
      <c r="AK320">
        <f t="shared" si="22"/>
        <v>0</v>
      </c>
      <c r="AL320">
        <f t="shared" si="23"/>
        <v>0</v>
      </c>
      <c r="AM320">
        <f t="shared" si="24"/>
        <v>0</v>
      </c>
      <c r="AN320" cm="1">
        <f t="array" ref="AN320">IF(OR(R320={"NS","NA"},$Z289={"NS","NA"}),0,IF(R320&lt;=$Z289,0,1))</f>
        <v>0</v>
      </c>
      <c r="AO320" cm="1">
        <f t="array" ref="AO320">IF(OR(S320={"NS","NA"},$Z289={"NS","NA"}),0,IF(S320&lt;=$Z289,0,1))</f>
        <v>0</v>
      </c>
      <c r="AP320" cm="1">
        <f t="array" ref="AP320">IF(OR(T320={"NS","NA"},$Z289={"NS","NA"}),0,IF(T320&lt;=$Z289,0,1))</f>
        <v>0</v>
      </c>
      <c r="AQ320" cm="1">
        <f t="array" ref="AQ320">IF(OR(U320={"NS","NA"},$Z289={"NS","NA"}),0,IF(U320&lt;=$Z289,0,1))</f>
        <v>0</v>
      </c>
      <c r="AR320" cm="1">
        <f t="array" ref="AR320">IF(OR(V320={"NS","NA"},$Z289={"NS","NA"}),0,IF(V320&lt;=$Z289,0,1))</f>
        <v>0</v>
      </c>
      <c r="AS320" cm="1">
        <f t="array" ref="AS320">IF(OR(W320={"NS","NA"},$Z289={"NS","NA"}),0,IF(W320&lt;=$Z289,0,1))</f>
        <v>0</v>
      </c>
      <c r="AT320" cm="1">
        <f t="array" ref="AT320">IF(OR(X320={"NS","NA"},$Z289={"NS","NA"}),0,IF(X320&lt;=$Z289,0,1))</f>
        <v>0</v>
      </c>
      <c r="AU320" cm="1">
        <f t="array" ref="AU320">IF(OR(Y320={"NS","NA"},$Z289={"NS","NA"}),0,IF(Y320&lt;=$Z289,0,1))</f>
        <v>0</v>
      </c>
      <c r="AV320" cm="1">
        <f t="array" ref="AV320">IF(OR(Z320={"NS","NA"},$Z289={"NS","NA"}),0,IF(Z320&lt;=$Z289,0,1))</f>
        <v>0</v>
      </c>
      <c r="AW320" cm="1">
        <f t="array" ref="AW320">IF(OR(AA320={"NS","NA"},$Z289={"NS","NA"}),0,IF(AA320&lt;=$Z289,0,1))</f>
        <v>0</v>
      </c>
      <c r="AX320" cm="1">
        <f t="array" ref="AX320">IF(OR(AB320={"NS","NA"},$Z289={"NS","NA"}),0,IF(AB320&lt;=$Z289,0,1))</f>
        <v>0</v>
      </c>
      <c r="AY320" cm="1">
        <f t="array" ref="AY320">IF(OR(AC320={"NS","NA"},$Z289={"NS","NA"}),0,IF(AC320&lt;=$Z289,0,1))</f>
        <v>0</v>
      </c>
      <c r="AZ320" cm="1">
        <f t="array" ref="AZ320">IF(OR(AD320={"NS","NA"},$Z289={"NS","NA"}),0,IF(AD320&lt;=$Z289,0,1))</f>
        <v>0</v>
      </c>
    </row>
    <row r="321" spans="1:52" ht="15" customHeight="1">
      <c r="A321" s="50"/>
      <c r="B321" s="38"/>
      <c r="C321" s="44" t="s">
        <v>2522</v>
      </c>
      <c r="D321" s="869" t="s">
        <v>3758</v>
      </c>
      <c r="E321" s="870"/>
      <c r="F321" s="870"/>
      <c r="G321" s="870"/>
      <c r="H321" s="870"/>
      <c r="I321" s="870"/>
      <c r="J321" s="870"/>
      <c r="K321" s="870"/>
      <c r="L321" s="870"/>
      <c r="M321" s="870"/>
      <c r="N321" s="870"/>
      <c r="O321" s="870"/>
      <c r="P321" s="871"/>
      <c r="Q321" s="100"/>
      <c r="R321" s="100"/>
      <c r="S321" s="100"/>
      <c r="T321" s="100"/>
      <c r="U321" s="100"/>
      <c r="V321" s="100"/>
      <c r="W321" s="100"/>
      <c r="X321" s="100"/>
      <c r="Y321" s="100"/>
      <c r="Z321" s="100"/>
      <c r="AA321" s="100"/>
      <c r="AB321" s="100"/>
      <c r="AC321" s="100"/>
      <c r="AD321" s="100"/>
      <c r="AG321">
        <f>IF(OR($AA289=0,$AA289="NS",$AA289="NA"),0,IF(SUM(COUNTBLANK(Q321:AD321),COUNTBLANK(P333:AD333))=0,0,1))</f>
        <v>0</v>
      </c>
      <c r="AH321">
        <f>IF(OR($AA289=0,$AA289="NS",$AA289="NA"),IF(SUM(COUNTBLANK(Q321:AD321),COUNTBLANK(P333:AD333))=29,0,1),0)</f>
        <v>0</v>
      </c>
      <c r="AI321" cm="1">
        <f t="array" ref="AI321">IF(OR(Q321={"NS","NA"},AA289={"NS","NA"}),0,IF(Q321&gt;=AA289,0,1))</f>
        <v>0</v>
      </c>
      <c r="AK321">
        <f t="shared" si="22"/>
        <v>0</v>
      </c>
      <c r="AL321">
        <f t="shared" si="23"/>
        <v>0</v>
      </c>
      <c r="AM321">
        <f t="shared" si="24"/>
        <v>0</v>
      </c>
      <c r="AN321" cm="1">
        <f t="array" ref="AN321">IF(OR(R321={"NS","NA"},$AA289={"NS","NA"}),0,IF(R321&lt;=$AA289,0,1))</f>
        <v>0</v>
      </c>
      <c r="AO321" cm="1">
        <f t="array" ref="AO321">IF(OR(S321={"NS","NA"},$AA289={"NS","NA"}),0,IF(S321&lt;=$AA289,0,1))</f>
        <v>0</v>
      </c>
      <c r="AP321" cm="1">
        <f t="array" ref="AP321">IF(OR(T321={"NS","NA"},$AA289={"NS","NA"}),0,IF(T321&lt;=$AA289,0,1))</f>
        <v>0</v>
      </c>
      <c r="AQ321" cm="1">
        <f t="array" ref="AQ321">IF(OR(U321={"NS","NA"},$AA289={"NS","NA"}),0,IF(U321&lt;=$AA289,0,1))</f>
        <v>0</v>
      </c>
      <c r="AR321" cm="1">
        <f t="array" ref="AR321">IF(OR(V321={"NS","NA"},$AA289={"NS","NA"}),0,IF(V321&lt;=$AA289,0,1))</f>
        <v>0</v>
      </c>
      <c r="AS321" cm="1">
        <f t="array" ref="AS321">IF(OR(W321={"NS","NA"},$AA289={"NS","NA"}),0,IF(W321&lt;=$AA289,0,1))</f>
        <v>0</v>
      </c>
      <c r="AT321" cm="1">
        <f t="array" ref="AT321">IF(OR(X321={"NS","NA"},$AA289={"NS","NA"}),0,IF(X321&lt;=$AA289,0,1))</f>
        <v>0</v>
      </c>
      <c r="AU321" cm="1">
        <f t="array" ref="AU321">IF(OR(Y321={"NS","NA"},$AA289={"NS","NA"}),0,IF(Y321&lt;=$AA289,0,1))</f>
        <v>0</v>
      </c>
      <c r="AV321" cm="1">
        <f t="array" ref="AV321">IF(OR(Z321={"NS","NA"},$AA289={"NS","NA"}),0,IF(Z321&lt;=$AA289,0,1))</f>
        <v>0</v>
      </c>
      <c r="AW321" cm="1">
        <f t="array" ref="AW321">IF(OR(AA321={"NS","NA"},$AA289={"NS","NA"}),0,IF(AA321&lt;=$AA289,0,1))</f>
        <v>0</v>
      </c>
      <c r="AX321" cm="1">
        <f t="array" ref="AX321">IF(OR(AB321={"NS","NA"},$AA289={"NS","NA"}),0,IF(AB321&lt;=$AA289,0,1))</f>
        <v>0</v>
      </c>
      <c r="AY321" cm="1">
        <f t="array" ref="AY321">IF(OR(AC321={"NS","NA"},$AA289={"NS","NA"}),0,IF(AC321&lt;=$AA289,0,1))</f>
        <v>0</v>
      </c>
      <c r="AZ321" cm="1">
        <f t="array" ref="AZ321">IF(OR(AD321={"NS","NA"},$AA289={"NS","NA"}),0,IF(AD321&lt;=$AA289,0,1))</f>
        <v>0</v>
      </c>
    </row>
    <row r="322" spans="1:52">
      <c r="A322" s="50"/>
      <c r="B322" s="38"/>
      <c r="C322" s="70"/>
      <c r="D322" s="70"/>
      <c r="E322" s="70"/>
      <c r="F322" s="70"/>
      <c r="G322" s="70"/>
      <c r="H322" s="70"/>
      <c r="O322" s="99"/>
      <c r="P322" s="99" t="s">
        <v>2649</v>
      </c>
      <c r="Q322" s="124">
        <f t="shared" ref="Q322:AC322" si="25">IF(AND(SUM(Q315:Q321)=0,COUNTIF(Q315:Q321,"NS")&gt;0),"NS",IF(AND(SUM(Q315:Q321)=0,COUNTIF(Q315:Q321,0)&gt;0),0,IF(AND(SUM(Q315:Q321)=0,COUNTIF(Q315:Q321,"NA")&gt;0),"NA",SUM(Q315:Q321))))</f>
        <v>0</v>
      </c>
      <c r="R322" s="124">
        <f t="shared" si="25"/>
        <v>0</v>
      </c>
      <c r="S322" s="124">
        <f t="shared" si="25"/>
        <v>0</v>
      </c>
      <c r="T322" s="124">
        <f t="shared" si="25"/>
        <v>0</v>
      </c>
      <c r="U322" s="124">
        <f t="shared" si="25"/>
        <v>0</v>
      </c>
      <c r="V322" s="124">
        <f t="shared" si="25"/>
        <v>0</v>
      </c>
      <c r="W322" s="124">
        <f t="shared" si="25"/>
        <v>0</v>
      </c>
      <c r="X322" s="124">
        <f t="shared" si="25"/>
        <v>0</v>
      </c>
      <c r="Y322" s="124">
        <f t="shared" si="25"/>
        <v>0</v>
      </c>
      <c r="Z322" s="124">
        <f t="shared" si="25"/>
        <v>0</v>
      </c>
      <c r="AA322" s="124">
        <f t="shared" si="25"/>
        <v>0</v>
      </c>
      <c r="AB322" s="124">
        <f t="shared" si="25"/>
        <v>0</v>
      </c>
      <c r="AC322" s="124">
        <f t="shared" si="25"/>
        <v>0</v>
      </c>
      <c r="AD322" s="124">
        <f>IF(AND(SUM(AD315:AD321)=0,COUNTIF(AD315:AD321,"NS")&gt;0),"NS",IF(AND(SUM(AD315:AD321)=0,COUNTIF(AD315:AD321,0)&gt;0),0,IF(AND(SUM(AD315:AD321)=0,COUNTIF(AD315:AD321,"NA")&gt;0),"NA",SUM(AD315:AD321))))</f>
        <v>0</v>
      </c>
      <c r="AG322" s="506">
        <f>SUM(AG315:AG321)</f>
        <v>0</v>
      </c>
      <c r="AH322" s="507">
        <f>SUM(AH315:AH321)</f>
        <v>0</v>
      </c>
      <c r="AI322" s="506">
        <f>SUM(AI315:AI321)</f>
        <v>0</v>
      </c>
      <c r="AK322">
        <f>SUM(AK315:AK321)</f>
        <v>0</v>
      </c>
      <c r="AM322" s="506">
        <f>SUM(AM315:AM321)</f>
        <v>0</v>
      </c>
      <c r="AZ322" s="693">
        <f>SUM(AN315:AZ321)</f>
        <v>0</v>
      </c>
    </row>
    <row r="323" spans="1:52">
      <c r="A323" s="215"/>
      <c r="B323" s="90"/>
      <c r="C323" s="90"/>
      <c r="D323" s="90"/>
      <c r="E323" s="90"/>
      <c r="F323" s="90"/>
      <c r="G323" s="90"/>
      <c r="H323" s="90"/>
      <c r="I323" s="90"/>
      <c r="J323" s="90"/>
      <c r="K323" s="90"/>
      <c r="L323" s="90"/>
      <c r="M323" s="90"/>
      <c r="N323" s="90"/>
      <c r="O323" s="90"/>
      <c r="P323" s="90"/>
      <c r="Q323" s="90"/>
      <c r="R323" s="90"/>
      <c r="S323" s="90"/>
      <c r="T323" s="90"/>
      <c r="U323" s="90"/>
      <c r="V323" s="90"/>
      <c r="W323" s="90"/>
      <c r="X323" s="90"/>
      <c r="Y323" s="90"/>
      <c r="Z323" s="90"/>
      <c r="AA323" s="90"/>
      <c r="AB323" s="90"/>
      <c r="AC323" s="90"/>
      <c r="AD323" s="90"/>
    </row>
    <row r="324" spans="1:52" ht="15" customHeight="1">
      <c r="A324" s="119"/>
      <c r="AA324" s="875" t="s">
        <v>2668</v>
      </c>
      <c r="AB324" s="875"/>
      <c r="AC324" s="875"/>
      <c r="AD324" s="875"/>
    </row>
    <row r="325" spans="1:52" ht="36" customHeight="1">
      <c r="A325" s="50"/>
      <c r="B325" s="38"/>
      <c r="C325" s="797" t="s">
        <v>6189</v>
      </c>
      <c r="D325" s="798"/>
      <c r="E325" s="798"/>
      <c r="F325" s="798"/>
      <c r="G325" s="798"/>
      <c r="H325" s="798"/>
      <c r="I325" s="798"/>
      <c r="J325" s="798"/>
      <c r="K325" s="798"/>
      <c r="L325" s="798"/>
      <c r="M325" s="798"/>
      <c r="N325" s="798"/>
      <c r="O325" s="799"/>
      <c r="P325" s="739" t="s">
        <v>6190</v>
      </c>
      <c r="Q325" s="740"/>
      <c r="R325" s="740"/>
      <c r="S325" s="740"/>
      <c r="T325" s="740"/>
      <c r="U325" s="740"/>
      <c r="V325" s="740"/>
      <c r="W325" s="740"/>
      <c r="X325" s="740"/>
      <c r="Y325" s="740"/>
      <c r="Z325" s="740"/>
      <c r="AA325" s="740"/>
      <c r="AB325" s="740"/>
      <c r="AC325" s="740"/>
      <c r="AD325" s="741"/>
    </row>
    <row r="326" spans="1:52" ht="36" customHeight="1">
      <c r="A326" s="50"/>
      <c r="B326" s="38"/>
      <c r="C326" s="803"/>
      <c r="D326" s="804"/>
      <c r="E326" s="804"/>
      <c r="F326" s="804"/>
      <c r="G326" s="804"/>
      <c r="H326" s="804"/>
      <c r="I326" s="804"/>
      <c r="J326" s="804"/>
      <c r="K326" s="804"/>
      <c r="L326" s="804"/>
      <c r="M326" s="804"/>
      <c r="N326" s="804"/>
      <c r="O326" s="805"/>
      <c r="P326" s="44" t="s">
        <v>2529</v>
      </c>
      <c r="Q326" s="44" t="s">
        <v>2530</v>
      </c>
      <c r="R326" s="44" t="s">
        <v>2531</v>
      </c>
      <c r="S326" s="44" t="s">
        <v>2532</v>
      </c>
      <c r="T326" s="44" t="s">
        <v>2533</v>
      </c>
      <c r="U326" s="44" t="s">
        <v>2534</v>
      </c>
      <c r="V326" s="44" t="s">
        <v>2535</v>
      </c>
      <c r="W326" s="44" t="s">
        <v>2536</v>
      </c>
      <c r="X326" s="44" t="s">
        <v>2537</v>
      </c>
      <c r="Y326" s="44" t="s">
        <v>2538</v>
      </c>
      <c r="Z326" s="44" t="s">
        <v>2539</v>
      </c>
      <c r="AA326" s="44" t="s">
        <v>2540</v>
      </c>
      <c r="AB326" s="44" t="s">
        <v>2541</v>
      </c>
      <c r="AC326" s="44" t="s">
        <v>2542</v>
      </c>
      <c r="AD326" s="44" t="s">
        <v>2543</v>
      </c>
      <c r="AG326" t="s">
        <v>5290</v>
      </c>
      <c r="AH326"/>
      <c r="AI326"/>
      <c r="AJ326"/>
      <c r="AK326"/>
      <c r="AL326"/>
      <c r="AM326"/>
      <c r="AN326"/>
      <c r="AO326"/>
      <c r="AP326"/>
      <c r="AQ326"/>
      <c r="AR326"/>
      <c r="AS326"/>
      <c r="AT326"/>
      <c r="AU326"/>
    </row>
    <row r="327" spans="1:52" ht="15" customHeight="1">
      <c r="A327" s="50"/>
      <c r="B327" s="38"/>
      <c r="C327" s="92" t="s">
        <v>2516</v>
      </c>
      <c r="D327" s="872" t="s">
        <v>6178</v>
      </c>
      <c r="E327" s="872"/>
      <c r="F327" s="872"/>
      <c r="G327" s="872"/>
      <c r="H327" s="872"/>
      <c r="I327" s="872"/>
      <c r="J327" s="872"/>
      <c r="K327" s="872"/>
      <c r="L327" s="872"/>
      <c r="M327" s="872"/>
      <c r="N327" s="872"/>
      <c r="O327" s="872"/>
      <c r="P327" s="100"/>
      <c r="Q327" s="100"/>
      <c r="R327" s="100"/>
      <c r="S327" s="100"/>
      <c r="T327" s="100"/>
      <c r="U327" s="100"/>
      <c r="V327" s="100"/>
      <c r="W327" s="100"/>
      <c r="X327" s="100"/>
      <c r="Y327" s="100"/>
      <c r="Z327" s="100"/>
      <c r="AA327" s="100"/>
      <c r="AB327" s="100"/>
      <c r="AC327" s="100"/>
      <c r="AD327" s="100"/>
      <c r="AG327" cm="1">
        <f t="array" ref="AG327">IF(OR(P327={"NS","NA"},$U289={"NS","NA"}),0,IF(P327&lt;=$U289,0,1))</f>
        <v>0</v>
      </c>
      <c r="AH327" cm="1">
        <f t="array" ref="AH327">IF(OR(Q327={"NS","NA"},$U289={"NS","NA"}),0,IF(Q327&lt;=$U289,0,1))</f>
        <v>0</v>
      </c>
      <c r="AI327" cm="1">
        <f t="array" ref="AI327">IF(OR(R327={"NS","NA"},$U289={"NS","NA"}),0,IF(R327&lt;=$U289,0,1))</f>
        <v>0</v>
      </c>
      <c r="AJ327" cm="1">
        <f t="array" ref="AJ327">IF(OR(S327={"NS","NA"},$U289={"NS","NA"}),0,IF(S327&lt;=$U289,0,1))</f>
        <v>0</v>
      </c>
      <c r="AK327" cm="1">
        <f t="array" ref="AK327">IF(OR(T327={"NS","NA"},$U289={"NS","NA"}),0,IF(T327&lt;=$U289,0,1))</f>
        <v>0</v>
      </c>
      <c r="AL327" cm="1">
        <f t="array" ref="AL327">IF(OR(U327={"NS","NA"},$U289={"NS","NA"}),0,IF(U327&lt;=$U289,0,1))</f>
        <v>0</v>
      </c>
      <c r="AM327" cm="1">
        <f t="array" ref="AM327">IF(OR(V327={"NS","NA"},$U289={"NS","NA"}),0,IF(V327&lt;=$U289,0,1))</f>
        <v>0</v>
      </c>
      <c r="AN327" cm="1">
        <f t="array" ref="AN327">IF(OR(W327={"NS","NA"},$U289={"NS","NA"}),0,IF(W327&lt;=$U289,0,1))</f>
        <v>0</v>
      </c>
      <c r="AO327" cm="1">
        <f t="array" ref="AO327">IF(OR(X327={"NS","NA"},$U289={"NS","NA"}),0,IF(X327&lt;=$U289,0,1))</f>
        <v>0</v>
      </c>
      <c r="AP327" cm="1">
        <f t="array" ref="AP327">IF(OR(Y327={"NS","NA"},$U289={"NS","NA"}),0,IF(Y327&lt;=$U289,0,1))</f>
        <v>0</v>
      </c>
      <c r="AQ327" cm="1">
        <f t="array" ref="AQ327">IF(OR(Z327={"NS","NA"},$U289={"NS","NA"}),0,IF(Z327&lt;=$U289,0,1))</f>
        <v>0</v>
      </c>
      <c r="AR327" cm="1">
        <f t="array" ref="AR327">IF(OR(AA327={"NS","NA"},$U289={"NS","NA"}),0,IF(AA327&lt;=$U289,0,1))</f>
        <v>0</v>
      </c>
      <c r="AS327" cm="1">
        <f t="array" ref="AS327">IF(OR(AB327={"NS","NA"},$U289={"NS","NA"}),0,IF(AB327&lt;=$U289,0,1))</f>
        <v>0</v>
      </c>
      <c r="AT327" cm="1">
        <f t="array" ref="AT327">IF(OR(AC327={"NS","NA"},$U289={"NS","NA"}),0,IF(AC327&lt;=$U289,0,1))</f>
        <v>0</v>
      </c>
      <c r="AU327" cm="1">
        <f t="array" ref="AU327">IF(OR(AD327={"NS","NA"},$U289={"NS","NA"}),0,IF(AD327&lt;=$U289,0,1))</f>
        <v>0</v>
      </c>
    </row>
    <row r="328" spans="1:52" ht="24" customHeight="1">
      <c r="A328" s="50"/>
      <c r="B328" s="38"/>
      <c r="C328" s="44" t="s">
        <v>2517</v>
      </c>
      <c r="D328" s="872" t="s">
        <v>6180</v>
      </c>
      <c r="E328" s="872"/>
      <c r="F328" s="872"/>
      <c r="G328" s="872"/>
      <c r="H328" s="872"/>
      <c r="I328" s="872"/>
      <c r="J328" s="872"/>
      <c r="K328" s="872"/>
      <c r="L328" s="872"/>
      <c r="M328" s="872"/>
      <c r="N328" s="872"/>
      <c r="O328" s="872"/>
      <c r="P328" s="100"/>
      <c r="Q328" s="100"/>
      <c r="R328" s="100"/>
      <c r="S328" s="100"/>
      <c r="T328" s="100"/>
      <c r="U328" s="100"/>
      <c r="V328" s="100"/>
      <c r="W328" s="100"/>
      <c r="X328" s="100"/>
      <c r="Y328" s="100"/>
      <c r="Z328" s="100"/>
      <c r="AA328" s="100"/>
      <c r="AB328" s="100"/>
      <c r="AC328" s="100"/>
      <c r="AD328" s="100"/>
      <c r="AG328" cm="1">
        <f t="array" ref="AG328">IF(OR(P328={"NS","NA"},$V289={"NS","NA"}),0,IF(P328&lt;=$V289,0,1))</f>
        <v>0</v>
      </c>
      <c r="AH328" cm="1">
        <f t="array" ref="AH328">IF(OR(Q328={"NS","NA"},$V289={"NS","NA"}),0,IF(Q328&lt;=$V289,0,1))</f>
        <v>0</v>
      </c>
      <c r="AI328" cm="1">
        <f t="array" ref="AI328">IF(OR(R328={"NS","NA"},$V289={"NS","NA"}),0,IF(R328&lt;=$V289,0,1))</f>
        <v>0</v>
      </c>
      <c r="AJ328" cm="1">
        <f t="array" ref="AJ328">IF(OR(S328={"NS","NA"},$V289={"NS","NA"}),0,IF(S328&lt;=$V289,0,1))</f>
        <v>0</v>
      </c>
      <c r="AK328" cm="1">
        <f t="array" ref="AK328">IF(OR(T328={"NS","NA"},$V289={"NS","NA"}),0,IF(T328&lt;=$V289,0,1))</f>
        <v>0</v>
      </c>
      <c r="AL328" cm="1">
        <f t="array" ref="AL328">IF(OR(U328={"NS","NA"},$V289={"NS","NA"}),0,IF(U328&lt;=$V289,0,1))</f>
        <v>0</v>
      </c>
      <c r="AM328" cm="1">
        <f t="array" ref="AM328">IF(OR(V328={"NS","NA"},$V289={"NS","NA"}),0,IF(V328&lt;=$V289,0,1))</f>
        <v>0</v>
      </c>
      <c r="AN328" cm="1">
        <f t="array" ref="AN328">IF(OR(W328={"NS","NA"},$V289={"NS","NA"}),0,IF(W328&lt;=$V289,0,1))</f>
        <v>0</v>
      </c>
      <c r="AO328" cm="1">
        <f t="array" ref="AO328">IF(OR(X328={"NS","NA"},$V289={"NS","NA"}),0,IF(X328&lt;=$V289,0,1))</f>
        <v>0</v>
      </c>
      <c r="AP328" cm="1">
        <f t="array" ref="AP328">IF(OR(Y328={"NS","NA"},$V289={"NS","NA"}),0,IF(Y328&lt;=$V289,0,1))</f>
        <v>0</v>
      </c>
      <c r="AQ328" cm="1">
        <f t="array" ref="AQ328">IF(OR(Z328={"NS","NA"},$V289={"NS","NA"}),0,IF(Z328&lt;=$V289,0,1))</f>
        <v>0</v>
      </c>
      <c r="AR328" cm="1">
        <f t="array" ref="AR328">IF(OR(AA328={"NS","NA"},$V289={"NS","NA"}),0,IF(AA328&lt;=$V289,0,1))</f>
        <v>0</v>
      </c>
      <c r="AS328" cm="1">
        <f t="array" ref="AS328">IF(OR(AB328={"NS","NA"},$V289={"NS","NA"}),0,IF(AB328&lt;=$V289,0,1))</f>
        <v>0</v>
      </c>
      <c r="AT328" cm="1">
        <f t="array" ref="AT328">IF(OR(AC328={"NS","NA"},$V289={"NS","NA"}),0,IF(AC328&lt;=$V289,0,1))</f>
        <v>0</v>
      </c>
      <c r="AU328" cm="1">
        <f t="array" ref="AU328">IF(OR(AD328={"NS","NA"},$V289={"NS","NA"}),0,IF(AD328&lt;=$V289,0,1))</f>
        <v>0</v>
      </c>
    </row>
    <row r="329" spans="1:52" ht="15" customHeight="1">
      <c r="A329" s="50"/>
      <c r="B329" s="38"/>
      <c r="C329" s="44" t="s">
        <v>2518</v>
      </c>
      <c r="D329" s="872" t="s">
        <v>6182</v>
      </c>
      <c r="E329" s="872"/>
      <c r="F329" s="872"/>
      <c r="G329" s="872"/>
      <c r="H329" s="872"/>
      <c r="I329" s="872"/>
      <c r="J329" s="872"/>
      <c r="K329" s="872"/>
      <c r="L329" s="872"/>
      <c r="M329" s="872"/>
      <c r="N329" s="872"/>
      <c r="O329" s="872"/>
      <c r="P329" s="100"/>
      <c r="Q329" s="100"/>
      <c r="R329" s="100"/>
      <c r="S329" s="100"/>
      <c r="T329" s="100"/>
      <c r="U329" s="100"/>
      <c r="V329" s="100"/>
      <c r="W329" s="100"/>
      <c r="X329" s="100"/>
      <c r="Y329" s="100"/>
      <c r="Z329" s="100"/>
      <c r="AA329" s="100"/>
      <c r="AB329" s="100"/>
      <c r="AC329" s="100"/>
      <c r="AD329" s="100"/>
      <c r="AG329" cm="1">
        <f t="array" ref="AG329">IF(OR(P329={"NS","NA"},$W289={"NS","NA"}),0,IF(P329&lt;=$W289,0,1))</f>
        <v>0</v>
      </c>
      <c r="AH329" cm="1">
        <f t="array" ref="AH329">IF(OR(Q329={"NS","NA"},$W289={"NS","NA"}),0,IF(Q329&lt;=$W289,0,1))</f>
        <v>0</v>
      </c>
      <c r="AI329" cm="1">
        <f t="array" ref="AI329">IF(OR(R329={"NS","NA"},$W289={"NS","NA"}),0,IF(R329&lt;=$W289,0,1))</f>
        <v>0</v>
      </c>
      <c r="AJ329" cm="1">
        <f t="array" ref="AJ329">IF(OR(S329={"NS","NA"},$W289={"NS","NA"}),0,IF(S329&lt;=$W289,0,1))</f>
        <v>0</v>
      </c>
      <c r="AK329" cm="1">
        <f t="array" ref="AK329">IF(OR(T329={"NS","NA"},$W289={"NS","NA"}),0,IF(T329&lt;=$W289,0,1))</f>
        <v>0</v>
      </c>
      <c r="AL329" cm="1">
        <f t="array" ref="AL329">IF(OR(U329={"NS","NA"},$W289={"NS","NA"}),0,IF(U329&lt;=$W289,0,1))</f>
        <v>0</v>
      </c>
      <c r="AM329" cm="1">
        <f t="array" ref="AM329">IF(OR(V329={"NS","NA"},$W289={"NS","NA"}),0,IF(V329&lt;=$W289,0,1))</f>
        <v>0</v>
      </c>
      <c r="AN329" cm="1">
        <f t="array" ref="AN329">IF(OR(W329={"NS","NA"},$W289={"NS","NA"}),0,IF(W329&lt;=$W289,0,1))</f>
        <v>0</v>
      </c>
      <c r="AO329" cm="1">
        <f t="array" ref="AO329">IF(OR(X329={"NS","NA"},$W289={"NS","NA"}),0,IF(X329&lt;=$W289,0,1))</f>
        <v>0</v>
      </c>
      <c r="AP329" cm="1">
        <f t="array" ref="AP329">IF(OR(Y329={"NS","NA"},$W289={"NS","NA"}),0,IF(Y329&lt;=$W289,0,1))</f>
        <v>0</v>
      </c>
      <c r="AQ329" cm="1">
        <f t="array" ref="AQ329">IF(OR(Z329={"NS","NA"},$W289={"NS","NA"}),0,IF(Z329&lt;=$W289,0,1))</f>
        <v>0</v>
      </c>
      <c r="AR329" cm="1">
        <f t="array" ref="AR329">IF(OR(AA329={"NS","NA"},$W289={"NS","NA"}),0,IF(AA329&lt;=$W289,0,1))</f>
        <v>0</v>
      </c>
      <c r="AS329" cm="1">
        <f t="array" ref="AS329">IF(OR(AB329={"NS","NA"},$W289={"NS","NA"}),0,IF(AB329&lt;=$W289,0,1))</f>
        <v>0</v>
      </c>
      <c r="AT329" cm="1">
        <f t="array" ref="AT329">IF(OR(AC329={"NS","NA"},$W289={"NS","NA"}),0,IF(AC329&lt;=$W289,0,1))</f>
        <v>0</v>
      </c>
      <c r="AU329" cm="1">
        <f t="array" ref="AU329">IF(OR(AD329={"NS","NA"},$W289={"NS","NA"}),0,IF(AD329&lt;=$W289,0,1))</f>
        <v>0</v>
      </c>
    </row>
    <row r="330" spans="1:52" ht="15" customHeight="1">
      <c r="A330" s="50"/>
      <c r="B330" s="38"/>
      <c r="C330" s="44" t="s">
        <v>2519</v>
      </c>
      <c r="D330" s="872" t="s">
        <v>6183</v>
      </c>
      <c r="E330" s="872"/>
      <c r="F330" s="872"/>
      <c r="G330" s="872"/>
      <c r="H330" s="872"/>
      <c r="I330" s="872"/>
      <c r="J330" s="872"/>
      <c r="K330" s="872"/>
      <c r="L330" s="872"/>
      <c r="M330" s="872"/>
      <c r="N330" s="872"/>
      <c r="O330" s="872"/>
      <c r="P330" s="100"/>
      <c r="Q330" s="100"/>
      <c r="R330" s="100"/>
      <c r="S330" s="100"/>
      <c r="T330" s="100"/>
      <c r="U330" s="100"/>
      <c r="V330" s="100"/>
      <c r="W330" s="100"/>
      <c r="X330" s="100"/>
      <c r="Y330" s="100"/>
      <c r="Z330" s="100"/>
      <c r="AA330" s="100"/>
      <c r="AB330" s="100"/>
      <c r="AC330" s="100"/>
      <c r="AD330" s="100"/>
      <c r="AG330" cm="1">
        <f t="array" ref="AG330">IF(OR(P330={"NS","NA"},$X289={"NS","NA"}),0,IF(P330&lt;=$X289,0,1))</f>
        <v>0</v>
      </c>
      <c r="AH330" cm="1">
        <f t="array" ref="AH330">IF(OR(Q330={"NS","NA"},$X289={"NS","NA"}),0,IF(Q330&lt;=$X289,0,1))</f>
        <v>0</v>
      </c>
      <c r="AI330" cm="1">
        <f t="array" ref="AI330">IF(OR(R330={"NS","NA"},$X289={"NS","NA"}),0,IF(R330&lt;=$X289,0,1))</f>
        <v>0</v>
      </c>
      <c r="AJ330" cm="1">
        <f t="array" ref="AJ330">IF(OR(S330={"NS","NA"},$X289={"NS","NA"}),0,IF(S330&lt;=$X289,0,1))</f>
        <v>0</v>
      </c>
      <c r="AK330" cm="1">
        <f t="array" ref="AK330">IF(OR(T330={"NS","NA"},$X289={"NS","NA"}),0,IF(T330&lt;=$X289,0,1))</f>
        <v>0</v>
      </c>
      <c r="AL330" cm="1">
        <f t="array" ref="AL330">IF(OR(U330={"NS","NA"},$X289={"NS","NA"}),0,IF(U330&lt;=$X289,0,1))</f>
        <v>0</v>
      </c>
      <c r="AM330" cm="1">
        <f t="array" ref="AM330">IF(OR(V330={"NS","NA"},$X289={"NS","NA"}),0,IF(V330&lt;=$X289,0,1))</f>
        <v>0</v>
      </c>
      <c r="AN330" cm="1">
        <f t="array" ref="AN330">IF(OR(W330={"NS","NA"},$X289={"NS","NA"}),0,IF(W330&lt;=$X289,0,1))</f>
        <v>0</v>
      </c>
      <c r="AO330" cm="1">
        <f t="array" ref="AO330">IF(OR(X330={"NS","NA"},$X289={"NS","NA"}),0,IF(X330&lt;=$X289,0,1))</f>
        <v>0</v>
      </c>
      <c r="AP330" cm="1">
        <f t="array" ref="AP330">IF(OR(Y330={"NS","NA"},$X289={"NS","NA"}),0,IF(Y330&lt;=$X289,0,1))</f>
        <v>0</v>
      </c>
      <c r="AQ330" cm="1">
        <f t="array" ref="AQ330">IF(OR(Z330={"NS","NA"},$X289={"NS","NA"}),0,IF(Z330&lt;=$X289,0,1))</f>
        <v>0</v>
      </c>
      <c r="AR330" cm="1">
        <f t="array" ref="AR330">IF(OR(AA330={"NS","NA"},$X289={"NS","NA"}),0,IF(AA330&lt;=$X289,0,1))</f>
        <v>0</v>
      </c>
      <c r="AS330" cm="1">
        <f t="array" ref="AS330">IF(OR(AB330={"NS","NA"},$X289={"NS","NA"}),0,IF(AB330&lt;=$X289,0,1))</f>
        <v>0</v>
      </c>
      <c r="AT330" cm="1">
        <f t="array" ref="AT330">IF(OR(AC330={"NS","NA"},$X289={"NS","NA"}),0,IF(AC330&lt;=$X289,0,1))</f>
        <v>0</v>
      </c>
      <c r="AU330" cm="1">
        <f t="array" ref="AU330">IF(OR(AD330={"NS","NA"},$X289={"NS","NA"}),0,IF(AD330&lt;=$X289,0,1))</f>
        <v>0</v>
      </c>
    </row>
    <row r="331" spans="1:52" ht="24" customHeight="1">
      <c r="A331" s="50"/>
      <c r="B331" s="38"/>
      <c r="C331" s="44" t="s">
        <v>2520</v>
      </c>
      <c r="D331" s="813" t="s">
        <v>6179</v>
      </c>
      <c r="E331" s="814"/>
      <c r="F331" s="814"/>
      <c r="G331" s="814"/>
      <c r="H331" s="814"/>
      <c r="I331" s="814"/>
      <c r="J331" s="814"/>
      <c r="K331" s="814"/>
      <c r="L331" s="814"/>
      <c r="M331" s="814"/>
      <c r="N331" s="814"/>
      <c r="O331" s="814"/>
      <c r="P331" s="100"/>
      <c r="Q331" s="100"/>
      <c r="R331" s="100"/>
      <c r="S331" s="100"/>
      <c r="T331" s="100"/>
      <c r="U331" s="100"/>
      <c r="V331" s="100"/>
      <c r="W331" s="100"/>
      <c r="X331" s="100"/>
      <c r="Y331" s="100"/>
      <c r="Z331" s="100"/>
      <c r="AA331" s="100"/>
      <c r="AB331" s="100"/>
      <c r="AC331" s="100"/>
      <c r="AD331" s="100"/>
      <c r="AG331" cm="1">
        <f t="array" ref="AG331">IF(OR(P331={"NS","NA"},$Y289={"NS","NA"}),0,IF(P331&lt;=$Y289,0,1))</f>
        <v>0</v>
      </c>
      <c r="AH331" cm="1">
        <f t="array" ref="AH331">IF(OR(Q331={"NS","NA"},$Y289={"NS","NA"}),0,IF(Q331&lt;=$Y289,0,1))</f>
        <v>0</v>
      </c>
      <c r="AI331" cm="1">
        <f t="array" ref="AI331">IF(OR(R331={"NS","NA"},$Y289={"NS","NA"}),0,IF(R331&lt;=$Y289,0,1))</f>
        <v>0</v>
      </c>
      <c r="AJ331" cm="1">
        <f t="array" ref="AJ331">IF(OR(S331={"NS","NA"},$Y289={"NS","NA"}),0,IF(S331&lt;=$Y289,0,1))</f>
        <v>0</v>
      </c>
      <c r="AK331" cm="1">
        <f t="array" ref="AK331">IF(OR(T331={"NS","NA"},$Y289={"NS","NA"}),0,IF(T331&lt;=$Y289,0,1))</f>
        <v>0</v>
      </c>
      <c r="AL331" cm="1">
        <f t="array" ref="AL331">IF(OR(U331={"NS","NA"},$Y289={"NS","NA"}),0,IF(U331&lt;=$Y289,0,1))</f>
        <v>0</v>
      </c>
      <c r="AM331" cm="1">
        <f t="array" ref="AM331">IF(OR(V331={"NS","NA"},$Y289={"NS","NA"}),0,IF(V331&lt;=$Y289,0,1))</f>
        <v>0</v>
      </c>
      <c r="AN331" cm="1">
        <f t="array" ref="AN331">IF(OR(W331={"NS","NA"},$Y289={"NS","NA"}),0,IF(W331&lt;=$Y289,0,1))</f>
        <v>0</v>
      </c>
      <c r="AO331" cm="1">
        <f t="array" ref="AO331">IF(OR(X331={"NS","NA"},$Y289={"NS","NA"}),0,IF(X331&lt;=$Y289,0,1))</f>
        <v>0</v>
      </c>
      <c r="AP331" cm="1">
        <f t="array" ref="AP331">IF(OR(Y331={"NS","NA"},$Y289={"NS","NA"}),0,IF(Y331&lt;=$Y289,0,1))</f>
        <v>0</v>
      </c>
      <c r="AQ331" cm="1">
        <f t="array" ref="AQ331">IF(OR(Z331={"NS","NA"},$Y289={"NS","NA"}),0,IF(Z331&lt;=$Y289,0,1))</f>
        <v>0</v>
      </c>
      <c r="AR331" cm="1">
        <f t="array" ref="AR331">IF(OR(AA331={"NS","NA"},$Y289={"NS","NA"}),0,IF(AA331&lt;=$Y289,0,1))</f>
        <v>0</v>
      </c>
      <c r="AS331" cm="1">
        <f t="array" ref="AS331">IF(OR(AB331={"NS","NA"},$Y289={"NS","NA"}),0,IF(AB331&lt;=$Y289,0,1))</f>
        <v>0</v>
      </c>
      <c r="AT331" cm="1">
        <f t="array" ref="AT331">IF(OR(AC331={"NS","NA"},$Y289={"NS","NA"}),0,IF(AC331&lt;=$Y289,0,1))</f>
        <v>0</v>
      </c>
      <c r="AU331" cm="1">
        <f t="array" ref="AU331">IF(OR(AD331={"NS","NA"},$Y289={"NS","NA"}),0,IF(AD331&lt;=$Y289,0,1))</f>
        <v>0</v>
      </c>
    </row>
    <row r="332" spans="1:52" ht="24" customHeight="1">
      <c r="A332" s="50"/>
      <c r="B332" s="38"/>
      <c r="C332" s="44" t="s">
        <v>2521</v>
      </c>
      <c r="D332" s="813" t="s">
        <v>6181</v>
      </c>
      <c r="E332" s="814"/>
      <c r="F332" s="814"/>
      <c r="G332" s="814"/>
      <c r="H332" s="814"/>
      <c r="I332" s="814"/>
      <c r="J332" s="814"/>
      <c r="K332" s="814"/>
      <c r="L332" s="814"/>
      <c r="M332" s="814"/>
      <c r="N332" s="814"/>
      <c r="O332" s="814"/>
      <c r="P332" s="100"/>
      <c r="Q332" s="100"/>
      <c r="R332" s="100"/>
      <c r="S332" s="100"/>
      <c r="T332" s="100"/>
      <c r="U332" s="100"/>
      <c r="V332" s="100"/>
      <c r="W332" s="100"/>
      <c r="X332" s="100"/>
      <c r="Y332" s="100"/>
      <c r="Z332" s="100"/>
      <c r="AA332" s="100"/>
      <c r="AB332" s="100"/>
      <c r="AC332" s="100"/>
      <c r="AD332" s="100"/>
      <c r="AG332" cm="1">
        <f t="array" ref="AG332">IF(OR(P332={"NS","NA"},$Z289={"NS","NA"}),0,IF(P332&lt;=$Z289,0,1))</f>
        <v>0</v>
      </c>
      <c r="AH332" cm="1">
        <f t="array" ref="AH332">IF(OR(Q332={"NS","NA"},$Z289={"NS","NA"}),0,IF(Q332&lt;=$Z289,0,1))</f>
        <v>0</v>
      </c>
      <c r="AI332" cm="1">
        <f t="array" ref="AI332">IF(OR(R332={"NS","NA"},$Z289={"NS","NA"}),0,IF(R332&lt;=$Z289,0,1))</f>
        <v>0</v>
      </c>
      <c r="AJ332" cm="1">
        <f t="array" ref="AJ332">IF(OR(S332={"NS","NA"},$Z289={"NS","NA"}),0,IF(S332&lt;=$Z289,0,1))</f>
        <v>0</v>
      </c>
      <c r="AK332" cm="1">
        <f t="array" ref="AK332">IF(OR(T332={"NS","NA"},$Z289={"NS","NA"}),0,IF(T332&lt;=$Z289,0,1))</f>
        <v>0</v>
      </c>
      <c r="AL332" cm="1">
        <f t="array" ref="AL332">IF(OR(U332={"NS","NA"},$Z289={"NS","NA"}),0,IF(U332&lt;=$Z289,0,1))</f>
        <v>0</v>
      </c>
      <c r="AM332" cm="1">
        <f t="array" ref="AM332">IF(OR(V332={"NS","NA"},$Z289={"NS","NA"}),0,IF(V332&lt;=$Z289,0,1))</f>
        <v>0</v>
      </c>
      <c r="AN332" cm="1">
        <f t="array" ref="AN332">IF(OR(W332={"NS","NA"},$Z289={"NS","NA"}),0,IF(W332&lt;=$Z289,0,1))</f>
        <v>0</v>
      </c>
      <c r="AO332" cm="1">
        <f t="array" ref="AO332">IF(OR(X332={"NS","NA"},$Z289={"NS","NA"}),0,IF(X332&lt;=$Z289,0,1))</f>
        <v>0</v>
      </c>
      <c r="AP332" cm="1">
        <f t="array" ref="AP332">IF(OR(Y332={"NS","NA"},$Z289={"NS","NA"}),0,IF(Y332&lt;=$Z289,0,1))</f>
        <v>0</v>
      </c>
      <c r="AQ332" cm="1">
        <f t="array" ref="AQ332">IF(OR(Z332={"NS","NA"},$Z289={"NS","NA"}),0,IF(Z332&lt;=$Z289,0,1))</f>
        <v>0</v>
      </c>
      <c r="AR332" cm="1">
        <f t="array" ref="AR332">IF(OR(AA332={"NS","NA"},$Z289={"NS","NA"}),0,IF(AA332&lt;=$Z289,0,1))</f>
        <v>0</v>
      </c>
      <c r="AS332" cm="1">
        <f t="array" ref="AS332">IF(OR(AB332={"NS","NA"},$Z289={"NS","NA"}),0,IF(AB332&lt;=$Z289,0,1))</f>
        <v>0</v>
      </c>
      <c r="AT332" cm="1">
        <f t="array" ref="AT332">IF(OR(AC332={"NS","NA"},$Z289={"NS","NA"}),0,IF(AC332&lt;=$Z289,0,1))</f>
        <v>0</v>
      </c>
      <c r="AU332" cm="1">
        <f t="array" ref="AU332">IF(OR(AD332={"NS","NA"},$Z289={"NS","NA"}),0,IF(AD332&lt;=$Z289,0,1))</f>
        <v>0</v>
      </c>
    </row>
    <row r="333" spans="1:52" ht="15" customHeight="1">
      <c r="A333" s="50"/>
      <c r="B333" s="38"/>
      <c r="C333" s="44" t="s">
        <v>2522</v>
      </c>
      <c r="D333" s="872" t="s">
        <v>3758</v>
      </c>
      <c r="E333" s="872"/>
      <c r="F333" s="872"/>
      <c r="G333" s="872"/>
      <c r="H333" s="872"/>
      <c r="I333" s="872"/>
      <c r="J333" s="872"/>
      <c r="K333" s="872"/>
      <c r="L333" s="872"/>
      <c r="M333" s="872"/>
      <c r="N333" s="872"/>
      <c r="O333" s="872"/>
      <c r="P333" s="100"/>
      <c r="Q333" s="100"/>
      <c r="R333" s="100"/>
      <c r="S333" s="100"/>
      <c r="T333" s="100"/>
      <c r="U333" s="100"/>
      <c r="V333" s="100"/>
      <c r="W333" s="100"/>
      <c r="X333" s="100"/>
      <c r="Y333" s="100"/>
      <c r="Z333" s="100"/>
      <c r="AA333" s="100"/>
      <c r="AB333" s="100"/>
      <c r="AC333" s="100"/>
      <c r="AD333" s="100"/>
      <c r="AG333" cm="1">
        <f t="array" ref="AG333">IF(OR(P333={"NS","NA"},$AA289={"NS","NA"}),0,IF(P333&lt;=$AA289,0,1))</f>
        <v>0</v>
      </c>
      <c r="AH333" cm="1">
        <f t="array" ref="AH333">IF(OR(Q333={"NS","NA"},$AA289={"NS","NA"}),0,IF(Q333&lt;=$AA289,0,1))</f>
        <v>0</v>
      </c>
      <c r="AI333" cm="1">
        <f t="array" ref="AI333">IF(OR(R333={"NS","NA"},$AA289={"NS","NA"}),0,IF(R333&lt;=$AA289,0,1))</f>
        <v>0</v>
      </c>
      <c r="AJ333" cm="1">
        <f t="array" ref="AJ333">IF(OR(S333={"NS","NA"},$AA289={"NS","NA"}),0,IF(S333&lt;=$AA289,0,1))</f>
        <v>0</v>
      </c>
      <c r="AK333" cm="1">
        <f t="array" ref="AK333">IF(OR(T333={"NS","NA"},$AA289={"NS","NA"}),0,IF(T333&lt;=$AA289,0,1))</f>
        <v>0</v>
      </c>
      <c r="AL333" cm="1">
        <f t="array" ref="AL333">IF(OR(U333={"NS","NA"},$AA289={"NS","NA"}),0,IF(U333&lt;=$AA289,0,1))</f>
        <v>0</v>
      </c>
      <c r="AM333" cm="1">
        <f t="array" ref="AM333">IF(OR(V333={"NS","NA"},$AA289={"NS","NA"}),0,IF(V333&lt;=$AA289,0,1))</f>
        <v>0</v>
      </c>
      <c r="AN333" cm="1">
        <f t="array" ref="AN333">IF(OR(W333={"NS","NA"},$AA289={"NS","NA"}),0,IF(W333&lt;=$AA289,0,1))</f>
        <v>0</v>
      </c>
      <c r="AO333" cm="1">
        <f t="array" ref="AO333">IF(OR(X333={"NS","NA"},$AA289={"NS","NA"}),0,IF(X333&lt;=$AA289,0,1))</f>
        <v>0</v>
      </c>
      <c r="AP333" cm="1">
        <f t="array" ref="AP333">IF(OR(Y333={"NS","NA"},$AA289={"NS","NA"}),0,IF(Y333&lt;=$AA289,0,1))</f>
        <v>0</v>
      </c>
      <c r="AQ333" cm="1">
        <f t="array" ref="AQ333">IF(OR(Z333={"NS","NA"},$AA289={"NS","NA"}),0,IF(Z333&lt;=$AA289,0,1))</f>
        <v>0</v>
      </c>
      <c r="AR333" cm="1">
        <f t="array" ref="AR333">IF(OR(AA333={"NS","NA"},$AA289={"NS","NA"}),0,IF(AA333&lt;=$AA289,0,1))</f>
        <v>0</v>
      </c>
      <c r="AS333" cm="1">
        <f t="array" ref="AS333">IF(OR(AB333={"NS","NA"},$AA289={"NS","NA"}),0,IF(AB333&lt;=$AA289,0,1))</f>
        <v>0</v>
      </c>
      <c r="AT333" cm="1">
        <f t="array" ref="AT333">IF(OR(AC333={"NS","NA"},$AA289={"NS","NA"}),0,IF(AC333&lt;=$AA289,0,1))</f>
        <v>0</v>
      </c>
      <c r="AU333" cm="1">
        <f t="array" ref="AU333">IF(OR(AD333={"NS","NA"},$AA289={"NS","NA"}),0,IF(AD333&lt;=$AA289,0,1))</f>
        <v>0</v>
      </c>
    </row>
    <row r="334" spans="1:52">
      <c r="A334" s="50"/>
      <c r="B334" s="38"/>
      <c r="C334" s="70"/>
      <c r="D334" s="70"/>
      <c r="E334" s="70"/>
      <c r="F334" s="70"/>
      <c r="G334" s="70"/>
      <c r="H334" s="70"/>
      <c r="P334" s="124">
        <f t="shared" ref="P334:AD334" si="26">IF(AND(SUM(P327:P333)=0,COUNTIF(P327:P333,"NS")&gt;0),"NS",IF(AND(SUM(P327:P333)=0,COUNTIF(P327:P333,0)&gt;0),0,IF(AND(SUM(P327:P333)=0,COUNTIF(P327:P333,"NA")&gt;0),"NA",SUM(P327:P333))))</f>
        <v>0</v>
      </c>
      <c r="Q334" s="124">
        <f t="shared" si="26"/>
        <v>0</v>
      </c>
      <c r="R334" s="124">
        <f t="shared" si="26"/>
        <v>0</v>
      </c>
      <c r="S334" s="124">
        <f t="shared" si="26"/>
        <v>0</v>
      </c>
      <c r="T334" s="124">
        <f t="shared" si="26"/>
        <v>0</v>
      </c>
      <c r="U334" s="124">
        <f t="shared" si="26"/>
        <v>0</v>
      </c>
      <c r="V334" s="124">
        <f t="shared" si="26"/>
        <v>0</v>
      </c>
      <c r="W334" s="124">
        <f t="shared" si="26"/>
        <v>0</v>
      </c>
      <c r="X334" s="124">
        <f t="shared" si="26"/>
        <v>0</v>
      </c>
      <c r="Y334" s="124">
        <f t="shared" si="26"/>
        <v>0</v>
      </c>
      <c r="Z334" s="124">
        <f t="shared" si="26"/>
        <v>0</v>
      </c>
      <c r="AA334" s="124">
        <f t="shared" si="26"/>
        <v>0</v>
      </c>
      <c r="AB334" s="124">
        <f t="shared" si="26"/>
        <v>0</v>
      </c>
      <c r="AC334" s="124">
        <f t="shared" si="26"/>
        <v>0</v>
      </c>
      <c r="AD334" s="124">
        <f t="shared" si="26"/>
        <v>0</v>
      </c>
      <c r="AU334" s="693">
        <f>SUM(AG327:AU333)</f>
        <v>0</v>
      </c>
    </row>
    <row r="335" spans="1:52">
      <c r="A335" s="215"/>
      <c r="B335" s="90"/>
      <c r="C335" s="90"/>
      <c r="D335" s="90"/>
      <c r="E335" s="90"/>
      <c r="F335" s="90"/>
      <c r="G335" s="90"/>
      <c r="H335" s="90"/>
      <c r="I335" s="90"/>
      <c r="J335" s="90"/>
      <c r="K335" s="90"/>
      <c r="L335" s="90"/>
      <c r="M335" s="90"/>
      <c r="N335" s="90"/>
      <c r="O335" s="90"/>
      <c r="P335" s="90"/>
      <c r="Q335" s="90"/>
      <c r="R335" s="90"/>
      <c r="S335" s="90"/>
      <c r="T335" s="90"/>
      <c r="U335" s="90"/>
      <c r="V335" s="90"/>
      <c r="W335" s="90"/>
      <c r="X335" s="90"/>
      <c r="Y335" s="90"/>
      <c r="Z335" s="90"/>
      <c r="AA335" s="90"/>
      <c r="AB335" s="90"/>
      <c r="AC335" s="90"/>
      <c r="AD335" s="90"/>
      <c r="AU335" s="507">
        <f>SUM(AU334,AZ322)</f>
        <v>0</v>
      </c>
    </row>
    <row r="336" spans="1:52" ht="15" customHeight="1">
      <c r="A336" s="215"/>
      <c r="B336" s="90"/>
      <c r="C336" s="732" t="s">
        <v>6191</v>
      </c>
      <c r="D336" s="732"/>
      <c r="E336" s="732"/>
      <c r="F336" s="732"/>
      <c r="G336" s="732"/>
      <c r="H336" s="732"/>
      <c r="I336" s="732"/>
      <c r="J336" s="732"/>
      <c r="K336" s="732"/>
      <c r="L336" s="732"/>
      <c r="M336" s="732"/>
      <c r="N336" s="732"/>
      <c r="O336" s="732"/>
      <c r="P336" s="732"/>
      <c r="Q336" s="732"/>
      <c r="R336" s="732"/>
      <c r="S336" s="732"/>
      <c r="T336" s="732"/>
      <c r="U336" s="732"/>
      <c r="V336" s="732"/>
      <c r="W336" s="732"/>
      <c r="X336" s="732"/>
      <c r="Y336" s="732"/>
      <c r="Z336" s="732"/>
      <c r="AA336" s="732"/>
      <c r="AB336" s="732"/>
      <c r="AC336" s="732"/>
      <c r="AD336" s="732"/>
      <c r="AG336"/>
      <c r="AH336"/>
      <c r="AI336"/>
      <c r="AJ336"/>
      <c r="AK336"/>
      <c r="AL336"/>
      <c r="AM336"/>
      <c r="AN336"/>
      <c r="AO336"/>
      <c r="AP336"/>
      <c r="AQ336"/>
      <c r="AR336"/>
      <c r="AS336"/>
      <c r="AT336"/>
      <c r="AU336"/>
      <c r="AV336"/>
      <c r="AW336"/>
      <c r="AX336"/>
      <c r="AY336"/>
      <c r="AZ336"/>
    </row>
    <row r="337" spans="1:30" ht="15" customHeight="1">
      <c r="A337" s="215"/>
      <c r="B337" s="90"/>
      <c r="C337" s="92" t="s">
        <v>2516</v>
      </c>
      <c r="D337" s="813" t="s">
        <v>6152</v>
      </c>
      <c r="E337" s="814"/>
      <c r="F337" s="814"/>
      <c r="G337" s="814"/>
      <c r="H337" s="814"/>
      <c r="I337" s="814"/>
      <c r="J337" s="814"/>
      <c r="K337" s="814"/>
      <c r="L337" s="814"/>
      <c r="M337" s="814"/>
      <c r="N337" s="814"/>
      <c r="O337" s="814"/>
      <c r="P337" s="815"/>
      <c r="Q337" s="44" t="s">
        <v>2530</v>
      </c>
      <c r="R337" s="813" t="s">
        <v>2695</v>
      </c>
      <c r="S337" s="814"/>
      <c r="T337" s="814"/>
      <c r="U337" s="814"/>
      <c r="V337" s="814"/>
      <c r="W337" s="814"/>
      <c r="X337" s="814"/>
      <c r="Y337" s="814"/>
      <c r="Z337" s="814"/>
      <c r="AA337" s="814"/>
      <c r="AB337" s="814"/>
      <c r="AC337" s="814"/>
      <c r="AD337" s="815"/>
    </row>
    <row r="338" spans="1:30" ht="24" customHeight="1">
      <c r="A338" s="215"/>
      <c r="B338" s="90"/>
      <c r="C338" s="44" t="s">
        <v>2517</v>
      </c>
      <c r="D338" s="813" t="s">
        <v>6153</v>
      </c>
      <c r="E338" s="814"/>
      <c r="F338" s="814"/>
      <c r="G338" s="814"/>
      <c r="H338" s="814"/>
      <c r="I338" s="814"/>
      <c r="J338" s="814"/>
      <c r="K338" s="814"/>
      <c r="L338" s="814"/>
      <c r="M338" s="814"/>
      <c r="N338" s="814"/>
      <c r="O338" s="814"/>
      <c r="P338" s="815"/>
      <c r="Q338" s="44" t="s">
        <v>2531</v>
      </c>
      <c r="R338" s="813" t="s">
        <v>2672</v>
      </c>
      <c r="S338" s="814"/>
      <c r="T338" s="814"/>
      <c r="U338" s="814"/>
      <c r="V338" s="814"/>
      <c r="W338" s="814"/>
      <c r="X338" s="814"/>
      <c r="Y338" s="814"/>
      <c r="Z338" s="814"/>
      <c r="AA338" s="814"/>
      <c r="AB338" s="814"/>
      <c r="AC338" s="814"/>
      <c r="AD338" s="815"/>
    </row>
    <row r="339" spans="1:30" ht="24" customHeight="1">
      <c r="A339" s="215"/>
      <c r="B339" s="90"/>
      <c r="C339" s="44" t="s">
        <v>2518</v>
      </c>
      <c r="D339" s="813" t="s">
        <v>2671</v>
      </c>
      <c r="E339" s="814"/>
      <c r="F339" s="814"/>
      <c r="G339" s="814"/>
      <c r="H339" s="814"/>
      <c r="I339" s="814"/>
      <c r="J339" s="814"/>
      <c r="K339" s="814"/>
      <c r="L339" s="814"/>
      <c r="M339" s="814"/>
      <c r="N339" s="814"/>
      <c r="O339" s="814"/>
      <c r="P339" s="815"/>
      <c r="Q339" s="44" t="s">
        <v>2532</v>
      </c>
      <c r="R339" s="813" t="s">
        <v>2674</v>
      </c>
      <c r="S339" s="814"/>
      <c r="T339" s="814"/>
      <c r="U339" s="814"/>
      <c r="V339" s="814"/>
      <c r="W339" s="814"/>
      <c r="X339" s="814"/>
      <c r="Y339" s="814"/>
      <c r="Z339" s="814"/>
      <c r="AA339" s="814"/>
      <c r="AB339" s="814"/>
      <c r="AC339" s="814"/>
      <c r="AD339" s="815"/>
    </row>
    <row r="340" spans="1:30" ht="36" customHeight="1">
      <c r="A340" s="215"/>
      <c r="B340" s="90"/>
      <c r="C340" s="44" t="s">
        <v>2519</v>
      </c>
      <c r="D340" s="813" t="s">
        <v>2673</v>
      </c>
      <c r="E340" s="814"/>
      <c r="F340" s="814"/>
      <c r="G340" s="814"/>
      <c r="H340" s="814"/>
      <c r="I340" s="814"/>
      <c r="J340" s="814"/>
      <c r="K340" s="814"/>
      <c r="L340" s="814"/>
      <c r="M340" s="814"/>
      <c r="N340" s="814"/>
      <c r="O340" s="814"/>
      <c r="P340" s="815"/>
      <c r="Q340" s="44" t="s">
        <v>2533</v>
      </c>
      <c r="R340" s="813" t="s">
        <v>2676</v>
      </c>
      <c r="S340" s="814"/>
      <c r="T340" s="814"/>
      <c r="U340" s="814"/>
      <c r="V340" s="814"/>
      <c r="W340" s="814"/>
      <c r="X340" s="814"/>
      <c r="Y340" s="814"/>
      <c r="Z340" s="814"/>
      <c r="AA340" s="814"/>
      <c r="AB340" s="814"/>
      <c r="AC340" s="814"/>
      <c r="AD340" s="815"/>
    </row>
    <row r="341" spans="1:30" ht="15" customHeight="1">
      <c r="A341" s="215"/>
      <c r="B341" s="90"/>
      <c r="C341" s="44" t="s">
        <v>2520</v>
      </c>
      <c r="D341" s="813" t="s">
        <v>2675</v>
      </c>
      <c r="E341" s="814"/>
      <c r="F341" s="814"/>
      <c r="G341" s="814"/>
      <c r="H341" s="814"/>
      <c r="I341" s="814"/>
      <c r="J341" s="814"/>
      <c r="K341" s="814"/>
      <c r="L341" s="814"/>
      <c r="M341" s="814"/>
      <c r="N341" s="814"/>
      <c r="O341" s="814"/>
      <c r="P341" s="815"/>
      <c r="Q341" s="44" t="s">
        <v>2534</v>
      </c>
      <c r="R341" s="813" t="s">
        <v>2678</v>
      </c>
      <c r="S341" s="814"/>
      <c r="T341" s="814"/>
      <c r="U341" s="814"/>
      <c r="V341" s="814"/>
      <c r="W341" s="814"/>
      <c r="X341" s="814"/>
      <c r="Y341" s="814"/>
      <c r="Z341" s="814"/>
      <c r="AA341" s="814"/>
      <c r="AB341" s="814"/>
      <c r="AC341" s="814"/>
      <c r="AD341" s="815"/>
    </row>
    <row r="342" spans="1:30" ht="15" customHeight="1">
      <c r="A342" s="215"/>
      <c r="B342" s="90"/>
      <c r="C342" s="44" t="s">
        <v>2521</v>
      </c>
      <c r="D342" s="813" t="s">
        <v>2677</v>
      </c>
      <c r="E342" s="814"/>
      <c r="F342" s="814"/>
      <c r="G342" s="814"/>
      <c r="H342" s="814"/>
      <c r="I342" s="814"/>
      <c r="J342" s="814"/>
      <c r="K342" s="814"/>
      <c r="L342" s="814"/>
      <c r="M342" s="814"/>
      <c r="N342" s="814"/>
      <c r="O342" s="814"/>
      <c r="P342" s="815"/>
      <c r="Q342" s="44" t="s">
        <v>2535</v>
      </c>
      <c r="R342" s="813" t="s">
        <v>2680</v>
      </c>
      <c r="S342" s="814"/>
      <c r="T342" s="814"/>
      <c r="U342" s="814"/>
      <c r="V342" s="814"/>
      <c r="W342" s="814"/>
      <c r="X342" s="814"/>
      <c r="Y342" s="814"/>
      <c r="Z342" s="814"/>
      <c r="AA342" s="814"/>
      <c r="AB342" s="814"/>
      <c r="AC342" s="814"/>
      <c r="AD342" s="815"/>
    </row>
    <row r="343" spans="1:30" ht="15" customHeight="1">
      <c r="A343" s="215"/>
      <c r="B343" s="90"/>
      <c r="C343" s="44" t="s">
        <v>2522</v>
      </c>
      <c r="D343" s="813" t="s">
        <v>2679</v>
      </c>
      <c r="E343" s="814"/>
      <c r="F343" s="814"/>
      <c r="G343" s="814"/>
      <c r="H343" s="814"/>
      <c r="I343" s="814"/>
      <c r="J343" s="814"/>
      <c r="K343" s="814"/>
      <c r="L343" s="814"/>
      <c r="M343" s="814"/>
      <c r="N343" s="814"/>
      <c r="O343" s="814"/>
      <c r="P343" s="815"/>
      <c r="Q343" s="44" t="s">
        <v>2536</v>
      </c>
      <c r="R343" s="813" t="s">
        <v>2682</v>
      </c>
      <c r="S343" s="814"/>
      <c r="T343" s="814"/>
      <c r="U343" s="814"/>
      <c r="V343" s="814"/>
      <c r="W343" s="814"/>
      <c r="X343" s="814"/>
      <c r="Y343" s="814"/>
      <c r="Z343" s="814"/>
      <c r="AA343" s="814"/>
      <c r="AB343" s="814"/>
      <c r="AC343" s="814"/>
      <c r="AD343" s="815"/>
    </row>
    <row r="344" spans="1:30" ht="15" customHeight="1">
      <c r="A344" s="215"/>
      <c r="B344" s="90"/>
      <c r="C344" s="44" t="s">
        <v>2523</v>
      </c>
      <c r="D344" s="813" t="s">
        <v>2681</v>
      </c>
      <c r="E344" s="814"/>
      <c r="F344" s="814"/>
      <c r="G344" s="814"/>
      <c r="H344" s="814"/>
      <c r="I344" s="814"/>
      <c r="J344" s="814"/>
      <c r="K344" s="814"/>
      <c r="L344" s="814"/>
      <c r="M344" s="814"/>
      <c r="N344" s="814"/>
      <c r="O344" s="814"/>
      <c r="P344" s="815"/>
      <c r="Q344" s="44" t="s">
        <v>2537</v>
      </c>
      <c r="R344" s="813" t="s">
        <v>2684</v>
      </c>
      <c r="S344" s="814"/>
      <c r="T344" s="814"/>
      <c r="U344" s="814"/>
      <c r="V344" s="814"/>
      <c r="W344" s="814"/>
      <c r="X344" s="814"/>
      <c r="Y344" s="814"/>
      <c r="Z344" s="814"/>
      <c r="AA344" s="814"/>
      <c r="AB344" s="814"/>
      <c r="AC344" s="814"/>
      <c r="AD344" s="815"/>
    </row>
    <row r="345" spans="1:30" ht="15" customHeight="1">
      <c r="A345" s="215"/>
      <c r="B345" s="90"/>
      <c r="C345" s="44" t="s">
        <v>2524</v>
      </c>
      <c r="D345" s="813" t="s">
        <v>2683</v>
      </c>
      <c r="E345" s="814"/>
      <c r="F345" s="814"/>
      <c r="G345" s="814"/>
      <c r="H345" s="814"/>
      <c r="I345" s="814"/>
      <c r="J345" s="814"/>
      <c r="K345" s="814"/>
      <c r="L345" s="814"/>
      <c r="M345" s="814"/>
      <c r="N345" s="814"/>
      <c r="O345" s="814"/>
      <c r="P345" s="815"/>
      <c r="Q345" s="44" t="s">
        <v>2538</v>
      </c>
      <c r="R345" s="813" t="s">
        <v>2686</v>
      </c>
      <c r="S345" s="814"/>
      <c r="T345" s="814"/>
      <c r="U345" s="814"/>
      <c r="V345" s="814"/>
      <c r="W345" s="814"/>
      <c r="X345" s="814"/>
      <c r="Y345" s="814"/>
      <c r="Z345" s="814"/>
      <c r="AA345" s="814"/>
      <c r="AB345" s="814"/>
      <c r="AC345" s="814"/>
      <c r="AD345" s="815"/>
    </row>
    <row r="346" spans="1:30" ht="15" customHeight="1">
      <c r="A346" s="215"/>
      <c r="B346" s="90"/>
      <c r="C346" s="44" t="s">
        <v>2525</v>
      </c>
      <c r="D346" s="813" t="s">
        <v>2685</v>
      </c>
      <c r="E346" s="814"/>
      <c r="F346" s="814"/>
      <c r="G346" s="814"/>
      <c r="H346" s="814"/>
      <c r="I346" s="814"/>
      <c r="J346" s="814"/>
      <c r="K346" s="814"/>
      <c r="L346" s="814"/>
      <c r="M346" s="814"/>
      <c r="N346" s="814"/>
      <c r="O346" s="814"/>
      <c r="P346" s="815"/>
      <c r="Q346" s="44" t="s">
        <v>2539</v>
      </c>
      <c r="R346" s="813" t="s">
        <v>2688</v>
      </c>
      <c r="S346" s="814"/>
      <c r="T346" s="814"/>
      <c r="U346" s="814"/>
      <c r="V346" s="814"/>
      <c r="W346" s="814"/>
      <c r="X346" s="814"/>
      <c r="Y346" s="814"/>
      <c r="Z346" s="814"/>
      <c r="AA346" s="814"/>
      <c r="AB346" s="814"/>
      <c r="AC346" s="814"/>
      <c r="AD346" s="815"/>
    </row>
    <row r="347" spans="1:30" ht="15" customHeight="1">
      <c r="A347" s="215"/>
      <c r="B347" s="90"/>
      <c r="C347" s="44" t="s">
        <v>2526</v>
      </c>
      <c r="D347" s="813" t="s">
        <v>2687</v>
      </c>
      <c r="E347" s="814"/>
      <c r="F347" s="814"/>
      <c r="G347" s="814"/>
      <c r="H347" s="814"/>
      <c r="I347" s="814"/>
      <c r="J347" s="814"/>
      <c r="K347" s="814"/>
      <c r="L347" s="814"/>
      <c r="M347" s="814"/>
      <c r="N347" s="814"/>
      <c r="O347" s="814"/>
      <c r="P347" s="815"/>
      <c r="Q347" s="44" t="s">
        <v>2540</v>
      </c>
      <c r="R347" s="813" t="s">
        <v>2690</v>
      </c>
      <c r="S347" s="814"/>
      <c r="T347" s="814"/>
      <c r="U347" s="814"/>
      <c r="V347" s="814"/>
      <c r="W347" s="814"/>
      <c r="X347" s="814"/>
      <c r="Y347" s="814"/>
      <c r="Z347" s="814"/>
      <c r="AA347" s="814"/>
      <c r="AB347" s="814"/>
      <c r="AC347" s="814"/>
      <c r="AD347" s="815"/>
    </row>
    <row r="348" spans="1:30" ht="24" customHeight="1">
      <c r="A348" s="215"/>
      <c r="B348" s="90"/>
      <c r="C348" s="44" t="s">
        <v>2527</v>
      </c>
      <c r="D348" s="813" t="s">
        <v>2689</v>
      </c>
      <c r="E348" s="814"/>
      <c r="F348" s="814"/>
      <c r="G348" s="814"/>
      <c r="H348" s="814"/>
      <c r="I348" s="814"/>
      <c r="J348" s="814"/>
      <c r="K348" s="814"/>
      <c r="L348" s="814"/>
      <c r="M348" s="814"/>
      <c r="N348" s="814"/>
      <c r="O348" s="814"/>
      <c r="P348" s="815"/>
      <c r="Q348" s="44" t="s">
        <v>2541</v>
      </c>
      <c r="R348" s="813" t="s">
        <v>2692</v>
      </c>
      <c r="S348" s="814"/>
      <c r="T348" s="814"/>
      <c r="U348" s="814"/>
      <c r="V348" s="814"/>
      <c r="W348" s="814"/>
      <c r="X348" s="814"/>
      <c r="Y348" s="814"/>
      <c r="Z348" s="814"/>
      <c r="AA348" s="814"/>
      <c r="AB348" s="814"/>
      <c r="AC348" s="814"/>
      <c r="AD348" s="815"/>
    </row>
    <row r="349" spans="1:30" ht="15" customHeight="1">
      <c r="A349" s="215"/>
      <c r="B349" s="90"/>
      <c r="C349" s="44" t="s">
        <v>2528</v>
      </c>
      <c r="D349" s="813" t="s">
        <v>2691</v>
      </c>
      <c r="E349" s="814"/>
      <c r="F349" s="814"/>
      <c r="G349" s="814"/>
      <c r="H349" s="814"/>
      <c r="I349" s="814"/>
      <c r="J349" s="814"/>
      <c r="K349" s="814"/>
      <c r="L349" s="814"/>
      <c r="M349" s="814"/>
      <c r="N349" s="814"/>
      <c r="O349" s="814"/>
      <c r="P349" s="815"/>
      <c r="Q349" s="44" t="s">
        <v>2542</v>
      </c>
      <c r="R349" s="813" t="s">
        <v>2694</v>
      </c>
      <c r="S349" s="814"/>
      <c r="T349" s="814"/>
      <c r="U349" s="814"/>
      <c r="V349" s="814"/>
      <c r="W349" s="814"/>
      <c r="X349" s="814"/>
      <c r="Y349" s="814"/>
      <c r="Z349" s="814"/>
      <c r="AA349" s="814"/>
      <c r="AB349" s="814"/>
      <c r="AC349" s="814"/>
      <c r="AD349" s="815"/>
    </row>
    <row r="350" spans="1:30" ht="15" customHeight="1">
      <c r="A350" s="215"/>
      <c r="B350" s="90"/>
      <c r="C350" s="44" t="s">
        <v>2529</v>
      </c>
      <c r="D350" s="813" t="s">
        <v>2693</v>
      </c>
      <c r="E350" s="814"/>
      <c r="F350" s="814"/>
      <c r="G350" s="814"/>
      <c r="H350" s="814"/>
      <c r="I350" s="814"/>
      <c r="J350" s="814"/>
      <c r="K350" s="814"/>
      <c r="L350" s="814"/>
      <c r="M350" s="814"/>
      <c r="N350" s="814"/>
      <c r="O350" s="814"/>
      <c r="P350" s="815"/>
      <c r="Q350" s="44" t="s">
        <v>2543</v>
      </c>
      <c r="R350" s="813" t="s">
        <v>6192</v>
      </c>
      <c r="S350" s="814"/>
      <c r="T350" s="814"/>
      <c r="U350" s="814"/>
      <c r="V350" s="814"/>
      <c r="W350" s="814"/>
      <c r="X350" s="814"/>
      <c r="Y350" s="814"/>
      <c r="Z350" s="814"/>
      <c r="AA350" s="814"/>
      <c r="AB350" s="814"/>
      <c r="AC350" s="814"/>
      <c r="AD350" s="815"/>
    </row>
    <row r="351" spans="1:30">
      <c r="A351" s="215"/>
      <c r="B351" s="90"/>
      <c r="C351" s="90"/>
      <c r="D351" s="90"/>
      <c r="E351" s="90"/>
      <c r="F351" s="90"/>
      <c r="G351" s="90"/>
      <c r="H351" s="90"/>
      <c r="I351" s="90"/>
      <c r="J351" s="90"/>
      <c r="K351" s="90"/>
      <c r="L351" s="90"/>
      <c r="M351" s="90"/>
      <c r="N351" s="90"/>
      <c r="O351" s="90"/>
      <c r="P351" s="90"/>
      <c r="Q351" s="90"/>
      <c r="R351" s="90"/>
      <c r="S351" s="90"/>
      <c r="T351" s="90"/>
      <c r="U351" s="90"/>
      <c r="V351" s="90"/>
      <c r="W351" s="90"/>
      <c r="X351" s="90"/>
      <c r="Y351" s="90"/>
      <c r="Z351" s="90"/>
      <c r="AA351" s="90"/>
      <c r="AB351" s="90"/>
      <c r="AC351" s="90"/>
      <c r="AD351" s="90"/>
    </row>
    <row r="352" spans="1:30" ht="24" customHeight="1">
      <c r="A352" s="50"/>
      <c r="B352" s="38"/>
      <c r="C352" s="754" t="s">
        <v>2611</v>
      </c>
      <c r="D352" s="754"/>
      <c r="E352" s="754"/>
      <c r="F352" s="754"/>
      <c r="G352" s="754"/>
      <c r="H352" s="754"/>
      <c r="I352" s="754"/>
      <c r="J352" s="754"/>
      <c r="K352" s="754"/>
      <c r="L352" s="754"/>
      <c r="M352" s="754"/>
      <c r="N352" s="754"/>
      <c r="O352" s="754"/>
      <c r="P352" s="754"/>
      <c r="Q352" s="754"/>
      <c r="R352" s="754"/>
      <c r="S352" s="754"/>
      <c r="T352" s="754"/>
      <c r="U352" s="754"/>
      <c r="V352" s="754"/>
      <c r="W352" s="754"/>
      <c r="X352" s="754"/>
      <c r="Y352" s="754"/>
      <c r="Z352" s="754"/>
      <c r="AA352" s="754"/>
      <c r="AB352" s="754"/>
      <c r="AC352" s="754"/>
      <c r="AD352" s="754"/>
    </row>
    <row r="353" spans="1:31" ht="60" customHeight="1">
      <c r="A353" s="50"/>
      <c r="B353" s="38"/>
      <c r="C353" s="851"/>
      <c r="D353" s="851"/>
      <c r="E353" s="851"/>
      <c r="F353" s="851"/>
      <c r="G353" s="851"/>
      <c r="H353" s="851"/>
      <c r="I353" s="851"/>
      <c r="J353" s="851"/>
      <c r="K353" s="851"/>
      <c r="L353" s="851"/>
      <c r="M353" s="851"/>
      <c r="N353" s="851"/>
      <c r="O353" s="851"/>
      <c r="P353" s="851"/>
      <c r="Q353" s="851"/>
      <c r="R353" s="851"/>
      <c r="S353" s="851"/>
      <c r="T353" s="851"/>
      <c r="U353" s="851"/>
      <c r="V353" s="851"/>
      <c r="W353" s="851"/>
      <c r="X353" s="851"/>
      <c r="Y353" s="851"/>
      <c r="Z353" s="851"/>
      <c r="AA353" s="851"/>
      <c r="AB353" s="851"/>
      <c r="AC353" s="851"/>
      <c r="AD353" s="851"/>
    </row>
    <row r="354" spans="1:31">
      <c r="A354" s="217"/>
      <c r="B354" s="794" t="str">
        <f>IF(AG322=0,"","Favor de ingresar toda la información requerida en la pregunta")</f>
        <v/>
      </c>
      <c r="C354" s="794"/>
      <c r="D354" s="794"/>
      <c r="E354" s="794"/>
      <c r="F354" s="794"/>
      <c r="G354" s="794"/>
      <c r="H354" s="794"/>
      <c r="I354" s="794"/>
      <c r="J354" s="794"/>
      <c r="K354" s="794"/>
      <c r="L354" s="794"/>
      <c r="M354" s="794"/>
      <c r="N354" s="794"/>
      <c r="O354" s="794"/>
      <c r="P354" s="794"/>
      <c r="Q354" s="794"/>
      <c r="R354" s="794"/>
      <c r="S354" s="794"/>
      <c r="T354" s="794"/>
      <c r="U354" s="794"/>
      <c r="V354" s="794"/>
      <c r="W354" s="794"/>
      <c r="X354" s="794"/>
      <c r="Y354" s="794"/>
      <c r="Z354" s="794"/>
      <c r="AA354" s="794"/>
      <c r="AB354" s="794"/>
      <c r="AC354" s="794"/>
      <c r="AD354" s="794"/>
      <c r="AE354" s="794"/>
    </row>
    <row r="355" spans="1:31">
      <c r="A355" s="215"/>
      <c r="B355" s="1087" t="str">
        <f>IF(SUM(COUNTIF(Q315:AD321,"NS"),COUNTIF(P327:AD333,"NS"))&lt;&gt;0,"Alerta: debido a que cuenta con registros NS, debe proporcionar una justificación en el area de comentarios al final de la pregunta","")</f>
        <v/>
      </c>
      <c r="C355" s="1087"/>
      <c r="D355" s="1087"/>
      <c r="E355" s="1087"/>
      <c r="F355" s="1087"/>
      <c r="G355" s="1087"/>
      <c r="H355" s="1087"/>
      <c r="I355" s="1087"/>
      <c r="J355" s="1087"/>
      <c r="K355" s="1087"/>
      <c r="L355" s="1087"/>
      <c r="M355" s="1087"/>
      <c r="N355" s="1087"/>
      <c r="O355" s="1087"/>
      <c r="P355" s="1087"/>
      <c r="Q355" s="1087"/>
      <c r="R355" s="1087"/>
      <c r="S355" s="1087"/>
      <c r="T355" s="1087"/>
      <c r="U355" s="1087"/>
      <c r="V355" s="1087"/>
      <c r="W355" s="1087"/>
      <c r="X355" s="1087"/>
      <c r="Y355" s="1087"/>
      <c r="Z355" s="1087"/>
      <c r="AA355" s="1087"/>
      <c r="AB355" s="1087"/>
      <c r="AC355" s="1087"/>
      <c r="AD355" s="1087"/>
      <c r="AE355" s="1087"/>
    </row>
    <row r="356" spans="1:31">
      <c r="A356" s="215"/>
      <c r="B356" s="1003" t="str">
        <f>IF(AH322&gt;0,"Revise la información capturada, ya que tiene datos ingresados en celdas que están sombreadas","")</f>
        <v/>
      </c>
      <c r="C356" s="1003"/>
      <c r="D356" s="1003"/>
      <c r="E356" s="1003"/>
      <c r="F356" s="1003"/>
      <c r="G356" s="1003"/>
      <c r="H356" s="1003"/>
      <c r="I356" s="1003"/>
      <c r="J356" s="1003"/>
      <c r="K356" s="1003"/>
      <c r="L356" s="1003"/>
      <c r="M356" s="1003"/>
      <c r="N356" s="1003"/>
      <c r="O356" s="1003"/>
      <c r="P356" s="1003"/>
      <c r="Q356" s="1003"/>
      <c r="R356" s="1003"/>
      <c r="S356" s="1003"/>
      <c r="T356" s="1003"/>
      <c r="U356" s="1003"/>
      <c r="V356" s="1003"/>
      <c r="W356" s="1003"/>
      <c r="X356" s="1003"/>
      <c r="Y356" s="1003"/>
      <c r="Z356" s="1003"/>
      <c r="AA356" s="1003"/>
      <c r="AB356" s="1003"/>
      <c r="AC356" s="1003"/>
      <c r="AD356" s="1003"/>
      <c r="AE356" s="1003"/>
    </row>
    <row r="357" spans="1:31">
      <c r="A357" s="215"/>
      <c r="B357" s="1003" t="str">
        <f>IF(AM322&gt;0,"Favor de revisar la suma y consistencia de totales y/o subtotales por filas (numéricos y NS)","")</f>
        <v/>
      </c>
      <c r="C357" s="1003"/>
      <c r="D357" s="1003"/>
      <c r="E357" s="1003"/>
      <c r="F357" s="1003"/>
      <c r="G357" s="1003"/>
      <c r="H357" s="1003"/>
      <c r="I357" s="1003"/>
      <c r="J357" s="1003"/>
      <c r="K357" s="1003"/>
      <c r="L357" s="1003"/>
      <c r="M357" s="1003"/>
      <c r="N357" s="1003"/>
      <c r="O357" s="1003"/>
      <c r="P357" s="1003"/>
      <c r="Q357" s="1003"/>
      <c r="R357" s="1003"/>
      <c r="S357" s="1003"/>
      <c r="T357" s="1003"/>
      <c r="U357" s="1003"/>
      <c r="V357" s="1003"/>
      <c r="W357" s="1003"/>
      <c r="X357" s="1003"/>
      <c r="Y357" s="1003"/>
      <c r="Z357" s="1003"/>
      <c r="AA357" s="1003"/>
      <c r="AB357" s="1003"/>
      <c r="AC357" s="1003"/>
      <c r="AD357" s="1003"/>
      <c r="AE357" s="1003"/>
    </row>
    <row r="358" spans="1:31">
      <c r="A358" s="215"/>
      <c r="B358" s="794" t="str">
        <f>IF(AI322&gt;0,"Favor de revisar la instrucción 2, debido a que no se cumplen con los criterios mencionados","")</f>
        <v/>
      </c>
      <c r="C358" s="794"/>
      <c r="D358" s="794"/>
      <c r="E358" s="794"/>
      <c r="F358" s="794"/>
      <c r="G358" s="794"/>
      <c r="H358" s="794"/>
      <c r="I358" s="794"/>
      <c r="J358" s="794"/>
      <c r="K358" s="794"/>
      <c r="L358" s="794"/>
      <c r="M358" s="794"/>
      <c r="N358" s="794"/>
      <c r="O358" s="794"/>
      <c r="P358" s="794"/>
      <c r="Q358" s="794"/>
      <c r="R358" s="794"/>
      <c r="S358" s="794"/>
      <c r="T358" s="794"/>
      <c r="U358" s="794"/>
      <c r="V358" s="794"/>
      <c r="W358" s="794"/>
      <c r="X358" s="794"/>
      <c r="Y358" s="794"/>
      <c r="Z358" s="794"/>
      <c r="AA358" s="794"/>
      <c r="AB358" s="794"/>
      <c r="AC358" s="794"/>
      <c r="AD358" s="794"/>
      <c r="AE358" s="794"/>
    </row>
    <row r="359" spans="1:31">
      <c r="A359" s="215"/>
      <c r="B359" s="795" t="str">
        <f>IF(AU335&gt;0,"Alerta: debe de proporcionar una justificación de acuerdo a lo establecido en la instrucción 3","")</f>
        <v/>
      </c>
      <c r="C359" s="795"/>
      <c r="D359" s="795"/>
      <c r="E359" s="795"/>
      <c r="F359" s="795"/>
      <c r="G359" s="795"/>
      <c r="H359" s="795"/>
      <c r="I359" s="795"/>
      <c r="J359" s="795"/>
      <c r="K359" s="795"/>
      <c r="L359" s="795"/>
      <c r="M359" s="795"/>
      <c r="N359" s="795"/>
      <c r="O359" s="795"/>
      <c r="P359" s="795"/>
      <c r="Q359" s="795"/>
      <c r="R359" s="795"/>
      <c r="S359" s="795"/>
      <c r="T359" s="795"/>
      <c r="U359" s="795"/>
      <c r="V359" s="795"/>
      <c r="W359" s="795"/>
      <c r="X359" s="795"/>
      <c r="Y359" s="795"/>
      <c r="Z359" s="795"/>
      <c r="AA359" s="795"/>
      <c r="AB359" s="795"/>
      <c r="AC359" s="795"/>
      <c r="AD359" s="795"/>
      <c r="AE359" s="795"/>
    </row>
    <row r="360" spans="1:31" ht="48" customHeight="1">
      <c r="A360" s="49" t="s">
        <v>6193</v>
      </c>
      <c r="B360" s="829" t="s">
        <v>6194</v>
      </c>
      <c r="C360" s="829"/>
      <c r="D360" s="829"/>
      <c r="E360" s="829"/>
      <c r="F360" s="829"/>
      <c r="G360" s="829"/>
      <c r="H360" s="829"/>
      <c r="I360" s="829"/>
      <c r="J360" s="829"/>
      <c r="K360" s="829"/>
      <c r="L360" s="829"/>
      <c r="M360" s="829"/>
      <c r="N360" s="829"/>
      <c r="O360" s="829"/>
      <c r="P360" s="829"/>
      <c r="Q360" s="829"/>
      <c r="R360" s="829"/>
      <c r="S360" s="829"/>
      <c r="T360" s="829"/>
      <c r="U360" s="829"/>
      <c r="V360" s="829"/>
      <c r="W360" s="829"/>
      <c r="X360" s="829"/>
      <c r="Y360" s="829"/>
      <c r="Z360" s="829"/>
      <c r="AA360" s="829"/>
      <c r="AB360" s="829"/>
      <c r="AC360" s="829"/>
      <c r="AD360" s="829"/>
    </row>
    <row r="361" spans="1:31" ht="24" customHeight="1">
      <c r="A361" s="49"/>
      <c r="B361" s="105"/>
      <c r="C361" s="830" t="s">
        <v>6195</v>
      </c>
      <c r="D361" s="830"/>
      <c r="E361" s="830"/>
      <c r="F361" s="830"/>
      <c r="G361" s="830"/>
      <c r="H361" s="830"/>
      <c r="I361" s="830"/>
      <c r="J361" s="830"/>
      <c r="K361" s="830"/>
      <c r="L361" s="830"/>
      <c r="M361" s="830"/>
      <c r="N361" s="830"/>
      <c r="O361" s="830"/>
      <c r="P361" s="830"/>
      <c r="Q361" s="830"/>
      <c r="R361" s="830"/>
      <c r="S361" s="830"/>
      <c r="T361" s="830"/>
      <c r="U361" s="830"/>
      <c r="V361" s="830"/>
      <c r="W361" s="830"/>
      <c r="X361" s="830"/>
      <c r="Y361" s="830"/>
      <c r="Z361" s="830"/>
      <c r="AA361" s="830"/>
      <c r="AB361" s="830"/>
      <c r="AC361" s="830"/>
      <c r="AD361" s="830"/>
    </row>
    <row r="362" spans="1:31" ht="24" customHeight="1">
      <c r="A362" s="119"/>
      <c r="C362" s="881" t="s">
        <v>6196</v>
      </c>
      <c r="D362" s="881"/>
      <c r="E362" s="881"/>
      <c r="F362" s="881"/>
      <c r="G362" s="881"/>
      <c r="H362" s="881"/>
      <c r="I362" s="881"/>
      <c r="J362" s="881"/>
      <c r="K362" s="881"/>
      <c r="L362" s="881"/>
      <c r="M362" s="881"/>
      <c r="N362" s="881"/>
      <c r="O362" s="881"/>
      <c r="P362" s="881"/>
      <c r="Q362" s="881"/>
      <c r="R362" s="881"/>
      <c r="S362" s="881"/>
      <c r="T362" s="881"/>
      <c r="U362" s="881"/>
      <c r="V362" s="881"/>
      <c r="W362" s="881"/>
      <c r="X362" s="881"/>
      <c r="Y362" s="881"/>
      <c r="Z362" s="881"/>
      <c r="AA362" s="881"/>
      <c r="AB362" s="881"/>
      <c r="AC362" s="881"/>
      <c r="AD362" s="881"/>
    </row>
    <row r="363" spans="1:31" ht="36" customHeight="1">
      <c r="A363" s="50"/>
      <c r="B363" s="38"/>
      <c r="C363" s="754" t="s">
        <v>6197</v>
      </c>
      <c r="D363" s="754"/>
      <c r="E363" s="754"/>
      <c r="F363" s="754"/>
      <c r="G363" s="754"/>
      <c r="H363" s="754"/>
      <c r="I363" s="754"/>
      <c r="J363" s="754"/>
      <c r="K363" s="754"/>
      <c r="L363" s="754"/>
      <c r="M363" s="754"/>
      <c r="N363" s="754"/>
      <c r="O363" s="754"/>
      <c r="P363" s="754"/>
      <c r="Q363" s="754"/>
      <c r="R363" s="754"/>
      <c r="S363" s="754"/>
      <c r="T363" s="754"/>
      <c r="U363" s="754"/>
      <c r="V363" s="754"/>
      <c r="W363" s="754"/>
      <c r="X363" s="754"/>
      <c r="Y363" s="754"/>
      <c r="Z363" s="754"/>
      <c r="AA363" s="754"/>
      <c r="AB363" s="754"/>
      <c r="AC363" s="754"/>
      <c r="AD363" s="754"/>
    </row>
    <row r="364" spans="1:31" ht="36" customHeight="1">
      <c r="A364" s="50"/>
      <c r="B364" s="38"/>
      <c r="C364" s="754" t="s">
        <v>6198</v>
      </c>
      <c r="D364" s="754"/>
      <c r="E364" s="754"/>
      <c r="F364" s="754"/>
      <c r="G364" s="754"/>
      <c r="H364" s="754"/>
      <c r="I364" s="754"/>
      <c r="J364" s="754"/>
      <c r="K364" s="754"/>
      <c r="L364" s="754"/>
      <c r="M364" s="754"/>
      <c r="N364" s="754"/>
      <c r="O364" s="754"/>
      <c r="P364" s="754"/>
      <c r="Q364" s="754"/>
      <c r="R364" s="754"/>
      <c r="S364" s="754"/>
      <c r="T364" s="754"/>
      <c r="U364" s="754"/>
      <c r="V364" s="754"/>
      <c r="W364" s="754"/>
      <c r="X364" s="754"/>
      <c r="Y364" s="754"/>
      <c r="Z364" s="754"/>
      <c r="AA364" s="754"/>
      <c r="AB364" s="754"/>
      <c r="AC364" s="754"/>
      <c r="AD364" s="754"/>
    </row>
    <row r="365" spans="1:31" ht="15" customHeight="1">
      <c r="A365" s="169"/>
      <c r="B365" s="57"/>
      <c r="C365" s="86"/>
      <c r="D365" s="86"/>
      <c r="E365" s="86"/>
      <c r="F365" s="86"/>
      <c r="G365" s="86"/>
      <c r="H365" s="86"/>
      <c r="I365" s="86"/>
      <c r="J365" s="86"/>
      <c r="K365" s="86"/>
      <c r="L365" s="86"/>
      <c r="M365" s="86"/>
      <c r="N365" s="86"/>
      <c r="O365" s="86"/>
      <c r="P365" s="86"/>
      <c r="Q365" s="86"/>
      <c r="R365" s="86"/>
      <c r="S365" s="86"/>
      <c r="T365" s="86"/>
      <c r="U365" s="86"/>
      <c r="V365" s="86"/>
      <c r="W365" s="86"/>
      <c r="X365" s="86"/>
      <c r="Y365" s="86"/>
      <c r="Z365" s="86"/>
      <c r="AA365" s="23"/>
      <c r="AB365" s="23"/>
      <c r="AC365" s="23"/>
      <c r="AD365" s="23"/>
    </row>
    <row r="366" spans="1:31" ht="15" customHeight="1">
      <c r="A366" s="169"/>
      <c r="B366" s="57"/>
      <c r="C366" s="45" t="s">
        <v>6199</v>
      </c>
      <c r="D366" s="86"/>
      <c r="E366" s="86"/>
      <c r="F366" s="86"/>
      <c r="G366" s="86"/>
      <c r="H366" s="86"/>
      <c r="I366" s="86"/>
      <c r="J366" s="86"/>
      <c r="K366" s="86"/>
      <c r="L366" s="86"/>
      <c r="M366" s="86"/>
      <c r="N366" s="86"/>
      <c r="O366" s="86"/>
      <c r="P366" s="86"/>
      <c r="Q366" s="86"/>
      <c r="R366" s="86"/>
      <c r="S366" s="86"/>
      <c r="T366" s="86"/>
      <c r="U366" s="86"/>
      <c r="V366" s="86"/>
      <c r="W366" s="86"/>
      <c r="X366" s="86"/>
      <c r="Y366" s="86"/>
      <c r="Z366" s="86"/>
      <c r="AA366" s="86"/>
      <c r="AB366" s="86"/>
      <c r="AC366" s="86"/>
      <c r="AD366" s="86"/>
    </row>
    <row r="367" spans="1:31" ht="15" customHeight="1">
      <c r="A367" s="169"/>
      <c r="B367" s="57"/>
      <c r="C367" s="86"/>
      <c r="D367" s="86"/>
      <c r="E367" s="86"/>
      <c r="F367" s="86"/>
      <c r="G367" s="86"/>
      <c r="H367" s="86"/>
      <c r="I367" s="86"/>
      <c r="J367" s="86"/>
      <c r="K367" s="86"/>
      <c r="L367" s="86"/>
      <c r="M367" s="86"/>
      <c r="N367" s="86"/>
      <c r="O367" s="86"/>
      <c r="P367" s="86"/>
      <c r="Q367" s="86"/>
      <c r="R367" s="86"/>
      <c r="S367" s="86"/>
      <c r="T367" s="86"/>
      <c r="U367" s="86"/>
      <c r="V367" s="86"/>
      <c r="W367" s="86"/>
      <c r="X367" s="86"/>
      <c r="Y367" s="86"/>
      <c r="Z367" s="86"/>
      <c r="AA367" s="86"/>
      <c r="AB367" s="86"/>
      <c r="AC367" s="86"/>
      <c r="AD367" s="86"/>
    </row>
    <row r="368" spans="1:31" ht="36" customHeight="1">
      <c r="A368" s="50"/>
      <c r="B368" s="38"/>
      <c r="C368" s="732" t="s">
        <v>2581</v>
      </c>
      <c r="D368" s="732"/>
      <c r="E368" s="732"/>
      <c r="F368" s="732"/>
      <c r="G368" s="732"/>
      <c r="H368" s="732"/>
      <c r="I368" s="732"/>
      <c r="J368" s="732"/>
      <c r="K368" s="732"/>
      <c r="L368" s="732"/>
      <c r="M368" s="732"/>
      <c r="N368" s="732"/>
      <c r="O368" s="732"/>
      <c r="P368" s="732" t="s">
        <v>6200</v>
      </c>
      <c r="Q368" s="732"/>
      <c r="R368" s="732"/>
      <c r="S368" s="732"/>
      <c r="T368" s="732"/>
      <c r="U368" s="732"/>
      <c r="V368" s="739" t="s">
        <v>6201</v>
      </c>
      <c r="W368" s="740"/>
      <c r="X368" s="740"/>
      <c r="Y368" s="740"/>
      <c r="Z368" s="740"/>
      <c r="AA368" s="740"/>
      <c r="AB368" s="740"/>
      <c r="AC368" s="740"/>
      <c r="AD368" s="741"/>
    </row>
    <row r="369" spans="1:49" ht="72" customHeight="1">
      <c r="A369" s="50"/>
      <c r="B369" s="38"/>
      <c r="C369" s="732"/>
      <c r="D369" s="732"/>
      <c r="E369" s="732"/>
      <c r="F369" s="732"/>
      <c r="G369" s="732"/>
      <c r="H369" s="732"/>
      <c r="I369" s="732"/>
      <c r="J369" s="732"/>
      <c r="K369" s="732"/>
      <c r="L369" s="732"/>
      <c r="M369" s="732"/>
      <c r="N369" s="732"/>
      <c r="O369" s="732"/>
      <c r="P369" s="732"/>
      <c r="Q369" s="732"/>
      <c r="R369" s="732"/>
      <c r="S369" s="732"/>
      <c r="T369" s="732"/>
      <c r="U369" s="732"/>
      <c r="V369" s="887" t="s">
        <v>2628</v>
      </c>
      <c r="W369" s="889" t="s">
        <v>2629</v>
      </c>
      <c r="X369" s="889" t="s">
        <v>2630</v>
      </c>
      <c r="Y369" s="858" t="s">
        <v>6071</v>
      </c>
      <c r="Z369" s="859"/>
      <c r="AA369" s="860"/>
      <c r="AB369" s="858" t="s">
        <v>6073</v>
      </c>
      <c r="AC369" s="859"/>
      <c r="AD369" s="860"/>
    </row>
    <row r="370" spans="1:49" ht="48" customHeight="1">
      <c r="A370" s="50"/>
      <c r="B370" s="38"/>
      <c r="C370" s="732"/>
      <c r="D370" s="732"/>
      <c r="E370" s="732"/>
      <c r="F370" s="732"/>
      <c r="G370" s="732"/>
      <c r="H370" s="732"/>
      <c r="I370" s="732"/>
      <c r="J370" s="732"/>
      <c r="K370" s="732"/>
      <c r="L370" s="732"/>
      <c r="M370" s="732"/>
      <c r="N370" s="732"/>
      <c r="O370" s="732"/>
      <c r="P370" s="732"/>
      <c r="Q370" s="732"/>
      <c r="R370" s="732"/>
      <c r="S370" s="732"/>
      <c r="T370" s="732"/>
      <c r="U370" s="732"/>
      <c r="V370" s="888"/>
      <c r="W370" s="890"/>
      <c r="X370" s="890"/>
      <c r="Y370" s="127" t="s">
        <v>2635</v>
      </c>
      <c r="Z370" s="128" t="s">
        <v>2629</v>
      </c>
      <c r="AA370" s="128" t="s">
        <v>2630</v>
      </c>
      <c r="AB370" s="127" t="s">
        <v>2635</v>
      </c>
      <c r="AC370" s="128" t="s">
        <v>2629</v>
      </c>
      <c r="AD370" s="128" t="s">
        <v>2630</v>
      </c>
      <c r="AF370" t="s">
        <v>4713</v>
      </c>
      <c r="AG370" t="s">
        <v>2586</v>
      </c>
      <c r="AH370" t="s">
        <v>5940</v>
      </c>
      <c r="AI370"/>
      <c r="AJ370"/>
      <c r="AK370" t="s">
        <v>4573</v>
      </c>
      <c r="AL370" t="s">
        <v>2638</v>
      </c>
      <c r="AM370" t="s">
        <v>2639</v>
      </c>
      <c r="AN370" t="s">
        <v>4574</v>
      </c>
      <c r="AO370" t="s">
        <v>2641</v>
      </c>
      <c r="AP370" t="s">
        <v>2642</v>
      </c>
      <c r="AQ370" t="s">
        <v>4575</v>
      </c>
      <c r="AR370" t="s">
        <v>2644</v>
      </c>
      <c r="AS370" t="s">
        <v>2645</v>
      </c>
      <c r="AT370"/>
      <c r="AU370"/>
      <c r="AV370"/>
      <c r="AW370" s="640" t="s">
        <v>6202</v>
      </c>
    </row>
    <row r="371" spans="1:49">
      <c r="A371" s="50"/>
      <c r="B371" s="38"/>
      <c r="C371" s="126" t="s">
        <v>2516</v>
      </c>
      <c r="D371" s="796" t="str">
        <f>IF(CNSIPEE_2024_M2_Secc1!D42="","",CNSIPEE_2024_M2_Secc1!D42)</f>
        <v/>
      </c>
      <c r="E371" s="796"/>
      <c r="F371" s="796"/>
      <c r="G371" s="796"/>
      <c r="H371" s="796"/>
      <c r="I371" s="796"/>
      <c r="J371" s="796"/>
      <c r="K371" s="796"/>
      <c r="L371" s="796"/>
      <c r="M371" s="796"/>
      <c r="N371" s="796"/>
      <c r="O371" s="796"/>
      <c r="P371" s="749"/>
      <c r="Q371" s="749"/>
      <c r="R371" s="749"/>
      <c r="S371" s="749"/>
      <c r="T371" s="749"/>
      <c r="U371" s="749"/>
      <c r="V371" s="116"/>
      <c r="W371" s="100"/>
      <c r="X371" s="100"/>
      <c r="Y371" s="100"/>
      <c r="Z371" s="100"/>
      <c r="AA371" s="100"/>
      <c r="AB371" s="100"/>
      <c r="AC371" s="100"/>
      <c r="AD371" s="100"/>
      <c r="AF371">
        <f t="shared" ref="AF371:AF378" si="27">IF(AND(P371=1,V371=0),1,0)</f>
        <v>0</v>
      </c>
      <c r="AG371">
        <f>IF(COUNTBLANK(D371:AD371)=27,0,IF(D371="",1,IF(OR(P371&gt;1,N281&gt;1),0,IF(AND(COUNTA(V371:AD371)=9,P371=1,N281=1),0,1))))</f>
        <v>0</v>
      </c>
      <c r="AH371">
        <f t="shared" ref="AH371:AH378" si="28">IF(N281&gt;1,IF(COUNTA(P371:AD371)=0,0,1),IF(P371&gt;1,IF(COUNTA(V371:AD371)=0,0,1),0))</f>
        <v>0</v>
      </c>
      <c r="AI371"/>
      <c r="AJ371"/>
      <c r="AK371">
        <f t="shared" ref="AK371:AK378" si="29">COUNTIF(W371:X371,"NS")</f>
        <v>0</v>
      </c>
      <c r="AL371">
        <f t="shared" ref="AL371:AL378" si="30">SUM(W371:X371)</f>
        <v>0</v>
      </c>
      <c r="AM371">
        <f t="shared" ref="AM371:AM378" si="31">IF(COUNTIF(V371:X371,"NA")=3,0,IF(COUNTA(V371:X371)=0,0,IF(OR(AND(V371=0,AK371&gt;0),AND(V371="ns",AL371&gt;0),AND(V371="ns",AK371=0,AL371=0)),1,IF(OR(AND(V371&gt;0,AK371=2),AND(V371="ns",AK371=2),AND(V371="ns",AL371=0,AK371&gt;0),V371=AL371),0,1))))</f>
        <v>0</v>
      </c>
      <c r="AN371">
        <f t="shared" ref="AN371:AN378" si="32">COUNTIF(Z371:AA371,"NS")</f>
        <v>0</v>
      </c>
      <c r="AO371">
        <f t="shared" ref="AO371:AO378" si="33">SUM(Z371:AA371)</f>
        <v>0</v>
      </c>
      <c r="AP371">
        <f t="shared" ref="AP371:AP378" si="34">IF(COUNTIF(Y371:AA371,"NA")=3,0,IF(COUNTA(Y371:AA371)=0,0,IF(OR(AND(Y371=0,AN371&gt;0),AND(Y371="ns",AO371&gt;0),AND(Y371="ns",AN371=0,AO371=0)),1,IF(OR(AND(Y371&gt;0,AN371=2),AND(Y371="ns",AN371=2),AND(Y371="ns",AO371=0,AN371&gt;0),Y371=AO371),0,1))))</f>
        <v>0</v>
      </c>
      <c r="AQ371">
        <f t="shared" ref="AQ371:AQ378" si="35">COUNTIF(AC371:AD371,"NS")</f>
        <v>0</v>
      </c>
      <c r="AR371">
        <f t="shared" ref="AR371:AR378" si="36">SUM(AC371:AD371)</f>
        <v>0</v>
      </c>
      <c r="AS371">
        <f t="shared" ref="AS371:AS378" si="37">IF(COUNTIF(AB371:AD371,"NA")=3,0,IF(COUNTA(AB371:AD371)=0,0,IF(OR(AND(AB371=0,AQ371&gt;0),AND(AB371="ns",AR371&gt;0),AND(AB371="ns",AQ371=0,AR371=0)),1,IF(OR(AND(AB371&gt;0,AQ371=2),AND(AB371="ns",AQ371=2),AND(AB371="ns",AR371=0,AQ371&gt;0),AB371=AR371),0,1))))</f>
        <v>0</v>
      </c>
      <c r="AT371"/>
      <c r="AU371"/>
      <c r="AV371"/>
      <c r="AW371" s="640">
        <f t="shared" ref="AW371:AW378" si="38">IF(AND(COUNTIF(M371,"&gt;1")=0,M371&lt;&gt;""),0,IF(OR(COUNTIF(M371,"&gt;1")=(1-COUNTBLANK(D371)),AND(COUNTBLANK(D371)=0,COUNTBLANK(M371)=1),AND(COUNTBLANK(D371)=1,COUNTBLANK(M371)=1)),1,0))</f>
        <v>1</v>
      </c>
    </row>
    <row r="372" spans="1:49">
      <c r="A372" s="50"/>
      <c r="B372" s="38"/>
      <c r="C372" s="44" t="s">
        <v>2517</v>
      </c>
      <c r="D372" s="796" t="str">
        <f>IF(CNSIPEE_2024_M2_Secc1!D43="","",CNSIPEE_2024_M2_Secc1!D43)</f>
        <v/>
      </c>
      <c r="E372" s="796"/>
      <c r="F372" s="796"/>
      <c r="G372" s="796"/>
      <c r="H372" s="796"/>
      <c r="I372" s="796"/>
      <c r="J372" s="796"/>
      <c r="K372" s="796"/>
      <c r="L372" s="796"/>
      <c r="M372" s="796"/>
      <c r="N372" s="796"/>
      <c r="O372" s="796"/>
      <c r="P372" s="749"/>
      <c r="Q372" s="749"/>
      <c r="R372" s="749"/>
      <c r="S372" s="749"/>
      <c r="T372" s="749"/>
      <c r="U372" s="749"/>
      <c r="V372" s="116"/>
      <c r="W372" s="100"/>
      <c r="X372" s="100"/>
      <c r="Y372" s="100"/>
      <c r="Z372" s="100"/>
      <c r="AA372" s="100"/>
      <c r="AB372" s="100"/>
      <c r="AC372" s="100"/>
      <c r="AD372" s="100"/>
      <c r="AF372">
        <f t="shared" si="27"/>
        <v>0</v>
      </c>
      <c r="AG372">
        <f t="shared" ref="AG372:AG378" si="39">IF(COUNTBLANK(D372:AD372)=27,0,IF(D372="",1,IF(OR(P372&gt;1,N282&gt;1),0,IF(AND(COUNTA(V372:AD372)=9,P372=1,N282=1),0,1))))</f>
        <v>0</v>
      </c>
      <c r="AH372">
        <f t="shared" si="28"/>
        <v>0</v>
      </c>
      <c r="AI372"/>
      <c r="AJ372"/>
      <c r="AK372">
        <f t="shared" si="29"/>
        <v>0</v>
      </c>
      <c r="AL372">
        <f t="shared" si="30"/>
        <v>0</v>
      </c>
      <c r="AM372">
        <f t="shared" si="31"/>
        <v>0</v>
      </c>
      <c r="AN372">
        <f t="shared" si="32"/>
        <v>0</v>
      </c>
      <c r="AO372">
        <f t="shared" si="33"/>
        <v>0</v>
      </c>
      <c r="AP372">
        <f t="shared" si="34"/>
        <v>0</v>
      </c>
      <c r="AQ372">
        <f t="shared" si="35"/>
        <v>0</v>
      </c>
      <c r="AR372">
        <f t="shared" si="36"/>
        <v>0</v>
      </c>
      <c r="AS372">
        <f t="shared" si="37"/>
        <v>0</v>
      </c>
      <c r="AT372"/>
      <c r="AU372"/>
      <c r="AV372"/>
      <c r="AW372" s="640">
        <f t="shared" si="38"/>
        <v>1</v>
      </c>
    </row>
    <row r="373" spans="1:49">
      <c r="A373" s="50"/>
      <c r="B373" s="38"/>
      <c r="C373" s="44" t="s">
        <v>2518</v>
      </c>
      <c r="D373" s="796" t="str">
        <f>IF(CNSIPEE_2024_M2_Secc1!D44="","",CNSIPEE_2024_M2_Secc1!D44)</f>
        <v/>
      </c>
      <c r="E373" s="796"/>
      <c r="F373" s="796"/>
      <c r="G373" s="796"/>
      <c r="H373" s="796"/>
      <c r="I373" s="796"/>
      <c r="J373" s="796"/>
      <c r="K373" s="796"/>
      <c r="L373" s="796"/>
      <c r="M373" s="796"/>
      <c r="N373" s="796"/>
      <c r="O373" s="796"/>
      <c r="P373" s="749"/>
      <c r="Q373" s="749"/>
      <c r="R373" s="749"/>
      <c r="S373" s="749"/>
      <c r="T373" s="749"/>
      <c r="U373" s="749"/>
      <c r="V373" s="116"/>
      <c r="W373" s="100"/>
      <c r="X373" s="100"/>
      <c r="Y373" s="100"/>
      <c r="Z373" s="100"/>
      <c r="AA373" s="100"/>
      <c r="AB373" s="100"/>
      <c r="AC373" s="100"/>
      <c r="AD373" s="100"/>
      <c r="AF373">
        <f t="shared" si="27"/>
        <v>0</v>
      </c>
      <c r="AG373">
        <f t="shared" si="39"/>
        <v>0</v>
      </c>
      <c r="AH373">
        <f t="shared" si="28"/>
        <v>0</v>
      </c>
      <c r="AI373"/>
      <c r="AJ373"/>
      <c r="AK373">
        <f t="shared" si="29"/>
        <v>0</v>
      </c>
      <c r="AL373">
        <f t="shared" si="30"/>
        <v>0</v>
      </c>
      <c r="AM373">
        <f t="shared" si="31"/>
        <v>0</v>
      </c>
      <c r="AN373">
        <f t="shared" si="32"/>
        <v>0</v>
      </c>
      <c r="AO373">
        <f t="shared" si="33"/>
        <v>0</v>
      </c>
      <c r="AP373">
        <f t="shared" si="34"/>
        <v>0</v>
      </c>
      <c r="AQ373">
        <f t="shared" si="35"/>
        <v>0</v>
      </c>
      <c r="AR373">
        <f t="shared" si="36"/>
        <v>0</v>
      </c>
      <c r="AS373">
        <f t="shared" si="37"/>
        <v>0</v>
      </c>
      <c r="AT373"/>
      <c r="AU373"/>
      <c r="AV373"/>
      <c r="AW373" s="640">
        <f t="shared" si="38"/>
        <v>1</v>
      </c>
    </row>
    <row r="374" spans="1:49">
      <c r="A374" s="50"/>
      <c r="B374" s="38"/>
      <c r="C374" s="44" t="s">
        <v>2519</v>
      </c>
      <c r="D374" s="796" t="str">
        <f>IF(CNSIPEE_2024_M2_Secc1!D45="","",CNSIPEE_2024_M2_Secc1!D45)</f>
        <v/>
      </c>
      <c r="E374" s="796"/>
      <c r="F374" s="796"/>
      <c r="G374" s="796"/>
      <c r="H374" s="796"/>
      <c r="I374" s="796"/>
      <c r="J374" s="796"/>
      <c r="K374" s="796"/>
      <c r="L374" s="796"/>
      <c r="M374" s="796"/>
      <c r="N374" s="796"/>
      <c r="O374" s="796"/>
      <c r="P374" s="749"/>
      <c r="Q374" s="749"/>
      <c r="R374" s="749"/>
      <c r="S374" s="749"/>
      <c r="T374" s="749"/>
      <c r="U374" s="749"/>
      <c r="V374" s="116"/>
      <c r="W374" s="100"/>
      <c r="X374" s="100"/>
      <c r="Y374" s="100"/>
      <c r="Z374" s="100"/>
      <c r="AA374" s="100"/>
      <c r="AB374" s="100"/>
      <c r="AC374" s="100"/>
      <c r="AD374" s="100"/>
      <c r="AF374">
        <f t="shared" si="27"/>
        <v>0</v>
      </c>
      <c r="AG374">
        <f t="shared" si="39"/>
        <v>0</v>
      </c>
      <c r="AH374">
        <f t="shared" si="28"/>
        <v>0</v>
      </c>
      <c r="AI374"/>
      <c r="AJ374"/>
      <c r="AK374">
        <f t="shared" si="29"/>
        <v>0</v>
      </c>
      <c r="AL374">
        <f t="shared" si="30"/>
        <v>0</v>
      </c>
      <c r="AM374">
        <f t="shared" si="31"/>
        <v>0</v>
      </c>
      <c r="AN374">
        <f t="shared" si="32"/>
        <v>0</v>
      </c>
      <c r="AO374">
        <f t="shared" si="33"/>
        <v>0</v>
      </c>
      <c r="AP374">
        <f t="shared" si="34"/>
        <v>0</v>
      </c>
      <c r="AQ374">
        <f t="shared" si="35"/>
        <v>0</v>
      </c>
      <c r="AR374">
        <f t="shared" si="36"/>
        <v>0</v>
      </c>
      <c r="AS374">
        <f t="shared" si="37"/>
        <v>0</v>
      </c>
      <c r="AT374"/>
      <c r="AU374"/>
      <c r="AV374"/>
      <c r="AW374" s="640">
        <f t="shared" si="38"/>
        <v>1</v>
      </c>
    </row>
    <row r="375" spans="1:49">
      <c r="A375" s="50"/>
      <c r="B375" s="38"/>
      <c r="C375" s="44" t="s">
        <v>2520</v>
      </c>
      <c r="D375" s="796" t="str">
        <f>IF(CNSIPEE_2024_M2_Secc1!D46="","",CNSIPEE_2024_M2_Secc1!D46)</f>
        <v/>
      </c>
      <c r="E375" s="796"/>
      <c r="F375" s="796"/>
      <c r="G375" s="796"/>
      <c r="H375" s="796"/>
      <c r="I375" s="796"/>
      <c r="J375" s="796"/>
      <c r="K375" s="796"/>
      <c r="L375" s="796"/>
      <c r="M375" s="796"/>
      <c r="N375" s="796"/>
      <c r="O375" s="796"/>
      <c r="P375" s="749"/>
      <c r="Q375" s="749"/>
      <c r="R375" s="749"/>
      <c r="S375" s="749"/>
      <c r="T375" s="749"/>
      <c r="U375" s="749"/>
      <c r="V375" s="116"/>
      <c r="W375" s="100"/>
      <c r="X375" s="100"/>
      <c r="Y375" s="100"/>
      <c r="Z375" s="100"/>
      <c r="AA375" s="100"/>
      <c r="AB375" s="100"/>
      <c r="AC375" s="100"/>
      <c r="AD375" s="100"/>
      <c r="AF375">
        <f t="shared" si="27"/>
        <v>0</v>
      </c>
      <c r="AG375">
        <f t="shared" si="39"/>
        <v>0</v>
      </c>
      <c r="AH375">
        <f t="shared" si="28"/>
        <v>0</v>
      </c>
      <c r="AI375"/>
      <c r="AJ375"/>
      <c r="AK375">
        <f t="shared" si="29"/>
        <v>0</v>
      </c>
      <c r="AL375">
        <f t="shared" si="30"/>
        <v>0</v>
      </c>
      <c r="AM375">
        <f t="shared" si="31"/>
        <v>0</v>
      </c>
      <c r="AN375">
        <f t="shared" si="32"/>
        <v>0</v>
      </c>
      <c r="AO375">
        <f t="shared" si="33"/>
        <v>0</v>
      </c>
      <c r="AP375">
        <f t="shared" si="34"/>
        <v>0</v>
      </c>
      <c r="AQ375">
        <f t="shared" si="35"/>
        <v>0</v>
      </c>
      <c r="AR375">
        <f t="shared" si="36"/>
        <v>0</v>
      </c>
      <c r="AS375">
        <f t="shared" si="37"/>
        <v>0</v>
      </c>
      <c r="AT375"/>
      <c r="AU375"/>
      <c r="AV375"/>
      <c r="AW375" s="640">
        <f t="shared" si="38"/>
        <v>1</v>
      </c>
    </row>
    <row r="376" spans="1:49">
      <c r="A376" s="50"/>
      <c r="B376" s="38"/>
      <c r="C376" s="44" t="s">
        <v>2521</v>
      </c>
      <c r="D376" s="796" t="str">
        <f>IF(CNSIPEE_2024_M2_Secc1!D47="","",CNSIPEE_2024_M2_Secc1!D47)</f>
        <v/>
      </c>
      <c r="E376" s="796"/>
      <c r="F376" s="796"/>
      <c r="G376" s="796"/>
      <c r="H376" s="796"/>
      <c r="I376" s="796"/>
      <c r="J376" s="796"/>
      <c r="K376" s="796"/>
      <c r="L376" s="796"/>
      <c r="M376" s="796"/>
      <c r="N376" s="796"/>
      <c r="O376" s="796"/>
      <c r="P376" s="749"/>
      <c r="Q376" s="749"/>
      <c r="R376" s="749"/>
      <c r="S376" s="749"/>
      <c r="T376" s="749"/>
      <c r="U376" s="749"/>
      <c r="V376" s="116"/>
      <c r="W376" s="100"/>
      <c r="X376" s="100"/>
      <c r="Y376" s="100"/>
      <c r="Z376" s="100"/>
      <c r="AA376" s="100"/>
      <c r="AB376" s="100"/>
      <c r="AC376" s="100"/>
      <c r="AD376" s="100"/>
      <c r="AF376">
        <f t="shared" si="27"/>
        <v>0</v>
      </c>
      <c r="AG376">
        <f t="shared" si="39"/>
        <v>0</v>
      </c>
      <c r="AH376">
        <f t="shared" si="28"/>
        <v>0</v>
      </c>
      <c r="AI376"/>
      <c r="AJ376"/>
      <c r="AK376">
        <f t="shared" si="29"/>
        <v>0</v>
      </c>
      <c r="AL376">
        <f t="shared" si="30"/>
        <v>0</v>
      </c>
      <c r="AM376">
        <f t="shared" si="31"/>
        <v>0</v>
      </c>
      <c r="AN376">
        <f t="shared" si="32"/>
        <v>0</v>
      </c>
      <c r="AO376">
        <f t="shared" si="33"/>
        <v>0</v>
      </c>
      <c r="AP376">
        <f t="shared" si="34"/>
        <v>0</v>
      </c>
      <c r="AQ376">
        <f t="shared" si="35"/>
        <v>0</v>
      </c>
      <c r="AR376">
        <f t="shared" si="36"/>
        <v>0</v>
      </c>
      <c r="AS376">
        <f t="shared" si="37"/>
        <v>0</v>
      </c>
      <c r="AT376"/>
      <c r="AU376"/>
      <c r="AV376"/>
      <c r="AW376" s="640">
        <f t="shared" si="38"/>
        <v>1</v>
      </c>
    </row>
    <row r="377" spans="1:49">
      <c r="A377" s="50"/>
      <c r="B377" s="38"/>
      <c r="C377" s="44" t="s">
        <v>2522</v>
      </c>
      <c r="D377" s="796" t="str">
        <f>IF(CNSIPEE_2024_M2_Secc1!D48="","",CNSIPEE_2024_M2_Secc1!D48)</f>
        <v/>
      </c>
      <c r="E377" s="796"/>
      <c r="F377" s="796"/>
      <c r="G377" s="796"/>
      <c r="H377" s="796"/>
      <c r="I377" s="796"/>
      <c r="J377" s="796"/>
      <c r="K377" s="796"/>
      <c r="L377" s="796"/>
      <c r="M377" s="796"/>
      <c r="N377" s="796"/>
      <c r="O377" s="796"/>
      <c r="P377" s="749"/>
      <c r="Q377" s="749"/>
      <c r="R377" s="749"/>
      <c r="S377" s="749"/>
      <c r="T377" s="749"/>
      <c r="U377" s="749"/>
      <c r="V377" s="116"/>
      <c r="W377" s="100"/>
      <c r="X377" s="100"/>
      <c r="Y377" s="100"/>
      <c r="Z377" s="100"/>
      <c r="AA377" s="100"/>
      <c r="AB377" s="100"/>
      <c r="AC377" s="100"/>
      <c r="AD377" s="100"/>
      <c r="AF377">
        <f t="shared" si="27"/>
        <v>0</v>
      </c>
      <c r="AG377">
        <f t="shared" si="39"/>
        <v>0</v>
      </c>
      <c r="AH377">
        <f t="shared" si="28"/>
        <v>0</v>
      </c>
      <c r="AI377"/>
      <c r="AJ377"/>
      <c r="AK377">
        <f t="shared" si="29"/>
        <v>0</v>
      </c>
      <c r="AL377">
        <f t="shared" si="30"/>
        <v>0</v>
      </c>
      <c r="AM377">
        <f t="shared" si="31"/>
        <v>0</v>
      </c>
      <c r="AN377">
        <f t="shared" si="32"/>
        <v>0</v>
      </c>
      <c r="AO377">
        <f t="shared" si="33"/>
        <v>0</v>
      </c>
      <c r="AP377">
        <f t="shared" si="34"/>
        <v>0</v>
      </c>
      <c r="AQ377">
        <f t="shared" si="35"/>
        <v>0</v>
      </c>
      <c r="AR377">
        <f t="shared" si="36"/>
        <v>0</v>
      </c>
      <c r="AS377">
        <f t="shared" si="37"/>
        <v>0</v>
      </c>
      <c r="AT377"/>
      <c r="AU377"/>
      <c r="AV377"/>
      <c r="AW377" s="640">
        <f t="shared" si="38"/>
        <v>1</v>
      </c>
    </row>
    <row r="378" spans="1:49">
      <c r="A378" s="50"/>
      <c r="B378" s="38"/>
      <c r="C378" s="44" t="s">
        <v>2523</v>
      </c>
      <c r="D378" s="796" t="str">
        <f>IF(CNSIPEE_2024_M2_Secc1!D49="","",CNSIPEE_2024_M2_Secc1!D49)</f>
        <v/>
      </c>
      <c r="E378" s="796"/>
      <c r="F378" s="796"/>
      <c r="G378" s="796"/>
      <c r="H378" s="796"/>
      <c r="I378" s="796"/>
      <c r="J378" s="796"/>
      <c r="K378" s="796"/>
      <c r="L378" s="796"/>
      <c r="M378" s="796"/>
      <c r="N378" s="796"/>
      <c r="O378" s="796"/>
      <c r="P378" s="749"/>
      <c r="Q378" s="749"/>
      <c r="R378" s="749"/>
      <c r="S378" s="749"/>
      <c r="T378" s="749"/>
      <c r="U378" s="749"/>
      <c r="V378" s="116"/>
      <c r="W378" s="100"/>
      <c r="X378" s="100"/>
      <c r="Y378" s="100"/>
      <c r="Z378" s="100"/>
      <c r="AA378" s="100"/>
      <c r="AB378" s="100"/>
      <c r="AC378" s="100"/>
      <c r="AD378" s="100"/>
      <c r="AF378">
        <f t="shared" si="27"/>
        <v>0</v>
      </c>
      <c r="AG378">
        <f t="shared" si="39"/>
        <v>0</v>
      </c>
      <c r="AH378">
        <f t="shared" si="28"/>
        <v>0</v>
      </c>
      <c r="AI378"/>
      <c r="AJ378"/>
      <c r="AK378">
        <f t="shared" si="29"/>
        <v>0</v>
      </c>
      <c r="AL378">
        <f t="shared" si="30"/>
        <v>0</v>
      </c>
      <c r="AM378">
        <f t="shared" si="31"/>
        <v>0</v>
      </c>
      <c r="AN378">
        <f t="shared" si="32"/>
        <v>0</v>
      </c>
      <c r="AO378">
        <f t="shared" si="33"/>
        <v>0</v>
      </c>
      <c r="AP378">
        <f t="shared" si="34"/>
        <v>0</v>
      </c>
      <c r="AQ378">
        <f t="shared" si="35"/>
        <v>0</v>
      </c>
      <c r="AR378">
        <f t="shared" si="36"/>
        <v>0</v>
      </c>
      <c r="AS378">
        <f t="shared" si="37"/>
        <v>0</v>
      </c>
      <c r="AT378"/>
      <c r="AU378"/>
      <c r="AV378"/>
      <c r="AW378" s="640">
        <f t="shared" si="38"/>
        <v>1</v>
      </c>
    </row>
    <row r="379" spans="1:49">
      <c r="A379" s="50"/>
      <c r="B379" s="38"/>
      <c r="C379" s="165"/>
      <c r="D379" s="165"/>
      <c r="E379" s="165"/>
      <c r="F379" s="165"/>
      <c r="G379" s="165"/>
      <c r="I379" s="165"/>
      <c r="J379" s="165"/>
      <c r="K379" s="165"/>
      <c r="L379" s="165"/>
      <c r="M379" s="165"/>
      <c r="N379" s="165"/>
      <c r="O379" s="165"/>
      <c r="P379" s="165"/>
      <c r="Q379" s="165"/>
      <c r="U379" s="99" t="s">
        <v>2649</v>
      </c>
      <c r="V379" s="124">
        <f t="shared" ref="V379:AD379" si="40">IF(AND(SUM(V371:V378)=0,COUNTIF(V371:V378,"NS")&gt;0),"NS",IF(AND(SUM(V371:V378)=0,COUNTIF(V371:V378,0)&gt;0),0,IF(AND(SUM(V371:V378)=0,COUNTIF(V371:V378,"NA")&gt;0),"NA",SUM(V371:V378))))</f>
        <v>0</v>
      </c>
      <c r="W379" s="124">
        <f t="shared" si="40"/>
        <v>0</v>
      </c>
      <c r="X379" s="124">
        <f t="shared" si="40"/>
        <v>0</v>
      </c>
      <c r="Y379" s="124">
        <f t="shared" si="40"/>
        <v>0</v>
      </c>
      <c r="Z379" s="124">
        <f t="shared" si="40"/>
        <v>0</v>
      </c>
      <c r="AA379" s="124">
        <f t="shared" si="40"/>
        <v>0</v>
      </c>
      <c r="AB379" s="124">
        <f t="shared" si="40"/>
        <v>0</v>
      </c>
      <c r="AC379" s="124">
        <f t="shared" si="40"/>
        <v>0</v>
      </c>
      <c r="AD379" s="124">
        <f t="shared" si="40"/>
        <v>0</v>
      </c>
      <c r="AF379" s="507">
        <f>SUM(AF371:AF378)</f>
        <v>0</v>
      </c>
      <c r="AG379" s="507">
        <f>SUM(AG371:AG378)</f>
        <v>0</v>
      </c>
      <c r="AH379" s="507">
        <f>SUM(AH371:AH378)</f>
        <v>0</v>
      </c>
      <c r="AJ379"/>
      <c r="AK379">
        <f>SUM(AK371:AK378)</f>
        <v>0</v>
      </c>
      <c r="AM379">
        <f>SUM(AM371:AM378)</f>
        <v>0</v>
      </c>
      <c r="AN379">
        <f>SUM(AN371:AN378)</f>
        <v>0</v>
      </c>
      <c r="AP379">
        <f>SUM(AP371:AP378)</f>
        <v>0</v>
      </c>
      <c r="AQ379">
        <f>SUM(AQ371:AQ378)</f>
        <v>0</v>
      </c>
      <c r="AS379">
        <f>SUM(AS371:AS378)</f>
        <v>0</v>
      </c>
      <c r="AT379"/>
      <c r="AV379"/>
      <c r="AW379" s="640">
        <f>SUM(AW371:AW378)</f>
        <v>8</v>
      </c>
    </row>
    <row r="380" spans="1:49">
      <c r="A380" s="215"/>
      <c r="B380" s="90"/>
      <c r="C380" s="223"/>
      <c r="D380" s="224"/>
      <c r="E380" s="224"/>
      <c r="F380" s="224"/>
      <c r="G380" s="224"/>
      <c r="H380" s="224"/>
      <c r="I380" s="224"/>
      <c r="J380" s="224"/>
      <c r="K380" s="90"/>
      <c r="L380" s="90"/>
      <c r="M380" s="90"/>
      <c r="N380" s="90"/>
      <c r="O380" s="90"/>
      <c r="P380" s="180"/>
      <c r="Q380" s="180"/>
      <c r="R380" s="180"/>
      <c r="S380" s="49"/>
      <c r="Y380" s="120"/>
      <c r="Z380" s="120"/>
      <c r="AA380" s="49"/>
      <c r="AB380" s="49"/>
      <c r="AC380" s="49"/>
      <c r="AD380" s="49"/>
      <c r="AF380" s="120"/>
      <c r="AG380" s="120"/>
      <c r="AH380" s="120"/>
      <c r="AK380" t="s">
        <v>2650</v>
      </c>
      <c r="AL380" s="506">
        <f>SUM(AM379,AP379,AS379)</f>
        <v>0</v>
      </c>
      <c r="AM380" t="s">
        <v>2651</v>
      </c>
      <c r="AN380">
        <f>SUM(AK379,AN379,AQ379)</f>
        <v>0</v>
      </c>
    </row>
    <row r="381" spans="1:49" ht="24" customHeight="1">
      <c r="A381" s="215"/>
      <c r="B381" s="90"/>
      <c r="C381" s="754" t="s">
        <v>2611</v>
      </c>
      <c r="D381" s="754"/>
      <c r="E381" s="754"/>
      <c r="F381" s="754"/>
      <c r="G381" s="754"/>
      <c r="H381" s="754"/>
      <c r="I381" s="754"/>
      <c r="J381" s="754"/>
      <c r="K381" s="754"/>
      <c r="L381" s="754"/>
      <c r="M381" s="754"/>
      <c r="N381" s="754"/>
      <c r="O381" s="754"/>
      <c r="P381" s="754"/>
      <c r="Q381" s="754"/>
      <c r="R381" s="754"/>
      <c r="S381" s="754"/>
      <c r="T381" s="754"/>
      <c r="U381" s="754"/>
      <c r="V381" s="754"/>
      <c r="W381" s="754"/>
      <c r="X381" s="754"/>
      <c r="Y381" s="754"/>
      <c r="Z381" s="754"/>
      <c r="AA381" s="754"/>
      <c r="AB381" s="754"/>
      <c r="AC381" s="754"/>
      <c r="AD381" s="754"/>
      <c r="AF381" s="120"/>
      <c r="AG381" s="120"/>
      <c r="AH381" s="120"/>
      <c r="AK381" t="s">
        <v>2652</v>
      </c>
      <c r="AL381" s="507">
        <f>IF(AN380&gt;0,IF(SUM(V379)&gt;=SUM(Y379,AB379),0,1),IF(SUM(V379)&lt;&gt;SUM(Y379,AB379),1,0))</f>
        <v>0</v>
      </c>
      <c r="AM381" t="s">
        <v>2653</v>
      </c>
      <c r="AN381" s="507">
        <f>IF(AN380&gt;0,IF(SUM(W379)&gt;=SUM(Z379,AC379),0,1),IF(SUM(W379)&lt;&gt;SUM(Z379,AC379),1,0))</f>
        <v>0</v>
      </c>
      <c r="AO381" t="s">
        <v>2654</v>
      </c>
      <c r="AP381" s="507">
        <f>IF(AN380&gt;0,IF(SUM(X379)&gt;=SUM(AA379,AD379),0,1),IF(SUM(X379)&lt;&gt;SUM(AA379,AD379),1,0))</f>
        <v>0</v>
      </c>
    </row>
    <row r="382" spans="1:49" ht="60" customHeight="1">
      <c r="A382" s="215"/>
      <c r="B382" s="90"/>
      <c r="C382" s="851"/>
      <c r="D382" s="851"/>
      <c r="E382" s="851"/>
      <c r="F382" s="851"/>
      <c r="G382" s="851"/>
      <c r="H382" s="851"/>
      <c r="I382" s="851"/>
      <c r="J382" s="851"/>
      <c r="K382" s="851"/>
      <c r="L382" s="851"/>
      <c r="M382" s="851"/>
      <c r="N382" s="851"/>
      <c r="O382" s="851"/>
      <c r="P382" s="851"/>
      <c r="Q382" s="851"/>
      <c r="R382" s="851"/>
      <c r="S382" s="851"/>
      <c r="T382" s="851"/>
      <c r="U382" s="851"/>
      <c r="V382" s="851"/>
      <c r="W382" s="851"/>
      <c r="X382" s="851"/>
      <c r="Y382" s="851"/>
      <c r="Z382" s="851"/>
      <c r="AA382" s="851"/>
      <c r="AB382" s="851"/>
      <c r="AC382" s="851"/>
      <c r="AD382" s="851"/>
      <c r="AF382" s="120"/>
      <c r="AG382" s="120"/>
      <c r="AH382" s="120"/>
    </row>
    <row r="383" spans="1:49">
      <c r="A383" s="215"/>
      <c r="B383" s="794" t="str">
        <f>IF(AG379=0,"","Favor de ingresar toda la información requerida en la pregunta")</f>
        <v/>
      </c>
      <c r="C383" s="794"/>
      <c r="D383" s="794"/>
      <c r="E383" s="794"/>
      <c r="F383" s="794"/>
      <c r="G383" s="794"/>
      <c r="H383" s="794"/>
      <c r="I383" s="794"/>
      <c r="J383" s="794"/>
      <c r="K383" s="794"/>
      <c r="L383" s="794"/>
      <c r="M383" s="794"/>
      <c r="N383" s="794"/>
      <c r="O383" s="794"/>
      <c r="P383" s="794"/>
      <c r="Q383" s="794"/>
      <c r="R383" s="794"/>
      <c r="S383" s="794"/>
      <c r="T383" s="794"/>
      <c r="U383" s="794"/>
      <c r="V383" s="794"/>
      <c r="W383" s="794"/>
      <c r="X383" s="794"/>
      <c r="Y383" s="794"/>
      <c r="Z383" s="794"/>
      <c r="AA383" s="794"/>
      <c r="AB383" s="794"/>
      <c r="AC383" s="794"/>
      <c r="AD383" s="794"/>
      <c r="AE383" s="794"/>
      <c r="AF383" s="120"/>
      <c r="AG383" s="120"/>
      <c r="AH383" s="120"/>
    </row>
    <row r="384" spans="1:49">
      <c r="A384" s="215"/>
      <c r="B384" s="1087" t="str">
        <f>IF(COUNTIF(V371:AD378,"NS")&lt;&gt;0,"Alerta: debido a que cuenta con registros NS, debe proporcionar una justificación en el area de comentarios al final de la pregunta","")</f>
        <v/>
      </c>
      <c r="C384" s="1087"/>
      <c r="D384" s="1087"/>
      <c r="E384" s="1087"/>
      <c r="F384" s="1087"/>
      <c r="G384" s="1087"/>
      <c r="H384" s="1087"/>
      <c r="I384" s="1087"/>
      <c r="J384" s="1087"/>
      <c r="K384" s="1087"/>
      <c r="L384" s="1087"/>
      <c r="M384" s="1087"/>
      <c r="N384" s="1087"/>
      <c r="O384" s="1087"/>
      <c r="P384" s="1087"/>
      <c r="Q384" s="1087"/>
      <c r="R384" s="1087"/>
      <c r="S384" s="1087"/>
      <c r="T384" s="1087"/>
      <c r="U384" s="1087"/>
      <c r="V384" s="1087"/>
      <c r="W384" s="1087"/>
      <c r="X384" s="1087"/>
      <c r="Y384" s="1087"/>
      <c r="Z384" s="1087"/>
      <c r="AA384" s="1087"/>
      <c r="AB384" s="1087"/>
      <c r="AC384" s="1087"/>
      <c r="AD384" s="1087"/>
      <c r="AE384" s="1087"/>
      <c r="AF384" s="120"/>
      <c r="AG384" s="120"/>
      <c r="AH384" s="120"/>
    </row>
    <row r="385" spans="1:49">
      <c r="A385" s="215"/>
      <c r="B385" s="1003" t="str">
        <f>IF(AH379&gt;0,"Revise la información capturada, ya que tiene datos ingresados en celdas que están sombreadas","")</f>
        <v/>
      </c>
      <c r="C385" s="1003"/>
      <c r="D385" s="1003"/>
      <c r="E385" s="1003"/>
      <c r="F385" s="1003"/>
      <c r="G385" s="1003"/>
      <c r="H385" s="1003"/>
      <c r="I385" s="1003"/>
      <c r="J385" s="1003"/>
      <c r="K385" s="1003"/>
      <c r="L385" s="1003"/>
      <c r="M385" s="1003"/>
      <c r="N385" s="1003"/>
      <c r="O385" s="1003"/>
      <c r="P385" s="1003"/>
      <c r="Q385" s="1003"/>
      <c r="R385" s="1003"/>
      <c r="S385" s="1003"/>
      <c r="T385" s="1003"/>
      <c r="U385" s="1003"/>
      <c r="V385" s="1003"/>
      <c r="W385" s="1003"/>
      <c r="X385" s="1003"/>
      <c r="Y385" s="1003"/>
      <c r="Z385" s="1003"/>
      <c r="AA385" s="1003"/>
      <c r="AB385" s="1003"/>
      <c r="AC385" s="1003"/>
      <c r="AD385" s="1003"/>
      <c r="AE385" s="1003"/>
      <c r="AF385" s="120"/>
      <c r="AG385" s="120"/>
      <c r="AH385" s="120"/>
    </row>
    <row r="386" spans="1:49">
      <c r="A386" s="215"/>
      <c r="B386" s="1003" t="str">
        <f>IF(OR(AL380&gt;0,AL381&gt;0,AN381&gt;0,AP381&gt;0),"Favor de revisar la suma y consistencia de totales y/o subtotales por filas (numéricos y NS)","")</f>
        <v/>
      </c>
      <c r="C386" s="1003"/>
      <c r="D386" s="1003"/>
      <c r="E386" s="1003"/>
      <c r="F386" s="1003"/>
      <c r="G386" s="1003"/>
      <c r="H386" s="1003"/>
      <c r="I386" s="1003"/>
      <c r="J386" s="1003"/>
      <c r="K386" s="1003"/>
      <c r="L386" s="1003"/>
      <c r="M386" s="1003"/>
      <c r="N386" s="1003"/>
      <c r="O386" s="1003"/>
      <c r="P386" s="1003"/>
      <c r="Q386" s="1003"/>
      <c r="R386" s="1003"/>
      <c r="S386" s="1003"/>
      <c r="T386" s="1003"/>
      <c r="U386" s="1003"/>
      <c r="V386" s="1003"/>
      <c r="W386" s="1003"/>
      <c r="X386" s="1003"/>
      <c r="Y386" s="1003"/>
      <c r="Z386" s="1003"/>
      <c r="AA386" s="1003"/>
      <c r="AB386" s="1003"/>
      <c r="AC386" s="1003"/>
      <c r="AD386" s="1003"/>
      <c r="AE386" s="1003"/>
      <c r="AF386" s="57"/>
      <c r="AG386" s="57"/>
      <c r="AH386" s="57"/>
      <c r="AI386" s="57"/>
      <c r="AJ386" s="57"/>
      <c r="AK386" s="57"/>
      <c r="AL386" s="57"/>
      <c r="AM386" s="57"/>
      <c r="AN386" s="57"/>
      <c r="AO386" s="57"/>
      <c r="AP386" s="57"/>
      <c r="AQ386" s="57"/>
      <c r="AR386" s="57"/>
      <c r="AS386" s="57"/>
      <c r="AT386" s="57"/>
      <c r="AU386" s="57"/>
      <c r="AV386" s="57"/>
      <c r="AW386" s="57"/>
    </row>
    <row r="387" spans="1:49">
      <c r="A387" s="215"/>
      <c r="B387" s="794" t="str">
        <f>IF(AF379=0,"","Debido a que cuenta con registro(s) con el código 1, el total de la fila respectiva debe ser mayor a cero")</f>
        <v/>
      </c>
      <c r="C387" s="794"/>
      <c r="D387" s="794"/>
      <c r="E387" s="794"/>
      <c r="F387" s="794"/>
      <c r="G387" s="794"/>
      <c r="H387" s="794"/>
      <c r="I387" s="794"/>
      <c r="J387" s="794"/>
      <c r="K387" s="794"/>
      <c r="L387" s="794"/>
      <c r="M387" s="794"/>
      <c r="N387" s="794"/>
      <c r="O387" s="794"/>
      <c r="P387" s="794"/>
      <c r="Q387" s="794"/>
      <c r="R387" s="794"/>
      <c r="S387" s="794"/>
      <c r="T387" s="794"/>
      <c r="U387" s="794"/>
      <c r="V387" s="794"/>
      <c r="W387" s="794"/>
      <c r="X387" s="794"/>
      <c r="Y387" s="794"/>
      <c r="Z387" s="794"/>
      <c r="AA387" s="794"/>
      <c r="AB387" s="794"/>
      <c r="AC387" s="794"/>
      <c r="AD387" s="794"/>
      <c r="AE387" s="794"/>
      <c r="AF387" s="57"/>
      <c r="AG387" s="57"/>
      <c r="AH387" s="57"/>
      <c r="AI387" s="57"/>
      <c r="AJ387" s="57"/>
      <c r="AK387" s="57"/>
      <c r="AL387" s="57"/>
      <c r="AM387" s="57"/>
      <c r="AN387" s="57"/>
      <c r="AO387" s="57"/>
      <c r="AP387" s="57"/>
      <c r="AQ387" s="57"/>
      <c r="AR387" s="57"/>
      <c r="AS387" s="57"/>
      <c r="AT387" s="57"/>
      <c r="AU387" s="57"/>
      <c r="AV387" s="57"/>
      <c r="AW387" s="57"/>
    </row>
    <row r="388" spans="1:49">
      <c r="A388" s="215"/>
      <c r="B388" s="90"/>
      <c r="C388" s="223"/>
      <c r="D388" s="224"/>
      <c r="E388" s="224"/>
      <c r="F388" s="224"/>
      <c r="G388" s="224"/>
      <c r="H388" s="224"/>
      <c r="I388" s="224"/>
      <c r="J388" s="224"/>
      <c r="K388" s="90"/>
      <c r="L388" s="90"/>
      <c r="M388" s="90"/>
      <c r="N388" s="90"/>
      <c r="O388" s="90"/>
      <c r="P388" s="180"/>
      <c r="Q388" s="180"/>
      <c r="R388" s="180"/>
      <c r="S388" s="49"/>
      <c r="Y388" s="120"/>
      <c r="Z388" s="120"/>
      <c r="AA388" s="49"/>
      <c r="AB388" s="49"/>
      <c r="AC388" s="49"/>
      <c r="AD388" s="49"/>
      <c r="AE388"/>
    </row>
    <row r="389" spans="1:49" ht="15" customHeight="1">
      <c r="A389" s="169"/>
      <c r="B389" s="57"/>
      <c r="C389" s="45" t="s">
        <v>6203</v>
      </c>
      <c r="D389" s="86"/>
      <c r="E389" s="86"/>
      <c r="F389" s="86"/>
      <c r="G389" s="86"/>
      <c r="H389" s="86"/>
      <c r="I389" s="86"/>
      <c r="J389" s="86"/>
      <c r="K389" s="86"/>
      <c r="L389" s="86"/>
      <c r="M389" s="86"/>
      <c r="N389" s="86"/>
      <c r="O389" s="86"/>
      <c r="P389" s="86"/>
      <c r="Q389" s="86"/>
      <c r="R389" s="86"/>
      <c r="S389" s="86"/>
      <c r="T389" s="86"/>
      <c r="U389" s="86"/>
      <c r="V389" s="86"/>
      <c r="W389" s="86"/>
      <c r="X389" s="86"/>
      <c r="Y389" s="86"/>
      <c r="Z389" s="86"/>
      <c r="AA389" s="86"/>
      <c r="AB389" s="86"/>
      <c r="AC389" s="86"/>
      <c r="AD389" s="86"/>
    </row>
    <row r="390" spans="1:49" ht="15" customHeight="1">
      <c r="A390" s="169"/>
      <c r="B390" s="57"/>
      <c r="C390" s="86"/>
      <c r="D390" s="86"/>
      <c r="E390" s="86"/>
      <c r="F390" s="86"/>
      <c r="G390" s="86"/>
      <c r="H390" s="86"/>
      <c r="I390" s="86"/>
      <c r="J390" s="86"/>
      <c r="K390" s="86"/>
      <c r="L390" s="86"/>
      <c r="M390" s="86"/>
      <c r="N390" s="86"/>
      <c r="O390" s="86"/>
      <c r="P390" s="86"/>
      <c r="Q390" s="86"/>
      <c r="R390" s="86"/>
      <c r="S390" s="86"/>
      <c r="T390" s="86"/>
      <c r="U390" s="86"/>
      <c r="V390" s="86"/>
      <c r="W390" s="86"/>
      <c r="X390" s="86"/>
      <c r="Y390" s="86"/>
      <c r="Z390" s="86"/>
      <c r="AA390" s="86"/>
      <c r="AB390" s="86"/>
      <c r="AC390" s="86"/>
      <c r="AD390" s="86"/>
      <c r="AF390"/>
      <c r="AG390"/>
      <c r="AH390"/>
      <c r="AI390"/>
      <c r="AJ390"/>
      <c r="AK390"/>
      <c r="AL390"/>
      <c r="AM390"/>
      <c r="AN390"/>
      <c r="AO390"/>
      <c r="AP390"/>
      <c r="AQ390"/>
      <c r="AR390"/>
      <c r="AS390"/>
      <c r="AT390"/>
      <c r="AU390"/>
      <c r="AV390"/>
    </row>
    <row r="391" spans="1:49" ht="36" customHeight="1">
      <c r="A391" s="50"/>
      <c r="B391" s="38"/>
      <c r="C391" s="732" t="s">
        <v>2581</v>
      </c>
      <c r="D391" s="732"/>
      <c r="E391" s="732"/>
      <c r="F391" s="732"/>
      <c r="G391" s="732"/>
      <c r="H391" s="732"/>
      <c r="I391" s="732"/>
      <c r="J391" s="732"/>
      <c r="K391" s="732"/>
      <c r="L391" s="732"/>
      <c r="M391" s="732"/>
      <c r="N391" s="732"/>
      <c r="O391" s="732"/>
      <c r="P391" s="732" t="s">
        <v>6204</v>
      </c>
      <c r="Q391" s="732"/>
      <c r="R391" s="732"/>
      <c r="S391" s="732"/>
      <c r="T391" s="732"/>
      <c r="U391" s="732"/>
      <c r="V391" s="739" t="s">
        <v>6205</v>
      </c>
      <c r="W391" s="740"/>
      <c r="X391" s="740"/>
      <c r="Y391" s="740"/>
      <c r="Z391" s="740"/>
      <c r="AA391" s="740"/>
      <c r="AB391" s="740"/>
      <c r="AC391" s="740"/>
      <c r="AD391" s="741"/>
      <c r="AF391"/>
      <c r="AG391"/>
      <c r="AH391"/>
      <c r="AI391"/>
      <c r="AJ391"/>
      <c r="AK391"/>
      <c r="AL391"/>
      <c r="AM391"/>
      <c r="AN391"/>
      <c r="AO391"/>
      <c r="AP391"/>
      <c r="AQ391"/>
      <c r="AR391"/>
      <c r="AS391"/>
      <c r="AT391"/>
      <c r="AU391"/>
      <c r="AV391"/>
    </row>
    <row r="392" spans="1:49" ht="72" customHeight="1">
      <c r="A392" s="50"/>
      <c r="B392" s="38"/>
      <c r="C392" s="732"/>
      <c r="D392" s="732"/>
      <c r="E392" s="732"/>
      <c r="F392" s="732"/>
      <c r="G392" s="732"/>
      <c r="H392" s="732"/>
      <c r="I392" s="732"/>
      <c r="J392" s="732"/>
      <c r="K392" s="732"/>
      <c r="L392" s="732"/>
      <c r="M392" s="732"/>
      <c r="N392" s="732"/>
      <c r="O392" s="732"/>
      <c r="P392" s="732"/>
      <c r="Q392" s="732"/>
      <c r="R392" s="732"/>
      <c r="S392" s="732"/>
      <c r="T392" s="732"/>
      <c r="U392" s="732"/>
      <c r="V392" s="887" t="s">
        <v>2628</v>
      </c>
      <c r="W392" s="889" t="s">
        <v>2629</v>
      </c>
      <c r="X392" s="889" t="s">
        <v>2630</v>
      </c>
      <c r="Y392" s="858" t="s">
        <v>6071</v>
      </c>
      <c r="Z392" s="859"/>
      <c r="AA392" s="860"/>
      <c r="AB392" s="858" t="s">
        <v>6073</v>
      </c>
      <c r="AC392" s="859"/>
      <c r="AD392" s="860"/>
      <c r="AF392"/>
      <c r="AG392"/>
      <c r="AH392"/>
      <c r="AI392"/>
      <c r="AJ392"/>
      <c r="AK392"/>
      <c r="AL392"/>
      <c r="AM392"/>
      <c r="AN392"/>
      <c r="AO392"/>
      <c r="AP392"/>
      <c r="AQ392"/>
      <c r="AR392"/>
      <c r="AS392"/>
      <c r="AT392"/>
      <c r="AU392"/>
      <c r="AV392"/>
    </row>
    <row r="393" spans="1:49" ht="48" customHeight="1">
      <c r="A393" s="50"/>
      <c r="B393" s="38"/>
      <c r="C393" s="732"/>
      <c r="D393" s="732"/>
      <c r="E393" s="732"/>
      <c r="F393" s="732"/>
      <c r="G393" s="732"/>
      <c r="H393" s="732"/>
      <c r="I393" s="732"/>
      <c r="J393" s="732"/>
      <c r="K393" s="732"/>
      <c r="L393" s="732"/>
      <c r="M393" s="732"/>
      <c r="N393" s="732"/>
      <c r="O393" s="732"/>
      <c r="P393" s="732"/>
      <c r="Q393" s="732"/>
      <c r="R393" s="732"/>
      <c r="S393" s="732"/>
      <c r="T393" s="732"/>
      <c r="U393" s="732"/>
      <c r="V393" s="888"/>
      <c r="W393" s="890"/>
      <c r="X393" s="890"/>
      <c r="Y393" s="127" t="s">
        <v>2635</v>
      </c>
      <c r="Z393" s="128" t="s">
        <v>2629</v>
      </c>
      <c r="AA393" s="128" t="s">
        <v>2630</v>
      </c>
      <c r="AB393" s="127" t="s">
        <v>2635</v>
      </c>
      <c r="AC393" s="128" t="s">
        <v>2629</v>
      </c>
      <c r="AD393" s="128" t="s">
        <v>2630</v>
      </c>
      <c r="AF393" t="s">
        <v>4713</v>
      </c>
      <c r="AG393" t="s">
        <v>2586</v>
      </c>
      <c r="AH393" t="s">
        <v>5940</v>
      </c>
      <c r="AI393"/>
      <c r="AJ393"/>
      <c r="AK393" t="s">
        <v>4573</v>
      </c>
      <c r="AL393" t="s">
        <v>2638</v>
      </c>
      <c r="AM393" t="s">
        <v>2639</v>
      </c>
      <c r="AN393" t="s">
        <v>4574</v>
      </c>
      <c r="AO393" t="s">
        <v>2641</v>
      </c>
      <c r="AP393" t="s">
        <v>2642</v>
      </c>
      <c r="AQ393" t="s">
        <v>4575</v>
      </c>
      <c r="AR393" t="s">
        <v>2644</v>
      </c>
      <c r="AS393" t="s">
        <v>2645</v>
      </c>
      <c r="AT393"/>
      <c r="AU393"/>
      <c r="AV393"/>
    </row>
    <row r="394" spans="1:49">
      <c r="A394" s="50"/>
      <c r="B394" s="38"/>
      <c r="C394" s="126" t="s">
        <v>2516</v>
      </c>
      <c r="D394" s="796" t="str">
        <f>IF(CNSIPEE_2024_M2_Secc1!D42="","",CNSIPEE_2024_M2_Secc1!D42)</f>
        <v/>
      </c>
      <c r="E394" s="796"/>
      <c r="F394" s="796"/>
      <c r="G394" s="796"/>
      <c r="H394" s="796"/>
      <c r="I394" s="796"/>
      <c r="J394" s="796"/>
      <c r="K394" s="796"/>
      <c r="L394" s="796"/>
      <c r="M394" s="796"/>
      <c r="N394" s="796"/>
      <c r="O394" s="796"/>
      <c r="P394" s="749"/>
      <c r="Q394" s="749"/>
      <c r="R394" s="749"/>
      <c r="S394" s="749"/>
      <c r="T394" s="749"/>
      <c r="U394" s="749"/>
      <c r="V394" s="116"/>
      <c r="W394" s="100"/>
      <c r="X394" s="100"/>
      <c r="Y394" s="100"/>
      <c r="Z394" s="100"/>
      <c r="AA394" s="100"/>
      <c r="AB394" s="100"/>
      <c r="AC394" s="100"/>
      <c r="AD394" s="100"/>
      <c r="AF394">
        <f t="shared" ref="AF394:AF401" si="41">IF(AND(P394=1,V394=0),1,0)</f>
        <v>0</v>
      </c>
      <c r="AG394">
        <f>IF(COUNTBLANK(D394:AD394)=27,0,IF(D394="",1,IF(OR(P394&gt;1,N281&gt;1),0,IF(AND(COUNTA(V394:AD394)=9,P394=1,N281=1),0,1))))</f>
        <v>0</v>
      </c>
      <c r="AH394">
        <f t="shared" ref="AH394:AH401" si="42">IF(N281&gt;1,IF(COUNTA(P394:AD394)=0,0,1),IF(P394&gt;1,IF(COUNTA(V394:AD394)=0,0,1),0))</f>
        <v>0</v>
      </c>
      <c r="AI394"/>
      <c r="AJ394"/>
      <c r="AK394">
        <f t="shared" ref="AK394:AK401" si="43">COUNTIF(W394:X394,"NS")</f>
        <v>0</v>
      </c>
      <c r="AL394">
        <f t="shared" ref="AL394:AL401" si="44">SUM(W394:X394)</f>
        <v>0</v>
      </c>
      <c r="AM394">
        <f t="shared" ref="AM394:AM401" si="45">IF(COUNTIF(V394:X394,"NA")=3,0,IF(COUNTA(V394:X394)=0,0,IF(OR(AND(V394=0,AK394&gt;0),AND(V394="ns",AL394&gt;0),AND(V394="ns",AK394=0,AL394=0)),1,IF(OR(AND(V394&gt;0,AK394=2),AND(V394="ns",AK394=2),AND(V394="ns",AL394=0,AK394&gt;0),V394=AL394),0,1))))</f>
        <v>0</v>
      </c>
      <c r="AN394">
        <f t="shared" ref="AN394:AN401" si="46">COUNTIF(Z394:AA394,"NS")</f>
        <v>0</v>
      </c>
      <c r="AO394">
        <f t="shared" ref="AO394:AO401" si="47">SUM(Z394:AA394)</f>
        <v>0</v>
      </c>
      <c r="AP394">
        <f t="shared" ref="AP394:AP401" si="48">IF(COUNTIF(Y394:AA394,"NA")=3,0,IF(COUNTA(Y394:AA394)=0,0,IF(OR(AND(Y394=0,AN394&gt;0),AND(Y394="ns",AO394&gt;0),AND(Y394="ns",AN394=0,AO394=0)),1,IF(OR(AND(Y394&gt;0,AN394=2),AND(Y394="ns",AN394=2),AND(Y394="ns",AO394=0,AN394&gt;0),Y394=AO394),0,1))))</f>
        <v>0</v>
      </c>
      <c r="AQ394">
        <f t="shared" ref="AQ394:AQ401" si="49">COUNTIF(AC394:AD394,"NS")</f>
        <v>0</v>
      </c>
      <c r="AR394">
        <f t="shared" ref="AR394:AR401" si="50">SUM(AC394:AD394)</f>
        <v>0</v>
      </c>
      <c r="AS394">
        <f t="shared" ref="AS394:AS401" si="51">IF(COUNTIF(AB394:AD394,"NA")=3,0,IF(COUNTA(AB394:AD394)=0,0,IF(OR(AND(AB394=0,AQ394&gt;0),AND(AB394="ns",AR394&gt;0),AND(AB394="ns",AQ394=0,AR394=0)),1,IF(OR(AND(AB394&gt;0,AQ394=2),AND(AB394="ns",AQ394=2),AND(AB394="ns",AR394=0,AQ394&gt;0),AB394=AR394),0,1))))</f>
        <v>0</v>
      </c>
      <c r="AT394"/>
      <c r="AU394"/>
      <c r="AV394"/>
    </row>
    <row r="395" spans="1:49">
      <c r="A395" s="50"/>
      <c r="B395" s="38"/>
      <c r="C395" s="44" t="s">
        <v>2517</v>
      </c>
      <c r="D395" s="796" t="str">
        <f>IF(CNSIPEE_2024_M2_Secc1!D43="","",CNSIPEE_2024_M2_Secc1!D43)</f>
        <v/>
      </c>
      <c r="E395" s="796"/>
      <c r="F395" s="796"/>
      <c r="G395" s="796"/>
      <c r="H395" s="796"/>
      <c r="I395" s="796"/>
      <c r="J395" s="796"/>
      <c r="K395" s="796"/>
      <c r="L395" s="796"/>
      <c r="M395" s="796"/>
      <c r="N395" s="796"/>
      <c r="O395" s="796"/>
      <c r="P395" s="749"/>
      <c r="Q395" s="749"/>
      <c r="R395" s="749"/>
      <c r="S395" s="749"/>
      <c r="T395" s="749"/>
      <c r="U395" s="749"/>
      <c r="V395" s="116"/>
      <c r="W395" s="100"/>
      <c r="X395" s="100"/>
      <c r="Y395" s="100"/>
      <c r="Z395" s="100"/>
      <c r="AA395" s="100"/>
      <c r="AB395" s="100"/>
      <c r="AC395" s="100"/>
      <c r="AD395" s="100"/>
      <c r="AF395">
        <f t="shared" si="41"/>
        <v>0</v>
      </c>
      <c r="AG395">
        <f t="shared" ref="AG395:AG401" si="52">IF(COUNTBLANK(D395:AD395)=27,0,IF(D395="",1,IF(OR(P395&gt;1,N282&gt;1),0,IF(AND(COUNTA(V395:AD395)=9,P395=1,N282=1),0,1))))</f>
        <v>0</v>
      </c>
      <c r="AH395">
        <f t="shared" si="42"/>
        <v>0</v>
      </c>
      <c r="AI395"/>
      <c r="AJ395"/>
      <c r="AK395">
        <f t="shared" si="43"/>
        <v>0</v>
      </c>
      <c r="AL395">
        <f t="shared" si="44"/>
        <v>0</v>
      </c>
      <c r="AM395">
        <f t="shared" si="45"/>
        <v>0</v>
      </c>
      <c r="AN395">
        <f t="shared" si="46"/>
        <v>0</v>
      </c>
      <c r="AO395">
        <f t="shared" si="47"/>
        <v>0</v>
      </c>
      <c r="AP395">
        <f t="shared" si="48"/>
        <v>0</v>
      </c>
      <c r="AQ395">
        <f t="shared" si="49"/>
        <v>0</v>
      </c>
      <c r="AR395">
        <f t="shared" si="50"/>
        <v>0</v>
      </c>
      <c r="AS395">
        <f t="shared" si="51"/>
        <v>0</v>
      </c>
      <c r="AT395"/>
      <c r="AU395"/>
      <c r="AV395"/>
    </row>
    <row r="396" spans="1:49">
      <c r="A396" s="50"/>
      <c r="B396" s="38"/>
      <c r="C396" s="44" t="s">
        <v>2518</v>
      </c>
      <c r="D396" s="796" t="str">
        <f>IF(CNSIPEE_2024_M2_Secc1!D44="","",CNSIPEE_2024_M2_Secc1!D44)</f>
        <v/>
      </c>
      <c r="E396" s="796"/>
      <c r="F396" s="796"/>
      <c r="G396" s="796"/>
      <c r="H396" s="796"/>
      <c r="I396" s="796"/>
      <c r="J396" s="796"/>
      <c r="K396" s="796"/>
      <c r="L396" s="796"/>
      <c r="M396" s="796"/>
      <c r="N396" s="796"/>
      <c r="O396" s="796"/>
      <c r="P396" s="749"/>
      <c r="Q396" s="749"/>
      <c r="R396" s="749"/>
      <c r="S396" s="749"/>
      <c r="T396" s="749"/>
      <c r="U396" s="749"/>
      <c r="V396" s="116"/>
      <c r="W396" s="100"/>
      <c r="X396" s="100"/>
      <c r="Y396" s="100"/>
      <c r="Z396" s="100"/>
      <c r="AA396" s="100"/>
      <c r="AB396" s="100"/>
      <c r="AC396" s="100"/>
      <c r="AD396" s="100"/>
      <c r="AF396">
        <f t="shared" si="41"/>
        <v>0</v>
      </c>
      <c r="AG396">
        <f t="shared" si="52"/>
        <v>0</v>
      </c>
      <c r="AH396">
        <f t="shared" si="42"/>
        <v>0</v>
      </c>
      <c r="AI396"/>
      <c r="AJ396"/>
      <c r="AK396">
        <f t="shared" si="43"/>
        <v>0</v>
      </c>
      <c r="AL396">
        <f t="shared" si="44"/>
        <v>0</v>
      </c>
      <c r="AM396">
        <f t="shared" si="45"/>
        <v>0</v>
      </c>
      <c r="AN396">
        <f t="shared" si="46"/>
        <v>0</v>
      </c>
      <c r="AO396">
        <f t="shared" si="47"/>
        <v>0</v>
      </c>
      <c r="AP396">
        <f t="shared" si="48"/>
        <v>0</v>
      </c>
      <c r="AQ396">
        <f t="shared" si="49"/>
        <v>0</v>
      </c>
      <c r="AR396">
        <f t="shared" si="50"/>
        <v>0</v>
      </c>
      <c r="AS396">
        <f t="shared" si="51"/>
        <v>0</v>
      </c>
      <c r="AT396"/>
      <c r="AU396"/>
      <c r="AV396"/>
    </row>
    <row r="397" spans="1:49">
      <c r="A397" s="50"/>
      <c r="B397" s="38"/>
      <c r="C397" s="44" t="s">
        <v>2519</v>
      </c>
      <c r="D397" s="796" t="str">
        <f>IF(CNSIPEE_2024_M2_Secc1!D45="","",CNSIPEE_2024_M2_Secc1!D45)</f>
        <v/>
      </c>
      <c r="E397" s="796"/>
      <c r="F397" s="796"/>
      <c r="G397" s="796"/>
      <c r="H397" s="796"/>
      <c r="I397" s="796"/>
      <c r="J397" s="796"/>
      <c r="K397" s="796"/>
      <c r="L397" s="796"/>
      <c r="M397" s="796"/>
      <c r="N397" s="796"/>
      <c r="O397" s="796"/>
      <c r="P397" s="749"/>
      <c r="Q397" s="749"/>
      <c r="R397" s="749"/>
      <c r="S397" s="749"/>
      <c r="T397" s="749"/>
      <c r="U397" s="749"/>
      <c r="V397" s="116"/>
      <c r="W397" s="100"/>
      <c r="X397" s="100"/>
      <c r="Y397" s="100"/>
      <c r="Z397" s="100"/>
      <c r="AA397" s="100"/>
      <c r="AB397" s="100"/>
      <c r="AC397" s="100"/>
      <c r="AD397" s="100"/>
      <c r="AF397">
        <f t="shared" si="41"/>
        <v>0</v>
      </c>
      <c r="AG397">
        <f t="shared" si="52"/>
        <v>0</v>
      </c>
      <c r="AH397">
        <f t="shared" si="42"/>
        <v>0</v>
      </c>
      <c r="AI397"/>
      <c r="AJ397"/>
      <c r="AK397">
        <f t="shared" si="43"/>
        <v>0</v>
      </c>
      <c r="AL397">
        <f t="shared" si="44"/>
        <v>0</v>
      </c>
      <c r="AM397">
        <f t="shared" si="45"/>
        <v>0</v>
      </c>
      <c r="AN397">
        <f t="shared" si="46"/>
        <v>0</v>
      </c>
      <c r="AO397">
        <f t="shared" si="47"/>
        <v>0</v>
      </c>
      <c r="AP397">
        <f t="shared" si="48"/>
        <v>0</v>
      </c>
      <c r="AQ397">
        <f t="shared" si="49"/>
        <v>0</v>
      </c>
      <c r="AR397">
        <f t="shared" si="50"/>
        <v>0</v>
      </c>
      <c r="AS397">
        <f t="shared" si="51"/>
        <v>0</v>
      </c>
      <c r="AT397"/>
      <c r="AU397"/>
      <c r="AV397"/>
    </row>
    <row r="398" spans="1:49">
      <c r="A398" s="50"/>
      <c r="B398" s="38"/>
      <c r="C398" s="44" t="s">
        <v>2520</v>
      </c>
      <c r="D398" s="796" t="str">
        <f>IF(CNSIPEE_2024_M2_Secc1!D46="","",CNSIPEE_2024_M2_Secc1!D46)</f>
        <v/>
      </c>
      <c r="E398" s="796"/>
      <c r="F398" s="796"/>
      <c r="G398" s="796"/>
      <c r="H398" s="796"/>
      <c r="I398" s="796"/>
      <c r="J398" s="796"/>
      <c r="K398" s="796"/>
      <c r="L398" s="796"/>
      <c r="M398" s="796"/>
      <c r="N398" s="796"/>
      <c r="O398" s="796"/>
      <c r="P398" s="749"/>
      <c r="Q398" s="749"/>
      <c r="R398" s="749"/>
      <c r="S398" s="749"/>
      <c r="T398" s="749"/>
      <c r="U398" s="749"/>
      <c r="V398" s="116"/>
      <c r="W398" s="100"/>
      <c r="X398" s="100"/>
      <c r="Y398" s="100"/>
      <c r="Z398" s="100"/>
      <c r="AA398" s="100"/>
      <c r="AB398" s="100"/>
      <c r="AC398" s="100"/>
      <c r="AD398" s="100"/>
      <c r="AF398">
        <f t="shared" si="41"/>
        <v>0</v>
      </c>
      <c r="AG398">
        <f t="shared" si="52"/>
        <v>0</v>
      </c>
      <c r="AH398">
        <f t="shared" si="42"/>
        <v>0</v>
      </c>
      <c r="AI398"/>
      <c r="AJ398"/>
      <c r="AK398">
        <f t="shared" si="43"/>
        <v>0</v>
      </c>
      <c r="AL398">
        <f t="shared" si="44"/>
        <v>0</v>
      </c>
      <c r="AM398">
        <f t="shared" si="45"/>
        <v>0</v>
      </c>
      <c r="AN398">
        <f t="shared" si="46"/>
        <v>0</v>
      </c>
      <c r="AO398">
        <f t="shared" si="47"/>
        <v>0</v>
      </c>
      <c r="AP398">
        <f t="shared" si="48"/>
        <v>0</v>
      </c>
      <c r="AQ398">
        <f t="shared" si="49"/>
        <v>0</v>
      </c>
      <c r="AR398">
        <f t="shared" si="50"/>
        <v>0</v>
      </c>
      <c r="AS398">
        <f t="shared" si="51"/>
        <v>0</v>
      </c>
      <c r="AT398"/>
      <c r="AU398"/>
      <c r="AV398"/>
    </row>
    <row r="399" spans="1:49">
      <c r="A399" s="50"/>
      <c r="B399" s="38"/>
      <c r="C399" s="44" t="s">
        <v>2521</v>
      </c>
      <c r="D399" s="796" t="str">
        <f>IF(CNSIPEE_2024_M2_Secc1!D47="","",CNSIPEE_2024_M2_Secc1!D47)</f>
        <v/>
      </c>
      <c r="E399" s="796"/>
      <c r="F399" s="796"/>
      <c r="G399" s="796"/>
      <c r="H399" s="796"/>
      <c r="I399" s="796"/>
      <c r="J399" s="796"/>
      <c r="K399" s="796"/>
      <c r="L399" s="796"/>
      <c r="M399" s="796"/>
      <c r="N399" s="796"/>
      <c r="O399" s="796"/>
      <c r="P399" s="749"/>
      <c r="Q399" s="749"/>
      <c r="R399" s="749"/>
      <c r="S399" s="749"/>
      <c r="T399" s="749"/>
      <c r="U399" s="749"/>
      <c r="V399" s="116"/>
      <c r="W399" s="100"/>
      <c r="X399" s="100"/>
      <c r="Y399" s="100"/>
      <c r="Z399" s="100"/>
      <c r="AA399" s="100"/>
      <c r="AB399" s="100"/>
      <c r="AC399" s="100"/>
      <c r="AD399" s="100"/>
      <c r="AF399">
        <f t="shared" si="41"/>
        <v>0</v>
      </c>
      <c r="AG399">
        <f t="shared" si="52"/>
        <v>0</v>
      </c>
      <c r="AH399">
        <f t="shared" si="42"/>
        <v>0</v>
      </c>
      <c r="AI399"/>
      <c r="AJ399"/>
      <c r="AK399">
        <f t="shared" si="43"/>
        <v>0</v>
      </c>
      <c r="AL399">
        <f t="shared" si="44"/>
        <v>0</v>
      </c>
      <c r="AM399">
        <f t="shared" si="45"/>
        <v>0</v>
      </c>
      <c r="AN399">
        <f t="shared" si="46"/>
        <v>0</v>
      </c>
      <c r="AO399">
        <f t="shared" si="47"/>
        <v>0</v>
      </c>
      <c r="AP399">
        <f t="shared" si="48"/>
        <v>0</v>
      </c>
      <c r="AQ399">
        <f t="shared" si="49"/>
        <v>0</v>
      </c>
      <c r="AR399">
        <f t="shared" si="50"/>
        <v>0</v>
      </c>
      <c r="AS399">
        <f t="shared" si="51"/>
        <v>0</v>
      </c>
      <c r="AT399"/>
      <c r="AU399"/>
      <c r="AV399"/>
    </row>
    <row r="400" spans="1:49">
      <c r="A400" s="50"/>
      <c r="B400" s="38"/>
      <c r="C400" s="44" t="s">
        <v>2522</v>
      </c>
      <c r="D400" s="796" t="str">
        <f>IF(CNSIPEE_2024_M2_Secc1!D48="","",CNSIPEE_2024_M2_Secc1!D48)</f>
        <v/>
      </c>
      <c r="E400" s="796"/>
      <c r="F400" s="796"/>
      <c r="G400" s="796"/>
      <c r="H400" s="796"/>
      <c r="I400" s="796"/>
      <c r="J400" s="796"/>
      <c r="K400" s="796"/>
      <c r="L400" s="796"/>
      <c r="M400" s="796"/>
      <c r="N400" s="796"/>
      <c r="O400" s="796"/>
      <c r="P400" s="749"/>
      <c r="Q400" s="749"/>
      <c r="R400" s="749"/>
      <c r="S400" s="749"/>
      <c r="T400" s="749"/>
      <c r="U400" s="749"/>
      <c r="V400" s="116"/>
      <c r="W400" s="100"/>
      <c r="X400" s="100"/>
      <c r="Y400" s="100"/>
      <c r="Z400" s="100"/>
      <c r="AA400" s="100"/>
      <c r="AB400" s="100"/>
      <c r="AC400" s="100"/>
      <c r="AD400" s="100"/>
      <c r="AF400">
        <f t="shared" si="41"/>
        <v>0</v>
      </c>
      <c r="AG400">
        <f t="shared" si="52"/>
        <v>0</v>
      </c>
      <c r="AH400">
        <f t="shared" si="42"/>
        <v>0</v>
      </c>
      <c r="AI400"/>
      <c r="AJ400"/>
      <c r="AK400">
        <f t="shared" si="43"/>
        <v>0</v>
      </c>
      <c r="AL400">
        <f t="shared" si="44"/>
        <v>0</v>
      </c>
      <c r="AM400">
        <f t="shared" si="45"/>
        <v>0</v>
      </c>
      <c r="AN400">
        <f t="shared" si="46"/>
        <v>0</v>
      </c>
      <c r="AO400">
        <f t="shared" si="47"/>
        <v>0</v>
      </c>
      <c r="AP400">
        <f t="shared" si="48"/>
        <v>0</v>
      </c>
      <c r="AQ400">
        <f t="shared" si="49"/>
        <v>0</v>
      </c>
      <c r="AR400">
        <f t="shared" si="50"/>
        <v>0</v>
      </c>
      <c r="AS400">
        <f t="shared" si="51"/>
        <v>0</v>
      </c>
      <c r="AT400"/>
      <c r="AU400"/>
      <c r="AV400"/>
    </row>
    <row r="401" spans="1:49">
      <c r="A401" s="50"/>
      <c r="B401" s="38"/>
      <c r="C401" s="44" t="s">
        <v>2523</v>
      </c>
      <c r="D401" s="796" t="str">
        <f>IF(CNSIPEE_2024_M2_Secc1!D49="","",CNSIPEE_2024_M2_Secc1!D49)</f>
        <v/>
      </c>
      <c r="E401" s="796"/>
      <c r="F401" s="796"/>
      <c r="G401" s="796"/>
      <c r="H401" s="796"/>
      <c r="I401" s="796"/>
      <c r="J401" s="796"/>
      <c r="K401" s="796"/>
      <c r="L401" s="796"/>
      <c r="M401" s="796"/>
      <c r="N401" s="796"/>
      <c r="O401" s="796"/>
      <c r="P401" s="749"/>
      <c r="Q401" s="749"/>
      <c r="R401" s="749"/>
      <c r="S401" s="749"/>
      <c r="T401" s="749"/>
      <c r="U401" s="749"/>
      <c r="V401" s="116"/>
      <c r="W401" s="100"/>
      <c r="X401" s="100"/>
      <c r="Y401" s="100"/>
      <c r="Z401" s="100"/>
      <c r="AA401" s="100"/>
      <c r="AB401" s="100"/>
      <c r="AC401" s="100"/>
      <c r="AD401" s="100"/>
      <c r="AF401">
        <f t="shared" si="41"/>
        <v>0</v>
      </c>
      <c r="AG401">
        <f t="shared" si="52"/>
        <v>0</v>
      </c>
      <c r="AH401">
        <f t="shared" si="42"/>
        <v>0</v>
      </c>
      <c r="AI401"/>
      <c r="AJ401"/>
      <c r="AK401">
        <f t="shared" si="43"/>
        <v>0</v>
      </c>
      <c r="AL401">
        <f t="shared" si="44"/>
        <v>0</v>
      </c>
      <c r="AM401">
        <f t="shared" si="45"/>
        <v>0</v>
      </c>
      <c r="AN401">
        <f t="shared" si="46"/>
        <v>0</v>
      </c>
      <c r="AO401">
        <f t="shared" si="47"/>
        <v>0</v>
      </c>
      <c r="AP401">
        <f t="shared" si="48"/>
        <v>0</v>
      </c>
      <c r="AQ401">
        <f t="shared" si="49"/>
        <v>0</v>
      </c>
      <c r="AR401">
        <f t="shared" si="50"/>
        <v>0</v>
      </c>
      <c r="AS401">
        <f t="shared" si="51"/>
        <v>0</v>
      </c>
      <c r="AT401"/>
      <c r="AU401"/>
      <c r="AV401"/>
    </row>
    <row r="402" spans="1:49">
      <c r="A402" s="50"/>
      <c r="B402" s="38"/>
      <c r="C402" s="165"/>
      <c r="D402" s="165"/>
      <c r="E402" s="165"/>
      <c r="F402" s="165"/>
      <c r="G402" s="165"/>
      <c r="I402" s="165"/>
      <c r="J402" s="165"/>
      <c r="K402" s="165"/>
      <c r="L402" s="165"/>
      <c r="M402" s="165"/>
      <c r="N402" s="165"/>
      <c r="O402" s="165"/>
      <c r="P402" s="165"/>
      <c r="Q402" s="165"/>
      <c r="U402" s="99" t="s">
        <v>2649</v>
      </c>
      <c r="V402" s="124">
        <f t="shared" ref="V402:AD402" si="53">IF(AND(SUM(V394:V401)=0,COUNTIF(V394:V401,"NS")&gt;0),"NS",IF(AND(SUM(V394:V401)=0,COUNTIF(V394:V401,0)&gt;0),0,IF(AND(SUM(V394:V401)=0,COUNTIF(V394:V401,"NA")&gt;0),"NA",SUM(V394:V401))))</f>
        <v>0</v>
      </c>
      <c r="W402" s="124">
        <f t="shared" si="53"/>
        <v>0</v>
      </c>
      <c r="X402" s="124">
        <f t="shared" si="53"/>
        <v>0</v>
      </c>
      <c r="Y402" s="124">
        <f t="shared" si="53"/>
        <v>0</v>
      </c>
      <c r="Z402" s="124">
        <f t="shared" si="53"/>
        <v>0</v>
      </c>
      <c r="AA402" s="124">
        <f t="shared" si="53"/>
        <v>0</v>
      </c>
      <c r="AB402" s="124">
        <f t="shared" si="53"/>
        <v>0</v>
      </c>
      <c r="AC402" s="124">
        <f t="shared" si="53"/>
        <v>0</v>
      </c>
      <c r="AD402" s="124">
        <f t="shared" si="53"/>
        <v>0</v>
      </c>
      <c r="AF402" s="507">
        <f>SUM(AF394:AF401)</f>
        <v>0</v>
      </c>
      <c r="AG402" s="507">
        <f>SUM(AG394:AG401)</f>
        <v>0</v>
      </c>
      <c r="AH402" s="507">
        <f>SUM(AH394:AH401)</f>
        <v>0</v>
      </c>
      <c r="AJ402"/>
      <c r="AK402">
        <f>SUM(AK394:AK401)</f>
        <v>0</v>
      </c>
      <c r="AM402">
        <f>SUM(AM394:AM401)</f>
        <v>0</v>
      </c>
      <c r="AN402">
        <f>SUM(AN394:AN401)</f>
        <v>0</v>
      </c>
      <c r="AP402">
        <f>SUM(AP394:AP401)</f>
        <v>0</v>
      </c>
      <c r="AQ402">
        <f>SUM(AQ394:AQ401)</f>
        <v>0</v>
      </c>
      <c r="AS402">
        <f>SUM(AS394:AS401)</f>
        <v>0</v>
      </c>
      <c r="AT402"/>
      <c r="AU402"/>
      <c r="AV402"/>
      <c r="AW402"/>
    </row>
    <row r="403" spans="1:49">
      <c r="A403" s="215"/>
      <c r="B403" s="90"/>
      <c r="C403" s="223"/>
      <c r="D403" s="224"/>
      <c r="E403" s="224"/>
      <c r="F403" s="224"/>
      <c r="G403" s="224"/>
      <c r="H403" s="224"/>
      <c r="I403" s="224"/>
      <c r="J403" s="224"/>
      <c r="K403" s="90"/>
      <c r="L403" s="90"/>
      <c r="M403" s="90"/>
      <c r="N403" s="90"/>
      <c r="O403" s="90"/>
      <c r="P403" s="180"/>
      <c r="Q403" s="180"/>
      <c r="R403" s="180"/>
      <c r="S403" s="49"/>
      <c r="Y403" s="120"/>
      <c r="Z403" s="120"/>
      <c r="AA403" s="49"/>
      <c r="AB403" s="49"/>
      <c r="AC403" s="49"/>
      <c r="AD403" s="49"/>
      <c r="AF403" s="120"/>
      <c r="AG403" s="120"/>
      <c r="AH403" s="120"/>
      <c r="AK403" t="s">
        <v>2650</v>
      </c>
      <c r="AL403" s="506">
        <f>SUM(AM402,AP402,AS402)</f>
        <v>0</v>
      </c>
      <c r="AM403" t="s">
        <v>2651</v>
      </c>
      <c r="AN403">
        <f>SUM(AK402,AN402,AQ402)</f>
        <v>0</v>
      </c>
      <c r="AT403"/>
      <c r="AU403"/>
      <c r="AV403"/>
      <c r="AW403"/>
    </row>
    <row r="404" spans="1:49" ht="24" customHeight="1">
      <c r="A404" s="50"/>
      <c r="B404" s="38"/>
      <c r="C404" s="754" t="s">
        <v>2611</v>
      </c>
      <c r="D404" s="754"/>
      <c r="E404" s="754"/>
      <c r="F404" s="754"/>
      <c r="G404" s="754"/>
      <c r="H404" s="754"/>
      <c r="I404" s="754"/>
      <c r="J404" s="754"/>
      <c r="K404" s="754"/>
      <c r="L404" s="754"/>
      <c r="M404" s="754"/>
      <c r="N404" s="754"/>
      <c r="O404" s="754"/>
      <c r="P404" s="754"/>
      <c r="Q404" s="754"/>
      <c r="R404" s="754"/>
      <c r="S404" s="754"/>
      <c r="T404" s="754"/>
      <c r="U404" s="754"/>
      <c r="V404" s="754"/>
      <c r="W404" s="754"/>
      <c r="X404" s="754"/>
      <c r="Y404" s="754"/>
      <c r="Z404" s="754"/>
      <c r="AA404" s="754"/>
      <c r="AB404" s="754"/>
      <c r="AC404" s="754"/>
      <c r="AD404" s="754"/>
      <c r="AF404" s="120"/>
      <c r="AG404" s="120"/>
      <c r="AH404" s="120"/>
      <c r="AK404" t="s">
        <v>2652</v>
      </c>
      <c r="AL404" s="507">
        <f>IF(AN403&gt;0,IF(SUM(V402)&gt;=SUM(Y402,AB402),0,1),IF(SUM(V402)&lt;&gt;SUM(Y402,AB402),1,0))</f>
        <v>0</v>
      </c>
      <c r="AM404" t="s">
        <v>2653</v>
      </c>
      <c r="AN404" s="507">
        <f>IF(AN403&gt;0,IF(SUM(W402)&gt;=SUM(Z402,AC402),0,1),IF(SUM(W402)&lt;&gt;SUM(Z402,AC402),1,0))</f>
        <v>0</v>
      </c>
      <c r="AO404" t="s">
        <v>2654</v>
      </c>
      <c r="AP404" s="507">
        <f>IF(AN403&gt;0,IF(SUM(X402)&gt;=SUM(AA402,AD402),0,1),IF(SUM(X402)&lt;&gt;SUM(AA402,AD402),1,0))</f>
        <v>0</v>
      </c>
      <c r="AT404"/>
      <c r="AU404"/>
      <c r="AV404"/>
      <c r="AW404"/>
    </row>
    <row r="405" spans="1:49" ht="60" customHeight="1">
      <c r="A405" s="50"/>
      <c r="B405" s="38"/>
      <c r="C405" s="851"/>
      <c r="D405" s="851"/>
      <c r="E405" s="851"/>
      <c r="F405" s="851"/>
      <c r="G405" s="851"/>
      <c r="H405" s="851"/>
      <c r="I405" s="851"/>
      <c r="J405" s="851"/>
      <c r="K405" s="851"/>
      <c r="L405" s="851"/>
      <c r="M405" s="851"/>
      <c r="N405" s="851"/>
      <c r="O405" s="851"/>
      <c r="P405" s="851"/>
      <c r="Q405" s="851"/>
      <c r="R405" s="851"/>
      <c r="S405" s="851"/>
      <c r="T405" s="851"/>
      <c r="U405" s="851"/>
      <c r="V405" s="851"/>
      <c r="W405" s="851"/>
      <c r="X405" s="851"/>
      <c r="Y405" s="851"/>
      <c r="Z405" s="851"/>
      <c r="AA405" s="851"/>
      <c r="AB405" s="851"/>
      <c r="AC405" s="851"/>
      <c r="AD405" s="851"/>
      <c r="AF405"/>
      <c r="AG405"/>
      <c r="AH405"/>
      <c r="AI405"/>
      <c r="AJ405"/>
      <c r="AK405"/>
      <c r="AL405"/>
      <c r="AM405"/>
      <c r="AN405"/>
      <c r="AO405"/>
      <c r="AP405"/>
      <c r="AQ405"/>
      <c r="AR405"/>
      <c r="AS405"/>
      <c r="AT405"/>
      <c r="AU405"/>
      <c r="AV405"/>
      <c r="AW405"/>
    </row>
    <row r="406" spans="1:49">
      <c r="A406" s="217"/>
      <c r="B406" s="794" t="str">
        <f>IF(AG402=0,"","Favor de ingresar toda la información requerida en la pregunta")</f>
        <v/>
      </c>
      <c r="C406" s="794"/>
      <c r="D406" s="794"/>
      <c r="E406" s="794"/>
      <c r="F406" s="794"/>
      <c r="G406" s="794"/>
      <c r="H406" s="794"/>
      <c r="I406" s="794"/>
      <c r="J406" s="794"/>
      <c r="K406" s="794"/>
      <c r="L406" s="794"/>
      <c r="M406" s="794"/>
      <c r="N406" s="794"/>
      <c r="O406" s="794"/>
      <c r="P406" s="794"/>
      <c r="Q406" s="794"/>
      <c r="R406" s="794"/>
      <c r="S406" s="794"/>
      <c r="T406" s="794"/>
      <c r="U406" s="794"/>
      <c r="V406" s="794"/>
      <c r="W406" s="794"/>
      <c r="X406" s="794"/>
      <c r="Y406" s="794"/>
      <c r="Z406" s="794"/>
      <c r="AA406" s="794"/>
      <c r="AB406" s="794"/>
      <c r="AC406" s="794"/>
      <c r="AD406" s="794"/>
      <c r="AE406" s="794"/>
    </row>
    <row r="407" spans="1:49">
      <c r="A407" s="215"/>
      <c r="B407" s="1087" t="str">
        <f>IF(COUNTIF(V394:AD401,"NS")&lt;&gt;0,"Alerta: debido a que cuenta con registros NS, debe proporcionar una justificación en el area de comentarios al final de la pregunta","")</f>
        <v/>
      </c>
      <c r="C407" s="1087"/>
      <c r="D407" s="1087"/>
      <c r="E407" s="1087"/>
      <c r="F407" s="1087"/>
      <c r="G407" s="1087"/>
      <c r="H407" s="1087"/>
      <c r="I407" s="1087"/>
      <c r="J407" s="1087"/>
      <c r="K407" s="1087"/>
      <c r="L407" s="1087"/>
      <c r="M407" s="1087"/>
      <c r="N407" s="1087"/>
      <c r="O407" s="1087"/>
      <c r="P407" s="1087"/>
      <c r="Q407" s="1087"/>
      <c r="R407" s="1087"/>
      <c r="S407" s="1087"/>
      <c r="T407" s="1087"/>
      <c r="U407" s="1087"/>
      <c r="V407" s="1087"/>
      <c r="W407" s="1087"/>
      <c r="X407" s="1087"/>
      <c r="Y407" s="1087"/>
      <c r="Z407" s="1087"/>
      <c r="AA407" s="1087"/>
      <c r="AB407" s="1087"/>
      <c r="AC407" s="1087"/>
      <c r="AD407" s="1087"/>
      <c r="AE407" s="1087"/>
    </row>
    <row r="408" spans="1:49">
      <c r="A408" s="215"/>
      <c r="B408" s="1003" t="str">
        <f>IF(AH402&gt;0,"Revise la información capturada, ya que tiene datos ingresados en celdas que están sombreadas","")</f>
        <v/>
      </c>
      <c r="C408" s="1003"/>
      <c r="D408" s="1003"/>
      <c r="E408" s="1003"/>
      <c r="F408" s="1003"/>
      <c r="G408" s="1003"/>
      <c r="H408" s="1003"/>
      <c r="I408" s="1003"/>
      <c r="J408" s="1003"/>
      <c r="K408" s="1003"/>
      <c r="L408" s="1003"/>
      <c r="M408" s="1003"/>
      <c r="N408" s="1003"/>
      <c r="O408" s="1003"/>
      <c r="P408" s="1003"/>
      <c r="Q408" s="1003"/>
      <c r="R408" s="1003"/>
      <c r="S408" s="1003"/>
      <c r="T408" s="1003"/>
      <c r="U408" s="1003"/>
      <c r="V408" s="1003"/>
      <c r="W408" s="1003"/>
      <c r="X408" s="1003"/>
      <c r="Y408" s="1003"/>
      <c r="Z408" s="1003"/>
      <c r="AA408" s="1003"/>
      <c r="AB408" s="1003"/>
      <c r="AC408" s="1003"/>
      <c r="AD408" s="1003"/>
      <c r="AE408" s="1003"/>
    </row>
    <row r="409" spans="1:49">
      <c r="A409" s="215"/>
      <c r="B409" s="1003" t="str">
        <f>IF(OR(AL403&gt;0,AL404&gt;0,AN404&gt;0,AP404&gt;0),"Favor de revisar la suma y consistencia de totales y/o subtotales por filas (numéricos y NS)","")</f>
        <v/>
      </c>
      <c r="C409" s="1003"/>
      <c r="D409" s="1003"/>
      <c r="E409" s="1003"/>
      <c r="F409" s="1003"/>
      <c r="G409" s="1003"/>
      <c r="H409" s="1003"/>
      <c r="I409" s="1003"/>
      <c r="J409" s="1003"/>
      <c r="K409" s="1003"/>
      <c r="L409" s="1003"/>
      <c r="M409" s="1003"/>
      <c r="N409" s="1003"/>
      <c r="O409" s="1003"/>
      <c r="P409" s="1003"/>
      <c r="Q409" s="1003"/>
      <c r="R409" s="1003"/>
      <c r="S409" s="1003"/>
      <c r="T409" s="1003"/>
      <c r="U409" s="1003"/>
      <c r="V409" s="1003"/>
      <c r="W409" s="1003"/>
      <c r="X409" s="1003"/>
      <c r="Y409" s="1003"/>
      <c r="Z409" s="1003"/>
      <c r="AA409" s="1003"/>
      <c r="AB409" s="1003"/>
      <c r="AC409" s="1003"/>
      <c r="AD409" s="1003"/>
      <c r="AE409" s="1003"/>
    </row>
    <row r="410" spans="1:49">
      <c r="A410" s="215"/>
      <c r="B410" s="794" t="str">
        <f>IF(AF402=0,"","Debido a que cuenta con registro(s) con el código 1, el total de la fila respectiva debe ser mayor a cero")</f>
        <v/>
      </c>
      <c r="C410" s="794"/>
      <c r="D410" s="794"/>
      <c r="E410" s="794"/>
      <c r="F410" s="794"/>
      <c r="G410" s="794"/>
      <c r="H410" s="794"/>
      <c r="I410" s="794"/>
      <c r="J410" s="794"/>
      <c r="K410" s="794"/>
      <c r="L410" s="794"/>
      <c r="M410" s="794"/>
      <c r="N410" s="794"/>
      <c r="O410" s="794"/>
      <c r="P410" s="794"/>
      <c r="Q410" s="794"/>
      <c r="R410" s="794"/>
      <c r="S410" s="794"/>
      <c r="T410" s="794"/>
      <c r="U410" s="794"/>
      <c r="V410" s="794"/>
      <c r="W410" s="794"/>
      <c r="X410" s="794"/>
      <c r="Y410" s="794"/>
      <c r="Z410" s="794"/>
      <c r="AA410" s="794"/>
      <c r="AB410" s="794"/>
      <c r="AC410" s="794"/>
      <c r="AD410" s="794"/>
      <c r="AE410" s="794"/>
    </row>
    <row r="411" spans="1:49">
      <c r="A411" s="215"/>
      <c r="B411" s="90"/>
      <c r="C411" s="223"/>
      <c r="D411" s="224"/>
      <c r="E411" s="224"/>
      <c r="F411" s="224"/>
      <c r="G411" s="224"/>
      <c r="H411" s="224"/>
      <c r="I411" s="224"/>
      <c r="J411" s="224"/>
      <c r="K411" s="90"/>
      <c r="L411" s="90"/>
      <c r="M411" s="90"/>
      <c r="N411" s="90"/>
      <c r="O411" s="90"/>
      <c r="P411" s="180"/>
      <c r="Q411" s="180"/>
      <c r="R411" s="180"/>
      <c r="S411" s="49"/>
      <c r="Y411" s="120"/>
      <c r="Z411" s="120"/>
      <c r="AA411" s="49"/>
      <c r="AB411" s="49"/>
      <c r="AC411" s="49"/>
      <c r="AD411" s="49"/>
      <c r="AE411"/>
    </row>
    <row r="412" spans="1:49" ht="36" customHeight="1">
      <c r="A412" s="49" t="s">
        <v>6206</v>
      </c>
      <c r="B412" s="829" t="s">
        <v>6207</v>
      </c>
      <c r="C412" s="829"/>
      <c r="D412" s="829"/>
      <c r="E412" s="829"/>
      <c r="F412" s="829"/>
      <c r="G412" s="829"/>
      <c r="H412" s="829"/>
      <c r="I412" s="829"/>
      <c r="J412" s="829"/>
      <c r="K412" s="829"/>
      <c r="L412" s="829"/>
      <c r="M412" s="829"/>
      <c r="N412" s="829"/>
      <c r="O412" s="829"/>
      <c r="P412" s="829"/>
      <c r="Q412" s="829"/>
      <c r="R412" s="829"/>
      <c r="S412" s="829"/>
      <c r="T412" s="829"/>
      <c r="U412" s="829"/>
      <c r="V412" s="829"/>
      <c r="W412" s="829"/>
      <c r="X412" s="829"/>
      <c r="Y412" s="829"/>
      <c r="Z412" s="829"/>
      <c r="AA412" s="829"/>
      <c r="AB412" s="829"/>
      <c r="AC412" s="829"/>
      <c r="AD412" s="829"/>
    </row>
    <row r="413" spans="1:49" ht="36" customHeight="1">
      <c r="A413" s="142"/>
      <c r="B413" s="57"/>
      <c r="C413" s="754" t="s">
        <v>6208</v>
      </c>
      <c r="D413" s="830"/>
      <c r="E413" s="830"/>
      <c r="F413" s="830"/>
      <c r="G413" s="830"/>
      <c r="H413" s="830"/>
      <c r="I413" s="830"/>
      <c r="J413" s="830"/>
      <c r="K413" s="830"/>
      <c r="L413" s="830"/>
      <c r="M413" s="830"/>
      <c r="N413" s="830"/>
      <c r="O413" s="830"/>
      <c r="P413" s="830"/>
      <c r="Q413" s="830"/>
      <c r="R413" s="830"/>
      <c r="S413" s="830"/>
      <c r="T413" s="830"/>
      <c r="U413" s="830"/>
      <c r="V413" s="830"/>
      <c r="W413" s="830"/>
      <c r="X413" s="830"/>
      <c r="Y413" s="830"/>
      <c r="Z413" s="830"/>
      <c r="AA413" s="830"/>
      <c r="AB413" s="830"/>
      <c r="AC413" s="830"/>
      <c r="AD413" s="830"/>
    </row>
    <row r="414" spans="1:49" ht="36" customHeight="1">
      <c r="A414" s="50"/>
      <c r="B414" s="38"/>
      <c r="C414" s="754" t="s">
        <v>6209</v>
      </c>
      <c r="D414" s="754"/>
      <c r="E414" s="754"/>
      <c r="F414" s="754"/>
      <c r="G414" s="754"/>
      <c r="H414" s="754"/>
      <c r="I414" s="754"/>
      <c r="J414" s="754"/>
      <c r="K414" s="754"/>
      <c r="L414" s="754"/>
      <c r="M414" s="754"/>
      <c r="N414" s="754"/>
      <c r="O414" s="754"/>
      <c r="P414" s="754"/>
      <c r="Q414" s="754"/>
      <c r="R414" s="754"/>
      <c r="S414" s="754"/>
      <c r="T414" s="754"/>
      <c r="U414" s="754"/>
      <c r="V414" s="754"/>
      <c r="W414" s="754"/>
      <c r="X414" s="754"/>
      <c r="Y414" s="754"/>
      <c r="Z414" s="754"/>
      <c r="AA414" s="754"/>
      <c r="AB414" s="754"/>
      <c r="AC414" s="754"/>
      <c r="AD414" s="754"/>
    </row>
    <row r="415" spans="1:49">
      <c r="A415" s="215"/>
      <c r="B415" s="90"/>
      <c r="C415" s="90"/>
      <c r="D415" s="90"/>
      <c r="E415" s="90"/>
      <c r="F415" s="90"/>
      <c r="G415" s="90"/>
      <c r="H415" s="90"/>
      <c r="I415" s="90"/>
      <c r="J415" s="90"/>
      <c r="K415" s="90"/>
      <c r="L415" s="90"/>
      <c r="M415" s="90"/>
      <c r="N415" s="90"/>
      <c r="O415" s="90"/>
      <c r="P415" s="90"/>
      <c r="Q415" s="90"/>
      <c r="R415" s="90"/>
      <c r="S415" s="90"/>
      <c r="T415" s="90"/>
      <c r="U415" s="90"/>
      <c r="V415" s="90"/>
      <c r="W415" s="90"/>
      <c r="X415" s="90"/>
      <c r="Y415" s="90"/>
      <c r="Z415" s="90"/>
      <c r="AA415" s="90"/>
      <c r="AB415" s="90"/>
      <c r="AC415" s="90"/>
      <c r="AD415" s="90"/>
    </row>
    <row r="416" spans="1:49" ht="24" customHeight="1">
      <c r="A416" s="215"/>
      <c r="B416" s="90"/>
      <c r="C416" s="732" t="s">
        <v>2581</v>
      </c>
      <c r="D416" s="732"/>
      <c r="E416" s="732"/>
      <c r="F416" s="732"/>
      <c r="G416" s="732" t="s">
        <v>6210</v>
      </c>
      <c r="H416" s="732"/>
      <c r="I416" s="732"/>
      <c r="J416" s="732"/>
      <c r="K416" s="732"/>
      <c r="L416" s="732"/>
      <c r="M416" s="732"/>
      <c r="N416" s="732"/>
      <c r="O416" s="732"/>
      <c r="P416" s="732"/>
      <c r="Q416" s="732"/>
      <c r="R416" s="732"/>
      <c r="S416" s="732"/>
      <c r="T416" s="732"/>
      <c r="U416" s="732"/>
      <c r="V416" s="732"/>
      <c r="W416" s="732"/>
      <c r="X416" s="732"/>
      <c r="Y416" s="732"/>
      <c r="Z416" s="732"/>
      <c r="AA416" s="732"/>
      <c r="AB416" s="732"/>
      <c r="AC416" s="732"/>
      <c r="AD416" s="732"/>
    </row>
    <row r="417" spans="1:61" ht="15" customHeight="1">
      <c r="A417" s="215"/>
      <c r="B417" s="90"/>
      <c r="C417" s="732"/>
      <c r="D417" s="732"/>
      <c r="E417" s="732"/>
      <c r="F417" s="732"/>
      <c r="G417" s="888" t="s">
        <v>2628</v>
      </c>
      <c r="H417" s="890" t="s">
        <v>2629</v>
      </c>
      <c r="I417" s="890" t="s">
        <v>2630</v>
      </c>
      <c r="J417" s="733" t="s">
        <v>3875</v>
      </c>
      <c r="K417" s="734"/>
      <c r="L417" s="734"/>
      <c r="M417" s="734"/>
      <c r="N417" s="734"/>
      <c r="O417" s="734"/>
      <c r="P417" s="734"/>
      <c r="Q417" s="734"/>
      <c r="R417" s="735"/>
      <c r="S417" s="818" t="s">
        <v>3879</v>
      </c>
      <c r="T417" s="819"/>
      <c r="U417" s="820"/>
      <c r="V417" s="828" t="s">
        <v>3880</v>
      </c>
      <c r="W417" s="828"/>
      <c r="X417" s="828"/>
      <c r="Y417" s="828" t="s">
        <v>3882</v>
      </c>
      <c r="Z417" s="828"/>
      <c r="AA417" s="828"/>
      <c r="AB417" s="818" t="s">
        <v>201</v>
      </c>
      <c r="AC417" s="819"/>
      <c r="AD417" s="820"/>
    </row>
    <row r="418" spans="1:61" ht="24" customHeight="1">
      <c r="A418" s="215"/>
      <c r="B418" s="90"/>
      <c r="C418" s="732"/>
      <c r="D418" s="732"/>
      <c r="E418" s="732"/>
      <c r="F418" s="732"/>
      <c r="G418" s="874"/>
      <c r="H418" s="857"/>
      <c r="I418" s="857"/>
      <c r="J418" s="733" t="s">
        <v>3876</v>
      </c>
      <c r="K418" s="734"/>
      <c r="L418" s="735"/>
      <c r="M418" s="733" t="s">
        <v>3877</v>
      </c>
      <c r="N418" s="734"/>
      <c r="O418" s="735"/>
      <c r="P418" s="733" t="s">
        <v>3878</v>
      </c>
      <c r="Q418" s="734"/>
      <c r="R418" s="735"/>
      <c r="S418" s="824"/>
      <c r="T418" s="825"/>
      <c r="U418" s="826"/>
      <c r="V418" s="736"/>
      <c r="W418" s="736"/>
      <c r="X418" s="736"/>
      <c r="Y418" s="736"/>
      <c r="Z418" s="736"/>
      <c r="AA418" s="736"/>
      <c r="AB418" s="824"/>
      <c r="AC418" s="825"/>
      <c r="AD418" s="826"/>
    </row>
    <row r="419" spans="1:61" ht="48" customHeight="1">
      <c r="A419" s="215"/>
      <c r="B419" s="90"/>
      <c r="C419" s="732"/>
      <c r="D419" s="732"/>
      <c r="E419" s="732"/>
      <c r="F419" s="732"/>
      <c r="G419" s="874"/>
      <c r="H419" s="857"/>
      <c r="I419" s="857"/>
      <c r="J419" s="127" t="s">
        <v>2635</v>
      </c>
      <c r="K419" s="128" t="s">
        <v>2629</v>
      </c>
      <c r="L419" s="128" t="s">
        <v>2630</v>
      </c>
      <c r="M419" s="127" t="s">
        <v>2635</v>
      </c>
      <c r="N419" s="128" t="s">
        <v>2629</v>
      </c>
      <c r="O419" s="128" t="s">
        <v>2630</v>
      </c>
      <c r="P419" s="127" t="s">
        <v>2635</v>
      </c>
      <c r="Q419" s="128" t="s">
        <v>2629</v>
      </c>
      <c r="R419" s="128" t="s">
        <v>2630</v>
      </c>
      <c r="S419" s="127" t="s">
        <v>2635</v>
      </c>
      <c r="T419" s="128" t="s">
        <v>2629</v>
      </c>
      <c r="U419" s="128" t="s">
        <v>2630</v>
      </c>
      <c r="V419" s="127" t="s">
        <v>2635</v>
      </c>
      <c r="W419" s="128" t="s">
        <v>2629</v>
      </c>
      <c r="X419" s="128" t="s">
        <v>2630</v>
      </c>
      <c r="Y419" s="127" t="s">
        <v>2635</v>
      </c>
      <c r="Z419" s="128" t="s">
        <v>2629</v>
      </c>
      <c r="AA419" s="128" t="s">
        <v>2630</v>
      </c>
      <c r="AB419" s="127" t="s">
        <v>2635</v>
      </c>
      <c r="AC419" s="128" t="s">
        <v>2629</v>
      </c>
      <c r="AD419" s="128" t="s">
        <v>2630</v>
      </c>
      <c r="AG419" t="s">
        <v>2586</v>
      </c>
      <c r="AH419" t="s">
        <v>5940</v>
      </c>
      <c r="AI419"/>
      <c r="AJ419"/>
      <c r="AK419" t="s">
        <v>4573</v>
      </c>
      <c r="AL419" t="s">
        <v>2638</v>
      </c>
      <c r="AM419" t="s">
        <v>2639</v>
      </c>
      <c r="AN419" t="s">
        <v>4574</v>
      </c>
      <c r="AO419" t="s">
        <v>2641</v>
      </c>
      <c r="AP419" t="s">
        <v>2642</v>
      </c>
      <c r="AQ419" t="s">
        <v>4575</v>
      </c>
      <c r="AR419" t="s">
        <v>2644</v>
      </c>
      <c r="AS419" t="s">
        <v>2645</v>
      </c>
      <c r="AT419" t="s">
        <v>4576</v>
      </c>
      <c r="AU419" t="s">
        <v>2647</v>
      </c>
      <c r="AV419" t="s">
        <v>2648</v>
      </c>
      <c r="AW419" t="s">
        <v>5177</v>
      </c>
      <c r="AX419" t="s">
        <v>2757</v>
      </c>
      <c r="AY419" t="s">
        <v>2758</v>
      </c>
      <c r="AZ419" t="s">
        <v>5194</v>
      </c>
      <c r="BA419" t="s">
        <v>2760</v>
      </c>
      <c r="BB419" t="s">
        <v>2761</v>
      </c>
      <c r="BC419" t="s">
        <v>5195</v>
      </c>
      <c r="BD419" t="s">
        <v>2763</v>
      </c>
      <c r="BE419" t="s">
        <v>2764</v>
      </c>
      <c r="BF419" t="s">
        <v>5563</v>
      </c>
      <c r="BG419" t="s">
        <v>2766</v>
      </c>
      <c r="BH419" t="s">
        <v>2767</v>
      </c>
      <c r="BI419" t="s">
        <v>5291</v>
      </c>
    </row>
    <row r="420" spans="1:61">
      <c r="A420" s="215"/>
      <c r="B420" s="90"/>
      <c r="C420" s="92" t="s">
        <v>2516</v>
      </c>
      <c r="D420" s="813" t="str">
        <f>IF(CNSIPEE_2024_M2_Secc1!D42="","",CNSIPEE_2024_M2_Secc1!D42)</f>
        <v/>
      </c>
      <c r="E420" s="814"/>
      <c r="F420" s="815"/>
      <c r="G420" s="100"/>
      <c r="H420" s="100"/>
      <c r="I420" s="100"/>
      <c r="J420" s="100"/>
      <c r="K420" s="100"/>
      <c r="L420" s="100"/>
      <c r="M420" s="100"/>
      <c r="N420" s="100"/>
      <c r="O420" s="100"/>
      <c r="P420" s="100"/>
      <c r="Q420" s="100"/>
      <c r="R420" s="100"/>
      <c r="S420" s="100"/>
      <c r="T420" s="100"/>
      <c r="U420" s="100"/>
      <c r="V420" s="100"/>
      <c r="W420" s="100"/>
      <c r="X420" s="100"/>
      <c r="Y420" s="100"/>
      <c r="Z420" s="100"/>
      <c r="AA420" s="100"/>
      <c r="AB420" s="100"/>
      <c r="AC420" s="100"/>
      <c r="AD420" s="100"/>
      <c r="AG420">
        <f>IF(OR($Y371=0,$Y371="NS",$Y371="NA",COUNTBLANK(D420:AD420)=27),0,IF(D420="",1,IF(COUNTA(G420:AD420)=24,0,1)))</f>
        <v>0</v>
      </c>
      <c r="AH420">
        <f t="shared" ref="AH420:AH426" si="54">IF(OR($Y371=0,$Y371="NS",$Y371="NA"),IF(COUNTA(G420:AD420)=0,0,1),0)</f>
        <v>0</v>
      </c>
      <c r="AI420"/>
      <c r="AJ420"/>
      <c r="AK420">
        <f t="shared" ref="AK420:AK427" si="55">COUNTIF(H420:I420,"NS")</f>
        <v>0</v>
      </c>
      <c r="AL420">
        <f t="shared" ref="AL420:AL427" si="56">SUM(H420:I420)</f>
        <v>0</v>
      </c>
      <c r="AM420">
        <f t="shared" ref="AM420:AM427" si="57">IF(COUNTIF(G420:I420,"NA")=3,0,IF(COUNTA(G420:I420)=0,0,IF(OR(AND(G420=0,AK420&gt;0),AND(G420="ns",AL420&gt;0),AND(G420="ns",AK420=0,AL420=0)),1,IF(OR(AND(G420&gt;0,AK420=2),AND(G420="ns",AK420=2),AND(G420="ns",AL420=0,AK420&gt;0),G420=AL420),0,1))))</f>
        <v>0</v>
      </c>
      <c r="AN420">
        <f t="shared" ref="AN420:AN427" si="58">COUNTIF(K420:L420,"NS")</f>
        <v>0</v>
      </c>
      <c r="AO420">
        <f t="shared" ref="AO420:AO427" si="59">SUM(K420:L420)</f>
        <v>0</v>
      </c>
      <c r="AP420">
        <f t="shared" ref="AP420:AP427" si="60">IF(COUNTIF(J420:L420,"NA")=3,0,IF(COUNTA(J420:L420)=0,0,IF(OR(AND(J420=0,AN420&gt;0),AND(J420="ns",AO420&gt;0),AND(J420="ns",AN420=0,AO420=0)),1,IF(OR(AND(J420&gt;0,AN420=2),AND(J420="ns",AN420=2),AND(J420="ns",AO420=0,AN420&gt;0),J420=AO420),0,1))))</f>
        <v>0</v>
      </c>
      <c r="AQ420">
        <f t="shared" ref="AQ420:AQ427" si="61">COUNTIF(N420:O420,"NS")</f>
        <v>0</v>
      </c>
      <c r="AR420">
        <f t="shared" ref="AR420:AR427" si="62">SUM(N420:O420)</f>
        <v>0</v>
      </c>
      <c r="AS420">
        <f t="shared" ref="AS420:AS427" si="63">IF(COUNTIF(M420:O420,"NA")=3,0,IF(COUNTA(M420:O420)=0,0,IF(OR(AND(M420=0,AQ420&gt;0),AND(M420="ns",AR420&gt;0),AND(M420="ns",AQ420=0,AR420=0)),1,IF(OR(AND(M420&gt;0,AQ420=2),AND(M420="ns",AQ420=2),AND(M420="ns",AR420=0,AQ420&gt;0),M420=AR420),0,1))))</f>
        <v>0</v>
      </c>
      <c r="AT420">
        <f t="shared" ref="AT420:AT427" si="64">COUNTIF(Q420:R420,"NS")</f>
        <v>0</v>
      </c>
      <c r="AU420">
        <f t="shared" ref="AU420:AU427" si="65">SUM(Q420:R420)</f>
        <v>0</v>
      </c>
      <c r="AV420">
        <f t="shared" ref="AV420:AV427" si="66">IF(COUNTIF(P420:R420,"NA")=3,0,IF(COUNTA(P420:R420)=0,0,IF(OR(AND(P420=0,AT420&gt;0),AND(P420="ns",AU420&gt;0),AND(P420="ns",AT420=0,AU420=0)),1,IF(OR(AND(P420&gt;0,AT420=2),AND(P420="ns",AT420=2),AND(P420="ns",AU420=0,AT420&gt;0),P420=AU420),0,1))))</f>
        <v>0</v>
      </c>
      <c r="AW420">
        <f t="shared" ref="AW420:AW427" si="67">COUNTIF(T420:U420,"NS")</f>
        <v>0</v>
      </c>
      <c r="AX420">
        <f t="shared" ref="AX420:AX427" si="68">SUM(T420:U420)</f>
        <v>0</v>
      </c>
      <c r="AY420">
        <f t="shared" ref="AY420:AY427" si="69">IF(COUNTIF(S420:U420,"NA")=3,0,IF(COUNTA(S420:U420)=0,0,IF(OR(AND(S420=0,AW420&gt;0),AND(S420="ns",AX420&gt;0),AND(S420="ns",AW420=0,AX420=0)),1,IF(OR(AND(S420&gt;0,AW420=2),AND(S420="ns",AW420=2),AND(S420="ns",AX420=0,AW420&gt;0),S420=AX420),0,1))))</f>
        <v>0</v>
      </c>
      <c r="AZ420">
        <f t="shared" ref="AZ420:AZ427" si="70">COUNTIF(W420:X420,"NS")</f>
        <v>0</v>
      </c>
      <c r="BA420">
        <f t="shared" ref="BA420:BA427" si="71">SUM(W420:X420)</f>
        <v>0</v>
      </c>
      <c r="BB420">
        <f t="shared" ref="BB420:BB427" si="72">IF(COUNTIF(V420:X420,"NA")=3,0,IF(COUNTA(V420:X420)=0,0,IF(OR(AND(V420=0,AZ420&gt;0),AND(V420="ns",BA420&gt;0),AND(V420="ns",AZ420=0,BA420=0)),1,IF(OR(AND(V420&gt;0,AZ420=2),AND(V420="ns",AZ420=2),AND(V420="ns",BA420=0,AZ420&gt;0),V420=BA420),0,1))))</f>
        <v>0</v>
      </c>
      <c r="BC420">
        <f t="shared" ref="BC420:BC427" si="73">COUNTIF(Z420:AA420,"NS")</f>
        <v>0</v>
      </c>
      <c r="BD420">
        <f t="shared" ref="BD420:BD427" si="74">SUM(Z420:AA420)</f>
        <v>0</v>
      </c>
      <c r="BE420">
        <f t="shared" ref="BE420:BE427" si="75">IF(COUNTIF(Y420:AA420,"NA")=3,0,IF(COUNTA(Y420:AA420)=0,0,IF(OR(AND(Y420=0,BC420&gt;0),AND(Y420="ns",BD420&gt;0),AND(Y420="ns",BC420=0,BD420=0)),1,IF(OR(AND(Y420&gt;0,BC420=2),AND(Y420="ns",BC420=2),AND(Y420="ns",BD420=0,BC420&gt;0),Y420=BD420),0,1))))</f>
        <v>0</v>
      </c>
      <c r="BF420">
        <f t="shared" ref="BF420:BF427" si="76">COUNTIF(AC420:AD420,"NS")</f>
        <v>0</v>
      </c>
      <c r="BG420">
        <f t="shared" ref="BG420:BG427" si="77">SUM(AC420:AD420)</f>
        <v>0</v>
      </c>
      <c r="BH420">
        <f t="shared" ref="BH420:BH427" si="78">IF(COUNTIF(AB420:AD420,"NA")=3,0,IF(COUNTA(AB420:AD420)=0,0,IF(OR(AND(AB420=0,BF420&gt;0),AND(AB420="ns",BG420&gt;0),AND(AB420="ns",BF420=0,BG420=0)),1,IF(OR(AND(AB420&gt;0,BF420=2),AND(AB420="ns",BF420=2),AND(AB420="ns",BG420=0,BF420&gt;0),AB420=BG420),0,1))))</f>
        <v>0</v>
      </c>
      <c r="BI420">
        <f t="shared" ref="BI420:BI427" si="79">IF(OR($Y371=0,$Y371="NS",$Y371="NA"),0,IF(AND(G420=Y371,H420=Z371,I420=AA371),0,1))</f>
        <v>0</v>
      </c>
    </row>
    <row r="421" spans="1:61">
      <c r="A421" s="215"/>
      <c r="B421" s="90"/>
      <c r="C421" s="44" t="s">
        <v>2517</v>
      </c>
      <c r="D421" s="813" t="str">
        <f>IF(CNSIPEE_2024_M2_Secc1!D43="","",CNSIPEE_2024_M2_Secc1!D43)</f>
        <v/>
      </c>
      <c r="E421" s="814"/>
      <c r="F421" s="815"/>
      <c r="G421" s="100"/>
      <c r="H421" s="100"/>
      <c r="I421" s="100"/>
      <c r="J421" s="100"/>
      <c r="K421" s="100"/>
      <c r="L421" s="100"/>
      <c r="M421" s="100"/>
      <c r="N421" s="100"/>
      <c r="O421" s="100"/>
      <c r="P421" s="100"/>
      <c r="Q421" s="100"/>
      <c r="R421" s="100"/>
      <c r="S421" s="100"/>
      <c r="T421" s="100"/>
      <c r="U421" s="100"/>
      <c r="V421" s="100"/>
      <c r="W421" s="100"/>
      <c r="X421" s="100"/>
      <c r="Y421" s="100"/>
      <c r="Z421" s="100"/>
      <c r="AA421" s="100"/>
      <c r="AB421" s="100"/>
      <c r="AC421" s="100"/>
      <c r="AD421" s="100"/>
      <c r="AG421">
        <f t="shared" ref="AG421:AG427" si="80">IF(OR($Y372=0,$Y372="NS",$Y372="NA",COUNTBLANK(D421:AD421)=27),0,IF(D421="",1,IF(COUNTA(G421:AD421)=24,0,1)))</f>
        <v>0</v>
      </c>
      <c r="AH421">
        <f t="shared" si="54"/>
        <v>0</v>
      </c>
      <c r="AI421"/>
      <c r="AJ421"/>
      <c r="AK421">
        <f t="shared" si="55"/>
        <v>0</v>
      </c>
      <c r="AL421">
        <f t="shared" si="56"/>
        <v>0</v>
      </c>
      <c r="AM421">
        <f t="shared" si="57"/>
        <v>0</v>
      </c>
      <c r="AN421">
        <f t="shared" si="58"/>
        <v>0</v>
      </c>
      <c r="AO421">
        <f t="shared" si="59"/>
        <v>0</v>
      </c>
      <c r="AP421">
        <f t="shared" si="60"/>
        <v>0</v>
      </c>
      <c r="AQ421">
        <f t="shared" si="61"/>
        <v>0</v>
      </c>
      <c r="AR421">
        <f t="shared" si="62"/>
        <v>0</v>
      </c>
      <c r="AS421">
        <f t="shared" si="63"/>
        <v>0</v>
      </c>
      <c r="AT421">
        <f t="shared" si="64"/>
        <v>0</v>
      </c>
      <c r="AU421">
        <f t="shared" si="65"/>
        <v>0</v>
      </c>
      <c r="AV421">
        <f t="shared" si="66"/>
        <v>0</v>
      </c>
      <c r="AW421">
        <f t="shared" si="67"/>
        <v>0</v>
      </c>
      <c r="AX421">
        <f t="shared" si="68"/>
        <v>0</v>
      </c>
      <c r="AY421">
        <f t="shared" si="69"/>
        <v>0</v>
      </c>
      <c r="AZ421">
        <f t="shared" si="70"/>
        <v>0</v>
      </c>
      <c r="BA421">
        <f t="shared" si="71"/>
        <v>0</v>
      </c>
      <c r="BB421">
        <f t="shared" si="72"/>
        <v>0</v>
      </c>
      <c r="BC421">
        <f t="shared" si="73"/>
        <v>0</v>
      </c>
      <c r="BD421">
        <f t="shared" si="74"/>
        <v>0</v>
      </c>
      <c r="BE421">
        <f t="shared" si="75"/>
        <v>0</v>
      </c>
      <c r="BF421">
        <f t="shared" si="76"/>
        <v>0</v>
      </c>
      <c r="BG421">
        <f t="shared" si="77"/>
        <v>0</v>
      </c>
      <c r="BH421">
        <f t="shared" si="78"/>
        <v>0</v>
      </c>
      <c r="BI421">
        <f t="shared" si="79"/>
        <v>0</v>
      </c>
    </row>
    <row r="422" spans="1:61">
      <c r="A422" s="215"/>
      <c r="B422" s="90"/>
      <c r="C422" s="44" t="s">
        <v>2518</v>
      </c>
      <c r="D422" s="813" t="str">
        <f>IF(CNSIPEE_2024_M2_Secc1!D44="","",CNSIPEE_2024_M2_Secc1!D44)</f>
        <v/>
      </c>
      <c r="E422" s="814"/>
      <c r="F422" s="815"/>
      <c r="G422" s="100"/>
      <c r="H422" s="100"/>
      <c r="I422" s="100"/>
      <c r="J422" s="100"/>
      <c r="K422" s="100"/>
      <c r="L422" s="100"/>
      <c r="M422" s="100"/>
      <c r="N422" s="100"/>
      <c r="O422" s="100"/>
      <c r="P422" s="100"/>
      <c r="Q422" s="100"/>
      <c r="R422" s="100"/>
      <c r="S422" s="100"/>
      <c r="T422" s="100"/>
      <c r="U422" s="100"/>
      <c r="V422" s="100"/>
      <c r="W422" s="100"/>
      <c r="X422" s="100"/>
      <c r="Y422" s="100"/>
      <c r="Z422" s="100"/>
      <c r="AA422" s="100"/>
      <c r="AB422" s="100"/>
      <c r="AC422" s="100"/>
      <c r="AD422" s="100"/>
      <c r="AG422">
        <f t="shared" si="80"/>
        <v>0</v>
      </c>
      <c r="AH422">
        <f t="shared" si="54"/>
        <v>0</v>
      </c>
      <c r="AI422"/>
      <c r="AJ422"/>
      <c r="AK422">
        <f t="shared" si="55"/>
        <v>0</v>
      </c>
      <c r="AL422">
        <f t="shared" si="56"/>
        <v>0</v>
      </c>
      <c r="AM422">
        <f t="shared" si="57"/>
        <v>0</v>
      </c>
      <c r="AN422">
        <f t="shared" si="58"/>
        <v>0</v>
      </c>
      <c r="AO422">
        <f t="shared" si="59"/>
        <v>0</v>
      </c>
      <c r="AP422">
        <f t="shared" si="60"/>
        <v>0</v>
      </c>
      <c r="AQ422">
        <f t="shared" si="61"/>
        <v>0</v>
      </c>
      <c r="AR422">
        <f t="shared" si="62"/>
        <v>0</v>
      </c>
      <c r="AS422">
        <f t="shared" si="63"/>
        <v>0</v>
      </c>
      <c r="AT422">
        <f t="shared" si="64"/>
        <v>0</v>
      </c>
      <c r="AU422">
        <f t="shared" si="65"/>
        <v>0</v>
      </c>
      <c r="AV422">
        <f t="shared" si="66"/>
        <v>0</v>
      </c>
      <c r="AW422">
        <f t="shared" si="67"/>
        <v>0</v>
      </c>
      <c r="AX422">
        <f t="shared" si="68"/>
        <v>0</v>
      </c>
      <c r="AY422">
        <f t="shared" si="69"/>
        <v>0</v>
      </c>
      <c r="AZ422">
        <f t="shared" si="70"/>
        <v>0</v>
      </c>
      <c r="BA422">
        <f t="shared" si="71"/>
        <v>0</v>
      </c>
      <c r="BB422">
        <f t="shared" si="72"/>
        <v>0</v>
      </c>
      <c r="BC422">
        <f t="shared" si="73"/>
        <v>0</v>
      </c>
      <c r="BD422">
        <f t="shared" si="74"/>
        <v>0</v>
      </c>
      <c r="BE422">
        <f t="shared" si="75"/>
        <v>0</v>
      </c>
      <c r="BF422">
        <f t="shared" si="76"/>
        <v>0</v>
      </c>
      <c r="BG422">
        <f t="shared" si="77"/>
        <v>0</v>
      </c>
      <c r="BH422">
        <f t="shared" si="78"/>
        <v>0</v>
      </c>
      <c r="BI422">
        <f t="shared" si="79"/>
        <v>0</v>
      </c>
    </row>
    <row r="423" spans="1:61">
      <c r="A423" s="215"/>
      <c r="B423" s="90"/>
      <c r="C423" s="44" t="s">
        <v>2519</v>
      </c>
      <c r="D423" s="813" t="str">
        <f>IF(CNSIPEE_2024_M2_Secc1!D45="","",CNSIPEE_2024_M2_Secc1!D45)</f>
        <v/>
      </c>
      <c r="E423" s="814"/>
      <c r="F423" s="815"/>
      <c r="G423" s="100"/>
      <c r="H423" s="100"/>
      <c r="I423" s="100"/>
      <c r="J423" s="100"/>
      <c r="K423" s="100"/>
      <c r="L423" s="100"/>
      <c r="M423" s="100"/>
      <c r="N423" s="100"/>
      <c r="O423" s="100"/>
      <c r="P423" s="100"/>
      <c r="Q423" s="100"/>
      <c r="R423" s="100"/>
      <c r="S423" s="100"/>
      <c r="T423" s="100"/>
      <c r="U423" s="100"/>
      <c r="V423" s="100"/>
      <c r="W423" s="100"/>
      <c r="X423" s="100"/>
      <c r="Y423" s="100"/>
      <c r="Z423" s="100"/>
      <c r="AA423" s="100"/>
      <c r="AB423" s="100"/>
      <c r="AC423" s="100"/>
      <c r="AD423" s="100"/>
      <c r="AG423">
        <f t="shared" si="80"/>
        <v>0</v>
      </c>
      <c r="AH423">
        <f t="shared" si="54"/>
        <v>0</v>
      </c>
      <c r="AI423"/>
      <c r="AJ423"/>
      <c r="AK423">
        <f t="shared" si="55"/>
        <v>0</v>
      </c>
      <c r="AL423">
        <f t="shared" si="56"/>
        <v>0</v>
      </c>
      <c r="AM423">
        <f t="shared" si="57"/>
        <v>0</v>
      </c>
      <c r="AN423">
        <f t="shared" si="58"/>
        <v>0</v>
      </c>
      <c r="AO423">
        <f t="shared" si="59"/>
        <v>0</v>
      </c>
      <c r="AP423">
        <f t="shared" si="60"/>
        <v>0</v>
      </c>
      <c r="AQ423">
        <f t="shared" si="61"/>
        <v>0</v>
      </c>
      <c r="AR423">
        <f t="shared" si="62"/>
        <v>0</v>
      </c>
      <c r="AS423">
        <f t="shared" si="63"/>
        <v>0</v>
      </c>
      <c r="AT423">
        <f t="shared" si="64"/>
        <v>0</v>
      </c>
      <c r="AU423">
        <f t="shared" si="65"/>
        <v>0</v>
      </c>
      <c r="AV423">
        <f t="shared" si="66"/>
        <v>0</v>
      </c>
      <c r="AW423">
        <f t="shared" si="67"/>
        <v>0</v>
      </c>
      <c r="AX423">
        <f t="shared" si="68"/>
        <v>0</v>
      </c>
      <c r="AY423">
        <f t="shared" si="69"/>
        <v>0</v>
      </c>
      <c r="AZ423">
        <f t="shared" si="70"/>
        <v>0</v>
      </c>
      <c r="BA423">
        <f t="shared" si="71"/>
        <v>0</v>
      </c>
      <c r="BB423">
        <f t="shared" si="72"/>
        <v>0</v>
      </c>
      <c r="BC423">
        <f t="shared" si="73"/>
        <v>0</v>
      </c>
      <c r="BD423">
        <f t="shared" si="74"/>
        <v>0</v>
      </c>
      <c r="BE423">
        <f t="shared" si="75"/>
        <v>0</v>
      </c>
      <c r="BF423">
        <f t="shared" si="76"/>
        <v>0</v>
      </c>
      <c r="BG423">
        <f t="shared" si="77"/>
        <v>0</v>
      </c>
      <c r="BH423">
        <f t="shared" si="78"/>
        <v>0</v>
      </c>
      <c r="BI423">
        <f t="shared" si="79"/>
        <v>0</v>
      </c>
    </row>
    <row r="424" spans="1:61">
      <c r="A424" s="215"/>
      <c r="B424" s="90"/>
      <c r="C424" s="44" t="s">
        <v>2520</v>
      </c>
      <c r="D424" s="813" t="str">
        <f>IF(CNSIPEE_2024_M2_Secc1!D46="","",CNSIPEE_2024_M2_Secc1!D46)</f>
        <v/>
      </c>
      <c r="E424" s="814"/>
      <c r="F424" s="815"/>
      <c r="G424" s="100"/>
      <c r="H424" s="100"/>
      <c r="I424" s="100"/>
      <c r="J424" s="100"/>
      <c r="K424" s="100"/>
      <c r="L424" s="100"/>
      <c r="M424" s="100"/>
      <c r="N424" s="100"/>
      <c r="O424" s="100"/>
      <c r="P424" s="100"/>
      <c r="Q424" s="100"/>
      <c r="R424" s="100"/>
      <c r="S424" s="100"/>
      <c r="T424" s="100"/>
      <c r="U424" s="100"/>
      <c r="V424" s="100"/>
      <c r="W424" s="100"/>
      <c r="X424" s="100"/>
      <c r="Y424" s="100"/>
      <c r="Z424" s="100"/>
      <c r="AA424" s="100"/>
      <c r="AB424" s="100"/>
      <c r="AC424" s="100"/>
      <c r="AD424" s="100"/>
      <c r="AG424">
        <f t="shared" si="80"/>
        <v>0</v>
      </c>
      <c r="AH424">
        <f t="shared" si="54"/>
        <v>0</v>
      </c>
      <c r="AI424"/>
      <c r="AJ424"/>
      <c r="AK424">
        <f t="shared" si="55"/>
        <v>0</v>
      </c>
      <c r="AL424">
        <f t="shared" si="56"/>
        <v>0</v>
      </c>
      <c r="AM424">
        <f t="shared" si="57"/>
        <v>0</v>
      </c>
      <c r="AN424">
        <f t="shared" si="58"/>
        <v>0</v>
      </c>
      <c r="AO424">
        <f t="shared" si="59"/>
        <v>0</v>
      </c>
      <c r="AP424">
        <f t="shared" si="60"/>
        <v>0</v>
      </c>
      <c r="AQ424">
        <f t="shared" si="61"/>
        <v>0</v>
      </c>
      <c r="AR424">
        <f t="shared" si="62"/>
        <v>0</v>
      </c>
      <c r="AS424">
        <f t="shared" si="63"/>
        <v>0</v>
      </c>
      <c r="AT424">
        <f t="shared" si="64"/>
        <v>0</v>
      </c>
      <c r="AU424">
        <f t="shared" si="65"/>
        <v>0</v>
      </c>
      <c r="AV424">
        <f t="shared" si="66"/>
        <v>0</v>
      </c>
      <c r="AW424">
        <f t="shared" si="67"/>
        <v>0</v>
      </c>
      <c r="AX424">
        <f t="shared" si="68"/>
        <v>0</v>
      </c>
      <c r="AY424">
        <f t="shared" si="69"/>
        <v>0</v>
      </c>
      <c r="AZ424">
        <f t="shared" si="70"/>
        <v>0</v>
      </c>
      <c r="BA424">
        <f t="shared" si="71"/>
        <v>0</v>
      </c>
      <c r="BB424">
        <f t="shared" si="72"/>
        <v>0</v>
      </c>
      <c r="BC424">
        <f t="shared" si="73"/>
        <v>0</v>
      </c>
      <c r="BD424">
        <f t="shared" si="74"/>
        <v>0</v>
      </c>
      <c r="BE424">
        <f t="shared" si="75"/>
        <v>0</v>
      </c>
      <c r="BF424">
        <f t="shared" si="76"/>
        <v>0</v>
      </c>
      <c r="BG424">
        <f t="shared" si="77"/>
        <v>0</v>
      </c>
      <c r="BH424">
        <f t="shared" si="78"/>
        <v>0</v>
      </c>
      <c r="BI424">
        <f t="shared" si="79"/>
        <v>0</v>
      </c>
    </row>
    <row r="425" spans="1:61">
      <c r="A425" s="215"/>
      <c r="B425" s="90"/>
      <c r="C425" s="44" t="s">
        <v>2521</v>
      </c>
      <c r="D425" s="813" t="str">
        <f>IF(CNSIPEE_2024_M2_Secc1!D47="","",CNSIPEE_2024_M2_Secc1!D47)</f>
        <v/>
      </c>
      <c r="E425" s="814"/>
      <c r="F425" s="815"/>
      <c r="G425" s="100"/>
      <c r="H425" s="100"/>
      <c r="I425" s="100"/>
      <c r="J425" s="100"/>
      <c r="K425" s="100"/>
      <c r="L425" s="100"/>
      <c r="M425" s="100"/>
      <c r="N425" s="100"/>
      <c r="O425" s="100"/>
      <c r="P425" s="100"/>
      <c r="Q425" s="100"/>
      <c r="R425" s="100"/>
      <c r="S425" s="100"/>
      <c r="T425" s="100"/>
      <c r="U425" s="100"/>
      <c r="V425" s="100"/>
      <c r="W425" s="100"/>
      <c r="X425" s="100"/>
      <c r="Y425" s="100"/>
      <c r="Z425" s="100"/>
      <c r="AA425" s="100"/>
      <c r="AB425" s="100"/>
      <c r="AC425" s="100"/>
      <c r="AD425" s="100"/>
      <c r="AG425">
        <f t="shared" si="80"/>
        <v>0</v>
      </c>
      <c r="AH425">
        <f t="shared" si="54"/>
        <v>0</v>
      </c>
      <c r="AI425"/>
      <c r="AJ425"/>
      <c r="AK425">
        <f t="shared" si="55"/>
        <v>0</v>
      </c>
      <c r="AL425">
        <f t="shared" si="56"/>
        <v>0</v>
      </c>
      <c r="AM425">
        <f t="shared" si="57"/>
        <v>0</v>
      </c>
      <c r="AN425">
        <f t="shared" si="58"/>
        <v>0</v>
      </c>
      <c r="AO425">
        <f t="shared" si="59"/>
        <v>0</v>
      </c>
      <c r="AP425">
        <f t="shared" si="60"/>
        <v>0</v>
      </c>
      <c r="AQ425">
        <f t="shared" si="61"/>
        <v>0</v>
      </c>
      <c r="AR425">
        <f t="shared" si="62"/>
        <v>0</v>
      </c>
      <c r="AS425">
        <f t="shared" si="63"/>
        <v>0</v>
      </c>
      <c r="AT425">
        <f t="shared" si="64"/>
        <v>0</v>
      </c>
      <c r="AU425">
        <f t="shared" si="65"/>
        <v>0</v>
      </c>
      <c r="AV425">
        <f t="shared" si="66"/>
        <v>0</v>
      </c>
      <c r="AW425">
        <f t="shared" si="67"/>
        <v>0</v>
      </c>
      <c r="AX425">
        <f t="shared" si="68"/>
        <v>0</v>
      </c>
      <c r="AY425">
        <f t="shared" si="69"/>
        <v>0</v>
      </c>
      <c r="AZ425">
        <f t="shared" si="70"/>
        <v>0</v>
      </c>
      <c r="BA425">
        <f t="shared" si="71"/>
        <v>0</v>
      </c>
      <c r="BB425">
        <f t="shared" si="72"/>
        <v>0</v>
      </c>
      <c r="BC425">
        <f t="shared" si="73"/>
        <v>0</v>
      </c>
      <c r="BD425">
        <f t="shared" si="74"/>
        <v>0</v>
      </c>
      <c r="BE425">
        <f t="shared" si="75"/>
        <v>0</v>
      </c>
      <c r="BF425">
        <f t="shared" si="76"/>
        <v>0</v>
      </c>
      <c r="BG425">
        <f t="shared" si="77"/>
        <v>0</v>
      </c>
      <c r="BH425">
        <f t="shared" si="78"/>
        <v>0</v>
      </c>
      <c r="BI425">
        <f t="shared" si="79"/>
        <v>0</v>
      </c>
    </row>
    <row r="426" spans="1:61">
      <c r="A426" s="215"/>
      <c r="B426" s="90"/>
      <c r="C426" s="44" t="s">
        <v>2522</v>
      </c>
      <c r="D426" s="813" t="str">
        <f>IF(CNSIPEE_2024_M2_Secc1!D48="","",CNSIPEE_2024_M2_Secc1!D48)</f>
        <v/>
      </c>
      <c r="E426" s="814"/>
      <c r="F426" s="815"/>
      <c r="G426" s="100"/>
      <c r="H426" s="100"/>
      <c r="I426" s="100"/>
      <c r="J426" s="100"/>
      <c r="K426" s="100"/>
      <c r="L426" s="100"/>
      <c r="M426" s="100"/>
      <c r="N426" s="100"/>
      <c r="O426" s="100"/>
      <c r="P426" s="100"/>
      <c r="Q426" s="100"/>
      <c r="R426" s="100"/>
      <c r="S426" s="100"/>
      <c r="T426" s="100"/>
      <c r="U426" s="100"/>
      <c r="V426" s="100"/>
      <c r="W426" s="100"/>
      <c r="X426" s="100"/>
      <c r="Y426" s="100"/>
      <c r="Z426" s="100"/>
      <c r="AA426" s="100"/>
      <c r="AB426" s="100"/>
      <c r="AC426" s="100"/>
      <c r="AD426" s="100"/>
      <c r="AG426">
        <f t="shared" si="80"/>
        <v>0</v>
      </c>
      <c r="AH426">
        <f t="shared" si="54"/>
        <v>0</v>
      </c>
      <c r="AI426"/>
      <c r="AJ426"/>
      <c r="AK426">
        <f t="shared" si="55"/>
        <v>0</v>
      </c>
      <c r="AL426">
        <f t="shared" si="56"/>
        <v>0</v>
      </c>
      <c r="AM426">
        <f t="shared" si="57"/>
        <v>0</v>
      </c>
      <c r="AN426">
        <f t="shared" si="58"/>
        <v>0</v>
      </c>
      <c r="AO426">
        <f t="shared" si="59"/>
        <v>0</v>
      </c>
      <c r="AP426">
        <f t="shared" si="60"/>
        <v>0</v>
      </c>
      <c r="AQ426">
        <f t="shared" si="61"/>
        <v>0</v>
      </c>
      <c r="AR426">
        <f t="shared" si="62"/>
        <v>0</v>
      </c>
      <c r="AS426">
        <f t="shared" si="63"/>
        <v>0</v>
      </c>
      <c r="AT426">
        <f t="shared" si="64"/>
        <v>0</v>
      </c>
      <c r="AU426">
        <f t="shared" si="65"/>
        <v>0</v>
      </c>
      <c r="AV426">
        <f t="shared" si="66"/>
        <v>0</v>
      </c>
      <c r="AW426">
        <f t="shared" si="67"/>
        <v>0</v>
      </c>
      <c r="AX426">
        <f t="shared" si="68"/>
        <v>0</v>
      </c>
      <c r="AY426">
        <f t="shared" si="69"/>
        <v>0</v>
      </c>
      <c r="AZ426">
        <f t="shared" si="70"/>
        <v>0</v>
      </c>
      <c r="BA426">
        <f t="shared" si="71"/>
        <v>0</v>
      </c>
      <c r="BB426">
        <f t="shared" si="72"/>
        <v>0</v>
      </c>
      <c r="BC426">
        <f t="shared" si="73"/>
        <v>0</v>
      </c>
      <c r="BD426">
        <f t="shared" si="74"/>
        <v>0</v>
      </c>
      <c r="BE426">
        <f t="shared" si="75"/>
        <v>0</v>
      </c>
      <c r="BF426">
        <f t="shared" si="76"/>
        <v>0</v>
      </c>
      <c r="BG426">
        <f t="shared" si="77"/>
        <v>0</v>
      </c>
      <c r="BH426">
        <f t="shared" si="78"/>
        <v>0</v>
      </c>
      <c r="BI426">
        <f t="shared" si="79"/>
        <v>0</v>
      </c>
    </row>
    <row r="427" spans="1:61">
      <c r="A427" s="215"/>
      <c r="B427" s="90"/>
      <c r="C427" s="44" t="s">
        <v>2523</v>
      </c>
      <c r="D427" s="813" t="str">
        <f>IF(CNSIPEE_2024_M2_Secc1!D49="","",CNSIPEE_2024_M2_Secc1!D49)</f>
        <v/>
      </c>
      <c r="E427" s="814"/>
      <c r="F427" s="815"/>
      <c r="G427" s="100"/>
      <c r="H427" s="100"/>
      <c r="I427" s="100"/>
      <c r="J427" s="100"/>
      <c r="K427" s="100"/>
      <c r="L427" s="100"/>
      <c r="M427" s="100"/>
      <c r="N427" s="100"/>
      <c r="O427" s="100"/>
      <c r="P427" s="100"/>
      <c r="Q427" s="100"/>
      <c r="R427" s="100"/>
      <c r="S427" s="100"/>
      <c r="T427" s="100"/>
      <c r="U427" s="100"/>
      <c r="V427" s="100"/>
      <c r="W427" s="100"/>
      <c r="X427" s="100"/>
      <c r="Y427" s="100"/>
      <c r="Z427" s="100"/>
      <c r="AA427" s="100"/>
      <c r="AB427" s="100"/>
      <c r="AC427" s="100"/>
      <c r="AD427" s="100"/>
      <c r="AG427">
        <f t="shared" si="80"/>
        <v>0</v>
      </c>
      <c r="AH427">
        <f>IF(OR($Y378=0,$Y378="NS",$Y378="NA"),IF(COUNTA(G427:AD427)=0,0,1),0)</f>
        <v>0</v>
      </c>
      <c r="AI427"/>
      <c r="AJ427"/>
      <c r="AK427">
        <f t="shared" si="55"/>
        <v>0</v>
      </c>
      <c r="AL427">
        <f t="shared" si="56"/>
        <v>0</v>
      </c>
      <c r="AM427">
        <f t="shared" si="57"/>
        <v>0</v>
      </c>
      <c r="AN427">
        <f t="shared" si="58"/>
        <v>0</v>
      </c>
      <c r="AO427">
        <f t="shared" si="59"/>
        <v>0</v>
      </c>
      <c r="AP427">
        <f t="shared" si="60"/>
        <v>0</v>
      </c>
      <c r="AQ427">
        <f t="shared" si="61"/>
        <v>0</v>
      </c>
      <c r="AR427">
        <f t="shared" si="62"/>
        <v>0</v>
      </c>
      <c r="AS427">
        <f t="shared" si="63"/>
        <v>0</v>
      </c>
      <c r="AT427">
        <f t="shared" si="64"/>
        <v>0</v>
      </c>
      <c r="AU427">
        <f t="shared" si="65"/>
        <v>0</v>
      </c>
      <c r="AV427">
        <f t="shared" si="66"/>
        <v>0</v>
      </c>
      <c r="AW427">
        <f t="shared" si="67"/>
        <v>0</v>
      </c>
      <c r="AX427">
        <f t="shared" si="68"/>
        <v>0</v>
      </c>
      <c r="AY427">
        <f t="shared" si="69"/>
        <v>0</v>
      </c>
      <c r="AZ427">
        <f t="shared" si="70"/>
        <v>0</v>
      </c>
      <c r="BA427">
        <f t="shared" si="71"/>
        <v>0</v>
      </c>
      <c r="BB427">
        <f t="shared" si="72"/>
        <v>0</v>
      </c>
      <c r="BC427">
        <f t="shared" si="73"/>
        <v>0</v>
      </c>
      <c r="BD427">
        <f t="shared" si="74"/>
        <v>0</v>
      </c>
      <c r="BE427">
        <f t="shared" si="75"/>
        <v>0</v>
      </c>
      <c r="BF427">
        <f t="shared" si="76"/>
        <v>0</v>
      </c>
      <c r="BG427">
        <f t="shared" si="77"/>
        <v>0</v>
      </c>
      <c r="BH427">
        <f t="shared" si="78"/>
        <v>0</v>
      </c>
      <c r="BI427">
        <f t="shared" si="79"/>
        <v>0</v>
      </c>
    </row>
    <row r="428" spans="1:61">
      <c r="A428" s="215"/>
      <c r="B428" s="90"/>
      <c r="C428" s="222"/>
      <c r="D428" s="221"/>
      <c r="E428" s="221"/>
      <c r="F428" s="99" t="s">
        <v>2649</v>
      </c>
      <c r="G428" s="124">
        <f t="shared" ref="G428:AD428" si="81">IF(AND(SUM(G420:G427)=0,COUNTIF(G420:G427,"NS")&gt;0),"NS",IF(AND(SUM(G420:G427)=0,COUNTIF(G420:G427,0)&gt;0),0,IF(AND(SUM(G420:G427)=0,COUNTIF(G420:G427,"NA")&gt;0),"NA",SUM(G420:G427))))</f>
        <v>0</v>
      </c>
      <c r="H428" s="124">
        <f t="shared" si="81"/>
        <v>0</v>
      </c>
      <c r="I428" s="124">
        <f t="shared" si="81"/>
        <v>0</v>
      </c>
      <c r="J428" s="124">
        <f t="shared" si="81"/>
        <v>0</v>
      </c>
      <c r="K428" s="124">
        <f t="shared" si="81"/>
        <v>0</v>
      </c>
      <c r="L428" s="124">
        <f t="shared" si="81"/>
        <v>0</v>
      </c>
      <c r="M428" s="124">
        <f t="shared" si="81"/>
        <v>0</v>
      </c>
      <c r="N428" s="124">
        <f t="shared" si="81"/>
        <v>0</v>
      </c>
      <c r="O428" s="124">
        <f t="shared" si="81"/>
        <v>0</v>
      </c>
      <c r="P428" s="124">
        <f t="shared" si="81"/>
        <v>0</v>
      </c>
      <c r="Q428" s="124">
        <f t="shared" si="81"/>
        <v>0</v>
      </c>
      <c r="R428" s="124">
        <f t="shared" si="81"/>
        <v>0</v>
      </c>
      <c r="S428" s="124">
        <f t="shared" si="81"/>
        <v>0</v>
      </c>
      <c r="T428" s="124">
        <f t="shared" si="81"/>
        <v>0</v>
      </c>
      <c r="U428" s="124">
        <f t="shared" si="81"/>
        <v>0</v>
      </c>
      <c r="V428" s="124">
        <f t="shared" si="81"/>
        <v>0</v>
      </c>
      <c r="W428" s="124">
        <f t="shared" si="81"/>
        <v>0</v>
      </c>
      <c r="X428" s="124">
        <f t="shared" si="81"/>
        <v>0</v>
      </c>
      <c r="Y428" s="124">
        <f t="shared" si="81"/>
        <v>0</v>
      </c>
      <c r="Z428" s="124">
        <f t="shared" si="81"/>
        <v>0</v>
      </c>
      <c r="AA428" s="124">
        <f t="shared" si="81"/>
        <v>0</v>
      </c>
      <c r="AB428" s="124">
        <f t="shared" si="81"/>
        <v>0</v>
      </c>
      <c r="AC428" s="124">
        <f t="shared" si="81"/>
        <v>0</v>
      </c>
      <c r="AD428" s="124">
        <f t="shared" si="81"/>
        <v>0</v>
      </c>
      <c r="AG428" s="507">
        <f>SUM(AG420:AG427)</f>
        <v>0</v>
      </c>
      <c r="AH428" s="507">
        <f>SUM(AH420:AH427)</f>
        <v>0</v>
      </c>
      <c r="AJ428"/>
      <c r="AK428">
        <f>SUM(AK420:AK427)</f>
        <v>0</v>
      </c>
      <c r="AM428">
        <f>SUM(AM420:AM427)</f>
        <v>0</v>
      </c>
      <c r="AN428">
        <f>SUM(AN420:AN427)</f>
        <v>0</v>
      </c>
      <c r="AP428">
        <f>SUM(AP420:AP427)</f>
        <v>0</v>
      </c>
      <c r="AQ428">
        <f>SUM(AQ420:AQ427)</f>
        <v>0</v>
      </c>
      <c r="AS428">
        <f>SUM(AS420:AS427)</f>
        <v>0</v>
      </c>
      <c r="AT428">
        <f>SUM(AT420:AT427)</f>
        <v>0</v>
      </c>
      <c r="AV428">
        <f>SUM(AV420:AV427)</f>
        <v>0</v>
      </c>
      <c r="AW428">
        <f>SUM(AW420:AW427)</f>
        <v>0</v>
      </c>
      <c r="AY428">
        <f>SUM(AY420:AY427)</f>
        <v>0</v>
      </c>
      <c r="AZ428">
        <f>SUM(AZ420:AZ427)</f>
        <v>0</v>
      </c>
      <c r="BB428">
        <f>SUM(BB420:BB427)</f>
        <v>0</v>
      </c>
      <c r="BC428">
        <f>SUM(BC420:BC427)</f>
        <v>0</v>
      </c>
      <c r="BE428">
        <f>SUM(BE420:BE427)</f>
        <v>0</v>
      </c>
      <c r="BF428">
        <f>SUM(BF420:BF427)</f>
        <v>0</v>
      </c>
      <c r="BH428">
        <f>SUM(BH420:BH427)</f>
        <v>0</v>
      </c>
      <c r="BI428" s="506">
        <f>SUM(BI420:BI427)</f>
        <v>0</v>
      </c>
    </row>
    <row r="429" spans="1:61">
      <c r="A429" s="215"/>
      <c r="B429" s="90"/>
      <c r="C429" s="222"/>
      <c r="D429" s="221"/>
      <c r="E429" s="221"/>
      <c r="F429" s="221"/>
      <c r="G429" s="221"/>
      <c r="H429" s="221"/>
      <c r="I429" s="221"/>
      <c r="J429" s="221"/>
      <c r="K429" s="221"/>
      <c r="L429" s="221"/>
      <c r="M429" s="221"/>
      <c r="N429" s="221"/>
      <c r="O429" s="221"/>
      <c r="P429" s="221"/>
      <c r="Q429" s="221"/>
      <c r="R429" s="180"/>
      <c r="S429" s="49"/>
      <c r="T429" s="49"/>
      <c r="U429" s="49"/>
      <c r="V429" s="49"/>
      <c r="W429" s="49"/>
      <c r="X429" s="49"/>
      <c r="Y429" s="49"/>
      <c r="Z429" s="49"/>
      <c r="AA429" s="49"/>
      <c r="AB429" s="49"/>
      <c r="AC429" s="49"/>
      <c r="AD429" s="49"/>
      <c r="AK429" t="s">
        <v>2650</v>
      </c>
      <c r="AL429" s="506">
        <f>SUM(AM428,AP428,AS428,AV428,AY428,BB428,BE428,BH428)</f>
        <v>0</v>
      </c>
      <c r="AM429" t="s">
        <v>2651</v>
      </c>
      <c r="AN429">
        <f>SUM(AK428,AN428,AQ428,AT428,AW428,AZ428,BC428,BF428)</f>
        <v>0</v>
      </c>
      <c r="BG429"/>
      <c r="BH429"/>
      <c r="BI429"/>
    </row>
    <row r="430" spans="1:61" ht="24" customHeight="1">
      <c r="A430" s="50"/>
      <c r="B430" s="38"/>
      <c r="C430" s="754" t="s">
        <v>2611</v>
      </c>
      <c r="D430" s="754"/>
      <c r="E430" s="754"/>
      <c r="F430" s="754"/>
      <c r="G430" s="754"/>
      <c r="H430" s="754"/>
      <c r="I430" s="754"/>
      <c r="J430" s="754"/>
      <c r="K430" s="754"/>
      <c r="L430" s="754"/>
      <c r="M430" s="754"/>
      <c r="N430" s="754"/>
      <c r="O430" s="754"/>
      <c r="P430" s="754"/>
      <c r="Q430" s="754"/>
      <c r="R430" s="754"/>
      <c r="S430" s="754"/>
      <c r="T430" s="754"/>
      <c r="U430" s="754"/>
      <c r="V430" s="754"/>
      <c r="W430" s="754"/>
      <c r="X430" s="754"/>
      <c r="Y430" s="754"/>
      <c r="Z430" s="754"/>
      <c r="AA430" s="754"/>
      <c r="AB430" s="754"/>
      <c r="AC430" s="754"/>
      <c r="AD430" s="754"/>
      <c r="AK430" t="s">
        <v>2652</v>
      </c>
      <c r="AL430" s="507">
        <f>IF(AN429&gt;0,IF(SUM(G428)&gt;=SUM(J428,M428,P428,S428,V428,Y428,AB428),0,1),IF(SUM(G428)&lt;&gt;SUM(J428,M428,P428,S428,V428,Y428,AB428),1,0))</f>
        <v>0</v>
      </c>
      <c r="AM430" t="s">
        <v>2653</v>
      </c>
      <c r="AN430" s="507">
        <f>IF(AN429&gt;0,IF(SUM(H428)&gt;=SUM(K428,N428,Q428,T428,W428,Z428,AC428),0,1),IF(SUM(H428)&lt;&gt;SUM(K428,N428,Q428,T428,W428,Z428,AC428),1,0))</f>
        <v>0</v>
      </c>
      <c r="AO430" t="s">
        <v>2654</v>
      </c>
      <c r="AP430" s="507">
        <f>IF(AN429&gt;0,IF(SUM(I428)&gt;=SUM(L428,O428,R428,U428,X428,AA428,AD428),0,1),IF(SUM(I428)&lt;&gt;SUM(L428,O428,R428,U428,X428,AA428,AD428),1,0))</f>
        <v>0</v>
      </c>
      <c r="BG430"/>
      <c r="BH430"/>
      <c r="BI430"/>
    </row>
    <row r="431" spans="1:61" ht="60" customHeight="1">
      <c r="A431" s="50"/>
      <c r="B431" s="38"/>
      <c r="C431" s="851"/>
      <c r="D431" s="851"/>
      <c r="E431" s="851"/>
      <c r="F431" s="851"/>
      <c r="G431" s="851"/>
      <c r="H431" s="851"/>
      <c r="I431" s="851"/>
      <c r="J431" s="851"/>
      <c r="K431" s="851"/>
      <c r="L431" s="851"/>
      <c r="M431" s="851"/>
      <c r="N431" s="851"/>
      <c r="O431" s="851"/>
      <c r="P431" s="851"/>
      <c r="Q431" s="851"/>
      <c r="R431" s="851"/>
      <c r="S431" s="851"/>
      <c r="T431" s="851"/>
      <c r="U431" s="851"/>
      <c r="V431" s="851"/>
      <c r="W431" s="851"/>
      <c r="X431" s="851"/>
      <c r="Y431" s="851"/>
      <c r="Z431" s="851"/>
      <c r="AA431" s="851"/>
      <c r="AB431" s="851"/>
      <c r="AC431" s="851"/>
      <c r="AD431" s="851"/>
    </row>
    <row r="432" spans="1:61">
      <c r="A432" s="217"/>
      <c r="B432" s="794" t="str">
        <f>IF(AG428=0,"","Favor de ingresar toda la información requerida en la pregunta")</f>
        <v/>
      </c>
      <c r="C432" s="794"/>
      <c r="D432" s="794"/>
      <c r="E432" s="794"/>
      <c r="F432" s="794"/>
      <c r="G432" s="794"/>
      <c r="H432" s="794"/>
      <c r="I432" s="794"/>
      <c r="J432" s="794"/>
      <c r="K432" s="794"/>
      <c r="L432" s="794"/>
      <c r="M432" s="794"/>
      <c r="N432" s="794"/>
      <c r="O432" s="794"/>
      <c r="P432" s="794"/>
      <c r="Q432" s="794"/>
      <c r="R432" s="794"/>
      <c r="S432" s="794"/>
      <c r="T432" s="794"/>
      <c r="U432" s="794"/>
      <c r="V432" s="794"/>
      <c r="W432" s="794"/>
      <c r="X432" s="794"/>
      <c r="Y432" s="794"/>
      <c r="Z432" s="794"/>
      <c r="AA432" s="794"/>
      <c r="AB432" s="794"/>
      <c r="AC432" s="794"/>
      <c r="AD432" s="794"/>
      <c r="AE432" s="794"/>
    </row>
    <row r="433" spans="1:47">
      <c r="A433" s="215"/>
      <c r="B433" s="1087" t="str">
        <f>IF(COUNTIF(G420:AD427,"NS")&lt;&gt;0,"Alerta: debido a que cuenta con registros NS, debe proporcionar una justificación en el area de comentarios al final de la pregunta","")</f>
        <v/>
      </c>
      <c r="C433" s="1087"/>
      <c r="D433" s="1087"/>
      <c r="E433" s="1087"/>
      <c r="F433" s="1087"/>
      <c r="G433" s="1087"/>
      <c r="H433" s="1087"/>
      <c r="I433" s="1087"/>
      <c r="J433" s="1087"/>
      <c r="K433" s="1087"/>
      <c r="L433" s="1087"/>
      <c r="M433" s="1087"/>
      <c r="N433" s="1087"/>
      <c r="O433" s="1087"/>
      <c r="P433" s="1087"/>
      <c r="Q433" s="1087"/>
      <c r="R433" s="1087"/>
      <c r="S433" s="1087"/>
      <c r="T433" s="1087"/>
      <c r="U433" s="1087"/>
      <c r="V433" s="1087"/>
      <c r="W433" s="1087"/>
      <c r="X433" s="1087"/>
      <c r="Y433" s="1087"/>
      <c r="Z433" s="1087"/>
      <c r="AA433" s="1087"/>
      <c r="AB433" s="1087"/>
      <c r="AC433" s="1087"/>
      <c r="AD433" s="1087"/>
      <c r="AE433" s="1087"/>
    </row>
    <row r="434" spans="1:47">
      <c r="A434" s="215"/>
      <c r="B434" s="1003" t="str">
        <f>IF(AH428&gt;0,"Revise la información capturada, ya que tiene datos ingresados en celdas que están sombreadas","")</f>
        <v/>
      </c>
      <c r="C434" s="1003"/>
      <c r="D434" s="1003"/>
      <c r="E434" s="1003"/>
      <c r="F434" s="1003"/>
      <c r="G434" s="1003"/>
      <c r="H434" s="1003"/>
      <c r="I434" s="1003"/>
      <c r="J434" s="1003"/>
      <c r="K434" s="1003"/>
      <c r="L434" s="1003"/>
      <c r="M434" s="1003"/>
      <c r="N434" s="1003"/>
      <c r="O434" s="1003"/>
      <c r="P434" s="1003"/>
      <c r="Q434" s="1003"/>
      <c r="R434" s="1003"/>
      <c r="S434" s="1003"/>
      <c r="T434" s="1003"/>
      <c r="U434" s="1003"/>
      <c r="V434" s="1003"/>
      <c r="W434" s="1003"/>
      <c r="X434" s="1003"/>
      <c r="Y434" s="1003"/>
      <c r="Z434" s="1003"/>
      <c r="AA434" s="1003"/>
      <c r="AB434" s="1003"/>
      <c r="AC434" s="1003"/>
      <c r="AD434" s="1003"/>
      <c r="AE434" s="1003"/>
    </row>
    <row r="435" spans="1:47">
      <c r="A435" s="215"/>
      <c r="B435" s="1003" t="str">
        <f>IF(OR(AL429&gt;0,AL430&gt;0,AN430&gt;0,AP430&gt;0),"Favor de revisar la suma y consistencia de totales y/o subtotales por filas (numéricos y NS)","")</f>
        <v/>
      </c>
      <c r="C435" s="1003"/>
      <c r="D435" s="1003"/>
      <c r="E435" s="1003"/>
      <c r="F435" s="1003"/>
      <c r="G435" s="1003"/>
      <c r="H435" s="1003"/>
      <c r="I435" s="1003"/>
      <c r="J435" s="1003"/>
      <c r="K435" s="1003"/>
      <c r="L435" s="1003"/>
      <c r="M435" s="1003"/>
      <c r="N435" s="1003"/>
      <c r="O435" s="1003"/>
      <c r="P435" s="1003"/>
      <c r="Q435" s="1003"/>
      <c r="R435" s="1003"/>
      <c r="S435" s="1003"/>
      <c r="T435" s="1003"/>
      <c r="U435" s="1003"/>
      <c r="V435" s="1003"/>
      <c r="W435" s="1003"/>
      <c r="X435" s="1003"/>
      <c r="Y435" s="1003"/>
      <c r="Z435" s="1003"/>
      <c r="AA435" s="1003"/>
      <c r="AB435" s="1003"/>
      <c r="AC435" s="1003"/>
      <c r="AD435" s="1003"/>
      <c r="AE435" s="1003"/>
    </row>
    <row r="436" spans="1:47">
      <c r="A436" s="215"/>
      <c r="B436" s="794" t="str">
        <f>IF(BI428=0,"","Las cant. de Hombres y Mujeres por centro especializado debe corresponder con los datos reportados en la tabla I de la preg. anterior")</f>
        <v/>
      </c>
      <c r="C436" s="794"/>
      <c r="D436" s="794"/>
      <c r="E436" s="794"/>
      <c r="F436" s="794"/>
      <c r="G436" s="794"/>
      <c r="H436" s="794"/>
      <c r="I436" s="794"/>
      <c r="J436" s="794"/>
      <c r="K436" s="794"/>
      <c r="L436" s="794"/>
      <c r="M436" s="794"/>
      <c r="N436" s="794"/>
      <c r="O436" s="794"/>
      <c r="P436" s="794"/>
      <c r="Q436" s="794"/>
      <c r="R436" s="794"/>
      <c r="S436" s="794"/>
      <c r="T436" s="794"/>
      <c r="U436" s="794"/>
      <c r="V436" s="794"/>
      <c r="W436" s="794"/>
      <c r="X436" s="794"/>
      <c r="Y436" s="794"/>
      <c r="Z436" s="794"/>
      <c r="AA436" s="794"/>
      <c r="AB436" s="794"/>
      <c r="AC436" s="794"/>
      <c r="AD436" s="794"/>
      <c r="AE436" s="794"/>
    </row>
    <row r="437" spans="1:47">
      <c r="A437" s="215"/>
      <c r="B437" s="90"/>
      <c r="C437" s="703"/>
      <c r="D437" s="90"/>
      <c r="E437" s="90"/>
      <c r="F437" s="90"/>
      <c r="G437" s="90"/>
      <c r="H437" s="90"/>
      <c r="I437" s="90"/>
      <c r="J437" s="90"/>
      <c r="K437" s="90"/>
      <c r="L437" s="90"/>
      <c r="M437" s="90"/>
      <c r="N437" s="90"/>
      <c r="O437" s="90"/>
      <c r="P437" s="90"/>
      <c r="Q437" s="90"/>
      <c r="R437" s="90"/>
      <c r="S437" s="90"/>
      <c r="T437" s="90"/>
      <c r="U437" s="90"/>
      <c r="V437" s="90"/>
      <c r="W437" s="90"/>
      <c r="X437" s="90"/>
      <c r="Y437" s="90"/>
      <c r="Z437" s="90"/>
      <c r="AA437" s="90"/>
      <c r="AB437" s="90"/>
      <c r="AC437" s="90"/>
      <c r="AD437" s="90"/>
      <c r="AE437"/>
    </row>
    <row r="438" spans="1:47" ht="36" customHeight="1">
      <c r="A438" s="49" t="s">
        <v>6211</v>
      </c>
      <c r="B438" s="829" t="s">
        <v>6212</v>
      </c>
      <c r="C438" s="829"/>
      <c r="D438" s="829"/>
      <c r="E438" s="829"/>
      <c r="F438" s="829"/>
      <c r="G438" s="829"/>
      <c r="H438" s="829"/>
      <c r="I438" s="829"/>
      <c r="J438" s="829"/>
      <c r="K438" s="829"/>
      <c r="L438" s="829"/>
      <c r="M438" s="829"/>
      <c r="N438" s="829"/>
      <c r="O438" s="829"/>
      <c r="P438" s="829"/>
      <c r="Q438" s="829"/>
      <c r="R438" s="829"/>
      <c r="S438" s="829"/>
      <c r="T438" s="829"/>
      <c r="U438" s="829"/>
      <c r="V438" s="829"/>
      <c r="W438" s="829"/>
      <c r="X438" s="829"/>
      <c r="Y438" s="829"/>
      <c r="Z438" s="829"/>
      <c r="AA438" s="829"/>
      <c r="AB438" s="829"/>
      <c r="AC438" s="829"/>
      <c r="AD438" s="829"/>
    </row>
    <row r="439" spans="1:47" ht="24" customHeight="1">
      <c r="A439" s="142"/>
      <c r="B439" s="57"/>
      <c r="C439" s="754" t="s">
        <v>3885</v>
      </c>
      <c r="D439" s="754"/>
      <c r="E439" s="754"/>
      <c r="F439" s="754"/>
      <c r="G439" s="754"/>
      <c r="H439" s="754"/>
      <c r="I439" s="754"/>
      <c r="J439" s="754"/>
      <c r="K439" s="754"/>
      <c r="L439" s="754"/>
      <c r="M439" s="754"/>
      <c r="N439" s="754"/>
      <c r="O439" s="754"/>
      <c r="P439" s="754"/>
      <c r="Q439" s="754"/>
      <c r="R439" s="754"/>
      <c r="S439" s="754"/>
      <c r="T439" s="754"/>
      <c r="U439" s="754"/>
      <c r="V439" s="754"/>
      <c r="W439" s="754"/>
      <c r="X439" s="754"/>
      <c r="Y439" s="754"/>
      <c r="Z439" s="754"/>
      <c r="AA439" s="754"/>
      <c r="AB439" s="754"/>
      <c r="AC439" s="754"/>
      <c r="AD439" s="754"/>
    </row>
    <row r="440" spans="1:47" ht="24" customHeight="1">
      <c r="A440" s="142"/>
      <c r="B440" s="57"/>
      <c r="C440" s="754" t="s">
        <v>3886</v>
      </c>
      <c r="D440" s="754"/>
      <c r="E440" s="754"/>
      <c r="F440" s="754"/>
      <c r="G440" s="754"/>
      <c r="H440" s="754"/>
      <c r="I440" s="754"/>
      <c r="J440" s="754"/>
      <c r="K440" s="754"/>
      <c r="L440" s="754"/>
      <c r="M440" s="754"/>
      <c r="N440" s="754"/>
      <c r="O440" s="754"/>
      <c r="P440" s="754"/>
      <c r="Q440" s="754"/>
      <c r="R440" s="754"/>
      <c r="S440" s="754"/>
      <c r="T440" s="754"/>
      <c r="U440" s="754"/>
      <c r="V440" s="754"/>
      <c r="W440" s="754"/>
      <c r="X440" s="754"/>
      <c r="Y440" s="754"/>
      <c r="Z440" s="754"/>
      <c r="AA440" s="754"/>
      <c r="AB440" s="754"/>
      <c r="AC440" s="754"/>
      <c r="AD440" s="754"/>
    </row>
    <row r="441" spans="1:47" ht="36" customHeight="1">
      <c r="A441" s="50"/>
      <c r="B441" s="38"/>
      <c r="C441" s="830" t="s">
        <v>3887</v>
      </c>
      <c r="D441" s="830"/>
      <c r="E441" s="830"/>
      <c r="F441" s="830"/>
      <c r="G441" s="830"/>
      <c r="H441" s="830"/>
      <c r="I441" s="830"/>
      <c r="J441" s="830"/>
      <c r="K441" s="830"/>
      <c r="L441" s="830"/>
      <c r="M441" s="830"/>
      <c r="N441" s="830"/>
      <c r="O441" s="830"/>
      <c r="P441" s="830"/>
      <c r="Q441" s="830"/>
      <c r="R441" s="830"/>
      <c r="S441" s="830"/>
      <c r="T441" s="830"/>
      <c r="U441" s="830"/>
      <c r="V441" s="830"/>
      <c r="W441" s="830"/>
      <c r="X441" s="830"/>
      <c r="Y441" s="830"/>
      <c r="Z441" s="830"/>
      <c r="AA441" s="830"/>
      <c r="AB441" s="830"/>
      <c r="AC441" s="830"/>
      <c r="AD441" s="830"/>
    </row>
    <row r="442" spans="1:47" ht="24" customHeight="1">
      <c r="A442" s="50"/>
      <c r="B442" s="38"/>
      <c r="C442" s="830" t="s">
        <v>3888</v>
      </c>
      <c r="D442" s="830"/>
      <c r="E442" s="830"/>
      <c r="F442" s="830"/>
      <c r="G442" s="830"/>
      <c r="H442" s="830"/>
      <c r="I442" s="830"/>
      <c r="J442" s="830"/>
      <c r="K442" s="830"/>
      <c r="L442" s="830"/>
      <c r="M442" s="830"/>
      <c r="N442" s="830"/>
      <c r="O442" s="830"/>
      <c r="P442" s="830"/>
      <c r="Q442" s="830"/>
      <c r="R442" s="830"/>
      <c r="S442" s="830"/>
      <c r="T442" s="830"/>
      <c r="U442" s="830"/>
      <c r="V442" s="830"/>
      <c r="W442" s="830"/>
      <c r="X442" s="830"/>
      <c r="Y442" s="830"/>
      <c r="Z442" s="830"/>
      <c r="AA442" s="830"/>
      <c r="AB442" s="830"/>
      <c r="AC442" s="830"/>
      <c r="AD442" s="830"/>
    </row>
    <row r="443" spans="1:47">
      <c r="A443" s="215"/>
      <c r="B443" s="90"/>
      <c r="C443" s="90"/>
      <c r="D443" s="90"/>
      <c r="E443" s="90"/>
      <c r="F443" s="90"/>
      <c r="G443" s="90"/>
      <c r="H443" s="90"/>
      <c r="I443" s="90"/>
      <c r="J443" s="90"/>
      <c r="K443" s="90"/>
      <c r="L443" s="90"/>
      <c r="M443" s="90"/>
      <c r="N443" s="90"/>
      <c r="O443" s="90"/>
      <c r="P443" s="90"/>
      <c r="Q443" s="90"/>
      <c r="R443" s="90"/>
      <c r="S443" s="90"/>
      <c r="T443" s="90"/>
      <c r="U443" s="90"/>
      <c r="V443" s="90"/>
      <c r="W443" s="90"/>
      <c r="X443" s="90"/>
      <c r="Y443" s="90"/>
      <c r="Z443" s="90"/>
      <c r="AA443" s="90"/>
      <c r="AB443" s="90"/>
      <c r="AC443" s="90"/>
      <c r="AD443" s="90"/>
    </row>
    <row r="444" spans="1:47" ht="36" customHeight="1">
      <c r="A444" s="50"/>
      <c r="B444" s="38"/>
      <c r="C444" s="797" t="s">
        <v>3889</v>
      </c>
      <c r="D444" s="798"/>
      <c r="E444" s="798"/>
      <c r="F444" s="798"/>
      <c r="G444" s="798"/>
      <c r="H444" s="798"/>
      <c r="I444" s="798"/>
      <c r="J444" s="798"/>
      <c r="K444" s="798"/>
      <c r="L444" s="798"/>
      <c r="M444" s="798"/>
      <c r="N444" s="798"/>
      <c r="O444" s="798"/>
      <c r="P444" s="798"/>
      <c r="Q444" s="798"/>
      <c r="R444" s="799"/>
      <c r="S444" s="739" t="s">
        <v>6213</v>
      </c>
      <c r="T444" s="740"/>
      <c r="U444" s="740"/>
      <c r="V444" s="740"/>
      <c r="W444" s="740"/>
      <c r="X444" s="740"/>
      <c r="Y444" s="740"/>
      <c r="Z444" s="740"/>
      <c r="AA444" s="740"/>
      <c r="AB444" s="740"/>
      <c r="AC444" s="740"/>
      <c r="AD444" s="741"/>
    </row>
    <row r="445" spans="1:47" ht="15" customHeight="1">
      <c r="A445" s="50"/>
      <c r="B445" s="38"/>
      <c r="C445" s="800"/>
      <c r="D445" s="801"/>
      <c r="E445" s="801"/>
      <c r="F445" s="801"/>
      <c r="G445" s="801"/>
      <c r="H445" s="801"/>
      <c r="I445" s="801"/>
      <c r="J445" s="801"/>
      <c r="K445" s="801"/>
      <c r="L445" s="801"/>
      <c r="M445" s="801"/>
      <c r="N445" s="801"/>
      <c r="O445" s="801"/>
      <c r="P445" s="801"/>
      <c r="Q445" s="801"/>
      <c r="R445" s="802"/>
      <c r="S445" s="733" t="s">
        <v>3891</v>
      </c>
      <c r="T445" s="734"/>
      <c r="U445" s="734"/>
      <c r="V445" s="734"/>
      <c r="W445" s="734"/>
      <c r="X445" s="734"/>
      <c r="Y445" s="734"/>
      <c r="Z445" s="734"/>
      <c r="AA445" s="735"/>
      <c r="AB445" s="818" t="s">
        <v>3892</v>
      </c>
      <c r="AC445" s="819"/>
      <c r="AD445" s="820"/>
      <c r="AF445" t="s">
        <v>6214</v>
      </c>
      <c r="AG445"/>
      <c r="AH445" t="s">
        <v>6215</v>
      </c>
    </row>
    <row r="446" spans="1:47" ht="24" customHeight="1">
      <c r="A446" s="50"/>
      <c r="B446" s="38"/>
      <c r="C446" s="800"/>
      <c r="D446" s="801"/>
      <c r="E446" s="801"/>
      <c r="F446" s="801"/>
      <c r="G446" s="801"/>
      <c r="H446" s="801"/>
      <c r="I446" s="801"/>
      <c r="J446" s="801"/>
      <c r="K446" s="801"/>
      <c r="L446" s="801"/>
      <c r="M446" s="801"/>
      <c r="N446" s="801"/>
      <c r="O446" s="801"/>
      <c r="P446" s="801"/>
      <c r="Q446" s="801"/>
      <c r="R446" s="802"/>
      <c r="S446" s="733" t="s">
        <v>3876</v>
      </c>
      <c r="T446" s="734"/>
      <c r="U446" s="735"/>
      <c r="V446" s="733" t="s">
        <v>3877</v>
      </c>
      <c r="W446" s="734"/>
      <c r="X446" s="735"/>
      <c r="Y446" s="736" t="s">
        <v>3878</v>
      </c>
      <c r="Z446" s="736"/>
      <c r="AA446" s="736"/>
      <c r="AB446" s="824"/>
      <c r="AC446" s="825"/>
      <c r="AD446" s="826"/>
      <c r="AF446">
        <f>IF(AND(SUM(J428,M428,P428)=0,SUM(COUNTIF(J428,"NS"),COUNTIF(M428,"NS"),COUNTIF(P428,"NS"))&gt;0),"NS",IF(AND(SUM(J428,M428,P428)=0,SUM(COUNTIF(J428,0),COUNTIF(M428,0),COUNTIF(P428,0))&gt;0),0,IF(AND(SUM(J428,M428,P428)=0,SUM(COUNTIF(J428,"NA"),COUNTIF(M428,"NA"),COUNTIF(P428,"NA"))&gt;0),"NA",SUM(J428,M428,P428))))</f>
        <v>0</v>
      </c>
      <c r="AG446"/>
      <c r="AH446">
        <f>IF(OR(COUNTBLANK(D281:D288)=8,COUNTIF(N281:S288,"&gt;1")=(8-COUNTBLANK(D281:D288))),8,-1)</f>
        <v>8</v>
      </c>
    </row>
    <row r="447" spans="1:47" ht="48" customHeight="1">
      <c r="A447" s="50"/>
      <c r="B447" s="38"/>
      <c r="C447" s="803"/>
      <c r="D447" s="804"/>
      <c r="E447" s="804"/>
      <c r="F447" s="804"/>
      <c r="G447" s="804"/>
      <c r="H447" s="804"/>
      <c r="I447" s="804"/>
      <c r="J447" s="804"/>
      <c r="K447" s="804"/>
      <c r="L447" s="804"/>
      <c r="M447" s="804"/>
      <c r="N447" s="804"/>
      <c r="O447" s="804"/>
      <c r="P447" s="804"/>
      <c r="Q447" s="804"/>
      <c r="R447" s="805"/>
      <c r="S447" s="127" t="s">
        <v>2628</v>
      </c>
      <c r="T447" s="121" t="s">
        <v>2629</v>
      </c>
      <c r="U447" s="121" t="s">
        <v>2630</v>
      </c>
      <c r="V447" s="127" t="s">
        <v>2628</v>
      </c>
      <c r="W447" s="121" t="s">
        <v>2629</v>
      </c>
      <c r="X447" s="121" t="s">
        <v>2630</v>
      </c>
      <c r="Y447" s="127" t="s">
        <v>2628</v>
      </c>
      <c r="Z447" s="121" t="s">
        <v>2629</v>
      </c>
      <c r="AA447" s="121" t="s">
        <v>2630</v>
      </c>
      <c r="AB447" s="129" t="s">
        <v>2628</v>
      </c>
      <c r="AC447" s="128" t="s">
        <v>2629</v>
      </c>
      <c r="AD447" s="128" t="s">
        <v>2630</v>
      </c>
      <c r="AG447" t="s">
        <v>2586</v>
      </c>
      <c r="AH447" t="s">
        <v>6216</v>
      </c>
      <c r="AI447" t="s">
        <v>6217</v>
      </c>
      <c r="AJ447" t="s">
        <v>2590</v>
      </c>
      <c r="AK447" t="s">
        <v>3163</v>
      </c>
      <c r="AL447" t="s">
        <v>4564</v>
      </c>
      <c r="AM447" t="s">
        <v>2590</v>
      </c>
      <c r="AN447" t="s">
        <v>3163</v>
      </c>
      <c r="AO447" t="s">
        <v>4564</v>
      </c>
      <c r="AP447" t="s">
        <v>2590</v>
      </c>
      <c r="AQ447" t="s">
        <v>3163</v>
      </c>
      <c r="AR447" t="s">
        <v>4564</v>
      </c>
      <c r="AS447" t="s">
        <v>2590</v>
      </c>
      <c r="AT447" t="s">
        <v>3163</v>
      </c>
      <c r="AU447" t="s">
        <v>4564</v>
      </c>
    </row>
    <row r="448" spans="1:47" ht="15" customHeight="1">
      <c r="A448" s="50"/>
      <c r="B448" s="38"/>
      <c r="C448" s="92" t="s">
        <v>2516</v>
      </c>
      <c r="D448" s="869" t="s">
        <v>3897</v>
      </c>
      <c r="E448" s="870"/>
      <c r="F448" s="870"/>
      <c r="G448" s="870"/>
      <c r="H448" s="870"/>
      <c r="I448" s="870"/>
      <c r="J448" s="870"/>
      <c r="K448" s="870"/>
      <c r="L448" s="870"/>
      <c r="M448" s="870"/>
      <c r="N448" s="870"/>
      <c r="O448" s="870"/>
      <c r="P448" s="870"/>
      <c r="Q448" s="870"/>
      <c r="R448" s="870"/>
      <c r="S448" s="100"/>
      <c r="T448" s="100"/>
      <c r="U448" s="100"/>
      <c r="V448" s="100"/>
      <c r="W448" s="100"/>
      <c r="X448" s="100"/>
      <c r="Y448" s="100"/>
      <c r="Z448" s="100"/>
      <c r="AA448" s="100"/>
      <c r="AB448" s="116"/>
      <c r="AC448" s="116"/>
      <c r="AD448" s="116"/>
      <c r="AG448" s="506">
        <f>IF($AH$446=8,0,IF(AND(AND($AF$446&gt;0,$AF$446&lt;&gt;"NS",$AF$446&lt;&gt;"NA"),OR($S$428=0,$S$428="NS",$S$428="NA")),IF(COUNTBLANK(S448:AA453)=0,0,1),IF(AND(OR($AF$446=0,$AF$446="NS",$AF$446="NA"),AND($S$428&gt;0,$S$428&lt;&gt;"NS",$S$428&lt;&gt;"NA")),IF(COUNTBLANK(AB448:AD453)=0,0,1),IF(AND(AND($AF$446&gt;0,$AF$446&lt;&gt;"NS",$AF$446&lt;&gt;"NA"),AND($S$428&gt;0,$S$428&lt;&gt;"NS",$S$428&lt;&gt;"NA")),IF(COUNTBLANK(S448:AD453)=0,0,1),0))))</f>
        <v>0</v>
      </c>
      <c r="AH448">
        <f>IF($AH$446=8,IF(COUNTA(S448:AD453)=0,0,1),0)</f>
        <v>0</v>
      </c>
      <c r="AI448">
        <f>IF($AH$446=8,0,IF(AND(AND($AF$446&gt;0,$AF$446&lt;&gt;"NS",$AF$446&lt;&gt;"NA"),OR($S$428=0,$S$428="NS",$S$428="NA")),IF(OR(COUNTA(AB448:AD453)=0),0,1),IF(AND(OR($AF$446=0,$AF$446="NS",$AF$446="NA"),AND($S$428&gt;0,$S$428&lt;&gt;"NS",$S$428&lt;&gt;"NA")),IF(COUNTA(S448:AA453)=0,0,1),IF(AND(OR($AF$446=0,$AF$446="NS",$AF$446="NA"),OR($S$428=0,$S$428="NS",$S$428="NA")),IF(COUNTA(S448:AD453)=0,0,1),0))))</f>
        <v>0</v>
      </c>
      <c r="AJ448">
        <f t="shared" ref="AJ448" si="82">COUNTIF(T448:U448,"NS")</f>
        <v>0</v>
      </c>
      <c r="AK448">
        <f t="shared" ref="AK448" si="83">SUM(T448:U448)</f>
        <v>0</v>
      </c>
      <c r="AL448">
        <f t="shared" ref="AL448:AL453" si="84">IF(COUNTIF(S448:U448,"NA")=3,0,IF(COUNTA(S448:U448)=0,0,IF(OR(AND(S448=0,AJ448&gt;0),AND(S448="ns",AK448&gt;0),AND(S448="ns",AJ448=0,AK448=0)),1,IF(OR(AND(S448&gt;0,AJ448=2),AND(S448="ns",AJ448=2),AND(S448="ns",AK448=0,AJ448&gt;0),S448=AK448),0,1))))</f>
        <v>0</v>
      </c>
      <c r="AM448">
        <f t="shared" ref="AM448" si="85">COUNTIF(W448:X448,"NS")</f>
        <v>0</v>
      </c>
      <c r="AN448">
        <f t="shared" ref="AN448" si="86">SUM(W448:X448)</f>
        <v>0</v>
      </c>
      <c r="AO448">
        <f t="shared" ref="AO448:AO453" si="87">IF(COUNTIF(V448:X448,"NA")=3,0,IF(COUNTA(V448:X448)=0,0,IF(OR(AND(V448=0,AM448&gt;0),AND(V448="ns",AN448&gt;0),AND(V448="ns",AM448=0,AN448=0)),1,IF(OR(AND(V448&gt;0,AM448=2),AND(V448="ns",AM448=2),AND(V448="ns",AN448=0,AM448&gt;0),V448=AN448),0,1))))</f>
        <v>0</v>
      </c>
      <c r="AP448">
        <f t="shared" ref="AP448" si="88">COUNTIF(Z448:AA448,"NS")</f>
        <v>0</v>
      </c>
      <c r="AQ448">
        <f t="shared" ref="AQ448" si="89">SUM(Z448:AA448)</f>
        <v>0</v>
      </c>
      <c r="AR448">
        <f t="shared" ref="AR448:AR453" si="90">IF(COUNTIF(Y448:AA448,"NA")=3,0,IF(COUNTA(Y448:AA448)=0,0,IF(OR(AND(Y448=0,AP448&gt;0),AND(Y448="ns",AQ448&gt;0),AND(Y448="ns",AP448=0,AQ448=0)),1,IF(OR(AND(Y448&gt;0,AP448=2),AND(Y448="ns",AP448=2),AND(Y448="ns",AQ448=0,AP448&gt;0),Y448=AQ448),0,1))))</f>
        <v>0</v>
      </c>
      <c r="AS448">
        <f t="shared" ref="AS448" si="91">COUNTIF(AC448:AD448,"NS")</f>
        <v>0</v>
      </c>
      <c r="AT448">
        <f t="shared" ref="AT448" si="92">SUM(AC448:AD448)</f>
        <v>0</v>
      </c>
      <c r="AU448">
        <f t="shared" ref="AU448:AU453" si="93">IF(COUNTIF(AB448:AD448,"NA")=3,0,IF(COUNTA(AB448:AD448)=0,0,IF(OR(AND(AB448=0,AS448&gt;0),AND(AB448="ns",AT448&gt;0),AND(AB448="ns",AS448=0,AT448=0)),1,IF(OR(AND(AB448&gt;0,AS448=2),AND(AB448="ns",AS448=2),AND(AB448="ns",AT448=0,AS448&gt;0),AB448=AT448),0,1))))</f>
        <v>0</v>
      </c>
    </row>
    <row r="449" spans="1:47" ht="15" customHeight="1">
      <c r="A449" s="50"/>
      <c r="B449" s="38"/>
      <c r="C449" s="44" t="s">
        <v>2517</v>
      </c>
      <c r="D449" s="869" t="s">
        <v>3898</v>
      </c>
      <c r="E449" s="870"/>
      <c r="F449" s="870"/>
      <c r="G449" s="870"/>
      <c r="H449" s="870"/>
      <c r="I449" s="870"/>
      <c r="J449" s="870"/>
      <c r="K449" s="870"/>
      <c r="L449" s="870"/>
      <c r="M449" s="870"/>
      <c r="N449" s="870"/>
      <c r="O449" s="870"/>
      <c r="P449" s="870"/>
      <c r="Q449" s="870"/>
      <c r="R449" s="870"/>
      <c r="S449" s="100"/>
      <c r="T449" s="100"/>
      <c r="U449" s="100"/>
      <c r="V449" s="100"/>
      <c r="W449" s="100"/>
      <c r="X449" s="100"/>
      <c r="Y449" s="100"/>
      <c r="Z449" s="100"/>
      <c r="AA449" s="100"/>
      <c r="AB449" s="116"/>
      <c r="AC449" s="116"/>
      <c r="AD449" s="116"/>
      <c r="AG449"/>
      <c r="AH449"/>
      <c r="AI449" s="507">
        <f>SUM(AH448:AI448)</f>
        <v>0</v>
      </c>
      <c r="AJ449">
        <f>COUNTIF(T449:U449,"NS")</f>
        <v>0</v>
      </c>
      <c r="AK449">
        <f>SUM(T449:U449)</f>
        <v>0</v>
      </c>
      <c r="AL449">
        <f t="shared" si="84"/>
        <v>0</v>
      </c>
      <c r="AM449">
        <f>COUNTIF(W449:X449,"NS")</f>
        <v>0</v>
      </c>
      <c r="AN449">
        <f>SUM(W449:X449)</f>
        <v>0</v>
      </c>
      <c r="AO449">
        <f t="shared" si="87"/>
        <v>0</v>
      </c>
      <c r="AP449">
        <f>COUNTIF(Z449:AA449,"NS")</f>
        <v>0</v>
      </c>
      <c r="AQ449">
        <f>SUM(Z449:AA449)</f>
        <v>0</v>
      </c>
      <c r="AR449">
        <f t="shared" si="90"/>
        <v>0</v>
      </c>
      <c r="AS449">
        <f>COUNTIF(AC449:AD449,"NS")</f>
        <v>0</v>
      </c>
      <c r="AT449">
        <f>SUM(AC449:AD449)</f>
        <v>0</v>
      </c>
      <c r="AU449">
        <f t="shared" si="93"/>
        <v>0</v>
      </c>
    </row>
    <row r="450" spans="1:47" ht="15" customHeight="1">
      <c r="A450" s="50"/>
      <c r="B450" s="38"/>
      <c r="C450" s="44" t="s">
        <v>2518</v>
      </c>
      <c r="D450" s="869" t="s">
        <v>3900</v>
      </c>
      <c r="E450" s="870"/>
      <c r="F450" s="870"/>
      <c r="G450" s="870"/>
      <c r="H450" s="870"/>
      <c r="I450" s="870"/>
      <c r="J450" s="870"/>
      <c r="K450" s="870"/>
      <c r="L450" s="870"/>
      <c r="M450" s="870"/>
      <c r="N450" s="870"/>
      <c r="O450" s="870"/>
      <c r="P450" s="870"/>
      <c r="Q450" s="870"/>
      <c r="R450" s="870"/>
      <c r="S450" s="100"/>
      <c r="T450" s="100"/>
      <c r="U450" s="100"/>
      <c r="V450" s="100"/>
      <c r="W450" s="100"/>
      <c r="X450" s="100"/>
      <c r="Y450" s="100"/>
      <c r="Z450" s="100"/>
      <c r="AA450" s="100"/>
      <c r="AB450" s="116"/>
      <c r="AC450" s="116"/>
      <c r="AD450" s="116"/>
      <c r="AG450"/>
      <c r="AH450"/>
      <c r="AI450"/>
      <c r="AJ450">
        <f>COUNTIF(T450:U450,"NS")</f>
        <v>0</v>
      </c>
      <c r="AK450">
        <f>SUM(T450:U450)</f>
        <v>0</v>
      </c>
      <c r="AL450">
        <f t="shared" si="84"/>
        <v>0</v>
      </c>
      <c r="AM450">
        <f>COUNTIF(W450:X450,"NS")</f>
        <v>0</v>
      </c>
      <c r="AN450">
        <f>SUM(W450:X450)</f>
        <v>0</v>
      </c>
      <c r="AO450">
        <f t="shared" si="87"/>
        <v>0</v>
      </c>
      <c r="AP450">
        <f>COUNTIF(Z450:AA450,"NS")</f>
        <v>0</v>
      </c>
      <c r="AQ450">
        <f>SUM(Z450:AA450)</f>
        <v>0</v>
      </c>
      <c r="AR450">
        <f t="shared" si="90"/>
        <v>0</v>
      </c>
      <c r="AS450">
        <f>COUNTIF(AC450:AD450,"NS")</f>
        <v>0</v>
      </c>
      <c r="AT450">
        <f>SUM(AC450:AD450)</f>
        <v>0</v>
      </c>
      <c r="AU450">
        <f t="shared" si="93"/>
        <v>0</v>
      </c>
    </row>
    <row r="451" spans="1:47" ht="15" customHeight="1">
      <c r="A451" s="50"/>
      <c r="B451" s="38"/>
      <c r="C451" s="44" t="s">
        <v>2519</v>
      </c>
      <c r="D451" s="869" t="s">
        <v>3902</v>
      </c>
      <c r="E451" s="870"/>
      <c r="F451" s="870"/>
      <c r="G451" s="870"/>
      <c r="H451" s="870"/>
      <c r="I451" s="870"/>
      <c r="J451" s="870"/>
      <c r="K451" s="870"/>
      <c r="L451" s="870"/>
      <c r="M451" s="870"/>
      <c r="N451" s="870"/>
      <c r="O451" s="870"/>
      <c r="P451" s="870"/>
      <c r="Q451" s="870"/>
      <c r="R451" s="870"/>
      <c r="S451" s="100"/>
      <c r="T451" s="100"/>
      <c r="U451" s="100"/>
      <c r="V451" s="100"/>
      <c r="W451" s="100"/>
      <c r="X451" s="100"/>
      <c r="Y451" s="100"/>
      <c r="Z451" s="100"/>
      <c r="AA451" s="100"/>
      <c r="AB451" s="116"/>
      <c r="AC451" s="116"/>
      <c r="AD451" s="116"/>
      <c r="AG451"/>
      <c r="AH451"/>
      <c r="AI451"/>
      <c r="AJ451">
        <f>COUNTIF(T451:U451,"NS")</f>
        <v>0</v>
      </c>
      <c r="AK451">
        <f>SUM(T451:U451)</f>
        <v>0</v>
      </c>
      <c r="AL451">
        <f t="shared" si="84"/>
        <v>0</v>
      </c>
      <c r="AM451">
        <f>COUNTIF(W451:X451,"NS")</f>
        <v>0</v>
      </c>
      <c r="AN451">
        <f>SUM(W451:X451)</f>
        <v>0</v>
      </c>
      <c r="AO451">
        <f t="shared" si="87"/>
        <v>0</v>
      </c>
      <c r="AP451">
        <f>COUNTIF(Z451:AA451,"NS")</f>
        <v>0</v>
      </c>
      <c r="AQ451">
        <f>SUM(Z451:AA451)</f>
        <v>0</v>
      </c>
      <c r="AR451">
        <f t="shared" si="90"/>
        <v>0</v>
      </c>
      <c r="AS451">
        <f>COUNTIF(AC451:AD451,"NS")</f>
        <v>0</v>
      </c>
      <c r="AT451">
        <f>SUM(AC451:AD451)</f>
        <v>0</v>
      </c>
      <c r="AU451">
        <f t="shared" si="93"/>
        <v>0</v>
      </c>
    </row>
    <row r="452" spans="1:47" ht="15" customHeight="1">
      <c r="A452" s="50"/>
      <c r="B452" s="38"/>
      <c r="C452" s="44" t="s">
        <v>2520</v>
      </c>
      <c r="D452" s="869" t="s">
        <v>3904</v>
      </c>
      <c r="E452" s="870"/>
      <c r="F452" s="870"/>
      <c r="G452" s="870"/>
      <c r="H452" s="870"/>
      <c r="I452" s="870"/>
      <c r="J452" s="870"/>
      <c r="K452" s="870"/>
      <c r="L452" s="870"/>
      <c r="M452" s="870"/>
      <c r="N452" s="870"/>
      <c r="O452" s="870"/>
      <c r="P452" s="870"/>
      <c r="Q452" s="870"/>
      <c r="R452" s="870"/>
      <c r="S452" s="100"/>
      <c r="T452" s="100"/>
      <c r="U452" s="100"/>
      <c r="V452" s="100"/>
      <c r="W452" s="100"/>
      <c r="X452" s="100"/>
      <c r="Y452" s="100"/>
      <c r="Z452" s="100"/>
      <c r="AA452" s="100"/>
      <c r="AB452" s="116"/>
      <c r="AC452" s="116"/>
      <c r="AD452" s="116"/>
      <c r="AG452"/>
      <c r="AH452"/>
      <c r="AI452"/>
      <c r="AJ452">
        <f>COUNTIF(T452:U452,"NS")</f>
        <v>0</v>
      </c>
      <c r="AK452">
        <f>SUM(T452:U452)</f>
        <v>0</v>
      </c>
      <c r="AL452">
        <f t="shared" si="84"/>
        <v>0</v>
      </c>
      <c r="AM452">
        <f>COUNTIF(W452:X452,"NS")</f>
        <v>0</v>
      </c>
      <c r="AN452">
        <f>SUM(W452:X452)</f>
        <v>0</v>
      </c>
      <c r="AO452">
        <f t="shared" si="87"/>
        <v>0</v>
      </c>
      <c r="AP452">
        <f>COUNTIF(Z452:AA452,"NS")</f>
        <v>0</v>
      </c>
      <c r="AQ452">
        <f>SUM(Z452:AA452)</f>
        <v>0</v>
      </c>
      <c r="AR452">
        <f t="shared" si="90"/>
        <v>0</v>
      </c>
      <c r="AS452">
        <f>COUNTIF(AC452:AD452,"NS")</f>
        <v>0</v>
      </c>
      <c r="AT452">
        <f>SUM(AC452:AD452)</f>
        <v>0</v>
      </c>
      <c r="AU452">
        <f t="shared" si="93"/>
        <v>0</v>
      </c>
    </row>
    <row r="453" spans="1:47" ht="15" customHeight="1">
      <c r="A453" s="50"/>
      <c r="B453" s="38"/>
      <c r="C453" s="44" t="s">
        <v>2521</v>
      </c>
      <c r="D453" s="869" t="s">
        <v>201</v>
      </c>
      <c r="E453" s="870"/>
      <c r="F453" s="870"/>
      <c r="G453" s="870"/>
      <c r="H453" s="870"/>
      <c r="I453" s="870"/>
      <c r="J453" s="870"/>
      <c r="K453" s="870"/>
      <c r="L453" s="870"/>
      <c r="M453" s="870"/>
      <c r="N453" s="870"/>
      <c r="O453" s="870"/>
      <c r="P453" s="870"/>
      <c r="Q453" s="870"/>
      <c r="R453" s="870"/>
      <c r="S453" s="100"/>
      <c r="T453" s="100"/>
      <c r="U453" s="100"/>
      <c r="V453" s="100"/>
      <c r="W453" s="100"/>
      <c r="X453" s="100"/>
      <c r="Y453" s="100"/>
      <c r="Z453" s="100"/>
      <c r="AA453" s="100"/>
      <c r="AB453" s="116"/>
      <c r="AC453" s="116"/>
      <c r="AD453" s="116"/>
      <c r="AG453"/>
      <c r="AH453"/>
      <c r="AI453"/>
      <c r="AJ453">
        <f>COUNTIF(T453:U453,"NS")</f>
        <v>0</v>
      </c>
      <c r="AK453">
        <f>SUM(T453:U453)</f>
        <v>0</v>
      </c>
      <c r="AL453">
        <f t="shared" si="84"/>
        <v>0</v>
      </c>
      <c r="AM453">
        <f>COUNTIF(W453:X453,"NS")</f>
        <v>0</v>
      </c>
      <c r="AN453">
        <f>SUM(W453:X453)</f>
        <v>0</v>
      </c>
      <c r="AO453">
        <f t="shared" si="87"/>
        <v>0</v>
      </c>
      <c r="AP453">
        <f>COUNTIF(Z453:AA453,"NS")</f>
        <v>0</v>
      </c>
      <c r="AQ453">
        <f>SUM(Z453:AA453)</f>
        <v>0</v>
      </c>
      <c r="AR453">
        <f t="shared" si="90"/>
        <v>0</v>
      </c>
      <c r="AS453">
        <f>COUNTIF(AC453:AD453,"NS")</f>
        <v>0</v>
      </c>
      <c r="AT453">
        <f>SUM(AC453:AD453)</f>
        <v>0</v>
      </c>
      <c r="AU453">
        <f t="shared" si="93"/>
        <v>0</v>
      </c>
    </row>
    <row r="454" spans="1:47">
      <c r="A454" s="50"/>
      <c r="B454" s="38"/>
      <c r="C454" s="38"/>
      <c r="D454" s="105"/>
      <c r="E454" s="105"/>
      <c r="F454" s="105"/>
      <c r="G454" s="105"/>
      <c r="H454" s="105"/>
      <c r="I454" s="38"/>
      <c r="J454" s="38"/>
      <c r="K454" s="38"/>
      <c r="M454" s="117"/>
      <c r="N454" s="117"/>
      <c r="O454" s="117"/>
      <c r="P454" s="117"/>
      <c r="Q454" s="117"/>
      <c r="R454" s="99" t="s">
        <v>2649</v>
      </c>
      <c r="S454" s="124">
        <f t="shared" ref="S454:AD454" si="94">IF(AND(SUM(S448:S453)=0,COUNTIF(S448:S453,"NS")&gt;0),"NS",IF(AND(SUM(S448:S453)=0,COUNTIF(S448:S453,0)&gt;0),0,IF(AND(SUM(S448:S453)=0,COUNTIF(S448:S453,"NA")&gt;0),"NA",SUM(S448:S453))))</f>
        <v>0</v>
      </c>
      <c r="T454" s="124">
        <f t="shared" si="94"/>
        <v>0</v>
      </c>
      <c r="U454" s="124">
        <f t="shared" si="94"/>
        <v>0</v>
      </c>
      <c r="V454" s="124">
        <f t="shared" si="94"/>
        <v>0</v>
      </c>
      <c r="W454" s="124">
        <f t="shared" si="94"/>
        <v>0</v>
      </c>
      <c r="X454" s="124">
        <f t="shared" si="94"/>
        <v>0</v>
      </c>
      <c r="Y454" s="124">
        <f t="shared" si="94"/>
        <v>0</v>
      </c>
      <c r="Z454" s="124">
        <f t="shared" si="94"/>
        <v>0</v>
      </c>
      <c r="AA454" s="124">
        <f t="shared" si="94"/>
        <v>0</v>
      </c>
      <c r="AB454" s="172">
        <f t="shared" si="94"/>
        <v>0</v>
      </c>
      <c r="AC454" s="172">
        <f t="shared" si="94"/>
        <v>0</v>
      </c>
      <c r="AD454" s="172">
        <f t="shared" si="94"/>
        <v>0</v>
      </c>
      <c r="AG454"/>
      <c r="AI454"/>
      <c r="AJ454">
        <f>SUM(AJ448:AJ453)</f>
        <v>0</v>
      </c>
      <c r="AL454">
        <f>SUM(AL448:AL453)</f>
        <v>0</v>
      </c>
      <c r="AM454">
        <f>SUM(AM448:AM453)</f>
        <v>0</v>
      </c>
      <c r="AO454">
        <f>SUM(AO448:AO453)</f>
        <v>0</v>
      </c>
      <c r="AP454">
        <f>SUM(AP448:AP453)</f>
        <v>0</v>
      </c>
      <c r="AR454">
        <f>SUM(AR448:AR453)</f>
        <v>0</v>
      </c>
      <c r="AS454">
        <f>SUM(AS448:AS453)</f>
        <v>0</v>
      </c>
      <c r="AU454">
        <f>SUM(AU448:AU453)</f>
        <v>0</v>
      </c>
    </row>
    <row r="455" spans="1:47">
      <c r="A455" s="215"/>
      <c r="B455" s="90"/>
      <c r="C455" s="222"/>
      <c r="D455" s="221"/>
      <c r="E455" s="221"/>
      <c r="F455" s="221"/>
      <c r="G455" s="221"/>
      <c r="H455" s="221"/>
      <c r="I455" s="221"/>
      <c r="J455" s="221"/>
      <c r="K455" s="221"/>
      <c r="L455" s="221"/>
      <c r="M455" s="221"/>
      <c r="N455" s="221"/>
      <c r="O455" s="221"/>
      <c r="P455" s="221"/>
      <c r="Q455" s="221"/>
      <c r="R455" s="180"/>
      <c r="S455" s="49"/>
      <c r="T455" s="49"/>
      <c r="U455" s="49"/>
      <c r="V455" s="49"/>
      <c r="W455" s="49"/>
      <c r="X455" s="49"/>
      <c r="Y455" s="49"/>
      <c r="Z455" s="49"/>
      <c r="AA455" s="49"/>
      <c r="AB455" s="49"/>
      <c r="AC455" s="49"/>
      <c r="AD455" s="49"/>
      <c r="AK455" t="s">
        <v>2650</v>
      </c>
      <c r="AL455" s="507">
        <f>SUM(AL454,AO454,AR454,AU454)</f>
        <v>0</v>
      </c>
    </row>
    <row r="456" spans="1:47" ht="24" customHeight="1">
      <c r="A456" s="50"/>
      <c r="B456" s="38"/>
      <c r="C456" s="754" t="s">
        <v>2611</v>
      </c>
      <c r="D456" s="754"/>
      <c r="E456" s="754"/>
      <c r="F456" s="754"/>
      <c r="G456" s="754"/>
      <c r="H456" s="754"/>
      <c r="I456" s="754"/>
      <c r="J456" s="754"/>
      <c r="K456" s="754"/>
      <c r="L456" s="754"/>
      <c r="M456" s="754"/>
      <c r="N456" s="754"/>
      <c r="O456" s="754"/>
      <c r="P456" s="754"/>
      <c r="Q456" s="754"/>
      <c r="R456" s="754"/>
      <c r="S456" s="754"/>
      <c r="T456" s="754"/>
      <c r="U456" s="754"/>
      <c r="V456" s="754"/>
      <c r="W456" s="754"/>
      <c r="X456" s="754"/>
      <c r="Y456" s="754"/>
      <c r="Z456" s="754"/>
      <c r="AA456" s="754"/>
      <c r="AB456" s="754"/>
      <c r="AC456" s="754"/>
      <c r="AD456" s="754"/>
    </row>
    <row r="457" spans="1:47" ht="60" customHeight="1">
      <c r="A457" s="50"/>
      <c r="B457" s="38"/>
      <c r="C457" s="851"/>
      <c r="D457" s="851"/>
      <c r="E457" s="851"/>
      <c r="F457" s="851"/>
      <c r="G457" s="851"/>
      <c r="H457" s="851"/>
      <c r="I457" s="851"/>
      <c r="J457" s="851"/>
      <c r="K457" s="851"/>
      <c r="L457" s="851"/>
      <c r="M457" s="851"/>
      <c r="N457" s="851"/>
      <c r="O457" s="851"/>
      <c r="P457" s="851"/>
      <c r="Q457" s="851"/>
      <c r="R457" s="851"/>
      <c r="S457" s="851"/>
      <c r="T457" s="851"/>
      <c r="U457" s="851"/>
      <c r="V457" s="851"/>
      <c r="W457" s="851"/>
      <c r="X457" s="851"/>
      <c r="Y457" s="851"/>
      <c r="Z457" s="851"/>
      <c r="AA457" s="851"/>
      <c r="AB457" s="851"/>
      <c r="AC457" s="851"/>
      <c r="AD457" s="851"/>
    </row>
    <row r="458" spans="1:47">
      <c r="A458" s="217"/>
      <c r="B458" s="794" t="str">
        <f>IF(AG448=0,"","Favor de ingresar toda la información requerida en la pregunta")</f>
        <v/>
      </c>
      <c r="C458" s="794"/>
      <c r="D458" s="794"/>
      <c r="E458" s="794"/>
      <c r="F458" s="794"/>
      <c r="G458" s="794"/>
      <c r="H458" s="794"/>
      <c r="I458" s="794"/>
      <c r="J458" s="794"/>
      <c r="K458" s="794"/>
      <c r="L458" s="794"/>
      <c r="M458" s="794"/>
      <c r="N458" s="794"/>
      <c r="O458" s="794"/>
      <c r="P458" s="794"/>
      <c r="Q458" s="794"/>
      <c r="R458" s="794"/>
      <c r="S458" s="794"/>
      <c r="T458" s="794"/>
      <c r="U458" s="794"/>
      <c r="V458" s="794"/>
      <c r="W458" s="794"/>
      <c r="X458" s="794"/>
      <c r="Y458" s="794"/>
      <c r="Z458" s="794"/>
      <c r="AA458" s="794"/>
      <c r="AB458" s="794"/>
      <c r="AC458" s="794"/>
      <c r="AD458" s="794"/>
      <c r="AE458" s="794"/>
    </row>
    <row r="459" spans="1:47">
      <c r="A459" s="217"/>
      <c r="B459" s="1087" t="str">
        <f>IF(COUNTIF(S448:AD453,"NS")&lt;&gt;0,"Alerta: debido a que cuenta con registros NS, debe proporcionar una justificación en el area de comentarios al final de la pregunta","")</f>
        <v/>
      </c>
      <c r="C459" s="1087"/>
      <c r="D459" s="1087"/>
      <c r="E459" s="1087"/>
      <c r="F459" s="1087"/>
      <c r="G459" s="1087"/>
      <c r="H459" s="1087"/>
      <c r="I459" s="1087"/>
      <c r="J459" s="1087"/>
      <c r="K459" s="1087"/>
      <c r="L459" s="1087"/>
      <c r="M459" s="1087"/>
      <c r="N459" s="1087"/>
      <c r="O459" s="1087"/>
      <c r="P459" s="1087"/>
      <c r="Q459" s="1087"/>
      <c r="R459" s="1087"/>
      <c r="S459" s="1087"/>
      <c r="T459" s="1087"/>
      <c r="U459" s="1087"/>
      <c r="V459" s="1087"/>
      <c r="W459" s="1087"/>
      <c r="X459" s="1087"/>
      <c r="Y459" s="1087"/>
      <c r="Z459" s="1087"/>
      <c r="AA459" s="1087"/>
      <c r="AB459" s="1087"/>
      <c r="AC459" s="1087"/>
      <c r="AD459" s="1087"/>
      <c r="AE459" s="1087"/>
    </row>
    <row r="460" spans="1:47">
      <c r="A460" s="217"/>
      <c r="B460" s="1003" t="str">
        <f>IF(AI449&gt;0,"Revise la información capturada, ya que tiene datos ingresados en celdas que están sombreadas","")</f>
        <v/>
      </c>
      <c r="C460" s="1003"/>
      <c r="D460" s="1003"/>
      <c r="E460" s="1003"/>
      <c r="F460" s="1003"/>
      <c r="G460" s="1003"/>
      <c r="H460" s="1003"/>
      <c r="I460" s="1003"/>
      <c r="J460" s="1003"/>
      <c r="K460" s="1003"/>
      <c r="L460" s="1003"/>
      <c r="M460" s="1003"/>
      <c r="N460" s="1003"/>
      <c r="O460" s="1003"/>
      <c r="P460" s="1003"/>
      <c r="Q460" s="1003"/>
      <c r="R460" s="1003"/>
      <c r="S460" s="1003"/>
      <c r="T460" s="1003"/>
      <c r="U460" s="1003"/>
      <c r="V460" s="1003"/>
      <c r="W460" s="1003"/>
      <c r="X460" s="1003"/>
      <c r="Y460" s="1003"/>
      <c r="Z460" s="1003"/>
      <c r="AA460" s="1003"/>
      <c r="AB460" s="1003"/>
      <c r="AC460" s="1003"/>
      <c r="AD460" s="1003"/>
      <c r="AE460" s="1003"/>
    </row>
    <row r="461" spans="1:47">
      <c r="A461" s="217"/>
      <c r="B461" s="1003" t="str">
        <f>IF(AL455&gt;0,"Favor de revisar la suma y consistencia de totales y/o subtotales por filas (numéricos y NS)","")</f>
        <v/>
      </c>
      <c r="C461" s="1003"/>
      <c r="D461" s="1003"/>
      <c r="E461" s="1003"/>
      <c r="F461" s="1003"/>
      <c r="G461" s="1003"/>
      <c r="H461" s="1003"/>
      <c r="I461" s="1003"/>
      <c r="J461" s="1003"/>
      <c r="K461" s="1003"/>
      <c r="L461" s="1003"/>
      <c r="M461" s="1003"/>
      <c r="N461" s="1003"/>
      <c r="O461" s="1003"/>
      <c r="P461" s="1003"/>
      <c r="Q461" s="1003"/>
      <c r="R461" s="1003"/>
      <c r="S461" s="1003"/>
      <c r="T461" s="1003"/>
      <c r="U461" s="1003"/>
      <c r="V461" s="1003"/>
      <c r="W461" s="1003"/>
      <c r="X461" s="1003"/>
      <c r="Y461" s="1003"/>
      <c r="Z461" s="1003"/>
      <c r="AA461" s="1003"/>
      <c r="AB461" s="1003"/>
      <c r="AC461" s="1003"/>
      <c r="AD461" s="1003"/>
      <c r="AE461" s="1003"/>
    </row>
    <row r="462" spans="1:47">
      <c r="A462" s="217"/>
      <c r="B462" s="794" t="str">
        <f>IF(AND(S454=J428,T454=K428,U454=L428,V454=M428,W454=N428,X454=O428,Y454=P428,Z454=Q428,AA454=R428),"","Favor de revisar la instrucción 3, debido a que no se cumplen con los criterios mencionados")</f>
        <v/>
      </c>
      <c r="C462" s="794"/>
      <c r="D462" s="794"/>
      <c r="E462" s="794"/>
      <c r="F462" s="794"/>
      <c r="G462" s="794"/>
      <c r="H462" s="794"/>
      <c r="I462" s="794"/>
      <c r="J462" s="794"/>
      <c r="K462" s="794"/>
      <c r="L462" s="794"/>
      <c r="M462" s="794"/>
      <c r="N462" s="794"/>
      <c r="O462" s="794"/>
      <c r="P462" s="794"/>
      <c r="Q462" s="794"/>
      <c r="R462" s="794"/>
      <c r="S462" s="794"/>
      <c r="T462" s="794"/>
      <c r="U462" s="794"/>
      <c r="V462" s="794"/>
      <c r="W462" s="794"/>
      <c r="X462" s="794"/>
      <c r="Y462" s="794"/>
      <c r="Z462" s="794"/>
      <c r="AA462" s="794"/>
      <c r="AB462" s="794"/>
      <c r="AC462" s="794"/>
      <c r="AD462" s="794"/>
      <c r="AE462" s="794"/>
    </row>
    <row r="463" spans="1:47">
      <c r="A463" s="217"/>
      <c r="B463" s="794" t="str">
        <f>IF(AND(AB454=S428,AC454=T428,AD454=U428),"","Favor de revisar la instrucción 4, debido a que no se cumplen con los criterios mencionados")</f>
        <v/>
      </c>
      <c r="C463" s="794"/>
      <c r="D463" s="794"/>
      <c r="E463" s="794"/>
      <c r="F463" s="794"/>
      <c r="G463" s="794"/>
      <c r="H463" s="794"/>
      <c r="I463" s="794"/>
      <c r="J463" s="794"/>
      <c r="K463" s="794"/>
      <c r="L463" s="794"/>
      <c r="M463" s="794"/>
      <c r="N463" s="794"/>
      <c r="O463" s="794"/>
      <c r="P463" s="794"/>
      <c r="Q463" s="794"/>
      <c r="R463" s="794"/>
      <c r="S463" s="794"/>
      <c r="T463" s="794"/>
      <c r="U463" s="794"/>
      <c r="V463" s="794"/>
      <c r="W463" s="794"/>
      <c r="X463" s="794"/>
      <c r="Y463" s="794"/>
      <c r="Z463" s="794"/>
      <c r="AA463" s="794"/>
      <c r="AB463" s="794"/>
      <c r="AC463" s="794"/>
      <c r="AD463" s="794"/>
      <c r="AE463" s="794"/>
    </row>
    <row r="464" spans="1:47" ht="24" customHeight="1">
      <c r="A464" s="49" t="s">
        <v>6218</v>
      </c>
      <c r="B464" s="829" t="s">
        <v>6219</v>
      </c>
      <c r="C464" s="829"/>
      <c r="D464" s="829"/>
      <c r="E464" s="829"/>
      <c r="F464" s="829"/>
      <c r="G464" s="829"/>
      <c r="H464" s="829"/>
      <c r="I464" s="829"/>
      <c r="J464" s="829"/>
      <c r="K464" s="829"/>
      <c r="L464" s="829"/>
      <c r="M464" s="829"/>
      <c r="N464" s="829"/>
      <c r="O464" s="829"/>
      <c r="P464" s="829"/>
      <c r="Q464" s="829"/>
      <c r="R464" s="829"/>
      <c r="S464" s="829"/>
      <c r="T464" s="829"/>
      <c r="U464" s="829"/>
      <c r="V464" s="829"/>
      <c r="W464" s="829"/>
      <c r="X464" s="829"/>
      <c r="Y464" s="829"/>
      <c r="Z464" s="829"/>
      <c r="AA464" s="829"/>
      <c r="AB464" s="829"/>
      <c r="AC464" s="829"/>
      <c r="AD464" s="829"/>
    </row>
    <row r="465" spans="1:47" ht="24" customHeight="1">
      <c r="A465" s="142"/>
      <c r="B465" s="57"/>
      <c r="C465" s="754" t="s">
        <v>6220</v>
      </c>
      <c r="D465" s="754"/>
      <c r="E465" s="754"/>
      <c r="F465" s="754"/>
      <c r="G465" s="754"/>
      <c r="H465" s="754"/>
      <c r="I465" s="754"/>
      <c r="J465" s="754"/>
      <c r="K465" s="754"/>
      <c r="L465" s="754"/>
      <c r="M465" s="754"/>
      <c r="N465" s="754"/>
      <c r="O465" s="754"/>
      <c r="P465" s="754"/>
      <c r="Q465" s="754"/>
      <c r="R465" s="754"/>
      <c r="S465" s="754"/>
      <c r="T465" s="754"/>
      <c r="U465" s="754"/>
      <c r="V465" s="754"/>
      <c r="W465" s="754"/>
      <c r="X465" s="754"/>
      <c r="Y465" s="754"/>
      <c r="Z465" s="754"/>
      <c r="AA465" s="754"/>
      <c r="AB465" s="754"/>
      <c r="AC465" s="754"/>
      <c r="AD465" s="754"/>
    </row>
    <row r="466" spans="1:47" ht="24" customHeight="1">
      <c r="A466" s="142"/>
      <c r="B466" s="57"/>
      <c r="C466" s="754" t="s">
        <v>6221</v>
      </c>
      <c r="D466" s="754"/>
      <c r="E466" s="754"/>
      <c r="F466" s="754"/>
      <c r="G466" s="754"/>
      <c r="H466" s="754"/>
      <c r="I466" s="754"/>
      <c r="J466" s="754"/>
      <c r="K466" s="754"/>
      <c r="L466" s="754"/>
      <c r="M466" s="754"/>
      <c r="N466" s="754"/>
      <c r="O466" s="754"/>
      <c r="P466" s="754"/>
      <c r="Q466" s="754"/>
      <c r="R466" s="754"/>
      <c r="S466" s="754"/>
      <c r="T466" s="754"/>
      <c r="U466" s="754"/>
      <c r="V466" s="754"/>
      <c r="W466" s="754"/>
      <c r="X466" s="754"/>
      <c r="Y466" s="754"/>
      <c r="Z466" s="754"/>
      <c r="AA466" s="754"/>
      <c r="AB466" s="754"/>
      <c r="AC466" s="754"/>
      <c r="AD466" s="754"/>
    </row>
    <row r="467" spans="1:47" ht="48" customHeight="1">
      <c r="A467" s="50"/>
      <c r="B467" s="38"/>
      <c r="C467" s="830" t="s">
        <v>6222</v>
      </c>
      <c r="D467" s="830"/>
      <c r="E467" s="830"/>
      <c r="F467" s="830"/>
      <c r="G467" s="830"/>
      <c r="H467" s="830"/>
      <c r="I467" s="830"/>
      <c r="J467" s="830"/>
      <c r="K467" s="830"/>
      <c r="L467" s="830"/>
      <c r="M467" s="830"/>
      <c r="N467" s="830"/>
      <c r="O467" s="830"/>
      <c r="P467" s="830"/>
      <c r="Q467" s="830"/>
      <c r="R467" s="830"/>
      <c r="S467" s="830"/>
      <c r="T467" s="830"/>
      <c r="U467" s="830"/>
      <c r="V467" s="830"/>
      <c r="W467" s="830"/>
      <c r="X467" s="830"/>
      <c r="Y467" s="830"/>
      <c r="Z467" s="830"/>
      <c r="AA467" s="830"/>
      <c r="AB467" s="830"/>
      <c r="AC467" s="830"/>
      <c r="AD467" s="830"/>
    </row>
    <row r="468" spans="1:47" ht="36" customHeight="1">
      <c r="A468" s="217"/>
      <c r="B468" s="57"/>
      <c r="C468" s="830" t="s">
        <v>6223</v>
      </c>
      <c r="D468" s="830"/>
      <c r="E468" s="830"/>
      <c r="F468" s="830"/>
      <c r="G468" s="830"/>
      <c r="H468" s="830"/>
      <c r="I468" s="830"/>
      <c r="J468" s="830"/>
      <c r="K468" s="830"/>
      <c r="L468" s="830"/>
      <c r="M468" s="830"/>
      <c r="N468" s="830"/>
      <c r="O468" s="830"/>
      <c r="P468" s="830"/>
      <c r="Q468" s="830"/>
      <c r="R468" s="830"/>
      <c r="S468" s="830"/>
      <c r="T468" s="830"/>
      <c r="U468" s="830"/>
      <c r="V468" s="830"/>
      <c r="W468" s="830"/>
      <c r="X468" s="830"/>
      <c r="Y468" s="830"/>
      <c r="Z468" s="830"/>
      <c r="AA468" s="830"/>
      <c r="AB468" s="830"/>
      <c r="AC468" s="830"/>
      <c r="AD468" s="830"/>
    </row>
    <row r="469" spans="1:47" ht="24" customHeight="1">
      <c r="A469" s="217"/>
      <c r="B469" s="57"/>
      <c r="C469" s="754" t="s">
        <v>6224</v>
      </c>
      <c r="D469" s="754"/>
      <c r="E469" s="754"/>
      <c r="F469" s="754"/>
      <c r="G469" s="754"/>
      <c r="H469" s="754"/>
      <c r="I469" s="754"/>
      <c r="J469" s="754"/>
      <c r="K469" s="754"/>
      <c r="L469" s="754"/>
      <c r="M469" s="754"/>
      <c r="N469" s="754"/>
      <c r="O469" s="754"/>
      <c r="P469" s="754"/>
      <c r="Q469" s="754"/>
      <c r="R469" s="754"/>
      <c r="S469" s="754"/>
      <c r="T469" s="754"/>
      <c r="U469" s="754"/>
      <c r="V469" s="754"/>
      <c r="W469" s="754"/>
      <c r="X469" s="754"/>
      <c r="Y469" s="754"/>
      <c r="Z469" s="754"/>
      <c r="AA469" s="754"/>
      <c r="AB469" s="754"/>
      <c r="AC469" s="754"/>
      <c r="AD469" s="754"/>
    </row>
    <row r="470" spans="1:47">
      <c r="A470" s="217"/>
      <c r="B470" s="57"/>
      <c r="C470" s="90"/>
      <c r="D470" s="90"/>
      <c r="E470" s="90"/>
      <c r="F470" s="90"/>
      <c r="G470" s="90"/>
      <c r="H470" s="90"/>
      <c r="I470" s="90"/>
      <c r="J470" s="90"/>
      <c r="K470" s="90"/>
      <c r="L470" s="90"/>
      <c r="M470" s="90"/>
      <c r="N470" s="90"/>
      <c r="O470" s="90"/>
      <c r="P470" s="90"/>
      <c r="Q470" s="90"/>
      <c r="R470" s="90"/>
      <c r="S470" s="90"/>
      <c r="T470" s="90"/>
      <c r="U470" s="90"/>
      <c r="V470" s="90"/>
      <c r="W470" s="90"/>
      <c r="X470" s="90"/>
      <c r="Y470" s="90"/>
      <c r="Z470" s="90"/>
      <c r="AA470" s="90"/>
      <c r="AB470" s="90"/>
      <c r="AC470" s="90"/>
      <c r="AD470" s="90"/>
    </row>
    <row r="471" spans="1:47" ht="36" customHeight="1">
      <c r="A471" s="50"/>
      <c r="B471" s="38"/>
      <c r="C471" s="797" t="s">
        <v>6225</v>
      </c>
      <c r="D471" s="798"/>
      <c r="E471" s="798"/>
      <c r="F471" s="798"/>
      <c r="G471" s="798"/>
      <c r="H471" s="798"/>
      <c r="I471" s="798"/>
      <c r="J471" s="798"/>
      <c r="K471" s="798"/>
      <c r="L471" s="798"/>
      <c r="M471" s="798"/>
      <c r="N471" s="798"/>
      <c r="O471" s="798"/>
      <c r="P471" s="798"/>
      <c r="Q471" s="798"/>
      <c r="R471" s="799"/>
      <c r="S471" s="739" t="s">
        <v>6213</v>
      </c>
      <c r="T471" s="740"/>
      <c r="U471" s="740"/>
      <c r="V471" s="740"/>
      <c r="W471" s="740"/>
      <c r="X471" s="740"/>
      <c r="Y471" s="740"/>
      <c r="Z471" s="740"/>
      <c r="AA471" s="740"/>
      <c r="AB471" s="740"/>
      <c r="AC471" s="740"/>
      <c r="AD471" s="741"/>
    </row>
    <row r="472" spans="1:47" ht="15" customHeight="1">
      <c r="A472" s="50"/>
      <c r="B472" s="38"/>
      <c r="C472" s="800"/>
      <c r="D472" s="801"/>
      <c r="E472" s="801"/>
      <c r="F472" s="801"/>
      <c r="G472" s="801"/>
      <c r="H472" s="801"/>
      <c r="I472" s="801"/>
      <c r="J472" s="801"/>
      <c r="K472" s="801"/>
      <c r="L472" s="801"/>
      <c r="M472" s="801"/>
      <c r="N472" s="801"/>
      <c r="O472" s="801"/>
      <c r="P472" s="801"/>
      <c r="Q472" s="801"/>
      <c r="R472" s="802"/>
      <c r="S472" s="733" t="s">
        <v>3891</v>
      </c>
      <c r="T472" s="734"/>
      <c r="U472" s="734"/>
      <c r="V472" s="734"/>
      <c r="W472" s="734"/>
      <c r="X472" s="734"/>
      <c r="Y472" s="734"/>
      <c r="Z472" s="734"/>
      <c r="AA472" s="735"/>
      <c r="AB472" s="818" t="s">
        <v>3892</v>
      </c>
      <c r="AC472" s="819"/>
      <c r="AD472" s="820"/>
      <c r="AF472" t="s">
        <v>5210</v>
      </c>
      <c r="AH472"/>
    </row>
    <row r="473" spans="1:47" ht="24" customHeight="1">
      <c r="A473" s="50"/>
      <c r="B473" s="38"/>
      <c r="C473" s="800"/>
      <c r="D473" s="801"/>
      <c r="E473" s="801"/>
      <c r="F473" s="801"/>
      <c r="G473" s="801"/>
      <c r="H473" s="801"/>
      <c r="I473" s="801"/>
      <c r="J473" s="801"/>
      <c r="K473" s="801"/>
      <c r="L473" s="801"/>
      <c r="M473" s="801"/>
      <c r="N473" s="801"/>
      <c r="O473" s="801"/>
      <c r="P473" s="801"/>
      <c r="Q473" s="801"/>
      <c r="R473" s="802"/>
      <c r="S473" s="733" t="s">
        <v>3876</v>
      </c>
      <c r="T473" s="734"/>
      <c r="U473" s="735"/>
      <c r="V473" s="733" t="s">
        <v>3877</v>
      </c>
      <c r="W473" s="734"/>
      <c r="X473" s="735"/>
      <c r="Y473" s="736" t="s">
        <v>3878</v>
      </c>
      <c r="Z473" s="736"/>
      <c r="AA473" s="736"/>
      <c r="AB473" s="824"/>
      <c r="AC473" s="825"/>
      <c r="AD473" s="826"/>
      <c r="AF473">
        <f>IF(AND(SUM(S451,V451,Y451)=0,SUM(COUNTIF(S451,"NS"),COUNTIF(V451,"NS"),COUNTIF(Y451,"NS"))&gt;0),"NS",IF(AND(SUM(S451,V451,Y451)=0,SUM(COUNTIF(S451,0),COUNTIF(V451,0),COUNTIF(Y451,0))&gt;0),0,IF(AND(SUM(S451,V451,Y451)=0,SUM(COUNTIF(S451,"NA"),COUNTIF(V451,"NA"),COUNTIF(Y451,"NA"))&gt;0),"NA",SUM(S451,V451,Y451))))</f>
        <v>0</v>
      </c>
    </row>
    <row r="474" spans="1:47" ht="48" customHeight="1">
      <c r="A474" s="50"/>
      <c r="B474" s="38"/>
      <c r="C474" s="803"/>
      <c r="D474" s="804"/>
      <c r="E474" s="804"/>
      <c r="F474" s="804"/>
      <c r="G474" s="804"/>
      <c r="H474" s="804"/>
      <c r="I474" s="804"/>
      <c r="J474" s="804"/>
      <c r="K474" s="804"/>
      <c r="L474" s="804"/>
      <c r="M474" s="804"/>
      <c r="N474" s="804"/>
      <c r="O474" s="804"/>
      <c r="P474" s="804"/>
      <c r="Q474" s="804"/>
      <c r="R474" s="805"/>
      <c r="S474" s="127" t="s">
        <v>2628</v>
      </c>
      <c r="T474" s="121" t="s">
        <v>2629</v>
      </c>
      <c r="U474" s="121" t="s">
        <v>2630</v>
      </c>
      <c r="V474" s="127" t="s">
        <v>2628</v>
      </c>
      <c r="W474" s="121" t="s">
        <v>2629</v>
      </c>
      <c r="X474" s="121" t="s">
        <v>2630</v>
      </c>
      <c r="Y474" s="127" t="s">
        <v>2628</v>
      </c>
      <c r="Z474" s="121" t="s">
        <v>2629</v>
      </c>
      <c r="AA474" s="121" t="s">
        <v>2630</v>
      </c>
      <c r="AB474" s="129" t="s">
        <v>2628</v>
      </c>
      <c r="AC474" s="128" t="s">
        <v>2629</v>
      </c>
      <c r="AD474" s="128" t="s">
        <v>2630</v>
      </c>
      <c r="AG474" t="s">
        <v>2586</v>
      </c>
      <c r="AH474" t="s">
        <v>6216</v>
      </c>
      <c r="AI474" t="s">
        <v>6217</v>
      </c>
      <c r="AJ474" t="s">
        <v>2590</v>
      </c>
      <c r="AK474" t="s">
        <v>3163</v>
      </c>
      <c r="AL474" t="s">
        <v>4564</v>
      </c>
      <c r="AM474" t="s">
        <v>2590</v>
      </c>
      <c r="AN474" t="s">
        <v>3163</v>
      </c>
      <c r="AO474" t="s">
        <v>4564</v>
      </c>
      <c r="AP474" t="s">
        <v>2590</v>
      </c>
      <c r="AQ474" t="s">
        <v>3163</v>
      </c>
      <c r="AR474" t="s">
        <v>4564</v>
      </c>
      <c r="AS474" t="s">
        <v>2590</v>
      </c>
      <c r="AT474" t="s">
        <v>3163</v>
      </c>
      <c r="AU474" t="s">
        <v>4564</v>
      </c>
    </row>
    <row r="475" spans="1:47" ht="24" customHeight="1">
      <c r="A475" s="50"/>
      <c r="B475" s="38"/>
      <c r="C475" s="92" t="s">
        <v>2516</v>
      </c>
      <c r="D475" s="869" t="s">
        <v>6226</v>
      </c>
      <c r="E475" s="870"/>
      <c r="F475" s="870"/>
      <c r="G475" s="870"/>
      <c r="H475" s="870"/>
      <c r="I475" s="870"/>
      <c r="J475" s="870"/>
      <c r="K475" s="870"/>
      <c r="L475" s="870"/>
      <c r="M475" s="870"/>
      <c r="N475" s="870"/>
      <c r="O475" s="870"/>
      <c r="P475" s="870"/>
      <c r="Q475" s="870"/>
      <c r="R475" s="871"/>
      <c r="S475" s="100"/>
      <c r="T475" s="100"/>
      <c r="U475" s="100"/>
      <c r="V475" s="100"/>
      <c r="W475" s="100"/>
      <c r="X475" s="100"/>
      <c r="Y475" s="100"/>
      <c r="Z475" s="100"/>
      <c r="AA475" s="100"/>
      <c r="AB475" s="116"/>
      <c r="AC475" s="116"/>
      <c r="AD475" s="116"/>
      <c r="AG475" s="506">
        <f>IF($AH$446=8,0,IF(AND(AND($AF$473&gt;0,$AF$473&lt;&gt;"NS",$AF$473&lt;&gt;"NA"),OR($AB$451=0,$AB$451="NS",$AB$451="NA")),IF(COUNTBLANK(S475:AA482)=0,0,1),IF(AND(OR($AF$473=0,$AF$473="NS",$AF$473="NA"),AND($AB$451&gt;0,$AB$451&lt;&gt;"NS",$AB$451&lt;&gt;"NA")),IF(COUNTBLANK(AB475:AD482)=0,0,1),IF(AND(AND($AF$473&gt;0,$AF$473&lt;&gt;"NS",$AF$473&lt;&gt;"NA"),AND($AB$451&gt;0,$AB$451&lt;&gt;"NS",$AB$451&lt;&gt;"NA")),IF(COUNTBLANK(S475:AD482)=0,0,1),0))))</f>
        <v>0</v>
      </c>
      <c r="AH475">
        <f>IF($AH$446=8,IF(COUNTA(S475:AD482)=0,0,1),0)</f>
        <v>0</v>
      </c>
      <c r="AI475">
        <f>IF($AH$446=8,0,IF(AND(AND($AF$473&gt;0,$AF$473&lt;&gt;"NS",$AF$473&lt;&gt;"NA"),OR($AB$451=0,$AB$451="NS",$AB$451="NA")),IF(OR(COUNTA(AB475:AD482)=0),0,1),IF(AND(OR($AF$473=0,$AF$473="NS",$AF$473="NA"),AND($AB$451&gt;0,$AB$451&lt;&gt;"NS",$AB$451&lt;&gt;"NA")),IF(COUNTA(S475:AA482)=0,0,1),IF(AND(OR($AF$473=0,$AF$473="NS",$AF$473="NA"),OR($AB$451=0,$AB$451="NS",$AB$451="NA")),IF(COUNTA(S475:AD482)=0,0,1),0))))</f>
        <v>0</v>
      </c>
      <c r="AJ475">
        <f t="shared" ref="AJ475:AJ482" si="95">COUNTIF(T475:U475,"NS")</f>
        <v>0</v>
      </c>
      <c r="AK475">
        <f t="shared" ref="AK475:AK482" si="96">SUM(T475:U475)</f>
        <v>0</v>
      </c>
      <c r="AL475">
        <f t="shared" ref="AL475:AL482" si="97">IF(COUNTIF(S475:U475,"NA")=3,0,IF(COUNTA(S475:U475)=0,0,IF(OR(AND(S475=0,AJ475&gt;0),AND(S475="ns",AK475&gt;0),AND(S475="ns",AJ475=0,AK475=0)),1,IF(OR(AND(S475&gt;0,AJ475=2),AND(S475="ns",AJ475=2),AND(S475="ns",AK475=0,AJ475&gt;0),S475=AK475),0,1))))</f>
        <v>0</v>
      </c>
      <c r="AM475">
        <f t="shared" ref="AM475:AM482" si="98">COUNTIF(W475:X475,"NS")</f>
        <v>0</v>
      </c>
      <c r="AN475">
        <f t="shared" ref="AN475:AN482" si="99">SUM(W475:X475)</f>
        <v>0</v>
      </c>
      <c r="AO475">
        <f t="shared" ref="AO475:AO482" si="100">IF(COUNTIF(V475:X475,"NA")=3,0,IF(COUNTA(V475:X475)=0,0,IF(OR(AND(V475=0,AM475&gt;0),AND(V475="ns",AN475&gt;0),AND(V475="ns",AM475=0,AN475=0)),1,IF(OR(AND(V475&gt;0,AM475=2),AND(V475="ns",AM475=2),AND(V475="ns",AN475=0,AM475&gt;0),V475=AN475),0,1))))</f>
        <v>0</v>
      </c>
      <c r="AP475">
        <f t="shared" ref="AP475:AP482" si="101">COUNTIF(Z475:AA475,"NS")</f>
        <v>0</v>
      </c>
      <c r="AQ475">
        <f t="shared" ref="AQ475:AQ482" si="102">SUM(Z475:AA475)</f>
        <v>0</v>
      </c>
      <c r="AR475">
        <f t="shared" ref="AR475:AR482" si="103">IF(COUNTIF(Y475:AA475,"NA")=3,0,IF(COUNTA(Y475:AA475)=0,0,IF(OR(AND(Y475=0,AP475&gt;0),AND(Y475="ns",AQ475&gt;0),AND(Y475="ns",AP475=0,AQ475=0)),1,IF(OR(AND(Y475&gt;0,AP475=2),AND(Y475="ns",AP475=2),AND(Y475="ns",AQ475=0,AP475&gt;0),Y475=AQ475),0,1))))</f>
        <v>0</v>
      </c>
      <c r="AS475">
        <f t="shared" ref="AS475:AS482" si="104">COUNTIF(AC475:AD475,"NS")</f>
        <v>0</v>
      </c>
      <c r="AT475">
        <f t="shared" ref="AT475:AT482" si="105">SUM(AC475:AD475)</f>
        <v>0</v>
      </c>
      <c r="AU475">
        <f t="shared" ref="AU475:AU482" si="106">IF(COUNTIF(AB475:AD475,"NA")=3,0,IF(COUNTA(AB475:AD475)=0,0,IF(OR(AND(AB475=0,AS475&gt;0),AND(AB475="ns",AT475&gt;0),AND(AB475="ns",AS475=0,AT475=0)),1,IF(OR(AND(AB475&gt;0,AS475=2),AND(AB475="ns",AS475=2),AND(AB475="ns",AT475=0,AS475&gt;0),AB475=AT475),0,1))))</f>
        <v>0</v>
      </c>
    </row>
    <row r="476" spans="1:47" ht="15" customHeight="1">
      <c r="A476" s="50"/>
      <c r="B476" s="38"/>
      <c r="C476" s="44" t="s">
        <v>2517</v>
      </c>
      <c r="D476" s="869" t="s">
        <v>6227</v>
      </c>
      <c r="E476" s="870"/>
      <c r="F476" s="870"/>
      <c r="G476" s="870"/>
      <c r="H476" s="870"/>
      <c r="I476" s="870"/>
      <c r="J476" s="870"/>
      <c r="K476" s="870"/>
      <c r="L476" s="870"/>
      <c r="M476" s="870"/>
      <c r="N476" s="870"/>
      <c r="O476" s="870"/>
      <c r="P476" s="870"/>
      <c r="Q476" s="870"/>
      <c r="R476" s="871"/>
      <c r="S476" s="100"/>
      <c r="T476" s="100"/>
      <c r="U476" s="100"/>
      <c r="V476" s="100"/>
      <c r="W476" s="100"/>
      <c r="X476" s="100"/>
      <c r="Y476" s="100"/>
      <c r="Z476" s="100"/>
      <c r="AA476" s="100"/>
      <c r="AB476" s="116"/>
      <c r="AC476" s="116"/>
      <c r="AD476" s="116"/>
      <c r="AG476"/>
      <c r="AH476"/>
      <c r="AI476" s="506">
        <f>SUM(AH475:AI475)</f>
        <v>0</v>
      </c>
      <c r="AJ476">
        <f t="shared" si="95"/>
        <v>0</v>
      </c>
      <c r="AK476">
        <f t="shared" si="96"/>
        <v>0</v>
      </c>
      <c r="AL476">
        <f t="shared" si="97"/>
        <v>0</v>
      </c>
      <c r="AM476">
        <f t="shared" si="98"/>
        <v>0</v>
      </c>
      <c r="AN476">
        <f t="shared" si="99"/>
        <v>0</v>
      </c>
      <c r="AO476">
        <f t="shared" si="100"/>
        <v>0</v>
      </c>
      <c r="AP476">
        <f t="shared" si="101"/>
        <v>0</v>
      </c>
      <c r="AQ476">
        <f t="shared" si="102"/>
        <v>0</v>
      </c>
      <c r="AR476">
        <f t="shared" si="103"/>
        <v>0</v>
      </c>
      <c r="AS476">
        <f t="shared" si="104"/>
        <v>0</v>
      </c>
      <c r="AT476">
        <f t="shared" si="105"/>
        <v>0</v>
      </c>
      <c r="AU476">
        <f t="shared" si="106"/>
        <v>0</v>
      </c>
    </row>
    <row r="477" spans="1:47" ht="15" customHeight="1">
      <c r="A477" s="50"/>
      <c r="B477" s="38"/>
      <c r="C477" s="44" t="s">
        <v>2518</v>
      </c>
      <c r="D477" s="869" t="s">
        <v>6228</v>
      </c>
      <c r="E477" s="870"/>
      <c r="F477" s="870"/>
      <c r="G477" s="870"/>
      <c r="H477" s="870"/>
      <c r="I477" s="870"/>
      <c r="J477" s="870"/>
      <c r="K477" s="870"/>
      <c r="L477" s="870"/>
      <c r="M477" s="870"/>
      <c r="N477" s="870"/>
      <c r="O477" s="870"/>
      <c r="P477" s="870"/>
      <c r="Q477" s="870"/>
      <c r="R477" s="871"/>
      <c r="S477" s="100"/>
      <c r="T477" s="100"/>
      <c r="U477" s="100"/>
      <c r="V477" s="100"/>
      <c r="W477" s="100"/>
      <c r="X477" s="100"/>
      <c r="Y477" s="100"/>
      <c r="Z477" s="100"/>
      <c r="AA477" s="100"/>
      <c r="AB477" s="116"/>
      <c r="AC477" s="116"/>
      <c r="AD477" s="116"/>
      <c r="AG477"/>
      <c r="AH477"/>
      <c r="AI477"/>
      <c r="AJ477">
        <f t="shared" si="95"/>
        <v>0</v>
      </c>
      <c r="AK477">
        <f t="shared" si="96"/>
        <v>0</v>
      </c>
      <c r="AL477">
        <f t="shared" si="97"/>
        <v>0</v>
      </c>
      <c r="AM477">
        <f t="shared" si="98"/>
        <v>0</v>
      </c>
      <c r="AN477">
        <f t="shared" si="99"/>
        <v>0</v>
      </c>
      <c r="AO477">
        <f t="shared" si="100"/>
        <v>0</v>
      </c>
      <c r="AP477">
        <f t="shared" si="101"/>
        <v>0</v>
      </c>
      <c r="AQ477">
        <f t="shared" si="102"/>
        <v>0</v>
      </c>
      <c r="AR477">
        <f t="shared" si="103"/>
        <v>0</v>
      </c>
      <c r="AS477">
        <f t="shared" si="104"/>
        <v>0</v>
      </c>
      <c r="AT477">
        <f t="shared" si="105"/>
        <v>0</v>
      </c>
      <c r="AU477">
        <f t="shared" si="106"/>
        <v>0</v>
      </c>
    </row>
    <row r="478" spans="1:47" ht="15" customHeight="1">
      <c r="A478" s="50"/>
      <c r="B478" s="38"/>
      <c r="C478" s="44" t="s">
        <v>2519</v>
      </c>
      <c r="D478" s="869" t="s">
        <v>6229</v>
      </c>
      <c r="E478" s="870"/>
      <c r="F478" s="870"/>
      <c r="G478" s="870"/>
      <c r="H478" s="870"/>
      <c r="I478" s="870"/>
      <c r="J478" s="870"/>
      <c r="K478" s="870"/>
      <c r="L478" s="870"/>
      <c r="M478" s="870"/>
      <c r="N478" s="870"/>
      <c r="O478" s="870"/>
      <c r="P478" s="870"/>
      <c r="Q478" s="870"/>
      <c r="R478" s="871"/>
      <c r="S478" s="100"/>
      <c r="T478" s="100"/>
      <c r="U478" s="100"/>
      <c r="V478" s="100"/>
      <c r="W478" s="100"/>
      <c r="X478" s="100"/>
      <c r="Y478" s="100"/>
      <c r="Z478" s="100"/>
      <c r="AA478" s="100"/>
      <c r="AB478" s="116"/>
      <c r="AC478" s="116"/>
      <c r="AD478" s="116"/>
      <c r="AG478"/>
      <c r="AH478"/>
      <c r="AI478"/>
      <c r="AJ478">
        <f t="shared" si="95"/>
        <v>0</v>
      </c>
      <c r="AK478">
        <f t="shared" si="96"/>
        <v>0</v>
      </c>
      <c r="AL478">
        <f t="shared" si="97"/>
        <v>0</v>
      </c>
      <c r="AM478">
        <f t="shared" si="98"/>
        <v>0</v>
      </c>
      <c r="AN478">
        <f t="shared" si="99"/>
        <v>0</v>
      </c>
      <c r="AO478">
        <f t="shared" si="100"/>
        <v>0</v>
      </c>
      <c r="AP478">
        <f t="shared" si="101"/>
        <v>0</v>
      </c>
      <c r="AQ478">
        <f t="shared" si="102"/>
        <v>0</v>
      </c>
      <c r="AR478">
        <f t="shared" si="103"/>
        <v>0</v>
      </c>
      <c r="AS478">
        <f t="shared" si="104"/>
        <v>0</v>
      </c>
      <c r="AT478">
        <f t="shared" si="105"/>
        <v>0</v>
      </c>
      <c r="AU478">
        <f t="shared" si="106"/>
        <v>0</v>
      </c>
    </row>
    <row r="479" spans="1:47" ht="15" customHeight="1">
      <c r="A479" s="50"/>
      <c r="B479" s="38"/>
      <c r="C479" s="44" t="s">
        <v>2520</v>
      </c>
      <c r="D479" s="869" t="s">
        <v>6230</v>
      </c>
      <c r="E479" s="870"/>
      <c r="F479" s="870"/>
      <c r="G479" s="870"/>
      <c r="H479" s="870"/>
      <c r="I479" s="870"/>
      <c r="J479" s="870"/>
      <c r="K479" s="870"/>
      <c r="L479" s="870"/>
      <c r="M479" s="870"/>
      <c r="N479" s="870"/>
      <c r="O479" s="870"/>
      <c r="P479" s="870"/>
      <c r="Q479" s="870"/>
      <c r="R479" s="871"/>
      <c r="S479" s="100"/>
      <c r="T479" s="100"/>
      <c r="U479" s="100"/>
      <c r="V479" s="100"/>
      <c r="W479" s="100"/>
      <c r="X479" s="100"/>
      <c r="Y479" s="100"/>
      <c r="Z479" s="100"/>
      <c r="AA479" s="100"/>
      <c r="AB479" s="116"/>
      <c r="AC479" s="116"/>
      <c r="AD479" s="116"/>
      <c r="AG479"/>
      <c r="AH479"/>
      <c r="AI479"/>
      <c r="AJ479">
        <f t="shared" si="95"/>
        <v>0</v>
      </c>
      <c r="AK479">
        <f t="shared" si="96"/>
        <v>0</v>
      </c>
      <c r="AL479">
        <f t="shared" si="97"/>
        <v>0</v>
      </c>
      <c r="AM479">
        <f t="shared" si="98"/>
        <v>0</v>
      </c>
      <c r="AN479">
        <f t="shared" si="99"/>
        <v>0</v>
      </c>
      <c r="AO479">
        <f t="shared" si="100"/>
        <v>0</v>
      </c>
      <c r="AP479">
        <f t="shared" si="101"/>
        <v>0</v>
      </c>
      <c r="AQ479">
        <f t="shared" si="102"/>
        <v>0</v>
      </c>
      <c r="AR479">
        <f t="shared" si="103"/>
        <v>0</v>
      </c>
      <c r="AS479">
        <f t="shared" si="104"/>
        <v>0</v>
      </c>
      <c r="AT479">
        <f t="shared" si="105"/>
        <v>0</v>
      </c>
      <c r="AU479">
        <f t="shared" si="106"/>
        <v>0</v>
      </c>
    </row>
    <row r="480" spans="1:47" ht="15" customHeight="1">
      <c r="A480" s="50"/>
      <c r="B480" s="38"/>
      <c r="C480" s="44" t="s">
        <v>2521</v>
      </c>
      <c r="D480" s="869" t="s">
        <v>6231</v>
      </c>
      <c r="E480" s="870"/>
      <c r="F480" s="870"/>
      <c r="G480" s="870"/>
      <c r="H480" s="870"/>
      <c r="I480" s="870"/>
      <c r="J480" s="870"/>
      <c r="K480" s="870"/>
      <c r="L480" s="870"/>
      <c r="M480" s="870"/>
      <c r="N480" s="870"/>
      <c r="O480" s="870"/>
      <c r="P480" s="870"/>
      <c r="Q480" s="870"/>
      <c r="R480" s="871"/>
      <c r="S480" s="100"/>
      <c r="T480" s="100"/>
      <c r="U480" s="100"/>
      <c r="V480" s="100"/>
      <c r="W480" s="100"/>
      <c r="X480" s="100"/>
      <c r="Y480" s="100"/>
      <c r="Z480" s="100"/>
      <c r="AA480" s="100"/>
      <c r="AB480" s="116"/>
      <c r="AC480" s="116"/>
      <c r="AD480" s="116"/>
      <c r="AG480"/>
      <c r="AH480"/>
      <c r="AI480"/>
      <c r="AJ480">
        <f t="shared" si="95"/>
        <v>0</v>
      </c>
      <c r="AK480">
        <f t="shared" si="96"/>
        <v>0</v>
      </c>
      <c r="AL480">
        <f t="shared" si="97"/>
        <v>0</v>
      </c>
      <c r="AM480">
        <f t="shared" si="98"/>
        <v>0</v>
      </c>
      <c r="AN480">
        <f t="shared" si="99"/>
        <v>0</v>
      </c>
      <c r="AO480">
        <f t="shared" si="100"/>
        <v>0</v>
      </c>
      <c r="AP480">
        <f t="shared" si="101"/>
        <v>0</v>
      </c>
      <c r="AQ480">
        <f t="shared" si="102"/>
        <v>0</v>
      </c>
      <c r="AR480">
        <f t="shared" si="103"/>
        <v>0</v>
      </c>
      <c r="AS480">
        <f t="shared" si="104"/>
        <v>0</v>
      </c>
      <c r="AT480">
        <f t="shared" si="105"/>
        <v>0</v>
      </c>
      <c r="AU480">
        <f t="shared" si="106"/>
        <v>0</v>
      </c>
    </row>
    <row r="481" spans="1:47" ht="15" customHeight="1">
      <c r="A481" s="50"/>
      <c r="B481" s="38"/>
      <c r="C481" s="44" t="s">
        <v>2522</v>
      </c>
      <c r="D481" s="869" t="s">
        <v>6232</v>
      </c>
      <c r="E481" s="870"/>
      <c r="F481" s="870"/>
      <c r="G481" s="870"/>
      <c r="H481" s="870"/>
      <c r="I481" s="870"/>
      <c r="J481" s="870"/>
      <c r="K481" s="870"/>
      <c r="L481" s="870"/>
      <c r="M481" s="870"/>
      <c r="N481" s="870"/>
      <c r="O481" s="870"/>
      <c r="P481" s="870"/>
      <c r="Q481" s="870"/>
      <c r="R481" s="871"/>
      <c r="S481" s="100"/>
      <c r="T481" s="100"/>
      <c r="U481" s="100"/>
      <c r="V481" s="100"/>
      <c r="W481" s="100"/>
      <c r="X481" s="100"/>
      <c r="Y481" s="100"/>
      <c r="Z481" s="100"/>
      <c r="AA481" s="100"/>
      <c r="AB481" s="116"/>
      <c r="AC481" s="116"/>
      <c r="AD481" s="116"/>
      <c r="AG481"/>
      <c r="AH481"/>
      <c r="AI481"/>
      <c r="AJ481">
        <f t="shared" si="95"/>
        <v>0</v>
      </c>
      <c r="AK481">
        <f t="shared" si="96"/>
        <v>0</v>
      </c>
      <c r="AL481">
        <f t="shared" si="97"/>
        <v>0</v>
      </c>
      <c r="AM481">
        <f t="shared" si="98"/>
        <v>0</v>
      </c>
      <c r="AN481">
        <f t="shared" si="99"/>
        <v>0</v>
      </c>
      <c r="AO481">
        <f t="shared" si="100"/>
        <v>0</v>
      </c>
      <c r="AP481">
        <f t="shared" si="101"/>
        <v>0</v>
      </c>
      <c r="AQ481">
        <f t="shared" si="102"/>
        <v>0</v>
      </c>
      <c r="AR481">
        <f t="shared" si="103"/>
        <v>0</v>
      </c>
      <c r="AS481">
        <f t="shared" si="104"/>
        <v>0</v>
      </c>
      <c r="AT481">
        <f t="shared" si="105"/>
        <v>0</v>
      </c>
      <c r="AU481">
        <f t="shared" si="106"/>
        <v>0</v>
      </c>
    </row>
    <row r="482" spans="1:47" ht="15" customHeight="1">
      <c r="A482" s="50"/>
      <c r="B482" s="38"/>
      <c r="C482" s="44" t="s">
        <v>2523</v>
      </c>
      <c r="D482" s="869" t="s">
        <v>6233</v>
      </c>
      <c r="E482" s="870"/>
      <c r="F482" s="870"/>
      <c r="G482" s="870"/>
      <c r="H482" s="870"/>
      <c r="I482" s="870"/>
      <c r="J482" s="870"/>
      <c r="K482" s="870"/>
      <c r="L482" s="870"/>
      <c r="M482" s="870"/>
      <c r="N482" s="870"/>
      <c r="O482" s="870"/>
      <c r="P482" s="870"/>
      <c r="Q482" s="870"/>
      <c r="R482" s="871"/>
      <c r="S482" s="100"/>
      <c r="T482" s="100"/>
      <c r="U482" s="100"/>
      <c r="V482" s="100"/>
      <c r="W482" s="100"/>
      <c r="X482" s="100"/>
      <c r="Y482" s="100"/>
      <c r="Z482" s="100"/>
      <c r="AA482" s="100"/>
      <c r="AB482" s="116"/>
      <c r="AC482" s="116"/>
      <c r="AD482" s="116"/>
      <c r="AG482"/>
      <c r="AH482"/>
      <c r="AI482"/>
      <c r="AJ482">
        <f t="shared" si="95"/>
        <v>0</v>
      </c>
      <c r="AK482">
        <f t="shared" si="96"/>
        <v>0</v>
      </c>
      <c r="AL482">
        <f t="shared" si="97"/>
        <v>0</v>
      </c>
      <c r="AM482">
        <f t="shared" si="98"/>
        <v>0</v>
      </c>
      <c r="AN482">
        <f t="shared" si="99"/>
        <v>0</v>
      </c>
      <c r="AO482">
        <f t="shared" si="100"/>
        <v>0</v>
      </c>
      <c r="AP482">
        <f t="shared" si="101"/>
        <v>0</v>
      </c>
      <c r="AQ482">
        <f t="shared" si="102"/>
        <v>0</v>
      </c>
      <c r="AR482">
        <f t="shared" si="103"/>
        <v>0</v>
      </c>
      <c r="AS482">
        <f t="shared" si="104"/>
        <v>0</v>
      </c>
      <c r="AT482">
        <f t="shared" si="105"/>
        <v>0</v>
      </c>
      <c r="AU482">
        <f t="shared" si="106"/>
        <v>0</v>
      </c>
    </row>
    <row r="483" spans="1:47">
      <c r="A483" s="50"/>
      <c r="B483" s="38"/>
      <c r="C483" s="38"/>
      <c r="D483" s="105"/>
      <c r="E483" s="105"/>
      <c r="F483" s="105"/>
      <c r="G483" s="105"/>
      <c r="H483" s="105"/>
      <c r="I483" s="38"/>
      <c r="J483" s="38"/>
      <c r="K483" s="38"/>
      <c r="M483" s="117"/>
      <c r="N483" s="117"/>
      <c r="O483" s="117"/>
      <c r="P483" s="117"/>
      <c r="Q483" s="117"/>
      <c r="R483" s="99" t="s">
        <v>2649</v>
      </c>
      <c r="S483" s="124">
        <f t="shared" ref="S483:AC483" si="107">IF(AND(SUM(S475:S482)=0,COUNTIF(S475:S482,"NS")&gt;0),"NS",IF(AND(SUM(S475:S482)=0,COUNTIF(S475:S482,0)&gt;0),0,IF(AND(SUM(S475:S482)=0,COUNTIF(S475:S482,"NA")&gt;0),"NA",SUM(S475:S482))))</f>
        <v>0</v>
      </c>
      <c r="T483" s="124">
        <f t="shared" si="107"/>
        <v>0</v>
      </c>
      <c r="U483" s="124">
        <f t="shared" si="107"/>
        <v>0</v>
      </c>
      <c r="V483" s="124">
        <f>IF(AND(SUM(V475:V482)=0,COUNTIF(V475:V482,"NS")&gt;0),"NS",IF(AND(SUM(V475:V482)=0,COUNTIF(V475:V482,0)&gt;0),0,IF(AND(SUM(V475:V482)=0,COUNTIF(V475:V482,"NA")&gt;0),"NA",SUM(V475:V482))))</f>
        <v>0</v>
      </c>
      <c r="W483" s="124">
        <f t="shared" si="107"/>
        <v>0</v>
      </c>
      <c r="X483" s="124">
        <f t="shared" si="107"/>
        <v>0</v>
      </c>
      <c r="Y483" s="124">
        <f t="shared" si="107"/>
        <v>0</v>
      </c>
      <c r="Z483" s="124">
        <f t="shared" si="107"/>
        <v>0</v>
      </c>
      <c r="AA483" s="124">
        <f t="shared" si="107"/>
        <v>0</v>
      </c>
      <c r="AB483" s="172">
        <f t="shared" si="107"/>
        <v>0</v>
      </c>
      <c r="AC483" s="172">
        <f t="shared" si="107"/>
        <v>0</v>
      </c>
      <c r="AD483" s="172">
        <f>IF(AND(SUM(AD475:AD482)=0,COUNTIF(AD475:AD482,"NS")&gt;0),"NS",IF(AND(SUM(AD475:AD482)=0,COUNTIF(AD475:AD482,0)&gt;0),0,IF(AND(SUM(AD475:AD482)=0,COUNTIF(AD475:AD482,"NA")&gt;0),"NA",SUM(AD475:AD482))))</f>
        <v>0</v>
      </c>
      <c r="AG483"/>
      <c r="AI483"/>
      <c r="AJ483">
        <f>SUM(AJ475:AJ482)</f>
        <v>0</v>
      </c>
      <c r="AL483">
        <f>SUM(AL475:AL482)</f>
        <v>0</v>
      </c>
      <c r="AM483">
        <f>SUM(AM475:AM482)</f>
        <v>0</v>
      </c>
      <c r="AO483">
        <f>SUM(AO475:AO482)</f>
        <v>0</v>
      </c>
      <c r="AP483">
        <f>SUM(AP475:AP482)</f>
        <v>0</v>
      </c>
      <c r="AR483">
        <f>SUM(AR475:AR482)</f>
        <v>0</v>
      </c>
      <c r="AS483">
        <f>SUM(AS475:AS482)</f>
        <v>0</v>
      </c>
      <c r="AU483">
        <f>SUM(AU475:AU482)</f>
        <v>0</v>
      </c>
    </row>
    <row r="484" spans="1:47">
      <c r="A484" s="217"/>
      <c r="B484" s="57"/>
      <c r="C484" s="222"/>
      <c r="D484" s="221"/>
      <c r="E484" s="221"/>
      <c r="F484" s="221"/>
      <c r="G484" s="221"/>
      <c r="H484" s="221"/>
      <c r="I484" s="221"/>
      <c r="J484" s="221"/>
      <c r="K484" s="221"/>
      <c r="L484" s="221"/>
      <c r="M484" s="221"/>
      <c r="N484" s="221"/>
      <c r="O484" s="221"/>
      <c r="P484" s="221"/>
      <c r="Q484" s="221"/>
      <c r="R484" s="180"/>
      <c r="S484" s="49"/>
      <c r="T484" s="49"/>
      <c r="U484" s="49"/>
      <c r="V484" s="49"/>
      <c r="W484" s="49"/>
      <c r="X484" s="49"/>
      <c r="Y484" s="49"/>
      <c r="Z484" s="49"/>
      <c r="AA484" s="49"/>
      <c r="AB484" s="49"/>
      <c r="AC484" s="49"/>
      <c r="AD484" s="49"/>
      <c r="AK484" t="s">
        <v>2650</v>
      </c>
      <c r="AL484" s="507">
        <f>SUM(AL483,AO483,AR483,AU483)</f>
        <v>0</v>
      </c>
    </row>
    <row r="485" spans="1:47" ht="45" customHeight="1">
      <c r="A485" s="217"/>
      <c r="B485" s="57"/>
      <c r="C485" s="822" t="s">
        <v>6234</v>
      </c>
      <c r="D485" s="822"/>
      <c r="E485" s="822"/>
      <c r="F485" s="749"/>
      <c r="G485" s="749"/>
      <c r="H485" s="749"/>
      <c r="I485" s="749"/>
      <c r="J485" s="749"/>
      <c r="K485" s="749"/>
      <c r="L485" s="749"/>
      <c r="M485" s="749"/>
      <c r="N485" s="749"/>
      <c r="O485" s="749"/>
      <c r="P485" s="749"/>
      <c r="Q485" s="749"/>
      <c r="R485" s="749"/>
      <c r="S485" s="749"/>
      <c r="T485" s="749"/>
      <c r="U485" s="749"/>
      <c r="V485" s="749"/>
      <c r="W485" s="749"/>
      <c r="X485" s="749"/>
      <c r="Y485" s="749"/>
      <c r="Z485" s="749"/>
      <c r="AA485" s="749"/>
      <c r="AB485" s="749"/>
      <c r="AC485" s="749"/>
      <c r="AD485" s="749"/>
    </row>
    <row r="486" spans="1:47">
      <c r="A486" s="217"/>
      <c r="B486" s="794" t="str">
        <f>IF(OR(AND(AB482&gt;0,AB482&lt;&gt;"NA",AB482&lt;&gt;"NS",F485=""),AND(Y482&gt;0,Y482&lt;&gt;"NA",Y482&lt;&gt;"NS",F485=""),AND(V482&gt;0,V482&lt;&gt;"NA",V482&lt;&gt;"NS",F485=""),AND(S482&gt;0,S482&lt;&gt;"NA",S482&lt;&gt;"NS",F485="")),"Debido a que cuenta con un valor mayor a cero en el numeral 8, debe anotar el nombre de dicho(s) objeto(s)","")</f>
        <v/>
      </c>
      <c r="C486" s="794"/>
      <c r="D486" s="794"/>
      <c r="E486" s="794"/>
      <c r="F486" s="794"/>
      <c r="G486" s="794"/>
      <c r="H486" s="794"/>
      <c r="I486" s="794"/>
      <c r="J486" s="794"/>
      <c r="K486" s="794"/>
      <c r="L486" s="794"/>
      <c r="M486" s="794"/>
      <c r="N486" s="794"/>
      <c r="O486" s="794"/>
      <c r="P486" s="794"/>
      <c r="Q486" s="794"/>
      <c r="R486" s="794"/>
      <c r="S486" s="794"/>
      <c r="T486" s="794"/>
      <c r="U486" s="794"/>
      <c r="V486" s="794"/>
      <c r="W486" s="794"/>
      <c r="X486" s="794"/>
      <c r="Y486" s="794"/>
      <c r="Z486" s="794"/>
      <c r="AA486" s="794"/>
      <c r="AB486" s="794"/>
      <c r="AC486" s="794"/>
      <c r="AD486" s="794"/>
      <c r="AE486" s="794"/>
    </row>
    <row r="487" spans="1:47" ht="24" customHeight="1">
      <c r="A487" s="217"/>
      <c r="B487" s="57"/>
      <c r="C487" s="754" t="s">
        <v>2611</v>
      </c>
      <c r="D487" s="754"/>
      <c r="E487" s="754"/>
      <c r="F487" s="754"/>
      <c r="G487" s="754"/>
      <c r="H487" s="754"/>
      <c r="I487" s="754"/>
      <c r="J487" s="754"/>
      <c r="K487" s="754"/>
      <c r="L487" s="754"/>
      <c r="M487" s="754"/>
      <c r="N487" s="754"/>
      <c r="O487" s="754"/>
      <c r="P487" s="754"/>
      <c r="Q487" s="754"/>
      <c r="R487" s="754"/>
      <c r="S487" s="754"/>
      <c r="T487" s="754"/>
      <c r="U487" s="754"/>
      <c r="V487" s="754"/>
      <c r="W487" s="754"/>
      <c r="X487" s="754"/>
      <c r="Y487" s="754"/>
      <c r="Z487" s="754"/>
      <c r="AA487" s="754"/>
      <c r="AB487" s="754"/>
      <c r="AC487" s="754"/>
      <c r="AD487" s="754"/>
    </row>
    <row r="488" spans="1:47" ht="60" customHeight="1">
      <c r="A488" s="217"/>
      <c r="B488" s="57"/>
      <c r="C488" s="851"/>
      <c r="D488" s="851"/>
      <c r="E488" s="851"/>
      <c r="F488" s="851"/>
      <c r="G488" s="851"/>
      <c r="H488" s="851"/>
      <c r="I488" s="851"/>
      <c r="J488" s="851"/>
      <c r="K488" s="851"/>
      <c r="L488" s="851"/>
      <c r="M488" s="851"/>
      <c r="N488" s="851"/>
      <c r="O488" s="851"/>
      <c r="P488" s="851"/>
      <c r="Q488" s="851"/>
      <c r="R488" s="851"/>
      <c r="S488" s="851"/>
      <c r="T488" s="851"/>
      <c r="U488" s="851"/>
      <c r="V488" s="851"/>
      <c r="W488" s="851"/>
      <c r="X488" s="851"/>
      <c r="Y488" s="851"/>
      <c r="Z488" s="851"/>
      <c r="AA488" s="851"/>
      <c r="AB488" s="851"/>
      <c r="AC488" s="851"/>
      <c r="AD488" s="851"/>
    </row>
    <row r="489" spans="1:47">
      <c r="A489" s="217"/>
      <c r="B489" s="794" t="str">
        <f>IF(AG475=0,"","Favor de ingresar toda la información requerida en la pregunta")</f>
        <v/>
      </c>
      <c r="C489" s="794"/>
      <c r="D489" s="794"/>
      <c r="E489" s="794"/>
      <c r="F489" s="794"/>
      <c r="G489" s="794"/>
      <c r="H489" s="794"/>
      <c r="I489" s="794"/>
      <c r="J489" s="794"/>
      <c r="K489" s="794"/>
      <c r="L489" s="794"/>
      <c r="M489" s="794"/>
      <c r="N489" s="794"/>
      <c r="O489" s="794"/>
      <c r="P489" s="794"/>
      <c r="Q489" s="794"/>
      <c r="R489" s="794"/>
      <c r="S489" s="794"/>
      <c r="T489" s="794"/>
      <c r="U489" s="794"/>
      <c r="V489" s="794"/>
      <c r="W489" s="794"/>
      <c r="X489" s="794"/>
      <c r="Y489" s="794"/>
      <c r="Z489" s="794"/>
      <c r="AA489" s="794"/>
      <c r="AB489" s="794"/>
      <c r="AC489" s="794"/>
      <c r="AD489" s="794"/>
      <c r="AE489" s="794"/>
    </row>
    <row r="490" spans="1:47">
      <c r="A490" s="217"/>
      <c r="B490" s="1087" t="str">
        <f>IF(COUNTIF(S475:AD482,"NS")&lt;&gt;0,"Alerta: debido a que cuenta con registros NS, debe proporcionar una justificación en el area de comentarios al final de la pregunta","")</f>
        <v/>
      </c>
      <c r="C490" s="1087"/>
      <c r="D490" s="1087"/>
      <c r="E490" s="1087"/>
      <c r="F490" s="1087"/>
      <c r="G490" s="1087"/>
      <c r="H490" s="1087"/>
      <c r="I490" s="1087"/>
      <c r="J490" s="1087"/>
      <c r="K490" s="1087"/>
      <c r="L490" s="1087"/>
      <c r="M490" s="1087"/>
      <c r="N490" s="1087"/>
      <c r="O490" s="1087"/>
      <c r="P490" s="1087"/>
      <c r="Q490" s="1087"/>
      <c r="R490" s="1087"/>
      <c r="S490" s="1087"/>
      <c r="T490" s="1087"/>
      <c r="U490" s="1087"/>
      <c r="V490" s="1087"/>
      <c r="W490" s="1087"/>
      <c r="X490" s="1087"/>
      <c r="Y490" s="1087"/>
      <c r="Z490" s="1087"/>
      <c r="AA490" s="1087"/>
      <c r="AB490" s="1087"/>
      <c r="AC490" s="1087"/>
      <c r="AD490" s="1087"/>
      <c r="AE490" s="1087"/>
    </row>
    <row r="491" spans="1:47">
      <c r="A491" s="217"/>
      <c r="B491" s="1003" t="str">
        <f>IF(AI476&gt;0,"Revise la información capturada, ya que tiene datos ingresados en celdas que están sombreadas","")</f>
        <v/>
      </c>
      <c r="C491" s="1003"/>
      <c r="D491" s="1003"/>
      <c r="E491" s="1003"/>
      <c r="F491" s="1003"/>
      <c r="G491" s="1003"/>
      <c r="H491" s="1003"/>
      <c r="I491" s="1003"/>
      <c r="J491" s="1003"/>
      <c r="K491" s="1003"/>
      <c r="L491" s="1003"/>
      <c r="M491" s="1003"/>
      <c r="N491" s="1003"/>
      <c r="O491" s="1003"/>
      <c r="P491" s="1003"/>
      <c r="Q491" s="1003"/>
      <c r="R491" s="1003"/>
      <c r="S491" s="1003"/>
      <c r="T491" s="1003"/>
      <c r="U491" s="1003"/>
      <c r="V491" s="1003"/>
      <c r="W491" s="1003"/>
      <c r="X491" s="1003"/>
      <c r="Y491" s="1003"/>
      <c r="Z491" s="1003"/>
      <c r="AA491" s="1003"/>
      <c r="AB491" s="1003"/>
      <c r="AC491" s="1003"/>
      <c r="AD491" s="1003"/>
      <c r="AE491" s="1003"/>
    </row>
    <row r="492" spans="1:47">
      <c r="A492" s="217"/>
      <c r="B492" s="1003" t="str">
        <f>IF(AL484&gt;0,"Favor de revisar la suma y consistencia de totales y/o subtotales por filas (numéricos y NS)","")</f>
        <v/>
      </c>
      <c r="C492" s="1003"/>
      <c r="D492" s="1003"/>
      <c r="E492" s="1003"/>
      <c r="F492" s="1003"/>
      <c r="G492" s="1003"/>
      <c r="H492" s="1003"/>
      <c r="I492" s="1003"/>
      <c r="J492" s="1003"/>
      <c r="K492" s="1003"/>
      <c r="L492" s="1003"/>
      <c r="M492" s="1003"/>
      <c r="N492" s="1003"/>
      <c r="O492" s="1003"/>
      <c r="P492" s="1003"/>
      <c r="Q492" s="1003"/>
      <c r="R492" s="1003"/>
      <c r="S492" s="1003"/>
      <c r="T492" s="1003"/>
      <c r="U492" s="1003"/>
      <c r="V492" s="1003"/>
      <c r="W492" s="1003"/>
      <c r="X492" s="1003"/>
      <c r="Y492" s="1003"/>
      <c r="Z492" s="1003"/>
      <c r="AA492" s="1003"/>
      <c r="AB492" s="1003"/>
      <c r="AC492" s="1003"/>
      <c r="AD492" s="1003"/>
      <c r="AE492" s="1003"/>
    </row>
    <row r="493" spans="1:47">
      <c r="A493" s="215"/>
      <c r="B493" s="795" t="str">
        <f>IF(AND(S483=S451,T483=T451,U483=U451,V483=V451,W483=W451,X483=X451,Y483=Y451,Z483=Z451,AA483=AA451),"","Alerta: debe de proporcionar una justificación de acuerdo a lo establecido en la instrucción 3")</f>
        <v/>
      </c>
      <c r="C493" s="795"/>
      <c r="D493" s="795"/>
      <c r="E493" s="795"/>
      <c r="F493" s="795"/>
      <c r="G493" s="795"/>
      <c r="H493" s="795"/>
      <c r="I493" s="795"/>
      <c r="J493" s="795"/>
      <c r="K493" s="795"/>
      <c r="L493" s="795"/>
      <c r="M493" s="795"/>
      <c r="N493" s="795"/>
      <c r="O493" s="795"/>
      <c r="P493" s="795"/>
      <c r="Q493" s="795"/>
      <c r="R493" s="795"/>
      <c r="S493" s="795"/>
      <c r="T493" s="795"/>
      <c r="U493" s="795"/>
      <c r="V493" s="795"/>
      <c r="W493" s="795"/>
      <c r="X493" s="795"/>
      <c r="Y493" s="795"/>
      <c r="Z493" s="795"/>
      <c r="AA493" s="795"/>
      <c r="AB493" s="795"/>
      <c r="AC493" s="795"/>
      <c r="AD493" s="795"/>
      <c r="AE493" s="795"/>
    </row>
    <row r="494" spans="1:47" ht="15.75" thickBot="1">
      <c r="A494" s="215"/>
      <c r="B494" s="795" t="str">
        <f>IF(AND(AB483=AB451,AC483=AC451,AD483=AD451),"","Alerta: debe de proporcionar una justificación de acuerdo a lo establecido en la instrucción 4")</f>
        <v/>
      </c>
      <c r="C494" s="795"/>
      <c r="D494" s="795"/>
      <c r="E494" s="795"/>
      <c r="F494" s="795"/>
      <c r="G494" s="795"/>
      <c r="H494" s="795"/>
      <c r="I494" s="795"/>
      <c r="J494" s="795"/>
      <c r="K494" s="795"/>
      <c r="L494" s="795"/>
      <c r="M494" s="795"/>
      <c r="N494" s="795"/>
      <c r="O494" s="795"/>
      <c r="P494" s="795"/>
      <c r="Q494" s="795"/>
      <c r="R494" s="795"/>
      <c r="S494" s="795"/>
      <c r="T494" s="795"/>
      <c r="U494" s="795"/>
      <c r="V494" s="795"/>
      <c r="W494" s="795"/>
      <c r="X494" s="795"/>
      <c r="Y494" s="795"/>
      <c r="Z494" s="795"/>
      <c r="AA494" s="795"/>
      <c r="AB494" s="795"/>
      <c r="AC494" s="795"/>
      <c r="AD494" s="795"/>
      <c r="AE494" s="795"/>
    </row>
    <row r="495" spans="1:47" customFormat="1" ht="15" customHeight="1" thickBot="1">
      <c r="A495" s="19" t="s">
        <v>2563</v>
      </c>
      <c r="B495" s="1137" t="s">
        <v>6235</v>
      </c>
      <c r="C495" s="1138"/>
      <c r="D495" s="1138"/>
      <c r="E495" s="1138"/>
      <c r="F495" s="1138"/>
      <c r="G495" s="1138"/>
      <c r="H495" s="1138"/>
      <c r="I495" s="1138"/>
      <c r="J495" s="1138"/>
      <c r="K495" s="1138"/>
      <c r="L495" s="1138"/>
      <c r="M495" s="1138"/>
      <c r="N495" s="1138"/>
      <c r="O495" s="1138"/>
      <c r="P495" s="1138"/>
      <c r="Q495" s="1138"/>
      <c r="R495" s="1138"/>
      <c r="S495" s="1138"/>
      <c r="T495" s="1138"/>
      <c r="U495" s="1138"/>
      <c r="V495" s="1138"/>
      <c r="W495" s="1138"/>
      <c r="X495" s="1138"/>
      <c r="Y495" s="1138"/>
      <c r="Z495" s="1138"/>
      <c r="AA495" s="1138"/>
      <c r="AB495" s="1138"/>
      <c r="AC495" s="1138"/>
      <c r="AD495" s="1139"/>
      <c r="AE495" s="3"/>
    </row>
    <row r="496" spans="1:47" ht="15" customHeight="1">
      <c r="A496" s="119"/>
      <c r="B496" s="946" t="s">
        <v>3388</v>
      </c>
      <c r="C496" s="867"/>
      <c r="D496" s="867"/>
      <c r="E496" s="867"/>
      <c r="F496" s="867"/>
      <c r="G496" s="867"/>
      <c r="H496" s="867"/>
      <c r="I496" s="867"/>
      <c r="J496" s="867"/>
      <c r="K496" s="867"/>
      <c r="L496" s="867"/>
      <c r="M496" s="867"/>
      <c r="N496" s="867"/>
      <c r="O496" s="867"/>
      <c r="P496" s="867"/>
      <c r="Q496" s="867"/>
      <c r="R496" s="867"/>
      <c r="S496" s="867"/>
      <c r="T496" s="867"/>
      <c r="U496" s="867"/>
      <c r="V496" s="867"/>
      <c r="W496" s="867"/>
      <c r="X496" s="867"/>
      <c r="Y496" s="867"/>
      <c r="Z496" s="867"/>
      <c r="AA496" s="867"/>
      <c r="AB496" s="867"/>
      <c r="AC496" s="867"/>
      <c r="AD496" s="947"/>
    </row>
    <row r="497" spans="1:48" ht="36" customHeight="1">
      <c r="A497" s="119"/>
      <c r="B497" s="101"/>
      <c r="C497" s="881" t="s">
        <v>6236</v>
      </c>
      <c r="D497" s="881"/>
      <c r="E497" s="881"/>
      <c r="F497" s="881"/>
      <c r="G497" s="881"/>
      <c r="H497" s="881"/>
      <c r="I497" s="881"/>
      <c r="J497" s="881"/>
      <c r="K497" s="881"/>
      <c r="L497" s="881"/>
      <c r="M497" s="881"/>
      <c r="N497" s="881"/>
      <c r="O497" s="881"/>
      <c r="P497" s="881"/>
      <c r="Q497" s="881"/>
      <c r="R497" s="881"/>
      <c r="S497" s="881"/>
      <c r="T497" s="881"/>
      <c r="U497" s="881"/>
      <c r="V497" s="881"/>
      <c r="W497" s="881"/>
      <c r="X497" s="881"/>
      <c r="Y497" s="881"/>
      <c r="Z497" s="881"/>
      <c r="AA497" s="881"/>
      <c r="AB497" s="881"/>
      <c r="AC497" s="881"/>
      <c r="AD497" s="1128"/>
    </row>
    <row r="498" spans="1:48" ht="36" customHeight="1">
      <c r="A498" s="119"/>
      <c r="B498" s="209"/>
      <c r="C498" s="1004" t="s">
        <v>6237</v>
      </c>
      <c r="D498" s="1004"/>
      <c r="E498" s="1004"/>
      <c r="F498" s="1004"/>
      <c r="G498" s="1004"/>
      <c r="H498" s="1004"/>
      <c r="I498" s="1004"/>
      <c r="J498" s="1004"/>
      <c r="K498" s="1004"/>
      <c r="L498" s="1004"/>
      <c r="M498" s="1004"/>
      <c r="N498" s="1004"/>
      <c r="O498" s="1004"/>
      <c r="P498" s="1004"/>
      <c r="Q498" s="1004"/>
      <c r="R498" s="1004"/>
      <c r="S498" s="1004"/>
      <c r="T498" s="1004"/>
      <c r="U498" s="1004"/>
      <c r="V498" s="1004"/>
      <c r="W498" s="1004"/>
      <c r="X498" s="1004"/>
      <c r="Y498" s="1004"/>
      <c r="Z498" s="1004"/>
      <c r="AA498" s="1004"/>
      <c r="AB498" s="1004"/>
      <c r="AC498" s="1004"/>
      <c r="AD498" s="1005"/>
    </row>
    <row r="499" spans="1:48">
      <c r="A499" s="119"/>
      <c r="B499" s="838" t="s">
        <v>3332</v>
      </c>
      <c r="C499" s="839"/>
      <c r="D499" s="839"/>
      <c r="E499" s="839"/>
      <c r="F499" s="839"/>
      <c r="G499" s="839"/>
      <c r="H499" s="839"/>
      <c r="I499" s="839"/>
      <c r="J499" s="839"/>
      <c r="K499" s="839"/>
      <c r="L499" s="839"/>
      <c r="M499" s="839"/>
      <c r="N499" s="839"/>
      <c r="O499" s="839"/>
      <c r="P499" s="839"/>
      <c r="Q499" s="839"/>
      <c r="R499" s="839"/>
      <c r="S499" s="839"/>
      <c r="T499" s="839"/>
      <c r="U499" s="839"/>
      <c r="V499" s="839"/>
      <c r="W499" s="839"/>
      <c r="X499" s="839"/>
      <c r="Y499" s="839"/>
      <c r="Z499" s="839"/>
      <c r="AA499" s="839"/>
      <c r="AB499" s="839"/>
      <c r="AC499" s="839"/>
      <c r="AD499" s="840"/>
    </row>
    <row r="500" spans="1:48" ht="24" customHeight="1">
      <c r="B500" s="80"/>
      <c r="C500" s="764" t="s">
        <v>3853</v>
      </c>
      <c r="D500" s="876"/>
      <c r="E500" s="876"/>
      <c r="F500" s="876"/>
      <c r="G500" s="876"/>
      <c r="H500" s="876"/>
      <c r="I500" s="876"/>
      <c r="J500" s="876"/>
      <c r="K500" s="876"/>
      <c r="L500" s="876"/>
      <c r="M500" s="876"/>
      <c r="N500" s="876"/>
      <c r="O500" s="876"/>
      <c r="P500" s="876"/>
      <c r="Q500" s="876"/>
      <c r="R500" s="876"/>
      <c r="S500" s="876"/>
      <c r="T500" s="876"/>
      <c r="U500" s="876"/>
      <c r="V500" s="876"/>
      <c r="W500" s="876"/>
      <c r="X500" s="876"/>
      <c r="Y500" s="876"/>
      <c r="Z500" s="876"/>
      <c r="AA500" s="876"/>
      <c r="AB500" s="876"/>
      <c r="AC500" s="876"/>
      <c r="AD500" s="877"/>
    </row>
    <row r="501" spans="1:48">
      <c r="A501" s="119"/>
    </row>
    <row r="502" spans="1:48" ht="36" customHeight="1">
      <c r="A502" s="49" t="s">
        <v>6238</v>
      </c>
      <c r="B502" s="829" t="s">
        <v>6239</v>
      </c>
      <c r="C502" s="829"/>
      <c r="D502" s="829"/>
      <c r="E502" s="829"/>
      <c r="F502" s="829"/>
      <c r="G502" s="829"/>
      <c r="H502" s="829"/>
      <c r="I502" s="829"/>
      <c r="J502" s="829"/>
      <c r="K502" s="829"/>
      <c r="L502" s="829"/>
      <c r="M502" s="829"/>
      <c r="N502" s="829"/>
      <c r="O502" s="829"/>
      <c r="P502" s="829"/>
      <c r="Q502" s="829"/>
      <c r="R502" s="829"/>
      <c r="S502" s="829"/>
      <c r="T502" s="829"/>
      <c r="U502" s="829"/>
      <c r="V502" s="829"/>
      <c r="W502" s="829"/>
      <c r="X502" s="829"/>
      <c r="Y502" s="829"/>
      <c r="Z502" s="829"/>
      <c r="AA502" s="829"/>
      <c r="AB502" s="829"/>
      <c r="AC502" s="829"/>
      <c r="AD502" s="829"/>
    </row>
    <row r="503" spans="1:48" ht="24" customHeight="1">
      <c r="A503" s="49"/>
      <c r="B503" s="105"/>
      <c r="C503" s="754" t="s">
        <v>6240</v>
      </c>
      <c r="D503" s="754"/>
      <c r="E503" s="754"/>
      <c r="F503" s="754"/>
      <c r="G503" s="754"/>
      <c r="H503" s="754"/>
      <c r="I503" s="754"/>
      <c r="J503" s="754"/>
      <c r="K503" s="754"/>
      <c r="L503" s="754"/>
      <c r="M503" s="754"/>
      <c r="N503" s="754"/>
      <c r="O503" s="754"/>
      <c r="P503" s="754"/>
      <c r="Q503" s="754"/>
      <c r="R503" s="754"/>
      <c r="S503" s="754"/>
      <c r="T503" s="754"/>
      <c r="U503" s="754"/>
      <c r="V503" s="754"/>
      <c r="W503" s="754"/>
      <c r="X503" s="754"/>
      <c r="Y503" s="754"/>
      <c r="Z503" s="754"/>
      <c r="AA503" s="754"/>
      <c r="AB503" s="754"/>
      <c r="AC503" s="754"/>
      <c r="AD503" s="754"/>
    </row>
    <row r="504" spans="1:48" ht="15" customHeight="1">
      <c r="A504" s="217"/>
      <c r="B504" s="57"/>
      <c r="C504" s="75"/>
      <c r="D504" s="86"/>
      <c r="E504" s="86"/>
      <c r="F504" s="86"/>
      <c r="G504" s="86"/>
      <c r="H504" s="86"/>
      <c r="I504" s="86"/>
      <c r="J504" s="86"/>
      <c r="K504" s="86"/>
      <c r="L504" s="86"/>
      <c r="M504" s="86"/>
      <c r="N504" s="86"/>
      <c r="O504" s="86"/>
      <c r="P504" s="86"/>
      <c r="Q504" s="86"/>
      <c r="R504" s="86"/>
      <c r="S504" s="86"/>
      <c r="T504" s="86"/>
      <c r="U504" s="86"/>
      <c r="V504" s="86"/>
      <c r="W504" s="86"/>
      <c r="X504" s="86"/>
      <c r="Y504" s="86"/>
      <c r="Z504" s="86"/>
      <c r="AA504" s="86"/>
      <c r="AB504" s="86"/>
      <c r="AC504" s="86"/>
      <c r="AD504" s="86"/>
    </row>
    <row r="505" spans="1:48">
      <c r="A505" s="217"/>
      <c r="B505" s="57"/>
      <c r="C505" s="220"/>
      <c r="D505" s="221"/>
      <c r="E505" s="221"/>
      <c r="F505" s="221"/>
      <c r="G505" s="221"/>
      <c r="H505" s="221"/>
      <c r="I505" s="221"/>
      <c r="J505" s="221"/>
      <c r="K505" s="221"/>
      <c r="L505" s="221"/>
      <c r="M505" s="221"/>
      <c r="N505" s="221"/>
      <c r="O505" s="221"/>
      <c r="P505" s="221"/>
      <c r="Q505" s="221"/>
      <c r="R505" s="180"/>
      <c r="S505" s="49"/>
      <c r="T505" s="49"/>
      <c r="U505" s="49"/>
      <c r="V505" s="49"/>
      <c r="W505" s="49"/>
      <c r="X505" s="49"/>
      <c r="Y505" s="49"/>
      <c r="Z505" s="49"/>
      <c r="AA505" s="875" t="s">
        <v>2664</v>
      </c>
      <c r="AB505" s="875"/>
      <c r="AC505" s="875"/>
      <c r="AD505" s="875"/>
    </row>
    <row r="506" spans="1:48" ht="24" customHeight="1">
      <c r="A506" s="217"/>
      <c r="B506" s="57"/>
      <c r="C506" s="797" t="s">
        <v>2581</v>
      </c>
      <c r="D506" s="798"/>
      <c r="E506" s="798"/>
      <c r="F506" s="798"/>
      <c r="G506" s="798"/>
      <c r="H506" s="798"/>
      <c r="I506" s="798"/>
      <c r="J506" s="798"/>
      <c r="K506" s="798"/>
      <c r="L506" s="799"/>
      <c r="M506" s="797" t="s">
        <v>6241</v>
      </c>
      <c r="N506" s="798"/>
      <c r="O506" s="798"/>
      <c r="P506" s="798"/>
      <c r="Q506" s="798"/>
      <c r="R506" s="799"/>
      <c r="S506" s="739" t="s">
        <v>6242</v>
      </c>
      <c r="T506" s="740"/>
      <c r="U506" s="740"/>
      <c r="V506" s="740"/>
      <c r="W506" s="740"/>
      <c r="X506" s="740"/>
      <c r="Y506" s="740"/>
      <c r="Z506" s="740"/>
      <c r="AA506" s="740"/>
      <c r="AB506" s="740"/>
      <c r="AC506" s="740"/>
      <c r="AD506" s="741"/>
    </row>
    <row r="507" spans="1:48">
      <c r="A507" s="217"/>
      <c r="B507" s="57"/>
      <c r="C507" s="800"/>
      <c r="D507" s="801"/>
      <c r="E507" s="801"/>
      <c r="F507" s="801"/>
      <c r="G507" s="801"/>
      <c r="H507" s="801"/>
      <c r="I507" s="801"/>
      <c r="J507" s="801"/>
      <c r="K507" s="801"/>
      <c r="L507" s="802"/>
      <c r="M507" s="800"/>
      <c r="N507" s="801"/>
      <c r="O507" s="801"/>
      <c r="P507" s="801"/>
      <c r="Q507" s="801"/>
      <c r="R507" s="802"/>
      <c r="S507" s="887" t="s">
        <v>2628</v>
      </c>
      <c r="T507" s="889" t="s">
        <v>2629</v>
      </c>
      <c r="U507" s="889" t="s">
        <v>2630</v>
      </c>
      <c r="V507" s="736" t="s">
        <v>3891</v>
      </c>
      <c r="W507" s="736"/>
      <c r="X507" s="736"/>
      <c r="Y507" s="736"/>
      <c r="Z507" s="736"/>
      <c r="AA507" s="736"/>
      <c r="AB507" s="736"/>
      <c r="AC507" s="736"/>
      <c r="AD507" s="736"/>
    </row>
    <row r="508" spans="1:48" ht="24" customHeight="1">
      <c r="A508" s="217"/>
      <c r="B508" s="57"/>
      <c r="C508" s="800"/>
      <c r="D508" s="801"/>
      <c r="E508" s="801"/>
      <c r="F508" s="801"/>
      <c r="G508" s="801"/>
      <c r="H508" s="801"/>
      <c r="I508" s="801"/>
      <c r="J508" s="801"/>
      <c r="K508" s="801"/>
      <c r="L508" s="802"/>
      <c r="M508" s="800"/>
      <c r="N508" s="801"/>
      <c r="O508" s="801"/>
      <c r="P508" s="801"/>
      <c r="Q508" s="801"/>
      <c r="R508" s="802"/>
      <c r="S508" s="958"/>
      <c r="T508" s="959"/>
      <c r="U508" s="959"/>
      <c r="V508" s="736" t="s">
        <v>3876</v>
      </c>
      <c r="W508" s="736"/>
      <c r="X508" s="736"/>
      <c r="Y508" s="736" t="s">
        <v>3877</v>
      </c>
      <c r="Z508" s="736"/>
      <c r="AA508" s="736"/>
      <c r="AB508" s="736" t="s">
        <v>3878</v>
      </c>
      <c r="AC508" s="736"/>
      <c r="AD508" s="736"/>
    </row>
    <row r="509" spans="1:48" ht="48" customHeight="1">
      <c r="A509" s="217"/>
      <c r="B509" s="57"/>
      <c r="C509" s="803"/>
      <c r="D509" s="804"/>
      <c r="E509" s="804"/>
      <c r="F509" s="804"/>
      <c r="G509" s="804"/>
      <c r="H509" s="804"/>
      <c r="I509" s="804"/>
      <c r="J509" s="804"/>
      <c r="K509" s="804"/>
      <c r="L509" s="805"/>
      <c r="M509" s="803"/>
      <c r="N509" s="804"/>
      <c r="O509" s="804"/>
      <c r="P509" s="804"/>
      <c r="Q509" s="804"/>
      <c r="R509" s="805"/>
      <c r="S509" s="888"/>
      <c r="T509" s="890"/>
      <c r="U509" s="890"/>
      <c r="V509" s="127" t="s">
        <v>2635</v>
      </c>
      <c r="W509" s="128" t="s">
        <v>2629</v>
      </c>
      <c r="X509" s="128" t="s">
        <v>2630</v>
      </c>
      <c r="Y509" s="127" t="s">
        <v>2635</v>
      </c>
      <c r="Z509" s="128" t="s">
        <v>2629</v>
      </c>
      <c r="AA509" s="128" t="s">
        <v>2630</v>
      </c>
      <c r="AB509" s="127" t="s">
        <v>2635</v>
      </c>
      <c r="AC509" s="128" t="s">
        <v>2629</v>
      </c>
      <c r="AD509" s="128" t="s">
        <v>2630</v>
      </c>
      <c r="AF509" t="s">
        <v>4713</v>
      </c>
      <c r="AG509" t="s">
        <v>2586</v>
      </c>
      <c r="AH509" t="s">
        <v>5940</v>
      </c>
      <c r="AI509"/>
      <c r="AJ509"/>
      <c r="AK509" t="s">
        <v>4573</v>
      </c>
      <c r="AL509" t="s">
        <v>2638</v>
      </c>
      <c r="AM509" t="s">
        <v>2639</v>
      </c>
      <c r="AN509" t="s">
        <v>4574</v>
      </c>
      <c r="AO509" t="s">
        <v>2641</v>
      </c>
      <c r="AP509" t="s">
        <v>2642</v>
      </c>
      <c r="AQ509" t="s">
        <v>4575</v>
      </c>
      <c r="AR509" t="s">
        <v>2644</v>
      </c>
      <c r="AS509" t="s">
        <v>2645</v>
      </c>
      <c r="AT509" t="s">
        <v>4576</v>
      </c>
      <c r="AU509" t="s">
        <v>2647</v>
      </c>
      <c r="AV509" t="s">
        <v>2648</v>
      </c>
    </row>
    <row r="510" spans="1:48">
      <c r="A510" s="217"/>
      <c r="B510" s="57"/>
      <c r="C510" s="92" t="s">
        <v>2516</v>
      </c>
      <c r="D510" s="796" t="str">
        <f>IF(CNSIPEE_2024_M2_Secc1!D42="","",CNSIPEE_2024_M2_Secc1!D42)</f>
        <v/>
      </c>
      <c r="E510" s="796"/>
      <c r="F510" s="796"/>
      <c r="G510" s="796"/>
      <c r="H510" s="796"/>
      <c r="I510" s="796"/>
      <c r="J510" s="796"/>
      <c r="K510" s="796"/>
      <c r="L510" s="796"/>
      <c r="M510" s="816"/>
      <c r="N510" s="738"/>
      <c r="O510" s="738"/>
      <c r="P510" s="738"/>
      <c r="Q510" s="738"/>
      <c r="R510" s="817"/>
      <c r="S510" s="100"/>
      <c r="T510" s="100"/>
      <c r="U510" s="100"/>
      <c r="V510" s="100"/>
      <c r="W510" s="100"/>
      <c r="X510" s="100"/>
      <c r="Y510" s="100"/>
      <c r="Z510" s="100"/>
      <c r="AA510" s="100"/>
      <c r="AB510" s="100"/>
      <c r="AC510" s="100"/>
      <c r="AD510" s="100"/>
      <c r="AF510">
        <f t="shared" ref="AF510:AF517" si="108">IF(AND(M510=1,S510=0),1,0)</f>
        <v>0</v>
      </c>
      <c r="AG510">
        <f>IF(SUM(COUNTBLANK(D510:AD510),COUNTBLANK(P525:AD525))=42,0,IF(D510="",1,IF(M510&gt;1,0,IF(AND(COUNTA(S510:AD510,P525:AD525)=27,M510=1),0,1))))</f>
        <v>0</v>
      </c>
      <c r="AH510">
        <f t="shared" ref="AH510:AH517" si="109">IF(M510&gt;1,IF(COUNTA(S510:AD510,P525:AD525)=0,0,1),0)</f>
        <v>0</v>
      </c>
      <c r="AI510"/>
      <c r="AJ510"/>
      <c r="AK510">
        <f t="shared" ref="AK510:AK517" si="110">COUNTIF(T510:U510,"NS")</f>
        <v>0</v>
      </c>
      <c r="AL510">
        <f t="shared" ref="AL510:AL517" si="111">SUM(T510:U510)</f>
        <v>0</v>
      </c>
      <c r="AM510">
        <f t="shared" ref="AM510:AM517" si="112">IF(COUNTIF(S510:U510,"NA")=3,0,IF(COUNTA(S510:U510)=0,0,IF(OR(AND(S510=0,AK510&gt;0),AND(S510="ns",AL510&gt;0),AND(S510="ns",AK510=0,AL510=0)),1,IF(OR(AND(S510&gt;0,AK510=2),AND(S510="ns",AK510=2),AND(S510="ns",AL510=0,AK510&gt;0),S510=AL510),0,1))))</f>
        <v>0</v>
      </c>
      <c r="AN510">
        <f t="shared" ref="AN510:AN517" si="113">COUNTIF(W510:X510,"NS")</f>
        <v>0</v>
      </c>
      <c r="AO510">
        <f t="shared" ref="AO510:AO517" si="114">SUM(W510:X510)</f>
        <v>0</v>
      </c>
      <c r="AP510">
        <f t="shared" ref="AP510:AP517" si="115">IF(COUNTIF(V510:X510,"NA")=3,0,IF(COUNTA(V510:X510)=0,0,IF(OR(AND(V510=0,AN510&gt;0),AND(V510="ns",AO510&gt;0),AND(V510="ns",AN510=0,AO510=0)),1,IF(OR(AND(V510&gt;0,AN510=2),AND(V510="ns",AN510=2),AND(V510="ns",AO510=0,AN510&gt;0),V510=AO510),0,1))))</f>
        <v>0</v>
      </c>
      <c r="AQ510">
        <f t="shared" ref="AQ510:AQ517" si="116">COUNTIF(Z510:AA510,"NS")</f>
        <v>0</v>
      </c>
      <c r="AR510">
        <f t="shared" ref="AR510:AR517" si="117">SUM(Z510:AA510)</f>
        <v>0</v>
      </c>
      <c r="AS510">
        <f t="shared" ref="AS510:AS517" si="118">IF(COUNTIF(Y510:AA510,"NA")=3,0,IF(COUNTA(Y510:AA510)=0,0,IF(OR(AND(Y510=0,AQ510&gt;0),AND(Y510="ns",AR510&gt;0),AND(Y510="ns",AQ510=0,AR510=0)),1,IF(OR(AND(Y510&gt;0,AQ510=2),AND(Y510="ns",AQ510=2),AND(Y510="ns",AR510=0,AQ510&gt;0),Y510=AR510),0,1))))</f>
        <v>0</v>
      </c>
      <c r="AT510">
        <f t="shared" ref="AT510:AT517" si="119">COUNTIF(AC510:AD510,"NS")</f>
        <v>0</v>
      </c>
      <c r="AU510">
        <f t="shared" ref="AU510:AU517" si="120">SUM(AC510:AD510)</f>
        <v>0</v>
      </c>
      <c r="AV510">
        <f t="shared" ref="AV510:AV517" si="121">IF(COUNTIF(AB510:AD510,"NA")=3,0,IF(COUNTA(AB510:AD510)=0,0,IF(OR(AND(AB510=0,AT510&gt;0),AND(AB510="ns",AU510&gt;0),AND(AB510="ns",AT510=0,AU510=0)),1,IF(OR(AND(AB510&gt;0,AT510=2),AND(AB510="ns",AT510=2),AND(AB510="ns",AU510=0,AT510&gt;0),AB510=AU510),0,1))))</f>
        <v>0</v>
      </c>
    </row>
    <row r="511" spans="1:48">
      <c r="A511" s="217"/>
      <c r="B511" s="57"/>
      <c r="C511" s="44" t="s">
        <v>2517</v>
      </c>
      <c r="D511" s="796" t="str">
        <f>IF(CNSIPEE_2024_M2_Secc1!D43="","",CNSIPEE_2024_M2_Secc1!D43)</f>
        <v/>
      </c>
      <c r="E511" s="796"/>
      <c r="F511" s="796"/>
      <c r="G511" s="796"/>
      <c r="H511" s="796"/>
      <c r="I511" s="796"/>
      <c r="J511" s="796"/>
      <c r="K511" s="796"/>
      <c r="L511" s="796"/>
      <c r="M511" s="816"/>
      <c r="N511" s="738"/>
      <c r="O511" s="738"/>
      <c r="P511" s="738"/>
      <c r="Q511" s="738"/>
      <c r="R511" s="817"/>
      <c r="S511" s="100"/>
      <c r="T511" s="100"/>
      <c r="U511" s="100"/>
      <c r="V511" s="100"/>
      <c r="W511" s="100"/>
      <c r="X511" s="100"/>
      <c r="Y511" s="100"/>
      <c r="Z511" s="100"/>
      <c r="AA511" s="100"/>
      <c r="AB511" s="100"/>
      <c r="AC511" s="100"/>
      <c r="AD511" s="100"/>
      <c r="AF511">
        <f t="shared" si="108"/>
        <v>0</v>
      </c>
      <c r="AG511">
        <f t="shared" ref="AG511:AG516" si="122">IF(SUM(COUNTBLANK(D511:AD511),COUNTBLANK(P526:AD526))=42,0,IF(D511="",1,IF(M511&gt;1,0,IF(AND(COUNTA(S511:AD511,P526:AD526)=27,M511=1),0,1))))</f>
        <v>0</v>
      </c>
      <c r="AH511">
        <f t="shared" si="109"/>
        <v>0</v>
      </c>
      <c r="AI511"/>
      <c r="AJ511"/>
      <c r="AK511">
        <f t="shared" si="110"/>
        <v>0</v>
      </c>
      <c r="AL511">
        <f t="shared" si="111"/>
        <v>0</v>
      </c>
      <c r="AM511">
        <f t="shared" si="112"/>
        <v>0</v>
      </c>
      <c r="AN511">
        <f t="shared" si="113"/>
        <v>0</v>
      </c>
      <c r="AO511">
        <f t="shared" si="114"/>
        <v>0</v>
      </c>
      <c r="AP511">
        <f t="shared" si="115"/>
        <v>0</v>
      </c>
      <c r="AQ511">
        <f t="shared" si="116"/>
        <v>0</v>
      </c>
      <c r="AR511">
        <f t="shared" si="117"/>
        <v>0</v>
      </c>
      <c r="AS511">
        <f t="shared" si="118"/>
        <v>0</v>
      </c>
      <c r="AT511">
        <f t="shared" si="119"/>
        <v>0</v>
      </c>
      <c r="AU511">
        <f t="shared" si="120"/>
        <v>0</v>
      </c>
      <c r="AV511">
        <f t="shared" si="121"/>
        <v>0</v>
      </c>
    </row>
    <row r="512" spans="1:48">
      <c r="A512" s="217"/>
      <c r="B512" s="57"/>
      <c r="C512" s="44" t="s">
        <v>2518</v>
      </c>
      <c r="D512" s="796" t="str">
        <f>IF(CNSIPEE_2024_M2_Secc1!D44="","",CNSIPEE_2024_M2_Secc1!D44)</f>
        <v/>
      </c>
      <c r="E512" s="796"/>
      <c r="F512" s="796"/>
      <c r="G512" s="796"/>
      <c r="H512" s="796"/>
      <c r="I512" s="796"/>
      <c r="J512" s="796"/>
      <c r="K512" s="796"/>
      <c r="L512" s="796"/>
      <c r="M512" s="816"/>
      <c r="N512" s="738"/>
      <c r="O512" s="738"/>
      <c r="P512" s="738"/>
      <c r="Q512" s="738"/>
      <c r="R512" s="817"/>
      <c r="S512" s="100"/>
      <c r="T512" s="100"/>
      <c r="U512" s="100"/>
      <c r="V512" s="100"/>
      <c r="W512" s="100"/>
      <c r="X512" s="100"/>
      <c r="Y512" s="100"/>
      <c r="Z512" s="100"/>
      <c r="AA512" s="100"/>
      <c r="AB512" s="100"/>
      <c r="AC512" s="100"/>
      <c r="AD512" s="100"/>
      <c r="AF512">
        <f t="shared" si="108"/>
        <v>0</v>
      </c>
      <c r="AG512">
        <f t="shared" si="122"/>
        <v>0</v>
      </c>
      <c r="AH512">
        <f t="shared" si="109"/>
        <v>0</v>
      </c>
      <c r="AI512"/>
      <c r="AJ512"/>
      <c r="AK512">
        <f t="shared" si="110"/>
        <v>0</v>
      </c>
      <c r="AL512">
        <f t="shared" si="111"/>
        <v>0</v>
      </c>
      <c r="AM512">
        <f t="shared" si="112"/>
        <v>0</v>
      </c>
      <c r="AN512">
        <f t="shared" si="113"/>
        <v>0</v>
      </c>
      <c r="AO512">
        <f t="shared" si="114"/>
        <v>0</v>
      </c>
      <c r="AP512">
        <f t="shared" si="115"/>
        <v>0</v>
      </c>
      <c r="AQ512">
        <f t="shared" si="116"/>
        <v>0</v>
      </c>
      <c r="AR512">
        <f t="shared" si="117"/>
        <v>0</v>
      </c>
      <c r="AS512">
        <f t="shared" si="118"/>
        <v>0</v>
      </c>
      <c r="AT512">
        <f t="shared" si="119"/>
        <v>0</v>
      </c>
      <c r="AU512">
        <f t="shared" si="120"/>
        <v>0</v>
      </c>
      <c r="AV512">
        <f t="shared" si="121"/>
        <v>0</v>
      </c>
    </row>
    <row r="513" spans="1:48">
      <c r="A513" s="217"/>
      <c r="B513" s="57"/>
      <c r="C513" s="44" t="s">
        <v>2519</v>
      </c>
      <c r="D513" s="796" t="str">
        <f>IF(CNSIPEE_2024_M2_Secc1!D45="","",CNSIPEE_2024_M2_Secc1!D45)</f>
        <v/>
      </c>
      <c r="E513" s="796"/>
      <c r="F513" s="796"/>
      <c r="G513" s="796"/>
      <c r="H513" s="796"/>
      <c r="I513" s="796"/>
      <c r="J513" s="796"/>
      <c r="K513" s="796"/>
      <c r="L513" s="796"/>
      <c r="M513" s="816"/>
      <c r="N513" s="738"/>
      <c r="O513" s="738"/>
      <c r="P513" s="738"/>
      <c r="Q513" s="738"/>
      <c r="R513" s="817"/>
      <c r="S513" s="100"/>
      <c r="T513" s="100"/>
      <c r="U513" s="100"/>
      <c r="V513" s="100"/>
      <c r="W513" s="100"/>
      <c r="X513" s="100"/>
      <c r="Y513" s="100"/>
      <c r="Z513" s="100"/>
      <c r="AA513" s="100"/>
      <c r="AB513" s="100"/>
      <c r="AC513" s="100"/>
      <c r="AD513" s="100"/>
      <c r="AF513">
        <f t="shared" si="108"/>
        <v>0</v>
      </c>
      <c r="AG513">
        <f t="shared" si="122"/>
        <v>0</v>
      </c>
      <c r="AH513">
        <f t="shared" si="109"/>
        <v>0</v>
      </c>
      <c r="AI513"/>
      <c r="AJ513"/>
      <c r="AK513">
        <f t="shared" si="110"/>
        <v>0</v>
      </c>
      <c r="AL513">
        <f t="shared" si="111"/>
        <v>0</v>
      </c>
      <c r="AM513">
        <f t="shared" si="112"/>
        <v>0</v>
      </c>
      <c r="AN513">
        <f t="shared" si="113"/>
        <v>0</v>
      </c>
      <c r="AO513">
        <f t="shared" si="114"/>
        <v>0</v>
      </c>
      <c r="AP513">
        <f t="shared" si="115"/>
        <v>0</v>
      </c>
      <c r="AQ513">
        <f t="shared" si="116"/>
        <v>0</v>
      </c>
      <c r="AR513">
        <f t="shared" si="117"/>
        <v>0</v>
      </c>
      <c r="AS513">
        <f t="shared" si="118"/>
        <v>0</v>
      </c>
      <c r="AT513">
        <f t="shared" si="119"/>
        <v>0</v>
      </c>
      <c r="AU513">
        <f t="shared" si="120"/>
        <v>0</v>
      </c>
      <c r="AV513">
        <f t="shared" si="121"/>
        <v>0</v>
      </c>
    </row>
    <row r="514" spans="1:48">
      <c r="A514" s="217"/>
      <c r="B514" s="57"/>
      <c r="C514" s="44" t="s">
        <v>2520</v>
      </c>
      <c r="D514" s="796" t="str">
        <f>IF(CNSIPEE_2024_M2_Secc1!D46="","",CNSIPEE_2024_M2_Secc1!D46)</f>
        <v/>
      </c>
      <c r="E514" s="796"/>
      <c r="F514" s="796"/>
      <c r="G514" s="796"/>
      <c r="H514" s="796"/>
      <c r="I514" s="796"/>
      <c r="J514" s="796"/>
      <c r="K514" s="796"/>
      <c r="L514" s="796"/>
      <c r="M514" s="816"/>
      <c r="N514" s="738"/>
      <c r="O514" s="738"/>
      <c r="P514" s="738"/>
      <c r="Q514" s="738"/>
      <c r="R514" s="817"/>
      <c r="S514" s="100"/>
      <c r="T514" s="100"/>
      <c r="U514" s="100"/>
      <c r="V514" s="100"/>
      <c r="W514" s="100"/>
      <c r="X514" s="100"/>
      <c r="Y514" s="100"/>
      <c r="Z514" s="100"/>
      <c r="AA514" s="100"/>
      <c r="AB514" s="100"/>
      <c r="AC514" s="100"/>
      <c r="AD514" s="100"/>
      <c r="AF514">
        <f t="shared" si="108"/>
        <v>0</v>
      </c>
      <c r="AG514">
        <f t="shared" si="122"/>
        <v>0</v>
      </c>
      <c r="AH514">
        <f t="shared" si="109"/>
        <v>0</v>
      </c>
      <c r="AI514"/>
      <c r="AJ514"/>
      <c r="AK514">
        <f t="shared" si="110"/>
        <v>0</v>
      </c>
      <c r="AL514">
        <f t="shared" si="111"/>
        <v>0</v>
      </c>
      <c r="AM514">
        <f t="shared" si="112"/>
        <v>0</v>
      </c>
      <c r="AN514">
        <f t="shared" si="113"/>
        <v>0</v>
      </c>
      <c r="AO514">
        <f t="shared" si="114"/>
        <v>0</v>
      </c>
      <c r="AP514">
        <f t="shared" si="115"/>
        <v>0</v>
      </c>
      <c r="AQ514">
        <f t="shared" si="116"/>
        <v>0</v>
      </c>
      <c r="AR514">
        <f t="shared" si="117"/>
        <v>0</v>
      </c>
      <c r="AS514">
        <f t="shared" si="118"/>
        <v>0</v>
      </c>
      <c r="AT514">
        <f t="shared" si="119"/>
        <v>0</v>
      </c>
      <c r="AU514">
        <f t="shared" si="120"/>
        <v>0</v>
      </c>
      <c r="AV514">
        <f t="shared" si="121"/>
        <v>0</v>
      </c>
    </row>
    <row r="515" spans="1:48">
      <c r="A515" s="217"/>
      <c r="B515" s="57"/>
      <c r="C515" s="44" t="s">
        <v>2521</v>
      </c>
      <c r="D515" s="796" t="str">
        <f>IF(CNSIPEE_2024_M2_Secc1!D47="","",CNSIPEE_2024_M2_Secc1!D47)</f>
        <v/>
      </c>
      <c r="E515" s="796"/>
      <c r="F515" s="796"/>
      <c r="G515" s="796"/>
      <c r="H515" s="796"/>
      <c r="I515" s="796"/>
      <c r="J515" s="796"/>
      <c r="K515" s="796"/>
      <c r="L515" s="796"/>
      <c r="M515" s="816"/>
      <c r="N515" s="738"/>
      <c r="O515" s="738"/>
      <c r="P515" s="738"/>
      <c r="Q515" s="738"/>
      <c r="R515" s="817"/>
      <c r="S515" s="100"/>
      <c r="T515" s="100"/>
      <c r="U515" s="100"/>
      <c r="V515" s="100"/>
      <c r="W515" s="100"/>
      <c r="X515" s="100"/>
      <c r="Y515" s="100"/>
      <c r="Z515" s="100"/>
      <c r="AA515" s="100"/>
      <c r="AB515" s="100"/>
      <c r="AC515" s="100"/>
      <c r="AD515" s="100"/>
      <c r="AF515">
        <f t="shared" si="108"/>
        <v>0</v>
      </c>
      <c r="AG515">
        <f t="shared" si="122"/>
        <v>0</v>
      </c>
      <c r="AH515">
        <f t="shared" si="109"/>
        <v>0</v>
      </c>
      <c r="AI515"/>
      <c r="AJ515"/>
      <c r="AK515">
        <f t="shared" si="110"/>
        <v>0</v>
      </c>
      <c r="AL515">
        <f t="shared" si="111"/>
        <v>0</v>
      </c>
      <c r="AM515">
        <f t="shared" si="112"/>
        <v>0</v>
      </c>
      <c r="AN515">
        <f t="shared" si="113"/>
        <v>0</v>
      </c>
      <c r="AO515">
        <f t="shared" si="114"/>
        <v>0</v>
      </c>
      <c r="AP515">
        <f t="shared" si="115"/>
        <v>0</v>
      </c>
      <c r="AQ515">
        <f t="shared" si="116"/>
        <v>0</v>
      </c>
      <c r="AR515">
        <f t="shared" si="117"/>
        <v>0</v>
      </c>
      <c r="AS515">
        <f t="shared" si="118"/>
        <v>0</v>
      </c>
      <c r="AT515">
        <f t="shared" si="119"/>
        <v>0</v>
      </c>
      <c r="AU515">
        <f t="shared" si="120"/>
        <v>0</v>
      </c>
      <c r="AV515">
        <f t="shared" si="121"/>
        <v>0</v>
      </c>
    </row>
    <row r="516" spans="1:48">
      <c r="A516" s="217"/>
      <c r="B516" s="57"/>
      <c r="C516" s="44" t="s">
        <v>2522</v>
      </c>
      <c r="D516" s="796" t="str">
        <f>IF(CNSIPEE_2024_M2_Secc1!D48="","",CNSIPEE_2024_M2_Secc1!D48)</f>
        <v/>
      </c>
      <c r="E516" s="796"/>
      <c r="F516" s="796"/>
      <c r="G516" s="796"/>
      <c r="H516" s="796"/>
      <c r="I516" s="796"/>
      <c r="J516" s="796"/>
      <c r="K516" s="796"/>
      <c r="L516" s="796"/>
      <c r="M516" s="816"/>
      <c r="N516" s="738"/>
      <c r="O516" s="738"/>
      <c r="P516" s="738"/>
      <c r="Q516" s="738"/>
      <c r="R516" s="817"/>
      <c r="S516" s="100"/>
      <c r="T516" s="100"/>
      <c r="U516" s="100"/>
      <c r="V516" s="100"/>
      <c r="W516" s="100"/>
      <c r="X516" s="100"/>
      <c r="Y516" s="100"/>
      <c r="Z516" s="100"/>
      <c r="AA516" s="100"/>
      <c r="AB516" s="100"/>
      <c r="AC516" s="100"/>
      <c r="AD516" s="100"/>
      <c r="AF516">
        <f t="shared" si="108"/>
        <v>0</v>
      </c>
      <c r="AG516">
        <f t="shared" si="122"/>
        <v>0</v>
      </c>
      <c r="AH516">
        <f t="shared" si="109"/>
        <v>0</v>
      </c>
      <c r="AI516"/>
      <c r="AJ516"/>
      <c r="AK516">
        <f t="shared" si="110"/>
        <v>0</v>
      </c>
      <c r="AL516">
        <f t="shared" si="111"/>
        <v>0</v>
      </c>
      <c r="AM516">
        <f t="shared" si="112"/>
        <v>0</v>
      </c>
      <c r="AN516">
        <f t="shared" si="113"/>
        <v>0</v>
      </c>
      <c r="AO516">
        <f t="shared" si="114"/>
        <v>0</v>
      </c>
      <c r="AP516">
        <f t="shared" si="115"/>
        <v>0</v>
      </c>
      <c r="AQ516">
        <f t="shared" si="116"/>
        <v>0</v>
      </c>
      <c r="AR516">
        <f t="shared" si="117"/>
        <v>0</v>
      </c>
      <c r="AS516">
        <f t="shared" si="118"/>
        <v>0</v>
      </c>
      <c r="AT516">
        <f t="shared" si="119"/>
        <v>0</v>
      </c>
      <c r="AU516">
        <f t="shared" si="120"/>
        <v>0</v>
      </c>
      <c r="AV516">
        <f t="shared" si="121"/>
        <v>0</v>
      </c>
    </row>
    <row r="517" spans="1:48">
      <c r="A517" s="217"/>
      <c r="B517" s="57"/>
      <c r="C517" s="44" t="s">
        <v>2523</v>
      </c>
      <c r="D517" s="796" t="str">
        <f>IF(CNSIPEE_2024_M2_Secc1!D49="","",CNSIPEE_2024_M2_Secc1!D49)</f>
        <v/>
      </c>
      <c r="E517" s="796"/>
      <c r="F517" s="796"/>
      <c r="G517" s="796"/>
      <c r="H517" s="796"/>
      <c r="I517" s="796"/>
      <c r="J517" s="796"/>
      <c r="K517" s="796"/>
      <c r="L517" s="796"/>
      <c r="M517" s="816"/>
      <c r="N517" s="738"/>
      <c r="O517" s="738"/>
      <c r="P517" s="738"/>
      <c r="Q517" s="738"/>
      <c r="R517" s="817"/>
      <c r="S517" s="100"/>
      <c r="T517" s="100"/>
      <c r="U517" s="100"/>
      <c r="V517" s="100"/>
      <c r="W517" s="100"/>
      <c r="X517" s="100"/>
      <c r="Y517" s="100"/>
      <c r="Z517" s="100"/>
      <c r="AA517" s="100"/>
      <c r="AB517" s="100"/>
      <c r="AC517" s="100"/>
      <c r="AD517" s="100"/>
      <c r="AF517">
        <f t="shared" si="108"/>
        <v>0</v>
      </c>
      <c r="AG517">
        <f>IF(SUM(COUNTBLANK(D517:AD517),COUNTBLANK(P532:AD532))=42,0,IF(D517="",1,IF(M517&gt;1,0,IF(AND(COUNTA(S517:AD517,P532:AD532)=27,M517=1),0,1))))</f>
        <v>0</v>
      </c>
      <c r="AH517">
        <f t="shared" si="109"/>
        <v>0</v>
      </c>
      <c r="AI517"/>
      <c r="AJ517"/>
      <c r="AK517">
        <f t="shared" si="110"/>
        <v>0</v>
      </c>
      <c r="AL517">
        <f t="shared" si="111"/>
        <v>0</v>
      </c>
      <c r="AM517">
        <f t="shared" si="112"/>
        <v>0</v>
      </c>
      <c r="AN517">
        <f t="shared" si="113"/>
        <v>0</v>
      </c>
      <c r="AO517">
        <f t="shared" si="114"/>
        <v>0</v>
      </c>
      <c r="AP517">
        <f t="shared" si="115"/>
        <v>0</v>
      </c>
      <c r="AQ517">
        <f t="shared" si="116"/>
        <v>0</v>
      </c>
      <c r="AR517">
        <f t="shared" si="117"/>
        <v>0</v>
      </c>
      <c r="AS517">
        <f t="shared" si="118"/>
        <v>0</v>
      </c>
      <c r="AT517">
        <f t="shared" si="119"/>
        <v>0</v>
      </c>
      <c r="AU517">
        <f t="shared" si="120"/>
        <v>0</v>
      </c>
      <c r="AV517">
        <f t="shared" si="121"/>
        <v>0</v>
      </c>
    </row>
    <row r="518" spans="1:48">
      <c r="A518" s="217"/>
      <c r="B518" s="57"/>
      <c r="C518" s="84"/>
      <c r="D518" s="84"/>
      <c r="E518" s="84"/>
      <c r="F518" s="84"/>
      <c r="G518" s="84"/>
      <c r="H518" s="84"/>
      <c r="I518" s="84"/>
      <c r="J518" s="84"/>
      <c r="K518" s="84"/>
      <c r="L518" s="84"/>
      <c r="M518" s="84"/>
      <c r="N518" s="84"/>
      <c r="O518" s="84"/>
      <c r="P518" s="84"/>
      <c r="Q518" s="84"/>
      <c r="R518" s="99" t="s">
        <v>2649</v>
      </c>
      <c r="S518" s="124">
        <f t="shared" ref="S518:AD518" si="123">IF(AND(SUM(S510:S517)=0,COUNTIF(S510:S517,"NS")&gt;0),"NS",IF(AND(SUM(S510:S517)=0,COUNTIF(S510:S517,0)&gt;0),0,IF(AND(SUM(S510:S517)=0,COUNTIF(S510:S517,"NA")&gt;0),"NA",SUM(S510:S517))))</f>
        <v>0</v>
      </c>
      <c r="T518" s="124">
        <f t="shared" si="123"/>
        <v>0</v>
      </c>
      <c r="U518" s="124">
        <f t="shared" si="123"/>
        <v>0</v>
      </c>
      <c r="V518" s="124">
        <f t="shared" si="123"/>
        <v>0</v>
      </c>
      <c r="W518" s="124">
        <f t="shared" si="123"/>
        <v>0</v>
      </c>
      <c r="X518" s="124">
        <f t="shared" si="123"/>
        <v>0</v>
      </c>
      <c r="Y518" s="124">
        <f t="shared" si="123"/>
        <v>0</v>
      </c>
      <c r="Z518" s="124">
        <f t="shared" si="123"/>
        <v>0</v>
      </c>
      <c r="AA518" s="124">
        <f t="shared" si="123"/>
        <v>0</v>
      </c>
      <c r="AB518" s="124">
        <f t="shared" si="123"/>
        <v>0</v>
      </c>
      <c r="AC518" s="124">
        <f t="shared" si="123"/>
        <v>0</v>
      </c>
      <c r="AD518" s="124">
        <f t="shared" si="123"/>
        <v>0</v>
      </c>
      <c r="AF518" s="507">
        <f>SUM(AF510:AF517)</f>
        <v>0</v>
      </c>
      <c r="AG518" s="507">
        <f>SUM(AG510:AG517)</f>
        <v>0</v>
      </c>
      <c r="AH518" s="507">
        <f>SUM(AH510:AH517)</f>
        <v>0</v>
      </c>
      <c r="AJ518"/>
      <c r="AK518">
        <f>SUM(AK510:AK517)</f>
        <v>0</v>
      </c>
      <c r="AM518">
        <f>SUM(AM510:AM517)</f>
        <v>0</v>
      </c>
      <c r="AN518">
        <f>SUM(AN510:AN517)</f>
        <v>0</v>
      </c>
      <c r="AP518">
        <f>SUM(AP510:AP517)</f>
        <v>0</v>
      </c>
      <c r="AQ518">
        <f>SUM(AQ510:AQ517)</f>
        <v>0</v>
      </c>
      <c r="AS518">
        <f>SUM(AS510:AS517)</f>
        <v>0</v>
      </c>
      <c r="AT518">
        <f>SUM(AT510:AT517)</f>
        <v>0</v>
      </c>
      <c r="AV518">
        <f>SUM(AV510:AV517)</f>
        <v>0</v>
      </c>
    </row>
    <row r="519" spans="1:48">
      <c r="A519" s="217"/>
      <c r="B519" s="57"/>
      <c r="C519" s="220"/>
      <c r="D519" s="221"/>
      <c r="E519" s="221"/>
      <c r="F519" s="221"/>
      <c r="G519" s="221"/>
      <c r="H519" s="221"/>
      <c r="I519" s="221"/>
      <c r="J519" s="221"/>
      <c r="K519" s="221"/>
      <c r="L519" s="221"/>
      <c r="M519" s="221"/>
      <c r="N519" s="221"/>
      <c r="O519" s="221"/>
      <c r="P519" s="221"/>
      <c r="Q519" s="221"/>
      <c r="R519" s="180"/>
      <c r="S519" s="49"/>
      <c r="T519" s="49"/>
      <c r="U519" s="49"/>
      <c r="V519" s="49"/>
      <c r="W519" s="49"/>
      <c r="X519" s="49"/>
      <c r="Y519" s="49"/>
      <c r="Z519" s="49"/>
      <c r="AA519" s="49"/>
      <c r="AB519" s="49"/>
      <c r="AC519" s="49"/>
      <c r="AD519" s="49"/>
      <c r="AK519" t="s">
        <v>2650</v>
      </c>
      <c r="AL519" s="405">
        <f>SUM(AM518,AP518,AS518,AV518)</f>
        <v>0</v>
      </c>
      <c r="AM519" t="s">
        <v>2651</v>
      </c>
      <c r="AN519" s="405">
        <f>SUM(AK518,AN518,AQ518,AT518)</f>
        <v>0</v>
      </c>
    </row>
    <row r="520" spans="1:48">
      <c r="A520" s="217"/>
      <c r="B520" s="57"/>
      <c r="C520" s="220"/>
      <c r="D520" s="221"/>
      <c r="E520" s="221"/>
      <c r="F520" s="221"/>
      <c r="G520" s="221"/>
      <c r="H520" s="221"/>
      <c r="I520" s="221"/>
      <c r="J520" s="221"/>
      <c r="K520" s="221"/>
      <c r="L520" s="221"/>
      <c r="M520" s="221"/>
      <c r="N520" s="221"/>
      <c r="O520" s="221"/>
      <c r="P520" s="221"/>
      <c r="Q520" s="221"/>
      <c r="R520" s="180"/>
      <c r="S520" s="49"/>
      <c r="T520" s="49"/>
      <c r="U520" s="49"/>
      <c r="V520" s="49"/>
      <c r="W520" s="49"/>
      <c r="X520" s="49"/>
      <c r="Y520" s="49"/>
      <c r="Z520" s="49"/>
      <c r="AA520" s="875" t="s">
        <v>2668</v>
      </c>
      <c r="AB520" s="875"/>
      <c r="AC520" s="875"/>
      <c r="AD520" s="875"/>
      <c r="AK520" t="s">
        <v>2652</v>
      </c>
      <c r="AL520">
        <f>IF(AN519&gt;0,IF(SUM(S518)&gt;=SUM(V518,Y518,AB518),0,1),IF(SUM(S518)&lt;&gt;SUM(V518,Y518,AB518),1,0))</f>
        <v>0</v>
      </c>
      <c r="AM520" t="s">
        <v>2653</v>
      </c>
      <c r="AN520">
        <f>IF(AN519&gt;0,IF(SUM(T518)&gt;=SUM(W518,Z518,AC518),0,1),IF(SUM(T518)&lt;&gt;SUM(W518,Z518,AC518),1,0))</f>
        <v>0</v>
      </c>
      <c r="AO520" t="s">
        <v>2654</v>
      </c>
      <c r="AP520">
        <f>IF(AN519&gt;0,IF(SUM(U518)&gt;=SUM(X518,AA518,AD518),0,1),IF(SUM(U518)&lt;&gt;SUM(X518,AA518,AD518),1,0))</f>
        <v>0</v>
      </c>
    </row>
    <row r="521" spans="1:48" ht="24" customHeight="1">
      <c r="A521" s="217"/>
      <c r="B521" s="57"/>
      <c r="C521" s="797" t="s">
        <v>2581</v>
      </c>
      <c r="D521" s="798"/>
      <c r="E521" s="798"/>
      <c r="F521" s="798"/>
      <c r="G521" s="798"/>
      <c r="H521" s="798"/>
      <c r="I521" s="798"/>
      <c r="J521" s="798"/>
      <c r="K521" s="798"/>
      <c r="L521" s="798"/>
      <c r="M521" s="798"/>
      <c r="N521" s="798"/>
      <c r="O521" s="799"/>
      <c r="P521" s="739" t="s">
        <v>6242</v>
      </c>
      <c r="Q521" s="740"/>
      <c r="R521" s="740"/>
      <c r="S521" s="740"/>
      <c r="T521" s="740"/>
      <c r="U521" s="740"/>
      <c r="V521" s="740"/>
      <c r="W521" s="740"/>
      <c r="X521" s="740"/>
      <c r="Y521" s="740"/>
      <c r="Z521" s="740"/>
      <c r="AA521" s="740"/>
      <c r="AB521" s="740"/>
      <c r="AC521" s="740"/>
      <c r="AD521" s="741"/>
    </row>
    <row r="522" spans="1:48" ht="15" customHeight="1">
      <c r="A522" s="217"/>
      <c r="B522" s="57"/>
      <c r="C522" s="800"/>
      <c r="D522" s="801"/>
      <c r="E522" s="801"/>
      <c r="F522" s="801"/>
      <c r="G522" s="801"/>
      <c r="H522" s="801"/>
      <c r="I522" s="801"/>
      <c r="J522" s="801"/>
      <c r="K522" s="801"/>
      <c r="L522" s="801"/>
      <c r="M522" s="801"/>
      <c r="N522" s="801"/>
      <c r="O522" s="802"/>
      <c r="P522" s="735" t="s">
        <v>3892</v>
      </c>
      <c r="Q522" s="736"/>
      <c r="R522" s="736"/>
      <c r="S522" s="736" t="s">
        <v>3880</v>
      </c>
      <c r="T522" s="736"/>
      <c r="U522" s="736"/>
      <c r="V522" s="736" t="s">
        <v>3881</v>
      </c>
      <c r="W522" s="736"/>
      <c r="X522" s="736"/>
      <c r="Y522" s="818" t="s">
        <v>3882</v>
      </c>
      <c r="Z522" s="819"/>
      <c r="AA522" s="820"/>
      <c r="AB522" s="818" t="s">
        <v>201</v>
      </c>
      <c r="AC522" s="819"/>
      <c r="AD522" s="820"/>
    </row>
    <row r="523" spans="1:48" ht="24" customHeight="1">
      <c r="A523" s="217"/>
      <c r="B523" s="57"/>
      <c r="C523" s="800"/>
      <c r="D523" s="801"/>
      <c r="E523" s="801"/>
      <c r="F523" s="801"/>
      <c r="G523" s="801"/>
      <c r="H523" s="801"/>
      <c r="I523" s="801"/>
      <c r="J523" s="801"/>
      <c r="K523" s="801"/>
      <c r="L523" s="801"/>
      <c r="M523" s="801"/>
      <c r="N523" s="801"/>
      <c r="O523" s="802"/>
      <c r="P523" s="735"/>
      <c r="Q523" s="736"/>
      <c r="R523" s="736"/>
      <c r="S523" s="736"/>
      <c r="T523" s="736"/>
      <c r="U523" s="736"/>
      <c r="V523" s="736"/>
      <c r="W523" s="736"/>
      <c r="X523" s="736"/>
      <c r="Y523" s="824"/>
      <c r="Z523" s="825"/>
      <c r="AA523" s="826"/>
      <c r="AB523" s="824"/>
      <c r="AC523" s="825"/>
      <c r="AD523" s="826"/>
    </row>
    <row r="524" spans="1:48" ht="48" customHeight="1">
      <c r="A524" s="217"/>
      <c r="B524" s="57"/>
      <c r="C524" s="803"/>
      <c r="D524" s="804"/>
      <c r="E524" s="804"/>
      <c r="F524" s="804"/>
      <c r="G524" s="804"/>
      <c r="H524" s="804"/>
      <c r="I524" s="804"/>
      <c r="J524" s="804"/>
      <c r="K524" s="804"/>
      <c r="L524" s="804"/>
      <c r="M524" s="804"/>
      <c r="N524" s="804"/>
      <c r="O524" s="805"/>
      <c r="P524" s="198" t="s">
        <v>2635</v>
      </c>
      <c r="Q524" s="128" t="s">
        <v>2629</v>
      </c>
      <c r="R524" s="128" t="s">
        <v>2630</v>
      </c>
      <c r="S524" s="198" t="s">
        <v>2635</v>
      </c>
      <c r="T524" s="128" t="s">
        <v>2629</v>
      </c>
      <c r="U524" s="128" t="s">
        <v>2630</v>
      </c>
      <c r="V524" s="127" t="s">
        <v>2635</v>
      </c>
      <c r="W524" s="128" t="s">
        <v>2629</v>
      </c>
      <c r="X524" s="128" t="s">
        <v>2630</v>
      </c>
      <c r="Y524" s="127" t="s">
        <v>2635</v>
      </c>
      <c r="Z524" s="128" t="s">
        <v>2629</v>
      </c>
      <c r="AA524" s="128" t="s">
        <v>2630</v>
      </c>
      <c r="AB524" s="127" t="s">
        <v>2635</v>
      </c>
      <c r="AC524" s="128" t="s">
        <v>2629</v>
      </c>
      <c r="AD524" s="128" t="s">
        <v>2630</v>
      </c>
      <c r="AH524" t="s">
        <v>4573</v>
      </c>
      <c r="AI524" t="s">
        <v>2638</v>
      </c>
      <c r="AJ524" t="s">
        <v>2639</v>
      </c>
      <c r="AK524" t="s">
        <v>4574</v>
      </c>
      <c r="AL524" t="s">
        <v>2641</v>
      </c>
      <c r="AM524" t="s">
        <v>2642</v>
      </c>
      <c r="AN524" t="s">
        <v>4575</v>
      </c>
      <c r="AO524" t="s">
        <v>2644</v>
      </c>
      <c r="AP524" t="s">
        <v>2645</v>
      </c>
      <c r="AQ524" t="s">
        <v>4576</v>
      </c>
      <c r="AR524" t="s">
        <v>2647</v>
      </c>
      <c r="AS524" t="s">
        <v>2648</v>
      </c>
      <c r="AT524" t="s">
        <v>5177</v>
      </c>
      <c r="AU524" t="s">
        <v>2757</v>
      </c>
      <c r="AV524" t="s">
        <v>2758</v>
      </c>
    </row>
    <row r="525" spans="1:48">
      <c r="A525" s="217"/>
      <c r="B525" s="57"/>
      <c r="C525" s="97" t="s">
        <v>2516</v>
      </c>
      <c r="D525" s="796" t="str">
        <f>IF(CNSIPEE_2024_M2_Secc1!D42="","",CNSIPEE_2024_M2_Secc1!D42)</f>
        <v/>
      </c>
      <c r="E525" s="796"/>
      <c r="F525" s="796"/>
      <c r="G525" s="796"/>
      <c r="H525" s="796"/>
      <c r="I525" s="796"/>
      <c r="J525" s="796"/>
      <c r="K525" s="796"/>
      <c r="L525" s="796"/>
      <c r="M525" s="796"/>
      <c r="N525" s="796"/>
      <c r="O525" s="796"/>
      <c r="P525" s="100"/>
      <c r="Q525" s="100"/>
      <c r="R525" s="100"/>
      <c r="S525" s="100"/>
      <c r="T525" s="100"/>
      <c r="U525" s="100"/>
      <c r="V525" s="100"/>
      <c r="W525" s="100"/>
      <c r="X525" s="100"/>
      <c r="Y525" s="100"/>
      <c r="Z525" s="100"/>
      <c r="AA525" s="100"/>
      <c r="AB525" s="100"/>
      <c r="AC525" s="100"/>
      <c r="AD525" s="100"/>
      <c r="AH525">
        <f t="shared" ref="AH525:AH532" si="124">COUNTIF(Q525:R525,"NS")</f>
        <v>0</v>
      </c>
      <c r="AI525">
        <f t="shared" ref="AI525:AI532" si="125">SUM(Q525:R525)</f>
        <v>0</v>
      </c>
      <c r="AJ525">
        <f t="shared" ref="AJ525:AJ532" si="126">IF(COUNTIF(P525:R525,"NA")=3,0,IF(COUNTA(P525:R525)=0,0,IF(OR(AND(P525=0,AH525&gt;0),AND(P525="ns",AI525&gt;0),AND(P525="ns",AH525=0,AI525=0)),1,IF(OR(AND(P525&gt;0,AH525=2),AND(P525="ns",AH525=2),AND(P525="ns",AI525=0,AH525&gt;0),P525=AI525),0,1))))</f>
        <v>0</v>
      </c>
      <c r="AK525">
        <f t="shared" ref="AK525:AK532" si="127">COUNTIF(T525:U525,"NS")</f>
        <v>0</v>
      </c>
      <c r="AL525">
        <f t="shared" ref="AL525:AL532" si="128">SUM(T525:U525)</f>
        <v>0</v>
      </c>
      <c r="AM525">
        <f t="shared" ref="AM525:AM532" si="129">IF(COUNTIF(S525:U525,"NA")=3,0,IF(COUNTA(S525:U525)=0,0,IF(OR(AND(S525=0,AK525&gt;0),AND(S525="ns",AL525&gt;0),AND(S525="ns",AK525=0,AL525=0)),1,IF(OR(AND(S525&gt;0,AK525=2),AND(S525="ns",AK525=2),AND(S525="ns",AL525=0,AK525&gt;0),S525=AL525),0,1))))</f>
        <v>0</v>
      </c>
      <c r="AN525">
        <f t="shared" ref="AN525:AN532" si="130">COUNTIF(W525:X525,"NS")</f>
        <v>0</v>
      </c>
      <c r="AO525">
        <f t="shared" ref="AO525:AO532" si="131">SUM(W525:X525)</f>
        <v>0</v>
      </c>
      <c r="AP525">
        <f t="shared" ref="AP525:AP532" si="132">IF(COUNTIF(V525:X525,"NA")=3,0,IF(COUNTA(V525:X525)=0,0,IF(OR(AND(V525=0,AN525&gt;0),AND(V525="ns",AO525&gt;0),AND(V525="ns",AN525=0,AO525=0)),1,IF(OR(AND(V525&gt;0,AN525=2),AND(V525="ns",AN525=2),AND(V525="ns",AO525=0,AN525&gt;0),V525=AO525),0,1))))</f>
        <v>0</v>
      </c>
      <c r="AQ525">
        <f t="shared" ref="AQ525:AQ532" si="133">COUNTIF(Z525:AA525,"NS")</f>
        <v>0</v>
      </c>
      <c r="AR525">
        <f t="shared" ref="AR525:AR532" si="134">SUM(Z525:AA525)</f>
        <v>0</v>
      </c>
      <c r="AS525">
        <f t="shared" ref="AS525:AS532" si="135">IF(COUNTIF(Y525:AA525,"NA")=3,0,IF(COUNTA(Y525:AA525)=0,0,IF(OR(AND(Y525=0,AQ525&gt;0),AND(Y525="ns",AR525&gt;0),AND(Y525="ns",AQ525=0,AR525=0)),1,IF(OR(AND(Y525&gt;0,AQ525=2),AND(Y525="ns",AQ525=2),AND(Y525="ns",AR525=0,AQ525&gt;0),Y525=AR525),0,1))))</f>
        <v>0</v>
      </c>
      <c r="AT525">
        <f t="shared" ref="AT525:AT532" si="136">COUNTIF(AC525:AD525,"NS")</f>
        <v>0</v>
      </c>
      <c r="AU525">
        <f t="shared" ref="AU525:AU532" si="137">SUM(AC525:AD525)</f>
        <v>0</v>
      </c>
      <c r="AV525">
        <f t="shared" ref="AV525:AV532" si="138">IF(COUNTIF(AB525:AD525,"NA")=3,0,IF(COUNTA(AB525:AD525)=0,0,IF(OR(AND(AB525=0,AT525&gt;0),AND(AB525="ns",AU525&gt;0),AND(AB525="ns",AT525=0,AU525=0)),1,IF(OR(AND(AB525&gt;0,AT525=2),AND(AB525="ns",AT525=2),AND(AB525="ns",AU525=0,AT525&gt;0),AB525=AU525),0,1))))</f>
        <v>0</v>
      </c>
    </row>
    <row r="526" spans="1:48">
      <c r="A526" s="217"/>
      <c r="B526" s="57"/>
      <c r="C526" s="143" t="s">
        <v>2517</v>
      </c>
      <c r="D526" s="796" t="str">
        <f>IF(CNSIPEE_2024_M2_Secc1!D43="","",CNSIPEE_2024_M2_Secc1!D43)</f>
        <v/>
      </c>
      <c r="E526" s="796"/>
      <c r="F526" s="796"/>
      <c r="G526" s="796"/>
      <c r="H526" s="796"/>
      <c r="I526" s="796"/>
      <c r="J526" s="796"/>
      <c r="K526" s="796"/>
      <c r="L526" s="796"/>
      <c r="M526" s="796"/>
      <c r="N526" s="796"/>
      <c r="O526" s="796"/>
      <c r="P526" s="100"/>
      <c r="Q526" s="100"/>
      <c r="R526" s="100"/>
      <c r="S526" s="100"/>
      <c r="T526" s="100"/>
      <c r="U526" s="100"/>
      <c r="V526" s="100"/>
      <c r="W526" s="100"/>
      <c r="X526" s="100"/>
      <c r="Y526" s="100"/>
      <c r="Z526" s="100"/>
      <c r="AA526" s="100"/>
      <c r="AB526" s="100"/>
      <c r="AC526" s="100"/>
      <c r="AD526" s="100"/>
      <c r="AH526">
        <f t="shared" si="124"/>
        <v>0</v>
      </c>
      <c r="AI526">
        <f t="shared" si="125"/>
        <v>0</v>
      </c>
      <c r="AJ526">
        <f t="shared" si="126"/>
        <v>0</v>
      </c>
      <c r="AK526">
        <f t="shared" si="127"/>
        <v>0</v>
      </c>
      <c r="AL526">
        <f t="shared" si="128"/>
        <v>0</v>
      </c>
      <c r="AM526">
        <f t="shared" si="129"/>
        <v>0</v>
      </c>
      <c r="AN526">
        <f t="shared" si="130"/>
        <v>0</v>
      </c>
      <c r="AO526">
        <f t="shared" si="131"/>
        <v>0</v>
      </c>
      <c r="AP526">
        <f t="shared" si="132"/>
        <v>0</v>
      </c>
      <c r="AQ526">
        <f t="shared" si="133"/>
        <v>0</v>
      </c>
      <c r="AR526">
        <f t="shared" si="134"/>
        <v>0</v>
      </c>
      <c r="AS526">
        <f t="shared" si="135"/>
        <v>0</v>
      </c>
      <c r="AT526">
        <f t="shared" si="136"/>
        <v>0</v>
      </c>
      <c r="AU526">
        <f t="shared" si="137"/>
        <v>0</v>
      </c>
      <c r="AV526">
        <f t="shared" si="138"/>
        <v>0</v>
      </c>
    </row>
    <row r="527" spans="1:48">
      <c r="A527" s="217"/>
      <c r="B527" s="57"/>
      <c r="C527" s="143" t="s">
        <v>2518</v>
      </c>
      <c r="D527" s="796" t="str">
        <f>IF(CNSIPEE_2024_M2_Secc1!D44="","",CNSIPEE_2024_M2_Secc1!D44)</f>
        <v/>
      </c>
      <c r="E527" s="796"/>
      <c r="F527" s="796"/>
      <c r="G527" s="796"/>
      <c r="H527" s="796"/>
      <c r="I527" s="796"/>
      <c r="J527" s="796"/>
      <c r="K527" s="796"/>
      <c r="L527" s="796"/>
      <c r="M527" s="796"/>
      <c r="N527" s="796"/>
      <c r="O527" s="796"/>
      <c r="P527" s="100"/>
      <c r="Q527" s="100"/>
      <c r="R527" s="100"/>
      <c r="S527" s="100"/>
      <c r="T527" s="100"/>
      <c r="U527" s="100"/>
      <c r="V527" s="100"/>
      <c r="W527" s="100"/>
      <c r="X527" s="100"/>
      <c r="Y527" s="100"/>
      <c r="Z527" s="100"/>
      <c r="AA527" s="100"/>
      <c r="AB527" s="100"/>
      <c r="AC527" s="100"/>
      <c r="AD527" s="100"/>
      <c r="AH527">
        <f t="shared" si="124"/>
        <v>0</v>
      </c>
      <c r="AI527">
        <f t="shared" si="125"/>
        <v>0</v>
      </c>
      <c r="AJ527">
        <f t="shared" si="126"/>
        <v>0</v>
      </c>
      <c r="AK527">
        <f t="shared" si="127"/>
        <v>0</v>
      </c>
      <c r="AL527">
        <f t="shared" si="128"/>
        <v>0</v>
      </c>
      <c r="AM527">
        <f t="shared" si="129"/>
        <v>0</v>
      </c>
      <c r="AN527">
        <f t="shared" si="130"/>
        <v>0</v>
      </c>
      <c r="AO527">
        <f t="shared" si="131"/>
        <v>0</v>
      </c>
      <c r="AP527">
        <f t="shared" si="132"/>
        <v>0</v>
      </c>
      <c r="AQ527">
        <f t="shared" si="133"/>
        <v>0</v>
      </c>
      <c r="AR527">
        <f t="shared" si="134"/>
        <v>0</v>
      </c>
      <c r="AS527">
        <f t="shared" si="135"/>
        <v>0</v>
      </c>
      <c r="AT527">
        <f t="shared" si="136"/>
        <v>0</v>
      </c>
      <c r="AU527">
        <f t="shared" si="137"/>
        <v>0</v>
      </c>
      <c r="AV527">
        <f t="shared" si="138"/>
        <v>0</v>
      </c>
    </row>
    <row r="528" spans="1:48">
      <c r="A528" s="217"/>
      <c r="B528" s="57"/>
      <c r="C528" s="143" t="s">
        <v>2519</v>
      </c>
      <c r="D528" s="796" t="str">
        <f>IF(CNSIPEE_2024_M2_Secc1!D45="","",CNSIPEE_2024_M2_Secc1!D45)</f>
        <v/>
      </c>
      <c r="E528" s="796"/>
      <c r="F528" s="796"/>
      <c r="G528" s="796"/>
      <c r="H528" s="796"/>
      <c r="I528" s="796"/>
      <c r="J528" s="796"/>
      <c r="K528" s="796"/>
      <c r="L528" s="796"/>
      <c r="M528" s="796"/>
      <c r="N528" s="796"/>
      <c r="O528" s="796"/>
      <c r="P528" s="100"/>
      <c r="Q528" s="100"/>
      <c r="R528" s="100"/>
      <c r="S528" s="100"/>
      <c r="T528" s="100"/>
      <c r="U528" s="100"/>
      <c r="V528" s="100"/>
      <c r="W528" s="100"/>
      <c r="X528" s="100"/>
      <c r="Y528" s="100"/>
      <c r="Z528" s="100"/>
      <c r="AA528" s="100"/>
      <c r="AB528" s="100"/>
      <c r="AC528" s="100"/>
      <c r="AD528" s="100"/>
      <c r="AH528">
        <f t="shared" si="124"/>
        <v>0</v>
      </c>
      <c r="AI528">
        <f t="shared" si="125"/>
        <v>0</v>
      </c>
      <c r="AJ528">
        <f t="shared" si="126"/>
        <v>0</v>
      </c>
      <c r="AK528">
        <f t="shared" si="127"/>
        <v>0</v>
      </c>
      <c r="AL528">
        <f t="shared" si="128"/>
        <v>0</v>
      </c>
      <c r="AM528">
        <f t="shared" si="129"/>
        <v>0</v>
      </c>
      <c r="AN528">
        <f t="shared" si="130"/>
        <v>0</v>
      </c>
      <c r="AO528">
        <f t="shared" si="131"/>
        <v>0</v>
      </c>
      <c r="AP528">
        <f t="shared" si="132"/>
        <v>0</v>
      </c>
      <c r="AQ528">
        <f t="shared" si="133"/>
        <v>0</v>
      </c>
      <c r="AR528">
        <f t="shared" si="134"/>
        <v>0</v>
      </c>
      <c r="AS528">
        <f t="shared" si="135"/>
        <v>0</v>
      </c>
      <c r="AT528">
        <f t="shared" si="136"/>
        <v>0</v>
      </c>
      <c r="AU528">
        <f t="shared" si="137"/>
        <v>0</v>
      </c>
      <c r="AV528">
        <f t="shared" si="138"/>
        <v>0</v>
      </c>
    </row>
    <row r="529" spans="1:48">
      <c r="A529" s="217"/>
      <c r="B529" s="57"/>
      <c r="C529" s="143" t="s">
        <v>2520</v>
      </c>
      <c r="D529" s="796" t="str">
        <f>IF(CNSIPEE_2024_M2_Secc1!D46="","",CNSIPEE_2024_M2_Secc1!D46)</f>
        <v/>
      </c>
      <c r="E529" s="796"/>
      <c r="F529" s="796"/>
      <c r="G529" s="796"/>
      <c r="H529" s="796"/>
      <c r="I529" s="796"/>
      <c r="J529" s="796"/>
      <c r="K529" s="796"/>
      <c r="L529" s="796"/>
      <c r="M529" s="796"/>
      <c r="N529" s="796"/>
      <c r="O529" s="796"/>
      <c r="P529" s="100"/>
      <c r="Q529" s="100"/>
      <c r="R529" s="100"/>
      <c r="S529" s="100"/>
      <c r="T529" s="100"/>
      <c r="U529" s="100"/>
      <c r="V529" s="100"/>
      <c r="W529" s="100"/>
      <c r="X529" s="100"/>
      <c r="Y529" s="100"/>
      <c r="Z529" s="100"/>
      <c r="AA529" s="100"/>
      <c r="AB529" s="100"/>
      <c r="AC529" s="100"/>
      <c r="AD529" s="100"/>
      <c r="AH529">
        <f t="shared" si="124"/>
        <v>0</v>
      </c>
      <c r="AI529">
        <f t="shared" si="125"/>
        <v>0</v>
      </c>
      <c r="AJ529">
        <f t="shared" si="126"/>
        <v>0</v>
      </c>
      <c r="AK529">
        <f t="shared" si="127"/>
        <v>0</v>
      </c>
      <c r="AL529">
        <f t="shared" si="128"/>
        <v>0</v>
      </c>
      <c r="AM529">
        <f t="shared" si="129"/>
        <v>0</v>
      </c>
      <c r="AN529">
        <f t="shared" si="130"/>
        <v>0</v>
      </c>
      <c r="AO529">
        <f t="shared" si="131"/>
        <v>0</v>
      </c>
      <c r="AP529">
        <f t="shared" si="132"/>
        <v>0</v>
      </c>
      <c r="AQ529">
        <f t="shared" si="133"/>
        <v>0</v>
      </c>
      <c r="AR529">
        <f t="shared" si="134"/>
        <v>0</v>
      </c>
      <c r="AS529">
        <f t="shared" si="135"/>
        <v>0</v>
      </c>
      <c r="AT529">
        <f t="shared" si="136"/>
        <v>0</v>
      </c>
      <c r="AU529">
        <f t="shared" si="137"/>
        <v>0</v>
      </c>
      <c r="AV529">
        <f t="shared" si="138"/>
        <v>0</v>
      </c>
    </row>
    <row r="530" spans="1:48">
      <c r="A530" s="217"/>
      <c r="B530" s="57"/>
      <c r="C530" s="143" t="s">
        <v>2521</v>
      </c>
      <c r="D530" s="796" t="str">
        <f>IF(CNSIPEE_2024_M2_Secc1!D47="","",CNSIPEE_2024_M2_Secc1!D47)</f>
        <v/>
      </c>
      <c r="E530" s="796"/>
      <c r="F530" s="796"/>
      <c r="G530" s="796"/>
      <c r="H530" s="796"/>
      <c r="I530" s="796"/>
      <c r="J530" s="796"/>
      <c r="K530" s="796"/>
      <c r="L530" s="796"/>
      <c r="M530" s="796"/>
      <c r="N530" s="796"/>
      <c r="O530" s="796"/>
      <c r="P530" s="100"/>
      <c r="Q530" s="100"/>
      <c r="R530" s="100"/>
      <c r="S530" s="100"/>
      <c r="T530" s="100"/>
      <c r="U530" s="100"/>
      <c r="V530" s="100"/>
      <c r="W530" s="100"/>
      <c r="X530" s="100"/>
      <c r="Y530" s="100"/>
      <c r="Z530" s="100"/>
      <c r="AA530" s="100"/>
      <c r="AB530" s="100"/>
      <c r="AC530" s="100"/>
      <c r="AD530" s="100"/>
      <c r="AH530">
        <f t="shared" si="124"/>
        <v>0</v>
      </c>
      <c r="AI530">
        <f t="shared" si="125"/>
        <v>0</v>
      </c>
      <c r="AJ530">
        <f t="shared" si="126"/>
        <v>0</v>
      </c>
      <c r="AK530">
        <f t="shared" si="127"/>
        <v>0</v>
      </c>
      <c r="AL530">
        <f t="shared" si="128"/>
        <v>0</v>
      </c>
      <c r="AM530">
        <f t="shared" si="129"/>
        <v>0</v>
      </c>
      <c r="AN530">
        <f t="shared" si="130"/>
        <v>0</v>
      </c>
      <c r="AO530">
        <f t="shared" si="131"/>
        <v>0</v>
      </c>
      <c r="AP530">
        <f t="shared" si="132"/>
        <v>0</v>
      </c>
      <c r="AQ530">
        <f t="shared" si="133"/>
        <v>0</v>
      </c>
      <c r="AR530">
        <f t="shared" si="134"/>
        <v>0</v>
      </c>
      <c r="AS530">
        <f t="shared" si="135"/>
        <v>0</v>
      </c>
      <c r="AT530">
        <f t="shared" si="136"/>
        <v>0</v>
      </c>
      <c r="AU530">
        <f t="shared" si="137"/>
        <v>0</v>
      </c>
      <c r="AV530">
        <f t="shared" si="138"/>
        <v>0</v>
      </c>
    </row>
    <row r="531" spans="1:48">
      <c r="A531" s="217"/>
      <c r="B531" s="57"/>
      <c r="C531" s="143" t="s">
        <v>2522</v>
      </c>
      <c r="D531" s="796" t="str">
        <f>IF(CNSIPEE_2024_M2_Secc1!D48="","",CNSIPEE_2024_M2_Secc1!D48)</f>
        <v/>
      </c>
      <c r="E531" s="796"/>
      <c r="F531" s="796"/>
      <c r="G531" s="796"/>
      <c r="H531" s="796"/>
      <c r="I531" s="796"/>
      <c r="J531" s="796"/>
      <c r="K531" s="796"/>
      <c r="L531" s="796"/>
      <c r="M531" s="796"/>
      <c r="N531" s="796"/>
      <c r="O531" s="796"/>
      <c r="P531" s="100"/>
      <c r="Q531" s="100"/>
      <c r="R531" s="100"/>
      <c r="S531" s="100"/>
      <c r="T531" s="100"/>
      <c r="U531" s="100"/>
      <c r="V531" s="100"/>
      <c r="W531" s="100"/>
      <c r="X531" s="100"/>
      <c r="Y531" s="100"/>
      <c r="Z531" s="100"/>
      <c r="AA531" s="100"/>
      <c r="AB531" s="100"/>
      <c r="AC531" s="100"/>
      <c r="AD531" s="100"/>
      <c r="AH531">
        <f t="shared" si="124"/>
        <v>0</v>
      </c>
      <c r="AI531">
        <f t="shared" si="125"/>
        <v>0</v>
      </c>
      <c r="AJ531">
        <f t="shared" si="126"/>
        <v>0</v>
      </c>
      <c r="AK531">
        <f t="shared" si="127"/>
        <v>0</v>
      </c>
      <c r="AL531">
        <f t="shared" si="128"/>
        <v>0</v>
      </c>
      <c r="AM531">
        <f t="shared" si="129"/>
        <v>0</v>
      </c>
      <c r="AN531">
        <f t="shared" si="130"/>
        <v>0</v>
      </c>
      <c r="AO531">
        <f t="shared" si="131"/>
        <v>0</v>
      </c>
      <c r="AP531">
        <f t="shared" si="132"/>
        <v>0</v>
      </c>
      <c r="AQ531">
        <f t="shared" si="133"/>
        <v>0</v>
      </c>
      <c r="AR531">
        <f t="shared" si="134"/>
        <v>0</v>
      </c>
      <c r="AS531">
        <f t="shared" si="135"/>
        <v>0</v>
      </c>
      <c r="AT531">
        <f t="shared" si="136"/>
        <v>0</v>
      </c>
      <c r="AU531">
        <f t="shared" si="137"/>
        <v>0</v>
      </c>
      <c r="AV531">
        <f t="shared" si="138"/>
        <v>0</v>
      </c>
    </row>
    <row r="532" spans="1:48">
      <c r="A532" s="217"/>
      <c r="B532" s="57"/>
      <c r="C532" s="143" t="s">
        <v>2523</v>
      </c>
      <c r="D532" s="796" t="str">
        <f>IF(CNSIPEE_2024_M2_Secc1!D49="","",CNSIPEE_2024_M2_Secc1!D49)</f>
        <v/>
      </c>
      <c r="E532" s="796"/>
      <c r="F532" s="796"/>
      <c r="G532" s="796"/>
      <c r="H532" s="796"/>
      <c r="I532" s="796"/>
      <c r="J532" s="796"/>
      <c r="K532" s="796"/>
      <c r="L532" s="796"/>
      <c r="M532" s="796"/>
      <c r="N532" s="796"/>
      <c r="O532" s="796"/>
      <c r="P532" s="100"/>
      <c r="Q532" s="100"/>
      <c r="R532" s="100"/>
      <c r="S532" s="100"/>
      <c r="T532" s="100"/>
      <c r="U532" s="100"/>
      <c r="V532" s="100"/>
      <c r="W532" s="100"/>
      <c r="X532" s="100"/>
      <c r="Y532" s="100"/>
      <c r="Z532" s="100"/>
      <c r="AA532" s="100"/>
      <c r="AB532" s="100"/>
      <c r="AC532" s="100"/>
      <c r="AD532" s="100"/>
      <c r="AH532">
        <f t="shared" si="124"/>
        <v>0</v>
      </c>
      <c r="AI532">
        <f t="shared" si="125"/>
        <v>0</v>
      </c>
      <c r="AJ532">
        <f t="shared" si="126"/>
        <v>0</v>
      </c>
      <c r="AK532">
        <f t="shared" si="127"/>
        <v>0</v>
      </c>
      <c r="AL532">
        <f t="shared" si="128"/>
        <v>0</v>
      </c>
      <c r="AM532">
        <f t="shared" si="129"/>
        <v>0</v>
      </c>
      <c r="AN532">
        <f t="shared" si="130"/>
        <v>0</v>
      </c>
      <c r="AO532">
        <f t="shared" si="131"/>
        <v>0</v>
      </c>
      <c r="AP532">
        <f t="shared" si="132"/>
        <v>0</v>
      </c>
      <c r="AQ532">
        <f t="shared" si="133"/>
        <v>0</v>
      </c>
      <c r="AR532">
        <f t="shared" si="134"/>
        <v>0</v>
      </c>
      <c r="AS532">
        <f t="shared" si="135"/>
        <v>0</v>
      </c>
      <c r="AT532">
        <f t="shared" si="136"/>
        <v>0</v>
      </c>
      <c r="AU532">
        <f t="shared" si="137"/>
        <v>0</v>
      </c>
      <c r="AV532">
        <f t="shared" si="138"/>
        <v>0</v>
      </c>
    </row>
    <row r="533" spans="1:48">
      <c r="A533" s="217"/>
      <c r="B533" s="57"/>
      <c r="C533" s="220"/>
      <c r="D533" s="221"/>
      <c r="E533" s="221"/>
      <c r="F533" s="221"/>
      <c r="G533" s="221"/>
      <c r="H533" s="221"/>
      <c r="I533" s="221"/>
      <c r="J533" s="221"/>
      <c r="K533" s="221"/>
      <c r="L533" s="221"/>
      <c r="M533" s="221"/>
      <c r="N533" s="221"/>
      <c r="O533" s="221"/>
      <c r="P533" s="124">
        <f t="shared" ref="P533:AD533" si="139">IF(AND(SUM(P525:P532)=0,COUNTIF(P525:P532,"NS")&gt;0),"NS",IF(AND(SUM(P525:P532)=0,COUNTIF(P525:P532,0)&gt;0),0,IF(AND(SUM(P525:P532)=0,COUNTIF(P525:P532,"NA")&gt;0),"NA",SUM(P525:P532))))</f>
        <v>0</v>
      </c>
      <c r="Q533" s="124">
        <f t="shared" si="139"/>
        <v>0</v>
      </c>
      <c r="R533" s="124">
        <f t="shared" si="139"/>
        <v>0</v>
      </c>
      <c r="S533" s="124">
        <f t="shared" si="139"/>
        <v>0</v>
      </c>
      <c r="T533" s="124">
        <f t="shared" si="139"/>
        <v>0</v>
      </c>
      <c r="U533" s="124">
        <f t="shared" si="139"/>
        <v>0</v>
      </c>
      <c r="V533" s="124">
        <f t="shared" si="139"/>
        <v>0</v>
      </c>
      <c r="W533" s="124">
        <f t="shared" si="139"/>
        <v>0</v>
      </c>
      <c r="X533" s="124">
        <f t="shared" si="139"/>
        <v>0</v>
      </c>
      <c r="Y533" s="124">
        <f t="shared" si="139"/>
        <v>0</v>
      </c>
      <c r="Z533" s="124">
        <f t="shared" si="139"/>
        <v>0</v>
      </c>
      <c r="AA533" s="124">
        <f t="shared" si="139"/>
        <v>0</v>
      </c>
      <c r="AB533" s="124">
        <f t="shared" si="139"/>
        <v>0</v>
      </c>
      <c r="AC533" s="124">
        <f t="shared" si="139"/>
        <v>0</v>
      </c>
      <c r="AD533" s="124">
        <f t="shared" si="139"/>
        <v>0</v>
      </c>
      <c r="AH533">
        <f>SUM(AH525:AH532)</f>
        <v>0</v>
      </c>
      <c r="AJ533">
        <f>SUM(AJ525:AJ532)</f>
        <v>0</v>
      </c>
      <c r="AK533">
        <f>SUM(AK525:AK532)</f>
        <v>0</v>
      </c>
      <c r="AM533">
        <f>SUM(AM525:AM532)</f>
        <v>0</v>
      </c>
      <c r="AN533">
        <f>SUM(AN525:AN532)</f>
        <v>0</v>
      </c>
      <c r="AP533">
        <f>SUM(AP525:AP532)</f>
        <v>0</v>
      </c>
      <c r="AQ533">
        <f>SUM(AQ525:AQ532)</f>
        <v>0</v>
      </c>
      <c r="AS533">
        <f>SUM(AS525:AS532)</f>
        <v>0</v>
      </c>
      <c r="AT533">
        <f>SUM(AT525:AT532)</f>
        <v>0</v>
      </c>
      <c r="AV533">
        <f>SUM(AV525:AV532)</f>
        <v>0</v>
      </c>
    </row>
    <row r="534" spans="1:48">
      <c r="A534" s="217"/>
      <c r="B534" s="57"/>
      <c r="C534" s="220"/>
      <c r="D534" s="221"/>
      <c r="E534" s="221"/>
      <c r="F534" s="221"/>
      <c r="G534" s="221"/>
      <c r="H534" s="221"/>
      <c r="I534" s="221"/>
      <c r="J534" s="221"/>
      <c r="K534" s="221"/>
      <c r="L534" s="221"/>
      <c r="M534" s="221"/>
      <c r="N534" s="221"/>
      <c r="O534" s="221"/>
      <c r="P534" s="221"/>
      <c r="Q534" s="221"/>
      <c r="R534" s="180"/>
      <c r="S534" s="49"/>
      <c r="T534" s="49"/>
      <c r="U534" s="49"/>
      <c r="V534" s="49"/>
      <c r="W534" s="49"/>
      <c r="X534" s="49"/>
      <c r="Y534" s="49"/>
      <c r="Z534" s="49"/>
      <c r="AA534" s="49"/>
      <c r="AB534" s="49"/>
      <c r="AC534" s="49"/>
      <c r="AD534" s="49"/>
      <c r="AK534" t="s">
        <v>2650</v>
      </c>
      <c r="AL534" s="405">
        <f>SUM(AJ533,AM533,AP533,AS533,AV533)</f>
        <v>0</v>
      </c>
      <c r="AM534" t="s">
        <v>2651</v>
      </c>
      <c r="AN534" s="405">
        <f>SUM(AH533,AK533,AN533,AQ533,AT533)</f>
        <v>0</v>
      </c>
    </row>
    <row r="535" spans="1:48" ht="24" customHeight="1">
      <c r="A535" s="50"/>
      <c r="B535" s="38"/>
      <c r="C535" s="754" t="s">
        <v>2611</v>
      </c>
      <c r="D535" s="754"/>
      <c r="E535" s="754"/>
      <c r="F535" s="754"/>
      <c r="G535" s="754"/>
      <c r="H535" s="754"/>
      <c r="I535" s="754"/>
      <c r="J535" s="754"/>
      <c r="K535" s="754"/>
      <c r="L535" s="754"/>
      <c r="M535" s="754"/>
      <c r="N535" s="754"/>
      <c r="O535" s="754"/>
      <c r="P535" s="754"/>
      <c r="Q535" s="754"/>
      <c r="R535" s="754"/>
      <c r="S535" s="754"/>
      <c r="T535" s="754"/>
      <c r="U535" s="754"/>
      <c r="V535" s="754"/>
      <c r="W535" s="754"/>
      <c r="X535" s="754"/>
      <c r="Y535" s="754"/>
      <c r="Z535" s="754"/>
      <c r="AA535" s="754"/>
      <c r="AB535" s="754"/>
      <c r="AC535" s="754"/>
      <c r="AD535" s="754"/>
      <c r="AK535" t="s">
        <v>2652</v>
      </c>
      <c r="AL535">
        <f>IF(AN534&gt;0,IF(SUM(S533)&gt;=SUM(V533,Y533,AB533),0,1),IF(SUM(S533)&lt;&gt;SUM(V533,Y533,AB533),1,0))</f>
        <v>0</v>
      </c>
      <c r="AM535" t="s">
        <v>2653</v>
      </c>
      <c r="AN535">
        <f>IF(AN534&gt;0,IF(SUM(T533)&gt;=SUM(W533,Z533,AC533),0,1),IF(SUM(T533)&lt;&gt;SUM(W533,Z533,AC533),1,0))</f>
        <v>0</v>
      </c>
      <c r="AO535" t="s">
        <v>2654</v>
      </c>
      <c r="AP535">
        <f>IF(AN534&gt;0,IF(SUM(U533)&gt;=SUM(X533,AA533,AD533),0,1),IF(SUM(U533)&lt;&gt;SUM(X533,AA533,AD533),1,0))</f>
        <v>0</v>
      </c>
    </row>
    <row r="536" spans="1:48" ht="60" customHeight="1">
      <c r="A536" s="50"/>
      <c r="B536" s="38"/>
      <c r="C536" s="851"/>
      <c r="D536" s="851"/>
      <c r="E536" s="851"/>
      <c r="F536" s="851"/>
      <c r="G536" s="851"/>
      <c r="H536" s="851"/>
      <c r="I536" s="851"/>
      <c r="J536" s="851"/>
      <c r="K536" s="851"/>
      <c r="L536" s="851"/>
      <c r="M536" s="851"/>
      <c r="N536" s="851"/>
      <c r="O536" s="851"/>
      <c r="P536" s="851"/>
      <c r="Q536" s="851"/>
      <c r="R536" s="851"/>
      <c r="S536" s="851"/>
      <c r="T536" s="851"/>
      <c r="U536" s="851"/>
      <c r="V536" s="851"/>
      <c r="W536" s="851"/>
      <c r="X536" s="851"/>
      <c r="Y536" s="851"/>
      <c r="Z536" s="851"/>
      <c r="AA536" s="851"/>
      <c r="AB536" s="851"/>
      <c r="AC536" s="851"/>
      <c r="AD536" s="851"/>
      <c r="AK536" t="s">
        <v>5218</v>
      </c>
      <c r="AL536" s="506">
        <f>SUM(AL534,AL519)</f>
        <v>0</v>
      </c>
      <c r="AM536" t="s">
        <v>6243</v>
      </c>
      <c r="AN536" s="705">
        <f>SUM(AN534,AN519)</f>
        <v>0</v>
      </c>
    </row>
    <row r="537" spans="1:48">
      <c r="A537" s="217"/>
      <c r="B537" s="794" t="str">
        <f>IF(AG518=0,"","Favor de ingresar toda la información requerida en la pregunta")</f>
        <v/>
      </c>
      <c r="C537" s="794"/>
      <c r="D537" s="794"/>
      <c r="E537" s="794"/>
      <c r="F537" s="794"/>
      <c r="G537" s="794"/>
      <c r="H537" s="794"/>
      <c r="I537" s="794"/>
      <c r="J537" s="794"/>
      <c r="K537" s="794"/>
      <c r="L537" s="794"/>
      <c r="M537" s="794"/>
      <c r="N537" s="794"/>
      <c r="O537" s="794"/>
      <c r="P537" s="794"/>
      <c r="Q537" s="794"/>
      <c r="R537" s="794"/>
      <c r="S537" s="794"/>
      <c r="T537" s="794"/>
      <c r="U537" s="794"/>
      <c r="V537" s="794"/>
      <c r="W537" s="794"/>
      <c r="X537" s="794"/>
      <c r="Y537" s="794"/>
      <c r="Z537" s="794"/>
      <c r="AA537" s="794"/>
      <c r="AB537" s="794"/>
      <c r="AC537" s="794"/>
      <c r="AD537" s="794"/>
      <c r="AE537" s="794"/>
      <c r="AK537" t="s">
        <v>6244</v>
      </c>
      <c r="AL537" s="506">
        <f>IF(AN536&gt;0,IF(SUM(S518)&gt;=SUM(V518,Y518,AB518,P533,S533,V533,Y533,AB533),0,1),IF(SUM(S518)&lt;&gt;SUM(V518,Y518,AB518,P533,S533,V533,Y533,AB533),1,0))</f>
        <v>0</v>
      </c>
      <c r="AM537" t="s">
        <v>5221</v>
      </c>
      <c r="AN537" s="506">
        <f>IF(AN536&gt;0,IF(SUM(T518)&gt;=SUM(W518,Z518,AC518,Q533,T533,W533,Z533,AC533),0,1),IF(SUM(T518)&lt;&gt;SUM(W518,Z518,AC518,Q533,T533,W533,Z533,AC533),1,0))</f>
        <v>0</v>
      </c>
      <c r="AO537" t="s">
        <v>5222</v>
      </c>
      <c r="AP537" s="506">
        <f>IF(AN536&gt;0,IF(SUM(U518)&gt;=SUM(X518,AA518,AD518,R533,U533,X533,AA533,AD533),0,1),IF(SUM(U518)&lt;&gt;SUM(X518,AA518,AD518,R533,U533,X533,AA533,AD533),1,0))</f>
        <v>0</v>
      </c>
    </row>
    <row r="538" spans="1:48">
      <c r="A538" s="217"/>
      <c r="B538" s="1087" t="str">
        <f>IF(SUM(COUNTIF(S510:AD517,"NS"),COUNTIF(P525:AD532,"NS"))&lt;&gt;0,"Alerta: debido a que cuenta con registros NS, debe proporcionar una justificación en el area de comentarios al final de la pregunta","")</f>
        <v/>
      </c>
      <c r="C538" s="1087"/>
      <c r="D538" s="1087"/>
      <c r="E538" s="1087"/>
      <c r="F538" s="1087"/>
      <c r="G538" s="1087"/>
      <c r="H538" s="1087"/>
      <c r="I538" s="1087"/>
      <c r="J538" s="1087"/>
      <c r="K538" s="1087"/>
      <c r="L538" s="1087"/>
      <c r="M538" s="1087"/>
      <c r="N538" s="1087"/>
      <c r="O538" s="1087"/>
      <c r="P538" s="1087"/>
      <c r="Q538" s="1087"/>
      <c r="R538" s="1087"/>
      <c r="S538" s="1087"/>
      <c r="T538" s="1087"/>
      <c r="U538" s="1087"/>
      <c r="V538" s="1087"/>
      <c r="W538" s="1087"/>
      <c r="X538" s="1087"/>
      <c r="Y538" s="1087"/>
      <c r="Z538" s="1087"/>
      <c r="AA538" s="1087"/>
      <c r="AB538" s="1087"/>
      <c r="AC538" s="1087"/>
      <c r="AD538" s="1087"/>
      <c r="AE538" s="1087"/>
      <c r="AF538"/>
      <c r="AG538"/>
      <c r="AH538"/>
      <c r="AI538"/>
      <c r="AJ538"/>
      <c r="AK538"/>
      <c r="AL538"/>
      <c r="AM538"/>
      <c r="AN538"/>
      <c r="AO538"/>
      <c r="AP538"/>
      <c r="AQ538"/>
      <c r="AR538"/>
      <c r="AS538"/>
      <c r="AT538"/>
      <c r="AU538"/>
      <c r="AV538"/>
    </row>
    <row r="539" spans="1:48">
      <c r="A539" s="217"/>
      <c r="B539" s="1003" t="str">
        <f>IF(AH518&gt;0,"Revise la información capturada, ya que tiene datos ingresados en celdas que están sombreadas","")</f>
        <v/>
      </c>
      <c r="C539" s="1003"/>
      <c r="D539" s="1003"/>
      <c r="E539" s="1003"/>
      <c r="F539" s="1003"/>
      <c r="G539" s="1003"/>
      <c r="H539" s="1003"/>
      <c r="I539" s="1003"/>
      <c r="J539" s="1003"/>
      <c r="K539" s="1003"/>
      <c r="L539" s="1003"/>
      <c r="M539" s="1003"/>
      <c r="N539" s="1003"/>
      <c r="O539" s="1003"/>
      <c r="P539" s="1003"/>
      <c r="Q539" s="1003"/>
      <c r="R539" s="1003"/>
      <c r="S539" s="1003"/>
      <c r="T539" s="1003"/>
      <c r="U539" s="1003"/>
      <c r="V539" s="1003"/>
      <c r="W539" s="1003"/>
      <c r="X539" s="1003"/>
      <c r="Y539" s="1003"/>
      <c r="Z539" s="1003"/>
      <c r="AA539" s="1003"/>
      <c r="AB539" s="1003"/>
      <c r="AC539" s="1003"/>
      <c r="AD539" s="1003"/>
      <c r="AE539" s="1003"/>
    </row>
    <row r="540" spans="1:48">
      <c r="A540" s="217"/>
      <c r="B540" s="1003" t="str">
        <f>IF(OR(AL536&gt;0,AL537&gt;0,AN537&gt;0,AP537&gt;0),"Favor de revisar la suma y consistencia de totales y/o subtotales por filas (numéricos y NS)","")</f>
        <v/>
      </c>
      <c r="C540" s="1003"/>
      <c r="D540" s="1003"/>
      <c r="E540" s="1003"/>
      <c r="F540" s="1003"/>
      <c r="G540" s="1003"/>
      <c r="H540" s="1003"/>
      <c r="I540" s="1003"/>
      <c r="J540" s="1003"/>
      <c r="K540" s="1003"/>
      <c r="L540" s="1003"/>
      <c r="M540" s="1003"/>
      <c r="N540" s="1003"/>
      <c r="O540" s="1003"/>
      <c r="P540" s="1003"/>
      <c r="Q540" s="1003"/>
      <c r="R540" s="1003"/>
      <c r="S540" s="1003"/>
      <c r="T540" s="1003"/>
      <c r="U540" s="1003"/>
      <c r="V540" s="1003"/>
      <c r="W540" s="1003"/>
      <c r="X540" s="1003"/>
      <c r="Y540" s="1003"/>
      <c r="Z540" s="1003"/>
      <c r="AA540" s="1003"/>
      <c r="AB540" s="1003"/>
      <c r="AC540" s="1003"/>
      <c r="AD540" s="1003"/>
      <c r="AE540" s="1003"/>
    </row>
    <row r="541" spans="1:48">
      <c r="A541" s="217"/>
      <c r="B541" s="794" t="str">
        <f>IF(AF518=0,"","Debido a que cuenta con registro(s) con el código 1, el total de la fila respectiva debe ser mayor a cero")</f>
        <v/>
      </c>
      <c r="C541" s="794"/>
      <c r="D541" s="794"/>
      <c r="E541" s="794"/>
      <c r="F541" s="794"/>
      <c r="G541" s="794"/>
      <c r="H541" s="794"/>
      <c r="I541" s="794"/>
      <c r="J541" s="794"/>
      <c r="K541" s="794"/>
      <c r="L541" s="794"/>
      <c r="M541" s="794"/>
      <c r="N541" s="794"/>
      <c r="O541" s="794"/>
      <c r="P541" s="794"/>
      <c r="Q541" s="794"/>
      <c r="R541" s="794"/>
      <c r="S541" s="794"/>
      <c r="T541" s="794"/>
      <c r="U541" s="794"/>
      <c r="V541" s="794"/>
      <c r="W541" s="794"/>
      <c r="X541" s="794"/>
      <c r="Y541" s="794"/>
      <c r="Z541" s="794"/>
      <c r="AA541" s="794"/>
      <c r="AB541" s="794"/>
      <c r="AC541" s="794"/>
      <c r="AD541" s="794"/>
      <c r="AE541" s="794"/>
    </row>
    <row r="542" spans="1:48">
      <c r="A542" s="217"/>
      <c r="B542" s="57"/>
      <c r="C542" s="57"/>
      <c r="D542" s="57"/>
      <c r="E542" s="57"/>
      <c r="F542" s="57"/>
      <c r="G542" s="57"/>
      <c r="H542" s="57"/>
      <c r="I542" s="57"/>
      <c r="J542" s="57"/>
      <c r="K542" s="57"/>
      <c r="L542" s="57"/>
      <c r="M542" s="57"/>
      <c r="N542" s="57"/>
      <c r="O542" s="57"/>
      <c r="P542" s="57"/>
      <c r="Q542" s="57"/>
      <c r="R542" s="57"/>
      <c r="S542" s="57"/>
      <c r="T542" s="57"/>
      <c r="U542" s="57"/>
      <c r="V542" s="57"/>
      <c r="W542" s="57"/>
      <c r="X542" s="57"/>
      <c r="Y542" s="57"/>
      <c r="Z542" s="57"/>
      <c r="AA542" s="57"/>
      <c r="AB542" s="57"/>
      <c r="AC542" s="57"/>
      <c r="AD542" s="57"/>
      <c r="AE542"/>
    </row>
    <row r="543" spans="1:48" ht="36" customHeight="1">
      <c r="A543" s="49" t="s">
        <v>6245</v>
      </c>
      <c r="B543" s="829" t="s">
        <v>6212</v>
      </c>
      <c r="C543" s="829"/>
      <c r="D543" s="829"/>
      <c r="E543" s="829"/>
      <c r="F543" s="829"/>
      <c r="G543" s="829"/>
      <c r="H543" s="829"/>
      <c r="I543" s="829"/>
      <c r="J543" s="829"/>
      <c r="K543" s="829"/>
      <c r="L543" s="829"/>
      <c r="M543" s="829"/>
      <c r="N543" s="829"/>
      <c r="O543" s="829"/>
      <c r="P543" s="829"/>
      <c r="Q543" s="829"/>
      <c r="R543" s="829"/>
      <c r="S543" s="829"/>
      <c r="T543" s="829"/>
      <c r="U543" s="829"/>
      <c r="V543" s="829"/>
      <c r="W543" s="829"/>
      <c r="X543" s="829"/>
      <c r="Y543" s="829"/>
      <c r="Z543" s="829"/>
      <c r="AA543" s="829"/>
      <c r="AB543" s="829"/>
      <c r="AC543" s="829"/>
      <c r="AD543" s="829"/>
    </row>
    <row r="544" spans="1:48" ht="24" customHeight="1">
      <c r="A544" s="142"/>
      <c r="B544" s="57"/>
      <c r="C544" s="830" t="s">
        <v>6246</v>
      </c>
      <c r="D544" s="830"/>
      <c r="E544" s="830"/>
      <c r="F544" s="830"/>
      <c r="G544" s="830"/>
      <c r="H544" s="830"/>
      <c r="I544" s="830"/>
      <c r="J544" s="830"/>
      <c r="K544" s="830"/>
      <c r="L544" s="830"/>
      <c r="M544" s="830"/>
      <c r="N544" s="830"/>
      <c r="O544" s="830"/>
      <c r="P544" s="830"/>
      <c r="Q544" s="830"/>
      <c r="R544" s="830"/>
      <c r="S544" s="830"/>
      <c r="T544" s="830"/>
      <c r="U544" s="830"/>
      <c r="V544" s="830"/>
      <c r="W544" s="830"/>
      <c r="X544" s="830"/>
      <c r="Y544" s="830"/>
      <c r="Z544" s="830"/>
      <c r="AA544" s="830"/>
      <c r="AB544" s="830"/>
      <c r="AC544" s="830"/>
      <c r="AD544" s="830"/>
    </row>
    <row r="545" spans="1:47" ht="24" customHeight="1">
      <c r="A545" s="142"/>
      <c r="B545" s="57"/>
      <c r="C545" s="754" t="s">
        <v>3885</v>
      </c>
      <c r="D545" s="754"/>
      <c r="E545" s="754"/>
      <c r="F545" s="754"/>
      <c r="G545" s="754"/>
      <c r="H545" s="754"/>
      <c r="I545" s="754"/>
      <c r="J545" s="754"/>
      <c r="K545" s="754"/>
      <c r="L545" s="754"/>
      <c r="M545" s="754"/>
      <c r="N545" s="754"/>
      <c r="O545" s="754"/>
      <c r="P545" s="754"/>
      <c r="Q545" s="754"/>
      <c r="R545" s="754"/>
      <c r="S545" s="754"/>
      <c r="T545" s="754"/>
      <c r="U545" s="754"/>
      <c r="V545" s="754"/>
      <c r="W545" s="754"/>
      <c r="X545" s="754"/>
      <c r="Y545" s="754"/>
      <c r="Z545" s="754"/>
      <c r="AA545" s="754"/>
      <c r="AB545" s="754"/>
      <c r="AC545" s="754"/>
      <c r="AD545" s="754"/>
    </row>
    <row r="546" spans="1:47" ht="24" customHeight="1">
      <c r="A546" s="142"/>
      <c r="B546" s="57"/>
      <c r="C546" s="754" t="s">
        <v>3886</v>
      </c>
      <c r="D546" s="754"/>
      <c r="E546" s="754"/>
      <c r="F546" s="754"/>
      <c r="G546" s="754"/>
      <c r="H546" s="754"/>
      <c r="I546" s="754"/>
      <c r="J546" s="754"/>
      <c r="K546" s="754"/>
      <c r="L546" s="754"/>
      <c r="M546" s="754"/>
      <c r="N546" s="754"/>
      <c r="O546" s="754"/>
      <c r="P546" s="754"/>
      <c r="Q546" s="754"/>
      <c r="R546" s="754"/>
      <c r="S546" s="754"/>
      <c r="T546" s="754"/>
      <c r="U546" s="754"/>
      <c r="V546" s="754"/>
      <c r="W546" s="754"/>
      <c r="X546" s="754"/>
      <c r="Y546" s="754"/>
      <c r="Z546" s="754"/>
      <c r="AA546" s="754"/>
      <c r="AB546" s="754"/>
      <c r="AC546" s="754"/>
      <c r="AD546" s="754"/>
    </row>
    <row r="547" spans="1:47" ht="36" customHeight="1">
      <c r="A547" s="50"/>
      <c r="B547" s="38"/>
      <c r="C547" s="830" t="s">
        <v>3887</v>
      </c>
      <c r="D547" s="830"/>
      <c r="E547" s="830"/>
      <c r="F547" s="830"/>
      <c r="G547" s="830"/>
      <c r="H547" s="830"/>
      <c r="I547" s="830"/>
      <c r="J547" s="830"/>
      <c r="K547" s="830"/>
      <c r="L547" s="830"/>
      <c r="M547" s="830"/>
      <c r="N547" s="830"/>
      <c r="O547" s="830"/>
      <c r="P547" s="830"/>
      <c r="Q547" s="830"/>
      <c r="R547" s="830"/>
      <c r="S547" s="830"/>
      <c r="T547" s="830"/>
      <c r="U547" s="830"/>
      <c r="V547" s="830"/>
      <c r="W547" s="830"/>
      <c r="X547" s="830"/>
      <c r="Y547" s="830"/>
      <c r="Z547" s="830"/>
      <c r="AA547" s="830"/>
      <c r="AB547" s="830"/>
      <c r="AC547" s="830"/>
      <c r="AD547" s="830"/>
    </row>
    <row r="548" spans="1:47" ht="24" customHeight="1">
      <c r="A548" s="50"/>
      <c r="B548" s="38"/>
      <c r="C548" s="830" t="s">
        <v>3888</v>
      </c>
      <c r="D548" s="830"/>
      <c r="E548" s="830"/>
      <c r="F548" s="830"/>
      <c r="G548" s="830"/>
      <c r="H548" s="830"/>
      <c r="I548" s="830"/>
      <c r="J548" s="830"/>
      <c r="K548" s="830"/>
      <c r="L548" s="830"/>
      <c r="M548" s="830"/>
      <c r="N548" s="830"/>
      <c r="O548" s="830"/>
      <c r="P548" s="830"/>
      <c r="Q548" s="830"/>
      <c r="R548" s="830"/>
      <c r="S548" s="830"/>
      <c r="T548" s="830"/>
      <c r="U548" s="830"/>
      <c r="V548" s="830"/>
      <c r="W548" s="830"/>
      <c r="X548" s="830"/>
      <c r="Y548" s="830"/>
      <c r="Z548" s="830"/>
      <c r="AA548" s="830"/>
      <c r="AB548" s="830"/>
      <c r="AC548" s="830"/>
      <c r="AD548" s="830"/>
    </row>
    <row r="549" spans="1:47">
      <c r="A549" s="215"/>
      <c r="B549" s="90"/>
      <c r="C549" s="90"/>
      <c r="D549" s="90"/>
      <c r="E549" s="90"/>
      <c r="F549" s="90"/>
      <c r="G549" s="90"/>
      <c r="H549" s="90"/>
      <c r="I549" s="90"/>
      <c r="J549" s="90"/>
      <c r="K549" s="90"/>
      <c r="L549" s="90"/>
      <c r="M549" s="90"/>
      <c r="N549" s="90"/>
      <c r="O549" s="90"/>
      <c r="P549" s="90"/>
      <c r="Q549" s="90"/>
      <c r="R549" s="90"/>
      <c r="S549" s="90"/>
      <c r="T549" s="90"/>
      <c r="U549" s="90"/>
      <c r="V549" s="90"/>
      <c r="W549" s="90"/>
      <c r="X549" s="90"/>
      <c r="Y549" s="90"/>
      <c r="Z549" s="90"/>
      <c r="AA549" s="90"/>
      <c r="AB549" s="90"/>
      <c r="AC549" s="90"/>
      <c r="AD549" s="90"/>
    </row>
    <row r="550" spans="1:47" ht="24" customHeight="1">
      <c r="A550" s="50"/>
      <c r="B550" s="38"/>
      <c r="C550" s="797" t="s">
        <v>3889</v>
      </c>
      <c r="D550" s="798"/>
      <c r="E550" s="798"/>
      <c r="F550" s="798"/>
      <c r="G550" s="798"/>
      <c r="H550" s="798"/>
      <c r="I550" s="798"/>
      <c r="J550" s="798"/>
      <c r="K550" s="798"/>
      <c r="L550" s="798"/>
      <c r="M550" s="798"/>
      <c r="N550" s="798"/>
      <c r="O550" s="798"/>
      <c r="P550" s="798"/>
      <c r="Q550" s="798"/>
      <c r="R550" s="799"/>
      <c r="S550" s="739" t="s">
        <v>6247</v>
      </c>
      <c r="T550" s="740"/>
      <c r="U550" s="740"/>
      <c r="V550" s="740"/>
      <c r="W550" s="740"/>
      <c r="X550" s="740"/>
      <c r="Y550" s="740"/>
      <c r="Z550" s="740"/>
      <c r="AA550" s="740"/>
      <c r="AB550" s="740"/>
      <c r="AC550" s="740"/>
      <c r="AD550" s="741"/>
    </row>
    <row r="551" spans="1:47" ht="15" customHeight="1">
      <c r="A551" s="50"/>
      <c r="B551" s="38"/>
      <c r="C551" s="800"/>
      <c r="D551" s="801"/>
      <c r="E551" s="801"/>
      <c r="F551" s="801"/>
      <c r="G551" s="801"/>
      <c r="H551" s="801"/>
      <c r="I551" s="801"/>
      <c r="J551" s="801"/>
      <c r="K551" s="801"/>
      <c r="L551" s="801"/>
      <c r="M551" s="801"/>
      <c r="N551" s="801"/>
      <c r="O551" s="801"/>
      <c r="P551" s="801"/>
      <c r="Q551" s="801"/>
      <c r="R551" s="802"/>
      <c r="S551" s="733" t="s">
        <v>3891</v>
      </c>
      <c r="T551" s="734"/>
      <c r="U551" s="734"/>
      <c r="V551" s="734"/>
      <c r="W551" s="734"/>
      <c r="X551" s="734"/>
      <c r="Y551" s="734"/>
      <c r="Z551" s="734"/>
      <c r="AA551" s="735"/>
      <c r="AB551" s="818" t="s">
        <v>3892</v>
      </c>
      <c r="AC551" s="819"/>
      <c r="AD551" s="820"/>
      <c r="AF551" t="s">
        <v>6214</v>
      </c>
      <c r="AG551"/>
      <c r="AH551" t="s">
        <v>6248</v>
      </c>
    </row>
    <row r="552" spans="1:47" ht="24" customHeight="1">
      <c r="A552" s="50"/>
      <c r="B552" s="38"/>
      <c r="C552" s="800"/>
      <c r="D552" s="801"/>
      <c r="E552" s="801"/>
      <c r="F552" s="801"/>
      <c r="G552" s="801"/>
      <c r="H552" s="801"/>
      <c r="I552" s="801"/>
      <c r="J552" s="801"/>
      <c r="K552" s="801"/>
      <c r="L552" s="801"/>
      <c r="M552" s="801"/>
      <c r="N552" s="801"/>
      <c r="O552" s="801"/>
      <c r="P552" s="801"/>
      <c r="Q552" s="801"/>
      <c r="R552" s="802"/>
      <c r="S552" s="733" t="s">
        <v>3876</v>
      </c>
      <c r="T552" s="734"/>
      <c r="U552" s="735"/>
      <c r="V552" s="733" t="s">
        <v>3877</v>
      </c>
      <c r="W552" s="734"/>
      <c r="X552" s="735"/>
      <c r="Y552" s="736" t="s">
        <v>3878</v>
      </c>
      <c r="Z552" s="736"/>
      <c r="AA552" s="736"/>
      <c r="AB552" s="824"/>
      <c r="AC552" s="825"/>
      <c r="AD552" s="826"/>
      <c r="AF552">
        <f>IF(AND(SUM(V518,Y518,AB518)=0,SUM(COUNTIF(V518,"NS"),COUNTIF(Y518,"NS"),COUNTIF(AB518,"NS"))&gt;0),"NS",IF(AND(SUM(V518,Y518,AB518)=0,SUM(COUNTIF(V518,0),COUNTIF(Y518,0),COUNTIF(AB518,0))&gt;0),0,IF(AND(SUM(V518,Y518,AB518)=0,SUM(COUNTIF(V518,"NA"),COUNTIF(Y518,"NA"),COUNTIF(AB518,"NA"))&gt;0),"NA",SUM(V518,Y518,AB518))))</f>
        <v>0</v>
      </c>
      <c r="AG552"/>
      <c r="AH552">
        <f>IF(OR(COUNTBLANK(D510:D517)=8,COUNTIF(M510:R517,"&gt;1")=(8-COUNTBLANK(D510:D517))),8,-1)</f>
        <v>8</v>
      </c>
    </row>
    <row r="553" spans="1:47" ht="48" customHeight="1">
      <c r="A553" s="50"/>
      <c r="B553" s="38"/>
      <c r="C553" s="803"/>
      <c r="D553" s="804"/>
      <c r="E553" s="804"/>
      <c r="F553" s="804"/>
      <c r="G553" s="804"/>
      <c r="H553" s="804"/>
      <c r="I553" s="804"/>
      <c r="J553" s="804"/>
      <c r="K553" s="804"/>
      <c r="L553" s="804"/>
      <c r="M553" s="804"/>
      <c r="N553" s="804"/>
      <c r="O553" s="804"/>
      <c r="P553" s="804"/>
      <c r="Q553" s="804"/>
      <c r="R553" s="805"/>
      <c r="S553" s="127" t="s">
        <v>2628</v>
      </c>
      <c r="T553" s="121" t="s">
        <v>2629</v>
      </c>
      <c r="U553" s="121" t="s">
        <v>2630</v>
      </c>
      <c r="V553" s="127" t="s">
        <v>2628</v>
      </c>
      <c r="W553" s="121" t="s">
        <v>2629</v>
      </c>
      <c r="X553" s="121" t="s">
        <v>2630</v>
      </c>
      <c r="Y553" s="127" t="s">
        <v>2628</v>
      </c>
      <c r="Z553" s="121" t="s">
        <v>2629</v>
      </c>
      <c r="AA553" s="121" t="s">
        <v>2630</v>
      </c>
      <c r="AB553" s="129" t="s">
        <v>2628</v>
      </c>
      <c r="AC553" s="128" t="s">
        <v>2629</v>
      </c>
      <c r="AD553" s="128" t="s">
        <v>2630</v>
      </c>
      <c r="AG553" t="s">
        <v>2586</v>
      </c>
      <c r="AH553" t="s">
        <v>6216</v>
      </c>
      <c r="AI553" t="s">
        <v>6217</v>
      </c>
      <c r="AJ553" t="s">
        <v>2590</v>
      </c>
      <c r="AK553" t="s">
        <v>3163</v>
      </c>
      <c r="AL553" t="s">
        <v>4564</v>
      </c>
      <c r="AM553" t="s">
        <v>2590</v>
      </c>
      <c r="AN553" t="s">
        <v>3163</v>
      </c>
      <c r="AO553" t="s">
        <v>4564</v>
      </c>
      <c r="AP553" t="s">
        <v>2590</v>
      </c>
      <c r="AQ553" t="s">
        <v>3163</v>
      </c>
      <c r="AR553" t="s">
        <v>4564</v>
      </c>
      <c r="AS553" t="s">
        <v>2590</v>
      </c>
      <c r="AT553" t="s">
        <v>3163</v>
      </c>
      <c r="AU553" t="s">
        <v>4564</v>
      </c>
    </row>
    <row r="554" spans="1:47" ht="15" customHeight="1">
      <c r="A554" s="50"/>
      <c r="B554" s="38"/>
      <c r="C554" s="92" t="s">
        <v>2516</v>
      </c>
      <c r="D554" s="869" t="s">
        <v>3897</v>
      </c>
      <c r="E554" s="870"/>
      <c r="F554" s="870"/>
      <c r="G554" s="870"/>
      <c r="H554" s="870"/>
      <c r="I554" s="870"/>
      <c r="J554" s="870"/>
      <c r="K554" s="870"/>
      <c r="L554" s="870"/>
      <c r="M554" s="870"/>
      <c r="N554" s="870"/>
      <c r="O554" s="870"/>
      <c r="P554" s="870"/>
      <c r="Q554" s="870"/>
      <c r="R554" s="870"/>
      <c r="S554" s="100"/>
      <c r="T554" s="100"/>
      <c r="U554" s="100"/>
      <c r="V554" s="100"/>
      <c r="W554" s="100"/>
      <c r="X554" s="100"/>
      <c r="Y554" s="100"/>
      <c r="Z554" s="100"/>
      <c r="AA554" s="100"/>
      <c r="AB554" s="116"/>
      <c r="AC554" s="116"/>
      <c r="AD554" s="116"/>
      <c r="AG554" s="506">
        <f>IF($AH$552=8,0,IF(AND(AND($AF$552&gt;0,$AF$552&lt;&gt;"NS",$AF$552&lt;&gt;"NA"),OR($P$533=0,$P$533="NS",$P$533="NA")),IF(COUNTBLANK(S554:AA559)=0,0,1),IF(AND(OR($AF$552=0,$AF$552="NS",$AF$552="NA"),AND($P$533&gt;0,$P$533&lt;&gt;"NS",$P$533&lt;&gt;"NA")),IF(COUNTBLANK(AB554:AD559)=0,0,1),IF(AND(AND($AF$552&gt;0,$AF$552&lt;&gt;"NS",$AF$552&lt;&gt;"NA"),AND($P$533&gt;0,$P$533&lt;&gt;"NS",$P$533&lt;&gt;"NA")),IF(COUNTBLANK(S554:AD559)=0,0,1),0))))</f>
        <v>0</v>
      </c>
      <c r="AH554">
        <f>IF($AH$552=8,IF(COUNTA(S554:AD559)=0,0,1),0)</f>
        <v>0</v>
      </c>
      <c r="AI554">
        <f>IF($AH$552=8,0,IF(AND(AND($AF$552&gt;0,$AF$552&lt;&gt;"NS",$AF$552&lt;&gt;"NA"),OR($P$533=0,$P$533="NS",$P$533="NA")),IF(OR(COUNTA(AB554:AD559)=0),0,1),IF(AND(OR($AF$552=0,$AF$552="NS",$AF$552="NA"),AND($P$533&gt;0,$P$533&lt;&gt;"NS",$P$533&lt;&gt;"NA")),IF(COUNTA(S554:AA559)=0,0,1),IF(AND(OR($AF$552=0,$AF$552="NS",$AF$552="NA"),OR($P$533=0,$P$533="NS",$P$533="NA")),IF(COUNTA(S554:AD559)=0,0,1),0))))</f>
        <v>0</v>
      </c>
      <c r="AJ554">
        <f t="shared" ref="AJ554:AJ559" si="140">COUNTIF(T554:U554,"NS")</f>
        <v>0</v>
      </c>
      <c r="AK554">
        <f t="shared" ref="AK554:AK559" si="141">SUM(T554:U554)</f>
        <v>0</v>
      </c>
      <c r="AL554">
        <f t="shared" ref="AL554:AL559" si="142">IF(COUNTIF(S554:U554,"NA")=3,0,IF(COUNTA(S554:U554)=0,0,IF(OR(AND(S554=0,AJ554&gt;0),AND(S554="ns",AK554&gt;0),AND(S554="ns",AJ554=0,AK554=0)),1,IF(OR(AND(S554&gt;0,AJ554=2),AND(S554="ns",AJ554=2),AND(S554="ns",AK554=0,AJ554&gt;0),S554=AK554),0,1))))</f>
        <v>0</v>
      </c>
      <c r="AM554">
        <f t="shared" ref="AM554:AM559" si="143">COUNTIF(W554:X554,"NS")</f>
        <v>0</v>
      </c>
      <c r="AN554">
        <f t="shared" ref="AN554:AN559" si="144">SUM(W554:X554)</f>
        <v>0</v>
      </c>
      <c r="AO554">
        <f t="shared" ref="AO554:AO559" si="145">IF(COUNTIF(V554:X554,"NA")=3,0,IF(COUNTA(V554:X554)=0,0,IF(OR(AND(V554=0,AM554&gt;0),AND(V554="ns",AN554&gt;0),AND(V554="ns",AM554=0,AN554=0)),1,IF(OR(AND(V554&gt;0,AM554=2),AND(V554="ns",AM554=2),AND(V554="ns",AN554=0,AM554&gt;0),V554=AN554),0,1))))</f>
        <v>0</v>
      </c>
      <c r="AP554">
        <f t="shared" ref="AP554:AP559" si="146">COUNTIF(Z554:AA554,"NS")</f>
        <v>0</v>
      </c>
      <c r="AQ554">
        <f t="shared" ref="AQ554:AQ559" si="147">SUM(Z554:AA554)</f>
        <v>0</v>
      </c>
      <c r="AR554">
        <f t="shared" ref="AR554:AR559" si="148">IF(COUNTIF(Y554:AA554,"NA")=3,0,IF(COUNTA(Y554:AA554)=0,0,IF(OR(AND(Y554=0,AP554&gt;0),AND(Y554="ns",AQ554&gt;0),AND(Y554="ns",AP554=0,AQ554=0)),1,IF(OR(AND(Y554&gt;0,AP554=2),AND(Y554="ns",AP554=2),AND(Y554="ns",AQ554=0,AP554&gt;0),Y554=AQ554),0,1))))</f>
        <v>0</v>
      </c>
      <c r="AS554">
        <f t="shared" ref="AS554:AS559" si="149">COUNTIF(AC554:AD554,"NS")</f>
        <v>0</v>
      </c>
      <c r="AT554">
        <f t="shared" ref="AT554:AT559" si="150">SUM(AC554:AD554)</f>
        <v>0</v>
      </c>
      <c r="AU554">
        <f t="shared" ref="AU554:AU559" si="151">IF(COUNTIF(AB554:AD554,"NA")=3,0,IF(COUNTA(AB554:AD554)=0,0,IF(OR(AND(AB554=0,AS554&gt;0),AND(AB554="ns",AT554&gt;0),AND(AB554="ns",AS554=0,AT554=0)),1,IF(OR(AND(AB554&gt;0,AS554=2),AND(AB554="ns",AS554=2),AND(AB554="ns",AT554=0,AS554&gt;0),AB554=AT554),0,1))))</f>
        <v>0</v>
      </c>
    </row>
    <row r="555" spans="1:47" ht="15" customHeight="1">
      <c r="A555" s="50"/>
      <c r="B555" s="38"/>
      <c r="C555" s="44" t="s">
        <v>2517</v>
      </c>
      <c r="D555" s="869" t="s">
        <v>3898</v>
      </c>
      <c r="E555" s="870"/>
      <c r="F555" s="870"/>
      <c r="G555" s="870"/>
      <c r="H555" s="870"/>
      <c r="I555" s="870"/>
      <c r="J555" s="870"/>
      <c r="K555" s="870"/>
      <c r="L555" s="870"/>
      <c r="M555" s="870"/>
      <c r="N555" s="870"/>
      <c r="O555" s="870"/>
      <c r="P555" s="870"/>
      <c r="Q555" s="870"/>
      <c r="R555" s="870"/>
      <c r="S555" s="100"/>
      <c r="T555" s="100"/>
      <c r="U555" s="100"/>
      <c r="V555" s="100"/>
      <c r="W555" s="100"/>
      <c r="X555" s="100"/>
      <c r="Y555" s="100"/>
      <c r="Z555" s="100"/>
      <c r="AA555" s="100"/>
      <c r="AB555" s="116"/>
      <c r="AC555" s="116"/>
      <c r="AD555" s="116"/>
      <c r="AG555"/>
      <c r="AH555"/>
      <c r="AI555" s="507">
        <f>SUM(AH554:AI554)</f>
        <v>0</v>
      </c>
      <c r="AJ555">
        <f t="shared" si="140"/>
        <v>0</v>
      </c>
      <c r="AK555">
        <f t="shared" si="141"/>
        <v>0</v>
      </c>
      <c r="AL555">
        <f t="shared" si="142"/>
        <v>0</v>
      </c>
      <c r="AM555">
        <f t="shared" si="143"/>
        <v>0</v>
      </c>
      <c r="AN555">
        <f t="shared" si="144"/>
        <v>0</v>
      </c>
      <c r="AO555">
        <f t="shared" si="145"/>
        <v>0</v>
      </c>
      <c r="AP555">
        <f t="shared" si="146"/>
        <v>0</v>
      </c>
      <c r="AQ555">
        <f t="shared" si="147"/>
        <v>0</v>
      </c>
      <c r="AR555">
        <f t="shared" si="148"/>
        <v>0</v>
      </c>
      <c r="AS555">
        <f t="shared" si="149"/>
        <v>0</v>
      </c>
      <c r="AT555">
        <f t="shared" si="150"/>
        <v>0</v>
      </c>
      <c r="AU555">
        <f t="shared" si="151"/>
        <v>0</v>
      </c>
    </row>
    <row r="556" spans="1:47" ht="15" customHeight="1">
      <c r="A556" s="50"/>
      <c r="B556" s="38"/>
      <c r="C556" s="44" t="s">
        <v>2518</v>
      </c>
      <c r="D556" s="869" t="s">
        <v>3900</v>
      </c>
      <c r="E556" s="870"/>
      <c r="F556" s="870"/>
      <c r="G556" s="870"/>
      <c r="H556" s="870"/>
      <c r="I556" s="870"/>
      <c r="J556" s="870"/>
      <c r="K556" s="870"/>
      <c r="L556" s="870"/>
      <c r="M556" s="870"/>
      <c r="N556" s="870"/>
      <c r="O556" s="870"/>
      <c r="P556" s="870"/>
      <c r="Q556" s="870"/>
      <c r="R556" s="870"/>
      <c r="S556" s="100"/>
      <c r="T556" s="100"/>
      <c r="U556" s="100"/>
      <c r="V556" s="100"/>
      <c r="W556" s="100"/>
      <c r="X556" s="100"/>
      <c r="Y556" s="100"/>
      <c r="Z556" s="100"/>
      <c r="AA556" s="100"/>
      <c r="AB556" s="116"/>
      <c r="AC556" s="116"/>
      <c r="AD556" s="116"/>
      <c r="AG556"/>
      <c r="AH556"/>
      <c r="AI556"/>
      <c r="AJ556">
        <f t="shared" si="140"/>
        <v>0</v>
      </c>
      <c r="AK556">
        <f t="shared" si="141"/>
        <v>0</v>
      </c>
      <c r="AL556">
        <f t="shared" si="142"/>
        <v>0</v>
      </c>
      <c r="AM556">
        <f t="shared" si="143"/>
        <v>0</v>
      </c>
      <c r="AN556">
        <f t="shared" si="144"/>
        <v>0</v>
      </c>
      <c r="AO556">
        <f t="shared" si="145"/>
        <v>0</v>
      </c>
      <c r="AP556">
        <f t="shared" si="146"/>
        <v>0</v>
      </c>
      <c r="AQ556">
        <f t="shared" si="147"/>
        <v>0</v>
      </c>
      <c r="AR556">
        <f t="shared" si="148"/>
        <v>0</v>
      </c>
      <c r="AS556">
        <f t="shared" si="149"/>
        <v>0</v>
      </c>
      <c r="AT556">
        <f t="shared" si="150"/>
        <v>0</v>
      </c>
      <c r="AU556">
        <f t="shared" si="151"/>
        <v>0</v>
      </c>
    </row>
    <row r="557" spans="1:47" ht="15" customHeight="1">
      <c r="A557" s="50"/>
      <c r="B557" s="38"/>
      <c r="C557" s="44" t="s">
        <v>2519</v>
      </c>
      <c r="D557" s="869" t="s">
        <v>3902</v>
      </c>
      <c r="E557" s="870"/>
      <c r="F557" s="870"/>
      <c r="G557" s="870"/>
      <c r="H557" s="870"/>
      <c r="I557" s="870"/>
      <c r="J557" s="870"/>
      <c r="K557" s="870"/>
      <c r="L557" s="870"/>
      <c r="M557" s="870"/>
      <c r="N557" s="870"/>
      <c r="O557" s="870"/>
      <c r="P557" s="870"/>
      <c r="Q557" s="870"/>
      <c r="R557" s="870"/>
      <c r="S557" s="100"/>
      <c r="T557" s="100"/>
      <c r="U557" s="100"/>
      <c r="V557" s="100"/>
      <c r="W557" s="100"/>
      <c r="X557" s="100"/>
      <c r="Y557" s="100"/>
      <c r="Z557" s="100"/>
      <c r="AA557" s="100"/>
      <c r="AB557" s="116"/>
      <c r="AC557" s="116"/>
      <c r="AD557" s="116"/>
      <c r="AG557"/>
      <c r="AH557"/>
      <c r="AI557"/>
      <c r="AJ557">
        <f t="shared" si="140"/>
        <v>0</v>
      </c>
      <c r="AK557">
        <f t="shared" si="141"/>
        <v>0</v>
      </c>
      <c r="AL557">
        <f t="shared" si="142"/>
        <v>0</v>
      </c>
      <c r="AM557">
        <f t="shared" si="143"/>
        <v>0</v>
      </c>
      <c r="AN557">
        <f t="shared" si="144"/>
        <v>0</v>
      </c>
      <c r="AO557">
        <f t="shared" si="145"/>
        <v>0</v>
      </c>
      <c r="AP557">
        <f t="shared" si="146"/>
        <v>0</v>
      </c>
      <c r="AQ557">
        <f t="shared" si="147"/>
        <v>0</v>
      </c>
      <c r="AR557">
        <f t="shared" si="148"/>
        <v>0</v>
      </c>
      <c r="AS557">
        <f t="shared" si="149"/>
        <v>0</v>
      </c>
      <c r="AT557">
        <f t="shared" si="150"/>
        <v>0</v>
      </c>
      <c r="AU557">
        <f t="shared" si="151"/>
        <v>0</v>
      </c>
    </row>
    <row r="558" spans="1:47" ht="15" customHeight="1">
      <c r="A558" s="50"/>
      <c r="B558" s="38"/>
      <c r="C558" s="44" t="s">
        <v>2520</v>
      </c>
      <c r="D558" s="869" t="s">
        <v>3904</v>
      </c>
      <c r="E558" s="870"/>
      <c r="F558" s="870"/>
      <c r="G558" s="870"/>
      <c r="H558" s="870"/>
      <c r="I558" s="870"/>
      <c r="J558" s="870"/>
      <c r="K558" s="870"/>
      <c r="L558" s="870"/>
      <c r="M558" s="870"/>
      <c r="N558" s="870"/>
      <c r="O558" s="870"/>
      <c r="P558" s="870"/>
      <c r="Q558" s="870"/>
      <c r="R558" s="870"/>
      <c r="S558" s="100"/>
      <c r="T558" s="100"/>
      <c r="U558" s="100"/>
      <c r="V558" s="100"/>
      <c r="W558" s="100"/>
      <c r="X558" s="100"/>
      <c r="Y558" s="100"/>
      <c r="Z558" s="100"/>
      <c r="AA558" s="100"/>
      <c r="AB558" s="116"/>
      <c r="AC558" s="116"/>
      <c r="AD558" s="116"/>
      <c r="AG558"/>
      <c r="AH558"/>
      <c r="AI558"/>
      <c r="AJ558">
        <f t="shared" si="140"/>
        <v>0</v>
      </c>
      <c r="AK558">
        <f t="shared" si="141"/>
        <v>0</v>
      </c>
      <c r="AL558">
        <f t="shared" si="142"/>
        <v>0</v>
      </c>
      <c r="AM558">
        <f t="shared" si="143"/>
        <v>0</v>
      </c>
      <c r="AN558">
        <f t="shared" si="144"/>
        <v>0</v>
      </c>
      <c r="AO558">
        <f t="shared" si="145"/>
        <v>0</v>
      </c>
      <c r="AP558">
        <f t="shared" si="146"/>
        <v>0</v>
      </c>
      <c r="AQ558">
        <f t="shared" si="147"/>
        <v>0</v>
      </c>
      <c r="AR558">
        <f t="shared" si="148"/>
        <v>0</v>
      </c>
      <c r="AS558">
        <f t="shared" si="149"/>
        <v>0</v>
      </c>
      <c r="AT558">
        <f t="shared" si="150"/>
        <v>0</v>
      </c>
      <c r="AU558">
        <f t="shared" si="151"/>
        <v>0</v>
      </c>
    </row>
    <row r="559" spans="1:47" ht="15" customHeight="1">
      <c r="A559" s="50"/>
      <c r="B559" s="38"/>
      <c r="C559" s="44" t="s">
        <v>2521</v>
      </c>
      <c r="D559" s="869" t="s">
        <v>201</v>
      </c>
      <c r="E559" s="870"/>
      <c r="F559" s="870"/>
      <c r="G559" s="870"/>
      <c r="H559" s="870"/>
      <c r="I559" s="870"/>
      <c r="J559" s="870"/>
      <c r="K559" s="870"/>
      <c r="L559" s="870"/>
      <c r="M559" s="870"/>
      <c r="N559" s="870"/>
      <c r="O559" s="870"/>
      <c r="P559" s="870"/>
      <c r="Q559" s="870"/>
      <c r="R559" s="870"/>
      <c r="S559" s="100"/>
      <c r="T559" s="100"/>
      <c r="U559" s="100"/>
      <c r="V559" s="100"/>
      <c r="W559" s="100"/>
      <c r="X559" s="100"/>
      <c r="Y559" s="100"/>
      <c r="Z559" s="100"/>
      <c r="AA559" s="100"/>
      <c r="AB559" s="116"/>
      <c r="AC559" s="116"/>
      <c r="AD559" s="116"/>
      <c r="AG559"/>
      <c r="AH559"/>
      <c r="AI559"/>
      <c r="AJ559">
        <f t="shared" si="140"/>
        <v>0</v>
      </c>
      <c r="AK559">
        <f t="shared" si="141"/>
        <v>0</v>
      </c>
      <c r="AL559">
        <f t="shared" si="142"/>
        <v>0</v>
      </c>
      <c r="AM559">
        <f t="shared" si="143"/>
        <v>0</v>
      </c>
      <c r="AN559">
        <f t="shared" si="144"/>
        <v>0</v>
      </c>
      <c r="AO559">
        <f t="shared" si="145"/>
        <v>0</v>
      </c>
      <c r="AP559">
        <f t="shared" si="146"/>
        <v>0</v>
      </c>
      <c r="AQ559">
        <f t="shared" si="147"/>
        <v>0</v>
      </c>
      <c r="AR559">
        <f t="shared" si="148"/>
        <v>0</v>
      </c>
      <c r="AS559">
        <f t="shared" si="149"/>
        <v>0</v>
      </c>
      <c r="AT559">
        <f t="shared" si="150"/>
        <v>0</v>
      </c>
      <c r="AU559">
        <f t="shared" si="151"/>
        <v>0</v>
      </c>
    </row>
    <row r="560" spans="1:47">
      <c r="A560" s="50"/>
      <c r="B560" s="38"/>
      <c r="C560" s="38"/>
      <c r="D560" s="105"/>
      <c r="E560" s="105"/>
      <c r="F560" s="105"/>
      <c r="G560" s="105"/>
      <c r="H560" s="105"/>
      <c r="I560" s="38"/>
      <c r="J560" s="38"/>
      <c r="K560" s="38"/>
      <c r="M560" s="117"/>
      <c r="N560" s="117"/>
      <c r="O560" s="117"/>
      <c r="P560" s="117"/>
      <c r="Q560" s="117"/>
      <c r="R560" s="99" t="s">
        <v>2649</v>
      </c>
      <c r="S560" s="124">
        <f t="shared" ref="S560:AD560" si="152">IF(AND(SUM(S554:S559)=0,COUNTIF(S554:S559,"NS")&gt;0),"NS",IF(AND(SUM(S554:S559)=0,COUNTIF(S554:S559,0)&gt;0),0,IF(AND(SUM(S554:S559)=0,COUNTIF(S554:S559,"NA")&gt;0),"NA",SUM(S554:S559))))</f>
        <v>0</v>
      </c>
      <c r="T560" s="124">
        <f t="shared" si="152"/>
        <v>0</v>
      </c>
      <c r="U560" s="124">
        <f t="shared" si="152"/>
        <v>0</v>
      </c>
      <c r="V560" s="124">
        <f t="shared" si="152"/>
        <v>0</v>
      </c>
      <c r="W560" s="124">
        <f t="shared" si="152"/>
        <v>0</v>
      </c>
      <c r="X560" s="124">
        <f t="shared" si="152"/>
        <v>0</v>
      </c>
      <c r="Y560" s="124">
        <f t="shared" si="152"/>
        <v>0</v>
      </c>
      <c r="Z560" s="124">
        <f t="shared" si="152"/>
        <v>0</v>
      </c>
      <c r="AA560" s="124">
        <f t="shared" si="152"/>
        <v>0</v>
      </c>
      <c r="AB560" s="172">
        <f t="shared" si="152"/>
        <v>0</v>
      </c>
      <c r="AC560" s="172">
        <f t="shared" si="152"/>
        <v>0</v>
      </c>
      <c r="AD560" s="172">
        <f t="shared" si="152"/>
        <v>0</v>
      </c>
      <c r="AG560"/>
      <c r="AI560"/>
      <c r="AJ560">
        <f>SUM(AJ554:AJ559)</f>
        <v>0</v>
      </c>
      <c r="AL560">
        <f>SUM(AL554:AL559)</f>
        <v>0</v>
      </c>
      <c r="AM560">
        <f>SUM(AM554:AM559)</f>
        <v>0</v>
      </c>
      <c r="AO560">
        <f>SUM(AO554:AO559)</f>
        <v>0</v>
      </c>
      <c r="AP560">
        <f>SUM(AP554:AP559)</f>
        <v>0</v>
      </c>
      <c r="AR560">
        <f>SUM(AR554:AR559)</f>
        <v>0</v>
      </c>
      <c r="AS560">
        <f>SUM(AS554:AS559)</f>
        <v>0</v>
      </c>
      <c r="AU560">
        <f>SUM(AU554:AU559)</f>
        <v>0</v>
      </c>
    </row>
    <row r="561" spans="1:38">
      <c r="A561" s="215"/>
      <c r="B561" s="90"/>
      <c r="C561" s="222"/>
      <c r="D561" s="221"/>
      <c r="E561" s="221"/>
      <c r="F561" s="221"/>
      <c r="G561" s="221"/>
      <c r="H561" s="221"/>
      <c r="I561" s="221"/>
      <c r="J561" s="221"/>
      <c r="K561" s="221"/>
      <c r="L561" s="221"/>
      <c r="M561" s="221"/>
      <c r="N561" s="221"/>
      <c r="O561" s="221"/>
      <c r="P561" s="221"/>
      <c r="Q561" s="221"/>
      <c r="R561" s="180"/>
      <c r="S561" s="49"/>
      <c r="T561" s="49"/>
      <c r="U561" s="49"/>
      <c r="V561" s="49"/>
      <c r="W561" s="49"/>
      <c r="X561" s="49"/>
      <c r="Y561" s="49"/>
      <c r="Z561" s="49"/>
      <c r="AA561" s="49"/>
      <c r="AB561" s="49"/>
      <c r="AC561" s="49"/>
      <c r="AD561" s="49"/>
      <c r="AK561" t="s">
        <v>2650</v>
      </c>
      <c r="AL561" s="507">
        <f>SUM(AL560,AO560,AR560,AU560)</f>
        <v>0</v>
      </c>
    </row>
    <row r="562" spans="1:38" ht="24" customHeight="1">
      <c r="A562" s="50"/>
      <c r="B562" s="38"/>
      <c r="C562" s="754" t="s">
        <v>2611</v>
      </c>
      <c r="D562" s="754"/>
      <c r="E562" s="754"/>
      <c r="F562" s="754"/>
      <c r="G562" s="754"/>
      <c r="H562" s="754"/>
      <c r="I562" s="754"/>
      <c r="J562" s="754"/>
      <c r="K562" s="754"/>
      <c r="L562" s="754"/>
      <c r="M562" s="754"/>
      <c r="N562" s="754"/>
      <c r="O562" s="754"/>
      <c r="P562" s="754"/>
      <c r="Q562" s="754"/>
      <c r="R562" s="754"/>
      <c r="S562" s="754"/>
      <c r="T562" s="754"/>
      <c r="U562" s="754"/>
      <c r="V562" s="754"/>
      <c r="W562" s="754"/>
      <c r="X562" s="754"/>
      <c r="Y562" s="754"/>
      <c r="Z562" s="754"/>
      <c r="AA562" s="754"/>
      <c r="AB562" s="754"/>
      <c r="AC562" s="754"/>
      <c r="AD562" s="754"/>
    </row>
    <row r="563" spans="1:38" ht="60" customHeight="1">
      <c r="A563" s="50"/>
      <c r="B563" s="38"/>
      <c r="C563" s="851"/>
      <c r="D563" s="851"/>
      <c r="E563" s="851"/>
      <c r="F563" s="851"/>
      <c r="G563" s="851"/>
      <c r="H563" s="851"/>
      <c r="I563" s="851"/>
      <c r="J563" s="851"/>
      <c r="K563" s="851"/>
      <c r="L563" s="851"/>
      <c r="M563" s="851"/>
      <c r="N563" s="851"/>
      <c r="O563" s="851"/>
      <c r="P563" s="851"/>
      <c r="Q563" s="851"/>
      <c r="R563" s="851"/>
      <c r="S563" s="851"/>
      <c r="T563" s="851"/>
      <c r="U563" s="851"/>
      <c r="V563" s="851"/>
      <c r="W563" s="851"/>
      <c r="X563" s="851"/>
      <c r="Y563" s="851"/>
      <c r="Z563" s="851"/>
      <c r="AA563" s="851"/>
      <c r="AB563" s="851"/>
      <c r="AC563" s="851"/>
      <c r="AD563" s="851"/>
    </row>
    <row r="564" spans="1:38">
      <c r="A564" s="217"/>
      <c r="B564" s="794" t="str">
        <f>IF(AG554=0,"","Favor de ingresar toda la información requerida en la pregunta")</f>
        <v/>
      </c>
      <c r="C564" s="794"/>
      <c r="D564" s="794"/>
      <c r="E564" s="794"/>
      <c r="F564" s="794"/>
      <c r="G564" s="794"/>
      <c r="H564" s="794"/>
      <c r="I564" s="794"/>
      <c r="J564" s="794"/>
      <c r="K564" s="794"/>
      <c r="L564" s="794"/>
      <c r="M564" s="794"/>
      <c r="N564" s="794"/>
      <c r="O564" s="794"/>
      <c r="P564" s="794"/>
      <c r="Q564" s="794"/>
      <c r="R564" s="794"/>
      <c r="S564" s="794"/>
      <c r="T564" s="794"/>
      <c r="U564" s="794"/>
      <c r="V564" s="794"/>
      <c r="W564" s="794"/>
      <c r="X564" s="794"/>
      <c r="Y564" s="794"/>
      <c r="Z564" s="794"/>
      <c r="AA564" s="794"/>
      <c r="AB564" s="794"/>
      <c r="AC564" s="794"/>
      <c r="AD564" s="794"/>
      <c r="AE564" s="794"/>
    </row>
    <row r="565" spans="1:38">
      <c r="A565" s="217"/>
      <c r="B565" s="1087" t="str">
        <f>IF(COUNTIF(S554:AD559,"NS")&lt;&gt;0,"Alerta: debido a que cuenta con registros NS, debe proporcionar una justificación en el area de comentarios al final de la pregunta","")</f>
        <v/>
      </c>
      <c r="C565" s="1087"/>
      <c r="D565" s="1087"/>
      <c r="E565" s="1087"/>
      <c r="F565" s="1087"/>
      <c r="G565" s="1087"/>
      <c r="H565" s="1087"/>
      <c r="I565" s="1087"/>
      <c r="J565" s="1087"/>
      <c r="K565" s="1087"/>
      <c r="L565" s="1087"/>
      <c r="M565" s="1087"/>
      <c r="N565" s="1087"/>
      <c r="O565" s="1087"/>
      <c r="P565" s="1087"/>
      <c r="Q565" s="1087"/>
      <c r="R565" s="1087"/>
      <c r="S565" s="1087"/>
      <c r="T565" s="1087"/>
      <c r="U565" s="1087"/>
      <c r="V565" s="1087"/>
      <c r="W565" s="1087"/>
      <c r="X565" s="1087"/>
      <c r="Y565" s="1087"/>
      <c r="Z565" s="1087"/>
      <c r="AA565" s="1087"/>
      <c r="AB565" s="1087"/>
      <c r="AC565" s="1087"/>
      <c r="AD565" s="1087"/>
      <c r="AE565" s="1087"/>
    </row>
    <row r="566" spans="1:38">
      <c r="A566" s="217"/>
      <c r="B566" s="1003" t="str">
        <f>IF(AI555&gt;0,"Revise la información capturada, ya que tiene datos ingresados en celdas que están sombreadas","")</f>
        <v/>
      </c>
      <c r="C566" s="1003"/>
      <c r="D566" s="1003"/>
      <c r="E566" s="1003"/>
      <c r="F566" s="1003"/>
      <c r="G566" s="1003"/>
      <c r="H566" s="1003"/>
      <c r="I566" s="1003"/>
      <c r="J566" s="1003"/>
      <c r="K566" s="1003"/>
      <c r="L566" s="1003"/>
      <c r="M566" s="1003"/>
      <c r="N566" s="1003"/>
      <c r="O566" s="1003"/>
      <c r="P566" s="1003"/>
      <c r="Q566" s="1003"/>
      <c r="R566" s="1003"/>
      <c r="S566" s="1003"/>
      <c r="T566" s="1003"/>
      <c r="U566" s="1003"/>
      <c r="V566" s="1003"/>
      <c r="W566" s="1003"/>
      <c r="X566" s="1003"/>
      <c r="Y566" s="1003"/>
      <c r="Z566" s="1003"/>
      <c r="AA566" s="1003"/>
      <c r="AB566" s="1003"/>
      <c r="AC566" s="1003"/>
      <c r="AD566" s="1003"/>
      <c r="AE566" s="1003"/>
    </row>
    <row r="567" spans="1:38">
      <c r="A567" s="217"/>
      <c r="B567" s="1003" t="str">
        <f>IF(AL561&gt;0,"Favor de revisar la suma y consistencia de totales y/o subtotales por filas (numéricos y NS)","")</f>
        <v/>
      </c>
      <c r="C567" s="1003"/>
      <c r="D567" s="1003"/>
      <c r="E567" s="1003"/>
      <c r="F567" s="1003"/>
      <c r="G567" s="1003"/>
      <c r="H567" s="1003"/>
      <c r="I567" s="1003"/>
      <c r="J567" s="1003"/>
      <c r="K567" s="1003"/>
      <c r="L567" s="1003"/>
      <c r="M567" s="1003"/>
      <c r="N567" s="1003"/>
      <c r="O567" s="1003"/>
      <c r="P567" s="1003"/>
      <c r="Q567" s="1003"/>
      <c r="R567" s="1003"/>
      <c r="S567" s="1003"/>
      <c r="T567" s="1003"/>
      <c r="U567" s="1003"/>
      <c r="V567" s="1003"/>
      <c r="W567" s="1003"/>
      <c r="X567" s="1003"/>
      <c r="Y567" s="1003"/>
      <c r="Z567" s="1003"/>
      <c r="AA567" s="1003"/>
      <c r="AB567" s="1003"/>
      <c r="AC567" s="1003"/>
      <c r="AD567" s="1003"/>
      <c r="AE567" s="1003"/>
    </row>
    <row r="568" spans="1:38">
      <c r="A568" s="217"/>
      <c r="B568" s="794" t="str">
        <f>IF(AND(S560=V518,T560=W518,U560=X518,V560=Y518,W560=Z518,X560=AA518,Y560=AB518,Z560=AC518,AA560=AD518),"","Favor de revisar la instrucción 4, debido a que no se cumplen con los criterios mencionados")</f>
        <v/>
      </c>
      <c r="C568" s="794"/>
      <c r="D568" s="794"/>
      <c r="E568" s="794"/>
      <c r="F568" s="794"/>
      <c r="G568" s="794"/>
      <c r="H568" s="794"/>
      <c r="I568" s="794"/>
      <c r="J568" s="794"/>
      <c r="K568" s="794"/>
      <c r="L568" s="794"/>
      <c r="M568" s="794"/>
      <c r="N568" s="794"/>
      <c r="O568" s="794"/>
      <c r="P568" s="794"/>
      <c r="Q568" s="794"/>
      <c r="R568" s="794"/>
      <c r="S568" s="794"/>
      <c r="T568" s="794"/>
      <c r="U568" s="794"/>
      <c r="V568" s="794"/>
      <c r="W568" s="794"/>
      <c r="X568" s="794"/>
      <c r="Y568" s="794"/>
      <c r="Z568" s="794"/>
      <c r="AA568" s="794"/>
      <c r="AB568" s="794"/>
      <c r="AC568" s="794"/>
      <c r="AD568" s="794"/>
      <c r="AE568" s="794"/>
    </row>
    <row r="569" spans="1:38">
      <c r="A569" s="215"/>
      <c r="B569" s="794" t="str">
        <f>IF(AND(AB560=P533,AC560=Q533,AD560=R533),"","Favor de revisar la instrucción 5, debido a que no se cumplen con los criterios mencionados")</f>
        <v/>
      </c>
      <c r="C569" s="794"/>
      <c r="D569" s="794"/>
      <c r="E569" s="794"/>
      <c r="F569" s="794"/>
      <c r="G569" s="794"/>
      <c r="H569" s="794"/>
      <c r="I569" s="794"/>
      <c r="J569" s="794"/>
      <c r="K569" s="794"/>
      <c r="L569" s="794"/>
      <c r="M569" s="794"/>
      <c r="N569" s="794"/>
      <c r="O569" s="794"/>
      <c r="P569" s="794"/>
      <c r="Q569" s="794"/>
      <c r="R569" s="794"/>
      <c r="S569" s="794"/>
      <c r="T569" s="794"/>
      <c r="U569" s="794"/>
      <c r="V569" s="794"/>
      <c r="W569" s="794"/>
      <c r="X569" s="794"/>
      <c r="Y569" s="794"/>
      <c r="Z569" s="794"/>
      <c r="AA569" s="794"/>
      <c r="AB569" s="794"/>
      <c r="AC569" s="794"/>
      <c r="AD569" s="794"/>
      <c r="AE569" s="794"/>
    </row>
    <row r="570" spans="1:38" ht="24" customHeight="1">
      <c r="A570" s="49" t="s">
        <v>6249</v>
      </c>
      <c r="B570" s="829" t="s">
        <v>6219</v>
      </c>
      <c r="C570" s="829"/>
      <c r="D570" s="829"/>
      <c r="E570" s="829"/>
      <c r="F570" s="829"/>
      <c r="G570" s="829"/>
      <c r="H570" s="829"/>
      <c r="I570" s="829"/>
      <c r="J570" s="829"/>
      <c r="K570" s="829"/>
      <c r="L570" s="829"/>
      <c r="M570" s="829"/>
      <c r="N570" s="829"/>
      <c r="O570" s="829"/>
      <c r="P570" s="829"/>
      <c r="Q570" s="829"/>
      <c r="R570" s="829"/>
      <c r="S570" s="829"/>
      <c r="T570" s="829"/>
      <c r="U570" s="829"/>
      <c r="V570" s="829"/>
      <c r="W570" s="829"/>
      <c r="X570" s="829"/>
      <c r="Y570" s="829"/>
      <c r="Z570" s="829"/>
      <c r="AA570" s="829"/>
      <c r="AB570" s="829"/>
      <c r="AC570" s="829"/>
      <c r="AD570" s="829"/>
    </row>
    <row r="571" spans="1:38" ht="24" customHeight="1">
      <c r="A571" s="49"/>
      <c r="B571" s="105"/>
      <c r="C571" s="830" t="s">
        <v>6250</v>
      </c>
      <c r="D571" s="830"/>
      <c r="E571" s="830"/>
      <c r="F571" s="830"/>
      <c r="G571" s="830"/>
      <c r="H571" s="830"/>
      <c r="I571" s="830"/>
      <c r="J571" s="830"/>
      <c r="K571" s="830"/>
      <c r="L571" s="830"/>
      <c r="M571" s="830"/>
      <c r="N571" s="830"/>
      <c r="O571" s="830"/>
      <c r="P571" s="830"/>
      <c r="Q571" s="830"/>
      <c r="R571" s="830"/>
      <c r="S571" s="830"/>
      <c r="T571" s="830"/>
      <c r="U571" s="830"/>
      <c r="V571" s="830"/>
      <c r="W571" s="830"/>
      <c r="X571" s="830"/>
      <c r="Y571" s="830"/>
      <c r="Z571" s="830"/>
      <c r="AA571" s="830"/>
      <c r="AB571" s="830"/>
      <c r="AC571" s="830"/>
      <c r="AD571" s="830"/>
    </row>
    <row r="572" spans="1:38" ht="24" customHeight="1">
      <c r="A572" s="142"/>
      <c r="B572" s="57"/>
      <c r="C572" s="754" t="s">
        <v>6220</v>
      </c>
      <c r="D572" s="754"/>
      <c r="E572" s="754"/>
      <c r="F572" s="754"/>
      <c r="G572" s="754"/>
      <c r="H572" s="754"/>
      <c r="I572" s="754"/>
      <c r="J572" s="754"/>
      <c r="K572" s="754"/>
      <c r="L572" s="754"/>
      <c r="M572" s="754"/>
      <c r="N572" s="754"/>
      <c r="O572" s="754"/>
      <c r="P572" s="754"/>
      <c r="Q572" s="754"/>
      <c r="R572" s="754"/>
      <c r="S572" s="754"/>
      <c r="T572" s="754"/>
      <c r="U572" s="754"/>
      <c r="V572" s="754"/>
      <c r="W572" s="754"/>
      <c r="X572" s="754"/>
      <c r="Y572" s="754"/>
      <c r="Z572" s="754"/>
      <c r="AA572" s="754"/>
      <c r="AB572" s="754"/>
      <c r="AC572" s="754"/>
      <c r="AD572" s="754"/>
    </row>
    <row r="573" spans="1:38" ht="24" customHeight="1">
      <c r="A573" s="142"/>
      <c r="B573" s="57"/>
      <c r="C573" s="754" t="s">
        <v>6221</v>
      </c>
      <c r="D573" s="754"/>
      <c r="E573" s="754"/>
      <c r="F573" s="754"/>
      <c r="G573" s="754"/>
      <c r="H573" s="754"/>
      <c r="I573" s="754"/>
      <c r="J573" s="754"/>
      <c r="K573" s="754"/>
      <c r="L573" s="754"/>
      <c r="M573" s="754"/>
      <c r="N573" s="754"/>
      <c r="O573" s="754"/>
      <c r="P573" s="754"/>
      <c r="Q573" s="754"/>
      <c r="R573" s="754"/>
      <c r="S573" s="754"/>
      <c r="T573" s="754"/>
      <c r="U573" s="754"/>
      <c r="V573" s="754"/>
      <c r="W573" s="754"/>
      <c r="X573" s="754"/>
      <c r="Y573" s="754"/>
      <c r="Z573" s="754"/>
      <c r="AA573" s="754"/>
      <c r="AB573" s="754"/>
      <c r="AC573" s="754"/>
      <c r="AD573" s="754"/>
    </row>
    <row r="574" spans="1:38" ht="48" customHeight="1">
      <c r="A574" s="50"/>
      <c r="B574" s="38"/>
      <c r="C574" s="830" t="s">
        <v>6222</v>
      </c>
      <c r="D574" s="830"/>
      <c r="E574" s="830"/>
      <c r="F574" s="830"/>
      <c r="G574" s="830"/>
      <c r="H574" s="830"/>
      <c r="I574" s="830"/>
      <c r="J574" s="830"/>
      <c r="K574" s="830"/>
      <c r="L574" s="830"/>
      <c r="M574" s="830"/>
      <c r="N574" s="830"/>
      <c r="O574" s="830"/>
      <c r="P574" s="830"/>
      <c r="Q574" s="830"/>
      <c r="R574" s="830"/>
      <c r="S574" s="830"/>
      <c r="T574" s="830"/>
      <c r="U574" s="830"/>
      <c r="V574" s="830"/>
      <c r="W574" s="830"/>
      <c r="X574" s="830"/>
      <c r="Y574" s="830"/>
      <c r="Z574" s="830"/>
      <c r="AA574" s="830"/>
      <c r="AB574" s="830"/>
      <c r="AC574" s="830"/>
      <c r="AD574" s="830"/>
    </row>
    <row r="575" spans="1:38" ht="36" customHeight="1">
      <c r="A575" s="217"/>
      <c r="B575" s="57"/>
      <c r="C575" s="830" t="s">
        <v>6223</v>
      </c>
      <c r="D575" s="830"/>
      <c r="E575" s="830"/>
      <c r="F575" s="830"/>
      <c r="G575" s="830"/>
      <c r="H575" s="830"/>
      <c r="I575" s="830"/>
      <c r="J575" s="830"/>
      <c r="K575" s="830"/>
      <c r="L575" s="830"/>
      <c r="M575" s="830"/>
      <c r="N575" s="830"/>
      <c r="O575" s="830"/>
      <c r="P575" s="830"/>
      <c r="Q575" s="830"/>
      <c r="R575" s="830"/>
      <c r="S575" s="830"/>
      <c r="T575" s="830"/>
      <c r="U575" s="830"/>
      <c r="V575" s="830"/>
      <c r="W575" s="830"/>
      <c r="X575" s="830"/>
      <c r="Y575" s="830"/>
      <c r="Z575" s="830"/>
      <c r="AA575" s="830"/>
      <c r="AB575" s="830"/>
      <c r="AC575" s="830"/>
      <c r="AD575" s="830"/>
    </row>
    <row r="576" spans="1:38" ht="24" customHeight="1">
      <c r="A576" s="217"/>
      <c r="B576" s="57"/>
      <c r="C576" s="754" t="s">
        <v>6224</v>
      </c>
      <c r="D576" s="754"/>
      <c r="E576" s="754"/>
      <c r="F576" s="754"/>
      <c r="G576" s="754"/>
      <c r="H576" s="754"/>
      <c r="I576" s="754"/>
      <c r="J576" s="754"/>
      <c r="K576" s="754"/>
      <c r="L576" s="754"/>
      <c r="M576" s="754"/>
      <c r="N576" s="754"/>
      <c r="O576" s="754"/>
      <c r="P576" s="754"/>
      <c r="Q576" s="754"/>
      <c r="R576" s="754"/>
      <c r="S576" s="754"/>
      <c r="T576" s="754"/>
      <c r="U576" s="754"/>
      <c r="V576" s="754"/>
      <c r="W576" s="754"/>
      <c r="X576" s="754"/>
      <c r="Y576" s="754"/>
      <c r="Z576" s="754"/>
      <c r="AA576" s="754"/>
      <c r="AB576" s="754"/>
      <c r="AC576" s="754"/>
      <c r="AD576" s="754"/>
    </row>
    <row r="577" spans="1:47">
      <c r="A577" s="215"/>
      <c r="B577" s="90"/>
      <c r="C577" s="222"/>
      <c r="D577" s="221"/>
      <c r="E577" s="221"/>
      <c r="F577" s="221"/>
      <c r="G577" s="221"/>
      <c r="H577" s="221"/>
      <c r="I577" s="221"/>
      <c r="J577" s="221"/>
      <c r="K577" s="221"/>
      <c r="L577" s="221"/>
      <c r="M577" s="221"/>
      <c r="N577" s="221"/>
      <c r="O577" s="221"/>
      <c r="P577" s="221"/>
      <c r="Q577" s="221"/>
      <c r="R577" s="180"/>
      <c r="S577" s="49"/>
      <c r="T577" s="49"/>
      <c r="U577" s="49"/>
      <c r="V577" s="49"/>
      <c r="W577" s="49"/>
      <c r="X577" s="49"/>
      <c r="Y577" s="49"/>
      <c r="Z577" s="49"/>
      <c r="AA577" s="49"/>
      <c r="AB577" s="49"/>
      <c r="AC577" s="49"/>
      <c r="AD577" s="49"/>
    </row>
    <row r="578" spans="1:47" ht="24" customHeight="1">
      <c r="A578" s="50"/>
      <c r="B578" s="38"/>
      <c r="C578" s="797" t="s">
        <v>6225</v>
      </c>
      <c r="D578" s="798"/>
      <c r="E578" s="798"/>
      <c r="F578" s="798"/>
      <c r="G578" s="798"/>
      <c r="H578" s="798"/>
      <c r="I578" s="798"/>
      <c r="J578" s="798"/>
      <c r="K578" s="798"/>
      <c r="L578" s="798"/>
      <c r="M578" s="798"/>
      <c r="N578" s="798"/>
      <c r="O578" s="798"/>
      <c r="P578" s="798"/>
      <c r="Q578" s="798"/>
      <c r="R578" s="799"/>
      <c r="S578" s="739" t="s">
        <v>6247</v>
      </c>
      <c r="T578" s="740"/>
      <c r="U578" s="740"/>
      <c r="V578" s="740"/>
      <c r="W578" s="740"/>
      <c r="X578" s="740"/>
      <c r="Y578" s="740"/>
      <c r="Z578" s="740"/>
      <c r="AA578" s="740"/>
      <c r="AB578" s="740"/>
      <c r="AC578" s="740"/>
      <c r="AD578" s="741"/>
    </row>
    <row r="579" spans="1:47" ht="15" customHeight="1">
      <c r="A579" s="50"/>
      <c r="B579" s="38"/>
      <c r="C579" s="800"/>
      <c r="D579" s="801"/>
      <c r="E579" s="801"/>
      <c r="F579" s="801"/>
      <c r="G579" s="801"/>
      <c r="H579" s="801"/>
      <c r="I579" s="801"/>
      <c r="J579" s="801"/>
      <c r="K579" s="801"/>
      <c r="L579" s="801"/>
      <c r="M579" s="801"/>
      <c r="N579" s="801"/>
      <c r="O579" s="801"/>
      <c r="P579" s="801"/>
      <c r="Q579" s="801"/>
      <c r="R579" s="802"/>
      <c r="S579" s="733" t="s">
        <v>3891</v>
      </c>
      <c r="T579" s="734"/>
      <c r="U579" s="734"/>
      <c r="V579" s="734"/>
      <c r="W579" s="734"/>
      <c r="X579" s="734"/>
      <c r="Y579" s="734"/>
      <c r="Z579" s="734"/>
      <c r="AA579" s="735"/>
      <c r="AB579" s="818" t="s">
        <v>3892</v>
      </c>
      <c r="AC579" s="819"/>
      <c r="AD579" s="820"/>
      <c r="AF579" t="s">
        <v>5210</v>
      </c>
      <c r="AH579"/>
    </row>
    <row r="580" spans="1:47" ht="24" customHeight="1">
      <c r="A580" s="50"/>
      <c r="B580" s="38"/>
      <c r="C580" s="800"/>
      <c r="D580" s="801"/>
      <c r="E580" s="801"/>
      <c r="F580" s="801"/>
      <c r="G580" s="801"/>
      <c r="H580" s="801"/>
      <c r="I580" s="801"/>
      <c r="J580" s="801"/>
      <c r="K580" s="801"/>
      <c r="L580" s="801"/>
      <c r="M580" s="801"/>
      <c r="N580" s="801"/>
      <c r="O580" s="801"/>
      <c r="P580" s="801"/>
      <c r="Q580" s="801"/>
      <c r="R580" s="802"/>
      <c r="S580" s="733" t="s">
        <v>3876</v>
      </c>
      <c r="T580" s="734"/>
      <c r="U580" s="735"/>
      <c r="V580" s="733" t="s">
        <v>3877</v>
      </c>
      <c r="W580" s="734"/>
      <c r="X580" s="735"/>
      <c r="Y580" s="736" t="s">
        <v>3878</v>
      </c>
      <c r="Z580" s="736"/>
      <c r="AA580" s="736"/>
      <c r="AB580" s="824"/>
      <c r="AC580" s="825"/>
      <c r="AD580" s="826"/>
      <c r="AF580">
        <f>IF(AND(SUM(S557,V557,Y557)=0,SUM(COUNTIF(S557,"NS"),COUNTIF(V557,"NS"),COUNTIF(Y557,"NS"))&gt;0),"NS",IF(AND(SUM(S557,V557,Y557)=0,SUM(COUNTIF(S557,0),COUNTIF(V557,0),COUNTIF(Y557,0))&gt;0),0,IF(AND(SUM(S557,V557,Y557)=0,SUM(COUNTIF(S557,"NA"),COUNTIF(V557,"NA"),COUNTIF(Y557,"NA"))&gt;0),"NA",SUM(S557,V557,Y557))))</f>
        <v>0</v>
      </c>
    </row>
    <row r="581" spans="1:47" ht="48" customHeight="1">
      <c r="A581" s="50"/>
      <c r="B581" s="38"/>
      <c r="C581" s="803"/>
      <c r="D581" s="804"/>
      <c r="E581" s="804"/>
      <c r="F581" s="804"/>
      <c r="G581" s="804"/>
      <c r="H581" s="804"/>
      <c r="I581" s="804"/>
      <c r="J581" s="804"/>
      <c r="K581" s="804"/>
      <c r="L581" s="804"/>
      <c r="M581" s="804"/>
      <c r="N581" s="804"/>
      <c r="O581" s="804"/>
      <c r="P581" s="804"/>
      <c r="Q581" s="804"/>
      <c r="R581" s="805"/>
      <c r="S581" s="127" t="s">
        <v>2628</v>
      </c>
      <c r="T581" s="121" t="s">
        <v>2629</v>
      </c>
      <c r="U581" s="121" t="s">
        <v>2630</v>
      </c>
      <c r="V581" s="127" t="s">
        <v>2628</v>
      </c>
      <c r="W581" s="121" t="s">
        <v>2629</v>
      </c>
      <c r="X581" s="121" t="s">
        <v>2630</v>
      </c>
      <c r="Y581" s="127" t="s">
        <v>2628</v>
      </c>
      <c r="Z581" s="121" t="s">
        <v>2629</v>
      </c>
      <c r="AA581" s="121" t="s">
        <v>2630</v>
      </c>
      <c r="AB581" s="129" t="s">
        <v>2628</v>
      </c>
      <c r="AC581" s="128" t="s">
        <v>2629</v>
      </c>
      <c r="AD581" s="128" t="s">
        <v>2630</v>
      </c>
      <c r="AG581" t="s">
        <v>2586</v>
      </c>
      <c r="AH581" t="s">
        <v>6216</v>
      </c>
      <c r="AI581" t="s">
        <v>6217</v>
      </c>
      <c r="AJ581" t="s">
        <v>2590</v>
      </c>
      <c r="AK581" t="s">
        <v>3163</v>
      </c>
      <c r="AL581" t="s">
        <v>4564</v>
      </c>
      <c r="AM581" t="s">
        <v>2590</v>
      </c>
      <c r="AN581" t="s">
        <v>3163</v>
      </c>
      <c r="AO581" t="s">
        <v>4564</v>
      </c>
      <c r="AP581" t="s">
        <v>2590</v>
      </c>
      <c r="AQ581" t="s">
        <v>3163</v>
      </c>
      <c r="AR581" t="s">
        <v>4564</v>
      </c>
      <c r="AS581" t="s">
        <v>2590</v>
      </c>
      <c r="AT581" t="s">
        <v>3163</v>
      </c>
      <c r="AU581" t="s">
        <v>4564</v>
      </c>
    </row>
    <row r="582" spans="1:47" ht="24" customHeight="1">
      <c r="A582" s="50"/>
      <c r="B582" s="38"/>
      <c r="C582" s="92" t="s">
        <v>2516</v>
      </c>
      <c r="D582" s="869" t="s">
        <v>6226</v>
      </c>
      <c r="E582" s="870"/>
      <c r="F582" s="870"/>
      <c r="G582" s="870"/>
      <c r="H582" s="870"/>
      <c r="I582" s="870"/>
      <c r="J582" s="870"/>
      <c r="K582" s="870"/>
      <c r="L582" s="870"/>
      <c r="M582" s="870"/>
      <c r="N582" s="870"/>
      <c r="O582" s="870"/>
      <c r="P582" s="870"/>
      <c r="Q582" s="870"/>
      <c r="R582" s="871"/>
      <c r="S582" s="100"/>
      <c r="T582" s="100"/>
      <c r="U582" s="100"/>
      <c r="V582" s="100"/>
      <c r="W582" s="100"/>
      <c r="X582" s="100"/>
      <c r="Y582" s="100"/>
      <c r="Z582" s="100"/>
      <c r="AA582" s="100"/>
      <c r="AB582" s="116"/>
      <c r="AC582" s="116"/>
      <c r="AD582" s="116"/>
      <c r="AG582" s="506">
        <f>IF($AH$552=8,0,IF(AND(AND($AF$580&gt;0,$AF$580&lt;&gt;"NS",$AF$580&lt;&gt;"NA"),OR($AB$557=0,$AB$557="NS",$AB$557="NA")),IF(COUNTBLANK(S582:AA589)=0,0,1),IF(AND(OR($AF$580=0,$AF$580="NS",$AF$580="NA"),AND($AB$557&gt;0,$AB$557&lt;&gt;"NS",$AB$557&lt;&gt;"NA")),IF(COUNTBLANK(AB582:AD589)=0,0,1),IF(AND(AND($AF$580&gt;0,$AF$580&lt;&gt;"NS",$AF$580&lt;&gt;"NA"),AND($AB$557&gt;0,$AB$557&lt;&gt;"NS",$AB$557&lt;&gt;"NA")),IF(COUNTBLANK(S582:AD589)=0,0,1),0))))</f>
        <v>0</v>
      </c>
      <c r="AH582">
        <f>IF($AH$552=8,IF(COUNTA(S582:AD589)=0,0,1),0)</f>
        <v>0</v>
      </c>
      <c r="AI582">
        <f>IF($AH$552=8,0,IF(AND(AND($AF$580&gt;0,$AF$580&lt;&gt;"NS",$AF$580&lt;&gt;"NA"),OR($AB$557=0,$AB$557="NS",$AB$557="NA")),IF(OR(COUNTA(AB582:AD589)=0),0,1),IF(AND(OR($AF$580=0,$AF$580="NS",$AF$580="NA"),AND($AB$557&gt;0,$AB$557&lt;&gt;"NS",$AB$557&lt;&gt;"NA")),IF(COUNTA(S582:AA589)=0,0,1),IF(AND(OR($AF$580=0,$AF$580="NS",$AF$580="NA"),OR($AB$557=0,$AB$557="NS",$AB$557="NA")),IF(COUNTA(S582:AD589)=0,0,1),0))))</f>
        <v>0</v>
      </c>
      <c r="AJ582">
        <f t="shared" ref="AJ582:AJ589" si="153">COUNTIF(T582:U582,"NS")</f>
        <v>0</v>
      </c>
      <c r="AK582">
        <f t="shared" ref="AK582:AK589" si="154">SUM(T582:U582)</f>
        <v>0</v>
      </c>
      <c r="AL582">
        <f t="shared" ref="AL582:AL589" si="155">IF(COUNTIF(S582:U582,"NA")=3,0,IF(COUNTA(S582:U582)=0,0,IF(OR(AND(S582=0,AJ582&gt;0),AND(S582="ns",AK582&gt;0),AND(S582="ns",AJ582=0,AK582=0)),1,IF(OR(AND(S582&gt;0,AJ582=2),AND(S582="ns",AJ582=2),AND(S582="ns",AK582=0,AJ582&gt;0),S582=AK582),0,1))))</f>
        <v>0</v>
      </c>
      <c r="AM582">
        <f t="shared" ref="AM582:AM589" si="156">COUNTIF(W582:X582,"NS")</f>
        <v>0</v>
      </c>
      <c r="AN582">
        <f t="shared" ref="AN582:AN589" si="157">SUM(W582:X582)</f>
        <v>0</v>
      </c>
      <c r="AO582">
        <f t="shared" ref="AO582:AO589" si="158">IF(COUNTIF(V582:X582,"NA")=3,0,IF(COUNTA(V582:X582)=0,0,IF(OR(AND(V582=0,AM582&gt;0),AND(V582="ns",AN582&gt;0),AND(V582="ns",AM582=0,AN582=0)),1,IF(OR(AND(V582&gt;0,AM582=2),AND(V582="ns",AM582=2),AND(V582="ns",AN582=0,AM582&gt;0),V582=AN582),0,1))))</f>
        <v>0</v>
      </c>
      <c r="AP582">
        <f t="shared" ref="AP582:AP589" si="159">COUNTIF(Z582:AA582,"NS")</f>
        <v>0</v>
      </c>
      <c r="AQ582">
        <f t="shared" ref="AQ582:AQ589" si="160">SUM(Z582:AA582)</f>
        <v>0</v>
      </c>
      <c r="AR582">
        <f t="shared" ref="AR582:AR589" si="161">IF(COUNTIF(Y582:AA582,"NA")=3,0,IF(COUNTA(Y582:AA582)=0,0,IF(OR(AND(Y582=0,AP582&gt;0),AND(Y582="ns",AQ582&gt;0),AND(Y582="ns",AP582=0,AQ582=0)),1,IF(OR(AND(Y582&gt;0,AP582=2),AND(Y582="ns",AP582=2),AND(Y582="ns",AQ582=0,AP582&gt;0),Y582=AQ582),0,1))))</f>
        <v>0</v>
      </c>
      <c r="AS582">
        <f t="shared" ref="AS582:AS589" si="162">COUNTIF(AC582:AD582,"NS")</f>
        <v>0</v>
      </c>
      <c r="AT582">
        <f t="shared" ref="AT582:AT589" si="163">SUM(AC582:AD582)</f>
        <v>0</v>
      </c>
      <c r="AU582">
        <f t="shared" ref="AU582:AU589" si="164">IF(COUNTIF(AB582:AD582,"NA")=3,0,IF(COUNTA(AB582:AD582)=0,0,IF(OR(AND(AB582=0,AS582&gt;0),AND(AB582="ns",AT582&gt;0),AND(AB582="ns",AS582=0,AT582=0)),1,IF(OR(AND(AB582&gt;0,AS582=2),AND(AB582="ns",AS582=2),AND(AB582="ns",AT582=0,AS582&gt;0),AB582=AT582),0,1))))</f>
        <v>0</v>
      </c>
    </row>
    <row r="583" spans="1:47" ht="15" customHeight="1">
      <c r="A583" s="50"/>
      <c r="B583" s="38"/>
      <c r="C583" s="44" t="s">
        <v>2517</v>
      </c>
      <c r="D583" s="869" t="s">
        <v>6227</v>
      </c>
      <c r="E583" s="870"/>
      <c r="F583" s="870"/>
      <c r="G583" s="870"/>
      <c r="H583" s="870"/>
      <c r="I583" s="870"/>
      <c r="J583" s="870"/>
      <c r="K583" s="870"/>
      <c r="L583" s="870"/>
      <c r="M583" s="870"/>
      <c r="N583" s="870"/>
      <c r="O583" s="870"/>
      <c r="P583" s="870"/>
      <c r="Q583" s="870"/>
      <c r="R583" s="871"/>
      <c r="S583" s="100"/>
      <c r="T583" s="100"/>
      <c r="U583" s="100"/>
      <c r="V583" s="100"/>
      <c r="W583" s="100"/>
      <c r="X583" s="100"/>
      <c r="Y583" s="100"/>
      <c r="Z583" s="100"/>
      <c r="AA583" s="100"/>
      <c r="AB583" s="116"/>
      <c r="AC583" s="116"/>
      <c r="AD583" s="116"/>
      <c r="AG583"/>
      <c r="AH583"/>
      <c r="AI583" s="506">
        <f>SUM(AH582:AI582)</f>
        <v>0</v>
      </c>
      <c r="AJ583">
        <f t="shared" si="153"/>
        <v>0</v>
      </c>
      <c r="AK583">
        <f t="shared" si="154"/>
        <v>0</v>
      </c>
      <c r="AL583">
        <f t="shared" si="155"/>
        <v>0</v>
      </c>
      <c r="AM583">
        <f t="shared" si="156"/>
        <v>0</v>
      </c>
      <c r="AN583">
        <f t="shared" si="157"/>
        <v>0</v>
      </c>
      <c r="AO583">
        <f t="shared" si="158"/>
        <v>0</v>
      </c>
      <c r="AP583">
        <f t="shared" si="159"/>
        <v>0</v>
      </c>
      <c r="AQ583">
        <f t="shared" si="160"/>
        <v>0</v>
      </c>
      <c r="AR583">
        <f t="shared" si="161"/>
        <v>0</v>
      </c>
      <c r="AS583">
        <f t="shared" si="162"/>
        <v>0</v>
      </c>
      <c r="AT583">
        <f t="shared" si="163"/>
        <v>0</v>
      </c>
      <c r="AU583">
        <f t="shared" si="164"/>
        <v>0</v>
      </c>
    </row>
    <row r="584" spans="1:47" ht="15" customHeight="1">
      <c r="A584" s="50"/>
      <c r="B584" s="38"/>
      <c r="C584" s="44" t="s">
        <v>2518</v>
      </c>
      <c r="D584" s="869" t="s">
        <v>6228</v>
      </c>
      <c r="E584" s="870"/>
      <c r="F584" s="870"/>
      <c r="G584" s="870"/>
      <c r="H584" s="870"/>
      <c r="I584" s="870"/>
      <c r="J584" s="870"/>
      <c r="K584" s="870"/>
      <c r="L584" s="870"/>
      <c r="M584" s="870"/>
      <c r="N584" s="870"/>
      <c r="O584" s="870"/>
      <c r="P584" s="870"/>
      <c r="Q584" s="870"/>
      <c r="R584" s="871"/>
      <c r="S584" s="100"/>
      <c r="T584" s="100"/>
      <c r="U584" s="100"/>
      <c r="V584" s="100"/>
      <c r="W584" s="100"/>
      <c r="X584" s="100"/>
      <c r="Y584" s="100"/>
      <c r="Z584" s="100"/>
      <c r="AA584" s="100"/>
      <c r="AB584" s="116"/>
      <c r="AC584" s="116"/>
      <c r="AD584" s="116"/>
      <c r="AG584"/>
      <c r="AH584"/>
      <c r="AI584"/>
      <c r="AJ584">
        <f t="shared" si="153"/>
        <v>0</v>
      </c>
      <c r="AK584">
        <f t="shared" si="154"/>
        <v>0</v>
      </c>
      <c r="AL584">
        <f t="shared" si="155"/>
        <v>0</v>
      </c>
      <c r="AM584">
        <f t="shared" si="156"/>
        <v>0</v>
      </c>
      <c r="AN584">
        <f t="shared" si="157"/>
        <v>0</v>
      </c>
      <c r="AO584">
        <f t="shared" si="158"/>
        <v>0</v>
      </c>
      <c r="AP584">
        <f t="shared" si="159"/>
        <v>0</v>
      </c>
      <c r="AQ584">
        <f t="shared" si="160"/>
        <v>0</v>
      </c>
      <c r="AR584">
        <f t="shared" si="161"/>
        <v>0</v>
      </c>
      <c r="AS584">
        <f t="shared" si="162"/>
        <v>0</v>
      </c>
      <c r="AT584">
        <f t="shared" si="163"/>
        <v>0</v>
      </c>
      <c r="AU584">
        <f t="shared" si="164"/>
        <v>0</v>
      </c>
    </row>
    <row r="585" spans="1:47" ht="15" customHeight="1">
      <c r="A585" s="50"/>
      <c r="B585" s="38"/>
      <c r="C585" s="44" t="s">
        <v>2519</v>
      </c>
      <c r="D585" s="869" t="s">
        <v>6229</v>
      </c>
      <c r="E585" s="870"/>
      <c r="F585" s="870"/>
      <c r="G585" s="870"/>
      <c r="H585" s="870"/>
      <c r="I585" s="870"/>
      <c r="J585" s="870"/>
      <c r="K585" s="870"/>
      <c r="L585" s="870"/>
      <c r="M585" s="870"/>
      <c r="N585" s="870"/>
      <c r="O585" s="870"/>
      <c r="P585" s="870"/>
      <c r="Q585" s="870"/>
      <c r="R585" s="871"/>
      <c r="S585" s="100"/>
      <c r="T585" s="100"/>
      <c r="U585" s="100"/>
      <c r="V585" s="100"/>
      <c r="W585" s="100"/>
      <c r="X585" s="100"/>
      <c r="Y585" s="100"/>
      <c r="Z585" s="100"/>
      <c r="AA585" s="100"/>
      <c r="AB585" s="116"/>
      <c r="AC585" s="116"/>
      <c r="AD585" s="116"/>
      <c r="AG585"/>
      <c r="AH585"/>
      <c r="AI585"/>
      <c r="AJ585">
        <f t="shared" si="153"/>
        <v>0</v>
      </c>
      <c r="AK585">
        <f t="shared" si="154"/>
        <v>0</v>
      </c>
      <c r="AL585">
        <f t="shared" si="155"/>
        <v>0</v>
      </c>
      <c r="AM585">
        <f t="shared" si="156"/>
        <v>0</v>
      </c>
      <c r="AN585">
        <f t="shared" si="157"/>
        <v>0</v>
      </c>
      <c r="AO585">
        <f t="shared" si="158"/>
        <v>0</v>
      </c>
      <c r="AP585">
        <f t="shared" si="159"/>
        <v>0</v>
      </c>
      <c r="AQ585">
        <f t="shared" si="160"/>
        <v>0</v>
      </c>
      <c r="AR585">
        <f t="shared" si="161"/>
        <v>0</v>
      </c>
      <c r="AS585">
        <f t="shared" si="162"/>
        <v>0</v>
      </c>
      <c r="AT585">
        <f t="shared" si="163"/>
        <v>0</v>
      </c>
      <c r="AU585">
        <f t="shared" si="164"/>
        <v>0</v>
      </c>
    </row>
    <row r="586" spans="1:47" ht="15" customHeight="1">
      <c r="A586" s="50"/>
      <c r="B586" s="38"/>
      <c r="C586" s="44" t="s">
        <v>2520</v>
      </c>
      <c r="D586" s="869" t="s">
        <v>6230</v>
      </c>
      <c r="E586" s="870"/>
      <c r="F586" s="870"/>
      <c r="G586" s="870"/>
      <c r="H586" s="870"/>
      <c r="I586" s="870"/>
      <c r="J586" s="870"/>
      <c r="K586" s="870"/>
      <c r="L586" s="870"/>
      <c r="M586" s="870"/>
      <c r="N586" s="870"/>
      <c r="O586" s="870"/>
      <c r="P586" s="870"/>
      <c r="Q586" s="870"/>
      <c r="R586" s="871"/>
      <c r="S586" s="100"/>
      <c r="T586" s="100"/>
      <c r="U586" s="100"/>
      <c r="V586" s="100"/>
      <c r="W586" s="100"/>
      <c r="X586" s="100"/>
      <c r="Y586" s="100"/>
      <c r="Z586" s="100"/>
      <c r="AA586" s="100"/>
      <c r="AB586" s="116"/>
      <c r="AC586" s="116"/>
      <c r="AD586" s="116"/>
      <c r="AG586"/>
      <c r="AH586"/>
      <c r="AI586"/>
      <c r="AJ586">
        <f t="shared" si="153"/>
        <v>0</v>
      </c>
      <c r="AK586">
        <f t="shared" si="154"/>
        <v>0</v>
      </c>
      <c r="AL586">
        <f t="shared" si="155"/>
        <v>0</v>
      </c>
      <c r="AM586">
        <f t="shared" si="156"/>
        <v>0</v>
      </c>
      <c r="AN586">
        <f t="shared" si="157"/>
        <v>0</v>
      </c>
      <c r="AO586">
        <f t="shared" si="158"/>
        <v>0</v>
      </c>
      <c r="AP586">
        <f t="shared" si="159"/>
        <v>0</v>
      </c>
      <c r="AQ586">
        <f t="shared" si="160"/>
        <v>0</v>
      </c>
      <c r="AR586">
        <f t="shared" si="161"/>
        <v>0</v>
      </c>
      <c r="AS586">
        <f t="shared" si="162"/>
        <v>0</v>
      </c>
      <c r="AT586">
        <f t="shared" si="163"/>
        <v>0</v>
      </c>
      <c r="AU586">
        <f t="shared" si="164"/>
        <v>0</v>
      </c>
    </row>
    <row r="587" spans="1:47" ht="15" customHeight="1">
      <c r="A587" s="50"/>
      <c r="B587" s="38"/>
      <c r="C587" s="44" t="s">
        <v>2521</v>
      </c>
      <c r="D587" s="869" t="s">
        <v>6231</v>
      </c>
      <c r="E587" s="870"/>
      <c r="F587" s="870"/>
      <c r="G587" s="870"/>
      <c r="H587" s="870"/>
      <c r="I587" s="870"/>
      <c r="J587" s="870"/>
      <c r="K587" s="870"/>
      <c r="L587" s="870"/>
      <c r="M587" s="870"/>
      <c r="N587" s="870"/>
      <c r="O587" s="870"/>
      <c r="P587" s="870"/>
      <c r="Q587" s="870"/>
      <c r="R587" s="871"/>
      <c r="S587" s="100"/>
      <c r="T587" s="100"/>
      <c r="U587" s="100"/>
      <c r="V587" s="100"/>
      <c r="W587" s="100"/>
      <c r="X587" s="100"/>
      <c r="Y587" s="100"/>
      <c r="Z587" s="100"/>
      <c r="AA587" s="100"/>
      <c r="AB587" s="116"/>
      <c r="AC587" s="116"/>
      <c r="AD587" s="116"/>
      <c r="AG587"/>
      <c r="AH587"/>
      <c r="AI587"/>
      <c r="AJ587">
        <f t="shared" si="153"/>
        <v>0</v>
      </c>
      <c r="AK587">
        <f t="shared" si="154"/>
        <v>0</v>
      </c>
      <c r="AL587">
        <f t="shared" si="155"/>
        <v>0</v>
      </c>
      <c r="AM587">
        <f t="shared" si="156"/>
        <v>0</v>
      </c>
      <c r="AN587">
        <f t="shared" si="157"/>
        <v>0</v>
      </c>
      <c r="AO587">
        <f t="shared" si="158"/>
        <v>0</v>
      </c>
      <c r="AP587">
        <f t="shared" si="159"/>
        <v>0</v>
      </c>
      <c r="AQ587">
        <f t="shared" si="160"/>
        <v>0</v>
      </c>
      <c r="AR587">
        <f t="shared" si="161"/>
        <v>0</v>
      </c>
      <c r="AS587">
        <f t="shared" si="162"/>
        <v>0</v>
      </c>
      <c r="AT587">
        <f t="shared" si="163"/>
        <v>0</v>
      </c>
      <c r="AU587">
        <f t="shared" si="164"/>
        <v>0</v>
      </c>
    </row>
    <row r="588" spans="1:47" ht="15" customHeight="1">
      <c r="A588" s="50"/>
      <c r="B588" s="38"/>
      <c r="C588" s="44" t="s">
        <v>2522</v>
      </c>
      <c r="D588" s="869" t="s">
        <v>6232</v>
      </c>
      <c r="E588" s="870"/>
      <c r="F588" s="870"/>
      <c r="G588" s="870"/>
      <c r="H588" s="870"/>
      <c r="I588" s="870"/>
      <c r="J588" s="870"/>
      <c r="K588" s="870"/>
      <c r="L588" s="870"/>
      <c r="M588" s="870"/>
      <c r="N588" s="870"/>
      <c r="O588" s="870"/>
      <c r="P588" s="870"/>
      <c r="Q588" s="870"/>
      <c r="R588" s="871"/>
      <c r="S588" s="100"/>
      <c r="T588" s="100"/>
      <c r="U588" s="100"/>
      <c r="V588" s="100"/>
      <c r="W588" s="100"/>
      <c r="X588" s="100"/>
      <c r="Y588" s="100"/>
      <c r="Z588" s="100"/>
      <c r="AA588" s="100"/>
      <c r="AB588" s="116"/>
      <c r="AC588" s="116"/>
      <c r="AD588" s="116"/>
      <c r="AG588"/>
      <c r="AH588"/>
      <c r="AI588"/>
      <c r="AJ588">
        <f t="shared" si="153"/>
        <v>0</v>
      </c>
      <c r="AK588">
        <f t="shared" si="154"/>
        <v>0</v>
      </c>
      <c r="AL588">
        <f t="shared" si="155"/>
        <v>0</v>
      </c>
      <c r="AM588">
        <f t="shared" si="156"/>
        <v>0</v>
      </c>
      <c r="AN588">
        <f t="shared" si="157"/>
        <v>0</v>
      </c>
      <c r="AO588">
        <f t="shared" si="158"/>
        <v>0</v>
      </c>
      <c r="AP588">
        <f t="shared" si="159"/>
        <v>0</v>
      </c>
      <c r="AQ588">
        <f t="shared" si="160"/>
        <v>0</v>
      </c>
      <c r="AR588">
        <f t="shared" si="161"/>
        <v>0</v>
      </c>
      <c r="AS588">
        <f t="shared" si="162"/>
        <v>0</v>
      </c>
      <c r="AT588">
        <f t="shared" si="163"/>
        <v>0</v>
      </c>
      <c r="AU588">
        <f t="shared" si="164"/>
        <v>0</v>
      </c>
    </row>
    <row r="589" spans="1:47" ht="15" customHeight="1">
      <c r="A589" s="50"/>
      <c r="B589" s="38"/>
      <c r="C589" s="44" t="s">
        <v>2523</v>
      </c>
      <c r="D589" s="869" t="s">
        <v>6233</v>
      </c>
      <c r="E589" s="870"/>
      <c r="F589" s="870"/>
      <c r="G589" s="870"/>
      <c r="H589" s="870"/>
      <c r="I589" s="870"/>
      <c r="J589" s="870"/>
      <c r="K589" s="870"/>
      <c r="L589" s="870"/>
      <c r="M589" s="870"/>
      <c r="N589" s="870"/>
      <c r="O589" s="870"/>
      <c r="P589" s="870"/>
      <c r="Q589" s="870"/>
      <c r="R589" s="871"/>
      <c r="S589" s="100"/>
      <c r="T589" s="100"/>
      <c r="U589" s="100"/>
      <c r="V589" s="100"/>
      <c r="W589" s="100"/>
      <c r="X589" s="100"/>
      <c r="Y589" s="100"/>
      <c r="Z589" s="100"/>
      <c r="AA589" s="100"/>
      <c r="AB589" s="116"/>
      <c r="AC589" s="116"/>
      <c r="AD589" s="116"/>
      <c r="AG589"/>
      <c r="AH589"/>
      <c r="AI589"/>
      <c r="AJ589">
        <f t="shared" si="153"/>
        <v>0</v>
      </c>
      <c r="AK589">
        <f t="shared" si="154"/>
        <v>0</v>
      </c>
      <c r="AL589">
        <f t="shared" si="155"/>
        <v>0</v>
      </c>
      <c r="AM589">
        <f t="shared" si="156"/>
        <v>0</v>
      </c>
      <c r="AN589">
        <f t="shared" si="157"/>
        <v>0</v>
      </c>
      <c r="AO589">
        <f t="shared" si="158"/>
        <v>0</v>
      </c>
      <c r="AP589">
        <f t="shared" si="159"/>
        <v>0</v>
      </c>
      <c r="AQ589">
        <f t="shared" si="160"/>
        <v>0</v>
      </c>
      <c r="AR589">
        <f t="shared" si="161"/>
        <v>0</v>
      </c>
      <c r="AS589">
        <f t="shared" si="162"/>
        <v>0</v>
      </c>
      <c r="AT589">
        <f t="shared" si="163"/>
        <v>0</v>
      </c>
      <c r="AU589">
        <f t="shared" si="164"/>
        <v>0</v>
      </c>
    </row>
    <row r="590" spans="1:47">
      <c r="A590" s="50"/>
      <c r="B590" s="38"/>
      <c r="C590" s="38"/>
      <c r="D590" s="105"/>
      <c r="E590" s="105"/>
      <c r="F590" s="105"/>
      <c r="G590" s="105"/>
      <c r="H590" s="105"/>
      <c r="I590" s="38"/>
      <c r="J590" s="38"/>
      <c r="K590" s="38"/>
      <c r="M590" s="117"/>
      <c r="N590" s="117"/>
      <c r="O590" s="117"/>
      <c r="P590" s="117"/>
      <c r="Q590" s="117"/>
      <c r="R590" s="99" t="s">
        <v>2649</v>
      </c>
      <c r="S590" s="124">
        <f t="shared" ref="S590:AD590" si="165">IF(AND(SUM(S582:S589)=0,COUNTIF(S582:S589,"NS")&gt;0),"NS",IF(AND(SUM(S582:S589)=0,COUNTIF(S582:S589,0)&gt;0),0,IF(AND(SUM(S582:S589)=0,COUNTIF(S582:S589,"NA")&gt;0),"NA",SUM(S582:S589))))</f>
        <v>0</v>
      </c>
      <c r="T590" s="124">
        <f t="shared" si="165"/>
        <v>0</v>
      </c>
      <c r="U590" s="124">
        <f t="shared" si="165"/>
        <v>0</v>
      </c>
      <c r="V590" s="124">
        <f t="shared" si="165"/>
        <v>0</v>
      </c>
      <c r="W590" s="124">
        <f t="shared" si="165"/>
        <v>0</v>
      </c>
      <c r="X590" s="124">
        <f t="shared" si="165"/>
        <v>0</v>
      </c>
      <c r="Y590" s="124">
        <f t="shared" si="165"/>
        <v>0</v>
      </c>
      <c r="Z590" s="124">
        <f t="shared" si="165"/>
        <v>0</v>
      </c>
      <c r="AA590" s="124">
        <f t="shared" si="165"/>
        <v>0</v>
      </c>
      <c r="AB590" s="172">
        <f t="shared" si="165"/>
        <v>0</v>
      </c>
      <c r="AC590" s="172">
        <f t="shared" si="165"/>
        <v>0</v>
      </c>
      <c r="AD590" s="172">
        <f t="shared" si="165"/>
        <v>0</v>
      </c>
      <c r="AG590"/>
      <c r="AI590"/>
      <c r="AJ590">
        <f>SUM(AJ582:AJ589)</f>
        <v>0</v>
      </c>
      <c r="AL590">
        <f>SUM(AL582:AL589)</f>
        <v>0</v>
      </c>
      <c r="AM590">
        <f>SUM(AM582:AM589)</f>
        <v>0</v>
      </c>
      <c r="AO590">
        <f>SUM(AO582:AO589)</f>
        <v>0</v>
      </c>
      <c r="AP590">
        <f>SUM(AP582:AP589)</f>
        <v>0</v>
      </c>
      <c r="AR590">
        <f>SUM(AR582:AR589)</f>
        <v>0</v>
      </c>
      <c r="AS590">
        <f>SUM(AS582:AS589)</f>
        <v>0</v>
      </c>
      <c r="AU590">
        <f>SUM(AU582:AU589)</f>
        <v>0</v>
      </c>
    </row>
    <row r="591" spans="1:47">
      <c r="A591" s="215"/>
      <c r="B591" s="90"/>
      <c r="C591" s="222"/>
      <c r="D591" s="221"/>
      <c r="E591" s="221"/>
      <c r="F591" s="221"/>
      <c r="G591" s="221"/>
      <c r="H591" s="221"/>
      <c r="I591" s="221"/>
      <c r="J591" s="221"/>
      <c r="K591" s="221"/>
      <c r="L591" s="221"/>
      <c r="M591" s="221"/>
      <c r="N591" s="221"/>
      <c r="O591" s="221"/>
      <c r="P591" s="221"/>
      <c r="Q591" s="221"/>
      <c r="R591" s="180"/>
      <c r="S591" s="49"/>
      <c r="T591" s="49"/>
      <c r="U591" s="49"/>
      <c r="V591" s="49"/>
      <c r="W591" s="49"/>
      <c r="X591" s="49"/>
      <c r="Y591" s="49"/>
      <c r="Z591" s="49"/>
      <c r="AA591" s="49"/>
      <c r="AB591" s="49"/>
      <c r="AC591" s="49"/>
      <c r="AD591" s="49"/>
      <c r="AK591" t="s">
        <v>2650</v>
      </c>
      <c r="AL591" s="507">
        <f>SUM(AL590,AO590,AR590,AU590)</f>
        <v>0</v>
      </c>
    </row>
    <row r="592" spans="1:47" ht="45" customHeight="1">
      <c r="A592" s="215"/>
      <c r="B592" s="90"/>
      <c r="C592" s="822" t="s">
        <v>6234</v>
      </c>
      <c r="D592" s="822"/>
      <c r="E592" s="822"/>
      <c r="F592" s="749"/>
      <c r="G592" s="749"/>
      <c r="H592" s="749"/>
      <c r="I592" s="749"/>
      <c r="J592" s="749"/>
      <c r="K592" s="749"/>
      <c r="L592" s="749"/>
      <c r="M592" s="749"/>
      <c r="N592" s="749"/>
      <c r="O592" s="749"/>
      <c r="P592" s="749"/>
      <c r="Q592" s="749"/>
      <c r="R592" s="749"/>
      <c r="S592" s="749"/>
      <c r="T592" s="749"/>
      <c r="U592" s="749"/>
      <c r="V592" s="749"/>
      <c r="W592" s="749"/>
      <c r="X592" s="749"/>
      <c r="Y592" s="749"/>
      <c r="Z592" s="749"/>
      <c r="AA592" s="749"/>
      <c r="AB592" s="749"/>
      <c r="AC592" s="749"/>
      <c r="AD592" s="749"/>
    </row>
    <row r="593" spans="1:31">
      <c r="A593" s="215"/>
      <c r="B593" s="794" t="str">
        <f>IF(OR(AND(AB589&gt;0,AB589&lt;&gt;"NA",AB589&lt;&gt;"NS",F592=""),AND(Y589&gt;0,Y589&lt;&gt;"NA",Y589&lt;&gt;"NS",F592=""),AND(V589&gt;0,V589&lt;&gt;"NA",V589&lt;&gt;"NS",F592=""),AND(S589&gt;0,S589&lt;&gt;"NA",S589&lt;&gt;"NS",F592="")),"Debido a que cuenta con un valor mayor a cero en el numeral 8, debe anotar el nombre de dicho(s) objeto(s)","")</f>
        <v/>
      </c>
      <c r="C593" s="794"/>
      <c r="D593" s="794"/>
      <c r="E593" s="794"/>
      <c r="F593" s="794"/>
      <c r="G593" s="794"/>
      <c r="H593" s="794"/>
      <c r="I593" s="794"/>
      <c r="J593" s="794"/>
      <c r="K593" s="794"/>
      <c r="L593" s="794"/>
      <c r="M593" s="794"/>
      <c r="N593" s="794"/>
      <c r="O593" s="794"/>
      <c r="P593" s="794"/>
      <c r="Q593" s="794"/>
      <c r="R593" s="794"/>
      <c r="S593" s="794"/>
      <c r="T593" s="794"/>
      <c r="U593" s="794"/>
      <c r="V593" s="794"/>
      <c r="W593" s="794"/>
      <c r="X593" s="794"/>
      <c r="Y593" s="794"/>
      <c r="Z593" s="794"/>
      <c r="AA593" s="794"/>
      <c r="AB593" s="794"/>
      <c r="AC593" s="794"/>
      <c r="AD593" s="794"/>
      <c r="AE593" s="794"/>
    </row>
    <row r="594" spans="1:31" ht="24" customHeight="1">
      <c r="A594" s="215"/>
      <c r="B594" s="90"/>
      <c r="C594" s="754" t="s">
        <v>2611</v>
      </c>
      <c r="D594" s="754"/>
      <c r="E594" s="754"/>
      <c r="F594" s="754"/>
      <c r="G594" s="754"/>
      <c r="H594" s="754"/>
      <c r="I594" s="754"/>
      <c r="J594" s="754"/>
      <c r="K594" s="754"/>
      <c r="L594" s="754"/>
      <c r="M594" s="754"/>
      <c r="N594" s="754"/>
      <c r="O594" s="754"/>
      <c r="P594" s="754"/>
      <c r="Q594" s="754"/>
      <c r="R594" s="754"/>
      <c r="S594" s="754"/>
      <c r="T594" s="754"/>
      <c r="U594" s="754"/>
      <c r="V594" s="754"/>
      <c r="W594" s="754"/>
      <c r="X594" s="754"/>
      <c r="Y594" s="754"/>
      <c r="Z594" s="754"/>
      <c r="AA594" s="754"/>
      <c r="AB594" s="754"/>
      <c r="AC594" s="754"/>
      <c r="AD594" s="754"/>
    </row>
    <row r="595" spans="1:31" ht="60" customHeight="1">
      <c r="A595" s="215"/>
      <c r="B595" s="90"/>
      <c r="C595" s="851"/>
      <c r="D595" s="851"/>
      <c r="E595" s="851"/>
      <c r="F595" s="851"/>
      <c r="G595" s="851"/>
      <c r="H595" s="851"/>
      <c r="I595" s="851"/>
      <c r="J595" s="851"/>
      <c r="K595" s="851"/>
      <c r="L595" s="851"/>
      <c r="M595" s="851"/>
      <c r="N595" s="851"/>
      <c r="O595" s="851"/>
      <c r="P595" s="851"/>
      <c r="Q595" s="851"/>
      <c r="R595" s="851"/>
      <c r="S595" s="851"/>
      <c r="T595" s="851"/>
      <c r="U595" s="851"/>
      <c r="V595" s="851"/>
      <c r="W595" s="851"/>
      <c r="X595" s="851"/>
      <c r="Y595" s="851"/>
      <c r="Z595" s="851"/>
      <c r="AA595" s="851"/>
      <c r="AB595" s="851"/>
      <c r="AC595" s="851"/>
      <c r="AD595" s="851"/>
    </row>
    <row r="596" spans="1:31" ht="15" customHeight="1">
      <c r="A596" s="91"/>
      <c r="B596" s="794" t="str">
        <f>IF(AG582=0,"","Favor de ingresar toda la información requerida en la pregunta")</f>
        <v/>
      </c>
      <c r="C596" s="794"/>
      <c r="D596" s="794"/>
      <c r="E596" s="794"/>
      <c r="F596" s="794"/>
      <c r="G596" s="794"/>
      <c r="H596" s="794"/>
      <c r="I596" s="794"/>
      <c r="J596" s="794"/>
      <c r="K596" s="794"/>
      <c r="L596" s="794"/>
      <c r="M596" s="794"/>
      <c r="N596" s="794"/>
      <c r="O596" s="794"/>
      <c r="P596" s="794"/>
      <c r="Q596" s="794"/>
      <c r="R596" s="794"/>
      <c r="S596" s="794"/>
      <c r="T596" s="794"/>
      <c r="U596" s="794"/>
      <c r="V596" s="794"/>
      <c r="W596" s="794"/>
      <c r="X596" s="794"/>
      <c r="Y596" s="794"/>
      <c r="Z596" s="794"/>
      <c r="AA596" s="794"/>
      <c r="AB596" s="794"/>
      <c r="AC596" s="794"/>
      <c r="AD596" s="794"/>
      <c r="AE596" s="794"/>
    </row>
    <row r="597" spans="1:31" ht="15" customHeight="1">
      <c r="A597" s="91"/>
      <c r="B597" s="1087" t="str">
        <f>IF(COUNTIF(S582:AD589,"NS")&lt;&gt;0,"Alerta: debido a que cuenta con registros NS, debe proporcionar una justificación en el area de comentarios al final de la pregunta","")</f>
        <v/>
      </c>
      <c r="C597" s="1087"/>
      <c r="D597" s="1087"/>
      <c r="E597" s="1087"/>
      <c r="F597" s="1087"/>
      <c r="G597" s="1087"/>
      <c r="H597" s="1087"/>
      <c r="I597" s="1087"/>
      <c r="J597" s="1087"/>
      <c r="K597" s="1087"/>
      <c r="L597" s="1087"/>
      <c r="M597" s="1087"/>
      <c r="N597" s="1087"/>
      <c r="O597" s="1087"/>
      <c r="P597" s="1087"/>
      <c r="Q597" s="1087"/>
      <c r="R597" s="1087"/>
      <c r="S597" s="1087"/>
      <c r="T597" s="1087"/>
      <c r="U597" s="1087"/>
      <c r="V597" s="1087"/>
      <c r="W597" s="1087"/>
      <c r="X597" s="1087"/>
      <c r="Y597" s="1087"/>
      <c r="Z597" s="1087"/>
      <c r="AA597" s="1087"/>
      <c r="AB597" s="1087"/>
      <c r="AC597" s="1087"/>
      <c r="AD597" s="1087"/>
      <c r="AE597" s="1087"/>
    </row>
    <row r="598" spans="1:31" ht="15" customHeight="1">
      <c r="A598" s="91"/>
      <c r="B598" s="1003" t="str">
        <f>IF(AI583&gt;0,"Revise la información capturada, ya que tiene datos ingresados en celdas que están sombreadas","")</f>
        <v/>
      </c>
      <c r="C598" s="1003"/>
      <c r="D598" s="1003"/>
      <c r="E598" s="1003"/>
      <c r="F598" s="1003"/>
      <c r="G598" s="1003"/>
      <c r="H598" s="1003"/>
      <c r="I598" s="1003"/>
      <c r="J598" s="1003"/>
      <c r="K598" s="1003"/>
      <c r="L598" s="1003"/>
      <c r="M598" s="1003"/>
      <c r="N598" s="1003"/>
      <c r="O598" s="1003"/>
      <c r="P598" s="1003"/>
      <c r="Q598" s="1003"/>
      <c r="R598" s="1003"/>
      <c r="S598" s="1003"/>
      <c r="T598" s="1003"/>
      <c r="U598" s="1003"/>
      <c r="V598" s="1003"/>
      <c r="W598" s="1003"/>
      <c r="X598" s="1003"/>
      <c r="Y598" s="1003"/>
      <c r="Z598" s="1003"/>
      <c r="AA598" s="1003"/>
      <c r="AB598" s="1003"/>
      <c r="AC598" s="1003"/>
      <c r="AD598" s="1003"/>
      <c r="AE598" s="1003"/>
    </row>
    <row r="599" spans="1:31" ht="15" customHeight="1">
      <c r="A599" s="91"/>
      <c r="B599" s="1003" t="str">
        <f>IF(AL591&gt;0,"Favor de revisar la suma y consistencia de totales y/o subtotales por filas (numéricos y NS)","")</f>
        <v/>
      </c>
      <c r="C599" s="1003"/>
      <c r="D599" s="1003"/>
      <c r="E599" s="1003"/>
      <c r="F599" s="1003"/>
      <c r="G599" s="1003"/>
      <c r="H599" s="1003"/>
      <c r="I599" s="1003"/>
      <c r="J599" s="1003"/>
      <c r="K599" s="1003"/>
      <c r="L599" s="1003"/>
      <c r="M599" s="1003"/>
      <c r="N599" s="1003"/>
      <c r="O599" s="1003"/>
      <c r="P599" s="1003"/>
      <c r="Q599" s="1003"/>
      <c r="R599" s="1003"/>
      <c r="S599" s="1003"/>
      <c r="T599" s="1003"/>
      <c r="U599" s="1003"/>
      <c r="V599" s="1003"/>
      <c r="W599" s="1003"/>
      <c r="X599" s="1003"/>
      <c r="Y599" s="1003"/>
      <c r="Z599" s="1003"/>
      <c r="AA599" s="1003"/>
      <c r="AB599" s="1003"/>
      <c r="AC599" s="1003"/>
      <c r="AD599" s="1003"/>
      <c r="AE599" s="1003"/>
    </row>
    <row r="600" spans="1:31" ht="15" customHeight="1">
      <c r="A600" s="91"/>
      <c r="B600" s="795" t="str">
        <f>IF(AND(S590=S557,T590=T557,U590=U557,V590=V557,W590=W557,X590=X557,Y590=Y557,Z590=Z557,AA590=AA557),"","Alerta: debe de proporcionar una justificación de acuerdo a lo establecido en la instrucción 4")</f>
        <v/>
      </c>
      <c r="C600" s="795"/>
      <c r="D600" s="795"/>
      <c r="E600" s="795"/>
      <c r="F600" s="795"/>
      <c r="G600" s="795"/>
      <c r="H600" s="795"/>
      <c r="I600" s="795"/>
      <c r="J600" s="795"/>
      <c r="K600" s="795"/>
      <c r="L600" s="795"/>
      <c r="M600" s="795"/>
      <c r="N600" s="795"/>
      <c r="O600" s="795"/>
      <c r="P600" s="795"/>
      <c r="Q600" s="795"/>
      <c r="R600" s="795"/>
      <c r="S600" s="795"/>
      <c r="T600" s="795"/>
      <c r="U600" s="795"/>
      <c r="V600" s="795"/>
      <c r="W600" s="795"/>
      <c r="X600" s="795"/>
      <c r="Y600" s="795"/>
      <c r="Z600" s="795"/>
      <c r="AA600" s="795"/>
      <c r="AB600" s="795"/>
      <c r="AC600" s="795"/>
      <c r="AD600" s="795"/>
      <c r="AE600" s="795"/>
    </row>
    <row r="601" spans="1:31" ht="15" customHeight="1" thickBot="1">
      <c r="A601" s="91"/>
      <c r="B601" s="795" t="str">
        <f>IF(AND(AB590=AB557,AC590=AC557,AD590=AD557),"","Alerta: debe de proporcionar una justificación de acuerdo a lo establecido en la instrucción 5")</f>
        <v/>
      </c>
      <c r="C601" s="795"/>
      <c r="D601" s="795"/>
      <c r="E601" s="795"/>
      <c r="F601" s="795"/>
      <c r="G601" s="795"/>
      <c r="H601" s="795"/>
      <c r="I601" s="795"/>
      <c r="J601" s="795"/>
      <c r="K601" s="795"/>
      <c r="L601" s="795"/>
      <c r="M601" s="795"/>
      <c r="N601" s="795"/>
      <c r="O601" s="795"/>
      <c r="P601" s="795"/>
      <c r="Q601" s="795"/>
      <c r="R601" s="795"/>
      <c r="S601" s="795"/>
      <c r="T601" s="795"/>
      <c r="U601" s="795"/>
      <c r="V601" s="795"/>
      <c r="W601" s="795"/>
      <c r="X601" s="795"/>
      <c r="Y601" s="795"/>
      <c r="Z601" s="795"/>
      <c r="AA601" s="795"/>
      <c r="AB601" s="795"/>
      <c r="AC601" s="795"/>
      <c r="AD601" s="795"/>
      <c r="AE601" s="795"/>
    </row>
    <row r="602" spans="1:31" customFormat="1" ht="15" customHeight="1" thickBot="1">
      <c r="A602" s="19" t="s">
        <v>2563</v>
      </c>
      <c r="B602" s="1081" t="s">
        <v>6251</v>
      </c>
      <c r="C602" s="1082"/>
      <c r="D602" s="1082"/>
      <c r="E602" s="1082"/>
      <c r="F602" s="1082"/>
      <c r="G602" s="1082"/>
      <c r="H602" s="1082"/>
      <c r="I602" s="1082"/>
      <c r="J602" s="1082"/>
      <c r="K602" s="1082"/>
      <c r="L602" s="1082"/>
      <c r="M602" s="1082"/>
      <c r="N602" s="1082"/>
      <c r="O602" s="1082"/>
      <c r="P602" s="1082"/>
      <c r="Q602" s="1082"/>
      <c r="R602" s="1082"/>
      <c r="S602" s="1082"/>
      <c r="T602" s="1082"/>
      <c r="U602" s="1082"/>
      <c r="V602" s="1082"/>
      <c r="W602" s="1082"/>
      <c r="X602" s="1082"/>
      <c r="Y602" s="1082"/>
      <c r="Z602" s="1082"/>
      <c r="AA602" s="1082"/>
      <c r="AB602" s="1082"/>
      <c r="AC602" s="1082"/>
      <c r="AD602" s="1083"/>
      <c r="AE602" s="3"/>
    </row>
    <row r="603" spans="1:31">
      <c r="A603" s="119"/>
      <c r="B603" s="838" t="s">
        <v>2565</v>
      </c>
      <c r="C603" s="839"/>
      <c r="D603" s="839"/>
      <c r="E603" s="839"/>
      <c r="F603" s="839"/>
      <c r="G603" s="839"/>
      <c r="H603" s="839"/>
      <c r="I603" s="839"/>
      <c r="J603" s="839"/>
      <c r="K603" s="839"/>
      <c r="L603" s="839"/>
      <c r="M603" s="839"/>
      <c r="N603" s="839"/>
      <c r="O603" s="839"/>
      <c r="P603" s="839"/>
      <c r="Q603" s="839"/>
      <c r="R603" s="839"/>
      <c r="S603" s="839"/>
      <c r="T603" s="839"/>
      <c r="U603" s="839"/>
      <c r="V603" s="839"/>
      <c r="W603" s="839"/>
      <c r="X603" s="839"/>
      <c r="Y603" s="839"/>
      <c r="Z603" s="839"/>
      <c r="AA603" s="839"/>
      <c r="AB603" s="839"/>
      <c r="AC603" s="839"/>
      <c r="AD603" s="840"/>
    </row>
    <row r="604" spans="1:31" ht="24" customHeight="1">
      <c r="A604" s="119"/>
      <c r="B604" s="114"/>
      <c r="C604" s="764" t="s">
        <v>6252</v>
      </c>
      <c r="D604" s="764"/>
      <c r="E604" s="764"/>
      <c r="F604" s="764"/>
      <c r="G604" s="764"/>
      <c r="H604" s="764"/>
      <c r="I604" s="764"/>
      <c r="J604" s="764"/>
      <c r="K604" s="764"/>
      <c r="L604" s="764"/>
      <c r="M604" s="764"/>
      <c r="N604" s="764"/>
      <c r="O604" s="764"/>
      <c r="P604" s="764"/>
      <c r="Q604" s="764"/>
      <c r="R604" s="764"/>
      <c r="S604" s="764"/>
      <c r="T604" s="764"/>
      <c r="U604" s="764"/>
      <c r="V604" s="764"/>
      <c r="W604" s="764"/>
      <c r="X604" s="764"/>
      <c r="Y604" s="764"/>
      <c r="Z604" s="764"/>
      <c r="AA604" s="764"/>
      <c r="AB604" s="764"/>
      <c r="AC604" s="764"/>
      <c r="AD604" s="765"/>
    </row>
    <row r="605" spans="1:31" ht="15.75" thickBot="1">
      <c r="A605" s="119"/>
    </row>
    <row r="606" spans="1:31" customFormat="1" ht="15" customHeight="1" thickBot="1">
      <c r="A606" s="19" t="s">
        <v>2563</v>
      </c>
      <c r="B606" s="1137" t="s">
        <v>6253</v>
      </c>
      <c r="C606" s="1138"/>
      <c r="D606" s="1138"/>
      <c r="E606" s="1138"/>
      <c r="F606" s="1138"/>
      <c r="G606" s="1138"/>
      <c r="H606" s="1138"/>
      <c r="I606" s="1138"/>
      <c r="J606" s="1138"/>
      <c r="K606" s="1138"/>
      <c r="L606" s="1138"/>
      <c r="M606" s="1138"/>
      <c r="N606" s="1138"/>
      <c r="O606" s="1138"/>
      <c r="P606" s="1138"/>
      <c r="Q606" s="1138"/>
      <c r="R606" s="1138"/>
      <c r="S606" s="1138"/>
      <c r="T606" s="1138"/>
      <c r="U606" s="1138"/>
      <c r="V606" s="1138"/>
      <c r="W606" s="1138"/>
      <c r="X606" s="1138"/>
      <c r="Y606" s="1138"/>
      <c r="Z606" s="1138"/>
      <c r="AA606" s="1138"/>
      <c r="AB606" s="1138"/>
      <c r="AC606" s="1138"/>
      <c r="AD606" s="1139"/>
      <c r="AE606" s="3"/>
    </row>
    <row r="607" spans="1:31">
      <c r="A607" s="119"/>
    </row>
    <row r="608" spans="1:31" ht="36" customHeight="1">
      <c r="A608" s="49" t="s">
        <v>6254</v>
      </c>
      <c r="B608" s="829" t="s">
        <v>6255</v>
      </c>
      <c r="C608" s="829"/>
      <c r="D608" s="829"/>
      <c r="E608" s="829"/>
      <c r="F608" s="829"/>
      <c r="G608" s="829"/>
      <c r="H608" s="829"/>
      <c r="I608" s="829"/>
      <c r="J608" s="829"/>
      <c r="K608" s="829"/>
      <c r="L608" s="829"/>
      <c r="M608" s="829"/>
      <c r="N608" s="829"/>
      <c r="O608" s="829"/>
      <c r="P608" s="829"/>
      <c r="Q608" s="829"/>
      <c r="R608" s="829"/>
      <c r="S608" s="829"/>
      <c r="T608" s="829"/>
      <c r="U608" s="829"/>
      <c r="V608" s="829"/>
      <c r="W608" s="829"/>
      <c r="X608" s="829"/>
      <c r="Y608" s="829"/>
      <c r="Z608" s="829"/>
      <c r="AA608" s="829"/>
      <c r="AB608" s="829"/>
      <c r="AC608" s="829"/>
      <c r="AD608" s="829"/>
    </row>
    <row r="609" spans="1:40" ht="36" customHeight="1">
      <c r="A609" s="142"/>
      <c r="B609" s="57"/>
      <c r="C609" s="830" t="s">
        <v>6256</v>
      </c>
      <c r="D609" s="830"/>
      <c r="E609" s="830"/>
      <c r="F609" s="830"/>
      <c r="G609" s="830"/>
      <c r="H609" s="830"/>
      <c r="I609" s="830"/>
      <c r="J609" s="830"/>
      <c r="K609" s="830"/>
      <c r="L609" s="830"/>
      <c r="M609" s="830"/>
      <c r="N609" s="830"/>
      <c r="O609" s="830"/>
      <c r="P609" s="830"/>
      <c r="Q609" s="830"/>
      <c r="R609" s="830"/>
      <c r="S609" s="830"/>
      <c r="T609" s="830"/>
      <c r="U609" s="830"/>
      <c r="V609" s="830"/>
      <c r="W609" s="830"/>
      <c r="X609" s="830"/>
      <c r="Y609" s="830"/>
      <c r="Z609" s="830"/>
      <c r="AA609" s="830"/>
      <c r="AB609" s="830"/>
      <c r="AC609" s="830"/>
      <c r="AD609" s="830"/>
    </row>
    <row r="610" spans="1:40">
      <c r="A610" s="217"/>
      <c r="B610" s="57"/>
      <c r="C610" s="57"/>
      <c r="D610" s="57"/>
      <c r="E610" s="57"/>
      <c r="F610" s="57"/>
      <c r="G610" s="57"/>
      <c r="H610" s="57"/>
      <c r="I610" s="57"/>
      <c r="J610" s="57"/>
      <c r="K610" s="57"/>
      <c r="L610" s="57"/>
      <c r="M610" s="57"/>
      <c r="N610" s="57"/>
      <c r="O610" s="57"/>
      <c r="P610" s="57"/>
      <c r="Q610" s="57"/>
      <c r="R610" s="57"/>
      <c r="S610" s="57"/>
      <c r="T610" s="57"/>
      <c r="U610" s="57"/>
      <c r="V610" s="57"/>
      <c r="W610" s="57"/>
      <c r="X610" s="57"/>
      <c r="Y610" s="57"/>
      <c r="Z610" s="57"/>
      <c r="AA610" s="57"/>
      <c r="AB610" s="57"/>
      <c r="AC610" s="57"/>
      <c r="AD610" s="57"/>
    </row>
    <row r="611" spans="1:40" ht="84" customHeight="1">
      <c r="A611" s="50"/>
      <c r="B611" s="38"/>
      <c r="C611" s="797" t="s">
        <v>2581</v>
      </c>
      <c r="D611" s="798"/>
      <c r="E611" s="798"/>
      <c r="F611" s="798"/>
      <c r="G611" s="798"/>
      <c r="H611" s="798"/>
      <c r="I611" s="798"/>
      <c r="J611" s="798"/>
      <c r="K611" s="798"/>
      <c r="L611" s="799"/>
      <c r="M611" s="797" t="s">
        <v>6257</v>
      </c>
      <c r="N611" s="798"/>
      <c r="O611" s="798"/>
      <c r="P611" s="798"/>
      <c r="Q611" s="798"/>
      <c r="R611" s="798"/>
      <c r="S611" s="732" t="s">
        <v>6258</v>
      </c>
      <c r="T611" s="732"/>
      <c r="U611" s="732"/>
      <c r="V611" s="732"/>
      <c r="W611" s="732"/>
      <c r="X611" s="732"/>
      <c r="Y611" s="732"/>
      <c r="Z611" s="732"/>
      <c r="AA611" s="732"/>
      <c r="AB611" s="732"/>
      <c r="AC611" s="732"/>
      <c r="AD611" s="732"/>
    </row>
    <row r="612" spans="1:40" ht="15" customHeight="1">
      <c r="A612" s="50"/>
      <c r="B612" s="38"/>
      <c r="C612" s="803"/>
      <c r="D612" s="804"/>
      <c r="E612" s="804"/>
      <c r="F612" s="804"/>
      <c r="G612" s="804"/>
      <c r="H612" s="804"/>
      <c r="I612" s="804"/>
      <c r="J612" s="804"/>
      <c r="K612" s="804"/>
      <c r="L612" s="805"/>
      <c r="M612" s="803"/>
      <c r="N612" s="804"/>
      <c r="O612" s="804"/>
      <c r="P612" s="804"/>
      <c r="Q612" s="804"/>
      <c r="R612" s="804"/>
      <c r="S612" s="732" t="s">
        <v>2628</v>
      </c>
      <c r="T612" s="732"/>
      <c r="U612" s="732"/>
      <c r="V612" s="732"/>
      <c r="W612" s="825" t="s">
        <v>2629</v>
      </c>
      <c r="X612" s="825"/>
      <c r="Y612" s="825"/>
      <c r="Z612" s="1159"/>
      <c r="AA612" s="1160" t="s">
        <v>2630</v>
      </c>
      <c r="AB612" s="825"/>
      <c r="AC612" s="825"/>
      <c r="AD612" s="1159"/>
      <c r="AF612" t="s">
        <v>4713</v>
      </c>
      <c r="AG612" t="s">
        <v>2586</v>
      </c>
      <c r="AH612" t="s">
        <v>5940</v>
      </c>
      <c r="AI612" t="s">
        <v>2590</v>
      </c>
      <c r="AJ612" t="s">
        <v>3163</v>
      </c>
      <c r="AK612" t="s">
        <v>4564</v>
      </c>
      <c r="AL612" s="640" t="s">
        <v>6259</v>
      </c>
      <c r="AM612"/>
      <c r="AN612"/>
    </row>
    <row r="613" spans="1:40">
      <c r="A613" s="50"/>
      <c r="B613" s="38"/>
      <c r="C613" s="97" t="s">
        <v>2516</v>
      </c>
      <c r="D613" s="1084" t="str">
        <f>IF(CNSIPEE_2024_M2_Secc1!D42="","",CNSIPEE_2024_M2_Secc1!D42)</f>
        <v/>
      </c>
      <c r="E613" s="1084"/>
      <c r="F613" s="1084"/>
      <c r="G613" s="1084"/>
      <c r="H613" s="1084"/>
      <c r="I613" s="1084"/>
      <c r="J613" s="1084"/>
      <c r="K613" s="1084"/>
      <c r="L613" s="1084"/>
      <c r="M613" s="816"/>
      <c r="N613" s="738"/>
      <c r="O613" s="738"/>
      <c r="P613" s="738"/>
      <c r="Q613" s="738"/>
      <c r="R613" s="817"/>
      <c r="S613" s="816"/>
      <c r="T613" s="738"/>
      <c r="U613" s="738"/>
      <c r="V613" s="817"/>
      <c r="W613" s="816"/>
      <c r="X613" s="738"/>
      <c r="Y613" s="738"/>
      <c r="Z613" s="817"/>
      <c r="AA613" s="816"/>
      <c r="AB613" s="738"/>
      <c r="AC613" s="738"/>
      <c r="AD613" s="817"/>
      <c r="AF613">
        <f t="shared" ref="AF613:AF620" si="166">IF(AND(M613=1,S613=0),1,0)</f>
        <v>0</v>
      </c>
      <c r="AG613">
        <f>IF(AND(M613&gt;1,D613&lt;&gt;""),0,IF(OR(COUNTBLANK(D613:AD613)=22,COUNTBLANK(D613:AD613)=27),0,1))</f>
        <v>0</v>
      </c>
      <c r="AH613">
        <f t="shared" ref="AH613:AH620" si="167">IF(M613&gt;1,IF(COUNTBLANK(S613:AD613)=12,0,1),0)</f>
        <v>0</v>
      </c>
      <c r="AI613">
        <f t="shared" ref="AI613:AI620" si="168">COUNTIF(W613:AD613,"NS")</f>
        <v>0</v>
      </c>
      <c r="AJ613">
        <f t="shared" ref="AJ613:AJ620" si="169">SUM(W613:AD613)</f>
        <v>0</v>
      </c>
      <c r="AK613">
        <f t="shared" ref="AK613:AK620" si="170">IF(COUNTIF(S613:AD613,"NA")=3,0,IF(COUNTA(S613:AD613)=0,0,IF(OR(AND(S613=0,AI613&gt;0),AND(S613="ns",AJ613&gt;0),AND(S613="ns",AI613=0,AJ613=0)),1,IF(OR(AND(S613&gt;0,AI613=2),AND(S613="ns",AI613=2),AND(S613="ns",AJ613=0,AI613&gt;0),S613=AJ613),0,1))))</f>
        <v>0</v>
      </c>
      <c r="AL613" s="640">
        <f t="shared" ref="AL613:AL620" si="171">IF(AND(COUNTIF(M613,"&gt;1")=0,M613&lt;&gt;""),0,IF(OR(COUNTIF(M613,"&gt;1")=(1-COUNTBLANK(D613)),AND(COUNTBLANK(D613)=0,COUNTBLANK(M613)=1),AND(COUNTBLANK(D613)=1,COUNTBLANK(M613)=1)),1,0))</f>
        <v>1</v>
      </c>
      <c r="AM613"/>
      <c r="AN613"/>
    </row>
    <row r="614" spans="1:40">
      <c r="A614" s="50"/>
      <c r="B614" s="38"/>
      <c r="C614" s="98" t="s">
        <v>2517</v>
      </c>
      <c r="D614" s="1084" t="str">
        <f>IF(CNSIPEE_2024_M2_Secc1!D43="","",CNSIPEE_2024_M2_Secc1!D43)</f>
        <v/>
      </c>
      <c r="E614" s="1084"/>
      <c r="F614" s="1084"/>
      <c r="G614" s="1084"/>
      <c r="H614" s="1084"/>
      <c r="I614" s="1084"/>
      <c r="J614" s="1084"/>
      <c r="K614" s="1084"/>
      <c r="L614" s="1084"/>
      <c r="M614" s="816"/>
      <c r="N614" s="738"/>
      <c r="O614" s="738"/>
      <c r="P614" s="738"/>
      <c r="Q614" s="738"/>
      <c r="R614" s="817"/>
      <c r="S614" s="816"/>
      <c r="T614" s="738"/>
      <c r="U614" s="738"/>
      <c r="V614" s="817"/>
      <c r="W614" s="816"/>
      <c r="X614" s="738"/>
      <c r="Y614" s="738"/>
      <c r="Z614" s="817"/>
      <c r="AA614" s="816"/>
      <c r="AB614" s="738"/>
      <c r="AC614" s="738"/>
      <c r="AD614" s="817"/>
      <c r="AF614">
        <f t="shared" si="166"/>
        <v>0</v>
      </c>
      <c r="AG614">
        <f t="shared" ref="AG614:AG619" si="172">IF(AND(M614&gt;1,D614&lt;&gt;""),0,IF(OR(COUNTBLANK(D614:AD614)=22,COUNTBLANK(D614:AD614)=27),0,1))</f>
        <v>0</v>
      </c>
      <c r="AH614">
        <f t="shared" si="167"/>
        <v>0</v>
      </c>
      <c r="AI614">
        <f t="shared" si="168"/>
        <v>0</v>
      </c>
      <c r="AJ614">
        <f t="shared" si="169"/>
        <v>0</v>
      </c>
      <c r="AK614">
        <f t="shared" si="170"/>
        <v>0</v>
      </c>
      <c r="AL614" s="640">
        <f t="shared" si="171"/>
        <v>1</v>
      </c>
      <c r="AM614"/>
      <c r="AN614"/>
    </row>
    <row r="615" spans="1:40">
      <c r="A615" s="50"/>
      <c r="B615" s="38"/>
      <c r="C615" s="98" t="s">
        <v>2518</v>
      </c>
      <c r="D615" s="1084" t="str">
        <f>IF(CNSIPEE_2024_M2_Secc1!D44="","",CNSIPEE_2024_M2_Secc1!D44)</f>
        <v/>
      </c>
      <c r="E615" s="1084"/>
      <c r="F615" s="1084"/>
      <c r="G615" s="1084"/>
      <c r="H615" s="1084"/>
      <c r="I615" s="1084"/>
      <c r="J615" s="1084"/>
      <c r="K615" s="1084"/>
      <c r="L615" s="1084"/>
      <c r="M615" s="816"/>
      <c r="N615" s="738"/>
      <c r="O615" s="738"/>
      <c r="P615" s="738"/>
      <c r="Q615" s="738"/>
      <c r="R615" s="817"/>
      <c r="S615" s="816"/>
      <c r="T615" s="738"/>
      <c r="U615" s="738"/>
      <c r="V615" s="817"/>
      <c r="W615" s="816"/>
      <c r="X615" s="738"/>
      <c r="Y615" s="738"/>
      <c r="Z615" s="817"/>
      <c r="AA615" s="816"/>
      <c r="AB615" s="738"/>
      <c r="AC615" s="738"/>
      <c r="AD615" s="817"/>
      <c r="AF615">
        <f t="shared" si="166"/>
        <v>0</v>
      </c>
      <c r="AG615">
        <f t="shared" si="172"/>
        <v>0</v>
      </c>
      <c r="AH615">
        <f t="shared" si="167"/>
        <v>0</v>
      </c>
      <c r="AI615">
        <f t="shared" si="168"/>
        <v>0</v>
      </c>
      <c r="AJ615">
        <f t="shared" si="169"/>
        <v>0</v>
      </c>
      <c r="AK615">
        <f t="shared" si="170"/>
        <v>0</v>
      </c>
      <c r="AL615" s="640">
        <f t="shared" si="171"/>
        <v>1</v>
      </c>
      <c r="AM615"/>
      <c r="AN615"/>
    </row>
    <row r="616" spans="1:40">
      <c r="A616" s="50"/>
      <c r="B616" s="38"/>
      <c r="C616" s="98" t="s">
        <v>2519</v>
      </c>
      <c r="D616" s="1084" t="str">
        <f>IF(CNSIPEE_2024_M2_Secc1!D45="","",CNSIPEE_2024_M2_Secc1!D45)</f>
        <v/>
      </c>
      <c r="E616" s="1084"/>
      <c r="F616" s="1084"/>
      <c r="G616" s="1084"/>
      <c r="H616" s="1084"/>
      <c r="I616" s="1084"/>
      <c r="J616" s="1084"/>
      <c r="K616" s="1084"/>
      <c r="L616" s="1084"/>
      <c r="M616" s="816"/>
      <c r="N616" s="738"/>
      <c r="O616" s="738"/>
      <c r="P616" s="738"/>
      <c r="Q616" s="738"/>
      <c r="R616" s="817"/>
      <c r="S616" s="816"/>
      <c r="T616" s="738"/>
      <c r="U616" s="738"/>
      <c r="V616" s="817"/>
      <c r="W616" s="816"/>
      <c r="X616" s="738"/>
      <c r="Y616" s="738"/>
      <c r="Z616" s="817"/>
      <c r="AA616" s="816"/>
      <c r="AB616" s="738"/>
      <c r="AC616" s="738"/>
      <c r="AD616" s="817"/>
      <c r="AF616">
        <f t="shared" si="166"/>
        <v>0</v>
      </c>
      <c r="AG616">
        <f t="shared" si="172"/>
        <v>0</v>
      </c>
      <c r="AH616">
        <f t="shared" si="167"/>
        <v>0</v>
      </c>
      <c r="AI616">
        <f t="shared" si="168"/>
        <v>0</v>
      </c>
      <c r="AJ616">
        <f t="shared" si="169"/>
        <v>0</v>
      </c>
      <c r="AK616">
        <f t="shared" si="170"/>
        <v>0</v>
      </c>
      <c r="AL616" s="640">
        <f t="shared" si="171"/>
        <v>1</v>
      </c>
      <c r="AM616"/>
      <c r="AN616"/>
    </row>
    <row r="617" spans="1:40">
      <c r="A617" s="50"/>
      <c r="B617" s="38"/>
      <c r="C617" s="98" t="s">
        <v>2520</v>
      </c>
      <c r="D617" s="1084" t="str">
        <f>IF(CNSIPEE_2024_M2_Secc1!D46="","",CNSIPEE_2024_M2_Secc1!D46)</f>
        <v/>
      </c>
      <c r="E617" s="1084"/>
      <c r="F617" s="1084"/>
      <c r="G617" s="1084"/>
      <c r="H617" s="1084"/>
      <c r="I617" s="1084"/>
      <c r="J617" s="1084"/>
      <c r="K617" s="1084"/>
      <c r="L617" s="1084"/>
      <c r="M617" s="816"/>
      <c r="N617" s="738"/>
      <c r="O617" s="738"/>
      <c r="P617" s="738"/>
      <c r="Q617" s="738"/>
      <c r="R617" s="817"/>
      <c r="S617" s="816"/>
      <c r="T617" s="738"/>
      <c r="U617" s="738"/>
      <c r="V617" s="817"/>
      <c r="W617" s="816"/>
      <c r="X617" s="738"/>
      <c r="Y617" s="738"/>
      <c r="Z617" s="817"/>
      <c r="AA617" s="816"/>
      <c r="AB617" s="738"/>
      <c r="AC617" s="738"/>
      <c r="AD617" s="817"/>
      <c r="AF617">
        <f t="shared" si="166"/>
        <v>0</v>
      </c>
      <c r="AG617">
        <f t="shared" si="172"/>
        <v>0</v>
      </c>
      <c r="AH617">
        <f t="shared" si="167"/>
        <v>0</v>
      </c>
      <c r="AI617">
        <f t="shared" si="168"/>
        <v>0</v>
      </c>
      <c r="AJ617">
        <f t="shared" si="169"/>
        <v>0</v>
      </c>
      <c r="AK617">
        <f t="shared" si="170"/>
        <v>0</v>
      </c>
      <c r="AL617" s="640">
        <f t="shared" si="171"/>
        <v>1</v>
      </c>
      <c r="AM617"/>
      <c r="AN617"/>
    </row>
    <row r="618" spans="1:40">
      <c r="A618" s="50"/>
      <c r="B618" s="38"/>
      <c r="C618" s="98" t="s">
        <v>2521</v>
      </c>
      <c r="D618" s="1084" t="str">
        <f>IF(CNSIPEE_2024_M2_Secc1!D47="","",CNSIPEE_2024_M2_Secc1!D47)</f>
        <v/>
      </c>
      <c r="E618" s="1084"/>
      <c r="F618" s="1084"/>
      <c r="G618" s="1084"/>
      <c r="H618" s="1084"/>
      <c r="I618" s="1084"/>
      <c r="J618" s="1084"/>
      <c r="K618" s="1084"/>
      <c r="L618" s="1084"/>
      <c r="M618" s="816"/>
      <c r="N618" s="738"/>
      <c r="O618" s="738"/>
      <c r="P618" s="738"/>
      <c r="Q618" s="738"/>
      <c r="R618" s="817"/>
      <c r="S618" s="816"/>
      <c r="T618" s="738"/>
      <c r="U618" s="738"/>
      <c r="V618" s="817"/>
      <c r="W618" s="816"/>
      <c r="X618" s="738"/>
      <c r="Y618" s="738"/>
      <c r="Z618" s="817"/>
      <c r="AA618" s="816"/>
      <c r="AB618" s="738"/>
      <c r="AC618" s="738"/>
      <c r="AD618" s="817"/>
      <c r="AF618">
        <f t="shared" si="166"/>
        <v>0</v>
      </c>
      <c r="AG618">
        <f t="shared" si="172"/>
        <v>0</v>
      </c>
      <c r="AH618">
        <f t="shared" si="167"/>
        <v>0</v>
      </c>
      <c r="AI618">
        <f t="shared" si="168"/>
        <v>0</v>
      </c>
      <c r="AJ618">
        <f t="shared" si="169"/>
        <v>0</v>
      </c>
      <c r="AK618">
        <f t="shared" si="170"/>
        <v>0</v>
      </c>
      <c r="AL618" s="640">
        <f t="shared" si="171"/>
        <v>1</v>
      </c>
      <c r="AM618"/>
      <c r="AN618"/>
    </row>
    <row r="619" spans="1:40">
      <c r="A619" s="50"/>
      <c r="B619" s="38"/>
      <c r="C619" s="98" t="s">
        <v>2522</v>
      </c>
      <c r="D619" s="1084" t="str">
        <f>IF(CNSIPEE_2024_M2_Secc1!D48="","",CNSIPEE_2024_M2_Secc1!D48)</f>
        <v/>
      </c>
      <c r="E619" s="1084"/>
      <c r="F619" s="1084"/>
      <c r="G619" s="1084"/>
      <c r="H619" s="1084"/>
      <c r="I619" s="1084"/>
      <c r="J619" s="1084"/>
      <c r="K619" s="1084"/>
      <c r="L619" s="1084"/>
      <c r="M619" s="816"/>
      <c r="N619" s="738"/>
      <c r="O619" s="738"/>
      <c r="P619" s="738"/>
      <c r="Q619" s="738"/>
      <c r="R619" s="817"/>
      <c r="S619" s="816"/>
      <c r="T619" s="738"/>
      <c r="U619" s="738"/>
      <c r="V619" s="817"/>
      <c r="W619" s="816"/>
      <c r="X619" s="738"/>
      <c r="Y619" s="738"/>
      <c r="Z619" s="817"/>
      <c r="AA619" s="816"/>
      <c r="AB619" s="738"/>
      <c r="AC619" s="738"/>
      <c r="AD619" s="817"/>
      <c r="AF619">
        <f t="shared" si="166"/>
        <v>0</v>
      </c>
      <c r="AG619">
        <f t="shared" si="172"/>
        <v>0</v>
      </c>
      <c r="AH619">
        <f t="shared" si="167"/>
        <v>0</v>
      </c>
      <c r="AI619">
        <f t="shared" si="168"/>
        <v>0</v>
      </c>
      <c r="AJ619">
        <f t="shared" si="169"/>
        <v>0</v>
      </c>
      <c r="AK619">
        <f t="shared" si="170"/>
        <v>0</v>
      </c>
      <c r="AL619" s="640">
        <f t="shared" si="171"/>
        <v>1</v>
      </c>
      <c r="AM619"/>
      <c r="AN619"/>
    </row>
    <row r="620" spans="1:40">
      <c r="A620" s="50"/>
      <c r="B620" s="38"/>
      <c r="C620" s="98" t="s">
        <v>2523</v>
      </c>
      <c r="D620" s="1084" t="str">
        <f>IF(CNSIPEE_2024_M2_Secc1!D49="","",CNSIPEE_2024_M2_Secc1!D49)</f>
        <v/>
      </c>
      <c r="E620" s="1084"/>
      <c r="F620" s="1084"/>
      <c r="G620" s="1084"/>
      <c r="H620" s="1084"/>
      <c r="I620" s="1084"/>
      <c r="J620" s="1084"/>
      <c r="K620" s="1084"/>
      <c r="L620" s="1084"/>
      <c r="M620" s="816"/>
      <c r="N620" s="738"/>
      <c r="O620" s="738"/>
      <c r="P620" s="738"/>
      <c r="Q620" s="738"/>
      <c r="R620" s="817"/>
      <c r="S620" s="816"/>
      <c r="T620" s="738"/>
      <c r="U620" s="738"/>
      <c r="V620" s="817"/>
      <c r="W620" s="816"/>
      <c r="X620" s="738"/>
      <c r="Y620" s="738"/>
      <c r="Z620" s="817"/>
      <c r="AA620" s="816"/>
      <c r="AB620" s="738"/>
      <c r="AC620" s="738"/>
      <c r="AD620" s="817"/>
      <c r="AF620">
        <f t="shared" si="166"/>
        <v>0</v>
      </c>
      <c r="AG620">
        <f>IF(AND(M620&gt;1,D620&lt;&gt;""),0,IF(OR(COUNTBLANK(D620:AD620)=22,COUNTBLANK(D620:AD620)=27),0,1))</f>
        <v>0</v>
      </c>
      <c r="AH620">
        <f t="shared" si="167"/>
        <v>0</v>
      </c>
      <c r="AI620">
        <f t="shared" si="168"/>
        <v>0</v>
      </c>
      <c r="AJ620">
        <f t="shared" si="169"/>
        <v>0</v>
      </c>
      <c r="AK620">
        <f t="shared" si="170"/>
        <v>0</v>
      </c>
      <c r="AL620" s="640">
        <f t="shared" si="171"/>
        <v>1</v>
      </c>
      <c r="AM620"/>
      <c r="AN620"/>
    </row>
    <row r="621" spans="1:40">
      <c r="A621" s="50"/>
      <c r="B621" s="38"/>
      <c r="C621" s="38"/>
      <c r="D621" s="38"/>
      <c r="E621" s="38"/>
      <c r="F621" s="38"/>
      <c r="G621" s="38"/>
      <c r="H621" s="38"/>
      <c r="I621" s="38"/>
      <c r="J621" s="38"/>
      <c r="K621" s="38"/>
      <c r="L621" s="117"/>
      <c r="M621" s="51"/>
      <c r="N621" s="51"/>
      <c r="O621" s="51"/>
      <c r="P621" s="51"/>
      <c r="Q621" s="51"/>
      <c r="R621" s="99" t="s">
        <v>2649</v>
      </c>
      <c r="S621" s="736">
        <f>IF(AND(SUM(S613:S620)=0,COUNTIF(S613:S620,"NS")&gt;0),"NS",IF(AND(SUM(S613:S620)=0,COUNTIF(S613:S620,0)&gt;0),0,IF(AND(SUM(S613:S620)=0,COUNTIF(S613:S620,"NA")&gt;0),"NA",SUM(S613:S620))))</f>
        <v>0</v>
      </c>
      <c r="T621" s="1085"/>
      <c r="U621" s="1085"/>
      <c r="V621" s="1086"/>
      <c r="W621" s="736">
        <f>IF(AND(SUM(W613:W620)=0,COUNTIF(W613:W620,"NS")&gt;0),"NS",IF(AND(SUM(W613:W620)=0,COUNTIF(W613:W620,0)&gt;0),0,IF(AND(SUM(W613:W620)=0,COUNTIF(W613:W620,"NA")&gt;0),"NA",SUM(W613:W620))))</f>
        <v>0</v>
      </c>
      <c r="X621" s="1085"/>
      <c r="Y621" s="1085"/>
      <c r="Z621" s="1086"/>
      <c r="AA621" s="736">
        <f>IF(AND(SUM(AA613:AA620)=0,COUNTIF(AA613:AA620,"NS")&gt;0),"NS",IF(AND(SUM(AA613:AA620)=0,COUNTIF(AA613:AA620,0)&gt;0),0,IF(AND(SUM(AA613:AA620)=0,COUNTIF(AA613:AA620,"NA")&gt;0),"NA",SUM(AA613:AA620))))</f>
        <v>0</v>
      </c>
      <c r="AB621" s="1085"/>
      <c r="AC621" s="1085"/>
      <c r="AD621" s="1086"/>
      <c r="AF621" s="507">
        <f>SUM(AF613:AF620)</f>
        <v>0</v>
      </c>
      <c r="AG621" s="507">
        <f>SUM(AG613:AG620)</f>
        <v>0</v>
      </c>
      <c r="AH621" s="507">
        <f>SUM(AH613:AH620)</f>
        <v>0</v>
      </c>
      <c r="AI621">
        <f>SUM(AI613:AI620)</f>
        <v>0</v>
      </c>
      <c r="AK621" s="506">
        <f>SUM(AK613:AK620)</f>
        <v>0</v>
      </c>
      <c r="AL621" s="640">
        <f>SUM(AL613:AL620)</f>
        <v>8</v>
      </c>
      <c r="AN621"/>
    </row>
    <row r="622" spans="1:40">
      <c r="A622" s="217"/>
      <c r="B622" s="57"/>
      <c r="C622" s="57"/>
      <c r="D622" s="57"/>
      <c r="E622" s="108"/>
      <c r="F622" s="108"/>
      <c r="G622" s="108"/>
      <c r="H622" s="108"/>
      <c r="I622" s="160"/>
      <c r="J622" s="160"/>
      <c r="K622" s="160"/>
      <c r="L622" s="160"/>
      <c r="M622" s="57"/>
      <c r="N622" s="57"/>
      <c r="O622" s="57"/>
      <c r="P622" s="57"/>
      <c r="Q622" s="57"/>
      <c r="R622" s="57"/>
      <c r="S622" s="57"/>
      <c r="T622" s="57"/>
      <c r="U622" s="57"/>
      <c r="V622" s="57"/>
      <c r="W622" s="57"/>
      <c r="X622" s="57"/>
      <c r="Y622" s="57"/>
      <c r="Z622" s="57"/>
      <c r="AA622" s="57"/>
      <c r="AB622" s="57"/>
      <c r="AC622" s="57"/>
      <c r="AD622" s="57"/>
    </row>
    <row r="623" spans="1:40" ht="24" customHeight="1">
      <c r="A623" s="50"/>
      <c r="B623" s="38"/>
      <c r="C623" s="754" t="s">
        <v>2611</v>
      </c>
      <c r="D623" s="754"/>
      <c r="E623" s="754"/>
      <c r="F623" s="754"/>
      <c r="G623" s="754"/>
      <c r="H623" s="754"/>
      <c r="I623" s="754"/>
      <c r="J623" s="754"/>
      <c r="K623" s="754"/>
      <c r="L623" s="754"/>
      <c r="M623" s="754"/>
      <c r="N623" s="754"/>
      <c r="O623" s="754"/>
      <c r="P623" s="754"/>
      <c r="Q623" s="754"/>
      <c r="R623" s="754"/>
      <c r="S623" s="754"/>
      <c r="T623" s="754"/>
      <c r="U623" s="754"/>
      <c r="V623" s="754"/>
      <c r="W623" s="754"/>
      <c r="X623" s="754"/>
      <c r="Y623" s="754"/>
      <c r="Z623" s="754"/>
      <c r="AA623" s="754"/>
      <c r="AB623" s="754"/>
      <c r="AC623" s="754"/>
      <c r="AD623" s="754"/>
    </row>
    <row r="624" spans="1:40" ht="60" customHeight="1">
      <c r="A624" s="50"/>
      <c r="B624" s="38"/>
      <c r="C624" s="851"/>
      <c r="D624" s="851"/>
      <c r="E624" s="851"/>
      <c r="F624" s="851"/>
      <c r="G624" s="851"/>
      <c r="H624" s="851"/>
      <c r="I624" s="851"/>
      <c r="J624" s="851"/>
      <c r="K624" s="851"/>
      <c r="L624" s="851"/>
      <c r="M624" s="851"/>
      <c r="N624" s="851"/>
      <c r="O624" s="851"/>
      <c r="P624" s="851"/>
      <c r="Q624" s="851"/>
      <c r="R624" s="851"/>
      <c r="S624" s="851"/>
      <c r="T624" s="851"/>
      <c r="U624" s="851"/>
      <c r="V624" s="851"/>
      <c r="W624" s="851"/>
      <c r="X624" s="851"/>
      <c r="Y624" s="851"/>
      <c r="Z624" s="851"/>
      <c r="AA624" s="851"/>
      <c r="AB624" s="851"/>
      <c r="AC624" s="851"/>
      <c r="AD624" s="851"/>
    </row>
    <row r="625" spans="1:60">
      <c r="A625" s="217"/>
      <c r="B625" s="794" t="str">
        <f>IF(AG621=0,"","Favor de ingresar toda la información requerida en la pregunta")</f>
        <v/>
      </c>
      <c r="C625" s="794"/>
      <c r="D625" s="794"/>
      <c r="E625" s="794"/>
      <c r="F625" s="794"/>
      <c r="G625" s="794"/>
      <c r="H625" s="794"/>
      <c r="I625" s="794"/>
      <c r="J625" s="794"/>
      <c r="K625" s="794"/>
      <c r="L625" s="794"/>
      <c r="M625" s="794"/>
      <c r="N625" s="794"/>
      <c r="O625" s="794"/>
      <c r="P625" s="794"/>
      <c r="Q625" s="794"/>
      <c r="R625" s="794"/>
      <c r="S625" s="794"/>
      <c r="T625" s="794"/>
      <c r="U625" s="794"/>
      <c r="V625" s="794"/>
      <c r="W625" s="794"/>
      <c r="X625" s="794"/>
      <c r="Y625" s="794"/>
      <c r="Z625" s="794"/>
      <c r="AA625" s="794"/>
      <c r="AB625" s="794"/>
      <c r="AC625" s="794"/>
      <c r="AD625" s="794"/>
      <c r="AE625" s="794"/>
    </row>
    <row r="626" spans="1:60">
      <c r="A626" s="217"/>
      <c r="B626" s="1087" t="str">
        <f>IF(COUNTIF(S613:AD620,"NS")&lt;&gt;0,"Alerta: debido a que cuenta con registros NS, debe proporcionar una justificación en el area de comentarios al final de la pregunta","")</f>
        <v/>
      </c>
      <c r="C626" s="1087"/>
      <c r="D626" s="1087"/>
      <c r="E626" s="1087"/>
      <c r="F626" s="1087"/>
      <c r="G626" s="1087"/>
      <c r="H626" s="1087"/>
      <c r="I626" s="1087"/>
      <c r="J626" s="1087"/>
      <c r="K626" s="1087"/>
      <c r="L626" s="1087"/>
      <c r="M626" s="1087"/>
      <c r="N626" s="1087"/>
      <c r="O626" s="1087"/>
      <c r="P626" s="1087"/>
      <c r="Q626" s="1087"/>
      <c r="R626" s="1087"/>
      <c r="S626" s="1087"/>
      <c r="T626" s="1087"/>
      <c r="U626" s="1087"/>
      <c r="V626" s="1087"/>
      <c r="W626" s="1087"/>
      <c r="X626" s="1087"/>
      <c r="Y626" s="1087"/>
      <c r="Z626" s="1087"/>
      <c r="AA626" s="1087"/>
      <c r="AB626" s="1087"/>
      <c r="AC626" s="1087"/>
      <c r="AD626" s="1087"/>
      <c r="AE626" s="1087"/>
    </row>
    <row r="627" spans="1:60">
      <c r="A627" s="217"/>
      <c r="B627" s="1003" t="str">
        <f>IF(AH621&gt;0,"Revise la información capturada, ya que tiene datos ingresados en celdas que están sombreadas","")</f>
        <v/>
      </c>
      <c r="C627" s="1003"/>
      <c r="D627" s="1003"/>
      <c r="E627" s="1003"/>
      <c r="F627" s="1003"/>
      <c r="G627" s="1003"/>
      <c r="H627" s="1003"/>
      <c r="I627" s="1003"/>
      <c r="J627" s="1003"/>
      <c r="K627" s="1003"/>
      <c r="L627" s="1003"/>
      <c r="M627" s="1003"/>
      <c r="N627" s="1003"/>
      <c r="O627" s="1003"/>
      <c r="P627" s="1003"/>
      <c r="Q627" s="1003"/>
      <c r="R627" s="1003"/>
      <c r="S627" s="1003"/>
      <c r="T627" s="1003"/>
      <c r="U627" s="1003"/>
      <c r="V627" s="1003"/>
      <c r="W627" s="1003"/>
      <c r="X627" s="1003"/>
      <c r="Y627" s="1003"/>
      <c r="Z627" s="1003"/>
      <c r="AA627" s="1003"/>
      <c r="AB627" s="1003"/>
      <c r="AC627" s="1003"/>
      <c r="AD627" s="1003"/>
      <c r="AE627" s="1003"/>
    </row>
    <row r="628" spans="1:60">
      <c r="A628" s="217"/>
      <c r="B628" s="1003" t="str">
        <f>IF(AK621&gt;0,"Favor de revisar la suma y consistencia de totales y/o subtotales por filas (numéricos y NS)","")</f>
        <v/>
      </c>
      <c r="C628" s="1003"/>
      <c r="D628" s="1003"/>
      <c r="E628" s="1003"/>
      <c r="F628" s="1003"/>
      <c r="G628" s="1003"/>
      <c r="H628" s="1003"/>
      <c r="I628" s="1003"/>
      <c r="J628" s="1003"/>
      <c r="K628" s="1003"/>
      <c r="L628" s="1003"/>
      <c r="M628" s="1003"/>
      <c r="N628" s="1003"/>
      <c r="O628" s="1003"/>
      <c r="P628" s="1003"/>
      <c r="Q628" s="1003"/>
      <c r="R628" s="1003"/>
      <c r="S628" s="1003"/>
      <c r="T628" s="1003"/>
      <c r="U628" s="1003"/>
      <c r="V628" s="1003"/>
      <c r="W628" s="1003"/>
      <c r="X628" s="1003"/>
      <c r="Y628" s="1003"/>
      <c r="Z628" s="1003"/>
      <c r="AA628" s="1003"/>
      <c r="AB628" s="1003"/>
      <c r="AC628" s="1003"/>
      <c r="AD628" s="1003"/>
      <c r="AE628" s="1003"/>
    </row>
    <row r="629" spans="1:60">
      <c r="A629" s="217"/>
      <c r="B629" s="794" t="str">
        <f>IF(AF621=0,"","Debido a que cuenta con registro(s) con el código 1, el total de la fila respectiva debe ser mayor a cero")</f>
        <v/>
      </c>
      <c r="C629" s="794"/>
      <c r="D629" s="794"/>
      <c r="E629" s="794"/>
      <c r="F629" s="794"/>
      <c r="G629" s="794"/>
      <c r="H629" s="794"/>
      <c r="I629" s="794"/>
      <c r="J629" s="794"/>
      <c r="K629" s="794"/>
      <c r="L629" s="794"/>
      <c r="M629" s="794"/>
      <c r="N629" s="794"/>
      <c r="O629" s="794"/>
      <c r="P629" s="794"/>
      <c r="Q629" s="794"/>
      <c r="R629" s="794"/>
      <c r="S629" s="794"/>
      <c r="T629" s="794"/>
      <c r="U629" s="794"/>
      <c r="V629" s="794"/>
      <c r="W629" s="794"/>
      <c r="X629" s="794"/>
      <c r="Y629" s="794"/>
      <c r="Z629" s="794"/>
      <c r="AA629" s="794"/>
      <c r="AB629" s="794"/>
      <c r="AC629" s="794"/>
      <c r="AD629" s="794"/>
      <c r="AE629" s="794"/>
    </row>
    <row r="630" spans="1:60">
      <c r="A630" s="119"/>
      <c r="B630" s="57"/>
      <c r="C630" s="57"/>
      <c r="D630" s="57"/>
      <c r="E630" s="57"/>
      <c r="F630" s="57"/>
      <c r="G630" s="57"/>
      <c r="H630" s="57"/>
      <c r="I630" s="57"/>
      <c r="J630" s="57"/>
      <c r="K630" s="57"/>
      <c r="L630" s="57"/>
      <c r="M630" s="57"/>
      <c r="N630" s="57"/>
      <c r="O630" s="57"/>
      <c r="P630" s="57"/>
      <c r="Q630" s="57"/>
      <c r="R630" s="57"/>
      <c r="S630" s="57"/>
      <c r="T630" s="57"/>
      <c r="U630" s="57"/>
      <c r="V630" s="57"/>
      <c r="W630" s="57"/>
      <c r="X630" s="57"/>
      <c r="Y630" s="57"/>
      <c r="Z630" s="57"/>
      <c r="AA630" s="57"/>
      <c r="AB630" s="57"/>
      <c r="AC630" s="57"/>
      <c r="AD630" s="57"/>
      <c r="AE630"/>
    </row>
    <row r="631" spans="1:60" ht="36" customHeight="1">
      <c r="A631" s="49" t="s">
        <v>6260</v>
      </c>
      <c r="B631" s="829" t="s">
        <v>6261</v>
      </c>
      <c r="C631" s="829"/>
      <c r="D631" s="829"/>
      <c r="E631" s="829"/>
      <c r="F631" s="829"/>
      <c r="G631" s="829"/>
      <c r="H631" s="829"/>
      <c r="I631" s="829"/>
      <c r="J631" s="829"/>
      <c r="K631" s="829"/>
      <c r="L631" s="829"/>
      <c r="M631" s="829"/>
      <c r="N631" s="829"/>
      <c r="O631" s="829"/>
      <c r="P631" s="829"/>
      <c r="Q631" s="829"/>
      <c r="R631" s="829"/>
      <c r="S631" s="829"/>
      <c r="T631" s="829"/>
      <c r="U631" s="829"/>
      <c r="V631" s="829"/>
      <c r="W631" s="829"/>
      <c r="X631" s="829"/>
      <c r="Y631" s="829"/>
      <c r="Z631" s="829"/>
      <c r="AA631" s="829"/>
      <c r="AB631" s="829"/>
      <c r="AC631" s="829"/>
      <c r="AD631" s="829"/>
    </row>
    <row r="632" spans="1:60" ht="36" customHeight="1">
      <c r="A632" s="215"/>
      <c r="B632" s="90"/>
      <c r="C632" s="830" t="s">
        <v>6262</v>
      </c>
      <c r="D632" s="830"/>
      <c r="E632" s="830"/>
      <c r="F632" s="830"/>
      <c r="G632" s="830"/>
      <c r="H632" s="830"/>
      <c r="I632" s="830"/>
      <c r="J632" s="830"/>
      <c r="K632" s="830"/>
      <c r="L632" s="830"/>
      <c r="M632" s="830"/>
      <c r="N632" s="830"/>
      <c r="O632" s="830"/>
      <c r="P632" s="830"/>
      <c r="Q632" s="830"/>
      <c r="R632" s="830"/>
      <c r="S632" s="830"/>
      <c r="T632" s="830"/>
      <c r="U632" s="830"/>
      <c r="V632" s="830"/>
      <c r="W632" s="830"/>
      <c r="X632" s="830"/>
      <c r="Y632" s="830"/>
      <c r="Z632" s="830"/>
      <c r="AA632" s="830"/>
      <c r="AB632" s="830"/>
      <c r="AC632" s="830"/>
      <c r="AD632" s="830"/>
    </row>
    <row r="633" spans="1:60" ht="36" customHeight="1">
      <c r="A633" s="49"/>
      <c r="B633" s="38"/>
      <c r="C633" s="830" t="s">
        <v>6263</v>
      </c>
      <c r="D633" s="830"/>
      <c r="E633" s="830"/>
      <c r="F633" s="830"/>
      <c r="G633" s="830"/>
      <c r="H633" s="830"/>
      <c r="I633" s="830"/>
      <c r="J633" s="830"/>
      <c r="K633" s="830"/>
      <c r="L633" s="830"/>
      <c r="M633" s="830"/>
      <c r="N633" s="830"/>
      <c r="O633" s="830"/>
      <c r="P633" s="830"/>
      <c r="Q633" s="830"/>
      <c r="R633" s="830"/>
      <c r="S633" s="830"/>
      <c r="T633" s="830"/>
      <c r="U633" s="830"/>
      <c r="V633" s="830"/>
      <c r="W633" s="830"/>
      <c r="X633" s="830"/>
      <c r="Y633" s="830"/>
      <c r="Z633" s="830"/>
      <c r="AA633" s="830"/>
      <c r="AB633" s="830"/>
      <c r="AC633" s="830"/>
      <c r="AD633" s="830"/>
    </row>
    <row r="634" spans="1:60" ht="36" customHeight="1">
      <c r="A634" s="49"/>
      <c r="B634" s="38"/>
      <c r="C634" s="754" t="s">
        <v>6264</v>
      </c>
      <c r="D634" s="754"/>
      <c r="E634" s="754"/>
      <c r="F634" s="754"/>
      <c r="G634" s="754"/>
      <c r="H634" s="754"/>
      <c r="I634" s="754"/>
      <c r="J634" s="754"/>
      <c r="K634" s="754"/>
      <c r="L634" s="754"/>
      <c r="M634" s="754"/>
      <c r="N634" s="754"/>
      <c r="O634" s="754"/>
      <c r="P634" s="754"/>
      <c r="Q634" s="754"/>
      <c r="R634" s="754"/>
      <c r="S634" s="754"/>
      <c r="T634" s="754"/>
      <c r="U634" s="754"/>
      <c r="V634" s="754"/>
      <c r="W634" s="754"/>
      <c r="X634" s="754"/>
      <c r="Y634" s="754"/>
      <c r="Z634" s="754"/>
      <c r="AA634" s="754"/>
      <c r="AB634" s="754"/>
      <c r="AC634" s="754"/>
      <c r="AD634" s="754"/>
    </row>
    <row r="635" spans="1:60" ht="24" customHeight="1">
      <c r="A635" s="49"/>
      <c r="B635" s="38"/>
      <c r="C635" s="754" t="s">
        <v>6265</v>
      </c>
      <c r="D635" s="754"/>
      <c r="E635" s="754"/>
      <c r="F635" s="754"/>
      <c r="G635" s="754"/>
      <c r="H635" s="754"/>
      <c r="I635" s="754"/>
      <c r="J635" s="754"/>
      <c r="K635" s="754"/>
      <c r="L635" s="754"/>
      <c r="M635" s="754"/>
      <c r="N635" s="754"/>
      <c r="O635" s="754"/>
      <c r="P635" s="754"/>
      <c r="Q635" s="754"/>
      <c r="R635" s="754"/>
      <c r="S635" s="754"/>
      <c r="T635" s="754"/>
      <c r="U635" s="754"/>
      <c r="V635" s="754"/>
      <c r="W635" s="754"/>
      <c r="X635" s="754"/>
      <c r="Y635" s="754"/>
      <c r="Z635" s="754"/>
      <c r="AA635" s="754"/>
      <c r="AB635" s="754"/>
      <c r="AC635" s="754"/>
      <c r="AD635" s="754"/>
    </row>
    <row r="636" spans="1:60">
      <c r="A636" s="217"/>
      <c r="B636" s="57"/>
      <c r="C636" s="57"/>
      <c r="D636" s="57"/>
      <c r="E636" s="57"/>
      <c r="F636" s="57"/>
      <c r="G636" s="57"/>
      <c r="H636" s="57"/>
      <c r="I636" s="57"/>
      <c r="J636" s="57"/>
      <c r="K636" s="57"/>
      <c r="L636" s="57"/>
      <c r="M636" s="57"/>
      <c r="N636" s="57"/>
      <c r="O636" s="57"/>
      <c r="P636" s="57"/>
      <c r="Q636" s="57"/>
      <c r="R636" s="57"/>
      <c r="S636" s="57"/>
      <c r="T636" s="57"/>
      <c r="U636" s="57"/>
      <c r="V636" s="57"/>
      <c r="W636" s="57"/>
      <c r="X636" s="57"/>
      <c r="Y636" s="57"/>
      <c r="Z636" s="57"/>
      <c r="AA636" s="57"/>
      <c r="AB636" s="57"/>
      <c r="AC636" s="57"/>
      <c r="AD636" s="57"/>
    </row>
    <row r="637" spans="1:60">
      <c r="A637" s="119"/>
      <c r="AA637" s="875" t="s">
        <v>2664</v>
      </c>
      <c r="AB637" s="875"/>
      <c r="AC637" s="875"/>
      <c r="AD637" s="875"/>
    </row>
    <row r="638" spans="1:60" ht="24" customHeight="1">
      <c r="A638" s="211"/>
      <c r="B638" s="113"/>
      <c r="C638" s="732" t="s">
        <v>2581</v>
      </c>
      <c r="D638" s="732"/>
      <c r="E638" s="732"/>
      <c r="F638" s="732"/>
      <c r="G638" s="732"/>
      <c r="H638" s="732"/>
      <c r="I638" s="732"/>
      <c r="J638" s="732"/>
      <c r="K638" s="732"/>
      <c r="L638" s="732"/>
      <c r="M638" s="732"/>
      <c r="N638" s="732"/>
      <c r="O638" s="732"/>
      <c r="P638" s="732" t="s">
        <v>6266</v>
      </c>
      <c r="Q638" s="732"/>
      <c r="R638" s="732"/>
      <c r="S638" s="732"/>
      <c r="T638" s="732"/>
      <c r="U638" s="732"/>
      <c r="V638" s="732"/>
      <c r="W638" s="732"/>
      <c r="X638" s="732"/>
      <c r="Y638" s="732"/>
      <c r="Z638" s="732"/>
      <c r="AA638" s="732"/>
      <c r="AB638" s="732"/>
      <c r="AC638" s="732"/>
      <c r="AD638" s="732"/>
    </row>
    <row r="639" spans="1:60" ht="120" customHeight="1">
      <c r="A639" s="211"/>
      <c r="B639" s="113"/>
      <c r="C639" s="732"/>
      <c r="D639" s="732"/>
      <c r="E639" s="732"/>
      <c r="F639" s="732"/>
      <c r="G639" s="732"/>
      <c r="H639" s="732"/>
      <c r="I639" s="732"/>
      <c r="J639" s="732"/>
      <c r="K639" s="732"/>
      <c r="L639" s="732"/>
      <c r="M639" s="732"/>
      <c r="N639" s="732"/>
      <c r="O639" s="732"/>
      <c r="P639" s="874" t="s">
        <v>2628</v>
      </c>
      <c r="Q639" s="857" t="s">
        <v>2629</v>
      </c>
      <c r="R639" s="857" t="s">
        <v>2630</v>
      </c>
      <c r="S639" s="857" t="s">
        <v>6267</v>
      </c>
      <c r="T639" s="857"/>
      <c r="U639" s="857"/>
      <c r="V639" s="857" t="s">
        <v>6268</v>
      </c>
      <c r="W639" s="857"/>
      <c r="X639" s="857"/>
      <c r="Y639" s="857" t="s">
        <v>6269</v>
      </c>
      <c r="Z639" s="857"/>
      <c r="AA639" s="857"/>
      <c r="AB639" s="857" t="s">
        <v>6270</v>
      </c>
      <c r="AC639" s="857"/>
      <c r="AD639" s="857"/>
    </row>
    <row r="640" spans="1:60" ht="48" customHeight="1">
      <c r="A640" s="211"/>
      <c r="B640" s="113"/>
      <c r="C640" s="732"/>
      <c r="D640" s="732"/>
      <c r="E640" s="732"/>
      <c r="F640" s="732"/>
      <c r="G640" s="732"/>
      <c r="H640" s="732"/>
      <c r="I640" s="732"/>
      <c r="J640" s="732"/>
      <c r="K640" s="732"/>
      <c r="L640" s="732"/>
      <c r="M640" s="732"/>
      <c r="N640" s="732"/>
      <c r="O640" s="732"/>
      <c r="P640" s="874"/>
      <c r="Q640" s="857"/>
      <c r="R640" s="857"/>
      <c r="S640" s="127" t="s">
        <v>2635</v>
      </c>
      <c r="T640" s="128" t="s">
        <v>2629</v>
      </c>
      <c r="U640" s="128" t="s">
        <v>2630</v>
      </c>
      <c r="V640" s="127" t="s">
        <v>2635</v>
      </c>
      <c r="W640" s="128" t="s">
        <v>2629</v>
      </c>
      <c r="X640" s="128" t="s">
        <v>2630</v>
      </c>
      <c r="Y640" s="127" t="s">
        <v>2635</v>
      </c>
      <c r="Z640" s="128" t="s">
        <v>2629</v>
      </c>
      <c r="AA640" s="128" t="s">
        <v>2630</v>
      </c>
      <c r="AB640" s="127" t="s">
        <v>2635</v>
      </c>
      <c r="AC640" s="128" t="s">
        <v>2629</v>
      </c>
      <c r="AD640" s="128" t="s">
        <v>2630</v>
      </c>
      <c r="AF640" t="s">
        <v>2586</v>
      </c>
      <c r="AG640" t="s">
        <v>5940</v>
      </c>
      <c r="AH640" t="s">
        <v>4573</v>
      </c>
      <c r="AI640" t="s">
        <v>2638</v>
      </c>
      <c r="AJ640" t="s">
        <v>2639</v>
      </c>
      <c r="AK640" t="s">
        <v>4574</v>
      </c>
      <c r="AL640" t="s">
        <v>2641</v>
      </c>
      <c r="AM640" t="s">
        <v>2642</v>
      </c>
      <c r="AN640" t="s">
        <v>4575</v>
      </c>
      <c r="AO640" t="s">
        <v>2644</v>
      </c>
      <c r="AP640" t="s">
        <v>2645</v>
      </c>
      <c r="AQ640" t="s">
        <v>4576</v>
      </c>
      <c r="AR640" t="s">
        <v>2647</v>
      </c>
      <c r="AS640" t="s">
        <v>2648</v>
      </c>
      <c r="AT640" t="s">
        <v>5177</v>
      </c>
      <c r="AU640" t="s">
        <v>2757</v>
      </c>
      <c r="AV640" t="s">
        <v>2758</v>
      </c>
      <c r="AW640" t="s">
        <v>5291</v>
      </c>
      <c r="AX640"/>
      <c r="AY640"/>
      <c r="AZ640" t="s">
        <v>5290</v>
      </c>
      <c r="BA640"/>
      <c r="BB640"/>
      <c r="BC640"/>
      <c r="BD640"/>
      <c r="BE640"/>
      <c r="BF640"/>
      <c r="BG640"/>
      <c r="BH640"/>
    </row>
    <row r="641" spans="1:66" ht="15" customHeight="1">
      <c r="A641" s="211"/>
      <c r="B641" s="113"/>
      <c r="C641" s="44" t="s">
        <v>2516</v>
      </c>
      <c r="D641" s="813" t="str">
        <f>IF(CNSIPEE_2024_M2_Secc1!D42="","",CNSIPEE_2024_M2_Secc1!D42)</f>
        <v/>
      </c>
      <c r="E641" s="814"/>
      <c r="F641" s="814"/>
      <c r="G641" s="814"/>
      <c r="H641" s="814"/>
      <c r="I641" s="814"/>
      <c r="J641" s="814"/>
      <c r="K641" s="814"/>
      <c r="L641" s="814"/>
      <c r="M641" s="814"/>
      <c r="N641" s="814"/>
      <c r="O641" s="815"/>
      <c r="P641" s="100"/>
      <c r="Q641" s="100"/>
      <c r="R641" s="100"/>
      <c r="S641" s="100"/>
      <c r="T641" s="100"/>
      <c r="U641" s="100"/>
      <c r="V641" s="100"/>
      <c r="W641" s="100"/>
      <c r="X641" s="100"/>
      <c r="Y641" s="100"/>
      <c r="Z641" s="100"/>
      <c r="AA641" s="100"/>
      <c r="AB641" s="100"/>
      <c r="AC641" s="100"/>
      <c r="AD641" s="100"/>
      <c r="AF641" s="3">
        <f>IF(M613&lt;&gt;1,0,IF(OR(SUM(COUNTBLANK(D641:AD641),COUNTBLANK(P655:AD655))=11,SUM(COUNTBLANK(D641:AD641),COUNTBLANK(P655:AD655))=42),0,1))</f>
        <v>0</v>
      </c>
      <c r="AG641">
        <f>IF(M613&lt;&gt;1,IF(SUM(COUNTBLANK(P641:AD641),COUNTBLANK(P655:AD655))=30,0,1),0)</f>
        <v>0</v>
      </c>
      <c r="AH641">
        <f>COUNTIF(Q641:R641,"NS")</f>
        <v>0</v>
      </c>
      <c r="AI641">
        <f>SUM(Q641:R641)</f>
        <v>0</v>
      </c>
      <c r="AJ641">
        <f>IF(COUNTIF(P641:R641,"NA")=3,0,IF(COUNTA(P641:R641)=0,0,IF(OR(AND(P641=0,AH641&gt;0),AND(P641="ns",AI641&gt;0),AND(P641="ns",AH641=0,AI641=0)),1,IF(OR(AND(P641&gt;0,AH641=2),AND(P641="ns",AH641=2),AND(P641="ns",AI641=0,AH641&gt;0),P641=AI641),0,1))))</f>
        <v>0</v>
      </c>
      <c r="AK641">
        <f t="shared" ref="AK641" si="173">COUNTIF(T641:U641,"NS")</f>
        <v>0</v>
      </c>
      <c r="AL641">
        <f t="shared" ref="AL641" si="174">SUM(T641:U641)</f>
        <v>0</v>
      </c>
      <c r="AM641">
        <f t="shared" ref="AM641" si="175">IF(COUNTIF(S641:U641,"NA")=3,0,IF(COUNTA(S641:U641)=0,0,IF(OR(AND(S641=0,AK641&gt;0),AND(S641="ns",AL641&gt;0),AND(S641="ns",AK641=0,AL641=0)),1,IF(OR(AND(S641&gt;0,AK641=2),AND(S641="ns",AK641=2),AND(S641="ns",AL641=0,AK641&gt;0),S641=AL641),0,1))))</f>
        <v>0</v>
      </c>
      <c r="AN641">
        <f t="shared" ref="AN641" si="176">COUNTIF(W641:X641,"NS")</f>
        <v>0</v>
      </c>
      <c r="AO641">
        <f t="shared" ref="AO641" si="177">SUM(W641:X641)</f>
        <v>0</v>
      </c>
      <c r="AP641">
        <f t="shared" ref="AP641" si="178">IF(COUNTIF(V641:X641,"NA")=3,0,IF(COUNTA(V641:X641)=0,0,IF(OR(AND(V641=0,AN641&gt;0),AND(V641="ns",AO641&gt;0),AND(V641="ns",AN641=0,AO641=0)),1,IF(OR(AND(V641&gt;0,AN641=2),AND(V641="ns",AN641=2),AND(V641="ns",AO641=0,AN641&gt;0),V641=AO641),0,1))))</f>
        <v>0</v>
      </c>
      <c r="AQ641">
        <f t="shared" ref="AQ641" si="179">COUNTIF(Z641:AA641,"NS")</f>
        <v>0</v>
      </c>
      <c r="AR641">
        <f t="shared" ref="AR641" si="180">SUM(Z641:AA641)</f>
        <v>0</v>
      </c>
      <c r="AS641">
        <f t="shared" ref="AS641" si="181">IF(COUNTIF(Y641:AA641,"NA")=3,0,IF(COUNTA(Y641:AA641)=0,0,IF(OR(AND(Y641=0,AQ641&gt;0),AND(Y641="ns",AR641&gt;0),AND(Y641="ns",AQ641=0,AR641=0)),1,IF(OR(AND(Y641&gt;0,AQ641=2),AND(Y641="ns",AQ641=2),AND(Y641="ns",AR641=0,AQ641&gt;0),Y641=AR641),0,1))))</f>
        <v>0</v>
      </c>
      <c r="AT641">
        <f t="shared" ref="AT641" si="182">COUNTIF(AC641:AD641,"NS")</f>
        <v>0</v>
      </c>
      <c r="AU641">
        <f t="shared" ref="AU641" si="183">SUM(AC641:AD641)</f>
        <v>0</v>
      </c>
      <c r="AV641">
        <f t="shared" ref="AV641" si="184">IF(COUNTIF(AB641:AD641,"NA")=3,0,IF(COUNTA(AB641:AD641)=0,0,IF(OR(AND(AB641=0,AT641&gt;0),AND(AB641="ns",AU641&gt;0),AND(AB641="ns",AT641=0,AU641=0)),1,IF(OR(AND(AB641&gt;0,AT641=2),AND(AB641="ns",AT641=2),AND(AB641="ns",AU641=0,AT641&gt;0),AB641=AU641),0,1))))</f>
        <v>0</v>
      </c>
      <c r="AW641" cm="1">
        <f t="array" ref="AW641">IF(OR(P641={"NS","NA"},S613={"NS","NA"}),0,IF(P641&gt;=S613,0,1))</f>
        <v>0</v>
      </c>
      <c r="AX641" cm="1">
        <f t="array" ref="AX641">IF(OR(Q641={"NS","NA"},W613={"NS","NA"}),0,IF(Q641&gt;=W613,0,1))</f>
        <v>0</v>
      </c>
      <c r="AY641" cm="1">
        <f t="array" ref="AY641">IF(OR(R641={"NS","NA"},AA613={"NS","NA"}),0,IF(R641&gt;=AA613,0,1))</f>
        <v>0</v>
      </c>
      <c r="AZ641" cm="1">
        <f t="array" ref="AZ641">IF(OR(S641={"NS","NA"},$S613={"NS","NA"}),0,IF(S641&lt;=$S613,0,1))</f>
        <v>0</v>
      </c>
      <c r="BA641" cm="1">
        <f t="array" ref="BA641">IF(OR(T641={"NS","NA"},$W613={"NS","NA"}),0,IF(T641&lt;=$W613,0,1))</f>
        <v>0</v>
      </c>
      <c r="BB641" cm="1">
        <f t="array" ref="BB641">IF(OR(U641={"NS","NA"},$AA613={"NS","NA"}),0,IF(U641&lt;=$AA613,0,1))</f>
        <v>0</v>
      </c>
      <c r="BC641" cm="1">
        <f t="array" ref="BC641">IF(OR(V641={"NS","NA"},$S613={"NS","NA"}),0,IF(V641&lt;=$S613,0,1))</f>
        <v>0</v>
      </c>
      <c r="BD641" cm="1">
        <f t="array" ref="BD641">IF(OR(W641={"NS","NA"},$W613={"NS","NA"}),0,IF(W641&lt;=$W613,0,1))</f>
        <v>0</v>
      </c>
      <c r="BE641" cm="1">
        <f t="array" ref="BE641">IF(OR(X641={"NS","NA"},$AA613={"NS","NA"}),0,IF(X641&lt;=$AA613,0,1))</f>
        <v>0</v>
      </c>
      <c r="BF641" cm="1">
        <f t="array" ref="BF641">IF(OR(Y641={"NS","NA"},$S613={"NS","NA"}),0,IF(Y641&lt;=$S613,0,1))</f>
        <v>0</v>
      </c>
      <c r="BG641" cm="1">
        <f t="array" ref="BG641">IF(OR(Z641={"NS","NA"},$W613={"NS","NA"}),0,IF(Z641&lt;=$W613,0,1))</f>
        <v>0</v>
      </c>
      <c r="BH641" cm="1">
        <f t="array" ref="BH641">IF(OR(AA641={"NS","NA"},$AA613={"NS","NA"}),0,IF(AA641&lt;=$AA613,0,1))</f>
        <v>0</v>
      </c>
      <c r="BI641" cm="1">
        <f t="array" ref="BI641">IF(OR(AB641={"NS","NA"},$S613={"NS","NA"}),0,IF(AB641&lt;=$S613,0,1))</f>
        <v>0</v>
      </c>
      <c r="BJ641" cm="1">
        <f t="array" ref="BJ641">IF(OR(AC641={"NS","NA"},$W613={"NS","NA"}),0,IF(AC641&lt;=$W613,0,1))</f>
        <v>0</v>
      </c>
      <c r="BK641" cm="1">
        <f t="array" ref="BK641">IF(OR(AD641={"NS","NA"},$AA613={"NS","NA"}),0,IF(AD641&lt;=$AA613,0,1))</f>
        <v>0</v>
      </c>
    </row>
    <row r="642" spans="1:66" ht="15" customHeight="1">
      <c r="A642" s="211"/>
      <c r="B642" s="113"/>
      <c r="C642" s="97" t="s">
        <v>2517</v>
      </c>
      <c r="D642" s="813" t="str">
        <f>IF(CNSIPEE_2024_M2_Secc1!D43="","",CNSIPEE_2024_M2_Secc1!D43)</f>
        <v/>
      </c>
      <c r="E642" s="814"/>
      <c r="F642" s="814"/>
      <c r="G642" s="814"/>
      <c r="H642" s="814"/>
      <c r="I642" s="814"/>
      <c r="J642" s="814"/>
      <c r="K642" s="814"/>
      <c r="L642" s="814"/>
      <c r="M642" s="814"/>
      <c r="N642" s="814"/>
      <c r="O642" s="815"/>
      <c r="P642" s="100"/>
      <c r="Q642" s="100"/>
      <c r="R642" s="100"/>
      <c r="S642" s="100"/>
      <c r="T642" s="100"/>
      <c r="U642" s="100"/>
      <c r="V642" s="100"/>
      <c r="W642" s="100"/>
      <c r="X642" s="100"/>
      <c r="Y642" s="100"/>
      <c r="Z642" s="100"/>
      <c r="AA642" s="100"/>
      <c r="AB642" s="100"/>
      <c r="AC642" s="100"/>
      <c r="AD642" s="100"/>
      <c r="AF642" s="3">
        <f t="shared" ref="AF642:AF647" si="185">IF(M614&lt;&gt;1,0,IF(OR(SUM(COUNTBLANK(D642:AD642),COUNTBLANK(P656:AD656))=11,SUM(COUNTBLANK(D642:AD642),COUNTBLANK(P656:AD656))=42),0,1))</f>
        <v>0</v>
      </c>
      <c r="AG642">
        <f t="shared" ref="AG642:AG647" si="186">IF(M614&lt;&gt;1,IF(SUM(COUNTBLANK(P642:AD642),COUNTBLANK(P656:AD656))=30,0,1),0)</f>
        <v>0</v>
      </c>
      <c r="AH642">
        <f t="shared" ref="AH642:AH648" si="187">COUNTIF(Q642:R642,"NS")</f>
        <v>0</v>
      </c>
      <c r="AI642">
        <f t="shared" ref="AI642:AI648" si="188">SUM(Q642:R642)</f>
        <v>0</v>
      </c>
      <c r="AJ642">
        <f t="shared" ref="AJ642:AJ648" si="189">IF(COUNTIF(P642:R642,"NA")=3,0,IF(COUNTA(P642:R642)=0,0,IF(OR(AND(P642=0,AH642&gt;0),AND(P642="ns",AI642&gt;0),AND(P642="ns",AH642=0,AI642=0)),1,IF(OR(AND(P642&gt;0,AH642=2),AND(P642="ns",AH642=2),AND(P642="ns",AI642=0,AH642&gt;0),P642=AI642),0,1))))</f>
        <v>0</v>
      </c>
      <c r="AK642">
        <f t="shared" ref="AK642:AK648" si="190">COUNTIF(T642:U642,"NS")</f>
        <v>0</v>
      </c>
      <c r="AL642">
        <f t="shared" ref="AL642:AL648" si="191">SUM(T642:U642)</f>
        <v>0</v>
      </c>
      <c r="AM642">
        <f t="shared" ref="AM642:AM648" si="192">IF(COUNTIF(S642:U642,"NA")=3,0,IF(COUNTA(S642:U642)=0,0,IF(OR(AND(S642=0,AK642&gt;0),AND(S642="ns",AL642&gt;0),AND(S642="ns",AK642=0,AL642=0)),1,IF(OR(AND(S642&gt;0,AK642=2),AND(S642="ns",AK642=2),AND(S642="ns",AL642=0,AK642&gt;0),S642=AL642),0,1))))</f>
        <v>0</v>
      </c>
      <c r="AN642">
        <f t="shared" ref="AN642:AN648" si="193">COUNTIF(W642:X642,"NS")</f>
        <v>0</v>
      </c>
      <c r="AO642">
        <f t="shared" ref="AO642:AO648" si="194">SUM(W642:X642)</f>
        <v>0</v>
      </c>
      <c r="AP642">
        <f t="shared" ref="AP642:AP648" si="195">IF(COUNTIF(V642:X642,"NA")=3,0,IF(COUNTA(V642:X642)=0,0,IF(OR(AND(V642=0,AN642&gt;0),AND(V642="ns",AO642&gt;0),AND(V642="ns",AN642=0,AO642=0)),1,IF(OR(AND(V642&gt;0,AN642=2),AND(V642="ns",AN642=2),AND(V642="ns",AO642=0,AN642&gt;0),V642=AO642),0,1))))</f>
        <v>0</v>
      </c>
      <c r="AQ642">
        <f t="shared" ref="AQ642:AQ648" si="196">COUNTIF(Z642:AA642,"NS")</f>
        <v>0</v>
      </c>
      <c r="AR642">
        <f t="shared" ref="AR642:AR648" si="197">SUM(Z642:AA642)</f>
        <v>0</v>
      </c>
      <c r="AS642">
        <f t="shared" ref="AS642:AS648" si="198">IF(COUNTIF(Y642:AA642,"NA")=3,0,IF(COUNTA(Y642:AA642)=0,0,IF(OR(AND(Y642=0,AQ642&gt;0),AND(Y642="ns",AR642&gt;0),AND(Y642="ns",AQ642=0,AR642=0)),1,IF(OR(AND(Y642&gt;0,AQ642=2),AND(Y642="ns",AQ642=2),AND(Y642="ns",AR642=0,AQ642&gt;0),Y642=AR642),0,1))))</f>
        <v>0</v>
      </c>
      <c r="AT642">
        <f t="shared" ref="AT642:AT648" si="199">COUNTIF(AC642:AD642,"NS")</f>
        <v>0</v>
      </c>
      <c r="AU642">
        <f t="shared" ref="AU642:AU648" si="200">SUM(AC642:AD642)</f>
        <v>0</v>
      </c>
      <c r="AV642">
        <f t="shared" ref="AV642:AV648" si="201">IF(COUNTIF(AB642:AD642,"NA")=3,0,IF(COUNTA(AB642:AD642)=0,0,IF(OR(AND(AB642=0,AT642&gt;0),AND(AB642="ns",AU642&gt;0),AND(AB642="ns",AT642=0,AU642=0)),1,IF(OR(AND(AB642&gt;0,AT642=2),AND(AB642="ns",AT642=2),AND(AB642="ns",AU642=0,AT642&gt;0),AB642=AU642),0,1))))</f>
        <v>0</v>
      </c>
      <c r="AW642" cm="1">
        <f t="array" ref="AW642">IF(OR(P642={"NS","NA"},S614={"NS","NA"}),0,IF(P642&gt;=S614,0,1))</f>
        <v>0</v>
      </c>
      <c r="AX642" cm="1">
        <f t="array" ref="AX642">IF(OR(Q642={"NS","NA"},W614={"NS","NA"}),0,IF(Q642&gt;=W614,0,1))</f>
        <v>0</v>
      </c>
      <c r="AY642" cm="1">
        <f t="array" ref="AY642">IF(OR(R642={"NS","NA"},AA614={"NS","NA"}),0,IF(R642&gt;=AA614,0,1))</f>
        <v>0</v>
      </c>
      <c r="AZ642" cm="1">
        <f t="array" ref="AZ642">IF(OR(S642={"NS","NA"},$S614={"NS","NA"}),0,IF(S642&lt;=$S614,0,1))</f>
        <v>0</v>
      </c>
      <c r="BA642" cm="1">
        <f t="array" ref="BA642">IF(OR(T642={"NS","NA"},$W614={"NS","NA"}),0,IF(T642&lt;=$W614,0,1))</f>
        <v>0</v>
      </c>
      <c r="BB642" cm="1">
        <f t="array" ref="BB642">IF(OR(U642={"NS","NA"},$AA614={"NS","NA"}),0,IF(U642&lt;=$AA614,0,1))</f>
        <v>0</v>
      </c>
      <c r="BC642" cm="1">
        <f t="array" ref="BC642">IF(OR(V642={"NS","NA"},$S614={"NS","NA"}),0,IF(V642&lt;=$S614,0,1))</f>
        <v>0</v>
      </c>
      <c r="BD642" cm="1">
        <f t="array" ref="BD642">IF(OR(W642={"NS","NA"},$W614={"NS","NA"}),0,IF(W642&lt;=$W614,0,1))</f>
        <v>0</v>
      </c>
      <c r="BE642" cm="1">
        <f t="array" ref="BE642">IF(OR(X642={"NS","NA"},$AA614={"NS","NA"}),0,IF(X642&lt;=$AA614,0,1))</f>
        <v>0</v>
      </c>
      <c r="BF642" cm="1">
        <f t="array" ref="BF642">IF(OR(Y642={"NS","NA"},$S614={"NS","NA"}),0,IF(Y642&lt;=$S614,0,1))</f>
        <v>0</v>
      </c>
      <c r="BG642" cm="1">
        <f t="array" ref="BG642">IF(OR(Z642={"NS","NA"},$W614={"NS","NA"}),0,IF(Z642&lt;=$W614,0,1))</f>
        <v>0</v>
      </c>
      <c r="BH642" cm="1">
        <f t="array" ref="BH642">IF(OR(AA642={"NS","NA"},$AA614={"NS","NA"}),0,IF(AA642&lt;=$AA614,0,1))</f>
        <v>0</v>
      </c>
      <c r="BI642" cm="1">
        <f t="array" ref="BI642">IF(OR(AB642={"NS","NA"},$S614={"NS","NA"}),0,IF(AB642&lt;=$S614,0,1))</f>
        <v>0</v>
      </c>
      <c r="BJ642" cm="1">
        <f t="array" ref="BJ642">IF(OR(AC642={"NS","NA"},$W614={"NS","NA"}),0,IF(AC642&lt;=$W614,0,1))</f>
        <v>0</v>
      </c>
      <c r="BK642" cm="1">
        <f t="array" ref="BK642">IF(OR(AD642={"NS","NA"},$AA614={"NS","NA"}),0,IF(AD642&lt;=$AA614,0,1))</f>
        <v>0</v>
      </c>
    </row>
    <row r="643" spans="1:66" ht="15" customHeight="1">
      <c r="A643" s="211"/>
      <c r="B643" s="113"/>
      <c r="C643" s="98" t="s">
        <v>2518</v>
      </c>
      <c r="D643" s="813" t="str">
        <f>IF(CNSIPEE_2024_M2_Secc1!D44="","",CNSIPEE_2024_M2_Secc1!D44)</f>
        <v/>
      </c>
      <c r="E643" s="814"/>
      <c r="F643" s="814"/>
      <c r="G643" s="814"/>
      <c r="H643" s="814"/>
      <c r="I643" s="814"/>
      <c r="J643" s="814"/>
      <c r="K643" s="814"/>
      <c r="L643" s="814"/>
      <c r="M643" s="814"/>
      <c r="N643" s="814"/>
      <c r="O643" s="815"/>
      <c r="P643" s="100"/>
      <c r="Q643" s="100"/>
      <c r="R643" s="100"/>
      <c r="S643" s="100"/>
      <c r="T643" s="100"/>
      <c r="U643" s="100"/>
      <c r="V643" s="100"/>
      <c r="W643" s="100"/>
      <c r="X643" s="100"/>
      <c r="Y643" s="100"/>
      <c r="Z643" s="100"/>
      <c r="AA643" s="100"/>
      <c r="AB643" s="100"/>
      <c r="AC643" s="100"/>
      <c r="AD643" s="100"/>
      <c r="AF643" s="3">
        <f t="shared" si="185"/>
        <v>0</v>
      </c>
      <c r="AG643">
        <f t="shared" si="186"/>
        <v>0</v>
      </c>
      <c r="AH643">
        <f t="shared" si="187"/>
        <v>0</v>
      </c>
      <c r="AI643">
        <f t="shared" si="188"/>
        <v>0</v>
      </c>
      <c r="AJ643">
        <f t="shared" si="189"/>
        <v>0</v>
      </c>
      <c r="AK643">
        <f t="shared" si="190"/>
        <v>0</v>
      </c>
      <c r="AL643">
        <f t="shared" si="191"/>
        <v>0</v>
      </c>
      <c r="AM643">
        <f t="shared" si="192"/>
        <v>0</v>
      </c>
      <c r="AN643">
        <f t="shared" si="193"/>
        <v>0</v>
      </c>
      <c r="AO643">
        <f t="shared" si="194"/>
        <v>0</v>
      </c>
      <c r="AP643">
        <f t="shared" si="195"/>
        <v>0</v>
      </c>
      <c r="AQ643">
        <f t="shared" si="196"/>
        <v>0</v>
      </c>
      <c r="AR643">
        <f t="shared" si="197"/>
        <v>0</v>
      </c>
      <c r="AS643">
        <f t="shared" si="198"/>
        <v>0</v>
      </c>
      <c r="AT643">
        <f t="shared" si="199"/>
        <v>0</v>
      </c>
      <c r="AU643">
        <f t="shared" si="200"/>
        <v>0</v>
      </c>
      <c r="AV643">
        <f t="shared" si="201"/>
        <v>0</v>
      </c>
      <c r="AW643" cm="1">
        <f t="array" ref="AW643">IF(OR(P643={"NS","NA"},S615={"NS","NA"}),0,IF(P643&gt;=S615,0,1))</f>
        <v>0</v>
      </c>
      <c r="AX643" cm="1">
        <f t="array" ref="AX643">IF(OR(Q643={"NS","NA"},W615={"NS","NA"}),0,IF(Q643&gt;=W615,0,1))</f>
        <v>0</v>
      </c>
      <c r="AY643" cm="1">
        <f t="array" ref="AY643">IF(OR(R643={"NS","NA"},AA615={"NS","NA"}),0,IF(R643&gt;=AA615,0,1))</f>
        <v>0</v>
      </c>
      <c r="AZ643" cm="1">
        <f t="array" ref="AZ643">IF(OR(S643={"NS","NA"},$S615={"NS","NA"}),0,IF(S643&lt;=$S615,0,1))</f>
        <v>0</v>
      </c>
      <c r="BA643" cm="1">
        <f t="array" ref="BA643">IF(OR(T643={"NS","NA"},$W615={"NS","NA"}),0,IF(T643&lt;=$W615,0,1))</f>
        <v>0</v>
      </c>
      <c r="BB643" cm="1">
        <f t="array" ref="BB643">IF(OR(U643={"NS","NA"},$AA615={"NS","NA"}),0,IF(U643&lt;=$AA615,0,1))</f>
        <v>0</v>
      </c>
      <c r="BC643" cm="1">
        <f t="array" ref="BC643">IF(OR(V643={"NS","NA"},$S615={"NS","NA"}),0,IF(V643&lt;=$S615,0,1))</f>
        <v>0</v>
      </c>
      <c r="BD643" cm="1">
        <f t="array" ref="BD643">IF(OR(W643={"NS","NA"},$W615={"NS","NA"}),0,IF(W643&lt;=$W615,0,1))</f>
        <v>0</v>
      </c>
      <c r="BE643" cm="1">
        <f t="array" ref="BE643">IF(OR(X643={"NS","NA"},$AA615={"NS","NA"}),0,IF(X643&lt;=$AA615,0,1))</f>
        <v>0</v>
      </c>
      <c r="BF643" cm="1">
        <f t="array" ref="BF643">IF(OR(Y643={"NS","NA"},$S615={"NS","NA"}),0,IF(Y643&lt;=$S615,0,1))</f>
        <v>0</v>
      </c>
      <c r="BG643" cm="1">
        <f t="array" ref="BG643">IF(OR(Z643={"NS","NA"},$W615={"NS","NA"}),0,IF(Z643&lt;=$W615,0,1))</f>
        <v>0</v>
      </c>
      <c r="BH643" cm="1">
        <f t="array" ref="BH643">IF(OR(AA643={"NS","NA"},$AA615={"NS","NA"}),0,IF(AA643&lt;=$AA615,0,1))</f>
        <v>0</v>
      </c>
      <c r="BI643" cm="1">
        <f t="array" ref="BI643">IF(OR(AB643={"NS","NA"},$S615={"NS","NA"}),0,IF(AB643&lt;=$S615,0,1))</f>
        <v>0</v>
      </c>
      <c r="BJ643" cm="1">
        <f t="array" ref="BJ643">IF(OR(AC643={"NS","NA"},$W615={"NS","NA"}),0,IF(AC643&lt;=$W615,0,1))</f>
        <v>0</v>
      </c>
      <c r="BK643" cm="1">
        <f t="array" ref="BK643">IF(OR(AD643={"NS","NA"},$AA615={"NS","NA"}),0,IF(AD643&lt;=$AA615,0,1))</f>
        <v>0</v>
      </c>
    </row>
    <row r="644" spans="1:66" ht="15" customHeight="1">
      <c r="A644" s="211"/>
      <c r="B644" s="113"/>
      <c r="C644" s="98" t="s">
        <v>2519</v>
      </c>
      <c r="D644" s="813" t="str">
        <f>IF(CNSIPEE_2024_M2_Secc1!D45="","",CNSIPEE_2024_M2_Secc1!D45)</f>
        <v/>
      </c>
      <c r="E644" s="814"/>
      <c r="F644" s="814"/>
      <c r="G644" s="814"/>
      <c r="H644" s="814"/>
      <c r="I644" s="814"/>
      <c r="J644" s="814"/>
      <c r="K644" s="814"/>
      <c r="L644" s="814"/>
      <c r="M644" s="814"/>
      <c r="N644" s="814"/>
      <c r="O644" s="815"/>
      <c r="P644" s="100"/>
      <c r="Q644" s="100"/>
      <c r="R644" s="100"/>
      <c r="S644" s="100"/>
      <c r="T644" s="100"/>
      <c r="U644" s="100"/>
      <c r="V644" s="100"/>
      <c r="W644" s="100"/>
      <c r="X644" s="100"/>
      <c r="Y644" s="100"/>
      <c r="Z644" s="100"/>
      <c r="AA644" s="100"/>
      <c r="AB644" s="100"/>
      <c r="AC644" s="100"/>
      <c r="AD644" s="100"/>
      <c r="AF644" s="3">
        <f t="shared" si="185"/>
        <v>0</v>
      </c>
      <c r="AG644">
        <f t="shared" si="186"/>
        <v>0</v>
      </c>
      <c r="AH644">
        <f t="shared" si="187"/>
        <v>0</v>
      </c>
      <c r="AI644">
        <f t="shared" si="188"/>
        <v>0</v>
      </c>
      <c r="AJ644">
        <f t="shared" si="189"/>
        <v>0</v>
      </c>
      <c r="AK644">
        <f t="shared" si="190"/>
        <v>0</v>
      </c>
      <c r="AL644">
        <f t="shared" si="191"/>
        <v>0</v>
      </c>
      <c r="AM644">
        <f t="shared" si="192"/>
        <v>0</v>
      </c>
      <c r="AN644">
        <f t="shared" si="193"/>
        <v>0</v>
      </c>
      <c r="AO644">
        <f t="shared" si="194"/>
        <v>0</v>
      </c>
      <c r="AP644">
        <f t="shared" si="195"/>
        <v>0</v>
      </c>
      <c r="AQ644">
        <f t="shared" si="196"/>
        <v>0</v>
      </c>
      <c r="AR644">
        <f t="shared" si="197"/>
        <v>0</v>
      </c>
      <c r="AS644">
        <f t="shared" si="198"/>
        <v>0</v>
      </c>
      <c r="AT644">
        <f t="shared" si="199"/>
        <v>0</v>
      </c>
      <c r="AU644">
        <f t="shared" si="200"/>
        <v>0</v>
      </c>
      <c r="AV644">
        <f t="shared" si="201"/>
        <v>0</v>
      </c>
      <c r="AW644" cm="1">
        <f t="array" ref="AW644">IF(OR(P644={"NS","NA"},S616={"NS","NA"}),0,IF(P644&gt;=S616,0,1))</f>
        <v>0</v>
      </c>
      <c r="AX644" cm="1">
        <f t="array" ref="AX644">IF(OR(Q644={"NS","NA"},W616={"NS","NA"}),0,IF(Q644&gt;=W616,0,1))</f>
        <v>0</v>
      </c>
      <c r="AY644" cm="1">
        <f t="array" ref="AY644">IF(OR(R644={"NS","NA"},AA616={"NS","NA"}),0,IF(R644&gt;=AA616,0,1))</f>
        <v>0</v>
      </c>
      <c r="AZ644" cm="1">
        <f t="array" ref="AZ644">IF(OR(S644={"NS","NA"},$S616={"NS","NA"}),0,IF(S644&lt;=$S616,0,1))</f>
        <v>0</v>
      </c>
      <c r="BA644" cm="1">
        <f t="array" ref="BA644">IF(OR(T644={"NS","NA"},$W616={"NS","NA"}),0,IF(T644&lt;=$W616,0,1))</f>
        <v>0</v>
      </c>
      <c r="BB644" cm="1">
        <f t="array" ref="BB644">IF(OR(U644={"NS","NA"},$AA616={"NS","NA"}),0,IF(U644&lt;=$AA616,0,1))</f>
        <v>0</v>
      </c>
      <c r="BC644" cm="1">
        <f t="array" ref="BC644">IF(OR(V644={"NS","NA"},$S616={"NS","NA"}),0,IF(V644&lt;=$S616,0,1))</f>
        <v>0</v>
      </c>
      <c r="BD644" cm="1">
        <f t="array" ref="BD644">IF(OR(W644={"NS","NA"},$W616={"NS","NA"}),0,IF(W644&lt;=$W616,0,1))</f>
        <v>0</v>
      </c>
      <c r="BE644" cm="1">
        <f t="array" ref="BE644">IF(OR(X644={"NS","NA"},$AA616={"NS","NA"}),0,IF(X644&lt;=$AA616,0,1))</f>
        <v>0</v>
      </c>
      <c r="BF644" cm="1">
        <f t="array" ref="BF644">IF(OR(Y644={"NS","NA"},$S616={"NS","NA"}),0,IF(Y644&lt;=$S616,0,1))</f>
        <v>0</v>
      </c>
      <c r="BG644" cm="1">
        <f t="array" ref="BG644">IF(OR(Z644={"NS","NA"},$W616={"NS","NA"}),0,IF(Z644&lt;=$W616,0,1))</f>
        <v>0</v>
      </c>
      <c r="BH644" cm="1">
        <f t="array" ref="BH644">IF(OR(AA644={"NS","NA"},$AA616={"NS","NA"}),0,IF(AA644&lt;=$AA616,0,1))</f>
        <v>0</v>
      </c>
      <c r="BI644" cm="1">
        <f t="array" ref="BI644">IF(OR(AB644={"NS","NA"},$S616={"NS","NA"}),0,IF(AB644&lt;=$S616,0,1))</f>
        <v>0</v>
      </c>
      <c r="BJ644" cm="1">
        <f t="array" ref="BJ644">IF(OR(AC644={"NS","NA"},$W616={"NS","NA"}),0,IF(AC644&lt;=$W616,0,1))</f>
        <v>0</v>
      </c>
      <c r="BK644" cm="1">
        <f t="array" ref="BK644">IF(OR(AD644={"NS","NA"},$AA616={"NS","NA"}),0,IF(AD644&lt;=$AA616,0,1))</f>
        <v>0</v>
      </c>
    </row>
    <row r="645" spans="1:66" ht="15" customHeight="1">
      <c r="A645" s="211"/>
      <c r="B645" s="113"/>
      <c r="C645" s="98" t="s">
        <v>2520</v>
      </c>
      <c r="D645" s="813" t="str">
        <f>IF(CNSIPEE_2024_M2_Secc1!D46="","",CNSIPEE_2024_M2_Secc1!D46)</f>
        <v/>
      </c>
      <c r="E645" s="814"/>
      <c r="F645" s="814"/>
      <c r="G645" s="814"/>
      <c r="H645" s="814"/>
      <c r="I645" s="814"/>
      <c r="J645" s="814"/>
      <c r="K645" s="814"/>
      <c r="L645" s="814"/>
      <c r="M645" s="814"/>
      <c r="N645" s="814"/>
      <c r="O645" s="815"/>
      <c r="P645" s="100"/>
      <c r="Q645" s="100"/>
      <c r="R645" s="100"/>
      <c r="S645" s="100"/>
      <c r="T645" s="100"/>
      <c r="U645" s="100"/>
      <c r="V645" s="100"/>
      <c r="W645" s="100"/>
      <c r="X645" s="100"/>
      <c r="Y645" s="100"/>
      <c r="Z645" s="100"/>
      <c r="AA645" s="100"/>
      <c r="AB645" s="100"/>
      <c r="AC645" s="100"/>
      <c r="AD645" s="100"/>
      <c r="AF645" s="3">
        <f t="shared" si="185"/>
        <v>0</v>
      </c>
      <c r="AG645">
        <f t="shared" si="186"/>
        <v>0</v>
      </c>
      <c r="AH645">
        <f t="shared" si="187"/>
        <v>0</v>
      </c>
      <c r="AI645">
        <f t="shared" si="188"/>
        <v>0</v>
      </c>
      <c r="AJ645">
        <f t="shared" si="189"/>
        <v>0</v>
      </c>
      <c r="AK645">
        <f t="shared" si="190"/>
        <v>0</v>
      </c>
      <c r="AL645">
        <f t="shared" si="191"/>
        <v>0</v>
      </c>
      <c r="AM645">
        <f t="shared" si="192"/>
        <v>0</v>
      </c>
      <c r="AN645">
        <f t="shared" si="193"/>
        <v>0</v>
      </c>
      <c r="AO645">
        <f t="shared" si="194"/>
        <v>0</v>
      </c>
      <c r="AP645">
        <f t="shared" si="195"/>
        <v>0</v>
      </c>
      <c r="AQ645">
        <f t="shared" si="196"/>
        <v>0</v>
      </c>
      <c r="AR645">
        <f t="shared" si="197"/>
        <v>0</v>
      </c>
      <c r="AS645">
        <f t="shared" si="198"/>
        <v>0</v>
      </c>
      <c r="AT645">
        <f t="shared" si="199"/>
        <v>0</v>
      </c>
      <c r="AU645">
        <f t="shared" si="200"/>
        <v>0</v>
      </c>
      <c r="AV645">
        <f t="shared" si="201"/>
        <v>0</v>
      </c>
      <c r="AW645" cm="1">
        <f t="array" ref="AW645">IF(OR(P645={"NS","NA"},S617={"NS","NA"}),0,IF(P645&gt;=S617,0,1))</f>
        <v>0</v>
      </c>
      <c r="AX645" cm="1">
        <f t="array" ref="AX645">IF(OR(Q645={"NS","NA"},W617={"NS","NA"}),0,IF(Q645&gt;=W617,0,1))</f>
        <v>0</v>
      </c>
      <c r="AY645" cm="1">
        <f t="array" ref="AY645">IF(OR(R645={"NS","NA"},AA617={"NS","NA"}),0,IF(R645&gt;=AA617,0,1))</f>
        <v>0</v>
      </c>
      <c r="AZ645" cm="1">
        <f t="array" ref="AZ645">IF(OR(S645={"NS","NA"},$S617={"NS","NA"}),0,IF(S645&lt;=$S617,0,1))</f>
        <v>0</v>
      </c>
      <c r="BA645" cm="1">
        <f t="array" ref="BA645">IF(OR(T645={"NS","NA"},$W617={"NS","NA"}),0,IF(T645&lt;=$W617,0,1))</f>
        <v>0</v>
      </c>
      <c r="BB645" cm="1">
        <f t="array" ref="BB645">IF(OR(U645={"NS","NA"},$AA617={"NS","NA"}),0,IF(U645&lt;=$AA617,0,1))</f>
        <v>0</v>
      </c>
      <c r="BC645" cm="1">
        <f t="array" ref="BC645">IF(OR(V645={"NS","NA"},$S617={"NS","NA"}),0,IF(V645&lt;=$S617,0,1))</f>
        <v>0</v>
      </c>
      <c r="BD645" cm="1">
        <f t="array" ref="BD645">IF(OR(W645={"NS","NA"},$W617={"NS","NA"}),0,IF(W645&lt;=$W617,0,1))</f>
        <v>0</v>
      </c>
      <c r="BE645" cm="1">
        <f t="array" ref="BE645">IF(OR(X645={"NS","NA"},$AA617={"NS","NA"}),0,IF(X645&lt;=$AA617,0,1))</f>
        <v>0</v>
      </c>
      <c r="BF645" cm="1">
        <f t="array" ref="BF645">IF(OR(Y645={"NS","NA"},$S617={"NS","NA"}),0,IF(Y645&lt;=$S617,0,1))</f>
        <v>0</v>
      </c>
      <c r="BG645" cm="1">
        <f t="array" ref="BG645">IF(OR(Z645={"NS","NA"},$W617={"NS","NA"}),0,IF(Z645&lt;=$W617,0,1))</f>
        <v>0</v>
      </c>
      <c r="BH645" cm="1">
        <f t="array" ref="BH645">IF(OR(AA645={"NS","NA"},$AA617={"NS","NA"}),0,IF(AA645&lt;=$AA617,0,1))</f>
        <v>0</v>
      </c>
      <c r="BI645" cm="1">
        <f t="array" ref="BI645">IF(OR(AB645={"NS","NA"},$S617={"NS","NA"}),0,IF(AB645&lt;=$S617,0,1))</f>
        <v>0</v>
      </c>
      <c r="BJ645" cm="1">
        <f t="array" ref="BJ645">IF(OR(AC645={"NS","NA"},$W617={"NS","NA"}),0,IF(AC645&lt;=$W617,0,1))</f>
        <v>0</v>
      </c>
      <c r="BK645" cm="1">
        <f t="array" ref="BK645">IF(OR(AD645={"NS","NA"},$AA617={"NS","NA"}),0,IF(AD645&lt;=$AA617,0,1))</f>
        <v>0</v>
      </c>
    </row>
    <row r="646" spans="1:66" ht="15" customHeight="1">
      <c r="A646" s="211"/>
      <c r="B646" s="113"/>
      <c r="C646" s="98" t="s">
        <v>2521</v>
      </c>
      <c r="D646" s="813" t="str">
        <f>IF(CNSIPEE_2024_M2_Secc1!D47="","",CNSIPEE_2024_M2_Secc1!D47)</f>
        <v/>
      </c>
      <c r="E646" s="814"/>
      <c r="F646" s="814"/>
      <c r="G646" s="814"/>
      <c r="H646" s="814"/>
      <c r="I646" s="814"/>
      <c r="J646" s="814"/>
      <c r="K646" s="814"/>
      <c r="L646" s="814"/>
      <c r="M646" s="814"/>
      <c r="N646" s="814"/>
      <c r="O646" s="815"/>
      <c r="P646" s="100"/>
      <c r="Q646" s="100"/>
      <c r="R646" s="100"/>
      <c r="S646" s="100"/>
      <c r="T646" s="100"/>
      <c r="U646" s="100"/>
      <c r="V646" s="100"/>
      <c r="W646" s="100"/>
      <c r="X646" s="100"/>
      <c r="Y646" s="100"/>
      <c r="Z646" s="100"/>
      <c r="AA646" s="100"/>
      <c r="AB646" s="100"/>
      <c r="AC646" s="100"/>
      <c r="AD646" s="100"/>
      <c r="AF646" s="3">
        <f t="shared" si="185"/>
        <v>0</v>
      </c>
      <c r="AG646">
        <f t="shared" si="186"/>
        <v>0</v>
      </c>
      <c r="AH646">
        <f t="shared" si="187"/>
        <v>0</v>
      </c>
      <c r="AI646">
        <f t="shared" si="188"/>
        <v>0</v>
      </c>
      <c r="AJ646">
        <f t="shared" si="189"/>
        <v>0</v>
      </c>
      <c r="AK646">
        <f t="shared" si="190"/>
        <v>0</v>
      </c>
      <c r="AL646">
        <f t="shared" si="191"/>
        <v>0</v>
      </c>
      <c r="AM646">
        <f t="shared" si="192"/>
        <v>0</v>
      </c>
      <c r="AN646">
        <f t="shared" si="193"/>
        <v>0</v>
      </c>
      <c r="AO646">
        <f t="shared" si="194"/>
        <v>0</v>
      </c>
      <c r="AP646">
        <f t="shared" si="195"/>
        <v>0</v>
      </c>
      <c r="AQ646">
        <f t="shared" si="196"/>
        <v>0</v>
      </c>
      <c r="AR646">
        <f t="shared" si="197"/>
        <v>0</v>
      </c>
      <c r="AS646">
        <f t="shared" si="198"/>
        <v>0</v>
      </c>
      <c r="AT646">
        <f t="shared" si="199"/>
        <v>0</v>
      </c>
      <c r="AU646">
        <f t="shared" si="200"/>
        <v>0</v>
      </c>
      <c r="AV646">
        <f t="shared" si="201"/>
        <v>0</v>
      </c>
      <c r="AW646" cm="1">
        <f t="array" ref="AW646">IF(OR(P646={"NS","NA"},S618={"NS","NA"}),0,IF(P646&gt;=S618,0,1))</f>
        <v>0</v>
      </c>
      <c r="AX646" cm="1">
        <f t="array" ref="AX646">IF(OR(Q646={"NS","NA"},W618={"NS","NA"}),0,IF(Q646&gt;=W618,0,1))</f>
        <v>0</v>
      </c>
      <c r="AY646" cm="1">
        <f t="array" ref="AY646">IF(OR(R646={"NS","NA"},AA618={"NS","NA"}),0,IF(R646&gt;=AA618,0,1))</f>
        <v>0</v>
      </c>
      <c r="AZ646" cm="1">
        <f t="array" ref="AZ646">IF(OR(S646={"NS","NA"},$S618={"NS","NA"}),0,IF(S646&lt;=$S618,0,1))</f>
        <v>0</v>
      </c>
      <c r="BA646" cm="1">
        <f t="array" ref="BA646">IF(OR(T646={"NS","NA"},$W618={"NS","NA"}),0,IF(T646&lt;=$W618,0,1))</f>
        <v>0</v>
      </c>
      <c r="BB646" cm="1">
        <f t="array" ref="BB646">IF(OR(U646={"NS","NA"},$AA618={"NS","NA"}),0,IF(U646&lt;=$AA618,0,1))</f>
        <v>0</v>
      </c>
      <c r="BC646" cm="1">
        <f t="array" ref="BC646">IF(OR(V646={"NS","NA"},$S618={"NS","NA"}),0,IF(V646&lt;=$S618,0,1))</f>
        <v>0</v>
      </c>
      <c r="BD646" cm="1">
        <f t="array" ref="BD646">IF(OR(W646={"NS","NA"},$W618={"NS","NA"}),0,IF(W646&lt;=$W618,0,1))</f>
        <v>0</v>
      </c>
      <c r="BE646" cm="1">
        <f t="array" ref="BE646">IF(OR(X646={"NS","NA"},$AA618={"NS","NA"}),0,IF(X646&lt;=$AA618,0,1))</f>
        <v>0</v>
      </c>
      <c r="BF646" cm="1">
        <f t="array" ref="BF646">IF(OR(Y646={"NS","NA"},$S618={"NS","NA"}),0,IF(Y646&lt;=$S618,0,1))</f>
        <v>0</v>
      </c>
      <c r="BG646" cm="1">
        <f t="array" ref="BG646">IF(OR(Z646={"NS","NA"},$W618={"NS","NA"}),0,IF(Z646&lt;=$W618,0,1))</f>
        <v>0</v>
      </c>
      <c r="BH646" cm="1">
        <f t="array" ref="BH646">IF(OR(AA646={"NS","NA"},$AA618={"NS","NA"}),0,IF(AA646&lt;=$AA618,0,1))</f>
        <v>0</v>
      </c>
      <c r="BI646" cm="1">
        <f t="array" ref="BI646">IF(OR(AB646={"NS","NA"},$S618={"NS","NA"}),0,IF(AB646&lt;=$S618,0,1))</f>
        <v>0</v>
      </c>
      <c r="BJ646" cm="1">
        <f t="array" ref="BJ646">IF(OR(AC646={"NS","NA"},$W618={"NS","NA"}),0,IF(AC646&lt;=$W618,0,1))</f>
        <v>0</v>
      </c>
      <c r="BK646" cm="1">
        <f t="array" ref="BK646">IF(OR(AD646={"NS","NA"},$AA618={"NS","NA"}),0,IF(AD646&lt;=$AA618,0,1))</f>
        <v>0</v>
      </c>
    </row>
    <row r="647" spans="1:66" ht="15" customHeight="1">
      <c r="A647" s="211"/>
      <c r="B647" s="113"/>
      <c r="C647" s="98" t="s">
        <v>2522</v>
      </c>
      <c r="D647" s="813" t="str">
        <f>IF(CNSIPEE_2024_M2_Secc1!D48="","",CNSIPEE_2024_M2_Secc1!D48)</f>
        <v/>
      </c>
      <c r="E647" s="814"/>
      <c r="F647" s="814"/>
      <c r="G647" s="814"/>
      <c r="H647" s="814"/>
      <c r="I647" s="814"/>
      <c r="J647" s="814"/>
      <c r="K647" s="814"/>
      <c r="L647" s="814"/>
      <c r="M647" s="814"/>
      <c r="N647" s="814"/>
      <c r="O647" s="815"/>
      <c r="P647" s="100"/>
      <c r="Q647" s="100"/>
      <c r="R647" s="100"/>
      <c r="S647" s="100"/>
      <c r="T647" s="100"/>
      <c r="U647" s="100"/>
      <c r="V647" s="100"/>
      <c r="W647" s="100"/>
      <c r="X647" s="100"/>
      <c r="Y647" s="100"/>
      <c r="Z647" s="100"/>
      <c r="AA647" s="100"/>
      <c r="AB647" s="100"/>
      <c r="AC647" s="100"/>
      <c r="AD647" s="100"/>
      <c r="AF647" s="3">
        <f t="shared" si="185"/>
        <v>0</v>
      </c>
      <c r="AG647">
        <f t="shared" si="186"/>
        <v>0</v>
      </c>
      <c r="AH647">
        <f t="shared" si="187"/>
        <v>0</v>
      </c>
      <c r="AI647">
        <f t="shared" si="188"/>
        <v>0</v>
      </c>
      <c r="AJ647">
        <f t="shared" si="189"/>
        <v>0</v>
      </c>
      <c r="AK647">
        <f t="shared" si="190"/>
        <v>0</v>
      </c>
      <c r="AL647">
        <f t="shared" si="191"/>
        <v>0</v>
      </c>
      <c r="AM647">
        <f t="shared" si="192"/>
        <v>0</v>
      </c>
      <c r="AN647">
        <f t="shared" si="193"/>
        <v>0</v>
      </c>
      <c r="AO647">
        <f t="shared" si="194"/>
        <v>0</v>
      </c>
      <c r="AP647">
        <f t="shared" si="195"/>
        <v>0</v>
      </c>
      <c r="AQ647">
        <f t="shared" si="196"/>
        <v>0</v>
      </c>
      <c r="AR647">
        <f t="shared" si="197"/>
        <v>0</v>
      </c>
      <c r="AS647">
        <f t="shared" si="198"/>
        <v>0</v>
      </c>
      <c r="AT647">
        <f t="shared" si="199"/>
        <v>0</v>
      </c>
      <c r="AU647">
        <f t="shared" si="200"/>
        <v>0</v>
      </c>
      <c r="AV647">
        <f t="shared" si="201"/>
        <v>0</v>
      </c>
      <c r="AW647" cm="1">
        <f t="array" ref="AW647">IF(OR(P647={"NS","NA"},S619={"NS","NA"}),0,IF(P647&gt;=S619,0,1))</f>
        <v>0</v>
      </c>
      <c r="AX647" cm="1">
        <f t="array" ref="AX647">IF(OR(Q647={"NS","NA"},W619={"NS","NA"}),0,IF(Q647&gt;=W619,0,1))</f>
        <v>0</v>
      </c>
      <c r="AY647" cm="1">
        <f t="array" ref="AY647">IF(OR(R647={"NS","NA"},AA619={"NS","NA"}),0,IF(R647&gt;=AA619,0,1))</f>
        <v>0</v>
      </c>
      <c r="AZ647" cm="1">
        <f t="array" ref="AZ647">IF(OR(S647={"NS","NA"},$S619={"NS","NA"}),0,IF(S647&lt;=$S619,0,1))</f>
        <v>0</v>
      </c>
      <c r="BA647" cm="1">
        <f t="array" ref="BA647">IF(OR(T647={"NS","NA"},$W619={"NS","NA"}),0,IF(T647&lt;=$W619,0,1))</f>
        <v>0</v>
      </c>
      <c r="BB647" cm="1">
        <f t="array" ref="BB647">IF(OR(U647={"NS","NA"},$AA619={"NS","NA"}),0,IF(U647&lt;=$AA619,0,1))</f>
        <v>0</v>
      </c>
      <c r="BC647" cm="1">
        <f t="array" ref="BC647">IF(OR(V647={"NS","NA"},$S619={"NS","NA"}),0,IF(V647&lt;=$S619,0,1))</f>
        <v>0</v>
      </c>
      <c r="BD647" cm="1">
        <f t="array" ref="BD647">IF(OR(W647={"NS","NA"},$W619={"NS","NA"}),0,IF(W647&lt;=$W619,0,1))</f>
        <v>0</v>
      </c>
      <c r="BE647" cm="1">
        <f t="array" ref="BE647">IF(OR(X647={"NS","NA"},$AA619={"NS","NA"}),0,IF(X647&lt;=$AA619,0,1))</f>
        <v>0</v>
      </c>
      <c r="BF647" cm="1">
        <f t="array" ref="BF647">IF(OR(Y647={"NS","NA"},$S619={"NS","NA"}),0,IF(Y647&lt;=$S619,0,1))</f>
        <v>0</v>
      </c>
      <c r="BG647" cm="1">
        <f t="array" ref="BG647">IF(OR(Z647={"NS","NA"},$W619={"NS","NA"}),0,IF(Z647&lt;=$W619,0,1))</f>
        <v>0</v>
      </c>
      <c r="BH647" cm="1">
        <f t="array" ref="BH647">IF(OR(AA647={"NS","NA"},$AA619={"NS","NA"}),0,IF(AA647&lt;=$AA619,0,1))</f>
        <v>0</v>
      </c>
      <c r="BI647" cm="1">
        <f t="array" ref="BI647">IF(OR(AB647={"NS","NA"},$S619={"NS","NA"}),0,IF(AB647&lt;=$S619,0,1))</f>
        <v>0</v>
      </c>
      <c r="BJ647" cm="1">
        <f t="array" ref="BJ647">IF(OR(AC647={"NS","NA"},$W619={"NS","NA"}),0,IF(AC647&lt;=$W619,0,1))</f>
        <v>0</v>
      </c>
      <c r="BK647" cm="1">
        <f t="array" ref="BK647">IF(OR(AD647={"NS","NA"},$AA619={"NS","NA"}),0,IF(AD647&lt;=$AA619,0,1))</f>
        <v>0</v>
      </c>
    </row>
    <row r="648" spans="1:66" ht="15" customHeight="1">
      <c r="A648" s="211"/>
      <c r="B648" s="113"/>
      <c r="C648" s="98" t="s">
        <v>2523</v>
      </c>
      <c r="D648" s="813" t="str">
        <f>IF(CNSIPEE_2024_M2_Secc1!D49="","",CNSIPEE_2024_M2_Secc1!D49)</f>
        <v/>
      </c>
      <c r="E648" s="814"/>
      <c r="F648" s="814"/>
      <c r="G648" s="814"/>
      <c r="H648" s="814"/>
      <c r="I648" s="814"/>
      <c r="J648" s="814"/>
      <c r="K648" s="814"/>
      <c r="L648" s="814"/>
      <c r="M648" s="814"/>
      <c r="N648" s="814"/>
      <c r="O648" s="815"/>
      <c r="P648" s="100"/>
      <c r="Q648" s="100"/>
      <c r="R648" s="100"/>
      <c r="S648" s="100"/>
      <c r="T648" s="100"/>
      <c r="U648" s="100"/>
      <c r="V648" s="100"/>
      <c r="W648" s="100"/>
      <c r="X648" s="100"/>
      <c r="Y648" s="100"/>
      <c r="Z648" s="100"/>
      <c r="AA648" s="100"/>
      <c r="AB648" s="100"/>
      <c r="AC648" s="100"/>
      <c r="AD648" s="100"/>
      <c r="AF648" s="3">
        <f>IF(M620&lt;&gt;1,0,IF(OR(SUM(COUNTBLANK(D648:AD648),COUNTBLANK(P662:AD662))=11,SUM(COUNTBLANK(D648:AD648),COUNTBLANK(P662:AD662))=42),0,1))</f>
        <v>0</v>
      </c>
      <c r="AG648">
        <f>IF(M620&lt;&gt;1,IF(SUM(COUNTBLANK(P648:AD648),COUNTBLANK(P662:AD662))=30,0,1),0)</f>
        <v>0</v>
      </c>
      <c r="AH648">
        <f t="shared" si="187"/>
        <v>0</v>
      </c>
      <c r="AI648">
        <f t="shared" si="188"/>
        <v>0</v>
      </c>
      <c r="AJ648">
        <f t="shared" si="189"/>
        <v>0</v>
      </c>
      <c r="AK648">
        <f t="shared" si="190"/>
        <v>0</v>
      </c>
      <c r="AL648">
        <f t="shared" si="191"/>
        <v>0</v>
      </c>
      <c r="AM648">
        <f t="shared" si="192"/>
        <v>0</v>
      </c>
      <c r="AN648">
        <f t="shared" si="193"/>
        <v>0</v>
      </c>
      <c r="AO648">
        <f t="shared" si="194"/>
        <v>0</v>
      </c>
      <c r="AP648">
        <f t="shared" si="195"/>
        <v>0</v>
      </c>
      <c r="AQ648">
        <f t="shared" si="196"/>
        <v>0</v>
      </c>
      <c r="AR648">
        <f t="shared" si="197"/>
        <v>0</v>
      </c>
      <c r="AS648">
        <f t="shared" si="198"/>
        <v>0</v>
      </c>
      <c r="AT648">
        <f t="shared" si="199"/>
        <v>0</v>
      </c>
      <c r="AU648">
        <f t="shared" si="200"/>
        <v>0</v>
      </c>
      <c r="AV648">
        <f t="shared" si="201"/>
        <v>0</v>
      </c>
      <c r="AW648" cm="1">
        <f t="array" ref="AW648">IF(OR(P648={"NS","NA"},S620={"NS","NA"}),0,IF(P648&gt;=S620,0,1))</f>
        <v>0</v>
      </c>
      <c r="AX648" cm="1">
        <f t="array" ref="AX648">IF(OR(Q648={"NS","NA"},W620={"NS","NA"}),0,IF(Q648&gt;=W620,0,1))</f>
        <v>0</v>
      </c>
      <c r="AY648" cm="1">
        <f t="array" ref="AY648">IF(OR(R648={"NS","NA"},AA620={"NS","NA"}),0,IF(R648&gt;=AA620,0,1))</f>
        <v>0</v>
      </c>
      <c r="AZ648" cm="1">
        <f t="array" ref="AZ648">IF(OR(S648={"NS","NA"},$S620={"NS","NA"}),0,IF(S648&lt;=$S620,0,1))</f>
        <v>0</v>
      </c>
      <c r="BA648" cm="1">
        <f t="array" ref="BA648">IF(OR(T648={"NS","NA"},$W620={"NS","NA"}),0,IF(T648&lt;=$W620,0,1))</f>
        <v>0</v>
      </c>
      <c r="BB648" cm="1">
        <f t="array" ref="BB648">IF(OR(U648={"NS","NA"},$AA620={"NS","NA"}),0,IF(U648&lt;=$AA620,0,1))</f>
        <v>0</v>
      </c>
      <c r="BC648" cm="1">
        <f t="array" ref="BC648">IF(OR(V648={"NS","NA"},$S620={"NS","NA"}),0,IF(V648&lt;=$S620,0,1))</f>
        <v>0</v>
      </c>
      <c r="BD648" cm="1">
        <f t="array" ref="BD648">IF(OR(W648={"NS","NA"},$W620={"NS","NA"}),0,IF(W648&lt;=$W620,0,1))</f>
        <v>0</v>
      </c>
      <c r="BE648" cm="1">
        <f t="array" ref="BE648">IF(OR(X648={"NS","NA"},$AA620={"NS","NA"}),0,IF(X648&lt;=$AA620,0,1))</f>
        <v>0</v>
      </c>
      <c r="BF648" cm="1">
        <f t="array" ref="BF648">IF(OR(Y648={"NS","NA"},$S620={"NS","NA"}),0,IF(Y648&lt;=$S620,0,1))</f>
        <v>0</v>
      </c>
      <c r="BG648" cm="1">
        <f t="array" ref="BG648">IF(OR(Z648={"NS","NA"},$W620={"NS","NA"}),0,IF(Z648&lt;=$W620,0,1))</f>
        <v>0</v>
      </c>
      <c r="BH648" cm="1">
        <f t="array" ref="BH648">IF(OR(AA648={"NS","NA"},$AA620={"NS","NA"}),0,IF(AA648&lt;=$AA620,0,1))</f>
        <v>0</v>
      </c>
      <c r="BI648" cm="1">
        <f t="array" ref="BI648">IF(OR(AB648={"NS","NA"},$S620={"NS","NA"}),0,IF(AB648&lt;=$S620,0,1))</f>
        <v>0</v>
      </c>
      <c r="BJ648" cm="1">
        <f t="array" ref="BJ648">IF(OR(AC648={"NS","NA"},$W620={"NS","NA"}),0,IF(AC648&lt;=$W620,0,1))</f>
        <v>0</v>
      </c>
      <c r="BK648" cm="1">
        <f t="array" ref="BK648">IF(OR(AD648={"NS","NA"},$AA620={"NS","NA"}),0,IF(AD648&lt;=$AA620,0,1))</f>
        <v>0</v>
      </c>
    </row>
    <row r="649" spans="1:66" ht="15" customHeight="1">
      <c r="A649" s="108"/>
      <c r="B649" s="123"/>
      <c r="C649" s="123"/>
      <c r="D649" s="123"/>
      <c r="E649" s="123"/>
      <c r="G649" s="123"/>
      <c r="H649" s="123"/>
      <c r="I649" s="123"/>
      <c r="J649" s="123"/>
      <c r="K649" s="123"/>
      <c r="L649" s="123"/>
      <c r="M649" s="123"/>
      <c r="N649" s="123"/>
      <c r="O649" s="117" t="s">
        <v>2649</v>
      </c>
      <c r="P649" s="124">
        <f>IF(AND(SUM(P641:P648)=0,COUNTIF(P641:P648,"NS")&gt;0),"NS",IF(AND(SUM(P641:P648)=0,COUNTIF(P641:P648,0)&gt;0),0,IF(AND(SUM(P641:P648)=0,COUNTIF(P641:P648,"NA")&gt;0),"NA",SUM(P641:P648))))</f>
        <v>0</v>
      </c>
      <c r="Q649" s="124">
        <f t="shared" ref="Q649:AD649" si="202">IF(AND(SUM(Q641:Q648)=0,COUNTIF(Q641:Q648,"NS")&gt;0),"NS",IF(AND(SUM(Q641:Q648)=0,COUNTIF(Q641:Q648,0)&gt;0),0,IF(AND(SUM(Q641:Q648)=0,COUNTIF(Q641:Q648,"NA")&gt;0),"NA",SUM(Q641:Q648))))</f>
        <v>0</v>
      </c>
      <c r="R649" s="124">
        <f t="shared" si="202"/>
        <v>0</v>
      </c>
      <c r="S649" s="124">
        <f t="shared" si="202"/>
        <v>0</v>
      </c>
      <c r="T649" s="124">
        <f t="shared" si="202"/>
        <v>0</v>
      </c>
      <c r="U649" s="124">
        <f t="shared" si="202"/>
        <v>0</v>
      </c>
      <c r="V649" s="124">
        <f t="shared" si="202"/>
        <v>0</v>
      </c>
      <c r="W649" s="124">
        <f t="shared" si="202"/>
        <v>0</v>
      </c>
      <c r="X649" s="124">
        <f t="shared" si="202"/>
        <v>0</v>
      </c>
      <c r="Y649" s="124">
        <f t="shared" si="202"/>
        <v>0</v>
      </c>
      <c r="Z649" s="124">
        <f t="shared" si="202"/>
        <v>0</v>
      </c>
      <c r="AA649" s="124">
        <f t="shared" si="202"/>
        <v>0</v>
      </c>
      <c r="AB649" s="124">
        <f t="shared" si="202"/>
        <v>0</v>
      </c>
      <c r="AC649" s="124">
        <f t="shared" si="202"/>
        <v>0</v>
      </c>
      <c r="AD649" s="124">
        <f t="shared" si="202"/>
        <v>0</v>
      </c>
      <c r="AF649" s="507">
        <f>SUM(AF641:AF648)</f>
        <v>0</v>
      </c>
      <c r="AG649" s="507">
        <f>SUM(AG641:AG648)</f>
        <v>0</v>
      </c>
      <c r="AH649">
        <f>SUM(AH641:AH648)</f>
        <v>0</v>
      </c>
      <c r="AJ649">
        <f>SUM(AJ641:AJ648)</f>
        <v>0</v>
      </c>
      <c r="AK649">
        <f>SUM(AK641:AK648)</f>
        <v>0</v>
      </c>
      <c r="AM649">
        <f>SUM(AM641:AM648)</f>
        <v>0</v>
      </c>
      <c r="AN649">
        <f>SUM(AN641:AN648)</f>
        <v>0</v>
      </c>
      <c r="AP649">
        <f>SUM(AP641:AP648)</f>
        <v>0</v>
      </c>
      <c r="AQ649">
        <f>SUM(AQ641:AQ648)</f>
        <v>0</v>
      </c>
      <c r="AS649">
        <f>SUM(AS641:AS648)</f>
        <v>0</v>
      </c>
      <c r="AT649">
        <f>SUM(AT641:AT648)</f>
        <v>0</v>
      </c>
      <c r="AV649">
        <f>SUM(AV641:AV648)</f>
        <v>0</v>
      </c>
      <c r="AY649" s="507">
        <f>SUM(AW641:AY648)</f>
        <v>0</v>
      </c>
      <c r="BH649"/>
      <c r="BK649" s="693">
        <f>SUM(AZ641:BK648)</f>
        <v>0</v>
      </c>
    </row>
    <row r="650" spans="1:66" ht="15" customHeight="1">
      <c r="A650" s="49"/>
      <c r="B650" s="123"/>
      <c r="C650" s="123"/>
      <c r="D650" s="123"/>
      <c r="E650" s="123"/>
      <c r="G650" s="123"/>
      <c r="H650" s="123"/>
      <c r="I650" s="123"/>
      <c r="J650" s="123"/>
      <c r="K650" s="123"/>
      <c r="L650" s="123"/>
      <c r="M650" s="123"/>
      <c r="N650" s="123"/>
      <c r="O650" s="117"/>
      <c r="P650" s="104"/>
      <c r="Q650" s="104"/>
      <c r="R650" s="104"/>
      <c r="S650" s="104"/>
      <c r="T650" s="104"/>
      <c r="U650" s="104"/>
      <c r="V650" s="104"/>
      <c r="W650" s="104"/>
      <c r="X650" s="104"/>
      <c r="Y650" s="104"/>
      <c r="Z650" s="104"/>
      <c r="AA650" s="104"/>
      <c r="AB650" s="104"/>
      <c r="AC650" s="104"/>
      <c r="AD650" s="104"/>
      <c r="AK650" t="s">
        <v>2650</v>
      </c>
      <c r="AL650" s="405">
        <f>SUM(AJ649,AM649,AP649,AS649,AV649)</f>
        <v>0</v>
      </c>
      <c r="AM650" t="s">
        <v>2651</v>
      </c>
      <c r="AN650">
        <f>SUM(AK649,AN649,AQ649,AT649)</f>
        <v>0</v>
      </c>
    </row>
    <row r="651" spans="1:66" ht="15" customHeight="1">
      <c r="A651" s="119"/>
      <c r="AA651" s="875" t="s">
        <v>2668</v>
      </c>
      <c r="AB651" s="875"/>
      <c r="AC651" s="875"/>
      <c r="AD651" s="875"/>
      <c r="AK651" t="s">
        <v>2652</v>
      </c>
      <c r="AL651">
        <f>IF(AN650&gt;0,IF(SUM(S649)&gt;=SUM(V649,Y649,AB649),0,1),IF(SUM(S649)&lt;&gt;SUM(V649,Y649,AB649),1,0))</f>
        <v>0</v>
      </c>
      <c r="AM651" t="s">
        <v>2653</v>
      </c>
      <c r="AN651">
        <f>IF(AN650&gt;0,IF(SUM(T649)&gt;=SUM(W649,Z649,AC649),0,1),IF(SUM(T649)&lt;&gt;SUM(W649,Z649,AC649),1,0))</f>
        <v>0</v>
      </c>
      <c r="AO651" t="s">
        <v>2654</v>
      </c>
      <c r="AP651">
        <f>IF(AN650&gt;0,IF(SUM(U649)&gt;=SUM(X649,AA649,AD649),0,1),IF(SUM(U649)&lt;&gt;SUM(X649,AA649,AD649),1,0))</f>
        <v>0</v>
      </c>
    </row>
    <row r="652" spans="1:66" ht="24" customHeight="1">
      <c r="A652" s="142"/>
      <c r="B652" s="113"/>
      <c r="C652" s="797" t="s">
        <v>2581</v>
      </c>
      <c r="D652" s="798"/>
      <c r="E652" s="798"/>
      <c r="F652" s="798"/>
      <c r="G652" s="798"/>
      <c r="H652" s="798"/>
      <c r="I652" s="798"/>
      <c r="J652" s="798"/>
      <c r="K652" s="798"/>
      <c r="L652" s="798"/>
      <c r="M652" s="798"/>
      <c r="N652" s="798"/>
      <c r="O652" s="799"/>
      <c r="P652" s="739" t="s">
        <v>6266</v>
      </c>
      <c r="Q652" s="740"/>
      <c r="R652" s="740"/>
      <c r="S652" s="740"/>
      <c r="T652" s="740"/>
      <c r="U652" s="740"/>
      <c r="V652" s="740"/>
      <c r="W652" s="740"/>
      <c r="X652" s="740"/>
      <c r="Y652" s="740"/>
      <c r="Z652" s="740"/>
      <c r="AA652" s="740"/>
      <c r="AB652" s="740"/>
      <c r="AC652" s="740"/>
      <c r="AD652" s="741"/>
    </row>
    <row r="653" spans="1:66" ht="120" customHeight="1">
      <c r="A653" s="142"/>
      <c r="C653" s="800"/>
      <c r="D653" s="801"/>
      <c r="E653" s="801"/>
      <c r="F653" s="801"/>
      <c r="G653" s="801"/>
      <c r="H653" s="801"/>
      <c r="I653" s="801"/>
      <c r="J653" s="801"/>
      <c r="K653" s="801"/>
      <c r="L653" s="801"/>
      <c r="M653" s="801"/>
      <c r="N653" s="801"/>
      <c r="O653" s="802"/>
      <c r="P653" s="845" t="s">
        <v>6271</v>
      </c>
      <c r="Q653" s="952"/>
      <c r="R653" s="846"/>
      <c r="S653" s="845" t="s">
        <v>6272</v>
      </c>
      <c r="T653" s="952"/>
      <c r="U653" s="846"/>
      <c r="V653" s="845" t="s">
        <v>6273</v>
      </c>
      <c r="W653" s="952"/>
      <c r="X653" s="846"/>
      <c r="Y653" s="845" t="s">
        <v>2990</v>
      </c>
      <c r="Z653" s="952"/>
      <c r="AA653" s="846"/>
      <c r="AB653" s="845" t="s">
        <v>201</v>
      </c>
      <c r="AC653" s="952"/>
      <c r="AD653" s="846"/>
    </row>
    <row r="654" spans="1:66" ht="48" customHeight="1">
      <c r="A654" s="142"/>
      <c r="C654" s="803"/>
      <c r="D654" s="804"/>
      <c r="E654" s="804"/>
      <c r="F654" s="804"/>
      <c r="G654" s="804"/>
      <c r="H654" s="804"/>
      <c r="I654" s="804"/>
      <c r="J654" s="804"/>
      <c r="K654" s="804"/>
      <c r="L654" s="804"/>
      <c r="M654" s="804"/>
      <c r="N654" s="804"/>
      <c r="O654" s="805"/>
      <c r="P654" s="127" t="s">
        <v>2635</v>
      </c>
      <c r="Q654" s="128" t="s">
        <v>2629</v>
      </c>
      <c r="R654" s="128" t="s">
        <v>2630</v>
      </c>
      <c r="S654" s="127" t="s">
        <v>2635</v>
      </c>
      <c r="T654" s="128" t="s">
        <v>2629</v>
      </c>
      <c r="U654" s="128" t="s">
        <v>2630</v>
      </c>
      <c r="V654" s="127" t="s">
        <v>2635</v>
      </c>
      <c r="W654" s="128" t="s">
        <v>2629</v>
      </c>
      <c r="X654" s="128" t="s">
        <v>2630</v>
      </c>
      <c r="Y654" s="127" t="s">
        <v>2635</v>
      </c>
      <c r="Z654" s="128" t="s">
        <v>2629</v>
      </c>
      <c r="AA654" s="128" t="s">
        <v>2630</v>
      </c>
      <c r="AB654" s="127" t="s">
        <v>2635</v>
      </c>
      <c r="AC654" s="128" t="s">
        <v>2629</v>
      </c>
      <c r="AD654" s="128" t="s">
        <v>2630</v>
      </c>
      <c r="AK654" t="s">
        <v>4573</v>
      </c>
      <c r="AL654" t="s">
        <v>2638</v>
      </c>
      <c r="AM654" t="s">
        <v>2639</v>
      </c>
      <c r="AN654" t="s">
        <v>4574</v>
      </c>
      <c r="AO654" t="s">
        <v>2641</v>
      </c>
      <c r="AP654" t="s">
        <v>2642</v>
      </c>
      <c r="AQ654" t="s">
        <v>4575</v>
      </c>
      <c r="AR654" t="s">
        <v>2644</v>
      </c>
      <c r="AS654" t="s">
        <v>2645</v>
      </c>
      <c r="AT654" t="s">
        <v>4576</v>
      </c>
      <c r="AU654" t="s">
        <v>2647</v>
      </c>
      <c r="AV654" t="s">
        <v>2648</v>
      </c>
      <c r="AW654" t="s">
        <v>5177</v>
      </c>
      <c r="AX654" t="s">
        <v>2757</v>
      </c>
      <c r="AY654" t="s">
        <v>2758</v>
      </c>
      <c r="AZ654" t="s">
        <v>5290</v>
      </c>
      <c r="BA654"/>
      <c r="BB654"/>
      <c r="BC654"/>
      <c r="BD654"/>
      <c r="BE654"/>
      <c r="BF654"/>
      <c r="BG654"/>
      <c r="BH654"/>
      <c r="BI654"/>
      <c r="BJ654"/>
      <c r="BK654"/>
      <c r="BL654"/>
      <c r="BM654"/>
      <c r="BN654"/>
    </row>
    <row r="655" spans="1:66" ht="15" customHeight="1">
      <c r="A655" s="119"/>
      <c r="C655" s="44" t="s">
        <v>2516</v>
      </c>
      <c r="D655" s="813" t="str">
        <f>IF(CNSIPEE_2024_M2_Secc1!D42="","",CNSIPEE_2024_M2_Secc1!D42)</f>
        <v/>
      </c>
      <c r="E655" s="814"/>
      <c r="F655" s="814"/>
      <c r="G655" s="814"/>
      <c r="H655" s="814"/>
      <c r="I655" s="814"/>
      <c r="J655" s="814"/>
      <c r="K655" s="814"/>
      <c r="L655" s="814"/>
      <c r="M655" s="814"/>
      <c r="N655" s="814"/>
      <c r="O655" s="815"/>
      <c r="P655" s="100"/>
      <c r="Q655" s="100"/>
      <c r="R655" s="100"/>
      <c r="S655" s="100"/>
      <c r="T655" s="100"/>
      <c r="U655" s="100"/>
      <c r="V655" s="100"/>
      <c r="W655" s="100"/>
      <c r="X655" s="100"/>
      <c r="Y655" s="100"/>
      <c r="Z655" s="100"/>
      <c r="AA655" s="100"/>
      <c r="AB655" s="100"/>
      <c r="AC655" s="100"/>
      <c r="AD655" s="100"/>
      <c r="AK655">
        <f t="shared" ref="AK655:AK662" si="203">COUNTIF(Q655:R655,"NS")</f>
        <v>0</v>
      </c>
      <c r="AL655">
        <f t="shared" ref="AL655:AL662" si="204">SUM(Q655:R655)</f>
        <v>0</v>
      </c>
      <c r="AM655">
        <f t="shared" ref="AM655:AM662" si="205">IF(COUNTIF(P655:R655,"NA")=3,0,IF(COUNTA(P655:R655)=0,0,IF(OR(AND(P655=0,AK655&gt;0),AND(P655="ns",AL655&gt;0),AND(P655="ns",AK655=0,AL655=0)),1,IF(OR(AND(P655&gt;0,AK655=2),AND(P655="ns",AK655=2),AND(P655="ns",AL655=0,AK655&gt;0),P655=AL655),0,1))))</f>
        <v>0</v>
      </c>
      <c r="AN655">
        <f t="shared" ref="AN655:AN662" si="206">COUNTIF(T655:U655,"NS")</f>
        <v>0</v>
      </c>
      <c r="AO655">
        <f t="shared" ref="AO655:AO662" si="207">SUM(T655:U655)</f>
        <v>0</v>
      </c>
      <c r="AP655">
        <f t="shared" ref="AP655:AP662" si="208">IF(COUNTIF(S655:U655,"NA")=3,0,IF(COUNTA(S655:U655)=0,0,IF(OR(AND(S655=0,AN655&gt;0),AND(S655="ns",AO655&gt;0),AND(S655="ns",AN655=0,AO655=0)),1,IF(OR(AND(S655&gt;0,AN655=2),AND(S655="ns",AN655=2),AND(S655="ns",AO655=0,AN655&gt;0),S655=AO655),0,1))))</f>
        <v>0</v>
      </c>
      <c r="AQ655">
        <f t="shared" ref="AQ655:AQ662" si="209">COUNTIF(W655:X655,"NS")</f>
        <v>0</v>
      </c>
      <c r="AR655">
        <f t="shared" ref="AR655:AR662" si="210">SUM(W655:X655)</f>
        <v>0</v>
      </c>
      <c r="AS655">
        <f t="shared" ref="AS655:AS662" si="211">IF(COUNTIF(V655:X655,"NA")=3,0,IF(COUNTA(V655:X655)=0,0,IF(OR(AND(V655=0,AQ655&gt;0),AND(V655="ns",AR655&gt;0),AND(V655="ns",AQ655=0,AR655=0)),1,IF(OR(AND(V655&gt;0,AQ655=2),AND(V655="ns",AQ655=2),AND(V655="ns",AR655=0,AQ655&gt;0),V655=AR655),0,1))))</f>
        <v>0</v>
      </c>
      <c r="AT655">
        <f t="shared" ref="AT655:AT662" si="212">COUNTIF(Z655:AA655,"NS")</f>
        <v>0</v>
      </c>
      <c r="AU655">
        <f t="shared" ref="AU655:AU662" si="213">SUM(Z655:AA655)</f>
        <v>0</v>
      </c>
      <c r="AV655">
        <f t="shared" ref="AV655:AV662" si="214">IF(COUNTIF(Y655:AA655,"NA")=3,0,IF(COUNTA(Y655:AA655)=0,0,IF(OR(AND(Y655=0,AT655&gt;0),AND(Y655="ns",AU655&gt;0),AND(Y655="ns",AT655=0,AU655=0)),1,IF(OR(AND(Y655&gt;0,AT655=2),AND(Y655="ns",AT655=2),AND(Y655="ns",AU655=0,AT655&gt;0),Y655=AU655),0,1))))</f>
        <v>0</v>
      </c>
      <c r="AW655">
        <f t="shared" ref="AW655:AW662" si="215">COUNTIF(AC655:AD655,"NS")</f>
        <v>0</v>
      </c>
      <c r="AX655">
        <f t="shared" ref="AX655:AX662" si="216">SUM(AC655:AD655)</f>
        <v>0</v>
      </c>
      <c r="AY655">
        <f t="shared" ref="AY655:AY662" si="217">IF(COUNTIF(AB655:AD655,"NA")=3,0,IF(COUNTA(AB655:AD655)=0,0,IF(OR(AND(AB655=0,AW655&gt;0),AND(AB655="ns",AX655&gt;0),AND(AB655="ns",AW655=0,AX655=0)),1,IF(OR(AND(AB655&gt;0,AW655=2),AND(AB655="ns",AW655=2),AND(AB655="ns",AX655=0,AW655&gt;0),AB655=AX655),0,1))))</f>
        <v>0</v>
      </c>
      <c r="AZ655" cm="1">
        <f t="array" ref="AZ655">IF(OR(P655={"NS","NA"},$S613={"NS","NA"}),0,IF(P655&lt;=$S613,0,1))</f>
        <v>0</v>
      </c>
      <c r="BA655" cm="1">
        <f t="array" ref="BA655">IF(OR(Q655={"NS","NA"},$W613={"NS","NA"}),0,IF(Q655&lt;=$W613,0,1))</f>
        <v>0</v>
      </c>
      <c r="BB655" cm="1">
        <f t="array" ref="BB655">IF(OR(R655={"NS","NA"},$AA613={"NS","NA"}),0,IF(R655&lt;=$AA613,0,1))</f>
        <v>0</v>
      </c>
      <c r="BC655" cm="1">
        <f t="array" ref="BC655">IF(OR(S655={"NS","NA"},$S613={"NS","NA"}),0,IF(S655&lt;=$S613,0,1))</f>
        <v>0</v>
      </c>
      <c r="BD655" cm="1">
        <f t="array" ref="BD655">IF(OR(T655={"NS","NA"},$W613={"NS","NA"}),0,IF(T655&lt;=$W613,0,1))</f>
        <v>0</v>
      </c>
      <c r="BE655" cm="1">
        <f t="array" ref="BE655">IF(OR(U655={"NS","NA"},$AA613={"NS","NA"}),0,IF(U655&lt;=$AA613,0,1))</f>
        <v>0</v>
      </c>
      <c r="BF655" cm="1">
        <f t="array" ref="BF655">IF(OR(V655={"NS","NA"},$S613={"NS","NA"}),0,IF(V655&lt;=$S613,0,1))</f>
        <v>0</v>
      </c>
      <c r="BG655" cm="1">
        <f t="array" ref="BG655">IF(OR(W655={"NS","NA"},$W613={"NS","NA"}),0,IF(W655&lt;=$W613,0,1))</f>
        <v>0</v>
      </c>
      <c r="BH655" cm="1">
        <f t="array" ref="BH655">IF(OR(X655={"NS","NA"},$AA613={"NS","NA"}),0,IF(X655&lt;=$AA613,0,1))</f>
        <v>0</v>
      </c>
      <c r="BI655" cm="1">
        <f t="array" ref="BI655">IF(OR(Y655={"NS","NA"},$S613={"NS","NA"}),0,IF(Y655&lt;=$S613,0,1))</f>
        <v>0</v>
      </c>
      <c r="BJ655" cm="1">
        <f t="array" ref="BJ655">IF(OR(Z655={"NS","NA"},$W613={"NS","NA"}),0,IF(Z655&lt;=$W613,0,1))</f>
        <v>0</v>
      </c>
      <c r="BK655" cm="1">
        <f t="array" ref="BK655">IF(OR(AA655={"NS","NA"},$AA613={"NS","NA"}),0,IF(AA655&lt;=$AA613,0,1))</f>
        <v>0</v>
      </c>
      <c r="BL655" cm="1">
        <f t="array" ref="BL655">IF(OR(AB655={"NS","NA"},$S613={"NS","NA"}),0,IF(AB655&lt;=$S613,0,1))</f>
        <v>0</v>
      </c>
      <c r="BM655" cm="1">
        <f t="array" ref="BM655">IF(OR(AC655={"NS","NA"},$W613={"NS","NA"}),0,IF(AC655&lt;=$W613,0,1))</f>
        <v>0</v>
      </c>
      <c r="BN655" cm="1">
        <f t="array" ref="BN655">IF(OR(AD655={"NS","NA"},$AA613={"NS","NA"}),0,IF(AD655&lt;=$AA613,0,1))</f>
        <v>0</v>
      </c>
    </row>
    <row r="656" spans="1:66" ht="15" customHeight="1">
      <c r="A656" s="119"/>
      <c r="C656" s="97" t="s">
        <v>2517</v>
      </c>
      <c r="D656" s="813" t="str">
        <f>IF(CNSIPEE_2024_M2_Secc1!D43="","",CNSIPEE_2024_M2_Secc1!D43)</f>
        <v/>
      </c>
      <c r="E656" s="814"/>
      <c r="F656" s="814"/>
      <c r="G656" s="814"/>
      <c r="H656" s="814"/>
      <c r="I656" s="814"/>
      <c r="J656" s="814"/>
      <c r="K656" s="814"/>
      <c r="L656" s="814"/>
      <c r="M656" s="814"/>
      <c r="N656" s="814"/>
      <c r="O656" s="815"/>
      <c r="P656" s="100"/>
      <c r="Q656" s="100"/>
      <c r="R656" s="100"/>
      <c r="S656" s="100"/>
      <c r="T656" s="100"/>
      <c r="U656" s="100"/>
      <c r="V656" s="100"/>
      <c r="W656" s="100"/>
      <c r="X656" s="100"/>
      <c r="Y656" s="100"/>
      <c r="Z656" s="100"/>
      <c r="AA656" s="100"/>
      <c r="AB656" s="100"/>
      <c r="AC656" s="100"/>
      <c r="AD656" s="100"/>
      <c r="AK656">
        <f t="shared" si="203"/>
        <v>0</v>
      </c>
      <c r="AL656">
        <f t="shared" si="204"/>
        <v>0</v>
      </c>
      <c r="AM656">
        <f t="shared" si="205"/>
        <v>0</v>
      </c>
      <c r="AN656">
        <f t="shared" si="206"/>
        <v>0</v>
      </c>
      <c r="AO656">
        <f t="shared" si="207"/>
        <v>0</v>
      </c>
      <c r="AP656">
        <f t="shared" si="208"/>
        <v>0</v>
      </c>
      <c r="AQ656">
        <f t="shared" si="209"/>
        <v>0</v>
      </c>
      <c r="AR656">
        <f t="shared" si="210"/>
        <v>0</v>
      </c>
      <c r="AS656">
        <f t="shared" si="211"/>
        <v>0</v>
      </c>
      <c r="AT656">
        <f t="shared" si="212"/>
        <v>0</v>
      </c>
      <c r="AU656">
        <f t="shared" si="213"/>
        <v>0</v>
      </c>
      <c r="AV656">
        <f t="shared" si="214"/>
        <v>0</v>
      </c>
      <c r="AW656">
        <f t="shared" si="215"/>
        <v>0</v>
      </c>
      <c r="AX656">
        <f t="shared" si="216"/>
        <v>0</v>
      </c>
      <c r="AY656">
        <f t="shared" si="217"/>
        <v>0</v>
      </c>
      <c r="AZ656" cm="1">
        <f t="array" ref="AZ656">IF(OR(P656={"NS","NA"},$S614={"NS","NA"}),0,IF(P656&lt;=$S614,0,1))</f>
        <v>0</v>
      </c>
      <c r="BA656" cm="1">
        <f t="array" ref="BA656">IF(OR(Q656={"NS","NA"},$W614={"NS","NA"}),0,IF(Q656&lt;=$W614,0,1))</f>
        <v>0</v>
      </c>
      <c r="BB656" cm="1">
        <f t="array" ref="BB656">IF(OR(R656={"NS","NA"},$AA614={"NS","NA"}),0,IF(R656&lt;=$AA614,0,1))</f>
        <v>0</v>
      </c>
      <c r="BC656" cm="1">
        <f t="array" ref="BC656">IF(OR(S656={"NS","NA"},$S614={"NS","NA"}),0,IF(S656&lt;=$S614,0,1))</f>
        <v>0</v>
      </c>
      <c r="BD656" cm="1">
        <f t="array" ref="BD656">IF(OR(T656={"NS","NA"},$W614={"NS","NA"}),0,IF(T656&lt;=$W614,0,1))</f>
        <v>0</v>
      </c>
      <c r="BE656" cm="1">
        <f t="array" ref="BE656">IF(OR(U656={"NS","NA"},$AA614={"NS","NA"}),0,IF(U656&lt;=$AA614,0,1))</f>
        <v>0</v>
      </c>
      <c r="BF656" cm="1">
        <f t="array" ref="BF656">IF(OR(V656={"NS","NA"},$S614={"NS","NA"}),0,IF(V656&lt;=$S614,0,1))</f>
        <v>0</v>
      </c>
      <c r="BG656" cm="1">
        <f t="array" ref="BG656">IF(OR(W656={"NS","NA"},$W614={"NS","NA"}),0,IF(W656&lt;=$W614,0,1))</f>
        <v>0</v>
      </c>
      <c r="BH656" cm="1">
        <f t="array" ref="BH656">IF(OR(X656={"NS","NA"},$AA614={"NS","NA"}),0,IF(X656&lt;=$AA614,0,1))</f>
        <v>0</v>
      </c>
      <c r="BI656" cm="1">
        <f t="array" ref="BI656">IF(OR(Y656={"NS","NA"},$S614={"NS","NA"}),0,IF(Y656&lt;=$S614,0,1))</f>
        <v>0</v>
      </c>
      <c r="BJ656" cm="1">
        <f t="array" ref="BJ656">IF(OR(Z656={"NS","NA"},$W614={"NS","NA"}),0,IF(Z656&lt;=$W614,0,1))</f>
        <v>0</v>
      </c>
      <c r="BK656" cm="1">
        <f t="array" ref="BK656">IF(OR(AA656={"NS","NA"},$AA614={"NS","NA"}),0,IF(AA656&lt;=$AA614,0,1))</f>
        <v>0</v>
      </c>
      <c r="BL656" cm="1">
        <f t="array" ref="BL656">IF(OR(AB656={"NS","NA"},$S614={"NS","NA"}),0,IF(AB656&lt;=$S614,0,1))</f>
        <v>0</v>
      </c>
      <c r="BM656" cm="1">
        <f t="array" ref="BM656">IF(OR(AC656={"NS","NA"},$W614={"NS","NA"}),0,IF(AC656&lt;=$W614,0,1))</f>
        <v>0</v>
      </c>
      <c r="BN656" cm="1">
        <f t="array" ref="BN656">IF(OR(AD656={"NS","NA"},$AA614={"NS","NA"}),0,IF(AD656&lt;=$AA614,0,1))</f>
        <v>0</v>
      </c>
    </row>
    <row r="657" spans="1:66" ht="15" customHeight="1">
      <c r="A657" s="119"/>
      <c r="C657" s="98" t="s">
        <v>2518</v>
      </c>
      <c r="D657" s="813" t="str">
        <f>IF(CNSIPEE_2024_M2_Secc1!D44="","",CNSIPEE_2024_M2_Secc1!D44)</f>
        <v/>
      </c>
      <c r="E657" s="814"/>
      <c r="F657" s="814"/>
      <c r="G657" s="814"/>
      <c r="H657" s="814"/>
      <c r="I657" s="814"/>
      <c r="J657" s="814"/>
      <c r="K657" s="814"/>
      <c r="L657" s="814"/>
      <c r="M657" s="814"/>
      <c r="N657" s="814"/>
      <c r="O657" s="815"/>
      <c r="P657" s="100"/>
      <c r="Q657" s="100"/>
      <c r="R657" s="100"/>
      <c r="S657" s="100"/>
      <c r="T657" s="100"/>
      <c r="U657" s="100"/>
      <c r="V657" s="100"/>
      <c r="W657" s="100"/>
      <c r="X657" s="100"/>
      <c r="Y657" s="100"/>
      <c r="Z657" s="100"/>
      <c r="AA657" s="100"/>
      <c r="AB657" s="100"/>
      <c r="AC657" s="100"/>
      <c r="AD657" s="100"/>
      <c r="AK657">
        <f t="shared" si="203"/>
        <v>0</v>
      </c>
      <c r="AL657">
        <f t="shared" si="204"/>
        <v>0</v>
      </c>
      <c r="AM657">
        <f t="shared" si="205"/>
        <v>0</v>
      </c>
      <c r="AN657">
        <f t="shared" si="206"/>
        <v>0</v>
      </c>
      <c r="AO657">
        <f t="shared" si="207"/>
        <v>0</v>
      </c>
      <c r="AP657">
        <f t="shared" si="208"/>
        <v>0</v>
      </c>
      <c r="AQ657">
        <f t="shared" si="209"/>
        <v>0</v>
      </c>
      <c r="AR657">
        <f t="shared" si="210"/>
        <v>0</v>
      </c>
      <c r="AS657">
        <f t="shared" si="211"/>
        <v>0</v>
      </c>
      <c r="AT657">
        <f t="shared" si="212"/>
        <v>0</v>
      </c>
      <c r="AU657">
        <f t="shared" si="213"/>
        <v>0</v>
      </c>
      <c r="AV657">
        <f t="shared" si="214"/>
        <v>0</v>
      </c>
      <c r="AW657">
        <f t="shared" si="215"/>
        <v>0</v>
      </c>
      <c r="AX657">
        <f t="shared" si="216"/>
        <v>0</v>
      </c>
      <c r="AY657">
        <f t="shared" si="217"/>
        <v>0</v>
      </c>
      <c r="AZ657" cm="1">
        <f t="array" ref="AZ657">IF(OR(P657={"NS","NA"},$S615={"NS","NA"}),0,IF(P657&lt;=$S615,0,1))</f>
        <v>0</v>
      </c>
      <c r="BA657" cm="1">
        <f t="array" ref="BA657">IF(OR(Q657={"NS","NA"},$W615={"NS","NA"}),0,IF(Q657&lt;=$W615,0,1))</f>
        <v>0</v>
      </c>
      <c r="BB657" cm="1">
        <f t="array" ref="BB657">IF(OR(R657={"NS","NA"},$AA615={"NS","NA"}),0,IF(R657&lt;=$AA615,0,1))</f>
        <v>0</v>
      </c>
      <c r="BC657" cm="1">
        <f t="array" ref="BC657">IF(OR(S657={"NS","NA"},$S615={"NS","NA"}),0,IF(S657&lt;=$S615,0,1))</f>
        <v>0</v>
      </c>
      <c r="BD657" cm="1">
        <f t="array" ref="BD657">IF(OR(T657={"NS","NA"},$W615={"NS","NA"}),0,IF(T657&lt;=$W615,0,1))</f>
        <v>0</v>
      </c>
      <c r="BE657" cm="1">
        <f t="array" ref="BE657">IF(OR(U657={"NS","NA"},$AA615={"NS","NA"}),0,IF(U657&lt;=$AA615,0,1))</f>
        <v>0</v>
      </c>
      <c r="BF657" cm="1">
        <f t="array" ref="BF657">IF(OR(V657={"NS","NA"},$S615={"NS","NA"}),0,IF(V657&lt;=$S615,0,1))</f>
        <v>0</v>
      </c>
      <c r="BG657" cm="1">
        <f t="array" ref="BG657">IF(OR(W657={"NS","NA"},$W615={"NS","NA"}),0,IF(W657&lt;=$W615,0,1))</f>
        <v>0</v>
      </c>
      <c r="BH657" cm="1">
        <f t="array" ref="BH657">IF(OR(X657={"NS","NA"},$AA615={"NS","NA"}),0,IF(X657&lt;=$AA615,0,1))</f>
        <v>0</v>
      </c>
      <c r="BI657" cm="1">
        <f t="array" ref="BI657">IF(OR(Y657={"NS","NA"},$S615={"NS","NA"}),0,IF(Y657&lt;=$S615,0,1))</f>
        <v>0</v>
      </c>
      <c r="BJ657" cm="1">
        <f t="array" ref="BJ657">IF(OR(Z657={"NS","NA"},$W615={"NS","NA"}),0,IF(Z657&lt;=$W615,0,1))</f>
        <v>0</v>
      </c>
      <c r="BK657" cm="1">
        <f t="array" ref="BK657">IF(OR(AA657={"NS","NA"},$AA615={"NS","NA"}),0,IF(AA657&lt;=$AA615,0,1))</f>
        <v>0</v>
      </c>
      <c r="BL657" cm="1">
        <f t="array" ref="BL657">IF(OR(AB657={"NS","NA"},$S615={"NS","NA"}),0,IF(AB657&lt;=$S615,0,1))</f>
        <v>0</v>
      </c>
      <c r="BM657" cm="1">
        <f t="array" ref="BM657">IF(OR(AC657={"NS","NA"},$W615={"NS","NA"}),0,IF(AC657&lt;=$W615,0,1))</f>
        <v>0</v>
      </c>
      <c r="BN657" cm="1">
        <f t="array" ref="BN657">IF(OR(AD657={"NS","NA"},$AA615={"NS","NA"}),0,IF(AD657&lt;=$AA615,0,1))</f>
        <v>0</v>
      </c>
    </row>
    <row r="658" spans="1:66" ht="15" customHeight="1">
      <c r="A658" s="119"/>
      <c r="C658" s="98" t="s">
        <v>2519</v>
      </c>
      <c r="D658" s="813" t="str">
        <f>IF(CNSIPEE_2024_M2_Secc1!D45="","",CNSIPEE_2024_M2_Secc1!D45)</f>
        <v/>
      </c>
      <c r="E658" s="814"/>
      <c r="F658" s="814"/>
      <c r="G658" s="814"/>
      <c r="H658" s="814"/>
      <c r="I658" s="814"/>
      <c r="J658" s="814"/>
      <c r="K658" s="814"/>
      <c r="L658" s="814"/>
      <c r="M658" s="814"/>
      <c r="N658" s="814"/>
      <c r="O658" s="815"/>
      <c r="P658" s="100"/>
      <c r="Q658" s="100"/>
      <c r="R658" s="100"/>
      <c r="S658" s="100"/>
      <c r="T658" s="100"/>
      <c r="U658" s="100"/>
      <c r="V658" s="100"/>
      <c r="W658" s="100"/>
      <c r="X658" s="100"/>
      <c r="Y658" s="100"/>
      <c r="Z658" s="100"/>
      <c r="AA658" s="100"/>
      <c r="AB658" s="100"/>
      <c r="AC658" s="100"/>
      <c r="AD658" s="100"/>
      <c r="AK658">
        <f t="shared" si="203"/>
        <v>0</v>
      </c>
      <c r="AL658">
        <f t="shared" si="204"/>
        <v>0</v>
      </c>
      <c r="AM658">
        <f t="shared" si="205"/>
        <v>0</v>
      </c>
      <c r="AN658">
        <f t="shared" si="206"/>
        <v>0</v>
      </c>
      <c r="AO658">
        <f t="shared" si="207"/>
        <v>0</v>
      </c>
      <c r="AP658">
        <f t="shared" si="208"/>
        <v>0</v>
      </c>
      <c r="AQ658">
        <f t="shared" si="209"/>
        <v>0</v>
      </c>
      <c r="AR658">
        <f t="shared" si="210"/>
        <v>0</v>
      </c>
      <c r="AS658">
        <f t="shared" si="211"/>
        <v>0</v>
      </c>
      <c r="AT658">
        <f t="shared" si="212"/>
        <v>0</v>
      </c>
      <c r="AU658">
        <f t="shared" si="213"/>
        <v>0</v>
      </c>
      <c r="AV658">
        <f t="shared" si="214"/>
        <v>0</v>
      </c>
      <c r="AW658">
        <f t="shared" si="215"/>
        <v>0</v>
      </c>
      <c r="AX658">
        <f t="shared" si="216"/>
        <v>0</v>
      </c>
      <c r="AY658">
        <f t="shared" si="217"/>
        <v>0</v>
      </c>
      <c r="AZ658" cm="1">
        <f t="array" ref="AZ658">IF(OR(P658={"NS","NA"},$S616={"NS","NA"}),0,IF(P658&lt;=$S616,0,1))</f>
        <v>0</v>
      </c>
      <c r="BA658" cm="1">
        <f t="array" ref="BA658">IF(OR(Q658={"NS","NA"},$W616={"NS","NA"}),0,IF(Q658&lt;=$W616,0,1))</f>
        <v>0</v>
      </c>
      <c r="BB658" cm="1">
        <f t="array" ref="BB658">IF(OR(R658={"NS","NA"},$AA616={"NS","NA"}),0,IF(R658&lt;=$AA616,0,1))</f>
        <v>0</v>
      </c>
      <c r="BC658" cm="1">
        <f t="array" ref="BC658">IF(OR(S658={"NS","NA"},$S616={"NS","NA"}),0,IF(S658&lt;=$S616,0,1))</f>
        <v>0</v>
      </c>
      <c r="BD658" cm="1">
        <f t="array" ref="BD658">IF(OR(T658={"NS","NA"},$W616={"NS","NA"}),0,IF(T658&lt;=$W616,0,1))</f>
        <v>0</v>
      </c>
      <c r="BE658" cm="1">
        <f t="array" ref="BE658">IF(OR(U658={"NS","NA"},$AA616={"NS","NA"}),0,IF(U658&lt;=$AA616,0,1))</f>
        <v>0</v>
      </c>
      <c r="BF658" cm="1">
        <f t="array" ref="BF658">IF(OR(V658={"NS","NA"},$S616={"NS","NA"}),0,IF(V658&lt;=$S616,0,1))</f>
        <v>0</v>
      </c>
      <c r="BG658" cm="1">
        <f t="array" ref="BG658">IF(OR(W658={"NS","NA"},$W616={"NS","NA"}),0,IF(W658&lt;=$W616,0,1))</f>
        <v>0</v>
      </c>
      <c r="BH658" cm="1">
        <f t="array" ref="BH658">IF(OR(X658={"NS","NA"},$AA616={"NS","NA"}),0,IF(X658&lt;=$AA616,0,1))</f>
        <v>0</v>
      </c>
      <c r="BI658" cm="1">
        <f t="array" ref="BI658">IF(OR(Y658={"NS","NA"},$S616={"NS","NA"}),0,IF(Y658&lt;=$S616,0,1))</f>
        <v>0</v>
      </c>
      <c r="BJ658" cm="1">
        <f t="array" ref="BJ658">IF(OR(Z658={"NS","NA"},$W616={"NS","NA"}),0,IF(Z658&lt;=$W616,0,1))</f>
        <v>0</v>
      </c>
      <c r="BK658" cm="1">
        <f t="array" ref="BK658">IF(OR(AA658={"NS","NA"},$AA616={"NS","NA"}),0,IF(AA658&lt;=$AA616,0,1))</f>
        <v>0</v>
      </c>
      <c r="BL658" cm="1">
        <f t="array" ref="BL658">IF(OR(AB658={"NS","NA"},$S616={"NS","NA"}),0,IF(AB658&lt;=$S616,0,1))</f>
        <v>0</v>
      </c>
      <c r="BM658" cm="1">
        <f t="array" ref="BM658">IF(OR(AC658={"NS","NA"},$W616={"NS","NA"}),0,IF(AC658&lt;=$W616,0,1))</f>
        <v>0</v>
      </c>
      <c r="BN658" cm="1">
        <f t="array" ref="BN658">IF(OR(AD658={"NS","NA"},$AA616={"NS","NA"}),0,IF(AD658&lt;=$AA616,0,1))</f>
        <v>0</v>
      </c>
    </row>
    <row r="659" spans="1:66" ht="15" customHeight="1">
      <c r="A659" s="119"/>
      <c r="C659" s="98" t="s">
        <v>2520</v>
      </c>
      <c r="D659" s="813" t="str">
        <f>IF(CNSIPEE_2024_M2_Secc1!D46="","",CNSIPEE_2024_M2_Secc1!D46)</f>
        <v/>
      </c>
      <c r="E659" s="814"/>
      <c r="F659" s="814"/>
      <c r="G659" s="814"/>
      <c r="H659" s="814"/>
      <c r="I659" s="814"/>
      <c r="J659" s="814"/>
      <c r="K659" s="814"/>
      <c r="L659" s="814"/>
      <c r="M659" s="814"/>
      <c r="N659" s="814"/>
      <c r="O659" s="815"/>
      <c r="P659" s="100"/>
      <c r="Q659" s="100"/>
      <c r="R659" s="100"/>
      <c r="S659" s="100"/>
      <c r="T659" s="100"/>
      <c r="U659" s="100"/>
      <c r="V659" s="100"/>
      <c r="W659" s="100"/>
      <c r="X659" s="100"/>
      <c r="Y659" s="100"/>
      <c r="Z659" s="100"/>
      <c r="AA659" s="100"/>
      <c r="AB659" s="100"/>
      <c r="AC659" s="100"/>
      <c r="AD659" s="100"/>
      <c r="AK659">
        <f t="shared" si="203"/>
        <v>0</v>
      </c>
      <c r="AL659">
        <f t="shared" si="204"/>
        <v>0</v>
      </c>
      <c r="AM659">
        <f t="shared" si="205"/>
        <v>0</v>
      </c>
      <c r="AN659">
        <f t="shared" si="206"/>
        <v>0</v>
      </c>
      <c r="AO659">
        <f t="shared" si="207"/>
        <v>0</v>
      </c>
      <c r="AP659">
        <f t="shared" si="208"/>
        <v>0</v>
      </c>
      <c r="AQ659">
        <f t="shared" si="209"/>
        <v>0</v>
      </c>
      <c r="AR659">
        <f t="shared" si="210"/>
        <v>0</v>
      </c>
      <c r="AS659">
        <f t="shared" si="211"/>
        <v>0</v>
      </c>
      <c r="AT659">
        <f t="shared" si="212"/>
        <v>0</v>
      </c>
      <c r="AU659">
        <f t="shared" si="213"/>
        <v>0</v>
      </c>
      <c r="AV659">
        <f t="shared" si="214"/>
        <v>0</v>
      </c>
      <c r="AW659">
        <f t="shared" si="215"/>
        <v>0</v>
      </c>
      <c r="AX659">
        <f t="shared" si="216"/>
        <v>0</v>
      </c>
      <c r="AY659">
        <f t="shared" si="217"/>
        <v>0</v>
      </c>
      <c r="AZ659" cm="1">
        <f t="array" ref="AZ659">IF(OR(P659={"NS","NA"},$S617={"NS","NA"}),0,IF(P659&lt;=$S617,0,1))</f>
        <v>0</v>
      </c>
      <c r="BA659" cm="1">
        <f t="array" ref="BA659">IF(OR(Q659={"NS","NA"},$W617={"NS","NA"}),0,IF(Q659&lt;=$W617,0,1))</f>
        <v>0</v>
      </c>
      <c r="BB659" cm="1">
        <f t="array" ref="BB659">IF(OR(R659={"NS","NA"},$AA617={"NS","NA"}),0,IF(R659&lt;=$AA617,0,1))</f>
        <v>0</v>
      </c>
      <c r="BC659" cm="1">
        <f t="array" ref="BC659">IF(OR(S659={"NS","NA"},$S617={"NS","NA"}),0,IF(S659&lt;=$S617,0,1))</f>
        <v>0</v>
      </c>
      <c r="BD659" cm="1">
        <f t="array" ref="BD659">IF(OR(T659={"NS","NA"},$W617={"NS","NA"}),0,IF(T659&lt;=$W617,0,1))</f>
        <v>0</v>
      </c>
      <c r="BE659" cm="1">
        <f t="array" ref="BE659">IF(OR(U659={"NS","NA"},$AA617={"NS","NA"}),0,IF(U659&lt;=$AA617,0,1))</f>
        <v>0</v>
      </c>
      <c r="BF659" cm="1">
        <f t="array" ref="BF659">IF(OR(V659={"NS","NA"},$S617={"NS","NA"}),0,IF(V659&lt;=$S617,0,1))</f>
        <v>0</v>
      </c>
      <c r="BG659" cm="1">
        <f t="array" ref="BG659">IF(OR(W659={"NS","NA"},$W617={"NS","NA"}),0,IF(W659&lt;=$W617,0,1))</f>
        <v>0</v>
      </c>
      <c r="BH659" cm="1">
        <f t="array" ref="BH659">IF(OR(X659={"NS","NA"},$AA617={"NS","NA"}),0,IF(X659&lt;=$AA617,0,1))</f>
        <v>0</v>
      </c>
      <c r="BI659" cm="1">
        <f t="array" ref="BI659">IF(OR(Y659={"NS","NA"},$S617={"NS","NA"}),0,IF(Y659&lt;=$S617,0,1))</f>
        <v>0</v>
      </c>
      <c r="BJ659" cm="1">
        <f t="array" ref="BJ659">IF(OR(Z659={"NS","NA"},$W617={"NS","NA"}),0,IF(Z659&lt;=$W617,0,1))</f>
        <v>0</v>
      </c>
      <c r="BK659" cm="1">
        <f t="array" ref="BK659">IF(OR(AA659={"NS","NA"},$AA617={"NS","NA"}),0,IF(AA659&lt;=$AA617,0,1))</f>
        <v>0</v>
      </c>
      <c r="BL659" cm="1">
        <f t="array" ref="BL659">IF(OR(AB659={"NS","NA"},$S617={"NS","NA"}),0,IF(AB659&lt;=$S617,0,1))</f>
        <v>0</v>
      </c>
      <c r="BM659" cm="1">
        <f t="array" ref="BM659">IF(OR(AC659={"NS","NA"},$W617={"NS","NA"}),0,IF(AC659&lt;=$W617,0,1))</f>
        <v>0</v>
      </c>
      <c r="BN659" cm="1">
        <f t="array" ref="BN659">IF(OR(AD659={"NS","NA"},$AA617={"NS","NA"}),0,IF(AD659&lt;=$AA617,0,1))</f>
        <v>0</v>
      </c>
    </row>
    <row r="660" spans="1:66" ht="15" customHeight="1">
      <c r="A660" s="119"/>
      <c r="C660" s="98" t="s">
        <v>2521</v>
      </c>
      <c r="D660" s="813" t="str">
        <f>IF(CNSIPEE_2024_M2_Secc1!D47="","",CNSIPEE_2024_M2_Secc1!D47)</f>
        <v/>
      </c>
      <c r="E660" s="814"/>
      <c r="F660" s="814"/>
      <c r="G660" s="814"/>
      <c r="H660" s="814"/>
      <c r="I660" s="814"/>
      <c r="J660" s="814"/>
      <c r="K660" s="814"/>
      <c r="L660" s="814"/>
      <c r="M660" s="814"/>
      <c r="N660" s="814"/>
      <c r="O660" s="815"/>
      <c r="P660" s="100"/>
      <c r="Q660" s="100"/>
      <c r="R660" s="100"/>
      <c r="S660" s="100"/>
      <c r="T660" s="100"/>
      <c r="U660" s="100"/>
      <c r="V660" s="100"/>
      <c r="W660" s="100"/>
      <c r="X660" s="100"/>
      <c r="Y660" s="100"/>
      <c r="Z660" s="100"/>
      <c r="AA660" s="100"/>
      <c r="AB660" s="100"/>
      <c r="AC660" s="100"/>
      <c r="AD660" s="100"/>
      <c r="AK660">
        <f t="shared" si="203"/>
        <v>0</v>
      </c>
      <c r="AL660">
        <f t="shared" si="204"/>
        <v>0</v>
      </c>
      <c r="AM660">
        <f t="shared" si="205"/>
        <v>0</v>
      </c>
      <c r="AN660">
        <f t="shared" si="206"/>
        <v>0</v>
      </c>
      <c r="AO660">
        <f t="shared" si="207"/>
        <v>0</v>
      </c>
      <c r="AP660">
        <f t="shared" si="208"/>
        <v>0</v>
      </c>
      <c r="AQ660">
        <f t="shared" si="209"/>
        <v>0</v>
      </c>
      <c r="AR660">
        <f t="shared" si="210"/>
        <v>0</v>
      </c>
      <c r="AS660">
        <f t="shared" si="211"/>
        <v>0</v>
      </c>
      <c r="AT660">
        <f t="shared" si="212"/>
        <v>0</v>
      </c>
      <c r="AU660">
        <f t="shared" si="213"/>
        <v>0</v>
      </c>
      <c r="AV660">
        <f t="shared" si="214"/>
        <v>0</v>
      </c>
      <c r="AW660">
        <f t="shared" si="215"/>
        <v>0</v>
      </c>
      <c r="AX660">
        <f t="shared" si="216"/>
        <v>0</v>
      </c>
      <c r="AY660">
        <f t="shared" si="217"/>
        <v>0</v>
      </c>
      <c r="AZ660" cm="1">
        <f t="array" ref="AZ660">IF(OR(P660={"NS","NA"},$S618={"NS","NA"}),0,IF(P660&lt;=$S618,0,1))</f>
        <v>0</v>
      </c>
      <c r="BA660" cm="1">
        <f t="array" ref="BA660">IF(OR(Q660={"NS","NA"},$W618={"NS","NA"}),0,IF(Q660&lt;=$W618,0,1))</f>
        <v>0</v>
      </c>
      <c r="BB660" cm="1">
        <f t="array" ref="BB660">IF(OR(R660={"NS","NA"},$AA618={"NS","NA"}),0,IF(R660&lt;=$AA618,0,1))</f>
        <v>0</v>
      </c>
      <c r="BC660" cm="1">
        <f t="array" ref="BC660">IF(OR(S660={"NS","NA"},$S618={"NS","NA"}),0,IF(S660&lt;=$S618,0,1))</f>
        <v>0</v>
      </c>
      <c r="BD660" cm="1">
        <f t="array" ref="BD660">IF(OR(T660={"NS","NA"},$W618={"NS","NA"}),0,IF(T660&lt;=$W618,0,1))</f>
        <v>0</v>
      </c>
      <c r="BE660" cm="1">
        <f t="array" ref="BE660">IF(OR(U660={"NS","NA"},$AA618={"NS","NA"}),0,IF(U660&lt;=$AA618,0,1))</f>
        <v>0</v>
      </c>
      <c r="BF660" cm="1">
        <f t="array" ref="BF660">IF(OR(V660={"NS","NA"},$S618={"NS","NA"}),0,IF(V660&lt;=$S618,0,1))</f>
        <v>0</v>
      </c>
      <c r="BG660" cm="1">
        <f t="array" ref="BG660">IF(OR(W660={"NS","NA"},$W618={"NS","NA"}),0,IF(W660&lt;=$W618,0,1))</f>
        <v>0</v>
      </c>
      <c r="BH660" cm="1">
        <f t="array" ref="BH660">IF(OR(X660={"NS","NA"},$AA618={"NS","NA"}),0,IF(X660&lt;=$AA618,0,1))</f>
        <v>0</v>
      </c>
      <c r="BI660" cm="1">
        <f t="array" ref="BI660">IF(OR(Y660={"NS","NA"},$S618={"NS","NA"}),0,IF(Y660&lt;=$S618,0,1))</f>
        <v>0</v>
      </c>
      <c r="BJ660" cm="1">
        <f t="array" ref="BJ660">IF(OR(Z660={"NS","NA"},$W618={"NS","NA"}),0,IF(Z660&lt;=$W618,0,1))</f>
        <v>0</v>
      </c>
      <c r="BK660" cm="1">
        <f t="array" ref="BK660">IF(OR(AA660={"NS","NA"},$AA618={"NS","NA"}),0,IF(AA660&lt;=$AA618,0,1))</f>
        <v>0</v>
      </c>
      <c r="BL660" cm="1">
        <f t="array" ref="BL660">IF(OR(AB660={"NS","NA"},$S618={"NS","NA"}),0,IF(AB660&lt;=$S618,0,1))</f>
        <v>0</v>
      </c>
      <c r="BM660" cm="1">
        <f t="array" ref="BM660">IF(OR(AC660={"NS","NA"},$W618={"NS","NA"}),0,IF(AC660&lt;=$W618,0,1))</f>
        <v>0</v>
      </c>
      <c r="BN660" cm="1">
        <f t="array" ref="BN660">IF(OR(AD660={"NS","NA"},$AA618={"NS","NA"}),0,IF(AD660&lt;=$AA618,0,1))</f>
        <v>0</v>
      </c>
    </row>
    <row r="661" spans="1:66" ht="15" customHeight="1">
      <c r="A661" s="119"/>
      <c r="C661" s="98" t="s">
        <v>2522</v>
      </c>
      <c r="D661" s="813" t="str">
        <f>IF(CNSIPEE_2024_M2_Secc1!D48="","",CNSIPEE_2024_M2_Secc1!D48)</f>
        <v/>
      </c>
      <c r="E661" s="814"/>
      <c r="F661" s="814"/>
      <c r="G661" s="814"/>
      <c r="H661" s="814"/>
      <c r="I661" s="814"/>
      <c r="J661" s="814"/>
      <c r="K661" s="814"/>
      <c r="L661" s="814"/>
      <c r="M661" s="814"/>
      <c r="N661" s="814"/>
      <c r="O661" s="815"/>
      <c r="P661" s="100"/>
      <c r="Q661" s="100"/>
      <c r="R661" s="100"/>
      <c r="S661" s="100"/>
      <c r="T661" s="100"/>
      <c r="U661" s="100"/>
      <c r="V661" s="100"/>
      <c r="W661" s="100"/>
      <c r="X661" s="100"/>
      <c r="Y661" s="100"/>
      <c r="Z661" s="100"/>
      <c r="AA661" s="100"/>
      <c r="AB661" s="100"/>
      <c r="AC661" s="100"/>
      <c r="AD661" s="100"/>
      <c r="AK661">
        <f t="shared" si="203"/>
        <v>0</v>
      </c>
      <c r="AL661">
        <f t="shared" si="204"/>
        <v>0</v>
      </c>
      <c r="AM661">
        <f t="shared" si="205"/>
        <v>0</v>
      </c>
      <c r="AN661">
        <f t="shared" si="206"/>
        <v>0</v>
      </c>
      <c r="AO661">
        <f t="shared" si="207"/>
        <v>0</v>
      </c>
      <c r="AP661">
        <f t="shared" si="208"/>
        <v>0</v>
      </c>
      <c r="AQ661">
        <f t="shared" si="209"/>
        <v>0</v>
      </c>
      <c r="AR661">
        <f t="shared" si="210"/>
        <v>0</v>
      </c>
      <c r="AS661">
        <f t="shared" si="211"/>
        <v>0</v>
      </c>
      <c r="AT661">
        <f t="shared" si="212"/>
        <v>0</v>
      </c>
      <c r="AU661">
        <f t="shared" si="213"/>
        <v>0</v>
      </c>
      <c r="AV661">
        <f t="shared" si="214"/>
        <v>0</v>
      </c>
      <c r="AW661">
        <f t="shared" si="215"/>
        <v>0</v>
      </c>
      <c r="AX661">
        <f t="shared" si="216"/>
        <v>0</v>
      </c>
      <c r="AY661">
        <f t="shared" si="217"/>
        <v>0</v>
      </c>
      <c r="AZ661" cm="1">
        <f t="array" ref="AZ661">IF(OR(P661={"NS","NA"},$S619={"NS","NA"}),0,IF(P661&lt;=$S619,0,1))</f>
        <v>0</v>
      </c>
      <c r="BA661" cm="1">
        <f t="array" ref="BA661">IF(OR(Q661={"NS","NA"},$W619={"NS","NA"}),0,IF(Q661&lt;=$W619,0,1))</f>
        <v>0</v>
      </c>
      <c r="BB661" cm="1">
        <f t="array" ref="BB661">IF(OR(R661={"NS","NA"},$AA619={"NS","NA"}),0,IF(R661&lt;=$AA619,0,1))</f>
        <v>0</v>
      </c>
      <c r="BC661" cm="1">
        <f t="array" ref="BC661">IF(OR(S661={"NS","NA"},$S619={"NS","NA"}),0,IF(S661&lt;=$S619,0,1))</f>
        <v>0</v>
      </c>
      <c r="BD661" cm="1">
        <f t="array" ref="BD661">IF(OR(T661={"NS","NA"},$W619={"NS","NA"}),0,IF(T661&lt;=$W619,0,1))</f>
        <v>0</v>
      </c>
      <c r="BE661" cm="1">
        <f t="array" ref="BE661">IF(OR(U661={"NS","NA"},$AA619={"NS","NA"}),0,IF(U661&lt;=$AA619,0,1))</f>
        <v>0</v>
      </c>
      <c r="BF661" cm="1">
        <f t="array" ref="BF661">IF(OR(V661={"NS","NA"},$S619={"NS","NA"}),0,IF(V661&lt;=$S619,0,1))</f>
        <v>0</v>
      </c>
      <c r="BG661" cm="1">
        <f t="array" ref="BG661">IF(OR(W661={"NS","NA"},$W619={"NS","NA"}),0,IF(W661&lt;=$W619,0,1))</f>
        <v>0</v>
      </c>
      <c r="BH661" cm="1">
        <f t="array" ref="BH661">IF(OR(X661={"NS","NA"},$AA619={"NS","NA"}),0,IF(X661&lt;=$AA619,0,1))</f>
        <v>0</v>
      </c>
      <c r="BI661" cm="1">
        <f t="array" ref="BI661">IF(OR(Y661={"NS","NA"},$S619={"NS","NA"}),0,IF(Y661&lt;=$S619,0,1))</f>
        <v>0</v>
      </c>
      <c r="BJ661" cm="1">
        <f t="array" ref="BJ661">IF(OR(Z661={"NS","NA"},$W619={"NS","NA"}),0,IF(Z661&lt;=$W619,0,1))</f>
        <v>0</v>
      </c>
      <c r="BK661" cm="1">
        <f t="array" ref="BK661">IF(OR(AA661={"NS","NA"},$AA619={"NS","NA"}),0,IF(AA661&lt;=$AA619,0,1))</f>
        <v>0</v>
      </c>
      <c r="BL661" cm="1">
        <f t="array" ref="BL661">IF(OR(AB661={"NS","NA"},$S619={"NS","NA"}),0,IF(AB661&lt;=$S619,0,1))</f>
        <v>0</v>
      </c>
      <c r="BM661" cm="1">
        <f t="array" ref="BM661">IF(OR(AC661={"NS","NA"},$W619={"NS","NA"}),0,IF(AC661&lt;=$W619,0,1))</f>
        <v>0</v>
      </c>
      <c r="BN661" cm="1">
        <f t="array" ref="BN661">IF(OR(AD661={"NS","NA"},$AA619={"NS","NA"}),0,IF(AD661&lt;=$AA619,0,1))</f>
        <v>0</v>
      </c>
    </row>
    <row r="662" spans="1:66" ht="15" customHeight="1">
      <c r="A662" s="119"/>
      <c r="C662" s="98" t="s">
        <v>2523</v>
      </c>
      <c r="D662" s="813" t="str">
        <f>IF(CNSIPEE_2024_M2_Secc1!D49="","",CNSIPEE_2024_M2_Secc1!D49)</f>
        <v/>
      </c>
      <c r="E662" s="814"/>
      <c r="F662" s="814"/>
      <c r="G662" s="814"/>
      <c r="H662" s="814"/>
      <c r="I662" s="814"/>
      <c r="J662" s="814"/>
      <c r="K662" s="814"/>
      <c r="L662" s="814"/>
      <c r="M662" s="814"/>
      <c r="N662" s="814"/>
      <c r="O662" s="815"/>
      <c r="P662" s="100"/>
      <c r="Q662" s="100"/>
      <c r="R662" s="100"/>
      <c r="S662" s="100"/>
      <c r="T662" s="100"/>
      <c r="U662" s="100"/>
      <c r="V662" s="100"/>
      <c r="W662" s="100"/>
      <c r="X662" s="100"/>
      <c r="Y662" s="100"/>
      <c r="Z662" s="100"/>
      <c r="AA662" s="100"/>
      <c r="AB662" s="100"/>
      <c r="AC662" s="100"/>
      <c r="AD662" s="100"/>
      <c r="AK662">
        <f t="shared" si="203"/>
        <v>0</v>
      </c>
      <c r="AL662">
        <f t="shared" si="204"/>
        <v>0</v>
      </c>
      <c r="AM662">
        <f t="shared" si="205"/>
        <v>0</v>
      </c>
      <c r="AN662">
        <f t="shared" si="206"/>
        <v>0</v>
      </c>
      <c r="AO662">
        <f t="shared" si="207"/>
        <v>0</v>
      </c>
      <c r="AP662">
        <f t="shared" si="208"/>
        <v>0</v>
      </c>
      <c r="AQ662">
        <f t="shared" si="209"/>
        <v>0</v>
      </c>
      <c r="AR662">
        <f t="shared" si="210"/>
        <v>0</v>
      </c>
      <c r="AS662">
        <f t="shared" si="211"/>
        <v>0</v>
      </c>
      <c r="AT662">
        <f t="shared" si="212"/>
        <v>0</v>
      </c>
      <c r="AU662">
        <f t="shared" si="213"/>
        <v>0</v>
      </c>
      <c r="AV662">
        <f t="shared" si="214"/>
        <v>0</v>
      </c>
      <c r="AW662">
        <f t="shared" si="215"/>
        <v>0</v>
      </c>
      <c r="AX662">
        <f t="shared" si="216"/>
        <v>0</v>
      </c>
      <c r="AY662">
        <f t="shared" si="217"/>
        <v>0</v>
      </c>
      <c r="AZ662" cm="1">
        <f t="array" ref="AZ662">IF(OR(P662={"NS","NA"},$S620={"NS","NA"}),0,IF(P662&lt;=$S620,0,1))</f>
        <v>0</v>
      </c>
      <c r="BA662" cm="1">
        <f t="array" ref="BA662">IF(OR(Q662={"NS","NA"},$W620={"NS","NA"}),0,IF(Q662&lt;=$W620,0,1))</f>
        <v>0</v>
      </c>
      <c r="BB662" cm="1">
        <f t="array" ref="BB662">IF(OR(R662={"NS","NA"},$AA620={"NS","NA"}),0,IF(R662&lt;=$AA620,0,1))</f>
        <v>0</v>
      </c>
      <c r="BC662" cm="1">
        <f t="array" ref="BC662">IF(OR(S662={"NS","NA"},$S620={"NS","NA"}),0,IF(S662&lt;=$S620,0,1))</f>
        <v>0</v>
      </c>
      <c r="BD662" cm="1">
        <f t="array" ref="BD662">IF(OR(T662={"NS","NA"},$W620={"NS","NA"}),0,IF(T662&lt;=$W620,0,1))</f>
        <v>0</v>
      </c>
      <c r="BE662" cm="1">
        <f t="array" ref="BE662">IF(OR(U662={"NS","NA"},$AA620={"NS","NA"}),0,IF(U662&lt;=$AA620,0,1))</f>
        <v>0</v>
      </c>
      <c r="BF662" cm="1">
        <f t="array" ref="BF662">IF(OR(V662={"NS","NA"},$S620={"NS","NA"}),0,IF(V662&lt;=$S620,0,1))</f>
        <v>0</v>
      </c>
      <c r="BG662" cm="1">
        <f t="array" ref="BG662">IF(OR(W662={"NS","NA"},$W620={"NS","NA"}),0,IF(W662&lt;=$W620,0,1))</f>
        <v>0</v>
      </c>
      <c r="BH662" cm="1">
        <f t="array" ref="BH662">IF(OR(X662={"NS","NA"},$AA620={"NS","NA"}),0,IF(X662&lt;=$AA620,0,1))</f>
        <v>0</v>
      </c>
      <c r="BI662" cm="1">
        <f t="array" ref="BI662">IF(OR(Y662={"NS","NA"},$S620={"NS","NA"}),0,IF(Y662&lt;=$S620,0,1))</f>
        <v>0</v>
      </c>
      <c r="BJ662" cm="1">
        <f t="array" ref="BJ662">IF(OR(Z662={"NS","NA"},$W620={"NS","NA"}),0,IF(Z662&lt;=$W620,0,1))</f>
        <v>0</v>
      </c>
      <c r="BK662" cm="1">
        <f t="array" ref="BK662">IF(OR(AA662={"NS","NA"},$AA620={"NS","NA"}),0,IF(AA662&lt;=$AA620,0,1))</f>
        <v>0</v>
      </c>
      <c r="BL662" cm="1">
        <f t="array" ref="BL662">IF(OR(AB662={"NS","NA"},$S620={"NS","NA"}),0,IF(AB662&lt;=$S620,0,1))</f>
        <v>0</v>
      </c>
      <c r="BM662" cm="1">
        <f t="array" ref="BM662">IF(OR(AC662={"NS","NA"},$W620={"NS","NA"}),0,IF(AC662&lt;=$W620,0,1))</f>
        <v>0</v>
      </c>
      <c r="BN662" cm="1">
        <f t="array" ref="BN662">IF(OR(AD662={"NS","NA"},$AA620={"NS","NA"}),0,IF(AD662&lt;=$AA620,0,1))</f>
        <v>0</v>
      </c>
    </row>
    <row r="663" spans="1:66" ht="15" customHeight="1">
      <c r="A663" s="119"/>
      <c r="P663" s="124">
        <f t="shared" ref="P663:AD663" si="218">IF(AND(SUM(P655:P662)=0,COUNTIF(P655:P662,"NS")&gt;0),"NS",IF(AND(SUM(P655:P662)=0,COUNTIF(P655:P662,0)&gt;0),0,IF(AND(SUM(P655:P662)=0,COUNTIF(P655:P662,"NA")&gt;0),"NA",SUM(P655:P662))))</f>
        <v>0</v>
      </c>
      <c r="Q663" s="124">
        <f t="shared" si="218"/>
        <v>0</v>
      </c>
      <c r="R663" s="124">
        <f t="shared" si="218"/>
        <v>0</v>
      </c>
      <c r="S663" s="124">
        <f t="shared" si="218"/>
        <v>0</v>
      </c>
      <c r="T663" s="124">
        <f t="shared" si="218"/>
        <v>0</v>
      </c>
      <c r="U663" s="124">
        <f t="shared" si="218"/>
        <v>0</v>
      </c>
      <c r="V663" s="124">
        <f t="shared" si="218"/>
        <v>0</v>
      </c>
      <c r="W663" s="124">
        <f t="shared" si="218"/>
        <v>0</v>
      </c>
      <c r="X663" s="124">
        <f t="shared" si="218"/>
        <v>0</v>
      </c>
      <c r="Y663" s="124">
        <f t="shared" si="218"/>
        <v>0</v>
      </c>
      <c r="Z663" s="124">
        <f t="shared" si="218"/>
        <v>0</v>
      </c>
      <c r="AA663" s="124">
        <f t="shared" si="218"/>
        <v>0</v>
      </c>
      <c r="AB663" s="124">
        <f t="shared" si="218"/>
        <v>0</v>
      </c>
      <c r="AC663" s="124">
        <f t="shared" si="218"/>
        <v>0</v>
      </c>
      <c r="AD663" s="124">
        <f t="shared" si="218"/>
        <v>0</v>
      </c>
      <c r="AK663">
        <f>SUM(AK655:AK662)</f>
        <v>0</v>
      </c>
      <c r="AM663">
        <f>SUM(AM655:AM662)</f>
        <v>0</v>
      </c>
      <c r="AN663">
        <f>SUM(AN655:AN662)</f>
        <v>0</v>
      </c>
      <c r="AP663">
        <f>SUM(AP655:AP662)</f>
        <v>0</v>
      </c>
      <c r="AQ663">
        <f>SUM(AQ655:AQ662)</f>
        <v>0</v>
      </c>
      <c r="AS663">
        <f>SUM(AS655:AS662)</f>
        <v>0</v>
      </c>
      <c r="AT663">
        <f>SUM(AT655:AT662)</f>
        <v>0</v>
      </c>
      <c r="AV663">
        <f>SUM(AV655:AV662)</f>
        <v>0</v>
      </c>
      <c r="AW663">
        <f>SUM(AW655:AW662)</f>
        <v>0</v>
      </c>
      <c r="AY663">
        <f>SUM(AY655:AY662)</f>
        <v>0</v>
      </c>
      <c r="BN663" s="693">
        <f>SUM(AZ655:BN662)</f>
        <v>0</v>
      </c>
    </row>
    <row r="664" spans="1:66" ht="15" customHeight="1">
      <c r="A664" s="50"/>
      <c r="B664" s="57"/>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c r="AA664" s="38"/>
      <c r="AB664" s="38"/>
      <c r="AC664" s="38"/>
      <c r="AD664" s="38"/>
      <c r="AG664" s="57"/>
      <c r="AH664" s="57"/>
      <c r="AI664" s="57"/>
      <c r="AJ664" s="57"/>
      <c r="AK664" t="s">
        <v>2650</v>
      </c>
      <c r="AL664" s="405">
        <f>SUM(AM663,AP663,AS663,AV663,AY663)</f>
        <v>0</v>
      </c>
      <c r="AM664" t="s">
        <v>2651</v>
      </c>
      <c r="AN664">
        <f>SUM(AK663,AN663,AQ663,AT663,AW663)</f>
        <v>0</v>
      </c>
      <c r="AO664" s="57"/>
      <c r="AP664" s="57"/>
      <c r="AQ664" s="57"/>
      <c r="AR664" s="57"/>
      <c r="AS664" s="57"/>
      <c r="AT664" s="57"/>
      <c r="AU664" s="57"/>
      <c r="AV664" s="57"/>
      <c r="AW664" s="57"/>
      <c r="AX664" s="57"/>
      <c r="AY664" s="57"/>
      <c r="AZ664" s="57"/>
      <c r="BA664" s="57"/>
      <c r="BB664" s="57"/>
      <c r="BC664" s="57"/>
      <c r="BD664" s="57"/>
      <c r="BE664" s="57"/>
      <c r="BF664" s="57"/>
      <c r="BG664" s="57"/>
      <c r="BH664" s="57"/>
      <c r="BI664" s="57"/>
      <c r="BJ664" s="57"/>
      <c r="BK664" s="57"/>
      <c r="BL664" s="57"/>
      <c r="BM664" s="57"/>
      <c r="BN664" s="507">
        <f>SUM(BN663,BK649)</f>
        <v>0</v>
      </c>
    </row>
    <row r="665" spans="1:66" ht="45" customHeight="1">
      <c r="A665" s="119"/>
      <c r="C665" s="822" t="s">
        <v>2798</v>
      </c>
      <c r="D665" s="822"/>
      <c r="E665" s="822"/>
      <c r="F665" s="749"/>
      <c r="G665" s="749"/>
      <c r="H665" s="749"/>
      <c r="I665" s="749"/>
      <c r="J665" s="749"/>
      <c r="K665" s="749"/>
      <c r="L665" s="749"/>
      <c r="M665" s="749"/>
      <c r="N665" s="749"/>
      <c r="O665" s="749"/>
      <c r="P665" s="749"/>
      <c r="Q665" s="749"/>
      <c r="R665" s="749"/>
      <c r="S665" s="749"/>
      <c r="T665" s="749"/>
      <c r="U665" s="749"/>
      <c r="V665" s="749"/>
      <c r="W665" s="749"/>
      <c r="X665" s="749"/>
      <c r="Y665" s="749"/>
      <c r="Z665" s="749"/>
      <c r="AA665" s="749"/>
      <c r="AB665" s="749"/>
      <c r="AC665" s="749"/>
      <c r="AD665" s="749"/>
      <c r="AK665" t="s">
        <v>2652</v>
      </c>
      <c r="AL665">
        <f>IF(AN664&gt;0,IF(SUM(P663)&gt;=SUM(S663,V663,Y663,AB663),0,1),IF(SUM(P663)&lt;&gt;SUM(S663,V663,Y663,AB663),1,0))</f>
        <v>0</v>
      </c>
      <c r="AM665" t="s">
        <v>2653</v>
      </c>
      <c r="AN665">
        <f>IF(AN664&gt;0,IF(SUM(Q663)&gt;=SUM(T663,W663,Z663,AC663),0,1),IF(SUM(Q663)&lt;&gt;SUM(T663,W663,Z663,AC663),1,0))</f>
        <v>0</v>
      </c>
      <c r="AO665" t="s">
        <v>2654</v>
      </c>
      <c r="AP665">
        <f>IF(AN664&gt;0,IF(SUM(R663)&gt;=SUM(U663,X663,AA663,AD663),0,1),IF(SUM(R663)&lt;&gt;SUM(U663,X663,AA663,AD663),1,0))</f>
        <v>0</v>
      </c>
    </row>
    <row r="666" spans="1:66">
      <c r="A666" s="217"/>
      <c r="B666" s="794" t="str">
        <f>IF(AND(Y663&gt;0,Y663&lt;&gt;"NA",Y663&lt;&gt;"NS",F665=""),"Debido a que registró un número mayor a cero en el apartado Otro tipo, debe anotar el n. de dicho(s) tipo(s) de sanción(es) disciplinaria(s)","")</f>
        <v/>
      </c>
      <c r="C666" s="794"/>
      <c r="D666" s="794"/>
      <c r="E666" s="794"/>
      <c r="F666" s="794"/>
      <c r="G666" s="794"/>
      <c r="H666" s="794"/>
      <c r="I666" s="794"/>
      <c r="J666" s="794"/>
      <c r="K666" s="794"/>
      <c r="L666" s="794"/>
      <c r="M666" s="794"/>
      <c r="N666" s="794"/>
      <c r="O666" s="794"/>
      <c r="P666" s="794"/>
      <c r="Q666" s="794"/>
      <c r="R666" s="794"/>
      <c r="S666" s="794"/>
      <c r="T666" s="794"/>
      <c r="U666" s="794"/>
      <c r="V666" s="794"/>
      <c r="W666" s="794"/>
      <c r="X666" s="794"/>
      <c r="Y666" s="794"/>
      <c r="Z666" s="794"/>
      <c r="AA666" s="794"/>
      <c r="AB666" s="794"/>
      <c r="AC666" s="794"/>
      <c r="AD666" s="794"/>
      <c r="AE666" s="794"/>
      <c r="AK666" t="s">
        <v>5218</v>
      </c>
      <c r="AL666" s="506">
        <f>SUM(AL664,AL650)</f>
        <v>0</v>
      </c>
      <c r="AM666" t="s">
        <v>5219</v>
      </c>
      <c r="AN666">
        <f>SUM(AN664,AN650)</f>
        <v>0</v>
      </c>
    </row>
    <row r="667" spans="1:66" ht="24" customHeight="1">
      <c r="A667" s="50"/>
      <c r="B667" s="38"/>
      <c r="C667" s="754" t="s">
        <v>2611</v>
      </c>
      <c r="D667" s="754"/>
      <c r="E667" s="754"/>
      <c r="F667" s="754"/>
      <c r="G667" s="754"/>
      <c r="H667" s="754"/>
      <c r="I667" s="754"/>
      <c r="J667" s="754"/>
      <c r="K667" s="754"/>
      <c r="L667" s="754"/>
      <c r="M667" s="754"/>
      <c r="N667" s="754"/>
      <c r="O667" s="754"/>
      <c r="P667" s="754"/>
      <c r="Q667" s="754"/>
      <c r="R667" s="754"/>
      <c r="S667" s="754"/>
      <c r="T667" s="754"/>
      <c r="U667" s="754"/>
      <c r="V667" s="754"/>
      <c r="W667" s="754"/>
      <c r="X667" s="754"/>
      <c r="Y667" s="754"/>
      <c r="Z667" s="754"/>
      <c r="AA667" s="754"/>
      <c r="AB667" s="754"/>
      <c r="AC667" s="754"/>
      <c r="AD667" s="754"/>
      <c r="AK667" t="s">
        <v>5220</v>
      </c>
      <c r="AL667">
        <f>IF(AN666&gt;0,IF(SUM(S649)&gt;=SUM(V649,Y649,AB649,P663,S663,V663,Y663,AB663),0,1),IF(SUM(S649)&lt;&gt;SUM(V649,Y649,AB649,P663,S663,V663,Y663,AB663),1,0))</f>
        <v>0</v>
      </c>
      <c r="AM667" t="s">
        <v>5221</v>
      </c>
      <c r="AN667">
        <f>IF(AN666&gt;0,IF(SUM(T649)&gt;=SUM(W649,Z649,AC649,Q663,T663,W663,Z663,AC663),0,1),IF(SUM(T649)&lt;&gt;SUM(W649,Z649,AC649,Q663,T663,W663,Z663,AC663),1,0))</f>
        <v>0</v>
      </c>
      <c r="AO667" t="s">
        <v>5222</v>
      </c>
      <c r="AP667">
        <f>IF(AN666&gt;0,IF(SUM(U649)&gt;=SUM(X649,AA649,AD649,R663,U663,X663,AA663,AD663),0,1),IF(SUM(U649)&lt;&gt;SUM(X649,AA649,AD649,R663,U663,X663,AA663,AD663),1,0))</f>
        <v>0</v>
      </c>
    </row>
    <row r="668" spans="1:66" ht="60" customHeight="1">
      <c r="A668" s="50"/>
      <c r="B668" s="38"/>
      <c r="C668" s="851"/>
      <c r="D668" s="851"/>
      <c r="E668" s="851"/>
      <c r="F668" s="851"/>
      <c r="G668" s="851"/>
      <c r="H668" s="851"/>
      <c r="I668" s="851"/>
      <c r="J668" s="851"/>
      <c r="K668" s="851"/>
      <c r="L668" s="851"/>
      <c r="M668" s="851"/>
      <c r="N668" s="851"/>
      <c r="O668" s="851"/>
      <c r="P668" s="851"/>
      <c r="Q668" s="851"/>
      <c r="R668" s="851"/>
      <c r="S668" s="851"/>
      <c r="T668" s="851"/>
      <c r="U668" s="851"/>
      <c r="V668" s="851"/>
      <c r="W668" s="851"/>
      <c r="X668" s="851"/>
      <c r="Y668" s="851"/>
      <c r="Z668" s="851"/>
      <c r="AA668" s="851"/>
      <c r="AB668" s="851"/>
      <c r="AC668" s="851"/>
      <c r="AD668" s="851"/>
    </row>
    <row r="669" spans="1:66">
      <c r="A669" s="217"/>
      <c r="B669" s="794" t="str">
        <f>IF(AF649=0,"","Favor de ingresar toda la información requerida en la pregunta")</f>
        <v/>
      </c>
      <c r="C669" s="794"/>
      <c r="D669" s="794"/>
      <c r="E669" s="794"/>
      <c r="F669" s="794"/>
      <c r="G669" s="794"/>
      <c r="H669" s="794"/>
      <c r="I669" s="794"/>
      <c r="J669" s="794"/>
      <c r="K669" s="794"/>
      <c r="L669" s="794"/>
      <c r="M669" s="794"/>
      <c r="N669" s="794"/>
      <c r="O669" s="794"/>
      <c r="P669" s="794"/>
      <c r="Q669" s="794"/>
      <c r="R669" s="794"/>
      <c r="S669" s="794"/>
      <c r="T669" s="794"/>
      <c r="U669" s="794"/>
      <c r="V669" s="794"/>
      <c r="W669" s="794"/>
      <c r="X669" s="794"/>
      <c r="Y669" s="794"/>
      <c r="Z669" s="794"/>
      <c r="AA669" s="794"/>
      <c r="AB669" s="794"/>
      <c r="AC669" s="794"/>
      <c r="AD669" s="794"/>
      <c r="AE669" s="794"/>
    </row>
    <row r="670" spans="1:66">
      <c r="A670" s="217"/>
      <c r="B670" s="1087" t="str">
        <f>IF(SUM(COUNTIF(P641:AD648,"NS"),COUNTIF(P655:AD662,"NS"))&lt;&gt;0,"Alerta: debido a que cuenta con registros NS, debe proporcionar una justificación en el area de comentarios al final de la pregunta","")</f>
        <v/>
      </c>
      <c r="C670" s="1087"/>
      <c r="D670" s="1087"/>
      <c r="E670" s="1087"/>
      <c r="F670" s="1087"/>
      <c r="G670" s="1087"/>
      <c r="H670" s="1087"/>
      <c r="I670" s="1087"/>
      <c r="J670" s="1087"/>
      <c r="K670" s="1087"/>
      <c r="L670" s="1087"/>
      <c r="M670" s="1087"/>
      <c r="N670" s="1087"/>
      <c r="O670" s="1087"/>
      <c r="P670" s="1087"/>
      <c r="Q670" s="1087"/>
      <c r="R670" s="1087"/>
      <c r="S670" s="1087"/>
      <c r="T670" s="1087"/>
      <c r="U670" s="1087"/>
      <c r="V670" s="1087"/>
      <c r="W670" s="1087"/>
      <c r="X670" s="1087"/>
      <c r="Y670" s="1087"/>
      <c r="Z670" s="1087"/>
      <c r="AA670" s="1087"/>
      <c r="AB670" s="1087"/>
      <c r="AC670" s="1087"/>
      <c r="AD670" s="1087"/>
      <c r="AE670" s="1087"/>
    </row>
    <row r="671" spans="1:66">
      <c r="A671" s="217"/>
      <c r="B671" s="1003" t="str">
        <f>IF(AG649&gt;0,"Revise la información capturada, ya que tiene datos ingresados en celdas que están sombreadas","")</f>
        <v/>
      </c>
      <c r="C671" s="1003"/>
      <c r="D671" s="1003"/>
      <c r="E671" s="1003"/>
      <c r="F671" s="1003"/>
      <c r="G671" s="1003"/>
      <c r="H671" s="1003"/>
      <c r="I671" s="1003"/>
      <c r="J671" s="1003"/>
      <c r="K671" s="1003"/>
      <c r="L671" s="1003"/>
      <c r="M671" s="1003"/>
      <c r="N671" s="1003"/>
      <c r="O671" s="1003"/>
      <c r="P671" s="1003"/>
      <c r="Q671" s="1003"/>
      <c r="R671" s="1003"/>
      <c r="S671" s="1003"/>
      <c r="T671" s="1003"/>
      <c r="U671" s="1003"/>
      <c r="V671" s="1003"/>
      <c r="W671" s="1003"/>
      <c r="X671" s="1003"/>
      <c r="Y671" s="1003"/>
      <c r="Z671" s="1003"/>
      <c r="AA671" s="1003"/>
      <c r="AB671" s="1003"/>
      <c r="AC671" s="1003"/>
      <c r="AD671" s="1003"/>
      <c r="AE671" s="1003"/>
    </row>
    <row r="672" spans="1:66">
      <c r="A672" s="217"/>
      <c r="B672" s="1003" t="str">
        <f>IF(AL666&gt;0,"Favor de revisar la suma y consistencia de totales y/o subtotales por filas (numéricos y NS)","")</f>
        <v/>
      </c>
      <c r="C672" s="1003"/>
      <c r="D672" s="1003"/>
      <c r="E672" s="1003"/>
      <c r="F672" s="1003"/>
      <c r="G672" s="1003"/>
      <c r="H672" s="1003"/>
      <c r="I672" s="1003"/>
      <c r="J672" s="1003"/>
      <c r="K672" s="1003"/>
      <c r="L672" s="1003"/>
      <c r="M672" s="1003"/>
      <c r="N672" s="1003"/>
      <c r="O672" s="1003"/>
      <c r="P672" s="1003"/>
      <c r="Q672" s="1003"/>
      <c r="R672" s="1003"/>
      <c r="S672" s="1003"/>
      <c r="T672" s="1003"/>
      <c r="U672" s="1003"/>
      <c r="V672" s="1003"/>
      <c r="W672" s="1003"/>
      <c r="X672" s="1003"/>
      <c r="Y672" s="1003"/>
      <c r="Z672" s="1003"/>
      <c r="AA672" s="1003"/>
      <c r="AB672" s="1003"/>
      <c r="AC672" s="1003"/>
      <c r="AD672" s="1003"/>
      <c r="AE672" s="1003"/>
    </row>
    <row r="673" spans="1:75">
      <c r="A673" s="217"/>
      <c r="B673" s="794" t="str">
        <f>IF(AY649&gt;0,"Favor de revisar la instrucción 2, debido a que no se cumplen con los criterios mencionados","")</f>
        <v/>
      </c>
      <c r="C673" s="794"/>
      <c r="D673" s="794"/>
      <c r="E673" s="794"/>
      <c r="F673" s="794"/>
      <c r="G673" s="794"/>
      <c r="H673" s="794"/>
      <c r="I673" s="794"/>
      <c r="J673" s="794"/>
      <c r="K673" s="794"/>
      <c r="L673" s="794"/>
      <c r="M673" s="794"/>
      <c r="N673" s="794"/>
      <c r="O673" s="794"/>
      <c r="P673" s="794"/>
      <c r="Q673" s="794"/>
      <c r="R673" s="794"/>
      <c r="S673" s="794"/>
      <c r="T673" s="794"/>
      <c r="U673" s="794"/>
      <c r="V673" s="794"/>
      <c r="W673" s="794"/>
      <c r="X673" s="794"/>
      <c r="Y673" s="794"/>
      <c r="Z673" s="794"/>
      <c r="AA673" s="794"/>
      <c r="AB673" s="794"/>
      <c r="AC673" s="794"/>
      <c r="AD673" s="794"/>
      <c r="AE673" s="794"/>
    </row>
    <row r="674" spans="1:75">
      <c r="A674" s="217"/>
      <c r="B674" s="795" t="str">
        <f>IF(BN664&gt;0,"Alerta: debe de proporcionar una justificación de acuerdo a lo establecido en la instrucción 3","")</f>
        <v/>
      </c>
      <c r="C674" s="795"/>
      <c r="D674" s="795"/>
      <c r="E674" s="795"/>
      <c r="F674" s="795"/>
      <c r="G674" s="795"/>
      <c r="H674" s="795"/>
      <c r="I674" s="795"/>
      <c r="J674" s="795"/>
      <c r="K674" s="795"/>
      <c r="L674" s="795"/>
      <c r="M674" s="795"/>
      <c r="N674" s="795"/>
      <c r="O674" s="795"/>
      <c r="P674" s="795"/>
      <c r="Q674" s="795"/>
      <c r="R674" s="795"/>
      <c r="S674" s="795"/>
      <c r="T674" s="795"/>
      <c r="U674" s="795"/>
      <c r="V674" s="795"/>
      <c r="W674" s="795"/>
      <c r="X674" s="795"/>
      <c r="Y674" s="795"/>
      <c r="Z674" s="795"/>
      <c r="AA674" s="795"/>
      <c r="AB674" s="795"/>
      <c r="AC674" s="795"/>
      <c r="AD674" s="795"/>
      <c r="AE674" s="795"/>
    </row>
    <row r="675" spans="1:75" ht="36" customHeight="1">
      <c r="A675" s="49" t="s">
        <v>6274</v>
      </c>
      <c r="B675" s="829" t="s">
        <v>6275</v>
      </c>
      <c r="C675" s="829"/>
      <c r="D675" s="829"/>
      <c r="E675" s="829"/>
      <c r="F675" s="829"/>
      <c r="G675" s="829"/>
      <c r="H675" s="829"/>
      <c r="I675" s="829"/>
      <c r="J675" s="829"/>
      <c r="K675" s="829"/>
      <c r="L675" s="829"/>
      <c r="M675" s="829"/>
      <c r="N675" s="829"/>
      <c r="O675" s="829"/>
      <c r="P675" s="829"/>
      <c r="Q675" s="829"/>
      <c r="R675" s="829"/>
      <c r="S675" s="829"/>
      <c r="T675" s="829"/>
      <c r="U675" s="829"/>
      <c r="V675" s="829"/>
      <c r="W675" s="829"/>
      <c r="X675" s="829"/>
      <c r="Y675" s="829"/>
      <c r="Z675" s="829"/>
      <c r="AA675" s="829"/>
      <c r="AB675" s="829"/>
      <c r="AC675" s="829"/>
      <c r="AD675" s="829"/>
    </row>
    <row r="676" spans="1:75" ht="36" customHeight="1">
      <c r="A676" s="50"/>
      <c r="B676" s="38"/>
      <c r="C676" s="830" t="s">
        <v>6276</v>
      </c>
      <c r="D676" s="830"/>
      <c r="E676" s="830"/>
      <c r="F676" s="830"/>
      <c r="G676" s="830"/>
      <c r="H676" s="830"/>
      <c r="I676" s="830"/>
      <c r="J676" s="830"/>
      <c r="K676" s="830"/>
      <c r="L676" s="830"/>
      <c r="M676" s="830"/>
      <c r="N676" s="830"/>
      <c r="O676" s="830"/>
      <c r="P676" s="830"/>
      <c r="Q676" s="830"/>
      <c r="R676" s="830"/>
      <c r="S676" s="830"/>
      <c r="T676" s="830"/>
      <c r="U676" s="830"/>
      <c r="V676" s="830"/>
      <c r="W676" s="830"/>
      <c r="X676" s="830"/>
      <c r="Y676" s="830"/>
      <c r="Z676" s="830"/>
      <c r="AA676" s="830"/>
      <c r="AB676" s="830"/>
      <c r="AC676" s="830"/>
      <c r="AD676" s="830"/>
    </row>
    <row r="677" spans="1:75" ht="36" customHeight="1">
      <c r="A677" s="49"/>
      <c r="B677" s="670"/>
      <c r="C677" s="830" t="s">
        <v>6277</v>
      </c>
      <c r="D677" s="830"/>
      <c r="E677" s="830"/>
      <c r="F677" s="830"/>
      <c r="G677" s="830"/>
      <c r="H677" s="830"/>
      <c r="I677" s="830"/>
      <c r="J677" s="830"/>
      <c r="K677" s="830"/>
      <c r="L677" s="830"/>
      <c r="M677" s="830"/>
      <c r="N677" s="830"/>
      <c r="O677" s="830"/>
      <c r="P677" s="830"/>
      <c r="Q677" s="830"/>
      <c r="R677" s="830"/>
      <c r="S677" s="830"/>
      <c r="T677" s="830"/>
      <c r="U677" s="830"/>
      <c r="V677" s="830"/>
      <c r="W677" s="830"/>
      <c r="X677" s="830"/>
      <c r="Y677" s="830"/>
      <c r="Z677" s="830"/>
      <c r="AA677" s="830"/>
      <c r="AB677" s="830"/>
      <c r="AC677" s="830"/>
      <c r="AD677" s="830"/>
    </row>
    <row r="678" spans="1:75" ht="36" customHeight="1">
      <c r="A678" s="49"/>
      <c r="B678" s="38"/>
      <c r="C678" s="754" t="s">
        <v>6278</v>
      </c>
      <c r="D678" s="754"/>
      <c r="E678" s="754"/>
      <c r="F678" s="754"/>
      <c r="G678" s="754"/>
      <c r="H678" s="754"/>
      <c r="I678" s="754"/>
      <c r="J678" s="754"/>
      <c r="K678" s="754"/>
      <c r="L678" s="754"/>
      <c r="M678" s="754"/>
      <c r="N678" s="754"/>
      <c r="O678" s="754"/>
      <c r="P678" s="754"/>
      <c r="Q678" s="754"/>
      <c r="R678" s="754"/>
      <c r="S678" s="754"/>
      <c r="T678" s="754"/>
      <c r="U678" s="754"/>
      <c r="V678" s="754"/>
      <c r="W678" s="754"/>
      <c r="X678" s="754"/>
      <c r="Y678" s="754"/>
      <c r="Z678" s="754"/>
      <c r="AA678" s="754"/>
      <c r="AB678" s="754"/>
      <c r="AC678" s="754"/>
      <c r="AD678" s="754"/>
    </row>
    <row r="679" spans="1:75" ht="24" customHeight="1">
      <c r="A679" s="49"/>
      <c r="B679" s="670"/>
      <c r="C679" s="754" t="s">
        <v>6279</v>
      </c>
      <c r="D679" s="754"/>
      <c r="E679" s="754"/>
      <c r="F679" s="754"/>
      <c r="G679" s="754"/>
      <c r="H679" s="754"/>
      <c r="I679" s="754"/>
      <c r="J679" s="754"/>
      <c r="K679" s="754"/>
      <c r="L679" s="754"/>
      <c r="M679" s="754"/>
      <c r="N679" s="754"/>
      <c r="O679" s="754"/>
      <c r="P679" s="754"/>
      <c r="Q679" s="754"/>
      <c r="R679" s="754"/>
      <c r="S679" s="754"/>
      <c r="T679" s="754"/>
      <c r="U679" s="754"/>
      <c r="V679" s="754"/>
      <c r="W679" s="754"/>
      <c r="X679" s="754"/>
      <c r="Y679" s="754"/>
      <c r="Z679" s="754"/>
      <c r="AA679" s="754"/>
      <c r="AB679" s="754"/>
      <c r="AC679" s="754"/>
      <c r="AD679" s="754"/>
    </row>
    <row r="680" spans="1:75" ht="15" customHeight="1">
      <c r="A680" s="49"/>
      <c r="B680" s="670"/>
      <c r="C680" s="75"/>
      <c r="D680" s="75"/>
      <c r="E680" s="75"/>
      <c r="F680" s="75"/>
      <c r="G680" s="75"/>
      <c r="H680" s="75"/>
      <c r="I680" s="75"/>
      <c r="J680" s="75"/>
      <c r="K680" s="75"/>
      <c r="L680" s="75"/>
      <c r="M680" s="75"/>
      <c r="N680" s="75"/>
      <c r="O680" s="75"/>
      <c r="P680" s="75"/>
      <c r="Q680" s="75"/>
      <c r="R680" s="75"/>
      <c r="S680" s="75"/>
      <c r="T680" s="75"/>
      <c r="U680" s="75"/>
      <c r="V680" s="75"/>
      <c r="W680" s="75"/>
      <c r="X680" s="75"/>
      <c r="Y680" s="75"/>
      <c r="Z680" s="75"/>
      <c r="AA680" s="75"/>
      <c r="AB680" s="75"/>
      <c r="AC680" s="75"/>
      <c r="AD680" s="75"/>
    </row>
    <row r="681" spans="1:75">
      <c r="AA681" s="875" t="s">
        <v>3205</v>
      </c>
      <c r="AB681" s="875"/>
      <c r="AC681" s="875"/>
      <c r="AD681" s="875"/>
    </row>
    <row r="682" spans="1:75" ht="24" customHeight="1">
      <c r="A682" s="210"/>
      <c r="B682" s="38"/>
      <c r="C682" s="732" t="s">
        <v>2581</v>
      </c>
      <c r="D682" s="732"/>
      <c r="E682" s="732"/>
      <c r="F682" s="732"/>
      <c r="G682" s="732"/>
      <c r="H682" s="732"/>
      <c r="I682" s="732"/>
      <c r="J682" s="732"/>
      <c r="K682" s="732"/>
      <c r="L682" s="732"/>
      <c r="M682" s="732" t="s">
        <v>6280</v>
      </c>
      <c r="N682" s="732"/>
      <c r="O682" s="732"/>
      <c r="P682" s="732"/>
      <c r="Q682" s="732"/>
      <c r="R682" s="732"/>
      <c r="S682" s="732"/>
      <c r="T682" s="732"/>
      <c r="U682" s="732"/>
      <c r="V682" s="732"/>
      <c r="W682" s="732"/>
      <c r="X682" s="732"/>
      <c r="Y682" s="732"/>
      <c r="Z682" s="732"/>
      <c r="AA682" s="732"/>
      <c r="AB682" s="732"/>
      <c r="AC682" s="732"/>
      <c r="AD682" s="732"/>
    </row>
    <row r="683" spans="1:75" ht="228" customHeight="1">
      <c r="A683" s="210"/>
      <c r="B683" s="38"/>
      <c r="C683" s="732"/>
      <c r="D683" s="732"/>
      <c r="E683" s="732"/>
      <c r="F683" s="732"/>
      <c r="G683" s="732"/>
      <c r="H683" s="732"/>
      <c r="I683" s="732"/>
      <c r="J683" s="732"/>
      <c r="K683" s="732"/>
      <c r="L683" s="732"/>
      <c r="M683" s="874" t="s">
        <v>2628</v>
      </c>
      <c r="N683" s="857" t="s">
        <v>2629</v>
      </c>
      <c r="O683" s="857" t="s">
        <v>2630</v>
      </c>
      <c r="P683" s="857" t="s">
        <v>6281</v>
      </c>
      <c r="Q683" s="857"/>
      <c r="R683" s="857"/>
      <c r="S683" s="857" t="s">
        <v>6282</v>
      </c>
      <c r="T683" s="857"/>
      <c r="U683" s="857"/>
      <c r="V683" s="857" t="s">
        <v>6283</v>
      </c>
      <c r="W683" s="857"/>
      <c r="X683" s="857"/>
      <c r="Y683" s="857" t="s">
        <v>6284</v>
      </c>
      <c r="Z683" s="857"/>
      <c r="AA683" s="857"/>
      <c r="AB683" s="857" t="s">
        <v>6285</v>
      </c>
      <c r="AC683" s="857"/>
      <c r="AD683" s="857"/>
    </row>
    <row r="684" spans="1:75" ht="48" customHeight="1">
      <c r="A684" s="210"/>
      <c r="B684" s="38"/>
      <c r="C684" s="732"/>
      <c r="D684" s="732"/>
      <c r="E684" s="732"/>
      <c r="F684" s="732"/>
      <c r="G684" s="732"/>
      <c r="H684" s="732"/>
      <c r="I684" s="732"/>
      <c r="J684" s="732"/>
      <c r="K684" s="732"/>
      <c r="L684" s="732"/>
      <c r="M684" s="874"/>
      <c r="N684" s="857"/>
      <c r="O684" s="857"/>
      <c r="P684" s="127" t="s">
        <v>2635</v>
      </c>
      <c r="Q684" s="128" t="s">
        <v>2629</v>
      </c>
      <c r="R684" s="128" t="s">
        <v>2630</v>
      </c>
      <c r="S684" s="127" t="s">
        <v>2635</v>
      </c>
      <c r="T684" s="128" t="s">
        <v>2629</v>
      </c>
      <c r="U684" s="128" t="s">
        <v>2630</v>
      </c>
      <c r="V684" s="127" t="s">
        <v>2635</v>
      </c>
      <c r="W684" s="128" t="s">
        <v>2629</v>
      </c>
      <c r="X684" s="128" t="s">
        <v>2630</v>
      </c>
      <c r="Y684" s="127" t="s">
        <v>2635</v>
      </c>
      <c r="Z684" s="128" t="s">
        <v>2629</v>
      </c>
      <c r="AA684" s="128" t="s">
        <v>2630</v>
      </c>
      <c r="AB684" s="127" t="s">
        <v>2635</v>
      </c>
      <c r="AC684" s="128" t="s">
        <v>2629</v>
      </c>
      <c r="AD684" s="128" t="s">
        <v>2630</v>
      </c>
      <c r="AG684" s="38" t="s">
        <v>2586</v>
      </c>
      <c r="AH684" s="38" t="s">
        <v>5940</v>
      </c>
      <c r="AI684" t="s">
        <v>4573</v>
      </c>
      <c r="AJ684" t="s">
        <v>2638</v>
      </c>
      <c r="AK684" t="s">
        <v>2639</v>
      </c>
      <c r="AL684" t="s">
        <v>4574</v>
      </c>
      <c r="AM684" t="s">
        <v>2641</v>
      </c>
      <c r="AN684" t="s">
        <v>2642</v>
      </c>
      <c r="AO684" t="s">
        <v>4575</v>
      </c>
      <c r="AP684" t="s">
        <v>2644</v>
      </c>
      <c r="AQ684" t="s">
        <v>2645</v>
      </c>
      <c r="AR684" t="s">
        <v>4576</v>
      </c>
      <c r="AS684" t="s">
        <v>2647</v>
      </c>
      <c r="AT684" t="s">
        <v>2648</v>
      </c>
      <c r="AU684" t="s">
        <v>5177</v>
      </c>
      <c r="AV684" t="s">
        <v>2757</v>
      </c>
      <c r="AW684" t="s">
        <v>2758</v>
      </c>
      <c r="AX684" t="s">
        <v>5194</v>
      </c>
      <c r="AY684" t="s">
        <v>2760</v>
      </c>
      <c r="AZ684" t="s">
        <v>2761</v>
      </c>
      <c r="BA684" t="s">
        <v>5291</v>
      </c>
      <c r="BB684"/>
      <c r="BC684"/>
      <c r="BD684" t="s">
        <v>5290</v>
      </c>
      <c r="BE684"/>
      <c r="BF684"/>
      <c r="BG684"/>
      <c r="BH684"/>
      <c r="BI684"/>
      <c r="BJ684"/>
      <c r="BK684"/>
      <c r="BL684"/>
      <c r="BM684"/>
      <c r="BN684"/>
      <c r="BO684"/>
      <c r="BP684"/>
      <c r="BQ684"/>
      <c r="BR684"/>
      <c r="BS684"/>
      <c r="BT684"/>
      <c r="BU684"/>
      <c r="BV684"/>
      <c r="BW684"/>
    </row>
    <row r="685" spans="1:75" ht="15" customHeight="1">
      <c r="A685" s="210"/>
      <c r="B685" s="38"/>
      <c r="C685" s="97" t="s">
        <v>2516</v>
      </c>
      <c r="D685" s="796" t="str">
        <f>IF(CNSIPEE_2024_M2_Secc1!D42="","",CNSIPEE_2024_M2_Secc1!D42)</f>
        <v/>
      </c>
      <c r="E685" s="796"/>
      <c r="F685" s="796"/>
      <c r="G685" s="796"/>
      <c r="H685" s="796"/>
      <c r="I685" s="796"/>
      <c r="J685" s="796"/>
      <c r="K685" s="796"/>
      <c r="L685" s="796"/>
      <c r="M685" s="100"/>
      <c r="N685" s="100"/>
      <c r="O685" s="100"/>
      <c r="P685" s="100"/>
      <c r="Q685" s="100"/>
      <c r="R685" s="100"/>
      <c r="S685" s="100"/>
      <c r="T685" s="100"/>
      <c r="U685" s="100"/>
      <c r="V685" s="100"/>
      <c r="W685" s="100"/>
      <c r="X685" s="100"/>
      <c r="Y685" s="100"/>
      <c r="Z685" s="100"/>
      <c r="AA685" s="100"/>
      <c r="AB685" s="100"/>
      <c r="AC685" s="100"/>
      <c r="AD685" s="100"/>
      <c r="AG685" s="38">
        <f>IF(SUM(COUNTBLANK(D685:AD685),COUNTBLANK(G699:AD699),COUNTBLANK(G713:AD713))=75,0,IF(D685="",1,IF(M613&lt;&gt;1,0,IF(AND(COUNTA(M685:AD685,G699:AD699,G713:AD713)=66,M613=1),0,1))))</f>
        <v>0</v>
      </c>
      <c r="AH685" s="38">
        <f>IF($M613&lt;&gt;1,IF(COUNTA(M685:AD685,G699:AD699,G713:AD713)=0,0,1),0)</f>
        <v>0</v>
      </c>
      <c r="AI685">
        <f>COUNTIF(N685:O685,"NS")</f>
        <v>0</v>
      </c>
      <c r="AJ685">
        <f>SUM(N685:O685)</f>
        <v>0</v>
      </c>
      <c r="AK685">
        <f>IF(COUNTIF(M685:O685,"NA")=3,0,IF(COUNTA(M685:O685)=0,0,IF(OR(AND(M685=0,AI685&gt;0),AND(M685="ns",AJ685&gt;0),AND(M685="ns",AI685=0,AJ685=0)),1,IF(OR(AND(M685&gt;0,AI685=2),AND(M685="ns",AI685=2),AND(M685="ns",AJ685=0,AI685&gt;0),M685=AJ685),0,1))))</f>
        <v>0</v>
      </c>
      <c r="AL685">
        <f t="shared" ref="AL685" si="219">COUNTIF(Q685:R685,"NS")</f>
        <v>0</v>
      </c>
      <c r="AM685">
        <f t="shared" ref="AM685" si="220">SUM(Q685:R685)</f>
        <v>0</v>
      </c>
      <c r="AN685">
        <f t="shared" ref="AN685" si="221">IF(COUNTIF(P685:R685,"NA")=3,0,IF(COUNTA(P685:R685)=0,0,IF(OR(AND(P685=0,AL685&gt;0),AND(P685="ns",AM685&gt;0),AND(P685="ns",AL685=0,AM685=0)),1,IF(OR(AND(P685&gt;0,AL685=2),AND(P685="ns",AL685=2),AND(P685="ns",AM685=0,AL685&gt;0),P685=AM685),0,1))))</f>
        <v>0</v>
      </c>
      <c r="AO685">
        <f t="shared" ref="AO685" si="222">COUNTIF(T685:U685,"NS")</f>
        <v>0</v>
      </c>
      <c r="AP685">
        <f t="shared" ref="AP685" si="223">SUM(T685:U685)</f>
        <v>0</v>
      </c>
      <c r="AQ685">
        <f t="shared" ref="AQ685" si="224">IF(COUNTIF(S685:U685,"NA")=3,0,IF(COUNTA(S685:U685)=0,0,IF(OR(AND(S685=0,AO685&gt;0),AND(S685="ns",AP685&gt;0),AND(S685="ns",AO685=0,AP685=0)),1,IF(OR(AND(S685&gt;0,AO685=2),AND(S685="ns",AO685=2),AND(S685="ns",AP685=0,AO685&gt;0),S685=AP685),0,1))))</f>
        <v>0</v>
      </c>
      <c r="AR685">
        <f t="shared" ref="AR685" si="225">COUNTIF(W685:X685,"NS")</f>
        <v>0</v>
      </c>
      <c r="AS685">
        <f t="shared" ref="AS685" si="226">SUM(W685:X685)</f>
        <v>0</v>
      </c>
      <c r="AT685">
        <f t="shared" ref="AT685" si="227">IF(COUNTIF(V685:X685,"NA")=3,0,IF(COUNTA(V685:X685)=0,0,IF(OR(AND(V685=0,AR685&gt;0),AND(V685="ns",AS685&gt;0),AND(V685="ns",AR685=0,AS685=0)),1,IF(OR(AND(V685&gt;0,AR685=2),AND(V685="ns",AR685=2),AND(V685="ns",AS685=0,AR685&gt;0),V685=AS685),0,1))))</f>
        <v>0</v>
      </c>
      <c r="AU685">
        <f t="shared" ref="AU685" si="228">COUNTIF(Z685:AA685,"NS")</f>
        <v>0</v>
      </c>
      <c r="AV685">
        <f t="shared" ref="AV685" si="229">SUM(Z685:AA685)</f>
        <v>0</v>
      </c>
      <c r="AW685">
        <f t="shared" ref="AW685" si="230">IF(COUNTIF(Y685:AA685,"NA")=3,0,IF(COUNTA(Y685:AA685)=0,0,IF(OR(AND(Y685=0,AU685&gt;0),AND(Y685="ns",AV685&gt;0),AND(Y685="ns",AU685=0,AV685=0)),1,IF(OR(AND(Y685&gt;0,AU685=2),AND(Y685="ns",AU685=2),AND(Y685="ns",AV685=0,AU685&gt;0),Y685=AV685),0,1))))</f>
        <v>0</v>
      </c>
      <c r="AX685">
        <f t="shared" ref="AX685" si="231">COUNTIF(AC685:AD685,"NS")</f>
        <v>0</v>
      </c>
      <c r="AY685">
        <f t="shared" ref="AY685" si="232">SUM(AC685:AD685)</f>
        <v>0</v>
      </c>
      <c r="AZ685">
        <f t="shared" ref="AZ685" si="233">IF(COUNTIF(AB685:AD685,"NA")=3,0,IF(COUNTA(AB685:AD685)=0,0,IF(OR(AND(AB685=0,AX685&gt;0),AND(AB685="ns",AY685&gt;0),AND(AB685="ns",AX685=0,AY685=0)),1,IF(OR(AND(AB685&gt;0,AX685=2),AND(AB685="ns",AX685=2),AND(AB685="ns",AY685=0,AX685&gt;0),AB685=AY685),0,1))))</f>
        <v>0</v>
      </c>
      <c r="BA685" cm="1">
        <f t="array" ref="BA685">IF(OR(M685={"NS","NA"},S613={"NS","NA"}),0,IF(M685&gt;=S613,0,1))</f>
        <v>0</v>
      </c>
      <c r="BB685" cm="1">
        <f t="array" ref="BB685">IF(OR(N685={"NS","NA"},W613={"NS","NA"}),0,IF(N685&gt;=W613,0,1))</f>
        <v>0</v>
      </c>
      <c r="BC685" cm="1">
        <f t="array" ref="BC685">IF(OR(O685={"NS","NA"},AA613={"NS","NA"}),0,IF(O685&gt;=AA613,0,1))</f>
        <v>0</v>
      </c>
      <c r="BD685" cm="1">
        <f t="array" ref="BD685">IF(OR(P685={"NS","NA"},$S613={"NS","NA"}),0,IF(P685&lt;=$S613,0,1))</f>
        <v>0</v>
      </c>
      <c r="BE685" cm="1">
        <f t="array" ref="BE685">IF(OR(Q685={"NS","NA"},$W613={"NS","NA"}),0,IF(Q685&lt;=$W613,0,1))</f>
        <v>0</v>
      </c>
      <c r="BF685" cm="1">
        <f t="array" ref="BF685">IF(OR(R685={"NS","NA"},$AA613={"NS","NA"}),0,IF(R685&lt;=$AA613,0,1))</f>
        <v>0</v>
      </c>
      <c r="BG685" cm="1">
        <f t="array" ref="BG685">IF(OR(S685={"NS","NA"},$S613={"NS","NA"}),0,IF(S685&lt;=$S613,0,1))</f>
        <v>0</v>
      </c>
      <c r="BH685" cm="1">
        <f t="array" ref="BH685">IF(OR(T685={"NS","NA"},$W613={"NS","NA"}),0,IF(T685&lt;=$W613,0,1))</f>
        <v>0</v>
      </c>
      <c r="BI685" cm="1">
        <f t="array" ref="BI685">IF(OR(U685={"NS","NA"},$AA613={"NS","NA"}),0,IF(U685&lt;=$AA613,0,1))</f>
        <v>0</v>
      </c>
      <c r="BJ685" cm="1">
        <f t="array" ref="BJ685">IF(OR(V685={"NS","NA"},$S613={"NS","NA"}),0,IF(V685&lt;=$S613,0,1))</f>
        <v>0</v>
      </c>
      <c r="BK685" cm="1">
        <f t="array" ref="BK685">IF(OR(W685={"NS","NA"},$W613={"NS","NA"}),0,IF(W685&lt;=$W613,0,1))</f>
        <v>0</v>
      </c>
      <c r="BL685" cm="1">
        <f t="array" ref="BL685">IF(OR(X685={"NS","NA"},$AA613={"NS","NA"}),0,IF(X685&lt;=$AA613,0,1))</f>
        <v>0</v>
      </c>
      <c r="BM685" cm="1">
        <f t="array" ref="BM685">IF(OR(Y685={"NS","NA"},$S613={"NS","NA"}),0,IF(Y685&lt;=$S613,0,1))</f>
        <v>0</v>
      </c>
      <c r="BN685" cm="1">
        <f t="array" ref="BN685">IF(OR(Z685={"NS","NA"},$W613={"NS","NA"}),0,IF(Z685&lt;=$W613,0,1))</f>
        <v>0</v>
      </c>
      <c r="BO685" cm="1">
        <f t="array" ref="BO685">IF(OR(AA685={"NS","NA"},$AA613={"NS","NA"}),0,IF(AA685&lt;=$AA613,0,1))</f>
        <v>0</v>
      </c>
      <c r="BP685" cm="1">
        <f t="array" ref="BP685">IF(OR(AB685={"NS","NA"},$S613={"NS","NA"}),0,IF(AB685&lt;=$S613,0,1))</f>
        <v>0</v>
      </c>
      <c r="BQ685" cm="1">
        <f t="array" ref="BQ685">IF(OR(AC685={"NS","NA"},$W613={"NS","NA"}),0,IF(AC685&lt;=$W613,0,1))</f>
        <v>0</v>
      </c>
      <c r="BR685" cm="1">
        <f t="array" ref="BR685">IF(OR(AD685={"NS","NA"},$AA613={"NS","NA"}),0,IF(AD685&lt;=$AA613,0,1))</f>
        <v>0</v>
      </c>
      <c r="BS685"/>
      <c r="BT685"/>
      <c r="BU685"/>
      <c r="BV685"/>
      <c r="BW685"/>
    </row>
    <row r="686" spans="1:75" ht="15" customHeight="1">
      <c r="A686" s="210"/>
      <c r="B686" s="38"/>
      <c r="C686" s="143" t="s">
        <v>2517</v>
      </c>
      <c r="D686" s="796" t="str">
        <f>IF(CNSIPEE_2024_M2_Secc1!D43="","",CNSIPEE_2024_M2_Secc1!D43)</f>
        <v/>
      </c>
      <c r="E686" s="796"/>
      <c r="F686" s="796"/>
      <c r="G686" s="796"/>
      <c r="H686" s="796"/>
      <c r="I686" s="796"/>
      <c r="J686" s="796"/>
      <c r="K686" s="796"/>
      <c r="L686" s="796"/>
      <c r="M686" s="100"/>
      <c r="N686" s="100"/>
      <c r="O686" s="100"/>
      <c r="P686" s="100"/>
      <c r="Q686" s="100"/>
      <c r="R686" s="100"/>
      <c r="S686" s="100"/>
      <c r="T686" s="100"/>
      <c r="U686" s="100"/>
      <c r="V686" s="100"/>
      <c r="W686" s="100"/>
      <c r="X686" s="100"/>
      <c r="Y686" s="100"/>
      <c r="Z686" s="100"/>
      <c r="AA686" s="100"/>
      <c r="AB686" s="100"/>
      <c r="AC686" s="100"/>
      <c r="AD686" s="100"/>
      <c r="AG686" s="38">
        <f t="shared" ref="AG686:AG691" si="234">IF(SUM(COUNTBLANK(D686:AD686),COUNTBLANK(G700:AD700),COUNTBLANK(G714:AD714))=75,0,IF(D686="",1,IF(M614&lt;&gt;1,0,IF(AND(COUNTA(M686:AD686,G700:AD700,G714:AD714)=66,M614=1),0,1))))</f>
        <v>0</v>
      </c>
      <c r="AH686" s="38">
        <f t="shared" ref="AH686:AH691" si="235">IF($M614&lt;&gt;1,IF(COUNTA(M686:AD686,G700:AD700,G714:AD714)=0,0,1),0)</f>
        <v>0</v>
      </c>
      <c r="AI686">
        <f t="shared" ref="AI686:AI692" si="236">COUNTIF(N686:O686,"NS")</f>
        <v>0</v>
      </c>
      <c r="AJ686">
        <f t="shared" ref="AJ686:AJ692" si="237">SUM(N686:O686)</f>
        <v>0</v>
      </c>
      <c r="AK686">
        <f t="shared" ref="AK686:AK692" si="238">IF(COUNTIF(M686:O686,"NA")=3,0,IF(COUNTA(M686:O686)=0,0,IF(OR(AND(M686=0,AI686&gt;0),AND(M686="ns",AJ686&gt;0),AND(M686="ns",AI686=0,AJ686=0)),1,IF(OR(AND(M686&gt;0,AI686=2),AND(M686="ns",AI686=2),AND(M686="ns",AJ686=0,AI686&gt;0),M686=AJ686),0,1))))</f>
        <v>0</v>
      </c>
      <c r="AL686">
        <f t="shared" ref="AL686:AL692" si="239">COUNTIF(Q686:R686,"NS")</f>
        <v>0</v>
      </c>
      <c r="AM686">
        <f t="shared" ref="AM686:AM692" si="240">SUM(Q686:R686)</f>
        <v>0</v>
      </c>
      <c r="AN686">
        <f t="shared" ref="AN686:AN692" si="241">IF(COUNTIF(P686:R686,"NA")=3,0,IF(COUNTA(P686:R686)=0,0,IF(OR(AND(P686=0,AL686&gt;0),AND(P686="ns",AM686&gt;0),AND(P686="ns",AL686=0,AM686=0)),1,IF(OR(AND(P686&gt;0,AL686=2),AND(P686="ns",AL686=2),AND(P686="ns",AM686=0,AL686&gt;0),P686=AM686),0,1))))</f>
        <v>0</v>
      </c>
      <c r="AO686">
        <f t="shared" ref="AO686:AO692" si="242">COUNTIF(T686:U686,"NS")</f>
        <v>0</v>
      </c>
      <c r="AP686">
        <f t="shared" ref="AP686:AP692" si="243">SUM(T686:U686)</f>
        <v>0</v>
      </c>
      <c r="AQ686">
        <f t="shared" ref="AQ686:AQ692" si="244">IF(COUNTIF(S686:U686,"NA")=3,0,IF(COUNTA(S686:U686)=0,0,IF(OR(AND(S686=0,AO686&gt;0),AND(S686="ns",AP686&gt;0),AND(S686="ns",AO686=0,AP686=0)),1,IF(OR(AND(S686&gt;0,AO686=2),AND(S686="ns",AO686=2),AND(S686="ns",AP686=0,AO686&gt;0),S686=AP686),0,1))))</f>
        <v>0</v>
      </c>
      <c r="AR686">
        <f t="shared" ref="AR686:AR692" si="245">COUNTIF(W686:X686,"NS")</f>
        <v>0</v>
      </c>
      <c r="AS686">
        <f t="shared" ref="AS686:AS692" si="246">SUM(W686:X686)</f>
        <v>0</v>
      </c>
      <c r="AT686">
        <f t="shared" ref="AT686:AT692" si="247">IF(COUNTIF(V686:X686,"NA")=3,0,IF(COUNTA(V686:X686)=0,0,IF(OR(AND(V686=0,AR686&gt;0),AND(V686="ns",AS686&gt;0),AND(V686="ns",AR686=0,AS686=0)),1,IF(OR(AND(V686&gt;0,AR686=2),AND(V686="ns",AR686=2),AND(V686="ns",AS686=0,AR686&gt;0),V686=AS686),0,1))))</f>
        <v>0</v>
      </c>
      <c r="AU686">
        <f t="shared" ref="AU686:AU692" si="248">COUNTIF(Z686:AA686,"NS")</f>
        <v>0</v>
      </c>
      <c r="AV686">
        <f t="shared" ref="AV686:AV692" si="249">SUM(Z686:AA686)</f>
        <v>0</v>
      </c>
      <c r="AW686">
        <f t="shared" ref="AW686:AW692" si="250">IF(COUNTIF(Y686:AA686,"NA")=3,0,IF(COUNTA(Y686:AA686)=0,0,IF(OR(AND(Y686=0,AU686&gt;0),AND(Y686="ns",AV686&gt;0),AND(Y686="ns",AU686=0,AV686=0)),1,IF(OR(AND(Y686&gt;0,AU686=2),AND(Y686="ns",AU686=2),AND(Y686="ns",AV686=0,AU686&gt;0),Y686=AV686),0,1))))</f>
        <v>0</v>
      </c>
      <c r="AX686">
        <f t="shared" ref="AX686:AX692" si="251">COUNTIF(AC686:AD686,"NS")</f>
        <v>0</v>
      </c>
      <c r="AY686">
        <f t="shared" ref="AY686:AY692" si="252">SUM(AC686:AD686)</f>
        <v>0</v>
      </c>
      <c r="AZ686">
        <f t="shared" ref="AZ686:AZ692" si="253">IF(COUNTIF(AB686:AD686,"NA")=3,0,IF(COUNTA(AB686:AD686)=0,0,IF(OR(AND(AB686=0,AX686&gt;0),AND(AB686="ns",AY686&gt;0),AND(AB686="ns",AX686=0,AY686=0)),1,IF(OR(AND(AB686&gt;0,AX686=2),AND(AB686="ns",AX686=2),AND(AB686="ns",AY686=0,AX686&gt;0),AB686=AY686),0,1))))</f>
        <v>0</v>
      </c>
      <c r="BA686" cm="1">
        <f t="array" ref="BA686">IF(OR(M686={"NS","NA"},S614={"NS","NA"}),0,IF(M686&gt;=S614,0,1))</f>
        <v>0</v>
      </c>
      <c r="BB686" cm="1">
        <f t="array" ref="BB686">IF(OR(N686={"NS","NA"},W614={"NS","NA"}),0,IF(N686&gt;=W614,0,1))</f>
        <v>0</v>
      </c>
      <c r="BC686" cm="1">
        <f t="array" ref="BC686">IF(OR(O686={"NS","NA"},AA614={"NS","NA"}),0,IF(O686&gt;=AA614,0,1))</f>
        <v>0</v>
      </c>
      <c r="BD686" cm="1">
        <f t="array" ref="BD686">IF(OR(P686={"NS","NA"},$S614={"NS","NA"}),0,IF(P686&lt;=$S614,0,1))</f>
        <v>0</v>
      </c>
      <c r="BE686" cm="1">
        <f t="array" ref="BE686">IF(OR(Q686={"NS","NA"},$W614={"NS","NA"}),0,IF(Q686&lt;=$W614,0,1))</f>
        <v>0</v>
      </c>
      <c r="BF686" cm="1">
        <f t="array" ref="BF686">IF(OR(R686={"NS","NA"},$AA614={"NS","NA"}),0,IF(R686&lt;=$AA614,0,1))</f>
        <v>0</v>
      </c>
      <c r="BG686" cm="1">
        <f t="array" ref="BG686">IF(OR(S686={"NS","NA"},$S614={"NS","NA"}),0,IF(S686&lt;=$S614,0,1))</f>
        <v>0</v>
      </c>
      <c r="BH686" cm="1">
        <f t="array" ref="BH686">IF(OR(T686={"NS","NA"},$W614={"NS","NA"}),0,IF(T686&lt;=$W614,0,1))</f>
        <v>0</v>
      </c>
      <c r="BI686" cm="1">
        <f t="array" ref="BI686">IF(OR(U686={"NS","NA"},$AA614={"NS","NA"}),0,IF(U686&lt;=$AA614,0,1))</f>
        <v>0</v>
      </c>
      <c r="BJ686" cm="1">
        <f t="array" ref="BJ686">IF(OR(V686={"NS","NA"},$S614={"NS","NA"}),0,IF(V686&lt;=$S614,0,1))</f>
        <v>0</v>
      </c>
      <c r="BK686" cm="1">
        <f t="array" ref="BK686">IF(OR(W686={"NS","NA"},$W614={"NS","NA"}),0,IF(W686&lt;=$W614,0,1))</f>
        <v>0</v>
      </c>
      <c r="BL686" cm="1">
        <f t="array" ref="BL686">IF(OR(X686={"NS","NA"},$AA614={"NS","NA"}),0,IF(X686&lt;=$AA614,0,1))</f>
        <v>0</v>
      </c>
      <c r="BM686" cm="1">
        <f t="array" ref="BM686">IF(OR(Y686={"NS","NA"},$S614={"NS","NA"}),0,IF(Y686&lt;=$S614,0,1))</f>
        <v>0</v>
      </c>
      <c r="BN686" cm="1">
        <f t="array" ref="BN686">IF(OR(Z686={"NS","NA"},$W614={"NS","NA"}),0,IF(Z686&lt;=$W614,0,1))</f>
        <v>0</v>
      </c>
      <c r="BO686" cm="1">
        <f t="array" ref="BO686">IF(OR(AA686={"NS","NA"},$AA614={"NS","NA"}),0,IF(AA686&lt;=$AA614,0,1))</f>
        <v>0</v>
      </c>
      <c r="BP686" cm="1">
        <f t="array" ref="BP686">IF(OR(AB686={"NS","NA"},$S614={"NS","NA"}),0,IF(AB686&lt;=$S614,0,1))</f>
        <v>0</v>
      </c>
      <c r="BQ686" cm="1">
        <f t="array" ref="BQ686">IF(OR(AC686={"NS","NA"},$W614={"NS","NA"}),0,IF(AC686&lt;=$W614,0,1))</f>
        <v>0</v>
      </c>
      <c r="BR686" cm="1">
        <f t="array" ref="BR686">IF(OR(AD686={"NS","NA"},$AA614={"NS","NA"}),0,IF(AD686&lt;=$AA614,0,1))</f>
        <v>0</v>
      </c>
      <c r="BS686"/>
      <c r="BT686"/>
      <c r="BU686"/>
      <c r="BV686"/>
      <c r="BW686"/>
    </row>
    <row r="687" spans="1:75" ht="15" customHeight="1">
      <c r="A687" s="210"/>
      <c r="B687" s="38"/>
      <c r="C687" s="143" t="s">
        <v>2518</v>
      </c>
      <c r="D687" s="796" t="str">
        <f>IF(CNSIPEE_2024_M2_Secc1!D44="","",CNSIPEE_2024_M2_Secc1!D44)</f>
        <v/>
      </c>
      <c r="E687" s="796"/>
      <c r="F687" s="796"/>
      <c r="G687" s="796"/>
      <c r="H687" s="796"/>
      <c r="I687" s="796"/>
      <c r="J687" s="796"/>
      <c r="K687" s="796"/>
      <c r="L687" s="796"/>
      <c r="M687" s="100"/>
      <c r="N687" s="100"/>
      <c r="O687" s="100"/>
      <c r="P687" s="100"/>
      <c r="Q687" s="100"/>
      <c r="R687" s="100"/>
      <c r="S687" s="100"/>
      <c r="T687" s="100"/>
      <c r="U687" s="100"/>
      <c r="V687" s="100"/>
      <c r="W687" s="100"/>
      <c r="X687" s="100"/>
      <c r="Y687" s="100"/>
      <c r="Z687" s="100"/>
      <c r="AA687" s="100"/>
      <c r="AB687" s="100"/>
      <c r="AC687" s="100"/>
      <c r="AD687" s="100"/>
      <c r="AG687" s="38">
        <f t="shared" si="234"/>
        <v>0</v>
      </c>
      <c r="AH687" s="38">
        <f t="shared" si="235"/>
        <v>0</v>
      </c>
      <c r="AI687">
        <f t="shared" si="236"/>
        <v>0</v>
      </c>
      <c r="AJ687">
        <f t="shared" si="237"/>
        <v>0</v>
      </c>
      <c r="AK687">
        <f t="shared" si="238"/>
        <v>0</v>
      </c>
      <c r="AL687">
        <f t="shared" si="239"/>
        <v>0</v>
      </c>
      <c r="AM687">
        <f t="shared" si="240"/>
        <v>0</v>
      </c>
      <c r="AN687">
        <f t="shared" si="241"/>
        <v>0</v>
      </c>
      <c r="AO687">
        <f t="shared" si="242"/>
        <v>0</v>
      </c>
      <c r="AP687">
        <f t="shared" si="243"/>
        <v>0</v>
      </c>
      <c r="AQ687">
        <f t="shared" si="244"/>
        <v>0</v>
      </c>
      <c r="AR687">
        <f t="shared" si="245"/>
        <v>0</v>
      </c>
      <c r="AS687">
        <f t="shared" si="246"/>
        <v>0</v>
      </c>
      <c r="AT687">
        <f t="shared" si="247"/>
        <v>0</v>
      </c>
      <c r="AU687">
        <f t="shared" si="248"/>
        <v>0</v>
      </c>
      <c r="AV687">
        <f t="shared" si="249"/>
        <v>0</v>
      </c>
      <c r="AW687">
        <f t="shared" si="250"/>
        <v>0</v>
      </c>
      <c r="AX687">
        <f t="shared" si="251"/>
        <v>0</v>
      </c>
      <c r="AY687">
        <f t="shared" si="252"/>
        <v>0</v>
      </c>
      <c r="AZ687">
        <f t="shared" si="253"/>
        <v>0</v>
      </c>
      <c r="BA687" cm="1">
        <f t="array" ref="BA687">IF(OR(M687={"NS","NA"},S615={"NS","NA"}),0,IF(M687&gt;=S615,0,1))</f>
        <v>0</v>
      </c>
      <c r="BB687" cm="1">
        <f t="array" ref="BB687">IF(OR(N687={"NS","NA"},W615={"NS","NA"}),0,IF(N687&gt;=W615,0,1))</f>
        <v>0</v>
      </c>
      <c r="BC687" cm="1">
        <f t="array" ref="BC687">IF(OR(O687={"NS","NA"},AA615={"NS","NA"}),0,IF(O687&gt;=AA615,0,1))</f>
        <v>0</v>
      </c>
      <c r="BD687" cm="1">
        <f t="array" ref="BD687">IF(OR(P687={"NS","NA"},$S615={"NS","NA"}),0,IF(P687&lt;=$S615,0,1))</f>
        <v>0</v>
      </c>
      <c r="BE687" cm="1">
        <f t="array" ref="BE687">IF(OR(Q687={"NS","NA"},$W615={"NS","NA"}),0,IF(Q687&lt;=$W615,0,1))</f>
        <v>0</v>
      </c>
      <c r="BF687" cm="1">
        <f t="array" ref="BF687">IF(OR(R687={"NS","NA"},$AA615={"NS","NA"}),0,IF(R687&lt;=$AA615,0,1))</f>
        <v>0</v>
      </c>
      <c r="BG687" cm="1">
        <f t="array" ref="BG687">IF(OR(S687={"NS","NA"},$S615={"NS","NA"}),0,IF(S687&lt;=$S615,0,1))</f>
        <v>0</v>
      </c>
      <c r="BH687" cm="1">
        <f t="array" ref="BH687">IF(OR(T687={"NS","NA"},$W615={"NS","NA"}),0,IF(T687&lt;=$W615,0,1))</f>
        <v>0</v>
      </c>
      <c r="BI687" cm="1">
        <f t="array" ref="BI687">IF(OR(U687={"NS","NA"},$AA615={"NS","NA"}),0,IF(U687&lt;=$AA615,0,1))</f>
        <v>0</v>
      </c>
      <c r="BJ687" cm="1">
        <f t="array" ref="BJ687">IF(OR(V687={"NS","NA"},$S615={"NS","NA"}),0,IF(V687&lt;=$S615,0,1))</f>
        <v>0</v>
      </c>
      <c r="BK687" cm="1">
        <f t="array" ref="BK687">IF(OR(W687={"NS","NA"},$W615={"NS","NA"}),0,IF(W687&lt;=$W615,0,1))</f>
        <v>0</v>
      </c>
      <c r="BL687" cm="1">
        <f t="array" ref="BL687">IF(OR(X687={"NS","NA"},$AA615={"NS","NA"}),0,IF(X687&lt;=$AA615,0,1))</f>
        <v>0</v>
      </c>
      <c r="BM687" cm="1">
        <f t="array" ref="BM687">IF(OR(Y687={"NS","NA"},$S615={"NS","NA"}),0,IF(Y687&lt;=$S615,0,1))</f>
        <v>0</v>
      </c>
      <c r="BN687" cm="1">
        <f t="array" ref="BN687">IF(OR(Z687={"NS","NA"},$W615={"NS","NA"}),0,IF(Z687&lt;=$W615,0,1))</f>
        <v>0</v>
      </c>
      <c r="BO687" cm="1">
        <f t="array" ref="BO687">IF(OR(AA687={"NS","NA"},$AA615={"NS","NA"}),0,IF(AA687&lt;=$AA615,0,1))</f>
        <v>0</v>
      </c>
      <c r="BP687" cm="1">
        <f t="array" ref="BP687">IF(OR(AB687={"NS","NA"},$S615={"NS","NA"}),0,IF(AB687&lt;=$S615,0,1))</f>
        <v>0</v>
      </c>
      <c r="BQ687" cm="1">
        <f t="array" ref="BQ687">IF(OR(AC687={"NS","NA"},$W615={"NS","NA"}),0,IF(AC687&lt;=$W615,0,1))</f>
        <v>0</v>
      </c>
      <c r="BR687" cm="1">
        <f t="array" ref="BR687">IF(OR(AD687={"NS","NA"},$AA615={"NS","NA"}),0,IF(AD687&lt;=$AA615,0,1))</f>
        <v>0</v>
      </c>
      <c r="BS687"/>
      <c r="BT687"/>
      <c r="BU687"/>
      <c r="BV687"/>
      <c r="BW687"/>
    </row>
    <row r="688" spans="1:75" ht="15" customHeight="1">
      <c r="A688" s="210"/>
      <c r="B688" s="38"/>
      <c r="C688" s="143" t="s">
        <v>2519</v>
      </c>
      <c r="D688" s="796" t="str">
        <f>IF(CNSIPEE_2024_M2_Secc1!D45="","",CNSIPEE_2024_M2_Secc1!D45)</f>
        <v/>
      </c>
      <c r="E688" s="796"/>
      <c r="F688" s="796"/>
      <c r="G688" s="796"/>
      <c r="H688" s="796"/>
      <c r="I688" s="796"/>
      <c r="J688" s="796"/>
      <c r="K688" s="796"/>
      <c r="L688" s="796"/>
      <c r="M688" s="100"/>
      <c r="N688" s="100"/>
      <c r="O688" s="100"/>
      <c r="P688" s="100"/>
      <c r="Q688" s="100"/>
      <c r="R688" s="100"/>
      <c r="S688" s="100"/>
      <c r="T688" s="100"/>
      <c r="U688" s="100"/>
      <c r="V688" s="100"/>
      <c r="W688" s="100"/>
      <c r="X688" s="100"/>
      <c r="Y688" s="100"/>
      <c r="Z688" s="100"/>
      <c r="AA688" s="100"/>
      <c r="AB688" s="100"/>
      <c r="AC688" s="100"/>
      <c r="AD688" s="100"/>
      <c r="AG688" s="38">
        <f t="shared" si="234"/>
        <v>0</v>
      </c>
      <c r="AH688" s="38">
        <f t="shared" si="235"/>
        <v>0</v>
      </c>
      <c r="AI688">
        <f t="shared" si="236"/>
        <v>0</v>
      </c>
      <c r="AJ688">
        <f t="shared" si="237"/>
        <v>0</v>
      </c>
      <c r="AK688">
        <f t="shared" si="238"/>
        <v>0</v>
      </c>
      <c r="AL688">
        <f t="shared" si="239"/>
        <v>0</v>
      </c>
      <c r="AM688">
        <f t="shared" si="240"/>
        <v>0</v>
      </c>
      <c r="AN688">
        <f t="shared" si="241"/>
        <v>0</v>
      </c>
      <c r="AO688">
        <f t="shared" si="242"/>
        <v>0</v>
      </c>
      <c r="AP688">
        <f t="shared" si="243"/>
        <v>0</v>
      </c>
      <c r="AQ688">
        <f t="shared" si="244"/>
        <v>0</v>
      </c>
      <c r="AR688">
        <f t="shared" si="245"/>
        <v>0</v>
      </c>
      <c r="AS688">
        <f t="shared" si="246"/>
        <v>0</v>
      </c>
      <c r="AT688">
        <f t="shared" si="247"/>
        <v>0</v>
      </c>
      <c r="AU688">
        <f t="shared" si="248"/>
        <v>0</v>
      </c>
      <c r="AV688">
        <f t="shared" si="249"/>
        <v>0</v>
      </c>
      <c r="AW688">
        <f t="shared" si="250"/>
        <v>0</v>
      </c>
      <c r="AX688">
        <f t="shared" si="251"/>
        <v>0</v>
      </c>
      <c r="AY688">
        <f t="shared" si="252"/>
        <v>0</v>
      </c>
      <c r="AZ688">
        <f t="shared" si="253"/>
        <v>0</v>
      </c>
      <c r="BA688" cm="1">
        <f t="array" ref="BA688">IF(OR(M688={"NS","NA"},S616={"NS","NA"}),0,IF(M688&gt;=S616,0,1))</f>
        <v>0</v>
      </c>
      <c r="BB688" cm="1">
        <f t="array" ref="BB688">IF(OR(N688={"NS","NA"},W616={"NS","NA"}),0,IF(N688&gt;=W616,0,1))</f>
        <v>0</v>
      </c>
      <c r="BC688" cm="1">
        <f t="array" ref="BC688">IF(OR(O688={"NS","NA"},AA616={"NS","NA"}),0,IF(O688&gt;=AA616,0,1))</f>
        <v>0</v>
      </c>
      <c r="BD688" cm="1">
        <f t="array" ref="BD688">IF(OR(P688={"NS","NA"},$S616={"NS","NA"}),0,IF(P688&lt;=$S616,0,1))</f>
        <v>0</v>
      </c>
      <c r="BE688" cm="1">
        <f t="array" ref="BE688">IF(OR(Q688={"NS","NA"},$W616={"NS","NA"}),0,IF(Q688&lt;=$W616,0,1))</f>
        <v>0</v>
      </c>
      <c r="BF688" cm="1">
        <f t="array" ref="BF688">IF(OR(R688={"NS","NA"},$AA616={"NS","NA"}),0,IF(R688&lt;=$AA616,0,1))</f>
        <v>0</v>
      </c>
      <c r="BG688" cm="1">
        <f t="array" ref="BG688">IF(OR(S688={"NS","NA"},$S616={"NS","NA"}),0,IF(S688&lt;=$S616,0,1))</f>
        <v>0</v>
      </c>
      <c r="BH688" cm="1">
        <f t="array" ref="BH688">IF(OR(T688={"NS","NA"},$W616={"NS","NA"}),0,IF(T688&lt;=$W616,0,1))</f>
        <v>0</v>
      </c>
      <c r="BI688" cm="1">
        <f t="array" ref="BI688">IF(OR(U688={"NS","NA"},$AA616={"NS","NA"}),0,IF(U688&lt;=$AA616,0,1))</f>
        <v>0</v>
      </c>
      <c r="BJ688" cm="1">
        <f t="array" ref="BJ688">IF(OR(V688={"NS","NA"},$S616={"NS","NA"}),0,IF(V688&lt;=$S616,0,1))</f>
        <v>0</v>
      </c>
      <c r="BK688" cm="1">
        <f t="array" ref="BK688">IF(OR(W688={"NS","NA"},$W616={"NS","NA"}),0,IF(W688&lt;=$W616,0,1))</f>
        <v>0</v>
      </c>
      <c r="BL688" cm="1">
        <f t="array" ref="BL688">IF(OR(X688={"NS","NA"},$AA616={"NS","NA"}),0,IF(X688&lt;=$AA616,0,1))</f>
        <v>0</v>
      </c>
      <c r="BM688" cm="1">
        <f t="array" ref="BM688">IF(OR(Y688={"NS","NA"},$S616={"NS","NA"}),0,IF(Y688&lt;=$S616,0,1))</f>
        <v>0</v>
      </c>
      <c r="BN688" cm="1">
        <f t="array" ref="BN688">IF(OR(Z688={"NS","NA"},$W616={"NS","NA"}),0,IF(Z688&lt;=$W616,0,1))</f>
        <v>0</v>
      </c>
      <c r="BO688" cm="1">
        <f t="array" ref="BO688">IF(OR(AA688={"NS","NA"},$AA616={"NS","NA"}),0,IF(AA688&lt;=$AA616,0,1))</f>
        <v>0</v>
      </c>
      <c r="BP688" cm="1">
        <f t="array" ref="BP688">IF(OR(AB688={"NS","NA"},$S616={"NS","NA"}),0,IF(AB688&lt;=$S616,0,1))</f>
        <v>0</v>
      </c>
      <c r="BQ688" cm="1">
        <f t="array" ref="BQ688">IF(OR(AC688={"NS","NA"},$W616={"NS","NA"}),0,IF(AC688&lt;=$W616,0,1))</f>
        <v>0</v>
      </c>
      <c r="BR688" cm="1">
        <f t="array" ref="BR688">IF(OR(AD688={"NS","NA"},$AA616={"NS","NA"}),0,IF(AD688&lt;=$AA616,0,1))</f>
        <v>0</v>
      </c>
      <c r="BS688"/>
      <c r="BT688"/>
      <c r="BU688"/>
      <c r="BV688"/>
      <c r="BW688"/>
    </row>
    <row r="689" spans="1:81" ht="15" customHeight="1">
      <c r="A689" s="210"/>
      <c r="B689" s="38"/>
      <c r="C689" s="143" t="s">
        <v>2520</v>
      </c>
      <c r="D689" s="796" t="str">
        <f>IF(CNSIPEE_2024_M2_Secc1!D46="","",CNSIPEE_2024_M2_Secc1!D46)</f>
        <v/>
      </c>
      <c r="E689" s="796"/>
      <c r="F689" s="796"/>
      <c r="G689" s="796"/>
      <c r="H689" s="796"/>
      <c r="I689" s="796"/>
      <c r="J689" s="796"/>
      <c r="K689" s="796"/>
      <c r="L689" s="796"/>
      <c r="M689" s="100"/>
      <c r="N689" s="100"/>
      <c r="O689" s="100"/>
      <c r="P689" s="100"/>
      <c r="Q689" s="100"/>
      <c r="R689" s="100"/>
      <c r="S689" s="100"/>
      <c r="T689" s="100"/>
      <c r="U689" s="100"/>
      <c r="V689" s="100"/>
      <c r="W689" s="100"/>
      <c r="X689" s="100"/>
      <c r="Y689" s="100"/>
      <c r="Z689" s="100"/>
      <c r="AA689" s="100"/>
      <c r="AB689" s="100"/>
      <c r="AC689" s="100"/>
      <c r="AD689" s="100"/>
      <c r="AG689" s="38">
        <f t="shared" si="234"/>
        <v>0</v>
      </c>
      <c r="AH689" s="38">
        <f t="shared" si="235"/>
        <v>0</v>
      </c>
      <c r="AI689">
        <f t="shared" si="236"/>
        <v>0</v>
      </c>
      <c r="AJ689">
        <f t="shared" si="237"/>
        <v>0</v>
      </c>
      <c r="AK689">
        <f t="shared" si="238"/>
        <v>0</v>
      </c>
      <c r="AL689">
        <f t="shared" si="239"/>
        <v>0</v>
      </c>
      <c r="AM689">
        <f t="shared" si="240"/>
        <v>0</v>
      </c>
      <c r="AN689">
        <f t="shared" si="241"/>
        <v>0</v>
      </c>
      <c r="AO689">
        <f t="shared" si="242"/>
        <v>0</v>
      </c>
      <c r="AP689">
        <f t="shared" si="243"/>
        <v>0</v>
      </c>
      <c r="AQ689">
        <f t="shared" si="244"/>
        <v>0</v>
      </c>
      <c r="AR689">
        <f t="shared" si="245"/>
        <v>0</v>
      </c>
      <c r="AS689">
        <f t="shared" si="246"/>
        <v>0</v>
      </c>
      <c r="AT689">
        <f t="shared" si="247"/>
        <v>0</v>
      </c>
      <c r="AU689">
        <f t="shared" si="248"/>
        <v>0</v>
      </c>
      <c r="AV689">
        <f t="shared" si="249"/>
        <v>0</v>
      </c>
      <c r="AW689">
        <f t="shared" si="250"/>
        <v>0</v>
      </c>
      <c r="AX689">
        <f t="shared" si="251"/>
        <v>0</v>
      </c>
      <c r="AY689">
        <f t="shared" si="252"/>
        <v>0</v>
      </c>
      <c r="AZ689">
        <f t="shared" si="253"/>
        <v>0</v>
      </c>
      <c r="BA689" cm="1">
        <f t="array" ref="BA689">IF(OR(M689={"NS","NA"},S617={"NS","NA"}),0,IF(M689&gt;=S617,0,1))</f>
        <v>0</v>
      </c>
      <c r="BB689" cm="1">
        <f t="array" ref="BB689">IF(OR(N689={"NS","NA"},W617={"NS","NA"}),0,IF(N689&gt;=W617,0,1))</f>
        <v>0</v>
      </c>
      <c r="BC689" cm="1">
        <f t="array" ref="BC689">IF(OR(O689={"NS","NA"},AA617={"NS","NA"}),0,IF(O689&gt;=AA617,0,1))</f>
        <v>0</v>
      </c>
      <c r="BD689" cm="1">
        <f t="array" ref="BD689">IF(OR(P689={"NS","NA"},$S617={"NS","NA"}),0,IF(P689&lt;=$S617,0,1))</f>
        <v>0</v>
      </c>
      <c r="BE689" cm="1">
        <f t="array" ref="BE689">IF(OR(Q689={"NS","NA"},$W617={"NS","NA"}),0,IF(Q689&lt;=$W617,0,1))</f>
        <v>0</v>
      </c>
      <c r="BF689" cm="1">
        <f t="array" ref="BF689">IF(OR(R689={"NS","NA"},$AA617={"NS","NA"}),0,IF(R689&lt;=$AA617,0,1))</f>
        <v>0</v>
      </c>
      <c r="BG689" cm="1">
        <f t="array" ref="BG689">IF(OR(S689={"NS","NA"},$S617={"NS","NA"}),0,IF(S689&lt;=$S617,0,1))</f>
        <v>0</v>
      </c>
      <c r="BH689" cm="1">
        <f t="array" ref="BH689">IF(OR(T689={"NS","NA"},$W617={"NS","NA"}),0,IF(T689&lt;=$W617,0,1))</f>
        <v>0</v>
      </c>
      <c r="BI689" cm="1">
        <f t="array" ref="BI689">IF(OR(U689={"NS","NA"},$AA617={"NS","NA"}),0,IF(U689&lt;=$AA617,0,1))</f>
        <v>0</v>
      </c>
      <c r="BJ689" cm="1">
        <f t="array" ref="BJ689">IF(OR(V689={"NS","NA"},$S617={"NS","NA"}),0,IF(V689&lt;=$S617,0,1))</f>
        <v>0</v>
      </c>
      <c r="BK689" cm="1">
        <f t="array" ref="BK689">IF(OR(W689={"NS","NA"},$W617={"NS","NA"}),0,IF(W689&lt;=$W617,0,1))</f>
        <v>0</v>
      </c>
      <c r="BL689" cm="1">
        <f t="array" ref="BL689">IF(OR(X689={"NS","NA"},$AA617={"NS","NA"}),0,IF(X689&lt;=$AA617,0,1))</f>
        <v>0</v>
      </c>
      <c r="BM689" cm="1">
        <f t="array" ref="BM689">IF(OR(Y689={"NS","NA"},$S617={"NS","NA"}),0,IF(Y689&lt;=$S617,0,1))</f>
        <v>0</v>
      </c>
      <c r="BN689" cm="1">
        <f t="array" ref="BN689">IF(OR(Z689={"NS","NA"},$W617={"NS","NA"}),0,IF(Z689&lt;=$W617,0,1))</f>
        <v>0</v>
      </c>
      <c r="BO689" cm="1">
        <f t="array" ref="BO689">IF(OR(AA689={"NS","NA"},$AA617={"NS","NA"}),0,IF(AA689&lt;=$AA617,0,1))</f>
        <v>0</v>
      </c>
      <c r="BP689" cm="1">
        <f t="array" ref="BP689">IF(OR(AB689={"NS","NA"},$S617={"NS","NA"}),0,IF(AB689&lt;=$S617,0,1))</f>
        <v>0</v>
      </c>
      <c r="BQ689" cm="1">
        <f t="array" ref="BQ689">IF(OR(AC689={"NS","NA"},$W617={"NS","NA"}),0,IF(AC689&lt;=$W617,0,1))</f>
        <v>0</v>
      </c>
      <c r="BR689" cm="1">
        <f t="array" ref="BR689">IF(OR(AD689={"NS","NA"},$AA617={"NS","NA"}),0,IF(AD689&lt;=$AA617,0,1))</f>
        <v>0</v>
      </c>
      <c r="BS689"/>
      <c r="BT689"/>
      <c r="BU689"/>
      <c r="BV689"/>
      <c r="BW689"/>
    </row>
    <row r="690" spans="1:81" ht="15" customHeight="1">
      <c r="A690" s="210"/>
      <c r="B690" s="38"/>
      <c r="C690" s="143" t="s">
        <v>2521</v>
      </c>
      <c r="D690" s="796" t="str">
        <f>IF(CNSIPEE_2024_M2_Secc1!D47="","",CNSIPEE_2024_M2_Secc1!D47)</f>
        <v/>
      </c>
      <c r="E690" s="796"/>
      <c r="F690" s="796"/>
      <c r="G690" s="796"/>
      <c r="H690" s="796"/>
      <c r="I690" s="796"/>
      <c r="J690" s="796"/>
      <c r="K690" s="796"/>
      <c r="L690" s="796"/>
      <c r="M690" s="100"/>
      <c r="N690" s="100"/>
      <c r="O690" s="100"/>
      <c r="P690" s="100"/>
      <c r="Q690" s="100"/>
      <c r="R690" s="100"/>
      <c r="S690" s="100"/>
      <c r="T690" s="100"/>
      <c r="U690" s="100"/>
      <c r="V690" s="100"/>
      <c r="W690" s="100"/>
      <c r="X690" s="100"/>
      <c r="Y690" s="100"/>
      <c r="Z690" s="100"/>
      <c r="AA690" s="100"/>
      <c r="AB690" s="100"/>
      <c r="AC690" s="100"/>
      <c r="AD690" s="100"/>
      <c r="AG690" s="38">
        <f t="shared" si="234"/>
        <v>0</v>
      </c>
      <c r="AH690" s="38">
        <f t="shared" si="235"/>
        <v>0</v>
      </c>
      <c r="AI690">
        <f t="shared" si="236"/>
        <v>0</v>
      </c>
      <c r="AJ690">
        <f t="shared" si="237"/>
        <v>0</v>
      </c>
      <c r="AK690">
        <f t="shared" si="238"/>
        <v>0</v>
      </c>
      <c r="AL690">
        <f t="shared" si="239"/>
        <v>0</v>
      </c>
      <c r="AM690">
        <f t="shared" si="240"/>
        <v>0</v>
      </c>
      <c r="AN690">
        <f t="shared" si="241"/>
        <v>0</v>
      </c>
      <c r="AO690">
        <f t="shared" si="242"/>
        <v>0</v>
      </c>
      <c r="AP690">
        <f t="shared" si="243"/>
        <v>0</v>
      </c>
      <c r="AQ690">
        <f t="shared" si="244"/>
        <v>0</v>
      </c>
      <c r="AR690">
        <f t="shared" si="245"/>
        <v>0</v>
      </c>
      <c r="AS690">
        <f t="shared" si="246"/>
        <v>0</v>
      </c>
      <c r="AT690">
        <f t="shared" si="247"/>
        <v>0</v>
      </c>
      <c r="AU690">
        <f t="shared" si="248"/>
        <v>0</v>
      </c>
      <c r="AV690">
        <f t="shared" si="249"/>
        <v>0</v>
      </c>
      <c r="AW690">
        <f t="shared" si="250"/>
        <v>0</v>
      </c>
      <c r="AX690">
        <f t="shared" si="251"/>
        <v>0</v>
      </c>
      <c r="AY690">
        <f t="shared" si="252"/>
        <v>0</v>
      </c>
      <c r="AZ690">
        <f t="shared" si="253"/>
        <v>0</v>
      </c>
      <c r="BA690" cm="1">
        <f t="array" ref="BA690">IF(OR(M690={"NS","NA"},S618={"NS","NA"}),0,IF(M690&gt;=S618,0,1))</f>
        <v>0</v>
      </c>
      <c r="BB690" cm="1">
        <f t="array" ref="BB690">IF(OR(N690={"NS","NA"},W618={"NS","NA"}),0,IF(N690&gt;=W618,0,1))</f>
        <v>0</v>
      </c>
      <c r="BC690" cm="1">
        <f t="array" ref="BC690">IF(OR(O690={"NS","NA"},AA618={"NS","NA"}),0,IF(O690&gt;=AA618,0,1))</f>
        <v>0</v>
      </c>
      <c r="BD690" cm="1">
        <f t="array" ref="BD690">IF(OR(P690={"NS","NA"},$S618={"NS","NA"}),0,IF(P690&lt;=$S618,0,1))</f>
        <v>0</v>
      </c>
      <c r="BE690" cm="1">
        <f t="array" ref="BE690">IF(OR(Q690={"NS","NA"},$W618={"NS","NA"}),0,IF(Q690&lt;=$W618,0,1))</f>
        <v>0</v>
      </c>
      <c r="BF690" cm="1">
        <f t="array" ref="BF690">IF(OR(R690={"NS","NA"},$AA618={"NS","NA"}),0,IF(R690&lt;=$AA618,0,1))</f>
        <v>0</v>
      </c>
      <c r="BG690" cm="1">
        <f t="array" ref="BG690">IF(OR(S690={"NS","NA"},$S618={"NS","NA"}),0,IF(S690&lt;=$S618,0,1))</f>
        <v>0</v>
      </c>
      <c r="BH690" cm="1">
        <f t="array" ref="BH690">IF(OR(T690={"NS","NA"},$W618={"NS","NA"}),0,IF(T690&lt;=$W618,0,1))</f>
        <v>0</v>
      </c>
      <c r="BI690" cm="1">
        <f t="array" ref="BI690">IF(OR(U690={"NS","NA"},$AA618={"NS","NA"}),0,IF(U690&lt;=$AA618,0,1))</f>
        <v>0</v>
      </c>
      <c r="BJ690" cm="1">
        <f t="array" ref="BJ690">IF(OR(V690={"NS","NA"},$S618={"NS","NA"}),0,IF(V690&lt;=$S618,0,1))</f>
        <v>0</v>
      </c>
      <c r="BK690" cm="1">
        <f t="array" ref="BK690">IF(OR(W690={"NS","NA"},$W618={"NS","NA"}),0,IF(W690&lt;=$W618,0,1))</f>
        <v>0</v>
      </c>
      <c r="BL690" cm="1">
        <f t="array" ref="BL690">IF(OR(X690={"NS","NA"},$AA618={"NS","NA"}),0,IF(X690&lt;=$AA618,0,1))</f>
        <v>0</v>
      </c>
      <c r="BM690" cm="1">
        <f t="array" ref="BM690">IF(OR(Y690={"NS","NA"},$S618={"NS","NA"}),0,IF(Y690&lt;=$S618,0,1))</f>
        <v>0</v>
      </c>
      <c r="BN690" cm="1">
        <f t="array" ref="BN690">IF(OR(Z690={"NS","NA"},$W618={"NS","NA"}),0,IF(Z690&lt;=$W618,0,1))</f>
        <v>0</v>
      </c>
      <c r="BO690" cm="1">
        <f t="array" ref="BO690">IF(OR(AA690={"NS","NA"},$AA618={"NS","NA"}),0,IF(AA690&lt;=$AA618,0,1))</f>
        <v>0</v>
      </c>
      <c r="BP690" cm="1">
        <f t="array" ref="BP690">IF(OR(AB690={"NS","NA"},$S618={"NS","NA"}),0,IF(AB690&lt;=$S618,0,1))</f>
        <v>0</v>
      </c>
      <c r="BQ690" cm="1">
        <f t="array" ref="BQ690">IF(OR(AC690={"NS","NA"},$W618={"NS","NA"}),0,IF(AC690&lt;=$W618,0,1))</f>
        <v>0</v>
      </c>
      <c r="BR690" cm="1">
        <f t="array" ref="BR690">IF(OR(AD690={"NS","NA"},$AA618={"NS","NA"}),0,IF(AD690&lt;=$AA618,0,1))</f>
        <v>0</v>
      </c>
      <c r="BS690"/>
      <c r="BT690"/>
      <c r="BU690"/>
      <c r="BV690"/>
      <c r="BW690"/>
    </row>
    <row r="691" spans="1:81" ht="15" customHeight="1">
      <c r="A691" s="210"/>
      <c r="B691" s="38"/>
      <c r="C691" s="143" t="s">
        <v>2522</v>
      </c>
      <c r="D691" s="796" t="str">
        <f>IF(CNSIPEE_2024_M2_Secc1!D48="","",CNSIPEE_2024_M2_Secc1!D48)</f>
        <v/>
      </c>
      <c r="E691" s="796"/>
      <c r="F691" s="796"/>
      <c r="G691" s="796"/>
      <c r="H691" s="796"/>
      <c r="I691" s="796"/>
      <c r="J691" s="796"/>
      <c r="K691" s="796"/>
      <c r="L691" s="796"/>
      <c r="M691" s="100"/>
      <c r="N691" s="100"/>
      <c r="O691" s="100"/>
      <c r="P691" s="100"/>
      <c r="Q691" s="100"/>
      <c r="R691" s="100"/>
      <c r="S691" s="100"/>
      <c r="T691" s="100"/>
      <c r="U691" s="100"/>
      <c r="V691" s="100"/>
      <c r="W691" s="100"/>
      <c r="X691" s="100"/>
      <c r="Y691" s="100"/>
      <c r="Z691" s="100"/>
      <c r="AA691" s="100"/>
      <c r="AB691" s="100"/>
      <c r="AC691" s="100"/>
      <c r="AD691" s="100"/>
      <c r="AG691" s="38">
        <f t="shared" si="234"/>
        <v>0</v>
      </c>
      <c r="AH691" s="38">
        <f t="shared" si="235"/>
        <v>0</v>
      </c>
      <c r="AI691">
        <f t="shared" si="236"/>
        <v>0</v>
      </c>
      <c r="AJ691">
        <f t="shared" si="237"/>
        <v>0</v>
      </c>
      <c r="AK691">
        <f t="shared" si="238"/>
        <v>0</v>
      </c>
      <c r="AL691">
        <f t="shared" si="239"/>
        <v>0</v>
      </c>
      <c r="AM691">
        <f t="shared" si="240"/>
        <v>0</v>
      </c>
      <c r="AN691">
        <f t="shared" si="241"/>
        <v>0</v>
      </c>
      <c r="AO691">
        <f t="shared" si="242"/>
        <v>0</v>
      </c>
      <c r="AP691">
        <f t="shared" si="243"/>
        <v>0</v>
      </c>
      <c r="AQ691">
        <f t="shared" si="244"/>
        <v>0</v>
      </c>
      <c r="AR691">
        <f t="shared" si="245"/>
        <v>0</v>
      </c>
      <c r="AS691">
        <f t="shared" si="246"/>
        <v>0</v>
      </c>
      <c r="AT691">
        <f t="shared" si="247"/>
        <v>0</v>
      </c>
      <c r="AU691">
        <f t="shared" si="248"/>
        <v>0</v>
      </c>
      <c r="AV691">
        <f t="shared" si="249"/>
        <v>0</v>
      </c>
      <c r="AW691">
        <f t="shared" si="250"/>
        <v>0</v>
      </c>
      <c r="AX691">
        <f t="shared" si="251"/>
        <v>0</v>
      </c>
      <c r="AY691">
        <f t="shared" si="252"/>
        <v>0</v>
      </c>
      <c r="AZ691">
        <f t="shared" si="253"/>
        <v>0</v>
      </c>
      <c r="BA691" cm="1">
        <f t="array" ref="BA691">IF(OR(M691={"NS","NA"},S619={"NS","NA"}),0,IF(M691&gt;=S619,0,1))</f>
        <v>0</v>
      </c>
      <c r="BB691" cm="1">
        <f t="array" ref="BB691">IF(OR(N691={"NS","NA"},W619={"NS","NA"}),0,IF(N691&gt;=W619,0,1))</f>
        <v>0</v>
      </c>
      <c r="BC691" cm="1">
        <f t="array" ref="BC691">IF(OR(O691={"NS","NA"},AA619={"NS","NA"}),0,IF(O691&gt;=AA619,0,1))</f>
        <v>0</v>
      </c>
      <c r="BD691" cm="1">
        <f t="array" ref="BD691">IF(OR(P691={"NS","NA"},$S619={"NS","NA"}),0,IF(P691&lt;=$S619,0,1))</f>
        <v>0</v>
      </c>
      <c r="BE691" cm="1">
        <f t="array" ref="BE691">IF(OR(Q691={"NS","NA"},$W619={"NS","NA"}),0,IF(Q691&lt;=$W619,0,1))</f>
        <v>0</v>
      </c>
      <c r="BF691" cm="1">
        <f t="array" ref="BF691">IF(OR(R691={"NS","NA"},$AA619={"NS","NA"}),0,IF(R691&lt;=$AA619,0,1))</f>
        <v>0</v>
      </c>
      <c r="BG691" cm="1">
        <f t="array" ref="BG691">IF(OR(S691={"NS","NA"},$S619={"NS","NA"}),0,IF(S691&lt;=$S619,0,1))</f>
        <v>0</v>
      </c>
      <c r="BH691" cm="1">
        <f t="array" ref="BH691">IF(OR(T691={"NS","NA"},$W619={"NS","NA"}),0,IF(T691&lt;=$W619,0,1))</f>
        <v>0</v>
      </c>
      <c r="BI691" cm="1">
        <f t="array" ref="BI691">IF(OR(U691={"NS","NA"},$AA619={"NS","NA"}),0,IF(U691&lt;=$AA619,0,1))</f>
        <v>0</v>
      </c>
      <c r="BJ691" cm="1">
        <f t="array" ref="BJ691">IF(OR(V691={"NS","NA"},$S619={"NS","NA"}),0,IF(V691&lt;=$S619,0,1))</f>
        <v>0</v>
      </c>
      <c r="BK691" cm="1">
        <f t="array" ref="BK691">IF(OR(W691={"NS","NA"},$W619={"NS","NA"}),0,IF(W691&lt;=$W619,0,1))</f>
        <v>0</v>
      </c>
      <c r="BL691" cm="1">
        <f t="array" ref="BL691">IF(OR(X691={"NS","NA"},$AA619={"NS","NA"}),0,IF(X691&lt;=$AA619,0,1))</f>
        <v>0</v>
      </c>
      <c r="BM691" cm="1">
        <f t="array" ref="BM691">IF(OR(Y691={"NS","NA"},$S619={"NS","NA"}),0,IF(Y691&lt;=$S619,0,1))</f>
        <v>0</v>
      </c>
      <c r="BN691" cm="1">
        <f t="array" ref="BN691">IF(OR(Z691={"NS","NA"},$W619={"NS","NA"}),0,IF(Z691&lt;=$W619,0,1))</f>
        <v>0</v>
      </c>
      <c r="BO691" cm="1">
        <f t="array" ref="BO691">IF(OR(AA691={"NS","NA"},$AA619={"NS","NA"}),0,IF(AA691&lt;=$AA619,0,1))</f>
        <v>0</v>
      </c>
      <c r="BP691" cm="1">
        <f t="array" ref="BP691">IF(OR(AB691={"NS","NA"},$S619={"NS","NA"}),0,IF(AB691&lt;=$S619,0,1))</f>
        <v>0</v>
      </c>
      <c r="BQ691" cm="1">
        <f t="array" ref="BQ691">IF(OR(AC691={"NS","NA"},$W619={"NS","NA"}),0,IF(AC691&lt;=$W619,0,1))</f>
        <v>0</v>
      </c>
      <c r="BR691" cm="1">
        <f t="array" ref="BR691">IF(OR(AD691={"NS","NA"},$AA619={"NS","NA"}),0,IF(AD691&lt;=$AA619,0,1))</f>
        <v>0</v>
      </c>
      <c r="BS691"/>
      <c r="BT691"/>
      <c r="BU691"/>
      <c r="BV691"/>
      <c r="BW691"/>
    </row>
    <row r="692" spans="1:81" ht="15" customHeight="1">
      <c r="A692" s="210"/>
      <c r="B692" s="38"/>
      <c r="C692" s="143" t="s">
        <v>2523</v>
      </c>
      <c r="D692" s="796" t="str">
        <f>IF(CNSIPEE_2024_M2_Secc1!D49="","",CNSIPEE_2024_M2_Secc1!D49)</f>
        <v/>
      </c>
      <c r="E692" s="796"/>
      <c r="F692" s="796"/>
      <c r="G692" s="796"/>
      <c r="H692" s="796"/>
      <c r="I692" s="796"/>
      <c r="J692" s="796"/>
      <c r="K692" s="796"/>
      <c r="L692" s="796"/>
      <c r="M692" s="100"/>
      <c r="N692" s="100"/>
      <c r="O692" s="100"/>
      <c r="P692" s="100"/>
      <c r="Q692" s="100"/>
      <c r="R692" s="100"/>
      <c r="S692" s="100"/>
      <c r="T692" s="100"/>
      <c r="U692" s="100"/>
      <c r="V692" s="100"/>
      <c r="W692" s="100"/>
      <c r="X692" s="100"/>
      <c r="Y692" s="100"/>
      <c r="Z692" s="100"/>
      <c r="AA692" s="100"/>
      <c r="AB692" s="100"/>
      <c r="AC692" s="100"/>
      <c r="AD692" s="100"/>
      <c r="AG692" s="38">
        <f>IF(SUM(COUNTBLANK(D692:AD692),COUNTBLANK(G706:AD706),COUNTBLANK(G720:AD720))=75,0,IF(D692="",1,IF(M620&lt;&gt;1,0,IF(AND(COUNTA(M692:AD692,G706:AD706,G720:AD720)=66,M620=1),0,1))))</f>
        <v>0</v>
      </c>
      <c r="AH692" s="38">
        <f>IF($M620&lt;&gt;1,IF(COUNTA(M692:AD692,G706:AD706,G720:AD720)=0,0,1),0)</f>
        <v>0</v>
      </c>
      <c r="AI692">
        <f t="shared" si="236"/>
        <v>0</v>
      </c>
      <c r="AJ692">
        <f t="shared" si="237"/>
        <v>0</v>
      </c>
      <c r="AK692">
        <f t="shared" si="238"/>
        <v>0</v>
      </c>
      <c r="AL692">
        <f t="shared" si="239"/>
        <v>0</v>
      </c>
      <c r="AM692">
        <f t="shared" si="240"/>
        <v>0</v>
      </c>
      <c r="AN692">
        <f t="shared" si="241"/>
        <v>0</v>
      </c>
      <c r="AO692">
        <f t="shared" si="242"/>
        <v>0</v>
      </c>
      <c r="AP692">
        <f t="shared" si="243"/>
        <v>0</v>
      </c>
      <c r="AQ692">
        <f t="shared" si="244"/>
        <v>0</v>
      </c>
      <c r="AR692">
        <f t="shared" si="245"/>
        <v>0</v>
      </c>
      <c r="AS692">
        <f t="shared" si="246"/>
        <v>0</v>
      </c>
      <c r="AT692">
        <f t="shared" si="247"/>
        <v>0</v>
      </c>
      <c r="AU692">
        <f t="shared" si="248"/>
        <v>0</v>
      </c>
      <c r="AV692">
        <f t="shared" si="249"/>
        <v>0</v>
      </c>
      <c r="AW692">
        <f t="shared" si="250"/>
        <v>0</v>
      </c>
      <c r="AX692">
        <f t="shared" si="251"/>
        <v>0</v>
      </c>
      <c r="AY692">
        <f t="shared" si="252"/>
        <v>0</v>
      </c>
      <c r="AZ692">
        <f t="shared" si="253"/>
        <v>0</v>
      </c>
      <c r="BA692" cm="1">
        <f t="array" ref="BA692">IF(OR(M692={"NS","NA"},S620={"NS","NA"}),0,IF(M692&gt;=S620,0,1))</f>
        <v>0</v>
      </c>
      <c r="BB692" cm="1">
        <f t="array" ref="BB692">IF(OR(N692={"NS","NA"},W620={"NS","NA"}),0,IF(N692&gt;=W620,0,1))</f>
        <v>0</v>
      </c>
      <c r="BC692" cm="1">
        <f t="array" ref="BC692">IF(OR(O692={"NS","NA"},AA620={"NS","NA"}),0,IF(O692&gt;=AA620,0,1))</f>
        <v>0</v>
      </c>
      <c r="BD692" cm="1">
        <f t="array" ref="BD692">IF(OR(P692={"NS","NA"},$S620={"NS","NA"}),0,IF(P692&lt;=$S620,0,1))</f>
        <v>0</v>
      </c>
      <c r="BE692" cm="1">
        <f t="array" ref="BE692">IF(OR(Q692={"NS","NA"},$W620={"NS","NA"}),0,IF(Q692&lt;=$W620,0,1))</f>
        <v>0</v>
      </c>
      <c r="BF692" cm="1">
        <f t="array" ref="BF692">IF(OR(R692={"NS","NA"},$AA620={"NS","NA"}),0,IF(R692&lt;=$AA620,0,1))</f>
        <v>0</v>
      </c>
      <c r="BG692" cm="1">
        <f t="array" ref="BG692">IF(OR(S692={"NS","NA"},$S620={"NS","NA"}),0,IF(S692&lt;=$S620,0,1))</f>
        <v>0</v>
      </c>
      <c r="BH692" cm="1">
        <f t="array" ref="BH692">IF(OR(T692={"NS","NA"},$W620={"NS","NA"}),0,IF(T692&lt;=$W620,0,1))</f>
        <v>0</v>
      </c>
      <c r="BI692" cm="1">
        <f t="array" ref="BI692">IF(OR(U692={"NS","NA"},$AA620={"NS","NA"}),0,IF(U692&lt;=$AA620,0,1))</f>
        <v>0</v>
      </c>
      <c r="BJ692" cm="1">
        <f t="array" ref="BJ692">IF(OR(V692={"NS","NA"},$S620={"NS","NA"}),0,IF(V692&lt;=$S620,0,1))</f>
        <v>0</v>
      </c>
      <c r="BK692" cm="1">
        <f t="array" ref="BK692">IF(OR(W692={"NS","NA"},$W620={"NS","NA"}),0,IF(W692&lt;=$W620,0,1))</f>
        <v>0</v>
      </c>
      <c r="BL692" cm="1">
        <f t="array" ref="BL692">IF(OR(X692={"NS","NA"},$AA620={"NS","NA"}),0,IF(X692&lt;=$AA620,0,1))</f>
        <v>0</v>
      </c>
      <c r="BM692" cm="1">
        <f t="array" ref="BM692">IF(OR(Y692={"NS","NA"},$S620={"NS","NA"}),0,IF(Y692&lt;=$S620,0,1))</f>
        <v>0</v>
      </c>
      <c r="BN692" cm="1">
        <f t="array" ref="BN692">IF(OR(Z692={"NS","NA"},$W620={"NS","NA"}),0,IF(Z692&lt;=$W620,0,1))</f>
        <v>0</v>
      </c>
      <c r="BO692" cm="1">
        <f t="array" ref="BO692">IF(OR(AA692={"NS","NA"},$AA620={"NS","NA"}),0,IF(AA692&lt;=$AA620,0,1))</f>
        <v>0</v>
      </c>
      <c r="BP692" cm="1">
        <f t="array" ref="BP692">IF(OR(AB692={"NS","NA"},$S620={"NS","NA"}),0,IF(AB692&lt;=$S620,0,1))</f>
        <v>0</v>
      </c>
      <c r="BQ692" cm="1">
        <f t="array" ref="BQ692">IF(OR(AC692={"NS","NA"},$W620={"NS","NA"}),0,IF(AC692&lt;=$W620,0,1))</f>
        <v>0</v>
      </c>
      <c r="BR692" cm="1">
        <f t="array" ref="BR692">IF(OR(AD692={"NS","NA"},$AA620={"NS","NA"}),0,IF(AD692&lt;=$AA620,0,1))</f>
        <v>0</v>
      </c>
      <c r="BS692"/>
      <c r="BT692"/>
      <c r="BU692"/>
      <c r="BV692"/>
      <c r="BW692"/>
    </row>
    <row r="693" spans="1:81" ht="15" customHeight="1">
      <c r="A693" s="210"/>
      <c r="B693" s="38"/>
      <c r="C693" s="70"/>
      <c r="D693" s="84"/>
      <c r="E693" s="84"/>
      <c r="F693" s="84"/>
      <c r="G693" s="84"/>
      <c r="H693" s="84"/>
      <c r="I693" s="57"/>
      <c r="L693" s="117" t="s">
        <v>2649</v>
      </c>
      <c r="M693" s="124">
        <f>IF(AND(SUM(M685:M692)=0,COUNTIF(M685:M692,"NS")&gt;0),"NS",IF(AND(SUM(M685:M692)=0,COUNTIF(M685:M692,0)&gt;0),0,IF(AND(SUM(M685:M692)=0,COUNTIF(M685:M692,"NA")&gt;0),"NA",SUM(M685:M692))))</f>
        <v>0</v>
      </c>
      <c r="N693" s="124">
        <f t="shared" ref="N693:AD693" si="254">IF(AND(SUM(N685:N692)=0,COUNTIF(N685:N692,"NS")&gt;0),"NS",IF(AND(SUM(N685:N692)=0,COUNTIF(N685:N692,0)&gt;0),0,IF(AND(SUM(N685:N692)=0,COUNTIF(N685:N692,"NA")&gt;0),"NA",SUM(N685:N692))))</f>
        <v>0</v>
      </c>
      <c r="O693" s="124">
        <f t="shared" si="254"/>
        <v>0</v>
      </c>
      <c r="P693" s="124">
        <f t="shared" si="254"/>
        <v>0</v>
      </c>
      <c r="Q693" s="124">
        <f t="shared" si="254"/>
        <v>0</v>
      </c>
      <c r="R693" s="124">
        <f t="shared" si="254"/>
        <v>0</v>
      </c>
      <c r="S693" s="124">
        <f t="shared" si="254"/>
        <v>0</v>
      </c>
      <c r="T693" s="124">
        <f t="shared" si="254"/>
        <v>0</v>
      </c>
      <c r="U693" s="124">
        <f t="shared" si="254"/>
        <v>0</v>
      </c>
      <c r="V693" s="124">
        <f t="shared" si="254"/>
        <v>0</v>
      </c>
      <c r="W693" s="124">
        <f t="shared" si="254"/>
        <v>0</v>
      </c>
      <c r="X693" s="124">
        <f t="shared" si="254"/>
        <v>0</v>
      </c>
      <c r="Y693" s="124">
        <f t="shared" si="254"/>
        <v>0</v>
      </c>
      <c r="Z693" s="124">
        <f t="shared" si="254"/>
        <v>0</v>
      </c>
      <c r="AA693" s="124">
        <f t="shared" si="254"/>
        <v>0</v>
      </c>
      <c r="AB693" s="124">
        <f t="shared" si="254"/>
        <v>0</v>
      </c>
      <c r="AC693" s="124">
        <f t="shared" si="254"/>
        <v>0</v>
      </c>
      <c r="AD693" s="124">
        <f t="shared" si="254"/>
        <v>0</v>
      </c>
      <c r="AG693" s="704">
        <f>SUM(AG685:AG692)</f>
        <v>0</v>
      </c>
      <c r="AH693" s="704">
        <f>SUM(AH685:AH692)</f>
        <v>0</v>
      </c>
      <c r="AI693">
        <f>SUM(AI685:AI692)</f>
        <v>0</v>
      </c>
      <c r="AJ693" s="57"/>
      <c r="AK693">
        <f>SUM(AK685:AK692)</f>
        <v>0</v>
      </c>
      <c r="AL693">
        <f t="shared" ref="AL693" si="255">SUM(AL685:AL692)</f>
        <v>0</v>
      </c>
      <c r="AM693" s="57"/>
      <c r="AN693">
        <f t="shared" ref="AN693:AO693" si="256">SUM(AN685:AN692)</f>
        <v>0</v>
      </c>
      <c r="AO693">
        <f t="shared" si="256"/>
        <v>0</v>
      </c>
      <c r="AP693" s="57"/>
      <c r="AQ693">
        <f t="shared" ref="AQ693:AR693" si="257">SUM(AQ685:AQ692)</f>
        <v>0</v>
      </c>
      <c r="AR693">
        <f t="shared" si="257"/>
        <v>0</v>
      </c>
      <c r="AS693" s="57"/>
      <c r="AT693">
        <f t="shared" ref="AT693:AU693" si="258">SUM(AT685:AT692)</f>
        <v>0</v>
      </c>
      <c r="AU693">
        <f t="shared" si="258"/>
        <v>0</v>
      </c>
      <c r="AV693" s="57"/>
      <c r="AW693">
        <f t="shared" ref="AW693:AX693" si="259">SUM(AW685:AW692)</f>
        <v>0</v>
      </c>
      <c r="AX693">
        <f t="shared" si="259"/>
        <v>0</v>
      </c>
      <c r="AY693" s="57"/>
      <c r="AZ693">
        <f t="shared" ref="AZ693" si="260">SUM(AZ685:AZ692)</f>
        <v>0</v>
      </c>
      <c r="BA693"/>
      <c r="BB693" s="57"/>
      <c r="BC693" s="507">
        <f>SUM(BA685:BC692)</f>
        <v>0</v>
      </c>
      <c r="BD693"/>
      <c r="BE693" s="57"/>
      <c r="BF693"/>
      <c r="BG693"/>
      <c r="BH693" s="57"/>
      <c r="BI693"/>
      <c r="BJ693" s="57"/>
      <c r="BK693" s="57"/>
      <c r="BL693"/>
      <c r="BM693" s="57"/>
      <c r="BN693" s="57"/>
      <c r="BO693" s="57"/>
      <c r="BP693" s="57"/>
      <c r="BQ693" s="57"/>
      <c r="BR693" s="693">
        <f>SUM(BD685:BR692)</f>
        <v>0</v>
      </c>
      <c r="BS693" s="57"/>
      <c r="BT693" s="57"/>
      <c r="BU693" s="57"/>
      <c r="BV693" s="57"/>
      <c r="BW693" s="57"/>
    </row>
    <row r="694" spans="1:81" ht="15" customHeight="1">
      <c r="A694" s="210"/>
      <c r="B694" s="38"/>
      <c r="C694" s="70"/>
      <c r="D694" s="84"/>
      <c r="E694" s="84"/>
      <c r="F694" s="84"/>
      <c r="G694" s="84"/>
      <c r="H694" s="84"/>
      <c r="I694" s="117"/>
      <c r="J694" s="84"/>
      <c r="K694" s="84"/>
      <c r="L694" s="84"/>
      <c r="M694" s="70"/>
      <c r="N694" s="70"/>
      <c r="O694" s="70"/>
      <c r="P694" s="70"/>
      <c r="Q694" s="70"/>
      <c r="R694" s="70"/>
      <c r="S694" s="70"/>
      <c r="T694" s="70"/>
      <c r="U694" s="70"/>
      <c r="V694" s="70"/>
      <c r="W694" s="70"/>
      <c r="X694" s="70"/>
      <c r="Y694" s="70"/>
      <c r="Z694" s="70"/>
      <c r="AA694" s="70"/>
      <c r="AB694" s="70"/>
      <c r="AC694" s="70"/>
      <c r="AD694" s="70"/>
      <c r="AG694" s="38"/>
      <c r="AH694" s="38"/>
      <c r="AI694" s="57"/>
      <c r="AJ694" s="57"/>
      <c r="AK694" t="s">
        <v>2650</v>
      </c>
      <c r="AL694" s="405">
        <f>SUM(AK693,AN693,AQ693,AT693,AW693,AZ693)</f>
        <v>0</v>
      </c>
      <c r="AM694" t="s">
        <v>2651</v>
      </c>
      <c r="AN694">
        <f>SUM(AK693,AN693,AQ693,AT693,AW693,AZ693,BC693)</f>
        <v>0</v>
      </c>
      <c r="AO694" s="57"/>
      <c r="AP694" s="57"/>
      <c r="AQ694" s="57"/>
      <c r="AR694" s="57"/>
      <c r="AS694" s="57"/>
      <c r="AT694" s="57"/>
      <c r="AU694" s="57"/>
      <c r="AV694" s="57"/>
      <c r="AW694" s="57"/>
      <c r="AX694" s="57"/>
      <c r="AY694" s="57"/>
      <c r="AZ694" s="57"/>
      <c r="BA694" s="57"/>
      <c r="BB694" s="57"/>
      <c r="BC694" s="57"/>
      <c r="BD694" s="57"/>
      <c r="BE694" s="57"/>
      <c r="BF694" s="57"/>
      <c r="BG694" s="57"/>
      <c r="BH694" s="57"/>
      <c r="BI694" s="57"/>
      <c r="BJ694" s="57"/>
      <c r="BK694" s="57"/>
      <c r="BL694" s="57"/>
      <c r="BM694" s="57"/>
      <c r="BN694" s="57"/>
      <c r="BO694" s="57"/>
      <c r="BP694" s="57"/>
      <c r="BQ694" s="57"/>
      <c r="BR694" s="57"/>
      <c r="BS694" s="57"/>
      <c r="BT694" s="57"/>
      <c r="BU694" s="57"/>
      <c r="BV694" s="57"/>
      <c r="BW694" s="57"/>
    </row>
    <row r="695" spans="1:81">
      <c r="AA695" s="875" t="s">
        <v>3233</v>
      </c>
      <c r="AB695" s="875"/>
      <c r="AC695" s="875"/>
      <c r="AD695" s="875"/>
      <c r="AK695" t="s">
        <v>2652</v>
      </c>
      <c r="AL695">
        <f>IF(AN694&gt;0,IF(SUM(J693)&gt;=SUM(M693,P693,S693,V693,Y693,AB693),0,1),IF(SUM(J693)&lt;&gt;SUM(M693,P693,S693,V693,Y693,AB693),1,0))</f>
        <v>0</v>
      </c>
      <c r="AM695" t="s">
        <v>2653</v>
      </c>
      <c r="AN695">
        <f>IF(AN694&gt;0,IF(SUM(K693)&gt;=SUM(N693,Q693,T693,W693,Z693,AC693),0,1),IF(SUM(K693)&lt;&gt;SUM(N693,Q693,T693,W693,Z693,AC693),1,0))</f>
        <v>0</v>
      </c>
      <c r="AO695" t="s">
        <v>2654</v>
      </c>
      <c r="AP695">
        <f>IF(AN694&gt;0,IF(SUM(L693)&gt;=SUM(O693,R693,U693,X693,AA693,AD693),0,1),IF(SUM(L693)&lt;&gt;SUM(O693,R693,U693,X693,AA693,AD693),1,0))</f>
        <v>0</v>
      </c>
    </row>
    <row r="696" spans="1:81" ht="24" customHeight="1">
      <c r="A696" s="210"/>
      <c r="B696" s="38"/>
      <c r="C696" s="732" t="s">
        <v>2581</v>
      </c>
      <c r="D696" s="732"/>
      <c r="E696" s="732"/>
      <c r="F696" s="732"/>
      <c r="G696" s="732" t="s">
        <v>6280</v>
      </c>
      <c r="H696" s="732"/>
      <c r="I696" s="732"/>
      <c r="J696" s="732"/>
      <c r="K696" s="732"/>
      <c r="L696" s="732"/>
      <c r="M696" s="732"/>
      <c r="N696" s="732"/>
      <c r="O696" s="732"/>
      <c r="P696" s="732"/>
      <c r="Q696" s="732"/>
      <c r="R696" s="732"/>
      <c r="S696" s="732"/>
      <c r="T696" s="732"/>
      <c r="U696" s="732"/>
      <c r="V696" s="732"/>
      <c r="W696" s="732"/>
      <c r="X696" s="732"/>
      <c r="Y696" s="732"/>
      <c r="Z696" s="732"/>
      <c r="AA696" s="732"/>
      <c r="AB696" s="732"/>
      <c r="AC696" s="732"/>
      <c r="AD696" s="732"/>
      <c r="AG696" s="38"/>
      <c r="AH696" s="38"/>
      <c r="AI696" s="57"/>
      <c r="AJ696" s="57"/>
      <c r="AK696" s="57"/>
      <c r="AL696" s="57"/>
      <c r="AM696" s="57"/>
      <c r="AN696" s="57"/>
      <c r="AO696" s="57"/>
      <c r="AP696" s="57"/>
      <c r="AQ696" s="57"/>
      <c r="AR696" s="57"/>
      <c r="AS696" s="57"/>
      <c r="AT696" s="57"/>
      <c r="AU696" s="57"/>
      <c r="AV696" s="57"/>
      <c r="AW696" s="57"/>
      <c r="AX696" s="57"/>
      <c r="AY696" s="57"/>
      <c r="AZ696" s="57"/>
      <c r="BA696" s="57"/>
      <c r="BB696" s="57"/>
      <c r="BC696" s="57"/>
      <c r="BD696" s="57"/>
      <c r="BE696" s="57"/>
      <c r="BF696" s="57"/>
      <c r="BG696" s="57"/>
      <c r="BH696" s="57"/>
      <c r="BI696" s="57"/>
      <c r="BJ696" s="57"/>
      <c r="BK696" s="57"/>
      <c r="BL696" s="57"/>
      <c r="BM696" s="57"/>
      <c r="BN696" s="57"/>
      <c r="BO696" s="57"/>
      <c r="BP696" s="57"/>
      <c r="BQ696" s="57"/>
      <c r="BR696" s="57"/>
      <c r="BS696" s="57"/>
      <c r="BT696" s="57"/>
      <c r="BU696" s="57"/>
      <c r="BV696" s="57"/>
      <c r="BW696" s="57"/>
    </row>
    <row r="697" spans="1:81" ht="228" customHeight="1">
      <c r="A697" s="210"/>
      <c r="B697" s="38"/>
      <c r="C697" s="732"/>
      <c r="D697" s="732"/>
      <c r="E697" s="732"/>
      <c r="F697" s="732"/>
      <c r="G697" s="857" t="s">
        <v>6286</v>
      </c>
      <c r="H697" s="857"/>
      <c r="I697" s="857"/>
      <c r="J697" s="857" t="s">
        <v>6287</v>
      </c>
      <c r="K697" s="857"/>
      <c r="L697" s="857"/>
      <c r="M697" s="857" t="s">
        <v>6288</v>
      </c>
      <c r="N697" s="857"/>
      <c r="O697" s="857"/>
      <c r="P697" s="857" t="s">
        <v>6289</v>
      </c>
      <c r="Q697" s="857"/>
      <c r="R697" s="857"/>
      <c r="S697" s="857" t="s">
        <v>6290</v>
      </c>
      <c r="T697" s="857"/>
      <c r="U697" s="857"/>
      <c r="V697" s="857" t="s">
        <v>6291</v>
      </c>
      <c r="W697" s="857"/>
      <c r="X697" s="857"/>
      <c r="Y697" s="857" t="s">
        <v>6292</v>
      </c>
      <c r="Z697" s="857"/>
      <c r="AA697" s="857"/>
      <c r="AB697" s="857" t="s">
        <v>6293</v>
      </c>
      <c r="AC697" s="857"/>
      <c r="AD697" s="857"/>
      <c r="AG697" s="38"/>
      <c r="AH697" s="38"/>
      <c r="AI697" s="57"/>
      <c r="AJ697" s="57"/>
      <c r="AK697" s="57"/>
      <c r="AL697" s="57"/>
      <c r="AM697" s="57"/>
      <c r="AN697" s="57"/>
      <c r="AO697" s="57"/>
      <c r="AP697" s="57"/>
      <c r="AQ697" s="57"/>
      <c r="AR697" s="57"/>
      <c r="AS697" s="57"/>
      <c r="AT697" s="57"/>
      <c r="AU697" s="57"/>
      <c r="AV697" s="57"/>
      <c r="AW697" s="57"/>
      <c r="AX697" s="57"/>
      <c r="AY697" s="57"/>
      <c r="AZ697" s="57"/>
      <c r="BA697" s="57"/>
      <c r="BB697" s="57"/>
      <c r="BC697" s="57"/>
      <c r="BD697" s="57"/>
      <c r="BE697" s="57"/>
      <c r="BF697" s="57"/>
      <c r="BG697" s="57"/>
      <c r="BH697" s="57"/>
      <c r="BI697" s="57"/>
      <c r="BJ697" s="57"/>
      <c r="BK697" s="57"/>
      <c r="BL697" s="57"/>
      <c r="BM697" s="57"/>
      <c r="BN697" s="57"/>
      <c r="BO697" s="57"/>
      <c r="BP697" s="57"/>
      <c r="BQ697" s="57"/>
      <c r="BR697" s="57"/>
      <c r="BS697" s="57"/>
      <c r="BT697" s="57"/>
      <c r="BU697" s="57"/>
      <c r="BV697" s="57"/>
      <c r="BW697" s="57"/>
    </row>
    <row r="698" spans="1:81" ht="48" customHeight="1">
      <c r="A698" s="210"/>
      <c r="B698" s="38"/>
      <c r="C698" s="732"/>
      <c r="D698" s="732"/>
      <c r="E698" s="732"/>
      <c r="F698" s="732"/>
      <c r="G698" s="127" t="s">
        <v>2635</v>
      </c>
      <c r="H698" s="128" t="s">
        <v>2629</v>
      </c>
      <c r="I698" s="128" t="s">
        <v>2630</v>
      </c>
      <c r="J698" s="127" t="s">
        <v>2635</v>
      </c>
      <c r="K698" s="128" t="s">
        <v>2629</v>
      </c>
      <c r="L698" s="128" t="s">
        <v>2630</v>
      </c>
      <c r="M698" s="127" t="s">
        <v>2635</v>
      </c>
      <c r="N698" s="128" t="s">
        <v>2629</v>
      </c>
      <c r="O698" s="128" t="s">
        <v>2630</v>
      </c>
      <c r="P698" s="127" t="s">
        <v>2635</v>
      </c>
      <c r="Q698" s="128" t="s">
        <v>2629</v>
      </c>
      <c r="R698" s="128" t="s">
        <v>2630</v>
      </c>
      <c r="S698" s="127" t="s">
        <v>2635</v>
      </c>
      <c r="T698" s="128" t="s">
        <v>2629</v>
      </c>
      <c r="U698" s="128" t="s">
        <v>2630</v>
      </c>
      <c r="V698" s="127" t="s">
        <v>2635</v>
      </c>
      <c r="W698" s="128" t="s">
        <v>2629</v>
      </c>
      <c r="X698" s="128" t="s">
        <v>2630</v>
      </c>
      <c r="Y698" s="127" t="s">
        <v>2635</v>
      </c>
      <c r="Z698" s="128" t="s">
        <v>2629</v>
      </c>
      <c r="AA698" s="128" t="s">
        <v>2630</v>
      </c>
      <c r="AB698" s="127" t="s">
        <v>2635</v>
      </c>
      <c r="AC698" s="128" t="s">
        <v>2629</v>
      </c>
      <c r="AD698" s="128" t="s">
        <v>2630</v>
      </c>
      <c r="AG698" s="38"/>
      <c r="AH698" t="s">
        <v>4573</v>
      </c>
      <c r="AI698" t="s">
        <v>2638</v>
      </c>
      <c r="AJ698" t="s">
        <v>2639</v>
      </c>
      <c r="AK698" t="s">
        <v>4574</v>
      </c>
      <c r="AL698" t="s">
        <v>2641</v>
      </c>
      <c r="AM698" t="s">
        <v>2642</v>
      </c>
      <c r="AN698" t="s">
        <v>4575</v>
      </c>
      <c r="AO698" t="s">
        <v>2644</v>
      </c>
      <c r="AP698" t="s">
        <v>2645</v>
      </c>
      <c r="AQ698" t="s">
        <v>4576</v>
      </c>
      <c r="AR698" t="s">
        <v>2647</v>
      </c>
      <c r="AS698" t="s">
        <v>2648</v>
      </c>
      <c r="AT698" t="s">
        <v>5177</v>
      </c>
      <c r="AU698" t="s">
        <v>2757</v>
      </c>
      <c r="AV698" t="s">
        <v>2758</v>
      </c>
      <c r="AW698" t="s">
        <v>5194</v>
      </c>
      <c r="AX698" t="s">
        <v>2760</v>
      </c>
      <c r="AY698" t="s">
        <v>2761</v>
      </c>
      <c r="AZ698" t="s">
        <v>5195</v>
      </c>
      <c r="BA698" t="s">
        <v>2763</v>
      </c>
      <c r="BB698" t="s">
        <v>2764</v>
      </c>
      <c r="BC698" t="s">
        <v>5563</v>
      </c>
      <c r="BD698" t="s">
        <v>2766</v>
      </c>
      <c r="BE698" t="s">
        <v>2767</v>
      </c>
      <c r="BF698" t="s">
        <v>5290</v>
      </c>
      <c r="BG698"/>
      <c r="BH698"/>
      <c r="BI698"/>
      <c r="BJ698"/>
      <c r="BK698"/>
      <c r="BL698"/>
      <c r="BM698"/>
      <c r="BN698"/>
      <c r="BO698"/>
      <c r="BP698"/>
      <c r="BQ698"/>
      <c r="BR698"/>
      <c r="BS698"/>
      <c r="BT698"/>
      <c r="BU698"/>
      <c r="BV698"/>
      <c r="BW698"/>
      <c r="BX698" s="57"/>
      <c r="BY698" s="57"/>
      <c r="BZ698" s="57"/>
    </row>
    <row r="699" spans="1:81" ht="15" customHeight="1">
      <c r="A699" s="210"/>
      <c r="B699" s="38"/>
      <c r="C699" s="97" t="s">
        <v>2516</v>
      </c>
      <c r="D699" s="813" t="str">
        <f>IF(CNSIPEE_2024_M2_Secc1!D42="","",CNSIPEE_2024_M2_Secc1!D42)</f>
        <v/>
      </c>
      <c r="E699" s="814"/>
      <c r="F699" s="815"/>
      <c r="G699" s="100"/>
      <c r="H699" s="100"/>
      <c r="I699" s="100"/>
      <c r="J699" s="100"/>
      <c r="K699" s="100"/>
      <c r="L699" s="100"/>
      <c r="M699" s="100"/>
      <c r="N699" s="100"/>
      <c r="O699" s="100"/>
      <c r="P699" s="100"/>
      <c r="Q699" s="100"/>
      <c r="R699" s="100"/>
      <c r="S699" s="100"/>
      <c r="T699" s="100"/>
      <c r="U699" s="100"/>
      <c r="V699" s="100"/>
      <c r="W699" s="100"/>
      <c r="X699" s="100"/>
      <c r="Y699" s="100"/>
      <c r="Z699" s="100"/>
      <c r="AA699" s="100"/>
      <c r="AB699" s="100"/>
      <c r="AC699" s="100"/>
      <c r="AD699" s="100"/>
      <c r="AG699" s="38"/>
      <c r="AH699">
        <f>COUNTIF(H699:I699,"NS")</f>
        <v>0</v>
      </c>
      <c r="AI699">
        <f>SUM(H699:I699)</f>
        <v>0</v>
      </c>
      <c r="AJ699">
        <f>IF(COUNTIF(G699:I699,"NA")=3,0,IF(COUNTA(G699:I699)=0,0,IF(OR(AND(G699=0,AH699&gt;0),AND(G699="ns",AI699&gt;0),AND(G699="ns",AH699=0,AI699=0)),1,IF(OR(AND(G699&gt;0,AH699=2),AND(G699="ns",AH699=2),AND(G699="ns",AI699=0,AH699&gt;0),G699=AI699),0,1))))</f>
        <v>0</v>
      </c>
      <c r="AK699">
        <f t="shared" ref="AK699" si="261">COUNTIF(K699:L699,"NS")</f>
        <v>0</v>
      </c>
      <c r="AL699">
        <f t="shared" ref="AL699" si="262">SUM(K699:L699)</f>
        <v>0</v>
      </c>
      <c r="AM699">
        <f t="shared" ref="AM699" si="263">IF(COUNTIF(J699:L699,"NA")=3,0,IF(COUNTA(J699:L699)=0,0,IF(OR(AND(J699=0,AK699&gt;0),AND(J699="ns",AL699&gt;0),AND(J699="ns",AK699=0,AL699=0)),1,IF(OR(AND(J699&gt;0,AK699=2),AND(J699="ns",AK699=2),AND(J699="ns",AL699=0,AK699&gt;0),J699=AL699),0,1))))</f>
        <v>0</v>
      </c>
      <c r="AN699">
        <f t="shared" ref="AN699" si="264">COUNTIF(N699:O699,"NS")</f>
        <v>0</v>
      </c>
      <c r="AO699">
        <f t="shared" ref="AO699" si="265">SUM(N699:O699)</f>
        <v>0</v>
      </c>
      <c r="AP699">
        <f t="shared" ref="AP699" si="266">IF(COUNTIF(M699:O699,"NA")=3,0,IF(COUNTA(M699:O699)=0,0,IF(OR(AND(M699=0,AN699&gt;0),AND(M699="ns",AO699&gt;0),AND(M699="ns",AN699=0,AO699=0)),1,IF(OR(AND(M699&gt;0,AN699=2),AND(M699="ns",AN699=2),AND(M699="ns",AO699=0,AN699&gt;0),M699=AO699),0,1))))</f>
        <v>0</v>
      </c>
      <c r="AQ699">
        <f t="shared" ref="AQ699" si="267">COUNTIF(Q699:R699,"NS")</f>
        <v>0</v>
      </c>
      <c r="AR699">
        <f t="shared" ref="AR699" si="268">SUM(Q699:R699)</f>
        <v>0</v>
      </c>
      <c r="AS699">
        <f t="shared" ref="AS699" si="269">IF(COUNTIF(P699:R699,"NA")=3,0,IF(COUNTA(P699:R699)=0,0,IF(OR(AND(P699=0,AQ699&gt;0),AND(P699="ns",AR699&gt;0),AND(P699="ns",AQ699=0,AR699=0)),1,IF(OR(AND(P699&gt;0,AQ699=2),AND(P699="ns",AQ699=2),AND(P699="ns",AR699=0,AQ699&gt;0),P699=AR699),0,1))))</f>
        <v>0</v>
      </c>
      <c r="AT699">
        <f t="shared" ref="AT699" si="270">COUNTIF(T699:U699,"NS")</f>
        <v>0</v>
      </c>
      <c r="AU699">
        <f t="shared" ref="AU699" si="271">SUM(T699:U699)</f>
        <v>0</v>
      </c>
      <c r="AV699">
        <f t="shared" ref="AV699" si="272">IF(COUNTIF(S699:U699,"NA")=3,0,IF(COUNTA(S699:U699)=0,0,IF(OR(AND(S699=0,AT699&gt;0),AND(S699="ns",AU699&gt;0),AND(S699="ns",AT699=0,AU699=0)),1,IF(OR(AND(S699&gt;0,AT699=2),AND(S699="ns",AT699=2),AND(S699="ns",AU699=0,AT699&gt;0),S699=AU699),0,1))))</f>
        <v>0</v>
      </c>
      <c r="AW699">
        <f t="shared" ref="AW699" si="273">COUNTIF(W699:X699,"NS")</f>
        <v>0</v>
      </c>
      <c r="AX699">
        <f t="shared" ref="AX699" si="274">SUM(W699:X699)</f>
        <v>0</v>
      </c>
      <c r="AY699">
        <f t="shared" ref="AY699" si="275">IF(COUNTIF(V699:X699,"NA")=3,0,IF(COUNTA(V699:X699)=0,0,IF(OR(AND(V699=0,AW699&gt;0),AND(V699="ns",AX699&gt;0),AND(V699="ns",AW699=0,AX699=0)),1,IF(OR(AND(V699&gt;0,AW699=2),AND(V699="ns",AW699=2),AND(V699="ns",AX699=0,AW699&gt;0),V699=AX699),0,1))))</f>
        <v>0</v>
      </c>
      <c r="AZ699">
        <f t="shared" ref="AZ699" si="276">COUNTIF(Z699:AA699,"NS")</f>
        <v>0</v>
      </c>
      <c r="BA699">
        <f t="shared" ref="BA699" si="277">SUM(Z699:AA699)</f>
        <v>0</v>
      </c>
      <c r="BB699">
        <f t="shared" ref="BB699" si="278">IF(COUNTIF(Y699:AA699,"NA")=3,0,IF(COUNTA(Y699:AA699)=0,0,IF(OR(AND(Y699=0,AZ699&gt;0),AND(Y699="ns",BA699&gt;0),AND(Y699="ns",AZ699=0,BA699=0)),1,IF(OR(AND(Y699&gt;0,AZ699=2),AND(Y699="ns",AZ699=2),AND(Y699="ns",BA699=0,AZ699&gt;0),Y699=BA699),0,1))))</f>
        <v>0</v>
      </c>
      <c r="BC699">
        <f t="shared" ref="BC699" si="279">COUNTIF(AC699:AD699,"NS")</f>
        <v>0</v>
      </c>
      <c r="BD699">
        <f t="shared" ref="BD699" si="280">SUM(AC699:AD699)</f>
        <v>0</v>
      </c>
      <c r="BE699">
        <f t="shared" ref="BE699" si="281">IF(COUNTIF(AB699:AD699,"NA")=3,0,IF(COUNTA(AB699:AD699)=0,0,IF(OR(AND(AB699=0,BC699&gt;0),AND(AB699="ns",BD699&gt;0),AND(AB699="ns",BC699=0,BD699=0)),1,IF(OR(AND(AB699&gt;0,BC699=2),AND(AB699="ns",BC699=2),AND(AB699="ns",BD699=0,BC699&gt;0),AB699=BD699),0,1))))</f>
        <v>0</v>
      </c>
      <c r="BF699" cm="1">
        <f t="array" ref="BF699">IF(OR(G699={"NS","NA"},$S613={"NS","NA"}),0,IF(G699&lt;=$S613,0,1))</f>
        <v>0</v>
      </c>
      <c r="BG699" cm="1">
        <f t="array" ref="BG699">IF(OR(H699={"NS","NA"},$W613={"NS","NA"}),0,IF(H699&lt;=$W613,0,1))</f>
        <v>0</v>
      </c>
      <c r="BH699" cm="1">
        <f t="array" ref="BH699">IF(OR(I699={"NS","NA"},$AA613={"NS","NA"}),0,IF(I699&lt;=$AA613,0,1))</f>
        <v>0</v>
      </c>
      <c r="BI699" cm="1">
        <f t="array" ref="BI699">IF(OR(J699={"NS","NA"},$S613={"NS","NA"}),0,IF(J699&lt;=$S613,0,1))</f>
        <v>0</v>
      </c>
      <c r="BJ699" cm="1">
        <f t="array" ref="BJ699">IF(OR(K699={"NS","NA"},$W613={"NS","NA"}),0,IF(K699&lt;=$W613,0,1))</f>
        <v>0</v>
      </c>
      <c r="BK699" cm="1">
        <f t="array" ref="BK699">IF(OR(L699={"NS","NA"},$AA613={"NS","NA"}),0,IF(L699&lt;=$AA613,0,1))</f>
        <v>0</v>
      </c>
      <c r="BL699" cm="1">
        <f t="array" ref="BL699">IF(OR(M699={"NS","NA"},$S613={"NS","NA"}),0,IF(M699&lt;=$S613,0,1))</f>
        <v>0</v>
      </c>
      <c r="BM699" cm="1">
        <f t="array" ref="BM699">IF(OR(N699={"NS","NA"},$W613={"NS","NA"}),0,IF(N699&lt;=$W613,0,1))</f>
        <v>0</v>
      </c>
      <c r="BN699" cm="1">
        <f t="array" ref="BN699">IF(OR(O699={"NS","NA"},$AA613={"NS","NA"}),0,IF(O699&lt;=$AA613,0,1))</f>
        <v>0</v>
      </c>
      <c r="BO699" cm="1">
        <f t="array" ref="BO699">IF(OR(P699={"NS","NA"},$S613={"NS","NA"}),0,IF(P699&lt;=$S613,0,1))</f>
        <v>0</v>
      </c>
      <c r="BP699" cm="1">
        <f t="array" ref="BP699">IF(OR(Q699={"NS","NA"},$W613={"NS","NA"}),0,IF(Q699&lt;=$W613,0,1))</f>
        <v>0</v>
      </c>
      <c r="BQ699" cm="1">
        <f t="array" ref="BQ699">IF(OR(R699={"NS","NA"},$AA613={"NS","NA"}),0,IF(R699&lt;=$AA613,0,1))</f>
        <v>0</v>
      </c>
      <c r="BR699" cm="1">
        <f t="array" ref="BR699">IF(OR(S699={"NS","NA"},$S613={"NS","NA"}),0,IF(S699&lt;=$S613,0,1))</f>
        <v>0</v>
      </c>
      <c r="BS699" cm="1">
        <f t="array" ref="BS699">IF(OR(T699={"NS","NA"},$W613={"NS","NA"}),0,IF(T699&lt;=$W613,0,1))</f>
        <v>0</v>
      </c>
      <c r="BT699" cm="1">
        <f t="array" ref="BT699">IF(OR(U699={"NS","NA"},$AA613={"NS","NA"}),0,IF(U699&lt;=$AA613,0,1))</f>
        <v>0</v>
      </c>
      <c r="BU699" cm="1">
        <f t="array" ref="BU699">IF(OR(V699={"NS","NA"},$S613={"NS","NA"}),0,IF(V699&lt;=$S613,0,1))</f>
        <v>0</v>
      </c>
      <c r="BV699" cm="1">
        <f t="array" ref="BV699">IF(OR(W699={"NS","NA"},$W613={"NS","NA"}),0,IF(W699&lt;=$W613,0,1))</f>
        <v>0</v>
      </c>
      <c r="BW699" cm="1">
        <f t="array" ref="BW699">IF(OR(X699={"NS","NA"},$AA613={"NS","NA"}),0,IF(X699&lt;=$AA613,0,1))</f>
        <v>0</v>
      </c>
      <c r="BX699" cm="1">
        <f t="array" ref="BX699">IF(OR(Y699={"NS","NA"},$S613={"NS","NA"}),0,IF(Y699&lt;=$S613,0,1))</f>
        <v>0</v>
      </c>
      <c r="BY699" cm="1">
        <f t="array" ref="BY699">IF(OR(Z699={"NS","NA"},$W613={"NS","NA"}),0,IF(Z699&lt;=$W613,0,1))</f>
        <v>0</v>
      </c>
      <c r="BZ699" cm="1">
        <f t="array" ref="BZ699">IF(OR(AA699={"NS","NA"},$AA613={"NS","NA"}),0,IF(AA699&lt;=$AA613,0,1))</f>
        <v>0</v>
      </c>
      <c r="CA699" cm="1">
        <f t="array" ref="CA699">IF(OR(AB699={"NS","NA"},$S613={"NS","NA"}),0,IF(AB699&lt;=$S613,0,1))</f>
        <v>0</v>
      </c>
      <c r="CB699" cm="1">
        <f t="array" ref="CB699">IF(OR(AC699={"NS","NA"},$W613={"NS","NA"}),0,IF(AC699&lt;=$W613,0,1))</f>
        <v>0</v>
      </c>
      <c r="CC699" cm="1">
        <f t="array" ref="CC699">IF(OR(AD699={"NS","NA"},$AA613={"NS","NA"}),0,IF(AD699&lt;=$AA613,0,1))</f>
        <v>0</v>
      </c>
    </row>
    <row r="700" spans="1:81" ht="15" customHeight="1">
      <c r="A700" s="210"/>
      <c r="B700" s="38"/>
      <c r="C700" s="143" t="s">
        <v>2517</v>
      </c>
      <c r="D700" s="813" t="str">
        <f>IF(CNSIPEE_2024_M2_Secc1!D43="","",CNSIPEE_2024_M2_Secc1!D43)</f>
        <v/>
      </c>
      <c r="E700" s="814"/>
      <c r="F700" s="815"/>
      <c r="G700" s="100"/>
      <c r="H700" s="100"/>
      <c r="I700" s="100"/>
      <c r="J700" s="100"/>
      <c r="K700" s="100"/>
      <c r="L700" s="100"/>
      <c r="M700" s="100"/>
      <c r="N700" s="100"/>
      <c r="O700" s="100"/>
      <c r="P700" s="100"/>
      <c r="Q700" s="100"/>
      <c r="R700" s="100"/>
      <c r="S700" s="100"/>
      <c r="T700" s="100"/>
      <c r="U700" s="100"/>
      <c r="V700" s="100"/>
      <c r="W700" s="100"/>
      <c r="X700" s="100"/>
      <c r="Y700" s="100"/>
      <c r="Z700" s="100"/>
      <c r="AA700" s="100"/>
      <c r="AB700" s="100"/>
      <c r="AC700" s="100"/>
      <c r="AD700" s="100"/>
      <c r="AG700" s="38"/>
      <c r="AH700">
        <f t="shared" ref="AH700:AH706" si="282">COUNTIF(H700:I700,"NS")</f>
        <v>0</v>
      </c>
      <c r="AI700">
        <f t="shared" ref="AI700:AI706" si="283">SUM(H700:I700)</f>
        <v>0</v>
      </c>
      <c r="AJ700">
        <f t="shared" ref="AJ700:AJ706" si="284">IF(COUNTIF(G700:I700,"NA")=3,0,IF(COUNTA(G700:I700)=0,0,IF(OR(AND(G700=0,AH700&gt;0),AND(G700="ns",AI700&gt;0),AND(G700="ns",AH700=0,AI700=0)),1,IF(OR(AND(G700&gt;0,AH700=2),AND(G700="ns",AH700=2),AND(G700="ns",AI700=0,AH700&gt;0),G700=AI700),0,1))))</f>
        <v>0</v>
      </c>
      <c r="AK700">
        <f t="shared" ref="AK700:AK706" si="285">COUNTIF(K700:L700,"NS")</f>
        <v>0</v>
      </c>
      <c r="AL700">
        <f t="shared" ref="AL700:AL706" si="286">SUM(K700:L700)</f>
        <v>0</v>
      </c>
      <c r="AM700">
        <f t="shared" ref="AM700:AM706" si="287">IF(COUNTIF(J700:L700,"NA")=3,0,IF(COUNTA(J700:L700)=0,0,IF(OR(AND(J700=0,AK700&gt;0),AND(J700="ns",AL700&gt;0),AND(J700="ns",AK700=0,AL700=0)),1,IF(OR(AND(J700&gt;0,AK700=2),AND(J700="ns",AK700=2),AND(J700="ns",AL700=0,AK700&gt;0),J700=AL700),0,1))))</f>
        <v>0</v>
      </c>
      <c r="AN700">
        <f t="shared" ref="AN700:AN706" si="288">COUNTIF(N700:O700,"NS")</f>
        <v>0</v>
      </c>
      <c r="AO700">
        <f t="shared" ref="AO700:AO706" si="289">SUM(N700:O700)</f>
        <v>0</v>
      </c>
      <c r="AP700">
        <f t="shared" ref="AP700:AP706" si="290">IF(COUNTIF(M700:O700,"NA")=3,0,IF(COUNTA(M700:O700)=0,0,IF(OR(AND(M700=0,AN700&gt;0),AND(M700="ns",AO700&gt;0),AND(M700="ns",AN700=0,AO700=0)),1,IF(OR(AND(M700&gt;0,AN700=2),AND(M700="ns",AN700=2),AND(M700="ns",AO700=0,AN700&gt;0),M700=AO700),0,1))))</f>
        <v>0</v>
      </c>
      <c r="AQ700">
        <f t="shared" ref="AQ700:AQ706" si="291">COUNTIF(Q700:R700,"NS")</f>
        <v>0</v>
      </c>
      <c r="AR700">
        <f t="shared" ref="AR700:AR706" si="292">SUM(Q700:R700)</f>
        <v>0</v>
      </c>
      <c r="AS700">
        <f t="shared" ref="AS700:AS706" si="293">IF(COUNTIF(P700:R700,"NA")=3,0,IF(COUNTA(P700:R700)=0,0,IF(OR(AND(P700=0,AQ700&gt;0),AND(P700="ns",AR700&gt;0),AND(P700="ns",AQ700=0,AR700=0)),1,IF(OR(AND(P700&gt;0,AQ700=2),AND(P700="ns",AQ700=2),AND(P700="ns",AR700=0,AQ700&gt;0),P700=AR700),0,1))))</f>
        <v>0</v>
      </c>
      <c r="AT700">
        <f t="shared" ref="AT700:AT706" si="294">COUNTIF(T700:U700,"NS")</f>
        <v>0</v>
      </c>
      <c r="AU700">
        <f t="shared" ref="AU700:AU706" si="295">SUM(T700:U700)</f>
        <v>0</v>
      </c>
      <c r="AV700">
        <f t="shared" ref="AV700:AV706" si="296">IF(COUNTIF(S700:U700,"NA")=3,0,IF(COUNTA(S700:U700)=0,0,IF(OR(AND(S700=0,AT700&gt;0),AND(S700="ns",AU700&gt;0),AND(S700="ns",AT700=0,AU700=0)),1,IF(OR(AND(S700&gt;0,AT700=2),AND(S700="ns",AT700=2),AND(S700="ns",AU700=0,AT700&gt;0),S700=AU700),0,1))))</f>
        <v>0</v>
      </c>
      <c r="AW700">
        <f t="shared" ref="AW700:AW706" si="297">COUNTIF(W700:X700,"NS")</f>
        <v>0</v>
      </c>
      <c r="AX700">
        <f t="shared" ref="AX700:AX706" si="298">SUM(W700:X700)</f>
        <v>0</v>
      </c>
      <c r="AY700">
        <f t="shared" ref="AY700:AY706" si="299">IF(COUNTIF(V700:X700,"NA")=3,0,IF(COUNTA(V700:X700)=0,0,IF(OR(AND(V700=0,AW700&gt;0),AND(V700="ns",AX700&gt;0),AND(V700="ns",AW700=0,AX700=0)),1,IF(OR(AND(V700&gt;0,AW700=2),AND(V700="ns",AW700=2),AND(V700="ns",AX700=0,AW700&gt;0),V700=AX700),0,1))))</f>
        <v>0</v>
      </c>
      <c r="AZ700">
        <f t="shared" ref="AZ700:AZ706" si="300">COUNTIF(Z700:AA700,"NS")</f>
        <v>0</v>
      </c>
      <c r="BA700">
        <f t="shared" ref="BA700:BA706" si="301">SUM(Z700:AA700)</f>
        <v>0</v>
      </c>
      <c r="BB700">
        <f t="shared" ref="BB700:BB706" si="302">IF(COUNTIF(Y700:AA700,"NA")=3,0,IF(COUNTA(Y700:AA700)=0,0,IF(OR(AND(Y700=0,AZ700&gt;0),AND(Y700="ns",BA700&gt;0),AND(Y700="ns",AZ700=0,BA700=0)),1,IF(OR(AND(Y700&gt;0,AZ700=2),AND(Y700="ns",AZ700=2),AND(Y700="ns",BA700=0,AZ700&gt;0),Y700=BA700),0,1))))</f>
        <v>0</v>
      </c>
      <c r="BC700">
        <f t="shared" ref="BC700:BC706" si="303">COUNTIF(AC700:AD700,"NS")</f>
        <v>0</v>
      </c>
      <c r="BD700">
        <f t="shared" ref="BD700:BD706" si="304">SUM(AC700:AD700)</f>
        <v>0</v>
      </c>
      <c r="BE700">
        <f t="shared" ref="BE700:BE706" si="305">IF(COUNTIF(AB700:AD700,"NA")=3,0,IF(COUNTA(AB700:AD700)=0,0,IF(OR(AND(AB700=0,BC700&gt;0),AND(AB700="ns",BD700&gt;0),AND(AB700="ns",BC700=0,BD700=0)),1,IF(OR(AND(AB700&gt;0,BC700=2),AND(AB700="ns",BC700=2),AND(AB700="ns",BD700=0,BC700&gt;0),AB700=BD700),0,1))))</f>
        <v>0</v>
      </c>
      <c r="BF700" cm="1">
        <f t="array" ref="BF700">IF(OR(G700={"NS","NA"},$S614={"NS","NA"}),0,IF(G700&lt;=$S614,0,1))</f>
        <v>0</v>
      </c>
      <c r="BG700" cm="1">
        <f t="array" ref="BG700">IF(OR(H700={"NS","NA"},$W614={"NS","NA"}),0,IF(H700&lt;=$W614,0,1))</f>
        <v>0</v>
      </c>
      <c r="BH700" cm="1">
        <f t="array" ref="BH700">IF(OR(I700={"NS","NA"},$AA614={"NS","NA"}),0,IF(I700&lt;=$AA614,0,1))</f>
        <v>0</v>
      </c>
      <c r="BI700" cm="1">
        <f t="array" ref="BI700">IF(OR(J700={"NS","NA"},$S614={"NS","NA"}),0,IF(J700&lt;=$S614,0,1))</f>
        <v>0</v>
      </c>
      <c r="BJ700" cm="1">
        <f t="array" ref="BJ700">IF(OR(K700={"NS","NA"},$W614={"NS","NA"}),0,IF(K700&lt;=$W614,0,1))</f>
        <v>0</v>
      </c>
      <c r="BK700" cm="1">
        <f t="array" ref="BK700">IF(OR(L700={"NS","NA"},$AA614={"NS","NA"}),0,IF(L700&lt;=$AA614,0,1))</f>
        <v>0</v>
      </c>
      <c r="BL700" cm="1">
        <f t="array" ref="BL700">IF(OR(M700={"NS","NA"},$S614={"NS","NA"}),0,IF(M700&lt;=$S614,0,1))</f>
        <v>0</v>
      </c>
      <c r="BM700" cm="1">
        <f t="array" ref="BM700">IF(OR(N700={"NS","NA"},$W614={"NS","NA"}),0,IF(N700&lt;=$W614,0,1))</f>
        <v>0</v>
      </c>
      <c r="BN700" cm="1">
        <f t="array" ref="BN700">IF(OR(O700={"NS","NA"},$AA614={"NS","NA"}),0,IF(O700&lt;=$AA614,0,1))</f>
        <v>0</v>
      </c>
      <c r="BO700" cm="1">
        <f t="array" ref="BO700">IF(OR(P700={"NS","NA"},$S614={"NS","NA"}),0,IF(P700&lt;=$S614,0,1))</f>
        <v>0</v>
      </c>
      <c r="BP700" cm="1">
        <f t="array" ref="BP700">IF(OR(Q700={"NS","NA"},$W614={"NS","NA"}),0,IF(Q700&lt;=$W614,0,1))</f>
        <v>0</v>
      </c>
      <c r="BQ700" cm="1">
        <f t="array" ref="BQ700">IF(OR(R700={"NS","NA"},$AA614={"NS","NA"}),0,IF(R700&lt;=$AA614,0,1))</f>
        <v>0</v>
      </c>
      <c r="BR700" cm="1">
        <f t="array" ref="BR700">IF(OR(S700={"NS","NA"},$S614={"NS","NA"}),0,IF(S700&lt;=$S614,0,1))</f>
        <v>0</v>
      </c>
      <c r="BS700" cm="1">
        <f t="array" ref="BS700">IF(OR(T700={"NS","NA"},$W614={"NS","NA"}),0,IF(T700&lt;=$W614,0,1))</f>
        <v>0</v>
      </c>
      <c r="BT700" cm="1">
        <f t="array" ref="BT700">IF(OR(U700={"NS","NA"},$AA614={"NS","NA"}),0,IF(U700&lt;=$AA614,0,1))</f>
        <v>0</v>
      </c>
      <c r="BU700" cm="1">
        <f t="array" ref="BU700">IF(OR(V700={"NS","NA"},$S614={"NS","NA"}),0,IF(V700&lt;=$S614,0,1))</f>
        <v>0</v>
      </c>
      <c r="BV700" cm="1">
        <f t="array" ref="BV700">IF(OR(W700={"NS","NA"},$W614={"NS","NA"}),0,IF(W700&lt;=$W614,0,1))</f>
        <v>0</v>
      </c>
      <c r="BW700" cm="1">
        <f t="array" ref="BW700">IF(OR(X700={"NS","NA"},$AA614={"NS","NA"}),0,IF(X700&lt;=$AA614,0,1))</f>
        <v>0</v>
      </c>
      <c r="BX700" cm="1">
        <f t="array" ref="BX700">IF(OR(Y700={"NS","NA"},$S614={"NS","NA"}),0,IF(Y700&lt;=$S614,0,1))</f>
        <v>0</v>
      </c>
      <c r="BY700" cm="1">
        <f t="array" ref="BY700">IF(OR(Z700={"NS","NA"},$W614={"NS","NA"}),0,IF(Z700&lt;=$W614,0,1))</f>
        <v>0</v>
      </c>
      <c r="BZ700" cm="1">
        <f t="array" ref="BZ700">IF(OR(AA700={"NS","NA"},$AA614={"NS","NA"}),0,IF(AA700&lt;=$AA614,0,1))</f>
        <v>0</v>
      </c>
      <c r="CA700" cm="1">
        <f t="array" ref="CA700">IF(OR(AB700={"NS","NA"},$S614={"NS","NA"}),0,IF(AB700&lt;=$S614,0,1))</f>
        <v>0</v>
      </c>
      <c r="CB700" cm="1">
        <f t="array" ref="CB700">IF(OR(AC700={"NS","NA"},$W614={"NS","NA"}),0,IF(AC700&lt;=$W614,0,1))</f>
        <v>0</v>
      </c>
      <c r="CC700" cm="1">
        <f t="array" ref="CC700">IF(OR(AD700={"NS","NA"},$AA614={"NS","NA"}),0,IF(AD700&lt;=$AA614,0,1))</f>
        <v>0</v>
      </c>
    </row>
    <row r="701" spans="1:81" ht="15" customHeight="1">
      <c r="A701" s="210"/>
      <c r="B701" s="38"/>
      <c r="C701" s="143" t="s">
        <v>2518</v>
      </c>
      <c r="D701" s="813" t="str">
        <f>IF(CNSIPEE_2024_M2_Secc1!D44="","",CNSIPEE_2024_M2_Secc1!D44)</f>
        <v/>
      </c>
      <c r="E701" s="814"/>
      <c r="F701" s="815"/>
      <c r="G701" s="100"/>
      <c r="H701" s="100"/>
      <c r="I701" s="100"/>
      <c r="J701" s="100"/>
      <c r="K701" s="100"/>
      <c r="L701" s="100"/>
      <c r="M701" s="100"/>
      <c r="N701" s="100"/>
      <c r="O701" s="100"/>
      <c r="P701" s="100"/>
      <c r="Q701" s="100"/>
      <c r="R701" s="100"/>
      <c r="S701" s="100"/>
      <c r="T701" s="100"/>
      <c r="U701" s="100"/>
      <c r="V701" s="100"/>
      <c r="W701" s="100"/>
      <c r="X701" s="100"/>
      <c r="Y701" s="100"/>
      <c r="Z701" s="100"/>
      <c r="AA701" s="100"/>
      <c r="AB701" s="100"/>
      <c r="AC701" s="100"/>
      <c r="AD701" s="100"/>
      <c r="AG701" s="38"/>
      <c r="AH701">
        <f t="shared" si="282"/>
        <v>0</v>
      </c>
      <c r="AI701">
        <f t="shared" si="283"/>
        <v>0</v>
      </c>
      <c r="AJ701">
        <f t="shared" si="284"/>
        <v>0</v>
      </c>
      <c r="AK701">
        <f t="shared" si="285"/>
        <v>0</v>
      </c>
      <c r="AL701">
        <f t="shared" si="286"/>
        <v>0</v>
      </c>
      <c r="AM701">
        <f t="shared" si="287"/>
        <v>0</v>
      </c>
      <c r="AN701">
        <f t="shared" si="288"/>
        <v>0</v>
      </c>
      <c r="AO701">
        <f t="shared" si="289"/>
        <v>0</v>
      </c>
      <c r="AP701">
        <f t="shared" si="290"/>
        <v>0</v>
      </c>
      <c r="AQ701">
        <f t="shared" si="291"/>
        <v>0</v>
      </c>
      <c r="AR701">
        <f t="shared" si="292"/>
        <v>0</v>
      </c>
      <c r="AS701">
        <f t="shared" si="293"/>
        <v>0</v>
      </c>
      <c r="AT701">
        <f t="shared" si="294"/>
        <v>0</v>
      </c>
      <c r="AU701">
        <f t="shared" si="295"/>
        <v>0</v>
      </c>
      <c r="AV701">
        <f t="shared" si="296"/>
        <v>0</v>
      </c>
      <c r="AW701">
        <f t="shared" si="297"/>
        <v>0</v>
      </c>
      <c r="AX701">
        <f t="shared" si="298"/>
        <v>0</v>
      </c>
      <c r="AY701">
        <f t="shared" si="299"/>
        <v>0</v>
      </c>
      <c r="AZ701">
        <f t="shared" si="300"/>
        <v>0</v>
      </c>
      <c r="BA701">
        <f t="shared" si="301"/>
        <v>0</v>
      </c>
      <c r="BB701">
        <f t="shared" si="302"/>
        <v>0</v>
      </c>
      <c r="BC701">
        <f t="shared" si="303"/>
        <v>0</v>
      </c>
      <c r="BD701">
        <f t="shared" si="304"/>
        <v>0</v>
      </c>
      <c r="BE701">
        <f t="shared" si="305"/>
        <v>0</v>
      </c>
      <c r="BF701" cm="1">
        <f t="array" ref="BF701">IF(OR(G701={"NS","NA"},$S615={"NS","NA"}),0,IF(G701&lt;=$S615,0,1))</f>
        <v>0</v>
      </c>
      <c r="BG701" cm="1">
        <f t="array" ref="BG701">IF(OR(H701={"NS","NA"},$W615={"NS","NA"}),0,IF(H701&lt;=$W615,0,1))</f>
        <v>0</v>
      </c>
      <c r="BH701" cm="1">
        <f t="array" ref="BH701">IF(OR(I701={"NS","NA"},$AA615={"NS","NA"}),0,IF(I701&lt;=$AA615,0,1))</f>
        <v>0</v>
      </c>
      <c r="BI701" cm="1">
        <f t="array" ref="BI701">IF(OR(J701={"NS","NA"},$S615={"NS","NA"}),0,IF(J701&lt;=$S615,0,1))</f>
        <v>0</v>
      </c>
      <c r="BJ701" cm="1">
        <f t="array" ref="BJ701">IF(OR(K701={"NS","NA"},$W615={"NS","NA"}),0,IF(K701&lt;=$W615,0,1))</f>
        <v>0</v>
      </c>
      <c r="BK701" cm="1">
        <f t="array" ref="BK701">IF(OR(L701={"NS","NA"},$AA615={"NS","NA"}),0,IF(L701&lt;=$AA615,0,1))</f>
        <v>0</v>
      </c>
      <c r="BL701" cm="1">
        <f t="array" ref="BL701">IF(OR(M701={"NS","NA"},$S615={"NS","NA"}),0,IF(M701&lt;=$S615,0,1))</f>
        <v>0</v>
      </c>
      <c r="BM701" cm="1">
        <f t="array" ref="BM701">IF(OR(N701={"NS","NA"},$W615={"NS","NA"}),0,IF(N701&lt;=$W615,0,1))</f>
        <v>0</v>
      </c>
      <c r="BN701" cm="1">
        <f t="array" ref="BN701">IF(OR(O701={"NS","NA"},$AA615={"NS","NA"}),0,IF(O701&lt;=$AA615,0,1))</f>
        <v>0</v>
      </c>
      <c r="BO701" cm="1">
        <f t="array" ref="BO701">IF(OR(P701={"NS","NA"},$S615={"NS","NA"}),0,IF(P701&lt;=$S615,0,1))</f>
        <v>0</v>
      </c>
      <c r="BP701" cm="1">
        <f t="array" ref="BP701">IF(OR(Q701={"NS","NA"},$W615={"NS","NA"}),0,IF(Q701&lt;=$W615,0,1))</f>
        <v>0</v>
      </c>
      <c r="BQ701" cm="1">
        <f t="array" ref="BQ701">IF(OR(R701={"NS","NA"},$AA615={"NS","NA"}),0,IF(R701&lt;=$AA615,0,1))</f>
        <v>0</v>
      </c>
      <c r="BR701" cm="1">
        <f t="array" ref="BR701">IF(OR(S701={"NS","NA"},$S615={"NS","NA"}),0,IF(S701&lt;=$S615,0,1))</f>
        <v>0</v>
      </c>
      <c r="BS701" cm="1">
        <f t="array" ref="BS701">IF(OR(T701={"NS","NA"},$W615={"NS","NA"}),0,IF(T701&lt;=$W615,0,1))</f>
        <v>0</v>
      </c>
      <c r="BT701" cm="1">
        <f t="array" ref="BT701">IF(OR(U701={"NS","NA"},$AA615={"NS","NA"}),0,IF(U701&lt;=$AA615,0,1))</f>
        <v>0</v>
      </c>
      <c r="BU701" cm="1">
        <f t="array" ref="BU701">IF(OR(V701={"NS","NA"},$S615={"NS","NA"}),0,IF(V701&lt;=$S615,0,1))</f>
        <v>0</v>
      </c>
      <c r="BV701" cm="1">
        <f t="array" ref="BV701">IF(OR(W701={"NS","NA"},$W615={"NS","NA"}),0,IF(W701&lt;=$W615,0,1))</f>
        <v>0</v>
      </c>
      <c r="BW701" cm="1">
        <f t="array" ref="BW701">IF(OR(X701={"NS","NA"},$AA615={"NS","NA"}),0,IF(X701&lt;=$AA615,0,1))</f>
        <v>0</v>
      </c>
      <c r="BX701" cm="1">
        <f t="array" ref="BX701">IF(OR(Y701={"NS","NA"},$S615={"NS","NA"}),0,IF(Y701&lt;=$S615,0,1))</f>
        <v>0</v>
      </c>
      <c r="BY701" cm="1">
        <f t="array" ref="BY701">IF(OR(Z701={"NS","NA"},$W615={"NS","NA"}),0,IF(Z701&lt;=$W615,0,1))</f>
        <v>0</v>
      </c>
      <c r="BZ701" cm="1">
        <f t="array" ref="BZ701">IF(OR(AA701={"NS","NA"},$AA615={"NS","NA"}),0,IF(AA701&lt;=$AA615,0,1))</f>
        <v>0</v>
      </c>
      <c r="CA701" cm="1">
        <f t="array" ref="CA701">IF(OR(AB701={"NS","NA"},$S615={"NS","NA"}),0,IF(AB701&lt;=$S615,0,1))</f>
        <v>0</v>
      </c>
      <c r="CB701" cm="1">
        <f t="array" ref="CB701">IF(OR(AC701={"NS","NA"},$W615={"NS","NA"}),0,IF(AC701&lt;=$W615,0,1))</f>
        <v>0</v>
      </c>
      <c r="CC701" cm="1">
        <f t="array" ref="CC701">IF(OR(AD701={"NS","NA"},$AA615={"NS","NA"}),0,IF(AD701&lt;=$AA615,0,1))</f>
        <v>0</v>
      </c>
    </row>
    <row r="702" spans="1:81" ht="15" customHeight="1">
      <c r="A702" s="210"/>
      <c r="B702" s="38"/>
      <c r="C702" s="143" t="s">
        <v>2519</v>
      </c>
      <c r="D702" s="813" t="str">
        <f>IF(CNSIPEE_2024_M2_Secc1!D45="","",CNSIPEE_2024_M2_Secc1!D45)</f>
        <v/>
      </c>
      <c r="E702" s="814"/>
      <c r="F702" s="815"/>
      <c r="G702" s="100"/>
      <c r="H702" s="100"/>
      <c r="I702" s="100"/>
      <c r="J702" s="100"/>
      <c r="K702" s="100"/>
      <c r="L702" s="100"/>
      <c r="M702" s="100"/>
      <c r="N702" s="100"/>
      <c r="O702" s="100"/>
      <c r="P702" s="100"/>
      <c r="Q702" s="100"/>
      <c r="R702" s="100"/>
      <c r="S702" s="100"/>
      <c r="T702" s="100"/>
      <c r="U702" s="100"/>
      <c r="V702" s="100"/>
      <c r="W702" s="100"/>
      <c r="X702" s="100"/>
      <c r="Y702" s="100"/>
      <c r="Z702" s="100"/>
      <c r="AA702" s="100"/>
      <c r="AB702" s="100"/>
      <c r="AC702" s="100"/>
      <c r="AD702" s="100"/>
      <c r="AG702" s="38"/>
      <c r="AH702">
        <f t="shared" si="282"/>
        <v>0</v>
      </c>
      <c r="AI702">
        <f t="shared" si="283"/>
        <v>0</v>
      </c>
      <c r="AJ702">
        <f t="shared" si="284"/>
        <v>0</v>
      </c>
      <c r="AK702">
        <f t="shared" si="285"/>
        <v>0</v>
      </c>
      <c r="AL702">
        <f t="shared" si="286"/>
        <v>0</v>
      </c>
      <c r="AM702">
        <f t="shared" si="287"/>
        <v>0</v>
      </c>
      <c r="AN702">
        <f t="shared" si="288"/>
        <v>0</v>
      </c>
      <c r="AO702">
        <f t="shared" si="289"/>
        <v>0</v>
      </c>
      <c r="AP702">
        <f t="shared" si="290"/>
        <v>0</v>
      </c>
      <c r="AQ702">
        <f t="shared" si="291"/>
        <v>0</v>
      </c>
      <c r="AR702">
        <f t="shared" si="292"/>
        <v>0</v>
      </c>
      <c r="AS702">
        <f t="shared" si="293"/>
        <v>0</v>
      </c>
      <c r="AT702">
        <f t="shared" si="294"/>
        <v>0</v>
      </c>
      <c r="AU702">
        <f t="shared" si="295"/>
        <v>0</v>
      </c>
      <c r="AV702">
        <f t="shared" si="296"/>
        <v>0</v>
      </c>
      <c r="AW702">
        <f t="shared" si="297"/>
        <v>0</v>
      </c>
      <c r="AX702">
        <f t="shared" si="298"/>
        <v>0</v>
      </c>
      <c r="AY702">
        <f t="shared" si="299"/>
        <v>0</v>
      </c>
      <c r="AZ702">
        <f t="shared" si="300"/>
        <v>0</v>
      </c>
      <c r="BA702">
        <f t="shared" si="301"/>
        <v>0</v>
      </c>
      <c r="BB702">
        <f t="shared" si="302"/>
        <v>0</v>
      </c>
      <c r="BC702">
        <f t="shared" si="303"/>
        <v>0</v>
      </c>
      <c r="BD702">
        <f t="shared" si="304"/>
        <v>0</v>
      </c>
      <c r="BE702">
        <f t="shared" si="305"/>
        <v>0</v>
      </c>
      <c r="BF702" cm="1">
        <f t="array" ref="BF702">IF(OR(G702={"NS","NA"},$S616={"NS","NA"}),0,IF(G702&lt;=$S616,0,1))</f>
        <v>0</v>
      </c>
      <c r="BG702" cm="1">
        <f t="array" ref="BG702">IF(OR(H702={"NS","NA"},$W616={"NS","NA"}),0,IF(H702&lt;=$W616,0,1))</f>
        <v>0</v>
      </c>
      <c r="BH702" cm="1">
        <f t="array" ref="BH702">IF(OR(I702={"NS","NA"},$AA616={"NS","NA"}),0,IF(I702&lt;=$AA616,0,1))</f>
        <v>0</v>
      </c>
      <c r="BI702" cm="1">
        <f t="array" ref="BI702">IF(OR(J702={"NS","NA"},$S616={"NS","NA"}),0,IF(J702&lt;=$S616,0,1))</f>
        <v>0</v>
      </c>
      <c r="BJ702" cm="1">
        <f t="array" ref="BJ702">IF(OR(K702={"NS","NA"},$W616={"NS","NA"}),0,IF(K702&lt;=$W616,0,1))</f>
        <v>0</v>
      </c>
      <c r="BK702" cm="1">
        <f t="array" ref="BK702">IF(OR(L702={"NS","NA"},$AA616={"NS","NA"}),0,IF(L702&lt;=$AA616,0,1))</f>
        <v>0</v>
      </c>
      <c r="BL702" cm="1">
        <f t="array" ref="BL702">IF(OR(M702={"NS","NA"},$S616={"NS","NA"}),0,IF(M702&lt;=$S616,0,1))</f>
        <v>0</v>
      </c>
      <c r="BM702" cm="1">
        <f t="array" ref="BM702">IF(OR(N702={"NS","NA"},$W616={"NS","NA"}),0,IF(N702&lt;=$W616,0,1))</f>
        <v>0</v>
      </c>
      <c r="BN702" cm="1">
        <f t="array" ref="BN702">IF(OR(O702={"NS","NA"},$AA616={"NS","NA"}),0,IF(O702&lt;=$AA616,0,1))</f>
        <v>0</v>
      </c>
      <c r="BO702" cm="1">
        <f t="array" ref="BO702">IF(OR(P702={"NS","NA"},$S616={"NS","NA"}),0,IF(P702&lt;=$S616,0,1))</f>
        <v>0</v>
      </c>
      <c r="BP702" cm="1">
        <f t="array" ref="BP702">IF(OR(Q702={"NS","NA"},$W616={"NS","NA"}),0,IF(Q702&lt;=$W616,0,1))</f>
        <v>0</v>
      </c>
      <c r="BQ702" cm="1">
        <f t="array" ref="BQ702">IF(OR(R702={"NS","NA"},$AA616={"NS","NA"}),0,IF(R702&lt;=$AA616,0,1))</f>
        <v>0</v>
      </c>
      <c r="BR702" cm="1">
        <f t="array" ref="BR702">IF(OR(S702={"NS","NA"},$S616={"NS","NA"}),0,IF(S702&lt;=$S616,0,1))</f>
        <v>0</v>
      </c>
      <c r="BS702" cm="1">
        <f t="array" ref="BS702">IF(OR(T702={"NS","NA"},$W616={"NS","NA"}),0,IF(T702&lt;=$W616,0,1))</f>
        <v>0</v>
      </c>
      <c r="BT702" cm="1">
        <f t="array" ref="BT702">IF(OR(U702={"NS","NA"},$AA616={"NS","NA"}),0,IF(U702&lt;=$AA616,0,1))</f>
        <v>0</v>
      </c>
      <c r="BU702" cm="1">
        <f t="array" ref="BU702">IF(OR(V702={"NS","NA"},$S616={"NS","NA"}),0,IF(V702&lt;=$S616,0,1))</f>
        <v>0</v>
      </c>
      <c r="BV702" cm="1">
        <f t="array" ref="BV702">IF(OR(W702={"NS","NA"},$W616={"NS","NA"}),0,IF(W702&lt;=$W616,0,1))</f>
        <v>0</v>
      </c>
      <c r="BW702" cm="1">
        <f t="array" ref="BW702">IF(OR(X702={"NS","NA"},$AA616={"NS","NA"}),0,IF(X702&lt;=$AA616,0,1))</f>
        <v>0</v>
      </c>
      <c r="BX702" cm="1">
        <f t="array" ref="BX702">IF(OR(Y702={"NS","NA"},$S616={"NS","NA"}),0,IF(Y702&lt;=$S616,0,1))</f>
        <v>0</v>
      </c>
      <c r="BY702" cm="1">
        <f t="array" ref="BY702">IF(OR(Z702={"NS","NA"},$W616={"NS","NA"}),0,IF(Z702&lt;=$W616,0,1))</f>
        <v>0</v>
      </c>
      <c r="BZ702" cm="1">
        <f t="array" ref="BZ702">IF(OR(AA702={"NS","NA"},$AA616={"NS","NA"}),0,IF(AA702&lt;=$AA616,0,1))</f>
        <v>0</v>
      </c>
      <c r="CA702" cm="1">
        <f t="array" ref="CA702">IF(OR(AB702={"NS","NA"},$S616={"NS","NA"}),0,IF(AB702&lt;=$S616,0,1))</f>
        <v>0</v>
      </c>
      <c r="CB702" cm="1">
        <f t="array" ref="CB702">IF(OR(AC702={"NS","NA"},$W616={"NS","NA"}),0,IF(AC702&lt;=$W616,0,1))</f>
        <v>0</v>
      </c>
      <c r="CC702" cm="1">
        <f t="array" ref="CC702">IF(OR(AD702={"NS","NA"},$AA616={"NS","NA"}),0,IF(AD702&lt;=$AA616,0,1))</f>
        <v>0</v>
      </c>
    </row>
    <row r="703" spans="1:81" ht="15" customHeight="1">
      <c r="A703" s="210"/>
      <c r="B703" s="38"/>
      <c r="C703" s="143" t="s">
        <v>2520</v>
      </c>
      <c r="D703" s="813" t="str">
        <f>IF(CNSIPEE_2024_M2_Secc1!D46="","",CNSIPEE_2024_M2_Secc1!D46)</f>
        <v/>
      </c>
      <c r="E703" s="814"/>
      <c r="F703" s="815"/>
      <c r="G703" s="100"/>
      <c r="H703" s="100"/>
      <c r="I703" s="100"/>
      <c r="J703" s="100"/>
      <c r="K703" s="100"/>
      <c r="L703" s="100"/>
      <c r="M703" s="100"/>
      <c r="N703" s="100"/>
      <c r="O703" s="100"/>
      <c r="P703" s="100"/>
      <c r="Q703" s="100"/>
      <c r="R703" s="100"/>
      <c r="S703" s="100"/>
      <c r="T703" s="100"/>
      <c r="U703" s="100"/>
      <c r="V703" s="100"/>
      <c r="W703" s="100"/>
      <c r="X703" s="100"/>
      <c r="Y703" s="100"/>
      <c r="Z703" s="100"/>
      <c r="AA703" s="100"/>
      <c r="AB703" s="100"/>
      <c r="AC703" s="100"/>
      <c r="AD703" s="100"/>
      <c r="AG703" s="38"/>
      <c r="AH703">
        <f t="shared" si="282"/>
        <v>0</v>
      </c>
      <c r="AI703">
        <f t="shared" si="283"/>
        <v>0</v>
      </c>
      <c r="AJ703">
        <f t="shared" si="284"/>
        <v>0</v>
      </c>
      <c r="AK703">
        <f t="shared" si="285"/>
        <v>0</v>
      </c>
      <c r="AL703">
        <f t="shared" si="286"/>
        <v>0</v>
      </c>
      <c r="AM703">
        <f t="shared" si="287"/>
        <v>0</v>
      </c>
      <c r="AN703">
        <f t="shared" si="288"/>
        <v>0</v>
      </c>
      <c r="AO703">
        <f t="shared" si="289"/>
        <v>0</v>
      </c>
      <c r="AP703">
        <f t="shared" si="290"/>
        <v>0</v>
      </c>
      <c r="AQ703">
        <f t="shared" si="291"/>
        <v>0</v>
      </c>
      <c r="AR703">
        <f t="shared" si="292"/>
        <v>0</v>
      </c>
      <c r="AS703">
        <f t="shared" si="293"/>
        <v>0</v>
      </c>
      <c r="AT703">
        <f t="shared" si="294"/>
        <v>0</v>
      </c>
      <c r="AU703">
        <f t="shared" si="295"/>
        <v>0</v>
      </c>
      <c r="AV703">
        <f t="shared" si="296"/>
        <v>0</v>
      </c>
      <c r="AW703">
        <f t="shared" si="297"/>
        <v>0</v>
      </c>
      <c r="AX703">
        <f t="shared" si="298"/>
        <v>0</v>
      </c>
      <c r="AY703">
        <f t="shared" si="299"/>
        <v>0</v>
      </c>
      <c r="AZ703">
        <f t="shared" si="300"/>
        <v>0</v>
      </c>
      <c r="BA703">
        <f t="shared" si="301"/>
        <v>0</v>
      </c>
      <c r="BB703">
        <f t="shared" si="302"/>
        <v>0</v>
      </c>
      <c r="BC703">
        <f t="shared" si="303"/>
        <v>0</v>
      </c>
      <c r="BD703">
        <f t="shared" si="304"/>
        <v>0</v>
      </c>
      <c r="BE703">
        <f t="shared" si="305"/>
        <v>0</v>
      </c>
      <c r="BF703" cm="1">
        <f t="array" ref="BF703">IF(OR(G703={"NS","NA"},$S617={"NS","NA"}),0,IF(G703&lt;=$S617,0,1))</f>
        <v>0</v>
      </c>
      <c r="BG703" cm="1">
        <f t="array" ref="BG703">IF(OR(H703={"NS","NA"},$W617={"NS","NA"}),0,IF(H703&lt;=$W617,0,1))</f>
        <v>0</v>
      </c>
      <c r="BH703" cm="1">
        <f t="array" ref="BH703">IF(OR(I703={"NS","NA"},$AA617={"NS","NA"}),0,IF(I703&lt;=$AA617,0,1))</f>
        <v>0</v>
      </c>
      <c r="BI703" cm="1">
        <f t="array" ref="BI703">IF(OR(J703={"NS","NA"},$S617={"NS","NA"}),0,IF(J703&lt;=$S617,0,1))</f>
        <v>0</v>
      </c>
      <c r="BJ703" cm="1">
        <f t="array" ref="BJ703">IF(OR(K703={"NS","NA"},$W617={"NS","NA"}),0,IF(K703&lt;=$W617,0,1))</f>
        <v>0</v>
      </c>
      <c r="BK703" cm="1">
        <f t="array" ref="BK703">IF(OR(L703={"NS","NA"},$AA617={"NS","NA"}),0,IF(L703&lt;=$AA617,0,1))</f>
        <v>0</v>
      </c>
      <c r="BL703" cm="1">
        <f t="array" ref="BL703">IF(OR(M703={"NS","NA"},$S617={"NS","NA"}),0,IF(M703&lt;=$S617,0,1))</f>
        <v>0</v>
      </c>
      <c r="BM703" cm="1">
        <f t="array" ref="BM703">IF(OR(N703={"NS","NA"},$W617={"NS","NA"}),0,IF(N703&lt;=$W617,0,1))</f>
        <v>0</v>
      </c>
      <c r="BN703" cm="1">
        <f t="array" ref="BN703">IF(OR(O703={"NS","NA"},$AA617={"NS","NA"}),0,IF(O703&lt;=$AA617,0,1))</f>
        <v>0</v>
      </c>
      <c r="BO703" cm="1">
        <f t="array" ref="BO703">IF(OR(P703={"NS","NA"},$S617={"NS","NA"}),0,IF(P703&lt;=$S617,0,1))</f>
        <v>0</v>
      </c>
      <c r="BP703" cm="1">
        <f t="array" ref="BP703">IF(OR(Q703={"NS","NA"},$W617={"NS","NA"}),0,IF(Q703&lt;=$W617,0,1))</f>
        <v>0</v>
      </c>
      <c r="BQ703" cm="1">
        <f t="array" ref="BQ703">IF(OR(R703={"NS","NA"},$AA617={"NS","NA"}),0,IF(R703&lt;=$AA617,0,1))</f>
        <v>0</v>
      </c>
      <c r="BR703" cm="1">
        <f t="array" ref="BR703">IF(OR(S703={"NS","NA"},$S617={"NS","NA"}),0,IF(S703&lt;=$S617,0,1))</f>
        <v>0</v>
      </c>
      <c r="BS703" cm="1">
        <f t="array" ref="BS703">IF(OR(T703={"NS","NA"},$W617={"NS","NA"}),0,IF(T703&lt;=$W617,0,1))</f>
        <v>0</v>
      </c>
      <c r="BT703" cm="1">
        <f t="array" ref="BT703">IF(OR(U703={"NS","NA"},$AA617={"NS","NA"}),0,IF(U703&lt;=$AA617,0,1))</f>
        <v>0</v>
      </c>
      <c r="BU703" cm="1">
        <f t="array" ref="BU703">IF(OR(V703={"NS","NA"},$S617={"NS","NA"}),0,IF(V703&lt;=$S617,0,1))</f>
        <v>0</v>
      </c>
      <c r="BV703" cm="1">
        <f t="array" ref="BV703">IF(OR(W703={"NS","NA"},$W617={"NS","NA"}),0,IF(W703&lt;=$W617,0,1))</f>
        <v>0</v>
      </c>
      <c r="BW703" cm="1">
        <f t="array" ref="BW703">IF(OR(X703={"NS","NA"},$AA617={"NS","NA"}),0,IF(X703&lt;=$AA617,0,1))</f>
        <v>0</v>
      </c>
      <c r="BX703" cm="1">
        <f t="array" ref="BX703">IF(OR(Y703={"NS","NA"},$S617={"NS","NA"}),0,IF(Y703&lt;=$S617,0,1))</f>
        <v>0</v>
      </c>
      <c r="BY703" cm="1">
        <f t="array" ref="BY703">IF(OR(Z703={"NS","NA"},$W617={"NS","NA"}),0,IF(Z703&lt;=$W617,0,1))</f>
        <v>0</v>
      </c>
      <c r="BZ703" cm="1">
        <f t="array" ref="BZ703">IF(OR(AA703={"NS","NA"},$AA617={"NS","NA"}),0,IF(AA703&lt;=$AA617,0,1))</f>
        <v>0</v>
      </c>
      <c r="CA703" cm="1">
        <f t="array" ref="CA703">IF(OR(AB703={"NS","NA"},$S617={"NS","NA"}),0,IF(AB703&lt;=$S617,0,1))</f>
        <v>0</v>
      </c>
      <c r="CB703" cm="1">
        <f t="array" ref="CB703">IF(OR(AC703={"NS","NA"},$W617={"NS","NA"}),0,IF(AC703&lt;=$W617,0,1))</f>
        <v>0</v>
      </c>
      <c r="CC703" cm="1">
        <f t="array" ref="CC703">IF(OR(AD703={"NS","NA"},$AA617={"NS","NA"}),0,IF(AD703&lt;=$AA617,0,1))</f>
        <v>0</v>
      </c>
    </row>
    <row r="704" spans="1:81" ht="15" customHeight="1">
      <c r="A704" s="210"/>
      <c r="B704" s="38"/>
      <c r="C704" s="143" t="s">
        <v>2521</v>
      </c>
      <c r="D704" s="813" t="str">
        <f>IF(CNSIPEE_2024_M2_Secc1!D47="","",CNSIPEE_2024_M2_Secc1!D47)</f>
        <v/>
      </c>
      <c r="E704" s="814"/>
      <c r="F704" s="815"/>
      <c r="G704" s="100"/>
      <c r="H704" s="100"/>
      <c r="I704" s="100"/>
      <c r="J704" s="100"/>
      <c r="K704" s="100"/>
      <c r="L704" s="100"/>
      <c r="M704" s="100"/>
      <c r="N704" s="100"/>
      <c r="O704" s="100"/>
      <c r="P704" s="100"/>
      <c r="Q704" s="100"/>
      <c r="R704" s="100"/>
      <c r="S704" s="100"/>
      <c r="T704" s="100"/>
      <c r="U704" s="100"/>
      <c r="V704" s="100"/>
      <c r="W704" s="100"/>
      <c r="X704" s="100"/>
      <c r="Y704" s="100"/>
      <c r="Z704" s="100"/>
      <c r="AA704" s="100"/>
      <c r="AB704" s="100"/>
      <c r="AC704" s="100"/>
      <c r="AD704" s="100"/>
      <c r="AG704" s="38"/>
      <c r="AH704">
        <f t="shared" si="282"/>
        <v>0</v>
      </c>
      <c r="AI704">
        <f t="shared" si="283"/>
        <v>0</v>
      </c>
      <c r="AJ704">
        <f t="shared" si="284"/>
        <v>0</v>
      </c>
      <c r="AK704">
        <f t="shared" si="285"/>
        <v>0</v>
      </c>
      <c r="AL704">
        <f t="shared" si="286"/>
        <v>0</v>
      </c>
      <c r="AM704">
        <f t="shared" si="287"/>
        <v>0</v>
      </c>
      <c r="AN704">
        <f t="shared" si="288"/>
        <v>0</v>
      </c>
      <c r="AO704">
        <f t="shared" si="289"/>
        <v>0</v>
      </c>
      <c r="AP704">
        <f t="shared" si="290"/>
        <v>0</v>
      </c>
      <c r="AQ704">
        <f t="shared" si="291"/>
        <v>0</v>
      </c>
      <c r="AR704">
        <f t="shared" si="292"/>
        <v>0</v>
      </c>
      <c r="AS704">
        <f t="shared" si="293"/>
        <v>0</v>
      </c>
      <c r="AT704">
        <f t="shared" si="294"/>
        <v>0</v>
      </c>
      <c r="AU704">
        <f t="shared" si="295"/>
        <v>0</v>
      </c>
      <c r="AV704">
        <f t="shared" si="296"/>
        <v>0</v>
      </c>
      <c r="AW704">
        <f t="shared" si="297"/>
        <v>0</v>
      </c>
      <c r="AX704">
        <f t="shared" si="298"/>
        <v>0</v>
      </c>
      <c r="AY704">
        <f t="shared" si="299"/>
        <v>0</v>
      </c>
      <c r="AZ704">
        <f t="shared" si="300"/>
        <v>0</v>
      </c>
      <c r="BA704">
        <f t="shared" si="301"/>
        <v>0</v>
      </c>
      <c r="BB704">
        <f t="shared" si="302"/>
        <v>0</v>
      </c>
      <c r="BC704">
        <f t="shared" si="303"/>
        <v>0</v>
      </c>
      <c r="BD704">
        <f t="shared" si="304"/>
        <v>0</v>
      </c>
      <c r="BE704">
        <f t="shared" si="305"/>
        <v>0</v>
      </c>
      <c r="BF704" cm="1">
        <f t="array" ref="BF704">IF(OR(G704={"NS","NA"},$S618={"NS","NA"}),0,IF(G704&lt;=$S618,0,1))</f>
        <v>0</v>
      </c>
      <c r="BG704" cm="1">
        <f t="array" ref="BG704">IF(OR(H704={"NS","NA"},$W618={"NS","NA"}),0,IF(H704&lt;=$W618,0,1))</f>
        <v>0</v>
      </c>
      <c r="BH704" cm="1">
        <f t="array" ref="BH704">IF(OR(I704={"NS","NA"},$AA618={"NS","NA"}),0,IF(I704&lt;=$AA618,0,1))</f>
        <v>0</v>
      </c>
      <c r="BI704" cm="1">
        <f t="array" ref="BI704">IF(OR(J704={"NS","NA"},$S618={"NS","NA"}),0,IF(J704&lt;=$S618,0,1))</f>
        <v>0</v>
      </c>
      <c r="BJ704" cm="1">
        <f t="array" ref="BJ704">IF(OR(K704={"NS","NA"},$W618={"NS","NA"}),0,IF(K704&lt;=$W618,0,1))</f>
        <v>0</v>
      </c>
      <c r="BK704" cm="1">
        <f t="array" ref="BK704">IF(OR(L704={"NS","NA"},$AA618={"NS","NA"}),0,IF(L704&lt;=$AA618,0,1))</f>
        <v>0</v>
      </c>
      <c r="BL704" cm="1">
        <f t="array" ref="BL704">IF(OR(M704={"NS","NA"},$S618={"NS","NA"}),0,IF(M704&lt;=$S618,0,1))</f>
        <v>0</v>
      </c>
      <c r="BM704" cm="1">
        <f t="array" ref="BM704">IF(OR(N704={"NS","NA"},$W618={"NS","NA"}),0,IF(N704&lt;=$W618,0,1))</f>
        <v>0</v>
      </c>
      <c r="BN704" cm="1">
        <f t="array" ref="BN704">IF(OR(O704={"NS","NA"},$AA618={"NS","NA"}),0,IF(O704&lt;=$AA618,0,1))</f>
        <v>0</v>
      </c>
      <c r="BO704" cm="1">
        <f t="array" ref="BO704">IF(OR(P704={"NS","NA"},$S618={"NS","NA"}),0,IF(P704&lt;=$S618,0,1))</f>
        <v>0</v>
      </c>
      <c r="BP704" cm="1">
        <f t="array" ref="BP704">IF(OR(Q704={"NS","NA"},$W618={"NS","NA"}),0,IF(Q704&lt;=$W618,0,1))</f>
        <v>0</v>
      </c>
      <c r="BQ704" cm="1">
        <f t="array" ref="BQ704">IF(OR(R704={"NS","NA"},$AA618={"NS","NA"}),0,IF(R704&lt;=$AA618,0,1))</f>
        <v>0</v>
      </c>
      <c r="BR704" cm="1">
        <f t="array" ref="BR704">IF(OR(S704={"NS","NA"},$S618={"NS","NA"}),0,IF(S704&lt;=$S618,0,1))</f>
        <v>0</v>
      </c>
      <c r="BS704" cm="1">
        <f t="array" ref="BS704">IF(OR(T704={"NS","NA"},$W618={"NS","NA"}),0,IF(T704&lt;=$W618,0,1))</f>
        <v>0</v>
      </c>
      <c r="BT704" cm="1">
        <f t="array" ref="BT704">IF(OR(U704={"NS","NA"},$AA618={"NS","NA"}),0,IF(U704&lt;=$AA618,0,1))</f>
        <v>0</v>
      </c>
      <c r="BU704" cm="1">
        <f t="array" ref="BU704">IF(OR(V704={"NS","NA"},$S618={"NS","NA"}),0,IF(V704&lt;=$S618,0,1))</f>
        <v>0</v>
      </c>
      <c r="BV704" cm="1">
        <f t="array" ref="BV704">IF(OR(W704={"NS","NA"},$W618={"NS","NA"}),0,IF(W704&lt;=$W618,0,1))</f>
        <v>0</v>
      </c>
      <c r="BW704" cm="1">
        <f t="array" ref="BW704">IF(OR(X704={"NS","NA"},$AA618={"NS","NA"}),0,IF(X704&lt;=$AA618,0,1))</f>
        <v>0</v>
      </c>
      <c r="BX704" cm="1">
        <f t="array" ref="BX704">IF(OR(Y704={"NS","NA"},$S618={"NS","NA"}),0,IF(Y704&lt;=$S618,0,1))</f>
        <v>0</v>
      </c>
      <c r="BY704" cm="1">
        <f t="array" ref="BY704">IF(OR(Z704={"NS","NA"},$W618={"NS","NA"}),0,IF(Z704&lt;=$W618,0,1))</f>
        <v>0</v>
      </c>
      <c r="BZ704" cm="1">
        <f t="array" ref="BZ704">IF(OR(AA704={"NS","NA"},$AA618={"NS","NA"}),0,IF(AA704&lt;=$AA618,0,1))</f>
        <v>0</v>
      </c>
      <c r="CA704" cm="1">
        <f t="array" ref="CA704">IF(OR(AB704={"NS","NA"},$S618={"NS","NA"}),0,IF(AB704&lt;=$S618,0,1))</f>
        <v>0</v>
      </c>
      <c r="CB704" cm="1">
        <f t="array" ref="CB704">IF(OR(AC704={"NS","NA"},$W618={"NS","NA"}),0,IF(AC704&lt;=$W618,0,1))</f>
        <v>0</v>
      </c>
      <c r="CC704" cm="1">
        <f t="array" ref="CC704">IF(OR(AD704={"NS","NA"},$AA618={"NS","NA"}),0,IF(AD704&lt;=$AA618,0,1))</f>
        <v>0</v>
      </c>
    </row>
    <row r="705" spans="1:81" ht="15" customHeight="1">
      <c r="A705" s="210"/>
      <c r="B705" s="38"/>
      <c r="C705" s="143" t="s">
        <v>2522</v>
      </c>
      <c r="D705" s="813" t="str">
        <f>IF(CNSIPEE_2024_M2_Secc1!D48="","",CNSIPEE_2024_M2_Secc1!D48)</f>
        <v/>
      </c>
      <c r="E705" s="814"/>
      <c r="F705" s="815"/>
      <c r="G705" s="100"/>
      <c r="H705" s="100"/>
      <c r="I705" s="100"/>
      <c r="J705" s="100"/>
      <c r="K705" s="100"/>
      <c r="L705" s="100"/>
      <c r="M705" s="100"/>
      <c r="N705" s="100"/>
      <c r="O705" s="100"/>
      <c r="P705" s="100"/>
      <c r="Q705" s="100"/>
      <c r="R705" s="100"/>
      <c r="S705" s="100"/>
      <c r="T705" s="100"/>
      <c r="U705" s="100"/>
      <c r="V705" s="100"/>
      <c r="W705" s="100"/>
      <c r="X705" s="100"/>
      <c r="Y705" s="100"/>
      <c r="Z705" s="100"/>
      <c r="AA705" s="100"/>
      <c r="AB705" s="100"/>
      <c r="AC705" s="100"/>
      <c r="AD705" s="100"/>
      <c r="AG705" s="38"/>
      <c r="AH705">
        <f t="shared" si="282"/>
        <v>0</v>
      </c>
      <c r="AI705">
        <f t="shared" si="283"/>
        <v>0</v>
      </c>
      <c r="AJ705">
        <f t="shared" si="284"/>
        <v>0</v>
      </c>
      <c r="AK705">
        <f t="shared" si="285"/>
        <v>0</v>
      </c>
      <c r="AL705">
        <f t="shared" si="286"/>
        <v>0</v>
      </c>
      <c r="AM705">
        <f t="shared" si="287"/>
        <v>0</v>
      </c>
      <c r="AN705">
        <f t="shared" si="288"/>
        <v>0</v>
      </c>
      <c r="AO705">
        <f t="shared" si="289"/>
        <v>0</v>
      </c>
      <c r="AP705">
        <f t="shared" si="290"/>
        <v>0</v>
      </c>
      <c r="AQ705">
        <f t="shared" si="291"/>
        <v>0</v>
      </c>
      <c r="AR705">
        <f t="shared" si="292"/>
        <v>0</v>
      </c>
      <c r="AS705">
        <f t="shared" si="293"/>
        <v>0</v>
      </c>
      <c r="AT705">
        <f t="shared" si="294"/>
        <v>0</v>
      </c>
      <c r="AU705">
        <f t="shared" si="295"/>
        <v>0</v>
      </c>
      <c r="AV705">
        <f t="shared" si="296"/>
        <v>0</v>
      </c>
      <c r="AW705">
        <f t="shared" si="297"/>
        <v>0</v>
      </c>
      <c r="AX705">
        <f t="shared" si="298"/>
        <v>0</v>
      </c>
      <c r="AY705">
        <f t="shared" si="299"/>
        <v>0</v>
      </c>
      <c r="AZ705">
        <f t="shared" si="300"/>
        <v>0</v>
      </c>
      <c r="BA705">
        <f t="shared" si="301"/>
        <v>0</v>
      </c>
      <c r="BB705">
        <f t="shared" si="302"/>
        <v>0</v>
      </c>
      <c r="BC705">
        <f t="shared" si="303"/>
        <v>0</v>
      </c>
      <c r="BD705">
        <f t="shared" si="304"/>
        <v>0</v>
      </c>
      <c r="BE705">
        <f t="shared" si="305"/>
        <v>0</v>
      </c>
      <c r="BF705" cm="1">
        <f t="array" ref="BF705">IF(OR(G705={"NS","NA"},$S619={"NS","NA"}),0,IF(G705&lt;=$S619,0,1))</f>
        <v>0</v>
      </c>
      <c r="BG705" cm="1">
        <f t="array" ref="BG705">IF(OR(H705={"NS","NA"},$W619={"NS","NA"}),0,IF(H705&lt;=$W619,0,1))</f>
        <v>0</v>
      </c>
      <c r="BH705" cm="1">
        <f t="array" ref="BH705">IF(OR(I705={"NS","NA"},$AA619={"NS","NA"}),0,IF(I705&lt;=$AA619,0,1))</f>
        <v>0</v>
      </c>
      <c r="BI705" cm="1">
        <f t="array" ref="BI705">IF(OR(J705={"NS","NA"},$S619={"NS","NA"}),0,IF(J705&lt;=$S619,0,1))</f>
        <v>0</v>
      </c>
      <c r="BJ705" cm="1">
        <f t="array" ref="BJ705">IF(OR(K705={"NS","NA"},$W619={"NS","NA"}),0,IF(K705&lt;=$W619,0,1))</f>
        <v>0</v>
      </c>
      <c r="BK705" cm="1">
        <f t="array" ref="BK705">IF(OR(L705={"NS","NA"},$AA619={"NS","NA"}),0,IF(L705&lt;=$AA619,0,1))</f>
        <v>0</v>
      </c>
      <c r="BL705" cm="1">
        <f t="array" ref="BL705">IF(OR(M705={"NS","NA"},$S619={"NS","NA"}),0,IF(M705&lt;=$S619,0,1))</f>
        <v>0</v>
      </c>
      <c r="BM705" cm="1">
        <f t="array" ref="BM705">IF(OR(N705={"NS","NA"},$W619={"NS","NA"}),0,IF(N705&lt;=$W619,0,1))</f>
        <v>0</v>
      </c>
      <c r="BN705" cm="1">
        <f t="array" ref="BN705">IF(OR(O705={"NS","NA"},$AA619={"NS","NA"}),0,IF(O705&lt;=$AA619,0,1))</f>
        <v>0</v>
      </c>
      <c r="BO705" cm="1">
        <f t="array" ref="BO705">IF(OR(P705={"NS","NA"},$S619={"NS","NA"}),0,IF(P705&lt;=$S619,0,1))</f>
        <v>0</v>
      </c>
      <c r="BP705" cm="1">
        <f t="array" ref="BP705">IF(OR(Q705={"NS","NA"},$W619={"NS","NA"}),0,IF(Q705&lt;=$W619,0,1))</f>
        <v>0</v>
      </c>
      <c r="BQ705" cm="1">
        <f t="array" ref="BQ705">IF(OR(R705={"NS","NA"},$AA619={"NS","NA"}),0,IF(R705&lt;=$AA619,0,1))</f>
        <v>0</v>
      </c>
      <c r="BR705" cm="1">
        <f t="array" ref="BR705">IF(OR(S705={"NS","NA"},$S619={"NS","NA"}),0,IF(S705&lt;=$S619,0,1))</f>
        <v>0</v>
      </c>
      <c r="BS705" cm="1">
        <f t="array" ref="BS705">IF(OR(T705={"NS","NA"},$W619={"NS","NA"}),0,IF(T705&lt;=$W619,0,1))</f>
        <v>0</v>
      </c>
      <c r="BT705" cm="1">
        <f t="array" ref="BT705">IF(OR(U705={"NS","NA"},$AA619={"NS","NA"}),0,IF(U705&lt;=$AA619,0,1))</f>
        <v>0</v>
      </c>
      <c r="BU705" cm="1">
        <f t="array" ref="BU705">IF(OR(V705={"NS","NA"},$S619={"NS","NA"}),0,IF(V705&lt;=$S619,0,1))</f>
        <v>0</v>
      </c>
      <c r="BV705" cm="1">
        <f t="array" ref="BV705">IF(OR(W705={"NS","NA"},$W619={"NS","NA"}),0,IF(W705&lt;=$W619,0,1))</f>
        <v>0</v>
      </c>
      <c r="BW705" cm="1">
        <f t="array" ref="BW705">IF(OR(X705={"NS","NA"},$AA619={"NS","NA"}),0,IF(X705&lt;=$AA619,0,1))</f>
        <v>0</v>
      </c>
      <c r="BX705" cm="1">
        <f t="array" ref="BX705">IF(OR(Y705={"NS","NA"},$S619={"NS","NA"}),0,IF(Y705&lt;=$S619,0,1))</f>
        <v>0</v>
      </c>
      <c r="BY705" cm="1">
        <f t="array" ref="BY705">IF(OR(Z705={"NS","NA"},$W619={"NS","NA"}),0,IF(Z705&lt;=$W619,0,1))</f>
        <v>0</v>
      </c>
      <c r="BZ705" cm="1">
        <f t="array" ref="BZ705">IF(OR(AA705={"NS","NA"},$AA619={"NS","NA"}),0,IF(AA705&lt;=$AA619,0,1))</f>
        <v>0</v>
      </c>
      <c r="CA705" cm="1">
        <f t="array" ref="CA705">IF(OR(AB705={"NS","NA"},$S619={"NS","NA"}),0,IF(AB705&lt;=$S619,0,1))</f>
        <v>0</v>
      </c>
      <c r="CB705" cm="1">
        <f t="array" ref="CB705">IF(OR(AC705={"NS","NA"},$W619={"NS","NA"}),0,IF(AC705&lt;=$W619,0,1))</f>
        <v>0</v>
      </c>
      <c r="CC705" cm="1">
        <f t="array" ref="CC705">IF(OR(AD705={"NS","NA"},$AA619={"NS","NA"}),0,IF(AD705&lt;=$AA619,0,1))</f>
        <v>0</v>
      </c>
    </row>
    <row r="706" spans="1:81" ht="15" customHeight="1">
      <c r="A706" s="210"/>
      <c r="B706" s="38"/>
      <c r="C706" s="143" t="s">
        <v>2523</v>
      </c>
      <c r="D706" s="813" t="str">
        <f>IF(CNSIPEE_2024_M2_Secc1!D49="","",CNSIPEE_2024_M2_Secc1!D49)</f>
        <v/>
      </c>
      <c r="E706" s="814"/>
      <c r="F706" s="815"/>
      <c r="G706" s="100"/>
      <c r="H706" s="100"/>
      <c r="I706" s="100"/>
      <c r="J706" s="100"/>
      <c r="K706" s="100"/>
      <c r="L706" s="100"/>
      <c r="M706" s="100"/>
      <c r="N706" s="100"/>
      <c r="O706" s="100"/>
      <c r="P706" s="100"/>
      <c r="Q706" s="100"/>
      <c r="R706" s="100"/>
      <c r="S706" s="100"/>
      <c r="T706" s="100"/>
      <c r="U706" s="100"/>
      <c r="V706" s="100"/>
      <c r="W706" s="100"/>
      <c r="X706" s="100"/>
      <c r="Y706" s="100"/>
      <c r="Z706" s="100"/>
      <c r="AA706" s="100"/>
      <c r="AB706" s="100"/>
      <c r="AC706" s="100"/>
      <c r="AD706" s="100"/>
      <c r="AG706" s="38"/>
      <c r="AH706">
        <f t="shared" si="282"/>
        <v>0</v>
      </c>
      <c r="AI706">
        <f t="shared" si="283"/>
        <v>0</v>
      </c>
      <c r="AJ706">
        <f t="shared" si="284"/>
        <v>0</v>
      </c>
      <c r="AK706">
        <f t="shared" si="285"/>
        <v>0</v>
      </c>
      <c r="AL706">
        <f t="shared" si="286"/>
        <v>0</v>
      </c>
      <c r="AM706">
        <f t="shared" si="287"/>
        <v>0</v>
      </c>
      <c r="AN706">
        <f t="shared" si="288"/>
        <v>0</v>
      </c>
      <c r="AO706">
        <f t="shared" si="289"/>
        <v>0</v>
      </c>
      <c r="AP706">
        <f t="shared" si="290"/>
        <v>0</v>
      </c>
      <c r="AQ706">
        <f t="shared" si="291"/>
        <v>0</v>
      </c>
      <c r="AR706">
        <f t="shared" si="292"/>
        <v>0</v>
      </c>
      <c r="AS706">
        <f t="shared" si="293"/>
        <v>0</v>
      </c>
      <c r="AT706">
        <f t="shared" si="294"/>
        <v>0</v>
      </c>
      <c r="AU706">
        <f t="shared" si="295"/>
        <v>0</v>
      </c>
      <c r="AV706">
        <f t="shared" si="296"/>
        <v>0</v>
      </c>
      <c r="AW706">
        <f t="shared" si="297"/>
        <v>0</v>
      </c>
      <c r="AX706">
        <f t="shared" si="298"/>
        <v>0</v>
      </c>
      <c r="AY706">
        <f t="shared" si="299"/>
        <v>0</v>
      </c>
      <c r="AZ706">
        <f t="shared" si="300"/>
        <v>0</v>
      </c>
      <c r="BA706">
        <f t="shared" si="301"/>
        <v>0</v>
      </c>
      <c r="BB706">
        <f t="shared" si="302"/>
        <v>0</v>
      </c>
      <c r="BC706">
        <f t="shared" si="303"/>
        <v>0</v>
      </c>
      <c r="BD706">
        <f t="shared" si="304"/>
        <v>0</v>
      </c>
      <c r="BE706">
        <f t="shared" si="305"/>
        <v>0</v>
      </c>
      <c r="BF706" cm="1">
        <f t="array" ref="BF706">IF(OR(G706={"NS","NA"},$S620={"NS","NA"}),0,IF(G706&lt;=$S620,0,1))</f>
        <v>0</v>
      </c>
      <c r="BG706" cm="1">
        <f t="array" ref="BG706">IF(OR(H706={"NS","NA"},$W620={"NS","NA"}),0,IF(H706&lt;=$W620,0,1))</f>
        <v>0</v>
      </c>
      <c r="BH706" cm="1">
        <f t="array" ref="BH706">IF(OR(I706={"NS","NA"},$AA620={"NS","NA"}),0,IF(I706&lt;=$AA620,0,1))</f>
        <v>0</v>
      </c>
      <c r="BI706" cm="1">
        <f t="array" ref="BI706">IF(OR(J706={"NS","NA"},$S620={"NS","NA"}),0,IF(J706&lt;=$S620,0,1))</f>
        <v>0</v>
      </c>
      <c r="BJ706" cm="1">
        <f t="array" ref="BJ706">IF(OR(K706={"NS","NA"},$W620={"NS","NA"}),0,IF(K706&lt;=$W620,0,1))</f>
        <v>0</v>
      </c>
      <c r="BK706" cm="1">
        <f t="array" ref="BK706">IF(OR(L706={"NS","NA"},$AA620={"NS","NA"}),0,IF(L706&lt;=$AA620,0,1))</f>
        <v>0</v>
      </c>
      <c r="BL706" cm="1">
        <f t="array" ref="BL706">IF(OR(M706={"NS","NA"},$S620={"NS","NA"}),0,IF(M706&lt;=$S620,0,1))</f>
        <v>0</v>
      </c>
      <c r="BM706" cm="1">
        <f t="array" ref="BM706">IF(OR(N706={"NS","NA"},$W620={"NS","NA"}),0,IF(N706&lt;=$W620,0,1))</f>
        <v>0</v>
      </c>
      <c r="BN706" cm="1">
        <f t="array" ref="BN706">IF(OR(O706={"NS","NA"},$AA620={"NS","NA"}),0,IF(O706&lt;=$AA620,0,1))</f>
        <v>0</v>
      </c>
      <c r="BO706" cm="1">
        <f t="array" ref="BO706">IF(OR(P706={"NS","NA"},$S620={"NS","NA"}),0,IF(P706&lt;=$S620,0,1))</f>
        <v>0</v>
      </c>
      <c r="BP706" cm="1">
        <f t="array" ref="BP706">IF(OR(Q706={"NS","NA"},$W620={"NS","NA"}),0,IF(Q706&lt;=$W620,0,1))</f>
        <v>0</v>
      </c>
      <c r="BQ706" cm="1">
        <f t="array" ref="BQ706">IF(OR(R706={"NS","NA"},$AA620={"NS","NA"}),0,IF(R706&lt;=$AA620,0,1))</f>
        <v>0</v>
      </c>
      <c r="BR706" cm="1">
        <f t="array" ref="BR706">IF(OR(S706={"NS","NA"},$S620={"NS","NA"}),0,IF(S706&lt;=$S620,0,1))</f>
        <v>0</v>
      </c>
      <c r="BS706" cm="1">
        <f t="array" ref="BS706">IF(OR(T706={"NS","NA"},$W620={"NS","NA"}),0,IF(T706&lt;=$W620,0,1))</f>
        <v>0</v>
      </c>
      <c r="BT706" cm="1">
        <f t="array" ref="BT706">IF(OR(U706={"NS","NA"},$AA620={"NS","NA"}),0,IF(U706&lt;=$AA620,0,1))</f>
        <v>0</v>
      </c>
      <c r="BU706" cm="1">
        <f t="array" ref="BU706">IF(OR(V706={"NS","NA"},$S620={"NS","NA"}),0,IF(V706&lt;=$S620,0,1))</f>
        <v>0</v>
      </c>
      <c r="BV706" cm="1">
        <f t="array" ref="BV706">IF(OR(W706={"NS","NA"},$W620={"NS","NA"}),0,IF(W706&lt;=$W620,0,1))</f>
        <v>0</v>
      </c>
      <c r="BW706" cm="1">
        <f t="array" ref="BW706">IF(OR(X706={"NS","NA"},$AA620={"NS","NA"}),0,IF(X706&lt;=$AA620,0,1))</f>
        <v>0</v>
      </c>
      <c r="BX706" cm="1">
        <f t="array" ref="BX706">IF(OR(Y706={"NS","NA"},$S620={"NS","NA"}),0,IF(Y706&lt;=$S620,0,1))</f>
        <v>0</v>
      </c>
      <c r="BY706" cm="1">
        <f t="array" ref="BY706">IF(OR(Z706={"NS","NA"},$W620={"NS","NA"}),0,IF(Z706&lt;=$W620,0,1))</f>
        <v>0</v>
      </c>
      <c r="BZ706" cm="1">
        <f t="array" ref="BZ706">IF(OR(AA706={"NS","NA"},$AA620={"NS","NA"}),0,IF(AA706&lt;=$AA620,0,1))</f>
        <v>0</v>
      </c>
      <c r="CA706" cm="1">
        <f t="array" ref="CA706">IF(OR(AB706={"NS","NA"},$S620={"NS","NA"}),0,IF(AB706&lt;=$S620,0,1))</f>
        <v>0</v>
      </c>
      <c r="CB706" cm="1">
        <f t="array" ref="CB706">IF(OR(AC706={"NS","NA"},$W620={"NS","NA"}),0,IF(AC706&lt;=$W620,0,1))</f>
        <v>0</v>
      </c>
      <c r="CC706" cm="1">
        <f t="array" ref="CC706">IF(OR(AD706={"NS","NA"},$AA620={"NS","NA"}),0,IF(AD706&lt;=$AA620,0,1))</f>
        <v>0</v>
      </c>
    </row>
    <row r="707" spans="1:81" ht="15" customHeight="1">
      <c r="A707" s="210"/>
      <c r="B707" s="38"/>
      <c r="C707" s="70"/>
      <c r="D707" s="84"/>
      <c r="E707" s="84"/>
      <c r="F707" s="84"/>
      <c r="G707" s="124">
        <f>IF(AND(SUM(G699:G706)=0,COUNTIF(G699:G706,"NS")&gt;0),"NS",IF(AND(SUM(G699:G706)=0,COUNTIF(G699:G706,0)&gt;0),0,IF(AND(SUM(G699:G706)=0,COUNTIF(G699:G706,"NA")&gt;0),"NA",SUM(G699:G706))))</f>
        <v>0</v>
      </c>
      <c r="H707" s="124">
        <f t="shared" ref="H707:AD707" si="306">IF(AND(SUM(H699:H706)=0,COUNTIF(H699:H706,"NS")&gt;0),"NS",IF(AND(SUM(H699:H706)=0,COUNTIF(H699:H706,0)&gt;0),0,IF(AND(SUM(H699:H706)=0,COUNTIF(H699:H706,"NA")&gt;0),"NA",SUM(H699:H706))))</f>
        <v>0</v>
      </c>
      <c r="I707" s="124">
        <f t="shared" si="306"/>
        <v>0</v>
      </c>
      <c r="J707" s="124">
        <f t="shared" si="306"/>
        <v>0</v>
      </c>
      <c r="K707" s="124">
        <f t="shared" si="306"/>
        <v>0</v>
      </c>
      <c r="L707" s="124">
        <f t="shared" si="306"/>
        <v>0</v>
      </c>
      <c r="M707" s="124">
        <f t="shared" si="306"/>
        <v>0</v>
      </c>
      <c r="N707" s="124">
        <f t="shared" si="306"/>
        <v>0</v>
      </c>
      <c r="O707" s="124">
        <f t="shared" si="306"/>
        <v>0</v>
      </c>
      <c r="P707" s="124">
        <f t="shared" si="306"/>
        <v>0</v>
      </c>
      <c r="Q707" s="124">
        <f t="shared" si="306"/>
        <v>0</v>
      </c>
      <c r="R707" s="124">
        <f t="shared" si="306"/>
        <v>0</v>
      </c>
      <c r="S707" s="124">
        <f t="shared" si="306"/>
        <v>0</v>
      </c>
      <c r="T707" s="124">
        <f t="shared" si="306"/>
        <v>0</v>
      </c>
      <c r="U707" s="124">
        <f t="shared" si="306"/>
        <v>0</v>
      </c>
      <c r="V707" s="124">
        <f t="shared" si="306"/>
        <v>0</v>
      </c>
      <c r="W707" s="124">
        <f t="shared" si="306"/>
        <v>0</v>
      </c>
      <c r="X707" s="124">
        <f t="shared" si="306"/>
        <v>0</v>
      </c>
      <c r="Y707" s="124">
        <f t="shared" si="306"/>
        <v>0</v>
      </c>
      <c r="Z707" s="124">
        <f t="shared" si="306"/>
        <v>0</v>
      </c>
      <c r="AA707" s="124">
        <f t="shared" si="306"/>
        <v>0</v>
      </c>
      <c r="AB707" s="124">
        <f t="shared" si="306"/>
        <v>0</v>
      </c>
      <c r="AC707" s="124">
        <f t="shared" si="306"/>
        <v>0</v>
      </c>
      <c r="AD707" s="124">
        <f t="shared" si="306"/>
        <v>0</v>
      </c>
      <c r="AG707" s="38"/>
      <c r="AH707">
        <f>SUM(AH699:AH706)</f>
        <v>0</v>
      </c>
      <c r="AI707" s="57"/>
      <c r="AJ707">
        <f>SUM(AJ699:AJ706)</f>
        <v>0</v>
      </c>
      <c r="AK707">
        <f>SUM(AK699:AK706)</f>
        <v>0</v>
      </c>
      <c r="AL707" s="57"/>
      <c r="AM707">
        <f>SUM(AM699:AM706)</f>
        <v>0</v>
      </c>
      <c r="AN707">
        <f>SUM(AN699:AN706)</f>
        <v>0</v>
      </c>
      <c r="AO707" s="57"/>
      <c r="AP707">
        <f>SUM(AP699:AP706)</f>
        <v>0</v>
      </c>
      <c r="AQ707">
        <f>SUM(AQ699:AQ706)</f>
        <v>0</v>
      </c>
      <c r="AR707" s="57"/>
      <c r="AS707">
        <f>SUM(AS699:AS706)</f>
        <v>0</v>
      </c>
      <c r="AT707">
        <f>SUM(AT699:AT706)</f>
        <v>0</v>
      </c>
      <c r="AU707" s="57"/>
      <c r="AV707">
        <f>SUM(AV699:AV706)</f>
        <v>0</v>
      </c>
      <c r="AW707">
        <f>SUM(AW699:AW706)</f>
        <v>0</v>
      </c>
      <c r="AX707" s="57"/>
      <c r="AY707">
        <f>SUM(AY699:AY706)</f>
        <v>0</v>
      </c>
      <c r="AZ707">
        <f>SUM(AZ699:AZ706)</f>
        <v>0</v>
      </c>
      <c r="BA707" s="57"/>
      <c r="BB707">
        <f>SUM(BB699:BB706)</f>
        <v>0</v>
      </c>
      <c r="BC707">
        <f>SUM(BC699:BC706)</f>
        <v>0</v>
      </c>
      <c r="BD707" s="57"/>
      <c r="BE707">
        <f>SUM(BE699:BE706)</f>
        <v>0</v>
      </c>
      <c r="BF707" s="57"/>
      <c r="BG707" s="57"/>
      <c r="BH707" s="57"/>
      <c r="BI707" s="57"/>
      <c r="BJ707" s="57"/>
      <c r="BK707" s="57"/>
      <c r="BL707" s="57"/>
      <c r="BM707" s="57"/>
      <c r="BN707" s="57"/>
      <c r="BO707" s="57"/>
      <c r="BP707" s="57"/>
      <c r="BQ707" s="57"/>
      <c r="BR707" s="57"/>
      <c r="BS707" s="57"/>
      <c r="BT707" s="57"/>
      <c r="BU707" s="57"/>
      <c r="BV707" s="57"/>
      <c r="BW707"/>
      <c r="BX707" s="57"/>
      <c r="BY707" s="57"/>
      <c r="BZ707"/>
      <c r="CC707" s="693">
        <f>SUM(BF699:CC706)</f>
        <v>0</v>
      </c>
    </row>
    <row r="708" spans="1:81" ht="15" customHeight="1">
      <c r="A708" s="210"/>
      <c r="B708" s="57"/>
      <c r="C708" s="57"/>
      <c r="D708" s="57"/>
      <c r="E708" s="57"/>
      <c r="F708" s="57"/>
      <c r="G708" s="57"/>
      <c r="H708" s="57"/>
      <c r="I708" s="57"/>
      <c r="J708" s="84"/>
      <c r="K708" s="84"/>
      <c r="L708" s="84"/>
      <c r="M708" s="84"/>
      <c r="N708" s="84"/>
      <c r="O708" s="84"/>
      <c r="P708" s="84"/>
      <c r="Q708" s="84"/>
      <c r="R708" s="84"/>
      <c r="S708" s="84"/>
      <c r="T708" s="84"/>
      <c r="U708" s="84"/>
      <c r="V708" s="84"/>
      <c r="W708" s="84"/>
      <c r="X708" s="84"/>
      <c r="Y708" s="84"/>
      <c r="Z708" s="84"/>
      <c r="AA708" s="84"/>
      <c r="AB708" s="84"/>
      <c r="AC708" s="84"/>
      <c r="AD708" s="84"/>
      <c r="AG708" s="57"/>
      <c r="AH708" s="57"/>
      <c r="AI708" s="57"/>
      <c r="AJ708" s="57"/>
      <c r="AK708" t="s">
        <v>2650</v>
      </c>
      <c r="AL708" s="405">
        <f>SUM(AJ707,AM707,AP707,AS707,AV707,AY707,BB707,BE707)</f>
        <v>0</v>
      </c>
      <c r="AM708" t="s">
        <v>2651</v>
      </c>
      <c r="AN708">
        <f>SUM(AK707,AN707,AQ707,AT707,AW707,AZ707)</f>
        <v>0</v>
      </c>
      <c r="AO708" s="57"/>
      <c r="AP708" s="57"/>
      <c r="AQ708" s="57"/>
      <c r="AR708" s="57"/>
      <c r="AS708" s="57"/>
      <c r="AT708" s="57"/>
      <c r="AU708" s="57"/>
      <c r="AV708" s="57"/>
      <c r="AW708" s="57"/>
      <c r="AX708" s="57"/>
      <c r="AY708" s="57"/>
      <c r="AZ708" s="57"/>
      <c r="BA708" s="57"/>
      <c r="BB708" s="57"/>
      <c r="BC708" s="57"/>
      <c r="BD708" s="57"/>
      <c r="BE708" s="57"/>
      <c r="BF708" s="57"/>
      <c r="BG708" s="57"/>
      <c r="BH708" s="57"/>
      <c r="BI708" s="57"/>
      <c r="BJ708" s="57"/>
      <c r="BK708" s="57"/>
      <c r="BL708" s="57"/>
      <c r="BM708" s="57"/>
      <c r="BN708" s="57"/>
      <c r="BO708" s="57"/>
      <c r="BP708" s="57"/>
      <c r="BQ708" s="57"/>
      <c r="BR708" s="57"/>
      <c r="BS708" s="57"/>
      <c r="BT708" s="57"/>
      <c r="BU708" s="57"/>
      <c r="BV708" s="57"/>
      <c r="BW708" s="57"/>
    </row>
    <row r="709" spans="1:81">
      <c r="AA709" s="875" t="s">
        <v>3240</v>
      </c>
      <c r="AB709" s="875"/>
      <c r="AC709" s="875"/>
      <c r="AD709" s="875"/>
      <c r="AK709" t="s">
        <v>2652</v>
      </c>
      <c r="AL709">
        <f>IF(AN708&gt;0,IF(SUM(M707)&gt;=SUM(P707,S707,V707,Y707,AB707),0,1),IF(SUM(M707)&lt;&gt;SUM(P707,S707,V707,Y707,AB707),1,0))</f>
        <v>0</v>
      </c>
      <c r="AM709" t="s">
        <v>2653</v>
      </c>
      <c r="AN709">
        <f>IF(AN708&gt;0,IF(SUM(N707)&gt;=SUM(Q707,T707,W707,Z707,AC707),0,1),IF(SUM(N707)&lt;&gt;SUM(Q707,T707,W707,Z707,AC707),1,0))</f>
        <v>0</v>
      </c>
      <c r="AO709" t="s">
        <v>2654</v>
      </c>
      <c r="AP709">
        <f>IF(AN708&gt;0,IF(SUM(O707)&gt;=SUM(R707,U707,X707,AA707,AD707),0,1),IF(SUM(O707)&lt;&gt;SUM(R707,U707,X707,AA707,AD707),1,0))</f>
        <v>0</v>
      </c>
    </row>
    <row r="710" spans="1:81" ht="24" customHeight="1">
      <c r="A710" s="210"/>
      <c r="B710" s="38"/>
      <c r="C710" s="732" t="s">
        <v>2581</v>
      </c>
      <c r="D710" s="732"/>
      <c r="E710" s="732"/>
      <c r="F710" s="732"/>
      <c r="G710" s="732" t="s">
        <v>6280</v>
      </c>
      <c r="H710" s="732"/>
      <c r="I710" s="732"/>
      <c r="J710" s="732"/>
      <c r="K710" s="732"/>
      <c r="L710" s="732"/>
      <c r="M710" s="732"/>
      <c r="N710" s="732"/>
      <c r="O710" s="732"/>
      <c r="P710" s="732"/>
      <c r="Q710" s="732"/>
      <c r="R710" s="732"/>
      <c r="S710" s="732"/>
      <c r="T710" s="732"/>
      <c r="U710" s="732"/>
      <c r="V710" s="732"/>
      <c r="W710" s="732"/>
      <c r="X710" s="732"/>
      <c r="Y710" s="732"/>
      <c r="Z710" s="732"/>
      <c r="AA710" s="732"/>
      <c r="AB710" s="732"/>
      <c r="AC710" s="732"/>
      <c r="AD710" s="732"/>
    </row>
    <row r="711" spans="1:81" ht="228" customHeight="1">
      <c r="A711" s="210"/>
      <c r="B711" s="38"/>
      <c r="C711" s="732"/>
      <c r="D711" s="732"/>
      <c r="E711" s="732"/>
      <c r="F711" s="732"/>
      <c r="G711" s="857" t="s">
        <v>6294</v>
      </c>
      <c r="H711" s="857"/>
      <c r="I711" s="857"/>
      <c r="J711" s="857" t="s">
        <v>6295</v>
      </c>
      <c r="K711" s="857"/>
      <c r="L711" s="857"/>
      <c r="M711" s="857" t="s">
        <v>6296</v>
      </c>
      <c r="N711" s="857"/>
      <c r="O711" s="857"/>
      <c r="P711" s="857" t="s">
        <v>6297</v>
      </c>
      <c r="Q711" s="857"/>
      <c r="R711" s="857"/>
      <c r="S711" s="857" t="s">
        <v>6298</v>
      </c>
      <c r="T711" s="857"/>
      <c r="U711" s="857"/>
      <c r="V711" s="857" t="s">
        <v>6299</v>
      </c>
      <c r="W711" s="857"/>
      <c r="X711" s="857"/>
      <c r="Y711" s="857" t="s">
        <v>2990</v>
      </c>
      <c r="Z711" s="857"/>
      <c r="AA711" s="857"/>
      <c r="AB711" s="857" t="s">
        <v>201</v>
      </c>
      <c r="AC711" s="857"/>
      <c r="AD711" s="857"/>
    </row>
    <row r="712" spans="1:81" ht="48" customHeight="1">
      <c r="A712" s="210"/>
      <c r="B712" s="38"/>
      <c r="C712" s="732"/>
      <c r="D712" s="732"/>
      <c r="E712" s="732"/>
      <c r="F712" s="732"/>
      <c r="G712" s="127" t="s">
        <v>2635</v>
      </c>
      <c r="H712" s="128" t="s">
        <v>2629</v>
      </c>
      <c r="I712" s="128" t="s">
        <v>2630</v>
      </c>
      <c r="J712" s="127" t="s">
        <v>2635</v>
      </c>
      <c r="K712" s="128" t="s">
        <v>2629</v>
      </c>
      <c r="L712" s="128" t="s">
        <v>2630</v>
      </c>
      <c r="M712" s="127" t="s">
        <v>2635</v>
      </c>
      <c r="N712" s="128" t="s">
        <v>2629</v>
      </c>
      <c r="O712" s="128" t="s">
        <v>2630</v>
      </c>
      <c r="P712" s="127" t="s">
        <v>2635</v>
      </c>
      <c r="Q712" s="128" t="s">
        <v>2629</v>
      </c>
      <c r="R712" s="128" t="s">
        <v>2630</v>
      </c>
      <c r="S712" s="127" t="s">
        <v>2635</v>
      </c>
      <c r="T712" s="128" t="s">
        <v>2629</v>
      </c>
      <c r="U712" s="128" t="s">
        <v>2630</v>
      </c>
      <c r="V712" s="127" t="s">
        <v>2635</v>
      </c>
      <c r="W712" s="128" t="s">
        <v>2629</v>
      </c>
      <c r="X712" s="128" t="s">
        <v>2630</v>
      </c>
      <c r="Y712" s="127" t="s">
        <v>2635</v>
      </c>
      <c r="Z712" s="128" t="s">
        <v>2629</v>
      </c>
      <c r="AA712" s="128" t="s">
        <v>2630</v>
      </c>
      <c r="AB712" s="127" t="s">
        <v>2635</v>
      </c>
      <c r="AC712" s="128" t="s">
        <v>2629</v>
      </c>
      <c r="AD712" s="128" t="s">
        <v>2630</v>
      </c>
      <c r="AH712" t="s">
        <v>4573</v>
      </c>
      <c r="AI712" t="s">
        <v>2638</v>
      </c>
      <c r="AJ712" t="s">
        <v>2639</v>
      </c>
      <c r="AK712" t="s">
        <v>4574</v>
      </c>
      <c r="AL712" t="s">
        <v>2641</v>
      </c>
      <c r="AM712" t="s">
        <v>2642</v>
      </c>
      <c r="AN712" t="s">
        <v>4575</v>
      </c>
      <c r="AO712" t="s">
        <v>2644</v>
      </c>
      <c r="AP712" t="s">
        <v>2645</v>
      </c>
      <c r="AQ712" t="s">
        <v>4576</v>
      </c>
      <c r="AR712" t="s">
        <v>2647</v>
      </c>
      <c r="AS712" t="s">
        <v>2648</v>
      </c>
      <c r="AT712" t="s">
        <v>5177</v>
      </c>
      <c r="AU712" t="s">
        <v>2757</v>
      </c>
      <c r="AV712" t="s">
        <v>2758</v>
      </c>
      <c r="AW712" t="s">
        <v>5194</v>
      </c>
      <c r="AX712" t="s">
        <v>2760</v>
      </c>
      <c r="AY712" t="s">
        <v>2761</v>
      </c>
      <c r="AZ712" t="s">
        <v>5195</v>
      </c>
      <c r="BA712" t="s">
        <v>2763</v>
      </c>
      <c r="BB712" t="s">
        <v>2764</v>
      </c>
      <c r="BC712" t="s">
        <v>5563</v>
      </c>
      <c r="BD712" t="s">
        <v>2766</v>
      </c>
      <c r="BE712" t="s">
        <v>2767</v>
      </c>
      <c r="BF712" t="s">
        <v>5290</v>
      </c>
      <c r="BG712"/>
      <c r="BH712"/>
      <c r="BI712"/>
      <c r="BJ712"/>
      <c r="BK712"/>
      <c r="BL712"/>
      <c r="BM712"/>
      <c r="BN712"/>
      <c r="BO712"/>
      <c r="BP712"/>
      <c r="BQ712"/>
      <c r="BR712"/>
      <c r="BS712"/>
      <c r="BT712"/>
      <c r="BU712"/>
      <c r="BV712"/>
      <c r="BW712"/>
      <c r="BX712" s="57"/>
      <c r="BY712" s="57"/>
      <c r="BZ712" s="57"/>
    </row>
    <row r="713" spans="1:81" ht="15" customHeight="1">
      <c r="A713" s="210"/>
      <c r="B713" s="38"/>
      <c r="C713" s="97" t="s">
        <v>2516</v>
      </c>
      <c r="D713" s="813" t="str">
        <f>IF(CNSIPEE_2024_M2_Secc1!D42="","",CNSIPEE_2024_M2_Secc1!D42)</f>
        <v/>
      </c>
      <c r="E713" s="814"/>
      <c r="F713" s="815"/>
      <c r="G713" s="100"/>
      <c r="H713" s="100"/>
      <c r="I713" s="100"/>
      <c r="J713" s="100"/>
      <c r="K713" s="100"/>
      <c r="L713" s="100"/>
      <c r="M713" s="100"/>
      <c r="N713" s="100"/>
      <c r="O713" s="100"/>
      <c r="P713" s="100"/>
      <c r="Q713" s="100"/>
      <c r="R713" s="100"/>
      <c r="S713" s="100"/>
      <c r="T713" s="100"/>
      <c r="U713" s="100"/>
      <c r="V713" s="100"/>
      <c r="W713" s="100"/>
      <c r="X713" s="100"/>
      <c r="Y713" s="100"/>
      <c r="Z713" s="100"/>
      <c r="AA713" s="100"/>
      <c r="AB713" s="100"/>
      <c r="AC713" s="100"/>
      <c r="AD713" s="100"/>
      <c r="AH713">
        <f>COUNTIF(H713:I713,"NS")</f>
        <v>0</v>
      </c>
      <c r="AI713">
        <f>SUM(H713:I713)</f>
        <v>0</v>
      </c>
      <c r="AJ713">
        <f>IF(COUNTIF(G713:I713,"NA")=3,0,IF(COUNTA(G713:I713)=0,0,IF(OR(AND(G713=0,AH713&gt;0),AND(G713="ns",AI713&gt;0),AND(G713="ns",AH713=0,AI713=0)),1,IF(OR(AND(G713&gt;0,AH713=2),AND(G713="ns",AH713=2),AND(G713="ns",AI713=0,AH713&gt;0),G713=AI713),0,1))))</f>
        <v>0</v>
      </c>
      <c r="AK713">
        <f t="shared" ref="AK713:AK720" si="307">COUNTIF(K713:L713,"NS")</f>
        <v>0</v>
      </c>
      <c r="AL713">
        <f t="shared" ref="AL713:AL720" si="308">SUM(K713:L713)</f>
        <v>0</v>
      </c>
      <c r="AM713">
        <f t="shared" ref="AM713:AM720" si="309">IF(COUNTIF(J713:L713,"NA")=3,0,IF(COUNTA(J713:L713)=0,0,IF(OR(AND(J713=0,AK713&gt;0),AND(J713="ns",AL713&gt;0),AND(J713="ns",AK713=0,AL713=0)),1,IF(OR(AND(J713&gt;0,AK713=2),AND(J713="ns",AK713=2),AND(J713="ns",AL713=0,AK713&gt;0),J713=AL713),0,1))))</f>
        <v>0</v>
      </c>
      <c r="AN713">
        <f t="shared" ref="AN713:AN720" si="310">COUNTIF(N713:O713,"NS")</f>
        <v>0</v>
      </c>
      <c r="AO713">
        <f t="shared" ref="AO713:AO720" si="311">SUM(N713:O713)</f>
        <v>0</v>
      </c>
      <c r="AP713">
        <f t="shared" ref="AP713:AP720" si="312">IF(COUNTIF(M713:O713,"NA")=3,0,IF(COUNTA(M713:O713)=0,0,IF(OR(AND(M713=0,AN713&gt;0),AND(M713="ns",AO713&gt;0),AND(M713="ns",AN713=0,AO713=0)),1,IF(OR(AND(M713&gt;0,AN713=2),AND(M713="ns",AN713=2),AND(M713="ns",AO713=0,AN713&gt;0),M713=AO713),0,1))))</f>
        <v>0</v>
      </c>
      <c r="AQ713">
        <f t="shared" ref="AQ713:AQ720" si="313">COUNTIF(Q713:R713,"NS")</f>
        <v>0</v>
      </c>
      <c r="AR713">
        <f t="shared" ref="AR713:AR720" si="314">SUM(Q713:R713)</f>
        <v>0</v>
      </c>
      <c r="AS713">
        <f t="shared" ref="AS713:AS720" si="315">IF(COUNTIF(P713:R713,"NA")=3,0,IF(COUNTA(P713:R713)=0,0,IF(OR(AND(P713=0,AQ713&gt;0),AND(P713="ns",AR713&gt;0),AND(P713="ns",AQ713=0,AR713=0)),1,IF(OR(AND(P713&gt;0,AQ713=2),AND(P713="ns",AQ713=2),AND(P713="ns",AR713=0,AQ713&gt;0),P713=AR713),0,1))))</f>
        <v>0</v>
      </c>
      <c r="AT713">
        <f t="shared" ref="AT713:AT720" si="316">COUNTIF(T713:U713,"NS")</f>
        <v>0</v>
      </c>
      <c r="AU713">
        <f t="shared" ref="AU713:AU720" si="317">SUM(T713:U713)</f>
        <v>0</v>
      </c>
      <c r="AV713">
        <f t="shared" ref="AV713:AV720" si="318">IF(COUNTIF(S713:U713,"NA")=3,0,IF(COUNTA(S713:U713)=0,0,IF(OR(AND(S713=0,AT713&gt;0),AND(S713="ns",AU713&gt;0),AND(S713="ns",AT713=0,AU713=0)),1,IF(OR(AND(S713&gt;0,AT713=2),AND(S713="ns",AT713=2),AND(S713="ns",AU713=0,AT713&gt;0),S713=AU713),0,1))))</f>
        <v>0</v>
      </c>
      <c r="AW713">
        <f t="shared" ref="AW713:AW720" si="319">COUNTIF(W713:X713,"NS")</f>
        <v>0</v>
      </c>
      <c r="AX713">
        <f t="shared" ref="AX713:AX720" si="320">SUM(W713:X713)</f>
        <v>0</v>
      </c>
      <c r="AY713">
        <f t="shared" ref="AY713:AY720" si="321">IF(COUNTIF(V713:X713,"NA")=3,0,IF(COUNTA(V713:X713)=0,0,IF(OR(AND(V713=0,AW713&gt;0),AND(V713="ns",AX713&gt;0),AND(V713="ns",AW713=0,AX713=0)),1,IF(OR(AND(V713&gt;0,AW713=2),AND(V713="ns",AW713=2),AND(V713="ns",AX713=0,AW713&gt;0),V713=AX713),0,1))))</f>
        <v>0</v>
      </c>
      <c r="AZ713">
        <f t="shared" ref="AZ713:AZ720" si="322">COUNTIF(Z713:AA713,"NS")</f>
        <v>0</v>
      </c>
      <c r="BA713">
        <f t="shared" ref="BA713:BA720" si="323">SUM(Z713:AA713)</f>
        <v>0</v>
      </c>
      <c r="BB713">
        <f t="shared" ref="BB713:BB720" si="324">IF(COUNTIF(Y713:AA713,"NA")=3,0,IF(COUNTA(Y713:AA713)=0,0,IF(OR(AND(Y713=0,AZ713&gt;0),AND(Y713="ns",BA713&gt;0),AND(Y713="ns",AZ713=0,BA713=0)),1,IF(OR(AND(Y713&gt;0,AZ713=2),AND(Y713="ns",AZ713=2),AND(Y713="ns",BA713=0,AZ713&gt;0),Y713=BA713),0,1))))</f>
        <v>0</v>
      </c>
      <c r="BC713">
        <f t="shared" ref="BC713:BC720" si="325">COUNTIF(AC713:AD713,"NS")</f>
        <v>0</v>
      </c>
      <c r="BD713">
        <f t="shared" ref="BD713:BD720" si="326">SUM(AC713:AD713)</f>
        <v>0</v>
      </c>
      <c r="BE713">
        <f t="shared" ref="BE713:BE720" si="327">IF(COUNTIF(AB713:AD713,"NA")=3,0,IF(COUNTA(AB713:AD713)=0,0,IF(OR(AND(AB713=0,BC713&gt;0),AND(AB713="ns",BD713&gt;0),AND(AB713="ns",BC713=0,BD713=0)),1,IF(OR(AND(AB713&gt;0,BC713=2),AND(AB713="ns",BC713=2),AND(AB713="ns",BD713=0,BC713&gt;0),AB713=BD713),0,1))))</f>
        <v>0</v>
      </c>
      <c r="BF713" cm="1">
        <f t="array" ref="BF713">IF(OR(G713={"NS","NA"},$S613={"NS","NA"}),0,IF(G713&lt;=$S613,0,1))</f>
        <v>0</v>
      </c>
      <c r="BG713" cm="1">
        <f t="array" ref="BG713">IF(OR(H713={"NS","NA"},$W613={"NS","NA"}),0,IF(H713&lt;=$W613,0,1))</f>
        <v>0</v>
      </c>
      <c r="BH713" cm="1">
        <f t="array" ref="BH713">IF(OR(I713={"NS","NA"},$AA613={"NS","NA"}),0,IF(I713&lt;=$AA613,0,1))</f>
        <v>0</v>
      </c>
      <c r="BI713" cm="1">
        <f t="array" ref="BI713">IF(OR(J713={"NS","NA"},$S613={"NS","NA"}),0,IF(J713&lt;=$S613,0,1))</f>
        <v>0</v>
      </c>
      <c r="BJ713" cm="1">
        <f t="array" ref="BJ713">IF(OR(K713={"NS","NA"},$W613={"NS","NA"}),0,IF(K713&lt;=$W613,0,1))</f>
        <v>0</v>
      </c>
      <c r="BK713" cm="1">
        <f t="array" ref="BK713">IF(OR(L713={"NS","NA"},$AA613={"NS","NA"}),0,IF(L713&lt;=$AA613,0,1))</f>
        <v>0</v>
      </c>
      <c r="BL713" cm="1">
        <f t="array" ref="BL713">IF(OR(M713={"NS","NA"},$S613={"NS","NA"}),0,IF(M713&lt;=$S613,0,1))</f>
        <v>0</v>
      </c>
      <c r="BM713" cm="1">
        <f t="array" ref="BM713">IF(OR(N713={"NS","NA"},$W613={"NS","NA"}),0,IF(N713&lt;=$W613,0,1))</f>
        <v>0</v>
      </c>
      <c r="BN713" cm="1">
        <f t="array" ref="BN713">IF(OR(O713={"NS","NA"},$AA613={"NS","NA"}),0,IF(O713&lt;=$AA613,0,1))</f>
        <v>0</v>
      </c>
      <c r="BO713" cm="1">
        <f t="array" ref="BO713">IF(OR(P713={"NS","NA"},$S613={"NS","NA"}),0,IF(P713&lt;=$S613,0,1))</f>
        <v>0</v>
      </c>
      <c r="BP713" cm="1">
        <f t="array" ref="BP713">IF(OR(Q713={"NS","NA"},$W613={"NS","NA"}),0,IF(Q713&lt;=$W613,0,1))</f>
        <v>0</v>
      </c>
      <c r="BQ713" cm="1">
        <f t="array" ref="BQ713">IF(OR(R713={"NS","NA"},$AA613={"NS","NA"}),0,IF(R713&lt;=$AA613,0,1))</f>
        <v>0</v>
      </c>
      <c r="BR713" cm="1">
        <f t="array" ref="BR713">IF(OR(S713={"NS","NA"},$S613={"NS","NA"}),0,IF(S713&lt;=$S613,0,1))</f>
        <v>0</v>
      </c>
      <c r="BS713" cm="1">
        <f t="array" ref="BS713">IF(OR(T713={"NS","NA"},$W613={"NS","NA"}),0,IF(T713&lt;=$W613,0,1))</f>
        <v>0</v>
      </c>
      <c r="BT713" cm="1">
        <f t="array" ref="BT713">IF(OR(U713={"NS","NA"},$AA613={"NS","NA"}),0,IF(U713&lt;=$AA613,0,1))</f>
        <v>0</v>
      </c>
      <c r="BU713" cm="1">
        <f t="array" ref="BU713">IF(OR(V713={"NS","NA"},$S613={"NS","NA"}),0,IF(V713&lt;=$S613,0,1))</f>
        <v>0</v>
      </c>
      <c r="BV713" cm="1">
        <f t="array" ref="BV713">IF(OR(W713={"NS","NA"},$W613={"NS","NA"}),0,IF(W713&lt;=$W613,0,1))</f>
        <v>0</v>
      </c>
      <c r="BW713" cm="1">
        <f t="array" ref="BW713">IF(OR(X713={"NS","NA"},$AA613={"NS","NA"}),0,IF(X713&lt;=$AA613,0,1))</f>
        <v>0</v>
      </c>
      <c r="BX713" cm="1">
        <f t="array" ref="BX713">IF(OR(Y713={"NS","NA"},$S613={"NS","NA"}),0,IF(Y713&lt;=$S613,0,1))</f>
        <v>0</v>
      </c>
      <c r="BY713" cm="1">
        <f t="array" ref="BY713">IF(OR(Z713={"NS","NA"},$W613={"NS","NA"}),0,IF(Z713&lt;=$W613,0,1))</f>
        <v>0</v>
      </c>
      <c r="BZ713" cm="1">
        <f t="array" ref="BZ713">IF(OR(AA713={"NS","NA"},$AA613={"NS","NA"}),0,IF(AA713&lt;=$AA613,0,1))</f>
        <v>0</v>
      </c>
      <c r="CA713" cm="1">
        <f t="array" ref="CA713">IF(OR(AB713={"NS","NA"},$S613={"NS","NA"}),0,IF(AB713&lt;=$S613,0,1))</f>
        <v>0</v>
      </c>
      <c r="CB713" cm="1">
        <f t="array" ref="CB713">IF(OR(AC713={"NS","NA"},$W613={"NS","NA"}),0,IF(AC713&lt;=$W613,0,1))</f>
        <v>0</v>
      </c>
      <c r="CC713" cm="1">
        <f t="array" ref="CC713">IF(OR(AD713={"NS","NA"},$AA613={"NS","NA"}),0,IF(AD713&lt;=$AA613,0,1))</f>
        <v>0</v>
      </c>
    </row>
    <row r="714" spans="1:81" ht="15" customHeight="1">
      <c r="A714" s="210"/>
      <c r="B714" s="38"/>
      <c r="C714" s="143" t="s">
        <v>2517</v>
      </c>
      <c r="D714" s="813" t="str">
        <f>IF(CNSIPEE_2024_M2_Secc1!D43="","",CNSIPEE_2024_M2_Secc1!D43)</f>
        <v/>
      </c>
      <c r="E714" s="814"/>
      <c r="F714" s="815"/>
      <c r="G714" s="100"/>
      <c r="H714" s="100"/>
      <c r="I714" s="100"/>
      <c r="J714" s="100"/>
      <c r="K714" s="100"/>
      <c r="L714" s="100"/>
      <c r="M714" s="100"/>
      <c r="N714" s="100"/>
      <c r="O714" s="100"/>
      <c r="P714" s="100"/>
      <c r="Q714" s="100"/>
      <c r="R714" s="100"/>
      <c r="S714" s="100"/>
      <c r="T714" s="100"/>
      <c r="U714" s="100"/>
      <c r="V714" s="100"/>
      <c r="W714" s="100"/>
      <c r="X714" s="100"/>
      <c r="Y714" s="100"/>
      <c r="Z714" s="100"/>
      <c r="AA714" s="100"/>
      <c r="AB714" s="100"/>
      <c r="AC714" s="100"/>
      <c r="AD714" s="100"/>
      <c r="AH714">
        <f t="shared" ref="AH714:AH720" si="328">COUNTIF(H714:I714,"NS")</f>
        <v>0</v>
      </c>
      <c r="AI714">
        <f t="shared" ref="AI714:AI720" si="329">SUM(H714:I714)</f>
        <v>0</v>
      </c>
      <c r="AJ714">
        <f t="shared" ref="AJ714:AJ720" si="330">IF(COUNTIF(G714:I714,"NA")=3,0,IF(COUNTA(G714:I714)=0,0,IF(OR(AND(G714=0,AH714&gt;0),AND(G714="ns",AI714&gt;0),AND(G714="ns",AH714=0,AI714=0)),1,IF(OR(AND(G714&gt;0,AH714=2),AND(G714="ns",AH714=2),AND(G714="ns",AI714=0,AH714&gt;0),G714=AI714),0,1))))</f>
        <v>0</v>
      </c>
      <c r="AK714">
        <f t="shared" si="307"/>
        <v>0</v>
      </c>
      <c r="AL714">
        <f t="shared" si="308"/>
        <v>0</v>
      </c>
      <c r="AM714">
        <f t="shared" si="309"/>
        <v>0</v>
      </c>
      <c r="AN714">
        <f t="shared" si="310"/>
        <v>0</v>
      </c>
      <c r="AO714">
        <f t="shared" si="311"/>
        <v>0</v>
      </c>
      <c r="AP714">
        <f t="shared" si="312"/>
        <v>0</v>
      </c>
      <c r="AQ714">
        <f t="shared" si="313"/>
        <v>0</v>
      </c>
      <c r="AR714">
        <f t="shared" si="314"/>
        <v>0</v>
      </c>
      <c r="AS714">
        <f t="shared" si="315"/>
        <v>0</v>
      </c>
      <c r="AT714">
        <f t="shared" si="316"/>
        <v>0</v>
      </c>
      <c r="AU714">
        <f t="shared" si="317"/>
        <v>0</v>
      </c>
      <c r="AV714">
        <f t="shared" si="318"/>
        <v>0</v>
      </c>
      <c r="AW714">
        <f t="shared" si="319"/>
        <v>0</v>
      </c>
      <c r="AX714">
        <f t="shared" si="320"/>
        <v>0</v>
      </c>
      <c r="AY714">
        <f t="shared" si="321"/>
        <v>0</v>
      </c>
      <c r="AZ714">
        <f t="shared" si="322"/>
        <v>0</v>
      </c>
      <c r="BA714">
        <f t="shared" si="323"/>
        <v>0</v>
      </c>
      <c r="BB714">
        <f t="shared" si="324"/>
        <v>0</v>
      </c>
      <c r="BC714">
        <f t="shared" si="325"/>
        <v>0</v>
      </c>
      <c r="BD714">
        <f t="shared" si="326"/>
        <v>0</v>
      </c>
      <c r="BE714">
        <f t="shared" si="327"/>
        <v>0</v>
      </c>
      <c r="BF714" cm="1">
        <f t="array" ref="BF714">IF(OR(G714={"NS","NA"},$S614={"NS","NA"}),0,IF(G714&lt;=$S614,0,1))</f>
        <v>0</v>
      </c>
      <c r="BG714" cm="1">
        <f t="array" ref="BG714">IF(OR(H714={"NS","NA"},$W614={"NS","NA"}),0,IF(H714&lt;=$W614,0,1))</f>
        <v>0</v>
      </c>
      <c r="BH714" cm="1">
        <f t="array" ref="BH714">IF(OR(I714={"NS","NA"},$AA614={"NS","NA"}),0,IF(I714&lt;=$AA614,0,1))</f>
        <v>0</v>
      </c>
      <c r="BI714" cm="1">
        <f t="array" ref="BI714">IF(OR(J714={"NS","NA"},$S614={"NS","NA"}),0,IF(J714&lt;=$S614,0,1))</f>
        <v>0</v>
      </c>
      <c r="BJ714" cm="1">
        <f t="array" ref="BJ714">IF(OR(K714={"NS","NA"},$W614={"NS","NA"}),0,IF(K714&lt;=$W614,0,1))</f>
        <v>0</v>
      </c>
      <c r="BK714" cm="1">
        <f t="array" ref="BK714">IF(OR(L714={"NS","NA"},$AA614={"NS","NA"}),0,IF(L714&lt;=$AA614,0,1))</f>
        <v>0</v>
      </c>
      <c r="BL714" cm="1">
        <f t="array" ref="BL714">IF(OR(M714={"NS","NA"},$S614={"NS","NA"}),0,IF(M714&lt;=$S614,0,1))</f>
        <v>0</v>
      </c>
      <c r="BM714" cm="1">
        <f t="array" ref="BM714">IF(OR(N714={"NS","NA"},$W614={"NS","NA"}),0,IF(N714&lt;=$W614,0,1))</f>
        <v>0</v>
      </c>
      <c r="BN714" cm="1">
        <f t="array" ref="BN714">IF(OR(O714={"NS","NA"},$AA614={"NS","NA"}),0,IF(O714&lt;=$AA614,0,1))</f>
        <v>0</v>
      </c>
      <c r="BO714" cm="1">
        <f t="array" ref="BO714">IF(OR(P714={"NS","NA"},$S614={"NS","NA"}),0,IF(P714&lt;=$S614,0,1))</f>
        <v>0</v>
      </c>
      <c r="BP714" cm="1">
        <f t="array" ref="BP714">IF(OR(Q714={"NS","NA"},$W614={"NS","NA"}),0,IF(Q714&lt;=$W614,0,1))</f>
        <v>0</v>
      </c>
      <c r="BQ714" cm="1">
        <f t="array" ref="BQ714">IF(OR(R714={"NS","NA"},$AA614={"NS","NA"}),0,IF(R714&lt;=$AA614,0,1))</f>
        <v>0</v>
      </c>
      <c r="BR714" cm="1">
        <f t="array" ref="BR714">IF(OR(S714={"NS","NA"},$S614={"NS","NA"}),0,IF(S714&lt;=$S614,0,1))</f>
        <v>0</v>
      </c>
      <c r="BS714" cm="1">
        <f t="array" ref="BS714">IF(OR(T714={"NS","NA"},$W614={"NS","NA"}),0,IF(T714&lt;=$W614,0,1))</f>
        <v>0</v>
      </c>
      <c r="BT714" cm="1">
        <f t="array" ref="BT714">IF(OR(U714={"NS","NA"},$AA614={"NS","NA"}),0,IF(U714&lt;=$AA614,0,1))</f>
        <v>0</v>
      </c>
      <c r="BU714" cm="1">
        <f t="array" ref="BU714">IF(OR(V714={"NS","NA"},$S614={"NS","NA"}),0,IF(V714&lt;=$S614,0,1))</f>
        <v>0</v>
      </c>
      <c r="BV714" cm="1">
        <f t="array" ref="BV714">IF(OR(W714={"NS","NA"},$W614={"NS","NA"}),0,IF(W714&lt;=$W614,0,1))</f>
        <v>0</v>
      </c>
      <c r="BW714" cm="1">
        <f t="array" ref="BW714">IF(OR(X714={"NS","NA"},$AA614={"NS","NA"}),0,IF(X714&lt;=$AA614,0,1))</f>
        <v>0</v>
      </c>
      <c r="BX714" cm="1">
        <f t="array" ref="BX714">IF(OR(Y714={"NS","NA"},$S614={"NS","NA"}),0,IF(Y714&lt;=$S614,0,1))</f>
        <v>0</v>
      </c>
      <c r="BY714" cm="1">
        <f t="array" ref="BY714">IF(OR(Z714={"NS","NA"},$W614={"NS","NA"}),0,IF(Z714&lt;=$W614,0,1))</f>
        <v>0</v>
      </c>
      <c r="BZ714" cm="1">
        <f t="array" ref="BZ714">IF(OR(AA714={"NS","NA"},$AA614={"NS","NA"}),0,IF(AA714&lt;=$AA614,0,1))</f>
        <v>0</v>
      </c>
      <c r="CA714" cm="1">
        <f t="array" ref="CA714">IF(OR(AB714={"NS","NA"},$S614={"NS","NA"}),0,IF(AB714&lt;=$S614,0,1))</f>
        <v>0</v>
      </c>
      <c r="CB714" cm="1">
        <f t="array" ref="CB714">IF(OR(AC714={"NS","NA"},$W614={"NS","NA"}),0,IF(AC714&lt;=$W614,0,1))</f>
        <v>0</v>
      </c>
      <c r="CC714" cm="1">
        <f t="array" ref="CC714">IF(OR(AD714={"NS","NA"},$AA614={"NS","NA"}),0,IF(AD714&lt;=$AA614,0,1))</f>
        <v>0</v>
      </c>
    </row>
    <row r="715" spans="1:81" ht="15" customHeight="1">
      <c r="A715" s="210"/>
      <c r="B715" s="38"/>
      <c r="C715" s="143" t="s">
        <v>2518</v>
      </c>
      <c r="D715" s="813" t="str">
        <f>IF(CNSIPEE_2024_M2_Secc1!D44="","",CNSIPEE_2024_M2_Secc1!D44)</f>
        <v/>
      </c>
      <c r="E715" s="814"/>
      <c r="F715" s="815"/>
      <c r="G715" s="100"/>
      <c r="H715" s="100"/>
      <c r="I715" s="100"/>
      <c r="J715" s="100"/>
      <c r="K715" s="100"/>
      <c r="L715" s="100"/>
      <c r="M715" s="100"/>
      <c r="N715" s="100"/>
      <c r="O715" s="100"/>
      <c r="P715" s="100"/>
      <c r="Q715" s="100"/>
      <c r="R715" s="100"/>
      <c r="S715" s="100"/>
      <c r="T715" s="100"/>
      <c r="U715" s="100"/>
      <c r="V715" s="100"/>
      <c r="W715" s="100"/>
      <c r="X715" s="100"/>
      <c r="Y715" s="100"/>
      <c r="Z715" s="100"/>
      <c r="AA715" s="100"/>
      <c r="AB715" s="100"/>
      <c r="AC715" s="100"/>
      <c r="AD715" s="100"/>
      <c r="AH715">
        <f t="shared" si="328"/>
        <v>0</v>
      </c>
      <c r="AI715">
        <f t="shared" si="329"/>
        <v>0</v>
      </c>
      <c r="AJ715">
        <f t="shared" si="330"/>
        <v>0</v>
      </c>
      <c r="AK715">
        <f t="shared" si="307"/>
        <v>0</v>
      </c>
      <c r="AL715">
        <f t="shared" si="308"/>
        <v>0</v>
      </c>
      <c r="AM715">
        <f t="shared" si="309"/>
        <v>0</v>
      </c>
      <c r="AN715">
        <f t="shared" si="310"/>
        <v>0</v>
      </c>
      <c r="AO715">
        <f t="shared" si="311"/>
        <v>0</v>
      </c>
      <c r="AP715">
        <f t="shared" si="312"/>
        <v>0</v>
      </c>
      <c r="AQ715">
        <f t="shared" si="313"/>
        <v>0</v>
      </c>
      <c r="AR715">
        <f t="shared" si="314"/>
        <v>0</v>
      </c>
      <c r="AS715">
        <f t="shared" si="315"/>
        <v>0</v>
      </c>
      <c r="AT715">
        <f t="shared" si="316"/>
        <v>0</v>
      </c>
      <c r="AU715">
        <f t="shared" si="317"/>
        <v>0</v>
      </c>
      <c r="AV715">
        <f t="shared" si="318"/>
        <v>0</v>
      </c>
      <c r="AW715">
        <f t="shared" si="319"/>
        <v>0</v>
      </c>
      <c r="AX715">
        <f t="shared" si="320"/>
        <v>0</v>
      </c>
      <c r="AY715">
        <f t="shared" si="321"/>
        <v>0</v>
      </c>
      <c r="AZ715">
        <f t="shared" si="322"/>
        <v>0</v>
      </c>
      <c r="BA715">
        <f t="shared" si="323"/>
        <v>0</v>
      </c>
      <c r="BB715">
        <f t="shared" si="324"/>
        <v>0</v>
      </c>
      <c r="BC715">
        <f t="shared" si="325"/>
        <v>0</v>
      </c>
      <c r="BD715">
        <f t="shared" si="326"/>
        <v>0</v>
      </c>
      <c r="BE715">
        <f t="shared" si="327"/>
        <v>0</v>
      </c>
      <c r="BF715" cm="1">
        <f t="array" ref="BF715">IF(OR(G715={"NS","NA"},$S615={"NS","NA"}),0,IF(G715&lt;=$S615,0,1))</f>
        <v>0</v>
      </c>
      <c r="BG715" cm="1">
        <f t="array" ref="BG715">IF(OR(H715={"NS","NA"},$W615={"NS","NA"}),0,IF(H715&lt;=$W615,0,1))</f>
        <v>0</v>
      </c>
      <c r="BH715" cm="1">
        <f t="array" ref="BH715">IF(OR(I715={"NS","NA"},$AA615={"NS","NA"}),0,IF(I715&lt;=$AA615,0,1))</f>
        <v>0</v>
      </c>
      <c r="BI715" cm="1">
        <f t="array" ref="BI715">IF(OR(J715={"NS","NA"},$S615={"NS","NA"}),0,IF(J715&lt;=$S615,0,1))</f>
        <v>0</v>
      </c>
      <c r="BJ715" cm="1">
        <f t="array" ref="BJ715">IF(OR(K715={"NS","NA"},$W615={"NS","NA"}),0,IF(K715&lt;=$W615,0,1))</f>
        <v>0</v>
      </c>
      <c r="BK715" cm="1">
        <f t="array" ref="BK715">IF(OR(L715={"NS","NA"},$AA615={"NS","NA"}),0,IF(L715&lt;=$AA615,0,1))</f>
        <v>0</v>
      </c>
      <c r="BL715" cm="1">
        <f t="array" ref="BL715">IF(OR(M715={"NS","NA"},$S615={"NS","NA"}),0,IF(M715&lt;=$S615,0,1))</f>
        <v>0</v>
      </c>
      <c r="BM715" cm="1">
        <f t="array" ref="BM715">IF(OR(N715={"NS","NA"},$W615={"NS","NA"}),0,IF(N715&lt;=$W615,0,1))</f>
        <v>0</v>
      </c>
      <c r="BN715" cm="1">
        <f t="array" ref="BN715">IF(OR(O715={"NS","NA"},$AA615={"NS","NA"}),0,IF(O715&lt;=$AA615,0,1))</f>
        <v>0</v>
      </c>
      <c r="BO715" cm="1">
        <f t="array" ref="BO715">IF(OR(P715={"NS","NA"},$S615={"NS","NA"}),0,IF(P715&lt;=$S615,0,1))</f>
        <v>0</v>
      </c>
      <c r="BP715" cm="1">
        <f t="array" ref="BP715">IF(OR(Q715={"NS","NA"},$W615={"NS","NA"}),0,IF(Q715&lt;=$W615,0,1))</f>
        <v>0</v>
      </c>
      <c r="BQ715" cm="1">
        <f t="array" ref="BQ715">IF(OR(R715={"NS","NA"},$AA615={"NS","NA"}),0,IF(R715&lt;=$AA615,0,1))</f>
        <v>0</v>
      </c>
      <c r="BR715" cm="1">
        <f t="array" ref="BR715">IF(OR(S715={"NS","NA"},$S615={"NS","NA"}),0,IF(S715&lt;=$S615,0,1))</f>
        <v>0</v>
      </c>
      <c r="BS715" cm="1">
        <f t="array" ref="BS715">IF(OR(T715={"NS","NA"},$W615={"NS","NA"}),0,IF(T715&lt;=$W615,0,1))</f>
        <v>0</v>
      </c>
      <c r="BT715" cm="1">
        <f t="array" ref="BT715">IF(OR(U715={"NS","NA"},$AA615={"NS","NA"}),0,IF(U715&lt;=$AA615,0,1))</f>
        <v>0</v>
      </c>
      <c r="BU715" cm="1">
        <f t="array" ref="BU715">IF(OR(V715={"NS","NA"},$S615={"NS","NA"}),0,IF(V715&lt;=$S615,0,1))</f>
        <v>0</v>
      </c>
      <c r="BV715" cm="1">
        <f t="array" ref="BV715">IF(OR(W715={"NS","NA"},$W615={"NS","NA"}),0,IF(W715&lt;=$W615,0,1))</f>
        <v>0</v>
      </c>
      <c r="BW715" cm="1">
        <f t="array" ref="BW715">IF(OR(X715={"NS","NA"},$AA615={"NS","NA"}),0,IF(X715&lt;=$AA615,0,1))</f>
        <v>0</v>
      </c>
      <c r="BX715" cm="1">
        <f t="array" ref="BX715">IF(OR(Y715={"NS","NA"},$S615={"NS","NA"}),0,IF(Y715&lt;=$S615,0,1))</f>
        <v>0</v>
      </c>
      <c r="BY715" cm="1">
        <f t="array" ref="BY715">IF(OR(Z715={"NS","NA"},$W615={"NS","NA"}),0,IF(Z715&lt;=$W615,0,1))</f>
        <v>0</v>
      </c>
      <c r="BZ715" cm="1">
        <f t="array" ref="BZ715">IF(OR(AA715={"NS","NA"},$AA615={"NS","NA"}),0,IF(AA715&lt;=$AA615,0,1))</f>
        <v>0</v>
      </c>
      <c r="CA715" cm="1">
        <f t="array" ref="CA715">IF(OR(AB715={"NS","NA"},$S615={"NS","NA"}),0,IF(AB715&lt;=$S615,0,1))</f>
        <v>0</v>
      </c>
      <c r="CB715" cm="1">
        <f t="array" ref="CB715">IF(OR(AC715={"NS","NA"},$W615={"NS","NA"}),0,IF(AC715&lt;=$W615,0,1))</f>
        <v>0</v>
      </c>
      <c r="CC715" cm="1">
        <f t="array" ref="CC715">IF(OR(AD715={"NS","NA"},$AA615={"NS","NA"}),0,IF(AD715&lt;=$AA615,0,1))</f>
        <v>0</v>
      </c>
    </row>
    <row r="716" spans="1:81" ht="15" customHeight="1">
      <c r="A716" s="210"/>
      <c r="B716" s="38"/>
      <c r="C716" s="143" t="s">
        <v>2519</v>
      </c>
      <c r="D716" s="813" t="str">
        <f>IF(CNSIPEE_2024_M2_Secc1!D45="","",CNSIPEE_2024_M2_Secc1!D45)</f>
        <v/>
      </c>
      <c r="E716" s="814"/>
      <c r="F716" s="815"/>
      <c r="G716" s="100"/>
      <c r="H716" s="100"/>
      <c r="I716" s="100"/>
      <c r="J716" s="100"/>
      <c r="K716" s="100"/>
      <c r="L716" s="100"/>
      <c r="M716" s="100"/>
      <c r="N716" s="100"/>
      <c r="O716" s="100"/>
      <c r="P716" s="100"/>
      <c r="Q716" s="100"/>
      <c r="R716" s="100"/>
      <c r="S716" s="100"/>
      <c r="T716" s="100"/>
      <c r="U716" s="100"/>
      <c r="V716" s="100"/>
      <c r="W716" s="100"/>
      <c r="X716" s="100"/>
      <c r="Y716" s="100"/>
      <c r="Z716" s="100"/>
      <c r="AA716" s="100"/>
      <c r="AB716" s="100"/>
      <c r="AC716" s="100"/>
      <c r="AD716" s="100"/>
      <c r="AH716">
        <f t="shared" si="328"/>
        <v>0</v>
      </c>
      <c r="AI716">
        <f t="shared" si="329"/>
        <v>0</v>
      </c>
      <c r="AJ716">
        <f t="shared" si="330"/>
        <v>0</v>
      </c>
      <c r="AK716">
        <f t="shared" si="307"/>
        <v>0</v>
      </c>
      <c r="AL716">
        <f t="shared" si="308"/>
        <v>0</v>
      </c>
      <c r="AM716">
        <f t="shared" si="309"/>
        <v>0</v>
      </c>
      <c r="AN716">
        <f t="shared" si="310"/>
        <v>0</v>
      </c>
      <c r="AO716">
        <f t="shared" si="311"/>
        <v>0</v>
      </c>
      <c r="AP716">
        <f t="shared" si="312"/>
        <v>0</v>
      </c>
      <c r="AQ716">
        <f t="shared" si="313"/>
        <v>0</v>
      </c>
      <c r="AR716">
        <f t="shared" si="314"/>
        <v>0</v>
      </c>
      <c r="AS716">
        <f t="shared" si="315"/>
        <v>0</v>
      </c>
      <c r="AT716">
        <f t="shared" si="316"/>
        <v>0</v>
      </c>
      <c r="AU716">
        <f t="shared" si="317"/>
        <v>0</v>
      </c>
      <c r="AV716">
        <f t="shared" si="318"/>
        <v>0</v>
      </c>
      <c r="AW716">
        <f t="shared" si="319"/>
        <v>0</v>
      </c>
      <c r="AX716">
        <f t="shared" si="320"/>
        <v>0</v>
      </c>
      <c r="AY716">
        <f t="shared" si="321"/>
        <v>0</v>
      </c>
      <c r="AZ716">
        <f t="shared" si="322"/>
        <v>0</v>
      </c>
      <c r="BA716">
        <f t="shared" si="323"/>
        <v>0</v>
      </c>
      <c r="BB716">
        <f t="shared" si="324"/>
        <v>0</v>
      </c>
      <c r="BC716">
        <f t="shared" si="325"/>
        <v>0</v>
      </c>
      <c r="BD716">
        <f t="shared" si="326"/>
        <v>0</v>
      </c>
      <c r="BE716">
        <f t="shared" si="327"/>
        <v>0</v>
      </c>
      <c r="BF716" cm="1">
        <f t="array" ref="BF716">IF(OR(G716={"NS","NA"},$S616={"NS","NA"}),0,IF(G716&lt;=$S616,0,1))</f>
        <v>0</v>
      </c>
      <c r="BG716" cm="1">
        <f t="array" ref="BG716">IF(OR(H716={"NS","NA"},$W616={"NS","NA"}),0,IF(H716&lt;=$W616,0,1))</f>
        <v>0</v>
      </c>
      <c r="BH716" cm="1">
        <f t="array" ref="BH716">IF(OR(I716={"NS","NA"},$AA616={"NS","NA"}),0,IF(I716&lt;=$AA616,0,1))</f>
        <v>0</v>
      </c>
      <c r="BI716" cm="1">
        <f t="array" ref="BI716">IF(OR(J716={"NS","NA"},$S616={"NS","NA"}),0,IF(J716&lt;=$S616,0,1))</f>
        <v>0</v>
      </c>
      <c r="BJ716" cm="1">
        <f t="array" ref="BJ716">IF(OR(K716={"NS","NA"},$W616={"NS","NA"}),0,IF(K716&lt;=$W616,0,1))</f>
        <v>0</v>
      </c>
      <c r="BK716" cm="1">
        <f t="array" ref="BK716">IF(OR(L716={"NS","NA"},$AA616={"NS","NA"}),0,IF(L716&lt;=$AA616,0,1))</f>
        <v>0</v>
      </c>
      <c r="BL716" cm="1">
        <f t="array" ref="BL716">IF(OR(M716={"NS","NA"},$S616={"NS","NA"}),0,IF(M716&lt;=$S616,0,1))</f>
        <v>0</v>
      </c>
      <c r="BM716" cm="1">
        <f t="array" ref="BM716">IF(OR(N716={"NS","NA"},$W616={"NS","NA"}),0,IF(N716&lt;=$W616,0,1))</f>
        <v>0</v>
      </c>
      <c r="BN716" cm="1">
        <f t="array" ref="BN716">IF(OR(O716={"NS","NA"},$AA616={"NS","NA"}),0,IF(O716&lt;=$AA616,0,1))</f>
        <v>0</v>
      </c>
      <c r="BO716" cm="1">
        <f t="array" ref="BO716">IF(OR(P716={"NS","NA"},$S616={"NS","NA"}),0,IF(P716&lt;=$S616,0,1))</f>
        <v>0</v>
      </c>
      <c r="BP716" cm="1">
        <f t="array" ref="BP716">IF(OR(Q716={"NS","NA"},$W616={"NS","NA"}),0,IF(Q716&lt;=$W616,0,1))</f>
        <v>0</v>
      </c>
      <c r="BQ716" cm="1">
        <f t="array" ref="BQ716">IF(OR(R716={"NS","NA"},$AA616={"NS","NA"}),0,IF(R716&lt;=$AA616,0,1))</f>
        <v>0</v>
      </c>
      <c r="BR716" cm="1">
        <f t="array" ref="BR716">IF(OR(S716={"NS","NA"},$S616={"NS","NA"}),0,IF(S716&lt;=$S616,0,1))</f>
        <v>0</v>
      </c>
      <c r="BS716" cm="1">
        <f t="array" ref="BS716">IF(OR(T716={"NS","NA"},$W616={"NS","NA"}),0,IF(T716&lt;=$W616,0,1))</f>
        <v>0</v>
      </c>
      <c r="BT716" cm="1">
        <f t="array" ref="BT716">IF(OR(U716={"NS","NA"},$AA616={"NS","NA"}),0,IF(U716&lt;=$AA616,0,1))</f>
        <v>0</v>
      </c>
      <c r="BU716" cm="1">
        <f t="array" ref="BU716">IF(OR(V716={"NS","NA"},$S616={"NS","NA"}),0,IF(V716&lt;=$S616,0,1))</f>
        <v>0</v>
      </c>
      <c r="BV716" cm="1">
        <f t="array" ref="BV716">IF(OR(W716={"NS","NA"},$W616={"NS","NA"}),0,IF(W716&lt;=$W616,0,1))</f>
        <v>0</v>
      </c>
      <c r="BW716" cm="1">
        <f t="array" ref="BW716">IF(OR(X716={"NS","NA"},$AA616={"NS","NA"}),0,IF(X716&lt;=$AA616,0,1))</f>
        <v>0</v>
      </c>
      <c r="BX716" cm="1">
        <f t="array" ref="BX716">IF(OR(Y716={"NS","NA"},$S616={"NS","NA"}),0,IF(Y716&lt;=$S616,0,1))</f>
        <v>0</v>
      </c>
      <c r="BY716" cm="1">
        <f t="array" ref="BY716">IF(OR(Z716={"NS","NA"},$W616={"NS","NA"}),0,IF(Z716&lt;=$W616,0,1))</f>
        <v>0</v>
      </c>
      <c r="BZ716" cm="1">
        <f t="array" ref="BZ716">IF(OR(AA716={"NS","NA"},$AA616={"NS","NA"}),0,IF(AA716&lt;=$AA616,0,1))</f>
        <v>0</v>
      </c>
      <c r="CA716" cm="1">
        <f t="array" ref="CA716">IF(OR(AB716={"NS","NA"},$S616={"NS","NA"}),0,IF(AB716&lt;=$S616,0,1))</f>
        <v>0</v>
      </c>
      <c r="CB716" cm="1">
        <f t="array" ref="CB716">IF(OR(AC716={"NS","NA"},$W616={"NS","NA"}),0,IF(AC716&lt;=$W616,0,1))</f>
        <v>0</v>
      </c>
      <c r="CC716" cm="1">
        <f t="array" ref="CC716">IF(OR(AD716={"NS","NA"},$AA616={"NS","NA"}),0,IF(AD716&lt;=$AA616,0,1))</f>
        <v>0</v>
      </c>
    </row>
    <row r="717" spans="1:81" ht="15" customHeight="1">
      <c r="A717" s="210"/>
      <c r="B717" s="38"/>
      <c r="C717" s="143" t="s">
        <v>2520</v>
      </c>
      <c r="D717" s="813" t="str">
        <f>IF(CNSIPEE_2024_M2_Secc1!D46="","",CNSIPEE_2024_M2_Secc1!D46)</f>
        <v/>
      </c>
      <c r="E717" s="814"/>
      <c r="F717" s="815"/>
      <c r="G717" s="100"/>
      <c r="H717" s="100"/>
      <c r="I717" s="100"/>
      <c r="J717" s="100"/>
      <c r="K717" s="100"/>
      <c r="L717" s="100"/>
      <c r="M717" s="100"/>
      <c r="N717" s="100"/>
      <c r="O717" s="100"/>
      <c r="P717" s="100"/>
      <c r="Q717" s="100"/>
      <c r="R717" s="100"/>
      <c r="S717" s="100"/>
      <c r="T717" s="100"/>
      <c r="U717" s="100"/>
      <c r="V717" s="100"/>
      <c r="W717" s="100"/>
      <c r="X717" s="100"/>
      <c r="Y717" s="100"/>
      <c r="Z717" s="100"/>
      <c r="AA717" s="100"/>
      <c r="AB717" s="100"/>
      <c r="AC717" s="100"/>
      <c r="AD717" s="100"/>
      <c r="AH717">
        <f t="shared" si="328"/>
        <v>0</v>
      </c>
      <c r="AI717">
        <f t="shared" si="329"/>
        <v>0</v>
      </c>
      <c r="AJ717">
        <f t="shared" si="330"/>
        <v>0</v>
      </c>
      <c r="AK717">
        <f t="shared" si="307"/>
        <v>0</v>
      </c>
      <c r="AL717">
        <f t="shared" si="308"/>
        <v>0</v>
      </c>
      <c r="AM717">
        <f t="shared" si="309"/>
        <v>0</v>
      </c>
      <c r="AN717">
        <f t="shared" si="310"/>
        <v>0</v>
      </c>
      <c r="AO717">
        <f t="shared" si="311"/>
        <v>0</v>
      </c>
      <c r="AP717">
        <f t="shared" si="312"/>
        <v>0</v>
      </c>
      <c r="AQ717">
        <f t="shared" si="313"/>
        <v>0</v>
      </c>
      <c r="AR717">
        <f t="shared" si="314"/>
        <v>0</v>
      </c>
      <c r="AS717">
        <f t="shared" si="315"/>
        <v>0</v>
      </c>
      <c r="AT717">
        <f t="shared" si="316"/>
        <v>0</v>
      </c>
      <c r="AU717">
        <f t="shared" si="317"/>
        <v>0</v>
      </c>
      <c r="AV717">
        <f t="shared" si="318"/>
        <v>0</v>
      </c>
      <c r="AW717">
        <f t="shared" si="319"/>
        <v>0</v>
      </c>
      <c r="AX717">
        <f t="shared" si="320"/>
        <v>0</v>
      </c>
      <c r="AY717">
        <f t="shared" si="321"/>
        <v>0</v>
      </c>
      <c r="AZ717">
        <f t="shared" si="322"/>
        <v>0</v>
      </c>
      <c r="BA717">
        <f t="shared" si="323"/>
        <v>0</v>
      </c>
      <c r="BB717">
        <f t="shared" si="324"/>
        <v>0</v>
      </c>
      <c r="BC717">
        <f t="shared" si="325"/>
        <v>0</v>
      </c>
      <c r="BD717">
        <f t="shared" si="326"/>
        <v>0</v>
      </c>
      <c r="BE717">
        <f t="shared" si="327"/>
        <v>0</v>
      </c>
      <c r="BF717" cm="1">
        <f t="array" ref="BF717">IF(OR(G717={"NS","NA"},$S617={"NS","NA"}),0,IF(G717&lt;=$S617,0,1))</f>
        <v>0</v>
      </c>
      <c r="BG717" cm="1">
        <f t="array" ref="BG717">IF(OR(H717={"NS","NA"},$W617={"NS","NA"}),0,IF(H717&lt;=$W617,0,1))</f>
        <v>0</v>
      </c>
      <c r="BH717" cm="1">
        <f t="array" ref="BH717">IF(OR(I717={"NS","NA"},$AA617={"NS","NA"}),0,IF(I717&lt;=$AA617,0,1))</f>
        <v>0</v>
      </c>
      <c r="BI717" cm="1">
        <f t="array" ref="BI717">IF(OR(J717={"NS","NA"},$S617={"NS","NA"}),0,IF(J717&lt;=$S617,0,1))</f>
        <v>0</v>
      </c>
      <c r="BJ717" cm="1">
        <f t="array" ref="BJ717">IF(OR(K717={"NS","NA"},$W617={"NS","NA"}),0,IF(K717&lt;=$W617,0,1))</f>
        <v>0</v>
      </c>
      <c r="BK717" cm="1">
        <f t="array" ref="BK717">IF(OR(L717={"NS","NA"},$AA617={"NS","NA"}),0,IF(L717&lt;=$AA617,0,1))</f>
        <v>0</v>
      </c>
      <c r="BL717" cm="1">
        <f t="array" ref="BL717">IF(OR(M717={"NS","NA"},$S617={"NS","NA"}),0,IF(M717&lt;=$S617,0,1))</f>
        <v>0</v>
      </c>
      <c r="BM717" cm="1">
        <f t="array" ref="BM717">IF(OR(N717={"NS","NA"},$W617={"NS","NA"}),0,IF(N717&lt;=$W617,0,1))</f>
        <v>0</v>
      </c>
      <c r="BN717" cm="1">
        <f t="array" ref="BN717">IF(OR(O717={"NS","NA"},$AA617={"NS","NA"}),0,IF(O717&lt;=$AA617,0,1))</f>
        <v>0</v>
      </c>
      <c r="BO717" cm="1">
        <f t="array" ref="BO717">IF(OR(P717={"NS","NA"},$S617={"NS","NA"}),0,IF(P717&lt;=$S617,0,1))</f>
        <v>0</v>
      </c>
      <c r="BP717" cm="1">
        <f t="array" ref="BP717">IF(OR(Q717={"NS","NA"},$W617={"NS","NA"}),0,IF(Q717&lt;=$W617,0,1))</f>
        <v>0</v>
      </c>
      <c r="BQ717" cm="1">
        <f t="array" ref="BQ717">IF(OR(R717={"NS","NA"},$AA617={"NS","NA"}),0,IF(R717&lt;=$AA617,0,1))</f>
        <v>0</v>
      </c>
      <c r="BR717" cm="1">
        <f t="array" ref="BR717">IF(OR(S717={"NS","NA"},$S617={"NS","NA"}),0,IF(S717&lt;=$S617,0,1))</f>
        <v>0</v>
      </c>
      <c r="BS717" cm="1">
        <f t="array" ref="BS717">IF(OR(T717={"NS","NA"},$W617={"NS","NA"}),0,IF(T717&lt;=$W617,0,1))</f>
        <v>0</v>
      </c>
      <c r="BT717" cm="1">
        <f t="array" ref="BT717">IF(OR(U717={"NS","NA"},$AA617={"NS","NA"}),0,IF(U717&lt;=$AA617,0,1))</f>
        <v>0</v>
      </c>
      <c r="BU717" cm="1">
        <f t="array" ref="BU717">IF(OR(V717={"NS","NA"},$S617={"NS","NA"}),0,IF(V717&lt;=$S617,0,1))</f>
        <v>0</v>
      </c>
      <c r="BV717" cm="1">
        <f t="array" ref="BV717">IF(OR(W717={"NS","NA"},$W617={"NS","NA"}),0,IF(W717&lt;=$W617,0,1))</f>
        <v>0</v>
      </c>
      <c r="BW717" cm="1">
        <f t="array" ref="BW717">IF(OR(X717={"NS","NA"},$AA617={"NS","NA"}),0,IF(X717&lt;=$AA617,0,1))</f>
        <v>0</v>
      </c>
      <c r="BX717" cm="1">
        <f t="array" ref="BX717">IF(OR(Y717={"NS","NA"},$S617={"NS","NA"}),0,IF(Y717&lt;=$S617,0,1))</f>
        <v>0</v>
      </c>
      <c r="BY717" cm="1">
        <f t="array" ref="BY717">IF(OR(Z717={"NS","NA"},$W617={"NS","NA"}),0,IF(Z717&lt;=$W617,0,1))</f>
        <v>0</v>
      </c>
      <c r="BZ717" cm="1">
        <f t="array" ref="BZ717">IF(OR(AA717={"NS","NA"},$AA617={"NS","NA"}),0,IF(AA717&lt;=$AA617,0,1))</f>
        <v>0</v>
      </c>
      <c r="CA717" cm="1">
        <f t="array" ref="CA717">IF(OR(AB717={"NS","NA"},$S617={"NS","NA"}),0,IF(AB717&lt;=$S617,0,1))</f>
        <v>0</v>
      </c>
      <c r="CB717" cm="1">
        <f t="array" ref="CB717">IF(OR(AC717={"NS","NA"},$W617={"NS","NA"}),0,IF(AC717&lt;=$W617,0,1))</f>
        <v>0</v>
      </c>
      <c r="CC717" cm="1">
        <f t="array" ref="CC717">IF(OR(AD717={"NS","NA"},$AA617={"NS","NA"}),0,IF(AD717&lt;=$AA617,0,1))</f>
        <v>0</v>
      </c>
    </row>
    <row r="718" spans="1:81" ht="15" customHeight="1">
      <c r="A718" s="210"/>
      <c r="B718" s="38"/>
      <c r="C718" s="143" t="s">
        <v>2521</v>
      </c>
      <c r="D718" s="813" t="str">
        <f>IF(CNSIPEE_2024_M2_Secc1!D47="","",CNSIPEE_2024_M2_Secc1!D47)</f>
        <v/>
      </c>
      <c r="E718" s="814"/>
      <c r="F718" s="815"/>
      <c r="G718" s="100"/>
      <c r="H718" s="100"/>
      <c r="I718" s="100"/>
      <c r="J718" s="100"/>
      <c r="K718" s="100"/>
      <c r="L718" s="100"/>
      <c r="M718" s="100"/>
      <c r="N718" s="100"/>
      <c r="O718" s="100"/>
      <c r="P718" s="100"/>
      <c r="Q718" s="100"/>
      <c r="R718" s="100"/>
      <c r="S718" s="100"/>
      <c r="T718" s="100"/>
      <c r="U718" s="100"/>
      <c r="V718" s="100"/>
      <c r="W718" s="100"/>
      <c r="X718" s="100"/>
      <c r="Y718" s="100"/>
      <c r="Z718" s="100"/>
      <c r="AA718" s="100"/>
      <c r="AB718" s="100"/>
      <c r="AC718" s="100"/>
      <c r="AD718" s="100"/>
      <c r="AH718">
        <f t="shared" si="328"/>
        <v>0</v>
      </c>
      <c r="AI718">
        <f t="shared" si="329"/>
        <v>0</v>
      </c>
      <c r="AJ718">
        <f t="shared" si="330"/>
        <v>0</v>
      </c>
      <c r="AK718">
        <f t="shared" si="307"/>
        <v>0</v>
      </c>
      <c r="AL718">
        <f t="shared" si="308"/>
        <v>0</v>
      </c>
      <c r="AM718">
        <f t="shared" si="309"/>
        <v>0</v>
      </c>
      <c r="AN718">
        <f t="shared" si="310"/>
        <v>0</v>
      </c>
      <c r="AO718">
        <f t="shared" si="311"/>
        <v>0</v>
      </c>
      <c r="AP718">
        <f t="shared" si="312"/>
        <v>0</v>
      </c>
      <c r="AQ718">
        <f t="shared" si="313"/>
        <v>0</v>
      </c>
      <c r="AR718">
        <f t="shared" si="314"/>
        <v>0</v>
      </c>
      <c r="AS718">
        <f t="shared" si="315"/>
        <v>0</v>
      </c>
      <c r="AT718">
        <f t="shared" si="316"/>
        <v>0</v>
      </c>
      <c r="AU718">
        <f t="shared" si="317"/>
        <v>0</v>
      </c>
      <c r="AV718">
        <f t="shared" si="318"/>
        <v>0</v>
      </c>
      <c r="AW718">
        <f t="shared" si="319"/>
        <v>0</v>
      </c>
      <c r="AX718">
        <f t="shared" si="320"/>
        <v>0</v>
      </c>
      <c r="AY718">
        <f t="shared" si="321"/>
        <v>0</v>
      </c>
      <c r="AZ718">
        <f t="shared" si="322"/>
        <v>0</v>
      </c>
      <c r="BA718">
        <f t="shared" si="323"/>
        <v>0</v>
      </c>
      <c r="BB718">
        <f t="shared" si="324"/>
        <v>0</v>
      </c>
      <c r="BC718">
        <f t="shared" si="325"/>
        <v>0</v>
      </c>
      <c r="BD718">
        <f t="shared" si="326"/>
        <v>0</v>
      </c>
      <c r="BE718">
        <f t="shared" si="327"/>
        <v>0</v>
      </c>
      <c r="BF718" cm="1">
        <f t="array" ref="BF718">IF(OR(G718={"NS","NA"},$S618={"NS","NA"}),0,IF(G718&lt;=$S618,0,1))</f>
        <v>0</v>
      </c>
      <c r="BG718" cm="1">
        <f t="array" ref="BG718">IF(OR(H718={"NS","NA"},$W618={"NS","NA"}),0,IF(H718&lt;=$W618,0,1))</f>
        <v>0</v>
      </c>
      <c r="BH718" cm="1">
        <f t="array" ref="BH718">IF(OR(I718={"NS","NA"},$AA618={"NS","NA"}),0,IF(I718&lt;=$AA618,0,1))</f>
        <v>0</v>
      </c>
      <c r="BI718" cm="1">
        <f t="array" ref="BI718">IF(OR(J718={"NS","NA"},$S618={"NS","NA"}),0,IF(J718&lt;=$S618,0,1))</f>
        <v>0</v>
      </c>
      <c r="BJ718" cm="1">
        <f t="array" ref="BJ718">IF(OR(K718={"NS","NA"},$W618={"NS","NA"}),0,IF(K718&lt;=$W618,0,1))</f>
        <v>0</v>
      </c>
      <c r="BK718" cm="1">
        <f t="array" ref="BK718">IF(OR(L718={"NS","NA"},$AA618={"NS","NA"}),0,IF(L718&lt;=$AA618,0,1))</f>
        <v>0</v>
      </c>
      <c r="BL718" cm="1">
        <f t="array" ref="BL718">IF(OR(M718={"NS","NA"},$S618={"NS","NA"}),0,IF(M718&lt;=$S618,0,1))</f>
        <v>0</v>
      </c>
      <c r="BM718" cm="1">
        <f t="array" ref="BM718">IF(OR(N718={"NS","NA"},$W618={"NS","NA"}),0,IF(N718&lt;=$W618,0,1))</f>
        <v>0</v>
      </c>
      <c r="BN718" cm="1">
        <f t="array" ref="BN718">IF(OR(O718={"NS","NA"},$AA618={"NS","NA"}),0,IF(O718&lt;=$AA618,0,1))</f>
        <v>0</v>
      </c>
      <c r="BO718" cm="1">
        <f t="array" ref="BO718">IF(OR(P718={"NS","NA"},$S618={"NS","NA"}),0,IF(P718&lt;=$S618,0,1))</f>
        <v>0</v>
      </c>
      <c r="BP718" cm="1">
        <f t="array" ref="BP718">IF(OR(Q718={"NS","NA"},$W618={"NS","NA"}),0,IF(Q718&lt;=$W618,0,1))</f>
        <v>0</v>
      </c>
      <c r="BQ718" cm="1">
        <f t="array" ref="BQ718">IF(OR(R718={"NS","NA"},$AA618={"NS","NA"}),0,IF(R718&lt;=$AA618,0,1))</f>
        <v>0</v>
      </c>
      <c r="BR718" cm="1">
        <f t="array" ref="BR718">IF(OR(S718={"NS","NA"},$S618={"NS","NA"}),0,IF(S718&lt;=$S618,0,1))</f>
        <v>0</v>
      </c>
      <c r="BS718" cm="1">
        <f t="array" ref="BS718">IF(OR(T718={"NS","NA"},$W618={"NS","NA"}),0,IF(T718&lt;=$W618,0,1))</f>
        <v>0</v>
      </c>
      <c r="BT718" cm="1">
        <f t="array" ref="BT718">IF(OR(U718={"NS","NA"},$AA618={"NS","NA"}),0,IF(U718&lt;=$AA618,0,1))</f>
        <v>0</v>
      </c>
      <c r="BU718" cm="1">
        <f t="array" ref="BU718">IF(OR(V718={"NS","NA"},$S618={"NS","NA"}),0,IF(V718&lt;=$S618,0,1))</f>
        <v>0</v>
      </c>
      <c r="BV718" cm="1">
        <f t="array" ref="BV718">IF(OR(W718={"NS","NA"},$W618={"NS","NA"}),0,IF(W718&lt;=$W618,0,1))</f>
        <v>0</v>
      </c>
      <c r="BW718" cm="1">
        <f t="array" ref="BW718">IF(OR(X718={"NS","NA"},$AA618={"NS","NA"}),0,IF(X718&lt;=$AA618,0,1))</f>
        <v>0</v>
      </c>
      <c r="BX718" cm="1">
        <f t="array" ref="BX718">IF(OR(Y718={"NS","NA"},$S618={"NS","NA"}),0,IF(Y718&lt;=$S618,0,1))</f>
        <v>0</v>
      </c>
      <c r="BY718" cm="1">
        <f t="array" ref="BY718">IF(OR(Z718={"NS","NA"},$W618={"NS","NA"}),0,IF(Z718&lt;=$W618,0,1))</f>
        <v>0</v>
      </c>
      <c r="BZ718" cm="1">
        <f t="array" ref="BZ718">IF(OR(AA718={"NS","NA"},$AA618={"NS","NA"}),0,IF(AA718&lt;=$AA618,0,1))</f>
        <v>0</v>
      </c>
      <c r="CA718" cm="1">
        <f t="array" ref="CA718">IF(OR(AB718={"NS","NA"},$S618={"NS","NA"}),0,IF(AB718&lt;=$S618,0,1))</f>
        <v>0</v>
      </c>
      <c r="CB718" cm="1">
        <f t="array" ref="CB718">IF(OR(AC718={"NS","NA"},$W618={"NS","NA"}),0,IF(AC718&lt;=$W618,0,1))</f>
        <v>0</v>
      </c>
      <c r="CC718" cm="1">
        <f t="array" ref="CC718">IF(OR(AD718={"NS","NA"},$AA618={"NS","NA"}),0,IF(AD718&lt;=$AA618,0,1))</f>
        <v>0</v>
      </c>
    </row>
    <row r="719" spans="1:81" ht="15" customHeight="1">
      <c r="A719" s="210"/>
      <c r="B719" s="38"/>
      <c r="C719" s="143" t="s">
        <v>2522</v>
      </c>
      <c r="D719" s="813" t="str">
        <f>IF(CNSIPEE_2024_M2_Secc1!D48="","",CNSIPEE_2024_M2_Secc1!D48)</f>
        <v/>
      </c>
      <c r="E719" s="814"/>
      <c r="F719" s="815"/>
      <c r="G719" s="100"/>
      <c r="H719" s="100"/>
      <c r="I719" s="100"/>
      <c r="J719" s="100"/>
      <c r="K719" s="100"/>
      <c r="L719" s="100"/>
      <c r="M719" s="100"/>
      <c r="N719" s="100"/>
      <c r="O719" s="100"/>
      <c r="P719" s="100"/>
      <c r="Q719" s="100"/>
      <c r="R719" s="100"/>
      <c r="S719" s="100"/>
      <c r="T719" s="100"/>
      <c r="U719" s="100"/>
      <c r="V719" s="100"/>
      <c r="W719" s="100"/>
      <c r="X719" s="100"/>
      <c r="Y719" s="100"/>
      <c r="Z719" s="100"/>
      <c r="AA719" s="100"/>
      <c r="AB719" s="100"/>
      <c r="AC719" s="100"/>
      <c r="AD719" s="100"/>
      <c r="AH719">
        <f t="shared" si="328"/>
        <v>0</v>
      </c>
      <c r="AI719">
        <f t="shared" si="329"/>
        <v>0</v>
      </c>
      <c r="AJ719">
        <f t="shared" si="330"/>
        <v>0</v>
      </c>
      <c r="AK719">
        <f t="shared" si="307"/>
        <v>0</v>
      </c>
      <c r="AL719">
        <f t="shared" si="308"/>
        <v>0</v>
      </c>
      <c r="AM719">
        <f t="shared" si="309"/>
        <v>0</v>
      </c>
      <c r="AN719">
        <f t="shared" si="310"/>
        <v>0</v>
      </c>
      <c r="AO719">
        <f t="shared" si="311"/>
        <v>0</v>
      </c>
      <c r="AP719">
        <f t="shared" si="312"/>
        <v>0</v>
      </c>
      <c r="AQ719">
        <f t="shared" si="313"/>
        <v>0</v>
      </c>
      <c r="AR719">
        <f t="shared" si="314"/>
        <v>0</v>
      </c>
      <c r="AS719">
        <f t="shared" si="315"/>
        <v>0</v>
      </c>
      <c r="AT719">
        <f t="shared" si="316"/>
        <v>0</v>
      </c>
      <c r="AU719">
        <f t="shared" si="317"/>
        <v>0</v>
      </c>
      <c r="AV719">
        <f t="shared" si="318"/>
        <v>0</v>
      </c>
      <c r="AW719">
        <f t="shared" si="319"/>
        <v>0</v>
      </c>
      <c r="AX719">
        <f t="shared" si="320"/>
        <v>0</v>
      </c>
      <c r="AY719">
        <f t="shared" si="321"/>
        <v>0</v>
      </c>
      <c r="AZ719">
        <f t="shared" si="322"/>
        <v>0</v>
      </c>
      <c r="BA719">
        <f t="shared" si="323"/>
        <v>0</v>
      </c>
      <c r="BB719">
        <f t="shared" si="324"/>
        <v>0</v>
      </c>
      <c r="BC719">
        <f t="shared" si="325"/>
        <v>0</v>
      </c>
      <c r="BD719">
        <f t="shared" si="326"/>
        <v>0</v>
      </c>
      <c r="BE719">
        <f t="shared" si="327"/>
        <v>0</v>
      </c>
      <c r="BF719" cm="1">
        <f t="array" ref="BF719">IF(OR(G719={"NS","NA"},$S619={"NS","NA"}),0,IF(G719&lt;=$S619,0,1))</f>
        <v>0</v>
      </c>
      <c r="BG719" cm="1">
        <f t="array" ref="BG719">IF(OR(H719={"NS","NA"},$W619={"NS","NA"}),0,IF(H719&lt;=$W619,0,1))</f>
        <v>0</v>
      </c>
      <c r="BH719" cm="1">
        <f t="array" ref="BH719">IF(OR(I719={"NS","NA"},$AA619={"NS","NA"}),0,IF(I719&lt;=$AA619,0,1))</f>
        <v>0</v>
      </c>
      <c r="BI719" cm="1">
        <f t="array" ref="BI719">IF(OR(J719={"NS","NA"},$S619={"NS","NA"}),0,IF(J719&lt;=$S619,0,1))</f>
        <v>0</v>
      </c>
      <c r="BJ719" cm="1">
        <f t="array" ref="BJ719">IF(OR(K719={"NS","NA"},$W619={"NS","NA"}),0,IF(K719&lt;=$W619,0,1))</f>
        <v>0</v>
      </c>
      <c r="BK719" cm="1">
        <f t="array" ref="BK719">IF(OR(L719={"NS","NA"},$AA619={"NS","NA"}),0,IF(L719&lt;=$AA619,0,1))</f>
        <v>0</v>
      </c>
      <c r="BL719" cm="1">
        <f t="array" ref="BL719">IF(OR(M719={"NS","NA"},$S619={"NS","NA"}),0,IF(M719&lt;=$S619,0,1))</f>
        <v>0</v>
      </c>
      <c r="BM719" cm="1">
        <f t="array" ref="BM719">IF(OR(N719={"NS","NA"},$W619={"NS","NA"}),0,IF(N719&lt;=$W619,0,1))</f>
        <v>0</v>
      </c>
      <c r="BN719" cm="1">
        <f t="array" ref="BN719">IF(OR(O719={"NS","NA"},$AA619={"NS","NA"}),0,IF(O719&lt;=$AA619,0,1))</f>
        <v>0</v>
      </c>
      <c r="BO719" cm="1">
        <f t="array" ref="BO719">IF(OR(P719={"NS","NA"},$S619={"NS","NA"}),0,IF(P719&lt;=$S619,0,1))</f>
        <v>0</v>
      </c>
      <c r="BP719" cm="1">
        <f t="array" ref="BP719">IF(OR(Q719={"NS","NA"},$W619={"NS","NA"}),0,IF(Q719&lt;=$W619,0,1))</f>
        <v>0</v>
      </c>
      <c r="BQ719" cm="1">
        <f t="array" ref="BQ719">IF(OR(R719={"NS","NA"},$AA619={"NS","NA"}),0,IF(R719&lt;=$AA619,0,1))</f>
        <v>0</v>
      </c>
      <c r="BR719" cm="1">
        <f t="array" ref="BR719">IF(OR(S719={"NS","NA"},$S619={"NS","NA"}),0,IF(S719&lt;=$S619,0,1))</f>
        <v>0</v>
      </c>
      <c r="BS719" cm="1">
        <f t="array" ref="BS719">IF(OR(T719={"NS","NA"},$W619={"NS","NA"}),0,IF(T719&lt;=$W619,0,1))</f>
        <v>0</v>
      </c>
      <c r="BT719" cm="1">
        <f t="array" ref="BT719">IF(OR(U719={"NS","NA"},$AA619={"NS","NA"}),0,IF(U719&lt;=$AA619,0,1))</f>
        <v>0</v>
      </c>
      <c r="BU719" cm="1">
        <f t="array" ref="BU719">IF(OR(V719={"NS","NA"},$S619={"NS","NA"}),0,IF(V719&lt;=$S619,0,1))</f>
        <v>0</v>
      </c>
      <c r="BV719" cm="1">
        <f t="array" ref="BV719">IF(OR(W719={"NS","NA"},$W619={"NS","NA"}),0,IF(W719&lt;=$W619,0,1))</f>
        <v>0</v>
      </c>
      <c r="BW719" cm="1">
        <f t="array" ref="BW719">IF(OR(X719={"NS","NA"},$AA619={"NS","NA"}),0,IF(X719&lt;=$AA619,0,1))</f>
        <v>0</v>
      </c>
      <c r="BX719" cm="1">
        <f t="array" ref="BX719">IF(OR(Y719={"NS","NA"},$S619={"NS","NA"}),0,IF(Y719&lt;=$S619,0,1))</f>
        <v>0</v>
      </c>
      <c r="BY719" cm="1">
        <f t="array" ref="BY719">IF(OR(Z719={"NS","NA"},$W619={"NS","NA"}),0,IF(Z719&lt;=$W619,0,1))</f>
        <v>0</v>
      </c>
      <c r="BZ719" cm="1">
        <f t="array" ref="BZ719">IF(OR(AA719={"NS","NA"},$AA619={"NS","NA"}),0,IF(AA719&lt;=$AA619,0,1))</f>
        <v>0</v>
      </c>
      <c r="CA719" cm="1">
        <f t="array" ref="CA719">IF(OR(AB719={"NS","NA"},$S619={"NS","NA"}),0,IF(AB719&lt;=$S619,0,1))</f>
        <v>0</v>
      </c>
      <c r="CB719" cm="1">
        <f t="array" ref="CB719">IF(OR(AC719={"NS","NA"},$W619={"NS","NA"}),0,IF(AC719&lt;=$W619,0,1))</f>
        <v>0</v>
      </c>
      <c r="CC719" cm="1">
        <f t="array" ref="CC719">IF(OR(AD719={"NS","NA"},$AA619={"NS","NA"}),0,IF(AD719&lt;=$AA619,0,1))</f>
        <v>0</v>
      </c>
    </row>
    <row r="720" spans="1:81" ht="15" customHeight="1">
      <c r="A720" s="210"/>
      <c r="B720" s="38"/>
      <c r="C720" s="143" t="s">
        <v>2523</v>
      </c>
      <c r="D720" s="813" t="str">
        <f>IF(CNSIPEE_2024_M2_Secc1!D49="","",CNSIPEE_2024_M2_Secc1!D49)</f>
        <v/>
      </c>
      <c r="E720" s="814"/>
      <c r="F720" s="815"/>
      <c r="G720" s="100"/>
      <c r="H720" s="100"/>
      <c r="I720" s="100"/>
      <c r="J720" s="100"/>
      <c r="K720" s="100"/>
      <c r="L720" s="100"/>
      <c r="M720" s="100"/>
      <c r="N720" s="100"/>
      <c r="O720" s="100"/>
      <c r="P720" s="100"/>
      <c r="Q720" s="100"/>
      <c r="R720" s="100"/>
      <c r="S720" s="100"/>
      <c r="T720" s="100"/>
      <c r="U720" s="100"/>
      <c r="V720" s="100"/>
      <c r="W720" s="100"/>
      <c r="X720" s="100"/>
      <c r="Y720" s="100"/>
      <c r="Z720" s="100"/>
      <c r="AA720" s="100"/>
      <c r="AB720" s="100"/>
      <c r="AC720" s="100"/>
      <c r="AD720" s="100"/>
      <c r="AH720">
        <f t="shared" si="328"/>
        <v>0</v>
      </c>
      <c r="AI720">
        <f t="shared" si="329"/>
        <v>0</v>
      </c>
      <c r="AJ720">
        <f t="shared" si="330"/>
        <v>0</v>
      </c>
      <c r="AK720">
        <f t="shared" si="307"/>
        <v>0</v>
      </c>
      <c r="AL720">
        <f t="shared" si="308"/>
        <v>0</v>
      </c>
      <c r="AM720">
        <f t="shared" si="309"/>
        <v>0</v>
      </c>
      <c r="AN720">
        <f t="shared" si="310"/>
        <v>0</v>
      </c>
      <c r="AO720">
        <f t="shared" si="311"/>
        <v>0</v>
      </c>
      <c r="AP720">
        <f t="shared" si="312"/>
        <v>0</v>
      </c>
      <c r="AQ720">
        <f t="shared" si="313"/>
        <v>0</v>
      </c>
      <c r="AR720">
        <f t="shared" si="314"/>
        <v>0</v>
      </c>
      <c r="AS720">
        <f t="shared" si="315"/>
        <v>0</v>
      </c>
      <c r="AT720">
        <f t="shared" si="316"/>
        <v>0</v>
      </c>
      <c r="AU720">
        <f t="shared" si="317"/>
        <v>0</v>
      </c>
      <c r="AV720">
        <f t="shared" si="318"/>
        <v>0</v>
      </c>
      <c r="AW720">
        <f t="shared" si="319"/>
        <v>0</v>
      </c>
      <c r="AX720">
        <f t="shared" si="320"/>
        <v>0</v>
      </c>
      <c r="AY720">
        <f t="shared" si="321"/>
        <v>0</v>
      </c>
      <c r="AZ720">
        <f t="shared" si="322"/>
        <v>0</v>
      </c>
      <c r="BA720">
        <f t="shared" si="323"/>
        <v>0</v>
      </c>
      <c r="BB720">
        <f t="shared" si="324"/>
        <v>0</v>
      </c>
      <c r="BC720">
        <f t="shared" si="325"/>
        <v>0</v>
      </c>
      <c r="BD720">
        <f t="shared" si="326"/>
        <v>0</v>
      </c>
      <c r="BE720">
        <f t="shared" si="327"/>
        <v>0</v>
      </c>
      <c r="BF720" cm="1">
        <f t="array" ref="BF720">IF(OR(G720={"NS","NA"},$S620={"NS","NA"}),0,IF(G720&lt;=$S620,0,1))</f>
        <v>0</v>
      </c>
      <c r="BG720" cm="1">
        <f t="array" ref="BG720">IF(OR(H720={"NS","NA"},$W620={"NS","NA"}),0,IF(H720&lt;=$W620,0,1))</f>
        <v>0</v>
      </c>
      <c r="BH720" cm="1">
        <f t="array" ref="BH720">IF(OR(I720={"NS","NA"},$AA620={"NS","NA"}),0,IF(I720&lt;=$AA620,0,1))</f>
        <v>0</v>
      </c>
      <c r="BI720" cm="1">
        <f t="array" ref="BI720">IF(OR(J720={"NS","NA"},$S620={"NS","NA"}),0,IF(J720&lt;=$S620,0,1))</f>
        <v>0</v>
      </c>
      <c r="BJ720" cm="1">
        <f t="array" ref="BJ720">IF(OR(K720={"NS","NA"},$W620={"NS","NA"}),0,IF(K720&lt;=$W620,0,1))</f>
        <v>0</v>
      </c>
      <c r="BK720" cm="1">
        <f t="array" ref="BK720">IF(OR(L720={"NS","NA"},$AA620={"NS","NA"}),0,IF(L720&lt;=$AA620,0,1))</f>
        <v>0</v>
      </c>
      <c r="BL720" cm="1">
        <f t="array" ref="BL720">IF(OR(M720={"NS","NA"},$S620={"NS","NA"}),0,IF(M720&lt;=$S620,0,1))</f>
        <v>0</v>
      </c>
      <c r="BM720" cm="1">
        <f t="array" ref="BM720">IF(OR(N720={"NS","NA"},$W620={"NS","NA"}),0,IF(N720&lt;=$W620,0,1))</f>
        <v>0</v>
      </c>
      <c r="BN720" cm="1">
        <f t="array" ref="BN720">IF(OR(O720={"NS","NA"},$AA620={"NS","NA"}),0,IF(O720&lt;=$AA620,0,1))</f>
        <v>0</v>
      </c>
      <c r="BO720" cm="1">
        <f t="array" ref="BO720">IF(OR(P720={"NS","NA"},$S620={"NS","NA"}),0,IF(P720&lt;=$S620,0,1))</f>
        <v>0</v>
      </c>
      <c r="BP720" cm="1">
        <f t="array" ref="BP720">IF(OR(Q720={"NS","NA"},$W620={"NS","NA"}),0,IF(Q720&lt;=$W620,0,1))</f>
        <v>0</v>
      </c>
      <c r="BQ720" cm="1">
        <f t="array" ref="BQ720">IF(OR(R720={"NS","NA"},$AA620={"NS","NA"}),0,IF(R720&lt;=$AA620,0,1))</f>
        <v>0</v>
      </c>
      <c r="BR720" cm="1">
        <f t="array" ref="BR720">IF(OR(S720={"NS","NA"},$S620={"NS","NA"}),0,IF(S720&lt;=$S620,0,1))</f>
        <v>0</v>
      </c>
      <c r="BS720" cm="1">
        <f t="array" ref="BS720">IF(OR(T720={"NS","NA"},$W620={"NS","NA"}),0,IF(T720&lt;=$W620,0,1))</f>
        <v>0</v>
      </c>
      <c r="BT720" cm="1">
        <f t="array" ref="BT720">IF(OR(U720={"NS","NA"},$AA620={"NS","NA"}),0,IF(U720&lt;=$AA620,0,1))</f>
        <v>0</v>
      </c>
      <c r="BU720" cm="1">
        <f t="array" ref="BU720">IF(OR(V720={"NS","NA"},$S620={"NS","NA"}),0,IF(V720&lt;=$S620,0,1))</f>
        <v>0</v>
      </c>
      <c r="BV720" cm="1">
        <f t="array" ref="BV720">IF(OR(W720={"NS","NA"},$W620={"NS","NA"}),0,IF(W720&lt;=$W620,0,1))</f>
        <v>0</v>
      </c>
      <c r="BW720" cm="1">
        <f t="array" ref="BW720">IF(OR(X720={"NS","NA"},$AA620={"NS","NA"}),0,IF(X720&lt;=$AA620,0,1))</f>
        <v>0</v>
      </c>
      <c r="BX720" cm="1">
        <f t="array" ref="BX720">IF(OR(Y720={"NS","NA"},$S620={"NS","NA"}),0,IF(Y720&lt;=$S620,0,1))</f>
        <v>0</v>
      </c>
      <c r="BY720" cm="1">
        <f t="array" ref="BY720">IF(OR(Z720={"NS","NA"},$W620={"NS","NA"}),0,IF(Z720&lt;=$W620,0,1))</f>
        <v>0</v>
      </c>
      <c r="BZ720" cm="1">
        <f t="array" ref="BZ720">IF(OR(AA720={"NS","NA"},$AA620={"NS","NA"}),0,IF(AA720&lt;=$AA620,0,1))</f>
        <v>0</v>
      </c>
      <c r="CA720" cm="1">
        <f t="array" ref="CA720">IF(OR(AB720={"NS","NA"},$S620={"NS","NA"}),0,IF(AB720&lt;=$S620,0,1))</f>
        <v>0</v>
      </c>
      <c r="CB720" cm="1">
        <f t="array" ref="CB720">IF(OR(AC720={"NS","NA"},$W620={"NS","NA"}),0,IF(AC720&lt;=$W620,0,1))</f>
        <v>0</v>
      </c>
      <c r="CC720" cm="1">
        <f t="array" ref="CC720">IF(OR(AD720={"NS","NA"},$AA620={"NS","NA"}),0,IF(AD720&lt;=$AA620,0,1))</f>
        <v>0</v>
      </c>
    </row>
    <row r="721" spans="1:81" ht="15" customHeight="1">
      <c r="A721" s="210"/>
      <c r="B721" s="38"/>
      <c r="C721" s="70"/>
      <c r="D721" s="84"/>
      <c r="E721" s="84"/>
      <c r="F721" s="84"/>
      <c r="G721" s="124">
        <f>IF(AND(SUM(G713:G720)=0,COUNTIF(G713:G720,"NS")&gt;0),"NS",IF(AND(SUM(G713:G720)=0,COUNTIF(G713:G720,0)&gt;0),0,IF(AND(SUM(G713:G720)=0,COUNTIF(G713:G720,"NA")&gt;0),"NA",SUM(G713:G720))))</f>
        <v>0</v>
      </c>
      <c r="H721" s="124">
        <f t="shared" ref="H721" si="331">IF(AND(SUM(H713:H720)=0,COUNTIF(H713:H720,"NS")&gt;0),"NS",IF(AND(SUM(H713:H720)=0,COUNTIF(H713:H720,0)&gt;0),0,IF(AND(SUM(H713:H720)=0,COUNTIF(H713:H720,"NA")&gt;0),"NA",SUM(H713:H720))))</f>
        <v>0</v>
      </c>
      <c r="I721" s="124">
        <f t="shared" ref="I721" si="332">IF(AND(SUM(I713:I720)=0,COUNTIF(I713:I720,"NS")&gt;0),"NS",IF(AND(SUM(I713:I720)=0,COUNTIF(I713:I720,0)&gt;0),0,IF(AND(SUM(I713:I720)=0,COUNTIF(I713:I720,"NA")&gt;0),"NA",SUM(I713:I720))))</f>
        <v>0</v>
      </c>
      <c r="J721" s="124">
        <f t="shared" ref="J721" si="333">IF(AND(SUM(J713:J720)=0,COUNTIF(J713:J720,"NS")&gt;0),"NS",IF(AND(SUM(J713:J720)=0,COUNTIF(J713:J720,0)&gt;0),0,IF(AND(SUM(J713:J720)=0,COUNTIF(J713:J720,"NA")&gt;0),"NA",SUM(J713:J720))))</f>
        <v>0</v>
      </c>
      <c r="K721" s="124">
        <f t="shared" ref="K721" si="334">IF(AND(SUM(K713:K720)=0,COUNTIF(K713:K720,"NS")&gt;0),"NS",IF(AND(SUM(K713:K720)=0,COUNTIF(K713:K720,0)&gt;0),0,IF(AND(SUM(K713:K720)=0,COUNTIF(K713:K720,"NA")&gt;0),"NA",SUM(K713:K720))))</f>
        <v>0</v>
      </c>
      <c r="L721" s="124">
        <f t="shared" ref="L721" si="335">IF(AND(SUM(L713:L720)=0,COUNTIF(L713:L720,"NS")&gt;0),"NS",IF(AND(SUM(L713:L720)=0,COUNTIF(L713:L720,0)&gt;0),0,IF(AND(SUM(L713:L720)=0,COUNTIF(L713:L720,"NA")&gt;0),"NA",SUM(L713:L720))))</f>
        <v>0</v>
      </c>
      <c r="M721" s="124">
        <f t="shared" ref="M721" si="336">IF(AND(SUM(M713:M720)=0,COUNTIF(M713:M720,"NS")&gt;0),"NS",IF(AND(SUM(M713:M720)=0,COUNTIF(M713:M720,0)&gt;0),0,IF(AND(SUM(M713:M720)=0,COUNTIF(M713:M720,"NA")&gt;0),"NA",SUM(M713:M720))))</f>
        <v>0</v>
      </c>
      <c r="N721" s="124">
        <f t="shared" ref="N721" si="337">IF(AND(SUM(N713:N720)=0,COUNTIF(N713:N720,"NS")&gt;0),"NS",IF(AND(SUM(N713:N720)=0,COUNTIF(N713:N720,0)&gt;0),0,IF(AND(SUM(N713:N720)=0,COUNTIF(N713:N720,"NA")&gt;0),"NA",SUM(N713:N720))))</f>
        <v>0</v>
      </c>
      <c r="O721" s="124">
        <f t="shared" ref="O721" si="338">IF(AND(SUM(O713:O720)=0,COUNTIF(O713:O720,"NS")&gt;0),"NS",IF(AND(SUM(O713:O720)=0,COUNTIF(O713:O720,0)&gt;0),0,IF(AND(SUM(O713:O720)=0,COUNTIF(O713:O720,"NA")&gt;0),"NA",SUM(O713:O720))))</f>
        <v>0</v>
      </c>
      <c r="P721" s="124">
        <f t="shared" ref="P721" si="339">IF(AND(SUM(P713:P720)=0,COUNTIF(P713:P720,"NS")&gt;0),"NS",IF(AND(SUM(P713:P720)=0,COUNTIF(P713:P720,0)&gt;0),0,IF(AND(SUM(P713:P720)=0,COUNTIF(P713:P720,"NA")&gt;0),"NA",SUM(P713:P720))))</f>
        <v>0</v>
      </c>
      <c r="Q721" s="124">
        <f t="shared" ref="Q721" si="340">IF(AND(SUM(Q713:Q720)=0,COUNTIF(Q713:Q720,"NS")&gt;0),"NS",IF(AND(SUM(Q713:Q720)=0,COUNTIF(Q713:Q720,0)&gt;0),0,IF(AND(SUM(Q713:Q720)=0,COUNTIF(Q713:Q720,"NA")&gt;0),"NA",SUM(Q713:Q720))))</f>
        <v>0</v>
      </c>
      <c r="R721" s="124">
        <f t="shared" ref="R721" si="341">IF(AND(SUM(R713:R720)=0,COUNTIF(R713:R720,"NS")&gt;0),"NS",IF(AND(SUM(R713:R720)=0,COUNTIF(R713:R720,0)&gt;0),0,IF(AND(SUM(R713:R720)=0,COUNTIF(R713:R720,"NA")&gt;0),"NA",SUM(R713:R720))))</f>
        <v>0</v>
      </c>
      <c r="S721" s="124">
        <f t="shared" ref="S721" si="342">IF(AND(SUM(S713:S720)=0,COUNTIF(S713:S720,"NS")&gt;0),"NS",IF(AND(SUM(S713:S720)=0,COUNTIF(S713:S720,0)&gt;0),0,IF(AND(SUM(S713:S720)=0,COUNTIF(S713:S720,"NA")&gt;0),"NA",SUM(S713:S720))))</f>
        <v>0</v>
      </c>
      <c r="T721" s="124">
        <f t="shared" ref="T721" si="343">IF(AND(SUM(T713:T720)=0,COUNTIF(T713:T720,"NS")&gt;0),"NS",IF(AND(SUM(T713:T720)=0,COUNTIF(T713:T720,0)&gt;0),0,IF(AND(SUM(T713:T720)=0,COUNTIF(T713:T720,"NA")&gt;0),"NA",SUM(T713:T720))))</f>
        <v>0</v>
      </c>
      <c r="U721" s="124">
        <f t="shared" ref="U721" si="344">IF(AND(SUM(U713:U720)=0,COUNTIF(U713:U720,"NS")&gt;0),"NS",IF(AND(SUM(U713:U720)=0,COUNTIF(U713:U720,0)&gt;0),0,IF(AND(SUM(U713:U720)=0,COUNTIF(U713:U720,"NA")&gt;0),"NA",SUM(U713:U720))))</f>
        <v>0</v>
      </c>
      <c r="V721" s="124">
        <f t="shared" ref="V721" si="345">IF(AND(SUM(V713:V720)=0,COUNTIF(V713:V720,"NS")&gt;0),"NS",IF(AND(SUM(V713:V720)=0,COUNTIF(V713:V720,0)&gt;0),0,IF(AND(SUM(V713:V720)=0,COUNTIF(V713:V720,"NA")&gt;0),"NA",SUM(V713:V720))))</f>
        <v>0</v>
      </c>
      <c r="W721" s="124">
        <f t="shared" ref="W721" si="346">IF(AND(SUM(W713:W720)=0,COUNTIF(W713:W720,"NS")&gt;0),"NS",IF(AND(SUM(W713:W720)=0,COUNTIF(W713:W720,0)&gt;0),0,IF(AND(SUM(W713:W720)=0,COUNTIF(W713:W720,"NA")&gt;0),"NA",SUM(W713:W720))))</f>
        <v>0</v>
      </c>
      <c r="X721" s="124">
        <f t="shared" ref="X721" si="347">IF(AND(SUM(X713:X720)=0,COUNTIF(X713:X720,"NS")&gt;0),"NS",IF(AND(SUM(X713:X720)=0,COUNTIF(X713:X720,0)&gt;0),0,IF(AND(SUM(X713:X720)=0,COUNTIF(X713:X720,"NA")&gt;0),"NA",SUM(X713:X720))))</f>
        <v>0</v>
      </c>
      <c r="Y721" s="124">
        <f t="shared" ref="Y721" si="348">IF(AND(SUM(Y713:Y720)=0,COUNTIF(Y713:Y720,"NS")&gt;0),"NS",IF(AND(SUM(Y713:Y720)=0,COUNTIF(Y713:Y720,0)&gt;0),0,IF(AND(SUM(Y713:Y720)=0,COUNTIF(Y713:Y720,"NA")&gt;0),"NA",SUM(Y713:Y720))))</f>
        <v>0</v>
      </c>
      <c r="Z721" s="124">
        <f t="shared" ref="Z721" si="349">IF(AND(SUM(Z713:Z720)=0,COUNTIF(Z713:Z720,"NS")&gt;0),"NS",IF(AND(SUM(Z713:Z720)=0,COUNTIF(Z713:Z720,0)&gt;0),0,IF(AND(SUM(Z713:Z720)=0,COUNTIF(Z713:Z720,"NA")&gt;0),"NA",SUM(Z713:Z720))))</f>
        <v>0</v>
      </c>
      <c r="AA721" s="124">
        <f t="shared" ref="AA721" si="350">IF(AND(SUM(AA713:AA720)=0,COUNTIF(AA713:AA720,"NS")&gt;0),"NS",IF(AND(SUM(AA713:AA720)=0,COUNTIF(AA713:AA720,0)&gt;0),0,IF(AND(SUM(AA713:AA720)=0,COUNTIF(AA713:AA720,"NA")&gt;0),"NA",SUM(AA713:AA720))))</f>
        <v>0</v>
      </c>
      <c r="AB721" s="124">
        <f t="shared" ref="AB721" si="351">IF(AND(SUM(AB713:AB720)=0,COUNTIF(AB713:AB720,"NS")&gt;0),"NS",IF(AND(SUM(AB713:AB720)=0,COUNTIF(AB713:AB720,0)&gt;0),0,IF(AND(SUM(AB713:AB720)=0,COUNTIF(AB713:AB720,"NA")&gt;0),"NA",SUM(AB713:AB720))))</f>
        <v>0</v>
      </c>
      <c r="AC721" s="124">
        <f t="shared" ref="AC721" si="352">IF(AND(SUM(AC713:AC720)=0,COUNTIF(AC713:AC720,"NS")&gt;0),"NS",IF(AND(SUM(AC713:AC720)=0,COUNTIF(AC713:AC720,0)&gt;0),0,IF(AND(SUM(AC713:AC720)=0,COUNTIF(AC713:AC720,"NA")&gt;0),"NA",SUM(AC713:AC720))))</f>
        <v>0</v>
      </c>
      <c r="AD721" s="124">
        <f t="shared" ref="AD721" si="353">IF(AND(SUM(AD713:AD720)=0,COUNTIF(AD713:AD720,"NS")&gt;0),"NS",IF(AND(SUM(AD713:AD720)=0,COUNTIF(AD713:AD720,0)&gt;0),0,IF(AND(SUM(AD713:AD720)=0,COUNTIF(AD713:AD720,"NA")&gt;0),"NA",SUM(AD713:AD720))))</f>
        <v>0</v>
      </c>
      <c r="AH721">
        <f>SUM(AH713:AH720)</f>
        <v>0</v>
      </c>
      <c r="AI721" s="57"/>
      <c r="AJ721">
        <f>SUM(AJ713:AJ720)</f>
        <v>0</v>
      </c>
      <c r="AK721">
        <f>SUM(AK713:AK720)</f>
        <v>0</v>
      </c>
      <c r="AL721" s="57"/>
      <c r="AM721">
        <f>SUM(AM713:AM720)</f>
        <v>0</v>
      </c>
      <c r="AN721">
        <f>SUM(AN713:AN720)</f>
        <v>0</v>
      </c>
      <c r="AO721" s="57"/>
      <c r="AP721">
        <f>SUM(AP713:AP720)</f>
        <v>0</v>
      </c>
      <c r="AQ721">
        <f>SUM(AQ713:AQ720)</f>
        <v>0</v>
      </c>
      <c r="AR721" s="57"/>
      <c r="AS721">
        <f>SUM(AS713:AS720)</f>
        <v>0</v>
      </c>
      <c r="AT721">
        <f>SUM(AT713:AT720)</f>
        <v>0</v>
      </c>
      <c r="AU721" s="57"/>
      <c r="AV721">
        <f>SUM(AV713:AV720)</f>
        <v>0</v>
      </c>
      <c r="AW721">
        <f>SUM(AW713:AW720)</f>
        <v>0</v>
      </c>
      <c r="AX721" s="57"/>
      <c r="AY721">
        <f>SUM(AY713:AY720)</f>
        <v>0</v>
      </c>
      <c r="AZ721">
        <f>SUM(AZ713:AZ720)</f>
        <v>0</v>
      </c>
      <c r="BA721" s="57"/>
      <c r="BB721">
        <f>SUM(BB713:BB720)</f>
        <v>0</v>
      </c>
      <c r="BC721">
        <f>SUM(BC713:BC720)</f>
        <v>0</v>
      </c>
      <c r="BD721" s="57"/>
      <c r="BE721">
        <f>SUM(BE713:BE720)</f>
        <v>0</v>
      </c>
      <c r="BF721" s="57"/>
      <c r="BG721" s="57"/>
      <c r="BH721" s="57"/>
      <c r="BI721" s="57"/>
      <c r="BJ721" s="57"/>
      <c r="BK721" s="57"/>
      <c r="BL721" s="57"/>
      <c r="BM721" s="57"/>
      <c r="BN721" s="57"/>
      <c r="BO721" s="57"/>
      <c r="BP721" s="57"/>
      <c r="BQ721" s="57"/>
      <c r="BR721" s="57"/>
      <c r="BS721" s="57"/>
      <c r="BT721" s="57"/>
      <c r="BU721" s="57"/>
      <c r="BV721" s="57"/>
      <c r="BW721"/>
      <c r="BX721" s="57"/>
      <c r="BY721" s="57"/>
      <c r="BZ721"/>
      <c r="CC721" s="693">
        <f>SUM(BF713:CC720)</f>
        <v>0</v>
      </c>
    </row>
    <row r="722" spans="1:81" ht="15" customHeight="1">
      <c r="A722" s="50"/>
      <c r="B722" s="57"/>
      <c r="C722" s="57"/>
      <c r="D722" s="57"/>
      <c r="E722" s="57"/>
      <c r="F722" s="57"/>
      <c r="G722" s="57"/>
      <c r="H722" s="57"/>
      <c r="I722" s="57"/>
      <c r="J722" s="84"/>
      <c r="K722" s="84"/>
      <c r="L722" s="84"/>
      <c r="M722" s="84"/>
      <c r="N722" s="84"/>
      <c r="O722" s="84"/>
      <c r="P722" s="84"/>
      <c r="Q722" s="84"/>
      <c r="R722" s="84"/>
      <c r="S722" s="84"/>
      <c r="T722" s="84"/>
      <c r="U722" s="84"/>
      <c r="V722" s="84"/>
      <c r="W722" s="84"/>
      <c r="X722" s="84"/>
      <c r="Y722" s="84"/>
      <c r="Z722" s="84"/>
      <c r="AA722" s="84"/>
      <c r="AB722" s="84"/>
      <c r="AC722" s="84"/>
      <c r="AD722" s="84"/>
      <c r="AH722" s="57"/>
      <c r="AI722" s="57"/>
      <c r="AJ722" s="57"/>
      <c r="AK722" t="s">
        <v>2650</v>
      </c>
      <c r="AL722" s="405">
        <f>SUM(AJ721,AM721,AP721,AS721,AV721,AY721,BB721,BE721)</f>
        <v>0</v>
      </c>
      <c r="AM722" t="s">
        <v>2651</v>
      </c>
      <c r="AN722">
        <f>SUM(AK721,AN721,AQ721,AT721,AW721,AZ721)</f>
        <v>0</v>
      </c>
      <c r="AO722" s="57"/>
      <c r="AP722" s="57"/>
      <c r="AQ722" s="57"/>
      <c r="AR722" s="57"/>
      <c r="AS722" s="57"/>
      <c r="AT722" s="57"/>
      <c r="AU722" s="57"/>
      <c r="AV722" s="57"/>
      <c r="AW722" s="57"/>
      <c r="AX722" s="57"/>
      <c r="AY722" s="57"/>
      <c r="AZ722" s="57"/>
      <c r="BA722" s="57"/>
      <c r="BB722" s="57"/>
      <c r="BC722" s="57"/>
      <c r="BD722" s="57"/>
      <c r="BE722" s="57"/>
      <c r="BF722" s="57"/>
      <c r="BG722" s="57"/>
      <c r="BH722" s="57"/>
      <c r="BI722" s="57"/>
      <c r="BJ722" s="57"/>
      <c r="BK722" s="57"/>
      <c r="BL722" s="57"/>
      <c r="BM722" s="57"/>
      <c r="BN722" s="57"/>
      <c r="BO722" s="57"/>
      <c r="BP722" s="57"/>
      <c r="BQ722" s="57"/>
      <c r="BR722" s="57"/>
      <c r="BS722" s="57"/>
      <c r="BT722" s="57"/>
      <c r="BU722" s="57"/>
      <c r="BV722" s="57"/>
      <c r="BW722"/>
      <c r="BX722" s="57"/>
      <c r="BY722" s="57"/>
      <c r="BZ722"/>
      <c r="CC722" s="507">
        <f>SUM(CC721,CC707,BR693)</f>
        <v>0</v>
      </c>
    </row>
    <row r="723" spans="1:81" ht="45" customHeight="1">
      <c r="A723" s="119"/>
      <c r="C723" s="822" t="s">
        <v>2798</v>
      </c>
      <c r="D723" s="822"/>
      <c r="E723" s="822"/>
      <c r="F723" s="749"/>
      <c r="G723" s="749"/>
      <c r="H723" s="749"/>
      <c r="I723" s="749"/>
      <c r="J723" s="749"/>
      <c r="K723" s="749"/>
      <c r="L723" s="749"/>
      <c r="M723" s="749"/>
      <c r="N723" s="749"/>
      <c r="O723" s="749"/>
      <c r="P723" s="749"/>
      <c r="Q723" s="749"/>
      <c r="R723" s="749"/>
      <c r="S723" s="749"/>
      <c r="T723" s="749"/>
      <c r="U723" s="749"/>
      <c r="V723" s="749"/>
      <c r="W723" s="749"/>
      <c r="X723" s="749"/>
      <c r="Y723" s="749"/>
      <c r="Z723" s="749"/>
      <c r="AA723" s="749"/>
      <c r="AB723" s="749"/>
      <c r="AC723" s="749"/>
      <c r="AD723" s="749"/>
      <c r="AK723" t="s">
        <v>2652</v>
      </c>
      <c r="AL723">
        <f>IF(AN722&gt;0,IF(SUM(M721)&gt;=SUM(P721,S721,V721,Y721,AB721),0,1),IF(SUM(M721)&lt;&gt;SUM(P721,S721,V721,Y721,AB721),1,0))</f>
        <v>0</v>
      </c>
      <c r="AM723" t="s">
        <v>2653</v>
      </c>
      <c r="AN723">
        <f>IF(AN722&gt;0,IF(SUM(N721)&gt;=SUM(Q721,T721,W721,Z721,AC721),0,1),IF(SUM(N721)&lt;&gt;SUM(Q721,T721,W721,Z721,AC721),1,0))</f>
        <v>0</v>
      </c>
      <c r="AO723" t="s">
        <v>2654</v>
      </c>
      <c r="AP723">
        <f>IF(AN722&gt;0,IF(SUM(O721)&gt;=SUM(R721,U721,X721,AA721,AD721),0,1),IF(SUM(O721)&lt;&gt;SUM(R721,U721,X721,AA721,AD721),1,0))</f>
        <v>0</v>
      </c>
    </row>
    <row r="724" spans="1:81">
      <c r="A724" s="50"/>
      <c r="B724" s="794" t="str">
        <f>IF(AND(Y721&gt;0,Y721&lt;&gt;"NA",Y721&lt;&gt;"NS",F723=""),"Debido a que registró un número mayor a cero en el apartado Otro tipo, debe anotar el n. de dicho(s) tipo(s) de falta(s) disciplinaria(s)","")</f>
        <v/>
      </c>
      <c r="C724" s="794"/>
      <c r="D724" s="794"/>
      <c r="E724" s="794"/>
      <c r="F724" s="794"/>
      <c r="G724" s="794"/>
      <c r="H724" s="794"/>
      <c r="I724" s="794"/>
      <c r="J724" s="794"/>
      <c r="K724" s="794"/>
      <c r="L724" s="794"/>
      <c r="M724" s="794"/>
      <c r="N724" s="794"/>
      <c r="O724" s="794"/>
      <c r="P724" s="794"/>
      <c r="Q724" s="794"/>
      <c r="R724" s="794"/>
      <c r="S724" s="794"/>
      <c r="T724" s="794"/>
      <c r="U724" s="794"/>
      <c r="V724" s="794"/>
      <c r="W724" s="794"/>
      <c r="X724" s="794"/>
      <c r="Y724" s="794"/>
      <c r="Z724" s="794"/>
      <c r="AA724" s="794"/>
      <c r="AB724" s="794"/>
      <c r="AC724" s="794"/>
      <c r="AD724" s="794"/>
      <c r="AE724" s="794"/>
      <c r="AK724" t="s">
        <v>5218</v>
      </c>
      <c r="AL724" s="506">
        <f>SUM(AL722,AL708,AL694,AL680)</f>
        <v>0</v>
      </c>
      <c r="AM724" t="s">
        <v>5219</v>
      </c>
      <c r="AN724">
        <f>SUM(AN722,AN708,AN694,AN680)</f>
        <v>0</v>
      </c>
    </row>
    <row r="725" spans="1:81" ht="24" customHeight="1">
      <c r="A725" s="50"/>
      <c r="B725" s="38"/>
      <c r="C725" s="855" t="s">
        <v>2611</v>
      </c>
      <c r="D725" s="855"/>
      <c r="E725" s="855"/>
      <c r="F725" s="855"/>
      <c r="G725" s="855"/>
      <c r="H725" s="855"/>
      <c r="I725" s="855"/>
      <c r="J725" s="855"/>
      <c r="K725" s="855"/>
      <c r="L725" s="855"/>
      <c r="M725" s="855"/>
      <c r="N725" s="855"/>
      <c r="O725" s="855"/>
      <c r="P725" s="855"/>
      <c r="Q725" s="855"/>
      <c r="R725" s="855"/>
      <c r="S725" s="855"/>
      <c r="T725" s="855"/>
      <c r="U725" s="855"/>
      <c r="V725" s="855"/>
      <c r="W725" s="855"/>
      <c r="X725" s="855"/>
      <c r="Y725" s="855"/>
      <c r="Z725" s="855"/>
      <c r="AA725" s="855"/>
      <c r="AB725" s="855"/>
      <c r="AC725" s="855"/>
      <c r="AD725" s="855"/>
      <c r="AK725" t="s">
        <v>5220</v>
      </c>
      <c r="AL725">
        <f>IF(AN724&gt;0,IF(SUM(J679)&gt;=SUM(M679,P679,S679,V679,Y679,AB679,M693,P693,S693,V693,Y693,AB693,M707,P707,S707,V707,Y707,AB707,M721,P721,S721,V721,Y721,AB721),0,1),IF(SUM(J679)&lt;&gt;SUM(M679,P679,S679,V679,Y679,AB679,M693,P693,S693,V693,Y693,AB693,M707,P707,S707,V707,Y707,AB707,M721,P721,S721,V721,Y721,AB721),1,0))</f>
        <v>0</v>
      </c>
      <c r="AM725" t="s">
        <v>5221</v>
      </c>
      <c r="AN725">
        <f>IF(AN724&gt;0,IF(SUM(K679)&gt;=SUM(N679,Q679,T679,W679,Z679,AC679,N693,Q693,T693,W693,Z693,AC693,N707,Q707,T707,W707,Z707,AC707,N721,Q721,T721,W721,Z721,AC721),0,1),IF(SUM(K679)&lt;&gt;SUM(N679,Q679,T679,W679,Z679,AC679,N693,Q693,T693,W693,Z693,AC693,N707,Q707,T707,W707,Z707,AC707,N721,Q721,T721,W721,Z721,AC721),1,0))</f>
        <v>0</v>
      </c>
      <c r="AO725" t="s">
        <v>5222</v>
      </c>
      <c r="AP725">
        <f>IF(AN724&gt;0,IF(SUM(L679)&gt;=SUM(O679,R679,U679,X679,AA679,AD679,O693,R693,U693,X693,AA693,AD693,O707,R707,U707,X707,AA707,AD707,O721,R721,U721,X721,AA721,AD721),0,1),IF(SUM(L679)&lt;&gt;SUM(O679,R679,U679,X679,AA679,AD679,O693,R693,U693,X693,AA693,AD693,O707,R707,U707,X707,AA707,AD707,O721,R721,U721,X721,AA721,AD721),1,0))</f>
        <v>0</v>
      </c>
    </row>
    <row r="726" spans="1:81" ht="60" customHeight="1">
      <c r="A726" s="50"/>
      <c r="B726" s="38"/>
      <c r="C726" s="1149"/>
      <c r="D726" s="1150"/>
      <c r="E726" s="1150"/>
      <c r="F726" s="1150"/>
      <c r="G726" s="1150"/>
      <c r="H726" s="1150"/>
      <c r="I726" s="1150"/>
      <c r="J726" s="1150"/>
      <c r="K726" s="1150"/>
      <c r="L726" s="1150"/>
      <c r="M726" s="1150"/>
      <c r="N726" s="1150"/>
      <c r="O726" s="1150"/>
      <c r="P726" s="1150"/>
      <c r="Q726" s="1150"/>
      <c r="R726" s="1150"/>
      <c r="S726" s="1150"/>
      <c r="T726" s="1150"/>
      <c r="U726" s="1150"/>
      <c r="V726" s="1150"/>
      <c r="W726" s="1150"/>
      <c r="X726" s="1150"/>
      <c r="Y726" s="1150"/>
      <c r="Z726" s="1150"/>
      <c r="AA726" s="1150"/>
      <c r="AB726" s="1150"/>
      <c r="AC726" s="1150"/>
      <c r="AD726" s="1151"/>
    </row>
    <row r="727" spans="1:81">
      <c r="A727" s="217"/>
      <c r="B727" s="794" t="str">
        <f>IF(AG693=0,"","Favor de ingresar toda la información requerida en la pregunta")</f>
        <v/>
      </c>
      <c r="C727" s="794"/>
      <c r="D727" s="794"/>
      <c r="E727" s="794"/>
      <c r="F727" s="794"/>
      <c r="G727" s="794"/>
      <c r="H727" s="794"/>
      <c r="I727" s="794"/>
      <c r="J727" s="794"/>
      <c r="K727" s="794"/>
      <c r="L727" s="794"/>
      <c r="M727" s="794"/>
      <c r="N727" s="794"/>
      <c r="O727" s="794"/>
      <c r="P727" s="794"/>
      <c r="Q727" s="794"/>
      <c r="R727" s="794"/>
      <c r="S727" s="794"/>
      <c r="T727" s="794"/>
      <c r="U727" s="794"/>
      <c r="V727" s="794"/>
      <c r="W727" s="794"/>
      <c r="X727" s="794"/>
      <c r="Y727" s="794"/>
      <c r="Z727" s="794"/>
      <c r="AA727" s="794"/>
      <c r="AB727" s="794"/>
      <c r="AC727" s="794"/>
      <c r="AD727" s="794"/>
      <c r="AE727" s="794"/>
    </row>
    <row r="728" spans="1:81">
      <c r="A728" s="215"/>
      <c r="B728" s="1087" t="str">
        <f>IF(SUM(COUNTIF(M685:AD692,"NS"),COUNTIF(G699:AD706,"NS"),COUNTIF(G713:AD720,"NS"))&lt;&gt;0,"Alerta: debido a que cuenta con registros NS, debe proporcionar una justificación en el area de comentarios al final de la pregunta","")</f>
        <v/>
      </c>
      <c r="C728" s="1087"/>
      <c r="D728" s="1087"/>
      <c r="E728" s="1087"/>
      <c r="F728" s="1087"/>
      <c r="G728" s="1087"/>
      <c r="H728" s="1087"/>
      <c r="I728" s="1087"/>
      <c r="J728" s="1087"/>
      <c r="K728" s="1087"/>
      <c r="L728" s="1087"/>
      <c r="M728" s="1087"/>
      <c r="N728" s="1087"/>
      <c r="O728" s="1087"/>
      <c r="P728" s="1087"/>
      <c r="Q728" s="1087"/>
      <c r="R728" s="1087"/>
      <c r="S728" s="1087"/>
      <c r="T728" s="1087"/>
      <c r="U728" s="1087"/>
      <c r="V728" s="1087"/>
      <c r="W728" s="1087"/>
      <c r="X728" s="1087"/>
      <c r="Y728" s="1087"/>
      <c r="Z728" s="1087"/>
      <c r="AA728" s="1087"/>
      <c r="AB728" s="1087"/>
      <c r="AC728" s="1087"/>
      <c r="AD728" s="1087"/>
      <c r="AE728" s="1087"/>
    </row>
    <row r="729" spans="1:81">
      <c r="A729" s="215"/>
      <c r="B729" s="1003" t="str">
        <f>IF(AH693&gt;0,"Revise la información capturada, ya que tiene datos ingresados en celdas que están sombreadas","")</f>
        <v/>
      </c>
      <c r="C729" s="1003"/>
      <c r="D729" s="1003"/>
      <c r="E729" s="1003"/>
      <c r="F729" s="1003"/>
      <c r="G729" s="1003"/>
      <c r="H729" s="1003"/>
      <c r="I729" s="1003"/>
      <c r="J729" s="1003"/>
      <c r="K729" s="1003"/>
      <c r="L729" s="1003"/>
      <c r="M729" s="1003"/>
      <c r="N729" s="1003"/>
      <c r="O729" s="1003"/>
      <c r="P729" s="1003"/>
      <c r="Q729" s="1003"/>
      <c r="R729" s="1003"/>
      <c r="S729" s="1003"/>
      <c r="T729" s="1003"/>
      <c r="U729" s="1003"/>
      <c r="V729" s="1003"/>
      <c r="W729" s="1003"/>
      <c r="X729" s="1003"/>
      <c r="Y729" s="1003"/>
      <c r="Z729" s="1003"/>
      <c r="AA729" s="1003"/>
      <c r="AB729" s="1003"/>
      <c r="AC729" s="1003"/>
      <c r="AD729" s="1003"/>
      <c r="AE729" s="1003"/>
    </row>
    <row r="730" spans="1:81">
      <c r="A730" s="215"/>
      <c r="B730" s="1003" t="str">
        <f>IF(AL724&gt;0,"Favor de revisar la suma y consistencia de totales y/o subtotales por filas (numéricos y NS)","")</f>
        <v/>
      </c>
      <c r="C730" s="1003"/>
      <c r="D730" s="1003"/>
      <c r="E730" s="1003"/>
      <c r="F730" s="1003"/>
      <c r="G730" s="1003"/>
      <c r="H730" s="1003"/>
      <c r="I730" s="1003"/>
      <c r="J730" s="1003"/>
      <c r="K730" s="1003"/>
      <c r="L730" s="1003"/>
      <c r="M730" s="1003"/>
      <c r="N730" s="1003"/>
      <c r="O730" s="1003"/>
      <c r="P730" s="1003"/>
      <c r="Q730" s="1003"/>
      <c r="R730" s="1003"/>
      <c r="S730" s="1003"/>
      <c r="T730" s="1003"/>
      <c r="U730" s="1003"/>
      <c r="V730" s="1003"/>
      <c r="W730" s="1003"/>
      <c r="X730" s="1003"/>
      <c r="Y730" s="1003"/>
      <c r="Z730" s="1003"/>
      <c r="AA730" s="1003"/>
      <c r="AB730" s="1003"/>
      <c r="AC730" s="1003"/>
      <c r="AD730" s="1003"/>
      <c r="AE730" s="1003"/>
    </row>
    <row r="731" spans="1:81">
      <c r="A731" s="215"/>
      <c r="B731" s="794" t="str">
        <f>IF(BC693&gt;0,"Favor de revisar la instrucción 2, debido a que no se cumplen con los criterios mencionados","")</f>
        <v/>
      </c>
      <c r="C731" s="794"/>
      <c r="D731" s="794"/>
      <c r="E731" s="794"/>
      <c r="F731" s="794"/>
      <c r="G731" s="794"/>
      <c r="H731" s="794"/>
      <c r="I731" s="794"/>
      <c r="J731" s="794"/>
      <c r="K731" s="794"/>
      <c r="L731" s="794"/>
      <c r="M731" s="794"/>
      <c r="N731" s="794"/>
      <c r="O731" s="794"/>
      <c r="P731" s="794"/>
      <c r="Q731" s="794"/>
      <c r="R731" s="794"/>
      <c r="S731" s="794"/>
      <c r="T731" s="794"/>
      <c r="U731" s="794"/>
      <c r="V731" s="794"/>
      <c r="W731" s="794"/>
      <c r="X731" s="794"/>
      <c r="Y731" s="794"/>
      <c r="Z731" s="794"/>
      <c r="AA731" s="794"/>
      <c r="AB731" s="794"/>
      <c r="AC731" s="794"/>
      <c r="AD731" s="794"/>
      <c r="AE731" s="794"/>
    </row>
    <row r="732" spans="1:81">
      <c r="A732" s="215"/>
      <c r="B732" s="795" t="str">
        <f>IF(CC722&gt;0,"Alerta: debe de proporcionar una justificación de acuerdo a lo establecido en la instrucción 3","")</f>
        <v/>
      </c>
      <c r="C732" s="795"/>
      <c r="D732" s="795"/>
      <c r="E732" s="795"/>
      <c r="F732" s="795"/>
      <c r="G732" s="795"/>
      <c r="H732" s="795"/>
      <c r="I732" s="795"/>
      <c r="J732" s="795"/>
      <c r="K732" s="795"/>
      <c r="L732" s="795"/>
      <c r="M732" s="795"/>
      <c r="N732" s="795"/>
      <c r="O732" s="795"/>
      <c r="P732" s="795"/>
      <c r="Q732" s="795"/>
      <c r="R732" s="795"/>
      <c r="S732" s="795"/>
      <c r="T732" s="795"/>
      <c r="U732" s="795"/>
      <c r="V732" s="795"/>
      <c r="W732" s="795"/>
      <c r="X732" s="795"/>
      <c r="Y732" s="795"/>
      <c r="Z732" s="795"/>
      <c r="AA732" s="795"/>
      <c r="AB732" s="795"/>
      <c r="AC732" s="795"/>
      <c r="AD732" s="795"/>
      <c r="AE732" s="795"/>
    </row>
    <row r="733" spans="1:81" ht="36" customHeight="1">
      <c r="A733" s="49" t="s">
        <v>6300</v>
      </c>
      <c r="B733" s="829" t="s">
        <v>6301</v>
      </c>
      <c r="C733" s="829"/>
      <c r="D733" s="829"/>
      <c r="E733" s="829"/>
      <c r="F733" s="829"/>
      <c r="G733" s="829"/>
      <c r="H733" s="829"/>
      <c r="I733" s="829"/>
      <c r="J733" s="829"/>
      <c r="K733" s="829"/>
      <c r="L733" s="829"/>
      <c r="M733" s="829"/>
      <c r="N733" s="829"/>
      <c r="O733" s="829"/>
      <c r="P733" s="829"/>
      <c r="Q733" s="829"/>
      <c r="R733" s="829"/>
      <c r="S733" s="829"/>
      <c r="T733" s="829"/>
      <c r="U733" s="829"/>
      <c r="V733" s="829"/>
      <c r="W733" s="829"/>
      <c r="X733" s="829"/>
      <c r="Y733" s="829"/>
      <c r="Z733" s="829"/>
      <c r="AA733" s="829"/>
      <c r="AB733" s="829"/>
      <c r="AC733" s="829"/>
      <c r="AD733" s="829"/>
    </row>
    <row r="734" spans="1:81" ht="36" customHeight="1">
      <c r="A734" s="49"/>
      <c r="B734" s="105"/>
      <c r="C734" s="830" t="s">
        <v>6302</v>
      </c>
      <c r="D734" s="830"/>
      <c r="E734" s="830"/>
      <c r="F734" s="830"/>
      <c r="G734" s="830"/>
      <c r="H734" s="830"/>
      <c r="I734" s="830"/>
      <c r="J734" s="830"/>
      <c r="K734" s="830"/>
      <c r="L734" s="830"/>
      <c r="M734" s="830"/>
      <c r="N734" s="830"/>
      <c r="O734" s="830"/>
      <c r="P734" s="830"/>
      <c r="Q734" s="830"/>
      <c r="R734" s="830"/>
      <c r="S734" s="830"/>
      <c r="T734" s="830"/>
      <c r="U734" s="830"/>
      <c r="V734" s="830"/>
      <c r="W734" s="830"/>
      <c r="X734" s="830"/>
      <c r="Y734" s="830"/>
      <c r="Z734" s="830"/>
      <c r="AA734" s="830"/>
      <c r="AB734" s="830"/>
      <c r="AC734" s="830"/>
      <c r="AD734" s="830"/>
    </row>
    <row r="735" spans="1:81" ht="36" customHeight="1">
      <c r="A735" s="49"/>
      <c r="B735" s="105"/>
      <c r="C735" s="830" t="s">
        <v>6303</v>
      </c>
      <c r="D735" s="830"/>
      <c r="E735" s="830"/>
      <c r="F735" s="830"/>
      <c r="G735" s="830"/>
      <c r="H735" s="830"/>
      <c r="I735" s="830"/>
      <c r="J735" s="830"/>
      <c r="K735" s="830"/>
      <c r="L735" s="830"/>
      <c r="M735" s="830"/>
      <c r="N735" s="830"/>
      <c r="O735" s="830"/>
      <c r="P735" s="830"/>
      <c r="Q735" s="830"/>
      <c r="R735" s="830"/>
      <c r="S735" s="830"/>
      <c r="T735" s="830"/>
      <c r="U735" s="830"/>
      <c r="V735" s="830"/>
      <c r="W735" s="830"/>
      <c r="X735" s="830"/>
      <c r="Y735" s="830"/>
      <c r="Z735" s="830"/>
      <c r="AA735" s="830"/>
      <c r="AB735" s="830"/>
      <c r="AC735" s="830"/>
      <c r="AD735" s="830"/>
    </row>
    <row r="736" spans="1:81" ht="36" customHeight="1">
      <c r="A736" s="49"/>
      <c r="B736" s="105"/>
      <c r="C736" s="754" t="s">
        <v>6304</v>
      </c>
      <c r="D736" s="754"/>
      <c r="E736" s="754"/>
      <c r="F736" s="754"/>
      <c r="G736" s="754"/>
      <c r="H736" s="754"/>
      <c r="I736" s="754"/>
      <c r="J736" s="754"/>
      <c r="K736" s="754"/>
      <c r="L736" s="754"/>
      <c r="M736" s="754"/>
      <c r="N736" s="754"/>
      <c r="O736" s="754"/>
      <c r="P736" s="754"/>
      <c r="Q736" s="754"/>
      <c r="R736" s="754"/>
      <c r="S736" s="754"/>
      <c r="T736" s="754"/>
      <c r="U736" s="754"/>
      <c r="V736" s="754"/>
      <c r="W736" s="754"/>
      <c r="X736" s="754"/>
      <c r="Y736" s="754"/>
      <c r="Z736" s="754"/>
      <c r="AA736" s="754"/>
      <c r="AB736" s="754"/>
      <c r="AC736" s="754"/>
      <c r="AD736" s="754"/>
    </row>
    <row r="737" spans="1:58" ht="36" customHeight="1">
      <c r="A737" s="49"/>
      <c r="B737" s="57"/>
      <c r="C737" s="830" t="s">
        <v>6305</v>
      </c>
      <c r="D737" s="830"/>
      <c r="E737" s="830"/>
      <c r="F737" s="830"/>
      <c r="G737" s="830"/>
      <c r="H737" s="830"/>
      <c r="I737" s="830"/>
      <c r="J737" s="830"/>
      <c r="K737" s="830"/>
      <c r="L737" s="830"/>
      <c r="M737" s="830"/>
      <c r="N737" s="830"/>
      <c r="O737" s="830"/>
      <c r="P737" s="830"/>
      <c r="Q737" s="830"/>
      <c r="R737" s="830"/>
      <c r="S737" s="830"/>
      <c r="T737" s="830"/>
      <c r="U737" s="830"/>
      <c r="V737" s="830"/>
      <c r="W737" s="830"/>
      <c r="X737" s="830"/>
      <c r="Y737" s="830"/>
      <c r="Z737" s="830"/>
      <c r="AA737" s="830"/>
      <c r="AB737" s="830"/>
      <c r="AC737" s="830"/>
      <c r="AD737" s="830"/>
      <c r="AF737"/>
      <c r="AG737"/>
      <c r="AH737"/>
      <c r="AI737"/>
      <c r="AJ737"/>
      <c r="AK737"/>
      <c r="AL737"/>
      <c r="AM737"/>
      <c r="AN737">
        <v>1</v>
      </c>
      <c r="AO737">
        <v>2</v>
      </c>
      <c r="AP737">
        <v>3</v>
      </c>
      <c r="AQ737">
        <v>4</v>
      </c>
      <c r="AR737">
        <v>5</v>
      </c>
      <c r="AS737">
        <v>6</v>
      </c>
      <c r="AT737">
        <v>7</v>
      </c>
      <c r="AU737">
        <v>8</v>
      </c>
      <c r="AV737">
        <v>9</v>
      </c>
      <c r="AW737">
        <v>10</v>
      </c>
      <c r="AX737"/>
      <c r="AY737"/>
      <c r="AZ737"/>
      <c r="BA737"/>
      <c r="BB737"/>
      <c r="BC737"/>
      <c r="BD737"/>
      <c r="BE737"/>
    </row>
    <row r="738" spans="1:58">
      <c r="A738" s="215"/>
      <c r="B738" s="90"/>
      <c r="C738" s="90"/>
      <c r="D738" s="90"/>
      <c r="E738" s="90"/>
      <c r="F738" s="90"/>
      <c r="G738" s="90"/>
      <c r="H738" s="90"/>
      <c r="I738" s="90"/>
      <c r="J738" s="90"/>
      <c r="K738" s="90"/>
      <c r="L738" s="90"/>
      <c r="M738" s="90"/>
      <c r="N738" s="90"/>
      <c r="O738" s="90"/>
      <c r="P738" s="90"/>
      <c r="Q738" s="90"/>
      <c r="R738" s="90"/>
      <c r="S738" s="90"/>
      <c r="T738" s="90"/>
      <c r="U738" s="90"/>
      <c r="V738" s="90"/>
      <c r="W738" s="90"/>
      <c r="X738" s="90"/>
      <c r="Y738" s="90"/>
      <c r="Z738" s="90"/>
      <c r="AA738" s="90"/>
      <c r="AB738" s="90"/>
      <c r="AC738" s="90"/>
      <c r="AD738" s="90"/>
      <c r="AF738" t="s">
        <v>6306</v>
      </c>
      <c r="AG738"/>
      <c r="AH738"/>
      <c r="AI738"/>
      <c r="AJ738"/>
      <c r="AK738"/>
      <c r="AL738"/>
      <c r="AM738"/>
      <c r="AN738" t="s">
        <v>6307</v>
      </c>
      <c r="AO738"/>
      <c r="AP738"/>
      <c r="AQ738"/>
      <c r="AR738"/>
      <c r="AS738"/>
      <c r="AT738"/>
      <c r="AU738"/>
      <c r="AV738"/>
      <c r="AW738"/>
      <c r="AX738"/>
      <c r="AY738"/>
      <c r="AZ738"/>
      <c r="BA738"/>
      <c r="BB738"/>
      <c r="BC738"/>
      <c r="BD738"/>
      <c r="BE738"/>
    </row>
    <row r="739" spans="1:58" ht="24" customHeight="1">
      <c r="A739" s="210"/>
      <c r="B739" s="38"/>
      <c r="C739" s="797" t="s">
        <v>6308</v>
      </c>
      <c r="D739" s="798"/>
      <c r="E739" s="798"/>
      <c r="F739" s="798"/>
      <c r="G739" s="798"/>
      <c r="H739" s="798"/>
      <c r="I739" s="798"/>
      <c r="J739" s="799"/>
      <c r="K739" s="739" t="s">
        <v>6309</v>
      </c>
      <c r="L739" s="740"/>
      <c r="M739" s="740"/>
      <c r="N739" s="740"/>
      <c r="O739" s="740"/>
      <c r="P739" s="740"/>
      <c r="Q739" s="740"/>
      <c r="R739" s="740"/>
      <c r="S739" s="740"/>
      <c r="T739" s="740"/>
      <c r="U739" s="740"/>
      <c r="V739" s="740"/>
      <c r="W739" s="740"/>
      <c r="X739" s="740"/>
      <c r="Y739" s="740"/>
      <c r="Z739" s="740"/>
      <c r="AA739" s="740"/>
      <c r="AB739" s="740"/>
      <c r="AC739" s="740"/>
      <c r="AD739" s="741"/>
      <c r="AF739">
        <f>IF(OR(COUNTBLANK(D613:D620)=8,COUNTIF(M613:R620,"&gt;1")=(8-COUNTBLANK(D613:D620))),8,-1)</f>
        <v>8</v>
      </c>
      <c r="AG739"/>
      <c r="AH739"/>
      <c r="AI739"/>
      <c r="AJ739"/>
      <c r="AK739"/>
      <c r="AL739"/>
      <c r="AM739"/>
      <c r="AN739">
        <f>P649</f>
        <v>0</v>
      </c>
      <c r="AO739">
        <f>S649</f>
        <v>0</v>
      </c>
      <c r="AP739">
        <f>V649</f>
        <v>0</v>
      </c>
      <c r="AQ739">
        <f>Y649</f>
        <v>0</v>
      </c>
      <c r="AR739">
        <f>AB649</f>
        <v>0</v>
      </c>
      <c r="AS739">
        <f>P663</f>
        <v>0</v>
      </c>
      <c r="AT739">
        <f>S663</f>
        <v>0</v>
      </c>
      <c r="AU739">
        <f>V663</f>
        <v>0</v>
      </c>
      <c r="AV739">
        <f>Y663</f>
        <v>0</v>
      </c>
      <c r="AW739">
        <f>AB663</f>
        <v>0</v>
      </c>
      <c r="AX739"/>
      <c r="AY739"/>
      <c r="AZ739"/>
      <c r="BA739"/>
      <c r="BB739"/>
      <c r="BC739"/>
      <c r="BD739"/>
      <c r="BE739"/>
    </row>
    <row r="740" spans="1:58" ht="144" customHeight="1">
      <c r="A740" s="210"/>
      <c r="B740" s="38"/>
      <c r="C740" s="803"/>
      <c r="D740" s="804"/>
      <c r="E740" s="804"/>
      <c r="F740" s="804"/>
      <c r="G740" s="804"/>
      <c r="H740" s="804"/>
      <c r="I740" s="804"/>
      <c r="J740" s="805"/>
      <c r="K740" s="739" t="s">
        <v>2628</v>
      </c>
      <c r="L740" s="741"/>
      <c r="M740" s="858" t="s">
        <v>6267</v>
      </c>
      <c r="N740" s="860"/>
      <c r="O740" s="858" t="s">
        <v>6268</v>
      </c>
      <c r="P740" s="860"/>
      <c r="Q740" s="858" t="s">
        <v>6269</v>
      </c>
      <c r="R740" s="860"/>
      <c r="S740" s="858" t="s">
        <v>6270</v>
      </c>
      <c r="T740" s="860"/>
      <c r="U740" s="858" t="s">
        <v>6271</v>
      </c>
      <c r="V740" s="860"/>
      <c r="W740" s="858" t="s">
        <v>6272</v>
      </c>
      <c r="X740" s="860"/>
      <c r="Y740" s="858" t="s">
        <v>6273</v>
      </c>
      <c r="Z740" s="860"/>
      <c r="AA740" s="858" t="s">
        <v>3758</v>
      </c>
      <c r="AB740" s="860"/>
      <c r="AC740" s="858" t="s">
        <v>201</v>
      </c>
      <c r="AD740" s="860"/>
      <c r="AF740"/>
      <c r="AG740" t="s">
        <v>2586</v>
      </c>
      <c r="AH740" t="s">
        <v>5318</v>
      </c>
      <c r="AI740" t="s">
        <v>2590</v>
      </c>
      <c r="AJ740" t="s">
        <v>3163</v>
      </c>
      <c r="AK740" t="s">
        <v>4564</v>
      </c>
      <c r="AL740"/>
      <c r="AM740"/>
      <c r="AN740" t="s">
        <v>5291</v>
      </c>
      <c r="AO740"/>
      <c r="AV740" cm="1">
        <f t="array" ref="AV740">IF(OR(AC762={"NS","NA"},AW739={"NS","NA"}),0,IF(AC762&gt;=AW739,0,1))</f>
        <v>0</v>
      </c>
      <c r="AW740" t="s">
        <v>5290</v>
      </c>
    </row>
    <row r="741" spans="1:58" ht="36" customHeight="1">
      <c r="A741" s="210"/>
      <c r="B741" s="38"/>
      <c r="C741" s="43" t="s">
        <v>2516</v>
      </c>
      <c r="D741" s="813" t="s">
        <v>6310</v>
      </c>
      <c r="E741" s="814"/>
      <c r="F741" s="814"/>
      <c r="G741" s="814"/>
      <c r="H741" s="814"/>
      <c r="I741" s="814"/>
      <c r="J741" s="815"/>
      <c r="K741" s="749"/>
      <c r="L741" s="749"/>
      <c r="M741" s="749"/>
      <c r="N741" s="749"/>
      <c r="O741" s="749"/>
      <c r="P741" s="749"/>
      <c r="Q741" s="749"/>
      <c r="R741" s="749"/>
      <c r="S741" s="749"/>
      <c r="T741" s="749"/>
      <c r="U741" s="749"/>
      <c r="V741" s="749"/>
      <c r="W741" s="749"/>
      <c r="X741" s="749"/>
      <c r="Y741" s="749"/>
      <c r="Z741" s="749"/>
      <c r="AA741" s="749"/>
      <c r="AB741" s="749"/>
      <c r="AC741" s="749"/>
      <c r="AD741" s="749"/>
      <c r="AF741"/>
      <c r="AG741" s="506">
        <f>IF(AF739=8,0,IF(COUNTA(K741:AD761)=210,0,1))</f>
        <v>0</v>
      </c>
      <c r="AH741" s="506">
        <f>IF(AF739=8,IF(COUNTA(K741:AD761)=0,0,1),0)</f>
        <v>0</v>
      </c>
      <c r="AI741">
        <f>COUNTIF(M741:AD741,"NS")</f>
        <v>0</v>
      </c>
      <c r="AJ741">
        <f>SUM(M741:AD741)</f>
        <v>0</v>
      </c>
      <c r="AK741">
        <f>IF(COUNTIF(K741:AD741,"NA")=10,0,IF(COUNTA(K741:AD741)=0,0,IF(OR(AND(K741=0,AI741&gt;0),AND(K741="ns",AJ741&gt;0),AND(K741="ns",AI741=0,AJ741=0)),1,IF(OR(AND(AI741&gt;=2,K741&gt;AJ741),AND(K741="ns",AJ741=0,AI741&gt;0),K741=AJ741),0,1))))</f>
        <v>0</v>
      </c>
      <c r="AL741"/>
      <c r="AM741"/>
      <c r="AN741" cm="1">
        <f t="array" ref="AN741">IF(OR(K762={"NS","NA"},AN739={"NS","NA"}),0,IF(K762&gt;=AN739,0,1))</f>
        <v>0</v>
      </c>
      <c r="AO741" cm="1">
        <f t="array" ref="AO741">IF(OR(M762={"NS","NA"},AO739={"NS","NA"}),0,IF(M762&gt;=AO739,0,1))</f>
        <v>0</v>
      </c>
      <c r="AP741" cm="1">
        <f t="array" ref="AP741">IF(OR(O762={"NS","NA"},AP739={"NS","NA"}),0,IF(O762&gt;=AP739,0,1))</f>
        <v>0</v>
      </c>
      <c r="AQ741" cm="1">
        <f t="array" ref="AQ741">IF(OR(Q762={"NS","NA"},AQ739={"NS","NA"}),0,IF(Q762&gt;=AQ739,0,1))</f>
        <v>0</v>
      </c>
      <c r="AR741" cm="1">
        <f t="array" ref="AR741">IF(OR(S762={"NS","NA"},AR739={"NS","NA"}),0,IF(S762&gt;=AR739,0,1))</f>
        <v>0</v>
      </c>
      <c r="AS741" cm="1">
        <f t="array" ref="AS741">IF(OR(U762={"NS","NA"},AS739={"NS","NA"}),0,IF(U762&gt;=AS739,0,1))</f>
        <v>0</v>
      </c>
      <c r="AT741" cm="1">
        <f t="array" ref="AT741">IF(OR(W762={"NS","NA"},AT739={"NS","NA"}),0,IF(W762&gt;=AT739,0,1))</f>
        <v>0</v>
      </c>
      <c r="AU741" cm="1">
        <f t="array" ref="AU741">IF(OR(Y762={"NS","NA"},AU739={"NS","NA"}),0,IF(Y762&gt;=AU739,0,1))</f>
        <v>0</v>
      </c>
      <c r="AV741" cm="1">
        <f t="array" ref="AV741">IF(OR(AA762={"NS","NA"},AV739={"NS","NA"}),0,IF(AA762&gt;=AV739,0,1))</f>
        <v>0</v>
      </c>
      <c r="AW741" cm="1">
        <f t="array" ref="AW741">IF(OR(K741={"NS","NA"},AN$739={"NS","NA"}),0,IF(K741&lt;=AN$739,0,1))</f>
        <v>0</v>
      </c>
      <c r="AX741" cm="1">
        <f t="array" ref="AX741">IF(OR(M741={"NS","NA"},AO$739={"NS","NA"}),0,IF(M741&lt;=AO$739,0,1))</f>
        <v>0</v>
      </c>
      <c r="AY741" cm="1">
        <f t="array" ref="AY741">IF(OR(O741={"NS","NA"},AP$739={"NS","NA"}),0,IF(O741&lt;=AP$739,0,1))</f>
        <v>0</v>
      </c>
      <c r="AZ741" cm="1">
        <f t="array" ref="AZ741">IF(OR(Q741={"NS","NA"},AQ$739={"NS","NA"}),0,IF(Q741&lt;=AQ$739,0,1))</f>
        <v>0</v>
      </c>
      <c r="BA741" cm="1">
        <f t="array" ref="BA741">IF(OR(S741={"NS","NA"},AR$739={"NS","NA"}),0,IF(S741&lt;=AR$739,0,1))</f>
        <v>0</v>
      </c>
      <c r="BB741" cm="1">
        <f t="array" ref="BB741">IF(OR(U741={"NS","NA"},AS$739={"NS","NA"}),0,IF(U741&lt;=AS$739,0,1))</f>
        <v>0</v>
      </c>
      <c r="BC741" cm="1">
        <f t="array" ref="BC741">IF(OR(W741={"NS","NA"},AT$739={"NS","NA"}),0,IF(W741&lt;=AT$739,0,1))</f>
        <v>0</v>
      </c>
      <c r="BD741" cm="1">
        <f t="array" ref="BD741">IF(OR(Y741={"NS","NA"},AU$739={"NS","NA"}),0,IF(Y741&lt;=AU$739,0,1))</f>
        <v>0</v>
      </c>
      <c r="BE741" cm="1">
        <f t="array" ref="BE741">IF(OR(AA741={"NS","NA"},AV$739={"NS","NA"}),0,IF(AA741&lt;=AV$739,0,1))</f>
        <v>0</v>
      </c>
      <c r="BF741" cm="1">
        <f t="array" ref="BF741">IF(OR(AC741={"NS","NA"},AW$739={"NS","NA"}),0,IF(AC741&lt;=AW$739,0,1))</f>
        <v>0</v>
      </c>
    </row>
    <row r="742" spans="1:58" ht="48" customHeight="1">
      <c r="A742" s="210"/>
      <c r="B742" s="38"/>
      <c r="C742" s="199" t="s">
        <v>2517</v>
      </c>
      <c r="D742" s="813" t="s">
        <v>6282</v>
      </c>
      <c r="E742" s="814"/>
      <c r="F742" s="814"/>
      <c r="G742" s="814"/>
      <c r="H742" s="814"/>
      <c r="I742" s="814"/>
      <c r="J742" s="815"/>
      <c r="K742" s="749"/>
      <c r="L742" s="749"/>
      <c r="M742" s="749"/>
      <c r="N742" s="749"/>
      <c r="O742" s="749"/>
      <c r="P742" s="749"/>
      <c r="Q742" s="749"/>
      <c r="R742" s="749"/>
      <c r="S742" s="749"/>
      <c r="T742" s="749"/>
      <c r="U742" s="749"/>
      <c r="V742" s="749"/>
      <c r="W742" s="749"/>
      <c r="X742" s="749"/>
      <c r="Y742" s="749"/>
      <c r="Z742" s="749"/>
      <c r="AA742" s="749"/>
      <c r="AB742" s="749"/>
      <c r="AC742" s="749"/>
      <c r="AD742" s="749"/>
      <c r="AF742"/>
      <c r="AG742"/>
      <c r="AI742">
        <f t="shared" ref="AI742:AI761" si="354">COUNTIF(M742:AD742,"NS")</f>
        <v>0</v>
      </c>
      <c r="AJ742">
        <f t="shared" ref="AJ742:AJ761" si="355">SUM(M742:AD742)</f>
        <v>0</v>
      </c>
      <c r="AK742">
        <f t="shared" ref="AK742:AK760" si="356">IF(COUNTIF(K742:AD742,"NA")=10,0,IF(COUNTA(K742:AD742)=0,0,IF(OR(AND(K742=0,AI742&gt;0),AND(K742="ns",AJ742&gt;0),AND(K742="ns",AI742=0,AJ742=0)),1,IF(OR(AND(AI742&gt;=2,K742&gt;AJ742),AND(K742="ns",AJ742=0,AI742&gt;0),K742=AJ742),0,1))))</f>
        <v>0</v>
      </c>
      <c r="AL742"/>
      <c r="AM742"/>
      <c r="AN742"/>
      <c r="AO742"/>
      <c r="AP742"/>
      <c r="AQ742"/>
      <c r="AR742"/>
      <c r="AS742"/>
      <c r="AT742"/>
      <c r="AU742"/>
      <c r="AV742" s="506">
        <f>SUM(AN741:AV741,AV740)</f>
        <v>0</v>
      </c>
      <c r="AW742" cm="1">
        <f t="array" ref="AW742">IF(OR(K742={"NS","NA"},AN$739={"NS","NA"}),0,IF(K742&lt;=AN$739,0,1))</f>
        <v>0</v>
      </c>
      <c r="AX742" cm="1">
        <f t="array" ref="AX742">IF(OR(M742={"NS","NA"},AO$739={"NS","NA"}),0,IF(M742&lt;=AO$739,0,1))</f>
        <v>0</v>
      </c>
      <c r="AY742" cm="1">
        <f t="array" ref="AY742">IF(OR(O742={"NS","NA"},AP$739={"NS","NA"}),0,IF(O742&lt;=AP$739,0,1))</f>
        <v>0</v>
      </c>
      <c r="AZ742" cm="1">
        <f t="array" ref="AZ742">IF(OR(Q742={"NS","NA"},AQ$739={"NS","NA"}),0,IF(Q742&lt;=AQ$739,0,1))</f>
        <v>0</v>
      </c>
      <c r="BA742" cm="1">
        <f t="array" ref="BA742">IF(OR(S742={"NS","NA"},AR$739={"NS","NA"}),0,IF(S742&lt;=AR$739,0,1))</f>
        <v>0</v>
      </c>
      <c r="BB742" cm="1">
        <f t="array" ref="BB742">IF(OR(U742={"NS","NA"},AS$739={"NS","NA"}),0,IF(U742&lt;=AS$739,0,1))</f>
        <v>0</v>
      </c>
      <c r="BC742" cm="1">
        <f t="array" ref="BC742">IF(OR(W742={"NS","NA"},AT$739={"NS","NA"}),0,IF(W742&lt;=AT$739,0,1))</f>
        <v>0</v>
      </c>
      <c r="BD742" cm="1">
        <f t="array" ref="BD742">IF(OR(Y742={"NS","NA"},AU$739={"NS","NA"}),0,IF(Y742&lt;=AU$739,0,1))</f>
        <v>0</v>
      </c>
      <c r="BE742" cm="1">
        <f t="array" ref="BE742">IF(OR(AA742={"NS","NA"},AV$739={"NS","NA"}),0,IF(AA742&lt;=AV$739,0,1))</f>
        <v>0</v>
      </c>
      <c r="BF742" cm="1">
        <f t="array" ref="BF742">IF(OR(AC742={"NS","NA"},AW$739={"NS","NA"}),0,IF(AC742&lt;=AW$739,0,1))</f>
        <v>0</v>
      </c>
    </row>
    <row r="743" spans="1:58" ht="84" customHeight="1">
      <c r="A743" s="210"/>
      <c r="B743" s="38"/>
      <c r="C743" s="143" t="s">
        <v>2518</v>
      </c>
      <c r="D743" s="813" t="s">
        <v>6311</v>
      </c>
      <c r="E743" s="814"/>
      <c r="F743" s="814"/>
      <c r="G743" s="814"/>
      <c r="H743" s="814"/>
      <c r="I743" s="814"/>
      <c r="J743" s="815"/>
      <c r="K743" s="749"/>
      <c r="L743" s="749"/>
      <c r="M743" s="749"/>
      <c r="N743" s="749"/>
      <c r="O743" s="749"/>
      <c r="P743" s="749"/>
      <c r="Q743" s="749"/>
      <c r="R743" s="749"/>
      <c r="S743" s="749"/>
      <c r="T743" s="749"/>
      <c r="U743" s="749"/>
      <c r="V743" s="749"/>
      <c r="W743" s="749"/>
      <c r="X743" s="749"/>
      <c r="Y743" s="749"/>
      <c r="Z743" s="749"/>
      <c r="AA743" s="749"/>
      <c r="AB743" s="749"/>
      <c r="AC743" s="749"/>
      <c r="AD743" s="749"/>
      <c r="AF743"/>
      <c r="AG743"/>
      <c r="AI743">
        <f t="shared" si="354"/>
        <v>0</v>
      </c>
      <c r="AJ743">
        <f t="shared" si="355"/>
        <v>0</v>
      </c>
      <c r="AK743">
        <f t="shared" si="356"/>
        <v>0</v>
      </c>
      <c r="AL743"/>
      <c r="AM743"/>
      <c r="AN743"/>
      <c r="AO743"/>
      <c r="AP743"/>
      <c r="AQ743"/>
      <c r="AR743"/>
      <c r="AS743"/>
      <c r="AT743"/>
      <c r="AU743"/>
      <c r="AV743"/>
      <c r="AW743" cm="1">
        <f t="array" ref="AW743">IF(OR(K743={"NS","NA"},AN$739={"NS","NA"}),0,IF(K743&lt;=AN$739,0,1))</f>
        <v>0</v>
      </c>
      <c r="AX743" cm="1">
        <f t="array" ref="AX743">IF(OR(M743={"NS","NA"},AO$739={"NS","NA"}),0,IF(M743&lt;=AO$739,0,1))</f>
        <v>0</v>
      </c>
      <c r="AY743" cm="1">
        <f t="array" ref="AY743">IF(OR(O743={"NS","NA"},AP$739={"NS","NA"}),0,IF(O743&lt;=AP$739,0,1))</f>
        <v>0</v>
      </c>
      <c r="AZ743" cm="1">
        <f t="array" ref="AZ743">IF(OR(Q743={"NS","NA"},AQ$739={"NS","NA"}),0,IF(Q743&lt;=AQ$739,0,1))</f>
        <v>0</v>
      </c>
      <c r="BA743" cm="1">
        <f t="array" ref="BA743">IF(OR(S743={"NS","NA"},AR$739={"NS","NA"}),0,IF(S743&lt;=AR$739,0,1))</f>
        <v>0</v>
      </c>
      <c r="BB743" cm="1">
        <f t="array" ref="BB743">IF(OR(U743={"NS","NA"},AS$739={"NS","NA"}),0,IF(U743&lt;=AS$739,0,1))</f>
        <v>0</v>
      </c>
      <c r="BC743" cm="1">
        <f t="array" ref="BC743">IF(OR(W743={"NS","NA"},AT$739={"NS","NA"}),0,IF(W743&lt;=AT$739,0,1))</f>
        <v>0</v>
      </c>
      <c r="BD743" cm="1">
        <f t="array" ref="BD743">IF(OR(Y743={"NS","NA"},AU$739={"NS","NA"}),0,IF(Y743&lt;=AU$739,0,1))</f>
        <v>0</v>
      </c>
      <c r="BE743" cm="1">
        <f t="array" ref="BE743">IF(OR(AA743={"NS","NA"},AV$739={"NS","NA"}),0,IF(AA743&lt;=AV$739,0,1))</f>
        <v>0</v>
      </c>
      <c r="BF743" cm="1">
        <f t="array" ref="BF743">IF(OR(AC743={"NS","NA"},AW$739={"NS","NA"}),0,IF(AC743&lt;=AW$739,0,1))</f>
        <v>0</v>
      </c>
    </row>
    <row r="744" spans="1:58" ht="72" customHeight="1">
      <c r="A744" s="210"/>
      <c r="B744" s="38"/>
      <c r="C744" s="143" t="s">
        <v>2519</v>
      </c>
      <c r="D744" s="813" t="s">
        <v>6284</v>
      </c>
      <c r="E744" s="814"/>
      <c r="F744" s="814"/>
      <c r="G744" s="814"/>
      <c r="H744" s="814"/>
      <c r="I744" s="814"/>
      <c r="J744" s="815"/>
      <c r="K744" s="749"/>
      <c r="L744" s="749"/>
      <c r="M744" s="749"/>
      <c r="N744" s="749"/>
      <c r="O744" s="749"/>
      <c r="P744" s="749"/>
      <c r="Q744" s="749"/>
      <c r="R744" s="749"/>
      <c r="S744" s="749"/>
      <c r="T744" s="749"/>
      <c r="U744" s="749"/>
      <c r="V744" s="749"/>
      <c r="W744" s="749"/>
      <c r="X744" s="749"/>
      <c r="Y744" s="749"/>
      <c r="Z744" s="749"/>
      <c r="AA744" s="749"/>
      <c r="AB744" s="749"/>
      <c r="AC744" s="749"/>
      <c r="AD744" s="749"/>
      <c r="AF744"/>
      <c r="AG744"/>
      <c r="AI744">
        <f t="shared" si="354"/>
        <v>0</v>
      </c>
      <c r="AJ744">
        <f t="shared" si="355"/>
        <v>0</v>
      </c>
      <c r="AK744">
        <f t="shared" si="356"/>
        <v>0</v>
      </c>
      <c r="AL744"/>
      <c r="AM744"/>
      <c r="AN744"/>
      <c r="AO744"/>
      <c r="AP744"/>
      <c r="AQ744"/>
      <c r="AR744"/>
      <c r="AS744"/>
      <c r="AT744"/>
      <c r="AU744"/>
      <c r="AV744"/>
      <c r="AW744" cm="1">
        <f t="array" ref="AW744">IF(OR(K744={"NS","NA"},AN$739={"NS","NA"}),0,IF(K744&lt;=AN$739,0,1))</f>
        <v>0</v>
      </c>
      <c r="AX744" cm="1">
        <f t="array" ref="AX744">IF(OR(M744={"NS","NA"},AO$739={"NS","NA"}),0,IF(M744&lt;=AO$739,0,1))</f>
        <v>0</v>
      </c>
      <c r="AY744" cm="1">
        <f t="array" ref="AY744">IF(OR(O744={"NS","NA"},AP$739={"NS","NA"}),0,IF(O744&lt;=AP$739,0,1))</f>
        <v>0</v>
      </c>
      <c r="AZ744" cm="1">
        <f t="array" ref="AZ744">IF(OR(Q744={"NS","NA"},AQ$739={"NS","NA"}),0,IF(Q744&lt;=AQ$739,0,1))</f>
        <v>0</v>
      </c>
      <c r="BA744" cm="1">
        <f t="array" ref="BA744">IF(OR(S744={"NS","NA"},AR$739={"NS","NA"}),0,IF(S744&lt;=AR$739,0,1))</f>
        <v>0</v>
      </c>
      <c r="BB744" cm="1">
        <f t="array" ref="BB744">IF(OR(U744={"NS","NA"},AS$739={"NS","NA"}),0,IF(U744&lt;=AS$739,0,1))</f>
        <v>0</v>
      </c>
      <c r="BC744" cm="1">
        <f t="array" ref="BC744">IF(OR(W744={"NS","NA"},AT$739={"NS","NA"}),0,IF(W744&lt;=AT$739,0,1))</f>
        <v>0</v>
      </c>
      <c r="BD744" cm="1">
        <f t="array" ref="BD744">IF(OR(Y744={"NS","NA"},AU$739={"NS","NA"}),0,IF(Y744&lt;=AU$739,0,1))</f>
        <v>0</v>
      </c>
      <c r="BE744" cm="1">
        <f t="array" ref="BE744">IF(OR(AA744={"NS","NA"},AV$739={"NS","NA"}),0,IF(AA744&lt;=AV$739,0,1))</f>
        <v>0</v>
      </c>
      <c r="BF744" cm="1">
        <f t="array" ref="BF744">IF(OR(AC744={"NS","NA"},AW$739={"NS","NA"}),0,IF(AC744&lt;=AW$739,0,1))</f>
        <v>0</v>
      </c>
    </row>
    <row r="745" spans="1:58" ht="48" customHeight="1">
      <c r="A745" s="210"/>
      <c r="B745" s="38"/>
      <c r="C745" s="143" t="s">
        <v>2520</v>
      </c>
      <c r="D745" s="813" t="s">
        <v>6285</v>
      </c>
      <c r="E745" s="814"/>
      <c r="F745" s="814"/>
      <c r="G745" s="814"/>
      <c r="H745" s="814"/>
      <c r="I745" s="814"/>
      <c r="J745" s="815"/>
      <c r="K745" s="749"/>
      <c r="L745" s="749"/>
      <c r="M745" s="749"/>
      <c r="N745" s="749"/>
      <c r="O745" s="749"/>
      <c r="P745" s="749"/>
      <c r="Q745" s="749"/>
      <c r="R745" s="749"/>
      <c r="S745" s="749"/>
      <c r="T745" s="749"/>
      <c r="U745" s="749"/>
      <c r="V745" s="749"/>
      <c r="W745" s="749"/>
      <c r="X745" s="749"/>
      <c r="Y745" s="749"/>
      <c r="Z745" s="749"/>
      <c r="AA745" s="749"/>
      <c r="AB745" s="749"/>
      <c r="AC745" s="749"/>
      <c r="AD745" s="749"/>
      <c r="AF745"/>
      <c r="AG745"/>
      <c r="AI745">
        <f t="shared" si="354"/>
        <v>0</v>
      </c>
      <c r="AJ745">
        <f t="shared" si="355"/>
        <v>0</v>
      </c>
      <c r="AK745">
        <f t="shared" si="356"/>
        <v>0</v>
      </c>
      <c r="AL745"/>
      <c r="AM745"/>
      <c r="AN745"/>
      <c r="AO745"/>
      <c r="AP745"/>
      <c r="AQ745"/>
      <c r="AR745"/>
      <c r="AS745"/>
      <c r="AT745"/>
      <c r="AU745"/>
      <c r="AV745"/>
      <c r="AW745" cm="1">
        <f t="array" ref="AW745">IF(OR(K745={"NS","NA"},AN$739={"NS","NA"}),0,IF(K745&lt;=AN$739,0,1))</f>
        <v>0</v>
      </c>
      <c r="AX745" cm="1">
        <f t="array" ref="AX745">IF(OR(M745={"NS","NA"},AO$739={"NS","NA"}),0,IF(M745&lt;=AO$739,0,1))</f>
        <v>0</v>
      </c>
      <c r="AY745" cm="1">
        <f t="array" ref="AY745">IF(OR(O745={"NS","NA"},AP$739={"NS","NA"}),0,IF(O745&lt;=AP$739,0,1))</f>
        <v>0</v>
      </c>
      <c r="AZ745" cm="1">
        <f t="array" ref="AZ745">IF(OR(Q745={"NS","NA"},AQ$739={"NS","NA"}),0,IF(Q745&lt;=AQ$739,0,1))</f>
        <v>0</v>
      </c>
      <c r="BA745" cm="1">
        <f t="array" ref="BA745">IF(OR(S745={"NS","NA"},AR$739={"NS","NA"}),0,IF(S745&lt;=AR$739,0,1))</f>
        <v>0</v>
      </c>
      <c r="BB745" cm="1">
        <f t="array" ref="BB745">IF(OR(U745={"NS","NA"},AS$739={"NS","NA"}),0,IF(U745&lt;=AS$739,0,1))</f>
        <v>0</v>
      </c>
      <c r="BC745" cm="1">
        <f t="array" ref="BC745">IF(OR(W745={"NS","NA"},AT$739={"NS","NA"}),0,IF(W745&lt;=AT$739,0,1))</f>
        <v>0</v>
      </c>
      <c r="BD745" cm="1">
        <f t="array" ref="BD745">IF(OR(Y745={"NS","NA"},AU$739={"NS","NA"}),0,IF(Y745&lt;=AU$739,0,1))</f>
        <v>0</v>
      </c>
      <c r="BE745" cm="1">
        <f t="array" ref="BE745">IF(OR(AA745={"NS","NA"},AV$739={"NS","NA"}),0,IF(AA745&lt;=AV$739,0,1))</f>
        <v>0</v>
      </c>
      <c r="BF745" cm="1">
        <f t="array" ref="BF745">IF(OR(AC745={"NS","NA"},AW$739={"NS","NA"}),0,IF(AC745&lt;=AW$739,0,1))</f>
        <v>0</v>
      </c>
    </row>
    <row r="746" spans="1:58" ht="36" customHeight="1">
      <c r="A746" s="210"/>
      <c r="B746" s="38"/>
      <c r="C746" s="143" t="s">
        <v>2521</v>
      </c>
      <c r="D746" s="813" t="s">
        <v>6286</v>
      </c>
      <c r="E746" s="814"/>
      <c r="F746" s="814"/>
      <c r="G746" s="814"/>
      <c r="H746" s="814"/>
      <c r="I746" s="814"/>
      <c r="J746" s="815"/>
      <c r="K746" s="749"/>
      <c r="L746" s="749"/>
      <c r="M746" s="749"/>
      <c r="N746" s="749"/>
      <c r="O746" s="749"/>
      <c r="P746" s="749"/>
      <c r="Q746" s="749"/>
      <c r="R746" s="749"/>
      <c r="S746" s="749"/>
      <c r="T746" s="749"/>
      <c r="U746" s="749"/>
      <c r="V746" s="749"/>
      <c r="W746" s="749"/>
      <c r="X746" s="749"/>
      <c r="Y746" s="749"/>
      <c r="Z746" s="749"/>
      <c r="AA746" s="749"/>
      <c r="AB746" s="749"/>
      <c r="AC746" s="749"/>
      <c r="AD746" s="749"/>
      <c r="AF746"/>
      <c r="AG746"/>
      <c r="AI746">
        <f t="shared" si="354"/>
        <v>0</v>
      </c>
      <c r="AJ746">
        <f t="shared" si="355"/>
        <v>0</v>
      </c>
      <c r="AK746">
        <f t="shared" si="356"/>
        <v>0</v>
      </c>
      <c r="AL746"/>
      <c r="AM746"/>
      <c r="AN746"/>
      <c r="AO746"/>
      <c r="AP746"/>
      <c r="AQ746"/>
      <c r="AR746"/>
      <c r="AS746"/>
      <c r="AT746"/>
      <c r="AU746"/>
      <c r="AV746"/>
      <c r="AW746" cm="1">
        <f t="array" ref="AW746">IF(OR(K746={"NS","NA"},AN$739={"NS","NA"}),0,IF(K746&lt;=AN$739,0,1))</f>
        <v>0</v>
      </c>
      <c r="AX746" cm="1">
        <f t="array" ref="AX746">IF(OR(M746={"NS","NA"},AO$739={"NS","NA"}),0,IF(M746&lt;=AO$739,0,1))</f>
        <v>0</v>
      </c>
      <c r="AY746" cm="1">
        <f t="array" ref="AY746">IF(OR(O746={"NS","NA"},AP$739={"NS","NA"}),0,IF(O746&lt;=AP$739,0,1))</f>
        <v>0</v>
      </c>
      <c r="AZ746" cm="1">
        <f t="array" ref="AZ746">IF(OR(Q746={"NS","NA"},AQ$739={"NS","NA"}),0,IF(Q746&lt;=AQ$739,0,1))</f>
        <v>0</v>
      </c>
      <c r="BA746" cm="1">
        <f t="array" ref="BA746">IF(OR(S746={"NS","NA"},AR$739={"NS","NA"}),0,IF(S746&lt;=AR$739,0,1))</f>
        <v>0</v>
      </c>
      <c r="BB746" cm="1">
        <f t="array" ref="BB746">IF(OR(U746={"NS","NA"},AS$739={"NS","NA"}),0,IF(U746&lt;=AS$739,0,1))</f>
        <v>0</v>
      </c>
      <c r="BC746" cm="1">
        <f t="array" ref="BC746">IF(OR(W746={"NS","NA"},AT$739={"NS","NA"}),0,IF(W746&lt;=AT$739,0,1))</f>
        <v>0</v>
      </c>
      <c r="BD746" cm="1">
        <f t="array" ref="BD746">IF(OR(Y746={"NS","NA"},AU$739={"NS","NA"}),0,IF(Y746&lt;=AU$739,0,1))</f>
        <v>0</v>
      </c>
      <c r="BE746" cm="1">
        <f t="array" ref="BE746">IF(OR(AA746={"NS","NA"},AV$739={"NS","NA"}),0,IF(AA746&lt;=AV$739,0,1))</f>
        <v>0</v>
      </c>
      <c r="BF746" cm="1">
        <f t="array" ref="BF746">IF(OR(AC746={"NS","NA"},AW$739={"NS","NA"}),0,IF(AC746&lt;=AW$739,0,1))</f>
        <v>0</v>
      </c>
    </row>
    <row r="747" spans="1:58" ht="48" customHeight="1">
      <c r="A747" s="210"/>
      <c r="B747" s="38"/>
      <c r="C747" s="143" t="s">
        <v>2522</v>
      </c>
      <c r="D747" s="813" t="s">
        <v>6287</v>
      </c>
      <c r="E747" s="814"/>
      <c r="F747" s="814"/>
      <c r="G747" s="814"/>
      <c r="H747" s="814"/>
      <c r="I747" s="814"/>
      <c r="J747" s="815"/>
      <c r="K747" s="749"/>
      <c r="L747" s="749"/>
      <c r="M747" s="749"/>
      <c r="N747" s="749"/>
      <c r="O747" s="749"/>
      <c r="P747" s="749"/>
      <c r="Q747" s="749"/>
      <c r="R747" s="749"/>
      <c r="S747" s="749"/>
      <c r="T747" s="749"/>
      <c r="U747" s="749"/>
      <c r="V747" s="749"/>
      <c r="W747" s="749"/>
      <c r="X747" s="749"/>
      <c r="Y747" s="749"/>
      <c r="Z747" s="749"/>
      <c r="AA747" s="749"/>
      <c r="AB747" s="749"/>
      <c r="AC747" s="749"/>
      <c r="AD747" s="749"/>
      <c r="AF747"/>
      <c r="AG747"/>
      <c r="AI747">
        <f t="shared" si="354"/>
        <v>0</v>
      </c>
      <c r="AJ747">
        <f t="shared" si="355"/>
        <v>0</v>
      </c>
      <c r="AK747">
        <f t="shared" si="356"/>
        <v>0</v>
      </c>
      <c r="AL747"/>
      <c r="AM747"/>
      <c r="AN747"/>
      <c r="AO747"/>
      <c r="AP747"/>
      <c r="AQ747"/>
      <c r="AR747"/>
      <c r="AS747"/>
      <c r="AT747"/>
      <c r="AU747"/>
      <c r="AV747"/>
      <c r="AW747" cm="1">
        <f t="array" ref="AW747">IF(OR(K747={"NS","NA"},AN$739={"NS","NA"}),0,IF(K747&lt;=AN$739,0,1))</f>
        <v>0</v>
      </c>
      <c r="AX747" cm="1">
        <f t="array" ref="AX747">IF(OR(M747={"NS","NA"},AO$739={"NS","NA"}),0,IF(M747&lt;=AO$739,0,1))</f>
        <v>0</v>
      </c>
      <c r="AY747" cm="1">
        <f t="array" ref="AY747">IF(OR(O747={"NS","NA"},AP$739={"NS","NA"}),0,IF(O747&lt;=AP$739,0,1))</f>
        <v>0</v>
      </c>
      <c r="AZ747" cm="1">
        <f t="array" ref="AZ747">IF(OR(Q747={"NS","NA"},AQ$739={"NS","NA"}),0,IF(Q747&lt;=AQ$739,0,1))</f>
        <v>0</v>
      </c>
      <c r="BA747" cm="1">
        <f t="array" ref="BA747">IF(OR(S747={"NS","NA"},AR$739={"NS","NA"}),0,IF(S747&lt;=AR$739,0,1))</f>
        <v>0</v>
      </c>
      <c r="BB747" cm="1">
        <f t="array" ref="BB747">IF(OR(U747={"NS","NA"},AS$739={"NS","NA"}),0,IF(U747&lt;=AS$739,0,1))</f>
        <v>0</v>
      </c>
      <c r="BC747" cm="1">
        <f t="array" ref="BC747">IF(OR(W747={"NS","NA"},AT$739={"NS","NA"}),0,IF(W747&lt;=AT$739,0,1))</f>
        <v>0</v>
      </c>
      <c r="BD747" cm="1">
        <f t="array" ref="BD747">IF(OR(Y747={"NS","NA"},AU$739={"NS","NA"}),0,IF(Y747&lt;=AU$739,0,1))</f>
        <v>0</v>
      </c>
      <c r="BE747" cm="1">
        <f t="array" ref="BE747">IF(OR(AA747={"NS","NA"},AV$739={"NS","NA"}),0,IF(AA747&lt;=AV$739,0,1))</f>
        <v>0</v>
      </c>
      <c r="BF747" cm="1">
        <f t="array" ref="BF747">IF(OR(AC747={"NS","NA"},AW$739={"NS","NA"}),0,IF(AC747&lt;=AW$739,0,1))</f>
        <v>0</v>
      </c>
    </row>
    <row r="748" spans="1:58" ht="48" customHeight="1">
      <c r="A748" s="210"/>
      <c r="B748" s="38"/>
      <c r="C748" s="143" t="s">
        <v>2523</v>
      </c>
      <c r="D748" s="813" t="s">
        <v>6288</v>
      </c>
      <c r="E748" s="814"/>
      <c r="F748" s="814"/>
      <c r="G748" s="814"/>
      <c r="H748" s="814"/>
      <c r="I748" s="814"/>
      <c r="J748" s="815"/>
      <c r="K748" s="749"/>
      <c r="L748" s="749"/>
      <c r="M748" s="749"/>
      <c r="N748" s="749"/>
      <c r="O748" s="749"/>
      <c r="P748" s="749"/>
      <c r="Q748" s="749"/>
      <c r="R748" s="749"/>
      <c r="S748" s="749"/>
      <c r="T748" s="749"/>
      <c r="U748" s="749"/>
      <c r="V748" s="749"/>
      <c r="W748" s="749"/>
      <c r="X748" s="749"/>
      <c r="Y748" s="749"/>
      <c r="Z748" s="749"/>
      <c r="AA748" s="749"/>
      <c r="AB748" s="749"/>
      <c r="AC748" s="749"/>
      <c r="AD748" s="749"/>
      <c r="AF748"/>
      <c r="AG748"/>
      <c r="AI748">
        <f t="shared" si="354"/>
        <v>0</v>
      </c>
      <c r="AJ748">
        <f t="shared" si="355"/>
        <v>0</v>
      </c>
      <c r="AK748">
        <f t="shared" si="356"/>
        <v>0</v>
      </c>
      <c r="AL748"/>
      <c r="AN748"/>
      <c r="AO748"/>
      <c r="AP748"/>
      <c r="AQ748"/>
      <c r="AR748"/>
      <c r="AS748"/>
      <c r="AT748"/>
      <c r="AU748"/>
      <c r="AV748"/>
      <c r="AW748" cm="1">
        <f t="array" ref="AW748">IF(OR(K748={"NS","NA"},AN$739={"NS","NA"}),0,IF(K748&lt;=AN$739,0,1))</f>
        <v>0</v>
      </c>
      <c r="AX748" cm="1">
        <f t="array" ref="AX748">IF(OR(M748={"NS","NA"},AO$739={"NS","NA"}),0,IF(M748&lt;=AO$739,0,1))</f>
        <v>0</v>
      </c>
      <c r="AY748" cm="1">
        <f t="array" ref="AY748">IF(OR(O748={"NS","NA"},AP$739={"NS","NA"}),0,IF(O748&lt;=AP$739,0,1))</f>
        <v>0</v>
      </c>
      <c r="AZ748" cm="1">
        <f t="array" ref="AZ748">IF(OR(Q748={"NS","NA"},AQ$739={"NS","NA"}),0,IF(Q748&lt;=AQ$739,0,1))</f>
        <v>0</v>
      </c>
      <c r="BA748" cm="1">
        <f t="array" ref="BA748">IF(OR(S748={"NS","NA"},AR$739={"NS","NA"}),0,IF(S748&lt;=AR$739,0,1))</f>
        <v>0</v>
      </c>
      <c r="BB748" cm="1">
        <f t="array" ref="BB748">IF(OR(U748={"NS","NA"},AS$739={"NS","NA"}),0,IF(U748&lt;=AS$739,0,1))</f>
        <v>0</v>
      </c>
      <c r="BC748" cm="1">
        <f t="array" ref="BC748">IF(OR(W748={"NS","NA"},AT$739={"NS","NA"}),0,IF(W748&lt;=AT$739,0,1))</f>
        <v>0</v>
      </c>
      <c r="BD748" cm="1">
        <f t="array" ref="BD748">IF(OR(Y748={"NS","NA"},AU$739={"NS","NA"}),0,IF(Y748&lt;=AU$739,0,1))</f>
        <v>0</v>
      </c>
      <c r="BE748" cm="1">
        <f t="array" ref="BE748">IF(OR(AA748={"NS","NA"},AV$739={"NS","NA"}),0,IF(AA748&lt;=AV$739,0,1))</f>
        <v>0</v>
      </c>
      <c r="BF748" cm="1">
        <f t="array" ref="BF748">IF(OR(AC748={"NS","NA"},AW$739={"NS","NA"}),0,IF(AC748&lt;=AW$739,0,1))</f>
        <v>0</v>
      </c>
    </row>
    <row r="749" spans="1:58" ht="36" customHeight="1">
      <c r="A749" s="210"/>
      <c r="B749" s="38"/>
      <c r="C749" s="143" t="s">
        <v>2524</v>
      </c>
      <c r="D749" s="813" t="s">
        <v>6289</v>
      </c>
      <c r="E749" s="814"/>
      <c r="F749" s="814"/>
      <c r="G749" s="814"/>
      <c r="H749" s="814"/>
      <c r="I749" s="814"/>
      <c r="J749" s="815"/>
      <c r="K749" s="749"/>
      <c r="L749" s="749"/>
      <c r="M749" s="749"/>
      <c r="N749" s="749"/>
      <c r="O749" s="749"/>
      <c r="P749" s="749"/>
      <c r="Q749" s="749"/>
      <c r="R749" s="749"/>
      <c r="S749" s="749"/>
      <c r="T749" s="749"/>
      <c r="U749" s="749"/>
      <c r="V749" s="749"/>
      <c r="W749" s="749"/>
      <c r="X749" s="749"/>
      <c r="Y749" s="749"/>
      <c r="Z749" s="749"/>
      <c r="AA749" s="749"/>
      <c r="AB749" s="749"/>
      <c r="AC749" s="749"/>
      <c r="AD749" s="749"/>
      <c r="AF749"/>
      <c r="AI749">
        <f t="shared" si="354"/>
        <v>0</v>
      </c>
      <c r="AJ749">
        <f t="shared" si="355"/>
        <v>0</v>
      </c>
      <c r="AK749">
        <f t="shared" si="356"/>
        <v>0</v>
      </c>
      <c r="AL749"/>
      <c r="AN749"/>
      <c r="AO749"/>
      <c r="AP749"/>
      <c r="AQ749"/>
      <c r="AR749"/>
      <c r="AS749"/>
      <c r="AT749"/>
      <c r="AU749"/>
      <c r="AV749"/>
      <c r="AW749" cm="1">
        <f t="array" ref="AW749">IF(OR(K749={"NS","NA"},AN$739={"NS","NA"}),0,IF(K749&lt;=AN$739,0,1))</f>
        <v>0</v>
      </c>
      <c r="AX749" cm="1">
        <f t="array" ref="AX749">IF(OR(M749={"NS","NA"},AO$739={"NS","NA"}),0,IF(M749&lt;=AO$739,0,1))</f>
        <v>0</v>
      </c>
      <c r="AY749" cm="1">
        <f t="array" ref="AY749">IF(OR(O749={"NS","NA"},AP$739={"NS","NA"}),0,IF(O749&lt;=AP$739,0,1))</f>
        <v>0</v>
      </c>
      <c r="AZ749" cm="1">
        <f t="array" ref="AZ749">IF(OR(Q749={"NS","NA"},AQ$739={"NS","NA"}),0,IF(Q749&lt;=AQ$739,0,1))</f>
        <v>0</v>
      </c>
      <c r="BA749" cm="1">
        <f t="array" ref="BA749">IF(OR(S749={"NS","NA"},AR$739={"NS","NA"}),0,IF(S749&lt;=AR$739,0,1))</f>
        <v>0</v>
      </c>
      <c r="BB749" cm="1">
        <f t="array" ref="BB749">IF(OR(U749={"NS","NA"},AS$739={"NS","NA"}),0,IF(U749&lt;=AS$739,0,1))</f>
        <v>0</v>
      </c>
      <c r="BC749" cm="1">
        <f t="array" ref="BC749">IF(OR(W749={"NS","NA"},AT$739={"NS","NA"}),0,IF(W749&lt;=AT$739,0,1))</f>
        <v>0</v>
      </c>
      <c r="BD749" cm="1">
        <f t="array" ref="BD749">IF(OR(Y749={"NS","NA"},AU$739={"NS","NA"}),0,IF(Y749&lt;=AU$739,0,1))</f>
        <v>0</v>
      </c>
      <c r="BE749" cm="1">
        <f t="array" ref="BE749">IF(OR(AA749={"NS","NA"},AV$739={"NS","NA"}),0,IF(AA749&lt;=AV$739,0,1))</f>
        <v>0</v>
      </c>
      <c r="BF749" cm="1">
        <f t="array" ref="BF749">IF(OR(AC749={"NS","NA"},AW$739={"NS","NA"}),0,IF(AC749&lt;=AW$739,0,1))</f>
        <v>0</v>
      </c>
    </row>
    <row r="750" spans="1:58" ht="15" customHeight="1">
      <c r="A750" s="210"/>
      <c r="B750" s="38"/>
      <c r="C750" s="143" t="s">
        <v>2525</v>
      </c>
      <c r="D750" s="813" t="s">
        <v>6290</v>
      </c>
      <c r="E750" s="814"/>
      <c r="F750" s="814"/>
      <c r="G750" s="814"/>
      <c r="H750" s="814"/>
      <c r="I750" s="814"/>
      <c r="J750" s="815"/>
      <c r="K750" s="749"/>
      <c r="L750" s="749"/>
      <c r="M750" s="749"/>
      <c r="N750" s="749"/>
      <c r="O750" s="749"/>
      <c r="P750" s="749"/>
      <c r="Q750" s="749"/>
      <c r="R750" s="749"/>
      <c r="S750" s="749"/>
      <c r="T750" s="749"/>
      <c r="U750" s="749"/>
      <c r="V750" s="749"/>
      <c r="W750" s="749"/>
      <c r="X750" s="749"/>
      <c r="Y750" s="749"/>
      <c r="Z750" s="749"/>
      <c r="AA750" s="749"/>
      <c r="AB750" s="749"/>
      <c r="AC750" s="749"/>
      <c r="AD750" s="749"/>
      <c r="AF750"/>
      <c r="AI750">
        <f t="shared" si="354"/>
        <v>0</v>
      </c>
      <c r="AJ750">
        <f t="shared" si="355"/>
        <v>0</v>
      </c>
      <c r="AK750">
        <f t="shared" si="356"/>
        <v>0</v>
      </c>
      <c r="AL750"/>
      <c r="AN750"/>
      <c r="AW750" cm="1">
        <f t="array" ref="AW750">IF(OR(K750={"NS","NA"},AN$739={"NS","NA"}),0,IF(K750&lt;=AN$739,0,1))</f>
        <v>0</v>
      </c>
      <c r="AX750" cm="1">
        <f t="array" ref="AX750">IF(OR(M750={"NS","NA"},AO$739={"NS","NA"}),0,IF(M750&lt;=AO$739,0,1))</f>
        <v>0</v>
      </c>
      <c r="AY750" cm="1">
        <f t="array" ref="AY750">IF(OR(O750={"NS","NA"},AP$739={"NS","NA"}),0,IF(O750&lt;=AP$739,0,1))</f>
        <v>0</v>
      </c>
      <c r="AZ750" cm="1">
        <f t="array" ref="AZ750">IF(OR(Q750={"NS","NA"},AQ$739={"NS","NA"}),0,IF(Q750&lt;=AQ$739,0,1))</f>
        <v>0</v>
      </c>
      <c r="BA750" cm="1">
        <f t="array" ref="BA750">IF(OR(S750={"NS","NA"},AR$739={"NS","NA"}),0,IF(S750&lt;=AR$739,0,1))</f>
        <v>0</v>
      </c>
      <c r="BB750" cm="1">
        <f t="array" ref="BB750">IF(OR(U750={"NS","NA"},AS$739={"NS","NA"}),0,IF(U750&lt;=AS$739,0,1))</f>
        <v>0</v>
      </c>
      <c r="BC750" cm="1">
        <f t="array" ref="BC750">IF(OR(W750={"NS","NA"},AT$739={"NS","NA"}),0,IF(W750&lt;=AT$739,0,1))</f>
        <v>0</v>
      </c>
      <c r="BD750" cm="1">
        <f t="array" ref="BD750">IF(OR(Y750={"NS","NA"},AU$739={"NS","NA"}),0,IF(Y750&lt;=AU$739,0,1))</f>
        <v>0</v>
      </c>
      <c r="BE750" cm="1">
        <f t="array" ref="BE750">IF(OR(AA750={"NS","NA"},AV$739={"NS","NA"}),0,IF(AA750&lt;=AV$739,0,1))</f>
        <v>0</v>
      </c>
      <c r="BF750" cm="1">
        <f t="array" ref="BF750">IF(OR(AC750={"NS","NA"},AW$739={"NS","NA"}),0,IF(AC750&lt;=AW$739,0,1))</f>
        <v>0</v>
      </c>
    </row>
    <row r="751" spans="1:58" ht="24" customHeight="1">
      <c r="A751" s="210"/>
      <c r="B751" s="38"/>
      <c r="C751" s="143" t="s">
        <v>2526</v>
      </c>
      <c r="D751" s="813" t="s">
        <v>6291</v>
      </c>
      <c r="E751" s="814"/>
      <c r="F751" s="814"/>
      <c r="G751" s="814"/>
      <c r="H751" s="814"/>
      <c r="I751" s="814"/>
      <c r="J751" s="815"/>
      <c r="K751" s="749"/>
      <c r="L751" s="749"/>
      <c r="M751" s="749"/>
      <c r="N751" s="749"/>
      <c r="O751" s="749"/>
      <c r="P751" s="749"/>
      <c r="Q751" s="749"/>
      <c r="R751" s="749"/>
      <c r="S751" s="749"/>
      <c r="T751" s="749"/>
      <c r="U751" s="749"/>
      <c r="V751" s="749"/>
      <c r="W751" s="749"/>
      <c r="X751" s="749"/>
      <c r="Y751" s="749"/>
      <c r="Z751" s="749"/>
      <c r="AA751" s="749"/>
      <c r="AB751" s="749"/>
      <c r="AC751" s="749"/>
      <c r="AD751" s="749"/>
      <c r="AF751"/>
      <c r="AI751">
        <f t="shared" si="354"/>
        <v>0</v>
      </c>
      <c r="AJ751">
        <f t="shared" si="355"/>
        <v>0</v>
      </c>
      <c r="AK751">
        <f t="shared" si="356"/>
        <v>0</v>
      </c>
      <c r="AL751"/>
      <c r="AW751" cm="1">
        <f t="array" ref="AW751">IF(OR(K751={"NS","NA"},AN$739={"NS","NA"}),0,IF(K751&lt;=AN$739,0,1))</f>
        <v>0</v>
      </c>
      <c r="AX751" cm="1">
        <f t="array" ref="AX751">IF(OR(M751={"NS","NA"},AO$739={"NS","NA"}),0,IF(M751&lt;=AO$739,0,1))</f>
        <v>0</v>
      </c>
      <c r="AY751" cm="1">
        <f t="array" ref="AY751">IF(OR(O751={"NS","NA"},AP$739={"NS","NA"}),0,IF(O751&lt;=AP$739,0,1))</f>
        <v>0</v>
      </c>
      <c r="AZ751" cm="1">
        <f t="array" ref="AZ751">IF(OR(Q751={"NS","NA"},AQ$739={"NS","NA"}),0,IF(Q751&lt;=AQ$739,0,1))</f>
        <v>0</v>
      </c>
      <c r="BA751" cm="1">
        <f t="array" ref="BA751">IF(OR(S751={"NS","NA"},AR$739={"NS","NA"}),0,IF(S751&lt;=AR$739,0,1))</f>
        <v>0</v>
      </c>
      <c r="BB751" cm="1">
        <f t="array" ref="BB751">IF(OR(U751={"NS","NA"},AS$739={"NS","NA"}),0,IF(U751&lt;=AS$739,0,1))</f>
        <v>0</v>
      </c>
      <c r="BC751" cm="1">
        <f t="array" ref="BC751">IF(OR(W751={"NS","NA"},AT$739={"NS","NA"}),0,IF(W751&lt;=AT$739,0,1))</f>
        <v>0</v>
      </c>
      <c r="BD751" cm="1">
        <f t="array" ref="BD751">IF(OR(Y751={"NS","NA"},AU$739={"NS","NA"}),0,IF(Y751&lt;=AU$739,0,1))</f>
        <v>0</v>
      </c>
      <c r="BE751" cm="1">
        <f t="array" ref="BE751">IF(OR(AA751={"NS","NA"},AV$739={"NS","NA"}),0,IF(AA751&lt;=AV$739,0,1))</f>
        <v>0</v>
      </c>
      <c r="BF751" cm="1">
        <f t="array" ref="BF751">IF(OR(AC751={"NS","NA"},AW$739={"NS","NA"}),0,IF(AC751&lt;=AW$739,0,1))</f>
        <v>0</v>
      </c>
    </row>
    <row r="752" spans="1:58" ht="48" customHeight="1">
      <c r="A752" s="210"/>
      <c r="B752" s="38"/>
      <c r="C752" s="143" t="s">
        <v>2527</v>
      </c>
      <c r="D752" s="813" t="s">
        <v>6292</v>
      </c>
      <c r="E752" s="814"/>
      <c r="F752" s="814"/>
      <c r="G752" s="814"/>
      <c r="H752" s="814"/>
      <c r="I752" s="814"/>
      <c r="J752" s="815"/>
      <c r="K752" s="749"/>
      <c r="L752" s="749"/>
      <c r="M752" s="749"/>
      <c r="N752" s="749"/>
      <c r="O752" s="749"/>
      <c r="P752" s="749"/>
      <c r="Q752" s="749"/>
      <c r="R752" s="749"/>
      <c r="S752" s="749"/>
      <c r="T752" s="749"/>
      <c r="U752" s="749"/>
      <c r="V752" s="749"/>
      <c r="W752" s="749"/>
      <c r="X752" s="749"/>
      <c r="Y752" s="749"/>
      <c r="Z752" s="749"/>
      <c r="AA752" s="749"/>
      <c r="AB752" s="749"/>
      <c r="AC752" s="749"/>
      <c r="AD752" s="749"/>
      <c r="AF752"/>
      <c r="AI752">
        <f t="shared" si="354"/>
        <v>0</v>
      </c>
      <c r="AJ752">
        <f t="shared" si="355"/>
        <v>0</v>
      </c>
      <c r="AK752">
        <f t="shared" si="356"/>
        <v>0</v>
      </c>
      <c r="AL752"/>
      <c r="AW752" cm="1">
        <f t="array" ref="AW752">IF(OR(K752={"NS","NA"},AN$739={"NS","NA"}),0,IF(K752&lt;=AN$739,0,1))</f>
        <v>0</v>
      </c>
      <c r="AX752" cm="1">
        <f t="array" ref="AX752">IF(OR(M752={"NS","NA"},AO$739={"NS","NA"}),0,IF(M752&lt;=AO$739,0,1))</f>
        <v>0</v>
      </c>
      <c r="AY752" cm="1">
        <f t="array" ref="AY752">IF(OR(O752={"NS","NA"},AP$739={"NS","NA"}),0,IF(O752&lt;=AP$739,0,1))</f>
        <v>0</v>
      </c>
      <c r="AZ752" cm="1">
        <f t="array" ref="AZ752">IF(OR(Q752={"NS","NA"},AQ$739={"NS","NA"}),0,IF(Q752&lt;=AQ$739,0,1))</f>
        <v>0</v>
      </c>
      <c r="BA752" cm="1">
        <f t="array" ref="BA752">IF(OR(S752={"NS","NA"},AR$739={"NS","NA"}),0,IF(S752&lt;=AR$739,0,1))</f>
        <v>0</v>
      </c>
      <c r="BB752" cm="1">
        <f t="array" ref="BB752">IF(OR(U752={"NS","NA"},AS$739={"NS","NA"}),0,IF(U752&lt;=AS$739,0,1))</f>
        <v>0</v>
      </c>
      <c r="BC752" cm="1">
        <f t="array" ref="BC752">IF(OR(W752={"NS","NA"},AT$739={"NS","NA"}),0,IF(W752&lt;=AT$739,0,1))</f>
        <v>0</v>
      </c>
      <c r="BD752" cm="1">
        <f t="array" ref="BD752">IF(OR(Y752={"NS","NA"},AU$739={"NS","NA"}),0,IF(Y752&lt;=AU$739,0,1))</f>
        <v>0</v>
      </c>
      <c r="BE752" cm="1">
        <f t="array" ref="BE752">IF(OR(AA752={"NS","NA"},AV$739={"NS","NA"}),0,IF(AA752&lt;=AV$739,0,1))</f>
        <v>0</v>
      </c>
      <c r="BF752" cm="1">
        <f t="array" ref="BF752">IF(OR(AC752={"NS","NA"},AW$739={"NS","NA"}),0,IF(AC752&lt;=AW$739,0,1))</f>
        <v>0</v>
      </c>
    </row>
    <row r="753" spans="1:58" ht="36" customHeight="1">
      <c r="A753" s="210"/>
      <c r="B753" s="38"/>
      <c r="C753" s="143" t="s">
        <v>2528</v>
      </c>
      <c r="D753" s="813" t="s">
        <v>6293</v>
      </c>
      <c r="E753" s="814"/>
      <c r="F753" s="814"/>
      <c r="G753" s="814"/>
      <c r="H753" s="814"/>
      <c r="I753" s="814"/>
      <c r="J753" s="815"/>
      <c r="K753" s="749"/>
      <c r="L753" s="749"/>
      <c r="M753" s="749"/>
      <c r="N753" s="749"/>
      <c r="O753" s="749"/>
      <c r="P753" s="749"/>
      <c r="Q753" s="749"/>
      <c r="R753" s="749"/>
      <c r="S753" s="749"/>
      <c r="T753" s="749"/>
      <c r="U753" s="749"/>
      <c r="V753" s="749"/>
      <c r="W753" s="749"/>
      <c r="X753" s="749"/>
      <c r="Y753" s="749"/>
      <c r="Z753" s="749"/>
      <c r="AA753" s="749"/>
      <c r="AB753" s="749"/>
      <c r="AC753" s="749"/>
      <c r="AD753" s="749"/>
      <c r="AF753"/>
      <c r="AI753">
        <f t="shared" si="354"/>
        <v>0</v>
      </c>
      <c r="AJ753">
        <f t="shared" si="355"/>
        <v>0</v>
      </c>
      <c r="AK753">
        <f t="shared" si="356"/>
        <v>0</v>
      </c>
      <c r="AL753"/>
      <c r="AW753" cm="1">
        <f t="array" ref="AW753">IF(OR(K753={"NS","NA"},AN$739={"NS","NA"}),0,IF(K753&lt;=AN$739,0,1))</f>
        <v>0</v>
      </c>
      <c r="AX753" cm="1">
        <f t="array" ref="AX753">IF(OR(M753={"NS","NA"},AO$739={"NS","NA"}),0,IF(M753&lt;=AO$739,0,1))</f>
        <v>0</v>
      </c>
      <c r="AY753" cm="1">
        <f t="array" ref="AY753">IF(OR(O753={"NS","NA"},AP$739={"NS","NA"}),0,IF(O753&lt;=AP$739,0,1))</f>
        <v>0</v>
      </c>
      <c r="AZ753" cm="1">
        <f t="array" ref="AZ753">IF(OR(Q753={"NS","NA"},AQ$739={"NS","NA"}),0,IF(Q753&lt;=AQ$739,0,1))</f>
        <v>0</v>
      </c>
      <c r="BA753" cm="1">
        <f t="array" ref="BA753">IF(OR(S753={"NS","NA"},AR$739={"NS","NA"}),0,IF(S753&lt;=AR$739,0,1))</f>
        <v>0</v>
      </c>
      <c r="BB753" cm="1">
        <f t="array" ref="BB753">IF(OR(U753={"NS","NA"},AS$739={"NS","NA"}),0,IF(U753&lt;=AS$739,0,1))</f>
        <v>0</v>
      </c>
      <c r="BC753" cm="1">
        <f t="array" ref="BC753">IF(OR(W753={"NS","NA"},AT$739={"NS","NA"}),0,IF(W753&lt;=AT$739,0,1))</f>
        <v>0</v>
      </c>
      <c r="BD753" cm="1">
        <f t="array" ref="BD753">IF(OR(Y753={"NS","NA"},AU$739={"NS","NA"}),0,IF(Y753&lt;=AU$739,0,1))</f>
        <v>0</v>
      </c>
      <c r="BE753" cm="1">
        <f t="array" ref="BE753">IF(OR(AA753={"NS","NA"},AV$739={"NS","NA"}),0,IF(AA753&lt;=AV$739,0,1))</f>
        <v>0</v>
      </c>
      <c r="BF753" cm="1">
        <f t="array" ref="BF753">IF(OR(AC753={"NS","NA"},AW$739={"NS","NA"}),0,IF(AC753&lt;=AW$739,0,1))</f>
        <v>0</v>
      </c>
    </row>
    <row r="754" spans="1:58" ht="48" customHeight="1">
      <c r="A754" s="210"/>
      <c r="B754" s="38"/>
      <c r="C754" s="143" t="s">
        <v>2529</v>
      </c>
      <c r="D754" s="813" t="s">
        <v>6294</v>
      </c>
      <c r="E754" s="814"/>
      <c r="F754" s="814"/>
      <c r="G754" s="814"/>
      <c r="H754" s="814"/>
      <c r="I754" s="814"/>
      <c r="J754" s="815"/>
      <c r="K754" s="749"/>
      <c r="L754" s="749"/>
      <c r="M754" s="749"/>
      <c r="N754" s="749"/>
      <c r="O754" s="749"/>
      <c r="P754" s="749"/>
      <c r="Q754" s="749"/>
      <c r="R754" s="749"/>
      <c r="S754" s="749"/>
      <c r="T754" s="749"/>
      <c r="U754" s="749"/>
      <c r="V754" s="749"/>
      <c r="W754" s="749"/>
      <c r="X754" s="749"/>
      <c r="Y754" s="749"/>
      <c r="Z754" s="749"/>
      <c r="AA754" s="749"/>
      <c r="AB754" s="749"/>
      <c r="AC754" s="749"/>
      <c r="AD754" s="749"/>
      <c r="AF754"/>
      <c r="AI754">
        <f t="shared" si="354"/>
        <v>0</v>
      </c>
      <c r="AJ754">
        <f t="shared" si="355"/>
        <v>0</v>
      </c>
      <c r="AK754">
        <f t="shared" si="356"/>
        <v>0</v>
      </c>
      <c r="AL754"/>
      <c r="AW754" cm="1">
        <f t="array" ref="AW754">IF(OR(K754={"NS","NA"},AN$739={"NS","NA"}),0,IF(K754&lt;=AN$739,0,1))</f>
        <v>0</v>
      </c>
      <c r="AX754" cm="1">
        <f t="array" ref="AX754">IF(OR(M754={"NS","NA"},AO$739={"NS","NA"}),0,IF(M754&lt;=AO$739,0,1))</f>
        <v>0</v>
      </c>
      <c r="AY754" cm="1">
        <f t="array" ref="AY754">IF(OR(O754={"NS","NA"},AP$739={"NS","NA"}),0,IF(O754&lt;=AP$739,0,1))</f>
        <v>0</v>
      </c>
      <c r="AZ754" cm="1">
        <f t="array" ref="AZ754">IF(OR(Q754={"NS","NA"},AQ$739={"NS","NA"}),0,IF(Q754&lt;=AQ$739,0,1))</f>
        <v>0</v>
      </c>
      <c r="BA754" cm="1">
        <f t="array" ref="BA754">IF(OR(S754={"NS","NA"},AR$739={"NS","NA"}),0,IF(S754&lt;=AR$739,0,1))</f>
        <v>0</v>
      </c>
      <c r="BB754" cm="1">
        <f t="array" ref="BB754">IF(OR(U754={"NS","NA"},AS$739={"NS","NA"}),0,IF(U754&lt;=AS$739,0,1))</f>
        <v>0</v>
      </c>
      <c r="BC754" cm="1">
        <f t="array" ref="BC754">IF(OR(W754={"NS","NA"},AT$739={"NS","NA"}),0,IF(W754&lt;=AT$739,0,1))</f>
        <v>0</v>
      </c>
      <c r="BD754" cm="1">
        <f t="array" ref="BD754">IF(OR(Y754={"NS","NA"},AU$739={"NS","NA"}),0,IF(Y754&lt;=AU$739,0,1))</f>
        <v>0</v>
      </c>
      <c r="BE754" cm="1">
        <f t="array" ref="BE754">IF(OR(AA754={"NS","NA"},AV$739={"NS","NA"}),0,IF(AA754&lt;=AV$739,0,1))</f>
        <v>0</v>
      </c>
      <c r="BF754" cm="1">
        <f t="array" ref="BF754">IF(OR(AC754={"NS","NA"},AW$739={"NS","NA"}),0,IF(AC754&lt;=AW$739,0,1))</f>
        <v>0</v>
      </c>
    </row>
    <row r="755" spans="1:58" ht="24" customHeight="1">
      <c r="A755" s="210"/>
      <c r="B755" s="38"/>
      <c r="C755" s="143" t="s">
        <v>2530</v>
      </c>
      <c r="D755" s="813" t="s">
        <v>6295</v>
      </c>
      <c r="E755" s="814"/>
      <c r="F755" s="814"/>
      <c r="G755" s="814"/>
      <c r="H755" s="814"/>
      <c r="I755" s="814"/>
      <c r="J755" s="815"/>
      <c r="K755" s="749"/>
      <c r="L755" s="749"/>
      <c r="M755" s="749"/>
      <c r="N755" s="749"/>
      <c r="O755" s="749"/>
      <c r="P755" s="749"/>
      <c r="Q755" s="749"/>
      <c r="R755" s="749"/>
      <c r="S755" s="749"/>
      <c r="T755" s="749"/>
      <c r="U755" s="749"/>
      <c r="V755" s="749"/>
      <c r="W755" s="749"/>
      <c r="X755" s="749"/>
      <c r="Y755" s="749"/>
      <c r="Z755" s="749"/>
      <c r="AA755" s="749"/>
      <c r="AB755" s="749"/>
      <c r="AC755" s="749"/>
      <c r="AD755" s="749"/>
      <c r="AF755"/>
      <c r="AI755">
        <f t="shared" si="354"/>
        <v>0</v>
      </c>
      <c r="AJ755">
        <f t="shared" si="355"/>
        <v>0</v>
      </c>
      <c r="AK755">
        <f t="shared" si="356"/>
        <v>0</v>
      </c>
      <c r="AL755"/>
      <c r="AW755" cm="1">
        <f t="array" ref="AW755">IF(OR(K755={"NS","NA"},AN$739={"NS","NA"}),0,IF(K755&lt;=AN$739,0,1))</f>
        <v>0</v>
      </c>
      <c r="AX755" cm="1">
        <f t="array" ref="AX755">IF(OR(M755={"NS","NA"},AO$739={"NS","NA"}),0,IF(M755&lt;=AO$739,0,1))</f>
        <v>0</v>
      </c>
      <c r="AY755" cm="1">
        <f t="array" ref="AY755">IF(OR(O755={"NS","NA"},AP$739={"NS","NA"}),0,IF(O755&lt;=AP$739,0,1))</f>
        <v>0</v>
      </c>
      <c r="AZ755" cm="1">
        <f t="array" ref="AZ755">IF(OR(Q755={"NS","NA"},AQ$739={"NS","NA"}),0,IF(Q755&lt;=AQ$739,0,1))</f>
        <v>0</v>
      </c>
      <c r="BA755" cm="1">
        <f t="array" ref="BA755">IF(OR(S755={"NS","NA"},AR$739={"NS","NA"}),0,IF(S755&lt;=AR$739,0,1))</f>
        <v>0</v>
      </c>
      <c r="BB755" cm="1">
        <f t="array" ref="BB755">IF(OR(U755={"NS","NA"},AS$739={"NS","NA"}),0,IF(U755&lt;=AS$739,0,1))</f>
        <v>0</v>
      </c>
      <c r="BC755" cm="1">
        <f t="array" ref="BC755">IF(OR(W755={"NS","NA"},AT$739={"NS","NA"}),0,IF(W755&lt;=AT$739,0,1))</f>
        <v>0</v>
      </c>
      <c r="BD755" cm="1">
        <f t="array" ref="BD755">IF(OR(Y755={"NS","NA"},AU$739={"NS","NA"}),0,IF(Y755&lt;=AU$739,0,1))</f>
        <v>0</v>
      </c>
      <c r="BE755" cm="1">
        <f t="array" ref="BE755">IF(OR(AA755={"NS","NA"},AV$739={"NS","NA"}),0,IF(AA755&lt;=AV$739,0,1))</f>
        <v>0</v>
      </c>
      <c r="BF755" cm="1">
        <f t="array" ref="BF755">IF(OR(AC755={"NS","NA"},AW$739={"NS","NA"}),0,IF(AC755&lt;=AW$739,0,1))</f>
        <v>0</v>
      </c>
    </row>
    <row r="756" spans="1:58" ht="24" customHeight="1">
      <c r="A756" s="210"/>
      <c r="B756" s="38"/>
      <c r="C756" s="143" t="s">
        <v>2531</v>
      </c>
      <c r="D756" s="813" t="s">
        <v>6296</v>
      </c>
      <c r="E756" s="814"/>
      <c r="F756" s="814"/>
      <c r="G756" s="814"/>
      <c r="H756" s="814"/>
      <c r="I756" s="814"/>
      <c r="J756" s="815"/>
      <c r="K756" s="749"/>
      <c r="L756" s="749"/>
      <c r="M756" s="749"/>
      <c r="N756" s="749"/>
      <c r="O756" s="749"/>
      <c r="P756" s="749"/>
      <c r="Q756" s="749"/>
      <c r="R756" s="749"/>
      <c r="S756" s="749"/>
      <c r="T756" s="749"/>
      <c r="U756" s="749"/>
      <c r="V756" s="749"/>
      <c r="W756" s="749"/>
      <c r="X756" s="749"/>
      <c r="Y756" s="749"/>
      <c r="Z756" s="749"/>
      <c r="AA756" s="749"/>
      <c r="AB756" s="749"/>
      <c r="AC756" s="749"/>
      <c r="AD756" s="749"/>
      <c r="AF756"/>
      <c r="AI756">
        <f t="shared" si="354"/>
        <v>0</v>
      </c>
      <c r="AJ756">
        <f t="shared" si="355"/>
        <v>0</v>
      </c>
      <c r="AK756">
        <f t="shared" si="356"/>
        <v>0</v>
      </c>
      <c r="AL756"/>
      <c r="AW756" cm="1">
        <f t="array" ref="AW756">IF(OR(K756={"NS","NA"},AN$739={"NS","NA"}),0,IF(K756&lt;=AN$739,0,1))</f>
        <v>0</v>
      </c>
      <c r="AX756" cm="1">
        <f t="array" ref="AX756">IF(OR(M756={"NS","NA"},AO$739={"NS","NA"}),0,IF(M756&lt;=AO$739,0,1))</f>
        <v>0</v>
      </c>
      <c r="AY756" cm="1">
        <f t="array" ref="AY756">IF(OR(O756={"NS","NA"},AP$739={"NS","NA"}),0,IF(O756&lt;=AP$739,0,1))</f>
        <v>0</v>
      </c>
      <c r="AZ756" cm="1">
        <f t="array" ref="AZ756">IF(OR(Q756={"NS","NA"},AQ$739={"NS","NA"}),0,IF(Q756&lt;=AQ$739,0,1))</f>
        <v>0</v>
      </c>
      <c r="BA756" cm="1">
        <f t="array" ref="BA756">IF(OR(S756={"NS","NA"},AR$739={"NS","NA"}),0,IF(S756&lt;=AR$739,0,1))</f>
        <v>0</v>
      </c>
      <c r="BB756" cm="1">
        <f t="array" ref="BB756">IF(OR(U756={"NS","NA"},AS$739={"NS","NA"}),0,IF(U756&lt;=AS$739,0,1))</f>
        <v>0</v>
      </c>
      <c r="BC756" cm="1">
        <f t="array" ref="BC756">IF(OR(W756={"NS","NA"},AT$739={"NS","NA"}),0,IF(W756&lt;=AT$739,0,1))</f>
        <v>0</v>
      </c>
      <c r="BD756" cm="1">
        <f t="array" ref="BD756">IF(OR(Y756={"NS","NA"},AU$739={"NS","NA"}),0,IF(Y756&lt;=AU$739,0,1))</f>
        <v>0</v>
      </c>
      <c r="BE756" cm="1">
        <f t="array" ref="BE756">IF(OR(AA756={"NS","NA"},AV$739={"NS","NA"}),0,IF(AA756&lt;=AV$739,0,1))</f>
        <v>0</v>
      </c>
      <c r="BF756" cm="1">
        <f t="array" ref="BF756">IF(OR(AC756={"NS","NA"},AW$739={"NS","NA"}),0,IF(AC756&lt;=AW$739,0,1))</f>
        <v>0</v>
      </c>
    </row>
    <row r="757" spans="1:58" ht="60" customHeight="1">
      <c r="A757" s="210"/>
      <c r="B757" s="38"/>
      <c r="C757" s="143" t="s">
        <v>2532</v>
      </c>
      <c r="D757" s="813" t="s">
        <v>6297</v>
      </c>
      <c r="E757" s="814"/>
      <c r="F757" s="814"/>
      <c r="G757" s="814"/>
      <c r="H757" s="814"/>
      <c r="I757" s="814"/>
      <c r="J757" s="815"/>
      <c r="K757" s="749"/>
      <c r="L757" s="749"/>
      <c r="M757" s="749"/>
      <c r="N757" s="749"/>
      <c r="O757" s="749"/>
      <c r="P757" s="749"/>
      <c r="Q757" s="749"/>
      <c r="R757" s="749"/>
      <c r="S757" s="749"/>
      <c r="T757" s="749"/>
      <c r="U757" s="749"/>
      <c r="V757" s="749"/>
      <c r="W757" s="749"/>
      <c r="X757" s="749"/>
      <c r="Y757" s="749"/>
      <c r="Z757" s="749"/>
      <c r="AA757" s="749"/>
      <c r="AB757" s="749"/>
      <c r="AC757" s="749"/>
      <c r="AD757" s="749"/>
      <c r="AF757"/>
      <c r="AI757">
        <f t="shared" si="354"/>
        <v>0</v>
      </c>
      <c r="AJ757">
        <f t="shared" si="355"/>
        <v>0</v>
      </c>
      <c r="AK757">
        <f t="shared" si="356"/>
        <v>0</v>
      </c>
      <c r="AL757"/>
      <c r="AW757" cm="1">
        <f t="array" ref="AW757">IF(OR(K757={"NS","NA"},AN$739={"NS","NA"}),0,IF(K757&lt;=AN$739,0,1))</f>
        <v>0</v>
      </c>
      <c r="AX757" cm="1">
        <f t="array" ref="AX757">IF(OR(M757={"NS","NA"},AO$739={"NS","NA"}),0,IF(M757&lt;=AO$739,0,1))</f>
        <v>0</v>
      </c>
      <c r="AY757" cm="1">
        <f t="array" ref="AY757">IF(OR(O757={"NS","NA"},AP$739={"NS","NA"}),0,IF(O757&lt;=AP$739,0,1))</f>
        <v>0</v>
      </c>
      <c r="AZ757" cm="1">
        <f t="array" ref="AZ757">IF(OR(Q757={"NS","NA"},AQ$739={"NS","NA"}),0,IF(Q757&lt;=AQ$739,0,1))</f>
        <v>0</v>
      </c>
      <c r="BA757" cm="1">
        <f t="array" ref="BA757">IF(OR(S757={"NS","NA"},AR$739={"NS","NA"}),0,IF(S757&lt;=AR$739,0,1))</f>
        <v>0</v>
      </c>
      <c r="BB757" cm="1">
        <f t="array" ref="BB757">IF(OR(U757={"NS","NA"},AS$739={"NS","NA"}),0,IF(U757&lt;=AS$739,0,1))</f>
        <v>0</v>
      </c>
      <c r="BC757" cm="1">
        <f t="array" ref="BC757">IF(OR(W757={"NS","NA"},AT$739={"NS","NA"}),0,IF(W757&lt;=AT$739,0,1))</f>
        <v>0</v>
      </c>
      <c r="BD757" cm="1">
        <f t="array" ref="BD757">IF(OR(Y757={"NS","NA"},AU$739={"NS","NA"}),0,IF(Y757&lt;=AU$739,0,1))</f>
        <v>0</v>
      </c>
      <c r="BE757" cm="1">
        <f t="array" ref="BE757">IF(OR(AA757={"NS","NA"},AV$739={"NS","NA"}),0,IF(AA757&lt;=AV$739,0,1))</f>
        <v>0</v>
      </c>
      <c r="BF757" cm="1">
        <f t="array" ref="BF757">IF(OR(AC757={"NS","NA"},AW$739={"NS","NA"}),0,IF(AC757&lt;=AW$739,0,1))</f>
        <v>0</v>
      </c>
    </row>
    <row r="758" spans="1:58" ht="24" customHeight="1">
      <c r="A758" s="210"/>
      <c r="B758" s="38"/>
      <c r="C758" s="143" t="s">
        <v>2533</v>
      </c>
      <c r="D758" s="813" t="s">
        <v>6298</v>
      </c>
      <c r="E758" s="814"/>
      <c r="F758" s="814"/>
      <c r="G758" s="814"/>
      <c r="H758" s="814"/>
      <c r="I758" s="814"/>
      <c r="J758" s="815"/>
      <c r="K758" s="749"/>
      <c r="L758" s="749"/>
      <c r="M758" s="749"/>
      <c r="N758" s="749"/>
      <c r="O758" s="749"/>
      <c r="P758" s="749"/>
      <c r="Q758" s="749"/>
      <c r="R758" s="749"/>
      <c r="S758" s="749"/>
      <c r="T758" s="749"/>
      <c r="U758" s="749"/>
      <c r="V758" s="749"/>
      <c r="W758" s="749"/>
      <c r="X758" s="749"/>
      <c r="Y758" s="749"/>
      <c r="Z758" s="749"/>
      <c r="AA758" s="749"/>
      <c r="AB758" s="749"/>
      <c r="AC758" s="749"/>
      <c r="AD758" s="749"/>
      <c r="AF758"/>
      <c r="AI758">
        <f t="shared" si="354"/>
        <v>0</v>
      </c>
      <c r="AJ758">
        <f t="shared" si="355"/>
        <v>0</v>
      </c>
      <c r="AK758">
        <f t="shared" si="356"/>
        <v>0</v>
      </c>
      <c r="AL758"/>
      <c r="AW758" cm="1">
        <f t="array" ref="AW758">IF(OR(K758={"NS","NA"},AN$739={"NS","NA"}),0,IF(K758&lt;=AN$739,0,1))</f>
        <v>0</v>
      </c>
      <c r="AX758" cm="1">
        <f t="array" ref="AX758">IF(OR(M758={"NS","NA"},AO$739={"NS","NA"}),0,IF(M758&lt;=AO$739,0,1))</f>
        <v>0</v>
      </c>
      <c r="AY758" cm="1">
        <f t="array" ref="AY758">IF(OR(O758={"NS","NA"},AP$739={"NS","NA"}),0,IF(O758&lt;=AP$739,0,1))</f>
        <v>0</v>
      </c>
      <c r="AZ758" cm="1">
        <f t="array" ref="AZ758">IF(OR(Q758={"NS","NA"},AQ$739={"NS","NA"}),0,IF(Q758&lt;=AQ$739,0,1))</f>
        <v>0</v>
      </c>
      <c r="BA758" cm="1">
        <f t="array" ref="BA758">IF(OR(S758={"NS","NA"},AR$739={"NS","NA"}),0,IF(S758&lt;=AR$739,0,1))</f>
        <v>0</v>
      </c>
      <c r="BB758" cm="1">
        <f t="array" ref="BB758">IF(OR(U758={"NS","NA"},AS$739={"NS","NA"}),0,IF(U758&lt;=AS$739,0,1))</f>
        <v>0</v>
      </c>
      <c r="BC758" cm="1">
        <f t="array" ref="BC758">IF(OR(W758={"NS","NA"},AT$739={"NS","NA"}),0,IF(W758&lt;=AT$739,0,1))</f>
        <v>0</v>
      </c>
      <c r="BD758" cm="1">
        <f t="array" ref="BD758">IF(OR(Y758={"NS","NA"},AU$739={"NS","NA"}),0,IF(Y758&lt;=AU$739,0,1))</f>
        <v>0</v>
      </c>
      <c r="BE758" cm="1">
        <f t="array" ref="BE758">IF(OR(AA758={"NS","NA"},AV$739={"NS","NA"}),0,IF(AA758&lt;=AV$739,0,1))</f>
        <v>0</v>
      </c>
      <c r="BF758" cm="1">
        <f t="array" ref="BF758">IF(OR(AC758={"NS","NA"},AW$739={"NS","NA"}),0,IF(AC758&lt;=AW$739,0,1))</f>
        <v>0</v>
      </c>
    </row>
    <row r="759" spans="1:58" ht="48" customHeight="1">
      <c r="A759" s="210"/>
      <c r="B759" s="38"/>
      <c r="C759" s="143" t="s">
        <v>2534</v>
      </c>
      <c r="D759" s="813" t="s">
        <v>6299</v>
      </c>
      <c r="E759" s="814"/>
      <c r="F759" s="814"/>
      <c r="G759" s="814"/>
      <c r="H759" s="814"/>
      <c r="I759" s="814"/>
      <c r="J759" s="815"/>
      <c r="K759" s="749"/>
      <c r="L759" s="749"/>
      <c r="M759" s="749"/>
      <c r="N759" s="749"/>
      <c r="O759" s="749"/>
      <c r="P759" s="749"/>
      <c r="Q759" s="749"/>
      <c r="R759" s="749"/>
      <c r="S759" s="749"/>
      <c r="T759" s="749"/>
      <c r="U759" s="749"/>
      <c r="V759" s="749"/>
      <c r="W759" s="749"/>
      <c r="X759" s="749"/>
      <c r="Y759" s="749"/>
      <c r="Z759" s="749"/>
      <c r="AA759" s="749"/>
      <c r="AB759" s="749"/>
      <c r="AC759" s="749"/>
      <c r="AD759" s="749"/>
      <c r="AF759"/>
      <c r="AI759">
        <f t="shared" si="354"/>
        <v>0</v>
      </c>
      <c r="AJ759">
        <f t="shared" si="355"/>
        <v>0</v>
      </c>
      <c r="AK759">
        <f t="shared" si="356"/>
        <v>0</v>
      </c>
      <c r="AL759"/>
      <c r="AW759" cm="1">
        <f t="array" ref="AW759">IF(OR(K759={"NS","NA"},AN$739={"NS","NA"}),0,IF(K759&lt;=AN$739,0,1))</f>
        <v>0</v>
      </c>
      <c r="AX759" cm="1">
        <f t="array" ref="AX759">IF(OR(M759={"NS","NA"},AO$739={"NS","NA"}),0,IF(M759&lt;=AO$739,0,1))</f>
        <v>0</v>
      </c>
      <c r="AY759" cm="1">
        <f t="array" ref="AY759">IF(OR(O759={"NS","NA"},AP$739={"NS","NA"}),0,IF(O759&lt;=AP$739,0,1))</f>
        <v>0</v>
      </c>
      <c r="AZ759" cm="1">
        <f t="array" ref="AZ759">IF(OR(Q759={"NS","NA"},AQ$739={"NS","NA"}),0,IF(Q759&lt;=AQ$739,0,1))</f>
        <v>0</v>
      </c>
      <c r="BA759" cm="1">
        <f t="array" ref="BA759">IF(OR(S759={"NS","NA"},AR$739={"NS","NA"}),0,IF(S759&lt;=AR$739,0,1))</f>
        <v>0</v>
      </c>
      <c r="BB759" cm="1">
        <f t="array" ref="BB759">IF(OR(U759={"NS","NA"},AS$739={"NS","NA"}),0,IF(U759&lt;=AS$739,0,1))</f>
        <v>0</v>
      </c>
      <c r="BC759" cm="1">
        <f t="array" ref="BC759">IF(OR(W759={"NS","NA"},AT$739={"NS","NA"}),0,IF(W759&lt;=AT$739,0,1))</f>
        <v>0</v>
      </c>
      <c r="BD759" cm="1">
        <f t="array" ref="BD759">IF(OR(Y759={"NS","NA"},AU$739={"NS","NA"}),0,IF(Y759&lt;=AU$739,0,1))</f>
        <v>0</v>
      </c>
      <c r="BE759" cm="1">
        <f t="array" ref="BE759">IF(OR(AA759={"NS","NA"},AV$739={"NS","NA"}),0,IF(AA759&lt;=AV$739,0,1))</f>
        <v>0</v>
      </c>
      <c r="BF759" cm="1">
        <f t="array" ref="BF759">IF(OR(AC759={"NS","NA"},AW$739={"NS","NA"}),0,IF(AC759&lt;=AW$739,0,1))</f>
        <v>0</v>
      </c>
    </row>
    <row r="760" spans="1:58" ht="15" customHeight="1">
      <c r="A760" s="210"/>
      <c r="B760" s="38"/>
      <c r="C760" s="143" t="s">
        <v>2535</v>
      </c>
      <c r="D760" s="961" t="s">
        <v>3758</v>
      </c>
      <c r="E760" s="814"/>
      <c r="F760" s="814"/>
      <c r="G760" s="814"/>
      <c r="H760" s="814"/>
      <c r="I760" s="814"/>
      <c r="J760" s="815"/>
      <c r="K760" s="816"/>
      <c r="L760" s="817"/>
      <c r="M760" s="749"/>
      <c r="N760" s="749"/>
      <c r="O760" s="749"/>
      <c r="P760" s="749"/>
      <c r="Q760" s="749"/>
      <c r="R760" s="749"/>
      <c r="S760" s="749"/>
      <c r="T760" s="749"/>
      <c r="U760" s="749"/>
      <c r="V760" s="749"/>
      <c r="W760" s="749"/>
      <c r="X760" s="749"/>
      <c r="Y760" s="749"/>
      <c r="Z760" s="749"/>
      <c r="AA760" s="749"/>
      <c r="AB760" s="749"/>
      <c r="AC760" s="749"/>
      <c r="AD760" s="749"/>
      <c r="AF760"/>
      <c r="AI760">
        <f t="shared" si="354"/>
        <v>0</v>
      </c>
      <c r="AJ760">
        <f t="shared" si="355"/>
        <v>0</v>
      </c>
      <c r="AK760">
        <f t="shared" si="356"/>
        <v>0</v>
      </c>
      <c r="AL760"/>
      <c r="AW760" cm="1">
        <f t="array" ref="AW760">IF(OR(K760={"NS","NA"},AN$739={"NS","NA"}),0,IF(K760&lt;=AN$739,0,1))</f>
        <v>0</v>
      </c>
      <c r="AX760" cm="1">
        <f t="array" ref="AX760">IF(OR(M760={"NS","NA"},AO$739={"NS","NA"}),0,IF(M760&lt;=AO$739,0,1))</f>
        <v>0</v>
      </c>
      <c r="AY760" cm="1">
        <f t="array" ref="AY760">IF(OR(O760={"NS","NA"},AP$739={"NS","NA"}),0,IF(O760&lt;=AP$739,0,1))</f>
        <v>0</v>
      </c>
      <c r="AZ760" cm="1">
        <f t="array" ref="AZ760">IF(OR(Q760={"NS","NA"},AQ$739={"NS","NA"}),0,IF(Q760&lt;=AQ$739,0,1))</f>
        <v>0</v>
      </c>
      <c r="BA760" cm="1">
        <f t="array" ref="BA760">IF(OR(S760={"NS","NA"},AR$739={"NS","NA"}),0,IF(S760&lt;=AR$739,0,1))</f>
        <v>0</v>
      </c>
      <c r="BB760" cm="1">
        <f t="array" ref="BB760">IF(OR(U760={"NS","NA"},AS$739={"NS","NA"}),0,IF(U760&lt;=AS$739,0,1))</f>
        <v>0</v>
      </c>
      <c r="BC760" cm="1">
        <f t="array" ref="BC760">IF(OR(W760={"NS","NA"},AT$739={"NS","NA"}),0,IF(W760&lt;=AT$739,0,1))</f>
        <v>0</v>
      </c>
      <c r="BD760" cm="1">
        <f t="array" ref="BD760">IF(OR(Y760={"NS","NA"},AU$739={"NS","NA"}),0,IF(Y760&lt;=AU$739,0,1))</f>
        <v>0</v>
      </c>
      <c r="BE760" cm="1">
        <f t="array" ref="BE760">IF(OR(AA760={"NS","NA"},AV$739={"NS","NA"}),0,IF(AA760&lt;=AV$739,0,1))</f>
        <v>0</v>
      </c>
      <c r="BF760" cm="1">
        <f t="array" ref="BF760">IF(OR(AC760={"NS","NA"},AW$739={"NS","NA"}),0,IF(AC760&lt;=AW$739,0,1))</f>
        <v>0</v>
      </c>
    </row>
    <row r="761" spans="1:58" ht="15" customHeight="1">
      <c r="A761" s="50"/>
      <c r="B761" s="38"/>
      <c r="C761" s="143" t="s">
        <v>2536</v>
      </c>
      <c r="D761" s="961" t="s">
        <v>201</v>
      </c>
      <c r="E761" s="814"/>
      <c r="F761" s="814"/>
      <c r="G761" s="814"/>
      <c r="H761" s="814"/>
      <c r="I761" s="814"/>
      <c r="J761" s="814"/>
      <c r="K761" s="749"/>
      <c r="L761" s="749"/>
      <c r="M761" s="749"/>
      <c r="N761" s="749"/>
      <c r="O761" s="749"/>
      <c r="P761" s="749"/>
      <c r="Q761" s="749"/>
      <c r="R761" s="749"/>
      <c r="S761" s="749"/>
      <c r="T761" s="749"/>
      <c r="U761" s="749"/>
      <c r="V761" s="749"/>
      <c r="W761" s="749"/>
      <c r="X761" s="749"/>
      <c r="Y761" s="749"/>
      <c r="Z761" s="749"/>
      <c r="AA761" s="749"/>
      <c r="AB761" s="749"/>
      <c r="AC761" s="749"/>
      <c r="AD761" s="749"/>
      <c r="AF761"/>
      <c r="AI761">
        <f t="shared" si="354"/>
        <v>0</v>
      </c>
      <c r="AJ761">
        <f t="shared" si="355"/>
        <v>0</v>
      </c>
      <c r="AK761">
        <f>IF(COUNTIF(K761:AD761,"NA")=10,0,IF(COUNTA(K761:AD761)=0,0,IF(OR(AND(K761=0,AI761&gt;0),AND(K761="ns",AJ761&gt;0),AND(K761="ns",AI761=0,AJ761=0)),1,IF(OR(AND(AI761&gt;=2,K761&gt;AJ761),AND(K761="ns",AJ761=0,AI761&gt;0),K761=AJ761),0,1))))</f>
        <v>0</v>
      </c>
      <c r="AL761"/>
      <c r="AW761" cm="1">
        <f t="array" ref="AW761">IF(OR(K761={"NS","NA"},AN$739={"NS","NA"}),0,IF(K761&lt;=AN$739,0,1))</f>
        <v>0</v>
      </c>
      <c r="AX761" cm="1">
        <f t="array" ref="AX761">IF(OR(M761={"NS","NA"},AO$739={"NS","NA"}),0,IF(M761&lt;=AO$739,0,1))</f>
        <v>0</v>
      </c>
      <c r="AY761" cm="1">
        <f t="array" ref="AY761">IF(OR(O761={"NS","NA"},AP$739={"NS","NA"}),0,IF(O761&lt;=AP$739,0,1))</f>
        <v>0</v>
      </c>
      <c r="AZ761" cm="1">
        <f t="array" ref="AZ761">IF(OR(Q761={"NS","NA"},AQ$739={"NS","NA"}),0,IF(Q761&lt;=AQ$739,0,1))</f>
        <v>0</v>
      </c>
      <c r="BA761" cm="1">
        <f t="array" ref="BA761">IF(OR(S761={"NS","NA"},AR$739={"NS","NA"}),0,IF(S761&lt;=AR$739,0,1))</f>
        <v>0</v>
      </c>
      <c r="BB761" cm="1">
        <f t="array" ref="BB761">IF(OR(U761={"NS","NA"},AS$739={"NS","NA"}),0,IF(U761&lt;=AS$739,0,1))</f>
        <v>0</v>
      </c>
      <c r="BC761" cm="1">
        <f t="array" ref="BC761">IF(OR(W761={"NS","NA"},AT$739={"NS","NA"}),0,IF(W761&lt;=AT$739,0,1))</f>
        <v>0</v>
      </c>
      <c r="BD761" cm="1">
        <f t="array" ref="BD761">IF(OR(Y761={"NS","NA"},AU$739={"NS","NA"}),0,IF(Y761&lt;=AU$739,0,1))</f>
        <v>0</v>
      </c>
      <c r="BE761" cm="1">
        <f t="array" ref="BE761">IF(OR(AA761={"NS","NA"},AV$739={"NS","NA"}),0,IF(AA761&lt;=AV$739,0,1))</f>
        <v>0</v>
      </c>
      <c r="BF761" cm="1">
        <f t="array" ref="BF761">IF(OR(AC761={"NS","NA"},AW$739={"NS","NA"}),0,IF(AC761&lt;=AW$739,0,1))</f>
        <v>0</v>
      </c>
    </row>
    <row r="762" spans="1:58">
      <c r="A762" s="210"/>
      <c r="B762" s="38"/>
      <c r="C762" s="38"/>
      <c r="D762" s="38"/>
      <c r="E762" s="38"/>
      <c r="F762" s="38"/>
      <c r="G762" s="38"/>
      <c r="H762" s="38"/>
      <c r="I762" s="38"/>
      <c r="J762" s="117" t="s">
        <v>2649</v>
      </c>
      <c r="K762" s="736">
        <f>IF(AND(SUM(K741:K761)=0,COUNTIF(K741:K761,"NS")&gt;0),"NS",IF(AND(SUM(K741:K761)=0,COUNTIF(K741:K761,0)&gt;0),0,IF(AND(SUM(K741:K761)=0,COUNTIF(K741:K761,"NA")&gt;0),"NA",SUM(K741:K761))))</f>
        <v>0</v>
      </c>
      <c r="L762" s="1086"/>
      <c r="M762" s="736">
        <f t="shared" ref="M762" si="357">IF(AND(SUM(M741:M761)=0,COUNTIF(M741:M761,"NS")&gt;0),"NS",IF(AND(SUM(M741:M761)=0,COUNTIF(M741:M761,0)&gt;0),0,IF(AND(SUM(M741:M761)=0,COUNTIF(M741:M761,"NA")&gt;0),"NA",SUM(M741:M761))))</f>
        <v>0</v>
      </c>
      <c r="N762" s="1086"/>
      <c r="O762" s="736">
        <f t="shared" ref="O762" si="358">IF(AND(SUM(O741:O761)=0,COUNTIF(O741:O761,"NS")&gt;0),"NS",IF(AND(SUM(O741:O761)=0,COUNTIF(O741:O761,0)&gt;0),0,IF(AND(SUM(O741:O761)=0,COUNTIF(O741:O761,"NA")&gt;0),"NA",SUM(O741:O761))))</f>
        <v>0</v>
      </c>
      <c r="P762" s="1086"/>
      <c r="Q762" s="736">
        <f t="shared" ref="Q762" si="359">IF(AND(SUM(Q741:Q761)=0,COUNTIF(Q741:Q761,"NS")&gt;0),"NS",IF(AND(SUM(Q741:Q761)=0,COUNTIF(Q741:Q761,0)&gt;0),0,IF(AND(SUM(Q741:Q761)=0,COUNTIF(Q741:Q761,"NA")&gt;0),"NA",SUM(Q741:Q761))))</f>
        <v>0</v>
      </c>
      <c r="R762" s="1086"/>
      <c r="S762" s="736">
        <f>IF(AND(SUM(S741:S761)=0,COUNTIF(S741:S761,"NS")&gt;0),"NS",IF(AND(SUM(S741:S761)=0,COUNTIF(S741:S761,0)&gt;0),0,IF(AND(SUM(S741:S761)=0,COUNTIF(S741:S761,"NA")&gt;0),"NA",SUM(S741:S761))))</f>
        <v>0</v>
      </c>
      <c r="T762" s="1086"/>
      <c r="U762" s="736">
        <f t="shared" ref="U762" si="360">IF(AND(SUM(U741:U761)=0,COUNTIF(U741:U761,"NS")&gt;0),"NS",IF(AND(SUM(U741:U761)=0,COUNTIF(U741:U761,0)&gt;0),0,IF(AND(SUM(U741:U761)=0,COUNTIF(U741:U761,"NA")&gt;0),"NA",SUM(U741:U761))))</f>
        <v>0</v>
      </c>
      <c r="V762" s="1086"/>
      <c r="W762" s="736">
        <f t="shared" ref="W762" si="361">IF(AND(SUM(W741:W761)=0,COUNTIF(W741:W761,"NS")&gt;0),"NS",IF(AND(SUM(W741:W761)=0,COUNTIF(W741:W761,0)&gt;0),0,IF(AND(SUM(W741:W761)=0,COUNTIF(W741:W761,"NA")&gt;0),"NA",SUM(W741:W761))))</f>
        <v>0</v>
      </c>
      <c r="X762" s="1086"/>
      <c r="Y762" s="736">
        <f t="shared" ref="Y762" si="362">IF(AND(SUM(Y741:Y761)=0,COUNTIF(Y741:Y761,"NS")&gt;0),"NS",IF(AND(SUM(Y741:Y761)=0,COUNTIF(Y741:Y761,0)&gt;0),0,IF(AND(SUM(Y741:Y761)=0,COUNTIF(Y741:Y761,"NA")&gt;0),"NA",SUM(Y741:Y761))))</f>
        <v>0</v>
      </c>
      <c r="Z762" s="1086"/>
      <c r="AA762" s="736">
        <f t="shared" ref="AA762" si="363">IF(AND(SUM(AA741:AA761)=0,COUNTIF(AA741:AA761,"NS")&gt;0),"NS",IF(AND(SUM(AA741:AA761)=0,COUNTIF(AA741:AA761,0)&gt;0),0,IF(AND(SUM(AA741:AA761)=0,COUNTIF(AA741:AA761,"NA")&gt;0),"NA",SUM(AA741:AA761))))</f>
        <v>0</v>
      </c>
      <c r="AB762" s="1086"/>
      <c r="AC762" s="736">
        <f t="shared" ref="AC762" si="364">IF(AND(SUM(AC741:AC761)=0,COUNTIF(AC741:AC761,"NS")&gt;0),"NS",IF(AND(SUM(AC741:AC761)=0,COUNTIF(AC741:AC761,0)&gt;0),0,IF(AND(SUM(AC741:AC761)=0,COUNTIF(AC741:AC761,"NA")&gt;0),"NA",SUM(AC741:AC761))))</f>
        <v>0</v>
      </c>
      <c r="AD762" s="1086"/>
      <c r="AF762"/>
      <c r="AI762">
        <f>SUM(AI741:AI761)</f>
        <v>0</v>
      </c>
      <c r="AK762" s="506">
        <f>SUM(AK741:AK761)</f>
        <v>0</v>
      </c>
      <c r="BF762" s="680">
        <f>SUM(AW741:BF761)</f>
        <v>0</v>
      </c>
    </row>
    <row r="763" spans="1:58">
      <c r="A763" s="215"/>
      <c r="B763" s="90"/>
      <c r="C763" s="36"/>
      <c r="D763" s="36"/>
      <c r="E763" s="36"/>
      <c r="F763" s="36"/>
      <c r="G763" s="36"/>
      <c r="H763" s="36"/>
      <c r="I763" s="36"/>
      <c r="J763" s="36"/>
      <c r="K763" s="36"/>
      <c r="L763" s="36"/>
      <c r="M763" s="218"/>
      <c r="N763" s="120"/>
      <c r="O763" s="120"/>
      <c r="P763" s="120"/>
      <c r="Q763" s="120"/>
      <c r="R763" s="120"/>
      <c r="S763" s="120"/>
      <c r="T763" s="120"/>
      <c r="U763" s="120"/>
      <c r="V763" s="120"/>
      <c r="W763" s="120"/>
      <c r="X763" s="120"/>
      <c r="Y763" s="120"/>
      <c r="Z763" s="120"/>
      <c r="AA763" s="120"/>
      <c r="AB763" s="219"/>
      <c r="AC763" s="219"/>
      <c r="AD763" s="219"/>
    </row>
    <row r="764" spans="1:58" ht="24" customHeight="1">
      <c r="A764" s="50"/>
      <c r="B764" s="38"/>
      <c r="C764" s="754" t="s">
        <v>2611</v>
      </c>
      <c r="D764" s="754"/>
      <c r="E764" s="754"/>
      <c r="F764" s="754"/>
      <c r="G764" s="754"/>
      <c r="H764" s="754"/>
      <c r="I764" s="754"/>
      <c r="J764" s="754"/>
      <c r="K764" s="754"/>
      <c r="L764" s="754"/>
      <c r="M764" s="754"/>
      <c r="N764" s="754"/>
      <c r="O764" s="754"/>
      <c r="P764" s="754"/>
      <c r="Q764" s="754"/>
      <c r="R764" s="754"/>
      <c r="S764" s="754"/>
      <c r="T764" s="754"/>
      <c r="U764" s="754"/>
      <c r="V764" s="754"/>
      <c r="W764" s="754"/>
      <c r="X764" s="754"/>
      <c r="Y764" s="754"/>
      <c r="Z764" s="754"/>
      <c r="AA764" s="754"/>
      <c r="AB764" s="754"/>
      <c r="AC764" s="754"/>
      <c r="AD764" s="754"/>
    </row>
    <row r="765" spans="1:58" ht="60" customHeight="1">
      <c r="A765" s="50"/>
      <c r="B765" s="38"/>
      <c r="C765" s="851"/>
      <c r="D765" s="851"/>
      <c r="E765" s="851"/>
      <c r="F765" s="851"/>
      <c r="G765" s="851"/>
      <c r="H765" s="851"/>
      <c r="I765" s="851"/>
      <c r="J765" s="851"/>
      <c r="K765" s="851"/>
      <c r="L765" s="851"/>
      <c r="M765" s="851"/>
      <c r="N765" s="851"/>
      <c r="O765" s="851"/>
      <c r="P765" s="851"/>
      <c r="Q765" s="851"/>
      <c r="R765" s="851"/>
      <c r="S765" s="851"/>
      <c r="T765" s="851"/>
      <c r="U765" s="851"/>
      <c r="V765" s="851"/>
      <c r="W765" s="851"/>
      <c r="X765" s="851"/>
      <c r="Y765" s="851"/>
      <c r="Z765" s="851"/>
      <c r="AA765" s="851"/>
      <c r="AB765" s="851"/>
      <c r="AC765" s="851"/>
      <c r="AD765" s="851"/>
    </row>
    <row r="766" spans="1:58">
      <c r="A766" s="217"/>
      <c r="B766" s="794" t="str">
        <f>IF(AG741=0,"","Favor de ingresar toda la información requerida en la pregunta")</f>
        <v/>
      </c>
      <c r="C766" s="794"/>
      <c r="D766" s="794"/>
      <c r="E766" s="794"/>
      <c r="F766" s="794"/>
      <c r="G766" s="794"/>
      <c r="H766" s="794"/>
      <c r="I766" s="794"/>
      <c r="J766" s="794"/>
      <c r="K766" s="794"/>
      <c r="L766" s="794"/>
      <c r="M766" s="794"/>
      <c r="N766" s="794"/>
      <c r="O766" s="794"/>
      <c r="P766" s="794"/>
      <c r="Q766" s="794"/>
      <c r="R766" s="794"/>
      <c r="S766" s="794"/>
      <c r="T766" s="794"/>
      <c r="U766" s="794"/>
      <c r="V766" s="794"/>
      <c r="W766" s="794"/>
      <c r="X766" s="794"/>
      <c r="Y766" s="794"/>
      <c r="Z766" s="794"/>
      <c r="AA766" s="794"/>
      <c r="AB766" s="794"/>
      <c r="AC766" s="794"/>
      <c r="AD766" s="794"/>
      <c r="AE766" s="794"/>
    </row>
    <row r="767" spans="1:58">
      <c r="A767" s="217"/>
      <c r="B767" s="1087" t="str">
        <f>IF(COUNTIF(K741:AD761,"NS")&lt;&gt;0,"Alerta: debido a que cuenta con registros NS, debe proporcionar una justificación en el area de comentarios al final de la pregunta","")</f>
        <v/>
      </c>
      <c r="C767" s="1087"/>
      <c r="D767" s="1087"/>
      <c r="E767" s="1087"/>
      <c r="F767" s="1087"/>
      <c r="G767" s="1087"/>
      <c r="H767" s="1087"/>
      <c r="I767" s="1087"/>
      <c r="J767" s="1087"/>
      <c r="K767" s="1087"/>
      <c r="L767" s="1087"/>
      <c r="M767" s="1087"/>
      <c r="N767" s="1087"/>
      <c r="O767" s="1087"/>
      <c r="P767" s="1087"/>
      <c r="Q767" s="1087"/>
      <c r="R767" s="1087"/>
      <c r="S767" s="1087"/>
      <c r="T767" s="1087"/>
      <c r="U767" s="1087"/>
      <c r="V767" s="1087"/>
      <c r="W767" s="1087"/>
      <c r="X767" s="1087"/>
      <c r="Y767" s="1087"/>
      <c r="Z767" s="1087"/>
      <c r="AA767" s="1087"/>
      <c r="AB767" s="1087"/>
      <c r="AC767" s="1087"/>
      <c r="AD767" s="1087"/>
      <c r="AE767" s="1087"/>
    </row>
    <row r="768" spans="1:58">
      <c r="A768" s="217"/>
      <c r="B768" s="1003" t="str">
        <f>IF(AH741&gt;0,"Revise la información capturada, ya que tiene datos ingresados en celdas que están sombreadas","")</f>
        <v/>
      </c>
      <c r="C768" s="1003"/>
      <c r="D768" s="1003"/>
      <c r="E768" s="1003"/>
      <c r="F768" s="1003"/>
      <c r="G768" s="1003"/>
      <c r="H768" s="1003"/>
      <c r="I768" s="1003"/>
      <c r="J768" s="1003"/>
      <c r="K768" s="1003"/>
      <c r="L768" s="1003"/>
      <c r="M768" s="1003"/>
      <c r="N768" s="1003"/>
      <c r="O768" s="1003"/>
      <c r="P768" s="1003"/>
      <c r="Q768" s="1003"/>
      <c r="R768" s="1003"/>
      <c r="S768" s="1003"/>
      <c r="T768" s="1003"/>
      <c r="U768" s="1003"/>
      <c r="V768" s="1003"/>
      <c r="W768" s="1003"/>
      <c r="X768" s="1003"/>
      <c r="Y768" s="1003"/>
      <c r="Z768" s="1003"/>
      <c r="AA768" s="1003"/>
      <c r="AB768" s="1003"/>
      <c r="AC768" s="1003"/>
      <c r="AD768" s="1003"/>
      <c r="AE768" s="1003"/>
    </row>
    <row r="769" spans="1:61">
      <c r="A769" s="217"/>
      <c r="B769" s="1003" t="str">
        <f>IF(AK762&gt;0,"Favor de revisar la suma y consistencia de totales y/o subtotales por filas (numéricos y NS)","")</f>
        <v/>
      </c>
      <c r="C769" s="1003"/>
      <c r="D769" s="1003"/>
      <c r="E769" s="1003"/>
      <c r="F769" s="1003"/>
      <c r="G769" s="1003"/>
      <c r="H769" s="1003"/>
      <c r="I769" s="1003"/>
      <c r="J769" s="1003"/>
      <c r="K769" s="1003"/>
      <c r="L769" s="1003"/>
      <c r="M769" s="1003"/>
      <c r="N769" s="1003"/>
      <c r="O769" s="1003"/>
      <c r="P769" s="1003"/>
      <c r="Q769" s="1003"/>
      <c r="R769" s="1003"/>
      <c r="S769" s="1003"/>
      <c r="T769" s="1003"/>
      <c r="U769" s="1003"/>
      <c r="V769" s="1003"/>
      <c r="W769" s="1003"/>
      <c r="X769" s="1003"/>
      <c r="Y769" s="1003"/>
      <c r="Z769" s="1003"/>
      <c r="AA769" s="1003"/>
      <c r="AB769" s="1003"/>
      <c r="AC769" s="1003"/>
      <c r="AD769" s="1003"/>
      <c r="AE769" s="1003"/>
    </row>
    <row r="770" spans="1:61">
      <c r="A770" s="217"/>
      <c r="B770" s="794" t="str">
        <f>IF(AV742&gt;0,"Favor de revisar la instrucción 2, debido a que no se cumplen con los criterios mencionados","")</f>
        <v/>
      </c>
      <c r="C770" s="794"/>
      <c r="D770" s="794"/>
      <c r="E770" s="794"/>
      <c r="F770" s="794"/>
      <c r="G770" s="794"/>
      <c r="H770" s="794"/>
      <c r="I770" s="794"/>
      <c r="J770" s="794"/>
      <c r="K770" s="794"/>
      <c r="L770" s="794"/>
      <c r="M770" s="794"/>
      <c r="N770" s="794"/>
      <c r="O770" s="794"/>
      <c r="P770" s="794"/>
      <c r="Q770" s="794"/>
      <c r="R770" s="794"/>
      <c r="S770" s="794"/>
      <c r="T770" s="794"/>
      <c r="U770" s="794"/>
      <c r="V770" s="794"/>
      <c r="W770" s="794"/>
      <c r="X770" s="794"/>
      <c r="Y770" s="794"/>
      <c r="Z770" s="794"/>
      <c r="AA770" s="794"/>
      <c r="AB770" s="794"/>
      <c r="AC770" s="794"/>
      <c r="AD770" s="794"/>
      <c r="AE770" s="794"/>
      <c r="AF770" s="681"/>
      <c r="AG770" s="681"/>
      <c r="AH770" s="681"/>
      <c r="AI770" s="681"/>
      <c r="AJ770" s="681"/>
      <c r="AK770" s="681"/>
      <c r="AL770" s="681"/>
      <c r="AM770" s="681"/>
      <c r="AN770" s="681"/>
      <c r="AO770" s="681"/>
      <c r="AP770" s="681"/>
      <c r="AQ770" s="681"/>
      <c r="AR770" s="681"/>
      <c r="AS770" s="681"/>
      <c r="AT770" s="681"/>
      <c r="AU770" s="681"/>
      <c r="AV770" s="681"/>
      <c r="AW770" s="681"/>
      <c r="AX770" s="681"/>
      <c r="AY770" s="681"/>
      <c r="AZ770" s="681"/>
      <c r="BA770" s="681"/>
      <c r="BB770" s="681"/>
      <c r="BC770" s="681"/>
      <c r="BD770" s="681"/>
      <c r="BE770" s="681"/>
      <c r="BF770" s="681"/>
      <c r="BG770" s="681"/>
      <c r="BH770" s="681"/>
      <c r="BI770" s="681"/>
    </row>
    <row r="771" spans="1:61" ht="15.75" thickBot="1">
      <c r="A771" s="217"/>
      <c r="B771" s="795" t="str">
        <f>IF(BF762=0,IF(AND(SUM(K762)=SUM(M693),SUM(K741)=SUM(P693),SUM(K742)=SUM(S693),SUM(K743)=SUM(V693),SUM(K744)=SUM(Y693),SUM(K745)=SUM(AB693),SUM(K746)=SUM(G707),SUM(K747)=SUM(J707),SUM(K748)=SUM(M707),SUM(K749)=SUM(P707),SUM(K750)=SUM(S707),SUM(K751)=SUM(V707),SUM(K752)=SUM(Y707),SUM(K753)=SUM(AB707),SUM(K754)=SUM(G721),SUM(K755)=SUM(J721),SUM(K756)=SUM(M721),SUM(K757)=SUM(P721),SUM(K758)=SUM(S721),SUM(K759)=SUM(V721),SUM(K760)=SUM(Y721),SUM(K761)=SUM(AB721)),"","Alerta: debe de proporcionar una justificación de acuerdo a lo establecido en la instrucción 4"),"Alerta: debe de proporcionar una justificación de acuerdo a lo establecido en la instrucción 3")</f>
        <v/>
      </c>
      <c r="C771" s="795"/>
      <c r="D771" s="795"/>
      <c r="E771" s="795"/>
      <c r="F771" s="795"/>
      <c r="G771" s="795"/>
      <c r="H771" s="795"/>
      <c r="I771" s="795"/>
      <c r="J771" s="795"/>
      <c r="K771" s="795"/>
      <c r="L771" s="795"/>
      <c r="M771" s="795"/>
      <c r="N771" s="795"/>
      <c r="O771" s="795"/>
      <c r="P771" s="795"/>
      <c r="Q771" s="795"/>
      <c r="R771" s="795"/>
      <c r="S771" s="795"/>
      <c r="T771" s="795"/>
      <c r="U771" s="795"/>
      <c r="V771" s="795"/>
      <c r="W771" s="795"/>
      <c r="X771" s="795"/>
      <c r="Y771" s="795"/>
      <c r="Z771" s="795"/>
      <c r="AA771" s="795"/>
      <c r="AB771" s="795"/>
      <c r="AC771" s="795"/>
      <c r="AD771" s="795"/>
      <c r="AE771" s="795"/>
    </row>
    <row r="772" spans="1:61" customFormat="1" ht="15" customHeight="1" thickBot="1">
      <c r="A772" s="19" t="s">
        <v>2563</v>
      </c>
      <c r="B772" s="1137" t="s">
        <v>6312</v>
      </c>
      <c r="C772" s="1138"/>
      <c r="D772" s="1138"/>
      <c r="E772" s="1138"/>
      <c r="F772" s="1138"/>
      <c r="G772" s="1138"/>
      <c r="H772" s="1138"/>
      <c r="I772" s="1138"/>
      <c r="J772" s="1138"/>
      <c r="K772" s="1138"/>
      <c r="L772" s="1138"/>
      <c r="M772" s="1138"/>
      <c r="N772" s="1138"/>
      <c r="O772" s="1138"/>
      <c r="P772" s="1138"/>
      <c r="Q772" s="1138"/>
      <c r="R772" s="1138"/>
      <c r="S772" s="1138"/>
      <c r="T772" s="1138"/>
      <c r="U772" s="1138"/>
      <c r="V772" s="1138"/>
      <c r="W772" s="1138"/>
      <c r="X772" s="1138"/>
      <c r="Y772" s="1138"/>
      <c r="Z772" s="1138"/>
      <c r="AA772" s="1138"/>
      <c r="AB772" s="1138"/>
      <c r="AC772" s="1138"/>
      <c r="AD772" s="1139"/>
      <c r="AE772" s="3"/>
    </row>
    <row r="773" spans="1:61" ht="15" customHeight="1">
      <c r="A773" s="50"/>
      <c r="B773" s="1014" t="s">
        <v>3675</v>
      </c>
      <c r="C773" s="835"/>
      <c r="D773" s="835"/>
      <c r="E773" s="835"/>
      <c r="F773" s="835"/>
      <c r="G773" s="835"/>
      <c r="H773" s="835"/>
      <c r="I773" s="835"/>
      <c r="J773" s="835"/>
      <c r="K773" s="835"/>
      <c r="L773" s="835"/>
      <c r="M773" s="835"/>
      <c r="N773" s="835"/>
      <c r="O773" s="835"/>
      <c r="P773" s="835"/>
      <c r="Q773" s="835"/>
      <c r="R773" s="835"/>
      <c r="S773" s="835"/>
      <c r="T773" s="835"/>
      <c r="U773" s="835"/>
      <c r="V773" s="835"/>
      <c r="W773" s="835"/>
      <c r="X773" s="835"/>
      <c r="Y773" s="835"/>
      <c r="Z773" s="835"/>
      <c r="AA773" s="835"/>
      <c r="AB773" s="835"/>
      <c r="AC773" s="835"/>
      <c r="AD773" s="1015"/>
    </row>
    <row r="774" spans="1:61" ht="24" customHeight="1">
      <c r="A774" s="50"/>
      <c r="B774" s="133"/>
      <c r="C774" s="764" t="s">
        <v>6313</v>
      </c>
      <c r="D774" s="764"/>
      <c r="E774" s="764"/>
      <c r="F774" s="764"/>
      <c r="G774" s="764"/>
      <c r="H774" s="764"/>
      <c r="I774" s="764"/>
      <c r="J774" s="764"/>
      <c r="K774" s="764"/>
      <c r="L774" s="764"/>
      <c r="M774" s="764"/>
      <c r="N774" s="764"/>
      <c r="O774" s="764"/>
      <c r="P774" s="764"/>
      <c r="Q774" s="764"/>
      <c r="R774" s="764"/>
      <c r="S774" s="764"/>
      <c r="T774" s="764"/>
      <c r="U774" s="764"/>
      <c r="V774" s="764"/>
      <c r="W774" s="764"/>
      <c r="X774" s="764"/>
      <c r="Y774" s="764"/>
      <c r="Z774" s="764"/>
      <c r="AA774" s="764"/>
      <c r="AB774" s="764"/>
      <c r="AC774" s="764"/>
      <c r="AD774" s="765"/>
    </row>
    <row r="775" spans="1:61" ht="15" customHeight="1">
      <c r="A775" s="50"/>
      <c r="B775" s="57"/>
      <c r="C775" s="57"/>
      <c r="D775" s="57"/>
      <c r="E775" s="57"/>
      <c r="F775" s="57"/>
      <c r="G775" s="57"/>
      <c r="H775" s="57"/>
      <c r="I775" s="57"/>
      <c r="J775" s="57"/>
      <c r="K775" s="57"/>
      <c r="L775" s="57"/>
      <c r="M775" s="57"/>
      <c r="N775" s="57"/>
      <c r="O775" s="57"/>
      <c r="P775" s="57"/>
      <c r="Q775" s="57"/>
      <c r="R775" s="57"/>
      <c r="S775" s="57"/>
      <c r="T775" s="57"/>
      <c r="U775" s="57"/>
      <c r="V775" s="57"/>
      <c r="W775" s="57"/>
      <c r="X775" s="57"/>
      <c r="Y775" s="57"/>
      <c r="Z775" s="57"/>
      <c r="AA775" s="57"/>
      <c r="AB775" s="57"/>
      <c r="AC775" s="57"/>
      <c r="AD775" s="57"/>
    </row>
    <row r="776" spans="1:61" ht="48" customHeight="1">
      <c r="A776" s="49" t="s">
        <v>6314</v>
      </c>
      <c r="B776" s="829" t="s">
        <v>6315</v>
      </c>
      <c r="C776" s="829"/>
      <c r="D776" s="829"/>
      <c r="E776" s="829"/>
      <c r="F776" s="829"/>
      <c r="G776" s="829"/>
      <c r="H776" s="829"/>
      <c r="I776" s="829"/>
      <c r="J776" s="829"/>
      <c r="K776" s="829"/>
      <c r="L776" s="829"/>
      <c r="M776" s="829"/>
      <c r="N776" s="829"/>
      <c r="O776" s="829"/>
      <c r="P776" s="829"/>
      <c r="Q776" s="829"/>
      <c r="R776" s="829"/>
      <c r="S776" s="829"/>
      <c r="T776" s="829"/>
      <c r="U776" s="829"/>
      <c r="V776" s="829"/>
      <c r="W776" s="829"/>
      <c r="X776" s="829"/>
      <c r="Y776" s="829"/>
      <c r="Z776" s="829"/>
      <c r="AA776" s="829"/>
      <c r="AB776" s="829"/>
      <c r="AC776" s="829"/>
      <c r="AD776" s="829"/>
    </row>
    <row r="777" spans="1:61" ht="36" customHeight="1">
      <c r="A777" s="49"/>
      <c r="B777" s="105"/>
      <c r="C777" s="830" t="s">
        <v>6316</v>
      </c>
      <c r="D777" s="830"/>
      <c r="E777" s="830"/>
      <c r="F777" s="830"/>
      <c r="G777" s="830"/>
      <c r="H777" s="830"/>
      <c r="I777" s="830"/>
      <c r="J777" s="830"/>
      <c r="K777" s="830"/>
      <c r="L777" s="830"/>
      <c r="M777" s="830"/>
      <c r="N777" s="830"/>
      <c r="O777" s="830"/>
      <c r="P777" s="830"/>
      <c r="Q777" s="830"/>
      <c r="R777" s="830"/>
      <c r="S777" s="830"/>
      <c r="T777" s="830"/>
      <c r="U777" s="830"/>
      <c r="V777" s="830"/>
      <c r="W777" s="830"/>
      <c r="X777" s="830"/>
      <c r="Y777" s="830"/>
      <c r="Z777" s="830"/>
      <c r="AA777" s="830"/>
      <c r="AB777" s="830"/>
      <c r="AC777" s="830"/>
      <c r="AD777" s="830"/>
    </row>
    <row r="778" spans="1:61" ht="36" customHeight="1">
      <c r="A778" s="50"/>
      <c r="B778" s="38"/>
      <c r="C778" s="754" t="s">
        <v>6317</v>
      </c>
      <c r="D778" s="754"/>
      <c r="E778" s="754"/>
      <c r="F778" s="754"/>
      <c r="G778" s="754"/>
      <c r="H778" s="754"/>
      <c r="I778" s="754"/>
      <c r="J778" s="754"/>
      <c r="K778" s="754"/>
      <c r="L778" s="754"/>
      <c r="M778" s="754"/>
      <c r="N778" s="754"/>
      <c r="O778" s="754"/>
      <c r="P778" s="754"/>
      <c r="Q778" s="754"/>
      <c r="R778" s="754"/>
      <c r="S778" s="754"/>
      <c r="T778" s="754"/>
      <c r="U778" s="754"/>
      <c r="V778" s="754"/>
      <c r="W778" s="754"/>
      <c r="X778" s="754"/>
      <c r="Y778" s="754"/>
      <c r="Z778" s="754"/>
      <c r="AA778" s="754"/>
      <c r="AB778" s="754"/>
      <c r="AC778" s="754"/>
      <c r="AD778" s="754"/>
    </row>
    <row r="779" spans="1:61">
      <c r="A779" s="217"/>
      <c r="B779" s="57"/>
      <c r="C779" s="57"/>
      <c r="D779" s="57"/>
      <c r="E779" s="57"/>
      <c r="F779" s="57"/>
      <c r="G779" s="57"/>
      <c r="H779" s="57"/>
      <c r="I779" s="57"/>
      <c r="J779" s="57"/>
      <c r="K779" s="57"/>
      <c r="L779" s="57"/>
      <c r="M779" s="57"/>
      <c r="N779" s="57"/>
      <c r="O779" s="57"/>
      <c r="P779" s="57"/>
      <c r="Q779" s="57"/>
      <c r="R779" s="57"/>
      <c r="S779" s="57"/>
      <c r="T779" s="57"/>
      <c r="U779" s="57"/>
      <c r="V779" s="57"/>
      <c r="W779" s="57"/>
      <c r="X779" s="57"/>
      <c r="Y779" s="57"/>
      <c r="Z779" s="57"/>
      <c r="AA779" s="57"/>
      <c r="AB779" s="57"/>
      <c r="AC779" s="57"/>
      <c r="AD779" s="57"/>
    </row>
    <row r="780" spans="1:61" ht="96" customHeight="1">
      <c r="A780" s="50"/>
      <c r="B780" s="38"/>
      <c r="C780" s="797" t="s">
        <v>2581</v>
      </c>
      <c r="D780" s="798"/>
      <c r="E780" s="798"/>
      <c r="F780" s="798"/>
      <c r="G780" s="798"/>
      <c r="H780" s="798"/>
      <c r="I780" s="797" t="s">
        <v>6318</v>
      </c>
      <c r="J780" s="798"/>
      <c r="K780" s="798"/>
      <c r="L780" s="798"/>
      <c r="M780" s="798"/>
      <c r="N780" s="799"/>
      <c r="O780" s="797" t="s">
        <v>6319</v>
      </c>
      <c r="P780" s="798"/>
      <c r="Q780" s="798"/>
      <c r="R780" s="798"/>
      <c r="S780" s="798"/>
      <c r="T780" s="798"/>
      <c r="U780" s="798"/>
      <c r="V780" s="798"/>
      <c r="W780" s="798"/>
      <c r="X780" s="798"/>
      <c r="Y780" s="798"/>
      <c r="Z780" s="798"/>
      <c r="AA780" s="798"/>
      <c r="AB780" s="798"/>
      <c r="AC780" s="798"/>
      <c r="AD780" s="799"/>
    </row>
    <row r="781" spans="1:61" ht="15" customHeight="1">
      <c r="A781" s="50"/>
      <c r="B781" s="38"/>
      <c r="C781" s="803"/>
      <c r="D781" s="804"/>
      <c r="E781" s="804"/>
      <c r="F781" s="804"/>
      <c r="G781" s="804"/>
      <c r="H781" s="804"/>
      <c r="I781" s="803"/>
      <c r="J781" s="804"/>
      <c r="K781" s="804"/>
      <c r="L781" s="804"/>
      <c r="M781" s="804"/>
      <c r="N781" s="805"/>
      <c r="O781" s="732" t="s">
        <v>2628</v>
      </c>
      <c r="P781" s="732"/>
      <c r="Q781" s="732"/>
      <c r="R781" s="732"/>
      <c r="S781" s="736" t="s">
        <v>2629</v>
      </c>
      <c r="T781" s="736"/>
      <c r="U781" s="736"/>
      <c r="V781" s="736"/>
      <c r="W781" s="736" t="s">
        <v>2630</v>
      </c>
      <c r="X781" s="736"/>
      <c r="Y781" s="736"/>
      <c r="Z781" s="736"/>
      <c r="AA781" s="736" t="s">
        <v>201</v>
      </c>
      <c r="AB781" s="736"/>
      <c r="AC781" s="736"/>
      <c r="AD781" s="736"/>
      <c r="AF781" t="s">
        <v>4713</v>
      </c>
      <c r="AG781" t="s">
        <v>2586</v>
      </c>
      <c r="AH781" t="s">
        <v>5940</v>
      </c>
      <c r="AI781" t="s">
        <v>2590</v>
      </c>
      <c r="AJ781" t="s">
        <v>3163</v>
      </c>
      <c r="AK781" t="s">
        <v>4564</v>
      </c>
      <c r="AL781"/>
      <c r="AM781"/>
    </row>
    <row r="782" spans="1:61" ht="15" customHeight="1">
      <c r="A782" s="50"/>
      <c r="B782" s="38"/>
      <c r="C782" s="97" t="s">
        <v>2516</v>
      </c>
      <c r="D782" s="796" t="str">
        <f>IF(CNSIPEE_2024_M2_Secc1!D42="","",CNSIPEE_2024_M2_Secc1!D42)</f>
        <v/>
      </c>
      <c r="E782" s="796"/>
      <c r="F782" s="796"/>
      <c r="G782" s="796"/>
      <c r="H782" s="796"/>
      <c r="I782" s="749"/>
      <c r="J782" s="749"/>
      <c r="K782" s="749"/>
      <c r="L782" s="749"/>
      <c r="M782" s="749"/>
      <c r="N782" s="749"/>
      <c r="O782" s="749"/>
      <c r="P782" s="749"/>
      <c r="Q782" s="749"/>
      <c r="R782" s="749"/>
      <c r="S782" s="749"/>
      <c r="T782" s="749"/>
      <c r="U782" s="749"/>
      <c r="V782" s="749"/>
      <c r="W782" s="749"/>
      <c r="X782" s="749"/>
      <c r="Y782" s="749"/>
      <c r="Z782" s="749"/>
      <c r="AA782" s="749"/>
      <c r="AB782" s="749"/>
      <c r="AC782" s="749"/>
      <c r="AD782" s="749"/>
      <c r="AF782">
        <f t="shared" ref="AF782:AF789" si="365">IF(AND(I782=1,O782=0),1,0)</f>
        <v>0</v>
      </c>
      <c r="AG782">
        <f>IF(AND(I782&gt;1,D782&lt;&gt;""),0,IF(OR(COUNTBLANK(D782:AD782)=21,COUNTBLANK(D782:AD782)=27),0,1))</f>
        <v>0</v>
      </c>
      <c r="AH782">
        <f t="shared" ref="AH782:AH789" si="366">IF(I782&gt;1,IF(COUNTA(O782:AD782)=0,0,1),0)</f>
        <v>0</v>
      </c>
      <c r="AI782">
        <f t="shared" ref="AI782:AI789" si="367">COUNTIF(S782:AD782,"NS")</f>
        <v>0</v>
      </c>
      <c r="AJ782">
        <f t="shared" ref="AJ782:AJ789" si="368">SUM(S782:AD782)</f>
        <v>0</v>
      </c>
      <c r="AK782">
        <f t="shared" ref="AK782:AK789" si="369">IF(COUNTIF(O782:AD782,"NA")=4,0,IF(COUNTA(O782:AD782)=0,0,IF(OR(AND(O782=0,AI782&gt;0),AND(O782="ns",AJ782&gt;0),AND(O782="ns",AI782=0,AJ782=0)),1,IF(OR(AND(O782&gt;0,AI782=2),AND(O782="ns",AI782=2),AND(O782="ns",AJ782=0,AI782&gt;0),O782=AJ782),0,1))))</f>
        <v>0</v>
      </c>
      <c r="AL782"/>
      <c r="AM782"/>
    </row>
    <row r="783" spans="1:61" ht="15" customHeight="1">
      <c r="A783" s="50"/>
      <c r="B783" s="38"/>
      <c r="C783" s="98" t="s">
        <v>2517</v>
      </c>
      <c r="D783" s="796" t="str">
        <f>IF(CNSIPEE_2024_M2_Secc1!D43="","",CNSIPEE_2024_M2_Secc1!D43)</f>
        <v/>
      </c>
      <c r="E783" s="796"/>
      <c r="F783" s="796"/>
      <c r="G783" s="796"/>
      <c r="H783" s="796"/>
      <c r="I783" s="749"/>
      <c r="J783" s="749"/>
      <c r="K783" s="749"/>
      <c r="L783" s="749"/>
      <c r="M783" s="749"/>
      <c r="N783" s="749"/>
      <c r="O783" s="749"/>
      <c r="P783" s="749"/>
      <c r="Q783" s="749"/>
      <c r="R783" s="749"/>
      <c r="S783" s="749"/>
      <c r="T783" s="749"/>
      <c r="U783" s="749"/>
      <c r="V783" s="749"/>
      <c r="W783" s="749"/>
      <c r="X783" s="749"/>
      <c r="Y783" s="749"/>
      <c r="Z783" s="749"/>
      <c r="AA783" s="749"/>
      <c r="AB783" s="749"/>
      <c r="AC783" s="749"/>
      <c r="AD783" s="749"/>
      <c r="AF783">
        <f t="shared" si="365"/>
        <v>0</v>
      </c>
      <c r="AG783">
        <f t="shared" ref="AG783:AG788" si="370">IF(AND(I783&gt;1,D783&lt;&gt;""),0,IF(OR(COUNTBLANK(D783:AD783)=21,COUNTBLANK(D783:AD783)=27),0,1))</f>
        <v>0</v>
      </c>
      <c r="AH783">
        <f t="shared" si="366"/>
        <v>0</v>
      </c>
      <c r="AI783">
        <f t="shared" si="367"/>
        <v>0</v>
      </c>
      <c r="AJ783">
        <f t="shared" si="368"/>
        <v>0</v>
      </c>
      <c r="AK783">
        <f t="shared" si="369"/>
        <v>0</v>
      </c>
      <c r="AL783"/>
      <c r="AM783"/>
    </row>
    <row r="784" spans="1:61" ht="15" customHeight="1">
      <c r="A784" s="50"/>
      <c r="B784" s="38"/>
      <c r="C784" s="98" t="s">
        <v>2518</v>
      </c>
      <c r="D784" s="796" t="str">
        <f>IF(CNSIPEE_2024_M2_Secc1!D44="","",CNSIPEE_2024_M2_Secc1!D44)</f>
        <v/>
      </c>
      <c r="E784" s="796"/>
      <c r="F784" s="796"/>
      <c r="G784" s="796"/>
      <c r="H784" s="796"/>
      <c r="I784" s="749"/>
      <c r="J784" s="749"/>
      <c r="K784" s="749"/>
      <c r="L784" s="749"/>
      <c r="M784" s="749"/>
      <c r="N784" s="749"/>
      <c r="O784" s="749"/>
      <c r="P784" s="749"/>
      <c r="Q784" s="749"/>
      <c r="R784" s="749"/>
      <c r="S784" s="749"/>
      <c r="T784" s="749"/>
      <c r="U784" s="749"/>
      <c r="V784" s="749"/>
      <c r="W784" s="749"/>
      <c r="X784" s="749"/>
      <c r="Y784" s="749"/>
      <c r="Z784" s="749"/>
      <c r="AA784" s="749"/>
      <c r="AB784" s="749"/>
      <c r="AC784" s="749"/>
      <c r="AD784" s="749"/>
      <c r="AF784">
        <f t="shared" si="365"/>
        <v>0</v>
      </c>
      <c r="AG784">
        <f t="shared" si="370"/>
        <v>0</v>
      </c>
      <c r="AH784">
        <f t="shared" si="366"/>
        <v>0</v>
      </c>
      <c r="AI784">
        <f t="shared" si="367"/>
        <v>0</v>
      </c>
      <c r="AJ784">
        <f t="shared" si="368"/>
        <v>0</v>
      </c>
      <c r="AK784">
        <f t="shared" si="369"/>
        <v>0</v>
      </c>
      <c r="AL784"/>
      <c r="AM784"/>
    </row>
    <row r="785" spans="1:39" ht="15" customHeight="1">
      <c r="A785" s="50"/>
      <c r="B785" s="38"/>
      <c r="C785" s="98" t="s">
        <v>2519</v>
      </c>
      <c r="D785" s="796" t="str">
        <f>IF(CNSIPEE_2024_M2_Secc1!D45="","",CNSIPEE_2024_M2_Secc1!D45)</f>
        <v/>
      </c>
      <c r="E785" s="796"/>
      <c r="F785" s="796"/>
      <c r="G785" s="796"/>
      <c r="H785" s="796"/>
      <c r="I785" s="749"/>
      <c r="J785" s="749"/>
      <c r="K785" s="749"/>
      <c r="L785" s="749"/>
      <c r="M785" s="749"/>
      <c r="N785" s="749"/>
      <c r="O785" s="749"/>
      <c r="P785" s="749"/>
      <c r="Q785" s="749"/>
      <c r="R785" s="749"/>
      <c r="S785" s="749"/>
      <c r="T785" s="749"/>
      <c r="U785" s="749"/>
      <c r="V785" s="749"/>
      <c r="W785" s="749"/>
      <c r="X785" s="749"/>
      <c r="Y785" s="749"/>
      <c r="Z785" s="749"/>
      <c r="AA785" s="749"/>
      <c r="AB785" s="749"/>
      <c r="AC785" s="749"/>
      <c r="AD785" s="749"/>
      <c r="AF785">
        <f t="shared" si="365"/>
        <v>0</v>
      </c>
      <c r="AG785">
        <f t="shared" si="370"/>
        <v>0</v>
      </c>
      <c r="AH785">
        <f t="shared" si="366"/>
        <v>0</v>
      </c>
      <c r="AI785">
        <f t="shared" si="367"/>
        <v>0</v>
      </c>
      <c r="AJ785">
        <f t="shared" si="368"/>
        <v>0</v>
      </c>
      <c r="AK785">
        <f t="shared" si="369"/>
        <v>0</v>
      </c>
      <c r="AL785"/>
      <c r="AM785"/>
    </row>
    <row r="786" spans="1:39" ht="15" customHeight="1">
      <c r="A786" s="50"/>
      <c r="B786" s="38"/>
      <c r="C786" s="98" t="s">
        <v>2520</v>
      </c>
      <c r="D786" s="796" t="str">
        <f>IF(CNSIPEE_2024_M2_Secc1!D46="","",CNSIPEE_2024_M2_Secc1!D46)</f>
        <v/>
      </c>
      <c r="E786" s="796"/>
      <c r="F786" s="796"/>
      <c r="G786" s="796"/>
      <c r="H786" s="796"/>
      <c r="I786" s="749"/>
      <c r="J786" s="749"/>
      <c r="K786" s="749"/>
      <c r="L786" s="749"/>
      <c r="M786" s="749"/>
      <c r="N786" s="749"/>
      <c r="O786" s="749"/>
      <c r="P786" s="749"/>
      <c r="Q786" s="749"/>
      <c r="R786" s="749"/>
      <c r="S786" s="749"/>
      <c r="T786" s="749"/>
      <c r="U786" s="749"/>
      <c r="V786" s="749"/>
      <c r="W786" s="749"/>
      <c r="X786" s="749"/>
      <c r="Y786" s="749"/>
      <c r="Z786" s="749"/>
      <c r="AA786" s="749"/>
      <c r="AB786" s="749"/>
      <c r="AC786" s="749"/>
      <c r="AD786" s="749"/>
      <c r="AF786">
        <f t="shared" si="365"/>
        <v>0</v>
      </c>
      <c r="AG786">
        <f t="shared" si="370"/>
        <v>0</v>
      </c>
      <c r="AH786">
        <f t="shared" si="366"/>
        <v>0</v>
      </c>
      <c r="AI786">
        <f t="shared" si="367"/>
        <v>0</v>
      </c>
      <c r="AJ786">
        <f t="shared" si="368"/>
        <v>0</v>
      </c>
      <c r="AK786">
        <f t="shared" si="369"/>
        <v>0</v>
      </c>
      <c r="AL786"/>
      <c r="AM786"/>
    </row>
    <row r="787" spans="1:39" ht="15" customHeight="1">
      <c r="A787" s="50"/>
      <c r="B787" s="38"/>
      <c r="C787" s="98" t="s">
        <v>2521</v>
      </c>
      <c r="D787" s="796" t="str">
        <f>IF(CNSIPEE_2024_M2_Secc1!D47="","",CNSIPEE_2024_M2_Secc1!D47)</f>
        <v/>
      </c>
      <c r="E787" s="796"/>
      <c r="F787" s="796"/>
      <c r="G787" s="796"/>
      <c r="H787" s="796"/>
      <c r="I787" s="749"/>
      <c r="J787" s="749"/>
      <c r="K787" s="749"/>
      <c r="L787" s="749"/>
      <c r="M787" s="749"/>
      <c r="N787" s="749"/>
      <c r="O787" s="749"/>
      <c r="P787" s="749"/>
      <c r="Q787" s="749"/>
      <c r="R787" s="749"/>
      <c r="S787" s="749"/>
      <c r="T787" s="749"/>
      <c r="U787" s="749"/>
      <c r="V787" s="749"/>
      <c r="W787" s="749"/>
      <c r="X787" s="749"/>
      <c r="Y787" s="749"/>
      <c r="Z787" s="749"/>
      <c r="AA787" s="749"/>
      <c r="AB787" s="749"/>
      <c r="AC787" s="749"/>
      <c r="AD787" s="749"/>
      <c r="AF787">
        <f t="shared" si="365"/>
        <v>0</v>
      </c>
      <c r="AG787">
        <f t="shared" si="370"/>
        <v>0</v>
      </c>
      <c r="AH787">
        <f t="shared" si="366"/>
        <v>0</v>
      </c>
      <c r="AI787">
        <f t="shared" si="367"/>
        <v>0</v>
      </c>
      <c r="AJ787">
        <f t="shared" si="368"/>
        <v>0</v>
      </c>
      <c r="AK787">
        <f t="shared" si="369"/>
        <v>0</v>
      </c>
      <c r="AL787"/>
      <c r="AM787"/>
    </row>
    <row r="788" spans="1:39" ht="15" customHeight="1">
      <c r="A788" s="50"/>
      <c r="B788" s="38"/>
      <c r="C788" s="98" t="s">
        <v>2522</v>
      </c>
      <c r="D788" s="796" t="str">
        <f>IF(CNSIPEE_2024_M2_Secc1!D48="","",CNSIPEE_2024_M2_Secc1!D48)</f>
        <v/>
      </c>
      <c r="E788" s="796"/>
      <c r="F788" s="796"/>
      <c r="G788" s="796"/>
      <c r="H788" s="796"/>
      <c r="I788" s="749"/>
      <c r="J788" s="749"/>
      <c r="K788" s="749"/>
      <c r="L788" s="749"/>
      <c r="M788" s="749"/>
      <c r="N788" s="749"/>
      <c r="O788" s="749"/>
      <c r="P788" s="749"/>
      <c r="Q788" s="749"/>
      <c r="R788" s="749"/>
      <c r="S788" s="749"/>
      <c r="T788" s="749"/>
      <c r="U788" s="749"/>
      <c r="V788" s="749"/>
      <c r="W788" s="749"/>
      <c r="X788" s="749"/>
      <c r="Y788" s="749"/>
      <c r="Z788" s="749"/>
      <c r="AA788" s="749"/>
      <c r="AB788" s="749"/>
      <c r="AC788" s="749"/>
      <c r="AD788" s="749"/>
      <c r="AF788">
        <f t="shared" si="365"/>
        <v>0</v>
      </c>
      <c r="AG788">
        <f t="shared" si="370"/>
        <v>0</v>
      </c>
      <c r="AH788">
        <f t="shared" si="366"/>
        <v>0</v>
      </c>
      <c r="AI788">
        <f t="shared" si="367"/>
        <v>0</v>
      </c>
      <c r="AJ788">
        <f t="shared" si="368"/>
        <v>0</v>
      </c>
      <c r="AK788">
        <f t="shared" si="369"/>
        <v>0</v>
      </c>
      <c r="AL788"/>
      <c r="AM788"/>
    </row>
    <row r="789" spans="1:39" ht="15" customHeight="1">
      <c r="A789" s="50"/>
      <c r="B789" s="38"/>
      <c r="C789" s="98" t="s">
        <v>2523</v>
      </c>
      <c r="D789" s="796" t="str">
        <f>IF(CNSIPEE_2024_M2_Secc1!D49="","",CNSIPEE_2024_M2_Secc1!D49)</f>
        <v/>
      </c>
      <c r="E789" s="796"/>
      <c r="F789" s="796"/>
      <c r="G789" s="796"/>
      <c r="H789" s="796"/>
      <c r="I789" s="749"/>
      <c r="J789" s="749"/>
      <c r="K789" s="749"/>
      <c r="L789" s="749"/>
      <c r="M789" s="749"/>
      <c r="N789" s="749"/>
      <c r="O789" s="749"/>
      <c r="P789" s="749"/>
      <c r="Q789" s="749"/>
      <c r="R789" s="749"/>
      <c r="S789" s="749"/>
      <c r="T789" s="749"/>
      <c r="U789" s="749"/>
      <c r="V789" s="749"/>
      <c r="W789" s="749"/>
      <c r="X789" s="749"/>
      <c r="Y789" s="749"/>
      <c r="Z789" s="749"/>
      <c r="AA789" s="749"/>
      <c r="AB789" s="749"/>
      <c r="AC789" s="749"/>
      <c r="AD789" s="749"/>
      <c r="AF789">
        <f t="shared" si="365"/>
        <v>0</v>
      </c>
      <c r="AG789">
        <f>IF(AND(I789&gt;1,D789&lt;&gt;""),0,IF(OR(COUNTBLANK(D789:AD789)=21,COUNTBLANK(D789:AD789)=27),0,1))</f>
        <v>0</v>
      </c>
      <c r="AH789">
        <f t="shared" si="366"/>
        <v>0</v>
      </c>
      <c r="AI789">
        <f t="shared" si="367"/>
        <v>0</v>
      </c>
      <c r="AJ789">
        <f t="shared" si="368"/>
        <v>0</v>
      </c>
      <c r="AK789">
        <f t="shared" si="369"/>
        <v>0</v>
      </c>
      <c r="AL789"/>
      <c r="AM789"/>
    </row>
    <row r="790" spans="1:39" ht="15" customHeight="1">
      <c r="A790" s="50"/>
      <c r="B790" s="38"/>
      <c r="C790" s="38"/>
      <c r="D790" s="38"/>
      <c r="E790" s="38"/>
      <c r="F790" s="38"/>
      <c r="G790" s="38"/>
      <c r="H790" s="38"/>
      <c r="I790" s="57"/>
      <c r="J790" s="57"/>
      <c r="K790" s="57"/>
      <c r="L790" s="57"/>
      <c r="M790" s="57"/>
      <c r="N790" s="99" t="s">
        <v>2649</v>
      </c>
      <c r="O790" s="736">
        <f>IF(AND(SUM(O782:O789)=0,COUNTIF(O782:O789,"NS")&gt;0),"NS",IF(AND(SUM(O782:O789)=0,COUNTIF(O782:O789,0)&gt;0),0,IF(AND(SUM(O782:O789)=0,COUNTIF(O782:O789,"NA")&gt;0),"NA",SUM(O782:O789))))</f>
        <v>0</v>
      </c>
      <c r="P790" s="1085"/>
      <c r="Q790" s="1085"/>
      <c r="R790" s="1086"/>
      <c r="S790" s="736">
        <f>IF(AND(SUM(S782:S789)=0,COUNTIF(S782:S789,"NS")&gt;0),"NS",IF(AND(SUM(S782:S789)=0,COUNTIF(S782:S789,0)&gt;0),0,IF(AND(SUM(S782:S789)=0,COUNTIF(S782:S789,"NA")&gt;0),"NA",SUM(S782:S789))))</f>
        <v>0</v>
      </c>
      <c r="T790" s="1085"/>
      <c r="U790" s="1085"/>
      <c r="V790" s="1086"/>
      <c r="W790" s="736">
        <f>IF(AND(SUM(W782:W789)=0,COUNTIF(W782:W789,"NS")&gt;0),"NS",IF(AND(SUM(W782:W789)=0,COUNTIF(W782:W789,0)&gt;0),0,IF(AND(SUM(W782:W789)=0,COUNTIF(W782:W789,"NA")&gt;0),"NA",SUM(W782:W789))))</f>
        <v>0</v>
      </c>
      <c r="X790" s="1085"/>
      <c r="Y790" s="1085"/>
      <c r="Z790" s="1086"/>
      <c r="AA790" s="736">
        <f>IF(AND(SUM(AA782:AA789)=0,COUNTIF(AA782:AA789,"NS")&gt;0),"NS",IF(AND(SUM(AA782:AA789)=0,COUNTIF(AA782:AA789,0)&gt;0),0,IF(AND(SUM(AA782:AA789)=0,COUNTIF(AA782:AA789,"NA")&gt;0),"NA",SUM(AA782:AA789))))</f>
        <v>0</v>
      </c>
      <c r="AB790" s="1085"/>
      <c r="AC790" s="1085"/>
      <c r="AD790" s="1086"/>
      <c r="AF790" s="507">
        <f>SUM(AF782:AF789)</f>
        <v>0</v>
      </c>
      <c r="AG790" s="507">
        <f>SUM(AG782:AG789)</f>
        <v>0</v>
      </c>
      <c r="AH790" s="507">
        <f>SUM(AH782:AH789)</f>
        <v>0</v>
      </c>
      <c r="AI790">
        <f>SUM(AI782:AI789)</f>
        <v>0</v>
      </c>
      <c r="AJ790" s="57"/>
      <c r="AK790" s="506">
        <f>SUM(AK782:AK789)</f>
        <v>0</v>
      </c>
      <c r="AL790" s="57"/>
      <c r="AM790"/>
    </row>
    <row r="791" spans="1:39" ht="15" customHeight="1">
      <c r="A791" s="119"/>
    </row>
    <row r="792" spans="1:39" ht="24" customHeight="1">
      <c r="A792" s="217"/>
      <c r="B792" s="57"/>
      <c r="C792" s="754" t="s">
        <v>2611</v>
      </c>
      <c r="D792" s="754"/>
      <c r="E792" s="754"/>
      <c r="F792" s="754"/>
      <c r="G792" s="754"/>
      <c r="H792" s="754"/>
      <c r="I792" s="754"/>
      <c r="J792" s="754"/>
      <c r="K792" s="754"/>
      <c r="L792" s="754"/>
      <c r="M792" s="754"/>
      <c r="N792" s="754"/>
      <c r="O792" s="754"/>
      <c r="P792" s="754"/>
      <c r="Q792" s="754"/>
      <c r="R792" s="754"/>
      <c r="S792" s="754"/>
      <c r="T792" s="754"/>
      <c r="U792" s="754"/>
      <c r="V792" s="754"/>
      <c r="W792" s="754"/>
      <c r="X792" s="754"/>
      <c r="Y792" s="754"/>
      <c r="Z792" s="754"/>
      <c r="AA792" s="754"/>
      <c r="AB792" s="754"/>
      <c r="AC792" s="754"/>
      <c r="AD792" s="754"/>
    </row>
    <row r="793" spans="1:39" ht="60" customHeight="1">
      <c r="A793" s="217"/>
      <c r="B793" s="57"/>
      <c r="C793" s="851"/>
      <c r="D793" s="851"/>
      <c r="E793" s="851"/>
      <c r="F793" s="851"/>
      <c r="G793" s="851"/>
      <c r="H793" s="851"/>
      <c r="I793" s="851"/>
      <c r="J793" s="851"/>
      <c r="K793" s="851"/>
      <c r="L793" s="851"/>
      <c r="M793" s="851"/>
      <c r="N793" s="851"/>
      <c r="O793" s="851"/>
      <c r="P793" s="851"/>
      <c r="Q793" s="851"/>
      <c r="R793" s="851"/>
      <c r="S793" s="851"/>
      <c r="T793" s="851"/>
      <c r="U793" s="851"/>
      <c r="V793" s="851"/>
      <c r="W793" s="851"/>
      <c r="X793" s="851"/>
      <c r="Y793" s="851"/>
      <c r="Z793" s="851"/>
      <c r="AA793" s="851"/>
      <c r="AB793" s="851"/>
      <c r="AC793" s="851"/>
      <c r="AD793" s="851"/>
    </row>
    <row r="794" spans="1:39" ht="15" customHeight="1">
      <c r="A794" s="91"/>
      <c r="B794" s="794" t="str">
        <f>IF(AG790=0,"","Favor de ingresar toda la información requerida en la pregunta")</f>
        <v/>
      </c>
      <c r="C794" s="794"/>
      <c r="D794" s="794"/>
      <c r="E794" s="794"/>
      <c r="F794" s="794"/>
      <c r="G794" s="794"/>
      <c r="H794" s="794"/>
      <c r="I794" s="794"/>
      <c r="J794" s="794"/>
      <c r="K794" s="794"/>
      <c r="L794" s="794"/>
      <c r="M794" s="794"/>
      <c r="N794" s="794"/>
      <c r="O794" s="794"/>
      <c r="P794" s="794"/>
      <c r="Q794" s="794"/>
      <c r="R794" s="794"/>
      <c r="S794" s="794"/>
      <c r="T794" s="794"/>
      <c r="U794" s="794"/>
      <c r="V794" s="794"/>
      <c r="W794" s="794"/>
      <c r="X794" s="794"/>
      <c r="Y794" s="794"/>
      <c r="Z794" s="794"/>
      <c r="AA794" s="794"/>
      <c r="AB794" s="794"/>
      <c r="AC794" s="794"/>
      <c r="AD794" s="794"/>
      <c r="AE794" s="794"/>
    </row>
    <row r="795" spans="1:39" ht="15" customHeight="1">
      <c r="A795" s="91"/>
      <c r="B795" s="1087" t="str">
        <f>IF(COUNTIF(O782:AD789,"NS")&lt;&gt;0,"Alerta: debido a que cuenta con registros NS, debe proporcionar una justificación en el area de comentarios al final de la pregunta","")</f>
        <v/>
      </c>
      <c r="C795" s="1087"/>
      <c r="D795" s="1087"/>
      <c r="E795" s="1087"/>
      <c r="F795" s="1087"/>
      <c r="G795" s="1087"/>
      <c r="H795" s="1087"/>
      <c r="I795" s="1087"/>
      <c r="J795" s="1087"/>
      <c r="K795" s="1087"/>
      <c r="L795" s="1087"/>
      <c r="M795" s="1087"/>
      <c r="N795" s="1087"/>
      <c r="O795" s="1087"/>
      <c r="P795" s="1087"/>
      <c r="Q795" s="1087"/>
      <c r="R795" s="1087"/>
      <c r="S795" s="1087"/>
      <c r="T795" s="1087"/>
      <c r="U795" s="1087"/>
      <c r="V795" s="1087"/>
      <c r="W795" s="1087"/>
      <c r="X795" s="1087"/>
      <c r="Y795" s="1087"/>
      <c r="Z795" s="1087"/>
      <c r="AA795" s="1087"/>
      <c r="AB795" s="1087"/>
      <c r="AC795" s="1087"/>
      <c r="AD795" s="1087"/>
      <c r="AE795" s="1087"/>
    </row>
    <row r="796" spans="1:39" ht="15" customHeight="1">
      <c r="A796" s="91"/>
      <c r="B796" s="1003" t="str">
        <f>IF(AH790&gt;0,"Revise la información capturada, ya que tiene datos ingresados en celdas que están sombreadas","")</f>
        <v/>
      </c>
      <c r="C796" s="1003"/>
      <c r="D796" s="1003"/>
      <c r="E796" s="1003"/>
      <c r="F796" s="1003"/>
      <c r="G796" s="1003"/>
      <c r="H796" s="1003"/>
      <c r="I796" s="1003"/>
      <c r="J796" s="1003"/>
      <c r="K796" s="1003"/>
      <c r="L796" s="1003"/>
      <c r="M796" s="1003"/>
      <c r="N796" s="1003"/>
      <c r="O796" s="1003"/>
      <c r="P796" s="1003"/>
      <c r="Q796" s="1003"/>
      <c r="R796" s="1003"/>
      <c r="S796" s="1003"/>
      <c r="T796" s="1003"/>
      <c r="U796" s="1003"/>
      <c r="V796" s="1003"/>
      <c r="W796" s="1003"/>
      <c r="X796" s="1003"/>
      <c r="Y796" s="1003"/>
      <c r="Z796" s="1003"/>
      <c r="AA796" s="1003"/>
      <c r="AB796" s="1003"/>
      <c r="AC796" s="1003"/>
      <c r="AD796" s="1003"/>
      <c r="AE796" s="1003"/>
    </row>
    <row r="797" spans="1:39" ht="15" customHeight="1">
      <c r="A797" s="91"/>
      <c r="B797" s="1003" t="str">
        <f>IF(AK790&gt;0,"Favor de revisar la suma y consistencia de totales y/o subtotales por filas (numéricos y NS)","")</f>
        <v/>
      </c>
      <c r="C797" s="1003"/>
      <c r="D797" s="1003"/>
      <c r="E797" s="1003"/>
      <c r="F797" s="1003"/>
      <c r="G797" s="1003"/>
      <c r="H797" s="1003"/>
      <c r="I797" s="1003"/>
      <c r="J797" s="1003"/>
      <c r="K797" s="1003"/>
      <c r="L797" s="1003"/>
      <c r="M797" s="1003"/>
      <c r="N797" s="1003"/>
      <c r="O797" s="1003"/>
      <c r="P797" s="1003"/>
      <c r="Q797" s="1003"/>
      <c r="R797" s="1003"/>
      <c r="S797" s="1003"/>
      <c r="T797" s="1003"/>
      <c r="U797" s="1003"/>
      <c r="V797" s="1003"/>
      <c r="W797" s="1003"/>
      <c r="X797" s="1003"/>
      <c r="Y797" s="1003"/>
      <c r="Z797" s="1003"/>
      <c r="AA797" s="1003"/>
      <c r="AB797" s="1003"/>
      <c r="AC797" s="1003"/>
      <c r="AD797" s="1003"/>
      <c r="AE797" s="1003"/>
    </row>
    <row r="798" spans="1:39" ht="15" customHeight="1">
      <c r="A798" s="91"/>
      <c r="B798" s="794" t="str">
        <f>IF(AF790=0,"","Debido a que cuenta con registro(s) con el código 1, el total de la fila respectiva debe ser mayor a cero")</f>
        <v/>
      </c>
      <c r="C798" s="794"/>
      <c r="D798" s="794"/>
      <c r="E798" s="794"/>
      <c r="F798" s="794"/>
      <c r="G798" s="794"/>
      <c r="H798" s="794"/>
      <c r="I798" s="794"/>
      <c r="J798" s="794"/>
      <c r="K798" s="794"/>
      <c r="L798" s="794"/>
      <c r="M798" s="794"/>
      <c r="N798" s="794"/>
      <c r="O798" s="794"/>
      <c r="P798" s="794"/>
      <c r="Q798" s="794"/>
      <c r="R798" s="794"/>
      <c r="S798" s="794"/>
      <c r="T798" s="794"/>
      <c r="U798" s="794"/>
      <c r="V798" s="794"/>
      <c r="W798" s="794"/>
      <c r="X798" s="794"/>
      <c r="Y798" s="794"/>
      <c r="Z798" s="794"/>
      <c r="AA798" s="794"/>
      <c r="AB798" s="794"/>
      <c r="AC798" s="794"/>
      <c r="AD798" s="794"/>
      <c r="AE798" s="794"/>
    </row>
    <row r="799" spans="1:39" ht="15" customHeight="1">
      <c r="A799" s="91"/>
      <c r="AE799"/>
    </row>
    <row r="800" spans="1:39" ht="24" customHeight="1">
      <c r="A800" s="49" t="s">
        <v>6320</v>
      </c>
      <c r="B800" s="829" t="s">
        <v>6321</v>
      </c>
      <c r="C800" s="829"/>
      <c r="D800" s="829"/>
      <c r="E800" s="829"/>
      <c r="F800" s="829"/>
      <c r="G800" s="829"/>
      <c r="H800" s="829"/>
      <c r="I800" s="829"/>
      <c r="J800" s="829"/>
      <c r="K800" s="829"/>
      <c r="L800" s="829"/>
      <c r="M800" s="829"/>
      <c r="N800" s="829"/>
      <c r="O800" s="829"/>
      <c r="P800" s="829"/>
      <c r="Q800" s="829"/>
      <c r="R800" s="829"/>
      <c r="S800" s="829"/>
      <c r="T800" s="829"/>
      <c r="U800" s="829"/>
      <c r="V800" s="829"/>
      <c r="W800" s="829"/>
      <c r="X800" s="829"/>
      <c r="Y800" s="829"/>
      <c r="Z800" s="829"/>
      <c r="AA800" s="829"/>
      <c r="AB800" s="829"/>
      <c r="AC800" s="829"/>
      <c r="AD800" s="829"/>
    </row>
    <row r="801" spans="1:85" ht="36" customHeight="1">
      <c r="A801" s="91"/>
      <c r="C801" s="830" t="s">
        <v>6322</v>
      </c>
      <c r="D801" s="830"/>
      <c r="E801" s="830"/>
      <c r="F801" s="830"/>
      <c r="G801" s="830"/>
      <c r="H801" s="830"/>
      <c r="I801" s="830"/>
      <c r="J801" s="830"/>
      <c r="K801" s="830"/>
      <c r="L801" s="830"/>
      <c r="M801" s="830"/>
      <c r="N801" s="830"/>
      <c r="O801" s="830"/>
      <c r="P801" s="830"/>
      <c r="Q801" s="830"/>
      <c r="R801" s="830"/>
      <c r="S801" s="830"/>
      <c r="T801" s="830"/>
      <c r="U801" s="830"/>
      <c r="V801" s="830"/>
      <c r="W801" s="830"/>
      <c r="X801" s="830"/>
      <c r="Y801" s="830"/>
      <c r="Z801" s="830"/>
      <c r="AA801" s="830"/>
      <c r="AB801" s="830"/>
      <c r="AC801" s="830"/>
      <c r="AD801" s="830"/>
    </row>
    <row r="802" spans="1:85" customFormat="1" ht="48" customHeight="1">
      <c r="A802" s="91"/>
      <c r="B802" s="3"/>
      <c r="C802" s="754" t="s">
        <v>6323</v>
      </c>
      <c r="D802" s="754"/>
      <c r="E802" s="754"/>
      <c r="F802" s="754"/>
      <c r="G802" s="754"/>
      <c r="H802" s="754"/>
      <c r="I802" s="754"/>
      <c r="J802" s="754"/>
      <c r="K802" s="754"/>
      <c r="L802" s="754"/>
      <c r="M802" s="754"/>
      <c r="N802" s="754"/>
      <c r="O802" s="754"/>
      <c r="P802" s="754"/>
      <c r="Q802" s="754"/>
      <c r="R802" s="754"/>
      <c r="S802" s="754"/>
      <c r="T802" s="754"/>
      <c r="U802" s="754"/>
      <c r="V802" s="754"/>
      <c r="W802" s="754"/>
      <c r="X802" s="754"/>
      <c r="Y802" s="754"/>
      <c r="Z802" s="754"/>
      <c r="AA802" s="754"/>
      <c r="AB802" s="754"/>
      <c r="AC802" s="754"/>
      <c r="AD802" s="754"/>
    </row>
    <row r="803" spans="1:85" customFormat="1" ht="24" customHeight="1">
      <c r="A803" s="91"/>
      <c r="B803" s="3"/>
      <c r="C803" s="754" t="s">
        <v>6324</v>
      </c>
      <c r="D803" s="754"/>
      <c r="E803" s="754"/>
      <c r="F803" s="754"/>
      <c r="G803" s="754"/>
      <c r="H803" s="754"/>
      <c r="I803" s="754"/>
      <c r="J803" s="754"/>
      <c r="K803" s="754"/>
      <c r="L803" s="754"/>
      <c r="M803" s="754"/>
      <c r="N803" s="754"/>
      <c r="O803" s="754"/>
      <c r="P803" s="754"/>
      <c r="Q803" s="754"/>
      <c r="R803" s="754"/>
      <c r="S803" s="754"/>
      <c r="T803" s="754"/>
      <c r="U803" s="754"/>
      <c r="V803" s="754"/>
      <c r="W803" s="754"/>
      <c r="X803" s="754"/>
      <c r="Y803" s="754"/>
      <c r="Z803" s="754"/>
      <c r="AA803" s="754"/>
      <c r="AB803" s="754"/>
      <c r="AC803" s="754"/>
      <c r="AD803" s="754"/>
    </row>
    <row r="804" spans="1:85" customFormat="1" ht="36" customHeight="1">
      <c r="A804" s="91"/>
      <c r="B804" s="3"/>
      <c r="C804" s="754" t="s">
        <v>6325</v>
      </c>
      <c r="D804" s="754"/>
      <c r="E804" s="754"/>
      <c r="F804" s="754"/>
      <c r="G804" s="754"/>
      <c r="H804" s="754"/>
      <c r="I804" s="754"/>
      <c r="J804" s="754"/>
      <c r="K804" s="754"/>
      <c r="L804" s="754"/>
      <c r="M804" s="754"/>
      <c r="N804" s="754"/>
      <c r="O804" s="754"/>
      <c r="P804" s="754"/>
      <c r="Q804" s="754"/>
      <c r="R804" s="754"/>
      <c r="S804" s="754"/>
      <c r="T804" s="754"/>
      <c r="U804" s="754"/>
      <c r="V804" s="754"/>
      <c r="W804" s="754"/>
      <c r="X804" s="754"/>
      <c r="Y804" s="754"/>
      <c r="Z804" s="754"/>
      <c r="AA804" s="754"/>
      <c r="AB804" s="754"/>
      <c r="AC804" s="754"/>
      <c r="AD804" s="754"/>
    </row>
    <row r="805" spans="1:85" customFormat="1" ht="24" customHeight="1">
      <c r="A805" s="91"/>
      <c r="B805" s="3"/>
      <c r="C805" s="754" t="s">
        <v>6326</v>
      </c>
      <c r="D805" s="754"/>
      <c r="E805" s="754"/>
      <c r="F805" s="754"/>
      <c r="G805" s="754"/>
      <c r="H805" s="754"/>
      <c r="I805" s="754"/>
      <c r="J805" s="754"/>
      <c r="K805" s="754"/>
      <c r="L805" s="754"/>
      <c r="M805" s="754"/>
      <c r="N805" s="754"/>
      <c r="O805" s="754"/>
      <c r="P805" s="754"/>
      <c r="Q805" s="754"/>
      <c r="R805" s="754"/>
      <c r="S805" s="754"/>
      <c r="T805" s="754"/>
      <c r="U805" s="754"/>
      <c r="V805" s="754"/>
      <c r="W805" s="754"/>
      <c r="X805" s="754"/>
      <c r="Y805" s="754"/>
      <c r="Z805" s="754"/>
      <c r="AA805" s="754"/>
      <c r="AB805" s="754"/>
      <c r="AC805" s="754"/>
      <c r="AD805" s="754"/>
    </row>
    <row r="806" spans="1:85" customFormat="1" ht="24" customHeight="1">
      <c r="A806" s="91"/>
      <c r="B806" s="3"/>
      <c r="C806" s="754" t="s">
        <v>6327</v>
      </c>
      <c r="D806" s="754"/>
      <c r="E806" s="754"/>
      <c r="F806" s="754"/>
      <c r="G806" s="754"/>
      <c r="H806" s="754"/>
      <c r="I806" s="754"/>
      <c r="J806" s="754"/>
      <c r="K806" s="754"/>
      <c r="L806" s="754"/>
      <c r="M806" s="754"/>
      <c r="N806" s="754"/>
      <c r="O806" s="754"/>
      <c r="P806" s="754"/>
      <c r="Q806" s="754"/>
      <c r="R806" s="754"/>
      <c r="S806" s="754"/>
      <c r="T806" s="754"/>
      <c r="U806" s="754"/>
      <c r="V806" s="754"/>
      <c r="W806" s="754"/>
      <c r="X806" s="754"/>
      <c r="Y806" s="754"/>
      <c r="Z806" s="754"/>
      <c r="AA806" s="754"/>
      <c r="AB806" s="754"/>
      <c r="AC806" s="754"/>
      <c r="AD806" s="754"/>
    </row>
    <row r="807" spans="1:85" customFormat="1" ht="36" customHeight="1">
      <c r="A807" s="91"/>
      <c r="B807" s="3"/>
      <c r="C807" s="754" t="s">
        <v>6328</v>
      </c>
      <c r="D807" s="754"/>
      <c r="E807" s="754"/>
      <c r="F807" s="754"/>
      <c r="G807" s="754"/>
      <c r="H807" s="754"/>
      <c r="I807" s="754"/>
      <c r="J807" s="754"/>
      <c r="K807" s="754"/>
      <c r="L807" s="754"/>
      <c r="M807" s="754"/>
      <c r="N807" s="754"/>
      <c r="O807" s="754"/>
      <c r="P807" s="754"/>
      <c r="Q807" s="754"/>
      <c r="R807" s="754"/>
      <c r="S807" s="754"/>
      <c r="T807" s="754"/>
      <c r="U807" s="754"/>
      <c r="V807" s="754"/>
      <c r="W807" s="754"/>
      <c r="X807" s="754"/>
      <c r="Y807" s="754"/>
      <c r="Z807" s="754"/>
      <c r="AA807" s="754"/>
      <c r="AB807" s="754"/>
      <c r="AC807" s="754"/>
      <c r="AD807" s="754"/>
    </row>
    <row r="808" spans="1:85" ht="48" customHeight="1">
      <c r="A808" s="91"/>
      <c r="C808" s="830" t="s">
        <v>6329</v>
      </c>
      <c r="D808" s="830"/>
      <c r="E808" s="830"/>
      <c r="F808" s="830"/>
      <c r="G808" s="830"/>
      <c r="H808" s="830"/>
      <c r="I808" s="830"/>
      <c r="J808" s="830"/>
      <c r="K808" s="830"/>
      <c r="L808" s="830"/>
      <c r="M808" s="830"/>
      <c r="N808" s="830"/>
      <c r="O808" s="830"/>
      <c r="P808" s="830"/>
      <c r="Q808" s="830"/>
      <c r="R808" s="830"/>
      <c r="S808" s="830"/>
      <c r="T808" s="830"/>
      <c r="U808" s="830"/>
      <c r="V808" s="830"/>
      <c r="W808" s="830"/>
      <c r="X808" s="830"/>
      <c r="Y808" s="830"/>
      <c r="Z808" s="830"/>
      <c r="AA808" s="830"/>
      <c r="AB808" s="830"/>
      <c r="AC808" s="830"/>
      <c r="AD808" s="830"/>
      <c r="AG808" t="s">
        <v>6330</v>
      </c>
      <c r="AH808"/>
      <c r="AI808"/>
      <c r="AJ808"/>
      <c r="AK80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c r="BY808"/>
      <c r="BZ808"/>
      <c r="CA808"/>
      <c r="CB808"/>
      <c r="CC808"/>
      <c r="CD808"/>
      <c r="CE808"/>
      <c r="CF808"/>
      <c r="CG808"/>
    </row>
    <row r="809" spans="1:85" ht="15" customHeight="1">
      <c r="A809" s="91"/>
      <c r="C809" s="86"/>
      <c r="D809" s="86"/>
      <c r="E809" s="86"/>
      <c r="F809" s="86"/>
      <c r="G809" s="86"/>
      <c r="H809" s="86"/>
      <c r="I809" s="86"/>
      <c r="J809" s="86"/>
      <c r="K809" s="86"/>
      <c r="L809" s="86"/>
      <c r="M809" s="86"/>
      <c r="N809" s="86"/>
      <c r="O809" s="86"/>
      <c r="P809" s="86"/>
      <c r="Q809" s="86"/>
      <c r="R809" s="86"/>
      <c r="S809" s="86"/>
      <c r="T809" s="86"/>
      <c r="U809" s="86"/>
      <c r="V809" s="86"/>
      <c r="W809" s="86"/>
      <c r="X809" s="86"/>
      <c r="Y809" s="86"/>
      <c r="Z809" s="86"/>
      <c r="AA809" s="86"/>
      <c r="AB809" s="86"/>
      <c r="AC809" s="86"/>
      <c r="AD809" s="86"/>
      <c r="AG809">
        <f>IF(OR(COUNTBLANK(D782:D789)=8,COUNTIF(I782:N789,"&gt;1")=(8-COUNTBLANK(D782:D789))),8,-1)</f>
        <v>8</v>
      </c>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c r="BY809"/>
      <c r="BZ809"/>
      <c r="CA809"/>
      <c r="CB809"/>
      <c r="CC809"/>
      <c r="CD809"/>
      <c r="CE809"/>
      <c r="CF809"/>
      <c r="CG809"/>
    </row>
    <row r="810" spans="1:85" ht="24" customHeight="1">
      <c r="A810" s="91"/>
      <c r="C810" s="797" t="s">
        <v>4736</v>
      </c>
      <c r="D810" s="798"/>
      <c r="E810" s="799"/>
      <c r="F810" s="797" t="s">
        <v>4737</v>
      </c>
      <c r="G810" s="799"/>
      <c r="H810" s="797" t="s">
        <v>4738</v>
      </c>
      <c r="I810" s="798"/>
      <c r="J810" s="798"/>
      <c r="K810" s="798"/>
      <c r="L810" s="798"/>
      <c r="M810" s="798"/>
      <c r="N810" s="798"/>
      <c r="O810" s="732" t="s">
        <v>6331</v>
      </c>
      <c r="P810" s="732"/>
      <c r="Q810" s="732"/>
      <c r="R810" s="732"/>
      <c r="S810" s="732"/>
      <c r="T810" s="732"/>
      <c r="U810" s="732"/>
      <c r="V810" s="732"/>
      <c r="W810" s="732"/>
      <c r="X810" s="732"/>
      <c r="Y810" s="732"/>
      <c r="Z810" s="732"/>
      <c r="AA810" s="732"/>
      <c r="AB810" s="732"/>
      <c r="AC810" s="732"/>
      <c r="AD810" s="732"/>
      <c r="AG810"/>
      <c r="AH810"/>
      <c r="AI810"/>
      <c r="AJ810"/>
      <c r="AK810"/>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c r="BY810"/>
      <c r="BZ810"/>
      <c r="CA810"/>
      <c r="CB810"/>
      <c r="CC810"/>
      <c r="CD810"/>
      <c r="CE810"/>
      <c r="CF810"/>
      <c r="CG810"/>
    </row>
    <row r="811" spans="1:85" ht="15" customHeight="1">
      <c r="A811" s="91"/>
      <c r="C811" s="803"/>
      <c r="D811" s="804"/>
      <c r="E811" s="805"/>
      <c r="F811" s="803"/>
      <c r="G811" s="805"/>
      <c r="H811" s="803"/>
      <c r="I811" s="804"/>
      <c r="J811" s="804"/>
      <c r="K811" s="804"/>
      <c r="L811" s="804"/>
      <c r="M811" s="804"/>
      <c r="N811" s="804"/>
      <c r="O811" s="732" t="s">
        <v>2628</v>
      </c>
      <c r="P811" s="732"/>
      <c r="Q811" s="732"/>
      <c r="R811" s="732"/>
      <c r="S811" s="736" t="s">
        <v>2629</v>
      </c>
      <c r="T811" s="736"/>
      <c r="U811" s="736"/>
      <c r="V811" s="736"/>
      <c r="W811" s="736" t="s">
        <v>2630</v>
      </c>
      <c r="X811" s="736"/>
      <c r="Y811" s="736"/>
      <c r="Z811" s="736"/>
      <c r="AA811" s="736" t="s">
        <v>201</v>
      </c>
      <c r="AB811" s="736"/>
      <c r="AC811" s="736"/>
      <c r="AD811" s="736"/>
      <c r="AG811" s="84" t="s">
        <v>4740</v>
      </c>
      <c r="AH811" t="s">
        <v>2586</v>
      </c>
      <c r="AI811" t="s">
        <v>5940</v>
      </c>
      <c r="AJ811" t="s">
        <v>6332</v>
      </c>
      <c r="AK811" t="s">
        <v>2590</v>
      </c>
      <c r="AL811" t="s">
        <v>3163</v>
      </c>
      <c r="AM811" t="s">
        <v>4564</v>
      </c>
      <c r="AN811" t="s">
        <v>4742</v>
      </c>
      <c r="AP811" s="3" t="s">
        <v>6333</v>
      </c>
      <c r="CF811"/>
      <c r="CG811"/>
    </row>
    <row r="812" spans="1:85" ht="15" customHeight="1">
      <c r="A812" s="91"/>
      <c r="C812" s="1108" t="s">
        <v>4743</v>
      </c>
      <c r="D812" s="847" t="s">
        <v>5416</v>
      </c>
      <c r="E812" s="848"/>
      <c r="F812" s="1103" t="s">
        <v>4745</v>
      </c>
      <c r="G812" s="1103"/>
      <c r="H812" s="1104" t="s">
        <v>3875</v>
      </c>
      <c r="I812" s="1105"/>
      <c r="J812" s="1105"/>
      <c r="K812" s="1105"/>
      <c r="L812" s="1105"/>
      <c r="M812" s="1105"/>
      <c r="N812" s="1106"/>
      <c r="O812" s="749"/>
      <c r="P812" s="749"/>
      <c r="Q812" s="749"/>
      <c r="R812" s="749"/>
      <c r="S812" s="749"/>
      <c r="T812" s="749"/>
      <c r="U812" s="749"/>
      <c r="V812" s="749"/>
      <c r="W812" s="749"/>
      <c r="X812" s="749"/>
      <c r="Y812" s="749"/>
      <c r="Z812" s="749"/>
      <c r="AA812" s="749"/>
      <c r="AB812" s="749"/>
      <c r="AC812" s="749"/>
      <c r="AD812" s="749"/>
      <c r="AG812"/>
      <c r="AH812">
        <f>IF(OR($AG$809=8,O812="NA"),0,IF(COUNTA(O812:AD812)=4,0,1))</f>
        <v>0</v>
      </c>
      <c r="AI812">
        <f t="shared" ref="AI812:AI875" si="371">IF(O812="NA",IF(COUNTA(S812:AD812)=0,0,1),0)</f>
        <v>0</v>
      </c>
      <c r="AJ812">
        <f>IF($AG$809=8,IF(COUNTA(O812:AD976)=0,0,1),0)</f>
        <v>0</v>
      </c>
      <c r="AK812">
        <f t="shared" ref="AK812:AK875" si="372">COUNTIF(S812:AD812,"NS")</f>
        <v>0</v>
      </c>
      <c r="AL812">
        <f t="shared" ref="AL812:AL875" si="373">SUM(S812:AD812)</f>
        <v>0</v>
      </c>
      <c r="AM812">
        <f t="shared" ref="AM812:AM875" si="374">IF(COUNTIF(O812:AD812,"NA")=4,0,IF(COUNTA(O812:AD812)=0,0,IF(OR(AND(O812=0,AK812&gt;0),AND(O812="ns",AL812&gt;0),AND(O812="ns",AK812=0,AL812=0)),1,IF(OR(AND(O812&gt;0,AK812=2),AND(O812="ns",AK812=2),AND(O812="ns",AL812=0,AK812&gt;0),O812=AL812),0,1))))</f>
        <v>0</v>
      </c>
      <c r="AP812" s="736" cm="1">
        <f t="array" ref="AP812">IF(OR(O977={"NS","NA"},O790={"NS","NA"}),0,IF(O977&gt;=O790,0,1))</f>
        <v>0</v>
      </c>
      <c r="AQ812" s="736"/>
      <c r="AR812" s="736"/>
      <c r="AS812" s="736"/>
      <c r="AT812" s="733" cm="1">
        <f t="array" ref="AT812">IF(OR(S977={"NS","NA"},S790={"NS","NA"}),0,IF(S977&gt;=S790,0,1))</f>
        <v>0</v>
      </c>
      <c r="AU812" s="734"/>
      <c r="AV812" s="734"/>
      <c r="AW812" s="735"/>
      <c r="AX812" s="733" cm="1">
        <f t="array" ref="AX812">IF(OR(W977={"NS","NA"},W790={"NS","NA"}),0,IF(W977&gt;=W790,0,1))</f>
        <v>0</v>
      </c>
      <c r="AY812" s="734"/>
      <c r="AZ812" s="734"/>
      <c r="BA812" s="735"/>
      <c r="BB812" s="733" cm="1">
        <f t="array" ref="BB812">IF(OR(AA977={"NS","NA"},AA790={"NS","NA"}),0,IF(AA977&gt;=AA790,0,1))</f>
        <v>0</v>
      </c>
      <c r="BC812" s="734"/>
      <c r="BD812" s="734"/>
      <c r="BE812" s="735"/>
      <c r="CF812"/>
      <c r="CG812"/>
    </row>
    <row r="813" spans="1:85" ht="15" customHeight="1">
      <c r="A813" s="91"/>
      <c r="C813" s="1109"/>
      <c r="D813" s="954"/>
      <c r="E813" s="956"/>
      <c r="F813" s="1103" t="s">
        <v>4746</v>
      </c>
      <c r="G813" s="1103"/>
      <c r="H813" s="1104" t="s">
        <v>4747</v>
      </c>
      <c r="I813" s="1105"/>
      <c r="J813" s="1105"/>
      <c r="K813" s="1105"/>
      <c r="L813" s="1105"/>
      <c r="M813" s="1105"/>
      <c r="N813" s="1106"/>
      <c r="O813" s="749"/>
      <c r="P813" s="749"/>
      <c r="Q813" s="749"/>
      <c r="R813" s="749"/>
      <c r="S813" s="749"/>
      <c r="T813" s="749"/>
      <c r="U813" s="749"/>
      <c r="V813" s="749"/>
      <c r="W813" s="749"/>
      <c r="X813" s="749"/>
      <c r="Y813" s="749"/>
      <c r="Z813" s="749"/>
      <c r="AA813" s="749"/>
      <c r="AB813" s="749"/>
      <c r="AC813" s="749"/>
      <c r="AD813" s="749"/>
      <c r="AG813"/>
      <c r="AH813">
        <f t="shared" ref="AH813:AH876" si="375">IF(OR($AG$809=8,O813="NA"),0,IF(COUNTA(O813:AD813)=4,0,1))</f>
        <v>0</v>
      </c>
      <c r="AI813">
        <f t="shared" si="371"/>
        <v>0</v>
      </c>
      <c r="AK813">
        <f t="shared" si="372"/>
        <v>0</v>
      </c>
      <c r="AL813">
        <f t="shared" si="373"/>
        <v>0</v>
      </c>
      <c r="AM813">
        <f t="shared" si="374"/>
        <v>0</v>
      </c>
      <c r="BE813" s="680">
        <f>SUM(AP812:BE812)</f>
        <v>0</v>
      </c>
      <c r="CF813"/>
      <c r="CG813"/>
    </row>
    <row r="814" spans="1:85" ht="15" customHeight="1">
      <c r="A814" s="91"/>
      <c r="C814" s="1109"/>
      <c r="D814" s="954"/>
      <c r="E814" s="956"/>
      <c r="F814" s="1103" t="s">
        <v>4748</v>
      </c>
      <c r="G814" s="1103"/>
      <c r="H814" s="1104" t="s">
        <v>4749</v>
      </c>
      <c r="I814" s="1105"/>
      <c r="J814" s="1105"/>
      <c r="K814" s="1105"/>
      <c r="L814" s="1105"/>
      <c r="M814" s="1105"/>
      <c r="N814" s="1106"/>
      <c r="O814" s="749"/>
      <c r="P814" s="749"/>
      <c r="Q814" s="749"/>
      <c r="R814" s="749"/>
      <c r="S814" s="749"/>
      <c r="T814" s="749"/>
      <c r="U814" s="749"/>
      <c r="V814" s="749"/>
      <c r="W814" s="749"/>
      <c r="X814" s="749"/>
      <c r="Y814" s="749"/>
      <c r="Z814" s="749"/>
      <c r="AA814" s="749"/>
      <c r="AB814" s="749"/>
      <c r="AC814" s="749"/>
      <c r="AD814" s="749"/>
      <c r="AG814"/>
      <c r="AH814">
        <f t="shared" si="375"/>
        <v>0</v>
      </c>
      <c r="AI814">
        <f t="shared" si="371"/>
        <v>0</v>
      </c>
      <c r="AK814">
        <f t="shared" si="372"/>
        <v>0</v>
      </c>
      <c r="AL814">
        <f t="shared" si="373"/>
        <v>0</v>
      </c>
      <c r="AM814">
        <f t="shared" si="374"/>
        <v>0</v>
      </c>
      <c r="CF814"/>
      <c r="CG814"/>
    </row>
    <row r="815" spans="1:85" ht="15" customHeight="1">
      <c r="A815" s="91"/>
      <c r="C815" s="1109"/>
      <c r="D815" s="954"/>
      <c r="E815" s="956"/>
      <c r="F815" s="1103" t="s">
        <v>4750</v>
      </c>
      <c r="G815" s="1103"/>
      <c r="H815" s="1104" t="s">
        <v>4751</v>
      </c>
      <c r="I815" s="1105"/>
      <c r="J815" s="1105"/>
      <c r="K815" s="1105"/>
      <c r="L815" s="1105"/>
      <c r="M815" s="1105"/>
      <c r="N815" s="1106"/>
      <c r="O815" s="749"/>
      <c r="P815" s="749"/>
      <c r="Q815" s="749"/>
      <c r="R815" s="749"/>
      <c r="S815" s="749"/>
      <c r="T815" s="749"/>
      <c r="U815" s="749"/>
      <c r="V815" s="749"/>
      <c r="W815" s="749"/>
      <c r="X815" s="749"/>
      <c r="Y815" s="749"/>
      <c r="Z815" s="749"/>
      <c r="AA815" s="749"/>
      <c r="AB815" s="749"/>
      <c r="AC815" s="749"/>
      <c r="AD815" s="749"/>
      <c r="AG815"/>
      <c r="AH815">
        <f t="shared" si="375"/>
        <v>0</v>
      </c>
      <c r="AI815">
        <f t="shared" si="371"/>
        <v>0</v>
      </c>
      <c r="AK815">
        <f t="shared" si="372"/>
        <v>0</v>
      </c>
      <c r="AL815">
        <f t="shared" si="373"/>
        <v>0</v>
      </c>
      <c r="AM815">
        <f t="shared" si="374"/>
        <v>0</v>
      </c>
      <c r="CF815"/>
      <c r="CG815"/>
    </row>
    <row r="816" spans="1:85" ht="24" customHeight="1">
      <c r="A816" s="91"/>
      <c r="C816" s="1109"/>
      <c r="D816" s="954"/>
      <c r="E816" s="956"/>
      <c r="F816" s="1107" t="s">
        <v>4752</v>
      </c>
      <c r="G816" s="1107"/>
      <c r="H816" s="1104" t="s">
        <v>4753</v>
      </c>
      <c r="I816" s="1105"/>
      <c r="J816" s="1105"/>
      <c r="K816" s="1105"/>
      <c r="L816" s="1105"/>
      <c r="M816" s="1105"/>
      <c r="N816" s="1106"/>
      <c r="O816" s="749"/>
      <c r="P816" s="749"/>
      <c r="Q816" s="749"/>
      <c r="R816" s="749"/>
      <c r="S816" s="749"/>
      <c r="T816" s="749"/>
      <c r="U816" s="749"/>
      <c r="V816" s="749"/>
      <c r="W816" s="749"/>
      <c r="X816" s="749"/>
      <c r="Y816" s="749"/>
      <c r="Z816" s="749"/>
      <c r="AA816" s="749"/>
      <c r="AB816" s="749"/>
      <c r="AC816" s="749"/>
      <c r="AD816" s="749"/>
      <c r="AG816"/>
      <c r="AH816">
        <f t="shared" si="375"/>
        <v>0</v>
      </c>
      <c r="AI816">
        <f t="shared" si="371"/>
        <v>0</v>
      </c>
      <c r="AK816">
        <f t="shared" si="372"/>
        <v>0</v>
      </c>
      <c r="AL816">
        <f t="shared" si="373"/>
        <v>0</v>
      </c>
      <c r="AM816">
        <f t="shared" si="374"/>
        <v>0</v>
      </c>
      <c r="AN816">
        <f>IF(OR(O816="NS",O816="NA",$AG$809=8),0,IF((O816*(IFERROR(100/SUM(O812:O816),0)))&gt;25,1,0))</f>
        <v>0</v>
      </c>
      <c r="CF816"/>
      <c r="CG816"/>
    </row>
    <row r="817" spans="1:85" ht="15" customHeight="1">
      <c r="A817" s="91"/>
      <c r="C817" s="1108" t="s">
        <v>4754</v>
      </c>
      <c r="D817" s="847" t="s">
        <v>4755</v>
      </c>
      <c r="E817" s="848"/>
      <c r="F817" s="1103" t="s">
        <v>4756</v>
      </c>
      <c r="G817" s="1103"/>
      <c r="H817" s="1104" t="s">
        <v>4757</v>
      </c>
      <c r="I817" s="1105"/>
      <c r="J817" s="1105"/>
      <c r="K817" s="1105"/>
      <c r="L817" s="1105"/>
      <c r="M817" s="1105"/>
      <c r="N817" s="1106"/>
      <c r="O817" s="749"/>
      <c r="P817" s="749"/>
      <c r="Q817" s="749"/>
      <c r="R817" s="749"/>
      <c r="S817" s="749"/>
      <c r="T817" s="749"/>
      <c r="U817" s="749"/>
      <c r="V817" s="749"/>
      <c r="W817" s="749"/>
      <c r="X817" s="749"/>
      <c r="Y817" s="749"/>
      <c r="Z817" s="749"/>
      <c r="AA817" s="749"/>
      <c r="AB817" s="749"/>
      <c r="AC817" s="749"/>
      <c r="AD817" s="749"/>
      <c r="AG817"/>
      <c r="AH817">
        <f t="shared" si="375"/>
        <v>0</v>
      </c>
      <c r="AI817">
        <f t="shared" si="371"/>
        <v>0</v>
      </c>
      <c r="AK817">
        <f t="shared" si="372"/>
        <v>0</v>
      </c>
      <c r="AL817">
        <f t="shared" si="373"/>
        <v>0</v>
      </c>
      <c r="AM817">
        <f t="shared" si="374"/>
        <v>0</v>
      </c>
      <c r="CF817"/>
      <c r="CG817"/>
    </row>
    <row r="818" spans="1:85" ht="15" customHeight="1">
      <c r="A818" s="91"/>
      <c r="C818" s="1109"/>
      <c r="D818" s="954"/>
      <c r="E818" s="956"/>
      <c r="F818" s="1103" t="s">
        <v>4758</v>
      </c>
      <c r="G818" s="1103"/>
      <c r="H818" s="1104" t="s">
        <v>4759</v>
      </c>
      <c r="I818" s="1105"/>
      <c r="J818" s="1105"/>
      <c r="K818" s="1105"/>
      <c r="L818" s="1105"/>
      <c r="M818" s="1105"/>
      <c r="N818" s="1106"/>
      <c r="O818" s="749"/>
      <c r="P818" s="749"/>
      <c r="Q818" s="749"/>
      <c r="R818" s="749"/>
      <c r="S818" s="749"/>
      <c r="T818" s="749"/>
      <c r="U818" s="749"/>
      <c r="V818" s="749"/>
      <c r="W818" s="749"/>
      <c r="X818" s="749"/>
      <c r="Y818" s="749"/>
      <c r="Z818" s="749"/>
      <c r="AA818" s="749"/>
      <c r="AB818" s="749"/>
      <c r="AC818" s="749"/>
      <c r="AD818" s="749"/>
      <c r="AG818"/>
      <c r="AH818">
        <f t="shared" si="375"/>
        <v>0</v>
      </c>
      <c r="AI818">
        <f t="shared" si="371"/>
        <v>0</v>
      </c>
      <c r="AK818">
        <f t="shared" si="372"/>
        <v>0</v>
      </c>
      <c r="AL818">
        <f t="shared" si="373"/>
        <v>0</v>
      </c>
      <c r="AM818">
        <f t="shared" si="374"/>
        <v>0</v>
      </c>
      <c r="CF818"/>
      <c r="CG818"/>
    </row>
    <row r="819" spans="1:85" ht="24" customHeight="1">
      <c r="A819" s="91"/>
      <c r="C819" s="1109"/>
      <c r="D819" s="954"/>
      <c r="E819" s="956"/>
      <c r="F819" s="1103" t="s">
        <v>4760</v>
      </c>
      <c r="G819" s="1103"/>
      <c r="H819" s="1104" t="s">
        <v>4761</v>
      </c>
      <c r="I819" s="1105"/>
      <c r="J819" s="1105"/>
      <c r="K819" s="1105"/>
      <c r="L819" s="1105"/>
      <c r="M819" s="1105"/>
      <c r="N819" s="1106"/>
      <c r="O819" s="749"/>
      <c r="P819" s="749"/>
      <c r="Q819" s="749"/>
      <c r="R819" s="749"/>
      <c r="S819" s="749"/>
      <c r="T819" s="749"/>
      <c r="U819" s="749"/>
      <c r="V819" s="749"/>
      <c r="W819" s="749"/>
      <c r="X819" s="749"/>
      <c r="Y819" s="749"/>
      <c r="Z819" s="749"/>
      <c r="AA819" s="749"/>
      <c r="AB819" s="749"/>
      <c r="AC819" s="749"/>
      <c r="AD819" s="749"/>
      <c r="AG819"/>
      <c r="AH819">
        <f t="shared" si="375"/>
        <v>0</v>
      </c>
      <c r="AI819">
        <f t="shared" si="371"/>
        <v>0</v>
      </c>
      <c r="AK819">
        <f t="shared" si="372"/>
        <v>0</v>
      </c>
      <c r="AL819">
        <f t="shared" si="373"/>
        <v>0</v>
      </c>
      <c r="AM819">
        <f t="shared" si="374"/>
        <v>0</v>
      </c>
      <c r="CF819"/>
      <c r="CG819"/>
    </row>
    <row r="820" spans="1:85" ht="15" customHeight="1">
      <c r="A820" s="91"/>
      <c r="C820" s="1109"/>
      <c r="D820" s="954"/>
      <c r="E820" s="956"/>
      <c r="F820" s="1103" t="s">
        <v>4762</v>
      </c>
      <c r="G820" s="1103"/>
      <c r="H820" s="1104" t="s">
        <v>4763</v>
      </c>
      <c r="I820" s="1105"/>
      <c r="J820" s="1105"/>
      <c r="K820" s="1105"/>
      <c r="L820" s="1105"/>
      <c r="M820" s="1105"/>
      <c r="N820" s="1106"/>
      <c r="O820" s="749"/>
      <c r="P820" s="749"/>
      <c r="Q820" s="749"/>
      <c r="R820" s="749"/>
      <c r="S820" s="749"/>
      <c r="T820" s="749"/>
      <c r="U820" s="749"/>
      <c r="V820" s="749"/>
      <c r="W820" s="749"/>
      <c r="X820" s="749"/>
      <c r="Y820" s="749"/>
      <c r="Z820" s="749"/>
      <c r="AA820" s="749"/>
      <c r="AB820" s="749"/>
      <c r="AC820" s="749"/>
      <c r="AD820" s="749"/>
      <c r="AG820"/>
      <c r="AH820">
        <f t="shared" si="375"/>
        <v>0</v>
      </c>
      <c r="AI820">
        <f t="shared" si="371"/>
        <v>0</v>
      </c>
      <c r="AK820">
        <f t="shared" si="372"/>
        <v>0</v>
      </c>
      <c r="AL820">
        <f t="shared" si="373"/>
        <v>0</v>
      </c>
      <c r="AM820">
        <f t="shared" si="374"/>
        <v>0</v>
      </c>
      <c r="CF820"/>
      <c r="CG820"/>
    </row>
    <row r="821" spans="1:85" ht="15" customHeight="1">
      <c r="A821" s="91"/>
      <c r="C821" s="1109"/>
      <c r="D821" s="954"/>
      <c r="E821" s="956"/>
      <c r="F821" s="1103" t="s">
        <v>4764</v>
      </c>
      <c r="G821" s="1103"/>
      <c r="H821" s="1104" t="s">
        <v>4765</v>
      </c>
      <c r="I821" s="1105"/>
      <c r="J821" s="1105"/>
      <c r="K821" s="1105"/>
      <c r="L821" s="1105"/>
      <c r="M821" s="1105"/>
      <c r="N821" s="1106"/>
      <c r="O821" s="749"/>
      <c r="P821" s="749"/>
      <c r="Q821" s="749"/>
      <c r="R821" s="749"/>
      <c r="S821" s="749"/>
      <c r="T821" s="749"/>
      <c r="U821" s="749"/>
      <c r="V821" s="749"/>
      <c r="W821" s="749"/>
      <c r="X821" s="749"/>
      <c r="Y821" s="749"/>
      <c r="Z821" s="749"/>
      <c r="AA821" s="749"/>
      <c r="AB821" s="749"/>
      <c r="AC821" s="749"/>
      <c r="AD821" s="749"/>
      <c r="AG821"/>
      <c r="AH821">
        <f t="shared" si="375"/>
        <v>0</v>
      </c>
      <c r="AI821">
        <f t="shared" si="371"/>
        <v>0</v>
      </c>
      <c r="AK821">
        <f t="shared" si="372"/>
        <v>0</v>
      </c>
      <c r="AL821">
        <f t="shared" si="373"/>
        <v>0</v>
      </c>
      <c r="AM821">
        <f t="shared" si="374"/>
        <v>0</v>
      </c>
      <c r="AO821" t="s">
        <v>4766</v>
      </c>
      <c r="AP821" t="s">
        <v>4767</v>
      </c>
      <c r="AQ821" t="s">
        <v>4768</v>
      </c>
      <c r="AR821" t="s">
        <v>4769</v>
      </c>
      <c r="AS821" t="s">
        <v>4770</v>
      </c>
      <c r="AT821" t="s">
        <v>4771</v>
      </c>
      <c r="AU821" t="s">
        <v>4772</v>
      </c>
      <c r="AV821" t="s">
        <v>4773</v>
      </c>
      <c r="AW821" t="s">
        <v>4774</v>
      </c>
      <c r="AX821" t="s">
        <v>4775</v>
      </c>
      <c r="AY821" t="s">
        <v>4776</v>
      </c>
      <c r="AZ821" t="s">
        <v>4777</v>
      </c>
      <c r="BA821" t="s">
        <v>4778</v>
      </c>
      <c r="BB821" t="s">
        <v>4779</v>
      </c>
      <c r="BC821" t="s">
        <v>4780</v>
      </c>
      <c r="BD821" t="s">
        <v>4781</v>
      </c>
      <c r="BE821" t="s">
        <v>4782</v>
      </c>
      <c r="BF821" t="s">
        <v>4783</v>
      </c>
      <c r="BG821" t="s">
        <v>4784</v>
      </c>
      <c r="BH821" t="s">
        <v>4785</v>
      </c>
      <c r="BI821" t="s">
        <v>4786</v>
      </c>
      <c r="BJ821" t="s">
        <v>4787</v>
      </c>
      <c r="BK821" t="s">
        <v>4788</v>
      </c>
      <c r="BL821" t="s">
        <v>4789</v>
      </c>
      <c r="BM821" t="s">
        <v>4790</v>
      </c>
      <c r="BN821" t="s">
        <v>4791</v>
      </c>
      <c r="BO821" t="s">
        <v>4792</v>
      </c>
      <c r="BP821" t="s">
        <v>4793</v>
      </c>
      <c r="BQ821" t="s">
        <v>4794</v>
      </c>
      <c r="BR821" t="s">
        <v>4795</v>
      </c>
      <c r="BS821" t="s">
        <v>4796</v>
      </c>
      <c r="BT821" t="s">
        <v>4797</v>
      </c>
      <c r="BU821" t="s">
        <v>4798</v>
      </c>
      <c r="BV821" t="s">
        <v>4799</v>
      </c>
      <c r="BW821" t="s">
        <v>4800</v>
      </c>
      <c r="BX821" t="s">
        <v>4801</v>
      </c>
      <c r="BY821" t="s">
        <v>4802</v>
      </c>
      <c r="BZ821" t="s">
        <v>4803</v>
      </c>
      <c r="CA821" t="s">
        <v>4804</v>
      </c>
      <c r="CB821" t="s">
        <v>4805</v>
      </c>
      <c r="CC821" t="s">
        <v>4806</v>
      </c>
      <c r="CD821" t="s">
        <v>4807</v>
      </c>
      <c r="CE821" t="s">
        <v>4808</v>
      </c>
      <c r="CF821" t="s">
        <v>4809</v>
      </c>
      <c r="CG821" t="s">
        <v>4810</v>
      </c>
    </row>
    <row r="822" spans="1:85" ht="15" customHeight="1">
      <c r="A822" s="91"/>
      <c r="C822" s="1109"/>
      <c r="D822" s="954"/>
      <c r="E822" s="956"/>
      <c r="F822" s="1103" t="s">
        <v>4811</v>
      </c>
      <c r="G822" s="1103"/>
      <c r="H822" s="1104" t="s">
        <v>4812</v>
      </c>
      <c r="I822" s="1105"/>
      <c r="J822" s="1105"/>
      <c r="K822" s="1105"/>
      <c r="L822" s="1105"/>
      <c r="M822" s="1105"/>
      <c r="N822" s="1106"/>
      <c r="O822" s="749"/>
      <c r="P822" s="749"/>
      <c r="Q822" s="749"/>
      <c r="R822" s="749"/>
      <c r="S822" s="749"/>
      <c r="T822" s="749"/>
      <c r="U822" s="749"/>
      <c r="V822" s="749"/>
      <c r="W822" s="749"/>
      <c r="X822" s="749"/>
      <c r="Y822" s="749"/>
      <c r="Z822" s="749"/>
      <c r="AA822" s="749"/>
      <c r="AB822" s="749"/>
      <c r="AC822" s="749"/>
      <c r="AD822" s="749"/>
      <c r="AG822">
        <f>IF(O822="NA",IF(AND(COUNTIF(O823:O828,"="&amp;$AG$821)=0,COUNTIF(O823:O828,"&lt;&gt;NA")&gt;0),1,0),IF(AND(COUNTIF(O823:O828,"="&amp;$AG$821)=0,COUNTIF(O823:O828,"NA")=COUNTIF(O823:O828,"&lt;&gt;"&amp;$AG$821)),1,0))</f>
        <v>0</v>
      </c>
      <c r="AH822">
        <f t="shared" si="375"/>
        <v>0</v>
      </c>
      <c r="AI822">
        <f t="shared" si="371"/>
        <v>0</v>
      </c>
      <c r="AK822">
        <f t="shared" si="372"/>
        <v>0</v>
      </c>
      <c r="AL822">
        <f t="shared" si="373"/>
        <v>0</v>
      </c>
      <c r="AM822">
        <f t="shared" si="374"/>
        <v>0</v>
      </c>
      <c r="AO822">
        <f>COUNTIF(O823:O828,"NS")</f>
        <v>0</v>
      </c>
      <c r="AP822">
        <f>SUM(O823:O828)</f>
        <v>0</v>
      </c>
      <c r="AQ822">
        <f>IF(COUNTA(O822:O828)=0,0,IF(OR(AND(O822=0,AO822&gt;0),AND(O822="ns",AP822&gt;0),AND(O822="ns",AO822=0,AP822=0)),1,IF(OR(AND(AO822&gt;=2,O822&gt;AP822),AND(O822="ns",AP822=0,AO822&gt;0),O822=AP822),0,1)))</f>
        <v>0</v>
      </c>
      <c r="AR822">
        <f>COUNTIF(O834:O838,"NS")</f>
        <v>0</v>
      </c>
      <c r="AS822">
        <f>SUM(O834:O838)</f>
        <v>0</v>
      </c>
      <c r="AT822">
        <f>IF(COUNTA(O833:O838)=0,0,IF(OR(AND(O833=0,AR822&gt;0),AND(O833="ns",AS822&gt;0),AND(O833="ns",AR822=0,AS822=0)),1,IF(OR(AND(AR822&gt;=2,O833&gt;AS822),AND(O833="ns",AS822=0,AR822&gt;0),O833=AS822),0,1)))</f>
        <v>0</v>
      </c>
      <c r="AU822">
        <f>COUNTIF(O843:O860,"NS")</f>
        <v>0</v>
      </c>
      <c r="AV822">
        <f>SUM(O843:O860)</f>
        <v>0</v>
      </c>
      <c r="AW822">
        <f>IF(COUNTA(O842:O860)=0,0,IF(OR(AND(O842=0,AU822&gt;0),AND(O842="ns",AV822&gt;0),AND(O842="ns",AU822=0,AV822=0)),1,IF(OR(AND(AU822&gt;=2,O842&gt;AV822),AND(O842="ns",AV822=0,AU822&gt;0),O842=AV822),0,1)))</f>
        <v>0</v>
      </c>
      <c r="AX822">
        <f>COUNTIF(O862:O866,"NS")</f>
        <v>0</v>
      </c>
      <c r="AY822">
        <f>SUM(O862:O866)</f>
        <v>0</v>
      </c>
      <c r="AZ822">
        <f>IF(COUNTA(O861:O866)=0,0,IF(OR(AND(O861=0,AX822&gt;0),AND(O861="ns",AY822&gt;0),AND(O861="ns",AX822=0,AY822=0)),1,IF(OR(AND(AX822&gt;=2,O861&gt;AY822),AND(O861="ns",AY822=0,AX822&gt;0),O861=AY822),0,1)))</f>
        <v>0</v>
      </c>
      <c r="BA822">
        <f>COUNTIF(O870:O872,"NS")</f>
        <v>0</v>
      </c>
      <c r="BB822">
        <f>SUM(O870:O872)</f>
        <v>0</v>
      </c>
      <c r="BC822">
        <f>IF(COUNTA(O869:O872)=0,0,IF(OR(AND(O869=0,BA822&gt;0),AND(O869="ns",BB822&gt;0),AND(O869="ns",BA822=0,BB822=0)),1,IF(OR(AND(BA822&gt;=2,O869&gt;BB822),AND(O869="ns",BB822=0,BA822&gt;0),O869=BB822),0,1)))</f>
        <v>0</v>
      </c>
      <c r="BD822">
        <f>COUNTIF(O880:O886,"NS")</f>
        <v>0</v>
      </c>
      <c r="BE822">
        <f>SUM(O880:O886)</f>
        <v>0</v>
      </c>
      <c r="BF822">
        <f>IF(COUNTA(O879:O886)=0,0,IF(OR(AND(O879=0,BD822&gt;0),AND(O879="ns",BE822&gt;0),AND(O879="ns",BD822=0,BE822=0)),1,IF(OR(AND(BD822&gt;=2,O879&gt;BE822),AND(O879="ns",BE822=0,BD822&gt;0),O879=BE822),0,1)))</f>
        <v>0</v>
      </c>
      <c r="BG822">
        <f>COUNTIF(O888:O892,"NS")</f>
        <v>0</v>
      </c>
      <c r="BH822">
        <f>SUM(O888:O892)</f>
        <v>0</v>
      </c>
      <c r="BI822">
        <f>IF(COUNTA(O887:O892)=0,0,IF(OR(AND(O887=0,BG822&gt;0),AND(O887="ns",BH822&gt;0),AND(O887="ns",BG822=0,BH822=0)),1,IF(OR(AND(BG822&gt;=2,O887&gt;BH822),AND(O887="ns",BH822=0,BG822&gt;0),O887=BH822),0,1)))</f>
        <v>0</v>
      </c>
      <c r="BJ822">
        <f>COUNTIF(O898:O903,"NS")</f>
        <v>0</v>
      </c>
      <c r="BK822">
        <f>SUM(O898:O903)</f>
        <v>0</v>
      </c>
      <c r="BL822">
        <f>IF(COUNTA(O897:O903)=0,0,IF(OR(AND(O897=0,BJ822&gt;0),AND(O897="ns",BK822&gt;0),AND(O897="ns",BJ822=0,BK822=0)),1,IF(OR(AND(BJ822&gt;=2,O897&gt;BK822),AND(O897="ns",BK822=0,BJ822&gt;0),O897=BK822),0,1)))</f>
        <v>0</v>
      </c>
      <c r="BM822">
        <f>COUNTIF(O905:O912,"NS")</f>
        <v>0</v>
      </c>
      <c r="BN822">
        <f>SUM(O905:O912)</f>
        <v>0</v>
      </c>
      <c r="BO822">
        <f>IF(COUNTA(O904:O912)=0,0,IF(OR(AND(O904=0,BM822&gt;0),AND(O904="ns",BN822&gt;0),AND(O904="ns",BM822=0,BN822=0)),1,IF(OR(AND(BM822&gt;=2,O904&gt;BN822),AND(O904="ns",BN822=0,BM822&gt;0),O904=BN822),0,1)))</f>
        <v>0</v>
      </c>
      <c r="BP822">
        <f>COUNTIF(O917:O922,"NS")</f>
        <v>0</v>
      </c>
      <c r="BQ822">
        <f>SUM(O917:O922)</f>
        <v>0</v>
      </c>
      <c r="BR822">
        <f>IF(COUNTA(O916:O922)=0,0,IF(OR(AND(O916=0,BP822&gt;0),AND(O916="ns",BQ822&gt;0),AND(O916="ns",BP822=0,BQ822=0)),1,IF(OR(AND(BP822&gt;=2,O916&gt;BQ822),AND(O916="ns",BQ822=0,BP822&gt;0),O916=BQ822),0,1)))</f>
        <v>0</v>
      </c>
      <c r="BS822">
        <f>COUNTIF(O927:O935,"NS")</f>
        <v>0</v>
      </c>
      <c r="BT822">
        <f>SUM(O927:O935)</f>
        <v>0</v>
      </c>
      <c r="BU822">
        <f>IF(COUNTA(O926:O935)=0,0,IF(OR(AND(O926=0,BS822&gt;0),AND(O926="ns",BT822&gt;0),AND(O926="ns",BS822=0,BT822=0)),1,IF(OR(AND(BS822&gt;=2,O926&gt;BT822),AND(O926="ns",BT822=0,BS822&gt;0),O926=BT822),0,1)))</f>
        <v>0</v>
      </c>
      <c r="BV822">
        <f>COUNTIF(O937:O939,"NS")</f>
        <v>0</v>
      </c>
      <c r="BW822">
        <f>SUM(O937:O939)</f>
        <v>0</v>
      </c>
      <c r="BX822">
        <f>IF(COUNTA(O936:O939)=0,0,IF(OR(AND(O936=0,BV822&gt;0),AND(O936="ns",BW822&gt;0),AND(O936="ns",BV822=0,BW822=0)),1,IF(OR(AND(BV822&gt;=2,O936&gt;BW822),AND(O936="ns",BW822=0,BV822&gt;0),O936=BW822),0,1)))</f>
        <v>0</v>
      </c>
      <c r="BY822">
        <f>COUNTIF(O948:O954,"NS")</f>
        <v>0</v>
      </c>
      <c r="BZ822">
        <f>SUM(O948:O954)</f>
        <v>0</v>
      </c>
      <c r="CA822">
        <f>IF(COUNTA(O947:O954)=0,0,IF(OR(AND(O947=0,BY822&gt;0),AND(O947="ns",BZ822&gt;0),AND(O947="ns",BY822=0,BZ822=0)),1,IF(OR(AND(BY822&gt;=2,O947&gt;BZ822),AND(O947="ns",BZ822=0,BY822&gt;0),O947=BZ822),0,1)))</f>
        <v>0</v>
      </c>
      <c r="CB822">
        <f>COUNTIF(O957:O959,"NS")</f>
        <v>0</v>
      </c>
      <c r="CC822">
        <f>SUM(O957:O959)</f>
        <v>0</v>
      </c>
      <c r="CD822">
        <f>IF(COUNTA(O956:O959)=0,0,IF(OR(AND(O956=0,CB822&gt;0),AND(O956="ns",CC822&gt;0),AND(O956="ns",CB822=0,CC822=0)),1,IF(OR(AND(CB822&gt;=2,O956&gt;CC822),AND(O956="ns",CC822=0,CB822&gt;0),O956=CC822),0,1)))</f>
        <v>0</v>
      </c>
      <c r="CE822">
        <f>COUNTIF(O969:O973,"NS")</f>
        <v>0</v>
      </c>
      <c r="CF822">
        <f>SUM(O969:O973)</f>
        <v>0</v>
      </c>
      <c r="CG822">
        <f>IF(COUNTA(O968:O973)=0,0,IF(OR(AND(O968=0,CE822&gt;0),AND(O968="ns",CF822&gt;0),AND(O968="ns",CE822=0,CF822=0)),1,IF(OR(AND(CE822&gt;=2,O968&gt;CF822),AND(O968="ns",CF822=0,CE822&gt;0),O968=CF822),0,1)))</f>
        <v>0</v>
      </c>
    </row>
    <row r="823" spans="1:85" ht="15" customHeight="1">
      <c r="A823" s="91"/>
      <c r="C823" s="1109"/>
      <c r="D823" s="954"/>
      <c r="E823" s="956"/>
      <c r="F823" s="1110" t="s">
        <v>4813</v>
      </c>
      <c r="G823" s="1110"/>
      <c r="H823" s="177"/>
      <c r="I823" s="1115" t="s">
        <v>4814</v>
      </c>
      <c r="J823" s="1115"/>
      <c r="K823" s="1115"/>
      <c r="L823" s="1115"/>
      <c r="M823" s="1115"/>
      <c r="N823" s="1116"/>
      <c r="O823" s="749"/>
      <c r="P823" s="749"/>
      <c r="Q823" s="749"/>
      <c r="R823" s="749"/>
      <c r="S823" s="749"/>
      <c r="T823" s="749"/>
      <c r="U823" s="749"/>
      <c r="V823" s="749"/>
      <c r="W823" s="749"/>
      <c r="X823" s="749"/>
      <c r="Y823" s="749"/>
      <c r="Z823" s="749"/>
      <c r="AA823" s="749"/>
      <c r="AB823" s="749"/>
      <c r="AC823" s="749"/>
      <c r="AD823" s="749"/>
      <c r="AG823"/>
      <c r="AH823">
        <f t="shared" si="375"/>
        <v>0</v>
      </c>
      <c r="AI823">
        <f t="shared" si="371"/>
        <v>0</v>
      </c>
      <c r="AK823">
        <f t="shared" si="372"/>
        <v>0</v>
      </c>
      <c r="AL823">
        <f t="shared" si="373"/>
        <v>0</v>
      </c>
      <c r="AM823">
        <f t="shared" si="374"/>
        <v>0</v>
      </c>
      <c r="AO823">
        <f>COUNTIF(S823:S828,"NS")</f>
        <v>0</v>
      </c>
      <c r="AP823">
        <f>SUM(S823:S828)</f>
        <v>0</v>
      </c>
      <c r="AQ823">
        <f>IF(COUNTA(S822:S828)=0,0,IF(OR(AND(S822=0,AO823&gt;0),AND(S822="ns",AP823&gt;0),AND(S822="ns",AO823=0,AP823=0)),1,IF(OR(AND(AO823&gt;=2,S822&gt;AP823),AND(S822="ns",AP823=0,AO823&gt;0),S822=AP823),0,1)))</f>
        <v>0</v>
      </c>
      <c r="AR823">
        <f>COUNTIF(S834:S838,"NS")</f>
        <v>0</v>
      </c>
      <c r="AS823">
        <f>SUM(S834:S838)</f>
        <v>0</v>
      </c>
      <c r="AT823">
        <f>IF(COUNTA(S833:S838)=0,0,IF(OR(AND(S833=0,AR823&gt;0),AND(S833="ns",AS823&gt;0),AND(S833="ns",AR823=0,AS823=0)),1,IF(OR(AND(AR823&gt;=2,S833&gt;AS823),AND(S833="ns",AS823=0,AR823&gt;0),S833=AS823),0,1)))</f>
        <v>0</v>
      </c>
      <c r="AU823">
        <f>COUNTIF(S843:S860,"NS")</f>
        <v>0</v>
      </c>
      <c r="AV823">
        <f>SUM(S843:S860)</f>
        <v>0</v>
      </c>
      <c r="AW823">
        <f>IF(COUNTA(S842:S860)=0,0,IF(OR(AND(S842=0,AU823&gt;0),AND(S842="ns",AV823&gt;0),AND(S842="ns",AU823=0,AV823=0)),1,IF(OR(AND(AU823&gt;=2,S842&gt;AV823),AND(S842="ns",AV823=0,AU823&gt;0),S842=AV823),0,1)))</f>
        <v>0</v>
      </c>
      <c r="AX823">
        <f>COUNTIF(S862:S866,"NS")</f>
        <v>0</v>
      </c>
      <c r="AY823">
        <f>SUM(S862:S866)</f>
        <v>0</v>
      </c>
      <c r="AZ823">
        <f>IF(COUNTA(S861:S866)=0,0,IF(OR(AND(S861=0,AX823&gt;0),AND(S861="ns",AY823&gt;0),AND(S861="ns",AX823=0,AY823=0)),1,IF(OR(AND(AX823&gt;=2,S861&gt;AY823),AND(S861="ns",AY823=0,AX823&gt;0),S861=AY823),0,1)))</f>
        <v>0</v>
      </c>
      <c r="BA823">
        <f>COUNTIF(S870:S872,"NS")</f>
        <v>0</v>
      </c>
      <c r="BB823">
        <f>SUM(S870:S872)</f>
        <v>0</v>
      </c>
      <c r="BC823">
        <f>IF(COUNTA(S869:S872)=0,0,IF(OR(AND(S869=0,BA823&gt;0),AND(S869="ns",BB823&gt;0),AND(S869="ns",BA823=0,BB823=0)),1,IF(OR(AND(BA823&gt;=2,S869&gt;BB823),AND(S869="ns",BB823=0,BA823&gt;0),S869=BB823),0,1)))</f>
        <v>0</v>
      </c>
      <c r="BD823">
        <f>COUNTIF(S880:S886,"NS")</f>
        <v>0</v>
      </c>
      <c r="BE823">
        <f>SUM(S880:S886)</f>
        <v>0</v>
      </c>
      <c r="BF823">
        <f>IF(COUNTA(S879:S886)=0,0,IF(OR(AND(S879=0,BD823&gt;0),AND(S879="ns",BE823&gt;0),AND(S879="ns",BD823=0,BE823=0)),1,IF(OR(AND(BD823&gt;=2,S879&gt;BE823),AND(S879="ns",BE823=0,BD823&gt;0),S879=BE823),0,1)))</f>
        <v>0</v>
      </c>
      <c r="BG823">
        <f>COUNTIF(S888:S892,"NS")</f>
        <v>0</v>
      </c>
      <c r="BH823">
        <f>SUM(S888:S892)</f>
        <v>0</v>
      </c>
      <c r="BI823">
        <f>IF(COUNTA(S887:S892)=0,0,IF(OR(AND(S887=0,BG823&gt;0),AND(S887="ns",BH823&gt;0),AND(S887="ns",BG823=0,BH823=0)),1,IF(OR(AND(BG823&gt;=2,S887&gt;BH823),AND(S887="ns",BH823=0,BG823&gt;0),S887=BH823),0,1)))</f>
        <v>0</v>
      </c>
      <c r="BJ823">
        <f>COUNTIF(S898:S903,"NS")</f>
        <v>0</v>
      </c>
      <c r="BK823">
        <f>SUM(S898:S903)</f>
        <v>0</v>
      </c>
      <c r="BL823">
        <f>IF(COUNTA(S897:S903)=0,0,IF(OR(AND(S897=0,BJ823&gt;0),AND(S897="ns",BK823&gt;0),AND(S897="ns",BJ823=0,BK823=0)),1,IF(OR(AND(BJ823&gt;=2,S897&gt;BK823),AND(S897="ns",BK823=0,BJ823&gt;0),S897=BK823),0,1)))</f>
        <v>0</v>
      </c>
      <c r="BM823">
        <f>COUNTIF(S905:S912,"NS")</f>
        <v>0</v>
      </c>
      <c r="BN823">
        <f>SUM(S905:S912)</f>
        <v>0</v>
      </c>
      <c r="BO823">
        <f>IF(COUNTA(S904:S912)=0,0,IF(OR(AND(S904=0,BM823&gt;0),AND(S904="ns",BN823&gt;0),AND(S904="ns",BM823=0,BN823=0)),1,IF(OR(AND(BM823&gt;=2,S904&gt;BN823),AND(S904="ns",BN823=0,BM823&gt;0),S904=BN823),0,1)))</f>
        <v>0</v>
      </c>
      <c r="BP823">
        <f>COUNTIF(S917:S922,"NS")</f>
        <v>0</v>
      </c>
      <c r="BQ823">
        <f>SUM(S917:S922)</f>
        <v>0</v>
      </c>
      <c r="BR823">
        <f>IF(COUNTA(S916:S922)=0,0,IF(OR(AND(S916=0,BP823&gt;0),AND(S916="ns",BQ823&gt;0),AND(S916="ns",BP823=0,BQ823=0)),1,IF(OR(AND(BP823&gt;=2,S916&gt;BQ823),AND(S916="ns",BQ823=0,BP823&gt;0),S916=BQ823),0,1)))</f>
        <v>0</v>
      </c>
      <c r="BS823">
        <f>COUNTIF(S927:S935,"NS")</f>
        <v>0</v>
      </c>
      <c r="BT823">
        <f>SUM(S927:S935)</f>
        <v>0</v>
      </c>
      <c r="BU823">
        <f>IF(COUNTA(S926:S935)=0,0,IF(OR(AND(S926=0,BS823&gt;0),AND(S926="ns",BT823&gt;0),AND(S926="ns",BS823=0,BT823=0)),1,IF(OR(AND(BS823&gt;=2,S926&gt;BT823),AND(S926="ns",BT823=0,BS823&gt;0),S926=BT823),0,1)))</f>
        <v>0</v>
      </c>
      <c r="BV823">
        <f>COUNTIF(S937:S939,"NS")</f>
        <v>0</v>
      </c>
      <c r="BW823">
        <f>SUM(S937:S939)</f>
        <v>0</v>
      </c>
      <c r="BX823">
        <f>IF(COUNTA(S936:S939)=0,0,IF(OR(AND(S936=0,BV823&gt;0),AND(S936="ns",BW823&gt;0),AND(S936="ns",BV823=0,BW823=0)),1,IF(OR(AND(BV823&gt;=2,S936&gt;BW823),AND(S936="ns",BW823=0,BV823&gt;0),S936=BW823),0,1)))</f>
        <v>0</v>
      </c>
      <c r="BY823">
        <f>COUNTIF(S948:S954,"NS")</f>
        <v>0</v>
      </c>
      <c r="BZ823">
        <f>SUM(S948:S954)</f>
        <v>0</v>
      </c>
      <c r="CA823">
        <f>IF(COUNTA(S947:S954)=0,0,IF(OR(AND(S947=0,BY823&gt;0),AND(S947="ns",BZ823&gt;0),AND(S947="ns",BY823=0,BZ823=0)),1,IF(OR(AND(BY823&gt;=2,S947&gt;BZ823),AND(S947="ns",BZ823=0,BY823&gt;0),S947=BZ823),0,1)))</f>
        <v>0</v>
      </c>
      <c r="CB823">
        <f>COUNTIF(S957:S959,"NS")</f>
        <v>0</v>
      </c>
      <c r="CC823">
        <f>SUM(S957:S959)</f>
        <v>0</v>
      </c>
      <c r="CD823">
        <f>IF(COUNTA(S956:S959)=0,0,IF(OR(AND(S956=0,CB823&gt;0),AND(S956="ns",CC823&gt;0),AND(S956="ns",CB823=0,CC823=0)),1,IF(OR(AND(CB823&gt;=2,S956&gt;CC823),AND(S956="ns",CC823=0,CB823&gt;0),S956=CC823),0,1)))</f>
        <v>0</v>
      </c>
      <c r="CE823">
        <f>COUNTIF(S969:S973,"NS")</f>
        <v>0</v>
      </c>
      <c r="CF823">
        <f>SUM(S969:S973)</f>
        <v>0</v>
      </c>
      <c r="CG823">
        <f>IF(COUNTA(S968:S973)=0,0,IF(OR(AND(S968=0,CE823&gt;0),AND(S968="ns",CF823&gt;0),AND(S968="ns",CE823=0,CF823=0)),1,IF(OR(AND(CE823&gt;=2,S968&gt;CF823),AND(S968="ns",CF823=0,CE823&gt;0),S968=CF823),0,1)))</f>
        <v>0</v>
      </c>
    </row>
    <row r="824" spans="1:85" ht="15" customHeight="1">
      <c r="A824" s="91"/>
      <c r="C824" s="1109"/>
      <c r="D824" s="954"/>
      <c r="E824" s="956"/>
      <c r="F824" s="1110" t="s">
        <v>4815</v>
      </c>
      <c r="G824" s="1110"/>
      <c r="H824" s="178"/>
      <c r="I824" s="1111" t="s">
        <v>4816</v>
      </c>
      <c r="J824" s="1111"/>
      <c r="K824" s="1111"/>
      <c r="L824" s="1111"/>
      <c r="M824" s="1111"/>
      <c r="N824" s="1112"/>
      <c r="O824" s="749"/>
      <c r="P824" s="749"/>
      <c r="Q824" s="749"/>
      <c r="R824" s="749"/>
      <c r="S824" s="749"/>
      <c r="T824" s="749"/>
      <c r="U824" s="749"/>
      <c r="V824" s="749"/>
      <c r="W824" s="749"/>
      <c r="X824" s="749"/>
      <c r="Y824" s="749"/>
      <c r="Z824" s="749"/>
      <c r="AA824" s="749"/>
      <c r="AB824" s="749"/>
      <c r="AC824" s="749"/>
      <c r="AD824" s="749"/>
      <c r="AG824"/>
      <c r="AH824">
        <f t="shared" si="375"/>
        <v>0</v>
      </c>
      <c r="AI824">
        <f t="shared" si="371"/>
        <v>0</v>
      </c>
      <c r="AK824">
        <f t="shared" si="372"/>
        <v>0</v>
      </c>
      <c r="AL824">
        <f t="shared" si="373"/>
        <v>0</v>
      </c>
      <c r="AM824">
        <f t="shared" si="374"/>
        <v>0</v>
      </c>
      <c r="AO824">
        <f>COUNTIF(W823:W828,"NS")</f>
        <v>0</v>
      </c>
      <c r="AP824">
        <f>SUM(W823:W828)</f>
        <v>0</v>
      </c>
      <c r="AQ824">
        <f>IF(COUNTA(W822:W828)=0,0,IF(OR(AND(W822=0,AO824&gt;0),AND(W822="ns",AP824&gt;0),AND(W822="ns",AO824=0,AP824=0)),1,IF(OR(AND(AO824&gt;=2,W822&gt;AP824),AND(W822="ns",AP824=0,AO824&gt;0),W822=AP824),0,1)))</f>
        <v>0</v>
      </c>
      <c r="AR824">
        <f>COUNTIF(W834:W838,"NS")</f>
        <v>0</v>
      </c>
      <c r="AS824">
        <f>SUM(W834:W838)</f>
        <v>0</v>
      </c>
      <c r="AT824">
        <f>IF(COUNTA(W833:W838)=0,0,IF(OR(AND(W833=0,AR824&gt;0),AND(W833="ns",AS824&gt;0),AND(W833="ns",AR824=0,AS824=0)),1,IF(OR(AND(AR824&gt;=2,W833&gt;AS824),AND(W833="ns",AS824=0,AR824&gt;0),W833=AS824),0,1)))</f>
        <v>0</v>
      </c>
      <c r="AU824">
        <f>COUNTIF(W843:W860,"NS")</f>
        <v>0</v>
      </c>
      <c r="AV824">
        <f>SUM(W843:W860)</f>
        <v>0</v>
      </c>
      <c r="AW824">
        <f>IF(COUNTA(W842:W860)=0,0,IF(OR(AND(W842=0,AU824&gt;0),AND(W842="ns",AV824&gt;0),AND(W842="ns",AU824=0,AV824=0)),1,IF(OR(AND(AU824&gt;=2,W842&gt;AV824),AND(W842="ns",AV824=0,AU824&gt;0),W842=AV824),0,1)))</f>
        <v>0</v>
      </c>
      <c r="AX824">
        <f>COUNTIF(W862:W866,"NS")</f>
        <v>0</v>
      </c>
      <c r="AY824">
        <f>SUM(W862:W866)</f>
        <v>0</v>
      </c>
      <c r="AZ824">
        <f>IF(COUNTA(W861:W866)=0,0,IF(OR(AND(W861=0,AX824&gt;0),AND(W861="ns",AY824&gt;0),AND(W861="ns",AX824=0,AY824=0)),1,IF(OR(AND(AX824&gt;=2,W861&gt;AY824),AND(W861="ns",AY824=0,AX824&gt;0),W861=AY824),0,1)))</f>
        <v>0</v>
      </c>
      <c r="BA824">
        <f>COUNTIF(W870:W872,"NS")</f>
        <v>0</v>
      </c>
      <c r="BB824">
        <f>SUM(W870:W872)</f>
        <v>0</v>
      </c>
      <c r="BC824">
        <f>IF(COUNTA(W869:W872)=0,0,IF(OR(AND(W869=0,BA824&gt;0),AND(W869="ns",BB824&gt;0),AND(W869="ns",BA824=0,BB824=0)),1,IF(OR(AND(BA824&gt;=2,W869&gt;BB824),AND(W869="ns",BB824=0,BA824&gt;0),W869=BB824),0,1)))</f>
        <v>0</v>
      </c>
      <c r="BD824">
        <f>COUNTIF(W880:W886,"NS")</f>
        <v>0</v>
      </c>
      <c r="BE824">
        <f>SUM(W880:W886)</f>
        <v>0</v>
      </c>
      <c r="BF824">
        <f>IF(COUNTA(W879:W886)=0,0,IF(OR(AND(W879=0,BD824&gt;0),AND(W879="ns",BE824&gt;0),AND(W879="ns",BD824=0,BE824=0)),1,IF(OR(AND(BD824&gt;=2,W879&gt;BE824),AND(W879="ns",BE824=0,BD824&gt;0),W879=BE824),0,1)))</f>
        <v>0</v>
      </c>
      <c r="BG824">
        <f>COUNTIF(W888:W892,"NS")</f>
        <v>0</v>
      </c>
      <c r="BH824">
        <f>SUM(W888:W892)</f>
        <v>0</v>
      </c>
      <c r="BI824">
        <f>IF(COUNTA(W887:W892)=0,0,IF(OR(AND(W887=0,BG824&gt;0),AND(W887="ns",BH824&gt;0),AND(W887="ns",BG824=0,BH824=0)),1,IF(OR(AND(BG824&gt;=2,W887&gt;BH824),AND(W887="ns",BH824=0,BG824&gt;0),W887=BH824),0,1)))</f>
        <v>0</v>
      </c>
      <c r="BJ824">
        <f>COUNTIF(W898:W903,"NS")</f>
        <v>0</v>
      </c>
      <c r="BK824">
        <f>SUM(W898:W903)</f>
        <v>0</v>
      </c>
      <c r="BL824">
        <f>IF(COUNTA(W897:W903)=0,0,IF(OR(AND(W897=0,BJ824&gt;0),AND(W897="ns",BK824&gt;0),AND(W897="ns",BJ824=0,BK824=0)),1,IF(OR(AND(BJ824&gt;=2,W897&gt;BK824),AND(W897="ns",BK824=0,BJ824&gt;0),W897=BK824),0,1)))</f>
        <v>0</v>
      </c>
      <c r="BM824">
        <f>COUNTIF(W905:W912,"NS")</f>
        <v>0</v>
      </c>
      <c r="BN824">
        <f>SUM(W905:W912)</f>
        <v>0</v>
      </c>
      <c r="BO824">
        <f>IF(COUNTA(W904:W912)=0,0,IF(OR(AND(W904=0,BM824&gt;0),AND(W904="ns",BN824&gt;0),AND(W904="ns",BM824=0,BN824=0)),1,IF(OR(AND(BM824&gt;=2,W904&gt;BN824),AND(W904="ns",BN824=0,BM824&gt;0),W904=BN824),0,1)))</f>
        <v>0</v>
      </c>
      <c r="BP824">
        <f>COUNTIF(W917:W922,"NS")</f>
        <v>0</v>
      </c>
      <c r="BQ824">
        <f>SUM(W917:W922)</f>
        <v>0</v>
      </c>
      <c r="BR824">
        <f>IF(COUNTA(W916:W922)=0,0,IF(OR(AND(W916=0,BP824&gt;0),AND(W916="ns",BQ824&gt;0),AND(W916="ns",BP824=0,BQ824=0)),1,IF(OR(AND(BP824&gt;=2,W916&gt;BQ824),AND(W916="ns",BQ824=0,BP824&gt;0),W916=BQ824),0,1)))</f>
        <v>0</v>
      </c>
      <c r="BS824">
        <f>COUNTIF(W927:W935,"NS")</f>
        <v>0</v>
      </c>
      <c r="BT824">
        <f>SUM(W927:W935)</f>
        <v>0</v>
      </c>
      <c r="BU824">
        <f>IF(COUNTA(W926:W935)=0,0,IF(OR(AND(W926=0,BS824&gt;0),AND(W926="ns",BT824&gt;0),AND(W926="ns",BS824=0,BT824=0)),1,IF(OR(AND(BS824&gt;=2,W926&gt;BT824),AND(W926="ns",BT824=0,BS824&gt;0),W926=BT824),0,1)))</f>
        <v>0</v>
      </c>
      <c r="BV824">
        <f>COUNTIF(W937:W939,"NS")</f>
        <v>0</v>
      </c>
      <c r="BW824">
        <f>SUM(W937:W939)</f>
        <v>0</v>
      </c>
      <c r="BX824">
        <f>IF(COUNTA(W936:W939)=0,0,IF(OR(AND(W936=0,BV824&gt;0),AND(W936="ns",BW824&gt;0),AND(W936="ns",BV824=0,BW824=0)),1,IF(OR(AND(BV824&gt;=2,W936&gt;BW824),AND(W936="ns",BW824=0,BV824&gt;0),W936=BW824),0,1)))</f>
        <v>0</v>
      </c>
      <c r="BY824">
        <f>COUNTIF(W948:W954,"NS")</f>
        <v>0</v>
      </c>
      <c r="BZ824">
        <f>SUM(W948:W954)</f>
        <v>0</v>
      </c>
      <c r="CA824">
        <f>IF(COUNTA(W947:W954)=0,0,IF(OR(AND(W947=0,BY824&gt;0),AND(W947="ns",BZ824&gt;0),AND(W947="ns",BY824=0,BZ824=0)),1,IF(OR(AND(BY824&gt;=2,W947&gt;BZ824),AND(W947="ns",BZ824=0,BY824&gt;0),W947=BZ824),0,1)))</f>
        <v>0</v>
      </c>
      <c r="CB824">
        <f>COUNTIF(W957:W959,"NS")</f>
        <v>0</v>
      </c>
      <c r="CC824">
        <f>SUM(W957:W959)</f>
        <v>0</v>
      </c>
      <c r="CD824">
        <f>IF(COUNTA(W956:W959)=0,0,IF(OR(AND(W956=0,CB824&gt;0),AND(W956="ns",CC824&gt;0),AND(W956="ns",CB824=0,CC824=0)),1,IF(OR(AND(CB824&gt;=2,W956&gt;CC824),AND(W956="ns",CC824=0,CB824&gt;0),W956=CC824),0,1)))</f>
        <v>0</v>
      </c>
      <c r="CE824">
        <f>COUNTIF(W969:W973,"NS")</f>
        <v>0</v>
      </c>
      <c r="CF824">
        <f>SUM(W969:W973)</f>
        <v>0</v>
      </c>
      <c r="CG824">
        <f>IF(COUNTA(W968:W973)=0,0,IF(OR(AND(W968=0,CE824&gt;0),AND(W968="ns",CF824&gt;0),AND(W968="ns",CE824=0,CF824=0)),1,IF(OR(AND(CE824&gt;=2,W968&gt;CF824),AND(W968="ns",CF824=0,CE824&gt;0),W968=CF824),0,1)))</f>
        <v>0</v>
      </c>
    </row>
    <row r="825" spans="1:85" ht="15" customHeight="1">
      <c r="A825" s="91"/>
      <c r="C825" s="1109"/>
      <c r="D825" s="954"/>
      <c r="E825" s="956"/>
      <c r="F825" s="1110" t="s">
        <v>4817</v>
      </c>
      <c r="G825" s="1110"/>
      <c r="H825" s="178"/>
      <c r="I825" s="1111" t="s">
        <v>4818</v>
      </c>
      <c r="J825" s="1111"/>
      <c r="K825" s="1111"/>
      <c r="L825" s="1111"/>
      <c r="M825" s="1111"/>
      <c r="N825" s="1112"/>
      <c r="O825" s="749"/>
      <c r="P825" s="749"/>
      <c r="Q825" s="749"/>
      <c r="R825" s="749"/>
      <c r="S825" s="749"/>
      <c r="T825" s="749"/>
      <c r="U825" s="749"/>
      <c r="V825" s="749"/>
      <c r="W825" s="749"/>
      <c r="X825" s="749"/>
      <c r="Y825" s="749"/>
      <c r="Z825" s="749"/>
      <c r="AA825" s="749"/>
      <c r="AB825" s="749"/>
      <c r="AC825" s="749"/>
      <c r="AD825" s="749"/>
      <c r="AG825"/>
      <c r="AH825">
        <f t="shared" si="375"/>
        <v>0</v>
      </c>
      <c r="AI825">
        <f t="shared" si="371"/>
        <v>0</v>
      </c>
      <c r="AK825">
        <f t="shared" si="372"/>
        <v>0</v>
      </c>
      <c r="AL825">
        <f t="shared" si="373"/>
        <v>0</v>
      </c>
      <c r="AM825">
        <f t="shared" si="374"/>
        <v>0</v>
      </c>
      <c r="AO825">
        <f>COUNTIF(AA823:AA828,"NS")</f>
        <v>0</v>
      </c>
      <c r="AP825" s="3">
        <f>SUM(AA823:AA828)</f>
        <v>0</v>
      </c>
      <c r="AQ825">
        <f>IF(COUNTA(AA822:AA828)=0,0,IF(OR(AND(AA822=0,AO825&gt;0),AND(AA822="ns",AP825&gt;0),AND(AA822="ns",AO825=0,AP825=0)),1,IF(OR(AND(AO825&gt;=2,AA822&gt;AP825),AND(AA822="ns",AP825=0,AO825&gt;0),AA822=AP825),0,1)))</f>
        <v>0</v>
      </c>
      <c r="AR825">
        <f>COUNTIF(AA834:AA838,"NS")</f>
        <v>0</v>
      </c>
      <c r="AS825" s="3">
        <f>SUM(AA834:AA838)</f>
        <v>0</v>
      </c>
      <c r="AT825">
        <f>IF(COUNTA(AA833:AA838)=0,0,IF(OR(AND(AA833=0,AR825&gt;0),AND(AA833="ns",AS825&gt;0),AND(AA833="ns",AR825=0,AS825=0)),1,IF(OR(AND(AR825&gt;=2,AA833&gt;AS825),AND(AA833="ns",AS825=0,AR825&gt;0),AA833=AS825),0,1)))</f>
        <v>0</v>
      </c>
      <c r="AU825">
        <f>COUNTIF(AA843:AA860,"NS")</f>
        <v>0</v>
      </c>
      <c r="AV825" s="3">
        <f>SUM(AA843:AA860)</f>
        <v>0</v>
      </c>
      <c r="AW825">
        <f>IF(COUNTA(AA842:AA860)=0,0,IF(OR(AND(AA842=0,AU825&gt;0),AND(AA842="ns",AV825&gt;0),AND(AA842="ns",AU825=0,AV825=0)),1,IF(OR(AND(AU825&gt;=2,AA842&gt;AV825),AND(AA842="ns",AV825=0,AU825&gt;0),AA842=AV825),0,1)))</f>
        <v>0</v>
      </c>
      <c r="AX825">
        <f>COUNTIF(AA862:AA866,"NS")</f>
        <v>0</v>
      </c>
      <c r="AY825" s="3">
        <f>SUM(AA862:AA866)</f>
        <v>0</v>
      </c>
      <c r="AZ825">
        <f>IF(COUNTA(AA861:AA866)=0,0,IF(OR(AND(AA861=0,AX825&gt;0),AND(AA861="ns",AY825&gt;0),AND(AA861="ns",AX825=0,AY825=0)),1,IF(OR(AND(AX825&gt;=2,AA861&gt;AY825),AND(AA861="ns",AY825=0,AX825&gt;0),AA861=AY825),0,1)))</f>
        <v>0</v>
      </c>
      <c r="BA825">
        <f>COUNTIF(AA870:AA872,"NS")</f>
        <v>0</v>
      </c>
      <c r="BB825" s="3">
        <f>SUM(AA870:AA872)</f>
        <v>0</v>
      </c>
      <c r="BC825">
        <f>IF(COUNTA(AA869:AA872)=0,0,IF(OR(AND(AA869=0,BA825&gt;0),AND(AA869="ns",BB825&gt;0),AND(AA869="ns",BA825=0,BB825=0)),1,IF(OR(AND(BA825&gt;=2,AA869&gt;BB825),AND(AA869="ns",BB825=0,BA825&gt;0),AA869=BB825),0,1)))</f>
        <v>0</v>
      </c>
      <c r="BD825">
        <f>COUNTIF(AA880:AA886,"NS")</f>
        <v>0</v>
      </c>
      <c r="BE825" s="3">
        <f>SUM(AA880:AA886)</f>
        <v>0</v>
      </c>
      <c r="BF825">
        <f>IF(COUNTA(AA879:AA886)=0,0,IF(OR(AND(AA879=0,BD825&gt;0),AND(AA879="ns",BE825&gt;0),AND(AA879="ns",BD825=0,BE825=0)),1,IF(OR(AND(BD825&gt;=2,AA879&gt;BE825),AND(AA879="ns",BE825=0,BD825&gt;0),AA879=BE825),0,1)))</f>
        <v>0</v>
      </c>
      <c r="BG825">
        <f>COUNTIF(AA888:AA892,"NS")</f>
        <v>0</v>
      </c>
      <c r="BH825" s="3">
        <f>SUM(AA888:AA892)</f>
        <v>0</v>
      </c>
      <c r="BI825">
        <f>IF(COUNTA(AA887:AA892)=0,0,IF(OR(AND(AA887=0,BG825&gt;0),AND(AA887="ns",BH825&gt;0),AND(AA887="ns",BG825=0,BH825=0)),1,IF(OR(AND(BG825&gt;=2,AA887&gt;BH825),AND(AA887="ns",BH825=0,BG825&gt;0),AA887=BH825),0,1)))</f>
        <v>0</v>
      </c>
      <c r="BJ825">
        <f>COUNTIF(AA898:AA903,"NS")</f>
        <v>0</v>
      </c>
      <c r="BK825" s="3">
        <f>SUM(AA898:AA903)</f>
        <v>0</v>
      </c>
      <c r="BL825">
        <f>IF(COUNTA(AA897:AA903)=0,0,IF(OR(AND(AA897=0,BJ825&gt;0),AND(AA897="ns",BK825&gt;0),AND(AA897="ns",BJ825=0,BK825=0)),1,IF(OR(AND(BJ825&gt;=2,AA897&gt;BK825),AND(AA897="ns",BK825=0,BJ825&gt;0),AA897=BK825),0,1)))</f>
        <v>0</v>
      </c>
      <c r="BM825">
        <f>COUNTIF(AA905:AA912,"NS")</f>
        <v>0</v>
      </c>
      <c r="BN825" s="3">
        <f>SUM(AA905:AA912)</f>
        <v>0</v>
      </c>
      <c r="BO825">
        <f>IF(COUNTA(AA904:AA912)=0,0,IF(OR(AND(AA904=0,BM825&gt;0),AND(AA904="ns",BN825&gt;0),AND(AA904="ns",BM825=0,BN825=0)),1,IF(OR(AND(BM825&gt;=2,AA904&gt;BN825),AND(AA904="ns",BN825=0,BM825&gt;0),AA904=BN825),0,1)))</f>
        <v>0</v>
      </c>
      <c r="BP825">
        <f>COUNTIF(AA917:AA922,"NS")</f>
        <v>0</v>
      </c>
      <c r="BQ825" s="3">
        <f>SUM(AA917:AA922)</f>
        <v>0</v>
      </c>
      <c r="BR825">
        <f>IF(COUNTA(AA916:AA922)=0,0,IF(OR(AND(AA916=0,BP825&gt;0),AND(AA916="ns",BQ825&gt;0),AND(AA916="ns",BP825=0,BQ825=0)),1,IF(OR(AND(BP825&gt;=2,AA916&gt;BQ825),AND(AA916="ns",BQ825=0,BP825&gt;0),AA916=BQ825),0,1)))</f>
        <v>0</v>
      </c>
      <c r="BS825">
        <f>COUNTIF(AA927:AA935,"NS")</f>
        <v>0</v>
      </c>
      <c r="BT825" s="3">
        <f>SUM(AA927:AA935)</f>
        <v>0</v>
      </c>
      <c r="BU825">
        <f>IF(COUNTA(AA926:AA935)=0,0,IF(OR(AND(AA926=0,BS825&gt;0),AND(AA926="ns",BT825&gt;0),AND(AA926="ns",BS825=0,BT825=0)),1,IF(OR(AND(BS825&gt;=2,AA926&gt;BT825),AND(AA926="ns",BT825=0,BS825&gt;0),AA926=BT825),0,1)))</f>
        <v>0</v>
      </c>
      <c r="BV825">
        <f>COUNTIF(AA937:AA939,"NS")</f>
        <v>0</v>
      </c>
      <c r="BW825" s="3">
        <f>SUM(AA937:AA939)</f>
        <v>0</v>
      </c>
      <c r="BX825">
        <f>IF(COUNTA(AA936:AA939)=0,0,IF(OR(AND(AA936=0,BV825&gt;0),AND(AA936="ns",BW825&gt;0),AND(AA936="ns",BV825=0,BW825=0)),1,IF(OR(AND(BV825&gt;=2,AA936&gt;BW825),AND(AA936="ns",BW825=0,BV825&gt;0),AA936=BW825),0,1)))</f>
        <v>0</v>
      </c>
      <c r="BY825">
        <f>COUNTIF(AA948:AA954,"NS")</f>
        <v>0</v>
      </c>
      <c r="BZ825" s="3">
        <f>SUM(AA948:AA954)</f>
        <v>0</v>
      </c>
      <c r="CA825">
        <f>IF(COUNTA(AA947:AA954)=0,0,IF(OR(AND(AA947=0,BY825&gt;0),AND(AA947="ns",BZ825&gt;0),AND(AA947="ns",BY825=0,BZ825=0)),1,IF(OR(AND(BY825&gt;=2,AA947&gt;BZ825),AND(AA947="ns",BZ825=0,BY825&gt;0),AA947=BZ825),0,1)))</f>
        <v>0</v>
      </c>
      <c r="CB825">
        <f>COUNTIF(AA957:AA959,"NS")</f>
        <v>0</v>
      </c>
      <c r="CC825" s="3">
        <f>SUM(AA957:AA959)</f>
        <v>0</v>
      </c>
      <c r="CD825">
        <f>IF(COUNTA(AA956:AA959)=0,0,IF(OR(AND(AA956=0,CB825&gt;0),AND(AA956="ns",CC825&gt;0),AND(AA956="ns",CB825=0,CC825=0)),1,IF(OR(AND(CB825&gt;=2,AA956&gt;CC825),AND(AA956="ns",CC825=0,CB825&gt;0),AA956=CC825),0,1)))</f>
        <v>0</v>
      </c>
      <c r="CE825">
        <f>COUNTIF(AA969:AA973,"NS")</f>
        <v>0</v>
      </c>
      <c r="CF825" s="3">
        <f>SUM(AA969:AA973)</f>
        <v>0</v>
      </c>
      <c r="CG825">
        <f>IF(COUNTA(AA968:AA973)=0,0,IF(OR(AND(AA968=0,CE825&gt;0),AND(AA968="ns",CF825&gt;0),AND(AA968="ns",CE825=0,CF825=0)),1,IF(OR(AND(CE825&gt;=2,AA968&gt;CF825),AND(AA968="ns",CF825=0,CE825&gt;0),AA968=CF825),0,1)))</f>
        <v>0</v>
      </c>
    </row>
    <row r="826" spans="1:85" ht="15" customHeight="1">
      <c r="A826" s="91"/>
      <c r="C826" s="1109"/>
      <c r="D826" s="954"/>
      <c r="E826" s="956"/>
      <c r="F826" s="1110" t="s">
        <v>4819</v>
      </c>
      <c r="G826" s="1110"/>
      <c r="H826" s="178"/>
      <c r="I826" s="1111" t="s">
        <v>4820</v>
      </c>
      <c r="J826" s="1111"/>
      <c r="K826" s="1111"/>
      <c r="L826" s="1111"/>
      <c r="M826" s="1111"/>
      <c r="N826" s="1112"/>
      <c r="O826" s="749"/>
      <c r="P826" s="749"/>
      <c r="Q826" s="749"/>
      <c r="R826" s="749"/>
      <c r="S826" s="749"/>
      <c r="T826" s="749"/>
      <c r="U826" s="749"/>
      <c r="V826" s="749"/>
      <c r="W826" s="749"/>
      <c r="X826" s="749"/>
      <c r="Y826" s="749"/>
      <c r="Z826" s="749"/>
      <c r="AA826" s="749"/>
      <c r="AB826" s="749"/>
      <c r="AC826" s="749"/>
      <c r="AD826" s="749"/>
      <c r="AG826"/>
      <c r="AH826">
        <f t="shared" si="375"/>
        <v>0</v>
      </c>
      <c r="AI826">
        <f t="shared" si="371"/>
        <v>0</v>
      </c>
      <c r="AK826">
        <f t="shared" si="372"/>
        <v>0</v>
      </c>
      <c r="AL826">
        <f t="shared" si="373"/>
        <v>0</v>
      </c>
      <c r="AM826">
        <f t="shared" si="374"/>
        <v>0</v>
      </c>
      <c r="AO826">
        <f>SUM(AO822:AO825)</f>
        <v>0</v>
      </c>
      <c r="AQ826">
        <f>SUM(AQ822:AQ825)</f>
        <v>0</v>
      </c>
      <c r="AR826">
        <f>SUM(AR822:AR825)</f>
        <v>0</v>
      </c>
      <c r="AT826">
        <f>SUM(AT822:AT825)</f>
        <v>0</v>
      </c>
      <c r="AU826">
        <f>SUM(AU822:AU825)</f>
        <v>0</v>
      </c>
      <c r="AW826">
        <f>SUM(AW822:AW825)</f>
        <v>0</v>
      </c>
      <c r="AX826">
        <f>SUM(AX822:AX825)</f>
        <v>0</v>
      </c>
      <c r="AZ826">
        <f>SUM(AZ822:AZ825)</f>
        <v>0</v>
      </c>
      <c r="BA826">
        <f>SUM(BA822:BA825)</f>
        <v>0</v>
      </c>
      <c r="BC826">
        <f>SUM(BC822:BC825)</f>
        <v>0</v>
      </c>
      <c r="BD826">
        <f>SUM(BD822:BD825)</f>
        <v>0</v>
      </c>
      <c r="BF826">
        <f>SUM(BF822:BF825)</f>
        <v>0</v>
      </c>
      <c r="BG826">
        <f>SUM(BG822:BG825)</f>
        <v>0</v>
      </c>
      <c r="BI826">
        <f>SUM(BI822:BI825)</f>
        <v>0</v>
      </c>
      <c r="BJ826">
        <f>SUM(BJ822:BJ825)</f>
        <v>0</v>
      </c>
      <c r="BL826">
        <f>SUM(BL822:BL825)</f>
        <v>0</v>
      </c>
      <c r="BM826">
        <f>SUM(BM822:BM825)</f>
        <v>0</v>
      </c>
      <c r="BO826">
        <f>SUM(BO822:BO825)</f>
        <v>0</v>
      </c>
      <c r="BP826">
        <f>SUM(BP822:BP825)</f>
        <v>0</v>
      </c>
      <c r="BR826">
        <f>SUM(BR822:BR825)</f>
        <v>0</v>
      </c>
      <c r="BS826">
        <f>SUM(BS822:BS825)</f>
        <v>0</v>
      </c>
      <c r="BU826">
        <f>SUM(BU822:BU825)</f>
        <v>0</v>
      </c>
      <c r="BV826">
        <f>SUM(BV822:BV825)</f>
        <v>0</v>
      </c>
      <c r="BX826">
        <f>SUM(BX822:BX825)</f>
        <v>0</v>
      </c>
      <c r="BY826">
        <f>SUM(BY822:BY825)</f>
        <v>0</v>
      </c>
      <c r="CA826">
        <f>SUM(CA822:CA825)</f>
        <v>0</v>
      </c>
      <c r="CB826">
        <f>SUM(CB822:CB825)</f>
        <v>0</v>
      </c>
      <c r="CD826">
        <f>SUM(CD822:CD825)</f>
        <v>0</v>
      </c>
      <c r="CE826">
        <f>SUM(CE822:CE825)</f>
        <v>0</v>
      </c>
      <c r="CG826">
        <f>SUM(CG822:CG825)</f>
        <v>0</v>
      </c>
    </row>
    <row r="827" spans="1:85" ht="15" customHeight="1">
      <c r="A827" s="91"/>
      <c r="C827" s="1109"/>
      <c r="D827" s="954"/>
      <c r="E827" s="956"/>
      <c r="F827" s="1110" t="s">
        <v>4821</v>
      </c>
      <c r="G827" s="1110"/>
      <c r="H827" s="178"/>
      <c r="I827" s="1111" t="s">
        <v>4822</v>
      </c>
      <c r="J827" s="1111"/>
      <c r="K827" s="1111"/>
      <c r="L827" s="1111"/>
      <c r="M827" s="1111"/>
      <c r="N827" s="1112"/>
      <c r="O827" s="749"/>
      <c r="P827" s="749"/>
      <c r="Q827" s="749"/>
      <c r="R827" s="749"/>
      <c r="S827" s="749"/>
      <c r="T827" s="749"/>
      <c r="U827" s="749"/>
      <c r="V827" s="749"/>
      <c r="W827" s="749"/>
      <c r="X827" s="749"/>
      <c r="Y827" s="749"/>
      <c r="Z827" s="749"/>
      <c r="AA827" s="749"/>
      <c r="AB827" s="749"/>
      <c r="AC827" s="749"/>
      <c r="AD827" s="749"/>
      <c r="AG827"/>
      <c r="AH827">
        <f t="shared" si="375"/>
        <v>0</v>
      </c>
      <c r="AI827">
        <f t="shared" si="371"/>
        <v>0</v>
      </c>
      <c r="AK827">
        <f t="shared" si="372"/>
        <v>0</v>
      </c>
      <c r="AL827">
        <f t="shared" si="373"/>
        <v>0</v>
      </c>
      <c r="AM827">
        <f t="shared" si="374"/>
        <v>0</v>
      </c>
      <c r="CF827"/>
      <c r="CG827" s="405">
        <f>SUM(AQ826,AT826,AW826,AZ826,BC826,BF826,BI826,BL826,BO826,BR826,BU826,BX826,CA826,CD826,CG826)</f>
        <v>0</v>
      </c>
    </row>
    <row r="828" spans="1:85" ht="15" customHeight="1">
      <c r="A828" s="91"/>
      <c r="C828" s="1109"/>
      <c r="D828" s="954"/>
      <c r="E828" s="956"/>
      <c r="F828" s="1110" t="s">
        <v>4823</v>
      </c>
      <c r="G828" s="1110"/>
      <c r="H828" s="179"/>
      <c r="I828" s="1113" t="s">
        <v>201</v>
      </c>
      <c r="J828" s="1113"/>
      <c r="K828" s="1113"/>
      <c r="L828" s="1113"/>
      <c r="M828" s="1113"/>
      <c r="N828" s="1114"/>
      <c r="O828" s="749"/>
      <c r="P828" s="749"/>
      <c r="Q828" s="749"/>
      <c r="R828" s="749"/>
      <c r="S828" s="749"/>
      <c r="T828" s="749"/>
      <c r="U828" s="749"/>
      <c r="V828" s="749"/>
      <c r="W828" s="749"/>
      <c r="X828" s="749"/>
      <c r="Y828" s="749"/>
      <c r="Z828" s="749"/>
      <c r="AA828" s="749"/>
      <c r="AB828" s="749"/>
      <c r="AC828" s="749"/>
      <c r="AD828" s="749"/>
      <c r="AG828"/>
      <c r="AH828">
        <f t="shared" si="375"/>
        <v>0</v>
      </c>
      <c r="AI828">
        <f t="shared" si="371"/>
        <v>0</v>
      </c>
      <c r="AK828">
        <f t="shared" si="372"/>
        <v>0</v>
      </c>
      <c r="AL828">
        <f t="shared" si="373"/>
        <v>0</v>
      </c>
      <c r="AM828">
        <f t="shared" si="374"/>
        <v>0</v>
      </c>
      <c r="CF828" t="s">
        <v>5140</v>
      </c>
      <c r="CG828" s="506">
        <f>CG827-SUM(COUNTIF(O822,"NA"),COUNTIF(O833,"NA"),COUNTIF(O842,"NA"),COUNTIF(O861,"NA"),COUNTIF(O869,"NA"),COUNTIF(O879,"NA"),COUNTIF(O887,"NA"),COUNTIF(O897,"NA"),COUNTIF(O904,"NA"),COUNTIF(O916,"NA"),COUNTIF(O926,"NA"),COUNTIF(O936,"NA"),COUNTIF(O947,"NA"),COUNTIF(O956,"NA"),COUNTIF(O968,"NA"))</f>
        <v>0</v>
      </c>
    </row>
    <row r="829" spans="1:85" ht="24" customHeight="1">
      <c r="A829" s="91"/>
      <c r="C829" s="1109"/>
      <c r="D829" s="954"/>
      <c r="E829" s="956"/>
      <c r="F829" s="1103" t="s">
        <v>4824</v>
      </c>
      <c r="G829" s="1103"/>
      <c r="H829" s="1104" t="s">
        <v>4825</v>
      </c>
      <c r="I829" s="1105"/>
      <c r="J829" s="1105"/>
      <c r="K829" s="1105"/>
      <c r="L829" s="1105"/>
      <c r="M829" s="1105"/>
      <c r="N829" s="1106"/>
      <c r="O829" s="749"/>
      <c r="P829" s="749"/>
      <c r="Q829" s="749"/>
      <c r="R829" s="749"/>
      <c r="S829" s="749"/>
      <c r="T829" s="749"/>
      <c r="U829" s="749"/>
      <c r="V829" s="749"/>
      <c r="W829" s="749"/>
      <c r="X829" s="749"/>
      <c r="Y829" s="749"/>
      <c r="Z829" s="749"/>
      <c r="AA829" s="749"/>
      <c r="AB829" s="749"/>
      <c r="AC829" s="749"/>
      <c r="AD829" s="749"/>
      <c r="AG829"/>
      <c r="AH829">
        <f t="shared" si="375"/>
        <v>0</v>
      </c>
      <c r="AI829">
        <f t="shared" si="371"/>
        <v>0</v>
      </c>
      <c r="AK829">
        <f t="shared" si="372"/>
        <v>0</v>
      </c>
      <c r="AL829">
        <f t="shared" si="373"/>
        <v>0</v>
      </c>
      <c r="AM829">
        <f t="shared" si="374"/>
        <v>0</v>
      </c>
      <c r="AN829">
        <f>IF(OR(O829="NS",O829="NA",$AG$809=8),0,IF((O829*(IFERROR(100/SUM(O817:O829),0)))&gt;25,1,0))</f>
        <v>0</v>
      </c>
      <c r="CF829"/>
      <c r="CG829"/>
    </row>
    <row r="830" spans="1:85" ht="15" customHeight="1">
      <c r="A830" s="91"/>
      <c r="C830" s="1108" t="s">
        <v>4826</v>
      </c>
      <c r="D830" s="847" t="s">
        <v>4827</v>
      </c>
      <c r="E830" s="848"/>
      <c r="F830" s="1103" t="s">
        <v>4828</v>
      </c>
      <c r="G830" s="1103"/>
      <c r="H830" s="1104" t="s">
        <v>4829</v>
      </c>
      <c r="I830" s="1105"/>
      <c r="J830" s="1105"/>
      <c r="K830" s="1105"/>
      <c r="L830" s="1105"/>
      <c r="M830" s="1105"/>
      <c r="N830" s="1106"/>
      <c r="O830" s="749"/>
      <c r="P830" s="749"/>
      <c r="Q830" s="749"/>
      <c r="R830" s="749"/>
      <c r="S830" s="749"/>
      <c r="T830" s="749"/>
      <c r="U830" s="749"/>
      <c r="V830" s="749"/>
      <c r="W830" s="749"/>
      <c r="X830" s="749"/>
      <c r="Y830" s="749"/>
      <c r="Z830" s="749"/>
      <c r="AA830" s="749"/>
      <c r="AB830" s="749"/>
      <c r="AC830" s="749"/>
      <c r="AD830" s="749"/>
      <c r="AG830"/>
      <c r="AH830">
        <f t="shared" si="375"/>
        <v>0</v>
      </c>
      <c r="AI830">
        <f t="shared" si="371"/>
        <v>0</v>
      </c>
      <c r="AK830">
        <f t="shared" si="372"/>
        <v>0</v>
      </c>
      <c r="AL830">
        <f t="shared" si="373"/>
        <v>0</v>
      </c>
      <c r="AM830">
        <f t="shared" si="374"/>
        <v>0</v>
      </c>
      <c r="CF830"/>
      <c r="CG830"/>
    </row>
    <row r="831" spans="1:85" ht="15" customHeight="1">
      <c r="A831" s="91"/>
      <c r="C831" s="1109"/>
      <c r="D831" s="954"/>
      <c r="E831" s="956"/>
      <c r="F831" s="1103" t="s">
        <v>4830</v>
      </c>
      <c r="G831" s="1103"/>
      <c r="H831" s="1104" t="s">
        <v>4831</v>
      </c>
      <c r="I831" s="1105"/>
      <c r="J831" s="1105"/>
      <c r="K831" s="1105"/>
      <c r="L831" s="1105"/>
      <c r="M831" s="1105"/>
      <c r="N831" s="1106"/>
      <c r="O831" s="749"/>
      <c r="P831" s="749"/>
      <c r="Q831" s="749"/>
      <c r="R831" s="749"/>
      <c r="S831" s="749"/>
      <c r="T831" s="749"/>
      <c r="U831" s="749"/>
      <c r="V831" s="749"/>
      <c r="W831" s="749"/>
      <c r="X831" s="749"/>
      <c r="Y831" s="749"/>
      <c r="Z831" s="749"/>
      <c r="AA831" s="749"/>
      <c r="AB831" s="749"/>
      <c r="AC831" s="749"/>
      <c r="AD831" s="749"/>
      <c r="AG831"/>
      <c r="AH831">
        <f t="shared" si="375"/>
        <v>0</v>
      </c>
      <c r="AI831">
        <f t="shared" si="371"/>
        <v>0</v>
      </c>
      <c r="AK831">
        <f t="shared" si="372"/>
        <v>0</v>
      </c>
      <c r="AL831">
        <f t="shared" si="373"/>
        <v>0</v>
      </c>
      <c r="AM831">
        <f t="shared" si="374"/>
        <v>0</v>
      </c>
      <c r="CF831"/>
      <c r="CG831"/>
    </row>
    <row r="832" spans="1:85" ht="15" customHeight="1">
      <c r="A832" s="91"/>
      <c r="C832" s="1109"/>
      <c r="D832" s="954"/>
      <c r="E832" s="956"/>
      <c r="F832" s="1103" t="s">
        <v>4832</v>
      </c>
      <c r="G832" s="1103"/>
      <c r="H832" s="1104" t="s">
        <v>4833</v>
      </c>
      <c r="I832" s="1105"/>
      <c r="J832" s="1105"/>
      <c r="K832" s="1105"/>
      <c r="L832" s="1105"/>
      <c r="M832" s="1105"/>
      <c r="N832" s="1106"/>
      <c r="O832" s="749"/>
      <c r="P832" s="749"/>
      <c r="Q832" s="749"/>
      <c r="R832" s="749"/>
      <c r="S832" s="749"/>
      <c r="T832" s="749"/>
      <c r="U832" s="749"/>
      <c r="V832" s="749"/>
      <c r="W832" s="749"/>
      <c r="X832" s="749"/>
      <c r="Y832" s="749"/>
      <c r="Z832" s="749"/>
      <c r="AA832" s="749"/>
      <c r="AB832" s="749"/>
      <c r="AC832" s="749"/>
      <c r="AD832" s="749"/>
      <c r="AG832"/>
      <c r="AH832">
        <f t="shared" si="375"/>
        <v>0</v>
      </c>
      <c r="AI832">
        <f t="shared" si="371"/>
        <v>0</v>
      </c>
      <c r="AK832">
        <f t="shared" si="372"/>
        <v>0</v>
      </c>
      <c r="AL832">
        <f t="shared" si="373"/>
        <v>0</v>
      </c>
      <c r="AM832">
        <f t="shared" si="374"/>
        <v>0</v>
      </c>
      <c r="CF832"/>
      <c r="CG832"/>
    </row>
    <row r="833" spans="1:85" ht="15" customHeight="1">
      <c r="A833" s="91"/>
      <c r="C833" s="1109"/>
      <c r="D833" s="954"/>
      <c r="E833" s="956"/>
      <c r="F833" s="1103" t="s">
        <v>4834</v>
      </c>
      <c r="G833" s="1103"/>
      <c r="H833" s="1104" t="s">
        <v>4835</v>
      </c>
      <c r="I833" s="1105"/>
      <c r="J833" s="1105"/>
      <c r="K833" s="1105"/>
      <c r="L833" s="1105"/>
      <c r="M833" s="1105"/>
      <c r="N833" s="1106"/>
      <c r="O833" s="749"/>
      <c r="P833" s="749"/>
      <c r="Q833" s="749"/>
      <c r="R833" s="749"/>
      <c r="S833" s="749"/>
      <c r="T833" s="749"/>
      <c r="U833" s="749"/>
      <c r="V833" s="749"/>
      <c r="W833" s="749"/>
      <c r="X833" s="749"/>
      <c r="Y833" s="749"/>
      <c r="Z833" s="749"/>
      <c r="AA833" s="749"/>
      <c r="AB833" s="749"/>
      <c r="AC833" s="749"/>
      <c r="AD833" s="749"/>
      <c r="AG833">
        <f>IF(O833="NA",IF(AND(COUNTIF(O834:O838,"="&amp;$AG$821)=0,COUNTIF(O834:O838,"&lt;&gt;NA")&gt;0),1,0),IF(AND(COUNTIF(O834:O838,"="&amp;$AG$821)=0,COUNTIF(O834:O838,"NA")=COUNTIF(O834:O838,"&lt;&gt;"&amp;$AG$821)),1,0))</f>
        <v>0</v>
      </c>
      <c r="AH833">
        <f t="shared" si="375"/>
        <v>0</v>
      </c>
      <c r="AI833">
        <f t="shared" si="371"/>
        <v>0</v>
      </c>
      <c r="AK833">
        <f t="shared" si="372"/>
        <v>0</v>
      </c>
      <c r="AL833">
        <f t="shared" si="373"/>
        <v>0</v>
      </c>
      <c r="AM833">
        <f t="shared" si="374"/>
        <v>0</v>
      </c>
      <c r="CF833"/>
      <c r="CG833"/>
    </row>
    <row r="834" spans="1:85" ht="15" customHeight="1">
      <c r="A834" s="91"/>
      <c r="C834" s="1109"/>
      <c r="D834" s="954"/>
      <c r="E834" s="956"/>
      <c r="F834" s="1110" t="s">
        <v>4837</v>
      </c>
      <c r="G834" s="1110"/>
      <c r="H834" s="178"/>
      <c r="I834" s="1115" t="s">
        <v>4838</v>
      </c>
      <c r="J834" s="1115"/>
      <c r="K834" s="1115"/>
      <c r="L834" s="1115"/>
      <c r="M834" s="1115"/>
      <c r="N834" s="1116"/>
      <c r="O834" s="749"/>
      <c r="P834" s="749"/>
      <c r="Q834" s="749"/>
      <c r="R834" s="749"/>
      <c r="S834" s="749"/>
      <c r="T834" s="749"/>
      <c r="U834" s="749"/>
      <c r="V834" s="749"/>
      <c r="W834" s="749"/>
      <c r="X834" s="749"/>
      <c r="Y834" s="749"/>
      <c r="Z834" s="749"/>
      <c r="AA834" s="749"/>
      <c r="AB834" s="749"/>
      <c r="AC834" s="749"/>
      <c r="AD834" s="749"/>
      <c r="AG834"/>
      <c r="AH834">
        <f t="shared" si="375"/>
        <v>0</v>
      </c>
      <c r="AI834">
        <f t="shared" si="371"/>
        <v>0</v>
      </c>
      <c r="AK834">
        <f t="shared" si="372"/>
        <v>0</v>
      </c>
      <c r="AL834">
        <f t="shared" si="373"/>
        <v>0</v>
      </c>
      <c r="AM834">
        <f t="shared" si="374"/>
        <v>0</v>
      </c>
      <c r="CF834"/>
      <c r="CG834"/>
    </row>
    <row r="835" spans="1:85" ht="60" customHeight="1">
      <c r="A835" s="91"/>
      <c r="C835" s="1109"/>
      <c r="D835" s="954"/>
      <c r="E835" s="956"/>
      <c r="F835" s="1110" t="s">
        <v>4839</v>
      </c>
      <c r="G835" s="1110"/>
      <c r="H835" s="178"/>
      <c r="I835" s="1111" t="s">
        <v>4840</v>
      </c>
      <c r="J835" s="1111"/>
      <c r="K835" s="1111"/>
      <c r="L835" s="1111"/>
      <c r="M835" s="1111"/>
      <c r="N835" s="1112"/>
      <c r="O835" s="749"/>
      <c r="P835" s="749"/>
      <c r="Q835" s="749"/>
      <c r="R835" s="749"/>
      <c r="S835" s="749"/>
      <c r="T835" s="749"/>
      <c r="U835" s="749"/>
      <c r="V835" s="749"/>
      <c r="W835" s="749"/>
      <c r="X835" s="749"/>
      <c r="Y835" s="749"/>
      <c r="Z835" s="749"/>
      <c r="AA835" s="749"/>
      <c r="AB835" s="749"/>
      <c r="AC835" s="749"/>
      <c r="AD835" s="749"/>
      <c r="AG835"/>
      <c r="AH835">
        <f t="shared" si="375"/>
        <v>0</v>
      </c>
      <c r="AI835">
        <f t="shared" si="371"/>
        <v>0</v>
      </c>
      <c r="AK835">
        <f t="shared" si="372"/>
        <v>0</v>
      </c>
      <c r="AL835">
        <f t="shared" si="373"/>
        <v>0</v>
      </c>
      <c r="AM835">
        <f t="shared" si="374"/>
        <v>0</v>
      </c>
      <c r="CF835"/>
      <c r="CG835"/>
    </row>
    <row r="836" spans="1:85" ht="24" customHeight="1">
      <c r="A836" s="91"/>
      <c r="C836" s="1109"/>
      <c r="D836" s="954"/>
      <c r="E836" s="956"/>
      <c r="F836" s="1110" t="s">
        <v>4841</v>
      </c>
      <c r="G836" s="1110"/>
      <c r="H836" s="178"/>
      <c r="I836" s="1111" t="s">
        <v>4842</v>
      </c>
      <c r="J836" s="1111"/>
      <c r="K836" s="1111"/>
      <c r="L836" s="1111"/>
      <c r="M836" s="1111"/>
      <c r="N836" s="1112"/>
      <c r="O836" s="749"/>
      <c r="P836" s="749"/>
      <c r="Q836" s="749"/>
      <c r="R836" s="749"/>
      <c r="S836" s="749"/>
      <c r="T836" s="749"/>
      <c r="U836" s="749"/>
      <c r="V836" s="749"/>
      <c r="W836" s="749"/>
      <c r="X836" s="749"/>
      <c r="Y836" s="749"/>
      <c r="Z836" s="749"/>
      <c r="AA836" s="749"/>
      <c r="AB836" s="749"/>
      <c r="AC836" s="749"/>
      <c r="AD836" s="749"/>
      <c r="AG836"/>
      <c r="AH836">
        <f t="shared" si="375"/>
        <v>0</v>
      </c>
      <c r="AI836">
        <f t="shared" si="371"/>
        <v>0</v>
      </c>
      <c r="AK836">
        <f t="shared" si="372"/>
        <v>0</v>
      </c>
      <c r="AL836">
        <f t="shared" si="373"/>
        <v>0</v>
      </c>
      <c r="AM836">
        <f t="shared" si="374"/>
        <v>0</v>
      </c>
      <c r="CF836"/>
      <c r="CG836"/>
    </row>
    <row r="837" spans="1:85" ht="15" customHeight="1">
      <c r="A837" s="91"/>
      <c r="C837" s="1109"/>
      <c r="D837" s="954"/>
      <c r="E837" s="956"/>
      <c r="F837" s="1110" t="s">
        <v>4843</v>
      </c>
      <c r="G837" s="1110"/>
      <c r="H837" s="178"/>
      <c r="I837" s="1111" t="s">
        <v>4844</v>
      </c>
      <c r="J837" s="1111"/>
      <c r="K837" s="1111"/>
      <c r="L837" s="1111"/>
      <c r="M837" s="1111"/>
      <c r="N837" s="1112"/>
      <c r="O837" s="749"/>
      <c r="P837" s="749"/>
      <c r="Q837" s="749"/>
      <c r="R837" s="749"/>
      <c r="S837" s="749"/>
      <c r="T837" s="749"/>
      <c r="U837" s="749"/>
      <c r="V837" s="749"/>
      <c r="W837" s="749"/>
      <c r="X837" s="749"/>
      <c r="Y837" s="749"/>
      <c r="Z837" s="749"/>
      <c r="AA837" s="749"/>
      <c r="AB837" s="749"/>
      <c r="AC837" s="749"/>
      <c r="AD837" s="749"/>
      <c r="AG837"/>
      <c r="AH837">
        <f t="shared" si="375"/>
        <v>0</v>
      </c>
      <c r="AI837">
        <f t="shared" si="371"/>
        <v>0</v>
      </c>
      <c r="AK837">
        <f t="shared" si="372"/>
        <v>0</v>
      </c>
      <c r="AL837">
        <f t="shared" si="373"/>
        <v>0</v>
      </c>
      <c r="AM837">
        <f t="shared" si="374"/>
        <v>0</v>
      </c>
      <c r="CF837"/>
      <c r="CG837"/>
    </row>
    <row r="838" spans="1:85" ht="15" customHeight="1">
      <c r="A838" s="91"/>
      <c r="C838" s="1109"/>
      <c r="D838" s="954"/>
      <c r="E838" s="956"/>
      <c r="F838" s="1110" t="s">
        <v>4845</v>
      </c>
      <c r="G838" s="1110"/>
      <c r="H838" s="178"/>
      <c r="I838" s="1113" t="s">
        <v>201</v>
      </c>
      <c r="J838" s="1113"/>
      <c r="K838" s="1113"/>
      <c r="L838" s="1113"/>
      <c r="M838" s="1113"/>
      <c r="N838" s="1114"/>
      <c r="O838" s="749"/>
      <c r="P838" s="749"/>
      <c r="Q838" s="749"/>
      <c r="R838" s="749"/>
      <c r="S838" s="749"/>
      <c r="T838" s="749"/>
      <c r="U838" s="749"/>
      <c r="V838" s="749"/>
      <c r="W838" s="749"/>
      <c r="X838" s="749"/>
      <c r="Y838" s="749"/>
      <c r="Z838" s="749"/>
      <c r="AA838" s="749"/>
      <c r="AB838" s="749"/>
      <c r="AC838" s="749"/>
      <c r="AD838" s="749"/>
      <c r="AG838"/>
      <c r="AH838">
        <f t="shared" si="375"/>
        <v>0</v>
      </c>
      <c r="AI838">
        <f t="shared" si="371"/>
        <v>0</v>
      </c>
      <c r="AK838">
        <f t="shared" si="372"/>
        <v>0</v>
      </c>
      <c r="AL838">
        <f t="shared" si="373"/>
        <v>0</v>
      </c>
      <c r="AM838">
        <f t="shared" si="374"/>
        <v>0</v>
      </c>
      <c r="CF838"/>
      <c r="CG838"/>
    </row>
    <row r="839" spans="1:85" ht="15" customHeight="1">
      <c r="A839" s="91"/>
      <c r="C839" s="1109"/>
      <c r="D839" s="954"/>
      <c r="E839" s="956"/>
      <c r="F839" s="1103" t="s">
        <v>4846</v>
      </c>
      <c r="G839" s="1103"/>
      <c r="H839" s="1104" t="s">
        <v>4847</v>
      </c>
      <c r="I839" s="1105"/>
      <c r="J839" s="1105"/>
      <c r="K839" s="1105"/>
      <c r="L839" s="1105"/>
      <c r="M839" s="1105"/>
      <c r="N839" s="1106"/>
      <c r="O839" s="749"/>
      <c r="P839" s="749"/>
      <c r="Q839" s="749"/>
      <c r="R839" s="749"/>
      <c r="S839" s="749"/>
      <c r="T839" s="749"/>
      <c r="U839" s="749"/>
      <c r="V839" s="749"/>
      <c r="W839" s="749"/>
      <c r="X839" s="749"/>
      <c r="Y839" s="749"/>
      <c r="Z839" s="749"/>
      <c r="AA839" s="749"/>
      <c r="AB839" s="749"/>
      <c r="AC839" s="749"/>
      <c r="AD839" s="749"/>
      <c r="AG839"/>
      <c r="AH839">
        <f t="shared" si="375"/>
        <v>0</v>
      </c>
      <c r="AI839">
        <f t="shared" si="371"/>
        <v>0</v>
      </c>
      <c r="AK839">
        <f t="shared" si="372"/>
        <v>0</v>
      </c>
      <c r="AL839">
        <f t="shared" si="373"/>
        <v>0</v>
      </c>
      <c r="AM839">
        <f t="shared" si="374"/>
        <v>0</v>
      </c>
      <c r="CF839"/>
      <c r="CG839"/>
    </row>
    <row r="840" spans="1:85" ht="15" customHeight="1">
      <c r="A840" s="91"/>
      <c r="C840" s="1109"/>
      <c r="D840" s="954"/>
      <c r="E840" s="956"/>
      <c r="F840" s="1103" t="s">
        <v>4848</v>
      </c>
      <c r="G840" s="1103"/>
      <c r="H840" s="1104" t="s">
        <v>4849</v>
      </c>
      <c r="I840" s="1105"/>
      <c r="J840" s="1105"/>
      <c r="K840" s="1105"/>
      <c r="L840" s="1105"/>
      <c r="M840" s="1105"/>
      <c r="N840" s="1106"/>
      <c r="O840" s="749"/>
      <c r="P840" s="749"/>
      <c r="Q840" s="749"/>
      <c r="R840" s="749"/>
      <c r="S840" s="749"/>
      <c r="T840" s="749"/>
      <c r="U840" s="749"/>
      <c r="V840" s="749"/>
      <c r="W840" s="749"/>
      <c r="X840" s="749"/>
      <c r="Y840" s="749"/>
      <c r="Z840" s="749"/>
      <c r="AA840" s="749"/>
      <c r="AB840" s="749"/>
      <c r="AC840" s="749"/>
      <c r="AD840" s="749"/>
      <c r="AG840"/>
      <c r="AH840">
        <f t="shared" si="375"/>
        <v>0</v>
      </c>
      <c r="AI840">
        <f t="shared" si="371"/>
        <v>0</v>
      </c>
      <c r="AK840">
        <f t="shared" si="372"/>
        <v>0</v>
      </c>
      <c r="AL840">
        <f t="shared" si="373"/>
        <v>0</v>
      </c>
      <c r="AM840">
        <f t="shared" si="374"/>
        <v>0</v>
      </c>
      <c r="CF840"/>
      <c r="CG840"/>
    </row>
    <row r="841" spans="1:85" ht="24" customHeight="1">
      <c r="A841" s="91"/>
      <c r="C841" s="1109"/>
      <c r="D841" s="954"/>
      <c r="E841" s="956"/>
      <c r="F841" s="1103" t="s">
        <v>4850</v>
      </c>
      <c r="G841" s="1103"/>
      <c r="H841" s="1104" t="s">
        <v>4851</v>
      </c>
      <c r="I841" s="1105"/>
      <c r="J841" s="1105"/>
      <c r="K841" s="1105"/>
      <c r="L841" s="1105"/>
      <c r="M841" s="1105"/>
      <c r="N841" s="1106"/>
      <c r="O841" s="749"/>
      <c r="P841" s="749"/>
      <c r="Q841" s="749"/>
      <c r="R841" s="749"/>
      <c r="S841" s="749"/>
      <c r="T841" s="749"/>
      <c r="U841" s="749"/>
      <c r="V841" s="749"/>
      <c r="W841" s="749"/>
      <c r="X841" s="749"/>
      <c r="Y841" s="749"/>
      <c r="Z841" s="749"/>
      <c r="AA841" s="749"/>
      <c r="AB841" s="749"/>
      <c r="AC841" s="749"/>
      <c r="AD841" s="749"/>
      <c r="AG841"/>
      <c r="AH841">
        <f t="shared" si="375"/>
        <v>0</v>
      </c>
      <c r="AI841">
        <f t="shared" si="371"/>
        <v>0</v>
      </c>
      <c r="AK841">
        <f t="shared" si="372"/>
        <v>0</v>
      </c>
      <c r="AL841">
        <f t="shared" si="373"/>
        <v>0</v>
      </c>
      <c r="AM841">
        <f t="shared" si="374"/>
        <v>0</v>
      </c>
      <c r="AN841">
        <f>IF(OR(O841="NS",O841="NA",$AG$809=8),0,IF((O841*(IFERROR(100/SUM(O830:O841),0)))&gt;25,1,0))</f>
        <v>0</v>
      </c>
      <c r="CF841"/>
      <c r="CG841"/>
    </row>
    <row r="842" spans="1:85" ht="15" customHeight="1">
      <c r="A842" s="91"/>
      <c r="C842" s="1108" t="s">
        <v>4852</v>
      </c>
      <c r="D842" s="847" t="s">
        <v>4853</v>
      </c>
      <c r="E842" s="848"/>
      <c r="F842" s="1103" t="s">
        <v>4854</v>
      </c>
      <c r="G842" s="1103"/>
      <c r="H842" s="1104" t="s">
        <v>4855</v>
      </c>
      <c r="I842" s="1105"/>
      <c r="J842" s="1105"/>
      <c r="K842" s="1105"/>
      <c r="L842" s="1105"/>
      <c r="M842" s="1105"/>
      <c r="N842" s="1106"/>
      <c r="O842" s="749"/>
      <c r="P842" s="749"/>
      <c r="Q842" s="749"/>
      <c r="R842" s="749"/>
      <c r="S842" s="749"/>
      <c r="T842" s="749"/>
      <c r="U842" s="749"/>
      <c r="V842" s="749"/>
      <c r="W842" s="749"/>
      <c r="X842" s="749"/>
      <c r="Y842" s="749"/>
      <c r="Z842" s="749"/>
      <c r="AA842" s="749"/>
      <c r="AB842" s="749"/>
      <c r="AC842" s="749"/>
      <c r="AD842" s="749"/>
      <c r="AG842">
        <f>IF(O842="NA",IF(AND(COUNTIF(O843:O860,"="&amp;$AG$821)=0,COUNTIF(O843:O860,"&lt;&gt;NA")&gt;0),1,0),IF(AND(COUNTIF(O843:O860,"="&amp;$AG$821)=0,COUNTIF(O843:O860,"NA")=COUNTIF(O843:O860,"&lt;&gt;"&amp;$AG$821)),1,0))</f>
        <v>0</v>
      </c>
      <c r="AH842">
        <f t="shared" si="375"/>
        <v>0</v>
      </c>
      <c r="AI842">
        <f t="shared" si="371"/>
        <v>0</v>
      </c>
      <c r="AK842">
        <f t="shared" si="372"/>
        <v>0</v>
      </c>
      <c r="AL842">
        <f t="shared" si="373"/>
        <v>0</v>
      </c>
      <c r="AM842">
        <f t="shared" si="374"/>
        <v>0</v>
      </c>
      <c r="CF842"/>
      <c r="CG842"/>
    </row>
    <row r="843" spans="1:85" ht="15" customHeight="1">
      <c r="A843" s="91"/>
      <c r="C843" s="1109"/>
      <c r="D843" s="954"/>
      <c r="E843" s="956"/>
      <c r="F843" s="1110" t="s">
        <v>4856</v>
      </c>
      <c r="G843" s="1110"/>
      <c r="H843" s="178"/>
      <c r="I843" s="1115" t="s">
        <v>4857</v>
      </c>
      <c r="J843" s="1115"/>
      <c r="K843" s="1115"/>
      <c r="L843" s="1115"/>
      <c r="M843" s="1115"/>
      <c r="N843" s="1116"/>
      <c r="O843" s="749"/>
      <c r="P843" s="749"/>
      <c r="Q843" s="749"/>
      <c r="R843" s="749"/>
      <c r="S843" s="749"/>
      <c r="T843" s="749"/>
      <c r="U843" s="749"/>
      <c r="V843" s="749"/>
      <c r="W843" s="749"/>
      <c r="X843" s="749"/>
      <c r="Y843" s="749"/>
      <c r="Z843" s="749"/>
      <c r="AA843" s="749"/>
      <c r="AB843" s="749"/>
      <c r="AC843" s="749"/>
      <c r="AD843" s="749"/>
      <c r="AG843"/>
      <c r="AH843">
        <f t="shared" si="375"/>
        <v>0</v>
      </c>
      <c r="AI843">
        <f t="shared" si="371"/>
        <v>0</v>
      </c>
      <c r="AK843">
        <f t="shared" si="372"/>
        <v>0</v>
      </c>
      <c r="AL843">
        <f t="shared" si="373"/>
        <v>0</v>
      </c>
      <c r="AM843">
        <f t="shared" si="374"/>
        <v>0</v>
      </c>
      <c r="CF843"/>
      <c r="CG843"/>
    </row>
    <row r="844" spans="1:85" ht="15" customHeight="1">
      <c r="A844" s="91"/>
      <c r="C844" s="1109"/>
      <c r="D844" s="954"/>
      <c r="E844" s="956"/>
      <c r="F844" s="1110" t="s">
        <v>4858</v>
      </c>
      <c r="G844" s="1110"/>
      <c r="H844" s="178"/>
      <c r="I844" s="1111" t="s">
        <v>4859</v>
      </c>
      <c r="J844" s="1111"/>
      <c r="K844" s="1111"/>
      <c r="L844" s="1111"/>
      <c r="M844" s="1111"/>
      <c r="N844" s="1112"/>
      <c r="O844" s="749"/>
      <c r="P844" s="749"/>
      <c r="Q844" s="749"/>
      <c r="R844" s="749"/>
      <c r="S844" s="749"/>
      <c r="T844" s="749"/>
      <c r="U844" s="749"/>
      <c r="V844" s="749"/>
      <c r="W844" s="749"/>
      <c r="X844" s="749"/>
      <c r="Y844" s="749"/>
      <c r="Z844" s="749"/>
      <c r="AA844" s="749"/>
      <c r="AB844" s="749"/>
      <c r="AC844" s="749"/>
      <c r="AD844" s="749"/>
      <c r="AG844"/>
      <c r="AH844">
        <f t="shared" si="375"/>
        <v>0</v>
      </c>
      <c r="AI844">
        <f t="shared" si="371"/>
        <v>0</v>
      </c>
      <c r="AK844">
        <f t="shared" si="372"/>
        <v>0</v>
      </c>
      <c r="AL844">
        <f t="shared" si="373"/>
        <v>0</v>
      </c>
      <c r="AM844">
        <f t="shared" si="374"/>
        <v>0</v>
      </c>
      <c r="CF844"/>
      <c r="CG844"/>
    </row>
    <row r="845" spans="1:85" ht="15" customHeight="1">
      <c r="A845" s="91"/>
      <c r="C845" s="1109"/>
      <c r="D845" s="954"/>
      <c r="E845" s="956"/>
      <c r="F845" s="1110" t="s">
        <v>4860</v>
      </c>
      <c r="G845" s="1110"/>
      <c r="H845" s="178"/>
      <c r="I845" s="1111" t="s">
        <v>4861</v>
      </c>
      <c r="J845" s="1111"/>
      <c r="K845" s="1111"/>
      <c r="L845" s="1111"/>
      <c r="M845" s="1111"/>
      <c r="N845" s="1112"/>
      <c r="O845" s="749"/>
      <c r="P845" s="749"/>
      <c r="Q845" s="749"/>
      <c r="R845" s="749"/>
      <c r="S845" s="749"/>
      <c r="T845" s="749"/>
      <c r="U845" s="749"/>
      <c r="V845" s="749"/>
      <c r="W845" s="749"/>
      <c r="X845" s="749"/>
      <c r="Y845" s="749"/>
      <c r="Z845" s="749"/>
      <c r="AA845" s="749"/>
      <c r="AB845" s="749"/>
      <c r="AC845" s="749"/>
      <c r="AD845" s="749"/>
      <c r="AG845"/>
      <c r="AH845">
        <f t="shared" si="375"/>
        <v>0</v>
      </c>
      <c r="AI845">
        <f t="shared" si="371"/>
        <v>0</v>
      </c>
      <c r="AK845">
        <f t="shared" si="372"/>
        <v>0</v>
      </c>
      <c r="AL845">
        <f t="shared" si="373"/>
        <v>0</v>
      </c>
      <c r="AM845">
        <f t="shared" si="374"/>
        <v>0</v>
      </c>
      <c r="CF845"/>
      <c r="CG845"/>
    </row>
    <row r="846" spans="1:85" ht="15" customHeight="1">
      <c r="A846" s="91"/>
      <c r="C846" s="1109"/>
      <c r="D846" s="954"/>
      <c r="E846" s="956"/>
      <c r="F846" s="1110" t="s">
        <v>4862</v>
      </c>
      <c r="G846" s="1110"/>
      <c r="H846" s="178"/>
      <c r="I846" s="1111" t="s">
        <v>4863</v>
      </c>
      <c r="J846" s="1111"/>
      <c r="K846" s="1111"/>
      <c r="L846" s="1111"/>
      <c r="M846" s="1111"/>
      <c r="N846" s="1112"/>
      <c r="O846" s="749"/>
      <c r="P846" s="749"/>
      <c r="Q846" s="749"/>
      <c r="R846" s="749"/>
      <c r="S846" s="749"/>
      <c r="T846" s="749"/>
      <c r="U846" s="749"/>
      <c r="V846" s="749"/>
      <c r="W846" s="749"/>
      <c r="X846" s="749"/>
      <c r="Y846" s="749"/>
      <c r="Z846" s="749"/>
      <c r="AA846" s="749"/>
      <c r="AB846" s="749"/>
      <c r="AC846" s="749"/>
      <c r="AD846" s="749"/>
      <c r="AG846"/>
      <c r="AH846">
        <f t="shared" si="375"/>
        <v>0</v>
      </c>
      <c r="AI846">
        <f t="shared" si="371"/>
        <v>0</v>
      </c>
      <c r="AK846">
        <f t="shared" si="372"/>
        <v>0</v>
      </c>
      <c r="AL846">
        <f t="shared" si="373"/>
        <v>0</v>
      </c>
      <c r="AM846">
        <f t="shared" si="374"/>
        <v>0</v>
      </c>
      <c r="CF846"/>
      <c r="CG846"/>
    </row>
    <row r="847" spans="1:85" ht="24" customHeight="1">
      <c r="A847" s="91"/>
      <c r="C847" s="1109"/>
      <c r="D847" s="954"/>
      <c r="E847" s="956"/>
      <c r="F847" s="1110" t="s">
        <v>4864</v>
      </c>
      <c r="G847" s="1110"/>
      <c r="H847" s="178"/>
      <c r="I847" s="1111" t="s">
        <v>4865</v>
      </c>
      <c r="J847" s="1111"/>
      <c r="K847" s="1111"/>
      <c r="L847" s="1111"/>
      <c r="M847" s="1111"/>
      <c r="N847" s="1112"/>
      <c r="O847" s="749"/>
      <c r="P847" s="749"/>
      <c r="Q847" s="749"/>
      <c r="R847" s="749"/>
      <c r="S847" s="749"/>
      <c r="T847" s="749"/>
      <c r="U847" s="749"/>
      <c r="V847" s="749"/>
      <c r="W847" s="749"/>
      <c r="X847" s="749"/>
      <c r="Y847" s="749"/>
      <c r="Z847" s="749"/>
      <c r="AA847" s="749"/>
      <c r="AB847" s="749"/>
      <c r="AC847" s="749"/>
      <c r="AD847" s="749"/>
      <c r="AG847"/>
      <c r="AH847">
        <f t="shared" si="375"/>
        <v>0</v>
      </c>
      <c r="AI847">
        <f t="shared" si="371"/>
        <v>0</v>
      </c>
      <c r="AK847">
        <f t="shared" si="372"/>
        <v>0</v>
      </c>
      <c r="AL847">
        <f t="shared" si="373"/>
        <v>0</v>
      </c>
      <c r="AM847">
        <f t="shared" si="374"/>
        <v>0</v>
      </c>
      <c r="CF847"/>
      <c r="CG847"/>
    </row>
    <row r="848" spans="1:85" ht="24" customHeight="1">
      <c r="A848" s="91"/>
      <c r="C848" s="1109"/>
      <c r="D848" s="954"/>
      <c r="E848" s="956"/>
      <c r="F848" s="1110" t="s">
        <v>4866</v>
      </c>
      <c r="G848" s="1110"/>
      <c r="H848" s="178"/>
      <c r="I848" s="1111" t="s">
        <v>4867</v>
      </c>
      <c r="J848" s="1111"/>
      <c r="K848" s="1111"/>
      <c r="L848" s="1111"/>
      <c r="M848" s="1111"/>
      <c r="N848" s="1112"/>
      <c r="O848" s="749"/>
      <c r="P848" s="749"/>
      <c r="Q848" s="749"/>
      <c r="R848" s="749"/>
      <c r="S848" s="749"/>
      <c r="T848" s="749"/>
      <c r="U848" s="749"/>
      <c r="V848" s="749"/>
      <c r="W848" s="749"/>
      <c r="X848" s="749"/>
      <c r="Y848" s="749"/>
      <c r="Z848" s="749"/>
      <c r="AA848" s="749"/>
      <c r="AB848" s="749"/>
      <c r="AC848" s="749"/>
      <c r="AD848" s="749"/>
      <c r="AG848"/>
      <c r="AH848">
        <f t="shared" si="375"/>
        <v>0</v>
      </c>
      <c r="AI848">
        <f t="shared" si="371"/>
        <v>0</v>
      </c>
      <c r="AK848">
        <f t="shared" si="372"/>
        <v>0</v>
      </c>
      <c r="AL848">
        <f t="shared" si="373"/>
        <v>0</v>
      </c>
      <c r="AM848">
        <f t="shared" si="374"/>
        <v>0</v>
      </c>
      <c r="CF848"/>
      <c r="CG848"/>
    </row>
    <row r="849" spans="1:85" ht="24" customHeight="1">
      <c r="A849" s="91"/>
      <c r="C849" s="1109"/>
      <c r="D849" s="954"/>
      <c r="E849" s="956"/>
      <c r="F849" s="1110" t="s">
        <v>4868</v>
      </c>
      <c r="G849" s="1110"/>
      <c r="H849" s="178"/>
      <c r="I849" s="1111" t="s">
        <v>4869</v>
      </c>
      <c r="J849" s="1111"/>
      <c r="K849" s="1111"/>
      <c r="L849" s="1111"/>
      <c r="M849" s="1111"/>
      <c r="N849" s="1112"/>
      <c r="O849" s="749"/>
      <c r="P849" s="749"/>
      <c r="Q849" s="749"/>
      <c r="R849" s="749"/>
      <c r="S849" s="749"/>
      <c r="T849" s="749"/>
      <c r="U849" s="749"/>
      <c r="V849" s="749"/>
      <c r="W849" s="749"/>
      <c r="X849" s="749"/>
      <c r="Y849" s="749"/>
      <c r="Z849" s="749"/>
      <c r="AA849" s="749"/>
      <c r="AB849" s="749"/>
      <c r="AC849" s="749"/>
      <c r="AD849" s="749"/>
      <c r="AG849"/>
      <c r="AH849">
        <f t="shared" si="375"/>
        <v>0</v>
      </c>
      <c r="AI849">
        <f t="shared" si="371"/>
        <v>0</v>
      </c>
      <c r="AK849">
        <f t="shared" si="372"/>
        <v>0</v>
      </c>
      <c r="AL849">
        <f t="shared" si="373"/>
        <v>0</v>
      </c>
      <c r="AM849">
        <f t="shared" si="374"/>
        <v>0</v>
      </c>
      <c r="CF849"/>
      <c r="CG849"/>
    </row>
    <row r="850" spans="1:85" ht="15" customHeight="1">
      <c r="A850" s="91"/>
      <c r="C850" s="1109"/>
      <c r="D850" s="954"/>
      <c r="E850" s="956"/>
      <c r="F850" s="1110" t="s">
        <v>4870</v>
      </c>
      <c r="G850" s="1110"/>
      <c r="H850" s="178"/>
      <c r="I850" s="1111" t="s">
        <v>4871</v>
      </c>
      <c r="J850" s="1111"/>
      <c r="K850" s="1111"/>
      <c r="L850" s="1111"/>
      <c r="M850" s="1111"/>
      <c r="N850" s="1112"/>
      <c r="O850" s="749"/>
      <c r="P850" s="749"/>
      <c r="Q850" s="749"/>
      <c r="R850" s="749"/>
      <c r="S850" s="749"/>
      <c r="T850" s="749"/>
      <c r="U850" s="749"/>
      <c r="V850" s="749"/>
      <c r="W850" s="749"/>
      <c r="X850" s="749"/>
      <c r="Y850" s="749"/>
      <c r="Z850" s="749"/>
      <c r="AA850" s="749"/>
      <c r="AB850" s="749"/>
      <c r="AC850" s="749"/>
      <c r="AD850" s="749"/>
      <c r="AG850"/>
      <c r="AH850">
        <f t="shared" si="375"/>
        <v>0</v>
      </c>
      <c r="AI850">
        <f t="shared" si="371"/>
        <v>0</v>
      </c>
      <c r="AK850">
        <f t="shared" si="372"/>
        <v>0</v>
      </c>
      <c r="AL850">
        <f t="shared" si="373"/>
        <v>0</v>
      </c>
      <c r="AM850">
        <f t="shared" si="374"/>
        <v>0</v>
      </c>
      <c r="CF850"/>
      <c r="CG850"/>
    </row>
    <row r="851" spans="1:85" ht="24" customHeight="1">
      <c r="A851" s="91"/>
      <c r="C851" s="1109"/>
      <c r="D851" s="954"/>
      <c r="E851" s="956"/>
      <c r="F851" s="1110" t="s">
        <v>4872</v>
      </c>
      <c r="G851" s="1110"/>
      <c r="H851" s="178"/>
      <c r="I851" s="1111" t="s">
        <v>4873</v>
      </c>
      <c r="J851" s="1111"/>
      <c r="K851" s="1111"/>
      <c r="L851" s="1111"/>
      <c r="M851" s="1111"/>
      <c r="N851" s="1112"/>
      <c r="O851" s="749"/>
      <c r="P851" s="749"/>
      <c r="Q851" s="749"/>
      <c r="R851" s="749"/>
      <c r="S851" s="749"/>
      <c r="T851" s="749"/>
      <c r="U851" s="749"/>
      <c r="V851" s="749"/>
      <c r="W851" s="749"/>
      <c r="X851" s="749"/>
      <c r="Y851" s="749"/>
      <c r="Z851" s="749"/>
      <c r="AA851" s="749"/>
      <c r="AB851" s="749"/>
      <c r="AC851" s="749"/>
      <c r="AD851" s="749"/>
      <c r="AG851"/>
      <c r="AH851">
        <f t="shared" si="375"/>
        <v>0</v>
      </c>
      <c r="AI851">
        <f t="shared" si="371"/>
        <v>0</v>
      </c>
      <c r="AK851">
        <f t="shared" si="372"/>
        <v>0</v>
      </c>
      <c r="AL851">
        <f t="shared" si="373"/>
        <v>0</v>
      </c>
      <c r="AM851">
        <f t="shared" si="374"/>
        <v>0</v>
      </c>
      <c r="CF851"/>
      <c r="CG851"/>
    </row>
    <row r="852" spans="1:85" ht="24" customHeight="1">
      <c r="A852" s="91"/>
      <c r="C852" s="1109"/>
      <c r="D852" s="954"/>
      <c r="E852" s="956"/>
      <c r="F852" s="1110" t="s">
        <v>4874</v>
      </c>
      <c r="G852" s="1110"/>
      <c r="H852" s="178"/>
      <c r="I852" s="1111" t="s">
        <v>4875</v>
      </c>
      <c r="J852" s="1111"/>
      <c r="K852" s="1111"/>
      <c r="L852" s="1111"/>
      <c r="M852" s="1111"/>
      <c r="N852" s="1112"/>
      <c r="O852" s="749"/>
      <c r="P852" s="749"/>
      <c r="Q852" s="749"/>
      <c r="R852" s="749"/>
      <c r="S852" s="749"/>
      <c r="T852" s="749"/>
      <c r="U852" s="749"/>
      <c r="V852" s="749"/>
      <c r="W852" s="749"/>
      <c r="X852" s="749"/>
      <c r="Y852" s="749"/>
      <c r="Z852" s="749"/>
      <c r="AA852" s="749"/>
      <c r="AB852" s="749"/>
      <c r="AC852" s="749"/>
      <c r="AD852" s="749"/>
      <c r="AG852"/>
      <c r="AH852">
        <f t="shared" si="375"/>
        <v>0</v>
      </c>
      <c r="AI852">
        <f t="shared" si="371"/>
        <v>0</v>
      </c>
      <c r="AK852">
        <f t="shared" si="372"/>
        <v>0</v>
      </c>
      <c r="AL852">
        <f t="shared" si="373"/>
        <v>0</v>
      </c>
      <c r="AM852">
        <f t="shared" si="374"/>
        <v>0</v>
      </c>
      <c r="CF852"/>
      <c r="CG852"/>
    </row>
    <row r="853" spans="1:85" ht="15" customHeight="1">
      <c r="A853" s="91"/>
      <c r="C853" s="1109"/>
      <c r="D853" s="954"/>
      <c r="E853" s="956"/>
      <c r="F853" s="1110" t="s">
        <v>4876</v>
      </c>
      <c r="G853" s="1110"/>
      <c r="H853" s="178"/>
      <c r="I853" s="1111" t="s">
        <v>4877</v>
      </c>
      <c r="J853" s="1111"/>
      <c r="K853" s="1111"/>
      <c r="L853" s="1111"/>
      <c r="M853" s="1111"/>
      <c r="N853" s="1112"/>
      <c r="O853" s="749"/>
      <c r="P853" s="749"/>
      <c r="Q853" s="749"/>
      <c r="R853" s="749"/>
      <c r="S853" s="749"/>
      <c r="T853" s="749"/>
      <c r="U853" s="749"/>
      <c r="V853" s="749"/>
      <c r="W853" s="749"/>
      <c r="X853" s="749"/>
      <c r="Y853" s="749"/>
      <c r="Z853" s="749"/>
      <c r="AA853" s="749"/>
      <c r="AB853" s="749"/>
      <c r="AC853" s="749"/>
      <c r="AD853" s="749"/>
      <c r="AG853"/>
      <c r="AH853">
        <f t="shared" si="375"/>
        <v>0</v>
      </c>
      <c r="AI853">
        <f t="shared" si="371"/>
        <v>0</v>
      </c>
      <c r="AK853">
        <f t="shared" si="372"/>
        <v>0</v>
      </c>
      <c r="AL853">
        <f t="shared" si="373"/>
        <v>0</v>
      </c>
      <c r="AM853">
        <f t="shared" si="374"/>
        <v>0</v>
      </c>
      <c r="CF853"/>
      <c r="CG853"/>
    </row>
    <row r="854" spans="1:85" ht="15" customHeight="1">
      <c r="A854" s="91"/>
      <c r="C854" s="1109"/>
      <c r="D854" s="954"/>
      <c r="E854" s="956"/>
      <c r="F854" s="1110" t="s">
        <v>4878</v>
      </c>
      <c r="G854" s="1110"/>
      <c r="H854" s="178"/>
      <c r="I854" s="1111" t="s">
        <v>4879</v>
      </c>
      <c r="J854" s="1111"/>
      <c r="K854" s="1111"/>
      <c r="L854" s="1111"/>
      <c r="M854" s="1111"/>
      <c r="N854" s="1112"/>
      <c r="O854" s="749"/>
      <c r="P854" s="749"/>
      <c r="Q854" s="749"/>
      <c r="R854" s="749"/>
      <c r="S854" s="749"/>
      <c r="T854" s="749"/>
      <c r="U854" s="749"/>
      <c r="V854" s="749"/>
      <c r="W854" s="749"/>
      <c r="X854" s="749"/>
      <c r="Y854" s="749"/>
      <c r="Z854" s="749"/>
      <c r="AA854" s="749"/>
      <c r="AB854" s="749"/>
      <c r="AC854" s="749"/>
      <c r="AD854" s="749"/>
      <c r="AG854"/>
      <c r="AH854">
        <f t="shared" si="375"/>
        <v>0</v>
      </c>
      <c r="AI854">
        <f t="shared" si="371"/>
        <v>0</v>
      </c>
      <c r="AK854">
        <f t="shared" si="372"/>
        <v>0</v>
      </c>
      <c r="AL854">
        <f t="shared" si="373"/>
        <v>0</v>
      </c>
      <c r="AM854">
        <f t="shared" si="374"/>
        <v>0</v>
      </c>
      <c r="CF854"/>
      <c r="CG854"/>
    </row>
    <row r="855" spans="1:85" ht="15" customHeight="1">
      <c r="A855" s="91"/>
      <c r="C855" s="1109"/>
      <c r="D855" s="954"/>
      <c r="E855" s="956"/>
      <c r="F855" s="1110" t="s">
        <v>4880</v>
      </c>
      <c r="G855" s="1110"/>
      <c r="H855" s="178"/>
      <c r="I855" s="1111" t="s">
        <v>4881</v>
      </c>
      <c r="J855" s="1111"/>
      <c r="K855" s="1111"/>
      <c r="L855" s="1111"/>
      <c r="M855" s="1111"/>
      <c r="N855" s="1112"/>
      <c r="O855" s="749"/>
      <c r="P855" s="749"/>
      <c r="Q855" s="749"/>
      <c r="R855" s="749"/>
      <c r="S855" s="749"/>
      <c r="T855" s="749"/>
      <c r="U855" s="749"/>
      <c r="V855" s="749"/>
      <c r="W855" s="749"/>
      <c r="X855" s="749"/>
      <c r="Y855" s="749"/>
      <c r="Z855" s="749"/>
      <c r="AA855" s="749"/>
      <c r="AB855" s="749"/>
      <c r="AC855" s="749"/>
      <c r="AD855" s="749"/>
      <c r="AG855"/>
      <c r="AH855">
        <f t="shared" si="375"/>
        <v>0</v>
      </c>
      <c r="AI855">
        <f t="shared" si="371"/>
        <v>0</v>
      </c>
      <c r="AK855">
        <f t="shared" si="372"/>
        <v>0</v>
      </c>
      <c r="AL855">
        <f t="shared" si="373"/>
        <v>0</v>
      </c>
      <c r="AM855">
        <f t="shared" si="374"/>
        <v>0</v>
      </c>
      <c r="CF855"/>
      <c r="CG855"/>
    </row>
    <row r="856" spans="1:85" ht="15" customHeight="1">
      <c r="A856" s="91"/>
      <c r="C856" s="1109"/>
      <c r="D856" s="954"/>
      <c r="E856" s="956"/>
      <c r="F856" s="1110" t="s">
        <v>4882</v>
      </c>
      <c r="G856" s="1110"/>
      <c r="H856" s="178"/>
      <c r="I856" s="1111" t="s">
        <v>4883</v>
      </c>
      <c r="J856" s="1111"/>
      <c r="K856" s="1111"/>
      <c r="L856" s="1111"/>
      <c r="M856" s="1111"/>
      <c r="N856" s="1112"/>
      <c r="O856" s="749"/>
      <c r="P856" s="749"/>
      <c r="Q856" s="749"/>
      <c r="R856" s="749"/>
      <c r="S856" s="749"/>
      <c r="T856" s="749"/>
      <c r="U856" s="749"/>
      <c r="V856" s="749"/>
      <c r="W856" s="749"/>
      <c r="X856" s="749"/>
      <c r="Y856" s="749"/>
      <c r="Z856" s="749"/>
      <c r="AA856" s="749"/>
      <c r="AB856" s="749"/>
      <c r="AC856" s="749"/>
      <c r="AD856" s="749"/>
      <c r="AG856"/>
      <c r="AH856">
        <f t="shared" si="375"/>
        <v>0</v>
      </c>
      <c r="AI856">
        <f t="shared" si="371"/>
        <v>0</v>
      </c>
      <c r="AK856">
        <f t="shared" si="372"/>
        <v>0</v>
      </c>
      <c r="AL856">
        <f t="shared" si="373"/>
        <v>0</v>
      </c>
      <c r="AM856">
        <f t="shared" si="374"/>
        <v>0</v>
      </c>
      <c r="CF856"/>
      <c r="CG856"/>
    </row>
    <row r="857" spans="1:85" ht="15" customHeight="1">
      <c r="A857" s="91"/>
      <c r="C857" s="1109"/>
      <c r="D857" s="954"/>
      <c r="E857" s="956"/>
      <c r="F857" s="1110" t="s">
        <v>4884</v>
      </c>
      <c r="G857" s="1110"/>
      <c r="H857" s="178"/>
      <c r="I857" s="1111" t="s">
        <v>4885</v>
      </c>
      <c r="J857" s="1111"/>
      <c r="K857" s="1111"/>
      <c r="L857" s="1111"/>
      <c r="M857" s="1111"/>
      <c r="N857" s="1112"/>
      <c r="O857" s="749"/>
      <c r="P857" s="749"/>
      <c r="Q857" s="749"/>
      <c r="R857" s="749"/>
      <c r="S857" s="749"/>
      <c r="T857" s="749"/>
      <c r="U857" s="749"/>
      <c r="V857" s="749"/>
      <c r="W857" s="749"/>
      <c r="X857" s="749"/>
      <c r="Y857" s="749"/>
      <c r="Z857" s="749"/>
      <c r="AA857" s="749"/>
      <c r="AB857" s="749"/>
      <c r="AC857" s="749"/>
      <c r="AD857" s="749"/>
      <c r="AG857"/>
      <c r="AH857">
        <f t="shared" si="375"/>
        <v>0</v>
      </c>
      <c r="AI857">
        <f t="shared" si="371"/>
        <v>0</v>
      </c>
      <c r="AK857">
        <f t="shared" si="372"/>
        <v>0</v>
      </c>
      <c r="AL857">
        <f t="shared" si="373"/>
        <v>0</v>
      </c>
      <c r="AM857">
        <f t="shared" si="374"/>
        <v>0</v>
      </c>
      <c r="CF857"/>
      <c r="CG857"/>
    </row>
    <row r="858" spans="1:85" ht="15" customHeight="1">
      <c r="A858" s="91"/>
      <c r="C858" s="1109"/>
      <c r="D858" s="954"/>
      <c r="E858" s="956"/>
      <c r="F858" s="1110" t="s">
        <v>4886</v>
      </c>
      <c r="G858" s="1110"/>
      <c r="H858" s="178"/>
      <c r="I858" s="1111" t="s">
        <v>4887</v>
      </c>
      <c r="J858" s="1111"/>
      <c r="K858" s="1111"/>
      <c r="L858" s="1111"/>
      <c r="M858" s="1111"/>
      <c r="N858" s="1112"/>
      <c r="O858" s="749"/>
      <c r="P858" s="749"/>
      <c r="Q858" s="749"/>
      <c r="R858" s="749"/>
      <c r="S858" s="749"/>
      <c r="T858" s="749"/>
      <c r="U858" s="749"/>
      <c r="V858" s="749"/>
      <c r="W858" s="749"/>
      <c r="X858" s="749"/>
      <c r="Y858" s="749"/>
      <c r="Z858" s="749"/>
      <c r="AA858" s="749"/>
      <c r="AB858" s="749"/>
      <c r="AC858" s="749"/>
      <c r="AD858" s="749"/>
      <c r="AG858"/>
      <c r="AH858">
        <f t="shared" si="375"/>
        <v>0</v>
      </c>
      <c r="AI858">
        <f t="shared" si="371"/>
        <v>0</v>
      </c>
      <c r="AK858">
        <f t="shared" si="372"/>
        <v>0</v>
      </c>
      <c r="AL858">
        <f t="shared" si="373"/>
        <v>0</v>
      </c>
      <c r="AM858">
        <f t="shared" si="374"/>
        <v>0</v>
      </c>
      <c r="CF858"/>
      <c r="CG858"/>
    </row>
    <row r="859" spans="1:85" ht="15" customHeight="1">
      <c r="A859" s="91"/>
      <c r="C859" s="1109"/>
      <c r="D859" s="954"/>
      <c r="E859" s="956"/>
      <c r="F859" s="1110" t="s">
        <v>4888</v>
      </c>
      <c r="G859" s="1110"/>
      <c r="H859" s="178"/>
      <c r="I859" s="1111" t="s">
        <v>4889</v>
      </c>
      <c r="J859" s="1111"/>
      <c r="K859" s="1111"/>
      <c r="L859" s="1111"/>
      <c r="M859" s="1111"/>
      <c r="N859" s="1112"/>
      <c r="O859" s="749"/>
      <c r="P859" s="749"/>
      <c r="Q859" s="749"/>
      <c r="R859" s="749"/>
      <c r="S859" s="749"/>
      <c r="T859" s="749"/>
      <c r="U859" s="749"/>
      <c r="V859" s="749"/>
      <c r="W859" s="749"/>
      <c r="X859" s="749"/>
      <c r="Y859" s="749"/>
      <c r="Z859" s="749"/>
      <c r="AA859" s="749"/>
      <c r="AB859" s="749"/>
      <c r="AC859" s="749"/>
      <c r="AD859" s="749"/>
      <c r="AG859"/>
      <c r="AH859">
        <f t="shared" si="375"/>
        <v>0</v>
      </c>
      <c r="AI859">
        <f t="shared" si="371"/>
        <v>0</v>
      </c>
      <c r="AK859">
        <f t="shared" si="372"/>
        <v>0</v>
      </c>
      <c r="AL859">
        <f t="shared" si="373"/>
        <v>0</v>
      </c>
      <c r="AM859">
        <f t="shared" si="374"/>
        <v>0</v>
      </c>
      <c r="CF859"/>
      <c r="CG859"/>
    </row>
    <row r="860" spans="1:85" ht="15" customHeight="1">
      <c r="A860" s="91"/>
      <c r="C860" s="1109"/>
      <c r="D860" s="954"/>
      <c r="E860" s="956"/>
      <c r="F860" s="1110" t="s">
        <v>4890</v>
      </c>
      <c r="G860" s="1110"/>
      <c r="H860" s="178"/>
      <c r="I860" s="1113" t="s">
        <v>201</v>
      </c>
      <c r="J860" s="1113"/>
      <c r="K860" s="1113"/>
      <c r="L860" s="1113"/>
      <c r="M860" s="1113"/>
      <c r="N860" s="1114"/>
      <c r="O860" s="749"/>
      <c r="P860" s="749"/>
      <c r="Q860" s="749"/>
      <c r="R860" s="749"/>
      <c r="S860" s="749"/>
      <c r="T860" s="749"/>
      <c r="U860" s="749"/>
      <c r="V860" s="749"/>
      <c r="W860" s="749"/>
      <c r="X860" s="749"/>
      <c r="Y860" s="749"/>
      <c r="Z860" s="749"/>
      <c r="AA860" s="749"/>
      <c r="AB860" s="749"/>
      <c r="AC860" s="749"/>
      <c r="AD860" s="749"/>
      <c r="AG860"/>
      <c r="AH860">
        <f t="shared" si="375"/>
        <v>0</v>
      </c>
      <c r="AI860">
        <f t="shared" si="371"/>
        <v>0</v>
      </c>
      <c r="AK860">
        <f t="shared" si="372"/>
        <v>0</v>
      </c>
      <c r="AL860">
        <f t="shared" si="373"/>
        <v>0</v>
      </c>
      <c r="AM860">
        <f t="shared" si="374"/>
        <v>0</v>
      </c>
      <c r="CF860"/>
      <c r="CG860"/>
    </row>
    <row r="861" spans="1:85" ht="24" customHeight="1">
      <c r="A861" s="91"/>
      <c r="C861" s="1109"/>
      <c r="D861" s="954"/>
      <c r="E861" s="956"/>
      <c r="F861" s="1103" t="s">
        <v>4891</v>
      </c>
      <c r="G861" s="1103"/>
      <c r="H861" s="1104" t="s">
        <v>4892</v>
      </c>
      <c r="I861" s="1105"/>
      <c r="J861" s="1105"/>
      <c r="K861" s="1105"/>
      <c r="L861" s="1105"/>
      <c r="M861" s="1105"/>
      <c r="N861" s="1106"/>
      <c r="O861" s="749"/>
      <c r="P861" s="749"/>
      <c r="Q861" s="749"/>
      <c r="R861" s="749"/>
      <c r="S861" s="749"/>
      <c r="T861" s="749"/>
      <c r="U861" s="749"/>
      <c r="V861" s="749"/>
      <c r="W861" s="749"/>
      <c r="X861" s="749"/>
      <c r="Y861" s="749"/>
      <c r="Z861" s="749"/>
      <c r="AA861" s="749"/>
      <c r="AB861" s="749"/>
      <c r="AC861" s="749"/>
      <c r="AD861" s="749"/>
      <c r="AG861">
        <f>IF(O861="NA",IF(AND(COUNTIF(O862:O866,"="&amp;$AG$821)=0,COUNTIF(O862:O866,"&lt;&gt;NA")&gt;0),1,0),IF(AND(COUNTIF(O862:O866,"="&amp;$AG$821)=0,COUNTIF(O862:O866,"NA")=COUNTIF(O862:O866,"&lt;&gt;"&amp;$AG$821)),1,0))</f>
        <v>0</v>
      </c>
      <c r="AH861">
        <f t="shared" si="375"/>
        <v>0</v>
      </c>
      <c r="AI861">
        <f t="shared" si="371"/>
        <v>0</v>
      </c>
      <c r="AK861">
        <f t="shared" si="372"/>
        <v>0</v>
      </c>
      <c r="AL861">
        <f t="shared" si="373"/>
        <v>0</v>
      </c>
      <c r="AM861">
        <f t="shared" si="374"/>
        <v>0</v>
      </c>
      <c r="CF861"/>
      <c r="CG861"/>
    </row>
    <row r="862" spans="1:85" ht="24" customHeight="1">
      <c r="A862" s="91"/>
      <c r="C862" s="1109"/>
      <c r="D862" s="954"/>
      <c r="E862" s="956"/>
      <c r="F862" s="1110" t="s">
        <v>4893</v>
      </c>
      <c r="G862" s="1110"/>
      <c r="H862" s="178"/>
      <c r="I862" s="1115" t="s">
        <v>4894</v>
      </c>
      <c r="J862" s="1115"/>
      <c r="K862" s="1115"/>
      <c r="L862" s="1115"/>
      <c r="M862" s="1115"/>
      <c r="N862" s="1116"/>
      <c r="O862" s="749"/>
      <c r="P862" s="749"/>
      <c r="Q862" s="749"/>
      <c r="R862" s="749"/>
      <c r="S862" s="749"/>
      <c r="T862" s="749"/>
      <c r="U862" s="749"/>
      <c r="V862" s="749"/>
      <c r="W862" s="749"/>
      <c r="X862" s="749"/>
      <c r="Y862" s="749"/>
      <c r="Z862" s="749"/>
      <c r="AA862" s="749"/>
      <c r="AB862" s="749"/>
      <c r="AC862" s="749"/>
      <c r="AD862" s="749"/>
      <c r="AG862"/>
      <c r="AH862">
        <f t="shared" si="375"/>
        <v>0</v>
      </c>
      <c r="AI862">
        <f t="shared" si="371"/>
        <v>0</v>
      </c>
      <c r="AK862">
        <f t="shared" si="372"/>
        <v>0</v>
      </c>
      <c r="AL862">
        <f t="shared" si="373"/>
        <v>0</v>
      </c>
      <c r="AM862">
        <f t="shared" si="374"/>
        <v>0</v>
      </c>
      <c r="CF862"/>
      <c r="CG862"/>
    </row>
    <row r="863" spans="1:85" ht="24" customHeight="1">
      <c r="A863" s="91"/>
      <c r="C863" s="1109"/>
      <c r="D863" s="954"/>
      <c r="E863" s="956"/>
      <c r="F863" s="1110" t="s">
        <v>4895</v>
      </c>
      <c r="G863" s="1110"/>
      <c r="H863" s="178"/>
      <c r="I863" s="1111" t="s">
        <v>4896</v>
      </c>
      <c r="J863" s="1111"/>
      <c r="K863" s="1111"/>
      <c r="L863" s="1111"/>
      <c r="M863" s="1111"/>
      <c r="N863" s="1112"/>
      <c r="O863" s="749"/>
      <c r="P863" s="749"/>
      <c r="Q863" s="749"/>
      <c r="R863" s="749"/>
      <c r="S863" s="749"/>
      <c r="T863" s="749"/>
      <c r="U863" s="749"/>
      <c r="V863" s="749"/>
      <c r="W863" s="749"/>
      <c r="X863" s="749"/>
      <c r="Y863" s="749"/>
      <c r="Z863" s="749"/>
      <c r="AA863" s="749"/>
      <c r="AB863" s="749"/>
      <c r="AC863" s="749"/>
      <c r="AD863" s="749"/>
      <c r="AG863"/>
      <c r="AH863">
        <f t="shared" si="375"/>
        <v>0</v>
      </c>
      <c r="AI863">
        <f t="shared" si="371"/>
        <v>0</v>
      </c>
      <c r="AK863">
        <f t="shared" si="372"/>
        <v>0</v>
      </c>
      <c r="AL863">
        <f t="shared" si="373"/>
        <v>0</v>
      </c>
      <c r="AM863">
        <f t="shared" si="374"/>
        <v>0</v>
      </c>
      <c r="CF863"/>
      <c r="CG863"/>
    </row>
    <row r="864" spans="1:85" ht="24" customHeight="1">
      <c r="A864" s="91"/>
      <c r="C864" s="1109"/>
      <c r="D864" s="954"/>
      <c r="E864" s="956"/>
      <c r="F864" s="1110" t="s">
        <v>4897</v>
      </c>
      <c r="G864" s="1110"/>
      <c r="H864" s="178"/>
      <c r="I864" s="1111" t="s">
        <v>4898</v>
      </c>
      <c r="J864" s="1111"/>
      <c r="K864" s="1111"/>
      <c r="L864" s="1111"/>
      <c r="M864" s="1111"/>
      <c r="N864" s="1112"/>
      <c r="O864" s="749"/>
      <c r="P864" s="749"/>
      <c r="Q864" s="749"/>
      <c r="R864" s="749"/>
      <c r="S864" s="749"/>
      <c r="T864" s="749"/>
      <c r="U864" s="749"/>
      <c r="V864" s="749"/>
      <c r="W864" s="749"/>
      <c r="X864" s="749"/>
      <c r="Y864" s="749"/>
      <c r="Z864" s="749"/>
      <c r="AA864" s="749"/>
      <c r="AB864" s="749"/>
      <c r="AC864" s="749"/>
      <c r="AD864" s="749"/>
      <c r="AG864"/>
      <c r="AH864">
        <f t="shared" si="375"/>
        <v>0</v>
      </c>
      <c r="AI864">
        <f t="shared" si="371"/>
        <v>0</v>
      </c>
      <c r="AK864">
        <f t="shared" si="372"/>
        <v>0</v>
      </c>
      <c r="AL864">
        <f t="shared" si="373"/>
        <v>0</v>
      </c>
      <c r="AM864">
        <f t="shared" si="374"/>
        <v>0</v>
      </c>
      <c r="CF864"/>
      <c r="CG864"/>
    </row>
    <row r="865" spans="1:85" ht="24" customHeight="1">
      <c r="A865" s="91"/>
      <c r="C865" s="1109"/>
      <c r="D865" s="954"/>
      <c r="E865" s="956"/>
      <c r="F865" s="1110" t="s">
        <v>4899</v>
      </c>
      <c r="G865" s="1110"/>
      <c r="H865" s="178"/>
      <c r="I865" s="1111" t="s">
        <v>4900</v>
      </c>
      <c r="J865" s="1111"/>
      <c r="K865" s="1111"/>
      <c r="L865" s="1111"/>
      <c r="M865" s="1111"/>
      <c r="N865" s="1112"/>
      <c r="O865" s="749"/>
      <c r="P865" s="749"/>
      <c r="Q865" s="749"/>
      <c r="R865" s="749"/>
      <c r="S865" s="749"/>
      <c r="T865" s="749"/>
      <c r="U865" s="749"/>
      <c r="V865" s="749"/>
      <c r="W865" s="749"/>
      <c r="X865" s="749"/>
      <c r="Y865" s="749"/>
      <c r="Z865" s="749"/>
      <c r="AA865" s="749"/>
      <c r="AB865" s="749"/>
      <c r="AC865" s="749"/>
      <c r="AD865" s="749"/>
      <c r="AG865"/>
      <c r="AH865">
        <f t="shared" si="375"/>
        <v>0</v>
      </c>
      <c r="AI865">
        <f t="shared" si="371"/>
        <v>0</v>
      </c>
      <c r="AK865">
        <f t="shared" si="372"/>
        <v>0</v>
      </c>
      <c r="AL865">
        <f t="shared" si="373"/>
        <v>0</v>
      </c>
      <c r="AM865">
        <f t="shared" si="374"/>
        <v>0</v>
      </c>
      <c r="CF865"/>
      <c r="CG865"/>
    </row>
    <row r="866" spans="1:85" ht="15" customHeight="1">
      <c r="A866" s="91"/>
      <c r="C866" s="1109"/>
      <c r="D866" s="954"/>
      <c r="E866" s="956"/>
      <c r="F866" s="1110" t="s">
        <v>4901</v>
      </c>
      <c r="G866" s="1110"/>
      <c r="H866" s="178"/>
      <c r="I866" s="1113" t="s">
        <v>201</v>
      </c>
      <c r="J866" s="1113"/>
      <c r="K866" s="1113"/>
      <c r="L866" s="1113"/>
      <c r="M866" s="1113"/>
      <c r="N866" s="1114"/>
      <c r="O866" s="749"/>
      <c r="P866" s="749"/>
      <c r="Q866" s="749"/>
      <c r="R866" s="749"/>
      <c r="S866" s="749"/>
      <c r="T866" s="749"/>
      <c r="U866" s="749"/>
      <c r="V866" s="749"/>
      <c r="W866" s="749"/>
      <c r="X866" s="749"/>
      <c r="Y866" s="749"/>
      <c r="Z866" s="749"/>
      <c r="AA866" s="749"/>
      <c r="AB866" s="749"/>
      <c r="AC866" s="749"/>
      <c r="AD866" s="749"/>
      <c r="AG866"/>
      <c r="AH866">
        <f t="shared" si="375"/>
        <v>0</v>
      </c>
      <c r="AI866">
        <f t="shared" si="371"/>
        <v>0</v>
      </c>
      <c r="AK866">
        <f t="shared" si="372"/>
        <v>0</v>
      </c>
      <c r="AL866">
        <f t="shared" si="373"/>
        <v>0</v>
      </c>
      <c r="AM866">
        <f t="shared" si="374"/>
        <v>0</v>
      </c>
      <c r="CF866"/>
      <c r="CG866"/>
    </row>
    <row r="867" spans="1:85" ht="15" customHeight="1">
      <c r="A867" s="91"/>
      <c r="C867" s="1109"/>
      <c r="D867" s="954"/>
      <c r="E867" s="956"/>
      <c r="F867" s="1103" t="s">
        <v>4902</v>
      </c>
      <c r="G867" s="1103"/>
      <c r="H867" s="1104" t="s">
        <v>4903</v>
      </c>
      <c r="I867" s="1105"/>
      <c r="J867" s="1105"/>
      <c r="K867" s="1105"/>
      <c r="L867" s="1105"/>
      <c r="M867" s="1105"/>
      <c r="N867" s="1106"/>
      <c r="O867" s="749"/>
      <c r="P867" s="749"/>
      <c r="Q867" s="749"/>
      <c r="R867" s="749"/>
      <c r="S867" s="749"/>
      <c r="T867" s="749"/>
      <c r="U867" s="749"/>
      <c r="V867" s="749"/>
      <c r="W867" s="749"/>
      <c r="X867" s="749"/>
      <c r="Y867" s="749"/>
      <c r="Z867" s="749"/>
      <c r="AA867" s="749"/>
      <c r="AB867" s="749"/>
      <c r="AC867" s="749"/>
      <c r="AD867" s="749"/>
      <c r="AG867"/>
      <c r="AH867">
        <f t="shared" si="375"/>
        <v>0</v>
      </c>
      <c r="AI867">
        <f t="shared" si="371"/>
        <v>0</v>
      </c>
      <c r="AK867">
        <f t="shared" si="372"/>
        <v>0</v>
      </c>
      <c r="AL867">
        <f t="shared" si="373"/>
        <v>0</v>
      </c>
      <c r="AM867">
        <f t="shared" si="374"/>
        <v>0</v>
      </c>
      <c r="CF867"/>
      <c r="CG867"/>
    </row>
    <row r="868" spans="1:85" ht="15" customHeight="1">
      <c r="A868" s="91"/>
      <c r="C868" s="1109"/>
      <c r="D868" s="954"/>
      <c r="E868" s="956"/>
      <c r="F868" s="1103" t="s">
        <v>4904</v>
      </c>
      <c r="G868" s="1103"/>
      <c r="H868" s="1104" t="s">
        <v>4905</v>
      </c>
      <c r="I868" s="1105"/>
      <c r="J868" s="1105"/>
      <c r="K868" s="1105"/>
      <c r="L868" s="1105"/>
      <c r="M868" s="1105"/>
      <c r="N868" s="1106"/>
      <c r="O868" s="749"/>
      <c r="P868" s="749"/>
      <c r="Q868" s="749"/>
      <c r="R868" s="749"/>
      <c r="S868" s="749"/>
      <c r="T868" s="749"/>
      <c r="U868" s="749"/>
      <c r="V868" s="749"/>
      <c r="W868" s="749"/>
      <c r="X868" s="749"/>
      <c r="Y868" s="749"/>
      <c r="Z868" s="749"/>
      <c r="AA868" s="749"/>
      <c r="AB868" s="749"/>
      <c r="AC868" s="749"/>
      <c r="AD868" s="749"/>
      <c r="AG868"/>
      <c r="AH868">
        <f t="shared" si="375"/>
        <v>0</v>
      </c>
      <c r="AI868">
        <f t="shared" si="371"/>
        <v>0</v>
      </c>
      <c r="AK868">
        <f t="shared" si="372"/>
        <v>0</v>
      </c>
      <c r="AL868">
        <f t="shared" si="373"/>
        <v>0</v>
      </c>
      <c r="AM868">
        <f t="shared" si="374"/>
        <v>0</v>
      </c>
      <c r="CF868"/>
      <c r="CG868"/>
    </row>
    <row r="869" spans="1:85" ht="15" customHeight="1">
      <c r="A869" s="91"/>
      <c r="C869" s="1109"/>
      <c r="D869" s="954"/>
      <c r="E869" s="956"/>
      <c r="F869" s="1103" t="s">
        <v>4906</v>
      </c>
      <c r="G869" s="1103"/>
      <c r="H869" s="1104" t="s">
        <v>4907</v>
      </c>
      <c r="I869" s="1105"/>
      <c r="J869" s="1105"/>
      <c r="K869" s="1105"/>
      <c r="L869" s="1105"/>
      <c r="M869" s="1105"/>
      <c r="N869" s="1106"/>
      <c r="O869" s="749"/>
      <c r="P869" s="749"/>
      <c r="Q869" s="749"/>
      <c r="R869" s="749"/>
      <c r="S869" s="749"/>
      <c r="T869" s="749"/>
      <c r="U869" s="749"/>
      <c r="V869" s="749"/>
      <c r="W869" s="749"/>
      <c r="X869" s="749"/>
      <c r="Y869" s="749"/>
      <c r="Z869" s="749"/>
      <c r="AA869" s="749"/>
      <c r="AB869" s="749"/>
      <c r="AC869" s="749"/>
      <c r="AD869" s="749"/>
      <c r="AG869">
        <f>IF(O869="NA",IF(AND(COUNTIF(O870:O872,"="&amp;$AG$821)=0,COUNTIF(O870:O872,"&lt;&gt;NA")&gt;0),1,0),IF(AND(COUNTIF(O870:O872,"="&amp;$AG$821)=0,COUNTIF(O870:O872,"NA")=COUNTIF(O870:O872,"&lt;&gt;"&amp;$AG$821)),1,0))</f>
        <v>0</v>
      </c>
      <c r="AH869">
        <f t="shared" si="375"/>
        <v>0</v>
      </c>
      <c r="AI869">
        <f t="shared" si="371"/>
        <v>0</v>
      </c>
      <c r="AK869">
        <f t="shared" si="372"/>
        <v>0</v>
      </c>
      <c r="AL869">
        <f t="shared" si="373"/>
        <v>0</v>
      </c>
      <c r="AM869">
        <f t="shared" si="374"/>
        <v>0</v>
      </c>
      <c r="CF869"/>
      <c r="CG869"/>
    </row>
    <row r="870" spans="1:85" ht="48" customHeight="1">
      <c r="A870" s="91"/>
      <c r="C870" s="1109"/>
      <c r="D870" s="954"/>
      <c r="E870" s="956"/>
      <c r="F870" s="1110" t="s">
        <v>4908</v>
      </c>
      <c r="G870" s="1110"/>
      <c r="H870" s="178"/>
      <c r="I870" s="1115" t="s">
        <v>4909</v>
      </c>
      <c r="J870" s="1115"/>
      <c r="K870" s="1115"/>
      <c r="L870" s="1115"/>
      <c r="M870" s="1115"/>
      <c r="N870" s="1116"/>
      <c r="O870" s="749"/>
      <c r="P870" s="749"/>
      <c r="Q870" s="749"/>
      <c r="R870" s="749"/>
      <c r="S870" s="749"/>
      <c r="T870" s="749"/>
      <c r="U870" s="749"/>
      <c r="V870" s="749"/>
      <c r="W870" s="749"/>
      <c r="X870" s="749"/>
      <c r="Y870" s="749"/>
      <c r="Z870" s="749"/>
      <c r="AA870" s="749"/>
      <c r="AB870" s="749"/>
      <c r="AC870" s="749"/>
      <c r="AD870" s="749"/>
      <c r="AG870"/>
      <c r="AH870">
        <f t="shared" si="375"/>
        <v>0</v>
      </c>
      <c r="AI870">
        <f t="shared" si="371"/>
        <v>0</v>
      </c>
      <c r="AK870">
        <f t="shared" si="372"/>
        <v>0</v>
      </c>
      <c r="AL870">
        <f t="shared" si="373"/>
        <v>0</v>
      </c>
      <c r="AM870">
        <f t="shared" si="374"/>
        <v>0</v>
      </c>
      <c r="CF870"/>
      <c r="CG870"/>
    </row>
    <row r="871" spans="1:85" ht="15" customHeight="1">
      <c r="A871" s="91"/>
      <c r="C871" s="1109"/>
      <c r="D871" s="954"/>
      <c r="E871" s="956"/>
      <c r="F871" s="1110" t="s">
        <v>4910</v>
      </c>
      <c r="G871" s="1110"/>
      <c r="H871" s="178"/>
      <c r="I871" s="1111" t="s">
        <v>4911</v>
      </c>
      <c r="J871" s="1111"/>
      <c r="K871" s="1111"/>
      <c r="L871" s="1111"/>
      <c r="M871" s="1111"/>
      <c r="N871" s="1112"/>
      <c r="O871" s="749"/>
      <c r="P871" s="749"/>
      <c r="Q871" s="749"/>
      <c r="R871" s="749"/>
      <c r="S871" s="749"/>
      <c r="T871" s="749"/>
      <c r="U871" s="749"/>
      <c r="V871" s="749"/>
      <c r="W871" s="749"/>
      <c r="X871" s="749"/>
      <c r="Y871" s="749"/>
      <c r="Z871" s="749"/>
      <c r="AA871" s="749"/>
      <c r="AB871" s="749"/>
      <c r="AC871" s="749"/>
      <c r="AD871" s="749"/>
      <c r="AG871"/>
      <c r="AH871">
        <f t="shared" si="375"/>
        <v>0</v>
      </c>
      <c r="AI871">
        <f t="shared" si="371"/>
        <v>0</v>
      </c>
      <c r="AK871">
        <f t="shared" si="372"/>
        <v>0</v>
      </c>
      <c r="AL871">
        <f t="shared" si="373"/>
        <v>0</v>
      </c>
      <c r="AM871">
        <f t="shared" si="374"/>
        <v>0</v>
      </c>
      <c r="CF871"/>
      <c r="CG871"/>
    </row>
    <row r="872" spans="1:85" ht="15" customHeight="1">
      <c r="A872" s="91"/>
      <c r="C872" s="1109"/>
      <c r="D872" s="954"/>
      <c r="E872" s="956"/>
      <c r="F872" s="1110" t="s">
        <v>4912</v>
      </c>
      <c r="G872" s="1110"/>
      <c r="H872" s="178"/>
      <c r="I872" s="1113" t="s">
        <v>201</v>
      </c>
      <c r="J872" s="1113"/>
      <c r="K872" s="1113"/>
      <c r="L872" s="1113"/>
      <c r="M872" s="1113"/>
      <c r="N872" s="1114"/>
      <c r="O872" s="749"/>
      <c r="P872" s="749"/>
      <c r="Q872" s="749"/>
      <c r="R872" s="749"/>
      <c r="S872" s="749"/>
      <c r="T872" s="749"/>
      <c r="U872" s="749"/>
      <c r="V872" s="749"/>
      <c r="W872" s="749"/>
      <c r="X872" s="749"/>
      <c r="Y872" s="749"/>
      <c r="Z872" s="749"/>
      <c r="AA872" s="749"/>
      <c r="AB872" s="749"/>
      <c r="AC872" s="749"/>
      <c r="AD872" s="749"/>
      <c r="AG872"/>
      <c r="AH872">
        <f t="shared" si="375"/>
        <v>0</v>
      </c>
      <c r="AI872">
        <f t="shared" si="371"/>
        <v>0</v>
      </c>
      <c r="AK872">
        <f t="shared" si="372"/>
        <v>0</v>
      </c>
      <c r="AL872">
        <f t="shared" si="373"/>
        <v>0</v>
      </c>
      <c r="AM872">
        <f t="shared" si="374"/>
        <v>0</v>
      </c>
      <c r="CF872"/>
      <c r="CG872"/>
    </row>
    <row r="873" spans="1:85" ht="15" customHeight="1">
      <c r="A873" s="91"/>
      <c r="C873" s="1109"/>
      <c r="D873" s="954"/>
      <c r="E873" s="956"/>
      <c r="F873" s="1103" t="s">
        <v>4913</v>
      </c>
      <c r="G873" s="1103"/>
      <c r="H873" s="1104" t="s">
        <v>4914</v>
      </c>
      <c r="I873" s="1105"/>
      <c r="J873" s="1105"/>
      <c r="K873" s="1105"/>
      <c r="L873" s="1105"/>
      <c r="M873" s="1105"/>
      <c r="N873" s="1106"/>
      <c r="O873" s="749"/>
      <c r="P873" s="749"/>
      <c r="Q873" s="749"/>
      <c r="R873" s="749"/>
      <c r="S873" s="749"/>
      <c r="T873" s="749"/>
      <c r="U873" s="749"/>
      <c r="V873" s="749"/>
      <c r="W873" s="749"/>
      <c r="X873" s="749"/>
      <c r="Y873" s="749"/>
      <c r="Z873" s="749"/>
      <c r="AA873" s="749"/>
      <c r="AB873" s="749"/>
      <c r="AC873" s="749"/>
      <c r="AD873" s="749"/>
      <c r="AG873"/>
      <c r="AH873">
        <f t="shared" si="375"/>
        <v>0</v>
      </c>
      <c r="AI873">
        <f t="shared" si="371"/>
        <v>0</v>
      </c>
      <c r="AK873">
        <f t="shared" si="372"/>
        <v>0</v>
      </c>
      <c r="AL873">
        <f t="shared" si="373"/>
        <v>0</v>
      </c>
      <c r="AM873">
        <f t="shared" si="374"/>
        <v>0</v>
      </c>
      <c r="CF873"/>
      <c r="CG873"/>
    </row>
    <row r="874" spans="1:85" ht="15" customHeight="1">
      <c r="A874" s="91"/>
      <c r="C874" s="1109"/>
      <c r="D874" s="954"/>
      <c r="E874" s="956"/>
      <c r="F874" s="1103" t="s">
        <v>4915</v>
      </c>
      <c r="G874" s="1103"/>
      <c r="H874" s="1104" t="s">
        <v>4916</v>
      </c>
      <c r="I874" s="1105"/>
      <c r="J874" s="1105"/>
      <c r="K874" s="1105"/>
      <c r="L874" s="1105"/>
      <c r="M874" s="1105"/>
      <c r="N874" s="1106"/>
      <c r="O874" s="749"/>
      <c r="P874" s="749"/>
      <c r="Q874" s="749"/>
      <c r="R874" s="749"/>
      <c r="S874" s="749"/>
      <c r="T874" s="749"/>
      <c r="U874" s="749"/>
      <c r="V874" s="749"/>
      <c r="W874" s="749"/>
      <c r="X874" s="749"/>
      <c r="Y874" s="749"/>
      <c r="Z874" s="749"/>
      <c r="AA874" s="749"/>
      <c r="AB874" s="749"/>
      <c r="AC874" s="749"/>
      <c r="AD874" s="749"/>
      <c r="AG874"/>
      <c r="AH874">
        <f t="shared" si="375"/>
        <v>0</v>
      </c>
      <c r="AI874">
        <f t="shared" si="371"/>
        <v>0</v>
      </c>
      <c r="AK874">
        <f t="shared" si="372"/>
        <v>0</v>
      </c>
      <c r="AL874">
        <f t="shared" si="373"/>
        <v>0</v>
      </c>
      <c r="AM874">
        <f t="shared" si="374"/>
        <v>0</v>
      </c>
      <c r="CF874"/>
      <c r="CG874"/>
    </row>
    <row r="875" spans="1:85" ht="24" customHeight="1">
      <c r="A875" s="91"/>
      <c r="C875" s="1109"/>
      <c r="D875" s="954"/>
      <c r="E875" s="956"/>
      <c r="F875" s="1103" t="s">
        <v>4917</v>
      </c>
      <c r="G875" s="1103"/>
      <c r="H875" s="1104" t="s">
        <v>4918</v>
      </c>
      <c r="I875" s="1105"/>
      <c r="J875" s="1105"/>
      <c r="K875" s="1105"/>
      <c r="L875" s="1105"/>
      <c r="M875" s="1105"/>
      <c r="N875" s="1106"/>
      <c r="O875" s="749"/>
      <c r="P875" s="749"/>
      <c r="Q875" s="749"/>
      <c r="R875" s="749"/>
      <c r="S875" s="749"/>
      <c r="T875" s="749"/>
      <c r="U875" s="749"/>
      <c r="V875" s="749"/>
      <c r="W875" s="749"/>
      <c r="X875" s="749"/>
      <c r="Y875" s="749"/>
      <c r="Z875" s="749"/>
      <c r="AA875" s="749"/>
      <c r="AB875" s="749"/>
      <c r="AC875" s="749"/>
      <c r="AD875" s="749"/>
      <c r="AG875"/>
      <c r="AH875">
        <f t="shared" si="375"/>
        <v>0</v>
      </c>
      <c r="AI875">
        <f t="shared" si="371"/>
        <v>0</v>
      </c>
      <c r="AK875">
        <f t="shared" si="372"/>
        <v>0</v>
      </c>
      <c r="AL875">
        <f t="shared" si="373"/>
        <v>0</v>
      </c>
      <c r="AM875">
        <f t="shared" si="374"/>
        <v>0</v>
      </c>
      <c r="AN875">
        <f>IF(OR(O875="NS",O875="NA",$AG$809=8),0,IF((O875*(IFERROR(100/SUM(O842:O875),0)))&gt;25,1,0))</f>
        <v>0</v>
      </c>
      <c r="CF875"/>
      <c r="CG875"/>
    </row>
    <row r="876" spans="1:85" ht="15" customHeight="1">
      <c r="A876" s="91"/>
      <c r="C876" s="1108" t="s">
        <v>4919</v>
      </c>
      <c r="D876" s="847" t="s">
        <v>4920</v>
      </c>
      <c r="E876" s="848"/>
      <c r="F876" s="1103" t="s">
        <v>4921</v>
      </c>
      <c r="G876" s="1103"/>
      <c r="H876" s="1104" t="s">
        <v>4922</v>
      </c>
      <c r="I876" s="1105"/>
      <c r="J876" s="1105"/>
      <c r="K876" s="1105"/>
      <c r="L876" s="1105"/>
      <c r="M876" s="1105"/>
      <c r="N876" s="1106"/>
      <c r="O876" s="749"/>
      <c r="P876" s="749"/>
      <c r="Q876" s="749"/>
      <c r="R876" s="749"/>
      <c r="S876" s="749"/>
      <c r="T876" s="749"/>
      <c r="U876" s="749"/>
      <c r="V876" s="749"/>
      <c r="W876" s="749"/>
      <c r="X876" s="749"/>
      <c r="Y876" s="749"/>
      <c r="Z876" s="749"/>
      <c r="AA876" s="749"/>
      <c r="AB876" s="749"/>
      <c r="AC876" s="749"/>
      <c r="AD876" s="749"/>
      <c r="AG876"/>
      <c r="AH876">
        <f t="shared" si="375"/>
        <v>0</v>
      </c>
      <c r="AI876">
        <f t="shared" ref="AI876:AI939" si="376">IF(O876="NA",IF(COUNTA(S876:AD876)=0,0,1),0)</f>
        <v>0</v>
      </c>
      <c r="AK876">
        <f t="shared" ref="AK876:AK939" si="377">COUNTIF(S876:AD876,"NS")</f>
        <v>0</v>
      </c>
      <c r="AL876">
        <f t="shared" ref="AL876:AL939" si="378">SUM(S876:AD876)</f>
        <v>0</v>
      </c>
      <c r="AM876">
        <f t="shared" ref="AM876:AM939" si="379">IF(COUNTIF(O876:AD876,"NA")=4,0,IF(COUNTA(O876:AD876)=0,0,IF(OR(AND(O876=0,AK876&gt;0),AND(O876="ns",AL876&gt;0),AND(O876="ns",AK876=0,AL876=0)),1,IF(OR(AND(O876&gt;0,AK876=2),AND(O876="ns",AK876=2),AND(O876="ns",AL876=0,AK876&gt;0),O876=AL876),0,1))))</f>
        <v>0</v>
      </c>
      <c r="CF876"/>
      <c r="CG876"/>
    </row>
    <row r="877" spans="1:85" ht="24" customHeight="1">
      <c r="A877" s="91"/>
      <c r="C877" s="1109"/>
      <c r="D877" s="954"/>
      <c r="E877" s="956"/>
      <c r="F877" s="1103" t="s">
        <v>4923</v>
      </c>
      <c r="G877" s="1103"/>
      <c r="H877" s="1104" t="s">
        <v>4924</v>
      </c>
      <c r="I877" s="1105"/>
      <c r="J877" s="1105"/>
      <c r="K877" s="1105"/>
      <c r="L877" s="1105"/>
      <c r="M877" s="1105"/>
      <c r="N877" s="1106"/>
      <c r="O877" s="749"/>
      <c r="P877" s="749"/>
      <c r="Q877" s="749"/>
      <c r="R877" s="749"/>
      <c r="S877" s="749"/>
      <c r="T877" s="749"/>
      <c r="U877" s="749"/>
      <c r="V877" s="749"/>
      <c r="W877" s="749"/>
      <c r="X877" s="749"/>
      <c r="Y877" s="749"/>
      <c r="Z877" s="749"/>
      <c r="AA877" s="749"/>
      <c r="AB877" s="749"/>
      <c r="AC877" s="749"/>
      <c r="AD877" s="749"/>
      <c r="AG877"/>
      <c r="AH877">
        <f t="shared" ref="AH877:AH940" si="380">IF(OR($AG$809=8,O877="NA"),0,IF(COUNTA(O877:AD877)=4,0,1))</f>
        <v>0</v>
      </c>
      <c r="AI877">
        <f t="shared" si="376"/>
        <v>0</v>
      </c>
      <c r="AK877">
        <f t="shared" si="377"/>
        <v>0</v>
      </c>
      <c r="AL877">
        <f t="shared" si="378"/>
        <v>0</v>
      </c>
      <c r="AM877">
        <f t="shared" si="379"/>
        <v>0</v>
      </c>
      <c r="CF877"/>
      <c r="CG877"/>
    </row>
    <row r="878" spans="1:85" ht="15" customHeight="1">
      <c r="A878" s="91"/>
      <c r="C878" s="1109"/>
      <c r="D878" s="954"/>
      <c r="E878" s="956"/>
      <c r="F878" s="1103" t="s">
        <v>4925</v>
      </c>
      <c r="G878" s="1103"/>
      <c r="H878" s="1104" t="s">
        <v>4926</v>
      </c>
      <c r="I878" s="1105"/>
      <c r="J878" s="1105"/>
      <c r="K878" s="1105"/>
      <c r="L878" s="1105"/>
      <c r="M878" s="1105"/>
      <c r="N878" s="1106"/>
      <c r="O878" s="749"/>
      <c r="P878" s="749"/>
      <c r="Q878" s="749"/>
      <c r="R878" s="749"/>
      <c r="S878" s="749"/>
      <c r="T878" s="749"/>
      <c r="U878" s="749"/>
      <c r="V878" s="749"/>
      <c r="W878" s="749"/>
      <c r="X878" s="749"/>
      <c r="Y878" s="749"/>
      <c r="Z878" s="749"/>
      <c r="AA878" s="749"/>
      <c r="AB878" s="749"/>
      <c r="AC878" s="749"/>
      <c r="AD878" s="749"/>
      <c r="AG878"/>
      <c r="AH878">
        <f t="shared" si="380"/>
        <v>0</v>
      </c>
      <c r="AI878">
        <f t="shared" si="376"/>
        <v>0</v>
      </c>
      <c r="AK878">
        <f t="shared" si="377"/>
        <v>0</v>
      </c>
      <c r="AL878">
        <f t="shared" si="378"/>
        <v>0</v>
      </c>
      <c r="AM878">
        <f t="shared" si="379"/>
        <v>0</v>
      </c>
      <c r="AN878">
        <f>IF(OR(O878="NS",O878="NA",$AG$809=8),0,IF((O878*(IFERROR(100/SUM(O876:O878),0)))&gt;25,1,0))</f>
        <v>0</v>
      </c>
      <c r="CF878"/>
      <c r="CG878"/>
    </row>
    <row r="879" spans="1:85" ht="24" customHeight="1">
      <c r="A879" s="91"/>
      <c r="C879" s="1108" t="s">
        <v>4927</v>
      </c>
      <c r="D879" s="847" t="s">
        <v>5417</v>
      </c>
      <c r="E879" s="848"/>
      <c r="F879" s="1103" t="s">
        <v>4929</v>
      </c>
      <c r="G879" s="1103"/>
      <c r="H879" s="1104" t="s">
        <v>4930</v>
      </c>
      <c r="I879" s="1105"/>
      <c r="J879" s="1105"/>
      <c r="K879" s="1105"/>
      <c r="L879" s="1105"/>
      <c r="M879" s="1105"/>
      <c r="N879" s="1106"/>
      <c r="O879" s="749"/>
      <c r="P879" s="749"/>
      <c r="Q879" s="749"/>
      <c r="R879" s="749"/>
      <c r="S879" s="749"/>
      <c r="T879" s="749"/>
      <c r="U879" s="749"/>
      <c r="V879" s="749"/>
      <c r="W879" s="749"/>
      <c r="X879" s="749"/>
      <c r="Y879" s="749"/>
      <c r="Z879" s="749"/>
      <c r="AA879" s="749"/>
      <c r="AB879" s="749"/>
      <c r="AC879" s="749"/>
      <c r="AD879" s="749"/>
      <c r="AG879">
        <f>IF(O879="NA",IF(AND(COUNTIF(O880:O886,"="&amp;$AG$821)=0,COUNTIF(O880:O886,"&lt;&gt;NA")&gt;0),1,0),IF(AND(COUNTIF(O880:O886,"="&amp;$AG$821)=0,COUNTIF(O880:O886,"NA")=COUNTIF(O880:O886,"&lt;&gt;"&amp;$AG$821)),1,0))</f>
        <v>0</v>
      </c>
      <c r="AH879">
        <f t="shared" si="380"/>
        <v>0</v>
      </c>
      <c r="AI879">
        <f t="shared" si="376"/>
        <v>0</v>
      </c>
      <c r="AK879">
        <f t="shared" si="377"/>
        <v>0</v>
      </c>
      <c r="AL879">
        <f t="shared" si="378"/>
        <v>0</v>
      </c>
      <c r="AM879">
        <f t="shared" si="379"/>
        <v>0</v>
      </c>
      <c r="CF879"/>
      <c r="CG879"/>
    </row>
    <row r="880" spans="1:85" ht="24" customHeight="1">
      <c r="A880" s="91"/>
      <c r="C880" s="1109"/>
      <c r="D880" s="954"/>
      <c r="E880" s="956"/>
      <c r="F880" s="1110" t="s">
        <v>4931</v>
      </c>
      <c r="G880" s="1110"/>
      <c r="H880" s="178"/>
      <c r="I880" s="1115" t="s">
        <v>4932</v>
      </c>
      <c r="J880" s="1115"/>
      <c r="K880" s="1115"/>
      <c r="L880" s="1115"/>
      <c r="M880" s="1115"/>
      <c r="N880" s="1116"/>
      <c r="O880" s="749"/>
      <c r="P880" s="749"/>
      <c r="Q880" s="749"/>
      <c r="R880" s="749"/>
      <c r="S880" s="749"/>
      <c r="T880" s="749"/>
      <c r="U880" s="749"/>
      <c r="V880" s="749"/>
      <c r="W880" s="749"/>
      <c r="X880" s="749"/>
      <c r="Y880" s="749"/>
      <c r="Z880" s="749"/>
      <c r="AA880" s="749"/>
      <c r="AB880" s="749"/>
      <c r="AC880" s="749"/>
      <c r="AD880" s="749"/>
      <c r="AG880"/>
      <c r="AH880">
        <f t="shared" si="380"/>
        <v>0</v>
      </c>
      <c r="AI880">
        <f t="shared" si="376"/>
        <v>0</v>
      </c>
      <c r="AK880">
        <f t="shared" si="377"/>
        <v>0</v>
      </c>
      <c r="AL880">
        <f t="shared" si="378"/>
        <v>0</v>
      </c>
      <c r="AM880">
        <f t="shared" si="379"/>
        <v>0</v>
      </c>
      <c r="CF880"/>
      <c r="CG880"/>
    </row>
    <row r="881" spans="1:85" ht="24" customHeight="1">
      <c r="A881" s="91"/>
      <c r="C881" s="1109"/>
      <c r="D881" s="954"/>
      <c r="E881" s="956"/>
      <c r="F881" s="1110" t="s">
        <v>4933</v>
      </c>
      <c r="G881" s="1110"/>
      <c r="H881" s="178"/>
      <c r="I881" s="1111" t="s">
        <v>4934</v>
      </c>
      <c r="J881" s="1111"/>
      <c r="K881" s="1111"/>
      <c r="L881" s="1111"/>
      <c r="M881" s="1111"/>
      <c r="N881" s="1112"/>
      <c r="O881" s="749"/>
      <c r="P881" s="749"/>
      <c r="Q881" s="749"/>
      <c r="R881" s="749"/>
      <c r="S881" s="749"/>
      <c r="T881" s="749"/>
      <c r="U881" s="749"/>
      <c r="V881" s="749"/>
      <c r="W881" s="749"/>
      <c r="X881" s="749"/>
      <c r="Y881" s="749"/>
      <c r="Z881" s="749"/>
      <c r="AA881" s="749"/>
      <c r="AB881" s="749"/>
      <c r="AC881" s="749"/>
      <c r="AD881" s="749"/>
      <c r="AG881"/>
      <c r="AH881">
        <f t="shared" si="380"/>
        <v>0</v>
      </c>
      <c r="AI881">
        <f t="shared" si="376"/>
        <v>0</v>
      </c>
      <c r="AK881">
        <f t="shared" si="377"/>
        <v>0</v>
      </c>
      <c r="AL881">
        <f t="shared" si="378"/>
        <v>0</v>
      </c>
      <c r="AM881">
        <f t="shared" si="379"/>
        <v>0</v>
      </c>
      <c r="CF881"/>
      <c r="CG881"/>
    </row>
    <row r="882" spans="1:85" ht="15" customHeight="1">
      <c r="A882" s="91"/>
      <c r="C882" s="1109"/>
      <c r="D882" s="954"/>
      <c r="E882" s="956"/>
      <c r="F882" s="1110" t="s">
        <v>4935</v>
      </c>
      <c r="G882" s="1110"/>
      <c r="H882" s="178"/>
      <c r="I882" s="1111" t="s">
        <v>4936</v>
      </c>
      <c r="J882" s="1111"/>
      <c r="K882" s="1111"/>
      <c r="L882" s="1111"/>
      <c r="M882" s="1111"/>
      <c r="N882" s="1112"/>
      <c r="O882" s="749"/>
      <c r="P882" s="749"/>
      <c r="Q882" s="749"/>
      <c r="R882" s="749"/>
      <c r="S882" s="749"/>
      <c r="T882" s="749"/>
      <c r="U882" s="749"/>
      <c r="V882" s="749"/>
      <c r="W882" s="749"/>
      <c r="X882" s="749"/>
      <c r="Y882" s="749"/>
      <c r="Z882" s="749"/>
      <c r="AA882" s="749"/>
      <c r="AB882" s="749"/>
      <c r="AC882" s="749"/>
      <c r="AD882" s="749"/>
      <c r="AG882"/>
      <c r="AH882">
        <f t="shared" si="380"/>
        <v>0</v>
      </c>
      <c r="AI882">
        <f t="shared" si="376"/>
        <v>0</v>
      </c>
      <c r="AK882">
        <f t="shared" si="377"/>
        <v>0</v>
      </c>
      <c r="AL882">
        <f t="shared" si="378"/>
        <v>0</v>
      </c>
      <c r="AM882">
        <f t="shared" si="379"/>
        <v>0</v>
      </c>
      <c r="CF882"/>
      <c r="CG882"/>
    </row>
    <row r="883" spans="1:85" ht="15" customHeight="1">
      <c r="A883" s="91"/>
      <c r="C883" s="1109"/>
      <c r="D883" s="954"/>
      <c r="E883" s="956"/>
      <c r="F883" s="1110" t="s">
        <v>4937</v>
      </c>
      <c r="G883" s="1110"/>
      <c r="H883" s="178"/>
      <c r="I883" s="1111" t="s">
        <v>4938</v>
      </c>
      <c r="J883" s="1111"/>
      <c r="K883" s="1111"/>
      <c r="L883" s="1111"/>
      <c r="M883" s="1111"/>
      <c r="N883" s="1112"/>
      <c r="O883" s="749"/>
      <c r="P883" s="749"/>
      <c r="Q883" s="749"/>
      <c r="R883" s="749"/>
      <c r="S883" s="749"/>
      <c r="T883" s="749"/>
      <c r="U883" s="749"/>
      <c r="V883" s="749"/>
      <c r="W883" s="749"/>
      <c r="X883" s="749"/>
      <c r="Y883" s="749"/>
      <c r="Z883" s="749"/>
      <c r="AA883" s="749"/>
      <c r="AB883" s="749"/>
      <c r="AC883" s="749"/>
      <c r="AD883" s="749"/>
      <c r="AG883"/>
      <c r="AH883">
        <f t="shared" si="380"/>
        <v>0</v>
      </c>
      <c r="AI883">
        <f t="shared" si="376"/>
        <v>0</v>
      </c>
      <c r="AK883">
        <f t="shared" si="377"/>
        <v>0</v>
      </c>
      <c r="AL883">
        <f t="shared" si="378"/>
        <v>0</v>
      </c>
      <c r="AM883">
        <f t="shared" si="379"/>
        <v>0</v>
      </c>
      <c r="CF883"/>
      <c r="CG883"/>
    </row>
    <row r="884" spans="1:85" ht="15" customHeight="1">
      <c r="A884" s="91"/>
      <c r="C884" s="1109"/>
      <c r="D884" s="954"/>
      <c r="E884" s="956"/>
      <c r="F884" s="1110" t="s">
        <v>4939</v>
      </c>
      <c r="G884" s="1110"/>
      <c r="H884" s="178"/>
      <c r="I884" s="1111" t="s">
        <v>4940</v>
      </c>
      <c r="J884" s="1111"/>
      <c r="K884" s="1111"/>
      <c r="L884" s="1111"/>
      <c r="M884" s="1111"/>
      <c r="N884" s="1112"/>
      <c r="O884" s="749"/>
      <c r="P884" s="749"/>
      <c r="Q884" s="749"/>
      <c r="R884" s="749"/>
      <c r="S884" s="749"/>
      <c r="T884" s="749"/>
      <c r="U884" s="749"/>
      <c r="V884" s="749"/>
      <c r="W884" s="749"/>
      <c r="X884" s="749"/>
      <c r="Y884" s="749"/>
      <c r="Z884" s="749"/>
      <c r="AA884" s="749"/>
      <c r="AB884" s="749"/>
      <c r="AC884" s="749"/>
      <c r="AD884" s="749"/>
      <c r="AG884"/>
      <c r="AH884">
        <f t="shared" si="380"/>
        <v>0</v>
      </c>
      <c r="AI884">
        <f t="shared" si="376"/>
        <v>0</v>
      </c>
      <c r="AK884">
        <f t="shared" si="377"/>
        <v>0</v>
      </c>
      <c r="AL884">
        <f t="shared" si="378"/>
        <v>0</v>
      </c>
      <c r="AM884">
        <f t="shared" si="379"/>
        <v>0</v>
      </c>
      <c r="CF884"/>
      <c r="CG884"/>
    </row>
    <row r="885" spans="1:85" ht="24" customHeight="1">
      <c r="A885" s="91"/>
      <c r="C885" s="1109"/>
      <c r="D885" s="954"/>
      <c r="E885" s="956"/>
      <c r="F885" s="1110" t="s">
        <v>4941</v>
      </c>
      <c r="G885" s="1110"/>
      <c r="H885" s="178"/>
      <c r="I885" s="1111" t="s">
        <v>4942</v>
      </c>
      <c r="J885" s="1111"/>
      <c r="K885" s="1111"/>
      <c r="L885" s="1111"/>
      <c r="M885" s="1111"/>
      <c r="N885" s="1112"/>
      <c r="O885" s="749"/>
      <c r="P885" s="749"/>
      <c r="Q885" s="749"/>
      <c r="R885" s="749"/>
      <c r="S885" s="749"/>
      <c r="T885" s="749"/>
      <c r="U885" s="749"/>
      <c r="V885" s="749"/>
      <c r="W885" s="749"/>
      <c r="X885" s="749"/>
      <c r="Y885" s="749"/>
      <c r="Z885" s="749"/>
      <c r="AA885" s="749"/>
      <c r="AB885" s="749"/>
      <c r="AC885" s="749"/>
      <c r="AD885" s="749"/>
      <c r="AG885"/>
      <c r="AH885">
        <f t="shared" si="380"/>
        <v>0</v>
      </c>
      <c r="AI885">
        <f t="shared" si="376"/>
        <v>0</v>
      </c>
      <c r="AK885">
        <f t="shared" si="377"/>
        <v>0</v>
      </c>
      <c r="AL885">
        <f t="shared" si="378"/>
        <v>0</v>
      </c>
      <c r="AM885">
        <f t="shared" si="379"/>
        <v>0</v>
      </c>
      <c r="CF885"/>
      <c r="CG885"/>
    </row>
    <row r="886" spans="1:85" ht="15" customHeight="1">
      <c r="A886" s="91"/>
      <c r="C886" s="1109"/>
      <c r="D886" s="954"/>
      <c r="E886" s="956"/>
      <c r="F886" s="1110" t="s">
        <v>4943</v>
      </c>
      <c r="G886" s="1110"/>
      <c r="H886" s="178"/>
      <c r="I886" s="1113" t="s">
        <v>201</v>
      </c>
      <c r="J886" s="1113"/>
      <c r="K886" s="1113"/>
      <c r="L886" s="1113"/>
      <c r="M886" s="1113"/>
      <c r="N886" s="1114"/>
      <c r="O886" s="749"/>
      <c r="P886" s="749"/>
      <c r="Q886" s="749"/>
      <c r="R886" s="749"/>
      <c r="S886" s="749"/>
      <c r="T886" s="749"/>
      <c r="U886" s="749"/>
      <c r="V886" s="749"/>
      <c r="W886" s="749"/>
      <c r="X886" s="749"/>
      <c r="Y886" s="749"/>
      <c r="Z886" s="749"/>
      <c r="AA886" s="749"/>
      <c r="AB886" s="749"/>
      <c r="AC886" s="749"/>
      <c r="AD886" s="749"/>
      <c r="AG886"/>
      <c r="AH886">
        <f t="shared" si="380"/>
        <v>0</v>
      </c>
      <c r="AI886">
        <f t="shared" si="376"/>
        <v>0</v>
      </c>
      <c r="AK886">
        <f t="shared" si="377"/>
        <v>0</v>
      </c>
      <c r="AL886">
        <f t="shared" si="378"/>
        <v>0</v>
      </c>
      <c r="AM886">
        <f t="shared" si="379"/>
        <v>0</v>
      </c>
      <c r="CF886"/>
      <c r="CG886"/>
    </row>
    <row r="887" spans="1:85" ht="15" customHeight="1">
      <c r="A887" s="91"/>
      <c r="C887" s="1109"/>
      <c r="D887" s="954"/>
      <c r="E887" s="956"/>
      <c r="F887" s="1117" t="s">
        <v>4944</v>
      </c>
      <c r="G887" s="1118"/>
      <c r="H887" s="1104" t="s">
        <v>4945</v>
      </c>
      <c r="I887" s="1105"/>
      <c r="J887" s="1105"/>
      <c r="K887" s="1105"/>
      <c r="L887" s="1105"/>
      <c r="M887" s="1105"/>
      <c r="N887" s="1106"/>
      <c r="O887" s="749"/>
      <c r="P887" s="749"/>
      <c r="Q887" s="749"/>
      <c r="R887" s="749"/>
      <c r="S887" s="749"/>
      <c r="T887" s="749"/>
      <c r="U887" s="749"/>
      <c r="V887" s="749"/>
      <c r="W887" s="749"/>
      <c r="X887" s="749"/>
      <c r="Y887" s="749"/>
      <c r="Z887" s="749"/>
      <c r="AA887" s="749"/>
      <c r="AB887" s="749"/>
      <c r="AC887" s="749"/>
      <c r="AD887" s="749"/>
      <c r="AG887">
        <f>IF(O887="NA",IF(AND(COUNTIF(O888:O892,"="&amp;$AG$821)=0,COUNTIF(O888:O892,"&lt;&gt;NA")&gt;0),1,0),IF(AND(COUNTIF(O888:O892,"="&amp;$AG$821)=0,COUNTIF(O888:O892,"NA")=COUNTIF(O888:O892,"&lt;&gt;"&amp;$AG$821)),1,0))</f>
        <v>0</v>
      </c>
      <c r="AH887">
        <f t="shared" si="380"/>
        <v>0</v>
      </c>
      <c r="AI887">
        <f t="shared" si="376"/>
        <v>0</v>
      </c>
      <c r="AK887">
        <f t="shared" si="377"/>
        <v>0</v>
      </c>
      <c r="AL887">
        <f t="shared" si="378"/>
        <v>0</v>
      </c>
      <c r="AM887">
        <f t="shared" si="379"/>
        <v>0</v>
      </c>
      <c r="CF887"/>
      <c r="CG887"/>
    </row>
    <row r="888" spans="1:85" ht="24" customHeight="1">
      <c r="A888" s="91"/>
      <c r="C888" s="1109"/>
      <c r="D888" s="954"/>
      <c r="E888" s="956"/>
      <c r="F888" s="1119" t="s">
        <v>4946</v>
      </c>
      <c r="G888" s="1120"/>
      <c r="H888" s="178"/>
      <c r="I888" s="1115" t="s">
        <v>4947</v>
      </c>
      <c r="J888" s="1115"/>
      <c r="K888" s="1115"/>
      <c r="L888" s="1115"/>
      <c r="M888" s="1115"/>
      <c r="N888" s="1116"/>
      <c r="O888" s="749"/>
      <c r="P888" s="749"/>
      <c r="Q888" s="749"/>
      <c r="R888" s="749"/>
      <c r="S888" s="749"/>
      <c r="T888" s="749"/>
      <c r="U888" s="749"/>
      <c r="V888" s="749"/>
      <c r="W888" s="749"/>
      <c r="X888" s="749"/>
      <c r="Y888" s="749"/>
      <c r="Z888" s="749"/>
      <c r="AA888" s="749"/>
      <c r="AB888" s="749"/>
      <c r="AC888" s="749"/>
      <c r="AD888" s="749"/>
      <c r="AG888"/>
      <c r="AH888">
        <f t="shared" si="380"/>
        <v>0</v>
      </c>
      <c r="AI888">
        <f t="shared" si="376"/>
        <v>0</v>
      </c>
      <c r="AK888">
        <f t="shared" si="377"/>
        <v>0</v>
      </c>
      <c r="AL888">
        <f t="shared" si="378"/>
        <v>0</v>
      </c>
      <c r="AM888">
        <f t="shared" si="379"/>
        <v>0</v>
      </c>
      <c r="CF888"/>
      <c r="CG888"/>
    </row>
    <row r="889" spans="1:85" ht="24" customHeight="1">
      <c r="A889" s="91"/>
      <c r="C889" s="1109"/>
      <c r="D889" s="954"/>
      <c r="E889" s="956"/>
      <c r="F889" s="1119" t="s">
        <v>4948</v>
      </c>
      <c r="G889" s="1120"/>
      <c r="H889" s="178"/>
      <c r="I889" s="1111" t="s">
        <v>4949</v>
      </c>
      <c r="J889" s="1111"/>
      <c r="K889" s="1111"/>
      <c r="L889" s="1111"/>
      <c r="M889" s="1111"/>
      <c r="N889" s="1112"/>
      <c r="O889" s="749"/>
      <c r="P889" s="749"/>
      <c r="Q889" s="749"/>
      <c r="R889" s="749"/>
      <c r="S889" s="749"/>
      <c r="T889" s="749"/>
      <c r="U889" s="749"/>
      <c r="V889" s="749"/>
      <c r="W889" s="749"/>
      <c r="X889" s="749"/>
      <c r="Y889" s="749"/>
      <c r="Z889" s="749"/>
      <c r="AA889" s="749"/>
      <c r="AB889" s="749"/>
      <c r="AC889" s="749"/>
      <c r="AD889" s="749"/>
      <c r="AG889"/>
      <c r="AH889">
        <f t="shared" si="380"/>
        <v>0</v>
      </c>
      <c r="AI889">
        <f t="shared" si="376"/>
        <v>0</v>
      </c>
      <c r="AK889">
        <f t="shared" si="377"/>
        <v>0</v>
      </c>
      <c r="AL889">
        <f t="shared" si="378"/>
        <v>0</v>
      </c>
      <c r="AM889">
        <f t="shared" si="379"/>
        <v>0</v>
      </c>
      <c r="CF889"/>
      <c r="CG889"/>
    </row>
    <row r="890" spans="1:85" ht="24" customHeight="1">
      <c r="A890" s="91"/>
      <c r="C890" s="1109"/>
      <c r="D890" s="954"/>
      <c r="E890" s="956"/>
      <c r="F890" s="1119" t="s">
        <v>4950</v>
      </c>
      <c r="G890" s="1120"/>
      <c r="H890" s="178"/>
      <c r="I890" s="1111" t="s">
        <v>4951</v>
      </c>
      <c r="J890" s="1111"/>
      <c r="K890" s="1111"/>
      <c r="L890" s="1111"/>
      <c r="M890" s="1111"/>
      <c r="N890" s="1112"/>
      <c r="O890" s="749"/>
      <c r="P890" s="749"/>
      <c r="Q890" s="749"/>
      <c r="R890" s="749"/>
      <c r="S890" s="749"/>
      <c r="T890" s="749"/>
      <c r="U890" s="749"/>
      <c r="V890" s="749"/>
      <c r="W890" s="749"/>
      <c r="X890" s="749"/>
      <c r="Y890" s="749"/>
      <c r="Z890" s="749"/>
      <c r="AA890" s="749"/>
      <c r="AB890" s="749"/>
      <c r="AC890" s="749"/>
      <c r="AD890" s="749"/>
      <c r="AG890"/>
      <c r="AH890">
        <f t="shared" si="380"/>
        <v>0</v>
      </c>
      <c r="AI890">
        <f t="shared" si="376"/>
        <v>0</v>
      </c>
      <c r="AK890">
        <f t="shared" si="377"/>
        <v>0</v>
      </c>
      <c r="AL890">
        <f t="shared" si="378"/>
        <v>0</v>
      </c>
      <c r="AM890">
        <f t="shared" si="379"/>
        <v>0</v>
      </c>
      <c r="CF890"/>
      <c r="CG890"/>
    </row>
    <row r="891" spans="1:85" ht="24" customHeight="1">
      <c r="A891" s="91"/>
      <c r="C891" s="1109"/>
      <c r="D891" s="954"/>
      <c r="E891" s="956"/>
      <c r="F891" s="1119" t="s">
        <v>4952</v>
      </c>
      <c r="G891" s="1120"/>
      <c r="H891" s="178"/>
      <c r="I891" s="1111" t="s">
        <v>4953</v>
      </c>
      <c r="J891" s="1111"/>
      <c r="K891" s="1111"/>
      <c r="L891" s="1111"/>
      <c r="M891" s="1111"/>
      <c r="N891" s="1112"/>
      <c r="O891" s="749"/>
      <c r="P891" s="749"/>
      <c r="Q891" s="749"/>
      <c r="R891" s="749"/>
      <c r="S891" s="749"/>
      <c r="T891" s="749"/>
      <c r="U891" s="749"/>
      <c r="V891" s="749"/>
      <c r="W891" s="749"/>
      <c r="X891" s="749"/>
      <c r="Y891" s="749"/>
      <c r="Z891" s="749"/>
      <c r="AA891" s="749"/>
      <c r="AB891" s="749"/>
      <c r="AC891" s="749"/>
      <c r="AD891" s="749"/>
      <c r="AG891"/>
      <c r="AH891">
        <f t="shared" si="380"/>
        <v>0</v>
      </c>
      <c r="AI891">
        <f t="shared" si="376"/>
        <v>0</v>
      </c>
      <c r="AK891">
        <f t="shared" si="377"/>
        <v>0</v>
      </c>
      <c r="AL891">
        <f t="shared" si="378"/>
        <v>0</v>
      </c>
      <c r="AM891">
        <f t="shared" si="379"/>
        <v>0</v>
      </c>
      <c r="CF891"/>
      <c r="CG891"/>
    </row>
    <row r="892" spans="1:85" ht="15" customHeight="1">
      <c r="A892" s="91"/>
      <c r="C892" s="1109"/>
      <c r="D892" s="954"/>
      <c r="E892" s="956"/>
      <c r="F892" s="1119" t="s">
        <v>4954</v>
      </c>
      <c r="G892" s="1120"/>
      <c r="H892" s="178"/>
      <c r="I892" s="1113" t="s">
        <v>201</v>
      </c>
      <c r="J892" s="1113"/>
      <c r="K892" s="1113"/>
      <c r="L892" s="1113"/>
      <c r="M892" s="1113"/>
      <c r="N892" s="1114"/>
      <c r="O892" s="749"/>
      <c r="P892" s="749"/>
      <c r="Q892" s="749"/>
      <c r="R892" s="749"/>
      <c r="S892" s="749"/>
      <c r="T892" s="749"/>
      <c r="U892" s="749"/>
      <c r="V892" s="749"/>
      <c r="W892" s="749"/>
      <c r="X892" s="749"/>
      <c r="Y892" s="749"/>
      <c r="Z892" s="749"/>
      <c r="AA892" s="749"/>
      <c r="AB892" s="749"/>
      <c r="AC892" s="749"/>
      <c r="AD892" s="749"/>
      <c r="AG892"/>
      <c r="AH892">
        <f t="shared" si="380"/>
        <v>0</v>
      </c>
      <c r="AI892">
        <f t="shared" si="376"/>
        <v>0</v>
      </c>
      <c r="AK892">
        <f t="shared" si="377"/>
        <v>0</v>
      </c>
      <c r="AL892">
        <f t="shared" si="378"/>
        <v>0</v>
      </c>
      <c r="AM892">
        <f t="shared" si="379"/>
        <v>0</v>
      </c>
      <c r="CF892"/>
      <c r="CG892"/>
    </row>
    <row r="893" spans="1:85" ht="36" customHeight="1">
      <c r="A893" s="91"/>
      <c r="C893" s="1109"/>
      <c r="D893" s="954"/>
      <c r="E893" s="956"/>
      <c r="F893" s="1103" t="s">
        <v>4955</v>
      </c>
      <c r="G893" s="1103"/>
      <c r="H893" s="1104" t="s">
        <v>4956</v>
      </c>
      <c r="I893" s="1105"/>
      <c r="J893" s="1105"/>
      <c r="K893" s="1105"/>
      <c r="L893" s="1105"/>
      <c r="M893" s="1105"/>
      <c r="N893" s="1106"/>
      <c r="O893" s="749"/>
      <c r="P893" s="749"/>
      <c r="Q893" s="749"/>
      <c r="R893" s="749"/>
      <c r="S893" s="749"/>
      <c r="T893" s="749"/>
      <c r="U893" s="749"/>
      <c r="V893" s="749"/>
      <c r="W893" s="749"/>
      <c r="X893" s="749"/>
      <c r="Y893" s="749"/>
      <c r="Z893" s="749"/>
      <c r="AA893" s="749"/>
      <c r="AB893" s="749"/>
      <c r="AC893" s="749"/>
      <c r="AD893" s="749"/>
      <c r="AG893"/>
      <c r="AH893">
        <f t="shared" si="380"/>
        <v>0</v>
      </c>
      <c r="AI893">
        <f t="shared" si="376"/>
        <v>0</v>
      </c>
      <c r="AK893">
        <f t="shared" si="377"/>
        <v>0</v>
      </c>
      <c r="AL893">
        <f t="shared" si="378"/>
        <v>0</v>
      </c>
      <c r="AM893">
        <f t="shared" si="379"/>
        <v>0</v>
      </c>
      <c r="CF893"/>
      <c r="CG893"/>
    </row>
    <row r="894" spans="1:85" ht="15" customHeight="1">
      <c r="A894" s="91"/>
      <c r="C894" s="1109"/>
      <c r="D894" s="954"/>
      <c r="E894" s="956"/>
      <c r="F894" s="1103" t="s">
        <v>4957</v>
      </c>
      <c r="G894" s="1103"/>
      <c r="H894" s="1104" t="s">
        <v>4958</v>
      </c>
      <c r="I894" s="1105"/>
      <c r="J894" s="1105"/>
      <c r="K894" s="1105"/>
      <c r="L894" s="1105"/>
      <c r="M894" s="1105"/>
      <c r="N894" s="1106"/>
      <c r="O894" s="749"/>
      <c r="P894" s="749"/>
      <c r="Q894" s="749"/>
      <c r="R894" s="749"/>
      <c r="S894" s="749"/>
      <c r="T894" s="749"/>
      <c r="U894" s="749"/>
      <c r="V894" s="749"/>
      <c r="W894" s="749"/>
      <c r="X894" s="749"/>
      <c r="Y894" s="749"/>
      <c r="Z894" s="749"/>
      <c r="AA894" s="749"/>
      <c r="AB894" s="749"/>
      <c r="AC894" s="749"/>
      <c r="AD894" s="749"/>
      <c r="AG894"/>
      <c r="AH894">
        <f t="shared" si="380"/>
        <v>0</v>
      </c>
      <c r="AI894">
        <f t="shared" si="376"/>
        <v>0</v>
      </c>
      <c r="AK894">
        <f t="shared" si="377"/>
        <v>0</v>
      </c>
      <c r="AL894">
        <f t="shared" si="378"/>
        <v>0</v>
      </c>
      <c r="AM894">
        <f t="shared" si="379"/>
        <v>0</v>
      </c>
      <c r="CF894"/>
      <c r="CG894"/>
    </row>
    <row r="895" spans="1:85" ht="15" customHeight="1">
      <c r="A895" s="91"/>
      <c r="C895" s="1109"/>
      <c r="D895" s="954"/>
      <c r="E895" s="956"/>
      <c r="F895" s="1103" t="s">
        <v>4959</v>
      </c>
      <c r="G895" s="1103"/>
      <c r="H895" s="1104" t="s">
        <v>4960</v>
      </c>
      <c r="I895" s="1105"/>
      <c r="J895" s="1105"/>
      <c r="K895" s="1105"/>
      <c r="L895" s="1105"/>
      <c r="M895" s="1105"/>
      <c r="N895" s="1106"/>
      <c r="O895" s="749"/>
      <c r="P895" s="749"/>
      <c r="Q895" s="749"/>
      <c r="R895" s="749"/>
      <c r="S895" s="749"/>
      <c r="T895" s="749"/>
      <c r="U895" s="749"/>
      <c r="V895" s="749"/>
      <c r="W895" s="749"/>
      <c r="X895" s="749"/>
      <c r="Y895" s="749"/>
      <c r="Z895" s="749"/>
      <c r="AA895" s="749"/>
      <c r="AB895" s="749"/>
      <c r="AC895" s="749"/>
      <c r="AD895" s="749"/>
      <c r="AG895"/>
      <c r="AH895">
        <f t="shared" si="380"/>
        <v>0</v>
      </c>
      <c r="AI895">
        <f t="shared" si="376"/>
        <v>0</v>
      </c>
      <c r="AK895">
        <f t="shared" si="377"/>
        <v>0</v>
      </c>
      <c r="AL895">
        <f t="shared" si="378"/>
        <v>0</v>
      </c>
      <c r="AM895">
        <f t="shared" si="379"/>
        <v>0</v>
      </c>
      <c r="CF895"/>
      <c r="CG895"/>
    </row>
    <row r="896" spans="1:85" ht="15" customHeight="1">
      <c r="A896" s="91"/>
      <c r="C896" s="1109"/>
      <c r="D896" s="954"/>
      <c r="E896" s="956"/>
      <c r="F896" s="1103" t="s">
        <v>4961</v>
      </c>
      <c r="G896" s="1103"/>
      <c r="H896" s="1104" t="s">
        <v>4962</v>
      </c>
      <c r="I896" s="1105"/>
      <c r="J896" s="1105"/>
      <c r="K896" s="1105"/>
      <c r="L896" s="1105"/>
      <c r="M896" s="1105"/>
      <c r="N896" s="1106"/>
      <c r="O896" s="749"/>
      <c r="P896" s="749"/>
      <c r="Q896" s="749"/>
      <c r="R896" s="749"/>
      <c r="S896" s="749"/>
      <c r="T896" s="749"/>
      <c r="U896" s="749"/>
      <c r="V896" s="749"/>
      <c r="W896" s="749"/>
      <c r="X896" s="749"/>
      <c r="Y896" s="749"/>
      <c r="Z896" s="749"/>
      <c r="AA896" s="749"/>
      <c r="AB896" s="749"/>
      <c r="AC896" s="749"/>
      <c r="AD896" s="749"/>
      <c r="AG896"/>
      <c r="AH896">
        <f t="shared" si="380"/>
        <v>0</v>
      </c>
      <c r="AI896">
        <f t="shared" si="376"/>
        <v>0</v>
      </c>
      <c r="AK896">
        <f t="shared" si="377"/>
        <v>0</v>
      </c>
      <c r="AL896">
        <f t="shared" si="378"/>
        <v>0</v>
      </c>
      <c r="AM896">
        <f t="shared" si="379"/>
        <v>0</v>
      </c>
      <c r="AN896">
        <f>IF(OR(O896="NS",O896="NA",$AG$809=8),0,IF((O896*(IFERROR(100/SUM(O879:O896),0)))&gt;25,1,0))</f>
        <v>0</v>
      </c>
      <c r="CF896"/>
      <c r="CG896"/>
    </row>
    <row r="897" spans="1:85" ht="36" customHeight="1">
      <c r="A897" s="91"/>
      <c r="C897" s="1108" t="s">
        <v>4963</v>
      </c>
      <c r="D897" s="847" t="s">
        <v>4964</v>
      </c>
      <c r="E897" s="848"/>
      <c r="F897" s="1103" t="s">
        <v>4965</v>
      </c>
      <c r="G897" s="1103"/>
      <c r="H897" s="1104" t="s">
        <v>4966</v>
      </c>
      <c r="I897" s="1105"/>
      <c r="J897" s="1105"/>
      <c r="K897" s="1105"/>
      <c r="L897" s="1105"/>
      <c r="M897" s="1105"/>
      <c r="N897" s="1106"/>
      <c r="O897" s="749"/>
      <c r="P897" s="749"/>
      <c r="Q897" s="749"/>
      <c r="R897" s="749"/>
      <c r="S897" s="749"/>
      <c r="T897" s="749"/>
      <c r="U897" s="749"/>
      <c r="V897" s="749"/>
      <c r="W897" s="749"/>
      <c r="X897" s="749"/>
      <c r="Y897" s="749"/>
      <c r="Z897" s="749"/>
      <c r="AA897" s="749"/>
      <c r="AB897" s="749"/>
      <c r="AC897" s="749"/>
      <c r="AD897" s="749"/>
      <c r="AG897">
        <f>IF(O897="NA",IF(AND(COUNTIF(O898:O903,"="&amp;$AG$821)=0,COUNTIF(O898:O903,"&lt;&gt;NA")&gt;0),1,0),IF(AND(COUNTIF(O898:O903,"="&amp;$AG$821)=0,COUNTIF(O898:O903,"NA")=COUNTIF(O898:O903,"&lt;&gt;"&amp;$AG$821)),1,0))</f>
        <v>0</v>
      </c>
      <c r="AH897">
        <f t="shared" si="380"/>
        <v>0</v>
      </c>
      <c r="AI897">
        <f t="shared" si="376"/>
        <v>0</v>
      </c>
      <c r="AK897">
        <f t="shared" si="377"/>
        <v>0</v>
      </c>
      <c r="AL897">
        <f t="shared" si="378"/>
        <v>0</v>
      </c>
      <c r="AM897">
        <f t="shared" si="379"/>
        <v>0</v>
      </c>
      <c r="CF897"/>
      <c r="CG897"/>
    </row>
    <row r="898" spans="1:85" ht="15" customHeight="1">
      <c r="A898" s="91"/>
      <c r="C898" s="1109"/>
      <c r="D898" s="954"/>
      <c r="E898" s="956"/>
      <c r="F898" s="1110" t="s">
        <v>4967</v>
      </c>
      <c r="G898" s="1110"/>
      <c r="H898" s="178"/>
      <c r="I898" s="1115" t="s">
        <v>4968</v>
      </c>
      <c r="J898" s="1115"/>
      <c r="K898" s="1115"/>
      <c r="L898" s="1115"/>
      <c r="M898" s="1115"/>
      <c r="N898" s="1116"/>
      <c r="O898" s="749"/>
      <c r="P898" s="749"/>
      <c r="Q898" s="749"/>
      <c r="R898" s="749"/>
      <c r="S898" s="749"/>
      <c r="T898" s="749"/>
      <c r="U898" s="749"/>
      <c r="V898" s="749"/>
      <c r="W898" s="749"/>
      <c r="X898" s="749"/>
      <c r="Y898" s="749"/>
      <c r="Z898" s="749"/>
      <c r="AA898" s="749"/>
      <c r="AB898" s="749"/>
      <c r="AC898" s="749"/>
      <c r="AD898" s="749"/>
      <c r="AG898"/>
      <c r="AH898">
        <f t="shared" si="380"/>
        <v>0</v>
      </c>
      <c r="AI898">
        <f t="shared" si="376"/>
        <v>0</v>
      </c>
      <c r="AK898">
        <f t="shared" si="377"/>
        <v>0</v>
      </c>
      <c r="AL898">
        <f t="shared" si="378"/>
        <v>0</v>
      </c>
      <c r="AM898">
        <f t="shared" si="379"/>
        <v>0</v>
      </c>
      <c r="CF898"/>
      <c r="CG898"/>
    </row>
    <row r="899" spans="1:85" ht="36" customHeight="1">
      <c r="A899" s="91"/>
      <c r="C899" s="1109"/>
      <c r="D899" s="954"/>
      <c r="E899" s="956"/>
      <c r="F899" s="1110" t="s">
        <v>4969</v>
      </c>
      <c r="G899" s="1110"/>
      <c r="H899" s="178"/>
      <c r="I899" s="1111" t="s">
        <v>4970</v>
      </c>
      <c r="J899" s="1111"/>
      <c r="K899" s="1111"/>
      <c r="L899" s="1111"/>
      <c r="M899" s="1111"/>
      <c r="N899" s="1112"/>
      <c r="O899" s="749"/>
      <c r="P899" s="749"/>
      <c r="Q899" s="749"/>
      <c r="R899" s="749"/>
      <c r="S899" s="749"/>
      <c r="T899" s="749"/>
      <c r="U899" s="749"/>
      <c r="V899" s="749"/>
      <c r="W899" s="749"/>
      <c r="X899" s="749"/>
      <c r="Y899" s="749"/>
      <c r="Z899" s="749"/>
      <c r="AA899" s="749"/>
      <c r="AB899" s="749"/>
      <c r="AC899" s="749"/>
      <c r="AD899" s="749"/>
      <c r="AG899"/>
      <c r="AH899">
        <f t="shared" si="380"/>
        <v>0</v>
      </c>
      <c r="AI899">
        <f t="shared" si="376"/>
        <v>0</v>
      </c>
      <c r="AK899">
        <f t="shared" si="377"/>
        <v>0</v>
      </c>
      <c r="AL899">
        <f t="shared" si="378"/>
        <v>0</v>
      </c>
      <c r="AM899">
        <f t="shared" si="379"/>
        <v>0</v>
      </c>
      <c r="CF899"/>
      <c r="CG899"/>
    </row>
    <row r="900" spans="1:85" ht="15" customHeight="1">
      <c r="A900" s="91"/>
      <c r="C900" s="1109"/>
      <c r="D900" s="954"/>
      <c r="E900" s="956"/>
      <c r="F900" s="1110" t="s">
        <v>4971</v>
      </c>
      <c r="G900" s="1110"/>
      <c r="H900" s="178"/>
      <c r="I900" s="1111" t="s">
        <v>4972</v>
      </c>
      <c r="J900" s="1111"/>
      <c r="K900" s="1111"/>
      <c r="L900" s="1111"/>
      <c r="M900" s="1111"/>
      <c r="N900" s="1112"/>
      <c r="O900" s="749"/>
      <c r="P900" s="749"/>
      <c r="Q900" s="749"/>
      <c r="R900" s="749"/>
      <c r="S900" s="749"/>
      <c r="T900" s="749"/>
      <c r="U900" s="749"/>
      <c r="V900" s="749"/>
      <c r="W900" s="749"/>
      <c r="X900" s="749"/>
      <c r="Y900" s="749"/>
      <c r="Z900" s="749"/>
      <c r="AA900" s="749"/>
      <c r="AB900" s="749"/>
      <c r="AC900" s="749"/>
      <c r="AD900" s="749"/>
      <c r="AG900"/>
      <c r="AH900">
        <f t="shared" si="380"/>
        <v>0</v>
      </c>
      <c r="AI900">
        <f t="shared" si="376"/>
        <v>0</v>
      </c>
      <c r="AK900">
        <f t="shared" si="377"/>
        <v>0</v>
      </c>
      <c r="AL900">
        <f t="shared" si="378"/>
        <v>0</v>
      </c>
      <c r="AM900">
        <f t="shared" si="379"/>
        <v>0</v>
      </c>
      <c r="CF900"/>
      <c r="CG900"/>
    </row>
    <row r="901" spans="1:85" ht="15" customHeight="1">
      <c r="A901" s="91"/>
      <c r="C901" s="1109"/>
      <c r="D901" s="954"/>
      <c r="E901" s="956"/>
      <c r="F901" s="1110" t="s">
        <v>4973</v>
      </c>
      <c r="G901" s="1110"/>
      <c r="H901" s="178"/>
      <c r="I901" s="1111" t="s">
        <v>4974</v>
      </c>
      <c r="J901" s="1111"/>
      <c r="K901" s="1111"/>
      <c r="L901" s="1111"/>
      <c r="M901" s="1111"/>
      <c r="N901" s="1112"/>
      <c r="O901" s="749"/>
      <c r="P901" s="749"/>
      <c r="Q901" s="749"/>
      <c r="R901" s="749"/>
      <c r="S901" s="749"/>
      <c r="T901" s="749"/>
      <c r="U901" s="749"/>
      <c r="V901" s="749"/>
      <c r="W901" s="749"/>
      <c r="X901" s="749"/>
      <c r="Y901" s="749"/>
      <c r="Z901" s="749"/>
      <c r="AA901" s="749"/>
      <c r="AB901" s="749"/>
      <c r="AC901" s="749"/>
      <c r="AD901" s="749"/>
      <c r="AG901"/>
      <c r="AH901">
        <f t="shared" si="380"/>
        <v>0</v>
      </c>
      <c r="AI901">
        <f t="shared" si="376"/>
        <v>0</v>
      </c>
      <c r="AK901">
        <f t="shared" si="377"/>
        <v>0</v>
      </c>
      <c r="AL901">
        <f t="shared" si="378"/>
        <v>0</v>
      </c>
      <c r="AM901">
        <f t="shared" si="379"/>
        <v>0</v>
      </c>
      <c r="CF901"/>
      <c r="CG901"/>
    </row>
    <row r="902" spans="1:85" ht="48" customHeight="1">
      <c r="A902" s="91"/>
      <c r="C902" s="1109"/>
      <c r="D902" s="954"/>
      <c r="E902" s="956"/>
      <c r="F902" s="1110" t="s">
        <v>4975</v>
      </c>
      <c r="G902" s="1110"/>
      <c r="H902" s="178"/>
      <c r="I902" s="1111" t="s">
        <v>4976</v>
      </c>
      <c r="J902" s="1111"/>
      <c r="K902" s="1111"/>
      <c r="L902" s="1111"/>
      <c r="M902" s="1111"/>
      <c r="N902" s="1112"/>
      <c r="O902" s="749"/>
      <c r="P902" s="749"/>
      <c r="Q902" s="749"/>
      <c r="R902" s="749"/>
      <c r="S902" s="749"/>
      <c r="T902" s="749"/>
      <c r="U902" s="749"/>
      <c r="V902" s="749"/>
      <c r="W902" s="749"/>
      <c r="X902" s="749"/>
      <c r="Y902" s="749"/>
      <c r="Z902" s="749"/>
      <c r="AA902" s="749"/>
      <c r="AB902" s="749"/>
      <c r="AC902" s="749"/>
      <c r="AD902" s="749"/>
      <c r="AG902"/>
      <c r="AH902">
        <f t="shared" si="380"/>
        <v>0</v>
      </c>
      <c r="AI902">
        <f t="shared" si="376"/>
        <v>0</v>
      </c>
      <c r="AK902">
        <f t="shared" si="377"/>
        <v>0</v>
      </c>
      <c r="AL902">
        <f t="shared" si="378"/>
        <v>0</v>
      </c>
      <c r="AM902">
        <f t="shared" si="379"/>
        <v>0</v>
      </c>
      <c r="CF902"/>
      <c r="CG902"/>
    </row>
    <row r="903" spans="1:85" ht="15" customHeight="1">
      <c r="A903" s="91"/>
      <c r="C903" s="1109"/>
      <c r="D903" s="954"/>
      <c r="E903" s="956"/>
      <c r="F903" s="1110" t="s">
        <v>4977</v>
      </c>
      <c r="G903" s="1110"/>
      <c r="H903" s="178"/>
      <c r="I903" s="1113" t="s">
        <v>201</v>
      </c>
      <c r="J903" s="1113"/>
      <c r="K903" s="1113"/>
      <c r="L903" s="1113"/>
      <c r="M903" s="1113"/>
      <c r="N903" s="1114"/>
      <c r="O903" s="749"/>
      <c r="P903" s="749"/>
      <c r="Q903" s="749"/>
      <c r="R903" s="749"/>
      <c r="S903" s="749"/>
      <c r="T903" s="749"/>
      <c r="U903" s="749"/>
      <c r="V903" s="749"/>
      <c r="W903" s="749"/>
      <c r="X903" s="749"/>
      <c r="Y903" s="749"/>
      <c r="Z903" s="749"/>
      <c r="AA903" s="749"/>
      <c r="AB903" s="749"/>
      <c r="AC903" s="749"/>
      <c r="AD903" s="749"/>
      <c r="AG903"/>
      <c r="AH903">
        <f t="shared" si="380"/>
        <v>0</v>
      </c>
      <c r="AI903">
        <f t="shared" si="376"/>
        <v>0</v>
      </c>
      <c r="AK903">
        <f t="shared" si="377"/>
        <v>0</v>
      </c>
      <c r="AL903">
        <f t="shared" si="378"/>
        <v>0</v>
      </c>
      <c r="AM903">
        <f t="shared" si="379"/>
        <v>0</v>
      </c>
      <c r="CF903"/>
      <c r="CG903"/>
    </row>
    <row r="904" spans="1:85" ht="24" customHeight="1">
      <c r="A904" s="91"/>
      <c r="C904" s="1109"/>
      <c r="D904" s="954"/>
      <c r="E904" s="956"/>
      <c r="F904" s="1103" t="s">
        <v>4978</v>
      </c>
      <c r="G904" s="1103"/>
      <c r="H904" s="1104" t="s">
        <v>4979</v>
      </c>
      <c r="I904" s="1105"/>
      <c r="J904" s="1105"/>
      <c r="K904" s="1105"/>
      <c r="L904" s="1105"/>
      <c r="M904" s="1105"/>
      <c r="N904" s="1106"/>
      <c r="O904" s="749"/>
      <c r="P904" s="749"/>
      <c r="Q904" s="749"/>
      <c r="R904" s="749"/>
      <c r="S904" s="749"/>
      <c r="T904" s="749"/>
      <c r="U904" s="749"/>
      <c r="V904" s="749"/>
      <c r="W904" s="749"/>
      <c r="X904" s="749"/>
      <c r="Y904" s="749"/>
      <c r="Z904" s="749"/>
      <c r="AA904" s="749"/>
      <c r="AB904" s="749"/>
      <c r="AC904" s="749"/>
      <c r="AD904" s="749"/>
      <c r="AG904">
        <f>IF(O904="NA",IF(AND(COUNTIF(O905:O912,"="&amp;$AG$821)=0,COUNTIF(O905:O912,"&lt;&gt;NA")&gt;0),1,0),IF(AND(COUNTIF(O905:O912,"="&amp;$AG$821)=0,COUNTIF(O905:O912,"NA")=COUNTIF(O905:O912,"&lt;&gt;"&amp;$AG$821)),1,0))</f>
        <v>0</v>
      </c>
      <c r="AH904">
        <f t="shared" si="380"/>
        <v>0</v>
      </c>
      <c r="AI904">
        <f t="shared" si="376"/>
        <v>0</v>
      </c>
      <c r="AK904">
        <f t="shared" si="377"/>
        <v>0</v>
      </c>
      <c r="AL904">
        <f t="shared" si="378"/>
        <v>0</v>
      </c>
      <c r="AM904">
        <f t="shared" si="379"/>
        <v>0</v>
      </c>
      <c r="CF904"/>
      <c r="CG904"/>
    </row>
    <row r="905" spans="1:85" ht="15" customHeight="1">
      <c r="A905" s="91"/>
      <c r="C905" s="1109"/>
      <c r="D905" s="954"/>
      <c r="E905" s="956"/>
      <c r="F905" s="1110" t="s">
        <v>4980</v>
      </c>
      <c r="G905" s="1110"/>
      <c r="H905" s="178"/>
      <c r="I905" s="1115" t="s">
        <v>4981</v>
      </c>
      <c r="J905" s="1115"/>
      <c r="K905" s="1115"/>
      <c r="L905" s="1115"/>
      <c r="M905" s="1115"/>
      <c r="N905" s="1116"/>
      <c r="O905" s="749"/>
      <c r="P905" s="749"/>
      <c r="Q905" s="749"/>
      <c r="R905" s="749"/>
      <c r="S905" s="749"/>
      <c r="T905" s="749"/>
      <c r="U905" s="749"/>
      <c r="V905" s="749"/>
      <c r="W905" s="749"/>
      <c r="X905" s="749"/>
      <c r="Y905" s="749"/>
      <c r="Z905" s="749"/>
      <c r="AA905" s="749"/>
      <c r="AB905" s="749"/>
      <c r="AC905" s="749"/>
      <c r="AD905" s="749"/>
      <c r="AG905"/>
      <c r="AH905">
        <f t="shared" si="380"/>
        <v>0</v>
      </c>
      <c r="AI905">
        <f t="shared" si="376"/>
        <v>0</v>
      </c>
      <c r="AK905">
        <f t="shared" si="377"/>
        <v>0</v>
      </c>
      <c r="AL905">
        <f t="shared" si="378"/>
        <v>0</v>
      </c>
      <c r="AM905">
        <f t="shared" si="379"/>
        <v>0</v>
      </c>
      <c r="CF905"/>
      <c r="CG905"/>
    </row>
    <row r="906" spans="1:85" ht="15" customHeight="1">
      <c r="A906" s="91"/>
      <c r="C906" s="1109"/>
      <c r="D906" s="954"/>
      <c r="E906" s="956"/>
      <c r="F906" s="1110" t="s">
        <v>4982</v>
      </c>
      <c r="G906" s="1110"/>
      <c r="H906" s="178"/>
      <c r="I906" s="1111" t="s">
        <v>4983</v>
      </c>
      <c r="J906" s="1111"/>
      <c r="K906" s="1111"/>
      <c r="L906" s="1111"/>
      <c r="M906" s="1111"/>
      <c r="N906" s="1112"/>
      <c r="O906" s="749"/>
      <c r="P906" s="749"/>
      <c r="Q906" s="749"/>
      <c r="R906" s="749"/>
      <c r="S906" s="749"/>
      <c r="T906" s="749"/>
      <c r="U906" s="749"/>
      <c r="V906" s="749"/>
      <c r="W906" s="749"/>
      <c r="X906" s="749"/>
      <c r="Y906" s="749"/>
      <c r="Z906" s="749"/>
      <c r="AA906" s="749"/>
      <c r="AB906" s="749"/>
      <c r="AC906" s="749"/>
      <c r="AD906" s="749"/>
      <c r="AG906"/>
      <c r="AH906">
        <f t="shared" si="380"/>
        <v>0</v>
      </c>
      <c r="AI906">
        <f t="shared" si="376"/>
        <v>0</v>
      </c>
      <c r="AK906">
        <f t="shared" si="377"/>
        <v>0</v>
      </c>
      <c r="AL906">
        <f t="shared" si="378"/>
        <v>0</v>
      </c>
      <c r="AM906">
        <f t="shared" si="379"/>
        <v>0</v>
      </c>
      <c r="CF906"/>
      <c r="CG906"/>
    </row>
    <row r="907" spans="1:85" ht="15" customHeight="1">
      <c r="A907" s="91"/>
      <c r="C907" s="1109"/>
      <c r="D907" s="954"/>
      <c r="E907" s="956"/>
      <c r="F907" s="1110" t="s">
        <v>4984</v>
      </c>
      <c r="G907" s="1110"/>
      <c r="H907" s="178"/>
      <c r="I907" s="1111" t="s">
        <v>4985</v>
      </c>
      <c r="J907" s="1111"/>
      <c r="K907" s="1111"/>
      <c r="L907" s="1111"/>
      <c r="M907" s="1111"/>
      <c r="N907" s="1112"/>
      <c r="O907" s="749"/>
      <c r="P907" s="749"/>
      <c r="Q907" s="749"/>
      <c r="R907" s="749"/>
      <c r="S907" s="749"/>
      <c r="T907" s="749"/>
      <c r="U907" s="749"/>
      <c r="V907" s="749"/>
      <c r="W907" s="749"/>
      <c r="X907" s="749"/>
      <c r="Y907" s="749"/>
      <c r="Z907" s="749"/>
      <c r="AA907" s="749"/>
      <c r="AB907" s="749"/>
      <c r="AC907" s="749"/>
      <c r="AD907" s="749"/>
      <c r="AG907"/>
      <c r="AH907">
        <f t="shared" si="380"/>
        <v>0</v>
      </c>
      <c r="AI907">
        <f t="shared" si="376"/>
        <v>0</v>
      </c>
      <c r="AK907">
        <f t="shared" si="377"/>
        <v>0</v>
      </c>
      <c r="AL907">
        <f t="shared" si="378"/>
        <v>0</v>
      </c>
      <c r="AM907">
        <f t="shared" si="379"/>
        <v>0</v>
      </c>
      <c r="CF907"/>
      <c r="CG907"/>
    </row>
    <row r="908" spans="1:85" ht="15" customHeight="1">
      <c r="A908" s="91"/>
      <c r="C908" s="1109"/>
      <c r="D908" s="954"/>
      <c r="E908" s="956"/>
      <c r="F908" s="1110" t="s">
        <v>4986</v>
      </c>
      <c r="G908" s="1110"/>
      <c r="H908" s="178"/>
      <c r="I908" s="1111" t="s">
        <v>4987</v>
      </c>
      <c r="J908" s="1111"/>
      <c r="K908" s="1111"/>
      <c r="L908" s="1111"/>
      <c r="M908" s="1111"/>
      <c r="N908" s="1112"/>
      <c r="O908" s="749"/>
      <c r="P908" s="749"/>
      <c r="Q908" s="749"/>
      <c r="R908" s="749"/>
      <c r="S908" s="749"/>
      <c r="T908" s="749"/>
      <c r="U908" s="749"/>
      <c r="V908" s="749"/>
      <c r="W908" s="749"/>
      <c r="X908" s="749"/>
      <c r="Y908" s="749"/>
      <c r="Z908" s="749"/>
      <c r="AA908" s="749"/>
      <c r="AB908" s="749"/>
      <c r="AC908" s="749"/>
      <c r="AD908" s="749"/>
      <c r="AG908"/>
      <c r="AH908">
        <f t="shared" si="380"/>
        <v>0</v>
      </c>
      <c r="AI908">
        <f t="shared" si="376"/>
        <v>0</v>
      </c>
      <c r="AK908">
        <f t="shared" si="377"/>
        <v>0</v>
      </c>
      <c r="AL908">
        <f t="shared" si="378"/>
        <v>0</v>
      </c>
      <c r="AM908">
        <f t="shared" si="379"/>
        <v>0</v>
      </c>
      <c r="CF908"/>
      <c r="CG908"/>
    </row>
    <row r="909" spans="1:85" ht="15" customHeight="1">
      <c r="A909" s="91"/>
      <c r="C909" s="1109"/>
      <c r="D909" s="954"/>
      <c r="E909" s="956"/>
      <c r="F909" s="1110" t="s">
        <v>4988</v>
      </c>
      <c r="G909" s="1110"/>
      <c r="H909" s="178"/>
      <c r="I909" s="1111" t="s">
        <v>4989</v>
      </c>
      <c r="J909" s="1111"/>
      <c r="K909" s="1111"/>
      <c r="L909" s="1111"/>
      <c r="M909" s="1111"/>
      <c r="N909" s="1112"/>
      <c r="O909" s="749"/>
      <c r="P909" s="749"/>
      <c r="Q909" s="749"/>
      <c r="R909" s="749"/>
      <c r="S909" s="749"/>
      <c r="T909" s="749"/>
      <c r="U909" s="749"/>
      <c r="V909" s="749"/>
      <c r="W909" s="749"/>
      <c r="X909" s="749"/>
      <c r="Y909" s="749"/>
      <c r="Z909" s="749"/>
      <c r="AA909" s="749"/>
      <c r="AB909" s="749"/>
      <c r="AC909" s="749"/>
      <c r="AD909" s="749"/>
      <c r="AG909"/>
      <c r="AH909">
        <f t="shared" si="380"/>
        <v>0</v>
      </c>
      <c r="AI909">
        <f t="shared" si="376"/>
        <v>0</v>
      </c>
      <c r="AK909">
        <f t="shared" si="377"/>
        <v>0</v>
      </c>
      <c r="AL909">
        <f t="shared" si="378"/>
        <v>0</v>
      </c>
      <c r="AM909">
        <f t="shared" si="379"/>
        <v>0</v>
      </c>
      <c r="CF909"/>
      <c r="CG909"/>
    </row>
    <row r="910" spans="1:85" ht="15" customHeight="1">
      <c r="A910" s="91"/>
      <c r="C910" s="1109"/>
      <c r="D910" s="954"/>
      <c r="E910" s="956"/>
      <c r="F910" s="1110" t="s">
        <v>4990</v>
      </c>
      <c r="G910" s="1110"/>
      <c r="H910" s="178"/>
      <c r="I910" s="1111" t="s">
        <v>4991</v>
      </c>
      <c r="J910" s="1111"/>
      <c r="K910" s="1111"/>
      <c r="L910" s="1111"/>
      <c r="M910" s="1111"/>
      <c r="N910" s="1112"/>
      <c r="O910" s="749"/>
      <c r="P910" s="749"/>
      <c r="Q910" s="749"/>
      <c r="R910" s="749"/>
      <c r="S910" s="749"/>
      <c r="T910" s="749"/>
      <c r="U910" s="749"/>
      <c r="V910" s="749"/>
      <c r="W910" s="749"/>
      <c r="X910" s="749"/>
      <c r="Y910" s="749"/>
      <c r="Z910" s="749"/>
      <c r="AA910" s="749"/>
      <c r="AB910" s="749"/>
      <c r="AC910" s="749"/>
      <c r="AD910" s="749"/>
      <c r="AG910"/>
      <c r="AH910">
        <f t="shared" si="380"/>
        <v>0</v>
      </c>
      <c r="AI910">
        <f t="shared" si="376"/>
        <v>0</v>
      </c>
      <c r="AK910">
        <f t="shared" si="377"/>
        <v>0</v>
      </c>
      <c r="AL910">
        <f t="shared" si="378"/>
        <v>0</v>
      </c>
      <c r="AM910">
        <f t="shared" si="379"/>
        <v>0</v>
      </c>
      <c r="CF910"/>
      <c r="CG910"/>
    </row>
    <row r="911" spans="1:85" ht="36" customHeight="1">
      <c r="A911" s="91"/>
      <c r="C911" s="1109"/>
      <c r="D911" s="954"/>
      <c r="E911" s="956"/>
      <c r="F911" s="1110" t="s">
        <v>4992</v>
      </c>
      <c r="G911" s="1110"/>
      <c r="H911" s="178"/>
      <c r="I911" s="1111" t="s">
        <v>4993</v>
      </c>
      <c r="J911" s="1111"/>
      <c r="K911" s="1111"/>
      <c r="L911" s="1111"/>
      <c r="M911" s="1111"/>
      <c r="N911" s="1112"/>
      <c r="O911" s="749"/>
      <c r="P911" s="749"/>
      <c r="Q911" s="749"/>
      <c r="R911" s="749"/>
      <c r="S911" s="749"/>
      <c r="T911" s="749"/>
      <c r="U911" s="749"/>
      <c r="V911" s="749"/>
      <c r="W911" s="749"/>
      <c r="X911" s="749"/>
      <c r="Y911" s="749"/>
      <c r="Z911" s="749"/>
      <c r="AA911" s="749"/>
      <c r="AB911" s="749"/>
      <c r="AC911" s="749"/>
      <c r="AD911" s="749"/>
      <c r="AG911"/>
      <c r="AH911">
        <f t="shared" si="380"/>
        <v>0</v>
      </c>
      <c r="AI911">
        <f t="shared" si="376"/>
        <v>0</v>
      </c>
      <c r="AK911">
        <f t="shared" si="377"/>
        <v>0</v>
      </c>
      <c r="AL911">
        <f t="shared" si="378"/>
        <v>0</v>
      </c>
      <c r="AM911">
        <f t="shared" si="379"/>
        <v>0</v>
      </c>
      <c r="CF911"/>
      <c r="CG911"/>
    </row>
    <row r="912" spans="1:85" ht="15" customHeight="1">
      <c r="A912" s="91"/>
      <c r="C912" s="1109"/>
      <c r="D912" s="954"/>
      <c r="E912" s="956"/>
      <c r="F912" s="1110" t="s">
        <v>4994</v>
      </c>
      <c r="G912" s="1110"/>
      <c r="H912" s="178"/>
      <c r="I912" s="1113" t="s">
        <v>201</v>
      </c>
      <c r="J912" s="1113"/>
      <c r="K912" s="1113"/>
      <c r="L912" s="1113"/>
      <c r="M912" s="1113"/>
      <c r="N912" s="1114"/>
      <c r="O912" s="749"/>
      <c r="P912" s="749"/>
      <c r="Q912" s="749"/>
      <c r="R912" s="749"/>
      <c r="S912" s="749"/>
      <c r="T912" s="749"/>
      <c r="U912" s="749"/>
      <c r="V912" s="749"/>
      <c r="W912" s="749"/>
      <c r="X912" s="749"/>
      <c r="Y912" s="749"/>
      <c r="Z912" s="749"/>
      <c r="AA912" s="749"/>
      <c r="AB912" s="749"/>
      <c r="AC912" s="749"/>
      <c r="AD912" s="749"/>
      <c r="AG912"/>
      <c r="AH912">
        <f t="shared" si="380"/>
        <v>0</v>
      </c>
      <c r="AI912">
        <f t="shared" si="376"/>
        <v>0</v>
      </c>
      <c r="AK912">
        <f t="shared" si="377"/>
        <v>0</v>
      </c>
      <c r="AL912">
        <f t="shared" si="378"/>
        <v>0</v>
      </c>
      <c r="AM912">
        <f t="shared" si="379"/>
        <v>0</v>
      </c>
      <c r="CF912"/>
      <c r="CG912"/>
    </row>
    <row r="913" spans="1:85" ht="15" customHeight="1">
      <c r="A913" s="91"/>
      <c r="C913" s="1109"/>
      <c r="D913" s="954"/>
      <c r="E913" s="956"/>
      <c r="F913" s="1103" t="s">
        <v>4995</v>
      </c>
      <c r="G913" s="1103"/>
      <c r="H913" s="1104" t="s">
        <v>4996</v>
      </c>
      <c r="I913" s="1105"/>
      <c r="J913" s="1105"/>
      <c r="K913" s="1105"/>
      <c r="L913" s="1105"/>
      <c r="M913" s="1105"/>
      <c r="N913" s="1106"/>
      <c r="O913" s="749"/>
      <c r="P913" s="749"/>
      <c r="Q913" s="749"/>
      <c r="R913" s="749"/>
      <c r="S913" s="749"/>
      <c r="T913" s="749"/>
      <c r="U913" s="749"/>
      <c r="V913" s="749"/>
      <c r="W913" s="749"/>
      <c r="X913" s="749"/>
      <c r="Y913" s="749"/>
      <c r="Z913" s="749"/>
      <c r="AA913" s="749"/>
      <c r="AB913" s="749"/>
      <c r="AC913" s="749"/>
      <c r="AD913" s="749"/>
      <c r="AG913"/>
      <c r="AH913">
        <f t="shared" si="380"/>
        <v>0</v>
      </c>
      <c r="AI913">
        <f t="shared" si="376"/>
        <v>0</v>
      </c>
      <c r="AK913">
        <f t="shared" si="377"/>
        <v>0</v>
      </c>
      <c r="AL913">
        <f t="shared" si="378"/>
        <v>0</v>
      </c>
      <c r="AM913">
        <f t="shared" si="379"/>
        <v>0</v>
      </c>
      <c r="CF913"/>
      <c r="CG913"/>
    </row>
    <row r="914" spans="1:85" ht="24" customHeight="1">
      <c r="A914" s="91"/>
      <c r="C914" s="1109"/>
      <c r="D914" s="954"/>
      <c r="E914" s="956"/>
      <c r="F914" s="1103" t="s">
        <v>4997</v>
      </c>
      <c r="G914" s="1103"/>
      <c r="H914" s="1104" t="s">
        <v>4998</v>
      </c>
      <c r="I914" s="1105"/>
      <c r="J914" s="1105"/>
      <c r="K914" s="1105"/>
      <c r="L914" s="1105"/>
      <c r="M914" s="1105"/>
      <c r="N914" s="1106"/>
      <c r="O914" s="749"/>
      <c r="P914" s="749"/>
      <c r="Q914" s="749"/>
      <c r="R914" s="749"/>
      <c r="S914" s="749"/>
      <c r="T914" s="749"/>
      <c r="U914" s="749"/>
      <c r="V914" s="749"/>
      <c r="W914" s="749"/>
      <c r="X914" s="749"/>
      <c r="Y914" s="749"/>
      <c r="Z914" s="749"/>
      <c r="AA914" s="749"/>
      <c r="AB914" s="749"/>
      <c r="AC914" s="749"/>
      <c r="AD914" s="749"/>
      <c r="AG914"/>
      <c r="AH914">
        <f t="shared" si="380"/>
        <v>0</v>
      </c>
      <c r="AI914">
        <f t="shared" si="376"/>
        <v>0</v>
      </c>
      <c r="AK914">
        <f t="shared" si="377"/>
        <v>0</v>
      </c>
      <c r="AL914">
        <f t="shared" si="378"/>
        <v>0</v>
      </c>
      <c r="AM914">
        <f t="shared" si="379"/>
        <v>0</v>
      </c>
      <c r="CF914"/>
      <c r="CG914"/>
    </row>
    <row r="915" spans="1:85" ht="15" customHeight="1">
      <c r="A915" s="91"/>
      <c r="C915" s="1109"/>
      <c r="D915" s="954"/>
      <c r="E915" s="956"/>
      <c r="F915" s="1103" t="s">
        <v>4999</v>
      </c>
      <c r="G915" s="1103"/>
      <c r="H915" s="1104" t="s">
        <v>5000</v>
      </c>
      <c r="I915" s="1105"/>
      <c r="J915" s="1105"/>
      <c r="K915" s="1105"/>
      <c r="L915" s="1105"/>
      <c r="M915" s="1105"/>
      <c r="N915" s="1106"/>
      <c r="O915" s="749"/>
      <c r="P915" s="749"/>
      <c r="Q915" s="749"/>
      <c r="R915" s="749"/>
      <c r="S915" s="749"/>
      <c r="T915" s="749"/>
      <c r="U915" s="749"/>
      <c r="V915" s="749"/>
      <c r="W915" s="749"/>
      <c r="X915" s="749"/>
      <c r="Y915" s="749"/>
      <c r="Z915" s="749"/>
      <c r="AA915" s="749"/>
      <c r="AB915" s="749"/>
      <c r="AC915" s="749"/>
      <c r="AD915" s="749"/>
      <c r="AG915"/>
      <c r="AH915">
        <f t="shared" si="380"/>
        <v>0</v>
      </c>
      <c r="AI915">
        <f t="shared" si="376"/>
        <v>0</v>
      </c>
      <c r="AK915">
        <f t="shared" si="377"/>
        <v>0</v>
      </c>
      <c r="AL915">
        <f t="shared" si="378"/>
        <v>0</v>
      </c>
      <c r="AM915">
        <f t="shared" si="379"/>
        <v>0</v>
      </c>
      <c r="CF915"/>
      <c r="CG915"/>
    </row>
    <row r="916" spans="1:85" ht="36" customHeight="1">
      <c r="A916" s="91"/>
      <c r="C916" s="1109"/>
      <c r="D916" s="954"/>
      <c r="E916" s="956"/>
      <c r="F916" s="1103" t="s">
        <v>5001</v>
      </c>
      <c r="G916" s="1103"/>
      <c r="H916" s="1104" t="s">
        <v>5002</v>
      </c>
      <c r="I916" s="1105"/>
      <c r="J916" s="1105"/>
      <c r="K916" s="1105"/>
      <c r="L916" s="1105"/>
      <c r="M916" s="1105"/>
      <c r="N916" s="1106"/>
      <c r="O916" s="749"/>
      <c r="P916" s="749"/>
      <c r="Q916" s="749"/>
      <c r="R916" s="749"/>
      <c r="S916" s="749"/>
      <c r="T916" s="749"/>
      <c r="U916" s="749"/>
      <c r="V916" s="749"/>
      <c r="W916" s="749"/>
      <c r="X916" s="749"/>
      <c r="Y916" s="749"/>
      <c r="Z916" s="749"/>
      <c r="AA916" s="749"/>
      <c r="AB916" s="749"/>
      <c r="AC916" s="749"/>
      <c r="AD916" s="749"/>
      <c r="AG916">
        <f>IF(O916="NA",IF(AND(COUNTIF(O917:O922,"="&amp;$AG$821)=0,COUNTIF(O917:O922,"&lt;&gt;NA")&gt;0),1,0),IF(AND(COUNTIF(O917:O922,"="&amp;$AG$821)=0,COUNTIF(O917:O922,"NA")=COUNTIF(O917:O922,"&lt;&gt;"&amp;$AG$821)),1,0))</f>
        <v>0</v>
      </c>
      <c r="AH916">
        <f t="shared" si="380"/>
        <v>0</v>
      </c>
      <c r="AI916">
        <f t="shared" si="376"/>
        <v>0</v>
      </c>
      <c r="AK916">
        <f t="shared" si="377"/>
        <v>0</v>
      </c>
      <c r="AL916">
        <f t="shared" si="378"/>
        <v>0</v>
      </c>
      <c r="AM916">
        <f t="shared" si="379"/>
        <v>0</v>
      </c>
      <c r="CF916"/>
      <c r="CG916"/>
    </row>
    <row r="917" spans="1:85" ht="15" customHeight="1">
      <c r="A917" s="91"/>
      <c r="C917" s="1109"/>
      <c r="D917" s="954"/>
      <c r="E917" s="956"/>
      <c r="F917" s="1110" t="s">
        <v>5003</v>
      </c>
      <c r="G917" s="1110"/>
      <c r="H917" s="178"/>
      <c r="I917" s="1115" t="s">
        <v>5004</v>
      </c>
      <c r="J917" s="1115"/>
      <c r="K917" s="1115"/>
      <c r="L917" s="1115"/>
      <c r="M917" s="1115"/>
      <c r="N917" s="1116"/>
      <c r="O917" s="749"/>
      <c r="P917" s="749"/>
      <c r="Q917" s="749"/>
      <c r="R917" s="749"/>
      <c r="S917" s="749"/>
      <c r="T917" s="749"/>
      <c r="U917" s="749"/>
      <c r="V917" s="749"/>
      <c r="W917" s="749"/>
      <c r="X917" s="749"/>
      <c r="Y917" s="749"/>
      <c r="Z917" s="749"/>
      <c r="AA917" s="749"/>
      <c r="AB917" s="749"/>
      <c r="AC917" s="749"/>
      <c r="AD917" s="749"/>
      <c r="AG917"/>
      <c r="AH917">
        <f t="shared" si="380"/>
        <v>0</v>
      </c>
      <c r="AI917">
        <f t="shared" si="376"/>
        <v>0</v>
      </c>
      <c r="AK917">
        <f t="shared" si="377"/>
        <v>0</v>
      </c>
      <c r="AL917">
        <f t="shared" si="378"/>
        <v>0</v>
      </c>
      <c r="AM917">
        <f t="shared" si="379"/>
        <v>0</v>
      </c>
      <c r="CF917"/>
      <c r="CG917"/>
    </row>
    <row r="918" spans="1:85" ht="24" customHeight="1">
      <c r="A918" s="91"/>
      <c r="C918" s="1109"/>
      <c r="D918" s="954"/>
      <c r="E918" s="956"/>
      <c r="F918" s="1110" t="s">
        <v>5005</v>
      </c>
      <c r="G918" s="1110"/>
      <c r="H918" s="178"/>
      <c r="I918" s="1111" t="s">
        <v>5006</v>
      </c>
      <c r="J918" s="1111"/>
      <c r="K918" s="1111"/>
      <c r="L918" s="1111"/>
      <c r="M918" s="1111"/>
      <c r="N918" s="1112"/>
      <c r="O918" s="749"/>
      <c r="P918" s="749"/>
      <c r="Q918" s="749"/>
      <c r="R918" s="749"/>
      <c r="S918" s="749"/>
      <c r="T918" s="749"/>
      <c r="U918" s="749"/>
      <c r="V918" s="749"/>
      <c r="W918" s="749"/>
      <c r="X918" s="749"/>
      <c r="Y918" s="749"/>
      <c r="Z918" s="749"/>
      <c r="AA918" s="749"/>
      <c r="AB918" s="749"/>
      <c r="AC918" s="749"/>
      <c r="AD918" s="749"/>
      <c r="AG918"/>
      <c r="AH918">
        <f t="shared" si="380"/>
        <v>0</v>
      </c>
      <c r="AI918">
        <f t="shared" si="376"/>
        <v>0</v>
      </c>
      <c r="AK918">
        <f t="shared" si="377"/>
        <v>0</v>
      </c>
      <c r="AL918">
        <f t="shared" si="378"/>
        <v>0</v>
      </c>
      <c r="AM918">
        <f t="shared" si="379"/>
        <v>0</v>
      </c>
      <c r="CF918"/>
      <c r="CG918"/>
    </row>
    <row r="919" spans="1:85" ht="15" customHeight="1">
      <c r="A919" s="91"/>
      <c r="C919" s="1109"/>
      <c r="D919" s="954"/>
      <c r="E919" s="956"/>
      <c r="F919" s="1110" t="s">
        <v>5007</v>
      </c>
      <c r="G919" s="1110"/>
      <c r="H919" s="178"/>
      <c r="I919" s="1111" t="s">
        <v>5008</v>
      </c>
      <c r="J919" s="1111"/>
      <c r="K919" s="1111"/>
      <c r="L919" s="1111"/>
      <c r="M919" s="1111"/>
      <c r="N919" s="1112"/>
      <c r="O919" s="749"/>
      <c r="P919" s="749"/>
      <c r="Q919" s="749"/>
      <c r="R919" s="749"/>
      <c r="S919" s="749"/>
      <c r="T919" s="749"/>
      <c r="U919" s="749"/>
      <c r="V919" s="749"/>
      <c r="W919" s="749"/>
      <c r="X919" s="749"/>
      <c r="Y919" s="749"/>
      <c r="Z919" s="749"/>
      <c r="AA919" s="749"/>
      <c r="AB919" s="749"/>
      <c r="AC919" s="749"/>
      <c r="AD919" s="749"/>
      <c r="AG919"/>
      <c r="AH919">
        <f t="shared" si="380"/>
        <v>0</v>
      </c>
      <c r="AI919">
        <f t="shared" si="376"/>
        <v>0</v>
      </c>
      <c r="AK919">
        <f t="shared" si="377"/>
        <v>0</v>
      </c>
      <c r="AL919">
        <f t="shared" si="378"/>
        <v>0</v>
      </c>
      <c r="AM919">
        <f t="shared" si="379"/>
        <v>0</v>
      </c>
      <c r="CF919"/>
      <c r="CG919"/>
    </row>
    <row r="920" spans="1:85" ht="36" customHeight="1">
      <c r="A920" s="91"/>
      <c r="C920" s="1109"/>
      <c r="D920" s="954"/>
      <c r="E920" s="956"/>
      <c r="F920" s="1110" t="s">
        <v>5009</v>
      </c>
      <c r="G920" s="1110"/>
      <c r="H920" s="178"/>
      <c r="I920" s="1111" t="s">
        <v>5010</v>
      </c>
      <c r="J920" s="1111"/>
      <c r="K920" s="1111"/>
      <c r="L920" s="1111"/>
      <c r="M920" s="1111"/>
      <c r="N920" s="1112"/>
      <c r="O920" s="749"/>
      <c r="P920" s="749"/>
      <c r="Q920" s="749"/>
      <c r="R920" s="749"/>
      <c r="S920" s="749"/>
      <c r="T920" s="749"/>
      <c r="U920" s="749"/>
      <c r="V920" s="749"/>
      <c r="W920" s="749"/>
      <c r="X920" s="749"/>
      <c r="Y920" s="749"/>
      <c r="Z920" s="749"/>
      <c r="AA920" s="749"/>
      <c r="AB920" s="749"/>
      <c r="AC920" s="749"/>
      <c r="AD920" s="749"/>
      <c r="AG920"/>
      <c r="AH920">
        <f t="shared" si="380"/>
        <v>0</v>
      </c>
      <c r="AI920">
        <f t="shared" si="376"/>
        <v>0</v>
      </c>
      <c r="AK920">
        <f t="shared" si="377"/>
        <v>0</v>
      </c>
      <c r="AL920">
        <f t="shared" si="378"/>
        <v>0</v>
      </c>
      <c r="AM920">
        <f t="shared" si="379"/>
        <v>0</v>
      </c>
      <c r="CF920"/>
      <c r="CG920"/>
    </row>
    <row r="921" spans="1:85" ht="36" customHeight="1">
      <c r="A921" s="91"/>
      <c r="C921" s="1109"/>
      <c r="D921" s="954"/>
      <c r="E921" s="956"/>
      <c r="F921" s="1110" t="s">
        <v>5011</v>
      </c>
      <c r="G921" s="1110"/>
      <c r="H921" s="178"/>
      <c r="I921" s="1111" t="s">
        <v>5012</v>
      </c>
      <c r="J921" s="1111"/>
      <c r="K921" s="1111"/>
      <c r="L921" s="1111"/>
      <c r="M921" s="1111"/>
      <c r="N921" s="1112"/>
      <c r="O921" s="749"/>
      <c r="P921" s="749"/>
      <c r="Q921" s="749"/>
      <c r="R921" s="749"/>
      <c r="S921" s="749"/>
      <c r="T921" s="749"/>
      <c r="U921" s="749"/>
      <c r="V921" s="749"/>
      <c r="W921" s="749"/>
      <c r="X921" s="749"/>
      <c r="Y921" s="749"/>
      <c r="Z921" s="749"/>
      <c r="AA921" s="749"/>
      <c r="AB921" s="749"/>
      <c r="AC921" s="749"/>
      <c r="AD921" s="749"/>
      <c r="AG921"/>
      <c r="AH921">
        <f t="shared" si="380"/>
        <v>0</v>
      </c>
      <c r="AI921">
        <f t="shared" si="376"/>
        <v>0</v>
      </c>
      <c r="AK921">
        <f t="shared" si="377"/>
        <v>0</v>
      </c>
      <c r="AL921">
        <f t="shared" si="378"/>
        <v>0</v>
      </c>
      <c r="AM921">
        <f t="shared" si="379"/>
        <v>0</v>
      </c>
      <c r="CF921"/>
      <c r="CG921"/>
    </row>
    <row r="922" spans="1:85" ht="15" customHeight="1">
      <c r="A922" s="91"/>
      <c r="C922" s="1109"/>
      <c r="D922" s="954"/>
      <c r="E922" s="956"/>
      <c r="F922" s="1110" t="s">
        <v>5418</v>
      </c>
      <c r="G922" s="1110"/>
      <c r="H922" s="178"/>
      <c r="I922" s="1113" t="s">
        <v>201</v>
      </c>
      <c r="J922" s="1113"/>
      <c r="K922" s="1113"/>
      <c r="L922" s="1113"/>
      <c r="M922" s="1113"/>
      <c r="N922" s="1114"/>
      <c r="O922" s="749"/>
      <c r="P922" s="749"/>
      <c r="Q922" s="749"/>
      <c r="R922" s="749"/>
      <c r="S922" s="749"/>
      <c r="T922" s="749"/>
      <c r="U922" s="749"/>
      <c r="V922" s="749"/>
      <c r="W922" s="749"/>
      <c r="X922" s="749"/>
      <c r="Y922" s="749"/>
      <c r="Z922" s="749"/>
      <c r="AA922" s="749"/>
      <c r="AB922" s="749"/>
      <c r="AC922" s="749"/>
      <c r="AD922" s="749"/>
      <c r="AG922"/>
      <c r="AH922">
        <f t="shared" si="380"/>
        <v>0</v>
      </c>
      <c r="AI922">
        <f t="shared" si="376"/>
        <v>0</v>
      </c>
      <c r="AK922">
        <f t="shared" si="377"/>
        <v>0</v>
      </c>
      <c r="AL922">
        <f t="shared" si="378"/>
        <v>0</v>
      </c>
      <c r="AM922">
        <f t="shared" si="379"/>
        <v>0</v>
      </c>
      <c r="CF922"/>
      <c r="CG922"/>
    </row>
    <row r="923" spans="1:85" ht="15" customHeight="1">
      <c r="A923" s="91"/>
      <c r="C923" s="1109"/>
      <c r="D923" s="954"/>
      <c r="E923" s="956"/>
      <c r="F923" s="1103" t="s">
        <v>5014</v>
      </c>
      <c r="G923" s="1103"/>
      <c r="H923" s="1104" t="s">
        <v>5015</v>
      </c>
      <c r="I923" s="1105"/>
      <c r="J923" s="1105"/>
      <c r="K923" s="1105"/>
      <c r="L923" s="1105"/>
      <c r="M923" s="1105"/>
      <c r="N923" s="1106"/>
      <c r="O923" s="749"/>
      <c r="P923" s="749"/>
      <c r="Q923" s="749"/>
      <c r="R923" s="749"/>
      <c r="S923" s="749"/>
      <c r="T923" s="749"/>
      <c r="U923" s="749"/>
      <c r="V923" s="749"/>
      <c r="W923" s="749"/>
      <c r="X923" s="749"/>
      <c r="Y923" s="749"/>
      <c r="Z923" s="749"/>
      <c r="AA923" s="749"/>
      <c r="AB923" s="749"/>
      <c r="AC923" s="749"/>
      <c r="AD923" s="749"/>
      <c r="AG923"/>
      <c r="AH923">
        <f t="shared" si="380"/>
        <v>0</v>
      </c>
      <c r="AI923">
        <f t="shared" si="376"/>
        <v>0</v>
      </c>
      <c r="AK923">
        <f t="shared" si="377"/>
        <v>0</v>
      </c>
      <c r="AL923">
        <f t="shared" si="378"/>
        <v>0</v>
      </c>
      <c r="AM923">
        <f t="shared" si="379"/>
        <v>0</v>
      </c>
      <c r="CF923"/>
      <c r="CG923"/>
    </row>
    <row r="924" spans="1:85" ht="15" customHeight="1">
      <c r="A924" s="91"/>
      <c r="C924" s="1109"/>
      <c r="D924" s="954"/>
      <c r="E924" s="956"/>
      <c r="F924" s="1103" t="s">
        <v>5016</v>
      </c>
      <c r="G924" s="1103"/>
      <c r="H924" s="1104" t="s">
        <v>5017</v>
      </c>
      <c r="I924" s="1105"/>
      <c r="J924" s="1105"/>
      <c r="K924" s="1105"/>
      <c r="L924" s="1105"/>
      <c r="M924" s="1105"/>
      <c r="N924" s="1106"/>
      <c r="O924" s="749"/>
      <c r="P924" s="749"/>
      <c r="Q924" s="749"/>
      <c r="R924" s="749"/>
      <c r="S924" s="749"/>
      <c r="T924" s="749"/>
      <c r="U924" s="749"/>
      <c r="V924" s="749"/>
      <c r="W924" s="749"/>
      <c r="X924" s="749"/>
      <c r="Y924" s="749"/>
      <c r="Z924" s="749"/>
      <c r="AA924" s="749"/>
      <c r="AB924" s="749"/>
      <c r="AC924" s="749"/>
      <c r="AD924" s="749"/>
      <c r="AG924"/>
      <c r="AH924">
        <f t="shared" si="380"/>
        <v>0</v>
      </c>
      <c r="AI924">
        <f t="shared" si="376"/>
        <v>0</v>
      </c>
      <c r="AK924">
        <f t="shared" si="377"/>
        <v>0</v>
      </c>
      <c r="AL924">
        <f t="shared" si="378"/>
        <v>0</v>
      </c>
      <c r="AM924">
        <f t="shared" si="379"/>
        <v>0</v>
      </c>
      <c r="CF924"/>
      <c r="CG924"/>
    </row>
    <row r="925" spans="1:85" ht="24" customHeight="1">
      <c r="A925" s="91"/>
      <c r="C925" s="1109"/>
      <c r="D925" s="954"/>
      <c r="E925" s="956"/>
      <c r="F925" s="1103" t="s">
        <v>5018</v>
      </c>
      <c r="G925" s="1103"/>
      <c r="H925" s="1104" t="s">
        <v>5019</v>
      </c>
      <c r="I925" s="1105"/>
      <c r="J925" s="1105"/>
      <c r="K925" s="1105"/>
      <c r="L925" s="1105"/>
      <c r="M925" s="1105"/>
      <c r="N925" s="1106"/>
      <c r="O925" s="749"/>
      <c r="P925" s="749"/>
      <c r="Q925" s="749"/>
      <c r="R925" s="749"/>
      <c r="S925" s="749"/>
      <c r="T925" s="749"/>
      <c r="U925" s="749"/>
      <c r="V925" s="749"/>
      <c r="W925" s="749"/>
      <c r="X925" s="749"/>
      <c r="Y925" s="749"/>
      <c r="Z925" s="749"/>
      <c r="AA925" s="749"/>
      <c r="AB925" s="749"/>
      <c r="AC925" s="749"/>
      <c r="AD925" s="749"/>
      <c r="AG925"/>
      <c r="AH925">
        <f t="shared" si="380"/>
        <v>0</v>
      </c>
      <c r="AI925">
        <f t="shared" si="376"/>
        <v>0</v>
      </c>
      <c r="AK925">
        <f t="shared" si="377"/>
        <v>0</v>
      </c>
      <c r="AL925">
        <f t="shared" si="378"/>
        <v>0</v>
      </c>
      <c r="AM925">
        <f t="shared" si="379"/>
        <v>0</v>
      </c>
      <c r="AN925">
        <f>IF(OR(O925="NS",O925="NA",$AG$809=8),0,IF((O925*(IFERROR(100/SUM(O897:O925),0)))&gt;25,1,0))</f>
        <v>0</v>
      </c>
      <c r="CF925"/>
      <c r="CG925"/>
    </row>
    <row r="926" spans="1:85" ht="15" customHeight="1">
      <c r="A926" s="91"/>
      <c r="C926" s="732" t="s">
        <v>5020</v>
      </c>
      <c r="D926" s="874" t="s">
        <v>5021</v>
      </c>
      <c r="E926" s="874"/>
      <c r="F926" s="1103" t="s">
        <v>5022</v>
      </c>
      <c r="G926" s="1103"/>
      <c r="H926" s="1104" t="s">
        <v>5023</v>
      </c>
      <c r="I926" s="1105"/>
      <c r="J926" s="1105"/>
      <c r="K926" s="1105"/>
      <c r="L926" s="1105"/>
      <c r="M926" s="1105"/>
      <c r="N926" s="1106"/>
      <c r="O926" s="749"/>
      <c r="P926" s="749"/>
      <c r="Q926" s="749"/>
      <c r="R926" s="749"/>
      <c r="S926" s="749"/>
      <c r="T926" s="749"/>
      <c r="U926" s="749"/>
      <c r="V926" s="749"/>
      <c r="W926" s="749"/>
      <c r="X926" s="749"/>
      <c r="Y926" s="749"/>
      <c r="Z926" s="749"/>
      <c r="AA926" s="749"/>
      <c r="AB926" s="749"/>
      <c r="AC926" s="749"/>
      <c r="AD926" s="749"/>
      <c r="AG926">
        <f>IF(O926="NA",IF(AND(COUNTIF(O927:O935,"="&amp;$AG$821)=0,COUNTIF(O927:O935,"&lt;&gt;NA")&gt;0),1,0),IF(AND(COUNTIF(O927:O935,"="&amp;$AG$821)=0,COUNTIF(O927:O935,"NA")=COUNTIF(O927:O935,"&lt;&gt;"&amp;$AG$821)),1,0))</f>
        <v>0</v>
      </c>
      <c r="AH926">
        <f t="shared" si="380"/>
        <v>0</v>
      </c>
      <c r="AI926">
        <f t="shared" si="376"/>
        <v>0</v>
      </c>
      <c r="AK926">
        <f t="shared" si="377"/>
        <v>0</v>
      </c>
      <c r="AL926">
        <f t="shared" si="378"/>
        <v>0</v>
      </c>
      <c r="AM926">
        <f t="shared" si="379"/>
        <v>0</v>
      </c>
      <c r="CF926"/>
      <c r="CG926"/>
    </row>
    <row r="927" spans="1:85" ht="24" customHeight="1">
      <c r="A927" s="91"/>
      <c r="C927" s="732"/>
      <c r="D927" s="874"/>
      <c r="E927" s="874"/>
      <c r="F927" s="1110" t="s">
        <v>5024</v>
      </c>
      <c r="G927" s="1110"/>
      <c r="H927" s="178"/>
      <c r="I927" s="1115" t="s">
        <v>5025</v>
      </c>
      <c r="J927" s="1115"/>
      <c r="K927" s="1115"/>
      <c r="L927" s="1115"/>
      <c r="M927" s="1115"/>
      <c r="N927" s="1116"/>
      <c r="O927" s="749"/>
      <c r="P927" s="749"/>
      <c r="Q927" s="749"/>
      <c r="R927" s="749"/>
      <c r="S927" s="749"/>
      <c r="T927" s="749"/>
      <c r="U927" s="749"/>
      <c r="V927" s="749"/>
      <c r="W927" s="749"/>
      <c r="X927" s="749"/>
      <c r="Y927" s="749"/>
      <c r="Z927" s="749"/>
      <c r="AA927" s="749"/>
      <c r="AB927" s="749"/>
      <c r="AC927" s="749"/>
      <c r="AD927" s="749"/>
      <c r="AG927"/>
      <c r="AH927">
        <f t="shared" si="380"/>
        <v>0</v>
      </c>
      <c r="AI927">
        <f t="shared" si="376"/>
        <v>0</v>
      </c>
      <c r="AK927">
        <f t="shared" si="377"/>
        <v>0</v>
      </c>
      <c r="AL927">
        <f t="shared" si="378"/>
        <v>0</v>
      </c>
      <c r="AM927">
        <f t="shared" si="379"/>
        <v>0</v>
      </c>
      <c r="CF927"/>
      <c r="CG927"/>
    </row>
    <row r="928" spans="1:85" ht="15" customHeight="1">
      <c r="A928" s="91"/>
      <c r="C928" s="732"/>
      <c r="D928" s="874"/>
      <c r="E928" s="874"/>
      <c r="F928" s="1110" t="s">
        <v>5026</v>
      </c>
      <c r="G928" s="1110"/>
      <c r="H928" s="178"/>
      <c r="I928" s="1111" t="s">
        <v>5027</v>
      </c>
      <c r="J928" s="1111"/>
      <c r="K928" s="1111"/>
      <c r="L928" s="1111"/>
      <c r="M928" s="1111"/>
      <c r="N928" s="1112"/>
      <c r="O928" s="749"/>
      <c r="P928" s="749"/>
      <c r="Q928" s="749"/>
      <c r="R928" s="749"/>
      <c r="S928" s="749"/>
      <c r="T928" s="749"/>
      <c r="U928" s="749"/>
      <c r="V928" s="749"/>
      <c r="W928" s="749"/>
      <c r="X928" s="749"/>
      <c r="Y928" s="749"/>
      <c r="Z928" s="749"/>
      <c r="AA928" s="749"/>
      <c r="AB928" s="749"/>
      <c r="AC928" s="749"/>
      <c r="AD928" s="749"/>
      <c r="AG928"/>
      <c r="AH928">
        <f t="shared" si="380"/>
        <v>0</v>
      </c>
      <c r="AI928">
        <f t="shared" si="376"/>
        <v>0</v>
      </c>
      <c r="AK928">
        <f t="shared" si="377"/>
        <v>0</v>
      </c>
      <c r="AL928">
        <f t="shared" si="378"/>
        <v>0</v>
      </c>
      <c r="AM928">
        <f t="shared" si="379"/>
        <v>0</v>
      </c>
      <c r="CF928"/>
      <c r="CG928"/>
    </row>
    <row r="929" spans="1:85" ht="15" customHeight="1">
      <c r="A929" s="91"/>
      <c r="C929" s="732"/>
      <c r="D929" s="874"/>
      <c r="E929" s="874"/>
      <c r="F929" s="1110" t="s">
        <v>5028</v>
      </c>
      <c r="G929" s="1110"/>
      <c r="H929" s="178"/>
      <c r="I929" s="1111" t="s">
        <v>5029</v>
      </c>
      <c r="J929" s="1111"/>
      <c r="K929" s="1111"/>
      <c r="L929" s="1111"/>
      <c r="M929" s="1111"/>
      <c r="N929" s="1112"/>
      <c r="O929" s="749"/>
      <c r="P929" s="749"/>
      <c r="Q929" s="749"/>
      <c r="R929" s="749"/>
      <c r="S929" s="749"/>
      <c r="T929" s="749"/>
      <c r="U929" s="749"/>
      <c r="V929" s="749"/>
      <c r="W929" s="749"/>
      <c r="X929" s="749"/>
      <c r="Y929" s="749"/>
      <c r="Z929" s="749"/>
      <c r="AA929" s="749"/>
      <c r="AB929" s="749"/>
      <c r="AC929" s="749"/>
      <c r="AD929" s="749"/>
      <c r="AG929"/>
      <c r="AH929">
        <f t="shared" si="380"/>
        <v>0</v>
      </c>
      <c r="AI929">
        <f t="shared" si="376"/>
        <v>0</v>
      </c>
      <c r="AK929">
        <f t="shared" si="377"/>
        <v>0</v>
      </c>
      <c r="AL929">
        <f t="shared" si="378"/>
        <v>0</v>
      </c>
      <c r="AM929">
        <f t="shared" si="379"/>
        <v>0</v>
      </c>
      <c r="CF929"/>
      <c r="CG929"/>
    </row>
    <row r="930" spans="1:85" ht="15" customHeight="1">
      <c r="A930" s="91"/>
      <c r="C930" s="732"/>
      <c r="D930" s="874"/>
      <c r="E930" s="874"/>
      <c r="F930" s="1110" t="s">
        <v>5030</v>
      </c>
      <c r="G930" s="1110"/>
      <c r="H930" s="178"/>
      <c r="I930" s="1111" t="s">
        <v>5031</v>
      </c>
      <c r="J930" s="1111"/>
      <c r="K930" s="1111"/>
      <c r="L930" s="1111"/>
      <c r="M930" s="1111"/>
      <c r="N930" s="1112"/>
      <c r="O930" s="749"/>
      <c r="P930" s="749"/>
      <c r="Q930" s="749"/>
      <c r="R930" s="749"/>
      <c r="S930" s="749"/>
      <c r="T930" s="749"/>
      <c r="U930" s="749"/>
      <c r="V930" s="749"/>
      <c r="W930" s="749"/>
      <c r="X930" s="749"/>
      <c r="Y930" s="749"/>
      <c r="Z930" s="749"/>
      <c r="AA930" s="749"/>
      <c r="AB930" s="749"/>
      <c r="AC930" s="749"/>
      <c r="AD930" s="749"/>
      <c r="AG930"/>
      <c r="AH930">
        <f t="shared" si="380"/>
        <v>0</v>
      </c>
      <c r="AI930">
        <f t="shared" si="376"/>
        <v>0</v>
      </c>
      <c r="AK930">
        <f t="shared" si="377"/>
        <v>0</v>
      </c>
      <c r="AL930">
        <f t="shared" si="378"/>
        <v>0</v>
      </c>
      <c r="AM930">
        <f t="shared" si="379"/>
        <v>0</v>
      </c>
      <c r="CF930"/>
      <c r="CG930"/>
    </row>
    <row r="931" spans="1:85" ht="15" customHeight="1">
      <c r="A931" s="91"/>
      <c r="C931" s="732"/>
      <c r="D931" s="874"/>
      <c r="E931" s="874"/>
      <c r="F931" s="1110" t="s">
        <v>5032</v>
      </c>
      <c r="G931" s="1110"/>
      <c r="H931" s="178"/>
      <c r="I931" s="1111" t="s">
        <v>5033</v>
      </c>
      <c r="J931" s="1111"/>
      <c r="K931" s="1111"/>
      <c r="L931" s="1111"/>
      <c r="M931" s="1111"/>
      <c r="N931" s="1112"/>
      <c r="O931" s="749"/>
      <c r="P931" s="749"/>
      <c r="Q931" s="749"/>
      <c r="R931" s="749"/>
      <c r="S931" s="749"/>
      <c r="T931" s="749"/>
      <c r="U931" s="749"/>
      <c r="V931" s="749"/>
      <c r="W931" s="749"/>
      <c r="X931" s="749"/>
      <c r="Y931" s="749"/>
      <c r="Z931" s="749"/>
      <c r="AA931" s="749"/>
      <c r="AB931" s="749"/>
      <c r="AC931" s="749"/>
      <c r="AD931" s="749"/>
      <c r="AG931"/>
      <c r="AH931">
        <f t="shared" si="380"/>
        <v>0</v>
      </c>
      <c r="AI931">
        <f t="shared" si="376"/>
        <v>0</v>
      </c>
      <c r="AK931">
        <f t="shared" si="377"/>
        <v>0</v>
      </c>
      <c r="AL931">
        <f t="shared" si="378"/>
        <v>0</v>
      </c>
      <c r="AM931">
        <f t="shared" si="379"/>
        <v>0</v>
      </c>
      <c r="CF931"/>
      <c r="CG931"/>
    </row>
    <row r="932" spans="1:85" ht="15" customHeight="1">
      <c r="A932" s="91"/>
      <c r="C932" s="732"/>
      <c r="D932" s="874"/>
      <c r="E932" s="874"/>
      <c r="F932" s="1110" t="s">
        <v>5034</v>
      </c>
      <c r="G932" s="1110"/>
      <c r="H932" s="178"/>
      <c r="I932" s="1111" t="s">
        <v>5035</v>
      </c>
      <c r="J932" s="1111"/>
      <c r="K932" s="1111"/>
      <c r="L932" s="1111"/>
      <c r="M932" s="1111"/>
      <c r="N932" s="1112"/>
      <c r="O932" s="749"/>
      <c r="P932" s="749"/>
      <c r="Q932" s="749"/>
      <c r="R932" s="749"/>
      <c r="S932" s="749"/>
      <c r="T932" s="749"/>
      <c r="U932" s="749"/>
      <c r="V932" s="749"/>
      <c r="W932" s="749"/>
      <c r="X932" s="749"/>
      <c r="Y932" s="749"/>
      <c r="Z932" s="749"/>
      <c r="AA932" s="749"/>
      <c r="AB932" s="749"/>
      <c r="AC932" s="749"/>
      <c r="AD932" s="749"/>
      <c r="AG932"/>
      <c r="AH932">
        <f t="shared" si="380"/>
        <v>0</v>
      </c>
      <c r="AI932">
        <f t="shared" si="376"/>
        <v>0</v>
      </c>
      <c r="AK932">
        <f t="shared" si="377"/>
        <v>0</v>
      </c>
      <c r="AL932">
        <f t="shared" si="378"/>
        <v>0</v>
      </c>
      <c r="AM932">
        <f t="shared" si="379"/>
        <v>0</v>
      </c>
      <c r="CF932"/>
      <c r="CG932"/>
    </row>
    <row r="933" spans="1:85" ht="15" customHeight="1">
      <c r="A933" s="91"/>
      <c r="C933" s="732"/>
      <c r="D933" s="874"/>
      <c r="E933" s="874"/>
      <c r="F933" s="1110" t="s">
        <v>5036</v>
      </c>
      <c r="G933" s="1110"/>
      <c r="H933" s="178"/>
      <c r="I933" s="1111" t="s">
        <v>5037</v>
      </c>
      <c r="J933" s="1111"/>
      <c r="K933" s="1111"/>
      <c r="L933" s="1111"/>
      <c r="M933" s="1111"/>
      <c r="N933" s="1112"/>
      <c r="O933" s="749"/>
      <c r="P933" s="749"/>
      <c r="Q933" s="749"/>
      <c r="R933" s="749"/>
      <c r="S933" s="749"/>
      <c r="T933" s="749"/>
      <c r="U933" s="749"/>
      <c r="V933" s="749"/>
      <c r="W933" s="749"/>
      <c r="X933" s="749"/>
      <c r="Y933" s="749"/>
      <c r="Z933" s="749"/>
      <c r="AA933" s="749"/>
      <c r="AB933" s="749"/>
      <c r="AC933" s="749"/>
      <c r="AD933" s="749"/>
      <c r="AG933"/>
      <c r="AH933">
        <f t="shared" si="380"/>
        <v>0</v>
      </c>
      <c r="AI933">
        <f t="shared" si="376"/>
        <v>0</v>
      </c>
      <c r="AK933">
        <f t="shared" si="377"/>
        <v>0</v>
      </c>
      <c r="AL933">
        <f t="shared" si="378"/>
        <v>0</v>
      </c>
      <c r="AM933">
        <f t="shared" si="379"/>
        <v>0</v>
      </c>
      <c r="CF933"/>
      <c r="CG933"/>
    </row>
    <row r="934" spans="1:85" ht="24" customHeight="1">
      <c r="A934" s="91"/>
      <c r="C934" s="732"/>
      <c r="D934" s="874"/>
      <c r="E934" s="874"/>
      <c r="F934" s="1110" t="s">
        <v>5038</v>
      </c>
      <c r="G934" s="1110"/>
      <c r="H934" s="178"/>
      <c r="I934" s="1111" t="s">
        <v>5039</v>
      </c>
      <c r="J934" s="1111"/>
      <c r="K934" s="1111"/>
      <c r="L934" s="1111"/>
      <c r="M934" s="1111"/>
      <c r="N934" s="1112"/>
      <c r="O934" s="749"/>
      <c r="P934" s="749"/>
      <c r="Q934" s="749"/>
      <c r="R934" s="749"/>
      <c r="S934" s="749"/>
      <c r="T934" s="749"/>
      <c r="U934" s="749"/>
      <c r="V934" s="749"/>
      <c r="W934" s="749"/>
      <c r="X934" s="749"/>
      <c r="Y934" s="749"/>
      <c r="Z934" s="749"/>
      <c r="AA934" s="749"/>
      <c r="AB934" s="749"/>
      <c r="AC934" s="749"/>
      <c r="AD934" s="749"/>
      <c r="AG934"/>
      <c r="AH934">
        <f t="shared" si="380"/>
        <v>0</v>
      </c>
      <c r="AI934">
        <f t="shared" si="376"/>
        <v>0</v>
      </c>
      <c r="AK934">
        <f t="shared" si="377"/>
        <v>0</v>
      </c>
      <c r="AL934">
        <f t="shared" si="378"/>
        <v>0</v>
      </c>
      <c r="AM934">
        <f t="shared" si="379"/>
        <v>0</v>
      </c>
      <c r="CF934"/>
      <c r="CG934"/>
    </row>
    <row r="935" spans="1:85" ht="15" customHeight="1">
      <c r="A935" s="91"/>
      <c r="C935" s="732"/>
      <c r="D935" s="874"/>
      <c r="E935" s="874"/>
      <c r="F935" s="1110" t="s">
        <v>5040</v>
      </c>
      <c r="G935" s="1110"/>
      <c r="H935" s="178"/>
      <c r="I935" s="1113" t="s">
        <v>201</v>
      </c>
      <c r="J935" s="1113"/>
      <c r="K935" s="1113"/>
      <c r="L935" s="1113"/>
      <c r="M935" s="1113"/>
      <c r="N935" s="1114"/>
      <c r="O935" s="749"/>
      <c r="P935" s="749"/>
      <c r="Q935" s="749"/>
      <c r="R935" s="749"/>
      <c r="S935" s="749"/>
      <c r="T935" s="749"/>
      <c r="U935" s="749"/>
      <c r="V935" s="749"/>
      <c r="W935" s="749"/>
      <c r="X935" s="749"/>
      <c r="Y935" s="749"/>
      <c r="Z935" s="749"/>
      <c r="AA935" s="749"/>
      <c r="AB935" s="749"/>
      <c r="AC935" s="749"/>
      <c r="AD935" s="749"/>
      <c r="AG935"/>
      <c r="AH935">
        <f t="shared" si="380"/>
        <v>0</v>
      </c>
      <c r="AI935">
        <f t="shared" si="376"/>
        <v>0</v>
      </c>
      <c r="AK935">
        <f t="shared" si="377"/>
        <v>0</v>
      </c>
      <c r="AL935">
        <f t="shared" si="378"/>
        <v>0</v>
      </c>
      <c r="AM935">
        <f t="shared" si="379"/>
        <v>0</v>
      </c>
      <c r="CF935"/>
      <c r="CG935"/>
    </row>
    <row r="936" spans="1:85" ht="24" customHeight="1">
      <c r="A936" s="91"/>
      <c r="C936" s="732"/>
      <c r="D936" s="874"/>
      <c r="E936" s="874"/>
      <c r="F936" s="1103" t="s">
        <v>5041</v>
      </c>
      <c r="G936" s="1103"/>
      <c r="H936" s="1104" t="s">
        <v>5042</v>
      </c>
      <c r="I936" s="1105"/>
      <c r="J936" s="1105"/>
      <c r="K936" s="1105"/>
      <c r="L936" s="1105"/>
      <c r="M936" s="1105"/>
      <c r="N936" s="1106"/>
      <c r="O936" s="749"/>
      <c r="P936" s="749"/>
      <c r="Q936" s="749"/>
      <c r="R936" s="749"/>
      <c r="S936" s="749"/>
      <c r="T936" s="749"/>
      <c r="U936" s="749"/>
      <c r="V936" s="749"/>
      <c r="W936" s="749"/>
      <c r="X936" s="749"/>
      <c r="Y936" s="749"/>
      <c r="Z936" s="749"/>
      <c r="AA936" s="749"/>
      <c r="AB936" s="749"/>
      <c r="AC936" s="749"/>
      <c r="AD936" s="749"/>
      <c r="AG936">
        <f>IF(O936="NA",IF(AND(COUNTIF(O937:O939,"="&amp;$AG$821)=0,COUNTIF(O937:O939,"&lt;&gt;NA")&gt;0),1,0),IF(AND(COUNTIF(O937:O939,"="&amp;$AG$821)=0,COUNTIF(O937:O939,"NA")=COUNTIF(O937:O939,"&lt;&gt;"&amp;$AG$821)),1,0))</f>
        <v>0</v>
      </c>
      <c r="AH936">
        <f t="shared" si="380"/>
        <v>0</v>
      </c>
      <c r="AI936">
        <f t="shared" si="376"/>
        <v>0</v>
      </c>
      <c r="AK936">
        <f t="shared" si="377"/>
        <v>0</v>
      </c>
      <c r="AL936">
        <f t="shared" si="378"/>
        <v>0</v>
      </c>
      <c r="AM936">
        <f t="shared" si="379"/>
        <v>0</v>
      </c>
      <c r="CF936"/>
      <c r="CG936"/>
    </row>
    <row r="937" spans="1:85" ht="15" customHeight="1">
      <c r="A937" s="91"/>
      <c r="C937" s="732"/>
      <c r="D937" s="874"/>
      <c r="E937" s="874"/>
      <c r="F937" s="1119" t="s">
        <v>5043</v>
      </c>
      <c r="G937" s="1120"/>
      <c r="H937" s="178"/>
      <c r="I937" s="1115" t="s">
        <v>5044</v>
      </c>
      <c r="J937" s="1115"/>
      <c r="K937" s="1115"/>
      <c r="L937" s="1115"/>
      <c r="M937" s="1115"/>
      <c r="N937" s="1116"/>
      <c r="O937" s="749"/>
      <c r="P937" s="749"/>
      <c r="Q937" s="749"/>
      <c r="R937" s="749"/>
      <c r="S937" s="749"/>
      <c r="T937" s="749"/>
      <c r="U937" s="749"/>
      <c r="V937" s="749"/>
      <c r="W937" s="749"/>
      <c r="X937" s="749"/>
      <c r="Y937" s="749"/>
      <c r="Z937" s="749"/>
      <c r="AA937" s="749"/>
      <c r="AB937" s="749"/>
      <c r="AC937" s="749"/>
      <c r="AD937" s="749"/>
      <c r="AG937"/>
      <c r="AH937">
        <f t="shared" si="380"/>
        <v>0</v>
      </c>
      <c r="AI937">
        <f t="shared" si="376"/>
        <v>0</v>
      </c>
      <c r="AK937">
        <f t="shared" si="377"/>
        <v>0</v>
      </c>
      <c r="AL937">
        <f t="shared" si="378"/>
        <v>0</v>
      </c>
      <c r="AM937">
        <f t="shared" si="379"/>
        <v>0</v>
      </c>
      <c r="CF937"/>
      <c r="CG937"/>
    </row>
    <row r="938" spans="1:85" ht="24" customHeight="1">
      <c r="A938" s="91"/>
      <c r="C938" s="732"/>
      <c r="D938" s="874"/>
      <c r="E938" s="874"/>
      <c r="F938" s="1119" t="s">
        <v>5045</v>
      </c>
      <c r="G938" s="1120"/>
      <c r="H938" s="178"/>
      <c r="I938" s="1111" t="s">
        <v>5046</v>
      </c>
      <c r="J938" s="1111"/>
      <c r="K938" s="1111"/>
      <c r="L938" s="1111"/>
      <c r="M938" s="1111"/>
      <c r="N938" s="1112"/>
      <c r="O938" s="749"/>
      <c r="P938" s="749"/>
      <c r="Q938" s="749"/>
      <c r="R938" s="749"/>
      <c r="S938" s="749"/>
      <c r="T938" s="749"/>
      <c r="U938" s="749"/>
      <c r="V938" s="749"/>
      <c r="W938" s="749"/>
      <c r="X938" s="749"/>
      <c r="Y938" s="749"/>
      <c r="Z938" s="749"/>
      <c r="AA938" s="749"/>
      <c r="AB938" s="749"/>
      <c r="AC938" s="749"/>
      <c r="AD938" s="749"/>
      <c r="AG938"/>
      <c r="AH938">
        <f t="shared" si="380"/>
        <v>0</v>
      </c>
      <c r="AI938">
        <f t="shared" si="376"/>
        <v>0</v>
      </c>
      <c r="AK938">
        <f t="shared" si="377"/>
        <v>0</v>
      </c>
      <c r="AL938">
        <f t="shared" si="378"/>
        <v>0</v>
      </c>
      <c r="AM938">
        <f t="shared" si="379"/>
        <v>0</v>
      </c>
      <c r="CF938"/>
      <c r="CG938"/>
    </row>
    <row r="939" spans="1:85" ht="15" customHeight="1">
      <c r="A939" s="91"/>
      <c r="C939" s="732"/>
      <c r="D939" s="874"/>
      <c r="E939" s="874"/>
      <c r="F939" s="1119" t="s">
        <v>5047</v>
      </c>
      <c r="G939" s="1120"/>
      <c r="H939" s="178"/>
      <c r="I939" s="1113" t="s">
        <v>201</v>
      </c>
      <c r="J939" s="1113"/>
      <c r="K939" s="1113"/>
      <c r="L939" s="1113"/>
      <c r="M939" s="1113"/>
      <c r="N939" s="1114"/>
      <c r="O939" s="749"/>
      <c r="P939" s="749"/>
      <c r="Q939" s="749"/>
      <c r="R939" s="749"/>
      <c r="S939" s="749"/>
      <c r="T939" s="749"/>
      <c r="U939" s="749"/>
      <c r="V939" s="749"/>
      <c r="W939" s="749"/>
      <c r="X939" s="749"/>
      <c r="Y939" s="749"/>
      <c r="Z939" s="749"/>
      <c r="AA939" s="749"/>
      <c r="AB939" s="749"/>
      <c r="AC939" s="749"/>
      <c r="AD939" s="749"/>
      <c r="AG939"/>
      <c r="AH939">
        <f t="shared" si="380"/>
        <v>0</v>
      </c>
      <c r="AI939">
        <f t="shared" si="376"/>
        <v>0</v>
      </c>
      <c r="AK939">
        <f t="shared" si="377"/>
        <v>0</v>
      </c>
      <c r="AL939">
        <f t="shared" si="378"/>
        <v>0</v>
      </c>
      <c r="AM939">
        <f t="shared" si="379"/>
        <v>0</v>
      </c>
      <c r="CF939"/>
      <c r="CG939"/>
    </row>
    <row r="940" spans="1:85" ht="15" customHeight="1">
      <c r="A940" s="91"/>
      <c r="C940" s="732"/>
      <c r="D940" s="874"/>
      <c r="E940" s="874"/>
      <c r="F940" s="1103" t="s">
        <v>5048</v>
      </c>
      <c r="G940" s="1103"/>
      <c r="H940" s="1104" t="s">
        <v>5049</v>
      </c>
      <c r="I940" s="1105"/>
      <c r="J940" s="1105"/>
      <c r="K940" s="1105"/>
      <c r="L940" s="1105"/>
      <c r="M940" s="1105"/>
      <c r="N940" s="1106"/>
      <c r="O940" s="749"/>
      <c r="P940" s="749"/>
      <c r="Q940" s="749"/>
      <c r="R940" s="749"/>
      <c r="S940" s="749"/>
      <c r="T940" s="749"/>
      <c r="U940" s="749"/>
      <c r="V940" s="749"/>
      <c r="W940" s="749"/>
      <c r="X940" s="749"/>
      <c r="Y940" s="749"/>
      <c r="Z940" s="749"/>
      <c r="AA940" s="749"/>
      <c r="AB940" s="749"/>
      <c r="AC940" s="749"/>
      <c r="AD940" s="749"/>
      <c r="AG940"/>
      <c r="AH940">
        <f t="shared" si="380"/>
        <v>0</v>
      </c>
      <c r="AI940">
        <f t="shared" ref="AI940:AI976" si="381">IF(O940="NA",IF(COUNTA(S940:AD940)=0,0,1),0)</f>
        <v>0</v>
      </c>
      <c r="AK940">
        <f t="shared" ref="AK940:AK976" si="382">COUNTIF(S940:AD940,"NS")</f>
        <v>0</v>
      </c>
      <c r="AL940">
        <f t="shared" ref="AL940:AL976" si="383">SUM(S940:AD940)</f>
        <v>0</v>
      </c>
      <c r="AM940">
        <f t="shared" ref="AM940:AM976" si="384">IF(COUNTIF(O940:AD940,"NA")=4,0,IF(COUNTA(O940:AD940)=0,0,IF(OR(AND(O940=0,AK940&gt;0),AND(O940="ns",AL940&gt;0),AND(O940="ns",AK940=0,AL940=0)),1,IF(OR(AND(O940&gt;0,AK940=2),AND(O940="ns",AK940=2),AND(O940="ns",AL940=0,AK940&gt;0),O940=AL940),0,1))))</f>
        <v>0</v>
      </c>
      <c r="CF940"/>
      <c r="CG940"/>
    </row>
    <row r="941" spans="1:85" ht="15" customHeight="1">
      <c r="A941" s="91"/>
      <c r="C941" s="732"/>
      <c r="D941" s="874"/>
      <c r="E941" s="874"/>
      <c r="F941" s="1103" t="s">
        <v>5050</v>
      </c>
      <c r="G941" s="1103"/>
      <c r="H941" s="1104" t="s">
        <v>5051</v>
      </c>
      <c r="I941" s="1105"/>
      <c r="J941" s="1105"/>
      <c r="K941" s="1105"/>
      <c r="L941" s="1105"/>
      <c r="M941" s="1105"/>
      <c r="N941" s="1106"/>
      <c r="O941" s="749"/>
      <c r="P941" s="749"/>
      <c r="Q941" s="749"/>
      <c r="R941" s="749"/>
      <c r="S941" s="749"/>
      <c r="T941" s="749"/>
      <c r="U941" s="749"/>
      <c r="V941" s="749"/>
      <c r="W941" s="749"/>
      <c r="X941" s="749"/>
      <c r="Y941" s="749"/>
      <c r="Z941" s="749"/>
      <c r="AA941" s="749"/>
      <c r="AB941" s="749"/>
      <c r="AC941" s="749"/>
      <c r="AD941" s="749"/>
      <c r="AG941"/>
      <c r="AH941">
        <f t="shared" ref="AH941:AH975" si="385">IF(OR($AG$809=8,O941="NA"),0,IF(COUNTA(O941:AD941)=4,0,1))</f>
        <v>0</v>
      </c>
      <c r="AI941">
        <f t="shared" si="381"/>
        <v>0</v>
      </c>
      <c r="AK941">
        <f t="shared" si="382"/>
        <v>0</v>
      </c>
      <c r="AL941">
        <f t="shared" si="383"/>
        <v>0</v>
      </c>
      <c r="AM941">
        <f t="shared" si="384"/>
        <v>0</v>
      </c>
      <c r="CF941"/>
      <c r="CG941"/>
    </row>
    <row r="942" spans="1:85" ht="24" customHeight="1">
      <c r="A942" s="91"/>
      <c r="C942" s="732"/>
      <c r="D942" s="874"/>
      <c r="E942" s="874"/>
      <c r="F942" s="1103" t="s">
        <v>5052</v>
      </c>
      <c r="G942" s="1103"/>
      <c r="H942" s="1104" t="s">
        <v>5053</v>
      </c>
      <c r="I942" s="1105"/>
      <c r="J942" s="1105"/>
      <c r="K942" s="1105"/>
      <c r="L942" s="1105"/>
      <c r="M942" s="1105"/>
      <c r="N942" s="1106"/>
      <c r="O942" s="749"/>
      <c r="P942" s="749"/>
      <c r="Q942" s="749"/>
      <c r="R942" s="749"/>
      <c r="S942" s="749"/>
      <c r="T942" s="749"/>
      <c r="U942" s="749"/>
      <c r="V942" s="749"/>
      <c r="W942" s="749"/>
      <c r="X942" s="749"/>
      <c r="Y942" s="749"/>
      <c r="Z942" s="749"/>
      <c r="AA942" s="749"/>
      <c r="AB942" s="749"/>
      <c r="AC942" s="749"/>
      <c r="AD942" s="749"/>
      <c r="AG942"/>
      <c r="AH942">
        <f t="shared" si="385"/>
        <v>0</v>
      </c>
      <c r="AI942">
        <f t="shared" si="381"/>
        <v>0</v>
      </c>
      <c r="AK942">
        <f t="shared" si="382"/>
        <v>0</v>
      </c>
      <c r="AL942">
        <f t="shared" si="383"/>
        <v>0</v>
      </c>
      <c r="AM942">
        <f t="shared" si="384"/>
        <v>0</v>
      </c>
      <c r="AN942">
        <f>IF(OR(O942="NS",O942="NA",$AG$809=8),0,IF((O942*(IFERROR(100/SUM(O926:O942),0)))&gt;25,1,0))</f>
        <v>0</v>
      </c>
      <c r="CF942"/>
      <c r="CG942"/>
    </row>
    <row r="943" spans="1:85" ht="15" customHeight="1">
      <c r="A943" s="91"/>
      <c r="C943" s="1108" t="s">
        <v>5054</v>
      </c>
      <c r="D943" s="874" t="s">
        <v>5055</v>
      </c>
      <c r="E943" s="874"/>
      <c r="F943" s="1103" t="s">
        <v>5056</v>
      </c>
      <c r="G943" s="1103"/>
      <c r="H943" s="1104" t="s">
        <v>5057</v>
      </c>
      <c r="I943" s="1105"/>
      <c r="J943" s="1105"/>
      <c r="K943" s="1105"/>
      <c r="L943" s="1105"/>
      <c r="M943" s="1105"/>
      <c r="N943" s="1106"/>
      <c r="O943" s="749"/>
      <c r="P943" s="749"/>
      <c r="Q943" s="749"/>
      <c r="R943" s="749"/>
      <c r="S943" s="749"/>
      <c r="T943" s="749"/>
      <c r="U943" s="749"/>
      <c r="V943" s="749"/>
      <c r="W943" s="749"/>
      <c r="X943" s="749"/>
      <c r="Y943" s="749"/>
      <c r="Z943" s="749"/>
      <c r="AA943" s="749"/>
      <c r="AB943" s="749"/>
      <c r="AC943" s="749"/>
      <c r="AD943" s="749"/>
      <c r="AG943"/>
      <c r="AH943">
        <f t="shared" si="385"/>
        <v>0</v>
      </c>
      <c r="AI943">
        <f t="shared" si="381"/>
        <v>0</v>
      </c>
      <c r="AK943">
        <f t="shared" si="382"/>
        <v>0</v>
      </c>
      <c r="AL943">
        <f t="shared" si="383"/>
        <v>0</v>
      </c>
      <c r="AM943">
        <f t="shared" si="384"/>
        <v>0</v>
      </c>
      <c r="CF943"/>
      <c r="CG943"/>
    </row>
    <row r="944" spans="1:85" ht="15" customHeight="1">
      <c r="A944" s="91"/>
      <c r="C944" s="1109"/>
      <c r="D944" s="874"/>
      <c r="E944" s="874"/>
      <c r="F944" s="1103" t="s">
        <v>5058</v>
      </c>
      <c r="G944" s="1103"/>
      <c r="H944" s="1104" t="s">
        <v>5059</v>
      </c>
      <c r="I944" s="1105"/>
      <c r="J944" s="1105"/>
      <c r="K944" s="1105"/>
      <c r="L944" s="1105"/>
      <c r="M944" s="1105"/>
      <c r="N944" s="1106"/>
      <c r="O944" s="749"/>
      <c r="P944" s="749"/>
      <c r="Q944" s="749"/>
      <c r="R944" s="749"/>
      <c r="S944" s="749"/>
      <c r="T944" s="749"/>
      <c r="U944" s="749"/>
      <c r="V944" s="749"/>
      <c r="W944" s="749"/>
      <c r="X944" s="749"/>
      <c r="Y944" s="749"/>
      <c r="Z944" s="749"/>
      <c r="AA944" s="749"/>
      <c r="AB944" s="749"/>
      <c r="AC944" s="749"/>
      <c r="AD944" s="749"/>
      <c r="AG944"/>
      <c r="AH944">
        <f t="shared" si="385"/>
        <v>0</v>
      </c>
      <c r="AI944">
        <f t="shared" si="381"/>
        <v>0</v>
      </c>
      <c r="AK944">
        <f t="shared" si="382"/>
        <v>0</v>
      </c>
      <c r="AL944">
        <f t="shared" si="383"/>
        <v>0</v>
      </c>
      <c r="AM944">
        <f t="shared" si="384"/>
        <v>0</v>
      </c>
      <c r="CF944"/>
      <c r="CG944"/>
    </row>
    <row r="945" spans="1:85" ht="15" customHeight="1">
      <c r="A945" s="91"/>
      <c r="C945" s="1109"/>
      <c r="D945" s="874"/>
      <c r="E945" s="874"/>
      <c r="F945" s="1103" t="s">
        <v>5060</v>
      </c>
      <c r="G945" s="1103"/>
      <c r="H945" s="1104" t="s">
        <v>5061</v>
      </c>
      <c r="I945" s="1105"/>
      <c r="J945" s="1105"/>
      <c r="K945" s="1105"/>
      <c r="L945" s="1105"/>
      <c r="M945" s="1105"/>
      <c r="N945" s="1106"/>
      <c r="O945" s="749"/>
      <c r="P945" s="749"/>
      <c r="Q945" s="749"/>
      <c r="R945" s="749"/>
      <c r="S945" s="749"/>
      <c r="T945" s="749"/>
      <c r="U945" s="749"/>
      <c r="V945" s="749"/>
      <c r="W945" s="749"/>
      <c r="X945" s="749"/>
      <c r="Y945" s="749"/>
      <c r="Z945" s="749"/>
      <c r="AA945" s="749"/>
      <c r="AB945" s="749"/>
      <c r="AC945" s="749"/>
      <c r="AD945" s="749"/>
      <c r="AG945"/>
      <c r="AH945">
        <f t="shared" si="385"/>
        <v>0</v>
      </c>
      <c r="AI945">
        <f t="shared" si="381"/>
        <v>0</v>
      </c>
      <c r="AK945">
        <f t="shared" si="382"/>
        <v>0</v>
      </c>
      <c r="AL945">
        <f t="shared" si="383"/>
        <v>0</v>
      </c>
      <c r="AM945">
        <f t="shared" si="384"/>
        <v>0</v>
      </c>
      <c r="CF945"/>
      <c r="CG945"/>
    </row>
    <row r="946" spans="1:85" ht="15" customHeight="1">
      <c r="A946" s="91"/>
      <c r="C946" s="1109"/>
      <c r="D946" s="874"/>
      <c r="E946" s="874"/>
      <c r="F946" s="1103" t="s">
        <v>5062</v>
      </c>
      <c r="G946" s="1103"/>
      <c r="H946" s="1104" t="s">
        <v>5063</v>
      </c>
      <c r="I946" s="1105"/>
      <c r="J946" s="1105"/>
      <c r="K946" s="1105"/>
      <c r="L946" s="1105"/>
      <c r="M946" s="1105"/>
      <c r="N946" s="1106"/>
      <c r="O946" s="749"/>
      <c r="P946" s="749"/>
      <c r="Q946" s="749"/>
      <c r="R946" s="749"/>
      <c r="S946" s="749"/>
      <c r="T946" s="749"/>
      <c r="U946" s="749"/>
      <c r="V946" s="749"/>
      <c r="W946" s="749"/>
      <c r="X946" s="749"/>
      <c r="Y946" s="749"/>
      <c r="Z946" s="749"/>
      <c r="AA946" s="749"/>
      <c r="AB946" s="749"/>
      <c r="AC946" s="749"/>
      <c r="AD946" s="749"/>
      <c r="AG946"/>
      <c r="AH946">
        <f t="shared" si="385"/>
        <v>0</v>
      </c>
      <c r="AI946">
        <f t="shared" si="381"/>
        <v>0</v>
      </c>
      <c r="AK946">
        <f t="shared" si="382"/>
        <v>0</v>
      </c>
      <c r="AL946">
        <f t="shared" si="383"/>
        <v>0</v>
      </c>
      <c r="AM946">
        <f t="shared" si="384"/>
        <v>0</v>
      </c>
      <c r="CF946"/>
      <c r="CG946"/>
    </row>
    <row r="947" spans="1:85" ht="36" customHeight="1">
      <c r="A947" s="91"/>
      <c r="C947" s="1109"/>
      <c r="D947" s="874"/>
      <c r="E947" s="874"/>
      <c r="F947" s="1103" t="s">
        <v>5064</v>
      </c>
      <c r="G947" s="1103"/>
      <c r="H947" s="1104" t="s">
        <v>5065</v>
      </c>
      <c r="I947" s="1105"/>
      <c r="J947" s="1105"/>
      <c r="K947" s="1105"/>
      <c r="L947" s="1105"/>
      <c r="M947" s="1105"/>
      <c r="N947" s="1106"/>
      <c r="O947" s="749"/>
      <c r="P947" s="749"/>
      <c r="Q947" s="749"/>
      <c r="R947" s="749"/>
      <c r="S947" s="749"/>
      <c r="T947" s="749"/>
      <c r="U947" s="749"/>
      <c r="V947" s="749"/>
      <c r="W947" s="749"/>
      <c r="X947" s="749"/>
      <c r="Y947" s="749"/>
      <c r="Z947" s="749"/>
      <c r="AA947" s="749"/>
      <c r="AB947" s="749"/>
      <c r="AC947" s="749"/>
      <c r="AD947" s="749"/>
      <c r="AG947">
        <f>IF(O947="NA",IF(AND(COUNTIF(O948:O954,"="&amp;$AG$821)=0,COUNTIF(O948:O954,"&lt;&gt;NA")&gt;0),1,0),IF(AND(COUNTIF(O948:O954,"="&amp;$AG$821)=0,COUNTIF(O948:O954,"NA")=COUNTIF(O948:O954,"&lt;&gt;"&amp;$AG$821)),1,0))</f>
        <v>0</v>
      </c>
      <c r="AH947">
        <f t="shared" si="385"/>
        <v>0</v>
      </c>
      <c r="AI947">
        <f t="shared" si="381"/>
        <v>0</v>
      </c>
      <c r="AK947">
        <f t="shared" si="382"/>
        <v>0</v>
      </c>
      <c r="AL947">
        <f t="shared" si="383"/>
        <v>0</v>
      </c>
      <c r="AM947">
        <f t="shared" si="384"/>
        <v>0</v>
      </c>
      <c r="CF947"/>
      <c r="CG947"/>
    </row>
    <row r="948" spans="1:85" ht="48" customHeight="1">
      <c r="A948" s="91"/>
      <c r="C948" s="1109"/>
      <c r="D948" s="874"/>
      <c r="E948" s="874"/>
      <c r="F948" s="1119" t="s">
        <v>5066</v>
      </c>
      <c r="G948" s="1120"/>
      <c r="H948" s="178"/>
      <c r="I948" s="1115" t="s">
        <v>5067</v>
      </c>
      <c r="J948" s="1115"/>
      <c r="K948" s="1115"/>
      <c r="L948" s="1115"/>
      <c r="M948" s="1115"/>
      <c r="N948" s="1116"/>
      <c r="O948" s="749"/>
      <c r="P948" s="749"/>
      <c r="Q948" s="749"/>
      <c r="R948" s="749"/>
      <c r="S948" s="749"/>
      <c r="T948" s="749"/>
      <c r="U948" s="749"/>
      <c r="V948" s="749"/>
      <c r="W948" s="749"/>
      <c r="X948" s="749"/>
      <c r="Y948" s="749"/>
      <c r="Z948" s="749"/>
      <c r="AA948" s="749"/>
      <c r="AB948" s="749"/>
      <c r="AC948" s="749"/>
      <c r="AD948" s="749"/>
      <c r="AG948"/>
      <c r="AH948">
        <f t="shared" si="385"/>
        <v>0</v>
      </c>
      <c r="AI948">
        <f t="shared" si="381"/>
        <v>0</v>
      </c>
      <c r="AK948">
        <f t="shared" si="382"/>
        <v>0</v>
      </c>
      <c r="AL948">
        <f t="shared" si="383"/>
        <v>0</v>
      </c>
      <c r="AM948">
        <f t="shared" si="384"/>
        <v>0</v>
      </c>
      <c r="CF948"/>
      <c r="CG948"/>
    </row>
    <row r="949" spans="1:85" ht="48" customHeight="1">
      <c r="A949" s="91"/>
      <c r="C949" s="1109"/>
      <c r="D949" s="874"/>
      <c r="E949" s="874"/>
      <c r="F949" s="1110" t="s">
        <v>5068</v>
      </c>
      <c r="G949" s="1110"/>
      <c r="H949" s="178"/>
      <c r="I949" s="1111" t="s">
        <v>5069</v>
      </c>
      <c r="J949" s="1111"/>
      <c r="K949" s="1111"/>
      <c r="L949" s="1111"/>
      <c r="M949" s="1111"/>
      <c r="N949" s="1112"/>
      <c r="O949" s="749"/>
      <c r="P949" s="749"/>
      <c r="Q949" s="749"/>
      <c r="R949" s="749"/>
      <c r="S949" s="749"/>
      <c r="T949" s="749"/>
      <c r="U949" s="749"/>
      <c r="V949" s="749"/>
      <c r="W949" s="749"/>
      <c r="X949" s="749"/>
      <c r="Y949" s="749"/>
      <c r="Z949" s="749"/>
      <c r="AA949" s="749"/>
      <c r="AB949" s="749"/>
      <c r="AC949" s="749"/>
      <c r="AD949" s="749"/>
      <c r="AG949"/>
      <c r="AH949">
        <f t="shared" si="385"/>
        <v>0</v>
      </c>
      <c r="AI949">
        <f t="shared" si="381"/>
        <v>0</v>
      </c>
      <c r="AK949">
        <f t="shared" si="382"/>
        <v>0</v>
      </c>
      <c r="AL949">
        <f t="shared" si="383"/>
        <v>0</v>
      </c>
      <c r="AM949">
        <f t="shared" si="384"/>
        <v>0</v>
      </c>
      <c r="CF949"/>
      <c r="CG949"/>
    </row>
    <row r="950" spans="1:85" ht="60" customHeight="1">
      <c r="A950" s="91"/>
      <c r="C950" s="1109"/>
      <c r="D950" s="874"/>
      <c r="E950" s="874"/>
      <c r="F950" s="1110" t="s">
        <v>5070</v>
      </c>
      <c r="G950" s="1110"/>
      <c r="H950" s="178"/>
      <c r="I950" s="1111" t="s">
        <v>5071</v>
      </c>
      <c r="J950" s="1111"/>
      <c r="K950" s="1111"/>
      <c r="L950" s="1111"/>
      <c r="M950" s="1111"/>
      <c r="N950" s="1112"/>
      <c r="O950" s="749"/>
      <c r="P950" s="749"/>
      <c r="Q950" s="749"/>
      <c r="R950" s="749"/>
      <c r="S950" s="749"/>
      <c r="T950" s="749"/>
      <c r="U950" s="749"/>
      <c r="V950" s="749"/>
      <c r="W950" s="749"/>
      <c r="X950" s="749"/>
      <c r="Y950" s="749"/>
      <c r="Z950" s="749"/>
      <c r="AA950" s="749"/>
      <c r="AB950" s="749"/>
      <c r="AC950" s="749"/>
      <c r="AD950" s="749"/>
      <c r="AG950"/>
      <c r="AH950">
        <f t="shared" si="385"/>
        <v>0</v>
      </c>
      <c r="AI950">
        <f t="shared" si="381"/>
        <v>0</v>
      </c>
      <c r="AK950">
        <f t="shared" si="382"/>
        <v>0</v>
      </c>
      <c r="AL950">
        <f t="shared" si="383"/>
        <v>0</v>
      </c>
      <c r="AM950">
        <f t="shared" si="384"/>
        <v>0</v>
      </c>
      <c r="CF950"/>
      <c r="CG950"/>
    </row>
    <row r="951" spans="1:85" ht="24" customHeight="1">
      <c r="A951" s="91"/>
      <c r="C951" s="1109"/>
      <c r="D951" s="874"/>
      <c r="E951" s="874"/>
      <c r="F951" s="1110" t="s">
        <v>5072</v>
      </c>
      <c r="G951" s="1110"/>
      <c r="H951" s="178"/>
      <c r="I951" s="1111" t="s">
        <v>5073</v>
      </c>
      <c r="J951" s="1111"/>
      <c r="K951" s="1111"/>
      <c r="L951" s="1111"/>
      <c r="M951" s="1111"/>
      <c r="N951" s="1112"/>
      <c r="O951" s="749"/>
      <c r="P951" s="749"/>
      <c r="Q951" s="749"/>
      <c r="R951" s="749"/>
      <c r="S951" s="749"/>
      <c r="T951" s="749"/>
      <c r="U951" s="749"/>
      <c r="V951" s="749"/>
      <c r="W951" s="749"/>
      <c r="X951" s="749"/>
      <c r="Y951" s="749"/>
      <c r="Z951" s="749"/>
      <c r="AA951" s="749"/>
      <c r="AB951" s="749"/>
      <c r="AC951" s="749"/>
      <c r="AD951" s="749"/>
      <c r="AG951"/>
      <c r="AH951">
        <f t="shared" si="385"/>
        <v>0</v>
      </c>
      <c r="AI951">
        <f t="shared" si="381"/>
        <v>0</v>
      </c>
      <c r="AK951">
        <f t="shared" si="382"/>
        <v>0</v>
      </c>
      <c r="AL951">
        <f t="shared" si="383"/>
        <v>0</v>
      </c>
      <c r="AM951">
        <f t="shared" si="384"/>
        <v>0</v>
      </c>
      <c r="CF951"/>
      <c r="CG951"/>
    </row>
    <row r="952" spans="1:85" ht="24" customHeight="1">
      <c r="A952" s="91"/>
      <c r="C952" s="1109"/>
      <c r="D952" s="874"/>
      <c r="E952" s="874"/>
      <c r="F952" s="1110" t="s">
        <v>5074</v>
      </c>
      <c r="G952" s="1110"/>
      <c r="H952" s="178"/>
      <c r="I952" s="1111" t="s">
        <v>5075</v>
      </c>
      <c r="J952" s="1111"/>
      <c r="K952" s="1111"/>
      <c r="L952" s="1111"/>
      <c r="M952" s="1111"/>
      <c r="N952" s="1112"/>
      <c r="O952" s="749"/>
      <c r="P952" s="749"/>
      <c r="Q952" s="749"/>
      <c r="R952" s="749"/>
      <c r="S952" s="749"/>
      <c r="T952" s="749"/>
      <c r="U952" s="749"/>
      <c r="V952" s="749"/>
      <c r="W952" s="749"/>
      <c r="X952" s="749"/>
      <c r="Y952" s="749"/>
      <c r="Z952" s="749"/>
      <c r="AA952" s="749"/>
      <c r="AB952" s="749"/>
      <c r="AC952" s="749"/>
      <c r="AD952" s="749"/>
      <c r="AG952"/>
      <c r="AH952">
        <f t="shared" si="385"/>
        <v>0</v>
      </c>
      <c r="AI952">
        <f t="shared" si="381"/>
        <v>0</v>
      </c>
      <c r="AK952">
        <f t="shared" si="382"/>
        <v>0</v>
      </c>
      <c r="AL952">
        <f t="shared" si="383"/>
        <v>0</v>
      </c>
      <c r="AM952">
        <f t="shared" si="384"/>
        <v>0</v>
      </c>
      <c r="CF952"/>
      <c r="CG952"/>
    </row>
    <row r="953" spans="1:85" ht="36" customHeight="1">
      <c r="A953" s="91"/>
      <c r="C953" s="1109"/>
      <c r="D953" s="874"/>
      <c r="E953" s="874"/>
      <c r="F953" s="1110" t="s">
        <v>5076</v>
      </c>
      <c r="G953" s="1110"/>
      <c r="H953" s="178"/>
      <c r="I953" s="1111" t="s">
        <v>5077</v>
      </c>
      <c r="J953" s="1111"/>
      <c r="K953" s="1111"/>
      <c r="L953" s="1111"/>
      <c r="M953" s="1111"/>
      <c r="N953" s="1112"/>
      <c r="O953" s="749"/>
      <c r="P953" s="749"/>
      <c r="Q953" s="749"/>
      <c r="R953" s="749"/>
      <c r="S953" s="749"/>
      <c r="T953" s="749"/>
      <c r="U953" s="749"/>
      <c r="V953" s="749"/>
      <c r="W953" s="749"/>
      <c r="X953" s="749"/>
      <c r="Y953" s="749"/>
      <c r="Z953" s="749"/>
      <c r="AA953" s="749"/>
      <c r="AB953" s="749"/>
      <c r="AC953" s="749"/>
      <c r="AD953" s="749"/>
      <c r="AG953"/>
      <c r="AH953">
        <f t="shared" si="385"/>
        <v>0</v>
      </c>
      <c r="AI953">
        <f t="shared" si="381"/>
        <v>0</v>
      </c>
      <c r="AK953">
        <f t="shared" si="382"/>
        <v>0</v>
      </c>
      <c r="AL953">
        <f t="shared" si="383"/>
        <v>0</v>
      </c>
      <c r="AM953">
        <f t="shared" si="384"/>
        <v>0</v>
      </c>
      <c r="CF953"/>
      <c r="CG953"/>
    </row>
    <row r="954" spans="1:85" ht="15" customHeight="1">
      <c r="A954" s="91"/>
      <c r="C954" s="1109"/>
      <c r="D954" s="874"/>
      <c r="E954" s="874"/>
      <c r="F954" s="1110" t="s">
        <v>5078</v>
      </c>
      <c r="G954" s="1110"/>
      <c r="H954" s="178"/>
      <c r="I954" s="1113" t="s">
        <v>201</v>
      </c>
      <c r="J954" s="1113"/>
      <c r="K954" s="1113"/>
      <c r="L954" s="1113"/>
      <c r="M954" s="1113"/>
      <c r="N954" s="1114"/>
      <c r="O954" s="749"/>
      <c r="P954" s="749"/>
      <c r="Q954" s="749"/>
      <c r="R954" s="749"/>
      <c r="S954" s="749"/>
      <c r="T954" s="749"/>
      <c r="U954" s="749"/>
      <c r="V954" s="749"/>
      <c r="W954" s="749"/>
      <c r="X954" s="749"/>
      <c r="Y954" s="749"/>
      <c r="Z954" s="749"/>
      <c r="AA954" s="749"/>
      <c r="AB954" s="749"/>
      <c r="AC954" s="749"/>
      <c r="AD954" s="749"/>
      <c r="AG954"/>
      <c r="AH954">
        <f t="shared" si="385"/>
        <v>0</v>
      </c>
      <c r="AI954">
        <f t="shared" si="381"/>
        <v>0</v>
      </c>
      <c r="AK954">
        <f t="shared" si="382"/>
        <v>0</v>
      </c>
      <c r="AL954">
        <f t="shared" si="383"/>
        <v>0</v>
      </c>
      <c r="AM954">
        <f t="shared" si="384"/>
        <v>0</v>
      </c>
      <c r="CF954"/>
      <c r="CG954"/>
    </row>
    <row r="955" spans="1:85" ht="24" customHeight="1">
      <c r="A955" s="91"/>
      <c r="C955" s="1109"/>
      <c r="D955" s="874"/>
      <c r="E955" s="874"/>
      <c r="F955" s="1103" t="s">
        <v>5079</v>
      </c>
      <c r="G955" s="1103"/>
      <c r="H955" s="1104" t="s">
        <v>5080</v>
      </c>
      <c r="I955" s="1105"/>
      <c r="J955" s="1105"/>
      <c r="K955" s="1105"/>
      <c r="L955" s="1105"/>
      <c r="M955" s="1105"/>
      <c r="N955" s="1106"/>
      <c r="O955" s="749"/>
      <c r="P955" s="749"/>
      <c r="Q955" s="749"/>
      <c r="R955" s="749"/>
      <c r="S955" s="749"/>
      <c r="T955" s="749"/>
      <c r="U955" s="749"/>
      <c r="V955" s="749"/>
      <c r="W955" s="749"/>
      <c r="X955" s="749"/>
      <c r="Y955" s="749"/>
      <c r="Z955" s="749"/>
      <c r="AA955" s="749"/>
      <c r="AB955" s="749"/>
      <c r="AC955" s="749"/>
      <c r="AD955" s="749"/>
      <c r="AG955"/>
      <c r="AH955">
        <f t="shared" si="385"/>
        <v>0</v>
      </c>
      <c r="AI955">
        <f t="shared" si="381"/>
        <v>0</v>
      </c>
      <c r="AK955">
        <f t="shared" si="382"/>
        <v>0</v>
      </c>
      <c r="AL955">
        <f t="shared" si="383"/>
        <v>0</v>
      </c>
      <c r="AM955">
        <f t="shared" si="384"/>
        <v>0</v>
      </c>
      <c r="CF955"/>
      <c r="CG955"/>
    </row>
    <row r="956" spans="1:85" ht="15" customHeight="1">
      <c r="A956" s="91"/>
      <c r="C956" s="1109"/>
      <c r="D956" s="874"/>
      <c r="E956" s="874"/>
      <c r="F956" s="1103" t="s">
        <v>5081</v>
      </c>
      <c r="G956" s="1103"/>
      <c r="H956" s="1104" t="s">
        <v>5082</v>
      </c>
      <c r="I956" s="1105"/>
      <c r="J956" s="1105"/>
      <c r="K956" s="1105"/>
      <c r="L956" s="1105"/>
      <c r="M956" s="1105"/>
      <c r="N956" s="1106"/>
      <c r="O956" s="749"/>
      <c r="P956" s="749"/>
      <c r="Q956" s="749"/>
      <c r="R956" s="749"/>
      <c r="S956" s="749"/>
      <c r="T956" s="749"/>
      <c r="U956" s="749"/>
      <c r="V956" s="749"/>
      <c r="W956" s="749"/>
      <c r="X956" s="749"/>
      <c r="Y956" s="749"/>
      <c r="Z956" s="749"/>
      <c r="AA956" s="749"/>
      <c r="AB956" s="749"/>
      <c r="AC956" s="749"/>
      <c r="AD956" s="749"/>
      <c r="AG956">
        <f>IF(O956="NA",IF(AND(COUNTIF(O957:O959,"="&amp;$AG$821)=0,COUNTIF(O957:O959,"&lt;&gt;NA")&gt;0),1,0),IF(AND(COUNTIF(O957:O959,"="&amp;$AG$821)=0,COUNTIF(O957:O959,"NA")=COUNTIF(O957:O959,"&lt;&gt;"&amp;$AG$821)),1,0))</f>
        <v>0</v>
      </c>
      <c r="AH956">
        <f t="shared" si="385"/>
        <v>0</v>
      </c>
      <c r="AI956">
        <f t="shared" si="381"/>
        <v>0</v>
      </c>
      <c r="AK956">
        <f t="shared" si="382"/>
        <v>0</v>
      </c>
      <c r="AL956">
        <f t="shared" si="383"/>
        <v>0</v>
      </c>
      <c r="AM956">
        <f t="shared" si="384"/>
        <v>0</v>
      </c>
      <c r="CF956"/>
      <c r="CG956"/>
    </row>
    <row r="957" spans="1:85" ht="15" customHeight="1">
      <c r="A957" s="91"/>
      <c r="C957" s="1109"/>
      <c r="D957" s="874"/>
      <c r="E957" s="874"/>
      <c r="F957" s="1110" t="s">
        <v>5083</v>
      </c>
      <c r="G957" s="1110"/>
      <c r="H957" s="178"/>
      <c r="I957" s="1115" t="s">
        <v>5084</v>
      </c>
      <c r="J957" s="1115"/>
      <c r="K957" s="1115"/>
      <c r="L957" s="1115"/>
      <c r="M957" s="1115"/>
      <c r="N957" s="1116"/>
      <c r="O957" s="749"/>
      <c r="P957" s="749"/>
      <c r="Q957" s="749"/>
      <c r="R957" s="749"/>
      <c r="S957" s="749"/>
      <c r="T957" s="749"/>
      <c r="U957" s="749"/>
      <c r="V957" s="749"/>
      <c r="W957" s="749"/>
      <c r="X957" s="749"/>
      <c r="Y957" s="749"/>
      <c r="Z957" s="749"/>
      <c r="AA957" s="749"/>
      <c r="AB957" s="749"/>
      <c r="AC957" s="749"/>
      <c r="AD957" s="749"/>
      <c r="AG957"/>
      <c r="AH957">
        <f t="shared" si="385"/>
        <v>0</v>
      </c>
      <c r="AI957">
        <f t="shared" si="381"/>
        <v>0</v>
      </c>
      <c r="AK957">
        <f t="shared" si="382"/>
        <v>0</v>
      </c>
      <c r="AL957">
        <f t="shared" si="383"/>
        <v>0</v>
      </c>
      <c r="AM957">
        <f t="shared" si="384"/>
        <v>0</v>
      </c>
      <c r="CF957"/>
      <c r="CG957"/>
    </row>
    <row r="958" spans="1:85" ht="24" customHeight="1">
      <c r="A958" s="91"/>
      <c r="C958" s="1109"/>
      <c r="D958" s="874"/>
      <c r="E958" s="874"/>
      <c r="F958" s="1110" t="s">
        <v>5085</v>
      </c>
      <c r="G958" s="1110"/>
      <c r="H958" s="178"/>
      <c r="I958" s="1111" t="s">
        <v>5086</v>
      </c>
      <c r="J958" s="1111"/>
      <c r="K958" s="1111"/>
      <c r="L958" s="1111"/>
      <c r="M958" s="1111"/>
      <c r="N958" s="1112"/>
      <c r="O958" s="749"/>
      <c r="P958" s="749"/>
      <c r="Q958" s="749"/>
      <c r="R958" s="749"/>
      <c r="S958" s="749"/>
      <c r="T958" s="749"/>
      <c r="U958" s="749"/>
      <c r="V958" s="749"/>
      <c r="W958" s="749"/>
      <c r="X958" s="749"/>
      <c r="Y958" s="749"/>
      <c r="Z958" s="749"/>
      <c r="AA958" s="749"/>
      <c r="AB958" s="749"/>
      <c r="AC958" s="749"/>
      <c r="AD958" s="749"/>
      <c r="AG958"/>
      <c r="AH958">
        <f t="shared" si="385"/>
        <v>0</v>
      </c>
      <c r="AI958">
        <f t="shared" si="381"/>
        <v>0</v>
      </c>
      <c r="AK958">
        <f t="shared" si="382"/>
        <v>0</v>
      </c>
      <c r="AL958">
        <f t="shared" si="383"/>
        <v>0</v>
      </c>
      <c r="AM958">
        <f t="shared" si="384"/>
        <v>0</v>
      </c>
      <c r="CF958"/>
      <c r="CG958"/>
    </row>
    <row r="959" spans="1:85" ht="15" customHeight="1">
      <c r="A959" s="91"/>
      <c r="C959" s="1109"/>
      <c r="D959" s="874"/>
      <c r="E959" s="874"/>
      <c r="F959" s="1110" t="s">
        <v>5087</v>
      </c>
      <c r="G959" s="1110"/>
      <c r="H959" s="178"/>
      <c r="I959" s="1113" t="s">
        <v>201</v>
      </c>
      <c r="J959" s="1113"/>
      <c r="K959" s="1113"/>
      <c r="L959" s="1113"/>
      <c r="M959" s="1113"/>
      <c r="N959" s="1114"/>
      <c r="O959" s="749"/>
      <c r="P959" s="749"/>
      <c r="Q959" s="749"/>
      <c r="R959" s="749"/>
      <c r="S959" s="749"/>
      <c r="T959" s="749"/>
      <c r="U959" s="749"/>
      <c r="V959" s="749"/>
      <c r="W959" s="749"/>
      <c r="X959" s="749"/>
      <c r="Y959" s="749"/>
      <c r="Z959" s="749"/>
      <c r="AA959" s="749"/>
      <c r="AB959" s="749"/>
      <c r="AC959" s="749"/>
      <c r="AD959" s="749"/>
      <c r="AG959"/>
      <c r="AH959">
        <f t="shared" si="385"/>
        <v>0</v>
      </c>
      <c r="AI959">
        <f t="shared" si="381"/>
        <v>0</v>
      </c>
      <c r="AK959">
        <f t="shared" si="382"/>
        <v>0</v>
      </c>
      <c r="AL959">
        <f t="shared" si="383"/>
        <v>0</v>
      </c>
      <c r="AM959">
        <f t="shared" si="384"/>
        <v>0</v>
      </c>
      <c r="CF959"/>
      <c r="CG959"/>
    </row>
    <row r="960" spans="1:85" ht="24" customHeight="1">
      <c r="A960" s="91"/>
      <c r="C960" s="1109"/>
      <c r="D960" s="874"/>
      <c r="E960" s="874"/>
      <c r="F960" s="1103" t="s">
        <v>5088</v>
      </c>
      <c r="G960" s="1103"/>
      <c r="H960" s="1104" t="s">
        <v>5089</v>
      </c>
      <c r="I960" s="1105"/>
      <c r="J960" s="1105"/>
      <c r="K960" s="1105"/>
      <c r="L960" s="1105"/>
      <c r="M960" s="1105"/>
      <c r="N960" s="1106"/>
      <c r="O960" s="749"/>
      <c r="P960" s="749"/>
      <c r="Q960" s="749"/>
      <c r="R960" s="749"/>
      <c r="S960" s="749"/>
      <c r="T960" s="749"/>
      <c r="U960" s="749"/>
      <c r="V960" s="749"/>
      <c r="W960" s="749"/>
      <c r="X960" s="749"/>
      <c r="Y960" s="749"/>
      <c r="Z960" s="749"/>
      <c r="AA960" s="749"/>
      <c r="AB960" s="749"/>
      <c r="AC960" s="749"/>
      <c r="AD960" s="749"/>
      <c r="AG960"/>
      <c r="AH960">
        <f t="shared" si="385"/>
        <v>0</v>
      </c>
      <c r="AI960">
        <f t="shared" si="381"/>
        <v>0</v>
      </c>
      <c r="AK960">
        <f t="shared" si="382"/>
        <v>0</v>
      </c>
      <c r="AL960">
        <f t="shared" si="383"/>
        <v>0</v>
      </c>
      <c r="AM960">
        <f t="shared" si="384"/>
        <v>0</v>
      </c>
      <c r="CF960"/>
      <c r="CG960"/>
    </row>
    <row r="961" spans="1:85" ht="36" customHeight="1">
      <c r="A961" s="91"/>
      <c r="C961" s="1109"/>
      <c r="D961" s="874"/>
      <c r="E961" s="874"/>
      <c r="F961" s="1103" t="s">
        <v>5090</v>
      </c>
      <c r="G961" s="1103"/>
      <c r="H961" s="1104" t="s">
        <v>5091</v>
      </c>
      <c r="I961" s="1105"/>
      <c r="J961" s="1105"/>
      <c r="K961" s="1105"/>
      <c r="L961" s="1105"/>
      <c r="M961" s="1105"/>
      <c r="N961" s="1106"/>
      <c r="O961" s="749"/>
      <c r="P961" s="749"/>
      <c r="Q961" s="749"/>
      <c r="R961" s="749"/>
      <c r="S961" s="749"/>
      <c r="T961" s="749"/>
      <c r="U961" s="749"/>
      <c r="V961" s="749"/>
      <c r="W961" s="749"/>
      <c r="X961" s="749"/>
      <c r="Y961" s="749"/>
      <c r="Z961" s="749"/>
      <c r="AA961" s="749"/>
      <c r="AB961" s="749"/>
      <c r="AC961" s="749"/>
      <c r="AD961" s="749"/>
      <c r="AG961"/>
      <c r="AH961">
        <f t="shared" si="385"/>
        <v>0</v>
      </c>
      <c r="AI961">
        <f t="shared" si="381"/>
        <v>0</v>
      </c>
      <c r="AK961">
        <f t="shared" si="382"/>
        <v>0</v>
      </c>
      <c r="AL961">
        <f t="shared" si="383"/>
        <v>0</v>
      </c>
      <c r="AM961">
        <f t="shared" si="384"/>
        <v>0</v>
      </c>
      <c r="CF961"/>
      <c r="CG961"/>
    </row>
    <row r="962" spans="1:85" ht="24" customHeight="1">
      <c r="A962" s="91"/>
      <c r="C962" s="1109"/>
      <c r="D962" s="874"/>
      <c r="E962" s="874"/>
      <c r="F962" s="1103" t="s">
        <v>5092</v>
      </c>
      <c r="G962" s="1103"/>
      <c r="H962" s="1104" t="s">
        <v>5093</v>
      </c>
      <c r="I962" s="1105"/>
      <c r="J962" s="1105"/>
      <c r="K962" s="1105"/>
      <c r="L962" s="1105"/>
      <c r="M962" s="1105"/>
      <c r="N962" s="1106"/>
      <c r="O962" s="749"/>
      <c r="P962" s="749"/>
      <c r="Q962" s="749"/>
      <c r="R962" s="749"/>
      <c r="S962" s="749"/>
      <c r="T962" s="749"/>
      <c r="U962" s="749"/>
      <c r="V962" s="749"/>
      <c r="W962" s="749"/>
      <c r="X962" s="749"/>
      <c r="Y962" s="749"/>
      <c r="Z962" s="749"/>
      <c r="AA962" s="749"/>
      <c r="AB962" s="749"/>
      <c r="AC962" s="749"/>
      <c r="AD962" s="749"/>
      <c r="AG962"/>
      <c r="AH962">
        <f t="shared" si="385"/>
        <v>0</v>
      </c>
      <c r="AI962">
        <f t="shared" si="381"/>
        <v>0</v>
      </c>
      <c r="AK962">
        <f t="shared" si="382"/>
        <v>0</v>
      </c>
      <c r="AL962">
        <f t="shared" si="383"/>
        <v>0</v>
      </c>
      <c r="AM962">
        <f t="shared" si="384"/>
        <v>0</v>
      </c>
      <c r="CF962"/>
      <c r="CG962"/>
    </row>
    <row r="963" spans="1:85" ht="24" customHeight="1">
      <c r="A963" s="91"/>
      <c r="C963" s="1109"/>
      <c r="D963" s="874"/>
      <c r="E963" s="874"/>
      <c r="F963" s="1103" t="s">
        <v>5094</v>
      </c>
      <c r="G963" s="1103"/>
      <c r="H963" s="1104" t="s">
        <v>5095</v>
      </c>
      <c r="I963" s="1105"/>
      <c r="J963" s="1105"/>
      <c r="K963" s="1105"/>
      <c r="L963" s="1105"/>
      <c r="M963" s="1105"/>
      <c r="N963" s="1106"/>
      <c r="O963" s="749"/>
      <c r="P963" s="749"/>
      <c r="Q963" s="749"/>
      <c r="R963" s="749"/>
      <c r="S963" s="749"/>
      <c r="T963" s="749"/>
      <c r="U963" s="749"/>
      <c r="V963" s="749"/>
      <c r="W963" s="749"/>
      <c r="X963" s="749"/>
      <c r="Y963" s="749"/>
      <c r="Z963" s="749"/>
      <c r="AA963" s="749"/>
      <c r="AB963" s="749"/>
      <c r="AC963" s="749"/>
      <c r="AD963" s="749"/>
      <c r="AG963"/>
      <c r="AH963">
        <f t="shared" si="385"/>
        <v>0</v>
      </c>
      <c r="AI963">
        <f t="shared" si="381"/>
        <v>0</v>
      </c>
      <c r="AK963">
        <f t="shared" si="382"/>
        <v>0</v>
      </c>
      <c r="AL963">
        <f t="shared" si="383"/>
        <v>0</v>
      </c>
      <c r="AM963">
        <f t="shared" si="384"/>
        <v>0</v>
      </c>
      <c r="CF963"/>
      <c r="CG963"/>
    </row>
    <row r="964" spans="1:85" ht="15" customHeight="1">
      <c r="A964" s="91"/>
      <c r="C964" s="1109"/>
      <c r="D964" s="874"/>
      <c r="E964" s="874"/>
      <c r="F964" s="1103" t="s">
        <v>5096</v>
      </c>
      <c r="G964" s="1103"/>
      <c r="H964" s="1104" t="s">
        <v>5097</v>
      </c>
      <c r="I964" s="1105"/>
      <c r="J964" s="1105"/>
      <c r="K964" s="1105"/>
      <c r="L964" s="1105"/>
      <c r="M964" s="1105"/>
      <c r="N964" s="1106"/>
      <c r="O964" s="749"/>
      <c r="P964" s="749"/>
      <c r="Q964" s="749"/>
      <c r="R964" s="749"/>
      <c r="S964" s="749"/>
      <c r="T964" s="749"/>
      <c r="U964" s="749"/>
      <c r="V964" s="749"/>
      <c r="W964" s="749"/>
      <c r="X964" s="749"/>
      <c r="Y964" s="749"/>
      <c r="Z964" s="749"/>
      <c r="AA964" s="749"/>
      <c r="AB964" s="749"/>
      <c r="AC964" s="749"/>
      <c r="AD964" s="749"/>
      <c r="AG964"/>
      <c r="AH964">
        <f t="shared" si="385"/>
        <v>0</v>
      </c>
      <c r="AI964">
        <f t="shared" si="381"/>
        <v>0</v>
      </c>
      <c r="AK964">
        <f t="shared" si="382"/>
        <v>0</v>
      </c>
      <c r="AL964">
        <f t="shared" si="383"/>
        <v>0</v>
      </c>
      <c r="AM964">
        <f t="shared" si="384"/>
        <v>0</v>
      </c>
      <c r="CF964"/>
      <c r="CG964"/>
    </row>
    <row r="965" spans="1:85" ht="24" customHeight="1">
      <c r="A965" s="91"/>
      <c r="C965" s="1109"/>
      <c r="D965" s="874"/>
      <c r="E965" s="874"/>
      <c r="F965" s="1103" t="s">
        <v>5098</v>
      </c>
      <c r="G965" s="1103"/>
      <c r="H965" s="1104" t="s">
        <v>5099</v>
      </c>
      <c r="I965" s="1105"/>
      <c r="J965" s="1105"/>
      <c r="K965" s="1105"/>
      <c r="L965" s="1105"/>
      <c r="M965" s="1105"/>
      <c r="N965" s="1106"/>
      <c r="O965" s="749"/>
      <c r="P965" s="749"/>
      <c r="Q965" s="749"/>
      <c r="R965" s="749"/>
      <c r="S965" s="749"/>
      <c r="T965" s="749"/>
      <c r="U965" s="749"/>
      <c r="V965" s="749"/>
      <c r="W965" s="749"/>
      <c r="X965" s="749"/>
      <c r="Y965" s="749"/>
      <c r="Z965" s="749"/>
      <c r="AA965" s="749"/>
      <c r="AB965" s="749"/>
      <c r="AC965" s="749"/>
      <c r="AD965" s="749"/>
      <c r="AG965"/>
      <c r="AH965">
        <f t="shared" si="385"/>
        <v>0</v>
      </c>
      <c r="AI965">
        <f t="shared" si="381"/>
        <v>0</v>
      </c>
      <c r="AK965">
        <f t="shared" si="382"/>
        <v>0</v>
      </c>
      <c r="AL965">
        <f t="shared" si="383"/>
        <v>0</v>
      </c>
      <c r="AM965">
        <f t="shared" si="384"/>
        <v>0</v>
      </c>
      <c r="CF965"/>
      <c r="CG965"/>
    </row>
    <row r="966" spans="1:85" ht="15" customHeight="1">
      <c r="A966" s="91"/>
      <c r="C966" s="1109"/>
      <c r="D966" s="874"/>
      <c r="E966" s="874"/>
      <c r="F966" s="1103" t="s">
        <v>5100</v>
      </c>
      <c r="G966" s="1103"/>
      <c r="H966" s="1104" t="s">
        <v>5101</v>
      </c>
      <c r="I966" s="1105"/>
      <c r="J966" s="1105"/>
      <c r="K966" s="1105"/>
      <c r="L966" s="1105"/>
      <c r="M966" s="1105"/>
      <c r="N966" s="1106"/>
      <c r="O966" s="749"/>
      <c r="P966" s="749"/>
      <c r="Q966" s="749"/>
      <c r="R966" s="749"/>
      <c r="S966" s="749"/>
      <c r="T966" s="749"/>
      <c r="U966" s="749"/>
      <c r="V966" s="749"/>
      <c r="W966" s="749"/>
      <c r="X966" s="749"/>
      <c r="Y966" s="749"/>
      <c r="Z966" s="749"/>
      <c r="AA966" s="749"/>
      <c r="AB966" s="749"/>
      <c r="AC966" s="749"/>
      <c r="AD966" s="749"/>
      <c r="AG966"/>
      <c r="AH966">
        <f t="shared" si="385"/>
        <v>0</v>
      </c>
      <c r="AI966">
        <f t="shared" si="381"/>
        <v>0</v>
      </c>
      <c r="AK966">
        <f t="shared" si="382"/>
        <v>0</v>
      </c>
      <c r="AL966">
        <f t="shared" si="383"/>
        <v>0</v>
      </c>
      <c r="AM966">
        <f t="shared" si="384"/>
        <v>0</v>
      </c>
      <c r="CF966"/>
      <c r="CG966"/>
    </row>
    <row r="967" spans="1:85" ht="24" customHeight="1">
      <c r="A967" s="91"/>
      <c r="C967" s="1109"/>
      <c r="D967" s="874"/>
      <c r="E967" s="874"/>
      <c r="F967" s="1103" t="s">
        <v>5102</v>
      </c>
      <c r="G967" s="1103"/>
      <c r="H967" s="1104" t="s">
        <v>5103</v>
      </c>
      <c r="I967" s="1105"/>
      <c r="J967" s="1105"/>
      <c r="K967" s="1105"/>
      <c r="L967" s="1105"/>
      <c r="M967" s="1105"/>
      <c r="N967" s="1106"/>
      <c r="O967" s="749"/>
      <c r="P967" s="749"/>
      <c r="Q967" s="749"/>
      <c r="R967" s="749"/>
      <c r="S967" s="749"/>
      <c r="T967" s="749"/>
      <c r="U967" s="749"/>
      <c r="V967" s="749"/>
      <c r="W967" s="749"/>
      <c r="X967" s="749"/>
      <c r="Y967" s="749"/>
      <c r="Z967" s="749"/>
      <c r="AA967" s="749"/>
      <c r="AB967" s="749"/>
      <c r="AC967" s="749"/>
      <c r="AD967" s="749"/>
      <c r="AG967"/>
      <c r="AH967">
        <f t="shared" si="385"/>
        <v>0</v>
      </c>
      <c r="AI967">
        <f t="shared" si="381"/>
        <v>0</v>
      </c>
      <c r="AK967">
        <f t="shared" si="382"/>
        <v>0</v>
      </c>
      <c r="AL967">
        <f t="shared" si="383"/>
        <v>0</v>
      </c>
      <c r="AM967">
        <f t="shared" si="384"/>
        <v>0</v>
      </c>
      <c r="CF967"/>
      <c r="CG967"/>
    </row>
    <row r="968" spans="1:85" ht="36" customHeight="1">
      <c r="A968" s="91"/>
      <c r="C968" s="1109"/>
      <c r="D968" s="874"/>
      <c r="E968" s="874"/>
      <c r="F968" s="1103" t="s">
        <v>5104</v>
      </c>
      <c r="G968" s="1103"/>
      <c r="H968" s="1104" t="s">
        <v>5105</v>
      </c>
      <c r="I968" s="1105"/>
      <c r="J968" s="1105"/>
      <c r="K968" s="1105"/>
      <c r="L968" s="1105"/>
      <c r="M968" s="1105"/>
      <c r="N968" s="1106"/>
      <c r="O968" s="749"/>
      <c r="P968" s="749"/>
      <c r="Q968" s="749"/>
      <c r="R968" s="749"/>
      <c r="S968" s="749"/>
      <c r="T968" s="749"/>
      <c r="U968" s="749"/>
      <c r="V968" s="749"/>
      <c r="W968" s="749"/>
      <c r="X968" s="749"/>
      <c r="Y968" s="749"/>
      <c r="Z968" s="749"/>
      <c r="AA968" s="749"/>
      <c r="AB968" s="749"/>
      <c r="AC968" s="749"/>
      <c r="AD968" s="749"/>
      <c r="AG968">
        <f>IF(O968="NA",IF(AND(COUNTIF(O969:O973,"="&amp;$AG$821)=0,COUNTIF(O969:O973,"&lt;&gt;NA")&gt;0),1,0),IF(AND(COUNTIF(O969:O973,"="&amp;$AG$821)=0,COUNTIF(O969:O973,"NA")=COUNTIF(O969:O973,"&lt;&gt;"&amp;$AG$821)),1,0))</f>
        <v>0</v>
      </c>
      <c r="AH968">
        <f t="shared" si="385"/>
        <v>0</v>
      </c>
      <c r="AI968">
        <f t="shared" si="381"/>
        <v>0</v>
      </c>
      <c r="AK968">
        <f t="shared" si="382"/>
        <v>0</v>
      </c>
      <c r="AL968">
        <f t="shared" si="383"/>
        <v>0</v>
      </c>
      <c r="AM968">
        <f t="shared" si="384"/>
        <v>0</v>
      </c>
      <c r="CF968"/>
      <c r="CG968"/>
    </row>
    <row r="969" spans="1:85" ht="24" customHeight="1">
      <c r="A969" s="91"/>
      <c r="C969" s="1109"/>
      <c r="D969" s="874"/>
      <c r="E969" s="874"/>
      <c r="F969" s="1119" t="s">
        <v>5106</v>
      </c>
      <c r="G969" s="1120"/>
      <c r="H969" s="178"/>
      <c r="I969" s="1115" t="s">
        <v>5107</v>
      </c>
      <c r="J969" s="1115"/>
      <c r="K969" s="1115"/>
      <c r="L969" s="1115"/>
      <c r="M969" s="1115"/>
      <c r="N969" s="1116"/>
      <c r="O969" s="749"/>
      <c r="P969" s="749"/>
      <c r="Q969" s="749"/>
      <c r="R969" s="749"/>
      <c r="S969" s="749"/>
      <c r="T969" s="749"/>
      <c r="U969" s="749"/>
      <c r="V969" s="749"/>
      <c r="W969" s="749"/>
      <c r="X969" s="749"/>
      <c r="Y969" s="749"/>
      <c r="Z969" s="749"/>
      <c r="AA969" s="749"/>
      <c r="AB969" s="749"/>
      <c r="AC969" s="749"/>
      <c r="AD969" s="749"/>
      <c r="AG969"/>
      <c r="AH969">
        <f t="shared" si="385"/>
        <v>0</v>
      </c>
      <c r="AI969">
        <f t="shared" si="381"/>
        <v>0</v>
      </c>
      <c r="AK969">
        <f t="shared" si="382"/>
        <v>0</v>
      </c>
      <c r="AL969">
        <f t="shared" si="383"/>
        <v>0</v>
      </c>
      <c r="AM969">
        <f t="shared" si="384"/>
        <v>0</v>
      </c>
      <c r="CF969"/>
      <c r="CG969"/>
    </row>
    <row r="970" spans="1:85" ht="15" customHeight="1">
      <c r="A970" s="91"/>
      <c r="C970" s="1109"/>
      <c r="D970" s="874"/>
      <c r="E970" s="874"/>
      <c r="F970" s="1119" t="s">
        <v>5108</v>
      </c>
      <c r="G970" s="1120"/>
      <c r="H970" s="178"/>
      <c r="I970" s="1111" t="s">
        <v>5109</v>
      </c>
      <c r="J970" s="1111"/>
      <c r="K970" s="1111"/>
      <c r="L970" s="1111"/>
      <c r="M970" s="1111"/>
      <c r="N970" s="1112"/>
      <c r="O970" s="749"/>
      <c r="P970" s="749"/>
      <c r="Q970" s="749"/>
      <c r="R970" s="749"/>
      <c r="S970" s="749"/>
      <c r="T970" s="749"/>
      <c r="U970" s="749"/>
      <c r="V970" s="749"/>
      <c r="W970" s="749"/>
      <c r="X970" s="749"/>
      <c r="Y970" s="749"/>
      <c r="Z970" s="749"/>
      <c r="AA970" s="749"/>
      <c r="AB970" s="749"/>
      <c r="AC970" s="749"/>
      <c r="AD970" s="749"/>
      <c r="AG970"/>
      <c r="AH970">
        <f t="shared" si="385"/>
        <v>0</v>
      </c>
      <c r="AI970">
        <f t="shared" si="381"/>
        <v>0</v>
      </c>
      <c r="AK970">
        <f t="shared" si="382"/>
        <v>0</v>
      </c>
      <c r="AL970">
        <f t="shared" si="383"/>
        <v>0</v>
      </c>
      <c r="AM970">
        <f t="shared" si="384"/>
        <v>0</v>
      </c>
      <c r="CF970"/>
      <c r="CG970"/>
    </row>
    <row r="971" spans="1:85" ht="36" customHeight="1">
      <c r="A971" s="91"/>
      <c r="C971" s="1109"/>
      <c r="D971" s="874"/>
      <c r="E971" s="874"/>
      <c r="F971" s="1119" t="s">
        <v>5110</v>
      </c>
      <c r="G971" s="1120"/>
      <c r="H971" s="178"/>
      <c r="I971" s="1111" t="s">
        <v>5111</v>
      </c>
      <c r="J971" s="1111"/>
      <c r="K971" s="1111"/>
      <c r="L971" s="1111"/>
      <c r="M971" s="1111"/>
      <c r="N971" s="1112"/>
      <c r="O971" s="749"/>
      <c r="P971" s="749"/>
      <c r="Q971" s="749"/>
      <c r="R971" s="749"/>
      <c r="S971" s="749"/>
      <c r="T971" s="749"/>
      <c r="U971" s="749"/>
      <c r="V971" s="749"/>
      <c r="W971" s="749"/>
      <c r="X971" s="749"/>
      <c r="Y971" s="749"/>
      <c r="Z971" s="749"/>
      <c r="AA971" s="749"/>
      <c r="AB971" s="749"/>
      <c r="AC971" s="749"/>
      <c r="AD971" s="749"/>
      <c r="AG971"/>
      <c r="AH971">
        <f t="shared" si="385"/>
        <v>0</v>
      </c>
      <c r="AI971">
        <f t="shared" si="381"/>
        <v>0</v>
      </c>
      <c r="AK971">
        <f t="shared" si="382"/>
        <v>0</v>
      </c>
      <c r="AL971">
        <f t="shared" si="383"/>
        <v>0</v>
      </c>
      <c r="AM971">
        <f t="shared" si="384"/>
        <v>0</v>
      </c>
      <c r="CF971"/>
      <c r="CG971"/>
    </row>
    <row r="972" spans="1:85" ht="48" customHeight="1">
      <c r="A972" s="91"/>
      <c r="C972" s="1109"/>
      <c r="D972" s="874"/>
      <c r="E972" s="874"/>
      <c r="F972" s="1119" t="s">
        <v>5112</v>
      </c>
      <c r="G972" s="1120"/>
      <c r="H972" s="178"/>
      <c r="I972" s="1111" t="s">
        <v>5113</v>
      </c>
      <c r="J972" s="1111"/>
      <c r="K972" s="1111"/>
      <c r="L972" s="1111"/>
      <c r="M972" s="1111"/>
      <c r="N972" s="1112"/>
      <c r="O972" s="749"/>
      <c r="P972" s="749"/>
      <c r="Q972" s="749"/>
      <c r="R972" s="749"/>
      <c r="S972" s="749"/>
      <c r="T972" s="749"/>
      <c r="U972" s="749"/>
      <c r="V972" s="749"/>
      <c r="W972" s="749"/>
      <c r="X972" s="749"/>
      <c r="Y972" s="749"/>
      <c r="Z972" s="749"/>
      <c r="AA972" s="749"/>
      <c r="AB972" s="749"/>
      <c r="AC972" s="749"/>
      <c r="AD972" s="749"/>
      <c r="AG972"/>
      <c r="AH972">
        <f t="shared" si="385"/>
        <v>0</v>
      </c>
      <c r="AI972">
        <f t="shared" si="381"/>
        <v>0</v>
      </c>
      <c r="AK972">
        <f t="shared" si="382"/>
        <v>0</v>
      </c>
      <c r="AL972">
        <f t="shared" si="383"/>
        <v>0</v>
      </c>
      <c r="AM972">
        <f t="shared" si="384"/>
        <v>0</v>
      </c>
      <c r="CF972"/>
      <c r="CG972"/>
    </row>
    <row r="973" spans="1:85" ht="15" customHeight="1">
      <c r="A973" s="91"/>
      <c r="C973" s="1109"/>
      <c r="D973" s="874"/>
      <c r="E973" s="874"/>
      <c r="F973" s="1119" t="s">
        <v>5114</v>
      </c>
      <c r="G973" s="1120"/>
      <c r="H973" s="178"/>
      <c r="I973" s="1113" t="s">
        <v>201</v>
      </c>
      <c r="J973" s="1113"/>
      <c r="K973" s="1113"/>
      <c r="L973" s="1113"/>
      <c r="M973" s="1113"/>
      <c r="N973" s="1114"/>
      <c r="O973" s="749"/>
      <c r="P973" s="749"/>
      <c r="Q973" s="749"/>
      <c r="R973" s="749"/>
      <c r="S973" s="749"/>
      <c r="T973" s="749"/>
      <c r="U973" s="749"/>
      <c r="V973" s="749"/>
      <c r="W973" s="749"/>
      <c r="X973" s="749"/>
      <c r="Y973" s="749"/>
      <c r="Z973" s="749"/>
      <c r="AA973" s="749"/>
      <c r="AB973" s="749"/>
      <c r="AC973" s="749"/>
      <c r="AD973" s="749"/>
      <c r="AG973"/>
      <c r="AH973">
        <f t="shared" si="385"/>
        <v>0</v>
      </c>
      <c r="AI973">
        <f t="shared" si="381"/>
        <v>0</v>
      </c>
      <c r="AK973">
        <f t="shared" si="382"/>
        <v>0</v>
      </c>
      <c r="AL973">
        <f t="shared" si="383"/>
        <v>0</v>
      </c>
      <c r="AM973">
        <f t="shared" si="384"/>
        <v>0</v>
      </c>
      <c r="CF973"/>
      <c r="CG973"/>
    </row>
    <row r="974" spans="1:85" ht="24" customHeight="1">
      <c r="A974" s="91"/>
      <c r="C974" s="1109"/>
      <c r="D974" s="874"/>
      <c r="E974" s="874"/>
      <c r="F974" s="1103" t="s">
        <v>5115</v>
      </c>
      <c r="G974" s="1103"/>
      <c r="H974" s="1104" t="s">
        <v>5116</v>
      </c>
      <c r="I974" s="1105"/>
      <c r="J974" s="1105"/>
      <c r="K974" s="1105"/>
      <c r="L974" s="1105"/>
      <c r="M974" s="1105"/>
      <c r="N974" s="1106"/>
      <c r="O974" s="749"/>
      <c r="P974" s="749"/>
      <c r="Q974" s="749"/>
      <c r="R974" s="749"/>
      <c r="S974" s="749"/>
      <c r="T974" s="749"/>
      <c r="U974" s="749"/>
      <c r="V974" s="749"/>
      <c r="W974" s="749"/>
      <c r="X974" s="749"/>
      <c r="Y974" s="749"/>
      <c r="Z974" s="749"/>
      <c r="AA974" s="749"/>
      <c r="AB974" s="749"/>
      <c r="AC974" s="749"/>
      <c r="AD974" s="749"/>
      <c r="AG974"/>
      <c r="AH974">
        <f t="shared" si="385"/>
        <v>0</v>
      </c>
      <c r="AI974">
        <f t="shared" si="381"/>
        <v>0</v>
      </c>
      <c r="AK974">
        <f t="shared" si="382"/>
        <v>0</v>
      </c>
      <c r="AL974">
        <f t="shared" si="383"/>
        <v>0</v>
      </c>
      <c r="AM974">
        <f t="shared" si="384"/>
        <v>0</v>
      </c>
      <c r="CF974"/>
      <c r="CG974"/>
    </row>
    <row r="975" spans="1:85" ht="15" customHeight="1">
      <c r="A975" s="91"/>
      <c r="C975" s="1109"/>
      <c r="D975" s="874"/>
      <c r="E975" s="874"/>
      <c r="F975" s="1103" t="s">
        <v>5117</v>
      </c>
      <c r="G975" s="1103"/>
      <c r="H975" s="1104" t="s">
        <v>5118</v>
      </c>
      <c r="I975" s="1105"/>
      <c r="J975" s="1105"/>
      <c r="K975" s="1105"/>
      <c r="L975" s="1105"/>
      <c r="M975" s="1105"/>
      <c r="N975" s="1106"/>
      <c r="O975" s="749"/>
      <c r="P975" s="749"/>
      <c r="Q975" s="749"/>
      <c r="R975" s="749"/>
      <c r="S975" s="749"/>
      <c r="T975" s="749"/>
      <c r="U975" s="749"/>
      <c r="V975" s="749"/>
      <c r="W975" s="749"/>
      <c r="X975" s="749"/>
      <c r="Y975" s="749"/>
      <c r="Z975" s="749"/>
      <c r="AA975" s="749"/>
      <c r="AB975" s="749"/>
      <c r="AC975" s="749"/>
      <c r="AD975" s="749"/>
      <c r="AG975"/>
      <c r="AH975">
        <f t="shared" si="385"/>
        <v>0</v>
      </c>
      <c r="AI975">
        <f t="shared" si="381"/>
        <v>0</v>
      </c>
      <c r="AK975">
        <f t="shared" si="382"/>
        <v>0</v>
      </c>
      <c r="AL975">
        <f t="shared" si="383"/>
        <v>0</v>
      </c>
      <c r="AM975">
        <f t="shared" si="384"/>
        <v>0</v>
      </c>
      <c r="AN975">
        <f>IF(OR(O975="NS",O975="NA",$AG$809=8),0,IF((O975*(IFERROR(100/SUM(O943:O975),0)))&gt;25,1,0))</f>
        <v>0</v>
      </c>
      <c r="CF975"/>
      <c r="CG975"/>
    </row>
    <row r="976" spans="1:85" ht="15" customHeight="1">
      <c r="A976" s="91"/>
      <c r="C976" s="739" t="s">
        <v>5119</v>
      </c>
      <c r="D976" s="740"/>
      <c r="E976" s="740"/>
      <c r="F976" s="740"/>
      <c r="G976" s="741"/>
      <c r="H976" s="1104" t="s">
        <v>201</v>
      </c>
      <c r="I976" s="1105"/>
      <c r="J976" s="1105"/>
      <c r="K976" s="1105"/>
      <c r="L976" s="1105"/>
      <c r="M976" s="1105"/>
      <c r="N976" s="1106"/>
      <c r="O976" s="749"/>
      <c r="P976" s="749"/>
      <c r="Q976" s="749"/>
      <c r="R976" s="749"/>
      <c r="S976" s="749"/>
      <c r="T976" s="749"/>
      <c r="U976" s="749"/>
      <c r="V976" s="749"/>
      <c r="W976" s="749"/>
      <c r="X976" s="749"/>
      <c r="Y976" s="749"/>
      <c r="Z976" s="749"/>
      <c r="AA976" s="749"/>
      <c r="AB976" s="749"/>
      <c r="AC976" s="749"/>
      <c r="AD976" s="749"/>
      <c r="AG976"/>
      <c r="AH976">
        <f>IF(OR($AG$809=8,O976="NA"),0,IF(COUNTA(O976:AD976)=4,0,1))</f>
        <v>0</v>
      </c>
      <c r="AI976">
        <f t="shared" si="381"/>
        <v>0</v>
      </c>
      <c r="AK976">
        <f t="shared" si="382"/>
        <v>0</v>
      </c>
      <c r="AL976">
        <f t="shared" si="383"/>
        <v>0</v>
      </c>
      <c r="AM976">
        <f t="shared" si="384"/>
        <v>0</v>
      </c>
      <c r="CF976"/>
      <c r="CG976"/>
    </row>
    <row r="977" spans="1:85" ht="15" customHeight="1">
      <c r="A977" s="91"/>
      <c r="C977" s="38"/>
      <c r="D977" s="38"/>
      <c r="E977" s="38"/>
      <c r="F977" s="38"/>
      <c r="G977" s="38"/>
      <c r="H977" s="38"/>
      <c r="I977" s="38"/>
      <c r="J977" s="38"/>
      <c r="K977" s="38"/>
      <c r="L977" s="117"/>
      <c r="M977" s="104"/>
      <c r="N977" s="99" t="s">
        <v>2649</v>
      </c>
      <c r="O977" s="1110">
        <f>IF(COUNTIF(O812:O976,"NA")=165,"NA",IF(AND(SUM(COUNTIF(O812:O822,"NS"),COUNTIF(O829:O833,"NS"),COUNTIF(O839:O842,"NS"),COUNTIF(O861,"NS"),COUNTIF(O867:O869,"NS"),COUNTIF(O873:O879,"NS"),COUNTIF(O887,"NS"),COUNTIF(O893:O897,"NS"),COUNTIF(O904,"NS"),COUNTIF(O913:O916,"NS"),COUNTIF(O923:O926,"NS"),COUNTIF(O936,"NS"),COUNTIF(O940:O947,"NS"),COUNTIF(O955:O956,"NS"),COUNTIF(O960:O968,"NS"),COUNTIF(O974:O976,"NS"))&gt;0,SUM(O812:O822,O829:O833,O839:O842,O861,O867:O869,O873:O879,O887,O893:O897,O904,O913:O916,O923:O926,O936,O940:O947,O955:O956,O960:O968,O974:O976)=0),"NS",SUM(O812:O822,O829:O833,O839:O842,O861,O867:O869,O873:O879,O887,O893:O897,O904,O913:O916,O923:O926,O936,O940:O947,O955:O956,O960:O968,O974:O976)))</f>
        <v>0</v>
      </c>
      <c r="P977" s="1110"/>
      <c r="Q977" s="1110"/>
      <c r="R977" s="1110"/>
      <c r="S977" s="1110">
        <f>IF(COUNTIF(S812:S976,"NA")=165,"NA",IF(AND(SUM(COUNTIF(S812:S822,"NS"),COUNTIF(S829:S833,"NS"),COUNTIF(S839:S842,"NS"),COUNTIF(S861,"NS"),COUNTIF(S867:S869,"NS"),COUNTIF(S873:S879,"NS"),COUNTIF(S887,"NS"),COUNTIF(S893:S897,"NS"),COUNTIF(S904,"NS"),COUNTIF(S913:S916,"NS"),COUNTIF(S923:S926,"NS"),COUNTIF(S936,"NS"),COUNTIF(S940:S947,"NS"),COUNTIF(S955:S956,"NS"),COUNTIF(S960:S968,"NS"),COUNTIF(S974:S976,"NS"))&gt;0,SUM(S812:S822,S829:S833,S839:S842,S861,S867:S869,S873:S879,S887,S893:S897,S904,S913:S916,S923:S926,S936,S940:S947,S955:S956,S960:S968,S974:S976)=0),"NS",SUM(S812:S822,S829:S833,S839:S842,S861,S867:S869,S873:S879,S887,S893:S897,S904,S913:S916,S923:S926,S936,S940:S947,S955:S956,S960:S968,S974:S976)))</f>
        <v>0</v>
      </c>
      <c r="T977" s="1110"/>
      <c r="U977" s="1110"/>
      <c r="V977" s="1110"/>
      <c r="W977" s="1110">
        <f>IF(COUNTIF(W812:W976,"NA")=165,"NA",IF(AND(SUM(COUNTIF(W812:W822,"NS"),COUNTIF(W829:W833,"NS"),COUNTIF(W839:W842,"NS"),COUNTIF(W861,"NS"),COUNTIF(W867:W869,"NS"),COUNTIF(W873:W879,"NS"),COUNTIF(W887,"NS"),COUNTIF(W893:W897,"NS"),COUNTIF(W904,"NS"),COUNTIF(W913:W916,"NS"),COUNTIF(W923:W926,"NS"),COUNTIF(W936,"NS"),COUNTIF(W940:W947,"NS"),COUNTIF(W955:W956,"NS"),COUNTIF(W960:W968,"NS"),COUNTIF(W974:W976,"NS"))&gt;0,SUM(W812:W822,W829:W833,W839:W842,W861,W867:W869,W873:W879,W887,W893:W897,W904,W913:W916,W923:W926,W936,W940:W947,W955:W956,W960:W968,W974:W976)=0),"NS",SUM(W812:W822,W829:W833,W839:W842,W861,W867:W869,W873:W879,W887,W893:W897,W904,W913:W916,W923:W926,W936,W940:W947,W955:W956,W960:W968,W974:W976)))</f>
        <v>0</v>
      </c>
      <c r="X977" s="1110"/>
      <c r="Y977" s="1110"/>
      <c r="Z977" s="1110"/>
      <c r="AA977" s="1110">
        <f>IF(COUNTIF(AA812:AA976,"NA")=165,"NA",IF(AND(SUM(COUNTIF(AA812:AA822,"NS"),COUNTIF(AA829:AA833,"NS"),COUNTIF(AA839:AA842,"NS"),COUNTIF(AA861,"NS"),COUNTIF(AA867:AA869,"NS"),COUNTIF(AA873:AA879,"NS"),COUNTIF(AA887,"NS"),COUNTIF(AA893:AA897,"NS"),COUNTIF(AA904,"NS"),COUNTIF(AA913:AA916,"NS"),COUNTIF(AA923:AA926,"NS"),COUNTIF(AA936,"NS"),COUNTIF(AA940:AA947,"NS"),COUNTIF(AA955:AA956,"NS"),COUNTIF(AA960:AA968,"NS"),COUNTIF(AA974:AA976,"NS"))&gt;0,SUM(AA812:AA822,AA829:AA833,AA839:AA842,AA861,AA867:AA869,AA873:AA879,AA887,AA893:AA897,AA904,AA913:AA916,AA923:AA926,AA936,AA940:AA947,AA955:AA956,AA960:AA968,AA974:AA976)=0),"NS",SUM(AA812:AA822,AA829:AA833,AA839:AA842,AA861,AA867:AA869,AA873:AA879,AA887,AA893:AA897,AA904,AA913:AA916,AA923:AA926,AA936,AA940:AA947,AA955:AA956,AA960:AA968,AA974:AA976)))</f>
        <v>0</v>
      </c>
      <c r="AB977" s="1110"/>
      <c r="AC977" s="1110"/>
      <c r="AD977" s="1110"/>
      <c r="AG977" s="506">
        <f>SUM(AG968,AG956,AG947,AG936,AG926,AG916,AG904,AG897,AG887,AG879,AG869,AG861,AG842,AG833,AG822)</f>
        <v>0</v>
      </c>
      <c r="AH977" s="506">
        <f>SUM(AH812:AH976)</f>
        <v>0</v>
      </c>
      <c r="AI977" s="506">
        <f>SUM(AI812:AI976,AJ812)</f>
        <v>0</v>
      </c>
      <c r="AK977">
        <f>SUM(AK812:AK976)</f>
        <v>0</v>
      </c>
      <c r="AM977" s="405">
        <f>SUM(AM812:AM976)</f>
        <v>0</v>
      </c>
      <c r="AN977" s="506">
        <f>SUM(AN975,AN942,AN925,AN896,AN878,AN875,AN841,AN829,AN816)</f>
        <v>0</v>
      </c>
      <c r="CF977"/>
      <c r="CG977"/>
    </row>
    <row r="978" spans="1:85" ht="15" customHeight="1">
      <c r="A978" s="91"/>
      <c r="B978" s="1003" t="str">
        <f>IF(AG977&gt;0,"Debido a que reportó NA para cierto delito, también anote NA en sus respectivos tipos específicos","")</f>
        <v/>
      </c>
      <c r="C978" s="1003"/>
      <c r="D978" s="1003"/>
      <c r="E978" s="1003"/>
      <c r="F978" s="1003"/>
      <c r="G978" s="1003"/>
      <c r="H978" s="1003"/>
      <c r="I978" s="1003"/>
      <c r="J978" s="1003"/>
      <c r="K978" s="1003"/>
      <c r="L978" s="1003"/>
      <c r="M978" s="1003"/>
      <c r="N978" s="1003"/>
      <c r="O978" s="1003"/>
      <c r="P978" s="1003"/>
      <c r="Q978" s="1003"/>
      <c r="R978" s="1003"/>
      <c r="S978" s="1003"/>
      <c r="T978" s="1003"/>
      <c r="U978" s="1003"/>
      <c r="V978" s="1003"/>
      <c r="W978" s="1003"/>
      <c r="X978" s="1003"/>
      <c r="Y978" s="1003"/>
      <c r="Z978" s="1003"/>
      <c r="AA978" s="1003"/>
      <c r="AB978" s="1003"/>
      <c r="AC978" s="1003"/>
      <c r="AD978" s="1003"/>
      <c r="AE978" s="1003"/>
      <c r="AL978" t="s">
        <v>5140</v>
      </c>
      <c r="AM978" s="506">
        <f>AM977-COUNTIF(O812:R976,"NA")</f>
        <v>0</v>
      </c>
      <c r="CF978"/>
      <c r="CG978"/>
    </row>
    <row r="979" spans="1:85" ht="24" customHeight="1">
      <c r="A979" s="91"/>
      <c r="C979" s="754" t="s">
        <v>2611</v>
      </c>
      <c r="D979" s="754"/>
      <c r="E979" s="754"/>
      <c r="F979" s="754"/>
      <c r="G979" s="754"/>
      <c r="H979" s="754"/>
      <c r="I979" s="754"/>
      <c r="J979" s="754"/>
      <c r="K979" s="754"/>
      <c r="L979" s="754"/>
      <c r="M979" s="754"/>
      <c r="N979" s="754"/>
      <c r="O979" s="754"/>
      <c r="P979" s="754"/>
      <c r="Q979" s="754"/>
      <c r="R979" s="754"/>
      <c r="S979" s="754"/>
      <c r="T979" s="754"/>
      <c r="U979" s="754"/>
      <c r="V979" s="754"/>
      <c r="W979" s="754"/>
      <c r="X979" s="754"/>
      <c r="Y979" s="754"/>
      <c r="Z979" s="754"/>
      <c r="AA979" s="754"/>
      <c r="AB979" s="754"/>
      <c r="AC979" s="754"/>
      <c r="AD979" s="754"/>
      <c r="CF979"/>
      <c r="CG979"/>
    </row>
    <row r="980" spans="1:85" ht="60" customHeight="1">
      <c r="A980" s="91"/>
      <c r="C980" s="851"/>
      <c r="D980" s="851"/>
      <c r="E980" s="851"/>
      <c r="F980" s="851"/>
      <c r="G980" s="851"/>
      <c r="H980" s="851"/>
      <c r="I980" s="851"/>
      <c r="J980" s="851"/>
      <c r="K980" s="851"/>
      <c r="L980" s="851"/>
      <c r="M980" s="851"/>
      <c r="N980" s="851"/>
      <c r="O980" s="851"/>
      <c r="P980" s="851"/>
      <c r="Q980" s="851"/>
      <c r="R980" s="851"/>
      <c r="S980" s="851"/>
      <c r="T980" s="851"/>
      <c r="U980" s="851"/>
      <c r="V980" s="851"/>
      <c r="W980" s="851"/>
      <c r="X980" s="851"/>
      <c r="Y980" s="851"/>
      <c r="Z980" s="851"/>
      <c r="AA980" s="851"/>
      <c r="AB980" s="851"/>
      <c r="AC980" s="851"/>
      <c r="AD980" s="851"/>
    </row>
    <row r="981" spans="1:85" ht="15" customHeight="1">
      <c r="B981" s="1003" t="str">
        <f>IF(AH977=0,"","Favor de ingresar toda la información requerida en la pregunta")</f>
        <v/>
      </c>
      <c r="C981" s="1003"/>
      <c r="D981" s="1003"/>
      <c r="E981" s="1003"/>
      <c r="F981" s="1003"/>
      <c r="G981" s="1003"/>
      <c r="H981" s="1003"/>
      <c r="I981" s="1003"/>
      <c r="J981" s="1003"/>
      <c r="K981" s="1003"/>
      <c r="L981" s="1003"/>
      <c r="M981" s="1003"/>
      <c r="N981" s="1003"/>
      <c r="O981" s="1003"/>
      <c r="P981" s="1003"/>
      <c r="Q981" s="1003"/>
      <c r="R981" s="1003"/>
      <c r="S981" s="1003"/>
      <c r="T981" s="1003"/>
      <c r="U981" s="1003"/>
      <c r="V981" s="1003"/>
      <c r="W981" s="1003"/>
      <c r="X981" s="1003"/>
      <c r="Y981" s="1003"/>
      <c r="Z981" s="1003"/>
      <c r="AA981" s="1003"/>
      <c r="AB981" s="1003"/>
      <c r="AC981" s="1003"/>
      <c r="AD981" s="1003"/>
      <c r="AE981" s="1003"/>
    </row>
    <row r="982" spans="1:85" ht="15" customHeight="1">
      <c r="B982" s="1087" t="str">
        <f>IF($AG$809=8,"",IF(COUNTIF(O812:AD976,"NS")&lt;&gt;0,"Alerta: debido a que cuenta con registros NS, debe proporcionar una justificación en el area de comentarios al final de la pregunta",""))</f>
        <v/>
      </c>
      <c r="C982" s="1087"/>
      <c r="D982" s="1087"/>
      <c r="E982" s="1087"/>
      <c r="F982" s="1087"/>
      <c r="G982" s="1087"/>
      <c r="H982" s="1087"/>
      <c r="I982" s="1087"/>
      <c r="J982" s="1087"/>
      <c r="K982" s="1087"/>
      <c r="L982" s="1087"/>
      <c r="M982" s="1087"/>
      <c r="N982" s="1087"/>
      <c r="O982" s="1087"/>
      <c r="P982" s="1087"/>
      <c r="Q982" s="1087"/>
      <c r="R982" s="1087"/>
      <c r="S982" s="1087"/>
      <c r="T982" s="1087"/>
      <c r="U982" s="1087"/>
      <c r="V982" s="1087"/>
      <c r="W982" s="1087"/>
      <c r="X982" s="1087"/>
      <c r="Y982" s="1087"/>
      <c r="Z982" s="1087"/>
      <c r="AA982" s="1087"/>
      <c r="AB982" s="1087"/>
      <c r="AC982" s="1087"/>
      <c r="AD982" s="1087"/>
      <c r="AE982" s="1087"/>
    </row>
    <row r="983" spans="1:85" ht="15" customHeight="1">
      <c r="B983" s="1003" t="str">
        <f>IF(AI977=0,"","Revise la información capturada, ya que tiene datos ingresados en celdas que están sombreadas")</f>
        <v/>
      </c>
      <c r="C983" s="1003"/>
      <c r="D983" s="1003"/>
      <c r="E983" s="1003"/>
      <c r="F983" s="1003"/>
      <c r="G983" s="1003"/>
      <c r="H983" s="1003"/>
      <c r="I983" s="1003"/>
      <c r="J983" s="1003"/>
      <c r="K983" s="1003"/>
      <c r="L983" s="1003"/>
      <c r="M983" s="1003"/>
      <c r="N983" s="1003"/>
      <c r="O983" s="1003"/>
      <c r="P983" s="1003"/>
      <c r="Q983" s="1003"/>
      <c r="R983" s="1003"/>
      <c r="S983" s="1003"/>
      <c r="T983" s="1003"/>
      <c r="U983" s="1003"/>
      <c r="V983" s="1003"/>
      <c r="W983" s="1003"/>
      <c r="X983" s="1003"/>
      <c r="Y983" s="1003"/>
      <c r="Z983" s="1003"/>
      <c r="AA983" s="1003"/>
      <c r="AB983" s="1003"/>
      <c r="AC983" s="1003"/>
      <c r="AD983" s="1003"/>
      <c r="AE983" s="1003"/>
    </row>
    <row r="984" spans="1:85" ht="15" customHeight="1">
      <c r="B984" s="1003" t="str">
        <f>IF($AG$809=8,"",IF(AM978&gt;=1,"Favor de revisar la suma y consistencia de totales y/o subtotales por filas (numéricos y NS)",IF(CG828&gt;0,"Favor de revisar la suma y consistencia de totales y/o subtotales de las desagregaciones de los tipos específicos","")))</f>
        <v/>
      </c>
      <c r="C984" s="1003"/>
      <c r="D984" s="1003"/>
      <c r="E984" s="1003"/>
      <c r="F984" s="1003"/>
      <c r="G984" s="1003"/>
      <c r="H984" s="1003"/>
      <c r="I984" s="1003"/>
      <c r="J984" s="1003"/>
      <c r="K984" s="1003"/>
      <c r="L984" s="1003"/>
      <c r="M984" s="1003"/>
      <c r="N984" s="1003"/>
      <c r="O984" s="1003"/>
      <c r="P984" s="1003"/>
      <c r="Q984" s="1003"/>
      <c r="R984" s="1003"/>
      <c r="S984" s="1003"/>
      <c r="T984" s="1003"/>
      <c r="U984" s="1003"/>
      <c r="V984" s="1003"/>
      <c r="W984" s="1003"/>
      <c r="X984" s="1003"/>
      <c r="Y984" s="1003"/>
      <c r="Z984" s="1003"/>
      <c r="AA984" s="1003"/>
      <c r="AB984" s="1003"/>
      <c r="AC984" s="1003"/>
      <c r="AD984" s="1003"/>
      <c r="AE984" s="1003"/>
    </row>
    <row r="985" spans="1:85" ht="15" customHeight="1">
      <c r="B985" s="795" t="str">
        <f>IF(BE813&gt;0,"Alerta: debe de proporcionar una justificación de acuerdo a lo establecido en la instrucción 8","")</f>
        <v/>
      </c>
      <c r="C985" s="795"/>
      <c r="D985" s="795"/>
      <c r="E985" s="795"/>
      <c r="F985" s="795"/>
      <c r="G985" s="795"/>
      <c r="H985" s="795"/>
      <c r="I985" s="795"/>
      <c r="J985" s="795"/>
      <c r="K985" s="795"/>
      <c r="L985" s="795"/>
      <c r="M985" s="795"/>
      <c r="N985" s="795"/>
      <c r="O985" s="795"/>
      <c r="P985" s="795"/>
      <c r="Q985" s="795"/>
      <c r="R985" s="795"/>
      <c r="S985" s="795"/>
      <c r="T985" s="795"/>
      <c r="U985" s="795"/>
      <c r="V985" s="795"/>
      <c r="W985" s="795"/>
      <c r="X985" s="795"/>
      <c r="Y985" s="795"/>
      <c r="Z985" s="795"/>
      <c r="AA985" s="795"/>
      <c r="AB985" s="795"/>
      <c r="AC985" s="795"/>
      <c r="AD985" s="795"/>
      <c r="AE985" s="795"/>
    </row>
    <row r="986" spans="1:85" ht="15" customHeight="1">
      <c r="B986" s="1087" t="str">
        <f>IF(AN977&gt;0,"Alerta: si el total en Otros delitos es mayor al 25% por bien jurídico, anote el n. de los delitos en la casilla al final de la pregunta","")</f>
        <v/>
      </c>
      <c r="C986" s="1087"/>
      <c r="D986" s="1087"/>
      <c r="E986" s="1087"/>
      <c r="F986" s="1087"/>
      <c r="G986" s="1087"/>
      <c r="H986" s="1087"/>
      <c r="I986" s="1087"/>
      <c r="J986" s="1087"/>
      <c r="K986" s="1087"/>
      <c r="L986" s="1087"/>
      <c r="M986" s="1087"/>
      <c r="N986" s="1087"/>
      <c r="O986" s="1087"/>
      <c r="P986" s="1087"/>
      <c r="Q986" s="1087"/>
      <c r="R986" s="1087"/>
      <c r="S986" s="1087"/>
      <c r="T986" s="1087"/>
      <c r="U986" s="1087"/>
      <c r="V986" s="1087"/>
      <c r="W986" s="1087"/>
      <c r="X986" s="1087"/>
      <c r="Y986" s="1087"/>
      <c r="Z986" s="1087"/>
      <c r="AA986" s="1087"/>
      <c r="AB986" s="1087"/>
      <c r="AC986" s="1087"/>
      <c r="AD986" s="1087"/>
      <c r="AE986" s="1087"/>
    </row>
  </sheetData>
  <sheetProtection algorithmName="SHA-512" hashValue="IvsO/iZCIsbYb/wDe+YjbE8KkoZunD9pZry0WqhGTjGxQYtFBBh48UG+HooQ3NulEuMgGY4k3YApGYcDL3prfA==" saltValue="uTVPILJwxjjTcmiHTmPNWg==" spinCount="100000" sheet="1" objects="1" scenarios="1"/>
  <mergeCells count="2464">
    <mergeCell ref="AP812:AS812"/>
    <mergeCell ref="AT812:AW812"/>
    <mergeCell ref="AX812:BA812"/>
    <mergeCell ref="BB812:BE812"/>
    <mergeCell ref="B978:AE978"/>
    <mergeCell ref="B981:AE981"/>
    <mergeCell ref="B982:AE982"/>
    <mergeCell ref="B983:AE983"/>
    <mergeCell ref="B984:AE984"/>
    <mergeCell ref="B985:AE985"/>
    <mergeCell ref="B986:AE986"/>
    <mergeCell ref="B724:AE724"/>
    <mergeCell ref="B727:AE727"/>
    <mergeCell ref="B728:AE728"/>
    <mergeCell ref="B729:AE729"/>
    <mergeCell ref="B730:AE730"/>
    <mergeCell ref="B731:AE731"/>
    <mergeCell ref="B732:AE732"/>
    <mergeCell ref="B766:AE766"/>
    <mergeCell ref="B767:AE767"/>
    <mergeCell ref="B768:AE768"/>
    <mergeCell ref="B769:AE769"/>
    <mergeCell ref="B770:AE770"/>
    <mergeCell ref="B771:AE771"/>
    <mergeCell ref="B794:AE794"/>
    <mergeCell ref="B795:AE795"/>
    <mergeCell ref="B796:AE796"/>
    <mergeCell ref="B797:AE797"/>
    <mergeCell ref="C803:AD803"/>
    <mergeCell ref="C804:AD804"/>
    <mergeCell ref="C805:AD805"/>
    <mergeCell ref="D786:H786"/>
    <mergeCell ref="B593:AE593"/>
    <mergeCell ref="B596:AE596"/>
    <mergeCell ref="B597:AE597"/>
    <mergeCell ref="B598:AE598"/>
    <mergeCell ref="B599:AE599"/>
    <mergeCell ref="B600:AE600"/>
    <mergeCell ref="B601:AE601"/>
    <mergeCell ref="B625:AE625"/>
    <mergeCell ref="B626:AE626"/>
    <mergeCell ref="B627:AE627"/>
    <mergeCell ref="B628:AE628"/>
    <mergeCell ref="B629:AE629"/>
    <mergeCell ref="D613:L613"/>
    <mergeCell ref="M613:R613"/>
    <mergeCell ref="S613:V613"/>
    <mergeCell ref="W613:Z613"/>
    <mergeCell ref="AA613:AD613"/>
    <mergeCell ref="B606:AD606"/>
    <mergeCell ref="B608:AD608"/>
    <mergeCell ref="C611:L612"/>
    <mergeCell ref="M611:R612"/>
    <mergeCell ref="S611:AD611"/>
    <mergeCell ref="S612:V612"/>
    <mergeCell ref="W612:Z612"/>
    <mergeCell ref="AA612:AD612"/>
    <mergeCell ref="C594:AD594"/>
    <mergeCell ref="C595:AD595"/>
    <mergeCell ref="B602:AD602"/>
    <mergeCell ref="B603:AD603"/>
    <mergeCell ref="C604:AD604"/>
    <mergeCell ref="D617:L617"/>
    <mergeCell ref="M617:R617"/>
    <mergeCell ref="B490:AE490"/>
    <mergeCell ref="B491:AE491"/>
    <mergeCell ref="B492:AE492"/>
    <mergeCell ref="B493:AE493"/>
    <mergeCell ref="B494:AE494"/>
    <mergeCell ref="B537:AE537"/>
    <mergeCell ref="B538:AE538"/>
    <mergeCell ref="B539:AE539"/>
    <mergeCell ref="B540:AE540"/>
    <mergeCell ref="B541:AE541"/>
    <mergeCell ref="B564:AE564"/>
    <mergeCell ref="C465:AD465"/>
    <mergeCell ref="C466:AD466"/>
    <mergeCell ref="C497:AD497"/>
    <mergeCell ref="C498:AD498"/>
    <mergeCell ref="C503:AD503"/>
    <mergeCell ref="C521:O524"/>
    <mergeCell ref="P521:AD521"/>
    <mergeCell ref="P522:R523"/>
    <mergeCell ref="S522:U523"/>
    <mergeCell ref="V522:X523"/>
    <mergeCell ref="Y522:AA523"/>
    <mergeCell ref="AB522:AD523"/>
    <mergeCell ref="D479:R479"/>
    <mergeCell ref="C471:R474"/>
    <mergeCell ref="S471:AD471"/>
    <mergeCell ref="D525:O525"/>
    <mergeCell ref="D526:O526"/>
    <mergeCell ref="D527:O527"/>
    <mergeCell ref="D528:O528"/>
    <mergeCell ref="D529:O529"/>
    <mergeCell ref="D530:O530"/>
    <mergeCell ref="C291:E291"/>
    <mergeCell ref="F291:AD291"/>
    <mergeCell ref="N285:S285"/>
    <mergeCell ref="D286:M286"/>
    <mergeCell ref="N286:S286"/>
    <mergeCell ref="AA312:AD312"/>
    <mergeCell ref="C325:O326"/>
    <mergeCell ref="P325:AD325"/>
    <mergeCell ref="D332:O332"/>
    <mergeCell ref="C300:AD300"/>
    <mergeCell ref="D296:P296"/>
    <mergeCell ref="R296:AD296"/>
    <mergeCell ref="D297:P297"/>
    <mergeCell ref="B458:AE458"/>
    <mergeCell ref="B459:AE459"/>
    <mergeCell ref="Y417:AA418"/>
    <mergeCell ref="AB417:AD418"/>
    <mergeCell ref="J418:L418"/>
    <mergeCell ref="M418:O418"/>
    <mergeCell ref="P418:R418"/>
    <mergeCell ref="D420:F420"/>
    <mergeCell ref="D421:F421"/>
    <mergeCell ref="D422:F422"/>
    <mergeCell ref="D423:F423"/>
    <mergeCell ref="D424:F424"/>
    <mergeCell ref="D425:F425"/>
    <mergeCell ref="D426:F426"/>
    <mergeCell ref="D427:F427"/>
    <mergeCell ref="B438:AD438"/>
    <mergeCell ref="C439:AD439"/>
    <mergeCell ref="C440:AD440"/>
    <mergeCell ref="C441:AD441"/>
    <mergeCell ref="B406:AE406"/>
    <mergeCell ref="B407:AE407"/>
    <mergeCell ref="B408:AE408"/>
    <mergeCell ref="B409:AE409"/>
    <mergeCell ref="B410:AE410"/>
    <mergeCell ref="B383:AE383"/>
    <mergeCell ref="B384:AE384"/>
    <mergeCell ref="B385:AE385"/>
    <mergeCell ref="B386:AE386"/>
    <mergeCell ref="B387:AE387"/>
    <mergeCell ref="B432:AE432"/>
    <mergeCell ref="B433:AE433"/>
    <mergeCell ref="B434:AE434"/>
    <mergeCell ref="B435:AE435"/>
    <mergeCell ref="B436:AE436"/>
    <mergeCell ref="C430:AD430"/>
    <mergeCell ref="C431:AD431"/>
    <mergeCell ref="P400:U400"/>
    <mergeCell ref="C405:AD405"/>
    <mergeCell ref="C414:AD414"/>
    <mergeCell ref="B412:AD412"/>
    <mergeCell ref="C413:AD413"/>
    <mergeCell ref="C416:F419"/>
    <mergeCell ref="G416:AD416"/>
    <mergeCell ref="G417:G419"/>
    <mergeCell ref="H417:H419"/>
    <mergeCell ref="I417:I419"/>
    <mergeCell ref="J417:R417"/>
    <mergeCell ref="S417:U418"/>
    <mergeCell ref="V417:X418"/>
    <mergeCell ref="D395:O395"/>
    <mergeCell ref="P395:U395"/>
    <mergeCell ref="B258:AE258"/>
    <mergeCell ref="B259:AE259"/>
    <mergeCell ref="B260:AE260"/>
    <mergeCell ref="B261:AE261"/>
    <mergeCell ref="B292:AE292"/>
    <mergeCell ref="B301:AE301"/>
    <mergeCell ref="B302:AE302"/>
    <mergeCell ref="B303:AE303"/>
    <mergeCell ref="B304:AE304"/>
    <mergeCell ref="B305:AE305"/>
    <mergeCell ref="B306:AE306"/>
    <mergeCell ref="B354:AE354"/>
    <mergeCell ref="B355:AE355"/>
    <mergeCell ref="B356:AE356"/>
    <mergeCell ref="B357:AE357"/>
    <mergeCell ref="B358:AE358"/>
    <mergeCell ref="B359:AE359"/>
    <mergeCell ref="D321:P321"/>
    <mergeCell ref="AA324:AD324"/>
    <mergeCell ref="D327:O327"/>
    <mergeCell ref="D328:O328"/>
    <mergeCell ref="C277:AD277"/>
    <mergeCell ref="C268:AD268"/>
    <mergeCell ref="B270:AD270"/>
    <mergeCell ref="B271:AD271"/>
    <mergeCell ref="C272:AD272"/>
    <mergeCell ref="B274:AD274"/>
    <mergeCell ref="B264:AD264"/>
    <mergeCell ref="B265:AD265"/>
    <mergeCell ref="D284:M284"/>
    <mergeCell ref="N284:S284"/>
    <mergeCell ref="D285:M285"/>
    <mergeCell ref="O971:R971"/>
    <mergeCell ref="S971:V971"/>
    <mergeCell ref="W971:Z971"/>
    <mergeCell ref="AA971:AD971"/>
    <mergeCell ref="B39:AE39"/>
    <mergeCell ref="B50:AE50"/>
    <mergeCell ref="B51:AE51"/>
    <mergeCell ref="B81:AE81"/>
    <mergeCell ref="B82:AE82"/>
    <mergeCell ref="B129:AE129"/>
    <mergeCell ref="B131:AE131"/>
    <mergeCell ref="B133:AE133"/>
    <mergeCell ref="B135:AE135"/>
    <mergeCell ref="B148:AE148"/>
    <mergeCell ref="B149:AE149"/>
    <mergeCell ref="B150:AE150"/>
    <mergeCell ref="B151:AE151"/>
    <mergeCell ref="B175:AE175"/>
    <mergeCell ref="B191:AE191"/>
    <mergeCell ref="B192:AE192"/>
    <mergeCell ref="C802:AD802"/>
    <mergeCell ref="AA786:AD786"/>
    <mergeCell ref="D787:H787"/>
    <mergeCell ref="I787:N787"/>
    <mergeCell ref="O787:R787"/>
    <mergeCell ref="D250:AD250"/>
    <mergeCell ref="D251:AD251"/>
    <mergeCell ref="D252:AD252"/>
    <mergeCell ref="D253:AD253"/>
    <mergeCell ref="D254:AD254"/>
    <mergeCell ref="C256:AD256"/>
    <mergeCell ref="C257:AD257"/>
    <mergeCell ref="O977:R977"/>
    <mergeCell ref="S977:V977"/>
    <mergeCell ref="W977:Z977"/>
    <mergeCell ref="AA977:AD977"/>
    <mergeCell ref="C979:AD979"/>
    <mergeCell ref="C980:AD980"/>
    <mergeCell ref="F974:G974"/>
    <mergeCell ref="H974:N974"/>
    <mergeCell ref="O974:R974"/>
    <mergeCell ref="S974:V974"/>
    <mergeCell ref="W974:Z974"/>
    <mergeCell ref="AA974:AD974"/>
    <mergeCell ref="F975:G975"/>
    <mergeCell ref="H975:N975"/>
    <mergeCell ref="O975:R975"/>
    <mergeCell ref="S975:V975"/>
    <mergeCell ref="W975:Z975"/>
    <mergeCell ref="AA975:AD975"/>
    <mergeCell ref="C976:G976"/>
    <mergeCell ref="H976:N976"/>
    <mergeCell ref="O976:R976"/>
    <mergeCell ref="S976:V976"/>
    <mergeCell ref="W976:Z976"/>
    <mergeCell ref="AA976:AD976"/>
    <mergeCell ref="F972:G972"/>
    <mergeCell ref="I972:N972"/>
    <mergeCell ref="O972:R972"/>
    <mergeCell ref="S972:V972"/>
    <mergeCell ref="W972:Z972"/>
    <mergeCell ref="AA972:AD972"/>
    <mergeCell ref="F973:G973"/>
    <mergeCell ref="I973:N973"/>
    <mergeCell ref="O973:R973"/>
    <mergeCell ref="S973:V973"/>
    <mergeCell ref="W973:Z973"/>
    <mergeCell ref="AA973:AD973"/>
    <mergeCell ref="F968:G968"/>
    <mergeCell ref="H968:N968"/>
    <mergeCell ref="O968:R968"/>
    <mergeCell ref="S968:V968"/>
    <mergeCell ref="W968:Z968"/>
    <mergeCell ref="AA968:AD968"/>
    <mergeCell ref="F969:G969"/>
    <mergeCell ref="I969:N969"/>
    <mergeCell ref="O969:R969"/>
    <mergeCell ref="S969:V969"/>
    <mergeCell ref="W969:Z969"/>
    <mergeCell ref="AA969:AD969"/>
    <mergeCell ref="F970:G970"/>
    <mergeCell ref="I970:N970"/>
    <mergeCell ref="O970:R970"/>
    <mergeCell ref="S970:V970"/>
    <mergeCell ref="W970:Z970"/>
    <mergeCell ref="AA970:AD970"/>
    <mergeCell ref="F971:G971"/>
    <mergeCell ref="I971:N971"/>
    <mergeCell ref="F965:G965"/>
    <mergeCell ref="H965:N965"/>
    <mergeCell ref="O965:R965"/>
    <mergeCell ref="S965:V965"/>
    <mergeCell ref="W965:Z965"/>
    <mergeCell ref="AA965:AD965"/>
    <mergeCell ref="F966:G966"/>
    <mergeCell ref="H966:N966"/>
    <mergeCell ref="O966:R966"/>
    <mergeCell ref="S966:V966"/>
    <mergeCell ref="W966:Z966"/>
    <mergeCell ref="AA966:AD966"/>
    <mergeCell ref="F967:G967"/>
    <mergeCell ref="H967:N967"/>
    <mergeCell ref="O967:R967"/>
    <mergeCell ref="S967:V967"/>
    <mergeCell ref="W967:Z967"/>
    <mergeCell ref="AA967:AD967"/>
    <mergeCell ref="F962:G962"/>
    <mergeCell ref="H962:N962"/>
    <mergeCell ref="O962:R962"/>
    <mergeCell ref="S962:V962"/>
    <mergeCell ref="W962:Z962"/>
    <mergeCell ref="AA962:AD962"/>
    <mergeCell ref="F963:G963"/>
    <mergeCell ref="H963:N963"/>
    <mergeCell ref="O963:R963"/>
    <mergeCell ref="S963:V963"/>
    <mergeCell ref="W963:Z963"/>
    <mergeCell ref="AA963:AD963"/>
    <mergeCell ref="F964:G964"/>
    <mergeCell ref="H964:N964"/>
    <mergeCell ref="O964:R964"/>
    <mergeCell ref="S964:V964"/>
    <mergeCell ref="W964:Z964"/>
    <mergeCell ref="AA964:AD964"/>
    <mergeCell ref="F959:G959"/>
    <mergeCell ref="I959:N959"/>
    <mergeCell ref="O959:R959"/>
    <mergeCell ref="S959:V959"/>
    <mergeCell ref="W959:Z959"/>
    <mergeCell ref="AA959:AD959"/>
    <mergeCell ref="F960:G960"/>
    <mergeCell ref="H960:N960"/>
    <mergeCell ref="O960:R960"/>
    <mergeCell ref="S960:V960"/>
    <mergeCell ref="W960:Z960"/>
    <mergeCell ref="AA960:AD960"/>
    <mergeCell ref="F961:G961"/>
    <mergeCell ref="H961:N961"/>
    <mergeCell ref="O961:R961"/>
    <mergeCell ref="S961:V961"/>
    <mergeCell ref="W961:Z961"/>
    <mergeCell ref="AA961:AD961"/>
    <mergeCell ref="F956:G956"/>
    <mergeCell ref="H956:N956"/>
    <mergeCell ref="O956:R956"/>
    <mergeCell ref="S956:V956"/>
    <mergeCell ref="W956:Z956"/>
    <mergeCell ref="AA956:AD956"/>
    <mergeCell ref="F957:G957"/>
    <mergeCell ref="I957:N957"/>
    <mergeCell ref="O957:R957"/>
    <mergeCell ref="S957:V957"/>
    <mergeCell ref="W957:Z957"/>
    <mergeCell ref="AA957:AD957"/>
    <mergeCell ref="F958:G958"/>
    <mergeCell ref="I958:N958"/>
    <mergeCell ref="O958:R958"/>
    <mergeCell ref="S958:V958"/>
    <mergeCell ref="W958:Z958"/>
    <mergeCell ref="AA958:AD958"/>
    <mergeCell ref="F953:G953"/>
    <mergeCell ref="I953:N953"/>
    <mergeCell ref="O953:R953"/>
    <mergeCell ref="S953:V953"/>
    <mergeCell ref="W953:Z953"/>
    <mergeCell ref="AA953:AD953"/>
    <mergeCell ref="F954:G954"/>
    <mergeCell ref="I954:N954"/>
    <mergeCell ref="O954:R954"/>
    <mergeCell ref="S954:V954"/>
    <mergeCell ref="W954:Z954"/>
    <mergeCell ref="AA954:AD954"/>
    <mergeCell ref="F955:G955"/>
    <mergeCell ref="H955:N955"/>
    <mergeCell ref="O955:R955"/>
    <mergeCell ref="S955:V955"/>
    <mergeCell ref="W955:Z955"/>
    <mergeCell ref="AA955:AD955"/>
    <mergeCell ref="F950:G950"/>
    <mergeCell ref="I950:N950"/>
    <mergeCell ref="O950:R950"/>
    <mergeCell ref="S950:V950"/>
    <mergeCell ref="W950:Z950"/>
    <mergeCell ref="AA950:AD950"/>
    <mergeCell ref="F951:G951"/>
    <mergeCell ref="I951:N951"/>
    <mergeCell ref="O951:R951"/>
    <mergeCell ref="S951:V951"/>
    <mergeCell ref="W951:Z951"/>
    <mergeCell ref="AA951:AD951"/>
    <mergeCell ref="F952:G952"/>
    <mergeCell ref="I952:N952"/>
    <mergeCell ref="O952:R952"/>
    <mergeCell ref="S952:V952"/>
    <mergeCell ref="W952:Z952"/>
    <mergeCell ref="AA952:AD952"/>
    <mergeCell ref="F947:G947"/>
    <mergeCell ref="H947:N947"/>
    <mergeCell ref="O947:R947"/>
    <mergeCell ref="S947:V947"/>
    <mergeCell ref="W947:Z947"/>
    <mergeCell ref="AA947:AD947"/>
    <mergeCell ref="F948:G948"/>
    <mergeCell ref="I948:N948"/>
    <mergeCell ref="O948:R948"/>
    <mergeCell ref="S948:V948"/>
    <mergeCell ref="W948:Z948"/>
    <mergeCell ref="AA948:AD948"/>
    <mergeCell ref="F949:G949"/>
    <mergeCell ref="I949:N949"/>
    <mergeCell ref="O949:R949"/>
    <mergeCell ref="S949:V949"/>
    <mergeCell ref="W949:Z949"/>
    <mergeCell ref="AA949:AD949"/>
    <mergeCell ref="F942:G942"/>
    <mergeCell ref="H942:N942"/>
    <mergeCell ref="O942:R942"/>
    <mergeCell ref="S942:V942"/>
    <mergeCell ref="W942:Z942"/>
    <mergeCell ref="AA942:AD942"/>
    <mergeCell ref="C943:C975"/>
    <mergeCell ref="D943:E975"/>
    <mergeCell ref="F943:G943"/>
    <mergeCell ref="H943:N943"/>
    <mergeCell ref="O943:R943"/>
    <mergeCell ref="S943:V943"/>
    <mergeCell ref="W943:Z943"/>
    <mergeCell ref="AA943:AD943"/>
    <mergeCell ref="F944:G944"/>
    <mergeCell ref="H944:N944"/>
    <mergeCell ref="O944:R944"/>
    <mergeCell ref="S944:V944"/>
    <mergeCell ref="W944:Z944"/>
    <mergeCell ref="AA944:AD944"/>
    <mergeCell ref="F945:G945"/>
    <mergeCell ref="H945:N945"/>
    <mergeCell ref="O945:R945"/>
    <mergeCell ref="S945:V945"/>
    <mergeCell ref="W945:Z945"/>
    <mergeCell ref="AA945:AD945"/>
    <mergeCell ref="F946:G946"/>
    <mergeCell ref="H946:N946"/>
    <mergeCell ref="O946:R946"/>
    <mergeCell ref="S946:V946"/>
    <mergeCell ref="W946:Z946"/>
    <mergeCell ref="AA946:AD946"/>
    <mergeCell ref="F939:G939"/>
    <mergeCell ref="I939:N939"/>
    <mergeCell ref="O939:R939"/>
    <mergeCell ref="S939:V939"/>
    <mergeCell ref="W939:Z939"/>
    <mergeCell ref="AA939:AD939"/>
    <mergeCell ref="F940:G940"/>
    <mergeCell ref="H940:N940"/>
    <mergeCell ref="O940:R940"/>
    <mergeCell ref="S940:V940"/>
    <mergeCell ref="W940:Z940"/>
    <mergeCell ref="AA940:AD940"/>
    <mergeCell ref="F941:G941"/>
    <mergeCell ref="H941:N941"/>
    <mergeCell ref="O941:R941"/>
    <mergeCell ref="S941:V941"/>
    <mergeCell ref="W941:Z941"/>
    <mergeCell ref="AA941:AD941"/>
    <mergeCell ref="F936:G936"/>
    <mergeCell ref="H936:N936"/>
    <mergeCell ref="O936:R936"/>
    <mergeCell ref="S936:V936"/>
    <mergeCell ref="W936:Z936"/>
    <mergeCell ref="AA936:AD936"/>
    <mergeCell ref="F937:G937"/>
    <mergeCell ref="I937:N937"/>
    <mergeCell ref="O937:R937"/>
    <mergeCell ref="S937:V937"/>
    <mergeCell ref="W937:Z937"/>
    <mergeCell ref="AA937:AD937"/>
    <mergeCell ref="F938:G938"/>
    <mergeCell ref="I938:N938"/>
    <mergeCell ref="O938:R938"/>
    <mergeCell ref="S938:V938"/>
    <mergeCell ref="W938:Z938"/>
    <mergeCell ref="AA938:AD938"/>
    <mergeCell ref="F933:G933"/>
    <mergeCell ref="I933:N933"/>
    <mergeCell ref="O933:R933"/>
    <mergeCell ref="S933:V933"/>
    <mergeCell ref="W933:Z933"/>
    <mergeCell ref="AA933:AD933"/>
    <mergeCell ref="F934:G934"/>
    <mergeCell ref="I934:N934"/>
    <mergeCell ref="O934:R934"/>
    <mergeCell ref="S934:V934"/>
    <mergeCell ref="W934:Z934"/>
    <mergeCell ref="AA934:AD934"/>
    <mergeCell ref="F935:G935"/>
    <mergeCell ref="I935:N935"/>
    <mergeCell ref="O935:R935"/>
    <mergeCell ref="S935:V935"/>
    <mergeCell ref="W935:Z935"/>
    <mergeCell ref="AA935:AD935"/>
    <mergeCell ref="F930:G930"/>
    <mergeCell ref="I930:N930"/>
    <mergeCell ref="O930:R930"/>
    <mergeCell ref="S930:V930"/>
    <mergeCell ref="W930:Z930"/>
    <mergeCell ref="AA930:AD930"/>
    <mergeCell ref="F931:G931"/>
    <mergeCell ref="I931:N931"/>
    <mergeCell ref="O931:R931"/>
    <mergeCell ref="S931:V931"/>
    <mergeCell ref="W931:Z931"/>
    <mergeCell ref="AA931:AD931"/>
    <mergeCell ref="F932:G932"/>
    <mergeCell ref="I932:N932"/>
    <mergeCell ref="O932:R932"/>
    <mergeCell ref="S932:V932"/>
    <mergeCell ref="W932:Z932"/>
    <mergeCell ref="AA932:AD932"/>
    <mergeCell ref="F925:G925"/>
    <mergeCell ref="H925:N925"/>
    <mergeCell ref="O925:R925"/>
    <mergeCell ref="S925:V925"/>
    <mergeCell ref="W925:Z925"/>
    <mergeCell ref="AA925:AD925"/>
    <mergeCell ref="C926:C942"/>
    <mergeCell ref="D926:E942"/>
    <mergeCell ref="F926:G926"/>
    <mergeCell ref="H926:N926"/>
    <mergeCell ref="O926:R926"/>
    <mergeCell ref="S926:V926"/>
    <mergeCell ref="W926:Z926"/>
    <mergeCell ref="AA926:AD926"/>
    <mergeCell ref="F927:G927"/>
    <mergeCell ref="I927:N927"/>
    <mergeCell ref="O927:R927"/>
    <mergeCell ref="S927:V927"/>
    <mergeCell ref="W927:Z927"/>
    <mergeCell ref="AA927:AD927"/>
    <mergeCell ref="F928:G928"/>
    <mergeCell ref="I928:N928"/>
    <mergeCell ref="O928:R928"/>
    <mergeCell ref="S928:V928"/>
    <mergeCell ref="W928:Z928"/>
    <mergeCell ref="AA928:AD928"/>
    <mergeCell ref="F929:G929"/>
    <mergeCell ref="I929:N929"/>
    <mergeCell ref="O929:R929"/>
    <mergeCell ref="S929:V929"/>
    <mergeCell ref="W929:Z929"/>
    <mergeCell ref="AA929:AD929"/>
    <mergeCell ref="F922:G922"/>
    <mergeCell ref="I922:N922"/>
    <mergeCell ref="O922:R922"/>
    <mergeCell ref="S922:V922"/>
    <mergeCell ref="W922:Z922"/>
    <mergeCell ref="AA922:AD922"/>
    <mergeCell ref="F923:G923"/>
    <mergeCell ref="H923:N923"/>
    <mergeCell ref="O923:R923"/>
    <mergeCell ref="S923:V923"/>
    <mergeCell ref="W923:Z923"/>
    <mergeCell ref="AA923:AD923"/>
    <mergeCell ref="F924:G924"/>
    <mergeCell ref="H924:N924"/>
    <mergeCell ref="O924:R924"/>
    <mergeCell ref="S924:V924"/>
    <mergeCell ref="W924:Z924"/>
    <mergeCell ref="AA924:AD924"/>
    <mergeCell ref="F919:G919"/>
    <mergeCell ref="I919:N919"/>
    <mergeCell ref="O919:R919"/>
    <mergeCell ref="S919:V919"/>
    <mergeCell ref="W919:Z919"/>
    <mergeCell ref="AA919:AD919"/>
    <mergeCell ref="F920:G920"/>
    <mergeCell ref="I920:N920"/>
    <mergeCell ref="O920:R920"/>
    <mergeCell ref="S920:V920"/>
    <mergeCell ref="W920:Z920"/>
    <mergeCell ref="AA920:AD920"/>
    <mergeCell ref="F921:G921"/>
    <mergeCell ref="I921:N921"/>
    <mergeCell ref="O921:R921"/>
    <mergeCell ref="S921:V921"/>
    <mergeCell ref="W921:Z921"/>
    <mergeCell ref="AA921:AD921"/>
    <mergeCell ref="F916:G916"/>
    <mergeCell ref="H916:N916"/>
    <mergeCell ref="O916:R916"/>
    <mergeCell ref="S916:V916"/>
    <mergeCell ref="W916:Z916"/>
    <mergeCell ref="AA916:AD916"/>
    <mergeCell ref="F917:G917"/>
    <mergeCell ref="I917:N917"/>
    <mergeCell ref="O917:R917"/>
    <mergeCell ref="S917:V917"/>
    <mergeCell ref="W917:Z917"/>
    <mergeCell ref="AA917:AD917"/>
    <mergeCell ref="F918:G918"/>
    <mergeCell ref="I918:N918"/>
    <mergeCell ref="O918:R918"/>
    <mergeCell ref="S918:V918"/>
    <mergeCell ref="W918:Z918"/>
    <mergeCell ref="AA918:AD918"/>
    <mergeCell ref="F913:G913"/>
    <mergeCell ref="H913:N913"/>
    <mergeCell ref="O913:R913"/>
    <mergeCell ref="S913:V913"/>
    <mergeCell ref="W913:Z913"/>
    <mergeCell ref="AA913:AD913"/>
    <mergeCell ref="F914:G914"/>
    <mergeCell ref="H914:N914"/>
    <mergeCell ref="O914:R914"/>
    <mergeCell ref="S914:V914"/>
    <mergeCell ref="W914:Z914"/>
    <mergeCell ref="AA914:AD914"/>
    <mergeCell ref="F915:G915"/>
    <mergeCell ref="H915:N915"/>
    <mergeCell ref="O915:R915"/>
    <mergeCell ref="S915:V915"/>
    <mergeCell ref="W915:Z915"/>
    <mergeCell ref="AA915:AD915"/>
    <mergeCell ref="F910:G910"/>
    <mergeCell ref="I910:N910"/>
    <mergeCell ref="O910:R910"/>
    <mergeCell ref="S910:V910"/>
    <mergeCell ref="W910:Z910"/>
    <mergeCell ref="AA910:AD910"/>
    <mergeCell ref="F911:G911"/>
    <mergeCell ref="I911:N911"/>
    <mergeCell ref="O911:R911"/>
    <mergeCell ref="S911:V911"/>
    <mergeCell ref="W911:Z911"/>
    <mergeCell ref="AA911:AD911"/>
    <mergeCell ref="F912:G912"/>
    <mergeCell ref="I912:N912"/>
    <mergeCell ref="O912:R912"/>
    <mergeCell ref="S912:V912"/>
    <mergeCell ref="W912:Z912"/>
    <mergeCell ref="AA912:AD912"/>
    <mergeCell ref="F907:G907"/>
    <mergeCell ref="I907:N907"/>
    <mergeCell ref="O907:R907"/>
    <mergeCell ref="S907:V907"/>
    <mergeCell ref="W907:Z907"/>
    <mergeCell ref="AA907:AD907"/>
    <mergeCell ref="F908:G908"/>
    <mergeCell ref="I908:N908"/>
    <mergeCell ref="O908:R908"/>
    <mergeCell ref="S908:V908"/>
    <mergeCell ref="W908:Z908"/>
    <mergeCell ref="AA908:AD908"/>
    <mergeCell ref="F909:G909"/>
    <mergeCell ref="I909:N909"/>
    <mergeCell ref="O909:R909"/>
    <mergeCell ref="S909:V909"/>
    <mergeCell ref="W909:Z909"/>
    <mergeCell ref="AA909:AD909"/>
    <mergeCell ref="F904:G904"/>
    <mergeCell ref="H904:N904"/>
    <mergeCell ref="O904:R904"/>
    <mergeCell ref="S904:V904"/>
    <mergeCell ref="W904:Z904"/>
    <mergeCell ref="AA904:AD904"/>
    <mergeCell ref="F905:G905"/>
    <mergeCell ref="I905:N905"/>
    <mergeCell ref="O905:R905"/>
    <mergeCell ref="S905:V905"/>
    <mergeCell ref="W905:Z905"/>
    <mergeCell ref="AA905:AD905"/>
    <mergeCell ref="F906:G906"/>
    <mergeCell ref="I906:N906"/>
    <mergeCell ref="O906:R906"/>
    <mergeCell ref="S906:V906"/>
    <mergeCell ref="W906:Z906"/>
    <mergeCell ref="AA906:AD906"/>
    <mergeCell ref="F901:G901"/>
    <mergeCell ref="I901:N901"/>
    <mergeCell ref="O901:R901"/>
    <mergeCell ref="S901:V901"/>
    <mergeCell ref="W901:Z901"/>
    <mergeCell ref="AA901:AD901"/>
    <mergeCell ref="F902:G902"/>
    <mergeCell ref="I902:N902"/>
    <mergeCell ref="O902:R902"/>
    <mergeCell ref="S902:V902"/>
    <mergeCell ref="W902:Z902"/>
    <mergeCell ref="AA902:AD902"/>
    <mergeCell ref="F903:G903"/>
    <mergeCell ref="I903:N903"/>
    <mergeCell ref="O903:R903"/>
    <mergeCell ref="S903:V903"/>
    <mergeCell ref="W903:Z903"/>
    <mergeCell ref="AA903:AD903"/>
    <mergeCell ref="F896:G896"/>
    <mergeCell ref="H896:N896"/>
    <mergeCell ref="O896:R896"/>
    <mergeCell ref="S896:V896"/>
    <mergeCell ref="W896:Z896"/>
    <mergeCell ref="AA896:AD896"/>
    <mergeCell ref="C897:C925"/>
    <mergeCell ref="D897:E925"/>
    <mergeCell ref="F897:G897"/>
    <mergeCell ref="H897:N897"/>
    <mergeCell ref="O897:R897"/>
    <mergeCell ref="S897:V897"/>
    <mergeCell ref="W897:Z897"/>
    <mergeCell ref="AA897:AD897"/>
    <mergeCell ref="F898:G898"/>
    <mergeCell ref="I898:N898"/>
    <mergeCell ref="O898:R898"/>
    <mergeCell ref="S898:V898"/>
    <mergeCell ref="W898:Z898"/>
    <mergeCell ref="AA898:AD898"/>
    <mergeCell ref="F899:G899"/>
    <mergeCell ref="I899:N899"/>
    <mergeCell ref="O899:R899"/>
    <mergeCell ref="S899:V899"/>
    <mergeCell ref="W899:Z899"/>
    <mergeCell ref="AA899:AD899"/>
    <mergeCell ref="F900:G900"/>
    <mergeCell ref="I900:N900"/>
    <mergeCell ref="O900:R900"/>
    <mergeCell ref="S900:V900"/>
    <mergeCell ref="W900:Z900"/>
    <mergeCell ref="AA900:AD900"/>
    <mergeCell ref="F893:G893"/>
    <mergeCell ref="H893:N893"/>
    <mergeCell ref="O893:R893"/>
    <mergeCell ref="S893:V893"/>
    <mergeCell ref="W893:Z893"/>
    <mergeCell ref="AA893:AD893"/>
    <mergeCell ref="F894:G894"/>
    <mergeCell ref="H894:N894"/>
    <mergeCell ref="O894:R894"/>
    <mergeCell ref="S894:V894"/>
    <mergeCell ref="W894:Z894"/>
    <mergeCell ref="AA894:AD894"/>
    <mergeCell ref="F895:G895"/>
    <mergeCell ref="H895:N895"/>
    <mergeCell ref="O895:R895"/>
    <mergeCell ref="S895:V895"/>
    <mergeCell ref="W895:Z895"/>
    <mergeCell ref="AA895:AD895"/>
    <mergeCell ref="F890:G890"/>
    <mergeCell ref="I890:N890"/>
    <mergeCell ref="O890:R890"/>
    <mergeCell ref="S890:V890"/>
    <mergeCell ref="W890:Z890"/>
    <mergeCell ref="AA890:AD890"/>
    <mergeCell ref="F891:G891"/>
    <mergeCell ref="I891:N891"/>
    <mergeCell ref="O891:R891"/>
    <mergeCell ref="S891:V891"/>
    <mergeCell ref="W891:Z891"/>
    <mergeCell ref="AA891:AD891"/>
    <mergeCell ref="F892:G892"/>
    <mergeCell ref="I892:N892"/>
    <mergeCell ref="O892:R892"/>
    <mergeCell ref="S892:V892"/>
    <mergeCell ref="W892:Z892"/>
    <mergeCell ref="AA892:AD892"/>
    <mergeCell ref="F887:G887"/>
    <mergeCell ref="H887:N887"/>
    <mergeCell ref="O887:R887"/>
    <mergeCell ref="S887:V887"/>
    <mergeCell ref="W887:Z887"/>
    <mergeCell ref="AA887:AD887"/>
    <mergeCell ref="F888:G888"/>
    <mergeCell ref="I888:N888"/>
    <mergeCell ref="O888:R888"/>
    <mergeCell ref="S888:V888"/>
    <mergeCell ref="W888:Z888"/>
    <mergeCell ref="AA888:AD888"/>
    <mergeCell ref="F889:G889"/>
    <mergeCell ref="I889:N889"/>
    <mergeCell ref="O889:R889"/>
    <mergeCell ref="S889:V889"/>
    <mergeCell ref="W889:Z889"/>
    <mergeCell ref="AA889:AD889"/>
    <mergeCell ref="F884:G884"/>
    <mergeCell ref="I884:N884"/>
    <mergeCell ref="O884:R884"/>
    <mergeCell ref="S884:V884"/>
    <mergeCell ref="W884:Z884"/>
    <mergeCell ref="AA884:AD884"/>
    <mergeCell ref="F885:G885"/>
    <mergeCell ref="I885:N885"/>
    <mergeCell ref="O885:R885"/>
    <mergeCell ref="S885:V885"/>
    <mergeCell ref="W885:Z885"/>
    <mergeCell ref="AA885:AD885"/>
    <mergeCell ref="F886:G886"/>
    <mergeCell ref="I886:N886"/>
    <mergeCell ref="O886:R886"/>
    <mergeCell ref="S886:V886"/>
    <mergeCell ref="W886:Z886"/>
    <mergeCell ref="AA886:AD886"/>
    <mergeCell ref="C879:C896"/>
    <mergeCell ref="D879:E896"/>
    <mergeCell ref="F879:G879"/>
    <mergeCell ref="H879:N879"/>
    <mergeCell ref="O879:R879"/>
    <mergeCell ref="S879:V879"/>
    <mergeCell ref="W879:Z879"/>
    <mergeCell ref="AA879:AD879"/>
    <mergeCell ref="F880:G880"/>
    <mergeCell ref="I880:N880"/>
    <mergeCell ref="O880:R880"/>
    <mergeCell ref="S880:V880"/>
    <mergeCell ref="W880:Z880"/>
    <mergeCell ref="AA880:AD880"/>
    <mergeCell ref="F881:G881"/>
    <mergeCell ref="I881:N881"/>
    <mergeCell ref="O881:R881"/>
    <mergeCell ref="S881:V881"/>
    <mergeCell ref="W881:Z881"/>
    <mergeCell ref="AA881:AD881"/>
    <mergeCell ref="F882:G882"/>
    <mergeCell ref="I882:N882"/>
    <mergeCell ref="O882:R882"/>
    <mergeCell ref="S882:V882"/>
    <mergeCell ref="W882:Z882"/>
    <mergeCell ref="AA882:AD882"/>
    <mergeCell ref="F883:G883"/>
    <mergeCell ref="I883:N883"/>
    <mergeCell ref="O883:R883"/>
    <mergeCell ref="S883:V883"/>
    <mergeCell ref="W883:Z883"/>
    <mergeCell ref="AA883:AD883"/>
    <mergeCell ref="F874:G874"/>
    <mergeCell ref="H874:N874"/>
    <mergeCell ref="O874:R874"/>
    <mergeCell ref="S874:V874"/>
    <mergeCell ref="W874:Z874"/>
    <mergeCell ref="AA874:AD874"/>
    <mergeCell ref="F875:G875"/>
    <mergeCell ref="H875:N875"/>
    <mergeCell ref="O875:R875"/>
    <mergeCell ref="S875:V875"/>
    <mergeCell ref="W875:Z875"/>
    <mergeCell ref="AA875:AD875"/>
    <mergeCell ref="C876:C878"/>
    <mergeCell ref="D876:E878"/>
    <mergeCell ref="F876:G876"/>
    <mergeCell ref="H876:N876"/>
    <mergeCell ref="O876:R876"/>
    <mergeCell ref="S876:V876"/>
    <mergeCell ref="W876:Z876"/>
    <mergeCell ref="AA876:AD876"/>
    <mergeCell ref="F877:G877"/>
    <mergeCell ref="H877:N877"/>
    <mergeCell ref="O877:R877"/>
    <mergeCell ref="S877:V877"/>
    <mergeCell ref="W877:Z877"/>
    <mergeCell ref="AA877:AD877"/>
    <mergeCell ref="F878:G878"/>
    <mergeCell ref="H878:N878"/>
    <mergeCell ref="O878:R878"/>
    <mergeCell ref="S878:V878"/>
    <mergeCell ref="W878:Z878"/>
    <mergeCell ref="AA878:AD878"/>
    <mergeCell ref="F871:G871"/>
    <mergeCell ref="I871:N871"/>
    <mergeCell ref="O871:R871"/>
    <mergeCell ref="S871:V871"/>
    <mergeCell ref="W871:Z871"/>
    <mergeCell ref="AA871:AD871"/>
    <mergeCell ref="F872:G872"/>
    <mergeCell ref="I872:N872"/>
    <mergeCell ref="O872:R872"/>
    <mergeCell ref="S872:V872"/>
    <mergeCell ref="W872:Z872"/>
    <mergeCell ref="AA872:AD872"/>
    <mergeCell ref="F873:G873"/>
    <mergeCell ref="H873:N873"/>
    <mergeCell ref="O873:R873"/>
    <mergeCell ref="S873:V873"/>
    <mergeCell ref="W873:Z873"/>
    <mergeCell ref="AA873:AD873"/>
    <mergeCell ref="F868:G868"/>
    <mergeCell ref="H868:N868"/>
    <mergeCell ref="O868:R868"/>
    <mergeCell ref="S868:V868"/>
    <mergeCell ref="W868:Z868"/>
    <mergeCell ref="AA868:AD868"/>
    <mergeCell ref="F869:G869"/>
    <mergeCell ref="H869:N869"/>
    <mergeCell ref="O869:R869"/>
    <mergeCell ref="S869:V869"/>
    <mergeCell ref="W869:Z869"/>
    <mergeCell ref="AA869:AD869"/>
    <mergeCell ref="F870:G870"/>
    <mergeCell ref="I870:N870"/>
    <mergeCell ref="O870:R870"/>
    <mergeCell ref="S870:V870"/>
    <mergeCell ref="W870:Z870"/>
    <mergeCell ref="AA870:AD870"/>
    <mergeCell ref="F865:G865"/>
    <mergeCell ref="I865:N865"/>
    <mergeCell ref="O865:R865"/>
    <mergeCell ref="S865:V865"/>
    <mergeCell ref="W865:Z865"/>
    <mergeCell ref="AA865:AD865"/>
    <mergeCell ref="F866:G866"/>
    <mergeCell ref="I866:N866"/>
    <mergeCell ref="O866:R866"/>
    <mergeCell ref="S866:V866"/>
    <mergeCell ref="W866:Z866"/>
    <mergeCell ref="AA866:AD866"/>
    <mergeCell ref="F867:G867"/>
    <mergeCell ref="H867:N867"/>
    <mergeCell ref="O867:R867"/>
    <mergeCell ref="S867:V867"/>
    <mergeCell ref="W867:Z867"/>
    <mergeCell ref="AA867:AD867"/>
    <mergeCell ref="F862:G862"/>
    <mergeCell ref="I862:N862"/>
    <mergeCell ref="O862:R862"/>
    <mergeCell ref="S862:V862"/>
    <mergeCell ref="W862:Z862"/>
    <mergeCell ref="AA862:AD862"/>
    <mergeCell ref="F863:G863"/>
    <mergeCell ref="I863:N863"/>
    <mergeCell ref="O863:R863"/>
    <mergeCell ref="S863:V863"/>
    <mergeCell ref="W863:Z863"/>
    <mergeCell ref="AA863:AD863"/>
    <mergeCell ref="F864:G864"/>
    <mergeCell ref="I864:N864"/>
    <mergeCell ref="O864:R864"/>
    <mergeCell ref="S864:V864"/>
    <mergeCell ref="W864:Z864"/>
    <mergeCell ref="AA864:AD864"/>
    <mergeCell ref="F859:G859"/>
    <mergeCell ref="I859:N859"/>
    <mergeCell ref="O859:R859"/>
    <mergeCell ref="S859:V859"/>
    <mergeCell ref="W859:Z859"/>
    <mergeCell ref="AA859:AD859"/>
    <mergeCell ref="F860:G860"/>
    <mergeCell ref="I860:N860"/>
    <mergeCell ref="O860:R860"/>
    <mergeCell ref="S860:V860"/>
    <mergeCell ref="W860:Z860"/>
    <mergeCell ref="AA860:AD860"/>
    <mergeCell ref="F861:G861"/>
    <mergeCell ref="H861:N861"/>
    <mergeCell ref="O861:R861"/>
    <mergeCell ref="S861:V861"/>
    <mergeCell ref="W861:Z861"/>
    <mergeCell ref="AA861:AD861"/>
    <mergeCell ref="F856:G856"/>
    <mergeCell ref="I856:N856"/>
    <mergeCell ref="O856:R856"/>
    <mergeCell ref="S856:V856"/>
    <mergeCell ref="W856:Z856"/>
    <mergeCell ref="AA856:AD856"/>
    <mergeCell ref="F857:G857"/>
    <mergeCell ref="I857:N857"/>
    <mergeCell ref="O857:R857"/>
    <mergeCell ref="S857:V857"/>
    <mergeCell ref="W857:Z857"/>
    <mergeCell ref="AA857:AD857"/>
    <mergeCell ref="F858:G858"/>
    <mergeCell ref="I858:N858"/>
    <mergeCell ref="O858:R858"/>
    <mergeCell ref="S858:V858"/>
    <mergeCell ref="W858:Z858"/>
    <mergeCell ref="AA858:AD858"/>
    <mergeCell ref="F853:G853"/>
    <mergeCell ref="I853:N853"/>
    <mergeCell ref="O853:R853"/>
    <mergeCell ref="S853:V853"/>
    <mergeCell ref="W853:Z853"/>
    <mergeCell ref="AA853:AD853"/>
    <mergeCell ref="F854:G854"/>
    <mergeCell ref="I854:N854"/>
    <mergeCell ref="O854:R854"/>
    <mergeCell ref="S854:V854"/>
    <mergeCell ref="W854:Z854"/>
    <mergeCell ref="AA854:AD854"/>
    <mergeCell ref="F855:G855"/>
    <mergeCell ref="I855:N855"/>
    <mergeCell ref="O855:R855"/>
    <mergeCell ref="S855:V855"/>
    <mergeCell ref="W855:Z855"/>
    <mergeCell ref="AA855:AD855"/>
    <mergeCell ref="F850:G850"/>
    <mergeCell ref="I850:N850"/>
    <mergeCell ref="O850:R850"/>
    <mergeCell ref="S850:V850"/>
    <mergeCell ref="W850:Z850"/>
    <mergeCell ref="AA850:AD850"/>
    <mergeCell ref="F851:G851"/>
    <mergeCell ref="I851:N851"/>
    <mergeCell ref="O851:R851"/>
    <mergeCell ref="S851:V851"/>
    <mergeCell ref="W851:Z851"/>
    <mergeCell ref="AA851:AD851"/>
    <mergeCell ref="F852:G852"/>
    <mergeCell ref="I852:N852"/>
    <mergeCell ref="O852:R852"/>
    <mergeCell ref="S852:V852"/>
    <mergeCell ref="W852:Z852"/>
    <mergeCell ref="AA852:AD852"/>
    <mergeCell ref="F847:G847"/>
    <mergeCell ref="I847:N847"/>
    <mergeCell ref="O847:R847"/>
    <mergeCell ref="S847:V847"/>
    <mergeCell ref="W847:Z847"/>
    <mergeCell ref="AA847:AD847"/>
    <mergeCell ref="F848:G848"/>
    <mergeCell ref="I848:N848"/>
    <mergeCell ref="O848:R848"/>
    <mergeCell ref="S848:V848"/>
    <mergeCell ref="W848:Z848"/>
    <mergeCell ref="AA848:AD848"/>
    <mergeCell ref="F849:G849"/>
    <mergeCell ref="I849:N849"/>
    <mergeCell ref="O849:R849"/>
    <mergeCell ref="S849:V849"/>
    <mergeCell ref="W849:Z849"/>
    <mergeCell ref="AA849:AD849"/>
    <mergeCell ref="C842:C875"/>
    <mergeCell ref="D842:E875"/>
    <mergeCell ref="F842:G842"/>
    <mergeCell ref="H842:N842"/>
    <mergeCell ref="O842:R842"/>
    <mergeCell ref="S842:V842"/>
    <mergeCell ref="W842:Z842"/>
    <mergeCell ref="AA842:AD842"/>
    <mergeCell ref="F843:G843"/>
    <mergeCell ref="I843:N843"/>
    <mergeCell ref="O843:R843"/>
    <mergeCell ref="S843:V843"/>
    <mergeCell ref="W843:Z843"/>
    <mergeCell ref="AA843:AD843"/>
    <mergeCell ref="F844:G844"/>
    <mergeCell ref="I844:N844"/>
    <mergeCell ref="O844:R844"/>
    <mergeCell ref="S844:V844"/>
    <mergeCell ref="W844:Z844"/>
    <mergeCell ref="AA844:AD844"/>
    <mergeCell ref="F845:G845"/>
    <mergeCell ref="I845:N845"/>
    <mergeCell ref="O845:R845"/>
    <mergeCell ref="S845:V845"/>
    <mergeCell ref="W845:Z845"/>
    <mergeCell ref="AA845:AD845"/>
    <mergeCell ref="F846:G846"/>
    <mergeCell ref="I846:N846"/>
    <mergeCell ref="O846:R846"/>
    <mergeCell ref="S846:V846"/>
    <mergeCell ref="W846:Z846"/>
    <mergeCell ref="AA846:AD846"/>
    <mergeCell ref="F839:G839"/>
    <mergeCell ref="H839:N839"/>
    <mergeCell ref="O839:R839"/>
    <mergeCell ref="S839:V839"/>
    <mergeCell ref="W839:Z839"/>
    <mergeCell ref="AA839:AD839"/>
    <mergeCell ref="F840:G840"/>
    <mergeCell ref="H840:N840"/>
    <mergeCell ref="O840:R840"/>
    <mergeCell ref="S840:V840"/>
    <mergeCell ref="W840:Z840"/>
    <mergeCell ref="AA840:AD840"/>
    <mergeCell ref="F841:G841"/>
    <mergeCell ref="H841:N841"/>
    <mergeCell ref="O841:R841"/>
    <mergeCell ref="S841:V841"/>
    <mergeCell ref="W841:Z841"/>
    <mergeCell ref="AA841:AD841"/>
    <mergeCell ref="F836:G836"/>
    <mergeCell ref="I836:N836"/>
    <mergeCell ref="O836:R836"/>
    <mergeCell ref="S836:V836"/>
    <mergeCell ref="W836:Z836"/>
    <mergeCell ref="AA836:AD836"/>
    <mergeCell ref="F837:G837"/>
    <mergeCell ref="I837:N837"/>
    <mergeCell ref="O837:R837"/>
    <mergeCell ref="S837:V837"/>
    <mergeCell ref="W837:Z837"/>
    <mergeCell ref="AA837:AD837"/>
    <mergeCell ref="F838:G838"/>
    <mergeCell ref="I838:N838"/>
    <mergeCell ref="O838:R838"/>
    <mergeCell ref="S838:V838"/>
    <mergeCell ref="W838:Z838"/>
    <mergeCell ref="AA838:AD838"/>
    <mergeCell ref="F833:G833"/>
    <mergeCell ref="H833:N833"/>
    <mergeCell ref="O833:R833"/>
    <mergeCell ref="S833:V833"/>
    <mergeCell ref="W833:Z833"/>
    <mergeCell ref="AA833:AD833"/>
    <mergeCell ref="F834:G834"/>
    <mergeCell ref="I834:N834"/>
    <mergeCell ref="O834:R834"/>
    <mergeCell ref="S834:V834"/>
    <mergeCell ref="W834:Z834"/>
    <mergeCell ref="AA834:AD834"/>
    <mergeCell ref="F835:G835"/>
    <mergeCell ref="I835:N835"/>
    <mergeCell ref="O835:R835"/>
    <mergeCell ref="S835:V835"/>
    <mergeCell ref="W835:Z835"/>
    <mergeCell ref="AA835:AD835"/>
    <mergeCell ref="F828:G828"/>
    <mergeCell ref="I828:N828"/>
    <mergeCell ref="O828:R828"/>
    <mergeCell ref="S828:V828"/>
    <mergeCell ref="W828:Z828"/>
    <mergeCell ref="AA828:AD828"/>
    <mergeCell ref="F829:G829"/>
    <mergeCell ref="H829:N829"/>
    <mergeCell ref="O829:R829"/>
    <mergeCell ref="S829:V829"/>
    <mergeCell ref="W829:Z829"/>
    <mergeCell ref="AA829:AD829"/>
    <mergeCell ref="C830:C841"/>
    <mergeCell ref="D830:E841"/>
    <mergeCell ref="F830:G830"/>
    <mergeCell ref="H830:N830"/>
    <mergeCell ref="O830:R830"/>
    <mergeCell ref="S830:V830"/>
    <mergeCell ref="W830:Z830"/>
    <mergeCell ref="AA830:AD830"/>
    <mergeCell ref="F831:G831"/>
    <mergeCell ref="H831:N831"/>
    <mergeCell ref="O831:R831"/>
    <mergeCell ref="S831:V831"/>
    <mergeCell ref="W831:Z831"/>
    <mergeCell ref="AA831:AD831"/>
    <mergeCell ref="F832:G832"/>
    <mergeCell ref="H832:N832"/>
    <mergeCell ref="O832:R832"/>
    <mergeCell ref="S832:V832"/>
    <mergeCell ref="W832:Z832"/>
    <mergeCell ref="AA832:AD832"/>
    <mergeCell ref="F825:G825"/>
    <mergeCell ref="I825:N825"/>
    <mergeCell ref="O825:R825"/>
    <mergeCell ref="S825:V825"/>
    <mergeCell ref="W825:Z825"/>
    <mergeCell ref="AA825:AD825"/>
    <mergeCell ref="F826:G826"/>
    <mergeCell ref="I826:N826"/>
    <mergeCell ref="O826:R826"/>
    <mergeCell ref="S826:V826"/>
    <mergeCell ref="W826:Z826"/>
    <mergeCell ref="AA826:AD826"/>
    <mergeCell ref="F827:G827"/>
    <mergeCell ref="I827:N827"/>
    <mergeCell ref="O827:R827"/>
    <mergeCell ref="S827:V827"/>
    <mergeCell ref="W827:Z827"/>
    <mergeCell ref="AA827:AD827"/>
    <mergeCell ref="F822:G822"/>
    <mergeCell ref="H822:N822"/>
    <mergeCell ref="O822:R822"/>
    <mergeCell ref="S822:V822"/>
    <mergeCell ref="W822:Z822"/>
    <mergeCell ref="AA822:AD822"/>
    <mergeCell ref="F823:G823"/>
    <mergeCell ref="I823:N823"/>
    <mergeCell ref="O823:R823"/>
    <mergeCell ref="S823:V823"/>
    <mergeCell ref="W823:Z823"/>
    <mergeCell ref="AA823:AD823"/>
    <mergeCell ref="F824:G824"/>
    <mergeCell ref="I824:N824"/>
    <mergeCell ref="O824:R824"/>
    <mergeCell ref="S824:V824"/>
    <mergeCell ref="W824:Z824"/>
    <mergeCell ref="AA824:AD824"/>
    <mergeCell ref="C817:C829"/>
    <mergeCell ref="D817:E829"/>
    <mergeCell ref="F817:G817"/>
    <mergeCell ref="H817:N817"/>
    <mergeCell ref="O817:R817"/>
    <mergeCell ref="S817:V817"/>
    <mergeCell ref="W817:Z817"/>
    <mergeCell ref="AA817:AD817"/>
    <mergeCell ref="F818:G818"/>
    <mergeCell ref="H818:N818"/>
    <mergeCell ref="O818:R818"/>
    <mergeCell ref="S818:V818"/>
    <mergeCell ref="W818:Z818"/>
    <mergeCell ref="AA818:AD818"/>
    <mergeCell ref="F819:G819"/>
    <mergeCell ref="H819:N819"/>
    <mergeCell ref="O819:R819"/>
    <mergeCell ref="S819:V819"/>
    <mergeCell ref="W819:Z819"/>
    <mergeCell ref="AA819:AD819"/>
    <mergeCell ref="F820:G820"/>
    <mergeCell ref="H820:N820"/>
    <mergeCell ref="O820:R820"/>
    <mergeCell ref="S820:V820"/>
    <mergeCell ref="W820:Z820"/>
    <mergeCell ref="AA820:AD820"/>
    <mergeCell ref="F821:G821"/>
    <mergeCell ref="H821:N821"/>
    <mergeCell ref="O821:R821"/>
    <mergeCell ref="S821:V821"/>
    <mergeCell ref="W821:Z821"/>
    <mergeCell ref="AA821:AD821"/>
    <mergeCell ref="C812:C816"/>
    <mergeCell ref="D812:E816"/>
    <mergeCell ref="F812:G812"/>
    <mergeCell ref="H812:N812"/>
    <mergeCell ref="O812:R812"/>
    <mergeCell ref="S812:V812"/>
    <mergeCell ref="W812:Z812"/>
    <mergeCell ref="AA812:AD812"/>
    <mergeCell ref="F813:G813"/>
    <mergeCell ref="H813:N813"/>
    <mergeCell ref="O813:R813"/>
    <mergeCell ref="S813:V813"/>
    <mergeCell ref="W813:Z813"/>
    <mergeCell ref="AA813:AD813"/>
    <mergeCell ref="F814:G814"/>
    <mergeCell ref="H814:N814"/>
    <mergeCell ref="O814:R814"/>
    <mergeCell ref="S814:V814"/>
    <mergeCell ref="W814:Z814"/>
    <mergeCell ref="AA814:AD814"/>
    <mergeCell ref="F815:G815"/>
    <mergeCell ref="H815:N815"/>
    <mergeCell ref="O815:R815"/>
    <mergeCell ref="S815:V815"/>
    <mergeCell ref="W815:Z815"/>
    <mergeCell ref="AA815:AD815"/>
    <mergeCell ref="F816:G816"/>
    <mergeCell ref="H816:N816"/>
    <mergeCell ref="O816:R816"/>
    <mergeCell ref="S816:V816"/>
    <mergeCell ref="W816:Z816"/>
    <mergeCell ref="AA816:AD816"/>
    <mergeCell ref="C677:AD677"/>
    <mergeCell ref="C808:AD808"/>
    <mergeCell ref="C810:E811"/>
    <mergeCell ref="F810:G811"/>
    <mergeCell ref="H810:N811"/>
    <mergeCell ref="O810:AD810"/>
    <mergeCell ref="O811:R811"/>
    <mergeCell ref="S811:V811"/>
    <mergeCell ref="W811:Z811"/>
    <mergeCell ref="AA811:AD811"/>
    <mergeCell ref="O790:R790"/>
    <mergeCell ref="S790:V790"/>
    <mergeCell ref="W790:Z790"/>
    <mergeCell ref="AA790:AD790"/>
    <mergeCell ref="D789:H789"/>
    <mergeCell ref="I789:N789"/>
    <mergeCell ref="O789:R789"/>
    <mergeCell ref="S789:V789"/>
    <mergeCell ref="W789:Z789"/>
    <mergeCell ref="AA789:AD789"/>
    <mergeCell ref="C806:AD806"/>
    <mergeCell ref="C807:AD807"/>
    <mergeCell ref="B800:AD800"/>
    <mergeCell ref="C801:AD801"/>
    <mergeCell ref="B798:AE798"/>
    <mergeCell ref="I786:N786"/>
    <mergeCell ref="O786:R786"/>
    <mergeCell ref="S787:V787"/>
    <mergeCell ref="W787:Z787"/>
    <mergeCell ref="AA787:AD787"/>
    <mergeCell ref="D788:H788"/>
    <mergeCell ref="I788:N788"/>
    <mergeCell ref="C235:E235"/>
    <mergeCell ref="F235:L235"/>
    <mergeCell ref="M235:R235"/>
    <mergeCell ref="S235:X235"/>
    <mergeCell ref="Y235:AD235"/>
    <mergeCell ref="S786:V786"/>
    <mergeCell ref="C236:E236"/>
    <mergeCell ref="F236:L236"/>
    <mergeCell ref="M236:R236"/>
    <mergeCell ref="S236:X236"/>
    <mergeCell ref="Y236:AD236"/>
    <mergeCell ref="C238:G238"/>
    <mergeCell ref="H238:AD238"/>
    <mergeCell ref="C240:G240"/>
    <mergeCell ref="H240:AD240"/>
    <mergeCell ref="C242:G242"/>
    <mergeCell ref="H242:AD242"/>
    <mergeCell ref="C244:G244"/>
    <mergeCell ref="H244:AD244"/>
    <mergeCell ref="C246:AD246"/>
    <mergeCell ref="D247:AD247"/>
    <mergeCell ref="D248:AD248"/>
    <mergeCell ref="D249:AD249"/>
    <mergeCell ref="B239:AE239"/>
    <mergeCell ref="B241:AE241"/>
    <mergeCell ref="B243:AE243"/>
    <mergeCell ref="B245:AE245"/>
    <mergeCell ref="D477:R477"/>
    <mergeCell ref="D478:R478"/>
    <mergeCell ref="C572:AD572"/>
    <mergeCell ref="C573:AD573"/>
    <mergeCell ref="C609:AD609"/>
    <mergeCell ref="F231:L231"/>
    <mergeCell ref="M231:R231"/>
    <mergeCell ref="S231:X231"/>
    <mergeCell ref="Y231:AD231"/>
    <mergeCell ref="F232:L232"/>
    <mergeCell ref="M232:R232"/>
    <mergeCell ref="S232:X232"/>
    <mergeCell ref="Y232:AD232"/>
    <mergeCell ref="C233:E233"/>
    <mergeCell ref="F233:L233"/>
    <mergeCell ref="M233:R233"/>
    <mergeCell ref="S233:X233"/>
    <mergeCell ref="Y233:AD233"/>
    <mergeCell ref="C234:E234"/>
    <mergeCell ref="F234:L234"/>
    <mergeCell ref="M234:R234"/>
    <mergeCell ref="S234:X234"/>
    <mergeCell ref="Y234:AD234"/>
    <mergeCell ref="S226:X226"/>
    <mergeCell ref="Y226:AD226"/>
    <mergeCell ref="F227:L227"/>
    <mergeCell ref="M227:R227"/>
    <mergeCell ref="S227:X227"/>
    <mergeCell ref="Y227:AD227"/>
    <mergeCell ref="F228:L228"/>
    <mergeCell ref="M228:R228"/>
    <mergeCell ref="S228:X228"/>
    <mergeCell ref="Y228:AD228"/>
    <mergeCell ref="F229:L229"/>
    <mergeCell ref="M229:R229"/>
    <mergeCell ref="S229:X229"/>
    <mergeCell ref="Y229:AD229"/>
    <mergeCell ref="F230:L230"/>
    <mergeCell ref="M230:R230"/>
    <mergeCell ref="S230:X230"/>
    <mergeCell ref="Y230:AD230"/>
    <mergeCell ref="M219:R219"/>
    <mergeCell ref="S219:X219"/>
    <mergeCell ref="Y219:AD219"/>
    <mergeCell ref="C220:E220"/>
    <mergeCell ref="F220:L220"/>
    <mergeCell ref="M220:R220"/>
    <mergeCell ref="S220:X220"/>
    <mergeCell ref="Y220:AD220"/>
    <mergeCell ref="C221:E221"/>
    <mergeCell ref="F221:L221"/>
    <mergeCell ref="M221:R221"/>
    <mergeCell ref="S221:X221"/>
    <mergeCell ref="Y221:AD221"/>
    <mergeCell ref="C222:D232"/>
    <mergeCell ref="F222:L222"/>
    <mergeCell ref="M222:R222"/>
    <mergeCell ref="S222:X222"/>
    <mergeCell ref="Y222:AD222"/>
    <mergeCell ref="F223:L223"/>
    <mergeCell ref="M223:R223"/>
    <mergeCell ref="S223:X223"/>
    <mergeCell ref="Y223:AD223"/>
    <mergeCell ref="F224:L224"/>
    <mergeCell ref="M224:R224"/>
    <mergeCell ref="S224:X224"/>
    <mergeCell ref="Y224:AD224"/>
    <mergeCell ref="F225:L225"/>
    <mergeCell ref="M225:R225"/>
    <mergeCell ref="S225:X225"/>
    <mergeCell ref="Y225:AD225"/>
    <mergeCell ref="F226:L226"/>
    <mergeCell ref="M226:R226"/>
    <mergeCell ref="F212:L212"/>
    <mergeCell ref="M212:R212"/>
    <mergeCell ref="S207:X207"/>
    <mergeCell ref="M208:R208"/>
    <mergeCell ref="S208:X208"/>
    <mergeCell ref="Y208:AD208"/>
    <mergeCell ref="F209:L209"/>
    <mergeCell ref="M209:R209"/>
    <mergeCell ref="S209:X209"/>
    <mergeCell ref="Y209:AD209"/>
    <mergeCell ref="F210:L210"/>
    <mergeCell ref="M210:R210"/>
    <mergeCell ref="S210:X210"/>
    <mergeCell ref="Y210:AD210"/>
    <mergeCell ref="C212:D219"/>
    <mergeCell ref="F215:L215"/>
    <mergeCell ref="M215:R215"/>
    <mergeCell ref="S215:X215"/>
    <mergeCell ref="Y215:AD215"/>
    <mergeCell ref="F216:L216"/>
    <mergeCell ref="M216:R216"/>
    <mergeCell ref="S216:X216"/>
    <mergeCell ref="Y216:AD216"/>
    <mergeCell ref="F217:L217"/>
    <mergeCell ref="M217:R217"/>
    <mergeCell ref="S217:X217"/>
    <mergeCell ref="Y217:AD217"/>
    <mergeCell ref="F218:L218"/>
    <mergeCell ref="M218:R218"/>
    <mergeCell ref="S218:X218"/>
    <mergeCell ref="Y218:AD218"/>
    <mergeCell ref="F219:L219"/>
    <mergeCell ref="C130:G130"/>
    <mergeCell ref="H130:AD130"/>
    <mergeCell ref="C132:G132"/>
    <mergeCell ref="H132:AD132"/>
    <mergeCell ref="C134:G134"/>
    <mergeCell ref="H134:AD134"/>
    <mergeCell ref="C136:AD136"/>
    <mergeCell ref="D137:AD137"/>
    <mergeCell ref="D138:AD138"/>
    <mergeCell ref="D139:AD139"/>
    <mergeCell ref="D140:AD140"/>
    <mergeCell ref="D141:AD141"/>
    <mergeCell ref="D142:AD142"/>
    <mergeCell ref="D143:AD143"/>
    <mergeCell ref="D144:AD144"/>
    <mergeCell ref="C146:AD146"/>
    <mergeCell ref="C147:AD147"/>
    <mergeCell ref="C124:E124"/>
    <mergeCell ref="F124:L124"/>
    <mergeCell ref="M124:R124"/>
    <mergeCell ref="S124:X124"/>
    <mergeCell ref="Y124:AD124"/>
    <mergeCell ref="C125:E125"/>
    <mergeCell ref="F125:L125"/>
    <mergeCell ref="M125:R125"/>
    <mergeCell ref="S125:X125"/>
    <mergeCell ref="Y125:AD125"/>
    <mergeCell ref="C126:E126"/>
    <mergeCell ref="F126:L126"/>
    <mergeCell ref="M126:R126"/>
    <mergeCell ref="S126:X126"/>
    <mergeCell ref="Y126:AD126"/>
    <mergeCell ref="C128:G128"/>
    <mergeCell ref="H128:AD128"/>
    <mergeCell ref="F122:L122"/>
    <mergeCell ref="M122:R122"/>
    <mergeCell ref="S122:X122"/>
    <mergeCell ref="Y122:AD122"/>
    <mergeCell ref="C123:E123"/>
    <mergeCell ref="F123:L123"/>
    <mergeCell ref="M123:R123"/>
    <mergeCell ref="S123:X123"/>
    <mergeCell ref="Y123:AD123"/>
    <mergeCell ref="C112:D122"/>
    <mergeCell ref="F112:L112"/>
    <mergeCell ref="M112:R112"/>
    <mergeCell ref="S112:X112"/>
    <mergeCell ref="Y112:AD112"/>
    <mergeCell ref="F113:L113"/>
    <mergeCell ref="M113:R113"/>
    <mergeCell ref="S113:X113"/>
    <mergeCell ref="Y113:AD113"/>
    <mergeCell ref="F114:L114"/>
    <mergeCell ref="M114:R114"/>
    <mergeCell ref="S114:X114"/>
    <mergeCell ref="Y114:AD114"/>
    <mergeCell ref="F115:L115"/>
    <mergeCell ref="M115:R115"/>
    <mergeCell ref="F117:L117"/>
    <mergeCell ref="M117:R117"/>
    <mergeCell ref="S117:X117"/>
    <mergeCell ref="Y117:AD117"/>
    <mergeCell ref="F118:L118"/>
    <mergeCell ref="M118:R118"/>
    <mergeCell ref="S118:X118"/>
    <mergeCell ref="Y118:AD118"/>
    <mergeCell ref="F119:L119"/>
    <mergeCell ref="M119:R119"/>
    <mergeCell ref="S119:X119"/>
    <mergeCell ref="Y119:AD119"/>
    <mergeCell ref="F120:L120"/>
    <mergeCell ref="M120:R120"/>
    <mergeCell ref="S120:X120"/>
    <mergeCell ref="Y120:AD120"/>
    <mergeCell ref="F121:L121"/>
    <mergeCell ref="M121:R121"/>
    <mergeCell ref="S121:X121"/>
    <mergeCell ref="Y121:AD121"/>
    <mergeCell ref="F109:L109"/>
    <mergeCell ref="M109:R109"/>
    <mergeCell ref="S109:X109"/>
    <mergeCell ref="Y109:AD109"/>
    <mergeCell ref="C110:E110"/>
    <mergeCell ref="F110:L110"/>
    <mergeCell ref="M110:R110"/>
    <mergeCell ref="S110:X110"/>
    <mergeCell ref="Y110:AD110"/>
    <mergeCell ref="C111:E111"/>
    <mergeCell ref="F111:L111"/>
    <mergeCell ref="M111:R111"/>
    <mergeCell ref="S111:X111"/>
    <mergeCell ref="Y111:AD111"/>
    <mergeCell ref="S115:X115"/>
    <mergeCell ref="Y115:AD115"/>
    <mergeCell ref="F116:L116"/>
    <mergeCell ref="M116:R116"/>
    <mergeCell ref="S116:X116"/>
    <mergeCell ref="Y116:AD116"/>
    <mergeCell ref="Y104:AD104"/>
    <mergeCell ref="F105:L105"/>
    <mergeCell ref="M105:R105"/>
    <mergeCell ref="S105:X105"/>
    <mergeCell ref="Y105:AD105"/>
    <mergeCell ref="F106:L106"/>
    <mergeCell ref="M106:R106"/>
    <mergeCell ref="S106:X106"/>
    <mergeCell ref="Y106:AD106"/>
    <mergeCell ref="F107:L107"/>
    <mergeCell ref="M107:R107"/>
    <mergeCell ref="S107:X107"/>
    <mergeCell ref="Y107:AD107"/>
    <mergeCell ref="F108:L108"/>
    <mergeCell ref="M108:R108"/>
    <mergeCell ref="S108:X108"/>
    <mergeCell ref="Y108:AD108"/>
    <mergeCell ref="F97:L97"/>
    <mergeCell ref="M97:R97"/>
    <mergeCell ref="S97:X97"/>
    <mergeCell ref="Y97:AD97"/>
    <mergeCell ref="F98:L98"/>
    <mergeCell ref="M98:R98"/>
    <mergeCell ref="S98:X98"/>
    <mergeCell ref="Y98:AD98"/>
    <mergeCell ref="F99:L99"/>
    <mergeCell ref="M99:R99"/>
    <mergeCell ref="S99:X99"/>
    <mergeCell ref="Y99:AD99"/>
    <mergeCell ref="F100:L100"/>
    <mergeCell ref="M100:R100"/>
    <mergeCell ref="S100:X100"/>
    <mergeCell ref="Y100:AD100"/>
    <mergeCell ref="Y103:AD103"/>
    <mergeCell ref="O788:R788"/>
    <mergeCell ref="S788:V788"/>
    <mergeCell ref="W788:Z788"/>
    <mergeCell ref="AA788:AD788"/>
    <mergeCell ref="S782:V782"/>
    <mergeCell ref="W782:Z782"/>
    <mergeCell ref="AA782:AD782"/>
    <mergeCell ref="D783:H783"/>
    <mergeCell ref="I783:N783"/>
    <mergeCell ref="O783:R783"/>
    <mergeCell ref="S783:V783"/>
    <mergeCell ref="W783:Z783"/>
    <mergeCell ref="AA783:AD783"/>
    <mergeCell ref="D784:H784"/>
    <mergeCell ref="I784:N784"/>
    <mergeCell ref="O784:R784"/>
    <mergeCell ref="S784:V784"/>
    <mergeCell ref="W784:Z784"/>
    <mergeCell ref="AA784:AD784"/>
    <mergeCell ref="D785:H785"/>
    <mergeCell ref="I785:N785"/>
    <mergeCell ref="O785:R785"/>
    <mergeCell ref="S785:V785"/>
    <mergeCell ref="W785:Z785"/>
    <mergeCell ref="AA785:AD785"/>
    <mergeCell ref="O782:R782"/>
    <mergeCell ref="W786:Z786"/>
    <mergeCell ref="D557:R557"/>
    <mergeCell ref="D558:R558"/>
    <mergeCell ref="C548:AD548"/>
    <mergeCell ref="C550:R553"/>
    <mergeCell ref="S550:AD550"/>
    <mergeCell ref="S551:AA551"/>
    <mergeCell ref="S552:U552"/>
    <mergeCell ref="V552:X552"/>
    <mergeCell ref="Y552:AA552"/>
    <mergeCell ref="B570:AD570"/>
    <mergeCell ref="C571:AD571"/>
    <mergeCell ref="B565:AE565"/>
    <mergeCell ref="B566:AE566"/>
    <mergeCell ref="B567:AE567"/>
    <mergeCell ref="B568:AE568"/>
    <mergeCell ref="B569:AE569"/>
    <mergeCell ref="AB551:AD552"/>
    <mergeCell ref="D318:P318"/>
    <mergeCell ref="D319:P319"/>
    <mergeCell ref="D320:P320"/>
    <mergeCell ref="B307:AD307"/>
    <mergeCell ref="C308:AD308"/>
    <mergeCell ref="C101:E101"/>
    <mergeCell ref="F101:L101"/>
    <mergeCell ref="M101:R101"/>
    <mergeCell ref="R179:AD179"/>
    <mergeCell ref="D180:P180"/>
    <mergeCell ref="R180:AD180"/>
    <mergeCell ref="D181:P181"/>
    <mergeCell ref="R181:AD181"/>
    <mergeCell ref="D182:P182"/>
    <mergeCell ref="R182:AD182"/>
    <mergeCell ref="B154:AD154"/>
    <mergeCell ref="B155:AD155"/>
    <mergeCell ref="B158:AD158"/>
    <mergeCell ref="C156:AD156"/>
    <mergeCell ref="S101:X101"/>
    <mergeCell ref="Y101:AD101"/>
    <mergeCell ref="C102:D109"/>
    <mergeCell ref="F102:L102"/>
    <mergeCell ref="M102:R102"/>
    <mergeCell ref="S102:X102"/>
    <mergeCell ref="Y102:AD102"/>
    <mergeCell ref="F103:L103"/>
    <mergeCell ref="M103:R103"/>
    <mergeCell ref="S103:X103"/>
    <mergeCell ref="F104:L104"/>
    <mergeCell ref="M104:R104"/>
    <mergeCell ref="S104:X104"/>
    <mergeCell ref="C163:G164"/>
    <mergeCell ref="AA70:AD70"/>
    <mergeCell ref="D171:G171"/>
    <mergeCell ref="H171:I171"/>
    <mergeCell ref="D172:G172"/>
    <mergeCell ref="H172:I172"/>
    <mergeCell ref="B64:AD64"/>
    <mergeCell ref="C310:AD310"/>
    <mergeCell ref="C176:AD176"/>
    <mergeCell ref="D177:P177"/>
    <mergeCell ref="R177:AD177"/>
    <mergeCell ref="D178:P178"/>
    <mergeCell ref="R178:AD178"/>
    <mergeCell ref="D179:P179"/>
    <mergeCell ref="AA75:AD75"/>
    <mergeCell ref="D74:L74"/>
    <mergeCell ref="M74:R74"/>
    <mergeCell ref="D71:L71"/>
    <mergeCell ref="M71:R71"/>
    <mergeCell ref="S71:V71"/>
    <mergeCell ref="W71:Z71"/>
    <mergeCell ref="AA71:AD71"/>
    <mergeCell ref="D70:L70"/>
    <mergeCell ref="M70:R70"/>
    <mergeCell ref="S70:V70"/>
    <mergeCell ref="W70:Z70"/>
    <mergeCell ref="C309:AD309"/>
    <mergeCell ref="C96:L96"/>
    <mergeCell ref="M96:R96"/>
    <mergeCell ref="S96:X96"/>
    <mergeCell ref="Y96:AD96"/>
    <mergeCell ref="C97:D100"/>
    <mergeCell ref="B10:AD10"/>
    <mergeCell ref="C11:AD11"/>
    <mergeCell ref="C25:AD25"/>
    <mergeCell ref="P401:U401"/>
    <mergeCell ref="D371:O371"/>
    <mergeCell ref="P371:U371"/>
    <mergeCell ref="D372:O372"/>
    <mergeCell ref="P372:U372"/>
    <mergeCell ref="D373:O373"/>
    <mergeCell ref="P373:U373"/>
    <mergeCell ref="D374:O374"/>
    <mergeCell ref="P374:U374"/>
    <mergeCell ref="D375:O375"/>
    <mergeCell ref="P375:U375"/>
    <mergeCell ref="D376:O376"/>
    <mergeCell ref="P376:U376"/>
    <mergeCell ref="D377:O377"/>
    <mergeCell ref="P377:U377"/>
    <mergeCell ref="D378:O378"/>
    <mergeCell ref="P378:U378"/>
    <mergeCell ref="C391:O393"/>
    <mergeCell ref="P391:U393"/>
    <mergeCell ref="C382:AD382"/>
    <mergeCell ref="C159:AD159"/>
    <mergeCell ref="C160:AD160"/>
    <mergeCell ref="C201:AD201"/>
    <mergeCell ref="C266:AD266"/>
    <mergeCell ref="C275:AD275"/>
    <mergeCell ref="C38:E38"/>
    <mergeCell ref="B56:AD56"/>
    <mergeCell ref="C58:AD58"/>
    <mergeCell ref="B60:AD60"/>
    <mergeCell ref="C66:AD66"/>
    <mergeCell ref="C68:L69"/>
    <mergeCell ref="F38:AD38"/>
    <mergeCell ref="C40:AD40"/>
    <mergeCell ref="D41:P41"/>
    <mergeCell ref="R41:AD41"/>
    <mergeCell ref="C18:AD18"/>
    <mergeCell ref="B1:AD1"/>
    <mergeCell ref="B3:AD3"/>
    <mergeCell ref="B5:AD5"/>
    <mergeCell ref="AA7:AD7"/>
    <mergeCell ref="B8:L8"/>
    <mergeCell ref="N8:O8"/>
    <mergeCell ref="B22:AD22"/>
    <mergeCell ref="C23:AD23"/>
    <mergeCell ref="B20:AD20"/>
    <mergeCell ref="D42:P42"/>
    <mergeCell ref="R42:AD42"/>
    <mergeCell ref="D32:L32"/>
    <mergeCell ref="M32:R32"/>
    <mergeCell ref="D33:L33"/>
    <mergeCell ref="M33:R33"/>
    <mergeCell ref="D34:L34"/>
    <mergeCell ref="M34:R34"/>
    <mergeCell ref="D29:L29"/>
    <mergeCell ref="M29:R29"/>
    <mergeCell ref="D30:L30"/>
    <mergeCell ref="M30:R30"/>
    <mergeCell ref="D31:L31"/>
    <mergeCell ref="M31:R31"/>
    <mergeCell ref="C27:L28"/>
    <mergeCell ref="M27:R28"/>
    <mergeCell ref="C12:AD12"/>
    <mergeCell ref="C13:AD13"/>
    <mergeCell ref="C16:AD16"/>
    <mergeCell ref="C17:AD17"/>
    <mergeCell ref="D44:P44"/>
    <mergeCell ref="R44:AD44"/>
    <mergeCell ref="D45:P45"/>
    <mergeCell ref="R45:AD45"/>
    <mergeCell ref="D46:P46"/>
    <mergeCell ref="R46:AD46"/>
    <mergeCell ref="D43:P43"/>
    <mergeCell ref="R43:AD43"/>
    <mergeCell ref="D35:L35"/>
    <mergeCell ref="M35:R35"/>
    <mergeCell ref="D36:L36"/>
    <mergeCell ref="M36:R36"/>
    <mergeCell ref="C65:AD65"/>
    <mergeCell ref="S27:AD27"/>
    <mergeCell ref="C14:AD14"/>
    <mergeCell ref="C15:AD15"/>
    <mergeCell ref="C24:AD24"/>
    <mergeCell ref="B61:AD61"/>
    <mergeCell ref="C48:AD48"/>
    <mergeCell ref="C49:AD49"/>
    <mergeCell ref="C62:AD62"/>
    <mergeCell ref="S76:V76"/>
    <mergeCell ref="W76:Z76"/>
    <mergeCell ref="AA76:AD76"/>
    <mergeCell ref="C91:AD91"/>
    <mergeCell ref="C93:AD93"/>
    <mergeCell ref="C92:AD92"/>
    <mergeCell ref="S74:V74"/>
    <mergeCell ref="W74:Z74"/>
    <mergeCell ref="AA74:AD74"/>
    <mergeCell ref="D73:L73"/>
    <mergeCell ref="M73:R73"/>
    <mergeCell ref="S73:V73"/>
    <mergeCell ref="W73:Z73"/>
    <mergeCell ref="AA73:AD73"/>
    <mergeCell ref="D72:L72"/>
    <mergeCell ref="M72:R72"/>
    <mergeCell ref="S72:V72"/>
    <mergeCell ref="W72:Z72"/>
    <mergeCell ref="AA72:AD72"/>
    <mergeCell ref="M68:R69"/>
    <mergeCell ref="S68:AD68"/>
    <mergeCell ref="S69:V69"/>
    <mergeCell ref="W69:Z69"/>
    <mergeCell ref="AA69:AD69"/>
    <mergeCell ref="D75:L75"/>
    <mergeCell ref="M75:R75"/>
    <mergeCell ref="S75:V75"/>
    <mergeCell ref="W75:Z75"/>
    <mergeCell ref="C161:AD161"/>
    <mergeCell ref="H163:I164"/>
    <mergeCell ref="J163:AD163"/>
    <mergeCell ref="D165:G165"/>
    <mergeCell ref="H165:I165"/>
    <mergeCell ref="D166:G166"/>
    <mergeCell ref="H166:I166"/>
    <mergeCell ref="D167:G167"/>
    <mergeCell ref="H167:I167"/>
    <mergeCell ref="C90:AD90"/>
    <mergeCell ref="C94:AD94"/>
    <mergeCell ref="C79:AD79"/>
    <mergeCell ref="C80:AD80"/>
    <mergeCell ref="B87:AD87"/>
    <mergeCell ref="C88:AD88"/>
    <mergeCell ref="C89:AD89"/>
    <mergeCell ref="D77:L77"/>
    <mergeCell ref="M77:R77"/>
    <mergeCell ref="S77:V77"/>
    <mergeCell ref="W77:Z77"/>
    <mergeCell ref="AA77:AD77"/>
    <mergeCell ref="D76:L76"/>
    <mergeCell ref="M76:R76"/>
    <mergeCell ref="D168:G168"/>
    <mergeCell ref="H168:I168"/>
    <mergeCell ref="D169:G169"/>
    <mergeCell ref="H169:I169"/>
    <mergeCell ref="D170:G170"/>
    <mergeCell ref="H170:I170"/>
    <mergeCell ref="C174:E174"/>
    <mergeCell ref="F174:AD174"/>
    <mergeCell ref="C198:AD198"/>
    <mergeCell ref="C199:AD199"/>
    <mergeCell ref="C200:AD200"/>
    <mergeCell ref="C189:AD189"/>
    <mergeCell ref="C190:AD190"/>
    <mergeCell ref="B197:AD197"/>
    <mergeCell ref="Y207:AD207"/>
    <mergeCell ref="F208:L208"/>
    <mergeCell ref="D187:P187"/>
    <mergeCell ref="Q187:AD187"/>
    <mergeCell ref="C202:AD202"/>
    <mergeCell ref="C203:AD203"/>
    <mergeCell ref="C204:AD204"/>
    <mergeCell ref="D183:P183"/>
    <mergeCell ref="R183:AD183"/>
    <mergeCell ref="D184:P184"/>
    <mergeCell ref="R184:AD184"/>
    <mergeCell ref="D185:P185"/>
    <mergeCell ref="R185:AD185"/>
    <mergeCell ref="D186:P186"/>
    <mergeCell ref="R186:AD186"/>
    <mergeCell ref="C206:L206"/>
    <mergeCell ref="M206:R206"/>
    <mergeCell ref="D281:M281"/>
    <mergeCell ref="N281:S281"/>
    <mergeCell ref="D282:M282"/>
    <mergeCell ref="N282:S282"/>
    <mergeCell ref="D283:M283"/>
    <mergeCell ref="N283:S283"/>
    <mergeCell ref="C276:AD276"/>
    <mergeCell ref="C279:M280"/>
    <mergeCell ref="N279:S280"/>
    <mergeCell ref="T279:AA279"/>
    <mergeCell ref="AB279:AD279"/>
    <mergeCell ref="C267:AD267"/>
    <mergeCell ref="S206:X206"/>
    <mergeCell ref="Y206:AD206"/>
    <mergeCell ref="C207:D210"/>
    <mergeCell ref="F207:L207"/>
    <mergeCell ref="M207:R207"/>
    <mergeCell ref="M211:R211"/>
    <mergeCell ref="S211:X211"/>
    <mergeCell ref="Y211:AD211"/>
    <mergeCell ref="C211:E211"/>
    <mergeCell ref="F211:L211"/>
    <mergeCell ref="S212:X212"/>
    <mergeCell ref="Y212:AD212"/>
    <mergeCell ref="F213:L213"/>
    <mergeCell ref="M213:R213"/>
    <mergeCell ref="S213:X213"/>
    <mergeCell ref="Y213:AD213"/>
    <mergeCell ref="F214:L214"/>
    <mergeCell ref="M214:R214"/>
    <mergeCell ref="S214:X214"/>
    <mergeCell ref="Y214:AD214"/>
    <mergeCell ref="D287:M287"/>
    <mergeCell ref="N287:S287"/>
    <mergeCell ref="D288:M288"/>
    <mergeCell ref="N288:S288"/>
    <mergeCell ref="D333:O333"/>
    <mergeCell ref="C336:AD336"/>
    <mergeCell ref="C352:AD352"/>
    <mergeCell ref="C353:AD353"/>
    <mergeCell ref="B360:AD360"/>
    <mergeCell ref="D337:P337"/>
    <mergeCell ref="R337:AD337"/>
    <mergeCell ref="D338:P338"/>
    <mergeCell ref="R338:AD338"/>
    <mergeCell ref="D339:P339"/>
    <mergeCell ref="R339:AD339"/>
    <mergeCell ref="D340:P340"/>
    <mergeCell ref="R340:AD340"/>
    <mergeCell ref="D341:P341"/>
    <mergeCell ref="R341:AD341"/>
    <mergeCell ref="D342:P342"/>
    <mergeCell ref="R342:AD342"/>
    <mergeCell ref="D343:P343"/>
    <mergeCell ref="R343:AD343"/>
    <mergeCell ref="D344:P344"/>
    <mergeCell ref="D348:P348"/>
    <mergeCell ref="R348:AD348"/>
    <mergeCell ref="D349:P349"/>
    <mergeCell ref="R349:AD349"/>
    <mergeCell ref="D350:P350"/>
    <mergeCell ref="R350:AD350"/>
    <mergeCell ref="D329:O329"/>
    <mergeCell ref="D330:O330"/>
    <mergeCell ref="D396:O396"/>
    <mergeCell ref="P396:U396"/>
    <mergeCell ref="D397:O397"/>
    <mergeCell ref="P397:U397"/>
    <mergeCell ref="D398:O398"/>
    <mergeCell ref="P398:U398"/>
    <mergeCell ref="D399:O399"/>
    <mergeCell ref="P399:U399"/>
    <mergeCell ref="D400:O400"/>
    <mergeCell ref="D401:O401"/>
    <mergeCell ref="Q297:AD297"/>
    <mergeCell ref="C299:AD299"/>
    <mergeCell ref="C293:AD293"/>
    <mergeCell ref="D294:P294"/>
    <mergeCell ref="R294:AD294"/>
    <mergeCell ref="D295:P295"/>
    <mergeCell ref="R295:AD295"/>
    <mergeCell ref="C362:AD362"/>
    <mergeCell ref="C381:AD381"/>
    <mergeCell ref="D331:O331"/>
    <mergeCell ref="R344:AD344"/>
    <mergeCell ref="D345:P345"/>
    <mergeCell ref="R345:AD345"/>
    <mergeCell ref="D346:P346"/>
    <mergeCell ref="R346:AD346"/>
    <mergeCell ref="D347:P347"/>
    <mergeCell ref="R347:AD347"/>
    <mergeCell ref="C313:P314"/>
    <mergeCell ref="Q313:AD313"/>
    <mergeCell ref="D315:P315"/>
    <mergeCell ref="D316:P316"/>
    <mergeCell ref="D317:P317"/>
    <mergeCell ref="C442:AD442"/>
    <mergeCell ref="C444:R447"/>
    <mergeCell ref="S444:AD444"/>
    <mergeCell ref="S445:AA445"/>
    <mergeCell ref="AB445:AD446"/>
    <mergeCell ref="S446:U446"/>
    <mergeCell ref="V446:X446"/>
    <mergeCell ref="Y446:AA446"/>
    <mergeCell ref="B460:AE460"/>
    <mergeCell ref="B461:AE461"/>
    <mergeCell ref="B462:AE462"/>
    <mergeCell ref="B463:AE463"/>
    <mergeCell ref="C361:AD361"/>
    <mergeCell ref="C363:AD363"/>
    <mergeCell ref="C364:AD364"/>
    <mergeCell ref="C368:O370"/>
    <mergeCell ref="P368:U370"/>
    <mergeCell ref="V368:AD368"/>
    <mergeCell ref="V369:V370"/>
    <mergeCell ref="W369:W370"/>
    <mergeCell ref="X369:X370"/>
    <mergeCell ref="Y369:AA369"/>
    <mergeCell ref="AB369:AD369"/>
    <mergeCell ref="C404:AD404"/>
    <mergeCell ref="V391:AD391"/>
    <mergeCell ref="V392:V393"/>
    <mergeCell ref="W392:W393"/>
    <mergeCell ref="X392:X393"/>
    <mergeCell ref="Y392:AA392"/>
    <mergeCell ref="AB392:AD392"/>
    <mergeCell ref="D394:O394"/>
    <mergeCell ref="P394:U394"/>
    <mergeCell ref="F485:AD485"/>
    <mergeCell ref="D475:R475"/>
    <mergeCell ref="D476:R476"/>
    <mergeCell ref="D480:R480"/>
    <mergeCell ref="B486:AE486"/>
    <mergeCell ref="B489:AE489"/>
    <mergeCell ref="C467:AD467"/>
    <mergeCell ref="C468:AD468"/>
    <mergeCell ref="C469:AD469"/>
    <mergeCell ref="D453:R453"/>
    <mergeCell ref="C456:AD456"/>
    <mergeCell ref="C457:AD457"/>
    <mergeCell ref="B464:AD464"/>
    <mergeCell ref="D448:R448"/>
    <mergeCell ref="D449:R449"/>
    <mergeCell ref="D450:R450"/>
    <mergeCell ref="D451:R451"/>
    <mergeCell ref="D452:R452"/>
    <mergeCell ref="D510:L510"/>
    <mergeCell ref="M510:R510"/>
    <mergeCell ref="D511:L511"/>
    <mergeCell ref="M511:R511"/>
    <mergeCell ref="D512:L512"/>
    <mergeCell ref="M512:R512"/>
    <mergeCell ref="S472:AA472"/>
    <mergeCell ref="AB472:AD473"/>
    <mergeCell ref="S473:U473"/>
    <mergeCell ref="V473:X473"/>
    <mergeCell ref="Y473:AA473"/>
    <mergeCell ref="AA505:AD505"/>
    <mergeCell ref="C506:L509"/>
    <mergeCell ref="M506:R509"/>
    <mergeCell ref="S506:AD506"/>
    <mergeCell ref="S507:S509"/>
    <mergeCell ref="T507:T509"/>
    <mergeCell ref="U507:U509"/>
    <mergeCell ref="V507:AD507"/>
    <mergeCell ref="V508:X508"/>
    <mergeCell ref="Y508:AA508"/>
    <mergeCell ref="AB508:AD508"/>
    <mergeCell ref="B499:AD499"/>
    <mergeCell ref="C500:AD500"/>
    <mergeCell ref="B502:AD502"/>
    <mergeCell ref="C487:AD487"/>
    <mergeCell ref="C488:AD488"/>
    <mergeCell ref="B495:AD495"/>
    <mergeCell ref="B496:AD496"/>
    <mergeCell ref="D481:R481"/>
    <mergeCell ref="D482:R482"/>
    <mergeCell ref="C485:E485"/>
    <mergeCell ref="AB579:AD580"/>
    <mergeCell ref="S580:U580"/>
    <mergeCell ref="V580:X580"/>
    <mergeCell ref="Y580:AA580"/>
    <mergeCell ref="D516:L516"/>
    <mergeCell ref="M516:R516"/>
    <mergeCell ref="D517:L517"/>
    <mergeCell ref="M517:R517"/>
    <mergeCell ref="AA520:AD520"/>
    <mergeCell ref="D513:L513"/>
    <mergeCell ref="M513:R513"/>
    <mergeCell ref="D514:L514"/>
    <mergeCell ref="M514:R514"/>
    <mergeCell ref="D515:L515"/>
    <mergeCell ref="M515:R515"/>
    <mergeCell ref="D531:O531"/>
    <mergeCell ref="D532:O532"/>
    <mergeCell ref="B543:AD543"/>
    <mergeCell ref="C544:AD544"/>
    <mergeCell ref="C545:AD545"/>
    <mergeCell ref="C546:AD546"/>
    <mergeCell ref="C547:AD547"/>
    <mergeCell ref="C535:AD535"/>
    <mergeCell ref="C536:AD536"/>
    <mergeCell ref="C574:AD574"/>
    <mergeCell ref="C575:AD575"/>
    <mergeCell ref="D559:R559"/>
    <mergeCell ref="C562:AD562"/>
    <mergeCell ref="C563:AD563"/>
    <mergeCell ref="D554:R554"/>
    <mergeCell ref="D555:R555"/>
    <mergeCell ref="D556:R556"/>
    <mergeCell ref="C576:AD576"/>
    <mergeCell ref="S617:V617"/>
    <mergeCell ref="W617:Z617"/>
    <mergeCell ref="AA617:AD617"/>
    <mergeCell ref="D616:L616"/>
    <mergeCell ref="M616:R616"/>
    <mergeCell ref="S616:V616"/>
    <mergeCell ref="W616:Z616"/>
    <mergeCell ref="AA616:AD616"/>
    <mergeCell ref="D615:L615"/>
    <mergeCell ref="M615:R615"/>
    <mergeCell ref="S615:V615"/>
    <mergeCell ref="W615:Z615"/>
    <mergeCell ref="AA615:AD615"/>
    <mergeCell ref="D614:L614"/>
    <mergeCell ref="M614:R614"/>
    <mergeCell ref="S614:V614"/>
    <mergeCell ref="W614:Z614"/>
    <mergeCell ref="AA614:AD614"/>
    <mergeCell ref="D587:R587"/>
    <mergeCell ref="D588:R588"/>
    <mergeCell ref="D589:R589"/>
    <mergeCell ref="C592:E592"/>
    <mergeCell ref="F592:AD592"/>
    <mergeCell ref="D582:R582"/>
    <mergeCell ref="D583:R583"/>
    <mergeCell ref="D584:R584"/>
    <mergeCell ref="D585:R585"/>
    <mergeCell ref="D586:R586"/>
    <mergeCell ref="C578:R581"/>
    <mergeCell ref="S578:AD578"/>
    <mergeCell ref="S579:AA579"/>
    <mergeCell ref="S621:V621"/>
    <mergeCell ref="W621:Z621"/>
    <mergeCell ref="AA621:AD621"/>
    <mergeCell ref="C623:AD623"/>
    <mergeCell ref="C624:AD624"/>
    <mergeCell ref="D620:L620"/>
    <mergeCell ref="M620:R620"/>
    <mergeCell ref="S620:V620"/>
    <mergeCell ref="W620:Z620"/>
    <mergeCell ref="AA620:AD620"/>
    <mergeCell ref="D619:L619"/>
    <mergeCell ref="M619:R619"/>
    <mergeCell ref="S619:V619"/>
    <mergeCell ref="W619:Z619"/>
    <mergeCell ref="AA619:AD619"/>
    <mergeCell ref="D618:L618"/>
    <mergeCell ref="M618:R618"/>
    <mergeCell ref="S618:V618"/>
    <mergeCell ref="W618:Z618"/>
    <mergeCell ref="AA618:AD618"/>
    <mergeCell ref="D641:O641"/>
    <mergeCell ref="D642:O642"/>
    <mergeCell ref="D643:O643"/>
    <mergeCell ref="D644:O644"/>
    <mergeCell ref="D645:O645"/>
    <mergeCell ref="AA637:AD637"/>
    <mergeCell ref="C638:O640"/>
    <mergeCell ref="P638:AD638"/>
    <mergeCell ref="P639:P640"/>
    <mergeCell ref="Q639:Q640"/>
    <mergeCell ref="R639:R640"/>
    <mergeCell ref="S639:U639"/>
    <mergeCell ref="V639:X639"/>
    <mergeCell ref="Y639:AA639"/>
    <mergeCell ref="AB639:AD639"/>
    <mergeCell ref="B631:AD631"/>
    <mergeCell ref="C632:AD632"/>
    <mergeCell ref="C634:AD634"/>
    <mergeCell ref="C633:AD633"/>
    <mergeCell ref="C635:AD635"/>
    <mergeCell ref="C667:AD667"/>
    <mergeCell ref="C668:AD668"/>
    <mergeCell ref="B675:AD675"/>
    <mergeCell ref="C676:AD676"/>
    <mergeCell ref="D660:O660"/>
    <mergeCell ref="D661:O661"/>
    <mergeCell ref="D662:O662"/>
    <mergeCell ref="D655:O655"/>
    <mergeCell ref="D656:O656"/>
    <mergeCell ref="D657:O657"/>
    <mergeCell ref="D658:O658"/>
    <mergeCell ref="D659:O659"/>
    <mergeCell ref="D646:O646"/>
    <mergeCell ref="D647:O647"/>
    <mergeCell ref="D648:O648"/>
    <mergeCell ref="AA651:AD651"/>
    <mergeCell ref="C652:O654"/>
    <mergeCell ref="P652:AD652"/>
    <mergeCell ref="P653:R653"/>
    <mergeCell ref="S653:U653"/>
    <mergeCell ref="V653:X653"/>
    <mergeCell ref="Y653:AA653"/>
    <mergeCell ref="AB653:AD653"/>
    <mergeCell ref="B666:AE666"/>
    <mergeCell ref="B669:AE669"/>
    <mergeCell ref="B670:AE670"/>
    <mergeCell ref="B671:AE671"/>
    <mergeCell ref="B672:AE672"/>
    <mergeCell ref="B673:AE673"/>
    <mergeCell ref="B674:AE674"/>
    <mergeCell ref="C665:E665"/>
    <mergeCell ref="F665:AD665"/>
    <mergeCell ref="D690:L690"/>
    <mergeCell ref="D691:L691"/>
    <mergeCell ref="D692:L692"/>
    <mergeCell ref="C678:AD678"/>
    <mergeCell ref="AA681:AD681"/>
    <mergeCell ref="P683:R683"/>
    <mergeCell ref="S683:U683"/>
    <mergeCell ref="V683:X683"/>
    <mergeCell ref="Y683:AA683"/>
    <mergeCell ref="AB683:AD683"/>
    <mergeCell ref="M683:M684"/>
    <mergeCell ref="N683:N684"/>
    <mergeCell ref="O683:O684"/>
    <mergeCell ref="C682:L684"/>
    <mergeCell ref="M682:AD682"/>
    <mergeCell ref="D685:L685"/>
    <mergeCell ref="D686:L686"/>
    <mergeCell ref="D687:L687"/>
    <mergeCell ref="D688:L688"/>
    <mergeCell ref="D689:L689"/>
    <mergeCell ref="C679:AD679"/>
    <mergeCell ref="AA709:AD709"/>
    <mergeCell ref="C710:F712"/>
    <mergeCell ref="G710:AD710"/>
    <mergeCell ref="G711:I711"/>
    <mergeCell ref="J711:L711"/>
    <mergeCell ref="M711:O711"/>
    <mergeCell ref="P711:R711"/>
    <mergeCell ref="S711:U711"/>
    <mergeCell ref="V711:X711"/>
    <mergeCell ref="Y711:AA711"/>
    <mergeCell ref="AB711:AD711"/>
    <mergeCell ref="AA695:AD695"/>
    <mergeCell ref="J697:L697"/>
    <mergeCell ref="M697:O697"/>
    <mergeCell ref="P697:R697"/>
    <mergeCell ref="S697:U697"/>
    <mergeCell ref="V697:X697"/>
    <mergeCell ref="Y697:AA697"/>
    <mergeCell ref="AB697:AD697"/>
    <mergeCell ref="C696:F698"/>
    <mergeCell ref="G697:I697"/>
    <mergeCell ref="G696:AD696"/>
    <mergeCell ref="D699:F699"/>
    <mergeCell ref="D700:F700"/>
    <mergeCell ref="D701:F701"/>
    <mergeCell ref="D702:F702"/>
    <mergeCell ref="D703:F703"/>
    <mergeCell ref="D704:F704"/>
    <mergeCell ref="D705:F705"/>
    <mergeCell ref="D706:F706"/>
    <mergeCell ref="C735:AD735"/>
    <mergeCell ref="C736:AD736"/>
    <mergeCell ref="C737:AD737"/>
    <mergeCell ref="C739:J740"/>
    <mergeCell ref="K739:AD739"/>
    <mergeCell ref="K740:L740"/>
    <mergeCell ref="M740:N740"/>
    <mergeCell ref="O740:P740"/>
    <mergeCell ref="Q740:R740"/>
    <mergeCell ref="S740:T740"/>
    <mergeCell ref="U740:V740"/>
    <mergeCell ref="W740:X740"/>
    <mergeCell ref="Y740:Z740"/>
    <mergeCell ref="AA740:AB740"/>
    <mergeCell ref="AC740:AD740"/>
    <mergeCell ref="C725:AD725"/>
    <mergeCell ref="C726:AD726"/>
    <mergeCell ref="B733:AD733"/>
    <mergeCell ref="C734:AD734"/>
    <mergeCell ref="D718:F718"/>
    <mergeCell ref="D719:F719"/>
    <mergeCell ref="D720:F720"/>
    <mergeCell ref="C723:E723"/>
    <mergeCell ref="F723:AD723"/>
    <mergeCell ref="D713:F713"/>
    <mergeCell ref="D714:F714"/>
    <mergeCell ref="D715:F715"/>
    <mergeCell ref="D716:F716"/>
    <mergeCell ref="D717:F717"/>
    <mergeCell ref="AC741:AD741"/>
    <mergeCell ref="D742:J742"/>
    <mergeCell ref="K742:L742"/>
    <mergeCell ref="M742:N742"/>
    <mergeCell ref="O742:P742"/>
    <mergeCell ref="Q742:R742"/>
    <mergeCell ref="S742:T742"/>
    <mergeCell ref="U742:V742"/>
    <mergeCell ref="W742:X742"/>
    <mergeCell ref="Y742:Z742"/>
    <mergeCell ref="AA742:AB742"/>
    <mergeCell ref="AC742:AD742"/>
    <mergeCell ref="S741:T741"/>
    <mergeCell ref="U741:V741"/>
    <mergeCell ref="W741:X741"/>
    <mergeCell ref="Y741:Z741"/>
    <mergeCell ref="AA741:AB741"/>
    <mergeCell ref="D741:J741"/>
    <mergeCell ref="K741:L741"/>
    <mergeCell ref="M741:N741"/>
    <mergeCell ref="O741:P741"/>
    <mergeCell ref="Q741:R741"/>
    <mergeCell ref="AC743:AD743"/>
    <mergeCell ref="D744:J744"/>
    <mergeCell ref="K744:L744"/>
    <mergeCell ref="M744:N744"/>
    <mergeCell ref="O744:P744"/>
    <mergeCell ref="Q744:R744"/>
    <mergeCell ref="S744:T744"/>
    <mergeCell ref="U744:V744"/>
    <mergeCell ref="W744:X744"/>
    <mergeCell ref="Y744:Z744"/>
    <mergeCell ref="AA744:AB744"/>
    <mergeCell ref="AC744:AD744"/>
    <mergeCell ref="S743:T743"/>
    <mergeCell ref="U743:V743"/>
    <mergeCell ref="W743:X743"/>
    <mergeCell ref="Y743:Z743"/>
    <mergeCell ref="AA743:AB743"/>
    <mergeCell ref="D743:J743"/>
    <mergeCell ref="K743:L743"/>
    <mergeCell ref="M743:N743"/>
    <mergeCell ref="O743:P743"/>
    <mergeCell ref="Q743:R743"/>
    <mergeCell ref="AC745:AD745"/>
    <mergeCell ref="D746:J746"/>
    <mergeCell ref="K746:L746"/>
    <mergeCell ref="M746:N746"/>
    <mergeCell ref="O746:P746"/>
    <mergeCell ref="Q746:R746"/>
    <mergeCell ref="S746:T746"/>
    <mergeCell ref="U746:V746"/>
    <mergeCell ref="W746:X746"/>
    <mergeCell ref="Y746:Z746"/>
    <mergeCell ref="AA746:AB746"/>
    <mergeCell ref="AC746:AD746"/>
    <mergeCell ref="S745:T745"/>
    <mergeCell ref="U745:V745"/>
    <mergeCell ref="W745:X745"/>
    <mergeCell ref="Y745:Z745"/>
    <mergeCell ref="AA745:AB745"/>
    <mergeCell ref="D745:J745"/>
    <mergeCell ref="K745:L745"/>
    <mergeCell ref="M745:N745"/>
    <mergeCell ref="O745:P745"/>
    <mergeCell ref="Q745:R745"/>
    <mergeCell ref="AC747:AD747"/>
    <mergeCell ref="D748:J748"/>
    <mergeCell ref="K748:L748"/>
    <mergeCell ref="M748:N748"/>
    <mergeCell ref="O748:P748"/>
    <mergeCell ref="Q748:R748"/>
    <mergeCell ref="S748:T748"/>
    <mergeCell ref="U748:V748"/>
    <mergeCell ref="W748:X748"/>
    <mergeCell ref="Y748:Z748"/>
    <mergeCell ref="AA748:AB748"/>
    <mergeCell ref="AC748:AD748"/>
    <mergeCell ref="S747:T747"/>
    <mergeCell ref="U747:V747"/>
    <mergeCell ref="W747:X747"/>
    <mergeCell ref="Y747:Z747"/>
    <mergeCell ref="AA747:AB747"/>
    <mergeCell ref="D747:J747"/>
    <mergeCell ref="K747:L747"/>
    <mergeCell ref="M747:N747"/>
    <mergeCell ref="O747:P747"/>
    <mergeCell ref="Q747:R747"/>
    <mergeCell ref="AC749:AD749"/>
    <mergeCell ref="D750:J750"/>
    <mergeCell ref="K750:L750"/>
    <mergeCell ref="M750:N750"/>
    <mergeCell ref="O750:P750"/>
    <mergeCell ref="Q750:R750"/>
    <mergeCell ref="S750:T750"/>
    <mergeCell ref="U750:V750"/>
    <mergeCell ref="W750:X750"/>
    <mergeCell ref="Y750:Z750"/>
    <mergeCell ref="AA750:AB750"/>
    <mergeCell ref="AC750:AD750"/>
    <mergeCell ref="S749:T749"/>
    <mergeCell ref="U749:V749"/>
    <mergeCell ref="W749:X749"/>
    <mergeCell ref="Y749:Z749"/>
    <mergeCell ref="AA749:AB749"/>
    <mergeCell ref="D749:J749"/>
    <mergeCell ref="K749:L749"/>
    <mergeCell ref="M749:N749"/>
    <mergeCell ref="O749:P749"/>
    <mergeCell ref="Q749:R749"/>
    <mergeCell ref="AC751:AD751"/>
    <mergeCell ref="D752:J752"/>
    <mergeCell ref="K752:L752"/>
    <mergeCell ref="M752:N752"/>
    <mergeCell ref="O752:P752"/>
    <mergeCell ref="Q752:R752"/>
    <mergeCell ref="S752:T752"/>
    <mergeCell ref="U752:V752"/>
    <mergeCell ref="W752:X752"/>
    <mergeCell ref="Y752:Z752"/>
    <mergeCell ref="AA752:AB752"/>
    <mergeCell ref="AC752:AD752"/>
    <mergeCell ref="S751:T751"/>
    <mergeCell ref="U751:V751"/>
    <mergeCell ref="W751:X751"/>
    <mergeCell ref="Y751:Z751"/>
    <mergeCell ref="AA751:AB751"/>
    <mergeCell ref="D751:J751"/>
    <mergeCell ref="K751:L751"/>
    <mergeCell ref="M751:N751"/>
    <mergeCell ref="O751:P751"/>
    <mergeCell ref="Q751:R751"/>
    <mergeCell ref="AC753:AD753"/>
    <mergeCell ref="D754:J754"/>
    <mergeCell ref="K754:L754"/>
    <mergeCell ref="M754:N754"/>
    <mergeCell ref="O754:P754"/>
    <mergeCell ref="Q754:R754"/>
    <mergeCell ref="S754:T754"/>
    <mergeCell ref="U754:V754"/>
    <mergeCell ref="W754:X754"/>
    <mergeCell ref="Y754:Z754"/>
    <mergeCell ref="AA754:AB754"/>
    <mergeCell ref="AC754:AD754"/>
    <mergeCell ref="S753:T753"/>
    <mergeCell ref="U753:V753"/>
    <mergeCell ref="W753:X753"/>
    <mergeCell ref="Y753:Z753"/>
    <mergeCell ref="AA753:AB753"/>
    <mergeCell ref="D753:J753"/>
    <mergeCell ref="K753:L753"/>
    <mergeCell ref="M753:N753"/>
    <mergeCell ref="O753:P753"/>
    <mergeCell ref="Q753:R753"/>
    <mergeCell ref="AC755:AD755"/>
    <mergeCell ref="D756:J756"/>
    <mergeCell ref="K756:L756"/>
    <mergeCell ref="M756:N756"/>
    <mergeCell ref="O756:P756"/>
    <mergeCell ref="Q756:R756"/>
    <mergeCell ref="S756:T756"/>
    <mergeCell ref="U756:V756"/>
    <mergeCell ref="W756:X756"/>
    <mergeCell ref="Y756:Z756"/>
    <mergeCell ref="AA756:AB756"/>
    <mergeCell ref="AC756:AD756"/>
    <mergeCell ref="S755:T755"/>
    <mergeCell ref="U755:V755"/>
    <mergeCell ref="W755:X755"/>
    <mergeCell ref="Y755:Z755"/>
    <mergeCell ref="AA755:AB755"/>
    <mergeCell ref="D755:J755"/>
    <mergeCell ref="K755:L755"/>
    <mergeCell ref="M755:N755"/>
    <mergeCell ref="O755:P755"/>
    <mergeCell ref="Q755:R755"/>
    <mergeCell ref="AC757:AD757"/>
    <mergeCell ref="D758:J758"/>
    <mergeCell ref="K758:L758"/>
    <mergeCell ref="M758:N758"/>
    <mergeCell ref="O758:P758"/>
    <mergeCell ref="Q758:R758"/>
    <mergeCell ref="S758:T758"/>
    <mergeCell ref="U758:V758"/>
    <mergeCell ref="W758:X758"/>
    <mergeCell ref="Y758:Z758"/>
    <mergeCell ref="AA758:AB758"/>
    <mergeCell ref="AC758:AD758"/>
    <mergeCell ref="S757:T757"/>
    <mergeCell ref="U757:V757"/>
    <mergeCell ref="W757:X757"/>
    <mergeCell ref="Y757:Z757"/>
    <mergeCell ref="AA757:AB757"/>
    <mergeCell ref="D757:J757"/>
    <mergeCell ref="K757:L757"/>
    <mergeCell ref="M757:N757"/>
    <mergeCell ref="O757:P757"/>
    <mergeCell ref="Q757:R757"/>
    <mergeCell ref="W761:X761"/>
    <mergeCell ref="Y761:Z761"/>
    <mergeCell ref="AA761:AB761"/>
    <mergeCell ref="D761:J761"/>
    <mergeCell ref="K761:L761"/>
    <mergeCell ref="M761:N761"/>
    <mergeCell ref="O761:P761"/>
    <mergeCell ref="Q761:R761"/>
    <mergeCell ref="AC759:AD759"/>
    <mergeCell ref="D760:J760"/>
    <mergeCell ref="K760:L760"/>
    <mergeCell ref="M760:N760"/>
    <mergeCell ref="O760:P760"/>
    <mergeCell ref="Q760:R760"/>
    <mergeCell ref="S760:T760"/>
    <mergeCell ref="U760:V760"/>
    <mergeCell ref="W760:X760"/>
    <mergeCell ref="Y760:Z760"/>
    <mergeCell ref="AA760:AB760"/>
    <mergeCell ref="AC760:AD760"/>
    <mergeCell ref="S759:T759"/>
    <mergeCell ref="U759:V759"/>
    <mergeCell ref="W759:X759"/>
    <mergeCell ref="Y759:Z759"/>
    <mergeCell ref="AA759:AB759"/>
    <mergeCell ref="D759:J759"/>
    <mergeCell ref="K759:L759"/>
    <mergeCell ref="M759:N759"/>
    <mergeCell ref="O759:P759"/>
    <mergeCell ref="Q759:R759"/>
    <mergeCell ref="AC761:AD761"/>
    <mergeCell ref="K762:L762"/>
    <mergeCell ref="M762:N762"/>
    <mergeCell ref="O762:P762"/>
    <mergeCell ref="Q762:R762"/>
    <mergeCell ref="S762:T762"/>
    <mergeCell ref="U762:V762"/>
    <mergeCell ref="W762:X762"/>
    <mergeCell ref="Y762:Z762"/>
    <mergeCell ref="AA762:AB762"/>
    <mergeCell ref="AC762:AD762"/>
    <mergeCell ref="S761:T761"/>
    <mergeCell ref="U761:V761"/>
    <mergeCell ref="C792:AD792"/>
    <mergeCell ref="C793:AD793"/>
    <mergeCell ref="B57:AD57"/>
    <mergeCell ref="C764:AD764"/>
    <mergeCell ref="C765:AD765"/>
    <mergeCell ref="B772:AD772"/>
    <mergeCell ref="B776:AD776"/>
    <mergeCell ref="B773:AD773"/>
    <mergeCell ref="C774:AD774"/>
    <mergeCell ref="C777:AD777"/>
    <mergeCell ref="C778:AD778"/>
    <mergeCell ref="C780:H781"/>
    <mergeCell ref="I780:N781"/>
    <mergeCell ref="O780:AD780"/>
    <mergeCell ref="O781:R781"/>
    <mergeCell ref="S781:V781"/>
    <mergeCell ref="W781:Z781"/>
    <mergeCell ref="AA781:AD781"/>
    <mergeCell ref="D782:H782"/>
    <mergeCell ref="I782:N782"/>
  </mergeCells>
  <phoneticPr fontId="64" type="noConversion"/>
  <conditionalFormatting sqref="C276:AD276">
    <cfRule type="expression" dxfId="334" priority="56">
      <formula>AR289&gt;0</formula>
    </cfRule>
  </conditionalFormatting>
  <conditionalFormatting sqref="C309:AD309">
    <cfRule type="expression" dxfId="333" priority="41">
      <formula>AI322&gt;0</formula>
    </cfRule>
  </conditionalFormatting>
  <conditionalFormatting sqref="C310:AD310">
    <cfRule type="expression" dxfId="332" priority="40">
      <formula>AND(AU335&gt;0,C353="")</formula>
    </cfRule>
  </conditionalFormatting>
  <conditionalFormatting sqref="C633:AD633">
    <cfRule type="expression" dxfId="331" priority="14">
      <formula>AY649&gt;0</formula>
    </cfRule>
  </conditionalFormatting>
  <conditionalFormatting sqref="C634:AD634">
    <cfRule type="expression" dxfId="330" priority="13">
      <formula>AND(BN664&gt;0,C668="")</formula>
    </cfRule>
  </conditionalFormatting>
  <conditionalFormatting sqref="C677:AD677">
    <cfRule type="expression" dxfId="329" priority="9">
      <formula>BC693&gt;0</formula>
    </cfRule>
  </conditionalFormatting>
  <conditionalFormatting sqref="C678:AD678">
    <cfRule type="expression" dxfId="328" priority="8">
      <formula>AND(CC722&gt;0,C726="")</formula>
    </cfRule>
  </conditionalFormatting>
  <conditionalFormatting sqref="C808:AD808">
    <cfRule type="expression" dxfId="327" priority="3">
      <formula>AND(BE813&gt;0,C980="")</formula>
    </cfRule>
  </conditionalFormatting>
  <conditionalFormatting sqref="F38:AD38">
    <cfRule type="expression" dxfId="326" priority="93">
      <formula>COUNTIF(AD29:AD36,"X")=0</formula>
    </cfRule>
    <cfRule type="expression" dxfId="325" priority="94">
      <formula>AND(COUNTIF(AD29:AD36,"X")&gt;0,F38="")</formula>
    </cfRule>
  </conditionalFormatting>
  <conditionalFormatting sqref="F174:AD174">
    <cfRule type="expression" dxfId="324" priority="83">
      <formula>COUNTIF(AD165:AD172,"X")=0</formula>
    </cfRule>
    <cfRule type="expression" dxfId="323" priority="84">
      <formula>AND(COUNTIF(AD165:AD172,"X")&gt;0,F174="")</formula>
    </cfRule>
  </conditionalFormatting>
  <conditionalFormatting sqref="F291:AD291">
    <cfRule type="expression" dxfId="322" priority="74">
      <formula>AND(AA289&gt;0,AA289&lt;&gt;"NA",AA289&lt;&gt;"NS",F291="")</formula>
    </cfRule>
    <cfRule type="expression" dxfId="321" priority="73">
      <formula>OR(AA289=0,AA289="NA",AA289="NS")</formula>
    </cfRule>
  </conditionalFormatting>
  <conditionalFormatting sqref="F485:AD485">
    <cfRule type="expression" dxfId="320" priority="71">
      <formula>AND(OR(AB482=0,AB482="NA",AB482="NS"),OR(Y482=0,Y482="NA",Y482="NS"),OR(V482=0,V482="NA",V482="NS"),OR(S482=0,S482="NA",S482="NS"))</formula>
    </cfRule>
    <cfRule type="expression" dxfId="319" priority="72">
      <formula>OR(AND(AB482&gt;0,AB482&lt;&gt;"NA",AB482&lt;&gt;"NS",F485=""),AND(Y482&gt;0,Y482&lt;&gt;"NA",Y482&lt;&gt;"NS",F485=""),AND(V482&gt;0,V482&lt;&gt;"NA",V482&lt;&gt;"NS",F485=""),AND(S482&gt;0,S482&lt;&gt;"NA",S482&lt;&gt;"NS",F485=""))</formula>
    </cfRule>
  </conditionalFormatting>
  <conditionalFormatting sqref="F592:AD592">
    <cfRule type="expression" dxfId="318" priority="70">
      <formula>OR(AND(AB589&gt;0,AB589&lt;&gt;"NA",AB589&lt;&gt;"NS",F592=""),AND(Y589&gt;0,Y589&lt;&gt;"NA",Y589&lt;&gt;"NS",F592=""),AND(V589&gt;0,V589&lt;&gt;"NA",V589&lt;&gt;"NS",F592=""),AND(S589&gt;0,S589&lt;&gt;"NA",S589&lt;&gt;"NS",F592=""))</formula>
    </cfRule>
    <cfRule type="expression" dxfId="317" priority="69">
      <formula>AND(OR(AB589=0,AB589="NA",AB589="NS"),OR(Y589=0,Y589="NA",Y589="NS"),OR(V589=0,V589="NA",V589="NS"),OR(S589=0,S589="NA",S589="NS"))</formula>
    </cfRule>
  </conditionalFormatting>
  <conditionalFormatting sqref="F665:AD665">
    <cfRule type="expression" dxfId="316" priority="68">
      <formula>AND(Y663&gt;0,Y663&lt;&gt;"NA",Y663&lt;&gt;"NS",F665="")</formula>
    </cfRule>
    <cfRule type="expression" dxfId="315" priority="67">
      <formula>OR(Y663=0,Y663="NA",Y663="NS")</formula>
    </cfRule>
  </conditionalFormatting>
  <conditionalFormatting sqref="F723:AD723">
    <cfRule type="expression" dxfId="314" priority="65">
      <formula>OR(Y721=0,Y721="NA",Y721="NS")</formula>
    </cfRule>
    <cfRule type="expression" dxfId="313" priority="66">
      <formula>AND(Y721&gt;0,Y721&lt;&gt;"NA",Y721&lt;&gt;"NS",F723="")</formula>
    </cfRule>
  </conditionalFormatting>
  <conditionalFormatting sqref="G420:AD427">
    <cfRule type="expression" dxfId="312" priority="35">
      <formula>OR($Y371=0,$Y371="NS",$Y371="NA")</formula>
    </cfRule>
  </conditionalFormatting>
  <conditionalFormatting sqref="G699:AD706">
    <cfRule type="expression" dxfId="311" priority="11">
      <formula>$M613&lt;&gt;1</formula>
    </cfRule>
  </conditionalFormatting>
  <conditionalFormatting sqref="G713:AD720">
    <cfRule type="expression" dxfId="310" priority="10">
      <formula>$M613&lt;&gt;1</formula>
    </cfRule>
  </conditionalFormatting>
  <conditionalFormatting sqref="H128:AD128">
    <cfRule type="expression" dxfId="309" priority="92">
      <formula>AND(M108=1,H128="")</formula>
    </cfRule>
    <cfRule type="expression" dxfId="308" priority="91">
      <formula>M108&lt;&gt;1</formula>
    </cfRule>
  </conditionalFormatting>
  <conditionalFormatting sqref="H130:AD130">
    <cfRule type="expression" dxfId="307" priority="90">
      <formula>AND(M121=1,H130="")</formula>
    </cfRule>
    <cfRule type="expression" dxfId="306" priority="89">
      <formula>M121&lt;&gt;1</formula>
    </cfRule>
  </conditionalFormatting>
  <conditionalFormatting sqref="H132:AD132">
    <cfRule type="expression" dxfId="305" priority="88">
      <formula>AND(M126=1,H132="")</formula>
    </cfRule>
    <cfRule type="expression" dxfId="304" priority="87">
      <formula>M126&lt;&gt;1</formula>
    </cfRule>
  </conditionalFormatting>
  <conditionalFormatting sqref="H134:AD134">
    <cfRule type="expression" dxfId="303" priority="86">
      <formula>AND(COUNTIF(S97:S126,"8")&gt;0,H134="")</formula>
    </cfRule>
    <cfRule type="expression" dxfId="302" priority="85">
      <formula>COUNTIF(S97:S126,"8")=0</formula>
    </cfRule>
  </conditionalFormatting>
  <conditionalFormatting sqref="H238:AD238">
    <cfRule type="expression" dxfId="301" priority="82">
      <formula>AND(M218=1,H238="")</formula>
    </cfRule>
    <cfRule type="expression" dxfId="300" priority="81">
      <formula>M218&lt;&gt;1</formula>
    </cfRule>
  </conditionalFormatting>
  <conditionalFormatting sqref="H240:AD240">
    <cfRule type="expression" dxfId="299" priority="80">
      <formula>AND(M231=1,H240="")</formula>
    </cfRule>
    <cfRule type="expression" dxfId="298" priority="79">
      <formula>M231&lt;&gt;1</formula>
    </cfRule>
  </conditionalFormatting>
  <conditionalFormatting sqref="H242:AD242">
    <cfRule type="expression" dxfId="297" priority="78">
      <formula>AND(M236=1,H242="")</formula>
    </cfRule>
    <cfRule type="expression" dxfId="296" priority="77">
      <formula>M236&lt;&gt;1</formula>
    </cfRule>
  </conditionalFormatting>
  <conditionalFormatting sqref="H244:AD244">
    <cfRule type="expression" dxfId="295" priority="76">
      <formula>AND(COUNTIF(S207:S236,"8")&gt;0,H244="")</formula>
    </cfRule>
    <cfRule type="expression" dxfId="294" priority="75">
      <formula>COUNTIF(S207:S236,"8")=0</formula>
    </cfRule>
  </conditionalFormatting>
  <conditionalFormatting sqref="J165:AD172">
    <cfRule type="expression" dxfId="293" priority="60">
      <formula>$H165&gt;1</formula>
    </cfRule>
  </conditionalFormatting>
  <conditionalFormatting sqref="K741:AD761">
    <cfRule type="expression" dxfId="292" priority="7">
      <formula>$AF$739=8</formula>
    </cfRule>
  </conditionalFormatting>
  <conditionalFormatting sqref="M97:AD126">
    <cfRule type="expression" dxfId="291" priority="61">
      <formula>$AF$95=8</formula>
    </cfRule>
  </conditionalFormatting>
  <conditionalFormatting sqref="M207:AD236">
    <cfRule type="expression" dxfId="290" priority="58">
      <formula>$AF$205=8</formula>
    </cfRule>
  </conditionalFormatting>
  <conditionalFormatting sqref="M685:AD692">
    <cfRule type="expression" dxfId="289" priority="12">
      <formula>$M613&lt;&gt;1</formula>
    </cfRule>
  </conditionalFormatting>
  <conditionalFormatting sqref="O782:AD789">
    <cfRule type="expression" dxfId="288" priority="6">
      <formula>$I782&gt;1</formula>
    </cfRule>
  </conditionalFormatting>
  <conditionalFormatting sqref="O812:AD976">
    <cfRule type="expression" dxfId="287" priority="4">
      <formula>$AG$809=8</formula>
    </cfRule>
  </conditionalFormatting>
  <conditionalFormatting sqref="P327:AD327">
    <cfRule type="expression" dxfId="286" priority="48">
      <formula>OR($U289=0,$U289="NS",$U289="NA")</formula>
    </cfRule>
  </conditionalFormatting>
  <conditionalFormatting sqref="P328:AD328">
    <cfRule type="expression" dxfId="285" priority="47">
      <formula>OR($V289=0,$V289="NS",$V289="NA")</formula>
    </cfRule>
  </conditionalFormatting>
  <conditionalFormatting sqref="P329:AD329">
    <cfRule type="expression" dxfId="284" priority="46">
      <formula>OR($W289=0,$W289="NS",$W289="NA")</formula>
    </cfRule>
  </conditionalFormatting>
  <conditionalFormatting sqref="P330:AD330">
    <cfRule type="expression" dxfId="283" priority="45">
      <formula>OR($X289=0,$X289="NS",$X289="NA")</formula>
    </cfRule>
  </conditionalFormatting>
  <conditionalFormatting sqref="P331:AD331">
    <cfRule type="expression" dxfId="282" priority="44">
      <formula>OR($Y289=0,$Y289="NS",$Y289="NA")</formula>
    </cfRule>
  </conditionalFormatting>
  <conditionalFormatting sqref="P332:AD332">
    <cfRule type="expression" dxfId="281" priority="43">
      <formula>OR($Z289=0,$Z289="NS",$Z289="NA")</formula>
    </cfRule>
  </conditionalFormatting>
  <conditionalFormatting sqref="P333:AD333">
    <cfRule type="expression" dxfId="280" priority="42">
      <formula>OR($AA289=0,$AA289="NS",$AA289="NA")</formula>
    </cfRule>
  </conditionalFormatting>
  <conditionalFormatting sqref="P371:AD378">
    <cfRule type="expression" dxfId="279" priority="38">
      <formula>$N281&gt;1</formula>
    </cfRule>
  </conditionalFormatting>
  <conditionalFormatting sqref="P394:AD401">
    <cfRule type="expression" dxfId="278" priority="36">
      <formula>$N281&gt;1</formula>
    </cfRule>
  </conditionalFormatting>
  <conditionalFormatting sqref="P525:AD532">
    <cfRule type="expression" dxfId="277" priority="25">
      <formula>$M510&gt;1</formula>
    </cfRule>
  </conditionalFormatting>
  <conditionalFormatting sqref="P641:AD648">
    <cfRule type="expression" dxfId="276" priority="16">
      <formula>$M613&lt;&gt;1</formula>
    </cfRule>
  </conditionalFormatting>
  <conditionalFormatting sqref="P655:AD662">
    <cfRule type="expression" dxfId="275" priority="15">
      <formula>$M613&lt;&gt;1</formula>
    </cfRule>
  </conditionalFormatting>
  <conditionalFormatting sqref="Q315:AD315">
    <cfRule type="expression" dxfId="274" priority="55">
      <formula>OR($U289=0,$U289="NS",$U289="NA")</formula>
    </cfRule>
  </conditionalFormatting>
  <conditionalFormatting sqref="Q316:AD316">
    <cfRule type="expression" dxfId="273" priority="54">
      <formula>OR($V289=0,$V289="NS",$V289="NA")</formula>
    </cfRule>
  </conditionalFormatting>
  <conditionalFormatting sqref="Q317:AD317">
    <cfRule type="expression" dxfId="272" priority="53">
      <formula>OR($W289=0,$W289="NS",$W289="NA")</formula>
    </cfRule>
  </conditionalFormatting>
  <conditionalFormatting sqref="Q318:AD318">
    <cfRule type="expression" dxfId="271" priority="52">
      <formula>OR($X289=0,$X289="NS",$X289="NA")</formula>
    </cfRule>
  </conditionalFormatting>
  <conditionalFormatting sqref="Q319:AD319">
    <cfRule type="expression" dxfId="270" priority="51">
      <formula>OR($Y289=0,$Y289="NS",$Y289="NA")</formula>
    </cfRule>
  </conditionalFormatting>
  <conditionalFormatting sqref="Q320:AD320">
    <cfRule type="expression" dxfId="269" priority="50">
      <formula>OR($Z289=0,$Z289="NS",$Z289="NA")</formula>
    </cfRule>
  </conditionalFormatting>
  <conditionalFormatting sqref="Q321:AD321">
    <cfRule type="expression" dxfId="268" priority="49">
      <formula>OR($AA289=0,$AA289="NS",$AA289="NA")</formula>
    </cfRule>
  </conditionalFormatting>
  <conditionalFormatting sqref="S448:AA453">
    <cfRule type="expression" dxfId="267" priority="33">
      <formula>AND(OR($AF$446=0,$AF$446="NS",$AF$446="NA"),AND($S$428&gt;0,$S$428&lt;&gt;"NS",$S$428&lt;&gt;"NA"))</formula>
    </cfRule>
  </conditionalFormatting>
  <conditionalFormatting sqref="S475:AA482">
    <cfRule type="expression" dxfId="266" priority="29">
      <formula>AND(OR($AF$473=0,$AF$473="NS",$AF$473="NA"),AND($AB$451&gt;0,$AB$451&lt;&gt;"NS",$AB$451&lt;&gt;"NA"))</formula>
    </cfRule>
  </conditionalFormatting>
  <conditionalFormatting sqref="S554:AA559">
    <cfRule type="expression" dxfId="265" priority="23">
      <formula>AND(OR($AF$552=0,$AF$552="NS",$AF$552="NA"),AND($P$533&gt;0,$P$533&lt;&gt;"NS",$P$533&lt;&gt;"NA"))</formula>
    </cfRule>
  </conditionalFormatting>
  <conditionalFormatting sqref="S582:AA589">
    <cfRule type="expression" dxfId="264" priority="19">
      <formula>AND(OR($AF$580=0,$AF$580="NS",$AF$580="NA"),AND($AB$557&gt;0,$AB$557&lt;&gt;"NS",$AB$557&lt;&gt;"NA"))</formula>
    </cfRule>
  </conditionalFormatting>
  <conditionalFormatting sqref="S29:AD36">
    <cfRule type="expression" dxfId="263" priority="64">
      <formula>$M29&gt;1</formula>
    </cfRule>
  </conditionalFormatting>
  <conditionalFormatting sqref="S70:AD77">
    <cfRule type="expression" dxfId="262" priority="63">
      <formula>$M70&gt;1</formula>
    </cfRule>
  </conditionalFormatting>
  <conditionalFormatting sqref="S97:AD126">
    <cfRule type="expression" dxfId="261" priority="62">
      <formula>$M97&gt;1</formula>
    </cfRule>
  </conditionalFormatting>
  <conditionalFormatting sqref="S207:AD236">
    <cfRule type="expression" dxfId="260" priority="59">
      <formula>$M207&gt;1</formula>
    </cfRule>
  </conditionalFormatting>
  <conditionalFormatting sqref="S448:AD453">
    <cfRule type="expression" dxfId="259" priority="32">
      <formula>AND(OR($AF$446=0,$AF$446="NS",$AF$446="NA"),OR($S$428=0,$S$428="NS",$S$428="NA"))</formula>
    </cfRule>
    <cfRule type="expression" dxfId="258" priority="31">
      <formula>$AH$446=8</formula>
    </cfRule>
  </conditionalFormatting>
  <conditionalFormatting sqref="S475:AD482">
    <cfRule type="expression" dxfId="257" priority="28">
      <formula>AND(OR($AF$473=0,$AF$473="NS",$AF$473="NA"),OR($AB$451=0,$AB$451="NS",$AB$451="NA"))</formula>
    </cfRule>
    <cfRule type="expression" dxfId="256" priority="27">
      <formula>$AH$446=8</formula>
    </cfRule>
  </conditionalFormatting>
  <conditionalFormatting sqref="S510:AD517">
    <cfRule type="expression" dxfId="255" priority="26">
      <formula>$M510&gt;1</formula>
    </cfRule>
  </conditionalFormatting>
  <conditionalFormatting sqref="S554:AD559">
    <cfRule type="expression" dxfId="254" priority="21">
      <formula>$AH$552=8</formula>
    </cfRule>
    <cfRule type="expression" dxfId="253" priority="22">
      <formula>AND(OR($AF$552=0,$AF$552="NS",$AF$552="NA"),OR($P$533=0,$P$533="NS",$P$533="NA"))</formula>
    </cfRule>
  </conditionalFormatting>
  <conditionalFormatting sqref="S582:AD589">
    <cfRule type="expression" dxfId="252" priority="18">
      <formula>AND(OR($AF$580=0,$AF$580="NS",$AF$580="NA"),OR($AB$557=0,$AB$557="NS",$AB$557="NA"))</formula>
    </cfRule>
  </conditionalFormatting>
  <conditionalFormatting sqref="S613:AD620">
    <cfRule type="expression" dxfId="251" priority="17">
      <formula>$M613&gt;1</formula>
    </cfRule>
  </conditionalFormatting>
  <conditionalFormatting sqref="S812:AD976">
    <cfRule type="expression" dxfId="250" priority="5">
      <formula>$O812="NA"</formula>
    </cfRule>
  </conditionalFormatting>
  <conditionalFormatting sqref="T281:AD288">
    <cfRule type="expression" dxfId="249" priority="57">
      <formula>$N281&gt;1</formula>
    </cfRule>
  </conditionalFormatting>
  <conditionalFormatting sqref="V371:AD378">
    <cfRule type="expression" dxfId="248" priority="39">
      <formula>$P371&gt;1</formula>
    </cfRule>
  </conditionalFormatting>
  <conditionalFormatting sqref="V394:AD401">
    <cfRule type="expression" dxfId="247" priority="37">
      <formula>$P394&gt;1</formula>
    </cfRule>
  </conditionalFormatting>
  <conditionalFormatting sqref="AB448:AD453">
    <cfRule type="expression" dxfId="246" priority="34">
      <formula>AND(AND($AF$446&gt;0,$AF$446&lt;&gt;"NS",$AF$446&lt;&gt;"NA"),OR($S$428=0,$S$428="NS",$S$428="NA"))</formula>
    </cfRule>
  </conditionalFormatting>
  <conditionalFormatting sqref="AB475:AD482">
    <cfRule type="expression" dxfId="245" priority="30">
      <formula>AND(AND($AF$473&gt;0,$AF$473&lt;&gt;"NS",$AF$473&lt;&gt;"NA"),OR($AB$451=0,$AB$451="NS",$AB$451="NA"))</formula>
    </cfRule>
  </conditionalFormatting>
  <conditionalFormatting sqref="AB554:AD559">
    <cfRule type="expression" dxfId="244" priority="24">
      <formula>AND(AND($AF$552&gt;0,$AF$552&lt;&gt;"NS",$AF$552&lt;&gt;"NA"),OR($P$533=0,$P$533="NS",$P$533="NA"))</formula>
    </cfRule>
  </conditionalFormatting>
  <conditionalFormatting sqref="AB582:AD589">
    <cfRule type="expression" dxfId="243" priority="20">
      <formula>AND(AND($AF$580&gt;0,$AF$580&lt;&gt;"NS",$AF$580&lt;&gt;"NA"),OR($AB$557=0,$AB$557="NS",$AB$557="NA"))</formula>
    </cfRule>
  </conditionalFormatting>
  <dataValidations count="3">
    <dataValidation type="list" allowBlank="1" showInputMessage="1" showErrorMessage="1" sqref="M29:R36 M70:R77 H165:I172 M97:R126 M207:R236 N281:S288 M613:R620 I782:N789 P371:U378 P394:U401 M510:R517" xr:uid="{329D7A3D-59EE-4147-9B78-2C8CA58B87F9}">
      <formula1>"1,2,9"</formula1>
    </dataValidation>
    <dataValidation type="list" allowBlank="1" showInputMessage="1" showErrorMessage="1" sqref="J165:AD172 S29:AD36 S70:AD77" xr:uid="{84107FB7-1988-4911-98A3-9C43B741C25B}">
      <formula1>"X"</formula1>
    </dataValidation>
    <dataValidation type="list" allowBlank="1" showInputMessage="1" showErrorMessage="1" sqref="S97:X126 S207:X236" xr:uid="{C654D51E-B4A4-4D4E-87D3-ABBE8B2887D1}">
      <formula1>"1,2,3,4,5,6,7,8"</formula1>
    </dataValidation>
  </dataValidations>
  <hyperlinks>
    <hyperlink ref="AA7:AD7" location="Índice!B41" display="Índice" xr:uid="{97B5675C-1D26-4345-A80A-A18CFDC3B944}"/>
  </hyperlinks>
  <printOptions horizontalCentered="1"/>
  <pageMargins left="0.70866141732283472" right="0.70866141732283472" top="0.74803149606299213" bottom="0.74803149606299213" header="0.31496062992125984" footer="0.31496062992125984"/>
  <pageSetup scale="75" orientation="portrait" r:id="rId1"/>
  <headerFooter>
    <oddHeader>&amp;CMódulo 2 Sección XIV
Cuestionario</oddHeader>
    <oddFooter>&amp;LCenso Nacional de Sistemas Penitenciarios Estatales 2024&amp;R&amp;P de &amp;N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18EDCD-5309-4E0E-927E-45638328D549}">
  <dimension ref="A1:BB337"/>
  <sheetViews>
    <sheetView showGridLines="0" zoomScaleNormal="100" workbookViewId="0"/>
  </sheetViews>
  <sheetFormatPr baseColWidth="10" defaultColWidth="0" defaultRowHeight="15" customHeight="1" zeroHeight="1"/>
  <cols>
    <col min="1" max="1" width="5.7109375" style="3" customWidth="1"/>
    <col min="2" max="30" width="3.7109375" style="3" customWidth="1"/>
    <col min="31" max="31" width="5.7109375" style="3" customWidth="1"/>
    <col min="32" max="32" width="5.7109375" style="3" hidden="1" customWidth="1"/>
    <col min="33" max="16384" width="9.28515625" style="3" hidden="1"/>
  </cols>
  <sheetData>
    <row r="1" spans="1:30" ht="173.25" customHeight="1">
      <c r="A1" s="91"/>
      <c r="B1" s="718" t="s">
        <v>0</v>
      </c>
      <c r="C1" s="719"/>
      <c r="D1" s="719"/>
      <c r="E1" s="719"/>
      <c r="F1" s="719"/>
      <c r="G1" s="719"/>
      <c r="H1" s="719"/>
      <c r="I1" s="719"/>
      <c r="J1" s="719"/>
      <c r="K1" s="719"/>
      <c r="L1" s="719"/>
      <c r="M1" s="719"/>
      <c r="N1" s="719"/>
      <c r="O1" s="719"/>
      <c r="P1" s="719"/>
      <c r="Q1" s="719"/>
      <c r="R1" s="719"/>
      <c r="S1" s="719"/>
      <c r="T1" s="719"/>
      <c r="U1" s="719"/>
      <c r="V1" s="719"/>
      <c r="W1" s="719"/>
      <c r="X1" s="719"/>
      <c r="Y1" s="719"/>
      <c r="Z1" s="719"/>
      <c r="AA1" s="719"/>
      <c r="AB1" s="719"/>
      <c r="AC1" s="719"/>
      <c r="AD1" s="719"/>
    </row>
    <row r="2" spans="1:30" ht="15" customHeight="1">
      <c r="A2" s="91"/>
    </row>
    <row r="3" spans="1:30" ht="45" customHeight="1">
      <c r="A3" s="91"/>
      <c r="B3" s="720" t="s">
        <v>1</v>
      </c>
      <c r="C3" s="721"/>
      <c r="D3" s="721"/>
      <c r="E3" s="721"/>
      <c r="F3" s="721"/>
      <c r="G3" s="721"/>
      <c r="H3" s="721"/>
      <c r="I3" s="721"/>
      <c r="J3" s="721"/>
      <c r="K3" s="721"/>
      <c r="L3" s="721"/>
      <c r="M3" s="721"/>
      <c r="N3" s="721"/>
      <c r="O3" s="721"/>
      <c r="P3" s="721"/>
      <c r="Q3" s="721"/>
      <c r="R3" s="721"/>
      <c r="S3" s="721"/>
      <c r="T3" s="721"/>
      <c r="U3" s="721"/>
      <c r="V3" s="721"/>
      <c r="W3" s="721"/>
      <c r="X3" s="721"/>
      <c r="Y3" s="721"/>
      <c r="Z3" s="721"/>
      <c r="AA3" s="721"/>
      <c r="AB3" s="721"/>
      <c r="AC3" s="721"/>
      <c r="AD3" s="721"/>
    </row>
    <row r="4" spans="1:30" ht="15" customHeight="1">
      <c r="A4" s="91"/>
    </row>
    <row r="5" spans="1:30" ht="45" customHeight="1">
      <c r="A5" s="91"/>
      <c r="B5" s="720" t="s">
        <v>36</v>
      </c>
      <c r="C5" s="721"/>
      <c r="D5" s="721"/>
      <c r="E5" s="721"/>
      <c r="F5" s="721"/>
      <c r="G5" s="721"/>
      <c r="H5" s="721"/>
      <c r="I5" s="721"/>
      <c r="J5" s="721"/>
      <c r="K5" s="721"/>
      <c r="L5" s="721"/>
      <c r="M5" s="721"/>
      <c r="N5" s="721"/>
      <c r="O5" s="721"/>
      <c r="P5" s="721"/>
      <c r="Q5" s="721"/>
      <c r="R5" s="721"/>
      <c r="S5" s="721"/>
      <c r="T5" s="721"/>
      <c r="U5" s="721"/>
      <c r="V5" s="721"/>
      <c r="W5" s="721"/>
      <c r="X5" s="721"/>
      <c r="Y5" s="721"/>
      <c r="Z5" s="721"/>
      <c r="AA5" s="721"/>
      <c r="AB5" s="721"/>
      <c r="AC5" s="721"/>
      <c r="AD5" s="721"/>
    </row>
    <row r="6" spans="1:30" ht="15" customHeight="1">
      <c r="A6" s="91"/>
    </row>
    <row r="7" spans="1:30" ht="15" customHeight="1" thickBot="1">
      <c r="A7" s="91"/>
      <c r="B7" s="23" t="s">
        <v>3</v>
      </c>
      <c r="N7" s="23" t="s">
        <v>4</v>
      </c>
      <c r="P7" s="24"/>
      <c r="Q7" s="24"/>
      <c r="R7" s="24"/>
      <c r="S7" s="24"/>
      <c r="T7" s="24"/>
      <c r="U7" s="24"/>
      <c r="V7" s="24"/>
      <c r="W7" s="24"/>
      <c r="X7" s="24"/>
      <c r="Y7" s="24"/>
      <c r="Z7" s="24"/>
      <c r="AA7" s="758" t="s">
        <v>2</v>
      </c>
      <c r="AB7" s="758"/>
      <c r="AC7" s="758"/>
      <c r="AD7" s="758"/>
    </row>
    <row r="8" spans="1:30" ht="15" customHeight="1" thickBot="1">
      <c r="A8" s="108"/>
      <c r="B8" s="722" t="str">
        <f>IF(Presentación!B8="","",Presentación!B8)</f>
        <v>Puebla</v>
      </c>
      <c r="C8" s="723"/>
      <c r="D8" s="723"/>
      <c r="E8" s="723"/>
      <c r="F8" s="723"/>
      <c r="G8" s="723"/>
      <c r="H8" s="723"/>
      <c r="I8" s="723"/>
      <c r="J8" s="723"/>
      <c r="K8" s="723"/>
      <c r="L8" s="724"/>
      <c r="M8" s="25"/>
      <c r="N8" s="722">
        <f>IF(Presentación!N8="","",Presentación!N8)</f>
        <v>221</v>
      </c>
      <c r="O8" s="724"/>
      <c r="P8" s="107"/>
      <c r="Q8" s="107"/>
      <c r="R8" s="107"/>
      <c r="S8" s="109"/>
      <c r="T8" s="107"/>
      <c r="U8" s="107"/>
      <c r="V8" s="107"/>
      <c r="W8" s="107"/>
      <c r="X8" s="107"/>
      <c r="Y8" s="107"/>
      <c r="Z8" s="107"/>
      <c r="AA8" s="107"/>
      <c r="AB8" s="107"/>
      <c r="AC8" s="107"/>
      <c r="AD8" s="107"/>
    </row>
    <row r="9" spans="1:30" ht="15" customHeight="1">
      <c r="A9" s="91"/>
      <c r="C9" s="24"/>
      <c r="D9" s="24"/>
      <c r="E9" s="24"/>
      <c r="F9" s="24"/>
      <c r="G9" s="24"/>
      <c r="H9" s="24"/>
      <c r="I9" s="24"/>
      <c r="J9" s="24"/>
      <c r="K9" s="24"/>
      <c r="L9" s="24"/>
      <c r="M9" s="24"/>
      <c r="N9" s="24"/>
      <c r="O9" s="24"/>
      <c r="P9" s="24"/>
      <c r="Q9" s="24"/>
      <c r="R9" s="24"/>
      <c r="S9" s="24"/>
      <c r="T9" s="24"/>
      <c r="U9" s="24"/>
      <c r="V9" s="24"/>
      <c r="W9" s="24"/>
      <c r="X9" s="24"/>
      <c r="Y9" s="24"/>
      <c r="Z9" s="24"/>
      <c r="AA9" s="24"/>
      <c r="AB9" s="24"/>
      <c r="AC9" s="24"/>
    </row>
    <row r="10" spans="1:30" ht="15" customHeight="1">
      <c r="A10" s="170"/>
      <c r="B10" s="1006" t="s">
        <v>2552</v>
      </c>
      <c r="C10" s="893"/>
      <c r="D10" s="893"/>
      <c r="E10" s="893"/>
      <c r="F10" s="893"/>
      <c r="G10" s="893"/>
      <c r="H10" s="893"/>
      <c r="I10" s="893"/>
      <c r="J10" s="893"/>
      <c r="K10" s="893"/>
      <c r="L10" s="893"/>
      <c r="M10" s="893"/>
      <c r="N10" s="893"/>
      <c r="O10" s="893"/>
      <c r="P10" s="893"/>
      <c r="Q10" s="893"/>
      <c r="R10" s="893"/>
      <c r="S10" s="893"/>
      <c r="T10" s="893"/>
      <c r="U10" s="893"/>
      <c r="V10" s="893"/>
      <c r="W10" s="893"/>
      <c r="X10" s="893"/>
      <c r="Y10" s="893"/>
      <c r="Z10" s="893"/>
      <c r="AA10" s="893"/>
      <c r="AB10" s="893"/>
      <c r="AC10" s="893"/>
      <c r="AD10" s="1007"/>
    </row>
    <row r="11" spans="1:30" ht="24" customHeight="1">
      <c r="A11" s="170"/>
      <c r="B11" s="654"/>
      <c r="C11" s="754" t="s">
        <v>4151</v>
      </c>
      <c r="D11" s="754"/>
      <c r="E11" s="754"/>
      <c r="F11" s="754"/>
      <c r="G11" s="754"/>
      <c r="H11" s="754"/>
      <c r="I11" s="754"/>
      <c r="J11" s="754"/>
      <c r="K11" s="754"/>
      <c r="L11" s="754"/>
      <c r="M11" s="754"/>
      <c r="N11" s="754"/>
      <c r="O11" s="754"/>
      <c r="P11" s="754"/>
      <c r="Q11" s="754"/>
      <c r="R11" s="754"/>
      <c r="S11" s="754"/>
      <c r="T11" s="754"/>
      <c r="U11" s="754"/>
      <c r="V11" s="754"/>
      <c r="W11" s="754"/>
      <c r="X11" s="754"/>
      <c r="Y11" s="754"/>
      <c r="Z11" s="754"/>
      <c r="AA11" s="754"/>
      <c r="AB11" s="754"/>
      <c r="AC11" s="754"/>
      <c r="AD11" s="891"/>
    </row>
    <row r="12" spans="1:30" ht="24" customHeight="1">
      <c r="A12" s="170"/>
      <c r="B12" s="654"/>
      <c r="C12" s="754" t="s">
        <v>6334</v>
      </c>
      <c r="D12" s="830"/>
      <c r="E12" s="830"/>
      <c r="F12" s="830"/>
      <c r="G12" s="830"/>
      <c r="H12" s="830"/>
      <c r="I12" s="830"/>
      <c r="J12" s="830"/>
      <c r="K12" s="830"/>
      <c r="L12" s="830"/>
      <c r="M12" s="830"/>
      <c r="N12" s="830"/>
      <c r="O12" s="830"/>
      <c r="P12" s="830"/>
      <c r="Q12" s="830"/>
      <c r="R12" s="830"/>
      <c r="S12" s="830"/>
      <c r="T12" s="830"/>
      <c r="U12" s="830"/>
      <c r="V12" s="830"/>
      <c r="W12" s="830"/>
      <c r="X12" s="830"/>
      <c r="Y12" s="830"/>
      <c r="Z12" s="830"/>
      <c r="AA12" s="830"/>
      <c r="AB12" s="830"/>
      <c r="AC12" s="830"/>
      <c r="AD12" s="895"/>
    </row>
    <row r="13" spans="1:30" ht="60" customHeight="1">
      <c r="A13" s="694"/>
      <c r="B13" s="654"/>
      <c r="C13" s="754" t="s">
        <v>2555</v>
      </c>
      <c r="D13" s="830"/>
      <c r="E13" s="830"/>
      <c r="F13" s="830"/>
      <c r="G13" s="830"/>
      <c r="H13" s="830"/>
      <c r="I13" s="830"/>
      <c r="J13" s="830"/>
      <c r="K13" s="830"/>
      <c r="L13" s="830"/>
      <c r="M13" s="830"/>
      <c r="N13" s="830"/>
      <c r="O13" s="830"/>
      <c r="P13" s="830"/>
      <c r="Q13" s="830"/>
      <c r="R13" s="830"/>
      <c r="S13" s="830"/>
      <c r="T13" s="830"/>
      <c r="U13" s="830"/>
      <c r="V13" s="830"/>
      <c r="W13" s="830"/>
      <c r="X13" s="830"/>
      <c r="Y13" s="830"/>
      <c r="Z13" s="830"/>
      <c r="AA13" s="830"/>
      <c r="AB13" s="830"/>
      <c r="AC13" s="830"/>
      <c r="AD13" s="895"/>
    </row>
    <row r="14" spans="1:30" ht="15" customHeight="1">
      <c r="A14" s="94"/>
      <c r="B14" s="654"/>
      <c r="C14" s="754" t="s">
        <v>3021</v>
      </c>
      <c r="D14" s="754"/>
      <c r="E14" s="754"/>
      <c r="F14" s="754"/>
      <c r="G14" s="754"/>
      <c r="H14" s="754"/>
      <c r="I14" s="754"/>
      <c r="J14" s="754"/>
      <c r="K14" s="754"/>
      <c r="L14" s="754"/>
      <c r="M14" s="754"/>
      <c r="N14" s="754"/>
      <c r="O14" s="754"/>
      <c r="P14" s="754"/>
      <c r="Q14" s="754"/>
      <c r="R14" s="754"/>
      <c r="S14" s="754"/>
      <c r="T14" s="754"/>
      <c r="U14" s="754"/>
      <c r="V14" s="754"/>
      <c r="W14" s="754"/>
      <c r="X14" s="754"/>
      <c r="Y14" s="754"/>
      <c r="Z14" s="754"/>
      <c r="AA14" s="754"/>
      <c r="AB14" s="754"/>
      <c r="AC14" s="754"/>
      <c r="AD14" s="755"/>
    </row>
    <row r="15" spans="1:30" ht="15" customHeight="1">
      <c r="A15" s="146"/>
      <c r="B15" s="654"/>
      <c r="C15" s="754" t="s">
        <v>5452</v>
      </c>
      <c r="D15" s="754"/>
      <c r="E15" s="754"/>
      <c r="F15" s="754"/>
      <c r="G15" s="754"/>
      <c r="H15" s="754"/>
      <c r="I15" s="754"/>
      <c r="J15" s="754"/>
      <c r="K15" s="754"/>
      <c r="L15" s="754"/>
      <c r="M15" s="754"/>
      <c r="N15" s="754"/>
      <c r="O15" s="754"/>
      <c r="P15" s="754"/>
      <c r="Q15" s="754"/>
      <c r="R15" s="754"/>
      <c r="S15" s="754"/>
      <c r="T15" s="754"/>
      <c r="U15" s="754"/>
      <c r="V15" s="754"/>
      <c r="W15" s="754"/>
      <c r="X15" s="754"/>
      <c r="Y15" s="754"/>
      <c r="Z15" s="754"/>
      <c r="AA15" s="754"/>
      <c r="AB15" s="754"/>
      <c r="AC15" s="754"/>
      <c r="AD15" s="891"/>
    </row>
    <row r="16" spans="1:30" ht="36" customHeight="1">
      <c r="A16" s="186"/>
      <c r="B16" s="111"/>
      <c r="C16" s="754" t="s">
        <v>2558</v>
      </c>
      <c r="D16" s="754"/>
      <c r="E16" s="754"/>
      <c r="F16" s="754"/>
      <c r="G16" s="754"/>
      <c r="H16" s="754"/>
      <c r="I16" s="754"/>
      <c r="J16" s="754"/>
      <c r="K16" s="754"/>
      <c r="L16" s="754"/>
      <c r="M16" s="754"/>
      <c r="N16" s="754"/>
      <c r="O16" s="754"/>
      <c r="P16" s="754"/>
      <c r="Q16" s="754"/>
      <c r="R16" s="754"/>
      <c r="S16" s="754"/>
      <c r="T16" s="754"/>
      <c r="U16" s="754"/>
      <c r="V16" s="754"/>
      <c r="W16" s="754"/>
      <c r="X16" s="754"/>
      <c r="Y16" s="754"/>
      <c r="Z16" s="754"/>
      <c r="AA16" s="754"/>
      <c r="AB16" s="754"/>
      <c r="AC16" s="754"/>
      <c r="AD16" s="755"/>
    </row>
    <row r="17" spans="1:31" ht="48" customHeight="1">
      <c r="A17" s="694"/>
      <c r="B17" s="654"/>
      <c r="C17" s="754" t="s">
        <v>2559</v>
      </c>
      <c r="D17" s="754"/>
      <c r="E17" s="754"/>
      <c r="F17" s="754"/>
      <c r="G17" s="754"/>
      <c r="H17" s="754"/>
      <c r="I17" s="754"/>
      <c r="J17" s="754"/>
      <c r="K17" s="754"/>
      <c r="L17" s="754"/>
      <c r="M17" s="754"/>
      <c r="N17" s="754"/>
      <c r="O17" s="754"/>
      <c r="P17" s="754"/>
      <c r="Q17" s="754"/>
      <c r="R17" s="754"/>
      <c r="S17" s="754"/>
      <c r="T17" s="754"/>
      <c r="U17" s="754"/>
      <c r="V17" s="754"/>
      <c r="W17" s="754"/>
      <c r="X17" s="754"/>
      <c r="Y17" s="754"/>
      <c r="Z17" s="754"/>
      <c r="AA17" s="754"/>
      <c r="AB17" s="754"/>
      <c r="AC17" s="754"/>
      <c r="AD17" s="755"/>
    </row>
    <row r="18" spans="1:31" ht="15" customHeight="1">
      <c r="A18" s="170"/>
      <c r="B18" s="695"/>
      <c r="C18" s="855" t="s">
        <v>2560</v>
      </c>
      <c r="D18" s="1004"/>
      <c r="E18" s="1004"/>
      <c r="F18" s="1004"/>
      <c r="G18" s="1004"/>
      <c r="H18" s="1004"/>
      <c r="I18" s="1004"/>
      <c r="J18" s="1004"/>
      <c r="K18" s="1004"/>
      <c r="L18" s="1004"/>
      <c r="M18" s="1004"/>
      <c r="N18" s="1004"/>
      <c r="O18" s="1004"/>
      <c r="P18" s="1004"/>
      <c r="Q18" s="1004"/>
      <c r="R18" s="1004"/>
      <c r="S18" s="1004"/>
      <c r="T18" s="1004"/>
      <c r="U18" s="1004"/>
      <c r="V18" s="1004"/>
      <c r="W18" s="1004"/>
      <c r="X18" s="1004"/>
      <c r="Y18" s="1004"/>
      <c r="Z18" s="1004"/>
      <c r="AA18" s="1004"/>
      <c r="AB18" s="1004"/>
      <c r="AC18" s="1004"/>
      <c r="AD18" s="1005"/>
    </row>
    <row r="19" spans="1:31" ht="15" customHeight="1" thickBot="1">
      <c r="A19" s="229"/>
      <c r="B19" s="113"/>
      <c r="C19" s="113"/>
      <c r="D19" s="113"/>
      <c r="E19" s="113"/>
      <c r="F19" s="113"/>
      <c r="G19" s="113"/>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row>
    <row r="20" spans="1:31" customFormat="1" ht="15" customHeight="1" thickBot="1">
      <c r="A20" s="19" t="s">
        <v>2563</v>
      </c>
      <c r="B20" s="831" t="s">
        <v>6335</v>
      </c>
      <c r="C20" s="832"/>
      <c r="D20" s="832"/>
      <c r="E20" s="832"/>
      <c r="F20" s="832"/>
      <c r="G20" s="832"/>
      <c r="H20" s="832"/>
      <c r="I20" s="832"/>
      <c r="J20" s="832"/>
      <c r="K20" s="832"/>
      <c r="L20" s="832"/>
      <c r="M20" s="832"/>
      <c r="N20" s="832"/>
      <c r="O20" s="832"/>
      <c r="P20" s="832"/>
      <c r="Q20" s="832"/>
      <c r="R20" s="832"/>
      <c r="S20" s="832"/>
      <c r="T20" s="832"/>
      <c r="U20" s="832"/>
      <c r="V20" s="832"/>
      <c r="W20" s="832"/>
      <c r="X20" s="832"/>
      <c r="Y20" s="832"/>
      <c r="Z20" s="832"/>
      <c r="AA20" s="832"/>
      <c r="AB20" s="832"/>
      <c r="AC20" s="832"/>
      <c r="AD20" s="833"/>
      <c r="AE20" s="3"/>
    </row>
    <row r="21" spans="1:31" ht="15" customHeight="1">
      <c r="A21" s="170"/>
      <c r="B21" s="838" t="s">
        <v>2565</v>
      </c>
      <c r="C21" s="839"/>
      <c r="D21" s="839"/>
      <c r="E21" s="839"/>
      <c r="F21" s="839"/>
      <c r="G21" s="839"/>
      <c r="H21" s="839"/>
      <c r="I21" s="839"/>
      <c r="J21" s="839"/>
      <c r="K21" s="839"/>
      <c r="L21" s="839"/>
      <c r="M21" s="839"/>
      <c r="N21" s="839"/>
      <c r="O21" s="839"/>
      <c r="P21" s="839"/>
      <c r="Q21" s="839"/>
      <c r="R21" s="839"/>
      <c r="S21" s="839"/>
      <c r="T21" s="839"/>
      <c r="U21" s="839"/>
      <c r="V21" s="839"/>
      <c r="W21" s="839"/>
      <c r="X21" s="839"/>
      <c r="Y21" s="839"/>
      <c r="Z21" s="839"/>
      <c r="AA21" s="839"/>
      <c r="AB21" s="839"/>
      <c r="AC21" s="839"/>
      <c r="AD21" s="840"/>
    </row>
    <row r="22" spans="1:31" ht="60" customHeight="1">
      <c r="A22" s="115"/>
      <c r="B22" s="114"/>
      <c r="C22" s="764" t="s">
        <v>6336</v>
      </c>
      <c r="D22" s="876"/>
      <c r="E22" s="876"/>
      <c r="F22" s="876"/>
      <c r="G22" s="876"/>
      <c r="H22" s="876"/>
      <c r="I22" s="876"/>
      <c r="J22" s="876"/>
      <c r="K22" s="876"/>
      <c r="L22" s="876"/>
      <c r="M22" s="876"/>
      <c r="N22" s="876"/>
      <c r="O22" s="876"/>
      <c r="P22" s="876"/>
      <c r="Q22" s="876"/>
      <c r="R22" s="876"/>
      <c r="S22" s="876"/>
      <c r="T22" s="876"/>
      <c r="U22" s="876"/>
      <c r="V22" s="876"/>
      <c r="W22" s="876"/>
      <c r="X22" s="876"/>
      <c r="Y22" s="876"/>
      <c r="Z22" s="876"/>
      <c r="AA22" s="876"/>
      <c r="AB22" s="876"/>
      <c r="AC22" s="876"/>
      <c r="AD22" s="877"/>
    </row>
    <row r="23" spans="1:31">
      <c r="A23" s="170"/>
      <c r="B23" s="141"/>
      <c r="C23" s="141"/>
      <c r="D23" s="141"/>
      <c r="E23" s="141"/>
      <c r="F23" s="141"/>
      <c r="G23" s="141"/>
      <c r="H23" s="141"/>
      <c r="I23" s="141"/>
      <c r="J23" s="141"/>
      <c r="K23" s="141"/>
      <c r="L23" s="141"/>
      <c r="M23" s="141"/>
      <c r="N23" s="141"/>
      <c r="O23" s="141"/>
      <c r="P23" s="141"/>
      <c r="Q23" s="141"/>
      <c r="R23" s="141"/>
      <c r="S23" s="141"/>
      <c r="T23" s="141"/>
      <c r="U23" s="141"/>
      <c r="V23" s="141"/>
      <c r="W23" s="141"/>
      <c r="X23" s="141"/>
      <c r="Y23" s="141"/>
      <c r="Z23" s="141"/>
      <c r="AA23" s="141"/>
      <c r="AB23" s="141"/>
      <c r="AC23" s="141"/>
      <c r="AD23" s="141"/>
    </row>
    <row r="24" spans="1:31" ht="48" customHeight="1">
      <c r="A24" s="49" t="s">
        <v>6337</v>
      </c>
      <c r="B24" s="829" t="s">
        <v>6338</v>
      </c>
      <c r="C24" s="829"/>
      <c r="D24" s="829"/>
      <c r="E24" s="829"/>
      <c r="F24" s="829"/>
      <c r="G24" s="829"/>
      <c r="H24" s="829"/>
      <c r="I24" s="829"/>
      <c r="J24" s="829"/>
      <c r="K24" s="829"/>
      <c r="L24" s="829"/>
      <c r="M24" s="829"/>
      <c r="N24" s="829"/>
      <c r="O24" s="829"/>
      <c r="P24" s="829"/>
      <c r="Q24" s="829"/>
      <c r="R24" s="829"/>
      <c r="S24" s="829"/>
      <c r="T24" s="829"/>
      <c r="U24" s="829"/>
      <c r="V24" s="829"/>
      <c r="W24" s="829"/>
      <c r="X24" s="829"/>
      <c r="Y24" s="829"/>
      <c r="Z24" s="829"/>
      <c r="AA24" s="829"/>
      <c r="AB24" s="829"/>
      <c r="AC24" s="829"/>
      <c r="AD24" s="829"/>
    </row>
    <row r="25" spans="1:31" ht="36" customHeight="1">
      <c r="A25" s="197"/>
      <c r="B25" s="90"/>
      <c r="C25" s="754" t="s">
        <v>6339</v>
      </c>
      <c r="D25" s="830"/>
      <c r="E25" s="830"/>
      <c r="F25" s="830"/>
      <c r="G25" s="830"/>
      <c r="H25" s="830"/>
      <c r="I25" s="830"/>
      <c r="J25" s="830"/>
      <c r="K25" s="830"/>
      <c r="L25" s="830"/>
      <c r="M25" s="830"/>
      <c r="N25" s="830"/>
      <c r="O25" s="830"/>
      <c r="P25" s="830"/>
      <c r="Q25" s="830"/>
      <c r="R25" s="830"/>
      <c r="S25" s="830"/>
      <c r="T25" s="830"/>
      <c r="U25" s="830"/>
      <c r="V25" s="830"/>
      <c r="W25" s="830"/>
      <c r="X25" s="830"/>
      <c r="Y25" s="830"/>
      <c r="Z25" s="830"/>
      <c r="AA25" s="830"/>
      <c r="AB25" s="830"/>
      <c r="AC25" s="830"/>
      <c r="AD25" s="830"/>
    </row>
    <row r="26" spans="1:31" ht="24" customHeight="1">
      <c r="A26" s="197"/>
      <c r="B26" s="90"/>
      <c r="C26" s="830" t="s">
        <v>6340</v>
      </c>
      <c r="D26" s="830"/>
      <c r="E26" s="830"/>
      <c r="F26" s="830"/>
      <c r="G26" s="830"/>
      <c r="H26" s="830"/>
      <c r="I26" s="830"/>
      <c r="J26" s="830"/>
      <c r="K26" s="830"/>
      <c r="L26" s="830"/>
      <c r="M26" s="830"/>
      <c r="N26" s="830"/>
      <c r="O26" s="830"/>
      <c r="P26" s="830"/>
      <c r="Q26" s="830"/>
      <c r="R26" s="830"/>
      <c r="S26" s="830"/>
      <c r="T26" s="830"/>
      <c r="U26" s="830"/>
      <c r="V26" s="830"/>
      <c r="W26" s="830"/>
      <c r="X26" s="830"/>
      <c r="Y26" s="830"/>
      <c r="Z26" s="830"/>
      <c r="AA26" s="830"/>
      <c r="AB26" s="830"/>
      <c r="AC26" s="830"/>
      <c r="AD26" s="830"/>
    </row>
    <row r="27" spans="1:31" ht="36" customHeight="1">
      <c r="A27" s="197"/>
      <c r="B27" s="90"/>
      <c r="C27" s="754" t="s">
        <v>6341</v>
      </c>
      <c r="D27" s="754"/>
      <c r="E27" s="754"/>
      <c r="F27" s="754"/>
      <c r="G27" s="754"/>
      <c r="H27" s="754"/>
      <c r="I27" s="754"/>
      <c r="J27" s="754"/>
      <c r="K27" s="754"/>
      <c r="L27" s="754"/>
      <c r="M27" s="754"/>
      <c r="N27" s="754"/>
      <c r="O27" s="754"/>
      <c r="P27" s="754"/>
      <c r="Q27" s="754"/>
      <c r="R27" s="754"/>
      <c r="S27" s="754"/>
      <c r="T27" s="754"/>
      <c r="U27" s="754"/>
      <c r="V27" s="754"/>
      <c r="W27" s="754"/>
      <c r="X27" s="754"/>
      <c r="Y27" s="754"/>
      <c r="Z27" s="754"/>
      <c r="AA27" s="754"/>
      <c r="AB27" s="754"/>
      <c r="AC27" s="754"/>
      <c r="AD27" s="754"/>
    </row>
    <row r="28" spans="1:31" ht="24" customHeight="1">
      <c r="A28" s="166"/>
      <c r="B28" s="57"/>
      <c r="C28" s="754" t="s">
        <v>6342</v>
      </c>
      <c r="D28" s="754"/>
      <c r="E28" s="754"/>
      <c r="F28" s="754"/>
      <c r="G28" s="754"/>
      <c r="H28" s="754"/>
      <c r="I28" s="754"/>
      <c r="J28" s="754"/>
      <c r="K28" s="754"/>
      <c r="L28" s="754"/>
      <c r="M28" s="754"/>
      <c r="N28" s="754"/>
      <c r="O28" s="754"/>
      <c r="P28" s="754"/>
      <c r="Q28" s="754"/>
      <c r="R28" s="754"/>
      <c r="S28" s="754"/>
      <c r="T28" s="754"/>
      <c r="U28" s="754"/>
      <c r="V28" s="754"/>
      <c r="W28" s="754"/>
      <c r="X28" s="754"/>
      <c r="Y28" s="754"/>
      <c r="Z28" s="754"/>
      <c r="AA28" s="754"/>
      <c r="AB28" s="754"/>
      <c r="AC28" s="754"/>
      <c r="AD28" s="754"/>
    </row>
    <row r="29" spans="1:31" ht="15" customHeight="1">
      <c r="A29" s="227"/>
      <c r="B29" s="90"/>
      <c r="C29" s="86"/>
      <c r="D29" s="86"/>
      <c r="E29" s="86"/>
      <c r="F29" s="86"/>
      <c r="G29" s="86"/>
      <c r="H29" s="86"/>
      <c r="I29" s="86"/>
      <c r="J29" s="86"/>
      <c r="K29" s="86"/>
      <c r="L29" s="86"/>
      <c r="M29" s="86"/>
      <c r="N29" s="86"/>
      <c r="O29" s="86"/>
      <c r="P29" s="86"/>
      <c r="Q29" s="86"/>
      <c r="R29" s="86"/>
      <c r="S29" s="86"/>
      <c r="T29" s="86"/>
      <c r="U29" s="86"/>
      <c r="V29" s="86"/>
      <c r="W29" s="86"/>
      <c r="X29" s="86"/>
      <c r="Y29" s="86"/>
      <c r="Z29" s="86"/>
      <c r="AA29" s="86"/>
      <c r="AB29" s="86"/>
      <c r="AC29" s="86"/>
      <c r="AD29" s="86"/>
    </row>
    <row r="30" spans="1:31" ht="15" customHeight="1">
      <c r="A30" s="227"/>
      <c r="B30" s="90"/>
      <c r="C30" s="90"/>
      <c r="D30" s="90"/>
      <c r="E30" s="90"/>
      <c r="F30" s="90"/>
      <c r="G30" s="90"/>
      <c r="H30" s="90"/>
      <c r="I30" s="90"/>
      <c r="J30" s="90"/>
      <c r="K30" s="90"/>
      <c r="L30" s="90"/>
      <c r="M30" s="90"/>
      <c r="N30" s="90"/>
      <c r="O30" s="90"/>
      <c r="P30" s="90"/>
      <c r="Q30" s="90"/>
      <c r="R30" s="90"/>
      <c r="S30" s="90"/>
      <c r="T30" s="90"/>
      <c r="U30" s="90"/>
      <c r="V30" s="90"/>
      <c r="W30" s="90"/>
      <c r="X30" s="90"/>
      <c r="Y30" s="90"/>
      <c r="Z30" s="90"/>
      <c r="AA30" s="875" t="s">
        <v>2664</v>
      </c>
      <c r="AB30" s="875"/>
      <c r="AC30" s="875"/>
      <c r="AD30" s="875"/>
    </row>
    <row r="31" spans="1:31" ht="48" customHeight="1">
      <c r="A31" s="89"/>
      <c r="B31" s="90"/>
      <c r="C31" s="797" t="s">
        <v>2581</v>
      </c>
      <c r="D31" s="798"/>
      <c r="E31" s="798"/>
      <c r="F31" s="798"/>
      <c r="G31" s="798"/>
      <c r="H31" s="798"/>
      <c r="I31" s="798"/>
      <c r="J31" s="798"/>
      <c r="K31" s="798"/>
      <c r="L31" s="798"/>
      <c r="M31" s="799"/>
      <c r="N31" s="797" t="s">
        <v>6343</v>
      </c>
      <c r="O31" s="798"/>
      <c r="P31" s="798"/>
      <c r="Q31" s="798"/>
      <c r="R31" s="798"/>
      <c r="S31" s="799"/>
      <c r="T31" s="739" t="s">
        <v>6344</v>
      </c>
      <c r="U31" s="740"/>
      <c r="V31" s="740"/>
      <c r="W31" s="740"/>
      <c r="X31" s="740"/>
      <c r="Y31" s="740"/>
      <c r="Z31" s="740"/>
      <c r="AA31" s="740"/>
      <c r="AB31" s="740"/>
      <c r="AC31" s="740"/>
      <c r="AD31" s="741"/>
    </row>
    <row r="32" spans="1:31" ht="15" customHeight="1">
      <c r="A32" s="89"/>
      <c r="B32" s="90"/>
      <c r="C32" s="800"/>
      <c r="D32" s="801"/>
      <c r="E32" s="801"/>
      <c r="F32" s="801"/>
      <c r="G32" s="801"/>
      <c r="H32" s="801"/>
      <c r="I32" s="801"/>
      <c r="J32" s="801"/>
      <c r="K32" s="801"/>
      <c r="L32" s="801"/>
      <c r="M32" s="802"/>
      <c r="N32" s="800"/>
      <c r="O32" s="801"/>
      <c r="P32" s="801"/>
      <c r="Q32" s="801"/>
      <c r="R32" s="801"/>
      <c r="S32" s="802"/>
      <c r="T32" s="874" t="s">
        <v>2628</v>
      </c>
      <c r="U32" s="733" t="s">
        <v>3524</v>
      </c>
      <c r="V32" s="734"/>
      <c r="W32" s="734"/>
      <c r="X32" s="734"/>
      <c r="Y32" s="734"/>
      <c r="Z32" s="734"/>
      <c r="AA32" s="734"/>
      <c r="AB32" s="734"/>
      <c r="AC32" s="734"/>
      <c r="AD32" s="735"/>
    </row>
    <row r="33" spans="1:49" ht="15" customHeight="1">
      <c r="A33" s="49"/>
      <c r="B33" s="38"/>
      <c r="C33" s="803"/>
      <c r="D33" s="804"/>
      <c r="E33" s="804"/>
      <c r="F33" s="804"/>
      <c r="G33" s="804"/>
      <c r="H33" s="804"/>
      <c r="I33" s="804"/>
      <c r="J33" s="804"/>
      <c r="K33" s="804"/>
      <c r="L33" s="804"/>
      <c r="M33" s="805"/>
      <c r="N33" s="803"/>
      <c r="O33" s="804"/>
      <c r="P33" s="804"/>
      <c r="Q33" s="804"/>
      <c r="R33" s="804"/>
      <c r="S33" s="805"/>
      <c r="T33" s="874"/>
      <c r="U33" s="44" t="s">
        <v>2516</v>
      </c>
      <c r="V33" s="44" t="s">
        <v>2517</v>
      </c>
      <c r="W33" s="44" t="s">
        <v>2518</v>
      </c>
      <c r="X33" s="44" t="s">
        <v>2519</v>
      </c>
      <c r="Y33" s="44" t="s">
        <v>2520</v>
      </c>
      <c r="Z33" s="44" t="s">
        <v>2521</v>
      </c>
      <c r="AA33" s="44" t="s">
        <v>2522</v>
      </c>
      <c r="AB33" s="44" t="s">
        <v>2523</v>
      </c>
      <c r="AC33" s="44" t="s">
        <v>2524</v>
      </c>
      <c r="AD33" s="44" t="s">
        <v>2525</v>
      </c>
      <c r="AG33" s="683" t="s">
        <v>2586</v>
      </c>
      <c r="AH33" s="684" t="s">
        <v>6345</v>
      </c>
      <c r="AI33" s="685" t="s">
        <v>6346</v>
      </c>
      <c r="AJ33" s="686" t="s">
        <v>4713</v>
      </c>
      <c r="AK33" s="1164" t="s">
        <v>6347</v>
      </c>
      <c r="AL33" s="1164"/>
      <c r="AM33" s="1164"/>
      <c r="AN33" s="1164"/>
      <c r="AO33" s="1164"/>
      <c r="AP33" s="1164"/>
      <c r="AQ33" s="1164"/>
      <c r="AR33" s="1164"/>
      <c r="AS33" s="1164"/>
      <c r="AT33" s="1164"/>
      <c r="AU33" s="713" t="s">
        <v>6348</v>
      </c>
    </row>
    <row r="34" spans="1:49">
      <c r="A34" s="49"/>
      <c r="B34" s="38"/>
      <c r="C34" s="43" t="s">
        <v>2516</v>
      </c>
      <c r="D34" s="813" t="str">
        <f>IF(CNSIPEE_2024_M2_Secc1!D42="","",CNSIPEE_2024_M2_Secc1!D42)</f>
        <v/>
      </c>
      <c r="E34" s="814"/>
      <c r="F34" s="814"/>
      <c r="G34" s="814"/>
      <c r="H34" s="814"/>
      <c r="I34" s="814"/>
      <c r="J34" s="814"/>
      <c r="K34" s="814"/>
      <c r="L34" s="814"/>
      <c r="M34" s="815"/>
      <c r="N34" s="749"/>
      <c r="O34" s="749"/>
      <c r="P34" s="749"/>
      <c r="Q34" s="749"/>
      <c r="R34" s="749"/>
      <c r="S34" s="749"/>
      <c r="T34" s="100"/>
      <c r="U34" s="100"/>
      <c r="V34" s="100"/>
      <c r="W34" s="100"/>
      <c r="X34" s="100"/>
      <c r="Y34" s="100"/>
      <c r="Z34" s="100"/>
      <c r="AA34" s="100"/>
      <c r="AB34" s="100"/>
      <c r="AC34" s="100"/>
      <c r="AD34" s="100"/>
      <c r="AG34" s="253">
        <f>IF(COUNTA($N$34:$AD$41)&gt;0,IF(AND(COUNTBLANK(D34)=0,$T34=1,COUNTBLANK(T34:AD34)+COUNTBLANK(R48:AD48)=0),0,IF(AND(COUNTBLANK(D34)=0,$T34=2,COUNTBLANK(T34:AD34)+COUNTBLANK(R48:AD48)=24),0,IF(AND(COUNTBLANK(D34)=0,$T34=9,COUNTBLANK(T34:AD34)+COUNTBLANK(R48:AD48)=24),0,IF(AND(COUNTBLANK(D34)&gt;0,$T34="",COUNTBLANK(T34:AD34)+COUNTBLANK(R48:AD48)=24),0,1)))),0)</f>
        <v>0</v>
      </c>
      <c r="AH34" s="253">
        <f t="shared" ref="AH34:AH41" si="0">COUNTIF(T34:AD34,"NS")</f>
        <v>0</v>
      </c>
      <c r="AI34" s="253">
        <f>IF(T34&lt;=SUM(U34:AD34,R48:AD48),0,1)</f>
        <v>0</v>
      </c>
      <c r="AJ34" s="253">
        <f>IF(AND($T34=1,T34=0),1,0)</f>
        <v>0</v>
      </c>
      <c r="AK34" s="253">
        <f t="shared" ref="AK34:AK41" si="1">IF(COUNTIF(U34,"NS")=0,IF(T34&lt;U34,1,0),0)</f>
        <v>0</v>
      </c>
      <c r="AL34" s="253">
        <f t="shared" ref="AL34:AL41" si="2">IF(COUNTIF(V34,"NS")=0,IF(T34&lt;V34,1,0),0)</f>
        <v>0</v>
      </c>
      <c r="AM34" s="253">
        <f t="shared" ref="AM34:AM41" si="3">IF(COUNTIF(W34,"NS")=0,IF(T34&lt;W34,1,0),0)</f>
        <v>0</v>
      </c>
      <c r="AN34" s="253">
        <f t="shared" ref="AN34:AN41" si="4">IF(COUNTIF(X34,"NS")=0,IF(T34&lt;X34,1,0),0)</f>
        <v>0</v>
      </c>
      <c r="AO34" s="253">
        <f t="shared" ref="AO34:AO41" si="5">IF(COUNTIF(Y34,"NS")=0,IF(T34&lt;Y34,1,0),0)</f>
        <v>0</v>
      </c>
      <c r="AP34" s="253">
        <f t="shared" ref="AP34:AP41" si="6">IF(COUNTIF(Z34,"NS")=0,IF(T34&lt;Z34,1,0),0)</f>
        <v>0</v>
      </c>
      <c r="AQ34" s="253">
        <f t="shared" ref="AQ34:AQ41" si="7">IF(COUNTIF(AA34,"NS")=0,IF(T34&lt;AA34,1,0),0)</f>
        <v>0</v>
      </c>
      <c r="AR34" s="253">
        <f t="shared" ref="AR34:AR41" si="8">IF(COUNTIF(AB34,"NS")=0,IF(T34&lt;AB34,1,0),0)</f>
        <v>0</v>
      </c>
      <c r="AS34" s="253">
        <f t="shared" ref="AS34:AS41" si="9">IF(COUNTIF(AC34,"NS")=0,IF(T34&lt;AC34,1,0),0)</f>
        <v>0</v>
      </c>
      <c r="AT34" s="253">
        <f t="shared" ref="AT34:AT41" si="10">IF(COUNTIF(AD34,"NS")=0,IF(T34&lt;AD34,1,0),0)</f>
        <v>0</v>
      </c>
      <c r="AU34" s="253">
        <f>IF(AND(SUM(U34:AD34,R48:AD48)=0,SUM(AH34,AH48)&gt;0,T34=0),1,0)</f>
        <v>0</v>
      </c>
    </row>
    <row r="35" spans="1:49">
      <c r="A35" s="49"/>
      <c r="B35" s="38"/>
      <c r="C35" s="97" t="s">
        <v>2517</v>
      </c>
      <c r="D35" s="813" t="str">
        <f>IF(CNSIPEE_2024_M2_Secc1!D43="","",CNSIPEE_2024_M2_Secc1!D43)</f>
        <v/>
      </c>
      <c r="E35" s="814"/>
      <c r="F35" s="814"/>
      <c r="G35" s="814"/>
      <c r="H35" s="814"/>
      <c r="I35" s="814"/>
      <c r="J35" s="814"/>
      <c r="K35" s="814"/>
      <c r="L35" s="814"/>
      <c r="M35" s="815"/>
      <c r="N35" s="749"/>
      <c r="O35" s="749"/>
      <c r="P35" s="749"/>
      <c r="Q35" s="749"/>
      <c r="R35" s="749"/>
      <c r="S35" s="749"/>
      <c r="T35" s="100"/>
      <c r="U35" s="100"/>
      <c r="V35" s="100"/>
      <c r="W35" s="100"/>
      <c r="X35" s="100"/>
      <c r="Y35" s="100"/>
      <c r="Z35" s="100"/>
      <c r="AA35" s="100"/>
      <c r="AB35" s="100"/>
      <c r="AC35" s="100"/>
      <c r="AD35" s="100"/>
      <c r="AG35" s="253">
        <f t="shared" ref="AG35:AG41" si="11">IF(COUNTA($N$34:$AD$41)&gt;0,IF(AND(COUNTBLANK(D35)=0,N35=1,COUNTBLANK(T35:AD35)+COUNTBLANK(R49:AD49)=0),0,IF(AND(COUNTBLANK(D35)=0,N35=2,COUNTBLANK(T35:AD35)+COUNTBLANK(R49:AD49)=24),0,IF(AND(COUNTBLANK(D35)=0,N35=9,COUNTBLANK(T35:AD35)+COUNTBLANK(R49:AD49)=24),0,IF(AND(COUNTBLANK(D35)&gt;0,N35="",COUNTBLANK(T35:AD35)+COUNTBLANK(R49:AD49)=24),0,1)))),0)</f>
        <v>0</v>
      </c>
      <c r="AH35" s="253">
        <f t="shared" si="0"/>
        <v>0</v>
      </c>
      <c r="AI35" s="253">
        <f t="shared" ref="AI35:AI41" si="12">IF(T35&lt;=SUM(U35:AD35,R49:AD49),0,1)</f>
        <v>0</v>
      </c>
      <c r="AJ35" s="253">
        <f t="shared" ref="AJ35:AJ41" si="13">IF(AND(N35=1,T35=0),1,0)</f>
        <v>0</v>
      </c>
      <c r="AK35" s="253">
        <f t="shared" si="1"/>
        <v>0</v>
      </c>
      <c r="AL35" s="253">
        <f t="shared" si="2"/>
        <v>0</v>
      </c>
      <c r="AM35" s="253">
        <f t="shared" si="3"/>
        <v>0</v>
      </c>
      <c r="AN35" s="253">
        <f t="shared" si="4"/>
        <v>0</v>
      </c>
      <c r="AO35" s="253">
        <f t="shared" si="5"/>
        <v>0</v>
      </c>
      <c r="AP35" s="253">
        <f t="shared" si="6"/>
        <v>0</v>
      </c>
      <c r="AQ35" s="253">
        <f t="shared" si="7"/>
        <v>0</v>
      </c>
      <c r="AR35" s="253">
        <f t="shared" si="8"/>
        <v>0</v>
      </c>
      <c r="AS35" s="253">
        <f t="shared" si="9"/>
        <v>0</v>
      </c>
      <c r="AT35" s="253">
        <f t="shared" si="10"/>
        <v>0</v>
      </c>
      <c r="AU35" s="253">
        <f t="shared" ref="AU35:AU41" si="14">IF(AND(SUM(U35:AD35,R49:AD49)=0,SUM(AH35,AH49)&gt;0,T35=0),1,0)</f>
        <v>0</v>
      </c>
    </row>
    <row r="36" spans="1:49">
      <c r="A36" s="49"/>
      <c r="B36" s="38"/>
      <c r="C36" s="98" t="s">
        <v>2518</v>
      </c>
      <c r="D36" s="813" t="str">
        <f>IF(CNSIPEE_2024_M2_Secc1!D44="","",CNSIPEE_2024_M2_Secc1!D44)</f>
        <v/>
      </c>
      <c r="E36" s="814"/>
      <c r="F36" s="814"/>
      <c r="G36" s="814"/>
      <c r="H36" s="814"/>
      <c r="I36" s="814"/>
      <c r="J36" s="814"/>
      <c r="K36" s="814"/>
      <c r="L36" s="814"/>
      <c r="M36" s="815"/>
      <c r="N36" s="749"/>
      <c r="O36" s="749"/>
      <c r="P36" s="749"/>
      <c r="Q36" s="749"/>
      <c r="R36" s="749"/>
      <c r="S36" s="749"/>
      <c r="T36" s="100"/>
      <c r="U36" s="100"/>
      <c r="V36" s="100"/>
      <c r="W36" s="100"/>
      <c r="X36" s="100"/>
      <c r="Y36" s="100"/>
      <c r="Z36" s="100"/>
      <c r="AA36" s="100"/>
      <c r="AB36" s="100"/>
      <c r="AC36" s="100"/>
      <c r="AD36" s="100"/>
      <c r="AG36" s="253">
        <f t="shared" si="11"/>
        <v>0</v>
      </c>
      <c r="AH36" s="253">
        <f t="shared" si="0"/>
        <v>0</v>
      </c>
      <c r="AI36" s="253">
        <f t="shared" si="12"/>
        <v>0</v>
      </c>
      <c r="AJ36" s="253">
        <f t="shared" si="13"/>
        <v>0</v>
      </c>
      <c r="AK36" s="253">
        <f t="shared" si="1"/>
        <v>0</v>
      </c>
      <c r="AL36" s="253">
        <f t="shared" si="2"/>
        <v>0</v>
      </c>
      <c r="AM36" s="253">
        <f t="shared" si="3"/>
        <v>0</v>
      </c>
      <c r="AN36" s="253">
        <f t="shared" si="4"/>
        <v>0</v>
      </c>
      <c r="AO36" s="253">
        <f t="shared" si="5"/>
        <v>0</v>
      </c>
      <c r="AP36" s="253">
        <f t="shared" si="6"/>
        <v>0</v>
      </c>
      <c r="AQ36" s="253">
        <f t="shared" si="7"/>
        <v>0</v>
      </c>
      <c r="AR36" s="253">
        <f t="shared" si="8"/>
        <v>0</v>
      </c>
      <c r="AS36" s="253">
        <f t="shared" si="9"/>
        <v>0</v>
      </c>
      <c r="AT36" s="253">
        <f t="shared" si="10"/>
        <v>0</v>
      </c>
      <c r="AU36" s="253">
        <f t="shared" si="14"/>
        <v>0</v>
      </c>
    </row>
    <row r="37" spans="1:49">
      <c r="A37" s="49"/>
      <c r="B37" s="38"/>
      <c r="C37" s="98" t="s">
        <v>2519</v>
      </c>
      <c r="D37" s="813" t="str">
        <f>IF(CNSIPEE_2024_M2_Secc1!D45="","",CNSIPEE_2024_M2_Secc1!D45)</f>
        <v/>
      </c>
      <c r="E37" s="814"/>
      <c r="F37" s="814"/>
      <c r="G37" s="814"/>
      <c r="H37" s="814"/>
      <c r="I37" s="814"/>
      <c r="J37" s="814"/>
      <c r="K37" s="814"/>
      <c r="L37" s="814"/>
      <c r="M37" s="815"/>
      <c r="N37" s="749"/>
      <c r="O37" s="749"/>
      <c r="P37" s="749"/>
      <c r="Q37" s="749"/>
      <c r="R37" s="749"/>
      <c r="S37" s="749"/>
      <c r="T37" s="100"/>
      <c r="U37" s="100"/>
      <c r="V37" s="100"/>
      <c r="W37" s="100"/>
      <c r="X37" s="100"/>
      <c r="Y37" s="100"/>
      <c r="Z37" s="100"/>
      <c r="AA37" s="100"/>
      <c r="AB37" s="100"/>
      <c r="AC37" s="100"/>
      <c r="AD37" s="100"/>
      <c r="AG37" s="253">
        <f t="shared" si="11"/>
        <v>0</v>
      </c>
      <c r="AH37" s="253">
        <f t="shared" si="0"/>
        <v>0</v>
      </c>
      <c r="AI37" s="253">
        <f t="shared" si="12"/>
        <v>0</v>
      </c>
      <c r="AJ37" s="253">
        <f t="shared" si="13"/>
        <v>0</v>
      </c>
      <c r="AK37" s="253">
        <f t="shared" si="1"/>
        <v>0</v>
      </c>
      <c r="AL37" s="253">
        <f t="shared" si="2"/>
        <v>0</v>
      </c>
      <c r="AM37" s="253">
        <f t="shared" si="3"/>
        <v>0</v>
      </c>
      <c r="AN37" s="253">
        <f t="shared" si="4"/>
        <v>0</v>
      </c>
      <c r="AO37" s="253">
        <f t="shared" si="5"/>
        <v>0</v>
      </c>
      <c r="AP37" s="253">
        <f t="shared" si="6"/>
        <v>0</v>
      </c>
      <c r="AQ37" s="253">
        <f t="shared" si="7"/>
        <v>0</v>
      </c>
      <c r="AR37" s="253">
        <f t="shared" si="8"/>
        <v>0</v>
      </c>
      <c r="AS37" s="253">
        <f t="shared" si="9"/>
        <v>0</v>
      </c>
      <c r="AT37" s="253">
        <f t="shared" si="10"/>
        <v>0</v>
      </c>
      <c r="AU37" s="253">
        <f t="shared" si="14"/>
        <v>0</v>
      </c>
    </row>
    <row r="38" spans="1:49">
      <c r="A38" s="49"/>
      <c r="B38" s="38"/>
      <c r="C38" s="98" t="s">
        <v>2520</v>
      </c>
      <c r="D38" s="813" t="str">
        <f>IF(CNSIPEE_2024_M2_Secc1!D46="","",CNSIPEE_2024_M2_Secc1!D46)</f>
        <v/>
      </c>
      <c r="E38" s="814"/>
      <c r="F38" s="814"/>
      <c r="G38" s="814"/>
      <c r="H38" s="814"/>
      <c r="I38" s="814"/>
      <c r="J38" s="814"/>
      <c r="K38" s="814"/>
      <c r="L38" s="814"/>
      <c r="M38" s="815"/>
      <c r="N38" s="749"/>
      <c r="O38" s="749"/>
      <c r="P38" s="749"/>
      <c r="Q38" s="749"/>
      <c r="R38" s="749"/>
      <c r="S38" s="749"/>
      <c r="T38" s="100"/>
      <c r="U38" s="100"/>
      <c r="V38" s="100"/>
      <c r="W38" s="100"/>
      <c r="X38" s="100"/>
      <c r="Y38" s="100"/>
      <c r="Z38" s="100"/>
      <c r="AA38" s="100"/>
      <c r="AB38" s="100"/>
      <c r="AC38" s="100"/>
      <c r="AD38" s="100"/>
      <c r="AG38" s="253">
        <f t="shared" si="11"/>
        <v>0</v>
      </c>
      <c r="AH38" s="253">
        <f t="shared" si="0"/>
        <v>0</v>
      </c>
      <c r="AI38" s="253">
        <f t="shared" si="12"/>
        <v>0</v>
      </c>
      <c r="AJ38" s="253">
        <f t="shared" si="13"/>
        <v>0</v>
      </c>
      <c r="AK38" s="253">
        <f t="shared" si="1"/>
        <v>0</v>
      </c>
      <c r="AL38" s="253">
        <f t="shared" si="2"/>
        <v>0</v>
      </c>
      <c r="AM38" s="253">
        <f t="shared" si="3"/>
        <v>0</v>
      </c>
      <c r="AN38" s="253">
        <f t="shared" si="4"/>
        <v>0</v>
      </c>
      <c r="AO38" s="253">
        <f t="shared" si="5"/>
        <v>0</v>
      </c>
      <c r="AP38" s="253">
        <f t="shared" si="6"/>
        <v>0</v>
      </c>
      <c r="AQ38" s="253">
        <f t="shared" si="7"/>
        <v>0</v>
      </c>
      <c r="AR38" s="253">
        <f t="shared" si="8"/>
        <v>0</v>
      </c>
      <c r="AS38" s="253">
        <f t="shared" si="9"/>
        <v>0</v>
      </c>
      <c r="AT38" s="253">
        <f t="shared" si="10"/>
        <v>0</v>
      </c>
      <c r="AU38" s="253">
        <f t="shared" si="14"/>
        <v>0</v>
      </c>
    </row>
    <row r="39" spans="1:49">
      <c r="A39" s="49"/>
      <c r="B39" s="38"/>
      <c r="C39" s="98" t="s">
        <v>2521</v>
      </c>
      <c r="D39" s="813" t="str">
        <f>IF(CNSIPEE_2024_M2_Secc1!D47="","",CNSIPEE_2024_M2_Secc1!D47)</f>
        <v/>
      </c>
      <c r="E39" s="814"/>
      <c r="F39" s="814"/>
      <c r="G39" s="814"/>
      <c r="H39" s="814"/>
      <c r="I39" s="814"/>
      <c r="J39" s="814"/>
      <c r="K39" s="814"/>
      <c r="L39" s="814"/>
      <c r="M39" s="815"/>
      <c r="N39" s="749"/>
      <c r="O39" s="749"/>
      <c r="P39" s="749"/>
      <c r="Q39" s="749"/>
      <c r="R39" s="749"/>
      <c r="S39" s="749"/>
      <c r="T39" s="100"/>
      <c r="U39" s="100"/>
      <c r="V39" s="100"/>
      <c r="W39" s="100"/>
      <c r="X39" s="100"/>
      <c r="Y39" s="100"/>
      <c r="Z39" s="100"/>
      <c r="AA39" s="100"/>
      <c r="AB39" s="100"/>
      <c r="AC39" s="100"/>
      <c r="AD39" s="100"/>
      <c r="AG39" s="253">
        <f t="shared" si="11"/>
        <v>0</v>
      </c>
      <c r="AH39" s="253">
        <f t="shared" si="0"/>
        <v>0</v>
      </c>
      <c r="AI39" s="253">
        <f t="shared" si="12"/>
        <v>0</v>
      </c>
      <c r="AJ39" s="253">
        <f t="shared" si="13"/>
        <v>0</v>
      </c>
      <c r="AK39" s="253">
        <f t="shared" si="1"/>
        <v>0</v>
      </c>
      <c r="AL39" s="253">
        <f t="shared" si="2"/>
        <v>0</v>
      </c>
      <c r="AM39" s="253">
        <f t="shared" si="3"/>
        <v>0</v>
      </c>
      <c r="AN39" s="253">
        <f t="shared" si="4"/>
        <v>0</v>
      </c>
      <c r="AO39" s="253">
        <f t="shared" si="5"/>
        <v>0</v>
      </c>
      <c r="AP39" s="253">
        <f t="shared" si="6"/>
        <v>0</v>
      </c>
      <c r="AQ39" s="253">
        <f t="shared" si="7"/>
        <v>0</v>
      </c>
      <c r="AR39" s="253">
        <f t="shared" si="8"/>
        <v>0</v>
      </c>
      <c r="AS39" s="253">
        <f t="shared" si="9"/>
        <v>0</v>
      </c>
      <c r="AT39" s="253">
        <f t="shared" si="10"/>
        <v>0</v>
      </c>
      <c r="AU39" s="253">
        <f t="shared" si="14"/>
        <v>0</v>
      </c>
    </row>
    <row r="40" spans="1:49">
      <c r="A40" s="49"/>
      <c r="B40" s="38"/>
      <c r="C40" s="98" t="s">
        <v>2522</v>
      </c>
      <c r="D40" s="813" t="str">
        <f>IF(CNSIPEE_2024_M2_Secc1!D48="","",CNSIPEE_2024_M2_Secc1!D48)</f>
        <v/>
      </c>
      <c r="E40" s="814"/>
      <c r="F40" s="814"/>
      <c r="G40" s="814"/>
      <c r="H40" s="814"/>
      <c r="I40" s="814"/>
      <c r="J40" s="814"/>
      <c r="K40" s="814"/>
      <c r="L40" s="814"/>
      <c r="M40" s="815"/>
      <c r="N40" s="749"/>
      <c r="O40" s="749"/>
      <c r="P40" s="749"/>
      <c r="Q40" s="749"/>
      <c r="R40" s="749"/>
      <c r="S40" s="749"/>
      <c r="T40" s="100"/>
      <c r="U40" s="100"/>
      <c r="V40" s="100"/>
      <c r="W40" s="100"/>
      <c r="X40" s="100"/>
      <c r="Y40" s="100"/>
      <c r="Z40" s="100"/>
      <c r="AA40" s="100"/>
      <c r="AB40" s="100"/>
      <c r="AC40" s="100"/>
      <c r="AD40" s="100"/>
      <c r="AG40" s="253">
        <f t="shared" si="11"/>
        <v>0</v>
      </c>
      <c r="AH40" s="253">
        <f t="shared" si="0"/>
        <v>0</v>
      </c>
      <c r="AI40" s="253">
        <f t="shared" si="12"/>
        <v>0</v>
      </c>
      <c r="AJ40" s="253">
        <f t="shared" si="13"/>
        <v>0</v>
      </c>
      <c r="AK40" s="253">
        <f t="shared" si="1"/>
        <v>0</v>
      </c>
      <c r="AL40" s="253">
        <f t="shared" si="2"/>
        <v>0</v>
      </c>
      <c r="AM40" s="253">
        <f t="shared" si="3"/>
        <v>0</v>
      </c>
      <c r="AN40" s="253">
        <f t="shared" si="4"/>
        <v>0</v>
      </c>
      <c r="AO40" s="253">
        <f t="shared" si="5"/>
        <v>0</v>
      </c>
      <c r="AP40" s="253">
        <f t="shared" si="6"/>
        <v>0</v>
      </c>
      <c r="AQ40" s="253">
        <f t="shared" si="7"/>
        <v>0</v>
      </c>
      <c r="AR40" s="253">
        <f t="shared" si="8"/>
        <v>0</v>
      </c>
      <c r="AS40" s="253">
        <f t="shared" si="9"/>
        <v>0</v>
      </c>
      <c r="AT40" s="253">
        <f t="shared" si="10"/>
        <v>0</v>
      </c>
      <c r="AU40" s="253">
        <f t="shared" si="14"/>
        <v>0</v>
      </c>
    </row>
    <row r="41" spans="1:49">
      <c r="A41" s="49"/>
      <c r="B41" s="38"/>
      <c r="C41" s="98" t="s">
        <v>2523</v>
      </c>
      <c r="D41" s="813" t="str">
        <f>IF(CNSIPEE_2024_M2_Secc1!D49="","",CNSIPEE_2024_M2_Secc1!D49)</f>
        <v/>
      </c>
      <c r="E41" s="814"/>
      <c r="F41" s="814"/>
      <c r="G41" s="814"/>
      <c r="H41" s="814"/>
      <c r="I41" s="814"/>
      <c r="J41" s="814"/>
      <c r="K41" s="814"/>
      <c r="L41" s="814"/>
      <c r="M41" s="815"/>
      <c r="N41" s="749"/>
      <c r="O41" s="749"/>
      <c r="P41" s="749"/>
      <c r="Q41" s="749"/>
      <c r="R41" s="749"/>
      <c r="S41" s="749"/>
      <c r="T41" s="100"/>
      <c r="U41" s="100"/>
      <c r="V41" s="100"/>
      <c r="W41" s="100"/>
      <c r="X41" s="100"/>
      <c r="Y41" s="100"/>
      <c r="Z41" s="100"/>
      <c r="AA41" s="100"/>
      <c r="AB41" s="100"/>
      <c r="AC41" s="100"/>
      <c r="AD41" s="100"/>
      <c r="AG41" s="253">
        <f t="shared" si="11"/>
        <v>0</v>
      </c>
      <c r="AH41" s="253">
        <f t="shared" si="0"/>
        <v>0</v>
      </c>
      <c r="AI41" s="253">
        <f t="shared" si="12"/>
        <v>0</v>
      </c>
      <c r="AJ41" s="253">
        <f t="shared" si="13"/>
        <v>0</v>
      </c>
      <c r="AK41" s="253">
        <f t="shared" si="1"/>
        <v>0</v>
      </c>
      <c r="AL41" s="253">
        <f t="shared" si="2"/>
        <v>0</v>
      </c>
      <c r="AM41" s="253">
        <f t="shared" si="3"/>
        <v>0</v>
      </c>
      <c r="AN41" s="253">
        <f t="shared" si="4"/>
        <v>0</v>
      </c>
      <c r="AO41" s="253">
        <f t="shared" si="5"/>
        <v>0</v>
      </c>
      <c r="AP41" s="253">
        <f t="shared" si="6"/>
        <v>0</v>
      </c>
      <c r="AQ41" s="253">
        <f t="shared" si="7"/>
        <v>0</v>
      </c>
      <c r="AR41" s="253">
        <f t="shared" si="8"/>
        <v>0</v>
      </c>
      <c r="AS41" s="253">
        <f t="shared" si="9"/>
        <v>0</v>
      </c>
      <c r="AT41" s="253">
        <f t="shared" si="10"/>
        <v>0</v>
      </c>
      <c r="AU41" s="253">
        <f t="shared" si="14"/>
        <v>0</v>
      </c>
    </row>
    <row r="42" spans="1:49">
      <c r="A42" s="89"/>
      <c r="B42" s="90"/>
      <c r="C42" s="84"/>
      <c r="D42" s="84"/>
      <c r="E42" s="84"/>
      <c r="F42" s="84"/>
      <c r="G42" s="84"/>
      <c r="H42" s="84"/>
      <c r="I42" s="84"/>
      <c r="R42" s="99"/>
      <c r="S42" s="99" t="s">
        <v>2649</v>
      </c>
      <c r="T42" s="682">
        <f t="shared" ref="T42:AD42" si="15">IF(AND(SUM(T34:T41)=0,COUNTIF(T34:T41,"NS")&gt;0),"NS",IF(AND(SUM(T34:T41)=0,COUNTIF(T34:T41,0)&gt;0),0,IF(AND(SUM(T34:T41)=0,COUNTIF(T34:T41,"NA")&gt;0),"NA",SUM(T34:T41))))</f>
        <v>0</v>
      </c>
      <c r="U42" s="682">
        <f t="shared" si="15"/>
        <v>0</v>
      </c>
      <c r="V42" s="682">
        <f t="shared" si="15"/>
        <v>0</v>
      </c>
      <c r="W42" s="682">
        <f t="shared" si="15"/>
        <v>0</v>
      </c>
      <c r="X42" s="682">
        <f t="shared" si="15"/>
        <v>0</v>
      </c>
      <c r="Y42" s="682">
        <f t="shared" si="15"/>
        <v>0</v>
      </c>
      <c r="Z42" s="682">
        <f t="shared" si="15"/>
        <v>0</v>
      </c>
      <c r="AA42" s="682">
        <f t="shared" si="15"/>
        <v>0</v>
      </c>
      <c r="AB42" s="682">
        <f t="shared" si="15"/>
        <v>0</v>
      </c>
      <c r="AC42" s="682">
        <f t="shared" si="15"/>
        <v>0</v>
      </c>
      <c r="AD42" s="682">
        <f t="shared" si="15"/>
        <v>0</v>
      </c>
      <c r="AG42" s="683">
        <f>SUM(AG34:AG41)</f>
        <v>0</v>
      </c>
      <c r="AH42" s="684">
        <f>SUM(AH34:AH41)</f>
        <v>0</v>
      </c>
      <c r="AI42" s="685">
        <f>SUM(AI34:AI41)</f>
        <v>0</v>
      </c>
      <c r="AJ42" s="686">
        <f>SUM(AJ34:AJ41)</f>
        <v>0</v>
      </c>
      <c r="AK42" s="252">
        <f>SUM(AK34:AK41)</f>
        <v>0</v>
      </c>
      <c r="AL42" s="253"/>
      <c r="AM42" s="253"/>
      <c r="AN42" s="253"/>
      <c r="AO42" s="253"/>
      <c r="AP42" s="253"/>
      <c r="AQ42" s="253"/>
      <c r="AR42" s="253"/>
      <c r="AS42" s="253"/>
      <c r="AT42" s="253"/>
      <c r="AU42" s="713">
        <f>SUM(AU34:AU41)</f>
        <v>0</v>
      </c>
    </row>
    <row r="43" spans="1:49">
      <c r="A43" s="89"/>
      <c r="B43" s="90"/>
      <c r="C43" s="84"/>
      <c r="D43" s="84"/>
      <c r="E43" s="84"/>
      <c r="F43" s="84"/>
      <c r="G43" s="84"/>
      <c r="H43" s="84"/>
      <c r="I43" s="84"/>
      <c r="J43" s="84"/>
      <c r="K43" s="84"/>
      <c r="L43" s="84"/>
      <c r="M43" s="84"/>
      <c r="N43" s="84"/>
      <c r="O43" s="84"/>
      <c r="P43" s="84"/>
      <c r="Q43" s="84"/>
      <c r="R43" s="84"/>
      <c r="S43" s="84"/>
      <c r="T43" s="84"/>
      <c r="U43" s="84"/>
      <c r="V43" s="84"/>
      <c r="W43" s="84"/>
      <c r="X43" s="228"/>
      <c r="Y43" s="228"/>
      <c r="Z43" s="228"/>
      <c r="AA43" s="228"/>
      <c r="AB43" s="228"/>
      <c r="AC43" s="228"/>
      <c r="AD43" s="228"/>
    </row>
    <row r="44" spans="1:49">
      <c r="A44" s="110"/>
      <c r="B44" s="57"/>
      <c r="C44" s="57"/>
      <c r="D44" s="57"/>
      <c r="E44" s="57"/>
      <c r="F44" s="57"/>
      <c r="G44" s="57"/>
      <c r="H44" s="57"/>
      <c r="I44" s="57"/>
      <c r="J44" s="57"/>
      <c r="K44" s="57"/>
      <c r="L44" s="57"/>
      <c r="M44" s="57"/>
      <c r="N44" s="57"/>
      <c r="O44" s="57"/>
      <c r="P44" s="57"/>
      <c r="Q44" s="57"/>
      <c r="R44" s="57"/>
      <c r="S44" s="57"/>
      <c r="T44" s="57"/>
      <c r="U44" s="57"/>
      <c r="V44" s="57"/>
      <c r="W44" s="57"/>
      <c r="X44" s="57"/>
      <c r="Y44" s="57"/>
      <c r="Z44" s="57"/>
      <c r="AA44" s="873" t="s">
        <v>2668</v>
      </c>
      <c r="AB44" s="873"/>
      <c r="AC44" s="873"/>
      <c r="AD44" s="873"/>
    </row>
    <row r="45" spans="1:49" ht="48" customHeight="1">
      <c r="A45" s="166"/>
      <c r="B45" s="57"/>
      <c r="C45" s="732" t="s">
        <v>2581</v>
      </c>
      <c r="D45" s="732"/>
      <c r="E45" s="732"/>
      <c r="F45" s="732"/>
      <c r="G45" s="732"/>
      <c r="H45" s="732"/>
      <c r="I45" s="732"/>
      <c r="J45" s="732"/>
      <c r="K45" s="732"/>
      <c r="L45" s="732"/>
      <c r="M45" s="732"/>
      <c r="N45" s="732"/>
      <c r="O45" s="732"/>
      <c r="P45" s="732"/>
      <c r="Q45" s="732"/>
      <c r="R45" s="732" t="s">
        <v>6344</v>
      </c>
      <c r="S45" s="732"/>
      <c r="T45" s="732"/>
      <c r="U45" s="732"/>
      <c r="V45" s="732"/>
      <c r="W45" s="732"/>
      <c r="X45" s="732"/>
      <c r="Y45" s="732"/>
      <c r="Z45" s="732"/>
      <c r="AA45" s="732"/>
      <c r="AB45" s="732"/>
      <c r="AC45" s="732"/>
      <c r="AD45" s="732"/>
    </row>
    <row r="46" spans="1:49" ht="15" customHeight="1">
      <c r="A46" s="166"/>
      <c r="B46" s="57"/>
      <c r="C46" s="732"/>
      <c r="D46" s="732"/>
      <c r="E46" s="732"/>
      <c r="F46" s="732"/>
      <c r="G46" s="732"/>
      <c r="H46" s="732"/>
      <c r="I46" s="732"/>
      <c r="J46" s="732"/>
      <c r="K46" s="732"/>
      <c r="L46" s="732"/>
      <c r="M46" s="732"/>
      <c r="N46" s="732"/>
      <c r="O46" s="732"/>
      <c r="P46" s="732"/>
      <c r="Q46" s="732"/>
      <c r="R46" s="736" t="s">
        <v>3524</v>
      </c>
      <c r="S46" s="736"/>
      <c r="T46" s="736"/>
      <c r="U46" s="736"/>
      <c r="V46" s="736"/>
      <c r="W46" s="736"/>
      <c r="X46" s="736"/>
      <c r="Y46" s="736"/>
      <c r="Z46" s="736"/>
      <c r="AA46" s="736"/>
      <c r="AB46" s="736"/>
      <c r="AC46" s="736"/>
      <c r="AD46" s="736"/>
    </row>
    <row r="47" spans="1:49" ht="15" customHeight="1">
      <c r="A47" s="50"/>
      <c r="B47" s="90"/>
      <c r="C47" s="732"/>
      <c r="D47" s="732"/>
      <c r="E47" s="732"/>
      <c r="F47" s="732"/>
      <c r="G47" s="732"/>
      <c r="H47" s="732"/>
      <c r="I47" s="732"/>
      <c r="J47" s="732"/>
      <c r="K47" s="732"/>
      <c r="L47" s="732"/>
      <c r="M47" s="732"/>
      <c r="N47" s="732"/>
      <c r="O47" s="732"/>
      <c r="P47" s="732"/>
      <c r="Q47" s="732"/>
      <c r="R47" s="44" t="s">
        <v>2526</v>
      </c>
      <c r="S47" s="44" t="s">
        <v>2527</v>
      </c>
      <c r="T47" s="44" t="s">
        <v>2528</v>
      </c>
      <c r="U47" s="44" t="s">
        <v>2529</v>
      </c>
      <c r="V47" s="44" t="s">
        <v>2530</v>
      </c>
      <c r="W47" s="44" t="s">
        <v>2531</v>
      </c>
      <c r="X47" s="44" t="s">
        <v>2532</v>
      </c>
      <c r="Y47" s="44" t="s">
        <v>2533</v>
      </c>
      <c r="Z47" s="44" t="s">
        <v>2534</v>
      </c>
      <c r="AA47" s="44" t="s">
        <v>2535</v>
      </c>
      <c r="AB47" s="44" t="s">
        <v>2536</v>
      </c>
      <c r="AC47" s="44" t="s">
        <v>2537</v>
      </c>
      <c r="AD47" s="44" t="s">
        <v>2538</v>
      </c>
      <c r="AH47" s="684" t="s">
        <v>6349</v>
      </c>
      <c r="AI47" s="687" t="s">
        <v>6350</v>
      </c>
      <c r="AJ47" s="253"/>
      <c r="AK47" s="1164" t="s">
        <v>6347</v>
      </c>
      <c r="AL47" s="1164"/>
      <c r="AM47" s="1164"/>
      <c r="AN47" s="1164"/>
      <c r="AO47" s="1164"/>
      <c r="AP47" s="1164"/>
      <c r="AQ47" s="1164"/>
      <c r="AR47" s="1164"/>
      <c r="AS47" s="1164"/>
      <c r="AT47" s="1164"/>
      <c r="AU47" s="1164"/>
      <c r="AV47" s="1164"/>
      <c r="AW47" s="1164"/>
    </row>
    <row r="48" spans="1:49">
      <c r="A48" s="197"/>
      <c r="B48" s="90"/>
      <c r="C48" s="44" t="s">
        <v>2516</v>
      </c>
      <c r="D48" s="813" t="str">
        <f>IF(CNSIPEE_2024_M2_Secc1!D42="","",CNSIPEE_2024_M2_Secc1!D42)</f>
        <v/>
      </c>
      <c r="E48" s="814"/>
      <c r="F48" s="814"/>
      <c r="G48" s="814"/>
      <c r="H48" s="814"/>
      <c r="I48" s="814"/>
      <c r="J48" s="814"/>
      <c r="K48" s="814"/>
      <c r="L48" s="814"/>
      <c r="M48" s="814"/>
      <c r="N48" s="814"/>
      <c r="O48" s="814"/>
      <c r="P48" s="814"/>
      <c r="Q48" s="815"/>
      <c r="R48" s="100"/>
      <c r="S48" s="100"/>
      <c r="T48" s="100"/>
      <c r="U48" s="100"/>
      <c r="V48" s="100"/>
      <c r="W48" s="100"/>
      <c r="X48" s="100"/>
      <c r="Y48" s="100"/>
      <c r="Z48" s="100"/>
      <c r="AA48" s="100"/>
      <c r="AB48" s="100"/>
      <c r="AC48" s="100"/>
      <c r="AD48" s="100"/>
      <c r="AH48" s="253">
        <f t="shared" ref="AH48:AH55" si="16">COUNTIF(R48:AD48,"NS")</f>
        <v>0</v>
      </c>
      <c r="AI48" s="253">
        <f t="shared" ref="AI48:AI55" si="17">IF(OR(AC48=0,AC48="NS",AC48="NA"),0,1)</f>
        <v>0</v>
      </c>
      <c r="AJ48" s="253"/>
      <c r="AK48" s="253">
        <f t="shared" ref="AK48:AW55" si="18">IF(COUNTIF(R48,"NS")=0,IF($T34&lt;R48,1,0),0)</f>
        <v>0</v>
      </c>
      <c r="AL48" s="253">
        <f t="shared" si="18"/>
        <v>0</v>
      </c>
      <c r="AM48" s="253">
        <f t="shared" si="18"/>
        <v>0</v>
      </c>
      <c r="AN48" s="253">
        <f t="shared" si="18"/>
        <v>0</v>
      </c>
      <c r="AO48" s="253">
        <f t="shared" si="18"/>
        <v>0</v>
      </c>
      <c r="AP48" s="253">
        <f t="shared" si="18"/>
        <v>0</v>
      </c>
      <c r="AQ48" s="253">
        <f t="shared" si="18"/>
        <v>0</v>
      </c>
      <c r="AR48" s="253">
        <f t="shared" si="18"/>
        <v>0</v>
      </c>
      <c r="AS48" s="253">
        <f t="shared" si="18"/>
        <v>0</v>
      </c>
      <c r="AT48" s="253">
        <f t="shared" si="18"/>
        <v>0</v>
      </c>
      <c r="AU48" s="253">
        <f t="shared" si="18"/>
        <v>0</v>
      </c>
      <c r="AV48" s="253">
        <f t="shared" si="18"/>
        <v>0</v>
      </c>
      <c r="AW48" s="253">
        <f t="shared" si="18"/>
        <v>0</v>
      </c>
    </row>
    <row r="49" spans="1:49">
      <c r="A49" s="197"/>
      <c r="B49" s="90"/>
      <c r="C49" s="44" t="s">
        <v>2517</v>
      </c>
      <c r="D49" s="813" t="str">
        <f>IF(CNSIPEE_2024_M2_Secc1!D43="","",CNSIPEE_2024_M2_Secc1!D43)</f>
        <v/>
      </c>
      <c r="E49" s="814"/>
      <c r="F49" s="814"/>
      <c r="G49" s="814"/>
      <c r="H49" s="814"/>
      <c r="I49" s="814"/>
      <c r="J49" s="814"/>
      <c r="K49" s="814"/>
      <c r="L49" s="814"/>
      <c r="M49" s="814"/>
      <c r="N49" s="814"/>
      <c r="O49" s="814"/>
      <c r="P49" s="814"/>
      <c r="Q49" s="815"/>
      <c r="R49" s="100"/>
      <c r="S49" s="100"/>
      <c r="T49" s="100"/>
      <c r="U49" s="100"/>
      <c r="V49" s="100"/>
      <c r="W49" s="100"/>
      <c r="X49" s="100"/>
      <c r="Y49" s="100"/>
      <c r="Z49" s="100"/>
      <c r="AA49" s="100"/>
      <c r="AB49" s="100"/>
      <c r="AC49" s="100"/>
      <c r="AD49" s="100"/>
      <c r="AH49" s="253">
        <f t="shared" si="16"/>
        <v>0</v>
      </c>
      <c r="AI49" s="253">
        <f t="shared" si="17"/>
        <v>0</v>
      </c>
      <c r="AJ49" s="253"/>
      <c r="AK49" s="253">
        <f t="shared" si="18"/>
        <v>0</v>
      </c>
      <c r="AL49" s="253">
        <f t="shared" si="18"/>
        <v>0</v>
      </c>
      <c r="AM49" s="253">
        <f t="shared" si="18"/>
        <v>0</v>
      </c>
      <c r="AN49" s="253">
        <f t="shared" si="18"/>
        <v>0</v>
      </c>
      <c r="AO49" s="253">
        <f t="shared" si="18"/>
        <v>0</v>
      </c>
      <c r="AP49" s="253">
        <f t="shared" si="18"/>
        <v>0</v>
      </c>
      <c r="AQ49" s="253">
        <f t="shared" si="18"/>
        <v>0</v>
      </c>
      <c r="AR49" s="253">
        <f t="shared" si="18"/>
        <v>0</v>
      </c>
      <c r="AS49" s="253">
        <f t="shared" si="18"/>
        <v>0</v>
      </c>
      <c r="AT49" s="253">
        <f t="shared" si="18"/>
        <v>0</v>
      </c>
      <c r="AU49" s="253">
        <f t="shared" si="18"/>
        <v>0</v>
      </c>
      <c r="AV49" s="253">
        <f t="shared" si="18"/>
        <v>0</v>
      </c>
      <c r="AW49" s="253">
        <f t="shared" si="18"/>
        <v>0</v>
      </c>
    </row>
    <row r="50" spans="1:49">
      <c r="A50" s="197"/>
      <c r="B50" s="90"/>
      <c r="C50" s="44" t="s">
        <v>2518</v>
      </c>
      <c r="D50" s="813" t="str">
        <f>IF(CNSIPEE_2024_M2_Secc1!D44="","",CNSIPEE_2024_M2_Secc1!D44)</f>
        <v/>
      </c>
      <c r="E50" s="814"/>
      <c r="F50" s="814"/>
      <c r="G50" s="814"/>
      <c r="H50" s="814"/>
      <c r="I50" s="814"/>
      <c r="J50" s="814"/>
      <c r="K50" s="814"/>
      <c r="L50" s="814"/>
      <c r="M50" s="814"/>
      <c r="N50" s="814"/>
      <c r="O50" s="814"/>
      <c r="P50" s="814"/>
      <c r="Q50" s="815"/>
      <c r="R50" s="100"/>
      <c r="S50" s="100"/>
      <c r="T50" s="100"/>
      <c r="U50" s="100"/>
      <c r="V50" s="100"/>
      <c r="W50" s="100"/>
      <c r="X50" s="100"/>
      <c r="Y50" s="100"/>
      <c r="Z50" s="100"/>
      <c r="AA50" s="100"/>
      <c r="AB50" s="100"/>
      <c r="AC50" s="100"/>
      <c r="AD50" s="100"/>
      <c r="AH50" s="253">
        <f t="shared" si="16"/>
        <v>0</v>
      </c>
      <c r="AI50" s="253">
        <f t="shared" si="17"/>
        <v>0</v>
      </c>
      <c r="AJ50" s="253"/>
      <c r="AK50" s="253">
        <f t="shared" si="18"/>
        <v>0</v>
      </c>
      <c r="AL50" s="253">
        <f t="shared" si="18"/>
        <v>0</v>
      </c>
      <c r="AM50" s="253">
        <f t="shared" si="18"/>
        <v>0</v>
      </c>
      <c r="AN50" s="253">
        <f t="shared" si="18"/>
        <v>0</v>
      </c>
      <c r="AO50" s="253">
        <f t="shared" si="18"/>
        <v>0</v>
      </c>
      <c r="AP50" s="253">
        <f t="shared" si="18"/>
        <v>0</v>
      </c>
      <c r="AQ50" s="253">
        <f t="shared" si="18"/>
        <v>0</v>
      </c>
      <c r="AR50" s="253">
        <f t="shared" si="18"/>
        <v>0</v>
      </c>
      <c r="AS50" s="253">
        <f t="shared" si="18"/>
        <v>0</v>
      </c>
      <c r="AT50" s="253">
        <f t="shared" si="18"/>
        <v>0</v>
      </c>
      <c r="AU50" s="253">
        <f t="shared" si="18"/>
        <v>0</v>
      </c>
      <c r="AV50" s="253">
        <f t="shared" si="18"/>
        <v>0</v>
      </c>
      <c r="AW50" s="253">
        <f t="shared" si="18"/>
        <v>0</v>
      </c>
    </row>
    <row r="51" spans="1:49">
      <c r="A51" s="197"/>
      <c r="B51" s="90"/>
      <c r="C51" s="44" t="s">
        <v>2519</v>
      </c>
      <c r="D51" s="813" t="str">
        <f>IF(CNSIPEE_2024_M2_Secc1!D45="","",CNSIPEE_2024_M2_Secc1!D45)</f>
        <v/>
      </c>
      <c r="E51" s="814"/>
      <c r="F51" s="814"/>
      <c r="G51" s="814"/>
      <c r="H51" s="814"/>
      <c r="I51" s="814"/>
      <c r="J51" s="814"/>
      <c r="K51" s="814"/>
      <c r="L51" s="814"/>
      <c r="M51" s="814"/>
      <c r="N51" s="814"/>
      <c r="O51" s="814"/>
      <c r="P51" s="814"/>
      <c r="Q51" s="815"/>
      <c r="R51" s="100"/>
      <c r="S51" s="100"/>
      <c r="T51" s="100"/>
      <c r="U51" s="100"/>
      <c r="V51" s="100"/>
      <c r="W51" s="100"/>
      <c r="X51" s="100"/>
      <c r="Y51" s="100"/>
      <c r="Z51" s="100"/>
      <c r="AA51" s="100"/>
      <c r="AB51" s="100"/>
      <c r="AC51" s="100"/>
      <c r="AD51" s="100"/>
      <c r="AH51" s="253">
        <f t="shared" si="16"/>
        <v>0</v>
      </c>
      <c r="AI51" s="253">
        <f t="shared" si="17"/>
        <v>0</v>
      </c>
      <c r="AJ51" s="253"/>
      <c r="AK51" s="253">
        <f t="shared" si="18"/>
        <v>0</v>
      </c>
      <c r="AL51" s="253">
        <f t="shared" si="18"/>
        <v>0</v>
      </c>
      <c r="AM51" s="253">
        <f t="shared" si="18"/>
        <v>0</v>
      </c>
      <c r="AN51" s="253">
        <f t="shared" si="18"/>
        <v>0</v>
      </c>
      <c r="AO51" s="253">
        <f t="shared" si="18"/>
        <v>0</v>
      </c>
      <c r="AP51" s="253">
        <f t="shared" si="18"/>
        <v>0</v>
      </c>
      <c r="AQ51" s="253">
        <f t="shared" si="18"/>
        <v>0</v>
      </c>
      <c r="AR51" s="253">
        <f t="shared" si="18"/>
        <v>0</v>
      </c>
      <c r="AS51" s="253">
        <f t="shared" si="18"/>
        <v>0</v>
      </c>
      <c r="AT51" s="253">
        <f t="shared" si="18"/>
        <v>0</v>
      </c>
      <c r="AU51" s="253">
        <f t="shared" si="18"/>
        <v>0</v>
      </c>
      <c r="AV51" s="253">
        <f t="shared" si="18"/>
        <v>0</v>
      </c>
      <c r="AW51" s="253">
        <f t="shared" si="18"/>
        <v>0</v>
      </c>
    </row>
    <row r="52" spans="1:49">
      <c r="A52" s="197"/>
      <c r="B52" s="90"/>
      <c r="C52" s="44" t="s">
        <v>2520</v>
      </c>
      <c r="D52" s="813" t="str">
        <f>IF(CNSIPEE_2024_M2_Secc1!D46="","",CNSIPEE_2024_M2_Secc1!D46)</f>
        <v/>
      </c>
      <c r="E52" s="814"/>
      <c r="F52" s="814"/>
      <c r="G52" s="814"/>
      <c r="H52" s="814"/>
      <c r="I52" s="814"/>
      <c r="J52" s="814"/>
      <c r="K52" s="814"/>
      <c r="L52" s="814"/>
      <c r="M52" s="814"/>
      <c r="N52" s="814"/>
      <c r="O52" s="814"/>
      <c r="P52" s="814"/>
      <c r="Q52" s="815"/>
      <c r="R52" s="100"/>
      <c r="S52" s="100"/>
      <c r="T52" s="100"/>
      <c r="U52" s="100"/>
      <c r="V52" s="100"/>
      <c r="W52" s="100"/>
      <c r="X52" s="100"/>
      <c r="Y52" s="100"/>
      <c r="Z52" s="100"/>
      <c r="AA52" s="100"/>
      <c r="AB52" s="100"/>
      <c r="AC52" s="100"/>
      <c r="AD52" s="100"/>
      <c r="AH52" s="253">
        <f t="shared" si="16"/>
        <v>0</v>
      </c>
      <c r="AI52" s="253">
        <f t="shared" si="17"/>
        <v>0</v>
      </c>
      <c r="AJ52" s="253"/>
      <c r="AK52" s="253">
        <f t="shared" si="18"/>
        <v>0</v>
      </c>
      <c r="AL52" s="253">
        <f t="shared" si="18"/>
        <v>0</v>
      </c>
      <c r="AM52" s="253">
        <f t="shared" si="18"/>
        <v>0</v>
      </c>
      <c r="AN52" s="253">
        <f t="shared" si="18"/>
        <v>0</v>
      </c>
      <c r="AO52" s="253">
        <f t="shared" si="18"/>
        <v>0</v>
      </c>
      <c r="AP52" s="253">
        <f t="shared" si="18"/>
        <v>0</v>
      </c>
      <c r="AQ52" s="253">
        <f t="shared" si="18"/>
        <v>0</v>
      </c>
      <c r="AR52" s="253">
        <f t="shared" si="18"/>
        <v>0</v>
      </c>
      <c r="AS52" s="253">
        <f t="shared" si="18"/>
        <v>0</v>
      </c>
      <c r="AT52" s="253">
        <f t="shared" si="18"/>
        <v>0</v>
      </c>
      <c r="AU52" s="253">
        <f t="shared" si="18"/>
        <v>0</v>
      </c>
      <c r="AV52" s="253">
        <f t="shared" si="18"/>
        <v>0</v>
      </c>
      <c r="AW52" s="253">
        <f t="shared" si="18"/>
        <v>0</v>
      </c>
    </row>
    <row r="53" spans="1:49">
      <c r="A53" s="197"/>
      <c r="B53" s="90"/>
      <c r="C53" s="44" t="s">
        <v>2521</v>
      </c>
      <c r="D53" s="813" t="str">
        <f>IF(CNSIPEE_2024_M2_Secc1!D47="","",CNSIPEE_2024_M2_Secc1!D47)</f>
        <v/>
      </c>
      <c r="E53" s="814"/>
      <c r="F53" s="814"/>
      <c r="G53" s="814"/>
      <c r="H53" s="814"/>
      <c r="I53" s="814"/>
      <c r="J53" s="814"/>
      <c r="K53" s="814"/>
      <c r="L53" s="814"/>
      <c r="M53" s="814"/>
      <c r="N53" s="814"/>
      <c r="O53" s="814"/>
      <c r="P53" s="814"/>
      <c r="Q53" s="815"/>
      <c r="R53" s="100"/>
      <c r="S53" s="100"/>
      <c r="T53" s="100"/>
      <c r="U53" s="100"/>
      <c r="V53" s="100"/>
      <c r="W53" s="100"/>
      <c r="X53" s="100"/>
      <c r="Y53" s="100"/>
      <c r="Z53" s="100"/>
      <c r="AA53" s="100"/>
      <c r="AB53" s="100"/>
      <c r="AC53" s="100"/>
      <c r="AD53" s="100"/>
      <c r="AH53" s="253">
        <f t="shared" si="16"/>
        <v>0</v>
      </c>
      <c r="AI53" s="253">
        <f t="shared" si="17"/>
        <v>0</v>
      </c>
      <c r="AJ53" s="253"/>
      <c r="AK53" s="253">
        <f t="shared" si="18"/>
        <v>0</v>
      </c>
      <c r="AL53" s="253">
        <f t="shared" si="18"/>
        <v>0</v>
      </c>
      <c r="AM53" s="253">
        <f t="shared" si="18"/>
        <v>0</v>
      </c>
      <c r="AN53" s="253">
        <f t="shared" si="18"/>
        <v>0</v>
      </c>
      <c r="AO53" s="253">
        <f t="shared" si="18"/>
        <v>0</v>
      </c>
      <c r="AP53" s="253">
        <f t="shared" si="18"/>
        <v>0</v>
      </c>
      <c r="AQ53" s="253">
        <f t="shared" si="18"/>
        <v>0</v>
      </c>
      <c r="AR53" s="253">
        <f t="shared" si="18"/>
        <v>0</v>
      </c>
      <c r="AS53" s="253">
        <f t="shared" si="18"/>
        <v>0</v>
      </c>
      <c r="AT53" s="253">
        <f t="shared" si="18"/>
        <v>0</v>
      </c>
      <c r="AU53" s="253">
        <f t="shared" si="18"/>
        <v>0</v>
      </c>
      <c r="AV53" s="253">
        <f t="shared" si="18"/>
        <v>0</v>
      </c>
      <c r="AW53" s="253">
        <f t="shared" si="18"/>
        <v>0</v>
      </c>
    </row>
    <row r="54" spans="1:49">
      <c r="A54" s="197"/>
      <c r="B54" s="90"/>
      <c r="C54" s="44" t="s">
        <v>2522</v>
      </c>
      <c r="D54" s="813" t="str">
        <f>IF(CNSIPEE_2024_M2_Secc1!D48="","",CNSIPEE_2024_M2_Secc1!D48)</f>
        <v/>
      </c>
      <c r="E54" s="814"/>
      <c r="F54" s="814"/>
      <c r="G54" s="814"/>
      <c r="H54" s="814"/>
      <c r="I54" s="814"/>
      <c r="J54" s="814"/>
      <c r="K54" s="814"/>
      <c r="L54" s="814"/>
      <c r="M54" s="814"/>
      <c r="N54" s="814"/>
      <c r="O54" s="814"/>
      <c r="P54" s="814"/>
      <c r="Q54" s="815"/>
      <c r="R54" s="100"/>
      <c r="S54" s="100"/>
      <c r="T54" s="100"/>
      <c r="U54" s="100"/>
      <c r="V54" s="100"/>
      <c r="W54" s="100"/>
      <c r="X54" s="100"/>
      <c r="Y54" s="100"/>
      <c r="Z54" s="100"/>
      <c r="AA54" s="100"/>
      <c r="AB54" s="100"/>
      <c r="AC54" s="100"/>
      <c r="AD54" s="100"/>
      <c r="AH54" s="253">
        <f t="shared" si="16"/>
        <v>0</v>
      </c>
      <c r="AI54" s="253">
        <f t="shared" si="17"/>
        <v>0</v>
      </c>
      <c r="AJ54" s="253"/>
      <c r="AK54" s="253">
        <f t="shared" si="18"/>
        <v>0</v>
      </c>
      <c r="AL54" s="253">
        <f t="shared" si="18"/>
        <v>0</v>
      </c>
      <c r="AM54" s="253">
        <f t="shared" si="18"/>
        <v>0</v>
      </c>
      <c r="AN54" s="253">
        <f t="shared" si="18"/>
        <v>0</v>
      </c>
      <c r="AO54" s="253">
        <f t="shared" si="18"/>
        <v>0</v>
      </c>
      <c r="AP54" s="253">
        <f t="shared" si="18"/>
        <v>0</v>
      </c>
      <c r="AQ54" s="253">
        <f t="shared" si="18"/>
        <v>0</v>
      </c>
      <c r="AR54" s="253">
        <f t="shared" si="18"/>
        <v>0</v>
      </c>
      <c r="AS54" s="253">
        <f t="shared" si="18"/>
        <v>0</v>
      </c>
      <c r="AT54" s="253">
        <f t="shared" si="18"/>
        <v>0</v>
      </c>
      <c r="AU54" s="253">
        <f t="shared" si="18"/>
        <v>0</v>
      </c>
      <c r="AV54" s="253">
        <f t="shared" si="18"/>
        <v>0</v>
      </c>
      <c r="AW54" s="253">
        <f t="shared" si="18"/>
        <v>0</v>
      </c>
    </row>
    <row r="55" spans="1:49">
      <c r="A55" s="197"/>
      <c r="B55" s="90"/>
      <c r="C55" s="44" t="s">
        <v>2523</v>
      </c>
      <c r="D55" s="813" t="str">
        <f>IF(CNSIPEE_2024_M2_Secc1!D49="","",CNSIPEE_2024_M2_Secc1!D49)</f>
        <v/>
      </c>
      <c r="E55" s="814"/>
      <c r="F55" s="814"/>
      <c r="G55" s="814"/>
      <c r="H55" s="814"/>
      <c r="I55" s="814"/>
      <c r="J55" s="814"/>
      <c r="K55" s="814"/>
      <c r="L55" s="814"/>
      <c r="M55" s="814"/>
      <c r="N55" s="814"/>
      <c r="O55" s="814"/>
      <c r="P55" s="814"/>
      <c r="Q55" s="815"/>
      <c r="R55" s="100"/>
      <c r="S55" s="100"/>
      <c r="T55" s="100"/>
      <c r="U55" s="100"/>
      <c r="V55" s="100"/>
      <c r="W55" s="100"/>
      <c r="X55" s="100"/>
      <c r="Y55" s="100"/>
      <c r="Z55" s="100"/>
      <c r="AA55" s="100"/>
      <c r="AB55" s="100"/>
      <c r="AC55" s="100"/>
      <c r="AD55" s="100"/>
      <c r="AH55" s="253">
        <f t="shared" si="16"/>
        <v>0</v>
      </c>
      <c r="AI55" s="253">
        <f t="shared" si="17"/>
        <v>0</v>
      </c>
      <c r="AJ55" s="253"/>
      <c r="AK55" s="253">
        <f t="shared" si="18"/>
        <v>0</v>
      </c>
      <c r="AL55" s="253">
        <f t="shared" si="18"/>
        <v>0</v>
      </c>
      <c r="AM55" s="253">
        <f t="shared" si="18"/>
        <v>0</v>
      </c>
      <c r="AN55" s="253">
        <f t="shared" si="18"/>
        <v>0</v>
      </c>
      <c r="AO55" s="253">
        <f t="shared" si="18"/>
        <v>0</v>
      </c>
      <c r="AP55" s="253">
        <f t="shared" si="18"/>
        <v>0</v>
      </c>
      <c r="AQ55" s="253">
        <f t="shared" si="18"/>
        <v>0</v>
      </c>
      <c r="AR55" s="253">
        <f t="shared" si="18"/>
        <v>0</v>
      </c>
      <c r="AS55" s="253">
        <f t="shared" si="18"/>
        <v>0</v>
      </c>
      <c r="AT55" s="253">
        <f t="shared" si="18"/>
        <v>0</v>
      </c>
      <c r="AU55" s="253">
        <f t="shared" si="18"/>
        <v>0</v>
      </c>
      <c r="AV55" s="253">
        <f t="shared" si="18"/>
        <v>0</v>
      </c>
      <c r="AW55" s="253">
        <f t="shared" si="18"/>
        <v>0</v>
      </c>
    </row>
    <row r="56" spans="1:49">
      <c r="A56" s="197"/>
      <c r="B56" s="90"/>
      <c r="C56" s="84"/>
      <c r="R56" s="682">
        <f t="shared" ref="R56:AD56" si="19">IF(AND(SUM(R48:R55)=0,COUNTIF(R48:R55,"NS")&gt;0),"NS",IF(AND(SUM(R48:R55)=0,COUNTIF(R48:R55,0)&gt;0),0,IF(AND(SUM(R48:R55)=0,COUNTIF(R48:R55,"NA")&gt;0),"NA",SUM(R48:R55))))</f>
        <v>0</v>
      </c>
      <c r="S56" s="682">
        <f t="shared" si="19"/>
        <v>0</v>
      </c>
      <c r="T56" s="682">
        <f t="shared" si="19"/>
        <v>0</v>
      </c>
      <c r="U56" s="682">
        <f t="shared" si="19"/>
        <v>0</v>
      </c>
      <c r="V56" s="682">
        <f t="shared" si="19"/>
        <v>0</v>
      </c>
      <c r="W56" s="682">
        <f t="shared" si="19"/>
        <v>0</v>
      </c>
      <c r="X56" s="682">
        <f t="shared" si="19"/>
        <v>0</v>
      </c>
      <c r="Y56" s="682">
        <f t="shared" si="19"/>
        <v>0</v>
      </c>
      <c r="Z56" s="682">
        <f t="shared" si="19"/>
        <v>0</v>
      </c>
      <c r="AA56" s="682">
        <f t="shared" si="19"/>
        <v>0</v>
      </c>
      <c r="AB56" s="682">
        <f t="shared" si="19"/>
        <v>0</v>
      </c>
      <c r="AC56" s="682">
        <f t="shared" si="19"/>
        <v>0</v>
      </c>
      <c r="AD56" s="682">
        <f t="shared" si="19"/>
        <v>0</v>
      </c>
      <c r="AH56" s="684">
        <f>SUM(AH48:AH55)</f>
        <v>0</v>
      </c>
      <c r="AI56" s="687">
        <f>SUM(AI48:AI55)</f>
        <v>0</v>
      </c>
      <c r="AJ56" s="253"/>
      <c r="AK56" s="252">
        <f>SUM(AK48:AW55)</f>
        <v>0</v>
      </c>
    </row>
    <row r="57" spans="1:49">
      <c r="A57" s="227"/>
      <c r="B57" s="90"/>
      <c r="C57" s="84"/>
      <c r="D57" s="84"/>
      <c r="E57" s="84"/>
      <c r="F57" s="84"/>
      <c r="G57" s="84"/>
      <c r="H57" s="84"/>
      <c r="I57" s="84"/>
      <c r="J57" s="84"/>
      <c r="K57" s="84"/>
      <c r="L57" s="84"/>
      <c r="M57" s="84"/>
      <c r="N57" s="84"/>
      <c r="O57" s="84"/>
      <c r="P57" s="84"/>
      <c r="Q57" s="84"/>
      <c r="R57" s="84"/>
      <c r="S57" s="84"/>
      <c r="T57" s="84"/>
      <c r="U57" s="84"/>
      <c r="V57" s="84"/>
      <c r="W57" s="84"/>
      <c r="X57" s="228"/>
      <c r="Y57" s="228"/>
      <c r="Z57" s="228"/>
      <c r="AA57" s="228"/>
      <c r="AB57" s="228"/>
      <c r="AC57" s="228"/>
      <c r="AD57" s="228"/>
      <c r="AH57" s="688">
        <f>SUM(AH42,AH56)</f>
        <v>0</v>
      </c>
      <c r="AK57" s="688">
        <f>SUM(AK42,AK56)</f>
        <v>0</v>
      </c>
    </row>
    <row r="58" spans="1:49" ht="45" customHeight="1">
      <c r="A58" s="227"/>
      <c r="B58" s="90"/>
      <c r="C58" s="822" t="s">
        <v>5706</v>
      </c>
      <c r="D58" s="822"/>
      <c r="E58" s="823"/>
      <c r="F58" s="816"/>
      <c r="G58" s="738"/>
      <c r="H58" s="738"/>
      <c r="I58" s="738"/>
      <c r="J58" s="738"/>
      <c r="K58" s="738"/>
      <c r="L58" s="738"/>
      <c r="M58" s="738"/>
      <c r="N58" s="738"/>
      <c r="O58" s="738"/>
      <c r="P58" s="738"/>
      <c r="Q58" s="738"/>
      <c r="R58" s="738"/>
      <c r="S58" s="738"/>
      <c r="T58" s="738"/>
      <c r="U58" s="738"/>
      <c r="V58" s="738"/>
      <c r="W58" s="738"/>
      <c r="X58" s="738"/>
      <c r="Y58" s="738"/>
      <c r="Z58" s="738"/>
      <c r="AA58" s="738"/>
      <c r="AB58" s="738"/>
      <c r="AC58" s="738"/>
      <c r="AD58" s="817"/>
    </row>
    <row r="59" spans="1:49">
      <c r="A59" s="227"/>
      <c r="B59" s="794" t="str">
        <f>IF(AND(AI56&lt;&gt;0,F58="")," Debido a que cuenta con registros en el numeral 22 del apartado Motivo, debe anotar el nombre de dicho(s) motivo(s)","")</f>
        <v/>
      </c>
      <c r="C59" s="794"/>
      <c r="D59" s="794"/>
      <c r="E59" s="794"/>
      <c r="F59" s="794"/>
      <c r="G59" s="794"/>
      <c r="H59" s="794"/>
      <c r="I59" s="794"/>
      <c r="J59" s="794"/>
      <c r="K59" s="794"/>
      <c r="L59" s="794"/>
      <c r="M59" s="794"/>
      <c r="N59" s="794"/>
      <c r="O59" s="794"/>
      <c r="P59" s="794"/>
      <c r="Q59" s="794"/>
      <c r="R59" s="794"/>
      <c r="S59" s="794"/>
      <c r="T59" s="794"/>
      <c r="U59" s="794"/>
      <c r="V59" s="794"/>
      <c r="W59" s="794"/>
      <c r="X59" s="794"/>
      <c r="Y59" s="794"/>
      <c r="Z59" s="794"/>
      <c r="AA59" s="794"/>
      <c r="AB59" s="794"/>
      <c r="AC59" s="794"/>
      <c r="AD59" s="794"/>
      <c r="AE59" s="794"/>
    </row>
    <row r="60" spans="1:49" ht="15" customHeight="1">
      <c r="A60" s="197"/>
      <c r="B60" s="90"/>
      <c r="C60" s="732" t="s">
        <v>6351</v>
      </c>
      <c r="D60" s="732"/>
      <c r="E60" s="732"/>
      <c r="F60" s="732"/>
      <c r="G60" s="732"/>
      <c r="H60" s="732"/>
      <c r="I60" s="732"/>
      <c r="J60" s="732"/>
      <c r="K60" s="732"/>
      <c r="L60" s="732"/>
      <c r="M60" s="732"/>
      <c r="N60" s="732"/>
      <c r="O60" s="732"/>
      <c r="P60" s="732"/>
      <c r="Q60" s="732"/>
      <c r="R60" s="732"/>
      <c r="S60" s="732"/>
      <c r="T60" s="732"/>
      <c r="U60" s="732"/>
      <c r="V60" s="732"/>
      <c r="W60" s="732"/>
      <c r="X60" s="732"/>
      <c r="Y60" s="732"/>
      <c r="Z60" s="732"/>
      <c r="AA60" s="732"/>
      <c r="AB60" s="732"/>
      <c r="AC60" s="732"/>
      <c r="AD60" s="732"/>
    </row>
    <row r="61" spans="1:49" ht="24" customHeight="1">
      <c r="A61" s="197"/>
      <c r="B61" s="90"/>
      <c r="C61" s="92" t="s">
        <v>2516</v>
      </c>
      <c r="D61" s="813" t="s">
        <v>6352</v>
      </c>
      <c r="E61" s="814"/>
      <c r="F61" s="814"/>
      <c r="G61" s="814"/>
      <c r="H61" s="814"/>
      <c r="I61" s="814"/>
      <c r="J61" s="814"/>
      <c r="K61" s="814"/>
      <c r="L61" s="814"/>
      <c r="M61" s="814"/>
      <c r="N61" s="814"/>
      <c r="O61" s="814"/>
      <c r="P61" s="815"/>
      <c r="Q61" s="44" t="s">
        <v>2528</v>
      </c>
      <c r="R61" s="813" t="s">
        <v>6353</v>
      </c>
      <c r="S61" s="814"/>
      <c r="T61" s="814"/>
      <c r="U61" s="814"/>
      <c r="V61" s="814"/>
      <c r="W61" s="814"/>
      <c r="X61" s="814"/>
      <c r="Y61" s="814"/>
      <c r="Z61" s="814"/>
      <c r="AA61" s="814"/>
      <c r="AB61" s="814"/>
      <c r="AC61" s="814"/>
      <c r="AD61" s="815"/>
    </row>
    <row r="62" spans="1:49" ht="15" customHeight="1">
      <c r="A62" s="197"/>
      <c r="B62" s="90"/>
      <c r="C62" s="44" t="s">
        <v>2517</v>
      </c>
      <c r="D62" s="813" t="s">
        <v>6354</v>
      </c>
      <c r="E62" s="814"/>
      <c r="F62" s="814"/>
      <c r="G62" s="814"/>
      <c r="H62" s="814"/>
      <c r="I62" s="814"/>
      <c r="J62" s="814"/>
      <c r="K62" s="814"/>
      <c r="L62" s="814"/>
      <c r="M62" s="814"/>
      <c r="N62" s="814"/>
      <c r="O62" s="814"/>
      <c r="P62" s="815"/>
      <c r="Q62" s="44" t="s">
        <v>2529</v>
      </c>
      <c r="R62" s="813" t="s">
        <v>6355</v>
      </c>
      <c r="S62" s="814"/>
      <c r="T62" s="814"/>
      <c r="U62" s="814"/>
      <c r="V62" s="814"/>
      <c r="W62" s="814"/>
      <c r="X62" s="814"/>
      <c r="Y62" s="814"/>
      <c r="Z62" s="814"/>
      <c r="AA62" s="814"/>
      <c r="AB62" s="814"/>
      <c r="AC62" s="814"/>
      <c r="AD62" s="815"/>
    </row>
    <row r="63" spans="1:49" ht="36" customHeight="1">
      <c r="A63" s="197"/>
      <c r="B63" s="90"/>
      <c r="C63" s="44" t="s">
        <v>2518</v>
      </c>
      <c r="D63" s="813" t="s">
        <v>6356</v>
      </c>
      <c r="E63" s="814"/>
      <c r="F63" s="814"/>
      <c r="G63" s="814"/>
      <c r="H63" s="814"/>
      <c r="I63" s="814"/>
      <c r="J63" s="814"/>
      <c r="K63" s="814"/>
      <c r="L63" s="814"/>
      <c r="M63" s="814"/>
      <c r="N63" s="814"/>
      <c r="O63" s="814"/>
      <c r="P63" s="815"/>
      <c r="Q63" s="44" t="s">
        <v>2530</v>
      </c>
      <c r="R63" s="813" t="s">
        <v>6357</v>
      </c>
      <c r="S63" s="814"/>
      <c r="T63" s="814"/>
      <c r="U63" s="814"/>
      <c r="V63" s="814"/>
      <c r="W63" s="814"/>
      <c r="X63" s="814"/>
      <c r="Y63" s="814"/>
      <c r="Z63" s="814"/>
      <c r="AA63" s="814"/>
      <c r="AB63" s="814"/>
      <c r="AC63" s="814"/>
      <c r="AD63" s="815"/>
    </row>
    <row r="64" spans="1:49" ht="24" customHeight="1">
      <c r="A64" s="197"/>
      <c r="B64" s="90"/>
      <c r="C64" s="44" t="s">
        <v>2519</v>
      </c>
      <c r="D64" s="813" t="s">
        <v>6358</v>
      </c>
      <c r="E64" s="814"/>
      <c r="F64" s="814"/>
      <c r="G64" s="814"/>
      <c r="H64" s="814"/>
      <c r="I64" s="814"/>
      <c r="J64" s="814"/>
      <c r="K64" s="814"/>
      <c r="L64" s="814"/>
      <c r="M64" s="814"/>
      <c r="N64" s="814"/>
      <c r="O64" s="814"/>
      <c r="P64" s="815"/>
      <c r="Q64" s="44" t="s">
        <v>2531</v>
      </c>
      <c r="R64" s="813" t="s">
        <v>6359</v>
      </c>
      <c r="S64" s="814"/>
      <c r="T64" s="814"/>
      <c r="U64" s="814"/>
      <c r="V64" s="814"/>
      <c r="W64" s="814"/>
      <c r="X64" s="814"/>
      <c r="Y64" s="814"/>
      <c r="Z64" s="814"/>
      <c r="AA64" s="814"/>
      <c r="AB64" s="814"/>
      <c r="AC64" s="814"/>
      <c r="AD64" s="815"/>
    </row>
    <row r="65" spans="1:31" ht="24" customHeight="1">
      <c r="A65" s="197"/>
      <c r="B65" s="90"/>
      <c r="C65" s="44" t="s">
        <v>2520</v>
      </c>
      <c r="D65" s="813" t="s">
        <v>6360</v>
      </c>
      <c r="E65" s="814"/>
      <c r="F65" s="814"/>
      <c r="G65" s="814"/>
      <c r="H65" s="814"/>
      <c r="I65" s="814"/>
      <c r="J65" s="814"/>
      <c r="K65" s="814"/>
      <c r="L65" s="814"/>
      <c r="M65" s="814"/>
      <c r="N65" s="814"/>
      <c r="O65" s="814"/>
      <c r="P65" s="815"/>
      <c r="Q65" s="44" t="s">
        <v>2532</v>
      </c>
      <c r="R65" s="813" t="s">
        <v>6361</v>
      </c>
      <c r="S65" s="814"/>
      <c r="T65" s="814"/>
      <c r="U65" s="814"/>
      <c r="V65" s="814"/>
      <c r="W65" s="814"/>
      <c r="X65" s="814"/>
      <c r="Y65" s="814"/>
      <c r="Z65" s="814"/>
      <c r="AA65" s="814"/>
      <c r="AB65" s="814"/>
      <c r="AC65" s="814"/>
      <c r="AD65" s="815"/>
    </row>
    <row r="66" spans="1:31" ht="15" customHeight="1">
      <c r="A66" s="197"/>
      <c r="B66" s="90"/>
      <c r="C66" s="44" t="s">
        <v>2521</v>
      </c>
      <c r="D66" s="813" t="s">
        <v>6362</v>
      </c>
      <c r="E66" s="814"/>
      <c r="F66" s="814"/>
      <c r="G66" s="814"/>
      <c r="H66" s="814"/>
      <c r="I66" s="814"/>
      <c r="J66" s="814"/>
      <c r="K66" s="814"/>
      <c r="L66" s="814"/>
      <c r="M66" s="814"/>
      <c r="N66" s="814"/>
      <c r="O66" s="814"/>
      <c r="P66" s="815"/>
      <c r="Q66" s="44" t="s">
        <v>2533</v>
      </c>
      <c r="R66" s="813" t="s">
        <v>6363</v>
      </c>
      <c r="S66" s="814"/>
      <c r="T66" s="814"/>
      <c r="U66" s="814"/>
      <c r="V66" s="814"/>
      <c r="W66" s="814"/>
      <c r="X66" s="814"/>
      <c r="Y66" s="814"/>
      <c r="Z66" s="814"/>
      <c r="AA66" s="814"/>
      <c r="AB66" s="814"/>
      <c r="AC66" s="814"/>
      <c r="AD66" s="815"/>
    </row>
    <row r="67" spans="1:31" ht="15" customHeight="1">
      <c r="A67" s="197"/>
      <c r="B67" s="90"/>
      <c r="C67" s="44" t="s">
        <v>2522</v>
      </c>
      <c r="D67" s="813" t="s">
        <v>6364</v>
      </c>
      <c r="E67" s="814"/>
      <c r="F67" s="814"/>
      <c r="G67" s="814"/>
      <c r="H67" s="814"/>
      <c r="I67" s="814"/>
      <c r="J67" s="814"/>
      <c r="K67" s="814"/>
      <c r="L67" s="814"/>
      <c r="M67" s="814"/>
      <c r="N67" s="814"/>
      <c r="O67" s="814"/>
      <c r="P67" s="815"/>
      <c r="Q67" s="44" t="s">
        <v>2534</v>
      </c>
      <c r="R67" s="813" t="s">
        <v>6365</v>
      </c>
      <c r="S67" s="814"/>
      <c r="T67" s="814"/>
      <c r="U67" s="814"/>
      <c r="V67" s="814"/>
      <c r="W67" s="814"/>
      <c r="X67" s="814"/>
      <c r="Y67" s="814"/>
      <c r="Z67" s="814"/>
      <c r="AA67" s="814"/>
      <c r="AB67" s="814"/>
      <c r="AC67" s="814"/>
      <c r="AD67" s="815"/>
    </row>
    <row r="68" spans="1:31" ht="36" customHeight="1">
      <c r="A68" s="197"/>
      <c r="B68" s="90"/>
      <c r="C68" s="44" t="s">
        <v>2523</v>
      </c>
      <c r="D68" s="813" t="s">
        <v>6366</v>
      </c>
      <c r="E68" s="814"/>
      <c r="F68" s="814"/>
      <c r="G68" s="814"/>
      <c r="H68" s="814"/>
      <c r="I68" s="814"/>
      <c r="J68" s="814"/>
      <c r="K68" s="814"/>
      <c r="L68" s="814"/>
      <c r="M68" s="814"/>
      <c r="N68" s="814"/>
      <c r="O68" s="814"/>
      <c r="P68" s="815"/>
      <c r="Q68" s="167" t="s">
        <v>2535</v>
      </c>
      <c r="R68" s="813" t="s">
        <v>6367</v>
      </c>
      <c r="S68" s="814"/>
      <c r="T68" s="814"/>
      <c r="U68" s="814"/>
      <c r="V68" s="814"/>
      <c r="W68" s="814"/>
      <c r="X68" s="814"/>
      <c r="Y68" s="814"/>
      <c r="Z68" s="814"/>
      <c r="AA68" s="814"/>
      <c r="AB68" s="814"/>
      <c r="AC68" s="814"/>
      <c r="AD68" s="815"/>
    </row>
    <row r="69" spans="1:31" ht="36" customHeight="1">
      <c r="A69" s="197"/>
      <c r="B69" s="90"/>
      <c r="C69" s="44" t="s">
        <v>2524</v>
      </c>
      <c r="D69" s="813" t="s">
        <v>6368</v>
      </c>
      <c r="E69" s="814"/>
      <c r="F69" s="814"/>
      <c r="G69" s="814"/>
      <c r="H69" s="814"/>
      <c r="I69" s="814"/>
      <c r="J69" s="814"/>
      <c r="K69" s="814"/>
      <c r="L69" s="814"/>
      <c r="M69" s="814"/>
      <c r="N69" s="814"/>
      <c r="O69" s="814"/>
      <c r="P69" s="815"/>
      <c r="Q69" s="44" t="s">
        <v>2536</v>
      </c>
      <c r="R69" s="813" t="s">
        <v>6369</v>
      </c>
      <c r="S69" s="814"/>
      <c r="T69" s="814"/>
      <c r="U69" s="814"/>
      <c r="V69" s="814"/>
      <c r="W69" s="814"/>
      <c r="X69" s="814"/>
      <c r="Y69" s="814"/>
      <c r="Z69" s="814"/>
      <c r="AA69" s="814"/>
      <c r="AB69" s="814"/>
      <c r="AC69" s="814"/>
      <c r="AD69" s="815"/>
    </row>
    <row r="70" spans="1:31" ht="24" customHeight="1">
      <c r="A70" s="197"/>
      <c r="B70" s="90"/>
      <c r="C70" s="44" t="s">
        <v>2525</v>
      </c>
      <c r="D70" s="813" t="s">
        <v>6370</v>
      </c>
      <c r="E70" s="814"/>
      <c r="F70" s="814"/>
      <c r="G70" s="814"/>
      <c r="H70" s="814"/>
      <c r="I70" s="814"/>
      <c r="J70" s="814"/>
      <c r="K70" s="814"/>
      <c r="L70" s="814"/>
      <c r="M70" s="814"/>
      <c r="N70" s="814"/>
      <c r="O70" s="814"/>
      <c r="P70" s="815"/>
      <c r="Q70" s="44" t="s">
        <v>2537</v>
      </c>
      <c r="R70" s="813" t="s">
        <v>3541</v>
      </c>
      <c r="S70" s="814"/>
      <c r="T70" s="814"/>
      <c r="U70" s="814"/>
      <c r="V70" s="814"/>
      <c r="W70" s="814"/>
      <c r="X70" s="814"/>
      <c r="Y70" s="814"/>
      <c r="Z70" s="814"/>
      <c r="AA70" s="814"/>
      <c r="AB70" s="814"/>
      <c r="AC70" s="814"/>
      <c r="AD70" s="815"/>
    </row>
    <row r="71" spans="1:31" ht="24" customHeight="1">
      <c r="A71" s="197"/>
      <c r="B71" s="90"/>
      <c r="C71" s="44" t="s">
        <v>2526</v>
      </c>
      <c r="D71" s="813" t="s">
        <v>6371</v>
      </c>
      <c r="E71" s="814"/>
      <c r="F71" s="814"/>
      <c r="G71" s="814"/>
      <c r="H71" s="814"/>
      <c r="I71" s="814"/>
      <c r="J71" s="814"/>
      <c r="K71" s="814"/>
      <c r="L71" s="814"/>
      <c r="M71" s="814"/>
      <c r="N71" s="814"/>
      <c r="O71" s="814"/>
      <c r="P71" s="815"/>
      <c r="Q71" s="44" t="s">
        <v>2538</v>
      </c>
      <c r="R71" s="813" t="s">
        <v>201</v>
      </c>
      <c r="S71" s="814"/>
      <c r="T71" s="814"/>
      <c r="U71" s="814"/>
      <c r="V71" s="814"/>
      <c r="W71" s="814"/>
      <c r="X71" s="814"/>
      <c r="Y71" s="814"/>
      <c r="Z71" s="814"/>
      <c r="AA71" s="814"/>
      <c r="AB71" s="814"/>
      <c r="AC71" s="814"/>
      <c r="AD71" s="815"/>
    </row>
    <row r="72" spans="1:31" ht="24" customHeight="1">
      <c r="A72" s="197"/>
      <c r="B72" s="90"/>
      <c r="C72" s="44" t="s">
        <v>2527</v>
      </c>
      <c r="D72" s="813" t="s">
        <v>6372</v>
      </c>
      <c r="E72" s="814"/>
      <c r="F72" s="814"/>
      <c r="G72" s="814"/>
      <c r="H72" s="814"/>
      <c r="I72" s="814"/>
      <c r="J72" s="814"/>
      <c r="K72" s="814"/>
      <c r="L72" s="814"/>
      <c r="M72" s="814"/>
      <c r="N72" s="814"/>
      <c r="O72" s="814"/>
      <c r="P72" s="815"/>
      <c r="Q72" s="813"/>
      <c r="R72" s="814"/>
      <c r="S72" s="814"/>
      <c r="T72" s="814"/>
      <c r="U72" s="814"/>
      <c r="V72" s="814"/>
      <c r="W72" s="814"/>
      <c r="X72" s="814"/>
      <c r="Y72" s="814"/>
      <c r="Z72" s="814"/>
      <c r="AA72" s="814"/>
      <c r="AB72" s="814"/>
      <c r="AC72" s="814"/>
      <c r="AD72" s="815"/>
    </row>
    <row r="73" spans="1:31" ht="15" customHeight="1">
      <c r="A73" s="50"/>
      <c r="B73" s="57"/>
      <c r="C73" s="70"/>
      <c r="D73" s="84"/>
      <c r="E73" s="84"/>
      <c r="F73" s="84"/>
      <c r="G73" s="658"/>
      <c r="H73" s="658"/>
      <c r="I73" s="658"/>
      <c r="J73" s="658"/>
      <c r="K73" s="658"/>
      <c r="L73" s="658"/>
      <c r="M73" s="659"/>
      <c r="N73" s="659"/>
      <c r="O73" s="659"/>
      <c r="P73" s="659"/>
      <c r="Q73" s="659"/>
      <c r="R73" s="659"/>
      <c r="S73" s="659"/>
      <c r="T73" s="659"/>
      <c r="U73" s="659"/>
      <c r="V73" s="659"/>
      <c r="W73" s="659"/>
      <c r="X73" s="659"/>
      <c r="Y73" s="658"/>
      <c r="Z73" s="658"/>
      <c r="AA73" s="658"/>
      <c r="AB73" s="658"/>
      <c r="AC73" s="141"/>
      <c r="AD73" s="141"/>
    </row>
    <row r="74" spans="1:31" ht="24" customHeight="1">
      <c r="A74" s="227"/>
      <c r="B74" s="90"/>
      <c r="C74" s="754" t="s">
        <v>2611</v>
      </c>
      <c r="D74" s="754"/>
      <c r="E74" s="754"/>
      <c r="F74" s="754"/>
      <c r="G74" s="754"/>
      <c r="H74" s="754"/>
      <c r="I74" s="754"/>
      <c r="J74" s="754"/>
      <c r="K74" s="754"/>
      <c r="L74" s="754"/>
      <c r="M74" s="754"/>
      <c r="N74" s="754"/>
      <c r="O74" s="754"/>
      <c r="P74" s="754"/>
      <c r="Q74" s="754"/>
      <c r="R74" s="754"/>
      <c r="S74" s="754"/>
      <c r="T74" s="754"/>
      <c r="U74" s="754"/>
      <c r="V74" s="754"/>
      <c r="W74" s="754"/>
      <c r="X74" s="754"/>
      <c r="Y74" s="754"/>
      <c r="Z74" s="754"/>
      <c r="AA74" s="754"/>
      <c r="AB74" s="754"/>
      <c r="AC74" s="754"/>
      <c r="AD74" s="754"/>
    </row>
    <row r="75" spans="1:31" ht="60" customHeight="1">
      <c r="A75" s="227"/>
      <c r="B75" s="90"/>
      <c r="C75" s="851"/>
      <c r="D75" s="851"/>
      <c r="E75" s="851"/>
      <c r="F75" s="851"/>
      <c r="G75" s="851"/>
      <c r="H75" s="851"/>
      <c r="I75" s="851"/>
      <c r="J75" s="851"/>
      <c r="K75" s="851"/>
      <c r="L75" s="851"/>
      <c r="M75" s="851"/>
      <c r="N75" s="851"/>
      <c r="O75" s="851"/>
      <c r="P75" s="851"/>
      <c r="Q75" s="851"/>
      <c r="R75" s="851"/>
      <c r="S75" s="851"/>
      <c r="T75" s="851"/>
      <c r="U75" s="851"/>
      <c r="V75" s="851"/>
      <c r="W75" s="851"/>
      <c r="X75" s="851"/>
      <c r="Y75" s="851"/>
      <c r="Z75" s="851"/>
      <c r="AA75" s="851"/>
      <c r="AB75" s="851"/>
      <c r="AC75" s="851"/>
      <c r="AD75" s="851"/>
    </row>
    <row r="76" spans="1:31">
      <c r="A76" s="227"/>
      <c r="B76" s="794" t="str">
        <f>IF(AG42&gt;0,"Favor de ingresar toda la información requerida en la pregunta y/o verifique que no tenga información en celdas sombreadas","")</f>
        <v/>
      </c>
      <c r="C76" s="794"/>
      <c r="D76" s="794"/>
      <c r="E76" s="794"/>
      <c r="F76" s="794"/>
      <c r="G76" s="794"/>
      <c r="H76" s="794"/>
      <c r="I76" s="794"/>
      <c r="J76" s="794"/>
      <c r="K76" s="794"/>
      <c r="L76" s="794"/>
      <c r="M76" s="794"/>
      <c r="N76" s="794"/>
      <c r="O76" s="794"/>
      <c r="P76" s="794"/>
      <c r="Q76" s="794"/>
      <c r="R76" s="794"/>
      <c r="S76" s="794"/>
      <c r="T76" s="794"/>
      <c r="U76" s="794"/>
      <c r="V76" s="794"/>
      <c r="W76" s="794"/>
      <c r="X76" s="794"/>
      <c r="Y76" s="794"/>
      <c r="Z76" s="794"/>
      <c r="AA76" s="794"/>
      <c r="AB76" s="794"/>
      <c r="AC76" s="794"/>
      <c r="AD76" s="794"/>
      <c r="AE76" s="794"/>
    </row>
    <row r="77" spans="1:31">
      <c r="A77" s="227"/>
      <c r="B77" s="795" t="str">
        <f>IF(AH57&gt;0,"Alerta: debido a que cuenta con registros NS, debe proporcionar una justificación en el area de comentarios al final de la pregunta","")</f>
        <v/>
      </c>
      <c r="C77" s="795"/>
      <c r="D77" s="795"/>
      <c r="E77" s="795"/>
      <c r="F77" s="795"/>
      <c r="G77" s="795"/>
      <c r="H77" s="795"/>
      <c r="I77" s="795"/>
      <c r="J77" s="795"/>
      <c r="K77" s="795"/>
      <c r="L77" s="795"/>
      <c r="M77" s="795"/>
      <c r="N77" s="795"/>
      <c r="O77" s="795"/>
      <c r="P77" s="795"/>
      <c r="Q77" s="795"/>
      <c r="R77" s="795"/>
      <c r="S77" s="795"/>
      <c r="T77" s="795"/>
      <c r="U77" s="795"/>
      <c r="V77" s="795"/>
      <c r="W77" s="795"/>
      <c r="X77" s="795"/>
      <c r="Y77" s="795"/>
      <c r="Z77" s="795"/>
      <c r="AA77" s="795"/>
      <c r="AB77" s="795"/>
      <c r="AC77" s="795"/>
      <c r="AD77" s="795"/>
      <c r="AE77" s="795"/>
    </row>
    <row r="78" spans="1:31">
      <c r="A78" s="227"/>
      <c r="B78" s="794" t="str">
        <f>IF(AI42&gt;0,"Revisar la instrucción 2, debido a que la suma de los motivos registrados son menores al total general de la fila respectiva","")</f>
        <v/>
      </c>
      <c r="C78" s="794"/>
      <c r="D78" s="794"/>
      <c r="E78" s="794"/>
      <c r="F78" s="794"/>
      <c r="G78" s="794"/>
      <c r="H78" s="794"/>
      <c r="I78" s="794"/>
      <c r="J78" s="794"/>
      <c r="K78" s="794"/>
      <c r="L78" s="794"/>
      <c r="M78" s="794"/>
      <c r="N78" s="794"/>
      <c r="O78" s="794"/>
      <c r="P78" s="794"/>
      <c r="Q78" s="794"/>
      <c r="R78" s="794"/>
      <c r="S78" s="794"/>
      <c r="T78" s="794"/>
      <c r="U78" s="794"/>
      <c r="V78" s="794"/>
      <c r="W78" s="794"/>
      <c r="X78" s="794"/>
      <c r="Y78" s="794"/>
      <c r="Z78" s="794"/>
      <c r="AA78" s="794"/>
      <c r="AB78" s="794"/>
      <c r="AC78" s="794"/>
      <c r="AD78" s="794"/>
      <c r="AE78" s="794"/>
    </row>
    <row r="79" spans="1:31">
      <c r="A79" s="227"/>
      <c r="B79" s="794" t="str">
        <f>IF(AK57&gt;0,"Revisar la instrucción 3, debido a que cada motivo registrado debe ser igual o menor al total general de la fila respectiva","")</f>
        <v/>
      </c>
      <c r="C79" s="794"/>
      <c r="D79" s="794"/>
      <c r="E79" s="794"/>
      <c r="F79" s="794"/>
      <c r="G79" s="794"/>
      <c r="H79" s="794"/>
      <c r="I79" s="794"/>
      <c r="J79" s="794"/>
      <c r="K79" s="794"/>
      <c r="L79" s="794"/>
      <c r="M79" s="794"/>
      <c r="N79" s="794"/>
      <c r="O79" s="794"/>
      <c r="P79" s="794"/>
      <c r="Q79" s="794"/>
      <c r="R79" s="794"/>
      <c r="S79" s="794"/>
      <c r="T79" s="794"/>
      <c r="U79" s="794"/>
      <c r="V79" s="794"/>
      <c r="W79" s="794"/>
      <c r="X79" s="794"/>
      <c r="Y79" s="794"/>
      <c r="Z79" s="794"/>
      <c r="AA79" s="794"/>
      <c r="AB79" s="794"/>
      <c r="AC79" s="794"/>
      <c r="AD79" s="794"/>
      <c r="AE79" s="794"/>
    </row>
    <row r="80" spans="1:31">
      <c r="A80" s="227"/>
      <c r="B80" s="794" t="str">
        <f>IF(AJ42=0,"","Debido a que cuenta con registro(s) con el código 1, el total de quejas o peticiones de la fila respectiva debe ser mayor a cero")</f>
        <v/>
      </c>
      <c r="C80" s="794"/>
      <c r="D80" s="794"/>
      <c r="E80" s="794"/>
      <c r="F80" s="794"/>
      <c r="G80" s="794"/>
      <c r="H80" s="794"/>
      <c r="I80" s="794"/>
      <c r="J80" s="794"/>
      <c r="K80" s="794"/>
      <c r="L80" s="794"/>
      <c r="M80" s="794"/>
      <c r="N80" s="794"/>
      <c r="O80" s="794"/>
      <c r="P80" s="794"/>
      <c r="Q80" s="794"/>
      <c r="R80" s="794"/>
      <c r="S80" s="794"/>
      <c r="T80" s="794"/>
      <c r="U80" s="794"/>
      <c r="V80" s="794"/>
      <c r="W80" s="794"/>
      <c r="X80" s="794"/>
      <c r="Y80" s="794"/>
      <c r="Z80" s="794"/>
      <c r="AA80" s="794"/>
      <c r="AB80" s="794"/>
      <c r="AC80" s="794"/>
      <c r="AD80" s="794"/>
      <c r="AE80" s="794"/>
    </row>
    <row r="81" spans="1:45">
      <c r="A81" s="227"/>
      <c r="B81" s="794" t="str">
        <f>IF(AU42=0,"","Error: revisar por filas la consistencia entre la columna Total y las desagregaciones")</f>
        <v/>
      </c>
      <c r="C81" s="794"/>
      <c r="D81" s="794"/>
      <c r="E81" s="794"/>
      <c r="F81" s="794"/>
      <c r="G81" s="794"/>
      <c r="H81" s="794"/>
      <c r="I81" s="794"/>
      <c r="J81" s="794"/>
      <c r="K81" s="794"/>
      <c r="L81" s="794"/>
      <c r="M81" s="794"/>
      <c r="N81" s="794"/>
      <c r="O81" s="794"/>
      <c r="P81" s="794"/>
      <c r="Q81" s="794"/>
      <c r="R81" s="794"/>
      <c r="S81" s="794"/>
      <c r="T81" s="794"/>
      <c r="U81" s="794"/>
      <c r="V81" s="794"/>
      <c r="W81" s="794"/>
      <c r="X81" s="794"/>
      <c r="Y81" s="794"/>
      <c r="Z81" s="794"/>
      <c r="AA81" s="794"/>
      <c r="AB81" s="794"/>
      <c r="AC81" s="794"/>
      <c r="AD81" s="794"/>
    </row>
    <row r="82" spans="1:45" ht="36" customHeight="1">
      <c r="A82" s="108" t="s">
        <v>6373</v>
      </c>
      <c r="B82" s="829" t="s">
        <v>6374</v>
      </c>
      <c r="C82" s="829"/>
      <c r="D82" s="829"/>
      <c r="E82" s="829"/>
      <c r="F82" s="829"/>
      <c r="G82" s="829"/>
      <c r="H82" s="829"/>
      <c r="I82" s="829"/>
      <c r="J82" s="829"/>
      <c r="K82" s="829"/>
      <c r="L82" s="829"/>
      <c r="M82" s="829"/>
      <c r="N82" s="829"/>
      <c r="O82" s="829"/>
      <c r="P82" s="829"/>
      <c r="Q82" s="829"/>
      <c r="R82" s="829"/>
      <c r="S82" s="829"/>
      <c r="T82" s="829"/>
      <c r="U82" s="829"/>
      <c r="V82" s="829"/>
      <c r="W82" s="829"/>
      <c r="X82" s="829"/>
      <c r="Y82" s="829"/>
      <c r="Z82" s="829"/>
      <c r="AA82" s="829"/>
      <c r="AB82" s="829"/>
      <c r="AC82" s="829"/>
      <c r="AD82" s="829"/>
    </row>
    <row r="83" spans="1:45" ht="24" customHeight="1">
      <c r="A83" s="197"/>
      <c r="B83" s="90"/>
      <c r="C83" s="830" t="s">
        <v>6375</v>
      </c>
      <c r="D83" s="830"/>
      <c r="E83" s="830"/>
      <c r="F83" s="830"/>
      <c r="G83" s="830"/>
      <c r="H83" s="830"/>
      <c r="I83" s="830"/>
      <c r="J83" s="830"/>
      <c r="K83" s="830"/>
      <c r="L83" s="830"/>
      <c r="M83" s="830"/>
      <c r="N83" s="830"/>
      <c r="O83" s="830"/>
      <c r="P83" s="830"/>
      <c r="Q83" s="830"/>
      <c r="R83" s="830"/>
      <c r="S83" s="830"/>
      <c r="T83" s="830"/>
      <c r="U83" s="830"/>
      <c r="V83" s="830"/>
      <c r="W83" s="830"/>
      <c r="X83" s="830"/>
      <c r="Y83" s="830"/>
      <c r="Z83" s="830"/>
      <c r="AA83" s="830"/>
      <c r="AB83" s="830"/>
      <c r="AC83" s="830"/>
      <c r="AD83" s="830"/>
    </row>
    <row r="84" spans="1:45" ht="36" customHeight="1">
      <c r="A84" s="197"/>
      <c r="B84" s="90"/>
      <c r="C84" s="754" t="s">
        <v>6376</v>
      </c>
      <c r="D84" s="754"/>
      <c r="E84" s="754"/>
      <c r="F84" s="754"/>
      <c r="G84" s="754"/>
      <c r="H84" s="754"/>
      <c r="I84" s="754"/>
      <c r="J84" s="754"/>
      <c r="K84" s="754"/>
      <c r="L84" s="754"/>
      <c r="M84" s="754"/>
      <c r="N84" s="754"/>
      <c r="O84" s="754"/>
      <c r="P84" s="754"/>
      <c r="Q84" s="754"/>
      <c r="R84" s="754"/>
      <c r="S84" s="754"/>
      <c r="T84" s="754"/>
      <c r="U84" s="754"/>
      <c r="V84" s="754"/>
      <c r="W84" s="754"/>
      <c r="X84" s="754"/>
      <c r="Y84" s="754"/>
      <c r="Z84" s="754"/>
      <c r="AA84" s="754"/>
      <c r="AB84" s="754"/>
      <c r="AC84" s="754"/>
      <c r="AD84" s="754"/>
    </row>
    <row r="85" spans="1:45" ht="36" customHeight="1">
      <c r="A85" s="197"/>
      <c r="B85" s="90"/>
      <c r="C85" s="754" t="s">
        <v>6377</v>
      </c>
      <c r="D85" s="754"/>
      <c r="E85" s="754"/>
      <c r="F85" s="754"/>
      <c r="G85" s="754"/>
      <c r="H85" s="754"/>
      <c r="I85" s="754"/>
      <c r="J85" s="754"/>
      <c r="K85" s="754"/>
      <c r="L85" s="754"/>
      <c r="M85" s="754"/>
      <c r="N85" s="754"/>
      <c r="O85" s="754"/>
      <c r="P85" s="754"/>
      <c r="Q85" s="754"/>
      <c r="R85" s="754"/>
      <c r="S85" s="754"/>
      <c r="T85" s="754"/>
      <c r="U85" s="754"/>
      <c r="V85" s="754"/>
      <c r="W85" s="754"/>
      <c r="X85" s="754"/>
      <c r="Y85" s="754"/>
      <c r="Z85" s="754"/>
      <c r="AA85" s="754"/>
      <c r="AB85" s="754"/>
      <c r="AC85" s="754"/>
      <c r="AD85" s="754"/>
    </row>
    <row r="86" spans="1:45" ht="24" customHeight="1">
      <c r="A86" s="197"/>
      <c r="B86" s="90"/>
      <c r="C86" s="754" t="s">
        <v>6378</v>
      </c>
      <c r="D86" s="754"/>
      <c r="E86" s="754"/>
      <c r="F86" s="754"/>
      <c r="G86" s="754"/>
      <c r="H86" s="754"/>
      <c r="I86" s="754"/>
      <c r="J86" s="754"/>
      <c r="K86" s="754"/>
      <c r="L86" s="754"/>
      <c r="M86" s="754"/>
      <c r="N86" s="754"/>
      <c r="O86" s="754"/>
      <c r="P86" s="754"/>
      <c r="Q86" s="754"/>
      <c r="R86" s="754"/>
      <c r="S86" s="754"/>
      <c r="T86" s="754"/>
      <c r="U86" s="754"/>
      <c r="V86" s="754"/>
      <c r="W86" s="754"/>
      <c r="X86" s="754"/>
      <c r="Y86" s="754"/>
      <c r="Z86" s="754"/>
      <c r="AA86" s="754"/>
      <c r="AB86" s="754"/>
      <c r="AC86" s="754"/>
      <c r="AD86" s="754"/>
    </row>
    <row r="87" spans="1:45">
      <c r="A87" s="227"/>
      <c r="B87" s="90"/>
      <c r="C87" s="90"/>
      <c r="D87" s="90"/>
      <c r="E87" s="90"/>
      <c r="F87" s="90"/>
      <c r="G87" s="90"/>
      <c r="H87" s="90"/>
      <c r="I87" s="90"/>
      <c r="J87" s="90"/>
      <c r="K87" s="90"/>
      <c r="L87" s="90"/>
      <c r="M87" s="90"/>
      <c r="N87" s="90"/>
      <c r="O87" s="90"/>
      <c r="P87" s="90"/>
      <c r="Q87" s="90"/>
      <c r="R87" s="90"/>
      <c r="S87" s="90"/>
      <c r="T87" s="90"/>
      <c r="U87" s="90"/>
      <c r="V87" s="90"/>
      <c r="W87" s="90"/>
      <c r="X87" s="90"/>
      <c r="Y87" s="90"/>
      <c r="Z87" s="90"/>
      <c r="AA87" s="90"/>
      <c r="AB87" s="90"/>
      <c r="AC87" s="90"/>
      <c r="AD87" s="90"/>
    </row>
    <row r="88" spans="1:45" ht="24" customHeight="1">
      <c r="A88" s="227"/>
      <c r="B88" s="90"/>
      <c r="C88" s="732" t="s">
        <v>2581</v>
      </c>
      <c r="D88" s="732"/>
      <c r="E88" s="732"/>
      <c r="F88" s="732"/>
      <c r="G88" s="732"/>
      <c r="H88" s="732"/>
      <c r="I88" s="732"/>
      <c r="J88" s="732"/>
      <c r="K88" s="732"/>
      <c r="L88" s="732"/>
      <c r="M88" s="732" t="s">
        <v>6379</v>
      </c>
      <c r="N88" s="732"/>
      <c r="O88" s="732"/>
      <c r="P88" s="732"/>
      <c r="Q88" s="732"/>
      <c r="R88" s="732"/>
      <c r="S88" s="732"/>
      <c r="T88" s="732"/>
      <c r="U88" s="732"/>
      <c r="V88" s="732"/>
      <c r="W88" s="732"/>
      <c r="X88" s="732"/>
      <c r="Y88" s="732"/>
      <c r="Z88" s="732"/>
      <c r="AA88" s="732"/>
      <c r="AB88" s="732"/>
      <c r="AC88" s="732"/>
      <c r="AD88" s="732"/>
    </row>
    <row r="89" spans="1:45" ht="156" customHeight="1">
      <c r="A89" s="227"/>
      <c r="B89" s="90"/>
      <c r="C89" s="732"/>
      <c r="D89" s="732"/>
      <c r="E89" s="732"/>
      <c r="F89" s="732"/>
      <c r="G89" s="732"/>
      <c r="H89" s="732"/>
      <c r="I89" s="732"/>
      <c r="J89" s="732"/>
      <c r="K89" s="732"/>
      <c r="L89" s="732"/>
      <c r="M89" s="732" t="s">
        <v>2628</v>
      </c>
      <c r="N89" s="732"/>
      <c r="O89" s="890" t="s">
        <v>6380</v>
      </c>
      <c r="P89" s="890"/>
      <c r="Q89" s="890" t="s">
        <v>6381</v>
      </c>
      <c r="R89" s="890"/>
      <c r="S89" s="890" t="s">
        <v>6382</v>
      </c>
      <c r="T89" s="890"/>
      <c r="U89" s="890" t="s">
        <v>6383</v>
      </c>
      <c r="V89" s="890"/>
      <c r="W89" s="890" t="s">
        <v>6384</v>
      </c>
      <c r="X89" s="890"/>
      <c r="Y89" s="890" t="s">
        <v>6385</v>
      </c>
      <c r="Z89" s="890"/>
      <c r="AA89" s="890" t="s">
        <v>4406</v>
      </c>
      <c r="AB89" s="890"/>
      <c r="AC89" s="890" t="s">
        <v>2990</v>
      </c>
      <c r="AD89" s="890"/>
      <c r="AG89" s="683" t="s">
        <v>2586</v>
      </c>
      <c r="AH89" s="684" t="s">
        <v>6345</v>
      </c>
      <c r="AI89" s="689" t="s">
        <v>6386</v>
      </c>
      <c r="AJ89" s="685" t="s">
        <v>6346</v>
      </c>
      <c r="AK89" s="1163" t="s">
        <v>6347</v>
      </c>
      <c r="AL89" s="1163"/>
      <c r="AM89" s="1163"/>
      <c r="AN89" s="1163"/>
      <c r="AO89" s="1163"/>
      <c r="AP89" s="1163"/>
      <c r="AQ89" s="1163"/>
      <c r="AR89" s="1163"/>
      <c r="AS89" s="713" t="s">
        <v>6348</v>
      </c>
    </row>
    <row r="90" spans="1:45">
      <c r="A90" s="227"/>
      <c r="B90" s="90"/>
      <c r="C90" s="43" t="s">
        <v>2516</v>
      </c>
      <c r="D90" s="796" t="str">
        <f>IF(CNSIPEE_2024_M2_Secc1!D42="","",CNSIPEE_2024_M2_Secc1!D42)</f>
        <v/>
      </c>
      <c r="E90" s="796"/>
      <c r="F90" s="796"/>
      <c r="G90" s="796"/>
      <c r="H90" s="796"/>
      <c r="I90" s="796"/>
      <c r="J90" s="796"/>
      <c r="K90" s="796"/>
      <c r="L90" s="796"/>
      <c r="M90" s="816"/>
      <c r="N90" s="817"/>
      <c r="O90" s="816"/>
      <c r="P90" s="817"/>
      <c r="Q90" s="816"/>
      <c r="R90" s="817"/>
      <c r="S90" s="816"/>
      <c r="T90" s="817"/>
      <c r="U90" s="816"/>
      <c r="V90" s="817"/>
      <c r="W90" s="816"/>
      <c r="X90" s="817"/>
      <c r="Y90" s="816"/>
      <c r="Z90" s="817"/>
      <c r="AA90" s="816"/>
      <c r="AB90" s="817"/>
      <c r="AC90" s="816"/>
      <c r="AD90" s="817"/>
      <c r="AG90" s="253">
        <f>IF(COUNTA($M$90:$AD$97)&gt;0,IF(AND(COUNTBLANK(D90)=0,$T34=1,COUNTBLANK(M90:AD90)=9),0,IF(AND(COUNTBLANK(D90)=0,$T34=2,COUNTBLANK(M90:AD90)=18),0,IF(AND(COUNTBLANK(D90)=0,$T34=9,COUNTBLANK(M90:AD90)=18),0,IF(AND(COUNTBLANK(D90)&gt;0,$T34="",COUNTBLANK(M90:AD90)=18),0,1)))),0)</f>
        <v>0</v>
      </c>
      <c r="AH90" s="253">
        <f t="shared" ref="AH90:AH97" si="20">COUNTIF(M90:AD90,"NS")</f>
        <v>0</v>
      </c>
      <c r="AI90" s="253">
        <f t="shared" ref="AI90:AI97" si="21">IF(OR(AC90=0,AC90="NS",AC90="NA"),0,1)</f>
        <v>0</v>
      </c>
      <c r="AJ90" s="253">
        <f>IF(O90&gt;=T5,0,1)</f>
        <v>0</v>
      </c>
      <c r="AK90" s="253">
        <f>IF(COUNTIF(O90,"NS")=0,IF(O90&lt;=$T34,0,1),0)</f>
        <v>0</v>
      </c>
      <c r="AL90" s="253">
        <f>IF(COUNTIF(Q90,"NS")=0,IF(Q90&lt;=$T34,0,1),0)</f>
        <v>0</v>
      </c>
      <c r="AM90" s="253">
        <f>IF(COUNTIF(S90,"NS")=0,IF(S90&lt;=$T34,0,1),0)</f>
        <v>0</v>
      </c>
      <c r="AN90" s="253">
        <f>IF(COUNTIF(U90,"NS")=0,IF(U90&lt;=$T34,0,1),0)</f>
        <v>0</v>
      </c>
      <c r="AO90" s="253">
        <f>IF(COUNTIF(W90,"NS")=0,IF(W90&lt;=$T34,0,1),0)</f>
        <v>0</v>
      </c>
      <c r="AP90" s="253">
        <f>IF(COUNTIF(Y90,"NS")=0,IF(Y90&lt;=$T34,0,1),0)</f>
        <v>0</v>
      </c>
      <c r="AQ90" s="253">
        <f>IF(COUNTIF(AA90,"NS")=0,IF(AA90&lt;=$T34,0,1),0)</f>
        <v>0</v>
      </c>
      <c r="AR90" s="253">
        <f>IF(COUNTIF(AC90,"NS")=0,IF(AC90&lt;=$T34,0,1),0)</f>
        <v>0</v>
      </c>
      <c r="AS90" s="253">
        <f>IF(AND(SUM(O90:AD90)=0,AH90&gt;0,M90=0),1,0)</f>
        <v>0</v>
      </c>
    </row>
    <row r="91" spans="1:45">
      <c r="A91" s="227"/>
      <c r="B91" s="90"/>
      <c r="C91" s="199" t="s">
        <v>2517</v>
      </c>
      <c r="D91" s="796" t="str">
        <f>IF(CNSIPEE_2024_M2_Secc1!D43="","",CNSIPEE_2024_M2_Secc1!D43)</f>
        <v/>
      </c>
      <c r="E91" s="796"/>
      <c r="F91" s="796"/>
      <c r="G91" s="796"/>
      <c r="H91" s="796"/>
      <c r="I91" s="796"/>
      <c r="J91" s="796"/>
      <c r="K91" s="796"/>
      <c r="L91" s="796"/>
      <c r="M91" s="816"/>
      <c r="N91" s="817"/>
      <c r="O91" s="816"/>
      <c r="P91" s="817"/>
      <c r="Q91" s="816"/>
      <c r="R91" s="817"/>
      <c r="S91" s="816"/>
      <c r="T91" s="817"/>
      <c r="U91" s="816"/>
      <c r="V91" s="817"/>
      <c r="W91" s="816"/>
      <c r="X91" s="817"/>
      <c r="Y91" s="816"/>
      <c r="Z91" s="817"/>
      <c r="AA91" s="816"/>
      <c r="AB91" s="817"/>
      <c r="AC91" s="816"/>
      <c r="AD91" s="817"/>
      <c r="AG91" s="253">
        <f t="shared" ref="AG91:AG97" si="22">IF(COUNTA($M$90:$AD$97)&gt;0,IF(AND(COUNTBLANK(D91)=0,N35=1,COUNTBLANK(M91:AD91)=9),0,IF(AND(COUNTBLANK(D91)=0,N35=2,COUNTBLANK(M91:AD91)=18),0,IF(AND(COUNTBLANK(D91)=0,N35=9,COUNTBLANK(M91:AD91)=18),0,IF(AND(COUNTBLANK(D91)&gt;0,N35="",COUNTBLANK(M91:AD91)=18),0,1)))),0)</f>
        <v>0</v>
      </c>
      <c r="AH91" s="253">
        <f t="shared" si="20"/>
        <v>0</v>
      </c>
      <c r="AI91" s="253">
        <f t="shared" si="21"/>
        <v>0</v>
      </c>
      <c r="AJ91" s="253">
        <f t="shared" ref="AJ91:AJ97" si="23">IF(O91&gt;=T6,0,1)</f>
        <v>0</v>
      </c>
      <c r="AK91" s="253">
        <f t="shared" ref="AK91:AK96" si="24">IF(COUNTIF(O91,"NS")=0,IF(O91&lt;=$T35,0,1),0)</f>
        <v>0</v>
      </c>
      <c r="AL91" s="253">
        <f t="shared" ref="AL91:AL97" si="25">IF(COUNTIF(Q91,"NS")=0,IF(Q91&lt;=$T35,0,1),0)</f>
        <v>0</v>
      </c>
      <c r="AM91" s="253">
        <f t="shared" ref="AM91:AM97" si="26">IF(COUNTIF(S91,"NS")=0,IF(S91&lt;=$T35,0,1),0)</f>
        <v>0</v>
      </c>
      <c r="AN91" s="253">
        <f t="shared" ref="AN91:AN97" si="27">IF(COUNTIF(U91,"NS")=0,IF(U91&lt;=$T35,0,1),0)</f>
        <v>0</v>
      </c>
      <c r="AO91" s="253">
        <f t="shared" ref="AO91:AO97" si="28">IF(COUNTIF(W91,"NS")=0,IF(W91&lt;=$T35,0,1),0)</f>
        <v>0</v>
      </c>
      <c r="AP91" s="253">
        <f t="shared" ref="AP91:AP97" si="29">IF(COUNTIF(Y91,"NS")=0,IF(Y91&lt;=$T35,0,1),0)</f>
        <v>0</v>
      </c>
      <c r="AQ91" s="253">
        <f t="shared" ref="AQ91:AQ97" si="30">IF(COUNTIF(AA91,"NS")=0,IF(AA91&lt;=$T35,0,1),0)</f>
        <v>0</v>
      </c>
      <c r="AR91" s="253">
        <f t="shared" ref="AR91:AR97" si="31">IF(COUNTIF(AC91,"NS")=0,IF(AC91&lt;=$T35,0,1),0)</f>
        <v>0</v>
      </c>
      <c r="AS91" s="253">
        <f t="shared" ref="AS91:AS97" si="32">IF(AND(SUM(O91:AD91)=0,AH91&gt;0,M91=0),1,0)</f>
        <v>0</v>
      </c>
    </row>
    <row r="92" spans="1:45">
      <c r="A92" s="227"/>
      <c r="B92" s="90"/>
      <c r="C92" s="143" t="s">
        <v>2518</v>
      </c>
      <c r="D92" s="796" t="str">
        <f>IF(CNSIPEE_2024_M2_Secc1!D44="","",CNSIPEE_2024_M2_Secc1!D44)</f>
        <v/>
      </c>
      <c r="E92" s="796"/>
      <c r="F92" s="796"/>
      <c r="G92" s="796"/>
      <c r="H92" s="796"/>
      <c r="I92" s="796"/>
      <c r="J92" s="796"/>
      <c r="K92" s="796"/>
      <c r="L92" s="796"/>
      <c r="M92" s="816"/>
      <c r="N92" s="817"/>
      <c r="O92" s="816"/>
      <c r="P92" s="817"/>
      <c r="Q92" s="816"/>
      <c r="R92" s="817"/>
      <c r="S92" s="816"/>
      <c r="T92" s="817"/>
      <c r="U92" s="816"/>
      <c r="V92" s="817"/>
      <c r="W92" s="816"/>
      <c r="X92" s="817"/>
      <c r="Y92" s="816"/>
      <c r="Z92" s="817"/>
      <c r="AA92" s="816"/>
      <c r="AB92" s="817"/>
      <c r="AC92" s="816"/>
      <c r="AD92" s="817"/>
      <c r="AG92" s="253">
        <f t="shared" si="22"/>
        <v>0</v>
      </c>
      <c r="AH92" s="253">
        <f t="shared" si="20"/>
        <v>0</v>
      </c>
      <c r="AI92" s="253">
        <f t="shared" si="21"/>
        <v>0</v>
      </c>
      <c r="AJ92" s="253">
        <f t="shared" si="23"/>
        <v>0</v>
      </c>
      <c r="AK92" s="253">
        <f t="shared" si="24"/>
        <v>0</v>
      </c>
      <c r="AL92" s="253">
        <f t="shared" si="25"/>
        <v>0</v>
      </c>
      <c r="AM92" s="253">
        <f t="shared" si="26"/>
        <v>0</v>
      </c>
      <c r="AN92" s="253">
        <f t="shared" si="27"/>
        <v>0</v>
      </c>
      <c r="AO92" s="253">
        <f t="shared" si="28"/>
        <v>0</v>
      </c>
      <c r="AP92" s="253">
        <f t="shared" si="29"/>
        <v>0</v>
      </c>
      <c r="AQ92" s="253">
        <f t="shared" si="30"/>
        <v>0</v>
      </c>
      <c r="AR92" s="253">
        <f t="shared" si="31"/>
        <v>0</v>
      </c>
      <c r="AS92" s="253">
        <f t="shared" si="32"/>
        <v>0</v>
      </c>
    </row>
    <row r="93" spans="1:45">
      <c r="A93" s="227"/>
      <c r="B93" s="90"/>
      <c r="C93" s="143" t="s">
        <v>2519</v>
      </c>
      <c r="D93" s="796" t="str">
        <f>IF(CNSIPEE_2024_M2_Secc1!D45="","",CNSIPEE_2024_M2_Secc1!D45)</f>
        <v/>
      </c>
      <c r="E93" s="796"/>
      <c r="F93" s="796"/>
      <c r="G93" s="796"/>
      <c r="H93" s="796"/>
      <c r="I93" s="796"/>
      <c r="J93" s="796"/>
      <c r="K93" s="796"/>
      <c r="L93" s="796"/>
      <c r="M93" s="816"/>
      <c r="N93" s="817"/>
      <c r="O93" s="816"/>
      <c r="P93" s="817"/>
      <c r="Q93" s="816"/>
      <c r="R93" s="817"/>
      <c r="S93" s="816"/>
      <c r="T93" s="817"/>
      <c r="U93" s="816"/>
      <c r="V93" s="817"/>
      <c r="W93" s="816"/>
      <c r="X93" s="817"/>
      <c r="Y93" s="816"/>
      <c r="Z93" s="817"/>
      <c r="AA93" s="816"/>
      <c r="AB93" s="817"/>
      <c r="AC93" s="816"/>
      <c r="AD93" s="817"/>
      <c r="AG93" s="253">
        <f t="shared" si="22"/>
        <v>0</v>
      </c>
      <c r="AH93" s="253">
        <f t="shared" si="20"/>
        <v>0</v>
      </c>
      <c r="AI93" s="253">
        <f t="shared" si="21"/>
        <v>0</v>
      </c>
      <c r="AJ93" s="253">
        <f t="shared" si="23"/>
        <v>0</v>
      </c>
      <c r="AK93" s="253">
        <f t="shared" si="24"/>
        <v>0</v>
      </c>
      <c r="AL93" s="253">
        <f t="shared" si="25"/>
        <v>0</v>
      </c>
      <c r="AM93" s="253">
        <f t="shared" si="26"/>
        <v>0</v>
      </c>
      <c r="AN93" s="253">
        <f t="shared" si="27"/>
        <v>0</v>
      </c>
      <c r="AO93" s="253">
        <f t="shared" si="28"/>
        <v>0</v>
      </c>
      <c r="AP93" s="253">
        <f t="shared" si="29"/>
        <v>0</v>
      </c>
      <c r="AQ93" s="253">
        <f t="shared" si="30"/>
        <v>0</v>
      </c>
      <c r="AR93" s="253">
        <f t="shared" si="31"/>
        <v>0</v>
      </c>
      <c r="AS93" s="253">
        <f t="shared" si="32"/>
        <v>0</v>
      </c>
    </row>
    <row r="94" spans="1:45">
      <c r="A94" s="227"/>
      <c r="B94" s="90"/>
      <c r="C94" s="143" t="s">
        <v>2520</v>
      </c>
      <c r="D94" s="796" t="str">
        <f>IF(CNSIPEE_2024_M2_Secc1!D46="","",CNSIPEE_2024_M2_Secc1!D46)</f>
        <v/>
      </c>
      <c r="E94" s="796"/>
      <c r="F94" s="796"/>
      <c r="G94" s="796"/>
      <c r="H94" s="796"/>
      <c r="I94" s="796"/>
      <c r="J94" s="796"/>
      <c r="K94" s="796"/>
      <c r="L94" s="796"/>
      <c r="M94" s="816"/>
      <c r="N94" s="817"/>
      <c r="O94" s="816"/>
      <c r="P94" s="817"/>
      <c r="Q94" s="816"/>
      <c r="R94" s="817"/>
      <c r="S94" s="816"/>
      <c r="T94" s="817"/>
      <c r="U94" s="816"/>
      <c r="V94" s="817"/>
      <c r="W94" s="816"/>
      <c r="X94" s="817"/>
      <c r="Y94" s="816"/>
      <c r="Z94" s="817"/>
      <c r="AA94" s="816"/>
      <c r="AB94" s="817"/>
      <c r="AC94" s="816"/>
      <c r="AD94" s="817"/>
      <c r="AG94" s="253">
        <f t="shared" si="22"/>
        <v>0</v>
      </c>
      <c r="AH94" s="253">
        <f t="shared" si="20"/>
        <v>0</v>
      </c>
      <c r="AI94" s="253">
        <f t="shared" si="21"/>
        <v>0</v>
      </c>
      <c r="AJ94" s="253">
        <f t="shared" si="23"/>
        <v>0</v>
      </c>
      <c r="AK94" s="253">
        <f t="shared" si="24"/>
        <v>0</v>
      </c>
      <c r="AL94" s="253">
        <f t="shared" si="25"/>
        <v>0</v>
      </c>
      <c r="AM94" s="253">
        <f t="shared" si="26"/>
        <v>0</v>
      </c>
      <c r="AN94" s="253">
        <f t="shared" si="27"/>
        <v>0</v>
      </c>
      <c r="AO94" s="253">
        <f t="shared" si="28"/>
        <v>0</v>
      </c>
      <c r="AP94" s="253">
        <f t="shared" si="29"/>
        <v>0</v>
      </c>
      <c r="AQ94" s="253">
        <f t="shared" si="30"/>
        <v>0</v>
      </c>
      <c r="AR94" s="253">
        <f t="shared" si="31"/>
        <v>0</v>
      </c>
      <c r="AS94" s="253">
        <f t="shared" si="32"/>
        <v>0</v>
      </c>
    </row>
    <row r="95" spans="1:45">
      <c r="A95" s="227"/>
      <c r="B95" s="90"/>
      <c r="C95" s="143" t="s">
        <v>2521</v>
      </c>
      <c r="D95" s="796" t="str">
        <f>IF(CNSIPEE_2024_M2_Secc1!D47="","",CNSIPEE_2024_M2_Secc1!D47)</f>
        <v/>
      </c>
      <c r="E95" s="796"/>
      <c r="F95" s="796"/>
      <c r="G95" s="796"/>
      <c r="H95" s="796"/>
      <c r="I95" s="796"/>
      <c r="J95" s="796"/>
      <c r="K95" s="796"/>
      <c r="L95" s="796"/>
      <c r="M95" s="816"/>
      <c r="N95" s="817"/>
      <c r="O95" s="816"/>
      <c r="P95" s="817"/>
      <c r="Q95" s="816"/>
      <c r="R95" s="817"/>
      <c r="S95" s="816"/>
      <c r="T95" s="817"/>
      <c r="U95" s="816"/>
      <c r="V95" s="817"/>
      <c r="W95" s="816"/>
      <c r="X95" s="817"/>
      <c r="Y95" s="816"/>
      <c r="Z95" s="817"/>
      <c r="AA95" s="816"/>
      <c r="AB95" s="817"/>
      <c r="AC95" s="816"/>
      <c r="AD95" s="817"/>
      <c r="AG95" s="253">
        <f t="shared" si="22"/>
        <v>0</v>
      </c>
      <c r="AH95" s="253">
        <f t="shared" si="20"/>
        <v>0</v>
      </c>
      <c r="AI95" s="253">
        <f t="shared" si="21"/>
        <v>0</v>
      </c>
      <c r="AJ95" s="253">
        <f t="shared" si="23"/>
        <v>0</v>
      </c>
      <c r="AK95" s="253">
        <f t="shared" si="24"/>
        <v>0</v>
      </c>
      <c r="AL95" s="253">
        <f t="shared" si="25"/>
        <v>0</v>
      </c>
      <c r="AM95" s="253">
        <f t="shared" si="26"/>
        <v>0</v>
      </c>
      <c r="AN95" s="253">
        <f t="shared" si="27"/>
        <v>0</v>
      </c>
      <c r="AO95" s="253">
        <f t="shared" si="28"/>
        <v>0</v>
      </c>
      <c r="AP95" s="253">
        <f t="shared" si="29"/>
        <v>0</v>
      </c>
      <c r="AQ95" s="253">
        <f t="shared" si="30"/>
        <v>0</v>
      </c>
      <c r="AR95" s="253">
        <f t="shared" si="31"/>
        <v>0</v>
      </c>
      <c r="AS95" s="253">
        <f t="shared" si="32"/>
        <v>0</v>
      </c>
    </row>
    <row r="96" spans="1:45">
      <c r="A96" s="227"/>
      <c r="B96" s="90"/>
      <c r="C96" s="143" t="s">
        <v>2522</v>
      </c>
      <c r="D96" s="796" t="str">
        <f>IF(CNSIPEE_2024_M2_Secc1!D48="","",CNSIPEE_2024_M2_Secc1!D48)</f>
        <v/>
      </c>
      <c r="E96" s="796"/>
      <c r="F96" s="796"/>
      <c r="G96" s="796"/>
      <c r="H96" s="796"/>
      <c r="I96" s="796"/>
      <c r="J96" s="796"/>
      <c r="K96" s="796"/>
      <c r="L96" s="796"/>
      <c r="M96" s="816"/>
      <c r="N96" s="817"/>
      <c r="O96" s="816"/>
      <c r="P96" s="817"/>
      <c r="Q96" s="816"/>
      <c r="R96" s="817"/>
      <c r="S96" s="816"/>
      <c r="T96" s="817"/>
      <c r="U96" s="816"/>
      <c r="V96" s="817"/>
      <c r="W96" s="816"/>
      <c r="X96" s="817"/>
      <c r="Y96" s="816"/>
      <c r="Z96" s="817"/>
      <c r="AA96" s="816"/>
      <c r="AB96" s="817"/>
      <c r="AC96" s="816"/>
      <c r="AD96" s="817"/>
      <c r="AG96" s="253">
        <f t="shared" si="22"/>
        <v>0</v>
      </c>
      <c r="AH96" s="253">
        <f t="shared" si="20"/>
        <v>0</v>
      </c>
      <c r="AI96" s="253">
        <f t="shared" si="21"/>
        <v>0</v>
      </c>
      <c r="AJ96" s="253">
        <f t="shared" si="23"/>
        <v>0</v>
      </c>
      <c r="AK96" s="253">
        <f t="shared" si="24"/>
        <v>0</v>
      </c>
      <c r="AL96" s="253">
        <f t="shared" si="25"/>
        <v>0</v>
      </c>
      <c r="AM96" s="253">
        <f t="shared" si="26"/>
        <v>0</v>
      </c>
      <c r="AN96" s="253">
        <f t="shared" si="27"/>
        <v>0</v>
      </c>
      <c r="AO96" s="253">
        <f t="shared" si="28"/>
        <v>0</v>
      </c>
      <c r="AP96" s="253">
        <f t="shared" si="29"/>
        <v>0</v>
      </c>
      <c r="AQ96" s="253">
        <f t="shared" si="30"/>
        <v>0</v>
      </c>
      <c r="AR96" s="253">
        <f t="shared" si="31"/>
        <v>0</v>
      </c>
      <c r="AS96" s="253">
        <f t="shared" si="32"/>
        <v>0</v>
      </c>
    </row>
    <row r="97" spans="1:45">
      <c r="A97" s="227"/>
      <c r="B97" s="90"/>
      <c r="C97" s="143" t="s">
        <v>2523</v>
      </c>
      <c r="D97" s="796" t="str">
        <f>IF(CNSIPEE_2024_M2_Secc1!D49="","",CNSIPEE_2024_M2_Secc1!D49)</f>
        <v/>
      </c>
      <c r="E97" s="796"/>
      <c r="F97" s="796"/>
      <c r="G97" s="796"/>
      <c r="H97" s="796"/>
      <c r="I97" s="796"/>
      <c r="J97" s="796"/>
      <c r="K97" s="796"/>
      <c r="L97" s="796"/>
      <c r="M97" s="816"/>
      <c r="N97" s="817"/>
      <c r="O97" s="816"/>
      <c r="P97" s="817"/>
      <c r="Q97" s="816"/>
      <c r="R97" s="817"/>
      <c r="S97" s="816"/>
      <c r="T97" s="817"/>
      <c r="U97" s="816"/>
      <c r="V97" s="817"/>
      <c r="W97" s="816"/>
      <c r="X97" s="817"/>
      <c r="Y97" s="816"/>
      <c r="Z97" s="817"/>
      <c r="AA97" s="816"/>
      <c r="AB97" s="817"/>
      <c r="AC97" s="816"/>
      <c r="AD97" s="817"/>
      <c r="AG97" s="253">
        <f t="shared" si="22"/>
        <v>0</v>
      </c>
      <c r="AH97" s="253">
        <f t="shared" si="20"/>
        <v>0</v>
      </c>
      <c r="AI97" s="253">
        <f t="shared" si="21"/>
        <v>0</v>
      </c>
      <c r="AJ97" s="253">
        <f t="shared" si="23"/>
        <v>0</v>
      </c>
      <c r="AK97" s="253">
        <f>IF(COUNTIF(O97,"NS")=0,IF(O97&lt;=$T41,0,1),0)</f>
        <v>0</v>
      </c>
      <c r="AL97" s="253">
        <f t="shared" si="25"/>
        <v>0</v>
      </c>
      <c r="AM97" s="253">
        <f t="shared" si="26"/>
        <v>0</v>
      </c>
      <c r="AN97" s="253">
        <f t="shared" si="27"/>
        <v>0</v>
      </c>
      <c r="AO97" s="253">
        <f t="shared" si="28"/>
        <v>0</v>
      </c>
      <c r="AP97" s="253">
        <f t="shared" si="29"/>
        <v>0</v>
      </c>
      <c r="AQ97" s="253">
        <f t="shared" si="30"/>
        <v>0</v>
      </c>
      <c r="AR97" s="253">
        <f t="shared" si="31"/>
        <v>0</v>
      </c>
      <c r="AS97" s="253">
        <f t="shared" si="32"/>
        <v>0</v>
      </c>
    </row>
    <row r="98" spans="1:45">
      <c r="A98" s="227"/>
      <c r="B98" s="90"/>
      <c r="C98" s="90"/>
      <c r="D98" s="90"/>
      <c r="E98" s="90"/>
      <c r="F98" s="90"/>
      <c r="G98" s="90"/>
      <c r="H98" s="90"/>
      <c r="I98" s="90"/>
      <c r="L98" s="117" t="s">
        <v>2649</v>
      </c>
      <c r="M98" s="732">
        <f>IF(AND(SUM(M90:N97)=0,COUNTIF(M90:N97,"NS")&gt;0),"NS",IF(AND(SUM(M90:N97)=0,COUNTIF(M90:N97,0)&gt;0),0,IF(AND(SUM(M90:N97)=0,COUNTIF(M90:N97,"NA")&gt;0),"NA",SUM(M90:N97))))</f>
        <v>0</v>
      </c>
      <c r="N98" s="1161"/>
      <c r="O98" s="732">
        <f>IF(AND(SUM(O90:P97)=0,COUNTIF(O90:P97,"NS")&gt;0),"NS",IF(AND(SUM(O90:P97)=0,COUNTIF(O90:P97,0)&gt;0),0,IF(AND(SUM(O90:P97)=0,COUNTIF(O90:P97,"NA")&gt;0),"NA",SUM(O90:P97))))</f>
        <v>0</v>
      </c>
      <c r="P98" s="1161"/>
      <c r="Q98" s="732">
        <f>IF(AND(SUM(Q90:R97)=0,COUNTIF(Q90:R97,"NS")&gt;0),"NS",IF(AND(SUM(Q90:R97)=0,COUNTIF(Q90:R97,0)&gt;0),0,IF(AND(SUM(Q90:R97)=0,COUNTIF(Q90:R97,"NA")&gt;0),"NA",SUM(Q90:R97))))</f>
        <v>0</v>
      </c>
      <c r="R98" s="1161"/>
      <c r="S98" s="732">
        <f>IF(AND(SUM(S90:T97)=0,COUNTIF(S90:T97,"NS")&gt;0),"NS",IF(AND(SUM(S90:T97)=0,COUNTIF(S90:T97,0)&gt;0),0,IF(AND(SUM(S90:T97)=0,COUNTIF(S90:T97,"NA")&gt;0),"NA",SUM(S90:T97))))</f>
        <v>0</v>
      </c>
      <c r="T98" s="1161"/>
      <c r="U98" s="732">
        <f>IF(AND(SUM(U90:V97)=0,COUNTIF(U90:V97,"NS")&gt;0),"NS",IF(AND(SUM(U90:V97)=0,COUNTIF(U90:V97,0)&gt;0),0,IF(AND(SUM(U90:V97)=0,COUNTIF(U90:V97,"NA")&gt;0),"NA",SUM(U90:V97))))</f>
        <v>0</v>
      </c>
      <c r="V98" s="1161"/>
      <c r="W98" s="732">
        <f>IF(AND(SUM(W90:X97)=0,COUNTIF(W90:X97,"NS")&gt;0),"NS",IF(AND(SUM(W90:X97)=0,COUNTIF(W90:X97,0)&gt;0),0,IF(AND(SUM(W90:X97)=0,COUNTIF(W90:X97,"NA")&gt;0),"NA",SUM(W90:X97))))</f>
        <v>0</v>
      </c>
      <c r="X98" s="1161"/>
      <c r="Y98" s="732">
        <f>IF(AND(SUM(Y90:Z97)=0,COUNTIF(Y90:Z97,"NS")&gt;0),"NS",IF(AND(SUM(Y90:Z97)=0,COUNTIF(Y90:Z97,0)&gt;0),0,IF(AND(SUM(Y90:Z97)=0,COUNTIF(Y90:Z97,"NA")&gt;0),"NA",SUM(Y90:Z97))))</f>
        <v>0</v>
      </c>
      <c r="Z98" s="1161"/>
      <c r="AA98" s="732">
        <f>IF(AND(SUM(AA90:AB97)=0,COUNTIF(AA90:AB97,"NS")&gt;0),"NS",IF(AND(SUM(AA90:AB97)=0,COUNTIF(AA90:AB97,0)&gt;0),0,IF(AND(SUM(AA90:AB97)=0,COUNTIF(AA90:AB97,"NA")&gt;0),"NA",SUM(AA90:AB97))))</f>
        <v>0</v>
      </c>
      <c r="AB98" s="1161"/>
      <c r="AC98" s="732">
        <f>IF(AND(SUM(AC90:AD97)=0,COUNTIF(AC90:AD97,"NS")&gt;0),"NS",IF(AND(SUM(AC90:AD97)=0,COUNTIF(AC90:AD97,0)&gt;0),0,IF(AND(SUM(AC90:AD97)=0,COUNTIF(AC90:AD97,"NA")&gt;0),"NA",SUM(AC90:AD97))))</f>
        <v>0</v>
      </c>
      <c r="AD98" s="1161"/>
      <c r="AG98" s="683">
        <f>SUM(AG90:AG97)</f>
        <v>0</v>
      </c>
      <c r="AH98" s="684">
        <f>SUM(AH90:AH97)</f>
        <v>0</v>
      </c>
      <c r="AI98" s="689">
        <f>SUM(AI90:AI97)</f>
        <v>0</v>
      </c>
      <c r="AJ98" s="685">
        <f>SUM(AJ90:AJ97)</f>
        <v>0</v>
      </c>
      <c r="AK98" s="690">
        <f>SUM(AK90:AR97)</f>
        <v>0</v>
      </c>
      <c r="AS98" s="713">
        <f>SUM(AS90:AS97)</f>
        <v>0</v>
      </c>
    </row>
    <row r="99" spans="1:45">
      <c r="A99" s="227"/>
      <c r="B99" s="90"/>
      <c r="C99" s="90"/>
      <c r="D99" s="90"/>
      <c r="E99" s="90"/>
      <c r="F99" s="90"/>
      <c r="G99" s="90"/>
      <c r="H99" s="90"/>
      <c r="I99" s="90"/>
      <c r="J99" s="90"/>
      <c r="K99" s="90"/>
      <c r="L99" s="90"/>
      <c r="M99" s="90"/>
      <c r="N99" s="90"/>
      <c r="O99" s="90"/>
      <c r="P99" s="90"/>
      <c r="Q99" s="90"/>
      <c r="R99" s="90"/>
      <c r="S99" s="90"/>
      <c r="T99" s="90"/>
      <c r="U99" s="90"/>
      <c r="V99" s="90"/>
      <c r="W99" s="90"/>
      <c r="X99" s="90"/>
      <c r="Y99" s="90"/>
      <c r="Z99" s="90"/>
      <c r="AA99" s="90"/>
      <c r="AB99" s="90"/>
      <c r="AC99" s="90"/>
      <c r="AD99" s="90"/>
    </row>
    <row r="100" spans="1:45" ht="45" customHeight="1">
      <c r="A100" s="227"/>
      <c r="B100" s="90"/>
      <c r="C100" s="822" t="s">
        <v>2798</v>
      </c>
      <c r="D100" s="822"/>
      <c r="E100" s="822"/>
      <c r="F100" s="816"/>
      <c r="G100" s="738"/>
      <c r="H100" s="738"/>
      <c r="I100" s="738"/>
      <c r="J100" s="738"/>
      <c r="K100" s="738"/>
      <c r="L100" s="738"/>
      <c r="M100" s="738"/>
      <c r="N100" s="738"/>
      <c r="O100" s="738"/>
      <c r="P100" s="738"/>
      <c r="Q100" s="738"/>
      <c r="R100" s="738"/>
      <c r="S100" s="738"/>
      <c r="T100" s="738"/>
      <c r="U100" s="738"/>
      <c r="V100" s="738"/>
      <c r="W100" s="738"/>
      <c r="X100" s="738"/>
      <c r="Y100" s="738"/>
      <c r="Z100" s="738"/>
      <c r="AA100" s="738"/>
      <c r="AB100" s="738"/>
      <c r="AC100" s="738"/>
      <c r="AD100" s="817"/>
    </row>
    <row r="101" spans="1:45">
      <c r="A101" s="227"/>
      <c r="B101" s="794" t="str">
        <f>IF(AND(AI98&gt;0,F100="")," Debido a que cuenta con registros en el apartado Otro tipo, debe anotar el nombre de dicho(s) tipo(s) promovente(s)","")</f>
        <v/>
      </c>
      <c r="C101" s="794"/>
      <c r="D101" s="794"/>
      <c r="E101" s="794"/>
      <c r="F101" s="794"/>
      <c r="G101" s="794"/>
      <c r="H101" s="794"/>
      <c r="I101" s="794"/>
      <c r="J101" s="794"/>
      <c r="K101" s="794"/>
      <c r="L101" s="794"/>
      <c r="M101" s="794"/>
      <c r="N101" s="794"/>
      <c r="O101" s="794"/>
      <c r="P101" s="794"/>
      <c r="Q101" s="794"/>
      <c r="R101" s="794"/>
      <c r="S101" s="794"/>
      <c r="T101" s="794"/>
      <c r="U101" s="794"/>
      <c r="V101" s="794"/>
      <c r="W101" s="794"/>
      <c r="X101" s="794"/>
      <c r="Y101" s="794"/>
      <c r="Z101" s="794"/>
      <c r="AA101" s="794"/>
      <c r="AB101" s="794"/>
      <c r="AC101" s="794"/>
      <c r="AD101" s="794"/>
      <c r="AE101" s="794"/>
    </row>
    <row r="102" spans="1:45" ht="24" customHeight="1">
      <c r="A102" s="227"/>
      <c r="B102" s="90"/>
      <c r="C102" s="754" t="s">
        <v>2611</v>
      </c>
      <c r="D102" s="754"/>
      <c r="E102" s="754"/>
      <c r="F102" s="754"/>
      <c r="G102" s="754"/>
      <c r="H102" s="754"/>
      <c r="I102" s="754"/>
      <c r="J102" s="754"/>
      <c r="K102" s="754"/>
      <c r="L102" s="754"/>
      <c r="M102" s="754"/>
      <c r="N102" s="754"/>
      <c r="O102" s="754"/>
      <c r="P102" s="754"/>
      <c r="Q102" s="754"/>
      <c r="R102" s="754"/>
      <c r="S102" s="754"/>
      <c r="T102" s="754"/>
      <c r="U102" s="754"/>
      <c r="V102" s="754"/>
      <c r="W102" s="754"/>
      <c r="X102" s="754"/>
      <c r="Y102" s="754"/>
      <c r="Z102" s="754"/>
      <c r="AA102" s="754"/>
      <c r="AB102" s="754"/>
      <c r="AC102" s="754"/>
      <c r="AD102" s="754"/>
    </row>
    <row r="103" spans="1:45" ht="60" customHeight="1">
      <c r="A103" s="227"/>
      <c r="B103" s="90"/>
      <c r="C103" s="851"/>
      <c r="D103" s="851"/>
      <c r="E103" s="851"/>
      <c r="F103" s="851"/>
      <c r="G103" s="851"/>
      <c r="H103" s="851"/>
      <c r="I103" s="851"/>
      <c r="J103" s="851"/>
      <c r="K103" s="851"/>
      <c r="L103" s="851"/>
      <c r="M103" s="851"/>
      <c r="N103" s="851"/>
      <c r="O103" s="851"/>
      <c r="P103" s="851"/>
      <c r="Q103" s="851"/>
      <c r="R103" s="851"/>
      <c r="S103" s="851"/>
      <c r="T103" s="851"/>
      <c r="U103" s="851"/>
      <c r="V103" s="851"/>
      <c r="W103" s="851"/>
      <c r="X103" s="851"/>
      <c r="Y103" s="851"/>
      <c r="Z103" s="851"/>
      <c r="AA103" s="851"/>
      <c r="AB103" s="851"/>
      <c r="AC103" s="851"/>
      <c r="AD103" s="851"/>
    </row>
    <row r="104" spans="1:45">
      <c r="A104" s="227"/>
      <c r="B104" s="794" t="str">
        <f>IF(AG98&gt;0,"Favor de ingresar toda la información requerida en la pregunta y/o verifique que no tenga información en celdas sombreadas","")</f>
        <v/>
      </c>
      <c r="C104" s="794"/>
      <c r="D104" s="794"/>
      <c r="E104" s="794"/>
      <c r="F104" s="794"/>
      <c r="G104" s="794"/>
      <c r="H104" s="794"/>
      <c r="I104" s="794"/>
      <c r="J104" s="794"/>
      <c r="K104" s="794"/>
      <c r="L104" s="794"/>
      <c r="M104" s="794"/>
      <c r="N104" s="794"/>
      <c r="O104" s="794"/>
      <c r="P104" s="794"/>
      <c r="Q104" s="794"/>
      <c r="R104" s="794"/>
      <c r="S104" s="794"/>
      <c r="T104" s="794"/>
      <c r="U104" s="794"/>
      <c r="V104" s="794"/>
      <c r="W104" s="794"/>
      <c r="X104" s="794"/>
      <c r="Y104" s="794"/>
      <c r="Z104" s="794"/>
      <c r="AA104" s="794"/>
      <c r="AB104" s="794"/>
      <c r="AC104" s="794"/>
      <c r="AD104" s="794"/>
      <c r="AE104" s="794"/>
    </row>
    <row r="105" spans="1:45">
      <c r="A105" s="227"/>
      <c r="B105" s="795" t="str">
        <f>IF(AH98&gt;0,"Alerta: debido a que cuenta con registros NS, debe proporcionar una justificación en el area de comentarios al final de la pregunta","")</f>
        <v/>
      </c>
      <c r="C105" s="795"/>
      <c r="D105" s="795"/>
      <c r="E105" s="795"/>
      <c r="F105" s="795"/>
      <c r="G105" s="795"/>
      <c r="H105" s="795"/>
      <c r="I105" s="795"/>
      <c r="J105" s="795"/>
      <c r="K105" s="795"/>
      <c r="L105" s="795"/>
      <c r="M105" s="795"/>
      <c r="N105" s="795"/>
      <c r="O105" s="795"/>
      <c r="P105" s="795"/>
      <c r="Q105" s="795"/>
      <c r="R105" s="795"/>
      <c r="S105" s="795"/>
      <c r="T105" s="795"/>
      <c r="U105" s="795"/>
      <c r="V105" s="795"/>
      <c r="W105" s="795"/>
      <c r="X105" s="795"/>
      <c r="Y105" s="795"/>
      <c r="Z105" s="795"/>
      <c r="AA105" s="795"/>
      <c r="AB105" s="795"/>
      <c r="AC105" s="795"/>
      <c r="AD105" s="795"/>
      <c r="AE105" s="795"/>
    </row>
    <row r="106" spans="1:45">
      <c r="A106" s="227"/>
      <c r="B106" s="794" t="str">
        <f>IF(AJ98&gt;0,"Revisar la instrucción 2, debido a que la suma de las quejas registradas son menores al total general de la fila respectiva","")</f>
        <v/>
      </c>
      <c r="C106" s="794"/>
      <c r="D106" s="794"/>
      <c r="E106" s="794"/>
      <c r="F106" s="794"/>
      <c r="G106" s="794"/>
      <c r="H106" s="794"/>
      <c r="I106" s="794"/>
      <c r="J106" s="794"/>
      <c r="K106" s="794"/>
      <c r="L106" s="794"/>
      <c r="M106" s="794"/>
      <c r="N106" s="794"/>
      <c r="O106" s="794"/>
      <c r="P106" s="794"/>
      <c r="Q106" s="794"/>
      <c r="R106" s="794"/>
      <c r="S106" s="794"/>
      <c r="T106" s="794"/>
      <c r="U106" s="794"/>
      <c r="V106" s="794"/>
      <c r="W106" s="794"/>
      <c r="X106" s="794"/>
      <c r="Y106" s="794"/>
      <c r="Z106" s="794"/>
      <c r="AA106" s="794"/>
      <c r="AB106" s="794"/>
      <c r="AC106" s="794"/>
      <c r="AD106" s="794"/>
      <c r="AE106" s="794"/>
    </row>
    <row r="107" spans="1:45">
      <c r="A107" s="227"/>
      <c r="B107" s="794" t="str">
        <f>IF(AK98&gt;0,"Revisar la instrucción 3, debido a que cada queja registrada debe ser igual o menor al total general de la fila respectiva","")</f>
        <v/>
      </c>
      <c r="C107" s="794"/>
      <c r="D107" s="794"/>
      <c r="E107" s="794"/>
      <c r="F107" s="794"/>
      <c r="G107" s="794"/>
      <c r="H107" s="794"/>
      <c r="I107" s="794"/>
      <c r="J107" s="794"/>
      <c r="K107" s="794"/>
      <c r="L107" s="794"/>
      <c r="M107" s="794"/>
      <c r="N107" s="794"/>
      <c r="O107" s="794"/>
      <c r="P107" s="794"/>
      <c r="Q107" s="794"/>
      <c r="R107" s="794"/>
      <c r="S107" s="794"/>
      <c r="T107" s="794"/>
      <c r="U107" s="794"/>
      <c r="V107" s="794"/>
      <c r="W107" s="794"/>
      <c r="X107" s="794"/>
      <c r="Y107" s="794"/>
      <c r="Z107" s="794"/>
      <c r="AA107" s="794"/>
      <c r="AB107" s="794"/>
      <c r="AC107" s="794"/>
      <c r="AD107" s="794"/>
      <c r="AE107" s="794"/>
    </row>
    <row r="108" spans="1:45">
      <c r="A108" s="227"/>
      <c r="B108" s="794" t="str">
        <f>IF(AS98=0,"","Error: revisar por filas la consistencia entre la columna Total y las desagregaciones")</f>
        <v/>
      </c>
      <c r="C108" s="794"/>
      <c r="D108" s="794"/>
      <c r="E108" s="794"/>
      <c r="F108" s="794"/>
      <c r="G108" s="794"/>
      <c r="H108" s="794"/>
      <c r="I108" s="794"/>
      <c r="J108" s="794"/>
      <c r="K108" s="794"/>
      <c r="L108" s="794"/>
      <c r="M108" s="794"/>
      <c r="N108" s="794"/>
      <c r="O108" s="794"/>
      <c r="P108" s="794"/>
      <c r="Q108" s="794"/>
      <c r="R108" s="794"/>
      <c r="S108" s="794"/>
      <c r="T108" s="794"/>
      <c r="U108" s="794"/>
      <c r="V108" s="794"/>
      <c r="W108" s="794"/>
      <c r="X108" s="794"/>
      <c r="Y108" s="794"/>
      <c r="Z108" s="794"/>
      <c r="AA108" s="794"/>
      <c r="AB108" s="794"/>
      <c r="AC108" s="794"/>
      <c r="AD108" s="794"/>
    </row>
    <row r="109" spans="1:45">
      <c r="A109" s="227"/>
      <c r="B109" s="90"/>
      <c r="C109" s="90"/>
      <c r="D109" s="90"/>
      <c r="E109" s="90"/>
      <c r="F109" s="90"/>
      <c r="G109" s="90"/>
      <c r="H109" s="90"/>
      <c r="I109" s="90"/>
      <c r="J109" s="90"/>
      <c r="K109" s="90"/>
      <c r="L109" s="90"/>
      <c r="M109" s="90"/>
      <c r="N109" s="90"/>
      <c r="O109" s="90"/>
      <c r="P109" s="90"/>
      <c r="Q109" s="90"/>
      <c r="R109" s="90"/>
      <c r="S109" s="90"/>
      <c r="T109" s="90"/>
      <c r="U109" s="90"/>
      <c r="V109" s="90"/>
      <c r="W109" s="90"/>
      <c r="X109" s="90"/>
      <c r="Y109" s="90"/>
      <c r="Z109" s="90"/>
      <c r="AA109" s="90"/>
      <c r="AB109" s="90"/>
      <c r="AC109" s="90"/>
      <c r="AD109" s="90"/>
    </row>
    <row r="110" spans="1:45" ht="36" customHeight="1">
      <c r="A110" s="108" t="s">
        <v>6387</v>
      </c>
      <c r="B110" s="829" t="s">
        <v>6388</v>
      </c>
      <c r="C110" s="829"/>
      <c r="D110" s="829"/>
      <c r="E110" s="829"/>
      <c r="F110" s="829"/>
      <c r="G110" s="829"/>
      <c r="H110" s="829"/>
      <c r="I110" s="829"/>
      <c r="J110" s="829"/>
      <c r="K110" s="829"/>
      <c r="L110" s="829"/>
      <c r="M110" s="829"/>
      <c r="N110" s="829"/>
      <c r="O110" s="829"/>
      <c r="P110" s="829"/>
      <c r="Q110" s="829"/>
      <c r="R110" s="829"/>
      <c r="S110" s="829"/>
      <c r="T110" s="829"/>
      <c r="U110" s="829"/>
      <c r="V110" s="829"/>
      <c r="W110" s="829"/>
      <c r="X110" s="829"/>
      <c r="Y110" s="829"/>
      <c r="Z110" s="829"/>
      <c r="AA110" s="829"/>
      <c r="AB110" s="829"/>
      <c r="AC110" s="829"/>
      <c r="AD110" s="829"/>
    </row>
    <row r="111" spans="1:45" ht="24" customHeight="1">
      <c r="A111" s="197"/>
      <c r="B111" s="90"/>
      <c r="C111" s="830" t="s">
        <v>6389</v>
      </c>
      <c r="D111" s="830"/>
      <c r="E111" s="830"/>
      <c r="F111" s="830"/>
      <c r="G111" s="830"/>
      <c r="H111" s="830"/>
      <c r="I111" s="830"/>
      <c r="J111" s="830"/>
      <c r="K111" s="830"/>
      <c r="L111" s="830"/>
      <c r="M111" s="830"/>
      <c r="N111" s="830"/>
      <c r="O111" s="830"/>
      <c r="P111" s="830"/>
      <c r="Q111" s="830"/>
      <c r="R111" s="830"/>
      <c r="S111" s="830"/>
      <c r="T111" s="830"/>
      <c r="U111" s="830"/>
      <c r="V111" s="830"/>
      <c r="W111" s="830"/>
      <c r="X111" s="830"/>
      <c r="Y111" s="830"/>
      <c r="Z111" s="830"/>
      <c r="AA111" s="830"/>
      <c r="AB111" s="830"/>
      <c r="AC111" s="830"/>
      <c r="AD111" s="830"/>
    </row>
    <row r="112" spans="1:45" ht="24" customHeight="1">
      <c r="A112" s="227"/>
      <c r="B112" s="90"/>
      <c r="C112" s="754" t="s">
        <v>6390</v>
      </c>
      <c r="D112" s="754"/>
      <c r="E112" s="754"/>
      <c r="F112" s="754"/>
      <c r="G112" s="754"/>
      <c r="H112" s="754"/>
      <c r="I112" s="754"/>
      <c r="J112" s="754"/>
      <c r="K112" s="754"/>
      <c r="L112" s="754"/>
      <c r="M112" s="754"/>
      <c r="N112" s="754"/>
      <c r="O112" s="754"/>
      <c r="P112" s="754"/>
      <c r="Q112" s="754"/>
      <c r="R112" s="754"/>
      <c r="S112" s="754"/>
      <c r="T112" s="754"/>
      <c r="U112" s="754"/>
      <c r="V112" s="754"/>
      <c r="W112" s="754"/>
      <c r="X112" s="754"/>
      <c r="Y112" s="754"/>
      <c r="Z112" s="754"/>
      <c r="AA112" s="754"/>
      <c r="AB112" s="754"/>
      <c r="AC112" s="754"/>
      <c r="AD112" s="754"/>
    </row>
    <row r="113" spans="1:44" ht="36" customHeight="1">
      <c r="A113" s="197"/>
      <c r="B113" s="90"/>
      <c r="C113" s="754" t="s">
        <v>6391</v>
      </c>
      <c r="D113" s="754"/>
      <c r="E113" s="754"/>
      <c r="F113" s="754"/>
      <c r="G113" s="754"/>
      <c r="H113" s="754"/>
      <c r="I113" s="754"/>
      <c r="J113" s="754"/>
      <c r="K113" s="754"/>
      <c r="L113" s="754"/>
      <c r="M113" s="754"/>
      <c r="N113" s="754"/>
      <c r="O113" s="754"/>
      <c r="P113" s="754"/>
      <c r="Q113" s="754"/>
      <c r="R113" s="754"/>
      <c r="S113" s="754"/>
      <c r="T113" s="754"/>
      <c r="U113" s="754"/>
      <c r="V113" s="754"/>
      <c r="W113" s="754"/>
      <c r="X113" s="754"/>
      <c r="Y113" s="754"/>
      <c r="Z113" s="754"/>
      <c r="AA113" s="754"/>
      <c r="AB113" s="754"/>
      <c r="AC113" s="754"/>
      <c r="AD113" s="754"/>
    </row>
    <row r="114" spans="1:44" ht="36" customHeight="1">
      <c r="A114" s="197"/>
      <c r="B114" s="90"/>
      <c r="C114" s="754" t="s">
        <v>6392</v>
      </c>
      <c r="D114" s="754"/>
      <c r="E114" s="754"/>
      <c r="F114" s="754"/>
      <c r="G114" s="754"/>
      <c r="H114" s="754"/>
      <c r="I114" s="754"/>
      <c r="J114" s="754"/>
      <c r="K114" s="754"/>
      <c r="L114" s="754"/>
      <c r="M114" s="754"/>
      <c r="N114" s="754"/>
      <c r="O114" s="754"/>
      <c r="P114" s="754"/>
      <c r="Q114" s="754"/>
      <c r="R114" s="754"/>
      <c r="S114" s="754"/>
      <c r="T114" s="754"/>
      <c r="U114" s="754"/>
      <c r="V114" s="754"/>
      <c r="W114" s="754"/>
      <c r="X114" s="754"/>
      <c r="Y114" s="754"/>
      <c r="Z114" s="754"/>
      <c r="AA114" s="754"/>
      <c r="AB114" s="754"/>
      <c r="AC114" s="754"/>
      <c r="AD114" s="754"/>
    </row>
    <row r="115" spans="1:44" ht="24" customHeight="1">
      <c r="A115" s="227"/>
      <c r="B115" s="90"/>
      <c r="C115" s="754" t="s">
        <v>6393</v>
      </c>
      <c r="D115" s="754"/>
      <c r="E115" s="754"/>
      <c r="F115" s="754"/>
      <c r="G115" s="754"/>
      <c r="H115" s="754"/>
      <c r="I115" s="754"/>
      <c r="J115" s="754"/>
      <c r="K115" s="754"/>
      <c r="L115" s="754"/>
      <c r="M115" s="754"/>
      <c r="N115" s="754"/>
      <c r="O115" s="754"/>
      <c r="P115" s="754"/>
      <c r="Q115" s="754"/>
      <c r="R115" s="754"/>
      <c r="S115" s="754"/>
      <c r="T115" s="754"/>
      <c r="U115" s="754"/>
      <c r="V115" s="754"/>
      <c r="W115" s="754"/>
      <c r="X115" s="754"/>
      <c r="Y115" s="754"/>
      <c r="Z115" s="754"/>
      <c r="AA115" s="754"/>
      <c r="AB115" s="754"/>
      <c r="AC115" s="754"/>
      <c r="AD115" s="754"/>
    </row>
    <row r="116" spans="1:44" ht="15" customHeight="1">
      <c r="A116" s="227"/>
      <c r="B116" s="90"/>
      <c r="C116" s="90"/>
      <c r="D116" s="90"/>
      <c r="E116" s="90"/>
      <c r="F116" s="90"/>
      <c r="G116" s="90"/>
      <c r="H116" s="90"/>
      <c r="I116" s="90"/>
      <c r="J116" s="90"/>
      <c r="K116" s="90"/>
      <c r="L116" s="90"/>
      <c r="M116" s="90"/>
      <c r="N116" s="90"/>
      <c r="O116" s="90"/>
      <c r="P116" s="90"/>
      <c r="Q116" s="90"/>
      <c r="R116" s="90"/>
      <c r="S116" s="90"/>
      <c r="T116" s="90"/>
      <c r="U116" s="90"/>
      <c r="V116" s="90"/>
      <c r="W116" s="90"/>
      <c r="X116" s="90"/>
      <c r="Y116" s="90"/>
      <c r="Z116" s="90"/>
      <c r="AA116" s="90"/>
      <c r="AB116" s="90"/>
      <c r="AC116" s="90"/>
      <c r="AD116" s="90"/>
    </row>
    <row r="117" spans="1:44" ht="24" customHeight="1">
      <c r="A117" s="227"/>
      <c r="B117" s="90"/>
      <c r="C117" s="732" t="s">
        <v>2581</v>
      </c>
      <c r="D117" s="732"/>
      <c r="E117" s="732"/>
      <c r="F117" s="732"/>
      <c r="G117" s="732"/>
      <c r="H117" s="732"/>
      <c r="I117" s="732"/>
      <c r="J117" s="732"/>
      <c r="K117" s="732"/>
      <c r="L117" s="732"/>
      <c r="M117" s="732"/>
      <c r="N117" s="732"/>
      <c r="O117" s="739" t="s">
        <v>6394</v>
      </c>
      <c r="P117" s="740"/>
      <c r="Q117" s="740"/>
      <c r="R117" s="740"/>
      <c r="S117" s="740"/>
      <c r="T117" s="740"/>
      <c r="U117" s="740"/>
      <c r="V117" s="740"/>
      <c r="W117" s="740"/>
      <c r="X117" s="740"/>
      <c r="Y117" s="740"/>
      <c r="Z117" s="740"/>
      <c r="AA117" s="740"/>
      <c r="AB117" s="740"/>
      <c r="AC117" s="740"/>
      <c r="AD117" s="741"/>
    </row>
    <row r="118" spans="1:44" ht="144" customHeight="1">
      <c r="A118" s="227"/>
      <c r="B118" s="90"/>
      <c r="C118" s="732"/>
      <c r="D118" s="732"/>
      <c r="E118" s="732"/>
      <c r="F118" s="732"/>
      <c r="G118" s="732"/>
      <c r="H118" s="732"/>
      <c r="I118" s="732"/>
      <c r="J118" s="732"/>
      <c r="K118" s="732"/>
      <c r="L118" s="732"/>
      <c r="M118" s="732"/>
      <c r="N118" s="732"/>
      <c r="O118" s="803" t="s">
        <v>2628</v>
      </c>
      <c r="P118" s="805"/>
      <c r="Q118" s="858" t="s">
        <v>3299</v>
      </c>
      <c r="R118" s="860"/>
      <c r="S118" s="858" t="s">
        <v>3267</v>
      </c>
      <c r="T118" s="860"/>
      <c r="U118" s="858" t="s">
        <v>6395</v>
      </c>
      <c r="V118" s="860"/>
      <c r="W118" s="858" t="s">
        <v>6396</v>
      </c>
      <c r="X118" s="860"/>
      <c r="Y118" s="857" t="s">
        <v>3298</v>
      </c>
      <c r="Z118" s="857"/>
      <c r="AA118" s="858" t="s">
        <v>6397</v>
      </c>
      <c r="AB118" s="860"/>
      <c r="AC118" s="857" t="s">
        <v>201</v>
      </c>
      <c r="AD118" s="857"/>
      <c r="AG118" s="683" t="s">
        <v>2586</v>
      </c>
      <c r="AH118" s="684" t="s">
        <v>2590</v>
      </c>
      <c r="AI118" s="689" t="s">
        <v>6386</v>
      </c>
      <c r="AJ118" s="685" t="s">
        <v>6347</v>
      </c>
      <c r="AK118" s="1163" t="s">
        <v>6398</v>
      </c>
      <c r="AL118" s="1163"/>
      <c r="AM118" s="1163"/>
      <c r="AN118" s="1163"/>
      <c r="AO118" s="1163"/>
      <c r="AP118" s="1163"/>
      <c r="AQ118" s="1163"/>
      <c r="AR118" s="713" t="s">
        <v>6348</v>
      </c>
    </row>
    <row r="119" spans="1:44">
      <c r="A119" s="227"/>
      <c r="B119" s="90"/>
      <c r="C119" s="43" t="s">
        <v>2516</v>
      </c>
      <c r="D119" s="796" t="str">
        <f>IF(CNSIPEE_2024_M2_Secc1!D42="","",CNSIPEE_2024_M2_Secc1!D42)</f>
        <v/>
      </c>
      <c r="E119" s="796"/>
      <c r="F119" s="796"/>
      <c r="G119" s="796"/>
      <c r="H119" s="796"/>
      <c r="I119" s="796"/>
      <c r="J119" s="796"/>
      <c r="K119" s="796"/>
      <c r="L119" s="796"/>
      <c r="M119" s="796"/>
      <c r="N119" s="796"/>
      <c r="O119" s="749"/>
      <c r="P119" s="749"/>
      <c r="Q119" s="749"/>
      <c r="R119" s="749"/>
      <c r="S119" s="749"/>
      <c r="T119" s="749"/>
      <c r="U119" s="749"/>
      <c r="V119" s="749"/>
      <c r="W119" s="749"/>
      <c r="X119" s="749"/>
      <c r="Y119" s="749"/>
      <c r="Z119" s="749"/>
      <c r="AA119" s="749"/>
      <c r="AB119" s="749"/>
      <c r="AC119" s="749"/>
      <c r="AD119" s="749"/>
      <c r="AG119" s="253">
        <f>IF(COUNTA($O$119:$AD$126)&gt;0,IF(AND(COUNTBLANK(D119)=0,$T34=1,COUNTBLANK(O119:AD119)=8),0,IF(AND(COUNTBLANK(D119)=0,$T34=2,COUNTBLANK(O119:AD119)=16),0,IF(AND(COUNTBLANK(D119)=0,$T34=9,COUNTBLANK(O119:AD119)=16),0,IF(AND(COUNTBLANK(D119)&gt;0,$T34="",COUNTBLANK(O119:AD119)=16),0,1)))),0)</f>
        <v>0</v>
      </c>
      <c r="AH119" s="253">
        <f>IF(COUNTIF(O119:AD119,"NS"),1,0)</f>
        <v>0</v>
      </c>
      <c r="AI119" s="253">
        <f>IF(OR(AA119=0,AA119="NS",AA119="NA"),0,1)</f>
        <v>0</v>
      </c>
      <c r="AJ119" s="253">
        <f>IF(O119&gt;=T34,0,1)</f>
        <v>0</v>
      </c>
      <c r="AK119" s="253">
        <f t="shared" ref="AK119:AK126" si="33">IF(COUNTIF(Q119,"NS")=0,IF(Q119&lt;=$T34,0,1),0)</f>
        <v>0</v>
      </c>
      <c r="AL119" s="253">
        <f t="shared" ref="AL119:AL126" si="34">IF(COUNTIF(S119,"NS")=0,IF(S119&lt;=$T34,0,1),0)</f>
        <v>0</v>
      </c>
      <c r="AM119" s="253">
        <f t="shared" ref="AM119:AM126" si="35">IF(COUNTIF(U119,"NS")=0,IF(U119&lt;=$T34,0,1),0)</f>
        <v>0</v>
      </c>
      <c r="AN119" s="253">
        <f t="shared" ref="AN119:AN126" si="36">IF(COUNTIF(W119,"NS")=0,IF(W119&lt;=$T34,0,1),0)</f>
        <v>0</v>
      </c>
      <c r="AO119" s="253">
        <f t="shared" ref="AO119:AO126" si="37">IF(COUNTIF(Y119,"NS")=0,IF(Y119&lt;=$T34,0,1),0)</f>
        <v>0</v>
      </c>
      <c r="AP119" s="253">
        <f t="shared" ref="AP119:AP126" si="38">IF(COUNTIF(AA119,"NS")=0,IF(AA119&lt;=$T34,0,1),0)</f>
        <v>0</v>
      </c>
      <c r="AQ119" s="253">
        <f t="shared" ref="AQ119:AQ126" si="39">IF(COUNTIF(AC119,"NS")=0,IF(AC119&lt;=$T34,0,1),0)</f>
        <v>0</v>
      </c>
      <c r="AR119" s="253">
        <f>IF(AND(SUM(Q119:AD119)=0,AH119&gt;0,O119=0),1,0)</f>
        <v>0</v>
      </c>
    </row>
    <row r="120" spans="1:44">
      <c r="A120" s="227"/>
      <c r="B120" s="90"/>
      <c r="C120" s="199" t="s">
        <v>2517</v>
      </c>
      <c r="D120" s="796" t="str">
        <f>IF(CNSIPEE_2024_M2_Secc1!D43="","",CNSIPEE_2024_M2_Secc1!D43)</f>
        <v/>
      </c>
      <c r="E120" s="796"/>
      <c r="F120" s="796"/>
      <c r="G120" s="796"/>
      <c r="H120" s="796"/>
      <c r="I120" s="796"/>
      <c r="J120" s="796"/>
      <c r="K120" s="796"/>
      <c r="L120" s="796"/>
      <c r="M120" s="796"/>
      <c r="N120" s="796"/>
      <c r="O120" s="749"/>
      <c r="P120" s="749"/>
      <c r="Q120" s="749"/>
      <c r="R120" s="749"/>
      <c r="S120" s="749"/>
      <c r="T120" s="749"/>
      <c r="U120" s="749"/>
      <c r="V120" s="749"/>
      <c r="W120" s="749"/>
      <c r="X120" s="749"/>
      <c r="Y120" s="749"/>
      <c r="Z120" s="749"/>
      <c r="AA120" s="749"/>
      <c r="AB120" s="749"/>
      <c r="AC120" s="749"/>
      <c r="AD120" s="749"/>
      <c r="AG120" s="253">
        <f t="shared" ref="AG120:AG126" si="40">IF(COUNTA($O$119:$AD$126)&gt;0,IF(AND(COUNTBLANK(D120)=0,N35=1,COUNTBLANK(O120:AD120)=8),0,IF(AND(COUNTBLANK(D120)=0,N35=2,COUNTBLANK(O120:AD120)=16),0,IF(AND(COUNTBLANK(D120)=0,N35=9,COUNTBLANK(O120:AD120)=16),0,IF(AND(COUNTBLANK(D120)&gt;0,N35="",COUNTBLANK(O120:AD120)=16),0,1)))),0)</f>
        <v>0</v>
      </c>
      <c r="AH120" s="253">
        <f t="shared" ref="AH120:AH126" si="41">IF(COUNTIF(O120:AD120,"NS"),1,0)</f>
        <v>0</v>
      </c>
      <c r="AI120" s="253">
        <f t="shared" ref="AI120:AI126" si="42">IF(OR(AA120=0,AA120="NS",AA120="NA"),0,1)</f>
        <v>0</v>
      </c>
      <c r="AJ120" s="253">
        <f t="shared" ref="AJ120:AJ126" si="43">IF(O120&gt;=T35,0,1)</f>
        <v>0</v>
      </c>
      <c r="AK120" s="253">
        <f t="shared" si="33"/>
        <v>0</v>
      </c>
      <c r="AL120" s="253">
        <f t="shared" si="34"/>
        <v>0</v>
      </c>
      <c r="AM120" s="253">
        <f t="shared" si="35"/>
        <v>0</v>
      </c>
      <c r="AN120" s="253">
        <f t="shared" si="36"/>
        <v>0</v>
      </c>
      <c r="AO120" s="253">
        <f t="shared" si="37"/>
        <v>0</v>
      </c>
      <c r="AP120" s="253">
        <f t="shared" si="38"/>
        <v>0</v>
      </c>
      <c r="AQ120" s="253">
        <f t="shared" si="39"/>
        <v>0</v>
      </c>
      <c r="AR120" s="253">
        <f t="shared" ref="AR120:AR125" si="44">IF(AND(SUM(Q120:AD120)=0,AH120&gt;0,O120=0),1,0)</f>
        <v>0</v>
      </c>
    </row>
    <row r="121" spans="1:44">
      <c r="A121" s="227"/>
      <c r="B121" s="90"/>
      <c r="C121" s="143" t="s">
        <v>2518</v>
      </c>
      <c r="D121" s="796" t="str">
        <f>IF(CNSIPEE_2024_M2_Secc1!D44="","",CNSIPEE_2024_M2_Secc1!D44)</f>
        <v/>
      </c>
      <c r="E121" s="796"/>
      <c r="F121" s="796"/>
      <c r="G121" s="796"/>
      <c r="H121" s="796"/>
      <c r="I121" s="796"/>
      <c r="J121" s="796"/>
      <c r="K121" s="796"/>
      <c r="L121" s="796"/>
      <c r="M121" s="796"/>
      <c r="N121" s="796"/>
      <c r="O121" s="749"/>
      <c r="P121" s="749"/>
      <c r="Q121" s="749"/>
      <c r="R121" s="749"/>
      <c r="S121" s="749"/>
      <c r="T121" s="749"/>
      <c r="U121" s="749"/>
      <c r="V121" s="749"/>
      <c r="W121" s="749"/>
      <c r="X121" s="749"/>
      <c r="Y121" s="749"/>
      <c r="Z121" s="749"/>
      <c r="AA121" s="749"/>
      <c r="AB121" s="749"/>
      <c r="AC121" s="749"/>
      <c r="AD121" s="749"/>
      <c r="AG121" s="253">
        <f t="shared" si="40"/>
        <v>0</v>
      </c>
      <c r="AH121" s="253">
        <f t="shared" si="41"/>
        <v>0</v>
      </c>
      <c r="AI121" s="253">
        <f t="shared" si="42"/>
        <v>0</v>
      </c>
      <c r="AJ121" s="253">
        <f t="shared" si="43"/>
        <v>0</v>
      </c>
      <c r="AK121" s="253">
        <f t="shared" si="33"/>
        <v>0</v>
      </c>
      <c r="AL121" s="253">
        <f t="shared" si="34"/>
        <v>0</v>
      </c>
      <c r="AM121" s="253">
        <f t="shared" si="35"/>
        <v>0</v>
      </c>
      <c r="AN121" s="253">
        <f t="shared" si="36"/>
        <v>0</v>
      </c>
      <c r="AO121" s="253">
        <f t="shared" si="37"/>
        <v>0</v>
      </c>
      <c r="AP121" s="253">
        <f t="shared" si="38"/>
        <v>0</v>
      </c>
      <c r="AQ121" s="253">
        <f t="shared" si="39"/>
        <v>0</v>
      </c>
      <c r="AR121" s="253">
        <f t="shared" si="44"/>
        <v>0</v>
      </c>
    </row>
    <row r="122" spans="1:44">
      <c r="A122" s="227"/>
      <c r="B122" s="90"/>
      <c r="C122" s="143" t="s">
        <v>2519</v>
      </c>
      <c r="D122" s="796" t="str">
        <f>IF(CNSIPEE_2024_M2_Secc1!D45="","",CNSIPEE_2024_M2_Secc1!D45)</f>
        <v/>
      </c>
      <c r="E122" s="796"/>
      <c r="F122" s="796"/>
      <c r="G122" s="796"/>
      <c r="H122" s="796"/>
      <c r="I122" s="796"/>
      <c r="J122" s="796"/>
      <c r="K122" s="796"/>
      <c r="L122" s="796"/>
      <c r="M122" s="796"/>
      <c r="N122" s="796"/>
      <c r="O122" s="749"/>
      <c r="P122" s="749"/>
      <c r="Q122" s="749"/>
      <c r="R122" s="749"/>
      <c r="S122" s="749"/>
      <c r="T122" s="749"/>
      <c r="U122" s="749"/>
      <c r="V122" s="749"/>
      <c r="W122" s="749"/>
      <c r="X122" s="749"/>
      <c r="Y122" s="749"/>
      <c r="Z122" s="749"/>
      <c r="AA122" s="749"/>
      <c r="AB122" s="749"/>
      <c r="AC122" s="749"/>
      <c r="AD122" s="749"/>
      <c r="AG122" s="253">
        <f t="shared" si="40"/>
        <v>0</v>
      </c>
      <c r="AH122" s="253">
        <f t="shared" si="41"/>
        <v>0</v>
      </c>
      <c r="AI122" s="253">
        <f t="shared" si="42"/>
        <v>0</v>
      </c>
      <c r="AJ122" s="253">
        <f t="shared" si="43"/>
        <v>0</v>
      </c>
      <c r="AK122" s="253">
        <f t="shared" si="33"/>
        <v>0</v>
      </c>
      <c r="AL122" s="253">
        <f t="shared" si="34"/>
        <v>0</v>
      </c>
      <c r="AM122" s="253">
        <f t="shared" si="35"/>
        <v>0</v>
      </c>
      <c r="AN122" s="253">
        <f t="shared" si="36"/>
        <v>0</v>
      </c>
      <c r="AO122" s="253">
        <f t="shared" si="37"/>
        <v>0</v>
      </c>
      <c r="AP122" s="253">
        <f t="shared" si="38"/>
        <v>0</v>
      </c>
      <c r="AQ122" s="253">
        <f t="shared" si="39"/>
        <v>0</v>
      </c>
      <c r="AR122" s="253">
        <f t="shared" si="44"/>
        <v>0</v>
      </c>
    </row>
    <row r="123" spans="1:44">
      <c r="A123" s="227"/>
      <c r="B123" s="90"/>
      <c r="C123" s="143" t="s">
        <v>2520</v>
      </c>
      <c r="D123" s="796" t="str">
        <f>IF(CNSIPEE_2024_M2_Secc1!D46="","",CNSIPEE_2024_M2_Secc1!D46)</f>
        <v/>
      </c>
      <c r="E123" s="796"/>
      <c r="F123" s="796"/>
      <c r="G123" s="796"/>
      <c r="H123" s="796"/>
      <c r="I123" s="796"/>
      <c r="J123" s="796"/>
      <c r="K123" s="796"/>
      <c r="L123" s="796"/>
      <c r="M123" s="796"/>
      <c r="N123" s="796"/>
      <c r="O123" s="749"/>
      <c r="P123" s="749"/>
      <c r="Q123" s="749"/>
      <c r="R123" s="749"/>
      <c r="S123" s="749"/>
      <c r="T123" s="749"/>
      <c r="U123" s="749"/>
      <c r="V123" s="749"/>
      <c r="W123" s="749"/>
      <c r="X123" s="749"/>
      <c r="Y123" s="749"/>
      <c r="Z123" s="749"/>
      <c r="AA123" s="749"/>
      <c r="AB123" s="749"/>
      <c r="AC123" s="749"/>
      <c r="AD123" s="749"/>
      <c r="AG123" s="253">
        <f t="shared" si="40"/>
        <v>0</v>
      </c>
      <c r="AH123" s="253">
        <f t="shared" si="41"/>
        <v>0</v>
      </c>
      <c r="AI123" s="253">
        <f t="shared" si="42"/>
        <v>0</v>
      </c>
      <c r="AJ123" s="253">
        <f t="shared" si="43"/>
        <v>0</v>
      </c>
      <c r="AK123" s="253">
        <f t="shared" si="33"/>
        <v>0</v>
      </c>
      <c r="AL123" s="253">
        <f t="shared" si="34"/>
        <v>0</v>
      </c>
      <c r="AM123" s="253">
        <f t="shared" si="35"/>
        <v>0</v>
      </c>
      <c r="AN123" s="253">
        <f t="shared" si="36"/>
        <v>0</v>
      </c>
      <c r="AO123" s="253">
        <f t="shared" si="37"/>
        <v>0</v>
      </c>
      <c r="AP123" s="253">
        <f t="shared" si="38"/>
        <v>0</v>
      </c>
      <c r="AQ123" s="253">
        <f t="shared" si="39"/>
        <v>0</v>
      </c>
      <c r="AR123" s="253">
        <f t="shared" si="44"/>
        <v>0</v>
      </c>
    </row>
    <row r="124" spans="1:44">
      <c r="A124" s="227"/>
      <c r="B124" s="90"/>
      <c r="C124" s="143" t="s">
        <v>2521</v>
      </c>
      <c r="D124" s="796" t="str">
        <f>IF(CNSIPEE_2024_M2_Secc1!D47="","",CNSIPEE_2024_M2_Secc1!D47)</f>
        <v/>
      </c>
      <c r="E124" s="796"/>
      <c r="F124" s="796"/>
      <c r="G124" s="796"/>
      <c r="H124" s="796"/>
      <c r="I124" s="796"/>
      <c r="J124" s="796"/>
      <c r="K124" s="796"/>
      <c r="L124" s="796"/>
      <c r="M124" s="796"/>
      <c r="N124" s="796"/>
      <c r="O124" s="749"/>
      <c r="P124" s="749"/>
      <c r="Q124" s="749"/>
      <c r="R124" s="749"/>
      <c r="S124" s="749"/>
      <c r="T124" s="749"/>
      <c r="U124" s="749"/>
      <c r="V124" s="749"/>
      <c r="W124" s="749"/>
      <c r="X124" s="749"/>
      <c r="Y124" s="749"/>
      <c r="Z124" s="749"/>
      <c r="AA124" s="749"/>
      <c r="AB124" s="749"/>
      <c r="AC124" s="749"/>
      <c r="AD124" s="749"/>
      <c r="AG124" s="253">
        <f t="shared" si="40"/>
        <v>0</v>
      </c>
      <c r="AH124" s="253">
        <f t="shared" si="41"/>
        <v>0</v>
      </c>
      <c r="AI124" s="253">
        <f t="shared" si="42"/>
        <v>0</v>
      </c>
      <c r="AJ124" s="253">
        <f t="shared" si="43"/>
        <v>0</v>
      </c>
      <c r="AK124" s="253">
        <f t="shared" si="33"/>
        <v>0</v>
      </c>
      <c r="AL124" s="253">
        <f t="shared" si="34"/>
        <v>0</v>
      </c>
      <c r="AM124" s="253">
        <f t="shared" si="35"/>
        <v>0</v>
      </c>
      <c r="AN124" s="253">
        <f t="shared" si="36"/>
        <v>0</v>
      </c>
      <c r="AO124" s="253">
        <f t="shared" si="37"/>
        <v>0</v>
      </c>
      <c r="AP124" s="253">
        <f t="shared" si="38"/>
        <v>0</v>
      </c>
      <c r="AQ124" s="253">
        <f t="shared" si="39"/>
        <v>0</v>
      </c>
      <c r="AR124" s="253">
        <f t="shared" si="44"/>
        <v>0</v>
      </c>
    </row>
    <row r="125" spans="1:44">
      <c r="A125" s="227"/>
      <c r="B125" s="90"/>
      <c r="C125" s="143" t="s">
        <v>2522</v>
      </c>
      <c r="D125" s="796" t="str">
        <f>IF(CNSIPEE_2024_M2_Secc1!D48="","",CNSIPEE_2024_M2_Secc1!D48)</f>
        <v/>
      </c>
      <c r="E125" s="796"/>
      <c r="F125" s="796"/>
      <c r="G125" s="796"/>
      <c r="H125" s="796"/>
      <c r="I125" s="796"/>
      <c r="J125" s="796"/>
      <c r="K125" s="796"/>
      <c r="L125" s="796"/>
      <c r="M125" s="796"/>
      <c r="N125" s="796"/>
      <c r="O125" s="749"/>
      <c r="P125" s="749"/>
      <c r="Q125" s="749"/>
      <c r="R125" s="749"/>
      <c r="S125" s="749"/>
      <c r="T125" s="749"/>
      <c r="U125" s="749"/>
      <c r="V125" s="749"/>
      <c r="W125" s="749"/>
      <c r="X125" s="749"/>
      <c r="Y125" s="749"/>
      <c r="Z125" s="749"/>
      <c r="AA125" s="749"/>
      <c r="AB125" s="749"/>
      <c r="AC125" s="749"/>
      <c r="AD125" s="749"/>
      <c r="AG125" s="253">
        <f t="shared" si="40"/>
        <v>0</v>
      </c>
      <c r="AH125" s="253">
        <f t="shared" si="41"/>
        <v>0</v>
      </c>
      <c r="AI125" s="253">
        <f t="shared" si="42"/>
        <v>0</v>
      </c>
      <c r="AJ125" s="253">
        <f t="shared" si="43"/>
        <v>0</v>
      </c>
      <c r="AK125" s="253">
        <f t="shared" si="33"/>
        <v>0</v>
      </c>
      <c r="AL125" s="253">
        <f t="shared" si="34"/>
        <v>0</v>
      </c>
      <c r="AM125" s="253">
        <f t="shared" si="35"/>
        <v>0</v>
      </c>
      <c r="AN125" s="253">
        <f t="shared" si="36"/>
        <v>0</v>
      </c>
      <c r="AO125" s="253">
        <f t="shared" si="37"/>
        <v>0</v>
      </c>
      <c r="AP125" s="253">
        <f t="shared" si="38"/>
        <v>0</v>
      </c>
      <c r="AQ125" s="253">
        <f t="shared" si="39"/>
        <v>0</v>
      </c>
      <c r="AR125" s="253">
        <f t="shared" si="44"/>
        <v>0</v>
      </c>
    </row>
    <row r="126" spans="1:44">
      <c r="A126" s="227"/>
      <c r="B126" s="90"/>
      <c r="C126" s="143" t="s">
        <v>2523</v>
      </c>
      <c r="D126" s="796" t="str">
        <f>IF(CNSIPEE_2024_M2_Secc1!D49="","",CNSIPEE_2024_M2_Secc1!D49)</f>
        <v/>
      </c>
      <c r="E126" s="796"/>
      <c r="F126" s="796"/>
      <c r="G126" s="796"/>
      <c r="H126" s="796"/>
      <c r="I126" s="796"/>
      <c r="J126" s="796"/>
      <c r="K126" s="796"/>
      <c r="L126" s="796"/>
      <c r="M126" s="796"/>
      <c r="N126" s="796"/>
      <c r="O126" s="749"/>
      <c r="P126" s="749"/>
      <c r="Q126" s="749"/>
      <c r="R126" s="749"/>
      <c r="S126" s="749"/>
      <c r="T126" s="749"/>
      <c r="U126" s="749"/>
      <c r="V126" s="749"/>
      <c r="W126" s="749"/>
      <c r="X126" s="749"/>
      <c r="Y126" s="749"/>
      <c r="Z126" s="749"/>
      <c r="AA126" s="749"/>
      <c r="AB126" s="749"/>
      <c r="AC126" s="749"/>
      <c r="AD126" s="749"/>
      <c r="AG126" s="253">
        <f t="shared" si="40"/>
        <v>0</v>
      </c>
      <c r="AH126" s="253">
        <f t="shared" si="41"/>
        <v>0</v>
      </c>
      <c r="AI126" s="253">
        <f t="shared" si="42"/>
        <v>0</v>
      </c>
      <c r="AJ126" s="253">
        <f t="shared" si="43"/>
        <v>0</v>
      </c>
      <c r="AK126" s="253">
        <f t="shared" si="33"/>
        <v>0</v>
      </c>
      <c r="AL126" s="253">
        <f t="shared" si="34"/>
        <v>0</v>
      </c>
      <c r="AM126" s="253">
        <f t="shared" si="35"/>
        <v>0</v>
      </c>
      <c r="AN126" s="253">
        <f t="shared" si="36"/>
        <v>0</v>
      </c>
      <c r="AO126" s="253">
        <f t="shared" si="37"/>
        <v>0</v>
      </c>
      <c r="AP126" s="253">
        <f t="shared" si="38"/>
        <v>0</v>
      </c>
      <c r="AQ126" s="253">
        <f t="shared" si="39"/>
        <v>0</v>
      </c>
      <c r="AR126" s="253">
        <f>IF(AND(SUM(Q126:AD126)=0,AH126&gt;0,O126=0),1,0)</f>
        <v>0</v>
      </c>
    </row>
    <row r="127" spans="1:44">
      <c r="A127" s="227"/>
      <c r="B127" s="90"/>
      <c r="C127" s="90"/>
      <c r="D127" s="90"/>
      <c r="E127" s="90"/>
      <c r="F127" s="90"/>
      <c r="G127" s="90"/>
      <c r="H127" s="90"/>
      <c r="I127" s="90"/>
      <c r="J127" s="90"/>
      <c r="K127" s="90"/>
      <c r="N127" s="117" t="s">
        <v>2649</v>
      </c>
      <c r="O127" s="732">
        <f>IF(AND(SUM(O119:P126)=0,COUNTIF(O119:P126,"NS")&gt;0),"NS",IF(AND(SUM(O119:P126)=0,COUNTIF(O119:P126,0)&gt;0),0,IF(AND(SUM(O119:P126)=0,COUNTIF(O119:P126,"NA")&gt;0),"NA",SUM(O119:P126))))</f>
        <v>0</v>
      </c>
      <c r="P127" s="1161"/>
      <c r="Q127" s="732">
        <f>IF(AND(SUM(Q119:R126)=0,COUNTIF(Q119:R126,"NS")&gt;0),"NS",IF(AND(SUM(Q119:R126)=0,COUNTIF(Q119:R126,0)&gt;0),0,IF(AND(SUM(Q119:R126)=0,COUNTIF(Q119:R126,"NA")&gt;0),"NA",SUM(Q119:R126))))</f>
        <v>0</v>
      </c>
      <c r="R127" s="1161"/>
      <c r="S127" s="732">
        <f>IF(AND(SUM(S119:T126)=0,COUNTIF(S119:T126,"NS")&gt;0),"NS",IF(AND(SUM(S119:T126)=0,COUNTIF(S119:T126,0)&gt;0),0,IF(AND(SUM(S119:T126)=0,COUNTIF(S119:T126,"NA")&gt;0),"NA",SUM(S119:T126))))</f>
        <v>0</v>
      </c>
      <c r="T127" s="1161"/>
      <c r="U127" s="732">
        <f>IF(AND(SUM(U119:V126)=0,COUNTIF(U119:V126,"NS")&gt;0),"NS",IF(AND(SUM(U119:V126)=0,COUNTIF(U119:V126,0)&gt;0),0,IF(AND(SUM(U119:V126)=0,COUNTIF(U119:V126,"NA")&gt;0),"NA",SUM(U119:V126))))</f>
        <v>0</v>
      </c>
      <c r="V127" s="1161"/>
      <c r="W127" s="732">
        <f>IF(AND(SUM(W119:X126)=0,COUNTIF(W119:X126,"NS")&gt;0),"NS",IF(AND(SUM(W119:X126)=0,COUNTIF(W119:X126,0)&gt;0),0,IF(AND(SUM(W119:X126)=0,COUNTIF(W119:X126,"NA")&gt;0),"NA",SUM(W119:X126))))</f>
        <v>0</v>
      </c>
      <c r="X127" s="1161"/>
      <c r="Y127" s="732">
        <f>IF(AND(SUM(Y119:Z126)=0,COUNTIF(Y119:Z126,"NS")&gt;0),"NS",IF(AND(SUM(Y119:Z126)=0,COUNTIF(Y119:Z126,0)&gt;0),0,IF(AND(SUM(Y119:Z126)=0,COUNTIF(Y119:Z126,"NA")&gt;0),"NA",SUM(Y119:Z126))))</f>
        <v>0</v>
      </c>
      <c r="Z127" s="1161"/>
      <c r="AA127" s="732">
        <f>IF(AND(SUM(AA119:AB126)=0,COUNTIF(AA119:AB126,"NS")&gt;0),"NS",IF(AND(SUM(AA119:AB126)=0,COUNTIF(AA119:AB126,0)&gt;0),0,IF(AND(SUM(AA119:AB126)=0,COUNTIF(AA119:AB126,"NA")&gt;0),"NA",SUM(AA119:AB126))))</f>
        <v>0</v>
      </c>
      <c r="AB127" s="1161"/>
      <c r="AC127" s="732">
        <f>IF(AND(SUM(AC119:AD126)=0,COUNTIF(AC119:AD126,"NS")&gt;0),"NS",IF(AND(SUM(AC119:AD126)=0,COUNTIF(AC119:AD126,0)&gt;0),0,IF(AND(SUM(AC119:AD126)=0,COUNTIF(AC119:AD126,"NA")&gt;0),"NA",SUM(AC119:AD126))))</f>
        <v>0</v>
      </c>
      <c r="AD127" s="1161"/>
      <c r="AG127" s="683">
        <f>SUM(AG119:AG126)</f>
        <v>0</v>
      </c>
      <c r="AH127" s="684">
        <f>SUM(AH119:AH126)</f>
        <v>0</v>
      </c>
      <c r="AI127" s="689">
        <f>SUM(AI119:AI126)</f>
        <v>0</v>
      </c>
      <c r="AJ127" s="685">
        <f>SUM(AJ119:AJ126)</f>
        <v>0</v>
      </c>
      <c r="AK127" s="690">
        <f>SUM(AK119:AQ126)</f>
        <v>0</v>
      </c>
      <c r="AR127" s="713">
        <f>SUM(AR119:AR126)</f>
        <v>0</v>
      </c>
    </row>
    <row r="128" spans="1:44" ht="15" customHeight="1">
      <c r="A128" s="227"/>
      <c r="B128" s="90"/>
      <c r="C128" s="90"/>
      <c r="D128" s="90"/>
      <c r="E128" s="90"/>
      <c r="F128" s="90"/>
      <c r="G128" s="90"/>
      <c r="H128" s="90"/>
      <c r="I128" s="90"/>
      <c r="J128" s="90"/>
      <c r="K128" s="90"/>
      <c r="L128" s="90"/>
      <c r="M128" s="90"/>
      <c r="N128" s="90"/>
      <c r="O128" s="90"/>
      <c r="P128" s="90"/>
      <c r="Q128" s="90"/>
      <c r="R128" s="90"/>
      <c r="S128" s="90"/>
      <c r="T128" s="90"/>
      <c r="U128" s="90"/>
      <c r="V128" s="90"/>
      <c r="W128" s="90"/>
      <c r="X128" s="90"/>
      <c r="Y128" s="90"/>
      <c r="Z128" s="90"/>
      <c r="AA128" s="90"/>
      <c r="AB128" s="90"/>
      <c r="AC128" s="90"/>
      <c r="AD128" s="90"/>
    </row>
    <row r="129" spans="1:31" ht="45" customHeight="1">
      <c r="A129" s="227"/>
      <c r="B129" s="90"/>
      <c r="C129" s="822" t="s">
        <v>6399</v>
      </c>
      <c r="D129" s="822"/>
      <c r="E129" s="822"/>
      <c r="F129" s="823"/>
      <c r="G129" s="816"/>
      <c r="H129" s="738"/>
      <c r="I129" s="738"/>
      <c r="J129" s="738"/>
      <c r="K129" s="738"/>
      <c r="L129" s="738"/>
      <c r="M129" s="738"/>
      <c r="N129" s="738"/>
      <c r="O129" s="738"/>
      <c r="P129" s="738"/>
      <c r="Q129" s="738"/>
      <c r="R129" s="738"/>
      <c r="S129" s="738"/>
      <c r="T129" s="738"/>
      <c r="U129" s="738"/>
      <c r="V129" s="738"/>
      <c r="W129" s="738"/>
      <c r="X129" s="738"/>
      <c r="Y129" s="738"/>
      <c r="Z129" s="738"/>
      <c r="AA129" s="738"/>
      <c r="AB129" s="738"/>
      <c r="AC129" s="738"/>
      <c r="AD129" s="817"/>
    </row>
    <row r="130" spans="1:31" ht="15" customHeight="1">
      <c r="A130" s="227"/>
      <c r="B130" s="794" t="str">
        <f>IF(AND(AI127&gt;0,G129="")," Debido a que cuenta con registros en el apartado Otra autoridad, debe anotar el nombre de dicha(s) autoridad(es)","")</f>
        <v/>
      </c>
      <c r="C130" s="794"/>
      <c r="D130" s="794"/>
      <c r="E130" s="794"/>
      <c r="F130" s="794"/>
      <c r="G130" s="794"/>
      <c r="H130" s="794"/>
      <c r="I130" s="794"/>
      <c r="J130" s="794"/>
      <c r="K130" s="794"/>
      <c r="L130" s="794"/>
      <c r="M130" s="794"/>
      <c r="N130" s="794"/>
      <c r="O130" s="794"/>
      <c r="P130" s="794"/>
      <c r="Q130" s="794"/>
      <c r="R130" s="794"/>
      <c r="S130" s="794"/>
      <c r="T130" s="794"/>
      <c r="U130" s="794"/>
      <c r="V130" s="794"/>
      <c r="W130" s="794"/>
      <c r="X130" s="794"/>
      <c r="Y130" s="794"/>
      <c r="Z130" s="794"/>
      <c r="AA130" s="794"/>
      <c r="AB130" s="794"/>
      <c r="AC130" s="794"/>
      <c r="AD130" s="794"/>
      <c r="AE130" s="794"/>
    </row>
    <row r="131" spans="1:31" ht="24" customHeight="1">
      <c r="A131" s="227"/>
      <c r="B131" s="90"/>
      <c r="C131" s="754" t="s">
        <v>2611</v>
      </c>
      <c r="D131" s="754"/>
      <c r="E131" s="754"/>
      <c r="F131" s="754"/>
      <c r="G131" s="754"/>
      <c r="H131" s="754"/>
      <c r="I131" s="754"/>
      <c r="J131" s="754"/>
      <c r="K131" s="754"/>
      <c r="L131" s="754"/>
      <c r="M131" s="754"/>
      <c r="N131" s="754"/>
      <c r="O131" s="754"/>
      <c r="P131" s="754"/>
      <c r="Q131" s="754"/>
      <c r="R131" s="754"/>
      <c r="S131" s="754"/>
      <c r="T131" s="754"/>
      <c r="U131" s="754"/>
      <c r="V131" s="754"/>
      <c r="W131" s="754"/>
      <c r="X131" s="754"/>
      <c r="Y131" s="754"/>
      <c r="Z131" s="754"/>
      <c r="AA131" s="754"/>
      <c r="AB131" s="754"/>
      <c r="AC131" s="754"/>
      <c r="AD131" s="754"/>
    </row>
    <row r="132" spans="1:31" ht="60" customHeight="1">
      <c r="A132" s="227"/>
      <c r="B132" s="90"/>
      <c r="C132" s="851"/>
      <c r="D132" s="851"/>
      <c r="E132" s="851"/>
      <c r="F132" s="851"/>
      <c r="G132" s="851"/>
      <c r="H132" s="851"/>
      <c r="I132" s="851"/>
      <c r="J132" s="851"/>
      <c r="K132" s="851"/>
      <c r="L132" s="851"/>
      <c r="M132" s="851"/>
      <c r="N132" s="851"/>
      <c r="O132" s="851"/>
      <c r="P132" s="851"/>
      <c r="Q132" s="851"/>
      <c r="R132" s="851"/>
      <c r="S132" s="851"/>
      <c r="T132" s="851"/>
      <c r="U132" s="851"/>
      <c r="V132" s="851"/>
      <c r="W132" s="851"/>
      <c r="X132" s="851"/>
      <c r="Y132" s="851"/>
      <c r="Z132" s="851"/>
      <c r="AA132" s="851"/>
      <c r="AB132" s="851"/>
      <c r="AC132" s="851"/>
      <c r="AD132" s="851"/>
    </row>
    <row r="133" spans="1:31" ht="15" customHeight="1">
      <c r="A133" s="227"/>
      <c r="B133" s="794" t="str">
        <f>IF(AG127&gt;0,"Favor de ingresar toda la información requerida en la pregunta y/o verifique que no tenga información en celdas sombreadas","")</f>
        <v/>
      </c>
      <c r="C133" s="794"/>
      <c r="D133" s="794"/>
      <c r="E133" s="794"/>
      <c r="F133" s="794"/>
      <c r="G133" s="794"/>
      <c r="H133" s="794"/>
      <c r="I133" s="794"/>
      <c r="J133" s="794"/>
      <c r="K133" s="794"/>
      <c r="L133" s="794"/>
      <c r="M133" s="794"/>
      <c r="N133" s="794"/>
      <c r="O133" s="794"/>
      <c r="P133" s="794"/>
      <c r="Q133" s="794"/>
      <c r="R133" s="794"/>
      <c r="S133" s="794"/>
      <c r="T133" s="794"/>
      <c r="U133" s="794"/>
      <c r="V133" s="794"/>
      <c r="W133" s="794"/>
      <c r="X133" s="794"/>
      <c r="Y133" s="794"/>
      <c r="Z133" s="794"/>
      <c r="AA133" s="794"/>
      <c r="AB133" s="794"/>
      <c r="AC133" s="794"/>
      <c r="AD133" s="794"/>
      <c r="AE133" s="794"/>
    </row>
    <row r="134" spans="1:31" ht="15" customHeight="1">
      <c r="A134" s="227"/>
      <c r="B134" s="795" t="str">
        <f>IF(AH127&lt;&gt;0,"Alerta: debido a que cuenta con registros NS, debe proporcionar una justificación en el area de comentarios al final de la pregunta","")</f>
        <v/>
      </c>
      <c r="C134" s="795"/>
      <c r="D134" s="795"/>
      <c r="E134" s="795"/>
      <c r="F134" s="795"/>
      <c r="G134" s="795"/>
      <c r="H134" s="795"/>
      <c r="I134" s="795"/>
      <c r="J134" s="795"/>
      <c r="K134" s="795"/>
      <c r="L134" s="795"/>
      <c r="M134" s="795"/>
      <c r="N134" s="795"/>
      <c r="O134" s="795"/>
      <c r="P134" s="795"/>
      <c r="Q134" s="795"/>
      <c r="R134" s="795"/>
      <c r="S134" s="795"/>
      <c r="T134" s="795"/>
      <c r="U134" s="795"/>
      <c r="V134" s="795"/>
      <c r="W134" s="795"/>
      <c r="X134" s="795"/>
      <c r="Y134" s="795"/>
      <c r="Z134" s="795"/>
      <c r="AA134" s="795"/>
      <c r="AB134" s="795"/>
      <c r="AC134" s="795"/>
      <c r="AD134" s="795"/>
      <c r="AE134" s="795"/>
    </row>
    <row r="135" spans="1:31" ht="15" customHeight="1">
      <c r="A135" s="227"/>
      <c r="B135" s="794" t="str">
        <f>IF(AJ127&gt;0,"Revisar la instrucción 3, debido a que la suma de las quejas registradas son menores al total general de la fila respectiva","")</f>
        <v/>
      </c>
      <c r="C135" s="794"/>
      <c r="D135" s="794"/>
      <c r="E135" s="794"/>
      <c r="F135" s="794"/>
      <c r="G135" s="794"/>
      <c r="H135" s="794"/>
      <c r="I135" s="794"/>
      <c r="J135" s="794"/>
      <c r="K135" s="794"/>
      <c r="L135" s="794"/>
      <c r="M135" s="794"/>
      <c r="N135" s="794"/>
      <c r="O135" s="794"/>
      <c r="P135" s="794"/>
      <c r="Q135" s="794"/>
      <c r="R135" s="794"/>
      <c r="S135" s="794"/>
      <c r="T135" s="794"/>
      <c r="U135" s="794"/>
      <c r="V135" s="794"/>
      <c r="W135" s="794"/>
      <c r="X135" s="794"/>
      <c r="Y135" s="794"/>
      <c r="Z135" s="794"/>
      <c r="AA135" s="794"/>
      <c r="AB135" s="794"/>
      <c r="AC135" s="794"/>
      <c r="AD135" s="794"/>
      <c r="AE135" s="794"/>
    </row>
    <row r="136" spans="1:31" ht="15" customHeight="1">
      <c r="A136" s="227"/>
      <c r="B136" s="794" t="str">
        <f>IF(AK127&gt;0,"Revisar la instrucción 4, debido a que cada queja registrada debe ser igual o menor al total general de la fila respectiva","")</f>
        <v/>
      </c>
      <c r="C136" s="794"/>
      <c r="D136" s="794"/>
      <c r="E136" s="794"/>
      <c r="F136" s="794"/>
      <c r="G136" s="794"/>
      <c r="H136" s="794"/>
      <c r="I136" s="794"/>
      <c r="J136" s="794"/>
      <c r="K136" s="794"/>
      <c r="L136" s="794"/>
      <c r="M136" s="794"/>
      <c r="N136" s="794"/>
      <c r="O136" s="794"/>
      <c r="P136" s="794"/>
      <c r="Q136" s="794"/>
      <c r="R136" s="794"/>
      <c r="S136" s="794"/>
      <c r="T136" s="794"/>
      <c r="U136" s="794"/>
      <c r="V136" s="794"/>
      <c r="W136" s="794"/>
      <c r="X136" s="794"/>
      <c r="Y136" s="794"/>
      <c r="Z136" s="794"/>
      <c r="AA136" s="794"/>
      <c r="AB136" s="794"/>
      <c r="AC136" s="794"/>
      <c r="AD136" s="794"/>
      <c r="AE136" s="794"/>
    </row>
    <row r="137" spans="1:31" ht="15" customHeight="1">
      <c r="A137" s="227"/>
      <c r="B137" s="794" t="str">
        <f>IF(AR127=0,"","Error: revisar por filas la consistencia entre la columna Total y las desagregaciones")</f>
        <v/>
      </c>
      <c r="C137" s="794"/>
      <c r="D137" s="794"/>
      <c r="E137" s="794"/>
      <c r="F137" s="794"/>
      <c r="G137" s="794"/>
      <c r="H137" s="794"/>
      <c r="I137" s="794"/>
      <c r="J137" s="794"/>
      <c r="K137" s="794"/>
      <c r="L137" s="794"/>
      <c r="M137" s="794"/>
      <c r="N137" s="794"/>
      <c r="O137" s="794"/>
      <c r="P137" s="794"/>
      <c r="Q137" s="794"/>
      <c r="R137" s="794"/>
      <c r="S137" s="794"/>
      <c r="T137" s="794"/>
      <c r="U137" s="794"/>
      <c r="V137" s="794"/>
      <c r="W137" s="794"/>
      <c r="X137" s="794"/>
      <c r="Y137" s="794"/>
      <c r="Z137" s="794"/>
      <c r="AA137" s="794"/>
      <c r="AB137" s="794"/>
      <c r="AC137" s="794"/>
      <c r="AD137" s="794"/>
    </row>
    <row r="138" spans="1:31" ht="15" customHeight="1" thickBot="1">
      <c r="A138" s="227"/>
      <c r="B138" s="90"/>
      <c r="C138" s="90"/>
      <c r="D138" s="90"/>
      <c r="E138" s="90"/>
      <c r="F138" s="90"/>
      <c r="G138" s="90"/>
      <c r="H138" s="90"/>
      <c r="I138" s="90"/>
      <c r="J138" s="90"/>
      <c r="K138" s="90"/>
      <c r="L138" s="90"/>
      <c r="M138" s="90"/>
      <c r="N138" s="90"/>
      <c r="O138" s="90"/>
      <c r="P138" s="90"/>
      <c r="Q138" s="90"/>
      <c r="R138" s="90"/>
      <c r="S138" s="90"/>
      <c r="T138" s="90"/>
      <c r="U138" s="90"/>
      <c r="V138" s="90"/>
      <c r="W138" s="90"/>
      <c r="X138" s="90"/>
      <c r="Y138" s="90"/>
      <c r="Z138" s="90"/>
      <c r="AA138" s="90"/>
      <c r="AB138" s="90"/>
      <c r="AC138" s="90"/>
      <c r="AD138" s="90"/>
    </row>
    <row r="139" spans="1:31" customFormat="1" ht="15" customHeight="1" thickBot="1">
      <c r="A139" s="19" t="s">
        <v>2563</v>
      </c>
      <c r="B139" s="831" t="s">
        <v>6400</v>
      </c>
      <c r="C139" s="832"/>
      <c r="D139" s="832"/>
      <c r="E139" s="832"/>
      <c r="F139" s="832"/>
      <c r="G139" s="832"/>
      <c r="H139" s="832"/>
      <c r="I139" s="832"/>
      <c r="J139" s="832"/>
      <c r="K139" s="832"/>
      <c r="L139" s="832"/>
      <c r="M139" s="832"/>
      <c r="N139" s="832"/>
      <c r="O139" s="832"/>
      <c r="P139" s="832"/>
      <c r="Q139" s="832"/>
      <c r="R139" s="832"/>
      <c r="S139" s="832"/>
      <c r="T139" s="832"/>
      <c r="U139" s="832"/>
      <c r="V139" s="832"/>
      <c r="W139" s="832"/>
      <c r="X139" s="832"/>
      <c r="Y139" s="832"/>
      <c r="Z139" s="832"/>
      <c r="AA139" s="832"/>
      <c r="AB139" s="832"/>
      <c r="AC139" s="832"/>
      <c r="AD139" s="833"/>
      <c r="AE139" s="3"/>
    </row>
    <row r="140" spans="1:31">
      <c r="A140" s="170"/>
      <c r="B140" s="838" t="s">
        <v>2948</v>
      </c>
      <c r="C140" s="839"/>
      <c r="D140" s="839"/>
      <c r="E140" s="839"/>
      <c r="F140" s="839"/>
      <c r="G140" s="839"/>
      <c r="H140" s="839"/>
      <c r="I140" s="839"/>
      <c r="J140" s="839"/>
      <c r="K140" s="839"/>
      <c r="L140" s="839"/>
      <c r="M140" s="839"/>
      <c r="N140" s="839"/>
      <c r="O140" s="839"/>
      <c r="P140" s="839"/>
      <c r="Q140" s="839"/>
      <c r="R140" s="839"/>
      <c r="S140" s="839"/>
      <c r="T140" s="839"/>
      <c r="U140" s="839"/>
      <c r="V140" s="839"/>
      <c r="W140" s="839"/>
      <c r="X140" s="839"/>
      <c r="Y140" s="839"/>
      <c r="Z140" s="839"/>
      <c r="AA140" s="839"/>
      <c r="AB140" s="839"/>
      <c r="AC140" s="839"/>
      <c r="AD140" s="840"/>
    </row>
    <row r="141" spans="1:31" ht="24" customHeight="1">
      <c r="A141" s="115"/>
      <c r="B141" s="159"/>
      <c r="C141" s="764" t="s">
        <v>6401</v>
      </c>
      <c r="D141" s="764"/>
      <c r="E141" s="764"/>
      <c r="F141" s="764"/>
      <c r="G141" s="764"/>
      <c r="H141" s="764"/>
      <c r="I141" s="764"/>
      <c r="J141" s="764"/>
      <c r="K141" s="764"/>
      <c r="L141" s="764"/>
      <c r="M141" s="764"/>
      <c r="N141" s="764"/>
      <c r="O141" s="764"/>
      <c r="P141" s="764"/>
      <c r="Q141" s="764"/>
      <c r="R141" s="764"/>
      <c r="S141" s="764"/>
      <c r="T141" s="764"/>
      <c r="U141" s="764"/>
      <c r="V141" s="764"/>
      <c r="W141" s="764"/>
      <c r="X141" s="764"/>
      <c r="Y141" s="764"/>
      <c r="Z141" s="764"/>
      <c r="AA141" s="764"/>
      <c r="AB141" s="764"/>
      <c r="AC141" s="764"/>
      <c r="AD141" s="765"/>
    </row>
    <row r="142" spans="1:31" ht="15" customHeight="1">
      <c r="A142" s="108"/>
      <c r="B142" s="838" t="s">
        <v>2565</v>
      </c>
      <c r="C142" s="839"/>
      <c r="D142" s="839"/>
      <c r="E142" s="839"/>
      <c r="F142" s="839"/>
      <c r="G142" s="839"/>
      <c r="H142" s="839"/>
      <c r="I142" s="839"/>
      <c r="J142" s="839"/>
      <c r="K142" s="839"/>
      <c r="L142" s="839"/>
      <c r="M142" s="839"/>
      <c r="N142" s="839"/>
      <c r="O142" s="839"/>
      <c r="P142" s="839"/>
      <c r="Q142" s="839"/>
      <c r="R142" s="839"/>
      <c r="S142" s="839"/>
      <c r="T142" s="839"/>
      <c r="U142" s="839"/>
      <c r="V142" s="839"/>
      <c r="W142" s="839"/>
      <c r="X142" s="839"/>
      <c r="Y142" s="839"/>
      <c r="Z142" s="839"/>
      <c r="AA142" s="839"/>
      <c r="AB142" s="839"/>
      <c r="AC142" s="839"/>
      <c r="AD142" s="840"/>
    </row>
    <row r="143" spans="1:31" ht="72" customHeight="1">
      <c r="A143" s="108"/>
      <c r="B143" s="74"/>
      <c r="C143" s="754" t="s">
        <v>6402</v>
      </c>
      <c r="D143" s="754"/>
      <c r="E143" s="754"/>
      <c r="F143" s="754"/>
      <c r="G143" s="754"/>
      <c r="H143" s="754"/>
      <c r="I143" s="754"/>
      <c r="J143" s="754"/>
      <c r="K143" s="754"/>
      <c r="L143" s="754"/>
      <c r="M143" s="754"/>
      <c r="N143" s="754"/>
      <c r="O143" s="754"/>
      <c r="P143" s="754"/>
      <c r="Q143" s="754"/>
      <c r="R143" s="754"/>
      <c r="S143" s="754"/>
      <c r="T143" s="754"/>
      <c r="U143" s="754"/>
      <c r="V143" s="754"/>
      <c r="W143" s="754"/>
      <c r="X143" s="754"/>
      <c r="Y143" s="754"/>
      <c r="Z143" s="754"/>
      <c r="AA143" s="754"/>
      <c r="AB143" s="754"/>
      <c r="AC143" s="754"/>
      <c r="AD143" s="755"/>
    </row>
    <row r="144" spans="1:31" ht="60" customHeight="1">
      <c r="A144" s="108"/>
      <c r="B144" s="74"/>
      <c r="C144" s="754" t="s">
        <v>6403</v>
      </c>
      <c r="D144" s="754"/>
      <c r="E144" s="754"/>
      <c r="F144" s="754"/>
      <c r="G144" s="754"/>
      <c r="H144" s="754"/>
      <c r="I144" s="754"/>
      <c r="J144" s="754"/>
      <c r="K144" s="754"/>
      <c r="L144" s="754"/>
      <c r="M144" s="754"/>
      <c r="N144" s="754"/>
      <c r="O144" s="754"/>
      <c r="P144" s="754"/>
      <c r="Q144" s="754"/>
      <c r="R144" s="754"/>
      <c r="S144" s="754"/>
      <c r="T144" s="754"/>
      <c r="U144" s="754"/>
      <c r="V144" s="754"/>
      <c r="W144" s="754"/>
      <c r="X144" s="754"/>
      <c r="Y144" s="754"/>
      <c r="Z144" s="754"/>
      <c r="AA144" s="754"/>
      <c r="AB144" s="754"/>
      <c r="AC144" s="754"/>
      <c r="AD144" s="755"/>
    </row>
    <row r="145" spans="1:35" ht="60" customHeight="1">
      <c r="A145" s="50"/>
      <c r="B145" s="74"/>
      <c r="C145" s="75"/>
      <c r="D145" s="754" t="s">
        <v>6404</v>
      </c>
      <c r="E145" s="754"/>
      <c r="F145" s="754"/>
      <c r="G145" s="754"/>
      <c r="H145" s="754"/>
      <c r="I145" s="754"/>
      <c r="J145" s="754"/>
      <c r="K145" s="754"/>
      <c r="L145" s="754"/>
      <c r="M145" s="754"/>
      <c r="N145" s="754"/>
      <c r="O145" s="754"/>
      <c r="P145" s="754"/>
      <c r="Q145" s="754"/>
      <c r="R145" s="754"/>
      <c r="S145" s="754"/>
      <c r="T145" s="754"/>
      <c r="U145" s="754"/>
      <c r="V145" s="754"/>
      <c r="W145" s="754"/>
      <c r="X145" s="754"/>
      <c r="Y145" s="754"/>
      <c r="Z145" s="754"/>
      <c r="AA145" s="754"/>
      <c r="AB145" s="754"/>
      <c r="AC145" s="754"/>
      <c r="AD145" s="755"/>
    </row>
    <row r="146" spans="1:35" ht="36" customHeight="1">
      <c r="A146" s="50"/>
      <c r="B146" s="74"/>
      <c r="C146" s="75"/>
      <c r="D146" s="754" t="s">
        <v>6405</v>
      </c>
      <c r="E146" s="754"/>
      <c r="F146" s="754"/>
      <c r="G146" s="754"/>
      <c r="H146" s="754"/>
      <c r="I146" s="754"/>
      <c r="J146" s="754"/>
      <c r="K146" s="754"/>
      <c r="L146" s="754"/>
      <c r="M146" s="754"/>
      <c r="N146" s="754"/>
      <c r="O146" s="754"/>
      <c r="P146" s="754"/>
      <c r="Q146" s="754"/>
      <c r="R146" s="754"/>
      <c r="S146" s="754"/>
      <c r="T146" s="754"/>
      <c r="U146" s="754"/>
      <c r="V146" s="754"/>
      <c r="W146" s="754"/>
      <c r="X146" s="754"/>
      <c r="Y146" s="754"/>
      <c r="Z146" s="754"/>
      <c r="AA146" s="754"/>
      <c r="AB146" s="754"/>
      <c r="AC146" s="754"/>
      <c r="AD146" s="755"/>
    </row>
    <row r="147" spans="1:35" ht="36" customHeight="1">
      <c r="A147" s="50"/>
      <c r="B147" s="74"/>
      <c r="C147" s="77"/>
      <c r="D147" s="754" t="s">
        <v>6406</v>
      </c>
      <c r="E147" s="754"/>
      <c r="F147" s="754"/>
      <c r="G147" s="754"/>
      <c r="H147" s="754"/>
      <c r="I147" s="754"/>
      <c r="J147" s="754"/>
      <c r="K147" s="754"/>
      <c r="L147" s="754"/>
      <c r="M147" s="754"/>
      <c r="N147" s="754"/>
      <c r="O147" s="754"/>
      <c r="P147" s="754"/>
      <c r="Q147" s="754"/>
      <c r="R147" s="754"/>
      <c r="S147" s="754"/>
      <c r="T147" s="754"/>
      <c r="U147" s="754"/>
      <c r="V147" s="754"/>
      <c r="W147" s="754"/>
      <c r="X147" s="754"/>
      <c r="Y147" s="754"/>
      <c r="Z147" s="754"/>
      <c r="AA147" s="754"/>
      <c r="AB147" s="754"/>
      <c r="AC147" s="754"/>
      <c r="AD147" s="755"/>
    </row>
    <row r="148" spans="1:35" ht="48" customHeight="1">
      <c r="A148" s="50"/>
      <c r="B148" s="74"/>
      <c r="C148" s="77"/>
      <c r="D148" s="754" t="s">
        <v>6407</v>
      </c>
      <c r="E148" s="754"/>
      <c r="F148" s="754"/>
      <c r="G148" s="754"/>
      <c r="H148" s="754"/>
      <c r="I148" s="754"/>
      <c r="J148" s="754"/>
      <c r="K148" s="754"/>
      <c r="L148" s="754"/>
      <c r="M148" s="754"/>
      <c r="N148" s="754"/>
      <c r="O148" s="754"/>
      <c r="P148" s="754"/>
      <c r="Q148" s="754"/>
      <c r="R148" s="754"/>
      <c r="S148" s="754"/>
      <c r="T148" s="754"/>
      <c r="U148" s="754"/>
      <c r="V148" s="754"/>
      <c r="W148" s="754"/>
      <c r="X148" s="754"/>
      <c r="Y148" s="754"/>
      <c r="Z148" s="754"/>
      <c r="AA148" s="754"/>
      <c r="AB148" s="754"/>
      <c r="AC148" s="754"/>
      <c r="AD148" s="755"/>
    </row>
    <row r="149" spans="1:35" ht="60" customHeight="1">
      <c r="A149" s="108"/>
      <c r="B149" s="74"/>
      <c r="C149" s="77"/>
      <c r="D149" s="754" t="s">
        <v>6408</v>
      </c>
      <c r="E149" s="754"/>
      <c r="F149" s="754"/>
      <c r="G149" s="754"/>
      <c r="H149" s="754"/>
      <c r="I149" s="754"/>
      <c r="J149" s="754"/>
      <c r="K149" s="754"/>
      <c r="L149" s="754"/>
      <c r="M149" s="754"/>
      <c r="N149" s="754"/>
      <c r="O149" s="754"/>
      <c r="P149" s="754"/>
      <c r="Q149" s="754"/>
      <c r="R149" s="754"/>
      <c r="S149" s="754"/>
      <c r="T149" s="754"/>
      <c r="U149" s="754"/>
      <c r="V149" s="754"/>
      <c r="W149" s="754"/>
      <c r="X149" s="754"/>
      <c r="Y149" s="754"/>
      <c r="Z149" s="754"/>
      <c r="AA149" s="754"/>
      <c r="AB149" s="754"/>
      <c r="AC149" s="754"/>
      <c r="AD149" s="755"/>
    </row>
    <row r="150" spans="1:35" ht="36" customHeight="1">
      <c r="A150" s="50"/>
      <c r="B150" s="114"/>
      <c r="C150" s="764" t="s">
        <v>6409</v>
      </c>
      <c r="D150" s="876"/>
      <c r="E150" s="876"/>
      <c r="F150" s="876"/>
      <c r="G150" s="876"/>
      <c r="H150" s="876"/>
      <c r="I150" s="876"/>
      <c r="J150" s="876"/>
      <c r="K150" s="876"/>
      <c r="L150" s="876"/>
      <c r="M150" s="876"/>
      <c r="N150" s="876"/>
      <c r="O150" s="876"/>
      <c r="P150" s="876"/>
      <c r="Q150" s="876"/>
      <c r="R150" s="876"/>
      <c r="S150" s="876"/>
      <c r="T150" s="876"/>
      <c r="U150" s="876"/>
      <c r="V150" s="876"/>
      <c r="W150" s="876"/>
      <c r="X150" s="876"/>
      <c r="Y150" s="876"/>
      <c r="Z150" s="876"/>
      <c r="AA150" s="876"/>
      <c r="AB150" s="876"/>
      <c r="AC150" s="876"/>
      <c r="AD150" s="877"/>
    </row>
    <row r="151" spans="1:35">
      <c r="A151" s="170"/>
    </row>
    <row r="152" spans="1:35" ht="24" customHeight="1">
      <c r="A152" s="49" t="s">
        <v>6410</v>
      </c>
      <c r="B152" s="829" t="s">
        <v>6411</v>
      </c>
      <c r="C152" s="829"/>
      <c r="D152" s="829"/>
      <c r="E152" s="829"/>
      <c r="F152" s="829"/>
      <c r="G152" s="829"/>
      <c r="H152" s="829"/>
      <c r="I152" s="829"/>
      <c r="J152" s="829"/>
      <c r="K152" s="829"/>
      <c r="L152" s="829"/>
      <c r="M152" s="829"/>
      <c r="N152" s="829"/>
      <c r="O152" s="829"/>
      <c r="P152" s="829"/>
      <c r="Q152" s="829"/>
      <c r="R152" s="829"/>
      <c r="S152" s="829"/>
      <c r="T152" s="829"/>
      <c r="U152" s="829"/>
      <c r="V152" s="829"/>
      <c r="W152" s="829"/>
      <c r="X152" s="829"/>
      <c r="Y152" s="829"/>
      <c r="Z152" s="829"/>
      <c r="AA152" s="829"/>
      <c r="AB152" s="829"/>
      <c r="AC152" s="829"/>
      <c r="AD152" s="829"/>
    </row>
    <row r="153" spans="1:35" ht="36" customHeight="1">
      <c r="A153" s="197"/>
      <c r="B153" s="38"/>
      <c r="C153" s="830" t="s">
        <v>6412</v>
      </c>
      <c r="D153" s="830"/>
      <c r="E153" s="830"/>
      <c r="F153" s="830"/>
      <c r="G153" s="830"/>
      <c r="H153" s="830"/>
      <c r="I153" s="830"/>
      <c r="J153" s="830"/>
      <c r="K153" s="830"/>
      <c r="L153" s="830"/>
      <c r="M153" s="830"/>
      <c r="N153" s="830"/>
      <c r="O153" s="830"/>
      <c r="P153" s="830"/>
      <c r="Q153" s="830"/>
      <c r="R153" s="830"/>
      <c r="S153" s="830"/>
      <c r="T153" s="830"/>
      <c r="U153" s="830"/>
      <c r="V153" s="830"/>
      <c r="W153" s="830"/>
      <c r="X153" s="830"/>
      <c r="Y153" s="830"/>
      <c r="Z153" s="830"/>
      <c r="AA153" s="830"/>
      <c r="AB153" s="830"/>
      <c r="AC153" s="830"/>
      <c r="AD153" s="830"/>
    </row>
    <row r="154" spans="1:35" ht="15" customHeight="1">
      <c r="A154" s="57"/>
      <c r="B154" s="57"/>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c r="AB154" s="57"/>
      <c r="AC154" s="57"/>
      <c r="AD154" s="57"/>
    </row>
    <row r="155" spans="1:35" ht="72" customHeight="1">
      <c r="A155" s="227"/>
      <c r="B155" s="90"/>
      <c r="C155" s="732" t="s">
        <v>2581</v>
      </c>
      <c r="D155" s="732"/>
      <c r="E155" s="732"/>
      <c r="F155" s="732"/>
      <c r="G155" s="732"/>
      <c r="H155" s="732"/>
      <c r="I155" s="732"/>
      <c r="J155" s="732"/>
      <c r="K155" s="732"/>
      <c r="L155" s="732"/>
      <c r="M155" s="732"/>
      <c r="N155" s="732"/>
      <c r="O155" s="732"/>
      <c r="P155" s="732"/>
      <c r="Q155" s="732"/>
      <c r="R155" s="732"/>
      <c r="S155" s="733" t="s">
        <v>6413</v>
      </c>
      <c r="T155" s="734"/>
      <c r="U155" s="734"/>
      <c r="V155" s="734"/>
      <c r="W155" s="734"/>
      <c r="X155" s="735"/>
      <c r="Y155" s="732" t="s">
        <v>6414</v>
      </c>
      <c r="Z155" s="732"/>
      <c r="AA155" s="732"/>
      <c r="AB155" s="732"/>
      <c r="AC155" s="732"/>
      <c r="AD155" s="732"/>
      <c r="AG155" s="683" t="s">
        <v>2586</v>
      </c>
      <c r="AH155" s="684" t="s">
        <v>2590</v>
      </c>
      <c r="AI155" s="712" t="s">
        <v>4713</v>
      </c>
    </row>
    <row r="156" spans="1:35" ht="15" customHeight="1">
      <c r="A156" s="227"/>
      <c r="B156" s="90"/>
      <c r="C156" s="92" t="s">
        <v>2516</v>
      </c>
      <c r="D156" s="861" t="str">
        <f>IF(CNSIPEE_2024_M2_Secc1!D42="","",CNSIPEE_2024_M2_Secc1!D42)</f>
        <v/>
      </c>
      <c r="E156" s="862"/>
      <c r="F156" s="862"/>
      <c r="G156" s="862"/>
      <c r="H156" s="862"/>
      <c r="I156" s="862"/>
      <c r="J156" s="862"/>
      <c r="K156" s="862"/>
      <c r="L156" s="862"/>
      <c r="M156" s="862"/>
      <c r="N156" s="862"/>
      <c r="O156" s="862"/>
      <c r="P156" s="862"/>
      <c r="Q156" s="862"/>
      <c r="R156" s="863"/>
      <c r="S156" s="816"/>
      <c r="T156" s="738"/>
      <c r="U156" s="738"/>
      <c r="V156" s="738"/>
      <c r="W156" s="738"/>
      <c r="X156" s="817"/>
      <c r="Y156" s="816"/>
      <c r="Z156" s="738"/>
      <c r="AA156" s="738"/>
      <c r="AB156" s="738"/>
      <c r="AC156" s="738"/>
      <c r="AD156" s="817"/>
      <c r="AG156" s="253">
        <f t="shared" ref="AG156:AG163" si="45">IF(COUNTA($S$156:$AD$163)&gt;0,IF(AND(COUNTBLANK(D156)=0,S156=1,COUNTBLANK(Y156)=0),0,IF(AND(COUNTBLANK(D156)=0,S156=2,COUNTBLANK(Y156)=1),0,IF(AND(COUNTBLANK(D156)=0,S156=9,COUNTBLANK(Y156)=1),0,IF(AND(COUNTBLANK(D156)&gt;0,S156="",COUNTBLANK(Y156)=1),0,1)))),0)</f>
        <v>0</v>
      </c>
      <c r="AH156" s="253">
        <f t="shared" ref="AH156:AH163" si="46">IF(COUNTIF(Y156:AD156,"NS"),1,0)</f>
        <v>0</v>
      </c>
      <c r="AI156" s="253">
        <f t="shared" ref="AI156:AI163" si="47">IF(AND(S156=1,Y156=0),1,0)</f>
        <v>0</v>
      </c>
    </row>
    <row r="157" spans="1:35" ht="15" customHeight="1">
      <c r="A157" s="186"/>
      <c r="B157" s="57"/>
      <c r="C157" s="44" t="s">
        <v>2517</v>
      </c>
      <c r="D157" s="861" t="str">
        <f>IF(CNSIPEE_2024_M2_Secc1!D43="","",CNSIPEE_2024_M2_Secc1!D43)</f>
        <v/>
      </c>
      <c r="E157" s="862"/>
      <c r="F157" s="862"/>
      <c r="G157" s="862"/>
      <c r="H157" s="862"/>
      <c r="I157" s="862"/>
      <c r="J157" s="862"/>
      <c r="K157" s="862"/>
      <c r="L157" s="862"/>
      <c r="M157" s="862"/>
      <c r="N157" s="862"/>
      <c r="O157" s="862"/>
      <c r="P157" s="862"/>
      <c r="Q157" s="862"/>
      <c r="R157" s="863"/>
      <c r="S157" s="816"/>
      <c r="T157" s="738"/>
      <c r="U157" s="738"/>
      <c r="V157" s="738"/>
      <c r="W157" s="738"/>
      <c r="X157" s="817"/>
      <c r="Y157" s="816"/>
      <c r="Z157" s="738"/>
      <c r="AA157" s="738"/>
      <c r="AB157" s="738"/>
      <c r="AC157" s="738"/>
      <c r="AD157" s="817"/>
      <c r="AG157" s="253">
        <f t="shared" si="45"/>
        <v>0</v>
      </c>
      <c r="AH157" s="253">
        <f t="shared" si="46"/>
        <v>0</v>
      </c>
      <c r="AI157" s="253">
        <f t="shared" si="47"/>
        <v>0</v>
      </c>
    </row>
    <row r="158" spans="1:35" ht="15" customHeight="1">
      <c r="A158" s="186"/>
      <c r="B158" s="57"/>
      <c r="C158" s="44" t="s">
        <v>2518</v>
      </c>
      <c r="D158" s="861" t="str">
        <f>IF(CNSIPEE_2024_M2_Secc1!D44="","",CNSIPEE_2024_M2_Secc1!D44)</f>
        <v/>
      </c>
      <c r="E158" s="862"/>
      <c r="F158" s="862"/>
      <c r="G158" s="862"/>
      <c r="H158" s="862"/>
      <c r="I158" s="862"/>
      <c r="J158" s="862"/>
      <c r="K158" s="862"/>
      <c r="L158" s="862"/>
      <c r="M158" s="862"/>
      <c r="N158" s="862"/>
      <c r="O158" s="862"/>
      <c r="P158" s="862"/>
      <c r="Q158" s="862"/>
      <c r="R158" s="863"/>
      <c r="S158" s="816"/>
      <c r="T158" s="738"/>
      <c r="U158" s="738"/>
      <c r="V158" s="738"/>
      <c r="W158" s="738"/>
      <c r="X158" s="817"/>
      <c r="Y158" s="816"/>
      <c r="Z158" s="738"/>
      <c r="AA158" s="738"/>
      <c r="AB158" s="738"/>
      <c r="AC158" s="738"/>
      <c r="AD158" s="817"/>
      <c r="AG158" s="253">
        <f t="shared" si="45"/>
        <v>0</v>
      </c>
      <c r="AH158" s="253">
        <f t="shared" si="46"/>
        <v>0</v>
      </c>
      <c r="AI158" s="253">
        <f t="shared" si="47"/>
        <v>0</v>
      </c>
    </row>
    <row r="159" spans="1:35" ht="15" customHeight="1">
      <c r="A159" s="186"/>
      <c r="B159" s="57"/>
      <c r="C159" s="44" t="s">
        <v>2519</v>
      </c>
      <c r="D159" s="861" t="str">
        <f>IF(CNSIPEE_2024_M2_Secc1!D45="","",CNSIPEE_2024_M2_Secc1!D45)</f>
        <v/>
      </c>
      <c r="E159" s="862"/>
      <c r="F159" s="862"/>
      <c r="G159" s="862"/>
      <c r="H159" s="862"/>
      <c r="I159" s="862"/>
      <c r="J159" s="862"/>
      <c r="K159" s="862"/>
      <c r="L159" s="862"/>
      <c r="M159" s="862"/>
      <c r="N159" s="862"/>
      <c r="O159" s="862"/>
      <c r="P159" s="862"/>
      <c r="Q159" s="862"/>
      <c r="R159" s="863"/>
      <c r="S159" s="816"/>
      <c r="T159" s="738"/>
      <c r="U159" s="738"/>
      <c r="V159" s="738"/>
      <c r="W159" s="738"/>
      <c r="X159" s="817"/>
      <c r="Y159" s="816"/>
      <c r="Z159" s="738"/>
      <c r="AA159" s="738"/>
      <c r="AB159" s="738"/>
      <c r="AC159" s="738"/>
      <c r="AD159" s="817"/>
      <c r="AG159" s="253">
        <f t="shared" si="45"/>
        <v>0</v>
      </c>
      <c r="AH159" s="253">
        <f t="shared" si="46"/>
        <v>0</v>
      </c>
      <c r="AI159" s="253">
        <f t="shared" si="47"/>
        <v>0</v>
      </c>
    </row>
    <row r="160" spans="1:35" ht="15" customHeight="1">
      <c r="A160" s="57"/>
      <c r="B160" s="57"/>
      <c r="C160" s="44" t="s">
        <v>2520</v>
      </c>
      <c r="D160" s="861" t="str">
        <f>IF(CNSIPEE_2024_M2_Secc1!D46="","",CNSIPEE_2024_M2_Secc1!D46)</f>
        <v/>
      </c>
      <c r="E160" s="862"/>
      <c r="F160" s="862"/>
      <c r="G160" s="862"/>
      <c r="H160" s="862"/>
      <c r="I160" s="862"/>
      <c r="J160" s="862"/>
      <c r="K160" s="862"/>
      <c r="L160" s="862"/>
      <c r="M160" s="862"/>
      <c r="N160" s="862"/>
      <c r="O160" s="862"/>
      <c r="P160" s="862"/>
      <c r="Q160" s="862"/>
      <c r="R160" s="863"/>
      <c r="S160" s="816"/>
      <c r="T160" s="738"/>
      <c r="U160" s="738"/>
      <c r="V160" s="738"/>
      <c r="W160" s="738"/>
      <c r="X160" s="817"/>
      <c r="Y160" s="816"/>
      <c r="Z160" s="738"/>
      <c r="AA160" s="738"/>
      <c r="AB160" s="738"/>
      <c r="AC160" s="738"/>
      <c r="AD160" s="817"/>
      <c r="AG160" s="253">
        <f t="shared" si="45"/>
        <v>0</v>
      </c>
      <c r="AH160" s="253">
        <f t="shared" si="46"/>
        <v>0</v>
      </c>
      <c r="AI160" s="253">
        <f t="shared" si="47"/>
        <v>0</v>
      </c>
    </row>
    <row r="161" spans="1:35" ht="15" customHeight="1">
      <c r="A161" s="57"/>
      <c r="B161" s="57"/>
      <c r="C161" s="44" t="s">
        <v>2521</v>
      </c>
      <c r="D161" s="861" t="str">
        <f>IF(CNSIPEE_2024_M2_Secc1!D47="","",CNSIPEE_2024_M2_Secc1!D47)</f>
        <v/>
      </c>
      <c r="E161" s="862"/>
      <c r="F161" s="862"/>
      <c r="G161" s="862"/>
      <c r="H161" s="862"/>
      <c r="I161" s="862"/>
      <c r="J161" s="862"/>
      <c r="K161" s="862"/>
      <c r="L161" s="862"/>
      <c r="M161" s="862"/>
      <c r="N161" s="862"/>
      <c r="O161" s="862"/>
      <c r="P161" s="862"/>
      <c r="Q161" s="862"/>
      <c r="R161" s="863"/>
      <c r="S161" s="816"/>
      <c r="T161" s="738"/>
      <c r="U161" s="738"/>
      <c r="V161" s="738"/>
      <c r="W161" s="738"/>
      <c r="X161" s="817"/>
      <c r="Y161" s="816"/>
      <c r="Z161" s="738"/>
      <c r="AA161" s="738"/>
      <c r="AB161" s="738"/>
      <c r="AC161" s="738"/>
      <c r="AD161" s="817"/>
      <c r="AG161" s="253">
        <f t="shared" si="45"/>
        <v>0</v>
      </c>
      <c r="AH161" s="253">
        <f t="shared" si="46"/>
        <v>0</v>
      </c>
      <c r="AI161" s="253">
        <f t="shared" si="47"/>
        <v>0</v>
      </c>
    </row>
    <row r="162" spans="1:35" ht="15" customHeight="1">
      <c r="A162" s="57"/>
      <c r="B162" s="57"/>
      <c r="C162" s="44" t="s">
        <v>2522</v>
      </c>
      <c r="D162" s="861" t="str">
        <f>IF(CNSIPEE_2024_M2_Secc1!D48="","",CNSIPEE_2024_M2_Secc1!D48)</f>
        <v/>
      </c>
      <c r="E162" s="862"/>
      <c r="F162" s="862"/>
      <c r="G162" s="862"/>
      <c r="H162" s="862"/>
      <c r="I162" s="862"/>
      <c r="J162" s="862"/>
      <c r="K162" s="862"/>
      <c r="L162" s="862"/>
      <c r="M162" s="862"/>
      <c r="N162" s="862"/>
      <c r="O162" s="862"/>
      <c r="P162" s="862"/>
      <c r="Q162" s="862"/>
      <c r="R162" s="863"/>
      <c r="S162" s="816"/>
      <c r="T162" s="738"/>
      <c r="U162" s="738"/>
      <c r="V162" s="738"/>
      <c r="W162" s="738"/>
      <c r="X162" s="817"/>
      <c r="Y162" s="816"/>
      <c r="Z162" s="738"/>
      <c r="AA162" s="738"/>
      <c r="AB162" s="738"/>
      <c r="AC162" s="738"/>
      <c r="AD162" s="817"/>
      <c r="AG162" s="253">
        <f t="shared" si="45"/>
        <v>0</v>
      </c>
      <c r="AH162" s="253">
        <f t="shared" si="46"/>
        <v>0</v>
      </c>
      <c r="AI162" s="253">
        <f t="shared" si="47"/>
        <v>0</v>
      </c>
    </row>
    <row r="163" spans="1:35" ht="15" customHeight="1">
      <c r="A163" s="57"/>
      <c r="B163" s="57"/>
      <c r="C163" s="44" t="s">
        <v>2523</v>
      </c>
      <c r="D163" s="796" t="str">
        <f>IF(CNSIPEE_2024_M2_Secc1!D49="","",CNSIPEE_2024_M2_Secc1!D49)</f>
        <v/>
      </c>
      <c r="E163" s="796"/>
      <c r="F163" s="796"/>
      <c r="G163" s="796"/>
      <c r="H163" s="796"/>
      <c r="I163" s="796"/>
      <c r="J163" s="796"/>
      <c r="K163" s="796"/>
      <c r="L163" s="796"/>
      <c r="M163" s="796"/>
      <c r="N163" s="796"/>
      <c r="O163" s="796"/>
      <c r="P163" s="796"/>
      <c r="Q163" s="796"/>
      <c r="R163" s="796"/>
      <c r="S163" s="816"/>
      <c r="T163" s="738"/>
      <c r="U163" s="738"/>
      <c r="V163" s="738"/>
      <c r="W163" s="738"/>
      <c r="X163" s="817"/>
      <c r="Y163" s="816"/>
      <c r="Z163" s="738"/>
      <c r="AA163" s="738"/>
      <c r="AB163" s="738"/>
      <c r="AC163" s="738"/>
      <c r="AD163" s="817"/>
      <c r="AG163" s="253">
        <f t="shared" si="45"/>
        <v>0</v>
      </c>
      <c r="AH163" s="253">
        <f t="shared" si="46"/>
        <v>0</v>
      </c>
      <c r="AI163" s="253">
        <f t="shared" si="47"/>
        <v>0</v>
      </c>
    </row>
    <row r="164" spans="1:35" ht="15" customHeight="1">
      <c r="A164" s="57"/>
      <c r="B164" s="57"/>
      <c r="C164" s="90"/>
      <c r="D164" s="90"/>
      <c r="E164" s="90"/>
      <c r="F164" s="90"/>
      <c r="G164" s="90"/>
      <c r="H164" s="90"/>
      <c r="I164" s="90"/>
      <c r="J164" s="90"/>
      <c r="K164" s="90"/>
      <c r="L164" s="90"/>
      <c r="X164" s="117" t="s">
        <v>2649</v>
      </c>
      <c r="Y164" s="732">
        <f>IF(AND(SUM(Y156:AD163)=0,COUNTIF(Y156:AD163,"NS")&gt;0),"NS",IF(AND(SUM(Y156:AD163)=0,COUNTIF(Y156:AD163,0)&gt;0),0,IF(AND(SUM(Y156:AD163)=0,COUNTIF(Y156:AD163,"NA")&gt;0),"NA",SUM(Y156:AD163))))</f>
        <v>0</v>
      </c>
      <c r="Z164" s="1162"/>
      <c r="AA164" s="1162"/>
      <c r="AB164" s="1162"/>
      <c r="AC164" s="1162"/>
      <c r="AD164" s="1161"/>
      <c r="AG164" s="683">
        <f>SUM(AG156:AG163)</f>
        <v>0</v>
      </c>
      <c r="AH164" s="684">
        <f>SUM(AH156:AH163)</f>
        <v>0</v>
      </c>
      <c r="AI164" s="712">
        <f>SUM(AI156:AI163)</f>
        <v>0</v>
      </c>
    </row>
    <row r="165" spans="1:35" ht="15" customHeight="1">
      <c r="A165" s="57"/>
      <c r="B165" s="57"/>
    </row>
    <row r="166" spans="1:35" ht="24" customHeight="1">
      <c r="A166" s="211"/>
      <c r="B166" s="57"/>
      <c r="C166" s="754" t="s">
        <v>2611</v>
      </c>
      <c r="D166" s="754"/>
      <c r="E166" s="754"/>
      <c r="F166" s="754"/>
      <c r="G166" s="754"/>
      <c r="H166" s="754"/>
      <c r="I166" s="754"/>
      <c r="J166" s="754"/>
      <c r="K166" s="754"/>
      <c r="L166" s="754"/>
      <c r="M166" s="754"/>
      <c r="N166" s="754"/>
      <c r="O166" s="754"/>
      <c r="P166" s="754"/>
      <c r="Q166" s="754"/>
      <c r="R166" s="754"/>
      <c r="S166" s="754"/>
      <c r="T166" s="754"/>
      <c r="U166" s="754"/>
      <c r="V166" s="754"/>
      <c r="W166" s="754"/>
      <c r="X166" s="754"/>
      <c r="Y166" s="754"/>
      <c r="Z166" s="754"/>
      <c r="AA166" s="754"/>
      <c r="AB166" s="754"/>
      <c r="AC166" s="754"/>
      <c r="AD166" s="754"/>
    </row>
    <row r="167" spans="1:35" ht="60" customHeight="1">
      <c r="A167" s="211"/>
      <c r="B167" s="57"/>
      <c r="C167" s="851"/>
      <c r="D167" s="851"/>
      <c r="E167" s="851"/>
      <c r="F167" s="851"/>
      <c r="G167" s="851"/>
      <c r="H167" s="851"/>
      <c r="I167" s="851"/>
      <c r="J167" s="851"/>
      <c r="K167" s="851"/>
      <c r="L167" s="851"/>
      <c r="M167" s="851"/>
      <c r="N167" s="851"/>
      <c r="O167" s="851"/>
      <c r="P167" s="851"/>
      <c r="Q167" s="851"/>
      <c r="R167" s="851"/>
      <c r="S167" s="851"/>
      <c r="T167" s="851"/>
      <c r="U167" s="851"/>
      <c r="V167" s="851"/>
      <c r="W167" s="851"/>
      <c r="X167" s="851"/>
      <c r="Y167" s="851"/>
      <c r="Z167" s="851"/>
      <c r="AA167" s="851"/>
      <c r="AB167" s="851"/>
      <c r="AC167" s="851"/>
      <c r="AD167" s="851"/>
    </row>
    <row r="168" spans="1:35" ht="15" customHeight="1">
      <c r="A168" s="57"/>
      <c r="B168" s="794" t="str">
        <f>IF(AG164&gt;0,"Favor de ingresar toda la información requerida en la pregunta y/o verifique que no tenga información en celdas sombreadas","")</f>
        <v/>
      </c>
      <c r="C168" s="794"/>
      <c r="D168" s="794"/>
      <c r="E168" s="794"/>
      <c r="F168" s="794"/>
      <c r="G168" s="794"/>
      <c r="H168" s="794"/>
      <c r="I168" s="794"/>
      <c r="J168" s="794"/>
      <c r="K168" s="794"/>
      <c r="L168" s="794"/>
      <c r="M168" s="794"/>
      <c r="N168" s="794"/>
      <c r="O168" s="794"/>
      <c r="P168" s="794"/>
      <c r="Q168" s="794"/>
      <c r="R168" s="794"/>
      <c r="S168" s="794"/>
      <c r="T168" s="794"/>
      <c r="U168" s="794"/>
      <c r="V168" s="794"/>
      <c r="W168" s="794"/>
      <c r="X168" s="794"/>
      <c r="Y168" s="794"/>
      <c r="Z168" s="794"/>
      <c r="AA168" s="794"/>
      <c r="AB168" s="794"/>
      <c r="AC168" s="794"/>
      <c r="AD168" s="794"/>
      <c r="AE168" s="794"/>
    </row>
    <row r="169" spans="1:35" ht="15" customHeight="1">
      <c r="A169" s="57"/>
      <c r="B169" s="795" t="str">
        <f>IF(AH164&lt;&gt;0,"Alerta: debido a que cuenta con registros NS, debe proporcionar una justificación en el area de comentarios al final de la pregunta","")</f>
        <v/>
      </c>
      <c r="C169" s="795"/>
      <c r="D169" s="795"/>
      <c r="E169" s="795"/>
      <c r="F169" s="795"/>
      <c r="G169" s="795"/>
      <c r="H169" s="795"/>
      <c r="I169" s="795"/>
      <c r="J169" s="795"/>
      <c r="K169" s="795"/>
      <c r="L169" s="795"/>
      <c r="M169" s="795"/>
      <c r="N169" s="795"/>
      <c r="O169" s="795"/>
      <c r="P169" s="795"/>
      <c r="Q169" s="795"/>
      <c r="R169" s="795"/>
      <c r="S169" s="795"/>
      <c r="T169" s="795"/>
      <c r="U169" s="795"/>
      <c r="V169" s="795"/>
      <c r="W169" s="795"/>
      <c r="X169" s="795"/>
      <c r="Y169" s="795"/>
      <c r="Z169" s="795"/>
      <c r="AA169" s="795"/>
      <c r="AB169" s="795"/>
      <c r="AC169" s="795"/>
      <c r="AD169" s="795"/>
      <c r="AE169" s="795"/>
    </row>
    <row r="170" spans="1:35" ht="15" customHeight="1">
      <c r="A170" s="57"/>
      <c r="B170" s="794" t="str">
        <f>IF(AI164=0,"","Debido a que cuenta con registro(s) con el código 1, el total de la fila respectiva debe ser mayor a cero")</f>
        <v/>
      </c>
      <c r="C170" s="794"/>
      <c r="D170" s="794"/>
      <c r="E170" s="794"/>
      <c r="F170" s="794"/>
      <c r="G170" s="794"/>
      <c r="H170" s="794"/>
      <c r="I170" s="794"/>
      <c r="J170" s="794"/>
      <c r="K170" s="794"/>
      <c r="L170" s="794"/>
      <c r="M170" s="794"/>
      <c r="N170" s="794"/>
      <c r="O170" s="794"/>
      <c r="P170" s="794"/>
      <c r="Q170" s="794"/>
      <c r="R170" s="794"/>
      <c r="S170" s="794"/>
      <c r="T170" s="794"/>
      <c r="U170" s="794"/>
      <c r="V170" s="794"/>
      <c r="W170" s="794"/>
      <c r="X170" s="794"/>
      <c r="Y170" s="794"/>
      <c r="Z170" s="794"/>
      <c r="AA170" s="794"/>
      <c r="AB170" s="794"/>
      <c r="AC170" s="794"/>
      <c r="AD170" s="794"/>
      <c r="AE170" s="794"/>
    </row>
    <row r="171" spans="1:35" ht="15" customHeight="1">
      <c r="A171" s="57"/>
      <c r="B171" s="57"/>
      <c r="C171" s="57"/>
      <c r="D171" s="57"/>
      <c r="E171" s="57"/>
      <c r="F171" s="57"/>
      <c r="G171" s="57"/>
      <c r="H171" s="57"/>
      <c r="I171" s="57"/>
      <c r="J171" s="57"/>
      <c r="K171" s="57"/>
      <c r="L171" s="57"/>
      <c r="M171" s="57"/>
      <c r="N171" s="57"/>
      <c r="O171" s="57"/>
      <c r="P171" s="57"/>
      <c r="Q171" s="57"/>
      <c r="R171" s="57"/>
      <c r="S171" s="57"/>
      <c r="T171" s="57"/>
      <c r="U171" s="57"/>
      <c r="V171" s="57"/>
      <c r="W171" s="57"/>
      <c r="X171" s="57"/>
      <c r="Y171" s="57"/>
      <c r="Z171" s="57"/>
      <c r="AA171" s="57"/>
      <c r="AB171" s="57"/>
      <c r="AC171" s="57"/>
      <c r="AD171" s="57"/>
    </row>
    <row r="172" spans="1:35" ht="15" customHeight="1">
      <c r="A172" s="57"/>
      <c r="B172" s="57"/>
      <c r="C172" s="57"/>
      <c r="D172" s="57"/>
      <c r="E172" s="57"/>
      <c r="F172" s="57"/>
      <c r="G172" s="57"/>
      <c r="H172" s="57"/>
      <c r="I172" s="57"/>
      <c r="J172" s="57"/>
      <c r="K172" s="57"/>
      <c r="L172" s="57"/>
      <c r="M172" s="57"/>
      <c r="N172" s="57"/>
      <c r="O172" s="57"/>
      <c r="P172" s="57"/>
      <c r="Q172" s="57"/>
      <c r="R172" s="57"/>
      <c r="S172" s="57"/>
      <c r="T172" s="57"/>
      <c r="U172" s="57"/>
      <c r="V172" s="57"/>
      <c r="W172" s="57"/>
      <c r="X172" s="57"/>
      <c r="Y172" s="57"/>
      <c r="Z172" s="57"/>
      <c r="AA172" s="57"/>
      <c r="AB172" s="57"/>
      <c r="AC172" s="57"/>
      <c r="AD172" s="57"/>
    </row>
    <row r="173" spans="1:35" ht="15" customHeight="1">
      <c r="A173" s="57"/>
      <c r="B173" s="57"/>
      <c r="C173" s="57"/>
      <c r="D173" s="57"/>
      <c r="E173" s="57"/>
      <c r="F173" s="57"/>
      <c r="G173" s="57"/>
      <c r="H173" s="57"/>
      <c r="I173" s="57"/>
      <c r="J173" s="57"/>
      <c r="K173" s="57"/>
      <c r="L173" s="57"/>
      <c r="M173" s="57"/>
      <c r="N173" s="57"/>
      <c r="O173" s="57"/>
      <c r="P173" s="57"/>
      <c r="Q173" s="57"/>
      <c r="R173" s="57"/>
      <c r="S173" s="57"/>
      <c r="T173" s="57"/>
      <c r="U173" s="57"/>
      <c r="V173" s="57"/>
      <c r="W173" s="57"/>
      <c r="X173" s="57"/>
      <c r="Y173" s="57"/>
      <c r="Z173" s="57"/>
      <c r="AA173" s="57"/>
      <c r="AB173" s="57"/>
      <c r="AC173" s="57"/>
      <c r="AD173" s="57"/>
    </row>
    <row r="174" spans="1:35" ht="48" customHeight="1">
      <c r="A174" s="108" t="s">
        <v>6415</v>
      </c>
      <c r="B174" s="829" t="s">
        <v>6416</v>
      </c>
      <c r="C174" s="829"/>
      <c r="D174" s="829"/>
      <c r="E174" s="829"/>
      <c r="F174" s="829"/>
      <c r="G174" s="829"/>
      <c r="H174" s="829"/>
      <c r="I174" s="829"/>
      <c r="J174" s="829"/>
      <c r="K174" s="829"/>
      <c r="L174" s="829"/>
      <c r="M174" s="829"/>
      <c r="N174" s="829"/>
      <c r="O174" s="829"/>
      <c r="P174" s="829"/>
      <c r="Q174" s="829"/>
      <c r="R174" s="829"/>
      <c r="S174" s="829"/>
      <c r="T174" s="829"/>
      <c r="U174" s="829"/>
      <c r="V174" s="829"/>
      <c r="W174" s="829"/>
      <c r="X174" s="829"/>
      <c r="Y174" s="829"/>
      <c r="Z174" s="829"/>
      <c r="AA174" s="829"/>
      <c r="AB174" s="829"/>
      <c r="AC174" s="829"/>
      <c r="AD174" s="829"/>
    </row>
    <row r="175" spans="1:35" ht="36" customHeight="1">
      <c r="A175" s="186"/>
      <c r="B175" s="57"/>
      <c r="C175" s="754" t="s">
        <v>6417</v>
      </c>
      <c r="D175" s="830"/>
      <c r="E175" s="830"/>
      <c r="F175" s="830"/>
      <c r="G175" s="830"/>
      <c r="H175" s="830"/>
      <c r="I175" s="830"/>
      <c r="J175" s="830"/>
      <c r="K175" s="830"/>
      <c r="L175" s="830"/>
      <c r="M175" s="830"/>
      <c r="N175" s="830"/>
      <c r="O175" s="830"/>
      <c r="P175" s="830"/>
      <c r="Q175" s="830"/>
      <c r="R175" s="830"/>
      <c r="S175" s="830"/>
      <c r="T175" s="830"/>
      <c r="U175" s="830"/>
      <c r="V175" s="830"/>
      <c r="W175" s="830"/>
      <c r="X175" s="830"/>
      <c r="Y175" s="830"/>
      <c r="Z175" s="830"/>
      <c r="AA175" s="830"/>
      <c r="AB175" s="830"/>
      <c r="AC175" s="830"/>
      <c r="AD175" s="830"/>
    </row>
    <row r="176" spans="1:35" ht="36" customHeight="1">
      <c r="A176" s="166"/>
      <c r="B176" s="57"/>
      <c r="C176" s="830" t="s">
        <v>6418</v>
      </c>
      <c r="D176" s="830"/>
      <c r="E176" s="830"/>
      <c r="F176" s="830"/>
      <c r="G176" s="830"/>
      <c r="H176" s="830"/>
      <c r="I176" s="830"/>
      <c r="J176" s="830"/>
      <c r="K176" s="830"/>
      <c r="L176" s="830"/>
      <c r="M176" s="830"/>
      <c r="N176" s="830"/>
      <c r="O176" s="830"/>
      <c r="P176" s="830"/>
      <c r="Q176" s="830"/>
      <c r="R176" s="830"/>
      <c r="S176" s="830"/>
      <c r="T176" s="830"/>
      <c r="U176" s="830"/>
      <c r="V176" s="830"/>
      <c r="W176" s="830"/>
      <c r="X176" s="830"/>
      <c r="Y176" s="830"/>
      <c r="Z176" s="830"/>
      <c r="AA176" s="830"/>
      <c r="AB176" s="830"/>
      <c r="AC176" s="830"/>
      <c r="AD176" s="830"/>
    </row>
    <row r="177" spans="1:54" ht="36" customHeight="1">
      <c r="A177" s="166"/>
      <c r="B177" s="57"/>
      <c r="C177" s="754" t="s">
        <v>6419</v>
      </c>
      <c r="D177" s="754"/>
      <c r="E177" s="754"/>
      <c r="F177" s="754"/>
      <c r="G177" s="754"/>
      <c r="H177" s="754"/>
      <c r="I177" s="754"/>
      <c r="J177" s="754"/>
      <c r="K177" s="754"/>
      <c r="L177" s="754"/>
      <c r="M177" s="754"/>
      <c r="N177" s="754"/>
      <c r="O177" s="754"/>
      <c r="P177" s="754"/>
      <c r="Q177" s="754"/>
      <c r="R177" s="754"/>
      <c r="S177" s="754"/>
      <c r="T177" s="754"/>
      <c r="U177" s="754"/>
      <c r="V177" s="754"/>
      <c r="W177" s="754"/>
      <c r="X177" s="754"/>
      <c r="Y177" s="754"/>
      <c r="Z177" s="754"/>
      <c r="AA177" s="754"/>
      <c r="AB177" s="754"/>
      <c r="AC177" s="754"/>
      <c r="AD177" s="754"/>
    </row>
    <row r="178" spans="1:54" ht="24" customHeight="1">
      <c r="A178" s="166"/>
      <c r="B178" s="57"/>
      <c r="C178" s="754" t="s">
        <v>6420</v>
      </c>
      <c r="D178" s="754"/>
      <c r="E178" s="754"/>
      <c r="F178" s="754"/>
      <c r="G178" s="754"/>
      <c r="H178" s="754"/>
      <c r="I178" s="754"/>
      <c r="J178" s="754"/>
      <c r="K178" s="754"/>
      <c r="L178" s="754"/>
      <c r="M178" s="754"/>
      <c r="N178" s="754"/>
      <c r="O178" s="754"/>
      <c r="P178" s="754"/>
      <c r="Q178" s="754"/>
      <c r="R178" s="754"/>
      <c r="S178" s="754"/>
      <c r="T178" s="754"/>
      <c r="U178" s="754"/>
      <c r="V178" s="754"/>
      <c r="W178" s="754"/>
      <c r="X178" s="754"/>
      <c r="Y178" s="754"/>
      <c r="Z178" s="754"/>
      <c r="AA178" s="754"/>
      <c r="AB178" s="754"/>
      <c r="AC178" s="754"/>
      <c r="AD178" s="754"/>
    </row>
    <row r="179" spans="1:54" ht="15" customHeight="1">
      <c r="A179" s="108"/>
      <c r="B179" s="105"/>
      <c r="C179" s="105"/>
      <c r="D179" s="105"/>
      <c r="E179" s="105"/>
      <c r="F179" s="105"/>
      <c r="G179" s="105"/>
      <c r="H179" s="105"/>
      <c r="I179" s="105"/>
      <c r="J179" s="105"/>
      <c r="K179" s="105"/>
      <c r="L179" s="105"/>
      <c r="M179" s="105"/>
      <c r="N179" s="105"/>
      <c r="O179" s="105"/>
      <c r="P179" s="105"/>
      <c r="Q179" s="105"/>
      <c r="R179" s="105"/>
      <c r="S179" s="105"/>
      <c r="T179" s="105"/>
      <c r="U179" s="105"/>
      <c r="V179" s="105"/>
      <c r="W179" s="105"/>
      <c r="X179" s="105"/>
      <c r="Y179" s="105"/>
      <c r="Z179" s="105"/>
      <c r="AA179" s="105"/>
      <c r="AB179" s="105"/>
      <c r="AC179" s="105"/>
      <c r="AD179" s="105"/>
    </row>
    <row r="180" spans="1:54" ht="72" customHeight="1">
      <c r="A180" s="166"/>
      <c r="B180" s="57"/>
      <c r="C180" s="732" t="s">
        <v>2581</v>
      </c>
      <c r="D180" s="732"/>
      <c r="E180" s="732"/>
      <c r="F180" s="732"/>
      <c r="G180" s="732"/>
      <c r="H180" s="732" t="s">
        <v>6421</v>
      </c>
      <c r="I180" s="732"/>
      <c r="J180" s="732"/>
      <c r="K180" s="732"/>
      <c r="L180" s="732"/>
      <c r="M180" s="732"/>
      <c r="N180" s="732" t="s">
        <v>6422</v>
      </c>
      <c r="O180" s="732"/>
      <c r="P180" s="732"/>
      <c r="Q180" s="732"/>
      <c r="R180" s="732"/>
      <c r="S180" s="732"/>
      <c r="T180" s="732"/>
      <c r="U180" s="732"/>
      <c r="V180" s="732"/>
      <c r="W180" s="732"/>
      <c r="X180" s="732"/>
      <c r="Y180" s="732"/>
      <c r="Z180" s="732"/>
      <c r="AA180" s="732"/>
      <c r="AB180" s="732"/>
      <c r="AC180" s="732"/>
      <c r="AD180" s="732"/>
    </row>
    <row r="181" spans="1:54" ht="15" customHeight="1">
      <c r="A181" s="166"/>
      <c r="B181" s="57"/>
      <c r="C181" s="732"/>
      <c r="D181" s="732"/>
      <c r="E181" s="732"/>
      <c r="F181" s="732"/>
      <c r="G181" s="732"/>
      <c r="H181" s="732"/>
      <c r="I181" s="732"/>
      <c r="J181" s="732"/>
      <c r="K181" s="732"/>
      <c r="L181" s="732"/>
      <c r="M181" s="732"/>
      <c r="N181" s="874" t="s">
        <v>2628</v>
      </c>
      <c r="O181" s="736" t="s">
        <v>6423</v>
      </c>
      <c r="P181" s="736"/>
      <c r="Q181" s="736"/>
      <c r="R181" s="736"/>
      <c r="S181" s="736"/>
      <c r="T181" s="736"/>
      <c r="U181" s="736"/>
      <c r="V181" s="736"/>
      <c r="W181" s="736"/>
      <c r="X181" s="736"/>
      <c r="Y181" s="736"/>
      <c r="Z181" s="736"/>
      <c r="AA181" s="736"/>
      <c r="AB181" s="736"/>
      <c r="AC181" s="736"/>
      <c r="AD181" s="736"/>
      <c r="AG181" s="1165" t="s">
        <v>2586</v>
      </c>
      <c r="AH181" s="1166" t="s">
        <v>2590</v>
      </c>
      <c r="AI181" s="1167" t="s">
        <v>6386</v>
      </c>
      <c r="AJ181" s="1168" t="s">
        <v>4713</v>
      </c>
      <c r="AK181" s="1169" t="s">
        <v>6346</v>
      </c>
      <c r="AL181" s="1170" t="s">
        <v>6347</v>
      </c>
      <c r="AM181" s="1170"/>
      <c r="AN181" s="1170"/>
      <c r="AO181" s="1170"/>
      <c r="AP181" s="1170"/>
      <c r="AQ181" s="1170"/>
      <c r="AR181" s="1170"/>
      <c r="AS181" s="1170"/>
      <c r="AT181" s="1170"/>
      <c r="AU181" s="1170"/>
      <c r="AV181" s="1170"/>
      <c r="AW181" s="1170"/>
      <c r="AX181" s="1170"/>
      <c r="AY181" s="1170"/>
      <c r="AZ181" s="1170"/>
      <c r="BA181" s="1170"/>
      <c r="BB181" s="1171" t="s">
        <v>6348</v>
      </c>
    </row>
    <row r="182" spans="1:54">
      <c r="A182" s="166"/>
      <c r="B182" s="57"/>
      <c r="C182" s="732"/>
      <c r="D182" s="732"/>
      <c r="E182" s="732"/>
      <c r="F182" s="732"/>
      <c r="G182" s="732"/>
      <c r="H182" s="732"/>
      <c r="I182" s="732"/>
      <c r="J182" s="732"/>
      <c r="K182" s="732"/>
      <c r="L182" s="732"/>
      <c r="M182" s="732"/>
      <c r="N182" s="874"/>
      <c r="O182" s="92" t="s">
        <v>2516</v>
      </c>
      <c r="P182" s="199" t="s">
        <v>2517</v>
      </c>
      <c r="Q182" s="199" t="s">
        <v>2518</v>
      </c>
      <c r="R182" s="199" t="s">
        <v>2519</v>
      </c>
      <c r="S182" s="199" t="s">
        <v>2520</v>
      </c>
      <c r="T182" s="199" t="s">
        <v>2521</v>
      </c>
      <c r="U182" s="199" t="s">
        <v>2522</v>
      </c>
      <c r="V182" s="199" t="s">
        <v>2523</v>
      </c>
      <c r="W182" s="199" t="s">
        <v>2524</v>
      </c>
      <c r="X182" s="199" t="s">
        <v>2525</v>
      </c>
      <c r="Y182" s="199" t="s">
        <v>2526</v>
      </c>
      <c r="Z182" s="199" t="s">
        <v>2527</v>
      </c>
      <c r="AA182" s="199" t="s">
        <v>2528</v>
      </c>
      <c r="AB182" s="143" t="s">
        <v>2529</v>
      </c>
      <c r="AC182" s="44" t="s">
        <v>2530</v>
      </c>
      <c r="AD182" s="143" t="s">
        <v>2531</v>
      </c>
      <c r="AG182" s="1165"/>
      <c r="AH182" s="1166"/>
      <c r="AI182" s="1167"/>
      <c r="AJ182" s="1168"/>
      <c r="AK182" s="1169"/>
      <c r="AL182" s="1170"/>
      <c r="AM182" s="1170"/>
      <c r="AN182" s="1170"/>
      <c r="AO182" s="1170"/>
      <c r="AP182" s="1170"/>
      <c r="AQ182" s="1170"/>
      <c r="AR182" s="1170"/>
      <c r="AS182" s="1170"/>
      <c r="AT182" s="1170"/>
      <c r="AU182" s="1170"/>
      <c r="AV182" s="1170"/>
      <c r="AW182" s="1170"/>
      <c r="AX182" s="1170"/>
      <c r="AY182" s="1170"/>
      <c r="AZ182" s="1170"/>
      <c r="BA182" s="1170"/>
      <c r="BB182" s="1171"/>
    </row>
    <row r="183" spans="1:54">
      <c r="A183" s="166"/>
      <c r="B183" s="57"/>
      <c r="C183" s="44" t="s">
        <v>2516</v>
      </c>
      <c r="D183" s="796" t="str">
        <f>IF(CNSIPEE_2024_M2_Secc1!D42="","",CNSIPEE_2024_M2_Secc1!D42)</f>
        <v/>
      </c>
      <c r="E183" s="796"/>
      <c r="F183" s="796"/>
      <c r="G183" s="796"/>
      <c r="H183" s="749"/>
      <c r="I183" s="749"/>
      <c r="J183" s="749"/>
      <c r="K183" s="749"/>
      <c r="L183" s="749"/>
      <c r="M183" s="749"/>
      <c r="N183" s="100"/>
      <c r="O183" s="100"/>
      <c r="P183" s="100"/>
      <c r="Q183" s="100"/>
      <c r="R183" s="100"/>
      <c r="S183" s="100"/>
      <c r="T183" s="100"/>
      <c r="U183" s="100"/>
      <c r="V183" s="100"/>
      <c r="W183" s="100"/>
      <c r="X183" s="100"/>
      <c r="Y183" s="100"/>
      <c r="Z183" s="100"/>
      <c r="AA183" s="100"/>
      <c r="AB183" s="100"/>
      <c r="AC183" s="100"/>
      <c r="AD183" s="100"/>
      <c r="AG183" s="253">
        <f t="shared" ref="AG183:AG190" si="48">IF(COUNTA($H$183:$AD$190)&gt;0,IF(AND(COUNTBLANK(D183)=0,H183=1,COUNTBLANK(N183:AD183)=0),0,IF(AND(COUNTBLANK(D183)=0,H183=2,COUNTBLANK(N183:AD183)=17),0,IF(AND(COUNTBLANK(D183)=0,H183=9,COUNTBLANK(N183:AD183)=17),0,IF(AND(COUNTBLANK(D183)&gt;0,H183="",COUNTBLANK(N183:AD183)=17),0,1)))),0)</f>
        <v>0</v>
      </c>
      <c r="AH183" s="253">
        <f t="shared" ref="AH183:AH190" si="49">IF(COUNTIF(N183:AD183,"NS"),1,0)</f>
        <v>0</v>
      </c>
      <c r="AI183" s="253">
        <f t="shared" ref="AI183:AI190" si="50">IF(OR(AC183=0,AC183="NS",AC183="NA"),0,1)</f>
        <v>0</v>
      </c>
      <c r="AJ183" s="253">
        <f t="shared" ref="AJ183:AJ190" si="51">IF(AND(H183=1,N183=0),1,0)</f>
        <v>0</v>
      </c>
      <c r="AK183" s="253">
        <f t="shared" ref="AK183:AK190" si="52">IF(N183&lt;=SUM(O183:AD183),0,1)</f>
        <v>0</v>
      </c>
      <c r="AL183" s="253">
        <f>IF(COUNTIF(O183,"NS")=0,IF($N183&lt;O183,1,0),0)</f>
        <v>0</v>
      </c>
      <c r="AM183" s="253">
        <f t="shared" ref="AL183:BA190" si="53">IF(COUNTIF(P183,"NS")=0,IF($N183&lt;P183,1,0),0)</f>
        <v>0</v>
      </c>
      <c r="AN183" s="253">
        <f t="shared" si="53"/>
        <v>0</v>
      </c>
      <c r="AO183" s="253">
        <f t="shared" si="53"/>
        <v>0</v>
      </c>
      <c r="AP183" s="253">
        <f t="shared" si="53"/>
        <v>0</v>
      </c>
      <c r="AQ183" s="253">
        <f t="shared" si="53"/>
        <v>0</v>
      </c>
      <c r="AR183" s="253">
        <f t="shared" si="53"/>
        <v>0</v>
      </c>
      <c r="AS183" s="253">
        <f t="shared" si="53"/>
        <v>0</v>
      </c>
      <c r="AT183" s="253">
        <f t="shared" si="53"/>
        <v>0</v>
      </c>
      <c r="AU183" s="253">
        <f t="shared" si="53"/>
        <v>0</v>
      </c>
      <c r="AV183" s="253">
        <f t="shared" si="53"/>
        <v>0</v>
      </c>
      <c r="AW183" s="253">
        <f t="shared" si="53"/>
        <v>0</v>
      </c>
      <c r="AX183" s="253">
        <f t="shared" si="53"/>
        <v>0</v>
      </c>
      <c r="AY183" s="253">
        <f t="shared" si="53"/>
        <v>0</v>
      </c>
      <c r="AZ183" s="253">
        <f t="shared" si="53"/>
        <v>0</v>
      </c>
      <c r="BA183" s="253">
        <f t="shared" si="53"/>
        <v>0</v>
      </c>
      <c r="BB183" s="253">
        <f>IF(AND(SUM(O183:AD183)=0,AH183&gt;0,N183=0),1,0)</f>
        <v>0</v>
      </c>
    </row>
    <row r="184" spans="1:54">
      <c r="A184" s="166"/>
      <c r="B184" s="57"/>
      <c r="C184" s="199" t="s">
        <v>2517</v>
      </c>
      <c r="D184" s="796" t="str">
        <f>IF(CNSIPEE_2024_M2_Secc1!D43="","",CNSIPEE_2024_M2_Secc1!D43)</f>
        <v/>
      </c>
      <c r="E184" s="796"/>
      <c r="F184" s="796"/>
      <c r="G184" s="796"/>
      <c r="H184" s="749"/>
      <c r="I184" s="749"/>
      <c r="J184" s="749"/>
      <c r="K184" s="749"/>
      <c r="L184" s="749"/>
      <c r="M184" s="749"/>
      <c r="N184" s="100"/>
      <c r="O184" s="100"/>
      <c r="P184" s="100"/>
      <c r="Q184" s="100"/>
      <c r="R184" s="100"/>
      <c r="S184" s="100"/>
      <c r="T184" s="100"/>
      <c r="U184" s="100"/>
      <c r="V184" s="100"/>
      <c r="W184" s="100"/>
      <c r="X184" s="100"/>
      <c r="Y184" s="100"/>
      <c r="Z184" s="100"/>
      <c r="AA184" s="100"/>
      <c r="AB184" s="100"/>
      <c r="AC184" s="100"/>
      <c r="AD184" s="100"/>
      <c r="AG184" s="253">
        <f t="shared" si="48"/>
        <v>0</v>
      </c>
      <c r="AH184" s="253">
        <f t="shared" si="49"/>
        <v>0</v>
      </c>
      <c r="AI184" s="253">
        <f t="shared" si="50"/>
        <v>0</v>
      </c>
      <c r="AJ184" s="253">
        <f t="shared" si="51"/>
        <v>0</v>
      </c>
      <c r="AK184" s="253">
        <f t="shared" si="52"/>
        <v>0</v>
      </c>
      <c r="AL184" s="253">
        <f t="shared" si="53"/>
        <v>0</v>
      </c>
      <c r="AM184" s="253">
        <f t="shared" si="53"/>
        <v>0</v>
      </c>
      <c r="AN184" s="253">
        <f t="shared" si="53"/>
        <v>0</v>
      </c>
      <c r="AO184" s="253">
        <f t="shared" si="53"/>
        <v>0</v>
      </c>
      <c r="AP184" s="253">
        <f t="shared" si="53"/>
        <v>0</v>
      </c>
      <c r="AQ184" s="253">
        <f t="shared" si="53"/>
        <v>0</v>
      </c>
      <c r="AR184" s="253">
        <f t="shared" si="53"/>
        <v>0</v>
      </c>
      <c r="AS184" s="253">
        <f t="shared" si="53"/>
        <v>0</v>
      </c>
      <c r="AT184" s="253">
        <f t="shared" si="53"/>
        <v>0</v>
      </c>
      <c r="AU184" s="253">
        <f t="shared" si="53"/>
        <v>0</v>
      </c>
      <c r="AV184" s="253">
        <f t="shared" si="53"/>
        <v>0</v>
      </c>
      <c r="AW184" s="253">
        <f t="shared" si="53"/>
        <v>0</v>
      </c>
      <c r="AX184" s="253">
        <f t="shared" si="53"/>
        <v>0</v>
      </c>
      <c r="AY184" s="253">
        <f t="shared" si="53"/>
        <v>0</v>
      </c>
      <c r="AZ184" s="253">
        <f t="shared" si="53"/>
        <v>0</v>
      </c>
      <c r="BA184" s="253">
        <f t="shared" si="53"/>
        <v>0</v>
      </c>
      <c r="BB184" s="253">
        <f t="shared" ref="BB184:BB190" si="54">IF(AND(SUM(O184:AD184)=0,AH184&gt;0,N184=0),1,0)</f>
        <v>0</v>
      </c>
    </row>
    <row r="185" spans="1:54">
      <c r="A185" s="166"/>
      <c r="B185" s="57"/>
      <c r="C185" s="143" t="s">
        <v>2518</v>
      </c>
      <c r="D185" s="796" t="str">
        <f>IF(CNSIPEE_2024_M2_Secc1!D44="","",CNSIPEE_2024_M2_Secc1!D44)</f>
        <v/>
      </c>
      <c r="E185" s="796"/>
      <c r="F185" s="796"/>
      <c r="G185" s="796"/>
      <c r="H185" s="749"/>
      <c r="I185" s="749"/>
      <c r="J185" s="749"/>
      <c r="K185" s="749"/>
      <c r="L185" s="749"/>
      <c r="M185" s="749"/>
      <c r="N185" s="100"/>
      <c r="O185" s="100"/>
      <c r="P185" s="100"/>
      <c r="Q185" s="100"/>
      <c r="R185" s="100"/>
      <c r="S185" s="100"/>
      <c r="T185" s="100"/>
      <c r="U185" s="100"/>
      <c r="V185" s="100"/>
      <c r="W185" s="100"/>
      <c r="X185" s="100"/>
      <c r="Y185" s="100"/>
      <c r="Z185" s="100"/>
      <c r="AA185" s="100"/>
      <c r="AB185" s="100"/>
      <c r="AC185" s="100"/>
      <c r="AD185" s="100"/>
      <c r="AG185" s="253">
        <f t="shared" si="48"/>
        <v>0</v>
      </c>
      <c r="AH185" s="253">
        <f t="shared" si="49"/>
        <v>0</v>
      </c>
      <c r="AI185" s="253">
        <f t="shared" si="50"/>
        <v>0</v>
      </c>
      <c r="AJ185" s="253">
        <f t="shared" si="51"/>
        <v>0</v>
      </c>
      <c r="AK185" s="253">
        <f t="shared" si="52"/>
        <v>0</v>
      </c>
      <c r="AL185" s="253">
        <f t="shared" si="53"/>
        <v>0</v>
      </c>
      <c r="AM185" s="253">
        <f t="shared" si="53"/>
        <v>0</v>
      </c>
      <c r="AN185" s="253">
        <f t="shared" si="53"/>
        <v>0</v>
      </c>
      <c r="AO185" s="253">
        <f t="shared" si="53"/>
        <v>0</v>
      </c>
      <c r="AP185" s="253">
        <f t="shared" si="53"/>
        <v>0</v>
      </c>
      <c r="AQ185" s="253">
        <f t="shared" si="53"/>
        <v>0</v>
      </c>
      <c r="AR185" s="253">
        <f t="shared" si="53"/>
        <v>0</v>
      </c>
      <c r="AS185" s="253">
        <f t="shared" si="53"/>
        <v>0</v>
      </c>
      <c r="AT185" s="253">
        <f t="shared" si="53"/>
        <v>0</v>
      </c>
      <c r="AU185" s="253">
        <f t="shared" si="53"/>
        <v>0</v>
      </c>
      <c r="AV185" s="253">
        <f t="shared" si="53"/>
        <v>0</v>
      </c>
      <c r="AW185" s="253">
        <f t="shared" si="53"/>
        <v>0</v>
      </c>
      <c r="AX185" s="253">
        <f t="shared" si="53"/>
        <v>0</v>
      </c>
      <c r="AY185" s="253">
        <f t="shared" si="53"/>
        <v>0</v>
      </c>
      <c r="AZ185" s="253">
        <f t="shared" si="53"/>
        <v>0</v>
      </c>
      <c r="BA185" s="253">
        <f t="shared" si="53"/>
        <v>0</v>
      </c>
      <c r="BB185" s="253">
        <f t="shared" si="54"/>
        <v>0</v>
      </c>
    </row>
    <row r="186" spans="1:54">
      <c r="A186" s="166"/>
      <c r="B186" s="57"/>
      <c r="C186" s="143" t="s">
        <v>2519</v>
      </c>
      <c r="D186" s="796" t="str">
        <f>IF(CNSIPEE_2024_M2_Secc1!D45="","",CNSIPEE_2024_M2_Secc1!D45)</f>
        <v/>
      </c>
      <c r="E186" s="796"/>
      <c r="F186" s="796"/>
      <c r="G186" s="796"/>
      <c r="H186" s="749"/>
      <c r="I186" s="749"/>
      <c r="J186" s="749"/>
      <c r="K186" s="749"/>
      <c r="L186" s="749"/>
      <c r="M186" s="749"/>
      <c r="N186" s="100"/>
      <c r="O186" s="100"/>
      <c r="P186" s="100"/>
      <c r="Q186" s="100"/>
      <c r="R186" s="100"/>
      <c r="S186" s="100"/>
      <c r="T186" s="100"/>
      <c r="U186" s="100"/>
      <c r="V186" s="100"/>
      <c r="W186" s="100"/>
      <c r="X186" s="100"/>
      <c r="Y186" s="100"/>
      <c r="Z186" s="100"/>
      <c r="AA186" s="100"/>
      <c r="AB186" s="100"/>
      <c r="AC186" s="100"/>
      <c r="AD186" s="100"/>
      <c r="AG186" s="253">
        <f t="shared" si="48"/>
        <v>0</v>
      </c>
      <c r="AH186" s="253">
        <f t="shared" si="49"/>
        <v>0</v>
      </c>
      <c r="AI186" s="253">
        <f t="shared" si="50"/>
        <v>0</v>
      </c>
      <c r="AJ186" s="253">
        <f t="shared" si="51"/>
        <v>0</v>
      </c>
      <c r="AK186" s="253">
        <f t="shared" si="52"/>
        <v>0</v>
      </c>
      <c r="AL186" s="253">
        <f t="shared" si="53"/>
        <v>0</v>
      </c>
      <c r="AM186" s="253">
        <f t="shared" si="53"/>
        <v>0</v>
      </c>
      <c r="AN186" s="253">
        <f t="shared" si="53"/>
        <v>0</v>
      </c>
      <c r="AO186" s="253">
        <f t="shared" si="53"/>
        <v>0</v>
      </c>
      <c r="AP186" s="253">
        <f t="shared" si="53"/>
        <v>0</v>
      </c>
      <c r="AQ186" s="253">
        <f t="shared" si="53"/>
        <v>0</v>
      </c>
      <c r="AR186" s="253">
        <f t="shared" si="53"/>
        <v>0</v>
      </c>
      <c r="AS186" s="253">
        <f t="shared" si="53"/>
        <v>0</v>
      </c>
      <c r="AT186" s="253">
        <f t="shared" si="53"/>
        <v>0</v>
      </c>
      <c r="AU186" s="253">
        <f t="shared" si="53"/>
        <v>0</v>
      </c>
      <c r="AV186" s="253">
        <f t="shared" si="53"/>
        <v>0</v>
      </c>
      <c r="AW186" s="253">
        <f t="shared" si="53"/>
        <v>0</v>
      </c>
      <c r="AX186" s="253">
        <f t="shared" si="53"/>
        <v>0</v>
      </c>
      <c r="AY186" s="253">
        <f t="shared" si="53"/>
        <v>0</v>
      </c>
      <c r="AZ186" s="253">
        <f t="shared" si="53"/>
        <v>0</v>
      </c>
      <c r="BA186" s="253">
        <f t="shared" si="53"/>
        <v>0</v>
      </c>
      <c r="BB186" s="253">
        <f t="shared" si="54"/>
        <v>0</v>
      </c>
    </row>
    <row r="187" spans="1:54">
      <c r="A187" s="166"/>
      <c r="B187" s="57"/>
      <c r="C187" s="143" t="s">
        <v>2520</v>
      </c>
      <c r="D187" s="796" t="str">
        <f>IF(CNSIPEE_2024_M2_Secc1!D46="","",CNSIPEE_2024_M2_Secc1!D46)</f>
        <v/>
      </c>
      <c r="E187" s="796"/>
      <c r="F187" s="796"/>
      <c r="G187" s="796"/>
      <c r="H187" s="749"/>
      <c r="I187" s="749"/>
      <c r="J187" s="749"/>
      <c r="K187" s="749"/>
      <c r="L187" s="749"/>
      <c r="M187" s="749"/>
      <c r="N187" s="100"/>
      <c r="O187" s="100"/>
      <c r="P187" s="100"/>
      <c r="Q187" s="100"/>
      <c r="R187" s="100"/>
      <c r="S187" s="100"/>
      <c r="T187" s="100"/>
      <c r="U187" s="100"/>
      <c r="V187" s="100"/>
      <c r="W187" s="100"/>
      <c r="X187" s="100"/>
      <c r="Y187" s="100"/>
      <c r="Z187" s="100"/>
      <c r="AA187" s="100"/>
      <c r="AB187" s="100"/>
      <c r="AC187" s="100"/>
      <c r="AD187" s="100"/>
      <c r="AG187" s="253">
        <f t="shared" si="48"/>
        <v>0</v>
      </c>
      <c r="AH187" s="253">
        <f t="shared" si="49"/>
        <v>0</v>
      </c>
      <c r="AI187" s="253">
        <f t="shared" si="50"/>
        <v>0</v>
      </c>
      <c r="AJ187" s="253">
        <f t="shared" si="51"/>
        <v>0</v>
      </c>
      <c r="AK187" s="253">
        <f t="shared" si="52"/>
        <v>0</v>
      </c>
      <c r="AL187" s="253">
        <f t="shared" si="53"/>
        <v>0</v>
      </c>
      <c r="AM187" s="253">
        <f t="shared" si="53"/>
        <v>0</v>
      </c>
      <c r="AN187" s="253">
        <f t="shared" si="53"/>
        <v>0</v>
      </c>
      <c r="AO187" s="253">
        <f t="shared" si="53"/>
        <v>0</v>
      </c>
      <c r="AP187" s="253">
        <f t="shared" si="53"/>
        <v>0</v>
      </c>
      <c r="AQ187" s="253">
        <f t="shared" si="53"/>
        <v>0</v>
      </c>
      <c r="AR187" s="253">
        <f t="shared" si="53"/>
        <v>0</v>
      </c>
      <c r="AS187" s="253">
        <f t="shared" si="53"/>
        <v>0</v>
      </c>
      <c r="AT187" s="253">
        <f t="shared" si="53"/>
        <v>0</v>
      </c>
      <c r="AU187" s="253">
        <f t="shared" si="53"/>
        <v>0</v>
      </c>
      <c r="AV187" s="253">
        <f t="shared" si="53"/>
        <v>0</v>
      </c>
      <c r="AW187" s="253">
        <f t="shared" si="53"/>
        <v>0</v>
      </c>
      <c r="AX187" s="253">
        <f t="shared" si="53"/>
        <v>0</v>
      </c>
      <c r="AY187" s="253">
        <f t="shared" si="53"/>
        <v>0</v>
      </c>
      <c r="AZ187" s="253">
        <f t="shared" si="53"/>
        <v>0</v>
      </c>
      <c r="BA187" s="253">
        <f t="shared" si="53"/>
        <v>0</v>
      </c>
      <c r="BB187" s="253">
        <f t="shared" si="54"/>
        <v>0</v>
      </c>
    </row>
    <row r="188" spans="1:54">
      <c r="A188" s="166"/>
      <c r="B188" s="57"/>
      <c r="C188" s="143" t="s">
        <v>2521</v>
      </c>
      <c r="D188" s="796" t="str">
        <f>IF(CNSIPEE_2024_M2_Secc1!D47="","",CNSIPEE_2024_M2_Secc1!D47)</f>
        <v/>
      </c>
      <c r="E188" s="796"/>
      <c r="F188" s="796"/>
      <c r="G188" s="796"/>
      <c r="H188" s="749"/>
      <c r="I188" s="749"/>
      <c r="J188" s="749"/>
      <c r="K188" s="749"/>
      <c r="L188" s="749"/>
      <c r="M188" s="749"/>
      <c r="N188" s="100"/>
      <c r="O188" s="100"/>
      <c r="P188" s="100"/>
      <c r="Q188" s="100"/>
      <c r="R188" s="100"/>
      <c r="S188" s="100"/>
      <c r="T188" s="100"/>
      <c r="U188" s="100"/>
      <c r="V188" s="100"/>
      <c r="W188" s="100"/>
      <c r="X188" s="100"/>
      <c r="Y188" s="100"/>
      <c r="Z188" s="100"/>
      <c r="AA188" s="100"/>
      <c r="AB188" s="100"/>
      <c r="AC188" s="100"/>
      <c r="AD188" s="100"/>
      <c r="AG188" s="253">
        <f t="shared" si="48"/>
        <v>0</v>
      </c>
      <c r="AH188" s="253">
        <f t="shared" si="49"/>
        <v>0</v>
      </c>
      <c r="AI188" s="253">
        <f t="shared" si="50"/>
        <v>0</v>
      </c>
      <c r="AJ188" s="253">
        <f t="shared" si="51"/>
        <v>0</v>
      </c>
      <c r="AK188" s="253">
        <f t="shared" si="52"/>
        <v>0</v>
      </c>
      <c r="AL188" s="253">
        <f t="shared" si="53"/>
        <v>0</v>
      </c>
      <c r="AM188" s="253">
        <f t="shared" si="53"/>
        <v>0</v>
      </c>
      <c r="AN188" s="253">
        <f t="shared" si="53"/>
        <v>0</v>
      </c>
      <c r="AO188" s="253">
        <f t="shared" si="53"/>
        <v>0</v>
      </c>
      <c r="AP188" s="253">
        <f t="shared" si="53"/>
        <v>0</v>
      </c>
      <c r="AQ188" s="253">
        <f t="shared" si="53"/>
        <v>0</v>
      </c>
      <c r="AR188" s="253">
        <f t="shared" si="53"/>
        <v>0</v>
      </c>
      <c r="AS188" s="253">
        <f t="shared" si="53"/>
        <v>0</v>
      </c>
      <c r="AT188" s="253">
        <f t="shared" si="53"/>
        <v>0</v>
      </c>
      <c r="AU188" s="253">
        <f t="shared" si="53"/>
        <v>0</v>
      </c>
      <c r="AV188" s="253">
        <f t="shared" si="53"/>
        <v>0</v>
      </c>
      <c r="AW188" s="253">
        <f t="shared" si="53"/>
        <v>0</v>
      </c>
      <c r="AX188" s="253">
        <f t="shared" si="53"/>
        <v>0</v>
      </c>
      <c r="AY188" s="253">
        <f t="shared" si="53"/>
        <v>0</v>
      </c>
      <c r="AZ188" s="253">
        <f t="shared" si="53"/>
        <v>0</v>
      </c>
      <c r="BA188" s="253">
        <f t="shared" si="53"/>
        <v>0</v>
      </c>
      <c r="BB188" s="253">
        <f t="shared" si="54"/>
        <v>0</v>
      </c>
    </row>
    <row r="189" spans="1:54">
      <c r="A189" s="166"/>
      <c r="B189" s="57"/>
      <c r="C189" s="143" t="s">
        <v>2522</v>
      </c>
      <c r="D189" s="796" t="str">
        <f>IF(CNSIPEE_2024_M2_Secc1!D48="","",CNSIPEE_2024_M2_Secc1!D48)</f>
        <v/>
      </c>
      <c r="E189" s="796"/>
      <c r="F189" s="796"/>
      <c r="G189" s="796"/>
      <c r="H189" s="749"/>
      <c r="I189" s="749"/>
      <c r="J189" s="749"/>
      <c r="K189" s="749"/>
      <c r="L189" s="749"/>
      <c r="M189" s="749"/>
      <c r="N189" s="100"/>
      <c r="O189" s="100"/>
      <c r="P189" s="100"/>
      <c r="Q189" s="100"/>
      <c r="R189" s="100"/>
      <c r="S189" s="100"/>
      <c r="T189" s="100"/>
      <c r="U189" s="100"/>
      <c r="V189" s="100"/>
      <c r="W189" s="100"/>
      <c r="X189" s="100"/>
      <c r="Y189" s="100"/>
      <c r="Z189" s="100"/>
      <c r="AA189" s="100"/>
      <c r="AB189" s="100"/>
      <c r="AC189" s="100"/>
      <c r="AD189" s="100"/>
      <c r="AG189" s="253">
        <f t="shared" si="48"/>
        <v>0</v>
      </c>
      <c r="AH189" s="253">
        <f t="shared" si="49"/>
        <v>0</v>
      </c>
      <c r="AI189" s="253">
        <f t="shared" si="50"/>
        <v>0</v>
      </c>
      <c r="AJ189" s="253">
        <f t="shared" si="51"/>
        <v>0</v>
      </c>
      <c r="AK189" s="253">
        <f t="shared" si="52"/>
        <v>0</v>
      </c>
      <c r="AL189" s="253">
        <f t="shared" si="53"/>
        <v>0</v>
      </c>
      <c r="AM189" s="253">
        <f t="shared" si="53"/>
        <v>0</v>
      </c>
      <c r="AN189" s="253">
        <f t="shared" si="53"/>
        <v>0</v>
      </c>
      <c r="AO189" s="253">
        <f t="shared" si="53"/>
        <v>0</v>
      </c>
      <c r="AP189" s="253">
        <f t="shared" si="53"/>
        <v>0</v>
      </c>
      <c r="AQ189" s="253">
        <f t="shared" si="53"/>
        <v>0</v>
      </c>
      <c r="AR189" s="253">
        <f t="shared" si="53"/>
        <v>0</v>
      </c>
      <c r="AS189" s="253">
        <f t="shared" si="53"/>
        <v>0</v>
      </c>
      <c r="AT189" s="253">
        <f t="shared" si="53"/>
        <v>0</v>
      </c>
      <c r="AU189" s="253">
        <f t="shared" si="53"/>
        <v>0</v>
      </c>
      <c r="AV189" s="253">
        <f t="shared" si="53"/>
        <v>0</v>
      </c>
      <c r="AW189" s="253">
        <f t="shared" si="53"/>
        <v>0</v>
      </c>
      <c r="AX189" s="253">
        <f t="shared" si="53"/>
        <v>0</v>
      </c>
      <c r="AY189" s="253">
        <f t="shared" si="53"/>
        <v>0</v>
      </c>
      <c r="AZ189" s="253">
        <f t="shared" si="53"/>
        <v>0</v>
      </c>
      <c r="BA189" s="253">
        <f t="shared" si="53"/>
        <v>0</v>
      </c>
      <c r="BB189" s="253">
        <f t="shared" si="54"/>
        <v>0</v>
      </c>
    </row>
    <row r="190" spans="1:54">
      <c r="A190" s="166"/>
      <c r="B190" s="57"/>
      <c r="C190" s="143" t="s">
        <v>2523</v>
      </c>
      <c r="D190" s="796" t="str">
        <f>IF(CNSIPEE_2024_M2_Secc1!D49="","",CNSIPEE_2024_M2_Secc1!D49)</f>
        <v/>
      </c>
      <c r="E190" s="796"/>
      <c r="F190" s="796"/>
      <c r="G190" s="796"/>
      <c r="H190" s="749"/>
      <c r="I190" s="749"/>
      <c r="J190" s="749"/>
      <c r="K190" s="749"/>
      <c r="L190" s="749"/>
      <c r="M190" s="749"/>
      <c r="N190" s="100"/>
      <c r="O190" s="100"/>
      <c r="P190" s="100"/>
      <c r="Q190" s="100"/>
      <c r="R190" s="100"/>
      <c r="S190" s="100"/>
      <c r="T190" s="100"/>
      <c r="U190" s="100"/>
      <c r="V190" s="100"/>
      <c r="W190" s="100"/>
      <c r="X190" s="100"/>
      <c r="Y190" s="100"/>
      <c r="Z190" s="100"/>
      <c r="AA190" s="100"/>
      <c r="AB190" s="100"/>
      <c r="AC190" s="100"/>
      <c r="AD190" s="100"/>
      <c r="AG190" s="253">
        <f t="shared" si="48"/>
        <v>0</v>
      </c>
      <c r="AH190" s="253">
        <f t="shared" si="49"/>
        <v>0</v>
      </c>
      <c r="AI190" s="253">
        <f t="shared" si="50"/>
        <v>0</v>
      </c>
      <c r="AJ190" s="253">
        <f t="shared" si="51"/>
        <v>0</v>
      </c>
      <c r="AK190" s="253">
        <f t="shared" si="52"/>
        <v>0</v>
      </c>
      <c r="AL190" s="253">
        <f t="shared" si="53"/>
        <v>0</v>
      </c>
      <c r="AM190" s="253">
        <f t="shared" si="53"/>
        <v>0</v>
      </c>
      <c r="AN190" s="253">
        <f t="shared" si="53"/>
        <v>0</v>
      </c>
      <c r="AO190" s="253">
        <f t="shared" si="53"/>
        <v>0</v>
      </c>
      <c r="AP190" s="253">
        <f t="shared" si="53"/>
        <v>0</v>
      </c>
      <c r="AQ190" s="253">
        <f t="shared" si="53"/>
        <v>0</v>
      </c>
      <c r="AR190" s="253">
        <f t="shared" si="53"/>
        <v>0</v>
      </c>
      <c r="AS190" s="253">
        <f t="shared" si="53"/>
        <v>0</v>
      </c>
      <c r="AT190" s="253">
        <f t="shared" si="53"/>
        <v>0</v>
      </c>
      <c r="AU190" s="253">
        <f t="shared" si="53"/>
        <v>0</v>
      </c>
      <c r="AV190" s="253">
        <f t="shared" si="53"/>
        <v>0</v>
      </c>
      <c r="AW190" s="253">
        <f t="shared" si="53"/>
        <v>0</v>
      </c>
      <c r="AX190" s="253">
        <f t="shared" si="53"/>
        <v>0</v>
      </c>
      <c r="AY190" s="253">
        <f t="shared" si="53"/>
        <v>0</v>
      </c>
      <c r="AZ190" s="253">
        <f t="shared" si="53"/>
        <v>0</v>
      </c>
      <c r="BA190" s="253">
        <f>IF(COUNTIF(AD190,"NS")=0,IF($N190&lt;AD190,1,0),0)</f>
        <v>0</v>
      </c>
      <c r="BB190" s="253">
        <f t="shared" si="54"/>
        <v>0</v>
      </c>
    </row>
    <row r="191" spans="1:54">
      <c r="A191" s="166"/>
      <c r="B191" s="57"/>
      <c r="C191" s="57"/>
      <c r="D191" s="57"/>
      <c r="E191" s="57"/>
      <c r="F191" s="57"/>
      <c r="G191" s="57"/>
      <c r="H191" s="57"/>
      <c r="I191" s="57"/>
      <c r="J191" s="57"/>
      <c r="K191" s="117"/>
      <c r="L191" s="51"/>
      <c r="M191" s="99" t="s">
        <v>2649</v>
      </c>
      <c r="N191" s="682">
        <f t="shared" ref="N191:AD191" si="55">IF(AND(SUM(N183:N190)=0,COUNTIF(N183:N190,"NS")&gt;0),"NS",IF(AND(SUM(N183:N190)=0,COUNTIF(N183:N190,0)&gt;0),0,IF(AND(SUM(N183:N190)=0,COUNTIF(N183:N190,"NA")&gt;0),"NA",SUM(N183:N190))))</f>
        <v>0</v>
      </c>
      <c r="O191" s="682">
        <f t="shared" si="55"/>
        <v>0</v>
      </c>
      <c r="P191" s="682">
        <f t="shared" si="55"/>
        <v>0</v>
      </c>
      <c r="Q191" s="682">
        <f t="shared" si="55"/>
        <v>0</v>
      </c>
      <c r="R191" s="682">
        <f t="shared" si="55"/>
        <v>0</v>
      </c>
      <c r="S191" s="682">
        <f t="shared" si="55"/>
        <v>0</v>
      </c>
      <c r="T191" s="682">
        <f t="shared" si="55"/>
        <v>0</v>
      </c>
      <c r="U191" s="682">
        <f t="shared" si="55"/>
        <v>0</v>
      </c>
      <c r="V191" s="682">
        <f t="shared" si="55"/>
        <v>0</v>
      </c>
      <c r="W191" s="682">
        <f t="shared" si="55"/>
        <v>0</v>
      </c>
      <c r="X191" s="682">
        <f t="shared" si="55"/>
        <v>0</v>
      </c>
      <c r="Y191" s="682">
        <f t="shared" si="55"/>
        <v>0</v>
      </c>
      <c r="Z191" s="682">
        <f t="shared" si="55"/>
        <v>0</v>
      </c>
      <c r="AA191" s="682">
        <f t="shared" si="55"/>
        <v>0</v>
      </c>
      <c r="AB191" s="682">
        <f t="shared" si="55"/>
        <v>0</v>
      </c>
      <c r="AC191" s="682">
        <f t="shared" si="55"/>
        <v>0</v>
      </c>
      <c r="AD191" s="682">
        <f t="shared" si="55"/>
        <v>0</v>
      </c>
      <c r="AG191" s="683">
        <f>SUM(AG183:AG190)</f>
        <v>0</v>
      </c>
      <c r="AH191" s="684">
        <f>SUM(AH183:AH190)</f>
        <v>0</v>
      </c>
      <c r="AI191" s="689">
        <f>SUM(AI183:AI190)</f>
        <v>0</v>
      </c>
      <c r="AJ191" s="712">
        <f>SUM(AJ183:AJ190)</f>
        <v>0</v>
      </c>
      <c r="AK191" s="698">
        <f>SUM(AK183:AK190)</f>
        <v>0</v>
      </c>
      <c r="AL191" s="690">
        <f>SUM(AL183:BA190)</f>
        <v>0</v>
      </c>
      <c r="BB191" s="261">
        <f>SUM(BB183:BB190)</f>
        <v>0</v>
      </c>
    </row>
    <row r="192" spans="1:54" ht="15" customHeight="1">
      <c r="A192" s="186"/>
      <c r="B192" s="57"/>
      <c r="C192" s="57"/>
      <c r="D192" s="57"/>
      <c r="E192" s="57"/>
      <c r="F192" s="57"/>
      <c r="G192" s="57"/>
      <c r="H192" s="57"/>
      <c r="I192" s="57"/>
      <c r="J192" s="57"/>
      <c r="K192" s="57"/>
      <c r="L192" s="57"/>
      <c r="M192" s="57"/>
      <c r="N192" s="57"/>
      <c r="O192" s="57"/>
      <c r="P192" s="57"/>
      <c r="Q192" s="57"/>
      <c r="R192" s="57"/>
      <c r="S192" s="57"/>
      <c r="T192" s="57"/>
      <c r="U192" s="57"/>
      <c r="V192" s="57"/>
      <c r="W192" s="57"/>
      <c r="X192" s="57"/>
      <c r="Y192" s="57"/>
      <c r="Z192" s="57"/>
      <c r="AA192" s="57"/>
      <c r="AB192" s="57"/>
      <c r="AC192" s="57"/>
      <c r="AD192" s="57"/>
    </row>
    <row r="193" spans="1:31" ht="45" customHeight="1">
      <c r="A193" s="186"/>
      <c r="B193" s="57"/>
      <c r="C193" s="822" t="s">
        <v>6424</v>
      </c>
      <c r="D193" s="822"/>
      <c r="E193" s="822"/>
      <c r="F193" s="816"/>
      <c r="G193" s="738"/>
      <c r="H193" s="738"/>
      <c r="I193" s="738"/>
      <c r="J193" s="738"/>
      <c r="K193" s="738"/>
      <c r="L193" s="738"/>
      <c r="M193" s="738"/>
      <c r="N193" s="738"/>
      <c r="O193" s="738"/>
      <c r="P193" s="738"/>
      <c r="Q193" s="738"/>
      <c r="R193" s="738"/>
      <c r="S193" s="738"/>
      <c r="T193" s="738"/>
      <c r="U193" s="738"/>
      <c r="V193" s="738"/>
      <c r="W193" s="738"/>
      <c r="X193" s="738"/>
      <c r="Y193" s="738"/>
      <c r="Z193" s="738"/>
      <c r="AA193" s="738"/>
      <c r="AB193" s="738"/>
      <c r="AC193" s="738"/>
      <c r="AD193" s="817"/>
    </row>
    <row r="194" spans="1:31" ht="15" customHeight="1">
      <c r="A194" s="186"/>
      <c r="B194" s="794" t="str">
        <f>IF(AND(AI191&gt;0,F193="")," Debido a que cuenta con registros en el numeral 14, debe anotar el nombre de dicho(s) derecho(s)","")</f>
        <v/>
      </c>
      <c r="C194" s="794"/>
      <c r="D194" s="794"/>
      <c r="E194" s="794"/>
      <c r="F194" s="794"/>
      <c r="G194" s="794"/>
      <c r="H194" s="794"/>
      <c r="I194" s="794"/>
      <c r="J194" s="794"/>
      <c r="K194" s="794"/>
      <c r="L194" s="794"/>
      <c r="M194" s="794"/>
      <c r="N194" s="794"/>
      <c r="O194" s="794"/>
      <c r="P194" s="794"/>
      <c r="Q194" s="794"/>
      <c r="R194" s="794"/>
      <c r="S194" s="794"/>
      <c r="T194" s="794"/>
      <c r="U194" s="794"/>
      <c r="V194" s="794"/>
      <c r="W194" s="794"/>
      <c r="X194" s="794"/>
      <c r="Y194" s="794"/>
      <c r="Z194" s="794"/>
      <c r="AA194" s="794"/>
      <c r="AB194" s="794"/>
      <c r="AC194" s="794"/>
      <c r="AD194" s="794"/>
      <c r="AE194" s="794"/>
    </row>
    <row r="195" spans="1:31">
      <c r="A195" s="197"/>
      <c r="B195" s="90"/>
      <c r="C195" s="732" t="s">
        <v>6425</v>
      </c>
      <c r="D195" s="732"/>
      <c r="E195" s="732"/>
      <c r="F195" s="732"/>
      <c r="G195" s="732"/>
      <c r="H195" s="732"/>
      <c r="I195" s="732"/>
      <c r="J195" s="732"/>
      <c r="K195" s="732"/>
      <c r="L195" s="732"/>
      <c r="M195" s="732"/>
      <c r="N195" s="732"/>
      <c r="O195" s="732"/>
      <c r="P195" s="732"/>
      <c r="Q195" s="732"/>
      <c r="R195" s="732"/>
      <c r="S195" s="732"/>
      <c r="T195" s="732"/>
      <c r="U195" s="732"/>
      <c r="V195" s="732"/>
      <c r="W195" s="732"/>
      <c r="X195" s="732"/>
      <c r="Y195" s="732"/>
      <c r="Z195" s="732"/>
      <c r="AA195" s="732"/>
      <c r="AB195" s="732"/>
      <c r="AC195" s="732"/>
      <c r="AD195" s="732"/>
    </row>
    <row r="196" spans="1:31" ht="15" customHeight="1">
      <c r="A196" s="197"/>
      <c r="B196" s="90"/>
      <c r="C196" s="92" t="s">
        <v>2516</v>
      </c>
      <c r="D196" s="813" t="s">
        <v>6426</v>
      </c>
      <c r="E196" s="814"/>
      <c r="F196" s="814"/>
      <c r="G196" s="814"/>
      <c r="H196" s="814"/>
      <c r="I196" s="814"/>
      <c r="J196" s="814"/>
      <c r="K196" s="814"/>
      <c r="L196" s="814"/>
      <c r="M196" s="814"/>
      <c r="N196" s="814"/>
      <c r="O196" s="814"/>
      <c r="P196" s="815"/>
      <c r="Q196" s="44" t="s">
        <v>2524</v>
      </c>
      <c r="R196" s="813" t="s">
        <v>6427</v>
      </c>
      <c r="S196" s="814"/>
      <c r="T196" s="814"/>
      <c r="U196" s="814"/>
      <c r="V196" s="814"/>
      <c r="W196" s="814"/>
      <c r="X196" s="814"/>
      <c r="Y196" s="814"/>
      <c r="Z196" s="814"/>
      <c r="AA196" s="814"/>
      <c r="AB196" s="814"/>
      <c r="AC196" s="814"/>
      <c r="AD196" s="815"/>
    </row>
    <row r="197" spans="1:31" ht="15" customHeight="1">
      <c r="A197" s="197"/>
      <c r="B197" s="90"/>
      <c r="C197" s="44" t="s">
        <v>2517</v>
      </c>
      <c r="D197" s="813" t="s">
        <v>6428</v>
      </c>
      <c r="E197" s="814"/>
      <c r="F197" s="814"/>
      <c r="G197" s="814"/>
      <c r="H197" s="814"/>
      <c r="I197" s="814"/>
      <c r="J197" s="814"/>
      <c r="K197" s="814"/>
      <c r="L197" s="814"/>
      <c r="M197" s="814"/>
      <c r="N197" s="814"/>
      <c r="O197" s="814"/>
      <c r="P197" s="815"/>
      <c r="Q197" s="44" t="s">
        <v>2525</v>
      </c>
      <c r="R197" s="813" t="s">
        <v>6429</v>
      </c>
      <c r="S197" s="814"/>
      <c r="T197" s="814"/>
      <c r="U197" s="814"/>
      <c r="V197" s="814"/>
      <c r="W197" s="814"/>
      <c r="X197" s="814"/>
      <c r="Y197" s="814"/>
      <c r="Z197" s="814"/>
      <c r="AA197" s="814"/>
      <c r="AB197" s="814"/>
      <c r="AC197" s="814"/>
      <c r="AD197" s="815"/>
    </row>
    <row r="198" spans="1:31" ht="15" customHeight="1">
      <c r="A198" s="197"/>
      <c r="B198" s="90"/>
      <c r="C198" s="44" t="s">
        <v>2518</v>
      </c>
      <c r="D198" s="813" t="s">
        <v>6430</v>
      </c>
      <c r="E198" s="814"/>
      <c r="F198" s="814"/>
      <c r="G198" s="814"/>
      <c r="H198" s="814"/>
      <c r="I198" s="814"/>
      <c r="J198" s="814"/>
      <c r="K198" s="814"/>
      <c r="L198" s="814"/>
      <c r="M198" s="814"/>
      <c r="N198" s="814"/>
      <c r="O198" s="814"/>
      <c r="P198" s="815"/>
      <c r="Q198" s="44" t="s">
        <v>2526</v>
      </c>
      <c r="R198" s="813" t="s">
        <v>6431</v>
      </c>
      <c r="S198" s="814"/>
      <c r="T198" s="814"/>
      <c r="U198" s="814"/>
      <c r="V198" s="814"/>
      <c r="W198" s="814"/>
      <c r="X198" s="814"/>
      <c r="Y198" s="814"/>
      <c r="Z198" s="814"/>
      <c r="AA198" s="814"/>
      <c r="AB198" s="814"/>
      <c r="AC198" s="814"/>
      <c r="AD198" s="815"/>
    </row>
    <row r="199" spans="1:31" ht="24" customHeight="1">
      <c r="A199" s="197"/>
      <c r="B199" s="90"/>
      <c r="C199" s="44" t="s">
        <v>2519</v>
      </c>
      <c r="D199" s="813" t="s">
        <v>6432</v>
      </c>
      <c r="E199" s="814"/>
      <c r="F199" s="814"/>
      <c r="G199" s="814"/>
      <c r="H199" s="814"/>
      <c r="I199" s="814"/>
      <c r="J199" s="814"/>
      <c r="K199" s="814"/>
      <c r="L199" s="814"/>
      <c r="M199" s="814"/>
      <c r="N199" s="814"/>
      <c r="O199" s="814"/>
      <c r="P199" s="815"/>
      <c r="Q199" s="44" t="s">
        <v>2527</v>
      </c>
      <c r="R199" s="813" t="s">
        <v>6433</v>
      </c>
      <c r="S199" s="814"/>
      <c r="T199" s="814"/>
      <c r="U199" s="814"/>
      <c r="V199" s="814"/>
      <c r="W199" s="814"/>
      <c r="X199" s="814"/>
      <c r="Y199" s="814"/>
      <c r="Z199" s="814"/>
      <c r="AA199" s="814"/>
      <c r="AB199" s="814"/>
      <c r="AC199" s="814"/>
      <c r="AD199" s="815"/>
    </row>
    <row r="200" spans="1:31" ht="15" customHeight="1">
      <c r="A200" s="197"/>
      <c r="B200" s="90"/>
      <c r="C200" s="44" t="s">
        <v>2520</v>
      </c>
      <c r="D200" s="813" t="s">
        <v>6434</v>
      </c>
      <c r="E200" s="814"/>
      <c r="F200" s="814"/>
      <c r="G200" s="814"/>
      <c r="H200" s="814"/>
      <c r="I200" s="814"/>
      <c r="J200" s="814"/>
      <c r="K200" s="814"/>
      <c r="L200" s="814"/>
      <c r="M200" s="814"/>
      <c r="N200" s="814"/>
      <c r="O200" s="814"/>
      <c r="P200" s="815"/>
      <c r="Q200" s="44" t="s">
        <v>2528</v>
      </c>
      <c r="R200" s="813" t="s">
        <v>6435</v>
      </c>
      <c r="S200" s="814"/>
      <c r="T200" s="814"/>
      <c r="U200" s="814"/>
      <c r="V200" s="814"/>
      <c r="W200" s="814"/>
      <c r="X200" s="814"/>
      <c r="Y200" s="814"/>
      <c r="Z200" s="814"/>
      <c r="AA200" s="814"/>
      <c r="AB200" s="814"/>
      <c r="AC200" s="814"/>
      <c r="AD200" s="815"/>
    </row>
    <row r="201" spans="1:31" ht="15" customHeight="1">
      <c r="A201" s="197"/>
      <c r="B201" s="90"/>
      <c r="C201" s="44" t="s">
        <v>2521</v>
      </c>
      <c r="D201" s="813" t="s">
        <v>6436</v>
      </c>
      <c r="E201" s="814"/>
      <c r="F201" s="814"/>
      <c r="G201" s="814"/>
      <c r="H201" s="814"/>
      <c r="I201" s="814"/>
      <c r="J201" s="814"/>
      <c r="K201" s="814"/>
      <c r="L201" s="814"/>
      <c r="M201" s="814"/>
      <c r="N201" s="814"/>
      <c r="O201" s="814"/>
      <c r="P201" s="815"/>
      <c r="Q201" s="143" t="s">
        <v>2529</v>
      </c>
      <c r="R201" s="813" t="s">
        <v>6437</v>
      </c>
      <c r="S201" s="814"/>
      <c r="T201" s="814"/>
      <c r="U201" s="814"/>
      <c r="V201" s="814"/>
      <c r="W201" s="814"/>
      <c r="X201" s="814"/>
      <c r="Y201" s="814"/>
      <c r="Z201" s="814"/>
      <c r="AA201" s="814"/>
      <c r="AB201" s="814"/>
      <c r="AC201" s="814"/>
      <c r="AD201" s="815"/>
    </row>
    <row r="202" spans="1:31" ht="15" customHeight="1">
      <c r="A202" s="197"/>
      <c r="B202" s="90"/>
      <c r="C202" s="44" t="s">
        <v>2522</v>
      </c>
      <c r="D202" s="813" t="s">
        <v>6438</v>
      </c>
      <c r="E202" s="814"/>
      <c r="F202" s="814"/>
      <c r="G202" s="814"/>
      <c r="H202" s="814"/>
      <c r="I202" s="814"/>
      <c r="J202" s="814"/>
      <c r="K202" s="814"/>
      <c r="L202" s="814"/>
      <c r="M202" s="814"/>
      <c r="N202" s="814"/>
      <c r="O202" s="814"/>
      <c r="P202" s="815"/>
      <c r="Q202" s="44" t="s">
        <v>2530</v>
      </c>
      <c r="R202" s="813" t="s">
        <v>6439</v>
      </c>
      <c r="S202" s="814"/>
      <c r="T202" s="814"/>
      <c r="U202" s="814"/>
      <c r="V202" s="814"/>
      <c r="W202" s="814"/>
      <c r="X202" s="814"/>
      <c r="Y202" s="814"/>
      <c r="Z202" s="814"/>
      <c r="AA202" s="814"/>
      <c r="AB202" s="814"/>
      <c r="AC202" s="814"/>
      <c r="AD202" s="815"/>
    </row>
    <row r="203" spans="1:31" ht="15" customHeight="1">
      <c r="A203" s="166"/>
      <c r="B203" s="57"/>
      <c r="C203" s="44" t="s">
        <v>2523</v>
      </c>
      <c r="D203" s="813" t="s">
        <v>6440</v>
      </c>
      <c r="E203" s="814"/>
      <c r="F203" s="814"/>
      <c r="G203" s="814"/>
      <c r="H203" s="814"/>
      <c r="I203" s="814"/>
      <c r="J203" s="814"/>
      <c r="K203" s="814"/>
      <c r="L203" s="814"/>
      <c r="M203" s="814"/>
      <c r="N203" s="814"/>
      <c r="O203" s="814"/>
      <c r="P203" s="815"/>
      <c r="Q203" s="143" t="s">
        <v>2531</v>
      </c>
      <c r="R203" s="961" t="s">
        <v>201</v>
      </c>
      <c r="S203" s="814"/>
      <c r="T203" s="814"/>
      <c r="U203" s="814"/>
      <c r="V203" s="814"/>
      <c r="W203" s="814"/>
      <c r="X203" s="814"/>
      <c r="Y203" s="814"/>
      <c r="Z203" s="814"/>
      <c r="AA203" s="814"/>
      <c r="AB203" s="814"/>
      <c r="AC203" s="814"/>
      <c r="AD203" s="815"/>
    </row>
    <row r="204" spans="1:31" ht="15" customHeight="1">
      <c r="A204" s="186"/>
      <c r="B204" s="57"/>
      <c r="C204" s="57"/>
      <c r="D204" s="57"/>
      <c r="E204" s="57"/>
      <c r="F204" s="57"/>
      <c r="G204" s="57"/>
      <c r="H204" s="57"/>
      <c r="I204" s="57"/>
      <c r="J204" s="57"/>
      <c r="K204" s="57"/>
      <c r="L204" s="57"/>
      <c r="M204" s="57"/>
      <c r="N204" s="57"/>
      <c r="O204" s="57"/>
      <c r="P204" s="57"/>
      <c r="Q204" s="57"/>
      <c r="R204" s="57"/>
      <c r="S204" s="57"/>
      <c r="T204" s="57"/>
      <c r="U204" s="57"/>
      <c r="V204" s="57"/>
      <c r="W204" s="57"/>
      <c r="X204" s="57"/>
      <c r="Y204" s="57"/>
      <c r="Z204" s="57"/>
      <c r="AA204" s="57"/>
      <c r="AB204" s="57"/>
      <c r="AC204" s="57"/>
      <c r="AD204" s="57"/>
    </row>
    <row r="205" spans="1:31" ht="24" customHeight="1">
      <c r="A205" s="186"/>
      <c r="B205" s="57"/>
      <c r="C205" s="754" t="s">
        <v>2611</v>
      </c>
      <c r="D205" s="754"/>
      <c r="E205" s="754"/>
      <c r="F205" s="754"/>
      <c r="G205" s="754"/>
      <c r="H205" s="754"/>
      <c r="I205" s="754"/>
      <c r="J205" s="754"/>
      <c r="K205" s="754"/>
      <c r="L205" s="754"/>
      <c r="M205" s="754"/>
      <c r="N205" s="754"/>
      <c r="O205" s="754"/>
      <c r="P205" s="754"/>
      <c r="Q205" s="754"/>
      <c r="R205" s="754"/>
      <c r="S205" s="754"/>
      <c r="T205" s="754"/>
      <c r="U205" s="754"/>
      <c r="V205" s="754"/>
      <c r="W205" s="754"/>
      <c r="X205" s="754"/>
      <c r="Y205" s="754"/>
      <c r="Z205" s="754"/>
      <c r="AA205" s="754"/>
      <c r="AB205" s="754"/>
      <c r="AC205" s="754"/>
      <c r="AD205" s="754"/>
    </row>
    <row r="206" spans="1:31" ht="60" customHeight="1">
      <c r="A206" s="186"/>
      <c r="B206" s="57"/>
      <c r="C206" s="851"/>
      <c r="D206" s="851"/>
      <c r="E206" s="851"/>
      <c r="F206" s="851"/>
      <c r="G206" s="851"/>
      <c r="H206" s="851"/>
      <c r="I206" s="851"/>
      <c r="J206" s="851"/>
      <c r="K206" s="851"/>
      <c r="L206" s="851"/>
      <c r="M206" s="851"/>
      <c r="N206" s="851"/>
      <c r="O206" s="851"/>
      <c r="P206" s="851"/>
      <c r="Q206" s="851"/>
      <c r="R206" s="851"/>
      <c r="S206" s="851"/>
      <c r="T206" s="851"/>
      <c r="U206" s="851"/>
      <c r="V206" s="851"/>
      <c r="W206" s="851"/>
      <c r="X206" s="851"/>
      <c r="Y206" s="851"/>
      <c r="Z206" s="851"/>
      <c r="AA206" s="851"/>
      <c r="AB206" s="851"/>
      <c r="AC206" s="851"/>
      <c r="AD206" s="851"/>
    </row>
    <row r="207" spans="1:31" ht="15" customHeight="1">
      <c r="A207" s="186"/>
      <c r="B207" s="794" t="str">
        <f>IF(AG191&gt;0,"Favor de ingresar toda la información requerida en la pregunta y/o verifique que no tenga información en celdas sombreadas","")</f>
        <v/>
      </c>
      <c r="C207" s="794"/>
      <c r="D207" s="794"/>
      <c r="E207" s="794"/>
      <c r="F207" s="794"/>
      <c r="G207" s="794"/>
      <c r="H207" s="794"/>
      <c r="I207" s="794"/>
      <c r="J207" s="794"/>
      <c r="K207" s="794"/>
      <c r="L207" s="794"/>
      <c r="M207" s="794"/>
      <c r="N207" s="794"/>
      <c r="O207" s="794"/>
      <c r="P207" s="794"/>
      <c r="Q207" s="794"/>
      <c r="R207" s="794"/>
      <c r="S207" s="794"/>
      <c r="T207" s="794"/>
      <c r="U207" s="794"/>
      <c r="V207" s="794"/>
      <c r="W207" s="794"/>
      <c r="X207" s="794"/>
      <c r="Y207" s="794"/>
      <c r="Z207" s="794"/>
      <c r="AA207" s="794"/>
      <c r="AB207" s="794"/>
      <c r="AC207" s="794"/>
      <c r="AD207" s="794"/>
      <c r="AE207" s="794"/>
    </row>
    <row r="208" spans="1:31" ht="15" customHeight="1">
      <c r="A208" s="186"/>
      <c r="B208" s="795" t="str">
        <f>IF(AH191&gt;0,"Alerta: debido a que cuenta con registros NS, debe proporcionar una justificación en el area de comentarios al final de la pregunta","")</f>
        <v/>
      </c>
      <c r="C208" s="795"/>
      <c r="D208" s="795"/>
      <c r="E208" s="795"/>
      <c r="F208" s="795"/>
      <c r="G208" s="795"/>
      <c r="H208" s="795"/>
      <c r="I208" s="795"/>
      <c r="J208" s="795"/>
      <c r="K208" s="795"/>
      <c r="L208" s="795"/>
      <c r="M208" s="795"/>
      <c r="N208" s="795"/>
      <c r="O208" s="795"/>
      <c r="P208" s="795"/>
      <c r="Q208" s="795"/>
      <c r="R208" s="795"/>
      <c r="S208" s="795"/>
      <c r="T208" s="795"/>
      <c r="U208" s="795"/>
      <c r="V208" s="795"/>
      <c r="W208" s="795"/>
      <c r="X208" s="795"/>
      <c r="Y208" s="795"/>
      <c r="Z208" s="795"/>
      <c r="AA208" s="795"/>
      <c r="AB208" s="795"/>
      <c r="AC208" s="795"/>
      <c r="AD208" s="795"/>
      <c r="AE208" s="795"/>
    </row>
    <row r="209" spans="1:49" ht="15" customHeight="1">
      <c r="A209" s="186"/>
      <c r="B209" s="794" t="str">
        <f>IF(AK191&gt;0,"Revisar la instrucción 2, debido a que la suma de las solicitudes registradas son menores al total general de la fila respectiva","")</f>
        <v/>
      </c>
      <c r="C209" s="794"/>
      <c r="D209" s="794"/>
      <c r="E209" s="794"/>
      <c r="F209" s="794"/>
      <c r="G209" s="794"/>
      <c r="H209" s="794"/>
      <c r="I209" s="794"/>
      <c r="J209" s="794"/>
      <c r="K209" s="794"/>
      <c r="L209" s="794"/>
      <c r="M209" s="794"/>
      <c r="N209" s="794"/>
      <c r="O209" s="794"/>
      <c r="P209" s="794"/>
      <c r="Q209" s="794"/>
      <c r="R209" s="794"/>
      <c r="S209" s="794"/>
      <c r="T209" s="794"/>
      <c r="U209" s="794"/>
      <c r="V209" s="794"/>
      <c r="W209" s="794"/>
      <c r="X209" s="794"/>
      <c r="Y209" s="794"/>
      <c r="Z209" s="794"/>
      <c r="AA209" s="794"/>
      <c r="AB209" s="794"/>
      <c r="AC209" s="794"/>
      <c r="AD209" s="794"/>
      <c r="AE209" s="794"/>
    </row>
    <row r="210" spans="1:49" ht="15" customHeight="1">
      <c r="A210" s="186"/>
      <c r="B210" s="794" t="str">
        <f>IF(AL191&gt;0,"Revisar la instrucción 3, debido a que cada solicitud registrada debe ser igual o menor al total general de la fila respectiva","")</f>
        <v/>
      </c>
      <c r="C210" s="794"/>
      <c r="D210" s="794"/>
      <c r="E210" s="794"/>
      <c r="F210" s="794"/>
      <c r="G210" s="794"/>
      <c r="H210" s="794"/>
      <c r="I210" s="794"/>
      <c r="J210" s="794"/>
      <c r="K210" s="794"/>
      <c r="L210" s="794"/>
      <c r="M210" s="794"/>
      <c r="N210" s="794"/>
      <c r="O210" s="794"/>
      <c r="P210" s="794"/>
      <c r="Q210" s="794"/>
      <c r="R210" s="794"/>
      <c r="S210" s="794"/>
      <c r="T210" s="794"/>
      <c r="U210" s="794"/>
      <c r="V210" s="794"/>
      <c r="W210" s="794"/>
      <c r="X210" s="794"/>
      <c r="Y210" s="794"/>
      <c r="Z210" s="794"/>
      <c r="AA210" s="794"/>
      <c r="AB210" s="794"/>
      <c r="AC210" s="794"/>
      <c r="AD210" s="794"/>
      <c r="AE210" s="794"/>
    </row>
    <row r="211" spans="1:49" ht="15" customHeight="1">
      <c r="A211" s="186"/>
      <c r="B211" s="794" t="str">
        <f>IF(AJ191=0,"","Debido a que cuenta con registro(s) con el código 1, el total de la fila respectiva debe ser mayor a cero")</f>
        <v/>
      </c>
      <c r="C211" s="794"/>
      <c r="D211" s="794"/>
      <c r="E211" s="794"/>
      <c r="F211" s="794"/>
      <c r="G211" s="794"/>
      <c r="H211" s="794"/>
      <c r="I211" s="794"/>
      <c r="J211" s="794"/>
      <c r="K211" s="794"/>
      <c r="L211" s="794"/>
      <c r="M211" s="794"/>
      <c r="N211" s="794"/>
      <c r="O211" s="794"/>
      <c r="P211" s="794"/>
      <c r="Q211" s="794"/>
      <c r="R211" s="794"/>
      <c r="S211" s="794"/>
      <c r="T211" s="794"/>
      <c r="U211" s="794"/>
      <c r="V211" s="794"/>
      <c r="W211" s="794"/>
      <c r="X211" s="794"/>
      <c r="Y211" s="794"/>
      <c r="Z211" s="794"/>
      <c r="AA211" s="794"/>
      <c r="AB211" s="794"/>
      <c r="AC211" s="794"/>
      <c r="AD211" s="794"/>
      <c r="AE211" s="794"/>
    </row>
    <row r="212" spans="1:49" ht="15" customHeight="1">
      <c r="A212" s="186"/>
      <c r="B212" s="794" t="str">
        <f>IF(BB191=0,"","Error: revisar por filas la consistencia entre la columna Total y las desagregaciones")</f>
        <v/>
      </c>
      <c r="C212" s="794"/>
      <c r="D212" s="794"/>
      <c r="E212" s="794"/>
      <c r="F212" s="794"/>
      <c r="G212" s="794"/>
      <c r="H212" s="794"/>
      <c r="I212" s="794"/>
      <c r="J212" s="794"/>
      <c r="K212" s="794"/>
      <c r="L212" s="794"/>
      <c r="M212" s="794"/>
      <c r="N212" s="794"/>
      <c r="O212" s="794"/>
      <c r="P212" s="794"/>
      <c r="Q212" s="794"/>
      <c r="R212" s="794"/>
      <c r="S212" s="794"/>
      <c r="T212" s="794"/>
      <c r="U212" s="794"/>
      <c r="V212" s="794"/>
      <c r="W212" s="794"/>
      <c r="X212" s="794"/>
      <c r="Y212" s="794"/>
      <c r="Z212" s="794"/>
      <c r="AA212" s="794"/>
      <c r="AB212" s="794"/>
      <c r="AC212" s="794"/>
      <c r="AD212" s="794"/>
    </row>
    <row r="213" spans="1:49" ht="36" customHeight="1">
      <c r="A213" s="108" t="s">
        <v>6441</v>
      </c>
      <c r="B213" s="829" t="s">
        <v>6442</v>
      </c>
      <c r="C213" s="829"/>
      <c r="D213" s="829"/>
      <c r="E213" s="829"/>
      <c r="F213" s="829"/>
      <c r="G213" s="829"/>
      <c r="H213" s="829"/>
      <c r="I213" s="829"/>
      <c r="J213" s="829"/>
      <c r="K213" s="829"/>
      <c r="L213" s="829"/>
      <c r="M213" s="829"/>
      <c r="N213" s="829"/>
      <c r="O213" s="829"/>
      <c r="P213" s="829"/>
      <c r="Q213" s="829"/>
      <c r="R213" s="829"/>
      <c r="S213" s="829"/>
      <c r="T213" s="829"/>
      <c r="U213" s="829"/>
      <c r="V213" s="829"/>
      <c r="W213" s="829"/>
      <c r="X213" s="829"/>
      <c r="Y213" s="829"/>
      <c r="Z213" s="829"/>
      <c r="AA213" s="829"/>
      <c r="AB213" s="829"/>
      <c r="AC213" s="829"/>
      <c r="AD213" s="829"/>
    </row>
    <row r="214" spans="1:49" ht="36" customHeight="1">
      <c r="A214" s="227"/>
      <c r="B214" s="90"/>
      <c r="C214" s="830" t="s">
        <v>6443</v>
      </c>
      <c r="D214" s="830"/>
      <c r="E214" s="830"/>
      <c r="F214" s="830"/>
      <c r="G214" s="830"/>
      <c r="H214" s="830"/>
      <c r="I214" s="830"/>
      <c r="J214" s="830"/>
      <c r="K214" s="830"/>
      <c r="L214" s="830"/>
      <c r="M214" s="830"/>
      <c r="N214" s="830"/>
      <c r="O214" s="830"/>
      <c r="P214" s="830"/>
      <c r="Q214" s="830"/>
      <c r="R214" s="830"/>
      <c r="S214" s="830"/>
      <c r="T214" s="830"/>
      <c r="U214" s="830"/>
      <c r="V214" s="830"/>
      <c r="W214" s="830"/>
      <c r="X214" s="830"/>
      <c r="Y214" s="830"/>
      <c r="Z214" s="830"/>
      <c r="AA214" s="830"/>
      <c r="AB214" s="830"/>
      <c r="AC214" s="830"/>
      <c r="AD214" s="830"/>
    </row>
    <row r="215" spans="1:49" ht="24" customHeight="1">
      <c r="A215" s="197"/>
      <c r="B215" s="90"/>
      <c r="C215" s="754" t="s">
        <v>6444</v>
      </c>
      <c r="D215" s="754"/>
      <c r="E215" s="754"/>
      <c r="F215" s="754"/>
      <c r="G215" s="754"/>
      <c r="H215" s="754"/>
      <c r="I215" s="754"/>
      <c r="J215" s="754"/>
      <c r="K215" s="754"/>
      <c r="L215" s="754"/>
      <c r="M215" s="754"/>
      <c r="N215" s="754"/>
      <c r="O215" s="754"/>
      <c r="P215" s="754"/>
      <c r="Q215" s="754"/>
      <c r="R215" s="754"/>
      <c r="S215" s="754"/>
      <c r="T215" s="754"/>
      <c r="U215" s="754"/>
      <c r="V215" s="754"/>
      <c r="W215" s="754"/>
      <c r="X215" s="754"/>
      <c r="Y215" s="754"/>
      <c r="Z215" s="754"/>
      <c r="AA215" s="754"/>
      <c r="AB215" s="754"/>
      <c r="AC215" s="754"/>
      <c r="AD215" s="754"/>
    </row>
    <row r="216" spans="1:49" ht="36" customHeight="1">
      <c r="A216" s="197"/>
      <c r="B216" s="90"/>
      <c r="C216" s="754" t="s">
        <v>6445</v>
      </c>
      <c r="D216" s="754"/>
      <c r="E216" s="754"/>
      <c r="F216" s="754"/>
      <c r="G216" s="754"/>
      <c r="H216" s="754"/>
      <c r="I216" s="754"/>
      <c r="J216" s="754"/>
      <c r="K216" s="754"/>
      <c r="L216" s="754"/>
      <c r="M216" s="754"/>
      <c r="N216" s="754"/>
      <c r="O216" s="754"/>
      <c r="P216" s="754"/>
      <c r="Q216" s="754"/>
      <c r="R216" s="754"/>
      <c r="S216" s="754"/>
      <c r="T216" s="754"/>
      <c r="U216" s="754"/>
      <c r="V216" s="754"/>
      <c r="W216" s="754"/>
      <c r="X216" s="754"/>
      <c r="Y216" s="754"/>
      <c r="Z216" s="754"/>
      <c r="AA216" s="754"/>
      <c r="AB216" s="754"/>
      <c r="AC216" s="754"/>
      <c r="AD216" s="754"/>
    </row>
    <row r="217" spans="1:49" ht="36" customHeight="1">
      <c r="A217" s="197"/>
      <c r="B217" s="90"/>
      <c r="C217" s="754" t="s">
        <v>6446</v>
      </c>
      <c r="D217" s="754"/>
      <c r="E217" s="754"/>
      <c r="F217" s="754"/>
      <c r="G217" s="754"/>
      <c r="H217" s="754"/>
      <c r="I217" s="754"/>
      <c r="J217" s="754"/>
      <c r="K217" s="754"/>
      <c r="L217" s="754"/>
      <c r="M217" s="754"/>
      <c r="N217" s="754"/>
      <c r="O217" s="754"/>
      <c r="P217" s="754"/>
      <c r="Q217" s="754"/>
      <c r="R217" s="754"/>
      <c r="S217" s="754"/>
      <c r="T217" s="754"/>
      <c r="U217" s="754"/>
      <c r="V217" s="754"/>
      <c r="W217" s="754"/>
      <c r="X217" s="754"/>
      <c r="Y217" s="754"/>
      <c r="Z217" s="754"/>
      <c r="AA217" s="754"/>
      <c r="AB217" s="754"/>
      <c r="AC217" s="754"/>
      <c r="AD217" s="754"/>
    </row>
    <row r="218" spans="1:49" ht="24" customHeight="1">
      <c r="A218" s="197"/>
      <c r="B218" s="90"/>
      <c r="C218" s="754" t="s">
        <v>6447</v>
      </c>
      <c r="D218" s="754"/>
      <c r="E218" s="754"/>
      <c r="F218" s="754"/>
      <c r="G218" s="754"/>
      <c r="H218" s="754"/>
      <c r="I218" s="754"/>
      <c r="J218" s="754"/>
      <c r="K218" s="754"/>
      <c r="L218" s="754"/>
      <c r="M218" s="754"/>
      <c r="N218" s="754"/>
      <c r="O218" s="754"/>
      <c r="P218" s="754"/>
      <c r="Q218" s="754"/>
      <c r="R218" s="754"/>
      <c r="S218" s="754"/>
      <c r="T218" s="754"/>
      <c r="U218" s="754"/>
      <c r="V218" s="754"/>
      <c r="W218" s="754"/>
      <c r="X218" s="754"/>
      <c r="Y218" s="754"/>
      <c r="Z218" s="754"/>
      <c r="AA218" s="754"/>
      <c r="AB218" s="754"/>
      <c r="AC218" s="754"/>
      <c r="AD218" s="754"/>
    </row>
    <row r="219" spans="1:49" ht="15" customHeight="1">
      <c r="A219" s="227"/>
      <c r="B219" s="90"/>
      <c r="C219" s="90"/>
      <c r="D219" s="90"/>
      <c r="E219" s="90"/>
      <c r="F219" s="90"/>
      <c r="G219" s="90"/>
      <c r="H219" s="90"/>
      <c r="I219" s="90"/>
      <c r="J219" s="90"/>
      <c r="K219" s="90"/>
      <c r="L219" s="90"/>
      <c r="M219" s="90"/>
      <c r="N219" s="90"/>
      <c r="O219" s="90"/>
      <c r="P219" s="90"/>
      <c r="Q219" s="90"/>
      <c r="R219" s="90"/>
      <c r="S219" s="90"/>
      <c r="T219" s="90"/>
      <c r="U219" s="90"/>
      <c r="V219" s="90"/>
      <c r="W219" s="90"/>
      <c r="X219" s="90"/>
      <c r="Y219" s="90"/>
      <c r="Z219" s="90"/>
      <c r="AA219" s="90"/>
      <c r="AB219" s="90"/>
      <c r="AC219" s="90"/>
      <c r="AD219" s="90"/>
    </row>
    <row r="220" spans="1:49" ht="48" customHeight="1">
      <c r="A220" s="227"/>
      <c r="B220" s="90"/>
      <c r="C220" s="732" t="s">
        <v>2581</v>
      </c>
      <c r="D220" s="732"/>
      <c r="E220" s="732"/>
      <c r="F220" s="732"/>
      <c r="G220" s="732"/>
      <c r="H220" s="732"/>
      <c r="I220" s="732"/>
      <c r="J220" s="732"/>
      <c r="K220" s="732"/>
      <c r="L220" s="732"/>
      <c r="M220" s="732"/>
      <c r="N220" s="732"/>
      <c r="O220" s="732"/>
      <c r="P220" s="732"/>
      <c r="Q220" s="732"/>
      <c r="R220" s="739" t="s">
        <v>6448</v>
      </c>
      <c r="S220" s="740"/>
      <c r="T220" s="740"/>
      <c r="U220" s="740"/>
      <c r="V220" s="740"/>
      <c r="W220" s="740"/>
      <c r="X220" s="740"/>
      <c r="Y220" s="740"/>
      <c r="Z220" s="740"/>
      <c r="AA220" s="740"/>
      <c r="AB220" s="740"/>
      <c r="AC220" s="740"/>
      <c r="AD220" s="741"/>
    </row>
    <row r="221" spans="1:49" ht="36" customHeight="1">
      <c r="A221" s="108"/>
      <c r="B221" s="38"/>
      <c r="C221" s="732"/>
      <c r="D221" s="732"/>
      <c r="E221" s="732"/>
      <c r="F221" s="732"/>
      <c r="G221" s="732"/>
      <c r="H221" s="732"/>
      <c r="I221" s="732"/>
      <c r="J221" s="732"/>
      <c r="K221" s="732"/>
      <c r="L221" s="732"/>
      <c r="M221" s="732"/>
      <c r="N221" s="732"/>
      <c r="O221" s="732"/>
      <c r="P221" s="732"/>
      <c r="Q221" s="732"/>
      <c r="R221" s="127" t="s">
        <v>2628</v>
      </c>
      <c r="S221" s="44" t="s">
        <v>2516</v>
      </c>
      <c r="T221" s="44" t="s">
        <v>2517</v>
      </c>
      <c r="U221" s="44" t="s">
        <v>2518</v>
      </c>
      <c r="V221" s="44" t="s">
        <v>2519</v>
      </c>
      <c r="W221" s="44" t="s">
        <v>2520</v>
      </c>
      <c r="X221" s="44" t="s">
        <v>2521</v>
      </c>
      <c r="Y221" s="44" t="s">
        <v>2522</v>
      </c>
      <c r="Z221" s="44" t="s">
        <v>2523</v>
      </c>
      <c r="AA221" s="44" t="s">
        <v>2524</v>
      </c>
      <c r="AB221" s="44" t="s">
        <v>2525</v>
      </c>
      <c r="AC221" s="44" t="s">
        <v>2526</v>
      </c>
      <c r="AD221" s="44" t="s">
        <v>2527</v>
      </c>
      <c r="AG221" s="683" t="s">
        <v>2586</v>
      </c>
      <c r="AH221" s="684" t="s">
        <v>2590</v>
      </c>
      <c r="AI221" s="689" t="s">
        <v>6386</v>
      </c>
      <c r="AJ221" s="685" t="s">
        <v>6346</v>
      </c>
      <c r="AK221" s="1170" t="s">
        <v>6347</v>
      </c>
      <c r="AL221" s="1170"/>
      <c r="AM221" s="1170"/>
      <c r="AN221" s="1170"/>
      <c r="AO221" s="1170"/>
      <c r="AP221" s="1170"/>
      <c r="AQ221" s="1170"/>
      <c r="AR221" s="1170"/>
      <c r="AS221" s="1170"/>
      <c r="AT221" s="1170"/>
      <c r="AU221" s="1170"/>
      <c r="AV221" s="1170"/>
      <c r="AW221" s="714" t="s">
        <v>6348</v>
      </c>
    </row>
    <row r="222" spans="1:49">
      <c r="A222" s="108"/>
      <c r="B222" s="38"/>
      <c r="C222" s="43" t="s">
        <v>2516</v>
      </c>
      <c r="D222" s="869" t="str">
        <f>IF(CNSIPEE_2024_M2_Secc1!D42="","",CNSIPEE_2024_M2_Secc1!D42)</f>
        <v/>
      </c>
      <c r="E222" s="870"/>
      <c r="F222" s="870"/>
      <c r="G222" s="870"/>
      <c r="H222" s="870"/>
      <c r="I222" s="870"/>
      <c r="J222" s="870"/>
      <c r="K222" s="870"/>
      <c r="L222" s="870"/>
      <c r="M222" s="870"/>
      <c r="N222" s="870"/>
      <c r="O222" s="870"/>
      <c r="P222" s="870"/>
      <c r="Q222" s="871"/>
      <c r="R222" s="100"/>
      <c r="S222" s="100"/>
      <c r="T222" s="100"/>
      <c r="U222" s="100"/>
      <c r="V222" s="100"/>
      <c r="W222" s="100"/>
      <c r="X222" s="100"/>
      <c r="Y222" s="100"/>
      <c r="Z222" s="100"/>
      <c r="AA222" s="100"/>
      <c r="AB222" s="100"/>
      <c r="AC222" s="100"/>
      <c r="AD222" s="100"/>
      <c r="AG222" s="253">
        <f>IF(COUNTA($R$222:$AD$229)&gt;0,IF(AND(COUNTBLANK(D222)=0,H183=1,COUNTBLANK(R222:AD222)=0),0,IF(AND(COUNTBLANK(D222)=0,H183=2,COUNTBLANK(R222:AD222)=13),0,IF(AND(COUNTBLANK(D222)=0,H183=9,COUNTBLANK(R222:AD222)=13),0,IF(AND(COUNTBLANK(D222)&gt;0,H183="",COUNTBLANK(R222:AD222)=13),0,1)))),0)</f>
        <v>0</v>
      </c>
      <c r="AH222" s="253">
        <f t="shared" ref="AH222:AH229" si="56">IF(COUNTIF(R222:AD222,"NS"),1,0)</f>
        <v>0</v>
      </c>
      <c r="AI222" s="253">
        <f t="shared" ref="AI222:AI229" si="57">IF(OR(AC222=0,AC222="NS",AC222="NA"),0,1)</f>
        <v>0</v>
      </c>
      <c r="AJ222" s="253">
        <f t="shared" ref="AJ222:AJ229" si="58">IF(R222&gt;=N183,0,1)</f>
        <v>0</v>
      </c>
      <c r="AK222" s="253">
        <f t="shared" ref="AK222:AV229" si="59">IF(COUNTIF(S222,"NS")=0,IF(S222&lt;=$N183,0,1),0)</f>
        <v>0</v>
      </c>
      <c r="AL222" s="253">
        <f t="shared" si="59"/>
        <v>0</v>
      </c>
      <c r="AM222" s="253">
        <f t="shared" si="59"/>
        <v>0</v>
      </c>
      <c r="AN222" s="253">
        <f t="shared" si="59"/>
        <v>0</v>
      </c>
      <c r="AO222" s="253">
        <f t="shared" si="59"/>
        <v>0</v>
      </c>
      <c r="AP222" s="253">
        <f t="shared" si="59"/>
        <v>0</v>
      </c>
      <c r="AQ222" s="253">
        <f t="shared" si="59"/>
        <v>0</v>
      </c>
      <c r="AR222" s="253">
        <f t="shared" si="59"/>
        <v>0</v>
      </c>
      <c r="AS222" s="253">
        <f t="shared" si="59"/>
        <v>0</v>
      </c>
      <c r="AT222" s="253">
        <f t="shared" si="59"/>
        <v>0</v>
      </c>
      <c r="AU222" s="253">
        <f t="shared" si="59"/>
        <v>0</v>
      </c>
      <c r="AV222" s="253">
        <f t="shared" si="59"/>
        <v>0</v>
      </c>
      <c r="AW222" s="253">
        <f>IF(AND(SUM(S222:AD222)=0,AH222&gt;0,R222=0),1,0)</f>
        <v>0</v>
      </c>
    </row>
    <row r="223" spans="1:49">
      <c r="A223" s="108"/>
      <c r="B223" s="38"/>
      <c r="C223" s="199" t="s">
        <v>2517</v>
      </c>
      <c r="D223" s="869" t="str">
        <f>IF(CNSIPEE_2024_M2_Secc1!D43="","",CNSIPEE_2024_M2_Secc1!D43)</f>
        <v/>
      </c>
      <c r="E223" s="870"/>
      <c r="F223" s="870"/>
      <c r="G223" s="870"/>
      <c r="H223" s="870"/>
      <c r="I223" s="870"/>
      <c r="J223" s="870"/>
      <c r="K223" s="870"/>
      <c r="L223" s="870"/>
      <c r="M223" s="870"/>
      <c r="N223" s="870"/>
      <c r="O223" s="870"/>
      <c r="P223" s="870"/>
      <c r="Q223" s="871"/>
      <c r="R223" s="100"/>
      <c r="S223" s="100"/>
      <c r="T223" s="100"/>
      <c r="U223" s="100"/>
      <c r="V223" s="100"/>
      <c r="W223" s="100"/>
      <c r="X223" s="100"/>
      <c r="Y223" s="100"/>
      <c r="Z223" s="100"/>
      <c r="AA223" s="100"/>
      <c r="AB223" s="100"/>
      <c r="AC223" s="100"/>
      <c r="AD223" s="100"/>
      <c r="AG223" s="253">
        <f t="shared" ref="AG223:AG229" si="60">IF(COUNTA($R$222:$AD$229)&gt;0,IF(AND(COUNTBLANK(D223)=0,H184=1,COUNTBLANK(R223:AD223)=0),0,IF(AND(COUNTBLANK(D223)=0,H184=2,COUNTBLANK(R223:AD223)=13),0,IF(AND(COUNTBLANK(D223)=0,H184=9,COUNTBLANK(R223:AD223)=13),0,IF(AND(COUNTBLANK(D223)&gt;0,H184="",COUNTBLANK(R223:AD223)=13),0,1)))),0)</f>
        <v>0</v>
      </c>
      <c r="AH223" s="253">
        <f t="shared" si="56"/>
        <v>0</v>
      </c>
      <c r="AI223" s="253">
        <f t="shared" si="57"/>
        <v>0</v>
      </c>
      <c r="AJ223" s="253">
        <f t="shared" si="58"/>
        <v>0</v>
      </c>
      <c r="AK223" s="253">
        <f t="shared" si="59"/>
        <v>0</v>
      </c>
      <c r="AL223" s="253">
        <f t="shared" si="59"/>
        <v>0</v>
      </c>
      <c r="AM223" s="253">
        <f t="shared" si="59"/>
        <v>0</v>
      </c>
      <c r="AN223" s="253">
        <f t="shared" si="59"/>
        <v>0</v>
      </c>
      <c r="AO223" s="253">
        <f t="shared" si="59"/>
        <v>0</v>
      </c>
      <c r="AP223" s="253">
        <f t="shared" si="59"/>
        <v>0</v>
      </c>
      <c r="AQ223" s="253">
        <f t="shared" si="59"/>
        <v>0</v>
      </c>
      <c r="AR223" s="253">
        <f t="shared" si="59"/>
        <v>0</v>
      </c>
      <c r="AS223" s="253">
        <f t="shared" si="59"/>
        <v>0</v>
      </c>
      <c r="AT223" s="253">
        <f t="shared" si="59"/>
        <v>0</v>
      </c>
      <c r="AU223" s="253">
        <f t="shared" si="59"/>
        <v>0</v>
      </c>
      <c r="AV223" s="253">
        <f t="shared" si="59"/>
        <v>0</v>
      </c>
      <c r="AW223" s="253">
        <f t="shared" ref="AW223:AW229" si="61">IF(AND(SUM(S223:AD223)=0,AH223&gt;0,R223=0),1,0)</f>
        <v>0</v>
      </c>
    </row>
    <row r="224" spans="1:49">
      <c r="A224" s="108"/>
      <c r="B224" s="38"/>
      <c r="C224" s="143" t="s">
        <v>2518</v>
      </c>
      <c r="D224" s="869" t="str">
        <f>IF(CNSIPEE_2024_M2_Secc1!D44="","",CNSIPEE_2024_M2_Secc1!D44)</f>
        <v/>
      </c>
      <c r="E224" s="870"/>
      <c r="F224" s="870"/>
      <c r="G224" s="870"/>
      <c r="H224" s="870"/>
      <c r="I224" s="870"/>
      <c r="J224" s="870"/>
      <c r="K224" s="870"/>
      <c r="L224" s="870"/>
      <c r="M224" s="870"/>
      <c r="N224" s="870"/>
      <c r="O224" s="870"/>
      <c r="P224" s="870"/>
      <c r="Q224" s="871"/>
      <c r="R224" s="100"/>
      <c r="S224" s="100"/>
      <c r="T224" s="100"/>
      <c r="U224" s="100"/>
      <c r="V224" s="100"/>
      <c r="W224" s="100"/>
      <c r="X224" s="100"/>
      <c r="Y224" s="100"/>
      <c r="Z224" s="100"/>
      <c r="AA224" s="100"/>
      <c r="AB224" s="100"/>
      <c r="AC224" s="100"/>
      <c r="AD224" s="100"/>
      <c r="AG224" s="253">
        <f t="shared" si="60"/>
        <v>0</v>
      </c>
      <c r="AH224" s="253">
        <f t="shared" si="56"/>
        <v>0</v>
      </c>
      <c r="AI224" s="253">
        <f t="shared" si="57"/>
        <v>0</v>
      </c>
      <c r="AJ224" s="253">
        <f t="shared" si="58"/>
        <v>0</v>
      </c>
      <c r="AK224" s="253">
        <f t="shared" si="59"/>
        <v>0</v>
      </c>
      <c r="AL224" s="253">
        <f t="shared" si="59"/>
        <v>0</v>
      </c>
      <c r="AM224" s="253">
        <f t="shared" si="59"/>
        <v>0</v>
      </c>
      <c r="AN224" s="253">
        <f t="shared" si="59"/>
        <v>0</v>
      </c>
      <c r="AO224" s="253">
        <f t="shared" si="59"/>
        <v>0</v>
      </c>
      <c r="AP224" s="253">
        <f t="shared" si="59"/>
        <v>0</v>
      </c>
      <c r="AQ224" s="253">
        <f t="shared" si="59"/>
        <v>0</v>
      </c>
      <c r="AR224" s="253">
        <f t="shared" si="59"/>
        <v>0</v>
      </c>
      <c r="AS224" s="253">
        <f t="shared" si="59"/>
        <v>0</v>
      </c>
      <c r="AT224" s="253">
        <f t="shared" si="59"/>
        <v>0</v>
      </c>
      <c r="AU224" s="253">
        <f t="shared" si="59"/>
        <v>0</v>
      </c>
      <c r="AV224" s="253">
        <f t="shared" si="59"/>
        <v>0</v>
      </c>
      <c r="AW224" s="253">
        <f t="shared" si="61"/>
        <v>0</v>
      </c>
    </row>
    <row r="225" spans="1:49">
      <c r="A225" s="108"/>
      <c r="B225" s="38"/>
      <c r="C225" s="143" t="s">
        <v>2519</v>
      </c>
      <c r="D225" s="869" t="str">
        <f>IF(CNSIPEE_2024_M2_Secc1!D45="","",CNSIPEE_2024_M2_Secc1!D45)</f>
        <v/>
      </c>
      <c r="E225" s="870"/>
      <c r="F225" s="870"/>
      <c r="G225" s="870"/>
      <c r="H225" s="870"/>
      <c r="I225" s="870"/>
      <c r="J225" s="870"/>
      <c r="K225" s="870"/>
      <c r="L225" s="870"/>
      <c r="M225" s="870"/>
      <c r="N225" s="870"/>
      <c r="O225" s="870"/>
      <c r="P225" s="870"/>
      <c r="Q225" s="871"/>
      <c r="R225" s="100"/>
      <c r="S225" s="100"/>
      <c r="T225" s="100"/>
      <c r="U225" s="100"/>
      <c r="V225" s="100"/>
      <c r="W225" s="100"/>
      <c r="X225" s="100"/>
      <c r="Y225" s="100"/>
      <c r="Z225" s="100"/>
      <c r="AA225" s="100"/>
      <c r="AB225" s="100"/>
      <c r="AC225" s="100"/>
      <c r="AD225" s="100"/>
      <c r="AG225" s="253">
        <f t="shared" si="60"/>
        <v>0</v>
      </c>
      <c r="AH225" s="253">
        <f t="shared" si="56"/>
        <v>0</v>
      </c>
      <c r="AI225" s="253">
        <f t="shared" si="57"/>
        <v>0</v>
      </c>
      <c r="AJ225" s="253">
        <f t="shared" si="58"/>
        <v>0</v>
      </c>
      <c r="AK225" s="253">
        <f t="shared" si="59"/>
        <v>0</v>
      </c>
      <c r="AL225" s="253">
        <f t="shared" si="59"/>
        <v>0</v>
      </c>
      <c r="AM225" s="253">
        <f t="shared" si="59"/>
        <v>0</v>
      </c>
      <c r="AN225" s="253">
        <f t="shared" si="59"/>
        <v>0</v>
      </c>
      <c r="AO225" s="253">
        <f t="shared" si="59"/>
        <v>0</v>
      </c>
      <c r="AP225" s="253">
        <f t="shared" si="59"/>
        <v>0</v>
      </c>
      <c r="AQ225" s="253">
        <f t="shared" si="59"/>
        <v>0</v>
      </c>
      <c r="AR225" s="253">
        <f t="shared" si="59"/>
        <v>0</v>
      </c>
      <c r="AS225" s="253">
        <f t="shared" si="59"/>
        <v>0</v>
      </c>
      <c r="AT225" s="253">
        <f t="shared" si="59"/>
        <v>0</v>
      </c>
      <c r="AU225" s="253">
        <f t="shared" si="59"/>
        <v>0</v>
      </c>
      <c r="AV225" s="253">
        <f t="shared" si="59"/>
        <v>0</v>
      </c>
      <c r="AW225" s="253">
        <f t="shared" si="61"/>
        <v>0</v>
      </c>
    </row>
    <row r="226" spans="1:49">
      <c r="A226" s="108"/>
      <c r="B226" s="38"/>
      <c r="C226" s="143" t="s">
        <v>2520</v>
      </c>
      <c r="D226" s="869" t="str">
        <f>IF(CNSIPEE_2024_M2_Secc1!D46="","",CNSIPEE_2024_M2_Secc1!D46)</f>
        <v/>
      </c>
      <c r="E226" s="870"/>
      <c r="F226" s="870"/>
      <c r="G226" s="870"/>
      <c r="H226" s="870"/>
      <c r="I226" s="870"/>
      <c r="J226" s="870"/>
      <c r="K226" s="870"/>
      <c r="L226" s="870"/>
      <c r="M226" s="870"/>
      <c r="N226" s="870"/>
      <c r="O226" s="870"/>
      <c r="P226" s="870"/>
      <c r="Q226" s="871"/>
      <c r="R226" s="100"/>
      <c r="S226" s="100"/>
      <c r="T226" s="100"/>
      <c r="U226" s="100"/>
      <c r="V226" s="100"/>
      <c r="W226" s="100"/>
      <c r="X226" s="100"/>
      <c r="Y226" s="100"/>
      <c r="Z226" s="100"/>
      <c r="AA226" s="100"/>
      <c r="AB226" s="100"/>
      <c r="AC226" s="100"/>
      <c r="AD226" s="100"/>
      <c r="AG226" s="253">
        <f t="shared" si="60"/>
        <v>0</v>
      </c>
      <c r="AH226" s="253">
        <f t="shared" si="56"/>
        <v>0</v>
      </c>
      <c r="AI226" s="253">
        <f t="shared" si="57"/>
        <v>0</v>
      </c>
      <c r="AJ226" s="253">
        <f t="shared" si="58"/>
        <v>0</v>
      </c>
      <c r="AK226" s="253">
        <f t="shared" si="59"/>
        <v>0</v>
      </c>
      <c r="AL226" s="253">
        <f t="shared" si="59"/>
        <v>0</v>
      </c>
      <c r="AM226" s="253">
        <f t="shared" si="59"/>
        <v>0</v>
      </c>
      <c r="AN226" s="253">
        <f t="shared" si="59"/>
        <v>0</v>
      </c>
      <c r="AO226" s="253">
        <f t="shared" si="59"/>
        <v>0</v>
      </c>
      <c r="AP226" s="253">
        <f t="shared" si="59"/>
        <v>0</v>
      </c>
      <c r="AQ226" s="253">
        <f t="shared" si="59"/>
        <v>0</v>
      </c>
      <c r="AR226" s="253">
        <f t="shared" si="59"/>
        <v>0</v>
      </c>
      <c r="AS226" s="253">
        <f t="shared" si="59"/>
        <v>0</v>
      </c>
      <c r="AT226" s="253">
        <f t="shared" si="59"/>
        <v>0</v>
      </c>
      <c r="AU226" s="253">
        <f t="shared" si="59"/>
        <v>0</v>
      </c>
      <c r="AV226" s="253">
        <f t="shared" si="59"/>
        <v>0</v>
      </c>
      <c r="AW226" s="253">
        <f t="shared" si="61"/>
        <v>0</v>
      </c>
    </row>
    <row r="227" spans="1:49">
      <c r="A227" s="108"/>
      <c r="B227" s="38"/>
      <c r="C227" s="143" t="s">
        <v>2521</v>
      </c>
      <c r="D227" s="869" t="str">
        <f>IF(CNSIPEE_2024_M2_Secc1!D47="","",CNSIPEE_2024_M2_Secc1!D47)</f>
        <v/>
      </c>
      <c r="E227" s="870"/>
      <c r="F227" s="870"/>
      <c r="G227" s="870"/>
      <c r="H227" s="870"/>
      <c r="I227" s="870"/>
      <c r="J227" s="870"/>
      <c r="K227" s="870"/>
      <c r="L227" s="870"/>
      <c r="M227" s="870"/>
      <c r="N227" s="870"/>
      <c r="O227" s="870"/>
      <c r="P227" s="870"/>
      <c r="Q227" s="871"/>
      <c r="R227" s="100"/>
      <c r="S227" s="100"/>
      <c r="T227" s="100"/>
      <c r="U227" s="100"/>
      <c r="V227" s="100"/>
      <c r="W227" s="100"/>
      <c r="X227" s="100"/>
      <c r="Y227" s="100"/>
      <c r="Z227" s="100"/>
      <c r="AA227" s="100"/>
      <c r="AB227" s="100"/>
      <c r="AC227" s="100"/>
      <c r="AD227" s="100"/>
      <c r="AG227" s="253">
        <f t="shared" si="60"/>
        <v>0</v>
      </c>
      <c r="AH227" s="253">
        <f t="shared" si="56"/>
        <v>0</v>
      </c>
      <c r="AI227" s="253">
        <f t="shared" si="57"/>
        <v>0</v>
      </c>
      <c r="AJ227" s="253">
        <f t="shared" si="58"/>
        <v>0</v>
      </c>
      <c r="AK227" s="253">
        <f t="shared" si="59"/>
        <v>0</v>
      </c>
      <c r="AL227" s="253">
        <f t="shared" si="59"/>
        <v>0</v>
      </c>
      <c r="AM227" s="253">
        <f t="shared" si="59"/>
        <v>0</v>
      </c>
      <c r="AN227" s="253">
        <f t="shared" si="59"/>
        <v>0</v>
      </c>
      <c r="AO227" s="253">
        <f t="shared" si="59"/>
        <v>0</v>
      </c>
      <c r="AP227" s="253">
        <f t="shared" si="59"/>
        <v>0</v>
      </c>
      <c r="AQ227" s="253">
        <f t="shared" si="59"/>
        <v>0</v>
      </c>
      <c r="AR227" s="253">
        <f t="shared" si="59"/>
        <v>0</v>
      </c>
      <c r="AS227" s="253">
        <f t="shared" si="59"/>
        <v>0</v>
      </c>
      <c r="AT227" s="253">
        <f t="shared" si="59"/>
        <v>0</v>
      </c>
      <c r="AU227" s="253">
        <f t="shared" si="59"/>
        <v>0</v>
      </c>
      <c r="AV227" s="253">
        <f t="shared" si="59"/>
        <v>0</v>
      </c>
      <c r="AW227" s="253">
        <f t="shared" si="61"/>
        <v>0</v>
      </c>
    </row>
    <row r="228" spans="1:49">
      <c r="A228" s="108"/>
      <c r="B228" s="38"/>
      <c r="C228" s="143" t="s">
        <v>2522</v>
      </c>
      <c r="D228" s="869" t="str">
        <f>IF(CNSIPEE_2024_M2_Secc1!D48="","",CNSIPEE_2024_M2_Secc1!D48)</f>
        <v/>
      </c>
      <c r="E228" s="870"/>
      <c r="F228" s="870"/>
      <c r="G228" s="870"/>
      <c r="H228" s="870"/>
      <c r="I228" s="870"/>
      <c r="J228" s="870"/>
      <c r="K228" s="870"/>
      <c r="L228" s="870"/>
      <c r="M228" s="870"/>
      <c r="N228" s="870"/>
      <c r="O228" s="870"/>
      <c r="P228" s="870"/>
      <c r="Q228" s="871"/>
      <c r="R228" s="100"/>
      <c r="S228" s="100"/>
      <c r="T228" s="100"/>
      <c r="U228" s="100"/>
      <c r="V228" s="100"/>
      <c r="W228" s="100"/>
      <c r="X228" s="100"/>
      <c r="Y228" s="100"/>
      <c r="Z228" s="100"/>
      <c r="AA228" s="100"/>
      <c r="AB228" s="100"/>
      <c r="AC228" s="100"/>
      <c r="AD228" s="100"/>
      <c r="AG228" s="253">
        <f t="shared" si="60"/>
        <v>0</v>
      </c>
      <c r="AH228" s="253">
        <f t="shared" si="56"/>
        <v>0</v>
      </c>
      <c r="AI228" s="253">
        <f t="shared" si="57"/>
        <v>0</v>
      </c>
      <c r="AJ228" s="253">
        <f t="shared" si="58"/>
        <v>0</v>
      </c>
      <c r="AK228" s="253">
        <f t="shared" si="59"/>
        <v>0</v>
      </c>
      <c r="AL228" s="253">
        <f t="shared" si="59"/>
        <v>0</v>
      </c>
      <c r="AM228" s="253">
        <f t="shared" si="59"/>
        <v>0</v>
      </c>
      <c r="AN228" s="253">
        <f t="shared" si="59"/>
        <v>0</v>
      </c>
      <c r="AO228" s="253">
        <f t="shared" si="59"/>
        <v>0</v>
      </c>
      <c r="AP228" s="253">
        <f t="shared" si="59"/>
        <v>0</v>
      </c>
      <c r="AQ228" s="253">
        <f t="shared" si="59"/>
        <v>0</v>
      </c>
      <c r="AR228" s="253">
        <f t="shared" si="59"/>
        <v>0</v>
      </c>
      <c r="AS228" s="253">
        <f t="shared" si="59"/>
        <v>0</v>
      </c>
      <c r="AT228" s="253">
        <f t="shared" si="59"/>
        <v>0</v>
      </c>
      <c r="AU228" s="253">
        <f t="shared" si="59"/>
        <v>0</v>
      </c>
      <c r="AV228" s="253">
        <f t="shared" si="59"/>
        <v>0</v>
      </c>
      <c r="AW228" s="253">
        <f t="shared" si="61"/>
        <v>0</v>
      </c>
    </row>
    <row r="229" spans="1:49">
      <c r="A229" s="108"/>
      <c r="B229" s="38"/>
      <c r="C229" s="143" t="s">
        <v>2523</v>
      </c>
      <c r="D229" s="869" t="str">
        <f>IF(CNSIPEE_2024_M2_Secc1!D49="","",CNSIPEE_2024_M2_Secc1!D49)</f>
        <v/>
      </c>
      <c r="E229" s="870"/>
      <c r="F229" s="870"/>
      <c r="G229" s="870"/>
      <c r="H229" s="870"/>
      <c r="I229" s="870"/>
      <c r="J229" s="870"/>
      <c r="K229" s="870"/>
      <c r="L229" s="870"/>
      <c r="M229" s="870"/>
      <c r="N229" s="870"/>
      <c r="O229" s="870"/>
      <c r="P229" s="870"/>
      <c r="Q229" s="871"/>
      <c r="R229" s="100"/>
      <c r="S229" s="100"/>
      <c r="T229" s="100"/>
      <c r="U229" s="100"/>
      <c r="V229" s="100"/>
      <c r="W229" s="100"/>
      <c r="X229" s="100"/>
      <c r="Y229" s="100"/>
      <c r="Z229" s="100"/>
      <c r="AA229" s="100"/>
      <c r="AB229" s="100"/>
      <c r="AC229" s="100"/>
      <c r="AD229" s="100"/>
      <c r="AG229" s="253">
        <f t="shared" si="60"/>
        <v>0</v>
      </c>
      <c r="AH229" s="253">
        <f t="shared" si="56"/>
        <v>0</v>
      </c>
      <c r="AI229" s="253">
        <f t="shared" si="57"/>
        <v>0</v>
      </c>
      <c r="AJ229" s="253">
        <f t="shared" si="58"/>
        <v>0</v>
      </c>
      <c r="AK229" s="253">
        <f t="shared" si="59"/>
        <v>0</v>
      </c>
      <c r="AL229" s="253">
        <f t="shared" si="59"/>
        <v>0</v>
      </c>
      <c r="AM229" s="253">
        <f t="shared" si="59"/>
        <v>0</v>
      </c>
      <c r="AN229" s="253">
        <f t="shared" si="59"/>
        <v>0</v>
      </c>
      <c r="AO229" s="253">
        <f t="shared" si="59"/>
        <v>0</v>
      </c>
      <c r="AP229" s="253">
        <f t="shared" si="59"/>
        <v>0</v>
      </c>
      <c r="AQ229" s="253">
        <f t="shared" si="59"/>
        <v>0</v>
      </c>
      <c r="AR229" s="253">
        <f t="shared" si="59"/>
        <v>0</v>
      </c>
      <c r="AS229" s="253">
        <f t="shared" si="59"/>
        <v>0</v>
      </c>
      <c r="AT229" s="253">
        <f t="shared" si="59"/>
        <v>0</v>
      </c>
      <c r="AU229" s="253">
        <f t="shared" si="59"/>
        <v>0</v>
      </c>
      <c r="AV229" s="253">
        <f>IF(COUNTIF(AD229,"NS")=0,IF(AD229&lt;=$N190,0,1),0)</f>
        <v>0</v>
      </c>
      <c r="AW229" s="253">
        <f t="shared" si="61"/>
        <v>0</v>
      </c>
    </row>
    <row r="230" spans="1:49">
      <c r="A230" s="227"/>
      <c r="B230" s="90"/>
      <c r="C230" s="84"/>
      <c r="D230" s="84"/>
      <c r="E230" s="84"/>
      <c r="F230" s="84"/>
      <c r="G230" s="84"/>
      <c r="H230" s="84"/>
      <c r="I230" s="84"/>
      <c r="Q230" s="117" t="s">
        <v>2649</v>
      </c>
      <c r="R230" s="682">
        <f t="shared" ref="R230:AD230" si="62">IF(AND(SUM(R222:R229)=0,COUNTIF(R222:R229,"NS")&gt;0),"NS",IF(AND(SUM(R222:R229)=0,COUNTIF(R222:R229,0)&gt;0),0,IF(AND(SUM(R222:R229)=0,COUNTIF(R222:R229,"NA")&gt;0),"NA",SUM(R222:R229))))</f>
        <v>0</v>
      </c>
      <c r="S230" s="682">
        <f t="shared" si="62"/>
        <v>0</v>
      </c>
      <c r="T230" s="682">
        <f t="shared" si="62"/>
        <v>0</v>
      </c>
      <c r="U230" s="682">
        <f t="shared" si="62"/>
        <v>0</v>
      </c>
      <c r="V230" s="682">
        <f t="shared" si="62"/>
        <v>0</v>
      </c>
      <c r="W230" s="682">
        <f t="shared" si="62"/>
        <v>0</v>
      </c>
      <c r="X230" s="682">
        <f t="shared" si="62"/>
        <v>0</v>
      </c>
      <c r="Y230" s="682">
        <f t="shared" si="62"/>
        <v>0</v>
      </c>
      <c r="Z230" s="682">
        <f t="shared" si="62"/>
        <v>0</v>
      </c>
      <c r="AA230" s="682">
        <f t="shared" si="62"/>
        <v>0</v>
      </c>
      <c r="AB230" s="682">
        <f t="shared" si="62"/>
        <v>0</v>
      </c>
      <c r="AC230" s="682">
        <f t="shared" si="62"/>
        <v>0</v>
      </c>
      <c r="AD230" s="682">
        <f t="shared" si="62"/>
        <v>0</v>
      </c>
      <c r="AG230" s="683">
        <f>SUM(AG222:AG229)</f>
        <v>0</v>
      </c>
      <c r="AH230" s="684">
        <f>SUM(AH222:AH229)</f>
        <v>0</v>
      </c>
      <c r="AI230" s="689">
        <f>SUM(AI222:AI229)</f>
        <v>0</v>
      </c>
      <c r="AJ230" s="685">
        <f>SUM(AJ222:AJ229)</f>
        <v>0</v>
      </c>
      <c r="AK230" s="690">
        <f>SUM(AK222:AV229)</f>
        <v>0</v>
      </c>
      <c r="AW230" s="261">
        <f>SUM(AW222:AW229)</f>
        <v>0</v>
      </c>
    </row>
    <row r="231" spans="1:49">
      <c r="A231" s="227"/>
      <c r="B231" s="90"/>
      <c r="C231" s="84"/>
      <c r="D231" s="84"/>
      <c r="E231" s="84"/>
      <c r="F231" s="84"/>
      <c r="G231" s="84"/>
      <c r="H231" s="84"/>
      <c r="I231" s="84"/>
      <c r="J231" s="84"/>
      <c r="K231" s="84"/>
      <c r="L231" s="84"/>
      <c r="M231" s="84"/>
      <c r="N231" s="84"/>
      <c r="O231" s="84"/>
      <c r="P231" s="84"/>
      <c r="Q231" s="84"/>
      <c r="R231" s="84"/>
      <c r="S231" s="84"/>
      <c r="T231" s="84"/>
      <c r="U231" s="84"/>
      <c r="V231" s="84"/>
      <c r="W231" s="84"/>
      <c r="X231" s="228"/>
      <c r="Y231" s="228"/>
      <c r="Z231" s="228"/>
      <c r="AA231" s="228"/>
      <c r="AB231" s="228"/>
      <c r="AC231" s="228"/>
      <c r="AD231" s="228"/>
    </row>
    <row r="232" spans="1:49" ht="45" customHeight="1">
      <c r="A232" s="227"/>
      <c r="B232" s="90"/>
      <c r="C232" s="822" t="s">
        <v>6449</v>
      </c>
      <c r="D232" s="822"/>
      <c r="E232" s="822"/>
      <c r="F232" s="816"/>
      <c r="G232" s="738"/>
      <c r="H232" s="738"/>
      <c r="I232" s="738"/>
      <c r="J232" s="738"/>
      <c r="K232" s="738"/>
      <c r="L232" s="738"/>
      <c r="M232" s="738"/>
      <c r="N232" s="738"/>
      <c r="O232" s="738"/>
      <c r="P232" s="738"/>
      <c r="Q232" s="738"/>
      <c r="R232" s="738"/>
      <c r="S232" s="738"/>
      <c r="T232" s="738"/>
      <c r="U232" s="738"/>
      <c r="V232" s="738"/>
      <c r="W232" s="738"/>
      <c r="X232" s="738"/>
      <c r="Y232" s="738"/>
      <c r="Z232" s="738"/>
      <c r="AA232" s="738"/>
      <c r="AB232" s="738"/>
      <c r="AC232" s="738"/>
      <c r="AD232" s="817"/>
    </row>
    <row r="233" spans="1:49">
      <c r="A233" s="227"/>
      <c r="B233" s="794" t="str">
        <f>IF(AND(AI230&gt;0,F232="")," Debido a que cuenta con registros en la columna 11, debe anotar el nombre de dicha(s) autoridad(es)","")</f>
        <v/>
      </c>
      <c r="C233" s="794"/>
      <c r="D233" s="794"/>
      <c r="E233" s="794"/>
      <c r="F233" s="794"/>
      <c r="G233" s="794"/>
      <c r="H233" s="794"/>
      <c r="I233" s="794"/>
      <c r="J233" s="794"/>
      <c r="K233" s="794"/>
      <c r="L233" s="794"/>
      <c r="M233" s="794"/>
      <c r="N233" s="794"/>
      <c r="O233" s="794"/>
      <c r="P233" s="794"/>
      <c r="Q233" s="794"/>
      <c r="R233" s="794"/>
      <c r="S233" s="794"/>
      <c r="T233" s="794"/>
      <c r="U233" s="794"/>
      <c r="V233" s="794"/>
      <c r="W233" s="794"/>
      <c r="X233" s="794"/>
      <c r="Y233" s="794"/>
      <c r="Z233" s="794"/>
      <c r="AA233" s="794"/>
      <c r="AB233" s="794"/>
      <c r="AC233" s="794"/>
      <c r="AD233" s="794"/>
      <c r="AE233" s="794"/>
    </row>
    <row r="234" spans="1:49">
      <c r="A234" s="227"/>
      <c r="B234" s="90"/>
      <c r="C234" s="880" t="s">
        <v>6450</v>
      </c>
      <c r="D234" s="880"/>
      <c r="E234" s="880"/>
      <c r="F234" s="880"/>
      <c r="G234" s="880"/>
      <c r="H234" s="880"/>
      <c r="I234" s="880"/>
      <c r="J234" s="880"/>
      <c r="K234" s="880"/>
      <c r="L234" s="880"/>
      <c r="M234" s="880"/>
      <c r="N234" s="880"/>
      <c r="O234" s="880"/>
      <c r="P234" s="880"/>
      <c r="Q234" s="880"/>
      <c r="R234" s="880"/>
      <c r="S234" s="880"/>
      <c r="T234" s="880"/>
      <c r="U234" s="880"/>
      <c r="V234" s="880"/>
      <c r="W234" s="880"/>
      <c r="X234" s="880"/>
      <c r="Y234" s="880"/>
      <c r="Z234" s="880"/>
      <c r="AA234" s="880"/>
      <c r="AB234" s="880"/>
      <c r="AC234" s="880"/>
      <c r="AD234" s="880"/>
    </row>
    <row r="235" spans="1:49" ht="36" customHeight="1">
      <c r="A235" s="227"/>
      <c r="B235" s="90"/>
      <c r="C235" s="44" t="s">
        <v>2516</v>
      </c>
      <c r="D235" s="796" t="s">
        <v>6451</v>
      </c>
      <c r="E235" s="796"/>
      <c r="F235" s="796"/>
      <c r="G235" s="796"/>
      <c r="H235" s="796"/>
      <c r="I235" s="796"/>
      <c r="J235" s="796"/>
      <c r="K235" s="796"/>
      <c r="L235" s="796"/>
      <c r="M235" s="796"/>
      <c r="N235" s="796"/>
      <c r="O235" s="796"/>
      <c r="P235" s="796"/>
      <c r="Q235" s="143" t="s">
        <v>2522</v>
      </c>
      <c r="R235" s="796" t="s">
        <v>6452</v>
      </c>
      <c r="S235" s="796"/>
      <c r="T235" s="796"/>
      <c r="U235" s="796"/>
      <c r="V235" s="796"/>
      <c r="W235" s="796"/>
      <c r="X235" s="796"/>
      <c r="Y235" s="796"/>
      <c r="Z235" s="796"/>
      <c r="AA235" s="796"/>
      <c r="AB235" s="796"/>
      <c r="AC235" s="796"/>
      <c r="AD235" s="796"/>
    </row>
    <row r="236" spans="1:49" ht="24" customHeight="1">
      <c r="A236" s="227"/>
      <c r="B236" s="90"/>
      <c r="C236" s="44" t="s">
        <v>2517</v>
      </c>
      <c r="D236" s="796" t="s">
        <v>6453</v>
      </c>
      <c r="E236" s="796"/>
      <c r="F236" s="796"/>
      <c r="G236" s="796"/>
      <c r="H236" s="796"/>
      <c r="I236" s="796"/>
      <c r="J236" s="796"/>
      <c r="K236" s="796"/>
      <c r="L236" s="796"/>
      <c r="M236" s="796"/>
      <c r="N236" s="796"/>
      <c r="O236" s="796"/>
      <c r="P236" s="796"/>
      <c r="Q236" s="143" t="s">
        <v>2523</v>
      </c>
      <c r="R236" s="796" t="s">
        <v>6454</v>
      </c>
      <c r="S236" s="796"/>
      <c r="T236" s="796"/>
      <c r="U236" s="796"/>
      <c r="V236" s="796"/>
      <c r="W236" s="796"/>
      <c r="X236" s="796"/>
      <c r="Y236" s="796"/>
      <c r="Z236" s="796"/>
      <c r="AA236" s="796"/>
      <c r="AB236" s="796"/>
      <c r="AC236" s="796"/>
      <c r="AD236" s="796"/>
    </row>
    <row r="237" spans="1:49" ht="15" customHeight="1">
      <c r="A237" s="227"/>
      <c r="B237" s="90"/>
      <c r="C237" s="44" t="s">
        <v>2518</v>
      </c>
      <c r="D237" s="796" t="s">
        <v>6384</v>
      </c>
      <c r="E237" s="796"/>
      <c r="F237" s="796"/>
      <c r="G237" s="796"/>
      <c r="H237" s="796"/>
      <c r="I237" s="796"/>
      <c r="J237" s="796"/>
      <c r="K237" s="796"/>
      <c r="L237" s="796"/>
      <c r="M237" s="796"/>
      <c r="N237" s="796"/>
      <c r="O237" s="796"/>
      <c r="P237" s="796"/>
      <c r="Q237" s="143" t="s">
        <v>2524</v>
      </c>
      <c r="R237" s="796" t="s">
        <v>3084</v>
      </c>
      <c r="S237" s="796"/>
      <c r="T237" s="796"/>
      <c r="U237" s="796"/>
      <c r="V237" s="796"/>
      <c r="W237" s="796"/>
      <c r="X237" s="796"/>
      <c r="Y237" s="796"/>
      <c r="Z237" s="796"/>
      <c r="AA237" s="796"/>
      <c r="AB237" s="796"/>
      <c r="AC237" s="796"/>
      <c r="AD237" s="796"/>
    </row>
    <row r="238" spans="1:49" ht="15" customHeight="1">
      <c r="A238" s="227"/>
      <c r="B238" s="90"/>
      <c r="C238" s="44" t="s">
        <v>2519</v>
      </c>
      <c r="D238" s="796" t="s">
        <v>6385</v>
      </c>
      <c r="E238" s="796"/>
      <c r="F238" s="796"/>
      <c r="G238" s="796"/>
      <c r="H238" s="796"/>
      <c r="I238" s="796"/>
      <c r="J238" s="796"/>
      <c r="K238" s="796"/>
      <c r="L238" s="796"/>
      <c r="M238" s="796"/>
      <c r="N238" s="796"/>
      <c r="O238" s="796"/>
      <c r="P238" s="796"/>
      <c r="Q238" s="143" t="s">
        <v>2525</v>
      </c>
      <c r="R238" s="796" t="s">
        <v>3087</v>
      </c>
      <c r="S238" s="796"/>
      <c r="T238" s="796"/>
      <c r="U238" s="796"/>
      <c r="V238" s="796"/>
      <c r="W238" s="796"/>
      <c r="X238" s="796"/>
      <c r="Y238" s="796"/>
      <c r="Z238" s="796"/>
      <c r="AA238" s="796"/>
      <c r="AB238" s="796"/>
      <c r="AC238" s="796"/>
      <c r="AD238" s="796"/>
    </row>
    <row r="239" spans="1:49" ht="15" customHeight="1">
      <c r="A239" s="227"/>
      <c r="B239" s="90"/>
      <c r="C239" s="44" t="s">
        <v>2520</v>
      </c>
      <c r="D239" s="796" t="s">
        <v>6455</v>
      </c>
      <c r="E239" s="796"/>
      <c r="F239" s="796"/>
      <c r="G239" s="796"/>
      <c r="H239" s="796"/>
      <c r="I239" s="796"/>
      <c r="J239" s="796"/>
      <c r="K239" s="796"/>
      <c r="L239" s="796"/>
      <c r="M239" s="796"/>
      <c r="N239" s="796"/>
      <c r="O239" s="796"/>
      <c r="P239" s="796"/>
      <c r="Q239" s="143" t="s">
        <v>2526</v>
      </c>
      <c r="R239" s="796" t="s">
        <v>6456</v>
      </c>
      <c r="S239" s="796"/>
      <c r="T239" s="796"/>
      <c r="U239" s="796"/>
      <c r="V239" s="796"/>
      <c r="W239" s="796"/>
      <c r="X239" s="796"/>
      <c r="Y239" s="796"/>
      <c r="Z239" s="796"/>
      <c r="AA239" s="796"/>
      <c r="AB239" s="796"/>
      <c r="AC239" s="796"/>
      <c r="AD239" s="796"/>
    </row>
    <row r="240" spans="1:49" ht="36" customHeight="1">
      <c r="A240" s="227"/>
      <c r="B240" s="90"/>
      <c r="C240" s="44" t="s">
        <v>2521</v>
      </c>
      <c r="D240" s="796" t="s">
        <v>6457</v>
      </c>
      <c r="E240" s="796"/>
      <c r="F240" s="796"/>
      <c r="G240" s="796"/>
      <c r="H240" s="796"/>
      <c r="I240" s="796"/>
      <c r="J240" s="796"/>
      <c r="K240" s="796"/>
      <c r="L240" s="796"/>
      <c r="M240" s="796"/>
      <c r="N240" s="796"/>
      <c r="O240" s="796"/>
      <c r="P240" s="796"/>
      <c r="Q240" s="143" t="s">
        <v>2527</v>
      </c>
      <c r="R240" s="796" t="s">
        <v>201</v>
      </c>
      <c r="S240" s="796"/>
      <c r="T240" s="796"/>
      <c r="U240" s="796"/>
      <c r="V240" s="796"/>
      <c r="W240" s="796"/>
      <c r="X240" s="796"/>
      <c r="Y240" s="796"/>
      <c r="Z240" s="796"/>
      <c r="AA240" s="796"/>
      <c r="AB240" s="796"/>
      <c r="AC240" s="796"/>
      <c r="AD240" s="796"/>
    </row>
    <row r="241" spans="1:31" ht="15" customHeight="1">
      <c r="A241" s="176"/>
      <c r="B241" s="57"/>
      <c r="C241" s="57"/>
      <c r="D241" s="57"/>
      <c r="E241" s="57"/>
      <c r="F241" s="57"/>
      <c r="G241" s="57"/>
      <c r="H241" s="57"/>
      <c r="I241" s="57"/>
      <c r="J241" s="57"/>
      <c r="K241" s="57"/>
      <c r="L241" s="57"/>
      <c r="M241" s="57"/>
      <c r="N241" s="57"/>
      <c r="O241" s="57"/>
      <c r="P241" s="57"/>
      <c r="Q241" s="57"/>
      <c r="R241" s="57"/>
      <c r="S241" s="57"/>
      <c r="T241" s="57"/>
      <c r="U241" s="57"/>
      <c r="V241" s="57"/>
      <c r="W241" s="57"/>
      <c r="X241" s="57"/>
      <c r="Y241" s="57"/>
      <c r="Z241" s="57"/>
      <c r="AA241" s="57"/>
      <c r="AB241" s="57"/>
      <c r="AC241" s="57"/>
      <c r="AD241" s="57"/>
    </row>
    <row r="242" spans="1:31" ht="24" customHeight="1">
      <c r="A242" s="227"/>
      <c r="B242" s="90"/>
      <c r="C242" s="754" t="s">
        <v>2611</v>
      </c>
      <c r="D242" s="754"/>
      <c r="E242" s="754"/>
      <c r="F242" s="754"/>
      <c r="G242" s="754"/>
      <c r="H242" s="754"/>
      <c r="I242" s="754"/>
      <c r="J242" s="754"/>
      <c r="K242" s="754"/>
      <c r="L242" s="754"/>
      <c r="M242" s="754"/>
      <c r="N242" s="754"/>
      <c r="O242" s="754"/>
      <c r="P242" s="754"/>
      <c r="Q242" s="754"/>
      <c r="R242" s="754"/>
      <c r="S242" s="754"/>
      <c r="T242" s="754"/>
      <c r="U242" s="754"/>
      <c r="V242" s="754"/>
      <c r="W242" s="754"/>
      <c r="X242" s="754"/>
      <c r="Y242" s="754"/>
      <c r="Z242" s="754"/>
      <c r="AA242" s="754"/>
      <c r="AB242" s="754"/>
      <c r="AC242" s="754"/>
      <c r="AD242" s="754"/>
    </row>
    <row r="243" spans="1:31" ht="60" customHeight="1">
      <c r="A243" s="227"/>
      <c r="B243" s="90"/>
      <c r="C243" s="851"/>
      <c r="D243" s="851"/>
      <c r="E243" s="851"/>
      <c r="F243" s="851"/>
      <c r="G243" s="851"/>
      <c r="H243" s="851"/>
      <c r="I243" s="851"/>
      <c r="J243" s="851"/>
      <c r="K243" s="851"/>
      <c r="L243" s="851"/>
      <c r="M243" s="851"/>
      <c r="N243" s="851"/>
      <c r="O243" s="851"/>
      <c r="P243" s="851"/>
      <c r="Q243" s="851"/>
      <c r="R243" s="851"/>
      <c r="S243" s="851"/>
      <c r="T243" s="851"/>
      <c r="U243" s="851"/>
      <c r="V243" s="851"/>
      <c r="W243" s="851"/>
      <c r="X243" s="851"/>
      <c r="Y243" s="851"/>
      <c r="Z243" s="851"/>
      <c r="AA243" s="851"/>
      <c r="AB243" s="851"/>
      <c r="AC243" s="851"/>
      <c r="AD243" s="851"/>
    </row>
    <row r="244" spans="1:31" ht="15" customHeight="1">
      <c r="A244" s="186"/>
      <c r="B244" s="794" t="str">
        <f>IF(AG230&gt;0,"Favor de ingresar toda la información requerida en la pregunta y/o verifique que no tenga información en celdas sombreadas","")</f>
        <v/>
      </c>
      <c r="C244" s="794"/>
      <c r="D244" s="794"/>
      <c r="E244" s="794"/>
      <c r="F244" s="794"/>
      <c r="G244" s="794"/>
      <c r="H244" s="794"/>
      <c r="I244" s="794"/>
      <c r="J244" s="794"/>
      <c r="K244" s="794"/>
      <c r="L244" s="794"/>
      <c r="M244" s="794"/>
      <c r="N244" s="794"/>
      <c r="O244" s="794"/>
      <c r="P244" s="794"/>
      <c r="Q244" s="794"/>
      <c r="R244" s="794"/>
      <c r="S244" s="794"/>
      <c r="T244" s="794"/>
      <c r="U244" s="794"/>
      <c r="V244" s="794"/>
      <c r="W244" s="794"/>
      <c r="X244" s="794"/>
      <c r="Y244" s="794"/>
      <c r="Z244" s="794"/>
      <c r="AA244" s="794"/>
      <c r="AB244" s="794"/>
      <c r="AC244" s="794"/>
      <c r="AD244" s="794"/>
      <c r="AE244" s="794"/>
    </row>
    <row r="245" spans="1:31" ht="15" customHeight="1">
      <c r="A245" s="186"/>
      <c r="B245" s="795" t="str">
        <f>IF(AH230&gt;0,"Alerta: debido a que cuenta con registros NS, debe proporcionar una justificación en el area de comentarios al final de la pregunta","")</f>
        <v/>
      </c>
      <c r="C245" s="795"/>
      <c r="D245" s="795"/>
      <c r="E245" s="795"/>
      <c r="F245" s="795"/>
      <c r="G245" s="795"/>
      <c r="H245" s="795"/>
      <c r="I245" s="795"/>
      <c r="J245" s="795"/>
      <c r="K245" s="795"/>
      <c r="L245" s="795"/>
      <c r="M245" s="795"/>
      <c r="N245" s="795"/>
      <c r="O245" s="795"/>
      <c r="P245" s="795"/>
      <c r="Q245" s="795"/>
      <c r="R245" s="795"/>
      <c r="S245" s="795"/>
      <c r="T245" s="795"/>
      <c r="U245" s="795"/>
      <c r="V245" s="795"/>
      <c r="W245" s="795"/>
      <c r="X245" s="795"/>
      <c r="Y245" s="795"/>
      <c r="Z245" s="795"/>
      <c r="AA245" s="795"/>
      <c r="AB245" s="795"/>
      <c r="AC245" s="795"/>
      <c r="AD245" s="795"/>
      <c r="AE245" s="795"/>
    </row>
    <row r="246" spans="1:31" ht="15" customHeight="1">
      <c r="A246" s="186"/>
      <c r="B246" s="794" t="str">
        <f>IF(AJ230&gt;0,"Revisar la instrucción 3, debido a que la suma de las solicitudes registradas son menores al total general de la fila respectiva","")</f>
        <v/>
      </c>
      <c r="C246" s="794"/>
      <c r="D246" s="794"/>
      <c r="E246" s="794"/>
      <c r="F246" s="794"/>
      <c r="G246" s="794"/>
      <c r="H246" s="794"/>
      <c r="I246" s="794"/>
      <c r="J246" s="794"/>
      <c r="K246" s="794"/>
      <c r="L246" s="794"/>
      <c r="M246" s="794"/>
      <c r="N246" s="794"/>
      <c r="O246" s="794"/>
      <c r="P246" s="794"/>
      <c r="Q246" s="794"/>
      <c r="R246" s="794"/>
      <c r="S246" s="794"/>
      <c r="T246" s="794"/>
      <c r="U246" s="794"/>
      <c r="V246" s="794"/>
      <c r="W246" s="794"/>
      <c r="X246" s="794"/>
      <c r="Y246" s="794"/>
      <c r="Z246" s="794"/>
      <c r="AA246" s="794"/>
      <c r="AB246" s="794"/>
      <c r="AC246" s="794"/>
      <c r="AD246" s="794"/>
      <c r="AE246" s="794"/>
    </row>
    <row r="247" spans="1:31" ht="15" customHeight="1">
      <c r="A247" s="186"/>
      <c r="B247" s="794" t="str">
        <f>IF(AK230&gt;0,"Revisar la instrucción 4, debido a que cada solicitud registrada debe ser igual o menor al total general de la fila respectiva","")</f>
        <v/>
      </c>
      <c r="C247" s="794"/>
      <c r="D247" s="794"/>
      <c r="E247" s="794"/>
      <c r="F247" s="794"/>
      <c r="G247" s="794"/>
      <c r="H247" s="794"/>
      <c r="I247" s="794"/>
      <c r="J247" s="794"/>
      <c r="K247" s="794"/>
      <c r="L247" s="794"/>
      <c r="M247" s="794"/>
      <c r="N247" s="794"/>
      <c r="O247" s="794"/>
      <c r="P247" s="794"/>
      <c r="Q247" s="794"/>
      <c r="R247" s="794"/>
      <c r="S247" s="794"/>
      <c r="T247" s="794"/>
      <c r="U247" s="794"/>
      <c r="V247" s="794"/>
      <c r="W247" s="794"/>
      <c r="X247" s="794"/>
      <c r="Y247" s="794"/>
      <c r="Z247" s="794"/>
      <c r="AA247" s="794"/>
      <c r="AB247" s="794"/>
      <c r="AC247" s="794"/>
      <c r="AD247" s="794"/>
      <c r="AE247" s="794"/>
    </row>
    <row r="248" spans="1:31" ht="15" customHeight="1">
      <c r="A248" s="186"/>
      <c r="B248" s="794" t="str">
        <f>IF(AW230=0,"","Error: revisar por filas la consistencia entre la columna Total y las desagregaciones")</f>
        <v/>
      </c>
      <c r="C248" s="794"/>
      <c r="D248" s="794"/>
      <c r="E248" s="794"/>
      <c r="F248" s="794"/>
      <c r="G248" s="794"/>
      <c r="H248" s="794"/>
      <c r="I248" s="794"/>
      <c r="J248" s="794"/>
      <c r="K248" s="794"/>
      <c r="L248" s="794"/>
      <c r="M248" s="794"/>
      <c r="N248" s="794"/>
      <c r="O248" s="794"/>
      <c r="P248" s="794"/>
      <c r="Q248" s="794"/>
      <c r="R248" s="794"/>
      <c r="S248" s="794"/>
      <c r="T248" s="794"/>
      <c r="U248" s="794"/>
      <c r="V248" s="794"/>
      <c r="W248" s="794"/>
      <c r="X248" s="794"/>
      <c r="Y248" s="794"/>
      <c r="Z248" s="794"/>
      <c r="AA248" s="794"/>
      <c r="AB248" s="794"/>
      <c r="AC248" s="794"/>
      <c r="AD248" s="794"/>
    </row>
    <row r="249" spans="1:31" ht="15" customHeight="1">
      <c r="A249" s="186"/>
      <c r="B249" s="57"/>
      <c r="C249" s="57"/>
      <c r="D249" s="57"/>
      <c r="E249" s="57"/>
      <c r="F249" s="57"/>
      <c r="G249" s="57"/>
      <c r="H249" s="57"/>
      <c r="I249" s="57"/>
      <c r="J249" s="57"/>
      <c r="K249" s="57"/>
      <c r="L249" s="57"/>
      <c r="M249" s="57"/>
      <c r="N249" s="57"/>
      <c r="O249" s="57"/>
      <c r="P249" s="57"/>
      <c r="Q249" s="57"/>
      <c r="R249" s="57"/>
      <c r="S249" s="57"/>
      <c r="T249" s="57"/>
      <c r="U249" s="57"/>
      <c r="V249" s="57"/>
      <c r="W249" s="57"/>
      <c r="X249" s="57"/>
      <c r="Y249" s="57"/>
      <c r="Z249" s="57"/>
      <c r="AA249" s="57"/>
      <c r="AB249" s="57"/>
      <c r="AC249" s="57"/>
      <c r="AD249" s="57"/>
    </row>
    <row r="250" spans="1:31" ht="36" customHeight="1">
      <c r="A250" s="108" t="s">
        <v>6458</v>
      </c>
      <c r="B250" s="829" t="s">
        <v>6459</v>
      </c>
      <c r="C250" s="829"/>
      <c r="D250" s="829"/>
      <c r="E250" s="829"/>
      <c r="F250" s="829"/>
      <c r="G250" s="829"/>
      <c r="H250" s="829"/>
      <c r="I250" s="829"/>
      <c r="J250" s="829"/>
      <c r="K250" s="829"/>
      <c r="L250" s="829"/>
      <c r="M250" s="829"/>
      <c r="N250" s="829"/>
      <c r="O250" s="829"/>
      <c r="P250" s="829"/>
      <c r="Q250" s="829"/>
      <c r="R250" s="829"/>
      <c r="S250" s="829"/>
      <c r="T250" s="829"/>
      <c r="U250" s="829"/>
      <c r="V250" s="829"/>
      <c r="W250" s="829"/>
      <c r="X250" s="829"/>
      <c r="Y250" s="829"/>
      <c r="Z250" s="829"/>
      <c r="AA250" s="829"/>
      <c r="AB250" s="829"/>
      <c r="AC250" s="829"/>
      <c r="AD250" s="829"/>
    </row>
    <row r="251" spans="1:31" ht="36" customHeight="1">
      <c r="A251" s="108"/>
      <c r="B251" s="38"/>
      <c r="C251" s="754" t="s">
        <v>6460</v>
      </c>
      <c r="D251" s="830"/>
      <c r="E251" s="830"/>
      <c r="F251" s="830"/>
      <c r="G251" s="830"/>
      <c r="H251" s="830"/>
      <c r="I251" s="830"/>
      <c r="J251" s="830"/>
      <c r="K251" s="830"/>
      <c r="L251" s="830"/>
      <c r="M251" s="830"/>
      <c r="N251" s="830"/>
      <c r="O251" s="830"/>
      <c r="P251" s="830"/>
      <c r="Q251" s="830"/>
      <c r="R251" s="830"/>
      <c r="S251" s="830"/>
      <c r="T251" s="830"/>
      <c r="U251" s="830"/>
      <c r="V251" s="830"/>
      <c r="W251" s="830"/>
      <c r="X251" s="830"/>
      <c r="Y251" s="830"/>
      <c r="Z251" s="830"/>
      <c r="AA251" s="830"/>
      <c r="AB251" s="830"/>
      <c r="AC251" s="830"/>
      <c r="AD251" s="830"/>
    </row>
    <row r="252" spans="1:31" ht="24" customHeight="1">
      <c r="A252" s="50"/>
      <c r="B252" s="38"/>
      <c r="C252" s="830" t="s">
        <v>6461</v>
      </c>
      <c r="D252" s="830"/>
      <c r="E252" s="830"/>
      <c r="F252" s="830"/>
      <c r="G252" s="830"/>
      <c r="H252" s="830"/>
      <c r="I252" s="830"/>
      <c r="J252" s="830"/>
      <c r="K252" s="830"/>
      <c r="L252" s="830"/>
      <c r="M252" s="830"/>
      <c r="N252" s="830"/>
      <c r="O252" s="830"/>
      <c r="P252" s="830"/>
      <c r="Q252" s="830"/>
      <c r="R252" s="830"/>
      <c r="S252" s="830"/>
      <c r="T252" s="830"/>
      <c r="U252" s="830"/>
      <c r="V252" s="830"/>
      <c r="W252" s="830"/>
      <c r="X252" s="830"/>
      <c r="Y252" s="830"/>
      <c r="Z252" s="830"/>
      <c r="AA252" s="830"/>
      <c r="AB252" s="830"/>
      <c r="AC252" s="830"/>
      <c r="AD252" s="830"/>
    </row>
    <row r="253" spans="1:31" ht="36" customHeight="1">
      <c r="A253" s="50"/>
      <c r="B253" s="38"/>
      <c r="C253" s="754" t="s">
        <v>6462</v>
      </c>
      <c r="D253" s="754"/>
      <c r="E253" s="754"/>
      <c r="F253" s="754"/>
      <c r="G253" s="754"/>
      <c r="H253" s="754"/>
      <c r="I253" s="754"/>
      <c r="J253" s="754"/>
      <c r="K253" s="754"/>
      <c r="L253" s="754"/>
      <c r="M253" s="754"/>
      <c r="N253" s="754"/>
      <c r="O253" s="754"/>
      <c r="P253" s="754"/>
      <c r="Q253" s="754"/>
      <c r="R253" s="754"/>
      <c r="S253" s="754"/>
      <c r="T253" s="754"/>
      <c r="U253" s="754"/>
      <c r="V253" s="754"/>
      <c r="W253" s="754"/>
      <c r="X253" s="754"/>
      <c r="Y253" s="754"/>
      <c r="Z253" s="754"/>
      <c r="AA253" s="754"/>
      <c r="AB253" s="754"/>
      <c r="AC253" s="754"/>
      <c r="AD253" s="754"/>
    </row>
    <row r="254" spans="1:31" ht="24" customHeight="1">
      <c r="A254" s="108"/>
      <c r="B254" s="38"/>
      <c r="C254" s="754" t="s">
        <v>6463</v>
      </c>
      <c r="D254" s="754"/>
      <c r="E254" s="754"/>
      <c r="F254" s="754"/>
      <c r="G254" s="754"/>
      <c r="H254" s="754"/>
      <c r="I254" s="754"/>
      <c r="J254" s="754"/>
      <c r="K254" s="754"/>
      <c r="L254" s="754"/>
      <c r="M254" s="754"/>
      <c r="N254" s="754"/>
      <c r="O254" s="754"/>
      <c r="P254" s="754"/>
      <c r="Q254" s="754"/>
      <c r="R254" s="754"/>
      <c r="S254" s="754"/>
      <c r="T254" s="754"/>
      <c r="U254" s="754"/>
      <c r="V254" s="754"/>
      <c r="W254" s="754"/>
      <c r="X254" s="754"/>
      <c r="Y254" s="754"/>
      <c r="Z254" s="754"/>
      <c r="AA254" s="754"/>
      <c r="AB254" s="754"/>
      <c r="AC254" s="754"/>
      <c r="AD254" s="754"/>
    </row>
    <row r="255" spans="1:31" ht="15" customHeight="1">
      <c r="A255" s="227"/>
      <c r="B255" s="90"/>
      <c r="C255" s="90"/>
      <c r="D255" s="90"/>
      <c r="E255" s="90"/>
      <c r="F255" s="90"/>
      <c r="G255" s="90"/>
      <c r="H255" s="90"/>
      <c r="I255" s="90"/>
      <c r="J255" s="90"/>
      <c r="K255" s="90"/>
      <c r="L255" s="90"/>
      <c r="M255" s="90"/>
      <c r="N255" s="90"/>
      <c r="O255" s="90"/>
      <c r="P255" s="90"/>
      <c r="Q255" s="90"/>
      <c r="R255" s="90"/>
      <c r="S255" s="90"/>
      <c r="T255" s="90"/>
      <c r="U255" s="90"/>
      <c r="V255" s="90"/>
      <c r="W255" s="90"/>
      <c r="X255" s="90"/>
      <c r="Y255" s="90"/>
      <c r="Z255" s="90"/>
      <c r="AA255" s="90"/>
      <c r="AB255" s="90"/>
      <c r="AC255" s="90"/>
      <c r="AD255" s="90"/>
    </row>
    <row r="256" spans="1:31" ht="24" customHeight="1">
      <c r="A256" s="227"/>
      <c r="B256" s="90"/>
      <c r="C256" s="732" t="s">
        <v>2581</v>
      </c>
      <c r="D256" s="732"/>
      <c r="E256" s="732"/>
      <c r="F256" s="732"/>
      <c r="G256" s="732"/>
      <c r="H256" s="732"/>
      <c r="I256" s="732"/>
      <c r="J256" s="732"/>
      <c r="K256" s="736" t="s">
        <v>6464</v>
      </c>
      <c r="L256" s="736"/>
      <c r="M256" s="736"/>
      <c r="N256" s="736"/>
      <c r="O256" s="736"/>
      <c r="P256" s="736"/>
      <c r="Q256" s="739" t="s">
        <v>6465</v>
      </c>
      <c r="R256" s="740"/>
      <c r="S256" s="740"/>
      <c r="T256" s="740"/>
      <c r="U256" s="740"/>
      <c r="V256" s="740"/>
      <c r="W256" s="740"/>
      <c r="X256" s="740"/>
      <c r="Y256" s="740"/>
      <c r="Z256" s="740"/>
      <c r="AA256" s="740"/>
      <c r="AB256" s="740"/>
      <c r="AC256" s="740"/>
      <c r="AD256" s="741"/>
    </row>
    <row r="257" spans="1:43" ht="15" customHeight="1">
      <c r="A257" s="227"/>
      <c r="B257" s="90"/>
      <c r="C257" s="732"/>
      <c r="D257" s="732"/>
      <c r="E257" s="732"/>
      <c r="F257" s="732"/>
      <c r="G257" s="732"/>
      <c r="H257" s="732"/>
      <c r="I257" s="732"/>
      <c r="J257" s="732"/>
      <c r="K257" s="736"/>
      <c r="L257" s="736"/>
      <c r="M257" s="736"/>
      <c r="N257" s="736"/>
      <c r="O257" s="736"/>
      <c r="P257" s="736"/>
      <c r="Q257" s="732" t="s">
        <v>2628</v>
      </c>
      <c r="R257" s="732"/>
      <c r="S257" s="733" t="s">
        <v>6466</v>
      </c>
      <c r="T257" s="734"/>
      <c r="U257" s="734"/>
      <c r="V257" s="734"/>
      <c r="W257" s="734"/>
      <c r="X257" s="734"/>
      <c r="Y257" s="734"/>
      <c r="Z257" s="734"/>
      <c r="AA257" s="734"/>
      <c r="AB257" s="734"/>
      <c r="AC257" s="734"/>
      <c r="AD257" s="735"/>
    </row>
    <row r="258" spans="1:43" ht="144" customHeight="1">
      <c r="A258" s="227"/>
      <c r="B258" s="90"/>
      <c r="C258" s="732"/>
      <c r="D258" s="732"/>
      <c r="E258" s="732"/>
      <c r="F258" s="732"/>
      <c r="G258" s="732"/>
      <c r="H258" s="732"/>
      <c r="I258" s="732"/>
      <c r="J258" s="732"/>
      <c r="K258" s="736"/>
      <c r="L258" s="736"/>
      <c r="M258" s="736"/>
      <c r="N258" s="736"/>
      <c r="O258" s="736"/>
      <c r="P258" s="736"/>
      <c r="Q258" s="732"/>
      <c r="R258" s="732"/>
      <c r="S258" s="858" t="s">
        <v>6467</v>
      </c>
      <c r="T258" s="860"/>
      <c r="U258" s="858" t="s">
        <v>6468</v>
      </c>
      <c r="V258" s="860"/>
      <c r="W258" s="858" t="s">
        <v>6469</v>
      </c>
      <c r="X258" s="860"/>
      <c r="Y258" s="858" t="s">
        <v>6470</v>
      </c>
      <c r="Z258" s="860"/>
      <c r="AA258" s="858" t="s">
        <v>6471</v>
      </c>
      <c r="AB258" s="860"/>
      <c r="AC258" s="845" t="s">
        <v>6472</v>
      </c>
      <c r="AD258" s="846"/>
      <c r="AG258" s="683" t="s">
        <v>2586</v>
      </c>
      <c r="AH258" s="684" t="s">
        <v>2590</v>
      </c>
      <c r="AI258" s="689" t="s">
        <v>6386</v>
      </c>
      <c r="AJ258" s="685" t="s">
        <v>6346</v>
      </c>
      <c r="AK258" s="1170" t="s">
        <v>6347</v>
      </c>
      <c r="AL258" s="1170"/>
      <c r="AM258" s="1170"/>
      <c r="AN258" s="1170"/>
      <c r="AO258" s="1170"/>
      <c r="AP258" s="1170"/>
      <c r="AQ258" s="714" t="s">
        <v>6348</v>
      </c>
    </row>
    <row r="259" spans="1:43">
      <c r="A259" s="227"/>
      <c r="B259" s="90"/>
      <c r="C259" s="44" t="s">
        <v>2516</v>
      </c>
      <c r="D259" s="796" t="str">
        <f>IF(CNSIPEE_2024_M2_Secc1!D42="","",CNSIPEE_2024_M2_Secc1!D42)</f>
        <v/>
      </c>
      <c r="E259" s="796"/>
      <c r="F259" s="796"/>
      <c r="G259" s="796"/>
      <c r="H259" s="796"/>
      <c r="I259" s="796"/>
      <c r="J259" s="796"/>
      <c r="K259" s="816"/>
      <c r="L259" s="738"/>
      <c r="M259" s="738"/>
      <c r="N259" s="738"/>
      <c r="O259" s="738"/>
      <c r="P259" s="817"/>
      <c r="Q259" s="738"/>
      <c r="R259" s="817"/>
      <c r="S259" s="738"/>
      <c r="T259" s="817"/>
      <c r="U259" s="738"/>
      <c r="V259" s="817"/>
      <c r="W259" s="738"/>
      <c r="X259" s="817"/>
      <c r="Y259" s="738"/>
      <c r="Z259" s="817"/>
      <c r="AA259" s="738"/>
      <c r="AB259" s="817"/>
      <c r="AC259" s="738"/>
      <c r="AD259" s="817"/>
      <c r="AG259" s="253">
        <f t="shared" ref="AG259:AG266" si="63">IF(COUNTA($K$259:$AD$266)&gt;0,IF(AND(COUNTBLANK(D259)=0,K259=1,COUNTBLANK(Q259:AD259)=7),0,IF(AND(COUNTBLANK(D259)=0,K259=2,COUNTBLANK(Q259:AD259)=14),0,IF(AND(COUNTBLANK(D259)=0,K259=9,COUNTBLANK(Q259:AD259)=14),0,IF(AND(COUNTBLANK(D259)&gt;0,K259="",COUNTBLANK(Q259:AD259)=14),0,1)))),0)</f>
        <v>0</v>
      </c>
      <c r="AH259" s="253">
        <f t="shared" ref="AH259:AH266" si="64">IF(COUNTIF(Q259:AD259,"NS"),1,0)</f>
        <v>0</v>
      </c>
      <c r="AI259" s="253">
        <f t="shared" ref="AI259:AI266" si="65">IF(OR(AC259=0,AC259="NS",AC259="NA"),0,1)</f>
        <v>0</v>
      </c>
      <c r="AJ259" s="253">
        <f t="shared" ref="AJ259:AJ266" si="66">IF(Q259&lt;=SUM(S259:AD259),0,1)</f>
        <v>0</v>
      </c>
      <c r="AK259" s="253">
        <f t="shared" ref="AK259:AK266" si="67">IF(COUNTIF(S259,"NS")=0,IF(Q259&lt;S259,1,0),0)</f>
        <v>0</v>
      </c>
      <c r="AL259" s="253">
        <f t="shared" ref="AL259:AL266" si="68">IF(COUNTIF(U259,"NS")=0,IF(Q259&lt;U259,1,0),0)</f>
        <v>0</v>
      </c>
      <c r="AM259" s="253">
        <f t="shared" ref="AM259:AM266" si="69">IF(COUNTIF(W259,"NS")=0,IF(Q259&lt;W259,1,0),0)</f>
        <v>0</v>
      </c>
      <c r="AN259" s="253">
        <f t="shared" ref="AN259:AN266" si="70">IF(COUNTIF(Y259,"NS")=0,IF(Q259&lt;Y259,1,0),0)</f>
        <v>0</v>
      </c>
      <c r="AO259" s="253">
        <f t="shared" ref="AO259:AO266" si="71">IF(COUNTIF(AA259,"NS")=0,IF(Q259&lt;AA259,1,0),0)</f>
        <v>0</v>
      </c>
      <c r="AP259" s="253">
        <f t="shared" ref="AP259:AP265" si="72">IF(COUNTIF(AC259,"NS")=0,IF(Q259&lt;AC259,1,0),0)</f>
        <v>0</v>
      </c>
      <c r="AQ259" s="253">
        <f>IF(AND(SUM(S259:AD259)=0,AH259&gt;0,Q259=0),1,0)</f>
        <v>0</v>
      </c>
    </row>
    <row r="260" spans="1:43">
      <c r="A260" s="186"/>
      <c r="B260" s="57"/>
      <c r="C260" s="44" t="s">
        <v>2517</v>
      </c>
      <c r="D260" s="796" t="str">
        <f>IF(CNSIPEE_2024_M2_Secc1!D43="","",CNSIPEE_2024_M2_Secc1!D43)</f>
        <v/>
      </c>
      <c r="E260" s="796"/>
      <c r="F260" s="796"/>
      <c r="G260" s="796"/>
      <c r="H260" s="796"/>
      <c r="I260" s="796"/>
      <c r="J260" s="796"/>
      <c r="K260" s="816"/>
      <c r="L260" s="738"/>
      <c r="M260" s="738"/>
      <c r="N260" s="738"/>
      <c r="O260" s="738"/>
      <c r="P260" s="817"/>
      <c r="Q260" s="738"/>
      <c r="R260" s="817"/>
      <c r="S260" s="738"/>
      <c r="T260" s="817"/>
      <c r="U260" s="738"/>
      <c r="V260" s="817"/>
      <c r="W260" s="738"/>
      <c r="X260" s="817"/>
      <c r="Y260" s="738"/>
      <c r="Z260" s="817"/>
      <c r="AA260" s="738"/>
      <c r="AB260" s="817"/>
      <c r="AC260" s="738"/>
      <c r="AD260" s="817"/>
      <c r="AG260" s="253">
        <f t="shared" si="63"/>
        <v>0</v>
      </c>
      <c r="AH260" s="253">
        <f t="shared" si="64"/>
        <v>0</v>
      </c>
      <c r="AI260" s="253">
        <f t="shared" si="65"/>
        <v>0</v>
      </c>
      <c r="AJ260" s="253">
        <f t="shared" si="66"/>
        <v>0</v>
      </c>
      <c r="AK260" s="253">
        <f t="shared" si="67"/>
        <v>0</v>
      </c>
      <c r="AL260" s="253">
        <f t="shared" si="68"/>
        <v>0</v>
      </c>
      <c r="AM260" s="253">
        <f t="shared" si="69"/>
        <v>0</v>
      </c>
      <c r="AN260" s="253">
        <f t="shared" si="70"/>
        <v>0</v>
      </c>
      <c r="AO260" s="253">
        <f t="shared" si="71"/>
        <v>0</v>
      </c>
      <c r="AP260" s="253">
        <f t="shared" si="72"/>
        <v>0</v>
      </c>
      <c r="AQ260" s="253">
        <f t="shared" ref="AQ260:AQ266" si="73">IF(AND(SUM(S260:AD260)=0,AH260&gt;0,Q260=0),1,0)</f>
        <v>0</v>
      </c>
    </row>
    <row r="261" spans="1:43">
      <c r="A261" s="186"/>
      <c r="B261" s="57"/>
      <c r="C261" s="44" t="s">
        <v>2518</v>
      </c>
      <c r="D261" s="796" t="str">
        <f>IF(CNSIPEE_2024_M2_Secc1!D44="","",CNSIPEE_2024_M2_Secc1!D44)</f>
        <v/>
      </c>
      <c r="E261" s="796"/>
      <c r="F261" s="796"/>
      <c r="G261" s="796"/>
      <c r="H261" s="796"/>
      <c r="I261" s="796"/>
      <c r="J261" s="796"/>
      <c r="K261" s="816"/>
      <c r="L261" s="738"/>
      <c r="M261" s="738"/>
      <c r="N261" s="738"/>
      <c r="O261" s="738"/>
      <c r="P261" s="817"/>
      <c r="Q261" s="738"/>
      <c r="R261" s="817"/>
      <c r="S261" s="738"/>
      <c r="T261" s="817"/>
      <c r="U261" s="738"/>
      <c r="V261" s="817"/>
      <c r="W261" s="738"/>
      <c r="X261" s="817"/>
      <c r="Y261" s="738"/>
      <c r="Z261" s="817"/>
      <c r="AA261" s="738"/>
      <c r="AB261" s="817"/>
      <c r="AC261" s="738"/>
      <c r="AD261" s="817"/>
      <c r="AG261" s="253">
        <f t="shared" si="63"/>
        <v>0</v>
      </c>
      <c r="AH261" s="253">
        <f t="shared" si="64"/>
        <v>0</v>
      </c>
      <c r="AI261" s="253">
        <f t="shared" si="65"/>
        <v>0</v>
      </c>
      <c r="AJ261" s="253">
        <f t="shared" si="66"/>
        <v>0</v>
      </c>
      <c r="AK261" s="253">
        <f t="shared" si="67"/>
        <v>0</v>
      </c>
      <c r="AL261" s="253">
        <f t="shared" si="68"/>
        <v>0</v>
      </c>
      <c r="AM261" s="253">
        <f t="shared" si="69"/>
        <v>0</v>
      </c>
      <c r="AN261" s="253">
        <f t="shared" si="70"/>
        <v>0</v>
      </c>
      <c r="AO261" s="253">
        <f t="shared" si="71"/>
        <v>0</v>
      </c>
      <c r="AP261" s="253">
        <f t="shared" si="72"/>
        <v>0</v>
      </c>
      <c r="AQ261" s="253">
        <f t="shared" si="73"/>
        <v>0</v>
      </c>
    </row>
    <row r="262" spans="1:43">
      <c r="A262" s="186"/>
      <c r="B262" s="57"/>
      <c r="C262" s="44" t="s">
        <v>2519</v>
      </c>
      <c r="D262" s="796" t="str">
        <f>IF(CNSIPEE_2024_M2_Secc1!D45="","",CNSIPEE_2024_M2_Secc1!D45)</f>
        <v/>
      </c>
      <c r="E262" s="796"/>
      <c r="F262" s="796"/>
      <c r="G262" s="796"/>
      <c r="H262" s="796"/>
      <c r="I262" s="796"/>
      <c r="J262" s="796"/>
      <c r="K262" s="816"/>
      <c r="L262" s="738"/>
      <c r="M262" s="738"/>
      <c r="N262" s="738"/>
      <c r="O262" s="738"/>
      <c r="P262" s="817"/>
      <c r="Q262" s="738"/>
      <c r="R262" s="817"/>
      <c r="S262" s="738"/>
      <c r="T262" s="817"/>
      <c r="U262" s="738"/>
      <c r="V262" s="817"/>
      <c r="W262" s="738"/>
      <c r="X262" s="817"/>
      <c r="Y262" s="738"/>
      <c r="Z262" s="817"/>
      <c r="AA262" s="738"/>
      <c r="AB262" s="817"/>
      <c r="AC262" s="738"/>
      <c r="AD262" s="817"/>
      <c r="AG262" s="253">
        <f t="shared" si="63"/>
        <v>0</v>
      </c>
      <c r="AH262" s="253">
        <f t="shared" si="64"/>
        <v>0</v>
      </c>
      <c r="AI262" s="253">
        <f t="shared" si="65"/>
        <v>0</v>
      </c>
      <c r="AJ262" s="253">
        <f t="shared" si="66"/>
        <v>0</v>
      </c>
      <c r="AK262" s="253">
        <f t="shared" si="67"/>
        <v>0</v>
      </c>
      <c r="AL262" s="253">
        <f t="shared" si="68"/>
        <v>0</v>
      </c>
      <c r="AM262" s="253">
        <f t="shared" si="69"/>
        <v>0</v>
      </c>
      <c r="AN262" s="253">
        <f t="shared" si="70"/>
        <v>0</v>
      </c>
      <c r="AO262" s="253">
        <f t="shared" si="71"/>
        <v>0</v>
      </c>
      <c r="AP262" s="253">
        <f t="shared" si="72"/>
        <v>0</v>
      </c>
      <c r="AQ262" s="253">
        <f t="shared" si="73"/>
        <v>0</v>
      </c>
    </row>
    <row r="263" spans="1:43">
      <c r="A263" s="186"/>
      <c r="B263" s="57"/>
      <c r="C263" s="44" t="s">
        <v>2520</v>
      </c>
      <c r="D263" s="796" t="str">
        <f>IF(CNSIPEE_2024_M2_Secc1!D46="","",CNSIPEE_2024_M2_Secc1!D46)</f>
        <v/>
      </c>
      <c r="E263" s="796"/>
      <c r="F263" s="796"/>
      <c r="G263" s="796"/>
      <c r="H263" s="796"/>
      <c r="I263" s="796"/>
      <c r="J263" s="796"/>
      <c r="K263" s="816"/>
      <c r="L263" s="738"/>
      <c r="M263" s="738"/>
      <c r="N263" s="738"/>
      <c r="O263" s="738"/>
      <c r="P263" s="817"/>
      <c r="Q263" s="738"/>
      <c r="R263" s="817"/>
      <c r="S263" s="738"/>
      <c r="T263" s="817"/>
      <c r="U263" s="738"/>
      <c r="V263" s="817"/>
      <c r="W263" s="738"/>
      <c r="X263" s="817"/>
      <c r="Y263" s="738"/>
      <c r="Z263" s="817"/>
      <c r="AA263" s="738"/>
      <c r="AB263" s="817"/>
      <c r="AC263" s="738"/>
      <c r="AD263" s="817"/>
      <c r="AG263" s="253">
        <f t="shared" si="63"/>
        <v>0</v>
      </c>
      <c r="AH263" s="253">
        <f t="shared" si="64"/>
        <v>0</v>
      </c>
      <c r="AI263" s="253">
        <f t="shared" si="65"/>
        <v>0</v>
      </c>
      <c r="AJ263" s="253">
        <f t="shared" si="66"/>
        <v>0</v>
      </c>
      <c r="AK263" s="253">
        <f t="shared" si="67"/>
        <v>0</v>
      </c>
      <c r="AL263" s="253">
        <f t="shared" si="68"/>
        <v>0</v>
      </c>
      <c r="AM263" s="253">
        <f t="shared" si="69"/>
        <v>0</v>
      </c>
      <c r="AN263" s="253">
        <f t="shared" si="70"/>
        <v>0</v>
      </c>
      <c r="AO263" s="253">
        <f t="shared" si="71"/>
        <v>0</v>
      </c>
      <c r="AP263" s="253">
        <f t="shared" si="72"/>
        <v>0</v>
      </c>
      <c r="AQ263" s="253">
        <f t="shared" si="73"/>
        <v>0</v>
      </c>
    </row>
    <row r="264" spans="1:43">
      <c r="A264" s="186"/>
      <c r="B264" s="57"/>
      <c r="C264" s="44" t="s">
        <v>2521</v>
      </c>
      <c r="D264" s="796" t="str">
        <f>IF(CNSIPEE_2024_M2_Secc1!D47="","",CNSIPEE_2024_M2_Secc1!D47)</f>
        <v/>
      </c>
      <c r="E264" s="796"/>
      <c r="F264" s="796"/>
      <c r="G264" s="796"/>
      <c r="H264" s="796"/>
      <c r="I264" s="796"/>
      <c r="J264" s="796"/>
      <c r="K264" s="816"/>
      <c r="L264" s="738"/>
      <c r="M264" s="738"/>
      <c r="N264" s="738"/>
      <c r="O264" s="738"/>
      <c r="P264" s="817"/>
      <c r="Q264" s="738"/>
      <c r="R264" s="817"/>
      <c r="S264" s="738"/>
      <c r="T264" s="817"/>
      <c r="U264" s="738"/>
      <c r="V264" s="817"/>
      <c r="W264" s="738"/>
      <c r="X264" s="817"/>
      <c r="Y264" s="738"/>
      <c r="Z264" s="817"/>
      <c r="AA264" s="738"/>
      <c r="AB264" s="817"/>
      <c r="AC264" s="738"/>
      <c r="AD264" s="817"/>
      <c r="AG264" s="253">
        <f t="shared" si="63"/>
        <v>0</v>
      </c>
      <c r="AH264" s="253">
        <f t="shared" si="64"/>
        <v>0</v>
      </c>
      <c r="AI264" s="253">
        <f t="shared" si="65"/>
        <v>0</v>
      </c>
      <c r="AJ264" s="253">
        <f t="shared" si="66"/>
        <v>0</v>
      </c>
      <c r="AK264" s="253">
        <f t="shared" si="67"/>
        <v>0</v>
      </c>
      <c r="AL264" s="253">
        <f t="shared" si="68"/>
        <v>0</v>
      </c>
      <c r="AM264" s="253">
        <f t="shared" si="69"/>
        <v>0</v>
      </c>
      <c r="AN264" s="253">
        <f t="shared" si="70"/>
        <v>0</v>
      </c>
      <c r="AO264" s="253">
        <f t="shared" si="71"/>
        <v>0</v>
      </c>
      <c r="AP264" s="253">
        <f t="shared" si="72"/>
        <v>0</v>
      </c>
      <c r="AQ264" s="253">
        <f t="shared" si="73"/>
        <v>0</v>
      </c>
    </row>
    <row r="265" spans="1:43">
      <c r="A265" s="186"/>
      <c r="B265" s="57"/>
      <c r="C265" s="44" t="s">
        <v>2522</v>
      </c>
      <c r="D265" s="796" t="str">
        <f>IF(CNSIPEE_2024_M2_Secc1!D48="","",CNSIPEE_2024_M2_Secc1!D48)</f>
        <v/>
      </c>
      <c r="E265" s="796"/>
      <c r="F265" s="796"/>
      <c r="G265" s="796"/>
      <c r="H265" s="796"/>
      <c r="I265" s="796"/>
      <c r="J265" s="796"/>
      <c r="K265" s="816"/>
      <c r="L265" s="738"/>
      <c r="M265" s="738"/>
      <c r="N265" s="738"/>
      <c r="O265" s="738"/>
      <c r="P265" s="817"/>
      <c r="Q265" s="738"/>
      <c r="R265" s="817"/>
      <c r="S265" s="738"/>
      <c r="T265" s="817"/>
      <c r="U265" s="738"/>
      <c r="V265" s="817"/>
      <c r="W265" s="738"/>
      <c r="X265" s="817"/>
      <c r="Y265" s="738"/>
      <c r="Z265" s="817"/>
      <c r="AA265" s="738"/>
      <c r="AB265" s="817"/>
      <c r="AC265" s="738"/>
      <c r="AD265" s="817"/>
      <c r="AG265" s="253">
        <f t="shared" si="63"/>
        <v>0</v>
      </c>
      <c r="AH265" s="253">
        <f t="shared" si="64"/>
        <v>0</v>
      </c>
      <c r="AI265" s="253">
        <f t="shared" si="65"/>
        <v>0</v>
      </c>
      <c r="AJ265" s="253">
        <f t="shared" si="66"/>
        <v>0</v>
      </c>
      <c r="AK265" s="253">
        <f t="shared" si="67"/>
        <v>0</v>
      </c>
      <c r="AL265" s="253">
        <f t="shared" si="68"/>
        <v>0</v>
      </c>
      <c r="AM265" s="253">
        <f t="shared" si="69"/>
        <v>0</v>
      </c>
      <c r="AN265" s="253">
        <f t="shared" si="70"/>
        <v>0</v>
      </c>
      <c r="AO265" s="253">
        <f t="shared" si="71"/>
        <v>0</v>
      </c>
      <c r="AP265" s="253">
        <f t="shared" si="72"/>
        <v>0</v>
      </c>
      <c r="AQ265" s="253">
        <f t="shared" si="73"/>
        <v>0</v>
      </c>
    </row>
    <row r="266" spans="1:43">
      <c r="A266" s="186"/>
      <c r="B266" s="57"/>
      <c r="C266" s="44" t="s">
        <v>2523</v>
      </c>
      <c r="D266" s="796" t="str">
        <f>IF(CNSIPEE_2024_M2_Secc1!D49="","",CNSIPEE_2024_M2_Secc1!D49)</f>
        <v/>
      </c>
      <c r="E266" s="796"/>
      <c r="F266" s="796"/>
      <c r="G266" s="796"/>
      <c r="H266" s="796"/>
      <c r="I266" s="796"/>
      <c r="J266" s="796"/>
      <c r="K266" s="816"/>
      <c r="L266" s="738"/>
      <c r="M266" s="738"/>
      <c r="N266" s="738"/>
      <c r="O266" s="738"/>
      <c r="P266" s="817"/>
      <c r="Q266" s="738"/>
      <c r="R266" s="817"/>
      <c r="S266" s="738"/>
      <c r="T266" s="817"/>
      <c r="U266" s="738"/>
      <c r="V266" s="817"/>
      <c r="W266" s="738"/>
      <c r="X266" s="817"/>
      <c r="Y266" s="738"/>
      <c r="Z266" s="817"/>
      <c r="AA266" s="738"/>
      <c r="AB266" s="817"/>
      <c r="AC266" s="738"/>
      <c r="AD266" s="817"/>
      <c r="AG266" s="253">
        <f t="shared" si="63"/>
        <v>0</v>
      </c>
      <c r="AH266" s="253">
        <f t="shared" si="64"/>
        <v>0</v>
      </c>
      <c r="AI266" s="253">
        <f t="shared" si="65"/>
        <v>0</v>
      </c>
      <c r="AJ266" s="253">
        <f t="shared" si="66"/>
        <v>0</v>
      </c>
      <c r="AK266" s="253">
        <f t="shared" si="67"/>
        <v>0</v>
      </c>
      <c r="AL266" s="253">
        <f t="shared" si="68"/>
        <v>0</v>
      </c>
      <c r="AM266" s="253">
        <f t="shared" si="69"/>
        <v>0</v>
      </c>
      <c r="AN266" s="253">
        <f t="shared" si="70"/>
        <v>0</v>
      </c>
      <c r="AO266" s="253">
        <f t="shared" si="71"/>
        <v>0</v>
      </c>
      <c r="AP266" s="253">
        <f>IF(COUNTIF(AC266,"NS")=0,IF(Q266&lt;AC266,1,0),0)</f>
        <v>0</v>
      </c>
      <c r="AQ266" s="253">
        <f t="shared" si="73"/>
        <v>0</v>
      </c>
    </row>
    <row r="267" spans="1:43">
      <c r="A267" s="227"/>
      <c r="B267" s="90"/>
      <c r="C267" s="90"/>
      <c r="D267" s="90"/>
      <c r="E267" s="90"/>
      <c r="F267" s="90"/>
      <c r="G267" s="90"/>
      <c r="H267" s="90"/>
      <c r="I267" s="90"/>
      <c r="J267" s="90"/>
      <c r="K267" s="90"/>
      <c r="L267" s="90"/>
      <c r="M267" s="90"/>
      <c r="N267" s="117"/>
      <c r="O267" s="696"/>
      <c r="P267" s="117" t="s">
        <v>2649</v>
      </c>
      <c r="Q267" s="732">
        <f>IF(AND(SUM(Q259:R266)=0,COUNTIF(Q259:R266,"NS")&gt;0),"NS",IF(AND(SUM(Q259:R266)=0,COUNTIF(Q259:R266,0)&gt;0),0,IF(AND(SUM(Q259:R266)=0,COUNTIF(Q259:R266,"NA")&gt;0),"NA",SUM(Q259:R266))))</f>
        <v>0</v>
      </c>
      <c r="R267" s="1161"/>
      <c r="S267" s="732">
        <f>IF(AND(SUM(S259:T266)=0,COUNTIF(S259:T266,"NS")&gt;0),"NS",IF(AND(SUM(S259:T266)=0,COUNTIF(S259:T266,0)&gt;0),0,IF(AND(SUM(S259:T266)=0,COUNTIF(S259:T266,"NA")&gt;0),"NA",SUM(S259:T266))))</f>
        <v>0</v>
      </c>
      <c r="T267" s="1161"/>
      <c r="U267" s="732">
        <f>IF(AND(SUM(U259:V266)=0,COUNTIF(U259:V266,"NS")&gt;0),"NS",IF(AND(SUM(U259:V266)=0,COUNTIF(U259:V266,0)&gt;0),0,IF(AND(SUM(U259:V266)=0,COUNTIF(U259:V266,"NA")&gt;0),"NA",SUM(U259:V266))))</f>
        <v>0</v>
      </c>
      <c r="V267" s="1161"/>
      <c r="W267" s="732">
        <f>IF(AND(SUM(W259:X266)=0,COUNTIF(W259:X266,"NS")&gt;0),"NS",IF(AND(SUM(W259:X266)=0,COUNTIF(W259:X266,0)&gt;0),0,IF(AND(SUM(W259:X266)=0,COUNTIF(W259:X266,"NA")&gt;0),"NA",SUM(W259:X266))))</f>
        <v>0</v>
      </c>
      <c r="X267" s="1161"/>
      <c r="Y267" s="732">
        <f>IF(AND(SUM(Y259:Z266)=0,COUNTIF(Y259:Z266,"NS")&gt;0),"NS",IF(AND(SUM(Y259:Z266)=0,COUNTIF(Y259:Z266,0)&gt;0),0,IF(AND(SUM(Y259:Z266)=0,COUNTIF(Y259:Z266,"NA")&gt;0),"NA",SUM(Y259:Z266))))</f>
        <v>0</v>
      </c>
      <c r="Z267" s="1161"/>
      <c r="AA267" s="732">
        <f>IF(AND(SUM(AA259:AB266)=0,COUNTIF(AA259:AB266,"NS")&gt;0),"NS",IF(AND(SUM(AA259:AB266)=0,COUNTIF(AA259:AB266,0)&gt;0),0,IF(AND(SUM(AA259:AB266)=0,COUNTIF(AA259:AB266,"NA")&gt;0),"NA",SUM(AA259:AB266))))</f>
        <v>0</v>
      </c>
      <c r="AB267" s="1161"/>
      <c r="AC267" s="732">
        <f>IF(AND(SUM(AC259:AD266)=0,COUNTIF(AC259:AD266,"NS")&gt;0),"NS",IF(AND(SUM(AC259:AD266)=0,COUNTIF(AC259:AD266,0)&gt;0),0,IF(AND(SUM(AC259:AD266)=0,COUNTIF(AC259:AD266,"NA")&gt;0),"NA",SUM(AC259:AD266))))</f>
        <v>0</v>
      </c>
      <c r="AD267" s="1161"/>
      <c r="AG267" s="683">
        <f>SUM(AG259:AG266)</f>
        <v>0</v>
      </c>
      <c r="AH267" s="684">
        <f>SUM(AH259:AH266)</f>
        <v>0</v>
      </c>
      <c r="AI267" s="689">
        <f>SUM(AI259:AI266)</f>
        <v>0</v>
      </c>
      <c r="AJ267" s="685">
        <f>SUM(AJ259:AJ266)</f>
        <v>0</v>
      </c>
      <c r="AK267" s="690">
        <f>SUM(AK259:AP266)</f>
        <v>0</v>
      </c>
      <c r="AQ267" s="713">
        <f>SUM(AQ259:AQ266)</f>
        <v>0</v>
      </c>
    </row>
    <row r="268" spans="1:43" ht="15" customHeight="1">
      <c r="A268" s="170"/>
    </row>
    <row r="269" spans="1:43" ht="45" customHeight="1">
      <c r="A269" s="170"/>
      <c r="C269" s="822" t="s">
        <v>6473</v>
      </c>
      <c r="D269" s="822"/>
      <c r="E269" s="822"/>
      <c r="F269" s="749"/>
      <c r="G269" s="749"/>
      <c r="H269" s="749"/>
      <c r="I269" s="749"/>
      <c r="J269" s="749"/>
      <c r="K269" s="749"/>
      <c r="L269" s="749"/>
      <c r="M269" s="749"/>
      <c r="N269" s="749"/>
      <c r="O269" s="749"/>
      <c r="P269" s="749"/>
      <c r="Q269" s="749"/>
      <c r="R269" s="749"/>
      <c r="S269" s="749"/>
      <c r="T269" s="749"/>
      <c r="U269" s="749"/>
      <c r="V269" s="749"/>
      <c r="W269" s="749"/>
      <c r="X269" s="749"/>
      <c r="Y269" s="749"/>
      <c r="Z269" s="749"/>
      <c r="AA269" s="749"/>
      <c r="AB269" s="749"/>
      <c r="AC269" s="749"/>
      <c r="AD269" s="749"/>
    </row>
    <row r="270" spans="1:43" ht="15" customHeight="1">
      <c r="A270" s="170"/>
      <c r="B270" s="794" t="str">
        <f>IF(AND(AI267&gt;0,F269="")," Debido a que cuenta con registros en el apartado Otro rubro, debe anotar el nombre de dicho(s) rubro(s)","")</f>
        <v/>
      </c>
      <c r="C270" s="794"/>
      <c r="D270" s="794"/>
      <c r="E270" s="794"/>
      <c r="F270" s="794"/>
      <c r="G270" s="794"/>
      <c r="H270" s="794"/>
      <c r="I270" s="794"/>
      <c r="J270" s="794"/>
      <c r="K270" s="794"/>
      <c r="L270" s="794"/>
      <c r="M270" s="794"/>
      <c r="N270" s="794"/>
      <c r="O270" s="794"/>
      <c r="P270" s="794"/>
      <c r="Q270" s="794"/>
      <c r="R270" s="794"/>
      <c r="S270" s="794"/>
      <c r="T270" s="794"/>
      <c r="U270" s="794"/>
      <c r="V270" s="794"/>
      <c r="W270" s="794"/>
      <c r="X270" s="794"/>
      <c r="Y270" s="794"/>
      <c r="Z270" s="794"/>
      <c r="AA270" s="794"/>
      <c r="AB270" s="794"/>
      <c r="AC270" s="794"/>
      <c r="AD270" s="794"/>
      <c r="AE270" s="794"/>
    </row>
    <row r="271" spans="1:43" ht="24" customHeight="1">
      <c r="A271" s="108"/>
      <c r="B271" s="38"/>
      <c r="C271" s="754" t="s">
        <v>2611</v>
      </c>
      <c r="D271" s="754"/>
      <c r="E271" s="754"/>
      <c r="F271" s="754"/>
      <c r="G271" s="754"/>
      <c r="H271" s="754"/>
      <c r="I271" s="754"/>
      <c r="J271" s="754"/>
      <c r="K271" s="754"/>
      <c r="L271" s="754"/>
      <c r="M271" s="754"/>
      <c r="N271" s="754"/>
      <c r="O271" s="754"/>
      <c r="P271" s="754"/>
      <c r="Q271" s="754"/>
      <c r="R271" s="754"/>
      <c r="S271" s="754"/>
      <c r="T271" s="754"/>
      <c r="U271" s="754"/>
      <c r="V271" s="754"/>
      <c r="W271" s="754"/>
      <c r="X271" s="754"/>
      <c r="Y271" s="754"/>
      <c r="Z271" s="754"/>
      <c r="AA271" s="754"/>
      <c r="AB271" s="754"/>
      <c r="AC271" s="754"/>
      <c r="AD271" s="754"/>
    </row>
    <row r="272" spans="1:43" ht="60" customHeight="1">
      <c r="A272" s="108"/>
      <c r="B272" s="38"/>
      <c r="C272" s="851"/>
      <c r="D272" s="851"/>
      <c r="E272" s="851"/>
      <c r="F272" s="851"/>
      <c r="G272" s="851"/>
      <c r="H272" s="851"/>
      <c r="I272" s="851"/>
      <c r="J272" s="851"/>
      <c r="K272" s="851"/>
      <c r="L272" s="851"/>
      <c r="M272" s="851"/>
      <c r="N272" s="851"/>
      <c r="O272" s="851"/>
      <c r="P272" s="851"/>
      <c r="Q272" s="851"/>
      <c r="R272" s="851"/>
      <c r="S272" s="851"/>
      <c r="T272" s="851"/>
      <c r="U272" s="851"/>
      <c r="V272" s="851"/>
      <c r="W272" s="851"/>
      <c r="X272" s="851"/>
      <c r="Y272" s="851"/>
      <c r="Z272" s="851"/>
      <c r="AA272" s="851"/>
      <c r="AB272" s="851"/>
      <c r="AC272" s="851"/>
      <c r="AD272" s="851"/>
    </row>
    <row r="273" spans="1:31" ht="15" customHeight="1">
      <c r="A273" s="186"/>
      <c r="B273" s="794" t="str">
        <f>IF(AG267&gt;0,"Favor de ingresar toda la información requerida en la pregunta y/o verifique que no tenga información en celdas sombreadas","")</f>
        <v/>
      </c>
      <c r="C273" s="794"/>
      <c r="D273" s="794"/>
      <c r="E273" s="794"/>
      <c r="F273" s="794"/>
      <c r="G273" s="794"/>
      <c r="H273" s="794"/>
      <c r="I273" s="794"/>
      <c r="J273" s="794"/>
      <c r="K273" s="794"/>
      <c r="L273" s="794"/>
      <c r="M273" s="794"/>
      <c r="N273" s="794"/>
      <c r="O273" s="794"/>
      <c r="P273" s="794"/>
      <c r="Q273" s="794"/>
      <c r="R273" s="794"/>
      <c r="S273" s="794"/>
      <c r="T273" s="794"/>
      <c r="U273" s="794"/>
      <c r="V273" s="794"/>
      <c r="W273" s="794"/>
      <c r="X273" s="794"/>
      <c r="Y273" s="794"/>
      <c r="Z273" s="794"/>
      <c r="AA273" s="794"/>
      <c r="AB273" s="794"/>
      <c r="AC273" s="794"/>
      <c r="AD273" s="794"/>
      <c r="AE273" s="794"/>
    </row>
    <row r="274" spans="1:31" ht="15" customHeight="1">
      <c r="A274" s="186"/>
      <c r="B274" s="795" t="str">
        <f>IF(AH267&gt;0,"Alerta: debido a que cuenta con registros NS, debe proporcionar una justificación en el area de comentarios al final de la pregunta","")</f>
        <v/>
      </c>
      <c r="C274" s="795"/>
      <c r="D274" s="795"/>
      <c r="E274" s="795"/>
      <c r="F274" s="795"/>
      <c r="G274" s="795"/>
      <c r="H274" s="795"/>
      <c r="I274" s="795"/>
      <c r="J274" s="795"/>
      <c r="K274" s="795"/>
      <c r="L274" s="795"/>
      <c r="M274" s="795"/>
      <c r="N274" s="795"/>
      <c r="O274" s="795"/>
      <c r="P274" s="795"/>
      <c r="Q274" s="795"/>
      <c r="R274" s="795"/>
      <c r="S274" s="795"/>
      <c r="T274" s="795"/>
      <c r="U274" s="795"/>
      <c r="V274" s="795"/>
      <c r="W274" s="795"/>
      <c r="X274" s="795"/>
      <c r="Y274" s="795"/>
      <c r="Z274" s="795"/>
      <c r="AA274" s="795"/>
      <c r="AB274" s="795"/>
      <c r="AC274" s="795"/>
      <c r="AD274" s="795"/>
      <c r="AE274" s="795"/>
    </row>
    <row r="275" spans="1:31" ht="15" customHeight="1">
      <c r="A275" s="186"/>
      <c r="B275" s="794" t="str">
        <f>IF(AJ267&gt;0,"Revisar la instrucción 2, debido a que la suma de las Visitas registradas son menores al total general de la fila respectiva","")</f>
        <v/>
      </c>
      <c r="C275" s="794"/>
      <c r="D275" s="794"/>
      <c r="E275" s="794"/>
      <c r="F275" s="794"/>
      <c r="G275" s="794"/>
      <c r="H275" s="794"/>
      <c r="I275" s="794"/>
      <c r="J275" s="794"/>
      <c r="K275" s="794"/>
      <c r="L275" s="794"/>
      <c r="M275" s="794"/>
      <c r="N275" s="794"/>
      <c r="O275" s="794"/>
      <c r="P275" s="794"/>
      <c r="Q275" s="794"/>
      <c r="R275" s="794"/>
      <c r="S275" s="794"/>
      <c r="T275" s="794"/>
      <c r="U275" s="794"/>
      <c r="V275" s="794"/>
      <c r="W275" s="794"/>
      <c r="X275" s="794"/>
      <c r="Y275" s="794"/>
      <c r="Z275" s="794"/>
      <c r="AA275" s="794"/>
      <c r="AB275" s="794"/>
      <c r="AC275" s="794"/>
      <c r="AD275" s="794"/>
      <c r="AE275" s="794"/>
    </row>
    <row r="276" spans="1:31" ht="15" customHeight="1">
      <c r="A276" s="186"/>
      <c r="B276" s="794" t="str">
        <f>IF(AK267&gt;0,"Revisar la instrucción 3, debido a que cada Visita registrada debe ser igual o menor al total general de la fila respectiva","")</f>
        <v/>
      </c>
      <c r="C276" s="794"/>
      <c r="D276" s="794"/>
      <c r="E276" s="794"/>
      <c r="F276" s="794"/>
      <c r="G276" s="794"/>
      <c r="H276" s="794"/>
      <c r="I276" s="794"/>
      <c r="J276" s="794"/>
      <c r="K276" s="794"/>
      <c r="L276" s="794"/>
      <c r="M276" s="794"/>
      <c r="N276" s="794"/>
      <c r="O276" s="794"/>
      <c r="P276" s="794"/>
      <c r="Q276" s="794"/>
      <c r="R276" s="794"/>
      <c r="S276" s="794"/>
      <c r="T276" s="794"/>
      <c r="U276" s="794"/>
      <c r="V276" s="794"/>
      <c r="W276" s="794"/>
      <c r="X276" s="794"/>
      <c r="Y276" s="794"/>
      <c r="Z276" s="794"/>
      <c r="AA276" s="794"/>
      <c r="AB276" s="794"/>
      <c r="AC276" s="794"/>
      <c r="AD276" s="794"/>
      <c r="AE276" s="794"/>
    </row>
    <row r="277" spans="1:31" ht="15" customHeight="1">
      <c r="A277" s="186"/>
      <c r="B277" s="794" t="str">
        <f>IF(AQ267=0,"","Error: revisar por filas la consistencia entre la columna Total y las desagregaciones")</f>
        <v/>
      </c>
      <c r="C277" s="794"/>
      <c r="D277" s="794"/>
      <c r="E277" s="794"/>
      <c r="F277" s="794"/>
      <c r="G277" s="794"/>
      <c r="H277" s="794"/>
      <c r="I277" s="794"/>
      <c r="J277" s="794"/>
      <c r="K277" s="794"/>
      <c r="L277" s="794"/>
      <c r="M277" s="794"/>
      <c r="N277" s="794"/>
      <c r="O277" s="794"/>
      <c r="P277" s="794"/>
      <c r="Q277" s="794"/>
      <c r="R277" s="794"/>
      <c r="S277" s="794"/>
      <c r="T277" s="794"/>
      <c r="U277" s="794"/>
      <c r="V277" s="794"/>
      <c r="W277" s="794"/>
      <c r="X277" s="794"/>
      <c r="Y277" s="794"/>
      <c r="Z277" s="794"/>
      <c r="AA277" s="794"/>
      <c r="AB277" s="794"/>
      <c r="AC277" s="794"/>
      <c r="AD277" s="794"/>
    </row>
    <row r="278" spans="1:31" ht="15" customHeight="1" thickBot="1">
      <c r="A278" s="186"/>
      <c r="B278" s="57"/>
      <c r="C278" s="57"/>
      <c r="D278" s="57"/>
      <c r="E278" s="57"/>
      <c r="F278" s="57"/>
      <c r="G278" s="57"/>
      <c r="H278" s="57"/>
      <c r="I278" s="57"/>
      <c r="J278" s="57"/>
      <c r="K278" s="57"/>
      <c r="L278" s="57"/>
      <c r="M278" s="57"/>
      <c r="N278" s="57"/>
      <c r="O278" s="57"/>
      <c r="P278" s="57"/>
      <c r="Q278" s="57"/>
      <c r="R278" s="57"/>
      <c r="S278" s="57"/>
      <c r="T278" s="57"/>
      <c r="U278" s="57"/>
      <c r="V278" s="57"/>
      <c r="W278" s="57"/>
      <c r="X278" s="57"/>
      <c r="Y278" s="57"/>
      <c r="Z278" s="57"/>
      <c r="AA278" s="57"/>
      <c r="AB278" s="57"/>
      <c r="AC278" s="57"/>
      <c r="AD278" s="57"/>
    </row>
    <row r="279" spans="1:31" customFormat="1" ht="15" customHeight="1" thickBot="1">
      <c r="A279" s="19" t="s">
        <v>2563</v>
      </c>
      <c r="B279" s="831" t="s">
        <v>6474</v>
      </c>
      <c r="C279" s="832"/>
      <c r="D279" s="832"/>
      <c r="E279" s="832"/>
      <c r="F279" s="832"/>
      <c r="G279" s="832"/>
      <c r="H279" s="832"/>
      <c r="I279" s="832"/>
      <c r="J279" s="832"/>
      <c r="K279" s="832"/>
      <c r="L279" s="832"/>
      <c r="M279" s="832"/>
      <c r="N279" s="832"/>
      <c r="O279" s="832"/>
      <c r="P279" s="832"/>
      <c r="Q279" s="832"/>
      <c r="R279" s="832"/>
      <c r="S279" s="832"/>
      <c r="T279" s="832"/>
      <c r="U279" s="832"/>
      <c r="V279" s="832"/>
      <c r="W279" s="832"/>
      <c r="X279" s="832"/>
      <c r="Y279" s="832"/>
      <c r="Z279" s="832"/>
      <c r="AA279" s="832"/>
      <c r="AB279" s="832"/>
      <c r="AC279" s="832"/>
      <c r="AD279" s="833"/>
      <c r="AE279" s="3"/>
    </row>
    <row r="280" spans="1:31" ht="15" customHeight="1">
      <c r="A280" s="108"/>
      <c r="B280" s="838" t="s">
        <v>2565</v>
      </c>
      <c r="C280" s="839"/>
      <c r="D280" s="839"/>
      <c r="E280" s="839"/>
      <c r="F280" s="839"/>
      <c r="G280" s="839"/>
      <c r="H280" s="839"/>
      <c r="I280" s="839"/>
      <c r="J280" s="839"/>
      <c r="K280" s="839"/>
      <c r="L280" s="839"/>
      <c r="M280" s="839"/>
      <c r="N280" s="839"/>
      <c r="O280" s="839"/>
      <c r="P280" s="839"/>
      <c r="Q280" s="839"/>
      <c r="R280" s="839"/>
      <c r="S280" s="839"/>
      <c r="T280" s="839"/>
      <c r="U280" s="839"/>
      <c r="V280" s="839"/>
      <c r="W280" s="839"/>
      <c r="X280" s="839"/>
      <c r="Y280" s="839"/>
      <c r="Z280" s="839"/>
      <c r="AA280" s="839"/>
      <c r="AB280" s="839"/>
      <c r="AC280" s="839"/>
      <c r="AD280" s="840"/>
    </row>
    <row r="281" spans="1:31" ht="36" customHeight="1">
      <c r="A281" s="50"/>
      <c r="B281" s="114"/>
      <c r="C281" s="764" t="s">
        <v>6475</v>
      </c>
      <c r="D281" s="876"/>
      <c r="E281" s="876"/>
      <c r="F281" s="876"/>
      <c r="G281" s="876"/>
      <c r="H281" s="876"/>
      <c r="I281" s="876"/>
      <c r="J281" s="876"/>
      <c r="K281" s="876"/>
      <c r="L281" s="876"/>
      <c r="M281" s="876"/>
      <c r="N281" s="876"/>
      <c r="O281" s="876"/>
      <c r="P281" s="876"/>
      <c r="Q281" s="876"/>
      <c r="R281" s="876"/>
      <c r="S281" s="876"/>
      <c r="T281" s="876"/>
      <c r="U281" s="876"/>
      <c r="V281" s="876"/>
      <c r="W281" s="876"/>
      <c r="X281" s="876"/>
      <c r="Y281" s="876"/>
      <c r="Z281" s="876"/>
      <c r="AA281" s="876"/>
      <c r="AB281" s="876"/>
      <c r="AC281" s="876"/>
      <c r="AD281" s="877"/>
    </row>
    <row r="282" spans="1:31" ht="15" customHeight="1">
      <c r="A282" s="108"/>
      <c r="B282" s="190"/>
      <c r="C282" s="75"/>
      <c r="D282" s="86"/>
      <c r="E282" s="86"/>
      <c r="F282" s="86"/>
      <c r="G282" s="86"/>
      <c r="H282" s="86"/>
      <c r="I282" s="86"/>
      <c r="J282" s="86"/>
      <c r="K282" s="86"/>
      <c r="L282" s="86"/>
      <c r="M282" s="86"/>
      <c r="N282" s="86"/>
      <c r="O282" s="86"/>
      <c r="P282" s="86"/>
      <c r="Q282" s="86"/>
      <c r="R282" s="86"/>
      <c r="S282" s="86"/>
      <c r="T282" s="86"/>
      <c r="U282" s="86"/>
      <c r="V282" s="86"/>
      <c r="W282" s="86"/>
      <c r="X282" s="86"/>
      <c r="Y282" s="86"/>
      <c r="Z282" s="86"/>
      <c r="AA282" s="86"/>
      <c r="AB282" s="86"/>
      <c r="AC282" s="86"/>
      <c r="AD282" s="86"/>
    </row>
    <row r="283" spans="1:31" ht="36" customHeight="1">
      <c r="A283" s="108" t="s">
        <v>6476</v>
      </c>
      <c r="B283" s="829" t="s">
        <v>6477</v>
      </c>
      <c r="C283" s="829"/>
      <c r="D283" s="829"/>
      <c r="E283" s="829"/>
      <c r="F283" s="829"/>
      <c r="G283" s="829"/>
      <c r="H283" s="829"/>
      <c r="I283" s="829"/>
      <c r="J283" s="829"/>
      <c r="K283" s="829"/>
      <c r="L283" s="829"/>
      <c r="M283" s="829"/>
      <c r="N283" s="829"/>
      <c r="O283" s="829"/>
      <c r="P283" s="829"/>
      <c r="Q283" s="829"/>
      <c r="R283" s="829"/>
      <c r="S283" s="829"/>
      <c r="T283" s="829"/>
      <c r="U283" s="829"/>
      <c r="V283" s="829"/>
      <c r="W283" s="829"/>
      <c r="X283" s="829"/>
      <c r="Y283" s="829"/>
      <c r="Z283" s="829"/>
      <c r="AA283" s="829"/>
      <c r="AB283" s="829"/>
      <c r="AC283" s="829"/>
      <c r="AD283" s="829"/>
    </row>
    <row r="284" spans="1:31" ht="36" customHeight="1">
      <c r="A284" s="227"/>
      <c r="B284" s="38"/>
      <c r="C284" s="830" t="s">
        <v>6478</v>
      </c>
      <c r="D284" s="830"/>
      <c r="E284" s="830"/>
      <c r="F284" s="830"/>
      <c r="G284" s="830"/>
      <c r="H284" s="830"/>
      <c r="I284" s="830"/>
      <c r="J284" s="830"/>
      <c r="K284" s="830"/>
      <c r="L284" s="830"/>
      <c r="M284" s="830"/>
      <c r="N284" s="830"/>
      <c r="O284" s="830"/>
      <c r="P284" s="830"/>
      <c r="Q284" s="830"/>
      <c r="R284" s="830"/>
      <c r="S284" s="830"/>
      <c r="T284" s="830"/>
      <c r="U284" s="830"/>
      <c r="V284" s="830"/>
      <c r="W284" s="830"/>
      <c r="X284" s="830"/>
      <c r="Y284" s="830"/>
      <c r="Z284" s="830"/>
      <c r="AA284" s="830"/>
      <c r="AB284" s="830"/>
      <c r="AC284" s="830"/>
      <c r="AD284" s="830"/>
    </row>
    <row r="285" spans="1:31" ht="24" customHeight="1">
      <c r="A285" s="197"/>
      <c r="B285" s="38"/>
      <c r="C285" s="830" t="s">
        <v>6479</v>
      </c>
      <c r="D285" s="830"/>
      <c r="E285" s="830"/>
      <c r="F285" s="830"/>
      <c r="G285" s="830"/>
      <c r="H285" s="830"/>
      <c r="I285" s="830"/>
      <c r="J285" s="830"/>
      <c r="K285" s="830"/>
      <c r="L285" s="830"/>
      <c r="M285" s="830"/>
      <c r="N285" s="830"/>
      <c r="O285" s="830"/>
      <c r="P285" s="830"/>
      <c r="Q285" s="830"/>
      <c r="R285" s="830"/>
      <c r="S285" s="830"/>
      <c r="T285" s="830"/>
      <c r="U285" s="830"/>
      <c r="V285" s="830"/>
      <c r="W285" s="830"/>
      <c r="X285" s="830"/>
      <c r="Y285" s="830"/>
      <c r="Z285" s="830"/>
      <c r="AA285" s="830"/>
      <c r="AB285" s="830"/>
      <c r="AC285" s="830"/>
      <c r="AD285" s="830"/>
    </row>
    <row r="286" spans="1:31" ht="36" customHeight="1">
      <c r="A286" s="197"/>
      <c r="B286" s="38"/>
      <c r="C286" s="754" t="s">
        <v>6480</v>
      </c>
      <c r="D286" s="754"/>
      <c r="E286" s="754"/>
      <c r="F286" s="754"/>
      <c r="G286" s="754"/>
      <c r="H286" s="754"/>
      <c r="I286" s="754"/>
      <c r="J286" s="754"/>
      <c r="K286" s="754"/>
      <c r="L286" s="754"/>
      <c r="M286" s="754"/>
      <c r="N286" s="754"/>
      <c r="O286" s="754"/>
      <c r="P286" s="754"/>
      <c r="Q286" s="754"/>
      <c r="R286" s="754"/>
      <c r="S286" s="754"/>
      <c r="T286" s="754"/>
      <c r="U286" s="754"/>
      <c r="V286" s="754"/>
      <c r="W286" s="754"/>
      <c r="X286" s="754"/>
      <c r="Y286" s="754"/>
      <c r="Z286" s="754"/>
      <c r="AA286" s="754"/>
      <c r="AB286" s="754"/>
      <c r="AC286" s="754"/>
      <c r="AD286" s="754"/>
    </row>
    <row r="287" spans="1:31">
      <c r="A287" s="197"/>
      <c r="B287" s="90"/>
      <c r="C287" s="90"/>
      <c r="D287" s="90"/>
      <c r="E287" s="90"/>
      <c r="F287" s="90"/>
      <c r="G287" s="90"/>
      <c r="H287" s="90"/>
      <c r="I287" s="90"/>
      <c r="J287" s="90"/>
      <c r="K287" s="90"/>
      <c r="L287" s="90"/>
      <c r="M287" s="90"/>
      <c r="N287" s="90"/>
      <c r="O287" s="90"/>
      <c r="P287" s="90"/>
      <c r="Q287" s="90"/>
      <c r="R287" s="90"/>
      <c r="S287" s="90"/>
      <c r="T287" s="90"/>
      <c r="U287" s="90"/>
      <c r="V287" s="90"/>
      <c r="W287" s="90"/>
      <c r="X287" s="90"/>
      <c r="Y287" s="90"/>
      <c r="Z287" s="90"/>
      <c r="AA287" s="90"/>
      <c r="AB287" s="90"/>
      <c r="AC287" s="90"/>
      <c r="AD287" s="90"/>
    </row>
    <row r="288" spans="1:31" ht="24" customHeight="1">
      <c r="A288" s="197"/>
      <c r="B288" s="90"/>
      <c r="C288" s="732" t="s">
        <v>2581</v>
      </c>
      <c r="D288" s="732"/>
      <c r="E288" s="732"/>
      <c r="F288" s="732"/>
      <c r="G288" s="732"/>
      <c r="H288" s="732"/>
      <c r="I288" s="732"/>
      <c r="J288" s="818" t="s">
        <v>6481</v>
      </c>
      <c r="K288" s="819"/>
      <c r="L288" s="819"/>
      <c r="M288" s="819"/>
      <c r="N288" s="819"/>
      <c r="O288" s="820"/>
      <c r="P288" s="732" t="s">
        <v>6482</v>
      </c>
      <c r="Q288" s="732"/>
      <c r="R288" s="732"/>
      <c r="S288" s="732"/>
      <c r="T288" s="732"/>
      <c r="U288" s="732"/>
      <c r="V288" s="732"/>
      <c r="W288" s="732"/>
      <c r="X288" s="732"/>
      <c r="Y288" s="732"/>
      <c r="Z288" s="732"/>
      <c r="AA288" s="732"/>
      <c r="AB288" s="732"/>
      <c r="AC288" s="732"/>
      <c r="AD288" s="732"/>
    </row>
    <row r="289" spans="1:41">
      <c r="A289" s="197"/>
      <c r="B289" s="90"/>
      <c r="C289" s="732"/>
      <c r="D289" s="732"/>
      <c r="E289" s="732"/>
      <c r="F289" s="732"/>
      <c r="G289" s="732"/>
      <c r="H289" s="732"/>
      <c r="I289" s="732"/>
      <c r="J289" s="821"/>
      <c r="K289" s="822"/>
      <c r="L289" s="822"/>
      <c r="M289" s="822"/>
      <c r="N289" s="822"/>
      <c r="O289" s="823"/>
      <c r="P289" s="732" t="s">
        <v>2628</v>
      </c>
      <c r="Q289" s="732"/>
      <c r="R289" s="732"/>
      <c r="S289" s="736" t="s">
        <v>6483</v>
      </c>
      <c r="T289" s="736"/>
      <c r="U289" s="736"/>
      <c r="V289" s="736"/>
      <c r="W289" s="736"/>
      <c r="X289" s="736"/>
      <c r="Y289" s="736"/>
      <c r="Z289" s="736"/>
      <c r="AA289" s="736"/>
      <c r="AB289" s="736"/>
      <c r="AC289" s="736"/>
      <c r="AD289" s="736"/>
    </row>
    <row r="290" spans="1:41" ht="36" customHeight="1">
      <c r="A290" s="197"/>
      <c r="B290" s="90"/>
      <c r="C290" s="732"/>
      <c r="D290" s="732"/>
      <c r="E290" s="732"/>
      <c r="F290" s="732"/>
      <c r="G290" s="732"/>
      <c r="H290" s="732"/>
      <c r="I290" s="732"/>
      <c r="J290" s="824"/>
      <c r="K290" s="825"/>
      <c r="L290" s="825"/>
      <c r="M290" s="825"/>
      <c r="N290" s="825"/>
      <c r="O290" s="826"/>
      <c r="P290" s="732"/>
      <c r="Q290" s="732"/>
      <c r="R290" s="732"/>
      <c r="S290" s="736" t="s">
        <v>6484</v>
      </c>
      <c r="T290" s="736"/>
      <c r="U290" s="736"/>
      <c r="V290" s="736" t="s">
        <v>6485</v>
      </c>
      <c r="W290" s="736"/>
      <c r="X290" s="736"/>
      <c r="Y290" s="736" t="s">
        <v>6486</v>
      </c>
      <c r="Z290" s="736"/>
      <c r="AA290" s="736"/>
      <c r="AB290" s="736" t="s">
        <v>201</v>
      </c>
      <c r="AC290" s="736"/>
      <c r="AD290" s="736"/>
      <c r="AG290" s="683" t="s">
        <v>2586</v>
      </c>
      <c r="AH290" s="684" t="s">
        <v>2590</v>
      </c>
      <c r="AI290" s="249"/>
      <c r="AJ290" s="685" t="s">
        <v>6346</v>
      </c>
      <c r="AK290" s="1170" t="s">
        <v>6347</v>
      </c>
      <c r="AL290" s="1170"/>
      <c r="AM290" s="1170"/>
      <c r="AN290" s="1170"/>
      <c r="AO290" s="714" t="s">
        <v>6348</v>
      </c>
    </row>
    <row r="291" spans="1:41">
      <c r="A291" s="197"/>
      <c r="B291" s="90"/>
      <c r="C291" s="44" t="s">
        <v>2516</v>
      </c>
      <c r="D291" s="813" t="str">
        <f>IF(CNSIPEE_2024_M2_Secc1!D42="","",CNSIPEE_2024_M2_Secc1!D42)</f>
        <v/>
      </c>
      <c r="E291" s="814"/>
      <c r="F291" s="814"/>
      <c r="G291" s="814"/>
      <c r="H291" s="814"/>
      <c r="I291" s="815"/>
      <c r="J291" s="816"/>
      <c r="K291" s="738"/>
      <c r="L291" s="738"/>
      <c r="M291" s="738"/>
      <c r="N291" s="738"/>
      <c r="O291" s="817"/>
      <c r="P291" s="749"/>
      <c r="Q291" s="749"/>
      <c r="R291" s="749"/>
      <c r="S291" s="749"/>
      <c r="T291" s="749"/>
      <c r="U291" s="749"/>
      <c r="V291" s="749"/>
      <c r="W291" s="749"/>
      <c r="X291" s="749"/>
      <c r="Y291" s="749"/>
      <c r="Z291" s="749"/>
      <c r="AA291" s="749"/>
      <c r="AB291" s="749"/>
      <c r="AC291" s="749"/>
      <c r="AD291" s="749"/>
      <c r="AG291" s="253">
        <f>IF(  COUNTA($J$291:$AD$298)&gt;0,IF(AND(COUNTBLANK(D291)=0,J291=1,COUNTA(P291:AD291)=5),0,IF(AND(COUNTBLANK(D291)=0,J291=2,COUNTBLANK(P291:AD291)=15),0,IF(AND(COUNTBLANK(D291)=0,J291=9,COUNTBLANK(P291:AD291)=15),0,IF(AND(COUNTBLANK(D291)&gt;0,J291="",COUNTBLANK(P291:AD291)=15),0,1)))),0)</f>
        <v>0</v>
      </c>
      <c r="AH291" s="253">
        <f t="shared" ref="AH291:AH298" si="74">IF(COUNTIF(P291:AD291,"NS"),1,0)</f>
        <v>0</v>
      </c>
      <c r="AI291" s="253"/>
      <c r="AJ291" s="253">
        <f t="shared" ref="AJ291:AJ298" si="75">IF(P291&lt;=SUM(S291:AD291),0,1)</f>
        <v>0</v>
      </c>
      <c r="AK291" s="253">
        <f t="shared" ref="AK291:AK298" si="76">IF(COUNTIF(S291,"NS")=0,IF($P291&lt;S291,1,0),0)</f>
        <v>0</v>
      </c>
      <c r="AL291" s="253">
        <f t="shared" ref="AL291:AL298" si="77">IF(COUNTIF(V291,"NS")=0,IF($P291&lt;V291,1,0),0)</f>
        <v>0</v>
      </c>
      <c r="AM291" s="253">
        <f t="shared" ref="AM291:AM298" si="78">IF(COUNTIF(Y291,"NS")=0,IF($P291&lt;Y291,1,0),0)</f>
        <v>0</v>
      </c>
      <c r="AN291" s="253">
        <f t="shared" ref="AN291:AN297" si="79">IF(COUNTIF(AB291,"NS")=0,IF($P291&lt;AB291,1,0),0)</f>
        <v>0</v>
      </c>
      <c r="AO291" s="253">
        <f>IF(AND(SUM(S291:AD291)=0,AH291&gt;0,P291=0),1,0)</f>
        <v>0</v>
      </c>
    </row>
    <row r="292" spans="1:41">
      <c r="A292" s="166"/>
      <c r="B292" s="57"/>
      <c r="C292" s="44" t="s">
        <v>2517</v>
      </c>
      <c r="D292" s="813" t="str">
        <f>IF(CNSIPEE_2024_M2_Secc1!D43="","",CNSIPEE_2024_M2_Secc1!D43)</f>
        <v/>
      </c>
      <c r="E292" s="814"/>
      <c r="F292" s="814"/>
      <c r="G292" s="814"/>
      <c r="H292" s="814"/>
      <c r="I292" s="815"/>
      <c r="J292" s="816"/>
      <c r="K292" s="738"/>
      <c r="L292" s="738"/>
      <c r="M292" s="738"/>
      <c r="N292" s="738"/>
      <c r="O292" s="817"/>
      <c r="P292" s="749"/>
      <c r="Q292" s="749"/>
      <c r="R292" s="749"/>
      <c r="S292" s="749"/>
      <c r="T292" s="749"/>
      <c r="U292" s="749"/>
      <c r="V292" s="749"/>
      <c r="W292" s="749"/>
      <c r="X292" s="749"/>
      <c r="Y292" s="749"/>
      <c r="Z292" s="749"/>
      <c r="AA292" s="749"/>
      <c r="AB292" s="749"/>
      <c r="AC292" s="749"/>
      <c r="AD292" s="749"/>
      <c r="AG292" s="253">
        <f t="shared" ref="AG292" si="80">IF(  COUNTA($J$291:$AD$298)&gt;0,IF(AND(COUNTBLANK(D292)=0,J292=1,COUNTA(P292:AD292)=5),0,IF(AND(COUNTBLANK(D292)=0,J292=2,COUNTBLANK(P292:AD292)=15),0,IF(AND(COUNTBLANK(D292)=0,J292=9,COUNTBLANK(P292:AD292)=15),0,IF(AND(COUNTBLANK(D292)&gt;0,J292="",COUNTBLANK(P292:AD292)=15),0,1)))),0)</f>
        <v>0</v>
      </c>
      <c r="AH292" s="253">
        <f t="shared" si="74"/>
        <v>0</v>
      </c>
      <c r="AI292" s="253"/>
      <c r="AJ292" s="253">
        <f t="shared" si="75"/>
        <v>0</v>
      </c>
      <c r="AK292" s="253">
        <f t="shared" si="76"/>
        <v>0</v>
      </c>
      <c r="AL292" s="253">
        <f t="shared" si="77"/>
        <v>0</v>
      </c>
      <c r="AM292" s="253">
        <f t="shared" si="78"/>
        <v>0</v>
      </c>
      <c r="AN292" s="253">
        <f t="shared" si="79"/>
        <v>0</v>
      </c>
      <c r="AO292" s="253">
        <f t="shared" ref="AO292:AO298" si="81">IF(AND(SUM(S292:AD292)=0,AH292&gt;0,P292=0),1,0)</f>
        <v>0</v>
      </c>
    </row>
    <row r="293" spans="1:41">
      <c r="A293" s="166"/>
      <c r="B293" s="57"/>
      <c r="C293" s="44" t="s">
        <v>2518</v>
      </c>
      <c r="D293" s="813" t="str">
        <f>IF(CNSIPEE_2024_M2_Secc1!D44="","",CNSIPEE_2024_M2_Secc1!D44)</f>
        <v/>
      </c>
      <c r="E293" s="814"/>
      <c r="F293" s="814"/>
      <c r="G293" s="814"/>
      <c r="H293" s="814"/>
      <c r="I293" s="815"/>
      <c r="J293" s="816"/>
      <c r="K293" s="738"/>
      <c r="L293" s="738"/>
      <c r="M293" s="738"/>
      <c r="N293" s="738"/>
      <c r="O293" s="817"/>
      <c r="P293" s="749"/>
      <c r="Q293" s="749"/>
      <c r="R293" s="749"/>
      <c r="S293" s="749"/>
      <c r="T293" s="749"/>
      <c r="U293" s="749"/>
      <c r="V293" s="749"/>
      <c r="W293" s="749"/>
      <c r="X293" s="749"/>
      <c r="Y293" s="749"/>
      <c r="Z293" s="749"/>
      <c r="AA293" s="749"/>
      <c r="AB293" s="749"/>
      <c r="AC293" s="749"/>
      <c r="AD293" s="749"/>
      <c r="AG293" s="253">
        <f>IF(  COUNTA($J$291:$AD$298)&gt;0,IF(AND(COUNTBLANK(D293)=0,J293=1,COUNTA(P293:AD293)=5),0,IF(AND(COUNTBLANK(D293)=0,J293=2,COUNTBLANK(P293:AD293)=15),0,IF(AND(COUNTBLANK(D293)=0,J293=9,COUNTBLANK(P293:AD293)=15),0,IF(AND(COUNTBLANK(D293)&gt;0,J293="",COUNTBLANK(P293:AD293)=15),0,1)))),0)</f>
        <v>0</v>
      </c>
      <c r="AH293" s="253">
        <f t="shared" si="74"/>
        <v>0</v>
      </c>
      <c r="AI293" s="253"/>
      <c r="AJ293" s="253">
        <f t="shared" si="75"/>
        <v>0</v>
      </c>
      <c r="AK293" s="253">
        <f t="shared" si="76"/>
        <v>0</v>
      </c>
      <c r="AL293" s="253">
        <f t="shared" si="77"/>
        <v>0</v>
      </c>
      <c r="AM293" s="253">
        <f t="shared" si="78"/>
        <v>0</v>
      </c>
      <c r="AN293" s="253">
        <f t="shared" si="79"/>
        <v>0</v>
      </c>
      <c r="AO293" s="253">
        <f t="shared" si="81"/>
        <v>0</v>
      </c>
    </row>
    <row r="294" spans="1:41">
      <c r="A294" s="166"/>
      <c r="B294" s="57"/>
      <c r="C294" s="44" t="s">
        <v>2519</v>
      </c>
      <c r="D294" s="813" t="str">
        <f>IF(CNSIPEE_2024_M2_Secc1!D45="","",CNSIPEE_2024_M2_Secc1!D45)</f>
        <v/>
      </c>
      <c r="E294" s="814"/>
      <c r="F294" s="814"/>
      <c r="G294" s="814"/>
      <c r="H294" s="814"/>
      <c r="I294" s="815"/>
      <c r="J294" s="816"/>
      <c r="K294" s="738"/>
      <c r="L294" s="738"/>
      <c r="M294" s="738"/>
      <c r="N294" s="738"/>
      <c r="O294" s="817"/>
      <c r="P294" s="749"/>
      <c r="Q294" s="749"/>
      <c r="R294" s="749"/>
      <c r="S294" s="749"/>
      <c r="T294" s="749"/>
      <c r="U294" s="749"/>
      <c r="V294" s="749"/>
      <c r="W294" s="749"/>
      <c r="X294" s="749"/>
      <c r="Y294" s="749"/>
      <c r="Z294" s="749"/>
      <c r="AA294" s="749"/>
      <c r="AB294" s="749"/>
      <c r="AC294" s="749"/>
      <c r="AD294" s="749"/>
      <c r="AG294" s="253">
        <f t="shared" ref="AG294:AG298" si="82">IF(  COUNTA($J$291:$AD$298)&gt;0,IF(AND(COUNTBLANK(D294)=0,J294=1,COUNTA(P294:AD294)=5),0,IF(AND(COUNTBLANK(D294)=0,J294=2,COUNTBLANK(P294:AD294)=15),0,IF(AND(COUNTBLANK(D294)=0,J294=9,COUNTBLANK(P294:AD294)=15),0,IF(AND(COUNTBLANK(D294)&gt;0,J294="",COUNTBLANK(P294:AD294)=15),0,1)))),0)</f>
        <v>0</v>
      </c>
      <c r="AH294" s="253">
        <f t="shared" si="74"/>
        <v>0</v>
      </c>
      <c r="AI294" s="253"/>
      <c r="AJ294" s="253">
        <f t="shared" si="75"/>
        <v>0</v>
      </c>
      <c r="AK294" s="253">
        <f t="shared" si="76"/>
        <v>0</v>
      </c>
      <c r="AL294" s="253">
        <f t="shared" si="77"/>
        <v>0</v>
      </c>
      <c r="AM294" s="253">
        <f t="shared" si="78"/>
        <v>0</v>
      </c>
      <c r="AN294" s="253">
        <f t="shared" si="79"/>
        <v>0</v>
      </c>
      <c r="AO294" s="253">
        <f t="shared" si="81"/>
        <v>0</v>
      </c>
    </row>
    <row r="295" spans="1:41">
      <c r="A295" s="166"/>
      <c r="B295" s="57"/>
      <c r="C295" s="44" t="s">
        <v>2520</v>
      </c>
      <c r="D295" s="813" t="str">
        <f>IF(CNSIPEE_2024_M2_Secc1!D46="","",CNSIPEE_2024_M2_Secc1!D46)</f>
        <v/>
      </c>
      <c r="E295" s="814"/>
      <c r="F295" s="814"/>
      <c r="G295" s="814"/>
      <c r="H295" s="814"/>
      <c r="I295" s="815"/>
      <c r="J295" s="816"/>
      <c r="K295" s="738"/>
      <c r="L295" s="738"/>
      <c r="M295" s="738"/>
      <c r="N295" s="738"/>
      <c r="O295" s="817"/>
      <c r="P295" s="749"/>
      <c r="Q295" s="749"/>
      <c r="R295" s="749"/>
      <c r="S295" s="749"/>
      <c r="T295" s="749"/>
      <c r="U295" s="749"/>
      <c r="V295" s="749"/>
      <c r="W295" s="749"/>
      <c r="X295" s="749"/>
      <c r="Y295" s="749"/>
      <c r="Z295" s="749"/>
      <c r="AA295" s="749"/>
      <c r="AB295" s="749"/>
      <c r="AC295" s="749"/>
      <c r="AD295" s="749"/>
      <c r="AG295" s="253">
        <f t="shared" si="82"/>
        <v>0</v>
      </c>
      <c r="AH295" s="253">
        <f t="shared" si="74"/>
        <v>0</v>
      </c>
      <c r="AI295" s="253"/>
      <c r="AJ295" s="253">
        <f t="shared" si="75"/>
        <v>0</v>
      </c>
      <c r="AK295" s="253">
        <f t="shared" si="76"/>
        <v>0</v>
      </c>
      <c r="AL295" s="253">
        <f t="shared" si="77"/>
        <v>0</v>
      </c>
      <c r="AM295" s="253">
        <f t="shared" si="78"/>
        <v>0</v>
      </c>
      <c r="AN295" s="253">
        <f t="shared" si="79"/>
        <v>0</v>
      </c>
      <c r="AO295" s="253">
        <f t="shared" si="81"/>
        <v>0</v>
      </c>
    </row>
    <row r="296" spans="1:41">
      <c r="A296" s="166"/>
      <c r="B296" s="57"/>
      <c r="C296" s="44" t="s">
        <v>2521</v>
      </c>
      <c r="D296" s="813" t="str">
        <f>IF(CNSIPEE_2024_M2_Secc1!D47="","",CNSIPEE_2024_M2_Secc1!D47)</f>
        <v/>
      </c>
      <c r="E296" s="814"/>
      <c r="F296" s="814"/>
      <c r="G296" s="814"/>
      <c r="H296" s="814"/>
      <c r="I296" s="815"/>
      <c r="J296" s="816"/>
      <c r="K296" s="738"/>
      <c r="L296" s="738"/>
      <c r="M296" s="738"/>
      <c r="N296" s="738"/>
      <c r="O296" s="817"/>
      <c r="P296" s="749"/>
      <c r="Q296" s="749"/>
      <c r="R296" s="749"/>
      <c r="S296" s="749"/>
      <c r="T296" s="749"/>
      <c r="U296" s="749"/>
      <c r="V296" s="749"/>
      <c r="W296" s="749"/>
      <c r="X296" s="749"/>
      <c r="Y296" s="749"/>
      <c r="Z296" s="749"/>
      <c r="AA296" s="749"/>
      <c r="AB296" s="749"/>
      <c r="AC296" s="749"/>
      <c r="AD296" s="749"/>
      <c r="AG296" s="253">
        <f t="shared" si="82"/>
        <v>0</v>
      </c>
      <c r="AH296" s="253">
        <f t="shared" si="74"/>
        <v>0</v>
      </c>
      <c r="AI296" s="253"/>
      <c r="AJ296" s="253">
        <f t="shared" si="75"/>
        <v>0</v>
      </c>
      <c r="AK296" s="253">
        <f t="shared" si="76"/>
        <v>0</v>
      </c>
      <c r="AL296" s="253">
        <f t="shared" si="77"/>
        <v>0</v>
      </c>
      <c r="AM296" s="253">
        <f t="shared" si="78"/>
        <v>0</v>
      </c>
      <c r="AN296" s="253">
        <f t="shared" si="79"/>
        <v>0</v>
      </c>
      <c r="AO296" s="253">
        <f t="shared" si="81"/>
        <v>0</v>
      </c>
    </row>
    <row r="297" spans="1:41">
      <c r="A297" s="166"/>
      <c r="B297" s="57"/>
      <c r="C297" s="44" t="s">
        <v>2522</v>
      </c>
      <c r="D297" s="813" t="str">
        <f>IF(CNSIPEE_2024_M2_Secc1!D48="","",CNSIPEE_2024_M2_Secc1!D48)</f>
        <v/>
      </c>
      <c r="E297" s="814"/>
      <c r="F297" s="814"/>
      <c r="G297" s="814"/>
      <c r="H297" s="814"/>
      <c r="I297" s="815"/>
      <c r="J297" s="816"/>
      <c r="K297" s="738"/>
      <c r="L297" s="738"/>
      <c r="M297" s="738"/>
      <c r="N297" s="738"/>
      <c r="O297" s="817"/>
      <c r="P297" s="749"/>
      <c r="Q297" s="749"/>
      <c r="R297" s="749"/>
      <c r="S297" s="749"/>
      <c r="T297" s="749"/>
      <c r="U297" s="749"/>
      <c r="V297" s="749"/>
      <c r="W297" s="749"/>
      <c r="X297" s="749"/>
      <c r="Y297" s="749"/>
      <c r="Z297" s="749"/>
      <c r="AA297" s="749"/>
      <c r="AB297" s="749"/>
      <c r="AC297" s="749"/>
      <c r="AD297" s="749"/>
      <c r="AG297" s="253">
        <f t="shared" si="82"/>
        <v>0</v>
      </c>
      <c r="AH297" s="253">
        <f t="shared" si="74"/>
        <v>0</v>
      </c>
      <c r="AI297" s="253"/>
      <c r="AJ297" s="253">
        <f t="shared" si="75"/>
        <v>0</v>
      </c>
      <c r="AK297" s="253">
        <f t="shared" si="76"/>
        <v>0</v>
      </c>
      <c r="AL297" s="253">
        <f t="shared" si="77"/>
        <v>0</v>
      </c>
      <c r="AM297" s="253">
        <f t="shared" si="78"/>
        <v>0</v>
      </c>
      <c r="AN297" s="253">
        <f t="shared" si="79"/>
        <v>0</v>
      </c>
      <c r="AO297" s="253">
        <f t="shared" si="81"/>
        <v>0</v>
      </c>
    </row>
    <row r="298" spans="1:41">
      <c r="A298" s="166"/>
      <c r="B298" s="57"/>
      <c r="C298" s="44" t="s">
        <v>2523</v>
      </c>
      <c r="D298" s="813" t="str">
        <f>IF(CNSIPEE_2024_M2_Secc1!D49="","",CNSIPEE_2024_M2_Secc1!D49)</f>
        <v/>
      </c>
      <c r="E298" s="814"/>
      <c r="F298" s="814"/>
      <c r="G298" s="814"/>
      <c r="H298" s="814"/>
      <c r="I298" s="815"/>
      <c r="J298" s="816"/>
      <c r="K298" s="738"/>
      <c r="L298" s="738"/>
      <c r="M298" s="738"/>
      <c r="N298" s="738"/>
      <c r="O298" s="817"/>
      <c r="P298" s="749"/>
      <c r="Q298" s="749"/>
      <c r="R298" s="749"/>
      <c r="S298" s="749"/>
      <c r="T298" s="749"/>
      <c r="U298" s="749"/>
      <c r="V298" s="749"/>
      <c r="W298" s="749"/>
      <c r="X298" s="749"/>
      <c r="Y298" s="749"/>
      <c r="Z298" s="749"/>
      <c r="AA298" s="749"/>
      <c r="AB298" s="749"/>
      <c r="AC298" s="749"/>
      <c r="AD298" s="749"/>
      <c r="AG298" s="253">
        <f t="shared" si="82"/>
        <v>0</v>
      </c>
      <c r="AH298" s="253">
        <f t="shared" si="74"/>
        <v>0</v>
      </c>
      <c r="AI298" s="253"/>
      <c r="AJ298" s="253">
        <f t="shared" si="75"/>
        <v>0</v>
      </c>
      <c r="AK298" s="253">
        <f t="shared" si="76"/>
        <v>0</v>
      </c>
      <c r="AL298" s="253">
        <f t="shared" si="77"/>
        <v>0</v>
      </c>
      <c r="AM298" s="253">
        <f t="shared" si="78"/>
        <v>0</v>
      </c>
      <c r="AN298" s="253">
        <f>IF(COUNTIF(AB298,"NS")=0,IF($P298&lt;AB298,1,0),0)</f>
        <v>0</v>
      </c>
      <c r="AO298" s="253">
        <f t="shared" si="81"/>
        <v>0</v>
      </c>
    </row>
    <row r="299" spans="1:41">
      <c r="A299" s="197"/>
      <c r="B299" s="90"/>
      <c r="C299" s="90"/>
      <c r="D299" s="90"/>
      <c r="E299" s="90"/>
      <c r="F299" s="90"/>
      <c r="G299" s="90"/>
      <c r="H299" s="90"/>
      <c r="I299" s="90"/>
      <c r="J299" s="90"/>
      <c r="K299" s="90"/>
      <c r="N299" s="117"/>
      <c r="O299" s="99" t="s">
        <v>2649</v>
      </c>
      <c r="P299" s="732">
        <f>IF(AND(SUM(P291:R298)=0,COUNTIF(P291:R298,"NS")&gt;0),"NS",IF(AND(SUM(P291:R298)=0,COUNTIF(P291:R298,0)&gt;0),0,IF(AND(SUM(P291:R298)=0,COUNTIF(P291:R298,"NA")&gt;0),"NA",SUM(P291:R298))))</f>
        <v>0</v>
      </c>
      <c r="Q299" s="732"/>
      <c r="R299" s="732"/>
      <c r="S299" s="732">
        <f>IF(AND(SUM(S291:U298)=0,COUNTIF(S291:U298,"NS")&gt;0),"NS",IF(AND(SUM(S291:U298)=0,COUNTIF(S291:U298,0)&gt;0),0,IF(AND(SUM(S291:U298)=0,COUNTIF(S291:U298,"NA")&gt;0),"NA",SUM(S291:U298))))</f>
        <v>0</v>
      </c>
      <c r="T299" s="732"/>
      <c r="U299" s="732"/>
      <c r="V299" s="732">
        <f>IF(AND(SUM(V291:X298)=0,COUNTIF(V291:X298,"NS")&gt;0),"NS",IF(AND(SUM(V291:X298)=0,COUNTIF(V291:X298,0)&gt;0),0,IF(AND(SUM(V291:X298)=0,COUNTIF(V291:X298,"NA")&gt;0),"NA",SUM(V291:X298))))</f>
        <v>0</v>
      </c>
      <c r="W299" s="732"/>
      <c r="X299" s="732"/>
      <c r="Y299" s="732">
        <f>IF(AND(SUM(Y291:AA298)=0,COUNTIF(Y291:AA298,"NS")&gt;0),"NS",IF(AND(SUM(Y291:AA298)=0,COUNTIF(Y291:AA298,0)&gt;0),0,IF(AND(SUM(Y291:AA298)=0,COUNTIF(Y291:AA298,"NA")&gt;0),"NA",SUM(Y291:AA298))))</f>
        <v>0</v>
      </c>
      <c r="Z299" s="732"/>
      <c r="AA299" s="732"/>
      <c r="AB299" s="732">
        <f>IF(AND(SUM(AB291:AD298)=0,COUNTIF(AB291:AD298,"NS")&gt;0),"NS",IF(AND(SUM(AB291:AD298)=0,COUNTIF(AB291:AD298,0)&gt;0),0,IF(AND(SUM(AB291:AD298)=0,COUNTIF(AB291:AD298,"NA")&gt;0),"NA",SUM(AB291:AD298))))</f>
        <v>0</v>
      </c>
      <c r="AC299" s="732"/>
      <c r="AD299" s="732"/>
      <c r="AG299" s="683">
        <f>SUM(AG291:AG298)</f>
        <v>0</v>
      </c>
      <c r="AH299" s="684">
        <f>SUM(AH291:AH298)</f>
        <v>0</v>
      </c>
      <c r="AI299" s="249"/>
      <c r="AJ299" s="685">
        <f>SUM(AJ291:AJ298)</f>
        <v>0</v>
      </c>
      <c r="AK299" s="690">
        <f>SUM(AK291:AN298)</f>
        <v>0</v>
      </c>
      <c r="AO299" s="713">
        <f>SUM(AO291:AO298)</f>
        <v>0</v>
      </c>
    </row>
    <row r="300" spans="1:41">
      <c r="A300" s="115"/>
    </row>
    <row r="301" spans="1:41" ht="24" customHeight="1">
      <c r="A301" s="108"/>
      <c r="B301" s="38"/>
      <c r="C301" s="754" t="s">
        <v>2611</v>
      </c>
      <c r="D301" s="754"/>
      <c r="E301" s="754"/>
      <c r="F301" s="754"/>
      <c r="G301" s="754"/>
      <c r="H301" s="754"/>
      <c r="I301" s="754"/>
      <c r="J301" s="754"/>
      <c r="K301" s="754"/>
      <c r="L301" s="754"/>
      <c r="M301" s="754"/>
      <c r="N301" s="754"/>
      <c r="O301" s="754"/>
      <c r="P301" s="754"/>
      <c r="Q301" s="754"/>
      <c r="R301" s="754"/>
      <c r="S301" s="754"/>
      <c r="T301" s="754"/>
      <c r="U301" s="754"/>
      <c r="V301" s="754"/>
      <c r="W301" s="754"/>
      <c r="X301" s="754"/>
      <c r="Y301" s="754"/>
      <c r="Z301" s="754"/>
      <c r="AA301" s="754"/>
      <c r="AB301" s="754"/>
      <c r="AC301" s="754"/>
      <c r="AD301" s="754"/>
    </row>
    <row r="302" spans="1:41" ht="60" customHeight="1">
      <c r="A302" s="108"/>
      <c r="B302" s="38"/>
      <c r="C302" s="851"/>
      <c r="D302" s="851"/>
      <c r="E302" s="851"/>
      <c r="F302" s="851"/>
      <c r="G302" s="851"/>
      <c r="H302" s="851"/>
      <c r="I302" s="851"/>
      <c r="J302" s="851"/>
      <c r="K302" s="851"/>
      <c r="L302" s="851"/>
      <c r="M302" s="851"/>
      <c r="N302" s="851"/>
      <c r="O302" s="851"/>
      <c r="P302" s="851"/>
      <c r="Q302" s="851"/>
      <c r="R302" s="851"/>
      <c r="S302" s="851"/>
      <c r="T302" s="851"/>
      <c r="U302" s="851"/>
      <c r="V302" s="851"/>
      <c r="W302" s="851"/>
      <c r="X302" s="851"/>
      <c r="Y302" s="851"/>
      <c r="Z302" s="851"/>
      <c r="AA302" s="851"/>
      <c r="AB302" s="851"/>
      <c r="AC302" s="851"/>
      <c r="AD302" s="851"/>
    </row>
    <row r="303" spans="1:41">
      <c r="A303" s="186"/>
      <c r="B303" s="794" t="str">
        <f>IF(AG299&gt;0,"Favor de ingresar toda la información requerida en la pregunta y/o verifique que no tenga información en celdas sombreadas","")</f>
        <v/>
      </c>
      <c r="C303" s="794"/>
      <c r="D303" s="794"/>
      <c r="E303" s="794"/>
      <c r="F303" s="794"/>
      <c r="G303" s="794"/>
      <c r="H303" s="794"/>
      <c r="I303" s="794"/>
      <c r="J303" s="794"/>
      <c r="K303" s="794"/>
      <c r="L303" s="794"/>
      <c r="M303" s="794"/>
      <c r="N303" s="794"/>
      <c r="O303" s="794"/>
      <c r="P303" s="794"/>
      <c r="Q303" s="794"/>
      <c r="R303" s="794"/>
      <c r="S303" s="794"/>
      <c r="T303" s="794"/>
      <c r="U303" s="794"/>
      <c r="V303" s="794"/>
      <c r="W303" s="794"/>
      <c r="X303" s="794"/>
      <c r="Y303" s="794"/>
      <c r="Z303" s="794"/>
      <c r="AA303" s="794"/>
      <c r="AB303" s="794"/>
      <c r="AC303" s="794"/>
      <c r="AD303" s="794"/>
      <c r="AE303" s="794"/>
    </row>
    <row r="304" spans="1:41">
      <c r="A304" s="186"/>
      <c r="B304" s="795" t="str">
        <f>IF(AH299&gt;0,"Alerta: debido a que cuenta con registros NS, debe proporcionar una justificación en el area de comentarios al final de la pregunta","")</f>
        <v/>
      </c>
      <c r="C304" s="795"/>
      <c r="D304" s="795"/>
      <c r="E304" s="795"/>
      <c r="F304" s="795"/>
      <c r="G304" s="795"/>
      <c r="H304" s="795"/>
      <c r="I304" s="795"/>
      <c r="J304" s="795"/>
      <c r="K304" s="795"/>
      <c r="L304" s="795"/>
      <c r="M304" s="795"/>
      <c r="N304" s="795"/>
      <c r="O304" s="795"/>
      <c r="P304" s="795"/>
      <c r="Q304" s="795"/>
      <c r="R304" s="795"/>
      <c r="S304" s="795"/>
      <c r="T304" s="795"/>
      <c r="U304" s="795"/>
      <c r="V304" s="795"/>
      <c r="W304" s="795"/>
      <c r="X304" s="795"/>
      <c r="Y304" s="795"/>
      <c r="Z304" s="795"/>
      <c r="AA304" s="795"/>
      <c r="AB304" s="795"/>
      <c r="AC304" s="795"/>
      <c r="AD304" s="795"/>
      <c r="AE304" s="795"/>
    </row>
    <row r="305" spans="1:41">
      <c r="A305" s="186"/>
      <c r="B305" s="794" t="str">
        <f>IF(AJ299&gt;0,"Revisar la instrucción 2, debido a que la suma de las Rubros registrados son menores al total general de la fila respectiva","")</f>
        <v/>
      </c>
      <c r="C305" s="794"/>
      <c r="D305" s="794"/>
      <c r="E305" s="794"/>
      <c r="F305" s="794"/>
      <c r="G305" s="794"/>
      <c r="H305" s="794"/>
      <c r="I305" s="794"/>
      <c r="J305" s="794"/>
      <c r="K305" s="794"/>
      <c r="L305" s="794"/>
      <c r="M305" s="794"/>
      <c r="N305" s="794"/>
      <c r="O305" s="794"/>
      <c r="P305" s="794"/>
      <c r="Q305" s="794"/>
      <c r="R305" s="794"/>
      <c r="S305" s="794"/>
      <c r="T305" s="794"/>
      <c r="U305" s="794"/>
      <c r="V305" s="794"/>
      <c r="W305" s="794"/>
      <c r="X305" s="794"/>
      <c r="Y305" s="794"/>
      <c r="Z305" s="794"/>
      <c r="AA305" s="794"/>
      <c r="AB305" s="794"/>
      <c r="AC305" s="794"/>
      <c r="AD305" s="794"/>
      <c r="AE305" s="794"/>
    </row>
    <row r="306" spans="1:41">
      <c r="A306" s="186"/>
      <c r="B306" s="794" t="str">
        <f>IF(AK299&gt;0,"Revisar la instrucción 3, debido a que cada Rubro registrado debe ser igual o menor al total general de la fila respectiva","")</f>
        <v/>
      </c>
      <c r="C306" s="794"/>
      <c r="D306" s="794"/>
      <c r="E306" s="794"/>
      <c r="F306" s="794"/>
      <c r="G306" s="794"/>
      <c r="H306" s="794"/>
      <c r="I306" s="794"/>
      <c r="J306" s="794"/>
      <c r="K306" s="794"/>
      <c r="L306" s="794"/>
      <c r="M306" s="794"/>
      <c r="N306" s="794"/>
      <c r="O306" s="794"/>
      <c r="P306" s="794"/>
      <c r="Q306" s="794"/>
      <c r="R306" s="794"/>
      <c r="S306" s="794"/>
      <c r="T306" s="794"/>
      <c r="U306" s="794"/>
      <c r="V306" s="794"/>
      <c r="W306" s="794"/>
      <c r="X306" s="794"/>
      <c r="Y306" s="794"/>
      <c r="Z306" s="794"/>
      <c r="AA306" s="794"/>
      <c r="AB306" s="794"/>
      <c r="AC306" s="794"/>
      <c r="AD306" s="794"/>
      <c r="AE306" s="794"/>
    </row>
    <row r="307" spans="1:41">
      <c r="A307" s="186"/>
      <c r="B307" s="794" t="str">
        <f>IF(AO299=0,"","Error: revisar por filas la consistencia entre la columna Total y las desagregaciones")</f>
        <v/>
      </c>
      <c r="C307" s="794"/>
      <c r="D307" s="794"/>
      <c r="E307" s="794"/>
      <c r="F307" s="794"/>
      <c r="G307" s="794"/>
      <c r="H307" s="794"/>
      <c r="I307" s="794"/>
      <c r="J307" s="794"/>
      <c r="K307" s="794"/>
      <c r="L307" s="794"/>
      <c r="M307" s="794"/>
      <c r="N307" s="794"/>
      <c r="O307" s="794"/>
      <c r="P307" s="794"/>
      <c r="Q307" s="794"/>
      <c r="R307" s="794"/>
      <c r="S307" s="794"/>
      <c r="T307" s="794"/>
      <c r="U307" s="794"/>
      <c r="V307" s="794"/>
      <c r="W307" s="794"/>
      <c r="X307" s="794"/>
      <c r="Y307" s="794"/>
      <c r="Z307" s="794"/>
      <c r="AA307" s="794"/>
      <c r="AB307" s="794"/>
      <c r="AC307" s="794"/>
      <c r="AD307" s="794"/>
    </row>
    <row r="308" spans="1:41">
      <c r="A308" s="108"/>
      <c r="B308" s="190"/>
      <c r="C308" s="75"/>
      <c r="D308" s="86"/>
      <c r="E308" s="86"/>
      <c r="F308" s="86"/>
      <c r="G308" s="86"/>
      <c r="H308" s="86"/>
      <c r="I308" s="86"/>
      <c r="J308" s="86"/>
      <c r="K308" s="86"/>
      <c r="L308" s="86"/>
      <c r="M308" s="86"/>
      <c r="N308" s="86"/>
      <c r="O308" s="86"/>
      <c r="P308" s="86"/>
      <c r="Q308" s="86"/>
      <c r="R308" s="86"/>
      <c r="S308" s="86"/>
      <c r="T308" s="86"/>
      <c r="U308" s="86"/>
      <c r="V308" s="86"/>
      <c r="W308" s="86"/>
      <c r="X308" s="86"/>
      <c r="Y308" s="86"/>
      <c r="Z308" s="86"/>
      <c r="AA308" s="86"/>
      <c r="AB308" s="86"/>
      <c r="AC308" s="86"/>
      <c r="AD308" s="86"/>
    </row>
    <row r="309" spans="1:41" ht="36" customHeight="1">
      <c r="A309" s="108" t="s">
        <v>6487</v>
      </c>
      <c r="B309" s="829" t="s">
        <v>6488</v>
      </c>
      <c r="C309" s="829"/>
      <c r="D309" s="829"/>
      <c r="E309" s="829"/>
      <c r="F309" s="829"/>
      <c r="G309" s="829"/>
      <c r="H309" s="829"/>
      <c r="I309" s="829"/>
      <c r="J309" s="829"/>
      <c r="K309" s="829"/>
      <c r="L309" s="829"/>
      <c r="M309" s="829"/>
      <c r="N309" s="829"/>
      <c r="O309" s="829"/>
      <c r="P309" s="829"/>
      <c r="Q309" s="829"/>
      <c r="R309" s="829"/>
      <c r="S309" s="829"/>
      <c r="T309" s="829"/>
      <c r="U309" s="829"/>
      <c r="V309" s="829"/>
      <c r="W309" s="829"/>
      <c r="X309" s="829"/>
      <c r="Y309" s="829"/>
      <c r="Z309" s="829"/>
      <c r="AA309" s="829"/>
      <c r="AB309" s="829"/>
      <c r="AC309" s="829"/>
      <c r="AD309" s="829"/>
    </row>
    <row r="310" spans="1:41" ht="36" customHeight="1">
      <c r="A310" s="227"/>
      <c r="B310" s="90"/>
      <c r="C310" s="754" t="s">
        <v>6489</v>
      </c>
      <c r="D310" s="830"/>
      <c r="E310" s="830"/>
      <c r="F310" s="830"/>
      <c r="G310" s="830"/>
      <c r="H310" s="830"/>
      <c r="I310" s="830"/>
      <c r="J310" s="830"/>
      <c r="K310" s="830"/>
      <c r="L310" s="830"/>
      <c r="M310" s="830"/>
      <c r="N310" s="830"/>
      <c r="O310" s="830"/>
      <c r="P310" s="830"/>
      <c r="Q310" s="830"/>
      <c r="R310" s="830"/>
      <c r="S310" s="830"/>
      <c r="T310" s="830"/>
      <c r="U310" s="830"/>
      <c r="V310" s="830"/>
      <c r="W310" s="830"/>
      <c r="X310" s="830"/>
      <c r="Y310" s="830"/>
      <c r="Z310" s="830"/>
      <c r="AA310" s="830"/>
      <c r="AB310" s="830"/>
      <c r="AC310" s="830"/>
      <c r="AD310" s="830"/>
    </row>
    <row r="311" spans="1:41" ht="24" customHeight="1">
      <c r="A311" s="50"/>
      <c r="B311" s="38"/>
      <c r="C311" s="830" t="s">
        <v>6461</v>
      </c>
      <c r="D311" s="830"/>
      <c r="E311" s="830"/>
      <c r="F311" s="830"/>
      <c r="G311" s="830"/>
      <c r="H311" s="830"/>
      <c r="I311" s="830"/>
      <c r="J311" s="830"/>
      <c r="K311" s="830"/>
      <c r="L311" s="830"/>
      <c r="M311" s="830"/>
      <c r="N311" s="830"/>
      <c r="O311" s="830"/>
      <c r="P311" s="830"/>
      <c r="Q311" s="830"/>
      <c r="R311" s="830"/>
      <c r="S311" s="830"/>
      <c r="T311" s="830"/>
      <c r="U311" s="830"/>
      <c r="V311" s="830"/>
      <c r="W311" s="830"/>
      <c r="X311" s="830"/>
      <c r="Y311" s="830"/>
      <c r="Z311" s="830"/>
      <c r="AA311" s="830"/>
      <c r="AB311" s="830"/>
      <c r="AC311" s="830"/>
      <c r="AD311" s="830"/>
    </row>
    <row r="312" spans="1:41" ht="36" customHeight="1">
      <c r="A312" s="50"/>
      <c r="B312" s="38"/>
      <c r="C312" s="754" t="s">
        <v>6462</v>
      </c>
      <c r="D312" s="754"/>
      <c r="E312" s="754"/>
      <c r="F312" s="754"/>
      <c r="G312" s="754"/>
      <c r="H312" s="754"/>
      <c r="I312" s="754"/>
      <c r="J312" s="754"/>
      <c r="K312" s="754"/>
      <c r="L312" s="754"/>
      <c r="M312" s="754"/>
      <c r="N312" s="754"/>
      <c r="O312" s="754"/>
      <c r="P312" s="754"/>
      <c r="Q312" s="754"/>
      <c r="R312" s="754"/>
      <c r="S312" s="754"/>
      <c r="T312" s="754"/>
      <c r="U312" s="754"/>
      <c r="V312" s="754"/>
      <c r="W312" s="754"/>
      <c r="X312" s="754"/>
      <c r="Y312" s="754"/>
      <c r="Z312" s="754"/>
      <c r="AA312" s="754"/>
      <c r="AB312" s="754"/>
      <c r="AC312" s="754"/>
      <c r="AD312" s="754"/>
    </row>
    <row r="313" spans="1:41" ht="24" customHeight="1">
      <c r="A313" s="108"/>
      <c r="B313" s="38"/>
      <c r="C313" s="754" t="s">
        <v>6463</v>
      </c>
      <c r="D313" s="754"/>
      <c r="E313" s="754"/>
      <c r="F313" s="754"/>
      <c r="G313" s="754"/>
      <c r="H313" s="754"/>
      <c r="I313" s="754"/>
      <c r="J313" s="754"/>
      <c r="K313" s="754"/>
      <c r="L313" s="754"/>
      <c r="M313" s="754"/>
      <c r="N313" s="754"/>
      <c r="O313" s="754"/>
      <c r="P313" s="754"/>
      <c r="Q313" s="754"/>
      <c r="R313" s="754"/>
      <c r="S313" s="754"/>
      <c r="T313" s="754"/>
      <c r="U313" s="754"/>
      <c r="V313" s="754"/>
      <c r="W313" s="754"/>
      <c r="X313" s="754"/>
      <c r="Y313" s="754"/>
      <c r="Z313" s="754"/>
      <c r="AA313" s="754"/>
      <c r="AB313" s="754"/>
      <c r="AC313" s="754"/>
      <c r="AD313" s="754"/>
    </row>
    <row r="314" spans="1:41" ht="15" customHeight="1">
      <c r="A314" s="227"/>
      <c r="B314" s="90"/>
      <c r="C314" s="90"/>
      <c r="D314" s="90"/>
      <c r="E314" s="90"/>
      <c r="F314" s="90"/>
      <c r="G314" s="90"/>
      <c r="H314" s="90"/>
      <c r="I314" s="90"/>
      <c r="J314" s="90"/>
      <c r="K314" s="90"/>
      <c r="L314" s="90"/>
      <c r="M314" s="90"/>
      <c r="N314" s="90"/>
      <c r="O314" s="90"/>
      <c r="P314" s="90"/>
      <c r="Q314" s="90"/>
      <c r="R314" s="90"/>
      <c r="S314" s="90"/>
      <c r="T314" s="90"/>
      <c r="U314" s="90"/>
      <c r="V314" s="90"/>
      <c r="W314" s="90"/>
      <c r="X314" s="90"/>
      <c r="Y314" s="90"/>
      <c r="Z314" s="90"/>
      <c r="AA314" s="90"/>
      <c r="AB314" s="90"/>
      <c r="AC314" s="90"/>
      <c r="AD314" s="90"/>
    </row>
    <row r="315" spans="1:41" ht="24" customHeight="1">
      <c r="A315" s="227"/>
      <c r="B315" s="90"/>
      <c r="C315" s="797" t="s">
        <v>3860</v>
      </c>
      <c r="D315" s="798"/>
      <c r="E315" s="798"/>
      <c r="F315" s="798"/>
      <c r="G315" s="798"/>
      <c r="H315" s="798"/>
      <c r="I315" s="799"/>
      <c r="J315" s="818" t="s">
        <v>6490</v>
      </c>
      <c r="K315" s="819"/>
      <c r="L315" s="819"/>
      <c r="M315" s="819"/>
      <c r="N315" s="819"/>
      <c r="O315" s="820"/>
      <c r="P315" s="739" t="s">
        <v>6491</v>
      </c>
      <c r="Q315" s="740"/>
      <c r="R315" s="740"/>
      <c r="S315" s="740"/>
      <c r="T315" s="740"/>
      <c r="U315" s="740"/>
      <c r="V315" s="740"/>
      <c r="W315" s="740"/>
      <c r="X315" s="740"/>
      <c r="Y315" s="740"/>
      <c r="Z315" s="740"/>
      <c r="AA315" s="740"/>
      <c r="AB315" s="740"/>
      <c r="AC315" s="740"/>
      <c r="AD315" s="741"/>
    </row>
    <row r="316" spans="1:41" ht="15" customHeight="1">
      <c r="A316" s="227"/>
      <c r="B316" s="90"/>
      <c r="C316" s="800"/>
      <c r="D316" s="801"/>
      <c r="E316" s="801"/>
      <c r="F316" s="801"/>
      <c r="G316" s="801"/>
      <c r="H316" s="801"/>
      <c r="I316" s="802"/>
      <c r="J316" s="821"/>
      <c r="K316" s="822"/>
      <c r="L316" s="822"/>
      <c r="M316" s="822"/>
      <c r="N316" s="822"/>
      <c r="O316" s="823"/>
      <c r="P316" s="732" t="s">
        <v>2628</v>
      </c>
      <c r="Q316" s="732"/>
      <c r="R316" s="732"/>
      <c r="S316" s="736" t="s">
        <v>6466</v>
      </c>
      <c r="T316" s="736"/>
      <c r="U316" s="736"/>
      <c r="V316" s="736"/>
      <c r="W316" s="736"/>
      <c r="X316" s="736"/>
      <c r="Y316" s="736"/>
      <c r="Z316" s="736"/>
      <c r="AA316" s="736"/>
      <c r="AB316" s="736"/>
      <c r="AC316" s="736"/>
      <c r="AD316" s="736"/>
    </row>
    <row r="317" spans="1:41" ht="72" customHeight="1">
      <c r="A317" s="227"/>
      <c r="B317" s="90"/>
      <c r="C317" s="803"/>
      <c r="D317" s="804"/>
      <c r="E317" s="804"/>
      <c r="F317" s="804"/>
      <c r="G317" s="804"/>
      <c r="H317" s="804"/>
      <c r="I317" s="805"/>
      <c r="J317" s="824"/>
      <c r="K317" s="825"/>
      <c r="L317" s="825"/>
      <c r="M317" s="825"/>
      <c r="N317" s="825"/>
      <c r="O317" s="826"/>
      <c r="P317" s="732"/>
      <c r="Q317" s="732"/>
      <c r="R317" s="732"/>
      <c r="S317" s="828" t="s">
        <v>6492</v>
      </c>
      <c r="T317" s="828"/>
      <c r="U317" s="828"/>
      <c r="V317" s="828" t="s">
        <v>6493</v>
      </c>
      <c r="W317" s="828"/>
      <c r="X317" s="828"/>
      <c r="Y317" s="828" t="s">
        <v>6494</v>
      </c>
      <c r="Z317" s="828"/>
      <c r="AA317" s="828"/>
      <c r="AB317" s="828" t="s">
        <v>6495</v>
      </c>
      <c r="AC317" s="828"/>
      <c r="AD317" s="828"/>
      <c r="AG317" s="683" t="s">
        <v>2586</v>
      </c>
      <c r="AH317" s="684" t="s">
        <v>2590</v>
      </c>
      <c r="AI317" s="689" t="s">
        <v>6386</v>
      </c>
      <c r="AJ317" s="685" t="s">
        <v>6346</v>
      </c>
      <c r="AK317" s="1170" t="s">
        <v>6347</v>
      </c>
      <c r="AL317" s="1170"/>
      <c r="AM317" s="1170"/>
      <c r="AN317" s="1170"/>
      <c r="AO317" s="714" t="s">
        <v>6348</v>
      </c>
    </row>
    <row r="318" spans="1:41">
      <c r="A318" s="227"/>
      <c r="B318" s="90"/>
      <c r="C318" s="44" t="s">
        <v>2516</v>
      </c>
      <c r="D318" s="813" t="str">
        <f>IF(CNSIPEE_2024_M2_Secc1!D42="","",CNSIPEE_2024_M2_Secc1!D42)</f>
        <v/>
      </c>
      <c r="E318" s="814"/>
      <c r="F318" s="814"/>
      <c r="G318" s="814"/>
      <c r="H318" s="814"/>
      <c r="I318" s="815"/>
      <c r="J318" s="816"/>
      <c r="K318" s="738"/>
      <c r="L318" s="738"/>
      <c r="M318" s="738"/>
      <c r="N318" s="738"/>
      <c r="O318" s="817"/>
      <c r="P318" s="749"/>
      <c r="Q318" s="749"/>
      <c r="R318" s="749"/>
      <c r="S318" s="749"/>
      <c r="T318" s="749"/>
      <c r="U318" s="749"/>
      <c r="V318" s="749"/>
      <c r="W318" s="749"/>
      <c r="X318" s="749"/>
      <c r="Y318" s="749"/>
      <c r="Z318" s="749"/>
      <c r="AA318" s="749"/>
      <c r="AB318" s="749"/>
      <c r="AC318" s="749"/>
      <c r="AD318" s="749"/>
      <c r="AG318" s="253">
        <f t="shared" ref="AG318:AG325" si="83">IF(  COUNTA($J$318:$AD$325)&gt;0,IF(AND(COUNTBLANK(D318)=0,J318=1,COUNTBLANK(P318:AD318)=10),0,IF(AND(COUNTBLANK(D318)=0,J318=2,COUNTBLANK(P318:AD318)=15),0,IF(AND(COUNTBLANK(D318)=0,J318=9,COUNTBLANK(P318:AD318)=15),0,IF(AND(COUNTBLANK(D318)&gt;0,J318="",COUNTBLANK(P318:AD318)=15),0,1)))),0)</f>
        <v>0</v>
      </c>
      <c r="AH318" s="253">
        <f t="shared" ref="AH318:AH325" si="84">IF(COUNTIF(P318:AD318,"NS"),1,0)</f>
        <v>0</v>
      </c>
      <c r="AI318" s="253">
        <f t="shared" ref="AI318:AI325" si="85">IF(OR(AB318=0,AB318="NS",AB318="NA"),0,1)</f>
        <v>0</v>
      </c>
      <c r="AJ318" s="253">
        <f t="shared" ref="AJ318:AJ325" si="86">IF(P318&lt;=SUM(S318:AD318),0,1)</f>
        <v>0</v>
      </c>
      <c r="AK318" s="253">
        <f t="shared" ref="AK318:AK325" si="87">IF(COUNTIF(S318,"NS")=0,IF(P318&lt;S318,1,0),0)</f>
        <v>0</v>
      </c>
      <c r="AL318" s="253">
        <f t="shared" ref="AL318:AL325" si="88">IF(COUNTIF(V318,"NS")=0,IF(P318&lt;V318,1,0),0)</f>
        <v>0</v>
      </c>
      <c r="AM318" s="253">
        <f t="shared" ref="AM318:AM325" si="89">IF(COUNTIF(Y318,"NS")=0,IF(P318&lt;Y318,1,0),0)</f>
        <v>0</v>
      </c>
      <c r="AN318" s="253">
        <f t="shared" ref="AN318:AN325" si="90">IF(COUNTIF(AB318,"NS")=0,IF(P318&lt;AB318,1,0),0)</f>
        <v>0</v>
      </c>
      <c r="AO318" s="253">
        <f>IF(AND(SUM(S318:AD318)=0,AH318&gt;0,P318=0),1,0)</f>
        <v>0</v>
      </c>
    </row>
    <row r="319" spans="1:41">
      <c r="A319" s="186"/>
      <c r="B319" s="57"/>
      <c r="C319" s="44" t="s">
        <v>2517</v>
      </c>
      <c r="D319" s="813" t="str">
        <f>IF(CNSIPEE_2024_M2_Secc1!D43="","",CNSIPEE_2024_M2_Secc1!D43)</f>
        <v/>
      </c>
      <c r="E319" s="814"/>
      <c r="F319" s="814"/>
      <c r="G319" s="814"/>
      <c r="H319" s="814"/>
      <c r="I319" s="815"/>
      <c r="J319" s="816"/>
      <c r="K319" s="738"/>
      <c r="L319" s="738"/>
      <c r="M319" s="738"/>
      <c r="N319" s="738"/>
      <c r="O319" s="817"/>
      <c r="P319" s="749"/>
      <c r="Q319" s="749"/>
      <c r="R319" s="749"/>
      <c r="S319" s="749"/>
      <c r="T319" s="749"/>
      <c r="U319" s="749"/>
      <c r="V319" s="749"/>
      <c r="W319" s="749"/>
      <c r="X319" s="749"/>
      <c r="Y319" s="749"/>
      <c r="Z319" s="749"/>
      <c r="AA319" s="749"/>
      <c r="AB319" s="749"/>
      <c r="AC319" s="749"/>
      <c r="AD319" s="749"/>
      <c r="AG319" s="253">
        <f t="shared" si="83"/>
        <v>0</v>
      </c>
      <c r="AH319" s="253">
        <f t="shared" si="84"/>
        <v>0</v>
      </c>
      <c r="AI319" s="253">
        <f t="shared" si="85"/>
        <v>0</v>
      </c>
      <c r="AJ319" s="253">
        <f t="shared" si="86"/>
        <v>0</v>
      </c>
      <c r="AK319" s="253">
        <f t="shared" si="87"/>
        <v>0</v>
      </c>
      <c r="AL319" s="253">
        <f t="shared" si="88"/>
        <v>0</v>
      </c>
      <c r="AM319" s="253">
        <f t="shared" si="89"/>
        <v>0</v>
      </c>
      <c r="AN319" s="253">
        <f t="shared" si="90"/>
        <v>0</v>
      </c>
      <c r="AO319" s="253">
        <f t="shared" ref="AO319:AO325" si="91">IF(AND(SUM(S319:AD319)=0,AH319&gt;0,P319=0),1,0)</f>
        <v>0</v>
      </c>
    </row>
    <row r="320" spans="1:41">
      <c r="A320" s="186"/>
      <c r="B320" s="57"/>
      <c r="C320" s="44" t="s">
        <v>2518</v>
      </c>
      <c r="D320" s="813" t="str">
        <f>IF(CNSIPEE_2024_M2_Secc1!D44="","",CNSIPEE_2024_M2_Secc1!D44)</f>
        <v/>
      </c>
      <c r="E320" s="814"/>
      <c r="F320" s="814"/>
      <c r="G320" s="814"/>
      <c r="H320" s="814"/>
      <c r="I320" s="815"/>
      <c r="J320" s="816"/>
      <c r="K320" s="738"/>
      <c r="L320" s="738"/>
      <c r="M320" s="738"/>
      <c r="N320" s="738"/>
      <c r="O320" s="817"/>
      <c r="P320" s="749"/>
      <c r="Q320" s="749"/>
      <c r="R320" s="749"/>
      <c r="S320" s="749"/>
      <c r="T320" s="749"/>
      <c r="U320" s="749"/>
      <c r="V320" s="749"/>
      <c r="W320" s="749"/>
      <c r="X320" s="749"/>
      <c r="Y320" s="749"/>
      <c r="Z320" s="749"/>
      <c r="AA320" s="749"/>
      <c r="AB320" s="749"/>
      <c r="AC320" s="749"/>
      <c r="AD320" s="749"/>
      <c r="AG320" s="253">
        <f t="shared" si="83"/>
        <v>0</v>
      </c>
      <c r="AH320" s="253">
        <f t="shared" si="84"/>
        <v>0</v>
      </c>
      <c r="AI320" s="253">
        <f t="shared" si="85"/>
        <v>0</v>
      </c>
      <c r="AJ320" s="253">
        <f t="shared" si="86"/>
        <v>0</v>
      </c>
      <c r="AK320" s="253">
        <f t="shared" si="87"/>
        <v>0</v>
      </c>
      <c r="AL320" s="253">
        <f t="shared" si="88"/>
        <v>0</v>
      </c>
      <c r="AM320" s="253">
        <f t="shared" si="89"/>
        <v>0</v>
      </c>
      <c r="AN320" s="253">
        <f t="shared" si="90"/>
        <v>0</v>
      </c>
      <c r="AO320" s="253">
        <f t="shared" si="91"/>
        <v>0</v>
      </c>
    </row>
    <row r="321" spans="1:41">
      <c r="A321" s="186"/>
      <c r="B321" s="57"/>
      <c r="C321" s="44" t="s">
        <v>2519</v>
      </c>
      <c r="D321" s="813" t="str">
        <f>IF(CNSIPEE_2024_M2_Secc1!D45="","",CNSIPEE_2024_M2_Secc1!D45)</f>
        <v/>
      </c>
      <c r="E321" s="814"/>
      <c r="F321" s="814"/>
      <c r="G321" s="814"/>
      <c r="H321" s="814"/>
      <c r="I321" s="815"/>
      <c r="J321" s="816"/>
      <c r="K321" s="738"/>
      <c r="L321" s="738"/>
      <c r="M321" s="738"/>
      <c r="N321" s="738"/>
      <c r="O321" s="817"/>
      <c r="P321" s="749"/>
      <c r="Q321" s="749"/>
      <c r="R321" s="749"/>
      <c r="S321" s="749"/>
      <c r="T321" s="749"/>
      <c r="U321" s="749"/>
      <c r="V321" s="749"/>
      <c r="W321" s="749"/>
      <c r="X321" s="749"/>
      <c r="Y321" s="749"/>
      <c r="Z321" s="749"/>
      <c r="AA321" s="749"/>
      <c r="AB321" s="749"/>
      <c r="AC321" s="749"/>
      <c r="AD321" s="749"/>
      <c r="AG321" s="253">
        <f t="shared" si="83"/>
        <v>0</v>
      </c>
      <c r="AH321" s="253">
        <f t="shared" si="84"/>
        <v>0</v>
      </c>
      <c r="AI321" s="253">
        <f t="shared" si="85"/>
        <v>0</v>
      </c>
      <c r="AJ321" s="253">
        <f t="shared" si="86"/>
        <v>0</v>
      </c>
      <c r="AK321" s="253">
        <f t="shared" si="87"/>
        <v>0</v>
      </c>
      <c r="AL321" s="253">
        <f t="shared" si="88"/>
        <v>0</v>
      </c>
      <c r="AM321" s="253">
        <f t="shared" si="89"/>
        <v>0</v>
      </c>
      <c r="AN321" s="253">
        <f t="shared" si="90"/>
        <v>0</v>
      </c>
      <c r="AO321" s="253">
        <f t="shared" si="91"/>
        <v>0</v>
      </c>
    </row>
    <row r="322" spans="1:41">
      <c r="A322" s="186"/>
      <c r="B322" s="57"/>
      <c r="C322" s="44" t="s">
        <v>2520</v>
      </c>
      <c r="D322" s="813" t="str">
        <f>IF(CNSIPEE_2024_M2_Secc1!D46="","",CNSIPEE_2024_M2_Secc1!D46)</f>
        <v/>
      </c>
      <c r="E322" s="814"/>
      <c r="F322" s="814"/>
      <c r="G322" s="814"/>
      <c r="H322" s="814"/>
      <c r="I322" s="815"/>
      <c r="J322" s="816"/>
      <c r="K322" s="738"/>
      <c r="L322" s="738"/>
      <c r="M322" s="738"/>
      <c r="N322" s="738"/>
      <c r="O322" s="817"/>
      <c r="P322" s="749"/>
      <c r="Q322" s="749"/>
      <c r="R322" s="749"/>
      <c r="S322" s="749"/>
      <c r="T322" s="749"/>
      <c r="U322" s="749"/>
      <c r="V322" s="749"/>
      <c r="W322" s="749"/>
      <c r="X322" s="749"/>
      <c r="Y322" s="749"/>
      <c r="Z322" s="749"/>
      <c r="AA322" s="749"/>
      <c r="AB322" s="749"/>
      <c r="AC322" s="749"/>
      <c r="AD322" s="749"/>
      <c r="AG322" s="253">
        <f t="shared" si="83"/>
        <v>0</v>
      </c>
      <c r="AH322" s="253">
        <f t="shared" si="84"/>
        <v>0</v>
      </c>
      <c r="AI322" s="253">
        <f t="shared" si="85"/>
        <v>0</v>
      </c>
      <c r="AJ322" s="253">
        <f t="shared" si="86"/>
        <v>0</v>
      </c>
      <c r="AK322" s="253">
        <f t="shared" si="87"/>
        <v>0</v>
      </c>
      <c r="AL322" s="253">
        <f t="shared" si="88"/>
        <v>0</v>
      </c>
      <c r="AM322" s="253">
        <f t="shared" si="89"/>
        <v>0</v>
      </c>
      <c r="AN322" s="253">
        <f t="shared" si="90"/>
        <v>0</v>
      </c>
      <c r="AO322" s="253">
        <f t="shared" si="91"/>
        <v>0</v>
      </c>
    </row>
    <row r="323" spans="1:41">
      <c r="A323" s="186"/>
      <c r="B323" s="57"/>
      <c r="C323" s="44" t="s">
        <v>2521</v>
      </c>
      <c r="D323" s="813" t="str">
        <f>IF(CNSIPEE_2024_M2_Secc1!D47="","",CNSIPEE_2024_M2_Secc1!D47)</f>
        <v/>
      </c>
      <c r="E323" s="814"/>
      <c r="F323" s="814"/>
      <c r="G323" s="814"/>
      <c r="H323" s="814"/>
      <c r="I323" s="815"/>
      <c r="J323" s="816"/>
      <c r="K323" s="738"/>
      <c r="L323" s="738"/>
      <c r="M323" s="738"/>
      <c r="N323" s="738"/>
      <c r="O323" s="817"/>
      <c r="P323" s="749"/>
      <c r="Q323" s="749"/>
      <c r="R323" s="749"/>
      <c r="S323" s="749"/>
      <c r="T323" s="749"/>
      <c r="U323" s="749"/>
      <c r="V323" s="749"/>
      <c r="W323" s="749"/>
      <c r="X323" s="749"/>
      <c r="Y323" s="749"/>
      <c r="Z323" s="749"/>
      <c r="AA323" s="749"/>
      <c r="AB323" s="749"/>
      <c r="AC323" s="749"/>
      <c r="AD323" s="749"/>
      <c r="AG323" s="253">
        <f t="shared" si="83"/>
        <v>0</v>
      </c>
      <c r="AH323" s="253">
        <f t="shared" si="84"/>
        <v>0</v>
      </c>
      <c r="AI323" s="253">
        <f t="shared" si="85"/>
        <v>0</v>
      </c>
      <c r="AJ323" s="253">
        <f t="shared" si="86"/>
        <v>0</v>
      </c>
      <c r="AK323" s="253">
        <f t="shared" si="87"/>
        <v>0</v>
      </c>
      <c r="AL323" s="253">
        <f t="shared" si="88"/>
        <v>0</v>
      </c>
      <c r="AM323" s="253">
        <f t="shared" si="89"/>
        <v>0</v>
      </c>
      <c r="AN323" s="253">
        <f t="shared" si="90"/>
        <v>0</v>
      </c>
      <c r="AO323" s="253">
        <f t="shared" si="91"/>
        <v>0</v>
      </c>
    </row>
    <row r="324" spans="1:41">
      <c r="A324" s="186"/>
      <c r="B324" s="57"/>
      <c r="C324" s="44" t="s">
        <v>2522</v>
      </c>
      <c r="D324" s="813" t="str">
        <f>IF(CNSIPEE_2024_M2_Secc1!D48="","",CNSIPEE_2024_M2_Secc1!D48)</f>
        <v/>
      </c>
      <c r="E324" s="814"/>
      <c r="F324" s="814"/>
      <c r="G324" s="814"/>
      <c r="H324" s="814"/>
      <c r="I324" s="815"/>
      <c r="J324" s="816"/>
      <c r="K324" s="738"/>
      <c r="L324" s="738"/>
      <c r="M324" s="738"/>
      <c r="N324" s="738"/>
      <c r="O324" s="817"/>
      <c r="P324" s="749"/>
      <c r="Q324" s="749"/>
      <c r="R324" s="749"/>
      <c r="S324" s="749"/>
      <c r="T324" s="749"/>
      <c r="U324" s="749"/>
      <c r="V324" s="749"/>
      <c r="W324" s="749"/>
      <c r="X324" s="749"/>
      <c r="Y324" s="749"/>
      <c r="Z324" s="749"/>
      <c r="AA324" s="749"/>
      <c r="AB324" s="749"/>
      <c r="AC324" s="749"/>
      <c r="AD324" s="749"/>
      <c r="AG324" s="253">
        <f t="shared" si="83"/>
        <v>0</v>
      </c>
      <c r="AH324" s="253">
        <f t="shared" si="84"/>
        <v>0</v>
      </c>
      <c r="AI324" s="253">
        <f t="shared" si="85"/>
        <v>0</v>
      </c>
      <c r="AJ324" s="253">
        <f t="shared" si="86"/>
        <v>0</v>
      </c>
      <c r="AK324" s="253">
        <f t="shared" si="87"/>
        <v>0</v>
      </c>
      <c r="AL324" s="253">
        <f t="shared" si="88"/>
        <v>0</v>
      </c>
      <c r="AM324" s="253">
        <f t="shared" si="89"/>
        <v>0</v>
      </c>
      <c r="AN324" s="253">
        <f t="shared" si="90"/>
        <v>0</v>
      </c>
      <c r="AO324" s="253">
        <f t="shared" si="91"/>
        <v>0</v>
      </c>
    </row>
    <row r="325" spans="1:41">
      <c r="A325" s="186"/>
      <c r="B325" s="57"/>
      <c r="C325" s="44" t="s">
        <v>2523</v>
      </c>
      <c r="D325" s="813" t="str">
        <f>IF(CNSIPEE_2024_M2_Secc1!D49="","",CNSIPEE_2024_M2_Secc1!D49)</f>
        <v/>
      </c>
      <c r="E325" s="814"/>
      <c r="F325" s="814"/>
      <c r="G325" s="814"/>
      <c r="H325" s="814"/>
      <c r="I325" s="815"/>
      <c r="J325" s="816"/>
      <c r="K325" s="738"/>
      <c r="L325" s="738"/>
      <c r="M325" s="738"/>
      <c r="N325" s="738"/>
      <c r="O325" s="817"/>
      <c r="P325" s="749"/>
      <c r="Q325" s="749"/>
      <c r="R325" s="749"/>
      <c r="S325" s="749"/>
      <c r="T325" s="749"/>
      <c r="U325" s="749"/>
      <c r="V325" s="749"/>
      <c r="W325" s="749"/>
      <c r="X325" s="749"/>
      <c r="Y325" s="749"/>
      <c r="Z325" s="749"/>
      <c r="AA325" s="749"/>
      <c r="AB325" s="749"/>
      <c r="AC325" s="749"/>
      <c r="AD325" s="749"/>
      <c r="AG325" s="253">
        <f t="shared" si="83"/>
        <v>0</v>
      </c>
      <c r="AH325" s="253">
        <f t="shared" si="84"/>
        <v>0</v>
      </c>
      <c r="AI325" s="253">
        <f t="shared" si="85"/>
        <v>0</v>
      </c>
      <c r="AJ325" s="253">
        <f t="shared" si="86"/>
        <v>0</v>
      </c>
      <c r="AK325" s="253">
        <f t="shared" si="87"/>
        <v>0</v>
      </c>
      <c r="AL325" s="253">
        <f t="shared" si="88"/>
        <v>0</v>
      </c>
      <c r="AM325" s="253">
        <f t="shared" si="89"/>
        <v>0</v>
      </c>
      <c r="AN325" s="253">
        <f t="shared" si="90"/>
        <v>0</v>
      </c>
      <c r="AO325" s="253">
        <f t="shared" si="91"/>
        <v>0</v>
      </c>
    </row>
    <row r="326" spans="1:41">
      <c r="A326" s="227"/>
      <c r="B326" s="90"/>
      <c r="C326" s="90"/>
      <c r="D326" s="90"/>
      <c r="E326" s="90"/>
      <c r="F326" s="90"/>
      <c r="G326" s="90"/>
      <c r="H326" s="90"/>
      <c r="I326" s="90"/>
      <c r="J326" s="90"/>
      <c r="K326" s="90"/>
      <c r="L326" s="90"/>
      <c r="M326" s="90"/>
      <c r="N326" s="90"/>
      <c r="O326" s="117" t="s">
        <v>2649</v>
      </c>
      <c r="P326" s="732">
        <f>IF(AND(SUM(P318:R325)=0,COUNTIF(P318:R325,"NS")&gt;0),"NS",IF(AND(SUM(P318:R325)=0,COUNTIF(P318:R325,0)&gt;0),0,IF(AND(SUM(P318:R325)=0,COUNTIF(P318:R325,"NA")&gt;0),"NA",SUM(P318:R325))))</f>
        <v>0</v>
      </c>
      <c r="Q326" s="1162"/>
      <c r="R326" s="1161"/>
      <c r="S326" s="732">
        <f>IF(AND(SUM(S318:U325)=0,COUNTIF(S318:U325,"NS")&gt;0),"NS",IF(AND(SUM(S318:U325)=0,COUNTIF(S318:U325,0)&gt;0),0,IF(AND(SUM(S318:U325)=0,COUNTIF(S318:U325,"NA")&gt;0),"NA",SUM(S318:U325))))</f>
        <v>0</v>
      </c>
      <c r="T326" s="1162"/>
      <c r="U326" s="1161"/>
      <c r="V326" s="732">
        <f>IF(AND(SUM(V318:X325)=0,COUNTIF(V318:X325,"NS")&gt;0),"NS",IF(AND(SUM(V318:X325)=0,COUNTIF(V318:X325,0)&gt;0),0,IF(AND(SUM(V318:X325)=0,COUNTIF(V318:X325,"NA")&gt;0),"NA",SUM(V318:X325))))</f>
        <v>0</v>
      </c>
      <c r="W326" s="1162"/>
      <c r="X326" s="1161"/>
      <c r="Y326" s="732">
        <f>IF(AND(SUM(Y318:AA325)=0,COUNTIF(Y318:AA325,"NS")&gt;0),"NS",IF(AND(SUM(Y318:AA325)=0,COUNTIF(Y318:AA325,0)&gt;0),0,IF(AND(SUM(Y318:AA325)=0,COUNTIF(Y318:AA325,"NA")&gt;0),"NA",SUM(Y318:AA325))))</f>
        <v>0</v>
      </c>
      <c r="Z326" s="1162"/>
      <c r="AA326" s="1161"/>
      <c r="AB326" s="732">
        <f>IF(AND(SUM(AB318:AD325)=0,COUNTIF(AB318:AD325,"NS")&gt;0),"NS",IF(AND(SUM(AB318:AD325)=0,COUNTIF(AB318:AD325,0)&gt;0),0,IF(AND(SUM(AB318:AD325)=0,COUNTIF(AB318:AD325,"NA")&gt;0),"NA",SUM(AB318:AD325))))</f>
        <v>0</v>
      </c>
      <c r="AC326" s="1162"/>
      <c r="AD326" s="1161"/>
      <c r="AG326" s="683">
        <f>SUM(AG318:AG325)</f>
        <v>0</v>
      </c>
      <c r="AH326" s="684">
        <f>SUM(AH318:AH325)</f>
        <v>0</v>
      </c>
      <c r="AI326" s="689">
        <f>SUM(AI318:AI325)</f>
        <v>0</v>
      </c>
      <c r="AJ326" s="685">
        <f>SUM(AJ318:AJ325)</f>
        <v>0</v>
      </c>
      <c r="AK326" s="690">
        <f>SUM(AK318:AN325)</f>
        <v>0</v>
      </c>
      <c r="AO326" s="713">
        <f>SUM(AO318:AO325)</f>
        <v>0</v>
      </c>
    </row>
    <row r="327" spans="1:41" ht="15" customHeight="1">
      <c r="A327" s="170"/>
    </row>
    <row r="328" spans="1:41" ht="45" customHeight="1">
      <c r="A328" s="170"/>
      <c r="C328" s="822" t="s">
        <v>6473</v>
      </c>
      <c r="D328" s="822"/>
      <c r="E328" s="822"/>
      <c r="F328" s="749"/>
      <c r="G328" s="749"/>
      <c r="H328" s="749"/>
      <c r="I328" s="749"/>
      <c r="J328" s="749"/>
      <c r="K328" s="749"/>
      <c r="L328" s="749"/>
      <c r="M328" s="749"/>
      <c r="N328" s="749"/>
      <c r="O328" s="749"/>
      <c r="P328" s="749"/>
      <c r="Q328" s="749"/>
      <c r="R328" s="749"/>
      <c r="S328" s="749"/>
      <c r="T328" s="749"/>
      <c r="U328" s="749"/>
      <c r="V328" s="749"/>
      <c r="W328" s="749"/>
      <c r="X328" s="749"/>
      <c r="Y328" s="749"/>
      <c r="Z328" s="749"/>
      <c r="AA328" s="749"/>
      <c r="AB328" s="749"/>
      <c r="AC328" s="749"/>
      <c r="AD328" s="749"/>
    </row>
    <row r="329" spans="1:41" ht="15" customHeight="1">
      <c r="A329" s="170"/>
      <c r="B329" s="794" t="str">
        <f>IF(AND(AI326&gt;0,F328=""),"Debido a que cuenta con registros en el apartado Otro rubro, debe anotar el nombre de dicho(s) rubro(s)","")</f>
        <v/>
      </c>
      <c r="C329" s="794"/>
      <c r="D329" s="794"/>
      <c r="E329" s="794"/>
      <c r="F329" s="794"/>
      <c r="G329" s="794"/>
      <c r="H329" s="794"/>
      <c r="I329" s="794"/>
      <c r="J329" s="794"/>
      <c r="K329" s="794"/>
      <c r="L329" s="794"/>
      <c r="M329" s="794"/>
      <c r="N329" s="794"/>
      <c r="O329" s="794"/>
      <c r="P329" s="794"/>
      <c r="Q329" s="794"/>
      <c r="R329" s="794"/>
      <c r="S329" s="794"/>
      <c r="T329" s="794"/>
      <c r="U329" s="794"/>
      <c r="V329" s="794"/>
      <c r="W329" s="794"/>
      <c r="X329" s="794"/>
      <c r="Y329" s="794"/>
      <c r="Z329" s="794"/>
      <c r="AA329" s="794"/>
      <c r="AB329" s="794"/>
      <c r="AC329" s="794"/>
      <c r="AD329" s="794"/>
      <c r="AE329" s="794"/>
    </row>
    <row r="330" spans="1:41" ht="24" customHeight="1">
      <c r="A330" s="108"/>
      <c r="B330" s="38"/>
      <c r="C330" s="754" t="s">
        <v>2611</v>
      </c>
      <c r="D330" s="754"/>
      <c r="E330" s="754"/>
      <c r="F330" s="754"/>
      <c r="G330" s="754"/>
      <c r="H330" s="754"/>
      <c r="I330" s="754"/>
      <c r="J330" s="754"/>
      <c r="K330" s="754"/>
      <c r="L330" s="754"/>
      <c r="M330" s="754"/>
      <c r="N330" s="754"/>
      <c r="O330" s="754"/>
      <c r="P330" s="754"/>
      <c r="Q330" s="754"/>
      <c r="R330" s="754"/>
      <c r="S330" s="754"/>
      <c r="T330" s="754"/>
      <c r="U330" s="754"/>
      <c r="V330" s="754"/>
      <c r="W330" s="754"/>
      <c r="X330" s="754"/>
      <c r="Y330" s="754"/>
      <c r="Z330" s="754"/>
      <c r="AA330" s="754"/>
      <c r="AB330" s="754"/>
      <c r="AC330" s="754"/>
      <c r="AD330" s="754"/>
    </row>
    <row r="331" spans="1:41" ht="60" customHeight="1">
      <c r="A331" s="108"/>
      <c r="B331" s="38"/>
      <c r="C331" s="851"/>
      <c r="D331" s="851"/>
      <c r="E331" s="851"/>
      <c r="F331" s="851"/>
      <c r="G331" s="851"/>
      <c r="H331" s="851"/>
      <c r="I331" s="851"/>
      <c r="J331" s="851"/>
      <c r="K331" s="851"/>
      <c r="L331" s="851"/>
      <c r="M331" s="851"/>
      <c r="N331" s="851"/>
      <c r="O331" s="851"/>
      <c r="P331" s="851"/>
      <c r="Q331" s="851"/>
      <c r="R331" s="851"/>
      <c r="S331" s="851"/>
      <c r="T331" s="851"/>
      <c r="U331" s="851"/>
      <c r="V331" s="851"/>
      <c r="W331" s="851"/>
      <c r="X331" s="851"/>
      <c r="Y331" s="851"/>
      <c r="Z331" s="851"/>
      <c r="AA331" s="851"/>
      <c r="AB331" s="851"/>
      <c r="AC331" s="851"/>
      <c r="AD331" s="851"/>
    </row>
    <row r="332" spans="1:41" ht="15" customHeight="1">
      <c r="B332" s="794" t="str">
        <f>IF(AG326&gt;0,"Favor de ingresar toda la información requerida en la pregunta y/o verifique que no tenga información en celdas sombreadas","")</f>
        <v/>
      </c>
      <c r="C332" s="794"/>
      <c r="D332" s="794"/>
      <c r="E332" s="794"/>
      <c r="F332" s="794"/>
      <c r="G332" s="794"/>
      <c r="H332" s="794"/>
      <c r="I332" s="794"/>
      <c r="J332" s="794"/>
      <c r="K332" s="794"/>
      <c r="L332" s="794"/>
      <c r="M332" s="794"/>
      <c r="N332" s="794"/>
      <c r="O332" s="794"/>
      <c r="P332" s="794"/>
      <c r="Q332" s="794"/>
      <c r="R332" s="794"/>
      <c r="S332" s="794"/>
      <c r="T332" s="794"/>
      <c r="U332" s="794"/>
      <c r="V332" s="794"/>
      <c r="W332" s="794"/>
      <c r="X332" s="794"/>
      <c r="Y332" s="794"/>
      <c r="Z332" s="794"/>
      <c r="AA332" s="794"/>
      <c r="AB332" s="794"/>
      <c r="AC332" s="794"/>
      <c r="AD332" s="794"/>
      <c r="AE332" s="794"/>
    </row>
    <row r="333" spans="1:41" ht="15" customHeight="1">
      <c r="B333" s="795" t="str">
        <f>IF(AND(AH326&lt;&gt;0,C331=""),"Alerta: debido a que cuenta con registros NS, debe proporcionar una justificación en el area de comentarios al final de la pregunta","")</f>
        <v/>
      </c>
      <c r="C333" s="795"/>
      <c r="D333" s="795"/>
      <c r="E333" s="795"/>
      <c r="F333" s="795"/>
      <c r="G333" s="795"/>
      <c r="H333" s="795"/>
      <c r="I333" s="795"/>
      <c r="J333" s="795"/>
      <c r="K333" s="795"/>
      <c r="L333" s="795"/>
      <c r="M333" s="795"/>
      <c r="N333" s="795"/>
      <c r="O333" s="795"/>
      <c r="P333" s="795"/>
      <c r="Q333" s="795"/>
      <c r="R333" s="795"/>
      <c r="S333" s="795"/>
      <c r="T333" s="795"/>
      <c r="U333" s="795"/>
      <c r="V333" s="795"/>
      <c r="W333" s="795"/>
      <c r="X333" s="795"/>
      <c r="Y333" s="795"/>
      <c r="Z333" s="795"/>
      <c r="AA333" s="795"/>
      <c r="AB333" s="795"/>
      <c r="AC333" s="795"/>
      <c r="AD333" s="795"/>
      <c r="AE333" s="795"/>
    </row>
    <row r="334" spans="1:41" ht="15" customHeight="1">
      <c r="B334" s="794" t="str">
        <f>IF(AJ326&gt;0,"Revisar la instrucción 2, debido a que la suma de las Rubros registrados son menores al total general de la fila respectiva","")</f>
        <v/>
      </c>
      <c r="C334" s="794"/>
      <c r="D334" s="794"/>
      <c r="E334" s="794"/>
      <c r="F334" s="794"/>
      <c r="G334" s="794"/>
      <c r="H334" s="794"/>
      <c r="I334" s="794"/>
      <c r="J334" s="794"/>
      <c r="K334" s="794"/>
      <c r="L334" s="794"/>
      <c r="M334" s="794"/>
      <c r="N334" s="794"/>
      <c r="O334" s="794"/>
      <c r="P334" s="794"/>
      <c r="Q334" s="794"/>
      <c r="R334" s="794"/>
      <c r="S334" s="794"/>
      <c r="T334" s="794"/>
      <c r="U334" s="794"/>
      <c r="V334" s="794"/>
      <c r="W334" s="794"/>
      <c r="X334" s="794"/>
      <c r="Y334" s="794"/>
      <c r="Z334" s="794"/>
      <c r="AA334" s="794"/>
      <c r="AB334" s="794"/>
      <c r="AC334" s="794"/>
      <c r="AD334" s="794"/>
      <c r="AE334" s="794"/>
    </row>
    <row r="335" spans="1:41" ht="15" customHeight="1">
      <c r="B335" s="794" t="str">
        <f>IF(AK326&gt;0,"Revisar la instrucción 3, debido a que cada Rubro registrado debe ser igual o menor al total general de la fila respectiva","")</f>
        <v/>
      </c>
      <c r="C335" s="794"/>
      <c r="D335" s="794"/>
      <c r="E335" s="794"/>
      <c r="F335" s="794"/>
      <c r="G335" s="794"/>
      <c r="H335" s="794"/>
      <c r="I335" s="794"/>
      <c r="J335" s="794"/>
      <c r="K335" s="794"/>
      <c r="L335" s="794"/>
      <c r="M335" s="794"/>
      <c r="N335" s="794"/>
      <c r="O335" s="794"/>
      <c r="P335" s="794"/>
      <c r="Q335" s="794"/>
      <c r="R335" s="794"/>
      <c r="S335" s="794"/>
      <c r="T335" s="794"/>
      <c r="U335" s="794"/>
      <c r="V335" s="794"/>
      <c r="W335" s="794"/>
      <c r="X335" s="794"/>
      <c r="Y335" s="794"/>
      <c r="Z335" s="794"/>
      <c r="AA335" s="794"/>
      <c r="AB335" s="794"/>
      <c r="AC335" s="794"/>
      <c r="AD335" s="794"/>
      <c r="AE335" s="794"/>
    </row>
    <row r="336" spans="1:41" ht="15" customHeight="1">
      <c r="B336" s="794" t="str">
        <f>IF(AO326=0,"","Error: revisar por filas la consistencia entre la columna Total y las desagregaciones")</f>
        <v/>
      </c>
      <c r="C336" s="794"/>
      <c r="D336" s="794"/>
      <c r="E336" s="794"/>
      <c r="F336" s="794"/>
      <c r="G336" s="794"/>
      <c r="H336" s="794"/>
      <c r="I336" s="794"/>
      <c r="J336" s="794"/>
      <c r="K336" s="794"/>
      <c r="L336" s="794"/>
      <c r="M336" s="794"/>
      <c r="N336" s="794"/>
      <c r="O336" s="794"/>
      <c r="P336" s="794"/>
      <c r="Q336" s="794"/>
      <c r="R336" s="794"/>
      <c r="S336" s="794"/>
      <c r="T336" s="794"/>
      <c r="U336" s="794"/>
      <c r="V336" s="794"/>
      <c r="W336" s="794"/>
      <c r="X336" s="794"/>
      <c r="Y336" s="794"/>
      <c r="Z336" s="794"/>
      <c r="AA336" s="794"/>
      <c r="AB336" s="794"/>
      <c r="AC336" s="794"/>
      <c r="AD336" s="794"/>
      <c r="AE336" s="697"/>
    </row>
    <row r="337" ht="15" customHeight="1"/>
  </sheetData>
  <sheetProtection algorithmName="SHA-512" hashValue="l91fWv5TX/kC8S01mOz7sSmLLCqxH1rAPqu0Y38/eR1NjiYwnPzbqZERSRPuKzkx0y1VPwnmI2T1bU9gQhG6hA==" saltValue="0XZwtk7NYAdPL8fZytl0bw==" spinCount="100000" sheet="1" objects="1" scenarios="1"/>
  <mergeCells count="743">
    <mergeCell ref="B336:AD336"/>
    <mergeCell ref="B81:AD81"/>
    <mergeCell ref="B108:AD108"/>
    <mergeCell ref="B137:AD137"/>
    <mergeCell ref="BB181:BB182"/>
    <mergeCell ref="B212:AD212"/>
    <mergeCell ref="B248:AD248"/>
    <mergeCell ref="B277:AD277"/>
    <mergeCell ref="B307:AD307"/>
    <mergeCell ref="B335:AE335"/>
    <mergeCell ref="B303:AE303"/>
    <mergeCell ref="B304:AE304"/>
    <mergeCell ref="B305:AE305"/>
    <mergeCell ref="B306:AE306"/>
    <mergeCell ref="AK317:AN317"/>
    <mergeCell ref="B329:AE329"/>
    <mergeCell ref="B332:AE332"/>
    <mergeCell ref="B333:AE333"/>
    <mergeCell ref="B334:AE334"/>
    <mergeCell ref="C328:E328"/>
    <mergeCell ref="F328:AD328"/>
    <mergeCell ref="C330:AD330"/>
    <mergeCell ref="C331:AD331"/>
    <mergeCell ref="AB325:AD325"/>
    <mergeCell ref="P326:R326"/>
    <mergeCell ref="S326:U326"/>
    <mergeCell ref="V326:X326"/>
    <mergeCell ref="Y326:AA326"/>
    <mergeCell ref="AB326:AD326"/>
    <mergeCell ref="D325:I325"/>
    <mergeCell ref="J325:O325"/>
    <mergeCell ref="P325:R325"/>
    <mergeCell ref="S325:U325"/>
    <mergeCell ref="V325:X325"/>
    <mergeCell ref="Y325:AA325"/>
    <mergeCell ref="B246:AE246"/>
    <mergeCell ref="B247:AE247"/>
    <mergeCell ref="AK258:AP258"/>
    <mergeCell ref="B270:AE270"/>
    <mergeCell ref="B273:AE273"/>
    <mergeCell ref="B274:AE274"/>
    <mergeCell ref="B275:AE275"/>
    <mergeCell ref="B276:AE276"/>
    <mergeCell ref="AK290:AN290"/>
    <mergeCell ref="S290:U290"/>
    <mergeCell ref="V290:X290"/>
    <mergeCell ref="Y290:AA290"/>
    <mergeCell ref="AB290:AD290"/>
    <mergeCell ref="C285:AD285"/>
    <mergeCell ref="C286:AD286"/>
    <mergeCell ref="B280:AD280"/>
    <mergeCell ref="B283:AD283"/>
    <mergeCell ref="C284:AD284"/>
    <mergeCell ref="AC267:AD267"/>
    <mergeCell ref="C269:E269"/>
    <mergeCell ref="F269:AD269"/>
    <mergeCell ref="C271:AD271"/>
    <mergeCell ref="C272:AD272"/>
    <mergeCell ref="B279:AD279"/>
    <mergeCell ref="B207:AE207"/>
    <mergeCell ref="B208:AE208"/>
    <mergeCell ref="B209:AE209"/>
    <mergeCell ref="B210:AE210"/>
    <mergeCell ref="B211:AE211"/>
    <mergeCell ref="AK221:AV221"/>
    <mergeCell ref="B233:AE233"/>
    <mergeCell ref="B244:AE244"/>
    <mergeCell ref="B245:AE245"/>
    <mergeCell ref="D239:P239"/>
    <mergeCell ref="R239:AD239"/>
    <mergeCell ref="D240:P240"/>
    <mergeCell ref="R240:AD240"/>
    <mergeCell ref="C242:AD242"/>
    <mergeCell ref="C243:AD243"/>
    <mergeCell ref="D236:P236"/>
    <mergeCell ref="R236:AD236"/>
    <mergeCell ref="D237:P237"/>
    <mergeCell ref="R237:AD237"/>
    <mergeCell ref="D238:P238"/>
    <mergeCell ref="R238:AD238"/>
    <mergeCell ref="AG181:AG182"/>
    <mergeCell ref="AH181:AH182"/>
    <mergeCell ref="AI181:AI182"/>
    <mergeCell ref="AJ181:AJ182"/>
    <mergeCell ref="AK181:AK182"/>
    <mergeCell ref="AL181:BA182"/>
    <mergeCell ref="AK118:AQ118"/>
    <mergeCell ref="B130:AE130"/>
    <mergeCell ref="B133:AE133"/>
    <mergeCell ref="B134:AE134"/>
    <mergeCell ref="B135:AE135"/>
    <mergeCell ref="B136:AE136"/>
    <mergeCell ref="B168:AE168"/>
    <mergeCell ref="B169:AE169"/>
    <mergeCell ref="B170:AE170"/>
    <mergeCell ref="O127:P127"/>
    <mergeCell ref="Q127:R127"/>
    <mergeCell ref="S127:T127"/>
    <mergeCell ref="U127:V127"/>
    <mergeCell ref="W127:X127"/>
    <mergeCell ref="Y127:Z127"/>
    <mergeCell ref="AA127:AB127"/>
    <mergeCell ref="AC127:AD127"/>
    <mergeCell ref="U126:V126"/>
    <mergeCell ref="B80:AE80"/>
    <mergeCell ref="AK89:AR89"/>
    <mergeCell ref="B101:AE101"/>
    <mergeCell ref="B104:AE104"/>
    <mergeCell ref="B105:AE105"/>
    <mergeCell ref="B106:AE106"/>
    <mergeCell ref="B107:AE107"/>
    <mergeCell ref="AK33:AT33"/>
    <mergeCell ref="AK47:AW47"/>
    <mergeCell ref="B59:AE59"/>
    <mergeCell ref="B76:AE76"/>
    <mergeCell ref="B77:AE77"/>
    <mergeCell ref="B78:AE78"/>
    <mergeCell ref="B79:AE79"/>
    <mergeCell ref="R71:AD71"/>
    <mergeCell ref="D72:P72"/>
    <mergeCell ref="Q72:AD72"/>
    <mergeCell ref="AC96:AD96"/>
    <mergeCell ref="D97:L97"/>
    <mergeCell ref="M97:N97"/>
    <mergeCell ref="O97:P97"/>
    <mergeCell ref="Q97:R97"/>
    <mergeCell ref="S97:T97"/>
    <mergeCell ref="U97:V97"/>
    <mergeCell ref="P299:R299"/>
    <mergeCell ref="S299:U299"/>
    <mergeCell ref="V299:X299"/>
    <mergeCell ref="Y299:AA299"/>
    <mergeCell ref="AB299:AD299"/>
    <mergeCell ref="D297:I297"/>
    <mergeCell ref="J297:O297"/>
    <mergeCell ref="P297:R297"/>
    <mergeCell ref="S297:U297"/>
    <mergeCell ref="V297:X297"/>
    <mergeCell ref="Y297:AA297"/>
    <mergeCell ref="AB297:AD297"/>
    <mergeCell ref="D298:I298"/>
    <mergeCell ref="J298:O298"/>
    <mergeCell ref="P298:R298"/>
    <mergeCell ref="S298:U298"/>
    <mergeCell ref="V298:X298"/>
    <mergeCell ref="Y298:AA298"/>
    <mergeCell ref="AB298:AD298"/>
    <mergeCell ref="D294:I294"/>
    <mergeCell ref="J294:O294"/>
    <mergeCell ref="P294:R294"/>
    <mergeCell ref="S294:U294"/>
    <mergeCell ref="V294:X294"/>
    <mergeCell ref="Y294:AA294"/>
    <mergeCell ref="AB294:AD294"/>
    <mergeCell ref="D295:I295"/>
    <mergeCell ref="J295:O295"/>
    <mergeCell ref="P295:R295"/>
    <mergeCell ref="S295:U295"/>
    <mergeCell ref="V295:X295"/>
    <mergeCell ref="Y295:AA295"/>
    <mergeCell ref="AB295:AD295"/>
    <mergeCell ref="V292:X292"/>
    <mergeCell ref="Y292:AA292"/>
    <mergeCell ref="AB292:AD292"/>
    <mergeCell ref="D293:I293"/>
    <mergeCell ref="J293:O293"/>
    <mergeCell ref="P293:R293"/>
    <mergeCell ref="S293:U293"/>
    <mergeCell ref="V293:X293"/>
    <mergeCell ref="Y293:AA293"/>
    <mergeCell ref="AB293:AD293"/>
    <mergeCell ref="D291:I291"/>
    <mergeCell ref="J291:O291"/>
    <mergeCell ref="P291:R291"/>
    <mergeCell ref="S291:U291"/>
    <mergeCell ref="V291:X291"/>
    <mergeCell ref="Y291:AA291"/>
    <mergeCell ref="AB291:AD291"/>
    <mergeCell ref="C311:AD311"/>
    <mergeCell ref="C312:AD312"/>
    <mergeCell ref="C301:AD301"/>
    <mergeCell ref="C302:AD302"/>
    <mergeCell ref="B309:AD309"/>
    <mergeCell ref="C310:AD310"/>
    <mergeCell ref="D296:I296"/>
    <mergeCell ref="J296:O296"/>
    <mergeCell ref="P296:R296"/>
    <mergeCell ref="S296:U296"/>
    <mergeCell ref="V296:X296"/>
    <mergeCell ref="Y296:AA296"/>
    <mergeCell ref="AB296:AD296"/>
    <mergeCell ref="D292:I292"/>
    <mergeCell ref="J292:O292"/>
    <mergeCell ref="P292:R292"/>
    <mergeCell ref="S292:U292"/>
    <mergeCell ref="D203:P203"/>
    <mergeCell ref="R203:AD203"/>
    <mergeCell ref="H180:M182"/>
    <mergeCell ref="N180:AD180"/>
    <mergeCell ref="N181:N182"/>
    <mergeCell ref="O181:AD181"/>
    <mergeCell ref="D183:G183"/>
    <mergeCell ref="H183:M183"/>
    <mergeCell ref="D184:G184"/>
    <mergeCell ref="H184:M184"/>
    <mergeCell ref="D185:G185"/>
    <mergeCell ref="H185:M185"/>
    <mergeCell ref="D186:G186"/>
    <mergeCell ref="H186:M186"/>
    <mergeCell ref="D187:G187"/>
    <mergeCell ref="H187:M187"/>
    <mergeCell ref="D188:G188"/>
    <mergeCell ref="H188:M188"/>
    <mergeCell ref="D189:G189"/>
    <mergeCell ref="H189:M189"/>
    <mergeCell ref="D190:G190"/>
    <mergeCell ref="H190:M190"/>
    <mergeCell ref="B194:AE194"/>
    <mergeCell ref="W126:X126"/>
    <mergeCell ref="Y126:Z126"/>
    <mergeCell ref="D202:P202"/>
    <mergeCell ref="R202:AD202"/>
    <mergeCell ref="D197:P197"/>
    <mergeCell ref="R197:AD197"/>
    <mergeCell ref="D198:P198"/>
    <mergeCell ref="R198:AD198"/>
    <mergeCell ref="D199:P199"/>
    <mergeCell ref="R199:AD199"/>
    <mergeCell ref="D200:P200"/>
    <mergeCell ref="R200:AD200"/>
    <mergeCell ref="D201:P201"/>
    <mergeCell ref="R201:AD201"/>
    <mergeCell ref="D196:P196"/>
    <mergeCell ref="R196:AD196"/>
    <mergeCell ref="C193:E193"/>
    <mergeCell ref="F193:AD193"/>
    <mergeCell ref="C180:G182"/>
    <mergeCell ref="C176:AD176"/>
    <mergeCell ref="C178:AD178"/>
    <mergeCell ref="D159:R159"/>
    <mergeCell ref="S159:X159"/>
    <mergeCell ref="C195:AD195"/>
    <mergeCell ref="B174:AD174"/>
    <mergeCell ref="C175:AD175"/>
    <mergeCell ref="D163:R163"/>
    <mergeCell ref="S163:X163"/>
    <mergeCell ref="C113:AD113"/>
    <mergeCell ref="C114:AD114"/>
    <mergeCell ref="C141:AD141"/>
    <mergeCell ref="D145:AD145"/>
    <mergeCell ref="D146:AD146"/>
    <mergeCell ref="D157:R157"/>
    <mergeCell ref="S157:X157"/>
    <mergeCell ref="Y157:AD157"/>
    <mergeCell ref="D158:R158"/>
    <mergeCell ref="S158:X158"/>
    <mergeCell ref="Y158:AD158"/>
    <mergeCell ref="C155:R155"/>
    <mergeCell ref="S155:X155"/>
    <mergeCell ref="Y155:AD155"/>
    <mergeCell ref="D156:R156"/>
    <mergeCell ref="S156:X156"/>
    <mergeCell ref="Y156:AD156"/>
    <mergeCell ref="Y159:AD159"/>
    <mergeCell ref="D160:R160"/>
    <mergeCell ref="S160:X160"/>
    <mergeCell ref="AB323:AD323"/>
    <mergeCell ref="D324:I324"/>
    <mergeCell ref="J324:O324"/>
    <mergeCell ref="P324:R324"/>
    <mergeCell ref="S324:U324"/>
    <mergeCell ref="V324:X324"/>
    <mergeCell ref="Y324:AA324"/>
    <mergeCell ref="AB324:AD324"/>
    <mergeCell ref="D323:I323"/>
    <mergeCell ref="J323:O323"/>
    <mergeCell ref="P323:R323"/>
    <mergeCell ref="S323:U323"/>
    <mergeCell ref="V323:X323"/>
    <mergeCell ref="Y323:AA323"/>
    <mergeCell ref="AB321:AD321"/>
    <mergeCell ref="D322:I322"/>
    <mergeCell ref="J322:O322"/>
    <mergeCell ref="P322:R322"/>
    <mergeCell ref="S322:U322"/>
    <mergeCell ref="V322:X322"/>
    <mergeCell ref="Y322:AA322"/>
    <mergeCell ref="AB322:AD322"/>
    <mergeCell ref="D321:I321"/>
    <mergeCell ref="J321:O321"/>
    <mergeCell ref="P321:R321"/>
    <mergeCell ref="S321:U321"/>
    <mergeCell ref="V321:X321"/>
    <mergeCell ref="Y321:AA321"/>
    <mergeCell ref="D318:I318"/>
    <mergeCell ref="J318:O318"/>
    <mergeCell ref="P318:R318"/>
    <mergeCell ref="S318:U318"/>
    <mergeCell ref="V318:X318"/>
    <mergeCell ref="Y318:AA318"/>
    <mergeCell ref="AB318:AD318"/>
    <mergeCell ref="AB319:AD319"/>
    <mergeCell ref="D320:I320"/>
    <mergeCell ref="J320:O320"/>
    <mergeCell ref="P320:R320"/>
    <mergeCell ref="S320:U320"/>
    <mergeCell ref="V320:X320"/>
    <mergeCell ref="Y320:AA320"/>
    <mergeCell ref="AB320:AD320"/>
    <mergeCell ref="D319:I319"/>
    <mergeCell ref="J319:O319"/>
    <mergeCell ref="P319:R319"/>
    <mergeCell ref="S319:U319"/>
    <mergeCell ref="V319:X319"/>
    <mergeCell ref="Y319:AA319"/>
    <mergeCell ref="C313:AD313"/>
    <mergeCell ref="C315:I317"/>
    <mergeCell ref="J315:O317"/>
    <mergeCell ref="P315:AD315"/>
    <mergeCell ref="P316:R317"/>
    <mergeCell ref="S316:AD316"/>
    <mergeCell ref="S317:U317"/>
    <mergeCell ref="V317:X317"/>
    <mergeCell ref="Y317:AA317"/>
    <mergeCell ref="AB317:AD317"/>
    <mergeCell ref="Q267:R267"/>
    <mergeCell ref="S267:T267"/>
    <mergeCell ref="U267:V267"/>
    <mergeCell ref="W267:X267"/>
    <mergeCell ref="Y267:Z267"/>
    <mergeCell ref="AA267:AB267"/>
    <mergeCell ref="C281:AD281"/>
    <mergeCell ref="C288:I290"/>
    <mergeCell ref="J288:O290"/>
    <mergeCell ref="P288:AD288"/>
    <mergeCell ref="P289:R290"/>
    <mergeCell ref="S289:AD289"/>
    <mergeCell ref="D266:J266"/>
    <mergeCell ref="K266:P266"/>
    <mergeCell ref="Q266:R266"/>
    <mergeCell ref="S266:T266"/>
    <mergeCell ref="U266:V266"/>
    <mergeCell ref="W266:X266"/>
    <mergeCell ref="Y266:Z266"/>
    <mergeCell ref="AA266:AB266"/>
    <mergeCell ref="AC266:AD266"/>
    <mergeCell ref="D265:J265"/>
    <mergeCell ref="K265:P265"/>
    <mergeCell ref="Q265:R265"/>
    <mergeCell ref="S265:T265"/>
    <mergeCell ref="U265:V265"/>
    <mergeCell ref="W265:X265"/>
    <mergeCell ref="Y265:Z265"/>
    <mergeCell ref="AA265:AB265"/>
    <mergeCell ref="AC265:AD265"/>
    <mergeCell ref="Y263:Z263"/>
    <mergeCell ref="AA263:AB263"/>
    <mergeCell ref="AC263:AD263"/>
    <mergeCell ref="D264:J264"/>
    <mergeCell ref="K264:P264"/>
    <mergeCell ref="Q264:R264"/>
    <mergeCell ref="S264:T264"/>
    <mergeCell ref="U264:V264"/>
    <mergeCell ref="W264:X264"/>
    <mergeCell ref="Y264:Z264"/>
    <mergeCell ref="D263:J263"/>
    <mergeCell ref="K263:P263"/>
    <mergeCell ref="Q263:R263"/>
    <mergeCell ref="S263:T263"/>
    <mergeCell ref="U263:V263"/>
    <mergeCell ref="W263:X263"/>
    <mergeCell ref="AA264:AB264"/>
    <mergeCell ref="AC264:AD264"/>
    <mergeCell ref="D262:J262"/>
    <mergeCell ref="K262:P262"/>
    <mergeCell ref="Q262:R262"/>
    <mergeCell ref="S262:T262"/>
    <mergeCell ref="U262:V262"/>
    <mergeCell ref="W262:X262"/>
    <mergeCell ref="Y262:Z262"/>
    <mergeCell ref="AA262:AB262"/>
    <mergeCell ref="AC262:AD262"/>
    <mergeCell ref="D261:J261"/>
    <mergeCell ref="K261:P261"/>
    <mergeCell ref="Q261:R261"/>
    <mergeCell ref="S261:T261"/>
    <mergeCell ref="U261:V261"/>
    <mergeCell ref="W261:X261"/>
    <mergeCell ref="Y261:Z261"/>
    <mergeCell ref="AA261:AB261"/>
    <mergeCell ref="AC261:AD261"/>
    <mergeCell ref="Y259:Z259"/>
    <mergeCell ref="AA259:AB259"/>
    <mergeCell ref="AC259:AD259"/>
    <mergeCell ref="D260:J260"/>
    <mergeCell ref="K260:P260"/>
    <mergeCell ref="Q260:R260"/>
    <mergeCell ref="S260:T260"/>
    <mergeCell ref="U260:V260"/>
    <mergeCell ref="W260:X260"/>
    <mergeCell ref="Y260:Z260"/>
    <mergeCell ref="D259:J259"/>
    <mergeCell ref="K259:P259"/>
    <mergeCell ref="Q259:R259"/>
    <mergeCell ref="S259:T259"/>
    <mergeCell ref="U259:V259"/>
    <mergeCell ref="W259:X259"/>
    <mergeCell ref="AA260:AB260"/>
    <mergeCell ref="AC260:AD260"/>
    <mergeCell ref="S258:T258"/>
    <mergeCell ref="U258:V258"/>
    <mergeCell ref="W258:X258"/>
    <mergeCell ref="Y258:Z258"/>
    <mergeCell ref="AA258:AB258"/>
    <mergeCell ref="AC258:AD258"/>
    <mergeCell ref="B250:AD250"/>
    <mergeCell ref="C251:AD251"/>
    <mergeCell ref="C254:AD254"/>
    <mergeCell ref="C256:J258"/>
    <mergeCell ref="K256:P258"/>
    <mergeCell ref="Q256:AD256"/>
    <mergeCell ref="Q257:R258"/>
    <mergeCell ref="S257:AD257"/>
    <mergeCell ref="C252:AD252"/>
    <mergeCell ref="C253:AD253"/>
    <mergeCell ref="C177:AD177"/>
    <mergeCell ref="D228:Q228"/>
    <mergeCell ref="D229:Q229"/>
    <mergeCell ref="C232:E232"/>
    <mergeCell ref="F232:AD232"/>
    <mergeCell ref="C234:AD234"/>
    <mergeCell ref="D235:P235"/>
    <mergeCell ref="R235:AD235"/>
    <mergeCell ref="D222:Q222"/>
    <mergeCell ref="D223:Q223"/>
    <mergeCell ref="D224:Q224"/>
    <mergeCell ref="D225:Q225"/>
    <mergeCell ref="D226:Q226"/>
    <mergeCell ref="D227:Q227"/>
    <mergeCell ref="B213:AD213"/>
    <mergeCell ref="C214:AD214"/>
    <mergeCell ref="C220:Q221"/>
    <mergeCell ref="R220:AD220"/>
    <mergeCell ref="C205:AD205"/>
    <mergeCell ref="C206:AD206"/>
    <mergeCell ref="C215:AD215"/>
    <mergeCell ref="C216:AD216"/>
    <mergeCell ref="C218:AD218"/>
    <mergeCell ref="C217:AD217"/>
    <mergeCell ref="Y160:AD160"/>
    <mergeCell ref="Y163:AD163"/>
    <mergeCell ref="Y164:AD164"/>
    <mergeCell ref="C166:AD166"/>
    <mergeCell ref="C167:AD167"/>
    <mergeCell ref="D161:R161"/>
    <mergeCell ref="S161:X161"/>
    <mergeCell ref="Y161:AD161"/>
    <mergeCell ref="D162:R162"/>
    <mergeCell ref="S162:X162"/>
    <mergeCell ref="Y162:AD162"/>
    <mergeCell ref="B152:AD152"/>
    <mergeCell ref="C153:AD153"/>
    <mergeCell ref="B142:AD142"/>
    <mergeCell ref="C143:AD143"/>
    <mergeCell ref="C144:AD144"/>
    <mergeCell ref="C129:F129"/>
    <mergeCell ref="G129:AD129"/>
    <mergeCell ref="C131:AD131"/>
    <mergeCell ref="C132:AD132"/>
    <mergeCell ref="B139:AD139"/>
    <mergeCell ref="B140:AD140"/>
    <mergeCell ref="D147:AD147"/>
    <mergeCell ref="D148:AD148"/>
    <mergeCell ref="C150:AD150"/>
    <mergeCell ref="D149:AD149"/>
    <mergeCell ref="AA126:AB126"/>
    <mergeCell ref="AC126:AD126"/>
    <mergeCell ref="Y124:Z124"/>
    <mergeCell ref="AA124:AB124"/>
    <mergeCell ref="AC124:AD124"/>
    <mergeCell ref="D125:N125"/>
    <mergeCell ref="O125:P125"/>
    <mergeCell ref="Q125:R125"/>
    <mergeCell ref="S125:T125"/>
    <mergeCell ref="U125:V125"/>
    <mergeCell ref="W125:X125"/>
    <mergeCell ref="Y125:Z125"/>
    <mergeCell ref="D124:N124"/>
    <mergeCell ref="O124:P124"/>
    <mergeCell ref="Q124:R124"/>
    <mergeCell ref="S124:T124"/>
    <mergeCell ref="U124:V124"/>
    <mergeCell ref="W124:X124"/>
    <mergeCell ref="AA125:AB125"/>
    <mergeCell ref="AC125:AD125"/>
    <mergeCell ref="D126:N126"/>
    <mergeCell ref="O126:P126"/>
    <mergeCell ref="Q126:R126"/>
    <mergeCell ref="S126:T126"/>
    <mergeCell ref="D123:N123"/>
    <mergeCell ref="O123:P123"/>
    <mergeCell ref="Q123:R123"/>
    <mergeCell ref="S123:T123"/>
    <mergeCell ref="U123:V123"/>
    <mergeCell ref="W123:X123"/>
    <mergeCell ref="Y123:Z123"/>
    <mergeCell ref="AA123:AB123"/>
    <mergeCell ref="AC123:AD123"/>
    <mergeCell ref="D122:N122"/>
    <mergeCell ref="O122:P122"/>
    <mergeCell ref="Q122:R122"/>
    <mergeCell ref="S122:T122"/>
    <mergeCell ref="U122:V122"/>
    <mergeCell ref="W122:X122"/>
    <mergeCell ref="Y122:Z122"/>
    <mergeCell ref="AA122:AB122"/>
    <mergeCell ref="AC122:AD122"/>
    <mergeCell ref="Y120:Z120"/>
    <mergeCell ref="AA120:AB120"/>
    <mergeCell ref="AC120:AD120"/>
    <mergeCell ref="D121:N121"/>
    <mergeCell ref="O121:P121"/>
    <mergeCell ref="Q121:R121"/>
    <mergeCell ref="S121:T121"/>
    <mergeCell ref="U121:V121"/>
    <mergeCell ref="W121:X121"/>
    <mergeCell ref="Y121:Z121"/>
    <mergeCell ref="D120:N120"/>
    <mergeCell ref="O120:P120"/>
    <mergeCell ref="Q120:R120"/>
    <mergeCell ref="S120:T120"/>
    <mergeCell ref="U120:V120"/>
    <mergeCell ref="W120:X120"/>
    <mergeCell ref="AA121:AB121"/>
    <mergeCell ref="AC121:AD121"/>
    <mergeCell ref="D119:N119"/>
    <mergeCell ref="O119:P119"/>
    <mergeCell ref="Q119:R119"/>
    <mergeCell ref="S119:T119"/>
    <mergeCell ref="U119:V119"/>
    <mergeCell ref="W119:X119"/>
    <mergeCell ref="Y119:Z119"/>
    <mergeCell ref="AA119:AB119"/>
    <mergeCell ref="AC119:AD119"/>
    <mergeCell ref="C115:AD115"/>
    <mergeCell ref="C117:N118"/>
    <mergeCell ref="O117:AD117"/>
    <mergeCell ref="O118:P118"/>
    <mergeCell ref="Q118:R118"/>
    <mergeCell ref="S118:T118"/>
    <mergeCell ref="U118:V118"/>
    <mergeCell ref="W118:X118"/>
    <mergeCell ref="Y118:Z118"/>
    <mergeCell ref="AA118:AB118"/>
    <mergeCell ref="AC118:AD118"/>
    <mergeCell ref="C112:AD112"/>
    <mergeCell ref="Y98:Z98"/>
    <mergeCell ref="AA98:AB98"/>
    <mergeCell ref="AC98:AD98"/>
    <mergeCell ref="C100:E100"/>
    <mergeCell ref="F100:AD100"/>
    <mergeCell ref="C102:AD102"/>
    <mergeCell ref="M98:N98"/>
    <mergeCell ref="O98:P98"/>
    <mergeCell ref="Q98:R98"/>
    <mergeCell ref="S98:T98"/>
    <mergeCell ref="U98:V98"/>
    <mergeCell ref="W98:X98"/>
    <mergeCell ref="C103:AD103"/>
    <mergeCell ref="B110:AD110"/>
    <mergeCell ref="C111:AD111"/>
    <mergeCell ref="W97:X97"/>
    <mergeCell ref="Y97:Z97"/>
    <mergeCell ref="AA97:AB97"/>
    <mergeCell ref="AC97:AD97"/>
    <mergeCell ref="D96:L96"/>
    <mergeCell ref="M96:N96"/>
    <mergeCell ref="O96:P96"/>
    <mergeCell ref="Q96:R96"/>
    <mergeCell ref="S96:T96"/>
    <mergeCell ref="U96:V96"/>
    <mergeCell ref="W96:X96"/>
    <mergeCell ref="Y96:Z96"/>
    <mergeCell ref="AA96:AB96"/>
    <mergeCell ref="AC94:AD94"/>
    <mergeCell ref="D95:L95"/>
    <mergeCell ref="M95:N95"/>
    <mergeCell ref="O95:P95"/>
    <mergeCell ref="Q95:R95"/>
    <mergeCell ref="S95:T95"/>
    <mergeCell ref="U95:V95"/>
    <mergeCell ref="W95:X95"/>
    <mergeCell ref="Y95:Z95"/>
    <mergeCell ref="AA95:AB95"/>
    <mergeCell ref="AC95:AD95"/>
    <mergeCell ref="D94:L94"/>
    <mergeCell ref="M94:N94"/>
    <mergeCell ref="O94:P94"/>
    <mergeCell ref="Q94:R94"/>
    <mergeCell ref="S94:T94"/>
    <mergeCell ref="U94:V94"/>
    <mergeCell ref="W94:X94"/>
    <mergeCell ref="Y94:Z94"/>
    <mergeCell ref="AA94:AB94"/>
    <mergeCell ref="AC92:AD92"/>
    <mergeCell ref="D93:L93"/>
    <mergeCell ref="M93:N93"/>
    <mergeCell ref="O93:P93"/>
    <mergeCell ref="Q93:R93"/>
    <mergeCell ref="S93:T93"/>
    <mergeCell ref="U93:V93"/>
    <mergeCell ref="W93:X93"/>
    <mergeCell ref="Y93:Z93"/>
    <mergeCell ref="AA93:AB93"/>
    <mergeCell ref="AC93:AD93"/>
    <mergeCell ref="D92:L92"/>
    <mergeCell ref="M92:N92"/>
    <mergeCell ref="O92:P92"/>
    <mergeCell ref="Q92:R92"/>
    <mergeCell ref="S92:T92"/>
    <mergeCell ref="U92:V92"/>
    <mergeCell ref="W92:X92"/>
    <mergeCell ref="Y92:Z92"/>
    <mergeCell ref="AA92:AB92"/>
    <mergeCell ref="AC90:AD90"/>
    <mergeCell ref="D91:L91"/>
    <mergeCell ref="M91:N91"/>
    <mergeCell ref="O91:P91"/>
    <mergeCell ref="Q91:R91"/>
    <mergeCell ref="S91:T91"/>
    <mergeCell ref="U91:V91"/>
    <mergeCell ref="W91:X91"/>
    <mergeCell ref="Y91:Z91"/>
    <mergeCell ref="AA91:AB91"/>
    <mergeCell ref="AC91:AD91"/>
    <mergeCell ref="D90:L90"/>
    <mergeCell ref="M90:N90"/>
    <mergeCell ref="O90:P90"/>
    <mergeCell ref="Q90:R90"/>
    <mergeCell ref="S90:T90"/>
    <mergeCell ref="U90:V90"/>
    <mergeCell ref="W90:X90"/>
    <mergeCell ref="Y90:Z90"/>
    <mergeCell ref="AA90:AB90"/>
    <mergeCell ref="C88:L89"/>
    <mergeCell ref="M88:AD88"/>
    <mergeCell ref="M89:N89"/>
    <mergeCell ref="O89:P89"/>
    <mergeCell ref="Q89:R89"/>
    <mergeCell ref="S89:T89"/>
    <mergeCell ref="U89:V89"/>
    <mergeCell ref="W89:X89"/>
    <mergeCell ref="Y89:Z89"/>
    <mergeCell ref="AA89:AB89"/>
    <mergeCell ref="AC89:AD89"/>
    <mergeCell ref="C83:AD83"/>
    <mergeCell ref="C84:AD84"/>
    <mergeCell ref="C85:AD85"/>
    <mergeCell ref="C86:AD86"/>
    <mergeCell ref="C74:AD74"/>
    <mergeCell ref="C75:AD75"/>
    <mergeCell ref="B82:AD82"/>
    <mergeCell ref="C58:E58"/>
    <mergeCell ref="F58:AD58"/>
    <mergeCell ref="D64:P64"/>
    <mergeCell ref="R64:AD64"/>
    <mergeCell ref="D65:P65"/>
    <mergeCell ref="R65:AD65"/>
    <mergeCell ref="D66:P66"/>
    <mergeCell ref="R66:AD66"/>
    <mergeCell ref="D67:P67"/>
    <mergeCell ref="R67:AD67"/>
    <mergeCell ref="D68:P68"/>
    <mergeCell ref="R68:AD68"/>
    <mergeCell ref="D69:P69"/>
    <mergeCell ref="R69:AD69"/>
    <mergeCell ref="D70:P70"/>
    <mergeCell ref="R70:AD70"/>
    <mergeCell ref="D71:P71"/>
    <mergeCell ref="C45:Q47"/>
    <mergeCell ref="R45:AD45"/>
    <mergeCell ref="R46:AD46"/>
    <mergeCell ref="D48:Q48"/>
    <mergeCell ref="D49:Q49"/>
    <mergeCell ref="D50:Q50"/>
    <mergeCell ref="D51:Q51"/>
    <mergeCell ref="D52:Q52"/>
    <mergeCell ref="D53:Q53"/>
    <mergeCell ref="D54:Q54"/>
    <mergeCell ref="D55:Q55"/>
    <mergeCell ref="C60:AD60"/>
    <mergeCell ref="D61:P61"/>
    <mergeCell ref="R61:AD61"/>
    <mergeCell ref="D62:P62"/>
    <mergeCell ref="R62:AD62"/>
    <mergeCell ref="D63:P63"/>
    <mergeCell ref="R63:AD63"/>
    <mergeCell ref="D41:M41"/>
    <mergeCell ref="N41:S41"/>
    <mergeCell ref="AA44:AD44"/>
    <mergeCell ref="D38:M38"/>
    <mergeCell ref="N38:S38"/>
    <mergeCell ref="D39:M39"/>
    <mergeCell ref="N39:S39"/>
    <mergeCell ref="D40:M40"/>
    <mergeCell ref="N40:S40"/>
    <mergeCell ref="D35:M35"/>
    <mergeCell ref="N35:S35"/>
    <mergeCell ref="D36:M36"/>
    <mergeCell ref="N36:S36"/>
    <mergeCell ref="D37:M37"/>
    <mergeCell ref="N37:S37"/>
    <mergeCell ref="C31:M33"/>
    <mergeCell ref="N31:S33"/>
    <mergeCell ref="T31:AD31"/>
    <mergeCell ref="T32:T33"/>
    <mergeCell ref="U32:AD32"/>
    <mergeCell ref="D34:M34"/>
    <mergeCell ref="N34:S34"/>
    <mergeCell ref="AA30:AD30"/>
    <mergeCell ref="C16:AD16"/>
    <mergeCell ref="C17:AD17"/>
    <mergeCell ref="C18:AD18"/>
    <mergeCell ref="B20:AD20"/>
    <mergeCell ref="B21:AD21"/>
    <mergeCell ref="C22:AD22"/>
    <mergeCell ref="B24:AD24"/>
    <mergeCell ref="C25:AD25"/>
    <mergeCell ref="C26:AD26"/>
    <mergeCell ref="C28:AD28"/>
    <mergeCell ref="C27:AD27"/>
    <mergeCell ref="C14:AD14"/>
    <mergeCell ref="C15:AD15"/>
    <mergeCell ref="B10:AD10"/>
    <mergeCell ref="C11:AD11"/>
    <mergeCell ref="C12:AD12"/>
    <mergeCell ref="C13:AD13"/>
    <mergeCell ref="B1:AD1"/>
    <mergeCell ref="B3:AD3"/>
    <mergeCell ref="B5:AD5"/>
    <mergeCell ref="AA7:AD7"/>
    <mergeCell ref="B8:L8"/>
    <mergeCell ref="N8:O8"/>
  </mergeCells>
  <conditionalFormatting sqref="F58:AD58">
    <cfRule type="expression" dxfId="242" priority="26">
      <formula>AND($AI$56&gt;0,$F$58="")</formula>
    </cfRule>
    <cfRule type="expression" dxfId="241" priority="27">
      <formula>$AI$56=0</formula>
    </cfRule>
  </conditionalFormatting>
  <conditionalFormatting sqref="F100:AD100">
    <cfRule type="expression" dxfId="240" priority="23">
      <formula>$AI$98=0</formula>
    </cfRule>
    <cfRule type="expression" dxfId="239" priority="24">
      <formula>AND($AI$98&gt;0,$F$100="")</formula>
    </cfRule>
  </conditionalFormatting>
  <conditionalFormatting sqref="F193:AD193">
    <cfRule type="expression" dxfId="238" priority="14">
      <formula>AND($AI$191&gt;0,$F$193="")</formula>
    </cfRule>
    <cfRule type="expression" dxfId="237" priority="15">
      <formula>$AI$191=0</formula>
    </cfRule>
  </conditionalFormatting>
  <conditionalFormatting sqref="F232:AD232">
    <cfRule type="expression" dxfId="236" priority="11">
      <formula>AND($AI$230&gt;0,$F$232="")</formula>
    </cfRule>
    <cfRule type="expression" dxfId="235" priority="12">
      <formula>$AI$230=0</formula>
    </cfRule>
  </conditionalFormatting>
  <conditionalFormatting sqref="F269:AD269">
    <cfRule type="expression" dxfId="234" priority="9">
      <formula>AND($AI$267&gt;0,$F$269="")</formula>
    </cfRule>
    <cfRule type="expression" dxfId="233" priority="10">
      <formula>$AI$267=0</formula>
    </cfRule>
  </conditionalFormatting>
  <conditionalFormatting sqref="F328:AD328">
    <cfRule type="expression" dxfId="232" priority="5">
      <formula>AND($AI$326&gt;0,$F$328="")</formula>
    </cfRule>
    <cfRule type="expression" dxfId="231" priority="6">
      <formula>$AI$326=0</formula>
    </cfRule>
  </conditionalFormatting>
  <conditionalFormatting sqref="G129:AD129">
    <cfRule type="expression" dxfId="230" priority="19">
      <formula>AND($AI$127&gt;0,$G$129="")</formula>
    </cfRule>
    <cfRule type="expression" dxfId="229" priority="20">
      <formula>$AI$127=0</formula>
    </cfRule>
  </conditionalFormatting>
  <conditionalFormatting sqref="M90:AD97">
    <cfRule type="expression" dxfId="228" priority="21">
      <formula>OR($N34=2,$N34=9)</formula>
    </cfRule>
  </conditionalFormatting>
  <conditionalFormatting sqref="N183:AD190">
    <cfRule type="expression" dxfId="227" priority="16">
      <formula>OR($H183=2,$H183=9)</formula>
    </cfRule>
  </conditionalFormatting>
  <conditionalFormatting sqref="O119:AD126">
    <cfRule type="expression" dxfId="226" priority="18">
      <formula>OR($N34=2,$N34=9)</formula>
    </cfRule>
  </conditionalFormatting>
  <conditionalFormatting sqref="P291:AD298">
    <cfRule type="expression" dxfId="225" priority="8">
      <formula>OR($J291=2,$J291=9)</formula>
    </cfRule>
  </conditionalFormatting>
  <conditionalFormatting sqref="P318:AD325">
    <cfRule type="expression" dxfId="224" priority="7">
      <formula>OR($J318=2,$J318=9)</formula>
    </cfRule>
  </conditionalFormatting>
  <conditionalFormatting sqref="Q259:AD266">
    <cfRule type="expression" dxfId="223" priority="2">
      <formula>OR($K259=2,$K259=9)</formula>
    </cfRule>
  </conditionalFormatting>
  <conditionalFormatting sqref="R48:AD55">
    <cfRule type="expression" dxfId="222" priority="22">
      <formula>OR($N34=2,$N34=9)</formula>
    </cfRule>
  </conditionalFormatting>
  <conditionalFormatting sqref="R222:AD229">
    <cfRule type="expression" dxfId="221" priority="13">
      <formula>OR($H183=2,$H183=9)</formula>
    </cfRule>
  </conditionalFormatting>
  <conditionalFormatting sqref="T34:AD41">
    <cfRule type="expression" dxfId="220" priority="25">
      <formula>OR($N34=2,$N34=9)</formula>
    </cfRule>
  </conditionalFormatting>
  <conditionalFormatting sqref="Y156:AD163">
    <cfRule type="expression" dxfId="219" priority="17">
      <formula>OR($S156=2,$S156=9)</formula>
    </cfRule>
  </conditionalFormatting>
  <dataValidations count="1">
    <dataValidation type="list" allowBlank="1" showInputMessage="1" showErrorMessage="1" sqref="N34:S41 S156:X163 H183:M190 K259:P266 J291:O298 J318:O325" xr:uid="{AD777B0B-0E24-4316-85AF-A0D8116EBAE6}">
      <formula1>"1,2,9"</formula1>
    </dataValidation>
  </dataValidations>
  <hyperlinks>
    <hyperlink ref="AA7:AD7" location="Índice!B43" display="Índice" xr:uid="{FD39B088-5241-4793-9B29-52680BCFD6B1}"/>
  </hyperlinks>
  <printOptions horizontalCentered="1"/>
  <pageMargins left="0.70866141732283472" right="0.70866141732283472" top="0.74803149606299213" bottom="0.74803149606299213" header="0.31496062992125984" footer="0.31496062992125984"/>
  <pageSetup scale="75" orientation="portrait" r:id="rId1"/>
  <headerFooter>
    <oddHeader>&amp;CMódulo 2 Sección XV
Cuestionario</oddHeader>
    <oddFooter>&amp;LCenso Nacional de Sistemas Penitenciarios Estatales 2024&amp;R&amp;P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3B8708-B583-4380-8418-11D4B0648901}">
  <sheetPr codeName="Hoja2"/>
  <dimension ref="A1:DE574"/>
  <sheetViews>
    <sheetView showGridLines="0" tabSelected="1" topLeftCell="A88" zoomScaleNormal="100" workbookViewId="0">
      <selection activeCell="V122" sqref="V122"/>
    </sheetView>
  </sheetViews>
  <sheetFormatPr baseColWidth="10" defaultColWidth="0" defaultRowHeight="15" customHeight="1" zeroHeight="1"/>
  <cols>
    <col min="1" max="1" width="5.7109375" style="3" customWidth="1"/>
    <col min="2" max="30" width="3.7109375" style="3" customWidth="1"/>
    <col min="31" max="31" width="5.7109375" style="3" customWidth="1"/>
    <col min="32" max="33" width="11.42578125" style="3" hidden="1" customWidth="1"/>
    <col min="34" max="109" width="5.7109375" hidden="1" customWidth="1"/>
    <col min="110" max="16384" width="11.42578125" hidden="1"/>
  </cols>
  <sheetData>
    <row r="1" spans="2:109" ht="173.25" customHeight="1">
      <c r="B1" s="718" t="s">
        <v>0</v>
      </c>
      <c r="C1" s="719"/>
      <c r="D1" s="719"/>
      <c r="E1" s="719"/>
      <c r="F1" s="719"/>
      <c r="G1" s="719"/>
      <c r="H1" s="719"/>
      <c r="I1" s="719"/>
      <c r="J1" s="719"/>
      <c r="K1" s="719"/>
      <c r="L1" s="719"/>
      <c r="M1" s="719"/>
      <c r="N1" s="719"/>
      <c r="O1" s="719"/>
      <c r="P1" s="719"/>
      <c r="Q1" s="719"/>
      <c r="R1" s="719"/>
      <c r="S1" s="719"/>
      <c r="T1" s="719"/>
      <c r="U1" s="719"/>
      <c r="V1" s="719"/>
      <c r="W1" s="719"/>
      <c r="X1" s="719"/>
      <c r="Y1" s="719"/>
      <c r="Z1" s="719"/>
      <c r="AA1" s="719"/>
      <c r="AB1" s="719"/>
      <c r="AC1" s="719"/>
      <c r="AD1" s="719"/>
    </row>
    <row r="2" spans="2:109" ht="15" customHeight="1">
      <c r="AH2" s="626" t="s">
        <v>44</v>
      </c>
      <c r="AI2" s="627" t="s">
        <v>45</v>
      </c>
      <c r="AK2" s="628"/>
      <c r="AL2" s="626" t="s">
        <v>46</v>
      </c>
      <c r="AM2" s="627" t="s">
        <v>47</v>
      </c>
      <c r="AO2" s="628"/>
      <c r="AP2" s="628"/>
      <c r="BW2" s="629"/>
      <c r="BX2" s="628"/>
      <c r="BY2" s="628"/>
    </row>
    <row r="3" spans="2:109" ht="45" customHeight="1">
      <c r="B3" s="720" t="s">
        <v>1</v>
      </c>
      <c r="C3" s="721"/>
      <c r="D3" s="721"/>
      <c r="E3" s="721"/>
      <c r="F3" s="721"/>
      <c r="G3" s="721"/>
      <c r="H3" s="721"/>
      <c r="I3" s="721"/>
      <c r="J3" s="721"/>
      <c r="K3" s="721"/>
      <c r="L3" s="721"/>
      <c r="M3" s="721"/>
      <c r="N3" s="721"/>
      <c r="O3" s="721"/>
      <c r="P3" s="721"/>
      <c r="Q3" s="721"/>
      <c r="R3" s="721"/>
      <c r="S3" s="721"/>
      <c r="T3" s="721"/>
      <c r="U3" s="721"/>
      <c r="V3" s="721"/>
      <c r="W3" s="721"/>
      <c r="X3" s="721"/>
      <c r="Y3" s="721"/>
      <c r="Z3" s="721"/>
      <c r="AA3" s="721"/>
      <c r="AB3" s="721"/>
      <c r="AC3" s="721"/>
      <c r="AD3" s="721"/>
      <c r="AH3" s="630"/>
      <c r="AI3" s="630"/>
      <c r="AK3" s="628"/>
      <c r="AL3" s="631"/>
      <c r="AM3" s="631"/>
      <c r="AN3" s="628"/>
      <c r="AO3" s="628"/>
      <c r="AP3" s="628">
        <v>1</v>
      </c>
      <c r="AQ3" s="632">
        <v>201</v>
      </c>
      <c r="AR3" s="632">
        <v>202</v>
      </c>
      <c r="AS3" s="632">
        <v>203</v>
      </c>
      <c r="AT3" s="632">
        <v>204</v>
      </c>
      <c r="AU3" s="632">
        <v>205</v>
      </c>
      <c r="AV3" s="632">
        <v>206</v>
      </c>
      <c r="AW3" s="632">
        <v>207</v>
      </c>
      <c r="AX3" s="632">
        <v>208</v>
      </c>
      <c r="AY3" s="632">
        <v>209</v>
      </c>
      <c r="AZ3" s="632">
        <v>210</v>
      </c>
      <c r="BA3" s="632">
        <v>211</v>
      </c>
      <c r="BB3" s="632">
        <v>212</v>
      </c>
      <c r="BC3" s="632">
        <v>213</v>
      </c>
      <c r="BD3" s="632">
        <v>214</v>
      </c>
      <c r="BE3" s="632">
        <v>215</v>
      </c>
      <c r="BF3" s="632">
        <v>216</v>
      </c>
      <c r="BG3" s="632">
        <v>217</v>
      </c>
      <c r="BH3" s="632">
        <v>218</v>
      </c>
      <c r="BI3" s="632">
        <v>219</v>
      </c>
      <c r="BJ3" s="632">
        <v>220</v>
      </c>
      <c r="BK3" s="632">
        <v>221</v>
      </c>
      <c r="BL3" s="632">
        <v>222</v>
      </c>
      <c r="BM3" s="632">
        <v>223</v>
      </c>
      <c r="BN3" s="632">
        <v>224</v>
      </c>
      <c r="BO3" s="632">
        <v>225</v>
      </c>
      <c r="BP3" s="632">
        <v>226</v>
      </c>
      <c r="BQ3" s="632">
        <v>227</v>
      </c>
      <c r="BR3" s="632">
        <v>228</v>
      </c>
      <c r="BS3" s="632">
        <v>229</v>
      </c>
      <c r="BT3" s="632">
        <v>230</v>
      </c>
      <c r="BU3" s="632">
        <v>231</v>
      </c>
      <c r="BV3" s="632">
        <v>232</v>
      </c>
      <c r="BW3" s="629"/>
      <c r="BX3" s="628"/>
      <c r="BY3" s="628"/>
      <c r="BZ3" s="632">
        <v>201</v>
      </c>
      <c r="CA3" s="632">
        <v>202</v>
      </c>
      <c r="CB3" s="632">
        <v>203</v>
      </c>
      <c r="CC3" s="632">
        <v>204</v>
      </c>
      <c r="CD3" s="632">
        <v>205</v>
      </c>
      <c r="CE3" s="632">
        <v>206</v>
      </c>
      <c r="CF3" s="632">
        <v>207</v>
      </c>
      <c r="CG3" s="632">
        <v>208</v>
      </c>
      <c r="CH3" s="632">
        <v>209</v>
      </c>
      <c r="CI3" s="632">
        <v>210</v>
      </c>
      <c r="CJ3" s="632">
        <v>211</v>
      </c>
      <c r="CK3" s="632">
        <v>212</v>
      </c>
      <c r="CL3" s="632">
        <v>213</v>
      </c>
      <c r="CM3" s="632">
        <v>214</v>
      </c>
      <c r="CN3" s="632">
        <v>215</v>
      </c>
      <c r="CO3" s="632">
        <v>216</v>
      </c>
      <c r="CP3" s="632">
        <v>217</v>
      </c>
      <c r="CQ3" s="632">
        <v>218</v>
      </c>
      <c r="CR3" s="632">
        <v>219</v>
      </c>
      <c r="CS3" s="632">
        <v>220</v>
      </c>
      <c r="CT3" s="632">
        <v>221</v>
      </c>
      <c r="CU3" s="632">
        <v>222</v>
      </c>
      <c r="CV3" s="632">
        <v>223</v>
      </c>
      <c r="CW3" s="632">
        <v>224</v>
      </c>
      <c r="CX3" s="632">
        <v>225</v>
      </c>
      <c r="CY3" s="632">
        <v>226</v>
      </c>
      <c r="CZ3" s="632">
        <v>227</v>
      </c>
      <c r="DA3" s="632">
        <v>228</v>
      </c>
      <c r="DB3" s="632">
        <v>229</v>
      </c>
      <c r="DC3" s="632">
        <v>230</v>
      </c>
      <c r="DD3" s="632">
        <v>231</v>
      </c>
      <c r="DE3" s="632">
        <v>232</v>
      </c>
    </row>
    <row r="4" spans="2:109" ht="15" customHeight="1">
      <c r="AH4" s="633" t="s">
        <v>48</v>
      </c>
      <c r="AI4" s="631">
        <v>201</v>
      </c>
      <c r="AJ4" s="628"/>
      <c r="AK4" s="628"/>
      <c r="AL4" s="630" t="str">
        <f t="shared" ref="AL4:AL67" si="0">IFERROR(IF(HLOOKUP($N$8, $BZ$3:$DE$574, $AP4, FALSE )="", "", HLOOKUP($N$8, $BZ$3:$DE$574, $AP4, FALSE)), "")</f>
        <v>Acajete</v>
      </c>
      <c r="AM4" s="630">
        <f t="shared" ref="AM4:AM67" si="1">IFERROR(IF(AL4="", "", HLOOKUP($N$8, $AQ$3:$BV$574, AP4, FALSE)), "")</f>
        <v>21001</v>
      </c>
      <c r="AO4" s="628"/>
      <c r="AP4" s="628">
        <v>2</v>
      </c>
      <c r="AQ4" s="634">
        <v>1001</v>
      </c>
      <c r="AR4" s="634">
        <v>2001</v>
      </c>
      <c r="AS4" s="634">
        <v>3001</v>
      </c>
      <c r="AT4" s="634">
        <v>4001</v>
      </c>
      <c r="AU4" s="634">
        <v>5001</v>
      </c>
      <c r="AV4" s="634">
        <v>6001</v>
      </c>
      <c r="AW4" s="634">
        <v>7001</v>
      </c>
      <c r="AX4" s="634">
        <v>8001</v>
      </c>
      <c r="AY4" s="634">
        <v>9002</v>
      </c>
      <c r="AZ4" s="634">
        <v>10001</v>
      </c>
      <c r="BA4" s="634">
        <v>11001</v>
      </c>
      <c r="BB4" s="634">
        <v>12001</v>
      </c>
      <c r="BC4" s="634">
        <v>13001</v>
      </c>
      <c r="BD4" s="634">
        <v>14001</v>
      </c>
      <c r="BE4" s="635">
        <v>15001</v>
      </c>
      <c r="BF4" s="634">
        <v>16001</v>
      </c>
      <c r="BG4" s="634">
        <v>17001</v>
      </c>
      <c r="BH4" s="634">
        <v>18001</v>
      </c>
      <c r="BI4" s="634">
        <v>19001</v>
      </c>
      <c r="BJ4" s="634">
        <v>20001</v>
      </c>
      <c r="BK4" s="634">
        <v>21001</v>
      </c>
      <c r="BL4" s="634">
        <v>22001</v>
      </c>
      <c r="BM4" s="634">
        <v>23001</v>
      </c>
      <c r="BN4" s="634">
        <v>24001</v>
      </c>
      <c r="BO4" s="634">
        <v>25001</v>
      </c>
      <c r="BP4" s="634">
        <v>26001</v>
      </c>
      <c r="BQ4" s="634">
        <v>27001</v>
      </c>
      <c r="BR4" s="634">
        <v>28001</v>
      </c>
      <c r="BS4" s="634">
        <v>29001</v>
      </c>
      <c r="BT4" s="634">
        <v>30001</v>
      </c>
      <c r="BU4" s="634">
        <v>31001</v>
      </c>
      <c r="BV4" s="634">
        <v>32001</v>
      </c>
      <c r="BW4" s="628"/>
      <c r="BX4" s="628"/>
      <c r="BY4" s="628"/>
      <c r="BZ4" s="636" t="s">
        <v>48</v>
      </c>
      <c r="CA4" s="636" t="s">
        <v>49</v>
      </c>
      <c r="CB4" s="636" t="s">
        <v>50</v>
      </c>
      <c r="CC4" s="636" t="s">
        <v>51</v>
      </c>
      <c r="CD4" s="636" t="s">
        <v>52</v>
      </c>
      <c r="CE4" s="636" t="s">
        <v>53</v>
      </c>
      <c r="CF4" s="636" t="s">
        <v>54</v>
      </c>
      <c r="CG4" s="636" t="s">
        <v>55</v>
      </c>
      <c r="CH4" s="636" t="s">
        <v>56</v>
      </c>
      <c r="CI4" s="636" t="s">
        <v>57</v>
      </c>
      <c r="CJ4" s="636" t="s">
        <v>52</v>
      </c>
      <c r="CK4" s="636" t="s">
        <v>58</v>
      </c>
      <c r="CL4" s="636" t="s">
        <v>59</v>
      </c>
      <c r="CM4" s="636" t="s">
        <v>60</v>
      </c>
      <c r="CN4" s="637" t="s">
        <v>61</v>
      </c>
      <c r="CO4" s="636" t="s">
        <v>62</v>
      </c>
      <c r="CP4" s="636" t="s">
        <v>63</v>
      </c>
      <c r="CQ4" s="636" t="s">
        <v>64</v>
      </c>
      <c r="CR4" s="636" t="s">
        <v>52</v>
      </c>
      <c r="CS4" s="636" t="s">
        <v>65</v>
      </c>
      <c r="CT4" s="636" t="s">
        <v>66</v>
      </c>
      <c r="CU4" s="636" t="s">
        <v>67</v>
      </c>
      <c r="CV4" s="636" t="s">
        <v>68</v>
      </c>
      <c r="CW4" s="638" t="s">
        <v>69</v>
      </c>
      <c r="CX4" s="636" t="s">
        <v>70</v>
      </c>
      <c r="CY4" s="636" t="s">
        <v>71</v>
      </c>
      <c r="CZ4" s="636" t="s">
        <v>72</v>
      </c>
      <c r="DA4" s="636" t="s">
        <v>52</v>
      </c>
      <c r="DB4" s="636" t="s">
        <v>73</v>
      </c>
      <c r="DC4" s="636" t="s">
        <v>66</v>
      </c>
      <c r="DD4" s="636" t="s">
        <v>74</v>
      </c>
      <c r="DE4" s="636" t="s">
        <v>75</v>
      </c>
    </row>
    <row r="5" spans="2:109" ht="60" customHeight="1">
      <c r="B5" s="720" t="s">
        <v>5</v>
      </c>
      <c r="C5" s="720"/>
      <c r="D5" s="720"/>
      <c r="E5" s="720"/>
      <c r="F5" s="720"/>
      <c r="G5" s="720"/>
      <c r="H5" s="720"/>
      <c r="I5" s="720"/>
      <c r="J5" s="720"/>
      <c r="K5" s="720"/>
      <c r="L5" s="720"/>
      <c r="M5" s="720"/>
      <c r="N5" s="720"/>
      <c r="O5" s="720"/>
      <c r="P5" s="720"/>
      <c r="Q5" s="720"/>
      <c r="R5" s="720"/>
      <c r="S5" s="720"/>
      <c r="T5" s="720"/>
      <c r="U5" s="720"/>
      <c r="V5" s="720"/>
      <c r="W5" s="720"/>
      <c r="X5" s="720"/>
      <c r="Y5" s="720"/>
      <c r="Z5" s="720"/>
      <c r="AA5" s="720"/>
      <c r="AB5" s="720"/>
      <c r="AC5" s="720"/>
      <c r="AD5" s="720"/>
      <c r="AH5" s="633" t="s">
        <v>76</v>
      </c>
      <c r="AI5" s="631">
        <v>202</v>
      </c>
      <c r="AJ5" s="628"/>
      <c r="AK5" s="628"/>
      <c r="AL5" s="630" t="str">
        <f t="shared" si="0"/>
        <v>Acateno</v>
      </c>
      <c r="AM5" s="630">
        <f t="shared" si="1"/>
        <v>21002</v>
      </c>
      <c r="AO5" s="628"/>
      <c r="AP5" s="628">
        <v>3</v>
      </c>
      <c r="AQ5" s="634">
        <v>1002</v>
      </c>
      <c r="AR5" s="634">
        <v>2002</v>
      </c>
      <c r="AS5" s="634">
        <v>3002</v>
      </c>
      <c r="AT5" s="634">
        <v>4002</v>
      </c>
      <c r="AU5" s="634">
        <v>5002</v>
      </c>
      <c r="AV5" s="634">
        <v>6002</v>
      </c>
      <c r="AW5" s="634">
        <v>7002</v>
      </c>
      <c r="AX5" s="634">
        <v>8002</v>
      </c>
      <c r="AY5" s="634">
        <v>9003</v>
      </c>
      <c r="AZ5" s="634">
        <v>10002</v>
      </c>
      <c r="BA5" s="634">
        <v>11002</v>
      </c>
      <c r="BB5" s="634">
        <v>12002</v>
      </c>
      <c r="BC5" s="634">
        <v>13002</v>
      </c>
      <c r="BD5" s="634">
        <v>14002</v>
      </c>
      <c r="BE5" s="635">
        <v>15002</v>
      </c>
      <c r="BF5" s="634">
        <v>16002</v>
      </c>
      <c r="BG5" s="634">
        <v>17002</v>
      </c>
      <c r="BH5" s="634">
        <v>18002</v>
      </c>
      <c r="BI5" s="634">
        <v>19002</v>
      </c>
      <c r="BJ5" s="634">
        <v>20002</v>
      </c>
      <c r="BK5" s="634">
        <v>21002</v>
      </c>
      <c r="BL5" s="634">
        <v>22002</v>
      </c>
      <c r="BM5" s="634">
        <v>23002</v>
      </c>
      <c r="BN5" s="634">
        <v>24002</v>
      </c>
      <c r="BO5" s="634">
        <v>25002</v>
      </c>
      <c r="BP5" s="634">
        <v>26002</v>
      </c>
      <c r="BQ5" s="634">
        <v>27002</v>
      </c>
      <c r="BR5" s="634">
        <v>28002</v>
      </c>
      <c r="BS5" s="634">
        <v>29002</v>
      </c>
      <c r="BT5" s="634">
        <v>30002</v>
      </c>
      <c r="BU5" s="634">
        <v>31002</v>
      </c>
      <c r="BV5" s="634">
        <v>32002</v>
      </c>
      <c r="BW5" s="628"/>
      <c r="BX5" s="628"/>
      <c r="BY5" s="628"/>
      <c r="BZ5" s="636" t="s">
        <v>77</v>
      </c>
      <c r="CA5" s="636" t="s">
        <v>78</v>
      </c>
      <c r="CB5" s="636" t="s">
        <v>79</v>
      </c>
      <c r="CC5" s="636" t="s">
        <v>80</v>
      </c>
      <c r="CD5" s="636" t="s">
        <v>81</v>
      </c>
      <c r="CE5" s="636" t="s">
        <v>82</v>
      </c>
      <c r="CF5" s="636" t="s">
        <v>83</v>
      </c>
      <c r="CG5" s="636" t="s">
        <v>84</v>
      </c>
      <c r="CH5" s="636" t="s">
        <v>85</v>
      </c>
      <c r="CI5" s="636" t="s">
        <v>86</v>
      </c>
      <c r="CJ5" s="636" t="s">
        <v>87</v>
      </c>
      <c r="CK5" s="636" t="s">
        <v>88</v>
      </c>
      <c r="CL5" s="636" t="s">
        <v>89</v>
      </c>
      <c r="CM5" s="636" t="s">
        <v>90</v>
      </c>
      <c r="CN5" s="637" t="s">
        <v>91</v>
      </c>
      <c r="CO5" s="636" t="s">
        <v>92</v>
      </c>
      <c r="CP5" s="636" t="s">
        <v>93</v>
      </c>
      <c r="CQ5" s="636" t="s">
        <v>94</v>
      </c>
      <c r="CR5" s="636" t="s">
        <v>95</v>
      </c>
      <c r="CS5" s="636" t="s">
        <v>96</v>
      </c>
      <c r="CT5" s="636" t="s">
        <v>97</v>
      </c>
      <c r="CU5" s="636" t="s">
        <v>98</v>
      </c>
      <c r="CV5" s="636" t="s">
        <v>99</v>
      </c>
      <c r="CW5" s="636" t="s">
        <v>100</v>
      </c>
      <c r="CX5" s="636" t="s">
        <v>101</v>
      </c>
      <c r="CY5" s="636" t="s">
        <v>102</v>
      </c>
      <c r="CZ5" s="636" t="s">
        <v>103</v>
      </c>
      <c r="DA5" s="636" t="s">
        <v>84</v>
      </c>
      <c r="DB5" s="636" t="s">
        <v>104</v>
      </c>
      <c r="DC5" s="636" t="s">
        <v>59</v>
      </c>
      <c r="DD5" s="636" t="s">
        <v>105</v>
      </c>
      <c r="DE5" s="636" t="s">
        <v>106</v>
      </c>
    </row>
    <row r="6" spans="2:109" ht="15" customHeight="1">
      <c r="AH6" s="633" t="s">
        <v>107</v>
      </c>
      <c r="AI6" s="631">
        <v>203</v>
      </c>
      <c r="AJ6" s="628"/>
      <c r="AK6" s="628"/>
      <c r="AL6" s="630" t="str">
        <f t="shared" si="0"/>
        <v>Acatlán</v>
      </c>
      <c r="AM6" s="630">
        <f t="shared" si="1"/>
        <v>21003</v>
      </c>
      <c r="AO6" s="628"/>
      <c r="AP6" s="628">
        <v>4</v>
      </c>
      <c r="AQ6" s="634">
        <v>1003</v>
      </c>
      <c r="AR6" s="634">
        <v>2003</v>
      </c>
      <c r="AS6" s="634">
        <v>3003</v>
      </c>
      <c r="AT6" s="634">
        <v>4003</v>
      </c>
      <c r="AU6" s="634">
        <v>5003</v>
      </c>
      <c r="AV6" s="634">
        <v>6003</v>
      </c>
      <c r="AW6" s="634">
        <v>7003</v>
      </c>
      <c r="AX6" s="634">
        <v>8003</v>
      </c>
      <c r="AY6" s="634">
        <v>9004</v>
      </c>
      <c r="AZ6" s="634">
        <v>10003</v>
      </c>
      <c r="BA6" s="634">
        <v>11003</v>
      </c>
      <c r="BB6" s="634">
        <v>12003</v>
      </c>
      <c r="BC6" s="634">
        <v>13003</v>
      </c>
      <c r="BD6" s="634">
        <v>14003</v>
      </c>
      <c r="BE6" s="635">
        <v>15003</v>
      </c>
      <c r="BF6" s="634">
        <v>16003</v>
      </c>
      <c r="BG6" s="634">
        <v>17003</v>
      </c>
      <c r="BH6" s="634">
        <v>18003</v>
      </c>
      <c r="BI6" s="634">
        <v>19003</v>
      </c>
      <c r="BJ6" s="634">
        <v>20003</v>
      </c>
      <c r="BK6" s="634">
        <v>21003</v>
      </c>
      <c r="BL6" s="634">
        <v>22003</v>
      </c>
      <c r="BM6" s="634">
        <v>23003</v>
      </c>
      <c r="BN6" s="634">
        <v>24003</v>
      </c>
      <c r="BO6" s="634">
        <v>25003</v>
      </c>
      <c r="BP6" s="634">
        <v>26003</v>
      </c>
      <c r="BQ6" s="634">
        <v>27003</v>
      </c>
      <c r="BR6" s="634">
        <v>28003</v>
      </c>
      <c r="BS6" s="634">
        <v>29003</v>
      </c>
      <c r="BT6" s="634">
        <v>30003</v>
      </c>
      <c r="BU6" s="634">
        <v>31003</v>
      </c>
      <c r="BV6" s="634">
        <v>32003</v>
      </c>
      <c r="BW6" s="628"/>
      <c r="BX6" s="628"/>
      <c r="BY6" s="628"/>
      <c r="BZ6" s="636" t="s">
        <v>108</v>
      </c>
      <c r="CA6" s="636" t="s">
        <v>109</v>
      </c>
      <c r="CB6" s="636" t="s">
        <v>110</v>
      </c>
      <c r="CC6" s="636" t="s">
        <v>111</v>
      </c>
      <c r="CD6" s="636" t="s">
        <v>112</v>
      </c>
      <c r="CE6" s="636" t="s">
        <v>113</v>
      </c>
      <c r="CF6" s="636" t="s">
        <v>114</v>
      </c>
      <c r="CG6" s="636" t="s">
        <v>112</v>
      </c>
      <c r="CH6" s="636" t="s">
        <v>115</v>
      </c>
      <c r="CI6" s="636" t="s">
        <v>116</v>
      </c>
      <c r="CJ6" s="636" t="s">
        <v>117</v>
      </c>
      <c r="CK6" s="636" t="s">
        <v>118</v>
      </c>
      <c r="CL6" s="636" t="s">
        <v>119</v>
      </c>
      <c r="CM6" s="636" t="s">
        <v>120</v>
      </c>
      <c r="CN6" s="637" t="s">
        <v>121</v>
      </c>
      <c r="CO6" s="636" t="s">
        <v>122</v>
      </c>
      <c r="CP6" s="636" t="s">
        <v>123</v>
      </c>
      <c r="CQ6" s="636" t="s">
        <v>124</v>
      </c>
      <c r="CR6" s="636" t="s">
        <v>125</v>
      </c>
      <c r="CS6" s="636" t="s">
        <v>126</v>
      </c>
      <c r="CT6" s="636" t="s">
        <v>59</v>
      </c>
      <c r="CU6" s="636" t="s">
        <v>127</v>
      </c>
      <c r="CV6" s="636" t="s">
        <v>128</v>
      </c>
      <c r="CW6" s="636" t="s">
        <v>129</v>
      </c>
      <c r="CX6" s="636" t="s">
        <v>130</v>
      </c>
      <c r="CY6" s="638" t="s">
        <v>131</v>
      </c>
      <c r="CZ6" s="636" t="s">
        <v>132</v>
      </c>
      <c r="DA6" s="636" t="s">
        <v>133</v>
      </c>
      <c r="DB6" s="636" t="s">
        <v>134</v>
      </c>
      <c r="DC6" s="636" t="s">
        <v>135</v>
      </c>
      <c r="DD6" s="636" t="s">
        <v>136</v>
      </c>
      <c r="DE6" s="636" t="s">
        <v>137</v>
      </c>
    </row>
    <row r="7" spans="2:109" ht="15" customHeight="1" thickBot="1">
      <c r="B7" s="23" t="s">
        <v>3</v>
      </c>
      <c r="N7" s="23" t="s">
        <v>4</v>
      </c>
      <c r="AA7" s="726" t="s">
        <v>2</v>
      </c>
      <c r="AB7" s="726"/>
      <c r="AC7" s="726"/>
      <c r="AD7" s="726"/>
      <c r="AH7" s="633" t="s">
        <v>80</v>
      </c>
      <c r="AI7" s="631">
        <v>204</v>
      </c>
      <c r="AJ7" s="628"/>
      <c r="AK7" s="628"/>
      <c r="AL7" s="630" t="str">
        <f t="shared" si="0"/>
        <v>Acatzingo</v>
      </c>
      <c r="AM7" s="630">
        <f t="shared" si="1"/>
        <v>21004</v>
      </c>
      <c r="AO7" s="628"/>
      <c r="AP7" s="628">
        <v>5</v>
      </c>
      <c r="AQ7" s="634">
        <v>1004</v>
      </c>
      <c r="AR7" s="634">
        <v>2004</v>
      </c>
      <c r="AS7" s="634">
        <v>3008</v>
      </c>
      <c r="AT7" s="634">
        <v>4004</v>
      </c>
      <c r="AU7" s="634">
        <v>5004</v>
      </c>
      <c r="AV7" s="634">
        <v>6004</v>
      </c>
      <c r="AW7" s="634">
        <v>7004</v>
      </c>
      <c r="AX7" s="634">
        <v>8004</v>
      </c>
      <c r="AY7" s="634">
        <v>9005</v>
      </c>
      <c r="AZ7" s="634">
        <v>10004</v>
      </c>
      <c r="BA7" s="634">
        <v>11004</v>
      </c>
      <c r="BB7" s="634">
        <v>12004</v>
      </c>
      <c r="BC7" s="634">
        <v>13004</v>
      </c>
      <c r="BD7" s="634">
        <v>14004</v>
      </c>
      <c r="BE7" s="635">
        <v>15004</v>
      </c>
      <c r="BF7" s="634">
        <v>16004</v>
      </c>
      <c r="BG7" s="634">
        <v>17004</v>
      </c>
      <c r="BH7" s="634">
        <v>18004</v>
      </c>
      <c r="BI7" s="634">
        <v>19004</v>
      </c>
      <c r="BJ7" s="634">
        <v>20004</v>
      </c>
      <c r="BK7" s="634">
        <v>21004</v>
      </c>
      <c r="BL7" s="634">
        <v>22004</v>
      </c>
      <c r="BM7" s="634">
        <v>23004</v>
      </c>
      <c r="BN7" s="634">
        <v>24004</v>
      </c>
      <c r="BO7" s="634">
        <v>25004</v>
      </c>
      <c r="BP7" s="634">
        <v>26004</v>
      </c>
      <c r="BQ7" s="634">
        <v>27004</v>
      </c>
      <c r="BR7" s="634">
        <v>28004</v>
      </c>
      <c r="BS7" s="634">
        <v>29004</v>
      </c>
      <c r="BT7" s="634">
        <v>30004</v>
      </c>
      <c r="BU7" s="634">
        <v>31004</v>
      </c>
      <c r="BV7" s="634">
        <v>32004</v>
      </c>
      <c r="BW7" s="628"/>
      <c r="BX7" s="628"/>
      <c r="BY7" s="628"/>
      <c r="BZ7" s="636" t="s">
        <v>138</v>
      </c>
      <c r="CA7" s="636" t="s">
        <v>139</v>
      </c>
      <c r="CB7" s="636" t="s">
        <v>140</v>
      </c>
      <c r="CC7" s="636" t="s">
        <v>141</v>
      </c>
      <c r="CD7" s="636" t="s">
        <v>142</v>
      </c>
      <c r="CE7" s="636" t="s">
        <v>143</v>
      </c>
      <c r="CF7" s="636" t="s">
        <v>144</v>
      </c>
      <c r="CG7" s="636" t="s">
        <v>145</v>
      </c>
      <c r="CH7" s="636" t="s">
        <v>146</v>
      </c>
      <c r="CI7" s="636" t="s">
        <v>147</v>
      </c>
      <c r="CJ7" s="636" t="s">
        <v>148</v>
      </c>
      <c r="CK7" s="636" t="s">
        <v>149</v>
      </c>
      <c r="CL7" s="636" t="s">
        <v>150</v>
      </c>
      <c r="CM7" s="636" t="s">
        <v>151</v>
      </c>
      <c r="CN7" s="637" t="s">
        <v>152</v>
      </c>
      <c r="CO7" s="636" t="s">
        <v>153</v>
      </c>
      <c r="CP7" s="636" t="s">
        <v>154</v>
      </c>
      <c r="CQ7" s="636" t="s">
        <v>155</v>
      </c>
      <c r="CR7" s="636" t="s">
        <v>112</v>
      </c>
      <c r="CS7" s="636" t="s">
        <v>156</v>
      </c>
      <c r="CT7" s="636" t="s">
        <v>157</v>
      </c>
      <c r="CU7" s="636" t="s">
        <v>158</v>
      </c>
      <c r="CV7" s="636" t="s">
        <v>159</v>
      </c>
      <c r="CW7" s="636" t="s">
        <v>160</v>
      </c>
      <c r="CX7" s="636" t="s">
        <v>161</v>
      </c>
      <c r="CY7" s="636" t="s">
        <v>162</v>
      </c>
      <c r="CZ7" s="636" t="s">
        <v>163</v>
      </c>
      <c r="DA7" s="636" t="s">
        <v>164</v>
      </c>
      <c r="DB7" s="636" t="s">
        <v>165</v>
      </c>
      <c r="DC7" s="636" t="s">
        <v>119</v>
      </c>
      <c r="DD7" s="636" t="s">
        <v>166</v>
      </c>
      <c r="DE7" s="636" t="s">
        <v>167</v>
      </c>
    </row>
    <row r="8" spans="2:109" ht="15" customHeight="1" thickBot="1">
      <c r="B8" s="727" t="s">
        <v>607</v>
      </c>
      <c r="C8" s="728"/>
      <c r="D8" s="728"/>
      <c r="E8" s="728"/>
      <c r="F8" s="728"/>
      <c r="G8" s="728"/>
      <c r="H8" s="728"/>
      <c r="I8" s="728"/>
      <c r="J8" s="728"/>
      <c r="K8" s="728"/>
      <c r="L8" s="729"/>
      <c r="M8" s="25"/>
      <c r="N8" s="722">
        <f>IFERROR(VLOOKUP(B8, AH4:AI35, 2, FALSE), "")</f>
        <v>221</v>
      </c>
      <c r="O8" s="724"/>
      <c r="AH8" s="633" t="s">
        <v>168</v>
      </c>
      <c r="AI8" s="631">
        <v>205</v>
      </c>
      <c r="AJ8" s="628"/>
      <c r="AK8" s="628"/>
      <c r="AL8" s="630" t="str">
        <f t="shared" si="0"/>
        <v>Acteopan</v>
      </c>
      <c r="AM8" s="630">
        <f t="shared" si="1"/>
        <v>21005</v>
      </c>
      <c r="AO8" s="628"/>
      <c r="AP8" s="628">
        <v>6</v>
      </c>
      <c r="AQ8" s="634">
        <v>1005</v>
      </c>
      <c r="AR8" s="634">
        <v>2005</v>
      </c>
      <c r="AS8" s="634">
        <v>3009</v>
      </c>
      <c r="AT8" s="634">
        <v>4005</v>
      </c>
      <c r="AU8" s="634">
        <v>5005</v>
      </c>
      <c r="AV8" s="634">
        <v>6005</v>
      </c>
      <c r="AW8" s="634">
        <v>7005</v>
      </c>
      <c r="AX8" s="634">
        <v>8005</v>
      </c>
      <c r="AY8" s="634">
        <v>9006</v>
      </c>
      <c r="AZ8" s="634">
        <v>10005</v>
      </c>
      <c r="BA8" s="634">
        <v>11005</v>
      </c>
      <c r="BB8" s="634">
        <v>12005</v>
      </c>
      <c r="BC8" s="634">
        <v>13005</v>
      </c>
      <c r="BD8" s="634">
        <v>14005</v>
      </c>
      <c r="BE8" s="635">
        <v>15005</v>
      </c>
      <c r="BF8" s="634">
        <v>16005</v>
      </c>
      <c r="BG8" s="634">
        <v>17005</v>
      </c>
      <c r="BH8" s="634">
        <v>18005</v>
      </c>
      <c r="BI8" s="634">
        <v>19005</v>
      </c>
      <c r="BJ8" s="634">
        <v>20005</v>
      </c>
      <c r="BK8" s="634">
        <v>21005</v>
      </c>
      <c r="BL8" s="634">
        <v>22005</v>
      </c>
      <c r="BM8" s="634">
        <v>23005</v>
      </c>
      <c r="BN8" s="634">
        <v>24005</v>
      </c>
      <c r="BO8" s="634">
        <v>25005</v>
      </c>
      <c r="BP8" s="634">
        <v>26005</v>
      </c>
      <c r="BQ8" s="634">
        <v>27005</v>
      </c>
      <c r="BR8" s="634">
        <v>28005</v>
      </c>
      <c r="BS8" s="634">
        <v>29005</v>
      </c>
      <c r="BT8" s="634">
        <v>30005</v>
      </c>
      <c r="BU8" s="634">
        <v>31005</v>
      </c>
      <c r="BV8" s="634">
        <v>32005</v>
      </c>
      <c r="BW8" s="628"/>
      <c r="BX8" s="628"/>
      <c r="BY8" s="628"/>
      <c r="BZ8" s="636" t="s">
        <v>169</v>
      </c>
      <c r="CA8" s="636" t="s">
        <v>170</v>
      </c>
      <c r="CB8" s="636" t="s">
        <v>171</v>
      </c>
      <c r="CC8" s="636" t="s">
        <v>172</v>
      </c>
      <c r="CD8" s="636" t="s">
        <v>173</v>
      </c>
      <c r="CE8" s="636" t="s">
        <v>174</v>
      </c>
      <c r="CF8" s="636" t="s">
        <v>175</v>
      </c>
      <c r="CG8" s="636" t="s">
        <v>176</v>
      </c>
      <c r="CH8" s="636" t="s">
        <v>177</v>
      </c>
      <c r="CI8" s="636" t="s">
        <v>178</v>
      </c>
      <c r="CJ8" s="636" t="s">
        <v>179</v>
      </c>
      <c r="CK8" s="636" t="s">
        <v>180</v>
      </c>
      <c r="CL8" s="636" t="s">
        <v>181</v>
      </c>
      <c r="CM8" s="636" t="s">
        <v>182</v>
      </c>
      <c r="CN8" s="637" t="s">
        <v>183</v>
      </c>
      <c r="CO8" s="636" t="s">
        <v>184</v>
      </c>
      <c r="CP8" s="636" t="s">
        <v>185</v>
      </c>
      <c r="CQ8" s="636" t="s">
        <v>186</v>
      </c>
      <c r="CR8" s="636" t="s">
        <v>187</v>
      </c>
      <c r="CS8" s="636" t="s">
        <v>188</v>
      </c>
      <c r="CT8" s="636" t="s">
        <v>189</v>
      </c>
      <c r="CU8" s="636" t="s">
        <v>190</v>
      </c>
      <c r="CV8" s="636" t="s">
        <v>167</v>
      </c>
      <c r="CW8" s="636" t="s">
        <v>103</v>
      </c>
      <c r="CX8" s="636" t="s">
        <v>191</v>
      </c>
      <c r="CY8" s="636" t="s">
        <v>192</v>
      </c>
      <c r="CZ8" s="636" t="s">
        <v>193</v>
      </c>
      <c r="DA8" s="636" t="s">
        <v>194</v>
      </c>
      <c r="DB8" s="636" t="s">
        <v>195</v>
      </c>
      <c r="DC8" s="636" t="s">
        <v>196</v>
      </c>
      <c r="DD8" s="636" t="s">
        <v>197</v>
      </c>
      <c r="DE8" s="636" t="s">
        <v>198</v>
      </c>
    </row>
    <row r="9" spans="2:109" ht="15" customHeight="1" thickBot="1">
      <c r="AH9" s="633" t="s">
        <v>82</v>
      </c>
      <c r="AI9" s="631">
        <v>206</v>
      </c>
      <c r="AJ9" s="628"/>
      <c r="AK9" s="628"/>
      <c r="AL9" s="630" t="str">
        <f t="shared" si="0"/>
        <v>Ahuacatlán</v>
      </c>
      <c r="AM9" s="630">
        <f t="shared" si="1"/>
        <v>21006</v>
      </c>
      <c r="AO9" s="628"/>
      <c r="AP9" s="628">
        <v>7</v>
      </c>
      <c r="AQ9" s="634">
        <v>1006</v>
      </c>
      <c r="AR9" s="634">
        <v>2006</v>
      </c>
      <c r="AS9" s="639">
        <v>3099</v>
      </c>
      <c r="AT9" s="634">
        <v>4006</v>
      </c>
      <c r="AU9" s="634">
        <v>5006</v>
      </c>
      <c r="AV9" s="634">
        <v>6006</v>
      </c>
      <c r="AW9" s="634">
        <v>7006</v>
      </c>
      <c r="AX9" s="634">
        <v>8006</v>
      </c>
      <c r="AY9" s="634">
        <v>9007</v>
      </c>
      <c r="AZ9" s="634">
        <v>10006</v>
      </c>
      <c r="BA9" s="634">
        <v>11006</v>
      </c>
      <c r="BB9" s="634">
        <v>12006</v>
      </c>
      <c r="BC9" s="634">
        <v>13006</v>
      </c>
      <c r="BD9" s="634">
        <v>14006</v>
      </c>
      <c r="BE9" s="635">
        <v>15006</v>
      </c>
      <c r="BF9" s="634">
        <v>16006</v>
      </c>
      <c r="BG9" s="634">
        <v>17006</v>
      </c>
      <c r="BH9" s="634">
        <v>18006</v>
      </c>
      <c r="BI9" s="634">
        <v>19006</v>
      </c>
      <c r="BJ9" s="634">
        <v>20006</v>
      </c>
      <c r="BK9" s="634">
        <v>21006</v>
      </c>
      <c r="BL9" s="634">
        <v>22006</v>
      </c>
      <c r="BM9" s="634">
        <v>23006</v>
      </c>
      <c r="BN9" s="634">
        <v>24006</v>
      </c>
      <c r="BO9" s="634">
        <v>25006</v>
      </c>
      <c r="BP9" s="634">
        <v>26006</v>
      </c>
      <c r="BQ9" s="634">
        <v>27006</v>
      </c>
      <c r="BR9" s="634">
        <v>28006</v>
      </c>
      <c r="BS9" s="634">
        <v>29006</v>
      </c>
      <c r="BT9" s="634">
        <v>30006</v>
      </c>
      <c r="BU9" s="634">
        <v>31006</v>
      </c>
      <c r="BV9" s="634">
        <v>32006</v>
      </c>
      <c r="BW9" s="628"/>
      <c r="BX9" s="628"/>
      <c r="BY9" s="628"/>
      <c r="BZ9" s="636" t="s">
        <v>199</v>
      </c>
      <c r="CA9" s="636" t="s">
        <v>200</v>
      </c>
      <c r="CB9" s="636" t="s">
        <v>201</v>
      </c>
      <c r="CC9" s="636" t="s">
        <v>202</v>
      </c>
      <c r="CD9" s="636" t="s">
        <v>203</v>
      </c>
      <c r="CE9" s="636" t="s">
        <v>204</v>
      </c>
      <c r="CF9" s="636" t="s">
        <v>205</v>
      </c>
      <c r="CG9" s="636" t="s">
        <v>206</v>
      </c>
      <c r="CH9" s="636" t="s">
        <v>207</v>
      </c>
      <c r="CI9" s="636" t="s">
        <v>208</v>
      </c>
      <c r="CJ9" s="636" t="s">
        <v>209</v>
      </c>
      <c r="CK9" s="636" t="s">
        <v>210</v>
      </c>
      <c r="CL9" s="636" t="s">
        <v>211</v>
      </c>
      <c r="CM9" s="636" t="s">
        <v>212</v>
      </c>
      <c r="CN9" s="637" t="s">
        <v>213</v>
      </c>
      <c r="CO9" s="636" t="s">
        <v>214</v>
      </c>
      <c r="CP9" s="636" t="s">
        <v>215</v>
      </c>
      <c r="CQ9" s="636" t="s">
        <v>216</v>
      </c>
      <c r="CR9" s="636" t="s">
        <v>217</v>
      </c>
      <c r="CS9" s="636" t="s">
        <v>218</v>
      </c>
      <c r="CT9" s="636" t="s">
        <v>94</v>
      </c>
      <c r="CU9" s="636" t="s">
        <v>219</v>
      </c>
      <c r="CV9" s="636" t="s">
        <v>220</v>
      </c>
      <c r="CW9" s="636" t="s">
        <v>221</v>
      </c>
      <c r="CX9" s="636" t="s">
        <v>222</v>
      </c>
      <c r="CY9" s="636" t="s">
        <v>223</v>
      </c>
      <c r="CZ9" s="636" t="s">
        <v>224</v>
      </c>
      <c r="DA9" s="636" t="s">
        <v>225</v>
      </c>
      <c r="DB9" s="636" t="s">
        <v>226</v>
      </c>
      <c r="DC9" s="636" t="s">
        <v>227</v>
      </c>
      <c r="DD9" s="636" t="s">
        <v>228</v>
      </c>
      <c r="DE9" s="636" t="s">
        <v>229</v>
      </c>
    </row>
    <row r="10" spans="2:109" ht="15" customHeight="1">
      <c r="B10" s="4"/>
      <c r="C10" s="5" t="s">
        <v>230</v>
      </c>
      <c r="D10" s="6"/>
      <c r="E10" s="6"/>
      <c r="F10" s="6"/>
      <c r="G10" s="6"/>
      <c r="H10" s="6"/>
      <c r="I10" s="6"/>
      <c r="J10" s="6"/>
      <c r="K10" s="6"/>
      <c r="L10" s="7"/>
      <c r="N10" s="8"/>
      <c r="O10" s="5" t="s">
        <v>231</v>
      </c>
      <c r="P10" s="9"/>
      <c r="Q10" s="9"/>
      <c r="R10" s="9"/>
      <c r="S10" s="9"/>
      <c r="T10" s="9"/>
      <c r="U10" s="9"/>
      <c r="V10" s="9"/>
      <c r="W10" s="9"/>
      <c r="X10" s="9"/>
      <c r="Y10" s="9"/>
      <c r="Z10" s="9"/>
      <c r="AA10" s="9"/>
      <c r="AB10" s="9"/>
      <c r="AC10" s="9"/>
      <c r="AD10" s="10"/>
      <c r="AH10" s="633" t="s">
        <v>232</v>
      </c>
      <c r="AI10" s="631">
        <v>207</v>
      </c>
      <c r="AJ10" s="628"/>
      <c r="AK10" s="628"/>
      <c r="AL10" s="630" t="str">
        <f t="shared" si="0"/>
        <v>Ahuatlán</v>
      </c>
      <c r="AM10" s="630">
        <f t="shared" si="1"/>
        <v>21007</v>
      </c>
      <c r="AO10" s="628"/>
      <c r="AP10" s="628">
        <v>8</v>
      </c>
      <c r="AQ10" s="634">
        <v>1007</v>
      </c>
      <c r="AR10" s="634">
        <v>2007</v>
      </c>
      <c r="AS10" s="634"/>
      <c r="AT10" s="634">
        <v>4007</v>
      </c>
      <c r="AU10" s="634">
        <v>5007</v>
      </c>
      <c r="AV10" s="634">
        <v>6007</v>
      </c>
      <c r="AW10" s="634">
        <v>7007</v>
      </c>
      <c r="AX10" s="634">
        <v>8007</v>
      </c>
      <c r="AY10" s="634">
        <v>9008</v>
      </c>
      <c r="AZ10" s="634">
        <v>10007</v>
      </c>
      <c r="BA10" s="634">
        <v>11007</v>
      </c>
      <c r="BB10" s="634">
        <v>12007</v>
      </c>
      <c r="BC10" s="634">
        <v>13007</v>
      </c>
      <c r="BD10" s="634">
        <v>14007</v>
      </c>
      <c r="BE10" s="635">
        <v>15007</v>
      </c>
      <c r="BF10" s="634">
        <v>16007</v>
      </c>
      <c r="BG10" s="634">
        <v>17007</v>
      </c>
      <c r="BH10" s="634">
        <v>18007</v>
      </c>
      <c r="BI10" s="634">
        <v>19007</v>
      </c>
      <c r="BJ10" s="634">
        <v>20007</v>
      </c>
      <c r="BK10" s="634">
        <v>21007</v>
      </c>
      <c r="BL10" s="634">
        <v>22007</v>
      </c>
      <c r="BM10" s="634">
        <v>23007</v>
      </c>
      <c r="BN10" s="634">
        <v>24007</v>
      </c>
      <c r="BO10" s="634">
        <v>25007</v>
      </c>
      <c r="BP10" s="634">
        <v>26007</v>
      </c>
      <c r="BQ10" s="634">
        <v>27007</v>
      </c>
      <c r="BR10" s="634">
        <v>28007</v>
      </c>
      <c r="BS10" s="634">
        <v>29007</v>
      </c>
      <c r="BT10" s="634">
        <v>30007</v>
      </c>
      <c r="BU10" s="634">
        <v>31007</v>
      </c>
      <c r="BV10" s="634">
        <v>32007</v>
      </c>
      <c r="BW10" s="628"/>
      <c r="BX10" s="628"/>
      <c r="BY10" s="628"/>
      <c r="BZ10" s="636" t="s">
        <v>233</v>
      </c>
      <c r="CA10" s="636" t="s">
        <v>234</v>
      </c>
      <c r="CB10" s="636"/>
      <c r="CC10" s="636" t="s">
        <v>235</v>
      </c>
      <c r="CD10" s="636" t="s">
        <v>236</v>
      </c>
      <c r="CE10" s="636" t="s">
        <v>237</v>
      </c>
      <c r="CF10" s="636" t="s">
        <v>238</v>
      </c>
      <c r="CG10" s="636" t="s">
        <v>239</v>
      </c>
      <c r="CH10" s="636" t="s">
        <v>240</v>
      </c>
      <c r="CI10" s="636" t="s">
        <v>241</v>
      </c>
      <c r="CJ10" s="636" t="s">
        <v>242</v>
      </c>
      <c r="CK10" s="636" t="s">
        <v>243</v>
      </c>
      <c r="CL10" s="636" t="s">
        <v>244</v>
      </c>
      <c r="CM10" s="636" t="s">
        <v>245</v>
      </c>
      <c r="CN10" s="637" t="s">
        <v>246</v>
      </c>
      <c r="CO10" s="636" t="s">
        <v>247</v>
      </c>
      <c r="CP10" s="636" t="s">
        <v>248</v>
      </c>
      <c r="CQ10" s="636" t="s">
        <v>249</v>
      </c>
      <c r="CR10" s="636" t="s">
        <v>250</v>
      </c>
      <c r="CS10" s="636" t="s">
        <v>251</v>
      </c>
      <c r="CT10" s="636" t="s">
        <v>252</v>
      </c>
      <c r="CU10" s="636" t="s">
        <v>253</v>
      </c>
      <c r="CV10" s="636" t="s">
        <v>254</v>
      </c>
      <c r="CW10" s="636" t="s">
        <v>255</v>
      </c>
      <c r="CX10" s="636" t="s">
        <v>256</v>
      </c>
      <c r="CY10" s="636" t="s">
        <v>257</v>
      </c>
      <c r="CZ10" s="636" t="s">
        <v>258</v>
      </c>
      <c r="DA10" s="636" t="s">
        <v>259</v>
      </c>
      <c r="DB10" s="636" t="s">
        <v>260</v>
      </c>
      <c r="DC10" s="636" t="s">
        <v>261</v>
      </c>
      <c r="DD10" s="636" t="s">
        <v>262</v>
      </c>
      <c r="DE10" s="636" t="s">
        <v>263</v>
      </c>
    </row>
    <row r="11" spans="2:109" ht="144" customHeight="1" thickBot="1">
      <c r="B11" s="11"/>
      <c r="C11" s="730" t="s">
        <v>264</v>
      </c>
      <c r="D11" s="730"/>
      <c r="E11" s="730"/>
      <c r="F11" s="730"/>
      <c r="G11" s="730"/>
      <c r="H11" s="730"/>
      <c r="I11" s="730"/>
      <c r="J11" s="730"/>
      <c r="K11" s="730"/>
      <c r="L11" s="12"/>
      <c r="N11" s="13"/>
      <c r="O11" s="730" t="s">
        <v>265</v>
      </c>
      <c r="P11" s="730"/>
      <c r="Q11" s="730"/>
      <c r="R11" s="730"/>
      <c r="S11" s="730"/>
      <c r="T11" s="730"/>
      <c r="U11" s="730"/>
      <c r="V11" s="730"/>
      <c r="W11" s="730"/>
      <c r="X11" s="730"/>
      <c r="Y11" s="730"/>
      <c r="Z11" s="730"/>
      <c r="AA11" s="730"/>
      <c r="AB11" s="730"/>
      <c r="AC11" s="730"/>
      <c r="AD11" s="14"/>
      <c r="AH11" s="633" t="s">
        <v>266</v>
      </c>
      <c r="AI11" s="631">
        <v>208</v>
      </c>
      <c r="AJ11" s="628"/>
      <c r="AK11" s="628"/>
      <c r="AL11" s="630" t="str">
        <f t="shared" si="0"/>
        <v>Ahuazotepec</v>
      </c>
      <c r="AM11" s="630">
        <f t="shared" si="1"/>
        <v>21008</v>
      </c>
      <c r="AO11" s="628"/>
      <c r="AP11" s="628">
        <v>9</v>
      </c>
      <c r="AQ11" s="634">
        <v>1008</v>
      </c>
      <c r="AR11" s="639">
        <v>2099</v>
      </c>
      <c r="AS11" s="634"/>
      <c r="AT11" s="634">
        <v>4008</v>
      </c>
      <c r="AU11" s="634">
        <v>5008</v>
      </c>
      <c r="AV11" s="634">
        <v>6008</v>
      </c>
      <c r="AW11" s="634">
        <v>7008</v>
      </c>
      <c r="AX11" s="634">
        <v>8008</v>
      </c>
      <c r="AY11" s="634">
        <v>9009</v>
      </c>
      <c r="AZ11" s="634">
        <v>10008</v>
      </c>
      <c r="BA11" s="634">
        <v>11008</v>
      </c>
      <c r="BB11" s="634">
        <v>12008</v>
      </c>
      <c r="BC11" s="634">
        <v>13008</v>
      </c>
      <c r="BD11" s="634">
        <v>14008</v>
      </c>
      <c r="BE11" s="635">
        <v>15008</v>
      </c>
      <c r="BF11" s="634">
        <v>16008</v>
      </c>
      <c r="BG11" s="634">
        <v>17008</v>
      </c>
      <c r="BH11" s="634">
        <v>18008</v>
      </c>
      <c r="BI11" s="634">
        <v>19008</v>
      </c>
      <c r="BJ11" s="634">
        <v>20008</v>
      </c>
      <c r="BK11" s="634">
        <v>21008</v>
      </c>
      <c r="BL11" s="634">
        <v>22008</v>
      </c>
      <c r="BM11" s="634">
        <v>23008</v>
      </c>
      <c r="BN11" s="634">
        <v>24008</v>
      </c>
      <c r="BO11" s="634">
        <v>25008</v>
      </c>
      <c r="BP11" s="634">
        <v>26008</v>
      </c>
      <c r="BQ11" s="634">
        <v>27008</v>
      </c>
      <c r="BR11" s="634">
        <v>28008</v>
      </c>
      <c r="BS11" s="634">
        <v>29008</v>
      </c>
      <c r="BT11" s="634">
        <v>30008</v>
      </c>
      <c r="BU11" s="634">
        <v>31008</v>
      </c>
      <c r="BV11" s="634">
        <v>32008</v>
      </c>
      <c r="BW11" s="628"/>
      <c r="BX11" s="628"/>
      <c r="BY11" s="628"/>
      <c r="BZ11" s="636" t="s">
        <v>267</v>
      </c>
      <c r="CA11" s="636" t="s">
        <v>201</v>
      </c>
      <c r="CB11" s="636"/>
      <c r="CC11" s="636" t="s">
        <v>268</v>
      </c>
      <c r="CD11" s="636" t="s">
        <v>269</v>
      </c>
      <c r="CE11" s="636" t="s">
        <v>270</v>
      </c>
      <c r="CF11" s="640" t="s">
        <v>271</v>
      </c>
      <c r="CG11" s="638" t="s">
        <v>272</v>
      </c>
      <c r="CH11" s="636" t="s">
        <v>273</v>
      </c>
      <c r="CI11" s="636" t="s">
        <v>274</v>
      </c>
      <c r="CJ11" s="636" t="s">
        <v>275</v>
      </c>
      <c r="CK11" s="636" t="s">
        <v>276</v>
      </c>
      <c r="CL11" s="636" t="s">
        <v>277</v>
      </c>
      <c r="CM11" s="636" t="s">
        <v>278</v>
      </c>
      <c r="CN11" s="637" t="s">
        <v>279</v>
      </c>
      <c r="CO11" s="636" t="s">
        <v>280</v>
      </c>
      <c r="CP11" s="636" t="s">
        <v>258</v>
      </c>
      <c r="CQ11" s="636" t="s">
        <v>281</v>
      </c>
      <c r="CR11" s="636" t="s">
        <v>225</v>
      </c>
      <c r="CS11" s="636" t="s">
        <v>282</v>
      </c>
      <c r="CT11" s="636" t="s">
        <v>283</v>
      </c>
      <c r="CU11" s="636" t="s">
        <v>284</v>
      </c>
      <c r="CV11" s="636" t="s">
        <v>285</v>
      </c>
      <c r="CW11" s="636" t="s">
        <v>286</v>
      </c>
      <c r="CX11" s="636" t="s">
        <v>287</v>
      </c>
      <c r="CY11" s="636" t="s">
        <v>288</v>
      </c>
      <c r="CZ11" s="636" t="s">
        <v>289</v>
      </c>
      <c r="DA11" s="636" t="s">
        <v>290</v>
      </c>
      <c r="DB11" s="636" t="s">
        <v>291</v>
      </c>
      <c r="DC11" s="636" t="s">
        <v>292</v>
      </c>
      <c r="DD11" s="636" t="s">
        <v>293</v>
      </c>
      <c r="DE11" s="636" t="s">
        <v>174</v>
      </c>
    </row>
    <row r="12" spans="2:109" ht="15" customHeight="1" thickBot="1">
      <c r="AH12" s="633" t="s">
        <v>294</v>
      </c>
      <c r="AI12" s="631">
        <v>209</v>
      </c>
      <c r="AJ12" s="628"/>
      <c r="AK12" s="628"/>
      <c r="AL12" s="630" t="str">
        <f t="shared" si="0"/>
        <v>Ahuehuetitla</v>
      </c>
      <c r="AM12" s="630">
        <f t="shared" si="1"/>
        <v>21009</v>
      </c>
      <c r="AO12" s="628"/>
      <c r="AP12" s="628">
        <v>10</v>
      </c>
      <c r="AQ12" s="634">
        <v>1009</v>
      </c>
      <c r="AR12" s="634"/>
      <c r="AS12" s="634"/>
      <c r="AT12" s="634">
        <v>4009</v>
      </c>
      <c r="AU12" s="634">
        <v>5009</v>
      </c>
      <c r="AV12" s="634">
        <v>6009</v>
      </c>
      <c r="AW12" s="634">
        <v>7009</v>
      </c>
      <c r="AX12" s="634">
        <v>8009</v>
      </c>
      <c r="AY12" s="634">
        <v>9010</v>
      </c>
      <c r="AZ12" s="634">
        <v>10009</v>
      </c>
      <c r="BA12" s="634">
        <v>11009</v>
      </c>
      <c r="BB12" s="634">
        <v>12009</v>
      </c>
      <c r="BC12" s="634">
        <v>13009</v>
      </c>
      <c r="BD12" s="634">
        <v>14009</v>
      </c>
      <c r="BE12" s="635">
        <v>15009</v>
      </c>
      <c r="BF12" s="634">
        <v>16009</v>
      </c>
      <c r="BG12" s="634">
        <v>17009</v>
      </c>
      <c r="BH12" s="634">
        <v>18009</v>
      </c>
      <c r="BI12" s="634">
        <v>19009</v>
      </c>
      <c r="BJ12" s="634">
        <v>20009</v>
      </c>
      <c r="BK12" s="634">
        <v>21009</v>
      </c>
      <c r="BL12" s="634">
        <v>22009</v>
      </c>
      <c r="BM12" s="634">
        <v>23009</v>
      </c>
      <c r="BN12" s="634">
        <v>24009</v>
      </c>
      <c r="BO12" s="634">
        <v>25009</v>
      </c>
      <c r="BP12" s="634">
        <v>26009</v>
      </c>
      <c r="BQ12" s="634">
        <v>27009</v>
      </c>
      <c r="BR12" s="634">
        <v>28009</v>
      </c>
      <c r="BS12" s="634">
        <v>29009</v>
      </c>
      <c r="BT12" s="634">
        <v>30009</v>
      </c>
      <c r="BU12" s="634">
        <v>31009</v>
      </c>
      <c r="BV12" s="634">
        <v>32009</v>
      </c>
      <c r="BW12" s="628"/>
      <c r="BX12" s="628"/>
      <c r="BY12" s="628"/>
      <c r="BZ12" s="636" t="s">
        <v>295</v>
      </c>
      <c r="CA12" s="636"/>
      <c r="CB12" s="636"/>
      <c r="CC12" s="636" t="s">
        <v>296</v>
      </c>
      <c r="CD12" s="636" t="s">
        <v>297</v>
      </c>
      <c r="CE12" s="636" t="s">
        <v>298</v>
      </c>
      <c r="CF12" s="636" t="s">
        <v>299</v>
      </c>
      <c r="CG12" s="636" t="s">
        <v>300</v>
      </c>
      <c r="CH12" s="636" t="s">
        <v>122</v>
      </c>
      <c r="CI12" s="636" t="s">
        <v>301</v>
      </c>
      <c r="CJ12" s="636" t="s">
        <v>302</v>
      </c>
      <c r="CK12" s="636" t="s">
        <v>303</v>
      </c>
      <c r="CL12" s="636" t="s">
        <v>304</v>
      </c>
      <c r="CM12" s="636" t="s">
        <v>304</v>
      </c>
      <c r="CN12" s="637" t="s">
        <v>305</v>
      </c>
      <c r="CO12" s="636" t="s">
        <v>306</v>
      </c>
      <c r="CP12" s="636" t="s">
        <v>307</v>
      </c>
      <c r="CQ12" s="636" t="s">
        <v>308</v>
      </c>
      <c r="CR12" s="636" t="s">
        <v>309</v>
      </c>
      <c r="CS12" s="636" t="s">
        <v>310</v>
      </c>
      <c r="CT12" s="636" t="s">
        <v>311</v>
      </c>
      <c r="CU12" s="636" t="s">
        <v>312</v>
      </c>
      <c r="CV12" s="636" t="s">
        <v>313</v>
      </c>
      <c r="CW12" s="636" t="s">
        <v>314</v>
      </c>
      <c r="CX12" s="636" t="s">
        <v>315</v>
      </c>
      <c r="CY12" s="636" t="s">
        <v>316</v>
      </c>
      <c r="CZ12" s="636" t="s">
        <v>317</v>
      </c>
      <c r="DA12" s="636" t="s">
        <v>318</v>
      </c>
      <c r="DB12" s="636" t="s">
        <v>319</v>
      </c>
      <c r="DC12" s="636" t="s">
        <v>320</v>
      </c>
      <c r="DD12" s="636" t="s">
        <v>321</v>
      </c>
      <c r="DE12" s="636" t="s">
        <v>322</v>
      </c>
    </row>
    <row r="13" spans="2:109" ht="15" customHeight="1">
      <c r="B13" s="4"/>
      <c r="C13" s="5" t="s">
        <v>323</v>
      </c>
      <c r="D13" s="6"/>
      <c r="E13" s="6"/>
      <c r="F13" s="6"/>
      <c r="G13" s="6"/>
      <c r="H13" s="6"/>
      <c r="I13" s="6"/>
      <c r="J13" s="6"/>
      <c r="K13" s="6"/>
      <c r="L13" s="6"/>
      <c r="M13" s="6"/>
      <c r="N13" s="6"/>
      <c r="O13" s="6"/>
      <c r="P13" s="6"/>
      <c r="Q13" s="6"/>
      <c r="R13" s="6"/>
      <c r="S13" s="6"/>
      <c r="T13" s="6"/>
      <c r="U13" s="6"/>
      <c r="V13" s="6"/>
      <c r="W13" s="6"/>
      <c r="X13" s="6"/>
      <c r="Y13" s="6"/>
      <c r="Z13" s="6"/>
      <c r="AA13" s="6"/>
      <c r="AB13" s="6"/>
      <c r="AC13" s="6"/>
      <c r="AD13" s="10"/>
      <c r="AH13" s="633" t="s">
        <v>178</v>
      </c>
      <c r="AI13" s="631">
        <v>210</v>
      </c>
      <c r="AJ13" s="628"/>
      <c r="AK13" s="628"/>
      <c r="AL13" s="630" t="str">
        <f t="shared" si="0"/>
        <v>Ajalpan</v>
      </c>
      <c r="AM13" s="630">
        <f t="shared" si="1"/>
        <v>21010</v>
      </c>
      <c r="AO13" s="628"/>
      <c r="AP13" s="628">
        <v>11</v>
      </c>
      <c r="AQ13" s="634">
        <v>1010</v>
      </c>
      <c r="AR13" s="634"/>
      <c r="AS13" s="634"/>
      <c r="AT13" s="634">
        <v>4010</v>
      </c>
      <c r="AU13" s="634">
        <v>5010</v>
      </c>
      <c r="AV13" s="634">
        <v>6010</v>
      </c>
      <c r="AW13" s="634">
        <v>7010</v>
      </c>
      <c r="AX13" s="634">
        <v>8010</v>
      </c>
      <c r="AY13" s="634">
        <v>9011</v>
      </c>
      <c r="AZ13" s="634">
        <v>10010</v>
      </c>
      <c r="BA13" s="634">
        <v>11010</v>
      </c>
      <c r="BB13" s="634">
        <v>12010</v>
      </c>
      <c r="BC13" s="634">
        <v>13010</v>
      </c>
      <c r="BD13" s="634">
        <v>14010</v>
      </c>
      <c r="BE13" s="635">
        <v>15010</v>
      </c>
      <c r="BF13" s="634">
        <v>16010</v>
      </c>
      <c r="BG13" s="634">
        <v>17010</v>
      </c>
      <c r="BH13" s="634">
        <v>18010</v>
      </c>
      <c r="BI13" s="634">
        <v>19010</v>
      </c>
      <c r="BJ13" s="634">
        <v>20010</v>
      </c>
      <c r="BK13" s="634">
        <v>21010</v>
      </c>
      <c r="BL13" s="634">
        <v>22010</v>
      </c>
      <c r="BM13" s="634">
        <v>23010</v>
      </c>
      <c r="BN13" s="634">
        <v>24010</v>
      </c>
      <c r="BO13" s="634">
        <v>25010</v>
      </c>
      <c r="BP13" s="634">
        <v>26010</v>
      </c>
      <c r="BQ13" s="634">
        <v>27010</v>
      </c>
      <c r="BR13" s="634">
        <v>28010</v>
      </c>
      <c r="BS13" s="634">
        <v>29010</v>
      </c>
      <c r="BT13" s="634">
        <v>30010</v>
      </c>
      <c r="BU13" s="634">
        <v>31010</v>
      </c>
      <c r="BV13" s="634">
        <v>32010</v>
      </c>
      <c r="BW13" s="628"/>
      <c r="BX13" s="628"/>
      <c r="BY13" s="628"/>
      <c r="BZ13" s="636" t="s">
        <v>324</v>
      </c>
      <c r="CA13" s="636"/>
      <c r="CB13" s="636"/>
      <c r="CC13" s="636" t="s">
        <v>325</v>
      </c>
      <c r="CD13" s="636" t="s">
        <v>326</v>
      </c>
      <c r="CE13" s="636" t="s">
        <v>327</v>
      </c>
      <c r="CF13" s="636" t="s">
        <v>328</v>
      </c>
      <c r="CG13" s="636" t="s">
        <v>329</v>
      </c>
      <c r="CH13" s="636" t="s">
        <v>330</v>
      </c>
      <c r="CI13" s="636" t="s">
        <v>331</v>
      </c>
      <c r="CJ13" s="636" t="s">
        <v>332</v>
      </c>
      <c r="CK13" s="636" t="s">
        <v>333</v>
      </c>
      <c r="CL13" s="636" t="s">
        <v>334</v>
      </c>
      <c r="CM13" s="636" t="s">
        <v>335</v>
      </c>
      <c r="CN13" s="637" t="s">
        <v>336</v>
      </c>
      <c r="CO13" s="636" t="s">
        <v>142</v>
      </c>
      <c r="CP13" s="636" t="s">
        <v>337</v>
      </c>
      <c r="CQ13" s="636" t="s">
        <v>338</v>
      </c>
      <c r="CR13" s="636" t="s">
        <v>339</v>
      </c>
      <c r="CS13" s="636" t="s">
        <v>340</v>
      </c>
      <c r="CT13" s="636" t="s">
        <v>341</v>
      </c>
      <c r="CU13" s="636" t="s">
        <v>342</v>
      </c>
      <c r="CV13" s="636" t="s">
        <v>343</v>
      </c>
      <c r="CW13" s="636" t="s">
        <v>344</v>
      </c>
      <c r="CX13" s="636" t="s">
        <v>345</v>
      </c>
      <c r="CY13" s="636" t="s">
        <v>346</v>
      </c>
      <c r="CZ13" s="636" t="s">
        <v>347</v>
      </c>
      <c r="DA13" s="636" t="s">
        <v>348</v>
      </c>
      <c r="DB13" s="636" t="s">
        <v>349</v>
      </c>
      <c r="DC13" s="636" t="s">
        <v>350</v>
      </c>
      <c r="DD13" s="636" t="s">
        <v>351</v>
      </c>
      <c r="DE13" s="636" t="s">
        <v>352</v>
      </c>
    </row>
    <row r="14" spans="2:109" ht="36" customHeight="1" thickBot="1">
      <c r="B14" s="11"/>
      <c r="C14" s="730" t="s">
        <v>353</v>
      </c>
      <c r="D14" s="730"/>
      <c r="E14" s="730"/>
      <c r="F14" s="730"/>
      <c r="G14" s="730"/>
      <c r="H14" s="730"/>
      <c r="I14" s="730"/>
      <c r="J14" s="730"/>
      <c r="K14" s="730"/>
      <c r="L14" s="730"/>
      <c r="M14" s="730"/>
      <c r="N14" s="730"/>
      <c r="O14" s="730"/>
      <c r="P14" s="730"/>
      <c r="Q14" s="730"/>
      <c r="R14" s="730"/>
      <c r="S14" s="730"/>
      <c r="T14" s="730"/>
      <c r="U14" s="730"/>
      <c r="V14" s="730"/>
      <c r="W14" s="730"/>
      <c r="X14" s="730"/>
      <c r="Y14" s="730"/>
      <c r="Z14" s="730"/>
      <c r="AA14" s="730"/>
      <c r="AB14" s="730"/>
      <c r="AC14" s="730"/>
      <c r="AD14" s="14"/>
      <c r="AH14" s="633" t="s">
        <v>354</v>
      </c>
      <c r="AI14" s="631">
        <v>211</v>
      </c>
      <c r="AJ14" s="628"/>
      <c r="AK14" s="628"/>
      <c r="AL14" s="630" t="str">
        <f t="shared" si="0"/>
        <v>Albino Zertuche</v>
      </c>
      <c r="AM14" s="630">
        <f t="shared" si="1"/>
        <v>21011</v>
      </c>
      <c r="AO14" s="628"/>
      <c r="AP14" s="628">
        <v>12</v>
      </c>
      <c r="AQ14" s="634">
        <v>1011</v>
      </c>
      <c r="AR14" s="634"/>
      <c r="AS14" s="634"/>
      <c r="AT14" s="634">
        <v>4011</v>
      </c>
      <c r="AU14" s="634">
        <v>5011</v>
      </c>
      <c r="AV14" s="639">
        <v>6099</v>
      </c>
      <c r="AW14" s="634">
        <v>7011</v>
      </c>
      <c r="AX14" s="634">
        <v>8011</v>
      </c>
      <c r="AY14" s="634">
        <v>9012</v>
      </c>
      <c r="AZ14" s="634">
        <v>10011</v>
      </c>
      <c r="BA14" s="634">
        <v>11011</v>
      </c>
      <c r="BB14" s="634">
        <v>12011</v>
      </c>
      <c r="BC14" s="634">
        <v>13011</v>
      </c>
      <c r="BD14" s="634">
        <v>14011</v>
      </c>
      <c r="BE14" s="635">
        <v>15011</v>
      </c>
      <c r="BF14" s="634">
        <v>16011</v>
      </c>
      <c r="BG14" s="634">
        <v>17011</v>
      </c>
      <c r="BH14" s="634">
        <v>18011</v>
      </c>
      <c r="BI14" s="634">
        <v>19011</v>
      </c>
      <c r="BJ14" s="634">
        <v>20011</v>
      </c>
      <c r="BK14" s="634">
        <v>21011</v>
      </c>
      <c r="BL14" s="634">
        <v>22011</v>
      </c>
      <c r="BM14" s="641">
        <v>23011</v>
      </c>
      <c r="BN14" s="634">
        <v>24011</v>
      </c>
      <c r="BO14" s="634">
        <v>25011</v>
      </c>
      <c r="BP14" s="634">
        <v>26011</v>
      </c>
      <c r="BQ14" s="634">
        <v>27011</v>
      </c>
      <c r="BR14" s="634">
        <v>28011</v>
      </c>
      <c r="BS14" s="634">
        <v>29011</v>
      </c>
      <c r="BT14" s="634">
        <v>30011</v>
      </c>
      <c r="BU14" s="634">
        <v>31011</v>
      </c>
      <c r="BV14" s="634">
        <v>32011</v>
      </c>
      <c r="BW14" s="628"/>
      <c r="BX14" s="628"/>
      <c r="BY14" s="628"/>
      <c r="BZ14" s="636" t="s">
        <v>355</v>
      </c>
      <c r="CA14" s="636"/>
      <c r="CB14" s="636"/>
      <c r="CC14" s="636" t="s">
        <v>356</v>
      </c>
      <c r="CD14" s="636" t="s">
        <v>357</v>
      </c>
      <c r="CE14" s="636" t="s">
        <v>201</v>
      </c>
      <c r="CF14" s="636" t="s">
        <v>358</v>
      </c>
      <c r="CG14" s="636" t="s">
        <v>259</v>
      </c>
      <c r="CH14" s="636" t="s">
        <v>359</v>
      </c>
      <c r="CI14" s="636" t="s">
        <v>360</v>
      </c>
      <c r="CJ14" s="636" t="s">
        <v>361</v>
      </c>
      <c r="CK14" s="636" t="s">
        <v>362</v>
      </c>
      <c r="CL14" s="636" t="s">
        <v>363</v>
      </c>
      <c r="CM14" s="636" t="s">
        <v>364</v>
      </c>
      <c r="CN14" s="637" t="s">
        <v>365</v>
      </c>
      <c r="CO14" s="636" t="s">
        <v>366</v>
      </c>
      <c r="CP14" s="636" t="s">
        <v>367</v>
      </c>
      <c r="CQ14" s="636" t="s">
        <v>368</v>
      </c>
      <c r="CR14" s="636" t="s">
        <v>369</v>
      </c>
      <c r="CS14" s="636" t="s">
        <v>370</v>
      </c>
      <c r="CT14" s="636" t="s">
        <v>371</v>
      </c>
      <c r="CU14" s="636" t="s">
        <v>372</v>
      </c>
      <c r="CV14" s="636" t="s">
        <v>373</v>
      </c>
      <c r="CW14" s="636" t="s">
        <v>374</v>
      </c>
      <c r="CX14" s="636" t="s">
        <v>375</v>
      </c>
      <c r="CY14" s="636" t="s">
        <v>376</v>
      </c>
      <c r="CZ14" s="636" t="s">
        <v>377</v>
      </c>
      <c r="DA14" s="636" t="s">
        <v>378</v>
      </c>
      <c r="DB14" s="636" t="s">
        <v>379</v>
      </c>
      <c r="DC14" s="636" t="s">
        <v>380</v>
      </c>
      <c r="DD14" s="636" t="s">
        <v>381</v>
      </c>
      <c r="DE14" s="636" t="s">
        <v>382</v>
      </c>
    </row>
    <row r="15" spans="2:109" ht="15" customHeight="1" thickBot="1">
      <c r="AH15" s="633" t="s">
        <v>383</v>
      </c>
      <c r="AI15" s="631">
        <v>212</v>
      </c>
      <c r="AJ15" s="628"/>
      <c r="AK15" s="628"/>
      <c r="AL15" s="630" t="str">
        <f t="shared" si="0"/>
        <v>Aljojuca</v>
      </c>
      <c r="AM15" s="630">
        <f t="shared" si="1"/>
        <v>21012</v>
      </c>
      <c r="AO15" s="628"/>
      <c r="AP15" s="628">
        <v>13</v>
      </c>
      <c r="AQ15" s="639">
        <v>1099</v>
      </c>
      <c r="AR15" s="634"/>
      <c r="AS15" s="634"/>
      <c r="AT15" s="634">
        <v>4012</v>
      </c>
      <c r="AU15" s="634">
        <v>5012</v>
      </c>
      <c r="AV15" s="634"/>
      <c r="AW15" s="634">
        <v>7012</v>
      </c>
      <c r="AX15" s="634">
        <v>8012</v>
      </c>
      <c r="AY15" s="634">
        <v>9013</v>
      </c>
      <c r="AZ15" s="634">
        <v>10012</v>
      </c>
      <c r="BA15" s="634">
        <v>11012</v>
      </c>
      <c r="BB15" s="634">
        <v>12012</v>
      </c>
      <c r="BC15" s="634">
        <v>13012</v>
      </c>
      <c r="BD15" s="634">
        <v>14012</v>
      </c>
      <c r="BE15" s="635">
        <v>15012</v>
      </c>
      <c r="BF15" s="634">
        <v>16012</v>
      </c>
      <c r="BG15" s="634">
        <v>17012</v>
      </c>
      <c r="BH15" s="634">
        <v>18012</v>
      </c>
      <c r="BI15" s="634">
        <v>19012</v>
      </c>
      <c r="BJ15" s="634">
        <v>20012</v>
      </c>
      <c r="BK15" s="634">
        <v>21012</v>
      </c>
      <c r="BL15" s="634">
        <v>22012</v>
      </c>
      <c r="BM15" s="634">
        <v>23099</v>
      </c>
      <c r="BN15" s="634">
        <v>24012</v>
      </c>
      <c r="BO15" s="634">
        <v>25012</v>
      </c>
      <c r="BP15" s="634">
        <v>26012</v>
      </c>
      <c r="BQ15" s="634">
        <v>27012</v>
      </c>
      <c r="BR15" s="634">
        <v>28012</v>
      </c>
      <c r="BS15" s="634">
        <v>29012</v>
      </c>
      <c r="BT15" s="634">
        <v>30012</v>
      </c>
      <c r="BU15" s="634">
        <v>31012</v>
      </c>
      <c r="BV15" s="634">
        <v>32012</v>
      </c>
      <c r="BW15" s="628"/>
      <c r="BY15" s="628"/>
      <c r="BZ15" s="636" t="s">
        <v>201</v>
      </c>
      <c r="CA15" s="636"/>
      <c r="CB15" s="636"/>
      <c r="CC15" s="636" t="s">
        <v>384</v>
      </c>
      <c r="CD15" s="636" t="s">
        <v>383</v>
      </c>
      <c r="CE15" s="636"/>
      <c r="CF15" s="636" t="s">
        <v>385</v>
      </c>
      <c r="CG15" s="636" t="s">
        <v>386</v>
      </c>
      <c r="CH15" s="636" t="s">
        <v>387</v>
      </c>
      <c r="CI15" s="636" t="s">
        <v>388</v>
      </c>
      <c r="CJ15" s="636" t="s">
        <v>389</v>
      </c>
      <c r="CK15" s="636" t="s">
        <v>390</v>
      </c>
      <c r="CL15" s="636" t="s">
        <v>391</v>
      </c>
      <c r="CM15" s="636" t="s">
        <v>392</v>
      </c>
      <c r="CN15" s="637" t="s">
        <v>393</v>
      </c>
      <c r="CO15" s="636" t="s">
        <v>394</v>
      </c>
      <c r="CP15" s="636" t="s">
        <v>395</v>
      </c>
      <c r="CQ15" s="636" t="s">
        <v>396</v>
      </c>
      <c r="CR15" s="636" t="s">
        <v>397</v>
      </c>
      <c r="CS15" s="636" t="s">
        <v>398</v>
      </c>
      <c r="CT15" s="636" t="s">
        <v>399</v>
      </c>
      <c r="CU15" s="636" t="s">
        <v>400</v>
      </c>
      <c r="CV15" s="636" t="s">
        <v>201</v>
      </c>
      <c r="CW15" s="636" t="s">
        <v>401</v>
      </c>
      <c r="CX15" s="636" t="s">
        <v>402</v>
      </c>
      <c r="CY15" s="636" t="s">
        <v>403</v>
      </c>
      <c r="CZ15" s="636" t="s">
        <v>404</v>
      </c>
      <c r="DA15" s="636" t="s">
        <v>405</v>
      </c>
      <c r="DB15" s="636" t="s">
        <v>406</v>
      </c>
      <c r="DC15" s="636" t="s">
        <v>407</v>
      </c>
      <c r="DD15" s="636" t="s">
        <v>408</v>
      </c>
      <c r="DE15" s="636" t="s">
        <v>409</v>
      </c>
    </row>
    <row r="16" spans="2:109" ht="15" customHeight="1">
      <c r="B16" s="32"/>
      <c r="C16" s="33"/>
      <c r="D16" s="33"/>
      <c r="E16" s="33"/>
      <c r="F16" s="33"/>
      <c r="G16" s="33"/>
      <c r="H16" s="33"/>
      <c r="I16" s="33"/>
      <c r="J16" s="33"/>
      <c r="K16" s="33"/>
      <c r="L16" s="33"/>
      <c r="M16" s="33"/>
      <c r="N16" s="33"/>
      <c r="O16" s="33"/>
      <c r="P16" s="33"/>
      <c r="Q16" s="33"/>
      <c r="R16" s="33"/>
      <c r="S16" s="33"/>
      <c r="T16" s="33"/>
      <c r="U16" s="33"/>
      <c r="V16" s="33"/>
      <c r="W16" s="33"/>
      <c r="X16" s="33"/>
      <c r="Y16" s="33"/>
      <c r="Z16" s="33"/>
      <c r="AA16" s="33"/>
      <c r="AB16" s="33"/>
      <c r="AC16" s="33"/>
      <c r="AD16" s="34"/>
      <c r="AH16" s="633" t="s">
        <v>331</v>
      </c>
      <c r="AI16" s="631">
        <v>213</v>
      </c>
      <c r="AJ16" s="628"/>
      <c r="AK16" s="628"/>
      <c r="AL16" s="630" t="str">
        <f t="shared" si="0"/>
        <v>Altepexi</v>
      </c>
      <c r="AM16" s="630">
        <f t="shared" si="1"/>
        <v>21013</v>
      </c>
      <c r="AO16" s="628"/>
      <c r="AP16" s="628">
        <v>14</v>
      </c>
      <c r="AQ16" s="634"/>
      <c r="AR16" s="634"/>
      <c r="AS16" s="634"/>
      <c r="AT16" s="634">
        <v>4013</v>
      </c>
      <c r="AU16" s="634">
        <v>5013</v>
      </c>
      <c r="AV16" s="634"/>
      <c r="AW16" s="634">
        <v>7013</v>
      </c>
      <c r="AX16" s="634">
        <v>8013</v>
      </c>
      <c r="AY16" s="634">
        <v>9014</v>
      </c>
      <c r="AZ16" s="634">
        <v>10013</v>
      </c>
      <c r="BA16" s="634">
        <v>11013</v>
      </c>
      <c r="BB16" s="634">
        <v>12013</v>
      </c>
      <c r="BC16" s="634">
        <v>13013</v>
      </c>
      <c r="BD16" s="634">
        <v>14013</v>
      </c>
      <c r="BE16" s="635">
        <v>15013</v>
      </c>
      <c r="BF16" s="634">
        <v>16013</v>
      </c>
      <c r="BG16" s="634">
        <v>17013</v>
      </c>
      <c r="BH16" s="634">
        <v>18013</v>
      </c>
      <c r="BI16" s="634">
        <v>19013</v>
      </c>
      <c r="BJ16" s="634">
        <v>20013</v>
      </c>
      <c r="BK16" s="634">
        <v>21013</v>
      </c>
      <c r="BL16" s="634">
        <v>22013</v>
      </c>
      <c r="BM16" s="634"/>
      <c r="BN16" s="634">
        <v>24013</v>
      </c>
      <c r="BO16" s="634">
        <v>25013</v>
      </c>
      <c r="BP16" s="634">
        <v>26013</v>
      </c>
      <c r="BQ16" s="634">
        <v>27013</v>
      </c>
      <c r="BR16" s="634">
        <v>28013</v>
      </c>
      <c r="BS16" s="634">
        <v>29013</v>
      </c>
      <c r="BT16" s="634">
        <v>30013</v>
      </c>
      <c r="BU16" s="634">
        <v>31013</v>
      </c>
      <c r="BV16" s="634">
        <v>32013</v>
      </c>
      <c r="BW16" s="628"/>
      <c r="BX16" s="628"/>
      <c r="BY16" s="628"/>
      <c r="BZ16" s="636"/>
      <c r="CA16" s="636"/>
      <c r="CB16" s="636"/>
      <c r="CC16" s="636" t="s">
        <v>410</v>
      </c>
      <c r="CD16" s="636" t="s">
        <v>331</v>
      </c>
      <c r="CE16" s="636"/>
      <c r="CF16" s="636" t="s">
        <v>411</v>
      </c>
      <c r="CG16" s="636" t="s">
        <v>412</v>
      </c>
      <c r="CH16" s="636" t="s">
        <v>167</v>
      </c>
      <c r="CI16" s="636" t="s">
        <v>413</v>
      </c>
      <c r="CJ16" s="636" t="s">
        <v>414</v>
      </c>
      <c r="CK16" s="636" t="s">
        <v>415</v>
      </c>
      <c r="CL16" s="636" t="s">
        <v>416</v>
      </c>
      <c r="CM16" s="636" t="s">
        <v>417</v>
      </c>
      <c r="CN16" s="637" t="s">
        <v>418</v>
      </c>
      <c r="CO16" s="636" t="s">
        <v>419</v>
      </c>
      <c r="CP16" s="638" t="s">
        <v>420</v>
      </c>
      <c r="CQ16" s="636" t="s">
        <v>421</v>
      </c>
      <c r="CR16" s="636" t="s">
        <v>422</v>
      </c>
      <c r="CS16" s="636" t="s">
        <v>423</v>
      </c>
      <c r="CT16" s="636" t="s">
        <v>424</v>
      </c>
      <c r="CU16" s="636" t="s">
        <v>425</v>
      </c>
      <c r="CV16" s="636"/>
      <c r="CW16" s="636" t="s">
        <v>426</v>
      </c>
      <c r="CX16" s="636" t="s">
        <v>427</v>
      </c>
      <c r="CY16" s="636" t="s">
        <v>428</v>
      </c>
      <c r="CZ16" s="636" t="s">
        <v>429</v>
      </c>
      <c r="DA16" s="636" t="s">
        <v>430</v>
      </c>
      <c r="DB16" s="636" t="s">
        <v>431</v>
      </c>
      <c r="DC16" s="636" t="s">
        <v>432</v>
      </c>
      <c r="DD16" s="636" t="s">
        <v>433</v>
      </c>
      <c r="DE16" s="636" t="s">
        <v>434</v>
      </c>
    </row>
    <row r="17" spans="2:109" ht="48" customHeight="1">
      <c r="B17" s="35"/>
      <c r="C17" s="731" t="s">
        <v>435</v>
      </c>
      <c r="D17" s="731"/>
      <c r="E17" s="731"/>
      <c r="F17" s="731"/>
      <c r="G17" s="731"/>
      <c r="H17" s="731"/>
      <c r="I17" s="731"/>
      <c r="J17" s="731"/>
      <c r="K17" s="731"/>
      <c r="L17" s="731"/>
      <c r="M17" s="731"/>
      <c r="N17" s="731"/>
      <c r="O17" s="731"/>
      <c r="P17" s="731"/>
      <c r="Q17" s="731"/>
      <c r="R17" s="731"/>
      <c r="S17" s="731"/>
      <c r="T17" s="731"/>
      <c r="U17" s="731"/>
      <c r="V17" s="731"/>
      <c r="W17" s="731"/>
      <c r="X17" s="731"/>
      <c r="Y17" s="731"/>
      <c r="Z17" s="731"/>
      <c r="AA17" s="731"/>
      <c r="AB17" s="731"/>
      <c r="AC17" s="731"/>
      <c r="AD17" s="37"/>
      <c r="AH17" s="633" t="s">
        <v>436</v>
      </c>
      <c r="AI17" s="631">
        <v>214</v>
      </c>
      <c r="AJ17" s="628"/>
      <c r="AK17" s="628"/>
      <c r="AL17" s="630" t="str">
        <f t="shared" si="0"/>
        <v>Amixtlán</v>
      </c>
      <c r="AM17" s="630">
        <f t="shared" si="1"/>
        <v>21014</v>
      </c>
      <c r="AO17" s="628"/>
      <c r="AP17" s="628">
        <v>15</v>
      </c>
      <c r="AQ17" s="634"/>
      <c r="AR17" s="634"/>
      <c r="AS17" s="634"/>
      <c r="AT17" s="639">
        <v>4099</v>
      </c>
      <c r="AU17" s="634">
        <v>5014</v>
      </c>
      <c r="AV17" s="634"/>
      <c r="AW17" s="634">
        <v>7014</v>
      </c>
      <c r="AX17" s="634">
        <v>8014</v>
      </c>
      <c r="AY17" s="634">
        <v>9015</v>
      </c>
      <c r="AZ17" s="634">
        <v>10014</v>
      </c>
      <c r="BA17" s="634">
        <v>11014</v>
      </c>
      <c r="BB17" s="634">
        <v>12014</v>
      </c>
      <c r="BC17" s="634">
        <v>13014</v>
      </c>
      <c r="BD17" s="634">
        <v>14014</v>
      </c>
      <c r="BE17" s="635">
        <v>15014</v>
      </c>
      <c r="BF17" s="634">
        <v>16014</v>
      </c>
      <c r="BG17" s="634">
        <v>17014</v>
      </c>
      <c r="BH17" s="634">
        <v>18014</v>
      </c>
      <c r="BI17" s="634">
        <v>19014</v>
      </c>
      <c r="BJ17" s="634">
        <v>20014</v>
      </c>
      <c r="BK17" s="634">
        <v>21014</v>
      </c>
      <c r="BL17" s="634">
        <v>22014</v>
      </c>
      <c r="BM17" s="634"/>
      <c r="BN17" s="634">
        <v>24014</v>
      </c>
      <c r="BO17" s="634">
        <v>25014</v>
      </c>
      <c r="BP17" s="634">
        <v>26014</v>
      </c>
      <c r="BQ17" s="634">
        <v>27014</v>
      </c>
      <c r="BR17" s="634">
        <v>28014</v>
      </c>
      <c r="BS17" s="634">
        <v>29014</v>
      </c>
      <c r="BT17" s="634">
        <v>30014</v>
      </c>
      <c r="BU17" s="634">
        <v>31014</v>
      </c>
      <c r="BV17" s="634">
        <v>32014</v>
      </c>
      <c r="BW17" s="628"/>
      <c r="BX17" s="628"/>
      <c r="BY17" s="628"/>
      <c r="BZ17" s="636"/>
      <c r="CA17" s="636"/>
      <c r="CB17" s="636"/>
      <c r="CC17" s="636" t="s">
        <v>201</v>
      </c>
      <c r="CD17" s="636" t="s">
        <v>437</v>
      </c>
      <c r="CE17" s="636"/>
      <c r="CF17" s="636" t="s">
        <v>438</v>
      </c>
      <c r="CG17" s="636" t="s">
        <v>439</v>
      </c>
      <c r="CH17" s="636" t="s">
        <v>174</v>
      </c>
      <c r="CI17" s="636" t="s">
        <v>440</v>
      </c>
      <c r="CJ17" s="636" t="s">
        <v>441</v>
      </c>
      <c r="CK17" s="636" t="s">
        <v>167</v>
      </c>
      <c r="CL17" s="636" t="s">
        <v>442</v>
      </c>
      <c r="CM17" s="636" t="s">
        <v>443</v>
      </c>
      <c r="CN17" s="637" t="s">
        <v>444</v>
      </c>
      <c r="CO17" s="636" t="s">
        <v>445</v>
      </c>
      <c r="CP17" s="636" t="s">
        <v>446</v>
      </c>
      <c r="CQ17" s="636" t="s">
        <v>447</v>
      </c>
      <c r="CR17" s="636" t="s">
        <v>448</v>
      </c>
      <c r="CS17" s="636" t="s">
        <v>449</v>
      </c>
      <c r="CT17" s="636" t="s">
        <v>450</v>
      </c>
      <c r="CU17" s="636" t="s">
        <v>451</v>
      </c>
      <c r="CV17" s="636"/>
      <c r="CW17" s="636" t="s">
        <v>452</v>
      </c>
      <c r="CX17" s="636" t="s">
        <v>453</v>
      </c>
      <c r="CY17" s="636" t="s">
        <v>454</v>
      </c>
      <c r="CZ17" s="636" t="s">
        <v>455</v>
      </c>
      <c r="DA17" s="636" t="s">
        <v>383</v>
      </c>
      <c r="DB17" s="636" t="s">
        <v>456</v>
      </c>
      <c r="DC17" s="636" t="s">
        <v>457</v>
      </c>
      <c r="DD17" s="636" t="s">
        <v>458</v>
      </c>
      <c r="DE17" s="636" t="s">
        <v>459</v>
      </c>
    </row>
    <row r="18" spans="2:109" ht="6.75" customHeight="1">
      <c r="B18" s="35"/>
      <c r="C18" s="38"/>
      <c r="D18" s="38"/>
      <c r="E18" s="38"/>
      <c r="F18" s="38"/>
      <c r="G18" s="38"/>
      <c r="H18" s="38"/>
      <c r="I18" s="38"/>
      <c r="J18" s="38"/>
      <c r="K18" s="38"/>
      <c r="L18" s="38"/>
      <c r="M18" s="38"/>
      <c r="N18" s="38"/>
      <c r="O18" s="38"/>
      <c r="P18" s="38"/>
      <c r="Q18" s="38"/>
      <c r="R18" s="38"/>
      <c r="S18" s="38"/>
      <c r="T18" s="38"/>
      <c r="U18" s="38"/>
      <c r="V18" s="38"/>
      <c r="W18" s="38"/>
      <c r="X18" s="38"/>
      <c r="Y18" s="38"/>
      <c r="Z18" s="38"/>
      <c r="AA18" s="38"/>
      <c r="AB18" s="38"/>
      <c r="AC18" s="38"/>
      <c r="AD18" s="37"/>
      <c r="AH18" s="633" t="s">
        <v>460</v>
      </c>
      <c r="AI18" s="631">
        <v>215</v>
      </c>
      <c r="AJ18" s="628"/>
      <c r="AK18" s="628"/>
      <c r="AL18" s="630" t="str">
        <f t="shared" si="0"/>
        <v>Amozoc</v>
      </c>
      <c r="AM18" s="630">
        <f t="shared" si="1"/>
        <v>21015</v>
      </c>
      <c r="AO18" s="628"/>
      <c r="AP18" s="628">
        <v>16</v>
      </c>
      <c r="AQ18" s="634"/>
      <c r="AR18" s="634"/>
      <c r="AS18" s="634"/>
      <c r="AT18" s="634"/>
      <c r="AU18" s="634">
        <v>5015</v>
      </c>
      <c r="AV18" s="634"/>
      <c r="AW18" s="634">
        <v>7015</v>
      </c>
      <c r="AX18" s="634">
        <v>8015</v>
      </c>
      <c r="AY18" s="634">
        <v>9016</v>
      </c>
      <c r="AZ18" s="634">
        <v>10015</v>
      </c>
      <c r="BA18" s="634">
        <v>11015</v>
      </c>
      <c r="BB18" s="634">
        <v>12015</v>
      </c>
      <c r="BC18" s="634">
        <v>13015</v>
      </c>
      <c r="BD18" s="634">
        <v>14015</v>
      </c>
      <c r="BE18" s="635">
        <v>15015</v>
      </c>
      <c r="BF18" s="634">
        <v>16015</v>
      </c>
      <c r="BG18" s="634">
        <v>17015</v>
      </c>
      <c r="BH18" s="634">
        <v>18015</v>
      </c>
      <c r="BI18" s="634">
        <v>19015</v>
      </c>
      <c r="BJ18" s="634">
        <v>20015</v>
      </c>
      <c r="BK18" s="634">
        <v>21015</v>
      </c>
      <c r="BL18" s="634">
        <v>22015</v>
      </c>
      <c r="BM18" s="634"/>
      <c r="BN18" s="634">
        <v>24015</v>
      </c>
      <c r="BO18" s="634">
        <v>25015</v>
      </c>
      <c r="BP18" s="634">
        <v>26015</v>
      </c>
      <c r="BQ18" s="634">
        <v>27015</v>
      </c>
      <c r="BR18" s="634">
        <v>28015</v>
      </c>
      <c r="BS18" s="634">
        <v>29015</v>
      </c>
      <c r="BT18" s="634">
        <v>30015</v>
      </c>
      <c r="BU18" s="634">
        <v>31015</v>
      </c>
      <c r="BV18" s="634">
        <v>32015</v>
      </c>
      <c r="BW18" s="628"/>
      <c r="BX18" s="628"/>
      <c r="BY18" s="628"/>
      <c r="BZ18" s="636"/>
      <c r="CA18" s="636"/>
      <c r="CB18" s="636"/>
      <c r="CC18" s="636"/>
      <c r="CD18" s="636" t="s">
        <v>461</v>
      </c>
      <c r="CE18" s="636"/>
      <c r="CF18" s="636" t="s">
        <v>462</v>
      </c>
      <c r="CG18" s="636" t="s">
        <v>463</v>
      </c>
      <c r="CH18" s="636" t="s">
        <v>464</v>
      </c>
      <c r="CI18" s="636" t="s">
        <v>465</v>
      </c>
      <c r="CJ18" s="636" t="s">
        <v>354</v>
      </c>
      <c r="CK18" s="636" t="s">
        <v>466</v>
      </c>
      <c r="CL18" s="636" t="s">
        <v>467</v>
      </c>
      <c r="CM18" s="636" t="s">
        <v>468</v>
      </c>
      <c r="CN18" s="637" t="s">
        <v>469</v>
      </c>
      <c r="CO18" s="636" t="s">
        <v>470</v>
      </c>
      <c r="CP18" s="636" t="s">
        <v>471</v>
      </c>
      <c r="CQ18" s="636" t="s">
        <v>472</v>
      </c>
      <c r="CR18" s="636" t="s">
        <v>473</v>
      </c>
      <c r="CS18" s="636" t="s">
        <v>474</v>
      </c>
      <c r="CT18" s="636" t="s">
        <v>475</v>
      </c>
      <c r="CU18" s="636" t="s">
        <v>476</v>
      </c>
      <c r="CV18" s="636"/>
      <c r="CW18" s="636" t="s">
        <v>477</v>
      </c>
      <c r="CX18" s="636" t="s">
        <v>478</v>
      </c>
      <c r="CY18" s="636" t="s">
        <v>479</v>
      </c>
      <c r="CZ18" s="636" t="s">
        <v>480</v>
      </c>
      <c r="DA18" s="636" t="s">
        <v>481</v>
      </c>
      <c r="DB18" s="636" t="s">
        <v>482</v>
      </c>
      <c r="DC18" s="636" t="s">
        <v>483</v>
      </c>
      <c r="DD18" s="636" t="s">
        <v>484</v>
      </c>
      <c r="DE18" s="636" t="s">
        <v>485</v>
      </c>
    </row>
    <row r="19" spans="2:109" ht="36" customHeight="1">
      <c r="B19" s="35"/>
      <c r="C19" s="731" t="s">
        <v>486</v>
      </c>
      <c r="D19" s="731"/>
      <c r="E19" s="731"/>
      <c r="F19" s="731"/>
      <c r="G19" s="731"/>
      <c r="H19" s="731"/>
      <c r="I19" s="731"/>
      <c r="J19" s="731"/>
      <c r="K19" s="731"/>
      <c r="L19" s="731"/>
      <c r="M19" s="731"/>
      <c r="N19" s="731"/>
      <c r="O19" s="731"/>
      <c r="P19" s="731"/>
      <c r="Q19" s="731"/>
      <c r="R19" s="731"/>
      <c r="S19" s="731"/>
      <c r="T19" s="731"/>
      <c r="U19" s="731"/>
      <c r="V19" s="731"/>
      <c r="W19" s="731"/>
      <c r="X19" s="731"/>
      <c r="Y19" s="731"/>
      <c r="Z19" s="731"/>
      <c r="AA19" s="731"/>
      <c r="AB19" s="731"/>
      <c r="AC19" s="731"/>
      <c r="AD19" s="37"/>
      <c r="AH19" s="633" t="s">
        <v>487</v>
      </c>
      <c r="AI19" s="631">
        <v>216</v>
      </c>
      <c r="AJ19" s="628"/>
      <c r="AK19" s="628"/>
      <c r="AL19" s="630" t="str">
        <f t="shared" si="0"/>
        <v>Aquixtla</v>
      </c>
      <c r="AM19" s="630">
        <f t="shared" si="1"/>
        <v>21016</v>
      </c>
      <c r="AO19" s="628"/>
      <c r="AP19" s="628">
        <v>17</v>
      </c>
      <c r="AQ19" s="634"/>
      <c r="AR19" s="634"/>
      <c r="AS19" s="634"/>
      <c r="AT19" s="634"/>
      <c r="AU19" s="634">
        <v>5016</v>
      </c>
      <c r="AV19" s="634"/>
      <c r="AW19" s="634">
        <v>7016</v>
      </c>
      <c r="AX19" s="634">
        <v>8016</v>
      </c>
      <c r="AY19" s="634">
        <v>9017</v>
      </c>
      <c r="AZ19" s="634">
        <v>10016</v>
      </c>
      <c r="BA19" s="634">
        <v>11016</v>
      </c>
      <c r="BB19" s="634">
        <v>12016</v>
      </c>
      <c r="BC19" s="634">
        <v>13016</v>
      </c>
      <c r="BD19" s="634">
        <v>14016</v>
      </c>
      <c r="BE19" s="635">
        <v>15016</v>
      </c>
      <c r="BF19" s="634">
        <v>16016</v>
      </c>
      <c r="BG19" s="634">
        <v>17016</v>
      </c>
      <c r="BH19" s="634">
        <v>18016</v>
      </c>
      <c r="BI19" s="634">
        <v>19016</v>
      </c>
      <c r="BJ19" s="634">
        <v>20016</v>
      </c>
      <c r="BK19" s="634">
        <v>21016</v>
      </c>
      <c r="BL19" s="634">
        <v>22016</v>
      </c>
      <c r="BM19" s="634"/>
      <c r="BN19" s="634">
        <v>24016</v>
      </c>
      <c r="BO19" s="634">
        <v>25016</v>
      </c>
      <c r="BP19" s="634">
        <v>26016</v>
      </c>
      <c r="BQ19" s="634">
        <v>27016</v>
      </c>
      <c r="BR19" s="634">
        <v>28016</v>
      </c>
      <c r="BS19" s="634">
        <v>29016</v>
      </c>
      <c r="BT19" s="634">
        <v>30016</v>
      </c>
      <c r="BU19" s="634">
        <v>31016</v>
      </c>
      <c r="BV19" s="634">
        <v>32016</v>
      </c>
      <c r="BW19" s="628"/>
      <c r="BX19" s="628"/>
      <c r="BY19" s="628"/>
      <c r="BZ19" s="636"/>
      <c r="CA19" s="636"/>
      <c r="CB19" s="636"/>
      <c r="CC19" s="636"/>
      <c r="CD19" s="636" t="s">
        <v>488</v>
      </c>
      <c r="CE19" s="636"/>
      <c r="CF19" s="636" t="s">
        <v>489</v>
      </c>
      <c r="CG19" s="636" t="s">
        <v>490</v>
      </c>
      <c r="CH19" s="636" t="s">
        <v>491</v>
      </c>
      <c r="CI19" s="636" t="s">
        <v>492</v>
      </c>
      <c r="CJ19" s="636" t="s">
        <v>493</v>
      </c>
      <c r="CK19" s="636" t="s">
        <v>494</v>
      </c>
      <c r="CL19" s="636" t="s">
        <v>495</v>
      </c>
      <c r="CM19" s="636" t="s">
        <v>496</v>
      </c>
      <c r="CN19" s="637" t="s">
        <v>497</v>
      </c>
      <c r="CO19" s="636" t="s">
        <v>498</v>
      </c>
      <c r="CP19" s="636" t="s">
        <v>499</v>
      </c>
      <c r="CQ19" s="636" t="s">
        <v>500</v>
      </c>
      <c r="CR19" s="636" t="s">
        <v>501</v>
      </c>
      <c r="CS19" s="636" t="s">
        <v>502</v>
      </c>
      <c r="CT19" s="636" t="s">
        <v>503</v>
      </c>
      <c r="CU19" s="636" t="s">
        <v>504</v>
      </c>
      <c r="CV19" s="636"/>
      <c r="CW19" s="636" t="s">
        <v>505</v>
      </c>
      <c r="CX19" s="636" t="s">
        <v>506</v>
      </c>
      <c r="CY19" s="636" t="s">
        <v>507</v>
      </c>
      <c r="CZ19" s="636" t="s">
        <v>508</v>
      </c>
      <c r="DA19" s="636" t="s">
        <v>331</v>
      </c>
      <c r="DB19" s="636" t="s">
        <v>509</v>
      </c>
      <c r="DC19" s="636" t="s">
        <v>510</v>
      </c>
      <c r="DD19" s="636" t="s">
        <v>511</v>
      </c>
      <c r="DE19" s="636" t="s">
        <v>512</v>
      </c>
    </row>
    <row r="20" spans="2:109" ht="6.75" customHeight="1">
      <c r="B20" s="35"/>
      <c r="C20" s="38"/>
      <c r="D20" s="38"/>
      <c r="E20" s="38"/>
      <c r="F20" s="38"/>
      <c r="G20" s="38"/>
      <c r="H20" s="38"/>
      <c r="I20" s="38"/>
      <c r="J20" s="38"/>
      <c r="K20" s="38"/>
      <c r="L20" s="38"/>
      <c r="M20" s="38"/>
      <c r="N20" s="38"/>
      <c r="O20" s="38"/>
      <c r="P20" s="38"/>
      <c r="Q20" s="38"/>
      <c r="R20" s="38"/>
      <c r="S20" s="38"/>
      <c r="T20" s="38"/>
      <c r="U20" s="38"/>
      <c r="V20" s="38"/>
      <c r="W20" s="38"/>
      <c r="X20" s="38"/>
      <c r="Y20" s="38"/>
      <c r="Z20" s="38"/>
      <c r="AA20" s="38"/>
      <c r="AB20" s="38"/>
      <c r="AC20" s="38"/>
      <c r="AD20" s="37"/>
      <c r="AH20" s="633" t="s">
        <v>513</v>
      </c>
      <c r="AI20" s="631">
        <v>217</v>
      </c>
      <c r="AJ20" s="628"/>
      <c r="AK20" s="628"/>
      <c r="AL20" s="630" t="str">
        <f t="shared" si="0"/>
        <v>Atempan</v>
      </c>
      <c r="AM20" s="630">
        <f t="shared" si="1"/>
        <v>21017</v>
      </c>
      <c r="AO20" s="628"/>
      <c r="AP20" s="628">
        <v>18</v>
      </c>
      <c r="AQ20" s="634"/>
      <c r="AR20" s="634"/>
      <c r="AS20" s="634"/>
      <c r="AT20" s="634"/>
      <c r="AU20" s="634">
        <v>5017</v>
      </c>
      <c r="AV20" s="634"/>
      <c r="AW20" s="634">
        <v>7017</v>
      </c>
      <c r="AX20" s="634">
        <v>8017</v>
      </c>
      <c r="AY20" s="639">
        <v>9099</v>
      </c>
      <c r="AZ20" s="634">
        <v>10017</v>
      </c>
      <c r="BA20" s="634">
        <v>11017</v>
      </c>
      <c r="BB20" s="634">
        <v>12017</v>
      </c>
      <c r="BC20" s="634">
        <v>13017</v>
      </c>
      <c r="BD20" s="634">
        <v>14017</v>
      </c>
      <c r="BE20" s="635">
        <v>15017</v>
      </c>
      <c r="BF20" s="634">
        <v>16017</v>
      </c>
      <c r="BG20" s="634">
        <v>17017</v>
      </c>
      <c r="BH20" s="634">
        <v>18017</v>
      </c>
      <c r="BI20" s="634">
        <v>19017</v>
      </c>
      <c r="BJ20" s="634">
        <v>20017</v>
      </c>
      <c r="BK20" s="634">
        <v>21017</v>
      </c>
      <c r="BL20" s="634">
        <v>22017</v>
      </c>
      <c r="BM20" s="634"/>
      <c r="BN20" s="634">
        <v>24017</v>
      </c>
      <c r="BO20" s="634">
        <v>25017</v>
      </c>
      <c r="BP20" s="634">
        <v>26017</v>
      </c>
      <c r="BQ20" s="634">
        <v>27017</v>
      </c>
      <c r="BR20" s="634">
        <v>28017</v>
      </c>
      <c r="BS20" s="634">
        <v>29017</v>
      </c>
      <c r="BT20" s="634">
        <v>30017</v>
      </c>
      <c r="BU20" s="634">
        <v>31017</v>
      </c>
      <c r="BV20" s="634">
        <v>32017</v>
      </c>
      <c r="BW20" s="628"/>
      <c r="BX20" s="628"/>
      <c r="BY20" s="628"/>
      <c r="BZ20" s="636"/>
      <c r="CA20" s="636"/>
      <c r="CB20" s="636"/>
      <c r="CC20" s="636"/>
      <c r="CD20" s="636" t="s">
        <v>514</v>
      </c>
      <c r="CE20" s="636"/>
      <c r="CF20" s="636" t="s">
        <v>515</v>
      </c>
      <c r="CG20" s="636" t="s">
        <v>174</v>
      </c>
      <c r="CH20" s="636" t="s">
        <v>201</v>
      </c>
      <c r="CI20" s="636" t="s">
        <v>516</v>
      </c>
      <c r="CJ20" s="636" t="s">
        <v>517</v>
      </c>
      <c r="CK20" s="636" t="s">
        <v>518</v>
      </c>
      <c r="CL20" s="636" t="s">
        <v>519</v>
      </c>
      <c r="CM20" s="636" t="s">
        <v>520</v>
      </c>
      <c r="CN20" s="637" t="s">
        <v>521</v>
      </c>
      <c r="CO20" s="636" t="s">
        <v>522</v>
      </c>
      <c r="CP20" s="636" t="s">
        <v>523</v>
      </c>
      <c r="CQ20" s="636" t="s">
        <v>524</v>
      </c>
      <c r="CR20" s="636" t="s">
        <v>525</v>
      </c>
      <c r="CS20" s="636" t="s">
        <v>526</v>
      </c>
      <c r="CT20" s="636" t="s">
        <v>527</v>
      </c>
      <c r="CU20" s="636" t="s">
        <v>528</v>
      </c>
      <c r="CV20" s="636"/>
      <c r="CW20" s="636" t="s">
        <v>529</v>
      </c>
      <c r="CX20" s="636" t="s">
        <v>530</v>
      </c>
      <c r="CY20" s="636" t="s">
        <v>531</v>
      </c>
      <c r="CZ20" s="636" t="s">
        <v>532</v>
      </c>
      <c r="DA20" s="636" t="s">
        <v>533</v>
      </c>
      <c r="DB20" s="636" t="s">
        <v>534</v>
      </c>
      <c r="DC20" s="636" t="s">
        <v>535</v>
      </c>
      <c r="DD20" s="636" t="s">
        <v>536</v>
      </c>
      <c r="DE20" s="636" t="s">
        <v>537</v>
      </c>
    </row>
    <row r="21" spans="2:109" ht="15" customHeight="1">
      <c r="B21" s="35"/>
      <c r="C21" s="731" t="s">
        <v>538</v>
      </c>
      <c r="D21" s="731"/>
      <c r="E21" s="731"/>
      <c r="F21" s="731"/>
      <c r="G21" s="731"/>
      <c r="H21" s="731"/>
      <c r="I21" s="731"/>
      <c r="J21" s="731"/>
      <c r="K21" s="731"/>
      <c r="L21" s="731"/>
      <c r="M21" s="731"/>
      <c r="N21" s="731"/>
      <c r="O21" s="731"/>
      <c r="P21" s="731"/>
      <c r="Q21" s="731"/>
      <c r="R21" s="731"/>
      <c r="S21" s="731"/>
      <c r="T21" s="731"/>
      <c r="U21" s="731"/>
      <c r="V21" s="731"/>
      <c r="W21" s="731"/>
      <c r="X21" s="731"/>
      <c r="Y21" s="731"/>
      <c r="Z21" s="731"/>
      <c r="AA21" s="731"/>
      <c r="AB21" s="731"/>
      <c r="AC21" s="731"/>
      <c r="AD21" s="37"/>
      <c r="AH21" s="633" t="s">
        <v>539</v>
      </c>
      <c r="AI21" s="631">
        <v>218</v>
      </c>
      <c r="AJ21" s="628"/>
      <c r="AK21" s="628"/>
      <c r="AL21" s="630" t="str">
        <f t="shared" si="0"/>
        <v>Atexcal</v>
      </c>
      <c r="AM21" s="630">
        <f t="shared" si="1"/>
        <v>21018</v>
      </c>
      <c r="AO21" s="628"/>
      <c r="AP21" s="628">
        <v>19</v>
      </c>
      <c r="AQ21" s="634"/>
      <c r="AR21" s="634"/>
      <c r="AS21" s="634"/>
      <c r="AT21" s="634"/>
      <c r="AU21" s="634">
        <v>5018</v>
      </c>
      <c r="AV21" s="634"/>
      <c r="AW21" s="634">
        <v>7018</v>
      </c>
      <c r="AX21" s="634">
        <v>8018</v>
      </c>
      <c r="AY21" s="634"/>
      <c r="AZ21" s="634">
        <v>10018</v>
      </c>
      <c r="BA21" s="634">
        <v>11018</v>
      </c>
      <c r="BB21" s="634">
        <v>12018</v>
      </c>
      <c r="BC21" s="634">
        <v>13018</v>
      </c>
      <c r="BD21" s="634">
        <v>14018</v>
      </c>
      <c r="BE21" s="635">
        <v>15018</v>
      </c>
      <c r="BF21" s="634">
        <v>16018</v>
      </c>
      <c r="BG21" s="634">
        <v>17018</v>
      </c>
      <c r="BH21" s="634">
        <v>18018</v>
      </c>
      <c r="BI21" s="634">
        <v>19018</v>
      </c>
      <c r="BJ21" s="634">
        <v>20018</v>
      </c>
      <c r="BK21" s="634">
        <v>21018</v>
      </c>
      <c r="BL21" s="634">
        <v>22018</v>
      </c>
      <c r="BM21" s="634"/>
      <c r="BN21" s="634">
        <v>24018</v>
      </c>
      <c r="BO21" s="634">
        <v>25018</v>
      </c>
      <c r="BP21" s="634">
        <v>26018</v>
      </c>
      <c r="BQ21" s="634">
        <v>27099</v>
      </c>
      <c r="BR21" s="634">
        <v>28018</v>
      </c>
      <c r="BS21" s="634">
        <v>29018</v>
      </c>
      <c r="BT21" s="634">
        <v>30018</v>
      </c>
      <c r="BU21" s="634">
        <v>31018</v>
      </c>
      <c r="BV21" s="634">
        <v>32018</v>
      </c>
      <c r="BW21" s="628"/>
      <c r="BX21" s="628"/>
      <c r="BY21" s="628"/>
      <c r="BZ21" s="636"/>
      <c r="CA21" s="636"/>
      <c r="CB21" s="636"/>
      <c r="CC21" s="636"/>
      <c r="CD21" s="636" t="s">
        <v>540</v>
      </c>
      <c r="CE21" s="636"/>
      <c r="CF21" s="636" t="s">
        <v>541</v>
      </c>
      <c r="CG21" s="636" t="s">
        <v>542</v>
      </c>
      <c r="CH21" s="636"/>
      <c r="CI21" s="636" t="s">
        <v>543</v>
      </c>
      <c r="CJ21" s="636" t="s">
        <v>544</v>
      </c>
      <c r="CK21" s="636" t="s">
        <v>545</v>
      </c>
      <c r="CL21" s="636" t="s">
        <v>546</v>
      </c>
      <c r="CM21" s="636" t="s">
        <v>547</v>
      </c>
      <c r="CN21" s="637" t="s">
        <v>548</v>
      </c>
      <c r="CO21" s="636" t="s">
        <v>549</v>
      </c>
      <c r="CP21" s="636" t="s">
        <v>550</v>
      </c>
      <c r="CQ21" s="636" t="s">
        <v>551</v>
      </c>
      <c r="CR21" s="636" t="s">
        <v>552</v>
      </c>
      <c r="CS21" s="636" t="s">
        <v>553</v>
      </c>
      <c r="CT21" s="636" t="s">
        <v>554</v>
      </c>
      <c r="CU21" s="636" t="s">
        <v>555</v>
      </c>
      <c r="CV21" s="636"/>
      <c r="CW21" s="636" t="s">
        <v>556</v>
      </c>
      <c r="CX21" s="636" t="s">
        <v>557</v>
      </c>
      <c r="CY21" s="636" t="s">
        <v>558</v>
      </c>
      <c r="CZ21" s="636" t="s">
        <v>201</v>
      </c>
      <c r="DA21" s="636" t="s">
        <v>437</v>
      </c>
      <c r="DB21" s="636" t="s">
        <v>559</v>
      </c>
      <c r="DC21" s="636" t="s">
        <v>280</v>
      </c>
      <c r="DD21" s="636" t="s">
        <v>560</v>
      </c>
      <c r="DE21" s="636" t="s">
        <v>561</v>
      </c>
    </row>
    <row r="22" spans="2:109" ht="6.75" customHeight="1">
      <c r="B22" s="35"/>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7"/>
      <c r="AH22" s="633" t="s">
        <v>562</v>
      </c>
      <c r="AI22" s="631">
        <v>219</v>
      </c>
      <c r="AJ22" s="628"/>
      <c r="AK22" s="628"/>
      <c r="AL22" s="630" t="str">
        <f t="shared" si="0"/>
        <v>Atlixco</v>
      </c>
      <c r="AM22" s="630">
        <f t="shared" si="1"/>
        <v>21019</v>
      </c>
      <c r="AO22" s="628"/>
      <c r="AP22" s="628">
        <v>20</v>
      </c>
      <c r="AQ22" s="634"/>
      <c r="AR22" s="634"/>
      <c r="AS22" s="634"/>
      <c r="AT22" s="634"/>
      <c r="AU22" s="634">
        <v>5019</v>
      </c>
      <c r="AV22" s="634"/>
      <c r="AW22" s="634">
        <v>7019</v>
      </c>
      <c r="AX22" s="634">
        <v>8019</v>
      </c>
      <c r="AY22" s="634"/>
      <c r="AZ22" s="634">
        <v>10019</v>
      </c>
      <c r="BA22" s="634">
        <v>11019</v>
      </c>
      <c r="BB22" s="634">
        <v>12019</v>
      </c>
      <c r="BC22" s="634">
        <v>13019</v>
      </c>
      <c r="BD22" s="634">
        <v>14019</v>
      </c>
      <c r="BE22" s="635">
        <v>15019</v>
      </c>
      <c r="BF22" s="634">
        <v>16019</v>
      </c>
      <c r="BG22" s="634">
        <v>17019</v>
      </c>
      <c r="BH22" s="634">
        <v>18019</v>
      </c>
      <c r="BI22" s="634">
        <v>19019</v>
      </c>
      <c r="BJ22" s="634">
        <v>20019</v>
      </c>
      <c r="BK22" s="634">
        <v>21019</v>
      </c>
      <c r="BL22" s="634">
        <v>22099</v>
      </c>
      <c r="BM22" s="634"/>
      <c r="BN22" s="634">
        <v>24019</v>
      </c>
      <c r="BO22" s="634">
        <v>25099</v>
      </c>
      <c r="BP22" s="634">
        <v>26019</v>
      </c>
      <c r="BQ22" s="634"/>
      <c r="BR22" s="634">
        <v>28019</v>
      </c>
      <c r="BS22" s="634">
        <v>29019</v>
      </c>
      <c r="BT22" s="634">
        <v>30019</v>
      </c>
      <c r="BU22" s="634">
        <v>31019</v>
      </c>
      <c r="BV22" s="634">
        <v>32019</v>
      </c>
      <c r="BW22" s="628"/>
      <c r="BX22" s="628"/>
      <c r="BY22" s="628"/>
      <c r="BZ22" s="636"/>
      <c r="CA22" s="636"/>
      <c r="CB22" s="636"/>
      <c r="CC22" s="636"/>
      <c r="CD22" s="636" t="s">
        <v>513</v>
      </c>
      <c r="CE22" s="636"/>
      <c r="CF22" s="636" t="s">
        <v>563</v>
      </c>
      <c r="CG22" s="636" t="s">
        <v>266</v>
      </c>
      <c r="CH22" s="636"/>
      <c r="CI22" s="636" t="s">
        <v>564</v>
      </c>
      <c r="CJ22" s="636" t="s">
        <v>565</v>
      </c>
      <c r="CK22" s="636" t="s">
        <v>566</v>
      </c>
      <c r="CL22" s="636" t="s">
        <v>567</v>
      </c>
      <c r="CM22" s="636" t="s">
        <v>568</v>
      </c>
      <c r="CN22" s="637" t="s">
        <v>569</v>
      </c>
      <c r="CO22" s="636" t="s">
        <v>570</v>
      </c>
      <c r="CP22" s="636" t="s">
        <v>571</v>
      </c>
      <c r="CQ22" s="636" t="s">
        <v>572</v>
      </c>
      <c r="CR22" s="636" t="s">
        <v>573</v>
      </c>
      <c r="CS22" s="636" t="s">
        <v>574</v>
      </c>
      <c r="CT22" s="636" t="s">
        <v>575</v>
      </c>
      <c r="CU22" s="636" t="s">
        <v>201</v>
      </c>
      <c r="CV22" s="636"/>
      <c r="CW22" s="636" t="s">
        <v>576</v>
      </c>
      <c r="CX22" s="636" t="s">
        <v>201</v>
      </c>
      <c r="CY22" s="636" t="s">
        <v>577</v>
      </c>
      <c r="CZ22" s="636"/>
      <c r="DA22" s="636" t="s">
        <v>578</v>
      </c>
      <c r="DB22" s="636" t="s">
        <v>579</v>
      </c>
      <c r="DC22" s="636" t="s">
        <v>580</v>
      </c>
      <c r="DD22" s="636" t="s">
        <v>581</v>
      </c>
      <c r="DE22" s="636" t="s">
        <v>582</v>
      </c>
    </row>
    <row r="23" spans="2:109" ht="48" customHeight="1">
      <c r="B23" s="35"/>
      <c r="C23" s="38"/>
      <c r="D23" s="731" t="s">
        <v>583</v>
      </c>
      <c r="E23" s="731"/>
      <c r="F23" s="731"/>
      <c r="G23" s="731"/>
      <c r="H23" s="731"/>
      <c r="I23" s="731"/>
      <c r="J23" s="731"/>
      <c r="K23" s="731"/>
      <c r="L23" s="731"/>
      <c r="M23" s="731"/>
      <c r="N23" s="731"/>
      <c r="O23" s="731"/>
      <c r="P23" s="731"/>
      <c r="Q23" s="731"/>
      <c r="R23" s="731"/>
      <c r="S23" s="731"/>
      <c r="T23" s="731"/>
      <c r="U23" s="731"/>
      <c r="V23" s="731"/>
      <c r="W23" s="731"/>
      <c r="X23" s="731"/>
      <c r="Y23" s="731"/>
      <c r="Z23" s="731"/>
      <c r="AA23" s="731"/>
      <c r="AB23" s="731"/>
      <c r="AC23" s="731"/>
      <c r="AD23" s="37"/>
      <c r="AH23" s="633" t="s">
        <v>584</v>
      </c>
      <c r="AI23" s="631">
        <v>220</v>
      </c>
      <c r="AJ23" s="628"/>
      <c r="AK23" s="628"/>
      <c r="AL23" s="630" t="str">
        <f t="shared" si="0"/>
        <v>Atoyatempan</v>
      </c>
      <c r="AM23" s="630">
        <f t="shared" si="1"/>
        <v>21020</v>
      </c>
      <c r="AO23" s="628"/>
      <c r="AP23" s="628">
        <v>21</v>
      </c>
      <c r="AQ23" s="634"/>
      <c r="AR23" s="634"/>
      <c r="AS23" s="634"/>
      <c r="AT23" s="634"/>
      <c r="AU23" s="634">
        <v>5020</v>
      </c>
      <c r="AV23" s="634"/>
      <c r="AW23" s="634">
        <v>7020</v>
      </c>
      <c r="AX23" s="634">
        <v>8020</v>
      </c>
      <c r="AY23" s="634"/>
      <c r="AZ23" s="634">
        <v>10020</v>
      </c>
      <c r="BA23" s="634">
        <v>11020</v>
      </c>
      <c r="BB23" s="634">
        <v>12020</v>
      </c>
      <c r="BC23" s="634">
        <v>13020</v>
      </c>
      <c r="BD23" s="634">
        <v>14020</v>
      </c>
      <c r="BE23" s="635">
        <v>15020</v>
      </c>
      <c r="BF23" s="634">
        <v>16020</v>
      </c>
      <c r="BG23" s="634">
        <v>17020</v>
      </c>
      <c r="BH23" s="634">
        <v>18020</v>
      </c>
      <c r="BI23" s="634">
        <v>19020</v>
      </c>
      <c r="BJ23" s="634">
        <v>20020</v>
      </c>
      <c r="BK23" s="634">
        <v>21020</v>
      </c>
      <c r="BL23" s="634"/>
      <c r="BM23" s="634"/>
      <c r="BN23" s="634">
        <v>24020</v>
      </c>
      <c r="BO23" s="634"/>
      <c r="BP23" s="634">
        <v>26020</v>
      </c>
      <c r="BQ23" s="634"/>
      <c r="BR23" s="634">
        <v>28020</v>
      </c>
      <c r="BS23" s="634">
        <v>29020</v>
      </c>
      <c r="BT23" s="634">
        <v>30020</v>
      </c>
      <c r="BU23" s="634">
        <v>31020</v>
      </c>
      <c r="BV23" s="634">
        <v>32020</v>
      </c>
      <c r="BW23" s="628"/>
      <c r="BX23" s="628"/>
      <c r="BY23" s="628"/>
      <c r="BZ23" s="636"/>
      <c r="CA23" s="636"/>
      <c r="CB23" s="636"/>
      <c r="CC23" s="636"/>
      <c r="CD23" s="636" t="s">
        <v>585</v>
      </c>
      <c r="CE23" s="636"/>
      <c r="CF23" s="636" t="s">
        <v>586</v>
      </c>
      <c r="CG23" s="636" t="s">
        <v>587</v>
      </c>
      <c r="CH23" s="636"/>
      <c r="CI23" s="636" t="s">
        <v>588</v>
      </c>
      <c r="CJ23" s="636" t="s">
        <v>589</v>
      </c>
      <c r="CK23" s="636" t="s">
        <v>590</v>
      </c>
      <c r="CL23" s="636" t="s">
        <v>591</v>
      </c>
      <c r="CM23" s="636" t="s">
        <v>592</v>
      </c>
      <c r="CN23" s="637" t="s">
        <v>593</v>
      </c>
      <c r="CO23" s="636" t="s">
        <v>594</v>
      </c>
      <c r="CP23" s="636" t="s">
        <v>595</v>
      </c>
      <c r="CQ23" s="636" t="s">
        <v>596</v>
      </c>
      <c r="CR23" s="636" t="s">
        <v>597</v>
      </c>
      <c r="CS23" s="636" t="s">
        <v>598</v>
      </c>
      <c r="CT23" s="636" t="s">
        <v>599</v>
      </c>
      <c r="CU23" s="636"/>
      <c r="CV23" s="636"/>
      <c r="CW23" s="636" t="s">
        <v>600</v>
      </c>
      <c r="CX23" s="636"/>
      <c r="CY23" s="636" t="s">
        <v>601</v>
      </c>
      <c r="CZ23" s="636"/>
      <c r="DA23" s="636" t="s">
        <v>602</v>
      </c>
      <c r="DB23" s="636" t="s">
        <v>603</v>
      </c>
      <c r="DC23" s="636" t="s">
        <v>604</v>
      </c>
      <c r="DD23" s="636" t="s">
        <v>605</v>
      </c>
      <c r="DE23" s="636" t="s">
        <v>606</v>
      </c>
    </row>
    <row r="24" spans="2:109" ht="6.75" customHeight="1">
      <c r="B24" s="35"/>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7"/>
      <c r="AH24" s="633" t="s">
        <v>607</v>
      </c>
      <c r="AI24" s="631">
        <v>221</v>
      </c>
      <c r="AJ24" s="628"/>
      <c r="AK24" s="628"/>
      <c r="AL24" s="630" t="str">
        <f t="shared" si="0"/>
        <v>Atzala</v>
      </c>
      <c r="AM24" s="630">
        <f t="shared" si="1"/>
        <v>21021</v>
      </c>
      <c r="AO24" s="628"/>
      <c r="AP24" s="628">
        <v>22</v>
      </c>
      <c r="AQ24" s="634"/>
      <c r="AR24" s="634"/>
      <c r="AS24" s="634"/>
      <c r="AT24" s="634"/>
      <c r="AU24" s="634">
        <v>5021</v>
      </c>
      <c r="AV24" s="634"/>
      <c r="AW24" s="634">
        <v>7021</v>
      </c>
      <c r="AX24" s="634">
        <v>8021</v>
      </c>
      <c r="AY24" s="634"/>
      <c r="AZ24" s="634">
        <v>10021</v>
      </c>
      <c r="BA24" s="634">
        <v>11021</v>
      </c>
      <c r="BB24" s="634">
        <v>12021</v>
      </c>
      <c r="BC24" s="634">
        <v>13021</v>
      </c>
      <c r="BD24" s="634">
        <v>14021</v>
      </c>
      <c r="BE24" s="635">
        <v>15021</v>
      </c>
      <c r="BF24" s="634">
        <v>16021</v>
      </c>
      <c r="BG24" s="634">
        <v>17021</v>
      </c>
      <c r="BH24" s="634">
        <v>18099</v>
      </c>
      <c r="BI24" s="634">
        <v>19021</v>
      </c>
      <c r="BJ24" s="634">
        <v>20021</v>
      </c>
      <c r="BK24" s="634">
        <v>21021</v>
      </c>
      <c r="BL24" s="634"/>
      <c r="BM24" s="634"/>
      <c r="BN24" s="634">
        <v>24021</v>
      </c>
      <c r="BO24" s="634"/>
      <c r="BP24" s="634">
        <v>26021</v>
      </c>
      <c r="BQ24" s="634"/>
      <c r="BR24" s="634">
        <v>28021</v>
      </c>
      <c r="BS24" s="634">
        <v>29021</v>
      </c>
      <c r="BT24" s="634">
        <v>30021</v>
      </c>
      <c r="BU24" s="634">
        <v>31021</v>
      </c>
      <c r="BV24" s="634">
        <v>32021</v>
      </c>
      <c r="BW24" s="628"/>
      <c r="BX24" s="628"/>
      <c r="BY24" s="628"/>
      <c r="BZ24" s="636"/>
      <c r="CA24" s="636"/>
      <c r="CB24" s="636"/>
      <c r="CC24" s="636"/>
      <c r="CD24" s="636" t="s">
        <v>608</v>
      </c>
      <c r="CE24" s="636"/>
      <c r="CF24" s="636" t="s">
        <v>609</v>
      </c>
      <c r="CG24" s="636" t="s">
        <v>610</v>
      </c>
      <c r="CH24" s="636"/>
      <c r="CI24" s="636" t="s">
        <v>611</v>
      </c>
      <c r="CJ24" s="636" t="s">
        <v>612</v>
      </c>
      <c r="CK24" s="636" t="s">
        <v>613</v>
      </c>
      <c r="CL24" s="636" t="s">
        <v>258</v>
      </c>
      <c r="CM24" s="636" t="s">
        <v>614</v>
      </c>
      <c r="CN24" s="637" t="s">
        <v>615</v>
      </c>
      <c r="CO24" s="636" t="s">
        <v>616</v>
      </c>
      <c r="CP24" s="636" t="s">
        <v>617</v>
      </c>
      <c r="CQ24" s="636" t="s">
        <v>201</v>
      </c>
      <c r="CR24" s="636" t="s">
        <v>618</v>
      </c>
      <c r="CS24" s="636" t="s">
        <v>619</v>
      </c>
      <c r="CT24" s="636" t="s">
        <v>620</v>
      </c>
      <c r="CU24" s="636"/>
      <c r="CV24" s="636"/>
      <c r="CW24" s="636" t="s">
        <v>621</v>
      </c>
      <c r="CX24" s="636"/>
      <c r="CY24" s="636" t="s">
        <v>622</v>
      </c>
      <c r="CZ24" s="636"/>
      <c r="DA24" s="636" t="s">
        <v>623</v>
      </c>
      <c r="DB24" s="636" t="s">
        <v>624</v>
      </c>
      <c r="DC24" s="636" t="s">
        <v>443</v>
      </c>
      <c r="DD24" s="636" t="s">
        <v>625</v>
      </c>
      <c r="DE24" s="636" t="s">
        <v>626</v>
      </c>
    </row>
    <row r="25" spans="2:109" ht="36" customHeight="1">
      <c r="B25" s="35"/>
      <c r="C25" s="731" t="s">
        <v>627</v>
      </c>
      <c r="D25" s="731"/>
      <c r="E25" s="731"/>
      <c r="F25" s="731"/>
      <c r="G25" s="731"/>
      <c r="H25" s="731"/>
      <c r="I25" s="731"/>
      <c r="J25" s="731"/>
      <c r="K25" s="731"/>
      <c r="L25" s="731"/>
      <c r="M25" s="731"/>
      <c r="N25" s="731"/>
      <c r="O25" s="731"/>
      <c r="P25" s="731"/>
      <c r="Q25" s="731"/>
      <c r="R25" s="731"/>
      <c r="S25" s="731"/>
      <c r="T25" s="731"/>
      <c r="U25" s="731"/>
      <c r="V25" s="731"/>
      <c r="W25" s="731"/>
      <c r="X25" s="731"/>
      <c r="Y25" s="731"/>
      <c r="Z25" s="731"/>
      <c r="AA25" s="731"/>
      <c r="AB25" s="731"/>
      <c r="AC25" s="731"/>
      <c r="AD25" s="37"/>
      <c r="AH25" s="633" t="s">
        <v>451</v>
      </c>
      <c r="AI25" s="631">
        <v>222</v>
      </c>
      <c r="AJ25" s="628"/>
      <c r="AK25" s="628"/>
      <c r="AL25" s="630" t="str">
        <f t="shared" si="0"/>
        <v>Atzitzihuacán</v>
      </c>
      <c r="AM25" s="630">
        <f t="shared" si="1"/>
        <v>21022</v>
      </c>
      <c r="AO25" s="628"/>
      <c r="AP25" s="628">
        <v>23</v>
      </c>
      <c r="AQ25" s="634"/>
      <c r="AR25" s="634"/>
      <c r="AS25" s="634"/>
      <c r="AT25" s="634"/>
      <c r="AU25" s="634">
        <v>5022</v>
      </c>
      <c r="AV25" s="634"/>
      <c r="AW25" s="634">
        <v>7022</v>
      </c>
      <c r="AX25" s="634">
        <v>8022</v>
      </c>
      <c r="AY25" s="634"/>
      <c r="AZ25" s="634">
        <v>10022</v>
      </c>
      <c r="BA25" s="634">
        <v>11022</v>
      </c>
      <c r="BB25" s="634">
        <v>12022</v>
      </c>
      <c r="BC25" s="634">
        <v>13022</v>
      </c>
      <c r="BD25" s="634">
        <v>14022</v>
      </c>
      <c r="BE25" s="635">
        <v>15022</v>
      </c>
      <c r="BF25" s="634">
        <v>16022</v>
      </c>
      <c r="BG25" s="634">
        <v>17022</v>
      </c>
      <c r="BH25" s="634"/>
      <c r="BI25" s="634">
        <v>19022</v>
      </c>
      <c r="BJ25" s="634">
        <v>20022</v>
      </c>
      <c r="BK25" s="634">
        <v>21022</v>
      </c>
      <c r="BL25" s="634"/>
      <c r="BM25" s="634"/>
      <c r="BN25" s="634">
        <v>24022</v>
      </c>
      <c r="BO25" s="634"/>
      <c r="BP25" s="634">
        <v>26022</v>
      </c>
      <c r="BQ25" s="634"/>
      <c r="BR25" s="634">
        <v>28022</v>
      </c>
      <c r="BS25" s="634">
        <v>29022</v>
      </c>
      <c r="BT25" s="634">
        <v>30022</v>
      </c>
      <c r="BU25" s="634">
        <v>31022</v>
      </c>
      <c r="BV25" s="634">
        <v>32022</v>
      </c>
      <c r="BW25" s="628"/>
      <c r="BX25" s="628"/>
      <c r="BY25" s="628"/>
      <c r="BZ25" s="636"/>
      <c r="CA25" s="636"/>
      <c r="CB25" s="636"/>
      <c r="CC25" s="636"/>
      <c r="CD25" s="636" t="s">
        <v>628</v>
      </c>
      <c r="CE25" s="636"/>
      <c r="CF25" s="636" t="s">
        <v>629</v>
      </c>
      <c r="CG25" s="636" t="s">
        <v>630</v>
      </c>
      <c r="CH25" s="636"/>
      <c r="CI25" s="636" t="s">
        <v>631</v>
      </c>
      <c r="CJ25" s="636" t="s">
        <v>516</v>
      </c>
      <c r="CK25" s="636" t="s">
        <v>632</v>
      </c>
      <c r="CL25" s="636" t="s">
        <v>633</v>
      </c>
      <c r="CM25" s="636" t="s">
        <v>634</v>
      </c>
      <c r="CN25" s="637" t="s">
        <v>635</v>
      </c>
      <c r="CO25" s="636" t="s">
        <v>636</v>
      </c>
      <c r="CP25" s="636" t="s">
        <v>637</v>
      </c>
      <c r="CQ25" s="636"/>
      <c r="CR25" s="636" t="s">
        <v>638</v>
      </c>
      <c r="CS25" s="636" t="s">
        <v>639</v>
      </c>
      <c r="CT25" s="636" t="s">
        <v>640</v>
      </c>
      <c r="CU25" s="636"/>
      <c r="CV25" s="636"/>
      <c r="CW25" s="636" t="s">
        <v>641</v>
      </c>
      <c r="CX25" s="636"/>
      <c r="CY25" s="636" t="s">
        <v>642</v>
      </c>
      <c r="CZ25" s="636"/>
      <c r="DA25" s="636" t="s">
        <v>514</v>
      </c>
      <c r="DB25" s="636" t="s">
        <v>643</v>
      </c>
      <c r="DC25" s="636" t="s">
        <v>644</v>
      </c>
      <c r="DD25" s="636" t="s">
        <v>645</v>
      </c>
      <c r="DE25" s="636" t="s">
        <v>646</v>
      </c>
    </row>
    <row r="26" spans="2:109" ht="6.75" customHeight="1">
      <c r="B26" s="35"/>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7"/>
      <c r="AH26" s="633" t="s">
        <v>647</v>
      </c>
      <c r="AI26" s="631">
        <v>223</v>
      </c>
      <c r="AJ26" s="628"/>
      <c r="AK26" s="628"/>
      <c r="AL26" s="630" t="str">
        <f t="shared" si="0"/>
        <v>Atzitzintla</v>
      </c>
      <c r="AM26" s="630">
        <f t="shared" si="1"/>
        <v>21023</v>
      </c>
      <c r="AO26" s="628"/>
      <c r="AP26" s="628">
        <v>24</v>
      </c>
      <c r="AQ26" s="634"/>
      <c r="AR26" s="634"/>
      <c r="AS26" s="634"/>
      <c r="AT26" s="634"/>
      <c r="AU26" s="634">
        <v>5023</v>
      </c>
      <c r="AV26" s="634"/>
      <c r="AW26" s="634">
        <v>7023</v>
      </c>
      <c r="AX26" s="634">
        <v>8023</v>
      </c>
      <c r="AY26" s="634"/>
      <c r="AZ26" s="634">
        <v>10023</v>
      </c>
      <c r="BA26" s="634">
        <v>11023</v>
      </c>
      <c r="BB26" s="634">
        <v>12023</v>
      </c>
      <c r="BC26" s="634">
        <v>13023</v>
      </c>
      <c r="BD26" s="634">
        <v>14023</v>
      </c>
      <c r="BE26" s="635">
        <v>15023</v>
      </c>
      <c r="BF26" s="634">
        <v>16023</v>
      </c>
      <c r="BG26" s="634">
        <v>17023</v>
      </c>
      <c r="BH26" s="634"/>
      <c r="BI26" s="634">
        <v>19023</v>
      </c>
      <c r="BJ26" s="634">
        <v>20023</v>
      </c>
      <c r="BK26" s="634">
        <v>21023</v>
      </c>
      <c r="BL26" s="634"/>
      <c r="BM26" s="634"/>
      <c r="BN26" s="634">
        <v>24023</v>
      </c>
      <c r="BO26" s="634"/>
      <c r="BP26" s="634">
        <v>26023</v>
      </c>
      <c r="BQ26" s="634"/>
      <c r="BR26" s="634">
        <v>28023</v>
      </c>
      <c r="BS26" s="634">
        <v>29023</v>
      </c>
      <c r="BT26" s="634">
        <v>30023</v>
      </c>
      <c r="BU26" s="634">
        <v>31023</v>
      </c>
      <c r="BV26" s="634">
        <v>32023</v>
      </c>
      <c r="BW26" s="628"/>
      <c r="BX26" s="628"/>
      <c r="BY26" s="628"/>
      <c r="BZ26" s="636"/>
      <c r="CA26" s="636"/>
      <c r="CB26" s="636"/>
      <c r="CC26" s="636"/>
      <c r="CD26" s="636" t="s">
        <v>516</v>
      </c>
      <c r="CE26" s="636"/>
      <c r="CF26" s="636" t="s">
        <v>648</v>
      </c>
      <c r="CG26" s="636" t="s">
        <v>525</v>
      </c>
      <c r="CH26" s="636"/>
      <c r="CI26" s="636" t="s">
        <v>649</v>
      </c>
      <c r="CJ26" s="636" t="s">
        <v>650</v>
      </c>
      <c r="CK26" s="636" t="s">
        <v>651</v>
      </c>
      <c r="CL26" s="636" t="s">
        <v>297</v>
      </c>
      <c r="CM26" s="636" t="s">
        <v>652</v>
      </c>
      <c r="CN26" s="637" t="s">
        <v>653</v>
      </c>
      <c r="CO26" s="636" t="s">
        <v>654</v>
      </c>
      <c r="CP26" s="636" t="s">
        <v>655</v>
      </c>
      <c r="CQ26" s="636"/>
      <c r="CR26" s="636" t="s">
        <v>656</v>
      </c>
      <c r="CS26" s="636" t="s">
        <v>657</v>
      </c>
      <c r="CT26" s="636" t="s">
        <v>658</v>
      </c>
      <c r="CU26" s="636"/>
      <c r="CV26" s="636"/>
      <c r="CW26" s="636" t="s">
        <v>659</v>
      </c>
      <c r="CX26" s="636"/>
      <c r="CY26" s="636" t="s">
        <v>660</v>
      </c>
      <c r="CZ26" s="636"/>
      <c r="DA26" s="636" t="s">
        <v>661</v>
      </c>
      <c r="DB26" s="636" t="s">
        <v>662</v>
      </c>
      <c r="DC26" s="636" t="s">
        <v>663</v>
      </c>
      <c r="DD26" s="636" t="s">
        <v>664</v>
      </c>
      <c r="DE26" s="636" t="s">
        <v>665</v>
      </c>
    </row>
    <row r="27" spans="2:109" ht="60" customHeight="1">
      <c r="B27" s="35"/>
      <c r="C27" s="731" t="s">
        <v>666</v>
      </c>
      <c r="D27" s="731"/>
      <c r="E27" s="731"/>
      <c r="F27" s="731"/>
      <c r="G27" s="731"/>
      <c r="H27" s="731"/>
      <c r="I27" s="731"/>
      <c r="J27" s="731"/>
      <c r="K27" s="731"/>
      <c r="L27" s="731"/>
      <c r="M27" s="731"/>
      <c r="N27" s="731"/>
      <c r="O27" s="731"/>
      <c r="P27" s="731"/>
      <c r="Q27" s="731"/>
      <c r="R27" s="731"/>
      <c r="S27" s="731"/>
      <c r="T27" s="731"/>
      <c r="U27" s="731"/>
      <c r="V27" s="731"/>
      <c r="W27" s="731"/>
      <c r="X27" s="731"/>
      <c r="Y27" s="731"/>
      <c r="Z27" s="731"/>
      <c r="AA27" s="731"/>
      <c r="AB27" s="731"/>
      <c r="AC27" s="731"/>
      <c r="AD27" s="37"/>
      <c r="AH27" s="633" t="s">
        <v>667</v>
      </c>
      <c r="AI27" s="631">
        <v>224</v>
      </c>
      <c r="AJ27" s="628"/>
      <c r="AK27" s="24"/>
      <c r="AL27" s="630" t="str">
        <f t="shared" si="0"/>
        <v>Axutla</v>
      </c>
      <c r="AM27" s="630">
        <f t="shared" si="1"/>
        <v>21024</v>
      </c>
      <c r="AO27" s="24"/>
      <c r="AP27" s="628">
        <v>25</v>
      </c>
      <c r="AQ27" s="642"/>
      <c r="AR27" s="642"/>
      <c r="AS27" s="642"/>
      <c r="AT27" s="642"/>
      <c r="AU27" s="634">
        <v>5024</v>
      </c>
      <c r="AV27" s="642"/>
      <c r="AW27" s="634">
        <v>7024</v>
      </c>
      <c r="AX27" s="634">
        <v>8024</v>
      </c>
      <c r="AY27" s="642"/>
      <c r="AZ27" s="634">
        <v>10024</v>
      </c>
      <c r="BA27" s="634">
        <v>11024</v>
      </c>
      <c r="BB27" s="634">
        <v>12024</v>
      </c>
      <c r="BC27" s="634">
        <v>13024</v>
      </c>
      <c r="BD27" s="634">
        <v>14024</v>
      </c>
      <c r="BE27" s="635">
        <v>15024</v>
      </c>
      <c r="BF27" s="634">
        <v>16024</v>
      </c>
      <c r="BG27" s="634">
        <v>17024</v>
      </c>
      <c r="BH27" s="642"/>
      <c r="BI27" s="634">
        <v>19024</v>
      </c>
      <c r="BJ27" s="634">
        <v>20024</v>
      </c>
      <c r="BK27" s="634">
        <v>21024</v>
      </c>
      <c r="BL27" s="642"/>
      <c r="BM27" s="642"/>
      <c r="BN27" s="634">
        <v>24024</v>
      </c>
      <c r="BO27" s="642"/>
      <c r="BP27" s="634">
        <v>26024</v>
      </c>
      <c r="BQ27" s="642"/>
      <c r="BR27" s="634">
        <v>28024</v>
      </c>
      <c r="BS27" s="634">
        <v>29024</v>
      </c>
      <c r="BT27" s="634">
        <v>30024</v>
      </c>
      <c r="BU27" s="634">
        <v>31024</v>
      </c>
      <c r="BV27" s="634">
        <v>32024</v>
      </c>
      <c r="BW27" s="24"/>
      <c r="BX27" s="24"/>
      <c r="BY27" s="24"/>
      <c r="BZ27" s="643"/>
      <c r="CA27" s="643"/>
      <c r="CB27" s="643"/>
      <c r="CC27" s="643"/>
      <c r="CD27" s="636" t="s">
        <v>668</v>
      </c>
      <c r="CE27" s="643"/>
      <c r="CF27" s="636" t="s">
        <v>669</v>
      </c>
      <c r="CG27" s="636" t="s">
        <v>670</v>
      </c>
      <c r="CH27" s="643"/>
      <c r="CI27" s="636" t="s">
        <v>671</v>
      </c>
      <c r="CJ27" s="636" t="s">
        <v>649</v>
      </c>
      <c r="CK27" s="636" t="s">
        <v>672</v>
      </c>
      <c r="CL27" s="636" t="s">
        <v>673</v>
      </c>
      <c r="CM27" s="636" t="s">
        <v>518</v>
      </c>
      <c r="CN27" s="637" t="s">
        <v>674</v>
      </c>
      <c r="CO27" s="636" t="s">
        <v>675</v>
      </c>
      <c r="CP27" s="636" t="s">
        <v>676</v>
      </c>
      <c r="CQ27" s="643"/>
      <c r="CR27" s="636" t="s">
        <v>677</v>
      </c>
      <c r="CS27" s="636" t="s">
        <v>678</v>
      </c>
      <c r="CT27" s="636" t="s">
        <v>679</v>
      </c>
      <c r="CU27" s="643"/>
      <c r="CV27" s="643"/>
      <c r="CW27" s="636" t="s">
        <v>680</v>
      </c>
      <c r="CX27" s="643"/>
      <c r="CY27" s="636" t="s">
        <v>681</v>
      </c>
      <c r="CZ27" s="643"/>
      <c r="DA27" s="636" t="s">
        <v>682</v>
      </c>
      <c r="DB27" s="636" t="s">
        <v>683</v>
      </c>
      <c r="DC27" s="636" t="s">
        <v>684</v>
      </c>
      <c r="DD27" s="636" t="s">
        <v>685</v>
      </c>
      <c r="DE27" s="636" t="s">
        <v>171</v>
      </c>
    </row>
    <row r="28" spans="2:109" ht="6.75" customHeight="1">
      <c r="B28" s="35"/>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7"/>
      <c r="AH28" s="633" t="s">
        <v>530</v>
      </c>
      <c r="AI28" s="631">
        <v>225</v>
      </c>
      <c r="AJ28" s="628"/>
      <c r="AK28" s="24"/>
      <c r="AL28" s="630" t="str">
        <f t="shared" si="0"/>
        <v>Ayotoxco de Guerrero</v>
      </c>
      <c r="AM28" s="630">
        <f t="shared" si="1"/>
        <v>21025</v>
      </c>
      <c r="AO28" s="24"/>
      <c r="AP28" s="628">
        <v>26</v>
      </c>
      <c r="AQ28" s="642"/>
      <c r="AR28" s="642"/>
      <c r="AS28" s="642"/>
      <c r="AT28" s="642"/>
      <c r="AU28" s="634">
        <v>5025</v>
      </c>
      <c r="AV28" s="642"/>
      <c r="AW28" s="634">
        <v>7025</v>
      </c>
      <c r="AX28" s="634">
        <v>8025</v>
      </c>
      <c r="AY28" s="642"/>
      <c r="AZ28" s="634">
        <v>10025</v>
      </c>
      <c r="BA28" s="634">
        <v>11025</v>
      </c>
      <c r="BB28" s="634">
        <v>12025</v>
      </c>
      <c r="BC28" s="634">
        <v>13025</v>
      </c>
      <c r="BD28" s="634">
        <v>14025</v>
      </c>
      <c r="BE28" s="635">
        <v>15025</v>
      </c>
      <c r="BF28" s="634">
        <v>16025</v>
      </c>
      <c r="BG28" s="634">
        <v>17025</v>
      </c>
      <c r="BH28" s="642"/>
      <c r="BI28" s="634">
        <v>19025</v>
      </c>
      <c r="BJ28" s="634">
        <v>20025</v>
      </c>
      <c r="BK28" s="634">
        <v>21025</v>
      </c>
      <c r="BL28" s="642"/>
      <c r="BM28" s="642"/>
      <c r="BN28" s="634">
        <v>24025</v>
      </c>
      <c r="BO28" s="642"/>
      <c r="BP28" s="634">
        <v>26025</v>
      </c>
      <c r="BQ28" s="642"/>
      <c r="BR28" s="634">
        <v>28025</v>
      </c>
      <c r="BS28" s="634">
        <v>29025</v>
      </c>
      <c r="BT28" s="634">
        <v>30025</v>
      </c>
      <c r="BU28" s="634">
        <v>31025</v>
      </c>
      <c r="BV28" s="634">
        <v>32025</v>
      </c>
      <c r="BW28" s="24"/>
      <c r="BX28" s="24"/>
      <c r="BY28" s="24"/>
      <c r="BZ28" s="643"/>
      <c r="CA28" s="643"/>
      <c r="CB28" s="643"/>
      <c r="CC28" s="643"/>
      <c r="CD28" s="636" t="s">
        <v>686</v>
      </c>
      <c r="CE28" s="643"/>
      <c r="CF28" s="636" t="s">
        <v>687</v>
      </c>
      <c r="CG28" s="636" t="s">
        <v>378</v>
      </c>
      <c r="CH28" s="643"/>
      <c r="CI28" s="636" t="s">
        <v>688</v>
      </c>
      <c r="CJ28" s="636" t="s">
        <v>689</v>
      </c>
      <c r="CK28" s="636" t="s">
        <v>690</v>
      </c>
      <c r="CL28" s="636" t="s">
        <v>691</v>
      </c>
      <c r="CM28" s="636" t="s">
        <v>692</v>
      </c>
      <c r="CN28" s="637" t="s">
        <v>693</v>
      </c>
      <c r="CO28" s="636" t="s">
        <v>694</v>
      </c>
      <c r="CP28" s="636" t="s">
        <v>695</v>
      </c>
      <c r="CQ28" s="643"/>
      <c r="CR28" s="636" t="s">
        <v>696</v>
      </c>
      <c r="CS28" s="636" t="s">
        <v>697</v>
      </c>
      <c r="CT28" s="636" t="s">
        <v>698</v>
      </c>
      <c r="CU28" s="643"/>
      <c r="CV28" s="643"/>
      <c r="CW28" s="636" t="s">
        <v>699</v>
      </c>
      <c r="CX28" s="643"/>
      <c r="CY28" s="636" t="s">
        <v>700</v>
      </c>
      <c r="CZ28" s="643"/>
      <c r="DA28" s="636" t="s">
        <v>701</v>
      </c>
      <c r="DB28" s="636" t="s">
        <v>702</v>
      </c>
      <c r="DC28" s="636" t="s">
        <v>703</v>
      </c>
      <c r="DD28" s="638" t="s">
        <v>704</v>
      </c>
      <c r="DE28" s="636" t="s">
        <v>705</v>
      </c>
    </row>
    <row r="29" spans="2:109" ht="48" customHeight="1">
      <c r="B29" s="35"/>
      <c r="C29" s="731" t="s">
        <v>706</v>
      </c>
      <c r="D29" s="731"/>
      <c r="E29" s="731"/>
      <c r="F29" s="731"/>
      <c r="G29" s="731"/>
      <c r="H29" s="731"/>
      <c r="I29" s="731"/>
      <c r="J29" s="731"/>
      <c r="K29" s="731"/>
      <c r="L29" s="731"/>
      <c r="M29" s="731"/>
      <c r="N29" s="731"/>
      <c r="O29" s="731"/>
      <c r="P29" s="731"/>
      <c r="Q29" s="731"/>
      <c r="R29" s="731"/>
      <c r="S29" s="731"/>
      <c r="T29" s="731"/>
      <c r="U29" s="731"/>
      <c r="V29" s="731"/>
      <c r="W29" s="731"/>
      <c r="X29" s="731"/>
      <c r="Y29" s="731"/>
      <c r="Z29" s="731"/>
      <c r="AA29" s="731"/>
      <c r="AB29" s="731"/>
      <c r="AC29" s="731"/>
      <c r="AD29" s="37"/>
      <c r="AH29" s="633" t="s">
        <v>707</v>
      </c>
      <c r="AI29" s="631">
        <v>226</v>
      </c>
      <c r="AJ29" s="628"/>
      <c r="AK29" s="24"/>
      <c r="AL29" s="630" t="str">
        <f t="shared" si="0"/>
        <v>Calpan</v>
      </c>
      <c r="AM29" s="630">
        <f t="shared" si="1"/>
        <v>21026</v>
      </c>
      <c r="AO29" s="24"/>
      <c r="AP29" s="628">
        <v>27</v>
      </c>
      <c r="AQ29" s="642"/>
      <c r="AR29" s="642"/>
      <c r="AS29" s="642"/>
      <c r="AT29" s="642"/>
      <c r="AU29" s="634">
        <v>5026</v>
      </c>
      <c r="AV29" s="642"/>
      <c r="AW29" s="634">
        <v>7026</v>
      </c>
      <c r="AX29" s="634">
        <v>8026</v>
      </c>
      <c r="AY29" s="642"/>
      <c r="AZ29" s="634">
        <v>10026</v>
      </c>
      <c r="BA29" s="634">
        <v>11026</v>
      </c>
      <c r="BB29" s="634">
        <v>12026</v>
      </c>
      <c r="BC29" s="634">
        <v>13026</v>
      </c>
      <c r="BD29" s="634">
        <v>14026</v>
      </c>
      <c r="BE29" s="635">
        <v>15026</v>
      </c>
      <c r="BF29" s="634">
        <v>16026</v>
      </c>
      <c r="BG29" s="634">
        <v>17026</v>
      </c>
      <c r="BH29" s="642"/>
      <c r="BI29" s="634">
        <v>19026</v>
      </c>
      <c r="BJ29" s="634">
        <v>20026</v>
      </c>
      <c r="BK29" s="634">
        <v>21026</v>
      </c>
      <c r="BL29" s="642"/>
      <c r="BM29" s="642"/>
      <c r="BN29" s="634">
        <v>24026</v>
      </c>
      <c r="BO29" s="642"/>
      <c r="BP29" s="634">
        <v>26026</v>
      </c>
      <c r="BQ29" s="642"/>
      <c r="BR29" s="634">
        <v>28026</v>
      </c>
      <c r="BS29" s="634">
        <v>29026</v>
      </c>
      <c r="BT29" s="634">
        <v>30026</v>
      </c>
      <c r="BU29" s="634">
        <v>31026</v>
      </c>
      <c r="BV29" s="634">
        <v>32026</v>
      </c>
      <c r="BW29" s="24"/>
      <c r="BX29" s="24"/>
      <c r="BY29" s="24"/>
      <c r="BZ29" s="643"/>
      <c r="CA29" s="643"/>
      <c r="CB29" s="643"/>
      <c r="CC29" s="643"/>
      <c r="CD29" s="636" t="s">
        <v>708</v>
      </c>
      <c r="CE29" s="643"/>
      <c r="CF29" s="636" t="s">
        <v>709</v>
      </c>
      <c r="CG29" s="636" t="s">
        <v>710</v>
      </c>
      <c r="CH29" s="643"/>
      <c r="CI29" s="636" t="s">
        <v>711</v>
      </c>
      <c r="CJ29" s="636" t="s">
        <v>712</v>
      </c>
      <c r="CK29" s="636" t="s">
        <v>713</v>
      </c>
      <c r="CL29" s="636" t="s">
        <v>714</v>
      </c>
      <c r="CM29" s="636" t="s">
        <v>715</v>
      </c>
      <c r="CN29" s="637" t="s">
        <v>716</v>
      </c>
      <c r="CO29" s="636" t="s">
        <v>717</v>
      </c>
      <c r="CP29" s="636" t="s">
        <v>718</v>
      </c>
      <c r="CQ29" s="643"/>
      <c r="CR29" s="636" t="s">
        <v>537</v>
      </c>
      <c r="CS29" s="636" t="s">
        <v>719</v>
      </c>
      <c r="CT29" s="636" t="s">
        <v>720</v>
      </c>
      <c r="CU29" s="643"/>
      <c r="CV29" s="643"/>
      <c r="CW29" s="636" t="s">
        <v>721</v>
      </c>
      <c r="CX29" s="643"/>
      <c r="CY29" s="636" t="s">
        <v>722</v>
      </c>
      <c r="CZ29" s="643"/>
      <c r="DA29" s="636" t="s">
        <v>723</v>
      </c>
      <c r="DB29" s="636" t="s">
        <v>724</v>
      </c>
      <c r="DC29" s="636" t="s">
        <v>725</v>
      </c>
      <c r="DD29" s="636" t="s">
        <v>726</v>
      </c>
      <c r="DE29" s="636" t="s">
        <v>727</v>
      </c>
    </row>
    <row r="30" spans="2:109" ht="6.75" customHeight="1">
      <c r="B30" s="35"/>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7"/>
      <c r="AH30" s="633" t="s">
        <v>728</v>
      </c>
      <c r="AI30" s="631">
        <v>227</v>
      </c>
      <c r="AJ30" s="628"/>
      <c r="AK30" s="24"/>
      <c r="AL30" s="630" t="str">
        <f t="shared" si="0"/>
        <v>Caltepec</v>
      </c>
      <c r="AM30" s="630">
        <f t="shared" si="1"/>
        <v>21027</v>
      </c>
      <c r="AO30" s="24"/>
      <c r="AP30" s="628">
        <v>28</v>
      </c>
      <c r="AQ30" s="642"/>
      <c r="AR30" s="642"/>
      <c r="AS30" s="642"/>
      <c r="AT30" s="642"/>
      <c r="AU30" s="634">
        <v>5027</v>
      </c>
      <c r="AV30" s="642"/>
      <c r="AW30" s="634">
        <v>7027</v>
      </c>
      <c r="AX30" s="634">
        <v>8027</v>
      </c>
      <c r="AY30" s="642"/>
      <c r="AZ30" s="634">
        <v>10027</v>
      </c>
      <c r="BA30" s="634">
        <v>11027</v>
      </c>
      <c r="BB30" s="634">
        <v>12027</v>
      </c>
      <c r="BC30" s="634">
        <v>13027</v>
      </c>
      <c r="BD30" s="634">
        <v>14027</v>
      </c>
      <c r="BE30" s="635">
        <v>15027</v>
      </c>
      <c r="BF30" s="634">
        <v>16027</v>
      </c>
      <c r="BG30" s="634">
        <v>17027</v>
      </c>
      <c r="BH30" s="642"/>
      <c r="BI30" s="634">
        <v>19027</v>
      </c>
      <c r="BJ30" s="634">
        <v>20027</v>
      </c>
      <c r="BK30" s="634">
        <v>21027</v>
      </c>
      <c r="BL30" s="642"/>
      <c r="BM30" s="642"/>
      <c r="BN30" s="634">
        <v>24027</v>
      </c>
      <c r="BO30" s="642"/>
      <c r="BP30" s="634">
        <v>26027</v>
      </c>
      <c r="BQ30" s="642"/>
      <c r="BR30" s="634">
        <v>28027</v>
      </c>
      <c r="BS30" s="634">
        <v>29027</v>
      </c>
      <c r="BT30" s="634">
        <v>30027</v>
      </c>
      <c r="BU30" s="634">
        <v>31027</v>
      </c>
      <c r="BV30" s="634">
        <v>32027</v>
      </c>
      <c r="BW30" s="24"/>
      <c r="BX30" s="24"/>
      <c r="BY30" s="24"/>
      <c r="BZ30" s="643"/>
      <c r="CA30" s="643"/>
      <c r="CB30" s="643"/>
      <c r="CC30" s="643"/>
      <c r="CD30" s="636" t="s">
        <v>729</v>
      </c>
      <c r="CE30" s="643"/>
      <c r="CF30" s="636" t="s">
        <v>730</v>
      </c>
      <c r="CG30" s="636" t="s">
        <v>731</v>
      </c>
      <c r="CH30" s="643"/>
      <c r="CI30" s="636" t="s">
        <v>732</v>
      </c>
      <c r="CJ30" s="636" t="s">
        <v>733</v>
      </c>
      <c r="CK30" s="636" t="s">
        <v>734</v>
      </c>
      <c r="CL30" s="636" t="s">
        <v>735</v>
      </c>
      <c r="CM30" s="636" t="s">
        <v>736</v>
      </c>
      <c r="CN30" s="637" t="s">
        <v>737</v>
      </c>
      <c r="CO30" s="636" t="s">
        <v>738</v>
      </c>
      <c r="CP30" s="636" t="s">
        <v>739</v>
      </c>
      <c r="CQ30" s="643"/>
      <c r="CR30" s="636" t="s">
        <v>740</v>
      </c>
      <c r="CS30" s="636" t="s">
        <v>741</v>
      </c>
      <c r="CT30" s="636" t="s">
        <v>742</v>
      </c>
      <c r="CU30" s="643"/>
      <c r="CV30" s="643"/>
      <c r="CW30" s="636" t="s">
        <v>743</v>
      </c>
      <c r="CX30" s="643"/>
      <c r="CY30" s="636" t="s">
        <v>744</v>
      </c>
      <c r="CZ30" s="643"/>
      <c r="DA30" s="636" t="s">
        <v>745</v>
      </c>
      <c r="DB30" s="636" t="s">
        <v>746</v>
      </c>
      <c r="DC30" s="636" t="s">
        <v>167</v>
      </c>
      <c r="DD30" s="636" t="s">
        <v>747</v>
      </c>
      <c r="DE30" s="636" t="s">
        <v>748</v>
      </c>
    </row>
    <row r="31" spans="2:109" ht="48" customHeight="1">
      <c r="B31" s="35"/>
      <c r="C31" s="731" t="s">
        <v>749</v>
      </c>
      <c r="D31" s="731"/>
      <c r="E31" s="731"/>
      <c r="F31" s="731"/>
      <c r="G31" s="731"/>
      <c r="H31" s="731"/>
      <c r="I31" s="731"/>
      <c r="J31" s="731"/>
      <c r="K31" s="731"/>
      <c r="L31" s="731"/>
      <c r="M31" s="731"/>
      <c r="N31" s="731"/>
      <c r="O31" s="731"/>
      <c r="P31" s="731"/>
      <c r="Q31" s="731"/>
      <c r="R31" s="731"/>
      <c r="S31" s="731"/>
      <c r="T31" s="731"/>
      <c r="U31" s="731"/>
      <c r="V31" s="731"/>
      <c r="W31" s="731"/>
      <c r="X31" s="731"/>
      <c r="Y31" s="731"/>
      <c r="Z31" s="731"/>
      <c r="AA31" s="731"/>
      <c r="AB31" s="731"/>
      <c r="AC31" s="731"/>
      <c r="AD31" s="37"/>
      <c r="AH31" s="633" t="s">
        <v>750</v>
      </c>
      <c r="AI31" s="631">
        <v>228</v>
      </c>
      <c r="AJ31" s="628"/>
      <c r="AK31" s="24"/>
      <c r="AL31" s="630" t="str">
        <f t="shared" si="0"/>
        <v>Camocuautla</v>
      </c>
      <c r="AM31" s="630">
        <f t="shared" si="1"/>
        <v>21028</v>
      </c>
      <c r="AO31" s="24"/>
      <c r="AP31" s="628">
        <v>29</v>
      </c>
      <c r="AQ31" s="642"/>
      <c r="AR31" s="642"/>
      <c r="AS31" s="642"/>
      <c r="AT31" s="642"/>
      <c r="AU31" s="634">
        <v>5028</v>
      </c>
      <c r="AV31" s="642"/>
      <c r="AW31" s="634">
        <v>7028</v>
      </c>
      <c r="AX31" s="634">
        <v>8028</v>
      </c>
      <c r="AY31" s="642"/>
      <c r="AZ31" s="634">
        <v>10028</v>
      </c>
      <c r="BA31" s="634">
        <v>11028</v>
      </c>
      <c r="BB31" s="634">
        <v>12028</v>
      </c>
      <c r="BC31" s="634">
        <v>13028</v>
      </c>
      <c r="BD31" s="634">
        <v>14028</v>
      </c>
      <c r="BE31" s="635">
        <v>15028</v>
      </c>
      <c r="BF31" s="634">
        <v>16028</v>
      </c>
      <c r="BG31" s="634">
        <v>17028</v>
      </c>
      <c r="BH31" s="642"/>
      <c r="BI31" s="634">
        <v>19028</v>
      </c>
      <c r="BJ31" s="634">
        <v>20028</v>
      </c>
      <c r="BK31" s="634">
        <v>21028</v>
      </c>
      <c r="BL31" s="642"/>
      <c r="BM31" s="642"/>
      <c r="BN31" s="634">
        <v>24028</v>
      </c>
      <c r="BO31" s="642"/>
      <c r="BP31" s="634">
        <v>26028</v>
      </c>
      <c r="BQ31" s="642"/>
      <c r="BR31" s="634">
        <v>28028</v>
      </c>
      <c r="BS31" s="634">
        <v>29028</v>
      </c>
      <c r="BT31" s="634">
        <v>30028</v>
      </c>
      <c r="BU31" s="634">
        <v>31028</v>
      </c>
      <c r="BV31" s="634">
        <v>32028</v>
      </c>
      <c r="BW31" s="24"/>
      <c r="BX31" s="24"/>
      <c r="BY31" s="24"/>
      <c r="BZ31" s="643"/>
      <c r="CA31" s="643"/>
      <c r="CB31" s="643"/>
      <c r="CC31" s="643"/>
      <c r="CD31" s="636" t="s">
        <v>751</v>
      </c>
      <c r="CE31" s="643"/>
      <c r="CF31" s="636" t="s">
        <v>752</v>
      </c>
      <c r="CG31" s="636" t="s">
        <v>537</v>
      </c>
      <c r="CH31" s="643"/>
      <c r="CI31" s="636" t="s">
        <v>504</v>
      </c>
      <c r="CJ31" s="636" t="s">
        <v>753</v>
      </c>
      <c r="CK31" s="636" t="s">
        <v>754</v>
      </c>
      <c r="CL31" s="636" t="s">
        <v>755</v>
      </c>
      <c r="CM31" s="636" t="s">
        <v>215</v>
      </c>
      <c r="CN31" s="637" t="s">
        <v>756</v>
      </c>
      <c r="CO31" s="636" t="s">
        <v>757</v>
      </c>
      <c r="CP31" s="636" t="s">
        <v>758</v>
      </c>
      <c r="CQ31" s="643"/>
      <c r="CR31" s="636" t="s">
        <v>759</v>
      </c>
      <c r="CS31" s="636" t="s">
        <v>760</v>
      </c>
      <c r="CT31" s="636" t="s">
        <v>761</v>
      </c>
      <c r="CU31" s="643"/>
      <c r="CV31" s="643"/>
      <c r="CW31" s="636" t="s">
        <v>667</v>
      </c>
      <c r="CX31" s="643"/>
      <c r="CY31" s="636" t="s">
        <v>762</v>
      </c>
      <c r="CZ31" s="643"/>
      <c r="DA31" s="636" t="s">
        <v>763</v>
      </c>
      <c r="DB31" s="636" t="s">
        <v>764</v>
      </c>
      <c r="DC31" s="636" t="s">
        <v>765</v>
      </c>
      <c r="DD31" s="636" t="s">
        <v>766</v>
      </c>
      <c r="DE31" s="636" t="s">
        <v>767</v>
      </c>
    </row>
    <row r="32" spans="2:109" ht="6.75" customHeight="1">
      <c r="B32" s="35"/>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7"/>
      <c r="AH32" s="633" t="s">
        <v>768</v>
      </c>
      <c r="AI32" s="631">
        <v>229</v>
      </c>
      <c r="AJ32" s="628"/>
      <c r="AK32" s="24"/>
      <c r="AL32" s="630" t="str">
        <f t="shared" si="0"/>
        <v>Caxhuacan</v>
      </c>
      <c r="AM32" s="630">
        <f t="shared" si="1"/>
        <v>21029</v>
      </c>
      <c r="AO32" s="24"/>
      <c r="AP32" s="628">
        <v>30</v>
      </c>
      <c r="AQ32" s="642"/>
      <c r="AR32" s="642"/>
      <c r="AS32" s="642"/>
      <c r="AT32" s="642"/>
      <c r="AU32" s="634">
        <v>5029</v>
      </c>
      <c r="AV32" s="642"/>
      <c r="AW32" s="634">
        <v>7029</v>
      </c>
      <c r="AX32" s="634">
        <v>8029</v>
      </c>
      <c r="AY32" s="642"/>
      <c r="AZ32" s="634">
        <v>10029</v>
      </c>
      <c r="BA32" s="634">
        <v>11029</v>
      </c>
      <c r="BB32" s="634">
        <v>12029</v>
      </c>
      <c r="BC32" s="634">
        <v>13029</v>
      </c>
      <c r="BD32" s="634">
        <v>14029</v>
      </c>
      <c r="BE32" s="635">
        <v>15029</v>
      </c>
      <c r="BF32" s="634">
        <v>16029</v>
      </c>
      <c r="BG32" s="634">
        <v>17029</v>
      </c>
      <c r="BH32" s="642"/>
      <c r="BI32" s="634">
        <v>19029</v>
      </c>
      <c r="BJ32" s="634">
        <v>20029</v>
      </c>
      <c r="BK32" s="634">
        <v>21029</v>
      </c>
      <c r="BL32" s="642"/>
      <c r="BM32" s="642"/>
      <c r="BN32" s="634">
        <v>24029</v>
      </c>
      <c r="BO32" s="642"/>
      <c r="BP32" s="634">
        <v>26029</v>
      </c>
      <c r="BQ32" s="642"/>
      <c r="BR32" s="634">
        <v>28029</v>
      </c>
      <c r="BS32" s="634">
        <v>29029</v>
      </c>
      <c r="BT32" s="634">
        <v>30029</v>
      </c>
      <c r="BU32" s="634">
        <v>31029</v>
      </c>
      <c r="BV32" s="634">
        <v>32029</v>
      </c>
      <c r="BW32" s="24"/>
      <c r="BX32" s="24"/>
      <c r="BY32" s="24"/>
      <c r="BZ32" s="643"/>
      <c r="CA32" s="643"/>
      <c r="CB32" s="643"/>
      <c r="CC32" s="643"/>
      <c r="CD32" s="636" t="s">
        <v>769</v>
      </c>
      <c r="CE32" s="643"/>
      <c r="CF32" s="636" t="s">
        <v>770</v>
      </c>
      <c r="CG32" s="636" t="s">
        <v>771</v>
      </c>
      <c r="CH32" s="643"/>
      <c r="CI32" s="636" t="s">
        <v>772</v>
      </c>
      <c r="CJ32" s="636" t="s">
        <v>773</v>
      </c>
      <c r="CK32" s="636" t="s">
        <v>774</v>
      </c>
      <c r="CL32" s="636" t="s">
        <v>775</v>
      </c>
      <c r="CM32" s="636" t="s">
        <v>776</v>
      </c>
      <c r="CN32" s="637" t="s">
        <v>777</v>
      </c>
      <c r="CO32" s="636" t="s">
        <v>778</v>
      </c>
      <c r="CP32" s="636" t="s">
        <v>779</v>
      </c>
      <c r="CQ32" s="643"/>
      <c r="CR32" s="636" t="s">
        <v>780</v>
      </c>
      <c r="CS32" s="636" t="s">
        <v>781</v>
      </c>
      <c r="CT32" s="636" t="s">
        <v>782</v>
      </c>
      <c r="CU32" s="643"/>
      <c r="CV32" s="643"/>
      <c r="CW32" s="636" t="s">
        <v>783</v>
      </c>
      <c r="CX32" s="643"/>
      <c r="CY32" s="636" t="s">
        <v>784</v>
      </c>
      <c r="CZ32" s="643"/>
      <c r="DA32" s="636" t="s">
        <v>516</v>
      </c>
      <c r="DB32" s="636" t="s">
        <v>785</v>
      </c>
      <c r="DC32" s="636" t="s">
        <v>786</v>
      </c>
      <c r="DD32" s="636" t="s">
        <v>787</v>
      </c>
      <c r="DE32" s="636" t="s">
        <v>788</v>
      </c>
    </row>
    <row r="33" spans="2:109" ht="84" customHeight="1">
      <c r="B33" s="35"/>
      <c r="C33" s="731" t="s">
        <v>789</v>
      </c>
      <c r="D33" s="731"/>
      <c r="E33" s="731"/>
      <c r="F33" s="731"/>
      <c r="G33" s="731"/>
      <c r="H33" s="731"/>
      <c r="I33" s="731"/>
      <c r="J33" s="731"/>
      <c r="K33" s="731"/>
      <c r="L33" s="731"/>
      <c r="M33" s="731"/>
      <c r="N33" s="731"/>
      <c r="O33" s="731"/>
      <c r="P33" s="731"/>
      <c r="Q33" s="731"/>
      <c r="R33" s="731"/>
      <c r="S33" s="731"/>
      <c r="T33" s="731"/>
      <c r="U33" s="731"/>
      <c r="V33" s="731"/>
      <c r="W33" s="731"/>
      <c r="X33" s="731"/>
      <c r="Y33" s="731"/>
      <c r="Z33" s="731"/>
      <c r="AA33" s="731"/>
      <c r="AB33" s="731"/>
      <c r="AC33" s="731"/>
      <c r="AD33" s="37"/>
      <c r="AH33" s="633" t="s">
        <v>790</v>
      </c>
      <c r="AI33" s="631">
        <v>230</v>
      </c>
      <c r="AJ33" s="628"/>
      <c r="AK33" s="24"/>
      <c r="AL33" s="630" t="str">
        <f t="shared" si="0"/>
        <v>Coatepec</v>
      </c>
      <c r="AM33" s="630">
        <f t="shared" si="1"/>
        <v>21030</v>
      </c>
      <c r="AO33" s="24"/>
      <c r="AP33" s="628">
        <v>31</v>
      </c>
      <c r="AQ33" s="642"/>
      <c r="AR33" s="642"/>
      <c r="AS33" s="642"/>
      <c r="AT33" s="642"/>
      <c r="AU33" s="634">
        <v>5030</v>
      </c>
      <c r="AV33" s="642"/>
      <c r="AW33" s="634">
        <v>7030</v>
      </c>
      <c r="AX33" s="634">
        <v>8030</v>
      </c>
      <c r="AY33" s="642"/>
      <c r="AZ33" s="634">
        <v>10030</v>
      </c>
      <c r="BA33" s="634">
        <v>11030</v>
      </c>
      <c r="BB33" s="634">
        <v>12030</v>
      </c>
      <c r="BC33" s="634">
        <v>13030</v>
      </c>
      <c r="BD33" s="634">
        <v>14030</v>
      </c>
      <c r="BE33" s="635">
        <v>15030</v>
      </c>
      <c r="BF33" s="634">
        <v>16030</v>
      </c>
      <c r="BG33" s="634">
        <v>17030</v>
      </c>
      <c r="BH33" s="642"/>
      <c r="BI33" s="634">
        <v>19030</v>
      </c>
      <c r="BJ33" s="634">
        <v>20030</v>
      </c>
      <c r="BK33" s="634">
        <v>21030</v>
      </c>
      <c r="BL33" s="642"/>
      <c r="BM33" s="642"/>
      <c r="BN33" s="634">
        <v>24030</v>
      </c>
      <c r="BO33" s="642"/>
      <c r="BP33" s="634">
        <v>26030</v>
      </c>
      <c r="BQ33" s="642"/>
      <c r="BR33" s="634">
        <v>28030</v>
      </c>
      <c r="BS33" s="634">
        <v>29030</v>
      </c>
      <c r="BT33" s="634">
        <v>30030</v>
      </c>
      <c r="BU33" s="634">
        <v>31030</v>
      </c>
      <c r="BV33" s="634">
        <v>32030</v>
      </c>
      <c r="BW33" s="24"/>
      <c r="BX33" s="24"/>
      <c r="BY33" s="24"/>
      <c r="BZ33" s="643"/>
      <c r="CA33" s="643"/>
      <c r="CB33" s="643"/>
      <c r="CC33" s="643"/>
      <c r="CD33" s="636" t="s">
        <v>791</v>
      </c>
      <c r="CE33" s="643"/>
      <c r="CF33" s="636" t="s">
        <v>792</v>
      </c>
      <c r="CG33" s="636" t="s">
        <v>793</v>
      </c>
      <c r="CH33" s="643"/>
      <c r="CI33" s="636" t="s">
        <v>794</v>
      </c>
      <c r="CJ33" s="636" t="s">
        <v>234</v>
      </c>
      <c r="CK33" s="636" t="s">
        <v>795</v>
      </c>
      <c r="CL33" s="636" t="s">
        <v>796</v>
      </c>
      <c r="CM33" s="636" t="s">
        <v>797</v>
      </c>
      <c r="CN33" s="637" t="s">
        <v>798</v>
      </c>
      <c r="CO33" s="636" t="s">
        <v>799</v>
      </c>
      <c r="CP33" s="636" t="s">
        <v>800</v>
      </c>
      <c r="CQ33" s="643"/>
      <c r="CR33" s="636" t="s">
        <v>801</v>
      </c>
      <c r="CS33" s="636" t="s">
        <v>802</v>
      </c>
      <c r="CT33" s="636" t="s">
        <v>803</v>
      </c>
      <c r="CU33" s="643"/>
      <c r="CV33" s="643"/>
      <c r="CW33" s="636" t="s">
        <v>804</v>
      </c>
      <c r="CX33" s="643"/>
      <c r="CY33" s="636" t="s">
        <v>805</v>
      </c>
      <c r="CZ33" s="643"/>
      <c r="DA33" s="636" t="s">
        <v>806</v>
      </c>
      <c r="DB33" s="636" t="s">
        <v>807</v>
      </c>
      <c r="DC33" s="636" t="s">
        <v>808</v>
      </c>
      <c r="DD33" s="636" t="s">
        <v>809</v>
      </c>
      <c r="DE33" s="636" t="s">
        <v>810</v>
      </c>
    </row>
    <row r="34" spans="2:109" ht="6.75" customHeight="1">
      <c r="B34" s="35"/>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7"/>
      <c r="AH34" s="633" t="s">
        <v>811</v>
      </c>
      <c r="AI34" s="631">
        <v>231</v>
      </c>
      <c r="AJ34" s="628"/>
      <c r="AK34" s="24"/>
      <c r="AL34" s="630" t="str">
        <f t="shared" si="0"/>
        <v>Coatzingo</v>
      </c>
      <c r="AM34" s="630">
        <f t="shared" si="1"/>
        <v>21031</v>
      </c>
      <c r="AO34" s="24"/>
      <c r="AP34" s="628">
        <v>32</v>
      </c>
      <c r="AQ34" s="642"/>
      <c r="AR34" s="642"/>
      <c r="AS34" s="642"/>
      <c r="AT34" s="642"/>
      <c r="AU34" s="634">
        <v>5031</v>
      </c>
      <c r="AV34" s="642"/>
      <c r="AW34" s="634">
        <v>7031</v>
      </c>
      <c r="AX34" s="634">
        <v>8031</v>
      </c>
      <c r="AY34" s="642"/>
      <c r="AZ34" s="634">
        <v>10031</v>
      </c>
      <c r="BA34" s="634">
        <v>11031</v>
      </c>
      <c r="BB34" s="634">
        <v>12031</v>
      </c>
      <c r="BC34" s="634">
        <v>13031</v>
      </c>
      <c r="BD34" s="634">
        <v>14031</v>
      </c>
      <c r="BE34" s="635">
        <v>15031</v>
      </c>
      <c r="BF34" s="634">
        <v>16031</v>
      </c>
      <c r="BG34" s="634">
        <v>17031</v>
      </c>
      <c r="BH34" s="642"/>
      <c r="BI34" s="634">
        <v>19031</v>
      </c>
      <c r="BJ34" s="634">
        <v>20031</v>
      </c>
      <c r="BK34" s="634">
        <v>21031</v>
      </c>
      <c r="BL34" s="642"/>
      <c r="BM34" s="642"/>
      <c r="BN34" s="634">
        <v>24031</v>
      </c>
      <c r="BO34" s="642"/>
      <c r="BP34" s="634">
        <v>26031</v>
      </c>
      <c r="BQ34" s="642"/>
      <c r="BR34" s="634">
        <v>28031</v>
      </c>
      <c r="BS34" s="634">
        <v>29031</v>
      </c>
      <c r="BT34" s="634">
        <v>30031</v>
      </c>
      <c r="BU34" s="634">
        <v>31031</v>
      </c>
      <c r="BV34" s="634">
        <v>32031</v>
      </c>
      <c r="BW34" s="24"/>
      <c r="BX34" s="24"/>
      <c r="BY34" s="24"/>
      <c r="BZ34" s="643"/>
      <c r="CA34" s="643"/>
      <c r="CB34" s="643"/>
      <c r="CC34" s="643"/>
      <c r="CD34" s="636" t="s">
        <v>812</v>
      </c>
      <c r="CE34" s="643"/>
      <c r="CF34" s="636" t="s">
        <v>813</v>
      </c>
      <c r="CG34" s="636" t="s">
        <v>383</v>
      </c>
      <c r="CH34" s="643"/>
      <c r="CI34" s="636" t="s">
        <v>814</v>
      </c>
      <c r="CJ34" s="636" t="s">
        <v>815</v>
      </c>
      <c r="CK34" s="636" t="s">
        <v>816</v>
      </c>
      <c r="CL34" s="636" t="s">
        <v>817</v>
      </c>
      <c r="CM34" s="636" t="s">
        <v>818</v>
      </c>
      <c r="CN34" s="637" t="s">
        <v>819</v>
      </c>
      <c r="CO34" s="636" t="s">
        <v>820</v>
      </c>
      <c r="CP34" s="636" t="s">
        <v>821</v>
      </c>
      <c r="CQ34" s="643"/>
      <c r="CR34" s="636" t="s">
        <v>461</v>
      </c>
      <c r="CS34" s="636" t="s">
        <v>822</v>
      </c>
      <c r="CT34" s="636" t="s">
        <v>823</v>
      </c>
      <c r="CU34" s="643"/>
      <c r="CV34" s="643"/>
      <c r="CW34" s="636" t="s">
        <v>824</v>
      </c>
      <c r="CX34" s="643"/>
      <c r="CY34" s="636" t="s">
        <v>825</v>
      </c>
      <c r="CZ34" s="643"/>
      <c r="DA34" s="636" t="s">
        <v>826</v>
      </c>
      <c r="DB34" s="636" t="s">
        <v>827</v>
      </c>
      <c r="DC34" s="636" t="s">
        <v>828</v>
      </c>
      <c r="DD34" s="636" t="s">
        <v>829</v>
      </c>
      <c r="DE34" s="636" t="s">
        <v>830</v>
      </c>
    </row>
    <row r="35" spans="2:109" ht="36" customHeight="1">
      <c r="B35" s="35"/>
      <c r="C35" s="731" t="s">
        <v>831</v>
      </c>
      <c r="D35" s="731"/>
      <c r="E35" s="731"/>
      <c r="F35" s="731"/>
      <c r="G35" s="731"/>
      <c r="H35" s="731"/>
      <c r="I35" s="731"/>
      <c r="J35" s="731"/>
      <c r="K35" s="731"/>
      <c r="L35" s="731"/>
      <c r="M35" s="731"/>
      <c r="N35" s="731"/>
      <c r="O35" s="731"/>
      <c r="P35" s="731"/>
      <c r="Q35" s="731"/>
      <c r="R35" s="731"/>
      <c r="S35" s="731"/>
      <c r="T35" s="731"/>
      <c r="U35" s="731"/>
      <c r="V35" s="731"/>
      <c r="W35" s="731"/>
      <c r="X35" s="731"/>
      <c r="Y35" s="731"/>
      <c r="Z35" s="731"/>
      <c r="AA35" s="731"/>
      <c r="AB35" s="731"/>
      <c r="AC35" s="731"/>
      <c r="AD35" s="37"/>
      <c r="AH35" s="644" t="s">
        <v>832</v>
      </c>
      <c r="AI35" s="645">
        <v>232</v>
      </c>
      <c r="AJ35" s="628"/>
      <c r="AK35" s="24"/>
      <c r="AL35" s="630" t="str">
        <f t="shared" si="0"/>
        <v>Cohetzala</v>
      </c>
      <c r="AM35" s="630">
        <f t="shared" si="1"/>
        <v>21032</v>
      </c>
      <c r="AO35" s="24"/>
      <c r="AP35" s="628">
        <v>33</v>
      </c>
      <c r="AQ35" s="642"/>
      <c r="AR35" s="642"/>
      <c r="AS35" s="642"/>
      <c r="AT35" s="642"/>
      <c r="AU35" s="634">
        <v>5032</v>
      </c>
      <c r="AV35" s="642"/>
      <c r="AW35" s="634">
        <v>7032</v>
      </c>
      <c r="AX35" s="634">
        <v>8032</v>
      </c>
      <c r="AY35" s="642"/>
      <c r="AZ35" s="634">
        <v>10032</v>
      </c>
      <c r="BA35" s="634">
        <v>11032</v>
      </c>
      <c r="BB35" s="634">
        <v>12032</v>
      </c>
      <c r="BC35" s="634">
        <v>13032</v>
      </c>
      <c r="BD35" s="634">
        <v>14032</v>
      </c>
      <c r="BE35" s="635">
        <v>15032</v>
      </c>
      <c r="BF35" s="634">
        <v>16032</v>
      </c>
      <c r="BG35" s="634">
        <v>17032</v>
      </c>
      <c r="BH35" s="642"/>
      <c r="BI35" s="634">
        <v>19032</v>
      </c>
      <c r="BJ35" s="634">
        <v>20032</v>
      </c>
      <c r="BK35" s="634">
        <v>21032</v>
      </c>
      <c r="BL35" s="642"/>
      <c r="BM35" s="642"/>
      <c r="BN35" s="634">
        <v>24032</v>
      </c>
      <c r="BO35" s="642"/>
      <c r="BP35" s="634">
        <v>26032</v>
      </c>
      <c r="BQ35" s="642"/>
      <c r="BR35" s="634">
        <v>28032</v>
      </c>
      <c r="BS35" s="634">
        <v>29032</v>
      </c>
      <c r="BT35" s="634">
        <v>30032</v>
      </c>
      <c r="BU35" s="634">
        <v>31032</v>
      </c>
      <c r="BV35" s="634">
        <v>32032</v>
      </c>
      <c r="BW35" s="24"/>
      <c r="BX35" s="24"/>
      <c r="BY35" s="24"/>
      <c r="BZ35" s="643"/>
      <c r="CA35" s="643"/>
      <c r="CB35" s="643"/>
      <c r="CC35" s="643"/>
      <c r="CD35" s="636" t="s">
        <v>833</v>
      </c>
      <c r="CE35" s="643"/>
      <c r="CF35" s="636" t="s">
        <v>834</v>
      </c>
      <c r="CG35" s="636" t="s">
        <v>835</v>
      </c>
      <c r="CH35" s="643"/>
      <c r="CI35" s="636" t="s">
        <v>836</v>
      </c>
      <c r="CJ35" s="636" t="s">
        <v>837</v>
      </c>
      <c r="CK35" s="636" t="s">
        <v>838</v>
      </c>
      <c r="CL35" s="636" t="s">
        <v>839</v>
      </c>
      <c r="CM35" s="636" t="s">
        <v>840</v>
      </c>
      <c r="CN35" s="637" t="s">
        <v>841</v>
      </c>
      <c r="CO35" s="636" t="s">
        <v>842</v>
      </c>
      <c r="CP35" s="636" t="s">
        <v>843</v>
      </c>
      <c r="CQ35" s="643"/>
      <c r="CR35" s="636" t="s">
        <v>844</v>
      </c>
      <c r="CS35" s="636" t="s">
        <v>845</v>
      </c>
      <c r="CT35" s="636" t="s">
        <v>846</v>
      </c>
      <c r="CU35" s="643"/>
      <c r="CV35" s="643"/>
      <c r="CW35" s="636" t="s">
        <v>847</v>
      </c>
      <c r="CX35" s="643"/>
      <c r="CY35" s="636" t="s">
        <v>848</v>
      </c>
      <c r="CZ35" s="643"/>
      <c r="DA35" s="636" t="s">
        <v>849</v>
      </c>
      <c r="DB35" s="636" t="s">
        <v>850</v>
      </c>
      <c r="DC35" s="636" t="s">
        <v>851</v>
      </c>
      <c r="DD35" s="636" t="s">
        <v>852</v>
      </c>
      <c r="DE35" s="636" t="s">
        <v>513</v>
      </c>
    </row>
    <row r="36" spans="2:109" ht="6.75" customHeight="1">
      <c r="B36" s="35"/>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7"/>
      <c r="AH36" s="24"/>
      <c r="AI36" s="24"/>
      <c r="AJ36" s="24"/>
      <c r="AK36" s="24"/>
      <c r="AL36" s="630" t="str">
        <f t="shared" si="0"/>
        <v>Cohuecan</v>
      </c>
      <c r="AM36" s="630">
        <f t="shared" si="1"/>
        <v>21033</v>
      </c>
      <c r="AO36" s="24"/>
      <c r="AP36" s="628">
        <v>34</v>
      </c>
      <c r="AQ36" s="642"/>
      <c r="AR36" s="642"/>
      <c r="AS36" s="642"/>
      <c r="AT36" s="642"/>
      <c r="AU36" s="634">
        <v>5033</v>
      </c>
      <c r="AV36" s="642"/>
      <c r="AW36" s="634">
        <v>7033</v>
      </c>
      <c r="AX36" s="634">
        <v>8033</v>
      </c>
      <c r="AY36" s="642"/>
      <c r="AZ36" s="634">
        <v>10033</v>
      </c>
      <c r="BA36" s="634">
        <v>11033</v>
      </c>
      <c r="BB36" s="634">
        <v>12033</v>
      </c>
      <c r="BC36" s="634">
        <v>13033</v>
      </c>
      <c r="BD36" s="634">
        <v>14033</v>
      </c>
      <c r="BE36" s="635">
        <v>15033</v>
      </c>
      <c r="BF36" s="634">
        <v>16033</v>
      </c>
      <c r="BG36" s="634">
        <v>17033</v>
      </c>
      <c r="BH36" s="642"/>
      <c r="BI36" s="634">
        <v>19033</v>
      </c>
      <c r="BJ36" s="634">
        <v>20033</v>
      </c>
      <c r="BK36" s="634">
        <v>21033</v>
      </c>
      <c r="BL36" s="642"/>
      <c r="BM36" s="642"/>
      <c r="BN36" s="634">
        <v>24033</v>
      </c>
      <c r="BO36" s="642"/>
      <c r="BP36" s="634">
        <v>26033</v>
      </c>
      <c r="BQ36" s="642"/>
      <c r="BR36" s="634">
        <v>28033</v>
      </c>
      <c r="BS36" s="634">
        <v>29033</v>
      </c>
      <c r="BT36" s="634">
        <v>30033</v>
      </c>
      <c r="BU36" s="634">
        <v>31033</v>
      </c>
      <c r="BV36" s="634">
        <v>32033</v>
      </c>
      <c r="BW36" s="24"/>
      <c r="BX36" s="24"/>
      <c r="BY36" s="24"/>
      <c r="BZ36" s="643"/>
      <c r="CA36" s="643"/>
      <c r="CB36" s="643"/>
      <c r="CC36" s="643"/>
      <c r="CD36" s="636" t="s">
        <v>853</v>
      </c>
      <c r="CE36" s="643"/>
      <c r="CF36" s="636" t="s">
        <v>854</v>
      </c>
      <c r="CG36" s="636" t="s">
        <v>855</v>
      </c>
      <c r="CH36" s="643"/>
      <c r="CI36" s="636" t="s">
        <v>856</v>
      </c>
      <c r="CJ36" s="636" t="s">
        <v>857</v>
      </c>
      <c r="CK36" s="636" t="s">
        <v>858</v>
      </c>
      <c r="CL36" s="636" t="s">
        <v>859</v>
      </c>
      <c r="CM36" s="636" t="s">
        <v>860</v>
      </c>
      <c r="CN36" s="637" t="s">
        <v>861</v>
      </c>
      <c r="CO36" s="636" t="s">
        <v>862</v>
      </c>
      <c r="CP36" s="636" t="s">
        <v>863</v>
      </c>
      <c r="CQ36" s="643"/>
      <c r="CR36" s="636" t="s">
        <v>864</v>
      </c>
      <c r="CS36" s="636" t="s">
        <v>865</v>
      </c>
      <c r="CT36" s="636" t="s">
        <v>866</v>
      </c>
      <c r="CU36" s="643"/>
      <c r="CV36" s="643"/>
      <c r="CW36" s="636" t="s">
        <v>867</v>
      </c>
      <c r="CX36" s="643"/>
      <c r="CY36" s="636" t="s">
        <v>868</v>
      </c>
      <c r="CZ36" s="643"/>
      <c r="DA36" s="636" t="s">
        <v>869</v>
      </c>
      <c r="DB36" s="636" t="s">
        <v>768</v>
      </c>
      <c r="DC36" s="636" t="s">
        <v>870</v>
      </c>
      <c r="DD36" s="636" t="s">
        <v>871</v>
      </c>
      <c r="DE36" s="636" t="s">
        <v>872</v>
      </c>
    </row>
    <row r="37" spans="2:109" ht="36" customHeight="1">
      <c r="B37" s="35"/>
      <c r="C37" s="38"/>
      <c r="D37" s="731" t="s">
        <v>873</v>
      </c>
      <c r="E37" s="731"/>
      <c r="F37" s="731"/>
      <c r="G37" s="731"/>
      <c r="H37" s="731"/>
      <c r="I37" s="731"/>
      <c r="J37" s="731"/>
      <c r="K37" s="731"/>
      <c r="L37" s="731"/>
      <c r="M37" s="731"/>
      <c r="N37" s="731"/>
      <c r="O37" s="731"/>
      <c r="P37" s="731"/>
      <c r="Q37" s="731"/>
      <c r="R37" s="731"/>
      <c r="S37" s="731"/>
      <c r="T37" s="731"/>
      <c r="U37" s="731"/>
      <c r="V37" s="731"/>
      <c r="W37" s="731"/>
      <c r="X37" s="731"/>
      <c r="Y37" s="731"/>
      <c r="Z37" s="731"/>
      <c r="AA37" s="731"/>
      <c r="AB37" s="731"/>
      <c r="AC37" s="731"/>
      <c r="AD37" s="37"/>
      <c r="AH37" s="628"/>
      <c r="AI37" s="628"/>
      <c r="AJ37" s="628"/>
      <c r="AK37" s="628"/>
      <c r="AL37" s="630" t="str">
        <f t="shared" si="0"/>
        <v>Coronango</v>
      </c>
      <c r="AM37" s="630">
        <f t="shared" si="1"/>
        <v>21034</v>
      </c>
      <c r="AO37" s="628"/>
      <c r="AP37" s="628">
        <v>35</v>
      </c>
      <c r="AQ37" s="634"/>
      <c r="AR37" s="634"/>
      <c r="AS37" s="634"/>
      <c r="AT37" s="634"/>
      <c r="AU37" s="634">
        <v>5034</v>
      </c>
      <c r="AV37" s="634"/>
      <c r="AW37" s="634">
        <v>7034</v>
      </c>
      <c r="AX37" s="634">
        <v>8034</v>
      </c>
      <c r="AY37" s="634"/>
      <c r="AZ37" s="634">
        <v>10034</v>
      </c>
      <c r="BA37" s="634">
        <v>11034</v>
      </c>
      <c r="BB37" s="634">
        <v>12034</v>
      </c>
      <c r="BC37" s="634">
        <v>13034</v>
      </c>
      <c r="BD37" s="634">
        <v>14034</v>
      </c>
      <c r="BE37" s="635">
        <v>15034</v>
      </c>
      <c r="BF37" s="634">
        <v>16034</v>
      </c>
      <c r="BG37" s="641">
        <v>17034</v>
      </c>
      <c r="BH37" s="634"/>
      <c r="BI37" s="634">
        <v>19034</v>
      </c>
      <c r="BJ37" s="634">
        <v>20034</v>
      </c>
      <c r="BK37" s="634">
        <v>21034</v>
      </c>
      <c r="BL37" s="634"/>
      <c r="BM37" s="634"/>
      <c r="BN37" s="634">
        <v>24034</v>
      </c>
      <c r="BO37" s="634"/>
      <c r="BP37" s="634">
        <v>26034</v>
      </c>
      <c r="BQ37" s="634"/>
      <c r="BR37" s="634">
        <v>28034</v>
      </c>
      <c r="BS37" s="634">
        <v>29034</v>
      </c>
      <c r="BT37" s="634">
        <v>30034</v>
      </c>
      <c r="BU37" s="634">
        <v>31034</v>
      </c>
      <c r="BV37" s="634">
        <v>32034</v>
      </c>
      <c r="BW37" s="628"/>
      <c r="BX37" s="628"/>
      <c r="BY37" s="628"/>
      <c r="BZ37" s="636"/>
      <c r="CA37" s="636"/>
      <c r="CB37" s="636"/>
      <c r="CC37" s="636"/>
      <c r="CD37" s="636" t="s">
        <v>874</v>
      </c>
      <c r="CE37" s="636"/>
      <c r="CF37" s="636" t="s">
        <v>875</v>
      </c>
      <c r="CG37" s="636" t="s">
        <v>876</v>
      </c>
      <c r="CH37" s="636"/>
      <c r="CI37" s="636" t="s">
        <v>877</v>
      </c>
      <c r="CJ37" s="636" t="s">
        <v>824</v>
      </c>
      <c r="CK37" s="636" t="s">
        <v>878</v>
      </c>
      <c r="CL37" s="636" t="s">
        <v>879</v>
      </c>
      <c r="CM37" s="636" t="s">
        <v>880</v>
      </c>
      <c r="CN37" s="637" t="s">
        <v>881</v>
      </c>
      <c r="CO37" s="636" t="s">
        <v>331</v>
      </c>
      <c r="CP37" s="636" t="s">
        <v>882</v>
      </c>
      <c r="CQ37" s="636"/>
      <c r="CR37" s="636" t="s">
        <v>883</v>
      </c>
      <c r="CS37" s="636" t="s">
        <v>884</v>
      </c>
      <c r="CT37" s="636" t="s">
        <v>885</v>
      </c>
      <c r="CU37" s="636"/>
      <c r="CV37" s="636"/>
      <c r="CW37" s="636" t="s">
        <v>886</v>
      </c>
      <c r="CX37" s="636"/>
      <c r="CY37" s="636" t="s">
        <v>887</v>
      </c>
      <c r="CZ37" s="636"/>
      <c r="DA37" s="636" t="s">
        <v>888</v>
      </c>
      <c r="DB37" s="636" t="s">
        <v>889</v>
      </c>
      <c r="DC37" s="636" t="s">
        <v>890</v>
      </c>
      <c r="DD37" s="636" t="s">
        <v>891</v>
      </c>
      <c r="DE37" s="636" t="s">
        <v>892</v>
      </c>
    </row>
    <row r="38" spans="2:109" ht="6.75" customHeight="1">
      <c r="B38" s="35"/>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7"/>
      <c r="AH38" s="24"/>
      <c r="AI38" s="24"/>
      <c r="AJ38" s="24"/>
      <c r="AK38" s="24"/>
      <c r="AL38" s="630" t="str">
        <f t="shared" si="0"/>
        <v>Coxcatlán</v>
      </c>
      <c r="AM38" s="630">
        <f t="shared" si="1"/>
        <v>21035</v>
      </c>
      <c r="AO38" s="24"/>
      <c r="AP38" s="628">
        <v>36</v>
      </c>
      <c r="AQ38" s="642"/>
      <c r="AR38" s="642"/>
      <c r="AS38" s="642"/>
      <c r="AT38" s="642"/>
      <c r="AU38" s="634">
        <v>5035</v>
      </c>
      <c r="AV38" s="642"/>
      <c r="AW38" s="634">
        <v>7035</v>
      </c>
      <c r="AX38" s="634">
        <v>8035</v>
      </c>
      <c r="AY38" s="642"/>
      <c r="AZ38" s="634">
        <v>10035</v>
      </c>
      <c r="BA38" s="634">
        <v>11035</v>
      </c>
      <c r="BB38" s="634">
        <v>12035</v>
      </c>
      <c r="BC38" s="634">
        <v>13035</v>
      </c>
      <c r="BD38" s="634">
        <v>14035</v>
      </c>
      <c r="BE38" s="635">
        <v>15035</v>
      </c>
      <c r="BF38" s="634">
        <v>16035</v>
      </c>
      <c r="BG38" s="641">
        <v>17035</v>
      </c>
      <c r="BH38" s="642"/>
      <c r="BI38" s="634">
        <v>19035</v>
      </c>
      <c r="BJ38" s="634">
        <v>20035</v>
      </c>
      <c r="BK38" s="634">
        <v>21035</v>
      </c>
      <c r="BL38" s="642"/>
      <c r="BM38" s="642"/>
      <c r="BN38" s="634">
        <v>24035</v>
      </c>
      <c r="BO38" s="642"/>
      <c r="BP38" s="634">
        <v>26035</v>
      </c>
      <c r="BQ38" s="642"/>
      <c r="BR38" s="634">
        <v>28035</v>
      </c>
      <c r="BS38" s="634">
        <v>29035</v>
      </c>
      <c r="BT38" s="634">
        <v>30035</v>
      </c>
      <c r="BU38" s="634">
        <v>31035</v>
      </c>
      <c r="BV38" s="634">
        <v>32035</v>
      </c>
      <c r="BW38" s="24"/>
      <c r="BX38" s="24"/>
      <c r="BY38" s="24"/>
      <c r="BZ38" s="643"/>
      <c r="CA38" s="643"/>
      <c r="CB38" s="643"/>
      <c r="CC38" s="643"/>
      <c r="CD38" s="636" t="s">
        <v>893</v>
      </c>
      <c r="CE38" s="643"/>
      <c r="CF38" s="636" t="s">
        <v>894</v>
      </c>
      <c r="CG38" s="636" t="s">
        <v>895</v>
      </c>
      <c r="CH38" s="643"/>
      <c r="CI38" s="636" t="s">
        <v>896</v>
      </c>
      <c r="CJ38" s="636" t="s">
        <v>897</v>
      </c>
      <c r="CK38" s="636" t="s">
        <v>898</v>
      </c>
      <c r="CL38" s="636" t="s">
        <v>899</v>
      </c>
      <c r="CM38" s="636" t="s">
        <v>900</v>
      </c>
      <c r="CN38" s="637" t="s">
        <v>901</v>
      </c>
      <c r="CO38" s="636" t="s">
        <v>902</v>
      </c>
      <c r="CP38" s="636" t="s">
        <v>903</v>
      </c>
      <c r="CQ38" s="643"/>
      <c r="CR38" s="636" t="s">
        <v>748</v>
      </c>
      <c r="CS38" s="636" t="s">
        <v>904</v>
      </c>
      <c r="CT38" s="636" t="s">
        <v>452</v>
      </c>
      <c r="CU38" s="643"/>
      <c r="CV38" s="643"/>
      <c r="CW38" s="636" t="s">
        <v>905</v>
      </c>
      <c r="CX38" s="643"/>
      <c r="CY38" s="636" t="s">
        <v>906</v>
      </c>
      <c r="CZ38" s="643"/>
      <c r="DA38" s="636" t="s">
        <v>907</v>
      </c>
      <c r="DB38" s="636" t="s">
        <v>908</v>
      </c>
      <c r="DC38" s="636" t="s">
        <v>909</v>
      </c>
      <c r="DD38" s="636" t="s">
        <v>910</v>
      </c>
      <c r="DE38" s="636" t="s">
        <v>911</v>
      </c>
    </row>
    <row r="39" spans="2:109" ht="72" customHeight="1">
      <c r="B39" s="35"/>
      <c r="C39" s="731" t="s">
        <v>912</v>
      </c>
      <c r="D39" s="731"/>
      <c r="E39" s="731"/>
      <c r="F39" s="731"/>
      <c r="G39" s="731"/>
      <c r="H39" s="731"/>
      <c r="I39" s="731"/>
      <c r="J39" s="731"/>
      <c r="K39" s="731"/>
      <c r="L39" s="731"/>
      <c r="M39" s="731"/>
      <c r="N39" s="731"/>
      <c r="O39" s="731"/>
      <c r="P39" s="731"/>
      <c r="Q39" s="731"/>
      <c r="R39" s="731"/>
      <c r="S39" s="731"/>
      <c r="T39" s="731"/>
      <c r="U39" s="731"/>
      <c r="V39" s="731"/>
      <c r="W39" s="731"/>
      <c r="X39" s="731"/>
      <c r="Y39" s="731"/>
      <c r="Z39" s="731"/>
      <c r="AA39" s="731"/>
      <c r="AB39" s="731"/>
      <c r="AC39" s="731"/>
      <c r="AD39" s="37"/>
      <c r="AH39" s="24"/>
      <c r="AI39" s="24"/>
      <c r="AJ39" s="24"/>
      <c r="AK39" s="24"/>
      <c r="AL39" s="630" t="str">
        <f t="shared" si="0"/>
        <v>Coyomeapan</v>
      </c>
      <c r="AM39" s="630">
        <f t="shared" si="1"/>
        <v>21036</v>
      </c>
      <c r="AO39" s="24"/>
      <c r="AP39" s="628">
        <v>37</v>
      </c>
      <c r="AQ39" s="642"/>
      <c r="AR39" s="642"/>
      <c r="AS39" s="642"/>
      <c r="AT39" s="642"/>
      <c r="AU39" s="634">
        <v>5036</v>
      </c>
      <c r="AV39" s="642"/>
      <c r="AW39" s="634">
        <v>7036</v>
      </c>
      <c r="AX39" s="634">
        <v>8036</v>
      </c>
      <c r="AY39" s="642"/>
      <c r="AZ39" s="634">
        <v>10036</v>
      </c>
      <c r="BA39" s="634">
        <v>11036</v>
      </c>
      <c r="BB39" s="634">
        <v>12036</v>
      </c>
      <c r="BC39" s="634">
        <v>13036</v>
      </c>
      <c r="BD39" s="634">
        <v>14036</v>
      </c>
      <c r="BE39" s="635">
        <v>15036</v>
      </c>
      <c r="BF39" s="634">
        <v>16036</v>
      </c>
      <c r="BG39" s="641">
        <v>17036</v>
      </c>
      <c r="BH39" s="642"/>
      <c r="BI39" s="634">
        <v>19036</v>
      </c>
      <c r="BJ39" s="634">
        <v>20036</v>
      </c>
      <c r="BK39" s="634">
        <v>21036</v>
      </c>
      <c r="BL39" s="642"/>
      <c r="BM39" s="642"/>
      <c r="BN39" s="634">
        <v>24036</v>
      </c>
      <c r="BO39" s="642"/>
      <c r="BP39" s="634">
        <v>26036</v>
      </c>
      <c r="BQ39" s="642"/>
      <c r="BR39" s="634">
        <v>28036</v>
      </c>
      <c r="BS39" s="634">
        <v>29036</v>
      </c>
      <c r="BT39" s="634">
        <v>30036</v>
      </c>
      <c r="BU39" s="634">
        <v>31036</v>
      </c>
      <c r="BV39" s="634">
        <v>32036</v>
      </c>
      <c r="BW39" s="24"/>
      <c r="BX39" s="24"/>
      <c r="BY39" s="24"/>
      <c r="BZ39" s="643"/>
      <c r="CA39" s="643"/>
      <c r="CB39" s="643"/>
      <c r="CC39" s="643"/>
      <c r="CD39" s="636" t="s">
        <v>913</v>
      </c>
      <c r="CE39" s="643"/>
      <c r="CF39" s="636" t="s">
        <v>914</v>
      </c>
      <c r="CG39" s="636" t="s">
        <v>437</v>
      </c>
      <c r="CH39" s="643"/>
      <c r="CI39" s="636" t="s">
        <v>915</v>
      </c>
      <c r="CJ39" s="636" t="s">
        <v>916</v>
      </c>
      <c r="CK39" s="636" t="s">
        <v>917</v>
      </c>
      <c r="CL39" s="636" t="s">
        <v>918</v>
      </c>
      <c r="CM39" s="636" t="s">
        <v>919</v>
      </c>
      <c r="CN39" s="637" t="s">
        <v>920</v>
      </c>
      <c r="CO39" s="636" t="s">
        <v>921</v>
      </c>
      <c r="CP39" s="638" t="s">
        <v>922</v>
      </c>
      <c r="CQ39" s="643"/>
      <c r="CR39" s="636" t="s">
        <v>923</v>
      </c>
      <c r="CS39" s="636" t="s">
        <v>924</v>
      </c>
      <c r="CT39" s="636" t="s">
        <v>925</v>
      </c>
      <c r="CU39" s="643"/>
      <c r="CV39" s="643"/>
      <c r="CW39" s="636" t="s">
        <v>926</v>
      </c>
      <c r="CX39" s="643"/>
      <c r="CY39" s="636" t="s">
        <v>927</v>
      </c>
      <c r="CZ39" s="643"/>
      <c r="DA39" s="636" t="s">
        <v>928</v>
      </c>
      <c r="DB39" s="636" t="s">
        <v>929</v>
      </c>
      <c r="DC39" s="636" t="s">
        <v>930</v>
      </c>
      <c r="DD39" s="636" t="s">
        <v>931</v>
      </c>
      <c r="DE39" s="636" t="s">
        <v>932</v>
      </c>
    </row>
    <row r="40" spans="2:109" ht="6.75" customHeight="1">
      <c r="B40" s="35"/>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7"/>
      <c r="AH40" s="24"/>
      <c r="AI40" s="24"/>
      <c r="AJ40" s="24"/>
      <c r="AK40" s="24"/>
      <c r="AL40" s="630" t="str">
        <f t="shared" si="0"/>
        <v>Coyotepec</v>
      </c>
      <c r="AM40" s="630">
        <f t="shared" si="1"/>
        <v>21037</v>
      </c>
      <c r="AO40" s="24"/>
      <c r="AP40" s="628">
        <v>38</v>
      </c>
      <c r="AQ40" s="642"/>
      <c r="AR40" s="642"/>
      <c r="AS40" s="642"/>
      <c r="AT40" s="642"/>
      <c r="AU40" s="634">
        <v>5037</v>
      </c>
      <c r="AV40" s="642"/>
      <c r="AW40" s="634">
        <v>7037</v>
      </c>
      <c r="AX40" s="634">
        <v>8037</v>
      </c>
      <c r="AY40" s="642"/>
      <c r="AZ40" s="634">
        <v>10037</v>
      </c>
      <c r="BA40" s="634">
        <v>11037</v>
      </c>
      <c r="BB40" s="634">
        <v>12037</v>
      </c>
      <c r="BC40" s="634">
        <v>13037</v>
      </c>
      <c r="BD40" s="634">
        <v>14037</v>
      </c>
      <c r="BE40" s="635">
        <v>15037</v>
      </c>
      <c r="BF40" s="634">
        <v>16037</v>
      </c>
      <c r="BG40" s="634">
        <v>17099</v>
      </c>
      <c r="BH40" s="642"/>
      <c r="BI40" s="634">
        <v>19037</v>
      </c>
      <c r="BJ40" s="634">
        <v>20037</v>
      </c>
      <c r="BK40" s="634">
        <v>21037</v>
      </c>
      <c r="BL40" s="642"/>
      <c r="BM40" s="642"/>
      <c r="BN40" s="634">
        <v>24037</v>
      </c>
      <c r="BO40" s="642"/>
      <c r="BP40" s="634">
        <v>26037</v>
      </c>
      <c r="BQ40" s="642"/>
      <c r="BR40" s="634">
        <v>28037</v>
      </c>
      <c r="BS40" s="634">
        <v>29037</v>
      </c>
      <c r="BT40" s="634">
        <v>30037</v>
      </c>
      <c r="BU40" s="634">
        <v>31037</v>
      </c>
      <c r="BV40" s="634">
        <v>32037</v>
      </c>
      <c r="BW40" s="24"/>
      <c r="BX40" s="24"/>
      <c r="BY40" s="24"/>
      <c r="BZ40" s="643"/>
      <c r="CA40" s="643"/>
      <c r="CB40" s="643"/>
      <c r="CC40" s="643"/>
      <c r="CD40" s="636" t="s">
        <v>933</v>
      </c>
      <c r="CE40" s="643"/>
      <c r="CF40" s="636" t="s">
        <v>934</v>
      </c>
      <c r="CG40" s="636" t="s">
        <v>461</v>
      </c>
      <c r="CH40" s="643"/>
      <c r="CI40" s="636" t="s">
        <v>935</v>
      </c>
      <c r="CJ40" s="638" t="s">
        <v>936</v>
      </c>
      <c r="CK40" s="636" t="s">
        <v>937</v>
      </c>
      <c r="CL40" s="636" t="s">
        <v>938</v>
      </c>
      <c r="CM40" s="636" t="s">
        <v>939</v>
      </c>
      <c r="CN40" s="637" t="s">
        <v>940</v>
      </c>
      <c r="CO40" s="636" t="s">
        <v>941</v>
      </c>
      <c r="CP40" s="636" t="s">
        <v>201</v>
      </c>
      <c r="CQ40" s="643"/>
      <c r="CR40" s="636" t="s">
        <v>942</v>
      </c>
      <c r="CS40" s="636" t="s">
        <v>943</v>
      </c>
      <c r="CT40" s="636" t="s">
        <v>653</v>
      </c>
      <c r="CU40" s="643"/>
      <c r="CV40" s="643"/>
      <c r="CW40" s="636" t="s">
        <v>944</v>
      </c>
      <c r="CX40" s="643"/>
      <c r="CY40" s="636" t="s">
        <v>945</v>
      </c>
      <c r="CZ40" s="643"/>
      <c r="DA40" s="636" t="s">
        <v>946</v>
      </c>
      <c r="DB40" s="636" t="s">
        <v>947</v>
      </c>
      <c r="DC40" s="636" t="s">
        <v>948</v>
      </c>
      <c r="DD40" s="636" t="s">
        <v>949</v>
      </c>
      <c r="DE40" s="636" t="s">
        <v>950</v>
      </c>
    </row>
    <row r="41" spans="2:109" ht="60" customHeight="1">
      <c r="B41" s="35"/>
      <c r="C41" s="731" t="s">
        <v>951</v>
      </c>
      <c r="D41" s="731"/>
      <c r="E41" s="731"/>
      <c r="F41" s="731"/>
      <c r="G41" s="731"/>
      <c r="H41" s="731"/>
      <c r="I41" s="731"/>
      <c r="J41" s="731"/>
      <c r="K41" s="731"/>
      <c r="L41" s="731"/>
      <c r="M41" s="731"/>
      <c r="N41" s="731"/>
      <c r="O41" s="731"/>
      <c r="P41" s="731"/>
      <c r="Q41" s="731"/>
      <c r="R41" s="731"/>
      <c r="S41" s="731"/>
      <c r="T41" s="731"/>
      <c r="U41" s="731"/>
      <c r="V41" s="731"/>
      <c r="W41" s="731"/>
      <c r="X41" s="731"/>
      <c r="Y41" s="731"/>
      <c r="Z41" s="731"/>
      <c r="AA41" s="731"/>
      <c r="AB41" s="731"/>
      <c r="AC41" s="731"/>
      <c r="AD41" s="37"/>
      <c r="AH41" s="24"/>
      <c r="AI41" s="24"/>
      <c r="AJ41" s="24"/>
      <c r="AK41" s="24"/>
      <c r="AL41" s="630" t="str">
        <f t="shared" si="0"/>
        <v>Cuapiaxtla de Madero</v>
      </c>
      <c r="AM41" s="630">
        <f t="shared" si="1"/>
        <v>21038</v>
      </c>
      <c r="AO41" s="24"/>
      <c r="AP41" s="628">
        <v>39</v>
      </c>
      <c r="AQ41" s="642"/>
      <c r="AR41" s="642"/>
      <c r="AS41" s="642"/>
      <c r="AT41" s="642"/>
      <c r="AU41" s="634">
        <v>5038</v>
      </c>
      <c r="AV41" s="642"/>
      <c r="AW41" s="634">
        <v>7038</v>
      </c>
      <c r="AX41" s="634">
        <v>8038</v>
      </c>
      <c r="AY41" s="642"/>
      <c r="AZ41" s="634">
        <v>10038</v>
      </c>
      <c r="BA41" s="634">
        <v>11038</v>
      </c>
      <c r="BB41" s="634">
        <v>12038</v>
      </c>
      <c r="BC41" s="634">
        <v>13038</v>
      </c>
      <c r="BD41" s="634">
        <v>14038</v>
      </c>
      <c r="BE41" s="635">
        <v>15038</v>
      </c>
      <c r="BF41" s="634">
        <v>16038</v>
      </c>
      <c r="BG41" s="642"/>
      <c r="BH41" s="642"/>
      <c r="BI41" s="634">
        <v>19038</v>
      </c>
      <c r="BJ41" s="634">
        <v>20038</v>
      </c>
      <c r="BK41" s="634">
        <v>21038</v>
      </c>
      <c r="BL41" s="642"/>
      <c r="BM41" s="642"/>
      <c r="BN41" s="634">
        <v>24038</v>
      </c>
      <c r="BO41" s="642"/>
      <c r="BP41" s="634">
        <v>26038</v>
      </c>
      <c r="BQ41" s="642"/>
      <c r="BR41" s="634">
        <v>28038</v>
      </c>
      <c r="BS41" s="634">
        <v>29038</v>
      </c>
      <c r="BT41" s="634">
        <v>30038</v>
      </c>
      <c r="BU41" s="634">
        <v>31038</v>
      </c>
      <c r="BV41" s="634">
        <v>32038</v>
      </c>
      <c r="BW41" s="24"/>
      <c r="BX41" s="24"/>
      <c r="BY41" s="24"/>
      <c r="BZ41" s="643"/>
      <c r="CA41" s="643"/>
      <c r="CB41" s="643"/>
      <c r="CC41" s="643"/>
      <c r="CD41" s="636" t="s">
        <v>952</v>
      </c>
      <c r="CE41" s="643"/>
      <c r="CF41" s="636" t="s">
        <v>953</v>
      </c>
      <c r="CG41" s="636" t="s">
        <v>954</v>
      </c>
      <c r="CH41" s="643"/>
      <c r="CI41" s="636" t="s">
        <v>955</v>
      </c>
      <c r="CJ41" s="636" t="s">
        <v>956</v>
      </c>
      <c r="CK41" s="636" t="s">
        <v>957</v>
      </c>
      <c r="CL41" s="636" t="s">
        <v>958</v>
      </c>
      <c r="CM41" s="636" t="s">
        <v>959</v>
      </c>
      <c r="CN41" s="637" t="s">
        <v>960</v>
      </c>
      <c r="CO41" s="636" t="s">
        <v>961</v>
      </c>
      <c r="CP41" s="643"/>
      <c r="CQ41" s="643"/>
      <c r="CR41" s="636" t="s">
        <v>962</v>
      </c>
      <c r="CS41" s="636" t="s">
        <v>963</v>
      </c>
      <c r="CT41" s="636" t="s">
        <v>964</v>
      </c>
      <c r="CU41" s="643"/>
      <c r="CV41" s="643"/>
      <c r="CW41" s="636" t="s">
        <v>965</v>
      </c>
      <c r="CX41" s="643"/>
      <c r="CY41" s="636" t="s">
        <v>641</v>
      </c>
      <c r="CZ41" s="643"/>
      <c r="DA41" s="636" t="s">
        <v>966</v>
      </c>
      <c r="DB41" s="636" t="s">
        <v>967</v>
      </c>
      <c r="DC41" s="636" t="s">
        <v>803</v>
      </c>
      <c r="DD41" s="636" t="s">
        <v>968</v>
      </c>
      <c r="DE41" s="636" t="s">
        <v>969</v>
      </c>
    </row>
    <row r="42" spans="2:109" ht="6.75" customHeight="1">
      <c r="B42" s="35"/>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7"/>
      <c r="AH42" s="24"/>
      <c r="AI42" s="24"/>
      <c r="AJ42" s="24"/>
      <c r="AK42" s="24"/>
      <c r="AL42" s="630" t="str">
        <f t="shared" si="0"/>
        <v>Cuautempan</v>
      </c>
      <c r="AM42" s="630">
        <f t="shared" si="1"/>
        <v>21039</v>
      </c>
      <c r="AO42" s="24"/>
      <c r="AP42" s="628">
        <v>40</v>
      </c>
      <c r="AQ42" s="642"/>
      <c r="AR42" s="642"/>
      <c r="AS42" s="642"/>
      <c r="AT42" s="642"/>
      <c r="AU42" s="646">
        <v>5099</v>
      </c>
      <c r="AV42" s="642"/>
      <c r="AW42" s="634">
        <v>7039</v>
      </c>
      <c r="AX42" s="634">
        <v>8039</v>
      </c>
      <c r="AY42" s="642"/>
      <c r="AZ42" s="634">
        <v>10039</v>
      </c>
      <c r="BA42" s="634">
        <v>11039</v>
      </c>
      <c r="BB42" s="634">
        <v>12039</v>
      </c>
      <c r="BC42" s="634">
        <v>13039</v>
      </c>
      <c r="BD42" s="634">
        <v>14039</v>
      </c>
      <c r="BE42" s="635">
        <v>15039</v>
      </c>
      <c r="BF42" s="634">
        <v>16039</v>
      </c>
      <c r="BG42" s="642"/>
      <c r="BH42" s="642"/>
      <c r="BI42" s="634">
        <v>19039</v>
      </c>
      <c r="BJ42" s="634">
        <v>20039</v>
      </c>
      <c r="BK42" s="634">
        <v>21039</v>
      </c>
      <c r="BL42" s="642"/>
      <c r="BM42" s="642"/>
      <c r="BN42" s="634">
        <v>24039</v>
      </c>
      <c r="BO42" s="642"/>
      <c r="BP42" s="634">
        <v>26039</v>
      </c>
      <c r="BQ42" s="642"/>
      <c r="BR42" s="634">
        <v>28039</v>
      </c>
      <c r="BS42" s="634">
        <v>29039</v>
      </c>
      <c r="BT42" s="634">
        <v>30039</v>
      </c>
      <c r="BU42" s="634">
        <v>31039</v>
      </c>
      <c r="BV42" s="634">
        <v>32039</v>
      </c>
      <c r="BW42" s="24"/>
      <c r="BX42" s="24"/>
      <c r="BY42" s="24"/>
      <c r="BZ42" s="643"/>
      <c r="CA42" s="643"/>
      <c r="CB42" s="643"/>
      <c r="CC42" s="643"/>
      <c r="CD42" s="636" t="s">
        <v>201</v>
      </c>
      <c r="CE42" s="643"/>
      <c r="CF42" s="636" t="s">
        <v>970</v>
      </c>
      <c r="CG42" s="636" t="s">
        <v>971</v>
      </c>
      <c r="CH42" s="643"/>
      <c r="CI42" s="636" t="s">
        <v>972</v>
      </c>
      <c r="CJ42" s="636" t="s">
        <v>973</v>
      </c>
      <c r="CK42" s="636" t="s">
        <v>974</v>
      </c>
      <c r="CL42" s="636" t="s">
        <v>975</v>
      </c>
      <c r="CM42" s="636" t="s">
        <v>976</v>
      </c>
      <c r="CN42" s="637" t="s">
        <v>977</v>
      </c>
      <c r="CO42" s="636" t="s">
        <v>978</v>
      </c>
      <c r="CP42" s="643"/>
      <c r="CQ42" s="643"/>
      <c r="CR42" s="636" t="s">
        <v>979</v>
      </c>
      <c r="CS42" s="636" t="s">
        <v>980</v>
      </c>
      <c r="CT42" s="636" t="s">
        <v>981</v>
      </c>
      <c r="CU42" s="643"/>
      <c r="CV42" s="643"/>
      <c r="CW42" s="636" t="s">
        <v>982</v>
      </c>
      <c r="CX42" s="643"/>
      <c r="CY42" s="636" t="s">
        <v>983</v>
      </c>
      <c r="CZ42" s="643"/>
      <c r="DA42" s="636" t="s">
        <v>984</v>
      </c>
      <c r="DB42" s="636" t="s">
        <v>985</v>
      </c>
      <c r="DC42" s="636" t="s">
        <v>986</v>
      </c>
      <c r="DD42" s="636" t="s">
        <v>987</v>
      </c>
      <c r="DE42" s="636" t="s">
        <v>988</v>
      </c>
    </row>
    <row r="43" spans="2:109" ht="36" customHeight="1">
      <c r="B43" s="35"/>
      <c r="C43" s="731" t="s">
        <v>989</v>
      </c>
      <c r="D43" s="731"/>
      <c r="E43" s="731"/>
      <c r="F43" s="731"/>
      <c r="G43" s="731"/>
      <c r="H43" s="731"/>
      <c r="I43" s="731"/>
      <c r="J43" s="731"/>
      <c r="K43" s="731"/>
      <c r="L43" s="731"/>
      <c r="M43" s="731"/>
      <c r="N43" s="731"/>
      <c r="O43" s="731"/>
      <c r="P43" s="731"/>
      <c r="Q43" s="731"/>
      <c r="R43" s="731"/>
      <c r="S43" s="731"/>
      <c r="T43" s="731"/>
      <c r="U43" s="731"/>
      <c r="V43" s="731"/>
      <c r="W43" s="731"/>
      <c r="X43" s="731"/>
      <c r="Y43" s="731"/>
      <c r="Z43" s="731"/>
      <c r="AA43" s="731"/>
      <c r="AB43" s="731"/>
      <c r="AC43" s="731"/>
      <c r="AD43" s="37"/>
      <c r="AH43" s="24"/>
      <c r="AI43" s="24"/>
      <c r="AJ43" s="24"/>
      <c r="AK43" s="24"/>
      <c r="AL43" s="630" t="str">
        <f t="shared" si="0"/>
        <v>Cuautinchán</v>
      </c>
      <c r="AM43" s="630">
        <f t="shared" si="1"/>
        <v>21040</v>
      </c>
      <c r="AO43" s="24"/>
      <c r="AP43" s="628">
        <v>41</v>
      </c>
      <c r="AQ43" s="642"/>
      <c r="AR43" s="642"/>
      <c r="AS43" s="642"/>
      <c r="AT43" s="642"/>
      <c r="AU43" s="642"/>
      <c r="AV43" s="642"/>
      <c r="AW43" s="634">
        <v>7040</v>
      </c>
      <c r="AX43" s="634">
        <v>8040</v>
      </c>
      <c r="AY43" s="642"/>
      <c r="AZ43" s="642">
        <v>10099</v>
      </c>
      <c r="BA43" s="634">
        <v>11040</v>
      </c>
      <c r="BB43" s="634">
        <v>12040</v>
      </c>
      <c r="BC43" s="634">
        <v>13040</v>
      </c>
      <c r="BD43" s="634">
        <v>14040</v>
      </c>
      <c r="BE43" s="635">
        <v>15040</v>
      </c>
      <c r="BF43" s="634">
        <v>16040</v>
      </c>
      <c r="BG43" s="642"/>
      <c r="BH43" s="642"/>
      <c r="BI43" s="634">
        <v>19040</v>
      </c>
      <c r="BJ43" s="634">
        <v>20040</v>
      </c>
      <c r="BK43" s="634">
        <v>21040</v>
      </c>
      <c r="BL43" s="642"/>
      <c r="BM43" s="642"/>
      <c r="BN43" s="634">
        <v>24040</v>
      </c>
      <c r="BO43" s="642"/>
      <c r="BP43" s="634">
        <v>26040</v>
      </c>
      <c r="BQ43" s="642"/>
      <c r="BR43" s="634">
        <v>28040</v>
      </c>
      <c r="BS43" s="634">
        <v>29040</v>
      </c>
      <c r="BT43" s="634">
        <v>30040</v>
      </c>
      <c r="BU43" s="634">
        <v>31040</v>
      </c>
      <c r="BV43" s="634">
        <v>32040</v>
      </c>
      <c r="BW43" s="24"/>
      <c r="BX43" s="24"/>
      <c r="BY43" s="24"/>
      <c r="BZ43" s="643"/>
      <c r="CA43" s="643"/>
      <c r="CB43" s="643"/>
      <c r="CC43" s="643"/>
      <c r="CD43" s="643"/>
      <c r="CE43" s="643"/>
      <c r="CF43" s="636" t="s">
        <v>990</v>
      </c>
      <c r="CG43" s="636" t="s">
        <v>991</v>
      </c>
      <c r="CH43" s="643"/>
      <c r="CI43" s="636" t="s">
        <v>201</v>
      </c>
      <c r="CJ43" s="636" t="s">
        <v>992</v>
      </c>
      <c r="CK43" s="636" t="s">
        <v>993</v>
      </c>
      <c r="CL43" s="636" t="s">
        <v>994</v>
      </c>
      <c r="CM43" s="636" t="s">
        <v>995</v>
      </c>
      <c r="CN43" s="637" t="s">
        <v>996</v>
      </c>
      <c r="CO43" s="636" t="s">
        <v>997</v>
      </c>
      <c r="CP43" s="643"/>
      <c r="CQ43" s="643"/>
      <c r="CR43" s="636" t="s">
        <v>998</v>
      </c>
      <c r="CS43" s="636" t="s">
        <v>999</v>
      </c>
      <c r="CT43" s="636" t="s">
        <v>1000</v>
      </c>
      <c r="CU43" s="643"/>
      <c r="CV43" s="643"/>
      <c r="CW43" s="636" t="s">
        <v>1001</v>
      </c>
      <c r="CX43" s="643"/>
      <c r="CY43" s="636" t="s">
        <v>1002</v>
      </c>
      <c r="CZ43" s="643"/>
      <c r="DA43" s="636" t="s">
        <v>1003</v>
      </c>
      <c r="DB43" s="636" t="s">
        <v>1004</v>
      </c>
      <c r="DC43" s="636" t="s">
        <v>1005</v>
      </c>
      <c r="DD43" s="636" t="s">
        <v>1006</v>
      </c>
      <c r="DE43" s="636" t="s">
        <v>1007</v>
      </c>
    </row>
    <row r="44" spans="2:109" ht="6.75" customHeight="1">
      <c r="B44" s="35"/>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7"/>
      <c r="AH44" s="24"/>
      <c r="AI44" s="24"/>
      <c r="AJ44" s="24"/>
      <c r="AK44" s="24"/>
      <c r="AL44" s="630" t="str">
        <f t="shared" si="0"/>
        <v>Cuautlancingo</v>
      </c>
      <c r="AM44" s="630">
        <f t="shared" si="1"/>
        <v>21041</v>
      </c>
      <c r="AO44" s="24"/>
      <c r="AP44" s="628">
        <v>42</v>
      </c>
      <c r="AQ44" s="642"/>
      <c r="AR44" s="642"/>
      <c r="AS44" s="642"/>
      <c r="AT44" s="642"/>
      <c r="AU44" s="642"/>
      <c r="AV44" s="642"/>
      <c r="AW44" s="634">
        <v>7041</v>
      </c>
      <c r="AX44" s="634">
        <v>8041</v>
      </c>
      <c r="AY44" s="642"/>
      <c r="AZ44" s="642"/>
      <c r="BA44" s="634">
        <v>11041</v>
      </c>
      <c r="BB44" s="634">
        <v>12041</v>
      </c>
      <c r="BC44" s="634">
        <v>13041</v>
      </c>
      <c r="BD44" s="634">
        <v>14041</v>
      </c>
      <c r="BE44" s="635">
        <v>15041</v>
      </c>
      <c r="BF44" s="634">
        <v>16041</v>
      </c>
      <c r="BG44" s="642"/>
      <c r="BH44" s="642"/>
      <c r="BI44" s="634">
        <v>19041</v>
      </c>
      <c r="BJ44" s="634">
        <v>20041</v>
      </c>
      <c r="BK44" s="634">
        <v>21041</v>
      </c>
      <c r="BL44" s="642"/>
      <c r="BM44" s="642"/>
      <c r="BN44" s="634">
        <v>24041</v>
      </c>
      <c r="BO44" s="642"/>
      <c r="BP44" s="634">
        <v>26041</v>
      </c>
      <c r="BQ44" s="642"/>
      <c r="BR44" s="634">
        <v>28041</v>
      </c>
      <c r="BS44" s="634">
        <v>29041</v>
      </c>
      <c r="BT44" s="634">
        <v>30041</v>
      </c>
      <c r="BU44" s="634">
        <v>31041</v>
      </c>
      <c r="BV44" s="634">
        <v>32041</v>
      </c>
      <c r="BW44" s="24"/>
      <c r="BX44" s="24"/>
      <c r="BY44" s="24"/>
      <c r="BZ44" s="643"/>
      <c r="CA44" s="643"/>
      <c r="CB44" s="643"/>
      <c r="CC44" s="643"/>
      <c r="CD44" s="643"/>
      <c r="CE44" s="643"/>
      <c r="CF44" s="636" t="s">
        <v>1008</v>
      </c>
      <c r="CG44" s="636" t="s">
        <v>1009</v>
      </c>
      <c r="CH44" s="643"/>
      <c r="CI44" s="643"/>
      <c r="CJ44" s="636" t="s">
        <v>1010</v>
      </c>
      <c r="CK44" s="636" t="s">
        <v>1011</v>
      </c>
      <c r="CL44" s="636" t="s">
        <v>1012</v>
      </c>
      <c r="CM44" s="636" t="s">
        <v>1013</v>
      </c>
      <c r="CN44" s="637" t="s">
        <v>1014</v>
      </c>
      <c r="CO44" s="636" t="s">
        <v>1015</v>
      </c>
      <c r="CP44" s="643"/>
      <c r="CQ44" s="643"/>
      <c r="CR44" s="636" t="s">
        <v>1016</v>
      </c>
      <c r="CS44" s="636" t="s">
        <v>1017</v>
      </c>
      <c r="CT44" s="636" t="s">
        <v>1018</v>
      </c>
      <c r="CU44" s="643"/>
      <c r="CV44" s="643"/>
      <c r="CW44" s="636" t="s">
        <v>1019</v>
      </c>
      <c r="CX44" s="643"/>
      <c r="CY44" s="636" t="s">
        <v>1020</v>
      </c>
      <c r="CZ44" s="643"/>
      <c r="DA44" s="636" t="s">
        <v>1021</v>
      </c>
      <c r="DB44" s="636" t="s">
        <v>1022</v>
      </c>
      <c r="DC44" s="636" t="s">
        <v>1023</v>
      </c>
      <c r="DD44" s="636" t="s">
        <v>1024</v>
      </c>
      <c r="DE44" s="636" t="s">
        <v>1025</v>
      </c>
    </row>
    <row r="45" spans="2:109" ht="60" customHeight="1">
      <c r="B45" s="35"/>
      <c r="C45" s="731" t="s">
        <v>1026</v>
      </c>
      <c r="D45" s="731"/>
      <c r="E45" s="731"/>
      <c r="F45" s="731"/>
      <c r="G45" s="731"/>
      <c r="H45" s="731"/>
      <c r="I45" s="731"/>
      <c r="J45" s="731"/>
      <c r="K45" s="731"/>
      <c r="L45" s="731"/>
      <c r="M45" s="731"/>
      <c r="N45" s="731"/>
      <c r="O45" s="731"/>
      <c r="P45" s="731"/>
      <c r="Q45" s="731"/>
      <c r="R45" s="731"/>
      <c r="S45" s="731"/>
      <c r="T45" s="731"/>
      <c r="U45" s="731"/>
      <c r="V45" s="731"/>
      <c r="W45" s="731"/>
      <c r="X45" s="731"/>
      <c r="Y45" s="731"/>
      <c r="Z45" s="731"/>
      <c r="AA45" s="731"/>
      <c r="AB45" s="731"/>
      <c r="AC45" s="731"/>
      <c r="AD45" s="37"/>
      <c r="AH45" s="24"/>
      <c r="AI45" s="24"/>
      <c r="AJ45" s="24"/>
      <c r="AK45" s="24"/>
      <c r="AL45" s="630" t="str">
        <f t="shared" si="0"/>
        <v>Cuayuca de Andrade</v>
      </c>
      <c r="AM45" s="630">
        <f t="shared" si="1"/>
        <v>21042</v>
      </c>
      <c r="AO45" s="24"/>
      <c r="AP45" s="628">
        <v>43</v>
      </c>
      <c r="AQ45" s="642"/>
      <c r="AR45" s="642"/>
      <c r="AS45" s="642"/>
      <c r="AT45" s="642"/>
      <c r="AU45" s="642"/>
      <c r="AV45" s="642"/>
      <c r="AW45" s="634">
        <v>7042</v>
      </c>
      <c r="AX45" s="634">
        <v>8042</v>
      </c>
      <c r="AY45" s="642"/>
      <c r="AZ45" s="642"/>
      <c r="BA45" s="634">
        <v>11042</v>
      </c>
      <c r="BB45" s="634">
        <v>12042</v>
      </c>
      <c r="BC45" s="634">
        <v>13042</v>
      </c>
      <c r="BD45" s="634">
        <v>14042</v>
      </c>
      <c r="BE45" s="635">
        <v>15042</v>
      </c>
      <c r="BF45" s="634">
        <v>16042</v>
      </c>
      <c r="BG45" s="642"/>
      <c r="BH45" s="642"/>
      <c r="BI45" s="634">
        <v>19042</v>
      </c>
      <c r="BJ45" s="634">
        <v>20042</v>
      </c>
      <c r="BK45" s="634">
        <v>21042</v>
      </c>
      <c r="BL45" s="642"/>
      <c r="BM45" s="642"/>
      <c r="BN45" s="634">
        <v>24042</v>
      </c>
      <c r="BO45" s="642"/>
      <c r="BP45" s="634">
        <v>26042</v>
      </c>
      <c r="BQ45" s="642"/>
      <c r="BR45" s="634">
        <v>28042</v>
      </c>
      <c r="BS45" s="634">
        <v>29042</v>
      </c>
      <c r="BT45" s="634">
        <v>30042</v>
      </c>
      <c r="BU45" s="634">
        <v>31042</v>
      </c>
      <c r="BV45" s="634">
        <v>32042</v>
      </c>
      <c r="BW45" s="24"/>
      <c r="BX45" s="24"/>
      <c r="BY45" s="24"/>
      <c r="BZ45" s="643"/>
      <c r="CA45" s="643"/>
      <c r="CB45" s="643"/>
      <c r="CC45" s="643"/>
      <c r="CD45" s="643"/>
      <c r="CE45" s="643"/>
      <c r="CF45" s="636" t="s">
        <v>1027</v>
      </c>
      <c r="CG45" s="636" t="s">
        <v>1028</v>
      </c>
      <c r="CH45" s="643"/>
      <c r="CI45" s="643"/>
      <c r="CJ45" s="636" t="s">
        <v>1029</v>
      </c>
      <c r="CK45" s="636" t="s">
        <v>1030</v>
      </c>
      <c r="CL45" s="636" t="s">
        <v>1031</v>
      </c>
      <c r="CM45" s="636" t="s">
        <v>1032</v>
      </c>
      <c r="CN45" s="637" t="s">
        <v>1033</v>
      </c>
      <c r="CO45" s="636" t="s">
        <v>1034</v>
      </c>
      <c r="CP45" s="643"/>
      <c r="CQ45" s="643"/>
      <c r="CR45" s="636" t="s">
        <v>1035</v>
      </c>
      <c r="CS45" s="636" t="s">
        <v>1036</v>
      </c>
      <c r="CT45" s="636" t="s">
        <v>1037</v>
      </c>
      <c r="CU45" s="643"/>
      <c r="CV45" s="643"/>
      <c r="CW45" s="636" t="s">
        <v>1038</v>
      </c>
      <c r="CX45" s="643"/>
      <c r="CY45" s="636" t="s">
        <v>1039</v>
      </c>
      <c r="CZ45" s="643"/>
      <c r="DA45" s="636" t="s">
        <v>1040</v>
      </c>
      <c r="DB45" s="636" t="s">
        <v>1041</v>
      </c>
      <c r="DC45" s="636" t="s">
        <v>1042</v>
      </c>
      <c r="DD45" s="636" t="s">
        <v>1043</v>
      </c>
      <c r="DE45" s="636" t="s">
        <v>1044</v>
      </c>
    </row>
    <row r="46" spans="2:109" ht="6.75" customHeight="1">
      <c r="B46" s="35"/>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7"/>
      <c r="AH46" s="24"/>
      <c r="AI46" s="24"/>
      <c r="AJ46" s="24"/>
      <c r="AK46" s="24"/>
      <c r="AL46" s="630" t="str">
        <f t="shared" si="0"/>
        <v>Cuetzalan del Progreso</v>
      </c>
      <c r="AM46" s="630">
        <f t="shared" si="1"/>
        <v>21043</v>
      </c>
      <c r="AO46" s="24"/>
      <c r="AP46" s="628">
        <v>44</v>
      </c>
      <c r="AQ46" s="642"/>
      <c r="AR46" s="642"/>
      <c r="AS46" s="642"/>
      <c r="AT46" s="642"/>
      <c r="AU46" s="642"/>
      <c r="AV46" s="642"/>
      <c r="AW46" s="634">
        <v>7043</v>
      </c>
      <c r="AX46" s="634">
        <v>8043</v>
      </c>
      <c r="AY46" s="642"/>
      <c r="AZ46" s="642"/>
      <c r="BA46" s="634">
        <v>11043</v>
      </c>
      <c r="BB46" s="634">
        <v>12043</v>
      </c>
      <c r="BC46" s="634">
        <v>13043</v>
      </c>
      <c r="BD46" s="634">
        <v>14043</v>
      </c>
      <c r="BE46" s="635">
        <v>15043</v>
      </c>
      <c r="BF46" s="634">
        <v>16043</v>
      </c>
      <c r="BG46" s="642"/>
      <c r="BH46" s="642"/>
      <c r="BI46" s="634">
        <v>19043</v>
      </c>
      <c r="BJ46" s="634">
        <v>20043</v>
      </c>
      <c r="BK46" s="634">
        <v>21043</v>
      </c>
      <c r="BL46" s="642"/>
      <c r="BM46" s="642"/>
      <c r="BN46" s="634">
        <v>24043</v>
      </c>
      <c r="BO46" s="642"/>
      <c r="BP46" s="634">
        <v>26043</v>
      </c>
      <c r="BQ46" s="642"/>
      <c r="BR46" s="634">
        <v>28043</v>
      </c>
      <c r="BS46" s="634">
        <v>29043</v>
      </c>
      <c r="BT46" s="634">
        <v>30043</v>
      </c>
      <c r="BU46" s="634">
        <v>31043</v>
      </c>
      <c r="BV46" s="634">
        <v>32043</v>
      </c>
      <c r="BW46" s="24"/>
      <c r="BX46" s="24"/>
      <c r="BY46" s="24"/>
      <c r="BZ46" s="643"/>
      <c r="CA46" s="643"/>
      <c r="CB46" s="643"/>
      <c r="CC46" s="643"/>
      <c r="CD46" s="643"/>
      <c r="CE46" s="643"/>
      <c r="CF46" s="636" t="s">
        <v>1045</v>
      </c>
      <c r="CG46" s="636" t="s">
        <v>1046</v>
      </c>
      <c r="CH46" s="643"/>
      <c r="CI46" s="643"/>
      <c r="CJ46" s="636" t="s">
        <v>1021</v>
      </c>
      <c r="CK46" s="636" t="s">
        <v>1047</v>
      </c>
      <c r="CL46" s="636" t="s">
        <v>1048</v>
      </c>
      <c r="CM46" s="636" t="s">
        <v>1049</v>
      </c>
      <c r="CN46" s="637" t="s">
        <v>1050</v>
      </c>
      <c r="CO46" s="636" t="s">
        <v>1051</v>
      </c>
      <c r="CP46" s="643"/>
      <c r="CQ46" s="643"/>
      <c r="CR46" s="636" t="s">
        <v>1052</v>
      </c>
      <c r="CS46" s="638" t="s">
        <v>1053</v>
      </c>
      <c r="CT46" s="636" t="s">
        <v>1054</v>
      </c>
      <c r="CU46" s="643"/>
      <c r="CV46" s="643"/>
      <c r="CW46" s="636" t="s">
        <v>1055</v>
      </c>
      <c r="CX46" s="643"/>
      <c r="CY46" s="636" t="s">
        <v>1056</v>
      </c>
      <c r="CZ46" s="643"/>
      <c r="DA46" s="636" t="s">
        <v>1057</v>
      </c>
      <c r="DB46" s="636" t="s">
        <v>1058</v>
      </c>
      <c r="DC46" s="636" t="s">
        <v>1059</v>
      </c>
      <c r="DD46" s="636" t="s">
        <v>1060</v>
      </c>
      <c r="DE46" s="636" t="s">
        <v>1061</v>
      </c>
    </row>
    <row r="47" spans="2:109" ht="15" customHeight="1">
      <c r="B47" s="35"/>
      <c r="C47" s="731" t="s">
        <v>1062</v>
      </c>
      <c r="D47" s="731"/>
      <c r="E47" s="731"/>
      <c r="F47" s="731"/>
      <c r="G47" s="731"/>
      <c r="H47" s="731"/>
      <c r="I47" s="731"/>
      <c r="J47" s="731"/>
      <c r="K47" s="731"/>
      <c r="L47" s="731"/>
      <c r="M47" s="731"/>
      <c r="N47" s="731"/>
      <c r="O47" s="731"/>
      <c r="P47" s="731"/>
      <c r="Q47" s="731"/>
      <c r="R47" s="731"/>
      <c r="S47" s="731"/>
      <c r="T47" s="731"/>
      <c r="U47" s="731"/>
      <c r="V47" s="731"/>
      <c r="W47" s="731"/>
      <c r="X47" s="731"/>
      <c r="Y47" s="731"/>
      <c r="Z47" s="731"/>
      <c r="AA47" s="731"/>
      <c r="AB47" s="731"/>
      <c r="AC47" s="731"/>
      <c r="AD47" s="37"/>
      <c r="AH47" s="24"/>
      <c r="AI47" s="24"/>
      <c r="AJ47" s="24"/>
      <c r="AK47" s="24"/>
      <c r="AL47" s="630" t="str">
        <f t="shared" si="0"/>
        <v>Cuyoaco</v>
      </c>
      <c r="AM47" s="630">
        <f t="shared" si="1"/>
        <v>21044</v>
      </c>
      <c r="AO47" s="24"/>
      <c r="AP47" s="628">
        <v>45</v>
      </c>
      <c r="AQ47" s="642"/>
      <c r="AR47" s="642"/>
      <c r="AS47" s="642"/>
      <c r="AT47" s="642"/>
      <c r="AU47" s="642"/>
      <c r="AV47" s="642"/>
      <c r="AW47" s="634">
        <v>7044</v>
      </c>
      <c r="AX47" s="634">
        <v>8044</v>
      </c>
      <c r="AY47" s="642"/>
      <c r="AZ47" s="642"/>
      <c r="BA47" s="634">
        <v>11044</v>
      </c>
      <c r="BB47" s="634">
        <v>12044</v>
      </c>
      <c r="BC47" s="634">
        <v>13044</v>
      </c>
      <c r="BD47" s="634">
        <v>14044</v>
      </c>
      <c r="BE47" s="635">
        <v>15044</v>
      </c>
      <c r="BF47" s="634">
        <v>16044</v>
      </c>
      <c r="BG47" s="642"/>
      <c r="BH47" s="642"/>
      <c r="BI47" s="634">
        <v>19044</v>
      </c>
      <c r="BJ47" s="634">
        <v>20044</v>
      </c>
      <c r="BK47" s="634">
        <v>21044</v>
      </c>
      <c r="BL47" s="642"/>
      <c r="BM47" s="642"/>
      <c r="BN47" s="634">
        <v>24044</v>
      </c>
      <c r="BO47" s="642"/>
      <c r="BP47" s="634">
        <v>26044</v>
      </c>
      <c r="BQ47" s="642"/>
      <c r="BR47" s="642">
        <v>28099</v>
      </c>
      <c r="BS47" s="634">
        <v>29044</v>
      </c>
      <c r="BT47" s="634">
        <v>30044</v>
      </c>
      <c r="BU47" s="634">
        <v>31044</v>
      </c>
      <c r="BV47" s="634">
        <v>32044</v>
      </c>
      <c r="BW47" s="24"/>
      <c r="BX47" s="24"/>
      <c r="BY47" s="24"/>
      <c r="BZ47" s="643"/>
      <c r="CA47" s="643"/>
      <c r="CB47" s="643"/>
      <c r="CC47" s="643"/>
      <c r="CD47" s="643"/>
      <c r="CE47" s="643"/>
      <c r="CF47" s="636" t="s">
        <v>1063</v>
      </c>
      <c r="CG47" s="636" t="s">
        <v>514</v>
      </c>
      <c r="CH47" s="643"/>
      <c r="CI47" s="643"/>
      <c r="CJ47" s="636" t="s">
        <v>1040</v>
      </c>
      <c r="CK47" s="636" t="s">
        <v>1064</v>
      </c>
      <c r="CL47" s="636" t="s">
        <v>1065</v>
      </c>
      <c r="CM47" s="636" t="s">
        <v>1066</v>
      </c>
      <c r="CN47" s="637" t="s">
        <v>1067</v>
      </c>
      <c r="CO47" s="636" t="s">
        <v>437</v>
      </c>
      <c r="CP47" s="643"/>
      <c r="CQ47" s="643"/>
      <c r="CR47" s="636" t="s">
        <v>1068</v>
      </c>
      <c r="CS47" s="636" t="s">
        <v>1069</v>
      </c>
      <c r="CT47" s="636" t="s">
        <v>1070</v>
      </c>
      <c r="CU47" s="643"/>
      <c r="CV47" s="643"/>
      <c r="CW47" s="636" t="s">
        <v>1071</v>
      </c>
      <c r="CX47" s="643"/>
      <c r="CY47" s="638" t="s">
        <v>1072</v>
      </c>
      <c r="CZ47" s="643"/>
      <c r="DA47" s="636" t="s">
        <v>201</v>
      </c>
      <c r="DB47" s="636" t="s">
        <v>1073</v>
      </c>
      <c r="DC47" s="636" t="s">
        <v>1074</v>
      </c>
      <c r="DD47" s="636" t="s">
        <v>1075</v>
      </c>
      <c r="DE47" s="636" t="s">
        <v>728</v>
      </c>
    </row>
    <row r="48" spans="2:109" ht="6.75" customHeight="1">
      <c r="B48" s="35"/>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7"/>
      <c r="AH48" s="24"/>
      <c r="AI48" s="24"/>
      <c r="AJ48" s="24"/>
      <c r="AK48" s="24"/>
      <c r="AL48" s="630" t="str">
        <f t="shared" si="0"/>
        <v>Chalchicomula de Sesma</v>
      </c>
      <c r="AM48" s="630">
        <f t="shared" si="1"/>
        <v>21045</v>
      </c>
      <c r="AO48" s="24"/>
      <c r="AP48" s="628">
        <v>46</v>
      </c>
      <c r="AQ48" s="642"/>
      <c r="AR48" s="642"/>
      <c r="AS48" s="642"/>
      <c r="AT48" s="642"/>
      <c r="AU48" s="642"/>
      <c r="AV48" s="642"/>
      <c r="AW48" s="634">
        <v>7045</v>
      </c>
      <c r="AX48" s="634">
        <v>8045</v>
      </c>
      <c r="AY48" s="642"/>
      <c r="AZ48" s="642"/>
      <c r="BA48" s="634">
        <v>11045</v>
      </c>
      <c r="BB48" s="634">
        <v>12045</v>
      </c>
      <c r="BC48" s="634">
        <v>13045</v>
      </c>
      <c r="BD48" s="634">
        <v>14045</v>
      </c>
      <c r="BE48" s="635">
        <v>15045</v>
      </c>
      <c r="BF48" s="634">
        <v>16045</v>
      </c>
      <c r="BG48" s="642"/>
      <c r="BH48" s="642"/>
      <c r="BI48" s="634">
        <v>19045</v>
      </c>
      <c r="BJ48" s="634">
        <v>20045</v>
      </c>
      <c r="BK48" s="634">
        <v>21045</v>
      </c>
      <c r="BL48" s="642"/>
      <c r="BM48" s="642"/>
      <c r="BN48" s="634">
        <v>24045</v>
      </c>
      <c r="BO48" s="642"/>
      <c r="BP48" s="634">
        <v>26045</v>
      </c>
      <c r="BQ48" s="642"/>
      <c r="BR48" s="642"/>
      <c r="BS48" s="634">
        <v>29045</v>
      </c>
      <c r="BT48" s="634">
        <v>30045</v>
      </c>
      <c r="BU48" s="634">
        <v>31045</v>
      </c>
      <c r="BV48" s="634">
        <v>32045</v>
      </c>
      <c r="BW48" s="24"/>
      <c r="BX48" s="24"/>
      <c r="BY48" s="24"/>
      <c r="BZ48" s="643"/>
      <c r="CA48" s="643"/>
      <c r="CB48" s="643"/>
      <c r="CC48" s="643"/>
      <c r="CD48" s="643"/>
      <c r="CE48" s="643"/>
      <c r="CF48" s="636" t="s">
        <v>1076</v>
      </c>
      <c r="CG48" s="636" t="s">
        <v>1077</v>
      </c>
      <c r="CH48" s="643"/>
      <c r="CI48" s="643"/>
      <c r="CJ48" s="636" t="s">
        <v>1078</v>
      </c>
      <c r="CK48" s="636" t="s">
        <v>1079</v>
      </c>
      <c r="CL48" s="636" t="s">
        <v>1080</v>
      </c>
      <c r="CM48" s="636" t="s">
        <v>1081</v>
      </c>
      <c r="CN48" s="637" t="s">
        <v>1082</v>
      </c>
      <c r="CO48" s="636" t="s">
        <v>1083</v>
      </c>
      <c r="CP48" s="643"/>
      <c r="CQ48" s="643"/>
      <c r="CR48" s="636" t="s">
        <v>1084</v>
      </c>
      <c r="CS48" s="636" t="s">
        <v>1085</v>
      </c>
      <c r="CT48" s="636" t="s">
        <v>1086</v>
      </c>
      <c r="CU48" s="643"/>
      <c r="CV48" s="643"/>
      <c r="CW48" s="636" t="s">
        <v>1087</v>
      </c>
      <c r="CX48" s="643"/>
      <c r="CY48" s="636" t="s">
        <v>1088</v>
      </c>
      <c r="CZ48" s="643"/>
      <c r="DA48" s="643"/>
      <c r="DB48" s="636" t="s">
        <v>167</v>
      </c>
      <c r="DC48" s="636" t="s">
        <v>1089</v>
      </c>
      <c r="DD48" s="636" t="s">
        <v>1090</v>
      </c>
      <c r="DE48" s="636" t="s">
        <v>1091</v>
      </c>
    </row>
    <row r="49" spans="2:109" ht="24" customHeight="1">
      <c r="B49" s="35"/>
      <c r="C49" s="38"/>
      <c r="D49" s="731" t="s">
        <v>1092</v>
      </c>
      <c r="E49" s="731"/>
      <c r="F49" s="731"/>
      <c r="G49" s="731"/>
      <c r="H49" s="731"/>
      <c r="I49" s="731"/>
      <c r="J49" s="731"/>
      <c r="K49" s="731"/>
      <c r="L49" s="731"/>
      <c r="M49" s="731"/>
      <c r="N49" s="731"/>
      <c r="O49" s="731"/>
      <c r="P49" s="731"/>
      <c r="Q49" s="731"/>
      <c r="R49" s="731"/>
      <c r="S49" s="731"/>
      <c r="T49" s="731"/>
      <c r="U49" s="731"/>
      <c r="V49" s="731"/>
      <c r="W49" s="731"/>
      <c r="X49" s="731"/>
      <c r="Y49" s="731"/>
      <c r="Z49" s="731"/>
      <c r="AA49" s="731"/>
      <c r="AB49" s="731"/>
      <c r="AC49" s="731"/>
      <c r="AD49" s="37"/>
      <c r="AH49" s="24"/>
      <c r="AI49" s="24"/>
      <c r="AJ49" s="24"/>
      <c r="AK49" s="24"/>
      <c r="AL49" s="630" t="str">
        <f t="shared" si="0"/>
        <v>Chapulco</v>
      </c>
      <c r="AM49" s="630">
        <f t="shared" si="1"/>
        <v>21046</v>
      </c>
      <c r="AO49" s="24"/>
      <c r="AP49" s="628">
        <v>47</v>
      </c>
      <c r="AQ49" s="642"/>
      <c r="AR49" s="642"/>
      <c r="AS49" s="642"/>
      <c r="AT49" s="642"/>
      <c r="AU49" s="642"/>
      <c r="AV49" s="642"/>
      <c r="AW49" s="634">
        <v>7046</v>
      </c>
      <c r="AX49" s="634">
        <v>8046</v>
      </c>
      <c r="AY49" s="642"/>
      <c r="AZ49" s="642"/>
      <c r="BA49" s="634">
        <v>11046</v>
      </c>
      <c r="BB49" s="634">
        <v>12046</v>
      </c>
      <c r="BC49" s="634">
        <v>13046</v>
      </c>
      <c r="BD49" s="634">
        <v>14046</v>
      </c>
      <c r="BE49" s="635">
        <v>15046</v>
      </c>
      <c r="BF49" s="634">
        <v>16046</v>
      </c>
      <c r="BG49" s="642"/>
      <c r="BH49" s="642"/>
      <c r="BI49" s="634">
        <v>19046</v>
      </c>
      <c r="BJ49" s="634">
        <v>20046</v>
      </c>
      <c r="BK49" s="634">
        <v>21046</v>
      </c>
      <c r="BL49" s="642"/>
      <c r="BM49" s="642"/>
      <c r="BN49" s="634">
        <v>24046</v>
      </c>
      <c r="BO49" s="642"/>
      <c r="BP49" s="634">
        <v>26046</v>
      </c>
      <c r="BQ49" s="642"/>
      <c r="BR49" s="642"/>
      <c r="BS49" s="634">
        <v>29046</v>
      </c>
      <c r="BT49" s="634">
        <v>30046</v>
      </c>
      <c r="BU49" s="634">
        <v>31046</v>
      </c>
      <c r="BV49" s="634">
        <v>32046</v>
      </c>
      <c r="BW49" s="24"/>
      <c r="BX49" s="24"/>
      <c r="BY49" s="24"/>
      <c r="BZ49" s="643"/>
      <c r="CA49" s="643"/>
      <c r="CB49" s="643"/>
      <c r="CC49" s="643"/>
      <c r="CD49" s="643"/>
      <c r="CE49" s="643"/>
      <c r="CF49" s="636" t="s">
        <v>1093</v>
      </c>
      <c r="CG49" s="636" t="s">
        <v>513</v>
      </c>
      <c r="CH49" s="643"/>
      <c r="CI49" s="643"/>
      <c r="CJ49" s="636" t="s">
        <v>1094</v>
      </c>
      <c r="CK49" s="636" t="s">
        <v>1095</v>
      </c>
      <c r="CL49" s="636" t="s">
        <v>1096</v>
      </c>
      <c r="CM49" s="636" t="s">
        <v>1097</v>
      </c>
      <c r="CN49" s="637" t="s">
        <v>1098</v>
      </c>
      <c r="CO49" s="636" t="s">
        <v>461</v>
      </c>
      <c r="CP49" s="643"/>
      <c r="CQ49" s="643"/>
      <c r="CR49" s="636" t="s">
        <v>1099</v>
      </c>
      <c r="CS49" s="636" t="s">
        <v>1100</v>
      </c>
      <c r="CT49" s="636" t="s">
        <v>1101</v>
      </c>
      <c r="CU49" s="643"/>
      <c r="CV49" s="643"/>
      <c r="CW49" s="636" t="s">
        <v>1102</v>
      </c>
      <c r="CX49" s="643"/>
      <c r="CY49" s="636" t="s">
        <v>1103</v>
      </c>
      <c r="CZ49" s="643"/>
      <c r="DA49" s="643"/>
      <c r="DB49" s="636" t="s">
        <v>258</v>
      </c>
      <c r="DC49" s="636" t="s">
        <v>1104</v>
      </c>
      <c r="DD49" s="636" t="s">
        <v>1105</v>
      </c>
      <c r="DE49" s="636" t="s">
        <v>1106</v>
      </c>
    </row>
    <row r="50" spans="2:109" ht="6.75" customHeight="1">
      <c r="B50" s="35"/>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7"/>
      <c r="AH50" s="24"/>
      <c r="AI50" s="24"/>
      <c r="AJ50" s="24"/>
      <c r="AK50" s="24"/>
      <c r="AL50" s="630" t="str">
        <f t="shared" si="0"/>
        <v>Chiautla</v>
      </c>
      <c r="AM50" s="630">
        <f t="shared" si="1"/>
        <v>21047</v>
      </c>
      <c r="AO50" s="24"/>
      <c r="AP50" s="628">
        <v>48</v>
      </c>
      <c r="AQ50" s="642"/>
      <c r="AR50" s="642"/>
      <c r="AS50" s="642"/>
      <c r="AT50" s="642"/>
      <c r="AU50" s="642"/>
      <c r="AV50" s="642"/>
      <c r="AW50" s="634">
        <v>7047</v>
      </c>
      <c r="AX50" s="634">
        <v>8047</v>
      </c>
      <c r="AY50" s="642"/>
      <c r="AZ50" s="642"/>
      <c r="BA50" s="642">
        <v>11099</v>
      </c>
      <c r="BB50" s="634">
        <v>12047</v>
      </c>
      <c r="BC50" s="634">
        <v>13047</v>
      </c>
      <c r="BD50" s="634">
        <v>14047</v>
      </c>
      <c r="BE50" s="635">
        <v>15047</v>
      </c>
      <c r="BF50" s="634">
        <v>16047</v>
      </c>
      <c r="BG50" s="642"/>
      <c r="BH50" s="642"/>
      <c r="BI50" s="634">
        <v>19047</v>
      </c>
      <c r="BJ50" s="634">
        <v>20047</v>
      </c>
      <c r="BK50" s="634">
        <v>21047</v>
      </c>
      <c r="BL50" s="642"/>
      <c r="BM50" s="642"/>
      <c r="BN50" s="634">
        <v>24047</v>
      </c>
      <c r="BO50" s="642"/>
      <c r="BP50" s="634">
        <v>26047</v>
      </c>
      <c r="BQ50" s="642"/>
      <c r="BR50" s="642"/>
      <c r="BS50" s="634">
        <v>29047</v>
      </c>
      <c r="BT50" s="634">
        <v>30047</v>
      </c>
      <c r="BU50" s="634">
        <v>31047</v>
      </c>
      <c r="BV50" s="634">
        <v>32047</v>
      </c>
      <c r="BW50" s="24"/>
      <c r="BX50" s="24"/>
      <c r="BY50" s="24"/>
      <c r="BZ50" s="643"/>
      <c r="CA50" s="643"/>
      <c r="CB50" s="643"/>
      <c r="CC50" s="643"/>
      <c r="CD50" s="643"/>
      <c r="CE50" s="643"/>
      <c r="CF50" s="636" t="s">
        <v>1107</v>
      </c>
      <c r="CG50" s="636" t="s">
        <v>1108</v>
      </c>
      <c r="CH50" s="643"/>
      <c r="CI50" s="643"/>
      <c r="CJ50" s="636" t="s">
        <v>201</v>
      </c>
      <c r="CK50" s="636" t="s">
        <v>1109</v>
      </c>
      <c r="CL50" s="636" t="s">
        <v>1110</v>
      </c>
      <c r="CM50" s="636" t="s">
        <v>1111</v>
      </c>
      <c r="CN50" s="637" t="s">
        <v>1112</v>
      </c>
      <c r="CO50" s="636" t="s">
        <v>1113</v>
      </c>
      <c r="CP50" s="643"/>
      <c r="CQ50" s="643"/>
      <c r="CR50" s="636" t="s">
        <v>331</v>
      </c>
      <c r="CS50" s="636" t="s">
        <v>1114</v>
      </c>
      <c r="CT50" s="636" t="s">
        <v>756</v>
      </c>
      <c r="CU50" s="643"/>
      <c r="CV50" s="643"/>
      <c r="CW50" s="636" t="s">
        <v>1115</v>
      </c>
      <c r="CX50" s="643"/>
      <c r="CY50" s="636" t="s">
        <v>1116</v>
      </c>
      <c r="CZ50" s="643"/>
      <c r="DA50" s="643"/>
      <c r="DB50" s="636" t="s">
        <v>254</v>
      </c>
      <c r="DC50" s="636" t="s">
        <v>1117</v>
      </c>
      <c r="DD50" s="636" t="s">
        <v>1118</v>
      </c>
      <c r="DE50" s="636" t="s">
        <v>1119</v>
      </c>
    </row>
    <row r="51" spans="2:109" ht="15" customHeight="1">
      <c r="B51" s="35"/>
      <c r="C51" s="731" t="s">
        <v>1120</v>
      </c>
      <c r="D51" s="731"/>
      <c r="E51" s="731"/>
      <c r="F51" s="731"/>
      <c r="G51" s="731"/>
      <c r="H51" s="731"/>
      <c r="I51" s="731"/>
      <c r="J51" s="731"/>
      <c r="K51" s="731"/>
      <c r="L51" s="731"/>
      <c r="M51" s="731"/>
      <c r="N51" s="731"/>
      <c r="O51" s="731"/>
      <c r="P51" s="731"/>
      <c r="Q51" s="731"/>
      <c r="R51" s="731"/>
      <c r="S51" s="731"/>
      <c r="T51" s="731"/>
      <c r="U51" s="731"/>
      <c r="V51" s="731"/>
      <c r="W51" s="731"/>
      <c r="X51" s="731"/>
      <c r="Y51" s="731"/>
      <c r="Z51" s="731"/>
      <c r="AA51" s="731"/>
      <c r="AB51" s="731"/>
      <c r="AC51" s="731"/>
      <c r="AD51" s="37"/>
      <c r="AH51" s="24"/>
      <c r="AI51" s="24"/>
      <c r="AJ51" s="24"/>
      <c r="AK51" s="24"/>
      <c r="AL51" s="630" t="str">
        <f t="shared" si="0"/>
        <v>Chiautzingo</v>
      </c>
      <c r="AM51" s="630">
        <f t="shared" si="1"/>
        <v>21048</v>
      </c>
      <c r="AO51" s="24"/>
      <c r="AP51" s="628">
        <v>49</v>
      </c>
      <c r="AQ51" s="642"/>
      <c r="AR51" s="642"/>
      <c r="AS51" s="642"/>
      <c r="AT51" s="642"/>
      <c r="AU51" s="642"/>
      <c r="AV51" s="642"/>
      <c r="AW51" s="634">
        <v>7048</v>
      </c>
      <c r="AX51" s="634">
        <v>8048</v>
      </c>
      <c r="AY51" s="642"/>
      <c r="AZ51" s="642"/>
      <c r="BA51" s="642"/>
      <c r="BB51" s="634">
        <v>12048</v>
      </c>
      <c r="BC51" s="634">
        <v>13048</v>
      </c>
      <c r="BD51" s="634">
        <v>14048</v>
      </c>
      <c r="BE51" s="635">
        <v>15048</v>
      </c>
      <c r="BF51" s="634">
        <v>16048</v>
      </c>
      <c r="BG51" s="642"/>
      <c r="BH51" s="642"/>
      <c r="BI51" s="634">
        <v>19048</v>
      </c>
      <c r="BJ51" s="634">
        <v>20048</v>
      </c>
      <c r="BK51" s="634">
        <v>21048</v>
      </c>
      <c r="BL51" s="642"/>
      <c r="BM51" s="642"/>
      <c r="BN51" s="634">
        <v>24048</v>
      </c>
      <c r="BO51" s="642"/>
      <c r="BP51" s="634">
        <v>26048</v>
      </c>
      <c r="BQ51" s="642"/>
      <c r="BR51" s="642"/>
      <c r="BS51" s="634">
        <v>29048</v>
      </c>
      <c r="BT51" s="634">
        <v>30048</v>
      </c>
      <c r="BU51" s="634">
        <v>31048</v>
      </c>
      <c r="BV51" s="634">
        <v>32048</v>
      </c>
      <c r="BW51" s="24"/>
      <c r="BX51" s="24"/>
      <c r="BY51" s="24"/>
      <c r="BZ51" s="643"/>
      <c r="CA51" s="643"/>
      <c r="CB51" s="643"/>
      <c r="CC51" s="643"/>
      <c r="CD51" s="643"/>
      <c r="CE51" s="643"/>
      <c r="CF51" s="636" t="s">
        <v>461</v>
      </c>
      <c r="CG51" s="636" t="s">
        <v>1121</v>
      </c>
      <c r="CH51" s="643"/>
      <c r="CI51" s="643"/>
      <c r="CJ51" s="643"/>
      <c r="CK51" s="636" t="s">
        <v>1122</v>
      </c>
      <c r="CL51" s="636" t="s">
        <v>1123</v>
      </c>
      <c r="CM51" s="636" t="s">
        <v>169</v>
      </c>
      <c r="CN51" s="637" t="s">
        <v>1124</v>
      </c>
      <c r="CO51" s="636" t="s">
        <v>576</v>
      </c>
      <c r="CP51" s="643"/>
      <c r="CQ51" s="643"/>
      <c r="CR51" s="636" t="s">
        <v>824</v>
      </c>
      <c r="CS51" s="636" t="s">
        <v>1125</v>
      </c>
      <c r="CT51" s="636" t="s">
        <v>1126</v>
      </c>
      <c r="CU51" s="643"/>
      <c r="CV51" s="643"/>
      <c r="CW51" s="636" t="s">
        <v>1127</v>
      </c>
      <c r="CX51" s="643"/>
      <c r="CY51" s="636" t="s">
        <v>1128</v>
      </c>
      <c r="CZ51" s="643"/>
      <c r="DA51" s="643"/>
      <c r="DB51" s="636" t="s">
        <v>1129</v>
      </c>
      <c r="DC51" s="636" t="s">
        <v>1130</v>
      </c>
      <c r="DD51" s="636" t="s">
        <v>1131</v>
      </c>
      <c r="DE51" s="636" t="s">
        <v>1132</v>
      </c>
    </row>
    <row r="52" spans="2:109" ht="6.75" customHeight="1">
      <c r="B52" s="35"/>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7"/>
      <c r="AH52" s="24"/>
      <c r="AI52" s="24"/>
      <c r="AJ52" s="24"/>
      <c r="AK52" s="24"/>
      <c r="AL52" s="630" t="str">
        <f t="shared" si="0"/>
        <v>Chiconcuautla</v>
      </c>
      <c r="AM52" s="630">
        <f t="shared" si="1"/>
        <v>21049</v>
      </c>
      <c r="AO52" s="24"/>
      <c r="AP52" s="628">
        <v>50</v>
      </c>
      <c r="AQ52" s="642"/>
      <c r="AR52" s="642"/>
      <c r="AS52" s="642"/>
      <c r="AT52" s="642"/>
      <c r="AU52" s="642"/>
      <c r="AV52" s="642"/>
      <c r="AW52" s="634">
        <v>7049</v>
      </c>
      <c r="AX52" s="634">
        <v>8049</v>
      </c>
      <c r="AY52" s="642"/>
      <c r="AZ52" s="642"/>
      <c r="BA52" s="642"/>
      <c r="BB52" s="634">
        <v>12049</v>
      </c>
      <c r="BC52" s="634">
        <v>13049</v>
      </c>
      <c r="BD52" s="634">
        <v>14049</v>
      </c>
      <c r="BE52" s="635">
        <v>15049</v>
      </c>
      <c r="BF52" s="634">
        <v>16049</v>
      </c>
      <c r="BG52" s="642"/>
      <c r="BH52" s="642"/>
      <c r="BI52" s="634">
        <v>19049</v>
      </c>
      <c r="BJ52" s="634">
        <v>20049</v>
      </c>
      <c r="BK52" s="634">
        <v>21049</v>
      </c>
      <c r="BL52" s="642"/>
      <c r="BM52" s="642"/>
      <c r="BN52" s="634">
        <v>24049</v>
      </c>
      <c r="BO52" s="642"/>
      <c r="BP52" s="634">
        <v>26049</v>
      </c>
      <c r="BQ52" s="642"/>
      <c r="BR52" s="642"/>
      <c r="BS52" s="634">
        <v>29049</v>
      </c>
      <c r="BT52" s="634">
        <v>30049</v>
      </c>
      <c r="BU52" s="634">
        <v>31049</v>
      </c>
      <c r="BV52" s="634">
        <v>32049</v>
      </c>
      <c r="BW52" s="24"/>
      <c r="BX52" s="24"/>
      <c r="BY52" s="24"/>
      <c r="BZ52" s="643"/>
      <c r="CA52" s="643"/>
      <c r="CB52" s="643"/>
      <c r="CC52" s="643"/>
      <c r="CD52" s="643"/>
      <c r="CE52" s="643"/>
      <c r="CF52" s="636" t="s">
        <v>1133</v>
      </c>
      <c r="CG52" s="636" t="s">
        <v>1134</v>
      </c>
      <c r="CH52" s="643"/>
      <c r="CI52" s="643"/>
      <c r="CJ52" s="643"/>
      <c r="CK52" s="636" t="s">
        <v>1135</v>
      </c>
      <c r="CL52" s="636" t="s">
        <v>1136</v>
      </c>
      <c r="CM52" s="636" t="s">
        <v>1137</v>
      </c>
      <c r="CN52" s="637" t="s">
        <v>1138</v>
      </c>
      <c r="CO52" s="636" t="s">
        <v>1139</v>
      </c>
      <c r="CP52" s="643"/>
      <c r="CQ52" s="643"/>
      <c r="CR52" s="636" t="s">
        <v>1140</v>
      </c>
      <c r="CS52" s="636" t="s">
        <v>1141</v>
      </c>
      <c r="CT52" s="636" t="s">
        <v>1142</v>
      </c>
      <c r="CU52" s="643"/>
      <c r="CV52" s="643"/>
      <c r="CW52" s="636" t="s">
        <v>1143</v>
      </c>
      <c r="CX52" s="643"/>
      <c r="CY52" s="636" t="s">
        <v>1144</v>
      </c>
      <c r="CZ52" s="643"/>
      <c r="DA52" s="643"/>
      <c r="DB52" s="636" t="s">
        <v>1145</v>
      </c>
      <c r="DC52" s="636" t="s">
        <v>1146</v>
      </c>
      <c r="DD52" s="636" t="s">
        <v>1147</v>
      </c>
      <c r="DE52" s="636" t="s">
        <v>1148</v>
      </c>
    </row>
    <row r="53" spans="2:109" ht="24" customHeight="1">
      <c r="B53" s="35"/>
      <c r="C53" s="38"/>
      <c r="D53" s="731" t="s">
        <v>1149</v>
      </c>
      <c r="E53" s="731"/>
      <c r="F53" s="731"/>
      <c r="G53" s="731"/>
      <c r="H53" s="731"/>
      <c r="I53" s="731"/>
      <c r="J53" s="731"/>
      <c r="K53" s="731"/>
      <c r="L53" s="731"/>
      <c r="M53" s="731"/>
      <c r="N53" s="731"/>
      <c r="O53" s="731"/>
      <c r="P53" s="731"/>
      <c r="Q53" s="731"/>
      <c r="R53" s="731"/>
      <c r="S53" s="731"/>
      <c r="T53" s="731"/>
      <c r="U53" s="731"/>
      <c r="V53" s="731"/>
      <c r="W53" s="731"/>
      <c r="X53" s="731"/>
      <c r="Y53" s="731"/>
      <c r="Z53" s="731"/>
      <c r="AA53" s="731"/>
      <c r="AB53" s="731"/>
      <c r="AC53" s="731"/>
      <c r="AD53" s="37"/>
      <c r="AH53" s="24"/>
      <c r="AI53" s="24"/>
      <c r="AJ53" s="24"/>
      <c r="AK53" s="24"/>
      <c r="AL53" s="630" t="str">
        <f t="shared" si="0"/>
        <v>Chichiquila</v>
      </c>
      <c r="AM53" s="630">
        <f t="shared" si="1"/>
        <v>21050</v>
      </c>
      <c r="AO53" s="24"/>
      <c r="AP53" s="628">
        <v>51</v>
      </c>
      <c r="AQ53" s="642"/>
      <c r="AR53" s="642"/>
      <c r="AS53" s="642"/>
      <c r="AT53" s="642"/>
      <c r="AU53" s="642"/>
      <c r="AV53" s="642"/>
      <c r="AW53" s="634">
        <v>7050</v>
      </c>
      <c r="AX53" s="634">
        <v>8050</v>
      </c>
      <c r="AY53" s="642"/>
      <c r="AZ53" s="642"/>
      <c r="BA53" s="642"/>
      <c r="BB53" s="634">
        <v>12050</v>
      </c>
      <c r="BC53" s="634">
        <v>13050</v>
      </c>
      <c r="BD53" s="634">
        <v>14050</v>
      </c>
      <c r="BE53" s="635">
        <v>15050</v>
      </c>
      <c r="BF53" s="634">
        <v>16050</v>
      </c>
      <c r="BG53" s="642"/>
      <c r="BH53" s="642"/>
      <c r="BI53" s="634">
        <v>19050</v>
      </c>
      <c r="BJ53" s="634">
        <v>20050</v>
      </c>
      <c r="BK53" s="634">
        <v>21050</v>
      </c>
      <c r="BL53" s="642"/>
      <c r="BM53" s="642"/>
      <c r="BN53" s="634">
        <v>24050</v>
      </c>
      <c r="BO53" s="642"/>
      <c r="BP53" s="634">
        <v>26050</v>
      </c>
      <c r="BQ53" s="642"/>
      <c r="BR53" s="642"/>
      <c r="BS53" s="634">
        <v>29050</v>
      </c>
      <c r="BT53" s="634">
        <v>30050</v>
      </c>
      <c r="BU53" s="634">
        <v>31050</v>
      </c>
      <c r="BV53" s="634">
        <v>32050</v>
      </c>
      <c r="BW53" s="24"/>
      <c r="BX53" s="24"/>
      <c r="BY53" s="24"/>
      <c r="BZ53" s="643"/>
      <c r="CA53" s="643"/>
      <c r="CB53" s="643"/>
      <c r="CC53" s="643"/>
      <c r="CD53" s="643"/>
      <c r="CE53" s="643"/>
      <c r="CF53" s="636" t="s">
        <v>1150</v>
      </c>
      <c r="CG53" s="636" t="s">
        <v>1151</v>
      </c>
      <c r="CH53" s="643"/>
      <c r="CI53" s="643"/>
      <c r="CJ53" s="643"/>
      <c r="CK53" s="636" t="s">
        <v>1152</v>
      </c>
      <c r="CL53" s="636" t="s">
        <v>1153</v>
      </c>
      <c r="CM53" s="636" t="s">
        <v>1154</v>
      </c>
      <c r="CN53" s="637" t="s">
        <v>1155</v>
      </c>
      <c r="CO53" s="636" t="s">
        <v>1156</v>
      </c>
      <c r="CP53" s="643"/>
      <c r="CQ53" s="643"/>
      <c r="CR53" s="636" t="s">
        <v>1157</v>
      </c>
      <c r="CS53" s="636" t="s">
        <v>1158</v>
      </c>
      <c r="CT53" s="636" t="s">
        <v>1159</v>
      </c>
      <c r="CU53" s="643"/>
      <c r="CV53" s="643"/>
      <c r="CW53" s="636" t="s">
        <v>1160</v>
      </c>
      <c r="CX53" s="643"/>
      <c r="CY53" s="636" t="s">
        <v>659</v>
      </c>
      <c r="CZ53" s="643"/>
      <c r="DA53" s="643"/>
      <c r="DB53" s="636" t="s">
        <v>1161</v>
      </c>
      <c r="DC53" s="636" t="s">
        <v>1162</v>
      </c>
      <c r="DD53" s="636" t="s">
        <v>1163</v>
      </c>
      <c r="DE53" s="636" t="s">
        <v>1164</v>
      </c>
    </row>
    <row r="54" spans="2:109" ht="6.75" customHeight="1">
      <c r="B54" s="35"/>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7"/>
      <c r="AH54" s="24"/>
      <c r="AI54" s="24"/>
      <c r="AJ54" s="24"/>
      <c r="AK54" s="24"/>
      <c r="AL54" s="630" t="str">
        <f t="shared" si="0"/>
        <v>Chietla</v>
      </c>
      <c r="AM54" s="630">
        <f t="shared" si="1"/>
        <v>21051</v>
      </c>
      <c r="AO54" s="24"/>
      <c r="AP54" s="628">
        <v>52</v>
      </c>
      <c r="AQ54" s="642"/>
      <c r="AR54" s="642"/>
      <c r="AS54" s="642"/>
      <c r="AT54" s="642"/>
      <c r="AU54" s="642"/>
      <c r="AV54" s="642"/>
      <c r="AW54" s="634">
        <v>7051</v>
      </c>
      <c r="AX54" s="634">
        <v>8051</v>
      </c>
      <c r="AY54" s="642"/>
      <c r="AZ54" s="642"/>
      <c r="BA54" s="642"/>
      <c r="BB54" s="634">
        <v>12051</v>
      </c>
      <c r="BC54" s="634">
        <v>13051</v>
      </c>
      <c r="BD54" s="634">
        <v>14051</v>
      </c>
      <c r="BE54" s="635">
        <v>15051</v>
      </c>
      <c r="BF54" s="634">
        <v>16051</v>
      </c>
      <c r="BG54" s="642"/>
      <c r="BH54" s="642"/>
      <c r="BI54" s="634">
        <v>19051</v>
      </c>
      <c r="BJ54" s="634">
        <v>20051</v>
      </c>
      <c r="BK54" s="634">
        <v>21051</v>
      </c>
      <c r="BL54" s="642"/>
      <c r="BM54" s="642"/>
      <c r="BN54" s="634">
        <v>24051</v>
      </c>
      <c r="BO54" s="642"/>
      <c r="BP54" s="634">
        <v>26051</v>
      </c>
      <c r="BQ54" s="642"/>
      <c r="BR54" s="642"/>
      <c r="BS54" s="634">
        <v>29051</v>
      </c>
      <c r="BT54" s="634">
        <v>30051</v>
      </c>
      <c r="BU54" s="634">
        <v>31051</v>
      </c>
      <c r="BV54" s="634">
        <v>32051</v>
      </c>
      <c r="BW54" s="24"/>
      <c r="BX54" s="24"/>
      <c r="BY54" s="24"/>
      <c r="BZ54" s="643"/>
      <c r="CA54" s="643"/>
      <c r="CB54" s="643"/>
      <c r="CC54" s="643"/>
      <c r="CD54" s="643"/>
      <c r="CE54" s="643"/>
      <c r="CF54" s="636" t="s">
        <v>1165</v>
      </c>
      <c r="CG54" s="636" t="s">
        <v>516</v>
      </c>
      <c r="CH54" s="643"/>
      <c r="CI54" s="643"/>
      <c r="CJ54" s="643"/>
      <c r="CK54" s="636" t="s">
        <v>1166</v>
      </c>
      <c r="CL54" s="636" t="s">
        <v>1167</v>
      </c>
      <c r="CM54" s="636" t="s">
        <v>1168</v>
      </c>
      <c r="CN54" s="637" t="s">
        <v>1169</v>
      </c>
      <c r="CO54" s="636" t="s">
        <v>1170</v>
      </c>
      <c r="CP54" s="643"/>
      <c r="CQ54" s="643"/>
      <c r="CR54" s="636" t="s">
        <v>1171</v>
      </c>
      <c r="CS54" s="636" t="s">
        <v>1172</v>
      </c>
      <c r="CT54" s="636" t="s">
        <v>1173</v>
      </c>
      <c r="CU54" s="643"/>
      <c r="CV54" s="643"/>
      <c r="CW54" s="636" t="s">
        <v>963</v>
      </c>
      <c r="CX54" s="643"/>
      <c r="CY54" s="636" t="s">
        <v>453</v>
      </c>
      <c r="CZ54" s="643"/>
      <c r="DA54" s="643"/>
      <c r="DB54" s="636" t="s">
        <v>1174</v>
      </c>
      <c r="DC54" s="636" t="s">
        <v>1175</v>
      </c>
      <c r="DD54" s="636" t="s">
        <v>1176</v>
      </c>
      <c r="DE54" s="636" t="s">
        <v>1177</v>
      </c>
    </row>
    <row r="55" spans="2:109" ht="24" customHeight="1">
      <c r="B55" s="35"/>
      <c r="C55" s="38"/>
      <c r="D55" s="731" t="s">
        <v>1178</v>
      </c>
      <c r="E55" s="731"/>
      <c r="F55" s="731"/>
      <c r="G55" s="731"/>
      <c r="H55" s="731"/>
      <c r="I55" s="731"/>
      <c r="J55" s="731"/>
      <c r="K55" s="731"/>
      <c r="L55" s="731"/>
      <c r="M55" s="731"/>
      <c r="N55" s="731"/>
      <c r="O55" s="731"/>
      <c r="P55" s="731"/>
      <c r="Q55" s="731"/>
      <c r="R55" s="731"/>
      <c r="S55" s="731"/>
      <c r="T55" s="731"/>
      <c r="U55" s="731"/>
      <c r="V55" s="731"/>
      <c r="W55" s="731"/>
      <c r="X55" s="731"/>
      <c r="Y55" s="731"/>
      <c r="Z55" s="731"/>
      <c r="AA55" s="731"/>
      <c r="AB55" s="731"/>
      <c r="AC55" s="731"/>
      <c r="AD55" s="37"/>
      <c r="AH55" s="24"/>
      <c r="AI55" s="24"/>
      <c r="AJ55" s="24"/>
      <c r="AK55" s="24"/>
      <c r="AL55" s="630" t="str">
        <f t="shared" si="0"/>
        <v>Chigmecatitlán</v>
      </c>
      <c r="AM55" s="630">
        <f t="shared" si="1"/>
        <v>21052</v>
      </c>
      <c r="AO55" s="24"/>
      <c r="AP55" s="628">
        <v>53</v>
      </c>
      <c r="AQ55" s="642"/>
      <c r="AR55" s="642"/>
      <c r="AS55" s="642"/>
      <c r="AT55" s="642"/>
      <c r="AU55" s="642"/>
      <c r="AV55" s="642"/>
      <c r="AW55" s="634">
        <v>7052</v>
      </c>
      <c r="AX55" s="634">
        <v>8052</v>
      </c>
      <c r="AY55" s="642"/>
      <c r="AZ55" s="642"/>
      <c r="BA55" s="642"/>
      <c r="BB55" s="634">
        <v>12052</v>
      </c>
      <c r="BC55" s="634">
        <v>13052</v>
      </c>
      <c r="BD55" s="634">
        <v>14052</v>
      </c>
      <c r="BE55" s="635">
        <v>15052</v>
      </c>
      <c r="BF55" s="634">
        <v>16052</v>
      </c>
      <c r="BG55" s="642"/>
      <c r="BH55" s="642"/>
      <c r="BI55" s="642">
        <v>19099</v>
      </c>
      <c r="BJ55" s="634">
        <v>20052</v>
      </c>
      <c r="BK55" s="634">
        <v>21052</v>
      </c>
      <c r="BL55" s="642"/>
      <c r="BM55" s="642"/>
      <c r="BN55" s="634">
        <v>24052</v>
      </c>
      <c r="BO55" s="642"/>
      <c r="BP55" s="634">
        <v>26052</v>
      </c>
      <c r="BQ55" s="642"/>
      <c r="BR55" s="642"/>
      <c r="BS55" s="634">
        <v>29052</v>
      </c>
      <c r="BT55" s="634">
        <v>30052</v>
      </c>
      <c r="BU55" s="634">
        <v>31052</v>
      </c>
      <c r="BV55" s="634">
        <v>32052</v>
      </c>
      <c r="BW55" s="24"/>
      <c r="BX55" s="24"/>
      <c r="BY55" s="24"/>
      <c r="BZ55" s="643"/>
      <c r="CA55" s="643"/>
      <c r="CB55" s="643"/>
      <c r="CC55" s="643"/>
      <c r="CD55" s="643"/>
      <c r="CE55" s="643"/>
      <c r="CF55" s="636" t="s">
        <v>1179</v>
      </c>
      <c r="CG55" s="636" t="s">
        <v>1180</v>
      </c>
      <c r="CH55" s="643"/>
      <c r="CI55" s="643"/>
      <c r="CJ55" s="643"/>
      <c r="CK55" s="636" t="s">
        <v>1181</v>
      </c>
      <c r="CL55" s="636" t="s">
        <v>1182</v>
      </c>
      <c r="CM55" s="636" t="s">
        <v>1183</v>
      </c>
      <c r="CN55" s="637" t="s">
        <v>1184</v>
      </c>
      <c r="CO55" s="636" t="s">
        <v>254</v>
      </c>
      <c r="CP55" s="643"/>
      <c r="CQ55" s="643"/>
      <c r="CR55" s="636" t="s">
        <v>201</v>
      </c>
      <c r="CS55" s="636" t="s">
        <v>1185</v>
      </c>
      <c r="CT55" s="636" t="s">
        <v>1186</v>
      </c>
      <c r="CU55" s="643"/>
      <c r="CV55" s="643"/>
      <c r="CW55" s="636" t="s">
        <v>1187</v>
      </c>
      <c r="CX55" s="643"/>
      <c r="CY55" s="636" t="s">
        <v>1188</v>
      </c>
      <c r="CZ55" s="643"/>
      <c r="DA55" s="643"/>
      <c r="DB55" s="636" t="s">
        <v>1189</v>
      </c>
      <c r="DC55" s="636" t="s">
        <v>1190</v>
      </c>
      <c r="DD55" s="636" t="s">
        <v>1191</v>
      </c>
      <c r="DE55" s="636" t="s">
        <v>1192</v>
      </c>
    </row>
    <row r="56" spans="2:109" ht="6.75" customHeight="1">
      <c r="B56" s="35"/>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7"/>
      <c r="AH56" s="24"/>
      <c r="AI56" s="24"/>
      <c r="AJ56" s="24"/>
      <c r="AK56" s="24"/>
      <c r="AL56" s="630" t="str">
        <f t="shared" si="0"/>
        <v>Chignahuapan</v>
      </c>
      <c r="AM56" s="630">
        <f t="shared" si="1"/>
        <v>21053</v>
      </c>
      <c r="AO56" s="24"/>
      <c r="AP56" s="628">
        <v>54</v>
      </c>
      <c r="AQ56" s="642"/>
      <c r="AR56" s="642"/>
      <c r="AS56" s="642"/>
      <c r="AT56" s="642"/>
      <c r="AU56" s="642"/>
      <c r="AV56" s="642"/>
      <c r="AW56" s="634">
        <v>7053</v>
      </c>
      <c r="AX56" s="634">
        <v>8053</v>
      </c>
      <c r="AY56" s="642"/>
      <c r="AZ56" s="642"/>
      <c r="BA56" s="642"/>
      <c r="BB56" s="634">
        <v>12053</v>
      </c>
      <c r="BC56" s="634">
        <v>13053</v>
      </c>
      <c r="BD56" s="634">
        <v>14053</v>
      </c>
      <c r="BE56" s="635">
        <v>15053</v>
      </c>
      <c r="BF56" s="634">
        <v>16053</v>
      </c>
      <c r="BG56" s="642"/>
      <c r="BH56" s="642"/>
      <c r="BI56" s="642"/>
      <c r="BJ56" s="634">
        <v>20053</v>
      </c>
      <c r="BK56" s="634">
        <v>21053</v>
      </c>
      <c r="BL56" s="642"/>
      <c r="BM56" s="642"/>
      <c r="BN56" s="634">
        <v>24053</v>
      </c>
      <c r="BO56" s="642"/>
      <c r="BP56" s="634">
        <v>26053</v>
      </c>
      <c r="BQ56" s="642"/>
      <c r="BR56" s="642"/>
      <c r="BS56" s="634">
        <v>29053</v>
      </c>
      <c r="BT56" s="634">
        <v>30053</v>
      </c>
      <c r="BU56" s="634">
        <v>31053</v>
      </c>
      <c r="BV56" s="634">
        <v>32053</v>
      </c>
      <c r="BW56" s="24"/>
      <c r="BX56" s="24"/>
      <c r="BY56" s="24"/>
      <c r="BZ56" s="643"/>
      <c r="CA56" s="643"/>
      <c r="CB56" s="643"/>
      <c r="CC56" s="643"/>
      <c r="CD56" s="643"/>
      <c r="CE56" s="643"/>
      <c r="CF56" s="636" t="s">
        <v>1193</v>
      </c>
      <c r="CG56" s="636" t="s">
        <v>1194</v>
      </c>
      <c r="CH56" s="643"/>
      <c r="CI56" s="643"/>
      <c r="CJ56" s="643"/>
      <c r="CK56" s="636" t="s">
        <v>1195</v>
      </c>
      <c r="CL56" s="636" t="s">
        <v>1196</v>
      </c>
      <c r="CM56" s="636" t="s">
        <v>1197</v>
      </c>
      <c r="CN56" s="637" t="s">
        <v>748</v>
      </c>
      <c r="CO56" s="636" t="s">
        <v>1198</v>
      </c>
      <c r="CP56" s="643"/>
      <c r="CQ56" s="643"/>
      <c r="CR56" s="643"/>
      <c r="CS56" s="636" t="s">
        <v>1199</v>
      </c>
      <c r="CT56" s="636" t="s">
        <v>1200</v>
      </c>
      <c r="CU56" s="643"/>
      <c r="CV56" s="643"/>
      <c r="CW56" s="636" t="s">
        <v>1201</v>
      </c>
      <c r="CX56" s="643"/>
      <c r="CY56" s="636" t="s">
        <v>1202</v>
      </c>
      <c r="CZ56" s="643"/>
      <c r="DA56" s="643"/>
      <c r="DB56" s="636" t="s">
        <v>1203</v>
      </c>
      <c r="DC56" s="636" t="s">
        <v>1204</v>
      </c>
      <c r="DD56" s="636" t="s">
        <v>1205</v>
      </c>
      <c r="DE56" s="636" t="s">
        <v>1206</v>
      </c>
    </row>
    <row r="57" spans="2:109" ht="24" customHeight="1">
      <c r="B57" s="35"/>
      <c r="C57" s="38"/>
      <c r="D57" s="731" t="s">
        <v>1207</v>
      </c>
      <c r="E57" s="731"/>
      <c r="F57" s="731"/>
      <c r="G57" s="731"/>
      <c r="H57" s="731"/>
      <c r="I57" s="731"/>
      <c r="J57" s="731"/>
      <c r="K57" s="731"/>
      <c r="L57" s="731"/>
      <c r="M57" s="731"/>
      <c r="N57" s="731"/>
      <c r="O57" s="731"/>
      <c r="P57" s="731"/>
      <c r="Q57" s="731"/>
      <c r="R57" s="731"/>
      <c r="S57" s="731"/>
      <c r="T57" s="731"/>
      <c r="U57" s="731"/>
      <c r="V57" s="731"/>
      <c r="W57" s="731"/>
      <c r="X57" s="731"/>
      <c r="Y57" s="731"/>
      <c r="Z57" s="731"/>
      <c r="AA57" s="731"/>
      <c r="AB57" s="731"/>
      <c r="AC57" s="731"/>
      <c r="AD57" s="37"/>
      <c r="AH57" s="24"/>
      <c r="AI57" s="24"/>
      <c r="AJ57" s="24"/>
      <c r="AK57" s="24"/>
      <c r="AL57" s="630" t="str">
        <f t="shared" si="0"/>
        <v>Chignautla</v>
      </c>
      <c r="AM57" s="630">
        <f t="shared" si="1"/>
        <v>21054</v>
      </c>
      <c r="AO57" s="24"/>
      <c r="AP57" s="628">
        <v>55</v>
      </c>
      <c r="AQ57" s="642"/>
      <c r="AR57" s="642"/>
      <c r="AS57" s="642"/>
      <c r="AT57" s="642"/>
      <c r="AU57" s="642"/>
      <c r="AV57" s="642"/>
      <c r="AW57" s="634">
        <v>7054</v>
      </c>
      <c r="AX57" s="634">
        <v>8054</v>
      </c>
      <c r="AY57" s="642"/>
      <c r="AZ57" s="642"/>
      <c r="BA57" s="642"/>
      <c r="BB57" s="634">
        <v>12054</v>
      </c>
      <c r="BC57" s="634">
        <v>13054</v>
      </c>
      <c r="BD57" s="634">
        <v>14054</v>
      </c>
      <c r="BE57" s="635">
        <v>15054</v>
      </c>
      <c r="BF57" s="634">
        <v>16054</v>
      </c>
      <c r="BG57" s="642"/>
      <c r="BH57" s="642"/>
      <c r="BI57" s="642"/>
      <c r="BJ57" s="634">
        <v>20054</v>
      </c>
      <c r="BK57" s="634">
        <v>21054</v>
      </c>
      <c r="BL57" s="642"/>
      <c r="BM57" s="642"/>
      <c r="BN57" s="634">
        <v>24054</v>
      </c>
      <c r="BO57" s="642"/>
      <c r="BP57" s="634">
        <v>26054</v>
      </c>
      <c r="BQ57" s="642"/>
      <c r="BR57" s="642"/>
      <c r="BS57" s="634">
        <v>29054</v>
      </c>
      <c r="BT57" s="634">
        <v>30054</v>
      </c>
      <c r="BU57" s="634">
        <v>31054</v>
      </c>
      <c r="BV57" s="634">
        <v>32054</v>
      </c>
      <c r="BW57" s="24"/>
      <c r="BX57" s="24"/>
      <c r="BY57" s="24"/>
      <c r="BZ57" s="643"/>
      <c r="CA57" s="643"/>
      <c r="CB57" s="643"/>
      <c r="CC57" s="643"/>
      <c r="CD57" s="643"/>
      <c r="CE57" s="643"/>
      <c r="CF57" s="636" t="s">
        <v>945</v>
      </c>
      <c r="CG57" s="636" t="s">
        <v>1208</v>
      </c>
      <c r="CH57" s="643"/>
      <c r="CI57" s="643"/>
      <c r="CJ57" s="643"/>
      <c r="CK57" s="636" t="s">
        <v>1209</v>
      </c>
      <c r="CL57" s="636" t="s">
        <v>1210</v>
      </c>
      <c r="CM57" s="636" t="s">
        <v>1211</v>
      </c>
      <c r="CN57" s="637" t="s">
        <v>899</v>
      </c>
      <c r="CO57" s="636" t="s">
        <v>513</v>
      </c>
      <c r="CP57" s="643"/>
      <c r="CQ57" s="643"/>
      <c r="CR57" s="643"/>
      <c r="CS57" s="636" t="s">
        <v>1212</v>
      </c>
      <c r="CT57" s="636" t="s">
        <v>1213</v>
      </c>
      <c r="CU57" s="643"/>
      <c r="CV57" s="643"/>
      <c r="CW57" s="636" t="s">
        <v>1214</v>
      </c>
      <c r="CX57" s="643"/>
      <c r="CY57" s="636" t="s">
        <v>1215</v>
      </c>
      <c r="CZ57" s="643"/>
      <c r="DA57" s="643"/>
      <c r="DB57" s="636" t="s">
        <v>1216</v>
      </c>
      <c r="DC57" s="636" t="s">
        <v>1217</v>
      </c>
      <c r="DD57" s="636" t="s">
        <v>1218</v>
      </c>
      <c r="DE57" s="636" t="s">
        <v>963</v>
      </c>
    </row>
    <row r="58" spans="2:109" ht="6.75" customHeight="1">
      <c r="B58" s="35"/>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7"/>
      <c r="AH58" s="24"/>
      <c r="AI58" s="24"/>
      <c r="AJ58" s="24"/>
      <c r="AK58" s="24"/>
      <c r="AL58" s="630" t="str">
        <f t="shared" si="0"/>
        <v>Chila</v>
      </c>
      <c r="AM58" s="630">
        <f t="shared" si="1"/>
        <v>21055</v>
      </c>
      <c r="AO58" s="24"/>
      <c r="AP58" s="628">
        <v>56</v>
      </c>
      <c r="AQ58" s="642"/>
      <c r="AR58" s="642"/>
      <c r="AS58" s="642"/>
      <c r="AT58" s="642"/>
      <c r="AU58" s="642"/>
      <c r="AV58" s="642"/>
      <c r="AW58" s="634">
        <v>7055</v>
      </c>
      <c r="AX58" s="634">
        <v>8055</v>
      </c>
      <c r="AY58" s="642"/>
      <c r="AZ58" s="642"/>
      <c r="BA58" s="642"/>
      <c r="BB58" s="634">
        <v>12055</v>
      </c>
      <c r="BC58" s="634">
        <v>13055</v>
      </c>
      <c r="BD58" s="634">
        <v>14055</v>
      </c>
      <c r="BE58" s="635">
        <v>15055</v>
      </c>
      <c r="BF58" s="634">
        <v>16055</v>
      </c>
      <c r="BG58" s="642"/>
      <c r="BH58" s="642"/>
      <c r="BI58" s="642"/>
      <c r="BJ58" s="634">
        <v>20055</v>
      </c>
      <c r="BK58" s="634">
        <v>21055</v>
      </c>
      <c r="BL58" s="642"/>
      <c r="BM58" s="642"/>
      <c r="BN58" s="634">
        <v>24055</v>
      </c>
      <c r="BO58" s="642"/>
      <c r="BP58" s="634">
        <v>26055</v>
      </c>
      <c r="BQ58" s="642"/>
      <c r="BR58" s="642"/>
      <c r="BS58" s="634">
        <v>29055</v>
      </c>
      <c r="BT58" s="634">
        <v>30055</v>
      </c>
      <c r="BU58" s="634">
        <v>31055</v>
      </c>
      <c r="BV58" s="634">
        <v>32055</v>
      </c>
      <c r="BW58" s="24"/>
      <c r="BX58" s="24"/>
      <c r="BY58" s="24"/>
      <c r="BZ58" s="643"/>
      <c r="CA58" s="643"/>
      <c r="CB58" s="643"/>
      <c r="CC58" s="643"/>
      <c r="CD58" s="643"/>
      <c r="CE58" s="643"/>
      <c r="CF58" s="636" t="s">
        <v>1219</v>
      </c>
      <c r="CG58" s="636" t="s">
        <v>1220</v>
      </c>
      <c r="CH58" s="643"/>
      <c r="CI58" s="643"/>
      <c r="CJ58" s="643"/>
      <c r="CK58" s="636" t="s">
        <v>1221</v>
      </c>
      <c r="CL58" s="636" t="s">
        <v>1222</v>
      </c>
      <c r="CM58" s="636" t="s">
        <v>927</v>
      </c>
      <c r="CN58" s="637" t="s">
        <v>1223</v>
      </c>
      <c r="CO58" s="636" t="s">
        <v>1224</v>
      </c>
      <c r="CP58" s="643"/>
      <c r="CQ58" s="643"/>
      <c r="CR58" s="643"/>
      <c r="CS58" s="636" t="s">
        <v>1225</v>
      </c>
      <c r="CT58" s="636" t="s">
        <v>1226</v>
      </c>
      <c r="CU58" s="643"/>
      <c r="CV58" s="643"/>
      <c r="CW58" s="636" t="s">
        <v>952</v>
      </c>
      <c r="CX58" s="643"/>
      <c r="CY58" s="636" t="s">
        <v>1227</v>
      </c>
      <c r="CZ58" s="643"/>
      <c r="DA58" s="643"/>
      <c r="DB58" s="636" t="s">
        <v>1228</v>
      </c>
      <c r="DC58" s="636" t="s">
        <v>1229</v>
      </c>
      <c r="DD58" s="636" t="s">
        <v>1230</v>
      </c>
      <c r="DE58" s="636" t="s">
        <v>1231</v>
      </c>
    </row>
    <row r="59" spans="2:109" ht="36" customHeight="1">
      <c r="B59" s="35"/>
      <c r="C59" s="38"/>
      <c r="D59" s="731" t="s">
        <v>1232</v>
      </c>
      <c r="E59" s="731"/>
      <c r="F59" s="731"/>
      <c r="G59" s="731"/>
      <c r="H59" s="731"/>
      <c r="I59" s="731"/>
      <c r="J59" s="731"/>
      <c r="K59" s="731"/>
      <c r="L59" s="731"/>
      <c r="M59" s="731"/>
      <c r="N59" s="731"/>
      <c r="O59" s="731"/>
      <c r="P59" s="731"/>
      <c r="Q59" s="731"/>
      <c r="R59" s="731"/>
      <c r="S59" s="731"/>
      <c r="T59" s="731"/>
      <c r="U59" s="731"/>
      <c r="V59" s="731"/>
      <c r="W59" s="731"/>
      <c r="X59" s="731"/>
      <c r="Y59" s="731"/>
      <c r="Z59" s="731"/>
      <c r="AA59" s="731"/>
      <c r="AB59" s="731"/>
      <c r="AC59" s="731"/>
      <c r="AD59" s="37"/>
      <c r="AH59" s="24"/>
      <c r="AI59" s="24"/>
      <c r="AJ59" s="24"/>
      <c r="AK59" s="24"/>
      <c r="AL59" s="630" t="str">
        <f t="shared" si="0"/>
        <v>Chila de la Sal</v>
      </c>
      <c r="AM59" s="630">
        <f t="shared" si="1"/>
        <v>21056</v>
      </c>
      <c r="AO59" s="24"/>
      <c r="AP59" s="628">
        <v>57</v>
      </c>
      <c r="AQ59" s="642"/>
      <c r="AR59" s="642"/>
      <c r="AS59" s="642"/>
      <c r="AT59" s="642"/>
      <c r="AU59" s="642"/>
      <c r="AV59" s="642"/>
      <c r="AW59" s="634">
        <v>7056</v>
      </c>
      <c r="AX59" s="634">
        <v>8056</v>
      </c>
      <c r="AY59" s="642"/>
      <c r="AZ59" s="642"/>
      <c r="BA59" s="642"/>
      <c r="BB59" s="634">
        <v>12056</v>
      </c>
      <c r="BC59" s="634">
        <v>13056</v>
      </c>
      <c r="BD59" s="634">
        <v>14056</v>
      </c>
      <c r="BE59" s="635">
        <v>15056</v>
      </c>
      <c r="BF59" s="634">
        <v>16056</v>
      </c>
      <c r="BG59" s="642"/>
      <c r="BH59" s="642"/>
      <c r="BI59" s="642"/>
      <c r="BJ59" s="634">
        <v>20056</v>
      </c>
      <c r="BK59" s="634">
        <v>21056</v>
      </c>
      <c r="BL59" s="642"/>
      <c r="BM59" s="642"/>
      <c r="BN59" s="634">
        <v>24056</v>
      </c>
      <c r="BO59" s="642"/>
      <c r="BP59" s="634">
        <v>26056</v>
      </c>
      <c r="BQ59" s="642"/>
      <c r="BR59" s="642"/>
      <c r="BS59" s="634">
        <v>29056</v>
      </c>
      <c r="BT59" s="634">
        <v>30056</v>
      </c>
      <c r="BU59" s="634">
        <v>31056</v>
      </c>
      <c r="BV59" s="634">
        <v>32056</v>
      </c>
      <c r="BW59" s="24"/>
      <c r="BX59" s="24"/>
      <c r="BY59" s="24"/>
      <c r="BZ59" s="643"/>
      <c r="CA59" s="643"/>
      <c r="CB59" s="643"/>
      <c r="CC59" s="643"/>
      <c r="CD59" s="643"/>
      <c r="CE59" s="643"/>
      <c r="CF59" s="636" t="s">
        <v>1233</v>
      </c>
      <c r="CG59" s="636" t="s">
        <v>453</v>
      </c>
      <c r="CH59" s="643"/>
      <c r="CI59" s="643"/>
      <c r="CJ59" s="643"/>
      <c r="CK59" s="636" t="s">
        <v>1234</v>
      </c>
      <c r="CL59" s="636" t="s">
        <v>1235</v>
      </c>
      <c r="CM59" s="636" t="s">
        <v>447</v>
      </c>
      <c r="CN59" s="637" t="s">
        <v>513</v>
      </c>
      <c r="CO59" s="636" t="s">
        <v>1236</v>
      </c>
      <c r="CP59" s="643"/>
      <c r="CQ59" s="643"/>
      <c r="CR59" s="643"/>
      <c r="CS59" s="636" t="s">
        <v>1237</v>
      </c>
      <c r="CT59" s="636" t="s">
        <v>1238</v>
      </c>
      <c r="CU59" s="643"/>
      <c r="CV59" s="643"/>
      <c r="CW59" s="636" t="s">
        <v>1239</v>
      </c>
      <c r="CX59" s="643"/>
      <c r="CY59" s="636" t="s">
        <v>1240</v>
      </c>
      <c r="CZ59" s="643"/>
      <c r="DA59" s="643"/>
      <c r="DB59" s="636" t="s">
        <v>1241</v>
      </c>
      <c r="DC59" s="636" t="s">
        <v>1242</v>
      </c>
      <c r="DD59" s="636" t="s">
        <v>1243</v>
      </c>
      <c r="DE59" s="636" t="s">
        <v>832</v>
      </c>
    </row>
    <row r="60" spans="2:109" ht="6.75" customHeight="1">
      <c r="B60" s="35"/>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7"/>
      <c r="AH60" s="24"/>
      <c r="AI60" s="24"/>
      <c r="AJ60" s="24"/>
      <c r="AK60" s="24"/>
      <c r="AL60" s="630" t="str">
        <f t="shared" si="0"/>
        <v>Honey</v>
      </c>
      <c r="AM60" s="630">
        <f t="shared" si="1"/>
        <v>21057</v>
      </c>
      <c r="AO60" s="24"/>
      <c r="AP60" s="628">
        <v>58</v>
      </c>
      <c r="AQ60" s="642"/>
      <c r="AR60" s="642"/>
      <c r="AS60" s="642"/>
      <c r="AT60" s="642"/>
      <c r="AU60" s="642"/>
      <c r="AV60" s="642"/>
      <c r="AW60" s="634">
        <v>7057</v>
      </c>
      <c r="AX60" s="634">
        <v>8057</v>
      </c>
      <c r="AY60" s="642"/>
      <c r="AZ60" s="642"/>
      <c r="BA60" s="642"/>
      <c r="BB60" s="634">
        <v>12057</v>
      </c>
      <c r="BC60" s="634">
        <v>13057</v>
      </c>
      <c r="BD60" s="634">
        <v>14057</v>
      </c>
      <c r="BE60" s="635">
        <v>15057</v>
      </c>
      <c r="BF60" s="634">
        <v>16057</v>
      </c>
      <c r="BG60" s="642"/>
      <c r="BH60" s="642"/>
      <c r="BI60" s="642"/>
      <c r="BJ60" s="634">
        <v>20057</v>
      </c>
      <c r="BK60" s="634">
        <v>21057</v>
      </c>
      <c r="BL60" s="642"/>
      <c r="BM60" s="642"/>
      <c r="BN60" s="634">
        <v>24057</v>
      </c>
      <c r="BO60" s="642"/>
      <c r="BP60" s="634">
        <v>26057</v>
      </c>
      <c r="BQ60" s="642"/>
      <c r="BR60" s="642"/>
      <c r="BS60" s="634">
        <v>29057</v>
      </c>
      <c r="BT60" s="634">
        <v>30057</v>
      </c>
      <c r="BU60" s="634">
        <v>31057</v>
      </c>
      <c r="BV60" s="634">
        <v>32057</v>
      </c>
      <c r="BW60" s="24"/>
      <c r="BX60" s="24"/>
      <c r="BY60" s="24"/>
      <c r="BZ60" s="643"/>
      <c r="CA60" s="643"/>
      <c r="CB60" s="643"/>
      <c r="CC60" s="643"/>
      <c r="CD60" s="643"/>
      <c r="CE60" s="643"/>
      <c r="CF60" s="636" t="s">
        <v>1244</v>
      </c>
      <c r="CG60" s="636" t="s">
        <v>1245</v>
      </c>
      <c r="CH60" s="643"/>
      <c r="CI60" s="643"/>
      <c r="CJ60" s="643"/>
      <c r="CK60" s="636" t="s">
        <v>1246</v>
      </c>
      <c r="CL60" s="636" t="s">
        <v>1247</v>
      </c>
      <c r="CM60" s="636" t="s">
        <v>1248</v>
      </c>
      <c r="CN60" s="637" t="s">
        <v>1249</v>
      </c>
      <c r="CO60" s="636" t="s">
        <v>1250</v>
      </c>
      <c r="CP60" s="643"/>
      <c r="CQ60" s="643"/>
      <c r="CR60" s="643"/>
      <c r="CS60" s="636" t="s">
        <v>1251</v>
      </c>
      <c r="CT60" s="636" t="s">
        <v>1252</v>
      </c>
      <c r="CU60" s="643"/>
      <c r="CV60" s="643"/>
      <c r="CW60" s="636" t="s">
        <v>1253</v>
      </c>
      <c r="CX60" s="643"/>
      <c r="CY60" s="636" t="s">
        <v>1254</v>
      </c>
      <c r="CZ60" s="643"/>
      <c r="DA60" s="643"/>
      <c r="DB60" s="636" t="s">
        <v>1255</v>
      </c>
      <c r="DC60" s="636" t="s">
        <v>1256</v>
      </c>
      <c r="DD60" s="636" t="s">
        <v>1257</v>
      </c>
      <c r="DE60" s="636" t="s">
        <v>1258</v>
      </c>
    </row>
    <row r="61" spans="2:109" ht="15" customHeight="1">
      <c r="B61" s="35"/>
      <c r="C61" s="38"/>
      <c r="D61" s="731" t="s">
        <v>1259</v>
      </c>
      <c r="E61" s="731"/>
      <c r="F61" s="731"/>
      <c r="G61" s="731"/>
      <c r="H61" s="731"/>
      <c r="I61" s="731"/>
      <c r="J61" s="731"/>
      <c r="K61" s="731"/>
      <c r="L61" s="731"/>
      <c r="M61" s="731"/>
      <c r="N61" s="731"/>
      <c r="O61" s="731"/>
      <c r="P61" s="731"/>
      <c r="Q61" s="731"/>
      <c r="R61" s="731"/>
      <c r="S61" s="731"/>
      <c r="T61" s="731"/>
      <c r="U61" s="731"/>
      <c r="V61" s="731"/>
      <c r="W61" s="731"/>
      <c r="X61" s="731"/>
      <c r="Y61" s="731"/>
      <c r="Z61" s="731"/>
      <c r="AA61" s="731"/>
      <c r="AB61" s="731"/>
      <c r="AC61" s="731"/>
      <c r="AD61" s="37"/>
      <c r="AH61" s="24"/>
      <c r="AI61" s="24"/>
      <c r="AJ61" s="24"/>
      <c r="AK61" s="24"/>
      <c r="AL61" s="630" t="str">
        <f t="shared" si="0"/>
        <v>Chilchotla</v>
      </c>
      <c r="AM61" s="630">
        <f t="shared" si="1"/>
        <v>21058</v>
      </c>
      <c r="AO61" s="24"/>
      <c r="AP61" s="628">
        <v>59</v>
      </c>
      <c r="AQ61" s="642"/>
      <c r="AR61" s="642"/>
      <c r="AS61" s="642"/>
      <c r="AT61" s="642"/>
      <c r="AU61" s="642"/>
      <c r="AV61" s="642"/>
      <c r="AW61" s="634">
        <v>7058</v>
      </c>
      <c r="AX61" s="634">
        <v>8058</v>
      </c>
      <c r="AY61" s="642"/>
      <c r="AZ61" s="642"/>
      <c r="BA61" s="642"/>
      <c r="BB61" s="634">
        <v>12058</v>
      </c>
      <c r="BC61" s="634">
        <v>13058</v>
      </c>
      <c r="BD61" s="634">
        <v>14058</v>
      </c>
      <c r="BE61" s="635">
        <v>15058</v>
      </c>
      <c r="BF61" s="634">
        <v>16058</v>
      </c>
      <c r="BG61" s="642"/>
      <c r="BH61" s="642"/>
      <c r="BI61" s="642"/>
      <c r="BJ61" s="634">
        <v>20058</v>
      </c>
      <c r="BK61" s="634">
        <v>21058</v>
      </c>
      <c r="BL61" s="642"/>
      <c r="BM61" s="642"/>
      <c r="BN61" s="634">
        <v>24058</v>
      </c>
      <c r="BO61" s="642"/>
      <c r="BP61" s="634">
        <v>26058</v>
      </c>
      <c r="BQ61" s="642"/>
      <c r="BR61" s="642"/>
      <c r="BS61" s="634">
        <v>29058</v>
      </c>
      <c r="BT61" s="634">
        <v>30058</v>
      </c>
      <c r="BU61" s="634">
        <v>31058</v>
      </c>
      <c r="BV61" s="634">
        <v>32058</v>
      </c>
      <c r="BW61" s="24"/>
      <c r="BX61" s="24"/>
      <c r="BY61" s="24"/>
      <c r="BZ61" s="643"/>
      <c r="CA61" s="643"/>
      <c r="CB61" s="643"/>
      <c r="CC61" s="643"/>
      <c r="CD61" s="643"/>
      <c r="CE61" s="643"/>
      <c r="CF61" s="636" t="s">
        <v>1260</v>
      </c>
      <c r="CG61" s="636" t="s">
        <v>1261</v>
      </c>
      <c r="CH61" s="643"/>
      <c r="CI61" s="643"/>
      <c r="CJ61" s="643"/>
      <c r="CK61" s="636" t="s">
        <v>1262</v>
      </c>
      <c r="CL61" s="636" t="s">
        <v>1263</v>
      </c>
      <c r="CM61" s="636" t="s">
        <v>1264</v>
      </c>
      <c r="CN61" s="637" t="s">
        <v>1265</v>
      </c>
      <c r="CO61" s="636" t="s">
        <v>1266</v>
      </c>
      <c r="CP61" s="643"/>
      <c r="CQ61" s="643"/>
      <c r="CR61" s="643"/>
      <c r="CS61" s="636" t="s">
        <v>1267</v>
      </c>
      <c r="CT61" s="636" t="s">
        <v>1268</v>
      </c>
      <c r="CU61" s="643"/>
      <c r="CV61" s="643"/>
      <c r="CW61" s="636" t="s">
        <v>1269</v>
      </c>
      <c r="CX61" s="643"/>
      <c r="CY61" s="636" t="s">
        <v>1270</v>
      </c>
      <c r="CZ61" s="643"/>
      <c r="DA61" s="643"/>
      <c r="DB61" s="636" t="s">
        <v>1271</v>
      </c>
      <c r="DC61" s="636" t="s">
        <v>1272</v>
      </c>
      <c r="DD61" s="636" t="s">
        <v>1273</v>
      </c>
      <c r="DE61" s="636" t="s">
        <v>1274</v>
      </c>
    </row>
    <row r="62" spans="2:109" ht="6.75" customHeight="1">
      <c r="B62" s="35"/>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7"/>
      <c r="AH62" s="24"/>
      <c r="AI62" s="24"/>
      <c r="AJ62" s="24"/>
      <c r="AK62" s="24"/>
      <c r="AL62" s="630" t="str">
        <f t="shared" si="0"/>
        <v>Chinantla</v>
      </c>
      <c r="AM62" s="630">
        <f t="shared" si="1"/>
        <v>21059</v>
      </c>
      <c r="AO62" s="24"/>
      <c r="AP62" s="628">
        <v>60</v>
      </c>
      <c r="AQ62" s="642"/>
      <c r="AR62" s="642"/>
      <c r="AS62" s="642"/>
      <c r="AT62" s="642"/>
      <c r="AU62" s="642"/>
      <c r="AV62" s="642"/>
      <c r="AW62" s="634">
        <v>7059</v>
      </c>
      <c r="AX62" s="634">
        <v>8059</v>
      </c>
      <c r="AY62" s="642"/>
      <c r="AZ62" s="642"/>
      <c r="BA62" s="642"/>
      <c r="BB62" s="634">
        <v>12059</v>
      </c>
      <c r="BC62" s="634">
        <v>13059</v>
      </c>
      <c r="BD62" s="634">
        <v>14059</v>
      </c>
      <c r="BE62" s="635">
        <v>15059</v>
      </c>
      <c r="BF62" s="634">
        <v>16059</v>
      </c>
      <c r="BG62" s="642"/>
      <c r="BH62" s="642"/>
      <c r="BI62" s="642"/>
      <c r="BJ62" s="634">
        <v>20059</v>
      </c>
      <c r="BK62" s="634">
        <v>21059</v>
      </c>
      <c r="BL62" s="642"/>
      <c r="BM62" s="642"/>
      <c r="BN62" s="642">
        <v>24099</v>
      </c>
      <c r="BO62" s="642"/>
      <c r="BP62" s="634">
        <v>26059</v>
      </c>
      <c r="BQ62" s="642"/>
      <c r="BR62" s="642"/>
      <c r="BS62" s="634">
        <v>29059</v>
      </c>
      <c r="BT62" s="634">
        <v>30059</v>
      </c>
      <c r="BU62" s="634">
        <v>31059</v>
      </c>
      <c r="BV62" s="642">
        <v>32099</v>
      </c>
      <c r="BW62" s="24"/>
      <c r="BX62" s="24"/>
      <c r="BY62" s="24"/>
      <c r="BZ62" s="643"/>
      <c r="CA62" s="643"/>
      <c r="CB62" s="643"/>
      <c r="CC62" s="643"/>
      <c r="CD62" s="643"/>
      <c r="CE62" s="643"/>
      <c r="CF62" s="636" t="s">
        <v>1275</v>
      </c>
      <c r="CG62" s="636" t="s">
        <v>1276</v>
      </c>
      <c r="CH62" s="643"/>
      <c r="CI62" s="643"/>
      <c r="CJ62" s="643"/>
      <c r="CK62" s="636" t="s">
        <v>1277</v>
      </c>
      <c r="CL62" s="636" t="s">
        <v>1278</v>
      </c>
      <c r="CM62" s="636" t="s">
        <v>1279</v>
      </c>
      <c r="CN62" s="637" t="s">
        <v>1280</v>
      </c>
      <c r="CO62" s="636" t="s">
        <v>1281</v>
      </c>
      <c r="CP62" s="643"/>
      <c r="CQ62" s="643"/>
      <c r="CR62" s="643"/>
      <c r="CS62" s="636" t="s">
        <v>1282</v>
      </c>
      <c r="CT62" s="636" t="s">
        <v>1283</v>
      </c>
      <c r="CU62" s="643"/>
      <c r="CV62" s="643"/>
      <c r="CW62" s="636" t="s">
        <v>201</v>
      </c>
      <c r="CX62" s="643"/>
      <c r="CY62" s="636" t="s">
        <v>1284</v>
      </c>
      <c r="CZ62" s="643"/>
      <c r="DA62" s="643"/>
      <c r="DB62" s="636" t="s">
        <v>1285</v>
      </c>
      <c r="DC62" s="636" t="s">
        <v>1286</v>
      </c>
      <c r="DD62" s="636" t="s">
        <v>708</v>
      </c>
      <c r="DE62" s="636" t="s">
        <v>201</v>
      </c>
    </row>
    <row r="63" spans="2:109" ht="36" customHeight="1">
      <c r="B63" s="35"/>
      <c r="C63" s="731" t="s">
        <v>1287</v>
      </c>
      <c r="D63" s="731"/>
      <c r="E63" s="731"/>
      <c r="F63" s="731"/>
      <c r="G63" s="731"/>
      <c r="H63" s="731"/>
      <c r="I63" s="731"/>
      <c r="J63" s="731"/>
      <c r="K63" s="731"/>
      <c r="L63" s="731"/>
      <c r="M63" s="731"/>
      <c r="N63" s="731"/>
      <c r="O63" s="731"/>
      <c r="P63" s="731"/>
      <c r="Q63" s="731"/>
      <c r="R63" s="731"/>
      <c r="S63" s="731"/>
      <c r="T63" s="731"/>
      <c r="U63" s="731"/>
      <c r="V63" s="731"/>
      <c r="W63" s="731"/>
      <c r="X63" s="731"/>
      <c r="Y63" s="731"/>
      <c r="Z63" s="731"/>
      <c r="AA63" s="731"/>
      <c r="AB63" s="731"/>
      <c r="AC63" s="731"/>
      <c r="AD63" s="37"/>
      <c r="AH63" s="24"/>
      <c r="AI63" s="24"/>
      <c r="AJ63" s="24"/>
      <c r="AK63" s="24"/>
      <c r="AL63" s="630" t="str">
        <f t="shared" si="0"/>
        <v>Domingo Arenas</v>
      </c>
      <c r="AM63" s="630">
        <f t="shared" si="1"/>
        <v>21060</v>
      </c>
      <c r="AO63" s="24"/>
      <c r="AP63" s="628">
        <v>61</v>
      </c>
      <c r="AQ63" s="642"/>
      <c r="AR63" s="642"/>
      <c r="AS63" s="642"/>
      <c r="AT63" s="642"/>
      <c r="AU63" s="642"/>
      <c r="AV63" s="642"/>
      <c r="AW63" s="634">
        <v>7060</v>
      </c>
      <c r="AX63" s="634">
        <v>8060</v>
      </c>
      <c r="AY63" s="642"/>
      <c r="AZ63" s="642"/>
      <c r="BA63" s="642"/>
      <c r="BB63" s="634">
        <v>12060</v>
      </c>
      <c r="BC63" s="634">
        <v>13060</v>
      </c>
      <c r="BD63" s="634">
        <v>14060</v>
      </c>
      <c r="BE63" s="635">
        <v>15060</v>
      </c>
      <c r="BF63" s="634">
        <v>16060</v>
      </c>
      <c r="BG63" s="642"/>
      <c r="BH63" s="642"/>
      <c r="BI63" s="642"/>
      <c r="BJ63" s="634">
        <v>20060</v>
      </c>
      <c r="BK63" s="634">
        <v>21060</v>
      </c>
      <c r="BL63" s="642"/>
      <c r="BM63" s="642"/>
      <c r="BN63" s="642"/>
      <c r="BO63" s="642"/>
      <c r="BP63" s="634">
        <v>26060</v>
      </c>
      <c r="BQ63" s="642"/>
      <c r="BR63" s="642"/>
      <c r="BS63" s="634">
        <v>29060</v>
      </c>
      <c r="BT63" s="634">
        <v>30060</v>
      </c>
      <c r="BU63" s="634">
        <v>31060</v>
      </c>
      <c r="BV63" s="642"/>
      <c r="BW63" s="24"/>
      <c r="BX63" s="24"/>
      <c r="BY63" s="24"/>
      <c r="BZ63" s="643"/>
      <c r="CA63" s="643"/>
      <c r="CB63" s="643"/>
      <c r="CC63" s="643"/>
      <c r="CD63" s="643"/>
      <c r="CE63" s="643"/>
      <c r="CF63" s="636" t="s">
        <v>1288</v>
      </c>
      <c r="CG63" s="636" t="s">
        <v>1289</v>
      </c>
      <c r="CH63" s="643"/>
      <c r="CI63" s="643"/>
      <c r="CJ63" s="643"/>
      <c r="CK63" s="636" t="s">
        <v>1290</v>
      </c>
      <c r="CL63" s="636" t="s">
        <v>1291</v>
      </c>
      <c r="CM63" s="636" t="s">
        <v>1292</v>
      </c>
      <c r="CN63" s="637" t="s">
        <v>1293</v>
      </c>
      <c r="CO63" s="636" t="s">
        <v>1294</v>
      </c>
      <c r="CP63" s="643"/>
      <c r="CQ63" s="643"/>
      <c r="CR63" s="643"/>
      <c r="CS63" s="636" t="s">
        <v>1295</v>
      </c>
      <c r="CT63" s="636" t="s">
        <v>1296</v>
      </c>
      <c r="CU63" s="643"/>
      <c r="CV63" s="643"/>
      <c r="CW63" s="643"/>
      <c r="CX63" s="643"/>
      <c r="CY63" s="636" t="s">
        <v>1297</v>
      </c>
      <c r="CZ63" s="643"/>
      <c r="DA63" s="643"/>
      <c r="DB63" s="636" t="s">
        <v>1298</v>
      </c>
      <c r="DC63" s="636" t="s">
        <v>1299</v>
      </c>
      <c r="DD63" s="636" t="s">
        <v>647</v>
      </c>
      <c r="DE63" s="643"/>
    </row>
    <row r="64" spans="2:109" ht="6.75" customHeight="1">
      <c r="B64" s="35"/>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7"/>
      <c r="AH64" s="24"/>
      <c r="AI64" s="24"/>
      <c r="AJ64" s="24"/>
      <c r="AK64" s="24"/>
      <c r="AL64" s="630" t="str">
        <f t="shared" si="0"/>
        <v>Eloxochitlán</v>
      </c>
      <c r="AM64" s="630">
        <f t="shared" si="1"/>
        <v>21061</v>
      </c>
      <c r="AO64" s="24"/>
      <c r="AP64" s="628">
        <v>62</v>
      </c>
      <c r="AQ64" s="642"/>
      <c r="AR64" s="642"/>
      <c r="AS64" s="642"/>
      <c r="AT64" s="642"/>
      <c r="AU64" s="642"/>
      <c r="AV64" s="642"/>
      <c r="AW64" s="634">
        <v>7061</v>
      </c>
      <c r="AX64" s="634">
        <v>8061</v>
      </c>
      <c r="AY64" s="642"/>
      <c r="AZ64" s="642"/>
      <c r="BA64" s="642"/>
      <c r="BB64" s="634">
        <v>12061</v>
      </c>
      <c r="BC64" s="634">
        <v>13061</v>
      </c>
      <c r="BD64" s="634">
        <v>14061</v>
      </c>
      <c r="BE64" s="635">
        <v>15061</v>
      </c>
      <c r="BF64" s="634">
        <v>16061</v>
      </c>
      <c r="BG64" s="642"/>
      <c r="BH64" s="642"/>
      <c r="BI64" s="642"/>
      <c r="BJ64" s="634">
        <v>20061</v>
      </c>
      <c r="BK64" s="634">
        <v>21061</v>
      </c>
      <c r="BL64" s="642"/>
      <c r="BM64" s="642"/>
      <c r="BN64" s="642"/>
      <c r="BO64" s="642"/>
      <c r="BP64" s="634">
        <v>26061</v>
      </c>
      <c r="BQ64" s="642"/>
      <c r="BR64" s="642"/>
      <c r="BS64" s="642">
        <v>29099</v>
      </c>
      <c r="BT64" s="634">
        <v>30061</v>
      </c>
      <c r="BU64" s="634">
        <v>31061</v>
      </c>
      <c r="BV64" s="642"/>
      <c r="BW64" s="24"/>
      <c r="BX64" s="24"/>
      <c r="BY64" s="24"/>
      <c r="BZ64" s="643"/>
      <c r="CA64" s="643"/>
      <c r="CB64" s="643"/>
      <c r="CC64" s="643"/>
      <c r="CD64" s="643"/>
      <c r="CE64" s="643"/>
      <c r="CF64" s="636" t="s">
        <v>1300</v>
      </c>
      <c r="CG64" s="636" t="s">
        <v>1301</v>
      </c>
      <c r="CH64" s="643"/>
      <c r="CI64" s="643"/>
      <c r="CJ64" s="643"/>
      <c r="CK64" s="636" t="s">
        <v>1302</v>
      </c>
      <c r="CL64" s="636" t="s">
        <v>1303</v>
      </c>
      <c r="CM64" s="636" t="s">
        <v>1304</v>
      </c>
      <c r="CN64" s="637" t="s">
        <v>1305</v>
      </c>
      <c r="CO64" s="636" t="s">
        <v>516</v>
      </c>
      <c r="CP64" s="643"/>
      <c r="CQ64" s="643"/>
      <c r="CR64" s="643"/>
      <c r="CS64" s="636" t="s">
        <v>1306</v>
      </c>
      <c r="CT64" s="636" t="s">
        <v>591</v>
      </c>
      <c r="CU64" s="643"/>
      <c r="CV64" s="643"/>
      <c r="CW64" s="643"/>
      <c r="CX64" s="643"/>
      <c r="CY64" s="636" t="s">
        <v>1307</v>
      </c>
      <c r="CZ64" s="643"/>
      <c r="DA64" s="643"/>
      <c r="DB64" s="636" t="s">
        <v>201</v>
      </c>
      <c r="DC64" s="636" t="s">
        <v>1308</v>
      </c>
      <c r="DD64" s="636" t="s">
        <v>1309</v>
      </c>
      <c r="DE64" s="643"/>
    </row>
    <row r="65" spans="2:109" ht="72" customHeight="1">
      <c r="B65" s="35"/>
      <c r="C65" s="731" t="s">
        <v>1310</v>
      </c>
      <c r="D65" s="731"/>
      <c r="E65" s="731"/>
      <c r="F65" s="731"/>
      <c r="G65" s="731"/>
      <c r="H65" s="731"/>
      <c r="I65" s="731"/>
      <c r="J65" s="731"/>
      <c r="K65" s="731"/>
      <c r="L65" s="731"/>
      <c r="M65" s="731"/>
      <c r="N65" s="731"/>
      <c r="O65" s="731"/>
      <c r="P65" s="731"/>
      <c r="Q65" s="731"/>
      <c r="R65" s="731"/>
      <c r="S65" s="731"/>
      <c r="T65" s="731"/>
      <c r="U65" s="731"/>
      <c r="V65" s="731"/>
      <c r="W65" s="731"/>
      <c r="X65" s="731"/>
      <c r="Y65" s="731"/>
      <c r="Z65" s="731"/>
      <c r="AA65" s="731"/>
      <c r="AB65" s="731"/>
      <c r="AC65" s="731"/>
      <c r="AD65" s="37"/>
      <c r="AH65" s="24"/>
      <c r="AI65" s="24"/>
      <c r="AJ65" s="24"/>
      <c r="AK65" s="24"/>
      <c r="AL65" s="630" t="str">
        <f t="shared" si="0"/>
        <v>Epatlán</v>
      </c>
      <c r="AM65" s="630">
        <f t="shared" si="1"/>
        <v>21062</v>
      </c>
      <c r="AO65" s="24"/>
      <c r="AP65" s="628">
        <v>63</v>
      </c>
      <c r="AQ65" s="642"/>
      <c r="AR65" s="642"/>
      <c r="AS65" s="642"/>
      <c r="AT65" s="642"/>
      <c r="AU65" s="642"/>
      <c r="AV65" s="642"/>
      <c r="AW65" s="634">
        <v>7062</v>
      </c>
      <c r="AX65" s="634">
        <v>8062</v>
      </c>
      <c r="AY65" s="642"/>
      <c r="AZ65" s="642"/>
      <c r="BA65" s="642"/>
      <c r="BB65" s="634">
        <v>12062</v>
      </c>
      <c r="BC65" s="634">
        <v>13062</v>
      </c>
      <c r="BD65" s="634">
        <v>14062</v>
      </c>
      <c r="BE65" s="635">
        <v>15062</v>
      </c>
      <c r="BF65" s="634">
        <v>16062</v>
      </c>
      <c r="BG65" s="642"/>
      <c r="BH65" s="642"/>
      <c r="BI65" s="642"/>
      <c r="BJ65" s="634">
        <v>20062</v>
      </c>
      <c r="BK65" s="634">
        <v>21062</v>
      </c>
      <c r="BL65" s="642"/>
      <c r="BM65" s="642"/>
      <c r="BN65" s="642"/>
      <c r="BO65" s="642"/>
      <c r="BP65" s="634">
        <v>26062</v>
      </c>
      <c r="BQ65" s="642"/>
      <c r="BR65" s="642"/>
      <c r="BS65" s="642"/>
      <c r="BT65" s="634">
        <v>30062</v>
      </c>
      <c r="BU65" s="634">
        <v>31062</v>
      </c>
      <c r="BV65" s="642"/>
      <c r="BW65" s="24"/>
      <c r="BX65" s="24"/>
      <c r="BY65" s="24"/>
      <c r="BZ65" s="643"/>
      <c r="CA65" s="643"/>
      <c r="CB65" s="643"/>
      <c r="CC65" s="643"/>
      <c r="CD65" s="643"/>
      <c r="CE65" s="643"/>
      <c r="CF65" s="636" t="s">
        <v>1311</v>
      </c>
      <c r="CG65" s="636" t="s">
        <v>1312</v>
      </c>
      <c r="CH65" s="643"/>
      <c r="CI65" s="643"/>
      <c r="CJ65" s="643"/>
      <c r="CK65" s="636" t="s">
        <v>1313</v>
      </c>
      <c r="CL65" s="636" t="s">
        <v>1314</v>
      </c>
      <c r="CM65" s="636" t="s">
        <v>1315</v>
      </c>
      <c r="CN65" s="637" t="s">
        <v>1316</v>
      </c>
      <c r="CO65" s="636" t="s">
        <v>1317</v>
      </c>
      <c r="CP65" s="643"/>
      <c r="CQ65" s="643"/>
      <c r="CR65" s="643"/>
      <c r="CS65" s="636" t="s">
        <v>1318</v>
      </c>
      <c r="CT65" s="636" t="s">
        <v>1319</v>
      </c>
      <c r="CU65" s="643"/>
      <c r="CV65" s="643"/>
      <c r="CW65" s="643"/>
      <c r="CX65" s="643"/>
      <c r="CY65" s="636" t="s">
        <v>1320</v>
      </c>
      <c r="CZ65" s="643"/>
      <c r="DA65" s="643"/>
      <c r="DB65" s="643"/>
      <c r="DC65" s="636" t="s">
        <v>1321</v>
      </c>
      <c r="DD65" s="636" t="s">
        <v>1322</v>
      </c>
      <c r="DE65" s="643"/>
    </row>
    <row r="66" spans="2:109" ht="6.75" customHeight="1">
      <c r="B66" s="35"/>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7"/>
      <c r="AH66" s="24"/>
      <c r="AI66" s="24"/>
      <c r="AJ66" s="24"/>
      <c r="AK66" s="24"/>
      <c r="AL66" s="630" t="str">
        <f t="shared" si="0"/>
        <v>Esperanza</v>
      </c>
      <c r="AM66" s="630">
        <f t="shared" si="1"/>
        <v>21063</v>
      </c>
      <c r="AO66" s="24"/>
      <c r="AP66" s="628">
        <v>64</v>
      </c>
      <c r="AQ66" s="642"/>
      <c r="AR66" s="642"/>
      <c r="AS66" s="642"/>
      <c r="AT66" s="642"/>
      <c r="AU66" s="642"/>
      <c r="AV66" s="642"/>
      <c r="AW66" s="634">
        <v>7063</v>
      </c>
      <c r="AX66" s="634">
        <v>8063</v>
      </c>
      <c r="AY66" s="642"/>
      <c r="AZ66" s="642"/>
      <c r="BA66" s="642"/>
      <c r="BB66" s="634">
        <v>12063</v>
      </c>
      <c r="BC66" s="634">
        <v>13063</v>
      </c>
      <c r="BD66" s="634">
        <v>14063</v>
      </c>
      <c r="BE66" s="635">
        <v>15063</v>
      </c>
      <c r="BF66" s="634">
        <v>16063</v>
      </c>
      <c r="BG66" s="642"/>
      <c r="BH66" s="642"/>
      <c r="BI66" s="642"/>
      <c r="BJ66" s="634">
        <v>20063</v>
      </c>
      <c r="BK66" s="634">
        <v>21063</v>
      </c>
      <c r="BL66" s="642"/>
      <c r="BM66" s="642"/>
      <c r="BN66" s="642"/>
      <c r="BO66" s="642"/>
      <c r="BP66" s="634">
        <v>26063</v>
      </c>
      <c r="BQ66" s="642"/>
      <c r="BR66" s="642"/>
      <c r="BS66" s="642"/>
      <c r="BT66" s="634">
        <v>30063</v>
      </c>
      <c r="BU66" s="634">
        <v>31063</v>
      </c>
      <c r="BV66" s="642"/>
      <c r="BW66" s="24"/>
      <c r="BX66" s="24"/>
      <c r="BY66" s="24"/>
      <c r="BZ66" s="643"/>
      <c r="CA66" s="643"/>
      <c r="CB66" s="643"/>
      <c r="CC66" s="643"/>
      <c r="CD66" s="643"/>
      <c r="CE66" s="643"/>
      <c r="CF66" s="636" t="s">
        <v>1323</v>
      </c>
      <c r="CG66" s="636" t="s">
        <v>1324</v>
      </c>
      <c r="CH66" s="643"/>
      <c r="CI66" s="643"/>
      <c r="CJ66" s="643"/>
      <c r="CK66" s="636" t="s">
        <v>1325</v>
      </c>
      <c r="CL66" s="636" t="s">
        <v>1326</v>
      </c>
      <c r="CM66" s="636" t="s">
        <v>1327</v>
      </c>
      <c r="CN66" s="637" t="s">
        <v>1328</v>
      </c>
      <c r="CO66" s="636" t="s">
        <v>1329</v>
      </c>
      <c r="CP66" s="643"/>
      <c r="CQ66" s="643"/>
      <c r="CR66" s="643"/>
      <c r="CS66" s="636" t="s">
        <v>1330</v>
      </c>
      <c r="CT66" s="636" t="s">
        <v>1331</v>
      </c>
      <c r="CU66" s="643"/>
      <c r="CV66" s="643"/>
      <c r="CW66" s="643"/>
      <c r="CX66" s="643"/>
      <c r="CY66" s="636" t="s">
        <v>1332</v>
      </c>
      <c r="CZ66" s="643"/>
      <c r="DA66" s="643"/>
      <c r="DB66" s="643"/>
      <c r="DC66" s="636" t="s">
        <v>1333</v>
      </c>
      <c r="DD66" s="636" t="s">
        <v>1334</v>
      </c>
      <c r="DE66" s="643"/>
    </row>
    <row r="67" spans="2:109" ht="15" customHeight="1">
      <c r="B67" s="35"/>
      <c r="C67" s="731" t="s">
        <v>1335</v>
      </c>
      <c r="D67" s="731"/>
      <c r="E67" s="731"/>
      <c r="F67" s="731"/>
      <c r="G67" s="731"/>
      <c r="H67" s="731"/>
      <c r="I67" s="731"/>
      <c r="J67" s="731"/>
      <c r="K67" s="731"/>
      <c r="L67" s="731"/>
      <c r="M67" s="731"/>
      <c r="N67" s="731"/>
      <c r="O67" s="731"/>
      <c r="P67" s="731"/>
      <c r="Q67" s="731"/>
      <c r="R67" s="731"/>
      <c r="S67" s="731"/>
      <c r="T67" s="731"/>
      <c r="U67" s="731"/>
      <c r="V67" s="731"/>
      <c r="W67" s="731"/>
      <c r="X67" s="731"/>
      <c r="Y67" s="731"/>
      <c r="Z67" s="731"/>
      <c r="AA67" s="731"/>
      <c r="AB67" s="731"/>
      <c r="AC67" s="731"/>
      <c r="AD67" s="37"/>
      <c r="AH67" s="24"/>
      <c r="AI67" s="24"/>
      <c r="AJ67" s="24"/>
      <c r="AK67" s="24"/>
      <c r="AL67" s="630" t="str">
        <f t="shared" si="0"/>
        <v>Francisco Z. Mena</v>
      </c>
      <c r="AM67" s="630">
        <f t="shared" si="1"/>
        <v>21064</v>
      </c>
      <c r="AO67" s="24"/>
      <c r="AP67" s="628">
        <v>65</v>
      </c>
      <c r="AQ67" s="642"/>
      <c r="AR67" s="642"/>
      <c r="AS67" s="642"/>
      <c r="AT67" s="642"/>
      <c r="AU67" s="642"/>
      <c r="AV67" s="642"/>
      <c r="AW67" s="634">
        <v>7064</v>
      </c>
      <c r="AX67" s="634">
        <v>8064</v>
      </c>
      <c r="AY67" s="642"/>
      <c r="AZ67" s="642"/>
      <c r="BA67" s="642"/>
      <c r="BB67" s="634">
        <v>12064</v>
      </c>
      <c r="BC67" s="634">
        <v>13064</v>
      </c>
      <c r="BD67" s="634">
        <v>14064</v>
      </c>
      <c r="BE67" s="635">
        <v>15064</v>
      </c>
      <c r="BF67" s="634">
        <v>16064</v>
      </c>
      <c r="BG67" s="642"/>
      <c r="BH67" s="642"/>
      <c r="BI67" s="642"/>
      <c r="BJ67" s="634">
        <v>20064</v>
      </c>
      <c r="BK67" s="634">
        <v>21064</v>
      </c>
      <c r="BL67" s="642"/>
      <c r="BM67" s="642"/>
      <c r="BN67" s="642"/>
      <c r="BO67" s="642"/>
      <c r="BP67" s="634">
        <v>26064</v>
      </c>
      <c r="BQ67" s="642"/>
      <c r="BR67" s="642"/>
      <c r="BS67" s="642"/>
      <c r="BT67" s="634">
        <v>30064</v>
      </c>
      <c r="BU67" s="634">
        <v>31064</v>
      </c>
      <c r="BV67" s="642"/>
      <c r="BW67" s="24"/>
      <c r="BX67" s="24"/>
      <c r="BY67" s="24"/>
      <c r="BZ67" s="643"/>
      <c r="CA67" s="643"/>
      <c r="CB67" s="643"/>
      <c r="CC67" s="643"/>
      <c r="CD67" s="643"/>
      <c r="CE67" s="643"/>
      <c r="CF67" s="636" t="s">
        <v>1336</v>
      </c>
      <c r="CG67" s="636" t="s">
        <v>1337</v>
      </c>
      <c r="CH67" s="643"/>
      <c r="CI67" s="643"/>
      <c r="CJ67" s="643"/>
      <c r="CK67" s="636" t="s">
        <v>1338</v>
      </c>
      <c r="CL67" s="636" t="s">
        <v>1339</v>
      </c>
      <c r="CM67" s="636" t="s">
        <v>1340</v>
      </c>
      <c r="CN67" s="637" t="s">
        <v>543</v>
      </c>
      <c r="CO67" s="636" t="s">
        <v>1341</v>
      </c>
      <c r="CP67" s="643"/>
      <c r="CQ67" s="643"/>
      <c r="CR67" s="643"/>
      <c r="CS67" s="636" t="s">
        <v>1342</v>
      </c>
      <c r="CT67" s="636" t="s">
        <v>1343</v>
      </c>
      <c r="CU67" s="643"/>
      <c r="CV67" s="643"/>
      <c r="CW67" s="643"/>
      <c r="CX67" s="643"/>
      <c r="CY67" s="636" t="s">
        <v>1344</v>
      </c>
      <c r="CZ67" s="643"/>
      <c r="DA67" s="643"/>
      <c r="DB67" s="643"/>
      <c r="DC67" s="636" t="s">
        <v>1345</v>
      </c>
      <c r="DD67" s="636" t="s">
        <v>1346</v>
      </c>
      <c r="DE67" s="643"/>
    </row>
    <row r="68" spans="2:109" ht="6.75" customHeight="1">
      <c r="B68" s="35"/>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7"/>
      <c r="AH68" s="24"/>
      <c r="AI68" s="24"/>
      <c r="AJ68" s="24"/>
      <c r="AK68" s="24"/>
      <c r="AL68" s="630" t="str">
        <f t="shared" ref="AL68:AL131" si="2">IFERROR(IF(HLOOKUP($N$8, $BZ$3:$DE$574, $AP68, FALSE )="", "", HLOOKUP($N$8, $BZ$3:$DE$574, $AP68, FALSE)), "")</f>
        <v>General Felipe Ángeles</v>
      </c>
      <c r="AM68" s="630">
        <f t="shared" ref="AM68:AM131" si="3">IFERROR(IF(AL68="", "", HLOOKUP($N$8, $AQ$3:$BV$574, AP68, FALSE)), "")</f>
        <v>21065</v>
      </c>
      <c r="AO68" s="24"/>
      <c r="AP68" s="628">
        <v>66</v>
      </c>
      <c r="AQ68" s="642"/>
      <c r="AR68" s="642"/>
      <c r="AS68" s="642"/>
      <c r="AT68" s="642"/>
      <c r="AU68" s="642"/>
      <c r="AV68" s="642"/>
      <c r="AW68" s="634">
        <v>7065</v>
      </c>
      <c r="AX68" s="634">
        <v>8065</v>
      </c>
      <c r="AY68" s="642"/>
      <c r="AZ68" s="642"/>
      <c r="BA68" s="642"/>
      <c r="BB68" s="634">
        <v>12065</v>
      </c>
      <c r="BC68" s="634">
        <v>13065</v>
      </c>
      <c r="BD68" s="634">
        <v>14065</v>
      </c>
      <c r="BE68" s="635">
        <v>15065</v>
      </c>
      <c r="BF68" s="634">
        <v>16065</v>
      </c>
      <c r="BG68" s="642"/>
      <c r="BH68" s="642"/>
      <c r="BI68" s="642"/>
      <c r="BJ68" s="634">
        <v>20065</v>
      </c>
      <c r="BK68" s="634">
        <v>21065</v>
      </c>
      <c r="BL68" s="642"/>
      <c r="BM68" s="642"/>
      <c r="BN68" s="642"/>
      <c r="BO68" s="642"/>
      <c r="BP68" s="634">
        <v>26065</v>
      </c>
      <c r="BQ68" s="642"/>
      <c r="BR68" s="642"/>
      <c r="BS68" s="642"/>
      <c r="BT68" s="634">
        <v>30065</v>
      </c>
      <c r="BU68" s="634">
        <v>31065</v>
      </c>
      <c r="BV68" s="642"/>
      <c r="BW68" s="24"/>
      <c r="BX68" s="24"/>
      <c r="BY68" s="24"/>
      <c r="BZ68" s="643"/>
      <c r="CA68" s="643"/>
      <c r="CB68" s="643"/>
      <c r="CC68" s="643"/>
      <c r="CD68" s="643"/>
      <c r="CE68" s="643"/>
      <c r="CF68" s="636" t="s">
        <v>1347</v>
      </c>
      <c r="CG68" s="636" t="s">
        <v>1348</v>
      </c>
      <c r="CH68" s="643"/>
      <c r="CI68" s="643"/>
      <c r="CJ68" s="643"/>
      <c r="CK68" s="636" t="s">
        <v>1349</v>
      </c>
      <c r="CL68" s="636" t="s">
        <v>1350</v>
      </c>
      <c r="CM68" s="636" t="s">
        <v>1351</v>
      </c>
      <c r="CN68" s="637" t="s">
        <v>1352</v>
      </c>
      <c r="CO68" s="636" t="s">
        <v>1353</v>
      </c>
      <c r="CP68" s="643"/>
      <c r="CQ68" s="643"/>
      <c r="CR68" s="643"/>
      <c r="CS68" s="636" t="s">
        <v>1354</v>
      </c>
      <c r="CT68" s="636" t="s">
        <v>1355</v>
      </c>
      <c r="CU68" s="643"/>
      <c r="CV68" s="643"/>
      <c r="CW68" s="643"/>
      <c r="CX68" s="643"/>
      <c r="CY68" s="636" t="s">
        <v>1356</v>
      </c>
      <c r="CZ68" s="643"/>
      <c r="DA68" s="643"/>
      <c r="DB68" s="643"/>
      <c r="DC68" s="636" t="s">
        <v>258</v>
      </c>
      <c r="DD68" s="636" t="s">
        <v>234</v>
      </c>
      <c r="DE68" s="643"/>
    </row>
    <row r="69" spans="2:109" ht="192" customHeight="1">
      <c r="B69" s="35"/>
      <c r="C69" s="38"/>
      <c r="D69" s="731" t="s">
        <v>1357</v>
      </c>
      <c r="E69" s="731"/>
      <c r="F69" s="731"/>
      <c r="G69" s="731"/>
      <c r="H69" s="731"/>
      <c r="I69" s="731"/>
      <c r="J69" s="731"/>
      <c r="K69" s="731"/>
      <c r="L69" s="731"/>
      <c r="M69" s="731"/>
      <c r="N69" s="731"/>
      <c r="O69" s="731"/>
      <c r="P69" s="731"/>
      <c r="Q69" s="731"/>
      <c r="R69" s="731"/>
      <c r="S69" s="731"/>
      <c r="T69" s="731"/>
      <c r="U69" s="731"/>
      <c r="V69" s="731"/>
      <c r="W69" s="731"/>
      <c r="X69" s="731"/>
      <c r="Y69" s="731"/>
      <c r="Z69" s="731"/>
      <c r="AA69" s="731"/>
      <c r="AB69" s="731"/>
      <c r="AC69" s="731"/>
      <c r="AD69" s="37"/>
      <c r="AH69" s="24"/>
      <c r="AI69" s="24"/>
      <c r="AJ69" s="24"/>
      <c r="AK69" s="24"/>
      <c r="AL69" s="630" t="str">
        <f t="shared" si="2"/>
        <v>Guadalupe</v>
      </c>
      <c r="AM69" s="630">
        <f t="shared" si="3"/>
        <v>21066</v>
      </c>
      <c r="AO69" s="24"/>
      <c r="AP69" s="628">
        <v>67</v>
      </c>
      <c r="AQ69" s="642"/>
      <c r="AR69" s="642"/>
      <c r="AS69" s="642"/>
      <c r="AT69" s="642"/>
      <c r="AU69" s="642"/>
      <c r="AV69" s="642"/>
      <c r="AW69" s="634">
        <v>7066</v>
      </c>
      <c r="AX69" s="634">
        <v>8066</v>
      </c>
      <c r="AY69" s="642"/>
      <c r="AZ69" s="642"/>
      <c r="BA69" s="642"/>
      <c r="BB69" s="634">
        <v>12066</v>
      </c>
      <c r="BC69" s="634">
        <v>13066</v>
      </c>
      <c r="BD69" s="634">
        <v>14066</v>
      </c>
      <c r="BE69" s="635">
        <v>15066</v>
      </c>
      <c r="BF69" s="634">
        <v>16066</v>
      </c>
      <c r="BG69" s="642"/>
      <c r="BH69" s="642"/>
      <c r="BI69" s="642"/>
      <c r="BJ69" s="634">
        <v>20066</v>
      </c>
      <c r="BK69" s="634">
        <v>21066</v>
      </c>
      <c r="BL69" s="642"/>
      <c r="BM69" s="642"/>
      <c r="BN69" s="642"/>
      <c r="BO69" s="642"/>
      <c r="BP69" s="634">
        <v>26066</v>
      </c>
      <c r="BQ69" s="642"/>
      <c r="BR69" s="642"/>
      <c r="BS69" s="642"/>
      <c r="BT69" s="634">
        <v>30066</v>
      </c>
      <c r="BU69" s="634">
        <v>31066</v>
      </c>
      <c r="BV69" s="642"/>
      <c r="BW69" s="24"/>
      <c r="BX69" s="24"/>
      <c r="BY69" s="24"/>
      <c r="BZ69" s="643"/>
      <c r="CA69" s="643"/>
      <c r="CB69" s="643"/>
      <c r="CC69" s="643"/>
      <c r="CD69" s="643"/>
      <c r="CE69" s="643"/>
      <c r="CF69" s="636" t="s">
        <v>1358</v>
      </c>
      <c r="CG69" s="636" t="s">
        <v>1359</v>
      </c>
      <c r="CH69" s="643"/>
      <c r="CI69" s="643"/>
      <c r="CJ69" s="643"/>
      <c r="CK69" s="636" t="s">
        <v>1360</v>
      </c>
      <c r="CL69" s="636" t="s">
        <v>1361</v>
      </c>
      <c r="CM69" s="636" t="s">
        <v>1362</v>
      </c>
      <c r="CN69" s="637" t="s">
        <v>1363</v>
      </c>
      <c r="CO69" s="636" t="s">
        <v>1364</v>
      </c>
      <c r="CP69" s="643"/>
      <c r="CQ69" s="643"/>
      <c r="CR69" s="643"/>
      <c r="CS69" s="636" t="s">
        <v>1365</v>
      </c>
      <c r="CT69" s="636" t="s">
        <v>537</v>
      </c>
      <c r="CU69" s="643"/>
      <c r="CV69" s="643"/>
      <c r="CW69" s="643"/>
      <c r="CX69" s="643"/>
      <c r="CY69" s="636" t="s">
        <v>1366</v>
      </c>
      <c r="CZ69" s="643"/>
      <c r="DA69" s="643"/>
      <c r="DB69" s="643"/>
      <c r="DC69" s="636" t="s">
        <v>1367</v>
      </c>
      <c r="DD69" s="636" t="s">
        <v>1368</v>
      </c>
      <c r="DE69" s="643"/>
    </row>
    <row r="70" spans="2:109" ht="6.75" customHeight="1">
      <c r="B70" s="35"/>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7"/>
      <c r="AH70" s="24"/>
      <c r="AI70" s="24"/>
      <c r="AJ70" s="24"/>
      <c r="AK70" s="24"/>
      <c r="AL70" s="630" t="str">
        <f t="shared" si="2"/>
        <v>Guadalupe Victoria</v>
      </c>
      <c r="AM70" s="630">
        <f t="shared" si="3"/>
        <v>21067</v>
      </c>
      <c r="AO70" s="24"/>
      <c r="AP70" s="628">
        <v>68</v>
      </c>
      <c r="AQ70" s="642"/>
      <c r="AR70" s="642"/>
      <c r="AS70" s="642"/>
      <c r="AT70" s="642"/>
      <c r="AU70" s="642"/>
      <c r="AV70" s="642"/>
      <c r="AW70" s="634">
        <v>7067</v>
      </c>
      <c r="AX70" s="634">
        <v>8067</v>
      </c>
      <c r="AY70" s="642"/>
      <c r="AZ70" s="642"/>
      <c r="BA70" s="642"/>
      <c r="BB70" s="634">
        <v>12067</v>
      </c>
      <c r="BC70" s="634">
        <v>13067</v>
      </c>
      <c r="BD70" s="634">
        <v>14067</v>
      </c>
      <c r="BE70" s="635">
        <v>15067</v>
      </c>
      <c r="BF70" s="634">
        <v>16067</v>
      </c>
      <c r="BG70" s="642"/>
      <c r="BH70" s="642"/>
      <c r="BI70" s="642"/>
      <c r="BJ70" s="634">
        <v>20067</v>
      </c>
      <c r="BK70" s="634">
        <v>21067</v>
      </c>
      <c r="BL70" s="642"/>
      <c r="BM70" s="642"/>
      <c r="BN70" s="642"/>
      <c r="BO70" s="642"/>
      <c r="BP70" s="634">
        <v>26067</v>
      </c>
      <c r="BQ70" s="642"/>
      <c r="BR70" s="642"/>
      <c r="BS70" s="642"/>
      <c r="BT70" s="634">
        <v>30067</v>
      </c>
      <c r="BU70" s="634">
        <v>31067</v>
      </c>
      <c r="BV70" s="642"/>
      <c r="BW70" s="24"/>
      <c r="BX70" s="24"/>
      <c r="BY70" s="24"/>
      <c r="BZ70" s="643"/>
      <c r="CA70" s="643"/>
      <c r="CB70" s="643"/>
      <c r="CC70" s="643"/>
      <c r="CD70" s="643"/>
      <c r="CE70" s="643"/>
      <c r="CF70" s="636" t="s">
        <v>1369</v>
      </c>
      <c r="CG70" s="636" t="s">
        <v>1370</v>
      </c>
      <c r="CH70" s="643"/>
      <c r="CI70" s="643"/>
      <c r="CJ70" s="643"/>
      <c r="CK70" s="636" t="s">
        <v>1371</v>
      </c>
      <c r="CL70" s="636" t="s">
        <v>1372</v>
      </c>
      <c r="CM70" s="636" t="s">
        <v>1373</v>
      </c>
      <c r="CN70" s="637" t="s">
        <v>1374</v>
      </c>
      <c r="CO70" s="636" t="s">
        <v>1375</v>
      </c>
      <c r="CP70" s="643"/>
      <c r="CQ70" s="643"/>
      <c r="CR70" s="643"/>
      <c r="CS70" s="636" t="s">
        <v>1376</v>
      </c>
      <c r="CT70" s="636" t="s">
        <v>274</v>
      </c>
      <c r="CU70" s="643"/>
      <c r="CV70" s="643"/>
      <c r="CW70" s="643"/>
      <c r="CX70" s="643"/>
      <c r="CY70" s="636" t="s">
        <v>963</v>
      </c>
      <c r="CZ70" s="643"/>
      <c r="DA70" s="643"/>
      <c r="DB70" s="643"/>
      <c r="DC70" s="636" t="s">
        <v>1377</v>
      </c>
      <c r="DD70" s="636" t="s">
        <v>1378</v>
      </c>
      <c r="DE70" s="643"/>
    </row>
    <row r="71" spans="2:109" ht="60" customHeight="1">
      <c r="B71" s="35"/>
      <c r="C71" s="731" t="s">
        <v>1379</v>
      </c>
      <c r="D71" s="731"/>
      <c r="E71" s="731"/>
      <c r="F71" s="731"/>
      <c r="G71" s="731"/>
      <c r="H71" s="731"/>
      <c r="I71" s="731"/>
      <c r="J71" s="731"/>
      <c r="K71" s="731"/>
      <c r="L71" s="731"/>
      <c r="M71" s="731"/>
      <c r="N71" s="731"/>
      <c r="O71" s="731"/>
      <c r="P71" s="731"/>
      <c r="Q71" s="731"/>
      <c r="R71" s="731"/>
      <c r="S71" s="731"/>
      <c r="T71" s="731"/>
      <c r="U71" s="731"/>
      <c r="V71" s="731"/>
      <c r="W71" s="731"/>
      <c r="X71" s="731"/>
      <c r="Y71" s="731"/>
      <c r="Z71" s="731"/>
      <c r="AA71" s="731"/>
      <c r="AB71" s="731"/>
      <c r="AC71" s="731"/>
      <c r="AD71" s="37"/>
      <c r="AH71" s="24"/>
      <c r="AI71" s="24"/>
      <c r="AJ71" s="24"/>
      <c r="AK71" s="24"/>
      <c r="AL71" s="630" t="str">
        <f t="shared" si="2"/>
        <v>Hermenegildo Galeana</v>
      </c>
      <c r="AM71" s="630">
        <f t="shared" si="3"/>
        <v>21068</v>
      </c>
      <c r="AO71" s="24"/>
      <c r="AP71" s="628">
        <v>69</v>
      </c>
      <c r="AQ71" s="642"/>
      <c r="AR71" s="642"/>
      <c r="AS71" s="642"/>
      <c r="AT71" s="642"/>
      <c r="AU71" s="642"/>
      <c r="AV71" s="642"/>
      <c r="AW71" s="634">
        <v>7068</v>
      </c>
      <c r="AX71" s="646">
        <v>8099</v>
      </c>
      <c r="AY71" s="642"/>
      <c r="AZ71" s="642"/>
      <c r="BA71" s="642"/>
      <c r="BB71" s="634">
        <v>12068</v>
      </c>
      <c r="BC71" s="634">
        <v>13068</v>
      </c>
      <c r="BD71" s="634">
        <v>14068</v>
      </c>
      <c r="BE71" s="635">
        <v>15068</v>
      </c>
      <c r="BF71" s="634">
        <v>16068</v>
      </c>
      <c r="BG71" s="642"/>
      <c r="BH71" s="642"/>
      <c r="BI71" s="642"/>
      <c r="BJ71" s="634">
        <v>20068</v>
      </c>
      <c r="BK71" s="634">
        <v>21068</v>
      </c>
      <c r="BL71" s="642"/>
      <c r="BM71" s="642"/>
      <c r="BN71" s="642"/>
      <c r="BO71" s="642"/>
      <c r="BP71" s="634">
        <v>26068</v>
      </c>
      <c r="BQ71" s="642"/>
      <c r="BR71" s="642"/>
      <c r="BS71" s="642"/>
      <c r="BT71" s="634">
        <v>30068</v>
      </c>
      <c r="BU71" s="634">
        <v>31068</v>
      </c>
      <c r="BV71" s="642"/>
      <c r="BW71" s="24"/>
      <c r="BX71" s="24"/>
      <c r="BY71" s="24"/>
      <c r="BZ71" s="643"/>
      <c r="CA71" s="643"/>
      <c r="CB71" s="643"/>
      <c r="CC71" s="643"/>
      <c r="CD71" s="643"/>
      <c r="CE71" s="643"/>
      <c r="CF71" s="636" t="s">
        <v>1380</v>
      </c>
      <c r="CG71" s="636" t="s">
        <v>201</v>
      </c>
      <c r="CH71" s="643"/>
      <c r="CI71" s="643"/>
      <c r="CJ71" s="643"/>
      <c r="CK71" s="636" t="s">
        <v>1381</v>
      </c>
      <c r="CL71" s="636" t="s">
        <v>1382</v>
      </c>
      <c r="CM71" s="636" t="s">
        <v>1383</v>
      </c>
      <c r="CN71" s="637" t="s">
        <v>1384</v>
      </c>
      <c r="CO71" s="636" t="s">
        <v>1385</v>
      </c>
      <c r="CP71" s="643"/>
      <c r="CQ71" s="643"/>
      <c r="CR71" s="643"/>
      <c r="CS71" s="636" t="s">
        <v>1386</v>
      </c>
      <c r="CT71" s="636" t="s">
        <v>1387</v>
      </c>
      <c r="CU71" s="643"/>
      <c r="CV71" s="643"/>
      <c r="CW71" s="643"/>
      <c r="CX71" s="643"/>
      <c r="CY71" s="636" t="s">
        <v>1388</v>
      </c>
      <c r="CZ71" s="643"/>
      <c r="DA71" s="643"/>
      <c r="DB71" s="643"/>
      <c r="DC71" s="636" t="s">
        <v>1389</v>
      </c>
      <c r="DD71" s="636" t="s">
        <v>1390</v>
      </c>
      <c r="DE71" s="643"/>
    </row>
    <row r="72" spans="2:109" ht="6.75" customHeight="1">
      <c r="B72" s="35"/>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7"/>
      <c r="AH72" s="24"/>
      <c r="AI72" s="24"/>
      <c r="AJ72" s="24"/>
      <c r="AK72" s="24"/>
      <c r="AL72" s="630" t="str">
        <f t="shared" si="2"/>
        <v>Huaquechula</v>
      </c>
      <c r="AM72" s="630">
        <f t="shared" si="3"/>
        <v>21069</v>
      </c>
      <c r="AO72" s="24"/>
      <c r="AP72" s="628">
        <v>70</v>
      </c>
      <c r="AQ72" s="642"/>
      <c r="AR72" s="642"/>
      <c r="AS72" s="642"/>
      <c r="AT72" s="642"/>
      <c r="AU72" s="642"/>
      <c r="AV72" s="642"/>
      <c r="AW72" s="634">
        <v>7069</v>
      </c>
      <c r="AX72" s="642"/>
      <c r="AY72" s="642"/>
      <c r="AZ72" s="642"/>
      <c r="BA72" s="642"/>
      <c r="BB72" s="634">
        <v>12069</v>
      </c>
      <c r="BC72" s="634">
        <v>13069</v>
      </c>
      <c r="BD72" s="634">
        <v>14069</v>
      </c>
      <c r="BE72" s="635">
        <v>15069</v>
      </c>
      <c r="BF72" s="634">
        <v>16069</v>
      </c>
      <c r="BG72" s="642"/>
      <c r="BH72" s="642"/>
      <c r="BI72" s="642"/>
      <c r="BJ72" s="634">
        <v>20069</v>
      </c>
      <c r="BK72" s="634">
        <v>21069</v>
      </c>
      <c r="BL72" s="642"/>
      <c r="BM72" s="642"/>
      <c r="BN72" s="642"/>
      <c r="BO72" s="642"/>
      <c r="BP72" s="634">
        <v>26069</v>
      </c>
      <c r="BQ72" s="642"/>
      <c r="BR72" s="642"/>
      <c r="BS72" s="642"/>
      <c r="BT72" s="634">
        <v>30069</v>
      </c>
      <c r="BU72" s="634">
        <v>31069</v>
      </c>
      <c r="BV72" s="642"/>
      <c r="BW72" s="24"/>
      <c r="BX72" s="24"/>
      <c r="BY72" s="24"/>
      <c r="BZ72" s="643"/>
      <c r="CA72" s="643"/>
      <c r="CB72" s="643"/>
      <c r="CC72" s="643"/>
      <c r="CD72" s="643"/>
      <c r="CE72" s="643"/>
      <c r="CF72" s="636" t="s">
        <v>1391</v>
      </c>
      <c r="CG72" s="643"/>
      <c r="CH72" s="643"/>
      <c r="CI72" s="643"/>
      <c r="CJ72" s="643"/>
      <c r="CK72" s="636" t="s">
        <v>1392</v>
      </c>
      <c r="CL72" s="636" t="s">
        <v>1393</v>
      </c>
      <c r="CM72" s="636" t="s">
        <v>1394</v>
      </c>
      <c r="CN72" s="637" t="s">
        <v>1395</v>
      </c>
      <c r="CO72" s="636" t="s">
        <v>1396</v>
      </c>
      <c r="CP72" s="643"/>
      <c r="CQ72" s="643"/>
      <c r="CR72" s="643"/>
      <c r="CS72" s="636" t="s">
        <v>1397</v>
      </c>
      <c r="CT72" s="636" t="s">
        <v>1398</v>
      </c>
      <c r="CU72" s="643"/>
      <c r="CV72" s="643"/>
      <c r="CW72" s="643"/>
      <c r="CX72" s="643"/>
      <c r="CY72" s="636" t="s">
        <v>1399</v>
      </c>
      <c r="CZ72" s="643"/>
      <c r="DA72" s="643"/>
      <c r="DB72" s="643"/>
      <c r="DC72" s="636" t="s">
        <v>1400</v>
      </c>
      <c r="DD72" s="636" t="s">
        <v>1401</v>
      </c>
      <c r="DE72" s="643"/>
    </row>
    <row r="73" spans="2:109" ht="60" customHeight="1">
      <c r="B73" s="35"/>
      <c r="C73" s="731" t="s">
        <v>1402</v>
      </c>
      <c r="D73" s="731"/>
      <c r="E73" s="731"/>
      <c r="F73" s="731"/>
      <c r="G73" s="731"/>
      <c r="H73" s="731"/>
      <c r="I73" s="731"/>
      <c r="J73" s="731"/>
      <c r="K73" s="731"/>
      <c r="L73" s="731"/>
      <c r="M73" s="731"/>
      <c r="N73" s="731"/>
      <c r="O73" s="731"/>
      <c r="P73" s="731"/>
      <c r="Q73" s="731"/>
      <c r="R73" s="731"/>
      <c r="S73" s="731"/>
      <c r="T73" s="731"/>
      <c r="U73" s="731"/>
      <c r="V73" s="731"/>
      <c r="W73" s="731"/>
      <c r="X73" s="731"/>
      <c r="Y73" s="731"/>
      <c r="Z73" s="731"/>
      <c r="AA73" s="731"/>
      <c r="AB73" s="731"/>
      <c r="AC73" s="731"/>
      <c r="AD73" s="37"/>
      <c r="AH73" s="24"/>
      <c r="AI73" s="24"/>
      <c r="AJ73" s="24"/>
      <c r="AK73" s="24"/>
      <c r="AL73" s="630" t="str">
        <f t="shared" si="2"/>
        <v>Huatlatlauca</v>
      </c>
      <c r="AM73" s="630">
        <f t="shared" si="3"/>
        <v>21070</v>
      </c>
      <c r="AO73" s="24"/>
      <c r="AP73" s="628">
        <v>71</v>
      </c>
      <c r="AQ73" s="642"/>
      <c r="AR73" s="642"/>
      <c r="AS73" s="642"/>
      <c r="AT73" s="642"/>
      <c r="AU73" s="642"/>
      <c r="AV73" s="642"/>
      <c r="AW73" s="634">
        <v>7070</v>
      </c>
      <c r="AX73" s="642"/>
      <c r="AY73" s="642"/>
      <c r="AZ73" s="642"/>
      <c r="BA73" s="642"/>
      <c r="BB73" s="634">
        <v>12070</v>
      </c>
      <c r="BC73" s="634">
        <v>13070</v>
      </c>
      <c r="BD73" s="634">
        <v>14070</v>
      </c>
      <c r="BE73" s="635">
        <v>15070</v>
      </c>
      <c r="BF73" s="634">
        <v>16070</v>
      </c>
      <c r="BG73" s="642"/>
      <c r="BH73" s="642"/>
      <c r="BI73" s="642"/>
      <c r="BJ73" s="634">
        <v>20070</v>
      </c>
      <c r="BK73" s="634">
        <v>21070</v>
      </c>
      <c r="BL73" s="642"/>
      <c r="BM73" s="642"/>
      <c r="BN73" s="642"/>
      <c r="BO73" s="642"/>
      <c r="BP73" s="634">
        <v>26070</v>
      </c>
      <c r="BQ73" s="642"/>
      <c r="BR73" s="642"/>
      <c r="BS73" s="642"/>
      <c r="BT73" s="634">
        <v>30070</v>
      </c>
      <c r="BU73" s="634">
        <v>31070</v>
      </c>
      <c r="BV73" s="642"/>
      <c r="BW73" s="24"/>
      <c r="BX73" s="24"/>
      <c r="BY73" s="24"/>
      <c r="BZ73" s="643"/>
      <c r="CA73" s="643"/>
      <c r="CB73" s="643"/>
      <c r="CC73" s="643"/>
      <c r="CD73" s="643"/>
      <c r="CE73" s="643"/>
      <c r="CF73" s="636" t="s">
        <v>1403</v>
      </c>
      <c r="CG73" s="643"/>
      <c r="CH73" s="643"/>
      <c r="CI73" s="643"/>
      <c r="CJ73" s="643"/>
      <c r="CK73" s="636" t="s">
        <v>1404</v>
      </c>
      <c r="CL73" s="636" t="s">
        <v>1405</v>
      </c>
      <c r="CM73" s="636" t="s">
        <v>1406</v>
      </c>
      <c r="CN73" s="637" t="s">
        <v>110</v>
      </c>
      <c r="CO73" s="636" t="s">
        <v>1407</v>
      </c>
      <c r="CP73" s="643"/>
      <c r="CQ73" s="643"/>
      <c r="CR73" s="643"/>
      <c r="CS73" s="636" t="s">
        <v>1408</v>
      </c>
      <c r="CT73" s="636" t="s">
        <v>1409</v>
      </c>
      <c r="CU73" s="643"/>
      <c r="CV73" s="643"/>
      <c r="CW73" s="643"/>
      <c r="CX73" s="643"/>
      <c r="CY73" s="636" t="s">
        <v>1410</v>
      </c>
      <c r="CZ73" s="643"/>
      <c r="DA73" s="643"/>
      <c r="DB73" s="643"/>
      <c r="DC73" s="636" t="s">
        <v>1411</v>
      </c>
      <c r="DD73" s="636" t="s">
        <v>1412</v>
      </c>
      <c r="DE73" s="643"/>
    </row>
    <row r="74" spans="2:109" ht="6.75" customHeight="1">
      <c r="B74" s="35"/>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7"/>
      <c r="AH74" s="24"/>
      <c r="AI74" s="24"/>
      <c r="AJ74" s="24"/>
      <c r="AK74" s="24"/>
      <c r="AL74" s="630" t="str">
        <f t="shared" si="2"/>
        <v>Huauchinango</v>
      </c>
      <c r="AM74" s="630">
        <f t="shared" si="3"/>
        <v>21071</v>
      </c>
      <c r="AO74" s="24"/>
      <c r="AP74" s="628">
        <v>72</v>
      </c>
      <c r="AQ74" s="642"/>
      <c r="AR74" s="642"/>
      <c r="AS74" s="642"/>
      <c r="AT74" s="642"/>
      <c r="AU74" s="642"/>
      <c r="AV74" s="642"/>
      <c r="AW74" s="634">
        <v>7071</v>
      </c>
      <c r="AX74" s="642"/>
      <c r="AY74" s="642"/>
      <c r="AZ74" s="642"/>
      <c r="BA74" s="642"/>
      <c r="BB74" s="634">
        <v>12071</v>
      </c>
      <c r="BC74" s="634">
        <v>13071</v>
      </c>
      <c r="BD74" s="634">
        <v>14071</v>
      </c>
      <c r="BE74" s="635">
        <v>15071</v>
      </c>
      <c r="BF74" s="634">
        <v>16071</v>
      </c>
      <c r="BG74" s="642"/>
      <c r="BH74" s="642"/>
      <c r="BI74" s="642"/>
      <c r="BJ74" s="634">
        <v>20071</v>
      </c>
      <c r="BK74" s="634">
        <v>21071</v>
      </c>
      <c r="BL74" s="642"/>
      <c r="BM74" s="642"/>
      <c r="BN74" s="642"/>
      <c r="BO74" s="642"/>
      <c r="BP74" s="634">
        <v>26071</v>
      </c>
      <c r="BQ74" s="642"/>
      <c r="BR74" s="642"/>
      <c r="BS74" s="642"/>
      <c r="BT74" s="634">
        <v>30071</v>
      </c>
      <c r="BU74" s="634">
        <v>31071</v>
      </c>
      <c r="BV74" s="642"/>
      <c r="BW74" s="24"/>
      <c r="BX74" s="24"/>
      <c r="BY74" s="24"/>
      <c r="BZ74" s="643"/>
      <c r="CA74" s="643"/>
      <c r="CB74" s="643"/>
      <c r="CC74" s="643"/>
      <c r="CD74" s="643"/>
      <c r="CE74" s="643"/>
      <c r="CF74" s="636" t="s">
        <v>1413</v>
      </c>
      <c r="CG74" s="643"/>
      <c r="CH74" s="643"/>
      <c r="CI74" s="643"/>
      <c r="CJ74" s="643"/>
      <c r="CK74" s="636" t="s">
        <v>1414</v>
      </c>
      <c r="CL74" s="636" t="s">
        <v>1415</v>
      </c>
      <c r="CM74" s="636" t="s">
        <v>1416</v>
      </c>
      <c r="CN74" s="637" t="s">
        <v>1417</v>
      </c>
      <c r="CO74" s="636" t="s">
        <v>1418</v>
      </c>
      <c r="CP74" s="643"/>
      <c r="CQ74" s="643"/>
      <c r="CR74" s="643"/>
      <c r="CS74" s="636" t="s">
        <v>1419</v>
      </c>
      <c r="CT74" s="636" t="s">
        <v>1420</v>
      </c>
      <c r="CU74" s="643"/>
      <c r="CV74" s="643"/>
      <c r="CW74" s="643"/>
      <c r="CX74" s="643"/>
      <c r="CY74" s="636" t="s">
        <v>167</v>
      </c>
      <c r="CZ74" s="643"/>
      <c r="DA74" s="643"/>
      <c r="DB74" s="643"/>
      <c r="DC74" s="636" t="s">
        <v>1421</v>
      </c>
      <c r="DD74" s="636" t="s">
        <v>1422</v>
      </c>
      <c r="DE74" s="643"/>
    </row>
    <row r="75" spans="2:109" ht="36" customHeight="1">
      <c r="B75" s="35"/>
      <c r="C75" s="731" t="s">
        <v>1423</v>
      </c>
      <c r="D75" s="731"/>
      <c r="E75" s="731"/>
      <c r="F75" s="731"/>
      <c r="G75" s="731"/>
      <c r="H75" s="731"/>
      <c r="I75" s="731"/>
      <c r="J75" s="731"/>
      <c r="K75" s="731"/>
      <c r="L75" s="731"/>
      <c r="M75" s="731"/>
      <c r="N75" s="731"/>
      <c r="O75" s="731"/>
      <c r="P75" s="731"/>
      <c r="Q75" s="731"/>
      <c r="R75" s="731"/>
      <c r="S75" s="731"/>
      <c r="T75" s="731"/>
      <c r="U75" s="731"/>
      <c r="V75" s="731"/>
      <c r="W75" s="731"/>
      <c r="X75" s="731"/>
      <c r="Y75" s="731"/>
      <c r="Z75" s="731"/>
      <c r="AA75" s="731"/>
      <c r="AB75" s="731"/>
      <c r="AC75" s="731"/>
      <c r="AD75" s="37"/>
      <c r="AH75" s="24"/>
      <c r="AI75" s="24"/>
      <c r="AJ75" s="24"/>
      <c r="AK75" s="24"/>
      <c r="AL75" s="630" t="str">
        <f t="shared" si="2"/>
        <v>Huehuetla</v>
      </c>
      <c r="AM75" s="630">
        <f t="shared" si="3"/>
        <v>21072</v>
      </c>
      <c r="AO75" s="24"/>
      <c r="AP75" s="628">
        <v>73</v>
      </c>
      <c r="AQ75" s="642"/>
      <c r="AR75" s="642"/>
      <c r="AS75" s="642"/>
      <c r="AT75" s="642"/>
      <c r="AU75" s="642"/>
      <c r="AV75" s="642"/>
      <c r="AW75" s="634">
        <v>7072</v>
      </c>
      <c r="AX75" s="642"/>
      <c r="AY75" s="642"/>
      <c r="AZ75" s="642"/>
      <c r="BA75" s="642"/>
      <c r="BB75" s="634">
        <v>12072</v>
      </c>
      <c r="BC75" s="634">
        <v>13072</v>
      </c>
      <c r="BD75" s="634">
        <v>14072</v>
      </c>
      <c r="BE75" s="635">
        <v>15072</v>
      </c>
      <c r="BF75" s="634">
        <v>16072</v>
      </c>
      <c r="BG75" s="642"/>
      <c r="BH75" s="642"/>
      <c r="BI75" s="642"/>
      <c r="BJ75" s="634">
        <v>20072</v>
      </c>
      <c r="BK75" s="634">
        <v>21072</v>
      </c>
      <c r="BL75" s="642"/>
      <c r="BM75" s="642"/>
      <c r="BN75" s="642"/>
      <c r="BO75" s="642"/>
      <c r="BP75" s="634">
        <v>26072</v>
      </c>
      <c r="BQ75" s="642"/>
      <c r="BR75" s="642"/>
      <c r="BS75" s="642"/>
      <c r="BT75" s="634">
        <v>30072</v>
      </c>
      <c r="BU75" s="634">
        <v>31072</v>
      </c>
      <c r="BV75" s="642"/>
      <c r="BW75" s="24"/>
      <c r="BX75" s="24"/>
      <c r="BY75" s="24"/>
      <c r="BZ75" s="643"/>
      <c r="CA75" s="643"/>
      <c r="CB75" s="643"/>
      <c r="CC75" s="643"/>
      <c r="CD75" s="643"/>
      <c r="CE75" s="643"/>
      <c r="CF75" s="636" t="s">
        <v>1424</v>
      </c>
      <c r="CG75" s="643"/>
      <c r="CH75" s="643"/>
      <c r="CI75" s="643"/>
      <c r="CJ75" s="643"/>
      <c r="CK75" s="636" t="s">
        <v>1425</v>
      </c>
      <c r="CL75" s="636" t="s">
        <v>1426</v>
      </c>
      <c r="CM75" s="636" t="s">
        <v>1427</v>
      </c>
      <c r="CN75" s="637" t="s">
        <v>659</v>
      </c>
      <c r="CO75" s="636" t="s">
        <v>1428</v>
      </c>
      <c r="CP75" s="643"/>
      <c r="CQ75" s="643"/>
      <c r="CR75" s="643"/>
      <c r="CS75" s="636" t="s">
        <v>1429</v>
      </c>
      <c r="CT75" s="636" t="s">
        <v>735</v>
      </c>
      <c r="CU75" s="643"/>
      <c r="CV75" s="643"/>
      <c r="CW75" s="643"/>
      <c r="CX75" s="643"/>
      <c r="CY75" s="636" t="s">
        <v>1430</v>
      </c>
      <c r="CZ75" s="643"/>
      <c r="DA75" s="643"/>
      <c r="DB75" s="643"/>
      <c r="DC75" s="636" t="s">
        <v>1431</v>
      </c>
      <c r="DD75" s="636" t="s">
        <v>1432</v>
      </c>
      <c r="DE75" s="643"/>
    </row>
    <row r="76" spans="2:109" ht="15" customHeight="1" thickBot="1">
      <c r="B76" s="39"/>
      <c r="C76" s="40"/>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1"/>
      <c r="AH76" s="24"/>
      <c r="AI76" s="24"/>
      <c r="AJ76" s="24"/>
      <c r="AK76" s="24"/>
      <c r="AL76" s="630" t="str">
        <f t="shared" si="2"/>
        <v>Huehuetlán el Chico</v>
      </c>
      <c r="AM76" s="630">
        <f t="shared" si="3"/>
        <v>21073</v>
      </c>
      <c r="AO76" s="24"/>
      <c r="AP76" s="628">
        <v>74</v>
      </c>
      <c r="AQ76" s="642"/>
      <c r="AR76" s="642"/>
      <c r="AS76" s="642"/>
      <c r="AT76" s="642"/>
      <c r="AU76" s="642"/>
      <c r="AV76" s="642"/>
      <c r="AW76" s="634">
        <v>7073</v>
      </c>
      <c r="AX76" s="642"/>
      <c r="AY76" s="642"/>
      <c r="AZ76" s="642"/>
      <c r="BA76" s="642"/>
      <c r="BB76" s="634">
        <v>12073</v>
      </c>
      <c r="BC76" s="634">
        <v>13073</v>
      </c>
      <c r="BD76" s="634">
        <v>14073</v>
      </c>
      <c r="BE76" s="635">
        <v>15073</v>
      </c>
      <c r="BF76" s="634">
        <v>16073</v>
      </c>
      <c r="BG76" s="642"/>
      <c r="BH76" s="642"/>
      <c r="BI76" s="642"/>
      <c r="BJ76" s="634">
        <v>20073</v>
      </c>
      <c r="BK76" s="634">
        <v>21073</v>
      </c>
      <c r="BL76" s="642"/>
      <c r="BM76" s="642"/>
      <c r="BN76" s="642"/>
      <c r="BO76" s="642"/>
      <c r="BP76" s="642">
        <v>26099</v>
      </c>
      <c r="BQ76" s="642"/>
      <c r="BR76" s="642"/>
      <c r="BS76" s="642"/>
      <c r="BT76" s="634">
        <v>30073</v>
      </c>
      <c r="BU76" s="634">
        <v>31073</v>
      </c>
      <c r="BV76" s="642"/>
      <c r="BW76" s="24"/>
      <c r="BX76" s="24"/>
      <c r="BY76" s="24"/>
      <c r="BZ76" s="643"/>
      <c r="CA76" s="643"/>
      <c r="CB76" s="643"/>
      <c r="CC76" s="643"/>
      <c r="CD76" s="643"/>
      <c r="CE76" s="643"/>
      <c r="CF76" s="636" t="s">
        <v>659</v>
      </c>
      <c r="CG76" s="643"/>
      <c r="CH76" s="643"/>
      <c r="CI76" s="643"/>
      <c r="CJ76" s="643"/>
      <c r="CK76" s="636" t="s">
        <v>1433</v>
      </c>
      <c r="CL76" s="636" t="s">
        <v>1434</v>
      </c>
      <c r="CM76" s="636" t="s">
        <v>1435</v>
      </c>
      <c r="CN76" s="637" t="s">
        <v>1436</v>
      </c>
      <c r="CO76" s="636" t="s">
        <v>1437</v>
      </c>
      <c r="CP76" s="643"/>
      <c r="CQ76" s="643"/>
      <c r="CR76" s="643"/>
      <c r="CS76" s="636" t="s">
        <v>1438</v>
      </c>
      <c r="CT76" s="636" t="s">
        <v>1439</v>
      </c>
      <c r="CU76" s="643"/>
      <c r="CV76" s="643"/>
      <c r="CW76" s="643"/>
      <c r="CX76" s="643"/>
      <c r="CY76" s="636" t="s">
        <v>201</v>
      </c>
      <c r="CZ76" s="643"/>
      <c r="DA76" s="643"/>
      <c r="DB76" s="643"/>
      <c r="DC76" s="636" t="s">
        <v>1440</v>
      </c>
      <c r="DD76" s="636" t="s">
        <v>1441</v>
      </c>
      <c r="DE76" s="643"/>
    </row>
    <row r="77" spans="2:109" ht="15" customHeight="1" thickBot="1">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H77" s="24"/>
      <c r="AI77" s="24"/>
      <c r="AJ77" s="24"/>
      <c r="AK77" s="24"/>
      <c r="AL77" s="630" t="str">
        <f t="shared" si="2"/>
        <v>Huejotzingo</v>
      </c>
      <c r="AM77" s="630">
        <f t="shared" si="3"/>
        <v>21074</v>
      </c>
      <c r="AO77" s="24"/>
      <c r="AP77" s="628">
        <v>75</v>
      </c>
      <c r="AQ77" s="642"/>
      <c r="AR77" s="642"/>
      <c r="AS77" s="642"/>
      <c r="AT77" s="642"/>
      <c r="AU77" s="642"/>
      <c r="AV77" s="642"/>
      <c r="AW77" s="634">
        <v>7074</v>
      </c>
      <c r="AX77" s="642"/>
      <c r="AY77" s="642"/>
      <c r="AZ77" s="642"/>
      <c r="BA77" s="642"/>
      <c r="BB77" s="634">
        <v>12074</v>
      </c>
      <c r="BC77" s="634">
        <v>13074</v>
      </c>
      <c r="BD77" s="634">
        <v>14074</v>
      </c>
      <c r="BE77" s="635">
        <v>15074</v>
      </c>
      <c r="BF77" s="634">
        <v>16074</v>
      </c>
      <c r="BG77" s="642"/>
      <c r="BH77" s="642"/>
      <c r="BI77" s="642"/>
      <c r="BJ77" s="634">
        <v>20074</v>
      </c>
      <c r="BK77" s="634">
        <v>21074</v>
      </c>
      <c r="BL77" s="642"/>
      <c r="BM77" s="642"/>
      <c r="BN77" s="642"/>
      <c r="BO77" s="642"/>
      <c r="BP77" s="642"/>
      <c r="BQ77" s="642"/>
      <c r="BR77" s="642"/>
      <c r="BS77" s="642"/>
      <c r="BT77" s="634">
        <v>30074</v>
      </c>
      <c r="BU77" s="634">
        <v>31074</v>
      </c>
      <c r="BV77" s="642"/>
      <c r="BW77" s="24"/>
      <c r="BX77" s="24"/>
      <c r="BY77" s="24"/>
      <c r="BZ77" s="643"/>
      <c r="CA77" s="643"/>
      <c r="CB77" s="643"/>
      <c r="CC77" s="643"/>
      <c r="CD77" s="643"/>
      <c r="CE77" s="643"/>
      <c r="CF77" s="636" t="s">
        <v>1442</v>
      </c>
      <c r="CG77" s="643"/>
      <c r="CH77" s="643"/>
      <c r="CI77" s="643"/>
      <c r="CJ77" s="643"/>
      <c r="CK77" s="636" t="s">
        <v>1443</v>
      </c>
      <c r="CL77" s="636" t="s">
        <v>1444</v>
      </c>
      <c r="CM77" s="636" t="s">
        <v>1445</v>
      </c>
      <c r="CN77" s="637" t="s">
        <v>1446</v>
      </c>
      <c r="CO77" s="636" t="s">
        <v>1447</v>
      </c>
      <c r="CP77" s="643"/>
      <c r="CQ77" s="643"/>
      <c r="CR77" s="643"/>
      <c r="CS77" s="636" t="s">
        <v>1448</v>
      </c>
      <c r="CT77" s="636" t="s">
        <v>1449</v>
      </c>
      <c r="CU77" s="643"/>
      <c r="CV77" s="643"/>
      <c r="CW77" s="643"/>
      <c r="CX77" s="643"/>
      <c r="CY77" s="643"/>
      <c r="CZ77" s="643"/>
      <c r="DA77" s="643"/>
      <c r="DB77" s="643"/>
      <c r="DC77" s="636" t="s">
        <v>1450</v>
      </c>
      <c r="DD77" s="636" t="s">
        <v>1451</v>
      </c>
      <c r="DE77" s="643"/>
    </row>
    <row r="78" spans="2:109" ht="15" customHeight="1">
      <c r="B78" s="32"/>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c r="AD78" s="34"/>
      <c r="AH78" s="24"/>
      <c r="AI78" s="24"/>
      <c r="AJ78" s="24"/>
      <c r="AK78" s="24"/>
      <c r="AL78" s="630" t="str">
        <f t="shared" si="2"/>
        <v>Hueyapan</v>
      </c>
      <c r="AM78" s="630">
        <f t="shared" si="3"/>
        <v>21075</v>
      </c>
      <c r="AO78" s="24"/>
      <c r="AP78" s="628">
        <v>76</v>
      </c>
      <c r="AQ78" s="642"/>
      <c r="AR78" s="642"/>
      <c r="AS78" s="642"/>
      <c r="AT78" s="642"/>
      <c r="AU78" s="642"/>
      <c r="AV78" s="642"/>
      <c r="AW78" s="634">
        <v>7075</v>
      </c>
      <c r="AX78" s="642"/>
      <c r="AY78" s="642"/>
      <c r="AZ78" s="642"/>
      <c r="BA78" s="642"/>
      <c r="BB78" s="634">
        <v>12075</v>
      </c>
      <c r="BC78" s="634">
        <v>13075</v>
      </c>
      <c r="BD78" s="634">
        <v>14075</v>
      </c>
      <c r="BE78" s="635">
        <v>15075</v>
      </c>
      <c r="BF78" s="634">
        <v>16075</v>
      </c>
      <c r="BG78" s="642"/>
      <c r="BH78" s="642"/>
      <c r="BI78" s="642"/>
      <c r="BJ78" s="634">
        <v>20075</v>
      </c>
      <c r="BK78" s="634">
        <v>21075</v>
      </c>
      <c r="BL78" s="642"/>
      <c r="BM78" s="642"/>
      <c r="BN78" s="642"/>
      <c r="BO78" s="642"/>
      <c r="BP78" s="642"/>
      <c r="BQ78" s="642"/>
      <c r="BR78" s="642"/>
      <c r="BS78" s="642"/>
      <c r="BT78" s="634">
        <v>30075</v>
      </c>
      <c r="BU78" s="634">
        <v>31075</v>
      </c>
      <c r="BV78" s="642"/>
      <c r="BW78" s="24"/>
      <c r="BX78" s="24"/>
      <c r="BY78" s="24"/>
      <c r="BZ78" s="643"/>
      <c r="CA78" s="643"/>
      <c r="CB78" s="643"/>
      <c r="CC78" s="643"/>
      <c r="CD78" s="643"/>
      <c r="CE78" s="643"/>
      <c r="CF78" s="636" t="s">
        <v>1452</v>
      </c>
      <c r="CG78" s="643"/>
      <c r="CH78" s="643"/>
      <c r="CI78" s="643"/>
      <c r="CJ78" s="643"/>
      <c r="CK78" s="636" t="s">
        <v>1453</v>
      </c>
      <c r="CL78" s="636" t="s">
        <v>1454</v>
      </c>
      <c r="CM78" s="636" t="s">
        <v>1195</v>
      </c>
      <c r="CN78" s="637" t="s">
        <v>1455</v>
      </c>
      <c r="CO78" s="636" t="s">
        <v>1456</v>
      </c>
      <c r="CP78" s="643"/>
      <c r="CQ78" s="643"/>
      <c r="CR78" s="643"/>
      <c r="CS78" s="636" t="s">
        <v>1457</v>
      </c>
      <c r="CT78" s="636" t="s">
        <v>922</v>
      </c>
      <c r="CU78" s="643"/>
      <c r="CV78" s="643"/>
      <c r="CW78" s="643"/>
      <c r="CX78" s="643"/>
      <c r="CY78" s="643"/>
      <c r="CZ78" s="643"/>
      <c r="DA78" s="643"/>
      <c r="DB78" s="643"/>
      <c r="DC78" s="636" t="s">
        <v>1458</v>
      </c>
      <c r="DD78" s="636" t="s">
        <v>1459</v>
      </c>
      <c r="DE78" s="643"/>
    </row>
    <row r="79" spans="2:109" ht="36" customHeight="1">
      <c r="B79" s="35"/>
      <c r="C79" s="731" t="s">
        <v>1460</v>
      </c>
      <c r="D79" s="731"/>
      <c r="E79" s="731"/>
      <c r="F79" s="731"/>
      <c r="G79" s="731"/>
      <c r="H79" s="731"/>
      <c r="I79" s="731"/>
      <c r="J79" s="731"/>
      <c r="K79" s="731"/>
      <c r="L79" s="731"/>
      <c r="M79" s="731"/>
      <c r="N79" s="731"/>
      <c r="O79" s="731"/>
      <c r="P79" s="731"/>
      <c r="Q79" s="731"/>
      <c r="R79" s="731"/>
      <c r="S79" s="731"/>
      <c r="T79" s="731"/>
      <c r="U79" s="731"/>
      <c r="V79" s="731"/>
      <c r="W79" s="731"/>
      <c r="X79" s="731"/>
      <c r="Y79" s="731"/>
      <c r="Z79" s="731"/>
      <c r="AA79" s="731"/>
      <c r="AB79" s="731"/>
      <c r="AC79" s="731"/>
      <c r="AD79" s="37"/>
      <c r="AH79" s="24"/>
      <c r="AI79" s="24"/>
      <c r="AJ79" s="24"/>
      <c r="AK79" s="24"/>
      <c r="AL79" s="630" t="str">
        <f t="shared" si="2"/>
        <v>Hueytamalco</v>
      </c>
      <c r="AM79" s="630">
        <f t="shared" si="3"/>
        <v>21076</v>
      </c>
      <c r="AO79" s="24"/>
      <c r="AP79" s="628">
        <v>77</v>
      </c>
      <c r="AQ79" s="642"/>
      <c r="AR79" s="642"/>
      <c r="AS79" s="642"/>
      <c r="AT79" s="642"/>
      <c r="AU79" s="642"/>
      <c r="AV79" s="642"/>
      <c r="AW79" s="634">
        <v>7076</v>
      </c>
      <c r="AX79" s="642"/>
      <c r="AY79" s="642"/>
      <c r="AZ79" s="642"/>
      <c r="BA79" s="642"/>
      <c r="BB79" s="634">
        <v>12076</v>
      </c>
      <c r="BC79" s="634">
        <v>13076</v>
      </c>
      <c r="BD79" s="634">
        <v>14076</v>
      </c>
      <c r="BE79" s="635">
        <v>15076</v>
      </c>
      <c r="BF79" s="634">
        <v>16076</v>
      </c>
      <c r="BG79" s="642"/>
      <c r="BH79" s="642"/>
      <c r="BI79" s="642"/>
      <c r="BJ79" s="634">
        <v>20076</v>
      </c>
      <c r="BK79" s="634">
        <v>21076</v>
      </c>
      <c r="BL79" s="642"/>
      <c r="BM79" s="642"/>
      <c r="BN79" s="642"/>
      <c r="BO79" s="642"/>
      <c r="BP79" s="642"/>
      <c r="BQ79" s="642"/>
      <c r="BR79" s="642"/>
      <c r="BS79" s="642"/>
      <c r="BT79" s="634">
        <v>30076</v>
      </c>
      <c r="BU79" s="634">
        <v>31076</v>
      </c>
      <c r="BV79" s="642"/>
      <c r="BW79" s="24"/>
      <c r="BX79" s="24"/>
      <c r="BY79" s="24"/>
      <c r="BZ79" s="643"/>
      <c r="CA79" s="643"/>
      <c r="CB79" s="643"/>
      <c r="CC79" s="643"/>
      <c r="CD79" s="643"/>
      <c r="CE79" s="643"/>
      <c r="CF79" s="636" t="s">
        <v>1461</v>
      </c>
      <c r="CG79" s="643"/>
      <c r="CH79" s="643"/>
      <c r="CI79" s="643"/>
      <c r="CJ79" s="643"/>
      <c r="CK79" s="636" t="s">
        <v>1462</v>
      </c>
      <c r="CL79" s="636" t="s">
        <v>1463</v>
      </c>
      <c r="CM79" s="636" t="s">
        <v>1464</v>
      </c>
      <c r="CN79" s="637" t="s">
        <v>1465</v>
      </c>
      <c r="CO79" s="636" t="s">
        <v>1466</v>
      </c>
      <c r="CP79" s="643"/>
      <c r="CQ79" s="643"/>
      <c r="CR79" s="643"/>
      <c r="CS79" s="636" t="s">
        <v>1467</v>
      </c>
      <c r="CT79" s="636" t="s">
        <v>1468</v>
      </c>
      <c r="CU79" s="643"/>
      <c r="CV79" s="643"/>
      <c r="CW79" s="643"/>
      <c r="CX79" s="643"/>
      <c r="CY79" s="643"/>
      <c r="CZ79" s="643"/>
      <c r="DA79" s="643"/>
      <c r="DB79" s="643"/>
      <c r="DC79" s="636" t="s">
        <v>1469</v>
      </c>
      <c r="DD79" s="636" t="s">
        <v>1470</v>
      </c>
      <c r="DE79" s="643"/>
    </row>
    <row r="80" spans="2:109" ht="6.75" customHeight="1">
      <c r="B80" s="35"/>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7"/>
      <c r="AH80" s="24"/>
      <c r="AI80" s="24"/>
      <c r="AJ80" s="24"/>
      <c r="AK80" s="24"/>
      <c r="AL80" s="630" t="str">
        <f t="shared" si="2"/>
        <v>Hueytlalpan</v>
      </c>
      <c r="AM80" s="630">
        <f t="shared" si="3"/>
        <v>21077</v>
      </c>
      <c r="AO80" s="24"/>
      <c r="AP80" s="628">
        <v>78</v>
      </c>
      <c r="AQ80" s="642"/>
      <c r="AR80" s="642"/>
      <c r="AS80" s="642"/>
      <c r="AT80" s="642"/>
      <c r="AU80" s="642"/>
      <c r="AV80" s="642"/>
      <c r="AW80" s="634">
        <v>7077</v>
      </c>
      <c r="AX80" s="642"/>
      <c r="AY80" s="642"/>
      <c r="AZ80" s="642"/>
      <c r="BA80" s="642"/>
      <c r="BB80" s="634">
        <v>12077</v>
      </c>
      <c r="BC80" s="634">
        <v>13077</v>
      </c>
      <c r="BD80" s="634">
        <v>14077</v>
      </c>
      <c r="BE80" s="635">
        <v>15077</v>
      </c>
      <c r="BF80" s="634">
        <v>16077</v>
      </c>
      <c r="BG80" s="642"/>
      <c r="BH80" s="642"/>
      <c r="BI80" s="642"/>
      <c r="BJ80" s="634">
        <v>20077</v>
      </c>
      <c r="BK80" s="634">
        <v>21077</v>
      </c>
      <c r="BL80" s="642"/>
      <c r="BM80" s="642"/>
      <c r="BN80" s="642"/>
      <c r="BO80" s="642"/>
      <c r="BP80" s="642"/>
      <c r="BQ80" s="642"/>
      <c r="BR80" s="642"/>
      <c r="BS80" s="642"/>
      <c r="BT80" s="634">
        <v>30077</v>
      </c>
      <c r="BU80" s="634">
        <v>31077</v>
      </c>
      <c r="BV80" s="642"/>
      <c r="BW80" s="24"/>
      <c r="BX80" s="24"/>
      <c r="BY80" s="24"/>
      <c r="BZ80" s="643"/>
      <c r="CA80" s="643"/>
      <c r="CB80" s="643"/>
      <c r="CC80" s="643"/>
      <c r="CD80" s="643"/>
      <c r="CE80" s="643"/>
      <c r="CF80" s="636" t="s">
        <v>1471</v>
      </c>
      <c r="CG80" s="643"/>
      <c r="CH80" s="643"/>
      <c r="CI80" s="643"/>
      <c r="CJ80" s="643"/>
      <c r="CK80" s="636" t="s">
        <v>1472</v>
      </c>
      <c r="CL80" s="636" t="s">
        <v>1473</v>
      </c>
      <c r="CM80" s="636" t="s">
        <v>1474</v>
      </c>
      <c r="CN80" s="637" t="s">
        <v>1475</v>
      </c>
      <c r="CO80" s="636" t="s">
        <v>1476</v>
      </c>
      <c r="CP80" s="643"/>
      <c r="CQ80" s="643"/>
      <c r="CR80" s="643"/>
      <c r="CS80" s="636" t="s">
        <v>1477</v>
      </c>
      <c r="CT80" s="636" t="s">
        <v>1478</v>
      </c>
      <c r="CU80" s="643"/>
      <c r="CV80" s="643"/>
      <c r="CW80" s="643"/>
      <c r="CX80" s="643"/>
      <c r="CY80" s="643"/>
      <c r="CZ80" s="643"/>
      <c r="DA80" s="643"/>
      <c r="DB80" s="643"/>
      <c r="DC80" s="636" t="s">
        <v>1479</v>
      </c>
      <c r="DD80" s="636" t="s">
        <v>1480</v>
      </c>
      <c r="DE80" s="643"/>
    </row>
    <row r="81" spans="2:109" ht="84" customHeight="1">
      <c r="B81" s="35"/>
      <c r="C81" s="731" t="s">
        <v>1481</v>
      </c>
      <c r="D81" s="731"/>
      <c r="E81" s="731"/>
      <c r="F81" s="731"/>
      <c r="G81" s="731"/>
      <c r="H81" s="731"/>
      <c r="I81" s="731"/>
      <c r="J81" s="731"/>
      <c r="K81" s="731"/>
      <c r="L81" s="731"/>
      <c r="M81" s="731"/>
      <c r="N81" s="731"/>
      <c r="O81" s="731"/>
      <c r="P81" s="731"/>
      <c r="Q81" s="731"/>
      <c r="R81" s="731"/>
      <c r="S81" s="731"/>
      <c r="T81" s="731"/>
      <c r="U81" s="731"/>
      <c r="V81" s="731"/>
      <c r="W81" s="731"/>
      <c r="X81" s="731"/>
      <c r="Y81" s="731"/>
      <c r="Z81" s="731"/>
      <c r="AA81" s="731"/>
      <c r="AB81" s="731"/>
      <c r="AC81" s="731"/>
      <c r="AD81" s="37"/>
      <c r="AH81" s="24"/>
      <c r="AI81" s="24"/>
      <c r="AJ81" s="24"/>
      <c r="AK81" s="24"/>
      <c r="AL81" s="630" t="str">
        <f t="shared" si="2"/>
        <v>Huitzilan de Serdán</v>
      </c>
      <c r="AM81" s="630">
        <f t="shared" si="3"/>
        <v>21078</v>
      </c>
      <c r="AO81" s="24"/>
      <c r="AP81" s="628">
        <v>79</v>
      </c>
      <c r="AQ81" s="642"/>
      <c r="AR81" s="642"/>
      <c r="AS81" s="642"/>
      <c r="AT81" s="642"/>
      <c r="AU81" s="642"/>
      <c r="AV81" s="642"/>
      <c r="AW81" s="634">
        <v>7078</v>
      </c>
      <c r="AX81" s="642"/>
      <c r="AY81" s="642"/>
      <c r="AZ81" s="642"/>
      <c r="BA81" s="642"/>
      <c r="BB81" s="634">
        <v>12078</v>
      </c>
      <c r="BC81" s="634">
        <v>13078</v>
      </c>
      <c r="BD81" s="634">
        <v>14078</v>
      </c>
      <c r="BE81" s="635">
        <v>15078</v>
      </c>
      <c r="BF81" s="634">
        <v>16078</v>
      </c>
      <c r="BG81" s="642"/>
      <c r="BH81" s="642"/>
      <c r="BI81" s="642"/>
      <c r="BJ81" s="634">
        <v>20078</v>
      </c>
      <c r="BK81" s="634">
        <v>21078</v>
      </c>
      <c r="BL81" s="642"/>
      <c r="BM81" s="642"/>
      <c r="BN81" s="642"/>
      <c r="BO81" s="642"/>
      <c r="BP81" s="642"/>
      <c r="BQ81" s="642"/>
      <c r="BR81" s="642"/>
      <c r="BS81" s="642"/>
      <c r="BT81" s="634">
        <v>30078</v>
      </c>
      <c r="BU81" s="634">
        <v>31078</v>
      </c>
      <c r="BV81" s="642"/>
      <c r="BW81" s="24"/>
      <c r="BX81" s="24"/>
      <c r="BY81" s="24"/>
      <c r="BZ81" s="643"/>
      <c r="CA81" s="643"/>
      <c r="CB81" s="643"/>
      <c r="CC81" s="643"/>
      <c r="CD81" s="643"/>
      <c r="CE81" s="643"/>
      <c r="CF81" s="636" t="s">
        <v>1482</v>
      </c>
      <c r="CG81" s="643"/>
      <c r="CH81" s="643"/>
      <c r="CI81" s="643"/>
      <c r="CJ81" s="643"/>
      <c r="CK81" s="636" t="s">
        <v>1483</v>
      </c>
      <c r="CL81" s="636" t="s">
        <v>1484</v>
      </c>
      <c r="CM81" s="636" t="s">
        <v>1485</v>
      </c>
      <c r="CN81" s="637" t="s">
        <v>1486</v>
      </c>
      <c r="CO81" s="636" t="s">
        <v>1487</v>
      </c>
      <c r="CP81" s="643"/>
      <c r="CQ81" s="643"/>
      <c r="CR81" s="643"/>
      <c r="CS81" s="636" t="s">
        <v>1488</v>
      </c>
      <c r="CT81" s="636" t="s">
        <v>1489</v>
      </c>
      <c r="CU81" s="643"/>
      <c r="CV81" s="643"/>
      <c r="CW81" s="643"/>
      <c r="CX81" s="643"/>
      <c r="CY81" s="643"/>
      <c r="CZ81" s="643"/>
      <c r="DA81" s="643"/>
      <c r="DB81" s="643"/>
      <c r="DC81" s="636" t="s">
        <v>1490</v>
      </c>
      <c r="DD81" s="636" t="s">
        <v>1491</v>
      </c>
      <c r="DE81" s="643"/>
    </row>
    <row r="82" spans="2:109" ht="6.75" customHeight="1">
      <c r="B82" s="35"/>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7"/>
      <c r="AH82" s="24"/>
      <c r="AI82" s="24"/>
      <c r="AJ82" s="24"/>
      <c r="AK82" s="24"/>
      <c r="AL82" s="630" t="str">
        <f t="shared" si="2"/>
        <v>Huitziltepec</v>
      </c>
      <c r="AM82" s="630">
        <f t="shared" si="3"/>
        <v>21079</v>
      </c>
      <c r="AO82" s="24"/>
      <c r="AP82" s="628">
        <v>80</v>
      </c>
      <c r="AQ82" s="642"/>
      <c r="AR82" s="642"/>
      <c r="AS82" s="642"/>
      <c r="AT82" s="642"/>
      <c r="AU82" s="642"/>
      <c r="AV82" s="642"/>
      <c r="AW82" s="634">
        <v>7079</v>
      </c>
      <c r="AX82" s="642"/>
      <c r="AY82" s="642"/>
      <c r="AZ82" s="642"/>
      <c r="BA82" s="642"/>
      <c r="BB82" s="634">
        <v>12079</v>
      </c>
      <c r="BC82" s="634">
        <v>13079</v>
      </c>
      <c r="BD82" s="634">
        <v>14079</v>
      </c>
      <c r="BE82" s="635">
        <v>15079</v>
      </c>
      <c r="BF82" s="634">
        <v>16079</v>
      </c>
      <c r="BG82" s="642"/>
      <c r="BH82" s="642"/>
      <c r="BI82" s="642"/>
      <c r="BJ82" s="634">
        <v>20079</v>
      </c>
      <c r="BK82" s="634">
        <v>21079</v>
      </c>
      <c r="BL82" s="642"/>
      <c r="BM82" s="642"/>
      <c r="BN82" s="642"/>
      <c r="BO82" s="642"/>
      <c r="BP82" s="642"/>
      <c r="BQ82" s="642"/>
      <c r="BR82" s="642"/>
      <c r="BS82" s="642"/>
      <c r="BT82" s="634">
        <v>30079</v>
      </c>
      <c r="BU82" s="634">
        <v>31079</v>
      </c>
      <c r="BV82" s="642"/>
      <c r="BW82" s="24"/>
      <c r="BX82" s="24"/>
      <c r="BY82" s="24"/>
      <c r="BZ82" s="643"/>
      <c r="CA82" s="643"/>
      <c r="CB82" s="643"/>
      <c r="CC82" s="643"/>
      <c r="CD82" s="643"/>
      <c r="CE82" s="643"/>
      <c r="CF82" s="636" t="s">
        <v>907</v>
      </c>
      <c r="CG82" s="643"/>
      <c r="CH82" s="643"/>
      <c r="CI82" s="643"/>
      <c r="CJ82" s="643"/>
      <c r="CK82" s="636" t="s">
        <v>1492</v>
      </c>
      <c r="CL82" s="636" t="s">
        <v>1493</v>
      </c>
      <c r="CM82" s="636" t="s">
        <v>378</v>
      </c>
      <c r="CN82" s="637" t="s">
        <v>1494</v>
      </c>
      <c r="CO82" s="636" t="s">
        <v>1495</v>
      </c>
      <c r="CP82" s="643"/>
      <c r="CQ82" s="643"/>
      <c r="CR82" s="643"/>
      <c r="CS82" s="636" t="s">
        <v>1496</v>
      </c>
      <c r="CT82" s="636" t="s">
        <v>1497</v>
      </c>
      <c r="CU82" s="643"/>
      <c r="CV82" s="643"/>
      <c r="CW82" s="643"/>
      <c r="CX82" s="643"/>
      <c r="CY82" s="643"/>
      <c r="CZ82" s="643"/>
      <c r="DA82" s="643"/>
      <c r="DB82" s="643"/>
      <c r="DC82" s="636" t="s">
        <v>1498</v>
      </c>
      <c r="DD82" s="636" t="s">
        <v>1499</v>
      </c>
      <c r="DE82" s="643"/>
    </row>
    <row r="83" spans="2:109" ht="96" customHeight="1">
      <c r="B83" s="35"/>
      <c r="C83" s="731" t="s">
        <v>1500</v>
      </c>
      <c r="D83" s="731"/>
      <c r="E83" s="731"/>
      <c r="F83" s="731"/>
      <c r="G83" s="731"/>
      <c r="H83" s="731"/>
      <c r="I83" s="731"/>
      <c r="J83" s="731"/>
      <c r="K83" s="731"/>
      <c r="L83" s="731"/>
      <c r="M83" s="731"/>
      <c r="N83" s="731"/>
      <c r="O83" s="731"/>
      <c r="P83" s="731"/>
      <c r="Q83" s="731"/>
      <c r="R83" s="731"/>
      <c r="S83" s="731"/>
      <c r="T83" s="731"/>
      <c r="U83" s="731"/>
      <c r="V83" s="731"/>
      <c r="W83" s="731"/>
      <c r="X83" s="731"/>
      <c r="Y83" s="731"/>
      <c r="Z83" s="731"/>
      <c r="AA83" s="731"/>
      <c r="AB83" s="731"/>
      <c r="AC83" s="731"/>
      <c r="AD83" s="37"/>
      <c r="AH83" s="24"/>
      <c r="AI83" s="24"/>
      <c r="AJ83" s="24"/>
      <c r="AK83" s="24"/>
      <c r="AL83" s="630" t="str">
        <f t="shared" si="2"/>
        <v>Atlequizayan</v>
      </c>
      <c r="AM83" s="630">
        <f t="shared" si="3"/>
        <v>21080</v>
      </c>
      <c r="AO83" s="24"/>
      <c r="AP83" s="628">
        <v>81</v>
      </c>
      <c r="AQ83" s="642"/>
      <c r="AR83" s="642"/>
      <c r="AS83" s="642"/>
      <c r="AT83" s="642"/>
      <c r="AU83" s="642"/>
      <c r="AV83" s="642"/>
      <c r="AW83" s="634">
        <v>7080</v>
      </c>
      <c r="AX83" s="642"/>
      <c r="AY83" s="642"/>
      <c r="AZ83" s="642"/>
      <c r="BA83" s="642"/>
      <c r="BB83" s="634">
        <v>12080</v>
      </c>
      <c r="BC83" s="634">
        <v>13080</v>
      </c>
      <c r="BD83" s="634">
        <v>14080</v>
      </c>
      <c r="BE83" s="635">
        <v>15080</v>
      </c>
      <c r="BF83" s="634">
        <v>16080</v>
      </c>
      <c r="BG83" s="642"/>
      <c r="BH83" s="642"/>
      <c r="BI83" s="642"/>
      <c r="BJ83" s="634">
        <v>20080</v>
      </c>
      <c r="BK83" s="634">
        <v>21080</v>
      </c>
      <c r="BL83" s="642"/>
      <c r="BM83" s="642"/>
      <c r="BN83" s="642"/>
      <c r="BO83" s="642"/>
      <c r="BP83" s="642"/>
      <c r="BQ83" s="642"/>
      <c r="BR83" s="642"/>
      <c r="BS83" s="642"/>
      <c r="BT83" s="634">
        <v>30080</v>
      </c>
      <c r="BU83" s="634">
        <v>31080</v>
      </c>
      <c r="BV83" s="642"/>
      <c r="BW83" s="24"/>
      <c r="BX83" s="24"/>
      <c r="BY83" s="24"/>
      <c r="BZ83" s="643"/>
      <c r="CA83" s="643"/>
      <c r="CB83" s="643"/>
      <c r="CC83" s="643"/>
      <c r="CD83" s="643"/>
      <c r="CE83" s="643"/>
      <c r="CF83" s="636" t="s">
        <v>1501</v>
      </c>
      <c r="CG83" s="643"/>
      <c r="CH83" s="643"/>
      <c r="CI83" s="643"/>
      <c r="CJ83" s="643"/>
      <c r="CK83" s="636" t="s">
        <v>1502</v>
      </c>
      <c r="CL83" s="636" t="s">
        <v>1503</v>
      </c>
      <c r="CM83" s="636" t="s">
        <v>1504</v>
      </c>
      <c r="CN83" s="637" t="s">
        <v>1505</v>
      </c>
      <c r="CO83" s="636" t="s">
        <v>1506</v>
      </c>
      <c r="CP83" s="643"/>
      <c r="CQ83" s="643"/>
      <c r="CR83" s="643"/>
      <c r="CS83" s="636" t="s">
        <v>1507</v>
      </c>
      <c r="CT83" s="636" t="s">
        <v>1508</v>
      </c>
      <c r="CU83" s="643"/>
      <c r="CV83" s="643"/>
      <c r="CW83" s="643"/>
      <c r="CX83" s="643"/>
      <c r="CY83" s="643"/>
      <c r="CZ83" s="643"/>
      <c r="DA83" s="643"/>
      <c r="DB83" s="643"/>
      <c r="DC83" s="636" t="s">
        <v>1509</v>
      </c>
      <c r="DD83" s="636" t="s">
        <v>1510</v>
      </c>
      <c r="DE83" s="643"/>
    </row>
    <row r="84" spans="2:109" ht="6.75" customHeight="1">
      <c r="B84" s="35"/>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7"/>
      <c r="AH84" s="24"/>
      <c r="AI84" s="24"/>
      <c r="AJ84" s="24"/>
      <c r="AK84" s="24"/>
      <c r="AL84" s="630" t="str">
        <f t="shared" si="2"/>
        <v>Ixcamilpa de Guerrero</v>
      </c>
      <c r="AM84" s="630">
        <f t="shared" si="3"/>
        <v>21081</v>
      </c>
      <c r="AO84" s="24"/>
      <c r="AP84" s="628">
        <v>82</v>
      </c>
      <c r="AQ84" s="642"/>
      <c r="AR84" s="642"/>
      <c r="AS84" s="642"/>
      <c r="AT84" s="642"/>
      <c r="AU84" s="642"/>
      <c r="AV84" s="642"/>
      <c r="AW84" s="634">
        <v>7081</v>
      </c>
      <c r="AX84" s="642"/>
      <c r="AY84" s="642"/>
      <c r="AZ84" s="642"/>
      <c r="BA84" s="642"/>
      <c r="BB84" s="634">
        <v>12081</v>
      </c>
      <c r="BC84" s="634">
        <v>13081</v>
      </c>
      <c r="BD84" s="634">
        <v>14081</v>
      </c>
      <c r="BE84" s="635">
        <v>15081</v>
      </c>
      <c r="BF84" s="634">
        <v>16081</v>
      </c>
      <c r="BG84" s="642"/>
      <c r="BH84" s="642"/>
      <c r="BI84" s="642"/>
      <c r="BJ84" s="634">
        <v>20081</v>
      </c>
      <c r="BK84" s="634">
        <v>21081</v>
      </c>
      <c r="BL84" s="642"/>
      <c r="BM84" s="642"/>
      <c r="BN84" s="642"/>
      <c r="BO84" s="642"/>
      <c r="BP84" s="642"/>
      <c r="BQ84" s="642"/>
      <c r="BR84" s="642"/>
      <c r="BS84" s="642"/>
      <c r="BT84" s="634">
        <v>30081</v>
      </c>
      <c r="BU84" s="634">
        <v>31081</v>
      </c>
      <c r="BV84" s="642"/>
      <c r="BW84" s="24"/>
      <c r="BX84" s="24"/>
      <c r="BY84" s="24"/>
      <c r="BZ84" s="643"/>
      <c r="CA84" s="643"/>
      <c r="CB84" s="643"/>
      <c r="CC84" s="643"/>
      <c r="CD84" s="643"/>
      <c r="CE84" s="643"/>
      <c r="CF84" s="636" t="s">
        <v>1511</v>
      </c>
      <c r="CG84" s="643"/>
      <c r="CH84" s="643"/>
      <c r="CI84" s="643"/>
      <c r="CJ84" s="643"/>
      <c r="CK84" s="636" t="s">
        <v>1512</v>
      </c>
      <c r="CL84" s="636" t="s">
        <v>1513</v>
      </c>
      <c r="CM84" s="636" t="s">
        <v>1514</v>
      </c>
      <c r="CN84" s="637" t="s">
        <v>1515</v>
      </c>
      <c r="CO84" s="636" t="s">
        <v>1516</v>
      </c>
      <c r="CP84" s="643"/>
      <c r="CQ84" s="643"/>
      <c r="CR84" s="643"/>
      <c r="CS84" s="636" t="s">
        <v>1517</v>
      </c>
      <c r="CT84" s="636" t="s">
        <v>1518</v>
      </c>
      <c r="CU84" s="643"/>
      <c r="CV84" s="643"/>
      <c r="CW84" s="643"/>
      <c r="CX84" s="643"/>
      <c r="CY84" s="643"/>
      <c r="CZ84" s="643"/>
      <c r="DA84" s="643"/>
      <c r="DB84" s="643"/>
      <c r="DC84" s="636" t="s">
        <v>1519</v>
      </c>
      <c r="DD84" s="636" t="s">
        <v>1520</v>
      </c>
      <c r="DE84" s="643"/>
    </row>
    <row r="85" spans="2:109" ht="36" customHeight="1">
      <c r="B85" s="35"/>
      <c r="C85" s="731" t="s">
        <v>7171</v>
      </c>
      <c r="D85" s="731"/>
      <c r="E85" s="731"/>
      <c r="F85" s="731"/>
      <c r="G85" s="731"/>
      <c r="H85" s="731"/>
      <c r="I85" s="731"/>
      <c r="J85" s="731"/>
      <c r="K85" s="731"/>
      <c r="L85" s="731"/>
      <c r="M85" s="731"/>
      <c r="N85" s="731"/>
      <c r="O85" s="731"/>
      <c r="P85" s="731"/>
      <c r="Q85" s="731"/>
      <c r="R85" s="731"/>
      <c r="S85" s="731"/>
      <c r="T85" s="731"/>
      <c r="U85" s="731"/>
      <c r="V85" s="731"/>
      <c r="W85" s="731"/>
      <c r="X85" s="731"/>
      <c r="Y85" s="731"/>
      <c r="Z85" s="731"/>
      <c r="AA85" s="731"/>
      <c r="AB85" s="731"/>
      <c r="AC85" s="731"/>
      <c r="AD85" s="37"/>
      <c r="AH85" s="628"/>
      <c r="AI85" s="628"/>
      <c r="AJ85" s="628"/>
      <c r="AK85" s="628"/>
      <c r="AL85" s="630" t="str">
        <f t="shared" si="2"/>
        <v>Ixcaquixtla</v>
      </c>
      <c r="AM85" s="630">
        <f t="shared" si="3"/>
        <v>21082</v>
      </c>
      <c r="AO85" s="628"/>
      <c r="AP85" s="628">
        <v>83</v>
      </c>
      <c r="AQ85" s="634"/>
      <c r="AR85" s="634"/>
      <c r="AS85" s="634"/>
      <c r="AT85" s="634"/>
      <c r="AU85" s="634"/>
      <c r="AV85" s="634"/>
      <c r="AW85" s="634">
        <v>7082</v>
      </c>
      <c r="AX85" s="634"/>
      <c r="AY85" s="634"/>
      <c r="AZ85" s="634"/>
      <c r="BA85" s="634"/>
      <c r="BB85" s="641">
        <v>12082</v>
      </c>
      <c r="BC85" s="634">
        <v>13082</v>
      </c>
      <c r="BD85" s="634">
        <v>14082</v>
      </c>
      <c r="BE85" s="635">
        <v>15082</v>
      </c>
      <c r="BF85" s="634">
        <v>16082</v>
      </c>
      <c r="BG85" s="634"/>
      <c r="BH85" s="634"/>
      <c r="BI85" s="634"/>
      <c r="BJ85" s="634">
        <v>20082</v>
      </c>
      <c r="BK85" s="634">
        <v>21082</v>
      </c>
      <c r="BL85" s="634"/>
      <c r="BM85" s="634"/>
      <c r="BN85" s="634"/>
      <c r="BO85" s="634"/>
      <c r="BP85" s="634"/>
      <c r="BQ85" s="634"/>
      <c r="BR85" s="634"/>
      <c r="BS85" s="634"/>
      <c r="BT85" s="634">
        <v>30082</v>
      </c>
      <c r="BU85" s="634">
        <v>31082</v>
      </c>
      <c r="BV85" s="634"/>
      <c r="BW85" s="628"/>
      <c r="BX85" s="628"/>
      <c r="BY85" s="628"/>
      <c r="BZ85" s="636"/>
      <c r="CA85" s="636"/>
      <c r="CB85" s="636"/>
      <c r="CC85" s="636"/>
      <c r="CD85" s="636"/>
      <c r="CE85" s="636"/>
      <c r="CF85" s="636" t="s">
        <v>1521</v>
      </c>
      <c r="CG85" s="636"/>
      <c r="CH85" s="636"/>
      <c r="CI85" s="636"/>
      <c r="CJ85" s="636"/>
      <c r="CK85" s="638" t="s">
        <v>1522</v>
      </c>
      <c r="CL85" s="636" t="s">
        <v>1523</v>
      </c>
      <c r="CM85" s="636" t="s">
        <v>1524</v>
      </c>
      <c r="CN85" s="637" t="s">
        <v>1525</v>
      </c>
      <c r="CO85" s="636" t="s">
        <v>1526</v>
      </c>
      <c r="CP85" s="636"/>
      <c r="CQ85" s="636"/>
      <c r="CR85" s="636"/>
      <c r="CS85" s="636" t="s">
        <v>1527</v>
      </c>
      <c r="CT85" s="636" t="s">
        <v>1528</v>
      </c>
      <c r="CU85" s="636"/>
      <c r="CV85" s="636"/>
      <c r="CW85" s="636"/>
      <c r="CX85" s="636"/>
      <c r="CY85" s="636"/>
      <c r="CZ85" s="636"/>
      <c r="DA85" s="636"/>
      <c r="DB85" s="636"/>
      <c r="DC85" s="636" t="s">
        <v>1529</v>
      </c>
      <c r="DD85" s="636" t="s">
        <v>1530</v>
      </c>
      <c r="DE85" s="636"/>
    </row>
    <row r="86" spans="2:109" ht="6.75" customHeight="1">
      <c r="B86" s="35"/>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D86" s="37"/>
      <c r="AH86" s="24"/>
      <c r="AI86" s="24"/>
      <c r="AJ86" s="24"/>
      <c r="AK86" s="24"/>
      <c r="AL86" s="630" t="str">
        <f t="shared" si="2"/>
        <v>Ixtacamaxtitlán</v>
      </c>
      <c r="AM86" s="630">
        <f t="shared" si="3"/>
        <v>21083</v>
      </c>
      <c r="AO86" s="24"/>
      <c r="AP86" s="628">
        <v>84</v>
      </c>
      <c r="AQ86" s="642"/>
      <c r="AR86" s="642"/>
      <c r="AS86" s="642"/>
      <c r="AT86" s="642"/>
      <c r="AU86" s="642"/>
      <c r="AV86" s="642"/>
      <c r="AW86" s="634">
        <v>7083</v>
      </c>
      <c r="AX86" s="642"/>
      <c r="AY86" s="642"/>
      <c r="AZ86" s="642"/>
      <c r="BA86" s="642"/>
      <c r="BB86" s="641">
        <v>12083</v>
      </c>
      <c r="BC86" s="634">
        <v>13083</v>
      </c>
      <c r="BD86" s="634">
        <v>14083</v>
      </c>
      <c r="BE86" s="635">
        <v>15083</v>
      </c>
      <c r="BF86" s="634">
        <v>16083</v>
      </c>
      <c r="BG86" s="642"/>
      <c r="BH86" s="642"/>
      <c r="BI86" s="642"/>
      <c r="BJ86" s="634">
        <v>20083</v>
      </c>
      <c r="BK86" s="634">
        <v>21083</v>
      </c>
      <c r="BL86" s="642"/>
      <c r="BM86" s="642"/>
      <c r="BN86" s="642"/>
      <c r="BO86" s="642"/>
      <c r="BP86" s="642"/>
      <c r="BQ86" s="642"/>
      <c r="BR86" s="642"/>
      <c r="BS86" s="642"/>
      <c r="BT86" s="634">
        <v>30083</v>
      </c>
      <c r="BU86" s="634">
        <v>31083</v>
      </c>
      <c r="BV86" s="642"/>
      <c r="BW86" s="24"/>
      <c r="BX86" s="24"/>
      <c r="BY86" s="24"/>
      <c r="BZ86" s="643"/>
      <c r="CA86" s="643"/>
      <c r="CB86" s="643"/>
      <c r="CC86" s="643"/>
      <c r="CD86" s="643"/>
      <c r="CE86" s="643"/>
      <c r="CF86" s="636" t="s">
        <v>1531</v>
      </c>
      <c r="CG86" s="643"/>
      <c r="CH86" s="643"/>
      <c r="CI86" s="643"/>
      <c r="CJ86" s="643"/>
      <c r="CK86" s="647" t="s">
        <v>1532</v>
      </c>
      <c r="CL86" s="636" t="s">
        <v>1533</v>
      </c>
      <c r="CM86" s="636" t="s">
        <v>1534</v>
      </c>
      <c r="CN86" s="637" t="s">
        <v>1535</v>
      </c>
      <c r="CO86" s="636" t="s">
        <v>1536</v>
      </c>
      <c r="CP86" s="643"/>
      <c r="CQ86" s="643"/>
      <c r="CR86" s="643"/>
      <c r="CS86" s="636" t="s">
        <v>1537</v>
      </c>
      <c r="CT86" s="636" t="s">
        <v>1538</v>
      </c>
      <c r="CU86" s="643"/>
      <c r="CV86" s="643"/>
      <c r="CW86" s="643"/>
      <c r="CX86" s="643"/>
      <c r="CY86" s="643"/>
      <c r="CZ86" s="643"/>
      <c r="DA86" s="643"/>
      <c r="DB86" s="643"/>
      <c r="DC86" s="636" t="s">
        <v>1539</v>
      </c>
      <c r="DD86" s="636" t="s">
        <v>1540</v>
      </c>
      <c r="DE86" s="643"/>
    </row>
    <row r="87" spans="2:109" ht="15" customHeight="1">
      <c r="B87" s="35"/>
      <c r="C87" s="731" t="s">
        <v>1541</v>
      </c>
      <c r="D87" s="731"/>
      <c r="E87" s="731"/>
      <c r="F87" s="731"/>
      <c r="G87" s="731"/>
      <c r="H87" s="731"/>
      <c r="I87" s="731"/>
      <c r="J87" s="731"/>
      <c r="K87" s="731"/>
      <c r="L87" s="731"/>
      <c r="M87" s="731"/>
      <c r="N87" s="731"/>
      <c r="O87" s="731"/>
      <c r="P87" s="731"/>
      <c r="Q87" s="731"/>
      <c r="R87" s="731"/>
      <c r="S87" s="731"/>
      <c r="T87" s="731"/>
      <c r="U87" s="731"/>
      <c r="V87" s="731"/>
      <c r="W87" s="731"/>
      <c r="X87" s="731"/>
      <c r="Y87" s="731"/>
      <c r="Z87" s="731"/>
      <c r="AA87" s="731"/>
      <c r="AB87" s="731"/>
      <c r="AC87" s="731"/>
      <c r="AD87" s="37"/>
      <c r="AH87" s="24"/>
      <c r="AI87" s="24"/>
      <c r="AJ87" s="24"/>
      <c r="AK87" s="24"/>
      <c r="AL87" s="630" t="str">
        <f t="shared" si="2"/>
        <v>Ixtepec</v>
      </c>
      <c r="AM87" s="630">
        <f t="shared" si="3"/>
        <v>21084</v>
      </c>
      <c r="AO87" s="24"/>
      <c r="AP87" s="628">
        <v>85</v>
      </c>
      <c r="AQ87" s="642"/>
      <c r="AR87" s="642"/>
      <c r="AS87" s="642"/>
      <c r="AT87" s="642"/>
      <c r="AU87" s="642"/>
      <c r="AV87" s="642"/>
      <c r="AW87" s="634">
        <v>7084</v>
      </c>
      <c r="AX87" s="642"/>
      <c r="AY87" s="642"/>
      <c r="AZ87" s="642"/>
      <c r="BA87" s="642"/>
      <c r="BB87" s="641">
        <v>12084</v>
      </c>
      <c r="BC87" s="634">
        <v>13084</v>
      </c>
      <c r="BD87" s="634">
        <v>14084</v>
      </c>
      <c r="BE87" s="635">
        <v>15084</v>
      </c>
      <c r="BF87" s="634">
        <v>16084</v>
      </c>
      <c r="BG87" s="642"/>
      <c r="BH87" s="642"/>
      <c r="BI87" s="642"/>
      <c r="BJ87" s="634">
        <v>20084</v>
      </c>
      <c r="BK87" s="634">
        <v>21084</v>
      </c>
      <c r="BL87" s="642"/>
      <c r="BM87" s="642"/>
      <c r="BN87" s="642"/>
      <c r="BO87" s="642"/>
      <c r="BP87" s="642"/>
      <c r="BQ87" s="642"/>
      <c r="BR87" s="642"/>
      <c r="BS87" s="642"/>
      <c r="BT87" s="634">
        <v>30084</v>
      </c>
      <c r="BU87" s="634">
        <v>31084</v>
      </c>
      <c r="BV87" s="642"/>
      <c r="BW87" s="24"/>
      <c r="BX87" s="24"/>
      <c r="BY87" s="24"/>
      <c r="BZ87" s="643"/>
      <c r="CA87" s="643"/>
      <c r="CB87" s="643"/>
      <c r="CC87" s="643"/>
      <c r="CD87" s="643"/>
      <c r="CE87" s="643"/>
      <c r="CF87" s="636" t="s">
        <v>1542</v>
      </c>
      <c r="CG87" s="643"/>
      <c r="CH87" s="643"/>
      <c r="CI87" s="643"/>
      <c r="CJ87" s="643"/>
      <c r="CK87" s="647" t="s">
        <v>1543</v>
      </c>
      <c r="CL87" s="636" t="s">
        <v>1544</v>
      </c>
      <c r="CM87" s="636" t="s">
        <v>1545</v>
      </c>
      <c r="CN87" s="637" t="s">
        <v>1546</v>
      </c>
      <c r="CO87" s="636" t="s">
        <v>1547</v>
      </c>
      <c r="CP87" s="643"/>
      <c r="CQ87" s="643"/>
      <c r="CR87" s="643"/>
      <c r="CS87" s="636" t="s">
        <v>1548</v>
      </c>
      <c r="CT87" s="636" t="s">
        <v>1549</v>
      </c>
      <c r="CU87" s="643"/>
      <c r="CV87" s="643"/>
      <c r="CW87" s="643"/>
      <c r="CX87" s="643"/>
      <c r="CY87" s="643"/>
      <c r="CZ87" s="643"/>
      <c r="DA87" s="643"/>
      <c r="DB87" s="643"/>
      <c r="DC87" s="636" t="s">
        <v>1550</v>
      </c>
      <c r="DD87" s="636" t="s">
        <v>1551</v>
      </c>
      <c r="DE87" s="643"/>
    </row>
    <row r="88" spans="2:109" ht="6.75" customHeight="1">
      <c r="B88" s="35"/>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7"/>
      <c r="AH88" s="24"/>
      <c r="AI88" s="24"/>
      <c r="AJ88" s="24"/>
      <c r="AK88" s="24"/>
      <c r="AL88" s="630" t="str">
        <f t="shared" si="2"/>
        <v>Izúcar de Matamoros</v>
      </c>
      <c r="AM88" s="630">
        <f t="shared" si="3"/>
        <v>21085</v>
      </c>
      <c r="AO88" s="24"/>
      <c r="AP88" s="628">
        <v>86</v>
      </c>
      <c r="AQ88" s="642"/>
      <c r="AR88" s="642"/>
      <c r="AS88" s="642"/>
      <c r="AT88" s="642"/>
      <c r="AU88" s="642"/>
      <c r="AV88" s="642"/>
      <c r="AW88" s="634">
        <v>7085</v>
      </c>
      <c r="AX88" s="642"/>
      <c r="AY88" s="642"/>
      <c r="AZ88" s="642"/>
      <c r="BA88" s="642"/>
      <c r="BB88" s="641">
        <v>12085</v>
      </c>
      <c r="BC88" s="642">
        <v>13099</v>
      </c>
      <c r="BD88" s="634">
        <v>14085</v>
      </c>
      <c r="BE88" s="635">
        <v>15085</v>
      </c>
      <c r="BF88" s="634">
        <v>16085</v>
      </c>
      <c r="BG88" s="642"/>
      <c r="BH88" s="642"/>
      <c r="BI88" s="642"/>
      <c r="BJ88" s="634">
        <v>20085</v>
      </c>
      <c r="BK88" s="634">
        <v>21085</v>
      </c>
      <c r="BL88" s="642"/>
      <c r="BM88" s="642"/>
      <c r="BN88" s="642"/>
      <c r="BO88" s="642"/>
      <c r="BP88" s="642"/>
      <c r="BQ88" s="642"/>
      <c r="BR88" s="642"/>
      <c r="BS88" s="642"/>
      <c r="BT88" s="634">
        <v>30085</v>
      </c>
      <c r="BU88" s="634">
        <v>31085</v>
      </c>
      <c r="BV88" s="642"/>
      <c r="BW88" s="24"/>
      <c r="BX88" s="24"/>
      <c r="BY88" s="24"/>
      <c r="BZ88" s="643"/>
      <c r="CA88" s="643"/>
      <c r="CB88" s="643"/>
      <c r="CC88" s="643"/>
      <c r="CD88" s="643"/>
      <c r="CE88" s="643"/>
      <c r="CF88" s="636" t="s">
        <v>1552</v>
      </c>
      <c r="CG88" s="643"/>
      <c r="CH88" s="643"/>
      <c r="CI88" s="643"/>
      <c r="CJ88" s="643"/>
      <c r="CK88" s="647" t="s">
        <v>928</v>
      </c>
      <c r="CL88" s="636" t="s">
        <v>201</v>
      </c>
      <c r="CM88" s="636" t="s">
        <v>1553</v>
      </c>
      <c r="CN88" s="637" t="s">
        <v>1554</v>
      </c>
      <c r="CO88" s="636" t="s">
        <v>1555</v>
      </c>
      <c r="CP88" s="643"/>
      <c r="CQ88" s="643"/>
      <c r="CR88" s="643"/>
      <c r="CS88" s="636" t="s">
        <v>1556</v>
      </c>
      <c r="CT88" s="636" t="s">
        <v>1557</v>
      </c>
      <c r="CU88" s="643"/>
      <c r="CV88" s="643"/>
      <c r="CW88" s="643"/>
      <c r="CX88" s="643"/>
      <c r="CY88" s="643"/>
      <c r="CZ88" s="643"/>
      <c r="DA88" s="643"/>
      <c r="DB88" s="643"/>
      <c r="DC88" s="636" t="s">
        <v>1558</v>
      </c>
      <c r="DD88" s="636" t="s">
        <v>1559</v>
      </c>
      <c r="DE88" s="643"/>
    </row>
    <row r="89" spans="2:109" ht="15" customHeight="1">
      <c r="B89" s="35"/>
      <c r="C89" s="36"/>
      <c r="D89" s="36"/>
      <c r="E89" s="36"/>
      <c r="F89" s="739" t="s">
        <v>1560</v>
      </c>
      <c r="G89" s="740"/>
      <c r="H89" s="740"/>
      <c r="I89" s="740"/>
      <c r="J89" s="741"/>
      <c r="K89" s="732" t="s">
        <v>1561</v>
      </c>
      <c r="L89" s="732"/>
      <c r="M89" s="732"/>
      <c r="N89" s="732"/>
      <c r="O89" s="732"/>
      <c r="P89" s="732"/>
      <c r="Q89" s="732"/>
      <c r="R89" s="732"/>
      <c r="S89" s="732"/>
      <c r="T89" s="732"/>
      <c r="U89" s="732"/>
      <c r="V89" s="732"/>
      <c r="W89" s="732"/>
      <c r="X89" s="732"/>
      <c r="Y89" s="732"/>
      <c r="Z89" s="732"/>
      <c r="AA89" s="36"/>
      <c r="AB89" s="36"/>
      <c r="AC89" s="36"/>
      <c r="AD89" s="37"/>
      <c r="AH89" s="24"/>
      <c r="AI89" s="24"/>
      <c r="AJ89" s="24"/>
      <c r="AK89" s="24"/>
      <c r="AL89" s="630" t="str">
        <f t="shared" si="2"/>
        <v>Jalpan</v>
      </c>
      <c r="AM89" s="630">
        <f t="shared" si="3"/>
        <v>21086</v>
      </c>
      <c r="AO89" s="24"/>
      <c r="AP89" s="628">
        <v>87</v>
      </c>
      <c r="AQ89" s="642"/>
      <c r="AR89" s="642"/>
      <c r="AS89" s="642"/>
      <c r="AT89" s="642"/>
      <c r="AU89" s="642"/>
      <c r="AV89" s="642"/>
      <c r="AW89" s="634">
        <v>7086</v>
      </c>
      <c r="AX89" s="642"/>
      <c r="AY89" s="642"/>
      <c r="AZ89" s="642"/>
      <c r="BA89" s="642"/>
      <c r="BB89" s="634">
        <v>12099</v>
      </c>
      <c r="BC89" s="642"/>
      <c r="BD89" s="634">
        <v>14086</v>
      </c>
      <c r="BE89" s="635">
        <v>15086</v>
      </c>
      <c r="BF89" s="634">
        <v>16086</v>
      </c>
      <c r="BG89" s="642"/>
      <c r="BH89" s="642"/>
      <c r="BI89" s="642"/>
      <c r="BJ89" s="634">
        <v>20086</v>
      </c>
      <c r="BK89" s="634">
        <v>21086</v>
      </c>
      <c r="BL89" s="642"/>
      <c r="BM89" s="642"/>
      <c r="BN89" s="642"/>
      <c r="BO89" s="642"/>
      <c r="BP89" s="642"/>
      <c r="BQ89" s="642"/>
      <c r="BR89" s="642"/>
      <c r="BS89" s="642"/>
      <c r="BT89" s="634">
        <v>30086</v>
      </c>
      <c r="BU89" s="634">
        <v>31086</v>
      </c>
      <c r="BV89" s="642"/>
      <c r="BW89" s="24"/>
      <c r="BX89" s="24"/>
      <c r="BY89" s="24"/>
      <c r="BZ89" s="643"/>
      <c r="CA89" s="643"/>
      <c r="CB89" s="643"/>
      <c r="CC89" s="643"/>
      <c r="CD89" s="643"/>
      <c r="CE89" s="643"/>
      <c r="CF89" s="636" t="s">
        <v>1562</v>
      </c>
      <c r="CG89" s="643"/>
      <c r="CH89" s="643"/>
      <c r="CI89" s="643"/>
      <c r="CJ89" s="643"/>
      <c r="CK89" s="636" t="s">
        <v>201</v>
      </c>
      <c r="CL89" s="643"/>
      <c r="CM89" s="636" t="s">
        <v>1563</v>
      </c>
      <c r="CN89" s="637" t="s">
        <v>1564</v>
      </c>
      <c r="CO89" s="636" t="s">
        <v>1565</v>
      </c>
      <c r="CP89" s="643"/>
      <c r="CQ89" s="643"/>
      <c r="CR89" s="643"/>
      <c r="CS89" s="636" t="s">
        <v>1566</v>
      </c>
      <c r="CT89" s="636" t="s">
        <v>1567</v>
      </c>
      <c r="CU89" s="643"/>
      <c r="CV89" s="643"/>
      <c r="CW89" s="643"/>
      <c r="CX89" s="643"/>
      <c r="CY89" s="643"/>
      <c r="CZ89" s="643"/>
      <c r="DA89" s="643"/>
      <c r="DB89" s="643"/>
      <c r="DC89" s="636" t="s">
        <v>1568</v>
      </c>
      <c r="DD89" s="636" t="s">
        <v>1569</v>
      </c>
      <c r="DE89" s="643"/>
    </row>
    <row r="90" spans="2:109" ht="24" customHeight="1">
      <c r="B90" s="35"/>
      <c r="C90" s="36"/>
      <c r="D90" s="36"/>
      <c r="E90" s="36"/>
      <c r="F90" s="733" t="s">
        <v>7172</v>
      </c>
      <c r="G90" s="734"/>
      <c r="H90" s="734"/>
      <c r="I90" s="734"/>
      <c r="J90" s="735"/>
      <c r="K90" s="736" t="s">
        <v>1570</v>
      </c>
      <c r="L90" s="736"/>
      <c r="M90" s="736"/>
      <c r="N90" s="736"/>
      <c r="O90" s="736"/>
      <c r="P90" s="736"/>
      <c r="Q90" s="736"/>
      <c r="R90" s="736"/>
      <c r="S90" s="736"/>
      <c r="T90" s="736"/>
      <c r="U90" s="736"/>
      <c r="V90" s="736"/>
      <c r="W90" s="736"/>
      <c r="X90" s="736"/>
      <c r="Y90" s="736"/>
      <c r="Z90" s="736"/>
      <c r="AA90" s="36"/>
      <c r="AB90" s="36"/>
      <c r="AC90" s="36"/>
      <c r="AD90" s="37"/>
      <c r="AH90" s="24"/>
      <c r="AI90" s="24"/>
      <c r="AJ90" s="24"/>
      <c r="AK90" s="24"/>
      <c r="AL90" s="630" t="str">
        <f t="shared" si="2"/>
        <v>Jolalpan</v>
      </c>
      <c r="AM90" s="630">
        <f t="shared" si="3"/>
        <v>21087</v>
      </c>
      <c r="AO90" s="24"/>
      <c r="AP90" s="628">
        <v>88</v>
      </c>
      <c r="AQ90" s="642"/>
      <c r="AR90" s="642"/>
      <c r="AS90" s="642"/>
      <c r="AT90" s="642"/>
      <c r="AU90" s="642"/>
      <c r="AV90" s="642"/>
      <c r="AW90" s="634">
        <v>7087</v>
      </c>
      <c r="AX90" s="642"/>
      <c r="AY90" s="642"/>
      <c r="AZ90" s="642"/>
      <c r="BA90" s="642"/>
      <c r="BB90" s="642"/>
      <c r="BC90" s="642"/>
      <c r="BD90" s="634">
        <v>14087</v>
      </c>
      <c r="BE90" s="635">
        <v>15087</v>
      </c>
      <c r="BF90" s="634">
        <v>16087</v>
      </c>
      <c r="BG90" s="642"/>
      <c r="BH90" s="642"/>
      <c r="BI90" s="642"/>
      <c r="BJ90" s="634">
        <v>20087</v>
      </c>
      <c r="BK90" s="634">
        <v>21087</v>
      </c>
      <c r="BL90" s="642"/>
      <c r="BM90" s="642"/>
      <c r="BN90" s="642"/>
      <c r="BO90" s="642"/>
      <c r="BP90" s="642"/>
      <c r="BQ90" s="642"/>
      <c r="BR90" s="642"/>
      <c r="BS90" s="642"/>
      <c r="BT90" s="634">
        <v>30087</v>
      </c>
      <c r="BU90" s="634">
        <v>31087</v>
      </c>
      <c r="BV90" s="642"/>
      <c r="BW90" s="24"/>
      <c r="BX90" s="24"/>
      <c r="BY90" s="24"/>
      <c r="BZ90" s="643"/>
      <c r="CA90" s="643"/>
      <c r="CB90" s="643"/>
      <c r="CC90" s="643"/>
      <c r="CD90" s="643"/>
      <c r="CE90" s="643"/>
      <c r="CF90" s="636" t="s">
        <v>1571</v>
      </c>
      <c r="CG90" s="643"/>
      <c r="CH90" s="643"/>
      <c r="CI90" s="643"/>
      <c r="CJ90" s="643"/>
      <c r="CK90" s="643"/>
      <c r="CL90" s="643"/>
      <c r="CM90" s="636" t="s">
        <v>1572</v>
      </c>
      <c r="CN90" s="637" t="s">
        <v>1573</v>
      </c>
      <c r="CO90" s="636" t="s">
        <v>1574</v>
      </c>
      <c r="CP90" s="643"/>
      <c r="CQ90" s="643"/>
      <c r="CR90" s="643"/>
      <c r="CS90" s="636" t="s">
        <v>1575</v>
      </c>
      <c r="CT90" s="636" t="s">
        <v>1576</v>
      </c>
      <c r="CU90" s="643"/>
      <c r="CV90" s="643"/>
      <c r="CW90" s="643"/>
      <c r="CX90" s="643"/>
      <c r="CY90" s="643"/>
      <c r="CZ90" s="643"/>
      <c r="DA90" s="643"/>
      <c r="DB90" s="643"/>
      <c r="DC90" s="636" t="s">
        <v>1577</v>
      </c>
      <c r="DD90" s="636" t="s">
        <v>1578</v>
      </c>
      <c r="DE90" s="643"/>
    </row>
    <row r="91" spans="2:109" ht="36" customHeight="1">
      <c r="B91" s="35"/>
      <c r="C91" s="36"/>
      <c r="D91" s="36"/>
      <c r="E91" s="36"/>
      <c r="F91" s="733" t="s">
        <v>7173</v>
      </c>
      <c r="G91" s="734"/>
      <c r="H91" s="734"/>
      <c r="I91" s="734"/>
      <c r="J91" s="735"/>
      <c r="K91" s="736" t="s">
        <v>1579</v>
      </c>
      <c r="L91" s="736"/>
      <c r="M91" s="736"/>
      <c r="N91" s="736"/>
      <c r="O91" s="736"/>
      <c r="P91" s="736"/>
      <c r="Q91" s="736"/>
      <c r="R91" s="736"/>
      <c r="S91" s="736"/>
      <c r="T91" s="736"/>
      <c r="U91" s="736"/>
      <c r="V91" s="736"/>
      <c r="W91" s="736"/>
      <c r="X91" s="736"/>
      <c r="Y91" s="736"/>
      <c r="Z91" s="736"/>
      <c r="AA91" s="36"/>
      <c r="AB91" s="36"/>
      <c r="AC91" s="36"/>
      <c r="AD91" s="37"/>
      <c r="AH91" s="24"/>
      <c r="AI91" s="24"/>
      <c r="AJ91" s="24"/>
      <c r="AK91" s="24"/>
      <c r="AL91" s="630" t="str">
        <f t="shared" si="2"/>
        <v>Jonotla</v>
      </c>
      <c r="AM91" s="630">
        <f t="shared" si="3"/>
        <v>21088</v>
      </c>
      <c r="AO91" s="24"/>
      <c r="AP91" s="628">
        <v>89</v>
      </c>
      <c r="AQ91" s="642"/>
      <c r="AR91" s="642"/>
      <c r="AS91" s="642"/>
      <c r="AT91" s="642"/>
      <c r="AU91" s="642"/>
      <c r="AV91" s="642"/>
      <c r="AW91" s="634">
        <v>7088</v>
      </c>
      <c r="AX91" s="642"/>
      <c r="AY91" s="642"/>
      <c r="AZ91" s="642"/>
      <c r="BA91" s="642"/>
      <c r="BB91" s="642"/>
      <c r="BC91" s="642"/>
      <c r="BD91" s="634">
        <v>14088</v>
      </c>
      <c r="BE91" s="635">
        <v>15088</v>
      </c>
      <c r="BF91" s="634">
        <v>16088</v>
      </c>
      <c r="BG91" s="642"/>
      <c r="BH91" s="642"/>
      <c r="BI91" s="642"/>
      <c r="BJ91" s="634">
        <v>20088</v>
      </c>
      <c r="BK91" s="634">
        <v>21088</v>
      </c>
      <c r="BL91" s="642"/>
      <c r="BM91" s="642"/>
      <c r="BN91" s="642"/>
      <c r="BO91" s="642"/>
      <c r="BP91" s="642"/>
      <c r="BQ91" s="642"/>
      <c r="BR91" s="642"/>
      <c r="BS91" s="642"/>
      <c r="BT91" s="634">
        <v>30088</v>
      </c>
      <c r="BU91" s="634">
        <v>31088</v>
      </c>
      <c r="BV91" s="642"/>
      <c r="BW91" s="24"/>
      <c r="BX91" s="24"/>
      <c r="BY91" s="24"/>
      <c r="BZ91" s="643"/>
      <c r="CA91" s="643"/>
      <c r="CB91" s="643"/>
      <c r="CC91" s="643"/>
      <c r="CD91" s="643"/>
      <c r="CE91" s="643"/>
      <c r="CF91" s="636" t="s">
        <v>1580</v>
      </c>
      <c r="CG91" s="643"/>
      <c r="CH91" s="643"/>
      <c r="CI91" s="643"/>
      <c r="CJ91" s="643"/>
      <c r="CK91" s="643"/>
      <c r="CL91" s="643"/>
      <c r="CM91" s="636" t="s">
        <v>1581</v>
      </c>
      <c r="CN91" s="637" t="s">
        <v>746</v>
      </c>
      <c r="CO91" s="636" t="s">
        <v>1582</v>
      </c>
      <c r="CP91" s="643"/>
      <c r="CQ91" s="643"/>
      <c r="CR91" s="643"/>
      <c r="CS91" s="636" t="s">
        <v>1583</v>
      </c>
      <c r="CT91" s="636" t="s">
        <v>1584</v>
      </c>
      <c r="CU91" s="643"/>
      <c r="CV91" s="643"/>
      <c r="CW91" s="643"/>
      <c r="CX91" s="643"/>
      <c r="CY91" s="643"/>
      <c r="CZ91" s="643"/>
      <c r="DA91" s="643"/>
      <c r="DB91" s="643"/>
      <c r="DC91" s="636" t="s">
        <v>1585</v>
      </c>
      <c r="DD91" s="636" t="s">
        <v>1586</v>
      </c>
      <c r="DE91" s="643"/>
    </row>
    <row r="92" spans="2:109" ht="36" customHeight="1">
      <c r="B92" s="35"/>
      <c r="C92" s="36"/>
      <c r="D92" s="36"/>
      <c r="E92" s="36"/>
      <c r="F92" s="733" t="s">
        <v>7174</v>
      </c>
      <c r="G92" s="734"/>
      <c r="H92" s="734"/>
      <c r="I92" s="734"/>
      <c r="J92" s="735"/>
      <c r="K92" s="736" t="s">
        <v>1587</v>
      </c>
      <c r="L92" s="736"/>
      <c r="M92" s="736"/>
      <c r="N92" s="736"/>
      <c r="O92" s="736"/>
      <c r="P92" s="736"/>
      <c r="Q92" s="736"/>
      <c r="R92" s="736"/>
      <c r="S92" s="736"/>
      <c r="T92" s="736"/>
      <c r="U92" s="736"/>
      <c r="V92" s="736"/>
      <c r="W92" s="736"/>
      <c r="X92" s="736"/>
      <c r="Y92" s="736"/>
      <c r="Z92" s="736"/>
      <c r="AA92" s="36"/>
      <c r="AB92" s="36"/>
      <c r="AC92" s="36"/>
      <c r="AD92" s="37"/>
      <c r="AH92" s="24"/>
      <c r="AI92" s="24"/>
      <c r="AJ92" s="24"/>
      <c r="AK92" s="24"/>
      <c r="AL92" s="630" t="str">
        <f t="shared" si="2"/>
        <v>Jopala</v>
      </c>
      <c r="AM92" s="630">
        <f t="shared" si="3"/>
        <v>21089</v>
      </c>
      <c r="AO92" s="24"/>
      <c r="AP92" s="628">
        <v>90</v>
      </c>
      <c r="AQ92" s="642"/>
      <c r="AR92" s="642"/>
      <c r="AS92" s="642"/>
      <c r="AT92" s="642"/>
      <c r="AU92" s="642"/>
      <c r="AV92" s="642"/>
      <c r="AW92" s="634">
        <v>7089</v>
      </c>
      <c r="AX92" s="642"/>
      <c r="AY92" s="642"/>
      <c r="AZ92" s="642"/>
      <c r="BA92" s="642"/>
      <c r="BB92" s="642"/>
      <c r="BC92" s="642"/>
      <c r="BD92" s="634">
        <v>14089</v>
      </c>
      <c r="BE92" s="635">
        <v>15089</v>
      </c>
      <c r="BF92" s="634">
        <v>16089</v>
      </c>
      <c r="BG92" s="642"/>
      <c r="BH92" s="642"/>
      <c r="BI92" s="642"/>
      <c r="BJ92" s="634">
        <v>20089</v>
      </c>
      <c r="BK92" s="634">
        <v>21089</v>
      </c>
      <c r="BL92" s="642"/>
      <c r="BM92" s="642"/>
      <c r="BN92" s="642"/>
      <c r="BO92" s="642"/>
      <c r="BP92" s="642"/>
      <c r="BQ92" s="642"/>
      <c r="BR92" s="642"/>
      <c r="BS92" s="642"/>
      <c r="BT92" s="634">
        <v>30089</v>
      </c>
      <c r="BU92" s="634">
        <v>31089</v>
      </c>
      <c r="BV92" s="642"/>
      <c r="BW92" s="24"/>
      <c r="BX92" s="24"/>
      <c r="BY92" s="24"/>
      <c r="BZ92" s="643"/>
      <c r="CA92" s="643"/>
      <c r="CB92" s="643"/>
      <c r="CC92" s="643"/>
      <c r="CD92" s="643"/>
      <c r="CE92" s="643"/>
      <c r="CF92" s="636" t="s">
        <v>1588</v>
      </c>
      <c r="CG92" s="643"/>
      <c r="CH92" s="643"/>
      <c r="CI92" s="643"/>
      <c r="CJ92" s="643"/>
      <c r="CK92" s="643"/>
      <c r="CL92" s="643"/>
      <c r="CM92" s="636" t="s">
        <v>1589</v>
      </c>
      <c r="CN92" s="637" t="s">
        <v>1590</v>
      </c>
      <c r="CO92" s="636" t="s">
        <v>1591</v>
      </c>
      <c r="CP92" s="643"/>
      <c r="CQ92" s="643"/>
      <c r="CR92" s="643"/>
      <c r="CS92" s="636" t="s">
        <v>1592</v>
      </c>
      <c r="CT92" s="636" t="s">
        <v>1593</v>
      </c>
      <c r="CU92" s="643"/>
      <c r="CV92" s="643"/>
      <c r="CW92" s="643"/>
      <c r="CX92" s="643"/>
      <c r="CY92" s="643"/>
      <c r="CZ92" s="643"/>
      <c r="DA92" s="643"/>
      <c r="DB92" s="643"/>
      <c r="DC92" s="636" t="s">
        <v>1594</v>
      </c>
      <c r="DD92" s="636" t="s">
        <v>1595</v>
      </c>
      <c r="DE92" s="643"/>
    </row>
    <row r="93" spans="2:109" ht="24" customHeight="1">
      <c r="B93" s="35"/>
      <c r="C93" s="36"/>
      <c r="D93" s="36"/>
      <c r="E93" s="36"/>
      <c r="F93" s="733" t="s">
        <v>7175</v>
      </c>
      <c r="G93" s="734"/>
      <c r="H93" s="734"/>
      <c r="I93" s="734"/>
      <c r="J93" s="735"/>
      <c r="K93" s="736" t="s">
        <v>1596</v>
      </c>
      <c r="L93" s="736"/>
      <c r="M93" s="736"/>
      <c r="N93" s="736"/>
      <c r="O93" s="736"/>
      <c r="P93" s="736"/>
      <c r="Q93" s="736"/>
      <c r="R93" s="736"/>
      <c r="S93" s="736"/>
      <c r="T93" s="736"/>
      <c r="U93" s="736"/>
      <c r="V93" s="736"/>
      <c r="W93" s="736"/>
      <c r="X93" s="736"/>
      <c r="Y93" s="736"/>
      <c r="Z93" s="736"/>
      <c r="AA93" s="36"/>
      <c r="AB93" s="36"/>
      <c r="AC93" s="36"/>
      <c r="AD93" s="37"/>
      <c r="AH93" s="24"/>
      <c r="AI93" s="24"/>
      <c r="AJ93" s="24"/>
      <c r="AK93" s="24"/>
      <c r="AL93" s="630" t="str">
        <f t="shared" si="2"/>
        <v>Juan C. Bonilla</v>
      </c>
      <c r="AM93" s="630">
        <f t="shared" si="3"/>
        <v>21090</v>
      </c>
      <c r="AO93" s="24"/>
      <c r="AP93" s="628">
        <v>91</v>
      </c>
      <c r="AQ93" s="642"/>
      <c r="AR93" s="642"/>
      <c r="AS93" s="642"/>
      <c r="AT93" s="642"/>
      <c r="AU93" s="642"/>
      <c r="AV93" s="642"/>
      <c r="AW93" s="634">
        <v>7090</v>
      </c>
      <c r="AX93" s="642"/>
      <c r="AY93" s="642"/>
      <c r="AZ93" s="642"/>
      <c r="BA93" s="642"/>
      <c r="BB93" s="642"/>
      <c r="BC93" s="642"/>
      <c r="BD93" s="634">
        <v>14090</v>
      </c>
      <c r="BE93" s="635">
        <v>15090</v>
      </c>
      <c r="BF93" s="634">
        <v>16090</v>
      </c>
      <c r="BG93" s="642"/>
      <c r="BH93" s="642"/>
      <c r="BI93" s="642"/>
      <c r="BJ93" s="634">
        <v>20090</v>
      </c>
      <c r="BK93" s="634">
        <v>21090</v>
      </c>
      <c r="BL93" s="642"/>
      <c r="BM93" s="642"/>
      <c r="BN93" s="642"/>
      <c r="BO93" s="642"/>
      <c r="BP93" s="642"/>
      <c r="BQ93" s="642"/>
      <c r="BR93" s="642"/>
      <c r="BS93" s="642"/>
      <c r="BT93" s="634">
        <v>30090</v>
      </c>
      <c r="BU93" s="634">
        <v>31090</v>
      </c>
      <c r="BV93" s="642"/>
      <c r="BW93" s="24"/>
      <c r="BX93" s="24"/>
      <c r="BY93" s="24"/>
      <c r="BZ93" s="643"/>
      <c r="CA93" s="643"/>
      <c r="CB93" s="643"/>
      <c r="CC93" s="643"/>
      <c r="CD93" s="643"/>
      <c r="CE93" s="643"/>
      <c r="CF93" s="636" t="s">
        <v>1597</v>
      </c>
      <c r="CG93" s="643"/>
      <c r="CH93" s="643"/>
      <c r="CI93" s="643"/>
      <c r="CJ93" s="643"/>
      <c r="CK93" s="643"/>
      <c r="CL93" s="643"/>
      <c r="CM93" s="636" t="s">
        <v>1598</v>
      </c>
      <c r="CN93" s="637" t="s">
        <v>1599</v>
      </c>
      <c r="CO93" s="636" t="s">
        <v>1600</v>
      </c>
      <c r="CP93" s="643"/>
      <c r="CQ93" s="643"/>
      <c r="CR93" s="643"/>
      <c r="CS93" s="636" t="s">
        <v>1601</v>
      </c>
      <c r="CT93" s="636" t="s">
        <v>1602</v>
      </c>
      <c r="CU93" s="643"/>
      <c r="CV93" s="643"/>
      <c r="CW93" s="643"/>
      <c r="CX93" s="643"/>
      <c r="CY93" s="643"/>
      <c r="CZ93" s="643"/>
      <c r="DA93" s="643"/>
      <c r="DB93" s="643"/>
      <c r="DC93" s="636" t="s">
        <v>1603</v>
      </c>
      <c r="DD93" s="636" t="s">
        <v>1604</v>
      </c>
      <c r="DE93" s="643"/>
    </row>
    <row r="94" spans="2:109" ht="6.75" customHeight="1">
      <c r="B94" s="35"/>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7"/>
      <c r="AH94" s="24"/>
      <c r="AI94" s="24"/>
      <c r="AJ94" s="24"/>
      <c r="AK94" s="24"/>
      <c r="AL94" s="630" t="str">
        <f t="shared" si="2"/>
        <v>Juan Galindo</v>
      </c>
      <c r="AM94" s="630">
        <f t="shared" si="3"/>
        <v>21091</v>
      </c>
      <c r="AO94" s="24"/>
      <c r="AP94" s="628">
        <v>92</v>
      </c>
      <c r="AQ94" s="642"/>
      <c r="AR94" s="642"/>
      <c r="AS94" s="642"/>
      <c r="AT94" s="642"/>
      <c r="AU94" s="642"/>
      <c r="AV94" s="642"/>
      <c r="AW94" s="634">
        <v>7091</v>
      </c>
      <c r="AX94" s="642"/>
      <c r="AY94" s="642"/>
      <c r="AZ94" s="642"/>
      <c r="BA94" s="642"/>
      <c r="BB94" s="642"/>
      <c r="BC94" s="642"/>
      <c r="BD94" s="634">
        <v>14091</v>
      </c>
      <c r="BE94" s="635">
        <v>15091</v>
      </c>
      <c r="BF94" s="634">
        <v>16091</v>
      </c>
      <c r="BG94" s="642"/>
      <c r="BH94" s="642"/>
      <c r="BI94" s="642"/>
      <c r="BJ94" s="634">
        <v>20091</v>
      </c>
      <c r="BK94" s="634">
        <v>21091</v>
      </c>
      <c r="BL94" s="642"/>
      <c r="BM94" s="642"/>
      <c r="BN94" s="642"/>
      <c r="BO94" s="642"/>
      <c r="BP94" s="642"/>
      <c r="BQ94" s="642"/>
      <c r="BR94" s="642"/>
      <c r="BS94" s="642"/>
      <c r="BT94" s="634">
        <v>30091</v>
      </c>
      <c r="BU94" s="634">
        <v>31091</v>
      </c>
      <c r="BV94" s="642"/>
      <c r="BW94" s="24"/>
      <c r="BX94" s="24"/>
      <c r="BY94" s="24"/>
      <c r="BZ94" s="643"/>
      <c r="CA94" s="643"/>
      <c r="CB94" s="643"/>
      <c r="CC94" s="643"/>
      <c r="CD94" s="643"/>
      <c r="CE94" s="643"/>
      <c r="CF94" s="636" t="s">
        <v>1605</v>
      </c>
      <c r="CG94" s="643"/>
      <c r="CH94" s="643"/>
      <c r="CI94" s="643"/>
      <c r="CJ94" s="643"/>
      <c r="CK94" s="643"/>
      <c r="CL94" s="643"/>
      <c r="CM94" s="636" t="s">
        <v>1606</v>
      </c>
      <c r="CN94" s="637" t="s">
        <v>1607</v>
      </c>
      <c r="CO94" s="636" t="s">
        <v>1608</v>
      </c>
      <c r="CP94" s="643"/>
      <c r="CQ94" s="643"/>
      <c r="CR94" s="643"/>
      <c r="CS94" s="636" t="s">
        <v>1609</v>
      </c>
      <c r="CT94" s="636" t="s">
        <v>1610</v>
      </c>
      <c r="CU94" s="643"/>
      <c r="CV94" s="643"/>
      <c r="CW94" s="643"/>
      <c r="CX94" s="643"/>
      <c r="CY94" s="643"/>
      <c r="CZ94" s="643"/>
      <c r="DA94" s="643"/>
      <c r="DB94" s="643"/>
      <c r="DC94" s="636" t="s">
        <v>1611</v>
      </c>
      <c r="DD94" s="636" t="s">
        <v>1612</v>
      </c>
      <c r="DE94" s="643"/>
    </row>
    <row r="95" spans="2:109" ht="36" customHeight="1">
      <c r="B95" s="35"/>
      <c r="C95" s="731" t="s">
        <v>1613</v>
      </c>
      <c r="D95" s="731"/>
      <c r="E95" s="731"/>
      <c r="F95" s="731"/>
      <c r="G95" s="731"/>
      <c r="H95" s="731"/>
      <c r="I95" s="731"/>
      <c r="J95" s="731"/>
      <c r="K95" s="731"/>
      <c r="L95" s="731"/>
      <c r="M95" s="731"/>
      <c r="N95" s="731"/>
      <c r="O95" s="731"/>
      <c r="P95" s="731"/>
      <c r="Q95" s="731"/>
      <c r="R95" s="731"/>
      <c r="S95" s="731"/>
      <c r="T95" s="731"/>
      <c r="U95" s="731"/>
      <c r="V95" s="731"/>
      <c r="W95" s="731"/>
      <c r="X95" s="731"/>
      <c r="Y95" s="731"/>
      <c r="Z95" s="731"/>
      <c r="AA95" s="731"/>
      <c r="AB95" s="731"/>
      <c r="AC95" s="731"/>
      <c r="AD95" s="37"/>
      <c r="AH95" s="24"/>
      <c r="AI95" s="24"/>
      <c r="AJ95" s="24"/>
      <c r="AK95" s="24"/>
      <c r="AL95" s="630" t="str">
        <f t="shared" si="2"/>
        <v>Juan N. Méndez</v>
      </c>
      <c r="AM95" s="630">
        <f t="shared" si="3"/>
        <v>21092</v>
      </c>
      <c r="AO95" s="24"/>
      <c r="AP95" s="628">
        <v>93</v>
      </c>
      <c r="AQ95" s="642"/>
      <c r="AR95" s="642"/>
      <c r="AS95" s="642"/>
      <c r="AT95" s="642"/>
      <c r="AU95" s="642"/>
      <c r="AV95" s="642"/>
      <c r="AW95" s="634">
        <v>7092</v>
      </c>
      <c r="AX95" s="642"/>
      <c r="AY95" s="642"/>
      <c r="AZ95" s="642"/>
      <c r="BA95" s="642"/>
      <c r="BB95" s="642"/>
      <c r="BC95" s="642"/>
      <c r="BD95" s="634">
        <v>14092</v>
      </c>
      <c r="BE95" s="635">
        <v>15092</v>
      </c>
      <c r="BF95" s="634">
        <v>16092</v>
      </c>
      <c r="BG95" s="642"/>
      <c r="BH95" s="642"/>
      <c r="BI95" s="642"/>
      <c r="BJ95" s="634">
        <v>20092</v>
      </c>
      <c r="BK95" s="634">
        <v>21092</v>
      </c>
      <c r="BL95" s="642"/>
      <c r="BM95" s="642"/>
      <c r="BN95" s="642"/>
      <c r="BO95" s="642"/>
      <c r="BP95" s="642"/>
      <c r="BQ95" s="642"/>
      <c r="BR95" s="642"/>
      <c r="BS95" s="642"/>
      <c r="BT95" s="634">
        <v>30092</v>
      </c>
      <c r="BU95" s="634">
        <v>31092</v>
      </c>
      <c r="BV95" s="642"/>
      <c r="BW95" s="24"/>
      <c r="BX95" s="24"/>
      <c r="BY95" s="24"/>
      <c r="BZ95" s="643"/>
      <c r="CA95" s="643"/>
      <c r="CB95" s="643"/>
      <c r="CC95" s="643"/>
      <c r="CD95" s="643"/>
      <c r="CE95" s="643"/>
      <c r="CF95" s="636" t="s">
        <v>1614</v>
      </c>
      <c r="CG95" s="643"/>
      <c r="CH95" s="643"/>
      <c r="CI95" s="643"/>
      <c r="CJ95" s="643"/>
      <c r="CK95" s="643"/>
      <c r="CL95" s="643"/>
      <c r="CM95" s="636" t="s">
        <v>1615</v>
      </c>
      <c r="CN95" s="637" t="s">
        <v>1616</v>
      </c>
      <c r="CO95" s="636" t="s">
        <v>1617</v>
      </c>
      <c r="CP95" s="643"/>
      <c r="CQ95" s="643"/>
      <c r="CR95" s="643"/>
      <c r="CS95" s="636" t="s">
        <v>1618</v>
      </c>
      <c r="CT95" s="636" t="s">
        <v>1619</v>
      </c>
      <c r="CU95" s="643"/>
      <c r="CV95" s="643"/>
      <c r="CW95" s="643"/>
      <c r="CX95" s="643"/>
      <c r="CY95" s="643"/>
      <c r="CZ95" s="643"/>
      <c r="DA95" s="643"/>
      <c r="DB95" s="643"/>
      <c r="DC95" s="636" t="s">
        <v>1620</v>
      </c>
      <c r="DD95" s="636" t="s">
        <v>1621</v>
      </c>
      <c r="DE95" s="643"/>
    </row>
    <row r="96" spans="2:109" ht="6.75" customHeight="1">
      <c r="B96" s="35"/>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7"/>
      <c r="AH96" s="24"/>
      <c r="AI96" s="24"/>
      <c r="AJ96" s="24"/>
      <c r="AK96" s="24"/>
      <c r="AL96" s="630" t="str">
        <f t="shared" si="2"/>
        <v>Lafragua</v>
      </c>
      <c r="AM96" s="630">
        <f t="shared" si="3"/>
        <v>21093</v>
      </c>
      <c r="AO96" s="24"/>
      <c r="AP96" s="628">
        <v>94</v>
      </c>
      <c r="AQ96" s="642"/>
      <c r="AR96" s="642"/>
      <c r="AS96" s="642"/>
      <c r="AT96" s="642"/>
      <c r="AU96" s="642"/>
      <c r="AV96" s="642"/>
      <c r="AW96" s="634">
        <v>7093</v>
      </c>
      <c r="AX96" s="642"/>
      <c r="AY96" s="642"/>
      <c r="AZ96" s="642"/>
      <c r="BA96" s="642"/>
      <c r="BB96" s="642"/>
      <c r="BC96" s="642"/>
      <c r="BD96" s="634">
        <v>14093</v>
      </c>
      <c r="BE96" s="635">
        <v>15093</v>
      </c>
      <c r="BF96" s="634">
        <v>16093</v>
      </c>
      <c r="BG96" s="642"/>
      <c r="BH96" s="642"/>
      <c r="BI96" s="642"/>
      <c r="BJ96" s="634">
        <v>20093</v>
      </c>
      <c r="BK96" s="634">
        <v>21093</v>
      </c>
      <c r="BL96" s="642"/>
      <c r="BM96" s="642"/>
      <c r="BN96" s="642"/>
      <c r="BO96" s="642"/>
      <c r="BP96" s="642"/>
      <c r="BQ96" s="642"/>
      <c r="BR96" s="642"/>
      <c r="BS96" s="642"/>
      <c r="BT96" s="634">
        <v>30093</v>
      </c>
      <c r="BU96" s="634">
        <v>31093</v>
      </c>
      <c r="BV96" s="642"/>
      <c r="BW96" s="24"/>
      <c r="BX96" s="24"/>
      <c r="BY96" s="24"/>
      <c r="BZ96" s="643"/>
      <c r="CA96" s="643"/>
      <c r="CB96" s="643"/>
      <c r="CC96" s="643"/>
      <c r="CD96" s="643"/>
      <c r="CE96" s="643"/>
      <c r="CF96" s="636" t="s">
        <v>1622</v>
      </c>
      <c r="CG96" s="643"/>
      <c r="CH96" s="643"/>
      <c r="CI96" s="643"/>
      <c r="CJ96" s="643"/>
      <c r="CK96" s="643"/>
      <c r="CL96" s="643"/>
      <c r="CM96" s="636" t="s">
        <v>1623</v>
      </c>
      <c r="CN96" s="637" t="s">
        <v>1624</v>
      </c>
      <c r="CO96" s="636" t="s">
        <v>1625</v>
      </c>
      <c r="CP96" s="643"/>
      <c r="CQ96" s="643"/>
      <c r="CR96" s="643"/>
      <c r="CS96" s="636" t="s">
        <v>1626</v>
      </c>
      <c r="CT96" s="636" t="s">
        <v>1627</v>
      </c>
      <c r="CU96" s="643"/>
      <c r="CV96" s="643"/>
      <c r="CW96" s="643"/>
      <c r="CX96" s="643"/>
      <c r="CY96" s="643"/>
      <c r="CZ96" s="643"/>
      <c r="DA96" s="643"/>
      <c r="DB96" s="643"/>
      <c r="DC96" s="636" t="s">
        <v>1082</v>
      </c>
      <c r="DD96" s="636" t="s">
        <v>1628</v>
      </c>
      <c r="DE96" s="643"/>
    </row>
    <row r="97" spans="2:109" ht="15" customHeight="1">
      <c r="B97" s="35"/>
      <c r="C97" s="38"/>
      <c r="D97" s="45" t="s">
        <v>1629</v>
      </c>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7"/>
      <c r="AH97" s="24"/>
      <c r="AI97" s="24"/>
      <c r="AJ97" s="24"/>
      <c r="AK97" s="24"/>
      <c r="AL97" s="630" t="str">
        <f t="shared" si="2"/>
        <v>Libres</v>
      </c>
      <c r="AM97" s="630">
        <f t="shared" si="3"/>
        <v>21094</v>
      </c>
      <c r="AO97" s="24"/>
      <c r="AP97" s="628">
        <v>95</v>
      </c>
      <c r="AQ97" s="642"/>
      <c r="AR97" s="642"/>
      <c r="AS97" s="642"/>
      <c r="AT97" s="642"/>
      <c r="AU97" s="642"/>
      <c r="AV97" s="642"/>
      <c r="AW97" s="634">
        <v>7094</v>
      </c>
      <c r="AX97" s="642"/>
      <c r="AY97" s="642"/>
      <c r="AZ97" s="642"/>
      <c r="BA97" s="642"/>
      <c r="BB97" s="642"/>
      <c r="BC97" s="642"/>
      <c r="BD97" s="634">
        <v>14094</v>
      </c>
      <c r="BE97" s="635">
        <v>15094</v>
      </c>
      <c r="BF97" s="634">
        <v>16094</v>
      </c>
      <c r="BG97" s="642"/>
      <c r="BH97" s="642"/>
      <c r="BI97" s="642"/>
      <c r="BJ97" s="634">
        <v>20094</v>
      </c>
      <c r="BK97" s="634">
        <v>21094</v>
      </c>
      <c r="BL97" s="642"/>
      <c r="BM97" s="642"/>
      <c r="BN97" s="642"/>
      <c r="BO97" s="642"/>
      <c r="BP97" s="642"/>
      <c r="BQ97" s="642"/>
      <c r="BR97" s="642"/>
      <c r="BS97" s="642"/>
      <c r="BT97" s="634">
        <v>30094</v>
      </c>
      <c r="BU97" s="634">
        <v>31094</v>
      </c>
      <c r="BV97" s="642"/>
      <c r="BW97" s="24"/>
      <c r="BX97" s="24"/>
      <c r="BY97" s="24"/>
      <c r="BZ97" s="643"/>
      <c r="CA97" s="643"/>
      <c r="CB97" s="643"/>
      <c r="CC97" s="643"/>
      <c r="CD97" s="643"/>
      <c r="CE97" s="643"/>
      <c r="CF97" s="636" t="s">
        <v>1630</v>
      </c>
      <c r="CG97" s="643"/>
      <c r="CH97" s="643"/>
      <c r="CI97" s="643"/>
      <c r="CJ97" s="643"/>
      <c r="CK97" s="643"/>
      <c r="CL97" s="643"/>
      <c r="CM97" s="636" t="s">
        <v>1631</v>
      </c>
      <c r="CN97" s="637" t="s">
        <v>1632</v>
      </c>
      <c r="CO97" s="636" t="s">
        <v>1633</v>
      </c>
      <c r="CP97" s="643"/>
      <c r="CQ97" s="643"/>
      <c r="CR97" s="643"/>
      <c r="CS97" s="636" t="s">
        <v>1634</v>
      </c>
      <c r="CT97" s="636" t="s">
        <v>1635</v>
      </c>
      <c r="CU97" s="643"/>
      <c r="CV97" s="643"/>
      <c r="CW97" s="643"/>
      <c r="CX97" s="643"/>
      <c r="CY97" s="643"/>
      <c r="CZ97" s="643"/>
      <c r="DA97" s="643"/>
      <c r="DB97" s="643"/>
      <c r="DC97" s="636" t="s">
        <v>1636</v>
      </c>
      <c r="DD97" s="636" t="s">
        <v>1637</v>
      </c>
      <c r="DE97" s="643"/>
    </row>
    <row r="98" spans="2:109" ht="6.75" customHeight="1">
      <c r="B98" s="35"/>
      <c r="C98" s="38"/>
      <c r="D98" s="45"/>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7"/>
      <c r="AH98" s="24"/>
      <c r="AI98" s="24"/>
      <c r="AJ98" s="24"/>
      <c r="AK98" s="24"/>
      <c r="AL98" s="630" t="str">
        <f t="shared" si="2"/>
        <v>La Magdalena Tlatlauquitepec</v>
      </c>
      <c r="AM98" s="630">
        <f t="shared" si="3"/>
        <v>21095</v>
      </c>
      <c r="AO98" s="24"/>
      <c r="AP98" s="628">
        <v>96</v>
      </c>
      <c r="AQ98" s="642"/>
      <c r="AR98" s="642"/>
      <c r="AS98" s="642"/>
      <c r="AT98" s="642"/>
      <c r="AU98" s="642"/>
      <c r="AV98" s="642"/>
      <c r="AW98" s="634">
        <v>7096</v>
      </c>
      <c r="AX98" s="642"/>
      <c r="AY98" s="642"/>
      <c r="AZ98" s="642"/>
      <c r="BA98" s="642"/>
      <c r="BB98" s="642"/>
      <c r="BC98" s="642"/>
      <c r="BD98" s="634">
        <v>14095</v>
      </c>
      <c r="BE98" s="635">
        <v>15095</v>
      </c>
      <c r="BF98" s="634">
        <v>16095</v>
      </c>
      <c r="BG98" s="642"/>
      <c r="BH98" s="642"/>
      <c r="BI98" s="642"/>
      <c r="BJ98" s="634">
        <v>20095</v>
      </c>
      <c r="BK98" s="634">
        <v>21095</v>
      </c>
      <c r="BL98" s="642"/>
      <c r="BM98" s="642"/>
      <c r="BN98" s="642"/>
      <c r="BO98" s="642"/>
      <c r="BP98" s="642"/>
      <c r="BQ98" s="642"/>
      <c r="BR98" s="642"/>
      <c r="BS98" s="642"/>
      <c r="BT98" s="634">
        <v>30095</v>
      </c>
      <c r="BU98" s="634">
        <v>31095</v>
      </c>
      <c r="BV98" s="642"/>
      <c r="BW98" s="24"/>
      <c r="BX98" s="24"/>
      <c r="BY98" s="24"/>
      <c r="BZ98" s="643"/>
      <c r="CA98" s="643"/>
      <c r="CB98" s="643"/>
      <c r="CC98" s="643"/>
      <c r="CD98" s="643"/>
      <c r="CE98" s="643"/>
      <c r="CF98" s="636" t="s">
        <v>1638</v>
      </c>
      <c r="CG98" s="643"/>
      <c r="CH98" s="643"/>
      <c r="CI98" s="643"/>
      <c r="CJ98" s="643"/>
      <c r="CK98" s="643"/>
      <c r="CL98" s="643"/>
      <c r="CM98" s="636" t="s">
        <v>1639</v>
      </c>
      <c r="CN98" s="637" t="s">
        <v>1640</v>
      </c>
      <c r="CO98" s="636" t="s">
        <v>1641</v>
      </c>
      <c r="CP98" s="643"/>
      <c r="CQ98" s="643"/>
      <c r="CR98" s="643"/>
      <c r="CS98" s="636" t="s">
        <v>1642</v>
      </c>
      <c r="CT98" s="636" t="s">
        <v>1643</v>
      </c>
      <c r="CU98" s="643"/>
      <c r="CV98" s="643"/>
      <c r="CW98" s="643"/>
      <c r="CX98" s="643"/>
      <c r="CY98" s="643"/>
      <c r="CZ98" s="643"/>
      <c r="DA98" s="643"/>
      <c r="DB98" s="643"/>
      <c r="DC98" s="636" t="s">
        <v>1644</v>
      </c>
      <c r="DD98" s="636" t="s">
        <v>1645</v>
      </c>
      <c r="DE98" s="643"/>
    </row>
    <row r="99" spans="2:109" ht="24" customHeight="1">
      <c r="B99" s="35"/>
      <c r="C99" s="38"/>
      <c r="D99" s="731" t="s">
        <v>7176</v>
      </c>
      <c r="E99" s="731"/>
      <c r="F99" s="731"/>
      <c r="G99" s="731"/>
      <c r="H99" s="731"/>
      <c r="I99" s="731"/>
      <c r="J99" s="731"/>
      <c r="K99" s="731"/>
      <c r="L99" s="731"/>
      <c r="M99" s="731"/>
      <c r="N99" s="731"/>
      <c r="O99" s="731"/>
      <c r="P99" s="731"/>
      <c r="Q99" s="731"/>
      <c r="R99" s="731"/>
      <c r="S99" s="731"/>
      <c r="T99" s="731"/>
      <c r="U99" s="731"/>
      <c r="V99" s="731"/>
      <c r="W99" s="731"/>
      <c r="X99" s="731"/>
      <c r="Y99" s="731"/>
      <c r="Z99" s="731"/>
      <c r="AA99" s="731"/>
      <c r="AB99" s="731"/>
      <c r="AC99" s="731"/>
      <c r="AD99" s="37"/>
      <c r="AH99" s="24"/>
      <c r="AI99" s="24"/>
      <c r="AJ99" s="24"/>
      <c r="AK99" s="24"/>
      <c r="AL99" s="630" t="str">
        <f t="shared" si="2"/>
        <v>Mazapiltepec de Juárez</v>
      </c>
      <c r="AM99" s="630">
        <f t="shared" si="3"/>
        <v>21096</v>
      </c>
      <c r="AO99" s="24"/>
      <c r="AP99" s="628">
        <v>97</v>
      </c>
      <c r="AQ99" s="642"/>
      <c r="AR99" s="642"/>
      <c r="AS99" s="642"/>
      <c r="AT99" s="642"/>
      <c r="AU99" s="642"/>
      <c r="AV99" s="642"/>
      <c r="AW99" s="634">
        <v>7097</v>
      </c>
      <c r="AX99" s="642"/>
      <c r="AY99" s="642"/>
      <c r="AZ99" s="642"/>
      <c r="BA99" s="642"/>
      <c r="BB99" s="642"/>
      <c r="BC99" s="642"/>
      <c r="BD99" s="634">
        <v>14096</v>
      </c>
      <c r="BE99" s="635">
        <v>15096</v>
      </c>
      <c r="BF99" s="634">
        <v>16096</v>
      </c>
      <c r="BG99" s="642"/>
      <c r="BH99" s="642"/>
      <c r="BI99" s="642"/>
      <c r="BJ99" s="634">
        <v>20096</v>
      </c>
      <c r="BK99" s="634">
        <v>21096</v>
      </c>
      <c r="BL99" s="642"/>
      <c r="BM99" s="642"/>
      <c r="BN99" s="642"/>
      <c r="BO99" s="642"/>
      <c r="BP99" s="642"/>
      <c r="BQ99" s="642"/>
      <c r="BR99" s="642"/>
      <c r="BS99" s="642"/>
      <c r="BT99" s="634">
        <v>30096</v>
      </c>
      <c r="BU99" s="634">
        <v>31096</v>
      </c>
      <c r="BV99" s="642"/>
      <c r="BW99" s="24"/>
      <c r="BX99" s="24"/>
      <c r="BY99" s="24"/>
      <c r="BZ99" s="643"/>
      <c r="CA99" s="643"/>
      <c r="CB99" s="643"/>
      <c r="CC99" s="643"/>
      <c r="CD99" s="643"/>
      <c r="CE99" s="643"/>
      <c r="CF99" s="636" t="s">
        <v>1646</v>
      </c>
      <c r="CG99" s="643"/>
      <c r="CH99" s="643"/>
      <c r="CI99" s="643"/>
      <c r="CJ99" s="643"/>
      <c r="CK99" s="643"/>
      <c r="CL99" s="643"/>
      <c r="CM99" s="636" t="s">
        <v>1647</v>
      </c>
      <c r="CN99" s="637" t="s">
        <v>1648</v>
      </c>
      <c r="CO99" s="636" t="s">
        <v>1649</v>
      </c>
      <c r="CP99" s="643"/>
      <c r="CQ99" s="643"/>
      <c r="CR99" s="643"/>
      <c r="CS99" s="636" t="s">
        <v>1650</v>
      </c>
      <c r="CT99" s="636" t="s">
        <v>1651</v>
      </c>
      <c r="CU99" s="643"/>
      <c r="CV99" s="643"/>
      <c r="CW99" s="643"/>
      <c r="CX99" s="643"/>
      <c r="CY99" s="643"/>
      <c r="CZ99" s="643"/>
      <c r="DA99" s="643"/>
      <c r="DB99" s="643"/>
      <c r="DC99" s="636" t="s">
        <v>1652</v>
      </c>
      <c r="DD99" s="636" t="s">
        <v>1653</v>
      </c>
      <c r="DE99" s="643"/>
    </row>
    <row r="100" spans="2:109" ht="6.75" customHeight="1">
      <c r="B100" s="35"/>
      <c r="C100" s="38"/>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7"/>
      <c r="AH100" s="24"/>
      <c r="AI100" s="24"/>
      <c r="AJ100" s="24"/>
      <c r="AK100" s="24"/>
      <c r="AL100" s="630" t="str">
        <f t="shared" si="2"/>
        <v>Mixtla</v>
      </c>
      <c r="AM100" s="630">
        <f t="shared" si="3"/>
        <v>21097</v>
      </c>
      <c r="AO100" s="24"/>
      <c r="AP100" s="628">
        <v>98</v>
      </c>
      <c r="AQ100" s="642"/>
      <c r="AR100" s="642"/>
      <c r="AS100" s="642"/>
      <c r="AT100" s="642"/>
      <c r="AU100" s="642"/>
      <c r="AV100" s="642"/>
      <c r="AW100" s="634">
        <v>7098</v>
      </c>
      <c r="AX100" s="642"/>
      <c r="AY100" s="642"/>
      <c r="AZ100" s="642"/>
      <c r="BA100" s="642"/>
      <c r="BB100" s="642"/>
      <c r="BC100" s="642"/>
      <c r="BD100" s="634">
        <v>14097</v>
      </c>
      <c r="BE100" s="635">
        <v>15097</v>
      </c>
      <c r="BF100" s="634">
        <v>16097</v>
      </c>
      <c r="BG100" s="642"/>
      <c r="BH100" s="642"/>
      <c r="BI100" s="642"/>
      <c r="BJ100" s="634">
        <v>20097</v>
      </c>
      <c r="BK100" s="634">
        <v>21097</v>
      </c>
      <c r="BL100" s="642"/>
      <c r="BM100" s="642"/>
      <c r="BN100" s="642"/>
      <c r="BO100" s="642"/>
      <c r="BP100" s="642"/>
      <c r="BQ100" s="642"/>
      <c r="BR100" s="642"/>
      <c r="BS100" s="642"/>
      <c r="BT100" s="634">
        <v>30097</v>
      </c>
      <c r="BU100" s="634">
        <v>31097</v>
      </c>
      <c r="BV100" s="642"/>
      <c r="BW100" s="24"/>
      <c r="BX100" s="24"/>
      <c r="BY100" s="24"/>
      <c r="BZ100" s="643"/>
      <c r="CA100" s="643"/>
      <c r="CB100" s="643"/>
      <c r="CC100" s="643"/>
      <c r="CD100" s="643"/>
      <c r="CE100" s="643"/>
      <c r="CF100" s="636" t="s">
        <v>1654</v>
      </c>
      <c r="CG100" s="643"/>
      <c r="CH100" s="643"/>
      <c r="CI100" s="643"/>
      <c r="CJ100" s="643"/>
      <c r="CK100" s="643"/>
      <c r="CL100" s="643"/>
      <c r="CM100" s="636" t="s">
        <v>1655</v>
      </c>
      <c r="CN100" s="637" t="s">
        <v>1656</v>
      </c>
      <c r="CO100" s="636" t="s">
        <v>1657</v>
      </c>
      <c r="CP100" s="643"/>
      <c r="CQ100" s="643"/>
      <c r="CR100" s="643"/>
      <c r="CS100" s="636" t="s">
        <v>1658</v>
      </c>
      <c r="CT100" s="636" t="s">
        <v>1659</v>
      </c>
      <c r="CU100" s="643"/>
      <c r="CV100" s="643"/>
      <c r="CW100" s="643"/>
      <c r="CX100" s="643"/>
      <c r="CY100" s="643"/>
      <c r="CZ100" s="643"/>
      <c r="DA100" s="643"/>
      <c r="DB100" s="643"/>
      <c r="DC100" s="636" t="s">
        <v>1660</v>
      </c>
      <c r="DD100" s="636" t="s">
        <v>1661</v>
      </c>
      <c r="DE100" s="643"/>
    </row>
    <row r="101" spans="2:109" ht="15" customHeight="1">
      <c r="B101" s="35"/>
      <c r="C101" s="38"/>
      <c r="D101" s="45" t="s">
        <v>1662</v>
      </c>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7"/>
      <c r="AH101" s="24"/>
      <c r="AI101" s="24"/>
      <c r="AJ101" s="24"/>
      <c r="AK101" s="24"/>
      <c r="AL101" s="630" t="str">
        <f t="shared" si="2"/>
        <v>Molcaxac</v>
      </c>
      <c r="AM101" s="630">
        <f t="shared" si="3"/>
        <v>21098</v>
      </c>
      <c r="AO101" s="24"/>
      <c r="AP101" s="628">
        <v>99</v>
      </c>
      <c r="AQ101" s="642"/>
      <c r="AR101" s="642"/>
      <c r="AS101" s="642"/>
      <c r="AT101" s="642"/>
      <c r="AU101" s="642"/>
      <c r="AV101" s="642"/>
      <c r="AW101" s="634">
        <v>7099</v>
      </c>
      <c r="AX101" s="642"/>
      <c r="AY101" s="642"/>
      <c r="AZ101" s="642"/>
      <c r="BA101" s="642"/>
      <c r="BB101" s="642"/>
      <c r="BC101" s="642"/>
      <c r="BD101" s="634">
        <v>14098</v>
      </c>
      <c r="BE101" s="635">
        <v>15098</v>
      </c>
      <c r="BF101" s="634">
        <v>16098</v>
      </c>
      <c r="BG101" s="642"/>
      <c r="BH101" s="642"/>
      <c r="BI101" s="642"/>
      <c r="BJ101" s="634">
        <v>20098</v>
      </c>
      <c r="BK101" s="634">
        <v>21098</v>
      </c>
      <c r="BL101" s="642"/>
      <c r="BM101" s="642"/>
      <c r="BN101" s="642"/>
      <c r="BO101" s="642"/>
      <c r="BP101" s="642"/>
      <c r="BQ101" s="642"/>
      <c r="BR101" s="642"/>
      <c r="BS101" s="642"/>
      <c r="BT101" s="634">
        <v>30098</v>
      </c>
      <c r="BU101" s="634">
        <v>31098</v>
      </c>
      <c r="BV101" s="642"/>
      <c r="BW101" s="24"/>
      <c r="BX101" s="24"/>
      <c r="BY101" s="24"/>
      <c r="BZ101" s="643"/>
      <c r="CA101" s="643"/>
      <c r="CB101" s="643"/>
      <c r="CC101" s="643"/>
      <c r="CD101" s="643"/>
      <c r="CE101" s="643"/>
      <c r="CF101" s="636" t="s">
        <v>1663</v>
      </c>
      <c r="CG101" s="643"/>
      <c r="CH101" s="643"/>
      <c r="CI101" s="643"/>
      <c r="CJ101" s="643"/>
      <c r="CK101" s="643"/>
      <c r="CL101" s="643"/>
      <c r="CM101" s="636" t="s">
        <v>1664</v>
      </c>
      <c r="CN101" s="637" t="s">
        <v>1665</v>
      </c>
      <c r="CO101" s="636" t="s">
        <v>551</v>
      </c>
      <c r="CP101" s="643"/>
      <c r="CQ101" s="643"/>
      <c r="CR101" s="643"/>
      <c r="CS101" s="636" t="s">
        <v>1666</v>
      </c>
      <c r="CT101" s="636" t="s">
        <v>1667</v>
      </c>
      <c r="CU101" s="643"/>
      <c r="CV101" s="643"/>
      <c r="CW101" s="643"/>
      <c r="CX101" s="643"/>
      <c r="CY101" s="643"/>
      <c r="CZ101" s="643"/>
      <c r="DA101" s="643"/>
      <c r="DB101" s="643"/>
      <c r="DC101" s="636" t="s">
        <v>927</v>
      </c>
      <c r="DD101" s="636" t="s">
        <v>1668</v>
      </c>
      <c r="DE101" s="643"/>
    </row>
    <row r="102" spans="2:109" ht="6.75" customHeight="1">
      <c r="B102" s="35"/>
      <c r="C102" s="38"/>
      <c r="D102" s="45"/>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7"/>
      <c r="AH102" s="24"/>
      <c r="AI102" s="24"/>
      <c r="AJ102" s="24"/>
      <c r="AK102" s="24"/>
      <c r="AL102" s="630" t="str">
        <f t="shared" si="2"/>
        <v>Cañada Morelos</v>
      </c>
      <c r="AM102" s="630">
        <f t="shared" si="3"/>
        <v>21099</v>
      </c>
      <c r="AO102" s="24"/>
      <c r="AP102" s="628">
        <v>100</v>
      </c>
      <c r="AQ102" s="642"/>
      <c r="AR102" s="642"/>
      <c r="AS102" s="642"/>
      <c r="AT102" s="642"/>
      <c r="AU102" s="642"/>
      <c r="AV102" s="642"/>
      <c r="AW102" s="634">
        <v>7100</v>
      </c>
      <c r="AX102" s="642"/>
      <c r="AY102" s="642"/>
      <c r="AZ102" s="642"/>
      <c r="BA102" s="642"/>
      <c r="BB102" s="642"/>
      <c r="BC102" s="642"/>
      <c r="BD102" s="634">
        <v>14099</v>
      </c>
      <c r="BE102" s="635">
        <v>15099</v>
      </c>
      <c r="BF102" s="634">
        <v>16099</v>
      </c>
      <c r="BG102" s="642"/>
      <c r="BH102" s="642"/>
      <c r="BI102" s="642"/>
      <c r="BJ102" s="634">
        <v>20099</v>
      </c>
      <c r="BK102" s="634">
        <v>21099</v>
      </c>
      <c r="BL102" s="642"/>
      <c r="BM102" s="642"/>
      <c r="BN102" s="642"/>
      <c r="BO102" s="642"/>
      <c r="BP102" s="642"/>
      <c r="BQ102" s="642"/>
      <c r="BR102" s="642"/>
      <c r="BS102" s="642"/>
      <c r="BT102" s="634">
        <v>30099</v>
      </c>
      <c r="BU102" s="634">
        <v>31099</v>
      </c>
      <c r="BV102" s="642"/>
      <c r="BW102" s="24"/>
      <c r="BX102" s="24"/>
      <c r="BY102" s="24"/>
      <c r="BZ102" s="643"/>
      <c r="CA102" s="643"/>
      <c r="CB102" s="643"/>
      <c r="CC102" s="643"/>
      <c r="CD102" s="643"/>
      <c r="CE102" s="643"/>
      <c r="CF102" s="636" t="s">
        <v>1669</v>
      </c>
      <c r="CG102" s="643"/>
      <c r="CH102" s="643"/>
      <c r="CI102" s="643"/>
      <c r="CJ102" s="643"/>
      <c r="CK102" s="643"/>
      <c r="CL102" s="643"/>
      <c r="CM102" s="636" t="s">
        <v>555</v>
      </c>
      <c r="CN102" s="637" t="s">
        <v>1670</v>
      </c>
      <c r="CO102" s="636" t="s">
        <v>1671</v>
      </c>
      <c r="CP102" s="643"/>
      <c r="CQ102" s="643"/>
      <c r="CR102" s="643"/>
      <c r="CS102" s="636" t="s">
        <v>1672</v>
      </c>
      <c r="CT102" s="636" t="s">
        <v>1673</v>
      </c>
      <c r="CU102" s="643"/>
      <c r="CV102" s="643"/>
      <c r="CW102" s="643"/>
      <c r="CX102" s="643"/>
      <c r="CY102" s="643"/>
      <c r="CZ102" s="643"/>
      <c r="DA102" s="643"/>
      <c r="DB102" s="643"/>
      <c r="DC102" s="636" t="s">
        <v>1674</v>
      </c>
      <c r="DD102" s="636" t="s">
        <v>1675</v>
      </c>
      <c r="DE102" s="643"/>
    </row>
    <row r="103" spans="2:109" ht="24" customHeight="1">
      <c r="B103" s="35"/>
      <c r="C103" s="38"/>
      <c r="D103" s="731" t="s">
        <v>1676</v>
      </c>
      <c r="E103" s="731"/>
      <c r="F103" s="731"/>
      <c r="G103" s="731"/>
      <c r="H103" s="731"/>
      <c r="I103" s="731"/>
      <c r="J103" s="731"/>
      <c r="K103" s="731"/>
      <c r="L103" s="731"/>
      <c r="M103" s="731"/>
      <c r="N103" s="731"/>
      <c r="O103" s="731"/>
      <c r="P103" s="731"/>
      <c r="Q103" s="731"/>
      <c r="R103" s="731"/>
      <c r="S103" s="731"/>
      <c r="T103" s="731"/>
      <c r="U103" s="731"/>
      <c r="V103" s="731"/>
      <c r="W103" s="731"/>
      <c r="X103" s="731"/>
      <c r="Y103" s="731"/>
      <c r="Z103" s="731"/>
      <c r="AA103" s="731"/>
      <c r="AB103" s="731"/>
      <c r="AC103" s="731"/>
      <c r="AD103" s="37"/>
      <c r="AH103" s="24"/>
      <c r="AI103" s="24"/>
      <c r="AJ103" s="24"/>
      <c r="AK103" s="24"/>
      <c r="AL103" s="630" t="str">
        <f t="shared" si="2"/>
        <v>Naupan</v>
      </c>
      <c r="AM103" s="630">
        <f t="shared" si="3"/>
        <v>21100</v>
      </c>
      <c r="AO103" s="24"/>
      <c r="AP103" s="628">
        <v>101</v>
      </c>
      <c r="AQ103" s="642"/>
      <c r="AR103" s="642"/>
      <c r="AS103" s="642"/>
      <c r="AT103" s="642"/>
      <c r="AU103" s="642"/>
      <c r="AV103" s="642"/>
      <c r="AW103" s="634">
        <v>7101</v>
      </c>
      <c r="AX103" s="642"/>
      <c r="AY103" s="642"/>
      <c r="AZ103" s="642"/>
      <c r="BA103" s="642"/>
      <c r="BB103" s="642"/>
      <c r="BC103" s="642"/>
      <c r="BD103" s="634">
        <v>14100</v>
      </c>
      <c r="BE103" s="635">
        <v>15100</v>
      </c>
      <c r="BF103" s="634">
        <v>16100</v>
      </c>
      <c r="BG103" s="642"/>
      <c r="BH103" s="642"/>
      <c r="BI103" s="642"/>
      <c r="BJ103" s="634">
        <v>20100</v>
      </c>
      <c r="BK103" s="634">
        <v>21100</v>
      </c>
      <c r="BL103" s="642"/>
      <c r="BM103" s="642"/>
      <c r="BN103" s="642"/>
      <c r="BO103" s="642"/>
      <c r="BP103" s="642"/>
      <c r="BQ103" s="642"/>
      <c r="BR103" s="642"/>
      <c r="BS103" s="642"/>
      <c r="BT103" s="634">
        <v>30100</v>
      </c>
      <c r="BU103" s="634">
        <v>31100</v>
      </c>
      <c r="BV103" s="642"/>
      <c r="BW103" s="24"/>
      <c r="BX103" s="24"/>
      <c r="BY103" s="24"/>
      <c r="BZ103" s="643"/>
      <c r="CA103" s="643"/>
      <c r="CB103" s="643"/>
      <c r="CC103" s="643"/>
      <c r="CD103" s="643"/>
      <c r="CE103" s="643"/>
      <c r="CF103" s="636" t="s">
        <v>1677</v>
      </c>
      <c r="CG103" s="643"/>
      <c r="CH103" s="643"/>
      <c r="CI103" s="643"/>
      <c r="CJ103" s="643"/>
      <c r="CK103" s="643"/>
      <c r="CL103" s="643"/>
      <c r="CM103" s="636" t="s">
        <v>1678</v>
      </c>
      <c r="CN103" s="637" t="s">
        <v>1679</v>
      </c>
      <c r="CO103" s="636" t="s">
        <v>1680</v>
      </c>
      <c r="CP103" s="643"/>
      <c r="CQ103" s="643"/>
      <c r="CR103" s="643"/>
      <c r="CS103" s="636" t="s">
        <v>1681</v>
      </c>
      <c r="CT103" s="636" t="s">
        <v>1682</v>
      </c>
      <c r="CU103" s="643"/>
      <c r="CV103" s="643"/>
      <c r="CW103" s="643"/>
      <c r="CX103" s="643"/>
      <c r="CY103" s="643"/>
      <c r="CZ103" s="643"/>
      <c r="DA103" s="643"/>
      <c r="DB103" s="643"/>
      <c r="DC103" s="636" t="s">
        <v>1683</v>
      </c>
      <c r="DD103" s="636" t="s">
        <v>1684</v>
      </c>
      <c r="DE103" s="643"/>
    </row>
    <row r="104" spans="2:109" ht="6.75" customHeight="1">
      <c r="B104" s="35"/>
      <c r="C104" s="38"/>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37"/>
      <c r="AH104" s="24"/>
      <c r="AI104" s="24"/>
      <c r="AJ104" s="24"/>
      <c r="AK104" s="24"/>
      <c r="AL104" s="630" t="str">
        <f t="shared" si="2"/>
        <v>Nauzontla</v>
      </c>
      <c r="AM104" s="630">
        <f t="shared" si="3"/>
        <v>21101</v>
      </c>
      <c r="AO104" s="24"/>
      <c r="AP104" s="628">
        <v>102</v>
      </c>
      <c r="AQ104" s="642"/>
      <c r="AR104" s="642"/>
      <c r="AS104" s="642"/>
      <c r="AT104" s="642"/>
      <c r="AU104" s="642"/>
      <c r="AV104" s="642"/>
      <c r="AW104" s="634">
        <v>7102</v>
      </c>
      <c r="AX104" s="642"/>
      <c r="AY104" s="642"/>
      <c r="AZ104" s="642"/>
      <c r="BA104" s="642"/>
      <c r="BB104" s="642"/>
      <c r="BC104" s="642"/>
      <c r="BD104" s="634">
        <v>14101</v>
      </c>
      <c r="BE104" s="635">
        <v>15101</v>
      </c>
      <c r="BF104" s="634">
        <v>16101</v>
      </c>
      <c r="BG104" s="642"/>
      <c r="BH104" s="642"/>
      <c r="BI104" s="642"/>
      <c r="BJ104" s="634">
        <v>20101</v>
      </c>
      <c r="BK104" s="634">
        <v>21101</v>
      </c>
      <c r="BL104" s="642"/>
      <c r="BM104" s="642"/>
      <c r="BN104" s="642"/>
      <c r="BO104" s="642"/>
      <c r="BP104" s="642"/>
      <c r="BQ104" s="642"/>
      <c r="BR104" s="642"/>
      <c r="BS104" s="642"/>
      <c r="BT104" s="634">
        <v>30101</v>
      </c>
      <c r="BU104" s="634">
        <v>31101</v>
      </c>
      <c r="BV104" s="642"/>
      <c r="BW104" s="24"/>
      <c r="BX104" s="24"/>
      <c r="BY104" s="24"/>
      <c r="BZ104" s="643"/>
      <c r="CA104" s="643"/>
      <c r="CB104" s="643"/>
      <c r="CC104" s="643"/>
      <c r="CD104" s="643"/>
      <c r="CE104" s="643"/>
      <c r="CF104" s="636" t="s">
        <v>1685</v>
      </c>
      <c r="CG104" s="643"/>
      <c r="CH104" s="643"/>
      <c r="CI104" s="643"/>
      <c r="CJ104" s="643"/>
      <c r="CK104" s="643"/>
      <c r="CL104" s="643"/>
      <c r="CM104" s="636" t="s">
        <v>1646</v>
      </c>
      <c r="CN104" s="637" t="s">
        <v>1686</v>
      </c>
      <c r="CO104" s="636" t="s">
        <v>1687</v>
      </c>
      <c r="CP104" s="643"/>
      <c r="CQ104" s="643"/>
      <c r="CR104" s="643"/>
      <c r="CS104" s="636" t="s">
        <v>1688</v>
      </c>
      <c r="CT104" s="636" t="s">
        <v>1689</v>
      </c>
      <c r="CU104" s="643"/>
      <c r="CV104" s="643"/>
      <c r="CW104" s="643"/>
      <c r="CX104" s="643"/>
      <c r="CY104" s="643"/>
      <c r="CZ104" s="643"/>
      <c r="DA104" s="643"/>
      <c r="DB104" s="643"/>
      <c r="DC104" s="636" t="s">
        <v>1690</v>
      </c>
      <c r="DD104" s="636" t="s">
        <v>1691</v>
      </c>
      <c r="DE104" s="643"/>
    </row>
    <row r="105" spans="2:109" ht="15" customHeight="1">
      <c r="B105" s="35"/>
      <c r="C105" s="38"/>
      <c r="D105" s="45" t="s">
        <v>1692</v>
      </c>
      <c r="E105" s="47"/>
      <c r="F105" s="47"/>
      <c r="G105" s="48"/>
      <c r="H105" s="737" t="s">
        <v>7177</v>
      </c>
      <c r="I105" s="1142"/>
      <c r="J105" s="1142"/>
      <c r="K105" s="1142"/>
      <c r="L105" s="1142"/>
      <c r="M105" s="1142"/>
      <c r="N105" s="1142"/>
      <c r="O105" s="1142"/>
      <c r="P105" s="1142"/>
      <c r="Q105" s="1142"/>
      <c r="R105" s="1142"/>
      <c r="S105" s="1142"/>
      <c r="T105" s="1142"/>
      <c r="U105" s="1142"/>
      <c r="V105" s="1142"/>
      <c r="W105" s="1142"/>
      <c r="X105" s="1142"/>
      <c r="Y105" s="1142"/>
      <c r="Z105" s="1142"/>
      <c r="AA105" s="1142"/>
      <c r="AB105" s="1142"/>
      <c r="AC105" s="1142"/>
      <c r="AD105" s="37"/>
      <c r="AH105" s="24"/>
      <c r="AI105" s="24"/>
      <c r="AJ105" s="24"/>
      <c r="AK105" s="24"/>
      <c r="AL105" s="630" t="str">
        <f t="shared" si="2"/>
        <v>Nealtican</v>
      </c>
      <c r="AM105" s="630">
        <f t="shared" si="3"/>
        <v>21102</v>
      </c>
      <c r="AO105" s="24"/>
      <c r="AP105" s="628">
        <v>103</v>
      </c>
      <c r="AQ105" s="642"/>
      <c r="AR105" s="642"/>
      <c r="AS105" s="642"/>
      <c r="AT105" s="642"/>
      <c r="AU105" s="642"/>
      <c r="AV105" s="642"/>
      <c r="AW105" s="634">
        <v>7103</v>
      </c>
      <c r="AX105" s="642"/>
      <c r="AY105" s="642"/>
      <c r="AZ105" s="642"/>
      <c r="BA105" s="642"/>
      <c r="BB105" s="642"/>
      <c r="BC105" s="642"/>
      <c r="BD105" s="634">
        <v>14102</v>
      </c>
      <c r="BE105" s="635">
        <v>15102</v>
      </c>
      <c r="BF105" s="634">
        <v>16102</v>
      </c>
      <c r="BG105" s="642"/>
      <c r="BH105" s="642"/>
      <c r="BI105" s="642"/>
      <c r="BJ105" s="634">
        <v>20102</v>
      </c>
      <c r="BK105" s="634">
        <v>21102</v>
      </c>
      <c r="BL105" s="642"/>
      <c r="BM105" s="642"/>
      <c r="BN105" s="642"/>
      <c r="BO105" s="642"/>
      <c r="BP105" s="642"/>
      <c r="BQ105" s="642"/>
      <c r="BR105" s="642"/>
      <c r="BS105" s="642"/>
      <c r="BT105" s="634">
        <v>30102</v>
      </c>
      <c r="BU105" s="634">
        <v>31102</v>
      </c>
      <c r="BV105" s="642"/>
      <c r="BW105" s="24"/>
      <c r="BX105" s="24"/>
      <c r="BY105" s="24"/>
      <c r="BZ105" s="643"/>
      <c r="CA105" s="643"/>
      <c r="CB105" s="643"/>
      <c r="CC105" s="643"/>
      <c r="CD105" s="643"/>
      <c r="CE105" s="643"/>
      <c r="CF105" s="636" t="s">
        <v>1693</v>
      </c>
      <c r="CG105" s="643"/>
      <c r="CH105" s="643"/>
      <c r="CI105" s="643"/>
      <c r="CJ105" s="643"/>
      <c r="CK105" s="643"/>
      <c r="CL105" s="643"/>
      <c r="CM105" s="636" t="s">
        <v>1694</v>
      </c>
      <c r="CN105" s="637" t="s">
        <v>1695</v>
      </c>
      <c r="CO105" s="636" t="s">
        <v>1696</v>
      </c>
      <c r="CP105" s="643"/>
      <c r="CQ105" s="643"/>
      <c r="CR105" s="643"/>
      <c r="CS105" s="636" t="s">
        <v>1697</v>
      </c>
      <c r="CT105" s="636" t="s">
        <v>1698</v>
      </c>
      <c r="CU105" s="643"/>
      <c r="CV105" s="643"/>
      <c r="CW105" s="643"/>
      <c r="CX105" s="643"/>
      <c r="CY105" s="643"/>
      <c r="CZ105" s="643"/>
      <c r="DA105" s="643"/>
      <c r="DB105" s="643"/>
      <c r="DC105" s="636" t="s">
        <v>1699</v>
      </c>
      <c r="DD105" s="636" t="s">
        <v>1700</v>
      </c>
      <c r="DE105" s="643"/>
    </row>
    <row r="106" spans="2:109" ht="6.75" customHeight="1">
      <c r="B106" s="35"/>
      <c r="C106" s="38"/>
      <c r="D106" s="49"/>
      <c r="E106" s="49"/>
      <c r="F106" s="49"/>
      <c r="G106" s="50"/>
      <c r="H106" s="715"/>
      <c r="I106" s="50"/>
      <c r="J106" s="50"/>
      <c r="K106" s="50"/>
      <c r="L106" s="50"/>
      <c r="M106" s="50"/>
      <c r="N106" s="50"/>
      <c r="O106" s="50"/>
      <c r="P106" s="50"/>
      <c r="Q106" s="50"/>
      <c r="R106" s="50"/>
      <c r="S106" s="50"/>
      <c r="T106" s="50"/>
      <c r="U106" s="50"/>
      <c r="V106" s="50"/>
      <c r="W106" s="50"/>
      <c r="X106" s="50"/>
      <c r="Y106" s="50"/>
      <c r="Z106" s="50"/>
      <c r="AA106" s="50"/>
      <c r="AB106" s="50"/>
      <c r="AC106" s="50"/>
      <c r="AD106" s="37"/>
      <c r="AH106" s="24"/>
      <c r="AI106" s="24"/>
      <c r="AJ106" s="24"/>
      <c r="AK106" s="24"/>
      <c r="AL106" s="630" t="str">
        <f t="shared" si="2"/>
        <v>Nicolás Bravo</v>
      </c>
      <c r="AM106" s="630">
        <f t="shared" si="3"/>
        <v>21103</v>
      </c>
      <c r="AO106" s="24"/>
      <c r="AP106" s="628">
        <v>104</v>
      </c>
      <c r="AQ106" s="642"/>
      <c r="AR106" s="642"/>
      <c r="AS106" s="642"/>
      <c r="AT106" s="642"/>
      <c r="AU106" s="642"/>
      <c r="AV106" s="642"/>
      <c r="AW106" s="634">
        <v>7104</v>
      </c>
      <c r="AX106" s="642"/>
      <c r="AY106" s="642"/>
      <c r="AZ106" s="642"/>
      <c r="BA106" s="642"/>
      <c r="BB106" s="642"/>
      <c r="BC106" s="642"/>
      <c r="BD106" s="634">
        <v>14103</v>
      </c>
      <c r="BE106" s="635">
        <v>15103</v>
      </c>
      <c r="BF106" s="634">
        <v>16103</v>
      </c>
      <c r="BG106" s="642"/>
      <c r="BH106" s="642"/>
      <c r="BI106" s="642"/>
      <c r="BJ106" s="634">
        <v>20103</v>
      </c>
      <c r="BK106" s="634">
        <v>21103</v>
      </c>
      <c r="BL106" s="642"/>
      <c r="BM106" s="642"/>
      <c r="BN106" s="642"/>
      <c r="BO106" s="642"/>
      <c r="BP106" s="642"/>
      <c r="BQ106" s="642"/>
      <c r="BR106" s="642"/>
      <c r="BS106" s="642"/>
      <c r="BT106" s="634">
        <v>30103</v>
      </c>
      <c r="BU106" s="634">
        <v>31103</v>
      </c>
      <c r="BV106" s="642"/>
      <c r="BW106" s="24"/>
      <c r="BX106" s="24"/>
      <c r="BY106" s="24"/>
      <c r="BZ106" s="643"/>
      <c r="CA106" s="643"/>
      <c r="CB106" s="643"/>
      <c r="CC106" s="643"/>
      <c r="CD106" s="643"/>
      <c r="CE106" s="643"/>
      <c r="CF106" s="636" t="s">
        <v>1701</v>
      </c>
      <c r="CG106" s="643"/>
      <c r="CH106" s="643"/>
      <c r="CI106" s="643"/>
      <c r="CJ106" s="643"/>
      <c r="CK106" s="643"/>
      <c r="CL106" s="643"/>
      <c r="CM106" s="636" t="s">
        <v>1702</v>
      </c>
      <c r="CN106" s="637" t="s">
        <v>1703</v>
      </c>
      <c r="CO106" s="636" t="s">
        <v>491</v>
      </c>
      <c r="CP106" s="643"/>
      <c r="CQ106" s="643"/>
      <c r="CR106" s="643"/>
      <c r="CS106" s="636" t="s">
        <v>1704</v>
      </c>
      <c r="CT106" s="636" t="s">
        <v>1705</v>
      </c>
      <c r="CU106" s="643"/>
      <c r="CV106" s="643"/>
      <c r="CW106" s="643"/>
      <c r="CX106" s="643"/>
      <c r="CY106" s="643"/>
      <c r="CZ106" s="643"/>
      <c r="DA106" s="643"/>
      <c r="DB106" s="643"/>
      <c r="DC106" s="636" t="s">
        <v>1706</v>
      </c>
      <c r="DD106" s="636" t="s">
        <v>1707</v>
      </c>
      <c r="DE106" s="643"/>
    </row>
    <row r="107" spans="2:109" ht="15" customHeight="1">
      <c r="B107" s="35"/>
      <c r="C107" s="38"/>
      <c r="D107" s="45" t="s">
        <v>1708</v>
      </c>
      <c r="E107" s="45"/>
      <c r="F107" s="45"/>
      <c r="G107" s="51"/>
      <c r="H107" s="737" t="s">
        <v>7178</v>
      </c>
      <c r="I107" s="1142"/>
      <c r="J107" s="1142"/>
      <c r="K107" s="1142"/>
      <c r="L107" s="1142"/>
      <c r="M107" s="1142"/>
      <c r="N107" s="1142"/>
      <c r="O107" s="1142"/>
      <c r="P107" s="1142"/>
      <c r="Q107" s="1142"/>
      <c r="R107" s="1142"/>
      <c r="S107" s="1142"/>
      <c r="T107" s="1142"/>
      <c r="U107" s="1142"/>
      <c r="V107" s="1142"/>
      <c r="W107" s="1142"/>
      <c r="X107" s="1142"/>
      <c r="Y107" s="1142"/>
      <c r="Z107" s="1142"/>
      <c r="AA107" s="1142"/>
      <c r="AB107" s="1142"/>
      <c r="AC107" s="1142"/>
      <c r="AD107" s="37"/>
      <c r="AH107" s="24"/>
      <c r="AI107" s="24"/>
      <c r="AJ107" s="24"/>
      <c r="AK107" s="24"/>
      <c r="AL107" s="630" t="str">
        <f t="shared" si="2"/>
        <v>Nopalucan</v>
      </c>
      <c r="AM107" s="630">
        <f t="shared" si="3"/>
        <v>21104</v>
      </c>
      <c r="AO107" s="24"/>
      <c r="AP107" s="628">
        <v>105</v>
      </c>
      <c r="AQ107" s="642"/>
      <c r="AR107" s="642"/>
      <c r="AS107" s="642"/>
      <c r="AT107" s="642"/>
      <c r="AU107" s="642"/>
      <c r="AV107" s="642"/>
      <c r="AW107" s="634">
        <v>7105</v>
      </c>
      <c r="AX107" s="642"/>
      <c r="AY107" s="642"/>
      <c r="AZ107" s="642"/>
      <c r="BA107" s="642"/>
      <c r="BB107" s="642"/>
      <c r="BC107" s="642"/>
      <c r="BD107" s="634">
        <v>14104</v>
      </c>
      <c r="BE107" s="635">
        <v>15104</v>
      </c>
      <c r="BF107" s="634">
        <v>16104</v>
      </c>
      <c r="BG107" s="642"/>
      <c r="BH107" s="642"/>
      <c r="BI107" s="642"/>
      <c r="BJ107" s="634">
        <v>20104</v>
      </c>
      <c r="BK107" s="634">
        <v>21104</v>
      </c>
      <c r="BL107" s="642"/>
      <c r="BM107" s="642"/>
      <c r="BN107" s="642"/>
      <c r="BO107" s="642"/>
      <c r="BP107" s="642"/>
      <c r="BQ107" s="642"/>
      <c r="BR107" s="642"/>
      <c r="BS107" s="642"/>
      <c r="BT107" s="634">
        <v>30104</v>
      </c>
      <c r="BU107" s="634">
        <v>31104</v>
      </c>
      <c r="BV107" s="642"/>
      <c r="BW107" s="24"/>
      <c r="BX107" s="24"/>
      <c r="BY107" s="24"/>
      <c r="BZ107" s="643"/>
      <c r="CA107" s="643"/>
      <c r="CB107" s="643"/>
      <c r="CC107" s="643"/>
      <c r="CD107" s="643"/>
      <c r="CE107" s="643"/>
      <c r="CF107" s="636" t="s">
        <v>1709</v>
      </c>
      <c r="CG107" s="643"/>
      <c r="CH107" s="643"/>
      <c r="CI107" s="643"/>
      <c r="CJ107" s="643"/>
      <c r="CK107" s="643"/>
      <c r="CL107" s="643"/>
      <c r="CM107" s="636" t="s">
        <v>1710</v>
      </c>
      <c r="CN107" s="637" t="s">
        <v>1711</v>
      </c>
      <c r="CO107" s="636" t="s">
        <v>1712</v>
      </c>
      <c r="CP107" s="643"/>
      <c r="CQ107" s="643"/>
      <c r="CR107" s="643"/>
      <c r="CS107" s="636" t="s">
        <v>1713</v>
      </c>
      <c r="CT107" s="636" t="s">
        <v>1714</v>
      </c>
      <c r="CU107" s="643"/>
      <c r="CV107" s="643"/>
      <c r="CW107" s="643"/>
      <c r="CX107" s="643"/>
      <c r="CY107" s="643"/>
      <c r="CZ107" s="643"/>
      <c r="DA107" s="643"/>
      <c r="DB107" s="643"/>
      <c r="DC107" s="636" t="s">
        <v>1715</v>
      </c>
      <c r="DD107" s="636" t="s">
        <v>1716</v>
      </c>
      <c r="DE107" s="643"/>
    </row>
    <row r="108" spans="2:109" ht="15" customHeight="1" thickBot="1">
      <c r="B108" s="39"/>
      <c r="C108" s="40"/>
      <c r="D108" s="52"/>
      <c r="E108" s="52"/>
      <c r="F108" s="52"/>
      <c r="G108" s="53"/>
      <c r="H108" s="53"/>
      <c r="I108" s="53"/>
      <c r="J108" s="53"/>
      <c r="K108" s="53"/>
      <c r="L108" s="53"/>
      <c r="M108" s="53"/>
      <c r="N108" s="53"/>
      <c r="O108" s="53"/>
      <c r="P108" s="53"/>
      <c r="Q108" s="53"/>
      <c r="R108" s="53"/>
      <c r="S108" s="53"/>
      <c r="T108" s="53"/>
      <c r="U108" s="53"/>
      <c r="V108" s="53"/>
      <c r="W108" s="53"/>
      <c r="X108" s="53"/>
      <c r="Y108" s="53"/>
      <c r="Z108" s="53"/>
      <c r="AA108" s="53"/>
      <c r="AB108" s="53"/>
      <c r="AC108" s="53"/>
      <c r="AD108" s="41"/>
      <c r="AH108" s="24"/>
      <c r="AI108" s="24"/>
      <c r="AJ108" s="24"/>
      <c r="AK108" s="24"/>
      <c r="AL108" s="630" t="str">
        <f t="shared" si="2"/>
        <v>Ocotepec</v>
      </c>
      <c r="AM108" s="630">
        <f t="shared" si="3"/>
        <v>21105</v>
      </c>
      <c r="AO108" s="24"/>
      <c r="AP108" s="628">
        <v>106</v>
      </c>
      <c r="AQ108" s="642"/>
      <c r="AR108" s="642"/>
      <c r="AS108" s="642"/>
      <c r="AT108" s="642"/>
      <c r="AU108" s="642"/>
      <c r="AV108" s="642"/>
      <c r="AW108" s="634">
        <v>7106</v>
      </c>
      <c r="AX108" s="642"/>
      <c r="AY108" s="642"/>
      <c r="AZ108" s="642"/>
      <c r="BA108" s="642"/>
      <c r="BB108" s="642"/>
      <c r="BC108" s="642"/>
      <c r="BD108" s="634">
        <v>14105</v>
      </c>
      <c r="BE108" s="635">
        <v>15105</v>
      </c>
      <c r="BF108" s="634">
        <v>16105</v>
      </c>
      <c r="BG108" s="642"/>
      <c r="BH108" s="642"/>
      <c r="BI108" s="642"/>
      <c r="BJ108" s="634">
        <v>20105</v>
      </c>
      <c r="BK108" s="634">
        <v>21105</v>
      </c>
      <c r="BL108" s="642"/>
      <c r="BM108" s="642"/>
      <c r="BN108" s="642"/>
      <c r="BO108" s="642"/>
      <c r="BP108" s="642"/>
      <c r="BQ108" s="642"/>
      <c r="BR108" s="642"/>
      <c r="BS108" s="642"/>
      <c r="BT108" s="634">
        <v>30105</v>
      </c>
      <c r="BU108" s="634">
        <v>31105</v>
      </c>
      <c r="BV108" s="642"/>
      <c r="BW108" s="24"/>
      <c r="BX108" s="24"/>
      <c r="BY108" s="24"/>
      <c r="BZ108" s="643"/>
      <c r="CA108" s="643"/>
      <c r="CB108" s="643"/>
      <c r="CC108" s="643"/>
      <c r="CD108" s="643"/>
      <c r="CE108" s="643"/>
      <c r="CF108" s="636" t="s">
        <v>491</v>
      </c>
      <c r="CG108" s="643"/>
      <c r="CH108" s="643"/>
      <c r="CI108" s="643"/>
      <c r="CJ108" s="643"/>
      <c r="CK108" s="643"/>
      <c r="CL108" s="643"/>
      <c r="CM108" s="636" t="s">
        <v>1717</v>
      </c>
      <c r="CN108" s="637" t="s">
        <v>1718</v>
      </c>
      <c r="CO108" s="636" t="s">
        <v>1719</v>
      </c>
      <c r="CP108" s="643"/>
      <c r="CQ108" s="643"/>
      <c r="CR108" s="643"/>
      <c r="CS108" s="636" t="s">
        <v>1720</v>
      </c>
      <c r="CT108" s="636" t="s">
        <v>1288</v>
      </c>
      <c r="CU108" s="643"/>
      <c r="CV108" s="643"/>
      <c r="CW108" s="643"/>
      <c r="CX108" s="643"/>
      <c r="CY108" s="643"/>
      <c r="CZ108" s="643"/>
      <c r="DA108" s="643"/>
      <c r="DB108" s="643"/>
      <c r="DC108" s="636" t="s">
        <v>1721</v>
      </c>
      <c r="DD108" s="636" t="s">
        <v>1722</v>
      </c>
      <c r="DE108" s="643"/>
    </row>
    <row r="109" spans="2:109" ht="15" customHeight="1" thickBot="1">
      <c r="AH109" s="24"/>
      <c r="AI109" s="24"/>
      <c r="AJ109" s="24"/>
      <c r="AK109" s="24"/>
      <c r="AL109" s="630" t="str">
        <f t="shared" si="2"/>
        <v>Ocoyucan</v>
      </c>
      <c r="AM109" s="630">
        <f t="shared" si="3"/>
        <v>21106</v>
      </c>
      <c r="AO109" s="24"/>
      <c r="AP109" s="628">
        <v>107</v>
      </c>
      <c r="AQ109" s="642"/>
      <c r="AR109" s="642"/>
      <c r="AS109" s="642"/>
      <c r="AT109" s="642"/>
      <c r="AU109" s="642"/>
      <c r="AV109" s="642"/>
      <c r="AW109" s="634">
        <v>7107</v>
      </c>
      <c r="AX109" s="642"/>
      <c r="AY109" s="642"/>
      <c r="AZ109" s="642"/>
      <c r="BA109" s="642"/>
      <c r="BB109" s="642"/>
      <c r="BC109" s="642"/>
      <c r="BD109" s="634">
        <v>14106</v>
      </c>
      <c r="BE109" s="635">
        <v>15106</v>
      </c>
      <c r="BF109" s="634">
        <v>16106</v>
      </c>
      <c r="BG109" s="642"/>
      <c r="BH109" s="642"/>
      <c r="BI109" s="642"/>
      <c r="BJ109" s="634">
        <v>20106</v>
      </c>
      <c r="BK109" s="634">
        <v>21106</v>
      </c>
      <c r="BL109" s="642"/>
      <c r="BM109" s="642"/>
      <c r="BN109" s="642"/>
      <c r="BO109" s="642"/>
      <c r="BP109" s="642"/>
      <c r="BQ109" s="642"/>
      <c r="BR109" s="642"/>
      <c r="BS109" s="642"/>
      <c r="BT109" s="634">
        <v>30106</v>
      </c>
      <c r="BU109" s="634">
        <v>31106</v>
      </c>
      <c r="BV109" s="642"/>
      <c r="BW109" s="24"/>
      <c r="BX109" s="24"/>
      <c r="BY109" s="24"/>
      <c r="BZ109" s="643"/>
      <c r="CA109" s="643"/>
      <c r="CB109" s="643"/>
      <c r="CC109" s="643"/>
      <c r="CD109" s="643"/>
      <c r="CE109" s="643"/>
      <c r="CF109" s="636" t="s">
        <v>1723</v>
      </c>
      <c r="CG109" s="643"/>
      <c r="CH109" s="643"/>
      <c r="CI109" s="643"/>
      <c r="CJ109" s="643"/>
      <c r="CK109" s="643"/>
      <c r="CL109" s="643"/>
      <c r="CM109" s="636" t="s">
        <v>1724</v>
      </c>
      <c r="CN109" s="637" t="s">
        <v>1725</v>
      </c>
      <c r="CO109" s="636" t="s">
        <v>1726</v>
      </c>
      <c r="CP109" s="643"/>
      <c r="CQ109" s="643"/>
      <c r="CR109" s="643"/>
      <c r="CS109" s="636" t="s">
        <v>1727</v>
      </c>
      <c r="CT109" s="636" t="s">
        <v>1728</v>
      </c>
      <c r="CU109" s="643"/>
      <c r="CV109" s="643"/>
      <c r="CW109" s="643"/>
      <c r="CX109" s="643"/>
      <c r="CY109" s="643"/>
      <c r="CZ109" s="643"/>
      <c r="DA109" s="643"/>
      <c r="DB109" s="643"/>
      <c r="DC109" s="636" t="s">
        <v>1729</v>
      </c>
      <c r="DD109" s="636" t="s">
        <v>1730</v>
      </c>
      <c r="DE109" s="643"/>
    </row>
    <row r="110" spans="2:109" ht="15" customHeight="1">
      <c r="B110" s="32"/>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4"/>
      <c r="AH110" s="24"/>
      <c r="AI110" s="24"/>
      <c r="AJ110" s="24"/>
      <c r="AK110" s="24"/>
      <c r="AL110" s="630" t="str">
        <f t="shared" si="2"/>
        <v>Olintla</v>
      </c>
      <c r="AM110" s="630">
        <f t="shared" si="3"/>
        <v>21107</v>
      </c>
      <c r="AO110" s="24"/>
      <c r="AP110" s="628">
        <v>108</v>
      </c>
      <c r="AQ110" s="642"/>
      <c r="AR110" s="642"/>
      <c r="AS110" s="642"/>
      <c r="AT110" s="642"/>
      <c r="AU110" s="642"/>
      <c r="AV110" s="642"/>
      <c r="AW110" s="634">
        <v>7108</v>
      </c>
      <c r="AX110" s="642"/>
      <c r="AY110" s="642"/>
      <c r="AZ110" s="642"/>
      <c r="BA110" s="642"/>
      <c r="BB110" s="642"/>
      <c r="BC110" s="642"/>
      <c r="BD110" s="634">
        <v>14107</v>
      </c>
      <c r="BE110" s="635">
        <v>15107</v>
      </c>
      <c r="BF110" s="634">
        <v>16107</v>
      </c>
      <c r="BG110" s="642"/>
      <c r="BH110" s="642"/>
      <c r="BI110" s="642"/>
      <c r="BJ110" s="634">
        <v>20107</v>
      </c>
      <c r="BK110" s="634">
        <v>21107</v>
      </c>
      <c r="BL110" s="642"/>
      <c r="BM110" s="642"/>
      <c r="BN110" s="642"/>
      <c r="BO110" s="642"/>
      <c r="BP110" s="642"/>
      <c r="BQ110" s="642"/>
      <c r="BR110" s="642"/>
      <c r="BS110" s="642"/>
      <c r="BT110" s="634">
        <v>30107</v>
      </c>
      <c r="BU110" s="642">
        <v>31999</v>
      </c>
      <c r="BV110" s="642"/>
      <c r="BW110" s="24"/>
      <c r="BX110" s="24"/>
      <c r="BY110" s="24"/>
      <c r="BZ110" s="643"/>
      <c r="CA110" s="643"/>
      <c r="CB110" s="643"/>
      <c r="CC110" s="643"/>
      <c r="CD110" s="643"/>
      <c r="CE110" s="643"/>
      <c r="CF110" s="636" t="s">
        <v>1731</v>
      </c>
      <c r="CG110" s="643"/>
      <c r="CH110" s="643"/>
      <c r="CI110" s="643"/>
      <c r="CJ110" s="643"/>
      <c r="CK110" s="643"/>
      <c r="CL110" s="643"/>
      <c r="CM110" s="636" t="s">
        <v>1732</v>
      </c>
      <c r="CN110" s="637" t="s">
        <v>1733</v>
      </c>
      <c r="CO110" s="636" t="s">
        <v>1734</v>
      </c>
      <c r="CP110" s="643"/>
      <c r="CQ110" s="643"/>
      <c r="CR110" s="643"/>
      <c r="CS110" s="636" t="s">
        <v>1735</v>
      </c>
      <c r="CT110" s="636" t="s">
        <v>1736</v>
      </c>
      <c r="CU110" s="643"/>
      <c r="CV110" s="643"/>
      <c r="CW110" s="643"/>
      <c r="CX110" s="643"/>
      <c r="CY110" s="643"/>
      <c r="CZ110" s="643"/>
      <c r="DA110" s="643"/>
      <c r="DB110" s="643"/>
      <c r="DC110" s="636" t="s">
        <v>1737</v>
      </c>
      <c r="DD110" s="636" t="s">
        <v>201</v>
      </c>
      <c r="DE110" s="643"/>
    </row>
    <row r="111" spans="2:109" ht="24" customHeight="1">
      <c r="B111" s="35"/>
      <c r="C111" s="731" t="s">
        <v>1738</v>
      </c>
      <c r="D111" s="731"/>
      <c r="E111" s="731"/>
      <c r="F111" s="731"/>
      <c r="G111" s="731"/>
      <c r="H111" s="731"/>
      <c r="I111" s="731"/>
      <c r="J111" s="731"/>
      <c r="K111" s="731"/>
      <c r="L111" s="731"/>
      <c r="M111" s="731"/>
      <c r="N111" s="731"/>
      <c r="O111" s="731"/>
      <c r="P111" s="731"/>
      <c r="Q111" s="731"/>
      <c r="R111" s="731"/>
      <c r="S111" s="731"/>
      <c r="T111" s="731"/>
      <c r="U111" s="731"/>
      <c r="V111" s="731"/>
      <c r="W111" s="731"/>
      <c r="X111" s="731"/>
      <c r="Y111" s="731"/>
      <c r="Z111" s="731"/>
      <c r="AA111" s="731"/>
      <c r="AB111" s="731"/>
      <c r="AC111" s="731"/>
      <c r="AD111" s="37"/>
      <c r="AH111" s="24"/>
      <c r="AI111" s="24"/>
      <c r="AJ111" s="24"/>
      <c r="AK111" s="24"/>
      <c r="AL111" s="630" t="str">
        <f t="shared" si="2"/>
        <v>Oriental</v>
      </c>
      <c r="AM111" s="630">
        <f t="shared" si="3"/>
        <v>21108</v>
      </c>
      <c r="AO111" s="24"/>
      <c r="AP111" s="628">
        <v>109</v>
      </c>
      <c r="AQ111" s="642"/>
      <c r="AR111" s="642"/>
      <c r="AS111" s="642"/>
      <c r="AT111" s="642"/>
      <c r="AU111" s="642"/>
      <c r="AV111" s="642"/>
      <c r="AW111" s="634">
        <v>7109</v>
      </c>
      <c r="AX111" s="642"/>
      <c r="AY111" s="642"/>
      <c r="AZ111" s="642"/>
      <c r="BA111" s="642"/>
      <c r="BB111" s="642"/>
      <c r="BC111" s="642"/>
      <c r="BD111" s="634">
        <v>14108</v>
      </c>
      <c r="BE111" s="635">
        <v>15108</v>
      </c>
      <c r="BF111" s="634">
        <v>16108</v>
      </c>
      <c r="BG111" s="642"/>
      <c r="BH111" s="642"/>
      <c r="BI111" s="642"/>
      <c r="BJ111" s="634">
        <v>20108</v>
      </c>
      <c r="BK111" s="634">
        <v>21108</v>
      </c>
      <c r="BL111" s="642"/>
      <c r="BM111" s="642"/>
      <c r="BN111" s="642"/>
      <c r="BO111" s="642"/>
      <c r="BP111" s="642"/>
      <c r="BQ111" s="642"/>
      <c r="BR111" s="642"/>
      <c r="BS111" s="642"/>
      <c r="BT111" s="634">
        <v>30108</v>
      </c>
      <c r="BU111" s="642"/>
      <c r="BV111" s="642"/>
      <c r="BW111" s="24"/>
      <c r="BX111" s="24"/>
      <c r="BY111" s="24"/>
      <c r="BZ111" s="643"/>
      <c r="CA111" s="643"/>
      <c r="CB111" s="643"/>
      <c r="CC111" s="643"/>
      <c r="CD111" s="643"/>
      <c r="CE111" s="643"/>
      <c r="CF111" s="636" t="s">
        <v>1739</v>
      </c>
      <c r="CG111" s="643"/>
      <c r="CH111" s="643"/>
      <c r="CI111" s="643"/>
      <c r="CJ111" s="643"/>
      <c r="CK111" s="643"/>
      <c r="CL111" s="643"/>
      <c r="CM111" s="636" t="s">
        <v>551</v>
      </c>
      <c r="CN111" s="637" t="s">
        <v>1740</v>
      </c>
      <c r="CO111" s="636" t="s">
        <v>1741</v>
      </c>
      <c r="CP111" s="643"/>
      <c r="CQ111" s="643"/>
      <c r="CR111" s="643"/>
      <c r="CS111" s="636" t="s">
        <v>1742</v>
      </c>
      <c r="CT111" s="636" t="s">
        <v>1743</v>
      </c>
      <c r="CU111" s="643"/>
      <c r="CV111" s="643"/>
      <c r="CW111" s="643"/>
      <c r="CX111" s="643"/>
      <c r="CY111" s="643"/>
      <c r="CZ111" s="643"/>
      <c r="DA111" s="643"/>
      <c r="DB111" s="643"/>
      <c r="DC111" s="636" t="s">
        <v>270</v>
      </c>
      <c r="DD111" s="643"/>
      <c r="DE111" s="643"/>
    </row>
    <row r="112" spans="2:109" ht="6.75" customHeight="1">
      <c r="B112" s="35"/>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7"/>
      <c r="AH112" s="24"/>
      <c r="AI112" s="24"/>
      <c r="AJ112" s="24"/>
      <c r="AK112" s="24"/>
      <c r="AL112" s="630" t="str">
        <f t="shared" si="2"/>
        <v>Pahuatlán</v>
      </c>
      <c r="AM112" s="630">
        <f t="shared" si="3"/>
        <v>21109</v>
      </c>
      <c r="AO112" s="24"/>
      <c r="AP112" s="628">
        <v>110</v>
      </c>
      <c r="AQ112" s="642"/>
      <c r="AR112" s="642"/>
      <c r="AS112" s="642"/>
      <c r="AT112" s="642"/>
      <c r="AU112" s="642"/>
      <c r="AV112" s="642"/>
      <c r="AW112" s="634">
        <v>7110</v>
      </c>
      <c r="AX112" s="642"/>
      <c r="AY112" s="642"/>
      <c r="AZ112" s="642"/>
      <c r="BA112" s="642"/>
      <c r="BB112" s="642"/>
      <c r="BC112" s="642"/>
      <c r="BD112" s="634">
        <v>14109</v>
      </c>
      <c r="BE112" s="635">
        <v>15109</v>
      </c>
      <c r="BF112" s="634">
        <v>16109</v>
      </c>
      <c r="BG112" s="642"/>
      <c r="BH112" s="642"/>
      <c r="BI112" s="642"/>
      <c r="BJ112" s="634">
        <v>20109</v>
      </c>
      <c r="BK112" s="634">
        <v>21109</v>
      </c>
      <c r="BL112" s="642"/>
      <c r="BM112" s="642"/>
      <c r="BN112" s="642"/>
      <c r="BO112" s="642"/>
      <c r="BP112" s="642"/>
      <c r="BQ112" s="642"/>
      <c r="BR112" s="642"/>
      <c r="BS112" s="642"/>
      <c r="BT112" s="634">
        <v>30109</v>
      </c>
      <c r="BU112" s="642"/>
      <c r="BV112" s="642"/>
      <c r="BW112" s="24"/>
      <c r="BX112" s="24"/>
      <c r="BY112" s="24"/>
      <c r="BZ112" s="643"/>
      <c r="CA112" s="643"/>
      <c r="CB112" s="643"/>
      <c r="CC112" s="643"/>
      <c r="CD112" s="643"/>
      <c r="CE112" s="643"/>
      <c r="CF112" s="636" t="s">
        <v>1476</v>
      </c>
      <c r="CG112" s="643"/>
      <c r="CH112" s="643"/>
      <c r="CI112" s="643"/>
      <c r="CJ112" s="643"/>
      <c r="CK112" s="643"/>
      <c r="CL112" s="643"/>
      <c r="CM112" s="636" t="s">
        <v>1744</v>
      </c>
      <c r="CN112" s="637" t="s">
        <v>1745</v>
      </c>
      <c r="CO112" s="636" t="s">
        <v>1746</v>
      </c>
      <c r="CP112" s="643"/>
      <c r="CQ112" s="643"/>
      <c r="CR112" s="643"/>
      <c r="CS112" s="636" t="s">
        <v>1747</v>
      </c>
      <c r="CT112" s="636" t="s">
        <v>1748</v>
      </c>
      <c r="CU112" s="643"/>
      <c r="CV112" s="643"/>
      <c r="CW112" s="643"/>
      <c r="CX112" s="643"/>
      <c r="CY112" s="643"/>
      <c r="CZ112" s="643"/>
      <c r="DA112" s="643"/>
      <c r="DB112" s="643"/>
      <c r="DC112" s="636" t="s">
        <v>1749</v>
      </c>
      <c r="DD112" s="643"/>
      <c r="DE112" s="643"/>
    </row>
    <row r="113" spans="2:109" ht="15" customHeight="1">
      <c r="B113" s="35"/>
      <c r="C113" s="38"/>
      <c r="D113" s="54" t="s">
        <v>1750</v>
      </c>
      <c r="E113" s="38"/>
      <c r="F113" s="38"/>
      <c r="G113" s="737" t="s">
        <v>7179</v>
      </c>
      <c r="H113" s="1142"/>
      <c r="I113" s="1142"/>
      <c r="J113" s="1142"/>
      <c r="K113" s="1142"/>
      <c r="L113" s="1142"/>
      <c r="M113" s="1142"/>
      <c r="N113" s="1142"/>
      <c r="O113" s="1142"/>
      <c r="P113" s="1142"/>
      <c r="Q113" s="1142"/>
      <c r="R113" s="1142"/>
      <c r="S113" s="1142"/>
      <c r="T113" s="1142"/>
      <c r="U113" s="1142"/>
      <c r="V113" s="1142"/>
      <c r="W113" s="1142"/>
      <c r="X113" s="1142"/>
      <c r="Y113" s="1142"/>
      <c r="Z113" s="1142"/>
      <c r="AA113" s="1142"/>
      <c r="AB113" s="1142"/>
      <c r="AC113" s="1142"/>
      <c r="AD113" s="37"/>
      <c r="AH113" s="24"/>
      <c r="AI113" s="24"/>
      <c r="AJ113" s="24"/>
      <c r="AK113" s="24"/>
      <c r="AL113" s="630" t="str">
        <f t="shared" si="2"/>
        <v>Palmar de Bravo</v>
      </c>
      <c r="AM113" s="630">
        <f t="shared" si="3"/>
        <v>21110</v>
      </c>
      <c r="AO113" s="24"/>
      <c r="AP113" s="628">
        <v>111</v>
      </c>
      <c r="AQ113" s="642"/>
      <c r="AR113" s="642"/>
      <c r="AS113" s="642"/>
      <c r="AT113" s="642"/>
      <c r="AU113" s="642"/>
      <c r="AV113" s="642"/>
      <c r="AW113" s="634">
        <v>7111</v>
      </c>
      <c r="AX113" s="642"/>
      <c r="AY113" s="642"/>
      <c r="AZ113" s="642"/>
      <c r="BA113" s="642"/>
      <c r="BB113" s="642"/>
      <c r="BC113" s="642"/>
      <c r="BD113" s="634">
        <v>14110</v>
      </c>
      <c r="BE113" s="635">
        <v>15110</v>
      </c>
      <c r="BF113" s="634">
        <v>16110</v>
      </c>
      <c r="BG113" s="642"/>
      <c r="BH113" s="642"/>
      <c r="BI113" s="642"/>
      <c r="BJ113" s="634">
        <v>20110</v>
      </c>
      <c r="BK113" s="634">
        <v>21110</v>
      </c>
      <c r="BL113" s="642"/>
      <c r="BM113" s="642"/>
      <c r="BN113" s="642"/>
      <c r="BO113" s="642"/>
      <c r="BP113" s="642"/>
      <c r="BQ113" s="642"/>
      <c r="BR113" s="642"/>
      <c r="BS113" s="642"/>
      <c r="BT113" s="634">
        <v>30110</v>
      </c>
      <c r="BU113" s="642"/>
      <c r="BV113" s="642"/>
      <c r="BW113" s="24"/>
      <c r="BX113" s="24"/>
      <c r="BY113" s="24"/>
      <c r="BZ113" s="643"/>
      <c r="CA113" s="643"/>
      <c r="CB113" s="643"/>
      <c r="CC113" s="643"/>
      <c r="CD113" s="643"/>
      <c r="CE113" s="643"/>
      <c r="CF113" s="636" t="s">
        <v>1751</v>
      </c>
      <c r="CG113" s="643"/>
      <c r="CH113" s="643"/>
      <c r="CI113" s="643"/>
      <c r="CJ113" s="643"/>
      <c r="CK113" s="643"/>
      <c r="CL113" s="643"/>
      <c r="CM113" s="636" t="s">
        <v>1752</v>
      </c>
      <c r="CN113" s="637" t="s">
        <v>1753</v>
      </c>
      <c r="CO113" s="636" t="s">
        <v>1754</v>
      </c>
      <c r="CP113" s="643"/>
      <c r="CQ113" s="643"/>
      <c r="CR113" s="643"/>
      <c r="CS113" s="636" t="s">
        <v>1755</v>
      </c>
      <c r="CT113" s="636" t="s">
        <v>1756</v>
      </c>
      <c r="CU113" s="643"/>
      <c r="CV113" s="643"/>
      <c r="CW113" s="643"/>
      <c r="CX113" s="643"/>
      <c r="CY113" s="643"/>
      <c r="CZ113" s="643"/>
      <c r="DA113" s="643"/>
      <c r="DB113" s="643"/>
      <c r="DC113" s="636" t="s">
        <v>1757</v>
      </c>
      <c r="DD113" s="643"/>
      <c r="DE113" s="643"/>
    </row>
    <row r="114" spans="2:109" ht="15" customHeight="1">
      <c r="B114" s="35"/>
      <c r="C114" s="38"/>
      <c r="D114" s="54" t="s">
        <v>1758</v>
      </c>
      <c r="E114" s="38"/>
      <c r="F114" s="38"/>
      <c r="G114" s="38"/>
      <c r="H114" s="38"/>
      <c r="I114" s="38"/>
      <c r="J114" s="38"/>
      <c r="K114" s="738" t="s">
        <v>7180</v>
      </c>
      <c r="L114" s="1085"/>
      <c r="M114" s="1085"/>
      <c r="N114" s="1085"/>
      <c r="O114" s="1085"/>
      <c r="P114" s="1085"/>
      <c r="Q114" s="1085"/>
      <c r="R114" s="1085"/>
      <c r="S114" s="1085"/>
      <c r="T114" s="1085"/>
      <c r="U114" s="1085"/>
      <c r="V114" s="1085"/>
      <c r="W114" s="1085"/>
      <c r="X114" s="1085"/>
      <c r="Y114" s="1085"/>
      <c r="Z114" s="1085"/>
      <c r="AA114" s="1085"/>
      <c r="AB114" s="1085"/>
      <c r="AC114" s="1085"/>
      <c r="AD114" s="37"/>
      <c r="AH114" s="24"/>
      <c r="AI114" s="24"/>
      <c r="AJ114" s="24"/>
      <c r="AK114" s="24"/>
      <c r="AL114" s="630" t="str">
        <f t="shared" si="2"/>
        <v>Pantepec</v>
      </c>
      <c r="AM114" s="630">
        <f t="shared" si="3"/>
        <v>21111</v>
      </c>
      <c r="AO114" s="24"/>
      <c r="AP114" s="628">
        <v>112</v>
      </c>
      <c r="AQ114" s="642"/>
      <c r="AR114" s="642"/>
      <c r="AS114" s="642"/>
      <c r="AT114" s="642"/>
      <c r="AU114" s="642"/>
      <c r="AV114" s="642"/>
      <c r="AW114" s="634">
        <v>7112</v>
      </c>
      <c r="AX114" s="642"/>
      <c r="AY114" s="642"/>
      <c r="AZ114" s="642"/>
      <c r="BA114" s="642"/>
      <c r="BB114" s="642"/>
      <c r="BC114" s="642"/>
      <c r="BD114" s="634">
        <v>14111</v>
      </c>
      <c r="BE114" s="635">
        <v>15111</v>
      </c>
      <c r="BF114" s="634">
        <v>16111</v>
      </c>
      <c r="BG114" s="642"/>
      <c r="BH114" s="642"/>
      <c r="BI114" s="642"/>
      <c r="BJ114" s="634">
        <v>20111</v>
      </c>
      <c r="BK114" s="634">
        <v>21111</v>
      </c>
      <c r="BL114" s="642"/>
      <c r="BM114" s="642"/>
      <c r="BN114" s="642"/>
      <c r="BO114" s="642"/>
      <c r="BP114" s="642"/>
      <c r="BQ114" s="642"/>
      <c r="BR114" s="642"/>
      <c r="BS114" s="642"/>
      <c r="BT114" s="634">
        <v>30111</v>
      </c>
      <c r="BU114" s="642"/>
      <c r="BV114" s="642"/>
      <c r="BW114" s="24"/>
      <c r="BX114" s="24"/>
      <c r="BY114" s="24"/>
      <c r="BZ114" s="643"/>
      <c r="CA114" s="643"/>
      <c r="CB114" s="643"/>
      <c r="CC114" s="643"/>
      <c r="CD114" s="643"/>
      <c r="CE114" s="643"/>
      <c r="CF114" s="636" t="s">
        <v>1759</v>
      </c>
      <c r="CG114" s="643"/>
      <c r="CH114" s="643"/>
      <c r="CI114" s="643"/>
      <c r="CJ114" s="643"/>
      <c r="CK114" s="643"/>
      <c r="CL114" s="643"/>
      <c r="CM114" s="636" t="s">
        <v>1760</v>
      </c>
      <c r="CN114" s="637" t="s">
        <v>1761</v>
      </c>
      <c r="CO114" s="636" t="s">
        <v>1762</v>
      </c>
      <c r="CP114" s="643"/>
      <c r="CQ114" s="643"/>
      <c r="CR114" s="643"/>
      <c r="CS114" s="636" t="s">
        <v>1763</v>
      </c>
      <c r="CT114" s="636" t="s">
        <v>1369</v>
      </c>
      <c r="CU114" s="643"/>
      <c r="CV114" s="643"/>
      <c r="CW114" s="643"/>
      <c r="CX114" s="643"/>
      <c r="CY114" s="643"/>
      <c r="CZ114" s="643"/>
      <c r="DA114" s="643"/>
      <c r="DB114" s="643"/>
      <c r="DC114" s="636" t="s">
        <v>1764</v>
      </c>
      <c r="DD114" s="643"/>
      <c r="DE114" s="643"/>
    </row>
    <row r="115" spans="2:109" ht="15" customHeight="1">
      <c r="B115" s="35"/>
      <c r="C115" s="38"/>
      <c r="D115" s="54" t="s">
        <v>1765</v>
      </c>
      <c r="E115" s="38"/>
      <c r="F115" s="38"/>
      <c r="G115" s="737" t="s">
        <v>7181</v>
      </c>
      <c r="H115" s="1142"/>
      <c r="I115" s="1142"/>
      <c r="J115" s="1142"/>
      <c r="K115" s="1142"/>
      <c r="L115" s="1142"/>
      <c r="M115" s="1142"/>
      <c r="N115" s="1142"/>
      <c r="O115" s="1142"/>
      <c r="P115" s="1142"/>
      <c r="Q115" s="1142"/>
      <c r="R115" s="1142"/>
      <c r="S115" s="1142"/>
      <c r="T115" s="1142"/>
      <c r="U115" s="1142"/>
      <c r="V115" s="1142"/>
      <c r="W115" s="1142"/>
      <c r="X115" s="1142"/>
      <c r="Y115" s="1142"/>
      <c r="Z115" s="1142"/>
      <c r="AA115" s="1142"/>
      <c r="AB115" s="1142"/>
      <c r="AC115" s="1142"/>
      <c r="AD115" s="37"/>
      <c r="AH115" s="24"/>
      <c r="AI115" s="24"/>
      <c r="AJ115" s="24"/>
      <c r="AK115" s="24"/>
      <c r="AL115" s="630" t="str">
        <f t="shared" si="2"/>
        <v>Petlalcingo</v>
      </c>
      <c r="AM115" s="630">
        <f t="shared" si="3"/>
        <v>21112</v>
      </c>
      <c r="AO115" s="24"/>
      <c r="AP115" s="628">
        <v>113</v>
      </c>
      <c r="AQ115" s="642"/>
      <c r="AR115" s="642"/>
      <c r="AS115" s="642"/>
      <c r="AT115" s="642"/>
      <c r="AU115" s="642"/>
      <c r="AV115" s="642"/>
      <c r="AW115" s="634">
        <v>7113</v>
      </c>
      <c r="AX115" s="642"/>
      <c r="AY115" s="642"/>
      <c r="AZ115" s="642"/>
      <c r="BA115" s="642"/>
      <c r="BB115" s="642"/>
      <c r="BC115" s="642"/>
      <c r="BD115" s="634">
        <v>14112</v>
      </c>
      <c r="BE115" s="635">
        <v>15112</v>
      </c>
      <c r="BF115" s="634">
        <v>16112</v>
      </c>
      <c r="BG115" s="642"/>
      <c r="BH115" s="642"/>
      <c r="BI115" s="642"/>
      <c r="BJ115" s="634">
        <v>20112</v>
      </c>
      <c r="BK115" s="634">
        <v>21112</v>
      </c>
      <c r="BL115" s="642"/>
      <c r="BM115" s="642"/>
      <c r="BN115" s="642"/>
      <c r="BO115" s="642"/>
      <c r="BP115" s="642"/>
      <c r="BQ115" s="642"/>
      <c r="BR115" s="642"/>
      <c r="BS115" s="642"/>
      <c r="BT115" s="634">
        <v>30112</v>
      </c>
      <c r="BU115" s="642"/>
      <c r="BV115" s="642"/>
      <c r="BW115" s="24"/>
      <c r="BX115" s="24"/>
      <c r="BY115" s="24"/>
      <c r="BZ115" s="643"/>
      <c r="CA115" s="643"/>
      <c r="CB115" s="643"/>
      <c r="CC115" s="643"/>
      <c r="CD115" s="643"/>
      <c r="CE115" s="643"/>
      <c r="CF115" s="636" t="s">
        <v>84</v>
      </c>
      <c r="CG115" s="643"/>
      <c r="CH115" s="643"/>
      <c r="CI115" s="643"/>
      <c r="CJ115" s="643"/>
      <c r="CK115" s="643"/>
      <c r="CL115" s="643"/>
      <c r="CM115" s="636" t="s">
        <v>1766</v>
      </c>
      <c r="CN115" s="637" t="s">
        <v>1767</v>
      </c>
      <c r="CO115" s="636" t="s">
        <v>1768</v>
      </c>
      <c r="CP115" s="643"/>
      <c r="CQ115" s="643"/>
      <c r="CR115" s="643"/>
      <c r="CS115" s="636" t="s">
        <v>1769</v>
      </c>
      <c r="CT115" s="636" t="s">
        <v>1770</v>
      </c>
      <c r="CU115" s="643"/>
      <c r="CV115" s="643"/>
      <c r="CW115" s="643"/>
      <c r="CX115" s="643"/>
      <c r="CY115" s="643"/>
      <c r="CZ115" s="643"/>
      <c r="DA115" s="643"/>
      <c r="DB115" s="643"/>
      <c r="DC115" s="636" t="s">
        <v>1771</v>
      </c>
      <c r="DD115" s="643"/>
      <c r="DE115" s="643"/>
    </row>
    <row r="116" spans="2:109" ht="15" customHeight="1">
      <c r="B116" s="35"/>
      <c r="C116" s="38"/>
      <c r="D116" s="54" t="s">
        <v>1772</v>
      </c>
      <c r="E116" s="38"/>
      <c r="F116" s="38"/>
      <c r="G116" s="38"/>
      <c r="H116" s="38"/>
      <c r="I116" s="738" t="s">
        <v>7182</v>
      </c>
      <c r="J116" s="1085"/>
      <c r="K116" s="1085"/>
      <c r="L116" s="1085"/>
      <c r="M116" s="1085"/>
      <c r="N116" s="1085"/>
      <c r="O116" s="1085"/>
      <c r="P116" s="1085"/>
      <c r="Q116" s="1085"/>
      <c r="R116" s="1085"/>
      <c r="S116" s="1085"/>
      <c r="T116" s="1085"/>
      <c r="U116" s="1085"/>
      <c r="V116" s="1085"/>
      <c r="W116" s="1085"/>
      <c r="X116" s="1085"/>
      <c r="Y116" s="1085"/>
      <c r="Z116" s="1085"/>
      <c r="AA116" s="1085"/>
      <c r="AB116" s="1085"/>
      <c r="AC116" s="1085"/>
      <c r="AD116" s="37"/>
      <c r="AH116" s="24"/>
      <c r="AI116" s="24"/>
      <c r="AJ116" s="24"/>
      <c r="AK116" s="24"/>
      <c r="AL116" s="630" t="str">
        <f t="shared" si="2"/>
        <v>Piaxtla</v>
      </c>
      <c r="AM116" s="630">
        <f t="shared" si="3"/>
        <v>21113</v>
      </c>
      <c r="AO116" s="24"/>
      <c r="AP116" s="628">
        <v>114</v>
      </c>
      <c r="AQ116" s="642"/>
      <c r="AR116" s="642"/>
      <c r="AS116" s="642"/>
      <c r="AT116" s="642"/>
      <c r="AU116" s="642"/>
      <c r="AV116" s="642"/>
      <c r="AW116" s="634">
        <v>7114</v>
      </c>
      <c r="AX116" s="642"/>
      <c r="AY116" s="642"/>
      <c r="AZ116" s="642"/>
      <c r="BA116" s="642"/>
      <c r="BB116" s="642"/>
      <c r="BC116" s="642"/>
      <c r="BD116" s="634">
        <v>14113</v>
      </c>
      <c r="BE116" s="635">
        <v>15113</v>
      </c>
      <c r="BF116" s="634">
        <v>16113</v>
      </c>
      <c r="BG116" s="642"/>
      <c r="BH116" s="642"/>
      <c r="BI116" s="642"/>
      <c r="BJ116" s="634">
        <v>20113</v>
      </c>
      <c r="BK116" s="634">
        <v>21113</v>
      </c>
      <c r="BL116" s="642"/>
      <c r="BM116" s="642"/>
      <c r="BN116" s="642"/>
      <c r="BO116" s="642"/>
      <c r="BP116" s="642"/>
      <c r="BQ116" s="642"/>
      <c r="BR116" s="642"/>
      <c r="BS116" s="642"/>
      <c r="BT116" s="634">
        <v>30113</v>
      </c>
      <c r="BU116" s="642"/>
      <c r="BV116" s="642"/>
      <c r="BW116" s="24"/>
      <c r="BX116" s="24"/>
      <c r="BY116" s="24"/>
      <c r="BZ116" s="643"/>
      <c r="CA116" s="643"/>
      <c r="CB116" s="643"/>
      <c r="CC116" s="643"/>
      <c r="CD116" s="643"/>
      <c r="CE116" s="643"/>
      <c r="CF116" s="636" t="s">
        <v>1773</v>
      </c>
      <c r="CG116" s="643"/>
      <c r="CH116" s="643"/>
      <c r="CI116" s="643"/>
      <c r="CJ116" s="643"/>
      <c r="CK116" s="643"/>
      <c r="CL116" s="643"/>
      <c r="CM116" s="636" t="s">
        <v>1774</v>
      </c>
      <c r="CN116" s="637" t="s">
        <v>1775</v>
      </c>
      <c r="CO116" s="636" t="s">
        <v>1776</v>
      </c>
      <c r="CP116" s="643"/>
      <c r="CQ116" s="643"/>
      <c r="CR116" s="643"/>
      <c r="CS116" s="636" t="s">
        <v>1777</v>
      </c>
      <c r="CT116" s="636" t="s">
        <v>1778</v>
      </c>
      <c r="CU116" s="643"/>
      <c r="CV116" s="643"/>
      <c r="CW116" s="643"/>
      <c r="CX116" s="643"/>
      <c r="CY116" s="643"/>
      <c r="CZ116" s="643"/>
      <c r="DA116" s="643"/>
      <c r="DB116" s="643"/>
      <c r="DC116" s="636" t="s">
        <v>1779</v>
      </c>
      <c r="DD116" s="643"/>
      <c r="DE116" s="643"/>
    </row>
    <row r="117" spans="2:109" ht="15" customHeight="1">
      <c r="B117" s="35"/>
      <c r="C117" s="38"/>
      <c r="D117" s="54" t="s">
        <v>1780</v>
      </c>
      <c r="E117" s="38"/>
      <c r="F117" s="38"/>
      <c r="G117" s="737" t="s">
        <v>7183</v>
      </c>
      <c r="H117" s="1142"/>
      <c r="I117" s="1142"/>
      <c r="J117" s="1142"/>
      <c r="K117" s="1142"/>
      <c r="L117" s="1142"/>
      <c r="M117" s="1142"/>
      <c r="N117" s="1142"/>
      <c r="O117" s="1142"/>
      <c r="P117" s="1142"/>
      <c r="Q117" s="1142"/>
      <c r="R117" s="54" t="s">
        <v>1781</v>
      </c>
      <c r="S117" s="54"/>
      <c r="T117" s="54"/>
      <c r="U117" s="738" t="s">
        <v>7184</v>
      </c>
      <c r="V117" s="1085"/>
      <c r="W117" s="1085"/>
      <c r="X117" s="1085"/>
      <c r="Y117" s="1085"/>
      <c r="Z117" s="1085"/>
      <c r="AA117" s="1085"/>
      <c r="AB117" s="1085"/>
      <c r="AC117" s="1085"/>
      <c r="AD117" s="37"/>
      <c r="AH117" s="24"/>
      <c r="AI117" s="24"/>
      <c r="AJ117" s="24"/>
      <c r="AK117" s="24"/>
      <c r="AL117" s="630" t="str">
        <f t="shared" si="2"/>
        <v>Puebla</v>
      </c>
      <c r="AM117" s="630">
        <f t="shared" si="3"/>
        <v>21114</v>
      </c>
      <c r="AO117" s="24"/>
      <c r="AP117" s="628">
        <v>115</v>
      </c>
      <c r="AQ117" s="642"/>
      <c r="AR117" s="642"/>
      <c r="AS117" s="642"/>
      <c r="AT117" s="642"/>
      <c r="AU117" s="642"/>
      <c r="AV117" s="642"/>
      <c r="AW117" s="634">
        <v>7115</v>
      </c>
      <c r="AX117" s="642"/>
      <c r="AY117" s="642"/>
      <c r="AZ117" s="642"/>
      <c r="BA117" s="642"/>
      <c r="BB117" s="642"/>
      <c r="BC117" s="642"/>
      <c r="BD117" s="634">
        <v>14114</v>
      </c>
      <c r="BE117" s="635">
        <v>15114</v>
      </c>
      <c r="BF117" s="642">
        <v>16999</v>
      </c>
      <c r="BG117" s="642"/>
      <c r="BH117" s="642"/>
      <c r="BI117" s="642"/>
      <c r="BJ117" s="634">
        <v>20114</v>
      </c>
      <c r="BK117" s="634">
        <v>21114</v>
      </c>
      <c r="BL117" s="642"/>
      <c r="BM117" s="642"/>
      <c r="BN117" s="642"/>
      <c r="BO117" s="642"/>
      <c r="BP117" s="642"/>
      <c r="BQ117" s="642"/>
      <c r="BR117" s="642"/>
      <c r="BS117" s="642"/>
      <c r="BT117" s="634">
        <v>30114</v>
      </c>
      <c r="BU117" s="642"/>
      <c r="BV117" s="642"/>
      <c r="BW117" s="24"/>
      <c r="BX117" s="24"/>
      <c r="BY117" s="24"/>
      <c r="BZ117" s="643"/>
      <c r="CA117" s="643"/>
      <c r="CB117" s="643"/>
      <c r="CC117" s="643"/>
      <c r="CD117" s="643"/>
      <c r="CE117" s="643"/>
      <c r="CF117" s="636" t="s">
        <v>1782</v>
      </c>
      <c r="CG117" s="643"/>
      <c r="CH117" s="643"/>
      <c r="CI117" s="643"/>
      <c r="CJ117" s="643"/>
      <c r="CK117" s="643"/>
      <c r="CL117" s="643"/>
      <c r="CM117" s="636" t="s">
        <v>1783</v>
      </c>
      <c r="CN117" s="637" t="s">
        <v>1784</v>
      </c>
      <c r="CO117" s="636" t="s">
        <v>201</v>
      </c>
      <c r="CP117" s="643"/>
      <c r="CQ117" s="643"/>
      <c r="CR117" s="643"/>
      <c r="CS117" s="636" t="s">
        <v>1785</v>
      </c>
      <c r="CT117" s="636" t="s">
        <v>607</v>
      </c>
      <c r="CU117" s="643"/>
      <c r="CV117" s="643"/>
      <c r="CW117" s="643"/>
      <c r="CX117" s="643"/>
      <c r="CY117" s="643"/>
      <c r="CZ117" s="643"/>
      <c r="DA117" s="643"/>
      <c r="DB117" s="643"/>
      <c r="DC117" s="636" t="s">
        <v>1786</v>
      </c>
      <c r="DD117" s="643"/>
      <c r="DE117" s="643"/>
    </row>
    <row r="118" spans="2:109" ht="15" customHeight="1" thickBot="1">
      <c r="B118" s="39"/>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1"/>
      <c r="AH118" s="24"/>
      <c r="AI118" s="24"/>
      <c r="AJ118" s="24"/>
      <c r="AK118" s="24"/>
      <c r="AL118" s="630" t="str">
        <f t="shared" si="2"/>
        <v>Quecholac</v>
      </c>
      <c r="AM118" s="630">
        <f t="shared" si="3"/>
        <v>21115</v>
      </c>
      <c r="AO118" s="24"/>
      <c r="AP118" s="628">
        <v>116</v>
      </c>
      <c r="AQ118" s="642"/>
      <c r="AR118" s="642"/>
      <c r="AS118" s="642"/>
      <c r="AT118" s="642"/>
      <c r="AU118" s="642"/>
      <c r="AV118" s="642"/>
      <c r="AW118" s="634">
        <v>7116</v>
      </c>
      <c r="AX118" s="642"/>
      <c r="AY118" s="642"/>
      <c r="AZ118" s="642"/>
      <c r="BA118" s="642"/>
      <c r="BB118" s="642"/>
      <c r="BC118" s="642"/>
      <c r="BD118" s="634">
        <v>14115</v>
      </c>
      <c r="BE118" s="635">
        <v>15115</v>
      </c>
      <c r="BF118" s="642"/>
      <c r="BG118" s="642"/>
      <c r="BH118" s="642"/>
      <c r="BI118" s="642"/>
      <c r="BJ118" s="634">
        <v>20115</v>
      </c>
      <c r="BK118" s="634">
        <v>21115</v>
      </c>
      <c r="BL118" s="642"/>
      <c r="BM118" s="642"/>
      <c r="BN118" s="642"/>
      <c r="BO118" s="642"/>
      <c r="BP118" s="642"/>
      <c r="BQ118" s="642"/>
      <c r="BR118" s="642"/>
      <c r="BS118" s="642"/>
      <c r="BT118" s="634">
        <v>30115</v>
      </c>
      <c r="BU118" s="642"/>
      <c r="BV118" s="642"/>
      <c r="BW118" s="24"/>
      <c r="BX118" s="24"/>
      <c r="BY118" s="24"/>
      <c r="BZ118" s="643"/>
      <c r="CA118" s="643"/>
      <c r="CB118" s="643"/>
      <c r="CC118" s="643"/>
      <c r="CD118" s="643"/>
      <c r="CE118" s="643"/>
      <c r="CF118" s="636" t="s">
        <v>1787</v>
      </c>
      <c r="CG118" s="643"/>
      <c r="CH118" s="643"/>
      <c r="CI118" s="643"/>
      <c r="CJ118" s="643"/>
      <c r="CK118" s="643"/>
      <c r="CL118" s="643"/>
      <c r="CM118" s="636" t="s">
        <v>1775</v>
      </c>
      <c r="CN118" s="637" t="s">
        <v>1788</v>
      </c>
      <c r="CO118" s="643"/>
      <c r="CP118" s="643"/>
      <c r="CQ118" s="643"/>
      <c r="CR118" s="643"/>
      <c r="CS118" s="636" t="s">
        <v>1789</v>
      </c>
      <c r="CT118" s="636" t="s">
        <v>1790</v>
      </c>
      <c r="CU118" s="643"/>
      <c r="CV118" s="643"/>
      <c r="CW118" s="643"/>
      <c r="CX118" s="643"/>
      <c r="CY118" s="643"/>
      <c r="CZ118" s="643"/>
      <c r="DA118" s="643"/>
      <c r="DB118" s="643"/>
      <c r="DC118" s="636" t="s">
        <v>1056</v>
      </c>
      <c r="DD118" s="643"/>
      <c r="DE118" s="643"/>
    </row>
    <row r="119" spans="2:109" ht="15" customHeight="1">
      <c r="AH119" s="24"/>
      <c r="AI119" s="24"/>
      <c r="AJ119" s="24"/>
      <c r="AK119" s="24"/>
      <c r="AL119" s="630" t="str">
        <f t="shared" si="2"/>
        <v>Quimixtlán</v>
      </c>
      <c r="AM119" s="630">
        <f t="shared" si="3"/>
        <v>21116</v>
      </c>
      <c r="AO119" s="24"/>
      <c r="AP119" s="628">
        <v>117</v>
      </c>
      <c r="AQ119" s="642"/>
      <c r="AR119" s="642"/>
      <c r="AS119" s="642"/>
      <c r="AT119" s="642"/>
      <c r="AU119" s="642"/>
      <c r="AV119" s="642"/>
      <c r="AW119" s="634">
        <v>7117</v>
      </c>
      <c r="AX119" s="642"/>
      <c r="AY119" s="642"/>
      <c r="AZ119" s="642"/>
      <c r="BA119" s="642"/>
      <c r="BB119" s="642"/>
      <c r="BC119" s="642"/>
      <c r="BD119" s="634">
        <v>14116</v>
      </c>
      <c r="BE119" s="635">
        <v>15116</v>
      </c>
      <c r="BF119" s="642"/>
      <c r="BG119" s="642"/>
      <c r="BH119" s="642"/>
      <c r="BI119" s="642"/>
      <c r="BJ119" s="634">
        <v>20116</v>
      </c>
      <c r="BK119" s="634">
        <v>21116</v>
      </c>
      <c r="BL119" s="642"/>
      <c r="BM119" s="642"/>
      <c r="BN119" s="642"/>
      <c r="BO119" s="642"/>
      <c r="BP119" s="642"/>
      <c r="BQ119" s="642"/>
      <c r="BR119" s="642"/>
      <c r="BS119" s="642"/>
      <c r="BT119" s="634">
        <v>30116</v>
      </c>
      <c r="BU119" s="642"/>
      <c r="BV119" s="642"/>
      <c r="BW119" s="24"/>
      <c r="BX119" s="24"/>
      <c r="BY119" s="24"/>
      <c r="BZ119" s="643"/>
      <c r="CA119" s="643"/>
      <c r="CB119" s="643"/>
      <c r="CC119" s="643"/>
      <c r="CD119" s="643"/>
      <c r="CE119" s="643"/>
      <c r="CF119" s="636" t="s">
        <v>1791</v>
      </c>
      <c r="CG119" s="643"/>
      <c r="CH119" s="643"/>
      <c r="CI119" s="643"/>
      <c r="CJ119" s="643"/>
      <c r="CK119" s="643"/>
      <c r="CL119" s="643"/>
      <c r="CM119" s="636" t="s">
        <v>963</v>
      </c>
      <c r="CN119" s="637" t="s">
        <v>1792</v>
      </c>
      <c r="CO119" s="643"/>
      <c r="CP119" s="643"/>
      <c r="CQ119" s="643"/>
      <c r="CR119" s="643"/>
      <c r="CS119" s="636" t="s">
        <v>1793</v>
      </c>
      <c r="CT119" s="636" t="s">
        <v>1794</v>
      </c>
      <c r="CU119" s="643"/>
      <c r="CV119" s="643"/>
      <c r="CW119" s="643"/>
      <c r="CX119" s="643"/>
      <c r="CY119" s="643"/>
      <c r="CZ119" s="643"/>
      <c r="DA119" s="643"/>
      <c r="DB119" s="643"/>
      <c r="DC119" s="636" t="s">
        <v>1795</v>
      </c>
      <c r="DD119" s="643"/>
      <c r="DE119" s="643"/>
    </row>
    <row r="120" spans="2:109" ht="15" customHeight="1">
      <c r="AH120" s="24"/>
      <c r="AI120" s="24"/>
      <c r="AJ120" s="24"/>
      <c r="AK120" s="24"/>
      <c r="AL120" s="630" t="str">
        <f t="shared" si="2"/>
        <v>Rafael Lara Grajales</v>
      </c>
      <c r="AM120" s="630">
        <f t="shared" si="3"/>
        <v>21117</v>
      </c>
      <c r="AO120" s="24"/>
      <c r="AP120" s="628">
        <v>118</v>
      </c>
      <c r="AQ120" s="642"/>
      <c r="AR120" s="642"/>
      <c r="AS120" s="642"/>
      <c r="AT120" s="642"/>
      <c r="AU120" s="642"/>
      <c r="AV120" s="642"/>
      <c r="AW120" s="634">
        <v>7118</v>
      </c>
      <c r="AX120" s="642"/>
      <c r="AY120" s="642"/>
      <c r="AZ120" s="642"/>
      <c r="BA120" s="642"/>
      <c r="BB120" s="642"/>
      <c r="BC120" s="642"/>
      <c r="BD120" s="634">
        <v>14117</v>
      </c>
      <c r="BE120" s="635">
        <v>15117</v>
      </c>
      <c r="BF120" s="642"/>
      <c r="BG120" s="642"/>
      <c r="BH120" s="642"/>
      <c r="BI120" s="642"/>
      <c r="BJ120" s="634">
        <v>20117</v>
      </c>
      <c r="BK120" s="634">
        <v>21117</v>
      </c>
      <c r="BL120" s="642"/>
      <c r="BM120" s="642"/>
      <c r="BN120" s="642"/>
      <c r="BO120" s="642"/>
      <c r="BP120" s="642"/>
      <c r="BQ120" s="642"/>
      <c r="BR120" s="642"/>
      <c r="BS120" s="642"/>
      <c r="BT120" s="634">
        <v>30117</v>
      </c>
      <c r="BU120" s="642"/>
      <c r="BV120" s="642"/>
      <c r="BW120" s="24"/>
      <c r="BX120" s="24"/>
      <c r="BY120" s="24"/>
      <c r="BZ120" s="643"/>
      <c r="CA120" s="643"/>
      <c r="CB120" s="643"/>
      <c r="CC120" s="643"/>
      <c r="CD120" s="643"/>
      <c r="CE120" s="643"/>
      <c r="CF120" s="636" t="s">
        <v>1796</v>
      </c>
      <c r="CG120" s="643"/>
      <c r="CH120" s="643"/>
      <c r="CI120" s="643"/>
      <c r="CJ120" s="643"/>
      <c r="CK120" s="643"/>
      <c r="CL120" s="643"/>
      <c r="CM120" s="636" t="s">
        <v>1797</v>
      </c>
      <c r="CN120" s="637" t="s">
        <v>1798</v>
      </c>
      <c r="CO120" s="643"/>
      <c r="CP120" s="643"/>
      <c r="CQ120" s="643"/>
      <c r="CR120" s="643"/>
      <c r="CS120" s="636" t="s">
        <v>1799</v>
      </c>
      <c r="CT120" s="636" t="s">
        <v>1800</v>
      </c>
      <c r="CU120" s="643"/>
      <c r="CV120" s="643"/>
      <c r="CW120" s="643"/>
      <c r="CX120" s="643"/>
      <c r="CY120" s="643"/>
      <c r="CZ120" s="643"/>
      <c r="DA120" s="643"/>
      <c r="DB120" s="643"/>
      <c r="DC120" s="636" t="s">
        <v>1801</v>
      </c>
      <c r="DD120" s="643"/>
      <c r="DE120" s="643"/>
    </row>
    <row r="121" spans="2:109" ht="15" customHeight="1">
      <c r="AH121" s="24"/>
      <c r="AI121" s="24"/>
      <c r="AJ121" s="24"/>
      <c r="AK121" s="24"/>
      <c r="AL121" s="630" t="str">
        <f t="shared" si="2"/>
        <v>Los Reyes de Juárez</v>
      </c>
      <c r="AM121" s="630">
        <f t="shared" si="3"/>
        <v>21118</v>
      </c>
      <c r="AO121" s="24"/>
      <c r="AP121" s="628">
        <v>119</v>
      </c>
      <c r="AQ121" s="642"/>
      <c r="AR121" s="642"/>
      <c r="AS121" s="642"/>
      <c r="AT121" s="642"/>
      <c r="AU121" s="642"/>
      <c r="AV121" s="642"/>
      <c r="AW121" s="634">
        <v>7119</v>
      </c>
      <c r="AX121" s="642"/>
      <c r="AY121" s="642"/>
      <c r="AZ121" s="642"/>
      <c r="BA121" s="642"/>
      <c r="BB121" s="642"/>
      <c r="BC121" s="642"/>
      <c r="BD121" s="634">
        <v>14118</v>
      </c>
      <c r="BE121" s="635">
        <v>15118</v>
      </c>
      <c r="BF121" s="642"/>
      <c r="BG121" s="642"/>
      <c r="BH121" s="642"/>
      <c r="BI121" s="642"/>
      <c r="BJ121" s="634">
        <v>20118</v>
      </c>
      <c r="BK121" s="634">
        <v>21118</v>
      </c>
      <c r="BL121" s="642"/>
      <c r="BM121" s="642"/>
      <c r="BN121" s="642"/>
      <c r="BO121" s="642"/>
      <c r="BP121" s="642"/>
      <c r="BQ121" s="642"/>
      <c r="BR121" s="642"/>
      <c r="BS121" s="642"/>
      <c r="BT121" s="634">
        <v>30118</v>
      </c>
      <c r="BU121" s="642"/>
      <c r="BV121" s="642"/>
      <c r="BW121" s="24"/>
      <c r="BX121" s="24"/>
      <c r="BY121" s="24"/>
      <c r="BZ121" s="643"/>
      <c r="CA121" s="643"/>
      <c r="CB121" s="643"/>
      <c r="CC121" s="643"/>
      <c r="CD121" s="643"/>
      <c r="CE121" s="643"/>
      <c r="CF121" s="636" t="s">
        <v>1802</v>
      </c>
      <c r="CG121" s="643"/>
      <c r="CH121" s="643"/>
      <c r="CI121" s="643"/>
      <c r="CJ121" s="643"/>
      <c r="CK121" s="643"/>
      <c r="CL121" s="643"/>
      <c r="CM121" s="636" t="s">
        <v>1803</v>
      </c>
      <c r="CN121" s="637" t="s">
        <v>1804</v>
      </c>
      <c r="CO121" s="643"/>
      <c r="CP121" s="643"/>
      <c r="CQ121" s="643"/>
      <c r="CR121" s="643"/>
      <c r="CS121" s="636" t="s">
        <v>1805</v>
      </c>
      <c r="CT121" s="636" t="s">
        <v>1806</v>
      </c>
      <c r="CU121" s="643"/>
      <c r="CV121" s="643"/>
      <c r="CW121" s="643"/>
      <c r="CX121" s="643"/>
      <c r="CY121" s="643"/>
      <c r="CZ121" s="643"/>
      <c r="DA121" s="643"/>
      <c r="DB121" s="643"/>
      <c r="DC121" s="636" t="s">
        <v>1807</v>
      </c>
      <c r="DD121" s="643"/>
      <c r="DE121" s="643"/>
    </row>
    <row r="122" spans="2:109" ht="15" customHeight="1">
      <c r="AH122" s="24"/>
      <c r="AI122" s="24"/>
      <c r="AJ122" s="24"/>
      <c r="AK122" s="24"/>
      <c r="AL122" s="630" t="str">
        <f t="shared" si="2"/>
        <v>San Andrés Cholula</v>
      </c>
      <c r="AM122" s="630">
        <f t="shared" si="3"/>
        <v>21119</v>
      </c>
      <c r="AO122" s="24"/>
      <c r="AP122" s="628">
        <v>120</v>
      </c>
      <c r="AQ122" s="642"/>
      <c r="AR122" s="642"/>
      <c r="AS122" s="642"/>
      <c r="AT122" s="642"/>
      <c r="AU122" s="642"/>
      <c r="AV122" s="642"/>
      <c r="AW122" s="634">
        <v>7120</v>
      </c>
      <c r="AX122" s="642"/>
      <c r="AY122" s="642"/>
      <c r="AZ122" s="642"/>
      <c r="BA122" s="642"/>
      <c r="BB122" s="642"/>
      <c r="BC122" s="642"/>
      <c r="BD122" s="634">
        <v>14119</v>
      </c>
      <c r="BE122" s="635">
        <v>15119</v>
      </c>
      <c r="BF122" s="642"/>
      <c r="BG122" s="642"/>
      <c r="BH122" s="642"/>
      <c r="BI122" s="642"/>
      <c r="BJ122" s="634">
        <v>20119</v>
      </c>
      <c r="BK122" s="634">
        <v>21119</v>
      </c>
      <c r="BL122" s="642"/>
      <c r="BM122" s="642"/>
      <c r="BN122" s="642"/>
      <c r="BO122" s="642"/>
      <c r="BP122" s="642"/>
      <c r="BQ122" s="642"/>
      <c r="BR122" s="642"/>
      <c r="BS122" s="642"/>
      <c r="BT122" s="634">
        <v>30119</v>
      </c>
      <c r="BU122" s="642"/>
      <c r="BV122" s="642"/>
      <c r="BW122" s="24"/>
      <c r="BX122" s="24"/>
      <c r="BY122" s="24"/>
      <c r="BZ122" s="643"/>
      <c r="CA122" s="643"/>
      <c r="CB122" s="643"/>
      <c r="CC122" s="643"/>
      <c r="CD122" s="643"/>
      <c r="CE122" s="643"/>
      <c r="CF122" s="648" t="s">
        <v>1808</v>
      </c>
      <c r="CG122" s="643"/>
      <c r="CH122" s="643"/>
      <c r="CI122" s="643"/>
      <c r="CJ122" s="643"/>
      <c r="CK122" s="643"/>
      <c r="CL122" s="643"/>
      <c r="CM122" s="636" t="s">
        <v>1809</v>
      </c>
      <c r="CN122" s="637" t="s">
        <v>1810</v>
      </c>
      <c r="CO122" s="643"/>
      <c r="CP122" s="643"/>
      <c r="CQ122" s="643"/>
      <c r="CR122" s="643"/>
      <c r="CS122" s="636" t="s">
        <v>1811</v>
      </c>
      <c r="CT122" s="636" t="s">
        <v>1812</v>
      </c>
      <c r="CU122" s="643"/>
      <c r="CV122" s="643"/>
      <c r="CW122" s="643"/>
      <c r="CX122" s="643"/>
      <c r="CY122" s="643"/>
      <c r="CZ122" s="643"/>
      <c r="DA122" s="643"/>
      <c r="DB122" s="643"/>
      <c r="DC122" s="636" t="s">
        <v>1813</v>
      </c>
      <c r="DD122" s="643"/>
      <c r="DE122" s="643"/>
    </row>
    <row r="123" spans="2:109" ht="15" customHeight="1">
      <c r="AH123" s="24"/>
      <c r="AI123" s="24"/>
      <c r="AJ123" s="24"/>
      <c r="AK123" s="24"/>
      <c r="AL123" s="630" t="str">
        <f t="shared" si="2"/>
        <v>San Antonio Cañada</v>
      </c>
      <c r="AM123" s="630">
        <f t="shared" si="3"/>
        <v>21120</v>
      </c>
      <c r="AO123" s="24"/>
      <c r="AP123" s="628">
        <v>121</v>
      </c>
      <c r="AQ123" s="642"/>
      <c r="AR123" s="642"/>
      <c r="AS123" s="642"/>
      <c r="AT123" s="642"/>
      <c r="AU123" s="642"/>
      <c r="AV123" s="642"/>
      <c r="AW123" s="634">
        <v>7121</v>
      </c>
      <c r="AX123" s="642"/>
      <c r="AY123" s="642"/>
      <c r="AZ123" s="642"/>
      <c r="BA123" s="642"/>
      <c r="BB123" s="642"/>
      <c r="BC123" s="642"/>
      <c r="BD123" s="634">
        <v>14120</v>
      </c>
      <c r="BE123" s="635">
        <v>15120</v>
      </c>
      <c r="BF123" s="642"/>
      <c r="BG123" s="642"/>
      <c r="BH123" s="642"/>
      <c r="BI123" s="642"/>
      <c r="BJ123" s="634">
        <v>20120</v>
      </c>
      <c r="BK123" s="634">
        <v>21120</v>
      </c>
      <c r="BL123" s="642"/>
      <c r="BM123" s="642"/>
      <c r="BN123" s="642"/>
      <c r="BO123" s="642"/>
      <c r="BP123" s="642"/>
      <c r="BQ123" s="642"/>
      <c r="BR123" s="642"/>
      <c r="BS123" s="642"/>
      <c r="BT123" s="634">
        <v>30120</v>
      </c>
      <c r="BU123" s="642"/>
      <c r="BV123" s="642"/>
      <c r="BW123" s="24"/>
      <c r="BX123" s="24"/>
      <c r="BY123" s="24"/>
      <c r="BZ123" s="643"/>
      <c r="CA123" s="643"/>
      <c r="CB123" s="643"/>
      <c r="CC123" s="643"/>
      <c r="CD123" s="643"/>
      <c r="CE123" s="643"/>
      <c r="CF123" s="648" t="s">
        <v>1814</v>
      </c>
      <c r="CG123" s="643"/>
      <c r="CH123" s="643"/>
      <c r="CI123" s="643"/>
      <c r="CJ123" s="643"/>
      <c r="CK123" s="643"/>
      <c r="CL123" s="643"/>
      <c r="CM123" s="636" t="s">
        <v>1815</v>
      </c>
      <c r="CN123" s="637" t="s">
        <v>1816</v>
      </c>
      <c r="CO123" s="643"/>
      <c r="CP123" s="643"/>
      <c r="CQ123" s="643"/>
      <c r="CR123" s="643"/>
      <c r="CS123" s="636" t="s">
        <v>1817</v>
      </c>
      <c r="CT123" s="636" t="s">
        <v>1818</v>
      </c>
      <c r="CU123" s="643"/>
      <c r="CV123" s="643"/>
      <c r="CW123" s="643"/>
      <c r="CX123" s="643"/>
      <c r="CY123" s="643"/>
      <c r="CZ123" s="643"/>
      <c r="DA123" s="643"/>
      <c r="DB123" s="643"/>
      <c r="DC123" s="636" t="s">
        <v>1819</v>
      </c>
      <c r="DD123" s="643"/>
      <c r="DE123" s="643"/>
    </row>
    <row r="124" spans="2:109" ht="15" customHeight="1">
      <c r="AH124" s="24"/>
      <c r="AI124" s="24"/>
      <c r="AJ124" s="24"/>
      <c r="AK124" s="24"/>
      <c r="AL124" s="630" t="str">
        <f t="shared" si="2"/>
        <v>San Diego la Mesa Tochimiltzingo</v>
      </c>
      <c r="AM124" s="630">
        <f t="shared" si="3"/>
        <v>21121</v>
      </c>
      <c r="AO124" s="24"/>
      <c r="AP124" s="628">
        <v>122</v>
      </c>
      <c r="AQ124" s="642"/>
      <c r="AR124" s="642"/>
      <c r="AS124" s="642"/>
      <c r="AT124" s="642"/>
      <c r="AU124" s="642"/>
      <c r="AV124" s="642"/>
      <c r="AW124" s="634">
        <v>7122</v>
      </c>
      <c r="AX124" s="642"/>
      <c r="AY124" s="642"/>
      <c r="AZ124" s="642"/>
      <c r="BA124" s="642"/>
      <c r="BB124" s="642"/>
      <c r="BC124" s="642"/>
      <c r="BD124" s="634">
        <v>14121</v>
      </c>
      <c r="BE124" s="635">
        <v>15121</v>
      </c>
      <c r="BF124" s="642"/>
      <c r="BG124" s="642"/>
      <c r="BH124" s="642"/>
      <c r="BI124" s="642"/>
      <c r="BJ124" s="634">
        <v>20121</v>
      </c>
      <c r="BK124" s="634">
        <v>21121</v>
      </c>
      <c r="BL124" s="642"/>
      <c r="BM124" s="642"/>
      <c r="BN124" s="642"/>
      <c r="BO124" s="642"/>
      <c r="BP124" s="642"/>
      <c r="BQ124" s="642"/>
      <c r="BR124" s="642"/>
      <c r="BS124" s="642"/>
      <c r="BT124" s="634">
        <v>30121</v>
      </c>
      <c r="BU124" s="642"/>
      <c r="BV124" s="642"/>
      <c r="BW124" s="24"/>
      <c r="BX124" s="24"/>
      <c r="BY124" s="24"/>
      <c r="BZ124" s="643"/>
      <c r="CA124" s="643"/>
      <c r="CB124" s="643"/>
      <c r="CC124" s="643"/>
      <c r="CD124" s="643"/>
      <c r="CE124" s="643"/>
      <c r="CF124" s="648" t="s">
        <v>1820</v>
      </c>
      <c r="CG124" s="643"/>
      <c r="CH124" s="643"/>
      <c r="CI124" s="643"/>
      <c r="CJ124" s="643"/>
      <c r="CK124" s="643"/>
      <c r="CL124" s="643"/>
      <c r="CM124" s="636" t="s">
        <v>1821</v>
      </c>
      <c r="CN124" s="637" t="s">
        <v>1822</v>
      </c>
      <c r="CO124" s="643"/>
      <c r="CP124" s="643"/>
      <c r="CQ124" s="643"/>
      <c r="CR124" s="643"/>
      <c r="CS124" s="636" t="s">
        <v>1823</v>
      </c>
      <c r="CT124" s="636" t="s">
        <v>1824</v>
      </c>
      <c r="CU124" s="643"/>
      <c r="CV124" s="643"/>
      <c r="CW124" s="643"/>
      <c r="CX124" s="643"/>
      <c r="CY124" s="643"/>
      <c r="CZ124" s="643"/>
      <c r="DA124" s="643"/>
      <c r="DB124" s="643"/>
      <c r="DC124" s="636" t="s">
        <v>1825</v>
      </c>
      <c r="DD124" s="643"/>
      <c r="DE124" s="643"/>
    </row>
    <row r="125" spans="2:109" ht="15" hidden="1" customHeight="1">
      <c r="AH125" s="24"/>
      <c r="AI125" s="24"/>
      <c r="AJ125" s="24"/>
      <c r="AK125" s="24"/>
      <c r="AL125" s="630" t="str">
        <f t="shared" si="2"/>
        <v>San Felipe Teotlalcingo</v>
      </c>
      <c r="AM125" s="630">
        <f t="shared" si="3"/>
        <v>21122</v>
      </c>
      <c r="AO125" s="24"/>
      <c r="AP125" s="628">
        <v>123</v>
      </c>
      <c r="AQ125" s="642"/>
      <c r="AR125" s="642"/>
      <c r="AS125" s="642"/>
      <c r="AT125" s="642"/>
      <c r="AU125" s="642"/>
      <c r="AV125" s="642"/>
      <c r="AW125" s="634">
        <v>7123</v>
      </c>
      <c r="AX125" s="642"/>
      <c r="AY125" s="642"/>
      <c r="AZ125" s="642"/>
      <c r="BA125" s="642"/>
      <c r="BB125" s="642"/>
      <c r="BC125" s="642"/>
      <c r="BD125" s="634">
        <v>14122</v>
      </c>
      <c r="BE125" s="635">
        <v>15122</v>
      </c>
      <c r="BF125" s="642"/>
      <c r="BG125" s="642"/>
      <c r="BH125" s="642"/>
      <c r="BI125" s="642"/>
      <c r="BJ125" s="634">
        <v>20122</v>
      </c>
      <c r="BK125" s="634">
        <v>21122</v>
      </c>
      <c r="BL125" s="642"/>
      <c r="BM125" s="642"/>
      <c r="BN125" s="642"/>
      <c r="BO125" s="642"/>
      <c r="BP125" s="642"/>
      <c r="BQ125" s="642"/>
      <c r="BR125" s="642"/>
      <c r="BS125" s="642"/>
      <c r="BT125" s="634">
        <v>30122</v>
      </c>
      <c r="BU125" s="642"/>
      <c r="BV125" s="642"/>
      <c r="BW125" s="24"/>
      <c r="BX125" s="24"/>
      <c r="BY125" s="24"/>
      <c r="BZ125" s="643"/>
      <c r="CA125" s="643"/>
      <c r="CB125" s="643"/>
      <c r="CC125" s="643"/>
      <c r="CD125" s="643"/>
      <c r="CE125" s="643"/>
      <c r="CF125" s="648" t="s">
        <v>258</v>
      </c>
      <c r="CG125" s="643"/>
      <c r="CH125" s="643"/>
      <c r="CI125" s="643"/>
      <c r="CJ125" s="643"/>
      <c r="CK125" s="643"/>
      <c r="CL125" s="643"/>
      <c r="CM125" s="636" t="s">
        <v>1826</v>
      </c>
      <c r="CN125" s="637" t="s">
        <v>1827</v>
      </c>
      <c r="CO125" s="643"/>
      <c r="CP125" s="643"/>
      <c r="CQ125" s="643"/>
      <c r="CR125" s="643"/>
      <c r="CS125" s="636" t="s">
        <v>1828</v>
      </c>
      <c r="CT125" s="636" t="s">
        <v>1829</v>
      </c>
      <c r="CU125" s="643"/>
      <c r="CV125" s="643"/>
      <c r="CW125" s="643"/>
      <c r="CX125" s="643"/>
      <c r="CY125" s="643"/>
      <c r="CZ125" s="643"/>
      <c r="DA125" s="643"/>
      <c r="DB125" s="643"/>
      <c r="DC125" s="636" t="s">
        <v>1830</v>
      </c>
      <c r="DD125" s="643"/>
      <c r="DE125" s="643"/>
    </row>
    <row r="126" spans="2:109" ht="15" hidden="1" customHeight="1">
      <c r="AH126" s="24"/>
      <c r="AI126" s="24"/>
      <c r="AJ126" s="24"/>
      <c r="AK126" s="24"/>
      <c r="AL126" s="630" t="str">
        <f t="shared" si="2"/>
        <v>San Felipe Tepatlán</v>
      </c>
      <c r="AM126" s="630">
        <f t="shared" si="3"/>
        <v>21123</v>
      </c>
      <c r="AO126" s="24"/>
      <c r="AP126" s="628">
        <v>124</v>
      </c>
      <c r="AQ126" s="642"/>
      <c r="AR126" s="642"/>
      <c r="AS126" s="642"/>
      <c r="AT126" s="642"/>
      <c r="AU126" s="642"/>
      <c r="AV126" s="642"/>
      <c r="AW126" s="634">
        <v>7124</v>
      </c>
      <c r="AX126" s="642"/>
      <c r="AY126" s="642"/>
      <c r="AZ126" s="642"/>
      <c r="BA126" s="642"/>
      <c r="BB126" s="642"/>
      <c r="BC126" s="642"/>
      <c r="BD126" s="634">
        <v>14123</v>
      </c>
      <c r="BE126" s="635">
        <v>15123</v>
      </c>
      <c r="BF126" s="642"/>
      <c r="BG126" s="642"/>
      <c r="BH126" s="642"/>
      <c r="BI126" s="642"/>
      <c r="BJ126" s="634">
        <v>20123</v>
      </c>
      <c r="BK126" s="634">
        <v>21123</v>
      </c>
      <c r="BL126" s="642"/>
      <c r="BM126" s="642"/>
      <c r="BN126" s="642"/>
      <c r="BO126" s="642"/>
      <c r="BP126" s="642"/>
      <c r="BQ126" s="642"/>
      <c r="BR126" s="642"/>
      <c r="BS126" s="642"/>
      <c r="BT126" s="634">
        <v>30123</v>
      </c>
      <c r="BU126" s="642"/>
      <c r="BV126" s="642"/>
      <c r="BW126" s="24"/>
      <c r="BX126" s="24"/>
      <c r="BY126" s="24"/>
      <c r="BZ126" s="643"/>
      <c r="CA126" s="643"/>
      <c r="CB126" s="643"/>
      <c r="CC126" s="643"/>
      <c r="CD126" s="643"/>
      <c r="CE126" s="643"/>
      <c r="CF126" s="648" t="s">
        <v>1831</v>
      </c>
      <c r="CG126" s="643"/>
      <c r="CH126" s="643"/>
      <c r="CI126" s="643"/>
      <c r="CJ126" s="643"/>
      <c r="CK126" s="643"/>
      <c r="CL126" s="643"/>
      <c r="CM126" s="636" t="s">
        <v>1832</v>
      </c>
      <c r="CN126" s="637" t="s">
        <v>1833</v>
      </c>
      <c r="CO126" s="643"/>
      <c r="CP126" s="643"/>
      <c r="CQ126" s="643"/>
      <c r="CR126" s="643"/>
      <c r="CS126" s="636" t="s">
        <v>1834</v>
      </c>
      <c r="CT126" s="636" t="s">
        <v>1835</v>
      </c>
      <c r="CU126" s="643"/>
      <c r="CV126" s="643"/>
      <c r="CW126" s="643"/>
      <c r="CX126" s="643"/>
      <c r="CY126" s="643"/>
      <c r="CZ126" s="643"/>
      <c r="DA126" s="643"/>
      <c r="DB126" s="643"/>
      <c r="DC126" s="636" t="s">
        <v>950</v>
      </c>
      <c r="DD126" s="643"/>
      <c r="DE126" s="643"/>
    </row>
    <row r="127" spans="2:109" ht="15" hidden="1" customHeight="1">
      <c r="AH127" s="24"/>
      <c r="AI127" s="24"/>
      <c r="AJ127" s="24"/>
      <c r="AK127" s="24"/>
      <c r="AL127" s="630" t="str">
        <f t="shared" si="2"/>
        <v>San Gabriel Chilac</v>
      </c>
      <c r="AM127" s="630">
        <f t="shared" si="3"/>
        <v>21124</v>
      </c>
      <c r="AO127" s="24"/>
      <c r="AP127" s="628">
        <v>125</v>
      </c>
      <c r="AQ127" s="642"/>
      <c r="AR127" s="642"/>
      <c r="AS127" s="642"/>
      <c r="AT127" s="642"/>
      <c r="AU127" s="642"/>
      <c r="AV127" s="642"/>
      <c r="AW127" s="634">
        <v>7125</v>
      </c>
      <c r="AX127" s="642"/>
      <c r="AY127" s="642"/>
      <c r="AZ127" s="642"/>
      <c r="BA127" s="642"/>
      <c r="BB127" s="642"/>
      <c r="BC127" s="642"/>
      <c r="BD127" s="634">
        <v>14124</v>
      </c>
      <c r="BE127" s="635">
        <v>15124</v>
      </c>
      <c r="BF127" s="642"/>
      <c r="BG127" s="642"/>
      <c r="BH127" s="642"/>
      <c r="BI127" s="642"/>
      <c r="BJ127" s="634">
        <v>20124</v>
      </c>
      <c r="BK127" s="634">
        <v>21124</v>
      </c>
      <c r="BL127" s="642"/>
      <c r="BM127" s="642"/>
      <c r="BN127" s="642"/>
      <c r="BO127" s="642"/>
      <c r="BP127" s="642"/>
      <c r="BQ127" s="642"/>
      <c r="BR127" s="642"/>
      <c r="BS127" s="642"/>
      <c r="BT127" s="634">
        <v>30124</v>
      </c>
      <c r="BU127" s="642"/>
      <c r="BV127" s="642"/>
      <c r="BW127" s="24"/>
      <c r="BX127" s="24"/>
      <c r="BY127" s="24"/>
      <c r="BZ127" s="643"/>
      <c r="CA127" s="643"/>
      <c r="CB127" s="643"/>
      <c r="CC127" s="643"/>
      <c r="CD127" s="643"/>
      <c r="CE127" s="643"/>
      <c r="CF127" s="648" t="s">
        <v>1836</v>
      </c>
      <c r="CG127" s="643"/>
      <c r="CH127" s="643"/>
      <c r="CI127" s="643"/>
      <c r="CJ127" s="643"/>
      <c r="CK127" s="643"/>
      <c r="CL127" s="643"/>
      <c r="CM127" s="636" t="s">
        <v>1837</v>
      </c>
      <c r="CN127" s="637" t="s">
        <v>1838</v>
      </c>
      <c r="CO127" s="643"/>
      <c r="CP127" s="643"/>
      <c r="CQ127" s="643"/>
      <c r="CR127" s="643"/>
      <c r="CS127" s="636" t="s">
        <v>1839</v>
      </c>
      <c r="CT127" s="636" t="s">
        <v>1840</v>
      </c>
      <c r="CU127" s="643"/>
      <c r="CV127" s="643"/>
      <c r="CW127" s="643"/>
      <c r="CX127" s="643"/>
      <c r="CY127" s="643"/>
      <c r="CZ127" s="643"/>
      <c r="DA127" s="643"/>
      <c r="DB127" s="643"/>
      <c r="DC127" s="636" t="s">
        <v>1841</v>
      </c>
      <c r="DD127" s="643"/>
      <c r="DE127" s="643"/>
    </row>
    <row r="128" spans="2:109" ht="15" hidden="1" customHeight="1">
      <c r="AH128" s="24"/>
      <c r="AI128" s="24"/>
      <c r="AJ128" s="24"/>
      <c r="AK128" s="24"/>
      <c r="AL128" s="630" t="str">
        <f t="shared" si="2"/>
        <v>San Gregorio Atzompa</v>
      </c>
      <c r="AM128" s="630">
        <f t="shared" si="3"/>
        <v>21125</v>
      </c>
      <c r="AO128" s="24"/>
      <c r="AP128" s="628">
        <v>126</v>
      </c>
      <c r="AQ128" s="642"/>
      <c r="AR128" s="642"/>
      <c r="AS128" s="642"/>
      <c r="AT128" s="642"/>
      <c r="AU128" s="642"/>
      <c r="AV128" s="642"/>
      <c r="AW128" s="646">
        <v>7999</v>
      </c>
      <c r="AX128" s="642"/>
      <c r="AY128" s="642"/>
      <c r="AZ128" s="642"/>
      <c r="BA128" s="642"/>
      <c r="BB128" s="642"/>
      <c r="BC128" s="642"/>
      <c r="BD128" s="634">
        <v>14125</v>
      </c>
      <c r="BE128" s="635">
        <v>15125</v>
      </c>
      <c r="BF128" s="642"/>
      <c r="BG128" s="642"/>
      <c r="BH128" s="642"/>
      <c r="BI128" s="642"/>
      <c r="BJ128" s="634">
        <v>20125</v>
      </c>
      <c r="BK128" s="634">
        <v>21125</v>
      </c>
      <c r="BL128" s="642"/>
      <c r="BM128" s="642"/>
      <c r="BN128" s="642"/>
      <c r="BO128" s="642"/>
      <c r="BP128" s="642"/>
      <c r="BQ128" s="642"/>
      <c r="BR128" s="642"/>
      <c r="BS128" s="642"/>
      <c r="BT128" s="634">
        <v>30125</v>
      </c>
      <c r="BU128" s="642"/>
      <c r="BV128" s="642"/>
      <c r="BW128" s="24"/>
      <c r="BX128" s="24"/>
      <c r="BY128" s="24"/>
      <c r="BZ128" s="643"/>
      <c r="CA128" s="643"/>
      <c r="CB128" s="643"/>
      <c r="CC128" s="643"/>
      <c r="CD128" s="643"/>
      <c r="CE128" s="643"/>
      <c r="CF128" s="636" t="s">
        <v>201</v>
      </c>
      <c r="CG128" s="643"/>
      <c r="CH128" s="643"/>
      <c r="CI128" s="643"/>
      <c r="CJ128" s="643"/>
      <c r="CK128" s="643"/>
      <c r="CL128" s="643"/>
      <c r="CM128" s="636" t="s">
        <v>1842</v>
      </c>
      <c r="CN128" s="637" t="s">
        <v>1843</v>
      </c>
      <c r="CO128" s="643"/>
      <c r="CP128" s="643"/>
      <c r="CQ128" s="643"/>
      <c r="CR128" s="643"/>
      <c r="CS128" s="636" t="s">
        <v>1844</v>
      </c>
      <c r="CT128" s="636" t="s">
        <v>1845</v>
      </c>
      <c r="CU128" s="643"/>
      <c r="CV128" s="643"/>
      <c r="CW128" s="643"/>
      <c r="CX128" s="643"/>
      <c r="CY128" s="643"/>
      <c r="CZ128" s="643"/>
      <c r="DA128" s="643"/>
      <c r="DB128" s="643"/>
      <c r="DC128" s="636" t="s">
        <v>1846</v>
      </c>
      <c r="DD128" s="643"/>
      <c r="DE128" s="643"/>
    </row>
    <row r="129" spans="34:109" ht="15" hidden="1" customHeight="1">
      <c r="AH129" s="24"/>
      <c r="AI129" s="24"/>
      <c r="AJ129" s="24"/>
      <c r="AK129" s="24"/>
      <c r="AL129" s="630" t="str">
        <f t="shared" si="2"/>
        <v>San Jerónimo Tecuanipan</v>
      </c>
      <c r="AM129" s="630">
        <f t="shared" si="3"/>
        <v>21126</v>
      </c>
      <c r="AO129" s="24"/>
      <c r="AP129" s="628">
        <v>127</v>
      </c>
      <c r="AQ129" s="642"/>
      <c r="AR129" s="642"/>
      <c r="AS129" s="642"/>
      <c r="AT129" s="642"/>
      <c r="AU129" s="642"/>
      <c r="AV129" s="642"/>
      <c r="AW129" s="642"/>
      <c r="AX129" s="642"/>
      <c r="AY129" s="642"/>
      <c r="AZ129" s="642"/>
      <c r="BA129" s="642"/>
      <c r="BB129" s="642"/>
      <c r="BC129" s="642"/>
      <c r="BD129" s="642">
        <v>14999</v>
      </c>
      <c r="BE129" s="642">
        <v>15999</v>
      </c>
      <c r="BF129" s="642"/>
      <c r="BG129" s="642"/>
      <c r="BH129" s="642"/>
      <c r="BI129" s="642"/>
      <c r="BJ129" s="634">
        <v>20126</v>
      </c>
      <c r="BK129" s="634">
        <v>21126</v>
      </c>
      <c r="BL129" s="642"/>
      <c r="BM129" s="642"/>
      <c r="BN129" s="642"/>
      <c r="BO129" s="642"/>
      <c r="BP129" s="642"/>
      <c r="BQ129" s="642"/>
      <c r="BR129" s="642"/>
      <c r="BS129" s="642"/>
      <c r="BT129" s="634">
        <v>30126</v>
      </c>
      <c r="BU129" s="642"/>
      <c r="BV129" s="642"/>
      <c r="BW129" s="24"/>
      <c r="BX129" s="24"/>
      <c r="BY129" s="24"/>
      <c r="BZ129" s="643"/>
      <c r="CA129" s="643"/>
      <c r="CB129" s="643"/>
      <c r="CC129" s="643"/>
      <c r="CD129" s="643"/>
      <c r="CE129" s="643"/>
      <c r="CF129" s="643"/>
      <c r="CG129" s="643"/>
      <c r="CH129" s="643"/>
      <c r="CI129" s="643"/>
      <c r="CJ129" s="643"/>
      <c r="CK129" s="643"/>
      <c r="CL129" s="643"/>
      <c r="CM129" s="636" t="s">
        <v>201</v>
      </c>
      <c r="CN129" s="636" t="s">
        <v>201</v>
      </c>
      <c r="CO129" s="643"/>
      <c r="CP129" s="643"/>
      <c r="CQ129" s="643"/>
      <c r="CR129" s="643"/>
      <c r="CS129" s="636" t="s">
        <v>1847</v>
      </c>
      <c r="CT129" s="636" t="s">
        <v>1848</v>
      </c>
      <c r="CU129" s="643"/>
      <c r="CV129" s="643"/>
      <c r="CW129" s="643"/>
      <c r="CX129" s="643"/>
      <c r="CY129" s="643"/>
      <c r="CZ129" s="643"/>
      <c r="DA129" s="643"/>
      <c r="DB129" s="643"/>
      <c r="DC129" s="636" t="s">
        <v>1849</v>
      </c>
      <c r="DD129" s="643"/>
      <c r="DE129" s="643"/>
    </row>
    <row r="130" spans="34:109" ht="15" hidden="1" customHeight="1">
      <c r="AH130" s="24"/>
      <c r="AI130" s="24"/>
      <c r="AJ130" s="24"/>
      <c r="AK130" s="24"/>
      <c r="AL130" s="630" t="str">
        <f t="shared" si="2"/>
        <v>San Jerónimo Xayacatlán</v>
      </c>
      <c r="AM130" s="630">
        <f t="shared" si="3"/>
        <v>21127</v>
      </c>
      <c r="AO130" s="24"/>
      <c r="AP130" s="628">
        <v>128</v>
      </c>
      <c r="AQ130" s="642"/>
      <c r="AR130" s="642"/>
      <c r="AS130" s="642"/>
      <c r="AT130" s="642"/>
      <c r="AU130" s="642"/>
      <c r="AV130" s="642"/>
      <c r="AW130" s="642"/>
      <c r="AX130" s="642"/>
      <c r="AY130" s="642"/>
      <c r="AZ130" s="642"/>
      <c r="BA130" s="642"/>
      <c r="BB130" s="642"/>
      <c r="BC130" s="642"/>
      <c r="BD130" s="642"/>
      <c r="BE130" s="642"/>
      <c r="BF130" s="642"/>
      <c r="BG130" s="642"/>
      <c r="BH130" s="642"/>
      <c r="BI130" s="642"/>
      <c r="BJ130" s="634">
        <v>20127</v>
      </c>
      <c r="BK130" s="634">
        <v>21127</v>
      </c>
      <c r="BL130" s="642"/>
      <c r="BM130" s="642"/>
      <c r="BN130" s="642"/>
      <c r="BO130" s="642"/>
      <c r="BP130" s="642"/>
      <c r="BQ130" s="642"/>
      <c r="BR130" s="642"/>
      <c r="BS130" s="642"/>
      <c r="BT130" s="634">
        <v>30127</v>
      </c>
      <c r="BU130" s="642"/>
      <c r="BV130" s="642"/>
      <c r="BW130" s="24"/>
      <c r="BX130" s="24"/>
      <c r="BY130" s="24"/>
      <c r="BZ130" s="643"/>
      <c r="CA130" s="643"/>
      <c r="CB130" s="643"/>
      <c r="CC130" s="643"/>
      <c r="CD130" s="643"/>
      <c r="CE130" s="643"/>
      <c r="CF130" s="643"/>
      <c r="CG130" s="643"/>
      <c r="CH130" s="643"/>
      <c r="CI130" s="643"/>
      <c r="CJ130" s="643"/>
      <c r="CK130" s="643"/>
      <c r="CL130" s="643"/>
      <c r="CM130" s="643"/>
      <c r="CN130" s="643"/>
      <c r="CO130" s="643"/>
      <c r="CP130" s="643"/>
      <c r="CQ130" s="643"/>
      <c r="CR130" s="643"/>
      <c r="CS130" s="636" t="s">
        <v>1850</v>
      </c>
      <c r="CT130" s="636" t="s">
        <v>1851</v>
      </c>
      <c r="CU130" s="643"/>
      <c r="CV130" s="643"/>
      <c r="CW130" s="643"/>
      <c r="CX130" s="643"/>
      <c r="CY130" s="643"/>
      <c r="CZ130" s="643"/>
      <c r="DA130" s="643"/>
      <c r="DB130" s="643"/>
      <c r="DC130" s="636" t="s">
        <v>1852</v>
      </c>
      <c r="DD130" s="643"/>
      <c r="DE130" s="643"/>
    </row>
    <row r="131" spans="34:109" ht="15" hidden="1" customHeight="1">
      <c r="AH131" s="24"/>
      <c r="AI131" s="24"/>
      <c r="AJ131" s="24"/>
      <c r="AK131" s="24"/>
      <c r="AL131" s="630" t="str">
        <f t="shared" si="2"/>
        <v>San José Chiapa</v>
      </c>
      <c r="AM131" s="630">
        <f t="shared" si="3"/>
        <v>21128</v>
      </c>
      <c r="AO131" s="24"/>
      <c r="AP131" s="628">
        <v>129</v>
      </c>
      <c r="AQ131" s="642"/>
      <c r="AR131" s="642"/>
      <c r="AS131" s="642"/>
      <c r="AT131" s="642"/>
      <c r="AU131" s="642"/>
      <c r="AV131" s="642"/>
      <c r="AW131" s="642"/>
      <c r="AX131" s="642"/>
      <c r="AY131" s="642"/>
      <c r="AZ131" s="642"/>
      <c r="BA131" s="642"/>
      <c r="BB131" s="642"/>
      <c r="BC131" s="642"/>
      <c r="BD131" s="642"/>
      <c r="BE131" s="642"/>
      <c r="BF131" s="642"/>
      <c r="BG131" s="642"/>
      <c r="BH131" s="642"/>
      <c r="BI131" s="642"/>
      <c r="BJ131" s="634">
        <v>20128</v>
      </c>
      <c r="BK131" s="634">
        <v>21128</v>
      </c>
      <c r="BL131" s="642"/>
      <c r="BM131" s="642"/>
      <c r="BN131" s="642"/>
      <c r="BO131" s="642"/>
      <c r="BP131" s="642"/>
      <c r="BQ131" s="642"/>
      <c r="BR131" s="642"/>
      <c r="BS131" s="642"/>
      <c r="BT131" s="634">
        <v>30128</v>
      </c>
      <c r="BU131" s="642"/>
      <c r="BV131" s="642"/>
      <c r="BW131" s="24"/>
      <c r="BX131" s="24"/>
      <c r="BY131" s="24"/>
      <c r="BZ131" s="643"/>
      <c r="CA131" s="643"/>
      <c r="CB131" s="643"/>
      <c r="CC131" s="643"/>
      <c r="CD131" s="643"/>
      <c r="CE131" s="643"/>
      <c r="CF131" s="643"/>
      <c r="CG131" s="643"/>
      <c r="CH131" s="643"/>
      <c r="CI131" s="643"/>
      <c r="CJ131" s="643"/>
      <c r="CK131" s="643"/>
      <c r="CL131" s="643"/>
      <c r="CM131" s="643"/>
      <c r="CN131" s="643"/>
      <c r="CO131" s="643"/>
      <c r="CP131" s="643"/>
      <c r="CQ131" s="643"/>
      <c r="CR131" s="643"/>
      <c r="CS131" s="636" t="s">
        <v>1853</v>
      </c>
      <c r="CT131" s="636" t="s">
        <v>1854</v>
      </c>
      <c r="CU131" s="643"/>
      <c r="CV131" s="643"/>
      <c r="CW131" s="643"/>
      <c r="CX131" s="643"/>
      <c r="CY131" s="643"/>
      <c r="CZ131" s="643"/>
      <c r="DA131" s="643"/>
      <c r="DB131" s="643"/>
      <c r="DC131" s="636" t="s">
        <v>1855</v>
      </c>
      <c r="DD131" s="643"/>
      <c r="DE131" s="643"/>
    </row>
    <row r="132" spans="34:109" ht="15" hidden="1" customHeight="1">
      <c r="AH132" s="24"/>
      <c r="AI132" s="24"/>
      <c r="AJ132" s="24"/>
      <c r="AK132" s="24"/>
      <c r="AL132" s="630" t="str">
        <f t="shared" ref="AL132:AL195" si="4">IFERROR(IF(HLOOKUP($N$8, $BZ$3:$DE$574, $AP132, FALSE )="", "", HLOOKUP($N$8, $BZ$3:$DE$574, $AP132, FALSE)), "")</f>
        <v>San José Miahuatlán</v>
      </c>
      <c r="AM132" s="630">
        <f t="shared" ref="AM132:AM195" si="5">IFERROR(IF(AL132="", "", HLOOKUP($N$8, $AQ$3:$BV$574, AP132, FALSE)), "")</f>
        <v>21129</v>
      </c>
      <c r="AO132" s="24"/>
      <c r="AP132" s="628">
        <v>130</v>
      </c>
      <c r="AQ132" s="642"/>
      <c r="AR132" s="642"/>
      <c r="AS132" s="642"/>
      <c r="AT132" s="642"/>
      <c r="AU132" s="642"/>
      <c r="AV132" s="642"/>
      <c r="AW132" s="642"/>
      <c r="AX132" s="642"/>
      <c r="AY132" s="642"/>
      <c r="AZ132" s="642"/>
      <c r="BA132" s="642"/>
      <c r="BB132" s="642"/>
      <c r="BC132" s="642"/>
      <c r="BD132" s="642"/>
      <c r="BE132" s="642"/>
      <c r="BF132" s="642"/>
      <c r="BG132" s="642"/>
      <c r="BH132" s="642"/>
      <c r="BI132" s="642"/>
      <c r="BJ132" s="634">
        <v>20129</v>
      </c>
      <c r="BK132" s="634">
        <v>21129</v>
      </c>
      <c r="BL132" s="642"/>
      <c r="BM132" s="642"/>
      <c r="BN132" s="642"/>
      <c r="BO132" s="642"/>
      <c r="BP132" s="642"/>
      <c r="BQ132" s="642"/>
      <c r="BR132" s="642"/>
      <c r="BS132" s="642"/>
      <c r="BT132" s="634">
        <v>30129</v>
      </c>
      <c r="BU132" s="642"/>
      <c r="BV132" s="642"/>
      <c r="BW132" s="24"/>
      <c r="BX132" s="24"/>
      <c r="BY132" s="24"/>
      <c r="BZ132" s="643"/>
      <c r="CA132" s="643"/>
      <c r="CB132" s="643"/>
      <c r="CC132" s="643"/>
      <c r="CD132" s="643"/>
      <c r="CE132" s="643"/>
      <c r="CF132" s="643"/>
      <c r="CG132" s="643"/>
      <c r="CH132" s="643"/>
      <c r="CI132" s="643"/>
      <c r="CJ132" s="643"/>
      <c r="CK132" s="643"/>
      <c r="CL132" s="643"/>
      <c r="CM132" s="643"/>
      <c r="CN132" s="643"/>
      <c r="CO132" s="643"/>
      <c r="CP132" s="643"/>
      <c r="CQ132" s="643"/>
      <c r="CR132" s="643"/>
      <c r="CS132" s="636" t="s">
        <v>1856</v>
      </c>
      <c r="CT132" s="636" t="s">
        <v>1857</v>
      </c>
      <c r="CU132" s="643"/>
      <c r="CV132" s="643"/>
      <c r="CW132" s="643"/>
      <c r="CX132" s="643"/>
      <c r="CY132" s="643"/>
      <c r="CZ132" s="643"/>
      <c r="DA132" s="643"/>
      <c r="DB132" s="643"/>
      <c r="DC132" s="636" t="s">
        <v>1858</v>
      </c>
      <c r="DD132" s="643"/>
      <c r="DE132" s="643"/>
    </row>
    <row r="133" spans="34:109" ht="15" hidden="1" customHeight="1">
      <c r="AH133" s="24"/>
      <c r="AI133" s="24"/>
      <c r="AJ133" s="24"/>
      <c r="AK133" s="24"/>
      <c r="AL133" s="630" t="str">
        <f t="shared" si="4"/>
        <v>San Juan Atenco</v>
      </c>
      <c r="AM133" s="630">
        <f t="shared" si="5"/>
        <v>21130</v>
      </c>
      <c r="AO133" s="24"/>
      <c r="AP133" s="628">
        <v>131</v>
      </c>
      <c r="AQ133" s="642"/>
      <c r="AR133" s="642"/>
      <c r="AS133" s="642"/>
      <c r="AT133" s="642"/>
      <c r="AU133" s="642"/>
      <c r="AV133" s="642"/>
      <c r="AW133" s="642"/>
      <c r="AX133" s="642"/>
      <c r="AY133" s="642"/>
      <c r="AZ133" s="642"/>
      <c r="BA133" s="642"/>
      <c r="BB133" s="642"/>
      <c r="BC133" s="642"/>
      <c r="BD133" s="642"/>
      <c r="BE133" s="642"/>
      <c r="BF133" s="642"/>
      <c r="BG133" s="642"/>
      <c r="BH133" s="642"/>
      <c r="BI133" s="642"/>
      <c r="BJ133" s="634">
        <v>20130</v>
      </c>
      <c r="BK133" s="634">
        <v>21130</v>
      </c>
      <c r="BL133" s="642"/>
      <c r="BM133" s="642"/>
      <c r="BN133" s="642"/>
      <c r="BO133" s="642"/>
      <c r="BP133" s="642"/>
      <c r="BQ133" s="642"/>
      <c r="BR133" s="642"/>
      <c r="BS133" s="642"/>
      <c r="BT133" s="634">
        <v>30130</v>
      </c>
      <c r="BU133" s="642"/>
      <c r="BV133" s="642"/>
      <c r="BW133" s="24"/>
      <c r="BX133" s="24"/>
      <c r="BY133" s="24"/>
      <c r="BZ133" s="643"/>
      <c r="CA133" s="643"/>
      <c r="CB133" s="643"/>
      <c r="CC133" s="643"/>
      <c r="CD133" s="643"/>
      <c r="CE133" s="643"/>
      <c r="CF133" s="643"/>
      <c r="CG133" s="643"/>
      <c r="CH133" s="643"/>
      <c r="CI133" s="643"/>
      <c r="CJ133" s="643"/>
      <c r="CK133" s="643"/>
      <c r="CL133" s="643"/>
      <c r="CM133" s="643"/>
      <c r="CN133" s="643"/>
      <c r="CO133" s="643"/>
      <c r="CP133" s="643"/>
      <c r="CQ133" s="643"/>
      <c r="CR133" s="643"/>
      <c r="CS133" s="636" t="s">
        <v>1859</v>
      </c>
      <c r="CT133" s="636" t="s">
        <v>1860</v>
      </c>
      <c r="CU133" s="643"/>
      <c r="CV133" s="643"/>
      <c r="CW133" s="643"/>
      <c r="CX133" s="643"/>
      <c r="CY133" s="643"/>
      <c r="CZ133" s="643"/>
      <c r="DA133" s="643"/>
      <c r="DB133" s="643"/>
      <c r="DC133" s="636" t="s">
        <v>1861</v>
      </c>
      <c r="DD133" s="643"/>
      <c r="DE133" s="643"/>
    </row>
    <row r="134" spans="34:109" ht="15" hidden="1" customHeight="1">
      <c r="AH134" s="24"/>
      <c r="AI134" s="24"/>
      <c r="AJ134" s="24"/>
      <c r="AK134" s="24"/>
      <c r="AL134" s="630" t="str">
        <f t="shared" si="4"/>
        <v>San Juan Atzompa</v>
      </c>
      <c r="AM134" s="630">
        <f t="shared" si="5"/>
        <v>21131</v>
      </c>
      <c r="AO134" s="24"/>
      <c r="AP134" s="628">
        <v>132</v>
      </c>
      <c r="AQ134" s="642"/>
      <c r="AR134" s="642"/>
      <c r="AS134" s="642"/>
      <c r="AT134" s="642"/>
      <c r="AU134" s="642"/>
      <c r="AV134" s="642"/>
      <c r="AW134" s="642"/>
      <c r="AX134" s="642"/>
      <c r="AY134" s="642"/>
      <c r="AZ134" s="642"/>
      <c r="BA134" s="642"/>
      <c r="BB134" s="642"/>
      <c r="BC134" s="642"/>
      <c r="BD134" s="642"/>
      <c r="BE134" s="642"/>
      <c r="BF134" s="642"/>
      <c r="BG134" s="642"/>
      <c r="BH134" s="642"/>
      <c r="BI134" s="642"/>
      <c r="BJ134" s="634">
        <v>20131</v>
      </c>
      <c r="BK134" s="634">
        <v>21131</v>
      </c>
      <c r="BL134" s="642"/>
      <c r="BM134" s="642"/>
      <c r="BN134" s="642"/>
      <c r="BO134" s="642"/>
      <c r="BP134" s="642"/>
      <c r="BQ134" s="642"/>
      <c r="BR134" s="642"/>
      <c r="BS134" s="642"/>
      <c r="BT134" s="634">
        <v>30131</v>
      </c>
      <c r="BU134" s="642"/>
      <c r="BV134" s="642"/>
      <c r="BW134" s="24"/>
      <c r="BX134" s="24"/>
      <c r="BY134" s="24"/>
      <c r="BZ134" s="643"/>
      <c r="CA134" s="643"/>
      <c r="CB134" s="643"/>
      <c r="CC134" s="643"/>
      <c r="CD134" s="643"/>
      <c r="CE134" s="643"/>
      <c r="CF134" s="643"/>
      <c r="CG134" s="643"/>
      <c r="CH134" s="643"/>
      <c r="CI134" s="643"/>
      <c r="CJ134" s="643"/>
      <c r="CK134" s="643"/>
      <c r="CL134" s="643"/>
      <c r="CM134" s="643"/>
      <c r="CN134" s="643"/>
      <c r="CO134" s="643"/>
      <c r="CP134" s="643"/>
      <c r="CQ134" s="643"/>
      <c r="CR134" s="643"/>
      <c r="CS134" s="636" t="s">
        <v>1862</v>
      </c>
      <c r="CT134" s="636" t="s">
        <v>1863</v>
      </c>
      <c r="CU134" s="643"/>
      <c r="CV134" s="643"/>
      <c r="CW134" s="643"/>
      <c r="CX134" s="643"/>
      <c r="CY134" s="643"/>
      <c r="CZ134" s="643"/>
      <c r="DA134" s="643"/>
      <c r="DB134" s="643"/>
      <c r="DC134" s="636" t="s">
        <v>1864</v>
      </c>
      <c r="DD134" s="643"/>
      <c r="DE134" s="643"/>
    </row>
    <row r="135" spans="34:109" ht="15" hidden="1" customHeight="1">
      <c r="AH135" s="24"/>
      <c r="AI135" s="24"/>
      <c r="AJ135" s="24"/>
      <c r="AK135" s="24"/>
      <c r="AL135" s="630" t="str">
        <f t="shared" si="4"/>
        <v>San Martín Texmelucan</v>
      </c>
      <c r="AM135" s="630">
        <f t="shared" si="5"/>
        <v>21132</v>
      </c>
      <c r="AO135" s="24"/>
      <c r="AP135" s="628">
        <v>133</v>
      </c>
      <c r="AQ135" s="642"/>
      <c r="AR135" s="642"/>
      <c r="AS135" s="642"/>
      <c r="AT135" s="642"/>
      <c r="AU135" s="642"/>
      <c r="AV135" s="642"/>
      <c r="AW135" s="642"/>
      <c r="AX135" s="642"/>
      <c r="AY135" s="642"/>
      <c r="AZ135" s="642"/>
      <c r="BA135" s="642"/>
      <c r="BB135" s="642"/>
      <c r="BC135" s="642"/>
      <c r="BD135" s="642"/>
      <c r="BE135" s="642"/>
      <c r="BF135" s="642"/>
      <c r="BG135" s="642"/>
      <c r="BH135" s="642"/>
      <c r="BI135" s="642"/>
      <c r="BJ135" s="634">
        <v>20132</v>
      </c>
      <c r="BK135" s="634">
        <v>21132</v>
      </c>
      <c r="BL135" s="642"/>
      <c r="BM135" s="642"/>
      <c r="BN135" s="642"/>
      <c r="BO135" s="642"/>
      <c r="BP135" s="642"/>
      <c r="BQ135" s="642"/>
      <c r="BR135" s="642"/>
      <c r="BS135" s="642"/>
      <c r="BT135" s="634">
        <v>30132</v>
      </c>
      <c r="BU135" s="642"/>
      <c r="BV135" s="642"/>
      <c r="BW135" s="24"/>
      <c r="BX135" s="24"/>
      <c r="BY135" s="24"/>
      <c r="BZ135" s="643"/>
      <c r="CA135" s="643"/>
      <c r="CB135" s="643"/>
      <c r="CC135" s="643"/>
      <c r="CD135" s="643"/>
      <c r="CE135" s="643"/>
      <c r="CF135" s="643"/>
      <c r="CG135" s="643"/>
      <c r="CH135" s="643"/>
      <c r="CI135" s="643"/>
      <c r="CJ135" s="643"/>
      <c r="CK135" s="643"/>
      <c r="CL135" s="643"/>
      <c r="CM135" s="643"/>
      <c r="CN135" s="643"/>
      <c r="CO135" s="643"/>
      <c r="CP135" s="643"/>
      <c r="CQ135" s="643"/>
      <c r="CR135" s="643"/>
      <c r="CS135" s="636" t="s">
        <v>1865</v>
      </c>
      <c r="CT135" s="636" t="s">
        <v>1866</v>
      </c>
      <c r="CU135" s="643"/>
      <c r="CV135" s="643"/>
      <c r="CW135" s="643"/>
      <c r="CX135" s="643"/>
      <c r="CY135" s="643"/>
      <c r="CZ135" s="643"/>
      <c r="DA135" s="643"/>
      <c r="DB135" s="643"/>
      <c r="DC135" s="636" t="s">
        <v>1867</v>
      </c>
      <c r="DD135" s="643"/>
      <c r="DE135" s="643"/>
    </row>
    <row r="136" spans="34:109" ht="15" hidden="1" customHeight="1">
      <c r="AH136" s="24"/>
      <c r="AI136" s="24"/>
      <c r="AJ136" s="24"/>
      <c r="AK136" s="24"/>
      <c r="AL136" s="630" t="str">
        <f t="shared" si="4"/>
        <v>San Martín Totoltepec</v>
      </c>
      <c r="AM136" s="630">
        <f t="shared" si="5"/>
        <v>21133</v>
      </c>
      <c r="AO136" s="24"/>
      <c r="AP136" s="628">
        <v>134</v>
      </c>
      <c r="AQ136" s="642"/>
      <c r="AR136" s="642"/>
      <c r="AS136" s="642"/>
      <c r="AT136" s="642"/>
      <c r="AU136" s="642"/>
      <c r="AV136" s="642"/>
      <c r="AW136" s="642"/>
      <c r="AX136" s="642"/>
      <c r="AY136" s="642"/>
      <c r="AZ136" s="642"/>
      <c r="BA136" s="642"/>
      <c r="BB136" s="642"/>
      <c r="BC136" s="642"/>
      <c r="BD136" s="642"/>
      <c r="BE136" s="642"/>
      <c r="BF136" s="642"/>
      <c r="BG136" s="642"/>
      <c r="BH136" s="642"/>
      <c r="BI136" s="642"/>
      <c r="BJ136" s="634">
        <v>20133</v>
      </c>
      <c r="BK136" s="634">
        <v>21133</v>
      </c>
      <c r="BL136" s="642"/>
      <c r="BM136" s="642"/>
      <c r="BN136" s="642"/>
      <c r="BO136" s="642"/>
      <c r="BP136" s="642"/>
      <c r="BQ136" s="642"/>
      <c r="BR136" s="642"/>
      <c r="BS136" s="642"/>
      <c r="BT136" s="634">
        <v>30133</v>
      </c>
      <c r="BU136" s="642"/>
      <c r="BV136" s="642"/>
      <c r="BW136" s="24"/>
      <c r="BX136" s="24"/>
      <c r="BY136" s="24"/>
      <c r="BZ136" s="643"/>
      <c r="CA136" s="643"/>
      <c r="CB136" s="643"/>
      <c r="CC136" s="643"/>
      <c r="CD136" s="643"/>
      <c r="CE136" s="643"/>
      <c r="CF136" s="643"/>
      <c r="CG136" s="643"/>
      <c r="CH136" s="643"/>
      <c r="CI136" s="643"/>
      <c r="CJ136" s="643"/>
      <c r="CK136" s="643"/>
      <c r="CL136" s="643"/>
      <c r="CM136" s="643"/>
      <c r="CN136" s="643"/>
      <c r="CO136" s="643"/>
      <c r="CP136" s="643"/>
      <c r="CQ136" s="643"/>
      <c r="CR136" s="643"/>
      <c r="CS136" s="636" t="s">
        <v>1868</v>
      </c>
      <c r="CT136" s="636" t="s">
        <v>1869</v>
      </c>
      <c r="CU136" s="643"/>
      <c r="CV136" s="643"/>
      <c r="CW136" s="643"/>
      <c r="CX136" s="643"/>
      <c r="CY136" s="643"/>
      <c r="CZ136" s="643"/>
      <c r="DA136" s="643"/>
      <c r="DB136" s="643"/>
      <c r="DC136" s="636" t="s">
        <v>1870</v>
      </c>
      <c r="DD136" s="643"/>
      <c r="DE136" s="643"/>
    </row>
    <row r="137" spans="34:109" ht="15" hidden="1" customHeight="1">
      <c r="AH137" s="24"/>
      <c r="AI137" s="24"/>
      <c r="AJ137" s="24"/>
      <c r="AK137" s="24"/>
      <c r="AL137" s="630" t="str">
        <f t="shared" si="4"/>
        <v>San Matías Tlalancaleca</v>
      </c>
      <c r="AM137" s="630">
        <f t="shared" si="5"/>
        <v>21134</v>
      </c>
      <c r="AO137" s="24"/>
      <c r="AP137" s="628">
        <v>135</v>
      </c>
      <c r="AQ137" s="642"/>
      <c r="AR137" s="642"/>
      <c r="AS137" s="642"/>
      <c r="AT137" s="642"/>
      <c r="AU137" s="642"/>
      <c r="AV137" s="642"/>
      <c r="AW137" s="642"/>
      <c r="AX137" s="642"/>
      <c r="AY137" s="642"/>
      <c r="AZ137" s="642"/>
      <c r="BA137" s="642"/>
      <c r="BB137" s="642"/>
      <c r="BC137" s="642"/>
      <c r="BD137" s="642"/>
      <c r="BE137" s="642"/>
      <c r="BF137" s="642"/>
      <c r="BG137" s="642"/>
      <c r="BH137" s="642"/>
      <c r="BI137" s="642"/>
      <c r="BJ137" s="634">
        <v>20134</v>
      </c>
      <c r="BK137" s="634">
        <v>21134</v>
      </c>
      <c r="BL137" s="642"/>
      <c r="BM137" s="642"/>
      <c r="BN137" s="642"/>
      <c r="BO137" s="642"/>
      <c r="BP137" s="642"/>
      <c r="BQ137" s="642"/>
      <c r="BR137" s="642"/>
      <c r="BS137" s="642"/>
      <c r="BT137" s="634">
        <v>30134</v>
      </c>
      <c r="BU137" s="642"/>
      <c r="BV137" s="642"/>
      <c r="BW137" s="24"/>
      <c r="BX137" s="24"/>
      <c r="BY137" s="24"/>
      <c r="BZ137" s="643"/>
      <c r="CA137" s="643"/>
      <c r="CB137" s="643"/>
      <c r="CC137" s="643"/>
      <c r="CD137" s="643"/>
      <c r="CE137" s="643"/>
      <c r="CF137" s="643"/>
      <c r="CG137" s="643"/>
      <c r="CH137" s="643"/>
      <c r="CI137" s="643"/>
      <c r="CJ137" s="643"/>
      <c r="CK137" s="643"/>
      <c r="CL137" s="643"/>
      <c r="CM137" s="643"/>
      <c r="CN137" s="643"/>
      <c r="CO137" s="643"/>
      <c r="CP137" s="643"/>
      <c r="CQ137" s="643"/>
      <c r="CR137" s="643"/>
      <c r="CS137" s="636" t="s">
        <v>1871</v>
      </c>
      <c r="CT137" s="636" t="s">
        <v>1872</v>
      </c>
      <c r="CU137" s="643"/>
      <c r="CV137" s="643"/>
      <c r="CW137" s="643"/>
      <c r="CX137" s="643"/>
      <c r="CY137" s="643"/>
      <c r="CZ137" s="643"/>
      <c r="DA137" s="643"/>
      <c r="DB137" s="643"/>
      <c r="DC137" s="636" t="s">
        <v>1873</v>
      </c>
      <c r="DD137" s="643"/>
      <c r="DE137" s="643"/>
    </row>
    <row r="138" spans="34:109" ht="15" hidden="1" customHeight="1">
      <c r="AH138" s="24"/>
      <c r="AI138" s="24"/>
      <c r="AJ138" s="24"/>
      <c r="AK138" s="24"/>
      <c r="AL138" s="630" t="str">
        <f t="shared" si="4"/>
        <v>San Miguel Ixitlán</v>
      </c>
      <c r="AM138" s="630">
        <f t="shared" si="5"/>
        <v>21135</v>
      </c>
      <c r="AO138" s="24"/>
      <c r="AP138" s="628">
        <v>136</v>
      </c>
      <c r="AQ138" s="642"/>
      <c r="AR138" s="642"/>
      <c r="AS138" s="642"/>
      <c r="AT138" s="642"/>
      <c r="AU138" s="642"/>
      <c r="AV138" s="642"/>
      <c r="AW138" s="642"/>
      <c r="AX138" s="642"/>
      <c r="AY138" s="642"/>
      <c r="AZ138" s="642"/>
      <c r="BA138" s="642"/>
      <c r="BB138" s="642"/>
      <c r="BC138" s="642"/>
      <c r="BD138" s="642"/>
      <c r="BE138" s="642"/>
      <c r="BF138" s="642"/>
      <c r="BG138" s="642"/>
      <c r="BH138" s="642"/>
      <c r="BI138" s="642"/>
      <c r="BJ138" s="634">
        <v>20135</v>
      </c>
      <c r="BK138" s="634">
        <v>21135</v>
      </c>
      <c r="BL138" s="642"/>
      <c r="BM138" s="642"/>
      <c r="BN138" s="642"/>
      <c r="BO138" s="642"/>
      <c r="BP138" s="642"/>
      <c r="BQ138" s="642"/>
      <c r="BR138" s="642"/>
      <c r="BS138" s="642"/>
      <c r="BT138" s="634">
        <v>30135</v>
      </c>
      <c r="BU138" s="642"/>
      <c r="BV138" s="642"/>
      <c r="BW138" s="24"/>
      <c r="BX138" s="24"/>
      <c r="BY138" s="24"/>
      <c r="BZ138" s="643"/>
      <c r="CA138" s="643"/>
      <c r="CB138" s="643"/>
      <c r="CC138" s="643"/>
      <c r="CD138" s="643"/>
      <c r="CE138" s="643"/>
      <c r="CF138" s="643"/>
      <c r="CG138" s="643"/>
      <c r="CH138" s="643"/>
      <c r="CI138" s="643"/>
      <c r="CJ138" s="643"/>
      <c r="CK138" s="643"/>
      <c r="CL138" s="643"/>
      <c r="CM138" s="643"/>
      <c r="CN138" s="643"/>
      <c r="CO138" s="643"/>
      <c r="CP138" s="643"/>
      <c r="CQ138" s="643"/>
      <c r="CR138" s="643"/>
      <c r="CS138" s="636" t="s">
        <v>1874</v>
      </c>
      <c r="CT138" s="636" t="s">
        <v>1875</v>
      </c>
      <c r="CU138" s="643"/>
      <c r="CV138" s="643"/>
      <c r="CW138" s="643"/>
      <c r="CX138" s="643"/>
      <c r="CY138" s="643"/>
      <c r="CZ138" s="643"/>
      <c r="DA138" s="643"/>
      <c r="DB138" s="643"/>
      <c r="DC138" s="636" t="s">
        <v>1876</v>
      </c>
      <c r="DD138" s="643"/>
      <c r="DE138" s="643"/>
    </row>
    <row r="139" spans="34:109" ht="15" hidden="1" customHeight="1">
      <c r="AH139" s="24"/>
      <c r="AI139" s="24"/>
      <c r="AJ139" s="24"/>
      <c r="AK139" s="24"/>
      <c r="AL139" s="630" t="str">
        <f t="shared" si="4"/>
        <v>San Miguel Xoxtla</v>
      </c>
      <c r="AM139" s="630">
        <f t="shared" si="5"/>
        <v>21136</v>
      </c>
      <c r="AO139" s="24"/>
      <c r="AP139" s="628">
        <v>137</v>
      </c>
      <c r="AQ139" s="642"/>
      <c r="AR139" s="642"/>
      <c r="AS139" s="642"/>
      <c r="AT139" s="642"/>
      <c r="AU139" s="642"/>
      <c r="AV139" s="642"/>
      <c r="AW139" s="642"/>
      <c r="AX139" s="642"/>
      <c r="AY139" s="642"/>
      <c r="AZ139" s="642"/>
      <c r="BA139" s="642"/>
      <c r="BB139" s="642"/>
      <c r="BC139" s="642"/>
      <c r="BD139" s="642"/>
      <c r="BE139" s="642"/>
      <c r="BF139" s="642"/>
      <c r="BG139" s="642"/>
      <c r="BH139" s="642"/>
      <c r="BI139" s="642"/>
      <c r="BJ139" s="634">
        <v>20136</v>
      </c>
      <c r="BK139" s="634">
        <v>21136</v>
      </c>
      <c r="BL139" s="642"/>
      <c r="BM139" s="642"/>
      <c r="BN139" s="642"/>
      <c r="BO139" s="642"/>
      <c r="BP139" s="642"/>
      <c r="BQ139" s="642"/>
      <c r="BR139" s="642"/>
      <c r="BS139" s="642"/>
      <c r="BT139" s="634">
        <v>30136</v>
      </c>
      <c r="BU139" s="642"/>
      <c r="BV139" s="642"/>
      <c r="BW139" s="24"/>
      <c r="BX139" s="24"/>
      <c r="BY139" s="24"/>
      <c r="BZ139" s="643"/>
      <c r="CA139" s="643"/>
      <c r="CB139" s="643"/>
      <c r="CC139" s="643"/>
      <c r="CD139" s="643"/>
      <c r="CE139" s="643"/>
      <c r="CF139" s="643"/>
      <c r="CG139" s="643"/>
      <c r="CH139" s="643"/>
      <c r="CI139" s="643"/>
      <c r="CJ139" s="643"/>
      <c r="CK139" s="643"/>
      <c r="CL139" s="643"/>
      <c r="CM139" s="643"/>
      <c r="CN139" s="643"/>
      <c r="CO139" s="643"/>
      <c r="CP139" s="643"/>
      <c r="CQ139" s="643"/>
      <c r="CR139" s="643"/>
      <c r="CS139" s="636" t="s">
        <v>1877</v>
      </c>
      <c r="CT139" s="636" t="s">
        <v>1878</v>
      </c>
      <c r="CU139" s="643"/>
      <c r="CV139" s="643"/>
      <c r="CW139" s="643"/>
      <c r="CX139" s="643"/>
      <c r="CY139" s="643"/>
      <c r="CZ139" s="643"/>
      <c r="DA139" s="643"/>
      <c r="DB139" s="643"/>
      <c r="DC139" s="636" t="s">
        <v>1879</v>
      </c>
      <c r="DD139" s="643"/>
      <c r="DE139" s="643"/>
    </row>
    <row r="140" spans="34:109" ht="15" hidden="1" customHeight="1">
      <c r="AH140" s="24"/>
      <c r="AI140" s="24"/>
      <c r="AJ140" s="24"/>
      <c r="AK140" s="24"/>
      <c r="AL140" s="630" t="str">
        <f t="shared" si="4"/>
        <v>San Nicolás Buenos Aires</v>
      </c>
      <c r="AM140" s="630">
        <f t="shared" si="5"/>
        <v>21137</v>
      </c>
      <c r="AO140" s="24"/>
      <c r="AP140" s="628">
        <v>138</v>
      </c>
      <c r="AQ140" s="642"/>
      <c r="AR140" s="642"/>
      <c r="AS140" s="642"/>
      <c r="AT140" s="642"/>
      <c r="AU140" s="642"/>
      <c r="AV140" s="642"/>
      <c r="AW140" s="642"/>
      <c r="AX140" s="642"/>
      <c r="AY140" s="642"/>
      <c r="AZ140" s="642"/>
      <c r="BA140" s="642"/>
      <c r="BB140" s="642"/>
      <c r="BC140" s="642"/>
      <c r="BD140" s="642"/>
      <c r="BE140" s="642"/>
      <c r="BF140" s="642"/>
      <c r="BG140" s="642"/>
      <c r="BH140" s="642"/>
      <c r="BI140" s="642"/>
      <c r="BJ140" s="634">
        <v>20137</v>
      </c>
      <c r="BK140" s="634">
        <v>21137</v>
      </c>
      <c r="BL140" s="642"/>
      <c r="BM140" s="642"/>
      <c r="BN140" s="642"/>
      <c r="BO140" s="642"/>
      <c r="BP140" s="642"/>
      <c r="BQ140" s="642"/>
      <c r="BR140" s="642"/>
      <c r="BS140" s="642"/>
      <c r="BT140" s="634">
        <v>30137</v>
      </c>
      <c r="BU140" s="642"/>
      <c r="BV140" s="642"/>
      <c r="BW140" s="24"/>
      <c r="BX140" s="24"/>
      <c r="BY140" s="24"/>
      <c r="BZ140" s="643"/>
      <c r="CA140" s="643"/>
      <c r="CB140" s="643"/>
      <c r="CC140" s="643"/>
      <c r="CD140" s="643"/>
      <c r="CE140" s="643"/>
      <c r="CF140" s="643"/>
      <c r="CG140" s="643"/>
      <c r="CH140" s="643"/>
      <c r="CI140" s="643"/>
      <c r="CJ140" s="643"/>
      <c r="CK140" s="643"/>
      <c r="CL140" s="643"/>
      <c r="CM140" s="643"/>
      <c r="CN140" s="643"/>
      <c r="CO140" s="643"/>
      <c r="CP140" s="643"/>
      <c r="CQ140" s="643"/>
      <c r="CR140" s="643"/>
      <c r="CS140" s="636" t="s">
        <v>1880</v>
      </c>
      <c r="CT140" s="636" t="s">
        <v>1881</v>
      </c>
      <c r="CU140" s="643"/>
      <c r="CV140" s="643"/>
      <c r="CW140" s="643"/>
      <c r="CX140" s="643"/>
      <c r="CY140" s="643"/>
      <c r="CZ140" s="643"/>
      <c r="DA140" s="643"/>
      <c r="DB140" s="643"/>
      <c r="DC140" s="636" t="s">
        <v>1456</v>
      </c>
      <c r="DD140" s="643"/>
      <c r="DE140" s="643"/>
    </row>
    <row r="141" spans="34:109" ht="15" hidden="1" customHeight="1">
      <c r="AH141" s="24"/>
      <c r="AI141" s="24"/>
      <c r="AJ141" s="24"/>
      <c r="AK141" s="24"/>
      <c r="AL141" s="630" t="str">
        <f t="shared" si="4"/>
        <v>San Nicolás de los Ranchos</v>
      </c>
      <c r="AM141" s="630">
        <f t="shared" si="5"/>
        <v>21138</v>
      </c>
      <c r="AO141" s="24"/>
      <c r="AP141" s="628">
        <v>139</v>
      </c>
      <c r="AQ141" s="642"/>
      <c r="AR141" s="642"/>
      <c r="AS141" s="642"/>
      <c r="AT141" s="642"/>
      <c r="AU141" s="642"/>
      <c r="AV141" s="642"/>
      <c r="AW141" s="642"/>
      <c r="AX141" s="642"/>
      <c r="AY141" s="642"/>
      <c r="AZ141" s="642"/>
      <c r="BA141" s="642"/>
      <c r="BB141" s="642"/>
      <c r="BC141" s="642"/>
      <c r="BD141" s="642"/>
      <c r="BE141" s="642"/>
      <c r="BF141" s="642"/>
      <c r="BG141" s="642"/>
      <c r="BH141" s="642"/>
      <c r="BI141" s="642"/>
      <c r="BJ141" s="634">
        <v>20138</v>
      </c>
      <c r="BK141" s="634">
        <v>21138</v>
      </c>
      <c r="BL141" s="642"/>
      <c r="BM141" s="642"/>
      <c r="BN141" s="642"/>
      <c r="BO141" s="642"/>
      <c r="BP141" s="642"/>
      <c r="BQ141" s="642"/>
      <c r="BR141" s="642"/>
      <c r="BS141" s="642"/>
      <c r="BT141" s="634">
        <v>30138</v>
      </c>
      <c r="BU141" s="642"/>
      <c r="BV141" s="642"/>
      <c r="BW141" s="24"/>
      <c r="BX141" s="24"/>
      <c r="BY141" s="24"/>
      <c r="BZ141" s="643"/>
      <c r="CA141" s="643"/>
      <c r="CB141" s="643"/>
      <c r="CC141" s="643"/>
      <c r="CD141" s="643"/>
      <c r="CE141" s="643"/>
      <c r="CF141" s="643"/>
      <c r="CG141" s="643"/>
      <c r="CH141" s="643"/>
      <c r="CI141" s="643"/>
      <c r="CJ141" s="643"/>
      <c r="CK141" s="643"/>
      <c r="CL141" s="643"/>
      <c r="CM141" s="643"/>
      <c r="CN141" s="643"/>
      <c r="CO141" s="643"/>
      <c r="CP141" s="643"/>
      <c r="CQ141" s="643"/>
      <c r="CR141" s="643"/>
      <c r="CS141" s="636" t="s">
        <v>1882</v>
      </c>
      <c r="CT141" s="636" t="s">
        <v>1883</v>
      </c>
      <c r="CU141" s="643"/>
      <c r="CV141" s="643"/>
      <c r="CW141" s="643"/>
      <c r="CX141" s="643"/>
      <c r="CY141" s="643"/>
      <c r="CZ141" s="643"/>
      <c r="DA141" s="643"/>
      <c r="DB141" s="643"/>
      <c r="DC141" s="636" t="s">
        <v>1884</v>
      </c>
      <c r="DD141" s="643"/>
      <c r="DE141" s="643"/>
    </row>
    <row r="142" spans="34:109" ht="15" hidden="1" customHeight="1">
      <c r="AH142" s="24"/>
      <c r="AI142" s="24"/>
      <c r="AJ142" s="24"/>
      <c r="AK142" s="24"/>
      <c r="AL142" s="630" t="str">
        <f t="shared" si="4"/>
        <v>San Pablo Anicano</v>
      </c>
      <c r="AM142" s="630">
        <f t="shared" si="5"/>
        <v>21139</v>
      </c>
      <c r="AO142" s="24"/>
      <c r="AP142" s="628">
        <v>140</v>
      </c>
      <c r="AQ142" s="642"/>
      <c r="AR142" s="642"/>
      <c r="AS142" s="642"/>
      <c r="AT142" s="642"/>
      <c r="AU142" s="642"/>
      <c r="AV142" s="642"/>
      <c r="AW142" s="642"/>
      <c r="AX142" s="642"/>
      <c r="AY142" s="642"/>
      <c r="AZ142" s="642"/>
      <c r="BA142" s="642"/>
      <c r="BB142" s="642"/>
      <c r="BC142" s="642"/>
      <c r="BD142" s="642"/>
      <c r="BE142" s="642"/>
      <c r="BF142" s="642"/>
      <c r="BG142" s="642"/>
      <c r="BH142" s="642"/>
      <c r="BI142" s="642"/>
      <c r="BJ142" s="634">
        <v>20139</v>
      </c>
      <c r="BK142" s="634">
        <v>21139</v>
      </c>
      <c r="BL142" s="642"/>
      <c r="BM142" s="642"/>
      <c r="BN142" s="642"/>
      <c r="BO142" s="642"/>
      <c r="BP142" s="642"/>
      <c r="BQ142" s="642"/>
      <c r="BR142" s="642"/>
      <c r="BS142" s="642"/>
      <c r="BT142" s="634">
        <v>30139</v>
      </c>
      <c r="BU142" s="642"/>
      <c r="BV142" s="642"/>
      <c r="BW142" s="24"/>
      <c r="BX142" s="24"/>
      <c r="BY142" s="24"/>
      <c r="BZ142" s="643"/>
      <c r="CA142" s="643"/>
      <c r="CB142" s="643"/>
      <c r="CC142" s="643"/>
      <c r="CD142" s="643"/>
      <c r="CE142" s="643"/>
      <c r="CF142" s="643"/>
      <c r="CG142" s="643"/>
      <c r="CH142" s="643"/>
      <c r="CI142" s="643"/>
      <c r="CJ142" s="643"/>
      <c r="CK142" s="643"/>
      <c r="CL142" s="643"/>
      <c r="CM142" s="643"/>
      <c r="CN142" s="643"/>
      <c r="CO142" s="643"/>
      <c r="CP142" s="643"/>
      <c r="CQ142" s="643"/>
      <c r="CR142" s="643"/>
      <c r="CS142" s="636" t="s">
        <v>1885</v>
      </c>
      <c r="CT142" s="636" t="s">
        <v>1886</v>
      </c>
      <c r="CU142" s="643"/>
      <c r="CV142" s="643"/>
      <c r="CW142" s="643"/>
      <c r="CX142" s="643"/>
      <c r="CY142" s="643"/>
      <c r="CZ142" s="643"/>
      <c r="DA142" s="643"/>
      <c r="DB142" s="643"/>
      <c r="DC142" s="636" t="s">
        <v>1887</v>
      </c>
      <c r="DD142" s="643"/>
      <c r="DE142" s="643"/>
    </row>
    <row r="143" spans="34:109" ht="15" hidden="1" customHeight="1">
      <c r="AH143" s="24"/>
      <c r="AI143" s="24"/>
      <c r="AJ143" s="24"/>
      <c r="AK143" s="24"/>
      <c r="AL143" s="630" t="str">
        <f t="shared" si="4"/>
        <v>San Pedro Cholula</v>
      </c>
      <c r="AM143" s="630">
        <f t="shared" si="5"/>
        <v>21140</v>
      </c>
      <c r="AO143" s="24"/>
      <c r="AP143" s="628">
        <v>141</v>
      </c>
      <c r="AQ143" s="642"/>
      <c r="AR143" s="642"/>
      <c r="AS143" s="642"/>
      <c r="AT143" s="642"/>
      <c r="AU143" s="642"/>
      <c r="AV143" s="642"/>
      <c r="AW143" s="642"/>
      <c r="AX143" s="642"/>
      <c r="AY143" s="642"/>
      <c r="AZ143" s="642"/>
      <c r="BA143" s="642"/>
      <c r="BB143" s="642"/>
      <c r="BC143" s="642"/>
      <c r="BD143" s="642"/>
      <c r="BE143" s="642"/>
      <c r="BF143" s="642"/>
      <c r="BG143" s="642"/>
      <c r="BH143" s="642"/>
      <c r="BI143" s="642"/>
      <c r="BJ143" s="634">
        <v>20140</v>
      </c>
      <c r="BK143" s="634">
        <v>21140</v>
      </c>
      <c r="BL143" s="642"/>
      <c r="BM143" s="642"/>
      <c r="BN143" s="642"/>
      <c r="BO143" s="642"/>
      <c r="BP143" s="642"/>
      <c r="BQ143" s="642"/>
      <c r="BR143" s="642"/>
      <c r="BS143" s="642"/>
      <c r="BT143" s="634">
        <v>30140</v>
      </c>
      <c r="BU143" s="642"/>
      <c r="BV143" s="642"/>
      <c r="BW143" s="24"/>
      <c r="BX143" s="24"/>
      <c r="BY143" s="24"/>
      <c r="BZ143" s="643"/>
      <c r="CA143" s="643"/>
      <c r="CB143" s="643"/>
      <c r="CC143" s="643"/>
      <c r="CD143" s="643"/>
      <c r="CE143" s="643"/>
      <c r="CF143" s="643"/>
      <c r="CG143" s="643"/>
      <c r="CH143" s="643"/>
      <c r="CI143" s="643"/>
      <c r="CJ143" s="643"/>
      <c r="CK143" s="643"/>
      <c r="CL143" s="643"/>
      <c r="CM143" s="643"/>
      <c r="CN143" s="643"/>
      <c r="CO143" s="643"/>
      <c r="CP143" s="643"/>
      <c r="CQ143" s="643"/>
      <c r="CR143" s="643"/>
      <c r="CS143" s="636" t="s">
        <v>1888</v>
      </c>
      <c r="CT143" s="636" t="s">
        <v>1889</v>
      </c>
      <c r="CU143" s="643"/>
      <c r="CV143" s="643"/>
      <c r="CW143" s="643"/>
      <c r="CX143" s="643"/>
      <c r="CY143" s="643"/>
      <c r="CZ143" s="643"/>
      <c r="DA143" s="643"/>
      <c r="DB143" s="643"/>
      <c r="DC143" s="636" t="s">
        <v>1890</v>
      </c>
      <c r="DD143" s="643"/>
      <c r="DE143" s="643"/>
    </row>
    <row r="144" spans="34:109" ht="15" hidden="1" customHeight="1">
      <c r="AH144" s="24"/>
      <c r="AI144" s="24"/>
      <c r="AJ144" s="24"/>
      <c r="AK144" s="24"/>
      <c r="AL144" s="630" t="str">
        <f t="shared" si="4"/>
        <v>San Pedro Yeloixtlahuaca</v>
      </c>
      <c r="AM144" s="630">
        <f t="shared" si="5"/>
        <v>21141</v>
      </c>
      <c r="AO144" s="24"/>
      <c r="AP144" s="628">
        <v>142</v>
      </c>
      <c r="AQ144" s="642"/>
      <c r="AR144" s="642"/>
      <c r="AS144" s="642"/>
      <c r="AT144" s="642"/>
      <c r="AU144" s="642"/>
      <c r="AV144" s="642"/>
      <c r="AW144" s="642"/>
      <c r="AX144" s="642"/>
      <c r="AY144" s="642"/>
      <c r="AZ144" s="642"/>
      <c r="BA144" s="642"/>
      <c r="BB144" s="642"/>
      <c r="BC144" s="642"/>
      <c r="BD144" s="642"/>
      <c r="BE144" s="642"/>
      <c r="BF144" s="642"/>
      <c r="BG144" s="642"/>
      <c r="BH144" s="642"/>
      <c r="BI144" s="642"/>
      <c r="BJ144" s="634">
        <v>20141</v>
      </c>
      <c r="BK144" s="634">
        <v>21141</v>
      </c>
      <c r="BL144" s="642"/>
      <c r="BM144" s="642"/>
      <c r="BN144" s="642"/>
      <c r="BO144" s="642"/>
      <c r="BP144" s="642"/>
      <c r="BQ144" s="642"/>
      <c r="BR144" s="642"/>
      <c r="BS144" s="642"/>
      <c r="BT144" s="634">
        <v>30141</v>
      </c>
      <c r="BU144" s="642"/>
      <c r="BV144" s="642"/>
      <c r="BW144" s="24"/>
      <c r="BX144" s="24"/>
      <c r="BY144" s="24"/>
      <c r="BZ144" s="643"/>
      <c r="CA144" s="643"/>
      <c r="CB144" s="643"/>
      <c r="CC144" s="643"/>
      <c r="CD144" s="643"/>
      <c r="CE144" s="643"/>
      <c r="CF144" s="643"/>
      <c r="CG144" s="643"/>
      <c r="CH144" s="643"/>
      <c r="CI144" s="643"/>
      <c r="CJ144" s="643"/>
      <c r="CK144" s="643"/>
      <c r="CL144" s="643"/>
      <c r="CM144" s="643"/>
      <c r="CN144" s="643"/>
      <c r="CO144" s="643"/>
      <c r="CP144" s="643"/>
      <c r="CQ144" s="643"/>
      <c r="CR144" s="643"/>
      <c r="CS144" s="636" t="s">
        <v>1891</v>
      </c>
      <c r="CT144" s="636" t="s">
        <v>1892</v>
      </c>
      <c r="CU144" s="643"/>
      <c r="CV144" s="643"/>
      <c r="CW144" s="643"/>
      <c r="CX144" s="643"/>
      <c r="CY144" s="643"/>
      <c r="CZ144" s="643"/>
      <c r="DA144" s="643"/>
      <c r="DB144" s="643"/>
      <c r="DC144" s="636" t="s">
        <v>1893</v>
      </c>
      <c r="DD144" s="643"/>
      <c r="DE144" s="643"/>
    </row>
    <row r="145" spans="34:109" ht="15" hidden="1" customHeight="1">
      <c r="AH145" s="24"/>
      <c r="AI145" s="24"/>
      <c r="AJ145" s="24"/>
      <c r="AK145" s="24"/>
      <c r="AL145" s="630" t="str">
        <f t="shared" si="4"/>
        <v>San Salvador el Seco</v>
      </c>
      <c r="AM145" s="630">
        <f t="shared" si="5"/>
        <v>21142</v>
      </c>
      <c r="AO145" s="24"/>
      <c r="AP145" s="628">
        <v>143</v>
      </c>
      <c r="AQ145" s="642"/>
      <c r="AR145" s="642"/>
      <c r="AS145" s="642"/>
      <c r="AT145" s="642"/>
      <c r="AU145" s="642"/>
      <c r="AV145" s="642"/>
      <c r="AW145" s="642"/>
      <c r="AX145" s="642"/>
      <c r="AY145" s="642"/>
      <c r="AZ145" s="642"/>
      <c r="BA145" s="642"/>
      <c r="BB145" s="642"/>
      <c r="BC145" s="642"/>
      <c r="BD145" s="642"/>
      <c r="BE145" s="642"/>
      <c r="BF145" s="642"/>
      <c r="BG145" s="642"/>
      <c r="BH145" s="642"/>
      <c r="BI145" s="642"/>
      <c r="BJ145" s="634">
        <v>20142</v>
      </c>
      <c r="BK145" s="634">
        <v>21142</v>
      </c>
      <c r="BL145" s="642"/>
      <c r="BM145" s="642"/>
      <c r="BN145" s="642"/>
      <c r="BO145" s="642"/>
      <c r="BP145" s="642"/>
      <c r="BQ145" s="642"/>
      <c r="BR145" s="642"/>
      <c r="BS145" s="642"/>
      <c r="BT145" s="634">
        <v>30142</v>
      </c>
      <c r="BU145" s="642"/>
      <c r="BV145" s="642"/>
      <c r="BW145" s="24"/>
      <c r="BX145" s="24"/>
      <c r="BY145" s="24"/>
      <c r="BZ145" s="643"/>
      <c r="CA145" s="643"/>
      <c r="CB145" s="643"/>
      <c r="CC145" s="643"/>
      <c r="CD145" s="643"/>
      <c r="CE145" s="643"/>
      <c r="CF145" s="643"/>
      <c r="CG145" s="643"/>
      <c r="CH145" s="643"/>
      <c r="CI145" s="643"/>
      <c r="CJ145" s="643"/>
      <c r="CK145" s="643"/>
      <c r="CL145" s="643"/>
      <c r="CM145" s="643"/>
      <c r="CN145" s="643"/>
      <c r="CO145" s="643"/>
      <c r="CP145" s="643"/>
      <c r="CQ145" s="643"/>
      <c r="CR145" s="643"/>
      <c r="CS145" s="636" t="s">
        <v>1894</v>
      </c>
      <c r="CT145" s="636" t="s">
        <v>1895</v>
      </c>
      <c r="CU145" s="643"/>
      <c r="CV145" s="643"/>
      <c r="CW145" s="643"/>
      <c r="CX145" s="643"/>
      <c r="CY145" s="643"/>
      <c r="CZ145" s="643"/>
      <c r="DA145" s="643"/>
      <c r="DB145" s="643"/>
      <c r="DC145" s="636" t="s">
        <v>1896</v>
      </c>
      <c r="DD145" s="643"/>
      <c r="DE145" s="643"/>
    </row>
    <row r="146" spans="34:109" ht="15" hidden="1" customHeight="1">
      <c r="AH146" s="24"/>
      <c r="AI146" s="24"/>
      <c r="AJ146" s="24"/>
      <c r="AK146" s="24"/>
      <c r="AL146" s="630" t="str">
        <f t="shared" si="4"/>
        <v>San Salvador el Verde</v>
      </c>
      <c r="AM146" s="630">
        <f t="shared" si="5"/>
        <v>21143</v>
      </c>
      <c r="AO146" s="24"/>
      <c r="AP146" s="628">
        <v>144</v>
      </c>
      <c r="AQ146" s="642"/>
      <c r="AR146" s="642"/>
      <c r="AS146" s="642"/>
      <c r="AT146" s="642"/>
      <c r="AU146" s="642"/>
      <c r="AV146" s="642"/>
      <c r="AW146" s="642"/>
      <c r="AX146" s="642"/>
      <c r="AY146" s="642"/>
      <c r="AZ146" s="642"/>
      <c r="BA146" s="642"/>
      <c r="BB146" s="642"/>
      <c r="BC146" s="642"/>
      <c r="BD146" s="642"/>
      <c r="BE146" s="642"/>
      <c r="BF146" s="642"/>
      <c r="BG146" s="642"/>
      <c r="BH146" s="642"/>
      <c r="BI146" s="642"/>
      <c r="BJ146" s="634">
        <v>20143</v>
      </c>
      <c r="BK146" s="634">
        <v>21143</v>
      </c>
      <c r="BL146" s="642"/>
      <c r="BM146" s="642"/>
      <c r="BN146" s="642"/>
      <c r="BO146" s="642"/>
      <c r="BP146" s="642"/>
      <c r="BQ146" s="642"/>
      <c r="BR146" s="642"/>
      <c r="BS146" s="642"/>
      <c r="BT146" s="634">
        <v>30143</v>
      </c>
      <c r="BU146" s="642"/>
      <c r="BV146" s="642"/>
      <c r="BW146" s="24"/>
      <c r="BX146" s="24"/>
      <c r="BY146" s="24"/>
      <c r="BZ146" s="643"/>
      <c r="CA146" s="643"/>
      <c r="CB146" s="643"/>
      <c r="CC146" s="643"/>
      <c r="CD146" s="643"/>
      <c r="CE146" s="643"/>
      <c r="CF146" s="643"/>
      <c r="CG146" s="643"/>
      <c r="CH146" s="643"/>
      <c r="CI146" s="643"/>
      <c r="CJ146" s="643"/>
      <c r="CK146" s="643"/>
      <c r="CL146" s="643"/>
      <c r="CM146" s="643"/>
      <c r="CN146" s="643"/>
      <c r="CO146" s="643"/>
      <c r="CP146" s="643"/>
      <c r="CQ146" s="643"/>
      <c r="CR146" s="643"/>
      <c r="CS146" s="636" t="s">
        <v>1897</v>
      </c>
      <c r="CT146" s="636" t="s">
        <v>1898</v>
      </c>
      <c r="CU146" s="643"/>
      <c r="CV146" s="643"/>
      <c r="CW146" s="643"/>
      <c r="CX146" s="643"/>
      <c r="CY146" s="643"/>
      <c r="CZ146" s="643"/>
      <c r="DA146" s="643"/>
      <c r="DB146" s="643"/>
      <c r="DC146" s="636" t="s">
        <v>1899</v>
      </c>
      <c r="DD146" s="643"/>
      <c r="DE146" s="643"/>
    </row>
    <row r="147" spans="34:109" ht="15" hidden="1" customHeight="1">
      <c r="AH147" s="24"/>
      <c r="AI147" s="24"/>
      <c r="AJ147" s="24"/>
      <c r="AK147" s="24"/>
      <c r="AL147" s="630" t="str">
        <f t="shared" si="4"/>
        <v>San Salvador Huixcolotla</v>
      </c>
      <c r="AM147" s="630">
        <f t="shared" si="5"/>
        <v>21144</v>
      </c>
      <c r="AO147" s="24"/>
      <c r="AP147" s="628">
        <v>145</v>
      </c>
      <c r="AQ147" s="642"/>
      <c r="AR147" s="642"/>
      <c r="AS147" s="642"/>
      <c r="AT147" s="642"/>
      <c r="AU147" s="642"/>
      <c r="AV147" s="642"/>
      <c r="AW147" s="642"/>
      <c r="AX147" s="642"/>
      <c r="AY147" s="642"/>
      <c r="AZ147" s="642"/>
      <c r="BA147" s="642"/>
      <c r="BB147" s="642"/>
      <c r="BC147" s="642"/>
      <c r="BD147" s="642"/>
      <c r="BE147" s="642"/>
      <c r="BF147" s="642"/>
      <c r="BG147" s="642"/>
      <c r="BH147" s="642"/>
      <c r="BI147" s="642"/>
      <c r="BJ147" s="634">
        <v>20144</v>
      </c>
      <c r="BK147" s="634">
        <v>21144</v>
      </c>
      <c r="BL147" s="642"/>
      <c r="BM147" s="642"/>
      <c r="BN147" s="642"/>
      <c r="BO147" s="642"/>
      <c r="BP147" s="642"/>
      <c r="BQ147" s="642"/>
      <c r="BR147" s="642"/>
      <c r="BS147" s="642"/>
      <c r="BT147" s="634">
        <v>30144</v>
      </c>
      <c r="BU147" s="642"/>
      <c r="BV147" s="642"/>
      <c r="BW147" s="24"/>
      <c r="BX147" s="24"/>
      <c r="BY147" s="24"/>
      <c r="BZ147" s="643"/>
      <c r="CA147" s="643"/>
      <c r="CB147" s="643"/>
      <c r="CC147" s="643"/>
      <c r="CD147" s="643"/>
      <c r="CE147" s="643"/>
      <c r="CF147" s="643"/>
      <c r="CG147" s="643"/>
      <c r="CH147" s="643"/>
      <c r="CI147" s="643"/>
      <c r="CJ147" s="643"/>
      <c r="CK147" s="643"/>
      <c r="CL147" s="643"/>
      <c r="CM147" s="643"/>
      <c r="CN147" s="643"/>
      <c r="CO147" s="643"/>
      <c r="CP147" s="643"/>
      <c r="CQ147" s="643"/>
      <c r="CR147" s="643"/>
      <c r="CS147" s="636" t="s">
        <v>1900</v>
      </c>
      <c r="CT147" s="636" t="s">
        <v>1901</v>
      </c>
      <c r="CU147" s="643"/>
      <c r="CV147" s="643"/>
      <c r="CW147" s="643"/>
      <c r="CX147" s="643"/>
      <c r="CY147" s="643"/>
      <c r="CZ147" s="643"/>
      <c r="DA147" s="643"/>
      <c r="DB147" s="643"/>
      <c r="DC147" s="636" t="s">
        <v>1902</v>
      </c>
      <c r="DD147" s="643"/>
      <c r="DE147" s="643"/>
    </row>
    <row r="148" spans="34:109" ht="15" hidden="1" customHeight="1">
      <c r="AH148" s="24"/>
      <c r="AI148" s="24"/>
      <c r="AJ148" s="24"/>
      <c r="AK148" s="24"/>
      <c r="AL148" s="630" t="str">
        <f t="shared" si="4"/>
        <v>San Sebastián Tlacotepec</v>
      </c>
      <c r="AM148" s="630">
        <f t="shared" si="5"/>
        <v>21145</v>
      </c>
      <c r="AO148" s="24"/>
      <c r="AP148" s="628">
        <v>146</v>
      </c>
      <c r="AQ148" s="642"/>
      <c r="AR148" s="642"/>
      <c r="AS148" s="642"/>
      <c r="AT148" s="642"/>
      <c r="AU148" s="642"/>
      <c r="AV148" s="642"/>
      <c r="AW148" s="642"/>
      <c r="AX148" s="642"/>
      <c r="AY148" s="642"/>
      <c r="AZ148" s="642"/>
      <c r="BA148" s="642"/>
      <c r="BB148" s="642"/>
      <c r="BC148" s="642"/>
      <c r="BD148" s="642"/>
      <c r="BE148" s="642"/>
      <c r="BF148" s="642"/>
      <c r="BG148" s="642"/>
      <c r="BH148" s="642"/>
      <c r="BI148" s="642"/>
      <c r="BJ148" s="634">
        <v>20145</v>
      </c>
      <c r="BK148" s="634">
        <v>21145</v>
      </c>
      <c r="BL148" s="642"/>
      <c r="BM148" s="642"/>
      <c r="BN148" s="642"/>
      <c r="BO148" s="642"/>
      <c r="BP148" s="642"/>
      <c r="BQ148" s="642"/>
      <c r="BR148" s="642"/>
      <c r="BS148" s="642"/>
      <c r="BT148" s="634">
        <v>30145</v>
      </c>
      <c r="BU148" s="642"/>
      <c r="BV148" s="642"/>
      <c r="BW148" s="24"/>
      <c r="BX148" s="24"/>
      <c r="BY148" s="24"/>
      <c r="BZ148" s="643"/>
      <c r="CA148" s="643"/>
      <c r="CB148" s="643"/>
      <c r="CC148" s="643"/>
      <c r="CD148" s="643"/>
      <c r="CE148" s="643"/>
      <c r="CF148" s="643"/>
      <c r="CG148" s="643"/>
      <c r="CH148" s="643"/>
      <c r="CI148" s="643"/>
      <c r="CJ148" s="643"/>
      <c r="CK148" s="643"/>
      <c r="CL148" s="643"/>
      <c r="CM148" s="643"/>
      <c r="CN148" s="643"/>
      <c r="CO148" s="643"/>
      <c r="CP148" s="643"/>
      <c r="CQ148" s="643"/>
      <c r="CR148" s="643"/>
      <c r="CS148" s="636" t="s">
        <v>1903</v>
      </c>
      <c r="CT148" s="636" t="s">
        <v>1904</v>
      </c>
      <c r="CU148" s="643"/>
      <c r="CV148" s="643"/>
      <c r="CW148" s="643"/>
      <c r="CX148" s="643"/>
      <c r="CY148" s="643"/>
      <c r="CZ148" s="643"/>
      <c r="DA148" s="643"/>
      <c r="DB148" s="643"/>
      <c r="DC148" s="636" t="s">
        <v>1905</v>
      </c>
      <c r="DD148" s="643"/>
      <c r="DE148" s="643"/>
    </row>
    <row r="149" spans="34:109" ht="15" hidden="1" customHeight="1">
      <c r="AH149" s="24"/>
      <c r="AI149" s="24"/>
      <c r="AJ149" s="24"/>
      <c r="AK149" s="24"/>
      <c r="AL149" s="630" t="str">
        <f t="shared" si="4"/>
        <v>Santa Catarina Tlaltempan</v>
      </c>
      <c r="AM149" s="630">
        <f t="shared" si="5"/>
        <v>21146</v>
      </c>
      <c r="AO149" s="24"/>
      <c r="AP149" s="628">
        <v>147</v>
      </c>
      <c r="AQ149" s="642"/>
      <c r="AR149" s="642"/>
      <c r="AS149" s="642"/>
      <c r="AT149" s="642"/>
      <c r="AU149" s="642"/>
      <c r="AV149" s="642"/>
      <c r="AW149" s="642"/>
      <c r="AX149" s="642"/>
      <c r="AY149" s="642"/>
      <c r="AZ149" s="642"/>
      <c r="BA149" s="642"/>
      <c r="BB149" s="642"/>
      <c r="BC149" s="642"/>
      <c r="BD149" s="642"/>
      <c r="BE149" s="642"/>
      <c r="BF149" s="642"/>
      <c r="BG149" s="642"/>
      <c r="BH149" s="642"/>
      <c r="BI149" s="642"/>
      <c r="BJ149" s="634">
        <v>20146</v>
      </c>
      <c r="BK149" s="634">
        <v>21146</v>
      </c>
      <c r="BL149" s="642"/>
      <c r="BM149" s="642"/>
      <c r="BN149" s="642"/>
      <c r="BO149" s="642"/>
      <c r="BP149" s="642"/>
      <c r="BQ149" s="642"/>
      <c r="BR149" s="642"/>
      <c r="BS149" s="642"/>
      <c r="BT149" s="634">
        <v>30146</v>
      </c>
      <c r="BU149" s="642"/>
      <c r="BV149" s="642"/>
      <c r="BW149" s="24"/>
      <c r="BX149" s="24"/>
      <c r="BY149" s="24"/>
      <c r="BZ149" s="643"/>
      <c r="CA149" s="643"/>
      <c r="CB149" s="643"/>
      <c r="CC149" s="643"/>
      <c r="CD149" s="643"/>
      <c r="CE149" s="643"/>
      <c r="CF149" s="643"/>
      <c r="CG149" s="643"/>
      <c r="CH149" s="643"/>
      <c r="CI149" s="643"/>
      <c r="CJ149" s="643"/>
      <c r="CK149" s="643"/>
      <c r="CL149" s="643"/>
      <c r="CM149" s="643"/>
      <c r="CN149" s="643"/>
      <c r="CO149" s="643"/>
      <c r="CP149" s="643"/>
      <c r="CQ149" s="643"/>
      <c r="CR149" s="643"/>
      <c r="CS149" s="636" t="s">
        <v>1906</v>
      </c>
      <c r="CT149" s="636" t="s">
        <v>1907</v>
      </c>
      <c r="CU149" s="643"/>
      <c r="CV149" s="643"/>
      <c r="CW149" s="643"/>
      <c r="CX149" s="643"/>
      <c r="CY149" s="643"/>
      <c r="CZ149" s="643"/>
      <c r="DA149" s="643"/>
      <c r="DB149" s="643"/>
      <c r="DC149" s="636" t="s">
        <v>1908</v>
      </c>
      <c r="DD149" s="643"/>
      <c r="DE149" s="643"/>
    </row>
    <row r="150" spans="34:109" ht="15" hidden="1" customHeight="1">
      <c r="AH150" s="24"/>
      <c r="AI150" s="24"/>
      <c r="AJ150" s="24"/>
      <c r="AK150" s="24"/>
      <c r="AL150" s="630" t="str">
        <f t="shared" si="4"/>
        <v>Santa Inés Ahuatempan</v>
      </c>
      <c r="AM150" s="630">
        <f t="shared" si="5"/>
        <v>21147</v>
      </c>
      <c r="AO150" s="24"/>
      <c r="AP150" s="628">
        <v>148</v>
      </c>
      <c r="AQ150" s="642"/>
      <c r="AR150" s="642"/>
      <c r="AS150" s="642"/>
      <c r="AT150" s="642"/>
      <c r="AU150" s="642"/>
      <c r="AV150" s="642"/>
      <c r="AW150" s="642"/>
      <c r="AX150" s="642"/>
      <c r="AY150" s="642"/>
      <c r="AZ150" s="642"/>
      <c r="BA150" s="642"/>
      <c r="BB150" s="642"/>
      <c r="BC150" s="642"/>
      <c r="BD150" s="642"/>
      <c r="BE150" s="642"/>
      <c r="BF150" s="642"/>
      <c r="BG150" s="642"/>
      <c r="BH150" s="642"/>
      <c r="BI150" s="642"/>
      <c r="BJ150" s="634">
        <v>20147</v>
      </c>
      <c r="BK150" s="634">
        <v>21147</v>
      </c>
      <c r="BL150" s="642"/>
      <c r="BM150" s="642"/>
      <c r="BN150" s="642"/>
      <c r="BO150" s="642"/>
      <c r="BP150" s="642"/>
      <c r="BQ150" s="642"/>
      <c r="BR150" s="642"/>
      <c r="BS150" s="642"/>
      <c r="BT150" s="634">
        <v>30147</v>
      </c>
      <c r="BU150" s="642"/>
      <c r="BV150" s="642"/>
      <c r="BW150" s="24"/>
      <c r="BX150" s="24"/>
      <c r="BY150" s="24"/>
      <c r="BZ150" s="643"/>
      <c r="CA150" s="643"/>
      <c r="CB150" s="643"/>
      <c r="CC150" s="643"/>
      <c r="CD150" s="643"/>
      <c r="CE150" s="643"/>
      <c r="CF150" s="643"/>
      <c r="CG150" s="643"/>
      <c r="CH150" s="643"/>
      <c r="CI150" s="643"/>
      <c r="CJ150" s="643"/>
      <c r="CK150" s="643"/>
      <c r="CL150" s="643"/>
      <c r="CM150" s="643"/>
      <c r="CN150" s="643"/>
      <c r="CO150" s="643"/>
      <c r="CP150" s="643"/>
      <c r="CQ150" s="643"/>
      <c r="CR150" s="643"/>
      <c r="CS150" s="636" t="s">
        <v>1909</v>
      </c>
      <c r="CT150" s="636" t="s">
        <v>1910</v>
      </c>
      <c r="CU150" s="643"/>
      <c r="CV150" s="643"/>
      <c r="CW150" s="643"/>
      <c r="CX150" s="643"/>
      <c r="CY150" s="643"/>
      <c r="CZ150" s="643"/>
      <c r="DA150" s="643"/>
      <c r="DB150" s="643"/>
      <c r="DC150" s="636" t="s">
        <v>1911</v>
      </c>
      <c r="DD150" s="643"/>
      <c r="DE150" s="643"/>
    </row>
    <row r="151" spans="34:109" ht="15" hidden="1" customHeight="1">
      <c r="AH151" s="24"/>
      <c r="AI151" s="24"/>
      <c r="AJ151" s="24"/>
      <c r="AK151" s="24"/>
      <c r="AL151" s="630" t="str">
        <f t="shared" si="4"/>
        <v>Santa Isabel Cholula</v>
      </c>
      <c r="AM151" s="630">
        <f t="shared" si="5"/>
        <v>21148</v>
      </c>
      <c r="AO151" s="24"/>
      <c r="AP151" s="628">
        <v>149</v>
      </c>
      <c r="AQ151" s="642"/>
      <c r="AR151" s="642"/>
      <c r="AS151" s="642"/>
      <c r="AT151" s="642"/>
      <c r="AU151" s="642"/>
      <c r="AV151" s="642"/>
      <c r="AW151" s="642"/>
      <c r="AX151" s="642"/>
      <c r="AY151" s="642"/>
      <c r="AZ151" s="642"/>
      <c r="BA151" s="642"/>
      <c r="BB151" s="642"/>
      <c r="BC151" s="642"/>
      <c r="BD151" s="642"/>
      <c r="BE151" s="642"/>
      <c r="BF151" s="642"/>
      <c r="BG151" s="642"/>
      <c r="BH151" s="642"/>
      <c r="BI151" s="642"/>
      <c r="BJ151" s="634">
        <v>20148</v>
      </c>
      <c r="BK151" s="634">
        <v>21148</v>
      </c>
      <c r="BL151" s="642"/>
      <c r="BM151" s="642"/>
      <c r="BN151" s="642"/>
      <c r="BO151" s="642"/>
      <c r="BP151" s="642"/>
      <c r="BQ151" s="642"/>
      <c r="BR151" s="642"/>
      <c r="BS151" s="642"/>
      <c r="BT151" s="634">
        <v>30148</v>
      </c>
      <c r="BU151" s="642"/>
      <c r="BV151" s="642"/>
      <c r="BW151" s="24"/>
      <c r="BX151" s="24"/>
      <c r="BY151" s="24"/>
      <c r="BZ151" s="643"/>
      <c r="CA151" s="643"/>
      <c r="CB151" s="643"/>
      <c r="CC151" s="643"/>
      <c r="CD151" s="643"/>
      <c r="CE151" s="643"/>
      <c r="CF151" s="643"/>
      <c r="CG151" s="643"/>
      <c r="CH151" s="643"/>
      <c r="CI151" s="643"/>
      <c r="CJ151" s="643"/>
      <c r="CK151" s="643"/>
      <c r="CL151" s="643"/>
      <c r="CM151" s="643"/>
      <c r="CN151" s="643"/>
      <c r="CO151" s="643"/>
      <c r="CP151" s="643"/>
      <c r="CQ151" s="643"/>
      <c r="CR151" s="643"/>
      <c r="CS151" s="636" t="s">
        <v>1912</v>
      </c>
      <c r="CT151" s="636" t="s">
        <v>1913</v>
      </c>
      <c r="CU151" s="643"/>
      <c r="CV151" s="643"/>
      <c r="CW151" s="643"/>
      <c r="CX151" s="643"/>
      <c r="CY151" s="643"/>
      <c r="CZ151" s="643"/>
      <c r="DA151" s="643"/>
      <c r="DB151" s="643"/>
      <c r="DC151" s="636" t="s">
        <v>1914</v>
      </c>
      <c r="DD151" s="643"/>
      <c r="DE151" s="643"/>
    </row>
    <row r="152" spans="34:109" ht="15" hidden="1" customHeight="1">
      <c r="AH152" s="24"/>
      <c r="AI152" s="24"/>
      <c r="AJ152" s="24"/>
      <c r="AK152" s="24"/>
      <c r="AL152" s="630" t="str">
        <f t="shared" si="4"/>
        <v>Santiago Miahuatlán</v>
      </c>
      <c r="AM152" s="630">
        <f t="shared" si="5"/>
        <v>21149</v>
      </c>
      <c r="AO152" s="24"/>
      <c r="AP152" s="628">
        <v>150</v>
      </c>
      <c r="AQ152" s="642"/>
      <c r="AR152" s="642"/>
      <c r="AS152" s="642"/>
      <c r="AT152" s="642"/>
      <c r="AU152" s="642"/>
      <c r="AV152" s="642"/>
      <c r="AW152" s="642"/>
      <c r="AX152" s="642"/>
      <c r="AY152" s="642"/>
      <c r="AZ152" s="642"/>
      <c r="BA152" s="642"/>
      <c r="BB152" s="642"/>
      <c r="BC152" s="642"/>
      <c r="BD152" s="642"/>
      <c r="BE152" s="642"/>
      <c r="BF152" s="642"/>
      <c r="BG152" s="642"/>
      <c r="BH152" s="642"/>
      <c r="BI152" s="642"/>
      <c r="BJ152" s="634">
        <v>20149</v>
      </c>
      <c r="BK152" s="634">
        <v>21149</v>
      </c>
      <c r="BL152" s="642"/>
      <c r="BM152" s="642"/>
      <c r="BN152" s="642"/>
      <c r="BO152" s="642"/>
      <c r="BP152" s="642"/>
      <c r="BQ152" s="642"/>
      <c r="BR152" s="642"/>
      <c r="BS152" s="642"/>
      <c r="BT152" s="634">
        <v>30149</v>
      </c>
      <c r="BU152" s="642"/>
      <c r="BV152" s="642"/>
      <c r="BW152" s="24"/>
      <c r="BX152" s="24"/>
      <c r="BY152" s="24"/>
      <c r="BZ152" s="643"/>
      <c r="CA152" s="643"/>
      <c r="CB152" s="643"/>
      <c r="CC152" s="643"/>
      <c r="CD152" s="643"/>
      <c r="CE152" s="643"/>
      <c r="CF152" s="643"/>
      <c r="CG152" s="643"/>
      <c r="CH152" s="643"/>
      <c r="CI152" s="643"/>
      <c r="CJ152" s="643"/>
      <c r="CK152" s="643"/>
      <c r="CL152" s="643"/>
      <c r="CM152" s="643"/>
      <c r="CN152" s="643"/>
      <c r="CO152" s="643"/>
      <c r="CP152" s="643"/>
      <c r="CQ152" s="643"/>
      <c r="CR152" s="643"/>
      <c r="CS152" s="636" t="s">
        <v>1915</v>
      </c>
      <c r="CT152" s="636" t="s">
        <v>1916</v>
      </c>
      <c r="CU152" s="643"/>
      <c r="CV152" s="643"/>
      <c r="CW152" s="643"/>
      <c r="CX152" s="643"/>
      <c r="CY152" s="643"/>
      <c r="CZ152" s="643"/>
      <c r="DA152" s="643"/>
      <c r="DB152" s="643"/>
      <c r="DC152" s="636" t="s">
        <v>1917</v>
      </c>
      <c r="DD152" s="643"/>
      <c r="DE152" s="643"/>
    </row>
    <row r="153" spans="34:109" ht="15" hidden="1" customHeight="1">
      <c r="AH153" s="24"/>
      <c r="AI153" s="24"/>
      <c r="AJ153" s="24"/>
      <c r="AK153" s="24"/>
      <c r="AL153" s="630" t="str">
        <f t="shared" si="4"/>
        <v>Huehuetlán el Grande</v>
      </c>
      <c r="AM153" s="630">
        <f t="shared" si="5"/>
        <v>21150</v>
      </c>
      <c r="AO153" s="24"/>
      <c r="AP153" s="628">
        <v>151</v>
      </c>
      <c r="AQ153" s="642"/>
      <c r="AR153" s="642"/>
      <c r="AS153" s="642"/>
      <c r="AT153" s="642"/>
      <c r="AU153" s="642"/>
      <c r="AV153" s="642"/>
      <c r="AW153" s="642"/>
      <c r="AX153" s="642"/>
      <c r="AY153" s="642"/>
      <c r="AZ153" s="642"/>
      <c r="BA153" s="642"/>
      <c r="BB153" s="642"/>
      <c r="BC153" s="642"/>
      <c r="BD153" s="642"/>
      <c r="BE153" s="642"/>
      <c r="BF153" s="642"/>
      <c r="BG153" s="642"/>
      <c r="BH153" s="642"/>
      <c r="BI153" s="642"/>
      <c r="BJ153" s="634">
        <v>20150</v>
      </c>
      <c r="BK153" s="634">
        <v>21150</v>
      </c>
      <c r="BL153" s="642"/>
      <c r="BM153" s="642"/>
      <c r="BN153" s="642"/>
      <c r="BO153" s="642"/>
      <c r="BP153" s="642"/>
      <c r="BQ153" s="642"/>
      <c r="BR153" s="642"/>
      <c r="BS153" s="642"/>
      <c r="BT153" s="634">
        <v>30150</v>
      </c>
      <c r="BU153" s="642"/>
      <c r="BV153" s="642"/>
      <c r="BW153" s="24"/>
      <c r="BX153" s="24"/>
      <c r="BY153" s="24"/>
      <c r="BZ153" s="643"/>
      <c r="CA153" s="643"/>
      <c r="CB153" s="643"/>
      <c r="CC153" s="643"/>
      <c r="CD153" s="643"/>
      <c r="CE153" s="643"/>
      <c r="CF153" s="643"/>
      <c r="CG153" s="643"/>
      <c r="CH153" s="643"/>
      <c r="CI153" s="643"/>
      <c r="CJ153" s="643"/>
      <c r="CK153" s="643"/>
      <c r="CL153" s="643"/>
      <c r="CM153" s="643"/>
      <c r="CN153" s="643"/>
      <c r="CO153" s="643"/>
      <c r="CP153" s="643"/>
      <c r="CQ153" s="643"/>
      <c r="CR153" s="643"/>
      <c r="CS153" s="636" t="s">
        <v>1918</v>
      </c>
      <c r="CT153" s="636" t="s">
        <v>1919</v>
      </c>
      <c r="CU153" s="643"/>
      <c r="CV153" s="643"/>
      <c r="CW153" s="643"/>
      <c r="CX153" s="643"/>
      <c r="CY153" s="643"/>
      <c r="CZ153" s="643"/>
      <c r="DA153" s="643"/>
      <c r="DB153" s="643"/>
      <c r="DC153" s="636" t="s">
        <v>1920</v>
      </c>
      <c r="DD153" s="643"/>
      <c r="DE153" s="643"/>
    </row>
    <row r="154" spans="34:109" ht="15" hidden="1" customHeight="1">
      <c r="AH154" s="24"/>
      <c r="AI154" s="24"/>
      <c r="AJ154" s="24"/>
      <c r="AK154" s="24"/>
      <c r="AL154" s="630" t="str">
        <f t="shared" si="4"/>
        <v>Santo Tomás Hueyotlipan</v>
      </c>
      <c r="AM154" s="630">
        <f t="shared" si="5"/>
        <v>21151</v>
      </c>
      <c r="AO154" s="24"/>
      <c r="AP154" s="628">
        <v>152</v>
      </c>
      <c r="AQ154" s="642"/>
      <c r="AR154" s="642"/>
      <c r="AS154" s="642"/>
      <c r="AT154" s="642"/>
      <c r="AU154" s="642"/>
      <c r="AV154" s="642"/>
      <c r="AW154" s="642"/>
      <c r="AX154" s="642"/>
      <c r="AY154" s="642"/>
      <c r="AZ154" s="642"/>
      <c r="BA154" s="642"/>
      <c r="BB154" s="642"/>
      <c r="BC154" s="642"/>
      <c r="BD154" s="642"/>
      <c r="BE154" s="642"/>
      <c r="BF154" s="642"/>
      <c r="BG154" s="642"/>
      <c r="BH154" s="642"/>
      <c r="BI154" s="642"/>
      <c r="BJ154" s="634">
        <v>20151</v>
      </c>
      <c r="BK154" s="634">
        <v>21151</v>
      </c>
      <c r="BL154" s="642"/>
      <c r="BM154" s="642"/>
      <c r="BN154" s="642"/>
      <c r="BO154" s="642"/>
      <c r="BP154" s="642"/>
      <c r="BQ154" s="642"/>
      <c r="BR154" s="642"/>
      <c r="BS154" s="642"/>
      <c r="BT154" s="634">
        <v>30151</v>
      </c>
      <c r="BU154" s="642"/>
      <c r="BV154" s="642"/>
      <c r="BW154" s="24"/>
      <c r="BX154" s="24"/>
      <c r="BY154" s="24"/>
      <c r="BZ154" s="643"/>
      <c r="CA154" s="643"/>
      <c r="CB154" s="643"/>
      <c r="CC154" s="643"/>
      <c r="CD154" s="643"/>
      <c r="CE154" s="643"/>
      <c r="CF154" s="643"/>
      <c r="CG154" s="643"/>
      <c r="CH154" s="643"/>
      <c r="CI154" s="643"/>
      <c r="CJ154" s="643"/>
      <c r="CK154" s="643"/>
      <c r="CL154" s="643"/>
      <c r="CM154" s="643"/>
      <c r="CN154" s="643"/>
      <c r="CO154" s="643"/>
      <c r="CP154" s="643"/>
      <c r="CQ154" s="643"/>
      <c r="CR154" s="643"/>
      <c r="CS154" s="636" t="s">
        <v>1921</v>
      </c>
      <c r="CT154" s="636" t="s">
        <v>1922</v>
      </c>
      <c r="CU154" s="643"/>
      <c r="CV154" s="643"/>
      <c r="CW154" s="643"/>
      <c r="CX154" s="643"/>
      <c r="CY154" s="643"/>
      <c r="CZ154" s="643"/>
      <c r="DA154" s="643"/>
      <c r="DB154" s="643"/>
      <c r="DC154" s="636" t="s">
        <v>1923</v>
      </c>
      <c r="DD154" s="643"/>
      <c r="DE154" s="643"/>
    </row>
    <row r="155" spans="34:109" ht="15" hidden="1" customHeight="1">
      <c r="AH155" s="24"/>
      <c r="AI155" s="24"/>
      <c r="AJ155" s="24"/>
      <c r="AK155" s="24"/>
      <c r="AL155" s="630" t="str">
        <f t="shared" si="4"/>
        <v>Soltepec</v>
      </c>
      <c r="AM155" s="630">
        <f t="shared" si="5"/>
        <v>21152</v>
      </c>
      <c r="AO155" s="24"/>
      <c r="AP155" s="628">
        <v>153</v>
      </c>
      <c r="AQ155" s="642"/>
      <c r="AR155" s="642"/>
      <c r="AS155" s="642"/>
      <c r="AT155" s="642"/>
      <c r="AU155" s="642"/>
      <c r="AV155" s="642"/>
      <c r="AW155" s="642"/>
      <c r="AX155" s="642"/>
      <c r="AY155" s="642"/>
      <c r="AZ155" s="642"/>
      <c r="BA155" s="642"/>
      <c r="BB155" s="642"/>
      <c r="BC155" s="642"/>
      <c r="BD155" s="642"/>
      <c r="BE155" s="642"/>
      <c r="BF155" s="642"/>
      <c r="BG155" s="642"/>
      <c r="BH155" s="642"/>
      <c r="BI155" s="642"/>
      <c r="BJ155" s="634">
        <v>20152</v>
      </c>
      <c r="BK155" s="634">
        <v>21152</v>
      </c>
      <c r="BL155" s="642"/>
      <c r="BM155" s="642"/>
      <c r="BN155" s="642"/>
      <c r="BO155" s="642"/>
      <c r="BP155" s="642"/>
      <c r="BQ155" s="642"/>
      <c r="BR155" s="642"/>
      <c r="BS155" s="642"/>
      <c r="BT155" s="634">
        <v>30152</v>
      </c>
      <c r="BU155" s="642"/>
      <c r="BV155" s="642"/>
      <c r="BW155" s="24"/>
      <c r="BX155" s="24"/>
      <c r="BY155" s="24"/>
      <c r="BZ155" s="643"/>
      <c r="CA155" s="643"/>
      <c r="CB155" s="643"/>
      <c r="CC155" s="643"/>
      <c r="CD155" s="643"/>
      <c r="CE155" s="643"/>
      <c r="CF155" s="643"/>
      <c r="CG155" s="643"/>
      <c r="CH155" s="643"/>
      <c r="CI155" s="643"/>
      <c r="CJ155" s="643"/>
      <c r="CK155" s="643"/>
      <c r="CL155" s="643"/>
      <c r="CM155" s="643"/>
      <c r="CN155" s="643"/>
      <c r="CO155" s="643"/>
      <c r="CP155" s="643"/>
      <c r="CQ155" s="643"/>
      <c r="CR155" s="643"/>
      <c r="CS155" s="636" t="s">
        <v>1924</v>
      </c>
      <c r="CT155" s="636" t="s">
        <v>1925</v>
      </c>
      <c r="CU155" s="643"/>
      <c r="CV155" s="643"/>
      <c r="CW155" s="643"/>
      <c r="CX155" s="643"/>
      <c r="CY155" s="643"/>
      <c r="CZ155" s="643"/>
      <c r="DA155" s="643"/>
      <c r="DB155" s="643"/>
      <c r="DC155" s="636" t="s">
        <v>1926</v>
      </c>
      <c r="DD155" s="643"/>
      <c r="DE155" s="643"/>
    </row>
    <row r="156" spans="34:109" ht="15" hidden="1" customHeight="1">
      <c r="AH156" s="24"/>
      <c r="AI156" s="24"/>
      <c r="AJ156" s="24"/>
      <c r="AK156" s="24"/>
      <c r="AL156" s="630" t="str">
        <f t="shared" si="4"/>
        <v>Tecali de Herrera</v>
      </c>
      <c r="AM156" s="630">
        <f t="shared" si="5"/>
        <v>21153</v>
      </c>
      <c r="AO156" s="24"/>
      <c r="AP156" s="628">
        <v>154</v>
      </c>
      <c r="AQ156" s="642"/>
      <c r="AR156" s="642"/>
      <c r="AS156" s="642"/>
      <c r="AT156" s="642"/>
      <c r="AU156" s="642"/>
      <c r="AV156" s="642"/>
      <c r="AW156" s="642"/>
      <c r="AX156" s="642"/>
      <c r="AY156" s="642"/>
      <c r="AZ156" s="642"/>
      <c r="BA156" s="642"/>
      <c r="BB156" s="642"/>
      <c r="BC156" s="642"/>
      <c r="BD156" s="642"/>
      <c r="BE156" s="642"/>
      <c r="BF156" s="642"/>
      <c r="BG156" s="642"/>
      <c r="BH156" s="642"/>
      <c r="BI156" s="642"/>
      <c r="BJ156" s="634">
        <v>20153</v>
      </c>
      <c r="BK156" s="634">
        <v>21153</v>
      </c>
      <c r="BL156" s="642"/>
      <c r="BM156" s="642"/>
      <c r="BN156" s="642"/>
      <c r="BO156" s="642"/>
      <c r="BP156" s="642"/>
      <c r="BQ156" s="642"/>
      <c r="BR156" s="642"/>
      <c r="BS156" s="642"/>
      <c r="BT156" s="634">
        <v>30153</v>
      </c>
      <c r="BU156" s="642"/>
      <c r="BV156" s="642"/>
      <c r="BW156" s="24"/>
      <c r="BX156" s="24"/>
      <c r="BY156" s="24"/>
      <c r="BZ156" s="643"/>
      <c r="CA156" s="643"/>
      <c r="CB156" s="643"/>
      <c r="CC156" s="643"/>
      <c r="CD156" s="643"/>
      <c r="CE156" s="643"/>
      <c r="CF156" s="643"/>
      <c r="CG156" s="643"/>
      <c r="CH156" s="643"/>
      <c r="CI156" s="643"/>
      <c r="CJ156" s="643"/>
      <c r="CK156" s="643"/>
      <c r="CL156" s="643"/>
      <c r="CM156" s="643"/>
      <c r="CN156" s="643"/>
      <c r="CO156" s="643"/>
      <c r="CP156" s="643"/>
      <c r="CQ156" s="643"/>
      <c r="CR156" s="643"/>
      <c r="CS156" s="636" t="s">
        <v>1927</v>
      </c>
      <c r="CT156" s="636" t="s">
        <v>1928</v>
      </c>
      <c r="CU156" s="643"/>
      <c r="CV156" s="643"/>
      <c r="CW156" s="643"/>
      <c r="CX156" s="643"/>
      <c r="CY156" s="643"/>
      <c r="CZ156" s="643"/>
      <c r="DA156" s="643"/>
      <c r="DB156" s="643"/>
      <c r="DC156" s="636" t="s">
        <v>1929</v>
      </c>
      <c r="DD156" s="643"/>
      <c r="DE156" s="643"/>
    </row>
    <row r="157" spans="34:109" ht="15" hidden="1" customHeight="1">
      <c r="AH157" s="24"/>
      <c r="AI157" s="24"/>
      <c r="AJ157" s="24"/>
      <c r="AK157" s="24"/>
      <c r="AL157" s="630" t="str">
        <f t="shared" si="4"/>
        <v>Tecamachalco</v>
      </c>
      <c r="AM157" s="630">
        <f t="shared" si="5"/>
        <v>21154</v>
      </c>
      <c r="AO157" s="24"/>
      <c r="AP157" s="628">
        <v>155</v>
      </c>
      <c r="AQ157" s="642"/>
      <c r="AR157" s="642"/>
      <c r="AS157" s="642"/>
      <c r="AT157" s="642"/>
      <c r="AU157" s="642"/>
      <c r="AV157" s="642"/>
      <c r="AW157" s="642"/>
      <c r="AX157" s="642"/>
      <c r="AY157" s="642"/>
      <c r="AZ157" s="642"/>
      <c r="BA157" s="642"/>
      <c r="BB157" s="642"/>
      <c r="BC157" s="642"/>
      <c r="BD157" s="642"/>
      <c r="BE157" s="642"/>
      <c r="BF157" s="642"/>
      <c r="BG157" s="642"/>
      <c r="BH157" s="642"/>
      <c r="BI157" s="642"/>
      <c r="BJ157" s="634">
        <v>20154</v>
      </c>
      <c r="BK157" s="634">
        <v>21154</v>
      </c>
      <c r="BL157" s="642"/>
      <c r="BM157" s="642"/>
      <c r="BN157" s="642"/>
      <c r="BO157" s="642"/>
      <c r="BP157" s="642"/>
      <c r="BQ157" s="642"/>
      <c r="BR157" s="642"/>
      <c r="BS157" s="642"/>
      <c r="BT157" s="634">
        <v>30154</v>
      </c>
      <c r="BU157" s="642"/>
      <c r="BV157" s="642"/>
      <c r="BW157" s="24"/>
      <c r="BX157" s="24"/>
      <c r="BY157" s="24"/>
      <c r="BZ157" s="643"/>
      <c r="CA157" s="643"/>
      <c r="CB157" s="643"/>
      <c r="CC157" s="643"/>
      <c r="CD157" s="643"/>
      <c r="CE157" s="643"/>
      <c r="CF157" s="643"/>
      <c r="CG157" s="643"/>
      <c r="CH157" s="643"/>
      <c r="CI157" s="643"/>
      <c r="CJ157" s="643"/>
      <c r="CK157" s="643"/>
      <c r="CL157" s="643"/>
      <c r="CM157" s="643"/>
      <c r="CN157" s="643"/>
      <c r="CO157" s="643"/>
      <c r="CP157" s="643"/>
      <c r="CQ157" s="643"/>
      <c r="CR157" s="643"/>
      <c r="CS157" s="636" t="s">
        <v>1930</v>
      </c>
      <c r="CT157" s="636" t="s">
        <v>1931</v>
      </c>
      <c r="CU157" s="643"/>
      <c r="CV157" s="643"/>
      <c r="CW157" s="643"/>
      <c r="CX157" s="643"/>
      <c r="CY157" s="643"/>
      <c r="CZ157" s="643"/>
      <c r="DA157" s="643"/>
      <c r="DB157" s="643"/>
      <c r="DC157" s="636" t="s">
        <v>1932</v>
      </c>
      <c r="DD157" s="643"/>
      <c r="DE157" s="643"/>
    </row>
    <row r="158" spans="34:109" ht="15" hidden="1" customHeight="1">
      <c r="AH158" s="24"/>
      <c r="AI158" s="24"/>
      <c r="AJ158" s="24"/>
      <c r="AK158" s="24"/>
      <c r="AL158" s="630" t="str">
        <f t="shared" si="4"/>
        <v>Tecomatlán</v>
      </c>
      <c r="AM158" s="630">
        <f t="shared" si="5"/>
        <v>21155</v>
      </c>
      <c r="AO158" s="24"/>
      <c r="AP158" s="628">
        <v>156</v>
      </c>
      <c r="AQ158" s="642"/>
      <c r="AR158" s="642"/>
      <c r="AS158" s="642"/>
      <c r="AT158" s="642"/>
      <c r="AU158" s="642"/>
      <c r="AV158" s="642"/>
      <c r="AW158" s="642"/>
      <c r="AX158" s="642"/>
      <c r="AY158" s="642"/>
      <c r="AZ158" s="642"/>
      <c r="BA158" s="642"/>
      <c r="BB158" s="642"/>
      <c r="BC158" s="642"/>
      <c r="BD158" s="642"/>
      <c r="BE158" s="642"/>
      <c r="BF158" s="642"/>
      <c r="BG158" s="642"/>
      <c r="BH158" s="642"/>
      <c r="BI158" s="642"/>
      <c r="BJ158" s="634">
        <v>20155</v>
      </c>
      <c r="BK158" s="634">
        <v>21155</v>
      </c>
      <c r="BL158" s="642"/>
      <c r="BM158" s="642"/>
      <c r="BN158" s="642"/>
      <c r="BO158" s="642"/>
      <c r="BP158" s="642"/>
      <c r="BQ158" s="642"/>
      <c r="BR158" s="642"/>
      <c r="BS158" s="642"/>
      <c r="BT158" s="634">
        <v>30155</v>
      </c>
      <c r="BU158" s="642"/>
      <c r="BV158" s="642"/>
      <c r="BW158" s="24"/>
      <c r="BX158" s="24"/>
      <c r="BY158" s="24"/>
      <c r="BZ158" s="643"/>
      <c r="CA158" s="643"/>
      <c r="CB158" s="643"/>
      <c r="CC158" s="643"/>
      <c r="CD158" s="643"/>
      <c r="CE158" s="643"/>
      <c r="CF158" s="643"/>
      <c r="CG158" s="643"/>
      <c r="CH158" s="643"/>
      <c r="CI158" s="643"/>
      <c r="CJ158" s="643"/>
      <c r="CK158" s="643"/>
      <c r="CL158" s="643"/>
      <c r="CM158" s="643"/>
      <c r="CN158" s="643"/>
      <c r="CO158" s="643"/>
      <c r="CP158" s="643"/>
      <c r="CQ158" s="643"/>
      <c r="CR158" s="643"/>
      <c r="CS158" s="636" t="s">
        <v>1933</v>
      </c>
      <c r="CT158" s="636" t="s">
        <v>1934</v>
      </c>
      <c r="CU158" s="643"/>
      <c r="CV158" s="643"/>
      <c r="CW158" s="643"/>
      <c r="CX158" s="643"/>
      <c r="CY158" s="643"/>
      <c r="CZ158" s="643"/>
      <c r="DA158" s="643"/>
      <c r="DB158" s="643"/>
      <c r="DC158" s="636" t="s">
        <v>1935</v>
      </c>
      <c r="DD158" s="643"/>
      <c r="DE158" s="643"/>
    </row>
    <row r="159" spans="34:109" ht="15" hidden="1" customHeight="1">
      <c r="AH159" s="24"/>
      <c r="AI159" s="24"/>
      <c r="AJ159" s="24"/>
      <c r="AK159" s="24"/>
      <c r="AL159" s="630" t="str">
        <f t="shared" si="4"/>
        <v>Tehuacán</v>
      </c>
      <c r="AM159" s="630">
        <f t="shared" si="5"/>
        <v>21156</v>
      </c>
      <c r="AO159" s="24"/>
      <c r="AP159" s="628">
        <v>157</v>
      </c>
      <c r="AQ159" s="642"/>
      <c r="AR159" s="642"/>
      <c r="AS159" s="642"/>
      <c r="AT159" s="642"/>
      <c r="AU159" s="642"/>
      <c r="AV159" s="642"/>
      <c r="AW159" s="642"/>
      <c r="AX159" s="642"/>
      <c r="AY159" s="642"/>
      <c r="AZ159" s="642"/>
      <c r="BA159" s="642"/>
      <c r="BB159" s="642"/>
      <c r="BC159" s="642"/>
      <c r="BD159" s="642"/>
      <c r="BE159" s="642"/>
      <c r="BF159" s="642"/>
      <c r="BG159" s="642"/>
      <c r="BH159" s="642"/>
      <c r="BI159" s="642"/>
      <c r="BJ159" s="634">
        <v>20156</v>
      </c>
      <c r="BK159" s="634">
        <v>21156</v>
      </c>
      <c r="BL159" s="642"/>
      <c r="BM159" s="642"/>
      <c r="BN159" s="642"/>
      <c r="BO159" s="642"/>
      <c r="BP159" s="642"/>
      <c r="BQ159" s="642"/>
      <c r="BR159" s="642"/>
      <c r="BS159" s="642"/>
      <c r="BT159" s="634">
        <v>30156</v>
      </c>
      <c r="BU159" s="642"/>
      <c r="BV159" s="642"/>
      <c r="BW159" s="24"/>
      <c r="BX159" s="24"/>
      <c r="BY159" s="24"/>
      <c r="BZ159" s="643"/>
      <c r="CA159" s="643"/>
      <c r="CB159" s="643"/>
      <c r="CC159" s="643"/>
      <c r="CD159" s="643"/>
      <c r="CE159" s="643"/>
      <c r="CF159" s="643"/>
      <c r="CG159" s="643"/>
      <c r="CH159" s="643"/>
      <c r="CI159" s="643"/>
      <c r="CJ159" s="643"/>
      <c r="CK159" s="643"/>
      <c r="CL159" s="643"/>
      <c r="CM159" s="643"/>
      <c r="CN159" s="643"/>
      <c r="CO159" s="643"/>
      <c r="CP159" s="643"/>
      <c r="CQ159" s="643"/>
      <c r="CR159" s="643"/>
      <c r="CS159" s="636" t="s">
        <v>1936</v>
      </c>
      <c r="CT159" s="636" t="s">
        <v>1937</v>
      </c>
      <c r="CU159" s="643"/>
      <c r="CV159" s="643"/>
      <c r="CW159" s="643"/>
      <c r="CX159" s="643"/>
      <c r="CY159" s="643"/>
      <c r="CZ159" s="643"/>
      <c r="DA159" s="643"/>
      <c r="DB159" s="643"/>
      <c r="DC159" s="636" t="s">
        <v>1938</v>
      </c>
      <c r="DD159" s="643"/>
      <c r="DE159" s="643"/>
    </row>
    <row r="160" spans="34:109" ht="15" hidden="1" customHeight="1">
      <c r="AH160" s="24"/>
      <c r="AI160" s="24"/>
      <c r="AJ160" s="24"/>
      <c r="AK160" s="24"/>
      <c r="AL160" s="630" t="str">
        <f t="shared" si="4"/>
        <v>Tehuitzingo</v>
      </c>
      <c r="AM160" s="630">
        <f t="shared" si="5"/>
        <v>21157</v>
      </c>
      <c r="AO160" s="24"/>
      <c r="AP160" s="628">
        <v>158</v>
      </c>
      <c r="AQ160" s="642"/>
      <c r="AR160" s="642"/>
      <c r="AS160" s="642"/>
      <c r="AT160" s="642"/>
      <c r="AU160" s="642"/>
      <c r="AV160" s="642"/>
      <c r="AW160" s="642"/>
      <c r="AX160" s="642"/>
      <c r="AY160" s="642"/>
      <c r="AZ160" s="642"/>
      <c r="BA160" s="642"/>
      <c r="BB160" s="642"/>
      <c r="BC160" s="642"/>
      <c r="BD160" s="642"/>
      <c r="BE160" s="642"/>
      <c r="BF160" s="642"/>
      <c r="BG160" s="642"/>
      <c r="BH160" s="642"/>
      <c r="BI160" s="642"/>
      <c r="BJ160" s="634">
        <v>20157</v>
      </c>
      <c r="BK160" s="634">
        <v>21157</v>
      </c>
      <c r="BL160" s="642"/>
      <c r="BM160" s="642"/>
      <c r="BN160" s="642"/>
      <c r="BO160" s="642"/>
      <c r="BP160" s="642"/>
      <c r="BQ160" s="642"/>
      <c r="BR160" s="642"/>
      <c r="BS160" s="642"/>
      <c r="BT160" s="634">
        <v>30157</v>
      </c>
      <c r="BU160" s="642"/>
      <c r="BV160" s="642"/>
      <c r="BW160" s="24"/>
      <c r="BX160" s="24"/>
      <c r="BY160" s="24"/>
      <c r="BZ160" s="643"/>
      <c r="CA160" s="643"/>
      <c r="CB160" s="643"/>
      <c r="CC160" s="643"/>
      <c r="CD160" s="643"/>
      <c r="CE160" s="643"/>
      <c r="CF160" s="643"/>
      <c r="CG160" s="643"/>
      <c r="CH160" s="643"/>
      <c r="CI160" s="643"/>
      <c r="CJ160" s="643"/>
      <c r="CK160" s="643"/>
      <c r="CL160" s="643"/>
      <c r="CM160" s="643"/>
      <c r="CN160" s="643"/>
      <c r="CO160" s="643"/>
      <c r="CP160" s="643"/>
      <c r="CQ160" s="643"/>
      <c r="CR160" s="643"/>
      <c r="CS160" s="636" t="s">
        <v>1939</v>
      </c>
      <c r="CT160" s="636" t="s">
        <v>1940</v>
      </c>
      <c r="CU160" s="643"/>
      <c r="CV160" s="643"/>
      <c r="CW160" s="643"/>
      <c r="CX160" s="643"/>
      <c r="CY160" s="643"/>
      <c r="CZ160" s="643"/>
      <c r="DA160" s="643"/>
      <c r="DB160" s="643"/>
      <c r="DC160" s="636" t="s">
        <v>1941</v>
      </c>
      <c r="DD160" s="643"/>
      <c r="DE160" s="643"/>
    </row>
    <row r="161" spans="34:109" ht="15" hidden="1" customHeight="1">
      <c r="AH161" s="24"/>
      <c r="AI161" s="24"/>
      <c r="AJ161" s="24"/>
      <c r="AK161" s="24"/>
      <c r="AL161" s="630" t="str">
        <f t="shared" si="4"/>
        <v>Tenampulco</v>
      </c>
      <c r="AM161" s="630">
        <f t="shared" si="5"/>
        <v>21158</v>
      </c>
      <c r="AO161" s="24"/>
      <c r="AP161" s="628">
        <v>159</v>
      </c>
      <c r="AQ161" s="642"/>
      <c r="AR161" s="642"/>
      <c r="AS161" s="642"/>
      <c r="AT161" s="642"/>
      <c r="AU161" s="642"/>
      <c r="AV161" s="642"/>
      <c r="AW161" s="642"/>
      <c r="AX161" s="642"/>
      <c r="AY161" s="642"/>
      <c r="AZ161" s="642"/>
      <c r="BA161" s="642"/>
      <c r="BB161" s="642"/>
      <c r="BC161" s="642"/>
      <c r="BD161" s="642"/>
      <c r="BE161" s="642"/>
      <c r="BF161" s="642"/>
      <c r="BG161" s="642"/>
      <c r="BH161" s="642"/>
      <c r="BI161" s="642"/>
      <c r="BJ161" s="634">
        <v>20158</v>
      </c>
      <c r="BK161" s="634">
        <v>21158</v>
      </c>
      <c r="BL161" s="642"/>
      <c r="BM161" s="642"/>
      <c r="BN161" s="642"/>
      <c r="BO161" s="642"/>
      <c r="BP161" s="642"/>
      <c r="BQ161" s="642"/>
      <c r="BR161" s="642"/>
      <c r="BS161" s="642"/>
      <c r="BT161" s="634">
        <v>30158</v>
      </c>
      <c r="BU161" s="642"/>
      <c r="BV161" s="642"/>
      <c r="BW161" s="24"/>
      <c r="BX161" s="24"/>
      <c r="BY161" s="24"/>
      <c r="BZ161" s="643"/>
      <c r="CA161" s="643"/>
      <c r="CB161" s="643"/>
      <c r="CC161" s="643"/>
      <c r="CD161" s="643"/>
      <c r="CE161" s="643"/>
      <c r="CF161" s="643"/>
      <c r="CG161" s="643"/>
      <c r="CH161" s="643"/>
      <c r="CI161" s="643"/>
      <c r="CJ161" s="643"/>
      <c r="CK161" s="643"/>
      <c r="CL161" s="643"/>
      <c r="CM161" s="643"/>
      <c r="CN161" s="643"/>
      <c r="CO161" s="643"/>
      <c r="CP161" s="643"/>
      <c r="CQ161" s="643"/>
      <c r="CR161" s="643"/>
      <c r="CS161" s="636" t="s">
        <v>1942</v>
      </c>
      <c r="CT161" s="636" t="s">
        <v>1943</v>
      </c>
      <c r="CU161" s="643"/>
      <c r="CV161" s="643"/>
      <c r="CW161" s="643"/>
      <c r="CX161" s="643"/>
      <c r="CY161" s="643"/>
      <c r="CZ161" s="643"/>
      <c r="DA161" s="643"/>
      <c r="DB161" s="643"/>
      <c r="DC161" s="636" t="s">
        <v>1944</v>
      </c>
      <c r="DD161" s="643"/>
      <c r="DE161" s="643"/>
    </row>
    <row r="162" spans="34:109" ht="15" hidden="1" customHeight="1">
      <c r="AH162" s="24"/>
      <c r="AI162" s="24"/>
      <c r="AJ162" s="24"/>
      <c r="AK162" s="24"/>
      <c r="AL162" s="630" t="str">
        <f t="shared" si="4"/>
        <v>Teopantlán</v>
      </c>
      <c r="AM162" s="630">
        <f t="shared" si="5"/>
        <v>21159</v>
      </c>
      <c r="AO162" s="24"/>
      <c r="AP162" s="628">
        <v>160</v>
      </c>
      <c r="AQ162" s="642"/>
      <c r="AR162" s="642"/>
      <c r="AS162" s="642"/>
      <c r="AT162" s="642"/>
      <c r="AU162" s="642"/>
      <c r="AV162" s="642"/>
      <c r="AW162" s="642"/>
      <c r="AX162" s="642"/>
      <c r="AY162" s="642"/>
      <c r="AZ162" s="642"/>
      <c r="BA162" s="642"/>
      <c r="BB162" s="642"/>
      <c r="BC162" s="642"/>
      <c r="BD162" s="642"/>
      <c r="BE162" s="642"/>
      <c r="BF162" s="642"/>
      <c r="BG162" s="642"/>
      <c r="BH162" s="642"/>
      <c r="BI162" s="642"/>
      <c r="BJ162" s="634">
        <v>20159</v>
      </c>
      <c r="BK162" s="634">
        <v>21159</v>
      </c>
      <c r="BL162" s="642"/>
      <c r="BM162" s="642"/>
      <c r="BN162" s="642"/>
      <c r="BO162" s="642"/>
      <c r="BP162" s="642"/>
      <c r="BQ162" s="642"/>
      <c r="BR162" s="642"/>
      <c r="BS162" s="642"/>
      <c r="BT162" s="634">
        <v>30159</v>
      </c>
      <c r="BU162" s="642"/>
      <c r="BV162" s="642"/>
      <c r="BW162" s="24"/>
      <c r="BX162" s="24"/>
      <c r="BY162" s="24"/>
      <c r="BZ162" s="643"/>
      <c r="CA162" s="643"/>
      <c r="CB162" s="643"/>
      <c r="CC162" s="643"/>
      <c r="CD162" s="643"/>
      <c r="CE162" s="643"/>
      <c r="CF162" s="643"/>
      <c r="CG162" s="643"/>
      <c r="CH162" s="643"/>
      <c r="CI162" s="643"/>
      <c r="CJ162" s="643"/>
      <c r="CK162" s="643"/>
      <c r="CL162" s="643"/>
      <c r="CM162" s="643"/>
      <c r="CN162" s="643"/>
      <c r="CO162" s="643"/>
      <c r="CP162" s="643"/>
      <c r="CQ162" s="643"/>
      <c r="CR162" s="643"/>
      <c r="CS162" s="636" t="s">
        <v>1945</v>
      </c>
      <c r="CT162" s="636" t="s">
        <v>1946</v>
      </c>
      <c r="CU162" s="643"/>
      <c r="CV162" s="643"/>
      <c r="CW162" s="643"/>
      <c r="CX162" s="643"/>
      <c r="CY162" s="643"/>
      <c r="CZ162" s="643"/>
      <c r="DA162" s="643"/>
      <c r="DB162" s="643"/>
      <c r="DC162" s="636" t="s">
        <v>1947</v>
      </c>
      <c r="DD162" s="643"/>
      <c r="DE162" s="643"/>
    </row>
    <row r="163" spans="34:109" ht="15" hidden="1" customHeight="1">
      <c r="AH163" s="24"/>
      <c r="AI163" s="24"/>
      <c r="AJ163" s="24"/>
      <c r="AK163" s="24"/>
      <c r="AL163" s="630" t="str">
        <f t="shared" si="4"/>
        <v>Teotlalco</v>
      </c>
      <c r="AM163" s="630">
        <f t="shared" si="5"/>
        <v>21160</v>
      </c>
      <c r="AO163" s="24"/>
      <c r="AP163" s="628">
        <v>161</v>
      </c>
      <c r="AQ163" s="642"/>
      <c r="AR163" s="642"/>
      <c r="AS163" s="642"/>
      <c r="AT163" s="642"/>
      <c r="AU163" s="642"/>
      <c r="AV163" s="642"/>
      <c r="AW163" s="642"/>
      <c r="AX163" s="642"/>
      <c r="AY163" s="642"/>
      <c r="AZ163" s="642"/>
      <c r="BA163" s="642"/>
      <c r="BB163" s="642"/>
      <c r="BC163" s="642"/>
      <c r="BD163" s="642"/>
      <c r="BE163" s="642"/>
      <c r="BF163" s="642"/>
      <c r="BG163" s="642"/>
      <c r="BH163" s="642"/>
      <c r="BI163" s="642"/>
      <c r="BJ163" s="634">
        <v>20160</v>
      </c>
      <c r="BK163" s="634">
        <v>21160</v>
      </c>
      <c r="BL163" s="642"/>
      <c r="BM163" s="642"/>
      <c r="BN163" s="642"/>
      <c r="BO163" s="642"/>
      <c r="BP163" s="642"/>
      <c r="BQ163" s="642"/>
      <c r="BR163" s="642"/>
      <c r="BS163" s="642"/>
      <c r="BT163" s="634">
        <v>30160</v>
      </c>
      <c r="BU163" s="642"/>
      <c r="BV163" s="642"/>
      <c r="BW163" s="24"/>
      <c r="BX163" s="24"/>
      <c r="BY163" s="24"/>
      <c r="BZ163" s="643"/>
      <c r="CA163" s="643"/>
      <c r="CB163" s="643"/>
      <c r="CC163" s="643"/>
      <c r="CD163" s="643"/>
      <c r="CE163" s="643"/>
      <c r="CF163" s="643"/>
      <c r="CG163" s="643"/>
      <c r="CH163" s="643"/>
      <c r="CI163" s="643"/>
      <c r="CJ163" s="643"/>
      <c r="CK163" s="643"/>
      <c r="CL163" s="643"/>
      <c r="CM163" s="643"/>
      <c r="CN163" s="643"/>
      <c r="CO163" s="643"/>
      <c r="CP163" s="643"/>
      <c r="CQ163" s="643"/>
      <c r="CR163" s="643"/>
      <c r="CS163" s="636" t="s">
        <v>1948</v>
      </c>
      <c r="CT163" s="636" t="s">
        <v>1949</v>
      </c>
      <c r="CU163" s="643"/>
      <c r="CV163" s="643"/>
      <c r="CW163" s="643"/>
      <c r="CX163" s="643"/>
      <c r="CY163" s="643"/>
      <c r="CZ163" s="643"/>
      <c r="DA163" s="643"/>
      <c r="DB163" s="643"/>
      <c r="DC163" s="636" t="s">
        <v>1950</v>
      </c>
      <c r="DD163" s="643"/>
      <c r="DE163" s="643"/>
    </row>
    <row r="164" spans="34:109" ht="15" hidden="1" customHeight="1">
      <c r="AH164" s="24"/>
      <c r="AI164" s="24"/>
      <c r="AJ164" s="24"/>
      <c r="AK164" s="24"/>
      <c r="AL164" s="630" t="str">
        <f t="shared" si="4"/>
        <v>Tepanco de López</v>
      </c>
      <c r="AM164" s="630">
        <f t="shared" si="5"/>
        <v>21161</v>
      </c>
      <c r="AO164" s="24"/>
      <c r="AP164" s="628">
        <v>162</v>
      </c>
      <c r="AQ164" s="642"/>
      <c r="AR164" s="642"/>
      <c r="AS164" s="642"/>
      <c r="AT164" s="642"/>
      <c r="AU164" s="642"/>
      <c r="AV164" s="642"/>
      <c r="AW164" s="642"/>
      <c r="AX164" s="642"/>
      <c r="AY164" s="642"/>
      <c r="AZ164" s="642"/>
      <c r="BA164" s="642"/>
      <c r="BB164" s="642"/>
      <c r="BC164" s="642"/>
      <c r="BD164" s="642"/>
      <c r="BE164" s="642"/>
      <c r="BF164" s="642"/>
      <c r="BG164" s="642"/>
      <c r="BH164" s="642"/>
      <c r="BI164" s="642"/>
      <c r="BJ164" s="634">
        <v>20161</v>
      </c>
      <c r="BK164" s="634">
        <v>21161</v>
      </c>
      <c r="BL164" s="642"/>
      <c r="BM164" s="642"/>
      <c r="BN164" s="642"/>
      <c r="BO164" s="642"/>
      <c r="BP164" s="642"/>
      <c r="BQ164" s="642"/>
      <c r="BR164" s="642"/>
      <c r="BS164" s="642"/>
      <c r="BT164" s="634">
        <v>30161</v>
      </c>
      <c r="BU164" s="642"/>
      <c r="BV164" s="642"/>
      <c r="BW164" s="24"/>
      <c r="BX164" s="24"/>
      <c r="BY164" s="24"/>
      <c r="BZ164" s="643"/>
      <c r="CA164" s="643"/>
      <c r="CB164" s="643"/>
      <c r="CC164" s="643"/>
      <c r="CD164" s="643"/>
      <c r="CE164" s="643"/>
      <c r="CF164" s="643"/>
      <c r="CG164" s="643"/>
      <c r="CH164" s="643"/>
      <c r="CI164" s="643"/>
      <c r="CJ164" s="643"/>
      <c r="CK164" s="643"/>
      <c r="CL164" s="643"/>
      <c r="CM164" s="643"/>
      <c r="CN164" s="643"/>
      <c r="CO164" s="643"/>
      <c r="CP164" s="643"/>
      <c r="CQ164" s="643"/>
      <c r="CR164" s="643"/>
      <c r="CS164" s="636" t="s">
        <v>1951</v>
      </c>
      <c r="CT164" s="636" t="s">
        <v>1952</v>
      </c>
      <c r="CU164" s="643"/>
      <c r="CV164" s="643"/>
      <c r="CW164" s="643"/>
      <c r="CX164" s="643"/>
      <c r="CY164" s="643"/>
      <c r="CZ164" s="643"/>
      <c r="DA164" s="643"/>
      <c r="DB164" s="643"/>
      <c r="DC164" s="636" t="s">
        <v>1953</v>
      </c>
      <c r="DD164" s="643"/>
      <c r="DE164" s="643"/>
    </row>
    <row r="165" spans="34:109" ht="15" hidden="1" customHeight="1">
      <c r="AH165" s="24"/>
      <c r="AI165" s="24"/>
      <c r="AJ165" s="24"/>
      <c r="AK165" s="24"/>
      <c r="AL165" s="630" t="str">
        <f t="shared" si="4"/>
        <v>Tepango de Rodríguez</v>
      </c>
      <c r="AM165" s="630">
        <f t="shared" si="5"/>
        <v>21162</v>
      </c>
      <c r="AO165" s="24"/>
      <c r="AP165" s="628">
        <v>163</v>
      </c>
      <c r="AQ165" s="642"/>
      <c r="AR165" s="642"/>
      <c r="AS165" s="642"/>
      <c r="AT165" s="642"/>
      <c r="AU165" s="642"/>
      <c r="AV165" s="642"/>
      <c r="AW165" s="642"/>
      <c r="AX165" s="642"/>
      <c r="AY165" s="642"/>
      <c r="AZ165" s="642"/>
      <c r="BA165" s="642"/>
      <c r="BB165" s="642"/>
      <c r="BC165" s="642"/>
      <c r="BD165" s="642"/>
      <c r="BE165" s="642"/>
      <c r="BF165" s="642"/>
      <c r="BG165" s="642"/>
      <c r="BH165" s="642"/>
      <c r="BI165" s="642"/>
      <c r="BJ165" s="634">
        <v>20162</v>
      </c>
      <c r="BK165" s="634">
        <v>21162</v>
      </c>
      <c r="BL165" s="642"/>
      <c r="BM165" s="642"/>
      <c r="BN165" s="642"/>
      <c r="BO165" s="642"/>
      <c r="BP165" s="642"/>
      <c r="BQ165" s="642"/>
      <c r="BR165" s="642"/>
      <c r="BS165" s="642"/>
      <c r="BT165" s="634">
        <v>30162</v>
      </c>
      <c r="BU165" s="642"/>
      <c r="BV165" s="642"/>
      <c r="BW165" s="24"/>
      <c r="BX165" s="24"/>
      <c r="BY165" s="24"/>
      <c r="BZ165" s="643"/>
      <c r="CA165" s="643"/>
      <c r="CB165" s="643"/>
      <c r="CC165" s="643"/>
      <c r="CD165" s="643"/>
      <c r="CE165" s="643"/>
      <c r="CF165" s="643"/>
      <c r="CG165" s="643"/>
      <c r="CH165" s="643"/>
      <c r="CI165" s="643"/>
      <c r="CJ165" s="643"/>
      <c r="CK165" s="643"/>
      <c r="CL165" s="643"/>
      <c r="CM165" s="643"/>
      <c r="CN165" s="643"/>
      <c r="CO165" s="643"/>
      <c r="CP165" s="643"/>
      <c r="CQ165" s="643"/>
      <c r="CR165" s="643"/>
      <c r="CS165" s="636" t="s">
        <v>1954</v>
      </c>
      <c r="CT165" s="636" t="s">
        <v>1955</v>
      </c>
      <c r="CU165" s="643"/>
      <c r="CV165" s="643"/>
      <c r="CW165" s="643"/>
      <c r="CX165" s="643"/>
      <c r="CY165" s="643"/>
      <c r="CZ165" s="643"/>
      <c r="DA165" s="643"/>
      <c r="DB165" s="643"/>
      <c r="DC165" s="636" t="s">
        <v>1956</v>
      </c>
      <c r="DD165" s="643"/>
      <c r="DE165" s="643"/>
    </row>
    <row r="166" spans="34:109" ht="15" hidden="1" customHeight="1">
      <c r="AH166" s="24"/>
      <c r="AI166" s="24"/>
      <c r="AJ166" s="24"/>
      <c r="AK166" s="24"/>
      <c r="AL166" s="630" t="str">
        <f t="shared" si="4"/>
        <v>Tepatlaxco de Hidalgo</v>
      </c>
      <c r="AM166" s="630">
        <f t="shared" si="5"/>
        <v>21163</v>
      </c>
      <c r="AO166" s="24"/>
      <c r="AP166" s="628">
        <v>164</v>
      </c>
      <c r="AQ166" s="642"/>
      <c r="AR166" s="642"/>
      <c r="AS166" s="642"/>
      <c r="AT166" s="642"/>
      <c r="AU166" s="642"/>
      <c r="AV166" s="642"/>
      <c r="AW166" s="642"/>
      <c r="AX166" s="642"/>
      <c r="AY166" s="642"/>
      <c r="AZ166" s="642"/>
      <c r="BA166" s="642"/>
      <c r="BB166" s="642"/>
      <c r="BC166" s="642"/>
      <c r="BD166" s="642"/>
      <c r="BE166" s="642"/>
      <c r="BF166" s="642"/>
      <c r="BG166" s="642"/>
      <c r="BH166" s="642"/>
      <c r="BI166" s="642"/>
      <c r="BJ166" s="634">
        <v>20163</v>
      </c>
      <c r="BK166" s="634">
        <v>21163</v>
      </c>
      <c r="BL166" s="642"/>
      <c r="BM166" s="642"/>
      <c r="BN166" s="642"/>
      <c r="BO166" s="642"/>
      <c r="BP166" s="642"/>
      <c r="BQ166" s="642"/>
      <c r="BR166" s="642"/>
      <c r="BS166" s="642"/>
      <c r="BT166" s="634">
        <v>30163</v>
      </c>
      <c r="BU166" s="642"/>
      <c r="BV166" s="642"/>
      <c r="BW166" s="24"/>
      <c r="BX166" s="24"/>
      <c r="BY166" s="24"/>
      <c r="BZ166" s="643"/>
      <c r="CA166" s="643"/>
      <c r="CB166" s="643"/>
      <c r="CC166" s="643"/>
      <c r="CD166" s="643"/>
      <c r="CE166" s="643"/>
      <c r="CF166" s="643"/>
      <c r="CG166" s="643"/>
      <c r="CH166" s="643"/>
      <c r="CI166" s="643"/>
      <c r="CJ166" s="643"/>
      <c r="CK166" s="643"/>
      <c r="CL166" s="643"/>
      <c r="CM166" s="643"/>
      <c r="CN166" s="643"/>
      <c r="CO166" s="643"/>
      <c r="CP166" s="643"/>
      <c r="CQ166" s="643"/>
      <c r="CR166" s="643"/>
      <c r="CS166" s="636" t="s">
        <v>1957</v>
      </c>
      <c r="CT166" s="636" t="s">
        <v>1958</v>
      </c>
      <c r="CU166" s="643"/>
      <c r="CV166" s="643"/>
      <c r="CW166" s="643"/>
      <c r="CX166" s="643"/>
      <c r="CY166" s="643"/>
      <c r="CZ166" s="643"/>
      <c r="DA166" s="643"/>
      <c r="DB166" s="643"/>
      <c r="DC166" s="636" t="s">
        <v>1959</v>
      </c>
      <c r="DD166" s="643"/>
      <c r="DE166" s="643"/>
    </row>
    <row r="167" spans="34:109" ht="15" hidden="1" customHeight="1">
      <c r="AH167" s="24"/>
      <c r="AI167" s="24"/>
      <c r="AJ167" s="24"/>
      <c r="AK167" s="24"/>
      <c r="AL167" s="630" t="str">
        <f t="shared" si="4"/>
        <v>Tepeaca</v>
      </c>
      <c r="AM167" s="630">
        <f t="shared" si="5"/>
        <v>21164</v>
      </c>
      <c r="AO167" s="24"/>
      <c r="AP167" s="628">
        <v>165</v>
      </c>
      <c r="AQ167" s="642"/>
      <c r="AR167" s="642"/>
      <c r="AS167" s="642"/>
      <c r="AT167" s="642"/>
      <c r="AU167" s="642"/>
      <c r="AV167" s="642"/>
      <c r="AW167" s="642"/>
      <c r="AX167" s="642"/>
      <c r="AY167" s="642"/>
      <c r="AZ167" s="642"/>
      <c r="BA167" s="642"/>
      <c r="BB167" s="642"/>
      <c r="BC167" s="642"/>
      <c r="BD167" s="642"/>
      <c r="BE167" s="642"/>
      <c r="BF167" s="642"/>
      <c r="BG167" s="642"/>
      <c r="BH167" s="642"/>
      <c r="BI167" s="642"/>
      <c r="BJ167" s="634">
        <v>20164</v>
      </c>
      <c r="BK167" s="634">
        <v>21164</v>
      </c>
      <c r="BL167" s="642"/>
      <c r="BM167" s="642"/>
      <c r="BN167" s="642"/>
      <c r="BO167" s="642"/>
      <c r="BP167" s="642"/>
      <c r="BQ167" s="642"/>
      <c r="BR167" s="642"/>
      <c r="BS167" s="642"/>
      <c r="BT167" s="634">
        <v>30164</v>
      </c>
      <c r="BU167" s="642"/>
      <c r="BV167" s="642"/>
      <c r="BW167" s="24"/>
      <c r="BX167" s="24"/>
      <c r="BY167" s="24"/>
      <c r="BZ167" s="643"/>
      <c r="CA167" s="643"/>
      <c r="CB167" s="643"/>
      <c r="CC167" s="643"/>
      <c r="CD167" s="643"/>
      <c r="CE167" s="643"/>
      <c r="CF167" s="643"/>
      <c r="CG167" s="643"/>
      <c r="CH167" s="643"/>
      <c r="CI167" s="643"/>
      <c r="CJ167" s="643"/>
      <c r="CK167" s="643"/>
      <c r="CL167" s="643"/>
      <c r="CM167" s="643"/>
      <c r="CN167" s="643"/>
      <c r="CO167" s="643"/>
      <c r="CP167" s="643"/>
      <c r="CQ167" s="643"/>
      <c r="CR167" s="643"/>
      <c r="CS167" s="636" t="s">
        <v>1960</v>
      </c>
      <c r="CT167" s="636" t="s">
        <v>1961</v>
      </c>
      <c r="CU167" s="643"/>
      <c r="CV167" s="643"/>
      <c r="CW167" s="643"/>
      <c r="CX167" s="643"/>
      <c r="CY167" s="643"/>
      <c r="CZ167" s="643"/>
      <c r="DA167" s="643"/>
      <c r="DB167" s="643"/>
      <c r="DC167" s="636" t="s">
        <v>1962</v>
      </c>
      <c r="DD167" s="643"/>
      <c r="DE167" s="643"/>
    </row>
    <row r="168" spans="34:109" ht="15" hidden="1" customHeight="1">
      <c r="AH168" s="24"/>
      <c r="AI168" s="24"/>
      <c r="AJ168" s="24"/>
      <c r="AK168" s="24"/>
      <c r="AL168" s="630" t="str">
        <f t="shared" si="4"/>
        <v>Tepemaxalco</v>
      </c>
      <c r="AM168" s="630">
        <f t="shared" si="5"/>
        <v>21165</v>
      </c>
      <c r="AO168" s="24"/>
      <c r="AP168" s="628">
        <v>166</v>
      </c>
      <c r="AQ168" s="642"/>
      <c r="AR168" s="642"/>
      <c r="AS168" s="642"/>
      <c r="AT168" s="642"/>
      <c r="AU168" s="642"/>
      <c r="AV168" s="642"/>
      <c r="AW168" s="642"/>
      <c r="AX168" s="642"/>
      <c r="AY168" s="642"/>
      <c r="AZ168" s="642"/>
      <c r="BA168" s="642"/>
      <c r="BB168" s="642"/>
      <c r="BC168" s="642"/>
      <c r="BD168" s="642"/>
      <c r="BE168" s="642"/>
      <c r="BF168" s="642"/>
      <c r="BG168" s="642"/>
      <c r="BH168" s="642"/>
      <c r="BI168" s="642"/>
      <c r="BJ168" s="634">
        <v>20165</v>
      </c>
      <c r="BK168" s="634">
        <v>21165</v>
      </c>
      <c r="BL168" s="642"/>
      <c r="BM168" s="642"/>
      <c r="BN168" s="642"/>
      <c r="BO168" s="642"/>
      <c r="BP168" s="642"/>
      <c r="BQ168" s="642"/>
      <c r="BR168" s="642"/>
      <c r="BS168" s="642"/>
      <c r="BT168" s="634">
        <v>30165</v>
      </c>
      <c r="BU168" s="642"/>
      <c r="BV168" s="642"/>
      <c r="BW168" s="24"/>
      <c r="BX168" s="24"/>
      <c r="BY168" s="24"/>
      <c r="BZ168" s="643"/>
      <c r="CA168" s="643"/>
      <c r="CB168" s="643"/>
      <c r="CC168" s="643"/>
      <c r="CD168" s="643"/>
      <c r="CE168" s="643"/>
      <c r="CF168" s="643"/>
      <c r="CG168" s="643"/>
      <c r="CH168" s="643"/>
      <c r="CI168" s="643"/>
      <c r="CJ168" s="643"/>
      <c r="CK168" s="643"/>
      <c r="CL168" s="643"/>
      <c r="CM168" s="643"/>
      <c r="CN168" s="643"/>
      <c r="CO168" s="643"/>
      <c r="CP168" s="643"/>
      <c r="CQ168" s="643"/>
      <c r="CR168" s="643"/>
      <c r="CS168" s="636" t="s">
        <v>1963</v>
      </c>
      <c r="CT168" s="636" t="s">
        <v>1964</v>
      </c>
      <c r="CU168" s="643"/>
      <c r="CV168" s="643"/>
      <c r="CW168" s="643"/>
      <c r="CX168" s="643"/>
      <c r="CY168" s="643"/>
      <c r="CZ168" s="643"/>
      <c r="DA168" s="643"/>
      <c r="DB168" s="643"/>
      <c r="DC168" s="636" t="s">
        <v>1965</v>
      </c>
      <c r="DD168" s="643"/>
      <c r="DE168" s="643"/>
    </row>
    <row r="169" spans="34:109" ht="15" hidden="1" customHeight="1">
      <c r="AH169" s="24"/>
      <c r="AI169" s="24"/>
      <c r="AJ169" s="24"/>
      <c r="AK169" s="24"/>
      <c r="AL169" s="630" t="str">
        <f t="shared" si="4"/>
        <v>Tepeojuma</v>
      </c>
      <c r="AM169" s="630">
        <f t="shared" si="5"/>
        <v>21166</v>
      </c>
      <c r="AO169" s="24"/>
      <c r="AP169" s="628">
        <v>167</v>
      </c>
      <c r="AQ169" s="642"/>
      <c r="AR169" s="642"/>
      <c r="AS169" s="642"/>
      <c r="AT169" s="642"/>
      <c r="AU169" s="642"/>
      <c r="AV169" s="642"/>
      <c r="AW169" s="642"/>
      <c r="AX169" s="642"/>
      <c r="AY169" s="642"/>
      <c r="AZ169" s="642"/>
      <c r="BA169" s="642"/>
      <c r="BB169" s="642"/>
      <c r="BC169" s="642"/>
      <c r="BD169" s="642"/>
      <c r="BE169" s="642"/>
      <c r="BF169" s="642"/>
      <c r="BG169" s="642"/>
      <c r="BH169" s="642"/>
      <c r="BI169" s="642"/>
      <c r="BJ169" s="634">
        <v>20166</v>
      </c>
      <c r="BK169" s="634">
        <v>21166</v>
      </c>
      <c r="BL169" s="642"/>
      <c r="BM169" s="642"/>
      <c r="BN169" s="642"/>
      <c r="BO169" s="642"/>
      <c r="BP169" s="642"/>
      <c r="BQ169" s="642"/>
      <c r="BR169" s="642"/>
      <c r="BS169" s="642"/>
      <c r="BT169" s="634">
        <v>30166</v>
      </c>
      <c r="BU169" s="642"/>
      <c r="BV169" s="642"/>
      <c r="BW169" s="24"/>
      <c r="BX169" s="24"/>
      <c r="BY169" s="24"/>
      <c r="BZ169" s="643"/>
      <c r="CA169" s="643"/>
      <c r="CB169" s="643"/>
      <c r="CC169" s="643"/>
      <c r="CD169" s="643"/>
      <c r="CE169" s="643"/>
      <c r="CF169" s="643"/>
      <c r="CG169" s="643"/>
      <c r="CH169" s="643"/>
      <c r="CI169" s="643"/>
      <c r="CJ169" s="643"/>
      <c r="CK169" s="643"/>
      <c r="CL169" s="643"/>
      <c r="CM169" s="643"/>
      <c r="CN169" s="643"/>
      <c r="CO169" s="643"/>
      <c r="CP169" s="643"/>
      <c r="CQ169" s="643"/>
      <c r="CR169" s="643"/>
      <c r="CS169" s="636" t="s">
        <v>1966</v>
      </c>
      <c r="CT169" s="636" t="s">
        <v>1967</v>
      </c>
      <c r="CU169" s="643"/>
      <c r="CV169" s="643"/>
      <c r="CW169" s="643"/>
      <c r="CX169" s="643"/>
      <c r="CY169" s="643"/>
      <c r="CZ169" s="643"/>
      <c r="DA169" s="643"/>
      <c r="DB169" s="643"/>
      <c r="DC169" s="636" t="s">
        <v>1968</v>
      </c>
      <c r="DD169" s="643"/>
      <c r="DE169" s="643"/>
    </row>
    <row r="170" spans="34:109" ht="15" hidden="1" customHeight="1">
      <c r="AH170" s="24"/>
      <c r="AI170" s="24"/>
      <c r="AJ170" s="24"/>
      <c r="AK170" s="24"/>
      <c r="AL170" s="630" t="str">
        <f t="shared" si="4"/>
        <v>Tepetzintla</v>
      </c>
      <c r="AM170" s="630">
        <f t="shared" si="5"/>
        <v>21167</v>
      </c>
      <c r="AO170" s="24"/>
      <c r="AP170" s="628">
        <v>168</v>
      </c>
      <c r="AQ170" s="642"/>
      <c r="AR170" s="642"/>
      <c r="AS170" s="642"/>
      <c r="AT170" s="642"/>
      <c r="AU170" s="642"/>
      <c r="AV170" s="642"/>
      <c r="AW170" s="642"/>
      <c r="AX170" s="642"/>
      <c r="AY170" s="642"/>
      <c r="AZ170" s="642"/>
      <c r="BA170" s="642"/>
      <c r="BB170" s="642"/>
      <c r="BC170" s="642"/>
      <c r="BD170" s="642"/>
      <c r="BE170" s="642"/>
      <c r="BF170" s="642"/>
      <c r="BG170" s="642"/>
      <c r="BH170" s="642"/>
      <c r="BI170" s="642"/>
      <c r="BJ170" s="634">
        <v>20167</v>
      </c>
      <c r="BK170" s="634">
        <v>21167</v>
      </c>
      <c r="BL170" s="642"/>
      <c r="BM170" s="642"/>
      <c r="BN170" s="642"/>
      <c r="BO170" s="642"/>
      <c r="BP170" s="642"/>
      <c r="BQ170" s="642"/>
      <c r="BR170" s="642"/>
      <c r="BS170" s="642"/>
      <c r="BT170" s="634">
        <v>30167</v>
      </c>
      <c r="BU170" s="642"/>
      <c r="BV170" s="642"/>
      <c r="BW170" s="24"/>
      <c r="BX170" s="24"/>
      <c r="BY170" s="24"/>
      <c r="BZ170" s="643"/>
      <c r="CA170" s="643"/>
      <c r="CB170" s="643"/>
      <c r="CC170" s="643"/>
      <c r="CD170" s="643"/>
      <c r="CE170" s="643"/>
      <c r="CF170" s="643"/>
      <c r="CG170" s="643"/>
      <c r="CH170" s="643"/>
      <c r="CI170" s="643"/>
      <c r="CJ170" s="643"/>
      <c r="CK170" s="643"/>
      <c r="CL170" s="643"/>
      <c r="CM170" s="643"/>
      <c r="CN170" s="643"/>
      <c r="CO170" s="643"/>
      <c r="CP170" s="643"/>
      <c r="CQ170" s="643"/>
      <c r="CR170" s="643"/>
      <c r="CS170" s="636" t="s">
        <v>1969</v>
      </c>
      <c r="CT170" s="636" t="s">
        <v>1970</v>
      </c>
      <c r="CU170" s="643"/>
      <c r="CV170" s="643"/>
      <c r="CW170" s="643"/>
      <c r="CX170" s="643"/>
      <c r="CY170" s="643"/>
      <c r="CZ170" s="643"/>
      <c r="DA170" s="643"/>
      <c r="DB170" s="643"/>
      <c r="DC170" s="636" t="s">
        <v>1970</v>
      </c>
      <c r="DD170" s="643"/>
      <c r="DE170" s="643"/>
    </row>
    <row r="171" spans="34:109" ht="15" hidden="1" customHeight="1">
      <c r="AH171" s="24"/>
      <c r="AI171" s="24"/>
      <c r="AJ171" s="24"/>
      <c r="AK171" s="24"/>
      <c r="AL171" s="630" t="str">
        <f t="shared" si="4"/>
        <v>Tepexco</v>
      </c>
      <c r="AM171" s="630">
        <f t="shared" si="5"/>
        <v>21168</v>
      </c>
      <c r="AO171" s="24"/>
      <c r="AP171" s="628">
        <v>169</v>
      </c>
      <c r="AQ171" s="642"/>
      <c r="AR171" s="642"/>
      <c r="AS171" s="642"/>
      <c r="AT171" s="642"/>
      <c r="AU171" s="642"/>
      <c r="AV171" s="642"/>
      <c r="AW171" s="642"/>
      <c r="AX171" s="642"/>
      <c r="AY171" s="642"/>
      <c r="AZ171" s="642"/>
      <c r="BA171" s="642"/>
      <c r="BB171" s="642"/>
      <c r="BC171" s="642"/>
      <c r="BD171" s="642"/>
      <c r="BE171" s="642"/>
      <c r="BF171" s="642"/>
      <c r="BG171" s="642"/>
      <c r="BH171" s="642"/>
      <c r="BI171" s="642"/>
      <c r="BJ171" s="634">
        <v>20168</v>
      </c>
      <c r="BK171" s="634">
        <v>21168</v>
      </c>
      <c r="BL171" s="642"/>
      <c r="BM171" s="642"/>
      <c r="BN171" s="642"/>
      <c r="BO171" s="642"/>
      <c r="BP171" s="642"/>
      <c r="BQ171" s="642"/>
      <c r="BR171" s="642"/>
      <c r="BS171" s="642"/>
      <c r="BT171" s="634">
        <v>30168</v>
      </c>
      <c r="BU171" s="642"/>
      <c r="BV171" s="642"/>
      <c r="BW171" s="24"/>
      <c r="BX171" s="24"/>
      <c r="BY171" s="24"/>
      <c r="BZ171" s="643"/>
      <c r="CA171" s="643"/>
      <c r="CB171" s="643"/>
      <c r="CC171" s="643"/>
      <c r="CD171" s="643"/>
      <c r="CE171" s="643"/>
      <c r="CF171" s="643"/>
      <c r="CG171" s="643"/>
      <c r="CH171" s="643"/>
      <c r="CI171" s="643"/>
      <c r="CJ171" s="643"/>
      <c r="CK171" s="643"/>
      <c r="CL171" s="643"/>
      <c r="CM171" s="643"/>
      <c r="CN171" s="643"/>
      <c r="CO171" s="643"/>
      <c r="CP171" s="643"/>
      <c r="CQ171" s="643"/>
      <c r="CR171" s="643"/>
      <c r="CS171" s="636" t="s">
        <v>1971</v>
      </c>
      <c r="CT171" s="636" t="s">
        <v>1972</v>
      </c>
      <c r="CU171" s="643"/>
      <c r="CV171" s="643"/>
      <c r="CW171" s="643"/>
      <c r="CX171" s="643"/>
      <c r="CY171" s="643"/>
      <c r="CZ171" s="643"/>
      <c r="DA171" s="643"/>
      <c r="DB171" s="643"/>
      <c r="DC171" s="636" t="s">
        <v>1631</v>
      </c>
      <c r="DD171" s="643"/>
      <c r="DE171" s="643"/>
    </row>
    <row r="172" spans="34:109" ht="15" hidden="1" customHeight="1">
      <c r="AH172" s="24"/>
      <c r="AI172" s="24"/>
      <c r="AJ172" s="24"/>
      <c r="AK172" s="24"/>
      <c r="AL172" s="630" t="str">
        <f t="shared" si="4"/>
        <v>Tepexi de Rodríguez</v>
      </c>
      <c r="AM172" s="630">
        <f t="shared" si="5"/>
        <v>21169</v>
      </c>
      <c r="AO172" s="24"/>
      <c r="AP172" s="628">
        <v>170</v>
      </c>
      <c r="AQ172" s="642"/>
      <c r="AR172" s="642"/>
      <c r="AS172" s="642"/>
      <c r="AT172" s="642"/>
      <c r="AU172" s="642"/>
      <c r="AV172" s="642"/>
      <c r="AW172" s="642"/>
      <c r="AX172" s="642"/>
      <c r="AY172" s="642"/>
      <c r="AZ172" s="642"/>
      <c r="BA172" s="642"/>
      <c r="BB172" s="642"/>
      <c r="BC172" s="642"/>
      <c r="BD172" s="642"/>
      <c r="BE172" s="642"/>
      <c r="BF172" s="642"/>
      <c r="BG172" s="642"/>
      <c r="BH172" s="642"/>
      <c r="BI172" s="642"/>
      <c r="BJ172" s="634">
        <v>20169</v>
      </c>
      <c r="BK172" s="634">
        <v>21169</v>
      </c>
      <c r="BL172" s="642"/>
      <c r="BM172" s="642"/>
      <c r="BN172" s="642"/>
      <c r="BO172" s="642"/>
      <c r="BP172" s="642"/>
      <c r="BQ172" s="642"/>
      <c r="BR172" s="642"/>
      <c r="BS172" s="642"/>
      <c r="BT172" s="634">
        <v>30169</v>
      </c>
      <c r="BU172" s="642"/>
      <c r="BV172" s="642"/>
      <c r="BW172" s="24"/>
      <c r="BX172" s="24"/>
      <c r="BY172" s="24"/>
      <c r="BZ172" s="643"/>
      <c r="CA172" s="643"/>
      <c r="CB172" s="643"/>
      <c r="CC172" s="643"/>
      <c r="CD172" s="643"/>
      <c r="CE172" s="643"/>
      <c r="CF172" s="643"/>
      <c r="CG172" s="643"/>
      <c r="CH172" s="643"/>
      <c r="CI172" s="643"/>
      <c r="CJ172" s="643"/>
      <c r="CK172" s="643"/>
      <c r="CL172" s="643"/>
      <c r="CM172" s="643"/>
      <c r="CN172" s="643"/>
      <c r="CO172" s="643"/>
      <c r="CP172" s="643"/>
      <c r="CQ172" s="643"/>
      <c r="CR172" s="643"/>
      <c r="CS172" s="636" t="s">
        <v>1973</v>
      </c>
      <c r="CT172" s="636" t="s">
        <v>1974</v>
      </c>
      <c r="CU172" s="643"/>
      <c r="CV172" s="643"/>
      <c r="CW172" s="643"/>
      <c r="CX172" s="643"/>
      <c r="CY172" s="643"/>
      <c r="CZ172" s="643"/>
      <c r="DA172" s="643"/>
      <c r="DB172" s="643"/>
      <c r="DC172" s="636" t="s">
        <v>1975</v>
      </c>
      <c r="DD172" s="643"/>
      <c r="DE172" s="643"/>
    </row>
    <row r="173" spans="34:109" ht="15" hidden="1" customHeight="1">
      <c r="AH173" s="24"/>
      <c r="AI173" s="24"/>
      <c r="AJ173" s="24"/>
      <c r="AK173" s="24"/>
      <c r="AL173" s="630" t="str">
        <f t="shared" si="4"/>
        <v>Tepeyahualco</v>
      </c>
      <c r="AM173" s="630">
        <f t="shared" si="5"/>
        <v>21170</v>
      </c>
      <c r="AO173" s="24"/>
      <c r="AP173" s="628">
        <v>171</v>
      </c>
      <c r="AQ173" s="642"/>
      <c r="AR173" s="642"/>
      <c r="AS173" s="642"/>
      <c r="AT173" s="642"/>
      <c r="AU173" s="642"/>
      <c r="AV173" s="642"/>
      <c r="AW173" s="642"/>
      <c r="AX173" s="642"/>
      <c r="AY173" s="642"/>
      <c r="AZ173" s="642"/>
      <c r="BA173" s="642"/>
      <c r="BB173" s="642"/>
      <c r="BC173" s="642"/>
      <c r="BD173" s="642"/>
      <c r="BE173" s="642"/>
      <c r="BF173" s="642"/>
      <c r="BG173" s="642"/>
      <c r="BH173" s="642"/>
      <c r="BI173" s="642"/>
      <c r="BJ173" s="634">
        <v>20170</v>
      </c>
      <c r="BK173" s="634">
        <v>21170</v>
      </c>
      <c r="BL173" s="642"/>
      <c r="BM173" s="642"/>
      <c r="BN173" s="642"/>
      <c r="BO173" s="642"/>
      <c r="BP173" s="642"/>
      <c r="BQ173" s="642"/>
      <c r="BR173" s="642"/>
      <c r="BS173" s="642"/>
      <c r="BT173" s="634">
        <v>30170</v>
      </c>
      <c r="BU173" s="642"/>
      <c r="BV173" s="642"/>
      <c r="BW173" s="24"/>
      <c r="BX173" s="24"/>
      <c r="BY173" s="24"/>
      <c r="BZ173" s="643"/>
      <c r="CA173" s="643"/>
      <c r="CB173" s="643"/>
      <c r="CC173" s="643"/>
      <c r="CD173" s="643"/>
      <c r="CE173" s="643"/>
      <c r="CF173" s="643"/>
      <c r="CG173" s="643"/>
      <c r="CH173" s="643"/>
      <c r="CI173" s="643"/>
      <c r="CJ173" s="643"/>
      <c r="CK173" s="643"/>
      <c r="CL173" s="643"/>
      <c r="CM173" s="643"/>
      <c r="CN173" s="643"/>
      <c r="CO173" s="643"/>
      <c r="CP173" s="643"/>
      <c r="CQ173" s="643"/>
      <c r="CR173" s="643"/>
      <c r="CS173" s="636" t="s">
        <v>1976</v>
      </c>
      <c r="CT173" s="636" t="s">
        <v>1977</v>
      </c>
      <c r="CU173" s="643"/>
      <c r="CV173" s="643"/>
      <c r="CW173" s="643"/>
      <c r="CX173" s="643"/>
      <c r="CY173" s="643"/>
      <c r="CZ173" s="643"/>
      <c r="DA173" s="643"/>
      <c r="DB173" s="643"/>
      <c r="DC173" s="636" t="s">
        <v>1978</v>
      </c>
      <c r="DD173" s="643"/>
      <c r="DE173" s="643"/>
    </row>
    <row r="174" spans="34:109" ht="15" hidden="1" customHeight="1">
      <c r="AH174" s="24"/>
      <c r="AI174" s="24"/>
      <c r="AJ174" s="24"/>
      <c r="AK174" s="24"/>
      <c r="AL174" s="630" t="str">
        <f t="shared" si="4"/>
        <v>Tepeyahualco de Cuauhtémoc</v>
      </c>
      <c r="AM174" s="630">
        <f t="shared" si="5"/>
        <v>21171</v>
      </c>
      <c r="AO174" s="24"/>
      <c r="AP174" s="628">
        <v>172</v>
      </c>
      <c r="AQ174" s="642"/>
      <c r="AR174" s="642"/>
      <c r="AS174" s="642"/>
      <c r="AT174" s="642"/>
      <c r="AU174" s="642"/>
      <c r="AV174" s="642"/>
      <c r="AW174" s="642"/>
      <c r="AX174" s="642"/>
      <c r="AY174" s="642"/>
      <c r="AZ174" s="642"/>
      <c r="BA174" s="642"/>
      <c r="BB174" s="642"/>
      <c r="BC174" s="642"/>
      <c r="BD174" s="642"/>
      <c r="BE174" s="642"/>
      <c r="BF174" s="642"/>
      <c r="BG174" s="642"/>
      <c r="BH174" s="642"/>
      <c r="BI174" s="642"/>
      <c r="BJ174" s="634">
        <v>20171</v>
      </c>
      <c r="BK174" s="634">
        <v>21171</v>
      </c>
      <c r="BL174" s="642"/>
      <c r="BM174" s="642"/>
      <c r="BN174" s="642"/>
      <c r="BO174" s="642"/>
      <c r="BP174" s="642"/>
      <c r="BQ174" s="642"/>
      <c r="BR174" s="642"/>
      <c r="BS174" s="642"/>
      <c r="BT174" s="634">
        <v>30171</v>
      </c>
      <c r="BU174" s="642"/>
      <c r="BV174" s="642"/>
      <c r="BW174" s="24"/>
      <c r="BX174" s="24"/>
      <c r="BY174" s="24"/>
      <c r="BZ174" s="643"/>
      <c r="CA174" s="643"/>
      <c r="CB174" s="643"/>
      <c r="CC174" s="643"/>
      <c r="CD174" s="643"/>
      <c r="CE174" s="643"/>
      <c r="CF174" s="643"/>
      <c r="CG174" s="643"/>
      <c r="CH174" s="643"/>
      <c r="CI174" s="643"/>
      <c r="CJ174" s="643"/>
      <c r="CK174" s="643"/>
      <c r="CL174" s="643"/>
      <c r="CM174" s="643"/>
      <c r="CN174" s="643"/>
      <c r="CO174" s="643"/>
      <c r="CP174" s="643"/>
      <c r="CQ174" s="643"/>
      <c r="CR174" s="643"/>
      <c r="CS174" s="636" t="s">
        <v>1979</v>
      </c>
      <c r="CT174" s="636" t="s">
        <v>1980</v>
      </c>
      <c r="CU174" s="643"/>
      <c r="CV174" s="643"/>
      <c r="CW174" s="643"/>
      <c r="CX174" s="643"/>
      <c r="CY174" s="643"/>
      <c r="CZ174" s="643"/>
      <c r="DA174" s="643"/>
      <c r="DB174" s="643"/>
      <c r="DC174" s="636" t="s">
        <v>1981</v>
      </c>
      <c r="DD174" s="643"/>
      <c r="DE174" s="643"/>
    </row>
    <row r="175" spans="34:109" ht="15" hidden="1" customHeight="1">
      <c r="AH175" s="24"/>
      <c r="AI175" s="24"/>
      <c r="AJ175" s="24"/>
      <c r="AK175" s="24"/>
      <c r="AL175" s="630" t="str">
        <f t="shared" si="4"/>
        <v>Tetela de Ocampo</v>
      </c>
      <c r="AM175" s="630">
        <f t="shared" si="5"/>
        <v>21172</v>
      </c>
      <c r="AO175" s="24"/>
      <c r="AP175" s="628">
        <v>173</v>
      </c>
      <c r="AQ175" s="642"/>
      <c r="AR175" s="642"/>
      <c r="AS175" s="642"/>
      <c r="AT175" s="642"/>
      <c r="AU175" s="642"/>
      <c r="AV175" s="642"/>
      <c r="AW175" s="642"/>
      <c r="AX175" s="642"/>
      <c r="AY175" s="642"/>
      <c r="AZ175" s="642"/>
      <c r="BA175" s="642"/>
      <c r="BB175" s="642"/>
      <c r="BC175" s="642"/>
      <c r="BD175" s="642"/>
      <c r="BE175" s="642"/>
      <c r="BF175" s="642"/>
      <c r="BG175" s="642"/>
      <c r="BH175" s="642"/>
      <c r="BI175" s="642"/>
      <c r="BJ175" s="634">
        <v>20172</v>
      </c>
      <c r="BK175" s="634">
        <v>21172</v>
      </c>
      <c r="BL175" s="642"/>
      <c r="BM175" s="642"/>
      <c r="BN175" s="642"/>
      <c r="BO175" s="642"/>
      <c r="BP175" s="642"/>
      <c r="BQ175" s="642"/>
      <c r="BR175" s="642"/>
      <c r="BS175" s="642"/>
      <c r="BT175" s="634">
        <v>30172</v>
      </c>
      <c r="BU175" s="642"/>
      <c r="BV175" s="642"/>
      <c r="BW175" s="24"/>
      <c r="BX175" s="24"/>
      <c r="BY175" s="24"/>
      <c r="BZ175" s="643"/>
      <c r="CA175" s="643"/>
      <c r="CB175" s="643"/>
      <c r="CC175" s="643"/>
      <c r="CD175" s="643"/>
      <c r="CE175" s="643"/>
      <c r="CF175" s="643"/>
      <c r="CG175" s="643"/>
      <c r="CH175" s="643"/>
      <c r="CI175" s="643"/>
      <c r="CJ175" s="643"/>
      <c r="CK175" s="643"/>
      <c r="CL175" s="643"/>
      <c r="CM175" s="643"/>
      <c r="CN175" s="643"/>
      <c r="CO175" s="643"/>
      <c r="CP175" s="643"/>
      <c r="CQ175" s="643"/>
      <c r="CR175" s="643"/>
      <c r="CS175" s="636" t="s">
        <v>1982</v>
      </c>
      <c r="CT175" s="636" t="s">
        <v>1983</v>
      </c>
      <c r="CU175" s="643"/>
      <c r="CV175" s="643"/>
      <c r="CW175" s="643"/>
      <c r="CX175" s="643"/>
      <c r="CY175" s="643"/>
      <c r="CZ175" s="643"/>
      <c r="DA175" s="643"/>
      <c r="DB175" s="643"/>
      <c r="DC175" s="636" t="s">
        <v>1984</v>
      </c>
      <c r="DD175" s="643"/>
      <c r="DE175" s="643"/>
    </row>
    <row r="176" spans="34:109" ht="15" hidden="1" customHeight="1">
      <c r="AH176" s="24"/>
      <c r="AI176" s="24"/>
      <c r="AJ176" s="24"/>
      <c r="AK176" s="24"/>
      <c r="AL176" s="630" t="str">
        <f t="shared" si="4"/>
        <v>Teteles de Ávila Castillo</v>
      </c>
      <c r="AM176" s="630">
        <f t="shared" si="5"/>
        <v>21173</v>
      </c>
      <c r="AO176" s="24"/>
      <c r="AP176" s="628">
        <v>174</v>
      </c>
      <c r="AQ176" s="642"/>
      <c r="AR176" s="642"/>
      <c r="AS176" s="642"/>
      <c r="AT176" s="642"/>
      <c r="AU176" s="642"/>
      <c r="AV176" s="642"/>
      <c r="AW176" s="642"/>
      <c r="AX176" s="642"/>
      <c r="AY176" s="642"/>
      <c r="AZ176" s="642"/>
      <c r="BA176" s="642"/>
      <c r="BB176" s="642"/>
      <c r="BC176" s="642"/>
      <c r="BD176" s="642"/>
      <c r="BE176" s="642"/>
      <c r="BF176" s="642"/>
      <c r="BG176" s="642"/>
      <c r="BH176" s="642"/>
      <c r="BI176" s="642"/>
      <c r="BJ176" s="634">
        <v>20173</v>
      </c>
      <c r="BK176" s="634">
        <v>21173</v>
      </c>
      <c r="BL176" s="642"/>
      <c r="BM176" s="642"/>
      <c r="BN176" s="642"/>
      <c r="BO176" s="642"/>
      <c r="BP176" s="642"/>
      <c r="BQ176" s="642"/>
      <c r="BR176" s="642"/>
      <c r="BS176" s="642"/>
      <c r="BT176" s="634">
        <v>30173</v>
      </c>
      <c r="BU176" s="642"/>
      <c r="BV176" s="642"/>
      <c r="BW176" s="24"/>
      <c r="BX176" s="24"/>
      <c r="BY176" s="24"/>
      <c r="BZ176" s="643"/>
      <c r="CA176" s="643"/>
      <c r="CB176" s="643"/>
      <c r="CC176" s="643"/>
      <c r="CD176" s="643"/>
      <c r="CE176" s="643"/>
      <c r="CF176" s="643"/>
      <c r="CG176" s="643"/>
      <c r="CH176" s="643"/>
      <c r="CI176" s="643"/>
      <c r="CJ176" s="643"/>
      <c r="CK176" s="643"/>
      <c r="CL176" s="643"/>
      <c r="CM176" s="643"/>
      <c r="CN176" s="643"/>
      <c r="CO176" s="643"/>
      <c r="CP176" s="643"/>
      <c r="CQ176" s="643"/>
      <c r="CR176" s="643"/>
      <c r="CS176" s="636" t="s">
        <v>1985</v>
      </c>
      <c r="CT176" s="638" t="s">
        <v>1986</v>
      </c>
      <c r="CU176" s="643"/>
      <c r="CV176" s="643"/>
      <c r="CW176" s="643"/>
      <c r="CX176" s="643"/>
      <c r="CY176" s="643"/>
      <c r="CZ176" s="643"/>
      <c r="DA176" s="643"/>
      <c r="DB176" s="643"/>
      <c r="DC176" s="636" t="s">
        <v>1987</v>
      </c>
      <c r="DD176" s="643"/>
      <c r="DE176" s="643"/>
    </row>
    <row r="177" spans="34:109" ht="15" hidden="1" customHeight="1">
      <c r="AH177" s="24"/>
      <c r="AI177" s="24"/>
      <c r="AJ177" s="24"/>
      <c r="AK177" s="24"/>
      <c r="AL177" s="630" t="str">
        <f t="shared" si="4"/>
        <v>Teziutlán</v>
      </c>
      <c r="AM177" s="630">
        <f t="shared" si="5"/>
        <v>21174</v>
      </c>
      <c r="AO177" s="24"/>
      <c r="AP177" s="628">
        <v>175</v>
      </c>
      <c r="AQ177" s="642"/>
      <c r="AR177" s="642"/>
      <c r="AS177" s="642"/>
      <c r="AT177" s="642"/>
      <c r="AU177" s="642"/>
      <c r="AV177" s="642"/>
      <c r="AW177" s="642"/>
      <c r="AX177" s="642"/>
      <c r="AY177" s="642"/>
      <c r="AZ177" s="642"/>
      <c r="BA177" s="642"/>
      <c r="BB177" s="642"/>
      <c r="BC177" s="642"/>
      <c r="BD177" s="642"/>
      <c r="BE177" s="642"/>
      <c r="BF177" s="642"/>
      <c r="BG177" s="642"/>
      <c r="BH177" s="642"/>
      <c r="BI177" s="642"/>
      <c r="BJ177" s="634">
        <v>20174</v>
      </c>
      <c r="BK177" s="634">
        <v>21174</v>
      </c>
      <c r="BL177" s="642"/>
      <c r="BM177" s="642"/>
      <c r="BN177" s="642"/>
      <c r="BO177" s="642"/>
      <c r="BP177" s="642"/>
      <c r="BQ177" s="642"/>
      <c r="BR177" s="642"/>
      <c r="BS177" s="642"/>
      <c r="BT177" s="634">
        <v>30174</v>
      </c>
      <c r="BU177" s="642"/>
      <c r="BV177" s="642"/>
      <c r="BW177" s="24"/>
      <c r="BX177" s="24"/>
      <c r="BY177" s="24"/>
      <c r="BZ177" s="643"/>
      <c r="CA177" s="643"/>
      <c r="CB177" s="643"/>
      <c r="CC177" s="643"/>
      <c r="CD177" s="643"/>
      <c r="CE177" s="643"/>
      <c r="CF177" s="643"/>
      <c r="CG177" s="643"/>
      <c r="CH177" s="643"/>
      <c r="CI177" s="643"/>
      <c r="CJ177" s="643"/>
      <c r="CK177" s="643"/>
      <c r="CL177" s="643"/>
      <c r="CM177" s="643"/>
      <c r="CN177" s="643"/>
      <c r="CO177" s="643"/>
      <c r="CP177" s="643"/>
      <c r="CQ177" s="643"/>
      <c r="CR177" s="643"/>
      <c r="CS177" s="636" t="s">
        <v>1988</v>
      </c>
      <c r="CT177" s="636" t="s">
        <v>1989</v>
      </c>
      <c r="CU177" s="643"/>
      <c r="CV177" s="643"/>
      <c r="CW177" s="643"/>
      <c r="CX177" s="643"/>
      <c r="CY177" s="643"/>
      <c r="CZ177" s="643"/>
      <c r="DA177" s="643"/>
      <c r="DB177" s="643"/>
      <c r="DC177" s="636" t="s">
        <v>992</v>
      </c>
      <c r="DD177" s="643"/>
      <c r="DE177" s="643"/>
    </row>
    <row r="178" spans="34:109" ht="15" hidden="1" customHeight="1">
      <c r="AH178" s="24"/>
      <c r="AI178" s="24"/>
      <c r="AJ178" s="24"/>
      <c r="AK178" s="24"/>
      <c r="AL178" s="630" t="str">
        <f t="shared" si="4"/>
        <v>Tianguismanalco</v>
      </c>
      <c r="AM178" s="630">
        <f t="shared" si="5"/>
        <v>21175</v>
      </c>
      <c r="AO178" s="24"/>
      <c r="AP178" s="628">
        <v>176</v>
      </c>
      <c r="AQ178" s="642"/>
      <c r="AR178" s="642"/>
      <c r="AS178" s="642"/>
      <c r="AT178" s="642"/>
      <c r="AU178" s="642"/>
      <c r="AV178" s="642"/>
      <c r="AW178" s="642"/>
      <c r="AX178" s="642"/>
      <c r="AY178" s="642"/>
      <c r="AZ178" s="642"/>
      <c r="BA178" s="642"/>
      <c r="BB178" s="642"/>
      <c r="BC178" s="642"/>
      <c r="BD178" s="642"/>
      <c r="BE178" s="642"/>
      <c r="BF178" s="642"/>
      <c r="BG178" s="642"/>
      <c r="BH178" s="642"/>
      <c r="BI178" s="642"/>
      <c r="BJ178" s="634">
        <v>20175</v>
      </c>
      <c r="BK178" s="634">
        <v>21175</v>
      </c>
      <c r="BL178" s="642"/>
      <c r="BM178" s="642"/>
      <c r="BN178" s="642"/>
      <c r="BO178" s="642"/>
      <c r="BP178" s="642"/>
      <c r="BQ178" s="642"/>
      <c r="BR178" s="642"/>
      <c r="BS178" s="642"/>
      <c r="BT178" s="634">
        <v>30175</v>
      </c>
      <c r="BU178" s="642"/>
      <c r="BV178" s="642"/>
      <c r="BW178" s="24"/>
      <c r="BX178" s="24"/>
      <c r="BY178" s="24"/>
      <c r="BZ178" s="643"/>
      <c r="CA178" s="643"/>
      <c r="CB178" s="643"/>
      <c r="CC178" s="643"/>
      <c r="CD178" s="643"/>
      <c r="CE178" s="643"/>
      <c r="CF178" s="643"/>
      <c r="CG178" s="643"/>
      <c r="CH178" s="643"/>
      <c r="CI178" s="643"/>
      <c r="CJ178" s="643"/>
      <c r="CK178" s="643"/>
      <c r="CL178" s="643"/>
      <c r="CM178" s="643"/>
      <c r="CN178" s="643"/>
      <c r="CO178" s="643"/>
      <c r="CP178" s="643"/>
      <c r="CQ178" s="643"/>
      <c r="CR178" s="643"/>
      <c r="CS178" s="636" t="s">
        <v>1990</v>
      </c>
      <c r="CT178" s="636" t="s">
        <v>1991</v>
      </c>
      <c r="CU178" s="643"/>
      <c r="CV178" s="643"/>
      <c r="CW178" s="643"/>
      <c r="CX178" s="643"/>
      <c r="CY178" s="643"/>
      <c r="CZ178" s="643"/>
      <c r="DA178" s="643"/>
      <c r="DB178" s="643"/>
      <c r="DC178" s="636" t="s">
        <v>1992</v>
      </c>
      <c r="DD178" s="643"/>
      <c r="DE178" s="643"/>
    </row>
    <row r="179" spans="34:109" ht="15" hidden="1" customHeight="1">
      <c r="AH179" s="24"/>
      <c r="AI179" s="24"/>
      <c r="AJ179" s="24"/>
      <c r="AK179" s="24"/>
      <c r="AL179" s="630" t="str">
        <f t="shared" si="4"/>
        <v>Tilapa</v>
      </c>
      <c r="AM179" s="630">
        <f t="shared" si="5"/>
        <v>21176</v>
      </c>
      <c r="AO179" s="24"/>
      <c r="AP179" s="628">
        <v>177</v>
      </c>
      <c r="AQ179" s="642"/>
      <c r="AR179" s="642"/>
      <c r="AS179" s="642"/>
      <c r="AT179" s="642"/>
      <c r="AU179" s="642"/>
      <c r="AV179" s="642"/>
      <c r="AW179" s="642"/>
      <c r="AX179" s="642"/>
      <c r="AY179" s="642"/>
      <c r="AZ179" s="642"/>
      <c r="BA179" s="642"/>
      <c r="BB179" s="642"/>
      <c r="BC179" s="642"/>
      <c r="BD179" s="642"/>
      <c r="BE179" s="642"/>
      <c r="BF179" s="642"/>
      <c r="BG179" s="642"/>
      <c r="BH179" s="642"/>
      <c r="BI179" s="642"/>
      <c r="BJ179" s="634">
        <v>20176</v>
      </c>
      <c r="BK179" s="634">
        <v>21176</v>
      </c>
      <c r="BL179" s="642"/>
      <c r="BM179" s="642"/>
      <c r="BN179" s="642"/>
      <c r="BO179" s="642"/>
      <c r="BP179" s="642"/>
      <c r="BQ179" s="642"/>
      <c r="BR179" s="642"/>
      <c r="BS179" s="642"/>
      <c r="BT179" s="634">
        <v>30176</v>
      </c>
      <c r="BU179" s="642"/>
      <c r="BV179" s="642"/>
      <c r="BW179" s="24"/>
      <c r="BX179" s="24"/>
      <c r="BY179" s="24"/>
      <c r="BZ179" s="643"/>
      <c r="CA179" s="643"/>
      <c r="CB179" s="643"/>
      <c r="CC179" s="643"/>
      <c r="CD179" s="643"/>
      <c r="CE179" s="643"/>
      <c r="CF179" s="643"/>
      <c r="CG179" s="643"/>
      <c r="CH179" s="643"/>
      <c r="CI179" s="643"/>
      <c r="CJ179" s="643"/>
      <c r="CK179" s="643"/>
      <c r="CL179" s="643"/>
      <c r="CM179" s="643"/>
      <c r="CN179" s="643"/>
      <c r="CO179" s="643"/>
      <c r="CP179" s="643"/>
      <c r="CQ179" s="643"/>
      <c r="CR179" s="643"/>
      <c r="CS179" s="636" t="s">
        <v>1993</v>
      </c>
      <c r="CT179" s="636" t="s">
        <v>1994</v>
      </c>
      <c r="CU179" s="643"/>
      <c r="CV179" s="643"/>
      <c r="CW179" s="643"/>
      <c r="CX179" s="643"/>
      <c r="CY179" s="643"/>
      <c r="CZ179" s="643"/>
      <c r="DA179" s="643"/>
      <c r="DB179" s="643"/>
      <c r="DC179" s="636" t="s">
        <v>1995</v>
      </c>
      <c r="DD179" s="643"/>
      <c r="DE179" s="643"/>
    </row>
    <row r="180" spans="34:109" ht="15" hidden="1" customHeight="1">
      <c r="AH180" s="24"/>
      <c r="AI180" s="24"/>
      <c r="AJ180" s="24"/>
      <c r="AK180" s="24"/>
      <c r="AL180" s="630" t="str">
        <f t="shared" si="4"/>
        <v>Tlacotepec de Benito Juárez</v>
      </c>
      <c r="AM180" s="630">
        <f t="shared" si="5"/>
        <v>21177</v>
      </c>
      <c r="AO180" s="24"/>
      <c r="AP180" s="628">
        <v>178</v>
      </c>
      <c r="AQ180" s="642"/>
      <c r="AR180" s="642"/>
      <c r="AS180" s="642"/>
      <c r="AT180" s="642"/>
      <c r="AU180" s="642"/>
      <c r="AV180" s="642"/>
      <c r="AW180" s="642"/>
      <c r="AX180" s="642"/>
      <c r="AY180" s="642"/>
      <c r="AZ180" s="642"/>
      <c r="BA180" s="642"/>
      <c r="BB180" s="642"/>
      <c r="BC180" s="642"/>
      <c r="BD180" s="642"/>
      <c r="BE180" s="642"/>
      <c r="BF180" s="642"/>
      <c r="BG180" s="642"/>
      <c r="BH180" s="642"/>
      <c r="BI180" s="642"/>
      <c r="BJ180" s="634">
        <v>20177</v>
      </c>
      <c r="BK180" s="634">
        <v>21177</v>
      </c>
      <c r="BL180" s="642"/>
      <c r="BM180" s="642"/>
      <c r="BN180" s="642"/>
      <c r="BO180" s="642"/>
      <c r="BP180" s="642"/>
      <c r="BQ180" s="642"/>
      <c r="BR180" s="642"/>
      <c r="BS180" s="642"/>
      <c r="BT180" s="634">
        <v>30177</v>
      </c>
      <c r="BU180" s="642"/>
      <c r="BV180" s="642"/>
      <c r="BW180" s="24"/>
      <c r="BX180" s="24"/>
      <c r="BY180" s="24"/>
      <c r="BZ180" s="643"/>
      <c r="CA180" s="643"/>
      <c r="CB180" s="643"/>
      <c r="CC180" s="643"/>
      <c r="CD180" s="643"/>
      <c r="CE180" s="643"/>
      <c r="CF180" s="643"/>
      <c r="CG180" s="643"/>
      <c r="CH180" s="643"/>
      <c r="CI180" s="643"/>
      <c r="CJ180" s="643"/>
      <c r="CK180" s="643"/>
      <c r="CL180" s="643"/>
      <c r="CM180" s="643"/>
      <c r="CN180" s="643"/>
      <c r="CO180" s="643"/>
      <c r="CP180" s="643"/>
      <c r="CQ180" s="643"/>
      <c r="CR180" s="643"/>
      <c r="CS180" s="636" t="s">
        <v>1996</v>
      </c>
      <c r="CT180" s="636" t="s">
        <v>1997</v>
      </c>
      <c r="CU180" s="643"/>
      <c r="CV180" s="643"/>
      <c r="CW180" s="643"/>
      <c r="CX180" s="643"/>
      <c r="CY180" s="643"/>
      <c r="CZ180" s="643"/>
      <c r="DA180" s="643"/>
      <c r="DB180" s="643"/>
      <c r="DC180" s="636" t="s">
        <v>1998</v>
      </c>
      <c r="DD180" s="643"/>
      <c r="DE180" s="643"/>
    </row>
    <row r="181" spans="34:109" ht="15" hidden="1" customHeight="1">
      <c r="AH181" s="24"/>
      <c r="AI181" s="24"/>
      <c r="AJ181" s="24"/>
      <c r="AK181" s="24"/>
      <c r="AL181" s="630" t="str">
        <f t="shared" si="4"/>
        <v>Tlacuilotepec</v>
      </c>
      <c r="AM181" s="630">
        <f t="shared" si="5"/>
        <v>21178</v>
      </c>
      <c r="AO181" s="24"/>
      <c r="AP181" s="628">
        <v>179</v>
      </c>
      <c r="AQ181" s="642"/>
      <c r="AR181" s="642"/>
      <c r="AS181" s="642"/>
      <c r="AT181" s="642"/>
      <c r="AU181" s="642"/>
      <c r="AV181" s="642"/>
      <c r="AW181" s="642"/>
      <c r="AX181" s="642"/>
      <c r="AY181" s="642"/>
      <c r="AZ181" s="642"/>
      <c r="BA181" s="642"/>
      <c r="BB181" s="642"/>
      <c r="BC181" s="642"/>
      <c r="BD181" s="642"/>
      <c r="BE181" s="642"/>
      <c r="BF181" s="642"/>
      <c r="BG181" s="642"/>
      <c r="BH181" s="642"/>
      <c r="BI181" s="642"/>
      <c r="BJ181" s="634">
        <v>20178</v>
      </c>
      <c r="BK181" s="634">
        <v>21178</v>
      </c>
      <c r="BL181" s="642"/>
      <c r="BM181" s="642"/>
      <c r="BN181" s="642"/>
      <c r="BO181" s="642"/>
      <c r="BP181" s="642"/>
      <c r="BQ181" s="642"/>
      <c r="BR181" s="642"/>
      <c r="BS181" s="642"/>
      <c r="BT181" s="634">
        <v>30178</v>
      </c>
      <c r="BU181" s="642"/>
      <c r="BV181" s="642"/>
      <c r="BW181" s="24"/>
      <c r="BX181" s="24"/>
      <c r="BY181" s="24"/>
      <c r="BZ181" s="643"/>
      <c r="CA181" s="643"/>
      <c r="CB181" s="643"/>
      <c r="CC181" s="643"/>
      <c r="CD181" s="643"/>
      <c r="CE181" s="643"/>
      <c r="CF181" s="643"/>
      <c r="CG181" s="643"/>
      <c r="CH181" s="643"/>
      <c r="CI181" s="643"/>
      <c r="CJ181" s="643"/>
      <c r="CK181" s="643"/>
      <c r="CL181" s="643"/>
      <c r="CM181" s="643"/>
      <c r="CN181" s="643"/>
      <c r="CO181" s="643"/>
      <c r="CP181" s="643"/>
      <c r="CQ181" s="643"/>
      <c r="CR181" s="643"/>
      <c r="CS181" s="636" t="s">
        <v>1999</v>
      </c>
      <c r="CT181" s="636" t="s">
        <v>2000</v>
      </c>
      <c r="CU181" s="643"/>
      <c r="CV181" s="643"/>
      <c r="CW181" s="643"/>
      <c r="CX181" s="643"/>
      <c r="CY181" s="643"/>
      <c r="CZ181" s="643"/>
      <c r="DA181" s="643"/>
      <c r="DB181" s="643"/>
      <c r="DC181" s="636" t="s">
        <v>2001</v>
      </c>
      <c r="DD181" s="643"/>
      <c r="DE181" s="643"/>
    </row>
    <row r="182" spans="34:109" ht="15" hidden="1" customHeight="1">
      <c r="AH182" s="24"/>
      <c r="AI182" s="24"/>
      <c r="AJ182" s="24"/>
      <c r="AK182" s="24"/>
      <c r="AL182" s="630" t="str">
        <f t="shared" si="4"/>
        <v>Tlachichuca</v>
      </c>
      <c r="AM182" s="630">
        <f t="shared" si="5"/>
        <v>21179</v>
      </c>
      <c r="AO182" s="24"/>
      <c r="AP182" s="628">
        <v>180</v>
      </c>
      <c r="AQ182" s="642"/>
      <c r="AR182" s="642"/>
      <c r="AS182" s="642"/>
      <c r="AT182" s="642"/>
      <c r="AU182" s="642"/>
      <c r="AV182" s="642"/>
      <c r="AW182" s="642"/>
      <c r="AX182" s="642"/>
      <c r="AY182" s="642"/>
      <c r="AZ182" s="642"/>
      <c r="BA182" s="642"/>
      <c r="BB182" s="642"/>
      <c r="BC182" s="642"/>
      <c r="BD182" s="642"/>
      <c r="BE182" s="642"/>
      <c r="BF182" s="642"/>
      <c r="BG182" s="642"/>
      <c r="BH182" s="642"/>
      <c r="BI182" s="642"/>
      <c r="BJ182" s="634">
        <v>20179</v>
      </c>
      <c r="BK182" s="634">
        <v>21179</v>
      </c>
      <c r="BL182" s="642"/>
      <c r="BM182" s="642"/>
      <c r="BN182" s="642"/>
      <c r="BO182" s="642"/>
      <c r="BP182" s="642"/>
      <c r="BQ182" s="642"/>
      <c r="BR182" s="642"/>
      <c r="BS182" s="642"/>
      <c r="BT182" s="634">
        <v>30179</v>
      </c>
      <c r="BU182" s="642"/>
      <c r="BV182" s="642"/>
      <c r="BW182" s="24"/>
      <c r="BX182" s="24"/>
      <c r="BY182" s="24"/>
      <c r="BZ182" s="643"/>
      <c r="CA182" s="643"/>
      <c r="CB182" s="643"/>
      <c r="CC182" s="643"/>
      <c r="CD182" s="643"/>
      <c r="CE182" s="643"/>
      <c r="CF182" s="643"/>
      <c r="CG182" s="643"/>
      <c r="CH182" s="643"/>
      <c r="CI182" s="643"/>
      <c r="CJ182" s="643"/>
      <c r="CK182" s="643"/>
      <c r="CL182" s="643"/>
      <c r="CM182" s="643"/>
      <c r="CN182" s="643"/>
      <c r="CO182" s="643"/>
      <c r="CP182" s="643"/>
      <c r="CQ182" s="643"/>
      <c r="CR182" s="643"/>
      <c r="CS182" s="636" t="s">
        <v>2002</v>
      </c>
      <c r="CT182" s="636" t="s">
        <v>2003</v>
      </c>
      <c r="CU182" s="643"/>
      <c r="CV182" s="643"/>
      <c r="CW182" s="643"/>
      <c r="CX182" s="643"/>
      <c r="CY182" s="643"/>
      <c r="CZ182" s="643"/>
      <c r="DA182" s="643"/>
      <c r="DB182" s="643"/>
      <c r="DC182" s="636" t="s">
        <v>2004</v>
      </c>
      <c r="DD182" s="643"/>
      <c r="DE182" s="643"/>
    </row>
    <row r="183" spans="34:109" ht="15" hidden="1" customHeight="1">
      <c r="AH183" s="24"/>
      <c r="AI183" s="24"/>
      <c r="AJ183" s="24"/>
      <c r="AK183" s="24"/>
      <c r="AL183" s="630" t="str">
        <f t="shared" si="4"/>
        <v>Tlahuapan</v>
      </c>
      <c r="AM183" s="630">
        <f t="shared" si="5"/>
        <v>21180</v>
      </c>
      <c r="AO183" s="24"/>
      <c r="AP183" s="628">
        <v>181</v>
      </c>
      <c r="AQ183" s="642"/>
      <c r="AR183" s="642"/>
      <c r="AS183" s="642"/>
      <c r="AT183" s="642"/>
      <c r="AU183" s="642"/>
      <c r="AV183" s="642"/>
      <c r="AW183" s="642"/>
      <c r="AX183" s="642"/>
      <c r="AY183" s="642"/>
      <c r="AZ183" s="642"/>
      <c r="BA183" s="642"/>
      <c r="BB183" s="642"/>
      <c r="BC183" s="642"/>
      <c r="BD183" s="642"/>
      <c r="BE183" s="642"/>
      <c r="BF183" s="642"/>
      <c r="BG183" s="642"/>
      <c r="BH183" s="642"/>
      <c r="BI183" s="642"/>
      <c r="BJ183" s="634">
        <v>20180</v>
      </c>
      <c r="BK183" s="634">
        <v>21180</v>
      </c>
      <c r="BL183" s="642"/>
      <c r="BM183" s="642"/>
      <c r="BN183" s="642"/>
      <c r="BO183" s="642"/>
      <c r="BP183" s="642"/>
      <c r="BQ183" s="642"/>
      <c r="BR183" s="642"/>
      <c r="BS183" s="642"/>
      <c r="BT183" s="634">
        <v>30180</v>
      </c>
      <c r="BU183" s="642"/>
      <c r="BV183" s="642"/>
      <c r="BW183" s="24"/>
      <c r="BX183" s="24"/>
      <c r="BY183" s="24"/>
      <c r="BZ183" s="643"/>
      <c r="CA183" s="643"/>
      <c r="CB183" s="643"/>
      <c r="CC183" s="643"/>
      <c r="CD183" s="643"/>
      <c r="CE183" s="643"/>
      <c r="CF183" s="643"/>
      <c r="CG183" s="643"/>
      <c r="CH183" s="643"/>
      <c r="CI183" s="643"/>
      <c r="CJ183" s="643"/>
      <c r="CK183" s="643"/>
      <c r="CL183" s="643"/>
      <c r="CM183" s="643"/>
      <c r="CN183" s="643"/>
      <c r="CO183" s="643"/>
      <c r="CP183" s="643"/>
      <c r="CQ183" s="643"/>
      <c r="CR183" s="643"/>
      <c r="CS183" s="636" t="s">
        <v>2005</v>
      </c>
      <c r="CT183" s="636" t="s">
        <v>2006</v>
      </c>
      <c r="CU183" s="643"/>
      <c r="CV183" s="643"/>
      <c r="CW183" s="643"/>
      <c r="CX183" s="643"/>
      <c r="CY183" s="643"/>
      <c r="CZ183" s="643"/>
      <c r="DA183" s="643"/>
      <c r="DB183" s="643"/>
      <c r="DC183" s="636" t="s">
        <v>2007</v>
      </c>
      <c r="DD183" s="643"/>
      <c r="DE183" s="643"/>
    </row>
    <row r="184" spans="34:109" ht="15" hidden="1" customHeight="1">
      <c r="AH184" s="24"/>
      <c r="AI184" s="24"/>
      <c r="AJ184" s="24"/>
      <c r="AK184" s="24"/>
      <c r="AL184" s="630" t="str">
        <f t="shared" si="4"/>
        <v>Tlaltenango</v>
      </c>
      <c r="AM184" s="630">
        <f t="shared" si="5"/>
        <v>21181</v>
      </c>
      <c r="AO184" s="24"/>
      <c r="AP184" s="628">
        <v>182</v>
      </c>
      <c r="AQ184" s="642"/>
      <c r="AR184" s="642"/>
      <c r="AS184" s="642"/>
      <c r="AT184" s="642"/>
      <c r="AU184" s="642"/>
      <c r="AV184" s="642"/>
      <c r="AW184" s="642"/>
      <c r="AX184" s="642"/>
      <c r="AY184" s="642"/>
      <c r="AZ184" s="642"/>
      <c r="BA184" s="642"/>
      <c r="BB184" s="642"/>
      <c r="BC184" s="642"/>
      <c r="BD184" s="642"/>
      <c r="BE184" s="642"/>
      <c r="BF184" s="642"/>
      <c r="BG184" s="642"/>
      <c r="BH184" s="642"/>
      <c r="BI184" s="642"/>
      <c r="BJ184" s="634">
        <v>20181</v>
      </c>
      <c r="BK184" s="634">
        <v>21181</v>
      </c>
      <c r="BL184" s="642"/>
      <c r="BM184" s="642"/>
      <c r="BN184" s="642"/>
      <c r="BO184" s="642"/>
      <c r="BP184" s="642"/>
      <c r="BQ184" s="642"/>
      <c r="BR184" s="642"/>
      <c r="BS184" s="642"/>
      <c r="BT184" s="634">
        <v>30181</v>
      </c>
      <c r="BU184" s="642"/>
      <c r="BV184" s="642"/>
      <c r="BW184" s="24"/>
      <c r="BX184" s="24"/>
      <c r="BY184" s="24"/>
      <c r="BZ184" s="643"/>
      <c r="CA184" s="643"/>
      <c r="CB184" s="643"/>
      <c r="CC184" s="643"/>
      <c r="CD184" s="643"/>
      <c r="CE184" s="643"/>
      <c r="CF184" s="643"/>
      <c r="CG184" s="643"/>
      <c r="CH184" s="643"/>
      <c r="CI184" s="643"/>
      <c r="CJ184" s="643"/>
      <c r="CK184" s="643"/>
      <c r="CL184" s="643"/>
      <c r="CM184" s="643"/>
      <c r="CN184" s="643"/>
      <c r="CO184" s="643"/>
      <c r="CP184" s="643"/>
      <c r="CQ184" s="643"/>
      <c r="CR184" s="643"/>
      <c r="CS184" s="636" t="s">
        <v>2008</v>
      </c>
      <c r="CT184" s="636" t="s">
        <v>2009</v>
      </c>
      <c r="CU184" s="643"/>
      <c r="CV184" s="643"/>
      <c r="CW184" s="643"/>
      <c r="CX184" s="643"/>
      <c r="CY184" s="643"/>
      <c r="CZ184" s="643"/>
      <c r="DA184" s="643"/>
      <c r="DB184" s="643"/>
      <c r="DC184" s="636" t="s">
        <v>2010</v>
      </c>
      <c r="DD184" s="643"/>
      <c r="DE184" s="643"/>
    </row>
    <row r="185" spans="34:109" ht="15" hidden="1" customHeight="1">
      <c r="AH185" s="24"/>
      <c r="AI185" s="24"/>
      <c r="AJ185" s="24"/>
      <c r="AK185" s="24"/>
      <c r="AL185" s="630" t="str">
        <f t="shared" si="4"/>
        <v>Tlanepantla</v>
      </c>
      <c r="AM185" s="630">
        <f t="shared" si="5"/>
        <v>21182</v>
      </c>
      <c r="AO185" s="24"/>
      <c r="AP185" s="628">
        <v>183</v>
      </c>
      <c r="AQ185" s="642"/>
      <c r="AR185" s="642"/>
      <c r="AS185" s="642"/>
      <c r="AT185" s="642"/>
      <c r="AU185" s="642"/>
      <c r="AV185" s="642"/>
      <c r="AW185" s="642"/>
      <c r="AX185" s="642"/>
      <c r="AY185" s="642"/>
      <c r="AZ185" s="642"/>
      <c r="BA185" s="642"/>
      <c r="BB185" s="642"/>
      <c r="BC185" s="642"/>
      <c r="BD185" s="642"/>
      <c r="BE185" s="642"/>
      <c r="BF185" s="642"/>
      <c r="BG185" s="642"/>
      <c r="BH185" s="642"/>
      <c r="BI185" s="642"/>
      <c r="BJ185" s="634">
        <v>20182</v>
      </c>
      <c r="BK185" s="634">
        <v>21182</v>
      </c>
      <c r="BL185" s="642"/>
      <c r="BM185" s="642"/>
      <c r="BN185" s="642"/>
      <c r="BO185" s="642"/>
      <c r="BP185" s="642"/>
      <c r="BQ185" s="642"/>
      <c r="BR185" s="642"/>
      <c r="BS185" s="642"/>
      <c r="BT185" s="634">
        <v>30182</v>
      </c>
      <c r="BU185" s="642"/>
      <c r="BV185" s="642"/>
      <c r="BW185" s="24"/>
      <c r="BX185" s="24"/>
      <c r="BY185" s="24"/>
      <c r="BZ185" s="643"/>
      <c r="CA185" s="643"/>
      <c r="CB185" s="643"/>
      <c r="CC185" s="643"/>
      <c r="CD185" s="643"/>
      <c r="CE185" s="643"/>
      <c r="CF185" s="643"/>
      <c r="CG185" s="643"/>
      <c r="CH185" s="643"/>
      <c r="CI185" s="643"/>
      <c r="CJ185" s="643"/>
      <c r="CK185" s="643"/>
      <c r="CL185" s="643"/>
      <c r="CM185" s="643"/>
      <c r="CN185" s="643"/>
      <c r="CO185" s="643"/>
      <c r="CP185" s="643"/>
      <c r="CQ185" s="643"/>
      <c r="CR185" s="643"/>
      <c r="CS185" s="636" t="s">
        <v>2011</v>
      </c>
      <c r="CT185" s="636" t="s">
        <v>2012</v>
      </c>
      <c r="CU185" s="643"/>
      <c r="CV185" s="643"/>
      <c r="CW185" s="643"/>
      <c r="CX185" s="643"/>
      <c r="CY185" s="643"/>
      <c r="CZ185" s="643"/>
      <c r="DA185" s="643"/>
      <c r="DB185" s="643"/>
      <c r="DC185" s="636" t="s">
        <v>2013</v>
      </c>
      <c r="DD185" s="643"/>
      <c r="DE185" s="643"/>
    </row>
    <row r="186" spans="34:109" ht="15" hidden="1" customHeight="1">
      <c r="AH186" s="24"/>
      <c r="AI186" s="24"/>
      <c r="AJ186" s="24"/>
      <c r="AK186" s="24"/>
      <c r="AL186" s="630" t="str">
        <f t="shared" si="4"/>
        <v>Tlaola</v>
      </c>
      <c r="AM186" s="630">
        <f t="shared" si="5"/>
        <v>21183</v>
      </c>
      <c r="AO186" s="24"/>
      <c r="AP186" s="628">
        <v>184</v>
      </c>
      <c r="AQ186" s="642"/>
      <c r="AR186" s="642"/>
      <c r="AS186" s="642"/>
      <c r="AT186" s="642"/>
      <c r="AU186" s="642"/>
      <c r="AV186" s="642"/>
      <c r="AW186" s="642"/>
      <c r="AX186" s="642"/>
      <c r="AY186" s="642"/>
      <c r="AZ186" s="642"/>
      <c r="BA186" s="642"/>
      <c r="BB186" s="642"/>
      <c r="BC186" s="642"/>
      <c r="BD186" s="642"/>
      <c r="BE186" s="642"/>
      <c r="BF186" s="642"/>
      <c r="BG186" s="642"/>
      <c r="BH186" s="642"/>
      <c r="BI186" s="642"/>
      <c r="BJ186" s="634">
        <v>20183</v>
      </c>
      <c r="BK186" s="634">
        <v>21183</v>
      </c>
      <c r="BL186" s="642"/>
      <c r="BM186" s="642"/>
      <c r="BN186" s="642"/>
      <c r="BO186" s="642"/>
      <c r="BP186" s="642"/>
      <c r="BQ186" s="642"/>
      <c r="BR186" s="642"/>
      <c r="BS186" s="642"/>
      <c r="BT186" s="634">
        <v>30183</v>
      </c>
      <c r="BU186" s="642"/>
      <c r="BV186" s="642"/>
      <c r="BW186" s="24"/>
      <c r="BX186" s="24"/>
      <c r="BY186" s="24"/>
      <c r="BZ186" s="643"/>
      <c r="CA186" s="643"/>
      <c r="CB186" s="643"/>
      <c r="CC186" s="643"/>
      <c r="CD186" s="643"/>
      <c r="CE186" s="643"/>
      <c r="CF186" s="643"/>
      <c r="CG186" s="643"/>
      <c r="CH186" s="643"/>
      <c r="CI186" s="643"/>
      <c r="CJ186" s="643"/>
      <c r="CK186" s="643"/>
      <c r="CL186" s="643"/>
      <c r="CM186" s="643"/>
      <c r="CN186" s="643"/>
      <c r="CO186" s="643"/>
      <c r="CP186" s="643"/>
      <c r="CQ186" s="643"/>
      <c r="CR186" s="643"/>
      <c r="CS186" s="636" t="s">
        <v>2014</v>
      </c>
      <c r="CT186" s="636" t="s">
        <v>2015</v>
      </c>
      <c r="CU186" s="643"/>
      <c r="CV186" s="643"/>
      <c r="CW186" s="643"/>
      <c r="CX186" s="643"/>
      <c r="CY186" s="643"/>
      <c r="CZ186" s="643"/>
      <c r="DA186" s="643"/>
      <c r="DB186" s="643"/>
      <c r="DC186" s="636" t="s">
        <v>2016</v>
      </c>
      <c r="DD186" s="643"/>
      <c r="DE186" s="643"/>
    </row>
    <row r="187" spans="34:109" ht="15" hidden="1" customHeight="1">
      <c r="AH187" s="24"/>
      <c r="AI187" s="24"/>
      <c r="AJ187" s="24"/>
      <c r="AK187" s="24"/>
      <c r="AL187" s="630" t="str">
        <f t="shared" si="4"/>
        <v>Tlapacoya</v>
      </c>
      <c r="AM187" s="630">
        <f t="shared" si="5"/>
        <v>21184</v>
      </c>
      <c r="AO187" s="24"/>
      <c r="AP187" s="628">
        <v>185</v>
      </c>
      <c r="AQ187" s="642"/>
      <c r="AR187" s="642"/>
      <c r="AS187" s="642"/>
      <c r="AT187" s="642"/>
      <c r="AU187" s="642"/>
      <c r="AV187" s="642"/>
      <c r="AW187" s="642"/>
      <c r="AX187" s="642"/>
      <c r="AY187" s="642"/>
      <c r="AZ187" s="642"/>
      <c r="BA187" s="642"/>
      <c r="BB187" s="642"/>
      <c r="BC187" s="642"/>
      <c r="BD187" s="642"/>
      <c r="BE187" s="642"/>
      <c r="BF187" s="642"/>
      <c r="BG187" s="642"/>
      <c r="BH187" s="642"/>
      <c r="BI187" s="642"/>
      <c r="BJ187" s="634">
        <v>20184</v>
      </c>
      <c r="BK187" s="634">
        <v>21184</v>
      </c>
      <c r="BL187" s="642"/>
      <c r="BM187" s="642"/>
      <c r="BN187" s="642"/>
      <c r="BO187" s="642"/>
      <c r="BP187" s="642"/>
      <c r="BQ187" s="642"/>
      <c r="BR187" s="642"/>
      <c r="BS187" s="642"/>
      <c r="BT187" s="634">
        <v>30184</v>
      </c>
      <c r="BU187" s="642"/>
      <c r="BV187" s="642"/>
      <c r="BW187" s="24"/>
      <c r="BX187" s="24"/>
      <c r="BY187" s="24"/>
      <c r="BZ187" s="643"/>
      <c r="CA187" s="643"/>
      <c r="CB187" s="643"/>
      <c r="CC187" s="643"/>
      <c r="CD187" s="643"/>
      <c r="CE187" s="643"/>
      <c r="CF187" s="643"/>
      <c r="CG187" s="643"/>
      <c r="CH187" s="643"/>
      <c r="CI187" s="643"/>
      <c r="CJ187" s="643"/>
      <c r="CK187" s="643"/>
      <c r="CL187" s="643"/>
      <c r="CM187" s="643"/>
      <c r="CN187" s="643"/>
      <c r="CO187" s="643"/>
      <c r="CP187" s="643"/>
      <c r="CQ187" s="643"/>
      <c r="CR187" s="643"/>
      <c r="CS187" s="636" t="s">
        <v>2017</v>
      </c>
      <c r="CT187" s="636" t="s">
        <v>2018</v>
      </c>
      <c r="CU187" s="643"/>
      <c r="CV187" s="643"/>
      <c r="CW187" s="643"/>
      <c r="CX187" s="643"/>
      <c r="CY187" s="643"/>
      <c r="CZ187" s="643"/>
      <c r="DA187" s="643"/>
      <c r="DB187" s="643"/>
      <c r="DC187" s="636" t="s">
        <v>2019</v>
      </c>
      <c r="DD187" s="643"/>
      <c r="DE187" s="643"/>
    </row>
    <row r="188" spans="34:109" ht="15" hidden="1" customHeight="1">
      <c r="AH188" s="24"/>
      <c r="AI188" s="24"/>
      <c r="AJ188" s="24"/>
      <c r="AK188" s="24"/>
      <c r="AL188" s="630" t="str">
        <f t="shared" si="4"/>
        <v>Tlapanalá</v>
      </c>
      <c r="AM188" s="630">
        <f t="shared" si="5"/>
        <v>21185</v>
      </c>
      <c r="AO188" s="24"/>
      <c r="AP188" s="628">
        <v>186</v>
      </c>
      <c r="AQ188" s="642"/>
      <c r="AR188" s="642"/>
      <c r="AS188" s="642"/>
      <c r="AT188" s="642"/>
      <c r="AU188" s="642"/>
      <c r="AV188" s="642"/>
      <c r="AW188" s="642"/>
      <c r="AX188" s="642"/>
      <c r="AY188" s="642"/>
      <c r="AZ188" s="642"/>
      <c r="BA188" s="642"/>
      <c r="BB188" s="642"/>
      <c r="BC188" s="642"/>
      <c r="BD188" s="642"/>
      <c r="BE188" s="642"/>
      <c r="BF188" s="642"/>
      <c r="BG188" s="642"/>
      <c r="BH188" s="642"/>
      <c r="BI188" s="642"/>
      <c r="BJ188" s="634">
        <v>20185</v>
      </c>
      <c r="BK188" s="634">
        <v>21185</v>
      </c>
      <c r="BL188" s="642"/>
      <c r="BM188" s="642"/>
      <c r="BN188" s="642"/>
      <c r="BO188" s="642"/>
      <c r="BP188" s="642"/>
      <c r="BQ188" s="642"/>
      <c r="BR188" s="642"/>
      <c r="BS188" s="642"/>
      <c r="BT188" s="634">
        <v>30185</v>
      </c>
      <c r="BU188" s="642"/>
      <c r="BV188" s="642"/>
      <c r="BW188" s="24"/>
      <c r="BX188" s="24"/>
      <c r="BY188" s="24"/>
      <c r="BZ188" s="643"/>
      <c r="CA188" s="643"/>
      <c r="CB188" s="643"/>
      <c r="CC188" s="643"/>
      <c r="CD188" s="643"/>
      <c r="CE188" s="643"/>
      <c r="CF188" s="643"/>
      <c r="CG188" s="643"/>
      <c r="CH188" s="643"/>
      <c r="CI188" s="643"/>
      <c r="CJ188" s="643"/>
      <c r="CK188" s="643"/>
      <c r="CL188" s="643"/>
      <c r="CM188" s="643"/>
      <c r="CN188" s="643"/>
      <c r="CO188" s="643"/>
      <c r="CP188" s="643"/>
      <c r="CQ188" s="643"/>
      <c r="CR188" s="643"/>
      <c r="CS188" s="636" t="s">
        <v>2020</v>
      </c>
      <c r="CT188" s="636" t="s">
        <v>2021</v>
      </c>
      <c r="CU188" s="643"/>
      <c r="CV188" s="643"/>
      <c r="CW188" s="643"/>
      <c r="CX188" s="643"/>
      <c r="CY188" s="643"/>
      <c r="CZ188" s="643"/>
      <c r="DA188" s="643"/>
      <c r="DB188" s="643"/>
      <c r="DC188" s="636" t="s">
        <v>2022</v>
      </c>
      <c r="DD188" s="643"/>
      <c r="DE188" s="643"/>
    </row>
    <row r="189" spans="34:109" ht="15" hidden="1" customHeight="1">
      <c r="AH189" s="24"/>
      <c r="AI189" s="24"/>
      <c r="AJ189" s="24"/>
      <c r="AK189" s="24"/>
      <c r="AL189" s="630" t="str">
        <f t="shared" si="4"/>
        <v>Tlatlauquitepec</v>
      </c>
      <c r="AM189" s="630">
        <f t="shared" si="5"/>
        <v>21186</v>
      </c>
      <c r="AO189" s="24"/>
      <c r="AP189" s="628">
        <v>187</v>
      </c>
      <c r="AQ189" s="642"/>
      <c r="AR189" s="642"/>
      <c r="AS189" s="642"/>
      <c r="AT189" s="642"/>
      <c r="AU189" s="642"/>
      <c r="AV189" s="642"/>
      <c r="AW189" s="642"/>
      <c r="AX189" s="642"/>
      <c r="AY189" s="642"/>
      <c r="AZ189" s="642"/>
      <c r="BA189" s="642"/>
      <c r="BB189" s="642"/>
      <c r="BC189" s="642"/>
      <c r="BD189" s="642"/>
      <c r="BE189" s="642"/>
      <c r="BF189" s="642"/>
      <c r="BG189" s="642"/>
      <c r="BH189" s="642"/>
      <c r="BI189" s="642"/>
      <c r="BJ189" s="634">
        <v>20186</v>
      </c>
      <c r="BK189" s="634">
        <v>21186</v>
      </c>
      <c r="BL189" s="642"/>
      <c r="BM189" s="642"/>
      <c r="BN189" s="642"/>
      <c r="BO189" s="642"/>
      <c r="BP189" s="642"/>
      <c r="BQ189" s="642"/>
      <c r="BR189" s="642"/>
      <c r="BS189" s="642"/>
      <c r="BT189" s="634">
        <v>30186</v>
      </c>
      <c r="BU189" s="642"/>
      <c r="BV189" s="642"/>
      <c r="BW189" s="24"/>
      <c r="BX189" s="24"/>
      <c r="BY189" s="24"/>
      <c r="BZ189" s="643"/>
      <c r="CA189" s="643"/>
      <c r="CB189" s="643"/>
      <c r="CC189" s="643"/>
      <c r="CD189" s="643"/>
      <c r="CE189" s="643"/>
      <c r="CF189" s="643"/>
      <c r="CG189" s="643"/>
      <c r="CH189" s="643"/>
      <c r="CI189" s="643"/>
      <c r="CJ189" s="643"/>
      <c r="CK189" s="643"/>
      <c r="CL189" s="643"/>
      <c r="CM189" s="643"/>
      <c r="CN189" s="643"/>
      <c r="CO189" s="643"/>
      <c r="CP189" s="643"/>
      <c r="CQ189" s="643"/>
      <c r="CR189" s="643"/>
      <c r="CS189" s="636" t="s">
        <v>2023</v>
      </c>
      <c r="CT189" s="636" t="s">
        <v>2024</v>
      </c>
      <c r="CU189" s="643"/>
      <c r="CV189" s="643"/>
      <c r="CW189" s="643"/>
      <c r="CX189" s="643"/>
      <c r="CY189" s="643"/>
      <c r="CZ189" s="643"/>
      <c r="DA189" s="643"/>
      <c r="DB189" s="643"/>
      <c r="DC189" s="636" t="s">
        <v>1678</v>
      </c>
      <c r="DD189" s="643"/>
      <c r="DE189" s="643"/>
    </row>
    <row r="190" spans="34:109" ht="15" hidden="1" customHeight="1">
      <c r="AH190" s="24"/>
      <c r="AI190" s="24"/>
      <c r="AJ190" s="24"/>
      <c r="AK190" s="24"/>
      <c r="AL190" s="630" t="str">
        <f t="shared" si="4"/>
        <v>Tlaxco</v>
      </c>
      <c r="AM190" s="630">
        <f t="shared" si="5"/>
        <v>21187</v>
      </c>
      <c r="AO190" s="24"/>
      <c r="AP190" s="628">
        <v>188</v>
      </c>
      <c r="AQ190" s="642"/>
      <c r="AR190" s="642"/>
      <c r="AS190" s="642"/>
      <c r="AT190" s="642"/>
      <c r="AU190" s="642"/>
      <c r="AV190" s="642"/>
      <c r="AW190" s="642"/>
      <c r="AX190" s="642"/>
      <c r="AY190" s="642"/>
      <c r="AZ190" s="642"/>
      <c r="BA190" s="642"/>
      <c r="BB190" s="642"/>
      <c r="BC190" s="642"/>
      <c r="BD190" s="642"/>
      <c r="BE190" s="642"/>
      <c r="BF190" s="642"/>
      <c r="BG190" s="642"/>
      <c r="BH190" s="642"/>
      <c r="BI190" s="642"/>
      <c r="BJ190" s="634">
        <v>20187</v>
      </c>
      <c r="BK190" s="634">
        <v>21187</v>
      </c>
      <c r="BL190" s="642"/>
      <c r="BM190" s="642"/>
      <c r="BN190" s="642"/>
      <c r="BO190" s="642"/>
      <c r="BP190" s="642"/>
      <c r="BQ190" s="642"/>
      <c r="BR190" s="642"/>
      <c r="BS190" s="642"/>
      <c r="BT190" s="634">
        <v>30187</v>
      </c>
      <c r="BU190" s="642"/>
      <c r="BV190" s="642"/>
      <c r="BW190" s="24"/>
      <c r="BX190" s="24"/>
      <c r="BY190" s="24"/>
      <c r="BZ190" s="643"/>
      <c r="CA190" s="643"/>
      <c r="CB190" s="643"/>
      <c r="CC190" s="643"/>
      <c r="CD190" s="643"/>
      <c r="CE190" s="643"/>
      <c r="CF190" s="643"/>
      <c r="CG190" s="643"/>
      <c r="CH190" s="643"/>
      <c r="CI190" s="643"/>
      <c r="CJ190" s="643"/>
      <c r="CK190" s="643"/>
      <c r="CL190" s="643"/>
      <c r="CM190" s="643"/>
      <c r="CN190" s="643"/>
      <c r="CO190" s="643"/>
      <c r="CP190" s="643"/>
      <c r="CQ190" s="643"/>
      <c r="CR190" s="643"/>
      <c r="CS190" s="636" t="s">
        <v>2025</v>
      </c>
      <c r="CT190" s="636" t="s">
        <v>889</v>
      </c>
      <c r="CU190" s="643"/>
      <c r="CV190" s="643"/>
      <c r="CW190" s="643"/>
      <c r="CX190" s="643"/>
      <c r="CY190" s="643"/>
      <c r="CZ190" s="643"/>
      <c r="DA190" s="643"/>
      <c r="DB190" s="643"/>
      <c r="DC190" s="636" t="s">
        <v>2026</v>
      </c>
      <c r="DD190" s="643"/>
      <c r="DE190" s="643"/>
    </row>
    <row r="191" spans="34:109" ht="15" hidden="1" customHeight="1">
      <c r="AH191" s="24"/>
      <c r="AI191" s="24"/>
      <c r="AJ191" s="24"/>
      <c r="AK191" s="24"/>
      <c r="AL191" s="630" t="str">
        <f t="shared" si="4"/>
        <v>Tochimilco</v>
      </c>
      <c r="AM191" s="630">
        <f t="shared" si="5"/>
        <v>21188</v>
      </c>
      <c r="AO191" s="24"/>
      <c r="AP191" s="628">
        <v>189</v>
      </c>
      <c r="AQ191" s="642"/>
      <c r="AR191" s="642"/>
      <c r="AS191" s="642"/>
      <c r="AT191" s="642"/>
      <c r="AU191" s="642"/>
      <c r="AV191" s="642"/>
      <c r="AW191" s="642"/>
      <c r="AX191" s="642"/>
      <c r="AY191" s="642"/>
      <c r="AZ191" s="642"/>
      <c r="BA191" s="642"/>
      <c r="BB191" s="642"/>
      <c r="BC191" s="642"/>
      <c r="BD191" s="642"/>
      <c r="BE191" s="642"/>
      <c r="BF191" s="642"/>
      <c r="BG191" s="642"/>
      <c r="BH191" s="642"/>
      <c r="BI191" s="642"/>
      <c r="BJ191" s="634">
        <v>20188</v>
      </c>
      <c r="BK191" s="634">
        <v>21188</v>
      </c>
      <c r="BL191" s="642"/>
      <c r="BM191" s="642"/>
      <c r="BN191" s="642"/>
      <c r="BO191" s="642"/>
      <c r="BP191" s="642"/>
      <c r="BQ191" s="642"/>
      <c r="BR191" s="642"/>
      <c r="BS191" s="642"/>
      <c r="BT191" s="634">
        <v>30188</v>
      </c>
      <c r="BU191" s="642"/>
      <c r="BV191" s="642"/>
      <c r="BW191" s="24"/>
      <c r="BX191" s="24"/>
      <c r="BY191" s="24"/>
      <c r="BZ191" s="643"/>
      <c r="CA191" s="643"/>
      <c r="CB191" s="643"/>
      <c r="CC191" s="643"/>
      <c r="CD191" s="643"/>
      <c r="CE191" s="643"/>
      <c r="CF191" s="643"/>
      <c r="CG191" s="643"/>
      <c r="CH191" s="643"/>
      <c r="CI191" s="643"/>
      <c r="CJ191" s="643"/>
      <c r="CK191" s="643"/>
      <c r="CL191" s="643"/>
      <c r="CM191" s="643"/>
      <c r="CN191" s="643"/>
      <c r="CO191" s="643"/>
      <c r="CP191" s="643"/>
      <c r="CQ191" s="643"/>
      <c r="CR191" s="643"/>
      <c r="CS191" s="636" t="s">
        <v>2027</v>
      </c>
      <c r="CT191" s="636" t="s">
        <v>2028</v>
      </c>
      <c r="CU191" s="643"/>
      <c r="CV191" s="643"/>
      <c r="CW191" s="643"/>
      <c r="CX191" s="643"/>
      <c r="CY191" s="643"/>
      <c r="CZ191" s="643"/>
      <c r="DA191" s="643"/>
      <c r="DB191" s="643"/>
      <c r="DC191" s="636" t="s">
        <v>2029</v>
      </c>
      <c r="DD191" s="643"/>
      <c r="DE191" s="643"/>
    </row>
    <row r="192" spans="34:109" ht="15" hidden="1" customHeight="1">
      <c r="AH192" s="24"/>
      <c r="AI192" s="24"/>
      <c r="AJ192" s="24"/>
      <c r="AK192" s="24"/>
      <c r="AL192" s="630" t="str">
        <f t="shared" si="4"/>
        <v>Tochtepec</v>
      </c>
      <c r="AM192" s="630">
        <f t="shared" si="5"/>
        <v>21189</v>
      </c>
      <c r="AO192" s="24"/>
      <c r="AP192" s="628">
        <v>190</v>
      </c>
      <c r="AQ192" s="642"/>
      <c r="AR192" s="642"/>
      <c r="AS192" s="642"/>
      <c r="AT192" s="642"/>
      <c r="AU192" s="642"/>
      <c r="AV192" s="642"/>
      <c r="AW192" s="642"/>
      <c r="AX192" s="642"/>
      <c r="AY192" s="642"/>
      <c r="AZ192" s="642"/>
      <c r="BA192" s="642"/>
      <c r="BB192" s="642"/>
      <c r="BC192" s="642"/>
      <c r="BD192" s="642"/>
      <c r="BE192" s="642"/>
      <c r="BF192" s="642"/>
      <c r="BG192" s="642"/>
      <c r="BH192" s="642"/>
      <c r="BI192" s="642"/>
      <c r="BJ192" s="634">
        <v>20189</v>
      </c>
      <c r="BK192" s="634">
        <v>21189</v>
      </c>
      <c r="BL192" s="642"/>
      <c r="BM192" s="642"/>
      <c r="BN192" s="642"/>
      <c r="BO192" s="642"/>
      <c r="BP192" s="642"/>
      <c r="BQ192" s="642"/>
      <c r="BR192" s="642"/>
      <c r="BS192" s="642"/>
      <c r="BT192" s="634">
        <v>30189</v>
      </c>
      <c r="BU192" s="642"/>
      <c r="BV192" s="642"/>
      <c r="BW192" s="24"/>
      <c r="BX192" s="24"/>
      <c r="BY192" s="24"/>
      <c r="BZ192" s="643"/>
      <c r="CA192" s="643"/>
      <c r="CB192" s="643"/>
      <c r="CC192" s="643"/>
      <c r="CD192" s="643"/>
      <c r="CE192" s="643"/>
      <c r="CF192" s="643"/>
      <c r="CG192" s="643"/>
      <c r="CH192" s="643"/>
      <c r="CI192" s="643"/>
      <c r="CJ192" s="643"/>
      <c r="CK192" s="643"/>
      <c r="CL192" s="643"/>
      <c r="CM192" s="643"/>
      <c r="CN192" s="643"/>
      <c r="CO192" s="643"/>
      <c r="CP192" s="643"/>
      <c r="CQ192" s="643"/>
      <c r="CR192" s="643"/>
      <c r="CS192" s="636" t="s">
        <v>2030</v>
      </c>
      <c r="CT192" s="636" t="s">
        <v>2031</v>
      </c>
      <c r="CU192" s="643"/>
      <c r="CV192" s="643"/>
      <c r="CW192" s="643"/>
      <c r="CX192" s="643"/>
      <c r="CY192" s="643"/>
      <c r="CZ192" s="643"/>
      <c r="DA192" s="643"/>
      <c r="DB192" s="643"/>
      <c r="DC192" s="636" t="s">
        <v>551</v>
      </c>
      <c r="DD192" s="643"/>
      <c r="DE192" s="643"/>
    </row>
    <row r="193" spans="34:109" ht="15" hidden="1" customHeight="1">
      <c r="AH193" s="24"/>
      <c r="AI193" s="24"/>
      <c r="AJ193" s="24"/>
      <c r="AK193" s="24"/>
      <c r="AL193" s="630" t="str">
        <f t="shared" si="4"/>
        <v>Totoltepec de Guerrero</v>
      </c>
      <c r="AM193" s="630">
        <f t="shared" si="5"/>
        <v>21190</v>
      </c>
      <c r="AO193" s="24"/>
      <c r="AP193" s="628">
        <v>191</v>
      </c>
      <c r="AQ193" s="642"/>
      <c r="AR193" s="642"/>
      <c r="AS193" s="642"/>
      <c r="AT193" s="642"/>
      <c r="AU193" s="642"/>
      <c r="AV193" s="642"/>
      <c r="AW193" s="642"/>
      <c r="AX193" s="642"/>
      <c r="AY193" s="642"/>
      <c r="AZ193" s="642"/>
      <c r="BA193" s="642"/>
      <c r="BB193" s="642"/>
      <c r="BC193" s="642"/>
      <c r="BD193" s="642"/>
      <c r="BE193" s="642"/>
      <c r="BF193" s="642"/>
      <c r="BG193" s="642"/>
      <c r="BH193" s="642"/>
      <c r="BI193" s="642"/>
      <c r="BJ193" s="634">
        <v>20190</v>
      </c>
      <c r="BK193" s="634">
        <v>21190</v>
      </c>
      <c r="BL193" s="642"/>
      <c r="BM193" s="642"/>
      <c r="BN193" s="642"/>
      <c r="BO193" s="642"/>
      <c r="BP193" s="642"/>
      <c r="BQ193" s="642"/>
      <c r="BR193" s="642"/>
      <c r="BS193" s="642"/>
      <c r="BT193" s="634">
        <v>30190</v>
      </c>
      <c r="BU193" s="642"/>
      <c r="BV193" s="642"/>
      <c r="BW193" s="24"/>
      <c r="BX193" s="24"/>
      <c r="BY193" s="24"/>
      <c r="BZ193" s="643"/>
      <c r="CA193" s="643"/>
      <c r="CB193" s="643"/>
      <c r="CC193" s="643"/>
      <c r="CD193" s="643"/>
      <c r="CE193" s="643"/>
      <c r="CF193" s="643"/>
      <c r="CG193" s="643"/>
      <c r="CH193" s="643"/>
      <c r="CI193" s="643"/>
      <c r="CJ193" s="643"/>
      <c r="CK193" s="643"/>
      <c r="CL193" s="643"/>
      <c r="CM193" s="643"/>
      <c r="CN193" s="643"/>
      <c r="CO193" s="643"/>
      <c r="CP193" s="643"/>
      <c r="CQ193" s="643"/>
      <c r="CR193" s="643"/>
      <c r="CS193" s="636" t="s">
        <v>2032</v>
      </c>
      <c r="CT193" s="636" t="s">
        <v>2033</v>
      </c>
      <c r="CU193" s="643"/>
      <c r="CV193" s="643"/>
      <c r="CW193" s="643"/>
      <c r="CX193" s="643"/>
      <c r="CY193" s="643"/>
      <c r="CZ193" s="643"/>
      <c r="DA193" s="643"/>
      <c r="DB193" s="643"/>
      <c r="DC193" s="636" t="s">
        <v>2034</v>
      </c>
      <c r="DD193" s="643"/>
      <c r="DE193" s="643"/>
    </row>
    <row r="194" spans="34:109" ht="15" hidden="1" customHeight="1">
      <c r="AH194" s="24"/>
      <c r="AI194" s="24"/>
      <c r="AJ194" s="24"/>
      <c r="AK194" s="24"/>
      <c r="AL194" s="630" t="str">
        <f t="shared" si="4"/>
        <v>Tulcingo</v>
      </c>
      <c r="AM194" s="630">
        <f t="shared" si="5"/>
        <v>21191</v>
      </c>
      <c r="AO194" s="24"/>
      <c r="AP194" s="628">
        <v>192</v>
      </c>
      <c r="AQ194" s="642"/>
      <c r="AR194" s="642"/>
      <c r="AS194" s="642"/>
      <c r="AT194" s="642"/>
      <c r="AU194" s="642"/>
      <c r="AV194" s="642"/>
      <c r="AW194" s="642"/>
      <c r="AX194" s="642"/>
      <c r="AY194" s="642"/>
      <c r="AZ194" s="642"/>
      <c r="BA194" s="642"/>
      <c r="BB194" s="642"/>
      <c r="BC194" s="642"/>
      <c r="BD194" s="642"/>
      <c r="BE194" s="642"/>
      <c r="BF194" s="642"/>
      <c r="BG194" s="642"/>
      <c r="BH194" s="642"/>
      <c r="BI194" s="642"/>
      <c r="BJ194" s="634">
        <v>20191</v>
      </c>
      <c r="BK194" s="634">
        <v>21191</v>
      </c>
      <c r="BL194" s="642"/>
      <c r="BM194" s="642"/>
      <c r="BN194" s="642"/>
      <c r="BO194" s="642"/>
      <c r="BP194" s="642"/>
      <c r="BQ194" s="642"/>
      <c r="BR194" s="642"/>
      <c r="BS194" s="642"/>
      <c r="BT194" s="634">
        <v>30191</v>
      </c>
      <c r="BU194" s="642"/>
      <c r="BV194" s="642"/>
      <c r="BW194" s="24"/>
      <c r="BX194" s="24"/>
      <c r="BY194" s="24"/>
      <c r="BZ194" s="643"/>
      <c r="CA194" s="643"/>
      <c r="CB194" s="643"/>
      <c r="CC194" s="643"/>
      <c r="CD194" s="643"/>
      <c r="CE194" s="643"/>
      <c r="CF194" s="643"/>
      <c r="CG194" s="643"/>
      <c r="CH194" s="643"/>
      <c r="CI194" s="643"/>
      <c r="CJ194" s="643"/>
      <c r="CK194" s="643"/>
      <c r="CL194" s="643"/>
      <c r="CM194" s="643"/>
      <c r="CN194" s="643"/>
      <c r="CO194" s="643"/>
      <c r="CP194" s="643"/>
      <c r="CQ194" s="643"/>
      <c r="CR194" s="643"/>
      <c r="CS194" s="636" t="s">
        <v>2035</v>
      </c>
      <c r="CT194" s="636" t="s">
        <v>2036</v>
      </c>
      <c r="CU194" s="643"/>
      <c r="CV194" s="643"/>
      <c r="CW194" s="643"/>
      <c r="CX194" s="643"/>
      <c r="CY194" s="643"/>
      <c r="CZ194" s="643"/>
      <c r="DA194" s="643"/>
      <c r="DB194" s="643"/>
      <c r="DC194" s="636" t="s">
        <v>2037</v>
      </c>
      <c r="DD194" s="643"/>
      <c r="DE194" s="643"/>
    </row>
    <row r="195" spans="34:109" ht="15" hidden="1" customHeight="1">
      <c r="AH195" s="24"/>
      <c r="AI195" s="24"/>
      <c r="AJ195" s="24"/>
      <c r="AK195" s="24"/>
      <c r="AL195" s="630" t="str">
        <f t="shared" si="4"/>
        <v>Tuzamapan de Galeana</v>
      </c>
      <c r="AM195" s="630">
        <f t="shared" si="5"/>
        <v>21192</v>
      </c>
      <c r="AO195" s="24"/>
      <c r="AP195" s="628">
        <v>193</v>
      </c>
      <c r="AQ195" s="642"/>
      <c r="AR195" s="642"/>
      <c r="AS195" s="642"/>
      <c r="AT195" s="642"/>
      <c r="AU195" s="642"/>
      <c r="AV195" s="642"/>
      <c r="AW195" s="642"/>
      <c r="AX195" s="642"/>
      <c r="AY195" s="642"/>
      <c r="AZ195" s="642"/>
      <c r="BA195" s="642"/>
      <c r="BB195" s="642"/>
      <c r="BC195" s="642"/>
      <c r="BD195" s="642"/>
      <c r="BE195" s="642"/>
      <c r="BF195" s="642"/>
      <c r="BG195" s="642"/>
      <c r="BH195" s="642"/>
      <c r="BI195" s="642"/>
      <c r="BJ195" s="634">
        <v>20192</v>
      </c>
      <c r="BK195" s="634">
        <v>21192</v>
      </c>
      <c r="BL195" s="642"/>
      <c r="BM195" s="642"/>
      <c r="BN195" s="642"/>
      <c r="BO195" s="642"/>
      <c r="BP195" s="642"/>
      <c r="BQ195" s="642"/>
      <c r="BR195" s="642"/>
      <c r="BS195" s="642"/>
      <c r="BT195" s="634">
        <v>30192</v>
      </c>
      <c r="BU195" s="642"/>
      <c r="BV195" s="642"/>
      <c r="BW195" s="24"/>
      <c r="BX195" s="24"/>
      <c r="BY195" s="24"/>
      <c r="BZ195" s="643"/>
      <c r="CA195" s="643"/>
      <c r="CB195" s="643"/>
      <c r="CC195" s="643"/>
      <c r="CD195" s="643"/>
      <c r="CE195" s="643"/>
      <c r="CF195" s="643"/>
      <c r="CG195" s="643"/>
      <c r="CH195" s="643"/>
      <c r="CI195" s="643"/>
      <c r="CJ195" s="643"/>
      <c r="CK195" s="643"/>
      <c r="CL195" s="643"/>
      <c r="CM195" s="643"/>
      <c r="CN195" s="643"/>
      <c r="CO195" s="643"/>
      <c r="CP195" s="643"/>
      <c r="CQ195" s="643"/>
      <c r="CR195" s="643"/>
      <c r="CS195" s="636" t="s">
        <v>2038</v>
      </c>
      <c r="CT195" s="636" t="s">
        <v>2039</v>
      </c>
      <c r="CU195" s="643"/>
      <c r="CV195" s="643"/>
      <c r="CW195" s="643"/>
      <c r="CX195" s="643"/>
      <c r="CY195" s="643"/>
      <c r="CZ195" s="643"/>
      <c r="DA195" s="643"/>
      <c r="DB195" s="643"/>
      <c r="DC195" s="636" t="s">
        <v>2040</v>
      </c>
      <c r="DD195" s="643"/>
      <c r="DE195" s="643"/>
    </row>
    <row r="196" spans="34:109" ht="15" hidden="1" customHeight="1">
      <c r="AH196" s="24"/>
      <c r="AI196" s="24"/>
      <c r="AJ196" s="24"/>
      <c r="AK196" s="24"/>
      <c r="AL196" s="630" t="str">
        <f t="shared" ref="AL196:AL259" si="6">IFERROR(IF(HLOOKUP($N$8, $BZ$3:$DE$574, $AP196, FALSE )="", "", HLOOKUP($N$8, $BZ$3:$DE$574, $AP196, FALSE)), "")</f>
        <v>Tzicatlacoyan</v>
      </c>
      <c r="AM196" s="630">
        <f t="shared" ref="AM196:AM259" si="7">IFERROR(IF(AL196="", "", HLOOKUP($N$8, $AQ$3:$BV$574, AP196, FALSE)), "")</f>
        <v>21193</v>
      </c>
      <c r="AO196" s="24"/>
      <c r="AP196" s="628">
        <v>194</v>
      </c>
      <c r="AQ196" s="642"/>
      <c r="AR196" s="642"/>
      <c r="AS196" s="642"/>
      <c r="AT196" s="642"/>
      <c r="AU196" s="642"/>
      <c r="AV196" s="642"/>
      <c r="AW196" s="642"/>
      <c r="AX196" s="642"/>
      <c r="AY196" s="642"/>
      <c r="AZ196" s="642"/>
      <c r="BA196" s="642"/>
      <c r="BB196" s="642"/>
      <c r="BC196" s="642"/>
      <c r="BD196" s="642"/>
      <c r="BE196" s="642"/>
      <c r="BF196" s="642"/>
      <c r="BG196" s="642"/>
      <c r="BH196" s="642"/>
      <c r="BI196" s="642"/>
      <c r="BJ196" s="634">
        <v>20193</v>
      </c>
      <c r="BK196" s="634">
        <v>21193</v>
      </c>
      <c r="BL196" s="642"/>
      <c r="BM196" s="642"/>
      <c r="BN196" s="642"/>
      <c r="BO196" s="642"/>
      <c r="BP196" s="642"/>
      <c r="BQ196" s="642"/>
      <c r="BR196" s="642"/>
      <c r="BS196" s="642"/>
      <c r="BT196" s="634">
        <v>30193</v>
      </c>
      <c r="BU196" s="642"/>
      <c r="BV196" s="642"/>
      <c r="BW196" s="24"/>
      <c r="BX196" s="24"/>
      <c r="BY196" s="24"/>
      <c r="BZ196" s="643"/>
      <c r="CA196" s="643"/>
      <c r="CB196" s="643"/>
      <c r="CC196" s="643"/>
      <c r="CD196" s="643"/>
      <c r="CE196" s="643"/>
      <c r="CF196" s="643"/>
      <c r="CG196" s="643"/>
      <c r="CH196" s="643"/>
      <c r="CI196" s="643"/>
      <c r="CJ196" s="643"/>
      <c r="CK196" s="643"/>
      <c r="CL196" s="643"/>
      <c r="CM196" s="643"/>
      <c r="CN196" s="643"/>
      <c r="CO196" s="643"/>
      <c r="CP196" s="643"/>
      <c r="CQ196" s="643"/>
      <c r="CR196" s="643"/>
      <c r="CS196" s="636" t="s">
        <v>2041</v>
      </c>
      <c r="CT196" s="636" t="s">
        <v>2042</v>
      </c>
      <c r="CU196" s="643"/>
      <c r="CV196" s="643"/>
      <c r="CW196" s="643"/>
      <c r="CX196" s="643"/>
      <c r="CY196" s="643"/>
      <c r="CZ196" s="643"/>
      <c r="DA196" s="643"/>
      <c r="DB196" s="643"/>
      <c r="DC196" s="636" t="s">
        <v>2043</v>
      </c>
      <c r="DD196" s="643"/>
      <c r="DE196" s="643"/>
    </row>
    <row r="197" spans="34:109" ht="15" hidden="1" customHeight="1">
      <c r="AH197" s="24"/>
      <c r="AI197" s="24"/>
      <c r="AJ197" s="24"/>
      <c r="AK197" s="24"/>
      <c r="AL197" s="630" t="str">
        <f t="shared" si="6"/>
        <v>Venustiano Carranza</v>
      </c>
      <c r="AM197" s="630">
        <f t="shared" si="7"/>
        <v>21194</v>
      </c>
      <c r="AO197" s="24"/>
      <c r="AP197" s="628">
        <v>195</v>
      </c>
      <c r="AQ197" s="642"/>
      <c r="AR197" s="642"/>
      <c r="AS197" s="642"/>
      <c r="AT197" s="642"/>
      <c r="AU197" s="642"/>
      <c r="AV197" s="642"/>
      <c r="AW197" s="642"/>
      <c r="AX197" s="642"/>
      <c r="AY197" s="642"/>
      <c r="AZ197" s="642"/>
      <c r="BA197" s="642"/>
      <c r="BB197" s="642"/>
      <c r="BC197" s="642"/>
      <c r="BD197" s="642"/>
      <c r="BE197" s="642"/>
      <c r="BF197" s="642"/>
      <c r="BG197" s="642"/>
      <c r="BH197" s="642"/>
      <c r="BI197" s="642"/>
      <c r="BJ197" s="634">
        <v>20194</v>
      </c>
      <c r="BK197" s="634">
        <v>21194</v>
      </c>
      <c r="BL197" s="642"/>
      <c r="BM197" s="642"/>
      <c r="BN197" s="642"/>
      <c r="BO197" s="642"/>
      <c r="BP197" s="642"/>
      <c r="BQ197" s="642"/>
      <c r="BR197" s="642"/>
      <c r="BS197" s="642"/>
      <c r="BT197" s="634">
        <v>30194</v>
      </c>
      <c r="BU197" s="642"/>
      <c r="BV197" s="642"/>
      <c r="BW197" s="24"/>
      <c r="BX197" s="24"/>
      <c r="BY197" s="24"/>
      <c r="BZ197" s="643"/>
      <c r="CA197" s="643"/>
      <c r="CB197" s="643"/>
      <c r="CC197" s="643"/>
      <c r="CD197" s="643"/>
      <c r="CE197" s="643"/>
      <c r="CF197" s="643"/>
      <c r="CG197" s="643"/>
      <c r="CH197" s="643"/>
      <c r="CI197" s="643"/>
      <c r="CJ197" s="643"/>
      <c r="CK197" s="643"/>
      <c r="CL197" s="643"/>
      <c r="CM197" s="643"/>
      <c r="CN197" s="643"/>
      <c r="CO197" s="643"/>
      <c r="CP197" s="643"/>
      <c r="CQ197" s="643"/>
      <c r="CR197" s="643"/>
      <c r="CS197" s="636" t="s">
        <v>504</v>
      </c>
      <c r="CT197" s="636" t="s">
        <v>491</v>
      </c>
      <c r="CU197" s="643"/>
      <c r="CV197" s="643"/>
      <c r="CW197" s="643"/>
      <c r="CX197" s="643"/>
      <c r="CY197" s="643"/>
      <c r="CZ197" s="643"/>
      <c r="DA197" s="643"/>
      <c r="DB197" s="643"/>
      <c r="DC197" s="636" t="s">
        <v>2044</v>
      </c>
      <c r="DD197" s="643"/>
      <c r="DE197" s="643"/>
    </row>
    <row r="198" spans="34:109" ht="15" hidden="1" customHeight="1">
      <c r="AH198" s="24"/>
      <c r="AI198" s="24"/>
      <c r="AJ198" s="24"/>
      <c r="AK198" s="24"/>
      <c r="AL198" s="630" t="str">
        <f t="shared" si="6"/>
        <v>Vicente Guerrero</v>
      </c>
      <c r="AM198" s="630">
        <f t="shared" si="7"/>
        <v>21195</v>
      </c>
      <c r="AO198" s="24"/>
      <c r="AP198" s="628">
        <v>196</v>
      </c>
      <c r="AQ198" s="642"/>
      <c r="AR198" s="642"/>
      <c r="AS198" s="642"/>
      <c r="AT198" s="642"/>
      <c r="AU198" s="642"/>
      <c r="AV198" s="642"/>
      <c r="AW198" s="642"/>
      <c r="AX198" s="642"/>
      <c r="AY198" s="642"/>
      <c r="AZ198" s="642"/>
      <c r="BA198" s="642"/>
      <c r="BB198" s="642"/>
      <c r="BC198" s="642"/>
      <c r="BD198" s="642"/>
      <c r="BE198" s="642"/>
      <c r="BF198" s="642"/>
      <c r="BG198" s="642"/>
      <c r="BH198" s="642"/>
      <c r="BI198" s="642"/>
      <c r="BJ198" s="634">
        <v>20195</v>
      </c>
      <c r="BK198" s="634">
        <v>21195</v>
      </c>
      <c r="BL198" s="642"/>
      <c r="BM198" s="642"/>
      <c r="BN198" s="642"/>
      <c r="BO198" s="642"/>
      <c r="BP198" s="642"/>
      <c r="BQ198" s="642"/>
      <c r="BR198" s="642"/>
      <c r="BS198" s="642"/>
      <c r="BT198" s="634">
        <v>30195</v>
      </c>
      <c r="BU198" s="642"/>
      <c r="BV198" s="642"/>
      <c r="BW198" s="24"/>
      <c r="BX198" s="24"/>
      <c r="BY198" s="24"/>
      <c r="BZ198" s="643"/>
      <c r="CA198" s="643"/>
      <c r="CB198" s="643"/>
      <c r="CC198" s="643"/>
      <c r="CD198" s="643"/>
      <c r="CE198" s="643"/>
      <c r="CF198" s="643"/>
      <c r="CG198" s="643"/>
      <c r="CH198" s="643"/>
      <c r="CI198" s="643"/>
      <c r="CJ198" s="643"/>
      <c r="CK198" s="643"/>
      <c r="CL198" s="643"/>
      <c r="CM198" s="643"/>
      <c r="CN198" s="643"/>
      <c r="CO198" s="643"/>
      <c r="CP198" s="643"/>
      <c r="CQ198" s="643"/>
      <c r="CR198" s="643"/>
      <c r="CS198" s="636" t="s">
        <v>2045</v>
      </c>
      <c r="CT198" s="636" t="s">
        <v>955</v>
      </c>
      <c r="CU198" s="643"/>
      <c r="CV198" s="643"/>
      <c r="CW198" s="643"/>
      <c r="CX198" s="643"/>
      <c r="CY198" s="643"/>
      <c r="CZ198" s="643"/>
      <c r="DA198" s="643"/>
      <c r="DB198" s="643"/>
      <c r="DC198" s="636" t="s">
        <v>903</v>
      </c>
      <c r="DD198" s="643"/>
      <c r="DE198" s="643"/>
    </row>
    <row r="199" spans="34:109" ht="15" hidden="1" customHeight="1">
      <c r="AH199" s="24"/>
      <c r="AI199" s="24"/>
      <c r="AJ199" s="24"/>
      <c r="AK199" s="24"/>
      <c r="AL199" s="630" t="str">
        <f t="shared" si="6"/>
        <v>Xayacatlán de Bravo</v>
      </c>
      <c r="AM199" s="630">
        <f t="shared" si="7"/>
        <v>21196</v>
      </c>
      <c r="AO199" s="24"/>
      <c r="AP199" s="628">
        <v>197</v>
      </c>
      <c r="AQ199" s="642"/>
      <c r="AR199" s="642"/>
      <c r="AS199" s="642"/>
      <c r="AT199" s="642"/>
      <c r="AU199" s="642"/>
      <c r="AV199" s="642"/>
      <c r="AW199" s="642"/>
      <c r="AX199" s="642"/>
      <c r="AY199" s="642"/>
      <c r="AZ199" s="642"/>
      <c r="BA199" s="642"/>
      <c r="BB199" s="642"/>
      <c r="BC199" s="642"/>
      <c r="BD199" s="642"/>
      <c r="BE199" s="642"/>
      <c r="BF199" s="642"/>
      <c r="BG199" s="642"/>
      <c r="BH199" s="642"/>
      <c r="BI199" s="642"/>
      <c r="BJ199" s="634">
        <v>20196</v>
      </c>
      <c r="BK199" s="634">
        <v>21196</v>
      </c>
      <c r="BL199" s="642"/>
      <c r="BM199" s="642"/>
      <c r="BN199" s="642"/>
      <c r="BO199" s="642"/>
      <c r="BP199" s="642"/>
      <c r="BQ199" s="642"/>
      <c r="BR199" s="642"/>
      <c r="BS199" s="642"/>
      <c r="BT199" s="634">
        <v>30196</v>
      </c>
      <c r="BU199" s="642"/>
      <c r="BV199" s="642"/>
      <c r="BW199" s="24"/>
      <c r="BX199" s="24"/>
      <c r="BY199" s="24"/>
      <c r="BZ199" s="643"/>
      <c r="CA199" s="643"/>
      <c r="CB199" s="643"/>
      <c r="CC199" s="643"/>
      <c r="CD199" s="643"/>
      <c r="CE199" s="643"/>
      <c r="CF199" s="643"/>
      <c r="CG199" s="643"/>
      <c r="CH199" s="643"/>
      <c r="CI199" s="643"/>
      <c r="CJ199" s="643"/>
      <c r="CK199" s="643"/>
      <c r="CL199" s="643"/>
      <c r="CM199" s="643"/>
      <c r="CN199" s="643"/>
      <c r="CO199" s="643"/>
      <c r="CP199" s="643"/>
      <c r="CQ199" s="643"/>
      <c r="CR199" s="643"/>
      <c r="CS199" s="636" t="s">
        <v>2046</v>
      </c>
      <c r="CT199" s="636" t="s">
        <v>2047</v>
      </c>
      <c r="CU199" s="643"/>
      <c r="CV199" s="643"/>
      <c r="CW199" s="643"/>
      <c r="CX199" s="643"/>
      <c r="CY199" s="643"/>
      <c r="CZ199" s="643"/>
      <c r="DA199" s="643"/>
      <c r="DB199" s="643"/>
      <c r="DC199" s="636" t="s">
        <v>2048</v>
      </c>
      <c r="DD199" s="643"/>
      <c r="DE199" s="643"/>
    </row>
    <row r="200" spans="34:109" ht="15" hidden="1" customHeight="1">
      <c r="AH200" s="24"/>
      <c r="AI200" s="24"/>
      <c r="AJ200" s="24"/>
      <c r="AK200" s="24"/>
      <c r="AL200" s="630" t="str">
        <f t="shared" si="6"/>
        <v>Xicotepec</v>
      </c>
      <c r="AM200" s="630">
        <f t="shared" si="7"/>
        <v>21197</v>
      </c>
      <c r="AO200" s="24"/>
      <c r="AP200" s="628">
        <v>198</v>
      </c>
      <c r="AQ200" s="642"/>
      <c r="AR200" s="642"/>
      <c r="AS200" s="642"/>
      <c r="AT200" s="642"/>
      <c r="AU200" s="642"/>
      <c r="AV200" s="642"/>
      <c r="AW200" s="642"/>
      <c r="AX200" s="642"/>
      <c r="AY200" s="642"/>
      <c r="AZ200" s="642"/>
      <c r="BA200" s="642"/>
      <c r="BB200" s="642"/>
      <c r="BC200" s="642"/>
      <c r="BD200" s="642"/>
      <c r="BE200" s="642"/>
      <c r="BF200" s="642"/>
      <c r="BG200" s="642"/>
      <c r="BH200" s="642"/>
      <c r="BI200" s="642"/>
      <c r="BJ200" s="634">
        <v>20197</v>
      </c>
      <c r="BK200" s="634">
        <v>21197</v>
      </c>
      <c r="BL200" s="642"/>
      <c r="BM200" s="642"/>
      <c r="BN200" s="642"/>
      <c r="BO200" s="642"/>
      <c r="BP200" s="642"/>
      <c r="BQ200" s="642"/>
      <c r="BR200" s="642"/>
      <c r="BS200" s="642"/>
      <c r="BT200" s="634">
        <v>30197</v>
      </c>
      <c r="BU200" s="642"/>
      <c r="BV200" s="642"/>
      <c r="BW200" s="24"/>
      <c r="BX200" s="24"/>
      <c r="BY200" s="24"/>
      <c r="BZ200" s="643"/>
      <c r="CA200" s="643"/>
      <c r="CB200" s="643"/>
      <c r="CC200" s="643"/>
      <c r="CD200" s="643"/>
      <c r="CE200" s="643"/>
      <c r="CF200" s="643"/>
      <c r="CG200" s="643"/>
      <c r="CH200" s="643"/>
      <c r="CI200" s="643"/>
      <c r="CJ200" s="643"/>
      <c r="CK200" s="643"/>
      <c r="CL200" s="643"/>
      <c r="CM200" s="643"/>
      <c r="CN200" s="643"/>
      <c r="CO200" s="643"/>
      <c r="CP200" s="643"/>
      <c r="CQ200" s="643"/>
      <c r="CR200" s="643"/>
      <c r="CS200" s="636" t="s">
        <v>2049</v>
      </c>
      <c r="CT200" s="636" t="s">
        <v>2050</v>
      </c>
      <c r="CU200" s="643"/>
      <c r="CV200" s="643"/>
      <c r="CW200" s="643"/>
      <c r="CX200" s="643"/>
      <c r="CY200" s="643"/>
      <c r="CZ200" s="643"/>
      <c r="DA200" s="643"/>
      <c r="DB200" s="643"/>
      <c r="DC200" s="636" t="s">
        <v>2051</v>
      </c>
      <c r="DD200" s="643"/>
      <c r="DE200" s="643"/>
    </row>
    <row r="201" spans="34:109" ht="15" hidden="1" customHeight="1">
      <c r="AH201" s="24"/>
      <c r="AI201" s="24"/>
      <c r="AJ201" s="24"/>
      <c r="AK201" s="24"/>
      <c r="AL201" s="630" t="str">
        <f t="shared" si="6"/>
        <v>Xicotlán</v>
      </c>
      <c r="AM201" s="630">
        <f t="shared" si="7"/>
        <v>21198</v>
      </c>
      <c r="AO201" s="24"/>
      <c r="AP201" s="628">
        <v>199</v>
      </c>
      <c r="AQ201" s="642"/>
      <c r="AR201" s="642"/>
      <c r="AS201" s="642"/>
      <c r="AT201" s="642"/>
      <c r="AU201" s="642"/>
      <c r="AV201" s="642"/>
      <c r="AW201" s="642"/>
      <c r="AX201" s="642"/>
      <c r="AY201" s="642"/>
      <c r="AZ201" s="642"/>
      <c r="BA201" s="642"/>
      <c r="BB201" s="642"/>
      <c r="BC201" s="642"/>
      <c r="BD201" s="642"/>
      <c r="BE201" s="642"/>
      <c r="BF201" s="642"/>
      <c r="BG201" s="642"/>
      <c r="BH201" s="642"/>
      <c r="BI201" s="642"/>
      <c r="BJ201" s="634">
        <v>20198</v>
      </c>
      <c r="BK201" s="634">
        <v>21198</v>
      </c>
      <c r="BL201" s="642"/>
      <c r="BM201" s="642"/>
      <c r="BN201" s="642"/>
      <c r="BO201" s="642"/>
      <c r="BP201" s="642"/>
      <c r="BQ201" s="642"/>
      <c r="BR201" s="642"/>
      <c r="BS201" s="642"/>
      <c r="BT201" s="634">
        <v>30198</v>
      </c>
      <c r="BU201" s="642"/>
      <c r="BV201" s="642"/>
      <c r="BW201" s="24"/>
      <c r="BX201" s="24"/>
      <c r="BY201" s="24"/>
      <c r="BZ201" s="643"/>
      <c r="CA201" s="643"/>
      <c r="CB201" s="643"/>
      <c r="CC201" s="643"/>
      <c r="CD201" s="643"/>
      <c r="CE201" s="643"/>
      <c r="CF201" s="643"/>
      <c r="CG201" s="643"/>
      <c r="CH201" s="643"/>
      <c r="CI201" s="643"/>
      <c r="CJ201" s="643"/>
      <c r="CK201" s="643"/>
      <c r="CL201" s="643"/>
      <c r="CM201" s="643"/>
      <c r="CN201" s="643"/>
      <c r="CO201" s="643"/>
      <c r="CP201" s="643"/>
      <c r="CQ201" s="643"/>
      <c r="CR201" s="643"/>
      <c r="CS201" s="636" t="s">
        <v>2052</v>
      </c>
      <c r="CT201" s="636" t="s">
        <v>2053</v>
      </c>
      <c r="CU201" s="643"/>
      <c r="CV201" s="643"/>
      <c r="CW201" s="643"/>
      <c r="CX201" s="643"/>
      <c r="CY201" s="643"/>
      <c r="CZ201" s="643"/>
      <c r="DA201" s="643"/>
      <c r="DB201" s="643"/>
      <c r="DC201" s="636" t="s">
        <v>1798</v>
      </c>
      <c r="DD201" s="643"/>
      <c r="DE201" s="643"/>
    </row>
    <row r="202" spans="34:109" ht="15" hidden="1" customHeight="1">
      <c r="AH202" s="24"/>
      <c r="AI202" s="24"/>
      <c r="AJ202" s="24"/>
      <c r="AK202" s="24"/>
      <c r="AL202" s="630" t="str">
        <f t="shared" si="6"/>
        <v>Xiutetelco</v>
      </c>
      <c r="AM202" s="630">
        <f t="shared" si="7"/>
        <v>21199</v>
      </c>
      <c r="AO202" s="24"/>
      <c r="AP202" s="628">
        <v>200</v>
      </c>
      <c r="AQ202" s="642"/>
      <c r="AR202" s="642"/>
      <c r="AS202" s="642"/>
      <c r="AT202" s="642"/>
      <c r="AU202" s="642"/>
      <c r="AV202" s="642"/>
      <c r="AW202" s="642"/>
      <c r="AX202" s="642"/>
      <c r="AY202" s="642"/>
      <c r="AZ202" s="642"/>
      <c r="BA202" s="642"/>
      <c r="BB202" s="642"/>
      <c r="BC202" s="642"/>
      <c r="BD202" s="642"/>
      <c r="BE202" s="642"/>
      <c r="BF202" s="642"/>
      <c r="BG202" s="642"/>
      <c r="BH202" s="642"/>
      <c r="BI202" s="642"/>
      <c r="BJ202" s="634">
        <v>20199</v>
      </c>
      <c r="BK202" s="634">
        <v>21199</v>
      </c>
      <c r="BL202" s="642"/>
      <c r="BM202" s="642"/>
      <c r="BN202" s="642"/>
      <c r="BO202" s="642"/>
      <c r="BP202" s="642"/>
      <c r="BQ202" s="642"/>
      <c r="BR202" s="642"/>
      <c r="BS202" s="642"/>
      <c r="BT202" s="634">
        <v>30199</v>
      </c>
      <c r="BU202" s="642"/>
      <c r="BV202" s="642"/>
      <c r="BW202" s="24"/>
      <c r="BX202" s="24"/>
      <c r="BY202" s="24"/>
      <c r="BZ202" s="643"/>
      <c r="CA202" s="643"/>
      <c r="CB202" s="643"/>
      <c r="CC202" s="643"/>
      <c r="CD202" s="643"/>
      <c r="CE202" s="643"/>
      <c r="CF202" s="643"/>
      <c r="CG202" s="643"/>
      <c r="CH202" s="643"/>
      <c r="CI202" s="643"/>
      <c r="CJ202" s="643"/>
      <c r="CK202" s="643"/>
      <c r="CL202" s="643"/>
      <c r="CM202" s="643"/>
      <c r="CN202" s="643"/>
      <c r="CO202" s="643"/>
      <c r="CP202" s="643"/>
      <c r="CQ202" s="643"/>
      <c r="CR202" s="643"/>
      <c r="CS202" s="636" t="s">
        <v>2054</v>
      </c>
      <c r="CT202" s="636" t="s">
        <v>2055</v>
      </c>
      <c r="CU202" s="643"/>
      <c r="CV202" s="643"/>
      <c r="CW202" s="643"/>
      <c r="CX202" s="643"/>
      <c r="CY202" s="643"/>
      <c r="CZ202" s="643"/>
      <c r="DA202" s="643"/>
      <c r="DB202" s="643"/>
      <c r="DC202" s="636" t="s">
        <v>952</v>
      </c>
      <c r="DD202" s="643"/>
      <c r="DE202" s="643"/>
    </row>
    <row r="203" spans="34:109" ht="15" hidden="1" customHeight="1">
      <c r="AH203" s="24"/>
      <c r="AI203" s="24"/>
      <c r="AJ203" s="24"/>
      <c r="AK203" s="24"/>
      <c r="AL203" s="630" t="str">
        <f t="shared" si="6"/>
        <v>Xochiapulco</v>
      </c>
      <c r="AM203" s="630">
        <f t="shared" si="7"/>
        <v>21200</v>
      </c>
      <c r="AO203" s="24"/>
      <c r="AP203" s="628">
        <v>201</v>
      </c>
      <c r="AQ203" s="642"/>
      <c r="AR203" s="642"/>
      <c r="AS203" s="642"/>
      <c r="AT203" s="642"/>
      <c r="AU203" s="642"/>
      <c r="AV203" s="642"/>
      <c r="AW203" s="642"/>
      <c r="AX203" s="642"/>
      <c r="AY203" s="642"/>
      <c r="AZ203" s="642"/>
      <c r="BA203" s="642"/>
      <c r="BB203" s="642"/>
      <c r="BC203" s="642"/>
      <c r="BD203" s="642"/>
      <c r="BE203" s="642"/>
      <c r="BF203" s="642"/>
      <c r="BG203" s="642"/>
      <c r="BH203" s="642"/>
      <c r="BI203" s="642"/>
      <c r="BJ203" s="634">
        <v>20200</v>
      </c>
      <c r="BK203" s="634">
        <v>21200</v>
      </c>
      <c r="BL203" s="642"/>
      <c r="BM203" s="642"/>
      <c r="BN203" s="642"/>
      <c r="BO203" s="642"/>
      <c r="BP203" s="642"/>
      <c r="BQ203" s="642"/>
      <c r="BR203" s="642"/>
      <c r="BS203" s="642"/>
      <c r="BT203" s="634">
        <v>30200</v>
      </c>
      <c r="BU203" s="642"/>
      <c r="BV203" s="642"/>
      <c r="BW203" s="24"/>
      <c r="BX203" s="24"/>
      <c r="BY203" s="24"/>
      <c r="BZ203" s="643"/>
      <c r="CA203" s="643"/>
      <c r="CB203" s="643"/>
      <c r="CC203" s="643"/>
      <c r="CD203" s="643"/>
      <c r="CE203" s="643"/>
      <c r="CF203" s="643"/>
      <c r="CG203" s="643"/>
      <c r="CH203" s="643"/>
      <c r="CI203" s="643"/>
      <c r="CJ203" s="643"/>
      <c r="CK203" s="643"/>
      <c r="CL203" s="643"/>
      <c r="CM203" s="643"/>
      <c r="CN203" s="643"/>
      <c r="CO203" s="643"/>
      <c r="CP203" s="643"/>
      <c r="CQ203" s="643"/>
      <c r="CR203" s="643"/>
      <c r="CS203" s="636" t="s">
        <v>2056</v>
      </c>
      <c r="CT203" s="636" t="s">
        <v>2057</v>
      </c>
      <c r="CU203" s="643"/>
      <c r="CV203" s="643"/>
      <c r="CW203" s="643"/>
      <c r="CX203" s="643"/>
      <c r="CY203" s="643"/>
      <c r="CZ203" s="643"/>
      <c r="DA203" s="643"/>
      <c r="DB203" s="643"/>
      <c r="DC203" s="636" t="s">
        <v>2058</v>
      </c>
      <c r="DD203" s="643"/>
      <c r="DE203" s="643"/>
    </row>
    <row r="204" spans="34:109" ht="15" hidden="1" customHeight="1">
      <c r="AH204" s="24"/>
      <c r="AI204" s="24"/>
      <c r="AJ204" s="24"/>
      <c r="AK204" s="24"/>
      <c r="AL204" s="630" t="str">
        <f t="shared" si="6"/>
        <v>Xochiltepec</v>
      </c>
      <c r="AM204" s="630">
        <f t="shared" si="7"/>
        <v>21201</v>
      </c>
      <c r="AO204" s="24"/>
      <c r="AP204" s="628">
        <v>202</v>
      </c>
      <c r="AQ204" s="642"/>
      <c r="AR204" s="642"/>
      <c r="AS204" s="642"/>
      <c r="AT204" s="642"/>
      <c r="AU204" s="642"/>
      <c r="AV204" s="642"/>
      <c r="AW204" s="642"/>
      <c r="AX204" s="642"/>
      <c r="AY204" s="642"/>
      <c r="AZ204" s="642"/>
      <c r="BA204" s="642"/>
      <c r="BB204" s="642"/>
      <c r="BC204" s="642"/>
      <c r="BD204" s="642"/>
      <c r="BE204" s="642"/>
      <c r="BF204" s="642"/>
      <c r="BG204" s="642"/>
      <c r="BH204" s="642"/>
      <c r="BI204" s="642"/>
      <c r="BJ204" s="634">
        <v>20201</v>
      </c>
      <c r="BK204" s="634">
        <v>21201</v>
      </c>
      <c r="BL204" s="642"/>
      <c r="BM204" s="642"/>
      <c r="BN204" s="642"/>
      <c r="BO204" s="642"/>
      <c r="BP204" s="642"/>
      <c r="BQ204" s="642"/>
      <c r="BR204" s="642"/>
      <c r="BS204" s="642"/>
      <c r="BT204" s="634">
        <v>30201</v>
      </c>
      <c r="BU204" s="642"/>
      <c r="BV204" s="642"/>
      <c r="BW204" s="24"/>
      <c r="BX204" s="24"/>
      <c r="BY204" s="24"/>
      <c r="BZ204" s="643"/>
      <c r="CA204" s="643"/>
      <c r="CB204" s="643"/>
      <c r="CC204" s="643"/>
      <c r="CD204" s="643"/>
      <c r="CE204" s="643"/>
      <c r="CF204" s="643"/>
      <c r="CG204" s="643"/>
      <c r="CH204" s="643"/>
      <c r="CI204" s="643"/>
      <c r="CJ204" s="643"/>
      <c r="CK204" s="643"/>
      <c r="CL204" s="643"/>
      <c r="CM204" s="643"/>
      <c r="CN204" s="643"/>
      <c r="CO204" s="643"/>
      <c r="CP204" s="643"/>
      <c r="CQ204" s="643"/>
      <c r="CR204" s="643"/>
      <c r="CS204" s="636" t="s">
        <v>2059</v>
      </c>
      <c r="CT204" s="636" t="s">
        <v>2060</v>
      </c>
      <c r="CU204" s="643"/>
      <c r="CV204" s="643"/>
      <c r="CW204" s="643"/>
      <c r="CX204" s="643"/>
      <c r="CY204" s="643"/>
      <c r="CZ204" s="643"/>
      <c r="DA204" s="643"/>
      <c r="DB204" s="643"/>
      <c r="DC204" s="636" t="s">
        <v>2061</v>
      </c>
      <c r="DD204" s="643"/>
      <c r="DE204" s="643"/>
    </row>
    <row r="205" spans="34:109" ht="15" hidden="1" customHeight="1">
      <c r="AH205" s="24"/>
      <c r="AI205" s="24"/>
      <c r="AJ205" s="24"/>
      <c r="AK205" s="24"/>
      <c r="AL205" s="630" t="str">
        <f t="shared" si="6"/>
        <v>Xochitlán de Vicente Suárez</v>
      </c>
      <c r="AM205" s="630">
        <f t="shared" si="7"/>
        <v>21202</v>
      </c>
      <c r="AO205" s="24"/>
      <c r="AP205" s="628">
        <v>203</v>
      </c>
      <c r="AQ205" s="642"/>
      <c r="AR205" s="642"/>
      <c r="AS205" s="642"/>
      <c r="AT205" s="642"/>
      <c r="AU205" s="642"/>
      <c r="AV205" s="642"/>
      <c r="AW205" s="642"/>
      <c r="AX205" s="642"/>
      <c r="AY205" s="642"/>
      <c r="AZ205" s="642"/>
      <c r="BA205" s="642"/>
      <c r="BB205" s="642"/>
      <c r="BC205" s="642"/>
      <c r="BD205" s="642"/>
      <c r="BE205" s="642"/>
      <c r="BF205" s="642"/>
      <c r="BG205" s="642"/>
      <c r="BH205" s="642"/>
      <c r="BI205" s="642"/>
      <c r="BJ205" s="634">
        <v>20202</v>
      </c>
      <c r="BK205" s="634">
        <v>21202</v>
      </c>
      <c r="BL205" s="642"/>
      <c r="BM205" s="642"/>
      <c r="BN205" s="642"/>
      <c r="BO205" s="642"/>
      <c r="BP205" s="642"/>
      <c r="BQ205" s="642"/>
      <c r="BR205" s="642"/>
      <c r="BS205" s="642"/>
      <c r="BT205" s="634">
        <v>30202</v>
      </c>
      <c r="BU205" s="642"/>
      <c r="BV205" s="642"/>
      <c r="BW205" s="24"/>
      <c r="BX205" s="24"/>
      <c r="BY205" s="24"/>
      <c r="BZ205" s="643"/>
      <c r="CA205" s="643"/>
      <c r="CB205" s="643"/>
      <c r="CC205" s="643"/>
      <c r="CD205" s="643"/>
      <c r="CE205" s="643"/>
      <c r="CF205" s="643"/>
      <c r="CG205" s="643"/>
      <c r="CH205" s="643"/>
      <c r="CI205" s="643"/>
      <c r="CJ205" s="643"/>
      <c r="CK205" s="643"/>
      <c r="CL205" s="643"/>
      <c r="CM205" s="643"/>
      <c r="CN205" s="643"/>
      <c r="CO205" s="643"/>
      <c r="CP205" s="643"/>
      <c r="CQ205" s="643"/>
      <c r="CR205" s="643"/>
      <c r="CS205" s="636" t="s">
        <v>2062</v>
      </c>
      <c r="CT205" s="636" t="s">
        <v>2063</v>
      </c>
      <c r="CU205" s="643"/>
      <c r="CV205" s="643"/>
      <c r="CW205" s="643"/>
      <c r="CX205" s="643"/>
      <c r="CY205" s="643"/>
      <c r="CZ205" s="643"/>
      <c r="DA205" s="643"/>
      <c r="DB205" s="643"/>
      <c r="DC205" s="636" t="s">
        <v>2064</v>
      </c>
      <c r="DD205" s="643"/>
      <c r="DE205" s="643"/>
    </row>
    <row r="206" spans="34:109" ht="15" hidden="1" customHeight="1">
      <c r="AH206" s="24"/>
      <c r="AI206" s="24"/>
      <c r="AJ206" s="24"/>
      <c r="AK206" s="24"/>
      <c r="AL206" s="630" t="str">
        <f t="shared" si="6"/>
        <v>Xochitlán Todos Santos</v>
      </c>
      <c r="AM206" s="630">
        <f t="shared" si="7"/>
        <v>21203</v>
      </c>
      <c r="AO206" s="24"/>
      <c r="AP206" s="628">
        <v>204</v>
      </c>
      <c r="AQ206" s="642"/>
      <c r="AR206" s="642"/>
      <c r="AS206" s="642"/>
      <c r="AT206" s="642"/>
      <c r="AU206" s="642"/>
      <c r="AV206" s="642"/>
      <c r="AW206" s="642"/>
      <c r="AX206" s="642"/>
      <c r="AY206" s="642"/>
      <c r="AZ206" s="642"/>
      <c r="BA206" s="642"/>
      <c r="BB206" s="642"/>
      <c r="BC206" s="642"/>
      <c r="BD206" s="642"/>
      <c r="BE206" s="642"/>
      <c r="BF206" s="642"/>
      <c r="BG206" s="642"/>
      <c r="BH206" s="642"/>
      <c r="BI206" s="642"/>
      <c r="BJ206" s="634">
        <v>20203</v>
      </c>
      <c r="BK206" s="634">
        <v>21203</v>
      </c>
      <c r="BL206" s="642"/>
      <c r="BM206" s="642"/>
      <c r="BN206" s="642"/>
      <c r="BO206" s="642"/>
      <c r="BP206" s="642"/>
      <c r="BQ206" s="642"/>
      <c r="BR206" s="642"/>
      <c r="BS206" s="642"/>
      <c r="BT206" s="634">
        <v>30203</v>
      </c>
      <c r="BU206" s="642"/>
      <c r="BV206" s="642"/>
      <c r="BW206" s="24"/>
      <c r="BX206" s="24"/>
      <c r="BY206" s="24"/>
      <c r="BZ206" s="643"/>
      <c r="CA206" s="643"/>
      <c r="CB206" s="643"/>
      <c r="CC206" s="643"/>
      <c r="CD206" s="643"/>
      <c r="CE206" s="643"/>
      <c r="CF206" s="643"/>
      <c r="CG206" s="643"/>
      <c r="CH206" s="643"/>
      <c r="CI206" s="643"/>
      <c r="CJ206" s="643"/>
      <c r="CK206" s="643"/>
      <c r="CL206" s="643"/>
      <c r="CM206" s="643"/>
      <c r="CN206" s="643"/>
      <c r="CO206" s="643"/>
      <c r="CP206" s="643"/>
      <c r="CQ206" s="643"/>
      <c r="CR206" s="643"/>
      <c r="CS206" s="636" t="s">
        <v>2065</v>
      </c>
      <c r="CT206" s="636" t="s">
        <v>2066</v>
      </c>
      <c r="CU206" s="643"/>
      <c r="CV206" s="643"/>
      <c r="CW206" s="643"/>
      <c r="CX206" s="643"/>
      <c r="CY206" s="643"/>
      <c r="CZ206" s="643"/>
      <c r="DA206" s="643"/>
      <c r="DB206" s="643"/>
      <c r="DC206" s="636" t="s">
        <v>2067</v>
      </c>
      <c r="DD206" s="643"/>
      <c r="DE206" s="643"/>
    </row>
    <row r="207" spans="34:109" ht="15" hidden="1" customHeight="1">
      <c r="AH207" s="24"/>
      <c r="AI207" s="24"/>
      <c r="AJ207" s="24"/>
      <c r="AK207" s="24"/>
      <c r="AL207" s="630" t="str">
        <f t="shared" si="6"/>
        <v>Yaonáhuac</v>
      </c>
      <c r="AM207" s="630">
        <f t="shared" si="7"/>
        <v>21204</v>
      </c>
      <c r="AO207" s="24"/>
      <c r="AP207" s="628">
        <v>205</v>
      </c>
      <c r="AQ207" s="642"/>
      <c r="AR207" s="642"/>
      <c r="AS207" s="642"/>
      <c r="AT207" s="642"/>
      <c r="AU207" s="642"/>
      <c r="AV207" s="642"/>
      <c r="AW207" s="642"/>
      <c r="AX207" s="642"/>
      <c r="AY207" s="642"/>
      <c r="AZ207" s="642"/>
      <c r="BA207" s="642"/>
      <c r="BB207" s="642"/>
      <c r="BC207" s="642"/>
      <c r="BD207" s="642"/>
      <c r="BE207" s="642"/>
      <c r="BF207" s="642"/>
      <c r="BG207" s="642"/>
      <c r="BH207" s="642"/>
      <c r="BI207" s="642"/>
      <c r="BJ207" s="634">
        <v>20204</v>
      </c>
      <c r="BK207" s="634">
        <v>21204</v>
      </c>
      <c r="BL207" s="642"/>
      <c r="BM207" s="642"/>
      <c r="BN207" s="642"/>
      <c r="BO207" s="642"/>
      <c r="BP207" s="642"/>
      <c r="BQ207" s="642"/>
      <c r="BR207" s="642"/>
      <c r="BS207" s="642"/>
      <c r="BT207" s="634">
        <v>30204</v>
      </c>
      <c r="BU207" s="642"/>
      <c r="BV207" s="642"/>
      <c r="BW207" s="24"/>
      <c r="BX207" s="24"/>
      <c r="BY207" s="24"/>
      <c r="BZ207" s="643"/>
      <c r="CA207" s="643"/>
      <c r="CB207" s="643"/>
      <c r="CC207" s="643"/>
      <c r="CD207" s="643"/>
      <c r="CE207" s="643"/>
      <c r="CF207" s="643"/>
      <c r="CG207" s="643"/>
      <c r="CH207" s="643"/>
      <c r="CI207" s="643"/>
      <c r="CJ207" s="643"/>
      <c r="CK207" s="643"/>
      <c r="CL207" s="643"/>
      <c r="CM207" s="643"/>
      <c r="CN207" s="643"/>
      <c r="CO207" s="643"/>
      <c r="CP207" s="643"/>
      <c r="CQ207" s="643"/>
      <c r="CR207" s="643"/>
      <c r="CS207" s="636" t="s">
        <v>2068</v>
      </c>
      <c r="CT207" s="636" t="s">
        <v>2069</v>
      </c>
      <c r="CU207" s="643"/>
      <c r="CV207" s="643"/>
      <c r="CW207" s="643"/>
      <c r="CX207" s="643"/>
      <c r="CY207" s="643"/>
      <c r="CZ207" s="643"/>
      <c r="DA207" s="643"/>
      <c r="DB207" s="643"/>
      <c r="DC207" s="636" t="s">
        <v>2070</v>
      </c>
      <c r="DD207" s="643"/>
      <c r="DE207" s="643"/>
    </row>
    <row r="208" spans="34:109" ht="15" hidden="1" customHeight="1">
      <c r="AH208" s="24"/>
      <c r="AI208" s="24"/>
      <c r="AJ208" s="24"/>
      <c r="AK208" s="24"/>
      <c r="AL208" s="630" t="str">
        <f t="shared" si="6"/>
        <v>Yehualtepec</v>
      </c>
      <c r="AM208" s="630">
        <f t="shared" si="7"/>
        <v>21205</v>
      </c>
      <c r="AO208" s="24"/>
      <c r="AP208" s="628">
        <v>206</v>
      </c>
      <c r="AQ208" s="642"/>
      <c r="AR208" s="642"/>
      <c r="AS208" s="642"/>
      <c r="AT208" s="642"/>
      <c r="AU208" s="642"/>
      <c r="AV208" s="642"/>
      <c r="AW208" s="642"/>
      <c r="AX208" s="642"/>
      <c r="AY208" s="642"/>
      <c r="AZ208" s="642"/>
      <c r="BA208" s="642"/>
      <c r="BB208" s="642"/>
      <c r="BC208" s="642"/>
      <c r="BD208" s="642"/>
      <c r="BE208" s="642"/>
      <c r="BF208" s="642"/>
      <c r="BG208" s="642"/>
      <c r="BH208" s="642"/>
      <c r="BI208" s="642"/>
      <c r="BJ208" s="634">
        <v>20205</v>
      </c>
      <c r="BK208" s="634">
        <v>21205</v>
      </c>
      <c r="BL208" s="642"/>
      <c r="BM208" s="642"/>
      <c r="BN208" s="642"/>
      <c r="BO208" s="642"/>
      <c r="BP208" s="642"/>
      <c r="BQ208" s="642"/>
      <c r="BR208" s="642"/>
      <c r="BS208" s="642"/>
      <c r="BT208" s="634">
        <v>30205</v>
      </c>
      <c r="BU208" s="642"/>
      <c r="BV208" s="642"/>
      <c r="BW208" s="24"/>
      <c r="BX208" s="24"/>
      <c r="BY208" s="24"/>
      <c r="BZ208" s="643"/>
      <c r="CA208" s="643"/>
      <c r="CB208" s="643"/>
      <c r="CC208" s="643"/>
      <c r="CD208" s="643"/>
      <c r="CE208" s="643"/>
      <c r="CF208" s="643"/>
      <c r="CG208" s="643"/>
      <c r="CH208" s="643"/>
      <c r="CI208" s="643"/>
      <c r="CJ208" s="643"/>
      <c r="CK208" s="643"/>
      <c r="CL208" s="643"/>
      <c r="CM208" s="643"/>
      <c r="CN208" s="643"/>
      <c r="CO208" s="643"/>
      <c r="CP208" s="643"/>
      <c r="CQ208" s="643"/>
      <c r="CR208" s="643"/>
      <c r="CS208" s="636" t="s">
        <v>2071</v>
      </c>
      <c r="CT208" s="636" t="s">
        <v>2072</v>
      </c>
      <c r="CU208" s="643"/>
      <c r="CV208" s="643"/>
      <c r="CW208" s="643"/>
      <c r="CX208" s="643"/>
      <c r="CY208" s="643"/>
      <c r="CZ208" s="643"/>
      <c r="DA208" s="643"/>
      <c r="DB208" s="643"/>
      <c r="DC208" s="636" t="s">
        <v>2073</v>
      </c>
      <c r="DD208" s="643"/>
      <c r="DE208" s="643"/>
    </row>
    <row r="209" spans="34:109" ht="15" hidden="1" customHeight="1">
      <c r="AH209" s="24"/>
      <c r="AI209" s="24"/>
      <c r="AJ209" s="24"/>
      <c r="AK209" s="24"/>
      <c r="AL209" s="630" t="str">
        <f t="shared" si="6"/>
        <v>Zacapala</v>
      </c>
      <c r="AM209" s="630">
        <f t="shared" si="7"/>
        <v>21206</v>
      </c>
      <c r="AO209" s="24"/>
      <c r="AP209" s="628">
        <v>207</v>
      </c>
      <c r="AQ209" s="642"/>
      <c r="AR209" s="642"/>
      <c r="AS209" s="642"/>
      <c r="AT209" s="642"/>
      <c r="AU209" s="642"/>
      <c r="AV209" s="642"/>
      <c r="AW209" s="642"/>
      <c r="AX209" s="642"/>
      <c r="AY209" s="642"/>
      <c r="AZ209" s="642"/>
      <c r="BA209" s="642"/>
      <c r="BB209" s="642"/>
      <c r="BC209" s="642"/>
      <c r="BD209" s="642"/>
      <c r="BE209" s="642"/>
      <c r="BF209" s="642"/>
      <c r="BG209" s="642"/>
      <c r="BH209" s="642"/>
      <c r="BI209" s="642"/>
      <c r="BJ209" s="634">
        <v>20206</v>
      </c>
      <c r="BK209" s="634">
        <v>21206</v>
      </c>
      <c r="BL209" s="642"/>
      <c r="BM209" s="642"/>
      <c r="BN209" s="642"/>
      <c r="BO209" s="642"/>
      <c r="BP209" s="642"/>
      <c r="BQ209" s="642"/>
      <c r="BR209" s="642"/>
      <c r="BS209" s="642"/>
      <c r="BT209" s="634">
        <v>30206</v>
      </c>
      <c r="BU209" s="642"/>
      <c r="BV209" s="642"/>
      <c r="BW209" s="24"/>
      <c r="BX209" s="24"/>
      <c r="BY209" s="24"/>
      <c r="BZ209" s="643"/>
      <c r="CA209" s="643"/>
      <c r="CB209" s="643"/>
      <c r="CC209" s="643"/>
      <c r="CD209" s="643"/>
      <c r="CE209" s="643"/>
      <c r="CF209" s="643"/>
      <c r="CG209" s="643"/>
      <c r="CH209" s="643"/>
      <c r="CI209" s="643"/>
      <c r="CJ209" s="643"/>
      <c r="CK209" s="643"/>
      <c r="CL209" s="643"/>
      <c r="CM209" s="643"/>
      <c r="CN209" s="643"/>
      <c r="CO209" s="643"/>
      <c r="CP209" s="643"/>
      <c r="CQ209" s="643"/>
      <c r="CR209" s="643"/>
      <c r="CS209" s="636" t="s">
        <v>2074</v>
      </c>
      <c r="CT209" s="636" t="s">
        <v>2075</v>
      </c>
      <c r="CU209" s="643"/>
      <c r="CV209" s="643"/>
      <c r="CW209" s="643"/>
      <c r="CX209" s="643"/>
      <c r="CY209" s="643"/>
      <c r="CZ209" s="643"/>
      <c r="DA209" s="643"/>
      <c r="DB209" s="643"/>
      <c r="DC209" s="636" t="s">
        <v>2076</v>
      </c>
      <c r="DD209" s="643"/>
      <c r="DE209" s="643"/>
    </row>
    <row r="210" spans="34:109" ht="15" hidden="1" customHeight="1">
      <c r="AH210" s="24"/>
      <c r="AI210" s="24"/>
      <c r="AJ210" s="24"/>
      <c r="AK210" s="24"/>
      <c r="AL210" s="630" t="str">
        <f t="shared" si="6"/>
        <v>Zacapoaxtla</v>
      </c>
      <c r="AM210" s="630">
        <f t="shared" si="7"/>
        <v>21207</v>
      </c>
      <c r="AO210" s="24"/>
      <c r="AP210" s="628">
        <v>208</v>
      </c>
      <c r="AQ210" s="642"/>
      <c r="AR210" s="642"/>
      <c r="AS210" s="642"/>
      <c r="AT210" s="642"/>
      <c r="AU210" s="642"/>
      <c r="AV210" s="642"/>
      <c r="AW210" s="642"/>
      <c r="AX210" s="642"/>
      <c r="AY210" s="642"/>
      <c r="AZ210" s="642"/>
      <c r="BA210" s="642"/>
      <c r="BB210" s="642"/>
      <c r="BC210" s="642"/>
      <c r="BD210" s="642"/>
      <c r="BE210" s="642"/>
      <c r="BF210" s="642"/>
      <c r="BG210" s="642"/>
      <c r="BH210" s="642"/>
      <c r="BI210" s="642"/>
      <c r="BJ210" s="634">
        <v>20207</v>
      </c>
      <c r="BK210" s="634">
        <v>21207</v>
      </c>
      <c r="BL210" s="642"/>
      <c r="BM210" s="642"/>
      <c r="BN210" s="642"/>
      <c r="BO210" s="642"/>
      <c r="BP210" s="642"/>
      <c r="BQ210" s="642"/>
      <c r="BR210" s="642"/>
      <c r="BS210" s="642"/>
      <c r="BT210" s="634">
        <v>30207</v>
      </c>
      <c r="BU210" s="642"/>
      <c r="BV210" s="642"/>
      <c r="BW210" s="24"/>
      <c r="BX210" s="24"/>
      <c r="BY210" s="24"/>
      <c r="BZ210" s="643"/>
      <c r="CA210" s="643"/>
      <c r="CB210" s="643"/>
      <c r="CC210" s="643"/>
      <c r="CD210" s="643"/>
      <c r="CE210" s="643"/>
      <c r="CF210" s="643"/>
      <c r="CG210" s="643"/>
      <c r="CH210" s="643"/>
      <c r="CI210" s="643"/>
      <c r="CJ210" s="643"/>
      <c r="CK210" s="643"/>
      <c r="CL210" s="643"/>
      <c r="CM210" s="643"/>
      <c r="CN210" s="643"/>
      <c r="CO210" s="643"/>
      <c r="CP210" s="643"/>
      <c r="CQ210" s="643"/>
      <c r="CR210" s="643"/>
      <c r="CS210" s="636" t="s">
        <v>2077</v>
      </c>
      <c r="CT210" s="636" t="s">
        <v>2078</v>
      </c>
      <c r="CU210" s="643"/>
      <c r="CV210" s="643"/>
      <c r="CW210" s="643"/>
      <c r="CX210" s="643"/>
      <c r="CY210" s="643"/>
      <c r="CZ210" s="643"/>
      <c r="DA210" s="643"/>
      <c r="DB210" s="643"/>
      <c r="DC210" s="636" t="s">
        <v>2079</v>
      </c>
      <c r="DD210" s="643"/>
      <c r="DE210" s="643"/>
    </row>
    <row r="211" spans="34:109" ht="15" hidden="1" customHeight="1">
      <c r="AH211" s="24"/>
      <c r="AI211" s="24"/>
      <c r="AJ211" s="24"/>
      <c r="AK211" s="24"/>
      <c r="AL211" s="630" t="str">
        <f t="shared" si="6"/>
        <v>Zacatlán</v>
      </c>
      <c r="AM211" s="630">
        <f t="shared" si="7"/>
        <v>21208</v>
      </c>
      <c r="AO211" s="24"/>
      <c r="AP211" s="628">
        <v>209</v>
      </c>
      <c r="AQ211" s="642"/>
      <c r="AR211" s="642"/>
      <c r="AS211" s="642"/>
      <c r="AT211" s="642"/>
      <c r="AU211" s="642"/>
      <c r="AV211" s="642"/>
      <c r="AW211" s="642"/>
      <c r="AX211" s="642"/>
      <c r="AY211" s="642"/>
      <c r="AZ211" s="642"/>
      <c r="BA211" s="642"/>
      <c r="BB211" s="642"/>
      <c r="BC211" s="642"/>
      <c r="BD211" s="642"/>
      <c r="BE211" s="642"/>
      <c r="BF211" s="642"/>
      <c r="BG211" s="642"/>
      <c r="BH211" s="642"/>
      <c r="BI211" s="642"/>
      <c r="BJ211" s="634">
        <v>20208</v>
      </c>
      <c r="BK211" s="634">
        <v>21208</v>
      </c>
      <c r="BL211" s="642"/>
      <c r="BM211" s="642"/>
      <c r="BN211" s="642"/>
      <c r="BO211" s="642"/>
      <c r="BP211" s="642"/>
      <c r="BQ211" s="642"/>
      <c r="BR211" s="642"/>
      <c r="BS211" s="642"/>
      <c r="BT211" s="634">
        <v>30208</v>
      </c>
      <c r="BU211" s="642"/>
      <c r="BV211" s="642"/>
      <c r="BW211" s="24"/>
      <c r="BX211" s="24"/>
      <c r="BY211" s="24"/>
      <c r="BZ211" s="643"/>
      <c r="CA211" s="643"/>
      <c r="CB211" s="643"/>
      <c r="CC211" s="643"/>
      <c r="CD211" s="643"/>
      <c r="CE211" s="643"/>
      <c r="CF211" s="643"/>
      <c r="CG211" s="643"/>
      <c r="CH211" s="643"/>
      <c r="CI211" s="643"/>
      <c r="CJ211" s="643"/>
      <c r="CK211" s="643"/>
      <c r="CL211" s="643"/>
      <c r="CM211" s="643"/>
      <c r="CN211" s="643"/>
      <c r="CO211" s="643"/>
      <c r="CP211" s="643"/>
      <c r="CQ211" s="643"/>
      <c r="CR211" s="643"/>
      <c r="CS211" s="649" t="s">
        <v>2080</v>
      </c>
      <c r="CT211" s="636" t="s">
        <v>2081</v>
      </c>
      <c r="CU211" s="643"/>
      <c r="CV211" s="643"/>
      <c r="CW211" s="643"/>
      <c r="CX211" s="643"/>
      <c r="CY211" s="643"/>
      <c r="CZ211" s="643"/>
      <c r="DA211" s="643"/>
      <c r="DB211" s="643"/>
      <c r="DC211" s="636" t="s">
        <v>2082</v>
      </c>
      <c r="DD211" s="643"/>
      <c r="DE211" s="643"/>
    </row>
    <row r="212" spans="34:109" ht="15" hidden="1" customHeight="1">
      <c r="AH212" s="24"/>
      <c r="AI212" s="24"/>
      <c r="AJ212" s="24"/>
      <c r="AK212" s="24"/>
      <c r="AL212" s="630" t="str">
        <f t="shared" si="6"/>
        <v>Zapotitlán</v>
      </c>
      <c r="AM212" s="630">
        <f t="shared" si="7"/>
        <v>21209</v>
      </c>
      <c r="AO212" s="24"/>
      <c r="AP212" s="628">
        <v>210</v>
      </c>
      <c r="AQ212" s="642"/>
      <c r="AR212" s="642"/>
      <c r="AS212" s="642"/>
      <c r="AT212" s="642"/>
      <c r="AU212" s="642"/>
      <c r="AV212" s="642"/>
      <c r="AW212" s="642"/>
      <c r="AX212" s="642"/>
      <c r="AY212" s="642"/>
      <c r="AZ212" s="642"/>
      <c r="BA212" s="642"/>
      <c r="BB212" s="642"/>
      <c r="BC212" s="642"/>
      <c r="BD212" s="642"/>
      <c r="BE212" s="642"/>
      <c r="BF212" s="642"/>
      <c r="BG212" s="642"/>
      <c r="BH212" s="642"/>
      <c r="BI212" s="642"/>
      <c r="BJ212" s="634">
        <v>20209</v>
      </c>
      <c r="BK212" s="634">
        <v>21209</v>
      </c>
      <c r="BL212" s="642"/>
      <c r="BM212" s="642"/>
      <c r="BN212" s="642"/>
      <c r="BO212" s="642"/>
      <c r="BP212" s="642"/>
      <c r="BQ212" s="642"/>
      <c r="BR212" s="642"/>
      <c r="BS212" s="642"/>
      <c r="BT212" s="634">
        <v>30209</v>
      </c>
      <c r="BU212" s="642"/>
      <c r="BV212" s="642"/>
      <c r="BW212" s="24"/>
      <c r="BX212" s="24"/>
      <c r="BY212" s="24"/>
      <c r="BZ212" s="643"/>
      <c r="CA212" s="643"/>
      <c r="CB212" s="643"/>
      <c r="CC212" s="643"/>
      <c r="CD212" s="643"/>
      <c r="CE212" s="643"/>
      <c r="CF212" s="643"/>
      <c r="CG212" s="643"/>
      <c r="CH212" s="643"/>
      <c r="CI212" s="643"/>
      <c r="CJ212" s="643"/>
      <c r="CK212" s="643"/>
      <c r="CL212" s="643"/>
      <c r="CM212" s="643"/>
      <c r="CN212" s="643"/>
      <c r="CO212" s="643"/>
      <c r="CP212" s="643"/>
      <c r="CQ212" s="643"/>
      <c r="CR212" s="643"/>
      <c r="CS212" s="649" t="s">
        <v>2083</v>
      </c>
      <c r="CT212" s="636" t="s">
        <v>2084</v>
      </c>
      <c r="CU212" s="643"/>
      <c r="CV212" s="643"/>
      <c r="CW212" s="643"/>
      <c r="CX212" s="643"/>
      <c r="CY212" s="643"/>
      <c r="CZ212" s="643"/>
      <c r="DA212" s="643"/>
      <c r="DB212" s="643"/>
      <c r="DC212" s="636" t="s">
        <v>2085</v>
      </c>
      <c r="DD212" s="643"/>
      <c r="DE212" s="643"/>
    </row>
    <row r="213" spans="34:109" ht="15" hidden="1" customHeight="1">
      <c r="AH213" s="24"/>
      <c r="AI213" s="24"/>
      <c r="AJ213" s="24"/>
      <c r="AK213" s="24"/>
      <c r="AL213" s="630" t="str">
        <f t="shared" si="6"/>
        <v>Zapotitlán de Méndez</v>
      </c>
      <c r="AM213" s="630">
        <f t="shared" si="7"/>
        <v>21210</v>
      </c>
      <c r="AO213" s="24"/>
      <c r="AP213" s="628">
        <v>211</v>
      </c>
      <c r="AQ213" s="642"/>
      <c r="AR213" s="642"/>
      <c r="AS213" s="642"/>
      <c r="AT213" s="642"/>
      <c r="AU213" s="642"/>
      <c r="AV213" s="642"/>
      <c r="AW213" s="642"/>
      <c r="AX213" s="642"/>
      <c r="AY213" s="642"/>
      <c r="AZ213" s="642"/>
      <c r="BA213" s="642"/>
      <c r="BB213" s="642"/>
      <c r="BC213" s="642"/>
      <c r="BD213" s="642"/>
      <c r="BE213" s="642"/>
      <c r="BF213" s="642"/>
      <c r="BG213" s="642"/>
      <c r="BH213" s="642"/>
      <c r="BI213" s="642"/>
      <c r="BJ213" s="634">
        <v>20210</v>
      </c>
      <c r="BK213" s="634">
        <v>21210</v>
      </c>
      <c r="BL213" s="642"/>
      <c r="BM213" s="642"/>
      <c r="BN213" s="642"/>
      <c r="BO213" s="642"/>
      <c r="BP213" s="642"/>
      <c r="BQ213" s="642"/>
      <c r="BR213" s="642"/>
      <c r="BS213" s="642"/>
      <c r="BT213" s="634">
        <v>30210</v>
      </c>
      <c r="BU213" s="642"/>
      <c r="BV213" s="642"/>
      <c r="BW213" s="24"/>
      <c r="BX213" s="24"/>
      <c r="BY213" s="24"/>
      <c r="BZ213" s="643"/>
      <c r="CA213" s="643"/>
      <c r="CB213" s="643"/>
      <c r="CC213" s="643"/>
      <c r="CD213" s="643"/>
      <c r="CE213" s="643"/>
      <c r="CF213" s="643"/>
      <c r="CG213" s="643"/>
      <c r="CH213" s="643"/>
      <c r="CI213" s="643"/>
      <c r="CJ213" s="643"/>
      <c r="CK213" s="643"/>
      <c r="CL213" s="643"/>
      <c r="CM213" s="643"/>
      <c r="CN213" s="643"/>
      <c r="CO213" s="643"/>
      <c r="CP213" s="643"/>
      <c r="CQ213" s="643"/>
      <c r="CR213" s="643"/>
      <c r="CS213" s="636" t="s">
        <v>2086</v>
      </c>
      <c r="CT213" s="636" t="s">
        <v>2087</v>
      </c>
      <c r="CU213" s="643"/>
      <c r="CV213" s="643"/>
      <c r="CW213" s="643"/>
      <c r="CX213" s="643"/>
      <c r="CY213" s="643"/>
      <c r="CZ213" s="643"/>
      <c r="DA213" s="643"/>
      <c r="DB213" s="643"/>
      <c r="DC213" s="636" t="s">
        <v>2088</v>
      </c>
      <c r="DD213" s="643"/>
      <c r="DE213" s="643"/>
    </row>
    <row r="214" spans="34:109" ht="15" hidden="1" customHeight="1">
      <c r="AH214" s="24"/>
      <c r="AI214" s="24"/>
      <c r="AJ214" s="24"/>
      <c r="AK214" s="24"/>
      <c r="AL214" s="630" t="str">
        <f t="shared" si="6"/>
        <v>Zaragoza</v>
      </c>
      <c r="AM214" s="630">
        <f t="shared" si="7"/>
        <v>21211</v>
      </c>
      <c r="AO214" s="24"/>
      <c r="AP214" s="628">
        <v>212</v>
      </c>
      <c r="AQ214" s="642"/>
      <c r="AR214" s="642"/>
      <c r="AS214" s="642"/>
      <c r="AT214" s="642"/>
      <c r="AU214" s="642"/>
      <c r="AV214" s="642"/>
      <c r="AW214" s="642"/>
      <c r="AX214" s="642"/>
      <c r="AY214" s="642"/>
      <c r="AZ214" s="642"/>
      <c r="BA214" s="642"/>
      <c r="BB214" s="642"/>
      <c r="BC214" s="642"/>
      <c r="BD214" s="642"/>
      <c r="BE214" s="642"/>
      <c r="BF214" s="642"/>
      <c r="BG214" s="642"/>
      <c r="BH214" s="642"/>
      <c r="BI214" s="642"/>
      <c r="BJ214" s="634">
        <v>20211</v>
      </c>
      <c r="BK214" s="634">
        <v>21211</v>
      </c>
      <c r="BL214" s="642"/>
      <c r="BM214" s="642"/>
      <c r="BN214" s="642"/>
      <c r="BO214" s="642"/>
      <c r="BP214" s="642"/>
      <c r="BQ214" s="642"/>
      <c r="BR214" s="642"/>
      <c r="BS214" s="642"/>
      <c r="BT214" s="634">
        <v>30211</v>
      </c>
      <c r="BU214" s="642"/>
      <c r="BV214" s="642"/>
      <c r="BW214" s="24"/>
      <c r="BX214" s="24"/>
      <c r="BY214" s="24"/>
      <c r="BZ214" s="643"/>
      <c r="CA214" s="643"/>
      <c r="CB214" s="643"/>
      <c r="CC214" s="643"/>
      <c r="CD214" s="643"/>
      <c r="CE214" s="643"/>
      <c r="CF214" s="643"/>
      <c r="CG214" s="643"/>
      <c r="CH214" s="643"/>
      <c r="CI214" s="643"/>
      <c r="CJ214" s="643"/>
      <c r="CK214" s="643"/>
      <c r="CL214" s="643"/>
      <c r="CM214" s="643"/>
      <c r="CN214" s="643"/>
      <c r="CO214" s="643"/>
      <c r="CP214" s="643"/>
      <c r="CQ214" s="643"/>
      <c r="CR214" s="643"/>
      <c r="CS214" s="636" t="s">
        <v>2089</v>
      </c>
      <c r="CT214" s="636" t="s">
        <v>952</v>
      </c>
      <c r="CU214" s="643"/>
      <c r="CV214" s="643"/>
      <c r="CW214" s="643"/>
      <c r="CX214" s="643"/>
      <c r="CY214" s="643"/>
      <c r="CZ214" s="643"/>
      <c r="DA214" s="643"/>
      <c r="DB214" s="643"/>
      <c r="DC214" s="636" t="s">
        <v>2090</v>
      </c>
      <c r="DD214" s="643"/>
      <c r="DE214" s="643"/>
    </row>
    <row r="215" spans="34:109" ht="15" hidden="1" customHeight="1">
      <c r="AH215" s="24"/>
      <c r="AI215" s="24"/>
      <c r="AJ215" s="24"/>
      <c r="AK215" s="24"/>
      <c r="AL215" s="630" t="str">
        <f t="shared" si="6"/>
        <v>Zautla</v>
      </c>
      <c r="AM215" s="630">
        <f t="shared" si="7"/>
        <v>21212</v>
      </c>
      <c r="AO215" s="24"/>
      <c r="AP215" s="628">
        <v>213</v>
      </c>
      <c r="AQ215" s="642"/>
      <c r="AR215" s="642"/>
      <c r="AS215" s="642"/>
      <c r="AT215" s="642"/>
      <c r="AU215" s="642"/>
      <c r="AV215" s="642"/>
      <c r="AW215" s="642"/>
      <c r="AX215" s="642"/>
      <c r="AY215" s="642"/>
      <c r="AZ215" s="642"/>
      <c r="BA215" s="642"/>
      <c r="BB215" s="642"/>
      <c r="BC215" s="642"/>
      <c r="BD215" s="642"/>
      <c r="BE215" s="642"/>
      <c r="BF215" s="642"/>
      <c r="BG215" s="642"/>
      <c r="BH215" s="642"/>
      <c r="BI215" s="642"/>
      <c r="BJ215" s="634">
        <v>20212</v>
      </c>
      <c r="BK215" s="634">
        <v>21212</v>
      </c>
      <c r="BL215" s="642"/>
      <c r="BM215" s="642"/>
      <c r="BN215" s="642"/>
      <c r="BO215" s="642"/>
      <c r="BP215" s="642"/>
      <c r="BQ215" s="642"/>
      <c r="BR215" s="642"/>
      <c r="BS215" s="642"/>
      <c r="BT215" s="634">
        <v>30212</v>
      </c>
      <c r="BU215" s="642"/>
      <c r="BV215" s="642"/>
      <c r="BW215" s="24"/>
      <c r="BX215" s="24"/>
      <c r="BY215" s="24"/>
      <c r="BZ215" s="643"/>
      <c r="CA215" s="643"/>
      <c r="CB215" s="643"/>
      <c r="CC215" s="643"/>
      <c r="CD215" s="643"/>
      <c r="CE215" s="643"/>
      <c r="CF215" s="643"/>
      <c r="CG215" s="643"/>
      <c r="CH215" s="643"/>
      <c r="CI215" s="643"/>
      <c r="CJ215" s="643"/>
      <c r="CK215" s="643"/>
      <c r="CL215" s="643"/>
      <c r="CM215" s="643"/>
      <c r="CN215" s="643"/>
      <c r="CO215" s="643"/>
      <c r="CP215" s="643"/>
      <c r="CQ215" s="643"/>
      <c r="CR215" s="643"/>
      <c r="CS215" s="636" t="s">
        <v>2091</v>
      </c>
      <c r="CT215" s="636" t="s">
        <v>2092</v>
      </c>
      <c r="CU215" s="643"/>
      <c r="CV215" s="643"/>
      <c r="CW215" s="643"/>
      <c r="CX215" s="643"/>
      <c r="CY215" s="643"/>
      <c r="CZ215" s="643"/>
      <c r="DA215" s="643"/>
      <c r="DB215" s="643"/>
      <c r="DC215" s="636" t="s">
        <v>2093</v>
      </c>
      <c r="DD215" s="643"/>
      <c r="DE215" s="643"/>
    </row>
    <row r="216" spans="34:109" ht="15" hidden="1" customHeight="1">
      <c r="AH216" s="24"/>
      <c r="AI216" s="24"/>
      <c r="AJ216" s="24"/>
      <c r="AK216" s="24"/>
      <c r="AL216" s="630" t="str">
        <f t="shared" si="6"/>
        <v>Zihuateutla</v>
      </c>
      <c r="AM216" s="630">
        <f t="shared" si="7"/>
        <v>21213</v>
      </c>
      <c r="AO216" s="24"/>
      <c r="AP216" s="628">
        <v>214</v>
      </c>
      <c r="AQ216" s="642"/>
      <c r="AR216" s="642"/>
      <c r="AS216" s="642"/>
      <c r="AT216" s="642"/>
      <c r="AU216" s="642"/>
      <c r="AV216" s="642"/>
      <c r="AW216" s="642"/>
      <c r="AX216" s="642"/>
      <c r="AY216" s="642"/>
      <c r="AZ216" s="642"/>
      <c r="BA216" s="642"/>
      <c r="BB216" s="642"/>
      <c r="BC216" s="642"/>
      <c r="BD216" s="642"/>
      <c r="BE216" s="642"/>
      <c r="BF216" s="642"/>
      <c r="BG216" s="642"/>
      <c r="BH216" s="642"/>
      <c r="BI216" s="642"/>
      <c r="BJ216" s="634">
        <v>20213</v>
      </c>
      <c r="BK216" s="634">
        <v>21213</v>
      </c>
      <c r="BL216" s="642"/>
      <c r="BM216" s="642"/>
      <c r="BN216" s="642"/>
      <c r="BO216" s="642"/>
      <c r="BP216" s="642"/>
      <c r="BQ216" s="642"/>
      <c r="BR216" s="642"/>
      <c r="BS216" s="642"/>
      <c r="BT216" s="642">
        <v>30999</v>
      </c>
      <c r="BU216" s="642"/>
      <c r="BV216" s="642"/>
      <c r="BW216" s="24"/>
      <c r="BX216" s="24"/>
      <c r="BY216" s="24"/>
      <c r="BZ216" s="643"/>
      <c r="CA216" s="643"/>
      <c r="CB216" s="643"/>
      <c r="CC216" s="643"/>
      <c r="CD216" s="643"/>
      <c r="CE216" s="643"/>
      <c r="CF216" s="643"/>
      <c r="CG216" s="643"/>
      <c r="CH216" s="643"/>
      <c r="CI216" s="643"/>
      <c r="CJ216" s="643"/>
      <c r="CK216" s="643"/>
      <c r="CL216" s="643"/>
      <c r="CM216" s="643"/>
      <c r="CN216" s="643"/>
      <c r="CO216" s="643"/>
      <c r="CP216" s="643"/>
      <c r="CQ216" s="643"/>
      <c r="CR216" s="643"/>
      <c r="CS216" s="636" t="s">
        <v>2094</v>
      </c>
      <c r="CT216" s="636" t="s">
        <v>2095</v>
      </c>
      <c r="CU216" s="643"/>
      <c r="CV216" s="643"/>
      <c r="CW216" s="643"/>
      <c r="CX216" s="643"/>
      <c r="CY216" s="643"/>
      <c r="CZ216" s="643"/>
      <c r="DA216" s="643"/>
      <c r="DB216" s="643"/>
      <c r="DC216" s="636" t="s">
        <v>201</v>
      </c>
      <c r="DD216" s="643"/>
      <c r="DE216" s="643"/>
    </row>
    <row r="217" spans="34:109" ht="15" hidden="1" customHeight="1">
      <c r="AH217" s="24"/>
      <c r="AI217" s="24"/>
      <c r="AJ217" s="24"/>
      <c r="AK217" s="24"/>
      <c r="AL217" s="630" t="str">
        <f t="shared" si="6"/>
        <v>Zinacatepec</v>
      </c>
      <c r="AM217" s="630">
        <f t="shared" si="7"/>
        <v>21214</v>
      </c>
      <c r="AO217" s="24"/>
      <c r="AP217" s="628">
        <v>215</v>
      </c>
      <c r="AQ217" s="642"/>
      <c r="AR217" s="642"/>
      <c r="AS217" s="642"/>
      <c r="AT217" s="642"/>
      <c r="AU217" s="642"/>
      <c r="AV217" s="642"/>
      <c r="AW217" s="642"/>
      <c r="AX217" s="642"/>
      <c r="AY217" s="642"/>
      <c r="AZ217" s="642"/>
      <c r="BA217" s="642"/>
      <c r="BB217" s="642"/>
      <c r="BC217" s="642"/>
      <c r="BD217" s="642"/>
      <c r="BE217" s="642"/>
      <c r="BF217" s="642"/>
      <c r="BG217" s="642"/>
      <c r="BH217" s="642"/>
      <c r="BI217" s="642"/>
      <c r="BJ217" s="634">
        <v>20214</v>
      </c>
      <c r="BK217" s="634">
        <v>21214</v>
      </c>
      <c r="BL217" s="642"/>
      <c r="BM217" s="642"/>
      <c r="BN217" s="642"/>
      <c r="BO217" s="642"/>
      <c r="BP217" s="642"/>
      <c r="BQ217" s="642"/>
      <c r="BR217" s="642"/>
      <c r="BS217" s="642"/>
      <c r="BT217" s="642"/>
      <c r="BU217" s="642"/>
      <c r="BV217" s="642"/>
      <c r="BW217" s="24"/>
      <c r="BX217" s="24"/>
      <c r="BY217" s="24"/>
      <c r="BZ217" s="643"/>
      <c r="CA217" s="643"/>
      <c r="CB217" s="643"/>
      <c r="CC217" s="643"/>
      <c r="CD217" s="643"/>
      <c r="CE217" s="643"/>
      <c r="CF217" s="643"/>
      <c r="CG217" s="643"/>
      <c r="CH217" s="643"/>
      <c r="CI217" s="643"/>
      <c r="CJ217" s="643"/>
      <c r="CK217" s="643"/>
      <c r="CL217" s="643"/>
      <c r="CM217" s="643"/>
      <c r="CN217" s="643"/>
      <c r="CO217" s="643"/>
      <c r="CP217" s="643"/>
      <c r="CQ217" s="643"/>
      <c r="CR217" s="643"/>
      <c r="CS217" s="636" t="s">
        <v>2096</v>
      </c>
      <c r="CT217" s="636" t="s">
        <v>2097</v>
      </c>
      <c r="CU217" s="643"/>
      <c r="CV217" s="643"/>
      <c r="CW217" s="643"/>
      <c r="CX217" s="643"/>
      <c r="CY217" s="643"/>
      <c r="CZ217" s="643"/>
      <c r="DA217" s="643"/>
      <c r="DB217" s="643"/>
      <c r="DC217" s="643"/>
      <c r="DD217" s="643"/>
      <c r="DE217" s="643"/>
    </row>
    <row r="218" spans="34:109" ht="15" hidden="1" customHeight="1">
      <c r="AH218" s="24"/>
      <c r="AI218" s="24"/>
      <c r="AJ218" s="24"/>
      <c r="AK218" s="24"/>
      <c r="AL218" s="630" t="str">
        <f t="shared" si="6"/>
        <v>Zongozotla</v>
      </c>
      <c r="AM218" s="630">
        <f t="shared" si="7"/>
        <v>21215</v>
      </c>
      <c r="AO218" s="24"/>
      <c r="AP218" s="628">
        <v>216</v>
      </c>
      <c r="AQ218" s="642"/>
      <c r="AR218" s="642"/>
      <c r="AS218" s="642"/>
      <c r="AT218" s="642"/>
      <c r="AU218" s="642"/>
      <c r="AV218" s="642"/>
      <c r="AW218" s="642"/>
      <c r="AX218" s="642"/>
      <c r="AY218" s="642"/>
      <c r="AZ218" s="642"/>
      <c r="BA218" s="642"/>
      <c r="BB218" s="642"/>
      <c r="BC218" s="642"/>
      <c r="BD218" s="642"/>
      <c r="BE218" s="642"/>
      <c r="BF218" s="642"/>
      <c r="BG218" s="642"/>
      <c r="BH218" s="642"/>
      <c r="BI218" s="642"/>
      <c r="BJ218" s="634">
        <v>20215</v>
      </c>
      <c r="BK218" s="634">
        <v>21215</v>
      </c>
      <c r="BL218" s="642"/>
      <c r="BM218" s="642"/>
      <c r="BN218" s="642"/>
      <c r="BO218" s="642"/>
      <c r="BP218" s="642"/>
      <c r="BQ218" s="642"/>
      <c r="BR218" s="642"/>
      <c r="BS218" s="642"/>
      <c r="BT218" s="642"/>
      <c r="BU218" s="642"/>
      <c r="BV218" s="642"/>
      <c r="BW218" s="24"/>
      <c r="BX218" s="24"/>
      <c r="BY218" s="24"/>
      <c r="BZ218" s="643"/>
      <c r="CA218" s="643"/>
      <c r="CB218" s="643"/>
      <c r="CC218" s="643"/>
      <c r="CD218" s="643"/>
      <c r="CE218" s="643"/>
      <c r="CF218" s="643"/>
      <c r="CG218" s="643"/>
      <c r="CH218" s="643"/>
      <c r="CI218" s="643"/>
      <c r="CJ218" s="643"/>
      <c r="CK218" s="643"/>
      <c r="CL218" s="643"/>
      <c r="CM218" s="643"/>
      <c r="CN218" s="643"/>
      <c r="CO218" s="643"/>
      <c r="CP218" s="643"/>
      <c r="CQ218" s="643"/>
      <c r="CR218" s="643"/>
      <c r="CS218" s="636" t="s">
        <v>2098</v>
      </c>
      <c r="CT218" s="636" t="s">
        <v>2099</v>
      </c>
      <c r="CU218" s="643"/>
      <c r="CV218" s="643"/>
      <c r="CW218" s="643"/>
      <c r="CX218" s="643"/>
      <c r="CY218" s="643"/>
      <c r="CZ218" s="643"/>
      <c r="DA218" s="643"/>
      <c r="DB218" s="643"/>
      <c r="DC218" s="643"/>
      <c r="DD218" s="643"/>
      <c r="DE218" s="643"/>
    </row>
    <row r="219" spans="34:109" ht="15" hidden="1" customHeight="1">
      <c r="AH219" s="24"/>
      <c r="AI219" s="24"/>
      <c r="AJ219" s="24"/>
      <c r="AK219" s="24"/>
      <c r="AL219" s="630" t="str">
        <f t="shared" si="6"/>
        <v>Zoquiapan</v>
      </c>
      <c r="AM219" s="630">
        <f t="shared" si="7"/>
        <v>21216</v>
      </c>
      <c r="AO219" s="24"/>
      <c r="AP219" s="628">
        <v>217</v>
      </c>
      <c r="AQ219" s="642"/>
      <c r="AR219" s="642"/>
      <c r="AS219" s="642"/>
      <c r="AT219" s="642"/>
      <c r="AU219" s="642"/>
      <c r="AV219" s="642"/>
      <c r="AW219" s="642"/>
      <c r="AX219" s="642"/>
      <c r="AY219" s="642"/>
      <c r="AZ219" s="642"/>
      <c r="BA219" s="642"/>
      <c r="BB219" s="642"/>
      <c r="BC219" s="642"/>
      <c r="BD219" s="642"/>
      <c r="BE219" s="642"/>
      <c r="BF219" s="642"/>
      <c r="BG219" s="642"/>
      <c r="BH219" s="642"/>
      <c r="BI219" s="642"/>
      <c r="BJ219" s="634">
        <v>20216</v>
      </c>
      <c r="BK219" s="634">
        <v>21216</v>
      </c>
      <c r="BL219" s="642"/>
      <c r="BM219" s="642"/>
      <c r="BN219" s="642"/>
      <c r="BO219" s="642"/>
      <c r="BP219" s="642"/>
      <c r="BQ219" s="642"/>
      <c r="BR219" s="642"/>
      <c r="BS219" s="642"/>
      <c r="BT219" s="642"/>
      <c r="BU219" s="642"/>
      <c r="BV219" s="642"/>
      <c r="BW219" s="24"/>
      <c r="BX219" s="24"/>
      <c r="BY219" s="24"/>
      <c r="BZ219" s="643"/>
      <c r="CA219" s="643"/>
      <c r="CB219" s="643"/>
      <c r="CC219" s="643"/>
      <c r="CD219" s="643"/>
      <c r="CE219" s="643"/>
      <c r="CF219" s="643"/>
      <c r="CG219" s="643"/>
      <c r="CH219" s="643"/>
      <c r="CI219" s="643"/>
      <c r="CJ219" s="643"/>
      <c r="CK219" s="643"/>
      <c r="CL219" s="643"/>
      <c r="CM219" s="643"/>
      <c r="CN219" s="643"/>
      <c r="CO219" s="643"/>
      <c r="CP219" s="643"/>
      <c r="CQ219" s="643"/>
      <c r="CR219" s="643"/>
      <c r="CS219" s="636" t="s">
        <v>2100</v>
      </c>
      <c r="CT219" s="636" t="s">
        <v>2101</v>
      </c>
      <c r="CU219" s="643"/>
      <c r="CV219" s="643"/>
      <c r="CW219" s="643"/>
      <c r="CX219" s="643"/>
      <c r="CY219" s="643"/>
      <c r="CZ219" s="643"/>
      <c r="DA219" s="643"/>
      <c r="DB219" s="643"/>
      <c r="DC219" s="643"/>
      <c r="DD219" s="643"/>
      <c r="DE219" s="643"/>
    </row>
    <row r="220" spans="34:109" ht="15" hidden="1" customHeight="1">
      <c r="AH220" s="24"/>
      <c r="AI220" s="24"/>
      <c r="AJ220" s="24"/>
      <c r="AK220" s="24"/>
      <c r="AL220" s="630" t="str">
        <f t="shared" si="6"/>
        <v>Zoquitlán</v>
      </c>
      <c r="AM220" s="630">
        <f t="shared" si="7"/>
        <v>21217</v>
      </c>
      <c r="AO220" s="24"/>
      <c r="AP220" s="628">
        <v>218</v>
      </c>
      <c r="AQ220" s="642"/>
      <c r="AR220" s="642"/>
      <c r="AS220" s="642"/>
      <c r="AT220" s="642"/>
      <c r="AU220" s="642"/>
      <c r="AV220" s="642"/>
      <c r="AW220" s="642"/>
      <c r="AX220" s="642"/>
      <c r="AY220" s="642"/>
      <c r="AZ220" s="642"/>
      <c r="BA220" s="642"/>
      <c r="BB220" s="642"/>
      <c r="BC220" s="642"/>
      <c r="BD220" s="642"/>
      <c r="BE220" s="642"/>
      <c r="BF220" s="642"/>
      <c r="BG220" s="642"/>
      <c r="BH220" s="642"/>
      <c r="BI220" s="642"/>
      <c r="BJ220" s="634">
        <v>20217</v>
      </c>
      <c r="BK220" s="634">
        <v>21217</v>
      </c>
      <c r="BL220" s="642"/>
      <c r="BM220" s="642"/>
      <c r="BN220" s="642"/>
      <c r="BO220" s="642"/>
      <c r="BP220" s="642"/>
      <c r="BQ220" s="642"/>
      <c r="BR220" s="642"/>
      <c r="BS220" s="642"/>
      <c r="BT220" s="642"/>
      <c r="BU220" s="642"/>
      <c r="BV220" s="642"/>
      <c r="BW220" s="24"/>
      <c r="BX220" s="24"/>
      <c r="BY220" s="24"/>
      <c r="BZ220" s="643"/>
      <c r="CA220" s="643"/>
      <c r="CB220" s="643"/>
      <c r="CC220" s="643"/>
      <c r="CD220" s="643"/>
      <c r="CE220" s="643"/>
      <c r="CF220" s="643"/>
      <c r="CG220" s="643"/>
      <c r="CH220" s="643"/>
      <c r="CI220" s="643"/>
      <c r="CJ220" s="643"/>
      <c r="CK220" s="643"/>
      <c r="CL220" s="643"/>
      <c r="CM220" s="643"/>
      <c r="CN220" s="643"/>
      <c r="CO220" s="643"/>
      <c r="CP220" s="643"/>
      <c r="CQ220" s="643"/>
      <c r="CR220" s="643"/>
      <c r="CS220" s="636" t="s">
        <v>2102</v>
      </c>
      <c r="CT220" s="636" t="s">
        <v>2103</v>
      </c>
      <c r="CU220" s="643"/>
      <c r="CV220" s="643"/>
      <c r="CW220" s="643"/>
      <c r="CX220" s="643"/>
      <c r="CY220" s="643"/>
      <c r="CZ220" s="643"/>
      <c r="DA220" s="643"/>
      <c r="DB220" s="643"/>
      <c r="DC220" s="643"/>
      <c r="DD220" s="643"/>
      <c r="DE220" s="643"/>
    </row>
    <row r="221" spans="34:109" ht="15" hidden="1" customHeight="1">
      <c r="AH221" s="24"/>
      <c r="AI221" s="24"/>
      <c r="AJ221" s="24"/>
      <c r="AK221" s="24"/>
      <c r="AL221" s="630" t="str">
        <f t="shared" si="6"/>
        <v>No identificado</v>
      </c>
      <c r="AM221" s="630">
        <f t="shared" si="7"/>
        <v>21999</v>
      </c>
      <c r="AO221" s="24"/>
      <c r="AP221" s="628">
        <v>219</v>
      </c>
      <c r="AQ221" s="642"/>
      <c r="AR221" s="642"/>
      <c r="AS221" s="642"/>
      <c r="AT221" s="642"/>
      <c r="AU221" s="642"/>
      <c r="AV221" s="642"/>
      <c r="AW221" s="642"/>
      <c r="AX221" s="642"/>
      <c r="AY221" s="642"/>
      <c r="AZ221" s="642"/>
      <c r="BA221" s="642"/>
      <c r="BB221" s="642"/>
      <c r="BC221" s="642"/>
      <c r="BD221" s="642"/>
      <c r="BE221" s="642"/>
      <c r="BF221" s="642"/>
      <c r="BG221" s="642"/>
      <c r="BH221" s="642"/>
      <c r="BI221" s="642"/>
      <c r="BJ221" s="634">
        <v>20218</v>
      </c>
      <c r="BK221" s="642">
        <v>21999</v>
      </c>
      <c r="BL221" s="642"/>
      <c r="BM221" s="642"/>
      <c r="BN221" s="642"/>
      <c r="BO221" s="642"/>
      <c r="BP221" s="642"/>
      <c r="BQ221" s="642"/>
      <c r="BR221" s="642"/>
      <c r="BS221" s="642"/>
      <c r="BT221" s="642"/>
      <c r="BU221" s="642"/>
      <c r="BV221" s="642"/>
      <c r="BW221" s="24"/>
      <c r="BX221" s="24"/>
      <c r="BY221" s="24"/>
      <c r="BZ221" s="643"/>
      <c r="CA221" s="643"/>
      <c r="CB221" s="643"/>
      <c r="CC221" s="643"/>
      <c r="CD221" s="643"/>
      <c r="CE221" s="643"/>
      <c r="CF221" s="643"/>
      <c r="CG221" s="643"/>
      <c r="CH221" s="643"/>
      <c r="CI221" s="643"/>
      <c r="CJ221" s="643"/>
      <c r="CK221" s="643"/>
      <c r="CL221" s="643"/>
      <c r="CM221" s="643"/>
      <c r="CN221" s="643"/>
      <c r="CO221" s="643"/>
      <c r="CP221" s="643"/>
      <c r="CQ221" s="643"/>
      <c r="CR221" s="643"/>
      <c r="CS221" s="636" t="s">
        <v>2104</v>
      </c>
      <c r="CT221" s="636" t="s">
        <v>201</v>
      </c>
      <c r="CU221" s="643"/>
      <c r="CV221" s="643"/>
      <c r="CW221" s="643"/>
      <c r="CX221" s="643"/>
      <c r="CY221" s="643"/>
      <c r="CZ221" s="643"/>
      <c r="DA221" s="643"/>
      <c r="DB221" s="643"/>
      <c r="DC221" s="643"/>
      <c r="DD221" s="643"/>
      <c r="DE221" s="643"/>
    </row>
    <row r="222" spans="34:109" ht="15" hidden="1" customHeight="1">
      <c r="AH222" s="24"/>
      <c r="AI222" s="24"/>
      <c r="AJ222" s="24"/>
      <c r="AK222" s="24"/>
      <c r="AL222" s="630" t="str">
        <f t="shared" si="6"/>
        <v/>
      </c>
      <c r="AM222" s="630" t="str">
        <f t="shared" si="7"/>
        <v/>
      </c>
      <c r="AO222" s="24"/>
      <c r="AP222" s="628">
        <v>220</v>
      </c>
      <c r="AQ222" s="642"/>
      <c r="AR222" s="642"/>
      <c r="AS222" s="642"/>
      <c r="AT222" s="642"/>
      <c r="AU222" s="642"/>
      <c r="AV222" s="642"/>
      <c r="AW222" s="642"/>
      <c r="AX222" s="642"/>
      <c r="AY222" s="642"/>
      <c r="AZ222" s="642"/>
      <c r="BA222" s="642"/>
      <c r="BB222" s="642"/>
      <c r="BC222" s="642"/>
      <c r="BD222" s="642"/>
      <c r="BE222" s="642"/>
      <c r="BF222" s="642"/>
      <c r="BG222" s="642"/>
      <c r="BH222" s="642"/>
      <c r="BI222" s="642"/>
      <c r="BJ222" s="634">
        <v>20219</v>
      </c>
      <c r="BK222" s="642"/>
      <c r="BL222" s="642"/>
      <c r="BM222" s="642"/>
      <c r="BN222" s="642"/>
      <c r="BO222" s="642"/>
      <c r="BP222" s="642"/>
      <c r="BQ222" s="642"/>
      <c r="BR222" s="642"/>
      <c r="BS222" s="642"/>
      <c r="BT222" s="642"/>
      <c r="BU222" s="642"/>
      <c r="BV222" s="642"/>
      <c r="BW222" s="24"/>
      <c r="BX222" s="24"/>
      <c r="BY222" s="24"/>
      <c r="BZ222" s="643"/>
      <c r="CA222" s="643"/>
      <c r="CB222" s="643"/>
      <c r="CC222" s="643"/>
      <c r="CD222" s="643"/>
      <c r="CE222" s="643"/>
      <c r="CF222" s="643"/>
      <c r="CG222" s="643"/>
      <c r="CH222" s="643"/>
      <c r="CI222" s="643"/>
      <c r="CJ222" s="643"/>
      <c r="CK222" s="643"/>
      <c r="CL222" s="643"/>
      <c r="CM222" s="643"/>
      <c r="CN222" s="643"/>
      <c r="CO222" s="643"/>
      <c r="CP222" s="643"/>
      <c r="CQ222" s="643"/>
      <c r="CR222" s="643"/>
      <c r="CS222" s="636" t="s">
        <v>2105</v>
      </c>
      <c r="CT222" s="643"/>
      <c r="CU222" s="643"/>
      <c r="CV222" s="643"/>
      <c r="CW222" s="643"/>
      <c r="CX222" s="643"/>
      <c r="CY222" s="643"/>
      <c r="CZ222" s="643"/>
      <c r="DA222" s="643"/>
      <c r="DB222" s="643"/>
      <c r="DC222" s="643"/>
      <c r="DD222" s="643"/>
      <c r="DE222" s="643"/>
    </row>
    <row r="223" spans="34:109" ht="15" hidden="1" customHeight="1">
      <c r="AH223" s="24"/>
      <c r="AI223" s="24"/>
      <c r="AJ223" s="24"/>
      <c r="AK223" s="24"/>
      <c r="AL223" s="630" t="str">
        <f t="shared" si="6"/>
        <v/>
      </c>
      <c r="AM223" s="630" t="str">
        <f t="shared" si="7"/>
        <v/>
      </c>
      <c r="AO223" s="24"/>
      <c r="AP223" s="628">
        <v>221</v>
      </c>
      <c r="AQ223" s="642"/>
      <c r="AR223" s="642"/>
      <c r="AS223" s="642"/>
      <c r="AT223" s="642"/>
      <c r="AU223" s="642"/>
      <c r="AV223" s="642"/>
      <c r="AW223" s="642"/>
      <c r="AX223" s="642"/>
      <c r="AY223" s="642"/>
      <c r="AZ223" s="642"/>
      <c r="BA223" s="642"/>
      <c r="BB223" s="642"/>
      <c r="BC223" s="642"/>
      <c r="BD223" s="642"/>
      <c r="BE223" s="642"/>
      <c r="BF223" s="642"/>
      <c r="BG223" s="642"/>
      <c r="BH223" s="642"/>
      <c r="BI223" s="642"/>
      <c r="BJ223" s="634">
        <v>20220</v>
      </c>
      <c r="BK223" s="642"/>
      <c r="BL223" s="642"/>
      <c r="BM223" s="642"/>
      <c r="BN223" s="642"/>
      <c r="BO223" s="642"/>
      <c r="BP223" s="642"/>
      <c r="BQ223" s="642"/>
      <c r="BR223" s="642"/>
      <c r="BS223" s="642"/>
      <c r="BT223" s="642"/>
      <c r="BU223" s="642"/>
      <c r="BV223" s="642"/>
      <c r="BW223" s="24"/>
      <c r="BX223" s="24"/>
      <c r="BY223" s="24"/>
      <c r="BZ223" s="643"/>
      <c r="CA223" s="643"/>
      <c r="CB223" s="643"/>
      <c r="CC223" s="643"/>
      <c r="CD223" s="643"/>
      <c r="CE223" s="643"/>
      <c r="CF223" s="643"/>
      <c r="CG223" s="643"/>
      <c r="CH223" s="643"/>
      <c r="CI223" s="643"/>
      <c r="CJ223" s="643"/>
      <c r="CK223" s="643"/>
      <c r="CL223" s="643"/>
      <c r="CM223" s="643"/>
      <c r="CN223" s="643"/>
      <c r="CO223" s="643"/>
      <c r="CP223" s="643"/>
      <c r="CQ223" s="643"/>
      <c r="CR223" s="643"/>
      <c r="CS223" s="636" t="s">
        <v>2106</v>
      </c>
      <c r="CT223" s="643"/>
      <c r="CU223" s="643"/>
      <c r="CV223" s="643"/>
      <c r="CW223" s="643"/>
      <c r="CX223" s="643"/>
      <c r="CY223" s="643"/>
      <c r="CZ223" s="643"/>
      <c r="DA223" s="643"/>
      <c r="DB223" s="643"/>
      <c r="DC223" s="643"/>
      <c r="DD223" s="643"/>
      <c r="DE223" s="643"/>
    </row>
    <row r="224" spans="34:109" ht="15" hidden="1" customHeight="1">
      <c r="AH224" s="24"/>
      <c r="AI224" s="24"/>
      <c r="AJ224" s="24"/>
      <c r="AK224" s="24"/>
      <c r="AL224" s="630" t="str">
        <f t="shared" si="6"/>
        <v/>
      </c>
      <c r="AM224" s="630" t="str">
        <f t="shared" si="7"/>
        <v/>
      </c>
      <c r="AO224" s="24"/>
      <c r="AP224" s="628">
        <v>222</v>
      </c>
      <c r="AQ224" s="642"/>
      <c r="AR224" s="642"/>
      <c r="AS224" s="642"/>
      <c r="AT224" s="642"/>
      <c r="AU224" s="642"/>
      <c r="AV224" s="642"/>
      <c r="AW224" s="642"/>
      <c r="AX224" s="642"/>
      <c r="AY224" s="642"/>
      <c r="AZ224" s="642"/>
      <c r="BA224" s="642"/>
      <c r="BB224" s="642"/>
      <c r="BC224" s="642"/>
      <c r="BD224" s="642"/>
      <c r="BE224" s="642"/>
      <c r="BF224" s="642"/>
      <c r="BG224" s="642"/>
      <c r="BH224" s="642"/>
      <c r="BI224" s="642"/>
      <c r="BJ224" s="634">
        <v>20221</v>
      </c>
      <c r="BK224" s="642"/>
      <c r="BL224" s="642"/>
      <c r="BM224" s="642"/>
      <c r="BN224" s="642"/>
      <c r="BO224" s="642"/>
      <c r="BP224" s="642"/>
      <c r="BQ224" s="642"/>
      <c r="BR224" s="642"/>
      <c r="BS224" s="642"/>
      <c r="BT224" s="642"/>
      <c r="BU224" s="642"/>
      <c r="BV224" s="642"/>
      <c r="BW224" s="24"/>
      <c r="BX224" s="24"/>
      <c r="BY224" s="24"/>
      <c r="BZ224" s="643"/>
      <c r="CA224" s="643"/>
      <c r="CB224" s="643"/>
      <c r="CC224" s="643"/>
      <c r="CD224" s="643"/>
      <c r="CE224" s="643"/>
      <c r="CF224" s="643"/>
      <c r="CG224" s="643"/>
      <c r="CH224" s="643"/>
      <c r="CI224" s="643"/>
      <c r="CJ224" s="643"/>
      <c r="CK224" s="643"/>
      <c r="CL224" s="643"/>
      <c r="CM224" s="643"/>
      <c r="CN224" s="643"/>
      <c r="CO224" s="643"/>
      <c r="CP224" s="643"/>
      <c r="CQ224" s="643"/>
      <c r="CR224" s="643"/>
      <c r="CS224" s="636" t="s">
        <v>2107</v>
      </c>
      <c r="CT224" s="643"/>
      <c r="CU224" s="643"/>
      <c r="CV224" s="643"/>
      <c r="CW224" s="643"/>
      <c r="CX224" s="643"/>
      <c r="CY224" s="643"/>
      <c r="CZ224" s="643"/>
      <c r="DA224" s="643"/>
      <c r="DB224" s="643"/>
      <c r="DC224" s="643"/>
      <c r="DD224" s="643"/>
      <c r="DE224" s="643"/>
    </row>
    <row r="225" spans="34:109" ht="15" hidden="1" customHeight="1">
      <c r="AH225" s="24"/>
      <c r="AI225" s="24"/>
      <c r="AJ225" s="24"/>
      <c r="AK225" s="24"/>
      <c r="AL225" s="630" t="str">
        <f t="shared" si="6"/>
        <v/>
      </c>
      <c r="AM225" s="630" t="str">
        <f t="shared" si="7"/>
        <v/>
      </c>
      <c r="AO225" s="24"/>
      <c r="AP225" s="628">
        <v>223</v>
      </c>
      <c r="AQ225" s="642"/>
      <c r="AR225" s="642"/>
      <c r="AS225" s="642"/>
      <c r="AT225" s="642"/>
      <c r="AU225" s="642"/>
      <c r="AV225" s="642"/>
      <c r="AW225" s="642"/>
      <c r="AX225" s="642"/>
      <c r="AY225" s="642"/>
      <c r="AZ225" s="642"/>
      <c r="BA225" s="642"/>
      <c r="BB225" s="642"/>
      <c r="BC225" s="642"/>
      <c r="BD225" s="642"/>
      <c r="BE225" s="642"/>
      <c r="BF225" s="642"/>
      <c r="BG225" s="642"/>
      <c r="BH225" s="642"/>
      <c r="BI225" s="642"/>
      <c r="BJ225" s="634">
        <v>20222</v>
      </c>
      <c r="BK225" s="642"/>
      <c r="BL225" s="642"/>
      <c r="BM225" s="642"/>
      <c r="BN225" s="642"/>
      <c r="BO225" s="642"/>
      <c r="BP225" s="642"/>
      <c r="BQ225" s="642"/>
      <c r="BR225" s="642"/>
      <c r="BS225" s="642"/>
      <c r="BT225" s="642"/>
      <c r="BU225" s="642"/>
      <c r="BV225" s="642"/>
      <c r="BW225" s="24"/>
      <c r="BX225" s="24"/>
      <c r="BY225" s="24"/>
      <c r="BZ225" s="643"/>
      <c r="CA225" s="643"/>
      <c r="CB225" s="643"/>
      <c r="CC225" s="643"/>
      <c r="CD225" s="643"/>
      <c r="CE225" s="643"/>
      <c r="CF225" s="643"/>
      <c r="CG225" s="643"/>
      <c r="CH225" s="643"/>
      <c r="CI225" s="643"/>
      <c r="CJ225" s="643"/>
      <c r="CK225" s="643"/>
      <c r="CL225" s="643"/>
      <c r="CM225" s="643"/>
      <c r="CN225" s="643"/>
      <c r="CO225" s="643"/>
      <c r="CP225" s="643"/>
      <c r="CQ225" s="643"/>
      <c r="CR225" s="643"/>
      <c r="CS225" s="636" t="s">
        <v>2108</v>
      </c>
      <c r="CT225" s="643"/>
      <c r="CU225" s="643"/>
      <c r="CV225" s="643"/>
      <c r="CW225" s="643"/>
      <c r="CX225" s="643"/>
      <c r="CY225" s="643"/>
      <c r="CZ225" s="643"/>
      <c r="DA225" s="643"/>
      <c r="DB225" s="643"/>
      <c r="DC225" s="643"/>
      <c r="DD225" s="643"/>
      <c r="DE225" s="643"/>
    </row>
    <row r="226" spans="34:109" ht="15" hidden="1" customHeight="1">
      <c r="AH226" s="24"/>
      <c r="AI226" s="24"/>
      <c r="AJ226" s="24"/>
      <c r="AK226" s="24"/>
      <c r="AL226" s="630" t="str">
        <f t="shared" si="6"/>
        <v/>
      </c>
      <c r="AM226" s="630" t="str">
        <f t="shared" si="7"/>
        <v/>
      </c>
      <c r="AO226" s="24"/>
      <c r="AP226" s="628">
        <v>224</v>
      </c>
      <c r="AQ226" s="642"/>
      <c r="AR226" s="642"/>
      <c r="AS226" s="642"/>
      <c r="AT226" s="642"/>
      <c r="AU226" s="642"/>
      <c r="AV226" s="642"/>
      <c r="AW226" s="642"/>
      <c r="AX226" s="642"/>
      <c r="AY226" s="642"/>
      <c r="AZ226" s="642"/>
      <c r="BA226" s="642"/>
      <c r="BB226" s="642"/>
      <c r="BC226" s="642"/>
      <c r="BD226" s="642"/>
      <c r="BE226" s="642"/>
      <c r="BF226" s="642"/>
      <c r="BG226" s="642"/>
      <c r="BH226" s="642"/>
      <c r="BI226" s="642"/>
      <c r="BJ226" s="634">
        <v>20223</v>
      </c>
      <c r="BK226" s="642"/>
      <c r="BL226" s="642"/>
      <c r="BM226" s="642"/>
      <c r="BN226" s="642"/>
      <c r="BO226" s="642"/>
      <c r="BP226" s="642"/>
      <c r="BQ226" s="642"/>
      <c r="BR226" s="642"/>
      <c r="BS226" s="642"/>
      <c r="BT226" s="642"/>
      <c r="BU226" s="642"/>
      <c r="BV226" s="642"/>
      <c r="BW226" s="24"/>
      <c r="BX226" s="24"/>
      <c r="BY226" s="24"/>
      <c r="BZ226" s="643"/>
      <c r="CA226" s="643"/>
      <c r="CB226" s="643"/>
      <c r="CC226" s="643"/>
      <c r="CD226" s="643"/>
      <c r="CE226" s="643"/>
      <c r="CF226" s="643"/>
      <c r="CG226" s="643"/>
      <c r="CH226" s="643"/>
      <c r="CI226" s="643"/>
      <c r="CJ226" s="643"/>
      <c r="CK226" s="643"/>
      <c r="CL226" s="643"/>
      <c r="CM226" s="643"/>
      <c r="CN226" s="643"/>
      <c r="CO226" s="643"/>
      <c r="CP226" s="643"/>
      <c r="CQ226" s="643"/>
      <c r="CR226" s="643"/>
      <c r="CS226" s="636" t="s">
        <v>2109</v>
      </c>
      <c r="CT226" s="643"/>
      <c r="CU226" s="643"/>
      <c r="CV226" s="643"/>
      <c r="CW226" s="643"/>
      <c r="CX226" s="643"/>
      <c r="CY226" s="643"/>
      <c r="CZ226" s="643"/>
      <c r="DA226" s="643"/>
      <c r="DB226" s="643"/>
      <c r="DC226" s="643"/>
      <c r="DD226" s="643"/>
      <c r="DE226" s="643"/>
    </row>
    <row r="227" spans="34:109" ht="15" hidden="1" customHeight="1">
      <c r="AH227" s="24"/>
      <c r="AI227" s="24"/>
      <c r="AJ227" s="24"/>
      <c r="AK227" s="24"/>
      <c r="AL227" s="630" t="str">
        <f t="shared" si="6"/>
        <v/>
      </c>
      <c r="AM227" s="630" t="str">
        <f t="shared" si="7"/>
        <v/>
      </c>
      <c r="AO227" s="24"/>
      <c r="AP227" s="628">
        <v>225</v>
      </c>
      <c r="AQ227" s="642"/>
      <c r="AR227" s="642"/>
      <c r="AS227" s="642"/>
      <c r="AT227" s="642"/>
      <c r="AU227" s="642"/>
      <c r="AV227" s="642"/>
      <c r="AW227" s="642"/>
      <c r="AX227" s="642"/>
      <c r="AY227" s="642"/>
      <c r="AZ227" s="642"/>
      <c r="BA227" s="642"/>
      <c r="BB227" s="642"/>
      <c r="BC227" s="642"/>
      <c r="BD227" s="642"/>
      <c r="BE227" s="642"/>
      <c r="BF227" s="642"/>
      <c r="BG227" s="642"/>
      <c r="BH227" s="642"/>
      <c r="BI227" s="642"/>
      <c r="BJ227" s="634">
        <v>20224</v>
      </c>
      <c r="BK227" s="642"/>
      <c r="BL227" s="642"/>
      <c r="BM227" s="642"/>
      <c r="BN227" s="642"/>
      <c r="BO227" s="642"/>
      <c r="BP227" s="642"/>
      <c r="BQ227" s="642"/>
      <c r="BR227" s="642"/>
      <c r="BS227" s="642"/>
      <c r="BT227" s="642"/>
      <c r="BU227" s="642"/>
      <c r="BV227" s="642"/>
      <c r="BW227" s="24"/>
      <c r="BX227" s="24"/>
      <c r="BY227" s="24"/>
      <c r="BZ227" s="643"/>
      <c r="CA227" s="643"/>
      <c r="CB227" s="643"/>
      <c r="CC227" s="643"/>
      <c r="CD227" s="643"/>
      <c r="CE227" s="643"/>
      <c r="CF227" s="643"/>
      <c r="CG227" s="643"/>
      <c r="CH227" s="643"/>
      <c r="CI227" s="643"/>
      <c r="CJ227" s="643"/>
      <c r="CK227" s="643"/>
      <c r="CL227" s="643"/>
      <c r="CM227" s="643"/>
      <c r="CN227" s="643"/>
      <c r="CO227" s="643"/>
      <c r="CP227" s="643"/>
      <c r="CQ227" s="643"/>
      <c r="CR227" s="643"/>
      <c r="CS227" s="636" t="s">
        <v>2110</v>
      </c>
      <c r="CT227" s="643"/>
      <c r="CU227" s="643"/>
      <c r="CV227" s="643"/>
      <c r="CW227" s="643"/>
      <c r="CX227" s="643"/>
      <c r="CY227" s="643"/>
      <c r="CZ227" s="643"/>
      <c r="DA227" s="643"/>
      <c r="DB227" s="643"/>
      <c r="DC227" s="643"/>
      <c r="DD227" s="643"/>
      <c r="DE227" s="643"/>
    </row>
    <row r="228" spans="34:109" ht="15" hidden="1" customHeight="1">
      <c r="AH228" s="24"/>
      <c r="AI228" s="24"/>
      <c r="AJ228" s="24"/>
      <c r="AK228" s="24"/>
      <c r="AL228" s="630" t="str">
        <f t="shared" si="6"/>
        <v/>
      </c>
      <c r="AM228" s="630" t="str">
        <f t="shared" si="7"/>
        <v/>
      </c>
      <c r="AO228" s="24"/>
      <c r="AP228" s="628">
        <v>226</v>
      </c>
      <c r="AQ228" s="642"/>
      <c r="AR228" s="642"/>
      <c r="AS228" s="642"/>
      <c r="AT228" s="642"/>
      <c r="AU228" s="642"/>
      <c r="AV228" s="642"/>
      <c r="AW228" s="642"/>
      <c r="AX228" s="642"/>
      <c r="AY228" s="642"/>
      <c r="AZ228" s="642"/>
      <c r="BA228" s="642"/>
      <c r="BB228" s="642"/>
      <c r="BC228" s="642"/>
      <c r="BD228" s="642"/>
      <c r="BE228" s="642"/>
      <c r="BF228" s="642"/>
      <c r="BG228" s="642"/>
      <c r="BH228" s="642"/>
      <c r="BI228" s="642"/>
      <c r="BJ228" s="634">
        <v>20225</v>
      </c>
      <c r="BK228" s="642"/>
      <c r="BL228" s="642"/>
      <c r="BM228" s="642"/>
      <c r="BN228" s="642"/>
      <c r="BO228" s="642"/>
      <c r="BP228" s="642"/>
      <c r="BQ228" s="642"/>
      <c r="BR228" s="642"/>
      <c r="BS228" s="642"/>
      <c r="BT228" s="642"/>
      <c r="BU228" s="642"/>
      <c r="BV228" s="642"/>
      <c r="BW228" s="24"/>
      <c r="BX228" s="24"/>
      <c r="BY228" s="24"/>
      <c r="BZ228" s="643"/>
      <c r="CA228" s="643"/>
      <c r="CB228" s="643"/>
      <c r="CC228" s="643"/>
      <c r="CD228" s="643"/>
      <c r="CE228" s="643"/>
      <c r="CF228" s="643"/>
      <c r="CG228" s="643"/>
      <c r="CH228" s="643"/>
      <c r="CI228" s="643"/>
      <c r="CJ228" s="643"/>
      <c r="CK228" s="643"/>
      <c r="CL228" s="643"/>
      <c r="CM228" s="643"/>
      <c r="CN228" s="643"/>
      <c r="CO228" s="643"/>
      <c r="CP228" s="643"/>
      <c r="CQ228" s="643"/>
      <c r="CR228" s="643"/>
      <c r="CS228" s="636" t="s">
        <v>2111</v>
      </c>
      <c r="CT228" s="643"/>
      <c r="CU228" s="643"/>
      <c r="CV228" s="643"/>
      <c r="CW228" s="643"/>
      <c r="CX228" s="643"/>
      <c r="CY228" s="643"/>
      <c r="CZ228" s="643"/>
      <c r="DA228" s="643"/>
      <c r="DB228" s="643"/>
      <c r="DC228" s="643"/>
      <c r="DD228" s="643"/>
      <c r="DE228" s="643"/>
    </row>
    <row r="229" spans="34:109" ht="15" hidden="1" customHeight="1">
      <c r="AH229" s="24"/>
      <c r="AI229" s="24"/>
      <c r="AJ229" s="24"/>
      <c r="AK229" s="24"/>
      <c r="AL229" s="630" t="str">
        <f t="shared" si="6"/>
        <v/>
      </c>
      <c r="AM229" s="630" t="str">
        <f t="shared" si="7"/>
        <v/>
      </c>
      <c r="AO229" s="24"/>
      <c r="AP229" s="628">
        <v>227</v>
      </c>
      <c r="AQ229" s="642"/>
      <c r="AR229" s="642"/>
      <c r="AS229" s="642"/>
      <c r="AT229" s="642"/>
      <c r="AU229" s="642"/>
      <c r="AV229" s="642"/>
      <c r="AW229" s="642"/>
      <c r="AX229" s="642"/>
      <c r="AY229" s="642"/>
      <c r="AZ229" s="642"/>
      <c r="BA229" s="642"/>
      <c r="BB229" s="642"/>
      <c r="BC229" s="642"/>
      <c r="BD229" s="642"/>
      <c r="BE229" s="642"/>
      <c r="BF229" s="642"/>
      <c r="BG229" s="642"/>
      <c r="BH229" s="642"/>
      <c r="BI229" s="642"/>
      <c r="BJ229" s="634">
        <v>20226</v>
      </c>
      <c r="BK229" s="642"/>
      <c r="BL229" s="642"/>
      <c r="BM229" s="642"/>
      <c r="BN229" s="642"/>
      <c r="BO229" s="642"/>
      <c r="BP229" s="642"/>
      <c r="BQ229" s="642"/>
      <c r="BR229" s="642"/>
      <c r="BS229" s="642"/>
      <c r="BT229" s="642"/>
      <c r="BU229" s="642"/>
      <c r="BV229" s="642"/>
      <c r="BW229" s="24"/>
      <c r="BX229" s="24"/>
      <c r="BY229" s="24"/>
      <c r="BZ229" s="643"/>
      <c r="CA229" s="643"/>
      <c r="CB229" s="643"/>
      <c r="CC229" s="643"/>
      <c r="CD229" s="643"/>
      <c r="CE229" s="643"/>
      <c r="CF229" s="643"/>
      <c r="CG229" s="643"/>
      <c r="CH229" s="643"/>
      <c r="CI229" s="643"/>
      <c r="CJ229" s="643"/>
      <c r="CK229" s="643"/>
      <c r="CL229" s="643"/>
      <c r="CM229" s="643"/>
      <c r="CN229" s="643"/>
      <c r="CO229" s="643"/>
      <c r="CP229" s="643"/>
      <c r="CQ229" s="643"/>
      <c r="CR229" s="643"/>
      <c r="CS229" s="636" t="s">
        <v>2112</v>
      </c>
      <c r="CT229" s="643"/>
      <c r="CU229" s="643"/>
      <c r="CV229" s="643"/>
      <c r="CW229" s="643"/>
      <c r="CX229" s="643"/>
      <c r="CY229" s="643"/>
      <c r="CZ229" s="643"/>
      <c r="DA229" s="643"/>
      <c r="DB229" s="643"/>
      <c r="DC229" s="643"/>
      <c r="DD229" s="643"/>
      <c r="DE229" s="643"/>
    </row>
    <row r="230" spans="34:109" ht="15" hidden="1" customHeight="1">
      <c r="AH230" s="24"/>
      <c r="AI230" s="24"/>
      <c r="AJ230" s="24"/>
      <c r="AK230" s="24"/>
      <c r="AL230" s="630" t="str">
        <f t="shared" si="6"/>
        <v/>
      </c>
      <c r="AM230" s="630" t="str">
        <f t="shared" si="7"/>
        <v/>
      </c>
      <c r="AO230" s="24"/>
      <c r="AP230" s="628">
        <v>228</v>
      </c>
      <c r="AQ230" s="642"/>
      <c r="AR230" s="642"/>
      <c r="AS230" s="642"/>
      <c r="AT230" s="642"/>
      <c r="AU230" s="642"/>
      <c r="AV230" s="642"/>
      <c r="AW230" s="642"/>
      <c r="AX230" s="642"/>
      <c r="AY230" s="642"/>
      <c r="AZ230" s="642"/>
      <c r="BA230" s="642"/>
      <c r="BB230" s="642"/>
      <c r="BC230" s="642"/>
      <c r="BD230" s="642"/>
      <c r="BE230" s="642"/>
      <c r="BF230" s="642"/>
      <c r="BG230" s="642"/>
      <c r="BH230" s="642"/>
      <c r="BI230" s="642"/>
      <c r="BJ230" s="634">
        <v>20227</v>
      </c>
      <c r="BK230" s="642"/>
      <c r="BL230" s="642"/>
      <c r="BM230" s="642"/>
      <c r="BN230" s="642"/>
      <c r="BO230" s="642"/>
      <c r="BP230" s="642"/>
      <c r="BQ230" s="642"/>
      <c r="BR230" s="642"/>
      <c r="BS230" s="642"/>
      <c r="BT230" s="642"/>
      <c r="BU230" s="642"/>
      <c r="BV230" s="642"/>
      <c r="BW230" s="24"/>
      <c r="BX230" s="24"/>
      <c r="BY230" s="24"/>
      <c r="BZ230" s="643"/>
      <c r="CA230" s="643"/>
      <c r="CB230" s="643"/>
      <c r="CC230" s="643"/>
      <c r="CD230" s="643"/>
      <c r="CE230" s="643"/>
      <c r="CF230" s="643"/>
      <c r="CG230" s="643"/>
      <c r="CH230" s="643"/>
      <c r="CI230" s="643"/>
      <c r="CJ230" s="643"/>
      <c r="CK230" s="643"/>
      <c r="CL230" s="643"/>
      <c r="CM230" s="643"/>
      <c r="CN230" s="643"/>
      <c r="CO230" s="643"/>
      <c r="CP230" s="643"/>
      <c r="CQ230" s="643"/>
      <c r="CR230" s="643"/>
      <c r="CS230" s="636" t="s">
        <v>2113</v>
      </c>
      <c r="CT230" s="643"/>
      <c r="CU230" s="643"/>
      <c r="CV230" s="643"/>
      <c r="CW230" s="643"/>
      <c r="CX230" s="643"/>
      <c r="CY230" s="643"/>
      <c r="CZ230" s="643"/>
      <c r="DA230" s="643"/>
      <c r="DB230" s="643"/>
      <c r="DC230" s="643"/>
      <c r="DD230" s="643"/>
      <c r="DE230" s="643"/>
    </row>
    <row r="231" spans="34:109" ht="15" hidden="1" customHeight="1">
      <c r="AH231" s="24"/>
      <c r="AI231" s="24"/>
      <c r="AJ231" s="24"/>
      <c r="AK231" s="24"/>
      <c r="AL231" s="630" t="str">
        <f t="shared" si="6"/>
        <v/>
      </c>
      <c r="AM231" s="630" t="str">
        <f t="shared" si="7"/>
        <v/>
      </c>
      <c r="AO231" s="24"/>
      <c r="AP231" s="628">
        <v>229</v>
      </c>
      <c r="AQ231" s="642"/>
      <c r="AR231" s="642"/>
      <c r="AS231" s="642"/>
      <c r="AT231" s="642"/>
      <c r="AU231" s="642"/>
      <c r="AV231" s="642"/>
      <c r="AW231" s="642"/>
      <c r="AX231" s="642"/>
      <c r="AY231" s="642"/>
      <c r="AZ231" s="642"/>
      <c r="BA231" s="642"/>
      <c r="BB231" s="642"/>
      <c r="BC231" s="642"/>
      <c r="BD231" s="642"/>
      <c r="BE231" s="642"/>
      <c r="BF231" s="642"/>
      <c r="BG231" s="642"/>
      <c r="BH231" s="642"/>
      <c r="BI231" s="642"/>
      <c r="BJ231" s="634">
        <v>20228</v>
      </c>
      <c r="BK231" s="642"/>
      <c r="BL231" s="642"/>
      <c r="BM231" s="642"/>
      <c r="BN231" s="642"/>
      <c r="BO231" s="642"/>
      <c r="BP231" s="642"/>
      <c r="BQ231" s="642"/>
      <c r="BR231" s="642"/>
      <c r="BS231" s="642"/>
      <c r="BT231" s="642"/>
      <c r="BU231" s="642"/>
      <c r="BV231" s="642"/>
      <c r="BW231" s="24"/>
      <c r="BX231" s="24"/>
      <c r="BY231" s="24"/>
      <c r="BZ231" s="643"/>
      <c r="CA231" s="643"/>
      <c r="CB231" s="643"/>
      <c r="CC231" s="643"/>
      <c r="CD231" s="643"/>
      <c r="CE231" s="643"/>
      <c r="CF231" s="643"/>
      <c r="CG231" s="643"/>
      <c r="CH231" s="643"/>
      <c r="CI231" s="643"/>
      <c r="CJ231" s="643"/>
      <c r="CK231" s="643"/>
      <c r="CL231" s="643"/>
      <c r="CM231" s="643"/>
      <c r="CN231" s="643"/>
      <c r="CO231" s="643"/>
      <c r="CP231" s="643"/>
      <c r="CQ231" s="643"/>
      <c r="CR231" s="643"/>
      <c r="CS231" s="636" t="s">
        <v>2114</v>
      </c>
      <c r="CT231" s="643"/>
      <c r="CU231" s="643"/>
      <c r="CV231" s="643"/>
      <c r="CW231" s="643"/>
      <c r="CX231" s="643"/>
      <c r="CY231" s="643"/>
      <c r="CZ231" s="643"/>
      <c r="DA231" s="643"/>
      <c r="DB231" s="643"/>
      <c r="DC231" s="643"/>
      <c r="DD231" s="643"/>
      <c r="DE231" s="643"/>
    </row>
    <row r="232" spans="34:109" ht="15" hidden="1" customHeight="1">
      <c r="AH232" s="24"/>
      <c r="AI232" s="24"/>
      <c r="AJ232" s="24"/>
      <c r="AK232" s="24"/>
      <c r="AL232" s="630" t="str">
        <f t="shared" si="6"/>
        <v/>
      </c>
      <c r="AM232" s="630" t="str">
        <f t="shared" si="7"/>
        <v/>
      </c>
      <c r="AO232" s="24"/>
      <c r="AP232" s="628">
        <v>230</v>
      </c>
      <c r="AQ232" s="642"/>
      <c r="AR232" s="642"/>
      <c r="AS232" s="642"/>
      <c r="AT232" s="642"/>
      <c r="AU232" s="642"/>
      <c r="AV232" s="642"/>
      <c r="AW232" s="642"/>
      <c r="AX232" s="642"/>
      <c r="AY232" s="642"/>
      <c r="AZ232" s="642"/>
      <c r="BA232" s="642"/>
      <c r="BB232" s="642"/>
      <c r="BC232" s="642"/>
      <c r="BD232" s="642"/>
      <c r="BE232" s="642"/>
      <c r="BF232" s="642"/>
      <c r="BG232" s="642"/>
      <c r="BH232" s="642"/>
      <c r="BI232" s="642"/>
      <c r="BJ232" s="634">
        <v>20229</v>
      </c>
      <c r="BK232" s="642"/>
      <c r="BL232" s="642"/>
      <c r="BM232" s="642"/>
      <c r="BN232" s="642"/>
      <c r="BO232" s="642"/>
      <c r="BP232" s="642"/>
      <c r="BQ232" s="642"/>
      <c r="BR232" s="642"/>
      <c r="BS232" s="642"/>
      <c r="BT232" s="642"/>
      <c r="BU232" s="642"/>
      <c r="BV232" s="642"/>
      <c r="BW232" s="24"/>
      <c r="BX232" s="24"/>
      <c r="BY232" s="24"/>
      <c r="BZ232" s="643"/>
      <c r="CA232" s="643"/>
      <c r="CB232" s="643"/>
      <c r="CC232" s="643"/>
      <c r="CD232" s="643"/>
      <c r="CE232" s="643"/>
      <c r="CF232" s="643"/>
      <c r="CG232" s="643"/>
      <c r="CH232" s="643"/>
      <c r="CI232" s="643"/>
      <c r="CJ232" s="643"/>
      <c r="CK232" s="643"/>
      <c r="CL232" s="643"/>
      <c r="CM232" s="643"/>
      <c r="CN232" s="643"/>
      <c r="CO232" s="643"/>
      <c r="CP232" s="643"/>
      <c r="CQ232" s="643"/>
      <c r="CR232" s="643"/>
      <c r="CS232" s="636" t="s">
        <v>2115</v>
      </c>
      <c r="CT232" s="643"/>
      <c r="CU232" s="643"/>
      <c r="CV232" s="643"/>
      <c r="CW232" s="643"/>
      <c r="CX232" s="643"/>
      <c r="CY232" s="643"/>
      <c r="CZ232" s="643"/>
      <c r="DA232" s="643"/>
      <c r="DB232" s="643"/>
      <c r="DC232" s="643"/>
      <c r="DD232" s="643"/>
      <c r="DE232" s="643"/>
    </row>
    <row r="233" spans="34:109" ht="15" hidden="1" customHeight="1">
      <c r="AH233" s="24"/>
      <c r="AI233" s="24"/>
      <c r="AJ233" s="24"/>
      <c r="AK233" s="24"/>
      <c r="AL233" s="630" t="str">
        <f t="shared" si="6"/>
        <v/>
      </c>
      <c r="AM233" s="630" t="str">
        <f t="shared" si="7"/>
        <v/>
      </c>
      <c r="AO233" s="24"/>
      <c r="AP233" s="628">
        <v>231</v>
      </c>
      <c r="AQ233" s="642"/>
      <c r="AR233" s="642"/>
      <c r="AS233" s="642"/>
      <c r="AT233" s="642"/>
      <c r="AU233" s="642"/>
      <c r="AV233" s="642"/>
      <c r="AW233" s="642"/>
      <c r="AX233" s="642"/>
      <c r="AY233" s="642"/>
      <c r="AZ233" s="642"/>
      <c r="BA233" s="642"/>
      <c r="BB233" s="642"/>
      <c r="BC233" s="642"/>
      <c r="BD233" s="642"/>
      <c r="BE233" s="642"/>
      <c r="BF233" s="642"/>
      <c r="BG233" s="642"/>
      <c r="BH233" s="642"/>
      <c r="BI233" s="642"/>
      <c r="BJ233" s="634">
        <v>20230</v>
      </c>
      <c r="BK233" s="642"/>
      <c r="BL233" s="642"/>
      <c r="BM233" s="642"/>
      <c r="BN233" s="642"/>
      <c r="BO233" s="642"/>
      <c r="BP233" s="642"/>
      <c r="BQ233" s="642"/>
      <c r="BR233" s="642"/>
      <c r="BS233" s="642"/>
      <c r="BT233" s="642"/>
      <c r="BU233" s="642"/>
      <c r="BV233" s="642"/>
      <c r="BW233" s="24"/>
      <c r="BX233" s="24"/>
      <c r="BY233" s="24"/>
      <c r="BZ233" s="643"/>
      <c r="CA233" s="643"/>
      <c r="CB233" s="643"/>
      <c r="CC233" s="643"/>
      <c r="CD233" s="643"/>
      <c r="CE233" s="643"/>
      <c r="CF233" s="643"/>
      <c r="CG233" s="643"/>
      <c r="CH233" s="643"/>
      <c r="CI233" s="643"/>
      <c r="CJ233" s="643"/>
      <c r="CK233" s="643"/>
      <c r="CL233" s="643"/>
      <c r="CM233" s="643"/>
      <c r="CN233" s="643"/>
      <c r="CO233" s="643"/>
      <c r="CP233" s="643"/>
      <c r="CQ233" s="643"/>
      <c r="CR233" s="643"/>
      <c r="CS233" s="636" t="s">
        <v>2116</v>
      </c>
      <c r="CT233" s="643"/>
      <c r="CU233" s="643"/>
      <c r="CV233" s="643"/>
      <c r="CW233" s="643"/>
      <c r="CX233" s="643"/>
      <c r="CY233" s="643"/>
      <c r="CZ233" s="643"/>
      <c r="DA233" s="643"/>
      <c r="DB233" s="643"/>
      <c r="DC233" s="643"/>
      <c r="DD233" s="643"/>
      <c r="DE233" s="643"/>
    </row>
    <row r="234" spans="34:109" ht="15" hidden="1" customHeight="1">
      <c r="AH234" s="24"/>
      <c r="AI234" s="24"/>
      <c r="AJ234" s="24"/>
      <c r="AK234" s="24"/>
      <c r="AL234" s="630" t="str">
        <f t="shared" si="6"/>
        <v/>
      </c>
      <c r="AM234" s="630" t="str">
        <f t="shared" si="7"/>
        <v/>
      </c>
      <c r="AO234" s="24"/>
      <c r="AP234" s="628">
        <v>232</v>
      </c>
      <c r="AQ234" s="642"/>
      <c r="AR234" s="642"/>
      <c r="AS234" s="642"/>
      <c r="AT234" s="642"/>
      <c r="AU234" s="642"/>
      <c r="AV234" s="642"/>
      <c r="AW234" s="642"/>
      <c r="AX234" s="642"/>
      <c r="AY234" s="642"/>
      <c r="AZ234" s="642"/>
      <c r="BA234" s="642"/>
      <c r="BB234" s="642"/>
      <c r="BC234" s="642"/>
      <c r="BD234" s="642"/>
      <c r="BE234" s="642"/>
      <c r="BF234" s="642"/>
      <c r="BG234" s="642"/>
      <c r="BH234" s="642"/>
      <c r="BI234" s="642"/>
      <c r="BJ234" s="634">
        <v>20231</v>
      </c>
      <c r="BK234" s="642"/>
      <c r="BL234" s="642"/>
      <c r="BM234" s="642"/>
      <c r="BN234" s="642"/>
      <c r="BO234" s="642"/>
      <c r="BP234" s="642"/>
      <c r="BQ234" s="642"/>
      <c r="BR234" s="642"/>
      <c r="BS234" s="642"/>
      <c r="BT234" s="642"/>
      <c r="BU234" s="642"/>
      <c r="BV234" s="642"/>
      <c r="BW234" s="24"/>
      <c r="BX234" s="24"/>
      <c r="BY234" s="24"/>
      <c r="BZ234" s="643"/>
      <c r="CA234" s="643"/>
      <c r="CB234" s="643"/>
      <c r="CC234" s="643"/>
      <c r="CD234" s="643"/>
      <c r="CE234" s="643"/>
      <c r="CF234" s="643"/>
      <c r="CG234" s="643"/>
      <c r="CH234" s="643"/>
      <c r="CI234" s="643"/>
      <c r="CJ234" s="643"/>
      <c r="CK234" s="643"/>
      <c r="CL234" s="643"/>
      <c r="CM234" s="643"/>
      <c r="CN234" s="643"/>
      <c r="CO234" s="643"/>
      <c r="CP234" s="643"/>
      <c r="CQ234" s="643"/>
      <c r="CR234" s="643"/>
      <c r="CS234" s="636" t="s">
        <v>2117</v>
      </c>
      <c r="CT234" s="643"/>
      <c r="CU234" s="643"/>
      <c r="CV234" s="643"/>
      <c r="CW234" s="643"/>
      <c r="CX234" s="643"/>
      <c r="CY234" s="643"/>
      <c r="CZ234" s="643"/>
      <c r="DA234" s="643"/>
      <c r="DB234" s="643"/>
      <c r="DC234" s="643"/>
      <c r="DD234" s="643"/>
      <c r="DE234" s="643"/>
    </row>
    <row r="235" spans="34:109" ht="15" hidden="1" customHeight="1">
      <c r="AH235" s="24"/>
      <c r="AI235" s="24"/>
      <c r="AJ235" s="24"/>
      <c r="AK235" s="24"/>
      <c r="AL235" s="630" t="str">
        <f t="shared" si="6"/>
        <v/>
      </c>
      <c r="AM235" s="630" t="str">
        <f t="shared" si="7"/>
        <v/>
      </c>
      <c r="AO235" s="24"/>
      <c r="AP235" s="628">
        <v>233</v>
      </c>
      <c r="AQ235" s="642"/>
      <c r="AR235" s="642"/>
      <c r="AS235" s="642"/>
      <c r="AT235" s="642"/>
      <c r="AU235" s="642"/>
      <c r="AV235" s="642"/>
      <c r="AW235" s="642"/>
      <c r="AX235" s="642"/>
      <c r="AY235" s="642"/>
      <c r="AZ235" s="642"/>
      <c r="BA235" s="642"/>
      <c r="BB235" s="642"/>
      <c r="BC235" s="642"/>
      <c r="BD235" s="642"/>
      <c r="BE235" s="642"/>
      <c r="BF235" s="642"/>
      <c r="BG235" s="642"/>
      <c r="BH235" s="642"/>
      <c r="BI235" s="642"/>
      <c r="BJ235" s="634">
        <v>20232</v>
      </c>
      <c r="BK235" s="642"/>
      <c r="BL235" s="642"/>
      <c r="BM235" s="642"/>
      <c r="BN235" s="642"/>
      <c r="BO235" s="642"/>
      <c r="BP235" s="642"/>
      <c r="BQ235" s="642"/>
      <c r="BR235" s="642"/>
      <c r="BS235" s="642"/>
      <c r="BT235" s="642"/>
      <c r="BU235" s="642"/>
      <c r="BV235" s="642"/>
      <c r="BW235" s="24"/>
      <c r="BX235" s="24"/>
      <c r="BY235" s="24"/>
      <c r="BZ235" s="643"/>
      <c r="CA235" s="643"/>
      <c r="CB235" s="643"/>
      <c r="CC235" s="643"/>
      <c r="CD235" s="643"/>
      <c r="CE235" s="643"/>
      <c r="CF235" s="643"/>
      <c r="CG235" s="643"/>
      <c r="CH235" s="643"/>
      <c r="CI235" s="643"/>
      <c r="CJ235" s="643"/>
      <c r="CK235" s="643"/>
      <c r="CL235" s="643"/>
      <c r="CM235" s="643"/>
      <c r="CN235" s="643"/>
      <c r="CO235" s="643"/>
      <c r="CP235" s="643"/>
      <c r="CQ235" s="643"/>
      <c r="CR235" s="643"/>
      <c r="CS235" s="636" t="s">
        <v>2118</v>
      </c>
      <c r="CT235" s="643"/>
      <c r="CU235" s="643"/>
      <c r="CV235" s="643"/>
      <c r="CW235" s="643"/>
      <c r="CX235" s="643"/>
      <c r="CY235" s="643"/>
      <c r="CZ235" s="643"/>
      <c r="DA235" s="643"/>
      <c r="DB235" s="643"/>
      <c r="DC235" s="643"/>
      <c r="DD235" s="643"/>
      <c r="DE235" s="643"/>
    </row>
    <row r="236" spans="34:109" ht="15" hidden="1" customHeight="1">
      <c r="AH236" s="24"/>
      <c r="AI236" s="24"/>
      <c r="AJ236" s="24"/>
      <c r="AK236" s="24"/>
      <c r="AL236" s="630" t="str">
        <f t="shared" si="6"/>
        <v/>
      </c>
      <c r="AM236" s="630" t="str">
        <f t="shared" si="7"/>
        <v/>
      </c>
      <c r="AO236" s="24"/>
      <c r="AP236" s="628">
        <v>234</v>
      </c>
      <c r="AQ236" s="642"/>
      <c r="AR236" s="642"/>
      <c r="AS236" s="642"/>
      <c r="AT236" s="642"/>
      <c r="AU236" s="642"/>
      <c r="AV236" s="642"/>
      <c r="AW236" s="642"/>
      <c r="AX236" s="642"/>
      <c r="AY236" s="642"/>
      <c r="AZ236" s="642"/>
      <c r="BA236" s="642"/>
      <c r="BB236" s="642"/>
      <c r="BC236" s="642"/>
      <c r="BD236" s="642"/>
      <c r="BE236" s="642"/>
      <c r="BF236" s="642"/>
      <c r="BG236" s="642"/>
      <c r="BH236" s="642"/>
      <c r="BI236" s="642"/>
      <c r="BJ236" s="634">
        <v>20233</v>
      </c>
      <c r="BK236" s="642"/>
      <c r="BL236" s="642"/>
      <c r="BM236" s="642"/>
      <c r="BN236" s="642"/>
      <c r="BO236" s="642"/>
      <c r="BP236" s="642"/>
      <c r="BQ236" s="642"/>
      <c r="BR236" s="642"/>
      <c r="BS236" s="642"/>
      <c r="BT236" s="642"/>
      <c r="BU236" s="642"/>
      <c r="BV236" s="642"/>
      <c r="BW236" s="24"/>
      <c r="BX236" s="24"/>
      <c r="BY236" s="24"/>
      <c r="BZ236" s="643"/>
      <c r="CA236" s="643"/>
      <c r="CB236" s="643"/>
      <c r="CC236" s="643"/>
      <c r="CD236" s="643"/>
      <c r="CE236" s="643"/>
      <c r="CF236" s="643"/>
      <c r="CG236" s="643"/>
      <c r="CH236" s="643"/>
      <c r="CI236" s="643"/>
      <c r="CJ236" s="643"/>
      <c r="CK236" s="643"/>
      <c r="CL236" s="643"/>
      <c r="CM236" s="643"/>
      <c r="CN236" s="643"/>
      <c r="CO236" s="643"/>
      <c r="CP236" s="643"/>
      <c r="CQ236" s="643"/>
      <c r="CR236" s="643"/>
      <c r="CS236" s="636" t="s">
        <v>2119</v>
      </c>
      <c r="CT236" s="643"/>
      <c r="CU236" s="643"/>
      <c r="CV236" s="643"/>
      <c r="CW236" s="643"/>
      <c r="CX236" s="643"/>
      <c r="CY236" s="643"/>
      <c r="CZ236" s="643"/>
      <c r="DA236" s="643"/>
      <c r="DB236" s="643"/>
      <c r="DC236" s="643"/>
      <c r="DD236" s="643"/>
      <c r="DE236" s="643"/>
    </row>
    <row r="237" spans="34:109" ht="15" hidden="1" customHeight="1">
      <c r="AH237" s="24"/>
      <c r="AI237" s="24"/>
      <c r="AJ237" s="24"/>
      <c r="AK237" s="24"/>
      <c r="AL237" s="630" t="str">
        <f t="shared" si="6"/>
        <v/>
      </c>
      <c r="AM237" s="630" t="str">
        <f t="shared" si="7"/>
        <v/>
      </c>
      <c r="AO237" s="24"/>
      <c r="AP237" s="628">
        <v>235</v>
      </c>
      <c r="AQ237" s="642"/>
      <c r="AR237" s="642"/>
      <c r="AS237" s="642"/>
      <c r="AT237" s="642"/>
      <c r="AU237" s="642"/>
      <c r="AV237" s="642"/>
      <c r="AW237" s="642"/>
      <c r="AX237" s="642"/>
      <c r="AY237" s="642"/>
      <c r="AZ237" s="642"/>
      <c r="BA237" s="642"/>
      <c r="BB237" s="642"/>
      <c r="BC237" s="642"/>
      <c r="BD237" s="642"/>
      <c r="BE237" s="642"/>
      <c r="BF237" s="642"/>
      <c r="BG237" s="642"/>
      <c r="BH237" s="642"/>
      <c r="BI237" s="642"/>
      <c r="BJ237" s="634">
        <v>20234</v>
      </c>
      <c r="BK237" s="642"/>
      <c r="BL237" s="642"/>
      <c r="BM237" s="642"/>
      <c r="BN237" s="642"/>
      <c r="BO237" s="642"/>
      <c r="BP237" s="642"/>
      <c r="BQ237" s="642"/>
      <c r="BR237" s="642"/>
      <c r="BS237" s="642"/>
      <c r="BT237" s="642"/>
      <c r="BU237" s="642"/>
      <c r="BV237" s="642"/>
      <c r="BW237" s="24"/>
      <c r="BX237" s="24"/>
      <c r="BY237" s="24"/>
      <c r="BZ237" s="643"/>
      <c r="CA237" s="643"/>
      <c r="CB237" s="643"/>
      <c r="CC237" s="643"/>
      <c r="CD237" s="643"/>
      <c r="CE237" s="643"/>
      <c r="CF237" s="643"/>
      <c r="CG237" s="643"/>
      <c r="CH237" s="643"/>
      <c r="CI237" s="643"/>
      <c r="CJ237" s="643"/>
      <c r="CK237" s="643"/>
      <c r="CL237" s="643"/>
      <c r="CM237" s="643"/>
      <c r="CN237" s="643"/>
      <c r="CO237" s="643"/>
      <c r="CP237" s="643"/>
      <c r="CQ237" s="643"/>
      <c r="CR237" s="643"/>
      <c r="CS237" s="636" t="s">
        <v>2120</v>
      </c>
      <c r="CT237" s="643"/>
      <c r="CU237" s="643"/>
      <c r="CV237" s="643"/>
      <c r="CW237" s="643"/>
      <c r="CX237" s="643"/>
      <c r="CY237" s="643"/>
      <c r="CZ237" s="643"/>
      <c r="DA237" s="643"/>
      <c r="DB237" s="643"/>
      <c r="DC237" s="643"/>
      <c r="DD237" s="643"/>
      <c r="DE237" s="643"/>
    </row>
    <row r="238" spans="34:109" ht="15" hidden="1" customHeight="1">
      <c r="AH238" s="24"/>
      <c r="AI238" s="24"/>
      <c r="AJ238" s="24"/>
      <c r="AK238" s="24"/>
      <c r="AL238" s="630" t="str">
        <f t="shared" si="6"/>
        <v/>
      </c>
      <c r="AM238" s="630" t="str">
        <f t="shared" si="7"/>
        <v/>
      </c>
      <c r="AO238" s="24"/>
      <c r="AP238" s="628">
        <v>236</v>
      </c>
      <c r="AQ238" s="642"/>
      <c r="AR238" s="642"/>
      <c r="AS238" s="642"/>
      <c r="AT238" s="642"/>
      <c r="AU238" s="642"/>
      <c r="AV238" s="642"/>
      <c r="AW238" s="642"/>
      <c r="AX238" s="642"/>
      <c r="AY238" s="642"/>
      <c r="AZ238" s="642"/>
      <c r="BA238" s="642"/>
      <c r="BB238" s="642"/>
      <c r="BC238" s="642"/>
      <c r="BD238" s="642"/>
      <c r="BE238" s="642"/>
      <c r="BF238" s="642"/>
      <c r="BG238" s="642"/>
      <c r="BH238" s="642"/>
      <c r="BI238" s="642"/>
      <c r="BJ238" s="634">
        <v>20235</v>
      </c>
      <c r="BK238" s="642"/>
      <c r="BL238" s="642"/>
      <c r="BM238" s="642"/>
      <c r="BN238" s="642"/>
      <c r="BO238" s="642"/>
      <c r="BP238" s="642"/>
      <c r="BQ238" s="642"/>
      <c r="BR238" s="642"/>
      <c r="BS238" s="642"/>
      <c r="BT238" s="642"/>
      <c r="BU238" s="642"/>
      <c r="BV238" s="642"/>
      <c r="BW238" s="24"/>
      <c r="BX238" s="24"/>
      <c r="BY238" s="24"/>
      <c r="BZ238" s="643"/>
      <c r="CA238" s="643"/>
      <c r="CB238" s="643"/>
      <c r="CC238" s="643"/>
      <c r="CD238" s="643"/>
      <c r="CE238" s="643"/>
      <c r="CF238" s="643"/>
      <c r="CG238" s="643"/>
      <c r="CH238" s="643"/>
      <c r="CI238" s="643"/>
      <c r="CJ238" s="643"/>
      <c r="CK238" s="643"/>
      <c r="CL238" s="643"/>
      <c r="CM238" s="643"/>
      <c r="CN238" s="643"/>
      <c r="CO238" s="643"/>
      <c r="CP238" s="643"/>
      <c r="CQ238" s="643"/>
      <c r="CR238" s="643"/>
      <c r="CS238" s="636" t="s">
        <v>2121</v>
      </c>
      <c r="CT238" s="643"/>
      <c r="CU238" s="643"/>
      <c r="CV238" s="643"/>
      <c r="CW238" s="643"/>
      <c r="CX238" s="643"/>
      <c r="CY238" s="643"/>
      <c r="CZ238" s="643"/>
      <c r="DA238" s="643"/>
      <c r="DB238" s="643"/>
      <c r="DC238" s="643"/>
      <c r="DD238" s="643"/>
      <c r="DE238" s="643"/>
    </row>
    <row r="239" spans="34:109" ht="15" hidden="1" customHeight="1">
      <c r="AH239" s="24"/>
      <c r="AI239" s="24"/>
      <c r="AJ239" s="24"/>
      <c r="AK239" s="24"/>
      <c r="AL239" s="630" t="str">
        <f t="shared" si="6"/>
        <v/>
      </c>
      <c r="AM239" s="630" t="str">
        <f t="shared" si="7"/>
        <v/>
      </c>
      <c r="AO239" s="24"/>
      <c r="AP239" s="628">
        <v>237</v>
      </c>
      <c r="AQ239" s="642"/>
      <c r="AR239" s="642"/>
      <c r="AS239" s="642"/>
      <c r="AT239" s="642"/>
      <c r="AU239" s="642"/>
      <c r="AV239" s="642"/>
      <c r="AW239" s="642"/>
      <c r="AX239" s="642"/>
      <c r="AY239" s="642"/>
      <c r="AZ239" s="642"/>
      <c r="BA239" s="642"/>
      <c r="BB239" s="642"/>
      <c r="BC239" s="642"/>
      <c r="BD239" s="642"/>
      <c r="BE239" s="642"/>
      <c r="BF239" s="642"/>
      <c r="BG239" s="642"/>
      <c r="BH239" s="642"/>
      <c r="BI239" s="642"/>
      <c r="BJ239" s="634">
        <v>20236</v>
      </c>
      <c r="BK239" s="642"/>
      <c r="BL239" s="642"/>
      <c r="BM239" s="642"/>
      <c r="BN239" s="642"/>
      <c r="BO239" s="642"/>
      <c r="BP239" s="642"/>
      <c r="BQ239" s="642"/>
      <c r="BR239" s="642"/>
      <c r="BS239" s="642"/>
      <c r="BT239" s="642"/>
      <c r="BU239" s="642"/>
      <c r="BV239" s="642"/>
      <c r="BW239" s="24"/>
      <c r="BX239" s="24"/>
      <c r="BY239" s="24"/>
      <c r="BZ239" s="643"/>
      <c r="CA239" s="643"/>
      <c r="CB239" s="643"/>
      <c r="CC239" s="643"/>
      <c r="CD239" s="643"/>
      <c r="CE239" s="643"/>
      <c r="CF239" s="643"/>
      <c r="CG239" s="643"/>
      <c r="CH239" s="643"/>
      <c r="CI239" s="643"/>
      <c r="CJ239" s="643"/>
      <c r="CK239" s="643"/>
      <c r="CL239" s="643"/>
      <c r="CM239" s="643"/>
      <c r="CN239" s="643"/>
      <c r="CO239" s="643"/>
      <c r="CP239" s="643"/>
      <c r="CQ239" s="643"/>
      <c r="CR239" s="643"/>
      <c r="CS239" s="636" t="s">
        <v>2122</v>
      </c>
      <c r="CT239" s="643"/>
      <c r="CU239" s="643"/>
      <c r="CV239" s="643"/>
      <c r="CW239" s="643"/>
      <c r="CX239" s="643"/>
      <c r="CY239" s="643"/>
      <c r="CZ239" s="643"/>
      <c r="DA239" s="643"/>
      <c r="DB239" s="643"/>
      <c r="DC239" s="643"/>
      <c r="DD239" s="643"/>
      <c r="DE239" s="643"/>
    </row>
    <row r="240" spans="34:109" ht="15" hidden="1" customHeight="1">
      <c r="AH240" s="24"/>
      <c r="AI240" s="24"/>
      <c r="AJ240" s="24"/>
      <c r="AK240" s="24"/>
      <c r="AL240" s="630" t="str">
        <f t="shared" si="6"/>
        <v/>
      </c>
      <c r="AM240" s="630" t="str">
        <f t="shared" si="7"/>
        <v/>
      </c>
      <c r="AO240" s="24"/>
      <c r="AP240" s="628">
        <v>238</v>
      </c>
      <c r="AQ240" s="642"/>
      <c r="AR240" s="642"/>
      <c r="AS240" s="642"/>
      <c r="AT240" s="642"/>
      <c r="AU240" s="642"/>
      <c r="AV240" s="642"/>
      <c r="AW240" s="642"/>
      <c r="AX240" s="642"/>
      <c r="AY240" s="642"/>
      <c r="AZ240" s="642"/>
      <c r="BA240" s="642"/>
      <c r="BB240" s="642"/>
      <c r="BC240" s="642"/>
      <c r="BD240" s="642"/>
      <c r="BE240" s="642"/>
      <c r="BF240" s="642"/>
      <c r="BG240" s="642"/>
      <c r="BH240" s="642"/>
      <c r="BI240" s="642"/>
      <c r="BJ240" s="634">
        <v>20237</v>
      </c>
      <c r="BK240" s="642"/>
      <c r="BL240" s="642"/>
      <c r="BM240" s="642"/>
      <c r="BN240" s="642"/>
      <c r="BO240" s="642"/>
      <c r="BP240" s="642"/>
      <c r="BQ240" s="642"/>
      <c r="BR240" s="642"/>
      <c r="BS240" s="642"/>
      <c r="BT240" s="642"/>
      <c r="BU240" s="642"/>
      <c r="BV240" s="642"/>
      <c r="BW240" s="24"/>
      <c r="BX240" s="24"/>
      <c r="BY240" s="24"/>
      <c r="BZ240" s="643"/>
      <c r="CA240" s="643"/>
      <c r="CB240" s="643"/>
      <c r="CC240" s="643"/>
      <c r="CD240" s="643"/>
      <c r="CE240" s="643"/>
      <c r="CF240" s="643"/>
      <c r="CG240" s="643"/>
      <c r="CH240" s="643"/>
      <c r="CI240" s="643"/>
      <c r="CJ240" s="643"/>
      <c r="CK240" s="643"/>
      <c r="CL240" s="643"/>
      <c r="CM240" s="643"/>
      <c r="CN240" s="643"/>
      <c r="CO240" s="643"/>
      <c r="CP240" s="643"/>
      <c r="CQ240" s="643"/>
      <c r="CR240" s="643"/>
      <c r="CS240" s="636" t="s">
        <v>2123</v>
      </c>
      <c r="CT240" s="643"/>
      <c r="CU240" s="643"/>
      <c r="CV240" s="643"/>
      <c r="CW240" s="643"/>
      <c r="CX240" s="643"/>
      <c r="CY240" s="643"/>
      <c r="CZ240" s="643"/>
      <c r="DA240" s="643"/>
      <c r="DB240" s="643"/>
      <c r="DC240" s="643"/>
      <c r="DD240" s="643"/>
      <c r="DE240" s="643"/>
    </row>
    <row r="241" spans="34:109" ht="15" hidden="1" customHeight="1">
      <c r="AH241" s="24"/>
      <c r="AI241" s="24"/>
      <c r="AJ241" s="24"/>
      <c r="AK241" s="24"/>
      <c r="AL241" s="630" t="str">
        <f t="shared" si="6"/>
        <v/>
      </c>
      <c r="AM241" s="630" t="str">
        <f t="shared" si="7"/>
        <v/>
      </c>
      <c r="AO241" s="24"/>
      <c r="AP241" s="628">
        <v>239</v>
      </c>
      <c r="AQ241" s="642"/>
      <c r="AR241" s="642"/>
      <c r="AS241" s="642"/>
      <c r="AT241" s="642"/>
      <c r="AU241" s="642"/>
      <c r="AV241" s="642"/>
      <c r="AW241" s="642"/>
      <c r="AX241" s="642"/>
      <c r="AY241" s="642"/>
      <c r="AZ241" s="642"/>
      <c r="BA241" s="642"/>
      <c r="BB241" s="642"/>
      <c r="BC241" s="642"/>
      <c r="BD241" s="642"/>
      <c r="BE241" s="642"/>
      <c r="BF241" s="642"/>
      <c r="BG241" s="642"/>
      <c r="BH241" s="642"/>
      <c r="BI241" s="642"/>
      <c r="BJ241" s="634">
        <v>20238</v>
      </c>
      <c r="BK241" s="642"/>
      <c r="BL241" s="642"/>
      <c r="BM241" s="642"/>
      <c r="BN241" s="642"/>
      <c r="BO241" s="642"/>
      <c r="BP241" s="642"/>
      <c r="BQ241" s="642"/>
      <c r="BR241" s="642"/>
      <c r="BS241" s="642"/>
      <c r="BT241" s="642"/>
      <c r="BU241" s="642"/>
      <c r="BV241" s="642"/>
      <c r="BW241" s="24"/>
      <c r="BX241" s="24"/>
      <c r="BY241" s="24"/>
      <c r="BZ241" s="643"/>
      <c r="CA241" s="643"/>
      <c r="CB241" s="643"/>
      <c r="CC241" s="643"/>
      <c r="CD241" s="643"/>
      <c r="CE241" s="643"/>
      <c r="CF241" s="643"/>
      <c r="CG241" s="643"/>
      <c r="CH241" s="643"/>
      <c r="CI241" s="643"/>
      <c r="CJ241" s="643"/>
      <c r="CK241" s="643"/>
      <c r="CL241" s="643"/>
      <c r="CM241" s="643"/>
      <c r="CN241" s="643"/>
      <c r="CO241" s="643"/>
      <c r="CP241" s="643"/>
      <c r="CQ241" s="643"/>
      <c r="CR241" s="643"/>
      <c r="CS241" s="636" t="s">
        <v>2124</v>
      </c>
      <c r="CT241" s="643"/>
      <c r="CU241" s="643"/>
      <c r="CV241" s="643"/>
      <c r="CW241" s="643"/>
      <c r="CX241" s="643"/>
      <c r="CY241" s="643"/>
      <c r="CZ241" s="643"/>
      <c r="DA241" s="643"/>
      <c r="DB241" s="643"/>
      <c r="DC241" s="643"/>
      <c r="DD241" s="643"/>
      <c r="DE241" s="643"/>
    </row>
    <row r="242" spans="34:109" ht="15" hidden="1" customHeight="1">
      <c r="AH242" s="24"/>
      <c r="AI242" s="24"/>
      <c r="AJ242" s="24"/>
      <c r="AK242" s="24"/>
      <c r="AL242" s="630" t="str">
        <f t="shared" si="6"/>
        <v/>
      </c>
      <c r="AM242" s="630" t="str">
        <f t="shared" si="7"/>
        <v/>
      </c>
      <c r="AO242" s="24"/>
      <c r="AP242" s="628">
        <v>240</v>
      </c>
      <c r="AQ242" s="642"/>
      <c r="AR242" s="642"/>
      <c r="AS242" s="642"/>
      <c r="AT242" s="642"/>
      <c r="AU242" s="642"/>
      <c r="AV242" s="642"/>
      <c r="AW242" s="642"/>
      <c r="AX242" s="642"/>
      <c r="AY242" s="642"/>
      <c r="AZ242" s="642"/>
      <c r="BA242" s="642"/>
      <c r="BB242" s="642"/>
      <c r="BC242" s="642"/>
      <c r="BD242" s="642"/>
      <c r="BE242" s="642"/>
      <c r="BF242" s="642"/>
      <c r="BG242" s="642"/>
      <c r="BH242" s="642"/>
      <c r="BI242" s="642"/>
      <c r="BJ242" s="634">
        <v>20239</v>
      </c>
      <c r="BK242" s="642"/>
      <c r="BL242" s="642"/>
      <c r="BM242" s="642"/>
      <c r="BN242" s="642"/>
      <c r="BO242" s="642"/>
      <c r="BP242" s="642"/>
      <c r="BQ242" s="642"/>
      <c r="BR242" s="642"/>
      <c r="BS242" s="642"/>
      <c r="BT242" s="642"/>
      <c r="BU242" s="642"/>
      <c r="BV242" s="642"/>
      <c r="BW242" s="24"/>
      <c r="BX242" s="24"/>
      <c r="BY242" s="24"/>
      <c r="BZ242" s="643"/>
      <c r="CA242" s="643"/>
      <c r="CB242" s="643"/>
      <c r="CC242" s="643"/>
      <c r="CD242" s="643"/>
      <c r="CE242" s="643"/>
      <c r="CF242" s="643"/>
      <c r="CG242" s="643"/>
      <c r="CH242" s="643"/>
      <c r="CI242" s="643"/>
      <c r="CJ242" s="643"/>
      <c r="CK242" s="643"/>
      <c r="CL242" s="643"/>
      <c r="CM242" s="643"/>
      <c r="CN242" s="643"/>
      <c r="CO242" s="643"/>
      <c r="CP242" s="643"/>
      <c r="CQ242" s="643"/>
      <c r="CR242" s="643"/>
      <c r="CS242" s="636" t="s">
        <v>2125</v>
      </c>
      <c r="CT242" s="643"/>
      <c r="CU242" s="643"/>
      <c r="CV242" s="643"/>
      <c r="CW242" s="643"/>
      <c r="CX242" s="643"/>
      <c r="CY242" s="643"/>
      <c r="CZ242" s="643"/>
      <c r="DA242" s="643"/>
      <c r="DB242" s="643"/>
      <c r="DC242" s="643"/>
      <c r="DD242" s="643"/>
      <c r="DE242" s="643"/>
    </row>
    <row r="243" spans="34:109" ht="15" hidden="1" customHeight="1">
      <c r="AH243" s="24"/>
      <c r="AI243" s="24"/>
      <c r="AJ243" s="24"/>
      <c r="AK243" s="24"/>
      <c r="AL243" s="630" t="str">
        <f t="shared" si="6"/>
        <v/>
      </c>
      <c r="AM243" s="630" t="str">
        <f t="shared" si="7"/>
        <v/>
      </c>
      <c r="AO243" s="24"/>
      <c r="AP243" s="628">
        <v>241</v>
      </c>
      <c r="AQ243" s="642"/>
      <c r="AR243" s="642"/>
      <c r="AS243" s="642"/>
      <c r="AT243" s="642"/>
      <c r="AU243" s="642"/>
      <c r="AV243" s="642"/>
      <c r="AW243" s="642"/>
      <c r="AX243" s="642"/>
      <c r="AY243" s="642"/>
      <c r="AZ243" s="642"/>
      <c r="BA243" s="642"/>
      <c r="BB243" s="642"/>
      <c r="BC243" s="642"/>
      <c r="BD243" s="642"/>
      <c r="BE243" s="642"/>
      <c r="BF243" s="642"/>
      <c r="BG243" s="642"/>
      <c r="BH243" s="642"/>
      <c r="BI243" s="642"/>
      <c r="BJ243" s="634">
        <v>20240</v>
      </c>
      <c r="BK243" s="642"/>
      <c r="BL243" s="642"/>
      <c r="BM243" s="642"/>
      <c r="BN243" s="642"/>
      <c r="BO243" s="642"/>
      <c r="BP243" s="642"/>
      <c r="BQ243" s="642"/>
      <c r="BR243" s="642"/>
      <c r="BS243" s="642"/>
      <c r="BT243" s="642"/>
      <c r="BU243" s="642"/>
      <c r="BV243" s="642"/>
      <c r="BW243" s="24"/>
      <c r="BX243" s="24"/>
      <c r="BY243" s="24"/>
      <c r="BZ243" s="643"/>
      <c r="CA243" s="643"/>
      <c r="CB243" s="643"/>
      <c r="CC243" s="643"/>
      <c r="CD243" s="643"/>
      <c r="CE243" s="643"/>
      <c r="CF243" s="643"/>
      <c r="CG243" s="643"/>
      <c r="CH243" s="643"/>
      <c r="CI243" s="643"/>
      <c r="CJ243" s="643"/>
      <c r="CK243" s="643"/>
      <c r="CL243" s="643"/>
      <c r="CM243" s="643"/>
      <c r="CN243" s="643"/>
      <c r="CO243" s="643"/>
      <c r="CP243" s="643"/>
      <c r="CQ243" s="643"/>
      <c r="CR243" s="643"/>
      <c r="CS243" s="636" t="s">
        <v>2126</v>
      </c>
      <c r="CT243" s="643"/>
      <c r="CU243" s="643"/>
      <c r="CV243" s="643"/>
      <c r="CW243" s="643"/>
      <c r="CX243" s="643"/>
      <c r="CY243" s="643"/>
      <c r="CZ243" s="643"/>
      <c r="DA243" s="643"/>
      <c r="DB243" s="643"/>
      <c r="DC243" s="643"/>
      <c r="DD243" s="643"/>
      <c r="DE243" s="643"/>
    </row>
    <row r="244" spans="34:109" ht="15" hidden="1" customHeight="1">
      <c r="AH244" s="24"/>
      <c r="AI244" s="24"/>
      <c r="AJ244" s="24"/>
      <c r="AK244" s="24"/>
      <c r="AL244" s="630" t="str">
        <f t="shared" si="6"/>
        <v/>
      </c>
      <c r="AM244" s="630" t="str">
        <f t="shared" si="7"/>
        <v/>
      </c>
      <c r="AO244" s="24"/>
      <c r="AP244" s="628">
        <v>242</v>
      </c>
      <c r="AQ244" s="642"/>
      <c r="AR244" s="642"/>
      <c r="AS244" s="642"/>
      <c r="AT244" s="642"/>
      <c r="AU244" s="642"/>
      <c r="AV244" s="642"/>
      <c r="AW244" s="642"/>
      <c r="AX244" s="642"/>
      <c r="AY244" s="642"/>
      <c r="AZ244" s="642"/>
      <c r="BA244" s="642"/>
      <c r="BB244" s="642"/>
      <c r="BC244" s="642"/>
      <c r="BD244" s="642"/>
      <c r="BE244" s="642"/>
      <c r="BF244" s="642"/>
      <c r="BG244" s="642"/>
      <c r="BH244" s="642"/>
      <c r="BI244" s="642"/>
      <c r="BJ244" s="634">
        <v>20241</v>
      </c>
      <c r="BK244" s="642"/>
      <c r="BL244" s="642"/>
      <c r="BM244" s="642"/>
      <c r="BN244" s="642"/>
      <c r="BO244" s="642"/>
      <c r="BP244" s="642"/>
      <c r="BQ244" s="642"/>
      <c r="BR244" s="642"/>
      <c r="BS244" s="642"/>
      <c r="BT244" s="642"/>
      <c r="BU244" s="642"/>
      <c r="BV244" s="642"/>
      <c r="BW244" s="24"/>
      <c r="BX244" s="24"/>
      <c r="BY244" s="24"/>
      <c r="BZ244" s="643"/>
      <c r="CA244" s="643"/>
      <c r="CB244" s="643"/>
      <c r="CC244" s="643"/>
      <c r="CD244" s="643"/>
      <c r="CE244" s="643"/>
      <c r="CF244" s="643"/>
      <c r="CG244" s="643"/>
      <c r="CH244" s="643"/>
      <c r="CI244" s="643"/>
      <c r="CJ244" s="643"/>
      <c r="CK244" s="643"/>
      <c r="CL244" s="643"/>
      <c r="CM244" s="643"/>
      <c r="CN244" s="643"/>
      <c r="CO244" s="643"/>
      <c r="CP244" s="643"/>
      <c r="CQ244" s="643"/>
      <c r="CR244" s="643"/>
      <c r="CS244" s="636" t="s">
        <v>2127</v>
      </c>
      <c r="CT244" s="643"/>
      <c r="CU244" s="643"/>
      <c r="CV244" s="643"/>
      <c r="CW244" s="643"/>
      <c r="CX244" s="643"/>
      <c r="CY244" s="643"/>
      <c r="CZ244" s="643"/>
      <c r="DA244" s="643"/>
      <c r="DB244" s="643"/>
      <c r="DC244" s="643"/>
      <c r="DD244" s="643"/>
      <c r="DE244" s="643"/>
    </row>
    <row r="245" spans="34:109" ht="15" hidden="1" customHeight="1">
      <c r="AH245" s="24"/>
      <c r="AI245" s="24"/>
      <c r="AJ245" s="24"/>
      <c r="AK245" s="24"/>
      <c r="AL245" s="630" t="str">
        <f t="shared" si="6"/>
        <v/>
      </c>
      <c r="AM245" s="630" t="str">
        <f t="shared" si="7"/>
        <v/>
      </c>
      <c r="AO245" s="24"/>
      <c r="AP245" s="628">
        <v>243</v>
      </c>
      <c r="AQ245" s="642"/>
      <c r="AR245" s="642"/>
      <c r="AS245" s="642"/>
      <c r="AT245" s="642"/>
      <c r="AU245" s="642"/>
      <c r="AV245" s="642"/>
      <c r="AW245" s="642"/>
      <c r="AX245" s="642"/>
      <c r="AY245" s="642"/>
      <c r="AZ245" s="642"/>
      <c r="BA245" s="642"/>
      <c r="BB245" s="642"/>
      <c r="BC245" s="642"/>
      <c r="BD245" s="642"/>
      <c r="BE245" s="642"/>
      <c r="BF245" s="642"/>
      <c r="BG245" s="642"/>
      <c r="BH245" s="642"/>
      <c r="BI245" s="642"/>
      <c r="BJ245" s="634">
        <v>20242</v>
      </c>
      <c r="BK245" s="642"/>
      <c r="BL245" s="642"/>
      <c r="BM245" s="642"/>
      <c r="BN245" s="642"/>
      <c r="BO245" s="642"/>
      <c r="BP245" s="642"/>
      <c r="BQ245" s="642"/>
      <c r="BR245" s="642"/>
      <c r="BS245" s="642"/>
      <c r="BT245" s="642"/>
      <c r="BU245" s="642"/>
      <c r="BV245" s="642"/>
      <c r="BW245" s="24"/>
      <c r="BX245" s="24"/>
      <c r="BY245" s="24"/>
      <c r="BZ245" s="643"/>
      <c r="CA245" s="643"/>
      <c r="CB245" s="643"/>
      <c r="CC245" s="643"/>
      <c r="CD245" s="643"/>
      <c r="CE245" s="643"/>
      <c r="CF245" s="643"/>
      <c r="CG245" s="643"/>
      <c r="CH245" s="643"/>
      <c r="CI245" s="643"/>
      <c r="CJ245" s="643"/>
      <c r="CK245" s="643"/>
      <c r="CL245" s="643"/>
      <c r="CM245" s="643"/>
      <c r="CN245" s="643"/>
      <c r="CO245" s="643"/>
      <c r="CP245" s="643"/>
      <c r="CQ245" s="643"/>
      <c r="CR245" s="643"/>
      <c r="CS245" s="636" t="s">
        <v>2128</v>
      </c>
      <c r="CT245" s="643"/>
      <c r="CU245" s="643"/>
      <c r="CV245" s="643"/>
      <c r="CW245" s="643"/>
      <c r="CX245" s="643"/>
      <c r="CY245" s="643"/>
      <c r="CZ245" s="643"/>
      <c r="DA245" s="643"/>
      <c r="DB245" s="643"/>
      <c r="DC245" s="643"/>
      <c r="DD245" s="643"/>
      <c r="DE245" s="643"/>
    </row>
    <row r="246" spans="34:109" ht="15" hidden="1" customHeight="1">
      <c r="AH246" s="24"/>
      <c r="AI246" s="24"/>
      <c r="AJ246" s="24"/>
      <c r="AK246" s="24"/>
      <c r="AL246" s="630" t="str">
        <f t="shared" si="6"/>
        <v/>
      </c>
      <c r="AM246" s="630" t="str">
        <f t="shared" si="7"/>
        <v/>
      </c>
      <c r="AO246" s="24"/>
      <c r="AP246" s="628">
        <v>244</v>
      </c>
      <c r="AQ246" s="642"/>
      <c r="AR246" s="642"/>
      <c r="AS246" s="642"/>
      <c r="AT246" s="642"/>
      <c r="AU246" s="642"/>
      <c r="AV246" s="642"/>
      <c r="AW246" s="642"/>
      <c r="AX246" s="642"/>
      <c r="AY246" s="642"/>
      <c r="AZ246" s="642"/>
      <c r="BA246" s="642"/>
      <c r="BB246" s="642"/>
      <c r="BC246" s="642"/>
      <c r="BD246" s="642"/>
      <c r="BE246" s="642"/>
      <c r="BF246" s="642"/>
      <c r="BG246" s="642"/>
      <c r="BH246" s="642"/>
      <c r="BI246" s="642"/>
      <c r="BJ246" s="634">
        <v>20243</v>
      </c>
      <c r="BK246" s="642"/>
      <c r="BL246" s="642"/>
      <c r="BM246" s="642"/>
      <c r="BN246" s="642"/>
      <c r="BO246" s="642"/>
      <c r="BP246" s="642"/>
      <c r="BQ246" s="642"/>
      <c r="BR246" s="642"/>
      <c r="BS246" s="642"/>
      <c r="BT246" s="642"/>
      <c r="BU246" s="642"/>
      <c r="BV246" s="642"/>
      <c r="BW246" s="24"/>
      <c r="BX246" s="24"/>
      <c r="BY246" s="24"/>
      <c r="BZ246" s="643"/>
      <c r="CA246" s="643"/>
      <c r="CB246" s="643"/>
      <c r="CC246" s="643"/>
      <c r="CD246" s="643"/>
      <c r="CE246" s="643"/>
      <c r="CF246" s="643"/>
      <c r="CG246" s="643"/>
      <c r="CH246" s="643"/>
      <c r="CI246" s="643"/>
      <c r="CJ246" s="643"/>
      <c r="CK246" s="643"/>
      <c r="CL246" s="643"/>
      <c r="CM246" s="643"/>
      <c r="CN246" s="643"/>
      <c r="CO246" s="643"/>
      <c r="CP246" s="643"/>
      <c r="CQ246" s="643"/>
      <c r="CR246" s="643"/>
      <c r="CS246" s="636" t="s">
        <v>2129</v>
      </c>
      <c r="CT246" s="643"/>
      <c r="CU246" s="643"/>
      <c r="CV246" s="643"/>
      <c r="CW246" s="643"/>
      <c r="CX246" s="643"/>
      <c r="CY246" s="643"/>
      <c r="CZ246" s="643"/>
      <c r="DA246" s="643"/>
      <c r="DB246" s="643"/>
      <c r="DC246" s="643"/>
      <c r="DD246" s="643"/>
      <c r="DE246" s="643"/>
    </row>
    <row r="247" spans="34:109" ht="15" hidden="1" customHeight="1">
      <c r="AH247" s="24"/>
      <c r="AI247" s="24"/>
      <c r="AJ247" s="24"/>
      <c r="AK247" s="24"/>
      <c r="AL247" s="630" t="str">
        <f t="shared" si="6"/>
        <v/>
      </c>
      <c r="AM247" s="630" t="str">
        <f t="shared" si="7"/>
        <v/>
      </c>
      <c r="AO247" s="24"/>
      <c r="AP247" s="628">
        <v>245</v>
      </c>
      <c r="AQ247" s="642"/>
      <c r="AR247" s="642"/>
      <c r="AS247" s="642"/>
      <c r="AT247" s="642"/>
      <c r="AU247" s="642"/>
      <c r="AV247" s="642"/>
      <c r="AW247" s="642"/>
      <c r="AX247" s="642"/>
      <c r="AY247" s="642"/>
      <c r="AZ247" s="642"/>
      <c r="BA247" s="642"/>
      <c r="BB247" s="642"/>
      <c r="BC247" s="642"/>
      <c r="BD247" s="642"/>
      <c r="BE247" s="642"/>
      <c r="BF247" s="642"/>
      <c r="BG247" s="642"/>
      <c r="BH247" s="642"/>
      <c r="BI247" s="642"/>
      <c r="BJ247" s="634">
        <v>20244</v>
      </c>
      <c r="BK247" s="642"/>
      <c r="BL247" s="642"/>
      <c r="BM247" s="642"/>
      <c r="BN247" s="642"/>
      <c r="BO247" s="642"/>
      <c r="BP247" s="642"/>
      <c r="BQ247" s="642"/>
      <c r="BR247" s="642"/>
      <c r="BS247" s="642"/>
      <c r="BT247" s="642"/>
      <c r="BU247" s="642"/>
      <c r="BV247" s="642"/>
      <c r="BW247" s="24"/>
      <c r="BX247" s="24"/>
      <c r="BY247" s="24"/>
      <c r="BZ247" s="643"/>
      <c r="CA247" s="643"/>
      <c r="CB247" s="643"/>
      <c r="CC247" s="643"/>
      <c r="CD247" s="643"/>
      <c r="CE247" s="643"/>
      <c r="CF247" s="643"/>
      <c r="CG247" s="643"/>
      <c r="CH247" s="643"/>
      <c r="CI247" s="643"/>
      <c r="CJ247" s="643"/>
      <c r="CK247" s="643"/>
      <c r="CL247" s="643"/>
      <c r="CM247" s="643"/>
      <c r="CN247" s="643"/>
      <c r="CO247" s="643"/>
      <c r="CP247" s="643"/>
      <c r="CQ247" s="643"/>
      <c r="CR247" s="643"/>
      <c r="CS247" s="636" t="s">
        <v>2130</v>
      </c>
      <c r="CT247" s="643"/>
      <c r="CU247" s="643"/>
      <c r="CV247" s="643"/>
      <c r="CW247" s="643"/>
      <c r="CX247" s="643"/>
      <c r="CY247" s="643"/>
      <c r="CZ247" s="643"/>
      <c r="DA247" s="643"/>
      <c r="DB247" s="643"/>
      <c r="DC247" s="643"/>
      <c r="DD247" s="643"/>
      <c r="DE247" s="643"/>
    </row>
    <row r="248" spans="34:109" ht="15" hidden="1" customHeight="1">
      <c r="AH248" s="24"/>
      <c r="AI248" s="24"/>
      <c r="AJ248" s="24"/>
      <c r="AK248" s="24"/>
      <c r="AL248" s="630" t="str">
        <f t="shared" si="6"/>
        <v/>
      </c>
      <c r="AM248" s="630" t="str">
        <f t="shared" si="7"/>
        <v/>
      </c>
      <c r="AO248" s="24"/>
      <c r="AP248" s="628">
        <v>246</v>
      </c>
      <c r="AQ248" s="642"/>
      <c r="AR248" s="642"/>
      <c r="AS248" s="642"/>
      <c r="AT248" s="642"/>
      <c r="AU248" s="642"/>
      <c r="AV248" s="642"/>
      <c r="AW248" s="642"/>
      <c r="AX248" s="642"/>
      <c r="AY248" s="642"/>
      <c r="AZ248" s="642"/>
      <c r="BA248" s="642"/>
      <c r="BB248" s="642"/>
      <c r="BC248" s="642"/>
      <c r="BD248" s="642"/>
      <c r="BE248" s="642"/>
      <c r="BF248" s="642"/>
      <c r="BG248" s="642"/>
      <c r="BH248" s="642"/>
      <c r="BI248" s="642"/>
      <c r="BJ248" s="634">
        <v>20245</v>
      </c>
      <c r="BK248" s="642"/>
      <c r="BL248" s="642"/>
      <c r="BM248" s="642"/>
      <c r="BN248" s="642"/>
      <c r="BO248" s="642"/>
      <c r="BP248" s="642"/>
      <c r="BQ248" s="642"/>
      <c r="BR248" s="642"/>
      <c r="BS248" s="642"/>
      <c r="BT248" s="642"/>
      <c r="BU248" s="642"/>
      <c r="BV248" s="642"/>
      <c r="BW248" s="24"/>
      <c r="BX248" s="24"/>
      <c r="BY248" s="24"/>
      <c r="BZ248" s="643"/>
      <c r="CA248" s="643"/>
      <c r="CB248" s="643"/>
      <c r="CC248" s="643"/>
      <c r="CD248" s="643"/>
      <c r="CE248" s="643"/>
      <c r="CF248" s="643"/>
      <c r="CG248" s="643"/>
      <c r="CH248" s="643"/>
      <c r="CI248" s="643"/>
      <c r="CJ248" s="643"/>
      <c r="CK248" s="643"/>
      <c r="CL248" s="643"/>
      <c r="CM248" s="643"/>
      <c r="CN248" s="643"/>
      <c r="CO248" s="643"/>
      <c r="CP248" s="643"/>
      <c r="CQ248" s="643"/>
      <c r="CR248" s="643"/>
      <c r="CS248" s="636" t="s">
        <v>2131</v>
      </c>
      <c r="CT248" s="643"/>
      <c r="CU248" s="643"/>
      <c r="CV248" s="643"/>
      <c r="CW248" s="643"/>
      <c r="CX248" s="643"/>
      <c r="CY248" s="643"/>
      <c r="CZ248" s="643"/>
      <c r="DA248" s="643"/>
      <c r="DB248" s="643"/>
      <c r="DC248" s="643"/>
      <c r="DD248" s="643"/>
      <c r="DE248" s="643"/>
    </row>
    <row r="249" spans="34:109" ht="15" hidden="1" customHeight="1">
      <c r="AH249" s="24"/>
      <c r="AI249" s="24"/>
      <c r="AJ249" s="24"/>
      <c r="AK249" s="24"/>
      <c r="AL249" s="630" t="str">
        <f t="shared" si="6"/>
        <v/>
      </c>
      <c r="AM249" s="630" t="str">
        <f t="shared" si="7"/>
        <v/>
      </c>
      <c r="AO249" s="24"/>
      <c r="AP249" s="628">
        <v>247</v>
      </c>
      <c r="AQ249" s="642"/>
      <c r="AR249" s="642"/>
      <c r="AS249" s="642"/>
      <c r="AT249" s="642"/>
      <c r="AU249" s="642"/>
      <c r="AV249" s="642"/>
      <c r="AW249" s="642"/>
      <c r="AX249" s="642"/>
      <c r="AY249" s="642"/>
      <c r="AZ249" s="642"/>
      <c r="BA249" s="642"/>
      <c r="BB249" s="642"/>
      <c r="BC249" s="642"/>
      <c r="BD249" s="642"/>
      <c r="BE249" s="642"/>
      <c r="BF249" s="642"/>
      <c r="BG249" s="642"/>
      <c r="BH249" s="642"/>
      <c r="BI249" s="642"/>
      <c r="BJ249" s="634">
        <v>20246</v>
      </c>
      <c r="BK249" s="642"/>
      <c r="BL249" s="642"/>
      <c r="BM249" s="642"/>
      <c r="BN249" s="642"/>
      <c r="BO249" s="642"/>
      <c r="BP249" s="642"/>
      <c r="BQ249" s="642"/>
      <c r="BR249" s="642"/>
      <c r="BS249" s="642"/>
      <c r="BT249" s="642"/>
      <c r="BU249" s="642"/>
      <c r="BV249" s="642"/>
      <c r="BW249" s="24"/>
      <c r="BX249" s="24"/>
      <c r="BY249" s="24"/>
      <c r="BZ249" s="643"/>
      <c r="CA249" s="643"/>
      <c r="CB249" s="643"/>
      <c r="CC249" s="643"/>
      <c r="CD249" s="643"/>
      <c r="CE249" s="643"/>
      <c r="CF249" s="643"/>
      <c r="CG249" s="643"/>
      <c r="CH249" s="643"/>
      <c r="CI249" s="643"/>
      <c r="CJ249" s="643"/>
      <c r="CK249" s="643"/>
      <c r="CL249" s="643"/>
      <c r="CM249" s="643"/>
      <c r="CN249" s="643"/>
      <c r="CO249" s="643"/>
      <c r="CP249" s="643"/>
      <c r="CQ249" s="643"/>
      <c r="CR249" s="643"/>
      <c r="CS249" s="636" t="s">
        <v>2132</v>
      </c>
      <c r="CT249" s="643"/>
      <c r="CU249" s="643"/>
      <c r="CV249" s="643"/>
      <c r="CW249" s="643"/>
      <c r="CX249" s="643"/>
      <c r="CY249" s="643"/>
      <c r="CZ249" s="643"/>
      <c r="DA249" s="643"/>
      <c r="DB249" s="643"/>
      <c r="DC249" s="643"/>
      <c r="DD249" s="643"/>
      <c r="DE249" s="643"/>
    </row>
    <row r="250" spans="34:109" ht="15" hidden="1" customHeight="1">
      <c r="AH250" s="24"/>
      <c r="AI250" s="24"/>
      <c r="AJ250" s="24"/>
      <c r="AK250" s="24"/>
      <c r="AL250" s="630" t="str">
        <f t="shared" si="6"/>
        <v/>
      </c>
      <c r="AM250" s="630" t="str">
        <f t="shared" si="7"/>
        <v/>
      </c>
      <c r="AO250" s="24"/>
      <c r="AP250" s="628">
        <v>248</v>
      </c>
      <c r="AQ250" s="642"/>
      <c r="AR250" s="642"/>
      <c r="AS250" s="642"/>
      <c r="AT250" s="642"/>
      <c r="AU250" s="642"/>
      <c r="AV250" s="642"/>
      <c r="AW250" s="642"/>
      <c r="AX250" s="642"/>
      <c r="AY250" s="642"/>
      <c r="AZ250" s="642"/>
      <c r="BA250" s="642"/>
      <c r="BB250" s="642"/>
      <c r="BC250" s="642"/>
      <c r="BD250" s="642"/>
      <c r="BE250" s="642"/>
      <c r="BF250" s="642"/>
      <c r="BG250" s="642"/>
      <c r="BH250" s="642"/>
      <c r="BI250" s="642"/>
      <c r="BJ250" s="634">
        <v>20247</v>
      </c>
      <c r="BK250" s="642"/>
      <c r="BL250" s="642"/>
      <c r="BM250" s="642"/>
      <c r="BN250" s="642"/>
      <c r="BO250" s="642"/>
      <c r="BP250" s="642"/>
      <c r="BQ250" s="642"/>
      <c r="BR250" s="642"/>
      <c r="BS250" s="642"/>
      <c r="BT250" s="642"/>
      <c r="BU250" s="642"/>
      <c r="BV250" s="642"/>
      <c r="BW250" s="24"/>
      <c r="BX250" s="24"/>
      <c r="BY250" s="24"/>
      <c r="BZ250" s="643"/>
      <c r="CA250" s="643"/>
      <c r="CB250" s="643"/>
      <c r="CC250" s="643"/>
      <c r="CD250" s="643"/>
      <c r="CE250" s="643"/>
      <c r="CF250" s="643"/>
      <c r="CG250" s="643"/>
      <c r="CH250" s="643"/>
      <c r="CI250" s="643"/>
      <c r="CJ250" s="643"/>
      <c r="CK250" s="643"/>
      <c r="CL250" s="643"/>
      <c r="CM250" s="643"/>
      <c r="CN250" s="643"/>
      <c r="CO250" s="643"/>
      <c r="CP250" s="643"/>
      <c r="CQ250" s="643"/>
      <c r="CR250" s="643"/>
      <c r="CS250" s="636" t="s">
        <v>2133</v>
      </c>
      <c r="CT250" s="643"/>
      <c r="CU250" s="643"/>
      <c r="CV250" s="643"/>
      <c r="CW250" s="643"/>
      <c r="CX250" s="643"/>
      <c r="CY250" s="643"/>
      <c r="CZ250" s="643"/>
      <c r="DA250" s="643"/>
      <c r="DB250" s="643"/>
      <c r="DC250" s="643"/>
      <c r="DD250" s="643"/>
      <c r="DE250" s="643"/>
    </row>
    <row r="251" spans="34:109" ht="15" hidden="1" customHeight="1">
      <c r="AH251" s="24"/>
      <c r="AI251" s="24"/>
      <c r="AJ251" s="24"/>
      <c r="AK251" s="24"/>
      <c r="AL251" s="630" t="str">
        <f t="shared" si="6"/>
        <v/>
      </c>
      <c r="AM251" s="630" t="str">
        <f t="shared" si="7"/>
        <v/>
      </c>
      <c r="AO251" s="24"/>
      <c r="AP251" s="628">
        <v>249</v>
      </c>
      <c r="AQ251" s="642"/>
      <c r="AR251" s="642"/>
      <c r="AS251" s="642"/>
      <c r="AT251" s="642"/>
      <c r="AU251" s="642"/>
      <c r="AV251" s="642"/>
      <c r="AW251" s="642"/>
      <c r="AX251" s="642"/>
      <c r="AY251" s="642"/>
      <c r="AZ251" s="642"/>
      <c r="BA251" s="642"/>
      <c r="BB251" s="642"/>
      <c r="BC251" s="642"/>
      <c r="BD251" s="642"/>
      <c r="BE251" s="642"/>
      <c r="BF251" s="642"/>
      <c r="BG251" s="642"/>
      <c r="BH251" s="642"/>
      <c r="BI251" s="642"/>
      <c r="BJ251" s="634">
        <v>20248</v>
      </c>
      <c r="BK251" s="642"/>
      <c r="BL251" s="642"/>
      <c r="BM251" s="642"/>
      <c r="BN251" s="642"/>
      <c r="BO251" s="642"/>
      <c r="BP251" s="642"/>
      <c r="BQ251" s="642"/>
      <c r="BR251" s="642"/>
      <c r="BS251" s="642"/>
      <c r="BT251" s="642"/>
      <c r="BU251" s="642"/>
      <c r="BV251" s="642"/>
      <c r="BW251" s="24"/>
      <c r="BX251" s="24"/>
      <c r="BY251" s="24"/>
      <c r="BZ251" s="643"/>
      <c r="CA251" s="643"/>
      <c r="CB251" s="643"/>
      <c r="CC251" s="643"/>
      <c r="CD251" s="643"/>
      <c r="CE251" s="643"/>
      <c r="CF251" s="643"/>
      <c r="CG251" s="643"/>
      <c r="CH251" s="643"/>
      <c r="CI251" s="643"/>
      <c r="CJ251" s="643"/>
      <c r="CK251" s="643"/>
      <c r="CL251" s="643"/>
      <c r="CM251" s="643"/>
      <c r="CN251" s="643"/>
      <c r="CO251" s="643"/>
      <c r="CP251" s="643"/>
      <c r="CQ251" s="643"/>
      <c r="CR251" s="643"/>
      <c r="CS251" s="636" t="s">
        <v>2134</v>
      </c>
      <c r="CT251" s="643"/>
      <c r="CU251" s="643"/>
      <c r="CV251" s="643"/>
      <c r="CW251" s="643"/>
      <c r="CX251" s="643"/>
      <c r="CY251" s="643"/>
      <c r="CZ251" s="643"/>
      <c r="DA251" s="643"/>
      <c r="DB251" s="643"/>
      <c r="DC251" s="643"/>
      <c r="DD251" s="643"/>
      <c r="DE251" s="643"/>
    </row>
    <row r="252" spans="34:109" ht="15" hidden="1" customHeight="1">
      <c r="AH252" s="24"/>
      <c r="AI252" s="24"/>
      <c r="AJ252" s="24"/>
      <c r="AK252" s="24"/>
      <c r="AL252" s="630" t="str">
        <f t="shared" si="6"/>
        <v/>
      </c>
      <c r="AM252" s="630" t="str">
        <f t="shared" si="7"/>
        <v/>
      </c>
      <c r="AO252" s="24"/>
      <c r="AP252" s="628">
        <v>250</v>
      </c>
      <c r="AQ252" s="642"/>
      <c r="AR252" s="642"/>
      <c r="AS252" s="642"/>
      <c r="AT252" s="642"/>
      <c r="AU252" s="642"/>
      <c r="AV252" s="642"/>
      <c r="AW252" s="642"/>
      <c r="AX252" s="642"/>
      <c r="AY252" s="642"/>
      <c r="AZ252" s="642"/>
      <c r="BA252" s="642"/>
      <c r="BB252" s="642"/>
      <c r="BC252" s="642"/>
      <c r="BD252" s="642"/>
      <c r="BE252" s="642"/>
      <c r="BF252" s="642"/>
      <c r="BG252" s="642"/>
      <c r="BH252" s="642"/>
      <c r="BI252" s="642"/>
      <c r="BJ252" s="634">
        <v>20249</v>
      </c>
      <c r="BK252" s="642"/>
      <c r="BL252" s="642"/>
      <c r="BM252" s="642"/>
      <c r="BN252" s="642"/>
      <c r="BO252" s="642"/>
      <c r="BP252" s="642"/>
      <c r="BQ252" s="642"/>
      <c r="BR252" s="642"/>
      <c r="BS252" s="642"/>
      <c r="BT252" s="642"/>
      <c r="BU252" s="642"/>
      <c r="BV252" s="642"/>
      <c r="BW252" s="24"/>
      <c r="BX252" s="24"/>
      <c r="BY252" s="24"/>
      <c r="BZ252" s="643"/>
      <c r="CA252" s="643"/>
      <c r="CB252" s="643"/>
      <c r="CC252" s="643"/>
      <c r="CD252" s="643"/>
      <c r="CE252" s="643"/>
      <c r="CF252" s="643"/>
      <c r="CG252" s="643"/>
      <c r="CH252" s="643"/>
      <c r="CI252" s="643"/>
      <c r="CJ252" s="643"/>
      <c r="CK252" s="643"/>
      <c r="CL252" s="643"/>
      <c r="CM252" s="643"/>
      <c r="CN252" s="643"/>
      <c r="CO252" s="643"/>
      <c r="CP252" s="643"/>
      <c r="CQ252" s="643"/>
      <c r="CR252" s="643"/>
      <c r="CS252" s="636" t="s">
        <v>2135</v>
      </c>
      <c r="CT252" s="643"/>
      <c r="CU252" s="643"/>
      <c r="CV252" s="643"/>
      <c r="CW252" s="643"/>
      <c r="CX252" s="643"/>
      <c r="CY252" s="643"/>
      <c r="CZ252" s="643"/>
      <c r="DA252" s="643"/>
      <c r="DB252" s="643"/>
      <c r="DC252" s="643"/>
      <c r="DD252" s="643"/>
      <c r="DE252" s="643"/>
    </row>
    <row r="253" spans="34:109" ht="15" hidden="1" customHeight="1">
      <c r="AH253" s="24"/>
      <c r="AI253" s="24"/>
      <c r="AJ253" s="24"/>
      <c r="AK253" s="24"/>
      <c r="AL253" s="630" t="str">
        <f t="shared" si="6"/>
        <v/>
      </c>
      <c r="AM253" s="630" t="str">
        <f t="shared" si="7"/>
        <v/>
      </c>
      <c r="AO253" s="24"/>
      <c r="AP253" s="628">
        <v>251</v>
      </c>
      <c r="AQ253" s="642"/>
      <c r="AR253" s="642"/>
      <c r="AS253" s="642"/>
      <c r="AT253" s="642"/>
      <c r="AU253" s="642"/>
      <c r="AV253" s="642"/>
      <c r="AW253" s="642"/>
      <c r="AX253" s="642"/>
      <c r="AY253" s="642"/>
      <c r="AZ253" s="642"/>
      <c r="BA253" s="642"/>
      <c r="BB253" s="642"/>
      <c r="BC253" s="642"/>
      <c r="BD253" s="642"/>
      <c r="BE253" s="642"/>
      <c r="BF253" s="642"/>
      <c r="BG253" s="642"/>
      <c r="BH253" s="642"/>
      <c r="BI253" s="642"/>
      <c r="BJ253" s="634">
        <v>20250</v>
      </c>
      <c r="BK253" s="642"/>
      <c r="BL253" s="642"/>
      <c r="BM253" s="642"/>
      <c r="BN253" s="642"/>
      <c r="BO253" s="642"/>
      <c r="BP253" s="642"/>
      <c r="BQ253" s="642"/>
      <c r="BR253" s="642"/>
      <c r="BS253" s="642"/>
      <c r="BT253" s="642"/>
      <c r="BU253" s="642"/>
      <c r="BV253" s="642"/>
      <c r="BW253" s="24"/>
      <c r="BX253" s="24"/>
      <c r="BY253" s="24"/>
      <c r="BZ253" s="643"/>
      <c r="CA253" s="643"/>
      <c r="CB253" s="643"/>
      <c r="CC253" s="643"/>
      <c r="CD253" s="643"/>
      <c r="CE253" s="643"/>
      <c r="CF253" s="643"/>
      <c r="CG253" s="643"/>
      <c r="CH253" s="643"/>
      <c r="CI253" s="643"/>
      <c r="CJ253" s="643"/>
      <c r="CK253" s="643"/>
      <c r="CL253" s="643"/>
      <c r="CM253" s="643"/>
      <c r="CN253" s="643"/>
      <c r="CO253" s="643"/>
      <c r="CP253" s="643"/>
      <c r="CQ253" s="643"/>
      <c r="CR253" s="643"/>
      <c r="CS253" s="636" t="s">
        <v>2136</v>
      </c>
      <c r="CT253" s="643"/>
      <c r="CU253" s="643"/>
      <c r="CV253" s="643"/>
      <c r="CW253" s="643"/>
      <c r="CX253" s="643"/>
      <c r="CY253" s="643"/>
      <c r="CZ253" s="643"/>
      <c r="DA253" s="643"/>
      <c r="DB253" s="643"/>
      <c r="DC253" s="643"/>
      <c r="DD253" s="643"/>
      <c r="DE253" s="643"/>
    </row>
    <row r="254" spans="34:109" ht="15" hidden="1" customHeight="1">
      <c r="AH254" s="24"/>
      <c r="AI254" s="24"/>
      <c r="AJ254" s="24"/>
      <c r="AK254" s="24"/>
      <c r="AL254" s="630" t="str">
        <f t="shared" si="6"/>
        <v/>
      </c>
      <c r="AM254" s="630" t="str">
        <f t="shared" si="7"/>
        <v/>
      </c>
      <c r="AO254" s="24"/>
      <c r="AP254" s="628">
        <v>252</v>
      </c>
      <c r="AQ254" s="642"/>
      <c r="AR254" s="642"/>
      <c r="AS254" s="642"/>
      <c r="AT254" s="642"/>
      <c r="AU254" s="642"/>
      <c r="AV254" s="642"/>
      <c r="AW254" s="642"/>
      <c r="AX254" s="642"/>
      <c r="AY254" s="642"/>
      <c r="AZ254" s="642"/>
      <c r="BA254" s="642"/>
      <c r="BB254" s="642"/>
      <c r="BC254" s="642"/>
      <c r="BD254" s="642"/>
      <c r="BE254" s="642"/>
      <c r="BF254" s="642"/>
      <c r="BG254" s="642"/>
      <c r="BH254" s="642"/>
      <c r="BI254" s="642"/>
      <c r="BJ254" s="634">
        <v>20251</v>
      </c>
      <c r="BK254" s="642"/>
      <c r="BL254" s="642"/>
      <c r="BM254" s="642"/>
      <c r="BN254" s="642"/>
      <c r="BO254" s="642"/>
      <c r="BP254" s="642"/>
      <c r="BQ254" s="642"/>
      <c r="BR254" s="642"/>
      <c r="BS254" s="642"/>
      <c r="BT254" s="642"/>
      <c r="BU254" s="642"/>
      <c r="BV254" s="642"/>
      <c r="BW254" s="24"/>
      <c r="BX254" s="24"/>
      <c r="BY254" s="24"/>
      <c r="BZ254" s="643"/>
      <c r="CA254" s="643"/>
      <c r="CB254" s="643"/>
      <c r="CC254" s="643"/>
      <c r="CD254" s="643"/>
      <c r="CE254" s="643"/>
      <c r="CF254" s="643"/>
      <c r="CG254" s="643"/>
      <c r="CH254" s="643"/>
      <c r="CI254" s="643"/>
      <c r="CJ254" s="643"/>
      <c r="CK254" s="643"/>
      <c r="CL254" s="643"/>
      <c r="CM254" s="643"/>
      <c r="CN254" s="643"/>
      <c r="CO254" s="643"/>
      <c r="CP254" s="643"/>
      <c r="CQ254" s="643"/>
      <c r="CR254" s="643"/>
      <c r="CS254" s="636" t="s">
        <v>2137</v>
      </c>
      <c r="CT254" s="643"/>
      <c r="CU254" s="643"/>
      <c r="CV254" s="643"/>
      <c r="CW254" s="643"/>
      <c r="CX254" s="643"/>
      <c r="CY254" s="643"/>
      <c r="CZ254" s="643"/>
      <c r="DA254" s="643"/>
      <c r="DB254" s="643"/>
      <c r="DC254" s="643"/>
      <c r="DD254" s="643"/>
      <c r="DE254" s="643"/>
    </row>
    <row r="255" spans="34:109" ht="15" hidden="1" customHeight="1">
      <c r="AH255" s="24"/>
      <c r="AI255" s="24"/>
      <c r="AJ255" s="24"/>
      <c r="AK255" s="24"/>
      <c r="AL255" s="630" t="str">
        <f t="shared" si="6"/>
        <v/>
      </c>
      <c r="AM255" s="630" t="str">
        <f t="shared" si="7"/>
        <v/>
      </c>
      <c r="AO255" s="24"/>
      <c r="AP255" s="628">
        <v>253</v>
      </c>
      <c r="AQ255" s="642"/>
      <c r="AR255" s="642"/>
      <c r="AS255" s="642"/>
      <c r="AT255" s="642"/>
      <c r="AU255" s="642"/>
      <c r="AV255" s="642"/>
      <c r="AW255" s="642"/>
      <c r="AX255" s="642"/>
      <c r="AY255" s="642"/>
      <c r="AZ255" s="642"/>
      <c r="BA255" s="642"/>
      <c r="BB255" s="642"/>
      <c r="BC255" s="642"/>
      <c r="BD255" s="642"/>
      <c r="BE255" s="642"/>
      <c r="BF255" s="642"/>
      <c r="BG255" s="642"/>
      <c r="BH255" s="642"/>
      <c r="BI255" s="642"/>
      <c r="BJ255" s="634">
        <v>20252</v>
      </c>
      <c r="BK255" s="642"/>
      <c r="BL255" s="642"/>
      <c r="BM255" s="642"/>
      <c r="BN255" s="642"/>
      <c r="BO255" s="642"/>
      <c r="BP255" s="642"/>
      <c r="BQ255" s="642"/>
      <c r="BR255" s="642"/>
      <c r="BS255" s="642"/>
      <c r="BT255" s="642"/>
      <c r="BU255" s="642"/>
      <c r="BV255" s="642"/>
      <c r="BW255" s="24"/>
      <c r="BX255" s="24"/>
      <c r="BY255" s="24"/>
      <c r="BZ255" s="643"/>
      <c r="CA255" s="643"/>
      <c r="CB255" s="643"/>
      <c r="CC255" s="643"/>
      <c r="CD255" s="643"/>
      <c r="CE255" s="643"/>
      <c r="CF255" s="643"/>
      <c r="CG255" s="643"/>
      <c r="CH255" s="643"/>
      <c r="CI255" s="643"/>
      <c r="CJ255" s="643"/>
      <c r="CK255" s="643"/>
      <c r="CL255" s="643"/>
      <c r="CM255" s="643"/>
      <c r="CN255" s="643"/>
      <c r="CO255" s="643"/>
      <c r="CP255" s="643"/>
      <c r="CQ255" s="643"/>
      <c r="CR255" s="643"/>
      <c r="CS255" s="636" t="s">
        <v>2138</v>
      </c>
      <c r="CT255" s="643"/>
      <c r="CU255" s="643"/>
      <c r="CV255" s="643"/>
      <c r="CW255" s="643"/>
      <c r="CX255" s="643"/>
      <c r="CY255" s="643"/>
      <c r="CZ255" s="643"/>
      <c r="DA255" s="643"/>
      <c r="DB255" s="643"/>
      <c r="DC255" s="643"/>
      <c r="DD255" s="643"/>
      <c r="DE255" s="643"/>
    </row>
    <row r="256" spans="34:109" ht="15" hidden="1" customHeight="1">
      <c r="AH256" s="24"/>
      <c r="AI256" s="24"/>
      <c r="AJ256" s="24"/>
      <c r="AK256" s="24"/>
      <c r="AL256" s="630" t="str">
        <f t="shared" si="6"/>
        <v/>
      </c>
      <c r="AM256" s="630" t="str">
        <f t="shared" si="7"/>
        <v/>
      </c>
      <c r="AO256" s="24"/>
      <c r="AP256" s="628">
        <v>254</v>
      </c>
      <c r="AQ256" s="642"/>
      <c r="AR256" s="642"/>
      <c r="AS256" s="642"/>
      <c r="AT256" s="642"/>
      <c r="AU256" s="642"/>
      <c r="AV256" s="642"/>
      <c r="AW256" s="642"/>
      <c r="AX256" s="642"/>
      <c r="AY256" s="642"/>
      <c r="AZ256" s="642"/>
      <c r="BA256" s="642"/>
      <c r="BB256" s="642"/>
      <c r="BC256" s="642"/>
      <c r="BD256" s="642"/>
      <c r="BE256" s="642"/>
      <c r="BF256" s="642"/>
      <c r="BG256" s="642"/>
      <c r="BH256" s="642"/>
      <c r="BI256" s="642"/>
      <c r="BJ256" s="634">
        <v>20253</v>
      </c>
      <c r="BK256" s="642"/>
      <c r="BL256" s="642"/>
      <c r="BM256" s="642"/>
      <c r="BN256" s="642"/>
      <c r="BO256" s="642"/>
      <c r="BP256" s="642"/>
      <c r="BQ256" s="642"/>
      <c r="BR256" s="642"/>
      <c r="BS256" s="642"/>
      <c r="BT256" s="642"/>
      <c r="BU256" s="642"/>
      <c r="BV256" s="642"/>
      <c r="BW256" s="24"/>
      <c r="BX256" s="24"/>
      <c r="BY256" s="24"/>
      <c r="BZ256" s="643"/>
      <c r="CA256" s="643"/>
      <c r="CB256" s="643"/>
      <c r="CC256" s="643"/>
      <c r="CD256" s="643"/>
      <c r="CE256" s="643"/>
      <c r="CF256" s="643"/>
      <c r="CG256" s="643"/>
      <c r="CH256" s="643"/>
      <c r="CI256" s="643"/>
      <c r="CJ256" s="643"/>
      <c r="CK256" s="643"/>
      <c r="CL256" s="643"/>
      <c r="CM256" s="643"/>
      <c r="CN256" s="643"/>
      <c r="CO256" s="643"/>
      <c r="CP256" s="643"/>
      <c r="CQ256" s="643"/>
      <c r="CR256" s="643"/>
      <c r="CS256" s="636" t="s">
        <v>2139</v>
      </c>
      <c r="CT256" s="643"/>
      <c r="CU256" s="643"/>
      <c r="CV256" s="643"/>
      <c r="CW256" s="643"/>
      <c r="CX256" s="643"/>
      <c r="CY256" s="643"/>
      <c r="CZ256" s="643"/>
      <c r="DA256" s="643"/>
      <c r="DB256" s="643"/>
      <c r="DC256" s="643"/>
      <c r="DD256" s="643"/>
      <c r="DE256" s="643"/>
    </row>
    <row r="257" spans="34:109" ht="15" hidden="1" customHeight="1">
      <c r="AH257" s="24"/>
      <c r="AI257" s="24"/>
      <c r="AJ257" s="24"/>
      <c r="AK257" s="24"/>
      <c r="AL257" s="630" t="str">
        <f t="shared" si="6"/>
        <v/>
      </c>
      <c r="AM257" s="630" t="str">
        <f t="shared" si="7"/>
        <v/>
      </c>
      <c r="AO257" s="24"/>
      <c r="AP257" s="628">
        <v>255</v>
      </c>
      <c r="AQ257" s="642"/>
      <c r="AR257" s="642"/>
      <c r="AS257" s="642"/>
      <c r="AT257" s="642"/>
      <c r="AU257" s="642"/>
      <c r="AV257" s="642"/>
      <c r="AW257" s="642"/>
      <c r="AX257" s="642"/>
      <c r="AY257" s="642"/>
      <c r="AZ257" s="642"/>
      <c r="BA257" s="642"/>
      <c r="BB257" s="642"/>
      <c r="BC257" s="642"/>
      <c r="BD257" s="642"/>
      <c r="BE257" s="642"/>
      <c r="BF257" s="642"/>
      <c r="BG257" s="642"/>
      <c r="BH257" s="642"/>
      <c r="BI257" s="642"/>
      <c r="BJ257" s="634">
        <v>20254</v>
      </c>
      <c r="BK257" s="642"/>
      <c r="BL257" s="642"/>
      <c r="BM257" s="642"/>
      <c r="BN257" s="642"/>
      <c r="BO257" s="642"/>
      <c r="BP257" s="642"/>
      <c r="BQ257" s="642"/>
      <c r="BR257" s="642"/>
      <c r="BS257" s="642"/>
      <c r="BT257" s="642"/>
      <c r="BU257" s="642"/>
      <c r="BV257" s="642"/>
      <c r="BW257" s="24"/>
      <c r="BX257" s="24"/>
      <c r="BY257" s="24"/>
      <c r="BZ257" s="643"/>
      <c r="CA257" s="643"/>
      <c r="CB257" s="643"/>
      <c r="CC257" s="643"/>
      <c r="CD257" s="643"/>
      <c r="CE257" s="643"/>
      <c r="CF257" s="643"/>
      <c r="CG257" s="643"/>
      <c r="CH257" s="643"/>
      <c r="CI257" s="643"/>
      <c r="CJ257" s="643"/>
      <c r="CK257" s="643"/>
      <c r="CL257" s="643"/>
      <c r="CM257" s="643"/>
      <c r="CN257" s="643"/>
      <c r="CO257" s="643"/>
      <c r="CP257" s="643"/>
      <c r="CQ257" s="643"/>
      <c r="CR257" s="643"/>
      <c r="CS257" s="636" t="s">
        <v>2140</v>
      </c>
      <c r="CT257" s="643"/>
      <c r="CU257" s="643"/>
      <c r="CV257" s="643"/>
      <c r="CW257" s="643"/>
      <c r="CX257" s="643"/>
      <c r="CY257" s="643"/>
      <c r="CZ257" s="643"/>
      <c r="DA257" s="643"/>
      <c r="DB257" s="643"/>
      <c r="DC257" s="643"/>
      <c r="DD257" s="643"/>
      <c r="DE257" s="643"/>
    </row>
    <row r="258" spans="34:109" ht="15" hidden="1" customHeight="1">
      <c r="AH258" s="24"/>
      <c r="AI258" s="24"/>
      <c r="AJ258" s="24"/>
      <c r="AK258" s="24"/>
      <c r="AL258" s="630" t="str">
        <f t="shared" si="6"/>
        <v/>
      </c>
      <c r="AM258" s="630" t="str">
        <f t="shared" si="7"/>
        <v/>
      </c>
      <c r="AO258" s="24"/>
      <c r="AP258" s="628">
        <v>256</v>
      </c>
      <c r="AQ258" s="642"/>
      <c r="AR258" s="642"/>
      <c r="AS258" s="642"/>
      <c r="AT258" s="642"/>
      <c r="AU258" s="642"/>
      <c r="AV258" s="642"/>
      <c r="AW258" s="642"/>
      <c r="AX258" s="642"/>
      <c r="AY258" s="642"/>
      <c r="AZ258" s="642"/>
      <c r="BA258" s="642"/>
      <c r="BB258" s="642"/>
      <c r="BC258" s="642"/>
      <c r="BD258" s="642"/>
      <c r="BE258" s="642"/>
      <c r="BF258" s="642"/>
      <c r="BG258" s="642"/>
      <c r="BH258" s="642"/>
      <c r="BI258" s="642"/>
      <c r="BJ258" s="634">
        <v>20255</v>
      </c>
      <c r="BK258" s="642"/>
      <c r="BL258" s="642"/>
      <c r="BM258" s="642"/>
      <c r="BN258" s="642"/>
      <c r="BO258" s="642"/>
      <c r="BP258" s="642"/>
      <c r="BQ258" s="642"/>
      <c r="BR258" s="642"/>
      <c r="BS258" s="642"/>
      <c r="BT258" s="642"/>
      <c r="BU258" s="642"/>
      <c r="BV258" s="642"/>
      <c r="BW258" s="24"/>
      <c r="BX258" s="24"/>
      <c r="BY258" s="24"/>
      <c r="BZ258" s="643"/>
      <c r="CA258" s="643"/>
      <c r="CB258" s="643"/>
      <c r="CC258" s="643"/>
      <c r="CD258" s="643"/>
      <c r="CE258" s="643"/>
      <c r="CF258" s="643"/>
      <c r="CG258" s="643"/>
      <c r="CH258" s="643"/>
      <c r="CI258" s="643"/>
      <c r="CJ258" s="643"/>
      <c r="CK258" s="643"/>
      <c r="CL258" s="643"/>
      <c r="CM258" s="643"/>
      <c r="CN258" s="643"/>
      <c r="CO258" s="643"/>
      <c r="CP258" s="643"/>
      <c r="CQ258" s="643"/>
      <c r="CR258" s="643"/>
      <c r="CS258" s="636" t="s">
        <v>2141</v>
      </c>
      <c r="CT258" s="643"/>
      <c r="CU258" s="643"/>
      <c r="CV258" s="643"/>
      <c r="CW258" s="643"/>
      <c r="CX258" s="643"/>
      <c r="CY258" s="643"/>
      <c r="CZ258" s="643"/>
      <c r="DA258" s="643"/>
      <c r="DB258" s="643"/>
      <c r="DC258" s="643"/>
      <c r="DD258" s="643"/>
      <c r="DE258" s="643"/>
    </row>
    <row r="259" spans="34:109" ht="15" hidden="1" customHeight="1">
      <c r="AH259" s="24"/>
      <c r="AI259" s="24"/>
      <c r="AJ259" s="24"/>
      <c r="AK259" s="24"/>
      <c r="AL259" s="630" t="str">
        <f t="shared" si="6"/>
        <v/>
      </c>
      <c r="AM259" s="630" t="str">
        <f t="shared" si="7"/>
        <v/>
      </c>
      <c r="AO259" s="24"/>
      <c r="AP259" s="628">
        <v>257</v>
      </c>
      <c r="AQ259" s="642"/>
      <c r="AR259" s="642"/>
      <c r="AS259" s="642"/>
      <c r="AT259" s="642"/>
      <c r="AU259" s="642"/>
      <c r="AV259" s="642"/>
      <c r="AW259" s="642"/>
      <c r="AX259" s="642"/>
      <c r="AY259" s="642"/>
      <c r="AZ259" s="642"/>
      <c r="BA259" s="642"/>
      <c r="BB259" s="642"/>
      <c r="BC259" s="642"/>
      <c r="BD259" s="642"/>
      <c r="BE259" s="642"/>
      <c r="BF259" s="642"/>
      <c r="BG259" s="642"/>
      <c r="BH259" s="642"/>
      <c r="BI259" s="642"/>
      <c r="BJ259" s="634">
        <v>20256</v>
      </c>
      <c r="BK259" s="642"/>
      <c r="BL259" s="642"/>
      <c r="BM259" s="642"/>
      <c r="BN259" s="642"/>
      <c r="BO259" s="642"/>
      <c r="BP259" s="642"/>
      <c r="BQ259" s="642"/>
      <c r="BR259" s="642"/>
      <c r="BS259" s="642"/>
      <c r="BT259" s="642"/>
      <c r="BU259" s="642"/>
      <c r="BV259" s="642"/>
      <c r="BW259" s="24"/>
      <c r="BX259" s="24"/>
      <c r="BY259" s="24"/>
      <c r="BZ259" s="643"/>
      <c r="CA259" s="643"/>
      <c r="CB259" s="643"/>
      <c r="CC259" s="643"/>
      <c r="CD259" s="643"/>
      <c r="CE259" s="643"/>
      <c r="CF259" s="643"/>
      <c r="CG259" s="643"/>
      <c r="CH259" s="643"/>
      <c r="CI259" s="643"/>
      <c r="CJ259" s="643"/>
      <c r="CK259" s="643"/>
      <c r="CL259" s="643"/>
      <c r="CM259" s="643"/>
      <c r="CN259" s="643"/>
      <c r="CO259" s="643"/>
      <c r="CP259" s="643"/>
      <c r="CQ259" s="643"/>
      <c r="CR259" s="643"/>
      <c r="CS259" s="636" t="s">
        <v>2142</v>
      </c>
      <c r="CT259" s="643"/>
      <c r="CU259" s="643"/>
      <c r="CV259" s="643"/>
      <c r="CW259" s="643"/>
      <c r="CX259" s="643"/>
      <c r="CY259" s="643"/>
      <c r="CZ259" s="643"/>
      <c r="DA259" s="643"/>
      <c r="DB259" s="643"/>
      <c r="DC259" s="643"/>
      <c r="DD259" s="643"/>
      <c r="DE259" s="643"/>
    </row>
    <row r="260" spans="34:109" ht="15" hidden="1" customHeight="1">
      <c r="AH260" s="24"/>
      <c r="AI260" s="24"/>
      <c r="AJ260" s="24"/>
      <c r="AK260" s="24"/>
      <c r="AL260" s="630" t="str">
        <f t="shared" ref="AL260:AL323" si="8">IFERROR(IF(HLOOKUP($N$8, $BZ$3:$DE$574, $AP260, FALSE )="", "", HLOOKUP($N$8, $BZ$3:$DE$574, $AP260, FALSE)), "")</f>
        <v/>
      </c>
      <c r="AM260" s="630" t="str">
        <f t="shared" ref="AM260:AM323" si="9">IFERROR(IF(AL260="", "", HLOOKUP($N$8, $AQ$3:$BV$574, AP260, FALSE)), "")</f>
        <v/>
      </c>
      <c r="AO260" s="24"/>
      <c r="AP260" s="628">
        <v>258</v>
      </c>
      <c r="AQ260" s="642"/>
      <c r="AR260" s="642"/>
      <c r="AS260" s="642"/>
      <c r="AT260" s="642"/>
      <c r="AU260" s="642"/>
      <c r="AV260" s="642"/>
      <c r="AW260" s="642"/>
      <c r="AX260" s="642"/>
      <c r="AY260" s="642"/>
      <c r="AZ260" s="642"/>
      <c r="BA260" s="642"/>
      <c r="BB260" s="642"/>
      <c r="BC260" s="642"/>
      <c r="BD260" s="642"/>
      <c r="BE260" s="642"/>
      <c r="BF260" s="642"/>
      <c r="BG260" s="642"/>
      <c r="BH260" s="642"/>
      <c r="BI260" s="642"/>
      <c r="BJ260" s="634">
        <v>20257</v>
      </c>
      <c r="BK260" s="642"/>
      <c r="BL260" s="642"/>
      <c r="BM260" s="642"/>
      <c r="BN260" s="642"/>
      <c r="BO260" s="642"/>
      <c r="BP260" s="642"/>
      <c r="BQ260" s="642"/>
      <c r="BR260" s="642"/>
      <c r="BS260" s="642"/>
      <c r="BT260" s="642"/>
      <c r="BU260" s="642"/>
      <c r="BV260" s="642"/>
      <c r="BW260" s="24"/>
      <c r="BX260" s="24"/>
      <c r="BY260" s="24"/>
      <c r="BZ260" s="643"/>
      <c r="CA260" s="643"/>
      <c r="CB260" s="643"/>
      <c r="CC260" s="643"/>
      <c r="CD260" s="643"/>
      <c r="CE260" s="643"/>
      <c r="CF260" s="643"/>
      <c r="CG260" s="643"/>
      <c r="CH260" s="643"/>
      <c r="CI260" s="643"/>
      <c r="CJ260" s="643"/>
      <c r="CK260" s="643"/>
      <c r="CL260" s="643"/>
      <c r="CM260" s="643"/>
      <c r="CN260" s="643"/>
      <c r="CO260" s="643"/>
      <c r="CP260" s="643"/>
      <c r="CQ260" s="643"/>
      <c r="CR260" s="643"/>
      <c r="CS260" s="636" t="s">
        <v>2143</v>
      </c>
      <c r="CT260" s="643"/>
      <c r="CU260" s="643"/>
      <c r="CV260" s="643"/>
      <c r="CW260" s="643"/>
      <c r="CX260" s="643"/>
      <c r="CY260" s="643"/>
      <c r="CZ260" s="643"/>
      <c r="DA260" s="643"/>
      <c r="DB260" s="643"/>
      <c r="DC260" s="643"/>
      <c r="DD260" s="643"/>
      <c r="DE260" s="643"/>
    </row>
    <row r="261" spans="34:109" ht="15" hidden="1" customHeight="1">
      <c r="AH261" s="24"/>
      <c r="AI261" s="24"/>
      <c r="AJ261" s="24"/>
      <c r="AK261" s="24"/>
      <c r="AL261" s="630" t="str">
        <f t="shared" si="8"/>
        <v/>
      </c>
      <c r="AM261" s="630" t="str">
        <f t="shared" si="9"/>
        <v/>
      </c>
      <c r="AO261" s="24"/>
      <c r="AP261" s="628">
        <v>259</v>
      </c>
      <c r="AQ261" s="642"/>
      <c r="AR261" s="642"/>
      <c r="AS261" s="642"/>
      <c r="AT261" s="642"/>
      <c r="AU261" s="642"/>
      <c r="AV261" s="642"/>
      <c r="AW261" s="642"/>
      <c r="AX261" s="642"/>
      <c r="AY261" s="642"/>
      <c r="AZ261" s="642"/>
      <c r="BA261" s="642"/>
      <c r="BB261" s="642"/>
      <c r="BC261" s="642"/>
      <c r="BD261" s="642"/>
      <c r="BE261" s="642"/>
      <c r="BF261" s="642"/>
      <c r="BG261" s="642"/>
      <c r="BH261" s="642"/>
      <c r="BI261" s="642"/>
      <c r="BJ261" s="634">
        <v>20258</v>
      </c>
      <c r="BK261" s="642"/>
      <c r="BL261" s="642"/>
      <c r="BM261" s="642"/>
      <c r="BN261" s="642"/>
      <c r="BO261" s="642"/>
      <c r="BP261" s="642"/>
      <c r="BQ261" s="642"/>
      <c r="BR261" s="642"/>
      <c r="BS261" s="642"/>
      <c r="BT261" s="642"/>
      <c r="BU261" s="642"/>
      <c r="BV261" s="642"/>
      <c r="BW261" s="24"/>
      <c r="BX261" s="24"/>
      <c r="BY261" s="24"/>
      <c r="BZ261" s="643"/>
      <c r="CA261" s="643"/>
      <c r="CB261" s="643"/>
      <c r="CC261" s="643"/>
      <c r="CD261" s="643"/>
      <c r="CE261" s="643"/>
      <c r="CF261" s="643"/>
      <c r="CG261" s="643"/>
      <c r="CH261" s="643"/>
      <c r="CI261" s="643"/>
      <c r="CJ261" s="643"/>
      <c r="CK261" s="643"/>
      <c r="CL261" s="643"/>
      <c r="CM261" s="643"/>
      <c r="CN261" s="643"/>
      <c r="CO261" s="643"/>
      <c r="CP261" s="643"/>
      <c r="CQ261" s="643"/>
      <c r="CR261" s="643"/>
      <c r="CS261" s="636" t="s">
        <v>2144</v>
      </c>
      <c r="CT261" s="643"/>
      <c r="CU261" s="643"/>
      <c r="CV261" s="643"/>
      <c r="CW261" s="643"/>
      <c r="CX261" s="643"/>
      <c r="CY261" s="643"/>
      <c r="CZ261" s="643"/>
      <c r="DA261" s="643"/>
      <c r="DB261" s="643"/>
      <c r="DC261" s="643"/>
      <c r="DD261" s="643"/>
      <c r="DE261" s="643"/>
    </row>
    <row r="262" spans="34:109" ht="15" hidden="1" customHeight="1">
      <c r="AH262" s="24"/>
      <c r="AI262" s="24"/>
      <c r="AJ262" s="24"/>
      <c r="AK262" s="24"/>
      <c r="AL262" s="630" t="str">
        <f t="shared" si="8"/>
        <v/>
      </c>
      <c r="AM262" s="630" t="str">
        <f t="shared" si="9"/>
        <v/>
      </c>
      <c r="AO262" s="24"/>
      <c r="AP262" s="628">
        <v>260</v>
      </c>
      <c r="AQ262" s="642"/>
      <c r="AR262" s="642"/>
      <c r="AS262" s="642"/>
      <c r="AT262" s="642"/>
      <c r="AU262" s="642"/>
      <c r="AV262" s="642"/>
      <c r="AW262" s="642"/>
      <c r="AX262" s="642"/>
      <c r="AY262" s="642"/>
      <c r="AZ262" s="642"/>
      <c r="BA262" s="642"/>
      <c r="BB262" s="642"/>
      <c r="BC262" s="642"/>
      <c r="BD262" s="642"/>
      <c r="BE262" s="642"/>
      <c r="BF262" s="642"/>
      <c r="BG262" s="642"/>
      <c r="BH262" s="642"/>
      <c r="BI262" s="642"/>
      <c r="BJ262" s="634">
        <v>20259</v>
      </c>
      <c r="BK262" s="642"/>
      <c r="BL262" s="642"/>
      <c r="BM262" s="642"/>
      <c r="BN262" s="642"/>
      <c r="BO262" s="642"/>
      <c r="BP262" s="642"/>
      <c r="BQ262" s="642"/>
      <c r="BR262" s="642"/>
      <c r="BS262" s="642"/>
      <c r="BT262" s="642"/>
      <c r="BU262" s="642"/>
      <c r="BV262" s="642"/>
      <c r="BW262" s="24"/>
      <c r="BX262" s="24"/>
      <c r="BY262" s="24"/>
      <c r="BZ262" s="643"/>
      <c r="CA262" s="643"/>
      <c r="CB262" s="643"/>
      <c r="CC262" s="643"/>
      <c r="CD262" s="643"/>
      <c r="CE262" s="643"/>
      <c r="CF262" s="643"/>
      <c r="CG262" s="643"/>
      <c r="CH262" s="643"/>
      <c r="CI262" s="643"/>
      <c r="CJ262" s="643"/>
      <c r="CK262" s="643"/>
      <c r="CL262" s="643"/>
      <c r="CM262" s="643"/>
      <c r="CN262" s="643"/>
      <c r="CO262" s="643"/>
      <c r="CP262" s="643"/>
      <c r="CQ262" s="643"/>
      <c r="CR262" s="643"/>
      <c r="CS262" s="636" t="s">
        <v>2145</v>
      </c>
      <c r="CT262" s="643"/>
      <c r="CU262" s="643"/>
      <c r="CV262" s="643"/>
      <c r="CW262" s="643"/>
      <c r="CX262" s="643"/>
      <c r="CY262" s="643"/>
      <c r="CZ262" s="643"/>
      <c r="DA262" s="643"/>
      <c r="DB262" s="643"/>
      <c r="DC262" s="643"/>
      <c r="DD262" s="643"/>
      <c r="DE262" s="643"/>
    </row>
    <row r="263" spans="34:109" ht="15" hidden="1" customHeight="1">
      <c r="AH263" s="24"/>
      <c r="AI263" s="24"/>
      <c r="AJ263" s="24"/>
      <c r="AK263" s="24"/>
      <c r="AL263" s="630" t="str">
        <f t="shared" si="8"/>
        <v/>
      </c>
      <c r="AM263" s="630" t="str">
        <f t="shared" si="9"/>
        <v/>
      </c>
      <c r="AO263" s="24"/>
      <c r="AP263" s="628">
        <v>261</v>
      </c>
      <c r="AQ263" s="642"/>
      <c r="AR263" s="642"/>
      <c r="AS263" s="642"/>
      <c r="AT263" s="642"/>
      <c r="AU263" s="642"/>
      <c r="AV263" s="642"/>
      <c r="AW263" s="642"/>
      <c r="AX263" s="642"/>
      <c r="AY263" s="642"/>
      <c r="AZ263" s="642"/>
      <c r="BA263" s="642"/>
      <c r="BB263" s="642"/>
      <c r="BC263" s="642"/>
      <c r="BD263" s="642"/>
      <c r="BE263" s="642"/>
      <c r="BF263" s="642"/>
      <c r="BG263" s="642"/>
      <c r="BH263" s="642"/>
      <c r="BI263" s="642"/>
      <c r="BJ263" s="634">
        <v>20260</v>
      </c>
      <c r="BK263" s="642"/>
      <c r="BL263" s="642"/>
      <c r="BM263" s="642"/>
      <c r="BN263" s="642"/>
      <c r="BO263" s="642"/>
      <c r="BP263" s="642"/>
      <c r="BQ263" s="642"/>
      <c r="BR263" s="642"/>
      <c r="BS263" s="642"/>
      <c r="BT263" s="642"/>
      <c r="BU263" s="642"/>
      <c r="BV263" s="642"/>
      <c r="BW263" s="24"/>
      <c r="BX263" s="24"/>
      <c r="BY263" s="24"/>
      <c r="BZ263" s="643"/>
      <c r="CA263" s="643"/>
      <c r="CB263" s="643"/>
      <c r="CC263" s="643"/>
      <c r="CD263" s="643"/>
      <c r="CE263" s="643"/>
      <c r="CF263" s="643"/>
      <c r="CG263" s="643"/>
      <c r="CH263" s="643"/>
      <c r="CI263" s="643"/>
      <c r="CJ263" s="643"/>
      <c r="CK263" s="643"/>
      <c r="CL263" s="643"/>
      <c r="CM263" s="643"/>
      <c r="CN263" s="643"/>
      <c r="CO263" s="643"/>
      <c r="CP263" s="643"/>
      <c r="CQ263" s="643"/>
      <c r="CR263" s="643"/>
      <c r="CS263" s="636" t="s">
        <v>2146</v>
      </c>
      <c r="CT263" s="643"/>
      <c r="CU263" s="643"/>
      <c r="CV263" s="643"/>
      <c r="CW263" s="643"/>
      <c r="CX263" s="643"/>
      <c r="CY263" s="643"/>
      <c r="CZ263" s="643"/>
      <c r="DA263" s="643"/>
      <c r="DB263" s="643"/>
      <c r="DC263" s="643"/>
      <c r="DD263" s="643"/>
      <c r="DE263" s="643"/>
    </row>
    <row r="264" spans="34:109" ht="15" hidden="1" customHeight="1">
      <c r="AH264" s="24"/>
      <c r="AI264" s="24"/>
      <c r="AJ264" s="24"/>
      <c r="AK264" s="24"/>
      <c r="AL264" s="630" t="str">
        <f t="shared" si="8"/>
        <v/>
      </c>
      <c r="AM264" s="630" t="str">
        <f t="shared" si="9"/>
        <v/>
      </c>
      <c r="AO264" s="24"/>
      <c r="AP264" s="628">
        <v>262</v>
      </c>
      <c r="AQ264" s="642"/>
      <c r="AR264" s="642"/>
      <c r="AS264" s="642"/>
      <c r="AT264" s="642"/>
      <c r="AU264" s="642"/>
      <c r="AV264" s="642"/>
      <c r="AW264" s="642"/>
      <c r="AX264" s="642"/>
      <c r="AY264" s="642"/>
      <c r="AZ264" s="642"/>
      <c r="BA264" s="642"/>
      <c r="BB264" s="642"/>
      <c r="BC264" s="642"/>
      <c r="BD264" s="642"/>
      <c r="BE264" s="642"/>
      <c r="BF264" s="642"/>
      <c r="BG264" s="642"/>
      <c r="BH264" s="642"/>
      <c r="BI264" s="642"/>
      <c r="BJ264" s="634">
        <v>20261</v>
      </c>
      <c r="BK264" s="642"/>
      <c r="BL264" s="642"/>
      <c r="BM264" s="642"/>
      <c r="BN264" s="642"/>
      <c r="BO264" s="642"/>
      <c r="BP264" s="642"/>
      <c r="BQ264" s="642"/>
      <c r="BR264" s="642"/>
      <c r="BS264" s="642"/>
      <c r="BT264" s="642"/>
      <c r="BU264" s="642"/>
      <c r="BV264" s="642"/>
      <c r="BW264" s="24"/>
      <c r="BX264" s="24"/>
      <c r="BY264" s="24"/>
      <c r="BZ264" s="643"/>
      <c r="CA264" s="643"/>
      <c r="CB264" s="643"/>
      <c r="CC264" s="643"/>
      <c r="CD264" s="643"/>
      <c r="CE264" s="643"/>
      <c r="CF264" s="643"/>
      <c r="CG264" s="643"/>
      <c r="CH264" s="643"/>
      <c r="CI264" s="643"/>
      <c r="CJ264" s="643"/>
      <c r="CK264" s="643"/>
      <c r="CL264" s="643"/>
      <c r="CM264" s="643"/>
      <c r="CN264" s="643"/>
      <c r="CO264" s="643"/>
      <c r="CP264" s="643"/>
      <c r="CQ264" s="643"/>
      <c r="CR264" s="643"/>
      <c r="CS264" s="636" t="s">
        <v>2147</v>
      </c>
      <c r="CT264" s="643"/>
      <c r="CU264" s="643"/>
      <c r="CV264" s="643"/>
      <c r="CW264" s="643"/>
      <c r="CX264" s="643"/>
      <c r="CY264" s="643"/>
      <c r="CZ264" s="643"/>
      <c r="DA264" s="643"/>
      <c r="DB264" s="643"/>
      <c r="DC264" s="643"/>
      <c r="DD264" s="643"/>
      <c r="DE264" s="643"/>
    </row>
    <row r="265" spans="34:109" ht="15" hidden="1" customHeight="1">
      <c r="AH265" s="24"/>
      <c r="AI265" s="24"/>
      <c r="AJ265" s="24"/>
      <c r="AK265" s="24"/>
      <c r="AL265" s="630" t="str">
        <f t="shared" si="8"/>
        <v/>
      </c>
      <c r="AM265" s="630" t="str">
        <f t="shared" si="9"/>
        <v/>
      </c>
      <c r="AO265" s="24"/>
      <c r="AP265" s="628">
        <v>263</v>
      </c>
      <c r="AQ265" s="642"/>
      <c r="AR265" s="642"/>
      <c r="AS265" s="642"/>
      <c r="AT265" s="642"/>
      <c r="AU265" s="642"/>
      <c r="AV265" s="642"/>
      <c r="AW265" s="642"/>
      <c r="AX265" s="642"/>
      <c r="AY265" s="642"/>
      <c r="AZ265" s="642"/>
      <c r="BA265" s="642"/>
      <c r="BB265" s="642"/>
      <c r="BC265" s="642"/>
      <c r="BD265" s="642"/>
      <c r="BE265" s="642"/>
      <c r="BF265" s="642"/>
      <c r="BG265" s="642"/>
      <c r="BH265" s="642"/>
      <c r="BI265" s="642"/>
      <c r="BJ265" s="634">
        <v>20262</v>
      </c>
      <c r="BK265" s="642"/>
      <c r="BL265" s="642"/>
      <c r="BM265" s="642"/>
      <c r="BN265" s="642"/>
      <c r="BO265" s="642"/>
      <c r="BP265" s="642"/>
      <c r="BQ265" s="642"/>
      <c r="BR265" s="642"/>
      <c r="BS265" s="642"/>
      <c r="BT265" s="642"/>
      <c r="BU265" s="642"/>
      <c r="BV265" s="642"/>
      <c r="BW265" s="24"/>
      <c r="BX265" s="24"/>
      <c r="BY265" s="24"/>
      <c r="BZ265" s="643"/>
      <c r="CA265" s="643"/>
      <c r="CB265" s="643"/>
      <c r="CC265" s="643"/>
      <c r="CD265" s="643"/>
      <c r="CE265" s="643"/>
      <c r="CF265" s="643"/>
      <c r="CG265" s="643"/>
      <c r="CH265" s="643"/>
      <c r="CI265" s="643"/>
      <c r="CJ265" s="643"/>
      <c r="CK265" s="643"/>
      <c r="CL265" s="643"/>
      <c r="CM265" s="643"/>
      <c r="CN265" s="643"/>
      <c r="CO265" s="643"/>
      <c r="CP265" s="643"/>
      <c r="CQ265" s="643"/>
      <c r="CR265" s="643"/>
      <c r="CS265" s="636" t="s">
        <v>2148</v>
      </c>
      <c r="CT265" s="643"/>
      <c r="CU265" s="643"/>
      <c r="CV265" s="643"/>
      <c r="CW265" s="643"/>
      <c r="CX265" s="643"/>
      <c r="CY265" s="643"/>
      <c r="CZ265" s="643"/>
      <c r="DA265" s="643"/>
      <c r="DB265" s="643"/>
      <c r="DC265" s="643"/>
      <c r="DD265" s="643"/>
      <c r="DE265" s="643"/>
    </row>
    <row r="266" spans="34:109" ht="15" hidden="1" customHeight="1">
      <c r="AH266" s="24"/>
      <c r="AI266" s="24"/>
      <c r="AJ266" s="24"/>
      <c r="AK266" s="24"/>
      <c r="AL266" s="630" t="str">
        <f t="shared" si="8"/>
        <v/>
      </c>
      <c r="AM266" s="630" t="str">
        <f t="shared" si="9"/>
        <v/>
      </c>
      <c r="AO266" s="24"/>
      <c r="AP266" s="628">
        <v>264</v>
      </c>
      <c r="AQ266" s="642"/>
      <c r="AR266" s="642"/>
      <c r="AS266" s="642"/>
      <c r="AT266" s="642"/>
      <c r="AU266" s="642"/>
      <c r="AV266" s="642"/>
      <c r="AW266" s="642"/>
      <c r="AX266" s="642"/>
      <c r="AY266" s="642"/>
      <c r="AZ266" s="642"/>
      <c r="BA266" s="642"/>
      <c r="BB266" s="642"/>
      <c r="BC266" s="642"/>
      <c r="BD266" s="642"/>
      <c r="BE266" s="642"/>
      <c r="BF266" s="642"/>
      <c r="BG266" s="642"/>
      <c r="BH266" s="642"/>
      <c r="BI266" s="642"/>
      <c r="BJ266" s="634">
        <v>20263</v>
      </c>
      <c r="BK266" s="642"/>
      <c r="BL266" s="642"/>
      <c r="BM266" s="642"/>
      <c r="BN266" s="642"/>
      <c r="BO266" s="642"/>
      <c r="BP266" s="642"/>
      <c r="BQ266" s="642"/>
      <c r="BR266" s="642"/>
      <c r="BS266" s="642"/>
      <c r="BT266" s="642"/>
      <c r="BU266" s="642"/>
      <c r="BV266" s="642"/>
      <c r="BW266" s="24"/>
      <c r="BX266" s="24"/>
      <c r="BY266" s="24"/>
      <c r="BZ266" s="643"/>
      <c r="CA266" s="643"/>
      <c r="CB266" s="643"/>
      <c r="CC266" s="643"/>
      <c r="CD266" s="643"/>
      <c r="CE266" s="643"/>
      <c r="CF266" s="643"/>
      <c r="CG266" s="643"/>
      <c r="CH266" s="643"/>
      <c r="CI266" s="643"/>
      <c r="CJ266" s="643"/>
      <c r="CK266" s="643"/>
      <c r="CL266" s="643"/>
      <c r="CM266" s="643"/>
      <c r="CN266" s="643"/>
      <c r="CO266" s="643"/>
      <c r="CP266" s="643"/>
      <c r="CQ266" s="643"/>
      <c r="CR266" s="643"/>
      <c r="CS266" s="636" t="s">
        <v>2149</v>
      </c>
      <c r="CT266" s="643"/>
      <c r="CU266" s="643"/>
      <c r="CV266" s="643"/>
      <c r="CW266" s="643"/>
      <c r="CX266" s="643"/>
      <c r="CY266" s="643"/>
      <c r="CZ266" s="643"/>
      <c r="DA266" s="643"/>
      <c r="DB266" s="643"/>
      <c r="DC266" s="643"/>
      <c r="DD266" s="643"/>
      <c r="DE266" s="643"/>
    </row>
    <row r="267" spans="34:109" ht="15" hidden="1" customHeight="1">
      <c r="AH267" s="24"/>
      <c r="AI267" s="24"/>
      <c r="AJ267" s="24"/>
      <c r="AK267" s="24"/>
      <c r="AL267" s="630" t="str">
        <f t="shared" si="8"/>
        <v/>
      </c>
      <c r="AM267" s="630" t="str">
        <f t="shared" si="9"/>
        <v/>
      </c>
      <c r="AO267" s="24"/>
      <c r="AP267" s="628">
        <v>265</v>
      </c>
      <c r="AQ267" s="642"/>
      <c r="AR267" s="642"/>
      <c r="AS267" s="642"/>
      <c r="AT267" s="642"/>
      <c r="AU267" s="642"/>
      <c r="AV267" s="642"/>
      <c r="AW267" s="642"/>
      <c r="AX267" s="642"/>
      <c r="AY267" s="642"/>
      <c r="AZ267" s="642"/>
      <c r="BA267" s="642"/>
      <c r="BB267" s="642"/>
      <c r="BC267" s="642"/>
      <c r="BD267" s="642"/>
      <c r="BE267" s="642"/>
      <c r="BF267" s="642"/>
      <c r="BG267" s="642"/>
      <c r="BH267" s="642"/>
      <c r="BI267" s="642"/>
      <c r="BJ267" s="634">
        <v>20264</v>
      </c>
      <c r="BK267" s="642"/>
      <c r="BL267" s="642"/>
      <c r="BM267" s="642"/>
      <c r="BN267" s="642"/>
      <c r="BO267" s="642"/>
      <c r="BP267" s="642"/>
      <c r="BQ267" s="642"/>
      <c r="BR267" s="642"/>
      <c r="BS267" s="642"/>
      <c r="BT267" s="642"/>
      <c r="BU267" s="642"/>
      <c r="BV267" s="642"/>
      <c r="BW267" s="24"/>
      <c r="BX267" s="24"/>
      <c r="BY267" s="24"/>
      <c r="BZ267" s="643"/>
      <c r="CA267" s="643"/>
      <c r="CB267" s="643"/>
      <c r="CC267" s="643"/>
      <c r="CD267" s="643"/>
      <c r="CE267" s="643"/>
      <c r="CF267" s="643"/>
      <c r="CG267" s="643"/>
      <c r="CH267" s="643"/>
      <c r="CI267" s="643"/>
      <c r="CJ267" s="643"/>
      <c r="CK267" s="643"/>
      <c r="CL267" s="643"/>
      <c r="CM267" s="643"/>
      <c r="CN267" s="643"/>
      <c r="CO267" s="643"/>
      <c r="CP267" s="643"/>
      <c r="CQ267" s="643"/>
      <c r="CR267" s="643"/>
      <c r="CS267" s="636" t="s">
        <v>2150</v>
      </c>
      <c r="CT267" s="643"/>
      <c r="CU267" s="643"/>
      <c r="CV267" s="643"/>
      <c r="CW267" s="643"/>
      <c r="CX267" s="643"/>
      <c r="CY267" s="643"/>
      <c r="CZ267" s="643"/>
      <c r="DA267" s="643"/>
      <c r="DB267" s="643"/>
      <c r="DC267" s="643"/>
      <c r="DD267" s="643"/>
      <c r="DE267" s="643"/>
    </row>
    <row r="268" spans="34:109" ht="15" hidden="1" customHeight="1">
      <c r="AH268" s="24"/>
      <c r="AI268" s="24"/>
      <c r="AJ268" s="24"/>
      <c r="AK268" s="24"/>
      <c r="AL268" s="630" t="str">
        <f t="shared" si="8"/>
        <v/>
      </c>
      <c r="AM268" s="630" t="str">
        <f t="shared" si="9"/>
        <v/>
      </c>
      <c r="AO268" s="24"/>
      <c r="AP268" s="628">
        <v>266</v>
      </c>
      <c r="AQ268" s="642"/>
      <c r="AR268" s="642"/>
      <c r="AS268" s="642"/>
      <c r="AT268" s="642"/>
      <c r="AU268" s="642"/>
      <c r="AV268" s="642"/>
      <c r="AW268" s="642"/>
      <c r="AX268" s="642"/>
      <c r="AY268" s="642"/>
      <c r="AZ268" s="642"/>
      <c r="BA268" s="642"/>
      <c r="BB268" s="642"/>
      <c r="BC268" s="642"/>
      <c r="BD268" s="642"/>
      <c r="BE268" s="642"/>
      <c r="BF268" s="642"/>
      <c r="BG268" s="642"/>
      <c r="BH268" s="642"/>
      <c r="BI268" s="642"/>
      <c r="BJ268" s="634">
        <v>20265</v>
      </c>
      <c r="BK268" s="642"/>
      <c r="BL268" s="642"/>
      <c r="BM268" s="642"/>
      <c r="BN268" s="642"/>
      <c r="BO268" s="642"/>
      <c r="BP268" s="642"/>
      <c r="BQ268" s="642"/>
      <c r="BR268" s="642"/>
      <c r="BS268" s="642"/>
      <c r="BT268" s="642"/>
      <c r="BU268" s="642"/>
      <c r="BV268" s="642"/>
      <c r="BW268" s="24"/>
      <c r="BX268" s="24"/>
      <c r="BY268" s="24"/>
      <c r="BZ268" s="643"/>
      <c r="CA268" s="643"/>
      <c r="CB268" s="643"/>
      <c r="CC268" s="643"/>
      <c r="CD268" s="643"/>
      <c r="CE268" s="643"/>
      <c r="CF268" s="643"/>
      <c r="CG268" s="643"/>
      <c r="CH268" s="643"/>
      <c r="CI268" s="643"/>
      <c r="CJ268" s="643"/>
      <c r="CK268" s="643"/>
      <c r="CL268" s="643"/>
      <c r="CM268" s="643"/>
      <c r="CN268" s="643"/>
      <c r="CO268" s="643"/>
      <c r="CP268" s="643"/>
      <c r="CQ268" s="643"/>
      <c r="CR268" s="643"/>
      <c r="CS268" s="636" t="s">
        <v>2151</v>
      </c>
      <c r="CT268" s="643"/>
      <c r="CU268" s="643"/>
      <c r="CV268" s="643"/>
      <c r="CW268" s="643"/>
      <c r="CX268" s="643"/>
      <c r="CY268" s="643"/>
      <c r="CZ268" s="643"/>
      <c r="DA268" s="643"/>
      <c r="DB268" s="643"/>
      <c r="DC268" s="643"/>
      <c r="DD268" s="643"/>
      <c r="DE268" s="643"/>
    </row>
    <row r="269" spans="34:109" ht="15" hidden="1" customHeight="1">
      <c r="AH269" s="24"/>
      <c r="AI269" s="24"/>
      <c r="AJ269" s="24"/>
      <c r="AK269" s="24"/>
      <c r="AL269" s="630" t="str">
        <f t="shared" si="8"/>
        <v/>
      </c>
      <c r="AM269" s="630" t="str">
        <f t="shared" si="9"/>
        <v/>
      </c>
      <c r="AO269" s="24"/>
      <c r="AP269" s="628">
        <v>267</v>
      </c>
      <c r="AQ269" s="642"/>
      <c r="AR269" s="642"/>
      <c r="AS269" s="642"/>
      <c r="AT269" s="642"/>
      <c r="AU269" s="642"/>
      <c r="AV269" s="642"/>
      <c r="AW269" s="642"/>
      <c r="AX269" s="642"/>
      <c r="AY269" s="642"/>
      <c r="AZ269" s="642"/>
      <c r="BA269" s="642"/>
      <c r="BB269" s="642"/>
      <c r="BC269" s="642"/>
      <c r="BD269" s="642"/>
      <c r="BE269" s="642"/>
      <c r="BF269" s="642"/>
      <c r="BG269" s="642"/>
      <c r="BH269" s="642"/>
      <c r="BI269" s="642"/>
      <c r="BJ269" s="634">
        <v>20266</v>
      </c>
      <c r="BK269" s="642"/>
      <c r="BL269" s="642"/>
      <c r="BM269" s="642"/>
      <c r="BN269" s="642"/>
      <c r="BO269" s="642"/>
      <c r="BP269" s="642"/>
      <c r="BQ269" s="642"/>
      <c r="BR269" s="642"/>
      <c r="BS269" s="642"/>
      <c r="BT269" s="642"/>
      <c r="BU269" s="642"/>
      <c r="BV269" s="642"/>
      <c r="BW269" s="24"/>
      <c r="BX269" s="24"/>
      <c r="BY269" s="24"/>
      <c r="BZ269" s="643"/>
      <c r="CA269" s="643"/>
      <c r="CB269" s="643"/>
      <c r="CC269" s="643"/>
      <c r="CD269" s="643"/>
      <c r="CE269" s="643"/>
      <c r="CF269" s="643"/>
      <c r="CG269" s="643"/>
      <c r="CH269" s="643"/>
      <c r="CI269" s="643"/>
      <c r="CJ269" s="643"/>
      <c r="CK269" s="643"/>
      <c r="CL269" s="643"/>
      <c r="CM269" s="643"/>
      <c r="CN269" s="643"/>
      <c r="CO269" s="643"/>
      <c r="CP269" s="643"/>
      <c r="CQ269" s="643"/>
      <c r="CR269" s="643"/>
      <c r="CS269" s="636" t="s">
        <v>2152</v>
      </c>
      <c r="CT269" s="643"/>
      <c r="CU269" s="643"/>
      <c r="CV269" s="643"/>
      <c r="CW269" s="643"/>
      <c r="CX269" s="643"/>
      <c r="CY269" s="643"/>
      <c r="CZ269" s="643"/>
      <c r="DA269" s="643"/>
      <c r="DB269" s="643"/>
      <c r="DC269" s="643"/>
      <c r="DD269" s="643"/>
      <c r="DE269" s="643"/>
    </row>
    <row r="270" spans="34:109" ht="15" hidden="1" customHeight="1">
      <c r="AH270" s="24"/>
      <c r="AI270" s="24"/>
      <c r="AJ270" s="24"/>
      <c r="AK270" s="24"/>
      <c r="AL270" s="630" t="str">
        <f t="shared" si="8"/>
        <v/>
      </c>
      <c r="AM270" s="630" t="str">
        <f t="shared" si="9"/>
        <v/>
      </c>
      <c r="AO270" s="24"/>
      <c r="AP270" s="628">
        <v>268</v>
      </c>
      <c r="AQ270" s="642"/>
      <c r="AR270" s="642"/>
      <c r="AS270" s="642"/>
      <c r="AT270" s="642"/>
      <c r="AU270" s="642"/>
      <c r="AV270" s="642"/>
      <c r="AW270" s="642"/>
      <c r="AX270" s="642"/>
      <c r="AY270" s="642"/>
      <c r="AZ270" s="642"/>
      <c r="BA270" s="642"/>
      <c r="BB270" s="642"/>
      <c r="BC270" s="642"/>
      <c r="BD270" s="642"/>
      <c r="BE270" s="642"/>
      <c r="BF270" s="642"/>
      <c r="BG270" s="642"/>
      <c r="BH270" s="642"/>
      <c r="BI270" s="642"/>
      <c r="BJ270" s="634">
        <v>20267</v>
      </c>
      <c r="BK270" s="642"/>
      <c r="BL270" s="642"/>
      <c r="BM270" s="642"/>
      <c r="BN270" s="642"/>
      <c r="BO270" s="642"/>
      <c r="BP270" s="642"/>
      <c r="BQ270" s="642"/>
      <c r="BR270" s="642"/>
      <c r="BS270" s="642"/>
      <c r="BT270" s="642"/>
      <c r="BU270" s="642"/>
      <c r="BV270" s="642"/>
      <c r="BW270" s="24"/>
      <c r="BX270" s="24"/>
      <c r="BY270" s="24"/>
      <c r="BZ270" s="643"/>
      <c r="CA270" s="643"/>
      <c r="CB270" s="643"/>
      <c r="CC270" s="643"/>
      <c r="CD270" s="643"/>
      <c r="CE270" s="643"/>
      <c r="CF270" s="643"/>
      <c r="CG270" s="643"/>
      <c r="CH270" s="643"/>
      <c r="CI270" s="643"/>
      <c r="CJ270" s="643"/>
      <c r="CK270" s="643"/>
      <c r="CL270" s="643"/>
      <c r="CM270" s="643"/>
      <c r="CN270" s="643"/>
      <c r="CO270" s="643"/>
      <c r="CP270" s="643"/>
      <c r="CQ270" s="643"/>
      <c r="CR270" s="643"/>
      <c r="CS270" s="636" t="s">
        <v>2153</v>
      </c>
      <c r="CT270" s="643"/>
      <c r="CU270" s="643"/>
      <c r="CV270" s="643"/>
      <c r="CW270" s="643"/>
      <c r="CX270" s="643"/>
      <c r="CY270" s="643"/>
      <c r="CZ270" s="643"/>
      <c r="DA270" s="643"/>
      <c r="DB270" s="643"/>
      <c r="DC270" s="643"/>
      <c r="DD270" s="643"/>
      <c r="DE270" s="643"/>
    </row>
    <row r="271" spans="34:109" ht="15" hidden="1" customHeight="1">
      <c r="AH271" s="24"/>
      <c r="AI271" s="24"/>
      <c r="AJ271" s="24"/>
      <c r="AK271" s="24"/>
      <c r="AL271" s="630" t="str">
        <f t="shared" si="8"/>
        <v/>
      </c>
      <c r="AM271" s="630" t="str">
        <f t="shared" si="9"/>
        <v/>
      </c>
      <c r="AO271" s="24"/>
      <c r="AP271" s="628">
        <v>269</v>
      </c>
      <c r="AQ271" s="642"/>
      <c r="AR271" s="642"/>
      <c r="AS271" s="642"/>
      <c r="AT271" s="642"/>
      <c r="AU271" s="642"/>
      <c r="AV271" s="642"/>
      <c r="AW271" s="642"/>
      <c r="AX271" s="642"/>
      <c r="AY271" s="642"/>
      <c r="AZ271" s="642"/>
      <c r="BA271" s="642"/>
      <c r="BB271" s="642"/>
      <c r="BC271" s="642"/>
      <c r="BD271" s="642"/>
      <c r="BE271" s="642"/>
      <c r="BF271" s="642"/>
      <c r="BG271" s="642"/>
      <c r="BH271" s="642"/>
      <c r="BI271" s="642"/>
      <c r="BJ271" s="634">
        <v>20268</v>
      </c>
      <c r="BK271" s="642"/>
      <c r="BL271" s="642"/>
      <c r="BM271" s="642"/>
      <c r="BN271" s="642"/>
      <c r="BO271" s="642"/>
      <c r="BP271" s="642"/>
      <c r="BQ271" s="642"/>
      <c r="BR271" s="642"/>
      <c r="BS271" s="642"/>
      <c r="BT271" s="642"/>
      <c r="BU271" s="642"/>
      <c r="BV271" s="642"/>
      <c r="BW271" s="24"/>
      <c r="BX271" s="24"/>
      <c r="BY271" s="24"/>
      <c r="BZ271" s="643"/>
      <c r="CA271" s="643"/>
      <c r="CB271" s="643"/>
      <c r="CC271" s="643"/>
      <c r="CD271" s="643"/>
      <c r="CE271" s="643"/>
      <c r="CF271" s="643"/>
      <c r="CG271" s="643"/>
      <c r="CH271" s="643"/>
      <c r="CI271" s="643"/>
      <c r="CJ271" s="643"/>
      <c r="CK271" s="643"/>
      <c r="CL271" s="643"/>
      <c r="CM271" s="643"/>
      <c r="CN271" s="643"/>
      <c r="CO271" s="643"/>
      <c r="CP271" s="643"/>
      <c r="CQ271" s="643"/>
      <c r="CR271" s="643"/>
      <c r="CS271" s="636" t="s">
        <v>2154</v>
      </c>
      <c r="CT271" s="643"/>
      <c r="CU271" s="643"/>
      <c r="CV271" s="643"/>
      <c r="CW271" s="643"/>
      <c r="CX271" s="643"/>
      <c r="CY271" s="643"/>
      <c r="CZ271" s="643"/>
      <c r="DA271" s="643"/>
      <c r="DB271" s="643"/>
      <c r="DC271" s="643"/>
      <c r="DD271" s="643"/>
      <c r="DE271" s="643"/>
    </row>
    <row r="272" spans="34:109" ht="15" hidden="1" customHeight="1">
      <c r="AH272" s="24"/>
      <c r="AI272" s="24"/>
      <c r="AJ272" s="24"/>
      <c r="AK272" s="24"/>
      <c r="AL272" s="630" t="str">
        <f t="shared" si="8"/>
        <v/>
      </c>
      <c r="AM272" s="630" t="str">
        <f t="shared" si="9"/>
        <v/>
      </c>
      <c r="AO272" s="24"/>
      <c r="AP272" s="628">
        <v>270</v>
      </c>
      <c r="AQ272" s="642"/>
      <c r="AR272" s="642"/>
      <c r="AS272" s="642"/>
      <c r="AT272" s="642"/>
      <c r="AU272" s="642"/>
      <c r="AV272" s="642"/>
      <c r="AW272" s="642"/>
      <c r="AX272" s="642"/>
      <c r="AY272" s="642"/>
      <c r="AZ272" s="642"/>
      <c r="BA272" s="642"/>
      <c r="BB272" s="642"/>
      <c r="BC272" s="642"/>
      <c r="BD272" s="642"/>
      <c r="BE272" s="642"/>
      <c r="BF272" s="642"/>
      <c r="BG272" s="642"/>
      <c r="BH272" s="642"/>
      <c r="BI272" s="642"/>
      <c r="BJ272" s="634">
        <v>20269</v>
      </c>
      <c r="BK272" s="642"/>
      <c r="BL272" s="642"/>
      <c r="BM272" s="642"/>
      <c r="BN272" s="642"/>
      <c r="BO272" s="642"/>
      <c r="BP272" s="642"/>
      <c r="BQ272" s="642"/>
      <c r="BR272" s="642"/>
      <c r="BS272" s="642"/>
      <c r="BT272" s="642"/>
      <c r="BU272" s="642"/>
      <c r="BV272" s="642"/>
      <c r="BW272" s="24"/>
      <c r="BX272" s="24"/>
      <c r="BY272" s="24"/>
      <c r="BZ272" s="643"/>
      <c r="CA272" s="643"/>
      <c r="CB272" s="643"/>
      <c r="CC272" s="643"/>
      <c r="CD272" s="643"/>
      <c r="CE272" s="643"/>
      <c r="CF272" s="643"/>
      <c r="CG272" s="643"/>
      <c r="CH272" s="643"/>
      <c r="CI272" s="643"/>
      <c r="CJ272" s="643"/>
      <c r="CK272" s="643"/>
      <c r="CL272" s="643"/>
      <c r="CM272" s="643"/>
      <c r="CN272" s="643"/>
      <c r="CO272" s="643"/>
      <c r="CP272" s="643"/>
      <c r="CQ272" s="643"/>
      <c r="CR272" s="643"/>
      <c r="CS272" s="636" t="s">
        <v>2155</v>
      </c>
      <c r="CT272" s="643"/>
      <c r="CU272" s="643"/>
      <c r="CV272" s="643"/>
      <c r="CW272" s="643"/>
      <c r="CX272" s="643"/>
      <c r="CY272" s="643"/>
      <c r="CZ272" s="643"/>
      <c r="DA272" s="643"/>
      <c r="DB272" s="643"/>
      <c r="DC272" s="643"/>
      <c r="DD272" s="643"/>
      <c r="DE272" s="643"/>
    </row>
    <row r="273" spans="34:109" ht="15" hidden="1" customHeight="1">
      <c r="AH273" s="24"/>
      <c r="AI273" s="24"/>
      <c r="AJ273" s="24"/>
      <c r="AK273" s="24"/>
      <c r="AL273" s="630" t="str">
        <f t="shared" si="8"/>
        <v/>
      </c>
      <c r="AM273" s="630" t="str">
        <f t="shared" si="9"/>
        <v/>
      </c>
      <c r="AO273" s="24"/>
      <c r="AP273" s="628">
        <v>271</v>
      </c>
      <c r="AQ273" s="642"/>
      <c r="AR273" s="642"/>
      <c r="AS273" s="642"/>
      <c r="AT273" s="642"/>
      <c r="AU273" s="642"/>
      <c r="AV273" s="642"/>
      <c r="AW273" s="642"/>
      <c r="AX273" s="642"/>
      <c r="AY273" s="642"/>
      <c r="AZ273" s="642"/>
      <c r="BA273" s="642"/>
      <c r="BB273" s="642"/>
      <c r="BC273" s="642"/>
      <c r="BD273" s="642"/>
      <c r="BE273" s="642"/>
      <c r="BF273" s="642"/>
      <c r="BG273" s="642"/>
      <c r="BH273" s="642"/>
      <c r="BI273" s="642"/>
      <c r="BJ273" s="634">
        <v>20270</v>
      </c>
      <c r="BK273" s="642"/>
      <c r="BL273" s="642"/>
      <c r="BM273" s="642"/>
      <c r="BN273" s="642"/>
      <c r="BO273" s="642"/>
      <c r="BP273" s="642"/>
      <c r="BQ273" s="642"/>
      <c r="BR273" s="642"/>
      <c r="BS273" s="642"/>
      <c r="BT273" s="642"/>
      <c r="BU273" s="642"/>
      <c r="BV273" s="642"/>
      <c r="BW273" s="24"/>
      <c r="BX273" s="24"/>
      <c r="BY273" s="24"/>
      <c r="BZ273" s="643"/>
      <c r="CA273" s="643"/>
      <c r="CB273" s="643"/>
      <c r="CC273" s="643"/>
      <c r="CD273" s="643"/>
      <c r="CE273" s="643"/>
      <c r="CF273" s="643"/>
      <c r="CG273" s="643"/>
      <c r="CH273" s="643"/>
      <c r="CI273" s="643"/>
      <c r="CJ273" s="643"/>
      <c r="CK273" s="643"/>
      <c r="CL273" s="643"/>
      <c r="CM273" s="643"/>
      <c r="CN273" s="643"/>
      <c r="CO273" s="643"/>
      <c r="CP273" s="643"/>
      <c r="CQ273" s="643"/>
      <c r="CR273" s="643"/>
      <c r="CS273" s="636" t="s">
        <v>2156</v>
      </c>
      <c r="CT273" s="643"/>
      <c r="CU273" s="643"/>
      <c r="CV273" s="643"/>
      <c r="CW273" s="643"/>
      <c r="CX273" s="643"/>
      <c r="CY273" s="643"/>
      <c r="CZ273" s="643"/>
      <c r="DA273" s="643"/>
      <c r="DB273" s="643"/>
      <c r="DC273" s="643"/>
      <c r="DD273" s="643"/>
      <c r="DE273" s="643"/>
    </row>
    <row r="274" spans="34:109" ht="15" hidden="1" customHeight="1">
      <c r="AH274" s="24"/>
      <c r="AI274" s="24"/>
      <c r="AJ274" s="24"/>
      <c r="AK274" s="24"/>
      <c r="AL274" s="630" t="str">
        <f t="shared" si="8"/>
        <v/>
      </c>
      <c r="AM274" s="630" t="str">
        <f t="shared" si="9"/>
        <v/>
      </c>
      <c r="AO274" s="24"/>
      <c r="AP274" s="628">
        <v>272</v>
      </c>
      <c r="AQ274" s="642"/>
      <c r="AR274" s="642"/>
      <c r="AS274" s="642"/>
      <c r="AT274" s="642"/>
      <c r="AU274" s="642"/>
      <c r="AV274" s="642"/>
      <c r="AW274" s="642"/>
      <c r="AX274" s="642"/>
      <c r="AY274" s="642"/>
      <c r="AZ274" s="642"/>
      <c r="BA274" s="642"/>
      <c r="BB274" s="642"/>
      <c r="BC274" s="642"/>
      <c r="BD274" s="642"/>
      <c r="BE274" s="642"/>
      <c r="BF274" s="642"/>
      <c r="BG274" s="642"/>
      <c r="BH274" s="642"/>
      <c r="BI274" s="642"/>
      <c r="BJ274" s="634">
        <v>20271</v>
      </c>
      <c r="BK274" s="642"/>
      <c r="BL274" s="642"/>
      <c r="BM274" s="642"/>
      <c r="BN274" s="642"/>
      <c r="BO274" s="642"/>
      <c r="BP274" s="642"/>
      <c r="BQ274" s="642"/>
      <c r="BR274" s="642"/>
      <c r="BS274" s="642"/>
      <c r="BT274" s="642"/>
      <c r="BU274" s="642"/>
      <c r="BV274" s="642"/>
      <c r="BW274" s="24"/>
      <c r="BX274" s="24"/>
      <c r="BY274" s="24"/>
      <c r="BZ274" s="643"/>
      <c r="CA274" s="643"/>
      <c r="CB274" s="643"/>
      <c r="CC274" s="643"/>
      <c r="CD274" s="643"/>
      <c r="CE274" s="643"/>
      <c r="CF274" s="643"/>
      <c r="CG274" s="643"/>
      <c r="CH274" s="643"/>
      <c r="CI274" s="643"/>
      <c r="CJ274" s="643"/>
      <c r="CK274" s="643"/>
      <c r="CL274" s="643"/>
      <c r="CM274" s="643"/>
      <c r="CN274" s="643"/>
      <c r="CO274" s="643"/>
      <c r="CP274" s="643"/>
      <c r="CQ274" s="643"/>
      <c r="CR274" s="643"/>
      <c r="CS274" s="636" t="s">
        <v>2157</v>
      </c>
      <c r="CT274" s="643"/>
      <c r="CU274" s="643"/>
      <c r="CV274" s="643"/>
      <c r="CW274" s="643"/>
      <c r="CX274" s="643"/>
      <c r="CY274" s="643"/>
      <c r="CZ274" s="643"/>
      <c r="DA274" s="643"/>
      <c r="DB274" s="643"/>
      <c r="DC274" s="643"/>
      <c r="DD274" s="643"/>
      <c r="DE274" s="643"/>
    </row>
    <row r="275" spans="34:109" ht="15" hidden="1" customHeight="1">
      <c r="AH275" s="24"/>
      <c r="AI275" s="24"/>
      <c r="AJ275" s="24"/>
      <c r="AK275" s="24"/>
      <c r="AL275" s="630" t="str">
        <f t="shared" si="8"/>
        <v/>
      </c>
      <c r="AM275" s="630" t="str">
        <f t="shared" si="9"/>
        <v/>
      </c>
      <c r="AO275" s="24"/>
      <c r="AP275" s="628">
        <v>273</v>
      </c>
      <c r="AQ275" s="642"/>
      <c r="AR275" s="642"/>
      <c r="AS275" s="642"/>
      <c r="AT275" s="642"/>
      <c r="AU275" s="642"/>
      <c r="AV275" s="642"/>
      <c r="AW275" s="642"/>
      <c r="AX275" s="642"/>
      <c r="AY275" s="642"/>
      <c r="AZ275" s="642"/>
      <c r="BA275" s="642"/>
      <c r="BB275" s="642"/>
      <c r="BC275" s="642"/>
      <c r="BD275" s="642"/>
      <c r="BE275" s="642"/>
      <c r="BF275" s="642"/>
      <c r="BG275" s="642"/>
      <c r="BH275" s="642"/>
      <c r="BI275" s="642"/>
      <c r="BJ275" s="634">
        <v>20272</v>
      </c>
      <c r="BK275" s="642"/>
      <c r="BL275" s="642"/>
      <c r="BM275" s="642"/>
      <c r="BN275" s="642"/>
      <c r="BO275" s="642"/>
      <c r="BP275" s="642"/>
      <c r="BQ275" s="642"/>
      <c r="BR275" s="642"/>
      <c r="BS275" s="642"/>
      <c r="BT275" s="642"/>
      <c r="BU275" s="642"/>
      <c r="BV275" s="642"/>
      <c r="BW275" s="24"/>
      <c r="BX275" s="24"/>
      <c r="BY275" s="24"/>
      <c r="BZ275" s="643"/>
      <c r="CA275" s="643"/>
      <c r="CB275" s="643"/>
      <c r="CC275" s="643"/>
      <c r="CD275" s="643"/>
      <c r="CE275" s="643"/>
      <c r="CF275" s="643"/>
      <c r="CG275" s="643"/>
      <c r="CH275" s="643"/>
      <c r="CI275" s="643"/>
      <c r="CJ275" s="643"/>
      <c r="CK275" s="643"/>
      <c r="CL275" s="643"/>
      <c r="CM275" s="643"/>
      <c r="CN275" s="643"/>
      <c r="CO275" s="643"/>
      <c r="CP275" s="643"/>
      <c r="CQ275" s="643"/>
      <c r="CR275" s="643"/>
      <c r="CS275" s="636" t="s">
        <v>2158</v>
      </c>
      <c r="CT275" s="643"/>
      <c r="CU275" s="643"/>
      <c r="CV275" s="643"/>
      <c r="CW275" s="643"/>
      <c r="CX275" s="643"/>
      <c r="CY275" s="643"/>
      <c r="CZ275" s="643"/>
      <c r="DA275" s="643"/>
      <c r="DB275" s="643"/>
      <c r="DC275" s="643"/>
      <c r="DD275" s="643"/>
      <c r="DE275" s="643"/>
    </row>
    <row r="276" spans="34:109" ht="15" hidden="1" customHeight="1">
      <c r="AH276" s="24"/>
      <c r="AI276" s="24"/>
      <c r="AJ276" s="24"/>
      <c r="AK276" s="24"/>
      <c r="AL276" s="630" t="str">
        <f t="shared" si="8"/>
        <v/>
      </c>
      <c r="AM276" s="630" t="str">
        <f t="shared" si="9"/>
        <v/>
      </c>
      <c r="AO276" s="24"/>
      <c r="AP276" s="628">
        <v>274</v>
      </c>
      <c r="AQ276" s="642"/>
      <c r="AR276" s="642"/>
      <c r="AS276" s="642"/>
      <c r="AT276" s="642"/>
      <c r="AU276" s="642"/>
      <c r="AV276" s="642"/>
      <c r="AW276" s="642"/>
      <c r="AX276" s="642"/>
      <c r="AY276" s="642"/>
      <c r="AZ276" s="642"/>
      <c r="BA276" s="642"/>
      <c r="BB276" s="642"/>
      <c r="BC276" s="642"/>
      <c r="BD276" s="642"/>
      <c r="BE276" s="642"/>
      <c r="BF276" s="642"/>
      <c r="BG276" s="642"/>
      <c r="BH276" s="642"/>
      <c r="BI276" s="642"/>
      <c r="BJ276" s="634">
        <v>20273</v>
      </c>
      <c r="BK276" s="642"/>
      <c r="BL276" s="642"/>
      <c r="BM276" s="642"/>
      <c r="BN276" s="642"/>
      <c r="BO276" s="642"/>
      <c r="BP276" s="642"/>
      <c r="BQ276" s="642"/>
      <c r="BR276" s="642"/>
      <c r="BS276" s="642"/>
      <c r="BT276" s="642"/>
      <c r="BU276" s="642"/>
      <c r="BV276" s="642"/>
      <c r="BW276" s="24"/>
      <c r="BX276" s="24"/>
      <c r="BY276" s="24"/>
      <c r="BZ276" s="643"/>
      <c r="CA276" s="643"/>
      <c r="CB276" s="643"/>
      <c r="CC276" s="643"/>
      <c r="CD276" s="643"/>
      <c r="CE276" s="643"/>
      <c r="CF276" s="643"/>
      <c r="CG276" s="643"/>
      <c r="CH276" s="643"/>
      <c r="CI276" s="643"/>
      <c r="CJ276" s="643"/>
      <c r="CK276" s="643"/>
      <c r="CL276" s="643"/>
      <c r="CM276" s="643"/>
      <c r="CN276" s="643"/>
      <c r="CO276" s="643"/>
      <c r="CP276" s="643"/>
      <c r="CQ276" s="643"/>
      <c r="CR276" s="643"/>
      <c r="CS276" s="636" t="s">
        <v>2159</v>
      </c>
      <c r="CT276" s="643"/>
      <c r="CU276" s="643"/>
      <c r="CV276" s="643"/>
      <c r="CW276" s="643"/>
      <c r="CX276" s="643"/>
      <c r="CY276" s="643"/>
      <c r="CZ276" s="643"/>
      <c r="DA276" s="643"/>
      <c r="DB276" s="643"/>
      <c r="DC276" s="643"/>
      <c r="DD276" s="643"/>
      <c r="DE276" s="643"/>
    </row>
    <row r="277" spans="34:109" ht="15" hidden="1" customHeight="1">
      <c r="AH277" s="24"/>
      <c r="AI277" s="24"/>
      <c r="AJ277" s="24"/>
      <c r="AK277" s="24"/>
      <c r="AL277" s="630" t="str">
        <f t="shared" si="8"/>
        <v/>
      </c>
      <c r="AM277" s="630" t="str">
        <f t="shared" si="9"/>
        <v/>
      </c>
      <c r="AO277" s="24"/>
      <c r="AP277" s="628">
        <v>275</v>
      </c>
      <c r="AQ277" s="642"/>
      <c r="AR277" s="642"/>
      <c r="AS277" s="642"/>
      <c r="AT277" s="642"/>
      <c r="AU277" s="642"/>
      <c r="AV277" s="642"/>
      <c r="AW277" s="642"/>
      <c r="AX277" s="642"/>
      <c r="AY277" s="642"/>
      <c r="AZ277" s="642"/>
      <c r="BA277" s="642"/>
      <c r="BB277" s="642"/>
      <c r="BC277" s="642"/>
      <c r="BD277" s="642"/>
      <c r="BE277" s="642"/>
      <c r="BF277" s="642"/>
      <c r="BG277" s="642"/>
      <c r="BH277" s="642"/>
      <c r="BI277" s="642"/>
      <c r="BJ277" s="634">
        <v>20274</v>
      </c>
      <c r="BK277" s="642"/>
      <c r="BL277" s="642"/>
      <c r="BM277" s="642"/>
      <c r="BN277" s="642"/>
      <c r="BO277" s="642"/>
      <c r="BP277" s="642"/>
      <c r="BQ277" s="642"/>
      <c r="BR277" s="642"/>
      <c r="BS277" s="642"/>
      <c r="BT277" s="642"/>
      <c r="BU277" s="642"/>
      <c r="BV277" s="642"/>
      <c r="BW277" s="24"/>
      <c r="BX277" s="24"/>
      <c r="BY277" s="24"/>
      <c r="BZ277" s="643"/>
      <c r="CA277" s="643"/>
      <c r="CB277" s="643"/>
      <c r="CC277" s="643"/>
      <c r="CD277" s="643"/>
      <c r="CE277" s="643"/>
      <c r="CF277" s="643"/>
      <c r="CG277" s="643"/>
      <c r="CH277" s="643"/>
      <c r="CI277" s="643"/>
      <c r="CJ277" s="643"/>
      <c r="CK277" s="643"/>
      <c r="CL277" s="643"/>
      <c r="CM277" s="643"/>
      <c r="CN277" s="643"/>
      <c r="CO277" s="643"/>
      <c r="CP277" s="643"/>
      <c r="CQ277" s="643"/>
      <c r="CR277" s="643"/>
      <c r="CS277" s="636" t="s">
        <v>2160</v>
      </c>
      <c r="CT277" s="643"/>
      <c r="CU277" s="643"/>
      <c r="CV277" s="643"/>
      <c r="CW277" s="643"/>
      <c r="CX277" s="643"/>
      <c r="CY277" s="643"/>
      <c r="CZ277" s="643"/>
      <c r="DA277" s="643"/>
      <c r="DB277" s="643"/>
      <c r="DC277" s="643"/>
      <c r="DD277" s="643"/>
      <c r="DE277" s="643"/>
    </row>
    <row r="278" spans="34:109" ht="15" hidden="1" customHeight="1">
      <c r="AH278" s="24"/>
      <c r="AI278" s="24"/>
      <c r="AJ278" s="24"/>
      <c r="AK278" s="24"/>
      <c r="AL278" s="630" t="str">
        <f t="shared" si="8"/>
        <v/>
      </c>
      <c r="AM278" s="630" t="str">
        <f t="shared" si="9"/>
        <v/>
      </c>
      <c r="AO278" s="24"/>
      <c r="AP278" s="628">
        <v>276</v>
      </c>
      <c r="AQ278" s="642"/>
      <c r="AR278" s="642"/>
      <c r="AS278" s="642"/>
      <c r="AT278" s="642"/>
      <c r="AU278" s="642"/>
      <c r="AV278" s="642"/>
      <c r="AW278" s="642"/>
      <c r="AX278" s="642"/>
      <c r="AY278" s="642"/>
      <c r="AZ278" s="642"/>
      <c r="BA278" s="642"/>
      <c r="BB278" s="642"/>
      <c r="BC278" s="642"/>
      <c r="BD278" s="642"/>
      <c r="BE278" s="642"/>
      <c r="BF278" s="642"/>
      <c r="BG278" s="642"/>
      <c r="BH278" s="642"/>
      <c r="BI278" s="642"/>
      <c r="BJ278" s="634">
        <v>20275</v>
      </c>
      <c r="BK278" s="642"/>
      <c r="BL278" s="642"/>
      <c r="BM278" s="642"/>
      <c r="BN278" s="642"/>
      <c r="BO278" s="642"/>
      <c r="BP278" s="642"/>
      <c r="BQ278" s="642"/>
      <c r="BR278" s="642"/>
      <c r="BS278" s="642"/>
      <c r="BT278" s="642"/>
      <c r="BU278" s="642"/>
      <c r="BV278" s="642"/>
      <c r="BW278" s="24"/>
      <c r="BX278" s="24"/>
      <c r="BY278" s="24"/>
      <c r="BZ278" s="643"/>
      <c r="CA278" s="643"/>
      <c r="CB278" s="643"/>
      <c r="CC278" s="643"/>
      <c r="CD278" s="643"/>
      <c r="CE278" s="643"/>
      <c r="CF278" s="643"/>
      <c r="CG278" s="643"/>
      <c r="CH278" s="643"/>
      <c r="CI278" s="643"/>
      <c r="CJ278" s="643"/>
      <c r="CK278" s="643"/>
      <c r="CL278" s="643"/>
      <c r="CM278" s="643"/>
      <c r="CN278" s="643"/>
      <c r="CO278" s="643"/>
      <c r="CP278" s="643"/>
      <c r="CQ278" s="643"/>
      <c r="CR278" s="643"/>
      <c r="CS278" s="636" t="s">
        <v>2161</v>
      </c>
      <c r="CT278" s="643"/>
      <c r="CU278" s="643"/>
      <c r="CV278" s="643"/>
      <c r="CW278" s="643"/>
      <c r="CX278" s="643"/>
      <c r="CY278" s="643"/>
      <c r="CZ278" s="643"/>
      <c r="DA278" s="643"/>
      <c r="DB278" s="643"/>
      <c r="DC278" s="643"/>
      <c r="DD278" s="643"/>
      <c r="DE278" s="643"/>
    </row>
    <row r="279" spans="34:109" ht="15" hidden="1" customHeight="1">
      <c r="AH279" s="24"/>
      <c r="AI279" s="24"/>
      <c r="AJ279" s="24"/>
      <c r="AK279" s="24"/>
      <c r="AL279" s="630" t="str">
        <f t="shared" si="8"/>
        <v/>
      </c>
      <c r="AM279" s="630" t="str">
        <f t="shared" si="9"/>
        <v/>
      </c>
      <c r="AO279" s="24"/>
      <c r="AP279" s="628">
        <v>277</v>
      </c>
      <c r="AQ279" s="642"/>
      <c r="AR279" s="642"/>
      <c r="AS279" s="642"/>
      <c r="AT279" s="642"/>
      <c r="AU279" s="642"/>
      <c r="AV279" s="642"/>
      <c r="AW279" s="642"/>
      <c r="AX279" s="642"/>
      <c r="AY279" s="642"/>
      <c r="AZ279" s="642"/>
      <c r="BA279" s="642"/>
      <c r="BB279" s="642"/>
      <c r="BC279" s="642"/>
      <c r="BD279" s="642"/>
      <c r="BE279" s="642"/>
      <c r="BF279" s="642"/>
      <c r="BG279" s="642"/>
      <c r="BH279" s="642"/>
      <c r="BI279" s="642"/>
      <c r="BJ279" s="634">
        <v>20276</v>
      </c>
      <c r="BK279" s="642"/>
      <c r="BL279" s="642"/>
      <c r="BM279" s="642"/>
      <c r="BN279" s="642"/>
      <c r="BO279" s="642"/>
      <c r="BP279" s="642"/>
      <c r="BQ279" s="642"/>
      <c r="BR279" s="642"/>
      <c r="BS279" s="642"/>
      <c r="BT279" s="642"/>
      <c r="BU279" s="642"/>
      <c r="BV279" s="642"/>
      <c r="BW279" s="24"/>
      <c r="BX279" s="24"/>
      <c r="BY279" s="24"/>
      <c r="BZ279" s="643"/>
      <c r="CA279" s="643"/>
      <c r="CB279" s="643"/>
      <c r="CC279" s="643"/>
      <c r="CD279" s="643"/>
      <c r="CE279" s="643"/>
      <c r="CF279" s="643"/>
      <c r="CG279" s="643"/>
      <c r="CH279" s="643"/>
      <c r="CI279" s="643"/>
      <c r="CJ279" s="643"/>
      <c r="CK279" s="643"/>
      <c r="CL279" s="643"/>
      <c r="CM279" s="643"/>
      <c r="CN279" s="643"/>
      <c r="CO279" s="643"/>
      <c r="CP279" s="643"/>
      <c r="CQ279" s="643"/>
      <c r="CR279" s="643"/>
      <c r="CS279" s="636" t="s">
        <v>2162</v>
      </c>
      <c r="CT279" s="643"/>
      <c r="CU279" s="643"/>
      <c r="CV279" s="643"/>
      <c r="CW279" s="643"/>
      <c r="CX279" s="643"/>
      <c r="CY279" s="643"/>
      <c r="CZ279" s="643"/>
      <c r="DA279" s="643"/>
      <c r="DB279" s="643"/>
      <c r="DC279" s="643"/>
      <c r="DD279" s="643"/>
      <c r="DE279" s="643"/>
    </row>
    <row r="280" spans="34:109" ht="15" hidden="1" customHeight="1">
      <c r="AH280" s="24"/>
      <c r="AI280" s="24"/>
      <c r="AJ280" s="24"/>
      <c r="AK280" s="24"/>
      <c r="AL280" s="630" t="str">
        <f t="shared" si="8"/>
        <v/>
      </c>
      <c r="AM280" s="630" t="str">
        <f t="shared" si="9"/>
        <v/>
      </c>
      <c r="AO280" s="24"/>
      <c r="AP280" s="628">
        <v>278</v>
      </c>
      <c r="AQ280" s="642"/>
      <c r="AR280" s="642"/>
      <c r="AS280" s="642"/>
      <c r="AT280" s="642"/>
      <c r="AU280" s="642"/>
      <c r="AV280" s="642"/>
      <c r="AW280" s="642"/>
      <c r="AX280" s="642"/>
      <c r="AY280" s="642"/>
      <c r="AZ280" s="642"/>
      <c r="BA280" s="642"/>
      <c r="BB280" s="642"/>
      <c r="BC280" s="642"/>
      <c r="BD280" s="642"/>
      <c r="BE280" s="642"/>
      <c r="BF280" s="642"/>
      <c r="BG280" s="642"/>
      <c r="BH280" s="642"/>
      <c r="BI280" s="642"/>
      <c r="BJ280" s="634">
        <v>20277</v>
      </c>
      <c r="BK280" s="642"/>
      <c r="BL280" s="642"/>
      <c r="BM280" s="642"/>
      <c r="BN280" s="642"/>
      <c r="BO280" s="642"/>
      <c r="BP280" s="642"/>
      <c r="BQ280" s="642"/>
      <c r="BR280" s="642"/>
      <c r="BS280" s="642"/>
      <c r="BT280" s="642"/>
      <c r="BU280" s="642"/>
      <c r="BV280" s="642"/>
      <c r="BW280" s="24"/>
      <c r="BX280" s="24"/>
      <c r="BY280" s="24"/>
      <c r="BZ280" s="643"/>
      <c r="CA280" s="643"/>
      <c r="CB280" s="643"/>
      <c r="CC280" s="643"/>
      <c r="CD280" s="643"/>
      <c r="CE280" s="643"/>
      <c r="CF280" s="643"/>
      <c r="CG280" s="643"/>
      <c r="CH280" s="643"/>
      <c r="CI280" s="643"/>
      <c r="CJ280" s="643"/>
      <c r="CK280" s="643"/>
      <c r="CL280" s="643"/>
      <c r="CM280" s="643"/>
      <c r="CN280" s="643"/>
      <c r="CO280" s="643"/>
      <c r="CP280" s="643"/>
      <c r="CQ280" s="643"/>
      <c r="CR280" s="643"/>
      <c r="CS280" s="636" t="s">
        <v>2163</v>
      </c>
      <c r="CT280" s="643"/>
      <c r="CU280" s="643"/>
      <c r="CV280" s="643"/>
      <c r="CW280" s="643"/>
      <c r="CX280" s="643"/>
      <c r="CY280" s="643"/>
      <c r="CZ280" s="643"/>
      <c r="DA280" s="643"/>
      <c r="DB280" s="643"/>
      <c r="DC280" s="643"/>
      <c r="DD280" s="643"/>
      <c r="DE280" s="643"/>
    </row>
    <row r="281" spans="34:109" ht="15" hidden="1" customHeight="1">
      <c r="AH281" s="24"/>
      <c r="AI281" s="24"/>
      <c r="AJ281" s="24"/>
      <c r="AK281" s="24"/>
      <c r="AL281" s="630" t="str">
        <f t="shared" si="8"/>
        <v/>
      </c>
      <c r="AM281" s="630" t="str">
        <f t="shared" si="9"/>
        <v/>
      </c>
      <c r="AO281" s="24"/>
      <c r="AP281" s="628">
        <v>279</v>
      </c>
      <c r="AQ281" s="642"/>
      <c r="AR281" s="642"/>
      <c r="AS281" s="642"/>
      <c r="AT281" s="642"/>
      <c r="AU281" s="642"/>
      <c r="AV281" s="642"/>
      <c r="AW281" s="642"/>
      <c r="AX281" s="642"/>
      <c r="AY281" s="642"/>
      <c r="AZ281" s="642"/>
      <c r="BA281" s="642"/>
      <c r="BB281" s="642"/>
      <c r="BC281" s="642"/>
      <c r="BD281" s="642"/>
      <c r="BE281" s="642"/>
      <c r="BF281" s="642"/>
      <c r="BG281" s="642"/>
      <c r="BH281" s="642"/>
      <c r="BI281" s="642"/>
      <c r="BJ281" s="634">
        <v>20278</v>
      </c>
      <c r="BK281" s="642"/>
      <c r="BL281" s="642"/>
      <c r="BM281" s="642"/>
      <c r="BN281" s="642"/>
      <c r="BO281" s="642"/>
      <c r="BP281" s="642"/>
      <c r="BQ281" s="642"/>
      <c r="BR281" s="642"/>
      <c r="BS281" s="642"/>
      <c r="BT281" s="642"/>
      <c r="BU281" s="642"/>
      <c r="BV281" s="642"/>
      <c r="BW281" s="24"/>
      <c r="BX281" s="24"/>
      <c r="BY281" s="24"/>
      <c r="BZ281" s="643"/>
      <c r="CA281" s="643"/>
      <c r="CB281" s="643"/>
      <c r="CC281" s="643"/>
      <c r="CD281" s="643"/>
      <c r="CE281" s="643"/>
      <c r="CF281" s="643"/>
      <c r="CG281" s="643"/>
      <c r="CH281" s="643"/>
      <c r="CI281" s="643"/>
      <c r="CJ281" s="643"/>
      <c r="CK281" s="643"/>
      <c r="CL281" s="643"/>
      <c r="CM281" s="643"/>
      <c r="CN281" s="643"/>
      <c r="CO281" s="643"/>
      <c r="CP281" s="643"/>
      <c r="CQ281" s="643"/>
      <c r="CR281" s="643"/>
      <c r="CS281" s="636" t="s">
        <v>2164</v>
      </c>
      <c r="CT281" s="643"/>
      <c r="CU281" s="643"/>
      <c r="CV281" s="643"/>
      <c r="CW281" s="643"/>
      <c r="CX281" s="643"/>
      <c r="CY281" s="643"/>
      <c r="CZ281" s="643"/>
      <c r="DA281" s="643"/>
      <c r="DB281" s="643"/>
      <c r="DC281" s="643"/>
      <c r="DD281" s="643"/>
      <c r="DE281" s="643"/>
    </row>
    <row r="282" spans="34:109" ht="15" hidden="1" customHeight="1">
      <c r="AH282" s="24"/>
      <c r="AI282" s="24"/>
      <c r="AJ282" s="24"/>
      <c r="AK282" s="24"/>
      <c r="AL282" s="630" t="str">
        <f t="shared" si="8"/>
        <v/>
      </c>
      <c r="AM282" s="630" t="str">
        <f t="shared" si="9"/>
        <v/>
      </c>
      <c r="AO282" s="24"/>
      <c r="AP282" s="628">
        <v>280</v>
      </c>
      <c r="AQ282" s="642"/>
      <c r="AR282" s="642"/>
      <c r="AS282" s="642"/>
      <c r="AT282" s="642"/>
      <c r="AU282" s="642"/>
      <c r="AV282" s="642"/>
      <c r="AW282" s="642"/>
      <c r="AX282" s="642"/>
      <c r="AY282" s="642"/>
      <c r="AZ282" s="642"/>
      <c r="BA282" s="642"/>
      <c r="BB282" s="642"/>
      <c r="BC282" s="642"/>
      <c r="BD282" s="642"/>
      <c r="BE282" s="642"/>
      <c r="BF282" s="642"/>
      <c r="BG282" s="642"/>
      <c r="BH282" s="642"/>
      <c r="BI282" s="642"/>
      <c r="BJ282" s="634">
        <v>20279</v>
      </c>
      <c r="BK282" s="642"/>
      <c r="BL282" s="642"/>
      <c r="BM282" s="642"/>
      <c r="BN282" s="642"/>
      <c r="BO282" s="642"/>
      <c r="BP282" s="642"/>
      <c r="BQ282" s="642"/>
      <c r="BR282" s="642"/>
      <c r="BS282" s="642"/>
      <c r="BT282" s="642"/>
      <c r="BU282" s="642"/>
      <c r="BV282" s="642"/>
      <c r="BW282" s="24"/>
      <c r="BX282" s="24"/>
      <c r="BY282" s="24"/>
      <c r="BZ282" s="643"/>
      <c r="CA282" s="643"/>
      <c r="CB282" s="643"/>
      <c r="CC282" s="643"/>
      <c r="CD282" s="643"/>
      <c r="CE282" s="643"/>
      <c r="CF282" s="643"/>
      <c r="CG282" s="643"/>
      <c r="CH282" s="643"/>
      <c r="CI282" s="643"/>
      <c r="CJ282" s="643"/>
      <c r="CK282" s="643"/>
      <c r="CL282" s="643"/>
      <c r="CM282" s="643"/>
      <c r="CN282" s="643"/>
      <c r="CO282" s="643"/>
      <c r="CP282" s="643"/>
      <c r="CQ282" s="643"/>
      <c r="CR282" s="643"/>
      <c r="CS282" s="636" t="s">
        <v>2165</v>
      </c>
      <c r="CT282" s="643"/>
      <c r="CU282" s="643"/>
      <c r="CV282" s="643"/>
      <c r="CW282" s="643"/>
      <c r="CX282" s="643"/>
      <c r="CY282" s="643"/>
      <c r="CZ282" s="643"/>
      <c r="DA282" s="643"/>
      <c r="DB282" s="643"/>
      <c r="DC282" s="643"/>
      <c r="DD282" s="643"/>
      <c r="DE282" s="643"/>
    </row>
    <row r="283" spans="34:109" ht="15" hidden="1" customHeight="1">
      <c r="AH283" s="24"/>
      <c r="AI283" s="24"/>
      <c r="AJ283" s="24"/>
      <c r="AK283" s="24"/>
      <c r="AL283" s="630" t="str">
        <f t="shared" si="8"/>
        <v/>
      </c>
      <c r="AM283" s="630" t="str">
        <f t="shared" si="9"/>
        <v/>
      </c>
      <c r="AO283" s="24"/>
      <c r="AP283" s="628">
        <v>281</v>
      </c>
      <c r="AQ283" s="642"/>
      <c r="AR283" s="642"/>
      <c r="AS283" s="642"/>
      <c r="AT283" s="642"/>
      <c r="AU283" s="642"/>
      <c r="AV283" s="642"/>
      <c r="AW283" s="642"/>
      <c r="AX283" s="642"/>
      <c r="AY283" s="642"/>
      <c r="AZ283" s="642"/>
      <c r="BA283" s="642"/>
      <c r="BB283" s="642"/>
      <c r="BC283" s="642"/>
      <c r="BD283" s="642"/>
      <c r="BE283" s="642"/>
      <c r="BF283" s="642"/>
      <c r="BG283" s="642"/>
      <c r="BH283" s="642"/>
      <c r="BI283" s="642"/>
      <c r="BJ283" s="634">
        <v>20280</v>
      </c>
      <c r="BK283" s="642"/>
      <c r="BL283" s="642"/>
      <c r="BM283" s="642"/>
      <c r="BN283" s="642"/>
      <c r="BO283" s="642"/>
      <c r="BP283" s="642"/>
      <c r="BQ283" s="642"/>
      <c r="BR283" s="642"/>
      <c r="BS283" s="642"/>
      <c r="BT283" s="642"/>
      <c r="BU283" s="642"/>
      <c r="BV283" s="642"/>
      <c r="BW283" s="24"/>
      <c r="BX283" s="24"/>
      <c r="BY283" s="24"/>
      <c r="BZ283" s="643"/>
      <c r="CA283" s="643"/>
      <c r="CB283" s="643"/>
      <c r="CC283" s="643"/>
      <c r="CD283" s="643"/>
      <c r="CE283" s="643"/>
      <c r="CF283" s="643"/>
      <c r="CG283" s="643"/>
      <c r="CH283" s="643"/>
      <c r="CI283" s="643"/>
      <c r="CJ283" s="643"/>
      <c r="CK283" s="643"/>
      <c r="CL283" s="643"/>
      <c r="CM283" s="643"/>
      <c r="CN283" s="643"/>
      <c r="CO283" s="643"/>
      <c r="CP283" s="643"/>
      <c r="CQ283" s="643"/>
      <c r="CR283" s="643"/>
      <c r="CS283" s="636" t="s">
        <v>2166</v>
      </c>
      <c r="CT283" s="643"/>
      <c r="CU283" s="643"/>
      <c r="CV283" s="643"/>
      <c r="CW283" s="643"/>
      <c r="CX283" s="643"/>
      <c r="CY283" s="643"/>
      <c r="CZ283" s="643"/>
      <c r="DA283" s="643"/>
      <c r="DB283" s="643"/>
      <c r="DC283" s="643"/>
      <c r="DD283" s="643"/>
      <c r="DE283" s="643"/>
    </row>
    <row r="284" spans="34:109" ht="15" hidden="1" customHeight="1">
      <c r="AH284" s="24"/>
      <c r="AI284" s="24"/>
      <c r="AJ284" s="24"/>
      <c r="AK284" s="24"/>
      <c r="AL284" s="630" t="str">
        <f t="shared" si="8"/>
        <v/>
      </c>
      <c r="AM284" s="630" t="str">
        <f t="shared" si="9"/>
        <v/>
      </c>
      <c r="AO284" s="24"/>
      <c r="AP284" s="628">
        <v>282</v>
      </c>
      <c r="AQ284" s="642"/>
      <c r="AR284" s="642"/>
      <c r="AS284" s="642"/>
      <c r="AT284" s="642"/>
      <c r="AU284" s="642"/>
      <c r="AV284" s="642"/>
      <c r="AW284" s="642"/>
      <c r="AX284" s="642"/>
      <c r="AY284" s="642"/>
      <c r="AZ284" s="642"/>
      <c r="BA284" s="642"/>
      <c r="BB284" s="642"/>
      <c r="BC284" s="642"/>
      <c r="BD284" s="642"/>
      <c r="BE284" s="642"/>
      <c r="BF284" s="642"/>
      <c r="BG284" s="642"/>
      <c r="BH284" s="642"/>
      <c r="BI284" s="642"/>
      <c r="BJ284" s="634">
        <v>20281</v>
      </c>
      <c r="BK284" s="642"/>
      <c r="BL284" s="642"/>
      <c r="BM284" s="642"/>
      <c r="BN284" s="642"/>
      <c r="BO284" s="642"/>
      <c r="BP284" s="642"/>
      <c r="BQ284" s="642"/>
      <c r="BR284" s="642"/>
      <c r="BS284" s="642"/>
      <c r="BT284" s="642"/>
      <c r="BU284" s="642"/>
      <c r="BV284" s="642"/>
      <c r="BW284" s="24"/>
      <c r="BX284" s="24"/>
      <c r="BY284" s="24"/>
      <c r="BZ284" s="643"/>
      <c r="CA284" s="643"/>
      <c r="CB284" s="643"/>
      <c r="CC284" s="643"/>
      <c r="CD284" s="643"/>
      <c r="CE284" s="643"/>
      <c r="CF284" s="643"/>
      <c r="CG284" s="643"/>
      <c r="CH284" s="643"/>
      <c r="CI284" s="643"/>
      <c r="CJ284" s="643"/>
      <c r="CK284" s="643"/>
      <c r="CL284" s="643"/>
      <c r="CM284" s="643"/>
      <c r="CN284" s="643"/>
      <c r="CO284" s="643"/>
      <c r="CP284" s="643"/>
      <c r="CQ284" s="643"/>
      <c r="CR284" s="643"/>
      <c r="CS284" s="636" t="s">
        <v>2167</v>
      </c>
      <c r="CT284" s="643"/>
      <c r="CU284" s="643"/>
      <c r="CV284" s="643"/>
      <c r="CW284" s="643"/>
      <c r="CX284" s="643"/>
      <c r="CY284" s="643"/>
      <c r="CZ284" s="643"/>
      <c r="DA284" s="643"/>
      <c r="DB284" s="643"/>
      <c r="DC284" s="643"/>
      <c r="DD284" s="643"/>
      <c r="DE284" s="643"/>
    </row>
    <row r="285" spans="34:109" ht="15" hidden="1" customHeight="1">
      <c r="AH285" s="24"/>
      <c r="AI285" s="24"/>
      <c r="AJ285" s="24"/>
      <c r="AK285" s="24"/>
      <c r="AL285" s="630" t="str">
        <f t="shared" si="8"/>
        <v/>
      </c>
      <c r="AM285" s="630" t="str">
        <f t="shared" si="9"/>
        <v/>
      </c>
      <c r="AO285" s="24"/>
      <c r="AP285" s="628">
        <v>283</v>
      </c>
      <c r="AQ285" s="642"/>
      <c r="AR285" s="642"/>
      <c r="AS285" s="642"/>
      <c r="AT285" s="642"/>
      <c r="AU285" s="642"/>
      <c r="AV285" s="642"/>
      <c r="AW285" s="642"/>
      <c r="AX285" s="642"/>
      <c r="AY285" s="642"/>
      <c r="AZ285" s="642"/>
      <c r="BA285" s="642"/>
      <c r="BB285" s="642"/>
      <c r="BC285" s="642"/>
      <c r="BD285" s="642"/>
      <c r="BE285" s="642"/>
      <c r="BF285" s="642"/>
      <c r="BG285" s="642"/>
      <c r="BH285" s="642"/>
      <c r="BI285" s="642"/>
      <c r="BJ285" s="634">
        <v>20282</v>
      </c>
      <c r="BK285" s="642"/>
      <c r="BL285" s="642"/>
      <c r="BM285" s="642"/>
      <c r="BN285" s="642"/>
      <c r="BO285" s="642"/>
      <c r="BP285" s="642"/>
      <c r="BQ285" s="642"/>
      <c r="BR285" s="642"/>
      <c r="BS285" s="642"/>
      <c r="BT285" s="642"/>
      <c r="BU285" s="642"/>
      <c r="BV285" s="642"/>
      <c r="BW285" s="24"/>
      <c r="BX285" s="24"/>
      <c r="BY285" s="24"/>
      <c r="BZ285" s="643"/>
      <c r="CA285" s="643"/>
      <c r="CB285" s="643"/>
      <c r="CC285" s="643"/>
      <c r="CD285" s="643"/>
      <c r="CE285" s="643"/>
      <c r="CF285" s="643"/>
      <c r="CG285" s="643"/>
      <c r="CH285" s="643"/>
      <c r="CI285" s="643"/>
      <c r="CJ285" s="643"/>
      <c r="CK285" s="643"/>
      <c r="CL285" s="643"/>
      <c r="CM285" s="643"/>
      <c r="CN285" s="643"/>
      <c r="CO285" s="643"/>
      <c r="CP285" s="643"/>
      <c r="CQ285" s="643"/>
      <c r="CR285" s="643"/>
      <c r="CS285" s="636" t="s">
        <v>2168</v>
      </c>
      <c r="CT285" s="643"/>
      <c r="CU285" s="643"/>
      <c r="CV285" s="643"/>
      <c r="CW285" s="643"/>
      <c r="CX285" s="643"/>
      <c r="CY285" s="643"/>
      <c r="CZ285" s="643"/>
      <c r="DA285" s="643"/>
      <c r="DB285" s="643"/>
      <c r="DC285" s="643"/>
      <c r="DD285" s="643"/>
      <c r="DE285" s="643"/>
    </row>
    <row r="286" spans="34:109" ht="15" hidden="1" customHeight="1">
      <c r="AH286" s="24"/>
      <c r="AI286" s="24"/>
      <c r="AJ286" s="24"/>
      <c r="AK286" s="24"/>
      <c r="AL286" s="630" t="str">
        <f t="shared" si="8"/>
        <v/>
      </c>
      <c r="AM286" s="630" t="str">
        <f t="shared" si="9"/>
        <v/>
      </c>
      <c r="AO286" s="24"/>
      <c r="AP286" s="628">
        <v>284</v>
      </c>
      <c r="AQ286" s="642"/>
      <c r="AR286" s="642"/>
      <c r="AS286" s="642"/>
      <c r="AT286" s="642"/>
      <c r="AU286" s="642"/>
      <c r="AV286" s="642"/>
      <c r="AW286" s="642"/>
      <c r="AX286" s="642"/>
      <c r="AY286" s="642"/>
      <c r="AZ286" s="642"/>
      <c r="BA286" s="642"/>
      <c r="BB286" s="642"/>
      <c r="BC286" s="642"/>
      <c r="BD286" s="642"/>
      <c r="BE286" s="642"/>
      <c r="BF286" s="642"/>
      <c r="BG286" s="642"/>
      <c r="BH286" s="642"/>
      <c r="BI286" s="642"/>
      <c r="BJ286" s="634">
        <v>20283</v>
      </c>
      <c r="BK286" s="642"/>
      <c r="BL286" s="642"/>
      <c r="BM286" s="642"/>
      <c r="BN286" s="642"/>
      <c r="BO286" s="642"/>
      <c r="BP286" s="642"/>
      <c r="BQ286" s="642"/>
      <c r="BR286" s="642"/>
      <c r="BS286" s="642"/>
      <c r="BT286" s="642"/>
      <c r="BU286" s="642"/>
      <c r="BV286" s="642"/>
      <c r="BW286" s="24"/>
      <c r="BX286" s="24"/>
      <c r="BY286" s="24"/>
      <c r="BZ286" s="643"/>
      <c r="CA286" s="643"/>
      <c r="CB286" s="643"/>
      <c r="CC286" s="643"/>
      <c r="CD286" s="643"/>
      <c r="CE286" s="643"/>
      <c r="CF286" s="643"/>
      <c r="CG286" s="643"/>
      <c r="CH286" s="643"/>
      <c r="CI286" s="643"/>
      <c r="CJ286" s="643"/>
      <c r="CK286" s="643"/>
      <c r="CL286" s="643"/>
      <c r="CM286" s="643"/>
      <c r="CN286" s="643"/>
      <c r="CO286" s="643"/>
      <c r="CP286" s="643"/>
      <c r="CQ286" s="643"/>
      <c r="CR286" s="643"/>
      <c r="CS286" s="636" t="s">
        <v>2169</v>
      </c>
      <c r="CT286" s="643"/>
      <c r="CU286" s="643"/>
      <c r="CV286" s="643"/>
      <c r="CW286" s="643"/>
      <c r="CX286" s="643"/>
      <c r="CY286" s="643"/>
      <c r="CZ286" s="643"/>
      <c r="DA286" s="643"/>
      <c r="DB286" s="643"/>
      <c r="DC286" s="643"/>
      <c r="DD286" s="643"/>
      <c r="DE286" s="643"/>
    </row>
    <row r="287" spans="34:109" ht="15" hidden="1" customHeight="1">
      <c r="AH287" s="24"/>
      <c r="AI287" s="24"/>
      <c r="AJ287" s="24"/>
      <c r="AK287" s="24"/>
      <c r="AL287" s="630" t="str">
        <f t="shared" si="8"/>
        <v/>
      </c>
      <c r="AM287" s="630" t="str">
        <f t="shared" si="9"/>
        <v/>
      </c>
      <c r="AO287" s="24"/>
      <c r="AP287" s="628">
        <v>285</v>
      </c>
      <c r="AQ287" s="642"/>
      <c r="AR287" s="642"/>
      <c r="AS287" s="642"/>
      <c r="AT287" s="642"/>
      <c r="AU287" s="642"/>
      <c r="AV287" s="642"/>
      <c r="AW287" s="642"/>
      <c r="AX287" s="642"/>
      <c r="AY287" s="642"/>
      <c r="AZ287" s="642"/>
      <c r="BA287" s="642"/>
      <c r="BB287" s="642"/>
      <c r="BC287" s="642"/>
      <c r="BD287" s="642"/>
      <c r="BE287" s="642"/>
      <c r="BF287" s="642"/>
      <c r="BG287" s="642"/>
      <c r="BH287" s="642"/>
      <c r="BI287" s="642"/>
      <c r="BJ287" s="634">
        <v>20284</v>
      </c>
      <c r="BK287" s="642"/>
      <c r="BL287" s="642"/>
      <c r="BM287" s="642"/>
      <c r="BN287" s="642"/>
      <c r="BO287" s="642"/>
      <c r="BP287" s="642"/>
      <c r="BQ287" s="642"/>
      <c r="BR287" s="642"/>
      <c r="BS287" s="642"/>
      <c r="BT287" s="642"/>
      <c r="BU287" s="642"/>
      <c r="BV287" s="642"/>
      <c r="BW287" s="24"/>
      <c r="BX287" s="24"/>
      <c r="BY287" s="24"/>
      <c r="BZ287" s="643"/>
      <c r="CA287" s="643"/>
      <c r="CB287" s="643"/>
      <c r="CC287" s="643"/>
      <c r="CD287" s="643"/>
      <c r="CE287" s="643"/>
      <c r="CF287" s="643"/>
      <c r="CG287" s="643"/>
      <c r="CH287" s="643"/>
      <c r="CI287" s="643"/>
      <c r="CJ287" s="643"/>
      <c r="CK287" s="643"/>
      <c r="CL287" s="643"/>
      <c r="CM287" s="643"/>
      <c r="CN287" s="643"/>
      <c r="CO287" s="643"/>
      <c r="CP287" s="643"/>
      <c r="CQ287" s="643"/>
      <c r="CR287" s="643"/>
      <c r="CS287" s="636" t="s">
        <v>2170</v>
      </c>
      <c r="CT287" s="643"/>
      <c r="CU287" s="643"/>
      <c r="CV287" s="643"/>
      <c r="CW287" s="643"/>
      <c r="CX287" s="643"/>
      <c r="CY287" s="643"/>
      <c r="CZ287" s="643"/>
      <c r="DA287" s="643"/>
      <c r="DB287" s="643"/>
      <c r="DC287" s="643"/>
      <c r="DD287" s="643"/>
      <c r="DE287" s="643"/>
    </row>
    <row r="288" spans="34:109" ht="15" hidden="1" customHeight="1">
      <c r="AH288" s="24"/>
      <c r="AI288" s="24"/>
      <c r="AJ288" s="24"/>
      <c r="AK288" s="24"/>
      <c r="AL288" s="630" t="str">
        <f t="shared" si="8"/>
        <v/>
      </c>
      <c r="AM288" s="630" t="str">
        <f t="shared" si="9"/>
        <v/>
      </c>
      <c r="AO288" s="24"/>
      <c r="AP288" s="628">
        <v>286</v>
      </c>
      <c r="AQ288" s="642"/>
      <c r="AR288" s="642"/>
      <c r="AS288" s="642"/>
      <c r="AT288" s="642"/>
      <c r="AU288" s="642"/>
      <c r="AV288" s="642"/>
      <c r="AW288" s="642"/>
      <c r="AX288" s="642"/>
      <c r="AY288" s="642"/>
      <c r="AZ288" s="642"/>
      <c r="BA288" s="642"/>
      <c r="BB288" s="642"/>
      <c r="BC288" s="642"/>
      <c r="BD288" s="642"/>
      <c r="BE288" s="642"/>
      <c r="BF288" s="642"/>
      <c r="BG288" s="642"/>
      <c r="BH288" s="642"/>
      <c r="BI288" s="642"/>
      <c r="BJ288" s="634">
        <v>20285</v>
      </c>
      <c r="BK288" s="642"/>
      <c r="BL288" s="642"/>
      <c r="BM288" s="642"/>
      <c r="BN288" s="642"/>
      <c r="BO288" s="642"/>
      <c r="BP288" s="642"/>
      <c r="BQ288" s="642"/>
      <c r="BR288" s="642"/>
      <c r="BS288" s="642"/>
      <c r="BT288" s="642"/>
      <c r="BU288" s="642"/>
      <c r="BV288" s="642"/>
      <c r="BW288" s="24"/>
      <c r="BX288" s="24"/>
      <c r="BY288" s="24"/>
      <c r="BZ288" s="643"/>
      <c r="CA288" s="643"/>
      <c r="CB288" s="643"/>
      <c r="CC288" s="643"/>
      <c r="CD288" s="643"/>
      <c r="CE288" s="643"/>
      <c r="CF288" s="643"/>
      <c r="CG288" s="643"/>
      <c r="CH288" s="643"/>
      <c r="CI288" s="643"/>
      <c r="CJ288" s="643"/>
      <c r="CK288" s="643"/>
      <c r="CL288" s="643"/>
      <c r="CM288" s="643"/>
      <c r="CN288" s="643"/>
      <c r="CO288" s="643"/>
      <c r="CP288" s="643"/>
      <c r="CQ288" s="643"/>
      <c r="CR288" s="643"/>
      <c r="CS288" s="636" t="s">
        <v>2171</v>
      </c>
      <c r="CT288" s="643"/>
      <c r="CU288" s="643"/>
      <c r="CV288" s="643"/>
      <c r="CW288" s="643"/>
      <c r="CX288" s="643"/>
      <c r="CY288" s="643"/>
      <c r="CZ288" s="643"/>
      <c r="DA288" s="643"/>
      <c r="DB288" s="643"/>
      <c r="DC288" s="643"/>
      <c r="DD288" s="643"/>
      <c r="DE288" s="643"/>
    </row>
    <row r="289" spans="34:109" ht="15" hidden="1" customHeight="1">
      <c r="AH289" s="24"/>
      <c r="AI289" s="24"/>
      <c r="AJ289" s="24"/>
      <c r="AK289" s="24"/>
      <c r="AL289" s="630" t="str">
        <f t="shared" si="8"/>
        <v/>
      </c>
      <c r="AM289" s="630" t="str">
        <f t="shared" si="9"/>
        <v/>
      </c>
      <c r="AO289" s="24"/>
      <c r="AP289" s="628">
        <v>287</v>
      </c>
      <c r="AQ289" s="642"/>
      <c r="AR289" s="642"/>
      <c r="AS289" s="642"/>
      <c r="AT289" s="642"/>
      <c r="AU289" s="642"/>
      <c r="AV289" s="642"/>
      <c r="AW289" s="642"/>
      <c r="AX289" s="642"/>
      <c r="AY289" s="642"/>
      <c r="AZ289" s="642"/>
      <c r="BA289" s="642"/>
      <c r="BB289" s="642"/>
      <c r="BC289" s="642"/>
      <c r="BD289" s="642"/>
      <c r="BE289" s="642"/>
      <c r="BF289" s="642"/>
      <c r="BG289" s="642"/>
      <c r="BH289" s="642"/>
      <c r="BI289" s="642"/>
      <c r="BJ289" s="634">
        <v>20286</v>
      </c>
      <c r="BK289" s="642"/>
      <c r="BL289" s="642"/>
      <c r="BM289" s="642"/>
      <c r="BN289" s="642"/>
      <c r="BO289" s="642"/>
      <c r="BP289" s="642"/>
      <c r="BQ289" s="642"/>
      <c r="BR289" s="642"/>
      <c r="BS289" s="642"/>
      <c r="BT289" s="642"/>
      <c r="BU289" s="642"/>
      <c r="BV289" s="642"/>
      <c r="BW289" s="24"/>
      <c r="BX289" s="24"/>
      <c r="BY289" s="24"/>
      <c r="BZ289" s="643"/>
      <c r="CA289" s="643"/>
      <c r="CB289" s="643"/>
      <c r="CC289" s="643"/>
      <c r="CD289" s="643"/>
      <c r="CE289" s="643"/>
      <c r="CF289" s="643"/>
      <c r="CG289" s="643"/>
      <c r="CH289" s="643"/>
      <c r="CI289" s="643"/>
      <c r="CJ289" s="643"/>
      <c r="CK289" s="643"/>
      <c r="CL289" s="643"/>
      <c r="CM289" s="643"/>
      <c r="CN289" s="643"/>
      <c r="CO289" s="643"/>
      <c r="CP289" s="643"/>
      <c r="CQ289" s="643"/>
      <c r="CR289" s="643"/>
      <c r="CS289" s="636" t="s">
        <v>2172</v>
      </c>
      <c r="CT289" s="643"/>
      <c r="CU289" s="643"/>
      <c r="CV289" s="643"/>
      <c r="CW289" s="643"/>
      <c r="CX289" s="643"/>
      <c r="CY289" s="643"/>
      <c r="CZ289" s="643"/>
      <c r="DA289" s="643"/>
      <c r="DB289" s="643"/>
      <c r="DC289" s="643"/>
      <c r="DD289" s="643"/>
      <c r="DE289" s="643"/>
    </row>
    <row r="290" spans="34:109" ht="15" hidden="1" customHeight="1">
      <c r="AH290" s="24"/>
      <c r="AI290" s="24"/>
      <c r="AJ290" s="24"/>
      <c r="AK290" s="24"/>
      <c r="AL290" s="630" t="str">
        <f t="shared" si="8"/>
        <v/>
      </c>
      <c r="AM290" s="630" t="str">
        <f t="shared" si="9"/>
        <v/>
      </c>
      <c r="AO290" s="24"/>
      <c r="AP290" s="628">
        <v>288</v>
      </c>
      <c r="AQ290" s="642"/>
      <c r="AR290" s="642"/>
      <c r="AS290" s="642"/>
      <c r="AT290" s="642"/>
      <c r="AU290" s="642"/>
      <c r="AV290" s="642"/>
      <c r="AW290" s="642"/>
      <c r="AX290" s="642"/>
      <c r="AY290" s="642"/>
      <c r="AZ290" s="642"/>
      <c r="BA290" s="642"/>
      <c r="BB290" s="642"/>
      <c r="BC290" s="642"/>
      <c r="BD290" s="642"/>
      <c r="BE290" s="642"/>
      <c r="BF290" s="642"/>
      <c r="BG290" s="642"/>
      <c r="BH290" s="642"/>
      <c r="BI290" s="642"/>
      <c r="BJ290" s="634">
        <v>20287</v>
      </c>
      <c r="BK290" s="642"/>
      <c r="BL290" s="642"/>
      <c r="BM290" s="642"/>
      <c r="BN290" s="642"/>
      <c r="BO290" s="642"/>
      <c r="BP290" s="642"/>
      <c r="BQ290" s="642"/>
      <c r="BR290" s="642"/>
      <c r="BS290" s="642"/>
      <c r="BT290" s="642"/>
      <c r="BU290" s="642"/>
      <c r="BV290" s="642"/>
      <c r="BW290" s="24"/>
      <c r="BX290" s="24"/>
      <c r="BY290" s="24"/>
      <c r="BZ290" s="643"/>
      <c r="CA290" s="643"/>
      <c r="CB290" s="643"/>
      <c r="CC290" s="643"/>
      <c r="CD290" s="643"/>
      <c r="CE290" s="643"/>
      <c r="CF290" s="643"/>
      <c r="CG290" s="643"/>
      <c r="CH290" s="643"/>
      <c r="CI290" s="643"/>
      <c r="CJ290" s="643"/>
      <c r="CK290" s="643"/>
      <c r="CL290" s="643"/>
      <c r="CM290" s="643"/>
      <c r="CN290" s="643"/>
      <c r="CO290" s="643"/>
      <c r="CP290" s="643"/>
      <c r="CQ290" s="643"/>
      <c r="CR290" s="643"/>
      <c r="CS290" s="636" t="s">
        <v>2173</v>
      </c>
      <c r="CT290" s="643"/>
      <c r="CU290" s="643"/>
      <c r="CV290" s="643"/>
      <c r="CW290" s="643"/>
      <c r="CX290" s="643"/>
      <c r="CY290" s="643"/>
      <c r="CZ290" s="643"/>
      <c r="DA290" s="643"/>
      <c r="DB290" s="643"/>
      <c r="DC290" s="643"/>
      <c r="DD290" s="643"/>
      <c r="DE290" s="643"/>
    </row>
    <row r="291" spans="34:109" ht="15" hidden="1" customHeight="1">
      <c r="AH291" s="24"/>
      <c r="AI291" s="24"/>
      <c r="AJ291" s="24"/>
      <c r="AK291" s="24"/>
      <c r="AL291" s="630" t="str">
        <f t="shared" si="8"/>
        <v/>
      </c>
      <c r="AM291" s="630" t="str">
        <f t="shared" si="9"/>
        <v/>
      </c>
      <c r="AO291" s="24"/>
      <c r="AP291" s="628">
        <v>289</v>
      </c>
      <c r="AQ291" s="642"/>
      <c r="AR291" s="642"/>
      <c r="AS291" s="642"/>
      <c r="AT291" s="642"/>
      <c r="AU291" s="642"/>
      <c r="AV291" s="642"/>
      <c r="AW291" s="642"/>
      <c r="AX291" s="642"/>
      <c r="AY291" s="642"/>
      <c r="AZ291" s="642"/>
      <c r="BA291" s="642"/>
      <c r="BB291" s="642"/>
      <c r="BC291" s="642"/>
      <c r="BD291" s="642"/>
      <c r="BE291" s="642"/>
      <c r="BF291" s="642"/>
      <c r="BG291" s="642"/>
      <c r="BH291" s="642"/>
      <c r="BI291" s="642"/>
      <c r="BJ291" s="634">
        <v>20288</v>
      </c>
      <c r="BK291" s="642"/>
      <c r="BL291" s="642"/>
      <c r="BM291" s="642"/>
      <c r="BN291" s="642"/>
      <c r="BO291" s="642"/>
      <c r="BP291" s="642"/>
      <c r="BQ291" s="642"/>
      <c r="BR291" s="642"/>
      <c r="BS291" s="642"/>
      <c r="BT291" s="642"/>
      <c r="BU291" s="642"/>
      <c r="BV291" s="642"/>
      <c r="BW291" s="24"/>
      <c r="BX291" s="24"/>
      <c r="BY291" s="24"/>
      <c r="BZ291" s="643"/>
      <c r="CA291" s="643"/>
      <c r="CB291" s="643"/>
      <c r="CC291" s="643"/>
      <c r="CD291" s="643"/>
      <c r="CE291" s="643"/>
      <c r="CF291" s="643"/>
      <c r="CG291" s="643"/>
      <c r="CH291" s="643"/>
      <c r="CI291" s="643"/>
      <c r="CJ291" s="643"/>
      <c r="CK291" s="643"/>
      <c r="CL291" s="643"/>
      <c r="CM291" s="643"/>
      <c r="CN291" s="643"/>
      <c r="CO291" s="643"/>
      <c r="CP291" s="643"/>
      <c r="CQ291" s="643"/>
      <c r="CR291" s="643"/>
      <c r="CS291" s="636" t="s">
        <v>2174</v>
      </c>
      <c r="CT291" s="643"/>
      <c r="CU291" s="643"/>
      <c r="CV291" s="643"/>
      <c r="CW291" s="643"/>
      <c r="CX291" s="643"/>
      <c r="CY291" s="643"/>
      <c r="CZ291" s="643"/>
      <c r="DA291" s="643"/>
      <c r="DB291" s="643"/>
      <c r="DC291" s="643"/>
      <c r="DD291" s="643"/>
      <c r="DE291" s="643"/>
    </row>
    <row r="292" spans="34:109" ht="15" hidden="1" customHeight="1">
      <c r="AH292" s="24"/>
      <c r="AI292" s="24"/>
      <c r="AJ292" s="24"/>
      <c r="AK292" s="24"/>
      <c r="AL292" s="630" t="str">
        <f t="shared" si="8"/>
        <v/>
      </c>
      <c r="AM292" s="630" t="str">
        <f t="shared" si="9"/>
        <v/>
      </c>
      <c r="AO292" s="24"/>
      <c r="AP292" s="628">
        <v>290</v>
      </c>
      <c r="AQ292" s="642"/>
      <c r="AR292" s="642"/>
      <c r="AS292" s="642"/>
      <c r="AT292" s="642"/>
      <c r="AU292" s="642"/>
      <c r="AV292" s="642"/>
      <c r="AW292" s="642"/>
      <c r="AX292" s="642"/>
      <c r="AY292" s="642"/>
      <c r="AZ292" s="642"/>
      <c r="BA292" s="642"/>
      <c r="BB292" s="642"/>
      <c r="BC292" s="642"/>
      <c r="BD292" s="642"/>
      <c r="BE292" s="642"/>
      <c r="BF292" s="642"/>
      <c r="BG292" s="642"/>
      <c r="BH292" s="642"/>
      <c r="BI292" s="642"/>
      <c r="BJ292" s="634">
        <v>20289</v>
      </c>
      <c r="BK292" s="642"/>
      <c r="BL292" s="642"/>
      <c r="BM292" s="642"/>
      <c r="BN292" s="642"/>
      <c r="BO292" s="642"/>
      <c r="BP292" s="642"/>
      <c r="BQ292" s="642"/>
      <c r="BR292" s="642"/>
      <c r="BS292" s="642"/>
      <c r="BT292" s="642"/>
      <c r="BU292" s="642"/>
      <c r="BV292" s="642"/>
      <c r="BW292" s="24"/>
      <c r="BX292" s="24"/>
      <c r="BY292" s="24"/>
      <c r="BZ292" s="643"/>
      <c r="CA292" s="643"/>
      <c r="CB292" s="643"/>
      <c r="CC292" s="643"/>
      <c r="CD292" s="643"/>
      <c r="CE292" s="643"/>
      <c r="CF292" s="643"/>
      <c r="CG292" s="643"/>
      <c r="CH292" s="643"/>
      <c r="CI292" s="643"/>
      <c r="CJ292" s="643"/>
      <c r="CK292" s="643"/>
      <c r="CL292" s="643"/>
      <c r="CM292" s="643"/>
      <c r="CN292" s="643"/>
      <c r="CO292" s="643"/>
      <c r="CP292" s="643"/>
      <c r="CQ292" s="643"/>
      <c r="CR292" s="643"/>
      <c r="CS292" s="636" t="s">
        <v>928</v>
      </c>
      <c r="CT292" s="643"/>
      <c r="CU292" s="643"/>
      <c r="CV292" s="643"/>
      <c r="CW292" s="643"/>
      <c r="CX292" s="643"/>
      <c r="CY292" s="643"/>
      <c r="CZ292" s="643"/>
      <c r="DA292" s="643"/>
      <c r="DB292" s="643"/>
      <c r="DC292" s="643"/>
      <c r="DD292" s="643"/>
      <c r="DE292" s="643"/>
    </row>
    <row r="293" spans="34:109" ht="15" hidden="1" customHeight="1">
      <c r="AH293" s="24"/>
      <c r="AI293" s="24"/>
      <c r="AJ293" s="24"/>
      <c r="AK293" s="24"/>
      <c r="AL293" s="630" t="str">
        <f t="shared" si="8"/>
        <v/>
      </c>
      <c r="AM293" s="630" t="str">
        <f t="shared" si="9"/>
        <v/>
      </c>
      <c r="AO293" s="24"/>
      <c r="AP293" s="628">
        <v>291</v>
      </c>
      <c r="AQ293" s="642"/>
      <c r="AR293" s="642"/>
      <c r="AS293" s="642"/>
      <c r="AT293" s="642"/>
      <c r="AU293" s="642"/>
      <c r="AV293" s="642"/>
      <c r="AW293" s="642"/>
      <c r="AX293" s="642"/>
      <c r="AY293" s="642"/>
      <c r="AZ293" s="642"/>
      <c r="BA293" s="642"/>
      <c r="BB293" s="642"/>
      <c r="BC293" s="642"/>
      <c r="BD293" s="642"/>
      <c r="BE293" s="642"/>
      <c r="BF293" s="642"/>
      <c r="BG293" s="642"/>
      <c r="BH293" s="642"/>
      <c r="BI293" s="642"/>
      <c r="BJ293" s="634">
        <v>20290</v>
      </c>
      <c r="BK293" s="642"/>
      <c r="BL293" s="642"/>
      <c r="BM293" s="642"/>
      <c r="BN293" s="642"/>
      <c r="BO293" s="642"/>
      <c r="BP293" s="642"/>
      <c r="BQ293" s="642"/>
      <c r="BR293" s="642"/>
      <c r="BS293" s="642"/>
      <c r="BT293" s="642"/>
      <c r="BU293" s="642"/>
      <c r="BV293" s="642"/>
      <c r="BW293" s="24"/>
      <c r="BX293" s="24"/>
      <c r="BY293" s="24"/>
      <c r="BZ293" s="643"/>
      <c r="CA293" s="643"/>
      <c r="CB293" s="643"/>
      <c r="CC293" s="643"/>
      <c r="CD293" s="643"/>
      <c r="CE293" s="643"/>
      <c r="CF293" s="643"/>
      <c r="CG293" s="643"/>
      <c r="CH293" s="643"/>
      <c r="CI293" s="643"/>
      <c r="CJ293" s="643"/>
      <c r="CK293" s="643"/>
      <c r="CL293" s="643"/>
      <c r="CM293" s="643"/>
      <c r="CN293" s="643"/>
      <c r="CO293" s="643"/>
      <c r="CP293" s="643"/>
      <c r="CQ293" s="643"/>
      <c r="CR293" s="643"/>
      <c r="CS293" s="636" t="s">
        <v>2175</v>
      </c>
      <c r="CT293" s="643"/>
      <c r="CU293" s="643"/>
      <c r="CV293" s="643"/>
      <c r="CW293" s="643"/>
      <c r="CX293" s="643"/>
      <c r="CY293" s="643"/>
      <c r="CZ293" s="643"/>
      <c r="DA293" s="643"/>
      <c r="DB293" s="643"/>
      <c r="DC293" s="643"/>
      <c r="DD293" s="643"/>
      <c r="DE293" s="643"/>
    </row>
    <row r="294" spans="34:109" ht="15" hidden="1" customHeight="1">
      <c r="AH294" s="24"/>
      <c r="AI294" s="24"/>
      <c r="AJ294" s="24"/>
      <c r="AK294" s="24"/>
      <c r="AL294" s="630" t="str">
        <f t="shared" si="8"/>
        <v/>
      </c>
      <c r="AM294" s="630" t="str">
        <f t="shared" si="9"/>
        <v/>
      </c>
      <c r="AO294" s="24"/>
      <c r="AP294" s="628">
        <v>292</v>
      </c>
      <c r="AQ294" s="642"/>
      <c r="AR294" s="642"/>
      <c r="AS294" s="642"/>
      <c r="AT294" s="642"/>
      <c r="AU294" s="642"/>
      <c r="AV294" s="642"/>
      <c r="AW294" s="642"/>
      <c r="AX294" s="642"/>
      <c r="AY294" s="642"/>
      <c r="AZ294" s="642"/>
      <c r="BA294" s="642"/>
      <c r="BB294" s="642"/>
      <c r="BC294" s="642"/>
      <c r="BD294" s="642"/>
      <c r="BE294" s="642"/>
      <c r="BF294" s="642"/>
      <c r="BG294" s="642"/>
      <c r="BH294" s="642"/>
      <c r="BI294" s="642"/>
      <c r="BJ294" s="634">
        <v>20291</v>
      </c>
      <c r="BK294" s="642"/>
      <c r="BL294" s="642"/>
      <c r="BM294" s="642"/>
      <c r="BN294" s="642"/>
      <c r="BO294" s="642"/>
      <c r="BP294" s="642"/>
      <c r="BQ294" s="642"/>
      <c r="BR294" s="642"/>
      <c r="BS294" s="642"/>
      <c r="BT294" s="642"/>
      <c r="BU294" s="642"/>
      <c r="BV294" s="642"/>
      <c r="BW294" s="24"/>
      <c r="BX294" s="24"/>
      <c r="BY294" s="24"/>
      <c r="BZ294" s="643"/>
      <c r="CA294" s="643"/>
      <c r="CB294" s="643"/>
      <c r="CC294" s="643"/>
      <c r="CD294" s="643"/>
      <c r="CE294" s="643"/>
      <c r="CF294" s="643"/>
      <c r="CG294" s="643"/>
      <c r="CH294" s="643"/>
      <c r="CI294" s="643"/>
      <c r="CJ294" s="643"/>
      <c r="CK294" s="643"/>
      <c r="CL294" s="643"/>
      <c r="CM294" s="643"/>
      <c r="CN294" s="643"/>
      <c r="CO294" s="643"/>
      <c r="CP294" s="643"/>
      <c r="CQ294" s="643"/>
      <c r="CR294" s="643"/>
      <c r="CS294" s="636" t="s">
        <v>2176</v>
      </c>
      <c r="CT294" s="643"/>
      <c r="CU294" s="643"/>
      <c r="CV294" s="643"/>
      <c r="CW294" s="643"/>
      <c r="CX294" s="643"/>
      <c r="CY294" s="643"/>
      <c r="CZ294" s="643"/>
      <c r="DA294" s="643"/>
      <c r="DB294" s="643"/>
      <c r="DC294" s="643"/>
      <c r="DD294" s="643"/>
      <c r="DE294" s="643"/>
    </row>
    <row r="295" spans="34:109" ht="15" hidden="1" customHeight="1">
      <c r="AH295" s="24"/>
      <c r="AI295" s="24"/>
      <c r="AJ295" s="24"/>
      <c r="AK295" s="24"/>
      <c r="AL295" s="630" t="str">
        <f t="shared" si="8"/>
        <v/>
      </c>
      <c r="AM295" s="630" t="str">
        <f t="shared" si="9"/>
        <v/>
      </c>
      <c r="AO295" s="24"/>
      <c r="AP295" s="628">
        <v>293</v>
      </c>
      <c r="AQ295" s="642"/>
      <c r="AR295" s="642"/>
      <c r="AS295" s="642"/>
      <c r="AT295" s="642"/>
      <c r="AU295" s="642"/>
      <c r="AV295" s="642"/>
      <c r="AW295" s="642"/>
      <c r="AX295" s="642"/>
      <c r="AY295" s="642"/>
      <c r="AZ295" s="642"/>
      <c r="BA295" s="642"/>
      <c r="BB295" s="642"/>
      <c r="BC295" s="642"/>
      <c r="BD295" s="642"/>
      <c r="BE295" s="642"/>
      <c r="BF295" s="642"/>
      <c r="BG295" s="642"/>
      <c r="BH295" s="642"/>
      <c r="BI295" s="642"/>
      <c r="BJ295" s="634">
        <v>20292</v>
      </c>
      <c r="BK295" s="642"/>
      <c r="BL295" s="642"/>
      <c r="BM295" s="642"/>
      <c r="BN295" s="642"/>
      <c r="BO295" s="642"/>
      <c r="BP295" s="642"/>
      <c r="BQ295" s="642"/>
      <c r="BR295" s="642"/>
      <c r="BS295" s="642"/>
      <c r="BT295" s="642"/>
      <c r="BU295" s="642"/>
      <c r="BV295" s="642"/>
      <c r="BW295" s="24"/>
      <c r="BX295" s="24"/>
      <c r="BY295" s="24"/>
      <c r="BZ295" s="643"/>
      <c r="CA295" s="643"/>
      <c r="CB295" s="643"/>
      <c r="CC295" s="643"/>
      <c r="CD295" s="643"/>
      <c r="CE295" s="643"/>
      <c r="CF295" s="643"/>
      <c r="CG295" s="643"/>
      <c r="CH295" s="643"/>
      <c r="CI295" s="643"/>
      <c r="CJ295" s="643"/>
      <c r="CK295" s="643"/>
      <c r="CL295" s="643"/>
      <c r="CM295" s="643"/>
      <c r="CN295" s="643"/>
      <c r="CO295" s="643"/>
      <c r="CP295" s="643"/>
      <c r="CQ295" s="643"/>
      <c r="CR295" s="643"/>
      <c r="CS295" s="636" t="s">
        <v>2177</v>
      </c>
      <c r="CT295" s="643"/>
      <c r="CU295" s="643"/>
      <c r="CV295" s="643"/>
      <c r="CW295" s="643"/>
      <c r="CX295" s="643"/>
      <c r="CY295" s="643"/>
      <c r="CZ295" s="643"/>
      <c r="DA295" s="643"/>
      <c r="DB295" s="643"/>
      <c r="DC295" s="643"/>
      <c r="DD295" s="643"/>
      <c r="DE295" s="643"/>
    </row>
    <row r="296" spans="34:109" ht="15" hidden="1" customHeight="1">
      <c r="AH296" s="24"/>
      <c r="AI296" s="24"/>
      <c r="AJ296" s="24"/>
      <c r="AK296" s="24"/>
      <c r="AL296" s="630" t="str">
        <f t="shared" si="8"/>
        <v/>
      </c>
      <c r="AM296" s="630" t="str">
        <f t="shared" si="9"/>
        <v/>
      </c>
      <c r="AO296" s="24"/>
      <c r="AP296" s="628">
        <v>294</v>
      </c>
      <c r="AQ296" s="642"/>
      <c r="AR296" s="642"/>
      <c r="AS296" s="642"/>
      <c r="AT296" s="642"/>
      <c r="AU296" s="642"/>
      <c r="AV296" s="642"/>
      <c r="AW296" s="642"/>
      <c r="AX296" s="642"/>
      <c r="AY296" s="642"/>
      <c r="AZ296" s="642"/>
      <c r="BA296" s="642"/>
      <c r="BB296" s="642"/>
      <c r="BC296" s="642"/>
      <c r="BD296" s="642"/>
      <c r="BE296" s="642"/>
      <c r="BF296" s="642"/>
      <c r="BG296" s="642"/>
      <c r="BH296" s="642"/>
      <c r="BI296" s="642"/>
      <c r="BJ296" s="634">
        <v>20293</v>
      </c>
      <c r="BK296" s="642"/>
      <c r="BL296" s="642"/>
      <c r="BM296" s="642"/>
      <c r="BN296" s="642"/>
      <c r="BO296" s="642"/>
      <c r="BP296" s="642"/>
      <c r="BQ296" s="642"/>
      <c r="BR296" s="642"/>
      <c r="BS296" s="642"/>
      <c r="BT296" s="642"/>
      <c r="BU296" s="642"/>
      <c r="BV296" s="642"/>
      <c r="BW296" s="24"/>
      <c r="BX296" s="24"/>
      <c r="BY296" s="24"/>
      <c r="BZ296" s="643"/>
      <c r="CA296" s="643"/>
      <c r="CB296" s="643"/>
      <c r="CC296" s="643"/>
      <c r="CD296" s="643"/>
      <c r="CE296" s="643"/>
      <c r="CF296" s="643"/>
      <c r="CG296" s="643"/>
      <c r="CH296" s="643"/>
      <c r="CI296" s="643"/>
      <c r="CJ296" s="643"/>
      <c r="CK296" s="643"/>
      <c r="CL296" s="643"/>
      <c r="CM296" s="643"/>
      <c r="CN296" s="643"/>
      <c r="CO296" s="643"/>
      <c r="CP296" s="643"/>
      <c r="CQ296" s="643"/>
      <c r="CR296" s="643"/>
      <c r="CS296" s="636" t="s">
        <v>2178</v>
      </c>
      <c r="CT296" s="643"/>
      <c r="CU296" s="643"/>
      <c r="CV296" s="643"/>
      <c r="CW296" s="643"/>
      <c r="CX296" s="643"/>
      <c r="CY296" s="643"/>
      <c r="CZ296" s="643"/>
      <c r="DA296" s="643"/>
      <c r="DB296" s="643"/>
      <c r="DC296" s="643"/>
      <c r="DD296" s="643"/>
      <c r="DE296" s="643"/>
    </row>
    <row r="297" spans="34:109" ht="15" hidden="1" customHeight="1">
      <c r="AH297" s="24"/>
      <c r="AI297" s="24"/>
      <c r="AJ297" s="24"/>
      <c r="AK297" s="24"/>
      <c r="AL297" s="630" t="str">
        <f t="shared" si="8"/>
        <v/>
      </c>
      <c r="AM297" s="630" t="str">
        <f t="shared" si="9"/>
        <v/>
      </c>
      <c r="AO297" s="24"/>
      <c r="AP297" s="628">
        <v>295</v>
      </c>
      <c r="AQ297" s="642"/>
      <c r="AR297" s="642"/>
      <c r="AS297" s="642"/>
      <c r="AT297" s="642"/>
      <c r="AU297" s="642"/>
      <c r="AV297" s="642"/>
      <c r="AW297" s="642"/>
      <c r="AX297" s="642"/>
      <c r="AY297" s="642"/>
      <c r="AZ297" s="642"/>
      <c r="BA297" s="642"/>
      <c r="BB297" s="642"/>
      <c r="BC297" s="642"/>
      <c r="BD297" s="642"/>
      <c r="BE297" s="642"/>
      <c r="BF297" s="642"/>
      <c r="BG297" s="642"/>
      <c r="BH297" s="642"/>
      <c r="BI297" s="642"/>
      <c r="BJ297" s="634">
        <v>20294</v>
      </c>
      <c r="BK297" s="642"/>
      <c r="BL297" s="642"/>
      <c r="BM297" s="642"/>
      <c r="BN297" s="642"/>
      <c r="BO297" s="642"/>
      <c r="BP297" s="642"/>
      <c r="BQ297" s="642"/>
      <c r="BR297" s="642"/>
      <c r="BS297" s="642"/>
      <c r="BT297" s="642"/>
      <c r="BU297" s="642"/>
      <c r="BV297" s="642"/>
      <c r="BW297" s="24"/>
      <c r="BX297" s="24"/>
      <c r="BY297" s="24"/>
      <c r="BZ297" s="643"/>
      <c r="CA297" s="643"/>
      <c r="CB297" s="643"/>
      <c r="CC297" s="643"/>
      <c r="CD297" s="643"/>
      <c r="CE297" s="643"/>
      <c r="CF297" s="643"/>
      <c r="CG297" s="643"/>
      <c r="CH297" s="643"/>
      <c r="CI297" s="643"/>
      <c r="CJ297" s="643"/>
      <c r="CK297" s="643"/>
      <c r="CL297" s="643"/>
      <c r="CM297" s="643"/>
      <c r="CN297" s="643"/>
      <c r="CO297" s="643"/>
      <c r="CP297" s="643"/>
      <c r="CQ297" s="643"/>
      <c r="CR297" s="643"/>
      <c r="CS297" s="636" t="s">
        <v>2179</v>
      </c>
      <c r="CT297" s="643"/>
      <c r="CU297" s="643"/>
      <c r="CV297" s="643"/>
      <c r="CW297" s="643"/>
      <c r="CX297" s="643"/>
      <c r="CY297" s="643"/>
      <c r="CZ297" s="643"/>
      <c r="DA297" s="643"/>
      <c r="DB297" s="643"/>
      <c r="DC297" s="643"/>
      <c r="DD297" s="643"/>
      <c r="DE297" s="643"/>
    </row>
    <row r="298" spans="34:109" ht="15" hidden="1" customHeight="1">
      <c r="AH298" s="24"/>
      <c r="AI298" s="24"/>
      <c r="AJ298" s="24"/>
      <c r="AK298" s="24"/>
      <c r="AL298" s="630" t="str">
        <f t="shared" si="8"/>
        <v/>
      </c>
      <c r="AM298" s="630" t="str">
        <f t="shared" si="9"/>
        <v/>
      </c>
      <c r="AO298" s="24"/>
      <c r="AP298" s="628">
        <v>296</v>
      </c>
      <c r="AQ298" s="642"/>
      <c r="AR298" s="642"/>
      <c r="AS298" s="642"/>
      <c r="AT298" s="642"/>
      <c r="AU298" s="642"/>
      <c r="AV298" s="642"/>
      <c r="AW298" s="642"/>
      <c r="AX298" s="642"/>
      <c r="AY298" s="642"/>
      <c r="AZ298" s="642"/>
      <c r="BA298" s="642"/>
      <c r="BB298" s="642"/>
      <c r="BC298" s="642"/>
      <c r="BD298" s="642"/>
      <c r="BE298" s="642"/>
      <c r="BF298" s="642"/>
      <c r="BG298" s="642"/>
      <c r="BH298" s="642"/>
      <c r="BI298" s="642"/>
      <c r="BJ298" s="634">
        <v>20295</v>
      </c>
      <c r="BK298" s="642"/>
      <c r="BL298" s="642"/>
      <c r="BM298" s="642"/>
      <c r="BN298" s="642"/>
      <c r="BO298" s="642"/>
      <c r="BP298" s="642"/>
      <c r="BQ298" s="642"/>
      <c r="BR298" s="642"/>
      <c r="BS298" s="642"/>
      <c r="BT298" s="642"/>
      <c r="BU298" s="642"/>
      <c r="BV298" s="642"/>
      <c r="BW298" s="24"/>
      <c r="BX298" s="24"/>
      <c r="BY298" s="24"/>
      <c r="BZ298" s="643"/>
      <c r="CA298" s="643"/>
      <c r="CB298" s="643"/>
      <c r="CC298" s="643"/>
      <c r="CD298" s="643"/>
      <c r="CE298" s="643"/>
      <c r="CF298" s="643"/>
      <c r="CG298" s="643"/>
      <c r="CH298" s="643"/>
      <c r="CI298" s="643"/>
      <c r="CJ298" s="643"/>
      <c r="CK298" s="643"/>
      <c r="CL298" s="643"/>
      <c r="CM298" s="643"/>
      <c r="CN298" s="643"/>
      <c r="CO298" s="643"/>
      <c r="CP298" s="643"/>
      <c r="CQ298" s="643"/>
      <c r="CR298" s="643"/>
      <c r="CS298" s="636" t="s">
        <v>2180</v>
      </c>
      <c r="CT298" s="643"/>
      <c r="CU298" s="643"/>
      <c r="CV298" s="643"/>
      <c r="CW298" s="643"/>
      <c r="CX298" s="643"/>
      <c r="CY298" s="643"/>
      <c r="CZ298" s="643"/>
      <c r="DA298" s="643"/>
      <c r="DB298" s="643"/>
      <c r="DC298" s="643"/>
      <c r="DD298" s="643"/>
      <c r="DE298" s="643"/>
    </row>
    <row r="299" spans="34:109" ht="15" hidden="1" customHeight="1">
      <c r="AH299" s="24"/>
      <c r="AI299" s="24"/>
      <c r="AJ299" s="24"/>
      <c r="AK299" s="24"/>
      <c r="AL299" s="630" t="str">
        <f t="shared" si="8"/>
        <v/>
      </c>
      <c r="AM299" s="630" t="str">
        <f t="shared" si="9"/>
        <v/>
      </c>
      <c r="AO299" s="24"/>
      <c r="AP299" s="628">
        <v>297</v>
      </c>
      <c r="AQ299" s="642"/>
      <c r="AR299" s="642"/>
      <c r="AS299" s="642"/>
      <c r="AT299" s="642"/>
      <c r="AU299" s="642"/>
      <c r="AV299" s="642"/>
      <c r="AW299" s="642"/>
      <c r="AX299" s="642"/>
      <c r="AY299" s="642"/>
      <c r="AZ299" s="642"/>
      <c r="BA299" s="642"/>
      <c r="BB299" s="642"/>
      <c r="BC299" s="642"/>
      <c r="BD299" s="642"/>
      <c r="BE299" s="642"/>
      <c r="BF299" s="642"/>
      <c r="BG299" s="642"/>
      <c r="BH299" s="642"/>
      <c r="BI299" s="642"/>
      <c r="BJ299" s="634">
        <v>20296</v>
      </c>
      <c r="BK299" s="642"/>
      <c r="BL299" s="642"/>
      <c r="BM299" s="642"/>
      <c r="BN299" s="642"/>
      <c r="BO299" s="642"/>
      <c r="BP299" s="642"/>
      <c r="BQ299" s="642"/>
      <c r="BR299" s="642"/>
      <c r="BS299" s="642"/>
      <c r="BT299" s="642"/>
      <c r="BU299" s="642"/>
      <c r="BV299" s="642"/>
      <c r="BW299" s="24"/>
      <c r="BX299" s="24"/>
      <c r="BY299" s="24"/>
      <c r="BZ299" s="643"/>
      <c r="CA299" s="643"/>
      <c r="CB299" s="643"/>
      <c r="CC299" s="643"/>
      <c r="CD299" s="643"/>
      <c r="CE299" s="643"/>
      <c r="CF299" s="643"/>
      <c r="CG299" s="643"/>
      <c r="CH299" s="643"/>
      <c r="CI299" s="643"/>
      <c r="CJ299" s="643"/>
      <c r="CK299" s="643"/>
      <c r="CL299" s="643"/>
      <c r="CM299" s="643"/>
      <c r="CN299" s="643"/>
      <c r="CO299" s="643"/>
      <c r="CP299" s="643"/>
      <c r="CQ299" s="643"/>
      <c r="CR299" s="643"/>
      <c r="CS299" s="636" t="s">
        <v>2181</v>
      </c>
      <c r="CT299" s="643"/>
      <c r="CU299" s="643"/>
      <c r="CV299" s="643"/>
      <c r="CW299" s="643"/>
      <c r="CX299" s="643"/>
      <c r="CY299" s="643"/>
      <c r="CZ299" s="643"/>
      <c r="DA299" s="643"/>
      <c r="DB299" s="643"/>
      <c r="DC299" s="643"/>
      <c r="DD299" s="643"/>
      <c r="DE299" s="643"/>
    </row>
    <row r="300" spans="34:109" ht="15" hidden="1" customHeight="1">
      <c r="AH300" s="24"/>
      <c r="AI300" s="24"/>
      <c r="AJ300" s="24"/>
      <c r="AK300" s="24"/>
      <c r="AL300" s="630" t="str">
        <f t="shared" si="8"/>
        <v/>
      </c>
      <c r="AM300" s="630" t="str">
        <f t="shared" si="9"/>
        <v/>
      </c>
      <c r="AO300" s="24"/>
      <c r="AP300" s="628">
        <v>298</v>
      </c>
      <c r="AQ300" s="642"/>
      <c r="AR300" s="642"/>
      <c r="AS300" s="642"/>
      <c r="AT300" s="642"/>
      <c r="AU300" s="642"/>
      <c r="AV300" s="642"/>
      <c r="AW300" s="642"/>
      <c r="AX300" s="642"/>
      <c r="AY300" s="642"/>
      <c r="AZ300" s="642"/>
      <c r="BA300" s="642"/>
      <c r="BB300" s="642"/>
      <c r="BC300" s="642"/>
      <c r="BD300" s="642"/>
      <c r="BE300" s="642"/>
      <c r="BF300" s="642"/>
      <c r="BG300" s="642"/>
      <c r="BH300" s="642"/>
      <c r="BI300" s="642"/>
      <c r="BJ300" s="634">
        <v>20297</v>
      </c>
      <c r="BK300" s="642"/>
      <c r="BL300" s="642"/>
      <c r="BM300" s="642"/>
      <c r="BN300" s="642"/>
      <c r="BO300" s="642"/>
      <c r="BP300" s="642"/>
      <c r="BQ300" s="642"/>
      <c r="BR300" s="642"/>
      <c r="BS300" s="642"/>
      <c r="BT300" s="642"/>
      <c r="BU300" s="642"/>
      <c r="BV300" s="642"/>
      <c r="BW300" s="24"/>
      <c r="BX300" s="24"/>
      <c r="BY300" s="24"/>
      <c r="BZ300" s="643"/>
      <c r="CA300" s="643"/>
      <c r="CB300" s="643"/>
      <c r="CC300" s="643"/>
      <c r="CD300" s="643"/>
      <c r="CE300" s="643"/>
      <c r="CF300" s="643"/>
      <c r="CG300" s="643"/>
      <c r="CH300" s="643"/>
      <c r="CI300" s="643"/>
      <c r="CJ300" s="643"/>
      <c r="CK300" s="643"/>
      <c r="CL300" s="643"/>
      <c r="CM300" s="643"/>
      <c r="CN300" s="643"/>
      <c r="CO300" s="643"/>
      <c r="CP300" s="643"/>
      <c r="CQ300" s="643"/>
      <c r="CR300" s="643"/>
      <c r="CS300" s="636" t="s">
        <v>2182</v>
      </c>
      <c r="CT300" s="643"/>
      <c r="CU300" s="643"/>
      <c r="CV300" s="643"/>
      <c r="CW300" s="643"/>
      <c r="CX300" s="643"/>
      <c r="CY300" s="643"/>
      <c r="CZ300" s="643"/>
      <c r="DA300" s="643"/>
      <c r="DB300" s="643"/>
      <c r="DC300" s="643"/>
      <c r="DD300" s="643"/>
      <c r="DE300" s="643"/>
    </row>
    <row r="301" spans="34:109" ht="15" hidden="1" customHeight="1">
      <c r="AH301" s="24"/>
      <c r="AI301" s="24"/>
      <c r="AJ301" s="24"/>
      <c r="AK301" s="24"/>
      <c r="AL301" s="630" t="str">
        <f t="shared" si="8"/>
        <v/>
      </c>
      <c r="AM301" s="630" t="str">
        <f t="shared" si="9"/>
        <v/>
      </c>
      <c r="AO301" s="24"/>
      <c r="AP301" s="628">
        <v>299</v>
      </c>
      <c r="AQ301" s="642"/>
      <c r="AR301" s="642"/>
      <c r="AS301" s="642"/>
      <c r="AT301" s="642"/>
      <c r="AU301" s="642"/>
      <c r="AV301" s="642"/>
      <c r="AW301" s="642"/>
      <c r="AX301" s="642"/>
      <c r="AY301" s="642"/>
      <c r="AZ301" s="642"/>
      <c r="BA301" s="642"/>
      <c r="BB301" s="642"/>
      <c r="BC301" s="642"/>
      <c r="BD301" s="642"/>
      <c r="BE301" s="642"/>
      <c r="BF301" s="642"/>
      <c r="BG301" s="642"/>
      <c r="BH301" s="642"/>
      <c r="BI301" s="642"/>
      <c r="BJ301" s="634">
        <v>20298</v>
      </c>
      <c r="BK301" s="642"/>
      <c r="BL301" s="642"/>
      <c r="BM301" s="642"/>
      <c r="BN301" s="642"/>
      <c r="BO301" s="642"/>
      <c r="BP301" s="642"/>
      <c r="BQ301" s="642"/>
      <c r="BR301" s="642"/>
      <c r="BS301" s="642"/>
      <c r="BT301" s="642"/>
      <c r="BU301" s="642"/>
      <c r="BV301" s="642"/>
      <c r="BW301" s="24"/>
      <c r="BX301" s="24"/>
      <c r="BY301" s="24"/>
      <c r="BZ301" s="643"/>
      <c r="CA301" s="643"/>
      <c r="CB301" s="643"/>
      <c r="CC301" s="643"/>
      <c r="CD301" s="643"/>
      <c r="CE301" s="643"/>
      <c r="CF301" s="643"/>
      <c r="CG301" s="643"/>
      <c r="CH301" s="643"/>
      <c r="CI301" s="643"/>
      <c r="CJ301" s="643"/>
      <c r="CK301" s="643"/>
      <c r="CL301" s="643"/>
      <c r="CM301" s="643"/>
      <c r="CN301" s="643"/>
      <c r="CO301" s="643"/>
      <c r="CP301" s="643"/>
      <c r="CQ301" s="643"/>
      <c r="CR301" s="643"/>
      <c r="CS301" s="636" t="s">
        <v>2183</v>
      </c>
      <c r="CT301" s="643"/>
      <c r="CU301" s="643"/>
      <c r="CV301" s="643"/>
      <c r="CW301" s="643"/>
      <c r="CX301" s="643"/>
      <c r="CY301" s="643"/>
      <c r="CZ301" s="643"/>
      <c r="DA301" s="643"/>
      <c r="DB301" s="643"/>
      <c r="DC301" s="643"/>
      <c r="DD301" s="643"/>
      <c r="DE301" s="643"/>
    </row>
    <row r="302" spans="34:109" ht="15" hidden="1" customHeight="1">
      <c r="AH302" s="24"/>
      <c r="AI302" s="24"/>
      <c r="AJ302" s="24"/>
      <c r="AK302" s="24"/>
      <c r="AL302" s="630" t="str">
        <f t="shared" si="8"/>
        <v/>
      </c>
      <c r="AM302" s="630" t="str">
        <f t="shared" si="9"/>
        <v/>
      </c>
      <c r="AO302" s="24"/>
      <c r="AP302" s="628">
        <v>300</v>
      </c>
      <c r="AQ302" s="642"/>
      <c r="AR302" s="642"/>
      <c r="AS302" s="642"/>
      <c r="AT302" s="642"/>
      <c r="AU302" s="642"/>
      <c r="AV302" s="642"/>
      <c r="AW302" s="642"/>
      <c r="AX302" s="642"/>
      <c r="AY302" s="642"/>
      <c r="AZ302" s="642"/>
      <c r="BA302" s="642"/>
      <c r="BB302" s="642"/>
      <c r="BC302" s="642"/>
      <c r="BD302" s="642"/>
      <c r="BE302" s="642"/>
      <c r="BF302" s="642"/>
      <c r="BG302" s="642"/>
      <c r="BH302" s="642"/>
      <c r="BI302" s="642"/>
      <c r="BJ302" s="634">
        <v>20299</v>
      </c>
      <c r="BK302" s="642"/>
      <c r="BL302" s="642"/>
      <c r="BM302" s="642"/>
      <c r="BN302" s="642"/>
      <c r="BO302" s="642"/>
      <c r="BP302" s="642"/>
      <c r="BQ302" s="642"/>
      <c r="BR302" s="642"/>
      <c r="BS302" s="642"/>
      <c r="BT302" s="642"/>
      <c r="BU302" s="642"/>
      <c r="BV302" s="642"/>
      <c r="BW302" s="24"/>
      <c r="BX302" s="24"/>
      <c r="BY302" s="24"/>
      <c r="BZ302" s="643"/>
      <c r="CA302" s="643"/>
      <c r="CB302" s="643"/>
      <c r="CC302" s="643"/>
      <c r="CD302" s="643"/>
      <c r="CE302" s="643"/>
      <c r="CF302" s="643"/>
      <c r="CG302" s="643"/>
      <c r="CH302" s="643"/>
      <c r="CI302" s="643"/>
      <c r="CJ302" s="643"/>
      <c r="CK302" s="643"/>
      <c r="CL302" s="643"/>
      <c r="CM302" s="643"/>
      <c r="CN302" s="643"/>
      <c r="CO302" s="643"/>
      <c r="CP302" s="643"/>
      <c r="CQ302" s="643"/>
      <c r="CR302" s="643"/>
      <c r="CS302" s="636" t="s">
        <v>2184</v>
      </c>
      <c r="CT302" s="643"/>
      <c r="CU302" s="643"/>
      <c r="CV302" s="643"/>
      <c r="CW302" s="643"/>
      <c r="CX302" s="643"/>
      <c r="CY302" s="643"/>
      <c r="CZ302" s="643"/>
      <c r="DA302" s="643"/>
      <c r="DB302" s="643"/>
      <c r="DC302" s="643"/>
      <c r="DD302" s="643"/>
      <c r="DE302" s="643"/>
    </row>
    <row r="303" spans="34:109" ht="15" hidden="1" customHeight="1">
      <c r="AH303" s="24"/>
      <c r="AI303" s="24"/>
      <c r="AJ303" s="24"/>
      <c r="AK303" s="24"/>
      <c r="AL303" s="630" t="str">
        <f t="shared" si="8"/>
        <v/>
      </c>
      <c r="AM303" s="630" t="str">
        <f t="shared" si="9"/>
        <v/>
      </c>
      <c r="AO303" s="24"/>
      <c r="AP303" s="628">
        <v>301</v>
      </c>
      <c r="AQ303" s="642"/>
      <c r="AR303" s="642"/>
      <c r="AS303" s="642"/>
      <c r="AT303" s="642"/>
      <c r="AU303" s="642"/>
      <c r="AV303" s="642"/>
      <c r="AW303" s="642"/>
      <c r="AX303" s="642"/>
      <c r="AY303" s="642"/>
      <c r="AZ303" s="642"/>
      <c r="BA303" s="642"/>
      <c r="BB303" s="642"/>
      <c r="BC303" s="642"/>
      <c r="BD303" s="642"/>
      <c r="BE303" s="642"/>
      <c r="BF303" s="642"/>
      <c r="BG303" s="642"/>
      <c r="BH303" s="642"/>
      <c r="BI303" s="642"/>
      <c r="BJ303" s="634">
        <v>20300</v>
      </c>
      <c r="BK303" s="642"/>
      <c r="BL303" s="642"/>
      <c r="BM303" s="642"/>
      <c r="BN303" s="642"/>
      <c r="BO303" s="642"/>
      <c r="BP303" s="642"/>
      <c r="BQ303" s="642"/>
      <c r="BR303" s="642"/>
      <c r="BS303" s="642"/>
      <c r="BT303" s="642"/>
      <c r="BU303" s="642"/>
      <c r="BV303" s="642"/>
      <c r="BW303" s="24"/>
      <c r="BX303" s="24"/>
      <c r="BY303" s="24"/>
      <c r="BZ303" s="643"/>
      <c r="CA303" s="643"/>
      <c r="CB303" s="643"/>
      <c r="CC303" s="643"/>
      <c r="CD303" s="643"/>
      <c r="CE303" s="643"/>
      <c r="CF303" s="643"/>
      <c r="CG303" s="643"/>
      <c r="CH303" s="643"/>
      <c r="CI303" s="643"/>
      <c r="CJ303" s="643"/>
      <c r="CK303" s="643"/>
      <c r="CL303" s="643"/>
      <c r="CM303" s="643"/>
      <c r="CN303" s="643"/>
      <c r="CO303" s="643"/>
      <c r="CP303" s="643"/>
      <c r="CQ303" s="643"/>
      <c r="CR303" s="643"/>
      <c r="CS303" s="636" t="s">
        <v>2185</v>
      </c>
      <c r="CT303" s="643"/>
      <c r="CU303" s="643"/>
      <c r="CV303" s="643"/>
      <c r="CW303" s="643"/>
      <c r="CX303" s="643"/>
      <c r="CY303" s="643"/>
      <c r="CZ303" s="643"/>
      <c r="DA303" s="643"/>
      <c r="DB303" s="643"/>
      <c r="DC303" s="643"/>
      <c r="DD303" s="643"/>
      <c r="DE303" s="643"/>
    </row>
    <row r="304" spans="34:109" ht="15" hidden="1" customHeight="1">
      <c r="AH304" s="24"/>
      <c r="AI304" s="24"/>
      <c r="AJ304" s="24"/>
      <c r="AK304" s="24"/>
      <c r="AL304" s="630" t="str">
        <f t="shared" si="8"/>
        <v/>
      </c>
      <c r="AM304" s="630" t="str">
        <f t="shared" si="9"/>
        <v/>
      </c>
      <c r="AO304" s="24"/>
      <c r="AP304" s="628">
        <v>302</v>
      </c>
      <c r="AQ304" s="642"/>
      <c r="AR304" s="642"/>
      <c r="AS304" s="642"/>
      <c r="AT304" s="642"/>
      <c r="AU304" s="642"/>
      <c r="AV304" s="642"/>
      <c r="AW304" s="642"/>
      <c r="AX304" s="642"/>
      <c r="AY304" s="642"/>
      <c r="AZ304" s="642"/>
      <c r="BA304" s="642"/>
      <c r="BB304" s="642"/>
      <c r="BC304" s="642"/>
      <c r="BD304" s="642"/>
      <c r="BE304" s="642"/>
      <c r="BF304" s="642"/>
      <c r="BG304" s="642"/>
      <c r="BH304" s="642"/>
      <c r="BI304" s="642"/>
      <c r="BJ304" s="634">
        <v>20301</v>
      </c>
      <c r="BK304" s="642"/>
      <c r="BL304" s="642"/>
      <c r="BM304" s="642"/>
      <c r="BN304" s="642"/>
      <c r="BO304" s="642"/>
      <c r="BP304" s="642"/>
      <c r="BQ304" s="642"/>
      <c r="BR304" s="642"/>
      <c r="BS304" s="642"/>
      <c r="BT304" s="642"/>
      <c r="BU304" s="642"/>
      <c r="BV304" s="642"/>
      <c r="BW304" s="24"/>
      <c r="BX304" s="24"/>
      <c r="BY304" s="24"/>
      <c r="BZ304" s="643"/>
      <c r="CA304" s="643"/>
      <c r="CB304" s="643"/>
      <c r="CC304" s="643"/>
      <c r="CD304" s="643"/>
      <c r="CE304" s="643"/>
      <c r="CF304" s="643"/>
      <c r="CG304" s="643"/>
      <c r="CH304" s="643"/>
      <c r="CI304" s="643"/>
      <c r="CJ304" s="643"/>
      <c r="CK304" s="643"/>
      <c r="CL304" s="643"/>
      <c r="CM304" s="643"/>
      <c r="CN304" s="643"/>
      <c r="CO304" s="643"/>
      <c r="CP304" s="643"/>
      <c r="CQ304" s="643"/>
      <c r="CR304" s="643"/>
      <c r="CS304" s="636" t="s">
        <v>2186</v>
      </c>
      <c r="CT304" s="643"/>
      <c r="CU304" s="643"/>
      <c r="CV304" s="643"/>
      <c r="CW304" s="643"/>
      <c r="CX304" s="643"/>
      <c r="CY304" s="643"/>
      <c r="CZ304" s="643"/>
      <c r="DA304" s="643"/>
      <c r="DB304" s="643"/>
      <c r="DC304" s="643"/>
      <c r="DD304" s="643"/>
      <c r="DE304" s="643"/>
    </row>
    <row r="305" spans="34:109" ht="15" hidden="1" customHeight="1">
      <c r="AH305" s="24"/>
      <c r="AI305" s="24"/>
      <c r="AJ305" s="24"/>
      <c r="AK305" s="24"/>
      <c r="AL305" s="630" t="str">
        <f t="shared" si="8"/>
        <v/>
      </c>
      <c r="AM305" s="630" t="str">
        <f t="shared" si="9"/>
        <v/>
      </c>
      <c r="AO305" s="24"/>
      <c r="AP305" s="628">
        <v>303</v>
      </c>
      <c r="AQ305" s="642"/>
      <c r="AR305" s="642"/>
      <c r="AS305" s="642"/>
      <c r="AT305" s="642"/>
      <c r="AU305" s="642"/>
      <c r="AV305" s="642"/>
      <c r="AW305" s="642"/>
      <c r="AX305" s="642"/>
      <c r="AY305" s="642"/>
      <c r="AZ305" s="642"/>
      <c r="BA305" s="642"/>
      <c r="BB305" s="642"/>
      <c r="BC305" s="642"/>
      <c r="BD305" s="642"/>
      <c r="BE305" s="642"/>
      <c r="BF305" s="642"/>
      <c r="BG305" s="642"/>
      <c r="BH305" s="642"/>
      <c r="BI305" s="642"/>
      <c r="BJ305" s="634">
        <v>20302</v>
      </c>
      <c r="BK305" s="642"/>
      <c r="BL305" s="642"/>
      <c r="BM305" s="642"/>
      <c r="BN305" s="642"/>
      <c r="BO305" s="642"/>
      <c r="BP305" s="642"/>
      <c r="BQ305" s="642"/>
      <c r="BR305" s="642"/>
      <c r="BS305" s="642"/>
      <c r="BT305" s="642"/>
      <c r="BU305" s="642"/>
      <c r="BV305" s="642"/>
      <c r="BW305" s="24"/>
      <c r="BX305" s="24"/>
      <c r="BY305" s="24"/>
      <c r="BZ305" s="643"/>
      <c r="CA305" s="643"/>
      <c r="CB305" s="643"/>
      <c r="CC305" s="643"/>
      <c r="CD305" s="643"/>
      <c r="CE305" s="643"/>
      <c r="CF305" s="643"/>
      <c r="CG305" s="643"/>
      <c r="CH305" s="643"/>
      <c r="CI305" s="643"/>
      <c r="CJ305" s="643"/>
      <c r="CK305" s="643"/>
      <c r="CL305" s="643"/>
      <c r="CM305" s="643"/>
      <c r="CN305" s="643"/>
      <c r="CO305" s="643"/>
      <c r="CP305" s="643"/>
      <c r="CQ305" s="643"/>
      <c r="CR305" s="643"/>
      <c r="CS305" s="636" t="s">
        <v>2187</v>
      </c>
      <c r="CT305" s="643"/>
      <c r="CU305" s="643"/>
      <c r="CV305" s="643"/>
      <c r="CW305" s="643"/>
      <c r="CX305" s="643"/>
      <c r="CY305" s="643"/>
      <c r="CZ305" s="643"/>
      <c r="DA305" s="643"/>
      <c r="DB305" s="643"/>
      <c r="DC305" s="643"/>
      <c r="DD305" s="643"/>
      <c r="DE305" s="643"/>
    </row>
    <row r="306" spans="34:109" ht="15" hidden="1" customHeight="1">
      <c r="AH306" s="24"/>
      <c r="AI306" s="24"/>
      <c r="AJ306" s="24"/>
      <c r="AK306" s="24"/>
      <c r="AL306" s="630" t="str">
        <f t="shared" si="8"/>
        <v/>
      </c>
      <c r="AM306" s="630" t="str">
        <f t="shared" si="9"/>
        <v/>
      </c>
      <c r="AO306" s="24"/>
      <c r="AP306" s="628">
        <v>304</v>
      </c>
      <c r="AQ306" s="642"/>
      <c r="AR306" s="642"/>
      <c r="AS306" s="642"/>
      <c r="AT306" s="642"/>
      <c r="AU306" s="642"/>
      <c r="AV306" s="642"/>
      <c r="AW306" s="642"/>
      <c r="AX306" s="642"/>
      <c r="AY306" s="642"/>
      <c r="AZ306" s="642"/>
      <c r="BA306" s="642"/>
      <c r="BB306" s="642"/>
      <c r="BC306" s="642"/>
      <c r="BD306" s="642"/>
      <c r="BE306" s="642"/>
      <c r="BF306" s="642"/>
      <c r="BG306" s="642"/>
      <c r="BH306" s="642"/>
      <c r="BI306" s="642"/>
      <c r="BJ306" s="634">
        <v>20303</v>
      </c>
      <c r="BK306" s="642"/>
      <c r="BL306" s="642"/>
      <c r="BM306" s="642"/>
      <c r="BN306" s="642"/>
      <c r="BO306" s="642"/>
      <c r="BP306" s="642"/>
      <c r="BQ306" s="642"/>
      <c r="BR306" s="642"/>
      <c r="BS306" s="642"/>
      <c r="BT306" s="642"/>
      <c r="BU306" s="642"/>
      <c r="BV306" s="642"/>
      <c r="BW306" s="24"/>
      <c r="BX306" s="24"/>
      <c r="BY306" s="24"/>
      <c r="BZ306" s="643"/>
      <c r="CA306" s="643"/>
      <c r="CB306" s="643"/>
      <c r="CC306" s="643"/>
      <c r="CD306" s="643"/>
      <c r="CE306" s="643"/>
      <c r="CF306" s="643"/>
      <c r="CG306" s="643"/>
      <c r="CH306" s="643"/>
      <c r="CI306" s="643"/>
      <c r="CJ306" s="643"/>
      <c r="CK306" s="643"/>
      <c r="CL306" s="643"/>
      <c r="CM306" s="643"/>
      <c r="CN306" s="643"/>
      <c r="CO306" s="643"/>
      <c r="CP306" s="643"/>
      <c r="CQ306" s="643"/>
      <c r="CR306" s="643"/>
      <c r="CS306" s="636" t="s">
        <v>2188</v>
      </c>
      <c r="CT306" s="643"/>
      <c r="CU306" s="643"/>
      <c r="CV306" s="643"/>
      <c r="CW306" s="643"/>
      <c r="CX306" s="643"/>
      <c r="CY306" s="643"/>
      <c r="CZ306" s="643"/>
      <c r="DA306" s="643"/>
      <c r="DB306" s="643"/>
      <c r="DC306" s="643"/>
      <c r="DD306" s="643"/>
      <c r="DE306" s="643"/>
    </row>
    <row r="307" spans="34:109" ht="15" hidden="1" customHeight="1">
      <c r="AH307" s="24"/>
      <c r="AI307" s="24"/>
      <c r="AJ307" s="24"/>
      <c r="AK307" s="24"/>
      <c r="AL307" s="630" t="str">
        <f t="shared" si="8"/>
        <v/>
      </c>
      <c r="AM307" s="630" t="str">
        <f t="shared" si="9"/>
        <v/>
      </c>
      <c r="AO307" s="24"/>
      <c r="AP307" s="628">
        <v>305</v>
      </c>
      <c r="AQ307" s="642"/>
      <c r="AR307" s="642"/>
      <c r="AS307" s="642"/>
      <c r="AT307" s="642"/>
      <c r="AU307" s="642"/>
      <c r="AV307" s="642"/>
      <c r="AW307" s="642"/>
      <c r="AX307" s="642"/>
      <c r="AY307" s="642"/>
      <c r="AZ307" s="642"/>
      <c r="BA307" s="642"/>
      <c r="BB307" s="642"/>
      <c r="BC307" s="642"/>
      <c r="BD307" s="642"/>
      <c r="BE307" s="642"/>
      <c r="BF307" s="642"/>
      <c r="BG307" s="642"/>
      <c r="BH307" s="642"/>
      <c r="BI307" s="642"/>
      <c r="BJ307" s="634">
        <v>20304</v>
      </c>
      <c r="BK307" s="642"/>
      <c r="BL307" s="642"/>
      <c r="BM307" s="642"/>
      <c r="BN307" s="642"/>
      <c r="BO307" s="642"/>
      <c r="BP307" s="642"/>
      <c r="BQ307" s="642"/>
      <c r="BR307" s="642"/>
      <c r="BS307" s="642"/>
      <c r="BT307" s="642"/>
      <c r="BU307" s="642"/>
      <c r="BV307" s="642"/>
      <c r="BW307" s="24"/>
      <c r="BX307" s="24"/>
      <c r="BY307" s="24"/>
      <c r="BZ307" s="643"/>
      <c r="CA307" s="643"/>
      <c r="CB307" s="643"/>
      <c r="CC307" s="643"/>
      <c r="CD307" s="643"/>
      <c r="CE307" s="643"/>
      <c r="CF307" s="643"/>
      <c r="CG307" s="643"/>
      <c r="CH307" s="643"/>
      <c r="CI307" s="643"/>
      <c r="CJ307" s="643"/>
      <c r="CK307" s="643"/>
      <c r="CL307" s="643"/>
      <c r="CM307" s="643"/>
      <c r="CN307" s="643"/>
      <c r="CO307" s="643"/>
      <c r="CP307" s="643"/>
      <c r="CQ307" s="643"/>
      <c r="CR307" s="643"/>
      <c r="CS307" s="636" t="s">
        <v>2189</v>
      </c>
      <c r="CT307" s="643"/>
      <c r="CU307" s="643"/>
      <c r="CV307" s="643"/>
      <c r="CW307" s="643"/>
      <c r="CX307" s="643"/>
      <c r="CY307" s="643"/>
      <c r="CZ307" s="643"/>
      <c r="DA307" s="643"/>
      <c r="DB307" s="643"/>
      <c r="DC307" s="643"/>
      <c r="DD307" s="643"/>
      <c r="DE307" s="643"/>
    </row>
    <row r="308" spans="34:109" ht="15" hidden="1" customHeight="1">
      <c r="AH308" s="24"/>
      <c r="AI308" s="24"/>
      <c r="AJ308" s="24"/>
      <c r="AK308" s="24"/>
      <c r="AL308" s="630" t="str">
        <f t="shared" si="8"/>
        <v/>
      </c>
      <c r="AM308" s="630" t="str">
        <f t="shared" si="9"/>
        <v/>
      </c>
      <c r="AO308" s="24"/>
      <c r="AP308" s="628">
        <v>306</v>
      </c>
      <c r="AQ308" s="642"/>
      <c r="AR308" s="642"/>
      <c r="AS308" s="642"/>
      <c r="AT308" s="642"/>
      <c r="AU308" s="642"/>
      <c r="AV308" s="642"/>
      <c r="AW308" s="642"/>
      <c r="AX308" s="642"/>
      <c r="AY308" s="642"/>
      <c r="AZ308" s="642"/>
      <c r="BA308" s="642"/>
      <c r="BB308" s="642"/>
      <c r="BC308" s="642"/>
      <c r="BD308" s="642"/>
      <c r="BE308" s="642"/>
      <c r="BF308" s="642"/>
      <c r="BG308" s="642"/>
      <c r="BH308" s="642"/>
      <c r="BI308" s="642"/>
      <c r="BJ308" s="634">
        <v>20305</v>
      </c>
      <c r="BK308" s="642"/>
      <c r="BL308" s="642"/>
      <c r="BM308" s="642"/>
      <c r="BN308" s="642"/>
      <c r="BO308" s="642"/>
      <c r="BP308" s="642"/>
      <c r="BQ308" s="642"/>
      <c r="BR308" s="642"/>
      <c r="BS308" s="642"/>
      <c r="BT308" s="642"/>
      <c r="BU308" s="642"/>
      <c r="BV308" s="642"/>
      <c r="BW308" s="24"/>
      <c r="BX308" s="24"/>
      <c r="BY308" s="24"/>
      <c r="BZ308" s="643"/>
      <c r="CA308" s="643"/>
      <c r="CB308" s="643"/>
      <c r="CC308" s="643"/>
      <c r="CD308" s="643"/>
      <c r="CE308" s="643"/>
      <c r="CF308" s="643"/>
      <c r="CG308" s="643"/>
      <c r="CH308" s="643"/>
      <c r="CI308" s="643"/>
      <c r="CJ308" s="643"/>
      <c r="CK308" s="643"/>
      <c r="CL308" s="643"/>
      <c r="CM308" s="643"/>
      <c r="CN308" s="643"/>
      <c r="CO308" s="643"/>
      <c r="CP308" s="643"/>
      <c r="CQ308" s="643"/>
      <c r="CR308" s="643"/>
      <c r="CS308" s="636" t="s">
        <v>2190</v>
      </c>
      <c r="CT308" s="643"/>
      <c r="CU308" s="643"/>
      <c r="CV308" s="643"/>
      <c r="CW308" s="643"/>
      <c r="CX308" s="643"/>
      <c r="CY308" s="643"/>
      <c r="CZ308" s="643"/>
      <c r="DA308" s="643"/>
      <c r="DB308" s="643"/>
      <c r="DC308" s="643"/>
      <c r="DD308" s="643"/>
      <c r="DE308" s="643"/>
    </row>
    <row r="309" spans="34:109" ht="15" hidden="1" customHeight="1">
      <c r="AH309" s="24"/>
      <c r="AI309" s="24"/>
      <c r="AJ309" s="24"/>
      <c r="AK309" s="24"/>
      <c r="AL309" s="630" t="str">
        <f t="shared" si="8"/>
        <v/>
      </c>
      <c r="AM309" s="630" t="str">
        <f t="shared" si="9"/>
        <v/>
      </c>
      <c r="AO309" s="24"/>
      <c r="AP309" s="628">
        <v>307</v>
      </c>
      <c r="AQ309" s="642"/>
      <c r="AR309" s="642"/>
      <c r="AS309" s="642"/>
      <c r="AT309" s="642"/>
      <c r="AU309" s="642"/>
      <c r="AV309" s="642"/>
      <c r="AW309" s="642"/>
      <c r="AX309" s="642"/>
      <c r="AY309" s="642"/>
      <c r="AZ309" s="642"/>
      <c r="BA309" s="642"/>
      <c r="BB309" s="642"/>
      <c r="BC309" s="642"/>
      <c r="BD309" s="642"/>
      <c r="BE309" s="642"/>
      <c r="BF309" s="642"/>
      <c r="BG309" s="642"/>
      <c r="BH309" s="642"/>
      <c r="BI309" s="642"/>
      <c r="BJ309" s="634">
        <v>20306</v>
      </c>
      <c r="BK309" s="642"/>
      <c r="BL309" s="642"/>
      <c r="BM309" s="642"/>
      <c r="BN309" s="642"/>
      <c r="BO309" s="642"/>
      <c r="BP309" s="642"/>
      <c r="BQ309" s="642"/>
      <c r="BR309" s="642"/>
      <c r="BS309" s="642"/>
      <c r="BT309" s="642"/>
      <c r="BU309" s="642"/>
      <c r="BV309" s="642"/>
      <c r="BW309" s="24"/>
      <c r="BX309" s="24"/>
      <c r="BY309" s="24"/>
      <c r="BZ309" s="643"/>
      <c r="CA309" s="643"/>
      <c r="CB309" s="643"/>
      <c r="CC309" s="643"/>
      <c r="CD309" s="643"/>
      <c r="CE309" s="643"/>
      <c r="CF309" s="643"/>
      <c r="CG309" s="643"/>
      <c r="CH309" s="643"/>
      <c r="CI309" s="643"/>
      <c r="CJ309" s="643"/>
      <c r="CK309" s="643"/>
      <c r="CL309" s="643"/>
      <c r="CM309" s="643"/>
      <c r="CN309" s="643"/>
      <c r="CO309" s="643"/>
      <c r="CP309" s="643"/>
      <c r="CQ309" s="643"/>
      <c r="CR309" s="643"/>
      <c r="CS309" s="636" t="s">
        <v>2191</v>
      </c>
      <c r="CT309" s="643"/>
      <c r="CU309" s="643"/>
      <c r="CV309" s="643"/>
      <c r="CW309" s="643"/>
      <c r="CX309" s="643"/>
      <c r="CY309" s="643"/>
      <c r="CZ309" s="643"/>
      <c r="DA309" s="643"/>
      <c r="DB309" s="643"/>
      <c r="DC309" s="643"/>
      <c r="DD309" s="643"/>
      <c r="DE309" s="643"/>
    </row>
    <row r="310" spans="34:109" ht="15" hidden="1" customHeight="1">
      <c r="AH310" s="24"/>
      <c r="AI310" s="24"/>
      <c r="AJ310" s="24"/>
      <c r="AK310" s="24"/>
      <c r="AL310" s="630" t="str">
        <f t="shared" si="8"/>
        <v/>
      </c>
      <c r="AM310" s="630" t="str">
        <f t="shared" si="9"/>
        <v/>
      </c>
      <c r="AO310" s="24"/>
      <c r="AP310" s="628">
        <v>308</v>
      </c>
      <c r="AQ310" s="642"/>
      <c r="AR310" s="642"/>
      <c r="AS310" s="642"/>
      <c r="AT310" s="642"/>
      <c r="AU310" s="642"/>
      <c r="AV310" s="642"/>
      <c r="AW310" s="642"/>
      <c r="AX310" s="642"/>
      <c r="AY310" s="642"/>
      <c r="AZ310" s="642"/>
      <c r="BA310" s="642"/>
      <c r="BB310" s="642"/>
      <c r="BC310" s="642"/>
      <c r="BD310" s="642"/>
      <c r="BE310" s="642"/>
      <c r="BF310" s="642"/>
      <c r="BG310" s="642"/>
      <c r="BH310" s="642"/>
      <c r="BI310" s="642"/>
      <c r="BJ310" s="634">
        <v>20307</v>
      </c>
      <c r="BK310" s="642"/>
      <c r="BL310" s="642"/>
      <c r="BM310" s="642"/>
      <c r="BN310" s="642"/>
      <c r="BO310" s="642"/>
      <c r="BP310" s="642"/>
      <c r="BQ310" s="642"/>
      <c r="BR310" s="642"/>
      <c r="BS310" s="642"/>
      <c r="BT310" s="642"/>
      <c r="BU310" s="642"/>
      <c r="BV310" s="642"/>
      <c r="BW310" s="24"/>
      <c r="BX310" s="24"/>
      <c r="BY310" s="24"/>
      <c r="BZ310" s="643"/>
      <c r="CA310" s="643"/>
      <c r="CB310" s="643"/>
      <c r="CC310" s="643"/>
      <c r="CD310" s="643"/>
      <c r="CE310" s="643"/>
      <c r="CF310" s="643"/>
      <c r="CG310" s="643"/>
      <c r="CH310" s="643"/>
      <c r="CI310" s="643"/>
      <c r="CJ310" s="643"/>
      <c r="CK310" s="643"/>
      <c r="CL310" s="643"/>
      <c r="CM310" s="643"/>
      <c r="CN310" s="643"/>
      <c r="CO310" s="643"/>
      <c r="CP310" s="643"/>
      <c r="CQ310" s="643"/>
      <c r="CR310" s="643"/>
      <c r="CS310" s="636" t="s">
        <v>2192</v>
      </c>
      <c r="CT310" s="643"/>
      <c r="CU310" s="643"/>
      <c r="CV310" s="643"/>
      <c r="CW310" s="643"/>
      <c r="CX310" s="643"/>
      <c r="CY310" s="643"/>
      <c r="CZ310" s="643"/>
      <c r="DA310" s="643"/>
      <c r="DB310" s="643"/>
      <c r="DC310" s="643"/>
      <c r="DD310" s="643"/>
      <c r="DE310" s="643"/>
    </row>
    <row r="311" spans="34:109" ht="15" hidden="1" customHeight="1">
      <c r="AH311" s="24"/>
      <c r="AI311" s="24"/>
      <c r="AJ311" s="24"/>
      <c r="AK311" s="24"/>
      <c r="AL311" s="630" t="str">
        <f t="shared" si="8"/>
        <v/>
      </c>
      <c r="AM311" s="630" t="str">
        <f t="shared" si="9"/>
        <v/>
      </c>
      <c r="AO311" s="24"/>
      <c r="AP311" s="628">
        <v>309</v>
      </c>
      <c r="AQ311" s="642"/>
      <c r="AR311" s="642"/>
      <c r="AS311" s="642"/>
      <c r="AT311" s="642"/>
      <c r="AU311" s="642"/>
      <c r="AV311" s="642"/>
      <c r="AW311" s="642"/>
      <c r="AX311" s="642"/>
      <c r="AY311" s="642"/>
      <c r="AZ311" s="642"/>
      <c r="BA311" s="642"/>
      <c r="BB311" s="642"/>
      <c r="BC311" s="642"/>
      <c r="BD311" s="642"/>
      <c r="BE311" s="642"/>
      <c r="BF311" s="642"/>
      <c r="BG311" s="642"/>
      <c r="BH311" s="642"/>
      <c r="BI311" s="642"/>
      <c r="BJ311" s="634">
        <v>20308</v>
      </c>
      <c r="BK311" s="642"/>
      <c r="BL311" s="642"/>
      <c r="BM311" s="642"/>
      <c r="BN311" s="642"/>
      <c r="BO311" s="642"/>
      <c r="BP311" s="642"/>
      <c r="BQ311" s="642"/>
      <c r="BR311" s="642"/>
      <c r="BS311" s="642"/>
      <c r="BT311" s="642"/>
      <c r="BU311" s="642"/>
      <c r="BV311" s="642"/>
      <c r="BW311" s="24"/>
      <c r="BX311" s="24"/>
      <c r="BY311" s="24"/>
      <c r="BZ311" s="643"/>
      <c r="CA311" s="643"/>
      <c r="CB311" s="643"/>
      <c r="CC311" s="643"/>
      <c r="CD311" s="643"/>
      <c r="CE311" s="643"/>
      <c r="CF311" s="643"/>
      <c r="CG311" s="643"/>
      <c r="CH311" s="643"/>
      <c r="CI311" s="643"/>
      <c r="CJ311" s="643"/>
      <c r="CK311" s="643"/>
      <c r="CL311" s="643"/>
      <c r="CM311" s="643"/>
      <c r="CN311" s="643"/>
      <c r="CO311" s="643"/>
      <c r="CP311" s="643"/>
      <c r="CQ311" s="643"/>
      <c r="CR311" s="643"/>
      <c r="CS311" s="636" t="s">
        <v>2193</v>
      </c>
      <c r="CT311" s="643"/>
      <c r="CU311" s="643"/>
      <c r="CV311" s="643"/>
      <c r="CW311" s="643"/>
      <c r="CX311" s="643"/>
      <c r="CY311" s="643"/>
      <c r="CZ311" s="643"/>
      <c r="DA311" s="643"/>
      <c r="DB311" s="643"/>
      <c r="DC311" s="643"/>
      <c r="DD311" s="643"/>
      <c r="DE311" s="643"/>
    </row>
    <row r="312" spans="34:109" ht="15" hidden="1" customHeight="1">
      <c r="AH312" s="24"/>
      <c r="AI312" s="24"/>
      <c r="AJ312" s="24"/>
      <c r="AK312" s="24"/>
      <c r="AL312" s="630" t="str">
        <f t="shared" si="8"/>
        <v/>
      </c>
      <c r="AM312" s="630" t="str">
        <f t="shared" si="9"/>
        <v/>
      </c>
      <c r="AO312" s="24"/>
      <c r="AP312" s="628">
        <v>310</v>
      </c>
      <c r="AQ312" s="642"/>
      <c r="AR312" s="642"/>
      <c r="AS312" s="642"/>
      <c r="AT312" s="642"/>
      <c r="AU312" s="642"/>
      <c r="AV312" s="642"/>
      <c r="AW312" s="642"/>
      <c r="AX312" s="642"/>
      <c r="AY312" s="642"/>
      <c r="AZ312" s="642"/>
      <c r="BA312" s="642"/>
      <c r="BB312" s="642"/>
      <c r="BC312" s="642"/>
      <c r="BD312" s="642"/>
      <c r="BE312" s="642"/>
      <c r="BF312" s="642"/>
      <c r="BG312" s="642"/>
      <c r="BH312" s="642"/>
      <c r="BI312" s="642"/>
      <c r="BJ312" s="634">
        <v>20309</v>
      </c>
      <c r="BK312" s="642"/>
      <c r="BL312" s="642"/>
      <c r="BM312" s="642"/>
      <c r="BN312" s="642"/>
      <c r="BO312" s="642"/>
      <c r="BP312" s="642"/>
      <c r="BQ312" s="642"/>
      <c r="BR312" s="642"/>
      <c r="BS312" s="642"/>
      <c r="BT312" s="642"/>
      <c r="BU312" s="642"/>
      <c r="BV312" s="642"/>
      <c r="BW312" s="24"/>
      <c r="BX312" s="24"/>
      <c r="BY312" s="24"/>
      <c r="BZ312" s="643"/>
      <c r="CA312" s="643"/>
      <c r="CB312" s="643"/>
      <c r="CC312" s="643"/>
      <c r="CD312" s="643"/>
      <c r="CE312" s="643"/>
      <c r="CF312" s="643"/>
      <c r="CG312" s="643"/>
      <c r="CH312" s="643"/>
      <c r="CI312" s="643"/>
      <c r="CJ312" s="643"/>
      <c r="CK312" s="643"/>
      <c r="CL312" s="643"/>
      <c r="CM312" s="643"/>
      <c r="CN312" s="643"/>
      <c r="CO312" s="643"/>
      <c r="CP312" s="643"/>
      <c r="CQ312" s="643"/>
      <c r="CR312" s="643"/>
      <c r="CS312" s="636" t="s">
        <v>2194</v>
      </c>
      <c r="CT312" s="643"/>
      <c r="CU312" s="643"/>
      <c r="CV312" s="643"/>
      <c r="CW312" s="643"/>
      <c r="CX312" s="643"/>
      <c r="CY312" s="643"/>
      <c r="CZ312" s="643"/>
      <c r="DA312" s="643"/>
      <c r="DB312" s="643"/>
      <c r="DC312" s="643"/>
      <c r="DD312" s="643"/>
      <c r="DE312" s="643"/>
    </row>
    <row r="313" spans="34:109" ht="15" hidden="1" customHeight="1">
      <c r="AH313" s="24"/>
      <c r="AI313" s="24"/>
      <c r="AJ313" s="24"/>
      <c r="AK313" s="24"/>
      <c r="AL313" s="630" t="str">
        <f t="shared" si="8"/>
        <v/>
      </c>
      <c r="AM313" s="630" t="str">
        <f t="shared" si="9"/>
        <v/>
      </c>
      <c r="AO313" s="24"/>
      <c r="AP313" s="628">
        <v>311</v>
      </c>
      <c r="AQ313" s="642"/>
      <c r="AR313" s="642"/>
      <c r="AS313" s="642"/>
      <c r="AT313" s="642"/>
      <c r="AU313" s="642"/>
      <c r="AV313" s="642"/>
      <c r="AW313" s="642"/>
      <c r="AX313" s="642"/>
      <c r="AY313" s="642"/>
      <c r="AZ313" s="642"/>
      <c r="BA313" s="642"/>
      <c r="BB313" s="642"/>
      <c r="BC313" s="642"/>
      <c r="BD313" s="642"/>
      <c r="BE313" s="642"/>
      <c r="BF313" s="642"/>
      <c r="BG313" s="642"/>
      <c r="BH313" s="642"/>
      <c r="BI313" s="642"/>
      <c r="BJ313" s="634">
        <v>20310</v>
      </c>
      <c r="BK313" s="642"/>
      <c r="BL313" s="642"/>
      <c r="BM313" s="642"/>
      <c r="BN313" s="642"/>
      <c r="BO313" s="642"/>
      <c r="BP313" s="642"/>
      <c r="BQ313" s="642"/>
      <c r="BR313" s="642"/>
      <c r="BS313" s="642"/>
      <c r="BT313" s="642"/>
      <c r="BU313" s="642"/>
      <c r="BV313" s="642"/>
      <c r="BW313" s="24"/>
      <c r="BX313" s="24"/>
      <c r="BY313" s="24"/>
      <c r="BZ313" s="643"/>
      <c r="CA313" s="643"/>
      <c r="CB313" s="643"/>
      <c r="CC313" s="643"/>
      <c r="CD313" s="643"/>
      <c r="CE313" s="643"/>
      <c r="CF313" s="643"/>
      <c r="CG313" s="643"/>
      <c r="CH313" s="643"/>
      <c r="CI313" s="643"/>
      <c r="CJ313" s="643"/>
      <c r="CK313" s="643"/>
      <c r="CL313" s="643"/>
      <c r="CM313" s="643"/>
      <c r="CN313" s="643"/>
      <c r="CO313" s="643"/>
      <c r="CP313" s="643"/>
      <c r="CQ313" s="643"/>
      <c r="CR313" s="643"/>
      <c r="CS313" s="636" t="s">
        <v>2195</v>
      </c>
      <c r="CT313" s="643"/>
      <c r="CU313" s="643"/>
      <c r="CV313" s="643"/>
      <c r="CW313" s="643"/>
      <c r="CX313" s="643"/>
      <c r="CY313" s="643"/>
      <c r="CZ313" s="643"/>
      <c r="DA313" s="643"/>
      <c r="DB313" s="643"/>
      <c r="DC313" s="643"/>
      <c r="DD313" s="643"/>
      <c r="DE313" s="643"/>
    </row>
    <row r="314" spans="34:109" ht="15" hidden="1" customHeight="1">
      <c r="AH314" s="24"/>
      <c r="AI314" s="24"/>
      <c r="AJ314" s="24"/>
      <c r="AK314" s="24"/>
      <c r="AL314" s="630" t="str">
        <f t="shared" si="8"/>
        <v/>
      </c>
      <c r="AM314" s="630" t="str">
        <f t="shared" si="9"/>
        <v/>
      </c>
      <c r="AO314" s="24"/>
      <c r="AP314" s="628">
        <v>312</v>
      </c>
      <c r="AQ314" s="642"/>
      <c r="AR314" s="642"/>
      <c r="AS314" s="642"/>
      <c r="AT314" s="642"/>
      <c r="AU314" s="642"/>
      <c r="AV314" s="642"/>
      <c r="AW314" s="642"/>
      <c r="AX314" s="642"/>
      <c r="AY314" s="642"/>
      <c r="AZ314" s="642"/>
      <c r="BA314" s="642"/>
      <c r="BB314" s="642"/>
      <c r="BC314" s="642"/>
      <c r="BD314" s="642"/>
      <c r="BE314" s="642"/>
      <c r="BF314" s="642"/>
      <c r="BG314" s="642"/>
      <c r="BH314" s="642"/>
      <c r="BI314" s="642"/>
      <c r="BJ314" s="634">
        <v>20311</v>
      </c>
      <c r="BK314" s="642"/>
      <c r="BL314" s="642"/>
      <c r="BM314" s="642"/>
      <c r="BN314" s="642"/>
      <c r="BO314" s="642"/>
      <c r="BP314" s="642"/>
      <c r="BQ314" s="642"/>
      <c r="BR314" s="642"/>
      <c r="BS314" s="642"/>
      <c r="BT314" s="642"/>
      <c r="BU314" s="642"/>
      <c r="BV314" s="642"/>
      <c r="BW314" s="24"/>
      <c r="BX314" s="24"/>
      <c r="BY314" s="24"/>
      <c r="BZ314" s="643"/>
      <c r="CA314" s="643"/>
      <c r="CB314" s="643"/>
      <c r="CC314" s="643"/>
      <c r="CD314" s="643"/>
      <c r="CE314" s="643"/>
      <c r="CF314" s="643"/>
      <c r="CG314" s="643"/>
      <c r="CH314" s="643"/>
      <c r="CI314" s="643"/>
      <c r="CJ314" s="643"/>
      <c r="CK314" s="643"/>
      <c r="CL314" s="643"/>
      <c r="CM314" s="643"/>
      <c r="CN314" s="643"/>
      <c r="CO314" s="643"/>
      <c r="CP314" s="643"/>
      <c r="CQ314" s="643"/>
      <c r="CR314" s="643"/>
      <c r="CS314" s="636" t="s">
        <v>2196</v>
      </c>
      <c r="CT314" s="643"/>
      <c r="CU314" s="643"/>
      <c r="CV314" s="643"/>
      <c r="CW314" s="643"/>
      <c r="CX314" s="643"/>
      <c r="CY314" s="643"/>
      <c r="CZ314" s="643"/>
      <c r="DA314" s="643"/>
      <c r="DB314" s="643"/>
      <c r="DC314" s="643"/>
      <c r="DD314" s="643"/>
      <c r="DE314" s="643"/>
    </row>
    <row r="315" spans="34:109" ht="15" hidden="1" customHeight="1">
      <c r="AH315" s="24"/>
      <c r="AI315" s="24"/>
      <c r="AJ315" s="24"/>
      <c r="AK315" s="24"/>
      <c r="AL315" s="630" t="str">
        <f t="shared" si="8"/>
        <v/>
      </c>
      <c r="AM315" s="630" t="str">
        <f t="shared" si="9"/>
        <v/>
      </c>
      <c r="AO315" s="24"/>
      <c r="AP315" s="628">
        <v>313</v>
      </c>
      <c r="AQ315" s="642"/>
      <c r="AR315" s="642"/>
      <c r="AS315" s="642"/>
      <c r="AT315" s="642"/>
      <c r="AU315" s="642"/>
      <c r="AV315" s="642"/>
      <c r="AW315" s="642"/>
      <c r="AX315" s="642"/>
      <c r="AY315" s="642"/>
      <c r="AZ315" s="642"/>
      <c r="BA315" s="642"/>
      <c r="BB315" s="642"/>
      <c r="BC315" s="642"/>
      <c r="BD315" s="642"/>
      <c r="BE315" s="642"/>
      <c r="BF315" s="642"/>
      <c r="BG315" s="642"/>
      <c r="BH315" s="642"/>
      <c r="BI315" s="642"/>
      <c r="BJ315" s="634">
        <v>20312</v>
      </c>
      <c r="BK315" s="642"/>
      <c r="BL315" s="642"/>
      <c r="BM315" s="642"/>
      <c r="BN315" s="642"/>
      <c r="BO315" s="642"/>
      <c r="BP315" s="642"/>
      <c r="BQ315" s="642"/>
      <c r="BR315" s="642"/>
      <c r="BS315" s="642"/>
      <c r="BT315" s="642"/>
      <c r="BU315" s="642"/>
      <c r="BV315" s="642"/>
      <c r="BW315" s="24"/>
      <c r="BX315" s="24"/>
      <c r="BY315" s="24"/>
      <c r="BZ315" s="643"/>
      <c r="CA315" s="643"/>
      <c r="CB315" s="643"/>
      <c r="CC315" s="643"/>
      <c r="CD315" s="643"/>
      <c r="CE315" s="643"/>
      <c r="CF315" s="643"/>
      <c r="CG315" s="643"/>
      <c r="CH315" s="643"/>
      <c r="CI315" s="643"/>
      <c r="CJ315" s="643"/>
      <c r="CK315" s="643"/>
      <c r="CL315" s="643"/>
      <c r="CM315" s="643"/>
      <c r="CN315" s="643"/>
      <c r="CO315" s="643"/>
      <c r="CP315" s="643"/>
      <c r="CQ315" s="643"/>
      <c r="CR315" s="643"/>
      <c r="CS315" s="636" t="s">
        <v>2197</v>
      </c>
      <c r="CT315" s="643"/>
      <c r="CU315" s="643"/>
      <c r="CV315" s="643"/>
      <c r="CW315" s="643"/>
      <c r="CX315" s="643"/>
      <c r="CY315" s="643"/>
      <c r="CZ315" s="643"/>
      <c r="DA315" s="643"/>
      <c r="DB315" s="643"/>
      <c r="DC315" s="643"/>
      <c r="DD315" s="643"/>
      <c r="DE315" s="643"/>
    </row>
    <row r="316" spans="34:109" ht="15" hidden="1" customHeight="1">
      <c r="AH316" s="24"/>
      <c r="AI316" s="24"/>
      <c r="AJ316" s="24"/>
      <c r="AK316" s="24"/>
      <c r="AL316" s="630" t="str">
        <f t="shared" si="8"/>
        <v/>
      </c>
      <c r="AM316" s="630" t="str">
        <f t="shared" si="9"/>
        <v/>
      </c>
      <c r="AO316" s="24"/>
      <c r="AP316" s="628">
        <v>314</v>
      </c>
      <c r="AQ316" s="642"/>
      <c r="AR316" s="642"/>
      <c r="AS316" s="642"/>
      <c r="AT316" s="642"/>
      <c r="AU316" s="642"/>
      <c r="AV316" s="642"/>
      <c r="AW316" s="642"/>
      <c r="AX316" s="642"/>
      <c r="AY316" s="642"/>
      <c r="AZ316" s="642"/>
      <c r="BA316" s="642"/>
      <c r="BB316" s="642"/>
      <c r="BC316" s="642"/>
      <c r="BD316" s="642"/>
      <c r="BE316" s="642"/>
      <c r="BF316" s="642"/>
      <c r="BG316" s="642"/>
      <c r="BH316" s="642"/>
      <c r="BI316" s="642"/>
      <c r="BJ316" s="634">
        <v>20313</v>
      </c>
      <c r="BK316" s="642"/>
      <c r="BL316" s="642"/>
      <c r="BM316" s="642"/>
      <c r="BN316" s="642"/>
      <c r="BO316" s="642"/>
      <c r="BP316" s="642"/>
      <c r="BQ316" s="642"/>
      <c r="BR316" s="642"/>
      <c r="BS316" s="642"/>
      <c r="BT316" s="642"/>
      <c r="BU316" s="642"/>
      <c r="BV316" s="642"/>
      <c r="BW316" s="24"/>
      <c r="BX316" s="24"/>
      <c r="BY316" s="24"/>
      <c r="BZ316" s="643"/>
      <c r="CA316" s="643"/>
      <c r="CB316" s="643"/>
      <c r="CC316" s="643"/>
      <c r="CD316" s="643"/>
      <c r="CE316" s="643"/>
      <c r="CF316" s="643"/>
      <c r="CG316" s="643"/>
      <c r="CH316" s="643"/>
      <c r="CI316" s="643"/>
      <c r="CJ316" s="643"/>
      <c r="CK316" s="643"/>
      <c r="CL316" s="643"/>
      <c r="CM316" s="643"/>
      <c r="CN316" s="643"/>
      <c r="CO316" s="643"/>
      <c r="CP316" s="643"/>
      <c r="CQ316" s="643"/>
      <c r="CR316" s="643"/>
      <c r="CS316" s="636" t="s">
        <v>2198</v>
      </c>
      <c r="CT316" s="643"/>
      <c r="CU316" s="643"/>
      <c r="CV316" s="643"/>
      <c r="CW316" s="643"/>
      <c r="CX316" s="643"/>
      <c r="CY316" s="643"/>
      <c r="CZ316" s="643"/>
      <c r="DA316" s="643"/>
      <c r="DB316" s="643"/>
      <c r="DC316" s="643"/>
      <c r="DD316" s="643"/>
      <c r="DE316" s="643"/>
    </row>
    <row r="317" spans="34:109" ht="15" hidden="1" customHeight="1">
      <c r="AH317" s="24"/>
      <c r="AI317" s="24"/>
      <c r="AJ317" s="24"/>
      <c r="AK317" s="24"/>
      <c r="AL317" s="630" t="str">
        <f t="shared" si="8"/>
        <v/>
      </c>
      <c r="AM317" s="630" t="str">
        <f t="shared" si="9"/>
        <v/>
      </c>
      <c r="AO317" s="24"/>
      <c r="AP317" s="628">
        <v>315</v>
      </c>
      <c r="AQ317" s="642"/>
      <c r="AR317" s="642"/>
      <c r="AS317" s="642"/>
      <c r="AT317" s="642"/>
      <c r="AU317" s="642"/>
      <c r="AV317" s="642"/>
      <c r="AW317" s="642"/>
      <c r="AX317" s="642"/>
      <c r="AY317" s="642"/>
      <c r="AZ317" s="642"/>
      <c r="BA317" s="642"/>
      <c r="BB317" s="642"/>
      <c r="BC317" s="642"/>
      <c r="BD317" s="642"/>
      <c r="BE317" s="642"/>
      <c r="BF317" s="642"/>
      <c r="BG317" s="642"/>
      <c r="BH317" s="642"/>
      <c r="BI317" s="642"/>
      <c r="BJ317" s="634">
        <v>20314</v>
      </c>
      <c r="BK317" s="642"/>
      <c r="BL317" s="642"/>
      <c r="BM317" s="642"/>
      <c r="BN317" s="642"/>
      <c r="BO317" s="642"/>
      <c r="BP317" s="642"/>
      <c r="BQ317" s="642"/>
      <c r="BR317" s="642"/>
      <c r="BS317" s="642"/>
      <c r="BT317" s="642"/>
      <c r="BU317" s="642"/>
      <c r="BV317" s="642"/>
      <c r="BW317" s="24"/>
      <c r="BX317" s="24"/>
      <c r="BY317" s="24"/>
      <c r="BZ317" s="643"/>
      <c r="CA317" s="643"/>
      <c r="CB317" s="643"/>
      <c r="CC317" s="643"/>
      <c r="CD317" s="643"/>
      <c r="CE317" s="643"/>
      <c r="CF317" s="643"/>
      <c r="CG317" s="643"/>
      <c r="CH317" s="643"/>
      <c r="CI317" s="643"/>
      <c r="CJ317" s="643"/>
      <c r="CK317" s="643"/>
      <c r="CL317" s="643"/>
      <c r="CM317" s="643"/>
      <c r="CN317" s="643"/>
      <c r="CO317" s="643"/>
      <c r="CP317" s="643"/>
      <c r="CQ317" s="643"/>
      <c r="CR317" s="643"/>
      <c r="CS317" s="636" t="s">
        <v>2199</v>
      </c>
      <c r="CT317" s="643"/>
      <c r="CU317" s="643"/>
      <c r="CV317" s="643"/>
      <c r="CW317" s="643"/>
      <c r="CX317" s="643"/>
      <c r="CY317" s="643"/>
      <c r="CZ317" s="643"/>
      <c r="DA317" s="643"/>
      <c r="DB317" s="643"/>
      <c r="DC317" s="643"/>
      <c r="DD317" s="643"/>
      <c r="DE317" s="643"/>
    </row>
    <row r="318" spans="34:109" ht="15" hidden="1" customHeight="1">
      <c r="AH318" s="24"/>
      <c r="AI318" s="24"/>
      <c r="AJ318" s="24"/>
      <c r="AK318" s="24"/>
      <c r="AL318" s="630" t="str">
        <f t="shared" si="8"/>
        <v/>
      </c>
      <c r="AM318" s="630" t="str">
        <f t="shared" si="9"/>
        <v/>
      </c>
      <c r="AO318" s="24"/>
      <c r="AP318" s="628">
        <v>316</v>
      </c>
      <c r="AQ318" s="642"/>
      <c r="AR318" s="642"/>
      <c r="AS318" s="642"/>
      <c r="AT318" s="642"/>
      <c r="AU318" s="642"/>
      <c r="AV318" s="642"/>
      <c r="AW318" s="642"/>
      <c r="AX318" s="642"/>
      <c r="AY318" s="642"/>
      <c r="AZ318" s="642"/>
      <c r="BA318" s="642"/>
      <c r="BB318" s="642"/>
      <c r="BC318" s="642"/>
      <c r="BD318" s="642"/>
      <c r="BE318" s="642"/>
      <c r="BF318" s="642"/>
      <c r="BG318" s="642"/>
      <c r="BH318" s="642"/>
      <c r="BI318" s="642"/>
      <c r="BJ318" s="634">
        <v>20315</v>
      </c>
      <c r="BK318" s="642"/>
      <c r="BL318" s="642"/>
      <c r="BM318" s="642"/>
      <c r="BN318" s="642"/>
      <c r="BO318" s="642"/>
      <c r="BP318" s="642"/>
      <c r="BQ318" s="642"/>
      <c r="BR318" s="642"/>
      <c r="BS318" s="642"/>
      <c r="BT318" s="642"/>
      <c r="BU318" s="642"/>
      <c r="BV318" s="642"/>
      <c r="BW318" s="24"/>
      <c r="BX318" s="24"/>
      <c r="BY318" s="24"/>
      <c r="BZ318" s="643"/>
      <c r="CA318" s="643"/>
      <c r="CB318" s="643"/>
      <c r="CC318" s="643"/>
      <c r="CD318" s="643"/>
      <c r="CE318" s="643"/>
      <c r="CF318" s="643"/>
      <c r="CG318" s="643"/>
      <c r="CH318" s="643"/>
      <c r="CI318" s="643"/>
      <c r="CJ318" s="643"/>
      <c r="CK318" s="643"/>
      <c r="CL318" s="643"/>
      <c r="CM318" s="643"/>
      <c r="CN318" s="643"/>
      <c r="CO318" s="643"/>
      <c r="CP318" s="643"/>
      <c r="CQ318" s="643"/>
      <c r="CR318" s="643"/>
      <c r="CS318" s="636" t="s">
        <v>2200</v>
      </c>
      <c r="CT318" s="643"/>
      <c r="CU318" s="643"/>
      <c r="CV318" s="643"/>
      <c r="CW318" s="643"/>
      <c r="CX318" s="643"/>
      <c r="CY318" s="643"/>
      <c r="CZ318" s="643"/>
      <c r="DA318" s="643"/>
      <c r="DB318" s="643"/>
      <c r="DC318" s="643"/>
      <c r="DD318" s="643"/>
      <c r="DE318" s="643"/>
    </row>
    <row r="319" spans="34:109" ht="15" hidden="1" customHeight="1">
      <c r="AH319" s="24"/>
      <c r="AI319" s="24"/>
      <c r="AJ319" s="24"/>
      <c r="AK319" s="24"/>
      <c r="AL319" s="630" t="str">
        <f t="shared" si="8"/>
        <v/>
      </c>
      <c r="AM319" s="630" t="str">
        <f t="shared" si="9"/>
        <v/>
      </c>
      <c r="AO319" s="24"/>
      <c r="AP319" s="628">
        <v>317</v>
      </c>
      <c r="AQ319" s="642"/>
      <c r="AR319" s="642"/>
      <c r="AS319" s="642"/>
      <c r="AT319" s="642"/>
      <c r="AU319" s="642"/>
      <c r="AV319" s="642"/>
      <c r="AW319" s="642"/>
      <c r="AX319" s="642"/>
      <c r="AY319" s="642"/>
      <c r="AZ319" s="642"/>
      <c r="BA319" s="642"/>
      <c r="BB319" s="642"/>
      <c r="BC319" s="642"/>
      <c r="BD319" s="642"/>
      <c r="BE319" s="642"/>
      <c r="BF319" s="642"/>
      <c r="BG319" s="642"/>
      <c r="BH319" s="642"/>
      <c r="BI319" s="642"/>
      <c r="BJ319" s="634">
        <v>20316</v>
      </c>
      <c r="BK319" s="642"/>
      <c r="BL319" s="642"/>
      <c r="BM319" s="642"/>
      <c r="BN319" s="642"/>
      <c r="BO319" s="642"/>
      <c r="BP319" s="642"/>
      <c r="BQ319" s="642"/>
      <c r="BR319" s="642"/>
      <c r="BS319" s="642"/>
      <c r="BT319" s="642"/>
      <c r="BU319" s="642"/>
      <c r="BV319" s="642"/>
      <c r="BW319" s="24"/>
      <c r="BX319" s="24"/>
      <c r="BY319" s="24"/>
      <c r="BZ319" s="643"/>
      <c r="CA319" s="643"/>
      <c r="CB319" s="643"/>
      <c r="CC319" s="643"/>
      <c r="CD319" s="643"/>
      <c r="CE319" s="643"/>
      <c r="CF319" s="643"/>
      <c r="CG319" s="643"/>
      <c r="CH319" s="643"/>
      <c r="CI319" s="643"/>
      <c r="CJ319" s="643"/>
      <c r="CK319" s="643"/>
      <c r="CL319" s="643"/>
      <c r="CM319" s="643"/>
      <c r="CN319" s="643"/>
      <c r="CO319" s="643"/>
      <c r="CP319" s="643"/>
      <c r="CQ319" s="643"/>
      <c r="CR319" s="643"/>
      <c r="CS319" s="636" t="s">
        <v>2201</v>
      </c>
      <c r="CT319" s="643"/>
      <c r="CU319" s="643"/>
      <c r="CV319" s="643"/>
      <c r="CW319" s="643"/>
      <c r="CX319" s="643"/>
      <c r="CY319" s="643"/>
      <c r="CZ319" s="643"/>
      <c r="DA319" s="643"/>
      <c r="DB319" s="643"/>
      <c r="DC319" s="643"/>
      <c r="DD319" s="643"/>
      <c r="DE319" s="643"/>
    </row>
    <row r="320" spans="34:109" ht="15" hidden="1" customHeight="1">
      <c r="AH320" s="24"/>
      <c r="AI320" s="24"/>
      <c r="AJ320" s="24"/>
      <c r="AK320" s="24"/>
      <c r="AL320" s="630" t="str">
        <f t="shared" si="8"/>
        <v/>
      </c>
      <c r="AM320" s="630" t="str">
        <f t="shared" si="9"/>
        <v/>
      </c>
      <c r="AO320" s="24"/>
      <c r="AP320" s="628">
        <v>318</v>
      </c>
      <c r="AQ320" s="642"/>
      <c r="AR320" s="642"/>
      <c r="AS320" s="642"/>
      <c r="AT320" s="642"/>
      <c r="AU320" s="642"/>
      <c r="AV320" s="642"/>
      <c r="AW320" s="642"/>
      <c r="AX320" s="642"/>
      <c r="AY320" s="642"/>
      <c r="AZ320" s="642"/>
      <c r="BA320" s="642"/>
      <c r="BB320" s="642"/>
      <c r="BC320" s="642"/>
      <c r="BD320" s="642"/>
      <c r="BE320" s="642"/>
      <c r="BF320" s="642"/>
      <c r="BG320" s="642"/>
      <c r="BH320" s="642"/>
      <c r="BI320" s="642"/>
      <c r="BJ320" s="634">
        <v>20317</v>
      </c>
      <c r="BK320" s="642"/>
      <c r="BL320" s="642"/>
      <c r="BM320" s="642"/>
      <c r="BN320" s="642"/>
      <c r="BO320" s="642"/>
      <c r="BP320" s="642"/>
      <c r="BQ320" s="642"/>
      <c r="BR320" s="642"/>
      <c r="BS320" s="642"/>
      <c r="BT320" s="642"/>
      <c r="BU320" s="642"/>
      <c r="BV320" s="642"/>
      <c r="BW320" s="24"/>
      <c r="BX320" s="24"/>
      <c r="BY320" s="24"/>
      <c r="BZ320" s="643"/>
      <c r="CA320" s="643"/>
      <c r="CB320" s="643"/>
      <c r="CC320" s="643"/>
      <c r="CD320" s="643"/>
      <c r="CE320" s="643"/>
      <c r="CF320" s="643"/>
      <c r="CG320" s="643"/>
      <c r="CH320" s="643"/>
      <c r="CI320" s="643"/>
      <c r="CJ320" s="643"/>
      <c r="CK320" s="643"/>
      <c r="CL320" s="643"/>
      <c r="CM320" s="643"/>
      <c r="CN320" s="643"/>
      <c r="CO320" s="643"/>
      <c r="CP320" s="643"/>
      <c r="CQ320" s="643"/>
      <c r="CR320" s="643"/>
      <c r="CS320" s="636" t="s">
        <v>2202</v>
      </c>
      <c r="CT320" s="643"/>
      <c r="CU320" s="643"/>
      <c r="CV320" s="643"/>
      <c r="CW320" s="643"/>
      <c r="CX320" s="643"/>
      <c r="CY320" s="643"/>
      <c r="CZ320" s="643"/>
      <c r="DA320" s="643"/>
      <c r="DB320" s="643"/>
      <c r="DC320" s="643"/>
      <c r="DD320" s="643"/>
      <c r="DE320" s="643"/>
    </row>
    <row r="321" spans="34:109" ht="15" hidden="1" customHeight="1">
      <c r="AH321" s="24"/>
      <c r="AI321" s="24"/>
      <c r="AJ321" s="24"/>
      <c r="AK321" s="24"/>
      <c r="AL321" s="630" t="str">
        <f t="shared" si="8"/>
        <v/>
      </c>
      <c r="AM321" s="630" t="str">
        <f t="shared" si="9"/>
        <v/>
      </c>
      <c r="AO321" s="24"/>
      <c r="AP321" s="628">
        <v>319</v>
      </c>
      <c r="AQ321" s="642"/>
      <c r="AR321" s="642"/>
      <c r="AS321" s="642"/>
      <c r="AT321" s="642"/>
      <c r="AU321" s="642"/>
      <c r="AV321" s="642"/>
      <c r="AW321" s="642"/>
      <c r="AX321" s="642"/>
      <c r="AY321" s="642"/>
      <c r="AZ321" s="642"/>
      <c r="BA321" s="642"/>
      <c r="BB321" s="642"/>
      <c r="BC321" s="642"/>
      <c r="BD321" s="642"/>
      <c r="BE321" s="642"/>
      <c r="BF321" s="642"/>
      <c r="BG321" s="642"/>
      <c r="BH321" s="642"/>
      <c r="BI321" s="642"/>
      <c r="BJ321" s="634">
        <v>20318</v>
      </c>
      <c r="BK321" s="642"/>
      <c r="BL321" s="642"/>
      <c r="BM321" s="642"/>
      <c r="BN321" s="642"/>
      <c r="BO321" s="642"/>
      <c r="BP321" s="642"/>
      <c r="BQ321" s="642"/>
      <c r="BR321" s="642"/>
      <c r="BS321" s="642"/>
      <c r="BT321" s="642"/>
      <c r="BU321" s="642"/>
      <c r="BV321" s="642"/>
      <c r="BW321" s="24"/>
      <c r="BX321" s="24"/>
      <c r="BY321" s="24"/>
      <c r="BZ321" s="643"/>
      <c r="CA321" s="643"/>
      <c r="CB321" s="643"/>
      <c r="CC321" s="643"/>
      <c r="CD321" s="643"/>
      <c r="CE321" s="643"/>
      <c r="CF321" s="643"/>
      <c r="CG321" s="643"/>
      <c r="CH321" s="643"/>
      <c r="CI321" s="643"/>
      <c r="CJ321" s="643"/>
      <c r="CK321" s="643"/>
      <c r="CL321" s="643"/>
      <c r="CM321" s="643"/>
      <c r="CN321" s="643"/>
      <c r="CO321" s="643"/>
      <c r="CP321" s="643"/>
      <c r="CQ321" s="643"/>
      <c r="CR321" s="643"/>
      <c r="CS321" s="649" t="s">
        <v>2203</v>
      </c>
      <c r="CT321" s="643"/>
      <c r="CU321" s="643"/>
      <c r="CV321" s="643"/>
      <c r="CW321" s="643"/>
      <c r="CX321" s="643"/>
      <c r="CY321" s="643"/>
      <c r="CZ321" s="643"/>
      <c r="DA321" s="643"/>
      <c r="DB321" s="643"/>
      <c r="DC321" s="643"/>
      <c r="DD321" s="643"/>
      <c r="DE321" s="643"/>
    </row>
    <row r="322" spans="34:109" ht="15" hidden="1" customHeight="1">
      <c r="AH322" s="24"/>
      <c r="AI322" s="24"/>
      <c r="AJ322" s="24"/>
      <c r="AK322" s="24"/>
      <c r="AL322" s="630" t="str">
        <f t="shared" si="8"/>
        <v/>
      </c>
      <c r="AM322" s="630" t="str">
        <f t="shared" si="9"/>
        <v/>
      </c>
      <c r="AO322" s="24"/>
      <c r="AP322" s="628">
        <v>320</v>
      </c>
      <c r="AQ322" s="642"/>
      <c r="AR322" s="642"/>
      <c r="AS322" s="642"/>
      <c r="AT322" s="642"/>
      <c r="AU322" s="642"/>
      <c r="AV322" s="642"/>
      <c r="AW322" s="642"/>
      <c r="AX322" s="642"/>
      <c r="AY322" s="642"/>
      <c r="AZ322" s="642"/>
      <c r="BA322" s="642"/>
      <c r="BB322" s="642"/>
      <c r="BC322" s="642"/>
      <c r="BD322" s="642"/>
      <c r="BE322" s="642"/>
      <c r="BF322" s="642"/>
      <c r="BG322" s="642"/>
      <c r="BH322" s="642"/>
      <c r="BI322" s="642"/>
      <c r="BJ322" s="634">
        <v>20319</v>
      </c>
      <c r="BK322" s="642"/>
      <c r="BL322" s="642"/>
      <c r="BM322" s="642"/>
      <c r="BN322" s="642"/>
      <c r="BO322" s="642"/>
      <c r="BP322" s="642"/>
      <c r="BQ322" s="642"/>
      <c r="BR322" s="642"/>
      <c r="BS322" s="642"/>
      <c r="BT322" s="642"/>
      <c r="BU322" s="642"/>
      <c r="BV322" s="642"/>
      <c r="BW322" s="24"/>
      <c r="BX322" s="24"/>
      <c r="BY322" s="24"/>
      <c r="BZ322" s="643"/>
      <c r="CA322" s="643"/>
      <c r="CB322" s="643"/>
      <c r="CC322" s="643"/>
      <c r="CD322" s="643"/>
      <c r="CE322" s="643"/>
      <c r="CF322" s="643"/>
      <c r="CG322" s="643"/>
      <c r="CH322" s="643"/>
      <c r="CI322" s="643"/>
      <c r="CJ322" s="643"/>
      <c r="CK322" s="643"/>
      <c r="CL322" s="643"/>
      <c r="CM322" s="643"/>
      <c r="CN322" s="643"/>
      <c r="CO322" s="643"/>
      <c r="CP322" s="643"/>
      <c r="CQ322" s="643"/>
      <c r="CR322" s="643"/>
      <c r="CS322" s="649" t="s">
        <v>2204</v>
      </c>
      <c r="CT322" s="643"/>
      <c r="CU322" s="643"/>
      <c r="CV322" s="643"/>
      <c r="CW322" s="643"/>
      <c r="CX322" s="643"/>
      <c r="CY322" s="643"/>
      <c r="CZ322" s="643"/>
      <c r="DA322" s="643"/>
      <c r="DB322" s="643"/>
      <c r="DC322" s="643"/>
      <c r="DD322" s="643"/>
      <c r="DE322" s="643"/>
    </row>
    <row r="323" spans="34:109" ht="15" hidden="1" customHeight="1">
      <c r="AH323" s="24"/>
      <c r="AI323" s="24"/>
      <c r="AJ323" s="24"/>
      <c r="AK323" s="24"/>
      <c r="AL323" s="630" t="str">
        <f t="shared" si="8"/>
        <v/>
      </c>
      <c r="AM323" s="630" t="str">
        <f t="shared" si="9"/>
        <v/>
      </c>
      <c r="AO323" s="24"/>
      <c r="AP323" s="628">
        <v>321</v>
      </c>
      <c r="AQ323" s="642"/>
      <c r="AR323" s="642"/>
      <c r="AS323" s="642"/>
      <c r="AT323" s="642"/>
      <c r="AU323" s="642"/>
      <c r="AV323" s="642"/>
      <c r="AW323" s="642"/>
      <c r="AX323" s="642"/>
      <c r="AY323" s="642"/>
      <c r="AZ323" s="642"/>
      <c r="BA323" s="642"/>
      <c r="BB323" s="642"/>
      <c r="BC323" s="642"/>
      <c r="BD323" s="642"/>
      <c r="BE323" s="642"/>
      <c r="BF323" s="642"/>
      <c r="BG323" s="642"/>
      <c r="BH323" s="642"/>
      <c r="BI323" s="642"/>
      <c r="BJ323" s="634">
        <v>20320</v>
      </c>
      <c r="BK323" s="642"/>
      <c r="BL323" s="642"/>
      <c r="BM323" s="642"/>
      <c r="BN323" s="642"/>
      <c r="BO323" s="642"/>
      <c r="BP323" s="642"/>
      <c r="BQ323" s="642"/>
      <c r="BR323" s="642"/>
      <c r="BS323" s="642"/>
      <c r="BT323" s="642"/>
      <c r="BU323" s="642"/>
      <c r="BV323" s="642"/>
      <c r="BW323" s="24"/>
      <c r="BX323" s="24"/>
      <c r="BY323" s="24"/>
      <c r="BZ323" s="643"/>
      <c r="CA323" s="643"/>
      <c r="CB323" s="643"/>
      <c r="CC323" s="643"/>
      <c r="CD323" s="643"/>
      <c r="CE323" s="643"/>
      <c r="CF323" s="643"/>
      <c r="CG323" s="643"/>
      <c r="CH323" s="643"/>
      <c r="CI323" s="643"/>
      <c r="CJ323" s="643"/>
      <c r="CK323" s="643"/>
      <c r="CL323" s="643"/>
      <c r="CM323" s="643"/>
      <c r="CN323" s="643"/>
      <c r="CO323" s="643"/>
      <c r="CP323" s="643"/>
      <c r="CQ323" s="643"/>
      <c r="CR323" s="643"/>
      <c r="CS323" s="636" t="s">
        <v>2205</v>
      </c>
      <c r="CT323" s="643"/>
      <c r="CU323" s="643"/>
      <c r="CV323" s="643"/>
      <c r="CW323" s="643"/>
      <c r="CX323" s="643"/>
      <c r="CY323" s="643"/>
      <c r="CZ323" s="643"/>
      <c r="DA323" s="643"/>
      <c r="DB323" s="643"/>
      <c r="DC323" s="643"/>
      <c r="DD323" s="643"/>
      <c r="DE323" s="643"/>
    </row>
    <row r="324" spans="34:109" ht="15" hidden="1" customHeight="1">
      <c r="AH324" s="24"/>
      <c r="AI324" s="24"/>
      <c r="AJ324" s="24"/>
      <c r="AK324" s="24"/>
      <c r="AL324" s="630" t="str">
        <f t="shared" ref="AL324:AL387" si="10">IFERROR(IF(HLOOKUP($N$8, $BZ$3:$DE$574, $AP324, FALSE )="", "", HLOOKUP($N$8, $BZ$3:$DE$574, $AP324, FALSE)), "")</f>
        <v/>
      </c>
      <c r="AM324" s="630" t="str">
        <f t="shared" ref="AM324:AM387" si="11">IFERROR(IF(AL324="", "", HLOOKUP($N$8, $AQ$3:$BV$574, AP324, FALSE)), "")</f>
        <v/>
      </c>
      <c r="AO324" s="24"/>
      <c r="AP324" s="628">
        <v>322</v>
      </c>
      <c r="AQ324" s="642"/>
      <c r="AR324" s="642"/>
      <c r="AS324" s="642"/>
      <c r="AT324" s="642"/>
      <c r="AU324" s="642"/>
      <c r="AV324" s="642"/>
      <c r="AW324" s="642"/>
      <c r="AX324" s="642"/>
      <c r="AY324" s="642"/>
      <c r="AZ324" s="642"/>
      <c r="BA324" s="642"/>
      <c r="BB324" s="642"/>
      <c r="BC324" s="642"/>
      <c r="BD324" s="642"/>
      <c r="BE324" s="642"/>
      <c r="BF324" s="642"/>
      <c r="BG324" s="642"/>
      <c r="BH324" s="642"/>
      <c r="BI324" s="642"/>
      <c r="BJ324" s="634">
        <v>20321</v>
      </c>
      <c r="BK324" s="642"/>
      <c r="BL324" s="642"/>
      <c r="BM324" s="642"/>
      <c r="BN324" s="642"/>
      <c r="BO324" s="642"/>
      <c r="BP324" s="642"/>
      <c r="BQ324" s="642"/>
      <c r="BR324" s="642"/>
      <c r="BS324" s="642"/>
      <c r="BT324" s="642"/>
      <c r="BU324" s="642"/>
      <c r="BV324" s="642"/>
      <c r="BW324" s="24"/>
      <c r="BX324" s="24"/>
      <c r="BY324" s="24"/>
      <c r="BZ324" s="643"/>
      <c r="CA324" s="643"/>
      <c r="CB324" s="643"/>
      <c r="CC324" s="643"/>
      <c r="CD324" s="643"/>
      <c r="CE324" s="643"/>
      <c r="CF324" s="643"/>
      <c r="CG324" s="643"/>
      <c r="CH324" s="643"/>
      <c r="CI324" s="643"/>
      <c r="CJ324" s="643"/>
      <c r="CK324" s="643"/>
      <c r="CL324" s="643"/>
      <c r="CM324" s="643"/>
      <c r="CN324" s="643"/>
      <c r="CO324" s="643"/>
      <c r="CP324" s="643"/>
      <c r="CQ324" s="643"/>
      <c r="CR324" s="643"/>
      <c r="CS324" s="636" t="s">
        <v>2206</v>
      </c>
      <c r="CT324" s="643"/>
      <c r="CU324" s="643"/>
      <c r="CV324" s="643"/>
      <c r="CW324" s="643"/>
      <c r="CX324" s="643"/>
      <c r="CY324" s="643"/>
      <c r="CZ324" s="643"/>
      <c r="DA324" s="643"/>
      <c r="DB324" s="643"/>
      <c r="DC324" s="643"/>
      <c r="DD324" s="643"/>
      <c r="DE324" s="643"/>
    </row>
    <row r="325" spans="34:109" ht="15" hidden="1" customHeight="1">
      <c r="AH325" s="650"/>
      <c r="AI325" s="650"/>
      <c r="AJ325" s="650"/>
      <c r="AK325" s="650"/>
      <c r="AL325" s="630" t="str">
        <f t="shared" si="10"/>
        <v/>
      </c>
      <c r="AM325" s="630" t="str">
        <f t="shared" si="11"/>
        <v/>
      </c>
      <c r="AO325" s="650"/>
      <c r="AP325" s="628">
        <v>323</v>
      </c>
      <c r="AQ325" s="651"/>
      <c r="AR325" s="651"/>
      <c r="AS325" s="651"/>
      <c r="AT325" s="651"/>
      <c r="AU325" s="651"/>
      <c r="AV325" s="651"/>
      <c r="AW325" s="651"/>
      <c r="AX325" s="651"/>
      <c r="AY325" s="651"/>
      <c r="AZ325" s="651"/>
      <c r="BA325" s="651"/>
      <c r="BB325" s="651"/>
      <c r="BC325" s="651"/>
      <c r="BD325" s="651"/>
      <c r="BE325" s="651"/>
      <c r="BF325" s="651"/>
      <c r="BG325" s="651"/>
      <c r="BH325" s="651"/>
      <c r="BI325" s="651"/>
      <c r="BJ325" s="634">
        <v>20322</v>
      </c>
      <c r="BK325" s="651"/>
      <c r="BL325" s="651"/>
      <c r="BM325" s="651"/>
      <c r="BN325" s="651"/>
      <c r="BO325" s="651"/>
      <c r="BP325" s="651"/>
      <c r="BQ325" s="651"/>
      <c r="BR325" s="651"/>
      <c r="BS325" s="651"/>
      <c r="BT325" s="651"/>
      <c r="BU325" s="651"/>
      <c r="BV325" s="651"/>
      <c r="BW325" s="650"/>
      <c r="BX325" s="650"/>
      <c r="BY325" s="650"/>
      <c r="BZ325" s="652"/>
      <c r="CA325" s="652"/>
      <c r="CB325" s="652"/>
      <c r="CC325" s="652"/>
      <c r="CD325" s="652"/>
      <c r="CE325" s="652"/>
      <c r="CF325" s="652"/>
      <c r="CG325" s="652"/>
      <c r="CH325" s="652"/>
      <c r="CI325" s="652"/>
      <c r="CJ325" s="652"/>
      <c r="CK325" s="652"/>
      <c r="CL325" s="652"/>
      <c r="CM325" s="652"/>
      <c r="CN325" s="652"/>
      <c r="CO325" s="652"/>
      <c r="CP325" s="652"/>
      <c r="CQ325" s="652"/>
      <c r="CR325" s="652"/>
      <c r="CS325" s="636" t="s">
        <v>2207</v>
      </c>
      <c r="CT325" s="652"/>
      <c r="CU325" s="652"/>
      <c r="CV325" s="652"/>
      <c r="CW325" s="652"/>
      <c r="CX325" s="652"/>
      <c r="CY325" s="652"/>
      <c r="CZ325" s="652"/>
      <c r="DA325" s="652"/>
      <c r="DB325" s="652"/>
      <c r="DC325" s="652"/>
      <c r="DD325" s="652"/>
      <c r="DE325" s="652"/>
    </row>
    <row r="326" spans="34:109" ht="15" hidden="1" customHeight="1">
      <c r="AH326" s="650"/>
      <c r="AI326" s="650"/>
      <c r="AJ326" s="650"/>
      <c r="AK326" s="650"/>
      <c r="AL326" s="630" t="str">
        <f t="shared" si="10"/>
        <v/>
      </c>
      <c r="AM326" s="630" t="str">
        <f t="shared" si="11"/>
        <v/>
      </c>
      <c r="AO326" s="650"/>
      <c r="AP326" s="628">
        <v>324</v>
      </c>
      <c r="AQ326" s="651"/>
      <c r="AR326" s="651"/>
      <c r="AS326" s="651"/>
      <c r="AT326" s="651"/>
      <c r="AU326" s="651"/>
      <c r="AV326" s="651"/>
      <c r="AW326" s="651"/>
      <c r="AX326" s="651"/>
      <c r="AY326" s="651"/>
      <c r="AZ326" s="651"/>
      <c r="BA326" s="651"/>
      <c r="BB326" s="651"/>
      <c r="BC326" s="651"/>
      <c r="BD326" s="651"/>
      <c r="BE326" s="651"/>
      <c r="BF326" s="651"/>
      <c r="BG326" s="651"/>
      <c r="BH326" s="651"/>
      <c r="BI326" s="651"/>
      <c r="BJ326" s="634">
        <v>20323</v>
      </c>
      <c r="BK326" s="651"/>
      <c r="BL326" s="651"/>
      <c r="BM326" s="651"/>
      <c r="BN326" s="651"/>
      <c r="BO326" s="651"/>
      <c r="BP326" s="651"/>
      <c r="BQ326" s="651"/>
      <c r="BR326" s="651"/>
      <c r="BS326" s="651"/>
      <c r="BT326" s="651"/>
      <c r="BU326" s="651"/>
      <c r="BV326" s="651"/>
      <c r="BW326" s="650"/>
      <c r="BX326" s="650"/>
      <c r="BY326" s="650"/>
      <c r="BZ326" s="652"/>
      <c r="CA326" s="652"/>
      <c r="CB326" s="652"/>
      <c r="CC326" s="652"/>
      <c r="CD326" s="652"/>
      <c r="CE326" s="652"/>
      <c r="CF326" s="652"/>
      <c r="CG326" s="652"/>
      <c r="CH326" s="652"/>
      <c r="CI326" s="652"/>
      <c r="CJ326" s="652"/>
      <c r="CK326" s="652"/>
      <c r="CL326" s="652"/>
      <c r="CM326" s="652"/>
      <c r="CN326" s="652"/>
      <c r="CO326" s="652"/>
      <c r="CP326" s="652"/>
      <c r="CQ326" s="652"/>
      <c r="CR326" s="652"/>
      <c r="CS326" s="636" t="s">
        <v>2208</v>
      </c>
      <c r="CT326" s="652"/>
      <c r="CU326" s="652"/>
      <c r="CV326" s="652"/>
      <c r="CW326" s="652"/>
      <c r="CX326" s="652"/>
      <c r="CY326" s="652"/>
      <c r="CZ326" s="652"/>
      <c r="DA326" s="652"/>
      <c r="DB326" s="652"/>
      <c r="DC326" s="652"/>
      <c r="DD326" s="652"/>
      <c r="DE326" s="652"/>
    </row>
    <row r="327" spans="34:109" ht="15" hidden="1" customHeight="1">
      <c r="AH327" s="24"/>
      <c r="AI327" s="24"/>
      <c r="AJ327" s="24"/>
      <c r="AK327" s="24"/>
      <c r="AL327" s="630" t="str">
        <f t="shared" si="10"/>
        <v/>
      </c>
      <c r="AM327" s="630" t="str">
        <f t="shared" si="11"/>
        <v/>
      </c>
      <c r="AO327" s="24"/>
      <c r="AP327" s="628">
        <v>325</v>
      </c>
      <c r="AQ327" s="642"/>
      <c r="AR327" s="642"/>
      <c r="AS327" s="642"/>
      <c r="AT327" s="642"/>
      <c r="AU327" s="642"/>
      <c r="AV327" s="642"/>
      <c r="AW327" s="642"/>
      <c r="AX327" s="642"/>
      <c r="AY327" s="642"/>
      <c r="AZ327" s="642"/>
      <c r="BA327" s="642"/>
      <c r="BB327" s="642"/>
      <c r="BC327" s="642"/>
      <c r="BD327" s="642"/>
      <c r="BE327" s="642"/>
      <c r="BF327" s="642"/>
      <c r="BG327" s="642"/>
      <c r="BH327" s="642"/>
      <c r="BI327" s="642"/>
      <c r="BJ327" s="634">
        <v>20324</v>
      </c>
      <c r="BK327" s="642"/>
      <c r="BL327" s="642"/>
      <c r="BM327" s="642"/>
      <c r="BN327" s="642"/>
      <c r="BO327" s="642"/>
      <c r="BP327" s="642"/>
      <c r="BQ327" s="642"/>
      <c r="BR327" s="642"/>
      <c r="BS327" s="642"/>
      <c r="BT327" s="642"/>
      <c r="BU327" s="642"/>
      <c r="BV327" s="642"/>
      <c r="BW327" s="24"/>
      <c r="BX327" s="24"/>
      <c r="BY327" s="24"/>
      <c r="BZ327" s="643"/>
      <c r="CA327" s="643"/>
      <c r="CB327" s="643"/>
      <c r="CC327" s="643"/>
      <c r="CD327" s="643"/>
      <c r="CE327" s="643"/>
      <c r="CF327" s="643"/>
      <c r="CG327" s="643"/>
      <c r="CH327" s="643"/>
      <c r="CI327" s="643"/>
      <c r="CJ327" s="643"/>
      <c r="CK327" s="643"/>
      <c r="CL327" s="643"/>
      <c r="CM327" s="643"/>
      <c r="CN327" s="643"/>
      <c r="CO327" s="643"/>
      <c r="CP327" s="643"/>
      <c r="CQ327" s="643"/>
      <c r="CR327" s="643"/>
      <c r="CS327" s="636" t="s">
        <v>2209</v>
      </c>
      <c r="CT327" s="643"/>
      <c r="CU327" s="643"/>
      <c r="CV327" s="643"/>
      <c r="CW327" s="643"/>
      <c r="CX327" s="643"/>
      <c r="CY327" s="643"/>
      <c r="CZ327" s="643"/>
      <c r="DA327" s="643"/>
      <c r="DB327" s="643"/>
      <c r="DC327" s="643"/>
      <c r="DD327" s="643"/>
      <c r="DE327" s="643"/>
    </row>
    <row r="328" spans="34:109" ht="15" hidden="1" customHeight="1">
      <c r="AH328" s="24"/>
      <c r="AI328" s="24"/>
      <c r="AJ328" s="24"/>
      <c r="AK328" s="24"/>
      <c r="AL328" s="630" t="str">
        <f t="shared" si="10"/>
        <v/>
      </c>
      <c r="AM328" s="630" t="str">
        <f t="shared" si="11"/>
        <v/>
      </c>
      <c r="AO328" s="24"/>
      <c r="AP328" s="628">
        <v>326</v>
      </c>
      <c r="AQ328" s="642"/>
      <c r="AR328" s="642"/>
      <c r="AS328" s="642"/>
      <c r="AT328" s="642"/>
      <c r="AU328" s="642"/>
      <c r="AV328" s="642"/>
      <c r="AW328" s="642"/>
      <c r="AX328" s="642"/>
      <c r="AY328" s="642"/>
      <c r="AZ328" s="642"/>
      <c r="BA328" s="642"/>
      <c r="BB328" s="642"/>
      <c r="BC328" s="642"/>
      <c r="BD328" s="642"/>
      <c r="BE328" s="642"/>
      <c r="BF328" s="642"/>
      <c r="BG328" s="642"/>
      <c r="BH328" s="642"/>
      <c r="BI328" s="642"/>
      <c r="BJ328" s="634">
        <v>20325</v>
      </c>
      <c r="BK328" s="642"/>
      <c r="BL328" s="642"/>
      <c r="BM328" s="642"/>
      <c r="BN328" s="642"/>
      <c r="BO328" s="642"/>
      <c r="BP328" s="642"/>
      <c r="BQ328" s="642"/>
      <c r="BR328" s="642"/>
      <c r="BS328" s="642"/>
      <c r="BT328" s="642"/>
      <c r="BU328" s="642"/>
      <c r="BV328" s="642"/>
      <c r="BW328" s="24"/>
      <c r="BX328" s="24"/>
      <c r="BY328" s="24"/>
      <c r="BZ328" s="643"/>
      <c r="CA328" s="643"/>
      <c r="CB328" s="643"/>
      <c r="CC328" s="643"/>
      <c r="CD328" s="643"/>
      <c r="CE328" s="643"/>
      <c r="CF328" s="643"/>
      <c r="CG328" s="643"/>
      <c r="CH328" s="643"/>
      <c r="CI328" s="643"/>
      <c r="CJ328" s="643"/>
      <c r="CK328" s="643"/>
      <c r="CL328" s="643"/>
      <c r="CM328" s="643"/>
      <c r="CN328" s="643"/>
      <c r="CO328" s="643"/>
      <c r="CP328" s="643"/>
      <c r="CQ328" s="643"/>
      <c r="CR328" s="643"/>
      <c r="CS328" s="636" t="s">
        <v>2210</v>
      </c>
      <c r="CT328" s="643"/>
      <c r="CU328" s="643"/>
      <c r="CV328" s="643"/>
      <c r="CW328" s="643"/>
      <c r="CX328" s="643"/>
      <c r="CY328" s="643"/>
      <c r="CZ328" s="643"/>
      <c r="DA328" s="643"/>
      <c r="DB328" s="643"/>
      <c r="DC328" s="643"/>
      <c r="DD328" s="643"/>
      <c r="DE328" s="643"/>
    </row>
    <row r="329" spans="34:109" ht="15" hidden="1" customHeight="1">
      <c r="AH329" s="24"/>
      <c r="AI329" s="24"/>
      <c r="AJ329" s="24"/>
      <c r="AK329" s="24"/>
      <c r="AL329" s="630" t="str">
        <f t="shared" si="10"/>
        <v/>
      </c>
      <c r="AM329" s="630" t="str">
        <f t="shared" si="11"/>
        <v/>
      </c>
      <c r="AO329" s="24"/>
      <c r="AP329" s="628">
        <v>327</v>
      </c>
      <c r="AQ329" s="642"/>
      <c r="AR329" s="642"/>
      <c r="AS329" s="642"/>
      <c r="AT329" s="642"/>
      <c r="AU329" s="642"/>
      <c r="AV329" s="642"/>
      <c r="AW329" s="642"/>
      <c r="AX329" s="642"/>
      <c r="AY329" s="642"/>
      <c r="AZ329" s="642"/>
      <c r="BA329" s="642"/>
      <c r="BB329" s="642"/>
      <c r="BC329" s="642"/>
      <c r="BD329" s="642"/>
      <c r="BE329" s="642"/>
      <c r="BF329" s="642"/>
      <c r="BG329" s="642"/>
      <c r="BH329" s="642"/>
      <c r="BI329" s="642"/>
      <c r="BJ329" s="634">
        <v>20326</v>
      </c>
      <c r="BK329" s="642"/>
      <c r="BL329" s="642"/>
      <c r="BM329" s="642"/>
      <c r="BN329" s="642"/>
      <c r="BO329" s="642"/>
      <c r="BP329" s="642"/>
      <c r="BQ329" s="642"/>
      <c r="BR329" s="642"/>
      <c r="BS329" s="642"/>
      <c r="BT329" s="642"/>
      <c r="BU329" s="642"/>
      <c r="BV329" s="642"/>
      <c r="BW329" s="24"/>
      <c r="BX329" s="24"/>
      <c r="BY329" s="24"/>
      <c r="BZ329" s="643"/>
      <c r="CA329" s="643"/>
      <c r="CB329" s="643"/>
      <c r="CC329" s="643"/>
      <c r="CD329" s="643"/>
      <c r="CE329" s="643"/>
      <c r="CF329" s="643"/>
      <c r="CG329" s="643"/>
      <c r="CH329" s="643"/>
      <c r="CI329" s="643"/>
      <c r="CJ329" s="643"/>
      <c r="CK329" s="643"/>
      <c r="CL329" s="643"/>
      <c r="CM329" s="643"/>
      <c r="CN329" s="643"/>
      <c r="CO329" s="643"/>
      <c r="CP329" s="643"/>
      <c r="CQ329" s="643"/>
      <c r="CR329" s="643"/>
      <c r="CS329" s="636" t="s">
        <v>2211</v>
      </c>
      <c r="CT329" s="643"/>
      <c r="CU329" s="643"/>
      <c r="CV329" s="643"/>
      <c r="CW329" s="643"/>
      <c r="CX329" s="643"/>
      <c r="CY329" s="643"/>
      <c r="CZ329" s="643"/>
      <c r="DA329" s="643"/>
      <c r="DB329" s="643"/>
      <c r="DC329" s="643"/>
      <c r="DD329" s="643"/>
      <c r="DE329" s="643"/>
    </row>
    <row r="330" spans="34:109" ht="15" hidden="1" customHeight="1">
      <c r="AH330" s="24"/>
      <c r="AI330" s="24"/>
      <c r="AJ330" s="24"/>
      <c r="AK330" s="24"/>
      <c r="AL330" s="630" t="str">
        <f t="shared" si="10"/>
        <v/>
      </c>
      <c r="AM330" s="630" t="str">
        <f t="shared" si="11"/>
        <v/>
      </c>
      <c r="AO330" s="24"/>
      <c r="AP330" s="628">
        <v>328</v>
      </c>
      <c r="AQ330" s="642"/>
      <c r="AR330" s="642"/>
      <c r="AS330" s="642"/>
      <c r="AT330" s="642"/>
      <c r="AU330" s="642"/>
      <c r="AV330" s="642"/>
      <c r="AW330" s="642"/>
      <c r="AX330" s="642"/>
      <c r="AY330" s="642"/>
      <c r="AZ330" s="642"/>
      <c r="BA330" s="642"/>
      <c r="BB330" s="642"/>
      <c r="BC330" s="642"/>
      <c r="BD330" s="642"/>
      <c r="BE330" s="642"/>
      <c r="BF330" s="642"/>
      <c r="BG330" s="642"/>
      <c r="BH330" s="642"/>
      <c r="BI330" s="642"/>
      <c r="BJ330" s="634">
        <v>20327</v>
      </c>
      <c r="BK330" s="642"/>
      <c r="BL330" s="642"/>
      <c r="BM330" s="642"/>
      <c r="BN330" s="642"/>
      <c r="BO330" s="642"/>
      <c r="BP330" s="642"/>
      <c r="BQ330" s="642"/>
      <c r="BR330" s="642"/>
      <c r="BS330" s="642"/>
      <c r="BT330" s="642"/>
      <c r="BU330" s="642"/>
      <c r="BV330" s="642"/>
      <c r="BW330" s="24"/>
      <c r="BX330" s="24"/>
      <c r="BY330" s="24"/>
      <c r="BZ330" s="643"/>
      <c r="CA330" s="643"/>
      <c r="CB330" s="643"/>
      <c r="CC330" s="643"/>
      <c r="CD330" s="643"/>
      <c r="CE330" s="643"/>
      <c r="CF330" s="643"/>
      <c r="CG330" s="643"/>
      <c r="CH330" s="643"/>
      <c r="CI330" s="643"/>
      <c r="CJ330" s="643"/>
      <c r="CK330" s="643"/>
      <c r="CL330" s="643"/>
      <c r="CM330" s="643"/>
      <c r="CN330" s="643"/>
      <c r="CO330" s="643"/>
      <c r="CP330" s="643"/>
      <c r="CQ330" s="643"/>
      <c r="CR330" s="643"/>
      <c r="CS330" s="636" t="s">
        <v>2212</v>
      </c>
      <c r="CT330" s="643"/>
      <c r="CU330" s="643"/>
      <c r="CV330" s="643"/>
      <c r="CW330" s="643"/>
      <c r="CX330" s="643"/>
      <c r="CY330" s="643"/>
      <c r="CZ330" s="643"/>
      <c r="DA330" s="643"/>
      <c r="DB330" s="643"/>
      <c r="DC330" s="643"/>
      <c r="DD330" s="643"/>
      <c r="DE330" s="643"/>
    </row>
    <row r="331" spans="34:109" ht="15" hidden="1" customHeight="1">
      <c r="AH331" s="24"/>
      <c r="AI331" s="24"/>
      <c r="AJ331" s="24"/>
      <c r="AK331" s="24"/>
      <c r="AL331" s="630" t="str">
        <f t="shared" si="10"/>
        <v/>
      </c>
      <c r="AM331" s="630" t="str">
        <f t="shared" si="11"/>
        <v/>
      </c>
      <c r="AO331" s="24"/>
      <c r="AP331" s="628">
        <v>329</v>
      </c>
      <c r="AQ331" s="642"/>
      <c r="AR331" s="642"/>
      <c r="AS331" s="642"/>
      <c r="AT331" s="642"/>
      <c r="AU331" s="642"/>
      <c r="AV331" s="642"/>
      <c r="AW331" s="642"/>
      <c r="AX331" s="642"/>
      <c r="AY331" s="642"/>
      <c r="AZ331" s="642"/>
      <c r="BA331" s="642"/>
      <c r="BB331" s="642"/>
      <c r="BC331" s="642"/>
      <c r="BD331" s="642"/>
      <c r="BE331" s="642"/>
      <c r="BF331" s="642"/>
      <c r="BG331" s="642"/>
      <c r="BH331" s="642"/>
      <c r="BI331" s="642"/>
      <c r="BJ331" s="634">
        <v>20328</v>
      </c>
      <c r="BK331" s="642"/>
      <c r="BL331" s="642"/>
      <c r="BM331" s="642"/>
      <c r="BN331" s="642"/>
      <c r="BO331" s="642"/>
      <c r="BP331" s="642"/>
      <c r="BQ331" s="642"/>
      <c r="BR331" s="642"/>
      <c r="BS331" s="642"/>
      <c r="BT331" s="642"/>
      <c r="BU331" s="642"/>
      <c r="BV331" s="642"/>
      <c r="BW331" s="24"/>
      <c r="BX331" s="24"/>
      <c r="BY331" s="24"/>
      <c r="BZ331" s="643"/>
      <c r="CA331" s="643"/>
      <c r="CB331" s="643"/>
      <c r="CC331" s="643"/>
      <c r="CD331" s="643"/>
      <c r="CE331" s="643"/>
      <c r="CF331" s="643"/>
      <c r="CG331" s="643"/>
      <c r="CH331" s="643"/>
      <c r="CI331" s="643"/>
      <c r="CJ331" s="643"/>
      <c r="CK331" s="643"/>
      <c r="CL331" s="643"/>
      <c r="CM331" s="643"/>
      <c r="CN331" s="643"/>
      <c r="CO331" s="643"/>
      <c r="CP331" s="643"/>
      <c r="CQ331" s="643"/>
      <c r="CR331" s="643"/>
      <c r="CS331" s="636" t="s">
        <v>2213</v>
      </c>
      <c r="CT331" s="643"/>
      <c r="CU331" s="643"/>
      <c r="CV331" s="643"/>
      <c r="CW331" s="643"/>
      <c r="CX331" s="643"/>
      <c r="CY331" s="643"/>
      <c r="CZ331" s="643"/>
      <c r="DA331" s="643"/>
      <c r="DB331" s="643"/>
      <c r="DC331" s="643"/>
      <c r="DD331" s="643"/>
      <c r="DE331" s="643"/>
    </row>
    <row r="332" spans="34:109" ht="15" hidden="1" customHeight="1">
      <c r="AH332" s="24"/>
      <c r="AI332" s="24"/>
      <c r="AJ332" s="24"/>
      <c r="AK332" s="24"/>
      <c r="AL332" s="630" t="str">
        <f t="shared" si="10"/>
        <v/>
      </c>
      <c r="AM332" s="630" t="str">
        <f t="shared" si="11"/>
        <v/>
      </c>
      <c r="AO332" s="24"/>
      <c r="AP332" s="628">
        <v>330</v>
      </c>
      <c r="AQ332" s="642"/>
      <c r="AR332" s="642"/>
      <c r="AS332" s="642"/>
      <c r="AT332" s="642"/>
      <c r="AU332" s="642"/>
      <c r="AV332" s="642"/>
      <c r="AW332" s="642"/>
      <c r="AX332" s="642"/>
      <c r="AY332" s="642"/>
      <c r="AZ332" s="642"/>
      <c r="BA332" s="642"/>
      <c r="BB332" s="642"/>
      <c r="BC332" s="642"/>
      <c r="BD332" s="642"/>
      <c r="BE332" s="642"/>
      <c r="BF332" s="642"/>
      <c r="BG332" s="642"/>
      <c r="BH332" s="642"/>
      <c r="BI332" s="642"/>
      <c r="BJ332" s="634">
        <v>20329</v>
      </c>
      <c r="BK332" s="642"/>
      <c r="BL332" s="642"/>
      <c r="BM332" s="642"/>
      <c r="BN332" s="642"/>
      <c r="BO332" s="642"/>
      <c r="BP332" s="642"/>
      <c r="BQ332" s="642"/>
      <c r="BR332" s="642"/>
      <c r="BS332" s="642"/>
      <c r="BT332" s="642"/>
      <c r="BU332" s="642"/>
      <c r="BV332" s="642"/>
      <c r="BW332" s="24"/>
      <c r="BX332" s="24"/>
      <c r="BY332" s="24"/>
      <c r="BZ332" s="643"/>
      <c r="CA332" s="643"/>
      <c r="CB332" s="643"/>
      <c r="CC332" s="643"/>
      <c r="CD332" s="643"/>
      <c r="CE332" s="643"/>
      <c r="CF332" s="643"/>
      <c r="CG332" s="643"/>
      <c r="CH332" s="643"/>
      <c r="CI332" s="643"/>
      <c r="CJ332" s="643"/>
      <c r="CK332" s="643"/>
      <c r="CL332" s="643"/>
      <c r="CM332" s="643"/>
      <c r="CN332" s="643"/>
      <c r="CO332" s="643"/>
      <c r="CP332" s="643"/>
      <c r="CQ332" s="643"/>
      <c r="CR332" s="643"/>
      <c r="CS332" s="636" t="s">
        <v>2214</v>
      </c>
      <c r="CT332" s="643"/>
      <c r="CU332" s="643"/>
      <c r="CV332" s="643"/>
      <c r="CW332" s="643"/>
      <c r="CX332" s="643"/>
      <c r="CY332" s="643"/>
      <c r="CZ332" s="643"/>
      <c r="DA332" s="643"/>
      <c r="DB332" s="643"/>
      <c r="DC332" s="643"/>
      <c r="DD332" s="643"/>
      <c r="DE332" s="643"/>
    </row>
    <row r="333" spans="34:109" ht="15" hidden="1" customHeight="1">
      <c r="AH333" s="24"/>
      <c r="AI333" s="24"/>
      <c r="AJ333" s="24"/>
      <c r="AK333" s="24"/>
      <c r="AL333" s="630" t="str">
        <f t="shared" si="10"/>
        <v/>
      </c>
      <c r="AM333" s="630" t="str">
        <f t="shared" si="11"/>
        <v/>
      </c>
      <c r="AO333" s="24"/>
      <c r="AP333" s="628">
        <v>331</v>
      </c>
      <c r="AQ333" s="642"/>
      <c r="AR333" s="642"/>
      <c r="AS333" s="642"/>
      <c r="AT333" s="642"/>
      <c r="AU333" s="642"/>
      <c r="AV333" s="642"/>
      <c r="AW333" s="642"/>
      <c r="AX333" s="642"/>
      <c r="AY333" s="642"/>
      <c r="AZ333" s="642"/>
      <c r="BA333" s="642"/>
      <c r="BB333" s="642"/>
      <c r="BC333" s="642"/>
      <c r="BD333" s="642"/>
      <c r="BE333" s="642"/>
      <c r="BF333" s="642"/>
      <c r="BG333" s="642"/>
      <c r="BH333" s="642"/>
      <c r="BI333" s="642"/>
      <c r="BJ333" s="634">
        <v>20330</v>
      </c>
      <c r="BK333" s="642"/>
      <c r="BL333" s="642"/>
      <c r="BM333" s="642"/>
      <c r="BN333" s="642"/>
      <c r="BO333" s="642"/>
      <c r="BP333" s="642"/>
      <c r="BQ333" s="642"/>
      <c r="BR333" s="642"/>
      <c r="BS333" s="642"/>
      <c r="BT333" s="642"/>
      <c r="BU333" s="642"/>
      <c r="BV333" s="642"/>
      <c r="BW333" s="24"/>
      <c r="BX333" s="24"/>
      <c r="BY333" s="24"/>
      <c r="BZ333" s="643"/>
      <c r="CA333" s="643"/>
      <c r="CB333" s="643"/>
      <c r="CC333" s="643"/>
      <c r="CD333" s="643"/>
      <c r="CE333" s="643"/>
      <c r="CF333" s="643"/>
      <c r="CG333" s="643"/>
      <c r="CH333" s="643"/>
      <c r="CI333" s="643"/>
      <c r="CJ333" s="643"/>
      <c r="CK333" s="643"/>
      <c r="CL333" s="643"/>
      <c r="CM333" s="643"/>
      <c r="CN333" s="643"/>
      <c r="CO333" s="643"/>
      <c r="CP333" s="643"/>
      <c r="CQ333" s="643"/>
      <c r="CR333" s="643"/>
      <c r="CS333" s="636" t="s">
        <v>2215</v>
      </c>
      <c r="CT333" s="643"/>
      <c r="CU333" s="643"/>
      <c r="CV333" s="643"/>
      <c r="CW333" s="643"/>
      <c r="CX333" s="643"/>
      <c r="CY333" s="643"/>
      <c r="CZ333" s="643"/>
      <c r="DA333" s="643"/>
      <c r="DB333" s="643"/>
      <c r="DC333" s="643"/>
      <c r="DD333" s="643"/>
      <c r="DE333" s="643"/>
    </row>
    <row r="334" spans="34:109" ht="15" hidden="1" customHeight="1">
      <c r="AH334" s="24"/>
      <c r="AI334" s="24"/>
      <c r="AJ334" s="24"/>
      <c r="AK334" s="24"/>
      <c r="AL334" s="630" t="str">
        <f t="shared" si="10"/>
        <v/>
      </c>
      <c r="AM334" s="630" t="str">
        <f t="shared" si="11"/>
        <v/>
      </c>
      <c r="AO334" s="24"/>
      <c r="AP334" s="628">
        <v>332</v>
      </c>
      <c r="AQ334" s="642"/>
      <c r="AR334" s="642"/>
      <c r="AS334" s="642"/>
      <c r="AT334" s="642"/>
      <c r="AU334" s="642"/>
      <c r="AV334" s="642"/>
      <c r="AW334" s="642"/>
      <c r="AX334" s="642"/>
      <c r="AY334" s="642"/>
      <c r="AZ334" s="642"/>
      <c r="BA334" s="642"/>
      <c r="BB334" s="642"/>
      <c r="BC334" s="642"/>
      <c r="BD334" s="642"/>
      <c r="BE334" s="642"/>
      <c r="BF334" s="642"/>
      <c r="BG334" s="642"/>
      <c r="BH334" s="642"/>
      <c r="BI334" s="642"/>
      <c r="BJ334" s="634">
        <v>20331</v>
      </c>
      <c r="BK334" s="642"/>
      <c r="BL334" s="642"/>
      <c r="BM334" s="642"/>
      <c r="BN334" s="642"/>
      <c r="BO334" s="642"/>
      <c r="BP334" s="642"/>
      <c r="BQ334" s="642"/>
      <c r="BR334" s="642"/>
      <c r="BS334" s="642"/>
      <c r="BT334" s="642"/>
      <c r="BU334" s="642"/>
      <c r="BV334" s="642"/>
      <c r="BW334" s="24"/>
      <c r="BX334" s="24"/>
      <c r="BY334" s="24"/>
      <c r="BZ334" s="643"/>
      <c r="CA334" s="643"/>
      <c r="CB334" s="643"/>
      <c r="CC334" s="643"/>
      <c r="CD334" s="643"/>
      <c r="CE334" s="643"/>
      <c r="CF334" s="643"/>
      <c r="CG334" s="643"/>
      <c r="CH334" s="643"/>
      <c r="CI334" s="643"/>
      <c r="CJ334" s="643"/>
      <c r="CK334" s="643"/>
      <c r="CL334" s="643"/>
      <c r="CM334" s="643"/>
      <c r="CN334" s="643"/>
      <c r="CO334" s="643"/>
      <c r="CP334" s="643"/>
      <c r="CQ334" s="643"/>
      <c r="CR334" s="643"/>
      <c r="CS334" s="636" t="s">
        <v>2216</v>
      </c>
      <c r="CT334" s="643"/>
      <c r="CU334" s="643"/>
      <c r="CV334" s="643"/>
      <c r="CW334" s="643"/>
      <c r="CX334" s="643"/>
      <c r="CY334" s="643"/>
      <c r="CZ334" s="643"/>
      <c r="DA334" s="643"/>
      <c r="DB334" s="643"/>
      <c r="DC334" s="643"/>
      <c r="DD334" s="643"/>
      <c r="DE334" s="643"/>
    </row>
    <row r="335" spans="34:109" ht="15" hidden="1" customHeight="1">
      <c r="AH335" s="24"/>
      <c r="AI335" s="24"/>
      <c r="AJ335" s="24"/>
      <c r="AK335" s="24"/>
      <c r="AL335" s="630" t="str">
        <f t="shared" si="10"/>
        <v/>
      </c>
      <c r="AM335" s="630" t="str">
        <f t="shared" si="11"/>
        <v/>
      </c>
      <c r="AO335" s="24"/>
      <c r="AP335" s="628">
        <v>333</v>
      </c>
      <c r="AQ335" s="642"/>
      <c r="AR335" s="642"/>
      <c r="AS335" s="642"/>
      <c r="AT335" s="642"/>
      <c r="AU335" s="642"/>
      <c r="AV335" s="642"/>
      <c r="AW335" s="642"/>
      <c r="AX335" s="642"/>
      <c r="AY335" s="642"/>
      <c r="AZ335" s="642"/>
      <c r="BA335" s="642"/>
      <c r="BB335" s="642"/>
      <c r="BC335" s="642"/>
      <c r="BD335" s="642"/>
      <c r="BE335" s="642"/>
      <c r="BF335" s="642"/>
      <c r="BG335" s="642"/>
      <c r="BH335" s="642"/>
      <c r="BI335" s="642"/>
      <c r="BJ335" s="634">
        <v>20332</v>
      </c>
      <c r="BK335" s="642"/>
      <c r="BL335" s="642"/>
      <c r="BM335" s="642"/>
      <c r="BN335" s="642"/>
      <c r="BO335" s="642"/>
      <c r="BP335" s="642"/>
      <c r="BQ335" s="642"/>
      <c r="BR335" s="642"/>
      <c r="BS335" s="642"/>
      <c r="BT335" s="642"/>
      <c r="BU335" s="642"/>
      <c r="BV335" s="642"/>
      <c r="BW335" s="24"/>
      <c r="BX335" s="24"/>
      <c r="BY335" s="24"/>
      <c r="BZ335" s="643"/>
      <c r="CA335" s="643"/>
      <c r="CB335" s="643"/>
      <c r="CC335" s="643"/>
      <c r="CD335" s="643"/>
      <c r="CE335" s="643"/>
      <c r="CF335" s="643"/>
      <c r="CG335" s="643"/>
      <c r="CH335" s="643"/>
      <c r="CI335" s="643"/>
      <c r="CJ335" s="643"/>
      <c r="CK335" s="643"/>
      <c r="CL335" s="643"/>
      <c r="CM335" s="643"/>
      <c r="CN335" s="643"/>
      <c r="CO335" s="643"/>
      <c r="CP335" s="643"/>
      <c r="CQ335" s="643"/>
      <c r="CR335" s="643"/>
      <c r="CS335" s="636" t="s">
        <v>2217</v>
      </c>
      <c r="CT335" s="643"/>
      <c r="CU335" s="643"/>
      <c r="CV335" s="643"/>
      <c r="CW335" s="643"/>
      <c r="CX335" s="643"/>
      <c r="CY335" s="643"/>
      <c r="CZ335" s="643"/>
      <c r="DA335" s="643"/>
      <c r="DB335" s="643"/>
      <c r="DC335" s="643"/>
      <c r="DD335" s="643"/>
      <c r="DE335" s="643"/>
    </row>
    <row r="336" spans="34:109" ht="15" hidden="1" customHeight="1">
      <c r="AH336" s="24"/>
      <c r="AI336" s="24"/>
      <c r="AJ336" s="24"/>
      <c r="AK336" s="24"/>
      <c r="AL336" s="630" t="str">
        <f t="shared" si="10"/>
        <v/>
      </c>
      <c r="AM336" s="630" t="str">
        <f t="shared" si="11"/>
        <v/>
      </c>
      <c r="AO336" s="24"/>
      <c r="AP336" s="628">
        <v>334</v>
      </c>
      <c r="AQ336" s="642"/>
      <c r="AR336" s="642"/>
      <c r="AS336" s="642"/>
      <c r="AT336" s="642"/>
      <c r="AU336" s="642"/>
      <c r="AV336" s="642"/>
      <c r="AW336" s="642"/>
      <c r="AX336" s="642"/>
      <c r="AY336" s="642"/>
      <c r="AZ336" s="642"/>
      <c r="BA336" s="642"/>
      <c r="BB336" s="642"/>
      <c r="BC336" s="642"/>
      <c r="BD336" s="642"/>
      <c r="BE336" s="642"/>
      <c r="BF336" s="642"/>
      <c r="BG336" s="642"/>
      <c r="BH336" s="642"/>
      <c r="BI336" s="642"/>
      <c r="BJ336" s="634">
        <v>20333</v>
      </c>
      <c r="BK336" s="642"/>
      <c r="BL336" s="642"/>
      <c r="BM336" s="642"/>
      <c r="BN336" s="642"/>
      <c r="BO336" s="642"/>
      <c r="BP336" s="642"/>
      <c r="BQ336" s="642"/>
      <c r="BR336" s="642"/>
      <c r="BS336" s="642"/>
      <c r="BT336" s="642"/>
      <c r="BU336" s="642"/>
      <c r="BV336" s="642"/>
      <c r="BW336" s="24"/>
      <c r="BX336" s="24"/>
      <c r="BY336" s="24"/>
      <c r="BZ336" s="643"/>
      <c r="CA336" s="643"/>
      <c r="CB336" s="643"/>
      <c r="CC336" s="643"/>
      <c r="CD336" s="643"/>
      <c r="CE336" s="643"/>
      <c r="CF336" s="643"/>
      <c r="CG336" s="643"/>
      <c r="CH336" s="643"/>
      <c r="CI336" s="643"/>
      <c r="CJ336" s="643"/>
      <c r="CK336" s="643"/>
      <c r="CL336" s="643"/>
      <c r="CM336" s="643"/>
      <c r="CN336" s="643"/>
      <c r="CO336" s="643"/>
      <c r="CP336" s="643"/>
      <c r="CQ336" s="643"/>
      <c r="CR336" s="643"/>
      <c r="CS336" s="636" t="s">
        <v>2218</v>
      </c>
      <c r="CT336" s="643"/>
      <c r="CU336" s="643"/>
      <c r="CV336" s="643"/>
      <c r="CW336" s="643"/>
      <c r="CX336" s="643"/>
      <c r="CY336" s="643"/>
      <c r="CZ336" s="643"/>
      <c r="DA336" s="643"/>
      <c r="DB336" s="643"/>
      <c r="DC336" s="643"/>
      <c r="DD336" s="643"/>
      <c r="DE336" s="643"/>
    </row>
    <row r="337" spans="34:109" ht="15" hidden="1" customHeight="1">
      <c r="AH337" s="24"/>
      <c r="AI337" s="24"/>
      <c r="AJ337" s="24"/>
      <c r="AK337" s="24"/>
      <c r="AL337" s="630" t="str">
        <f t="shared" si="10"/>
        <v/>
      </c>
      <c r="AM337" s="630" t="str">
        <f t="shared" si="11"/>
        <v/>
      </c>
      <c r="AO337" s="24"/>
      <c r="AP337" s="628">
        <v>335</v>
      </c>
      <c r="AQ337" s="642"/>
      <c r="AR337" s="642"/>
      <c r="AS337" s="642"/>
      <c r="AT337" s="642"/>
      <c r="AU337" s="642"/>
      <c r="AV337" s="642"/>
      <c r="AW337" s="642"/>
      <c r="AX337" s="642"/>
      <c r="AY337" s="642"/>
      <c r="AZ337" s="642"/>
      <c r="BA337" s="642"/>
      <c r="BB337" s="642"/>
      <c r="BC337" s="642"/>
      <c r="BD337" s="642"/>
      <c r="BE337" s="642"/>
      <c r="BF337" s="642"/>
      <c r="BG337" s="642"/>
      <c r="BH337" s="642"/>
      <c r="BI337" s="642"/>
      <c r="BJ337" s="634">
        <v>20334</v>
      </c>
      <c r="BK337" s="642"/>
      <c r="BL337" s="642"/>
      <c r="BM337" s="642"/>
      <c r="BN337" s="642"/>
      <c r="BO337" s="642"/>
      <c r="BP337" s="642"/>
      <c r="BQ337" s="642"/>
      <c r="BR337" s="642"/>
      <c r="BS337" s="642"/>
      <c r="BT337" s="642"/>
      <c r="BU337" s="642"/>
      <c r="BV337" s="642"/>
      <c r="BW337" s="24"/>
      <c r="BX337" s="24"/>
      <c r="BY337" s="24"/>
      <c r="BZ337" s="643"/>
      <c r="CA337" s="643"/>
      <c r="CB337" s="643"/>
      <c r="CC337" s="643"/>
      <c r="CD337" s="643"/>
      <c r="CE337" s="643"/>
      <c r="CF337" s="643"/>
      <c r="CG337" s="643"/>
      <c r="CH337" s="643"/>
      <c r="CI337" s="643"/>
      <c r="CJ337" s="643"/>
      <c r="CK337" s="643"/>
      <c r="CL337" s="643"/>
      <c r="CM337" s="643"/>
      <c r="CN337" s="643"/>
      <c r="CO337" s="643"/>
      <c r="CP337" s="643"/>
      <c r="CQ337" s="643"/>
      <c r="CR337" s="643"/>
      <c r="CS337" s="638" t="s">
        <v>2219</v>
      </c>
      <c r="CT337" s="643"/>
      <c r="CU337" s="643"/>
      <c r="CV337" s="643"/>
      <c r="CW337" s="643"/>
      <c r="CX337" s="643"/>
      <c r="CY337" s="643"/>
      <c r="CZ337" s="643"/>
      <c r="DA337" s="643"/>
      <c r="DB337" s="643"/>
      <c r="DC337" s="643"/>
      <c r="DD337" s="643"/>
      <c r="DE337" s="643"/>
    </row>
    <row r="338" spans="34:109" ht="15" hidden="1" customHeight="1">
      <c r="AH338" s="24"/>
      <c r="AI338" s="24"/>
      <c r="AJ338" s="24"/>
      <c r="AK338" s="24"/>
      <c r="AL338" s="630" t="str">
        <f t="shared" si="10"/>
        <v/>
      </c>
      <c r="AM338" s="630" t="str">
        <f t="shared" si="11"/>
        <v/>
      </c>
      <c r="AO338" s="24"/>
      <c r="AP338" s="628">
        <v>336</v>
      </c>
      <c r="AQ338" s="642"/>
      <c r="AR338" s="642"/>
      <c r="AS338" s="642"/>
      <c r="AT338" s="642"/>
      <c r="AU338" s="642"/>
      <c r="AV338" s="642"/>
      <c r="AW338" s="642"/>
      <c r="AX338" s="642"/>
      <c r="AY338" s="642"/>
      <c r="AZ338" s="642"/>
      <c r="BA338" s="642"/>
      <c r="BB338" s="642"/>
      <c r="BC338" s="642"/>
      <c r="BD338" s="642"/>
      <c r="BE338" s="642"/>
      <c r="BF338" s="642"/>
      <c r="BG338" s="642"/>
      <c r="BH338" s="642"/>
      <c r="BI338" s="642"/>
      <c r="BJ338" s="634">
        <v>20335</v>
      </c>
      <c r="BK338" s="642"/>
      <c r="BL338" s="642"/>
      <c r="BM338" s="642"/>
      <c r="BN338" s="642"/>
      <c r="BO338" s="642"/>
      <c r="BP338" s="642"/>
      <c r="BQ338" s="642"/>
      <c r="BR338" s="642"/>
      <c r="BS338" s="642"/>
      <c r="BT338" s="642"/>
      <c r="BU338" s="642"/>
      <c r="BV338" s="642"/>
      <c r="BW338" s="24"/>
      <c r="BX338" s="24"/>
      <c r="BY338" s="24"/>
      <c r="BZ338" s="643"/>
      <c r="CA338" s="643"/>
      <c r="CB338" s="643"/>
      <c r="CC338" s="643"/>
      <c r="CD338" s="643"/>
      <c r="CE338" s="643"/>
      <c r="CF338" s="643"/>
      <c r="CG338" s="643"/>
      <c r="CH338" s="643"/>
      <c r="CI338" s="643"/>
      <c r="CJ338" s="643"/>
      <c r="CK338" s="643"/>
      <c r="CL338" s="643"/>
      <c r="CM338" s="643"/>
      <c r="CN338" s="643"/>
      <c r="CO338" s="643"/>
      <c r="CP338" s="643"/>
      <c r="CQ338" s="643"/>
      <c r="CR338" s="643"/>
      <c r="CS338" s="636" t="s">
        <v>2220</v>
      </c>
      <c r="CT338" s="643"/>
      <c r="CU338" s="643"/>
      <c r="CV338" s="643"/>
      <c r="CW338" s="643"/>
      <c r="CX338" s="643"/>
      <c r="CY338" s="643"/>
      <c r="CZ338" s="643"/>
      <c r="DA338" s="643"/>
      <c r="DB338" s="643"/>
      <c r="DC338" s="643"/>
      <c r="DD338" s="643"/>
      <c r="DE338" s="643"/>
    </row>
    <row r="339" spans="34:109" ht="15" hidden="1" customHeight="1">
      <c r="AH339" s="24"/>
      <c r="AI339" s="24"/>
      <c r="AJ339" s="24"/>
      <c r="AK339" s="24"/>
      <c r="AL339" s="630" t="str">
        <f t="shared" si="10"/>
        <v/>
      </c>
      <c r="AM339" s="630" t="str">
        <f t="shared" si="11"/>
        <v/>
      </c>
      <c r="AO339" s="24"/>
      <c r="AP339" s="628">
        <v>337</v>
      </c>
      <c r="AQ339" s="642"/>
      <c r="AR339" s="642"/>
      <c r="AS339" s="642"/>
      <c r="AT339" s="642"/>
      <c r="AU339" s="642"/>
      <c r="AV339" s="642"/>
      <c r="AW339" s="642"/>
      <c r="AX339" s="642"/>
      <c r="AY339" s="642"/>
      <c r="AZ339" s="642"/>
      <c r="BA339" s="642"/>
      <c r="BB339" s="642"/>
      <c r="BC339" s="642"/>
      <c r="BD339" s="642"/>
      <c r="BE339" s="642"/>
      <c r="BF339" s="642"/>
      <c r="BG339" s="642"/>
      <c r="BH339" s="642"/>
      <c r="BI339" s="642"/>
      <c r="BJ339" s="634">
        <v>20336</v>
      </c>
      <c r="BK339" s="642"/>
      <c r="BL339" s="642"/>
      <c r="BM339" s="642"/>
      <c r="BN339" s="642"/>
      <c r="BO339" s="642"/>
      <c r="BP339" s="642"/>
      <c r="BQ339" s="642"/>
      <c r="BR339" s="642"/>
      <c r="BS339" s="642"/>
      <c r="BT339" s="642"/>
      <c r="BU339" s="642"/>
      <c r="BV339" s="642"/>
      <c r="BW339" s="24"/>
      <c r="BX339" s="24"/>
      <c r="BY339" s="24"/>
      <c r="BZ339" s="643"/>
      <c r="CA339" s="643"/>
      <c r="CB339" s="643"/>
      <c r="CC339" s="643"/>
      <c r="CD339" s="643"/>
      <c r="CE339" s="643"/>
      <c r="CF339" s="643"/>
      <c r="CG339" s="643"/>
      <c r="CH339" s="643"/>
      <c r="CI339" s="643"/>
      <c r="CJ339" s="643"/>
      <c r="CK339" s="643"/>
      <c r="CL339" s="643"/>
      <c r="CM339" s="643"/>
      <c r="CN339" s="643"/>
      <c r="CO339" s="643"/>
      <c r="CP339" s="643"/>
      <c r="CQ339" s="643"/>
      <c r="CR339" s="643"/>
      <c r="CS339" s="636" t="s">
        <v>2221</v>
      </c>
      <c r="CT339" s="643"/>
      <c r="CU339" s="643"/>
      <c r="CV339" s="643"/>
      <c r="CW339" s="643"/>
      <c r="CX339" s="643"/>
      <c r="CY339" s="643"/>
      <c r="CZ339" s="643"/>
      <c r="DA339" s="643"/>
      <c r="DB339" s="643"/>
      <c r="DC339" s="643"/>
      <c r="DD339" s="643"/>
      <c r="DE339" s="643"/>
    </row>
    <row r="340" spans="34:109" ht="15" hidden="1" customHeight="1">
      <c r="AH340" s="24"/>
      <c r="AI340" s="24"/>
      <c r="AJ340" s="24"/>
      <c r="AK340" s="24"/>
      <c r="AL340" s="630" t="str">
        <f t="shared" si="10"/>
        <v/>
      </c>
      <c r="AM340" s="630" t="str">
        <f t="shared" si="11"/>
        <v/>
      </c>
      <c r="AO340" s="24"/>
      <c r="AP340" s="628">
        <v>338</v>
      </c>
      <c r="AQ340" s="642"/>
      <c r="AR340" s="642"/>
      <c r="AS340" s="642"/>
      <c r="AT340" s="642"/>
      <c r="AU340" s="642"/>
      <c r="AV340" s="642"/>
      <c r="AW340" s="642"/>
      <c r="AX340" s="642"/>
      <c r="AY340" s="642"/>
      <c r="AZ340" s="642"/>
      <c r="BA340" s="642"/>
      <c r="BB340" s="642"/>
      <c r="BC340" s="642"/>
      <c r="BD340" s="642"/>
      <c r="BE340" s="642"/>
      <c r="BF340" s="642"/>
      <c r="BG340" s="642"/>
      <c r="BH340" s="642"/>
      <c r="BI340" s="642"/>
      <c r="BJ340" s="634">
        <v>20337</v>
      </c>
      <c r="BK340" s="642"/>
      <c r="BL340" s="642"/>
      <c r="BM340" s="642"/>
      <c r="BN340" s="642"/>
      <c r="BO340" s="642"/>
      <c r="BP340" s="642"/>
      <c r="BQ340" s="642"/>
      <c r="BR340" s="642"/>
      <c r="BS340" s="642"/>
      <c r="BT340" s="642"/>
      <c r="BU340" s="642"/>
      <c r="BV340" s="642"/>
      <c r="BW340" s="24"/>
      <c r="BX340" s="24"/>
      <c r="BY340" s="24"/>
      <c r="BZ340" s="643"/>
      <c r="CA340" s="643"/>
      <c r="CB340" s="643"/>
      <c r="CC340" s="643"/>
      <c r="CD340" s="643"/>
      <c r="CE340" s="643"/>
      <c r="CF340" s="643"/>
      <c r="CG340" s="643"/>
      <c r="CH340" s="643"/>
      <c r="CI340" s="643"/>
      <c r="CJ340" s="643"/>
      <c r="CK340" s="643"/>
      <c r="CL340" s="643"/>
      <c r="CM340" s="643"/>
      <c r="CN340" s="643"/>
      <c r="CO340" s="643"/>
      <c r="CP340" s="643"/>
      <c r="CQ340" s="643"/>
      <c r="CR340" s="643"/>
      <c r="CS340" s="636" t="s">
        <v>2222</v>
      </c>
      <c r="CT340" s="643"/>
      <c r="CU340" s="643"/>
      <c r="CV340" s="643"/>
      <c r="CW340" s="643"/>
      <c r="CX340" s="643"/>
      <c r="CY340" s="643"/>
      <c r="CZ340" s="643"/>
      <c r="DA340" s="643"/>
      <c r="DB340" s="643"/>
      <c r="DC340" s="643"/>
      <c r="DD340" s="643"/>
      <c r="DE340" s="643"/>
    </row>
    <row r="341" spans="34:109" ht="15" hidden="1" customHeight="1">
      <c r="AH341" s="24"/>
      <c r="AI341" s="24"/>
      <c r="AJ341" s="24"/>
      <c r="AK341" s="24"/>
      <c r="AL341" s="630" t="str">
        <f t="shared" si="10"/>
        <v/>
      </c>
      <c r="AM341" s="630" t="str">
        <f t="shared" si="11"/>
        <v/>
      </c>
      <c r="AO341" s="24"/>
      <c r="AP341" s="628">
        <v>339</v>
      </c>
      <c r="AQ341" s="642"/>
      <c r="AR341" s="642"/>
      <c r="AS341" s="642"/>
      <c r="AT341" s="642"/>
      <c r="AU341" s="642"/>
      <c r="AV341" s="642"/>
      <c r="AW341" s="642"/>
      <c r="AX341" s="642"/>
      <c r="AY341" s="642"/>
      <c r="AZ341" s="642"/>
      <c r="BA341" s="642"/>
      <c r="BB341" s="642"/>
      <c r="BC341" s="642"/>
      <c r="BD341" s="642"/>
      <c r="BE341" s="642"/>
      <c r="BF341" s="642"/>
      <c r="BG341" s="642"/>
      <c r="BH341" s="642"/>
      <c r="BI341" s="642"/>
      <c r="BJ341" s="634">
        <v>20338</v>
      </c>
      <c r="BK341" s="642"/>
      <c r="BL341" s="642"/>
      <c r="BM341" s="642"/>
      <c r="BN341" s="642"/>
      <c r="BO341" s="642"/>
      <c r="BP341" s="642"/>
      <c r="BQ341" s="642"/>
      <c r="BR341" s="642"/>
      <c r="BS341" s="642"/>
      <c r="BT341" s="642"/>
      <c r="BU341" s="642"/>
      <c r="BV341" s="642"/>
      <c r="BW341" s="24"/>
      <c r="BX341" s="24"/>
      <c r="BY341" s="24"/>
      <c r="BZ341" s="643"/>
      <c r="CA341" s="643"/>
      <c r="CB341" s="643"/>
      <c r="CC341" s="643"/>
      <c r="CD341" s="643"/>
      <c r="CE341" s="643"/>
      <c r="CF341" s="643"/>
      <c r="CG341" s="643"/>
      <c r="CH341" s="643"/>
      <c r="CI341" s="643"/>
      <c r="CJ341" s="643"/>
      <c r="CK341" s="643"/>
      <c r="CL341" s="643"/>
      <c r="CM341" s="643"/>
      <c r="CN341" s="643"/>
      <c r="CO341" s="643"/>
      <c r="CP341" s="643"/>
      <c r="CQ341" s="643"/>
      <c r="CR341" s="643"/>
      <c r="CS341" s="636" t="s">
        <v>2223</v>
      </c>
      <c r="CT341" s="643"/>
      <c r="CU341" s="643"/>
      <c r="CV341" s="643"/>
      <c r="CW341" s="643"/>
      <c r="CX341" s="643"/>
      <c r="CY341" s="643"/>
      <c r="CZ341" s="643"/>
      <c r="DA341" s="643"/>
      <c r="DB341" s="643"/>
      <c r="DC341" s="643"/>
      <c r="DD341" s="643"/>
      <c r="DE341" s="643"/>
    </row>
    <row r="342" spans="34:109" ht="15" hidden="1" customHeight="1">
      <c r="AH342" s="24"/>
      <c r="AI342" s="24"/>
      <c r="AJ342" s="24"/>
      <c r="AK342" s="24"/>
      <c r="AL342" s="630" t="str">
        <f t="shared" si="10"/>
        <v/>
      </c>
      <c r="AM342" s="630" t="str">
        <f t="shared" si="11"/>
        <v/>
      </c>
      <c r="AO342" s="24"/>
      <c r="AP342" s="628">
        <v>340</v>
      </c>
      <c r="AQ342" s="642"/>
      <c r="AR342" s="642"/>
      <c r="AS342" s="642"/>
      <c r="AT342" s="642"/>
      <c r="AU342" s="642"/>
      <c r="AV342" s="642"/>
      <c r="AW342" s="642"/>
      <c r="AX342" s="642"/>
      <c r="AY342" s="642"/>
      <c r="AZ342" s="642"/>
      <c r="BA342" s="642"/>
      <c r="BB342" s="642"/>
      <c r="BC342" s="642"/>
      <c r="BD342" s="642"/>
      <c r="BE342" s="642"/>
      <c r="BF342" s="642"/>
      <c r="BG342" s="642"/>
      <c r="BH342" s="642"/>
      <c r="BI342" s="642"/>
      <c r="BJ342" s="634">
        <v>20339</v>
      </c>
      <c r="BK342" s="642"/>
      <c r="BL342" s="642"/>
      <c r="BM342" s="642"/>
      <c r="BN342" s="642"/>
      <c r="BO342" s="642"/>
      <c r="BP342" s="642"/>
      <c r="BQ342" s="642"/>
      <c r="BR342" s="642"/>
      <c r="BS342" s="642"/>
      <c r="BT342" s="642"/>
      <c r="BU342" s="642"/>
      <c r="BV342" s="642"/>
      <c r="BW342" s="24"/>
      <c r="BX342" s="24"/>
      <c r="BY342" s="24"/>
      <c r="BZ342" s="643"/>
      <c r="CA342" s="643"/>
      <c r="CB342" s="643"/>
      <c r="CC342" s="643"/>
      <c r="CD342" s="643"/>
      <c r="CE342" s="643"/>
      <c r="CF342" s="643"/>
      <c r="CG342" s="643"/>
      <c r="CH342" s="643"/>
      <c r="CI342" s="643"/>
      <c r="CJ342" s="643"/>
      <c r="CK342" s="643"/>
      <c r="CL342" s="643"/>
      <c r="CM342" s="643"/>
      <c r="CN342" s="643"/>
      <c r="CO342" s="643"/>
      <c r="CP342" s="643"/>
      <c r="CQ342" s="643"/>
      <c r="CR342" s="643"/>
      <c r="CS342" s="636" t="s">
        <v>2224</v>
      </c>
      <c r="CT342" s="643"/>
      <c r="CU342" s="643"/>
      <c r="CV342" s="643"/>
      <c r="CW342" s="643"/>
      <c r="CX342" s="643"/>
      <c r="CY342" s="643"/>
      <c r="CZ342" s="643"/>
      <c r="DA342" s="643"/>
      <c r="DB342" s="643"/>
      <c r="DC342" s="643"/>
      <c r="DD342" s="643"/>
      <c r="DE342" s="643"/>
    </row>
    <row r="343" spans="34:109" ht="15" hidden="1" customHeight="1">
      <c r="AH343" s="24"/>
      <c r="AI343" s="24"/>
      <c r="AJ343" s="24"/>
      <c r="AK343" s="24"/>
      <c r="AL343" s="630" t="str">
        <f t="shared" si="10"/>
        <v/>
      </c>
      <c r="AM343" s="630" t="str">
        <f t="shared" si="11"/>
        <v/>
      </c>
      <c r="AO343" s="24"/>
      <c r="AP343" s="628">
        <v>341</v>
      </c>
      <c r="AQ343" s="642"/>
      <c r="AR343" s="642"/>
      <c r="AS343" s="642"/>
      <c r="AT343" s="642"/>
      <c r="AU343" s="642"/>
      <c r="AV343" s="642"/>
      <c r="AW343" s="642"/>
      <c r="AX343" s="642"/>
      <c r="AY343" s="642"/>
      <c r="AZ343" s="642"/>
      <c r="BA343" s="642"/>
      <c r="BB343" s="642"/>
      <c r="BC343" s="642"/>
      <c r="BD343" s="642"/>
      <c r="BE343" s="642"/>
      <c r="BF343" s="642"/>
      <c r="BG343" s="642"/>
      <c r="BH343" s="642"/>
      <c r="BI343" s="642"/>
      <c r="BJ343" s="634">
        <v>20340</v>
      </c>
      <c r="BK343" s="642"/>
      <c r="BL343" s="642"/>
      <c r="BM343" s="642"/>
      <c r="BN343" s="642"/>
      <c r="BO343" s="642"/>
      <c r="BP343" s="642"/>
      <c r="BQ343" s="642"/>
      <c r="BR343" s="642"/>
      <c r="BS343" s="642"/>
      <c r="BT343" s="642"/>
      <c r="BU343" s="642"/>
      <c r="BV343" s="642"/>
      <c r="BW343" s="24"/>
      <c r="BX343" s="24"/>
      <c r="BY343" s="24"/>
      <c r="BZ343" s="643"/>
      <c r="CA343" s="643"/>
      <c r="CB343" s="643"/>
      <c r="CC343" s="643"/>
      <c r="CD343" s="643"/>
      <c r="CE343" s="643"/>
      <c r="CF343" s="643"/>
      <c r="CG343" s="643"/>
      <c r="CH343" s="643"/>
      <c r="CI343" s="643"/>
      <c r="CJ343" s="643"/>
      <c r="CK343" s="643"/>
      <c r="CL343" s="643"/>
      <c r="CM343" s="643"/>
      <c r="CN343" s="643"/>
      <c r="CO343" s="643"/>
      <c r="CP343" s="643"/>
      <c r="CQ343" s="643"/>
      <c r="CR343" s="643"/>
      <c r="CS343" s="636" t="s">
        <v>2225</v>
      </c>
      <c r="CT343" s="643"/>
      <c r="CU343" s="643"/>
      <c r="CV343" s="643"/>
      <c r="CW343" s="643"/>
      <c r="CX343" s="643"/>
      <c r="CY343" s="643"/>
      <c r="CZ343" s="643"/>
      <c r="DA343" s="643"/>
      <c r="DB343" s="643"/>
      <c r="DC343" s="643"/>
      <c r="DD343" s="643"/>
      <c r="DE343" s="643"/>
    </row>
    <row r="344" spans="34:109" ht="15" hidden="1" customHeight="1">
      <c r="AH344" s="24"/>
      <c r="AI344" s="24"/>
      <c r="AJ344" s="24"/>
      <c r="AK344" s="24"/>
      <c r="AL344" s="630" t="str">
        <f t="shared" si="10"/>
        <v/>
      </c>
      <c r="AM344" s="630" t="str">
        <f t="shared" si="11"/>
        <v/>
      </c>
      <c r="AO344" s="24"/>
      <c r="AP344" s="628">
        <v>342</v>
      </c>
      <c r="AQ344" s="642"/>
      <c r="AR344" s="642"/>
      <c r="AS344" s="642"/>
      <c r="AT344" s="642"/>
      <c r="AU344" s="642"/>
      <c r="AV344" s="642"/>
      <c r="AW344" s="642"/>
      <c r="AX344" s="642"/>
      <c r="AY344" s="642"/>
      <c r="AZ344" s="642"/>
      <c r="BA344" s="642"/>
      <c r="BB344" s="642"/>
      <c r="BC344" s="642"/>
      <c r="BD344" s="642"/>
      <c r="BE344" s="642"/>
      <c r="BF344" s="642"/>
      <c r="BG344" s="642"/>
      <c r="BH344" s="642"/>
      <c r="BI344" s="642"/>
      <c r="BJ344" s="634">
        <v>20341</v>
      </c>
      <c r="BK344" s="642"/>
      <c r="BL344" s="642"/>
      <c r="BM344" s="642"/>
      <c r="BN344" s="642"/>
      <c r="BO344" s="642"/>
      <c r="BP344" s="642"/>
      <c r="BQ344" s="642"/>
      <c r="BR344" s="642"/>
      <c r="BS344" s="642"/>
      <c r="BT344" s="642"/>
      <c r="BU344" s="642"/>
      <c r="BV344" s="642"/>
      <c r="BW344" s="24"/>
      <c r="BX344" s="24"/>
      <c r="BY344" s="24"/>
      <c r="BZ344" s="643"/>
      <c r="CA344" s="643"/>
      <c r="CB344" s="643"/>
      <c r="CC344" s="643"/>
      <c r="CD344" s="643"/>
      <c r="CE344" s="643"/>
      <c r="CF344" s="643"/>
      <c r="CG344" s="643"/>
      <c r="CH344" s="643"/>
      <c r="CI344" s="643"/>
      <c r="CJ344" s="643"/>
      <c r="CK344" s="643"/>
      <c r="CL344" s="643"/>
      <c r="CM344" s="643"/>
      <c r="CN344" s="643"/>
      <c r="CO344" s="643"/>
      <c r="CP344" s="643"/>
      <c r="CQ344" s="643"/>
      <c r="CR344" s="643"/>
      <c r="CS344" s="636" t="s">
        <v>2226</v>
      </c>
      <c r="CT344" s="643"/>
      <c r="CU344" s="643"/>
      <c r="CV344" s="643"/>
      <c r="CW344" s="643"/>
      <c r="CX344" s="643"/>
      <c r="CY344" s="643"/>
      <c r="CZ344" s="643"/>
      <c r="DA344" s="643"/>
      <c r="DB344" s="643"/>
      <c r="DC344" s="643"/>
      <c r="DD344" s="643"/>
      <c r="DE344" s="643"/>
    </row>
    <row r="345" spans="34:109" ht="15" hidden="1" customHeight="1">
      <c r="AH345" s="24"/>
      <c r="AI345" s="24"/>
      <c r="AJ345" s="24"/>
      <c r="AK345" s="24"/>
      <c r="AL345" s="630" t="str">
        <f t="shared" si="10"/>
        <v/>
      </c>
      <c r="AM345" s="630" t="str">
        <f t="shared" si="11"/>
        <v/>
      </c>
      <c r="AO345" s="24"/>
      <c r="AP345" s="628">
        <v>343</v>
      </c>
      <c r="AQ345" s="642"/>
      <c r="AR345" s="642"/>
      <c r="AS345" s="642"/>
      <c r="AT345" s="642"/>
      <c r="AU345" s="642"/>
      <c r="AV345" s="642"/>
      <c r="AW345" s="642"/>
      <c r="AX345" s="642"/>
      <c r="AY345" s="642"/>
      <c r="AZ345" s="642"/>
      <c r="BA345" s="642"/>
      <c r="BB345" s="642"/>
      <c r="BC345" s="642"/>
      <c r="BD345" s="642"/>
      <c r="BE345" s="642"/>
      <c r="BF345" s="642"/>
      <c r="BG345" s="642"/>
      <c r="BH345" s="642"/>
      <c r="BI345" s="642"/>
      <c r="BJ345" s="634">
        <v>20342</v>
      </c>
      <c r="BK345" s="642"/>
      <c r="BL345" s="642"/>
      <c r="BM345" s="642"/>
      <c r="BN345" s="642"/>
      <c r="BO345" s="642"/>
      <c r="BP345" s="642"/>
      <c r="BQ345" s="642"/>
      <c r="BR345" s="642"/>
      <c r="BS345" s="642"/>
      <c r="BT345" s="642"/>
      <c r="BU345" s="642"/>
      <c r="BV345" s="642"/>
      <c r="BW345" s="24"/>
      <c r="BX345" s="24"/>
      <c r="BY345" s="24"/>
      <c r="BZ345" s="643"/>
      <c r="CA345" s="643"/>
      <c r="CB345" s="643"/>
      <c r="CC345" s="643"/>
      <c r="CD345" s="643"/>
      <c r="CE345" s="643"/>
      <c r="CF345" s="643"/>
      <c r="CG345" s="643"/>
      <c r="CH345" s="643"/>
      <c r="CI345" s="643"/>
      <c r="CJ345" s="643"/>
      <c r="CK345" s="643"/>
      <c r="CL345" s="643"/>
      <c r="CM345" s="643"/>
      <c r="CN345" s="643"/>
      <c r="CO345" s="643"/>
      <c r="CP345" s="643"/>
      <c r="CQ345" s="643"/>
      <c r="CR345" s="643"/>
      <c r="CS345" s="636" t="s">
        <v>2227</v>
      </c>
      <c r="CT345" s="643"/>
      <c r="CU345" s="643"/>
      <c r="CV345" s="643"/>
      <c r="CW345" s="643"/>
      <c r="CX345" s="643"/>
      <c r="CY345" s="643"/>
      <c r="CZ345" s="643"/>
      <c r="DA345" s="643"/>
      <c r="DB345" s="643"/>
      <c r="DC345" s="643"/>
      <c r="DD345" s="643"/>
      <c r="DE345" s="643"/>
    </row>
    <row r="346" spans="34:109" ht="15" hidden="1" customHeight="1">
      <c r="AH346" s="24"/>
      <c r="AI346" s="24"/>
      <c r="AJ346" s="24"/>
      <c r="AK346" s="24"/>
      <c r="AL346" s="630" t="str">
        <f t="shared" si="10"/>
        <v/>
      </c>
      <c r="AM346" s="630" t="str">
        <f t="shared" si="11"/>
        <v/>
      </c>
      <c r="AO346" s="24"/>
      <c r="AP346" s="628">
        <v>344</v>
      </c>
      <c r="AQ346" s="642"/>
      <c r="AR346" s="642"/>
      <c r="AS346" s="642"/>
      <c r="AT346" s="642"/>
      <c r="AU346" s="642"/>
      <c r="AV346" s="642"/>
      <c r="AW346" s="642"/>
      <c r="AX346" s="642"/>
      <c r="AY346" s="642"/>
      <c r="AZ346" s="642"/>
      <c r="BA346" s="642"/>
      <c r="BB346" s="642"/>
      <c r="BC346" s="642"/>
      <c r="BD346" s="642"/>
      <c r="BE346" s="642"/>
      <c r="BF346" s="642"/>
      <c r="BG346" s="642"/>
      <c r="BH346" s="642"/>
      <c r="BI346" s="642"/>
      <c r="BJ346" s="634">
        <v>20343</v>
      </c>
      <c r="BK346" s="642"/>
      <c r="BL346" s="642"/>
      <c r="BM346" s="642"/>
      <c r="BN346" s="642"/>
      <c r="BO346" s="642"/>
      <c r="BP346" s="642"/>
      <c r="BQ346" s="642"/>
      <c r="BR346" s="642"/>
      <c r="BS346" s="642"/>
      <c r="BT346" s="642"/>
      <c r="BU346" s="642"/>
      <c r="BV346" s="642"/>
      <c r="BW346" s="24"/>
      <c r="BX346" s="24"/>
      <c r="BY346" s="24"/>
      <c r="BZ346" s="643"/>
      <c r="CA346" s="643"/>
      <c r="CB346" s="643"/>
      <c r="CC346" s="643"/>
      <c r="CD346" s="643"/>
      <c r="CE346" s="643"/>
      <c r="CF346" s="643"/>
      <c r="CG346" s="643"/>
      <c r="CH346" s="643"/>
      <c r="CI346" s="643"/>
      <c r="CJ346" s="643"/>
      <c r="CK346" s="643"/>
      <c r="CL346" s="643"/>
      <c r="CM346" s="643"/>
      <c r="CN346" s="643"/>
      <c r="CO346" s="643"/>
      <c r="CP346" s="643"/>
      <c r="CQ346" s="643"/>
      <c r="CR346" s="643"/>
      <c r="CS346" s="636" t="s">
        <v>2228</v>
      </c>
      <c r="CT346" s="643"/>
      <c r="CU346" s="643"/>
      <c r="CV346" s="643"/>
      <c r="CW346" s="643"/>
      <c r="CX346" s="643"/>
      <c r="CY346" s="643"/>
      <c r="CZ346" s="643"/>
      <c r="DA346" s="643"/>
      <c r="DB346" s="643"/>
      <c r="DC346" s="643"/>
      <c r="DD346" s="643"/>
      <c r="DE346" s="643"/>
    </row>
    <row r="347" spans="34:109" ht="15" hidden="1" customHeight="1">
      <c r="AH347" s="24"/>
      <c r="AI347" s="24"/>
      <c r="AJ347" s="24"/>
      <c r="AK347" s="24"/>
      <c r="AL347" s="630" t="str">
        <f t="shared" si="10"/>
        <v/>
      </c>
      <c r="AM347" s="630" t="str">
        <f t="shared" si="11"/>
        <v/>
      </c>
      <c r="AO347" s="24"/>
      <c r="AP347" s="628">
        <v>345</v>
      </c>
      <c r="AQ347" s="642"/>
      <c r="AR347" s="642"/>
      <c r="AS347" s="642"/>
      <c r="AT347" s="642"/>
      <c r="AU347" s="642"/>
      <c r="AV347" s="642"/>
      <c r="AW347" s="642"/>
      <c r="AX347" s="642"/>
      <c r="AY347" s="642"/>
      <c r="AZ347" s="642"/>
      <c r="BA347" s="642"/>
      <c r="BB347" s="642"/>
      <c r="BC347" s="642"/>
      <c r="BD347" s="642"/>
      <c r="BE347" s="642"/>
      <c r="BF347" s="642"/>
      <c r="BG347" s="642"/>
      <c r="BH347" s="642"/>
      <c r="BI347" s="642"/>
      <c r="BJ347" s="634">
        <v>20344</v>
      </c>
      <c r="BK347" s="642"/>
      <c r="BL347" s="642"/>
      <c r="BM347" s="642"/>
      <c r="BN347" s="642"/>
      <c r="BO347" s="642"/>
      <c r="BP347" s="642"/>
      <c r="BQ347" s="642"/>
      <c r="BR347" s="642"/>
      <c r="BS347" s="642"/>
      <c r="BT347" s="642"/>
      <c r="BU347" s="642"/>
      <c r="BV347" s="642"/>
      <c r="BW347" s="24"/>
      <c r="BX347" s="24"/>
      <c r="BY347" s="24"/>
      <c r="BZ347" s="643"/>
      <c r="CA347" s="643"/>
      <c r="CB347" s="643"/>
      <c r="CC347" s="643"/>
      <c r="CD347" s="643"/>
      <c r="CE347" s="643"/>
      <c r="CF347" s="643"/>
      <c r="CG347" s="643"/>
      <c r="CH347" s="643"/>
      <c r="CI347" s="643"/>
      <c r="CJ347" s="643"/>
      <c r="CK347" s="643"/>
      <c r="CL347" s="643"/>
      <c r="CM347" s="643"/>
      <c r="CN347" s="643"/>
      <c r="CO347" s="643"/>
      <c r="CP347" s="643"/>
      <c r="CQ347" s="643"/>
      <c r="CR347" s="643"/>
      <c r="CS347" s="636" t="s">
        <v>2229</v>
      </c>
      <c r="CT347" s="643"/>
      <c r="CU347" s="643"/>
      <c r="CV347" s="643"/>
      <c r="CW347" s="643"/>
      <c r="CX347" s="643"/>
      <c r="CY347" s="643"/>
      <c r="CZ347" s="643"/>
      <c r="DA347" s="643"/>
      <c r="DB347" s="643"/>
      <c r="DC347" s="643"/>
      <c r="DD347" s="643"/>
      <c r="DE347" s="643"/>
    </row>
    <row r="348" spans="34:109" ht="15" hidden="1" customHeight="1">
      <c r="AH348" s="24"/>
      <c r="AI348" s="24"/>
      <c r="AJ348" s="24"/>
      <c r="AK348" s="24"/>
      <c r="AL348" s="630" t="str">
        <f t="shared" si="10"/>
        <v/>
      </c>
      <c r="AM348" s="630" t="str">
        <f t="shared" si="11"/>
        <v/>
      </c>
      <c r="AO348" s="24"/>
      <c r="AP348" s="628">
        <v>346</v>
      </c>
      <c r="AQ348" s="642"/>
      <c r="AR348" s="642"/>
      <c r="AS348" s="642"/>
      <c r="AT348" s="642"/>
      <c r="AU348" s="642"/>
      <c r="AV348" s="642"/>
      <c r="AW348" s="642"/>
      <c r="AX348" s="642"/>
      <c r="AY348" s="642"/>
      <c r="AZ348" s="642"/>
      <c r="BA348" s="642"/>
      <c r="BB348" s="642"/>
      <c r="BC348" s="642"/>
      <c r="BD348" s="642"/>
      <c r="BE348" s="642"/>
      <c r="BF348" s="642"/>
      <c r="BG348" s="642"/>
      <c r="BH348" s="642"/>
      <c r="BI348" s="642"/>
      <c r="BJ348" s="634">
        <v>20345</v>
      </c>
      <c r="BK348" s="642"/>
      <c r="BL348" s="642"/>
      <c r="BM348" s="642"/>
      <c r="BN348" s="642"/>
      <c r="BO348" s="642"/>
      <c r="BP348" s="642"/>
      <c r="BQ348" s="642"/>
      <c r="BR348" s="642"/>
      <c r="BS348" s="642"/>
      <c r="BT348" s="642"/>
      <c r="BU348" s="642"/>
      <c r="BV348" s="642"/>
      <c r="BW348" s="24"/>
      <c r="BX348" s="24"/>
      <c r="BY348" s="24"/>
      <c r="BZ348" s="643"/>
      <c r="CA348" s="643"/>
      <c r="CB348" s="643"/>
      <c r="CC348" s="643"/>
      <c r="CD348" s="643"/>
      <c r="CE348" s="643"/>
      <c r="CF348" s="643"/>
      <c r="CG348" s="643"/>
      <c r="CH348" s="643"/>
      <c r="CI348" s="643"/>
      <c r="CJ348" s="643"/>
      <c r="CK348" s="643"/>
      <c r="CL348" s="643"/>
      <c r="CM348" s="643"/>
      <c r="CN348" s="643"/>
      <c r="CO348" s="643"/>
      <c r="CP348" s="643"/>
      <c r="CQ348" s="643"/>
      <c r="CR348" s="643"/>
      <c r="CS348" s="636" t="s">
        <v>2230</v>
      </c>
      <c r="CT348" s="643"/>
      <c r="CU348" s="643"/>
      <c r="CV348" s="643"/>
      <c r="CW348" s="643"/>
      <c r="CX348" s="643"/>
      <c r="CY348" s="643"/>
      <c r="CZ348" s="643"/>
      <c r="DA348" s="643"/>
      <c r="DB348" s="643"/>
      <c r="DC348" s="643"/>
      <c r="DD348" s="643"/>
      <c r="DE348" s="643"/>
    </row>
    <row r="349" spans="34:109" ht="15" hidden="1" customHeight="1">
      <c r="AH349" s="24"/>
      <c r="AI349" s="24"/>
      <c r="AJ349" s="24"/>
      <c r="AK349" s="24"/>
      <c r="AL349" s="630" t="str">
        <f t="shared" si="10"/>
        <v/>
      </c>
      <c r="AM349" s="630" t="str">
        <f t="shared" si="11"/>
        <v/>
      </c>
      <c r="AO349" s="24"/>
      <c r="AP349" s="628">
        <v>347</v>
      </c>
      <c r="AQ349" s="642"/>
      <c r="AR349" s="642"/>
      <c r="AS349" s="642"/>
      <c r="AT349" s="642"/>
      <c r="AU349" s="642"/>
      <c r="AV349" s="642"/>
      <c r="AW349" s="642"/>
      <c r="AX349" s="642"/>
      <c r="AY349" s="642"/>
      <c r="AZ349" s="642"/>
      <c r="BA349" s="642"/>
      <c r="BB349" s="642"/>
      <c r="BC349" s="642"/>
      <c r="BD349" s="642"/>
      <c r="BE349" s="642"/>
      <c r="BF349" s="642"/>
      <c r="BG349" s="642"/>
      <c r="BH349" s="642"/>
      <c r="BI349" s="642"/>
      <c r="BJ349" s="634">
        <v>20346</v>
      </c>
      <c r="BK349" s="642"/>
      <c r="BL349" s="642"/>
      <c r="BM349" s="642"/>
      <c r="BN349" s="642"/>
      <c r="BO349" s="642"/>
      <c r="BP349" s="642"/>
      <c r="BQ349" s="642"/>
      <c r="BR349" s="642"/>
      <c r="BS349" s="642"/>
      <c r="BT349" s="642"/>
      <c r="BU349" s="642"/>
      <c r="BV349" s="642"/>
      <c r="BW349" s="24"/>
      <c r="BX349" s="24"/>
      <c r="BY349" s="24"/>
      <c r="BZ349" s="643"/>
      <c r="CA349" s="643"/>
      <c r="CB349" s="643"/>
      <c r="CC349" s="643"/>
      <c r="CD349" s="643"/>
      <c r="CE349" s="643"/>
      <c r="CF349" s="643"/>
      <c r="CG349" s="643"/>
      <c r="CH349" s="643"/>
      <c r="CI349" s="643"/>
      <c r="CJ349" s="643"/>
      <c r="CK349" s="643"/>
      <c r="CL349" s="643"/>
      <c r="CM349" s="643"/>
      <c r="CN349" s="643"/>
      <c r="CO349" s="643"/>
      <c r="CP349" s="643"/>
      <c r="CQ349" s="643"/>
      <c r="CR349" s="643"/>
      <c r="CS349" s="636" t="s">
        <v>2231</v>
      </c>
      <c r="CT349" s="643"/>
      <c r="CU349" s="643"/>
      <c r="CV349" s="643"/>
      <c r="CW349" s="643"/>
      <c r="CX349" s="643"/>
      <c r="CY349" s="643"/>
      <c r="CZ349" s="643"/>
      <c r="DA349" s="643"/>
      <c r="DB349" s="643"/>
      <c r="DC349" s="643"/>
      <c r="DD349" s="643"/>
      <c r="DE349" s="643"/>
    </row>
    <row r="350" spans="34:109" ht="15" hidden="1" customHeight="1">
      <c r="AH350" s="24"/>
      <c r="AI350" s="24"/>
      <c r="AJ350" s="24"/>
      <c r="AK350" s="24"/>
      <c r="AL350" s="630" t="str">
        <f t="shared" si="10"/>
        <v/>
      </c>
      <c r="AM350" s="630" t="str">
        <f t="shared" si="11"/>
        <v/>
      </c>
      <c r="AO350" s="24"/>
      <c r="AP350" s="628">
        <v>348</v>
      </c>
      <c r="AQ350" s="642"/>
      <c r="AR350" s="642"/>
      <c r="AS350" s="642"/>
      <c r="AT350" s="642"/>
      <c r="AU350" s="642"/>
      <c r="AV350" s="642"/>
      <c r="AW350" s="642"/>
      <c r="AX350" s="642"/>
      <c r="AY350" s="642"/>
      <c r="AZ350" s="642"/>
      <c r="BA350" s="642"/>
      <c r="BB350" s="642"/>
      <c r="BC350" s="642"/>
      <c r="BD350" s="642"/>
      <c r="BE350" s="642"/>
      <c r="BF350" s="642"/>
      <c r="BG350" s="642"/>
      <c r="BH350" s="642"/>
      <c r="BI350" s="642"/>
      <c r="BJ350" s="634">
        <v>20347</v>
      </c>
      <c r="BK350" s="642"/>
      <c r="BL350" s="642"/>
      <c r="BM350" s="642"/>
      <c r="BN350" s="642"/>
      <c r="BO350" s="642"/>
      <c r="BP350" s="642"/>
      <c r="BQ350" s="642"/>
      <c r="BR350" s="642"/>
      <c r="BS350" s="642"/>
      <c r="BT350" s="642"/>
      <c r="BU350" s="642"/>
      <c r="BV350" s="642"/>
      <c r="BW350" s="24"/>
      <c r="BX350" s="24"/>
      <c r="BY350" s="24"/>
      <c r="BZ350" s="643"/>
      <c r="CA350" s="643"/>
      <c r="CB350" s="643"/>
      <c r="CC350" s="643"/>
      <c r="CD350" s="643"/>
      <c r="CE350" s="643"/>
      <c r="CF350" s="643"/>
      <c r="CG350" s="643"/>
      <c r="CH350" s="643"/>
      <c r="CI350" s="643"/>
      <c r="CJ350" s="643"/>
      <c r="CK350" s="643"/>
      <c r="CL350" s="643"/>
      <c r="CM350" s="643"/>
      <c r="CN350" s="643"/>
      <c r="CO350" s="643"/>
      <c r="CP350" s="643"/>
      <c r="CQ350" s="643"/>
      <c r="CR350" s="643"/>
      <c r="CS350" s="636" t="s">
        <v>2232</v>
      </c>
      <c r="CT350" s="643"/>
      <c r="CU350" s="643"/>
      <c r="CV350" s="643"/>
      <c r="CW350" s="643"/>
      <c r="CX350" s="643"/>
      <c r="CY350" s="643"/>
      <c r="CZ350" s="643"/>
      <c r="DA350" s="643"/>
      <c r="DB350" s="643"/>
      <c r="DC350" s="643"/>
      <c r="DD350" s="643"/>
      <c r="DE350" s="643"/>
    </row>
    <row r="351" spans="34:109" ht="15" hidden="1" customHeight="1">
      <c r="AH351" s="24"/>
      <c r="AI351" s="24"/>
      <c r="AJ351" s="24"/>
      <c r="AK351" s="24"/>
      <c r="AL351" s="630" t="str">
        <f t="shared" si="10"/>
        <v/>
      </c>
      <c r="AM351" s="630" t="str">
        <f t="shared" si="11"/>
        <v/>
      </c>
      <c r="AO351" s="24"/>
      <c r="AP351" s="628">
        <v>349</v>
      </c>
      <c r="AQ351" s="642"/>
      <c r="AR351" s="642"/>
      <c r="AS351" s="642"/>
      <c r="AT351" s="642"/>
      <c r="AU351" s="642"/>
      <c r="AV351" s="642"/>
      <c r="AW351" s="642"/>
      <c r="AX351" s="642"/>
      <c r="AY351" s="642"/>
      <c r="AZ351" s="642"/>
      <c r="BA351" s="642"/>
      <c r="BB351" s="642"/>
      <c r="BC351" s="642"/>
      <c r="BD351" s="642"/>
      <c r="BE351" s="642"/>
      <c r="BF351" s="642"/>
      <c r="BG351" s="642"/>
      <c r="BH351" s="642"/>
      <c r="BI351" s="642"/>
      <c r="BJ351" s="634">
        <v>20348</v>
      </c>
      <c r="BK351" s="642"/>
      <c r="BL351" s="642"/>
      <c r="BM351" s="642"/>
      <c r="BN351" s="642"/>
      <c r="BO351" s="642"/>
      <c r="BP351" s="642"/>
      <c r="BQ351" s="642"/>
      <c r="BR351" s="642"/>
      <c r="BS351" s="642"/>
      <c r="BT351" s="642"/>
      <c r="BU351" s="642"/>
      <c r="BV351" s="642"/>
      <c r="BW351" s="24"/>
      <c r="BX351" s="24"/>
      <c r="BY351" s="24"/>
      <c r="BZ351" s="643"/>
      <c r="CA351" s="643"/>
      <c r="CB351" s="643"/>
      <c r="CC351" s="643"/>
      <c r="CD351" s="643"/>
      <c r="CE351" s="643"/>
      <c r="CF351" s="643"/>
      <c r="CG351" s="643"/>
      <c r="CH351" s="643"/>
      <c r="CI351" s="643"/>
      <c r="CJ351" s="643"/>
      <c r="CK351" s="643"/>
      <c r="CL351" s="643"/>
      <c r="CM351" s="643"/>
      <c r="CN351" s="643"/>
      <c r="CO351" s="643"/>
      <c r="CP351" s="643"/>
      <c r="CQ351" s="643"/>
      <c r="CR351" s="643"/>
      <c r="CS351" s="636" t="s">
        <v>2233</v>
      </c>
      <c r="CT351" s="643"/>
      <c r="CU351" s="643"/>
      <c r="CV351" s="643"/>
      <c r="CW351" s="643"/>
      <c r="CX351" s="643"/>
      <c r="CY351" s="643"/>
      <c r="CZ351" s="643"/>
      <c r="DA351" s="643"/>
      <c r="DB351" s="643"/>
      <c r="DC351" s="643"/>
      <c r="DD351" s="643"/>
      <c r="DE351" s="643"/>
    </row>
    <row r="352" spans="34:109" ht="15" hidden="1" customHeight="1">
      <c r="AH352" s="24"/>
      <c r="AI352" s="24"/>
      <c r="AJ352" s="24"/>
      <c r="AK352" s="24"/>
      <c r="AL352" s="630" t="str">
        <f t="shared" si="10"/>
        <v/>
      </c>
      <c r="AM352" s="630" t="str">
        <f t="shared" si="11"/>
        <v/>
      </c>
      <c r="AO352" s="24"/>
      <c r="AP352" s="628">
        <v>350</v>
      </c>
      <c r="AQ352" s="642"/>
      <c r="AR352" s="642"/>
      <c r="AS352" s="642"/>
      <c r="AT352" s="642"/>
      <c r="AU352" s="642"/>
      <c r="AV352" s="642"/>
      <c r="AW352" s="642"/>
      <c r="AX352" s="642"/>
      <c r="AY352" s="642"/>
      <c r="AZ352" s="642"/>
      <c r="BA352" s="642"/>
      <c r="BB352" s="642"/>
      <c r="BC352" s="642"/>
      <c r="BD352" s="642"/>
      <c r="BE352" s="642"/>
      <c r="BF352" s="642"/>
      <c r="BG352" s="642"/>
      <c r="BH352" s="642"/>
      <c r="BI352" s="642"/>
      <c r="BJ352" s="634">
        <v>20349</v>
      </c>
      <c r="BK352" s="642"/>
      <c r="BL352" s="642"/>
      <c r="BM352" s="642"/>
      <c r="BN352" s="642"/>
      <c r="BO352" s="642"/>
      <c r="BP352" s="642"/>
      <c r="BQ352" s="642"/>
      <c r="BR352" s="642"/>
      <c r="BS352" s="642"/>
      <c r="BT352" s="642"/>
      <c r="BU352" s="642"/>
      <c r="BV352" s="642"/>
      <c r="BW352" s="24"/>
      <c r="BX352" s="24"/>
      <c r="BY352" s="24"/>
      <c r="BZ352" s="643"/>
      <c r="CA352" s="643"/>
      <c r="CB352" s="643"/>
      <c r="CC352" s="643"/>
      <c r="CD352" s="643"/>
      <c r="CE352" s="643"/>
      <c r="CF352" s="643"/>
      <c r="CG352" s="643"/>
      <c r="CH352" s="643"/>
      <c r="CI352" s="643"/>
      <c r="CJ352" s="643"/>
      <c r="CK352" s="643"/>
      <c r="CL352" s="643"/>
      <c r="CM352" s="643"/>
      <c r="CN352" s="643"/>
      <c r="CO352" s="643"/>
      <c r="CP352" s="643"/>
      <c r="CQ352" s="643"/>
      <c r="CR352" s="643"/>
      <c r="CS352" s="636" t="s">
        <v>2234</v>
      </c>
      <c r="CT352" s="643"/>
      <c r="CU352" s="643"/>
      <c r="CV352" s="643"/>
      <c r="CW352" s="643"/>
      <c r="CX352" s="643"/>
      <c r="CY352" s="643"/>
      <c r="CZ352" s="643"/>
      <c r="DA352" s="643"/>
      <c r="DB352" s="643"/>
      <c r="DC352" s="643"/>
      <c r="DD352" s="643"/>
      <c r="DE352" s="643"/>
    </row>
    <row r="353" spans="34:109" ht="15" hidden="1" customHeight="1">
      <c r="AH353" s="628"/>
      <c r="AI353" s="628"/>
      <c r="AJ353" s="628"/>
      <c r="AK353" s="628"/>
      <c r="AL353" s="630" t="str">
        <f t="shared" si="10"/>
        <v/>
      </c>
      <c r="AM353" s="630" t="str">
        <f t="shared" si="11"/>
        <v/>
      </c>
      <c r="AO353" s="628"/>
      <c r="AP353" s="628">
        <v>351</v>
      </c>
      <c r="AQ353" s="634"/>
      <c r="AR353" s="634"/>
      <c r="AS353" s="634"/>
      <c r="AT353" s="634"/>
      <c r="AU353" s="634"/>
      <c r="AV353" s="634"/>
      <c r="AW353" s="634"/>
      <c r="AX353" s="634"/>
      <c r="AY353" s="634"/>
      <c r="AZ353" s="634"/>
      <c r="BA353" s="634"/>
      <c r="BB353" s="634"/>
      <c r="BC353" s="634"/>
      <c r="BD353" s="634"/>
      <c r="BE353" s="634"/>
      <c r="BF353" s="634"/>
      <c r="BG353" s="634"/>
      <c r="BH353" s="634"/>
      <c r="BI353" s="634"/>
      <c r="BJ353" s="634">
        <v>20350</v>
      </c>
      <c r="BK353" s="634"/>
      <c r="BL353" s="634"/>
      <c r="BM353" s="634"/>
      <c r="BN353" s="634"/>
      <c r="BO353" s="634"/>
      <c r="BP353" s="634"/>
      <c r="BQ353" s="634"/>
      <c r="BR353" s="634"/>
      <c r="BS353" s="634"/>
      <c r="BT353" s="634"/>
      <c r="BU353" s="634"/>
      <c r="BV353" s="634"/>
      <c r="BW353" s="628"/>
      <c r="BX353" s="628"/>
      <c r="BY353" s="628"/>
      <c r="BZ353" s="636"/>
      <c r="CA353" s="636"/>
      <c r="CB353" s="636"/>
      <c r="CC353" s="636"/>
      <c r="CD353" s="636"/>
      <c r="CE353" s="636"/>
      <c r="CF353" s="636"/>
      <c r="CG353" s="636"/>
      <c r="CH353" s="636"/>
      <c r="CI353" s="636"/>
      <c r="CJ353" s="636"/>
      <c r="CK353" s="636"/>
      <c r="CL353" s="636"/>
      <c r="CM353" s="636"/>
      <c r="CN353" s="636"/>
      <c r="CO353" s="636"/>
      <c r="CP353" s="636"/>
      <c r="CQ353" s="636"/>
      <c r="CR353" s="636"/>
      <c r="CS353" s="636" t="s">
        <v>2235</v>
      </c>
      <c r="CT353" s="636"/>
      <c r="CU353" s="636"/>
      <c r="CV353" s="636"/>
      <c r="CW353" s="636"/>
      <c r="CX353" s="636"/>
      <c r="CY353" s="636"/>
      <c r="CZ353" s="636"/>
      <c r="DA353" s="636"/>
      <c r="DB353" s="636"/>
      <c r="DC353" s="636"/>
      <c r="DD353" s="636"/>
      <c r="DE353" s="636"/>
    </row>
    <row r="354" spans="34:109" ht="15" hidden="1" customHeight="1">
      <c r="AH354" s="628"/>
      <c r="AI354" s="628"/>
      <c r="AJ354" s="628"/>
      <c r="AK354" s="628"/>
      <c r="AL354" s="630" t="str">
        <f t="shared" si="10"/>
        <v/>
      </c>
      <c r="AM354" s="630" t="str">
        <f t="shared" si="11"/>
        <v/>
      </c>
      <c r="AO354" s="628"/>
      <c r="AP354" s="628">
        <v>352</v>
      </c>
      <c r="AQ354" s="634"/>
      <c r="AR354" s="634"/>
      <c r="AS354" s="634"/>
      <c r="AT354" s="634"/>
      <c r="AU354" s="634"/>
      <c r="AV354" s="634"/>
      <c r="AW354" s="634"/>
      <c r="AX354" s="634"/>
      <c r="AY354" s="634"/>
      <c r="AZ354" s="634"/>
      <c r="BA354" s="634"/>
      <c r="BB354" s="634"/>
      <c r="BC354" s="634"/>
      <c r="BD354" s="634"/>
      <c r="BE354" s="634"/>
      <c r="BF354" s="634"/>
      <c r="BG354" s="634"/>
      <c r="BH354" s="634"/>
      <c r="BI354" s="634"/>
      <c r="BJ354" s="634">
        <v>20351</v>
      </c>
      <c r="BK354" s="634"/>
      <c r="BL354" s="634"/>
      <c r="BM354" s="634"/>
      <c r="BN354" s="634"/>
      <c r="BO354" s="634"/>
      <c r="BP354" s="634"/>
      <c r="BQ354" s="634"/>
      <c r="BR354" s="634"/>
      <c r="BS354" s="634"/>
      <c r="BT354" s="634"/>
      <c r="BU354" s="634"/>
      <c r="BV354" s="634"/>
      <c r="BW354" s="628"/>
      <c r="BX354" s="628"/>
      <c r="BY354" s="628"/>
      <c r="BZ354" s="636"/>
      <c r="CA354" s="636"/>
      <c r="CB354" s="636"/>
      <c r="CC354" s="636"/>
      <c r="CD354" s="636"/>
      <c r="CE354" s="636"/>
      <c r="CF354" s="636"/>
      <c r="CG354" s="636"/>
      <c r="CH354" s="636"/>
      <c r="CI354" s="636"/>
      <c r="CJ354" s="636"/>
      <c r="CK354" s="636"/>
      <c r="CL354" s="636"/>
      <c r="CM354" s="636"/>
      <c r="CN354" s="636"/>
      <c r="CO354" s="636"/>
      <c r="CP354" s="636"/>
      <c r="CQ354" s="636"/>
      <c r="CR354" s="636"/>
      <c r="CS354" s="636" t="s">
        <v>2236</v>
      </c>
      <c r="CT354" s="636"/>
      <c r="CU354" s="636"/>
      <c r="CV354" s="636"/>
      <c r="CW354" s="636"/>
      <c r="CX354" s="636"/>
      <c r="CY354" s="636"/>
      <c r="CZ354" s="636"/>
      <c r="DA354" s="636"/>
      <c r="DB354" s="636"/>
      <c r="DC354" s="636"/>
      <c r="DD354" s="636"/>
      <c r="DE354" s="636"/>
    </row>
    <row r="355" spans="34:109" ht="15" hidden="1" customHeight="1">
      <c r="AH355" s="628"/>
      <c r="AI355" s="628"/>
      <c r="AJ355" s="628"/>
      <c r="AK355" s="628"/>
      <c r="AL355" s="630" t="str">
        <f t="shared" si="10"/>
        <v/>
      </c>
      <c r="AM355" s="630" t="str">
        <f t="shared" si="11"/>
        <v/>
      </c>
      <c r="AO355" s="628"/>
      <c r="AP355" s="628">
        <v>353</v>
      </c>
      <c r="AQ355" s="634"/>
      <c r="AR355" s="634"/>
      <c r="AS355" s="634"/>
      <c r="AT355" s="634"/>
      <c r="AU355" s="634"/>
      <c r="AV355" s="634"/>
      <c r="AW355" s="634"/>
      <c r="AX355" s="634"/>
      <c r="AY355" s="634"/>
      <c r="AZ355" s="634"/>
      <c r="BA355" s="634"/>
      <c r="BB355" s="634"/>
      <c r="BC355" s="634"/>
      <c r="BD355" s="634"/>
      <c r="BE355" s="634"/>
      <c r="BF355" s="634"/>
      <c r="BG355" s="634"/>
      <c r="BH355" s="634"/>
      <c r="BI355" s="634"/>
      <c r="BJ355" s="634">
        <v>20352</v>
      </c>
      <c r="BK355" s="634"/>
      <c r="BL355" s="634"/>
      <c r="BM355" s="634"/>
      <c r="BN355" s="634"/>
      <c r="BO355" s="634"/>
      <c r="BP355" s="634"/>
      <c r="BQ355" s="634"/>
      <c r="BR355" s="634"/>
      <c r="BS355" s="634"/>
      <c r="BT355" s="634"/>
      <c r="BU355" s="634"/>
      <c r="BV355" s="634"/>
      <c r="BW355" s="628"/>
      <c r="BX355" s="628"/>
      <c r="BY355" s="628"/>
      <c r="BZ355" s="636"/>
      <c r="CA355" s="636"/>
      <c r="CB355" s="636"/>
      <c r="CC355" s="636"/>
      <c r="CD355" s="636"/>
      <c r="CE355" s="636"/>
      <c r="CF355" s="636"/>
      <c r="CG355" s="636"/>
      <c r="CH355" s="636"/>
      <c r="CI355" s="636"/>
      <c r="CJ355" s="636"/>
      <c r="CK355" s="636"/>
      <c r="CL355" s="636"/>
      <c r="CM355" s="636"/>
      <c r="CN355" s="636"/>
      <c r="CO355" s="636"/>
      <c r="CP355" s="636"/>
      <c r="CQ355" s="636"/>
      <c r="CR355" s="636"/>
      <c r="CS355" s="636" t="s">
        <v>2237</v>
      </c>
      <c r="CT355" s="636"/>
      <c r="CU355" s="636"/>
      <c r="CV355" s="636"/>
      <c r="CW355" s="636"/>
      <c r="CX355" s="636"/>
      <c r="CY355" s="636"/>
      <c r="CZ355" s="636"/>
      <c r="DA355" s="636"/>
      <c r="DB355" s="636"/>
      <c r="DC355" s="636"/>
      <c r="DD355" s="636"/>
      <c r="DE355" s="636"/>
    </row>
    <row r="356" spans="34:109" ht="15" hidden="1" customHeight="1">
      <c r="AH356" s="24"/>
      <c r="AI356" s="24"/>
      <c r="AJ356" s="24"/>
      <c r="AK356" s="24"/>
      <c r="AL356" s="630" t="str">
        <f t="shared" si="10"/>
        <v/>
      </c>
      <c r="AM356" s="630" t="str">
        <f t="shared" si="11"/>
        <v/>
      </c>
      <c r="AO356" s="24"/>
      <c r="AP356" s="628">
        <v>354</v>
      </c>
      <c r="AQ356" s="642"/>
      <c r="AR356" s="642"/>
      <c r="AS356" s="642"/>
      <c r="AT356" s="642"/>
      <c r="AU356" s="642"/>
      <c r="AV356" s="642"/>
      <c r="AW356" s="642"/>
      <c r="AX356" s="642"/>
      <c r="AY356" s="642"/>
      <c r="AZ356" s="642"/>
      <c r="BA356" s="642"/>
      <c r="BB356" s="642"/>
      <c r="BC356" s="642"/>
      <c r="BD356" s="642"/>
      <c r="BE356" s="642"/>
      <c r="BF356" s="642"/>
      <c r="BG356" s="642"/>
      <c r="BH356" s="642"/>
      <c r="BI356" s="642"/>
      <c r="BJ356" s="634">
        <v>20353</v>
      </c>
      <c r="BK356" s="642"/>
      <c r="BL356" s="642"/>
      <c r="BM356" s="642"/>
      <c r="BN356" s="642"/>
      <c r="BO356" s="642"/>
      <c r="BP356" s="642"/>
      <c r="BQ356" s="642"/>
      <c r="BR356" s="642"/>
      <c r="BS356" s="642"/>
      <c r="BT356" s="642"/>
      <c r="BU356" s="642"/>
      <c r="BV356" s="642"/>
      <c r="BW356" s="24"/>
      <c r="BX356" s="24"/>
      <c r="BY356" s="24"/>
      <c r="BZ356" s="643"/>
      <c r="CA356" s="643"/>
      <c r="CB356" s="643"/>
      <c r="CC356" s="643"/>
      <c r="CD356" s="643"/>
      <c r="CE356" s="643"/>
      <c r="CF356" s="643"/>
      <c r="CG356" s="643"/>
      <c r="CH356" s="643"/>
      <c r="CI356" s="643"/>
      <c r="CJ356" s="643"/>
      <c r="CK356" s="643"/>
      <c r="CL356" s="643"/>
      <c r="CM356" s="643"/>
      <c r="CN356" s="643"/>
      <c r="CO356" s="643"/>
      <c r="CP356" s="643"/>
      <c r="CQ356" s="643"/>
      <c r="CR356" s="643"/>
      <c r="CS356" s="636" t="s">
        <v>1270</v>
      </c>
      <c r="CT356" s="643"/>
      <c r="CU356" s="643"/>
      <c r="CV356" s="643"/>
      <c r="CW356" s="643"/>
      <c r="CX356" s="643"/>
      <c r="CY356" s="643"/>
      <c r="CZ356" s="643"/>
      <c r="DA356" s="643"/>
      <c r="DB356" s="643"/>
      <c r="DC356" s="643"/>
      <c r="DD356" s="643"/>
      <c r="DE356" s="643"/>
    </row>
    <row r="357" spans="34:109" ht="15" hidden="1" customHeight="1">
      <c r="AH357" s="24"/>
      <c r="AI357" s="24"/>
      <c r="AJ357" s="24"/>
      <c r="AK357" s="24"/>
      <c r="AL357" s="630" t="str">
        <f t="shared" si="10"/>
        <v/>
      </c>
      <c r="AM357" s="630" t="str">
        <f t="shared" si="11"/>
        <v/>
      </c>
      <c r="AO357" s="24"/>
      <c r="AP357" s="628">
        <v>355</v>
      </c>
      <c r="AQ357" s="642"/>
      <c r="AR357" s="642"/>
      <c r="AS357" s="642"/>
      <c r="AT357" s="642"/>
      <c r="AU357" s="642"/>
      <c r="AV357" s="642"/>
      <c r="AW357" s="642"/>
      <c r="AX357" s="642"/>
      <c r="AY357" s="642"/>
      <c r="AZ357" s="642"/>
      <c r="BA357" s="642"/>
      <c r="BB357" s="642"/>
      <c r="BC357" s="642"/>
      <c r="BD357" s="642"/>
      <c r="BE357" s="642"/>
      <c r="BF357" s="642"/>
      <c r="BG357" s="642"/>
      <c r="BH357" s="642"/>
      <c r="BI357" s="642"/>
      <c r="BJ357" s="634">
        <v>20354</v>
      </c>
      <c r="BK357" s="642"/>
      <c r="BL357" s="642"/>
      <c r="BM357" s="642"/>
      <c r="BN357" s="642"/>
      <c r="BO357" s="642"/>
      <c r="BP357" s="642"/>
      <c r="BQ357" s="642"/>
      <c r="BR357" s="642"/>
      <c r="BS357" s="642"/>
      <c r="BT357" s="642"/>
      <c r="BU357" s="642"/>
      <c r="BV357" s="642"/>
      <c r="BW357" s="24"/>
      <c r="BX357" s="24"/>
      <c r="BY357" s="24"/>
      <c r="BZ357" s="643"/>
      <c r="CA357" s="643"/>
      <c r="CB357" s="643"/>
      <c r="CC357" s="643"/>
      <c r="CD357" s="643"/>
      <c r="CE357" s="643"/>
      <c r="CF357" s="643"/>
      <c r="CG357" s="643"/>
      <c r="CH357" s="643"/>
      <c r="CI357" s="643"/>
      <c r="CJ357" s="643"/>
      <c r="CK357" s="643"/>
      <c r="CL357" s="643"/>
      <c r="CM357" s="643"/>
      <c r="CN357" s="643"/>
      <c r="CO357" s="643"/>
      <c r="CP357" s="643"/>
      <c r="CQ357" s="643"/>
      <c r="CR357" s="643"/>
      <c r="CS357" s="636" t="s">
        <v>2238</v>
      </c>
      <c r="CT357" s="643"/>
      <c r="CU357" s="643"/>
      <c r="CV357" s="643"/>
      <c r="CW357" s="643"/>
      <c r="CX357" s="643"/>
      <c r="CY357" s="643"/>
      <c r="CZ357" s="643"/>
      <c r="DA357" s="643"/>
      <c r="DB357" s="643"/>
      <c r="DC357" s="643"/>
      <c r="DD357" s="643"/>
      <c r="DE357" s="643"/>
    </row>
    <row r="358" spans="34:109" ht="15" hidden="1" customHeight="1">
      <c r="AH358" s="24"/>
      <c r="AI358" s="24"/>
      <c r="AJ358" s="24"/>
      <c r="AK358" s="24"/>
      <c r="AL358" s="630" t="str">
        <f t="shared" si="10"/>
        <v/>
      </c>
      <c r="AM358" s="630" t="str">
        <f t="shared" si="11"/>
        <v/>
      </c>
      <c r="AO358" s="24"/>
      <c r="AP358" s="628">
        <v>356</v>
      </c>
      <c r="AQ358" s="642"/>
      <c r="AR358" s="642"/>
      <c r="AS358" s="642"/>
      <c r="AT358" s="642"/>
      <c r="AU358" s="642"/>
      <c r="AV358" s="642"/>
      <c r="AW358" s="642"/>
      <c r="AX358" s="642"/>
      <c r="AY358" s="642"/>
      <c r="AZ358" s="642"/>
      <c r="BA358" s="642"/>
      <c r="BB358" s="642"/>
      <c r="BC358" s="642"/>
      <c r="BD358" s="642"/>
      <c r="BE358" s="642"/>
      <c r="BF358" s="642"/>
      <c r="BG358" s="642"/>
      <c r="BH358" s="642"/>
      <c r="BI358" s="642"/>
      <c r="BJ358" s="634">
        <v>20355</v>
      </c>
      <c r="BK358" s="642"/>
      <c r="BL358" s="642"/>
      <c r="BM358" s="642"/>
      <c r="BN358" s="642"/>
      <c r="BO358" s="642"/>
      <c r="BP358" s="642"/>
      <c r="BQ358" s="642"/>
      <c r="BR358" s="642"/>
      <c r="BS358" s="642"/>
      <c r="BT358" s="642"/>
      <c r="BU358" s="642"/>
      <c r="BV358" s="642"/>
      <c r="BW358" s="24"/>
      <c r="BX358" s="24"/>
      <c r="BY358" s="24"/>
      <c r="BZ358" s="643"/>
      <c r="CA358" s="643"/>
      <c r="CB358" s="643"/>
      <c r="CC358" s="643"/>
      <c r="CD358" s="643"/>
      <c r="CE358" s="643"/>
      <c r="CF358" s="643"/>
      <c r="CG358" s="643"/>
      <c r="CH358" s="643"/>
      <c r="CI358" s="643"/>
      <c r="CJ358" s="643"/>
      <c r="CK358" s="643"/>
      <c r="CL358" s="643"/>
      <c r="CM358" s="643"/>
      <c r="CN358" s="643"/>
      <c r="CO358" s="643"/>
      <c r="CP358" s="643"/>
      <c r="CQ358" s="643"/>
      <c r="CR358" s="643"/>
      <c r="CS358" s="636" t="s">
        <v>2239</v>
      </c>
      <c r="CT358" s="643"/>
      <c r="CU358" s="643"/>
      <c r="CV358" s="643"/>
      <c r="CW358" s="643"/>
      <c r="CX358" s="643"/>
      <c r="CY358" s="643"/>
      <c r="CZ358" s="643"/>
      <c r="DA358" s="643"/>
      <c r="DB358" s="643"/>
      <c r="DC358" s="643"/>
      <c r="DD358" s="643"/>
      <c r="DE358" s="643"/>
    </row>
    <row r="359" spans="34:109" ht="15" hidden="1" customHeight="1">
      <c r="AH359" s="24"/>
      <c r="AI359" s="24"/>
      <c r="AJ359" s="24"/>
      <c r="AK359" s="24"/>
      <c r="AL359" s="630" t="str">
        <f t="shared" si="10"/>
        <v/>
      </c>
      <c r="AM359" s="630" t="str">
        <f t="shared" si="11"/>
        <v/>
      </c>
      <c r="AO359" s="24"/>
      <c r="AP359" s="628">
        <v>357</v>
      </c>
      <c r="AQ359" s="642"/>
      <c r="AR359" s="642"/>
      <c r="AS359" s="642"/>
      <c r="AT359" s="642"/>
      <c r="AU359" s="642"/>
      <c r="AV359" s="642"/>
      <c r="AW359" s="642"/>
      <c r="AX359" s="642"/>
      <c r="AY359" s="642"/>
      <c r="AZ359" s="642"/>
      <c r="BA359" s="642"/>
      <c r="BB359" s="642"/>
      <c r="BC359" s="642"/>
      <c r="BD359" s="642"/>
      <c r="BE359" s="642"/>
      <c r="BF359" s="642"/>
      <c r="BG359" s="642"/>
      <c r="BH359" s="642"/>
      <c r="BI359" s="642"/>
      <c r="BJ359" s="634">
        <v>20356</v>
      </c>
      <c r="BK359" s="642"/>
      <c r="BL359" s="642"/>
      <c r="BM359" s="642"/>
      <c r="BN359" s="642"/>
      <c r="BO359" s="642"/>
      <c r="BP359" s="642"/>
      <c r="BQ359" s="642"/>
      <c r="BR359" s="642"/>
      <c r="BS359" s="642"/>
      <c r="BT359" s="642"/>
      <c r="BU359" s="642"/>
      <c r="BV359" s="642"/>
      <c r="BW359" s="24"/>
      <c r="BX359" s="24"/>
      <c r="BY359" s="24"/>
      <c r="BZ359" s="643"/>
      <c r="CA359" s="643"/>
      <c r="CB359" s="643"/>
      <c r="CC359" s="643"/>
      <c r="CD359" s="643"/>
      <c r="CE359" s="643"/>
      <c r="CF359" s="643"/>
      <c r="CG359" s="643"/>
      <c r="CH359" s="643"/>
      <c r="CI359" s="643"/>
      <c r="CJ359" s="643"/>
      <c r="CK359" s="643"/>
      <c r="CL359" s="643"/>
      <c r="CM359" s="643"/>
      <c r="CN359" s="643"/>
      <c r="CO359" s="643"/>
      <c r="CP359" s="643"/>
      <c r="CQ359" s="643"/>
      <c r="CR359" s="643"/>
      <c r="CS359" s="636" t="s">
        <v>2240</v>
      </c>
      <c r="CT359" s="643"/>
      <c r="CU359" s="643"/>
      <c r="CV359" s="643"/>
      <c r="CW359" s="643"/>
      <c r="CX359" s="643"/>
      <c r="CY359" s="643"/>
      <c r="CZ359" s="643"/>
      <c r="DA359" s="643"/>
      <c r="DB359" s="643"/>
      <c r="DC359" s="643"/>
      <c r="DD359" s="643"/>
      <c r="DE359" s="643"/>
    </row>
    <row r="360" spans="34:109" ht="15" hidden="1" customHeight="1">
      <c r="AH360" s="24"/>
      <c r="AI360" s="24"/>
      <c r="AJ360" s="24"/>
      <c r="AK360" s="24"/>
      <c r="AL360" s="630" t="str">
        <f t="shared" si="10"/>
        <v/>
      </c>
      <c r="AM360" s="630" t="str">
        <f t="shared" si="11"/>
        <v/>
      </c>
      <c r="AO360" s="24"/>
      <c r="AP360" s="628">
        <v>358</v>
      </c>
      <c r="AQ360" s="642"/>
      <c r="AR360" s="642"/>
      <c r="AS360" s="642"/>
      <c r="AT360" s="642"/>
      <c r="AU360" s="642"/>
      <c r="AV360" s="642"/>
      <c r="AW360" s="642"/>
      <c r="AX360" s="642"/>
      <c r="AY360" s="642"/>
      <c r="AZ360" s="642"/>
      <c r="BA360" s="642"/>
      <c r="BB360" s="642"/>
      <c r="BC360" s="642"/>
      <c r="BD360" s="642"/>
      <c r="BE360" s="642"/>
      <c r="BF360" s="642"/>
      <c r="BG360" s="642"/>
      <c r="BH360" s="642"/>
      <c r="BI360" s="642"/>
      <c r="BJ360" s="634">
        <v>20357</v>
      </c>
      <c r="BK360" s="642"/>
      <c r="BL360" s="642"/>
      <c r="BM360" s="642"/>
      <c r="BN360" s="642"/>
      <c r="BO360" s="642"/>
      <c r="BP360" s="642"/>
      <c r="BQ360" s="642"/>
      <c r="BR360" s="642"/>
      <c r="BS360" s="642"/>
      <c r="BT360" s="642"/>
      <c r="BU360" s="642"/>
      <c r="BV360" s="642"/>
      <c r="BW360" s="24"/>
      <c r="BX360" s="24"/>
      <c r="BY360" s="24"/>
      <c r="BZ360" s="643"/>
      <c r="CA360" s="643"/>
      <c r="CB360" s="643"/>
      <c r="CC360" s="643"/>
      <c r="CD360" s="643"/>
      <c r="CE360" s="643"/>
      <c r="CF360" s="643"/>
      <c r="CG360" s="643"/>
      <c r="CH360" s="643"/>
      <c r="CI360" s="643"/>
      <c r="CJ360" s="643"/>
      <c r="CK360" s="643"/>
      <c r="CL360" s="643"/>
      <c r="CM360" s="643"/>
      <c r="CN360" s="643"/>
      <c r="CO360" s="643"/>
      <c r="CP360" s="643"/>
      <c r="CQ360" s="643"/>
      <c r="CR360" s="643"/>
      <c r="CS360" s="636" t="s">
        <v>2241</v>
      </c>
      <c r="CT360" s="643"/>
      <c r="CU360" s="643"/>
      <c r="CV360" s="643"/>
      <c r="CW360" s="643"/>
      <c r="CX360" s="643"/>
      <c r="CY360" s="643"/>
      <c r="CZ360" s="643"/>
      <c r="DA360" s="643"/>
      <c r="DB360" s="643"/>
      <c r="DC360" s="643"/>
      <c r="DD360" s="643"/>
      <c r="DE360" s="643"/>
    </row>
    <row r="361" spans="34:109" ht="15" hidden="1" customHeight="1">
      <c r="AH361" s="24"/>
      <c r="AI361" s="24"/>
      <c r="AJ361" s="24"/>
      <c r="AK361" s="24"/>
      <c r="AL361" s="630" t="str">
        <f t="shared" si="10"/>
        <v/>
      </c>
      <c r="AM361" s="630" t="str">
        <f t="shared" si="11"/>
        <v/>
      </c>
      <c r="AO361" s="24"/>
      <c r="AP361" s="628">
        <v>359</v>
      </c>
      <c r="AQ361" s="642"/>
      <c r="AR361" s="642"/>
      <c r="AS361" s="642"/>
      <c r="AT361" s="642"/>
      <c r="AU361" s="642"/>
      <c r="AV361" s="642"/>
      <c r="AW361" s="642"/>
      <c r="AX361" s="642"/>
      <c r="AY361" s="642"/>
      <c r="AZ361" s="642"/>
      <c r="BA361" s="642"/>
      <c r="BB361" s="642"/>
      <c r="BC361" s="642"/>
      <c r="BD361" s="642"/>
      <c r="BE361" s="642"/>
      <c r="BF361" s="642"/>
      <c r="BG361" s="642"/>
      <c r="BH361" s="642"/>
      <c r="BI361" s="642"/>
      <c r="BJ361" s="634">
        <v>20358</v>
      </c>
      <c r="BK361" s="642"/>
      <c r="BL361" s="642"/>
      <c r="BM361" s="642"/>
      <c r="BN361" s="642"/>
      <c r="BO361" s="642"/>
      <c r="BP361" s="642"/>
      <c r="BQ361" s="642"/>
      <c r="BR361" s="642"/>
      <c r="BS361" s="642"/>
      <c r="BT361" s="642"/>
      <c r="BU361" s="642"/>
      <c r="BV361" s="642"/>
      <c r="BW361" s="24"/>
      <c r="BX361" s="24"/>
      <c r="BY361" s="24"/>
      <c r="BZ361" s="643"/>
      <c r="CA361" s="643"/>
      <c r="CB361" s="643"/>
      <c r="CC361" s="643"/>
      <c r="CD361" s="643"/>
      <c r="CE361" s="643"/>
      <c r="CF361" s="643"/>
      <c r="CG361" s="643"/>
      <c r="CH361" s="643"/>
      <c r="CI361" s="643"/>
      <c r="CJ361" s="643"/>
      <c r="CK361" s="643"/>
      <c r="CL361" s="643"/>
      <c r="CM361" s="643"/>
      <c r="CN361" s="643"/>
      <c r="CO361" s="643"/>
      <c r="CP361" s="643"/>
      <c r="CQ361" s="643"/>
      <c r="CR361" s="643"/>
      <c r="CS361" s="636" t="s">
        <v>2242</v>
      </c>
      <c r="CT361" s="643"/>
      <c r="CU361" s="643"/>
      <c r="CV361" s="643"/>
      <c r="CW361" s="643"/>
      <c r="CX361" s="643"/>
      <c r="CY361" s="643"/>
      <c r="CZ361" s="643"/>
      <c r="DA361" s="643"/>
      <c r="DB361" s="643"/>
      <c r="DC361" s="643"/>
      <c r="DD361" s="643"/>
      <c r="DE361" s="643"/>
    </row>
    <row r="362" spans="34:109" ht="15" hidden="1" customHeight="1">
      <c r="AH362" s="24"/>
      <c r="AI362" s="24"/>
      <c r="AJ362" s="24"/>
      <c r="AK362" s="24"/>
      <c r="AL362" s="630" t="str">
        <f t="shared" si="10"/>
        <v/>
      </c>
      <c r="AM362" s="630" t="str">
        <f t="shared" si="11"/>
        <v/>
      </c>
      <c r="AO362" s="24"/>
      <c r="AP362" s="628">
        <v>360</v>
      </c>
      <c r="AQ362" s="642"/>
      <c r="AR362" s="642"/>
      <c r="AS362" s="642"/>
      <c r="AT362" s="642"/>
      <c r="AU362" s="642"/>
      <c r="AV362" s="642"/>
      <c r="AW362" s="642"/>
      <c r="AX362" s="642"/>
      <c r="AY362" s="642"/>
      <c r="AZ362" s="642"/>
      <c r="BA362" s="642"/>
      <c r="BB362" s="642"/>
      <c r="BC362" s="642"/>
      <c r="BD362" s="642"/>
      <c r="BE362" s="642"/>
      <c r="BF362" s="642"/>
      <c r="BG362" s="642"/>
      <c r="BH362" s="642"/>
      <c r="BI362" s="642"/>
      <c r="BJ362" s="634">
        <v>20359</v>
      </c>
      <c r="BK362" s="642"/>
      <c r="BL362" s="642"/>
      <c r="BM362" s="642"/>
      <c r="BN362" s="642"/>
      <c r="BO362" s="642"/>
      <c r="BP362" s="642"/>
      <c r="BQ362" s="642"/>
      <c r="BR362" s="642"/>
      <c r="BS362" s="642"/>
      <c r="BT362" s="642"/>
      <c r="BU362" s="642"/>
      <c r="BV362" s="642"/>
      <c r="BW362" s="24"/>
      <c r="BX362" s="24"/>
      <c r="BY362" s="24"/>
      <c r="BZ362" s="643"/>
      <c r="CA362" s="643"/>
      <c r="CB362" s="643"/>
      <c r="CC362" s="643"/>
      <c r="CD362" s="643"/>
      <c r="CE362" s="643"/>
      <c r="CF362" s="643"/>
      <c r="CG362" s="643"/>
      <c r="CH362" s="643"/>
      <c r="CI362" s="643"/>
      <c r="CJ362" s="643"/>
      <c r="CK362" s="643"/>
      <c r="CL362" s="643"/>
      <c r="CM362" s="643"/>
      <c r="CN362" s="643"/>
      <c r="CO362" s="643"/>
      <c r="CP362" s="643"/>
      <c r="CQ362" s="643"/>
      <c r="CR362" s="643"/>
      <c r="CS362" s="636" t="s">
        <v>2243</v>
      </c>
      <c r="CT362" s="643"/>
      <c r="CU362" s="643"/>
      <c r="CV362" s="643"/>
      <c r="CW362" s="643"/>
      <c r="CX362" s="643"/>
      <c r="CY362" s="643"/>
      <c r="CZ362" s="643"/>
      <c r="DA362" s="643"/>
      <c r="DB362" s="643"/>
      <c r="DC362" s="643"/>
      <c r="DD362" s="643"/>
      <c r="DE362" s="643"/>
    </row>
    <row r="363" spans="34:109" ht="15" hidden="1" customHeight="1">
      <c r="AH363" s="24"/>
      <c r="AI363" s="24"/>
      <c r="AJ363" s="24"/>
      <c r="AK363" s="24"/>
      <c r="AL363" s="630" t="str">
        <f t="shared" si="10"/>
        <v/>
      </c>
      <c r="AM363" s="630" t="str">
        <f t="shared" si="11"/>
        <v/>
      </c>
      <c r="AO363" s="24"/>
      <c r="AP363" s="628">
        <v>361</v>
      </c>
      <c r="AQ363" s="642"/>
      <c r="AR363" s="642"/>
      <c r="AS363" s="642"/>
      <c r="AT363" s="642"/>
      <c r="AU363" s="642"/>
      <c r="AV363" s="642"/>
      <c r="AW363" s="642"/>
      <c r="AX363" s="642"/>
      <c r="AY363" s="642"/>
      <c r="AZ363" s="642"/>
      <c r="BA363" s="642"/>
      <c r="BB363" s="642"/>
      <c r="BC363" s="642"/>
      <c r="BD363" s="642"/>
      <c r="BE363" s="642"/>
      <c r="BF363" s="642"/>
      <c r="BG363" s="642"/>
      <c r="BH363" s="642"/>
      <c r="BI363" s="642"/>
      <c r="BJ363" s="634">
        <v>20360</v>
      </c>
      <c r="BK363" s="642"/>
      <c r="BL363" s="642"/>
      <c r="BM363" s="642"/>
      <c r="BN363" s="642"/>
      <c r="BO363" s="642"/>
      <c r="BP363" s="642"/>
      <c r="BQ363" s="642"/>
      <c r="BR363" s="642"/>
      <c r="BS363" s="642"/>
      <c r="BT363" s="642"/>
      <c r="BU363" s="642"/>
      <c r="BV363" s="642"/>
      <c r="BW363" s="24"/>
      <c r="BX363" s="24"/>
      <c r="BY363" s="24"/>
      <c r="BZ363" s="643"/>
      <c r="CA363" s="643"/>
      <c r="CB363" s="643"/>
      <c r="CC363" s="643"/>
      <c r="CD363" s="643"/>
      <c r="CE363" s="643"/>
      <c r="CF363" s="643"/>
      <c r="CG363" s="643"/>
      <c r="CH363" s="643"/>
      <c r="CI363" s="643"/>
      <c r="CJ363" s="643"/>
      <c r="CK363" s="643"/>
      <c r="CL363" s="643"/>
      <c r="CM363" s="643"/>
      <c r="CN363" s="643"/>
      <c r="CO363" s="643"/>
      <c r="CP363" s="643"/>
      <c r="CQ363" s="643"/>
      <c r="CR363" s="643"/>
      <c r="CS363" s="636" t="s">
        <v>2244</v>
      </c>
      <c r="CT363" s="643"/>
      <c r="CU363" s="643"/>
      <c r="CV363" s="643"/>
      <c r="CW363" s="643"/>
      <c r="CX363" s="643"/>
      <c r="CY363" s="643"/>
      <c r="CZ363" s="643"/>
      <c r="DA363" s="643"/>
      <c r="DB363" s="643"/>
      <c r="DC363" s="643"/>
      <c r="DD363" s="643"/>
      <c r="DE363" s="643"/>
    </row>
    <row r="364" spans="34:109" ht="15" hidden="1" customHeight="1">
      <c r="AH364" s="24"/>
      <c r="AI364" s="24"/>
      <c r="AJ364" s="24"/>
      <c r="AK364" s="24"/>
      <c r="AL364" s="630" t="str">
        <f t="shared" si="10"/>
        <v/>
      </c>
      <c r="AM364" s="630" t="str">
        <f t="shared" si="11"/>
        <v/>
      </c>
      <c r="AO364" s="24"/>
      <c r="AP364" s="628">
        <v>362</v>
      </c>
      <c r="AQ364" s="642"/>
      <c r="AR364" s="642"/>
      <c r="AS364" s="642"/>
      <c r="AT364" s="642"/>
      <c r="AU364" s="642"/>
      <c r="AV364" s="642"/>
      <c r="AW364" s="642"/>
      <c r="AX364" s="642"/>
      <c r="AY364" s="642"/>
      <c r="AZ364" s="642"/>
      <c r="BA364" s="642"/>
      <c r="BB364" s="642"/>
      <c r="BC364" s="642"/>
      <c r="BD364" s="642"/>
      <c r="BE364" s="642"/>
      <c r="BF364" s="642"/>
      <c r="BG364" s="642"/>
      <c r="BH364" s="642"/>
      <c r="BI364" s="642"/>
      <c r="BJ364" s="634">
        <v>20361</v>
      </c>
      <c r="BK364" s="642"/>
      <c r="BL364" s="642"/>
      <c r="BM364" s="642"/>
      <c r="BN364" s="642"/>
      <c r="BO364" s="642"/>
      <c r="BP364" s="642"/>
      <c r="BQ364" s="642"/>
      <c r="BR364" s="642"/>
      <c r="BS364" s="642"/>
      <c r="BT364" s="642"/>
      <c r="BU364" s="642"/>
      <c r="BV364" s="642"/>
      <c r="BW364" s="24"/>
      <c r="BX364" s="24"/>
      <c r="BY364" s="24"/>
      <c r="BZ364" s="643"/>
      <c r="CA364" s="643"/>
      <c r="CB364" s="643"/>
      <c r="CC364" s="643"/>
      <c r="CD364" s="643"/>
      <c r="CE364" s="643"/>
      <c r="CF364" s="643"/>
      <c r="CG364" s="643"/>
      <c r="CH364" s="643"/>
      <c r="CI364" s="643"/>
      <c r="CJ364" s="643"/>
      <c r="CK364" s="643"/>
      <c r="CL364" s="643"/>
      <c r="CM364" s="643"/>
      <c r="CN364" s="643"/>
      <c r="CO364" s="643"/>
      <c r="CP364" s="643"/>
      <c r="CQ364" s="643"/>
      <c r="CR364" s="643"/>
      <c r="CS364" s="636" t="s">
        <v>2245</v>
      </c>
      <c r="CT364" s="643"/>
      <c r="CU364" s="643"/>
      <c r="CV364" s="643"/>
      <c r="CW364" s="643"/>
      <c r="CX364" s="643"/>
      <c r="CY364" s="643"/>
      <c r="CZ364" s="643"/>
      <c r="DA364" s="643"/>
      <c r="DB364" s="643"/>
      <c r="DC364" s="643"/>
      <c r="DD364" s="643"/>
      <c r="DE364" s="643"/>
    </row>
    <row r="365" spans="34:109" ht="15" hidden="1" customHeight="1">
      <c r="AH365" s="24"/>
      <c r="AI365" s="24"/>
      <c r="AJ365" s="24"/>
      <c r="AK365" s="24"/>
      <c r="AL365" s="630" t="str">
        <f t="shared" si="10"/>
        <v/>
      </c>
      <c r="AM365" s="630" t="str">
        <f t="shared" si="11"/>
        <v/>
      </c>
      <c r="AO365" s="24"/>
      <c r="AP365" s="628">
        <v>363</v>
      </c>
      <c r="AQ365" s="642"/>
      <c r="AR365" s="642"/>
      <c r="AS365" s="642"/>
      <c r="AT365" s="642"/>
      <c r="AU365" s="642"/>
      <c r="AV365" s="642"/>
      <c r="AW365" s="642"/>
      <c r="AX365" s="642"/>
      <c r="AY365" s="642"/>
      <c r="AZ365" s="642"/>
      <c r="BA365" s="642"/>
      <c r="BB365" s="642"/>
      <c r="BC365" s="642"/>
      <c r="BD365" s="642"/>
      <c r="BE365" s="642"/>
      <c r="BF365" s="642"/>
      <c r="BG365" s="642"/>
      <c r="BH365" s="642"/>
      <c r="BI365" s="642"/>
      <c r="BJ365" s="634">
        <v>20362</v>
      </c>
      <c r="BK365" s="642"/>
      <c r="BL365" s="642"/>
      <c r="BM365" s="642"/>
      <c r="BN365" s="642"/>
      <c r="BO365" s="642"/>
      <c r="BP365" s="642"/>
      <c r="BQ365" s="642"/>
      <c r="BR365" s="642"/>
      <c r="BS365" s="642"/>
      <c r="BT365" s="642"/>
      <c r="BU365" s="642"/>
      <c r="BV365" s="642"/>
      <c r="BW365" s="24"/>
      <c r="BX365" s="24"/>
      <c r="BY365" s="24"/>
      <c r="BZ365" s="643"/>
      <c r="CA365" s="643"/>
      <c r="CB365" s="643"/>
      <c r="CC365" s="643"/>
      <c r="CD365" s="643"/>
      <c r="CE365" s="643"/>
      <c r="CF365" s="643"/>
      <c r="CG365" s="643"/>
      <c r="CH365" s="643"/>
      <c r="CI365" s="643"/>
      <c r="CJ365" s="643"/>
      <c r="CK365" s="643"/>
      <c r="CL365" s="643"/>
      <c r="CM365" s="643"/>
      <c r="CN365" s="643"/>
      <c r="CO365" s="643"/>
      <c r="CP365" s="643"/>
      <c r="CQ365" s="643"/>
      <c r="CR365" s="643"/>
      <c r="CS365" s="636" t="s">
        <v>2246</v>
      </c>
      <c r="CT365" s="643"/>
      <c r="CU365" s="643"/>
      <c r="CV365" s="643"/>
      <c r="CW365" s="643"/>
      <c r="CX365" s="643"/>
      <c r="CY365" s="643"/>
      <c r="CZ365" s="643"/>
      <c r="DA365" s="643"/>
      <c r="DB365" s="643"/>
      <c r="DC365" s="643"/>
      <c r="DD365" s="643"/>
      <c r="DE365" s="643"/>
    </row>
    <row r="366" spans="34:109" ht="15" hidden="1" customHeight="1">
      <c r="AH366" s="24"/>
      <c r="AI366" s="24"/>
      <c r="AJ366" s="24"/>
      <c r="AK366" s="24"/>
      <c r="AL366" s="630" t="str">
        <f t="shared" si="10"/>
        <v/>
      </c>
      <c r="AM366" s="630" t="str">
        <f t="shared" si="11"/>
        <v/>
      </c>
      <c r="AO366" s="24"/>
      <c r="AP366" s="628">
        <v>364</v>
      </c>
      <c r="AQ366" s="642"/>
      <c r="AR366" s="642"/>
      <c r="AS366" s="642"/>
      <c r="AT366" s="642"/>
      <c r="AU366" s="642"/>
      <c r="AV366" s="642"/>
      <c r="AW366" s="642"/>
      <c r="AX366" s="642"/>
      <c r="AY366" s="642"/>
      <c r="AZ366" s="642"/>
      <c r="BA366" s="642"/>
      <c r="BB366" s="642"/>
      <c r="BC366" s="642"/>
      <c r="BD366" s="642"/>
      <c r="BE366" s="642"/>
      <c r="BF366" s="642"/>
      <c r="BG366" s="642"/>
      <c r="BH366" s="642"/>
      <c r="BI366" s="642"/>
      <c r="BJ366" s="634">
        <v>20363</v>
      </c>
      <c r="BK366" s="642"/>
      <c r="BL366" s="642"/>
      <c r="BM366" s="642"/>
      <c r="BN366" s="642"/>
      <c r="BO366" s="642"/>
      <c r="BP366" s="642"/>
      <c r="BQ366" s="642"/>
      <c r="BR366" s="642"/>
      <c r="BS366" s="642"/>
      <c r="BT366" s="642"/>
      <c r="BU366" s="642"/>
      <c r="BV366" s="642"/>
      <c r="BW366" s="24"/>
      <c r="BX366" s="24"/>
      <c r="BY366" s="24"/>
      <c r="BZ366" s="643"/>
      <c r="CA366" s="643"/>
      <c r="CB366" s="643"/>
      <c r="CC366" s="643"/>
      <c r="CD366" s="643"/>
      <c r="CE366" s="643"/>
      <c r="CF366" s="643"/>
      <c r="CG366" s="643"/>
      <c r="CH366" s="643"/>
      <c r="CI366" s="643"/>
      <c r="CJ366" s="643"/>
      <c r="CK366" s="643"/>
      <c r="CL366" s="643"/>
      <c r="CM366" s="643"/>
      <c r="CN366" s="643"/>
      <c r="CO366" s="643"/>
      <c r="CP366" s="643"/>
      <c r="CQ366" s="643"/>
      <c r="CR366" s="643"/>
      <c r="CS366" s="636" t="s">
        <v>2247</v>
      </c>
      <c r="CT366" s="643"/>
      <c r="CU366" s="643"/>
      <c r="CV366" s="643"/>
      <c r="CW366" s="643"/>
      <c r="CX366" s="643"/>
      <c r="CY366" s="643"/>
      <c r="CZ366" s="643"/>
      <c r="DA366" s="643"/>
      <c r="DB366" s="643"/>
      <c r="DC366" s="643"/>
      <c r="DD366" s="643"/>
      <c r="DE366" s="643"/>
    </row>
    <row r="367" spans="34:109" ht="15" hidden="1" customHeight="1">
      <c r="AH367" s="24"/>
      <c r="AI367" s="24"/>
      <c r="AJ367" s="24"/>
      <c r="AK367" s="24"/>
      <c r="AL367" s="630" t="str">
        <f t="shared" si="10"/>
        <v/>
      </c>
      <c r="AM367" s="630" t="str">
        <f t="shared" si="11"/>
        <v/>
      </c>
      <c r="AO367" s="24"/>
      <c r="AP367" s="628">
        <v>365</v>
      </c>
      <c r="AQ367" s="642"/>
      <c r="AR367" s="642"/>
      <c r="AS367" s="642"/>
      <c r="AT367" s="642"/>
      <c r="AU367" s="642"/>
      <c r="AV367" s="642"/>
      <c r="AW367" s="642"/>
      <c r="AX367" s="642"/>
      <c r="AY367" s="642"/>
      <c r="AZ367" s="642"/>
      <c r="BA367" s="642"/>
      <c r="BB367" s="642"/>
      <c r="BC367" s="642"/>
      <c r="BD367" s="642"/>
      <c r="BE367" s="642"/>
      <c r="BF367" s="642"/>
      <c r="BG367" s="642"/>
      <c r="BH367" s="642"/>
      <c r="BI367" s="642"/>
      <c r="BJ367" s="634">
        <v>20364</v>
      </c>
      <c r="BK367" s="642"/>
      <c r="BL367" s="642"/>
      <c r="BM367" s="642"/>
      <c r="BN367" s="642"/>
      <c r="BO367" s="642"/>
      <c r="BP367" s="642"/>
      <c r="BQ367" s="642"/>
      <c r="BR367" s="642"/>
      <c r="BS367" s="642"/>
      <c r="BT367" s="642"/>
      <c r="BU367" s="642"/>
      <c r="BV367" s="642"/>
      <c r="BW367" s="24"/>
      <c r="BX367" s="24"/>
      <c r="BY367" s="24"/>
      <c r="BZ367" s="643"/>
      <c r="CA367" s="643"/>
      <c r="CB367" s="643"/>
      <c r="CC367" s="643"/>
      <c r="CD367" s="643"/>
      <c r="CE367" s="643"/>
      <c r="CF367" s="643"/>
      <c r="CG367" s="643"/>
      <c r="CH367" s="643"/>
      <c r="CI367" s="643"/>
      <c r="CJ367" s="643"/>
      <c r="CK367" s="643"/>
      <c r="CL367" s="643"/>
      <c r="CM367" s="643"/>
      <c r="CN367" s="643"/>
      <c r="CO367" s="643"/>
      <c r="CP367" s="643"/>
      <c r="CQ367" s="643"/>
      <c r="CR367" s="643"/>
      <c r="CS367" s="636" t="s">
        <v>2248</v>
      </c>
      <c r="CT367" s="643"/>
      <c r="CU367" s="643"/>
      <c r="CV367" s="643"/>
      <c r="CW367" s="643"/>
      <c r="CX367" s="643"/>
      <c r="CY367" s="643"/>
      <c r="CZ367" s="643"/>
      <c r="DA367" s="643"/>
      <c r="DB367" s="643"/>
      <c r="DC367" s="643"/>
      <c r="DD367" s="643"/>
      <c r="DE367" s="643"/>
    </row>
    <row r="368" spans="34:109" ht="15" hidden="1" customHeight="1">
      <c r="AH368" s="24"/>
      <c r="AI368" s="24"/>
      <c r="AJ368" s="24"/>
      <c r="AK368" s="24"/>
      <c r="AL368" s="630" t="str">
        <f t="shared" si="10"/>
        <v/>
      </c>
      <c r="AM368" s="630" t="str">
        <f t="shared" si="11"/>
        <v/>
      </c>
      <c r="AO368" s="24"/>
      <c r="AP368" s="628">
        <v>366</v>
      </c>
      <c r="AQ368" s="642"/>
      <c r="AR368" s="642"/>
      <c r="AS368" s="642"/>
      <c r="AT368" s="642"/>
      <c r="AU368" s="642"/>
      <c r="AV368" s="642"/>
      <c r="AW368" s="642"/>
      <c r="AX368" s="642"/>
      <c r="AY368" s="642"/>
      <c r="AZ368" s="642"/>
      <c r="BA368" s="642"/>
      <c r="BB368" s="642"/>
      <c r="BC368" s="642"/>
      <c r="BD368" s="642"/>
      <c r="BE368" s="642"/>
      <c r="BF368" s="642"/>
      <c r="BG368" s="642"/>
      <c r="BH368" s="642"/>
      <c r="BI368" s="642"/>
      <c r="BJ368" s="634">
        <v>20365</v>
      </c>
      <c r="BK368" s="642"/>
      <c r="BL368" s="642"/>
      <c r="BM368" s="642"/>
      <c r="BN368" s="642"/>
      <c r="BO368" s="642"/>
      <c r="BP368" s="642"/>
      <c r="BQ368" s="642"/>
      <c r="BR368" s="642"/>
      <c r="BS368" s="642"/>
      <c r="BT368" s="642"/>
      <c r="BU368" s="642"/>
      <c r="BV368" s="642"/>
      <c r="BW368" s="24"/>
      <c r="BX368" s="24"/>
      <c r="BY368" s="24"/>
      <c r="BZ368" s="643"/>
      <c r="CA368" s="643"/>
      <c r="CB368" s="643"/>
      <c r="CC368" s="643"/>
      <c r="CD368" s="643"/>
      <c r="CE368" s="643"/>
      <c r="CF368" s="643"/>
      <c r="CG368" s="643"/>
      <c r="CH368" s="643"/>
      <c r="CI368" s="643"/>
      <c r="CJ368" s="643"/>
      <c r="CK368" s="643"/>
      <c r="CL368" s="643"/>
      <c r="CM368" s="643"/>
      <c r="CN368" s="643"/>
      <c r="CO368" s="643"/>
      <c r="CP368" s="643"/>
      <c r="CQ368" s="643"/>
      <c r="CR368" s="643"/>
      <c r="CS368" s="636" t="s">
        <v>2249</v>
      </c>
      <c r="CT368" s="643"/>
      <c r="CU368" s="643"/>
      <c r="CV368" s="643"/>
      <c r="CW368" s="643"/>
      <c r="CX368" s="643"/>
      <c r="CY368" s="643"/>
      <c r="CZ368" s="643"/>
      <c r="DA368" s="643"/>
      <c r="DB368" s="643"/>
      <c r="DC368" s="643"/>
      <c r="DD368" s="643"/>
      <c r="DE368" s="643"/>
    </row>
    <row r="369" spans="34:109" ht="15" hidden="1" customHeight="1">
      <c r="AH369" s="24"/>
      <c r="AI369" s="24"/>
      <c r="AJ369" s="24"/>
      <c r="AK369" s="24"/>
      <c r="AL369" s="630" t="str">
        <f t="shared" si="10"/>
        <v/>
      </c>
      <c r="AM369" s="630" t="str">
        <f t="shared" si="11"/>
        <v/>
      </c>
      <c r="AO369" s="24"/>
      <c r="AP369" s="628">
        <v>367</v>
      </c>
      <c r="AQ369" s="642"/>
      <c r="AR369" s="642"/>
      <c r="AS369" s="642"/>
      <c r="AT369" s="642"/>
      <c r="AU369" s="642"/>
      <c r="AV369" s="642"/>
      <c r="AW369" s="642"/>
      <c r="AX369" s="642"/>
      <c r="AY369" s="642"/>
      <c r="AZ369" s="642"/>
      <c r="BA369" s="642"/>
      <c r="BB369" s="642"/>
      <c r="BC369" s="642"/>
      <c r="BD369" s="642"/>
      <c r="BE369" s="642"/>
      <c r="BF369" s="642"/>
      <c r="BG369" s="642"/>
      <c r="BH369" s="642"/>
      <c r="BI369" s="642"/>
      <c r="BJ369" s="634">
        <v>20366</v>
      </c>
      <c r="BK369" s="642"/>
      <c r="BL369" s="642"/>
      <c r="BM369" s="642"/>
      <c r="BN369" s="642"/>
      <c r="BO369" s="642"/>
      <c r="BP369" s="642"/>
      <c r="BQ369" s="642"/>
      <c r="BR369" s="642"/>
      <c r="BS369" s="642"/>
      <c r="BT369" s="642"/>
      <c r="BU369" s="642"/>
      <c r="BV369" s="642"/>
      <c r="BW369" s="24"/>
      <c r="BX369" s="24"/>
      <c r="BY369" s="24"/>
      <c r="BZ369" s="643"/>
      <c r="CA369" s="643"/>
      <c r="CB369" s="643"/>
      <c r="CC369" s="643"/>
      <c r="CD369" s="643"/>
      <c r="CE369" s="643"/>
      <c r="CF369" s="643"/>
      <c r="CG369" s="643"/>
      <c r="CH369" s="643"/>
      <c r="CI369" s="643"/>
      <c r="CJ369" s="643"/>
      <c r="CK369" s="643"/>
      <c r="CL369" s="643"/>
      <c r="CM369" s="643"/>
      <c r="CN369" s="643"/>
      <c r="CO369" s="643"/>
      <c r="CP369" s="643"/>
      <c r="CQ369" s="643"/>
      <c r="CR369" s="643"/>
      <c r="CS369" s="636" t="s">
        <v>2250</v>
      </c>
      <c r="CT369" s="643"/>
      <c r="CU369" s="643"/>
      <c r="CV369" s="643"/>
      <c r="CW369" s="643"/>
      <c r="CX369" s="643"/>
      <c r="CY369" s="643"/>
      <c r="CZ369" s="643"/>
      <c r="DA369" s="643"/>
      <c r="DB369" s="643"/>
      <c r="DC369" s="643"/>
      <c r="DD369" s="643"/>
      <c r="DE369" s="643"/>
    </row>
    <row r="370" spans="34:109" ht="15" hidden="1" customHeight="1">
      <c r="AH370" s="24"/>
      <c r="AI370" s="24"/>
      <c r="AJ370" s="24"/>
      <c r="AK370" s="24"/>
      <c r="AL370" s="630" t="str">
        <f t="shared" si="10"/>
        <v/>
      </c>
      <c r="AM370" s="630" t="str">
        <f t="shared" si="11"/>
        <v/>
      </c>
      <c r="AO370" s="24"/>
      <c r="AP370" s="628">
        <v>368</v>
      </c>
      <c r="AQ370" s="642"/>
      <c r="AR370" s="642"/>
      <c r="AS370" s="642"/>
      <c r="AT370" s="642"/>
      <c r="AU370" s="642"/>
      <c r="AV370" s="642"/>
      <c r="AW370" s="642"/>
      <c r="AX370" s="642"/>
      <c r="AY370" s="642"/>
      <c r="AZ370" s="642"/>
      <c r="BA370" s="642"/>
      <c r="BB370" s="642"/>
      <c r="BC370" s="642"/>
      <c r="BD370" s="642"/>
      <c r="BE370" s="642"/>
      <c r="BF370" s="642"/>
      <c r="BG370" s="642"/>
      <c r="BH370" s="642"/>
      <c r="BI370" s="642"/>
      <c r="BJ370" s="634">
        <v>20367</v>
      </c>
      <c r="BK370" s="642"/>
      <c r="BL370" s="642"/>
      <c r="BM370" s="642"/>
      <c r="BN370" s="642"/>
      <c r="BO370" s="642"/>
      <c r="BP370" s="642"/>
      <c r="BQ370" s="642"/>
      <c r="BR370" s="642"/>
      <c r="BS370" s="642"/>
      <c r="BT370" s="642"/>
      <c r="BU370" s="642"/>
      <c r="BV370" s="642"/>
      <c r="BW370" s="24"/>
      <c r="BX370" s="24"/>
      <c r="BY370" s="24"/>
      <c r="BZ370" s="643"/>
      <c r="CA370" s="643"/>
      <c r="CB370" s="643"/>
      <c r="CC370" s="643"/>
      <c r="CD370" s="643"/>
      <c r="CE370" s="643"/>
      <c r="CF370" s="643"/>
      <c r="CG370" s="643"/>
      <c r="CH370" s="643"/>
      <c r="CI370" s="643"/>
      <c r="CJ370" s="643"/>
      <c r="CK370" s="643"/>
      <c r="CL370" s="643"/>
      <c r="CM370" s="643"/>
      <c r="CN370" s="643"/>
      <c r="CO370" s="643"/>
      <c r="CP370" s="643"/>
      <c r="CQ370" s="643"/>
      <c r="CR370" s="643"/>
      <c r="CS370" s="636" t="s">
        <v>2251</v>
      </c>
      <c r="CT370" s="643"/>
      <c r="CU370" s="643"/>
      <c r="CV370" s="643"/>
      <c r="CW370" s="643"/>
      <c r="CX370" s="643"/>
      <c r="CY370" s="643"/>
      <c r="CZ370" s="643"/>
      <c r="DA370" s="643"/>
      <c r="DB370" s="643"/>
      <c r="DC370" s="643"/>
      <c r="DD370" s="643"/>
      <c r="DE370" s="643"/>
    </row>
    <row r="371" spans="34:109" ht="15" hidden="1" customHeight="1">
      <c r="AH371" s="24"/>
      <c r="AI371" s="24"/>
      <c r="AJ371" s="24"/>
      <c r="AK371" s="24"/>
      <c r="AL371" s="630" t="str">
        <f t="shared" si="10"/>
        <v/>
      </c>
      <c r="AM371" s="630" t="str">
        <f t="shared" si="11"/>
        <v/>
      </c>
      <c r="AO371" s="24"/>
      <c r="AP371" s="628">
        <v>369</v>
      </c>
      <c r="AQ371" s="642"/>
      <c r="AR371" s="642"/>
      <c r="AS371" s="642"/>
      <c r="AT371" s="642"/>
      <c r="AU371" s="642"/>
      <c r="AV371" s="642"/>
      <c r="AW371" s="642"/>
      <c r="AX371" s="642"/>
      <c r="AY371" s="642"/>
      <c r="AZ371" s="642"/>
      <c r="BA371" s="642"/>
      <c r="BB371" s="642"/>
      <c r="BC371" s="642"/>
      <c r="BD371" s="642"/>
      <c r="BE371" s="642"/>
      <c r="BF371" s="642"/>
      <c r="BG371" s="642"/>
      <c r="BH371" s="642"/>
      <c r="BI371" s="642"/>
      <c r="BJ371" s="634">
        <v>20368</v>
      </c>
      <c r="BK371" s="642"/>
      <c r="BL371" s="642"/>
      <c r="BM371" s="642"/>
      <c r="BN371" s="642"/>
      <c r="BO371" s="642"/>
      <c r="BP371" s="642"/>
      <c r="BQ371" s="642"/>
      <c r="BR371" s="642"/>
      <c r="BS371" s="642"/>
      <c r="BT371" s="642"/>
      <c r="BU371" s="642"/>
      <c r="BV371" s="642"/>
      <c r="BW371" s="24"/>
      <c r="BX371" s="24"/>
      <c r="BY371" s="24"/>
      <c r="BZ371" s="643"/>
      <c r="CA371" s="643"/>
      <c r="CB371" s="643"/>
      <c r="CC371" s="643"/>
      <c r="CD371" s="643"/>
      <c r="CE371" s="643"/>
      <c r="CF371" s="643"/>
      <c r="CG371" s="643"/>
      <c r="CH371" s="643"/>
      <c r="CI371" s="643"/>
      <c r="CJ371" s="643"/>
      <c r="CK371" s="643"/>
      <c r="CL371" s="643"/>
      <c r="CM371" s="643"/>
      <c r="CN371" s="643"/>
      <c r="CO371" s="643"/>
      <c r="CP371" s="643"/>
      <c r="CQ371" s="643"/>
      <c r="CR371" s="643"/>
      <c r="CS371" s="636" t="s">
        <v>2252</v>
      </c>
      <c r="CT371" s="643"/>
      <c r="CU371" s="643"/>
      <c r="CV371" s="643"/>
      <c r="CW371" s="643"/>
      <c r="CX371" s="643"/>
      <c r="CY371" s="643"/>
      <c r="CZ371" s="643"/>
      <c r="DA371" s="643"/>
      <c r="DB371" s="643"/>
      <c r="DC371" s="643"/>
      <c r="DD371" s="643"/>
      <c r="DE371" s="643"/>
    </row>
    <row r="372" spans="34:109" ht="15" hidden="1" customHeight="1">
      <c r="AH372" s="24"/>
      <c r="AI372" s="24"/>
      <c r="AJ372" s="24"/>
      <c r="AK372" s="24"/>
      <c r="AL372" s="630" t="str">
        <f t="shared" si="10"/>
        <v/>
      </c>
      <c r="AM372" s="630" t="str">
        <f t="shared" si="11"/>
        <v/>
      </c>
      <c r="AO372" s="24"/>
      <c r="AP372" s="628">
        <v>370</v>
      </c>
      <c r="AQ372" s="642"/>
      <c r="AR372" s="642"/>
      <c r="AS372" s="642"/>
      <c r="AT372" s="642"/>
      <c r="AU372" s="642"/>
      <c r="AV372" s="642"/>
      <c r="AW372" s="642"/>
      <c r="AX372" s="642"/>
      <c r="AY372" s="642"/>
      <c r="AZ372" s="642"/>
      <c r="BA372" s="642"/>
      <c r="BB372" s="642"/>
      <c r="BC372" s="642"/>
      <c r="BD372" s="642"/>
      <c r="BE372" s="642"/>
      <c r="BF372" s="642"/>
      <c r="BG372" s="642"/>
      <c r="BH372" s="642"/>
      <c r="BI372" s="642"/>
      <c r="BJ372" s="634">
        <v>20369</v>
      </c>
      <c r="BK372" s="642"/>
      <c r="BL372" s="642"/>
      <c r="BM372" s="642"/>
      <c r="BN372" s="642"/>
      <c r="BO372" s="642"/>
      <c r="BP372" s="642"/>
      <c r="BQ372" s="642"/>
      <c r="BR372" s="642"/>
      <c r="BS372" s="642"/>
      <c r="BT372" s="642"/>
      <c r="BU372" s="642"/>
      <c r="BV372" s="642"/>
      <c r="BW372" s="24"/>
      <c r="BX372" s="24"/>
      <c r="BY372" s="24"/>
      <c r="BZ372" s="643"/>
      <c r="CA372" s="643"/>
      <c r="CB372" s="643"/>
      <c r="CC372" s="643"/>
      <c r="CD372" s="643"/>
      <c r="CE372" s="643"/>
      <c r="CF372" s="643"/>
      <c r="CG372" s="643"/>
      <c r="CH372" s="643"/>
      <c r="CI372" s="643"/>
      <c r="CJ372" s="643"/>
      <c r="CK372" s="643"/>
      <c r="CL372" s="643"/>
      <c r="CM372" s="643"/>
      <c r="CN372" s="643"/>
      <c r="CO372" s="643"/>
      <c r="CP372" s="643"/>
      <c r="CQ372" s="643"/>
      <c r="CR372" s="643"/>
      <c r="CS372" s="636" t="s">
        <v>2253</v>
      </c>
      <c r="CT372" s="643"/>
      <c r="CU372" s="643"/>
      <c r="CV372" s="643"/>
      <c r="CW372" s="643"/>
      <c r="CX372" s="643"/>
      <c r="CY372" s="643"/>
      <c r="CZ372" s="643"/>
      <c r="DA372" s="643"/>
      <c r="DB372" s="643"/>
      <c r="DC372" s="643"/>
      <c r="DD372" s="643"/>
      <c r="DE372" s="643"/>
    </row>
    <row r="373" spans="34:109" ht="15" hidden="1" customHeight="1">
      <c r="AH373" s="24"/>
      <c r="AI373" s="24"/>
      <c r="AJ373" s="24"/>
      <c r="AK373" s="24"/>
      <c r="AL373" s="630" t="str">
        <f t="shared" si="10"/>
        <v/>
      </c>
      <c r="AM373" s="630" t="str">
        <f t="shared" si="11"/>
        <v/>
      </c>
      <c r="AO373" s="24"/>
      <c r="AP373" s="628">
        <v>371</v>
      </c>
      <c r="AQ373" s="642"/>
      <c r="AR373" s="642"/>
      <c r="AS373" s="642"/>
      <c r="AT373" s="642"/>
      <c r="AU373" s="642"/>
      <c r="AV373" s="642"/>
      <c r="AW373" s="642"/>
      <c r="AX373" s="642"/>
      <c r="AY373" s="642"/>
      <c r="AZ373" s="642"/>
      <c r="BA373" s="642"/>
      <c r="BB373" s="642"/>
      <c r="BC373" s="642"/>
      <c r="BD373" s="642"/>
      <c r="BE373" s="642"/>
      <c r="BF373" s="642"/>
      <c r="BG373" s="642"/>
      <c r="BH373" s="642"/>
      <c r="BI373" s="642"/>
      <c r="BJ373" s="634">
        <v>20370</v>
      </c>
      <c r="BK373" s="642"/>
      <c r="BL373" s="642"/>
      <c r="BM373" s="642"/>
      <c r="BN373" s="642"/>
      <c r="BO373" s="642"/>
      <c r="BP373" s="642"/>
      <c r="BQ373" s="642"/>
      <c r="BR373" s="642"/>
      <c r="BS373" s="642"/>
      <c r="BT373" s="642"/>
      <c r="BU373" s="642"/>
      <c r="BV373" s="642"/>
      <c r="BW373" s="24"/>
      <c r="BX373" s="24"/>
      <c r="BY373" s="24"/>
      <c r="BZ373" s="643"/>
      <c r="CA373" s="643"/>
      <c r="CB373" s="643"/>
      <c r="CC373" s="643"/>
      <c r="CD373" s="643"/>
      <c r="CE373" s="643"/>
      <c r="CF373" s="643"/>
      <c r="CG373" s="643"/>
      <c r="CH373" s="643"/>
      <c r="CI373" s="643"/>
      <c r="CJ373" s="643"/>
      <c r="CK373" s="643"/>
      <c r="CL373" s="643"/>
      <c r="CM373" s="643"/>
      <c r="CN373" s="643"/>
      <c r="CO373" s="643"/>
      <c r="CP373" s="643"/>
      <c r="CQ373" s="643"/>
      <c r="CR373" s="643"/>
      <c r="CS373" s="636" t="s">
        <v>2254</v>
      </c>
      <c r="CT373" s="643"/>
      <c r="CU373" s="643"/>
      <c r="CV373" s="643"/>
      <c r="CW373" s="643"/>
      <c r="CX373" s="643"/>
      <c r="CY373" s="643"/>
      <c r="CZ373" s="643"/>
      <c r="DA373" s="643"/>
      <c r="DB373" s="643"/>
      <c r="DC373" s="643"/>
      <c r="DD373" s="643"/>
      <c r="DE373" s="643"/>
    </row>
    <row r="374" spans="34:109" ht="15" hidden="1" customHeight="1">
      <c r="AH374" s="24"/>
      <c r="AI374" s="24"/>
      <c r="AJ374" s="24"/>
      <c r="AK374" s="24"/>
      <c r="AL374" s="630" t="str">
        <f t="shared" si="10"/>
        <v/>
      </c>
      <c r="AM374" s="630" t="str">
        <f t="shared" si="11"/>
        <v/>
      </c>
      <c r="AO374" s="24"/>
      <c r="AP374" s="628">
        <v>372</v>
      </c>
      <c r="AQ374" s="642"/>
      <c r="AR374" s="642"/>
      <c r="AS374" s="642"/>
      <c r="AT374" s="642"/>
      <c r="AU374" s="642"/>
      <c r="AV374" s="642"/>
      <c r="AW374" s="642"/>
      <c r="AX374" s="642"/>
      <c r="AY374" s="642"/>
      <c r="AZ374" s="642"/>
      <c r="BA374" s="642"/>
      <c r="BB374" s="642"/>
      <c r="BC374" s="642"/>
      <c r="BD374" s="642"/>
      <c r="BE374" s="642"/>
      <c r="BF374" s="642"/>
      <c r="BG374" s="642"/>
      <c r="BH374" s="642"/>
      <c r="BI374" s="642"/>
      <c r="BJ374" s="634">
        <v>20371</v>
      </c>
      <c r="BK374" s="642"/>
      <c r="BL374" s="642"/>
      <c r="BM374" s="642"/>
      <c r="BN374" s="642"/>
      <c r="BO374" s="642"/>
      <c r="BP374" s="642"/>
      <c r="BQ374" s="642"/>
      <c r="BR374" s="642"/>
      <c r="BS374" s="642"/>
      <c r="BT374" s="642"/>
      <c r="BU374" s="642"/>
      <c r="BV374" s="642"/>
      <c r="BW374" s="24"/>
      <c r="BX374" s="24"/>
      <c r="BY374" s="24"/>
      <c r="BZ374" s="643"/>
      <c r="CA374" s="643"/>
      <c r="CB374" s="643"/>
      <c r="CC374" s="643"/>
      <c r="CD374" s="643"/>
      <c r="CE374" s="643"/>
      <c r="CF374" s="643"/>
      <c r="CG374" s="643"/>
      <c r="CH374" s="643"/>
      <c r="CI374" s="643"/>
      <c r="CJ374" s="643"/>
      <c r="CK374" s="643"/>
      <c r="CL374" s="643"/>
      <c r="CM374" s="643"/>
      <c r="CN374" s="643"/>
      <c r="CO374" s="643"/>
      <c r="CP374" s="643"/>
      <c r="CQ374" s="643"/>
      <c r="CR374" s="643"/>
      <c r="CS374" s="636" t="s">
        <v>2255</v>
      </c>
      <c r="CT374" s="643"/>
      <c r="CU374" s="643"/>
      <c r="CV374" s="643"/>
      <c r="CW374" s="643"/>
      <c r="CX374" s="643"/>
      <c r="CY374" s="643"/>
      <c r="CZ374" s="643"/>
      <c r="DA374" s="643"/>
      <c r="DB374" s="643"/>
      <c r="DC374" s="643"/>
      <c r="DD374" s="643"/>
      <c r="DE374" s="643"/>
    </row>
    <row r="375" spans="34:109" ht="15" hidden="1" customHeight="1">
      <c r="AH375" s="628"/>
      <c r="AI375" s="628"/>
      <c r="AJ375" s="628"/>
      <c r="AK375" s="628"/>
      <c r="AL375" s="630" t="str">
        <f t="shared" si="10"/>
        <v/>
      </c>
      <c r="AM375" s="630" t="str">
        <f t="shared" si="11"/>
        <v/>
      </c>
      <c r="AO375" s="628"/>
      <c r="AP375" s="628">
        <v>373</v>
      </c>
      <c r="AQ375" s="634"/>
      <c r="AR375" s="634"/>
      <c r="AS375" s="634"/>
      <c r="AT375" s="634"/>
      <c r="AU375" s="634"/>
      <c r="AV375" s="634"/>
      <c r="AW375" s="634"/>
      <c r="AX375" s="634"/>
      <c r="AY375" s="634"/>
      <c r="AZ375" s="634"/>
      <c r="BA375" s="634"/>
      <c r="BB375" s="634"/>
      <c r="BC375" s="634"/>
      <c r="BD375" s="634"/>
      <c r="BE375" s="634"/>
      <c r="BF375" s="634"/>
      <c r="BG375" s="634"/>
      <c r="BH375" s="634"/>
      <c r="BI375" s="634"/>
      <c r="BJ375" s="634">
        <v>20372</v>
      </c>
      <c r="BK375" s="634"/>
      <c r="BL375" s="634"/>
      <c r="BM375" s="634"/>
      <c r="BN375" s="634"/>
      <c r="BO375" s="634"/>
      <c r="BP375" s="634"/>
      <c r="BQ375" s="634"/>
      <c r="BR375" s="634"/>
      <c r="BS375" s="634"/>
      <c r="BT375" s="634"/>
      <c r="BU375" s="634"/>
      <c r="BV375" s="634"/>
      <c r="BW375" s="628"/>
      <c r="BX375" s="628"/>
      <c r="BY375" s="628"/>
      <c r="BZ375" s="636"/>
      <c r="CA375" s="636"/>
      <c r="CB375" s="636"/>
      <c r="CC375" s="636"/>
      <c r="CD375" s="636"/>
      <c r="CE375" s="636"/>
      <c r="CF375" s="636"/>
      <c r="CG375" s="636"/>
      <c r="CH375" s="636"/>
      <c r="CI375" s="636"/>
      <c r="CJ375" s="636"/>
      <c r="CK375" s="636"/>
      <c r="CL375" s="636"/>
      <c r="CM375" s="636"/>
      <c r="CN375" s="636"/>
      <c r="CO375" s="636"/>
      <c r="CP375" s="636"/>
      <c r="CQ375" s="636"/>
      <c r="CR375" s="636"/>
      <c r="CS375" s="636" t="s">
        <v>2256</v>
      </c>
      <c r="CT375" s="636"/>
      <c r="CU375" s="636"/>
      <c r="CV375" s="636"/>
      <c r="CW375" s="636"/>
      <c r="CX375" s="636"/>
      <c r="CY375" s="636"/>
      <c r="CZ375" s="636"/>
      <c r="DA375" s="636"/>
      <c r="DB375" s="636"/>
      <c r="DC375" s="636"/>
      <c r="DD375" s="636"/>
      <c r="DE375" s="636"/>
    </row>
    <row r="376" spans="34:109" ht="15" hidden="1" customHeight="1">
      <c r="AH376" s="628"/>
      <c r="AI376" s="628"/>
      <c r="AJ376" s="628"/>
      <c r="AK376" s="628"/>
      <c r="AL376" s="630" t="str">
        <f t="shared" si="10"/>
        <v/>
      </c>
      <c r="AM376" s="630" t="str">
        <f t="shared" si="11"/>
        <v/>
      </c>
      <c r="AO376" s="628"/>
      <c r="AP376" s="628">
        <v>374</v>
      </c>
      <c r="AQ376" s="634"/>
      <c r="AR376" s="634"/>
      <c r="AS376" s="634"/>
      <c r="AT376" s="634"/>
      <c r="AU376" s="634"/>
      <c r="AV376" s="634"/>
      <c r="AW376" s="634"/>
      <c r="AX376" s="634"/>
      <c r="AY376" s="634"/>
      <c r="AZ376" s="634"/>
      <c r="BA376" s="634"/>
      <c r="BB376" s="634"/>
      <c r="BC376" s="634"/>
      <c r="BD376" s="634"/>
      <c r="BE376" s="634"/>
      <c r="BF376" s="634"/>
      <c r="BG376" s="634"/>
      <c r="BH376" s="634"/>
      <c r="BI376" s="634"/>
      <c r="BJ376" s="634">
        <v>20373</v>
      </c>
      <c r="BK376" s="634"/>
      <c r="BL376" s="634"/>
      <c r="BM376" s="634"/>
      <c r="BN376" s="634"/>
      <c r="BO376" s="634"/>
      <c r="BP376" s="634"/>
      <c r="BQ376" s="634"/>
      <c r="BR376" s="634"/>
      <c r="BS376" s="634"/>
      <c r="BT376" s="634"/>
      <c r="BU376" s="634"/>
      <c r="BV376" s="634"/>
      <c r="BW376" s="628"/>
      <c r="BX376" s="628"/>
      <c r="BY376" s="628"/>
      <c r="BZ376" s="636"/>
      <c r="CA376" s="636"/>
      <c r="CB376" s="636"/>
      <c r="CC376" s="636"/>
      <c r="CD376" s="636"/>
      <c r="CE376" s="636"/>
      <c r="CF376" s="636"/>
      <c r="CG376" s="636"/>
      <c r="CH376" s="636"/>
      <c r="CI376" s="636"/>
      <c r="CJ376" s="636"/>
      <c r="CK376" s="636"/>
      <c r="CL376" s="636"/>
      <c r="CM376" s="636"/>
      <c r="CN376" s="636"/>
      <c r="CO376" s="636"/>
      <c r="CP376" s="636"/>
      <c r="CQ376" s="636"/>
      <c r="CR376" s="636"/>
      <c r="CS376" s="636" t="s">
        <v>2257</v>
      </c>
      <c r="CT376" s="636"/>
      <c r="CU376" s="636"/>
      <c r="CV376" s="636"/>
      <c r="CW376" s="636"/>
      <c r="CX376" s="636"/>
      <c r="CY376" s="636"/>
      <c r="CZ376" s="636"/>
      <c r="DA376" s="636"/>
      <c r="DB376" s="636"/>
      <c r="DC376" s="636"/>
      <c r="DD376" s="636"/>
      <c r="DE376" s="636"/>
    </row>
    <row r="377" spans="34:109" ht="15" hidden="1" customHeight="1">
      <c r="AH377" s="24"/>
      <c r="AI377" s="24"/>
      <c r="AJ377" s="24"/>
      <c r="AK377" s="24"/>
      <c r="AL377" s="630" t="str">
        <f t="shared" si="10"/>
        <v/>
      </c>
      <c r="AM377" s="630" t="str">
        <f t="shared" si="11"/>
        <v/>
      </c>
      <c r="AO377" s="24"/>
      <c r="AP377" s="628">
        <v>375</v>
      </c>
      <c r="AQ377" s="642"/>
      <c r="AR377" s="642"/>
      <c r="AS377" s="642"/>
      <c r="AT377" s="642"/>
      <c r="AU377" s="642"/>
      <c r="AV377" s="642"/>
      <c r="AW377" s="642"/>
      <c r="AX377" s="642"/>
      <c r="AY377" s="642"/>
      <c r="AZ377" s="642"/>
      <c r="BA377" s="642"/>
      <c r="BB377" s="642"/>
      <c r="BC377" s="642"/>
      <c r="BD377" s="642"/>
      <c r="BE377" s="642"/>
      <c r="BF377" s="642"/>
      <c r="BG377" s="642"/>
      <c r="BH377" s="642"/>
      <c r="BI377" s="642"/>
      <c r="BJ377" s="634">
        <v>20374</v>
      </c>
      <c r="BK377" s="642"/>
      <c r="BL377" s="642"/>
      <c r="BM377" s="642"/>
      <c r="BN377" s="642"/>
      <c r="BO377" s="642"/>
      <c r="BP377" s="642"/>
      <c r="BQ377" s="642"/>
      <c r="BR377" s="642"/>
      <c r="BS377" s="642"/>
      <c r="BT377" s="642"/>
      <c r="BU377" s="642"/>
      <c r="BV377" s="642"/>
      <c r="BW377" s="24"/>
      <c r="BX377" s="24"/>
      <c r="BY377" s="24"/>
      <c r="BZ377" s="643"/>
      <c r="CA377" s="643"/>
      <c r="CB377" s="643"/>
      <c r="CC377" s="643"/>
      <c r="CD377" s="643"/>
      <c r="CE377" s="643"/>
      <c r="CF377" s="643"/>
      <c r="CG377" s="643"/>
      <c r="CH377" s="643"/>
      <c r="CI377" s="643"/>
      <c r="CJ377" s="643"/>
      <c r="CK377" s="643"/>
      <c r="CL377" s="643"/>
      <c r="CM377" s="643"/>
      <c r="CN377" s="643"/>
      <c r="CO377" s="643"/>
      <c r="CP377" s="643"/>
      <c r="CQ377" s="643"/>
      <c r="CR377" s="643"/>
      <c r="CS377" s="636" t="s">
        <v>2258</v>
      </c>
      <c r="CT377" s="643"/>
      <c r="CU377" s="643"/>
      <c r="CV377" s="643"/>
      <c r="CW377" s="643"/>
      <c r="CX377" s="643"/>
      <c r="CY377" s="643"/>
      <c r="CZ377" s="643"/>
      <c r="DA377" s="643"/>
      <c r="DB377" s="643"/>
      <c r="DC377" s="643"/>
      <c r="DD377" s="643"/>
      <c r="DE377" s="643"/>
    </row>
    <row r="378" spans="34:109" ht="15" hidden="1" customHeight="1">
      <c r="AH378" s="24"/>
      <c r="AI378" s="24"/>
      <c r="AJ378" s="24"/>
      <c r="AK378" s="24"/>
      <c r="AL378" s="630" t="str">
        <f t="shared" si="10"/>
        <v/>
      </c>
      <c r="AM378" s="630" t="str">
        <f t="shared" si="11"/>
        <v/>
      </c>
      <c r="AO378" s="24"/>
      <c r="AP378" s="628">
        <v>376</v>
      </c>
      <c r="AQ378" s="642"/>
      <c r="AR378" s="642"/>
      <c r="AS378" s="642"/>
      <c r="AT378" s="642"/>
      <c r="AU378" s="642"/>
      <c r="AV378" s="642"/>
      <c r="AW378" s="642"/>
      <c r="AX378" s="642"/>
      <c r="AY378" s="642"/>
      <c r="AZ378" s="642"/>
      <c r="BA378" s="642"/>
      <c r="BB378" s="642"/>
      <c r="BC378" s="642"/>
      <c r="BD378" s="642"/>
      <c r="BE378" s="642"/>
      <c r="BF378" s="642"/>
      <c r="BG378" s="642"/>
      <c r="BH378" s="642"/>
      <c r="BI378" s="642"/>
      <c r="BJ378" s="634">
        <v>20375</v>
      </c>
      <c r="BK378" s="642"/>
      <c r="BL378" s="642"/>
      <c r="BM378" s="642"/>
      <c r="BN378" s="642"/>
      <c r="BO378" s="642"/>
      <c r="BP378" s="642"/>
      <c r="BQ378" s="642"/>
      <c r="BR378" s="642"/>
      <c r="BS378" s="642"/>
      <c r="BT378" s="642"/>
      <c r="BU378" s="642"/>
      <c r="BV378" s="642"/>
      <c r="BW378" s="24"/>
      <c r="BX378" s="24"/>
      <c r="BY378" s="24"/>
      <c r="BZ378" s="643"/>
      <c r="CA378" s="643"/>
      <c r="CB378" s="643"/>
      <c r="CC378" s="643"/>
      <c r="CD378" s="643"/>
      <c r="CE378" s="643"/>
      <c r="CF378" s="643"/>
      <c r="CG378" s="643"/>
      <c r="CH378" s="643"/>
      <c r="CI378" s="643"/>
      <c r="CJ378" s="643"/>
      <c r="CK378" s="643"/>
      <c r="CL378" s="643"/>
      <c r="CM378" s="643"/>
      <c r="CN378" s="643"/>
      <c r="CO378" s="643"/>
      <c r="CP378" s="643"/>
      <c r="CQ378" s="643"/>
      <c r="CR378" s="643"/>
      <c r="CS378" s="636" t="s">
        <v>2259</v>
      </c>
      <c r="CT378" s="643"/>
      <c r="CU378" s="643"/>
      <c r="CV378" s="643"/>
      <c r="CW378" s="643"/>
      <c r="CX378" s="643"/>
      <c r="CY378" s="643"/>
      <c r="CZ378" s="643"/>
      <c r="DA378" s="643"/>
      <c r="DB378" s="643"/>
      <c r="DC378" s="643"/>
      <c r="DD378" s="643"/>
      <c r="DE378" s="643"/>
    </row>
    <row r="379" spans="34:109" ht="15" hidden="1" customHeight="1">
      <c r="AH379" s="24"/>
      <c r="AI379" s="24"/>
      <c r="AJ379" s="24"/>
      <c r="AK379" s="24"/>
      <c r="AL379" s="630" t="str">
        <f t="shared" si="10"/>
        <v/>
      </c>
      <c r="AM379" s="630" t="str">
        <f t="shared" si="11"/>
        <v/>
      </c>
      <c r="AO379" s="24"/>
      <c r="AP379" s="628">
        <v>377</v>
      </c>
      <c r="AQ379" s="642"/>
      <c r="AR379" s="642"/>
      <c r="AS379" s="642"/>
      <c r="AT379" s="642"/>
      <c r="AU379" s="642"/>
      <c r="AV379" s="642"/>
      <c r="AW379" s="642"/>
      <c r="AX379" s="642"/>
      <c r="AY379" s="642"/>
      <c r="AZ379" s="642"/>
      <c r="BA379" s="642"/>
      <c r="BB379" s="642"/>
      <c r="BC379" s="642"/>
      <c r="BD379" s="642"/>
      <c r="BE379" s="642"/>
      <c r="BF379" s="642"/>
      <c r="BG379" s="642"/>
      <c r="BH379" s="642"/>
      <c r="BI379" s="642"/>
      <c r="BJ379" s="634">
        <v>20376</v>
      </c>
      <c r="BK379" s="642"/>
      <c r="BL379" s="642"/>
      <c r="BM379" s="642"/>
      <c r="BN379" s="642"/>
      <c r="BO379" s="642"/>
      <c r="BP379" s="642"/>
      <c r="BQ379" s="642"/>
      <c r="BR379" s="642"/>
      <c r="BS379" s="642"/>
      <c r="BT379" s="642"/>
      <c r="BU379" s="642"/>
      <c r="BV379" s="642"/>
      <c r="BW379" s="24"/>
      <c r="BX379" s="24"/>
      <c r="BY379" s="24"/>
      <c r="BZ379" s="643"/>
      <c r="CA379" s="643"/>
      <c r="CB379" s="643"/>
      <c r="CC379" s="643"/>
      <c r="CD379" s="643"/>
      <c r="CE379" s="643"/>
      <c r="CF379" s="643"/>
      <c r="CG379" s="643"/>
      <c r="CH379" s="643"/>
      <c r="CI379" s="643"/>
      <c r="CJ379" s="643"/>
      <c r="CK379" s="643"/>
      <c r="CL379" s="643"/>
      <c r="CM379" s="643"/>
      <c r="CN379" s="643"/>
      <c r="CO379" s="643"/>
      <c r="CP379" s="643"/>
      <c r="CQ379" s="643"/>
      <c r="CR379" s="643"/>
      <c r="CS379" s="636" t="s">
        <v>2260</v>
      </c>
      <c r="CT379" s="643"/>
      <c r="CU379" s="643"/>
      <c r="CV379" s="643"/>
      <c r="CW379" s="643"/>
      <c r="CX379" s="643"/>
      <c r="CY379" s="643"/>
      <c r="CZ379" s="643"/>
      <c r="DA379" s="643"/>
      <c r="DB379" s="643"/>
      <c r="DC379" s="643"/>
      <c r="DD379" s="643"/>
      <c r="DE379" s="643"/>
    </row>
    <row r="380" spans="34:109" ht="15" hidden="1" customHeight="1">
      <c r="AH380" s="24"/>
      <c r="AI380" s="24"/>
      <c r="AJ380" s="24"/>
      <c r="AK380" s="24"/>
      <c r="AL380" s="630" t="str">
        <f t="shared" si="10"/>
        <v/>
      </c>
      <c r="AM380" s="630" t="str">
        <f t="shared" si="11"/>
        <v/>
      </c>
      <c r="AO380" s="24"/>
      <c r="AP380" s="628">
        <v>378</v>
      </c>
      <c r="AQ380" s="642"/>
      <c r="AR380" s="642"/>
      <c r="AS380" s="642"/>
      <c r="AT380" s="642"/>
      <c r="AU380" s="642"/>
      <c r="AV380" s="642"/>
      <c r="AW380" s="642"/>
      <c r="AX380" s="642"/>
      <c r="AY380" s="642"/>
      <c r="AZ380" s="642"/>
      <c r="BA380" s="642"/>
      <c r="BB380" s="642"/>
      <c r="BC380" s="642"/>
      <c r="BD380" s="642"/>
      <c r="BE380" s="642"/>
      <c r="BF380" s="642"/>
      <c r="BG380" s="642"/>
      <c r="BH380" s="642"/>
      <c r="BI380" s="642"/>
      <c r="BJ380" s="634">
        <v>20377</v>
      </c>
      <c r="BK380" s="642"/>
      <c r="BL380" s="642"/>
      <c r="BM380" s="642"/>
      <c r="BN380" s="642"/>
      <c r="BO380" s="642"/>
      <c r="BP380" s="642"/>
      <c r="BQ380" s="642"/>
      <c r="BR380" s="642"/>
      <c r="BS380" s="642"/>
      <c r="BT380" s="642"/>
      <c r="BU380" s="642"/>
      <c r="BV380" s="642"/>
      <c r="BW380" s="24"/>
      <c r="BX380" s="24"/>
      <c r="BY380" s="24"/>
      <c r="BZ380" s="643"/>
      <c r="CA380" s="643"/>
      <c r="CB380" s="643"/>
      <c r="CC380" s="643"/>
      <c r="CD380" s="643"/>
      <c r="CE380" s="643"/>
      <c r="CF380" s="643"/>
      <c r="CG380" s="643"/>
      <c r="CH380" s="643"/>
      <c r="CI380" s="643"/>
      <c r="CJ380" s="643"/>
      <c r="CK380" s="643"/>
      <c r="CL380" s="643"/>
      <c r="CM380" s="643"/>
      <c r="CN380" s="643"/>
      <c r="CO380" s="643"/>
      <c r="CP380" s="643"/>
      <c r="CQ380" s="643"/>
      <c r="CR380" s="643"/>
      <c r="CS380" s="636" t="s">
        <v>2261</v>
      </c>
      <c r="CT380" s="643"/>
      <c r="CU380" s="643"/>
      <c r="CV380" s="643"/>
      <c r="CW380" s="643"/>
      <c r="CX380" s="643"/>
      <c r="CY380" s="643"/>
      <c r="CZ380" s="643"/>
      <c r="DA380" s="643"/>
      <c r="DB380" s="643"/>
      <c r="DC380" s="643"/>
      <c r="DD380" s="643"/>
      <c r="DE380" s="643"/>
    </row>
    <row r="381" spans="34:109" ht="15" hidden="1" customHeight="1">
      <c r="AH381" s="24"/>
      <c r="AI381" s="24"/>
      <c r="AJ381" s="24"/>
      <c r="AK381" s="24"/>
      <c r="AL381" s="630" t="str">
        <f t="shared" si="10"/>
        <v/>
      </c>
      <c r="AM381" s="630" t="str">
        <f t="shared" si="11"/>
        <v/>
      </c>
      <c r="AO381" s="24"/>
      <c r="AP381" s="628">
        <v>379</v>
      </c>
      <c r="AQ381" s="642"/>
      <c r="AR381" s="642"/>
      <c r="AS381" s="642"/>
      <c r="AT381" s="642"/>
      <c r="AU381" s="642"/>
      <c r="AV381" s="642"/>
      <c r="AW381" s="642"/>
      <c r="AX381" s="642"/>
      <c r="AY381" s="642"/>
      <c r="AZ381" s="642"/>
      <c r="BA381" s="642"/>
      <c r="BB381" s="642"/>
      <c r="BC381" s="642"/>
      <c r="BD381" s="642"/>
      <c r="BE381" s="642"/>
      <c r="BF381" s="642"/>
      <c r="BG381" s="642"/>
      <c r="BH381" s="642"/>
      <c r="BI381" s="642"/>
      <c r="BJ381" s="634">
        <v>20378</v>
      </c>
      <c r="BK381" s="642"/>
      <c r="BL381" s="642"/>
      <c r="BM381" s="642"/>
      <c r="BN381" s="642"/>
      <c r="BO381" s="642"/>
      <c r="BP381" s="642"/>
      <c r="BQ381" s="642"/>
      <c r="BR381" s="642"/>
      <c r="BS381" s="642"/>
      <c r="BT381" s="642"/>
      <c r="BU381" s="642"/>
      <c r="BV381" s="642"/>
      <c r="BW381" s="24"/>
      <c r="BX381" s="24"/>
      <c r="BY381" s="24"/>
      <c r="BZ381" s="643"/>
      <c r="CA381" s="643"/>
      <c r="CB381" s="643"/>
      <c r="CC381" s="643"/>
      <c r="CD381" s="643"/>
      <c r="CE381" s="643"/>
      <c r="CF381" s="643"/>
      <c r="CG381" s="643"/>
      <c r="CH381" s="643"/>
      <c r="CI381" s="643"/>
      <c r="CJ381" s="643"/>
      <c r="CK381" s="643"/>
      <c r="CL381" s="643"/>
      <c r="CM381" s="643"/>
      <c r="CN381" s="643"/>
      <c r="CO381" s="643"/>
      <c r="CP381" s="643"/>
      <c r="CQ381" s="643"/>
      <c r="CR381" s="643"/>
      <c r="CS381" s="636" t="s">
        <v>2262</v>
      </c>
      <c r="CT381" s="643"/>
      <c r="CU381" s="643"/>
      <c r="CV381" s="643"/>
      <c r="CW381" s="643"/>
      <c r="CX381" s="643"/>
      <c r="CY381" s="643"/>
      <c r="CZ381" s="643"/>
      <c r="DA381" s="643"/>
      <c r="DB381" s="643"/>
      <c r="DC381" s="643"/>
      <c r="DD381" s="643"/>
      <c r="DE381" s="643"/>
    </row>
    <row r="382" spans="34:109" ht="15" hidden="1" customHeight="1">
      <c r="AH382" s="24"/>
      <c r="AI382" s="24"/>
      <c r="AJ382" s="24"/>
      <c r="AK382" s="24"/>
      <c r="AL382" s="630" t="str">
        <f t="shared" si="10"/>
        <v/>
      </c>
      <c r="AM382" s="630" t="str">
        <f t="shared" si="11"/>
        <v/>
      </c>
      <c r="AO382" s="24"/>
      <c r="AP382" s="628">
        <v>380</v>
      </c>
      <c r="AQ382" s="642"/>
      <c r="AR382" s="642"/>
      <c r="AS382" s="642"/>
      <c r="AT382" s="642"/>
      <c r="AU382" s="642"/>
      <c r="AV382" s="642"/>
      <c r="AW382" s="642"/>
      <c r="AX382" s="642"/>
      <c r="AY382" s="642"/>
      <c r="AZ382" s="642"/>
      <c r="BA382" s="642"/>
      <c r="BB382" s="642"/>
      <c r="BC382" s="642"/>
      <c r="BD382" s="642"/>
      <c r="BE382" s="642"/>
      <c r="BF382" s="642"/>
      <c r="BG382" s="642"/>
      <c r="BH382" s="642"/>
      <c r="BI382" s="642"/>
      <c r="BJ382" s="634">
        <v>20379</v>
      </c>
      <c r="BK382" s="642"/>
      <c r="BL382" s="642"/>
      <c r="BM382" s="642"/>
      <c r="BN382" s="642"/>
      <c r="BO382" s="642"/>
      <c r="BP382" s="642"/>
      <c r="BQ382" s="642"/>
      <c r="BR382" s="642"/>
      <c r="BS382" s="642"/>
      <c r="BT382" s="642"/>
      <c r="BU382" s="642"/>
      <c r="BV382" s="642"/>
      <c r="BW382" s="24"/>
      <c r="BX382" s="24"/>
      <c r="BY382" s="24"/>
      <c r="BZ382" s="643"/>
      <c r="CA382" s="643"/>
      <c r="CB382" s="643"/>
      <c r="CC382" s="643"/>
      <c r="CD382" s="643"/>
      <c r="CE382" s="643"/>
      <c r="CF382" s="643"/>
      <c r="CG382" s="643"/>
      <c r="CH382" s="643"/>
      <c r="CI382" s="643"/>
      <c r="CJ382" s="643"/>
      <c r="CK382" s="643"/>
      <c r="CL382" s="643"/>
      <c r="CM382" s="643"/>
      <c r="CN382" s="643"/>
      <c r="CO382" s="643"/>
      <c r="CP382" s="643"/>
      <c r="CQ382" s="643"/>
      <c r="CR382" s="643"/>
      <c r="CS382" s="636" t="s">
        <v>2263</v>
      </c>
      <c r="CT382" s="643"/>
      <c r="CU382" s="643"/>
      <c r="CV382" s="643"/>
      <c r="CW382" s="643"/>
      <c r="CX382" s="643"/>
      <c r="CY382" s="643"/>
      <c r="CZ382" s="643"/>
      <c r="DA382" s="643"/>
      <c r="DB382" s="643"/>
      <c r="DC382" s="643"/>
      <c r="DD382" s="643"/>
      <c r="DE382" s="643"/>
    </row>
    <row r="383" spans="34:109" ht="15" hidden="1" customHeight="1">
      <c r="AH383" s="24"/>
      <c r="AI383" s="24"/>
      <c r="AJ383" s="24"/>
      <c r="AK383" s="24"/>
      <c r="AL383" s="630" t="str">
        <f t="shared" si="10"/>
        <v/>
      </c>
      <c r="AM383" s="630" t="str">
        <f t="shared" si="11"/>
        <v/>
      </c>
      <c r="AO383" s="24"/>
      <c r="AP383" s="628">
        <v>381</v>
      </c>
      <c r="AQ383" s="642"/>
      <c r="AR383" s="642"/>
      <c r="AS383" s="642"/>
      <c r="AT383" s="642"/>
      <c r="AU383" s="642"/>
      <c r="AV383" s="642"/>
      <c r="AW383" s="642"/>
      <c r="AX383" s="642"/>
      <c r="AY383" s="642"/>
      <c r="AZ383" s="642"/>
      <c r="BA383" s="642"/>
      <c r="BB383" s="642"/>
      <c r="BC383" s="642"/>
      <c r="BD383" s="642"/>
      <c r="BE383" s="642"/>
      <c r="BF383" s="642"/>
      <c r="BG383" s="642"/>
      <c r="BH383" s="642"/>
      <c r="BI383" s="642"/>
      <c r="BJ383" s="634">
        <v>20380</v>
      </c>
      <c r="BK383" s="642"/>
      <c r="BL383" s="642"/>
      <c r="BM383" s="642"/>
      <c r="BN383" s="642"/>
      <c r="BO383" s="642"/>
      <c r="BP383" s="642"/>
      <c r="BQ383" s="642"/>
      <c r="BR383" s="642"/>
      <c r="BS383" s="642"/>
      <c r="BT383" s="642"/>
      <c r="BU383" s="642"/>
      <c r="BV383" s="642"/>
      <c r="BW383" s="24"/>
      <c r="BX383" s="24"/>
      <c r="BY383" s="24"/>
      <c r="BZ383" s="643"/>
      <c r="CA383" s="643"/>
      <c r="CB383" s="643"/>
      <c r="CC383" s="643"/>
      <c r="CD383" s="643"/>
      <c r="CE383" s="643"/>
      <c r="CF383" s="643"/>
      <c r="CG383" s="643"/>
      <c r="CH383" s="643"/>
      <c r="CI383" s="643"/>
      <c r="CJ383" s="643"/>
      <c r="CK383" s="643"/>
      <c r="CL383" s="643"/>
      <c r="CM383" s="643"/>
      <c r="CN383" s="643"/>
      <c r="CO383" s="643"/>
      <c r="CP383" s="643"/>
      <c r="CQ383" s="643"/>
      <c r="CR383" s="643"/>
      <c r="CS383" s="636" t="s">
        <v>2264</v>
      </c>
      <c r="CT383" s="643"/>
      <c r="CU383" s="643"/>
      <c r="CV383" s="643"/>
      <c r="CW383" s="643"/>
      <c r="CX383" s="643"/>
      <c r="CY383" s="643"/>
      <c r="CZ383" s="643"/>
      <c r="DA383" s="643"/>
      <c r="DB383" s="643"/>
      <c r="DC383" s="643"/>
      <c r="DD383" s="643"/>
      <c r="DE383" s="643"/>
    </row>
    <row r="384" spans="34:109" ht="15" hidden="1" customHeight="1">
      <c r="AH384" s="24"/>
      <c r="AI384" s="24"/>
      <c r="AJ384" s="24"/>
      <c r="AK384" s="24"/>
      <c r="AL384" s="630" t="str">
        <f t="shared" si="10"/>
        <v/>
      </c>
      <c r="AM384" s="630" t="str">
        <f t="shared" si="11"/>
        <v/>
      </c>
      <c r="AO384" s="24"/>
      <c r="AP384" s="628">
        <v>382</v>
      </c>
      <c r="AQ384" s="642"/>
      <c r="AR384" s="642"/>
      <c r="AS384" s="642"/>
      <c r="AT384" s="642"/>
      <c r="AU384" s="642"/>
      <c r="AV384" s="642"/>
      <c r="AW384" s="642"/>
      <c r="AX384" s="642"/>
      <c r="AY384" s="642"/>
      <c r="AZ384" s="642"/>
      <c r="BA384" s="642"/>
      <c r="BB384" s="642"/>
      <c r="BC384" s="642"/>
      <c r="BD384" s="642"/>
      <c r="BE384" s="642"/>
      <c r="BF384" s="642"/>
      <c r="BG384" s="642"/>
      <c r="BH384" s="642"/>
      <c r="BI384" s="642"/>
      <c r="BJ384" s="634">
        <v>20381</v>
      </c>
      <c r="BK384" s="642"/>
      <c r="BL384" s="642"/>
      <c r="BM384" s="642"/>
      <c r="BN384" s="642"/>
      <c r="BO384" s="642"/>
      <c r="BP384" s="642"/>
      <c r="BQ384" s="642"/>
      <c r="BR384" s="642"/>
      <c r="BS384" s="642"/>
      <c r="BT384" s="642"/>
      <c r="BU384" s="642"/>
      <c r="BV384" s="642"/>
      <c r="BW384" s="24"/>
      <c r="BX384" s="24"/>
      <c r="BY384" s="24"/>
      <c r="BZ384" s="643"/>
      <c r="CA384" s="643"/>
      <c r="CB384" s="643"/>
      <c r="CC384" s="643"/>
      <c r="CD384" s="643"/>
      <c r="CE384" s="643"/>
      <c r="CF384" s="643"/>
      <c r="CG384" s="643"/>
      <c r="CH384" s="643"/>
      <c r="CI384" s="643"/>
      <c r="CJ384" s="643"/>
      <c r="CK384" s="643"/>
      <c r="CL384" s="643"/>
      <c r="CM384" s="643"/>
      <c r="CN384" s="643"/>
      <c r="CO384" s="643"/>
      <c r="CP384" s="643"/>
      <c r="CQ384" s="643"/>
      <c r="CR384" s="643"/>
      <c r="CS384" s="636" t="s">
        <v>2265</v>
      </c>
      <c r="CT384" s="643"/>
      <c r="CU384" s="643"/>
      <c r="CV384" s="643"/>
      <c r="CW384" s="643"/>
      <c r="CX384" s="643"/>
      <c r="CY384" s="643"/>
      <c r="CZ384" s="643"/>
      <c r="DA384" s="643"/>
      <c r="DB384" s="643"/>
      <c r="DC384" s="643"/>
      <c r="DD384" s="643"/>
      <c r="DE384" s="643"/>
    </row>
    <row r="385" spans="34:109" ht="15" hidden="1" customHeight="1">
      <c r="AH385" s="24"/>
      <c r="AI385" s="24"/>
      <c r="AJ385" s="24"/>
      <c r="AK385" s="24"/>
      <c r="AL385" s="630" t="str">
        <f t="shared" si="10"/>
        <v/>
      </c>
      <c r="AM385" s="630" t="str">
        <f t="shared" si="11"/>
        <v/>
      </c>
      <c r="AO385" s="24"/>
      <c r="AP385" s="628">
        <v>383</v>
      </c>
      <c r="AQ385" s="642"/>
      <c r="AR385" s="642"/>
      <c r="AS385" s="642"/>
      <c r="AT385" s="642"/>
      <c r="AU385" s="642"/>
      <c r="AV385" s="642"/>
      <c r="AW385" s="642"/>
      <c r="AX385" s="642"/>
      <c r="AY385" s="642"/>
      <c r="AZ385" s="642"/>
      <c r="BA385" s="642"/>
      <c r="BB385" s="642"/>
      <c r="BC385" s="642"/>
      <c r="BD385" s="642"/>
      <c r="BE385" s="642"/>
      <c r="BF385" s="642"/>
      <c r="BG385" s="642"/>
      <c r="BH385" s="642"/>
      <c r="BI385" s="642"/>
      <c r="BJ385" s="634">
        <v>20382</v>
      </c>
      <c r="BK385" s="642"/>
      <c r="BL385" s="642"/>
      <c r="BM385" s="642"/>
      <c r="BN385" s="642"/>
      <c r="BO385" s="642"/>
      <c r="BP385" s="642"/>
      <c r="BQ385" s="642"/>
      <c r="BR385" s="642"/>
      <c r="BS385" s="642"/>
      <c r="BT385" s="642"/>
      <c r="BU385" s="642"/>
      <c r="BV385" s="642"/>
      <c r="BW385" s="24"/>
      <c r="BX385" s="24"/>
      <c r="BY385" s="24"/>
      <c r="BZ385" s="643"/>
      <c r="CA385" s="643"/>
      <c r="CB385" s="643"/>
      <c r="CC385" s="643"/>
      <c r="CD385" s="643"/>
      <c r="CE385" s="643"/>
      <c r="CF385" s="643"/>
      <c r="CG385" s="643"/>
      <c r="CH385" s="643"/>
      <c r="CI385" s="643"/>
      <c r="CJ385" s="643"/>
      <c r="CK385" s="643"/>
      <c r="CL385" s="643"/>
      <c r="CM385" s="643"/>
      <c r="CN385" s="643"/>
      <c r="CO385" s="643"/>
      <c r="CP385" s="643"/>
      <c r="CQ385" s="643"/>
      <c r="CR385" s="643"/>
      <c r="CS385" s="636" t="s">
        <v>2266</v>
      </c>
      <c r="CT385" s="643"/>
      <c r="CU385" s="643"/>
      <c r="CV385" s="643"/>
      <c r="CW385" s="643"/>
      <c r="CX385" s="643"/>
      <c r="CY385" s="643"/>
      <c r="CZ385" s="643"/>
      <c r="DA385" s="643"/>
      <c r="DB385" s="643"/>
      <c r="DC385" s="643"/>
      <c r="DD385" s="643"/>
      <c r="DE385" s="643"/>
    </row>
    <row r="386" spans="34:109" ht="15" hidden="1" customHeight="1">
      <c r="AH386" s="24"/>
      <c r="AI386" s="24"/>
      <c r="AJ386" s="24"/>
      <c r="AK386" s="24"/>
      <c r="AL386" s="630" t="str">
        <f t="shared" si="10"/>
        <v/>
      </c>
      <c r="AM386" s="630" t="str">
        <f t="shared" si="11"/>
        <v/>
      </c>
      <c r="AO386" s="24"/>
      <c r="AP386" s="628">
        <v>384</v>
      </c>
      <c r="AQ386" s="642"/>
      <c r="AR386" s="642"/>
      <c r="AS386" s="642"/>
      <c r="AT386" s="642"/>
      <c r="AU386" s="642"/>
      <c r="AV386" s="642"/>
      <c r="AW386" s="642"/>
      <c r="AX386" s="642"/>
      <c r="AY386" s="642"/>
      <c r="AZ386" s="642"/>
      <c r="BA386" s="642"/>
      <c r="BB386" s="642"/>
      <c r="BC386" s="642"/>
      <c r="BD386" s="642"/>
      <c r="BE386" s="642"/>
      <c r="BF386" s="642"/>
      <c r="BG386" s="642"/>
      <c r="BH386" s="642"/>
      <c r="BI386" s="642"/>
      <c r="BJ386" s="634">
        <v>20383</v>
      </c>
      <c r="BK386" s="642"/>
      <c r="BL386" s="642"/>
      <c r="BM386" s="642"/>
      <c r="BN386" s="642"/>
      <c r="BO386" s="642"/>
      <c r="BP386" s="642"/>
      <c r="BQ386" s="642"/>
      <c r="BR386" s="642"/>
      <c r="BS386" s="642"/>
      <c r="BT386" s="642"/>
      <c r="BU386" s="642"/>
      <c r="BV386" s="642"/>
      <c r="BW386" s="24"/>
      <c r="BX386" s="24"/>
      <c r="BY386" s="24"/>
      <c r="BZ386" s="643"/>
      <c r="CA386" s="643"/>
      <c r="CB386" s="643"/>
      <c r="CC386" s="643"/>
      <c r="CD386" s="643"/>
      <c r="CE386" s="643"/>
      <c r="CF386" s="643"/>
      <c r="CG386" s="643"/>
      <c r="CH386" s="643"/>
      <c r="CI386" s="643"/>
      <c r="CJ386" s="643"/>
      <c r="CK386" s="643"/>
      <c r="CL386" s="643"/>
      <c r="CM386" s="643"/>
      <c r="CN386" s="643"/>
      <c r="CO386" s="643"/>
      <c r="CP386" s="643"/>
      <c r="CQ386" s="643"/>
      <c r="CR386" s="643"/>
      <c r="CS386" s="636" t="s">
        <v>2267</v>
      </c>
      <c r="CT386" s="643"/>
      <c r="CU386" s="643"/>
      <c r="CV386" s="643"/>
      <c r="CW386" s="643"/>
      <c r="CX386" s="643"/>
      <c r="CY386" s="643"/>
      <c r="CZ386" s="643"/>
      <c r="DA386" s="643"/>
      <c r="DB386" s="643"/>
      <c r="DC386" s="643"/>
      <c r="DD386" s="643"/>
      <c r="DE386" s="643"/>
    </row>
    <row r="387" spans="34:109" ht="15" hidden="1" customHeight="1">
      <c r="AH387" s="24"/>
      <c r="AI387" s="24"/>
      <c r="AJ387" s="24"/>
      <c r="AK387" s="24"/>
      <c r="AL387" s="630" t="str">
        <f t="shared" si="10"/>
        <v/>
      </c>
      <c r="AM387" s="630" t="str">
        <f t="shared" si="11"/>
        <v/>
      </c>
      <c r="AO387" s="24"/>
      <c r="AP387" s="628">
        <v>385</v>
      </c>
      <c r="AQ387" s="642"/>
      <c r="AR387" s="642"/>
      <c r="AS387" s="642"/>
      <c r="AT387" s="642"/>
      <c r="AU387" s="642"/>
      <c r="AV387" s="642"/>
      <c r="AW387" s="642"/>
      <c r="AX387" s="642"/>
      <c r="AY387" s="642"/>
      <c r="AZ387" s="642"/>
      <c r="BA387" s="642"/>
      <c r="BB387" s="642"/>
      <c r="BC387" s="642"/>
      <c r="BD387" s="642"/>
      <c r="BE387" s="642"/>
      <c r="BF387" s="642"/>
      <c r="BG387" s="642"/>
      <c r="BH387" s="642"/>
      <c r="BI387" s="642"/>
      <c r="BJ387" s="634">
        <v>20384</v>
      </c>
      <c r="BK387" s="642"/>
      <c r="BL387" s="642"/>
      <c r="BM387" s="642"/>
      <c r="BN387" s="642"/>
      <c r="BO387" s="642"/>
      <c r="BP387" s="642"/>
      <c r="BQ387" s="642"/>
      <c r="BR387" s="642"/>
      <c r="BS387" s="642"/>
      <c r="BT387" s="642"/>
      <c r="BU387" s="642"/>
      <c r="BV387" s="642"/>
      <c r="BW387" s="24"/>
      <c r="BX387" s="24"/>
      <c r="BY387" s="24"/>
      <c r="BZ387" s="643"/>
      <c r="CA387" s="643"/>
      <c r="CB387" s="643"/>
      <c r="CC387" s="643"/>
      <c r="CD387" s="643"/>
      <c r="CE387" s="643"/>
      <c r="CF387" s="643"/>
      <c r="CG387" s="643"/>
      <c r="CH387" s="643"/>
      <c r="CI387" s="643"/>
      <c r="CJ387" s="643"/>
      <c r="CK387" s="643"/>
      <c r="CL387" s="643"/>
      <c r="CM387" s="643"/>
      <c r="CN387" s="643"/>
      <c r="CO387" s="643"/>
      <c r="CP387" s="643"/>
      <c r="CQ387" s="643"/>
      <c r="CR387" s="643"/>
      <c r="CS387" s="636" t="s">
        <v>2268</v>
      </c>
      <c r="CT387" s="643"/>
      <c r="CU387" s="643"/>
      <c r="CV387" s="643"/>
      <c r="CW387" s="643"/>
      <c r="CX387" s="643"/>
      <c r="CY387" s="643"/>
      <c r="CZ387" s="643"/>
      <c r="DA387" s="643"/>
      <c r="DB387" s="643"/>
      <c r="DC387" s="643"/>
      <c r="DD387" s="643"/>
      <c r="DE387" s="643"/>
    </row>
    <row r="388" spans="34:109" ht="15" hidden="1" customHeight="1">
      <c r="AH388" s="24"/>
      <c r="AI388" s="24"/>
      <c r="AJ388" s="24"/>
      <c r="AK388" s="24"/>
      <c r="AL388" s="630" t="str">
        <f t="shared" ref="AL388:AL451" si="12">IFERROR(IF(HLOOKUP($N$8, $BZ$3:$DE$574, $AP388, FALSE )="", "", HLOOKUP($N$8, $BZ$3:$DE$574, $AP388, FALSE)), "")</f>
        <v/>
      </c>
      <c r="AM388" s="630" t="str">
        <f t="shared" ref="AM388:AM451" si="13">IFERROR(IF(AL388="", "", HLOOKUP($N$8, $AQ$3:$BV$574, AP388, FALSE)), "")</f>
        <v/>
      </c>
      <c r="AO388" s="24"/>
      <c r="AP388" s="628">
        <v>386</v>
      </c>
      <c r="AQ388" s="642"/>
      <c r="AR388" s="642"/>
      <c r="AS388" s="642"/>
      <c r="AT388" s="642"/>
      <c r="AU388" s="642"/>
      <c r="AV388" s="642"/>
      <c r="AW388" s="642"/>
      <c r="AX388" s="642"/>
      <c r="AY388" s="642"/>
      <c r="AZ388" s="642"/>
      <c r="BA388" s="642"/>
      <c r="BB388" s="642"/>
      <c r="BC388" s="642"/>
      <c r="BD388" s="642"/>
      <c r="BE388" s="642"/>
      <c r="BF388" s="642"/>
      <c r="BG388" s="642"/>
      <c r="BH388" s="642"/>
      <c r="BI388" s="642"/>
      <c r="BJ388" s="634">
        <v>20385</v>
      </c>
      <c r="BK388" s="642"/>
      <c r="BL388" s="642"/>
      <c r="BM388" s="642"/>
      <c r="BN388" s="642"/>
      <c r="BO388" s="642"/>
      <c r="BP388" s="642"/>
      <c r="BQ388" s="642"/>
      <c r="BR388" s="642"/>
      <c r="BS388" s="642"/>
      <c r="BT388" s="642"/>
      <c r="BU388" s="642"/>
      <c r="BV388" s="642"/>
      <c r="BW388" s="24"/>
      <c r="BX388" s="24"/>
      <c r="BY388" s="24"/>
      <c r="BZ388" s="643"/>
      <c r="CA388" s="643"/>
      <c r="CB388" s="643"/>
      <c r="CC388" s="643"/>
      <c r="CD388" s="643"/>
      <c r="CE388" s="643"/>
      <c r="CF388" s="643"/>
      <c r="CG388" s="643"/>
      <c r="CH388" s="643"/>
      <c r="CI388" s="643"/>
      <c r="CJ388" s="643"/>
      <c r="CK388" s="643"/>
      <c r="CL388" s="643"/>
      <c r="CM388" s="643"/>
      <c r="CN388" s="643"/>
      <c r="CO388" s="643"/>
      <c r="CP388" s="643"/>
      <c r="CQ388" s="643"/>
      <c r="CR388" s="643"/>
      <c r="CS388" s="636" t="s">
        <v>2269</v>
      </c>
      <c r="CT388" s="643"/>
      <c r="CU388" s="643"/>
      <c r="CV388" s="643"/>
      <c r="CW388" s="643"/>
      <c r="CX388" s="643"/>
      <c r="CY388" s="643"/>
      <c r="CZ388" s="643"/>
      <c r="DA388" s="643"/>
      <c r="DB388" s="643"/>
      <c r="DC388" s="643"/>
      <c r="DD388" s="643"/>
      <c r="DE388" s="643"/>
    </row>
    <row r="389" spans="34:109" ht="15" hidden="1" customHeight="1">
      <c r="AH389" s="24"/>
      <c r="AI389" s="24"/>
      <c r="AJ389" s="24"/>
      <c r="AK389" s="24"/>
      <c r="AL389" s="630" t="str">
        <f t="shared" si="12"/>
        <v/>
      </c>
      <c r="AM389" s="630" t="str">
        <f t="shared" si="13"/>
        <v/>
      </c>
      <c r="AO389" s="24"/>
      <c r="AP389" s="628">
        <v>387</v>
      </c>
      <c r="AQ389" s="642"/>
      <c r="AR389" s="642"/>
      <c r="AS389" s="642"/>
      <c r="AT389" s="642"/>
      <c r="AU389" s="642"/>
      <c r="AV389" s="642"/>
      <c r="AW389" s="642"/>
      <c r="AX389" s="642"/>
      <c r="AY389" s="642"/>
      <c r="AZ389" s="642"/>
      <c r="BA389" s="642"/>
      <c r="BB389" s="642"/>
      <c r="BC389" s="642"/>
      <c r="BD389" s="642"/>
      <c r="BE389" s="642"/>
      <c r="BF389" s="642"/>
      <c r="BG389" s="642"/>
      <c r="BH389" s="642"/>
      <c r="BI389" s="642"/>
      <c r="BJ389" s="634">
        <v>20386</v>
      </c>
      <c r="BK389" s="642"/>
      <c r="BL389" s="642"/>
      <c r="BM389" s="642"/>
      <c r="BN389" s="642"/>
      <c r="BO389" s="642"/>
      <c r="BP389" s="642"/>
      <c r="BQ389" s="642"/>
      <c r="BR389" s="642"/>
      <c r="BS389" s="642"/>
      <c r="BT389" s="642"/>
      <c r="BU389" s="642"/>
      <c r="BV389" s="642"/>
      <c r="BW389" s="24"/>
      <c r="BX389" s="24"/>
      <c r="BY389" s="24"/>
      <c r="BZ389" s="643"/>
      <c r="CA389" s="643"/>
      <c r="CB389" s="643"/>
      <c r="CC389" s="643"/>
      <c r="CD389" s="643"/>
      <c r="CE389" s="643"/>
      <c r="CF389" s="643"/>
      <c r="CG389" s="643"/>
      <c r="CH389" s="643"/>
      <c r="CI389" s="643"/>
      <c r="CJ389" s="643"/>
      <c r="CK389" s="643"/>
      <c r="CL389" s="643"/>
      <c r="CM389" s="643"/>
      <c r="CN389" s="643"/>
      <c r="CO389" s="643"/>
      <c r="CP389" s="643"/>
      <c r="CQ389" s="643"/>
      <c r="CR389" s="643"/>
      <c r="CS389" s="636" t="s">
        <v>2270</v>
      </c>
      <c r="CT389" s="643"/>
      <c r="CU389" s="643"/>
      <c r="CV389" s="643"/>
      <c r="CW389" s="643"/>
      <c r="CX389" s="643"/>
      <c r="CY389" s="643"/>
      <c r="CZ389" s="643"/>
      <c r="DA389" s="643"/>
      <c r="DB389" s="643"/>
      <c r="DC389" s="643"/>
      <c r="DD389" s="643"/>
      <c r="DE389" s="643"/>
    </row>
    <row r="390" spans="34:109" ht="15" hidden="1" customHeight="1">
      <c r="AH390" s="24"/>
      <c r="AI390" s="24"/>
      <c r="AJ390" s="24"/>
      <c r="AK390" s="24"/>
      <c r="AL390" s="630" t="str">
        <f t="shared" si="12"/>
        <v/>
      </c>
      <c r="AM390" s="630" t="str">
        <f t="shared" si="13"/>
        <v/>
      </c>
      <c r="AO390" s="24"/>
      <c r="AP390" s="628">
        <v>388</v>
      </c>
      <c r="AQ390" s="642"/>
      <c r="AR390" s="642"/>
      <c r="AS390" s="642"/>
      <c r="AT390" s="642"/>
      <c r="AU390" s="642"/>
      <c r="AV390" s="642"/>
      <c r="AW390" s="642"/>
      <c r="AX390" s="642"/>
      <c r="AY390" s="642"/>
      <c r="AZ390" s="642"/>
      <c r="BA390" s="642"/>
      <c r="BB390" s="642"/>
      <c r="BC390" s="642"/>
      <c r="BD390" s="642"/>
      <c r="BE390" s="642"/>
      <c r="BF390" s="642"/>
      <c r="BG390" s="642"/>
      <c r="BH390" s="642"/>
      <c r="BI390" s="642"/>
      <c r="BJ390" s="634">
        <v>20387</v>
      </c>
      <c r="BK390" s="642"/>
      <c r="BL390" s="642"/>
      <c r="BM390" s="642"/>
      <c r="BN390" s="642"/>
      <c r="BO390" s="642"/>
      <c r="BP390" s="642"/>
      <c r="BQ390" s="642"/>
      <c r="BR390" s="642"/>
      <c r="BS390" s="642"/>
      <c r="BT390" s="642"/>
      <c r="BU390" s="642"/>
      <c r="BV390" s="642"/>
      <c r="BW390" s="24"/>
      <c r="BX390" s="24"/>
      <c r="BY390" s="24"/>
      <c r="BZ390" s="643"/>
      <c r="CA390" s="643"/>
      <c r="CB390" s="643"/>
      <c r="CC390" s="643"/>
      <c r="CD390" s="643"/>
      <c r="CE390" s="643"/>
      <c r="CF390" s="643"/>
      <c r="CG390" s="643"/>
      <c r="CH390" s="643"/>
      <c r="CI390" s="643"/>
      <c r="CJ390" s="643"/>
      <c r="CK390" s="643"/>
      <c r="CL390" s="643"/>
      <c r="CM390" s="643"/>
      <c r="CN390" s="643"/>
      <c r="CO390" s="643"/>
      <c r="CP390" s="643"/>
      <c r="CQ390" s="643"/>
      <c r="CR390" s="643"/>
      <c r="CS390" s="636" t="s">
        <v>2271</v>
      </c>
      <c r="CT390" s="643"/>
      <c r="CU390" s="643"/>
      <c r="CV390" s="643"/>
      <c r="CW390" s="643"/>
      <c r="CX390" s="643"/>
      <c r="CY390" s="643"/>
      <c r="CZ390" s="643"/>
      <c r="DA390" s="643"/>
      <c r="DB390" s="643"/>
      <c r="DC390" s="643"/>
      <c r="DD390" s="643"/>
      <c r="DE390" s="643"/>
    </row>
    <row r="391" spans="34:109" ht="15" hidden="1" customHeight="1">
      <c r="AH391" s="24"/>
      <c r="AI391" s="24"/>
      <c r="AJ391" s="24"/>
      <c r="AK391" s="24"/>
      <c r="AL391" s="630" t="str">
        <f t="shared" si="12"/>
        <v/>
      </c>
      <c r="AM391" s="630" t="str">
        <f t="shared" si="13"/>
        <v/>
      </c>
      <c r="AO391" s="24"/>
      <c r="AP391" s="628">
        <v>389</v>
      </c>
      <c r="AQ391" s="642"/>
      <c r="AR391" s="642"/>
      <c r="AS391" s="642"/>
      <c r="AT391" s="642"/>
      <c r="AU391" s="642"/>
      <c r="AV391" s="642"/>
      <c r="AW391" s="642"/>
      <c r="AX391" s="642"/>
      <c r="AY391" s="642"/>
      <c r="AZ391" s="642"/>
      <c r="BA391" s="642"/>
      <c r="BB391" s="642"/>
      <c r="BC391" s="642"/>
      <c r="BD391" s="642"/>
      <c r="BE391" s="642"/>
      <c r="BF391" s="642"/>
      <c r="BG391" s="642"/>
      <c r="BH391" s="642"/>
      <c r="BI391" s="642"/>
      <c r="BJ391" s="634">
        <v>20388</v>
      </c>
      <c r="BK391" s="642"/>
      <c r="BL391" s="642"/>
      <c r="BM391" s="642"/>
      <c r="BN391" s="642"/>
      <c r="BO391" s="642"/>
      <c r="BP391" s="642"/>
      <c r="BQ391" s="642"/>
      <c r="BR391" s="642"/>
      <c r="BS391" s="642"/>
      <c r="BT391" s="642"/>
      <c r="BU391" s="642"/>
      <c r="BV391" s="642"/>
      <c r="BW391" s="24"/>
      <c r="BX391" s="24"/>
      <c r="BY391" s="24"/>
      <c r="BZ391" s="643"/>
      <c r="CA391" s="643"/>
      <c r="CB391" s="643"/>
      <c r="CC391" s="643"/>
      <c r="CD391" s="643"/>
      <c r="CE391" s="643"/>
      <c r="CF391" s="643"/>
      <c r="CG391" s="643"/>
      <c r="CH391" s="643"/>
      <c r="CI391" s="643"/>
      <c r="CJ391" s="643"/>
      <c r="CK391" s="643"/>
      <c r="CL391" s="643"/>
      <c r="CM391" s="643"/>
      <c r="CN391" s="643"/>
      <c r="CO391" s="643"/>
      <c r="CP391" s="643"/>
      <c r="CQ391" s="643"/>
      <c r="CR391" s="643"/>
      <c r="CS391" s="636" t="s">
        <v>2272</v>
      </c>
      <c r="CT391" s="643"/>
      <c r="CU391" s="643"/>
      <c r="CV391" s="643"/>
      <c r="CW391" s="643"/>
      <c r="CX391" s="643"/>
      <c r="CY391" s="643"/>
      <c r="CZ391" s="643"/>
      <c r="DA391" s="643"/>
      <c r="DB391" s="643"/>
      <c r="DC391" s="643"/>
      <c r="DD391" s="643"/>
      <c r="DE391" s="643"/>
    </row>
    <row r="392" spans="34:109" ht="15" hidden="1" customHeight="1">
      <c r="AH392" s="24"/>
      <c r="AI392" s="24"/>
      <c r="AJ392" s="24"/>
      <c r="AK392" s="24"/>
      <c r="AL392" s="630" t="str">
        <f t="shared" si="12"/>
        <v/>
      </c>
      <c r="AM392" s="630" t="str">
        <f t="shared" si="13"/>
        <v/>
      </c>
      <c r="AO392" s="24"/>
      <c r="AP392" s="628">
        <v>390</v>
      </c>
      <c r="AQ392" s="642"/>
      <c r="AR392" s="642"/>
      <c r="AS392" s="642"/>
      <c r="AT392" s="642"/>
      <c r="AU392" s="642"/>
      <c r="AV392" s="642"/>
      <c r="AW392" s="642"/>
      <c r="AX392" s="642"/>
      <c r="AY392" s="642"/>
      <c r="AZ392" s="642"/>
      <c r="BA392" s="642"/>
      <c r="BB392" s="642"/>
      <c r="BC392" s="642"/>
      <c r="BD392" s="642"/>
      <c r="BE392" s="642"/>
      <c r="BF392" s="642"/>
      <c r="BG392" s="642"/>
      <c r="BH392" s="642"/>
      <c r="BI392" s="642"/>
      <c r="BJ392" s="634">
        <v>20389</v>
      </c>
      <c r="BK392" s="642"/>
      <c r="BL392" s="642"/>
      <c r="BM392" s="642"/>
      <c r="BN392" s="642"/>
      <c r="BO392" s="642"/>
      <c r="BP392" s="642"/>
      <c r="BQ392" s="642"/>
      <c r="BR392" s="642"/>
      <c r="BS392" s="642"/>
      <c r="BT392" s="642"/>
      <c r="BU392" s="642"/>
      <c r="BV392" s="642"/>
      <c r="BW392" s="24"/>
      <c r="BX392" s="24"/>
      <c r="BY392" s="24"/>
      <c r="BZ392" s="643"/>
      <c r="CA392" s="643"/>
      <c r="CB392" s="643"/>
      <c r="CC392" s="643"/>
      <c r="CD392" s="643"/>
      <c r="CE392" s="643"/>
      <c r="CF392" s="643"/>
      <c r="CG392" s="643"/>
      <c r="CH392" s="643"/>
      <c r="CI392" s="643"/>
      <c r="CJ392" s="643"/>
      <c r="CK392" s="643"/>
      <c r="CL392" s="643"/>
      <c r="CM392" s="643"/>
      <c r="CN392" s="643"/>
      <c r="CO392" s="643"/>
      <c r="CP392" s="643"/>
      <c r="CQ392" s="643"/>
      <c r="CR392" s="643"/>
      <c r="CS392" s="636" t="s">
        <v>2273</v>
      </c>
      <c r="CT392" s="643"/>
      <c r="CU392" s="643"/>
      <c r="CV392" s="643"/>
      <c r="CW392" s="643"/>
      <c r="CX392" s="643"/>
      <c r="CY392" s="643"/>
      <c r="CZ392" s="643"/>
      <c r="DA392" s="643"/>
      <c r="DB392" s="643"/>
      <c r="DC392" s="643"/>
      <c r="DD392" s="643"/>
      <c r="DE392" s="643"/>
    </row>
    <row r="393" spans="34:109" ht="15" hidden="1" customHeight="1">
      <c r="AH393" s="24"/>
      <c r="AI393" s="24"/>
      <c r="AJ393" s="24"/>
      <c r="AK393" s="24"/>
      <c r="AL393" s="630" t="str">
        <f t="shared" si="12"/>
        <v/>
      </c>
      <c r="AM393" s="630" t="str">
        <f t="shared" si="13"/>
        <v/>
      </c>
      <c r="AO393" s="24"/>
      <c r="AP393" s="628">
        <v>391</v>
      </c>
      <c r="AQ393" s="642"/>
      <c r="AR393" s="642"/>
      <c r="AS393" s="642"/>
      <c r="AT393" s="642"/>
      <c r="AU393" s="642"/>
      <c r="AV393" s="642"/>
      <c r="AW393" s="642"/>
      <c r="AX393" s="642"/>
      <c r="AY393" s="642"/>
      <c r="AZ393" s="642"/>
      <c r="BA393" s="642"/>
      <c r="BB393" s="642"/>
      <c r="BC393" s="642"/>
      <c r="BD393" s="642"/>
      <c r="BE393" s="642"/>
      <c r="BF393" s="642"/>
      <c r="BG393" s="642"/>
      <c r="BH393" s="642"/>
      <c r="BI393" s="642"/>
      <c r="BJ393" s="634">
        <v>20390</v>
      </c>
      <c r="BK393" s="642"/>
      <c r="BL393" s="642"/>
      <c r="BM393" s="642"/>
      <c r="BN393" s="642"/>
      <c r="BO393" s="642"/>
      <c r="BP393" s="642"/>
      <c r="BQ393" s="642"/>
      <c r="BR393" s="642"/>
      <c r="BS393" s="642"/>
      <c r="BT393" s="642"/>
      <c r="BU393" s="642"/>
      <c r="BV393" s="642"/>
      <c r="BW393" s="24"/>
      <c r="BX393" s="24"/>
      <c r="BY393" s="24"/>
      <c r="BZ393" s="643"/>
      <c r="CA393" s="643"/>
      <c r="CB393" s="643"/>
      <c r="CC393" s="643"/>
      <c r="CD393" s="643"/>
      <c r="CE393" s="643"/>
      <c r="CF393" s="643"/>
      <c r="CG393" s="643"/>
      <c r="CH393" s="643"/>
      <c r="CI393" s="643"/>
      <c r="CJ393" s="643"/>
      <c r="CK393" s="643"/>
      <c r="CL393" s="643"/>
      <c r="CM393" s="643"/>
      <c r="CN393" s="643"/>
      <c r="CO393" s="643"/>
      <c r="CP393" s="643"/>
      <c r="CQ393" s="643"/>
      <c r="CR393" s="643"/>
      <c r="CS393" s="636" t="s">
        <v>2274</v>
      </c>
      <c r="CT393" s="643"/>
      <c r="CU393" s="643"/>
      <c r="CV393" s="643"/>
      <c r="CW393" s="643"/>
      <c r="CX393" s="643"/>
      <c r="CY393" s="643"/>
      <c r="CZ393" s="643"/>
      <c r="DA393" s="643"/>
      <c r="DB393" s="643"/>
      <c r="DC393" s="643"/>
      <c r="DD393" s="643"/>
      <c r="DE393" s="643"/>
    </row>
    <row r="394" spans="34:109" ht="15" hidden="1" customHeight="1">
      <c r="AH394" s="24"/>
      <c r="AI394" s="24"/>
      <c r="AJ394" s="24"/>
      <c r="AK394" s="24"/>
      <c r="AL394" s="630" t="str">
        <f t="shared" si="12"/>
        <v/>
      </c>
      <c r="AM394" s="630" t="str">
        <f t="shared" si="13"/>
        <v/>
      </c>
      <c r="AO394" s="24"/>
      <c r="AP394" s="628">
        <v>392</v>
      </c>
      <c r="AQ394" s="642"/>
      <c r="AR394" s="642"/>
      <c r="AS394" s="642"/>
      <c r="AT394" s="642"/>
      <c r="AU394" s="642"/>
      <c r="AV394" s="642"/>
      <c r="AW394" s="642"/>
      <c r="AX394" s="642"/>
      <c r="AY394" s="642"/>
      <c r="AZ394" s="642"/>
      <c r="BA394" s="642"/>
      <c r="BB394" s="642"/>
      <c r="BC394" s="642"/>
      <c r="BD394" s="642"/>
      <c r="BE394" s="642"/>
      <c r="BF394" s="642"/>
      <c r="BG394" s="642"/>
      <c r="BH394" s="642"/>
      <c r="BI394" s="642"/>
      <c r="BJ394" s="634">
        <v>20391</v>
      </c>
      <c r="BK394" s="642"/>
      <c r="BL394" s="642"/>
      <c r="BM394" s="642"/>
      <c r="BN394" s="642"/>
      <c r="BO394" s="642"/>
      <c r="BP394" s="642"/>
      <c r="BQ394" s="642"/>
      <c r="BR394" s="642"/>
      <c r="BS394" s="642"/>
      <c r="BT394" s="642"/>
      <c r="BU394" s="642"/>
      <c r="BV394" s="642"/>
      <c r="BW394" s="24"/>
      <c r="BX394" s="24"/>
      <c r="BY394" s="24"/>
      <c r="BZ394" s="643"/>
      <c r="CA394" s="643"/>
      <c r="CB394" s="643"/>
      <c r="CC394" s="643"/>
      <c r="CD394" s="643"/>
      <c r="CE394" s="643"/>
      <c r="CF394" s="643"/>
      <c r="CG394" s="643"/>
      <c r="CH394" s="643"/>
      <c r="CI394" s="643"/>
      <c r="CJ394" s="643"/>
      <c r="CK394" s="643"/>
      <c r="CL394" s="643"/>
      <c r="CM394" s="643"/>
      <c r="CN394" s="643"/>
      <c r="CO394" s="643"/>
      <c r="CP394" s="643"/>
      <c r="CQ394" s="643"/>
      <c r="CR394" s="643"/>
      <c r="CS394" s="636" t="s">
        <v>2275</v>
      </c>
      <c r="CT394" s="643"/>
      <c r="CU394" s="643"/>
      <c r="CV394" s="643"/>
      <c r="CW394" s="643"/>
      <c r="CX394" s="643"/>
      <c r="CY394" s="643"/>
      <c r="CZ394" s="643"/>
      <c r="DA394" s="643"/>
      <c r="DB394" s="643"/>
      <c r="DC394" s="643"/>
      <c r="DD394" s="643"/>
      <c r="DE394" s="643"/>
    </row>
    <row r="395" spans="34:109" ht="15" hidden="1" customHeight="1">
      <c r="AH395" s="24"/>
      <c r="AI395" s="24"/>
      <c r="AJ395" s="24"/>
      <c r="AK395" s="24"/>
      <c r="AL395" s="630" t="str">
        <f t="shared" si="12"/>
        <v/>
      </c>
      <c r="AM395" s="630" t="str">
        <f t="shared" si="13"/>
        <v/>
      </c>
      <c r="AO395" s="24"/>
      <c r="AP395" s="628">
        <v>393</v>
      </c>
      <c r="AQ395" s="642"/>
      <c r="AR395" s="642"/>
      <c r="AS395" s="642"/>
      <c r="AT395" s="642"/>
      <c r="AU395" s="642"/>
      <c r="AV395" s="642"/>
      <c r="AW395" s="642"/>
      <c r="AX395" s="642"/>
      <c r="AY395" s="642"/>
      <c r="AZ395" s="642"/>
      <c r="BA395" s="642"/>
      <c r="BB395" s="642"/>
      <c r="BC395" s="642"/>
      <c r="BD395" s="642"/>
      <c r="BE395" s="642"/>
      <c r="BF395" s="642"/>
      <c r="BG395" s="642"/>
      <c r="BH395" s="642"/>
      <c r="BI395" s="642"/>
      <c r="BJ395" s="634">
        <v>20392</v>
      </c>
      <c r="BK395" s="642"/>
      <c r="BL395" s="642"/>
      <c r="BM395" s="642"/>
      <c r="BN395" s="642"/>
      <c r="BO395" s="642"/>
      <c r="BP395" s="642"/>
      <c r="BQ395" s="642"/>
      <c r="BR395" s="642"/>
      <c r="BS395" s="642"/>
      <c r="BT395" s="642"/>
      <c r="BU395" s="642"/>
      <c r="BV395" s="642"/>
      <c r="BW395" s="24"/>
      <c r="BX395" s="24"/>
      <c r="BY395" s="24"/>
      <c r="BZ395" s="643"/>
      <c r="CA395" s="643"/>
      <c r="CB395" s="643"/>
      <c r="CC395" s="643"/>
      <c r="CD395" s="643"/>
      <c r="CE395" s="643"/>
      <c r="CF395" s="643"/>
      <c r="CG395" s="643"/>
      <c r="CH395" s="643"/>
      <c r="CI395" s="643"/>
      <c r="CJ395" s="643"/>
      <c r="CK395" s="643"/>
      <c r="CL395" s="643"/>
      <c r="CM395" s="643"/>
      <c r="CN395" s="643"/>
      <c r="CO395" s="643"/>
      <c r="CP395" s="643"/>
      <c r="CQ395" s="643"/>
      <c r="CR395" s="643"/>
      <c r="CS395" s="636" t="s">
        <v>2276</v>
      </c>
      <c r="CT395" s="643"/>
      <c r="CU395" s="643"/>
      <c r="CV395" s="643"/>
      <c r="CW395" s="643"/>
      <c r="CX395" s="643"/>
      <c r="CY395" s="643"/>
      <c r="CZ395" s="643"/>
      <c r="DA395" s="643"/>
      <c r="DB395" s="643"/>
      <c r="DC395" s="643"/>
      <c r="DD395" s="643"/>
      <c r="DE395" s="643"/>
    </row>
    <row r="396" spans="34:109" ht="15" hidden="1" customHeight="1">
      <c r="AH396" s="24"/>
      <c r="AI396" s="24"/>
      <c r="AJ396" s="24"/>
      <c r="AK396" s="24"/>
      <c r="AL396" s="630" t="str">
        <f t="shared" si="12"/>
        <v/>
      </c>
      <c r="AM396" s="630" t="str">
        <f t="shared" si="13"/>
        <v/>
      </c>
      <c r="AO396" s="24"/>
      <c r="AP396" s="628">
        <v>394</v>
      </c>
      <c r="AQ396" s="642"/>
      <c r="AR396" s="642"/>
      <c r="AS396" s="642"/>
      <c r="AT396" s="642"/>
      <c r="AU396" s="642"/>
      <c r="AV396" s="642"/>
      <c r="AW396" s="642"/>
      <c r="AX396" s="642"/>
      <c r="AY396" s="642"/>
      <c r="AZ396" s="642"/>
      <c r="BA396" s="642"/>
      <c r="BB396" s="642"/>
      <c r="BC396" s="642"/>
      <c r="BD396" s="642"/>
      <c r="BE396" s="642"/>
      <c r="BF396" s="642"/>
      <c r="BG396" s="642"/>
      <c r="BH396" s="642"/>
      <c r="BI396" s="642"/>
      <c r="BJ396" s="634">
        <v>20393</v>
      </c>
      <c r="BK396" s="642"/>
      <c r="BL396" s="642"/>
      <c r="BM396" s="642"/>
      <c r="BN396" s="642"/>
      <c r="BO396" s="642"/>
      <c r="BP396" s="642"/>
      <c r="BQ396" s="642"/>
      <c r="BR396" s="642"/>
      <c r="BS396" s="642"/>
      <c r="BT396" s="642"/>
      <c r="BU396" s="642"/>
      <c r="BV396" s="642"/>
      <c r="BW396" s="24"/>
      <c r="BX396" s="24"/>
      <c r="BY396" s="24"/>
      <c r="BZ396" s="643"/>
      <c r="CA396" s="643"/>
      <c r="CB396" s="643"/>
      <c r="CC396" s="643"/>
      <c r="CD396" s="643"/>
      <c r="CE396" s="643"/>
      <c r="CF396" s="643"/>
      <c r="CG396" s="643"/>
      <c r="CH396" s="643"/>
      <c r="CI396" s="643"/>
      <c r="CJ396" s="643"/>
      <c r="CK396" s="643"/>
      <c r="CL396" s="643"/>
      <c r="CM396" s="643"/>
      <c r="CN396" s="643"/>
      <c r="CO396" s="643"/>
      <c r="CP396" s="643"/>
      <c r="CQ396" s="643"/>
      <c r="CR396" s="643"/>
      <c r="CS396" s="636" t="s">
        <v>2277</v>
      </c>
      <c r="CT396" s="643"/>
      <c r="CU396" s="643"/>
      <c r="CV396" s="643"/>
      <c r="CW396" s="643"/>
      <c r="CX396" s="643"/>
      <c r="CY396" s="643"/>
      <c r="CZ396" s="643"/>
      <c r="DA396" s="643"/>
      <c r="DB396" s="643"/>
      <c r="DC396" s="643"/>
      <c r="DD396" s="643"/>
      <c r="DE396" s="643"/>
    </row>
    <row r="397" spans="34:109" ht="15" hidden="1" customHeight="1">
      <c r="AH397" s="24"/>
      <c r="AI397" s="24"/>
      <c r="AJ397" s="24"/>
      <c r="AK397" s="24"/>
      <c r="AL397" s="630" t="str">
        <f t="shared" si="12"/>
        <v/>
      </c>
      <c r="AM397" s="630" t="str">
        <f t="shared" si="13"/>
        <v/>
      </c>
      <c r="AO397" s="24"/>
      <c r="AP397" s="628">
        <v>395</v>
      </c>
      <c r="AQ397" s="642"/>
      <c r="AR397" s="642"/>
      <c r="AS397" s="642"/>
      <c r="AT397" s="642"/>
      <c r="AU397" s="642"/>
      <c r="AV397" s="642"/>
      <c r="AW397" s="642"/>
      <c r="AX397" s="642"/>
      <c r="AY397" s="642"/>
      <c r="AZ397" s="642"/>
      <c r="BA397" s="642"/>
      <c r="BB397" s="642"/>
      <c r="BC397" s="642"/>
      <c r="BD397" s="642"/>
      <c r="BE397" s="642"/>
      <c r="BF397" s="642"/>
      <c r="BG397" s="642"/>
      <c r="BH397" s="642"/>
      <c r="BI397" s="642"/>
      <c r="BJ397" s="634">
        <v>20394</v>
      </c>
      <c r="BK397" s="642"/>
      <c r="BL397" s="642"/>
      <c r="BM397" s="642"/>
      <c r="BN397" s="642"/>
      <c r="BO397" s="642"/>
      <c r="BP397" s="642"/>
      <c r="BQ397" s="642"/>
      <c r="BR397" s="642"/>
      <c r="BS397" s="642"/>
      <c r="BT397" s="642"/>
      <c r="BU397" s="642"/>
      <c r="BV397" s="642"/>
      <c r="BW397" s="24"/>
      <c r="BX397" s="24"/>
      <c r="BY397" s="24"/>
      <c r="BZ397" s="643"/>
      <c r="CA397" s="643"/>
      <c r="CB397" s="643"/>
      <c r="CC397" s="643"/>
      <c r="CD397" s="643"/>
      <c r="CE397" s="643"/>
      <c r="CF397" s="643"/>
      <c r="CG397" s="643"/>
      <c r="CH397" s="643"/>
      <c r="CI397" s="643"/>
      <c r="CJ397" s="643"/>
      <c r="CK397" s="643"/>
      <c r="CL397" s="643"/>
      <c r="CM397" s="643"/>
      <c r="CN397" s="643"/>
      <c r="CO397" s="643"/>
      <c r="CP397" s="643"/>
      <c r="CQ397" s="643"/>
      <c r="CR397" s="643"/>
      <c r="CS397" s="636" t="s">
        <v>2278</v>
      </c>
      <c r="CT397" s="643"/>
      <c r="CU397" s="643"/>
      <c r="CV397" s="643"/>
      <c r="CW397" s="643"/>
      <c r="CX397" s="643"/>
      <c r="CY397" s="643"/>
      <c r="CZ397" s="643"/>
      <c r="DA397" s="643"/>
      <c r="DB397" s="643"/>
      <c r="DC397" s="643"/>
      <c r="DD397" s="643"/>
      <c r="DE397" s="643"/>
    </row>
    <row r="398" spans="34:109" ht="15" hidden="1" customHeight="1">
      <c r="AH398" s="24"/>
      <c r="AI398" s="24"/>
      <c r="AJ398" s="24"/>
      <c r="AK398" s="24"/>
      <c r="AL398" s="630" t="str">
        <f t="shared" si="12"/>
        <v/>
      </c>
      <c r="AM398" s="630" t="str">
        <f t="shared" si="13"/>
        <v/>
      </c>
      <c r="AO398" s="24"/>
      <c r="AP398" s="628">
        <v>396</v>
      </c>
      <c r="AQ398" s="642"/>
      <c r="AR398" s="642"/>
      <c r="AS398" s="642"/>
      <c r="AT398" s="642"/>
      <c r="AU398" s="642"/>
      <c r="AV398" s="642"/>
      <c r="AW398" s="642"/>
      <c r="AX398" s="642"/>
      <c r="AY398" s="642"/>
      <c r="AZ398" s="642"/>
      <c r="BA398" s="642"/>
      <c r="BB398" s="642"/>
      <c r="BC398" s="642"/>
      <c r="BD398" s="642"/>
      <c r="BE398" s="642"/>
      <c r="BF398" s="642"/>
      <c r="BG398" s="642"/>
      <c r="BH398" s="642"/>
      <c r="BI398" s="642"/>
      <c r="BJ398" s="634">
        <v>20395</v>
      </c>
      <c r="BK398" s="642"/>
      <c r="BL398" s="642"/>
      <c r="BM398" s="642"/>
      <c r="BN398" s="642"/>
      <c r="BO398" s="642"/>
      <c r="BP398" s="642"/>
      <c r="BQ398" s="642"/>
      <c r="BR398" s="642"/>
      <c r="BS398" s="642"/>
      <c r="BT398" s="642"/>
      <c r="BU398" s="642"/>
      <c r="BV398" s="642"/>
      <c r="BW398" s="24"/>
      <c r="BX398" s="24"/>
      <c r="BY398" s="24"/>
      <c r="BZ398" s="643"/>
      <c r="CA398" s="643"/>
      <c r="CB398" s="643"/>
      <c r="CC398" s="643"/>
      <c r="CD398" s="643"/>
      <c r="CE398" s="643"/>
      <c r="CF398" s="643"/>
      <c r="CG398" s="643"/>
      <c r="CH398" s="643"/>
      <c r="CI398" s="643"/>
      <c r="CJ398" s="643"/>
      <c r="CK398" s="643"/>
      <c r="CL398" s="643"/>
      <c r="CM398" s="643"/>
      <c r="CN398" s="643"/>
      <c r="CO398" s="643"/>
      <c r="CP398" s="643"/>
      <c r="CQ398" s="643"/>
      <c r="CR398" s="643"/>
      <c r="CS398" s="636" t="s">
        <v>2279</v>
      </c>
      <c r="CT398" s="643"/>
      <c r="CU398" s="643"/>
      <c r="CV398" s="643"/>
      <c r="CW398" s="643"/>
      <c r="CX398" s="643"/>
      <c r="CY398" s="643"/>
      <c r="CZ398" s="643"/>
      <c r="DA398" s="643"/>
      <c r="DB398" s="643"/>
      <c r="DC398" s="643"/>
      <c r="DD398" s="643"/>
      <c r="DE398" s="643"/>
    </row>
    <row r="399" spans="34:109" ht="15" hidden="1" customHeight="1">
      <c r="AH399" s="24"/>
      <c r="AI399" s="24"/>
      <c r="AJ399" s="24"/>
      <c r="AK399" s="24"/>
      <c r="AL399" s="630" t="str">
        <f t="shared" si="12"/>
        <v/>
      </c>
      <c r="AM399" s="630" t="str">
        <f t="shared" si="13"/>
        <v/>
      </c>
      <c r="AO399" s="24"/>
      <c r="AP399" s="628">
        <v>397</v>
      </c>
      <c r="AQ399" s="642"/>
      <c r="AR399" s="642"/>
      <c r="AS399" s="642"/>
      <c r="AT399" s="642"/>
      <c r="AU399" s="642"/>
      <c r="AV399" s="642"/>
      <c r="AW399" s="642"/>
      <c r="AX399" s="642"/>
      <c r="AY399" s="642"/>
      <c r="AZ399" s="642"/>
      <c r="BA399" s="642"/>
      <c r="BB399" s="642"/>
      <c r="BC399" s="642"/>
      <c r="BD399" s="642"/>
      <c r="BE399" s="642"/>
      <c r="BF399" s="642"/>
      <c r="BG399" s="642"/>
      <c r="BH399" s="642"/>
      <c r="BI399" s="642"/>
      <c r="BJ399" s="634">
        <v>20396</v>
      </c>
      <c r="BK399" s="642"/>
      <c r="BL399" s="642"/>
      <c r="BM399" s="642"/>
      <c r="BN399" s="642"/>
      <c r="BO399" s="642"/>
      <c r="BP399" s="642"/>
      <c r="BQ399" s="642"/>
      <c r="BR399" s="642"/>
      <c r="BS399" s="642"/>
      <c r="BT399" s="642"/>
      <c r="BU399" s="642"/>
      <c r="BV399" s="642"/>
      <c r="BW399" s="24"/>
      <c r="BX399" s="24"/>
      <c r="BY399" s="24"/>
      <c r="BZ399" s="643"/>
      <c r="CA399" s="643"/>
      <c r="CB399" s="643"/>
      <c r="CC399" s="643"/>
      <c r="CD399" s="643"/>
      <c r="CE399" s="643"/>
      <c r="CF399" s="643"/>
      <c r="CG399" s="643"/>
      <c r="CH399" s="643"/>
      <c r="CI399" s="643"/>
      <c r="CJ399" s="643"/>
      <c r="CK399" s="643"/>
      <c r="CL399" s="643"/>
      <c r="CM399" s="643"/>
      <c r="CN399" s="643"/>
      <c r="CO399" s="643"/>
      <c r="CP399" s="643"/>
      <c r="CQ399" s="643"/>
      <c r="CR399" s="643"/>
      <c r="CS399" s="636" t="s">
        <v>2280</v>
      </c>
      <c r="CT399" s="643"/>
      <c r="CU399" s="643"/>
      <c r="CV399" s="643"/>
      <c r="CW399" s="643"/>
      <c r="CX399" s="643"/>
      <c r="CY399" s="643"/>
      <c r="CZ399" s="643"/>
      <c r="DA399" s="643"/>
      <c r="DB399" s="643"/>
      <c r="DC399" s="643"/>
      <c r="DD399" s="643"/>
      <c r="DE399" s="643"/>
    </row>
    <row r="400" spans="34:109" ht="15" hidden="1" customHeight="1">
      <c r="AH400" s="24"/>
      <c r="AI400" s="24"/>
      <c r="AJ400" s="24"/>
      <c r="AK400" s="24"/>
      <c r="AL400" s="630" t="str">
        <f t="shared" si="12"/>
        <v/>
      </c>
      <c r="AM400" s="630" t="str">
        <f t="shared" si="13"/>
        <v/>
      </c>
      <c r="AO400" s="24"/>
      <c r="AP400" s="628">
        <v>398</v>
      </c>
      <c r="AQ400" s="642"/>
      <c r="AR400" s="642"/>
      <c r="AS400" s="642"/>
      <c r="AT400" s="642"/>
      <c r="AU400" s="642"/>
      <c r="AV400" s="642"/>
      <c r="AW400" s="642"/>
      <c r="AX400" s="642"/>
      <c r="AY400" s="642"/>
      <c r="AZ400" s="642"/>
      <c r="BA400" s="642"/>
      <c r="BB400" s="642"/>
      <c r="BC400" s="642"/>
      <c r="BD400" s="642"/>
      <c r="BE400" s="642"/>
      <c r="BF400" s="642"/>
      <c r="BG400" s="642"/>
      <c r="BH400" s="642"/>
      <c r="BI400" s="642"/>
      <c r="BJ400" s="634">
        <v>20397</v>
      </c>
      <c r="BK400" s="642"/>
      <c r="BL400" s="642"/>
      <c r="BM400" s="642"/>
      <c r="BN400" s="642"/>
      <c r="BO400" s="642"/>
      <c r="BP400" s="642"/>
      <c r="BQ400" s="642"/>
      <c r="BR400" s="642"/>
      <c r="BS400" s="642"/>
      <c r="BT400" s="642"/>
      <c r="BU400" s="642"/>
      <c r="BV400" s="642"/>
      <c r="BW400" s="24"/>
      <c r="BX400" s="24"/>
      <c r="BY400" s="24"/>
      <c r="BZ400" s="643"/>
      <c r="CA400" s="643"/>
      <c r="CB400" s="643"/>
      <c r="CC400" s="643"/>
      <c r="CD400" s="643"/>
      <c r="CE400" s="643"/>
      <c r="CF400" s="643"/>
      <c r="CG400" s="643"/>
      <c r="CH400" s="643"/>
      <c r="CI400" s="643"/>
      <c r="CJ400" s="643"/>
      <c r="CK400" s="643"/>
      <c r="CL400" s="643"/>
      <c r="CM400" s="643"/>
      <c r="CN400" s="643"/>
      <c r="CO400" s="643"/>
      <c r="CP400" s="643"/>
      <c r="CQ400" s="643"/>
      <c r="CR400" s="643"/>
      <c r="CS400" s="636" t="s">
        <v>2281</v>
      </c>
      <c r="CT400" s="643"/>
      <c r="CU400" s="643"/>
      <c r="CV400" s="643"/>
      <c r="CW400" s="643"/>
      <c r="CX400" s="643"/>
      <c r="CY400" s="643"/>
      <c r="CZ400" s="643"/>
      <c r="DA400" s="643"/>
      <c r="DB400" s="643"/>
      <c r="DC400" s="643"/>
      <c r="DD400" s="643"/>
      <c r="DE400" s="643"/>
    </row>
    <row r="401" spans="34:109" ht="15" hidden="1" customHeight="1">
      <c r="AH401" s="24"/>
      <c r="AI401" s="24"/>
      <c r="AJ401" s="24"/>
      <c r="AK401" s="24"/>
      <c r="AL401" s="630" t="str">
        <f t="shared" si="12"/>
        <v/>
      </c>
      <c r="AM401" s="630" t="str">
        <f t="shared" si="13"/>
        <v/>
      </c>
      <c r="AO401" s="24"/>
      <c r="AP401" s="628">
        <v>399</v>
      </c>
      <c r="AQ401" s="642"/>
      <c r="AR401" s="642"/>
      <c r="AS401" s="642"/>
      <c r="AT401" s="642"/>
      <c r="AU401" s="642"/>
      <c r="AV401" s="642"/>
      <c r="AW401" s="642"/>
      <c r="AX401" s="642"/>
      <c r="AY401" s="642"/>
      <c r="AZ401" s="642"/>
      <c r="BA401" s="642"/>
      <c r="BB401" s="642"/>
      <c r="BC401" s="642"/>
      <c r="BD401" s="642"/>
      <c r="BE401" s="642"/>
      <c r="BF401" s="642"/>
      <c r="BG401" s="642"/>
      <c r="BH401" s="642"/>
      <c r="BI401" s="642"/>
      <c r="BJ401" s="634">
        <v>20398</v>
      </c>
      <c r="BK401" s="642"/>
      <c r="BL401" s="642"/>
      <c r="BM401" s="642"/>
      <c r="BN401" s="642"/>
      <c r="BO401" s="642"/>
      <c r="BP401" s="642"/>
      <c r="BQ401" s="642"/>
      <c r="BR401" s="642"/>
      <c r="BS401" s="642"/>
      <c r="BT401" s="642"/>
      <c r="BU401" s="642"/>
      <c r="BV401" s="642"/>
      <c r="BW401" s="24"/>
      <c r="BX401" s="24"/>
      <c r="BY401" s="24"/>
      <c r="BZ401" s="643"/>
      <c r="CA401" s="643"/>
      <c r="CB401" s="643"/>
      <c r="CC401" s="643"/>
      <c r="CD401" s="643"/>
      <c r="CE401" s="643"/>
      <c r="CF401" s="643"/>
      <c r="CG401" s="643"/>
      <c r="CH401" s="643"/>
      <c r="CI401" s="643"/>
      <c r="CJ401" s="643"/>
      <c r="CK401" s="643"/>
      <c r="CL401" s="643"/>
      <c r="CM401" s="643"/>
      <c r="CN401" s="643"/>
      <c r="CO401" s="643"/>
      <c r="CP401" s="643"/>
      <c r="CQ401" s="643"/>
      <c r="CR401" s="643"/>
      <c r="CS401" s="636" t="s">
        <v>2282</v>
      </c>
      <c r="CT401" s="643"/>
      <c r="CU401" s="643"/>
      <c r="CV401" s="643"/>
      <c r="CW401" s="643"/>
      <c r="CX401" s="643"/>
      <c r="CY401" s="643"/>
      <c r="CZ401" s="643"/>
      <c r="DA401" s="643"/>
      <c r="DB401" s="643"/>
      <c r="DC401" s="643"/>
      <c r="DD401" s="643"/>
      <c r="DE401" s="643"/>
    </row>
    <row r="402" spans="34:109" ht="15" hidden="1" customHeight="1">
      <c r="AH402" s="24"/>
      <c r="AI402" s="24"/>
      <c r="AJ402" s="24"/>
      <c r="AK402" s="24"/>
      <c r="AL402" s="630" t="str">
        <f t="shared" si="12"/>
        <v/>
      </c>
      <c r="AM402" s="630" t="str">
        <f t="shared" si="13"/>
        <v/>
      </c>
      <c r="AO402" s="24"/>
      <c r="AP402" s="628">
        <v>400</v>
      </c>
      <c r="AQ402" s="642"/>
      <c r="AR402" s="642"/>
      <c r="AS402" s="642"/>
      <c r="AT402" s="642"/>
      <c r="AU402" s="642"/>
      <c r="AV402" s="642"/>
      <c r="AW402" s="642"/>
      <c r="AX402" s="642"/>
      <c r="AY402" s="642"/>
      <c r="AZ402" s="642"/>
      <c r="BA402" s="642"/>
      <c r="BB402" s="642"/>
      <c r="BC402" s="642"/>
      <c r="BD402" s="642"/>
      <c r="BE402" s="642"/>
      <c r="BF402" s="642"/>
      <c r="BG402" s="642"/>
      <c r="BH402" s="642"/>
      <c r="BI402" s="642"/>
      <c r="BJ402" s="634">
        <v>20399</v>
      </c>
      <c r="BK402" s="642"/>
      <c r="BL402" s="642"/>
      <c r="BM402" s="642"/>
      <c r="BN402" s="642"/>
      <c r="BO402" s="642"/>
      <c r="BP402" s="642"/>
      <c r="BQ402" s="642"/>
      <c r="BR402" s="642"/>
      <c r="BS402" s="642"/>
      <c r="BT402" s="642"/>
      <c r="BU402" s="642"/>
      <c r="BV402" s="642"/>
      <c r="BW402" s="24"/>
      <c r="BX402" s="24"/>
      <c r="BY402" s="24"/>
      <c r="BZ402" s="643"/>
      <c r="CA402" s="643"/>
      <c r="CB402" s="643"/>
      <c r="CC402" s="643"/>
      <c r="CD402" s="643"/>
      <c r="CE402" s="643"/>
      <c r="CF402" s="643"/>
      <c r="CG402" s="643"/>
      <c r="CH402" s="643"/>
      <c r="CI402" s="643"/>
      <c r="CJ402" s="643"/>
      <c r="CK402" s="643"/>
      <c r="CL402" s="643"/>
      <c r="CM402" s="643"/>
      <c r="CN402" s="643"/>
      <c r="CO402" s="643"/>
      <c r="CP402" s="643"/>
      <c r="CQ402" s="643"/>
      <c r="CR402" s="643"/>
      <c r="CS402" s="636" t="s">
        <v>2283</v>
      </c>
      <c r="CT402" s="643"/>
      <c r="CU402" s="643"/>
      <c r="CV402" s="643"/>
      <c r="CW402" s="643"/>
      <c r="CX402" s="643"/>
      <c r="CY402" s="643"/>
      <c r="CZ402" s="643"/>
      <c r="DA402" s="643"/>
      <c r="DB402" s="643"/>
      <c r="DC402" s="643"/>
      <c r="DD402" s="643"/>
      <c r="DE402" s="643"/>
    </row>
    <row r="403" spans="34:109" ht="15" hidden="1" customHeight="1">
      <c r="AH403" s="24"/>
      <c r="AI403" s="24"/>
      <c r="AJ403" s="24"/>
      <c r="AK403" s="24"/>
      <c r="AL403" s="630" t="str">
        <f t="shared" si="12"/>
        <v/>
      </c>
      <c r="AM403" s="630" t="str">
        <f t="shared" si="13"/>
        <v/>
      </c>
      <c r="AO403" s="24"/>
      <c r="AP403" s="628">
        <v>401</v>
      </c>
      <c r="AQ403" s="642"/>
      <c r="AR403" s="642"/>
      <c r="AS403" s="642"/>
      <c r="AT403" s="642"/>
      <c r="AU403" s="642"/>
      <c r="AV403" s="642"/>
      <c r="AW403" s="642"/>
      <c r="AX403" s="642"/>
      <c r="AY403" s="642"/>
      <c r="AZ403" s="642"/>
      <c r="BA403" s="642"/>
      <c r="BB403" s="642"/>
      <c r="BC403" s="642"/>
      <c r="BD403" s="642"/>
      <c r="BE403" s="642"/>
      <c r="BF403" s="642"/>
      <c r="BG403" s="642"/>
      <c r="BH403" s="642"/>
      <c r="BI403" s="642"/>
      <c r="BJ403" s="634">
        <v>20400</v>
      </c>
      <c r="BK403" s="642"/>
      <c r="BL403" s="642"/>
      <c r="BM403" s="642"/>
      <c r="BN403" s="642"/>
      <c r="BO403" s="642"/>
      <c r="BP403" s="642"/>
      <c r="BQ403" s="642"/>
      <c r="BR403" s="642"/>
      <c r="BS403" s="642"/>
      <c r="BT403" s="642"/>
      <c r="BU403" s="642"/>
      <c r="BV403" s="642"/>
      <c r="BW403" s="24"/>
      <c r="BX403" s="24"/>
      <c r="BY403" s="24"/>
      <c r="BZ403" s="643"/>
      <c r="CA403" s="643"/>
      <c r="CB403" s="643"/>
      <c r="CC403" s="643"/>
      <c r="CD403" s="643"/>
      <c r="CE403" s="643"/>
      <c r="CF403" s="643"/>
      <c r="CG403" s="643"/>
      <c r="CH403" s="643"/>
      <c r="CI403" s="643"/>
      <c r="CJ403" s="643"/>
      <c r="CK403" s="643"/>
      <c r="CL403" s="643"/>
      <c r="CM403" s="643"/>
      <c r="CN403" s="643"/>
      <c r="CO403" s="643"/>
      <c r="CP403" s="643"/>
      <c r="CQ403" s="643"/>
      <c r="CR403" s="643"/>
      <c r="CS403" s="636" t="s">
        <v>2284</v>
      </c>
      <c r="CT403" s="643"/>
      <c r="CU403" s="643"/>
      <c r="CV403" s="643"/>
      <c r="CW403" s="643"/>
      <c r="CX403" s="643"/>
      <c r="CY403" s="643"/>
      <c r="CZ403" s="643"/>
      <c r="DA403" s="643"/>
      <c r="DB403" s="643"/>
      <c r="DC403" s="643"/>
      <c r="DD403" s="643"/>
      <c r="DE403" s="643"/>
    </row>
    <row r="404" spans="34:109" ht="15" hidden="1" customHeight="1">
      <c r="AH404" s="24"/>
      <c r="AI404" s="24"/>
      <c r="AJ404" s="24"/>
      <c r="AK404" s="24"/>
      <c r="AL404" s="630" t="str">
        <f t="shared" si="12"/>
        <v/>
      </c>
      <c r="AM404" s="630" t="str">
        <f t="shared" si="13"/>
        <v/>
      </c>
      <c r="AO404" s="24"/>
      <c r="AP404" s="628">
        <v>402</v>
      </c>
      <c r="AQ404" s="642"/>
      <c r="AR404" s="642"/>
      <c r="AS404" s="642"/>
      <c r="AT404" s="642"/>
      <c r="AU404" s="642"/>
      <c r="AV404" s="642"/>
      <c r="AW404" s="642"/>
      <c r="AX404" s="642"/>
      <c r="AY404" s="642"/>
      <c r="AZ404" s="642"/>
      <c r="BA404" s="642"/>
      <c r="BB404" s="642"/>
      <c r="BC404" s="642"/>
      <c r="BD404" s="642"/>
      <c r="BE404" s="642"/>
      <c r="BF404" s="642"/>
      <c r="BG404" s="642"/>
      <c r="BH404" s="642"/>
      <c r="BI404" s="642"/>
      <c r="BJ404" s="634">
        <v>20401</v>
      </c>
      <c r="BK404" s="642"/>
      <c r="BL404" s="642"/>
      <c r="BM404" s="642"/>
      <c r="BN404" s="642"/>
      <c r="BO404" s="642"/>
      <c r="BP404" s="642"/>
      <c r="BQ404" s="642"/>
      <c r="BR404" s="642"/>
      <c r="BS404" s="642"/>
      <c r="BT404" s="642"/>
      <c r="BU404" s="642"/>
      <c r="BV404" s="642"/>
      <c r="BW404" s="24"/>
      <c r="BX404" s="24"/>
      <c r="BY404" s="24"/>
      <c r="BZ404" s="643"/>
      <c r="CA404" s="643"/>
      <c r="CB404" s="643"/>
      <c r="CC404" s="643"/>
      <c r="CD404" s="643"/>
      <c r="CE404" s="643"/>
      <c r="CF404" s="643"/>
      <c r="CG404" s="643"/>
      <c r="CH404" s="643"/>
      <c r="CI404" s="643"/>
      <c r="CJ404" s="643"/>
      <c r="CK404" s="643"/>
      <c r="CL404" s="643"/>
      <c r="CM404" s="643"/>
      <c r="CN404" s="643"/>
      <c r="CO404" s="643"/>
      <c r="CP404" s="643"/>
      <c r="CQ404" s="643"/>
      <c r="CR404" s="643"/>
      <c r="CS404" s="636" t="s">
        <v>2285</v>
      </c>
      <c r="CT404" s="643"/>
      <c r="CU404" s="643"/>
      <c r="CV404" s="643"/>
      <c r="CW404" s="643"/>
      <c r="CX404" s="643"/>
      <c r="CY404" s="643"/>
      <c r="CZ404" s="643"/>
      <c r="DA404" s="643"/>
      <c r="DB404" s="643"/>
      <c r="DC404" s="643"/>
      <c r="DD404" s="643"/>
      <c r="DE404" s="643"/>
    </row>
    <row r="405" spans="34:109" ht="15" hidden="1" customHeight="1">
      <c r="AH405" s="24"/>
      <c r="AI405" s="24"/>
      <c r="AJ405" s="24"/>
      <c r="AK405" s="24"/>
      <c r="AL405" s="630" t="str">
        <f t="shared" si="12"/>
        <v/>
      </c>
      <c r="AM405" s="630" t="str">
        <f t="shared" si="13"/>
        <v/>
      </c>
      <c r="AO405" s="24"/>
      <c r="AP405" s="628">
        <v>403</v>
      </c>
      <c r="AQ405" s="642"/>
      <c r="AR405" s="642"/>
      <c r="AS405" s="642"/>
      <c r="AT405" s="642"/>
      <c r="AU405" s="642"/>
      <c r="AV405" s="642"/>
      <c r="AW405" s="642"/>
      <c r="AX405" s="642"/>
      <c r="AY405" s="642"/>
      <c r="AZ405" s="642"/>
      <c r="BA405" s="642"/>
      <c r="BB405" s="642"/>
      <c r="BC405" s="642"/>
      <c r="BD405" s="642"/>
      <c r="BE405" s="642"/>
      <c r="BF405" s="642"/>
      <c r="BG405" s="642"/>
      <c r="BH405" s="642"/>
      <c r="BI405" s="642"/>
      <c r="BJ405" s="634">
        <v>20402</v>
      </c>
      <c r="BK405" s="642"/>
      <c r="BL405" s="642"/>
      <c r="BM405" s="642"/>
      <c r="BN405" s="642"/>
      <c r="BO405" s="642"/>
      <c r="BP405" s="642"/>
      <c r="BQ405" s="642"/>
      <c r="BR405" s="642"/>
      <c r="BS405" s="642"/>
      <c r="BT405" s="642"/>
      <c r="BU405" s="642"/>
      <c r="BV405" s="642"/>
      <c r="BW405" s="24"/>
      <c r="BX405" s="24"/>
      <c r="BY405" s="24"/>
      <c r="BZ405" s="643"/>
      <c r="CA405" s="643"/>
      <c r="CB405" s="643"/>
      <c r="CC405" s="643"/>
      <c r="CD405" s="643"/>
      <c r="CE405" s="643"/>
      <c r="CF405" s="643"/>
      <c r="CG405" s="643"/>
      <c r="CH405" s="643"/>
      <c r="CI405" s="643"/>
      <c r="CJ405" s="643"/>
      <c r="CK405" s="643"/>
      <c r="CL405" s="643"/>
      <c r="CM405" s="643"/>
      <c r="CN405" s="643"/>
      <c r="CO405" s="643"/>
      <c r="CP405" s="643"/>
      <c r="CQ405" s="643"/>
      <c r="CR405" s="643"/>
      <c r="CS405" s="636" t="s">
        <v>2286</v>
      </c>
      <c r="CT405" s="643"/>
      <c r="CU405" s="643"/>
      <c r="CV405" s="643"/>
      <c r="CW405" s="643"/>
      <c r="CX405" s="643"/>
      <c r="CY405" s="643"/>
      <c r="CZ405" s="643"/>
      <c r="DA405" s="643"/>
      <c r="DB405" s="643"/>
      <c r="DC405" s="643"/>
      <c r="DD405" s="643"/>
      <c r="DE405" s="643"/>
    </row>
    <row r="406" spans="34:109" ht="15" hidden="1" customHeight="1">
      <c r="AH406" s="24"/>
      <c r="AI406" s="24"/>
      <c r="AJ406" s="24"/>
      <c r="AK406" s="24"/>
      <c r="AL406" s="630" t="str">
        <f t="shared" si="12"/>
        <v/>
      </c>
      <c r="AM406" s="630" t="str">
        <f t="shared" si="13"/>
        <v/>
      </c>
      <c r="AO406" s="24"/>
      <c r="AP406" s="628">
        <v>404</v>
      </c>
      <c r="AQ406" s="642"/>
      <c r="AR406" s="642"/>
      <c r="AS406" s="642"/>
      <c r="AT406" s="642"/>
      <c r="AU406" s="642"/>
      <c r="AV406" s="642"/>
      <c r="AW406" s="642"/>
      <c r="AX406" s="642"/>
      <c r="AY406" s="642"/>
      <c r="AZ406" s="642"/>
      <c r="BA406" s="642"/>
      <c r="BB406" s="642"/>
      <c r="BC406" s="642"/>
      <c r="BD406" s="642"/>
      <c r="BE406" s="642"/>
      <c r="BF406" s="642"/>
      <c r="BG406" s="642"/>
      <c r="BH406" s="642"/>
      <c r="BI406" s="642"/>
      <c r="BJ406" s="634">
        <v>20403</v>
      </c>
      <c r="BK406" s="642"/>
      <c r="BL406" s="642"/>
      <c r="BM406" s="642"/>
      <c r="BN406" s="642"/>
      <c r="BO406" s="642"/>
      <c r="BP406" s="642"/>
      <c r="BQ406" s="642"/>
      <c r="BR406" s="642"/>
      <c r="BS406" s="642"/>
      <c r="BT406" s="642"/>
      <c r="BU406" s="642"/>
      <c r="BV406" s="642"/>
      <c r="BW406" s="24"/>
      <c r="BX406" s="24"/>
      <c r="BY406" s="24"/>
      <c r="BZ406" s="643"/>
      <c r="CA406" s="643"/>
      <c r="CB406" s="643"/>
      <c r="CC406" s="643"/>
      <c r="CD406" s="643"/>
      <c r="CE406" s="643"/>
      <c r="CF406" s="643"/>
      <c r="CG406" s="643"/>
      <c r="CH406" s="643"/>
      <c r="CI406" s="643"/>
      <c r="CJ406" s="643"/>
      <c r="CK406" s="643"/>
      <c r="CL406" s="643"/>
      <c r="CM406" s="643"/>
      <c r="CN406" s="643"/>
      <c r="CO406" s="643"/>
      <c r="CP406" s="643"/>
      <c r="CQ406" s="643"/>
      <c r="CR406" s="643"/>
      <c r="CS406" s="636" t="s">
        <v>2287</v>
      </c>
      <c r="CT406" s="643"/>
      <c r="CU406" s="643"/>
      <c r="CV406" s="643"/>
      <c r="CW406" s="643"/>
      <c r="CX406" s="643"/>
      <c r="CY406" s="643"/>
      <c r="CZ406" s="643"/>
      <c r="DA406" s="643"/>
      <c r="DB406" s="643"/>
      <c r="DC406" s="643"/>
      <c r="DD406" s="643"/>
      <c r="DE406" s="643"/>
    </row>
    <row r="407" spans="34:109" ht="15" hidden="1" customHeight="1">
      <c r="AH407" s="24"/>
      <c r="AI407" s="24"/>
      <c r="AJ407" s="24"/>
      <c r="AK407" s="24"/>
      <c r="AL407" s="630" t="str">
        <f t="shared" si="12"/>
        <v/>
      </c>
      <c r="AM407" s="630" t="str">
        <f t="shared" si="13"/>
        <v/>
      </c>
      <c r="AO407" s="24"/>
      <c r="AP407" s="628">
        <v>405</v>
      </c>
      <c r="AQ407" s="642"/>
      <c r="AR407" s="642"/>
      <c r="AS407" s="642"/>
      <c r="AT407" s="642"/>
      <c r="AU407" s="642"/>
      <c r="AV407" s="642"/>
      <c r="AW407" s="642"/>
      <c r="AX407" s="642"/>
      <c r="AY407" s="642"/>
      <c r="AZ407" s="642"/>
      <c r="BA407" s="642"/>
      <c r="BB407" s="642"/>
      <c r="BC407" s="642"/>
      <c r="BD407" s="642"/>
      <c r="BE407" s="642"/>
      <c r="BF407" s="642"/>
      <c r="BG407" s="642"/>
      <c r="BH407" s="642"/>
      <c r="BI407" s="642"/>
      <c r="BJ407" s="634">
        <v>20404</v>
      </c>
      <c r="BK407" s="642"/>
      <c r="BL407" s="642"/>
      <c r="BM407" s="642"/>
      <c r="BN407" s="642"/>
      <c r="BO407" s="642"/>
      <c r="BP407" s="642"/>
      <c r="BQ407" s="642"/>
      <c r="BR407" s="642"/>
      <c r="BS407" s="642"/>
      <c r="BT407" s="642"/>
      <c r="BU407" s="642"/>
      <c r="BV407" s="642"/>
      <c r="BW407" s="24"/>
      <c r="BX407" s="24"/>
      <c r="BY407" s="24"/>
      <c r="BZ407" s="643"/>
      <c r="CA407" s="643"/>
      <c r="CB407" s="643"/>
      <c r="CC407" s="643"/>
      <c r="CD407" s="643"/>
      <c r="CE407" s="643"/>
      <c r="CF407" s="643"/>
      <c r="CG407" s="643"/>
      <c r="CH407" s="643"/>
      <c r="CI407" s="643"/>
      <c r="CJ407" s="643"/>
      <c r="CK407" s="643"/>
      <c r="CL407" s="643"/>
      <c r="CM407" s="643"/>
      <c r="CN407" s="643"/>
      <c r="CO407" s="643"/>
      <c r="CP407" s="643"/>
      <c r="CQ407" s="643"/>
      <c r="CR407" s="643"/>
      <c r="CS407" s="636" t="s">
        <v>2288</v>
      </c>
      <c r="CT407" s="643"/>
      <c r="CU407" s="643"/>
      <c r="CV407" s="643"/>
      <c r="CW407" s="643"/>
      <c r="CX407" s="643"/>
      <c r="CY407" s="643"/>
      <c r="CZ407" s="643"/>
      <c r="DA407" s="643"/>
      <c r="DB407" s="643"/>
      <c r="DC407" s="643"/>
      <c r="DD407" s="643"/>
      <c r="DE407" s="643"/>
    </row>
    <row r="408" spans="34:109" ht="15" hidden="1" customHeight="1">
      <c r="AH408" s="24"/>
      <c r="AI408" s="24"/>
      <c r="AJ408" s="24"/>
      <c r="AK408" s="24"/>
      <c r="AL408" s="630" t="str">
        <f t="shared" si="12"/>
        <v/>
      </c>
      <c r="AM408" s="630" t="str">
        <f t="shared" si="13"/>
        <v/>
      </c>
      <c r="AO408" s="24"/>
      <c r="AP408" s="628">
        <v>406</v>
      </c>
      <c r="AQ408" s="642"/>
      <c r="AR408" s="642"/>
      <c r="AS408" s="642"/>
      <c r="AT408" s="642"/>
      <c r="AU408" s="642"/>
      <c r="AV408" s="642"/>
      <c r="AW408" s="642"/>
      <c r="AX408" s="642"/>
      <c r="AY408" s="642"/>
      <c r="AZ408" s="642"/>
      <c r="BA408" s="642"/>
      <c r="BB408" s="642"/>
      <c r="BC408" s="642"/>
      <c r="BD408" s="642"/>
      <c r="BE408" s="642"/>
      <c r="BF408" s="642"/>
      <c r="BG408" s="642"/>
      <c r="BH408" s="642"/>
      <c r="BI408" s="642"/>
      <c r="BJ408" s="634">
        <v>20405</v>
      </c>
      <c r="BK408" s="642"/>
      <c r="BL408" s="642"/>
      <c r="BM408" s="642"/>
      <c r="BN408" s="642"/>
      <c r="BO408" s="642"/>
      <c r="BP408" s="642"/>
      <c r="BQ408" s="642"/>
      <c r="BR408" s="642"/>
      <c r="BS408" s="642"/>
      <c r="BT408" s="642"/>
      <c r="BU408" s="642"/>
      <c r="BV408" s="642"/>
      <c r="BW408" s="24"/>
      <c r="BX408" s="24"/>
      <c r="BY408" s="24"/>
      <c r="BZ408" s="643"/>
      <c r="CA408" s="643"/>
      <c r="CB408" s="643"/>
      <c r="CC408" s="643"/>
      <c r="CD408" s="643"/>
      <c r="CE408" s="643"/>
      <c r="CF408" s="643"/>
      <c r="CG408" s="643"/>
      <c r="CH408" s="643"/>
      <c r="CI408" s="643"/>
      <c r="CJ408" s="643"/>
      <c r="CK408" s="643"/>
      <c r="CL408" s="643"/>
      <c r="CM408" s="643"/>
      <c r="CN408" s="643"/>
      <c r="CO408" s="643"/>
      <c r="CP408" s="643"/>
      <c r="CQ408" s="643"/>
      <c r="CR408" s="643"/>
      <c r="CS408" s="636" t="s">
        <v>2289</v>
      </c>
      <c r="CT408" s="643"/>
      <c r="CU408" s="643"/>
      <c r="CV408" s="643"/>
      <c r="CW408" s="643"/>
      <c r="CX408" s="643"/>
      <c r="CY408" s="643"/>
      <c r="CZ408" s="643"/>
      <c r="DA408" s="643"/>
      <c r="DB408" s="643"/>
      <c r="DC408" s="643"/>
      <c r="DD408" s="643"/>
      <c r="DE408" s="643"/>
    </row>
    <row r="409" spans="34:109" ht="15" hidden="1" customHeight="1">
      <c r="AH409" s="24"/>
      <c r="AI409" s="24"/>
      <c r="AJ409" s="24"/>
      <c r="AK409" s="24"/>
      <c r="AL409" s="630" t="str">
        <f t="shared" si="12"/>
        <v/>
      </c>
      <c r="AM409" s="630" t="str">
        <f t="shared" si="13"/>
        <v/>
      </c>
      <c r="AO409" s="24"/>
      <c r="AP409" s="628">
        <v>407</v>
      </c>
      <c r="AQ409" s="642"/>
      <c r="AR409" s="642"/>
      <c r="AS409" s="642"/>
      <c r="AT409" s="642"/>
      <c r="AU409" s="642"/>
      <c r="AV409" s="642"/>
      <c r="AW409" s="642"/>
      <c r="AX409" s="642"/>
      <c r="AY409" s="642"/>
      <c r="AZ409" s="642"/>
      <c r="BA409" s="642"/>
      <c r="BB409" s="642"/>
      <c r="BC409" s="642"/>
      <c r="BD409" s="642"/>
      <c r="BE409" s="642"/>
      <c r="BF409" s="642"/>
      <c r="BG409" s="642"/>
      <c r="BH409" s="642"/>
      <c r="BI409" s="642"/>
      <c r="BJ409" s="634">
        <v>20406</v>
      </c>
      <c r="BK409" s="642"/>
      <c r="BL409" s="642"/>
      <c r="BM409" s="642"/>
      <c r="BN409" s="642"/>
      <c r="BO409" s="642"/>
      <c r="BP409" s="642"/>
      <c r="BQ409" s="642"/>
      <c r="BR409" s="642"/>
      <c r="BS409" s="642"/>
      <c r="BT409" s="642"/>
      <c r="BU409" s="642"/>
      <c r="BV409" s="642"/>
      <c r="BW409" s="24"/>
      <c r="BX409" s="24"/>
      <c r="BY409" s="24"/>
      <c r="BZ409" s="643"/>
      <c r="CA409" s="643"/>
      <c r="CB409" s="643"/>
      <c r="CC409" s="643"/>
      <c r="CD409" s="643"/>
      <c r="CE409" s="643"/>
      <c r="CF409" s="643"/>
      <c r="CG409" s="643"/>
      <c r="CH409" s="643"/>
      <c r="CI409" s="643"/>
      <c r="CJ409" s="643"/>
      <c r="CK409" s="643"/>
      <c r="CL409" s="643"/>
      <c r="CM409" s="643"/>
      <c r="CN409" s="643"/>
      <c r="CO409" s="643"/>
      <c r="CP409" s="643"/>
      <c r="CQ409" s="643"/>
      <c r="CR409" s="643"/>
      <c r="CS409" s="636" t="s">
        <v>2290</v>
      </c>
      <c r="CT409" s="643"/>
      <c r="CU409" s="643"/>
      <c r="CV409" s="643"/>
      <c r="CW409" s="643"/>
      <c r="CX409" s="643"/>
      <c r="CY409" s="643"/>
      <c r="CZ409" s="643"/>
      <c r="DA409" s="643"/>
      <c r="DB409" s="643"/>
      <c r="DC409" s="643"/>
      <c r="DD409" s="643"/>
      <c r="DE409" s="643"/>
    </row>
    <row r="410" spans="34:109" ht="15" hidden="1" customHeight="1">
      <c r="AH410" s="24"/>
      <c r="AI410" s="24"/>
      <c r="AJ410" s="24"/>
      <c r="AK410" s="24"/>
      <c r="AL410" s="630" t="str">
        <f t="shared" si="12"/>
        <v/>
      </c>
      <c r="AM410" s="630" t="str">
        <f t="shared" si="13"/>
        <v/>
      </c>
      <c r="AO410" s="24"/>
      <c r="AP410" s="628">
        <v>408</v>
      </c>
      <c r="AQ410" s="642"/>
      <c r="AR410" s="642"/>
      <c r="AS410" s="642"/>
      <c r="AT410" s="642"/>
      <c r="AU410" s="642"/>
      <c r="AV410" s="642"/>
      <c r="AW410" s="642"/>
      <c r="AX410" s="642"/>
      <c r="AY410" s="642"/>
      <c r="AZ410" s="642"/>
      <c r="BA410" s="642"/>
      <c r="BB410" s="642"/>
      <c r="BC410" s="642"/>
      <c r="BD410" s="642"/>
      <c r="BE410" s="642"/>
      <c r="BF410" s="642"/>
      <c r="BG410" s="642"/>
      <c r="BH410" s="642"/>
      <c r="BI410" s="642"/>
      <c r="BJ410" s="634">
        <v>20407</v>
      </c>
      <c r="BK410" s="642"/>
      <c r="BL410" s="642"/>
      <c r="BM410" s="642"/>
      <c r="BN410" s="642"/>
      <c r="BO410" s="642"/>
      <c r="BP410" s="642"/>
      <c r="BQ410" s="642"/>
      <c r="BR410" s="642"/>
      <c r="BS410" s="642"/>
      <c r="BT410" s="642"/>
      <c r="BU410" s="642"/>
      <c r="BV410" s="642"/>
      <c r="BW410" s="24"/>
      <c r="BX410" s="24"/>
      <c r="BY410" s="24"/>
      <c r="BZ410" s="643"/>
      <c r="CA410" s="643"/>
      <c r="CB410" s="643"/>
      <c r="CC410" s="643"/>
      <c r="CD410" s="643"/>
      <c r="CE410" s="643"/>
      <c r="CF410" s="643"/>
      <c r="CG410" s="643"/>
      <c r="CH410" s="643"/>
      <c r="CI410" s="643"/>
      <c r="CJ410" s="643"/>
      <c r="CK410" s="643"/>
      <c r="CL410" s="643"/>
      <c r="CM410" s="643"/>
      <c r="CN410" s="643"/>
      <c r="CO410" s="643"/>
      <c r="CP410" s="643"/>
      <c r="CQ410" s="643"/>
      <c r="CR410" s="643"/>
      <c r="CS410" s="636" t="s">
        <v>2291</v>
      </c>
      <c r="CT410" s="643"/>
      <c r="CU410" s="643"/>
      <c r="CV410" s="643"/>
      <c r="CW410" s="643"/>
      <c r="CX410" s="643"/>
      <c r="CY410" s="643"/>
      <c r="CZ410" s="643"/>
      <c r="DA410" s="643"/>
      <c r="DB410" s="643"/>
      <c r="DC410" s="643"/>
      <c r="DD410" s="643"/>
      <c r="DE410" s="643"/>
    </row>
    <row r="411" spans="34:109" ht="15" hidden="1" customHeight="1">
      <c r="AH411" s="24"/>
      <c r="AI411" s="24"/>
      <c r="AJ411" s="24"/>
      <c r="AK411" s="24"/>
      <c r="AL411" s="630" t="str">
        <f t="shared" si="12"/>
        <v/>
      </c>
      <c r="AM411" s="630" t="str">
        <f t="shared" si="13"/>
        <v/>
      </c>
      <c r="AO411" s="24"/>
      <c r="AP411" s="628">
        <v>409</v>
      </c>
      <c r="AQ411" s="642"/>
      <c r="AR411" s="642"/>
      <c r="AS411" s="642"/>
      <c r="AT411" s="642"/>
      <c r="AU411" s="642"/>
      <c r="AV411" s="642"/>
      <c r="AW411" s="642"/>
      <c r="AX411" s="642"/>
      <c r="AY411" s="642"/>
      <c r="AZ411" s="642"/>
      <c r="BA411" s="642"/>
      <c r="BB411" s="642"/>
      <c r="BC411" s="642"/>
      <c r="BD411" s="642"/>
      <c r="BE411" s="642"/>
      <c r="BF411" s="642"/>
      <c r="BG411" s="642"/>
      <c r="BH411" s="642"/>
      <c r="BI411" s="642"/>
      <c r="BJ411" s="634">
        <v>20408</v>
      </c>
      <c r="BK411" s="642"/>
      <c r="BL411" s="642"/>
      <c r="BM411" s="642"/>
      <c r="BN411" s="642"/>
      <c r="BO411" s="642"/>
      <c r="BP411" s="642"/>
      <c r="BQ411" s="642"/>
      <c r="BR411" s="642"/>
      <c r="BS411" s="642"/>
      <c r="BT411" s="642"/>
      <c r="BU411" s="642"/>
      <c r="BV411" s="642"/>
      <c r="BW411" s="24"/>
      <c r="BX411" s="24"/>
      <c r="BY411" s="24"/>
      <c r="BZ411" s="643"/>
      <c r="CA411" s="643"/>
      <c r="CB411" s="643"/>
      <c r="CC411" s="643"/>
      <c r="CD411" s="643"/>
      <c r="CE411" s="643"/>
      <c r="CF411" s="643"/>
      <c r="CG411" s="643"/>
      <c r="CH411" s="643"/>
      <c r="CI411" s="643"/>
      <c r="CJ411" s="643"/>
      <c r="CK411" s="643"/>
      <c r="CL411" s="643"/>
      <c r="CM411" s="643"/>
      <c r="CN411" s="643"/>
      <c r="CO411" s="643"/>
      <c r="CP411" s="643"/>
      <c r="CQ411" s="643"/>
      <c r="CR411" s="643"/>
      <c r="CS411" s="636" t="s">
        <v>2292</v>
      </c>
      <c r="CT411" s="643"/>
      <c r="CU411" s="643"/>
      <c r="CV411" s="643"/>
      <c r="CW411" s="643"/>
      <c r="CX411" s="643"/>
      <c r="CY411" s="643"/>
      <c r="CZ411" s="643"/>
      <c r="DA411" s="643"/>
      <c r="DB411" s="643"/>
      <c r="DC411" s="643"/>
      <c r="DD411" s="643"/>
      <c r="DE411" s="643"/>
    </row>
    <row r="412" spans="34:109" ht="15" hidden="1" customHeight="1">
      <c r="AH412" s="24"/>
      <c r="AI412" s="24"/>
      <c r="AJ412" s="24"/>
      <c r="AK412" s="24"/>
      <c r="AL412" s="630" t="str">
        <f t="shared" si="12"/>
        <v/>
      </c>
      <c r="AM412" s="630" t="str">
        <f t="shared" si="13"/>
        <v/>
      </c>
      <c r="AO412" s="24"/>
      <c r="AP412" s="628">
        <v>410</v>
      </c>
      <c r="AQ412" s="642"/>
      <c r="AR412" s="642"/>
      <c r="AS412" s="642"/>
      <c r="AT412" s="642"/>
      <c r="AU412" s="642"/>
      <c r="AV412" s="642"/>
      <c r="AW412" s="642"/>
      <c r="AX412" s="642"/>
      <c r="AY412" s="642"/>
      <c r="AZ412" s="642"/>
      <c r="BA412" s="642"/>
      <c r="BB412" s="642"/>
      <c r="BC412" s="642"/>
      <c r="BD412" s="642"/>
      <c r="BE412" s="642"/>
      <c r="BF412" s="642"/>
      <c r="BG412" s="642"/>
      <c r="BH412" s="642"/>
      <c r="BI412" s="642"/>
      <c r="BJ412" s="634">
        <v>20409</v>
      </c>
      <c r="BK412" s="642"/>
      <c r="BL412" s="642"/>
      <c r="BM412" s="642"/>
      <c r="BN412" s="642"/>
      <c r="BO412" s="642"/>
      <c r="BP412" s="642"/>
      <c r="BQ412" s="642"/>
      <c r="BR412" s="642"/>
      <c r="BS412" s="642"/>
      <c r="BT412" s="642"/>
      <c r="BU412" s="642"/>
      <c r="BV412" s="642"/>
      <c r="BW412" s="24"/>
      <c r="BX412" s="24"/>
      <c r="BY412" s="24"/>
      <c r="BZ412" s="643"/>
      <c r="CA412" s="643"/>
      <c r="CB412" s="643"/>
      <c r="CC412" s="643"/>
      <c r="CD412" s="643"/>
      <c r="CE412" s="643"/>
      <c r="CF412" s="643"/>
      <c r="CG412" s="643"/>
      <c r="CH412" s="643"/>
      <c r="CI412" s="643"/>
      <c r="CJ412" s="643"/>
      <c r="CK412" s="643"/>
      <c r="CL412" s="643"/>
      <c r="CM412" s="643"/>
      <c r="CN412" s="643"/>
      <c r="CO412" s="643"/>
      <c r="CP412" s="643"/>
      <c r="CQ412" s="643"/>
      <c r="CR412" s="643"/>
      <c r="CS412" s="636" t="s">
        <v>2293</v>
      </c>
      <c r="CT412" s="643"/>
      <c r="CU412" s="643"/>
      <c r="CV412" s="643"/>
      <c r="CW412" s="643"/>
      <c r="CX412" s="643"/>
      <c r="CY412" s="643"/>
      <c r="CZ412" s="643"/>
      <c r="DA412" s="643"/>
      <c r="DB412" s="643"/>
      <c r="DC412" s="643"/>
      <c r="DD412" s="643"/>
      <c r="DE412" s="643"/>
    </row>
    <row r="413" spans="34:109" ht="15" hidden="1" customHeight="1">
      <c r="AH413" s="24"/>
      <c r="AI413" s="24"/>
      <c r="AJ413" s="24"/>
      <c r="AK413" s="24"/>
      <c r="AL413" s="630" t="str">
        <f t="shared" si="12"/>
        <v/>
      </c>
      <c r="AM413" s="630" t="str">
        <f t="shared" si="13"/>
        <v/>
      </c>
      <c r="AO413" s="24"/>
      <c r="AP413" s="628">
        <v>411</v>
      </c>
      <c r="AQ413" s="642"/>
      <c r="AR413" s="642"/>
      <c r="AS413" s="642"/>
      <c r="AT413" s="642"/>
      <c r="AU413" s="642"/>
      <c r="AV413" s="642"/>
      <c r="AW413" s="642"/>
      <c r="AX413" s="642"/>
      <c r="AY413" s="642"/>
      <c r="AZ413" s="642"/>
      <c r="BA413" s="642"/>
      <c r="BB413" s="642"/>
      <c r="BC413" s="642"/>
      <c r="BD413" s="642"/>
      <c r="BE413" s="642"/>
      <c r="BF413" s="642"/>
      <c r="BG413" s="642"/>
      <c r="BH413" s="642"/>
      <c r="BI413" s="642"/>
      <c r="BJ413" s="634">
        <v>20410</v>
      </c>
      <c r="BK413" s="642"/>
      <c r="BL413" s="642"/>
      <c r="BM413" s="642"/>
      <c r="BN413" s="642"/>
      <c r="BO413" s="642"/>
      <c r="BP413" s="642"/>
      <c r="BQ413" s="642"/>
      <c r="BR413" s="642"/>
      <c r="BS413" s="642"/>
      <c r="BT413" s="642"/>
      <c r="BU413" s="642"/>
      <c r="BV413" s="642"/>
      <c r="BW413" s="24"/>
      <c r="BX413" s="24"/>
      <c r="BY413" s="24"/>
      <c r="BZ413" s="643"/>
      <c r="CA413" s="643"/>
      <c r="CB413" s="643"/>
      <c r="CC413" s="643"/>
      <c r="CD413" s="643"/>
      <c r="CE413" s="643"/>
      <c r="CF413" s="643"/>
      <c r="CG413" s="643"/>
      <c r="CH413" s="643"/>
      <c r="CI413" s="643"/>
      <c r="CJ413" s="643"/>
      <c r="CK413" s="643"/>
      <c r="CL413" s="643"/>
      <c r="CM413" s="643"/>
      <c r="CN413" s="643"/>
      <c r="CO413" s="643"/>
      <c r="CP413" s="643"/>
      <c r="CQ413" s="643"/>
      <c r="CR413" s="643"/>
      <c r="CS413" s="636" t="s">
        <v>2294</v>
      </c>
      <c r="CT413" s="643"/>
      <c r="CU413" s="643"/>
      <c r="CV413" s="643"/>
      <c r="CW413" s="643"/>
      <c r="CX413" s="643"/>
      <c r="CY413" s="643"/>
      <c r="CZ413" s="643"/>
      <c r="DA413" s="643"/>
      <c r="DB413" s="643"/>
      <c r="DC413" s="643"/>
      <c r="DD413" s="643"/>
      <c r="DE413" s="643"/>
    </row>
    <row r="414" spans="34:109" ht="15" hidden="1" customHeight="1">
      <c r="AH414" s="24"/>
      <c r="AI414" s="24"/>
      <c r="AJ414" s="24"/>
      <c r="AK414" s="24"/>
      <c r="AL414" s="630" t="str">
        <f t="shared" si="12"/>
        <v/>
      </c>
      <c r="AM414" s="630" t="str">
        <f t="shared" si="13"/>
        <v/>
      </c>
      <c r="AO414" s="24"/>
      <c r="AP414" s="628">
        <v>412</v>
      </c>
      <c r="AQ414" s="642"/>
      <c r="AR414" s="642"/>
      <c r="AS414" s="642"/>
      <c r="AT414" s="642"/>
      <c r="AU414" s="642"/>
      <c r="AV414" s="642"/>
      <c r="AW414" s="642"/>
      <c r="AX414" s="642"/>
      <c r="AY414" s="642"/>
      <c r="AZ414" s="642"/>
      <c r="BA414" s="642"/>
      <c r="BB414" s="642"/>
      <c r="BC414" s="642"/>
      <c r="BD414" s="642"/>
      <c r="BE414" s="642"/>
      <c r="BF414" s="642"/>
      <c r="BG414" s="642"/>
      <c r="BH414" s="642"/>
      <c r="BI414" s="642"/>
      <c r="BJ414" s="634">
        <v>20411</v>
      </c>
      <c r="BK414" s="642"/>
      <c r="BL414" s="642"/>
      <c r="BM414" s="642"/>
      <c r="BN414" s="642"/>
      <c r="BO414" s="642"/>
      <c r="BP414" s="642"/>
      <c r="BQ414" s="642"/>
      <c r="BR414" s="642"/>
      <c r="BS414" s="642"/>
      <c r="BT414" s="642"/>
      <c r="BU414" s="642"/>
      <c r="BV414" s="642"/>
      <c r="BW414" s="24"/>
      <c r="BX414" s="24"/>
      <c r="BY414" s="24"/>
      <c r="BZ414" s="643"/>
      <c r="CA414" s="643"/>
      <c r="CB414" s="643"/>
      <c r="CC414" s="643"/>
      <c r="CD414" s="643"/>
      <c r="CE414" s="643"/>
      <c r="CF414" s="643"/>
      <c r="CG414" s="643"/>
      <c r="CH414" s="643"/>
      <c r="CI414" s="643"/>
      <c r="CJ414" s="643"/>
      <c r="CK414" s="643"/>
      <c r="CL414" s="643"/>
      <c r="CM414" s="643"/>
      <c r="CN414" s="643"/>
      <c r="CO414" s="643"/>
      <c r="CP414" s="643"/>
      <c r="CQ414" s="643"/>
      <c r="CR414" s="643"/>
      <c r="CS414" s="636" t="s">
        <v>2295</v>
      </c>
      <c r="CT414" s="643"/>
      <c r="CU414" s="643"/>
      <c r="CV414" s="643"/>
      <c r="CW414" s="643"/>
      <c r="CX414" s="643"/>
      <c r="CY414" s="643"/>
      <c r="CZ414" s="643"/>
      <c r="DA414" s="643"/>
      <c r="DB414" s="643"/>
      <c r="DC414" s="643"/>
      <c r="DD414" s="643"/>
      <c r="DE414" s="643"/>
    </row>
    <row r="415" spans="34:109" ht="15" hidden="1" customHeight="1">
      <c r="AH415" s="24"/>
      <c r="AI415" s="24"/>
      <c r="AJ415" s="24"/>
      <c r="AK415" s="24"/>
      <c r="AL415" s="630" t="str">
        <f t="shared" si="12"/>
        <v/>
      </c>
      <c r="AM415" s="630" t="str">
        <f t="shared" si="13"/>
        <v/>
      </c>
      <c r="AO415" s="24"/>
      <c r="AP415" s="628">
        <v>413</v>
      </c>
      <c r="AQ415" s="642"/>
      <c r="AR415" s="642"/>
      <c r="AS415" s="642"/>
      <c r="AT415" s="642"/>
      <c r="AU415" s="642"/>
      <c r="AV415" s="642"/>
      <c r="AW415" s="642"/>
      <c r="AX415" s="642"/>
      <c r="AY415" s="642"/>
      <c r="AZ415" s="642"/>
      <c r="BA415" s="642"/>
      <c r="BB415" s="642"/>
      <c r="BC415" s="642"/>
      <c r="BD415" s="642"/>
      <c r="BE415" s="642"/>
      <c r="BF415" s="642"/>
      <c r="BG415" s="642"/>
      <c r="BH415" s="642"/>
      <c r="BI415" s="642"/>
      <c r="BJ415" s="634">
        <v>20412</v>
      </c>
      <c r="BK415" s="642"/>
      <c r="BL415" s="642"/>
      <c r="BM415" s="642"/>
      <c r="BN415" s="642"/>
      <c r="BO415" s="642"/>
      <c r="BP415" s="642"/>
      <c r="BQ415" s="642"/>
      <c r="BR415" s="642"/>
      <c r="BS415" s="642"/>
      <c r="BT415" s="642"/>
      <c r="BU415" s="642"/>
      <c r="BV415" s="642"/>
      <c r="BW415" s="24"/>
      <c r="BX415" s="24"/>
      <c r="BY415" s="24"/>
      <c r="BZ415" s="643"/>
      <c r="CA415" s="643"/>
      <c r="CB415" s="643"/>
      <c r="CC415" s="643"/>
      <c r="CD415" s="643"/>
      <c r="CE415" s="643"/>
      <c r="CF415" s="643"/>
      <c r="CG415" s="643"/>
      <c r="CH415" s="643"/>
      <c r="CI415" s="643"/>
      <c r="CJ415" s="643"/>
      <c r="CK415" s="643"/>
      <c r="CL415" s="643"/>
      <c r="CM415" s="643"/>
      <c r="CN415" s="643"/>
      <c r="CO415" s="643"/>
      <c r="CP415" s="643"/>
      <c r="CQ415" s="643"/>
      <c r="CR415" s="643"/>
      <c r="CS415" s="636" t="s">
        <v>2296</v>
      </c>
      <c r="CT415" s="643"/>
      <c r="CU415" s="643"/>
      <c r="CV415" s="643"/>
      <c r="CW415" s="643"/>
      <c r="CX415" s="643"/>
      <c r="CY415" s="643"/>
      <c r="CZ415" s="643"/>
      <c r="DA415" s="643"/>
      <c r="DB415" s="643"/>
      <c r="DC415" s="643"/>
      <c r="DD415" s="643"/>
      <c r="DE415" s="643"/>
    </row>
    <row r="416" spans="34:109" ht="15" hidden="1" customHeight="1">
      <c r="AH416" s="24"/>
      <c r="AI416" s="24"/>
      <c r="AJ416" s="24"/>
      <c r="AK416" s="24"/>
      <c r="AL416" s="630" t="str">
        <f t="shared" si="12"/>
        <v/>
      </c>
      <c r="AM416" s="630" t="str">
        <f t="shared" si="13"/>
        <v/>
      </c>
      <c r="AO416" s="24"/>
      <c r="AP416" s="628">
        <v>414</v>
      </c>
      <c r="AQ416" s="642"/>
      <c r="AR416" s="642"/>
      <c r="AS416" s="642"/>
      <c r="AT416" s="642"/>
      <c r="AU416" s="642"/>
      <c r="AV416" s="642"/>
      <c r="AW416" s="642"/>
      <c r="AX416" s="642"/>
      <c r="AY416" s="642"/>
      <c r="AZ416" s="642"/>
      <c r="BA416" s="642"/>
      <c r="BB416" s="642"/>
      <c r="BC416" s="642"/>
      <c r="BD416" s="642"/>
      <c r="BE416" s="642"/>
      <c r="BF416" s="642"/>
      <c r="BG416" s="642"/>
      <c r="BH416" s="642"/>
      <c r="BI416" s="642"/>
      <c r="BJ416" s="634">
        <v>20413</v>
      </c>
      <c r="BK416" s="642"/>
      <c r="BL416" s="642"/>
      <c r="BM416" s="642"/>
      <c r="BN416" s="642"/>
      <c r="BO416" s="642"/>
      <c r="BP416" s="642"/>
      <c r="BQ416" s="642"/>
      <c r="BR416" s="642"/>
      <c r="BS416" s="642"/>
      <c r="BT416" s="642"/>
      <c r="BU416" s="642"/>
      <c r="BV416" s="642"/>
      <c r="BW416" s="24"/>
      <c r="BX416" s="24"/>
      <c r="BY416" s="24"/>
      <c r="BZ416" s="643"/>
      <c r="CA416" s="643"/>
      <c r="CB416" s="643"/>
      <c r="CC416" s="643"/>
      <c r="CD416" s="643"/>
      <c r="CE416" s="643"/>
      <c r="CF416" s="643"/>
      <c r="CG416" s="643"/>
      <c r="CH416" s="643"/>
      <c r="CI416" s="643"/>
      <c r="CJ416" s="643"/>
      <c r="CK416" s="643"/>
      <c r="CL416" s="643"/>
      <c r="CM416" s="643"/>
      <c r="CN416" s="643"/>
      <c r="CO416" s="643"/>
      <c r="CP416" s="643"/>
      <c r="CQ416" s="643"/>
      <c r="CR416" s="643"/>
      <c r="CS416" s="636" t="s">
        <v>2297</v>
      </c>
      <c r="CT416" s="643"/>
      <c r="CU416" s="643"/>
      <c r="CV416" s="643"/>
      <c r="CW416" s="643"/>
      <c r="CX416" s="643"/>
      <c r="CY416" s="643"/>
      <c r="CZ416" s="643"/>
      <c r="DA416" s="643"/>
      <c r="DB416" s="643"/>
      <c r="DC416" s="643"/>
      <c r="DD416" s="643"/>
      <c r="DE416" s="643"/>
    </row>
    <row r="417" spans="34:109" ht="15" hidden="1" customHeight="1">
      <c r="AH417" s="24"/>
      <c r="AI417" s="24"/>
      <c r="AJ417" s="24"/>
      <c r="AK417" s="24"/>
      <c r="AL417" s="630" t="str">
        <f t="shared" si="12"/>
        <v/>
      </c>
      <c r="AM417" s="630" t="str">
        <f t="shared" si="13"/>
        <v/>
      </c>
      <c r="AO417" s="24"/>
      <c r="AP417" s="628">
        <v>415</v>
      </c>
      <c r="AQ417" s="642"/>
      <c r="AR417" s="642"/>
      <c r="AS417" s="642"/>
      <c r="AT417" s="642"/>
      <c r="AU417" s="642"/>
      <c r="AV417" s="642"/>
      <c r="AW417" s="642"/>
      <c r="AX417" s="642"/>
      <c r="AY417" s="642"/>
      <c r="AZ417" s="642"/>
      <c r="BA417" s="642"/>
      <c r="BB417" s="642"/>
      <c r="BC417" s="642"/>
      <c r="BD417" s="642"/>
      <c r="BE417" s="642"/>
      <c r="BF417" s="642"/>
      <c r="BG417" s="642"/>
      <c r="BH417" s="642"/>
      <c r="BI417" s="642"/>
      <c r="BJ417" s="634">
        <v>20414</v>
      </c>
      <c r="BK417" s="642"/>
      <c r="BL417" s="642"/>
      <c r="BM417" s="642"/>
      <c r="BN417" s="642"/>
      <c r="BO417" s="642"/>
      <c r="BP417" s="642"/>
      <c r="BQ417" s="642"/>
      <c r="BR417" s="642"/>
      <c r="BS417" s="642"/>
      <c r="BT417" s="642"/>
      <c r="BU417" s="642"/>
      <c r="BV417" s="642"/>
      <c r="BW417" s="24"/>
      <c r="BX417" s="24"/>
      <c r="BY417" s="24"/>
      <c r="BZ417" s="643"/>
      <c r="CA417" s="643"/>
      <c r="CB417" s="643"/>
      <c r="CC417" s="643"/>
      <c r="CD417" s="643"/>
      <c r="CE417" s="643"/>
      <c r="CF417" s="643"/>
      <c r="CG417" s="643"/>
      <c r="CH417" s="643"/>
      <c r="CI417" s="643"/>
      <c r="CJ417" s="643"/>
      <c r="CK417" s="643"/>
      <c r="CL417" s="643"/>
      <c r="CM417" s="643"/>
      <c r="CN417" s="643"/>
      <c r="CO417" s="643"/>
      <c r="CP417" s="643"/>
      <c r="CQ417" s="643"/>
      <c r="CR417" s="643"/>
      <c r="CS417" s="636" t="s">
        <v>2298</v>
      </c>
      <c r="CT417" s="643"/>
      <c r="CU417" s="643"/>
      <c r="CV417" s="643"/>
      <c r="CW417" s="643"/>
      <c r="CX417" s="643"/>
      <c r="CY417" s="643"/>
      <c r="CZ417" s="643"/>
      <c r="DA417" s="643"/>
      <c r="DB417" s="643"/>
      <c r="DC417" s="643"/>
      <c r="DD417" s="643"/>
      <c r="DE417" s="643"/>
    </row>
    <row r="418" spans="34:109" ht="15" hidden="1" customHeight="1">
      <c r="AH418" s="24"/>
      <c r="AI418" s="24"/>
      <c r="AJ418" s="24"/>
      <c r="AK418" s="24"/>
      <c r="AL418" s="630" t="str">
        <f t="shared" si="12"/>
        <v/>
      </c>
      <c r="AM418" s="630" t="str">
        <f t="shared" si="13"/>
        <v/>
      </c>
      <c r="AO418" s="24"/>
      <c r="AP418" s="628">
        <v>416</v>
      </c>
      <c r="AQ418" s="642"/>
      <c r="AR418" s="642"/>
      <c r="AS418" s="642"/>
      <c r="AT418" s="642"/>
      <c r="AU418" s="642"/>
      <c r="AV418" s="642"/>
      <c r="AW418" s="642"/>
      <c r="AX418" s="642"/>
      <c r="AY418" s="642"/>
      <c r="AZ418" s="642"/>
      <c r="BA418" s="642"/>
      <c r="BB418" s="642"/>
      <c r="BC418" s="642"/>
      <c r="BD418" s="642"/>
      <c r="BE418" s="642"/>
      <c r="BF418" s="642"/>
      <c r="BG418" s="642"/>
      <c r="BH418" s="642"/>
      <c r="BI418" s="642"/>
      <c r="BJ418" s="634">
        <v>20415</v>
      </c>
      <c r="BK418" s="642"/>
      <c r="BL418" s="642"/>
      <c r="BM418" s="642"/>
      <c r="BN418" s="642"/>
      <c r="BO418" s="642"/>
      <c r="BP418" s="642"/>
      <c r="BQ418" s="642"/>
      <c r="BR418" s="642"/>
      <c r="BS418" s="642"/>
      <c r="BT418" s="642"/>
      <c r="BU418" s="642"/>
      <c r="BV418" s="642"/>
      <c r="BW418" s="24"/>
      <c r="BX418" s="24"/>
      <c r="BY418" s="24"/>
      <c r="BZ418" s="643"/>
      <c r="CA418" s="643"/>
      <c r="CB418" s="643"/>
      <c r="CC418" s="643"/>
      <c r="CD418" s="643"/>
      <c r="CE418" s="643"/>
      <c r="CF418" s="643"/>
      <c r="CG418" s="643"/>
      <c r="CH418" s="643"/>
      <c r="CI418" s="643"/>
      <c r="CJ418" s="643"/>
      <c r="CK418" s="643"/>
      <c r="CL418" s="643"/>
      <c r="CM418" s="643"/>
      <c r="CN418" s="643"/>
      <c r="CO418" s="643"/>
      <c r="CP418" s="643"/>
      <c r="CQ418" s="643"/>
      <c r="CR418" s="643"/>
      <c r="CS418" s="636" t="s">
        <v>2299</v>
      </c>
      <c r="CT418" s="643"/>
      <c r="CU418" s="643"/>
      <c r="CV418" s="643"/>
      <c r="CW418" s="643"/>
      <c r="CX418" s="643"/>
      <c r="CY418" s="643"/>
      <c r="CZ418" s="643"/>
      <c r="DA418" s="643"/>
      <c r="DB418" s="643"/>
      <c r="DC418" s="643"/>
      <c r="DD418" s="643"/>
      <c r="DE418" s="643"/>
    </row>
    <row r="419" spans="34:109" ht="15" hidden="1" customHeight="1">
      <c r="AH419" s="24"/>
      <c r="AI419" s="24"/>
      <c r="AJ419" s="24"/>
      <c r="AK419" s="24"/>
      <c r="AL419" s="630" t="str">
        <f t="shared" si="12"/>
        <v/>
      </c>
      <c r="AM419" s="630" t="str">
        <f t="shared" si="13"/>
        <v/>
      </c>
      <c r="AO419" s="24"/>
      <c r="AP419" s="628">
        <v>417</v>
      </c>
      <c r="AQ419" s="642"/>
      <c r="AR419" s="642"/>
      <c r="AS419" s="642"/>
      <c r="AT419" s="642"/>
      <c r="AU419" s="642"/>
      <c r="AV419" s="642"/>
      <c r="AW419" s="642"/>
      <c r="AX419" s="642"/>
      <c r="AY419" s="642"/>
      <c r="AZ419" s="642"/>
      <c r="BA419" s="642"/>
      <c r="BB419" s="642"/>
      <c r="BC419" s="642"/>
      <c r="BD419" s="642"/>
      <c r="BE419" s="642"/>
      <c r="BF419" s="642"/>
      <c r="BG419" s="642"/>
      <c r="BH419" s="642"/>
      <c r="BI419" s="642"/>
      <c r="BJ419" s="634">
        <v>20416</v>
      </c>
      <c r="BK419" s="642"/>
      <c r="BL419" s="642"/>
      <c r="BM419" s="642"/>
      <c r="BN419" s="642"/>
      <c r="BO419" s="642"/>
      <c r="BP419" s="642"/>
      <c r="BQ419" s="642"/>
      <c r="BR419" s="642"/>
      <c r="BS419" s="642"/>
      <c r="BT419" s="642"/>
      <c r="BU419" s="642"/>
      <c r="BV419" s="642"/>
      <c r="BW419" s="24"/>
      <c r="BX419" s="24"/>
      <c r="BY419" s="24"/>
      <c r="BZ419" s="643"/>
      <c r="CA419" s="643"/>
      <c r="CB419" s="643"/>
      <c r="CC419" s="643"/>
      <c r="CD419" s="643"/>
      <c r="CE419" s="643"/>
      <c r="CF419" s="643"/>
      <c r="CG419" s="643"/>
      <c r="CH419" s="643"/>
      <c r="CI419" s="643"/>
      <c r="CJ419" s="643"/>
      <c r="CK419" s="643"/>
      <c r="CL419" s="643"/>
      <c r="CM419" s="643"/>
      <c r="CN419" s="643"/>
      <c r="CO419" s="643"/>
      <c r="CP419" s="643"/>
      <c r="CQ419" s="643"/>
      <c r="CR419" s="643"/>
      <c r="CS419" s="636" t="s">
        <v>2300</v>
      </c>
      <c r="CT419" s="643"/>
      <c r="CU419" s="643"/>
      <c r="CV419" s="643"/>
      <c r="CW419" s="643"/>
      <c r="CX419" s="643"/>
      <c r="CY419" s="643"/>
      <c r="CZ419" s="643"/>
      <c r="DA419" s="643"/>
      <c r="DB419" s="643"/>
      <c r="DC419" s="643"/>
      <c r="DD419" s="643"/>
      <c r="DE419" s="643"/>
    </row>
    <row r="420" spans="34:109" ht="15" hidden="1" customHeight="1">
      <c r="AH420" s="24"/>
      <c r="AI420" s="24"/>
      <c r="AJ420" s="24"/>
      <c r="AK420" s="24"/>
      <c r="AL420" s="630" t="str">
        <f t="shared" si="12"/>
        <v/>
      </c>
      <c r="AM420" s="630" t="str">
        <f t="shared" si="13"/>
        <v/>
      </c>
      <c r="AO420" s="24"/>
      <c r="AP420" s="628">
        <v>418</v>
      </c>
      <c r="AQ420" s="642"/>
      <c r="AR420" s="642"/>
      <c r="AS420" s="642"/>
      <c r="AT420" s="642"/>
      <c r="AU420" s="642"/>
      <c r="AV420" s="642"/>
      <c r="AW420" s="642"/>
      <c r="AX420" s="642"/>
      <c r="AY420" s="642"/>
      <c r="AZ420" s="642"/>
      <c r="BA420" s="642"/>
      <c r="BB420" s="642"/>
      <c r="BC420" s="642"/>
      <c r="BD420" s="642"/>
      <c r="BE420" s="642"/>
      <c r="BF420" s="642"/>
      <c r="BG420" s="642"/>
      <c r="BH420" s="642"/>
      <c r="BI420" s="642"/>
      <c r="BJ420" s="634">
        <v>20417</v>
      </c>
      <c r="BK420" s="642"/>
      <c r="BL420" s="642"/>
      <c r="BM420" s="642"/>
      <c r="BN420" s="642"/>
      <c r="BO420" s="642"/>
      <c r="BP420" s="642"/>
      <c r="BQ420" s="642"/>
      <c r="BR420" s="642"/>
      <c r="BS420" s="642"/>
      <c r="BT420" s="642"/>
      <c r="BU420" s="642"/>
      <c r="BV420" s="642"/>
      <c r="BW420" s="24"/>
      <c r="BX420" s="24"/>
      <c r="BY420" s="24"/>
      <c r="BZ420" s="643"/>
      <c r="CA420" s="643"/>
      <c r="CB420" s="643"/>
      <c r="CC420" s="643"/>
      <c r="CD420" s="643"/>
      <c r="CE420" s="643"/>
      <c r="CF420" s="643"/>
      <c r="CG420" s="643"/>
      <c r="CH420" s="643"/>
      <c r="CI420" s="643"/>
      <c r="CJ420" s="643"/>
      <c r="CK420" s="643"/>
      <c r="CL420" s="643"/>
      <c r="CM420" s="643"/>
      <c r="CN420" s="643"/>
      <c r="CO420" s="643"/>
      <c r="CP420" s="643"/>
      <c r="CQ420" s="643"/>
      <c r="CR420" s="643"/>
      <c r="CS420" s="636" t="s">
        <v>2301</v>
      </c>
      <c r="CT420" s="643"/>
      <c r="CU420" s="643"/>
      <c r="CV420" s="643"/>
      <c r="CW420" s="643"/>
      <c r="CX420" s="643"/>
      <c r="CY420" s="643"/>
      <c r="CZ420" s="643"/>
      <c r="DA420" s="643"/>
      <c r="DB420" s="643"/>
      <c r="DC420" s="643"/>
      <c r="DD420" s="643"/>
      <c r="DE420" s="643"/>
    </row>
    <row r="421" spans="34:109" ht="15" hidden="1" customHeight="1">
      <c r="AH421" s="24"/>
      <c r="AI421" s="24"/>
      <c r="AJ421" s="24"/>
      <c r="AK421" s="24"/>
      <c r="AL421" s="630" t="str">
        <f t="shared" si="12"/>
        <v/>
      </c>
      <c r="AM421" s="630" t="str">
        <f t="shared" si="13"/>
        <v/>
      </c>
      <c r="AO421" s="24"/>
      <c r="AP421" s="628">
        <v>419</v>
      </c>
      <c r="AQ421" s="642"/>
      <c r="AR421" s="642"/>
      <c r="AS421" s="642"/>
      <c r="AT421" s="642"/>
      <c r="AU421" s="642"/>
      <c r="AV421" s="642"/>
      <c r="AW421" s="642"/>
      <c r="AX421" s="642"/>
      <c r="AY421" s="642"/>
      <c r="AZ421" s="642"/>
      <c r="BA421" s="642"/>
      <c r="BB421" s="642"/>
      <c r="BC421" s="642"/>
      <c r="BD421" s="642"/>
      <c r="BE421" s="642"/>
      <c r="BF421" s="642"/>
      <c r="BG421" s="642"/>
      <c r="BH421" s="642"/>
      <c r="BI421" s="642"/>
      <c r="BJ421" s="634">
        <v>20418</v>
      </c>
      <c r="BK421" s="642"/>
      <c r="BL421" s="642"/>
      <c r="BM421" s="642"/>
      <c r="BN421" s="642"/>
      <c r="BO421" s="642"/>
      <c r="BP421" s="642"/>
      <c r="BQ421" s="642"/>
      <c r="BR421" s="642"/>
      <c r="BS421" s="642"/>
      <c r="BT421" s="642"/>
      <c r="BU421" s="642"/>
      <c r="BV421" s="642"/>
      <c r="BW421" s="24"/>
      <c r="BX421" s="24"/>
      <c r="BY421" s="24"/>
      <c r="BZ421" s="643"/>
      <c r="CA421" s="643"/>
      <c r="CB421" s="643"/>
      <c r="CC421" s="643"/>
      <c r="CD421" s="643"/>
      <c r="CE421" s="643"/>
      <c r="CF421" s="643"/>
      <c r="CG421" s="643"/>
      <c r="CH421" s="643"/>
      <c r="CI421" s="643"/>
      <c r="CJ421" s="643"/>
      <c r="CK421" s="643"/>
      <c r="CL421" s="643"/>
      <c r="CM421" s="643"/>
      <c r="CN421" s="643"/>
      <c r="CO421" s="643"/>
      <c r="CP421" s="643"/>
      <c r="CQ421" s="643"/>
      <c r="CR421" s="643"/>
      <c r="CS421" s="636" t="s">
        <v>2302</v>
      </c>
      <c r="CT421" s="643"/>
      <c r="CU421" s="643"/>
      <c r="CV421" s="643"/>
      <c r="CW421" s="643"/>
      <c r="CX421" s="643"/>
      <c r="CY421" s="643"/>
      <c r="CZ421" s="643"/>
      <c r="DA421" s="643"/>
      <c r="DB421" s="643"/>
      <c r="DC421" s="643"/>
      <c r="DD421" s="643"/>
      <c r="DE421" s="643"/>
    </row>
    <row r="422" spans="34:109" ht="15" hidden="1" customHeight="1">
      <c r="AH422" s="24"/>
      <c r="AI422" s="24"/>
      <c r="AJ422" s="24"/>
      <c r="AK422" s="24"/>
      <c r="AL422" s="630" t="str">
        <f t="shared" si="12"/>
        <v/>
      </c>
      <c r="AM422" s="630" t="str">
        <f t="shared" si="13"/>
        <v/>
      </c>
      <c r="AO422" s="24"/>
      <c r="AP422" s="628">
        <v>420</v>
      </c>
      <c r="AQ422" s="642"/>
      <c r="AR422" s="642"/>
      <c r="AS422" s="642"/>
      <c r="AT422" s="642"/>
      <c r="AU422" s="642"/>
      <c r="AV422" s="642"/>
      <c r="AW422" s="642"/>
      <c r="AX422" s="642"/>
      <c r="AY422" s="642"/>
      <c r="AZ422" s="642"/>
      <c r="BA422" s="642"/>
      <c r="BB422" s="642"/>
      <c r="BC422" s="642"/>
      <c r="BD422" s="642"/>
      <c r="BE422" s="642"/>
      <c r="BF422" s="642"/>
      <c r="BG422" s="642"/>
      <c r="BH422" s="642"/>
      <c r="BI422" s="642"/>
      <c r="BJ422" s="634">
        <v>20419</v>
      </c>
      <c r="BK422" s="642"/>
      <c r="BL422" s="642"/>
      <c r="BM422" s="642"/>
      <c r="BN422" s="642"/>
      <c r="BO422" s="642"/>
      <c r="BP422" s="642"/>
      <c r="BQ422" s="642"/>
      <c r="BR422" s="642"/>
      <c r="BS422" s="642"/>
      <c r="BT422" s="642"/>
      <c r="BU422" s="642"/>
      <c r="BV422" s="642"/>
      <c r="BW422" s="24"/>
      <c r="BX422" s="24"/>
      <c r="BY422" s="24"/>
      <c r="BZ422" s="643"/>
      <c r="CA422" s="643"/>
      <c r="CB422" s="643"/>
      <c r="CC422" s="643"/>
      <c r="CD422" s="643"/>
      <c r="CE422" s="643"/>
      <c r="CF422" s="643"/>
      <c r="CG422" s="643"/>
      <c r="CH422" s="643"/>
      <c r="CI422" s="643"/>
      <c r="CJ422" s="643"/>
      <c r="CK422" s="643"/>
      <c r="CL422" s="643"/>
      <c r="CM422" s="643"/>
      <c r="CN422" s="643"/>
      <c r="CO422" s="643"/>
      <c r="CP422" s="643"/>
      <c r="CQ422" s="643"/>
      <c r="CR422" s="643"/>
      <c r="CS422" s="636" t="s">
        <v>2303</v>
      </c>
      <c r="CT422" s="643"/>
      <c r="CU422" s="643"/>
      <c r="CV422" s="643"/>
      <c r="CW422" s="643"/>
      <c r="CX422" s="643"/>
      <c r="CY422" s="643"/>
      <c r="CZ422" s="643"/>
      <c r="DA422" s="643"/>
      <c r="DB422" s="643"/>
      <c r="DC422" s="643"/>
      <c r="DD422" s="643"/>
      <c r="DE422" s="643"/>
    </row>
    <row r="423" spans="34:109" ht="15" hidden="1" customHeight="1">
      <c r="AH423" s="24"/>
      <c r="AI423" s="24"/>
      <c r="AJ423" s="24"/>
      <c r="AK423" s="24"/>
      <c r="AL423" s="630" t="str">
        <f t="shared" si="12"/>
        <v/>
      </c>
      <c r="AM423" s="630" t="str">
        <f t="shared" si="13"/>
        <v/>
      </c>
      <c r="AO423" s="24"/>
      <c r="AP423" s="628">
        <v>421</v>
      </c>
      <c r="AQ423" s="642"/>
      <c r="AR423" s="642"/>
      <c r="AS423" s="642"/>
      <c r="AT423" s="642"/>
      <c r="AU423" s="642"/>
      <c r="AV423" s="642"/>
      <c r="AW423" s="642"/>
      <c r="AX423" s="642"/>
      <c r="AY423" s="642"/>
      <c r="AZ423" s="642"/>
      <c r="BA423" s="642"/>
      <c r="BB423" s="642"/>
      <c r="BC423" s="642"/>
      <c r="BD423" s="642"/>
      <c r="BE423" s="642"/>
      <c r="BF423" s="642"/>
      <c r="BG423" s="642"/>
      <c r="BH423" s="642"/>
      <c r="BI423" s="642"/>
      <c r="BJ423" s="634">
        <v>20420</v>
      </c>
      <c r="BK423" s="642"/>
      <c r="BL423" s="642"/>
      <c r="BM423" s="642"/>
      <c r="BN423" s="642"/>
      <c r="BO423" s="642"/>
      <c r="BP423" s="642"/>
      <c r="BQ423" s="642"/>
      <c r="BR423" s="642"/>
      <c r="BS423" s="642"/>
      <c r="BT423" s="642"/>
      <c r="BU423" s="642"/>
      <c r="BV423" s="642"/>
      <c r="BW423" s="24"/>
      <c r="BX423" s="24"/>
      <c r="BY423" s="24"/>
      <c r="BZ423" s="643"/>
      <c r="CA423" s="643"/>
      <c r="CB423" s="643"/>
      <c r="CC423" s="643"/>
      <c r="CD423" s="643"/>
      <c r="CE423" s="643"/>
      <c r="CF423" s="643"/>
      <c r="CG423" s="643"/>
      <c r="CH423" s="643"/>
      <c r="CI423" s="643"/>
      <c r="CJ423" s="643"/>
      <c r="CK423" s="643"/>
      <c r="CL423" s="643"/>
      <c r="CM423" s="643"/>
      <c r="CN423" s="643"/>
      <c r="CO423" s="643"/>
      <c r="CP423" s="643"/>
      <c r="CQ423" s="643"/>
      <c r="CR423" s="643"/>
      <c r="CS423" s="636" t="s">
        <v>2304</v>
      </c>
      <c r="CT423" s="643"/>
      <c r="CU423" s="643"/>
      <c r="CV423" s="643"/>
      <c r="CW423" s="643"/>
      <c r="CX423" s="643"/>
      <c r="CY423" s="643"/>
      <c r="CZ423" s="643"/>
      <c r="DA423" s="643"/>
      <c r="DB423" s="643"/>
      <c r="DC423" s="643"/>
      <c r="DD423" s="643"/>
      <c r="DE423" s="643"/>
    </row>
    <row r="424" spans="34:109" ht="15" hidden="1" customHeight="1">
      <c r="AH424" s="24"/>
      <c r="AI424" s="24"/>
      <c r="AJ424" s="24"/>
      <c r="AK424" s="24"/>
      <c r="AL424" s="630" t="str">
        <f t="shared" si="12"/>
        <v/>
      </c>
      <c r="AM424" s="630" t="str">
        <f t="shared" si="13"/>
        <v/>
      </c>
      <c r="AO424" s="24"/>
      <c r="AP424" s="628">
        <v>422</v>
      </c>
      <c r="AQ424" s="642"/>
      <c r="AR424" s="642"/>
      <c r="AS424" s="642"/>
      <c r="AT424" s="642"/>
      <c r="AU424" s="642"/>
      <c r="AV424" s="642"/>
      <c r="AW424" s="642"/>
      <c r="AX424" s="642"/>
      <c r="AY424" s="642"/>
      <c r="AZ424" s="642"/>
      <c r="BA424" s="642"/>
      <c r="BB424" s="642"/>
      <c r="BC424" s="642"/>
      <c r="BD424" s="642"/>
      <c r="BE424" s="642"/>
      <c r="BF424" s="642"/>
      <c r="BG424" s="642"/>
      <c r="BH424" s="642"/>
      <c r="BI424" s="642"/>
      <c r="BJ424" s="634">
        <v>20421</v>
      </c>
      <c r="BK424" s="642"/>
      <c r="BL424" s="642"/>
      <c r="BM424" s="642"/>
      <c r="BN424" s="642"/>
      <c r="BO424" s="642"/>
      <c r="BP424" s="642"/>
      <c r="BQ424" s="642"/>
      <c r="BR424" s="642"/>
      <c r="BS424" s="642"/>
      <c r="BT424" s="642"/>
      <c r="BU424" s="642"/>
      <c r="BV424" s="642"/>
      <c r="BW424" s="24"/>
      <c r="BX424" s="24"/>
      <c r="BY424" s="24"/>
      <c r="BZ424" s="643"/>
      <c r="CA424" s="643"/>
      <c r="CB424" s="643"/>
      <c r="CC424" s="643"/>
      <c r="CD424" s="643"/>
      <c r="CE424" s="643"/>
      <c r="CF424" s="643"/>
      <c r="CG424" s="643"/>
      <c r="CH424" s="643"/>
      <c r="CI424" s="643"/>
      <c r="CJ424" s="643"/>
      <c r="CK424" s="643"/>
      <c r="CL424" s="643"/>
      <c r="CM424" s="643"/>
      <c r="CN424" s="643"/>
      <c r="CO424" s="643"/>
      <c r="CP424" s="643"/>
      <c r="CQ424" s="643"/>
      <c r="CR424" s="643"/>
      <c r="CS424" s="636" t="s">
        <v>2305</v>
      </c>
      <c r="CT424" s="643"/>
      <c r="CU424" s="643"/>
      <c r="CV424" s="643"/>
      <c r="CW424" s="643"/>
      <c r="CX424" s="643"/>
      <c r="CY424" s="643"/>
      <c r="CZ424" s="643"/>
      <c r="DA424" s="643"/>
      <c r="DB424" s="643"/>
      <c r="DC424" s="643"/>
      <c r="DD424" s="643"/>
      <c r="DE424" s="643"/>
    </row>
    <row r="425" spans="34:109" ht="15" hidden="1" customHeight="1">
      <c r="AH425" s="24"/>
      <c r="AI425" s="24"/>
      <c r="AJ425" s="24"/>
      <c r="AK425" s="24"/>
      <c r="AL425" s="630" t="str">
        <f t="shared" si="12"/>
        <v/>
      </c>
      <c r="AM425" s="630" t="str">
        <f t="shared" si="13"/>
        <v/>
      </c>
      <c r="AO425" s="24"/>
      <c r="AP425" s="628">
        <v>423</v>
      </c>
      <c r="AQ425" s="642"/>
      <c r="AR425" s="642"/>
      <c r="AS425" s="642"/>
      <c r="AT425" s="642"/>
      <c r="AU425" s="642"/>
      <c r="AV425" s="642"/>
      <c r="AW425" s="642"/>
      <c r="AX425" s="642"/>
      <c r="AY425" s="642"/>
      <c r="AZ425" s="642"/>
      <c r="BA425" s="642"/>
      <c r="BB425" s="642"/>
      <c r="BC425" s="642"/>
      <c r="BD425" s="642"/>
      <c r="BE425" s="642"/>
      <c r="BF425" s="642"/>
      <c r="BG425" s="642"/>
      <c r="BH425" s="642"/>
      <c r="BI425" s="642"/>
      <c r="BJ425" s="634">
        <v>20422</v>
      </c>
      <c r="BK425" s="642"/>
      <c r="BL425" s="642"/>
      <c r="BM425" s="642"/>
      <c r="BN425" s="642"/>
      <c r="BO425" s="642"/>
      <c r="BP425" s="642"/>
      <c r="BQ425" s="642"/>
      <c r="BR425" s="642"/>
      <c r="BS425" s="642"/>
      <c r="BT425" s="642"/>
      <c r="BU425" s="642"/>
      <c r="BV425" s="642"/>
      <c r="BW425" s="24"/>
      <c r="BX425" s="24"/>
      <c r="BY425" s="24"/>
      <c r="BZ425" s="643"/>
      <c r="CA425" s="643"/>
      <c r="CB425" s="643"/>
      <c r="CC425" s="643"/>
      <c r="CD425" s="643"/>
      <c r="CE425" s="643"/>
      <c r="CF425" s="643"/>
      <c r="CG425" s="643"/>
      <c r="CH425" s="643"/>
      <c r="CI425" s="643"/>
      <c r="CJ425" s="643"/>
      <c r="CK425" s="643"/>
      <c r="CL425" s="643"/>
      <c r="CM425" s="643"/>
      <c r="CN425" s="643"/>
      <c r="CO425" s="643"/>
      <c r="CP425" s="643"/>
      <c r="CQ425" s="643"/>
      <c r="CR425" s="643"/>
      <c r="CS425" s="636" t="s">
        <v>2306</v>
      </c>
      <c r="CT425" s="643"/>
      <c r="CU425" s="643"/>
      <c r="CV425" s="643"/>
      <c r="CW425" s="643"/>
      <c r="CX425" s="643"/>
      <c r="CY425" s="643"/>
      <c r="CZ425" s="643"/>
      <c r="DA425" s="643"/>
      <c r="DB425" s="643"/>
      <c r="DC425" s="643"/>
      <c r="DD425" s="643"/>
      <c r="DE425" s="643"/>
    </row>
    <row r="426" spans="34:109" ht="15" hidden="1" customHeight="1">
      <c r="AH426" s="24"/>
      <c r="AI426" s="24"/>
      <c r="AJ426" s="24"/>
      <c r="AK426" s="24"/>
      <c r="AL426" s="630" t="str">
        <f t="shared" si="12"/>
        <v/>
      </c>
      <c r="AM426" s="630" t="str">
        <f t="shared" si="13"/>
        <v/>
      </c>
      <c r="AO426" s="24"/>
      <c r="AP426" s="628">
        <v>424</v>
      </c>
      <c r="AQ426" s="642"/>
      <c r="AR426" s="642"/>
      <c r="AS426" s="642"/>
      <c r="AT426" s="642"/>
      <c r="AU426" s="642"/>
      <c r="AV426" s="642"/>
      <c r="AW426" s="642"/>
      <c r="AX426" s="642"/>
      <c r="AY426" s="642"/>
      <c r="AZ426" s="642"/>
      <c r="BA426" s="642"/>
      <c r="BB426" s="642"/>
      <c r="BC426" s="642"/>
      <c r="BD426" s="642"/>
      <c r="BE426" s="642"/>
      <c r="BF426" s="642"/>
      <c r="BG426" s="642"/>
      <c r="BH426" s="642"/>
      <c r="BI426" s="642"/>
      <c r="BJ426" s="634">
        <v>20423</v>
      </c>
      <c r="BK426" s="642"/>
      <c r="BL426" s="642"/>
      <c r="BM426" s="642"/>
      <c r="BN426" s="642"/>
      <c r="BO426" s="642"/>
      <c r="BP426" s="642"/>
      <c r="BQ426" s="642"/>
      <c r="BR426" s="642"/>
      <c r="BS426" s="642"/>
      <c r="BT426" s="642"/>
      <c r="BU426" s="642"/>
      <c r="BV426" s="642"/>
      <c r="BW426" s="24"/>
      <c r="BX426" s="24"/>
      <c r="BY426" s="24"/>
      <c r="BZ426" s="643"/>
      <c r="CA426" s="643"/>
      <c r="CB426" s="643"/>
      <c r="CC426" s="643"/>
      <c r="CD426" s="643"/>
      <c r="CE426" s="643"/>
      <c r="CF426" s="643"/>
      <c r="CG426" s="643"/>
      <c r="CH426" s="643"/>
      <c r="CI426" s="643"/>
      <c r="CJ426" s="643"/>
      <c r="CK426" s="643"/>
      <c r="CL426" s="643"/>
      <c r="CM426" s="643"/>
      <c r="CN426" s="643"/>
      <c r="CO426" s="643"/>
      <c r="CP426" s="643"/>
      <c r="CQ426" s="643"/>
      <c r="CR426" s="643"/>
      <c r="CS426" s="636" t="s">
        <v>2307</v>
      </c>
      <c r="CT426" s="643"/>
      <c r="CU426" s="643"/>
      <c r="CV426" s="643"/>
      <c r="CW426" s="643"/>
      <c r="CX426" s="643"/>
      <c r="CY426" s="643"/>
      <c r="CZ426" s="643"/>
      <c r="DA426" s="643"/>
      <c r="DB426" s="643"/>
      <c r="DC426" s="643"/>
      <c r="DD426" s="643"/>
      <c r="DE426" s="643"/>
    </row>
    <row r="427" spans="34:109" ht="15" hidden="1" customHeight="1">
      <c r="AH427" s="24"/>
      <c r="AI427" s="24"/>
      <c r="AJ427" s="24"/>
      <c r="AK427" s="24"/>
      <c r="AL427" s="630" t="str">
        <f t="shared" si="12"/>
        <v/>
      </c>
      <c r="AM427" s="630" t="str">
        <f t="shared" si="13"/>
        <v/>
      </c>
      <c r="AO427" s="24"/>
      <c r="AP427" s="628">
        <v>425</v>
      </c>
      <c r="AQ427" s="642"/>
      <c r="AR427" s="642"/>
      <c r="AS427" s="642"/>
      <c r="AT427" s="642"/>
      <c r="AU427" s="642"/>
      <c r="AV427" s="642"/>
      <c r="AW427" s="642"/>
      <c r="AX427" s="642"/>
      <c r="AY427" s="642"/>
      <c r="AZ427" s="642"/>
      <c r="BA427" s="642"/>
      <c r="BB427" s="642"/>
      <c r="BC427" s="642"/>
      <c r="BD427" s="642"/>
      <c r="BE427" s="642"/>
      <c r="BF427" s="642"/>
      <c r="BG427" s="642"/>
      <c r="BH427" s="642"/>
      <c r="BI427" s="642"/>
      <c r="BJ427" s="634">
        <v>20424</v>
      </c>
      <c r="BK427" s="642"/>
      <c r="BL427" s="642"/>
      <c r="BM427" s="642"/>
      <c r="BN427" s="642"/>
      <c r="BO427" s="642"/>
      <c r="BP427" s="642"/>
      <c r="BQ427" s="642"/>
      <c r="BR427" s="642"/>
      <c r="BS427" s="642"/>
      <c r="BT427" s="642"/>
      <c r="BU427" s="642"/>
      <c r="BV427" s="642"/>
      <c r="BW427" s="24"/>
      <c r="BX427" s="24"/>
      <c r="BY427" s="24"/>
      <c r="BZ427" s="643"/>
      <c r="CA427" s="643"/>
      <c r="CB427" s="643"/>
      <c r="CC427" s="643"/>
      <c r="CD427" s="643"/>
      <c r="CE427" s="643"/>
      <c r="CF427" s="643"/>
      <c r="CG427" s="643"/>
      <c r="CH427" s="643"/>
      <c r="CI427" s="643"/>
      <c r="CJ427" s="643"/>
      <c r="CK427" s="643"/>
      <c r="CL427" s="643"/>
      <c r="CM427" s="643"/>
      <c r="CN427" s="643"/>
      <c r="CO427" s="643"/>
      <c r="CP427" s="643"/>
      <c r="CQ427" s="643"/>
      <c r="CR427" s="643"/>
      <c r="CS427" s="636" t="s">
        <v>2308</v>
      </c>
      <c r="CT427" s="643"/>
      <c r="CU427" s="643"/>
      <c r="CV427" s="643"/>
      <c r="CW427" s="643"/>
      <c r="CX427" s="643"/>
      <c r="CY427" s="643"/>
      <c r="CZ427" s="643"/>
      <c r="DA427" s="643"/>
      <c r="DB427" s="643"/>
      <c r="DC427" s="643"/>
      <c r="DD427" s="643"/>
      <c r="DE427" s="643"/>
    </row>
    <row r="428" spans="34:109" ht="15" hidden="1" customHeight="1">
      <c r="AH428" s="24"/>
      <c r="AI428" s="24"/>
      <c r="AJ428" s="24"/>
      <c r="AK428" s="24"/>
      <c r="AL428" s="630" t="str">
        <f t="shared" si="12"/>
        <v/>
      </c>
      <c r="AM428" s="630" t="str">
        <f t="shared" si="13"/>
        <v/>
      </c>
      <c r="AO428" s="24"/>
      <c r="AP428" s="628">
        <v>426</v>
      </c>
      <c r="AQ428" s="642"/>
      <c r="AR428" s="642"/>
      <c r="AS428" s="642"/>
      <c r="AT428" s="642"/>
      <c r="AU428" s="642"/>
      <c r="AV428" s="642"/>
      <c r="AW428" s="642"/>
      <c r="AX428" s="642"/>
      <c r="AY428" s="642"/>
      <c r="AZ428" s="642"/>
      <c r="BA428" s="642"/>
      <c r="BB428" s="642"/>
      <c r="BC428" s="642"/>
      <c r="BD428" s="642"/>
      <c r="BE428" s="642"/>
      <c r="BF428" s="642"/>
      <c r="BG428" s="642"/>
      <c r="BH428" s="642"/>
      <c r="BI428" s="642"/>
      <c r="BJ428" s="634">
        <v>20425</v>
      </c>
      <c r="BK428" s="642"/>
      <c r="BL428" s="642"/>
      <c r="BM428" s="642"/>
      <c r="BN428" s="642"/>
      <c r="BO428" s="642"/>
      <c r="BP428" s="642"/>
      <c r="BQ428" s="642"/>
      <c r="BR428" s="642"/>
      <c r="BS428" s="642"/>
      <c r="BT428" s="642"/>
      <c r="BU428" s="642"/>
      <c r="BV428" s="642"/>
      <c r="BW428" s="24"/>
      <c r="BX428" s="24"/>
      <c r="BY428" s="24"/>
      <c r="BZ428" s="643"/>
      <c r="CA428" s="643"/>
      <c r="CB428" s="643"/>
      <c r="CC428" s="643"/>
      <c r="CD428" s="643"/>
      <c r="CE428" s="643"/>
      <c r="CF428" s="643"/>
      <c r="CG428" s="643"/>
      <c r="CH428" s="643"/>
      <c r="CI428" s="643"/>
      <c r="CJ428" s="643"/>
      <c r="CK428" s="643"/>
      <c r="CL428" s="643"/>
      <c r="CM428" s="643"/>
      <c r="CN428" s="643"/>
      <c r="CO428" s="643"/>
      <c r="CP428" s="643"/>
      <c r="CQ428" s="643"/>
      <c r="CR428" s="643"/>
      <c r="CS428" s="636" t="s">
        <v>2309</v>
      </c>
      <c r="CT428" s="643"/>
      <c r="CU428" s="643"/>
      <c r="CV428" s="643"/>
      <c r="CW428" s="643"/>
      <c r="CX428" s="643"/>
      <c r="CY428" s="643"/>
      <c r="CZ428" s="643"/>
      <c r="DA428" s="643"/>
      <c r="DB428" s="643"/>
      <c r="DC428" s="643"/>
      <c r="DD428" s="643"/>
      <c r="DE428" s="643"/>
    </row>
    <row r="429" spans="34:109" ht="15" hidden="1" customHeight="1">
      <c r="AH429" s="24"/>
      <c r="AI429" s="24"/>
      <c r="AJ429" s="24"/>
      <c r="AK429" s="24"/>
      <c r="AL429" s="630" t="str">
        <f t="shared" si="12"/>
        <v/>
      </c>
      <c r="AM429" s="630" t="str">
        <f t="shared" si="13"/>
        <v/>
      </c>
      <c r="AO429" s="24"/>
      <c r="AP429" s="628">
        <v>427</v>
      </c>
      <c r="AQ429" s="642"/>
      <c r="AR429" s="642"/>
      <c r="AS429" s="642"/>
      <c r="AT429" s="642"/>
      <c r="AU429" s="642"/>
      <c r="AV429" s="642"/>
      <c r="AW429" s="642"/>
      <c r="AX429" s="642"/>
      <c r="AY429" s="642"/>
      <c r="AZ429" s="642"/>
      <c r="BA429" s="642"/>
      <c r="BB429" s="642"/>
      <c r="BC429" s="642"/>
      <c r="BD429" s="642"/>
      <c r="BE429" s="642"/>
      <c r="BF429" s="642"/>
      <c r="BG429" s="642"/>
      <c r="BH429" s="642"/>
      <c r="BI429" s="642"/>
      <c r="BJ429" s="634">
        <v>20426</v>
      </c>
      <c r="BK429" s="642"/>
      <c r="BL429" s="642"/>
      <c r="BM429" s="642"/>
      <c r="BN429" s="642"/>
      <c r="BO429" s="642"/>
      <c r="BP429" s="642"/>
      <c r="BQ429" s="642"/>
      <c r="BR429" s="642"/>
      <c r="BS429" s="642"/>
      <c r="BT429" s="642"/>
      <c r="BU429" s="642"/>
      <c r="BV429" s="642"/>
      <c r="BW429" s="24"/>
      <c r="BX429" s="24"/>
      <c r="BY429" s="24"/>
      <c r="BZ429" s="643"/>
      <c r="CA429" s="643"/>
      <c r="CB429" s="643"/>
      <c r="CC429" s="643"/>
      <c r="CD429" s="643"/>
      <c r="CE429" s="643"/>
      <c r="CF429" s="643"/>
      <c r="CG429" s="643"/>
      <c r="CH429" s="643"/>
      <c r="CI429" s="643"/>
      <c r="CJ429" s="643"/>
      <c r="CK429" s="643"/>
      <c r="CL429" s="643"/>
      <c r="CM429" s="643"/>
      <c r="CN429" s="643"/>
      <c r="CO429" s="643"/>
      <c r="CP429" s="643"/>
      <c r="CQ429" s="643"/>
      <c r="CR429" s="643"/>
      <c r="CS429" s="636" t="s">
        <v>2310</v>
      </c>
      <c r="CT429" s="643"/>
      <c r="CU429" s="643"/>
      <c r="CV429" s="643"/>
      <c r="CW429" s="643"/>
      <c r="CX429" s="643"/>
      <c r="CY429" s="643"/>
      <c r="CZ429" s="643"/>
      <c r="DA429" s="643"/>
      <c r="DB429" s="643"/>
      <c r="DC429" s="643"/>
      <c r="DD429" s="643"/>
      <c r="DE429" s="643"/>
    </row>
    <row r="430" spans="34:109" ht="15" hidden="1" customHeight="1">
      <c r="AH430" s="24"/>
      <c r="AI430" s="24"/>
      <c r="AJ430" s="24"/>
      <c r="AK430" s="24"/>
      <c r="AL430" s="630" t="str">
        <f t="shared" si="12"/>
        <v/>
      </c>
      <c r="AM430" s="630" t="str">
        <f t="shared" si="13"/>
        <v/>
      </c>
      <c r="AO430" s="24"/>
      <c r="AP430" s="628">
        <v>428</v>
      </c>
      <c r="AQ430" s="642"/>
      <c r="AR430" s="642"/>
      <c r="AS430" s="642"/>
      <c r="AT430" s="642"/>
      <c r="AU430" s="642"/>
      <c r="AV430" s="642"/>
      <c r="AW430" s="642"/>
      <c r="AX430" s="642"/>
      <c r="AY430" s="642"/>
      <c r="AZ430" s="642"/>
      <c r="BA430" s="642"/>
      <c r="BB430" s="642"/>
      <c r="BC430" s="642"/>
      <c r="BD430" s="642"/>
      <c r="BE430" s="642"/>
      <c r="BF430" s="642"/>
      <c r="BG430" s="642"/>
      <c r="BH430" s="642"/>
      <c r="BI430" s="642"/>
      <c r="BJ430" s="634">
        <v>20427</v>
      </c>
      <c r="BK430" s="642"/>
      <c r="BL430" s="642"/>
      <c r="BM430" s="642"/>
      <c r="BN430" s="642"/>
      <c r="BO430" s="642"/>
      <c r="BP430" s="642"/>
      <c r="BQ430" s="642"/>
      <c r="BR430" s="642"/>
      <c r="BS430" s="642"/>
      <c r="BT430" s="642"/>
      <c r="BU430" s="642"/>
      <c r="BV430" s="642"/>
      <c r="BW430" s="24"/>
      <c r="BX430" s="24"/>
      <c r="BY430" s="24"/>
      <c r="BZ430" s="643"/>
      <c r="CA430" s="643"/>
      <c r="CB430" s="643"/>
      <c r="CC430" s="643"/>
      <c r="CD430" s="643"/>
      <c r="CE430" s="643"/>
      <c r="CF430" s="643"/>
      <c r="CG430" s="643"/>
      <c r="CH430" s="643"/>
      <c r="CI430" s="643"/>
      <c r="CJ430" s="643"/>
      <c r="CK430" s="643"/>
      <c r="CL430" s="643"/>
      <c r="CM430" s="643"/>
      <c r="CN430" s="643"/>
      <c r="CO430" s="643"/>
      <c r="CP430" s="643"/>
      <c r="CQ430" s="643"/>
      <c r="CR430" s="643"/>
      <c r="CS430" s="636" t="s">
        <v>2311</v>
      </c>
      <c r="CT430" s="643"/>
      <c r="CU430" s="643"/>
      <c r="CV430" s="643"/>
      <c r="CW430" s="643"/>
      <c r="CX430" s="643"/>
      <c r="CY430" s="643"/>
      <c r="CZ430" s="643"/>
      <c r="DA430" s="643"/>
      <c r="DB430" s="643"/>
      <c r="DC430" s="643"/>
      <c r="DD430" s="643"/>
      <c r="DE430" s="643"/>
    </row>
    <row r="431" spans="34:109" ht="15" hidden="1" customHeight="1">
      <c r="AH431" s="24"/>
      <c r="AI431" s="24"/>
      <c r="AJ431" s="24"/>
      <c r="AK431" s="24"/>
      <c r="AL431" s="630" t="str">
        <f t="shared" si="12"/>
        <v/>
      </c>
      <c r="AM431" s="630" t="str">
        <f t="shared" si="13"/>
        <v/>
      </c>
      <c r="AO431" s="24"/>
      <c r="AP431" s="628">
        <v>429</v>
      </c>
      <c r="AQ431" s="642"/>
      <c r="AR431" s="642"/>
      <c r="AS431" s="642"/>
      <c r="AT431" s="642"/>
      <c r="AU431" s="642"/>
      <c r="AV431" s="642"/>
      <c r="AW431" s="642"/>
      <c r="AX431" s="642"/>
      <c r="AY431" s="642"/>
      <c r="AZ431" s="642"/>
      <c r="BA431" s="642"/>
      <c r="BB431" s="642"/>
      <c r="BC431" s="642"/>
      <c r="BD431" s="642"/>
      <c r="BE431" s="642"/>
      <c r="BF431" s="642"/>
      <c r="BG431" s="642"/>
      <c r="BH431" s="642"/>
      <c r="BI431" s="642"/>
      <c r="BJ431" s="634">
        <v>20428</v>
      </c>
      <c r="BK431" s="642"/>
      <c r="BL431" s="642"/>
      <c r="BM431" s="642"/>
      <c r="BN431" s="642"/>
      <c r="BO431" s="642"/>
      <c r="BP431" s="642"/>
      <c r="BQ431" s="642"/>
      <c r="BR431" s="642"/>
      <c r="BS431" s="642"/>
      <c r="BT431" s="642"/>
      <c r="BU431" s="642"/>
      <c r="BV431" s="642"/>
      <c r="BW431" s="24"/>
      <c r="BX431" s="24"/>
      <c r="BY431" s="24"/>
      <c r="BZ431" s="643"/>
      <c r="CA431" s="643"/>
      <c r="CB431" s="643"/>
      <c r="CC431" s="643"/>
      <c r="CD431" s="643"/>
      <c r="CE431" s="643"/>
      <c r="CF431" s="643"/>
      <c r="CG431" s="643"/>
      <c r="CH431" s="643"/>
      <c r="CI431" s="643"/>
      <c r="CJ431" s="643"/>
      <c r="CK431" s="643"/>
      <c r="CL431" s="643"/>
      <c r="CM431" s="643"/>
      <c r="CN431" s="643"/>
      <c r="CO431" s="643"/>
      <c r="CP431" s="643"/>
      <c r="CQ431" s="643"/>
      <c r="CR431" s="643"/>
      <c r="CS431" s="636" t="s">
        <v>2312</v>
      </c>
      <c r="CT431" s="643"/>
      <c r="CU431" s="643"/>
      <c r="CV431" s="643"/>
      <c r="CW431" s="643"/>
      <c r="CX431" s="643"/>
      <c r="CY431" s="643"/>
      <c r="CZ431" s="643"/>
      <c r="DA431" s="643"/>
      <c r="DB431" s="643"/>
      <c r="DC431" s="643"/>
      <c r="DD431" s="643"/>
      <c r="DE431" s="643"/>
    </row>
    <row r="432" spans="34:109" ht="15" hidden="1" customHeight="1">
      <c r="AH432" s="24"/>
      <c r="AI432" s="24"/>
      <c r="AJ432" s="24"/>
      <c r="AK432" s="24"/>
      <c r="AL432" s="630" t="str">
        <f t="shared" si="12"/>
        <v/>
      </c>
      <c r="AM432" s="630" t="str">
        <f t="shared" si="13"/>
        <v/>
      </c>
      <c r="AO432" s="24"/>
      <c r="AP432" s="628">
        <v>430</v>
      </c>
      <c r="AQ432" s="642"/>
      <c r="AR432" s="642"/>
      <c r="AS432" s="642"/>
      <c r="AT432" s="642"/>
      <c r="AU432" s="642"/>
      <c r="AV432" s="642"/>
      <c r="AW432" s="642"/>
      <c r="AX432" s="642"/>
      <c r="AY432" s="642"/>
      <c r="AZ432" s="642"/>
      <c r="BA432" s="642"/>
      <c r="BB432" s="642"/>
      <c r="BC432" s="642"/>
      <c r="BD432" s="642"/>
      <c r="BE432" s="642"/>
      <c r="BF432" s="642"/>
      <c r="BG432" s="642"/>
      <c r="BH432" s="642"/>
      <c r="BI432" s="642"/>
      <c r="BJ432" s="634">
        <v>20429</v>
      </c>
      <c r="BK432" s="642"/>
      <c r="BL432" s="642"/>
      <c r="BM432" s="642"/>
      <c r="BN432" s="642"/>
      <c r="BO432" s="642"/>
      <c r="BP432" s="642"/>
      <c r="BQ432" s="642"/>
      <c r="BR432" s="642"/>
      <c r="BS432" s="642"/>
      <c r="BT432" s="642"/>
      <c r="BU432" s="642"/>
      <c r="BV432" s="642"/>
      <c r="BW432" s="24"/>
      <c r="BX432" s="24"/>
      <c r="BY432" s="24"/>
      <c r="BZ432" s="643"/>
      <c r="CA432" s="643"/>
      <c r="CB432" s="643"/>
      <c r="CC432" s="643"/>
      <c r="CD432" s="643"/>
      <c r="CE432" s="643"/>
      <c r="CF432" s="643"/>
      <c r="CG432" s="643"/>
      <c r="CH432" s="643"/>
      <c r="CI432" s="643"/>
      <c r="CJ432" s="643"/>
      <c r="CK432" s="643"/>
      <c r="CL432" s="643"/>
      <c r="CM432" s="643"/>
      <c r="CN432" s="643"/>
      <c r="CO432" s="643"/>
      <c r="CP432" s="643"/>
      <c r="CQ432" s="643"/>
      <c r="CR432" s="643"/>
      <c r="CS432" s="636" t="s">
        <v>2313</v>
      </c>
      <c r="CT432" s="643"/>
      <c r="CU432" s="643"/>
      <c r="CV432" s="643"/>
      <c r="CW432" s="643"/>
      <c r="CX432" s="643"/>
      <c r="CY432" s="643"/>
      <c r="CZ432" s="643"/>
      <c r="DA432" s="643"/>
      <c r="DB432" s="643"/>
      <c r="DC432" s="643"/>
      <c r="DD432" s="643"/>
      <c r="DE432" s="643"/>
    </row>
    <row r="433" spans="34:109" ht="15" hidden="1" customHeight="1">
      <c r="AH433" s="24"/>
      <c r="AI433" s="24"/>
      <c r="AJ433" s="24"/>
      <c r="AK433" s="24"/>
      <c r="AL433" s="630" t="str">
        <f t="shared" si="12"/>
        <v/>
      </c>
      <c r="AM433" s="630" t="str">
        <f t="shared" si="13"/>
        <v/>
      </c>
      <c r="AO433" s="24"/>
      <c r="AP433" s="628">
        <v>431</v>
      </c>
      <c r="AQ433" s="642"/>
      <c r="AR433" s="642"/>
      <c r="AS433" s="642"/>
      <c r="AT433" s="642"/>
      <c r="AU433" s="642"/>
      <c r="AV433" s="642"/>
      <c r="AW433" s="642"/>
      <c r="AX433" s="642"/>
      <c r="AY433" s="642"/>
      <c r="AZ433" s="642"/>
      <c r="BA433" s="642"/>
      <c r="BB433" s="642"/>
      <c r="BC433" s="642"/>
      <c r="BD433" s="642"/>
      <c r="BE433" s="642"/>
      <c r="BF433" s="642"/>
      <c r="BG433" s="642"/>
      <c r="BH433" s="642"/>
      <c r="BI433" s="642"/>
      <c r="BJ433" s="634">
        <v>20430</v>
      </c>
      <c r="BK433" s="642"/>
      <c r="BL433" s="642"/>
      <c r="BM433" s="642"/>
      <c r="BN433" s="642"/>
      <c r="BO433" s="642"/>
      <c r="BP433" s="642"/>
      <c r="BQ433" s="642"/>
      <c r="BR433" s="642"/>
      <c r="BS433" s="642"/>
      <c r="BT433" s="642"/>
      <c r="BU433" s="642"/>
      <c r="BV433" s="642"/>
      <c r="BW433" s="24"/>
      <c r="BX433" s="24"/>
      <c r="BY433" s="24"/>
      <c r="BZ433" s="643"/>
      <c r="CA433" s="643"/>
      <c r="CB433" s="643"/>
      <c r="CC433" s="643"/>
      <c r="CD433" s="643"/>
      <c r="CE433" s="643"/>
      <c r="CF433" s="643"/>
      <c r="CG433" s="643"/>
      <c r="CH433" s="643"/>
      <c r="CI433" s="643"/>
      <c r="CJ433" s="643"/>
      <c r="CK433" s="643"/>
      <c r="CL433" s="643"/>
      <c r="CM433" s="643"/>
      <c r="CN433" s="643"/>
      <c r="CO433" s="643"/>
      <c r="CP433" s="643"/>
      <c r="CQ433" s="643"/>
      <c r="CR433" s="643"/>
      <c r="CS433" s="636" t="s">
        <v>2314</v>
      </c>
      <c r="CT433" s="643"/>
      <c r="CU433" s="643"/>
      <c r="CV433" s="643"/>
      <c r="CW433" s="643"/>
      <c r="CX433" s="643"/>
      <c r="CY433" s="643"/>
      <c r="CZ433" s="643"/>
      <c r="DA433" s="643"/>
      <c r="DB433" s="643"/>
      <c r="DC433" s="643"/>
      <c r="DD433" s="643"/>
      <c r="DE433" s="643"/>
    </row>
    <row r="434" spans="34:109" ht="15" hidden="1" customHeight="1">
      <c r="AH434" s="24"/>
      <c r="AI434" s="24"/>
      <c r="AJ434" s="24"/>
      <c r="AK434" s="24"/>
      <c r="AL434" s="630" t="str">
        <f t="shared" si="12"/>
        <v/>
      </c>
      <c r="AM434" s="630" t="str">
        <f t="shared" si="13"/>
        <v/>
      </c>
      <c r="AO434" s="24"/>
      <c r="AP434" s="628">
        <v>432</v>
      </c>
      <c r="AQ434" s="642"/>
      <c r="AR434" s="642"/>
      <c r="AS434" s="642"/>
      <c r="AT434" s="642"/>
      <c r="AU434" s="642"/>
      <c r="AV434" s="642"/>
      <c r="AW434" s="642"/>
      <c r="AX434" s="642"/>
      <c r="AY434" s="642"/>
      <c r="AZ434" s="642"/>
      <c r="BA434" s="642"/>
      <c r="BB434" s="642"/>
      <c r="BC434" s="642"/>
      <c r="BD434" s="642"/>
      <c r="BE434" s="642"/>
      <c r="BF434" s="642"/>
      <c r="BG434" s="642"/>
      <c r="BH434" s="642"/>
      <c r="BI434" s="642"/>
      <c r="BJ434" s="634">
        <v>20431</v>
      </c>
      <c r="BK434" s="642"/>
      <c r="BL434" s="642"/>
      <c r="BM434" s="642"/>
      <c r="BN434" s="642"/>
      <c r="BO434" s="642"/>
      <c r="BP434" s="642"/>
      <c r="BQ434" s="642"/>
      <c r="BR434" s="642"/>
      <c r="BS434" s="642"/>
      <c r="BT434" s="642"/>
      <c r="BU434" s="642"/>
      <c r="BV434" s="642"/>
      <c r="BW434" s="24"/>
      <c r="BX434" s="24"/>
      <c r="BY434" s="24"/>
      <c r="BZ434" s="643"/>
      <c r="CA434" s="643"/>
      <c r="CB434" s="643"/>
      <c r="CC434" s="643"/>
      <c r="CD434" s="643"/>
      <c r="CE434" s="643"/>
      <c r="CF434" s="643"/>
      <c r="CG434" s="643"/>
      <c r="CH434" s="643"/>
      <c r="CI434" s="643"/>
      <c r="CJ434" s="643"/>
      <c r="CK434" s="643"/>
      <c r="CL434" s="643"/>
      <c r="CM434" s="643"/>
      <c r="CN434" s="643"/>
      <c r="CO434" s="643"/>
      <c r="CP434" s="643"/>
      <c r="CQ434" s="643"/>
      <c r="CR434" s="643"/>
      <c r="CS434" s="636" t="s">
        <v>2315</v>
      </c>
      <c r="CT434" s="643"/>
      <c r="CU434" s="643"/>
      <c r="CV434" s="643"/>
      <c r="CW434" s="643"/>
      <c r="CX434" s="643"/>
      <c r="CY434" s="643"/>
      <c r="CZ434" s="643"/>
      <c r="DA434" s="643"/>
      <c r="DB434" s="643"/>
      <c r="DC434" s="643"/>
      <c r="DD434" s="643"/>
      <c r="DE434" s="643"/>
    </row>
    <row r="435" spans="34:109" ht="15" hidden="1" customHeight="1">
      <c r="AH435" s="24"/>
      <c r="AI435" s="24"/>
      <c r="AJ435" s="24"/>
      <c r="AK435" s="24"/>
      <c r="AL435" s="630" t="str">
        <f t="shared" si="12"/>
        <v/>
      </c>
      <c r="AM435" s="630" t="str">
        <f t="shared" si="13"/>
        <v/>
      </c>
      <c r="AO435" s="24"/>
      <c r="AP435" s="628">
        <v>433</v>
      </c>
      <c r="AQ435" s="642"/>
      <c r="AR435" s="642"/>
      <c r="AS435" s="642"/>
      <c r="AT435" s="642"/>
      <c r="AU435" s="642"/>
      <c r="AV435" s="642"/>
      <c r="AW435" s="642"/>
      <c r="AX435" s="642"/>
      <c r="AY435" s="642"/>
      <c r="AZ435" s="642"/>
      <c r="BA435" s="642"/>
      <c r="BB435" s="642"/>
      <c r="BC435" s="642"/>
      <c r="BD435" s="642"/>
      <c r="BE435" s="642"/>
      <c r="BF435" s="642"/>
      <c r="BG435" s="642"/>
      <c r="BH435" s="642"/>
      <c r="BI435" s="642"/>
      <c r="BJ435" s="634">
        <v>20432</v>
      </c>
      <c r="BK435" s="642"/>
      <c r="BL435" s="642"/>
      <c r="BM435" s="642"/>
      <c r="BN435" s="642"/>
      <c r="BO435" s="642"/>
      <c r="BP435" s="642"/>
      <c r="BQ435" s="642"/>
      <c r="BR435" s="642"/>
      <c r="BS435" s="642"/>
      <c r="BT435" s="642"/>
      <c r="BU435" s="642"/>
      <c r="BV435" s="642"/>
      <c r="BW435" s="24"/>
      <c r="BX435" s="24"/>
      <c r="BY435" s="24"/>
      <c r="BZ435" s="643"/>
      <c r="CA435" s="643"/>
      <c r="CB435" s="643"/>
      <c r="CC435" s="643"/>
      <c r="CD435" s="643"/>
      <c r="CE435" s="643"/>
      <c r="CF435" s="643"/>
      <c r="CG435" s="643"/>
      <c r="CH435" s="643"/>
      <c r="CI435" s="643"/>
      <c r="CJ435" s="643"/>
      <c r="CK435" s="643"/>
      <c r="CL435" s="643"/>
      <c r="CM435" s="643"/>
      <c r="CN435" s="643"/>
      <c r="CO435" s="643"/>
      <c r="CP435" s="643"/>
      <c r="CQ435" s="643"/>
      <c r="CR435" s="643"/>
      <c r="CS435" s="636" t="s">
        <v>2316</v>
      </c>
      <c r="CT435" s="643"/>
      <c r="CU435" s="643"/>
      <c r="CV435" s="643"/>
      <c r="CW435" s="643"/>
      <c r="CX435" s="643"/>
      <c r="CY435" s="643"/>
      <c r="CZ435" s="643"/>
      <c r="DA435" s="643"/>
      <c r="DB435" s="643"/>
      <c r="DC435" s="643"/>
      <c r="DD435" s="643"/>
      <c r="DE435" s="643"/>
    </row>
    <row r="436" spans="34:109" ht="15" hidden="1" customHeight="1">
      <c r="AH436" s="24"/>
      <c r="AI436" s="24"/>
      <c r="AJ436" s="24"/>
      <c r="AK436" s="24"/>
      <c r="AL436" s="630" t="str">
        <f t="shared" si="12"/>
        <v/>
      </c>
      <c r="AM436" s="630" t="str">
        <f t="shared" si="13"/>
        <v/>
      </c>
      <c r="AO436" s="24"/>
      <c r="AP436" s="628">
        <v>434</v>
      </c>
      <c r="AQ436" s="642"/>
      <c r="AR436" s="642"/>
      <c r="AS436" s="642"/>
      <c r="AT436" s="642"/>
      <c r="AU436" s="642"/>
      <c r="AV436" s="642"/>
      <c r="AW436" s="642"/>
      <c r="AX436" s="642"/>
      <c r="AY436" s="642"/>
      <c r="AZ436" s="642"/>
      <c r="BA436" s="642"/>
      <c r="BB436" s="642"/>
      <c r="BC436" s="642"/>
      <c r="BD436" s="642"/>
      <c r="BE436" s="642"/>
      <c r="BF436" s="642"/>
      <c r="BG436" s="642"/>
      <c r="BH436" s="642"/>
      <c r="BI436" s="642"/>
      <c r="BJ436" s="634">
        <v>20433</v>
      </c>
      <c r="BK436" s="642"/>
      <c r="BL436" s="642"/>
      <c r="BM436" s="642"/>
      <c r="BN436" s="642"/>
      <c r="BO436" s="642"/>
      <c r="BP436" s="642"/>
      <c r="BQ436" s="642"/>
      <c r="BR436" s="642"/>
      <c r="BS436" s="642"/>
      <c r="BT436" s="642"/>
      <c r="BU436" s="642"/>
      <c r="BV436" s="642"/>
      <c r="BW436" s="24"/>
      <c r="BX436" s="24"/>
      <c r="BY436" s="24"/>
      <c r="BZ436" s="643"/>
      <c r="CA436" s="643"/>
      <c r="CB436" s="643"/>
      <c r="CC436" s="643"/>
      <c r="CD436" s="643"/>
      <c r="CE436" s="643"/>
      <c r="CF436" s="643"/>
      <c r="CG436" s="643"/>
      <c r="CH436" s="643"/>
      <c r="CI436" s="643"/>
      <c r="CJ436" s="643"/>
      <c r="CK436" s="643"/>
      <c r="CL436" s="643"/>
      <c r="CM436" s="643"/>
      <c r="CN436" s="643"/>
      <c r="CO436" s="643"/>
      <c r="CP436" s="643"/>
      <c r="CQ436" s="643"/>
      <c r="CR436" s="643"/>
      <c r="CS436" s="636" t="s">
        <v>2317</v>
      </c>
      <c r="CT436" s="643"/>
      <c r="CU436" s="643"/>
      <c r="CV436" s="643"/>
      <c r="CW436" s="643"/>
      <c r="CX436" s="643"/>
      <c r="CY436" s="643"/>
      <c r="CZ436" s="643"/>
      <c r="DA436" s="643"/>
      <c r="DB436" s="643"/>
      <c r="DC436" s="643"/>
      <c r="DD436" s="643"/>
      <c r="DE436" s="643"/>
    </row>
    <row r="437" spans="34:109" ht="15" hidden="1" customHeight="1">
      <c r="AH437" s="24"/>
      <c r="AI437" s="24"/>
      <c r="AJ437" s="24"/>
      <c r="AK437" s="24"/>
      <c r="AL437" s="630" t="str">
        <f t="shared" si="12"/>
        <v/>
      </c>
      <c r="AM437" s="630" t="str">
        <f t="shared" si="13"/>
        <v/>
      </c>
      <c r="AO437" s="24"/>
      <c r="AP437" s="628">
        <v>435</v>
      </c>
      <c r="AQ437" s="642"/>
      <c r="AR437" s="642"/>
      <c r="AS437" s="642"/>
      <c r="AT437" s="642"/>
      <c r="AU437" s="642"/>
      <c r="AV437" s="642"/>
      <c r="AW437" s="642"/>
      <c r="AX437" s="642"/>
      <c r="AY437" s="642"/>
      <c r="AZ437" s="642"/>
      <c r="BA437" s="642"/>
      <c r="BB437" s="642"/>
      <c r="BC437" s="642"/>
      <c r="BD437" s="642"/>
      <c r="BE437" s="642"/>
      <c r="BF437" s="642"/>
      <c r="BG437" s="642"/>
      <c r="BH437" s="642"/>
      <c r="BI437" s="642"/>
      <c r="BJ437" s="634">
        <v>20434</v>
      </c>
      <c r="BK437" s="642"/>
      <c r="BL437" s="642"/>
      <c r="BM437" s="642"/>
      <c r="BN437" s="642"/>
      <c r="BO437" s="642"/>
      <c r="BP437" s="642"/>
      <c r="BQ437" s="642"/>
      <c r="BR437" s="642"/>
      <c r="BS437" s="642"/>
      <c r="BT437" s="642"/>
      <c r="BU437" s="642"/>
      <c r="BV437" s="642"/>
      <c r="BW437" s="24"/>
      <c r="BX437" s="24"/>
      <c r="BY437" s="24"/>
      <c r="BZ437" s="643"/>
      <c r="CA437" s="643"/>
      <c r="CB437" s="643"/>
      <c r="CC437" s="643"/>
      <c r="CD437" s="643"/>
      <c r="CE437" s="643"/>
      <c r="CF437" s="643"/>
      <c r="CG437" s="643"/>
      <c r="CH437" s="643"/>
      <c r="CI437" s="643"/>
      <c r="CJ437" s="643"/>
      <c r="CK437" s="643"/>
      <c r="CL437" s="643"/>
      <c r="CM437" s="643"/>
      <c r="CN437" s="643"/>
      <c r="CO437" s="643"/>
      <c r="CP437" s="643"/>
      <c r="CQ437" s="643"/>
      <c r="CR437" s="643"/>
      <c r="CS437" s="636" t="s">
        <v>2318</v>
      </c>
      <c r="CT437" s="643"/>
      <c r="CU437" s="643"/>
      <c r="CV437" s="643"/>
      <c r="CW437" s="643"/>
      <c r="CX437" s="643"/>
      <c r="CY437" s="643"/>
      <c r="CZ437" s="643"/>
      <c r="DA437" s="643"/>
      <c r="DB437" s="643"/>
      <c r="DC437" s="643"/>
      <c r="DD437" s="643"/>
      <c r="DE437" s="643"/>
    </row>
    <row r="438" spans="34:109" ht="15" hidden="1" customHeight="1">
      <c r="AH438" s="24"/>
      <c r="AI438" s="24"/>
      <c r="AJ438" s="24"/>
      <c r="AK438" s="24"/>
      <c r="AL438" s="630" t="str">
        <f t="shared" si="12"/>
        <v/>
      </c>
      <c r="AM438" s="630" t="str">
        <f t="shared" si="13"/>
        <v/>
      </c>
      <c r="AO438" s="24"/>
      <c r="AP438" s="628">
        <v>436</v>
      </c>
      <c r="AQ438" s="642"/>
      <c r="AR438" s="642"/>
      <c r="AS438" s="642"/>
      <c r="AT438" s="642"/>
      <c r="AU438" s="642"/>
      <c r="AV438" s="642"/>
      <c r="AW438" s="642"/>
      <c r="AX438" s="642"/>
      <c r="AY438" s="642"/>
      <c r="AZ438" s="642"/>
      <c r="BA438" s="642"/>
      <c r="BB438" s="642"/>
      <c r="BC438" s="642"/>
      <c r="BD438" s="642"/>
      <c r="BE438" s="642"/>
      <c r="BF438" s="642"/>
      <c r="BG438" s="642"/>
      <c r="BH438" s="642"/>
      <c r="BI438" s="642"/>
      <c r="BJ438" s="634">
        <v>20435</v>
      </c>
      <c r="BK438" s="642"/>
      <c r="BL438" s="642"/>
      <c r="BM438" s="642"/>
      <c r="BN438" s="642"/>
      <c r="BO438" s="642"/>
      <c r="BP438" s="642"/>
      <c r="BQ438" s="642"/>
      <c r="BR438" s="642"/>
      <c r="BS438" s="642"/>
      <c r="BT438" s="642"/>
      <c r="BU438" s="642"/>
      <c r="BV438" s="642"/>
      <c r="BW438" s="24"/>
      <c r="BX438" s="24"/>
      <c r="BY438" s="24"/>
      <c r="BZ438" s="643"/>
      <c r="CA438" s="643"/>
      <c r="CB438" s="643"/>
      <c r="CC438" s="643"/>
      <c r="CD438" s="643"/>
      <c r="CE438" s="643"/>
      <c r="CF438" s="643"/>
      <c r="CG438" s="643"/>
      <c r="CH438" s="643"/>
      <c r="CI438" s="643"/>
      <c r="CJ438" s="643"/>
      <c r="CK438" s="643"/>
      <c r="CL438" s="643"/>
      <c r="CM438" s="643"/>
      <c r="CN438" s="643"/>
      <c r="CO438" s="643"/>
      <c r="CP438" s="643"/>
      <c r="CQ438" s="643"/>
      <c r="CR438" s="643"/>
      <c r="CS438" s="636" t="s">
        <v>2319</v>
      </c>
      <c r="CT438" s="643"/>
      <c r="CU438" s="643"/>
      <c r="CV438" s="643"/>
      <c r="CW438" s="643"/>
      <c r="CX438" s="643"/>
      <c r="CY438" s="643"/>
      <c r="CZ438" s="643"/>
      <c r="DA438" s="643"/>
      <c r="DB438" s="643"/>
      <c r="DC438" s="643"/>
      <c r="DD438" s="643"/>
      <c r="DE438" s="643"/>
    </row>
    <row r="439" spans="34:109" ht="15" hidden="1" customHeight="1">
      <c r="AH439" s="628"/>
      <c r="AI439" s="628"/>
      <c r="AJ439" s="628"/>
      <c r="AK439" s="628"/>
      <c r="AL439" s="630" t="str">
        <f t="shared" si="12"/>
        <v/>
      </c>
      <c r="AM439" s="630" t="str">
        <f t="shared" si="13"/>
        <v/>
      </c>
      <c r="AO439" s="628"/>
      <c r="AP439" s="628">
        <v>437</v>
      </c>
      <c r="AQ439" s="634"/>
      <c r="AR439" s="634"/>
      <c r="AS439" s="634"/>
      <c r="AT439" s="634"/>
      <c r="AU439" s="634"/>
      <c r="AV439" s="634"/>
      <c r="AW439" s="634"/>
      <c r="AX439" s="634"/>
      <c r="AY439" s="634"/>
      <c r="AZ439" s="634"/>
      <c r="BA439" s="634"/>
      <c r="BB439" s="634"/>
      <c r="BC439" s="634"/>
      <c r="BD439" s="634"/>
      <c r="BE439" s="634"/>
      <c r="BF439" s="634"/>
      <c r="BG439" s="634"/>
      <c r="BH439" s="634"/>
      <c r="BI439" s="634"/>
      <c r="BJ439" s="634">
        <v>20436</v>
      </c>
      <c r="BK439" s="634"/>
      <c r="BL439" s="634"/>
      <c r="BM439" s="634"/>
      <c r="BN439" s="634"/>
      <c r="BO439" s="634"/>
      <c r="BP439" s="634"/>
      <c r="BQ439" s="634"/>
      <c r="BR439" s="634"/>
      <c r="BS439" s="634"/>
      <c r="BT439" s="634"/>
      <c r="BU439" s="634"/>
      <c r="BV439" s="634"/>
      <c r="BW439" s="628"/>
      <c r="BX439" s="628"/>
      <c r="BY439" s="628"/>
      <c r="BZ439" s="636"/>
      <c r="CA439" s="636"/>
      <c r="CB439" s="636"/>
      <c r="CC439" s="636"/>
      <c r="CD439" s="636"/>
      <c r="CE439" s="636"/>
      <c r="CF439" s="636"/>
      <c r="CG439" s="636"/>
      <c r="CH439" s="636"/>
      <c r="CI439" s="636"/>
      <c r="CJ439" s="636"/>
      <c r="CK439" s="636"/>
      <c r="CL439" s="636"/>
      <c r="CM439" s="636"/>
      <c r="CN439" s="636"/>
      <c r="CO439" s="636"/>
      <c r="CP439" s="636"/>
      <c r="CQ439" s="636"/>
      <c r="CR439" s="636"/>
      <c r="CS439" s="636" t="s">
        <v>2320</v>
      </c>
      <c r="CT439" s="636"/>
      <c r="CU439" s="636"/>
      <c r="CV439" s="636"/>
      <c r="CW439" s="636"/>
      <c r="CX439" s="636"/>
      <c r="CY439" s="636"/>
      <c r="CZ439" s="636"/>
      <c r="DA439" s="636"/>
      <c r="DB439" s="636"/>
      <c r="DC439" s="636"/>
      <c r="DD439" s="636"/>
      <c r="DE439" s="636"/>
    </row>
    <row r="440" spans="34:109" ht="15" hidden="1" customHeight="1">
      <c r="AH440" s="24"/>
      <c r="AI440" s="24"/>
      <c r="AJ440" s="24"/>
      <c r="AK440" s="24"/>
      <c r="AL440" s="630" t="str">
        <f t="shared" si="12"/>
        <v/>
      </c>
      <c r="AM440" s="630" t="str">
        <f t="shared" si="13"/>
        <v/>
      </c>
      <c r="AO440" s="24"/>
      <c r="AP440" s="628">
        <v>438</v>
      </c>
      <c r="AQ440" s="642"/>
      <c r="AR440" s="642"/>
      <c r="AS440" s="642"/>
      <c r="AT440" s="642"/>
      <c r="AU440" s="642"/>
      <c r="AV440" s="642"/>
      <c r="AW440" s="642"/>
      <c r="AX440" s="642"/>
      <c r="AY440" s="642"/>
      <c r="AZ440" s="642"/>
      <c r="BA440" s="642"/>
      <c r="BB440" s="642"/>
      <c r="BC440" s="642"/>
      <c r="BD440" s="642"/>
      <c r="BE440" s="642"/>
      <c r="BF440" s="642"/>
      <c r="BG440" s="642"/>
      <c r="BH440" s="642"/>
      <c r="BI440" s="642"/>
      <c r="BJ440" s="634">
        <v>20437</v>
      </c>
      <c r="BK440" s="642"/>
      <c r="BL440" s="642"/>
      <c r="BM440" s="642"/>
      <c r="BN440" s="642"/>
      <c r="BO440" s="642"/>
      <c r="BP440" s="642"/>
      <c r="BQ440" s="642"/>
      <c r="BR440" s="642"/>
      <c r="BS440" s="642"/>
      <c r="BT440" s="642"/>
      <c r="BU440" s="642"/>
      <c r="BV440" s="642"/>
      <c r="BW440" s="24"/>
      <c r="BX440" s="24"/>
      <c r="BY440" s="24"/>
      <c r="BZ440" s="643"/>
      <c r="CA440" s="643"/>
      <c r="CB440" s="643"/>
      <c r="CC440" s="643"/>
      <c r="CD440" s="643"/>
      <c r="CE440" s="643"/>
      <c r="CF440" s="643"/>
      <c r="CG440" s="643"/>
      <c r="CH440" s="643"/>
      <c r="CI440" s="643"/>
      <c r="CJ440" s="643"/>
      <c r="CK440" s="643"/>
      <c r="CL440" s="643"/>
      <c r="CM440" s="643"/>
      <c r="CN440" s="643"/>
      <c r="CO440" s="643"/>
      <c r="CP440" s="643"/>
      <c r="CQ440" s="643"/>
      <c r="CR440" s="643"/>
      <c r="CS440" s="636" t="s">
        <v>2321</v>
      </c>
      <c r="CT440" s="643"/>
      <c r="CU440" s="643"/>
      <c r="CV440" s="643"/>
      <c r="CW440" s="643"/>
      <c r="CX440" s="643"/>
      <c r="CY440" s="643"/>
      <c r="CZ440" s="643"/>
      <c r="DA440" s="643"/>
      <c r="DB440" s="643"/>
      <c r="DC440" s="643"/>
      <c r="DD440" s="643"/>
      <c r="DE440" s="643"/>
    </row>
    <row r="441" spans="34:109" ht="15" hidden="1" customHeight="1">
      <c r="AH441" s="24"/>
      <c r="AI441" s="24"/>
      <c r="AJ441" s="24"/>
      <c r="AK441" s="24"/>
      <c r="AL441" s="630" t="str">
        <f t="shared" si="12"/>
        <v/>
      </c>
      <c r="AM441" s="630" t="str">
        <f t="shared" si="13"/>
        <v/>
      </c>
      <c r="AO441" s="24"/>
      <c r="AP441" s="628">
        <v>439</v>
      </c>
      <c r="AQ441" s="642"/>
      <c r="AR441" s="642"/>
      <c r="AS441" s="642"/>
      <c r="AT441" s="642"/>
      <c r="AU441" s="642"/>
      <c r="AV441" s="642"/>
      <c r="AW441" s="642"/>
      <c r="AX441" s="642"/>
      <c r="AY441" s="642"/>
      <c r="AZ441" s="642"/>
      <c r="BA441" s="642"/>
      <c r="BB441" s="642"/>
      <c r="BC441" s="642"/>
      <c r="BD441" s="642"/>
      <c r="BE441" s="642"/>
      <c r="BF441" s="642"/>
      <c r="BG441" s="642"/>
      <c r="BH441" s="642"/>
      <c r="BI441" s="642"/>
      <c r="BJ441" s="634">
        <v>20438</v>
      </c>
      <c r="BK441" s="642"/>
      <c r="BL441" s="642"/>
      <c r="BM441" s="642"/>
      <c r="BN441" s="642"/>
      <c r="BO441" s="642"/>
      <c r="BP441" s="642"/>
      <c r="BQ441" s="642"/>
      <c r="BR441" s="642"/>
      <c r="BS441" s="642"/>
      <c r="BT441" s="642"/>
      <c r="BU441" s="642"/>
      <c r="BV441" s="642"/>
      <c r="BW441" s="24"/>
      <c r="BX441" s="24"/>
      <c r="BY441" s="24"/>
      <c r="BZ441" s="643"/>
      <c r="CA441" s="643"/>
      <c r="CB441" s="643"/>
      <c r="CC441" s="643"/>
      <c r="CD441" s="643"/>
      <c r="CE441" s="643"/>
      <c r="CF441" s="643"/>
      <c r="CG441" s="643"/>
      <c r="CH441" s="643"/>
      <c r="CI441" s="643"/>
      <c r="CJ441" s="643"/>
      <c r="CK441" s="643"/>
      <c r="CL441" s="643"/>
      <c r="CM441" s="643"/>
      <c r="CN441" s="643"/>
      <c r="CO441" s="643"/>
      <c r="CP441" s="643"/>
      <c r="CQ441" s="643"/>
      <c r="CR441" s="643"/>
      <c r="CS441" s="636" t="s">
        <v>2322</v>
      </c>
      <c r="CT441" s="643"/>
      <c r="CU441" s="643"/>
      <c r="CV441" s="643"/>
      <c r="CW441" s="643"/>
      <c r="CX441" s="643"/>
      <c r="CY441" s="643"/>
      <c r="CZ441" s="643"/>
      <c r="DA441" s="643"/>
      <c r="DB441" s="643"/>
      <c r="DC441" s="643"/>
      <c r="DD441" s="643"/>
      <c r="DE441" s="643"/>
    </row>
    <row r="442" spans="34:109" ht="15" hidden="1" customHeight="1">
      <c r="AH442" s="24"/>
      <c r="AI442" s="24"/>
      <c r="AJ442" s="24"/>
      <c r="AK442" s="24"/>
      <c r="AL442" s="630" t="str">
        <f t="shared" si="12"/>
        <v/>
      </c>
      <c r="AM442" s="630" t="str">
        <f t="shared" si="13"/>
        <v/>
      </c>
      <c r="AO442" s="24"/>
      <c r="AP442" s="628">
        <v>440</v>
      </c>
      <c r="AQ442" s="642"/>
      <c r="AR442" s="642"/>
      <c r="AS442" s="642"/>
      <c r="AT442" s="642"/>
      <c r="AU442" s="642"/>
      <c r="AV442" s="642"/>
      <c r="AW442" s="642"/>
      <c r="AX442" s="642"/>
      <c r="AY442" s="642"/>
      <c r="AZ442" s="642"/>
      <c r="BA442" s="642"/>
      <c r="BB442" s="642"/>
      <c r="BC442" s="642"/>
      <c r="BD442" s="642"/>
      <c r="BE442" s="642"/>
      <c r="BF442" s="642"/>
      <c r="BG442" s="642"/>
      <c r="BH442" s="642"/>
      <c r="BI442" s="642"/>
      <c r="BJ442" s="634">
        <v>20439</v>
      </c>
      <c r="BK442" s="642"/>
      <c r="BL442" s="642"/>
      <c r="BM442" s="642"/>
      <c r="BN442" s="642"/>
      <c r="BO442" s="642"/>
      <c r="BP442" s="642"/>
      <c r="BQ442" s="642"/>
      <c r="BR442" s="642"/>
      <c r="BS442" s="642"/>
      <c r="BT442" s="642"/>
      <c r="BU442" s="642"/>
      <c r="BV442" s="642"/>
      <c r="BW442" s="24"/>
      <c r="BX442" s="24"/>
      <c r="BY442" s="24"/>
      <c r="BZ442" s="643"/>
      <c r="CA442" s="643"/>
      <c r="CB442" s="643"/>
      <c r="CC442" s="643"/>
      <c r="CD442" s="643"/>
      <c r="CE442" s="643"/>
      <c r="CF442" s="643"/>
      <c r="CG442" s="643"/>
      <c r="CH442" s="643"/>
      <c r="CI442" s="643"/>
      <c r="CJ442" s="643"/>
      <c r="CK442" s="643"/>
      <c r="CL442" s="643"/>
      <c r="CM442" s="643"/>
      <c r="CN442" s="643"/>
      <c r="CO442" s="643"/>
      <c r="CP442" s="643"/>
      <c r="CQ442" s="643"/>
      <c r="CR442" s="643"/>
      <c r="CS442" s="636" t="s">
        <v>2323</v>
      </c>
      <c r="CT442" s="643"/>
      <c r="CU442" s="643"/>
      <c r="CV442" s="643"/>
      <c r="CW442" s="643"/>
      <c r="CX442" s="643"/>
      <c r="CY442" s="643"/>
      <c r="CZ442" s="643"/>
      <c r="DA442" s="643"/>
      <c r="DB442" s="643"/>
      <c r="DC442" s="643"/>
      <c r="DD442" s="643"/>
      <c r="DE442" s="643"/>
    </row>
    <row r="443" spans="34:109" ht="15" hidden="1" customHeight="1">
      <c r="AH443" s="24"/>
      <c r="AI443" s="24"/>
      <c r="AJ443" s="24"/>
      <c r="AK443" s="24"/>
      <c r="AL443" s="630" t="str">
        <f t="shared" si="12"/>
        <v/>
      </c>
      <c r="AM443" s="630" t="str">
        <f t="shared" si="13"/>
        <v/>
      </c>
      <c r="AO443" s="24"/>
      <c r="AP443" s="628">
        <v>441</v>
      </c>
      <c r="AQ443" s="642"/>
      <c r="AR443" s="642"/>
      <c r="AS443" s="642"/>
      <c r="AT443" s="642"/>
      <c r="AU443" s="642"/>
      <c r="AV443" s="642"/>
      <c r="AW443" s="642"/>
      <c r="AX443" s="642"/>
      <c r="AY443" s="642"/>
      <c r="AZ443" s="642"/>
      <c r="BA443" s="642"/>
      <c r="BB443" s="642"/>
      <c r="BC443" s="642"/>
      <c r="BD443" s="642"/>
      <c r="BE443" s="642"/>
      <c r="BF443" s="642"/>
      <c r="BG443" s="642"/>
      <c r="BH443" s="642"/>
      <c r="BI443" s="642"/>
      <c r="BJ443" s="634">
        <v>20440</v>
      </c>
      <c r="BK443" s="642"/>
      <c r="BL443" s="642"/>
      <c r="BM443" s="642"/>
      <c r="BN443" s="642"/>
      <c r="BO443" s="642"/>
      <c r="BP443" s="642"/>
      <c r="BQ443" s="642"/>
      <c r="BR443" s="642"/>
      <c r="BS443" s="642"/>
      <c r="BT443" s="642"/>
      <c r="BU443" s="642"/>
      <c r="BV443" s="642"/>
      <c r="BW443" s="24"/>
      <c r="BX443" s="24"/>
      <c r="BY443" s="24"/>
      <c r="BZ443" s="643"/>
      <c r="CA443" s="643"/>
      <c r="CB443" s="643"/>
      <c r="CC443" s="643"/>
      <c r="CD443" s="643"/>
      <c r="CE443" s="643"/>
      <c r="CF443" s="643"/>
      <c r="CG443" s="643"/>
      <c r="CH443" s="643"/>
      <c r="CI443" s="643"/>
      <c r="CJ443" s="643"/>
      <c r="CK443" s="643"/>
      <c r="CL443" s="643"/>
      <c r="CM443" s="643"/>
      <c r="CN443" s="643"/>
      <c r="CO443" s="643"/>
      <c r="CP443" s="643"/>
      <c r="CQ443" s="643"/>
      <c r="CR443" s="643"/>
      <c r="CS443" s="636" t="s">
        <v>2324</v>
      </c>
      <c r="CT443" s="643"/>
      <c r="CU443" s="643"/>
      <c r="CV443" s="643"/>
      <c r="CW443" s="643"/>
      <c r="CX443" s="643"/>
      <c r="CY443" s="643"/>
      <c r="CZ443" s="643"/>
      <c r="DA443" s="643"/>
      <c r="DB443" s="643"/>
      <c r="DC443" s="643"/>
      <c r="DD443" s="643"/>
      <c r="DE443" s="643"/>
    </row>
    <row r="444" spans="34:109" ht="15" hidden="1" customHeight="1">
      <c r="AH444" s="24"/>
      <c r="AI444" s="24"/>
      <c r="AJ444" s="24"/>
      <c r="AK444" s="24"/>
      <c r="AL444" s="630" t="str">
        <f t="shared" si="12"/>
        <v/>
      </c>
      <c r="AM444" s="630" t="str">
        <f t="shared" si="13"/>
        <v/>
      </c>
      <c r="AO444" s="24"/>
      <c r="AP444" s="628">
        <v>442</v>
      </c>
      <c r="AQ444" s="642"/>
      <c r="AR444" s="642"/>
      <c r="AS444" s="642"/>
      <c r="AT444" s="642"/>
      <c r="AU444" s="642"/>
      <c r="AV444" s="642"/>
      <c r="AW444" s="642"/>
      <c r="AX444" s="642"/>
      <c r="AY444" s="642"/>
      <c r="AZ444" s="642"/>
      <c r="BA444" s="642"/>
      <c r="BB444" s="642"/>
      <c r="BC444" s="642"/>
      <c r="BD444" s="642"/>
      <c r="BE444" s="642"/>
      <c r="BF444" s="642"/>
      <c r="BG444" s="642"/>
      <c r="BH444" s="642"/>
      <c r="BI444" s="642"/>
      <c r="BJ444" s="634">
        <v>20441</v>
      </c>
      <c r="BK444" s="642"/>
      <c r="BL444" s="642"/>
      <c r="BM444" s="642"/>
      <c r="BN444" s="642"/>
      <c r="BO444" s="642"/>
      <c r="BP444" s="642"/>
      <c r="BQ444" s="642"/>
      <c r="BR444" s="642"/>
      <c r="BS444" s="642"/>
      <c r="BT444" s="642"/>
      <c r="BU444" s="642"/>
      <c r="BV444" s="642"/>
      <c r="BW444" s="24"/>
      <c r="BX444" s="24"/>
      <c r="BY444" s="24"/>
      <c r="BZ444" s="643"/>
      <c r="CA444" s="643"/>
      <c r="CB444" s="643"/>
      <c r="CC444" s="643"/>
      <c r="CD444" s="643"/>
      <c r="CE444" s="643"/>
      <c r="CF444" s="643"/>
      <c r="CG444" s="643"/>
      <c r="CH444" s="643"/>
      <c r="CI444" s="643"/>
      <c r="CJ444" s="643"/>
      <c r="CK444" s="643"/>
      <c r="CL444" s="643"/>
      <c r="CM444" s="643"/>
      <c r="CN444" s="643"/>
      <c r="CO444" s="643"/>
      <c r="CP444" s="643"/>
      <c r="CQ444" s="643"/>
      <c r="CR444" s="643"/>
      <c r="CS444" s="636" t="s">
        <v>2325</v>
      </c>
      <c r="CT444" s="643"/>
      <c r="CU444" s="643"/>
      <c r="CV444" s="643"/>
      <c r="CW444" s="643"/>
      <c r="CX444" s="643"/>
      <c r="CY444" s="643"/>
      <c r="CZ444" s="643"/>
      <c r="DA444" s="643"/>
      <c r="DB444" s="643"/>
      <c r="DC444" s="643"/>
      <c r="DD444" s="643"/>
      <c r="DE444" s="643"/>
    </row>
    <row r="445" spans="34:109" ht="15" hidden="1" customHeight="1">
      <c r="AH445" s="24"/>
      <c r="AI445" s="24"/>
      <c r="AJ445" s="24"/>
      <c r="AK445" s="24"/>
      <c r="AL445" s="630" t="str">
        <f t="shared" si="12"/>
        <v/>
      </c>
      <c r="AM445" s="630" t="str">
        <f t="shared" si="13"/>
        <v/>
      </c>
      <c r="AO445" s="24"/>
      <c r="AP445" s="628">
        <v>443</v>
      </c>
      <c r="AQ445" s="642"/>
      <c r="AR445" s="642"/>
      <c r="AS445" s="642"/>
      <c r="AT445" s="642"/>
      <c r="AU445" s="642"/>
      <c r="AV445" s="642"/>
      <c r="AW445" s="642"/>
      <c r="AX445" s="642"/>
      <c r="AY445" s="642"/>
      <c r="AZ445" s="642"/>
      <c r="BA445" s="642"/>
      <c r="BB445" s="642"/>
      <c r="BC445" s="642"/>
      <c r="BD445" s="642"/>
      <c r="BE445" s="642"/>
      <c r="BF445" s="642"/>
      <c r="BG445" s="642"/>
      <c r="BH445" s="642"/>
      <c r="BI445" s="642"/>
      <c r="BJ445" s="634">
        <v>20442</v>
      </c>
      <c r="BK445" s="642"/>
      <c r="BL445" s="642"/>
      <c r="BM445" s="642"/>
      <c r="BN445" s="642"/>
      <c r="BO445" s="642"/>
      <c r="BP445" s="642"/>
      <c r="BQ445" s="642"/>
      <c r="BR445" s="642"/>
      <c r="BS445" s="642"/>
      <c r="BT445" s="642"/>
      <c r="BU445" s="642"/>
      <c r="BV445" s="642"/>
      <c r="BW445" s="24"/>
      <c r="BX445" s="24"/>
      <c r="BY445" s="24"/>
      <c r="BZ445" s="643"/>
      <c r="CA445" s="643"/>
      <c r="CB445" s="643"/>
      <c r="CC445" s="643"/>
      <c r="CD445" s="643"/>
      <c r="CE445" s="643"/>
      <c r="CF445" s="643"/>
      <c r="CG445" s="643"/>
      <c r="CH445" s="643"/>
      <c r="CI445" s="643"/>
      <c r="CJ445" s="643"/>
      <c r="CK445" s="643"/>
      <c r="CL445" s="643"/>
      <c r="CM445" s="643"/>
      <c r="CN445" s="643"/>
      <c r="CO445" s="643"/>
      <c r="CP445" s="643"/>
      <c r="CQ445" s="643"/>
      <c r="CR445" s="643"/>
      <c r="CS445" s="636" t="s">
        <v>2326</v>
      </c>
      <c r="CT445" s="643"/>
      <c r="CU445" s="643"/>
      <c r="CV445" s="643"/>
      <c r="CW445" s="643"/>
      <c r="CX445" s="643"/>
      <c r="CY445" s="643"/>
      <c r="CZ445" s="643"/>
      <c r="DA445" s="643"/>
      <c r="DB445" s="643"/>
      <c r="DC445" s="643"/>
      <c r="DD445" s="643"/>
      <c r="DE445" s="643"/>
    </row>
    <row r="446" spans="34:109" ht="15" hidden="1" customHeight="1">
      <c r="AH446" s="24"/>
      <c r="AI446" s="24"/>
      <c r="AJ446" s="24"/>
      <c r="AK446" s="24"/>
      <c r="AL446" s="630" t="str">
        <f t="shared" si="12"/>
        <v/>
      </c>
      <c r="AM446" s="630" t="str">
        <f t="shared" si="13"/>
        <v/>
      </c>
      <c r="AO446" s="24"/>
      <c r="AP446" s="628">
        <v>444</v>
      </c>
      <c r="AQ446" s="642"/>
      <c r="AR446" s="642"/>
      <c r="AS446" s="642"/>
      <c r="AT446" s="642"/>
      <c r="AU446" s="642"/>
      <c r="AV446" s="642"/>
      <c r="AW446" s="642"/>
      <c r="AX446" s="642"/>
      <c r="AY446" s="642"/>
      <c r="AZ446" s="642"/>
      <c r="BA446" s="642"/>
      <c r="BB446" s="642"/>
      <c r="BC446" s="642"/>
      <c r="BD446" s="642"/>
      <c r="BE446" s="642"/>
      <c r="BF446" s="642"/>
      <c r="BG446" s="642"/>
      <c r="BH446" s="642"/>
      <c r="BI446" s="642"/>
      <c r="BJ446" s="634">
        <v>20443</v>
      </c>
      <c r="BK446" s="642"/>
      <c r="BL446" s="642"/>
      <c r="BM446" s="642"/>
      <c r="BN446" s="642"/>
      <c r="BO446" s="642"/>
      <c r="BP446" s="642"/>
      <c r="BQ446" s="642"/>
      <c r="BR446" s="642"/>
      <c r="BS446" s="642"/>
      <c r="BT446" s="642"/>
      <c r="BU446" s="642"/>
      <c r="BV446" s="642"/>
      <c r="BW446" s="24"/>
      <c r="BX446" s="24"/>
      <c r="BY446" s="24"/>
      <c r="BZ446" s="643"/>
      <c r="CA446" s="643"/>
      <c r="CB446" s="643"/>
      <c r="CC446" s="643"/>
      <c r="CD446" s="643"/>
      <c r="CE446" s="643"/>
      <c r="CF446" s="643"/>
      <c r="CG446" s="643"/>
      <c r="CH446" s="643"/>
      <c r="CI446" s="643"/>
      <c r="CJ446" s="643"/>
      <c r="CK446" s="643"/>
      <c r="CL446" s="643"/>
      <c r="CM446" s="643"/>
      <c r="CN446" s="643"/>
      <c r="CO446" s="643"/>
      <c r="CP446" s="643"/>
      <c r="CQ446" s="643"/>
      <c r="CR446" s="643"/>
      <c r="CS446" s="636" t="s">
        <v>2327</v>
      </c>
      <c r="CT446" s="643"/>
      <c r="CU446" s="643"/>
      <c r="CV446" s="643"/>
      <c r="CW446" s="643"/>
      <c r="CX446" s="643"/>
      <c r="CY446" s="643"/>
      <c r="CZ446" s="643"/>
      <c r="DA446" s="643"/>
      <c r="DB446" s="643"/>
      <c r="DC446" s="643"/>
      <c r="DD446" s="643"/>
      <c r="DE446" s="643"/>
    </row>
    <row r="447" spans="34:109" ht="15" hidden="1" customHeight="1">
      <c r="AH447" s="24"/>
      <c r="AI447" s="24"/>
      <c r="AJ447" s="24"/>
      <c r="AK447" s="24"/>
      <c r="AL447" s="630" t="str">
        <f t="shared" si="12"/>
        <v/>
      </c>
      <c r="AM447" s="630" t="str">
        <f t="shared" si="13"/>
        <v/>
      </c>
      <c r="AO447" s="24"/>
      <c r="AP447" s="628">
        <v>445</v>
      </c>
      <c r="AQ447" s="642"/>
      <c r="AR447" s="642"/>
      <c r="AS447" s="642"/>
      <c r="AT447" s="642"/>
      <c r="AU447" s="642"/>
      <c r="AV447" s="642"/>
      <c r="AW447" s="642"/>
      <c r="AX447" s="642"/>
      <c r="AY447" s="642"/>
      <c r="AZ447" s="642"/>
      <c r="BA447" s="642"/>
      <c r="BB447" s="642"/>
      <c r="BC447" s="642"/>
      <c r="BD447" s="642"/>
      <c r="BE447" s="642"/>
      <c r="BF447" s="642"/>
      <c r="BG447" s="642"/>
      <c r="BH447" s="642"/>
      <c r="BI447" s="642"/>
      <c r="BJ447" s="634">
        <v>20444</v>
      </c>
      <c r="BK447" s="642"/>
      <c r="BL447" s="642"/>
      <c r="BM447" s="642"/>
      <c r="BN447" s="642"/>
      <c r="BO447" s="642"/>
      <c r="BP447" s="642"/>
      <c r="BQ447" s="642"/>
      <c r="BR447" s="642"/>
      <c r="BS447" s="642"/>
      <c r="BT447" s="642"/>
      <c r="BU447" s="642"/>
      <c r="BV447" s="642"/>
      <c r="BW447" s="24"/>
      <c r="BX447" s="24"/>
      <c r="BY447" s="24"/>
      <c r="BZ447" s="643"/>
      <c r="CA447" s="643"/>
      <c r="CB447" s="643"/>
      <c r="CC447" s="643"/>
      <c r="CD447" s="643"/>
      <c r="CE447" s="643"/>
      <c r="CF447" s="643"/>
      <c r="CG447" s="643"/>
      <c r="CH447" s="643"/>
      <c r="CI447" s="643"/>
      <c r="CJ447" s="643"/>
      <c r="CK447" s="643"/>
      <c r="CL447" s="643"/>
      <c r="CM447" s="643"/>
      <c r="CN447" s="643"/>
      <c r="CO447" s="643"/>
      <c r="CP447" s="643"/>
      <c r="CQ447" s="643"/>
      <c r="CR447" s="643"/>
      <c r="CS447" s="636" t="s">
        <v>2328</v>
      </c>
      <c r="CT447" s="643"/>
      <c r="CU447" s="643"/>
      <c r="CV447" s="643"/>
      <c r="CW447" s="643"/>
      <c r="CX447" s="643"/>
      <c r="CY447" s="643"/>
      <c r="CZ447" s="643"/>
      <c r="DA447" s="643"/>
      <c r="DB447" s="643"/>
      <c r="DC447" s="643"/>
      <c r="DD447" s="643"/>
      <c r="DE447" s="643"/>
    </row>
    <row r="448" spans="34:109" ht="15" hidden="1" customHeight="1">
      <c r="AH448" s="24"/>
      <c r="AI448" s="24"/>
      <c r="AJ448" s="24"/>
      <c r="AK448" s="24"/>
      <c r="AL448" s="630" t="str">
        <f t="shared" si="12"/>
        <v/>
      </c>
      <c r="AM448" s="630" t="str">
        <f t="shared" si="13"/>
        <v/>
      </c>
      <c r="AO448" s="24"/>
      <c r="AP448" s="628">
        <v>446</v>
      </c>
      <c r="AQ448" s="642"/>
      <c r="AR448" s="642"/>
      <c r="AS448" s="642"/>
      <c r="AT448" s="642"/>
      <c r="AU448" s="642"/>
      <c r="AV448" s="642"/>
      <c r="AW448" s="642"/>
      <c r="AX448" s="642"/>
      <c r="AY448" s="642"/>
      <c r="AZ448" s="642"/>
      <c r="BA448" s="642"/>
      <c r="BB448" s="642"/>
      <c r="BC448" s="642"/>
      <c r="BD448" s="642"/>
      <c r="BE448" s="642"/>
      <c r="BF448" s="642"/>
      <c r="BG448" s="642"/>
      <c r="BH448" s="642"/>
      <c r="BI448" s="642"/>
      <c r="BJ448" s="634">
        <v>20445</v>
      </c>
      <c r="BK448" s="642"/>
      <c r="BL448" s="642"/>
      <c r="BM448" s="642"/>
      <c r="BN448" s="642"/>
      <c r="BO448" s="642"/>
      <c r="BP448" s="642"/>
      <c r="BQ448" s="642"/>
      <c r="BR448" s="642"/>
      <c r="BS448" s="642"/>
      <c r="BT448" s="642"/>
      <c r="BU448" s="642"/>
      <c r="BV448" s="642"/>
      <c r="BW448" s="24"/>
      <c r="BX448" s="24"/>
      <c r="BY448" s="24"/>
      <c r="BZ448" s="643"/>
      <c r="CA448" s="643"/>
      <c r="CB448" s="643"/>
      <c r="CC448" s="643"/>
      <c r="CD448" s="643"/>
      <c r="CE448" s="643"/>
      <c r="CF448" s="643"/>
      <c r="CG448" s="643"/>
      <c r="CH448" s="643"/>
      <c r="CI448" s="643"/>
      <c r="CJ448" s="643"/>
      <c r="CK448" s="643"/>
      <c r="CL448" s="643"/>
      <c r="CM448" s="643"/>
      <c r="CN448" s="643"/>
      <c r="CO448" s="643"/>
      <c r="CP448" s="643"/>
      <c r="CQ448" s="643"/>
      <c r="CR448" s="643"/>
      <c r="CS448" s="636" t="s">
        <v>2329</v>
      </c>
      <c r="CT448" s="643"/>
      <c r="CU448" s="643"/>
      <c r="CV448" s="643"/>
      <c r="CW448" s="643"/>
      <c r="CX448" s="643"/>
      <c r="CY448" s="643"/>
      <c r="CZ448" s="643"/>
      <c r="DA448" s="643"/>
      <c r="DB448" s="643"/>
      <c r="DC448" s="643"/>
      <c r="DD448" s="643"/>
      <c r="DE448" s="643"/>
    </row>
    <row r="449" spans="34:109" ht="15" hidden="1" customHeight="1">
      <c r="AH449" s="24"/>
      <c r="AI449" s="24"/>
      <c r="AJ449" s="24"/>
      <c r="AK449" s="24"/>
      <c r="AL449" s="630" t="str">
        <f t="shared" si="12"/>
        <v/>
      </c>
      <c r="AM449" s="630" t="str">
        <f t="shared" si="13"/>
        <v/>
      </c>
      <c r="AO449" s="24"/>
      <c r="AP449" s="628">
        <v>447</v>
      </c>
      <c r="AQ449" s="642"/>
      <c r="AR449" s="642"/>
      <c r="AS449" s="642"/>
      <c r="AT449" s="642"/>
      <c r="AU449" s="642"/>
      <c r="AV449" s="642"/>
      <c r="AW449" s="642"/>
      <c r="AX449" s="642"/>
      <c r="AY449" s="642"/>
      <c r="AZ449" s="642"/>
      <c r="BA449" s="642"/>
      <c r="BB449" s="642"/>
      <c r="BC449" s="642"/>
      <c r="BD449" s="642"/>
      <c r="BE449" s="642"/>
      <c r="BF449" s="642"/>
      <c r="BG449" s="642"/>
      <c r="BH449" s="642"/>
      <c r="BI449" s="642"/>
      <c r="BJ449" s="634">
        <v>20446</v>
      </c>
      <c r="BK449" s="642"/>
      <c r="BL449" s="642"/>
      <c r="BM449" s="642"/>
      <c r="BN449" s="642"/>
      <c r="BO449" s="642"/>
      <c r="BP449" s="642"/>
      <c r="BQ449" s="642"/>
      <c r="BR449" s="642"/>
      <c r="BS449" s="642"/>
      <c r="BT449" s="642"/>
      <c r="BU449" s="642"/>
      <c r="BV449" s="642"/>
      <c r="BW449" s="24"/>
      <c r="BX449" s="24"/>
      <c r="BY449" s="24"/>
      <c r="BZ449" s="643"/>
      <c r="CA449" s="643"/>
      <c r="CB449" s="643"/>
      <c r="CC449" s="643"/>
      <c r="CD449" s="643"/>
      <c r="CE449" s="643"/>
      <c r="CF449" s="643"/>
      <c r="CG449" s="643"/>
      <c r="CH449" s="643"/>
      <c r="CI449" s="643"/>
      <c r="CJ449" s="643"/>
      <c r="CK449" s="643"/>
      <c r="CL449" s="643"/>
      <c r="CM449" s="643"/>
      <c r="CN449" s="643"/>
      <c r="CO449" s="643"/>
      <c r="CP449" s="643"/>
      <c r="CQ449" s="643"/>
      <c r="CR449" s="643"/>
      <c r="CS449" s="636" t="s">
        <v>2330</v>
      </c>
      <c r="CT449" s="643"/>
      <c r="CU449" s="643"/>
      <c r="CV449" s="643"/>
      <c r="CW449" s="643"/>
      <c r="CX449" s="643"/>
      <c r="CY449" s="643"/>
      <c r="CZ449" s="643"/>
      <c r="DA449" s="643"/>
      <c r="DB449" s="643"/>
      <c r="DC449" s="643"/>
      <c r="DD449" s="643"/>
      <c r="DE449" s="643"/>
    </row>
    <row r="450" spans="34:109" ht="15" hidden="1" customHeight="1">
      <c r="AH450" s="24"/>
      <c r="AI450" s="24"/>
      <c r="AJ450" s="24"/>
      <c r="AK450" s="24"/>
      <c r="AL450" s="630" t="str">
        <f t="shared" si="12"/>
        <v/>
      </c>
      <c r="AM450" s="630" t="str">
        <f t="shared" si="13"/>
        <v/>
      </c>
      <c r="AO450" s="24"/>
      <c r="AP450" s="628">
        <v>448</v>
      </c>
      <c r="AQ450" s="642"/>
      <c r="AR450" s="642"/>
      <c r="AS450" s="642"/>
      <c r="AT450" s="642"/>
      <c r="AU450" s="642"/>
      <c r="AV450" s="642"/>
      <c r="AW450" s="642"/>
      <c r="AX450" s="642"/>
      <c r="AY450" s="642"/>
      <c r="AZ450" s="642"/>
      <c r="BA450" s="642"/>
      <c r="BB450" s="642"/>
      <c r="BC450" s="642"/>
      <c r="BD450" s="642"/>
      <c r="BE450" s="642"/>
      <c r="BF450" s="642"/>
      <c r="BG450" s="642"/>
      <c r="BH450" s="642"/>
      <c r="BI450" s="642"/>
      <c r="BJ450" s="634">
        <v>20447</v>
      </c>
      <c r="BK450" s="642"/>
      <c r="BL450" s="642"/>
      <c r="BM450" s="642"/>
      <c r="BN450" s="642"/>
      <c r="BO450" s="642"/>
      <c r="BP450" s="642"/>
      <c r="BQ450" s="642"/>
      <c r="BR450" s="642"/>
      <c r="BS450" s="642"/>
      <c r="BT450" s="642"/>
      <c r="BU450" s="642"/>
      <c r="BV450" s="642"/>
      <c r="BW450" s="24"/>
      <c r="BX450" s="24"/>
      <c r="BY450" s="24"/>
      <c r="BZ450" s="643"/>
      <c r="CA450" s="643"/>
      <c r="CB450" s="643"/>
      <c r="CC450" s="643"/>
      <c r="CD450" s="643"/>
      <c r="CE450" s="643"/>
      <c r="CF450" s="643"/>
      <c r="CG450" s="643"/>
      <c r="CH450" s="643"/>
      <c r="CI450" s="643"/>
      <c r="CJ450" s="643"/>
      <c r="CK450" s="643"/>
      <c r="CL450" s="643"/>
      <c r="CM450" s="643"/>
      <c r="CN450" s="643"/>
      <c r="CO450" s="643"/>
      <c r="CP450" s="643"/>
      <c r="CQ450" s="643"/>
      <c r="CR450" s="643"/>
      <c r="CS450" s="636" t="s">
        <v>2331</v>
      </c>
      <c r="CT450" s="643"/>
      <c r="CU450" s="643"/>
      <c r="CV450" s="643"/>
      <c r="CW450" s="643"/>
      <c r="CX450" s="643"/>
      <c r="CY450" s="643"/>
      <c r="CZ450" s="643"/>
      <c r="DA450" s="643"/>
      <c r="DB450" s="643"/>
      <c r="DC450" s="643"/>
      <c r="DD450" s="643"/>
      <c r="DE450" s="643"/>
    </row>
    <row r="451" spans="34:109" ht="15" hidden="1" customHeight="1">
      <c r="AH451" s="24"/>
      <c r="AI451" s="24"/>
      <c r="AJ451" s="24"/>
      <c r="AK451" s="24"/>
      <c r="AL451" s="630" t="str">
        <f t="shared" si="12"/>
        <v/>
      </c>
      <c r="AM451" s="630" t="str">
        <f t="shared" si="13"/>
        <v/>
      </c>
      <c r="AO451" s="24"/>
      <c r="AP451" s="628">
        <v>449</v>
      </c>
      <c r="AQ451" s="642"/>
      <c r="AR451" s="642"/>
      <c r="AS451" s="642"/>
      <c r="AT451" s="642"/>
      <c r="AU451" s="642"/>
      <c r="AV451" s="642"/>
      <c r="AW451" s="642"/>
      <c r="AX451" s="642"/>
      <c r="AY451" s="642"/>
      <c r="AZ451" s="642"/>
      <c r="BA451" s="642"/>
      <c r="BB451" s="642"/>
      <c r="BC451" s="642"/>
      <c r="BD451" s="642"/>
      <c r="BE451" s="642"/>
      <c r="BF451" s="642"/>
      <c r="BG451" s="642"/>
      <c r="BH451" s="642"/>
      <c r="BI451" s="642"/>
      <c r="BJ451" s="634">
        <v>20448</v>
      </c>
      <c r="BK451" s="642"/>
      <c r="BL451" s="642"/>
      <c r="BM451" s="642"/>
      <c r="BN451" s="642"/>
      <c r="BO451" s="642"/>
      <c r="BP451" s="642"/>
      <c r="BQ451" s="642"/>
      <c r="BR451" s="642"/>
      <c r="BS451" s="642"/>
      <c r="BT451" s="642"/>
      <c r="BU451" s="642"/>
      <c r="BV451" s="642"/>
      <c r="BW451" s="24"/>
      <c r="BX451" s="24"/>
      <c r="BY451" s="24"/>
      <c r="BZ451" s="643"/>
      <c r="CA451" s="643"/>
      <c r="CB451" s="643"/>
      <c r="CC451" s="643"/>
      <c r="CD451" s="643"/>
      <c r="CE451" s="643"/>
      <c r="CF451" s="643"/>
      <c r="CG451" s="643"/>
      <c r="CH451" s="643"/>
      <c r="CI451" s="643"/>
      <c r="CJ451" s="643"/>
      <c r="CK451" s="643"/>
      <c r="CL451" s="643"/>
      <c r="CM451" s="643"/>
      <c r="CN451" s="643"/>
      <c r="CO451" s="643"/>
      <c r="CP451" s="643"/>
      <c r="CQ451" s="643"/>
      <c r="CR451" s="643"/>
      <c r="CS451" s="636" t="s">
        <v>2332</v>
      </c>
      <c r="CT451" s="643"/>
      <c r="CU451" s="643"/>
      <c r="CV451" s="643"/>
      <c r="CW451" s="643"/>
      <c r="CX451" s="643"/>
      <c r="CY451" s="643"/>
      <c r="CZ451" s="643"/>
      <c r="DA451" s="643"/>
      <c r="DB451" s="643"/>
      <c r="DC451" s="643"/>
      <c r="DD451" s="643"/>
      <c r="DE451" s="643"/>
    </row>
    <row r="452" spans="34:109" ht="15" hidden="1" customHeight="1">
      <c r="AH452" s="24"/>
      <c r="AI452" s="24"/>
      <c r="AJ452" s="24"/>
      <c r="AK452" s="24"/>
      <c r="AL452" s="630" t="str">
        <f t="shared" ref="AL452:AL515" si="14">IFERROR(IF(HLOOKUP($N$8, $BZ$3:$DE$574, $AP452, FALSE )="", "", HLOOKUP($N$8, $BZ$3:$DE$574, $AP452, FALSE)), "")</f>
        <v/>
      </c>
      <c r="AM452" s="630" t="str">
        <f t="shared" ref="AM452:AM515" si="15">IFERROR(IF(AL452="", "", HLOOKUP($N$8, $AQ$3:$BV$574, AP452, FALSE)), "")</f>
        <v/>
      </c>
      <c r="AO452" s="24"/>
      <c r="AP452" s="628">
        <v>450</v>
      </c>
      <c r="AQ452" s="642"/>
      <c r="AR452" s="642"/>
      <c r="AS452" s="642"/>
      <c r="AT452" s="642"/>
      <c r="AU452" s="642"/>
      <c r="AV452" s="642"/>
      <c r="AW452" s="642"/>
      <c r="AX452" s="642"/>
      <c r="AY452" s="642"/>
      <c r="AZ452" s="642"/>
      <c r="BA452" s="642"/>
      <c r="BB452" s="642"/>
      <c r="BC452" s="642"/>
      <c r="BD452" s="642"/>
      <c r="BE452" s="642"/>
      <c r="BF452" s="642"/>
      <c r="BG452" s="642"/>
      <c r="BH452" s="642"/>
      <c r="BI452" s="642"/>
      <c r="BJ452" s="634">
        <v>20449</v>
      </c>
      <c r="BK452" s="642"/>
      <c r="BL452" s="642"/>
      <c r="BM452" s="642"/>
      <c r="BN452" s="642"/>
      <c r="BO452" s="642"/>
      <c r="BP452" s="642"/>
      <c r="BQ452" s="642"/>
      <c r="BR452" s="642"/>
      <c r="BS452" s="642"/>
      <c r="BT452" s="642"/>
      <c r="BU452" s="642"/>
      <c r="BV452" s="642"/>
      <c r="BW452" s="24"/>
      <c r="BX452" s="24"/>
      <c r="BY452" s="24"/>
      <c r="BZ452" s="643"/>
      <c r="CA452" s="643"/>
      <c r="CB452" s="643"/>
      <c r="CC452" s="643"/>
      <c r="CD452" s="643"/>
      <c r="CE452" s="643"/>
      <c r="CF452" s="643"/>
      <c r="CG452" s="643"/>
      <c r="CH452" s="643"/>
      <c r="CI452" s="643"/>
      <c r="CJ452" s="643"/>
      <c r="CK452" s="643"/>
      <c r="CL452" s="643"/>
      <c r="CM452" s="643"/>
      <c r="CN452" s="643"/>
      <c r="CO452" s="643"/>
      <c r="CP452" s="643"/>
      <c r="CQ452" s="643"/>
      <c r="CR452" s="643"/>
      <c r="CS452" s="636" t="s">
        <v>2333</v>
      </c>
      <c r="CT452" s="643"/>
      <c r="CU452" s="643"/>
      <c r="CV452" s="643"/>
      <c r="CW452" s="643"/>
      <c r="CX452" s="643"/>
      <c r="CY452" s="643"/>
      <c r="CZ452" s="643"/>
      <c r="DA452" s="643"/>
      <c r="DB452" s="643"/>
      <c r="DC452" s="643"/>
      <c r="DD452" s="643"/>
      <c r="DE452" s="643"/>
    </row>
    <row r="453" spans="34:109" ht="15" hidden="1" customHeight="1">
      <c r="AH453" s="24"/>
      <c r="AI453" s="24"/>
      <c r="AJ453" s="24"/>
      <c r="AK453" s="24"/>
      <c r="AL453" s="630" t="str">
        <f t="shared" si="14"/>
        <v/>
      </c>
      <c r="AM453" s="630" t="str">
        <f t="shared" si="15"/>
        <v/>
      </c>
      <c r="AO453" s="24"/>
      <c r="AP453" s="628">
        <v>451</v>
      </c>
      <c r="AQ453" s="642"/>
      <c r="AR453" s="642"/>
      <c r="AS453" s="642"/>
      <c r="AT453" s="642"/>
      <c r="AU453" s="642"/>
      <c r="AV453" s="642"/>
      <c r="AW453" s="642"/>
      <c r="AX453" s="642"/>
      <c r="AY453" s="642"/>
      <c r="AZ453" s="642"/>
      <c r="BA453" s="642"/>
      <c r="BB453" s="642"/>
      <c r="BC453" s="642"/>
      <c r="BD453" s="642"/>
      <c r="BE453" s="642"/>
      <c r="BF453" s="642"/>
      <c r="BG453" s="642"/>
      <c r="BH453" s="642"/>
      <c r="BI453" s="642"/>
      <c r="BJ453" s="634">
        <v>20450</v>
      </c>
      <c r="BK453" s="642"/>
      <c r="BL453" s="642"/>
      <c r="BM453" s="642"/>
      <c r="BN453" s="642"/>
      <c r="BO453" s="642"/>
      <c r="BP453" s="642"/>
      <c r="BQ453" s="642"/>
      <c r="BR453" s="642"/>
      <c r="BS453" s="642"/>
      <c r="BT453" s="642"/>
      <c r="BU453" s="642"/>
      <c r="BV453" s="642"/>
      <c r="BW453" s="24"/>
      <c r="BX453" s="24"/>
      <c r="BY453" s="24"/>
      <c r="BZ453" s="643"/>
      <c r="CA453" s="643"/>
      <c r="CB453" s="643"/>
      <c r="CC453" s="643"/>
      <c r="CD453" s="643"/>
      <c r="CE453" s="643"/>
      <c r="CF453" s="643"/>
      <c r="CG453" s="643"/>
      <c r="CH453" s="643"/>
      <c r="CI453" s="643"/>
      <c r="CJ453" s="643"/>
      <c r="CK453" s="643"/>
      <c r="CL453" s="643"/>
      <c r="CM453" s="643"/>
      <c r="CN453" s="643"/>
      <c r="CO453" s="643"/>
      <c r="CP453" s="643"/>
      <c r="CQ453" s="643"/>
      <c r="CR453" s="643"/>
      <c r="CS453" s="636" t="s">
        <v>2334</v>
      </c>
      <c r="CT453" s="643"/>
      <c r="CU453" s="643"/>
      <c r="CV453" s="643"/>
      <c r="CW453" s="643"/>
      <c r="CX453" s="643"/>
      <c r="CY453" s="643"/>
      <c r="CZ453" s="643"/>
      <c r="DA453" s="643"/>
      <c r="DB453" s="643"/>
      <c r="DC453" s="643"/>
      <c r="DD453" s="643"/>
      <c r="DE453" s="643"/>
    </row>
    <row r="454" spans="34:109" ht="15" hidden="1" customHeight="1">
      <c r="AH454" s="24"/>
      <c r="AI454" s="24"/>
      <c r="AJ454" s="24"/>
      <c r="AK454" s="24"/>
      <c r="AL454" s="630" t="str">
        <f t="shared" si="14"/>
        <v/>
      </c>
      <c r="AM454" s="630" t="str">
        <f t="shared" si="15"/>
        <v/>
      </c>
      <c r="AO454" s="24"/>
      <c r="AP454" s="628">
        <v>452</v>
      </c>
      <c r="AQ454" s="642"/>
      <c r="AR454" s="642"/>
      <c r="AS454" s="642"/>
      <c r="AT454" s="642"/>
      <c r="AU454" s="642"/>
      <c r="AV454" s="642"/>
      <c r="AW454" s="642"/>
      <c r="AX454" s="642"/>
      <c r="AY454" s="642"/>
      <c r="AZ454" s="642"/>
      <c r="BA454" s="642"/>
      <c r="BB454" s="642"/>
      <c r="BC454" s="642"/>
      <c r="BD454" s="642"/>
      <c r="BE454" s="642"/>
      <c r="BF454" s="642"/>
      <c r="BG454" s="642"/>
      <c r="BH454" s="642"/>
      <c r="BI454" s="642"/>
      <c r="BJ454" s="634">
        <v>20451</v>
      </c>
      <c r="BK454" s="642"/>
      <c r="BL454" s="642"/>
      <c r="BM454" s="642"/>
      <c r="BN454" s="642"/>
      <c r="BO454" s="642"/>
      <c r="BP454" s="642"/>
      <c r="BQ454" s="642"/>
      <c r="BR454" s="642"/>
      <c r="BS454" s="642"/>
      <c r="BT454" s="642"/>
      <c r="BU454" s="642"/>
      <c r="BV454" s="642"/>
      <c r="BW454" s="24"/>
      <c r="BX454" s="24"/>
      <c r="BY454" s="24"/>
      <c r="BZ454" s="643"/>
      <c r="CA454" s="643"/>
      <c r="CB454" s="643"/>
      <c r="CC454" s="643"/>
      <c r="CD454" s="643"/>
      <c r="CE454" s="643"/>
      <c r="CF454" s="643"/>
      <c r="CG454" s="643"/>
      <c r="CH454" s="643"/>
      <c r="CI454" s="643"/>
      <c r="CJ454" s="643"/>
      <c r="CK454" s="643"/>
      <c r="CL454" s="643"/>
      <c r="CM454" s="643"/>
      <c r="CN454" s="643"/>
      <c r="CO454" s="643"/>
      <c r="CP454" s="643"/>
      <c r="CQ454" s="643"/>
      <c r="CR454" s="643"/>
      <c r="CS454" s="636" t="s">
        <v>2335</v>
      </c>
      <c r="CT454" s="643"/>
      <c r="CU454" s="643"/>
      <c r="CV454" s="643"/>
      <c r="CW454" s="643"/>
      <c r="CX454" s="643"/>
      <c r="CY454" s="643"/>
      <c r="CZ454" s="643"/>
      <c r="DA454" s="643"/>
      <c r="DB454" s="643"/>
      <c r="DC454" s="643"/>
      <c r="DD454" s="643"/>
      <c r="DE454" s="643"/>
    </row>
    <row r="455" spans="34:109" ht="15" hidden="1" customHeight="1">
      <c r="AH455" s="24"/>
      <c r="AI455" s="24"/>
      <c r="AJ455" s="24"/>
      <c r="AK455" s="24"/>
      <c r="AL455" s="630" t="str">
        <f t="shared" si="14"/>
        <v/>
      </c>
      <c r="AM455" s="630" t="str">
        <f t="shared" si="15"/>
        <v/>
      </c>
      <c r="AO455" s="24"/>
      <c r="AP455" s="628">
        <v>453</v>
      </c>
      <c r="AQ455" s="642"/>
      <c r="AR455" s="642"/>
      <c r="AS455" s="642"/>
      <c r="AT455" s="642"/>
      <c r="AU455" s="642"/>
      <c r="AV455" s="642"/>
      <c r="AW455" s="642"/>
      <c r="AX455" s="642"/>
      <c r="AY455" s="642"/>
      <c r="AZ455" s="642"/>
      <c r="BA455" s="642"/>
      <c r="BB455" s="642"/>
      <c r="BC455" s="642"/>
      <c r="BD455" s="642"/>
      <c r="BE455" s="642"/>
      <c r="BF455" s="642"/>
      <c r="BG455" s="642"/>
      <c r="BH455" s="642"/>
      <c r="BI455" s="642"/>
      <c r="BJ455" s="634">
        <v>20452</v>
      </c>
      <c r="BK455" s="642"/>
      <c r="BL455" s="642"/>
      <c r="BM455" s="642"/>
      <c r="BN455" s="642"/>
      <c r="BO455" s="642"/>
      <c r="BP455" s="642"/>
      <c r="BQ455" s="642"/>
      <c r="BR455" s="642"/>
      <c r="BS455" s="642"/>
      <c r="BT455" s="642"/>
      <c r="BU455" s="642"/>
      <c r="BV455" s="642"/>
      <c r="BW455" s="24"/>
      <c r="BX455" s="24"/>
      <c r="BY455" s="24"/>
      <c r="BZ455" s="643"/>
      <c r="CA455" s="643"/>
      <c r="CB455" s="643"/>
      <c r="CC455" s="643"/>
      <c r="CD455" s="643"/>
      <c r="CE455" s="643"/>
      <c r="CF455" s="643"/>
      <c r="CG455" s="643"/>
      <c r="CH455" s="643"/>
      <c r="CI455" s="643"/>
      <c r="CJ455" s="643"/>
      <c r="CK455" s="643"/>
      <c r="CL455" s="643"/>
      <c r="CM455" s="643"/>
      <c r="CN455" s="643"/>
      <c r="CO455" s="643"/>
      <c r="CP455" s="643"/>
      <c r="CQ455" s="643"/>
      <c r="CR455" s="643"/>
      <c r="CS455" s="636" t="s">
        <v>2336</v>
      </c>
      <c r="CT455" s="643"/>
      <c r="CU455" s="643"/>
      <c r="CV455" s="643"/>
      <c r="CW455" s="643"/>
      <c r="CX455" s="643"/>
      <c r="CY455" s="643"/>
      <c r="CZ455" s="643"/>
      <c r="DA455" s="643"/>
      <c r="DB455" s="643"/>
      <c r="DC455" s="643"/>
      <c r="DD455" s="643"/>
      <c r="DE455" s="643"/>
    </row>
    <row r="456" spans="34:109" ht="15" hidden="1" customHeight="1">
      <c r="AH456" s="24"/>
      <c r="AI456" s="24"/>
      <c r="AJ456" s="24"/>
      <c r="AK456" s="24"/>
      <c r="AL456" s="630" t="str">
        <f t="shared" si="14"/>
        <v/>
      </c>
      <c r="AM456" s="630" t="str">
        <f t="shared" si="15"/>
        <v/>
      </c>
      <c r="AO456" s="24"/>
      <c r="AP456" s="628">
        <v>454</v>
      </c>
      <c r="AQ456" s="642"/>
      <c r="AR456" s="642"/>
      <c r="AS456" s="642"/>
      <c r="AT456" s="642"/>
      <c r="AU456" s="642"/>
      <c r="AV456" s="642"/>
      <c r="AW456" s="642"/>
      <c r="AX456" s="642"/>
      <c r="AY456" s="642"/>
      <c r="AZ456" s="642"/>
      <c r="BA456" s="642"/>
      <c r="BB456" s="642"/>
      <c r="BC456" s="642"/>
      <c r="BD456" s="642"/>
      <c r="BE456" s="642"/>
      <c r="BF456" s="642"/>
      <c r="BG456" s="642"/>
      <c r="BH456" s="642"/>
      <c r="BI456" s="642"/>
      <c r="BJ456" s="634">
        <v>20453</v>
      </c>
      <c r="BK456" s="642"/>
      <c r="BL456" s="642"/>
      <c r="BM456" s="642"/>
      <c r="BN456" s="642"/>
      <c r="BO456" s="642"/>
      <c r="BP456" s="642"/>
      <c r="BQ456" s="642"/>
      <c r="BR456" s="642"/>
      <c r="BS456" s="642"/>
      <c r="BT456" s="642"/>
      <c r="BU456" s="642"/>
      <c r="BV456" s="642"/>
      <c r="BW456" s="24"/>
      <c r="BX456" s="24"/>
      <c r="BY456" s="24"/>
      <c r="BZ456" s="643"/>
      <c r="CA456" s="643"/>
      <c r="CB456" s="643"/>
      <c r="CC456" s="643"/>
      <c r="CD456" s="643"/>
      <c r="CE456" s="643"/>
      <c r="CF456" s="643"/>
      <c r="CG456" s="643"/>
      <c r="CH456" s="643"/>
      <c r="CI456" s="643"/>
      <c r="CJ456" s="643"/>
      <c r="CK456" s="643"/>
      <c r="CL456" s="643"/>
      <c r="CM456" s="643"/>
      <c r="CN456" s="643"/>
      <c r="CO456" s="643"/>
      <c r="CP456" s="643"/>
      <c r="CQ456" s="643"/>
      <c r="CR456" s="643"/>
      <c r="CS456" s="636" t="s">
        <v>2337</v>
      </c>
      <c r="CT456" s="643"/>
      <c r="CU456" s="643"/>
      <c r="CV456" s="643"/>
      <c r="CW456" s="643"/>
      <c r="CX456" s="643"/>
      <c r="CY456" s="643"/>
      <c r="CZ456" s="643"/>
      <c r="DA456" s="643"/>
      <c r="DB456" s="643"/>
      <c r="DC456" s="643"/>
      <c r="DD456" s="643"/>
      <c r="DE456" s="643"/>
    </row>
    <row r="457" spans="34:109" ht="15" hidden="1" customHeight="1">
      <c r="AH457" s="24"/>
      <c r="AI457" s="24"/>
      <c r="AJ457" s="24"/>
      <c r="AK457" s="24"/>
      <c r="AL457" s="630" t="str">
        <f t="shared" si="14"/>
        <v/>
      </c>
      <c r="AM457" s="630" t="str">
        <f t="shared" si="15"/>
        <v/>
      </c>
      <c r="AO457" s="24"/>
      <c r="AP457" s="628">
        <v>455</v>
      </c>
      <c r="AQ457" s="642"/>
      <c r="AR457" s="642"/>
      <c r="AS457" s="642"/>
      <c r="AT457" s="642"/>
      <c r="AU457" s="642"/>
      <c r="AV457" s="642"/>
      <c r="AW457" s="642"/>
      <c r="AX457" s="642"/>
      <c r="AY457" s="642"/>
      <c r="AZ457" s="642"/>
      <c r="BA457" s="642"/>
      <c r="BB457" s="642"/>
      <c r="BC457" s="642"/>
      <c r="BD457" s="642"/>
      <c r="BE457" s="642"/>
      <c r="BF457" s="642"/>
      <c r="BG457" s="642"/>
      <c r="BH457" s="642"/>
      <c r="BI457" s="642"/>
      <c r="BJ457" s="634">
        <v>20454</v>
      </c>
      <c r="BK457" s="642"/>
      <c r="BL457" s="642"/>
      <c r="BM457" s="642"/>
      <c r="BN457" s="642"/>
      <c r="BO457" s="642"/>
      <c r="BP457" s="642"/>
      <c r="BQ457" s="642"/>
      <c r="BR457" s="642"/>
      <c r="BS457" s="642"/>
      <c r="BT457" s="642"/>
      <c r="BU457" s="642"/>
      <c r="BV457" s="642"/>
      <c r="BW457" s="24"/>
      <c r="BX457" s="24"/>
      <c r="BY457" s="24"/>
      <c r="BZ457" s="643"/>
      <c r="CA457" s="643"/>
      <c r="CB457" s="643"/>
      <c r="CC457" s="643"/>
      <c r="CD457" s="643"/>
      <c r="CE457" s="643"/>
      <c r="CF457" s="643"/>
      <c r="CG457" s="643"/>
      <c r="CH457" s="643"/>
      <c r="CI457" s="643"/>
      <c r="CJ457" s="643"/>
      <c r="CK457" s="643"/>
      <c r="CL457" s="643"/>
      <c r="CM457" s="643"/>
      <c r="CN457" s="643"/>
      <c r="CO457" s="643"/>
      <c r="CP457" s="643"/>
      <c r="CQ457" s="643"/>
      <c r="CR457" s="643"/>
      <c r="CS457" s="636" t="s">
        <v>2338</v>
      </c>
      <c r="CT457" s="643"/>
      <c r="CU457" s="643"/>
      <c r="CV457" s="643"/>
      <c r="CW457" s="643"/>
      <c r="CX457" s="643"/>
      <c r="CY457" s="643"/>
      <c r="CZ457" s="643"/>
      <c r="DA457" s="643"/>
      <c r="DB457" s="643"/>
      <c r="DC457" s="643"/>
      <c r="DD457" s="643"/>
      <c r="DE457" s="643"/>
    </row>
    <row r="458" spans="34:109" ht="15" hidden="1" customHeight="1">
      <c r="AH458" s="24"/>
      <c r="AI458" s="24"/>
      <c r="AJ458" s="24"/>
      <c r="AK458" s="24"/>
      <c r="AL458" s="630" t="str">
        <f t="shared" si="14"/>
        <v/>
      </c>
      <c r="AM458" s="630" t="str">
        <f t="shared" si="15"/>
        <v/>
      </c>
      <c r="AO458" s="24"/>
      <c r="AP458" s="628">
        <v>456</v>
      </c>
      <c r="AQ458" s="642"/>
      <c r="AR458" s="642"/>
      <c r="AS458" s="642"/>
      <c r="AT458" s="642"/>
      <c r="AU458" s="642"/>
      <c r="AV458" s="642"/>
      <c r="AW458" s="642"/>
      <c r="AX458" s="642"/>
      <c r="AY458" s="642"/>
      <c r="AZ458" s="642"/>
      <c r="BA458" s="642"/>
      <c r="BB458" s="642"/>
      <c r="BC458" s="642"/>
      <c r="BD458" s="642"/>
      <c r="BE458" s="642"/>
      <c r="BF458" s="642"/>
      <c r="BG458" s="642"/>
      <c r="BH458" s="642"/>
      <c r="BI458" s="642"/>
      <c r="BJ458" s="634">
        <v>20455</v>
      </c>
      <c r="BK458" s="642"/>
      <c r="BL458" s="642"/>
      <c r="BM458" s="642"/>
      <c r="BN458" s="642"/>
      <c r="BO458" s="642"/>
      <c r="BP458" s="642"/>
      <c r="BQ458" s="642"/>
      <c r="BR458" s="642"/>
      <c r="BS458" s="642"/>
      <c r="BT458" s="642"/>
      <c r="BU458" s="642"/>
      <c r="BV458" s="642"/>
      <c r="BW458" s="24"/>
      <c r="BX458" s="24"/>
      <c r="BY458" s="24"/>
      <c r="BZ458" s="643"/>
      <c r="CA458" s="643"/>
      <c r="CB458" s="643"/>
      <c r="CC458" s="643"/>
      <c r="CD458" s="643"/>
      <c r="CE458" s="643"/>
      <c r="CF458" s="643"/>
      <c r="CG458" s="643"/>
      <c r="CH458" s="643"/>
      <c r="CI458" s="643"/>
      <c r="CJ458" s="643"/>
      <c r="CK458" s="643"/>
      <c r="CL458" s="643"/>
      <c r="CM458" s="643"/>
      <c r="CN458" s="643"/>
      <c r="CO458" s="643"/>
      <c r="CP458" s="643"/>
      <c r="CQ458" s="643"/>
      <c r="CR458" s="643"/>
      <c r="CS458" s="636" t="s">
        <v>2339</v>
      </c>
      <c r="CT458" s="643"/>
      <c r="CU458" s="643"/>
      <c r="CV458" s="643"/>
      <c r="CW458" s="643"/>
      <c r="CX458" s="643"/>
      <c r="CY458" s="643"/>
      <c r="CZ458" s="643"/>
      <c r="DA458" s="643"/>
      <c r="DB458" s="643"/>
      <c r="DC458" s="643"/>
      <c r="DD458" s="643"/>
      <c r="DE458" s="643"/>
    </row>
    <row r="459" spans="34:109" ht="15" hidden="1" customHeight="1">
      <c r="AH459" s="24"/>
      <c r="AI459" s="24"/>
      <c r="AJ459" s="24"/>
      <c r="AK459" s="24"/>
      <c r="AL459" s="630" t="str">
        <f t="shared" si="14"/>
        <v/>
      </c>
      <c r="AM459" s="630" t="str">
        <f t="shared" si="15"/>
        <v/>
      </c>
      <c r="AO459" s="24"/>
      <c r="AP459" s="628">
        <v>457</v>
      </c>
      <c r="AQ459" s="642"/>
      <c r="AR459" s="642"/>
      <c r="AS459" s="642"/>
      <c r="AT459" s="642"/>
      <c r="AU459" s="642"/>
      <c r="AV459" s="642"/>
      <c r="AW459" s="642"/>
      <c r="AX459" s="642"/>
      <c r="AY459" s="642"/>
      <c r="AZ459" s="642"/>
      <c r="BA459" s="642"/>
      <c r="BB459" s="642"/>
      <c r="BC459" s="642"/>
      <c r="BD459" s="642"/>
      <c r="BE459" s="642"/>
      <c r="BF459" s="642"/>
      <c r="BG459" s="642"/>
      <c r="BH459" s="642"/>
      <c r="BI459" s="642"/>
      <c r="BJ459" s="634">
        <v>20456</v>
      </c>
      <c r="BK459" s="642"/>
      <c r="BL459" s="642"/>
      <c r="BM459" s="642"/>
      <c r="BN459" s="642"/>
      <c r="BO459" s="642"/>
      <c r="BP459" s="642"/>
      <c r="BQ459" s="642"/>
      <c r="BR459" s="642"/>
      <c r="BS459" s="642"/>
      <c r="BT459" s="642"/>
      <c r="BU459" s="642"/>
      <c r="BV459" s="642"/>
      <c r="BW459" s="24"/>
      <c r="BX459" s="24"/>
      <c r="BY459" s="24"/>
      <c r="BZ459" s="643"/>
      <c r="CA459" s="643"/>
      <c r="CB459" s="643"/>
      <c r="CC459" s="643"/>
      <c r="CD459" s="643"/>
      <c r="CE459" s="643"/>
      <c r="CF459" s="643"/>
      <c r="CG459" s="643"/>
      <c r="CH459" s="643"/>
      <c r="CI459" s="643"/>
      <c r="CJ459" s="643"/>
      <c r="CK459" s="643"/>
      <c r="CL459" s="643"/>
      <c r="CM459" s="643"/>
      <c r="CN459" s="643"/>
      <c r="CO459" s="643"/>
      <c r="CP459" s="643"/>
      <c r="CQ459" s="643"/>
      <c r="CR459" s="643"/>
      <c r="CS459" s="636" t="s">
        <v>2340</v>
      </c>
      <c r="CT459" s="643"/>
      <c r="CU459" s="643"/>
      <c r="CV459" s="643"/>
      <c r="CW459" s="643"/>
      <c r="CX459" s="643"/>
      <c r="CY459" s="643"/>
      <c r="CZ459" s="643"/>
      <c r="DA459" s="643"/>
      <c r="DB459" s="643"/>
      <c r="DC459" s="643"/>
      <c r="DD459" s="643"/>
      <c r="DE459" s="643"/>
    </row>
    <row r="460" spans="34:109" ht="15" hidden="1" customHeight="1">
      <c r="AH460" s="24"/>
      <c r="AI460" s="24"/>
      <c r="AJ460" s="24"/>
      <c r="AK460" s="24"/>
      <c r="AL460" s="630" t="str">
        <f t="shared" si="14"/>
        <v/>
      </c>
      <c r="AM460" s="630" t="str">
        <f t="shared" si="15"/>
        <v/>
      </c>
      <c r="AO460" s="24"/>
      <c r="AP460" s="628">
        <v>458</v>
      </c>
      <c r="AQ460" s="642"/>
      <c r="AR460" s="642"/>
      <c r="AS460" s="642"/>
      <c r="AT460" s="642"/>
      <c r="AU460" s="642"/>
      <c r="AV460" s="642"/>
      <c r="AW460" s="642"/>
      <c r="AX460" s="642"/>
      <c r="AY460" s="642"/>
      <c r="AZ460" s="642"/>
      <c r="BA460" s="642"/>
      <c r="BB460" s="642"/>
      <c r="BC460" s="642"/>
      <c r="BD460" s="642"/>
      <c r="BE460" s="642"/>
      <c r="BF460" s="642"/>
      <c r="BG460" s="642"/>
      <c r="BH460" s="642"/>
      <c r="BI460" s="642"/>
      <c r="BJ460" s="634">
        <v>20457</v>
      </c>
      <c r="BK460" s="642"/>
      <c r="BL460" s="642"/>
      <c r="BM460" s="642"/>
      <c r="BN460" s="642"/>
      <c r="BO460" s="642"/>
      <c r="BP460" s="642"/>
      <c r="BQ460" s="642"/>
      <c r="BR460" s="642"/>
      <c r="BS460" s="642"/>
      <c r="BT460" s="642"/>
      <c r="BU460" s="642"/>
      <c r="BV460" s="642"/>
      <c r="BW460" s="24"/>
      <c r="BX460" s="24"/>
      <c r="BY460" s="24"/>
      <c r="BZ460" s="643"/>
      <c r="CA460" s="643"/>
      <c r="CB460" s="643"/>
      <c r="CC460" s="643"/>
      <c r="CD460" s="643"/>
      <c r="CE460" s="643"/>
      <c r="CF460" s="643"/>
      <c r="CG460" s="643"/>
      <c r="CH460" s="643"/>
      <c r="CI460" s="643"/>
      <c r="CJ460" s="643"/>
      <c r="CK460" s="643"/>
      <c r="CL460" s="643"/>
      <c r="CM460" s="643"/>
      <c r="CN460" s="643"/>
      <c r="CO460" s="643"/>
      <c r="CP460" s="643"/>
      <c r="CQ460" s="643"/>
      <c r="CR460" s="643"/>
      <c r="CS460" s="636" t="s">
        <v>2341</v>
      </c>
      <c r="CT460" s="643"/>
      <c r="CU460" s="643"/>
      <c r="CV460" s="643"/>
      <c r="CW460" s="643"/>
      <c r="CX460" s="643"/>
      <c r="CY460" s="643"/>
      <c r="CZ460" s="643"/>
      <c r="DA460" s="643"/>
      <c r="DB460" s="643"/>
      <c r="DC460" s="643"/>
      <c r="DD460" s="643"/>
      <c r="DE460" s="643"/>
    </row>
    <row r="461" spans="34:109" ht="15" hidden="1" customHeight="1">
      <c r="AH461" s="24"/>
      <c r="AI461" s="24"/>
      <c r="AJ461" s="24"/>
      <c r="AK461" s="24"/>
      <c r="AL461" s="630" t="str">
        <f t="shared" si="14"/>
        <v/>
      </c>
      <c r="AM461" s="630" t="str">
        <f t="shared" si="15"/>
        <v/>
      </c>
      <c r="AO461" s="24"/>
      <c r="AP461" s="628">
        <v>459</v>
      </c>
      <c r="AQ461" s="642"/>
      <c r="AR461" s="642"/>
      <c r="AS461" s="642"/>
      <c r="AT461" s="642"/>
      <c r="AU461" s="642"/>
      <c r="AV461" s="642"/>
      <c r="AW461" s="642"/>
      <c r="AX461" s="642"/>
      <c r="AY461" s="642"/>
      <c r="AZ461" s="642"/>
      <c r="BA461" s="642"/>
      <c r="BB461" s="642"/>
      <c r="BC461" s="642"/>
      <c r="BD461" s="642"/>
      <c r="BE461" s="642"/>
      <c r="BF461" s="642"/>
      <c r="BG461" s="642"/>
      <c r="BH461" s="642"/>
      <c r="BI461" s="642"/>
      <c r="BJ461" s="634">
        <v>20458</v>
      </c>
      <c r="BK461" s="642"/>
      <c r="BL461" s="642"/>
      <c r="BM461" s="642"/>
      <c r="BN461" s="642"/>
      <c r="BO461" s="642"/>
      <c r="BP461" s="642"/>
      <c r="BQ461" s="642"/>
      <c r="BR461" s="642"/>
      <c r="BS461" s="642"/>
      <c r="BT461" s="642"/>
      <c r="BU461" s="642"/>
      <c r="BV461" s="642"/>
      <c r="BW461" s="24"/>
      <c r="BX461" s="24"/>
      <c r="BY461" s="24"/>
      <c r="BZ461" s="643"/>
      <c r="CA461" s="643"/>
      <c r="CB461" s="643"/>
      <c r="CC461" s="643"/>
      <c r="CD461" s="643"/>
      <c r="CE461" s="643"/>
      <c r="CF461" s="643"/>
      <c r="CG461" s="643"/>
      <c r="CH461" s="643"/>
      <c r="CI461" s="643"/>
      <c r="CJ461" s="643"/>
      <c r="CK461" s="643"/>
      <c r="CL461" s="643"/>
      <c r="CM461" s="643"/>
      <c r="CN461" s="643"/>
      <c r="CO461" s="643"/>
      <c r="CP461" s="643"/>
      <c r="CQ461" s="643"/>
      <c r="CR461" s="643"/>
      <c r="CS461" s="636" t="s">
        <v>2342</v>
      </c>
      <c r="CT461" s="643"/>
      <c r="CU461" s="643"/>
      <c r="CV461" s="643"/>
      <c r="CW461" s="643"/>
      <c r="CX461" s="643"/>
      <c r="CY461" s="643"/>
      <c r="CZ461" s="643"/>
      <c r="DA461" s="643"/>
      <c r="DB461" s="643"/>
      <c r="DC461" s="643"/>
      <c r="DD461" s="643"/>
      <c r="DE461" s="643"/>
    </row>
    <row r="462" spans="34:109" ht="15" hidden="1" customHeight="1">
      <c r="AH462" s="24"/>
      <c r="AI462" s="24"/>
      <c r="AJ462" s="24"/>
      <c r="AK462" s="24"/>
      <c r="AL462" s="630" t="str">
        <f t="shared" si="14"/>
        <v/>
      </c>
      <c r="AM462" s="630" t="str">
        <f t="shared" si="15"/>
        <v/>
      </c>
      <c r="AO462" s="24"/>
      <c r="AP462" s="628">
        <v>460</v>
      </c>
      <c r="AQ462" s="642"/>
      <c r="AR462" s="642"/>
      <c r="AS462" s="642"/>
      <c r="AT462" s="642"/>
      <c r="AU462" s="642"/>
      <c r="AV462" s="642"/>
      <c r="AW462" s="642"/>
      <c r="AX462" s="642"/>
      <c r="AY462" s="642"/>
      <c r="AZ462" s="642"/>
      <c r="BA462" s="642"/>
      <c r="BB462" s="642"/>
      <c r="BC462" s="642"/>
      <c r="BD462" s="642"/>
      <c r="BE462" s="642"/>
      <c r="BF462" s="642"/>
      <c r="BG462" s="642"/>
      <c r="BH462" s="642"/>
      <c r="BI462" s="642"/>
      <c r="BJ462" s="634">
        <v>20459</v>
      </c>
      <c r="BK462" s="642"/>
      <c r="BL462" s="642"/>
      <c r="BM462" s="642"/>
      <c r="BN462" s="642"/>
      <c r="BO462" s="642"/>
      <c r="BP462" s="642"/>
      <c r="BQ462" s="642"/>
      <c r="BR462" s="642"/>
      <c r="BS462" s="642"/>
      <c r="BT462" s="642"/>
      <c r="BU462" s="642"/>
      <c r="BV462" s="642"/>
      <c r="BW462" s="24"/>
      <c r="BX462" s="24"/>
      <c r="BY462" s="24"/>
      <c r="BZ462" s="643"/>
      <c r="CA462" s="643"/>
      <c r="CB462" s="643"/>
      <c r="CC462" s="643"/>
      <c r="CD462" s="643"/>
      <c r="CE462" s="643"/>
      <c r="CF462" s="643"/>
      <c r="CG462" s="643"/>
      <c r="CH462" s="643"/>
      <c r="CI462" s="643"/>
      <c r="CJ462" s="643"/>
      <c r="CK462" s="643"/>
      <c r="CL462" s="643"/>
      <c r="CM462" s="643"/>
      <c r="CN462" s="643"/>
      <c r="CO462" s="643"/>
      <c r="CP462" s="643"/>
      <c r="CQ462" s="643"/>
      <c r="CR462" s="643"/>
      <c r="CS462" s="638" t="s">
        <v>2343</v>
      </c>
      <c r="CT462" s="643"/>
      <c r="CU462" s="643"/>
      <c r="CV462" s="643"/>
      <c r="CW462" s="643"/>
      <c r="CX462" s="643"/>
      <c r="CY462" s="643"/>
      <c r="CZ462" s="643"/>
      <c r="DA462" s="643"/>
      <c r="DB462" s="643"/>
      <c r="DC462" s="643"/>
      <c r="DD462" s="643"/>
      <c r="DE462" s="643"/>
    </row>
    <row r="463" spans="34:109" ht="15" hidden="1" customHeight="1">
      <c r="AH463" s="24"/>
      <c r="AI463" s="24"/>
      <c r="AJ463" s="24"/>
      <c r="AK463" s="24"/>
      <c r="AL463" s="630" t="str">
        <f t="shared" si="14"/>
        <v/>
      </c>
      <c r="AM463" s="630" t="str">
        <f t="shared" si="15"/>
        <v/>
      </c>
      <c r="AO463" s="24"/>
      <c r="AP463" s="628">
        <v>461</v>
      </c>
      <c r="AQ463" s="642"/>
      <c r="AR463" s="642"/>
      <c r="AS463" s="642"/>
      <c r="AT463" s="642"/>
      <c r="AU463" s="642"/>
      <c r="AV463" s="642"/>
      <c r="AW463" s="642"/>
      <c r="AX463" s="642"/>
      <c r="AY463" s="642"/>
      <c r="AZ463" s="642"/>
      <c r="BA463" s="642"/>
      <c r="BB463" s="642"/>
      <c r="BC463" s="642"/>
      <c r="BD463" s="642"/>
      <c r="BE463" s="642"/>
      <c r="BF463" s="642"/>
      <c r="BG463" s="642"/>
      <c r="BH463" s="642"/>
      <c r="BI463" s="642"/>
      <c r="BJ463" s="634">
        <v>20460</v>
      </c>
      <c r="BK463" s="642"/>
      <c r="BL463" s="642"/>
      <c r="BM463" s="642"/>
      <c r="BN463" s="642"/>
      <c r="BO463" s="642"/>
      <c r="BP463" s="642"/>
      <c r="BQ463" s="642"/>
      <c r="BR463" s="642"/>
      <c r="BS463" s="642"/>
      <c r="BT463" s="642"/>
      <c r="BU463" s="642"/>
      <c r="BV463" s="642"/>
      <c r="BW463" s="24"/>
      <c r="BX463" s="24"/>
      <c r="BY463" s="24"/>
      <c r="BZ463" s="643"/>
      <c r="CA463" s="643"/>
      <c r="CB463" s="643"/>
      <c r="CC463" s="643"/>
      <c r="CD463" s="643"/>
      <c r="CE463" s="643"/>
      <c r="CF463" s="643"/>
      <c r="CG463" s="643"/>
      <c r="CH463" s="643"/>
      <c r="CI463" s="643"/>
      <c r="CJ463" s="643"/>
      <c r="CK463" s="643"/>
      <c r="CL463" s="643"/>
      <c r="CM463" s="643"/>
      <c r="CN463" s="643"/>
      <c r="CO463" s="643"/>
      <c r="CP463" s="643"/>
      <c r="CQ463" s="643"/>
      <c r="CR463" s="643"/>
      <c r="CS463" s="636" t="s">
        <v>2344</v>
      </c>
      <c r="CT463" s="643"/>
      <c r="CU463" s="643"/>
      <c r="CV463" s="643"/>
      <c r="CW463" s="643"/>
      <c r="CX463" s="643"/>
      <c r="CY463" s="643"/>
      <c r="CZ463" s="643"/>
      <c r="DA463" s="643"/>
      <c r="DB463" s="643"/>
      <c r="DC463" s="643"/>
      <c r="DD463" s="643"/>
      <c r="DE463" s="643"/>
    </row>
    <row r="464" spans="34:109" ht="15" hidden="1" customHeight="1">
      <c r="AH464" s="24"/>
      <c r="AI464" s="24"/>
      <c r="AJ464" s="24"/>
      <c r="AK464" s="24"/>
      <c r="AL464" s="630" t="str">
        <f t="shared" si="14"/>
        <v/>
      </c>
      <c r="AM464" s="630" t="str">
        <f t="shared" si="15"/>
        <v/>
      </c>
      <c r="AO464" s="24"/>
      <c r="AP464" s="628">
        <v>462</v>
      </c>
      <c r="AQ464" s="642"/>
      <c r="AR464" s="642"/>
      <c r="AS464" s="642"/>
      <c r="AT464" s="642"/>
      <c r="AU464" s="642"/>
      <c r="AV464" s="642"/>
      <c r="AW464" s="642"/>
      <c r="AX464" s="642"/>
      <c r="AY464" s="642"/>
      <c r="AZ464" s="642"/>
      <c r="BA464" s="642"/>
      <c r="BB464" s="642"/>
      <c r="BC464" s="642"/>
      <c r="BD464" s="642"/>
      <c r="BE464" s="642"/>
      <c r="BF464" s="642"/>
      <c r="BG464" s="642"/>
      <c r="BH464" s="642"/>
      <c r="BI464" s="642"/>
      <c r="BJ464" s="634">
        <v>20461</v>
      </c>
      <c r="BK464" s="642"/>
      <c r="BL464" s="642"/>
      <c r="BM464" s="642"/>
      <c r="BN464" s="642"/>
      <c r="BO464" s="642"/>
      <c r="BP464" s="642"/>
      <c r="BQ464" s="642"/>
      <c r="BR464" s="642"/>
      <c r="BS464" s="642"/>
      <c r="BT464" s="642"/>
      <c r="BU464" s="642"/>
      <c r="BV464" s="642"/>
      <c r="BW464" s="24"/>
      <c r="BX464" s="24"/>
      <c r="BY464" s="24"/>
      <c r="BZ464" s="643"/>
      <c r="CA464" s="643"/>
      <c r="CB464" s="643"/>
      <c r="CC464" s="643"/>
      <c r="CD464" s="643"/>
      <c r="CE464" s="643"/>
      <c r="CF464" s="643"/>
      <c r="CG464" s="643"/>
      <c r="CH464" s="643"/>
      <c r="CI464" s="643"/>
      <c r="CJ464" s="643"/>
      <c r="CK464" s="643"/>
      <c r="CL464" s="643"/>
      <c r="CM464" s="643"/>
      <c r="CN464" s="643"/>
      <c r="CO464" s="643"/>
      <c r="CP464" s="643"/>
      <c r="CQ464" s="643"/>
      <c r="CR464" s="643"/>
      <c r="CS464" s="636" t="s">
        <v>2345</v>
      </c>
      <c r="CT464" s="643"/>
      <c r="CU464" s="643"/>
      <c r="CV464" s="643"/>
      <c r="CW464" s="643"/>
      <c r="CX464" s="643"/>
      <c r="CY464" s="643"/>
      <c r="CZ464" s="643"/>
      <c r="DA464" s="643"/>
      <c r="DB464" s="643"/>
      <c r="DC464" s="643"/>
      <c r="DD464" s="643"/>
      <c r="DE464" s="643"/>
    </row>
    <row r="465" spans="34:109" ht="15" hidden="1" customHeight="1">
      <c r="AH465" s="24"/>
      <c r="AI465" s="24"/>
      <c r="AJ465" s="24"/>
      <c r="AK465" s="24"/>
      <c r="AL465" s="630" t="str">
        <f t="shared" si="14"/>
        <v/>
      </c>
      <c r="AM465" s="630" t="str">
        <f t="shared" si="15"/>
        <v/>
      </c>
      <c r="AO465" s="24"/>
      <c r="AP465" s="628">
        <v>463</v>
      </c>
      <c r="AQ465" s="642"/>
      <c r="AR465" s="642"/>
      <c r="AS465" s="642"/>
      <c r="AT465" s="642"/>
      <c r="AU465" s="642"/>
      <c r="AV465" s="642"/>
      <c r="AW465" s="642"/>
      <c r="AX465" s="642"/>
      <c r="AY465" s="642"/>
      <c r="AZ465" s="642"/>
      <c r="BA465" s="642"/>
      <c r="BB465" s="642"/>
      <c r="BC465" s="642"/>
      <c r="BD465" s="642"/>
      <c r="BE465" s="642"/>
      <c r="BF465" s="642"/>
      <c r="BG465" s="642"/>
      <c r="BH465" s="642"/>
      <c r="BI465" s="642"/>
      <c r="BJ465" s="634">
        <v>20462</v>
      </c>
      <c r="BK465" s="642"/>
      <c r="BL465" s="642"/>
      <c r="BM465" s="642"/>
      <c r="BN465" s="642"/>
      <c r="BO465" s="642"/>
      <c r="BP465" s="642"/>
      <c r="BQ465" s="642"/>
      <c r="BR465" s="642"/>
      <c r="BS465" s="642"/>
      <c r="BT465" s="642"/>
      <c r="BU465" s="642"/>
      <c r="BV465" s="642"/>
      <c r="BW465" s="24"/>
      <c r="BX465" s="24"/>
      <c r="BY465" s="24"/>
      <c r="BZ465" s="643"/>
      <c r="CA465" s="643"/>
      <c r="CB465" s="643"/>
      <c r="CC465" s="643"/>
      <c r="CD465" s="643"/>
      <c r="CE465" s="643"/>
      <c r="CF465" s="643"/>
      <c r="CG465" s="643"/>
      <c r="CH465" s="643"/>
      <c r="CI465" s="643"/>
      <c r="CJ465" s="643"/>
      <c r="CK465" s="643"/>
      <c r="CL465" s="643"/>
      <c r="CM465" s="643"/>
      <c r="CN465" s="643"/>
      <c r="CO465" s="643"/>
      <c r="CP465" s="643"/>
      <c r="CQ465" s="643"/>
      <c r="CR465" s="643"/>
      <c r="CS465" s="636" t="s">
        <v>2346</v>
      </c>
      <c r="CT465" s="643"/>
      <c r="CU465" s="643"/>
      <c r="CV465" s="643"/>
      <c r="CW465" s="643"/>
      <c r="CX465" s="643"/>
      <c r="CY465" s="643"/>
      <c r="CZ465" s="643"/>
      <c r="DA465" s="643"/>
      <c r="DB465" s="643"/>
      <c r="DC465" s="643"/>
      <c r="DD465" s="643"/>
      <c r="DE465" s="643"/>
    </row>
    <row r="466" spans="34:109" ht="15" hidden="1" customHeight="1">
      <c r="AH466" s="24"/>
      <c r="AI466" s="24"/>
      <c r="AJ466" s="24"/>
      <c r="AK466" s="24"/>
      <c r="AL466" s="630" t="str">
        <f t="shared" si="14"/>
        <v/>
      </c>
      <c r="AM466" s="630" t="str">
        <f t="shared" si="15"/>
        <v/>
      </c>
      <c r="AO466" s="24"/>
      <c r="AP466" s="628">
        <v>464</v>
      </c>
      <c r="AQ466" s="642"/>
      <c r="AR466" s="642"/>
      <c r="AS466" s="642"/>
      <c r="AT466" s="642"/>
      <c r="AU466" s="642"/>
      <c r="AV466" s="642"/>
      <c r="AW466" s="642"/>
      <c r="AX466" s="642"/>
      <c r="AY466" s="642"/>
      <c r="AZ466" s="642"/>
      <c r="BA466" s="642"/>
      <c r="BB466" s="642"/>
      <c r="BC466" s="642"/>
      <c r="BD466" s="642"/>
      <c r="BE466" s="642"/>
      <c r="BF466" s="642"/>
      <c r="BG466" s="642"/>
      <c r="BH466" s="642"/>
      <c r="BI466" s="642"/>
      <c r="BJ466" s="634">
        <v>20463</v>
      </c>
      <c r="BK466" s="642"/>
      <c r="BL466" s="642"/>
      <c r="BM466" s="642"/>
      <c r="BN466" s="642"/>
      <c r="BO466" s="642"/>
      <c r="BP466" s="642"/>
      <c r="BQ466" s="642"/>
      <c r="BR466" s="642"/>
      <c r="BS466" s="642"/>
      <c r="BT466" s="642"/>
      <c r="BU466" s="642"/>
      <c r="BV466" s="642"/>
      <c r="BW466" s="24"/>
      <c r="BX466" s="24"/>
      <c r="BY466" s="24"/>
      <c r="BZ466" s="643"/>
      <c r="CA466" s="643"/>
      <c r="CB466" s="643"/>
      <c r="CC466" s="643"/>
      <c r="CD466" s="643"/>
      <c r="CE466" s="643"/>
      <c r="CF466" s="643"/>
      <c r="CG466" s="643"/>
      <c r="CH466" s="643"/>
      <c r="CI466" s="643"/>
      <c r="CJ466" s="643"/>
      <c r="CK466" s="643"/>
      <c r="CL466" s="643"/>
      <c r="CM466" s="643"/>
      <c r="CN466" s="643"/>
      <c r="CO466" s="643"/>
      <c r="CP466" s="643"/>
      <c r="CQ466" s="643"/>
      <c r="CR466" s="643"/>
      <c r="CS466" s="636" t="s">
        <v>2347</v>
      </c>
      <c r="CT466" s="643"/>
      <c r="CU466" s="643"/>
      <c r="CV466" s="643"/>
      <c r="CW466" s="643"/>
      <c r="CX466" s="643"/>
      <c r="CY466" s="643"/>
      <c r="CZ466" s="643"/>
      <c r="DA466" s="643"/>
      <c r="DB466" s="643"/>
      <c r="DC466" s="643"/>
      <c r="DD466" s="643"/>
      <c r="DE466" s="643"/>
    </row>
    <row r="467" spans="34:109" ht="15" hidden="1" customHeight="1">
      <c r="AH467" s="24"/>
      <c r="AI467" s="24"/>
      <c r="AJ467" s="24"/>
      <c r="AK467" s="24"/>
      <c r="AL467" s="630" t="str">
        <f t="shared" si="14"/>
        <v/>
      </c>
      <c r="AM467" s="630" t="str">
        <f t="shared" si="15"/>
        <v/>
      </c>
      <c r="AO467" s="24"/>
      <c r="AP467" s="628">
        <v>465</v>
      </c>
      <c r="AQ467" s="642"/>
      <c r="AR467" s="642"/>
      <c r="AS467" s="642"/>
      <c r="AT467" s="642"/>
      <c r="AU467" s="642"/>
      <c r="AV467" s="642"/>
      <c r="AW467" s="642"/>
      <c r="AX467" s="642"/>
      <c r="AY467" s="642"/>
      <c r="AZ467" s="642"/>
      <c r="BA467" s="642"/>
      <c r="BB467" s="642"/>
      <c r="BC467" s="642"/>
      <c r="BD467" s="642"/>
      <c r="BE467" s="642"/>
      <c r="BF467" s="642"/>
      <c r="BG467" s="642"/>
      <c r="BH467" s="642"/>
      <c r="BI467" s="642"/>
      <c r="BJ467" s="634">
        <v>20464</v>
      </c>
      <c r="BK467" s="642"/>
      <c r="BL467" s="642"/>
      <c r="BM467" s="642"/>
      <c r="BN467" s="642"/>
      <c r="BO467" s="642"/>
      <c r="BP467" s="642"/>
      <c r="BQ467" s="642"/>
      <c r="BR467" s="642"/>
      <c r="BS467" s="642"/>
      <c r="BT467" s="642"/>
      <c r="BU467" s="642"/>
      <c r="BV467" s="642"/>
      <c r="BW467" s="24"/>
      <c r="BX467" s="24"/>
      <c r="BY467" s="24"/>
      <c r="BZ467" s="643"/>
      <c r="CA467" s="643"/>
      <c r="CB467" s="643"/>
      <c r="CC467" s="643"/>
      <c r="CD467" s="643"/>
      <c r="CE467" s="643"/>
      <c r="CF467" s="643"/>
      <c r="CG467" s="643"/>
      <c r="CH467" s="643"/>
      <c r="CI467" s="643"/>
      <c r="CJ467" s="643"/>
      <c r="CK467" s="643"/>
      <c r="CL467" s="643"/>
      <c r="CM467" s="643"/>
      <c r="CN467" s="643"/>
      <c r="CO467" s="643"/>
      <c r="CP467" s="643"/>
      <c r="CQ467" s="643"/>
      <c r="CR467" s="643"/>
      <c r="CS467" s="636" t="s">
        <v>2348</v>
      </c>
      <c r="CT467" s="643"/>
      <c r="CU467" s="643"/>
      <c r="CV467" s="643"/>
      <c r="CW467" s="643"/>
      <c r="CX467" s="643"/>
      <c r="CY467" s="643"/>
      <c r="CZ467" s="643"/>
      <c r="DA467" s="643"/>
      <c r="DB467" s="643"/>
      <c r="DC467" s="643"/>
      <c r="DD467" s="643"/>
      <c r="DE467" s="643"/>
    </row>
    <row r="468" spans="34:109" ht="15" hidden="1" customHeight="1">
      <c r="AH468" s="24"/>
      <c r="AI468" s="24"/>
      <c r="AJ468" s="24"/>
      <c r="AK468" s="24"/>
      <c r="AL468" s="630" t="str">
        <f t="shared" si="14"/>
        <v/>
      </c>
      <c r="AM468" s="630" t="str">
        <f t="shared" si="15"/>
        <v/>
      </c>
      <c r="AO468" s="24"/>
      <c r="AP468" s="628">
        <v>466</v>
      </c>
      <c r="AQ468" s="642"/>
      <c r="AR468" s="642"/>
      <c r="AS468" s="642"/>
      <c r="AT468" s="642"/>
      <c r="AU468" s="642"/>
      <c r="AV468" s="642"/>
      <c r="AW468" s="642"/>
      <c r="AX468" s="642"/>
      <c r="AY468" s="642"/>
      <c r="AZ468" s="642"/>
      <c r="BA468" s="642"/>
      <c r="BB468" s="642"/>
      <c r="BC468" s="642"/>
      <c r="BD468" s="642"/>
      <c r="BE468" s="642"/>
      <c r="BF468" s="642"/>
      <c r="BG468" s="642"/>
      <c r="BH468" s="642"/>
      <c r="BI468" s="642"/>
      <c r="BJ468" s="634">
        <v>20465</v>
      </c>
      <c r="BK468" s="642"/>
      <c r="BL468" s="642"/>
      <c r="BM468" s="642"/>
      <c r="BN468" s="642"/>
      <c r="BO468" s="642"/>
      <c r="BP468" s="642"/>
      <c r="BQ468" s="642"/>
      <c r="BR468" s="642"/>
      <c r="BS468" s="642"/>
      <c r="BT468" s="642"/>
      <c r="BU468" s="642"/>
      <c r="BV468" s="642"/>
      <c r="BW468" s="24"/>
      <c r="BX468" s="24"/>
      <c r="BY468" s="24"/>
      <c r="BZ468" s="643"/>
      <c r="CA468" s="643"/>
      <c r="CB468" s="643"/>
      <c r="CC468" s="643"/>
      <c r="CD468" s="643"/>
      <c r="CE468" s="643"/>
      <c r="CF468" s="643"/>
      <c r="CG468" s="643"/>
      <c r="CH468" s="643"/>
      <c r="CI468" s="643"/>
      <c r="CJ468" s="643"/>
      <c r="CK468" s="643"/>
      <c r="CL468" s="643"/>
      <c r="CM468" s="643"/>
      <c r="CN468" s="643"/>
      <c r="CO468" s="643"/>
      <c r="CP468" s="643"/>
      <c r="CQ468" s="643"/>
      <c r="CR468" s="643"/>
      <c r="CS468" s="636" t="s">
        <v>2349</v>
      </c>
      <c r="CT468" s="643"/>
      <c r="CU468" s="643"/>
      <c r="CV468" s="643"/>
      <c r="CW468" s="643"/>
      <c r="CX468" s="643"/>
      <c r="CY468" s="643"/>
      <c r="CZ468" s="643"/>
      <c r="DA468" s="643"/>
      <c r="DB468" s="643"/>
      <c r="DC468" s="643"/>
      <c r="DD468" s="643"/>
      <c r="DE468" s="643"/>
    </row>
    <row r="469" spans="34:109" ht="15" hidden="1" customHeight="1">
      <c r="AH469" s="628"/>
      <c r="AI469" s="628"/>
      <c r="AJ469" s="628"/>
      <c r="AK469" s="628"/>
      <c r="AL469" s="630" t="str">
        <f t="shared" si="14"/>
        <v/>
      </c>
      <c r="AM469" s="630" t="str">
        <f t="shared" si="15"/>
        <v/>
      </c>
      <c r="AO469" s="628"/>
      <c r="AP469" s="628">
        <v>467</v>
      </c>
      <c r="AQ469" s="634"/>
      <c r="AR469" s="634"/>
      <c r="AS469" s="634"/>
      <c r="AT469" s="634"/>
      <c r="AU469" s="634"/>
      <c r="AV469" s="634"/>
      <c r="AW469" s="634"/>
      <c r="AX469" s="634"/>
      <c r="AY469" s="634"/>
      <c r="AZ469" s="634"/>
      <c r="BA469" s="634"/>
      <c r="BB469" s="634"/>
      <c r="BC469" s="634"/>
      <c r="BD469" s="634"/>
      <c r="BE469" s="634"/>
      <c r="BF469" s="634"/>
      <c r="BG469" s="634"/>
      <c r="BH469" s="634"/>
      <c r="BI469" s="634"/>
      <c r="BJ469" s="634">
        <v>20466</v>
      </c>
      <c r="BK469" s="634"/>
      <c r="BL469" s="634"/>
      <c r="BM469" s="634"/>
      <c r="BN469" s="634"/>
      <c r="BO469" s="634"/>
      <c r="BP469" s="634"/>
      <c r="BQ469" s="634"/>
      <c r="BR469" s="634"/>
      <c r="BS469" s="634"/>
      <c r="BT469" s="634"/>
      <c r="BU469" s="634"/>
      <c r="BV469" s="634"/>
      <c r="BW469" s="628"/>
      <c r="BX469" s="628"/>
      <c r="BY469" s="628"/>
      <c r="BZ469" s="636"/>
      <c r="CA469" s="636"/>
      <c r="CB469" s="636"/>
      <c r="CC469" s="636"/>
      <c r="CD469" s="636"/>
      <c r="CE469" s="636"/>
      <c r="CF469" s="636"/>
      <c r="CG469" s="636"/>
      <c r="CH469" s="636"/>
      <c r="CI469" s="636"/>
      <c r="CJ469" s="636"/>
      <c r="CK469" s="636"/>
      <c r="CL469" s="636"/>
      <c r="CM469" s="636"/>
      <c r="CN469" s="636"/>
      <c r="CO469" s="636"/>
      <c r="CP469" s="636"/>
      <c r="CQ469" s="636"/>
      <c r="CR469" s="636"/>
      <c r="CS469" s="636" t="s">
        <v>2350</v>
      </c>
      <c r="CT469" s="636"/>
      <c r="CU469" s="636"/>
      <c r="CV469" s="636"/>
      <c r="CW469" s="636"/>
      <c r="CX469" s="636"/>
      <c r="CY469" s="636"/>
      <c r="CZ469" s="636"/>
      <c r="DA469" s="636"/>
      <c r="DB469" s="636"/>
      <c r="DC469" s="636"/>
      <c r="DD469" s="636"/>
      <c r="DE469" s="636"/>
    </row>
    <row r="470" spans="34:109" ht="15" hidden="1" customHeight="1">
      <c r="AH470" s="24"/>
      <c r="AI470" s="24"/>
      <c r="AJ470" s="24"/>
      <c r="AK470" s="24"/>
      <c r="AL470" s="630" t="str">
        <f t="shared" si="14"/>
        <v/>
      </c>
      <c r="AM470" s="630" t="str">
        <f t="shared" si="15"/>
        <v/>
      </c>
      <c r="AO470" s="24"/>
      <c r="AP470" s="628">
        <v>468</v>
      </c>
      <c r="AQ470" s="642"/>
      <c r="AR470" s="642"/>
      <c r="AS470" s="642"/>
      <c r="AT470" s="642"/>
      <c r="AU470" s="642"/>
      <c r="AV470" s="642"/>
      <c r="AW470" s="642"/>
      <c r="AX470" s="642"/>
      <c r="AY470" s="642"/>
      <c r="AZ470" s="642"/>
      <c r="BA470" s="642"/>
      <c r="BB470" s="642"/>
      <c r="BC470" s="642"/>
      <c r="BD470" s="642"/>
      <c r="BE470" s="642"/>
      <c r="BF470" s="642"/>
      <c r="BG470" s="642"/>
      <c r="BH470" s="642"/>
      <c r="BI470" s="642"/>
      <c r="BJ470" s="634">
        <v>20467</v>
      </c>
      <c r="BK470" s="642"/>
      <c r="BL470" s="642"/>
      <c r="BM470" s="642"/>
      <c r="BN470" s="642"/>
      <c r="BO470" s="642"/>
      <c r="BP470" s="642"/>
      <c r="BQ470" s="642"/>
      <c r="BR470" s="642"/>
      <c r="BS470" s="642"/>
      <c r="BT470" s="642"/>
      <c r="BU470" s="642"/>
      <c r="BV470" s="642"/>
      <c r="BW470" s="24"/>
      <c r="BX470" s="24"/>
      <c r="BY470" s="24"/>
      <c r="BZ470" s="643"/>
      <c r="CA470" s="643"/>
      <c r="CB470" s="643"/>
      <c r="CC470" s="643"/>
      <c r="CD470" s="643"/>
      <c r="CE470" s="643"/>
      <c r="CF470" s="643"/>
      <c r="CG470" s="643"/>
      <c r="CH470" s="643"/>
      <c r="CI470" s="643"/>
      <c r="CJ470" s="643"/>
      <c r="CK470" s="643"/>
      <c r="CL470" s="643"/>
      <c r="CM470" s="643"/>
      <c r="CN470" s="643"/>
      <c r="CO470" s="643"/>
      <c r="CP470" s="643"/>
      <c r="CQ470" s="643"/>
      <c r="CR470" s="643"/>
      <c r="CS470" s="636" t="s">
        <v>2351</v>
      </c>
      <c r="CT470" s="643"/>
      <c r="CU470" s="643"/>
      <c r="CV470" s="643"/>
      <c r="CW470" s="643"/>
      <c r="CX470" s="643"/>
      <c r="CY470" s="643"/>
      <c r="CZ470" s="643"/>
      <c r="DA470" s="643"/>
      <c r="DB470" s="643"/>
      <c r="DC470" s="643"/>
      <c r="DD470" s="643"/>
      <c r="DE470" s="643"/>
    </row>
    <row r="471" spans="34:109" ht="15" hidden="1" customHeight="1">
      <c r="AH471" s="24"/>
      <c r="AI471" s="24"/>
      <c r="AJ471" s="24"/>
      <c r="AK471" s="24"/>
      <c r="AL471" s="630" t="str">
        <f t="shared" si="14"/>
        <v/>
      </c>
      <c r="AM471" s="630" t="str">
        <f t="shared" si="15"/>
        <v/>
      </c>
      <c r="AO471" s="24"/>
      <c r="AP471" s="628">
        <v>469</v>
      </c>
      <c r="AQ471" s="642"/>
      <c r="AR471" s="642"/>
      <c r="AS471" s="642"/>
      <c r="AT471" s="642"/>
      <c r="AU471" s="642"/>
      <c r="AV471" s="642"/>
      <c r="AW471" s="642"/>
      <c r="AX471" s="642"/>
      <c r="AY471" s="642"/>
      <c r="AZ471" s="642"/>
      <c r="BA471" s="642"/>
      <c r="BB471" s="642"/>
      <c r="BC471" s="642"/>
      <c r="BD471" s="642"/>
      <c r="BE471" s="642"/>
      <c r="BF471" s="642"/>
      <c r="BG471" s="642"/>
      <c r="BH471" s="642"/>
      <c r="BI471" s="642"/>
      <c r="BJ471" s="634">
        <v>20468</v>
      </c>
      <c r="BK471" s="642"/>
      <c r="BL471" s="642"/>
      <c r="BM471" s="642"/>
      <c r="BN471" s="642"/>
      <c r="BO471" s="642"/>
      <c r="BP471" s="642"/>
      <c r="BQ471" s="642"/>
      <c r="BR471" s="642"/>
      <c r="BS471" s="642"/>
      <c r="BT471" s="642"/>
      <c r="BU471" s="642"/>
      <c r="BV471" s="642"/>
      <c r="BW471" s="24"/>
      <c r="BX471" s="24"/>
      <c r="BY471" s="24"/>
      <c r="BZ471" s="643"/>
      <c r="CA471" s="643"/>
      <c r="CB471" s="643"/>
      <c r="CC471" s="643"/>
      <c r="CD471" s="643"/>
      <c r="CE471" s="643"/>
      <c r="CF471" s="643"/>
      <c r="CG471" s="643"/>
      <c r="CH471" s="643"/>
      <c r="CI471" s="643"/>
      <c r="CJ471" s="643"/>
      <c r="CK471" s="643"/>
      <c r="CL471" s="643"/>
      <c r="CM471" s="643"/>
      <c r="CN471" s="643"/>
      <c r="CO471" s="643"/>
      <c r="CP471" s="643"/>
      <c r="CQ471" s="643"/>
      <c r="CR471" s="643"/>
      <c r="CS471" s="636" t="s">
        <v>2352</v>
      </c>
      <c r="CT471" s="643"/>
      <c r="CU471" s="643"/>
      <c r="CV471" s="643"/>
      <c r="CW471" s="643"/>
      <c r="CX471" s="643"/>
      <c r="CY471" s="643"/>
      <c r="CZ471" s="643"/>
      <c r="DA471" s="643"/>
      <c r="DB471" s="643"/>
      <c r="DC471" s="643"/>
      <c r="DD471" s="643"/>
      <c r="DE471" s="643"/>
    </row>
    <row r="472" spans="34:109" ht="15" hidden="1" customHeight="1">
      <c r="AH472" s="24"/>
      <c r="AI472" s="24"/>
      <c r="AJ472" s="24"/>
      <c r="AK472" s="24"/>
      <c r="AL472" s="630" t="str">
        <f t="shared" si="14"/>
        <v/>
      </c>
      <c r="AM472" s="630" t="str">
        <f t="shared" si="15"/>
        <v/>
      </c>
      <c r="AO472" s="24"/>
      <c r="AP472" s="628">
        <v>470</v>
      </c>
      <c r="AQ472" s="642"/>
      <c r="AR472" s="642"/>
      <c r="AS472" s="642"/>
      <c r="AT472" s="642"/>
      <c r="AU472" s="642"/>
      <c r="AV472" s="642"/>
      <c r="AW472" s="642"/>
      <c r="AX472" s="642"/>
      <c r="AY472" s="642"/>
      <c r="AZ472" s="642"/>
      <c r="BA472" s="642"/>
      <c r="BB472" s="642"/>
      <c r="BC472" s="642"/>
      <c r="BD472" s="642"/>
      <c r="BE472" s="642"/>
      <c r="BF472" s="642"/>
      <c r="BG472" s="642"/>
      <c r="BH472" s="642"/>
      <c r="BI472" s="642"/>
      <c r="BJ472" s="634">
        <v>20469</v>
      </c>
      <c r="BK472" s="642"/>
      <c r="BL472" s="642"/>
      <c r="BM472" s="642"/>
      <c r="BN472" s="642"/>
      <c r="BO472" s="642"/>
      <c r="BP472" s="642"/>
      <c r="BQ472" s="642"/>
      <c r="BR472" s="642"/>
      <c r="BS472" s="642"/>
      <c r="BT472" s="642"/>
      <c r="BU472" s="642"/>
      <c r="BV472" s="642"/>
      <c r="BW472" s="24"/>
      <c r="BX472" s="24"/>
      <c r="BY472" s="24"/>
      <c r="BZ472" s="643"/>
      <c r="CA472" s="643"/>
      <c r="CB472" s="643"/>
      <c r="CC472" s="643"/>
      <c r="CD472" s="643"/>
      <c r="CE472" s="643"/>
      <c r="CF472" s="643"/>
      <c r="CG472" s="643"/>
      <c r="CH472" s="643"/>
      <c r="CI472" s="643"/>
      <c r="CJ472" s="643"/>
      <c r="CK472" s="643"/>
      <c r="CL472" s="643"/>
      <c r="CM472" s="643"/>
      <c r="CN472" s="643"/>
      <c r="CO472" s="643"/>
      <c r="CP472" s="643"/>
      <c r="CQ472" s="643"/>
      <c r="CR472" s="643"/>
      <c r="CS472" s="636" t="s">
        <v>2353</v>
      </c>
      <c r="CT472" s="643"/>
      <c r="CU472" s="643"/>
      <c r="CV472" s="643"/>
      <c r="CW472" s="643"/>
      <c r="CX472" s="643"/>
      <c r="CY472" s="643"/>
      <c r="CZ472" s="643"/>
      <c r="DA472" s="643"/>
      <c r="DB472" s="643"/>
      <c r="DC472" s="643"/>
      <c r="DD472" s="643"/>
      <c r="DE472" s="643"/>
    </row>
    <row r="473" spans="34:109" ht="15" hidden="1" customHeight="1">
      <c r="AH473" s="24"/>
      <c r="AI473" s="24"/>
      <c r="AJ473" s="24"/>
      <c r="AK473" s="24"/>
      <c r="AL473" s="630" t="str">
        <f t="shared" si="14"/>
        <v/>
      </c>
      <c r="AM473" s="630" t="str">
        <f t="shared" si="15"/>
        <v/>
      </c>
      <c r="AO473" s="24"/>
      <c r="AP473" s="628">
        <v>471</v>
      </c>
      <c r="AQ473" s="642"/>
      <c r="AR473" s="642"/>
      <c r="AS473" s="642"/>
      <c r="AT473" s="642"/>
      <c r="AU473" s="642"/>
      <c r="AV473" s="642"/>
      <c r="AW473" s="642"/>
      <c r="AX473" s="642"/>
      <c r="AY473" s="642"/>
      <c r="AZ473" s="642"/>
      <c r="BA473" s="642"/>
      <c r="BB473" s="642"/>
      <c r="BC473" s="642"/>
      <c r="BD473" s="642"/>
      <c r="BE473" s="642"/>
      <c r="BF473" s="642"/>
      <c r="BG473" s="642"/>
      <c r="BH473" s="642"/>
      <c r="BI473" s="642"/>
      <c r="BJ473" s="634">
        <v>20470</v>
      </c>
      <c r="BK473" s="642"/>
      <c r="BL473" s="642"/>
      <c r="BM473" s="642"/>
      <c r="BN473" s="642"/>
      <c r="BO473" s="642"/>
      <c r="BP473" s="642"/>
      <c r="BQ473" s="642"/>
      <c r="BR473" s="642"/>
      <c r="BS473" s="642"/>
      <c r="BT473" s="642"/>
      <c r="BU473" s="642"/>
      <c r="BV473" s="642"/>
      <c r="BW473" s="24"/>
      <c r="BX473" s="24"/>
      <c r="BY473" s="24"/>
      <c r="BZ473" s="643"/>
      <c r="CA473" s="643"/>
      <c r="CB473" s="643"/>
      <c r="CC473" s="643"/>
      <c r="CD473" s="643"/>
      <c r="CE473" s="643"/>
      <c r="CF473" s="643"/>
      <c r="CG473" s="643"/>
      <c r="CH473" s="643"/>
      <c r="CI473" s="643"/>
      <c r="CJ473" s="643"/>
      <c r="CK473" s="643"/>
      <c r="CL473" s="643"/>
      <c r="CM473" s="643"/>
      <c r="CN473" s="643"/>
      <c r="CO473" s="643"/>
      <c r="CP473" s="643"/>
      <c r="CQ473" s="643"/>
      <c r="CR473" s="643"/>
      <c r="CS473" s="636" t="s">
        <v>2354</v>
      </c>
      <c r="CT473" s="643"/>
      <c r="CU473" s="643"/>
      <c r="CV473" s="643"/>
      <c r="CW473" s="643"/>
      <c r="CX473" s="643"/>
      <c r="CY473" s="643"/>
      <c r="CZ473" s="643"/>
      <c r="DA473" s="643"/>
      <c r="DB473" s="643"/>
      <c r="DC473" s="643"/>
      <c r="DD473" s="643"/>
      <c r="DE473" s="643"/>
    </row>
    <row r="474" spans="34:109" ht="15" hidden="1" customHeight="1">
      <c r="AH474" s="24"/>
      <c r="AI474" s="24"/>
      <c r="AJ474" s="24"/>
      <c r="AK474" s="24"/>
      <c r="AL474" s="630" t="str">
        <f t="shared" si="14"/>
        <v/>
      </c>
      <c r="AM474" s="630" t="str">
        <f t="shared" si="15"/>
        <v/>
      </c>
      <c r="AO474" s="24"/>
      <c r="AP474" s="628">
        <v>472</v>
      </c>
      <c r="AQ474" s="642"/>
      <c r="AR474" s="642"/>
      <c r="AS474" s="642"/>
      <c r="AT474" s="642"/>
      <c r="AU474" s="642"/>
      <c r="AV474" s="642"/>
      <c r="AW474" s="642"/>
      <c r="AX474" s="642"/>
      <c r="AY474" s="642"/>
      <c r="AZ474" s="642"/>
      <c r="BA474" s="642"/>
      <c r="BB474" s="642"/>
      <c r="BC474" s="642"/>
      <c r="BD474" s="642"/>
      <c r="BE474" s="642"/>
      <c r="BF474" s="642"/>
      <c r="BG474" s="642"/>
      <c r="BH474" s="642"/>
      <c r="BI474" s="642"/>
      <c r="BJ474" s="634">
        <v>20471</v>
      </c>
      <c r="BK474" s="642"/>
      <c r="BL474" s="642"/>
      <c r="BM474" s="642"/>
      <c r="BN474" s="642"/>
      <c r="BO474" s="642"/>
      <c r="BP474" s="642"/>
      <c r="BQ474" s="642"/>
      <c r="BR474" s="642"/>
      <c r="BS474" s="642"/>
      <c r="BT474" s="642"/>
      <c r="BU474" s="642"/>
      <c r="BV474" s="642"/>
      <c r="BW474" s="24"/>
      <c r="BX474" s="24"/>
      <c r="BY474" s="24"/>
      <c r="BZ474" s="643"/>
      <c r="CA474" s="643"/>
      <c r="CB474" s="643"/>
      <c r="CC474" s="643"/>
      <c r="CD474" s="643"/>
      <c r="CE474" s="643"/>
      <c r="CF474" s="643"/>
      <c r="CG474" s="643"/>
      <c r="CH474" s="643"/>
      <c r="CI474" s="643"/>
      <c r="CJ474" s="643"/>
      <c r="CK474" s="643"/>
      <c r="CL474" s="643"/>
      <c r="CM474" s="643"/>
      <c r="CN474" s="643"/>
      <c r="CO474" s="643"/>
      <c r="CP474" s="643"/>
      <c r="CQ474" s="643"/>
      <c r="CR474" s="643"/>
      <c r="CS474" s="636" t="s">
        <v>2355</v>
      </c>
      <c r="CT474" s="643"/>
      <c r="CU474" s="643"/>
      <c r="CV474" s="643"/>
      <c r="CW474" s="643"/>
      <c r="CX474" s="643"/>
      <c r="CY474" s="643"/>
      <c r="CZ474" s="643"/>
      <c r="DA474" s="643"/>
      <c r="DB474" s="643"/>
      <c r="DC474" s="643"/>
      <c r="DD474" s="643"/>
      <c r="DE474" s="643"/>
    </row>
    <row r="475" spans="34:109" ht="15" hidden="1" customHeight="1">
      <c r="AH475" s="24"/>
      <c r="AI475" s="24"/>
      <c r="AJ475" s="24"/>
      <c r="AK475" s="24"/>
      <c r="AL475" s="630" t="str">
        <f t="shared" si="14"/>
        <v/>
      </c>
      <c r="AM475" s="630" t="str">
        <f t="shared" si="15"/>
        <v/>
      </c>
      <c r="AO475" s="24"/>
      <c r="AP475" s="628">
        <v>473</v>
      </c>
      <c r="AQ475" s="642"/>
      <c r="AR475" s="642"/>
      <c r="AS475" s="642"/>
      <c r="AT475" s="642"/>
      <c r="AU475" s="642"/>
      <c r="AV475" s="642"/>
      <c r="AW475" s="642"/>
      <c r="AX475" s="642"/>
      <c r="AY475" s="642"/>
      <c r="AZ475" s="642"/>
      <c r="BA475" s="642"/>
      <c r="BB475" s="642"/>
      <c r="BC475" s="642"/>
      <c r="BD475" s="642"/>
      <c r="BE475" s="642"/>
      <c r="BF475" s="642"/>
      <c r="BG475" s="642"/>
      <c r="BH475" s="642"/>
      <c r="BI475" s="642"/>
      <c r="BJ475" s="634">
        <v>20472</v>
      </c>
      <c r="BK475" s="642"/>
      <c r="BL475" s="642"/>
      <c r="BM475" s="642"/>
      <c r="BN475" s="642"/>
      <c r="BO475" s="642"/>
      <c r="BP475" s="642"/>
      <c r="BQ475" s="642"/>
      <c r="BR475" s="642"/>
      <c r="BS475" s="642"/>
      <c r="BT475" s="642"/>
      <c r="BU475" s="642"/>
      <c r="BV475" s="642"/>
      <c r="BW475" s="24"/>
      <c r="BX475" s="24"/>
      <c r="BY475" s="24"/>
      <c r="BZ475" s="643"/>
      <c r="CA475" s="643"/>
      <c r="CB475" s="643"/>
      <c r="CC475" s="643"/>
      <c r="CD475" s="643"/>
      <c r="CE475" s="643"/>
      <c r="CF475" s="643"/>
      <c r="CG475" s="643"/>
      <c r="CH475" s="643"/>
      <c r="CI475" s="643"/>
      <c r="CJ475" s="643"/>
      <c r="CK475" s="643"/>
      <c r="CL475" s="643"/>
      <c r="CM475" s="643"/>
      <c r="CN475" s="643"/>
      <c r="CO475" s="643"/>
      <c r="CP475" s="643"/>
      <c r="CQ475" s="643"/>
      <c r="CR475" s="643"/>
      <c r="CS475" s="636" t="s">
        <v>2356</v>
      </c>
      <c r="CT475" s="643"/>
      <c r="CU475" s="643"/>
      <c r="CV475" s="643"/>
      <c r="CW475" s="643"/>
      <c r="CX475" s="643"/>
      <c r="CY475" s="643"/>
      <c r="CZ475" s="643"/>
      <c r="DA475" s="643"/>
      <c r="DB475" s="643"/>
      <c r="DC475" s="643"/>
      <c r="DD475" s="643"/>
      <c r="DE475" s="643"/>
    </row>
    <row r="476" spans="34:109" ht="15" hidden="1" customHeight="1">
      <c r="AH476" s="24"/>
      <c r="AI476" s="24"/>
      <c r="AJ476" s="24"/>
      <c r="AK476" s="24"/>
      <c r="AL476" s="630" t="str">
        <f t="shared" si="14"/>
        <v/>
      </c>
      <c r="AM476" s="630" t="str">
        <f t="shared" si="15"/>
        <v/>
      </c>
      <c r="AO476" s="24"/>
      <c r="AP476" s="628">
        <v>474</v>
      </c>
      <c r="AQ476" s="642"/>
      <c r="AR476" s="642"/>
      <c r="AS476" s="642"/>
      <c r="AT476" s="642"/>
      <c r="AU476" s="642"/>
      <c r="AV476" s="642"/>
      <c r="AW476" s="642"/>
      <c r="AX476" s="642"/>
      <c r="AY476" s="642"/>
      <c r="AZ476" s="642"/>
      <c r="BA476" s="642"/>
      <c r="BB476" s="642"/>
      <c r="BC476" s="642"/>
      <c r="BD476" s="642"/>
      <c r="BE476" s="642"/>
      <c r="BF476" s="642"/>
      <c r="BG476" s="642"/>
      <c r="BH476" s="642"/>
      <c r="BI476" s="642"/>
      <c r="BJ476" s="634">
        <v>20473</v>
      </c>
      <c r="BK476" s="642"/>
      <c r="BL476" s="642"/>
      <c r="BM476" s="642"/>
      <c r="BN476" s="642"/>
      <c r="BO476" s="642"/>
      <c r="BP476" s="642"/>
      <c r="BQ476" s="642"/>
      <c r="BR476" s="642"/>
      <c r="BS476" s="642"/>
      <c r="BT476" s="642"/>
      <c r="BU476" s="642"/>
      <c r="BV476" s="642"/>
      <c r="BW476" s="24"/>
      <c r="BX476" s="24"/>
      <c r="BY476" s="24"/>
      <c r="BZ476" s="643"/>
      <c r="CA476" s="643"/>
      <c r="CB476" s="643"/>
      <c r="CC476" s="643"/>
      <c r="CD476" s="643"/>
      <c r="CE476" s="643"/>
      <c r="CF476" s="643"/>
      <c r="CG476" s="643"/>
      <c r="CH476" s="643"/>
      <c r="CI476" s="643"/>
      <c r="CJ476" s="643"/>
      <c r="CK476" s="643"/>
      <c r="CL476" s="643"/>
      <c r="CM476" s="643"/>
      <c r="CN476" s="643"/>
      <c r="CO476" s="643"/>
      <c r="CP476" s="643"/>
      <c r="CQ476" s="643"/>
      <c r="CR476" s="643"/>
      <c r="CS476" s="636" t="s">
        <v>2357</v>
      </c>
      <c r="CT476" s="643"/>
      <c r="CU476" s="643"/>
      <c r="CV476" s="643"/>
      <c r="CW476" s="643"/>
      <c r="CX476" s="643"/>
      <c r="CY476" s="643"/>
      <c r="CZ476" s="643"/>
      <c r="DA476" s="643"/>
      <c r="DB476" s="643"/>
      <c r="DC476" s="643"/>
      <c r="DD476" s="643"/>
      <c r="DE476" s="643"/>
    </row>
    <row r="477" spans="34:109" ht="15" hidden="1" customHeight="1">
      <c r="AH477" s="24"/>
      <c r="AI477" s="24"/>
      <c r="AJ477" s="24"/>
      <c r="AK477" s="24"/>
      <c r="AL477" s="630" t="str">
        <f t="shared" si="14"/>
        <v/>
      </c>
      <c r="AM477" s="630" t="str">
        <f t="shared" si="15"/>
        <v/>
      </c>
      <c r="AO477" s="24"/>
      <c r="AP477" s="628">
        <v>475</v>
      </c>
      <c r="AQ477" s="642"/>
      <c r="AR477" s="642"/>
      <c r="AS477" s="642"/>
      <c r="AT477" s="642"/>
      <c r="AU477" s="642"/>
      <c r="AV477" s="642"/>
      <c r="AW477" s="642"/>
      <c r="AX477" s="642"/>
      <c r="AY477" s="642"/>
      <c r="AZ477" s="642"/>
      <c r="BA477" s="642"/>
      <c r="BB477" s="642"/>
      <c r="BC477" s="642"/>
      <c r="BD477" s="642"/>
      <c r="BE477" s="642"/>
      <c r="BF477" s="642"/>
      <c r="BG477" s="642"/>
      <c r="BH477" s="642"/>
      <c r="BI477" s="642"/>
      <c r="BJ477" s="634">
        <v>20474</v>
      </c>
      <c r="BK477" s="642"/>
      <c r="BL477" s="642"/>
      <c r="BM477" s="642"/>
      <c r="BN477" s="642"/>
      <c r="BO477" s="642"/>
      <c r="BP477" s="642"/>
      <c r="BQ477" s="642"/>
      <c r="BR477" s="642"/>
      <c r="BS477" s="642"/>
      <c r="BT477" s="642"/>
      <c r="BU477" s="642"/>
      <c r="BV477" s="642"/>
      <c r="BW477" s="24"/>
      <c r="BX477" s="24"/>
      <c r="BY477" s="24"/>
      <c r="BZ477" s="643"/>
      <c r="CA477" s="643"/>
      <c r="CB477" s="643"/>
      <c r="CC477" s="643"/>
      <c r="CD477" s="643"/>
      <c r="CE477" s="643"/>
      <c r="CF477" s="643"/>
      <c r="CG477" s="643"/>
      <c r="CH477" s="643"/>
      <c r="CI477" s="643"/>
      <c r="CJ477" s="643"/>
      <c r="CK477" s="643"/>
      <c r="CL477" s="643"/>
      <c r="CM477" s="643"/>
      <c r="CN477" s="643"/>
      <c r="CO477" s="643"/>
      <c r="CP477" s="643"/>
      <c r="CQ477" s="643"/>
      <c r="CR477" s="643"/>
      <c r="CS477" s="636" t="s">
        <v>2358</v>
      </c>
      <c r="CT477" s="643"/>
      <c r="CU477" s="643"/>
      <c r="CV477" s="643"/>
      <c r="CW477" s="643"/>
      <c r="CX477" s="643"/>
      <c r="CY477" s="643"/>
      <c r="CZ477" s="643"/>
      <c r="DA477" s="643"/>
      <c r="DB477" s="643"/>
      <c r="DC477" s="643"/>
      <c r="DD477" s="643"/>
      <c r="DE477" s="643"/>
    </row>
    <row r="478" spans="34:109" ht="15" hidden="1" customHeight="1">
      <c r="AH478" s="24"/>
      <c r="AI478" s="24"/>
      <c r="AJ478" s="24"/>
      <c r="AK478" s="24"/>
      <c r="AL478" s="630" t="str">
        <f t="shared" si="14"/>
        <v/>
      </c>
      <c r="AM478" s="630" t="str">
        <f t="shared" si="15"/>
        <v/>
      </c>
      <c r="AO478" s="24"/>
      <c r="AP478" s="628">
        <v>476</v>
      </c>
      <c r="AQ478" s="642"/>
      <c r="AR478" s="642"/>
      <c r="AS478" s="642"/>
      <c r="AT478" s="642"/>
      <c r="AU478" s="642"/>
      <c r="AV478" s="642"/>
      <c r="AW478" s="642"/>
      <c r="AX478" s="642"/>
      <c r="AY478" s="642"/>
      <c r="AZ478" s="642"/>
      <c r="BA478" s="642"/>
      <c r="BB478" s="642"/>
      <c r="BC478" s="642"/>
      <c r="BD478" s="642"/>
      <c r="BE478" s="642"/>
      <c r="BF478" s="642"/>
      <c r="BG478" s="642"/>
      <c r="BH478" s="642"/>
      <c r="BI478" s="642"/>
      <c r="BJ478" s="634">
        <v>20475</v>
      </c>
      <c r="BK478" s="642"/>
      <c r="BL478" s="642"/>
      <c r="BM478" s="642"/>
      <c r="BN478" s="642"/>
      <c r="BO478" s="642"/>
      <c r="BP478" s="642"/>
      <c r="BQ478" s="642"/>
      <c r="BR478" s="642"/>
      <c r="BS478" s="642"/>
      <c r="BT478" s="642"/>
      <c r="BU478" s="642"/>
      <c r="BV478" s="642"/>
      <c r="BW478" s="24"/>
      <c r="BX478" s="24"/>
      <c r="BY478" s="24"/>
      <c r="BZ478" s="643"/>
      <c r="CA478" s="643"/>
      <c r="CB478" s="643"/>
      <c r="CC478" s="643"/>
      <c r="CD478" s="643"/>
      <c r="CE478" s="643"/>
      <c r="CF478" s="643"/>
      <c r="CG478" s="643"/>
      <c r="CH478" s="643"/>
      <c r="CI478" s="643"/>
      <c r="CJ478" s="643"/>
      <c r="CK478" s="643"/>
      <c r="CL478" s="643"/>
      <c r="CM478" s="643"/>
      <c r="CN478" s="643"/>
      <c r="CO478" s="643"/>
      <c r="CP478" s="643"/>
      <c r="CQ478" s="643"/>
      <c r="CR478" s="643"/>
      <c r="CS478" s="636" t="s">
        <v>2359</v>
      </c>
      <c r="CT478" s="643"/>
      <c r="CU478" s="643"/>
      <c r="CV478" s="643"/>
      <c r="CW478" s="643"/>
      <c r="CX478" s="643"/>
      <c r="CY478" s="643"/>
      <c r="CZ478" s="643"/>
      <c r="DA478" s="643"/>
      <c r="DB478" s="643"/>
      <c r="DC478" s="643"/>
      <c r="DD478" s="643"/>
      <c r="DE478" s="643"/>
    </row>
    <row r="479" spans="34:109" ht="15" hidden="1" customHeight="1">
      <c r="AH479" s="24"/>
      <c r="AI479" s="24"/>
      <c r="AJ479" s="24"/>
      <c r="AK479" s="24"/>
      <c r="AL479" s="630" t="str">
        <f t="shared" si="14"/>
        <v/>
      </c>
      <c r="AM479" s="630" t="str">
        <f t="shared" si="15"/>
        <v/>
      </c>
      <c r="AO479" s="24"/>
      <c r="AP479" s="628">
        <v>477</v>
      </c>
      <c r="AQ479" s="642"/>
      <c r="AR479" s="642"/>
      <c r="AS479" s="642"/>
      <c r="AT479" s="642"/>
      <c r="AU479" s="642"/>
      <c r="AV479" s="642"/>
      <c r="AW479" s="642"/>
      <c r="AX479" s="642"/>
      <c r="AY479" s="642"/>
      <c r="AZ479" s="642"/>
      <c r="BA479" s="642"/>
      <c r="BB479" s="642"/>
      <c r="BC479" s="642"/>
      <c r="BD479" s="642"/>
      <c r="BE479" s="642"/>
      <c r="BF479" s="642"/>
      <c r="BG479" s="642"/>
      <c r="BH479" s="642"/>
      <c r="BI479" s="642"/>
      <c r="BJ479" s="634">
        <v>20476</v>
      </c>
      <c r="BK479" s="642"/>
      <c r="BL479" s="642"/>
      <c r="BM479" s="642"/>
      <c r="BN479" s="642"/>
      <c r="BO479" s="642"/>
      <c r="BP479" s="642"/>
      <c r="BQ479" s="642"/>
      <c r="BR479" s="642"/>
      <c r="BS479" s="642"/>
      <c r="BT479" s="642"/>
      <c r="BU479" s="642"/>
      <c r="BV479" s="642"/>
      <c r="BW479" s="24"/>
      <c r="BX479" s="24"/>
      <c r="BY479" s="24"/>
      <c r="BZ479" s="643"/>
      <c r="CA479" s="643"/>
      <c r="CB479" s="643"/>
      <c r="CC479" s="643"/>
      <c r="CD479" s="643"/>
      <c r="CE479" s="643"/>
      <c r="CF479" s="643"/>
      <c r="CG479" s="643"/>
      <c r="CH479" s="643"/>
      <c r="CI479" s="643"/>
      <c r="CJ479" s="643"/>
      <c r="CK479" s="643"/>
      <c r="CL479" s="643"/>
      <c r="CM479" s="643"/>
      <c r="CN479" s="643"/>
      <c r="CO479" s="643"/>
      <c r="CP479" s="643"/>
      <c r="CQ479" s="643"/>
      <c r="CR479" s="643"/>
      <c r="CS479" s="636" t="s">
        <v>2360</v>
      </c>
      <c r="CT479" s="643"/>
      <c r="CU479" s="643"/>
      <c r="CV479" s="643"/>
      <c r="CW479" s="643"/>
      <c r="CX479" s="643"/>
      <c r="CY479" s="643"/>
      <c r="CZ479" s="643"/>
      <c r="DA479" s="643"/>
      <c r="DB479" s="643"/>
      <c r="DC479" s="643"/>
      <c r="DD479" s="643"/>
      <c r="DE479" s="643"/>
    </row>
    <row r="480" spans="34:109" ht="15" hidden="1" customHeight="1">
      <c r="AH480" s="24"/>
      <c r="AI480" s="24"/>
      <c r="AJ480" s="24"/>
      <c r="AK480" s="24"/>
      <c r="AL480" s="630" t="str">
        <f t="shared" si="14"/>
        <v/>
      </c>
      <c r="AM480" s="630" t="str">
        <f t="shared" si="15"/>
        <v/>
      </c>
      <c r="AO480" s="24"/>
      <c r="AP480" s="628">
        <v>478</v>
      </c>
      <c r="AQ480" s="642"/>
      <c r="AR480" s="642"/>
      <c r="AS480" s="642"/>
      <c r="AT480" s="642"/>
      <c r="AU480" s="642"/>
      <c r="AV480" s="642"/>
      <c r="AW480" s="642"/>
      <c r="AX480" s="642"/>
      <c r="AY480" s="642"/>
      <c r="AZ480" s="642"/>
      <c r="BA480" s="642"/>
      <c r="BB480" s="642"/>
      <c r="BC480" s="642"/>
      <c r="BD480" s="642"/>
      <c r="BE480" s="642"/>
      <c r="BF480" s="642"/>
      <c r="BG480" s="642"/>
      <c r="BH480" s="642"/>
      <c r="BI480" s="642"/>
      <c r="BJ480" s="634">
        <v>20477</v>
      </c>
      <c r="BK480" s="642"/>
      <c r="BL480" s="642"/>
      <c r="BM480" s="642"/>
      <c r="BN480" s="642"/>
      <c r="BO480" s="642"/>
      <c r="BP480" s="642"/>
      <c r="BQ480" s="642"/>
      <c r="BR480" s="642"/>
      <c r="BS480" s="642"/>
      <c r="BT480" s="642"/>
      <c r="BU480" s="642"/>
      <c r="BV480" s="642"/>
      <c r="BW480" s="24"/>
      <c r="BX480" s="24"/>
      <c r="BY480" s="24"/>
      <c r="BZ480" s="643"/>
      <c r="CA480" s="643"/>
      <c r="CB480" s="643"/>
      <c r="CC480" s="643"/>
      <c r="CD480" s="643"/>
      <c r="CE480" s="643"/>
      <c r="CF480" s="643"/>
      <c r="CG480" s="643"/>
      <c r="CH480" s="643"/>
      <c r="CI480" s="643"/>
      <c r="CJ480" s="643"/>
      <c r="CK480" s="643"/>
      <c r="CL480" s="643"/>
      <c r="CM480" s="643"/>
      <c r="CN480" s="643"/>
      <c r="CO480" s="643"/>
      <c r="CP480" s="643"/>
      <c r="CQ480" s="643"/>
      <c r="CR480" s="643"/>
      <c r="CS480" s="636" t="s">
        <v>2361</v>
      </c>
      <c r="CT480" s="643"/>
      <c r="CU480" s="643"/>
      <c r="CV480" s="643"/>
      <c r="CW480" s="643"/>
      <c r="CX480" s="643"/>
      <c r="CY480" s="643"/>
      <c r="CZ480" s="643"/>
      <c r="DA480" s="643"/>
      <c r="DB480" s="643"/>
      <c r="DC480" s="643"/>
      <c r="DD480" s="643"/>
      <c r="DE480" s="643"/>
    </row>
    <row r="481" spans="34:109" ht="15" hidden="1" customHeight="1">
      <c r="AH481" s="24"/>
      <c r="AI481" s="24"/>
      <c r="AJ481" s="24"/>
      <c r="AK481" s="24"/>
      <c r="AL481" s="630" t="str">
        <f t="shared" si="14"/>
        <v/>
      </c>
      <c r="AM481" s="630" t="str">
        <f t="shared" si="15"/>
        <v/>
      </c>
      <c r="AO481" s="24"/>
      <c r="AP481" s="628">
        <v>479</v>
      </c>
      <c r="AQ481" s="642"/>
      <c r="AR481" s="642"/>
      <c r="AS481" s="642"/>
      <c r="AT481" s="642"/>
      <c r="AU481" s="642"/>
      <c r="AV481" s="642"/>
      <c r="AW481" s="642"/>
      <c r="AX481" s="642"/>
      <c r="AY481" s="642"/>
      <c r="AZ481" s="642"/>
      <c r="BA481" s="642"/>
      <c r="BB481" s="642"/>
      <c r="BC481" s="642"/>
      <c r="BD481" s="642"/>
      <c r="BE481" s="642"/>
      <c r="BF481" s="642"/>
      <c r="BG481" s="642"/>
      <c r="BH481" s="642"/>
      <c r="BI481" s="642"/>
      <c r="BJ481" s="634">
        <v>20478</v>
      </c>
      <c r="BK481" s="642"/>
      <c r="BL481" s="642"/>
      <c r="BM481" s="642"/>
      <c r="BN481" s="642"/>
      <c r="BO481" s="642"/>
      <c r="BP481" s="642"/>
      <c r="BQ481" s="642"/>
      <c r="BR481" s="642"/>
      <c r="BS481" s="642"/>
      <c r="BT481" s="642"/>
      <c r="BU481" s="642"/>
      <c r="BV481" s="642"/>
      <c r="BW481" s="24"/>
      <c r="BX481" s="24"/>
      <c r="BY481" s="24"/>
      <c r="BZ481" s="643"/>
      <c r="CA481" s="643"/>
      <c r="CB481" s="643"/>
      <c r="CC481" s="643"/>
      <c r="CD481" s="643"/>
      <c r="CE481" s="643"/>
      <c r="CF481" s="643"/>
      <c r="CG481" s="643"/>
      <c r="CH481" s="643"/>
      <c r="CI481" s="643"/>
      <c r="CJ481" s="643"/>
      <c r="CK481" s="643"/>
      <c r="CL481" s="643"/>
      <c r="CM481" s="643"/>
      <c r="CN481" s="643"/>
      <c r="CO481" s="643"/>
      <c r="CP481" s="643"/>
      <c r="CQ481" s="643"/>
      <c r="CR481" s="643"/>
      <c r="CS481" s="636" t="s">
        <v>2362</v>
      </c>
      <c r="CT481" s="643"/>
      <c r="CU481" s="643"/>
      <c r="CV481" s="643"/>
      <c r="CW481" s="643"/>
      <c r="CX481" s="643"/>
      <c r="CY481" s="643"/>
      <c r="CZ481" s="643"/>
      <c r="DA481" s="643"/>
      <c r="DB481" s="643"/>
      <c r="DC481" s="643"/>
      <c r="DD481" s="643"/>
      <c r="DE481" s="643"/>
    </row>
    <row r="482" spans="34:109" ht="15" hidden="1" customHeight="1">
      <c r="AH482" s="24"/>
      <c r="AI482" s="24"/>
      <c r="AJ482" s="24"/>
      <c r="AK482" s="24"/>
      <c r="AL482" s="630" t="str">
        <f t="shared" si="14"/>
        <v/>
      </c>
      <c r="AM482" s="630" t="str">
        <f t="shared" si="15"/>
        <v/>
      </c>
      <c r="AO482" s="24"/>
      <c r="AP482" s="628">
        <v>480</v>
      </c>
      <c r="AQ482" s="642"/>
      <c r="AR482" s="642"/>
      <c r="AS482" s="642"/>
      <c r="AT482" s="642"/>
      <c r="AU482" s="642"/>
      <c r="AV482" s="642"/>
      <c r="AW482" s="642"/>
      <c r="AX482" s="642"/>
      <c r="AY482" s="642"/>
      <c r="AZ482" s="642"/>
      <c r="BA482" s="642"/>
      <c r="BB482" s="642"/>
      <c r="BC482" s="642"/>
      <c r="BD482" s="642"/>
      <c r="BE482" s="642"/>
      <c r="BF482" s="642"/>
      <c r="BG482" s="642"/>
      <c r="BH482" s="642"/>
      <c r="BI482" s="642"/>
      <c r="BJ482" s="634">
        <v>20479</v>
      </c>
      <c r="BK482" s="642"/>
      <c r="BL482" s="642"/>
      <c r="BM482" s="642"/>
      <c r="BN482" s="642"/>
      <c r="BO482" s="642"/>
      <c r="BP482" s="642"/>
      <c r="BQ482" s="642"/>
      <c r="BR482" s="642"/>
      <c r="BS482" s="642"/>
      <c r="BT482" s="642"/>
      <c r="BU482" s="642"/>
      <c r="BV482" s="642"/>
      <c r="BW482" s="24"/>
      <c r="BX482" s="24"/>
      <c r="BY482" s="24"/>
      <c r="BZ482" s="643"/>
      <c r="CA482" s="643"/>
      <c r="CB482" s="643"/>
      <c r="CC482" s="643"/>
      <c r="CD482" s="643"/>
      <c r="CE482" s="643"/>
      <c r="CF482" s="643"/>
      <c r="CG482" s="643"/>
      <c r="CH482" s="643"/>
      <c r="CI482" s="643"/>
      <c r="CJ482" s="643"/>
      <c r="CK482" s="643"/>
      <c r="CL482" s="643"/>
      <c r="CM482" s="643"/>
      <c r="CN482" s="643"/>
      <c r="CO482" s="643"/>
      <c r="CP482" s="643"/>
      <c r="CQ482" s="643"/>
      <c r="CR482" s="643"/>
      <c r="CS482" s="636" t="s">
        <v>2363</v>
      </c>
      <c r="CT482" s="643"/>
      <c r="CU482" s="643"/>
      <c r="CV482" s="643"/>
      <c r="CW482" s="643"/>
      <c r="CX482" s="643"/>
      <c r="CY482" s="643"/>
      <c r="CZ482" s="643"/>
      <c r="DA482" s="643"/>
      <c r="DB482" s="643"/>
      <c r="DC482" s="643"/>
      <c r="DD482" s="643"/>
      <c r="DE482" s="643"/>
    </row>
    <row r="483" spans="34:109" ht="15" hidden="1" customHeight="1">
      <c r="AH483" s="24"/>
      <c r="AI483" s="24"/>
      <c r="AJ483" s="24"/>
      <c r="AK483" s="24"/>
      <c r="AL483" s="630" t="str">
        <f t="shared" si="14"/>
        <v/>
      </c>
      <c r="AM483" s="630" t="str">
        <f t="shared" si="15"/>
        <v/>
      </c>
      <c r="AO483" s="24"/>
      <c r="AP483" s="628">
        <v>481</v>
      </c>
      <c r="AQ483" s="642"/>
      <c r="AR483" s="642"/>
      <c r="AS483" s="642"/>
      <c r="AT483" s="642"/>
      <c r="AU483" s="642"/>
      <c r="AV483" s="642"/>
      <c r="AW483" s="642"/>
      <c r="AX483" s="642"/>
      <c r="AY483" s="642"/>
      <c r="AZ483" s="642"/>
      <c r="BA483" s="642"/>
      <c r="BB483" s="642"/>
      <c r="BC483" s="642"/>
      <c r="BD483" s="642"/>
      <c r="BE483" s="642"/>
      <c r="BF483" s="642"/>
      <c r="BG483" s="642"/>
      <c r="BH483" s="642"/>
      <c r="BI483" s="642"/>
      <c r="BJ483" s="634">
        <v>20480</v>
      </c>
      <c r="BK483" s="642"/>
      <c r="BL483" s="642"/>
      <c r="BM483" s="642"/>
      <c r="BN483" s="642"/>
      <c r="BO483" s="642"/>
      <c r="BP483" s="642"/>
      <c r="BQ483" s="642"/>
      <c r="BR483" s="642"/>
      <c r="BS483" s="642"/>
      <c r="BT483" s="642"/>
      <c r="BU483" s="642"/>
      <c r="BV483" s="642"/>
      <c r="BW483" s="24"/>
      <c r="BX483" s="24"/>
      <c r="BY483" s="24"/>
      <c r="BZ483" s="643"/>
      <c r="CA483" s="643"/>
      <c r="CB483" s="643"/>
      <c r="CC483" s="643"/>
      <c r="CD483" s="643"/>
      <c r="CE483" s="643"/>
      <c r="CF483" s="643"/>
      <c r="CG483" s="643"/>
      <c r="CH483" s="643"/>
      <c r="CI483" s="643"/>
      <c r="CJ483" s="643"/>
      <c r="CK483" s="643"/>
      <c r="CL483" s="643"/>
      <c r="CM483" s="643"/>
      <c r="CN483" s="643"/>
      <c r="CO483" s="643"/>
      <c r="CP483" s="643"/>
      <c r="CQ483" s="643"/>
      <c r="CR483" s="643"/>
      <c r="CS483" s="636" t="s">
        <v>2364</v>
      </c>
      <c r="CT483" s="643"/>
      <c r="CU483" s="643"/>
      <c r="CV483" s="643"/>
      <c r="CW483" s="643"/>
      <c r="CX483" s="643"/>
      <c r="CY483" s="643"/>
      <c r="CZ483" s="643"/>
      <c r="DA483" s="643"/>
      <c r="DB483" s="643"/>
      <c r="DC483" s="643"/>
      <c r="DD483" s="643"/>
      <c r="DE483" s="643"/>
    </row>
    <row r="484" spans="34:109" ht="15" hidden="1" customHeight="1">
      <c r="AH484" s="24"/>
      <c r="AI484" s="24"/>
      <c r="AJ484" s="24"/>
      <c r="AK484" s="24"/>
      <c r="AL484" s="630" t="str">
        <f t="shared" si="14"/>
        <v/>
      </c>
      <c r="AM484" s="630" t="str">
        <f t="shared" si="15"/>
        <v/>
      </c>
      <c r="AO484" s="24"/>
      <c r="AP484" s="628">
        <v>482</v>
      </c>
      <c r="AQ484" s="642"/>
      <c r="AR484" s="642"/>
      <c r="AS484" s="642"/>
      <c r="AT484" s="642"/>
      <c r="AU484" s="642"/>
      <c r="AV484" s="642"/>
      <c r="AW484" s="642"/>
      <c r="AX484" s="642"/>
      <c r="AY484" s="642"/>
      <c r="AZ484" s="642"/>
      <c r="BA484" s="642"/>
      <c r="BB484" s="642"/>
      <c r="BC484" s="642"/>
      <c r="BD484" s="642"/>
      <c r="BE484" s="642"/>
      <c r="BF484" s="642"/>
      <c r="BG484" s="642"/>
      <c r="BH484" s="642"/>
      <c r="BI484" s="642"/>
      <c r="BJ484" s="634">
        <v>20481</v>
      </c>
      <c r="BK484" s="642"/>
      <c r="BL484" s="642"/>
      <c r="BM484" s="642"/>
      <c r="BN484" s="642"/>
      <c r="BO484" s="642"/>
      <c r="BP484" s="642"/>
      <c r="BQ484" s="642"/>
      <c r="BR484" s="642"/>
      <c r="BS484" s="642"/>
      <c r="BT484" s="642"/>
      <c r="BU484" s="642"/>
      <c r="BV484" s="642"/>
      <c r="BW484" s="24"/>
      <c r="BX484" s="24"/>
      <c r="BY484" s="24"/>
      <c r="BZ484" s="643"/>
      <c r="CA484" s="643"/>
      <c r="CB484" s="643"/>
      <c r="CC484" s="643"/>
      <c r="CD484" s="643"/>
      <c r="CE484" s="643"/>
      <c r="CF484" s="643"/>
      <c r="CG484" s="643"/>
      <c r="CH484" s="643"/>
      <c r="CI484" s="643"/>
      <c r="CJ484" s="643"/>
      <c r="CK484" s="643"/>
      <c r="CL484" s="643"/>
      <c r="CM484" s="643"/>
      <c r="CN484" s="643"/>
      <c r="CO484" s="643"/>
      <c r="CP484" s="643"/>
      <c r="CQ484" s="643"/>
      <c r="CR484" s="643"/>
      <c r="CS484" s="636" t="s">
        <v>2365</v>
      </c>
      <c r="CT484" s="643"/>
      <c r="CU484" s="643"/>
      <c r="CV484" s="643"/>
      <c r="CW484" s="643"/>
      <c r="CX484" s="643"/>
      <c r="CY484" s="643"/>
      <c r="CZ484" s="643"/>
      <c r="DA484" s="643"/>
      <c r="DB484" s="643"/>
      <c r="DC484" s="643"/>
      <c r="DD484" s="643"/>
      <c r="DE484" s="643"/>
    </row>
    <row r="485" spans="34:109" ht="15" hidden="1" customHeight="1">
      <c r="AH485" s="24"/>
      <c r="AI485" s="24"/>
      <c r="AJ485" s="24"/>
      <c r="AK485" s="24"/>
      <c r="AL485" s="630" t="str">
        <f t="shared" si="14"/>
        <v/>
      </c>
      <c r="AM485" s="630" t="str">
        <f t="shared" si="15"/>
        <v/>
      </c>
      <c r="AO485" s="24"/>
      <c r="AP485" s="628">
        <v>483</v>
      </c>
      <c r="AQ485" s="642"/>
      <c r="AR485" s="642"/>
      <c r="AS485" s="642"/>
      <c r="AT485" s="642"/>
      <c r="AU485" s="642"/>
      <c r="AV485" s="642"/>
      <c r="AW485" s="642"/>
      <c r="AX485" s="642"/>
      <c r="AY485" s="642"/>
      <c r="AZ485" s="642"/>
      <c r="BA485" s="642"/>
      <c r="BB485" s="642"/>
      <c r="BC485" s="642"/>
      <c r="BD485" s="642"/>
      <c r="BE485" s="642"/>
      <c r="BF485" s="642"/>
      <c r="BG485" s="642"/>
      <c r="BH485" s="642"/>
      <c r="BI485" s="642"/>
      <c r="BJ485" s="634">
        <v>20482</v>
      </c>
      <c r="BK485" s="642"/>
      <c r="BL485" s="642"/>
      <c r="BM485" s="642"/>
      <c r="BN485" s="642"/>
      <c r="BO485" s="642"/>
      <c r="BP485" s="642"/>
      <c r="BQ485" s="642"/>
      <c r="BR485" s="642"/>
      <c r="BS485" s="642"/>
      <c r="BT485" s="642"/>
      <c r="BU485" s="642"/>
      <c r="BV485" s="642"/>
      <c r="BW485" s="24"/>
      <c r="BX485" s="24"/>
      <c r="BY485" s="24"/>
      <c r="BZ485" s="643"/>
      <c r="CA485" s="643"/>
      <c r="CB485" s="643"/>
      <c r="CC485" s="643"/>
      <c r="CD485" s="643"/>
      <c r="CE485" s="643"/>
      <c r="CF485" s="643"/>
      <c r="CG485" s="643"/>
      <c r="CH485" s="643"/>
      <c r="CI485" s="643"/>
      <c r="CJ485" s="643"/>
      <c r="CK485" s="643"/>
      <c r="CL485" s="643"/>
      <c r="CM485" s="643"/>
      <c r="CN485" s="643"/>
      <c r="CO485" s="643"/>
      <c r="CP485" s="643"/>
      <c r="CQ485" s="643"/>
      <c r="CR485" s="643"/>
      <c r="CS485" s="636" t="s">
        <v>2366</v>
      </c>
      <c r="CT485" s="643"/>
      <c r="CU485" s="643"/>
      <c r="CV485" s="643"/>
      <c r="CW485" s="643"/>
      <c r="CX485" s="643"/>
      <c r="CY485" s="643"/>
      <c r="CZ485" s="643"/>
      <c r="DA485" s="643"/>
      <c r="DB485" s="643"/>
      <c r="DC485" s="643"/>
      <c r="DD485" s="643"/>
      <c r="DE485" s="643"/>
    </row>
    <row r="486" spans="34:109" ht="15" hidden="1" customHeight="1">
      <c r="AH486" s="24"/>
      <c r="AI486" s="24"/>
      <c r="AJ486" s="24"/>
      <c r="AK486" s="24"/>
      <c r="AL486" s="630" t="str">
        <f t="shared" si="14"/>
        <v/>
      </c>
      <c r="AM486" s="630" t="str">
        <f t="shared" si="15"/>
        <v/>
      </c>
      <c r="AO486" s="24"/>
      <c r="AP486" s="628">
        <v>484</v>
      </c>
      <c r="AQ486" s="642"/>
      <c r="AR486" s="642"/>
      <c r="AS486" s="642"/>
      <c r="AT486" s="642"/>
      <c r="AU486" s="642"/>
      <c r="AV486" s="642"/>
      <c r="AW486" s="642"/>
      <c r="AX486" s="642"/>
      <c r="AY486" s="642"/>
      <c r="AZ486" s="642"/>
      <c r="BA486" s="642"/>
      <c r="BB486" s="642"/>
      <c r="BC486" s="642"/>
      <c r="BD486" s="642"/>
      <c r="BE486" s="642"/>
      <c r="BF486" s="642"/>
      <c r="BG486" s="642"/>
      <c r="BH486" s="642"/>
      <c r="BI486" s="642"/>
      <c r="BJ486" s="634">
        <v>20483</v>
      </c>
      <c r="BK486" s="642"/>
      <c r="BL486" s="642"/>
      <c r="BM486" s="642"/>
      <c r="BN486" s="642"/>
      <c r="BO486" s="642"/>
      <c r="BP486" s="642"/>
      <c r="BQ486" s="642"/>
      <c r="BR486" s="642"/>
      <c r="BS486" s="642"/>
      <c r="BT486" s="642"/>
      <c r="BU486" s="642"/>
      <c r="BV486" s="642"/>
      <c r="BW486" s="24"/>
      <c r="BX486" s="24"/>
      <c r="BY486" s="24"/>
      <c r="BZ486" s="643"/>
      <c r="CA486" s="643"/>
      <c r="CB486" s="643"/>
      <c r="CC486" s="643"/>
      <c r="CD486" s="643"/>
      <c r="CE486" s="643"/>
      <c r="CF486" s="643"/>
      <c r="CG486" s="643"/>
      <c r="CH486" s="643"/>
      <c r="CI486" s="643"/>
      <c r="CJ486" s="643"/>
      <c r="CK486" s="643"/>
      <c r="CL486" s="643"/>
      <c r="CM486" s="643"/>
      <c r="CN486" s="643"/>
      <c r="CO486" s="643"/>
      <c r="CP486" s="643"/>
      <c r="CQ486" s="643"/>
      <c r="CR486" s="643"/>
      <c r="CS486" s="636" t="s">
        <v>2367</v>
      </c>
      <c r="CT486" s="643"/>
      <c r="CU486" s="643"/>
      <c r="CV486" s="643"/>
      <c r="CW486" s="643"/>
      <c r="CX486" s="643"/>
      <c r="CY486" s="643"/>
      <c r="CZ486" s="643"/>
      <c r="DA486" s="643"/>
      <c r="DB486" s="643"/>
      <c r="DC486" s="643"/>
      <c r="DD486" s="643"/>
      <c r="DE486" s="643"/>
    </row>
    <row r="487" spans="34:109" ht="15" hidden="1" customHeight="1">
      <c r="AH487" s="24"/>
      <c r="AI487" s="24"/>
      <c r="AJ487" s="24"/>
      <c r="AK487" s="24"/>
      <c r="AL487" s="630" t="str">
        <f t="shared" si="14"/>
        <v/>
      </c>
      <c r="AM487" s="630" t="str">
        <f t="shared" si="15"/>
        <v/>
      </c>
      <c r="AO487" s="24"/>
      <c r="AP487" s="628">
        <v>485</v>
      </c>
      <c r="AQ487" s="642"/>
      <c r="AR487" s="642"/>
      <c r="AS487" s="642"/>
      <c r="AT487" s="642"/>
      <c r="AU487" s="642"/>
      <c r="AV487" s="642"/>
      <c r="AW487" s="642"/>
      <c r="AX487" s="642"/>
      <c r="AY487" s="642"/>
      <c r="AZ487" s="642"/>
      <c r="BA487" s="642"/>
      <c r="BB487" s="642"/>
      <c r="BC487" s="642"/>
      <c r="BD487" s="642"/>
      <c r="BE487" s="642"/>
      <c r="BF487" s="642"/>
      <c r="BG487" s="642"/>
      <c r="BH487" s="642"/>
      <c r="BI487" s="642"/>
      <c r="BJ487" s="634">
        <v>20484</v>
      </c>
      <c r="BK487" s="642"/>
      <c r="BL487" s="642"/>
      <c r="BM487" s="642"/>
      <c r="BN487" s="642"/>
      <c r="BO487" s="642"/>
      <c r="BP487" s="642"/>
      <c r="BQ487" s="642"/>
      <c r="BR487" s="642"/>
      <c r="BS487" s="642"/>
      <c r="BT487" s="642"/>
      <c r="BU487" s="642"/>
      <c r="BV487" s="642"/>
      <c r="BW487" s="24"/>
      <c r="BX487" s="24"/>
      <c r="BY487" s="24"/>
      <c r="BZ487" s="643"/>
      <c r="CA487" s="643"/>
      <c r="CB487" s="643"/>
      <c r="CC487" s="643"/>
      <c r="CD487" s="643"/>
      <c r="CE487" s="643"/>
      <c r="CF487" s="643"/>
      <c r="CG487" s="643"/>
      <c r="CH487" s="643"/>
      <c r="CI487" s="643"/>
      <c r="CJ487" s="643"/>
      <c r="CK487" s="643"/>
      <c r="CL487" s="643"/>
      <c r="CM487" s="643"/>
      <c r="CN487" s="643"/>
      <c r="CO487" s="643"/>
      <c r="CP487" s="643"/>
      <c r="CQ487" s="643"/>
      <c r="CR487" s="643"/>
      <c r="CS487" s="636" t="s">
        <v>2368</v>
      </c>
      <c r="CT487" s="643"/>
      <c r="CU487" s="643"/>
      <c r="CV487" s="643"/>
      <c r="CW487" s="643"/>
      <c r="CX487" s="643"/>
      <c r="CY487" s="643"/>
      <c r="CZ487" s="643"/>
      <c r="DA487" s="643"/>
      <c r="DB487" s="643"/>
      <c r="DC487" s="643"/>
      <c r="DD487" s="643"/>
      <c r="DE487" s="643"/>
    </row>
    <row r="488" spans="34:109" ht="15" hidden="1" customHeight="1">
      <c r="AH488" s="24"/>
      <c r="AI488" s="24"/>
      <c r="AJ488" s="24"/>
      <c r="AK488" s="24"/>
      <c r="AL488" s="630" t="str">
        <f t="shared" si="14"/>
        <v/>
      </c>
      <c r="AM488" s="630" t="str">
        <f t="shared" si="15"/>
        <v/>
      </c>
      <c r="AO488" s="24"/>
      <c r="AP488" s="628">
        <v>486</v>
      </c>
      <c r="AQ488" s="642"/>
      <c r="AR488" s="642"/>
      <c r="AS488" s="642"/>
      <c r="AT488" s="642"/>
      <c r="AU488" s="642"/>
      <c r="AV488" s="642"/>
      <c r="AW488" s="642"/>
      <c r="AX488" s="642"/>
      <c r="AY488" s="642"/>
      <c r="AZ488" s="642"/>
      <c r="BA488" s="642"/>
      <c r="BB488" s="642"/>
      <c r="BC488" s="642"/>
      <c r="BD488" s="642"/>
      <c r="BE488" s="642"/>
      <c r="BF488" s="642"/>
      <c r="BG488" s="642"/>
      <c r="BH488" s="642"/>
      <c r="BI488" s="642"/>
      <c r="BJ488" s="634">
        <v>20485</v>
      </c>
      <c r="BK488" s="642"/>
      <c r="BL488" s="642"/>
      <c r="BM488" s="642"/>
      <c r="BN488" s="642"/>
      <c r="BO488" s="642"/>
      <c r="BP488" s="642"/>
      <c r="BQ488" s="642"/>
      <c r="BR488" s="642"/>
      <c r="BS488" s="642"/>
      <c r="BT488" s="642"/>
      <c r="BU488" s="642"/>
      <c r="BV488" s="642"/>
      <c r="BW488" s="24"/>
      <c r="BX488" s="24"/>
      <c r="BY488" s="24"/>
      <c r="BZ488" s="643"/>
      <c r="CA488" s="643"/>
      <c r="CB488" s="643"/>
      <c r="CC488" s="643"/>
      <c r="CD488" s="643"/>
      <c r="CE488" s="643"/>
      <c r="CF488" s="643"/>
      <c r="CG488" s="643"/>
      <c r="CH488" s="643"/>
      <c r="CI488" s="643"/>
      <c r="CJ488" s="643"/>
      <c r="CK488" s="643"/>
      <c r="CL488" s="643"/>
      <c r="CM488" s="643"/>
      <c r="CN488" s="643"/>
      <c r="CO488" s="643"/>
      <c r="CP488" s="643"/>
      <c r="CQ488" s="643"/>
      <c r="CR488" s="643"/>
      <c r="CS488" s="636" t="s">
        <v>2369</v>
      </c>
      <c r="CT488" s="643"/>
      <c r="CU488" s="643"/>
      <c r="CV488" s="643"/>
      <c r="CW488" s="643"/>
      <c r="CX488" s="643"/>
      <c r="CY488" s="643"/>
      <c r="CZ488" s="643"/>
      <c r="DA488" s="643"/>
      <c r="DB488" s="643"/>
      <c r="DC488" s="643"/>
      <c r="DD488" s="643"/>
      <c r="DE488" s="643"/>
    </row>
    <row r="489" spans="34:109" ht="15" hidden="1" customHeight="1">
      <c r="AH489" s="24"/>
      <c r="AI489" s="24"/>
      <c r="AJ489" s="24"/>
      <c r="AK489" s="24"/>
      <c r="AL489" s="630" t="str">
        <f t="shared" si="14"/>
        <v/>
      </c>
      <c r="AM489" s="630" t="str">
        <f t="shared" si="15"/>
        <v/>
      </c>
      <c r="AO489" s="24"/>
      <c r="AP489" s="628">
        <v>487</v>
      </c>
      <c r="AQ489" s="642"/>
      <c r="AR489" s="642"/>
      <c r="AS489" s="642"/>
      <c r="AT489" s="642"/>
      <c r="AU489" s="642"/>
      <c r="AV489" s="642"/>
      <c r="AW489" s="642"/>
      <c r="AX489" s="642"/>
      <c r="AY489" s="642"/>
      <c r="AZ489" s="642"/>
      <c r="BA489" s="642"/>
      <c r="BB489" s="642"/>
      <c r="BC489" s="642"/>
      <c r="BD489" s="642"/>
      <c r="BE489" s="642"/>
      <c r="BF489" s="642"/>
      <c r="BG489" s="642"/>
      <c r="BH489" s="642"/>
      <c r="BI489" s="642"/>
      <c r="BJ489" s="634">
        <v>20486</v>
      </c>
      <c r="BK489" s="642"/>
      <c r="BL489" s="642"/>
      <c r="BM489" s="642"/>
      <c r="BN489" s="642"/>
      <c r="BO489" s="642"/>
      <c r="BP489" s="642"/>
      <c r="BQ489" s="642"/>
      <c r="BR489" s="642"/>
      <c r="BS489" s="642"/>
      <c r="BT489" s="642"/>
      <c r="BU489" s="642"/>
      <c r="BV489" s="642"/>
      <c r="BW489" s="24"/>
      <c r="BX489" s="24"/>
      <c r="BY489" s="24"/>
      <c r="BZ489" s="643"/>
      <c r="CA489" s="643"/>
      <c r="CB489" s="643"/>
      <c r="CC489" s="643"/>
      <c r="CD489" s="643"/>
      <c r="CE489" s="643"/>
      <c r="CF489" s="643"/>
      <c r="CG489" s="643"/>
      <c r="CH489" s="643"/>
      <c r="CI489" s="643"/>
      <c r="CJ489" s="643"/>
      <c r="CK489" s="643"/>
      <c r="CL489" s="643"/>
      <c r="CM489" s="643"/>
      <c r="CN489" s="643"/>
      <c r="CO489" s="643"/>
      <c r="CP489" s="643"/>
      <c r="CQ489" s="643"/>
      <c r="CR489" s="643"/>
      <c r="CS489" s="636" t="s">
        <v>2370</v>
      </c>
      <c r="CT489" s="643"/>
      <c r="CU489" s="643"/>
      <c r="CV489" s="643"/>
      <c r="CW489" s="643"/>
      <c r="CX489" s="643"/>
      <c r="CY489" s="643"/>
      <c r="CZ489" s="643"/>
      <c r="DA489" s="643"/>
      <c r="DB489" s="643"/>
      <c r="DC489" s="643"/>
      <c r="DD489" s="643"/>
      <c r="DE489" s="643"/>
    </row>
    <row r="490" spans="34:109" ht="15" hidden="1" customHeight="1">
      <c r="AH490" s="24"/>
      <c r="AI490" s="24"/>
      <c r="AJ490" s="24"/>
      <c r="AK490" s="24"/>
      <c r="AL490" s="630" t="str">
        <f t="shared" si="14"/>
        <v/>
      </c>
      <c r="AM490" s="630" t="str">
        <f t="shared" si="15"/>
        <v/>
      </c>
      <c r="AO490" s="24"/>
      <c r="AP490" s="628">
        <v>488</v>
      </c>
      <c r="AQ490" s="642"/>
      <c r="AR490" s="642"/>
      <c r="AS490" s="642"/>
      <c r="AT490" s="642"/>
      <c r="AU490" s="642"/>
      <c r="AV490" s="642"/>
      <c r="AW490" s="642"/>
      <c r="AX490" s="642"/>
      <c r="AY490" s="642"/>
      <c r="AZ490" s="642"/>
      <c r="BA490" s="642"/>
      <c r="BB490" s="642"/>
      <c r="BC490" s="642"/>
      <c r="BD490" s="642"/>
      <c r="BE490" s="642"/>
      <c r="BF490" s="642"/>
      <c r="BG490" s="642"/>
      <c r="BH490" s="642"/>
      <c r="BI490" s="642"/>
      <c r="BJ490" s="634">
        <v>20487</v>
      </c>
      <c r="BK490" s="642"/>
      <c r="BL490" s="642"/>
      <c r="BM490" s="642"/>
      <c r="BN490" s="642"/>
      <c r="BO490" s="642"/>
      <c r="BP490" s="642"/>
      <c r="BQ490" s="642"/>
      <c r="BR490" s="642"/>
      <c r="BS490" s="642"/>
      <c r="BT490" s="642"/>
      <c r="BU490" s="642"/>
      <c r="BV490" s="642"/>
      <c r="BW490" s="24"/>
      <c r="BX490" s="24"/>
      <c r="BY490" s="24"/>
      <c r="BZ490" s="643"/>
      <c r="CA490" s="643"/>
      <c r="CB490" s="643"/>
      <c r="CC490" s="643"/>
      <c r="CD490" s="643"/>
      <c r="CE490" s="643"/>
      <c r="CF490" s="643"/>
      <c r="CG490" s="643"/>
      <c r="CH490" s="643"/>
      <c r="CI490" s="643"/>
      <c r="CJ490" s="643"/>
      <c r="CK490" s="643"/>
      <c r="CL490" s="643"/>
      <c r="CM490" s="643"/>
      <c r="CN490" s="643"/>
      <c r="CO490" s="643"/>
      <c r="CP490" s="643"/>
      <c r="CQ490" s="643"/>
      <c r="CR490" s="643"/>
      <c r="CS490" s="636" t="s">
        <v>2371</v>
      </c>
      <c r="CT490" s="643"/>
      <c r="CU490" s="643"/>
      <c r="CV490" s="643"/>
      <c r="CW490" s="643"/>
      <c r="CX490" s="643"/>
      <c r="CY490" s="643"/>
      <c r="CZ490" s="643"/>
      <c r="DA490" s="643"/>
      <c r="DB490" s="643"/>
      <c r="DC490" s="643"/>
      <c r="DD490" s="643"/>
      <c r="DE490" s="643"/>
    </row>
    <row r="491" spans="34:109" ht="15" hidden="1" customHeight="1">
      <c r="AH491" s="24"/>
      <c r="AI491" s="24"/>
      <c r="AJ491" s="24"/>
      <c r="AK491" s="24"/>
      <c r="AL491" s="630" t="str">
        <f t="shared" si="14"/>
        <v/>
      </c>
      <c r="AM491" s="630" t="str">
        <f t="shared" si="15"/>
        <v/>
      </c>
      <c r="AO491" s="24"/>
      <c r="AP491" s="628">
        <v>489</v>
      </c>
      <c r="AQ491" s="642"/>
      <c r="AR491" s="642"/>
      <c r="AS491" s="642"/>
      <c r="AT491" s="642"/>
      <c r="AU491" s="642"/>
      <c r="AV491" s="642"/>
      <c r="AW491" s="642"/>
      <c r="AX491" s="642"/>
      <c r="AY491" s="642"/>
      <c r="AZ491" s="642"/>
      <c r="BA491" s="642"/>
      <c r="BB491" s="642"/>
      <c r="BC491" s="642"/>
      <c r="BD491" s="642"/>
      <c r="BE491" s="642"/>
      <c r="BF491" s="642"/>
      <c r="BG491" s="642"/>
      <c r="BH491" s="642"/>
      <c r="BI491" s="642"/>
      <c r="BJ491" s="634">
        <v>20488</v>
      </c>
      <c r="BK491" s="642"/>
      <c r="BL491" s="642"/>
      <c r="BM491" s="642"/>
      <c r="BN491" s="642"/>
      <c r="BO491" s="642"/>
      <c r="BP491" s="642"/>
      <c r="BQ491" s="642"/>
      <c r="BR491" s="642"/>
      <c r="BS491" s="642"/>
      <c r="BT491" s="642"/>
      <c r="BU491" s="642"/>
      <c r="BV491" s="642"/>
      <c r="BW491" s="24"/>
      <c r="BX491" s="24"/>
      <c r="BY491" s="24"/>
      <c r="BZ491" s="643"/>
      <c r="CA491" s="643"/>
      <c r="CB491" s="643"/>
      <c r="CC491" s="643"/>
      <c r="CD491" s="643"/>
      <c r="CE491" s="643"/>
      <c r="CF491" s="643"/>
      <c r="CG491" s="643"/>
      <c r="CH491" s="643"/>
      <c r="CI491" s="643"/>
      <c r="CJ491" s="643"/>
      <c r="CK491" s="643"/>
      <c r="CL491" s="643"/>
      <c r="CM491" s="643"/>
      <c r="CN491" s="643"/>
      <c r="CO491" s="643"/>
      <c r="CP491" s="643"/>
      <c r="CQ491" s="643"/>
      <c r="CR491" s="643"/>
      <c r="CS491" s="636" t="s">
        <v>2372</v>
      </c>
      <c r="CT491" s="643"/>
      <c r="CU491" s="643"/>
      <c r="CV491" s="643"/>
      <c r="CW491" s="643"/>
      <c r="CX491" s="643"/>
      <c r="CY491" s="643"/>
      <c r="CZ491" s="643"/>
      <c r="DA491" s="643"/>
      <c r="DB491" s="643"/>
      <c r="DC491" s="643"/>
      <c r="DD491" s="643"/>
      <c r="DE491" s="643"/>
    </row>
    <row r="492" spans="34:109" ht="15" hidden="1" customHeight="1">
      <c r="AH492" s="24"/>
      <c r="AI492" s="24"/>
      <c r="AJ492" s="24"/>
      <c r="AK492" s="24"/>
      <c r="AL492" s="630" t="str">
        <f t="shared" si="14"/>
        <v/>
      </c>
      <c r="AM492" s="630" t="str">
        <f t="shared" si="15"/>
        <v/>
      </c>
      <c r="AO492" s="24"/>
      <c r="AP492" s="628">
        <v>490</v>
      </c>
      <c r="AQ492" s="642"/>
      <c r="AR492" s="642"/>
      <c r="AS492" s="642"/>
      <c r="AT492" s="642"/>
      <c r="AU492" s="642"/>
      <c r="AV492" s="642"/>
      <c r="AW492" s="642"/>
      <c r="AX492" s="642"/>
      <c r="AY492" s="642"/>
      <c r="AZ492" s="642"/>
      <c r="BA492" s="642"/>
      <c r="BB492" s="642"/>
      <c r="BC492" s="642"/>
      <c r="BD492" s="642"/>
      <c r="BE492" s="642"/>
      <c r="BF492" s="642"/>
      <c r="BG492" s="642"/>
      <c r="BH492" s="642"/>
      <c r="BI492" s="642"/>
      <c r="BJ492" s="634">
        <v>20489</v>
      </c>
      <c r="BK492" s="642"/>
      <c r="BL492" s="642"/>
      <c r="BM492" s="642"/>
      <c r="BN492" s="642"/>
      <c r="BO492" s="642"/>
      <c r="BP492" s="642"/>
      <c r="BQ492" s="642"/>
      <c r="BR492" s="642"/>
      <c r="BS492" s="642"/>
      <c r="BT492" s="642"/>
      <c r="BU492" s="642"/>
      <c r="BV492" s="642"/>
      <c r="BW492" s="24"/>
      <c r="BX492" s="24"/>
      <c r="BY492" s="24"/>
      <c r="BZ492" s="643"/>
      <c r="CA492" s="643"/>
      <c r="CB492" s="643"/>
      <c r="CC492" s="643"/>
      <c r="CD492" s="643"/>
      <c r="CE492" s="643"/>
      <c r="CF492" s="643"/>
      <c r="CG492" s="643"/>
      <c r="CH492" s="643"/>
      <c r="CI492" s="643"/>
      <c r="CJ492" s="643"/>
      <c r="CK492" s="643"/>
      <c r="CL492" s="643"/>
      <c r="CM492" s="643"/>
      <c r="CN492" s="643"/>
      <c r="CO492" s="643"/>
      <c r="CP492" s="643"/>
      <c r="CQ492" s="643"/>
      <c r="CR492" s="643"/>
      <c r="CS492" s="636" t="s">
        <v>2373</v>
      </c>
      <c r="CT492" s="643"/>
      <c r="CU492" s="643"/>
      <c r="CV492" s="643"/>
      <c r="CW492" s="643"/>
      <c r="CX492" s="643"/>
      <c r="CY492" s="643"/>
      <c r="CZ492" s="643"/>
      <c r="DA492" s="643"/>
      <c r="DB492" s="643"/>
      <c r="DC492" s="643"/>
      <c r="DD492" s="643"/>
      <c r="DE492" s="643"/>
    </row>
    <row r="493" spans="34:109" ht="15" hidden="1" customHeight="1">
      <c r="AH493" s="628"/>
      <c r="AI493" s="628"/>
      <c r="AJ493" s="628"/>
      <c r="AK493" s="628"/>
      <c r="AL493" s="630" t="str">
        <f t="shared" si="14"/>
        <v/>
      </c>
      <c r="AM493" s="630" t="str">
        <f t="shared" si="15"/>
        <v/>
      </c>
      <c r="AO493" s="628"/>
      <c r="AP493" s="628">
        <v>491</v>
      </c>
      <c r="AQ493" s="634"/>
      <c r="AR493" s="634"/>
      <c r="AS493" s="634"/>
      <c r="AT493" s="634"/>
      <c r="AU493" s="634"/>
      <c r="AV493" s="634"/>
      <c r="AW493" s="634"/>
      <c r="AX493" s="634"/>
      <c r="AY493" s="634"/>
      <c r="AZ493" s="634"/>
      <c r="BA493" s="634"/>
      <c r="BB493" s="634"/>
      <c r="BC493" s="634"/>
      <c r="BD493" s="634"/>
      <c r="BE493" s="634"/>
      <c r="BF493" s="634"/>
      <c r="BG493" s="634"/>
      <c r="BH493" s="634"/>
      <c r="BI493" s="634"/>
      <c r="BJ493" s="634">
        <v>20490</v>
      </c>
      <c r="BK493" s="634"/>
      <c r="BL493" s="634"/>
      <c r="BM493" s="634"/>
      <c r="BN493" s="634"/>
      <c r="BO493" s="634"/>
      <c r="BP493" s="634"/>
      <c r="BQ493" s="634"/>
      <c r="BR493" s="634"/>
      <c r="BS493" s="634"/>
      <c r="BT493" s="634"/>
      <c r="BU493" s="634"/>
      <c r="BV493" s="634"/>
      <c r="BW493" s="628"/>
      <c r="BX493" s="628"/>
      <c r="BY493" s="628"/>
      <c r="BZ493" s="636"/>
      <c r="CA493" s="636"/>
      <c r="CB493" s="636"/>
      <c r="CC493" s="636"/>
      <c r="CD493" s="636"/>
      <c r="CE493" s="636"/>
      <c r="CF493" s="636"/>
      <c r="CG493" s="636"/>
      <c r="CH493" s="636"/>
      <c r="CI493" s="636"/>
      <c r="CJ493" s="636"/>
      <c r="CK493" s="636"/>
      <c r="CL493" s="636"/>
      <c r="CM493" s="636"/>
      <c r="CN493" s="636"/>
      <c r="CO493" s="636"/>
      <c r="CP493" s="636"/>
      <c r="CQ493" s="636"/>
      <c r="CR493" s="636"/>
      <c r="CS493" s="636" t="s">
        <v>2374</v>
      </c>
      <c r="CT493" s="636"/>
      <c r="CU493" s="636"/>
      <c r="CV493" s="636"/>
      <c r="CW493" s="636"/>
      <c r="CX493" s="636"/>
      <c r="CY493" s="636"/>
      <c r="CZ493" s="636"/>
      <c r="DA493" s="636"/>
      <c r="DB493" s="636"/>
      <c r="DC493" s="636"/>
      <c r="DD493" s="636"/>
      <c r="DE493" s="636"/>
    </row>
    <row r="494" spans="34:109" ht="15" hidden="1" customHeight="1">
      <c r="AH494" s="24"/>
      <c r="AI494" s="24"/>
      <c r="AJ494" s="24"/>
      <c r="AK494" s="24"/>
      <c r="AL494" s="630" t="str">
        <f t="shared" si="14"/>
        <v/>
      </c>
      <c r="AM494" s="630" t="str">
        <f t="shared" si="15"/>
        <v/>
      </c>
      <c r="AO494" s="24"/>
      <c r="AP494" s="628">
        <v>492</v>
      </c>
      <c r="AQ494" s="642"/>
      <c r="AR494" s="642"/>
      <c r="AS494" s="642"/>
      <c r="AT494" s="642"/>
      <c r="AU494" s="642"/>
      <c r="AV494" s="642"/>
      <c r="AW494" s="642"/>
      <c r="AX494" s="642"/>
      <c r="AY494" s="642"/>
      <c r="AZ494" s="642"/>
      <c r="BA494" s="642"/>
      <c r="BB494" s="642"/>
      <c r="BC494" s="642"/>
      <c r="BD494" s="642"/>
      <c r="BE494" s="642"/>
      <c r="BF494" s="642"/>
      <c r="BG494" s="642"/>
      <c r="BH494" s="642"/>
      <c r="BI494" s="642"/>
      <c r="BJ494" s="634">
        <v>20491</v>
      </c>
      <c r="BK494" s="642"/>
      <c r="BL494" s="642"/>
      <c r="BM494" s="642"/>
      <c r="BN494" s="642"/>
      <c r="BO494" s="642"/>
      <c r="BP494" s="642"/>
      <c r="BQ494" s="642"/>
      <c r="BR494" s="642"/>
      <c r="BS494" s="642"/>
      <c r="BT494" s="642"/>
      <c r="BU494" s="642"/>
      <c r="BV494" s="642"/>
      <c r="BW494" s="24"/>
      <c r="BX494" s="24"/>
      <c r="BY494" s="24"/>
      <c r="BZ494" s="643"/>
      <c r="CA494" s="643"/>
      <c r="CB494" s="643"/>
      <c r="CC494" s="643"/>
      <c r="CD494" s="643"/>
      <c r="CE494" s="643"/>
      <c r="CF494" s="643"/>
      <c r="CG494" s="643"/>
      <c r="CH494" s="643"/>
      <c r="CI494" s="643"/>
      <c r="CJ494" s="643"/>
      <c r="CK494" s="643"/>
      <c r="CL494" s="643"/>
      <c r="CM494" s="643"/>
      <c r="CN494" s="643"/>
      <c r="CO494" s="643"/>
      <c r="CP494" s="643"/>
      <c r="CQ494" s="643"/>
      <c r="CR494" s="643"/>
      <c r="CS494" s="636" t="s">
        <v>2375</v>
      </c>
      <c r="CT494" s="643"/>
      <c r="CU494" s="643"/>
      <c r="CV494" s="643"/>
      <c r="CW494" s="643"/>
      <c r="CX494" s="643"/>
      <c r="CY494" s="643"/>
      <c r="CZ494" s="643"/>
      <c r="DA494" s="643"/>
      <c r="DB494" s="643"/>
      <c r="DC494" s="643"/>
      <c r="DD494" s="643"/>
      <c r="DE494" s="643"/>
    </row>
    <row r="495" spans="34:109" ht="15" hidden="1" customHeight="1">
      <c r="AH495" s="24"/>
      <c r="AI495" s="24"/>
      <c r="AJ495" s="24"/>
      <c r="AK495" s="24"/>
      <c r="AL495" s="630" t="str">
        <f t="shared" si="14"/>
        <v/>
      </c>
      <c r="AM495" s="630" t="str">
        <f t="shared" si="15"/>
        <v/>
      </c>
      <c r="AO495" s="24"/>
      <c r="AP495" s="628">
        <v>493</v>
      </c>
      <c r="AQ495" s="642"/>
      <c r="AR495" s="642"/>
      <c r="AS495" s="642"/>
      <c r="AT495" s="642"/>
      <c r="AU495" s="642"/>
      <c r="AV495" s="642"/>
      <c r="AW495" s="642"/>
      <c r="AX495" s="642"/>
      <c r="AY495" s="642"/>
      <c r="AZ495" s="642"/>
      <c r="BA495" s="642"/>
      <c r="BB495" s="642"/>
      <c r="BC495" s="642"/>
      <c r="BD495" s="642"/>
      <c r="BE495" s="642"/>
      <c r="BF495" s="642"/>
      <c r="BG495" s="642"/>
      <c r="BH495" s="642"/>
      <c r="BI495" s="642"/>
      <c r="BJ495" s="634">
        <v>20492</v>
      </c>
      <c r="BK495" s="642"/>
      <c r="BL495" s="642"/>
      <c r="BM495" s="642"/>
      <c r="BN495" s="642"/>
      <c r="BO495" s="642"/>
      <c r="BP495" s="642"/>
      <c r="BQ495" s="642"/>
      <c r="BR495" s="642"/>
      <c r="BS495" s="642"/>
      <c r="BT495" s="642"/>
      <c r="BU495" s="642"/>
      <c r="BV495" s="642"/>
      <c r="BW495" s="24"/>
      <c r="BX495" s="24"/>
      <c r="BY495" s="24"/>
      <c r="BZ495" s="643"/>
      <c r="CA495" s="643"/>
      <c r="CB495" s="643"/>
      <c r="CC495" s="643"/>
      <c r="CD495" s="643"/>
      <c r="CE495" s="643"/>
      <c r="CF495" s="643"/>
      <c r="CG495" s="643"/>
      <c r="CH495" s="643"/>
      <c r="CI495" s="643"/>
      <c r="CJ495" s="643"/>
      <c r="CK495" s="643"/>
      <c r="CL495" s="643"/>
      <c r="CM495" s="643"/>
      <c r="CN495" s="643"/>
      <c r="CO495" s="643"/>
      <c r="CP495" s="643"/>
      <c r="CQ495" s="643"/>
      <c r="CR495" s="643"/>
      <c r="CS495" s="636" t="s">
        <v>2376</v>
      </c>
      <c r="CT495" s="643"/>
      <c r="CU495" s="643"/>
      <c r="CV495" s="643"/>
      <c r="CW495" s="643"/>
      <c r="CX495" s="643"/>
      <c r="CY495" s="643"/>
      <c r="CZ495" s="643"/>
      <c r="DA495" s="643"/>
      <c r="DB495" s="643"/>
      <c r="DC495" s="643"/>
      <c r="DD495" s="643"/>
      <c r="DE495" s="643"/>
    </row>
    <row r="496" spans="34:109" ht="15" hidden="1" customHeight="1">
      <c r="AH496" s="24"/>
      <c r="AI496" s="24"/>
      <c r="AJ496" s="24"/>
      <c r="AK496" s="24"/>
      <c r="AL496" s="630" t="str">
        <f t="shared" si="14"/>
        <v/>
      </c>
      <c r="AM496" s="630" t="str">
        <f t="shared" si="15"/>
        <v/>
      </c>
      <c r="AO496" s="24"/>
      <c r="AP496" s="628">
        <v>494</v>
      </c>
      <c r="AQ496" s="642"/>
      <c r="AR496" s="642"/>
      <c r="AS496" s="642"/>
      <c r="AT496" s="642"/>
      <c r="AU496" s="642"/>
      <c r="AV496" s="642"/>
      <c r="AW496" s="642"/>
      <c r="AX496" s="642"/>
      <c r="AY496" s="642"/>
      <c r="AZ496" s="642"/>
      <c r="BA496" s="642"/>
      <c r="BB496" s="642"/>
      <c r="BC496" s="642"/>
      <c r="BD496" s="642"/>
      <c r="BE496" s="642"/>
      <c r="BF496" s="642"/>
      <c r="BG496" s="642"/>
      <c r="BH496" s="642"/>
      <c r="BI496" s="642"/>
      <c r="BJ496" s="634">
        <v>20493</v>
      </c>
      <c r="BK496" s="642"/>
      <c r="BL496" s="642"/>
      <c r="BM496" s="642"/>
      <c r="BN496" s="642"/>
      <c r="BO496" s="642"/>
      <c r="BP496" s="642"/>
      <c r="BQ496" s="642"/>
      <c r="BR496" s="642"/>
      <c r="BS496" s="642"/>
      <c r="BT496" s="642"/>
      <c r="BU496" s="642"/>
      <c r="BV496" s="642"/>
      <c r="BW496" s="24"/>
      <c r="BX496" s="24"/>
      <c r="BY496" s="24"/>
      <c r="BZ496" s="643"/>
      <c r="CA496" s="643"/>
      <c r="CB496" s="643"/>
      <c r="CC496" s="643"/>
      <c r="CD496" s="643"/>
      <c r="CE496" s="643"/>
      <c r="CF496" s="643"/>
      <c r="CG496" s="643"/>
      <c r="CH496" s="643"/>
      <c r="CI496" s="643"/>
      <c r="CJ496" s="643"/>
      <c r="CK496" s="643"/>
      <c r="CL496" s="643"/>
      <c r="CM496" s="643"/>
      <c r="CN496" s="643"/>
      <c r="CO496" s="643"/>
      <c r="CP496" s="643"/>
      <c r="CQ496" s="643"/>
      <c r="CR496" s="643"/>
      <c r="CS496" s="636" t="s">
        <v>2377</v>
      </c>
      <c r="CT496" s="643"/>
      <c r="CU496" s="643"/>
      <c r="CV496" s="643"/>
      <c r="CW496" s="643"/>
      <c r="CX496" s="643"/>
      <c r="CY496" s="643"/>
      <c r="CZ496" s="643"/>
      <c r="DA496" s="643"/>
      <c r="DB496" s="643"/>
      <c r="DC496" s="643"/>
      <c r="DD496" s="643"/>
      <c r="DE496" s="643"/>
    </row>
    <row r="497" spans="34:109" ht="15" hidden="1" customHeight="1">
      <c r="AH497" s="24"/>
      <c r="AI497" s="24"/>
      <c r="AJ497" s="24"/>
      <c r="AK497" s="24"/>
      <c r="AL497" s="630" t="str">
        <f t="shared" si="14"/>
        <v/>
      </c>
      <c r="AM497" s="630" t="str">
        <f t="shared" si="15"/>
        <v/>
      </c>
      <c r="AO497" s="24"/>
      <c r="AP497" s="628">
        <v>495</v>
      </c>
      <c r="AQ497" s="642"/>
      <c r="AR497" s="642"/>
      <c r="AS497" s="642"/>
      <c r="AT497" s="642"/>
      <c r="AU497" s="642"/>
      <c r="AV497" s="642"/>
      <c r="AW497" s="642"/>
      <c r="AX497" s="642"/>
      <c r="AY497" s="642"/>
      <c r="AZ497" s="642"/>
      <c r="BA497" s="642"/>
      <c r="BB497" s="642"/>
      <c r="BC497" s="642"/>
      <c r="BD497" s="642"/>
      <c r="BE497" s="642"/>
      <c r="BF497" s="642"/>
      <c r="BG497" s="642"/>
      <c r="BH497" s="642"/>
      <c r="BI497" s="642"/>
      <c r="BJ497" s="634">
        <v>20494</v>
      </c>
      <c r="BK497" s="642"/>
      <c r="BL497" s="642"/>
      <c r="BM497" s="642"/>
      <c r="BN497" s="642"/>
      <c r="BO497" s="642"/>
      <c r="BP497" s="642"/>
      <c r="BQ497" s="642"/>
      <c r="BR497" s="642"/>
      <c r="BS497" s="642"/>
      <c r="BT497" s="642"/>
      <c r="BU497" s="642"/>
      <c r="BV497" s="642"/>
      <c r="BW497" s="24"/>
      <c r="BX497" s="24"/>
      <c r="BY497" s="24"/>
      <c r="BZ497" s="643"/>
      <c r="CA497" s="643"/>
      <c r="CB497" s="643"/>
      <c r="CC497" s="643"/>
      <c r="CD497" s="643"/>
      <c r="CE497" s="643"/>
      <c r="CF497" s="643"/>
      <c r="CG497" s="643"/>
      <c r="CH497" s="643"/>
      <c r="CI497" s="643"/>
      <c r="CJ497" s="643"/>
      <c r="CK497" s="643"/>
      <c r="CL497" s="643"/>
      <c r="CM497" s="643"/>
      <c r="CN497" s="643"/>
      <c r="CO497" s="643"/>
      <c r="CP497" s="643"/>
      <c r="CQ497" s="643"/>
      <c r="CR497" s="643"/>
      <c r="CS497" s="636" t="s">
        <v>2378</v>
      </c>
      <c r="CT497" s="643"/>
      <c r="CU497" s="643"/>
      <c r="CV497" s="643"/>
      <c r="CW497" s="643"/>
      <c r="CX497" s="643"/>
      <c r="CY497" s="643"/>
      <c r="CZ497" s="643"/>
      <c r="DA497" s="643"/>
      <c r="DB497" s="643"/>
      <c r="DC497" s="643"/>
      <c r="DD497" s="643"/>
      <c r="DE497" s="643"/>
    </row>
    <row r="498" spans="34:109" ht="15" hidden="1" customHeight="1">
      <c r="AH498" s="24"/>
      <c r="AI498" s="24"/>
      <c r="AJ498" s="24"/>
      <c r="AK498" s="24"/>
      <c r="AL498" s="630" t="str">
        <f t="shared" si="14"/>
        <v/>
      </c>
      <c r="AM498" s="630" t="str">
        <f t="shared" si="15"/>
        <v/>
      </c>
      <c r="AO498" s="24"/>
      <c r="AP498" s="628">
        <v>496</v>
      </c>
      <c r="AQ498" s="642"/>
      <c r="AR498" s="642"/>
      <c r="AS498" s="642"/>
      <c r="AT498" s="642"/>
      <c r="AU498" s="642"/>
      <c r="AV498" s="642"/>
      <c r="AW498" s="642"/>
      <c r="AX498" s="642"/>
      <c r="AY498" s="642"/>
      <c r="AZ498" s="642"/>
      <c r="BA498" s="642"/>
      <c r="BB498" s="642"/>
      <c r="BC498" s="642"/>
      <c r="BD498" s="642"/>
      <c r="BE498" s="642"/>
      <c r="BF498" s="642"/>
      <c r="BG498" s="642"/>
      <c r="BH498" s="642"/>
      <c r="BI498" s="642"/>
      <c r="BJ498" s="634">
        <v>20495</v>
      </c>
      <c r="BK498" s="642"/>
      <c r="BL498" s="642"/>
      <c r="BM498" s="642"/>
      <c r="BN498" s="642"/>
      <c r="BO498" s="642"/>
      <c r="BP498" s="642"/>
      <c r="BQ498" s="642"/>
      <c r="BR498" s="642"/>
      <c r="BS498" s="642"/>
      <c r="BT498" s="642"/>
      <c r="BU498" s="642"/>
      <c r="BV498" s="642"/>
      <c r="BW498" s="24"/>
      <c r="BX498" s="24"/>
      <c r="BY498" s="24"/>
      <c r="BZ498" s="643"/>
      <c r="CA498" s="643"/>
      <c r="CB498" s="643"/>
      <c r="CC498" s="643"/>
      <c r="CD498" s="643"/>
      <c r="CE498" s="643"/>
      <c r="CF498" s="643"/>
      <c r="CG498" s="643"/>
      <c r="CH498" s="643"/>
      <c r="CI498" s="643"/>
      <c r="CJ498" s="643"/>
      <c r="CK498" s="643"/>
      <c r="CL498" s="643"/>
      <c r="CM498" s="643"/>
      <c r="CN498" s="643"/>
      <c r="CO498" s="643"/>
      <c r="CP498" s="643"/>
      <c r="CQ498" s="643"/>
      <c r="CR498" s="643"/>
      <c r="CS498" s="636" t="s">
        <v>2379</v>
      </c>
      <c r="CT498" s="643"/>
      <c r="CU498" s="643"/>
      <c r="CV498" s="643"/>
      <c r="CW498" s="643"/>
      <c r="CX498" s="643"/>
      <c r="CY498" s="643"/>
      <c r="CZ498" s="643"/>
      <c r="DA498" s="643"/>
      <c r="DB498" s="643"/>
      <c r="DC498" s="643"/>
      <c r="DD498" s="643"/>
      <c r="DE498" s="643"/>
    </row>
    <row r="499" spans="34:109" ht="15" hidden="1" customHeight="1">
      <c r="AH499" s="24"/>
      <c r="AI499" s="24"/>
      <c r="AJ499" s="24"/>
      <c r="AK499" s="24"/>
      <c r="AL499" s="630" t="str">
        <f t="shared" si="14"/>
        <v/>
      </c>
      <c r="AM499" s="630" t="str">
        <f t="shared" si="15"/>
        <v/>
      </c>
      <c r="AO499" s="24"/>
      <c r="AP499" s="628">
        <v>497</v>
      </c>
      <c r="AQ499" s="642"/>
      <c r="AR499" s="642"/>
      <c r="AS499" s="642"/>
      <c r="AT499" s="642"/>
      <c r="AU499" s="642"/>
      <c r="AV499" s="642"/>
      <c r="AW499" s="642"/>
      <c r="AX499" s="642"/>
      <c r="AY499" s="642"/>
      <c r="AZ499" s="642"/>
      <c r="BA499" s="642"/>
      <c r="BB499" s="642"/>
      <c r="BC499" s="642"/>
      <c r="BD499" s="642"/>
      <c r="BE499" s="642"/>
      <c r="BF499" s="642"/>
      <c r="BG499" s="642"/>
      <c r="BH499" s="642"/>
      <c r="BI499" s="642"/>
      <c r="BJ499" s="634">
        <v>20496</v>
      </c>
      <c r="BK499" s="642"/>
      <c r="BL499" s="642"/>
      <c r="BM499" s="642"/>
      <c r="BN499" s="642"/>
      <c r="BO499" s="642"/>
      <c r="BP499" s="642"/>
      <c r="BQ499" s="642"/>
      <c r="BR499" s="642"/>
      <c r="BS499" s="642"/>
      <c r="BT499" s="642"/>
      <c r="BU499" s="642"/>
      <c r="BV499" s="642"/>
      <c r="BW499" s="24"/>
      <c r="BX499" s="24"/>
      <c r="BY499" s="24"/>
      <c r="BZ499" s="643"/>
      <c r="CA499" s="643"/>
      <c r="CB499" s="643"/>
      <c r="CC499" s="643"/>
      <c r="CD499" s="643"/>
      <c r="CE499" s="643"/>
      <c r="CF499" s="643"/>
      <c r="CG499" s="643"/>
      <c r="CH499" s="643"/>
      <c r="CI499" s="643"/>
      <c r="CJ499" s="643"/>
      <c r="CK499" s="643"/>
      <c r="CL499" s="643"/>
      <c r="CM499" s="643"/>
      <c r="CN499" s="643"/>
      <c r="CO499" s="643"/>
      <c r="CP499" s="643"/>
      <c r="CQ499" s="643"/>
      <c r="CR499" s="643"/>
      <c r="CS499" s="636" t="s">
        <v>2380</v>
      </c>
      <c r="CT499" s="643"/>
      <c r="CU499" s="643"/>
      <c r="CV499" s="643"/>
      <c r="CW499" s="643"/>
      <c r="CX499" s="643"/>
      <c r="CY499" s="643"/>
      <c r="CZ499" s="643"/>
      <c r="DA499" s="643"/>
      <c r="DB499" s="643"/>
      <c r="DC499" s="643"/>
      <c r="DD499" s="643"/>
      <c r="DE499" s="643"/>
    </row>
    <row r="500" spans="34:109" ht="15" hidden="1" customHeight="1">
      <c r="AH500" s="24"/>
      <c r="AI500" s="24"/>
      <c r="AJ500" s="24"/>
      <c r="AK500" s="24"/>
      <c r="AL500" s="630" t="str">
        <f t="shared" si="14"/>
        <v/>
      </c>
      <c r="AM500" s="630" t="str">
        <f t="shared" si="15"/>
        <v/>
      </c>
      <c r="AO500" s="24"/>
      <c r="AP500" s="628">
        <v>498</v>
      </c>
      <c r="AQ500" s="642"/>
      <c r="AR500" s="642"/>
      <c r="AS500" s="642"/>
      <c r="AT500" s="642"/>
      <c r="AU500" s="642"/>
      <c r="AV500" s="642"/>
      <c r="AW500" s="642"/>
      <c r="AX500" s="642"/>
      <c r="AY500" s="642"/>
      <c r="AZ500" s="642"/>
      <c r="BA500" s="642"/>
      <c r="BB500" s="642"/>
      <c r="BC500" s="642"/>
      <c r="BD500" s="642"/>
      <c r="BE500" s="642"/>
      <c r="BF500" s="642"/>
      <c r="BG500" s="642"/>
      <c r="BH500" s="642"/>
      <c r="BI500" s="642"/>
      <c r="BJ500" s="634">
        <v>20497</v>
      </c>
      <c r="BK500" s="642"/>
      <c r="BL500" s="642"/>
      <c r="BM500" s="642"/>
      <c r="BN500" s="642"/>
      <c r="BO500" s="642"/>
      <c r="BP500" s="642"/>
      <c r="BQ500" s="642"/>
      <c r="BR500" s="642"/>
      <c r="BS500" s="642"/>
      <c r="BT500" s="642"/>
      <c r="BU500" s="642"/>
      <c r="BV500" s="642"/>
      <c r="BW500" s="24"/>
      <c r="BX500" s="24"/>
      <c r="BY500" s="24"/>
      <c r="BZ500" s="643"/>
      <c r="CA500" s="643"/>
      <c r="CB500" s="643"/>
      <c r="CC500" s="643"/>
      <c r="CD500" s="643"/>
      <c r="CE500" s="643"/>
      <c r="CF500" s="643"/>
      <c r="CG500" s="643"/>
      <c r="CH500" s="643"/>
      <c r="CI500" s="643"/>
      <c r="CJ500" s="643"/>
      <c r="CK500" s="643"/>
      <c r="CL500" s="643"/>
      <c r="CM500" s="643"/>
      <c r="CN500" s="643"/>
      <c r="CO500" s="643"/>
      <c r="CP500" s="643"/>
      <c r="CQ500" s="643"/>
      <c r="CR500" s="643"/>
      <c r="CS500" s="636" t="s">
        <v>2381</v>
      </c>
      <c r="CT500" s="643"/>
      <c r="CU500" s="643"/>
      <c r="CV500" s="643"/>
      <c r="CW500" s="643"/>
      <c r="CX500" s="643"/>
      <c r="CY500" s="643"/>
      <c r="CZ500" s="643"/>
      <c r="DA500" s="643"/>
      <c r="DB500" s="643"/>
      <c r="DC500" s="643"/>
      <c r="DD500" s="643"/>
      <c r="DE500" s="643"/>
    </row>
    <row r="501" spans="34:109" ht="15" hidden="1" customHeight="1">
      <c r="AH501" s="24"/>
      <c r="AI501" s="24"/>
      <c r="AJ501" s="24"/>
      <c r="AK501" s="24"/>
      <c r="AL501" s="630" t="str">
        <f t="shared" si="14"/>
        <v/>
      </c>
      <c r="AM501" s="630" t="str">
        <f t="shared" si="15"/>
        <v/>
      </c>
      <c r="AO501" s="24"/>
      <c r="AP501" s="628">
        <v>499</v>
      </c>
      <c r="AQ501" s="642"/>
      <c r="AR501" s="642"/>
      <c r="AS501" s="642"/>
      <c r="AT501" s="642"/>
      <c r="AU501" s="642"/>
      <c r="AV501" s="642"/>
      <c r="AW501" s="642"/>
      <c r="AX501" s="642"/>
      <c r="AY501" s="642"/>
      <c r="AZ501" s="642"/>
      <c r="BA501" s="642"/>
      <c r="BB501" s="642"/>
      <c r="BC501" s="642"/>
      <c r="BD501" s="642"/>
      <c r="BE501" s="642"/>
      <c r="BF501" s="642"/>
      <c r="BG501" s="642"/>
      <c r="BH501" s="642"/>
      <c r="BI501" s="642"/>
      <c r="BJ501" s="634">
        <v>20498</v>
      </c>
      <c r="BK501" s="642"/>
      <c r="BL501" s="642"/>
      <c r="BM501" s="642"/>
      <c r="BN501" s="642"/>
      <c r="BO501" s="642"/>
      <c r="BP501" s="642"/>
      <c r="BQ501" s="642"/>
      <c r="BR501" s="642"/>
      <c r="BS501" s="642"/>
      <c r="BT501" s="642"/>
      <c r="BU501" s="642"/>
      <c r="BV501" s="642"/>
      <c r="BW501" s="24"/>
      <c r="BX501" s="24"/>
      <c r="BY501" s="24"/>
      <c r="BZ501" s="643"/>
      <c r="CA501" s="643"/>
      <c r="CB501" s="643"/>
      <c r="CC501" s="643"/>
      <c r="CD501" s="643"/>
      <c r="CE501" s="643"/>
      <c r="CF501" s="643"/>
      <c r="CG501" s="643"/>
      <c r="CH501" s="643"/>
      <c r="CI501" s="643"/>
      <c r="CJ501" s="643"/>
      <c r="CK501" s="643"/>
      <c r="CL501" s="643"/>
      <c r="CM501" s="643"/>
      <c r="CN501" s="643"/>
      <c r="CO501" s="643"/>
      <c r="CP501" s="643"/>
      <c r="CQ501" s="643"/>
      <c r="CR501" s="643"/>
      <c r="CS501" s="636" t="s">
        <v>2382</v>
      </c>
      <c r="CT501" s="643"/>
      <c r="CU501" s="643"/>
      <c r="CV501" s="643"/>
      <c r="CW501" s="643"/>
      <c r="CX501" s="643"/>
      <c r="CY501" s="643"/>
      <c r="CZ501" s="643"/>
      <c r="DA501" s="643"/>
      <c r="DB501" s="643"/>
      <c r="DC501" s="643"/>
      <c r="DD501" s="643"/>
      <c r="DE501" s="643"/>
    </row>
    <row r="502" spans="34:109" ht="15" hidden="1" customHeight="1">
      <c r="AH502" s="24"/>
      <c r="AI502" s="24"/>
      <c r="AJ502" s="24"/>
      <c r="AK502" s="24"/>
      <c r="AL502" s="630" t="str">
        <f t="shared" si="14"/>
        <v/>
      </c>
      <c r="AM502" s="630" t="str">
        <f t="shared" si="15"/>
        <v/>
      </c>
      <c r="AO502" s="24"/>
      <c r="AP502" s="628">
        <v>500</v>
      </c>
      <c r="AQ502" s="642"/>
      <c r="AR502" s="642"/>
      <c r="AS502" s="642"/>
      <c r="AT502" s="642"/>
      <c r="AU502" s="642"/>
      <c r="AV502" s="642"/>
      <c r="AW502" s="642"/>
      <c r="AX502" s="642"/>
      <c r="AY502" s="642"/>
      <c r="AZ502" s="642"/>
      <c r="BA502" s="642"/>
      <c r="BB502" s="642"/>
      <c r="BC502" s="642"/>
      <c r="BD502" s="642"/>
      <c r="BE502" s="642"/>
      <c r="BF502" s="642"/>
      <c r="BG502" s="642"/>
      <c r="BH502" s="642"/>
      <c r="BI502" s="642"/>
      <c r="BJ502" s="634">
        <v>20499</v>
      </c>
      <c r="BK502" s="642"/>
      <c r="BL502" s="642"/>
      <c r="BM502" s="642"/>
      <c r="BN502" s="642"/>
      <c r="BO502" s="642"/>
      <c r="BP502" s="642"/>
      <c r="BQ502" s="642"/>
      <c r="BR502" s="642"/>
      <c r="BS502" s="642"/>
      <c r="BT502" s="642"/>
      <c r="BU502" s="642"/>
      <c r="BV502" s="642"/>
      <c r="BW502" s="24"/>
      <c r="BX502" s="24"/>
      <c r="BY502" s="24"/>
      <c r="BZ502" s="643"/>
      <c r="CA502" s="643"/>
      <c r="CB502" s="643"/>
      <c r="CC502" s="643"/>
      <c r="CD502" s="643"/>
      <c r="CE502" s="643"/>
      <c r="CF502" s="643"/>
      <c r="CG502" s="643"/>
      <c r="CH502" s="643"/>
      <c r="CI502" s="643"/>
      <c r="CJ502" s="643"/>
      <c r="CK502" s="643"/>
      <c r="CL502" s="643"/>
      <c r="CM502" s="643"/>
      <c r="CN502" s="643"/>
      <c r="CO502" s="643"/>
      <c r="CP502" s="643"/>
      <c r="CQ502" s="643"/>
      <c r="CR502" s="643"/>
      <c r="CS502" s="636" t="s">
        <v>2383</v>
      </c>
      <c r="CT502" s="643"/>
      <c r="CU502" s="643"/>
      <c r="CV502" s="643"/>
      <c r="CW502" s="643"/>
      <c r="CX502" s="643"/>
      <c r="CY502" s="643"/>
      <c r="CZ502" s="643"/>
      <c r="DA502" s="643"/>
      <c r="DB502" s="643"/>
      <c r="DC502" s="643"/>
      <c r="DD502" s="643"/>
      <c r="DE502" s="643"/>
    </row>
    <row r="503" spans="34:109" ht="15" hidden="1" customHeight="1">
      <c r="AH503" s="24"/>
      <c r="AI503" s="24"/>
      <c r="AJ503" s="24"/>
      <c r="AK503" s="24"/>
      <c r="AL503" s="630" t="str">
        <f t="shared" si="14"/>
        <v/>
      </c>
      <c r="AM503" s="630" t="str">
        <f t="shared" si="15"/>
        <v/>
      </c>
      <c r="AO503" s="24"/>
      <c r="AP503" s="628">
        <v>501</v>
      </c>
      <c r="AQ503" s="642"/>
      <c r="AR503" s="642"/>
      <c r="AS503" s="642"/>
      <c r="AT503" s="642"/>
      <c r="AU503" s="642"/>
      <c r="AV503" s="642"/>
      <c r="AW503" s="642"/>
      <c r="AX503" s="642"/>
      <c r="AY503" s="642"/>
      <c r="AZ503" s="642"/>
      <c r="BA503" s="642"/>
      <c r="BB503" s="642"/>
      <c r="BC503" s="642"/>
      <c r="BD503" s="642"/>
      <c r="BE503" s="642"/>
      <c r="BF503" s="642"/>
      <c r="BG503" s="642"/>
      <c r="BH503" s="642"/>
      <c r="BI503" s="642"/>
      <c r="BJ503" s="634">
        <v>20500</v>
      </c>
      <c r="BK503" s="642"/>
      <c r="BL503" s="642"/>
      <c r="BM503" s="642"/>
      <c r="BN503" s="642"/>
      <c r="BO503" s="642"/>
      <c r="BP503" s="642"/>
      <c r="BQ503" s="642"/>
      <c r="BR503" s="642"/>
      <c r="BS503" s="642"/>
      <c r="BT503" s="642"/>
      <c r="BU503" s="642"/>
      <c r="BV503" s="642"/>
      <c r="BW503" s="24"/>
      <c r="BX503" s="24"/>
      <c r="BY503" s="24"/>
      <c r="BZ503" s="643"/>
      <c r="CA503" s="643"/>
      <c r="CB503" s="643"/>
      <c r="CC503" s="643"/>
      <c r="CD503" s="643"/>
      <c r="CE503" s="643"/>
      <c r="CF503" s="643"/>
      <c r="CG503" s="643"/>
      <c r="CH503" s="643"/>
      <c r="CI503" s="643"/>
      <c r="CJ503" s="643"/>
      <c r="CK503" s="643"/>
      <c r="CL503" s="643"/>
      <c r="CM503" s="643"/>
      <c r="CN503" s="643"/>
      <c r="CO503" s="643"/>
      <c r="CP503" s="643"/>
      <c r="CQ503" s="643"/>
      <c r="CR503" s="643"/>
      <c r="CS503" s="636" t="s">
        <v>2384</v>
      </c>
      <c r="CT503" s="643"/>
      <c r="CU503" s="643"/>
      <c r="CV503" s="643"/>
      <c r="CW503" s="643"/>
      <c r="CX503" s="643"/>
      <c r="CY503" s="643"/>
      <c r="CZ503" s="643"/>
      <c r="DA503" s="643"/>
      <c r="DB503" s="643"/>
      <c r="DC503" s="643"/>
      <c r="DD503" s="643"/>
      <c r="DE503" s="643"/>
    </row>
    <row r="504" spans="34:109" ht="15" hidden="1" customHeight="1">
      <c r="AH504" s="24"/>
      <c r="AI504" s="24"/>
      <c r="AJ504" s="24"/>
      <c r="AK504" s="24"/>
      <c r="AL504" s="630" t="str">
        <f t="shared" si="14"/>
        <v/>
      </c>
      <c r="AM504" s="630" t="str">
        <f t="shared" si="15"/>
        <v/>
      </c>
      <c r="AO504" s="24"/>
      <c r="AP504" s="628">
        <v>502</v>
      </c>
      <c r="AQ504" s="642"/>
      <c r="AR504" s="642"/>
      <c r="AS504" s="642"/>
      <c r="AT504" s="642"/>
      <c r="AU504" s="642"/>
      <c r="AV504" s="642"/>
      <c r="AW504" s="642"/>
      <c r="AX504" s="642"/>
      <c r="AY504" s="642"/>
      <c r="AZ504" s="642"/>
      <c r="BA504" s="642"/>
      <c r="BB504" s="642"/>
      <c r="BC504" s="642"/>
      <c r="BD504" s="642"/>
      <c r="BE504" s="642"/>
      <c r="BF504" s="642"/>
      <c r="BG504" s="642"/>
      <c r="BH504" s="642"/>
      <c r="BI504" s="642"/>
      <c r="BJ504" s="634">
        <v>20501</v>
      </c>
      <c r="BK504" s="642"/>
      <c r="BL504" s="642"/>
      <c r="BM504" s="642"/>
      <c r="BN504" s="642"/>
      <c r="BO504" s="642"/>
      <c r="BP504" s="642"/>
      <c r="BQ504" s="642"/>
      <c r="BR504" s="642"/>
      <c r="BS504" s="642"/>
      <c r="BT504" s="642"/>
      <c r="BU504" s="642"/>
      <c r="BV504" s="642"/>
      <c r="BW504" s="24"/>
      <c r="BX504" s="24"/>
      <c r="BY504" s="24"/>
      <c r="BZ504" s="643"/>
      <c r="CA504" s="643"/>
      <c r="CB504" s="643"/>
      <c r="CC504" s="643"/>
      <c r="CD504" s="643"/>
      <c r="CE504" s="643"/>
      <c r="CF504" s="643"/>
      <c r="CG504" s="643"/>
      <c r="CH504" s="643"/>
      <c r="CI504" s="643"/>
      <c r="CJ504" s="643"/>
      <c r="CK504" s="643"/>
      <c r="CL504" s="643"/>
      <c r="CM504" s="643"/>
      <c r="CN504" s="643"/>
      <c r="CO504" s="643"/>
      <c r="CP504" s="643"/>
      <c r="CQ504" s="643"/>
      <c r="CR504" s="643"/>
      <c r="CS504" s="636" t="s">
        <v>2385</v>
      </c>
      <c r="CT504" s="643"/>
      <c r="CU504" s="643"/>
      <c r="CV504" s="643"/>
      <c r="CW504" s="643"/>
      <c r="CX504" s="643"/>
      <c r="CY504" s="643"/>
      <c r="CZ504" s="643"/>
      <c r="DA504" s="643"/>
      <c r="DB504" s="643"/>
      <c r="DC504" s="643"/>
      <c r="DD504" s="643"/>
      <c r="DE504" s="643"/>
    </row>
    <row r="505" spans="34:109" ht="15" hidden="1" customHeight="1">
      <c r="AH505" s="24"/>
      <c r="AI505" s="24"/>
      <c r="AJ505" s="24"/>
      <c r="AK505" s="24"/>
      <c r="AL505" s="630" t="str">
        <f t="shared" si="14"/>
        <v/>
      </c>
      <c r="AM505" s="630" t="str">
        <f t="shared" si="15"/>
        <v/>
      </c>
      <c r="AO505" s="24"/>
      <c r="AP505" s="628">
        <v>503</v>
      </c>
      <c r="AQ505" s="642"/>
      <c r="AR505" s="642"/>
      <c r="AS505" s="642"/>
      <c r="AT505" s="642"/>
      <c r="AU505" s="642"/>
      <c r="AV505" s="642"/>
      <c r="AW505" s="642"/>
      <c r="AX505" s="642"/>
      <c r="AY505" s="642"/>
      <c r="AZ505" s="642"/>
      <c r="BA505" s="642"/>
      <c r="BB505" s="642"/>
      <c r="BC505" s="642"/>
      <c r="BD505" s="642"/>
      <c r="BE505" s="642"/>
      <c r="BF505" s="642"/>
      <c r="BG505" s="642"/>
      <c r="BH505" s="642"/>
      <c r="BI505" s="642"/>
      <c r="BJ505" s="634">
        <v>20502</v>
      </c>
      <c r="BK505" s="642"/>
      <c r="BL505" s="642"/>
      <c r="BM505" s="642"/>
      <c r="BN505" s="642"/>
      <c r="BO505" s="642"/>
      <c r="BP505" s="642"/>
      <c r="BQ505" s="642"/>
      <c r="BR505" s="642"/>
      <c r="BS505" s="642"/>
      <c r="BT505" s="642"/>
      <c r="BU505" s="642"/>
      <c r="BV505" s="642"/>
      <c r="BW505" s="24"/>
      <c r="BX505" s="24"/>
      <c r="BY505" s="24"/>
      <c r="BZ505" s="643"/>
      <c r="CA505" s="643"/>
      <c r="CB505" s="643"/>
      <c r="CC505" s="643"/>
      <c r="CD505" s="643"/>
      <c r="CE505" s="643"/>
      <c r="CF505" s="643"/>
      <c r="CG505" s="643"/>
      <c r="CH505" s="643"/>
      <c r="CI505" s="643"/>
      <c r="CJ505" s="643"/>
      <c r="CK505" s="643"/>
      <c r="CL505" s="643"/>
      <c r="CM505" s="643"/>
      <c r="CN505" s="643"/>
      <c r="CO505" s="643"/>
      <c r="CP505" s="643"/>
      <c r="CQ505" s="643"/>
      <c r="CR505" s="643"/>
      <c r="CS505" s="636" t="s">
        <v>2386</v>
      </c>
      <c r="CT505" s="643"/>
      <c r="CU505" s="643"/>
      <c r="CV505" s="643"/>
      <c r="CW505" s="643"/>
      <c r="CX505" s="643"/>
      <c r="CY505" s="643"/>
      <c r="CZ505" s="643"/>
      <c r="DA505" s="643"/>
      <c r="DB505" s="643"/>
      <c r="DC505" s="643"/>
      <c r="DD505" s="643"/>
      <c r="DE505" s="643"/>
    </row>
    <row r="506" spans="34:109" ht="15" hidden="1" customHeight="1">
      <c r="AH506" s="24"/>
      <c r="AI506" s="24"/>
      <c r="AJ506" s="24"/>
      <c r="AK506" s="24"/>
      <c r="AL506" s="630" t="str">
        <f t="shared" si="14"/>
        <v/>
      </c>
      <c r="AM506" s="630" t="str">
        <f t="shared" si="15"/>
        <v/>
      </c>
      <c r="AO506" s="24"/>
      <c r="AP506" s="628">
        <v>504</v>
      </c>
      <c r="AQ506" s="642"/>
      <c r="AR506" s="642"/>
      <c r="AS506" s="642"/>
      <c r="AT506" s="642"/>
      <c r="AU506" s="642"/>
      <c r="AV506" s="642"/>
      <c r="AW506" s="642"/>
      <c r="AX506" s="642"/>
      <c r="AY506" s="642"/>
      <c r="AZ506" s="642"/>
      <c r="BA506" s="642"/>
      <c r="BB506" s="642"/>
      <c r="BC506" s="642"/>
      <c r="BD506" s="642"/>
      <c r="BE506" s="642"/>
      <c r="BF506" s="642"/>
      <c r="BG506" s="642"/>
      <c r="BH506" s="642"/>
      <c r="BI506" s="642"/>
      <c r="BJ506" s="634">
        <v>20503</v>
      </c>
      <c r="BK506" s="642"/>
      <c r="BL506" s="642"/>
      <c r="BM506" s="642"/>
      <c r="BN506" s="642"/>
      <c r="BO506" s="642"/>
      <c r="BP506" s="642"/>
      <c r="BQ506" s="642"/>
      <c r="BR506" s="642"/>
      <c r="BS506" s="642"/>
      <c r="BT506" s="642"/>
      <c r="BU506" s="642"/>
      <c r="BV506" s="642"/>
      <c r="BW506" s="24"/>
      <c r="BX506" s="24"/>
      <c r="BY506" s="24"/>
      <c r="BZ506" s="643"/>
      <c r="CA506" s="643"/>
      <c r="CB506" s="643"/>
      <c r="CC506" s="643"/>
      <c r="CD506" s="643"/>
      <c r="CE506" s="643"/>
      <c r="CF506" s="643"/>
      <c r="CG506" s="643"/>
      <c r="CH506" s="643"/>
      <c r="CI506" s="643"/>
      <c r="CJ506" s="643"/>
      <c r="CK506" s="643"/>
      <c r="CL506" s="643"/>
      <c r="CM506" s="643"/>
      <c r="CN506" s="643"/>
      <c r="CO506" s="643"/>
      <c r="CP506" s="643"/>
      <c r="CQ506" s="643"/>
      <c r="CR506" s="643"/>
      <c r="CS506" s="636" t="s">
        <v>2387</v>
      </c>
      <c r="CT506" s="643"/>
      <c r="CU506" s="643"/>
      <c r="CV506" s="643"/>
      <c r="CW506" s="643"/>
      <c r="CX506" s="643"/>
      <c r="CY506" s="643"/>
      <c r="CZ506" s="643"/>
      <c r="DA506" s="643"/>
      <c r="DB506" s="643"/>
      <c r="DC506" s="643"/>
      <c r="DD506" s="643"/>
      <c r="DE506" s="643"/>
    </row>
    <row r="507" spans="34:109" ht="15" hidden="1" customHeight="1">
      <c r="AH507" s="24"/>
      <c r="AI507" s="24"/>
      <c r="AJ507" s="24"/>
      <c r="AK507" s="24"/>
      <c r="AL507" s="630" t="str">
        <f t="shared" si="14"/>
        <v/>
      </c>
      <c r="AM507" s="630" t="str">
        <f t="shared" si="15"/>
        <v/>
      </c>
      <c r="AO507" s="24"/>
      <c r="AP507" s="628">
        <v>505</v>
      </c>
      <c r="AQ507" s="642"/>
      <c r="AR507" s="642"/>
      <c r="AS507" s="642"/>
      <c r="AT507" s="642"/>
      <c r="AU507" s="642"/>
      <c r="AV507" s="642"/>
      <c r="AW507" s="642"/>
      <c r="AX507" s="642"/>
      <c r="AY507" s="642"/>
      <c r="AZ507" s="642"/>
      <c r="BA507" s="642"/>
      <c r="BB507" s="642"/>
      <c r="BC507" s="642"/>
      <c r="BD507" s="642"/>
      <c r="BE507" s="642"/>
      <c r="BF507" s="642"/>
      <c r="BG507" s="642"/>
      <c r="BH507" s="642"/>
      <c r="BI507" s="642"/>
      <c r="BJ507" s="634">
        <v>20504</v>
      </c>
      <c r="BK507" s="642"/>
      <c r="BL507" s="642"/>
      <c r="BM507" s="642"/>
      <c r="BN507" s="642"/>
      <c r="BO507" s="642"/>
      <c r="BP507" s="642"/>
      <c r="BQ507" s="642"/>
      <c r="BR507" s="642"/>
      <c r="BS507" s="642"/>
      <c r="BT507" s="642"/>
      <c r="BU507" s="642"/>
      <c r="BV507" s="642"/>
      <c r="BW507" s="24"/>
      <c r="BX507" s="24"/>
      <c r="BY507" s="24"/>
      <c r="BZ507" s="643"/>
      <c r="CA507" s="643"/>
      <c r="CB507" s="643"/>
      <c r="CC507" s="643"/>
      <c r="CD507" s="643"/>
      <c r="CE507" s="643"/>
      <c r="CF507" s="643"/>
      <c r="CG507" s="643"/>
      <c r="CH507" s="643"/>
      <c r="CI507" s="643"/>
      <c r="CJ507" s="643"/>
      <c r="CK507" s="643"/>
      <c r="CL507" s="643"/>
      <c r="CM507" s="643"/>
      <c r="CN507" s="643"/>
      <c r="CO507" s="643"/>
      <c r="CP507" s="643"/>
      <c r="CQ507" s="643"/>
      <c r="CR507" s="643"/>
      <c r="CS507" s="636" t="s">
        <v>2388</v>
      </c>
      <c r="CT507" s="643"/>
      <c r="CU507" s="643"/>
      <c r="CV507" s="643"/>
      <c r="CW507" s="643"/>
      <c r="CX507" s="643"/>
      <c r="CY507" s="643"/>
      <c r="CZ507" s="643"/>
      <c r="DA507" s="643"/>
      <c r="DB507" s="643"/>
      <c r="DC507" s="643"/>
      <c r="DD507" s="643"/>
      <c r="DE507" s="643"/>
    </row>
    <row r="508" spans="34:109" ht="15" hidden="1" customHeight="1">
      <c r="AH508" s="24"/>
      <c r="AI508" s="24"/>
      <c r="AJ508" s="24"/>
      <c r="AK508" s="24"/>
      <c r="AL508" s="630" t="str">
        <f t="shared" si="14"/>
        <v/>
      </c>
      <c r="AM508" s="630" t="str">
        <f t="shared" si="15"/>
        <v/>
      </c>
      <c r="AO508" s="24"/>
      <c r="AP508" s="628">
        <v>506</v>
      </c>
      <c r="AQ508" s="642"/>
      <c r="AR508" s="642"/>
      <c r="AS508" s="642"/>
      <c r="AT508" s="642"/>
      <c r="AU508" s="642"/>
      <c r="AV508" s="642"/>
      <c r="AW508" s="642"/>
      <c r="AX508" s="642"/>
      <c r="AY508" s="642"/>
      <c r="AZ508" s="642"/>
      <c r="BA508" s="642"/>
      <c r="BB508" s="642"/>
      <c r="BC508" s="642"/>
      <c r="BD508" s="642"/>
      <c r="BE508" s="642"/>
      <c r="BF508" s="642"/>
      <c r="BG508" s="642"/>
      <c r="BH508" s="642"/>
      <c r="BI508" s="642"/>
      <c r="BJ508" s="634">
        <v>20505</v>
      </c>
      <c r="BK508" s="642"/>
      <c r="BL508" s="642"/>
      <c r="BM508" s="642"/>
      <c r="BN508" s="642"/>
      <c r="BO508" s="642"/>
      <c r="BP508" s="642"/>
      <c r="BQ508" s="642"/>
      <c r="BR508" s="642"/>
      <c r="BS508" s="642"/>
      <c r="BT508" s="642"/>
      <c r="BU508" s="642"/>
      <c r="BV508" s="642"/>
      <c r="BW508" s="24"/>
      <c r="BX508" s="24"/>
      <c r="BY508" s="24"/>
      <c r="BZ508" s="643"/>
      <c r="CA508" s="643"/>
      <c r="CB508" s="643"/>
      <c r="CC508" s="643"/>
      <c r="CD508" s="643"/>
      <c r="CE508" s="643"/>
      <c r="CF508" s="643"/>
      <c r="CG508" s="643"/>
      <c r="CH508" s="643"/>
      <c r="CI508" s="643"/>
      <c r="CJ508" s="643"/>
      <c r="CK508" s="643"/>
      <c r="CL508" s="643"/>
      <c r="CM508" s="643"/>
      <c r="CN508" s="643"/>
      <c r="CO508" s="643"/>
      <c r="CP508" s="643"/>
      <c r="CQ508" s="643"/>
      <c r="CR508" s="643"/>
      <c r="CS508" s="636" t="s">
        <v>2389</v>
      </c>
      <c r="CT508" s="643"/>
      <c r="CU508" s="643"/>
      <c r="CV508" s="643"/>
      <c r="CW508" s="643"/>
      <c r="CX508" s="643"/>
      <c r="CY508" s="643"/>
      <c r="CZ508" s="643"/>
      <c r="DA508" s="643"/>
      <c r="DB508" s="643"/>
      <c r="DC508" s="643"/>
      <c r="DD508" s="643"/>
      <c r="DE508" s="643"/>
    </row>
    <row r="509" spans="34:109" ht="15" hidden="1" customHeight="1">
      <c r="AH509" s="24"/>
      <c r="AI509" s="24"/>
      <c r="AJ509" s="24"/>
      <c r="AK509" s="24"/>
      <c r="AL509" s="630" t="str">
        <f t="shared" si="14"/>
        <v/>
      </c>
      <c r="AM509" s="630" t="str">
        <f t="shared" si="15"/>
        <v/>
      </c>
      <c r="AO509" s="24"/>
      <c r="AP509" s="628">
        <v>507</v>
      </c>
      <c r="AQ509" s="642"/>
      <c r="AR509" s="642"/>
      <c r="AS509" s="642"/>
      <c r="AT509" s="642"/>
      <c r="AU509" s="642"/>
      <c r="AV509" s="642"/>
      <c r="AW509" s="642"/>
      <c r="AX509" s="642"/>
      <c r="AY509" s="642"/>
      <c r="AZ509" s="642"/>
      <c r="BA509" s="642"/>
      <c r="BB509" s="642"/>
      <c r="BC509" s="642"/>
      <c r="BD509" s="642"/>
      <c r="BE509" s="642"/>
      <c r="BF509" s="642"/>
      <c r="BG509" s="642"/>
      <c r="BH509" s="642"/>
      <c r="BI509" s="642"/>
      <c r="BJ509" s="634">
        <v>20506</v>
      </c>
      <c r="BK509" s="642"/>
      <c r="BL509" s="642"/>
      <c r="BM509" s="642"/>
      <c r="BN509" s="642"/>
      <c r="BO509" s="642"/>
      <c r="BP509" s="642"/>
      <c r="BQ509" s="642"/>
      <c r="BR509" s="642"/>
      <c r="BS509" s="642"/>
      <c r="BT509" s="642"/>
      <c r="BU509" s="642"/>
      <c r="BV509" s="642"/>
      <c r="BW509" s="24"/>
      <c r="BX509" s="24"/>
      <c r="BY509" s="24"/>
      <c r="BZ509" s="643"/>
      <c r="CA509" s="643"/>
      <c r="CB509" s="643"/>
      <c r="CC509" s="643"/>
      <c r="CD509" s="643"/>
      <c r="CE509" s="643"/>
      <c r="CF509" s="643"/>
      <c r="CG509" s="643"/>
      <c r="CH509" s="643"/>
      <c r="CI509" s="643"/>
      <c r="CJ509" s="643"/>
      <c r="CK509" s="643"/>
      <c r="CL509" s="643"/>
      <c r="CM509" s="643"/>
      <c r="CN509" s="643"/>
      <c r="CO509" s="643"/>
      <c r="CP509" s="643"/>
      <c r="CQ509" s="643"/>
      <c r="CR509" s="643"/>
      <c r="CS509" s="636" t="s">
        <v>2390</v>
      </c>
      <c r="CT509" s="643"/>
      <c r="CU509" s="643"/>
      <c r="CV509" s="643"/>
      <c r="CW509" s="643"/>
      <c r="CX509" s="643"/>
      <c r="CY509" s="643"/>
      <c r="CZ509" s="643"/>
      <c r="DA509" s="643"/>
      <c r="DB509" s="643"/>
      <c r="DC509" s="643"/>
      <c r="DD509" s="643"/>
      <c r="DE509" s="643"/>
    </row>
    <row r="510" spans="34:109" ht="15" hidden="1" customHeight="1">
      <c r="AH510" s="24"/>
      <c r="AI510" s="24"/>
      <c r="AJ510" s="24"/>
      <c r="AK510" s="24"/>
      <c r="AL510" s="630" t="str">
        <f t="shared" si="14"/>
        <v/>
      </c>
      <c r="AM510" s="630" t="str">
        <f t="shared" si="15"/>
        <v/>
      </c>
      <c r="AO510" s="24"/>
      <c r="AP510" s="628">
        <v>508</v>
      </c>
      <c r="AQ510" s="642"/>
      <c r="AR510" s="642"/>
      <c r="AS510" s="642"/>
      <c r="AT510" s="642"/>
      <c r="AU510" s="642"/>
      <c r="AV510" s="642"/>
      <c r="AW510" s="642"/>
      <c r="AX510" s="642"/>
      <c r="AY510" s="642"/>
      <c r="AZ510" s="642"/>
      <c r="BA510" s="642"/>
      <c r="BB510" s="642"/>
      <c r="BC510" s="642"/>
      <c r="BD510" s="642"/>
      <c r="BE510" s="642"/>
      <c r="BF510" s="642"/>
      <c r="BG510" s="642"/>
      <c r="BH510" s="642"/>
      <c r="BI510" s="642"/>
      <c r="BJ510" s="634">
        <v>20507</v>
      </c>
      <c r="BK510" s="642"/>
      <c r="BL510" s="642"/>
      <c r="BM510" s="642"/>
      <c r="BN510" s="642"/>
      <c r="BO510" s="642"/>
      <c r="BP510" s="642"/>
      <c r="BQ510" s="642"/>
      <c r="BR510" s="642"/>
      <c r="BS510" s="642"/>
      <c r="BT510" s="642"/>
      <c r="BU510" s="642"/>
      <c r="BV510" s="642"/>
      <c r="BW510" s="24"/>
      <c r="BX510" s="24"/>
      <c r="BY510" s="24"/>
      <c r="BZ510" s="643"/>
      <c r="CA510" s="643"/>
      <c r="CB510" s="643"/>
      <c r="CC510" s="643"/>
      <c r="CD510" s="643"/>
      <c r="CE510" s="643"/>
      <c r="CF510" s="643"/>
      <c r="CG510" s="643"/>
      <c r="CH510" s="643"/>
      <c r="CI510" s="643"/>
      <c r="CJ510" s="643"/>
      <c r="CK510" s="643"/>
      <c r="CL510" s="643"/>
      <c r="CM510" s="643"/>
      <c r="CN510" s="643"/>
      <c r="CO510" s="643"/>
      <c r="CP510" s="643"/>
      <c r="CQ510" s="643"/>
      <c r="CR510" s="643"/>
      <c r="CS510" s="636" t="s">
        <v>2391</v>
      </c>
      <c r="CT510" s="643"/>
      <c r="CU510" s="643"/>
      <c r="CV510" s="643"/>
      <c r="CW510" s="643"/>
      <c r="CX510" s="643"/>
      <c r="CY510" s="643"/>
      <c r="CZ510" s="643"/>
      <c r="DA510" s="643"/>
      <c r="DB510" s="643"/>
      <c r="DC510" s="643"/>
      <c r="DD510" s="643"/>
      <c r="DE510" s="643"/>
    </row>
    <row r="511" spans="34:109" ht="15" hidden="1" customHeight="1">
      <c r="AH511" s="24"/>
      <c r="AI511" s="24"/>
      <c r="AJ511" s="24"/>
      <c r="AK511" s="24"/>
      <c r="AL511" s="630" t="str">
        <f t="shared" si="14"/>
        <v/>
      </c>
      <c r="AM511" s="630" t="str">
        <f t="shared" si="15"/>
        <v/>
      </c>
      <c r="AO511" s="24"/>
      <c r="AP511" s="628">
        <v>509</v>
      </c>
      <c r="AQ511" s="642"/>
      <c r="AR511" s="642"/>
      <c r="AS511" s="642"/>
      <c r="AT511" s="642"/>
      <c r="AU511" s="642"/>
      <c r="AV511" s="642"/>
      <c r="AW511" s="642"/>
      <c r="AX511" s="642"/>
      <c r="AY511" s="642"/>
      <c r="AZ511" s="642"/>
      <c r="BA511" s="642"/>
      <c r="BB511" s="642"/>
      <c r="BC511" s="642"/>
      <c r="BD511" s="642"/>
      <c r="BE511" s="642"/>
      <c r="BF511" s="642"/>
      <c r="BG511" s="642"/>
      <c r="BH511" s="642"/>
      <c r="BI511" s="642"/>
      <c r="BJ511" s="634">
        <v>20508</v>
      </c>
      <c r="BK511" s="642"/>
      <c r="BL511" s="642"/>
      <c r="BM511" s="642"/>
      <c r="BN511" s="642"/>
      <c r="BO511" s="642"/>
      <c r="BP511" s="642"/>
      <c r="BQ511" s="642"/>
      <c r="BR511" s="642"/>
      <c r="BS511" s="642"/>
      <c r="BT511" s="642"/>
      <c r="BU511" s="642"/>
      <c r="BV511" s="642"/>
      <c r="BW511" s="24"/>
      <c r="BX511" s="24"/>
      <c r="BY511" s="24"/>
      <c r="BZ511" s="643"/>
      <c r="CA511" s="643"/>
      <c r="CB511" s="643"/>
      <c r="CC511" s="643"/>
      <c r="CD511" s="643"/>
      <c r="CE511" s="643"/>
      <c r="CF511" s="643"/>
      <c r="CG511" s="643"/>
      <c r="CH511" s="643"/>
      <c r="CI511" s="643"/>
      <c r="CJ511" s="643"/>
      <c r="CK511" s="643"/>
      <c r="CL511" s="643"/>
      <c r="CM511" s="643"/>
      <c r="CN511" s="643"/>
      <c r="CO511" s="643"/>
      <c r="CP511" s="643"/>
      <c r="CQ511" s="643"/>
      <c r="CR511" s="643"/>
      <c r="CS511" s="636" t="s">
        <v>2392</v>
      </c>
      <c r="CT511" s="643"/>
      <c r="CU511" s="643"/>
      <c r="CV511" s="643"/>
      <c r="CW511" s="643"/>
      <c r="CX511" s="643"/>
      <c r="CY511" s="643"/>
      <c r="CZ511" s="643"/>
      <c r="DA511" s="643"/>
      <c r="DB511" s="643"/>
      <c r="DC511" s="643"/>
      <c r="DD511" s="643"/>
      <c r="DE511" s="643"/>
    </row>
    <row r="512" spans="34:109" ht="15" hidden="1" customHeight="1">
      <c r="AH512" s="24"/>
      <c r="AI512" s="24"/>
      <c r="AJ512" s="24"/>
      <c r="AK512" s="24"/>
      <c r="AL512" s="630" t="str">
        <f t="shared" si="14"/>
        <v/>
      </c>
      <c r="AM512" s="630" t="str">
        <f t="shared" si="15"/>
        <v/>
      </c>
      <c r="AO512" s="24"/>
      <c r="AP512" s="628">
        <v>510</v>
      </c>
      <c r="AQ512" s="642"/>
      <c r="AR512" s="642"/>
      <c r="AS512" s="642"/>
      <c r="AT512" s="642"/>
      <c r="AU512" s="642"/>
      <c r="AV512" s="642"/>
      <c r="AW512" s="642"/>
      <c r="AX512" s="642"/>
      <c r="AY512" s="642"/>
      <c r="AZ512" s="642"/>
      <c r="BA512" s="642"/>
      <c r="BB512" s="642"/>
      <c r="BC512" s="642"/>
      <c r="BD512" s="642"/>
      <c r="BE512" s="642"/>
      <c r="BF512" s="642"/>
      <c r="BG512" s="642"/>
      <c r="BH512" s="642"/>
      <c r="BI512" s="642"/>
      <c r="BJ512" s="634">
        <v>20509</v>
      </c>
      <c r="BK512" s="642"/>
      <c r="BL512" s="642"/>
      <c r="BM512" s="642"/>
      <c r="BN512" s="642"/>
      <c r="BO512" s="642"/>
      <c r="BP512" s="642"/>
      <c r="BQ512" s="642"/>
      <c r="BR512" s="642"/>
      <c r="BS512" s="642"/>
      <c r="BT512" s="642"/>
      <c r="BU512" s="642"/>
      <c r="BV512" s="642"/>
      <c r="BW512" s="24"/>
      <c r="BX512" s="24"/>
      <c r="BY512" s="24"/>
      <c r="BZ512" s="643"/>
      <c r="CA512" s="643"/>
      <c r="CB512" s="643"/>
      <c r="CC512" s="643"/>
      <c r="CD512" s="643"/>
      <c r="CE512" s="643"/>
      <c r="CF512" s="643"/>
      <c r="CG512" s="643"/>
      <c r="CH512" s="643"/>
      <c r="CI512" s="643"/>
      <c r="CJ512" s="643"/>
      <c r="CK512" s="643"/>
      <c r="CL512" s="643"/>
      <c r="CM512" s="643"/>
      <c r="CN512" s="643"/>
      <c r="CO512" s="643"/>
      <c r="CP512" s="643"/>
      <c r="CQ512" s="643"/>
      <c r="CR512" s="643"/>
      <c r="CS512" s="636" t="s">
        <v>2393</v>
      </c>
      <c r="CT512" s="643"/>
      <c r="CU512" s="643"/>
      <c r="CV512" s="643"/>
      <c r="CW512" s="643"/>
      <c r="CX512" s="643"/>
      <c r="CY512" s="643"/>
      <c r="CZ512" s="643"/>
      <c r="DA512" s="643"/>
      <c r="DB512" s="643"/>
      <c r="DC512" s="643"/>
      <c r="DD512" s="643"/>
      <c r="DE512" s="643"/>
    </row>
    <row r="513" spans="34:109" ht="15" hidden="1" customHeight="1">
      <c r="AH513" s="24"/>
      <c r="AI513" s="24"/>
      <c r="AJ513" s="24"/>
      <c r="AK513" s="24"/>
      <c r="AL513" s="630" t="str">
        <f t="shared" si="14"/>
        <v/>
      </c>
      <c r="AM513" s="630" t="str">
        <f t="shared" si="15"/>
        <v/>
      </c>
      <c r="AO513" s="24"/>
      <c r="AP513" s="628">
        <v>511</v>
      </c>
      <c r="AQ513" s="642"/>
      <c r="AR513" s="642"/>
      <c r="AS513" s="642"/>
      <c r="AT513" s="642"/>
      <c r="AU513" s="642"/>
      <c r="AV513" s="642"/>
      <c r="AW513" s="642"/>
      <c r="AX513" s="642"/>
      <c r="AY513" s="642"/>
      <c r="AZ513" s="642"/>
      <c r="BA513" s="642"/>
      <c r="BB513" s="642"/>
      <c r="BC513" s="642"/>
      <c r="BD513" s="642"/>
      <c r="BE513" s="642"/>
      <c r="BF513" s="642"/>
      <c r="BG513" s="642"/>
      <c r="BH513" s="642"/>
      <c r="BI513" s="642"/>
      <c r="BJ513" s="634">
        <v>20510</v>
      </c>
      <c r="BK513" s="642"/>
      <c r="BL513" s="642"/>
      <c r="BM513" s="642"/>
      <c r="BN513" s="642"/>
      <c r="BO513" s="642"/>
      <c r="BP513" s="642"/>
      <c r="BQ513" s="642"/>
      <c r="BR513" s="642"/>
      <c r="BS513" s="642"/>
      <c r="BT513" s="642"/>
      <c r="BU513" s="642"/>
      <c r="BV513" s="642"/>
      <c r="BW513" s="24"/>
      <c r="BX513" s="24"/>
      <c r="BY513" s="24"/>
      <c r="BZ513" s="643"/>
      <c r="CA513" s="643"/>
      <c r="CB513" s="643"/>
      <c r="CC513" s="643"/>
      <c r="CD513" s="643"/>
      <c r="CE513" s="643"/>
      <c r="CF513" s="643"/>
      <c r="CG513" s="643"/>
      <c r="CH513" s="643"/>
      <c r="CI513" s="643"/>
      <c r="CJ513" s="643"/>
      <c r="CK513" s="643"/>
      <c r="CL513" s="643"/>
      <c r="CM513" s="643"/>
      <c r="CN513" s="643"/>
      <c r="CO513" s="643"/>
      <c r="CP513" s="643"/>
      <c r="CQ513" s="643"/>
      <c r="CR513" s="643"/>
      <c r="CS513" s="636" t="s">
        <v>2394</v>
      </c>
      <c r="CT513" s="643"/>
      <c r="CU513" s="643"/>
      <c r="CV513" s="643"/>
      <c r="CW513" s="643"/>
      <c r="CX513" s="643"/>
      <c r="CY513" s="643"/>
      <c r="CZ513" s="643"/>
      <c r="DA513" s="643"/>
      <c r="DB513" s="643"/>
      <c r="DC513" s="643"/>
      <c r="DD513" s="643"/>
      <c r="DE513" s="643"/>
    </row>
    <row r="514" spans="34:109" ht="15" hidden="1" customHeight="1">
      <c r="AH514" s="24"/>
      <c r="AI514" s="24"/>
      <c r="AJ514" s="24"/>
      <c r="AK514" s="24"/>
      <c r="AL514" s="630" t="str">
        <f t="shared" si="14"/>
        <v/>
      </c>
      <c r="AM514" s="630" t="str">
        <f t="shared" si="15"/>
        <v/>
      </c>
      <c r="AO514" s="24"/>
      <c r="AP514" s="628">
        <v>512</v>
      </c>
      <c r="AQ514" s="642"/>
      <c r="AR514" s="642"/>
      <c r="AS514" s="642"/>
      <c r="AT514" s="642"/>
      <c r="AU514" s="642"/>
      <c r="AV514" s="642"/>
      <c r="AW514" s="642"/>
      <c r="AX514" s="642"/>
      <c r="AY514" s="642"/>
      <c r="AZ514" s="642"/>
      <c r="BA514" s="642"/>
      <c r="BB514" s="642"/>
      <c r="BC514" s="642"/>
      <c r="BD514" s="642"/>
      <c r="BE514" s="642"/>
      <c r="BF514" s="642"/>
      <c r="BG514" s="642"/>
      <c r="BH514" s="642"/>
      <c r="BI514" s="642"/>
      <c r="BJ514" s="634">
        <v>20511</v>
      </c>
      <c r="BK514" s="642"/>
      <c r="BL514" s="642"/>
      <c r="BM514" s="642"/>
      <c r="BN514" s="642"/>
      <c r="BO514" s="642"/>
      <c r="BP514" s="642"/>
      <c r="BQ514" s="642"/>
      <c r="BR514" s="642"/>
      <c r="BS514" s="642"/>
      <c r="BT514" s="642"/>
      <c r="BU514" s="642"/>
      <c r="BV514" s="642"/>
      <c r="BW514" s="24"/>
      <c r="BX514" s="24"/>
      <c r="BY514" s="24"/>
      <c r="BZ514" s="643"/>
      <c r="CA514" s="643"/>
      <c r="CB514" s="643"/>
      <c r="CC514" s="643"/>
      <c r="CD514" s="643"/>
      <c r="CE514" s="643"/>
      <c r="CF514" s="643"/>
      <c r="CG514" s="643"/>
      <c r="CH514" s="643"/>
      <c r="CI514" s="643"/>
      <c r="CJ514" s="643"/>
      <c r="CK514" s="643"/>
      <c r="CL514" s="643"/>
      <c r="CM514" s="643"/>
      <c r="CN514" s="643"/>
      <c r="CO514" s="643"/>
      <c r="CP514" s="643"/>
      <c r="CQ514" s="643"/>
      <c r="CR514" s="643"/>
      <c r="CS514" s="636" t="s">
        <v>2395</v>
      </c>
      <c r="CT514" s="643"/>
      <c r="CU514" s="643"/>
      <c r="CV514" s="643"/>
      <c r="CW514" s="643"/>
      <c r="CX514" s="643"/>
      <c r="CY514" s="643"/>
      <c r="CZ514" s="643"/>
      <c r="DA514" s="643"/>
      <c r="DB514" s="643"/>
      <c r="DC514" s="643"/>
      <c r="DD514" s="643"/>
      <c r="DE514" s="643"/>
    </row>
    <row r="515" spans="34:109" ht="15" hidden="1" customHeight="1">
      <c r="AH515" s="24"/>
      <c r="AI515" s="24"/>
      <c r="AJ515" s="24"/>
      <c r="AK515" s="24"/>
      <c r="AL515" s="630" t="str">
        <f t="shared" si="14"/>
        <v/>
      </c>
      <c r="AM515" s="630" t="str">
        <f t="shared" si="15"/>
        <v/>
      </c>
      <c r="AO515" s="24"/>
      <c r="AP515" s="628">
        <v>513</v>
      </c>
      <c r="AQ515" s="642"/>
      <c r="AR515" s="642"/>
      <c r="AS515" s="642"/>
      <c r="AT515" s="642"/>
      <c r="AU515" s="642"/>
      <c r="AV515" s="642"/>
      <c r="AW515" s="642"/>
      <c r="AX515" s="642"/>
      <c r="AY515" s="642"/>
      <c r="AZ515" s="642"/>
      <c r="BA515" s="642"/>
      <c r="BB515" s="642"/>
      <c r="BC515" s="642"/>
      <c r="BD515" s="642"/>
      <c r="BE515" s="642"/>
      <c r="BF515" s="642"/>
      <c r="BG515" s="642"/>
      <c r="BH515" s="642"/>
      <c r="BI515" s="642"/>
      <c r="BJ515" s="634">
        <v>20512</v>
      </c>
      <c r="BK515" s="642"/>
      <c r="BL515" s="642"/>
      <c r="BM515" s="642"/>
      <c r="BN515" s="642"/>
      <c r="BO515" s="642"/>
      <c r="BP515" s="642"/>
      <c r="BQ515" s="642"/>
      <c r="BR515" s="642"/>
      <c r="BS515" s="642"/>
      <c r="BT515" s="642"/>
      <c r="BU515" s="642"/>
      <c r="BV515" s="642"/>
      <c r="BW515" s="24"/>
      <c r="BX515" s="24"/>
      <c r="BY515" s="24"/>
      <c r="BZ515" s="643"/>
      <c r="CA515" s="643"/>
      <c r="CB515" s="643"/>
      <c r="CC515" s="643"/>
      <c r="CD515" s="643"/>
      <c r="CE515" s="643"/>
      <c r="CF515" s="643"/>
      <c r="CG515" s="643"/>
      <c r="CH515" s="643"/>
      <c r="CI515" s="643"/>
      <c r="CJ515" s="643"/>
      <c r="CK515" s="643"/>
      <c r="CL515" s="643"/>
      <c r="CM515" s="643"/>
      <c r="CN515" s="643"/>
      <c r="CO515" s="643"/>
      <c r="CP515" s="643"/>
      <c r="CQ515" s="643"/>
      <c r="CR515" s="643"/>
      <c r="CS515" s="636" t="s">
        <v>2396</v>
      </c>
      <c r="CT515" s="643"/>
      <c r="CU515" s="643"/>
      <c r="CV515" s="643"/>
      <c r="CW515" s="643"/>
      <c r="CX515" s="643"/>
      <c r="CY515" s="643"/>
      <c r="CZ515" s="643"/>
      <c r="DA515" s="643"/>
      <c r="DB515" s="643"/>
      <c r="DC515" s="643"/>
      <c r="DD515" s="643"/>
      <c r="DE515" s="643"/>
    </row>
    <row r="516" spans="34:109" ht="15" hidden="1" customHeight="1">
      <c r="AH516" s="24"/>
      <c r="AI516" s="24"/>
      <c r="AJ516" s="24"/>
      <c r="AK516" s="24"/>
      <c r="AL516" s="630" t="str">
        <f t="shared" ref="AL516:AL574" si="16">IFERROR(IF(HLOOKUP($N$8, $BZ$3:$DE$574, $AP516, FALSE )="", "", HLOOKUP($N$8, $BZ$3:$DE$574, $AP516, FALSE)), "")</f>
        <v/>
      </c>
      <c r="AM516" s="630" t="str">
        <f t="shared" ref="AM516:AM574" si="17">IFERROR(IF(AL516="", "", HLOOKUP($N$8, $AQ$3:$BV$574, AP516, FALSE)), "")</f>
        <v/>
      </c>
      <c r="AO516" s="24"/>
      <c r="AP516" s="628">
        <v>514</v>
      </c>
      <c r="AQ516" s="642"/>
      <c r="AR516" s="642"/>
      <c r="AS516" s="642"/>
      <c r="AT516" s="642"/>
      <c r="AU516" s="642"/>
      <c r="AV516" s="642"/>
      <c r="AW516" s="642"/>
      <c r="AX516" s="642"/>
      <c r="AY516" s="642"/>
      <c r="AZ516" s="642"/>
      <c r="BA516" s="642"/>
      <c r="BB516" s="642"/>
      <c r="BC516" s="642"/>
      <c r="BD516" s="642"/>
      <c r="BE516" s="642"/>
      <c r="BF516" s="642"/>
      <c r="BG516" s="642"/>
      <c r="BH516" s="642"/>
      <c r="BI516" s="642"/>
      <c r="BJ516" s="634">
        <v>20513</v>
      </c>
      <c r="BK516" s="642"/>
      <c r="BL516" s="642"/>
      <c r="BM516" s="642"/>
      <c r="BN516" s="642"/>
      <c r="BO516" s="642"/>
      <c r="BP516" s="642"/>
      <c r="BQ516" s="642"/>
      <c r="BR516" s="642"/>
      <c r="BS516" s="642"/>
      <c r="BT516" s="642"/>
      <c r="BU516" s="642"/>
      <c r="BV516" s="642"/>
      <c r="BW516" s="24"/>
      <c r="BX516" s="24"/>
      <c r="BY516" s="24"/>
      <c r="BZ516" s="643"/>
      <c r="CA516" s="643"/>
      <c r="CB516" s="643"/>
      <c r="CC516" s="643"/>
      <c r="CD516" s="643"/>
      <c r="CE516" s="643"/>
      <c r="CF516" s="643"/>
      <c r="CG516" s="643"/>
      <c r="CH516" s="643"/>
      <c r="CI516" s="643"/>
      <c r="CJ516" s="643"/>
      <c r="CK516" s="643"/>
      <c r="CL516" s="643"/>
      <c r="CM516" s="643"/>
      <c r="CN516" s="643"/>
      <c r="CO516" s="643"/>
      <c r="CP516" s="643"/>
      <c r="CQ516" s="643"/>
      <c r="CR516" s="643"/>
      <c r="CS516" s="636" t="s">
        <v>2397</v>
      </c>
      <c r="CT516" s="643"/>
      <c r="CU516" s="643"/>
      <c r="CV516" s="643"/>
      <c r="CW516" s="643"/>
      <c r="CX516" s="643"/>
      <c r="CY516" s="643"/>
      <c r="CZ516" s="643"/>
      <c r="DA516" s="643"/>
      <c r="DB516" s="643"/>
      <c r="DC516" s="643"/>
      <c r="DD516" s="643"/>
      <c r="DE516" s="643"/>
    </row>
    <row r="517" spans="34:109" ht="15" hidden="1" customHeight="1">
      <c r="AH517" s="24"/>
      <c r="AI517" s="24"/>
      <c r="AJ517" s="24"/>
      <c r="AK517" s="24"/>
      <c r="AL517" s="630" t="str">
        <f t="shared" si="16"/>
        <v/>
      </c>
      <c r="AM517" s="630" t="str">
        <f t="shared" si="17"/>
        <v/>
      </c>
      <c r="AO517" s="24"/>
      <c r="AP517" s="628">
        <v>515</v>
      </c>
      <c r="AQ517" s="642"/>
      <c r="AR517" s="642"/>
      <c r="AS517" s="642"/>
      <c r="AT517" s="642"/>
      <c r="AU517" s="642"/>
      <c r="AV517" s="642"/>
      <c r="AW517" s="642"/>
      <c r="AX517" s="642"/>
      <c r="AY517" s="642"/>
      <c r="AZ517" s="642"/>
      <c r="BA517" s="642"/>
      <c r="BB517" s="642"/>
      <c r="BC517" s="642"/>
      <c r="BD517" s="642"/>
      <c r="BE517" s="642"/>
      <c r="BF517" s="642"/>
      <c r="BG517" s="642"/>
      <c r="BH517" s="642"/>
      <c r="BI517" s="642"/>
      <c r="BJ517" s="634">
        <v>20514</v>
      </c>
      <c r="BK517" s="642"/>
      <c r="BL517" s="642"/>
      <c r="BM517" s="642"/>
      <c r="BN517" s="642"/>
      <c r="BO517" s="642"/>
      <c r="BP517" s="642"/>
      <c r="BQ517" s="642"/>
      <c r="BR517" s="642"/>
      <c r="BS517" s="642"/>
      <c r="BT517" s="642"/>
      <c r="BU517" s="642"/>
      <c r="BV517" s="642"/>
      <c r="BW517" s="24"/>
      <c r="BX517" s="24"/>
      <c r="BY517" s="24"/>
      <c r="BZ517" s="643"/>
      <c r="CA517" s="643"/>
      <c r="CB517" s="643"/>
      <c r="CC517" s="643"/>
      <c r="CD517" s="643"/>
      <c r="CE517" s="643"/>
      <c r="CF517" s="643"/>
      <c r="CG517" s="643"/>
      <c r="CH517" s="643"/>
      <c r="CI517" s="643"/>
      <c r="CJ517" s="643"/>
      <c r="CK517" s="643"/>
      <c r="CL517" s="643"/>
      <c r="CM517" s="643"/>
      <c r="CN517" s="643"/>
      <c r="CO517" s="643"/>
      <c r="CP517" s="643"/>
      <c r="CQ517" s="643"/>
      <c r="CR517" s="643"/>
      <c r="CS517" s="636" t="s">
        <v>2398</v>
      </c>
      <c r="CT517" s="643"/>
      <c r="CU517" s="643"/>
      <c r="CV517" s="643"/>
      <c r="CW517" s="643"/>
      <c r="CX517" s="643"/>
      <c r="CY517" s="643"/>
      <c r="CZ517" s="643"/>
      <c r="DA517" s="643"/>
      <c r="DB517" s="643"/>
      <c r="DC517" s="643"/>
      <c r="DD517" s="643"/>
      <c r="DE517" s="643"/>
    </row>
    <row r="518" spans="34:109" ht="15" hidden="1" customHeight="1">
      <c r="AH518" s="24"/>
      <c r="AI518" s="24"/>
      <c r="AJ518" s="24"/>
      <c r="AK518" s="24"/>
      <c r="AL518" s="630" t="str">
        <f t="shared" si="16"/>
        <v/>
      </c>
      <c r="AM518" s="630" t="str">
        <f t="shared" si="17"/>
        <v/>
      </c>
      <c r="AO518" s="24"/>
      <c r="AP518" s="628">
        <v>516</v>
      </c>
      <c r="AQ518" s="642"/>
      <c r="AR518" s="642"/>
      <c r="AS518" s="642"/>
      <c r="AT518" s="642"/>
      <c r="AU518" s="642"/>
      <c r="AV518" s="642"/>
      <c r="AW518" s="642"/>
      <c r="AX518" s="642"/>
      <c r="AY518" s="642"/>
      <c r="AZ518" s="642"/>
      <c r="BA518" s="642"/>
      <c r="BB518" s="642"/>
      <c r="BC518" s="642"/>
      <c r="BD518" s="642"/>
      <c r="BE518" s="642"/>
      <c r="BF518" s="642"/>
      <c r="BG518" s="642"/>
      <c r="BH518" s="642"/>
      <c r="BI518" s="642"/>
      <c r="BJ518" s="634">
        <v>20515</v>
      </c>
      <c r="BK518" s="642"/>
      <c r="BL518" s="642"/>
      <c r="BM518" s="642"/>
      <c r="BN518" s="642"/>
      <c r="BO518" s="642"/>
      <c r="BP518" s="642"/>
      <c r="BQ518" s="642"/>
      <c r="BR518" s="642"/>
      <c r="BS518" s="642"/>
      <c r="BT518" s="642"/>
      <c r="BU518" s="642"/>
      <c r="BV518" s="642"/>
      <c r="BW518" s="24"/>
      <c r="BX518" s="24"/>
      <c r="BY518" s="24"/>
      <c r="BZ518" s="643"/>
      <c r="CA518" s="643"/>
      <c r="CB518" s="643"/>
      <c r="CC518" s="643"/>
      <c r="CD518" s="643"/>
      <c r="CE518" s="643"/>
      <c r="CF518" s="643"/>
      <c r="CG518" s="643"/>
      <c r="CH518" s="643"/>
      <c r="CI518" s="643"/>
      <c r="CJ518" s="643"/>
      <c r="CK518" s="643"/>
      <c r="CL518" s="643"/>
      <c r="CM518" s="643"/>
      <c r="CN518" s="643"/>
      <c r="CO518" s="643"/>
      <c r="CP518" s="643"/>
      <c r="CQ518" s="643"/>
      <c r="CR518" s="643"/>
      <c r="CS518" s="636" t="s">
        <v>2399</v>
      </c>
      <c r="CT518" s="643"/>
      <c r="CU518" s="643"/>
      <c r="CV518" s="643"/>
      <c r="CW518" s="643"/>
      <c r="CX518" s="643"/>
      <c r="CY518" s="643"/>
      <c r="CZ518" s="643"/>
      <c r="DA518" s="643"/>
      <c r="DB518" s="643"/>
      <c r="DC518" s="643"/>
      <c r="DD518" s="643"/>
      <c r="DE518" s="643"/>
    </row>
    <row r="519" spans="34:109" ht="15" hidden="1" customHeight="1">
      <c r="AH519" s="24"/>
      <c r="AI519" s="24"/>
      <c r="AJ519" s="24"/>
      <c r="AK519" s="24"/>
      <c r="AL519" s="630" t="str">
        <f t="shared" si="16"/>
        <v/>
      </c>
      <c r="AM519" s="630" t="str">
        <f t="shared" si="17"/>
        <v/>
      </c>
      <c r="AO519" s="24"/>
      <c r="AP519" s="628">
        <v>517</v>
      </c>
      <c r="AQ519" s="642"/>
      <c r="AR519" s="642"/>
      <c r="AS519" s="642"/>
      <c r="AT519" s="642"/>
      <c r="AU519" s="642"/>
      <c r="AV519" s="642"/>
      <c r="AW519" s="642"/>
      <c r="AX519" s="642"/>
      <c r="AY519" s="642"/>
      <c r="AZ519" s="642"/>
      <c r="BA519" s="642"/>
      <c r="BB519" s="642"/>
      <c r="BC519" s="642"/>
      <c r="BD519" s="642"/>
      <c r="BE519" s="642"/>
      <c r="BF519" s="642"/>
      <c r="BG519" s="642"/>
      <c r="BH519" s="642"/>
      <c r="BI519" s="642"/>
      <c r="BJ519" s="634">
        <v>20516</v>
      </c>
      <c r="BK519" s="642"/>
      <c r="BL519" s="642"/>
      <c r="BM519" s="642"/>
      <c r="BN519" s="642"/>
      <c r="BO519" s="642"/>
      <c r="BP519" s="642"/>
      <c r="BQ519" s="642"/>
      <c r="BR519" s="642"/>
      <c r="BS519" s="642"/>
      <c r="BT519" s="642"/>
      <c r="BU519" s="642"/>
      <c r="BV519" s="642"/>
      <c r="BW519" s="24"/>
      <c r="BX519" s="24"/>
      <c r="BY519" s="24"/>
      <c r="BZ519" s="643"/>
      <c r="CA519" s="643"/>
      <c r="CB519" s="643"/>
      <c r="CC519" s="643"/>
      <c r="CD519" s="643"/>
      <c r="CE519" s="643"/>
      <c r="CF519" s="643"/>
      <c r="CG519" s="643"/>
      <c r="CH519" s="643"/>
      <c r="CI519" s="643"/>
      <c r="CJ519" s="643"/>
      <c r="CK519" s="643"/>
      <c r="CL519" s="643"/>
      <c r="CM519" s="643"/>
      <c r="CN519" s="643"/>
      <c r="CO519" s="643"/>
      <c r="CP519" s="643"/>
      <c r="CQ519" s="643"/>
      <c r="CR519" s="643"/>
      <c r="CS519" s="636" t="s">
        <v>2400</v>
      </c>
      <c r="CT519" s="643"/>
      <c r="CU519" s="643"/>
      <c r="CV519" s="643"/>
      <c r="CW519" s="643"/>
      <c r="CX519" s="643"/>
      <c r="CY519" s="643"/>
      <c r="CZ519" s="643"/>
      <c r="DA519" s="643"/>
      <c r="DB519" s="643"/>
      <c r="DC519" s="643"/>
      <c r="DD519" s="643"/>
      <c r="DE519" s="643"/>
    </row>
    <row r="520" spans="34:109" ht="15" hidden="1" customHeight="1">
      <c r="AH520" s="24"/>
      <c r="AI520" s="24"/>
      <c r="AJ520" s="24"/>
      <c r="AK520" s="24"/>
      <c r="AL520" s="630" t="str">
        <f t="shared" si="16"/>
        <v/>
      </c>
      <c r="AM520" s="630" t="str">
        <f t="shared" si="17"/>
        <v/>
      </c>
      <c r="AO520" s="24"/>
      <c r="AP520" s="628">
        <v>518</v>
      </c>
      <c r="AQ520" s="642"/>
      <c r="AR520" s="642"/>
      <c r="AS520" s="642"/>
      <c r="AT520" s="642"/>
      <c r="AU520" s="642"/>
      <c r="AV520" s="642"/>
      <c r="AW520" s="642"/>
      <c r="AX520" s="642"/>
      <c r="AY520" s="642"/>
      <c r="AZ520" s="642"/>
      <c r="BA520" s="642"/>
      <c r="BB520" s="642"/>
      <c r="BC520" s="642"/>
      <c r="BD520" s="642"/>
      <c r="BE520" s="642"/>
      <c r="BF520" s="642"/>
      <c r="BG520" s="642"/>
      <c r="BH520" s="642"/>
      <c r="BI520" s="642"/>
      <c r="BJ520" s="634">
        <v>20517</v>
      </c>
      <c r="BK520" s="642"/>
      <c r="BL520" s="642"/>
      <c r="BM520" s="642"/>
      <c r="BN520" s="642"/>
      <c r="BO520" s="642"/>
      <c r="BP520" s="642"/>
      <c r="BQ520" s="642"/>
      <c r="BR520" s="642"/>
      <c r="BS520" s="642"/>
      <c r="BT520" s="642"/>
      <c r="BU520" s="642"/>
      <c r="BV520" s="642"/>
      <c r="BW520" s="24"/>
      <c r="BX520" s="24"/>
      <c r="BY520" s="24"/>
      <c r="BZ520" s="643"/>
      <c r="CA520" s="643"/>
      <c r="CB520" s="643"/>
      <c r="CC520" s="643"/>
      <c r="CD520" s="643"/>
      <c r="CE520" s="643"/>
      <c r="CF520" s="643"/>
      <c r="CG520" s="643"/>
      <c r="CH520" s="643"/>
      <c r="CI520" s="643"/>
      <c r="CJ520" s="643"/>
      <c r="CK520" s="643"/>
      <c r="CL520" s="643"/>
      <c r="CM520" s="643"/>
      <c r="CN520" s="643"/>
      <c r="CO520" s="643"/>
      <c r="CP520" s="643"/>
      <c r="CQ520" s="643"/>
      <c r="CR520" s="643"/>
      <c r="CS520" s="636" t="s">
        <v>2401</v>
      </c>
      <c r="CT520" s="643"/>
      <c r="CU520" s="643"/>
      <c r="CV520" s="643"/>
      <c r="CW520" s="643"/>
      <c r="CX520" s="643"/>
      <c r="CY520" s="643"/>
      <c r="CZ520" s="643"/>
      <c r="DA520" s="643"/>
      <c r="DB520" s="643"/>
      <c r="DC520" s="643"/>
      <c r="DD520" s="643"/>
      <c r="DE520" s="643"/>
    </row>
    <row r="521" spans="34:109" ht="15" hidden="1" customHeight="1">
      <c r="AH521" s="24"/>
      <c r="AI521" s="24"/>
      <c r="AJ521" s="24"/>
      <c r="AK521" s="24"/>
      <c r="AL521" s="630" t="str">
        <f t="shared" si="16"/>
        <v/>
      </c>
      <c r="AM521" s="630" t="str">
        <f t="shared" si="17"/>
        <v/>
      </c>
      <c r="AO521" s="24"/>
      <c r="AP521" s="628">
        <v>519</v>
      </c>
      <c r="AQ521" s="642"/>
      <c r="AR521" s="642"/>
      <c r="AS521" s="642"/>
      <c r="AT521" s="642"/>
      <c r="AU521" s="642"/>
      <c r="AV521" s="642"/>
      <c r="AW521" s="642"/>
      <c r="AX521" s="642"/>
      <c r="AY521" s="642"/>
      <c r="AZ521" s="642"/>
      <c r="BA521" s="642"/>
      <c r="BB521" s="642"/>
      <c r="BC521" s="642"/>
      <c r="BD521" s="642"/>
      <c r="BE521" s="642"/>
      <c r="BF521" s="642"/>
      <c r="BG521" s="642"/>
      <c r="BH521" s="642"/>
      <c r="BI521" s="642"/>
      <c r="BJ521" s="634">
        <v>20518</v>
      </c>
      <c r="BK521" s="642"/>
      <c r="BL521" s="642"/>
      <c r="BM521" s="642"/>
      <c r="BN521" s="642"/>
      <c r="BO521" s="642"/>
      <c r="BP521" s="642"/>
      <c r="BQ521" s="642"/>
      <c r="BR521" s="642"/>
      <c r="BS521" s="642"/>
      <c r="BT521" s="642"/>
      <c r="BU521" s="642"/>
      <c r="BV521" s="642"/>
      <c r="BW521" s="24"/>
      <c r="BX521" s="24"/>
      <c r="BY521" s="24"/>
      <c r="BZ521" s="643"/>
      <c r="CA521" s="643"/>
      <c r="CB521" s="643"/>
      <c r="CC521" s="643"/>
      <c r="CD521" s="643"/>
      <c r="CE521" s="643"/>
      <c r="CF521" s="643"/>
      <c r="CG521" s="643"/>
      <c r="CH521" s="643"/>
      <c r="CI521" s="643"/>
      <c r="CJ521" s="643"/>
      <c r="CK521" s="643"/>
      <c r="CL521" s="643"/>
      <c r="CM521" s="643"/>
      <c r="CN521" s="643"/>
      <c r="CO521" s="643"/>
      <c r="CP521" s="643"/>
      <c r="CQ521" s="643"/>
      <c r="CR521" s="643"/>
      <c r="CS521" s="636" t="s">
        <v>2402</v>
      </c>
      <c r="CT521" s="643"/>
      <c r="CU521" s="643"/>
      <c r="CV521" s="643"/>
      <c r="CW521" s="643"/>
      <c r="CX521" s="643"/>
      <c r="CY521" s="643"/>
      <c r="CZ521" s="643"/>
      <c r="DA521" s="643"/>
      <c r="DB521" s="643"/>
      <c r="DC521" s="643"/>
      <c r="DD521" s="643"/>
      <c r="DE521" s="643"/>
    </row>
    <row r="522" spans="34:109" ht="15" hidden="1" customHeight="1">
      <c r="AH522" s="24"/>
      <c r="AI522" s="24"/>
      <c r="AJ522" s="24"/>
      <c r="AK522" s="24"/>
      <c r="AL522" s="630" t="str">
        <f t="shared" si="16"/>
        <v/>
      </c>
      <c r="AM522" s="630" t="str">
        <f t="shared" si="17"/>
        <v/>
      </c>
      <c r="AO522" s="24"/>
      <c r="AP522" s="628">
        <v>520</v>
      </c>
      <c r="AQ522" s="642"/>
      <c r="AR522" s="642"/>
      <c r="AS522" s="642"/>
      <c r="AT522" s="642"/>
      <c r="AU522" s="642"/>
      <c r="AV522" s="642"/>
      <c r="AW522" s="642"/>
      <c r="AX522" s="642"/>
      <c r="AY522" s="642"/>
      <c r="AZ522" s="642"/>
      <c r="BA522" s="642"/>
      <c r="BB522" s="642"/>
      <c r="BC522" s="642"/>
      <c r="BD522" s="642"/>
      <c r="BE522" s="642"/>
      <c r="BF522" s="642"/>
      <c r="BG522" s="642"/>
      <c r="BH522" s="642"/>
      <c r="BI522" s="642"/>
      <c r="BJ522" s="634">
        <v>20519</v>
      </c>
      <c r="BK522" s="642"/>
      <c r="BL522" s="642"/>
      <c r="BM522" s="642"/>
      <c r="BN522" s="642"/>
      <c r="BO522" s="642"/>
      <c r="BP522" s="642"/>
      <c r="BQ522" s="642"/>
      <c r="BR522" s="642"/>
      <c r="BS522" s="642"/>
      <c r="BT522" s="642"/>
      <c r="BU522" s="642"/>
      <c r="BV522" s="642"/>
      <c r="BW522" s="24"/>
      <c r="BX522" s="24"/>
      <c r="BY522" s="24"/>
      <c r="BZ522" s="643"/>
      <c r="CA522" s="643"/>
      <c r="CB522" s="643"/>
      <c r="CC522" s="643"/>
      <c r="CD522" s="643"/>
      <c r="CE522" s="643"/>
      <c r="CF522" s="643"/>
      <c r="CG522" s="643"/>
      <c r="CH522" s="643"/>
      <c r="CI522" s="643"/>
      <c r="CJ522" s="643"/>
      <c r="CK522" s="643"/>
      <c r="CL522" s="643"/>
      <c r="CM522" s="643"/>
      <c r="CN522" s="643"/>
      <c r="CO522" s="643"/>
      <c r="CP522" s="643"/>
      <c r="CQ522" s="643"/>
      <c r="CR522" s="643"/>
      <c r="CS522" s="636" t="s">
        <v>2403</v>
      </c>
      <c r="CT522" s="643"/>
      <c r="CU522" s="643"/>
      <c r="CV522" s="643"/>
      <c r="CW522" s="643"/>
      <c r="CX522" s="643"/>
      <c r="CY522" s="643"/>
      <c r="CZ522" s="643"/>
      <c r="DA522" s="643"/>
      <c r="DB522" s="643"/>
      <c r="DC522" s="643"/>
      <c r="DD522" s="643"/>
      <c r="DE522" s="643"/>
    </row>
    <row r="523" spans="34:109" ht="15" hidden="1" customHeight="1">
      <c r="AH523" s="24"/>
      <c r="AI523" s="24"/>
      <c r="AJ523" s="24"/>
      <c r="AK523" s="24"/>
      <c r="AL523" s="630" t="str">
        <f t="shared" si="16"/>
        <v/>
      </c>
      <c r="AM523" s="630" t="str">
        <f t="shared" si="17"/>
        <v/>
      </c>
      <c r="AO523" s="24"/>
      <c r="AP523" s="628">
        <v>521</v>
      </c>
      <c r="AQ523" s="642"/>
      <c r="AR523" s="642"/>
      <c r="AS523" s="642"/>
      <c r="AT523" s="642"/>
      <c r="AU523" s="642"/>
      <c r="AV523" s="642"/>
      <c r="AW523" s="642"/>
      <c r="AX523" s="642"/>
      <c r="AY523" s="642"/>
      <c r="AZ523" s="642"/>
      <c r="BA523" s="642"/>
      <c r="BB523" s="642"/>
      <c r="BC523" s="642"/>
      <c r="BD523" s="642"/>
      <c r="BE523" s="642"/>
      <c r="BF523" s="642"/>
      <c r="BG523" s="642"/>
      <c r="BH523" s="642"/>
      <c r="BI523" s="642"/>
      <c r="BJ523" s="634">
        <v>20520</v>
      </c>
      <c r="BK523" s="642"/>
      <c r="BL523" s="642"/>
      <c r="BM523" s="642"/>
      <c r="BN523" s="642"/>
      <c r="BO523" s="642"/>
      <c r="BP523" s="642"/>
      <c r="BQ523" s="642"/>
      <c r="BR523" s="642"/>
      <c r="BS523" s="642"/>
      <c r="BT523" s="642"/>
      <c r="BU523" s="642"/>
      <c r="BV523" s="642"/>
      <c r="BW523" s="24"/>
      <c r="BX523" s="24"/>
      <c r="BY523" s="24"/>
      <c r="BZ523" s="643"/>
      <c r="CA523" s="643"/>
      <c r="CB523" s="643"/>
      <c r="CC523" s="643"/>
      <c r="CD523" s="643"/>
      <c r="CE523" s="643"/>
      <c r="CF523" s="643"/>
      <c r="CG523" s="643"/>
      <c r="CH523" s="643"/>
      <c r="CI523" s="643"/>
      <c r="CJ523" s="643"/>
      <c r="CK523" s="643"/>
      <c r="CL523" s="643"/>
      <c r="CM523" s="643"/>
      <c r="CN523" s="643"/>
      <c r="CO523" s="643"/>
      <c r="CP523" s="643"/>
      <c r="CQ523" s="643"/>
      <c r="CR523" s="643"/>
      <c r="CS523" s="636" t="s">
        <v>2404</v>
      </c>
      <c r="CT523" s="643"/>
      <c r="CU523" s="643"/>
      <c r="CV523" s="643"/>
      <c r="CW523" s="643"/>
      <c r="CX523" s="643"/>
      <c r="CY523" s="643"/>
      <c r="CZ523" s="643"/>
      <c r="DA523" s="643"/>
      <c r="DB523" s="643"/>
      <c r="DC523" s="643"/>
      <c r="DD523" s="643"/>
      <c r="DE523" s="643"/>
    </row>
    <row r="524" spans="34:109" ht="15" hidden="1" customHeight="1">
      <c r="AH524" s="24"/>
      <c r="AI524" s="24"/>
      <c r="AJ524" s="24"/>
      <c r="AK524" s="24"/>
      <c r="AL524" s="630" t="str">
        <f t="shared" si="16"/>
        <v/>
      </c>
      <c r="AM524" s="630" t="str">
        <f t="shared" si="17"/>
        <v/>
      </c>
      <c r="AO524" s="24"/>
      <c r="AP524" s="628">
        <v>522</v>
      </c>
      <c r="AQ524" s="642"/>
      <c r="AR524" s="642"/>
      <c r="AS524" s="642"/>
      <c r="AT524" s="642"/>
      <c r="AU524" s="642"/>
      <c r="AV524" s="642"/>
      <c r="AW524" s="642"/>
      <c r="AX524" s="642"/>
      <c r="AY524" s="642"/>
      <c r="AZ524" s="642"/>
      <c r="BA524" s="642"/>
      <c r="BB524" s="642"/>
      <c r="BC524" s="642"/>
      <c r="BD524" s="642"/>
      <c r="BE524" s="642"/>
      <c r="BF524" s="642"/>
      <c r="BG524" s="642"/>
      <c r="BH524" s="642"/>
      <c r="BI524" s="642"/>
      <c r="BJ524" s="634">
        <v>20521</v>
      </c>
      <c r="BK524" s="642"/>
      <c r="BL524" s="642"/>
      <c r="BM524" s="642"/>
      <c r="BN524" s="642"/>
      <c r="BO524" s="642"/>
      <c r="BP524" s="642"/>
      <c r="BQ524" s="642"/>
      <c r="BR524" s="642"/>
      <c r="BS524" s="642"/>
      <c r="BT524" s="642"/>
      <c r="BU524" s="642"/>
      <c r="BV524" s="642"/>
      <c r="BW524" s="24"/>
      <c r="BX524" s="24"/>
      <c r="BY524" s="24"/>
      <c r="BZ524" s="643"/>
      <c r="CA524" s="643"/>
      <c r="CB524" s="643"/>
      <c r="CC524" s="643"/>
      <c r="CD524" s="643"/>
      <c r="CE524" s="643"/>
      <c r="CF524" s="643"/>
      <c r="CG524" s="643"/>
      <c r="CH524" s="643"/>
      <c r="CI524" s="643"/>
      <c r="CJ524" s="643"/>
      <c r="CK524" s="643"/>
      <c r="CL524" s="643"/>
      <c r="CM524" s="643"/>
      <c r="CN524" s="643"/>
      <c r="CO524" s="643"/>
      <c r="CP524" s="643"/>
      <c r="CQ524" s="643"/>
      <c r="CR524" s="643"/>
      <c r="CS524" s="636" t="s">
        <v>2405</v>
      </c>
      <c r="CT524" s="643"/>
      <c r="CU524" s="643"/>
      <c r="CV524" s="643"/>
      <c r="CW524" s="643"/>
      <c r="CX524" s="643"/>
      <c r="CY524" s="643"/>
      <c r="CZ524" s="643"/>
      <c r="DA524" s="643"/>
      <c r="DB524" s="643"/>
      <c r="DC524" s="643"/>
      <c r="DD524" s="643"/>
      <c r="DE524" s="643"/>
    </row>
    <row r="525" spans="34:109" ht="15" hidden="1" customHeight="1">
      <c r="AH525" s="24"/>
      <c r="AI525" s="24"/>
      <c r="AJ525" s="24"/>
      <c r="AK525" s="24"/>
      <c r="AL525" s="630" t="str">
        <f t="shared" si="16"/>
        <v/>
      </c>
      <c r="AM525" s="630" t="str">
        <f t="shared" si="17"/>
        <v/>
      </c>
      <c r="AO525" s="24"/>
      <c r="AP525" s="628">
        <v>523</v>
      </c>
      <c r="AQ525" s="642"/>
      <c r="AR525" s="642"/>
      <c r="AS525" s="642"/>
      <c r="AT525" s="642"/>
      <c r="AU525" s="642"/>
      <c r="AV525" s="642"/>
      <c r="AW525" s="642"/>
      <c r="AX525" s="642"/>
      <c r="AY525" s="642"/>
      <c r="AZ525" s="642"/>
      <c r="BA525" s="642"/>
      <c r="BB525" s="642"/>
      <c r="BC525" s="642"/>
      <c r="BD525" s="642"/>
      <c r="BE525" s="642"/>
      <c r="BF525" s="642"/>
      <c r="BG525" s="642"/>
      <c r="BH525" s="642"/>
      <c r="BI525" s="642"/>
      <c r="BJ525" s="634">
        <v>20522</v>
      </c>
      <c r="BK525" s="642"/>
      <c r="BL525" s="642"/>
      <c r="BM525" s="642"/>
      <c r="BN525" s="642"/>
      <c r="BO525" s="642"/>
      <c r="BP525" s="642"/>
      <c r="BQ525" s="642"/>
      <c r="BR525" s="642"/>
      <c r="BS525" s="642"/>
      <c r="BT525" s="642"/>
      <c r="BU525" s="642"/>
      <c r="BV525" s="642"/>
      <c r="BW525" s="24"/>
      <c r="BX525" s="24"/>
      <c r="BY525" s="24"/>
      <c r="BZ525" s="643"/>
      <c r="CA525" s="643"/>
      <c r="CB525" s="643"/>
      <c r="CC525" s="643"/>
      <c r="CD525" s="643"/>
      <c r="CE525" s="643"/>
      <c r="CF525" s="643"/>
      <c r="CG525" s="643"/>
      <c r="CH525" s="643"/>
      <c r="CI525" s="643"/>
      <c r="CJ525" s="643"/>
      <c r="CK525" s="643"/>
      <c r="CL525" s="643"/>
      <c r="CM525" s="643"/>
      <c r="CN525" s="643"/>
      <c r="CO525" s="643"/>
      <c r="CP525" s="643"/>
      <c r="CQ525" s="643"/>
      <c r="CR525" s="643"/>
      <c r="CS525" s="636" t="s">
        <v>2406</v>
      </c>
      <c r="CT525" s="643"/>
      <c r="CU525" s="643"/>
      <c r="CV525" s="643"/>
      <c r="CW525" s="643"/>
      <c r="CX525" s="643"/>
      <c r="CY525" s="643"/>
      <c r="CZ525" s="643"/>
      <c r="DA525" s="643"/>
      <c r="DB525" s="643"/>
      <c r="DC525" s="643"/>
      <c r="DD525" s="643"/>
      <c r="DE525" s="643"/>
    </row>
    <row r="526" spans="34:109" ht="15" hidden="1" customHeight="1">
      <c r="AH526" s="24"/>
      <c r="AI526" s="24"/>
      <c r="AJ526" s="24"/>
      <c r="AK526" s="24"/>
      <c r="AL526" s="630" t="str">
        <f t="shared" si="16"/>
        <v/>
      </c>
      <c r="AM526" s="630" t="str">
        <f t="shared" si="17"/>
        <v/>
      </c>
      <c r="AO526" s="24"/>
      <c r="AP526" s="628">
        <v>524</v>
      </c>
      <c r="AQ526" s="642"/>
      <c r="AR526" s="642"/>
      <c r="AS526" s="642"/>
      <c r="AT526" s="642"/>
      <c r="AU526" s="642"/>
      <c r="AV526" s="642"/>
      <c r="AW526" s="642"/>
      <c r="AX526" s="642"/>
      <c r="AY526" s="642"/>
      <c r="AZ526" s="642"/>
      <c r="BA526" s="642"/>
      <c r="BB526" s="642"/>
      <c r="BC526" s="642"/>
      <c r="BD526" s="642"/>
      <c r="BE526" s="642"/>
      <c r="BF526" s="642"/>
      <c r="BG526" s="642"/>
      <c r="BH526" s="642"/>
      <c r="BI526" s="642"/>
      <c r="BJ526" s="634">
        <v>20523</v>
      </c>
      <c r="BK526" s="642"/>
      <c r="BL526" s="642"/>
      <c r="BM526" s="642"/>
      <c r="BN526" s="642"/>
      <c r="BO526" s="642"/>
      <c r="BP526" s="642"/>
      <c r="BQ526" s="642"/>
      <c r="BR526" s="642"/>
      <c r="BS526" s="642"/>
      <c r="BT526" s="642"/>
      <c r="BU526" s="642"/>
      <c r="BV526" s="642"/>
      <c r="BW526" s="24"/>
      <c r="BX526" s="24"/>
      <c r="BY526" s="24"/>
      <c r="BZ526" s="643"/>
      <c r="CA526" s="643"/>
      <c r="CB526" s="643"/>
      <c r="CC526" s="643"/>
      <c r="CD526" s="643"/>
      <c r="CE526" s="643"/>
      <c r="CF526" s="643"/>
      <c r="CG526" s="643"/>
      <c r="CH526" s="643"/>
      <c r="CI526" s="643"/>
      <c r="CJ526" s="643"/>
      <c r="CK526" s="643"/>
      <c r="CL526" s="643"/>
      <c r="CM526" s="643"/>
      <c r="CN526" s="643"/>
      <c r="CO526" s="643"/>
      <c r="CP526" s="643"/>
      <c r="CQ526" s="643"/>
      <c r="CR526" s="643"/>
      <c r="CS526" s="636" t="s">
        <v>2407</v>
      </c>
      <c r="CT526" s="643"/>
      <c r="CU526" s="643"/>
      <c r="CV526" s="643"/>
      <c r="CW526" s="643"/>
      <c r="CX526" s="643"/>
      <c r="CY526" s="643"/>
      <c r="CZ526" s="643"/>
      <c r="DA526" s="643"/>
      <c r="DB526" s="643"/>
      <c r="DC526" s="643"/>
      <c r="DD526" s="643"/>
      <c r="DE526" s="643"/>
    </row>
    <row r="527" spans="34:109" ht="15" hidden="1" customHeight="1">
      <c r="AH527" s="24"/>
      <c r="AI527" s="24"/>
      <c r="AJ527" s="24"/>
      <c r="AK527" s="24"/>
      <c r="AL527" s="630" t="str">
        <f t="shared" si="16"/>
        <v/>
      </c>
      <c r="AM527" s="630" t="str">
        <f t="shared" si="17"/>
        <v/>
      </c>
      <c r="AO527" s="24"/>
      <c r="AP527" s="628">
        <v>525</v>
      </c>
      <c r="AQ527" s="642"/>
      <c r="AR527" s="642"/>
      <c r="AS527" s="642"/>
      <c r="AT527" s="642"/>
      <c r="AU527" s="642"/>
      <c r="AV527" s="642"/>
      <c r="AW527" s="642"/>
      <c r="AX527" s="642"/>
      <c r="AY527" s="642"/>
      <c r="AZ527" s="642"/>
      <c r="BA527" s="642"/>
      <c r="BB527" s="642"/>
      <c r="BC527" s="642"/>
      <c r="BD527" s="642"/>
      <c r="BE527" s="642"/>
      <c r="BF527" s="642"/>
      <c r="BG527" s="642"/>
      <c r="BH527" s="642"/>
      <c r="BI527" s="642"/>
      <c r="BJ527" s="634">
        <v>20524</v>
      </c>
      <c r="BK527" s="642"/>
      <c r="BL527" s="642"/>
      <c r="BM527" s="642"/>
      <c r="BN527" s="642"/>
      <c r="BO527" s="642"/>
      <c r="BP527" s="642"/>
      <c r="BQ527" s="642"/>
      <c r="BR527" s="642"/>
      <c r="BS527" s="642"/>
      <c r="BT527" s="642"/>
      <c r="BU527" s="642"/>
      <c r="BV527" s="642"/>
      <c r="BW527" s="24"/>
      <c r="BX527" s="24"/>
      <c r="BY527" s="24"/>
      <c r="BZ527" s="643"/>
      <c r="CA527" s="643"/>
      <c r="CB527" s="643"/>
      <c r="CC527" s="643"/>
      <c r="CD527" s="643"/>
      <c r="CE527" s="643"/>
      <c r="CF527" s="643"/>
      <c r="CG527" s="643"/>
      <c r="CH527" s="643"/>
      <c r="CI527" s="643"/>
      <c r="CJ527" s="643"/>
      <c r="CK527" s="643"/>
      <c r="CL527" s="643"/>
      <c r="CM527" s="643"/>
      <c r="CN527" s="643"/>
      <c r="CO527" s="643"/>
      <c r="CP527" s="643"/>
      <c r="CQ527" s="643"/>
      <c r="CR527" s="643"/>
      <c r="CS527" s="636" t="s">
        <v>2408</v>
      </c>
      <c r="CT527" s="643"/>
      <c r="CU527" s="643"/>
      <c r="CV527" s="643"/>
      <c r="CW527" s="643"/>
      <c r="CX527" s="643"/>
      <c r="CY527" s="643"/>
      <c r="CZ527" s="643"/>
      <c r="DA527" s="643"/>
      <c r="DB527" s="643"/>
      <c r="DC527" s="643"/>
      <c r="DD527" s="643"/>
      <c r="DE527" s="643"/>
    </row>
    <row r="528" spans="34:109" ht="15" hidden="1" customHeight="1">
      <c r="AH528" s="24"/>
      <c r="AI528" s="24"/>
      <c r="AJ528" s="24"/>
      <c r="AK528" s="24"/>
      <c r="AL528" s="630" t="str">
        <f t="shared" si="16"/>
        <v/>
      </c>
      <c r="AM528" s="630" t="str">
        <f t="shared" si="17"/>
        <v/>
      </c>
      <c r="AO528" s="24"/>
      <c r="AP528" s="628">
        <v>526</v>
      </c>
      <c r="AQ528" s="642"/>
      <c r="AR528" s="642"/>
      <c r="AS528" s="642"/>
      <c r="AT528" s="642"/>
      <c r="AU528" s="642"/>
      <c r="AV528" s="642"/>
      <c r="AW528" s="642"/>
      <c r="AX528" s="642"/>
      <c r="AY528" s="642"/>
      <c r="AZ528" s="642"/>
      <c r="BA528" s="642"/>
      <c r="BB528" s="642"/>
      <c r="BC528" s="642"/>
      <c r="BD528" s="642"/>
      <c r="BE528" s="642"/>
      <c r="BF528" s="642"/>
      <c r="BG528" s="642"/>
      <c r="BH528" s="642"/>
      <c r="BI528" s="642"/>
      <c r="BJ528" s="634">
        <v>20525</v>
      </c>
      <c r="BK528" s="642"/>
      <c r="BL528" s="642"/>
      <c r="BM528" s="642"/>
      <c r="BN528" s="642"/>
      <c r="BO528" s="642"/>
      <c r="BP528" s="642"/>
      <c r="BQ528" s="642"/>
      <c r="BR528" s="642"/>
      <c r="BS528" s="642"/>
      <c r="BT528" s="642"/>
      <c r="BU528" s="642"/>
      <c r="BV528" s="642"/>
      <c r="BW528" s="24"/>
      <c r="BX528" s="24"/>
      <c r="BY528" s="24"/>
      <c r="BZ528" s="643"/>
      <c r="CA528" s="643"/>
      <c r="CB528" s="643"/>
      <c r="CC528" s="643"/>
      <c r="CD528" s="643"/>
      <c r="CE528" s="643"/>
      <c r="CF528" s="643"/>
      <c r="CG528" s="643"/>
      <c r="CH528" s="643"/>
      <c r="CI528" s="643"/>
      <c r="CJ528" s="643"/>
      <c r="CK528" s="643"/>
      <c r="CL528" s="643"/>
      <c r="CM528" s="643"/>
      <c r="CN528" s="643"/>
      <c r="CO528" s="643"/>
      <c r="CP528" s="643"/>
      <c r="CQ528" s="643"/>
      <c r="CR528" s="643"/>
      <c r="CS528" s="636" t="s">
        <v>2409</v>
      </c>
      <c r="CT528" s="643"/>
      <c r="CU528" s="643"/>
      <c r="CV528" s="643"/>
      <c r="CW528" s="643"/>
      <c r="CX528" s="643"/>
      <c r="CY528" s="643"/>
      <c r="CZ528" s="643"/>
      <c r="DA528" s="643"/>
      <c r="DB528" s="643"/>
      <c r="DC528" s="643"/>
      <c r="DD528" s="643"/>
      <c r="DE528" s="643"/>
    </row>
    <row r="529" spans="34:109" ht="15" hidden="1" customHeight="1">
      <c r="AH529" s="24"/>
      <c r="AI529" s="24"/>
      <c r="AJ529" s="24"/>
      <c r="AK529" s="24"/>
      <c r="AL529" s="630" t="str">
        <f t="shared" si="16"/>
        <v/>
      </c>
      <c r="AM529" s="630" t="str">
        <f t="shared" si="17"/>
        <v/>
      </c>
      <c r="AO529" s="24"/>
      <c r="AP529" s="628">
        <v>527</v>
      </c>
      <c r="AQ529" s="642"/>
      <c r="AR529" s="642"/>
      <c r="AS529" s="642"/>
      <c r="AT529" s="642"/>
      <c r="AU529" s="642"/>
      <c r="AV529" s="642"/>
      <c r="AW529" s="642"/>
      <c r="AX529" s="642"/>
      <c r="AY529" s="642"/>
      <c r="AZ529" s="642"/>
      <c r="BA529" s="642"/>
      <c r="BB529" s="642"/>
      <c r="BC529" s="642"/>
      <c r="BD529" s="642"/>
      <c r="BE529" s="642"/>
      <c r="BF529" s="642"/>
      <c r="BG529" s="642"/>
      <c r="BH529" s="642"/>
      <c r="BI529" s="642"/>
      <c r="BJ529" s="634">
        <v>20526</v>
      </c>
      <c r="BK529" s="642"/>
      <c r="BL529" s="642"/>
      <c r="BM529" s="642"/>
      <c r="BN529" s="642"/>
      <c r="BO529" s="642"/>
      <c r="BP529" s="642"/>
      <c r="BQ529" s="642"/>
      <c r="BR529" s="642"/>
      <c r="BS529" s="642"/>
      <c r="BT529" s="642"/>
      <c r="BU529" s="642"/>
      <c r="BV529" s="642"/>
      <c r="BW529" s="24"/>
      <c r="BX529" s="24"/>
      <c r="BY529" s="24"/>
      <c r="BZ529" s="643"/>
      <c r="CA529" s="643"/>
      <c r="CB529" s="643"/>
      <c r="CC529" s="643"/>
      <c r="CD529" s="643"/>
      <c r="CE529" s="643"/>
      <c r="CF529" s="643"/>
      <c r="CG529" s="643"/>
      <c r="CH529" s="643"/>
      <c r="CI529" s="643"/>
      <c r="CJ529" s="643"/>
      <c r="CK529" s="643"/>
      <c r="CL529" s="643"/>
      <c r="CM529" s="643"/>
      <c r="CN529" s="643"/>
      <c r="CO529" s="643"/>
      <c r="CP529" s="643"/>
      <c r="CQ529" s="643"/>
      <c r="CR529" s="643"/>
      <c r="CS529" s="636" t="s">
        <v>2410</v>
      </c>
      <c r="CT529" s="643"/>
      <c r="CU529" s="643"/>
      <c r="CV529" s="643"/>
      <c r="CW529" s="643"/>
      <c r="CX529" s="643"/>
      <c r="CY529" s="643"/>
      <c r="CZ529" s="643"/>
      <c r="DA529" s="643"/>
      <c r="DB529" s="643"/>
      <c r="DC529" s="643"/>
      <c r="DD529" s="643"/>
      <c r="DE529" s="643"/>
    </row>
    <row r="530" spans="34:109" ht="15" hidden="1" customHeight="1">
      <c r="AH530" s="24"/>
      <c r="AI530" s="24"/>
      <c r="AJ530" s="24"/>
      <c r="AK530" s="24"/>
      <c r="AL530" s="630" t="str">
        <f t="shared" si="16"/>
        <v/>
      </c>
      <c r="AM530" s="630" t="str">
        <f t="shared" si="17"/>
        <v/>
      </c>
      <c r="AO530" s="24"/>
      <c r="AP530" s="628">
        <v>528</v>
      </c>
      <c r="AQ530" s="642"/>
      <c r="AR530" s="642"/>
      <c r="AS530" s="642"/>
      <c r="AT530" s="642"/>
      <c r="AU530" s="642"/>
      <c r="AV530" s="642"/>
      <c r="AW530" s="642"/>
      <c r="AX530" s="642"/>
      <c r="AY530" s="642"/>
      <c r="AZ530" s="642"/>
      <c r="BA530" s="642"/>
      <c r="BB530" s="642"/>
      <c r="BC530" s="642"/>
      <c r="BD530" s="642"/>
      <c r="BE530" s="642"/>
      <c r="BF530" s="642"/>
      <c r="BG530" s="642"/>
      <c r="BH530" s="642"/>
      <c r="BI530" s="642"/>
      <c r="BJ530" s="634">
        <v>20527</v>
      </c>
      <c r="BK530" s="642"/>
      <c r="BL530" s="642"/>
      <c r="BM530" s="642"/>
      <c r="BN530" s="642"/>
      <c r="BO530" s="642"/>
      <c r="BP530" s="642"/>
      <c r="BQ530" s="642"/>
      <c r="BR530" s="642"/>
      <c r="BS530" s="642"/>
      <c r="BT530" s="642"/>
      <c r="BU530" s="642"/>
      <c r="BV530" s="642"/>
      <c r="BW530" s="24"/>
      <c r="BX530" s="24"/>
      <c r="BY530" s="24"/>
      <c r="BZ530" s="643"/>
      <c r="CA530" s="643"/>
      <c r="CB530" s="643"/>
      <c r="CC530" s="643"/>
      <c r="CD530" s="643"/>
      <c r="CE530" s="643"/>
      <c r="CF530" s="643"/>
      <c r="CG530" s="643"/>
      <c r="CH530" s="643"/>
      <c r="CI530" s="643"/>
      <c r="CJ530" s="643"/>
      <c r="CK530" s="643"/>
      <c r="CL530" s="643"/>
      <c r="CM530" s="643"/>
      <c r="CN530" s="643"/>
      <c r="CO530" s="643"/>
      <c r="CP530" s="643"/>
      <c r="CQ530" s="643"/>
      <c r="CR530" s="643"/>
      <c r="CS530" s="636" t="s">
        <v>2411</v>
      </c>
      <c r="CT530" s="643"/>
      <c r="CU530" s="643"/>
      <c r="CV530" s="643"/>
      <c r="CW530" s="643"/>
      <c r="CX530" s="643"/>
      <c r="CY530" s="643"/>
      <c r="CZ530" s="643"/>
      <c r="DA530" s="643"/>
      <c r="DB530" s="643"/>
      <c r="DC530" s="643"/>
      <c r="DD530" s="643"/>
      <c r="DE530" s="643"/>
    </row>
    <row r="531" spans="34:109" ht="15" hidden="1" customHeight="1">
      <c r="AH531" s="24"/>
      <c r="AI531" s="24"/>
      <c r="AJ531" s="24"/>
      <c r="AK531" s="24"/>
      <c r="AL531" s="630" t="str">
        <f t="shared" si="16"/>
        <v/>
      </c>
      <c r="AM531" s="630" t="str">
        <f t="shared" si="17"/>
        <v/>
      </c>
      <c r="AO531" s="24"/>
      <c r="AP531" s="628">
        <v>529</v>
      </c>
      <c r="AQ531" s="642"/>
      <c r="AR531" s="642"/>
      <c r="AS531" s="642"/>
      <c r="AT531" s="642"/>
      <c r="AU531" s="642"/>
      <c r="AV531" s="642"/>
      <c r="AW531" s="642"/>
      <c r="AX531" s="642"/>
      <c r="AY531" s="642"/>
      <c r="AZ531" s="642"/>
      <c r="BA531" s="642"/>
      <c r="BB531" s="642"/>
      <c r="BC531" s="642"/>
      <c r="BD531" s="642"/>
      <c r="BE531" s="642"/>
      <c r="BF531" s="642"/>
      <c r="BG531" s="642"/>
      <c r="BH531" s="642"/>
      <c r="BI531" s="642"/>
      <c r="BJ531" s="634">
        <v>20528</v>
      </c>
      <c r="BK531" s="642"/>
      <c r="BL531" s="642"/>
      <c r="BM531" s="642"/>
      <c r="BN531" s="642"/>
      <c r="BO531" s="642"/>
      <c r="BP531" s="642"/>
      <c r="BQ531" s="642"/>
      <c r="BR531" s="642"/>
      <c r="BS531" s="642"/>
      <c r="BT531" s="642"/>
      <c r="BU531" s="642"/>
      <c r="BV531" s="642"/>
      <c r="BW531" s="24"/>
      <c r="BX531" s="24"/>
      <c r="BY531" s="24"/>
      <c r="BZ531" s="643"/>
      <c r="CA531" s="643"/>
      <c r="CB531" s="643"/>
      <c r="CC531" s="643"/>
      <c r="CD531" s="643"/>
      <c r="CE531" s="643"/>
      <c r="CF531" s="643"/>
      <c r="CG531" s="643"/>
      <c r="CH531" s="643"/>
      <c r="CI531" s="643"/>
      <c r="CJ531" s="643"/>
      <c r="CK531" s="643"/>
      <c r="CL531" s="643"/>
      <c r="CM531" s="643"/>
      <c r="CN531" s="643"/>
      <c r="CO531" s="643"/>
      <c r="CP531" s="643"/>
      <c r="CQ531" s="643"/>
      <c r="CR531" s="643"/>
      <c r="CS531" s="636" t="s">
        <v>2412</v>
      </c>
      <c r="CT531" s="643"/>
      <c r="CU531" s="643"/>
      <c r="CV531" s="643"/>
      <c r="CW531" s="643"/>
      <c r="CX531" s="643"/>
      <c r="CY531" s="643"/>
      <c r="CZ531" s="643"/>
      <c r="DA531" s="643"/>
      <c r="DB531" s="643"/>
      <c r="DC531" s="643"/>
      <c r="DD531" s="643"/>
      <c r="DE531" s="643"/>
    </row>
    <row r="532" spans="34:109" ht="15" hidden="1" customHeight="1">
      <c r="AH532" s="24"/>
      <c r="AI532" s="24"/>
      <c r="AJ532" s="24"/>
      <c r="AK532" s="24"/>
      <c r="AL532" s="630" t="str">
        <f t="shared" si="16"/>
        <v/>
      </c>
      <c r="AM532" s="630" t="str">
        <f t="shared" si="17"/>
        <v/>
      </c>
      <c r="AO532" s="24"/>
      <c r="AP532" s="628">
        <v>530</v>
      </c>
      <c r="AQ532" s="642"/>
      <c r="AR532" s="642"/>
      <c r="AS532" s="642"/>
      <c r="AT532" s="642"/>
      <c r="AU532" s="642"/>
      <c r="AV532" s="642"/>
      <c r="AW532" s="642"/>
      <c r="AX532" s="642"/>
      <c r="AY532" s="642"/>
      <c r="AZ532" s="642"/>
      <c r="BA532" s="642"/>
      <c r="BB532" s="642"/>
      <c r="BC532" s="642"/>
      <c r="BD532" s="642"/>
      <c r="BE532" s="642"/>
      <c r="BF532" s="642"/>
      <c r="BG532" s="642"/>
      <c r="BH532" s="642"/>
      <c r="BI532" s="642"/>
      <c r="BJ532" s="634">
        <v>20529</v>
      </c>
      <c r="BK532" s="642"/>
      <c r="BL532" s="642"/>
      <c r="BM532" s="642"/>
      <c r="BN532" s="642"/>
      <c r="BO532" s="642"/>
      <c r="BP532" s="642"/>
      <c r="BQ532" s="642"/>
      <c r="BR532" s="642"/>
      <c r="BS532" s="642"/>
      <c r="BT532" s="642"/>
      <c r="BU532" s="642"/>
      <c r="BV532" s="642"/>
      <c r="BW532" s="24"/>
      <c r="BX532" s="24"/>
      <c r="BY532" s="24"/>
      <c r="BZ532" s="643"/>
      <c r="CA532" s="643"/>
      <c r="CB532" s="643"/>
      <c r="CC532" s="643"/>
      <c r="CD532" s="643"/>
      <c r="CE532" s="643"/>
      <c r="CF532" s="643"/>
      <c r="CG532" s="643"/>
      <c r="CH532" s="643"/>
      <c r="CI532" s="643"/>
      <c r="CJ532" s="643"/>
      <c r="CK532" s="643"/>
      <c r="CL532" s="643"/>
      <c r="CM532" s="643"/>
      <c r="CN532" s="643"/>
      <c r="CO532" s="643"/>
      <c r="CP532" s="643"/>
      <c r="CQ532" s="643"/>
      <c r="CR532" s="643"/>
      <c r="CS532" s="636" t="s">
        <v>2413</v>
      </c>
      <c r="CT532" s="643"/>
      <c r="CU532" s="643"/>
      <c r="CV532" s="643"/>
      <c r="CW532" s="643"/>
      <c r="CX532" s="643"/>
      <c r="CY532" s="643"/>
      <c r="CZ532" s="643"/>
      <c r="DA532" s="643"/>
      <c r="DB532" s="643"/>
      <c r="DC532" s="643"/>
      <c r="DD532" s="643"/>
      <c r="DE532" s="643"/>
    </row>
    <row r="533" spans="34:109" ht="15" hidden="1" customHeight="1">
      <c r="AH533" s="24"/>
      <c r="AI533" s="24"/>
      <c r="AJ533" s="24"/>
      <c r="AK533" s="24"/>
      <c r="AL533" s="630" t="str">
        <f t="shared" si="16"/>
        <v/>
      </c>
      <c r="AM533" s="630" t="str">
        <f t="shared" si="17"/>
        <v/>
      </c>
      <c r="AO533" s="24"/>
      <c r="AP533" s="628">
        <v>531</v>
      </c>
      <c r="AQ533" s="642"/>
      <c r="AR533" s="642"/>
      <c r="AS533" s="642"/>
      <c r="AT533" s="642"/>
      <c r="AU533" s="642"/>
      <c r="AV533" s="642"/>
      <c r="AW533" s="642"/>
      <c r="AX533" s="642"/>
      <c r="AY533" s="642"/>
      <c r="AZ533" s="642"/>
      <c r="BA533" s="642"/>
      <c r="BB533" s="642"/>
      <c r="BC533" s="642"/>
      <c r="BD533" s="642"/>
      <c r="BE533" s="642"/>
      <c r="BF533" s="642"/>
      <c r="BG533" s="642"/>
      <c r="BH533" s="642"/>
      <c r="BI533" s="642"/>
      <c r="BJ533" s="634">
        <v>20530</v>
      </c>
      <c r="BK533" s="642"/>
      <c r="BL533" s="642"/>
      <c r="BM533" s="642"/>
      <c r="BN533" s="642"/>
      <c r="BO533" s="642"/>
      <c r="BP533" s="642"/>
      <c r="BQ533" s="642"/>
      <c r="BR533" s="642"/>
      <c r="BS533" s="642"/>
      <c r="BT533" s="642"/>
      <c r="BU533" s="642"/>
      <c r="BV533" s="642"/>
      <c r="BW533" s="24"/>
      <c r="BX533" s="24"/>
      <c r="BY533" s="24"/>
      <c r="BZ533" s="643"/>
      <c r="CA533" s="643"/>
      <c r="CB533" s="643"/>
      <c r="CC533" s="643"/>
      <c r="CD533" s="643"/>
      <c r="CE533" s="643"/>
      <c r="CF533" s="643"/>
      <c r="CG533" s="643"/>
      <c r="CH533" s="643"/>
      <c r="CI533" s="643"/>
      <c r="CJ533" s="643"/>
      <c r="CK533" s="643"/>
      <c r="CL533" s="643"/>
      <c r="CM533" s="643"/>
      <c r="CN533" s="643"/>
      <c r="CO533" s="643"/>
      <c r="CP533" s="643"/>
      <c r="CQ533" s="643"/>
      <c r="CR533" s="643"/>
      <c r="CS533" s="636" t="s">
        <v>2414</v>
      </c>
      <c r="CT533" s="643"/>
      <c r="CU533" s="643"/>
      <c r="CV533" s="643"/>
      <c r="CW533" s="643"/>
      <c r="CX533" s="643"/>
      <c r="CY533" s="643"/>
      <c r="CZ533" s="643"/>
      <c r="DA533" s="643"/>
      <c r="DB533" s="643"/>
      <c r="DC533" s="643"/>
      <c r="DD533" s="643"/>
      <c r="DE533" s="643"/>
    </row>
    <row r="534" spans="34:109" ht="15" hidden="1" customHeight="1">
      <c r="AH534" s="24"/>
      <c r="AI534" s="24"/>
      <c r="AJ534" s="24"/>
      <c r="AK534" s="24"/>
      <c r="AL534" s="630" t="str">
        <f t="shared" si="16"/>
        <v/>
      </c>
      <c r="AM534" s="630" t="str">
        <f t="shared" si="17"/>
        <v/>
      </c>
      <c r="AO534" s="24"/>
      <c r="AP534" s="628">
        <v>532</v>
      </c>
      <c r="AQ534" s="642"/>
      <c r="AR534" s="642"/>
      <c r="AS534" s="642"/>
      <c r="AT534" s="642"/>
      <c r="AU534" s="642"/>
      <c r="AV534" s="642"/>
      <c r="AW534" s="642"/>
      <c r="AX534" s="642"/>
      <c r="AY534" s="642"/>
      <c r="AZ534" s="642"/>
      <c r="BA534" s="642"/>
      <c r="BB534" s="642"/>
      <c r="BC534" s="642"/>
      <c r="BD534" s="642"/>
      <c r="BE534" s="642"/>
      <c r="BF534" s="642"/>
      <c r="BG534" s="642"/>
      <c r="BH534" s="642"/>
      <c r="BI534" s="642"/>
      <c r="BJ534" s="634">
        <v>20531</v>
      </c>
      <c r="BK534" s="642"/>
      <c r="BL534" s="642"/>
      <c r="BM534" s="642"/>
      <c r="BN534" s="642"/>
      <c r="BO534" s="642"/>
      <c r="BP534" s="642"/>
      <c r="BQ534" s="642"/>
      <c r="BR534" s="642"/>
      <c r="BS534" s="642"/>
      <c r="BT534" s="642"/>
      <c r="BU534" s="642"/>
      <c r="BV534" s="642"/>
      <c r="BW534" s="24"/>
      <c r="BX534" s="24"/>
      <c r="BY534" s="24"/>
      <c r="BZ534" s="643"/>
      <c r="CA534" s="643"/>
      <c r="CB534" s="643"/>
      <c r="CC534" s="643"/>
      <c r="CD534" s="643"/>
      <c r="CE534" s="643"/>
      <c r="CF534" s="643"/>
      <c r="CG534" s="643"/>
      <c r="CH534" s="643"/>
      <c r="CI534" s="643"/>
      <c r="CJ534" s="643"/>
      <c r="CK534" s="643"/>
      <c r="CL534" s="643"/>
      <c r="CM534" s="643"/>
      <c r="CN534" s="643"/>
      <c r="CO534" s="643"/>
      <c r="CP534" s="643"/>
      <c r="CQ534" s="643"/>
      <c r="CR534" s="643"/>
      <c r="CS534" s="636" t="s">
        <v>2415</v>
      </c>
      <c r="CT534" s="643"/>
      <c r="CU534" s="643"/>
      <c r="CV534" s="643"/>
      <c r="CW534" s="643"/>
      <c r="CX534" s="643"/>
      <c r="CY534" s="643"/>
      <c r="CZ534" s="643"/>
      <c r="DA534" s="643"/>
      <c r="DB534" s="643"/>
      <c r="DC534" s="643"/>
      <c r="DD534" s="643"/>
      <c r="DE534" s="643"/>
    </row>
    <row r="535" spans="34:109" ht="15" hidden="1" customHeight="1">
      <c r="AH535" s="24"/>
      <c r="AI535" s="24"/>
      <c r="AJ535" s="24"/>
      <c r="AK535" s="24"/>
      <c r="AL535" s="630" t="str">
        <f t="shared" si="16"/>
        <v/>
      </c>
      <c r="AM535" s="630" t="str">
        <f t="shared" si="17"/>
        <v/>
      </c>
      <c r="AO535" s="24"/>
      <c r="AP535" s="628">
        <v>533</v>
      </c>
      <c r="AQ535" s="642"/>
      <c r="AR535" s="642"/>
      <c r="AS535" s="642"/>
      <c r="AT535" s="642"/>
      <c r="AU535" s="642"/>
      <c r="AV535" s="642"/>
      <c r="AW535" s="642"/>
      <c r="AX535" s="642"/>
      <c r="AY535" s="642"/>
      <c r="AZ535" s="642"/>
      <c r="BA535" s="642"/>
      <c r="BB535" s="642"/>
      <c r="BC535" s="642"/>
      <c r="BD535" s="642"/>
      <c r="BE535" s="642"/>
      <c r="BF535" s="642"/>
      <c r="BG535" s="642"/>
      <c r="BH535" s="642"/>
      <c r="BI535" s="642"/>
      <c r="BJ535" s="634">
        <v>20532</v>
      </c>
      <c r="BK535" s="642"/>
      <c r="BL535" s="642"/>
      <c r="BM535" s="642"/>
      <c r="BN535" s="642"/>
      <c r="BO535" s="642"/>
      <c r="BP535" s="642"/>
      <c r="BQ535" s="642"/>
      <c r="BR535" s="642"/>
      <c r="BS535" s="642"/>
      <c r="BT535" s="642"/>
      <c r="BU535" s="642"/>
      <c r="BV535" s="642"/>
      <c r="BW535" s="24"/>
      <c r="BX535" s="24"/>
      <c r="BY535" s="24"/>
      <c r="BZ535" s="643"/>
      <c r="CA535" s="643"/>
      <c r="CB535" s="643"/>
      <c r="CC535" s="643"/>
      <c r="CD535" s="643"/>
      <c r="CE535" s="643"/>
      <c r="CF535" s="643"/>
      <c r="CG535" s="643"/>
      <c r="CH535" s="643"/>
      <c r="CI535" s="643"/>
      <c r="CJ535" s="643"/>
      <c r="CK535" s="643"/>
      <c r="CL535" s="643"/>
      <c r="CM535" s="643"/>
      <c r="CN535" s="643"/>
      <c r="CO535" s="643"/>
      <c r="CP535" s="643"/>
      <c r="CQ535" s="643"/>
      <c r="CR535" s="643"/>
      <c r="CS535" s="636" t="s">
        <v>2416</v>
      </c>
      <c r="CT535" s="643"/>
      <c r="CU535" s="643"/>
      <c r="CV535" s="643"/>
      <c r="CW535" s="643"/>
      <c r="CX535" s="643"/>
      <c r="CY535" s="643"/>
      <c r="CZ535" s="643"/>
      <c r="DA535" s="643"/>
      <c r="DB535" s="643"/>
      <c r="DC535" s="643"/>
      <c r="DD535" s="643"/>
      <c r="DE535" s="643"/>
    </row>
    <row r="536" spans="34:109" ht="15" hidden="1" customHeight="1">
      <c r="AH536" s="24"/>
      <c r="AI536" s="24"/>
      <c r="AJ536" s="24"/>
      <c r="AK536" s="24"/>
      <c r="AL536" s="630" t="str">
        <f t="shared" si="16"/>
        <v/>
      </c>
      <c r="AM536" s="630" t="str">
        <f t="shared" si="17"/>
        <v/>
      </c>
      <c r="AO536" s="24"/>
      <c r="AP536" s="628">
        <v>534</v>
      </c>
      <c r="AQ536" s="642"/>
      <c r="AR536" s="642"/>
      <c r="AS536" s="642"/>
      <c r="AT536" s="642"/>
      <c r="AU536" s="642"/>
      <c r="AV536" s="642"/>
      <c r="AW536" s="642"/>
      <c r="AX536" s="642"/>
      <c r="AY536" s="642"/>
      <c r="AZ536" s="642"/>
      <c r="BA536" s="642"/>
      <c r="BB536" s="642"/>
      <c r="BC536" s="642"/>
      <c r="BD536" s="642"/>
      <c r="BE536" s="642"/>
      <c r="BF536" s="642"/>
      <c r="BG536" s="642"/>
      <c r="BH536" s="642"/>
      <c r="BI536" s="642"/>
      <c r="BJ536" s="634">
        <v>20533</v>
      </c>
      <c r="BK536" s="642"/>
      <c r="BL536" s="642"/>
      <c r="BM536" s="642"/>
      <c r="BN536" s="642"/>
      <c r="BO536" s="642"/>
      <c r="BP536" s="642"/>
      <c r="BQ536" s="642"/>
      <c r="BR536" s="642"/>
      <c r="BS536" s="642"/>
      <c r="BT536" s="642"/>
      <c r="BU536" s="642"/>
      <c r="BV536" s="642"/>
      <c r="BW536" s="24"/>
      <c r="BX536" s="24"/>
      <c r="BY536" s="24"/>
      <c r="BZ536" s="643"/>
      <c r="CA536" s="643"/>
      <c r="CB536" s="643"/>
      <c r="CC536" s="643"/>
      <c r="CD536" s="643"/>
      <c r="CE536" s="643"/>
      <c r="CF536" s="643"/>
      <c r="CG536" s="643"/>
      <c r="CH536" s="643"/>
      <c r="CI536" s="643"/>
      <c r="CJ536" s="643"/>
      <c r="CK536" s="643"/>
      <c r="CL536" s="643"/>
      <c r="CM536" s="643"/>
      <c r="CN536" s="643"/>
      <c r="CO536" s="643"/>
      <c r="CP536" s="643"/>
      <c r="CQ536" s="643"/>
      <c r="CR536" s="643"/>
      <c r="CS536" s="636" t="s">
        <v>2417</v>
      </c>
      <c r="CT536" s="643"/>
      <c r="CU536" s="643"/>
      <c r="CV536" s="643"/>
      <c r="CW536" s="643"/>
      <c r="CX536" s="643"/>
      <c r="CY536" s="643"/>
      <c r="CZ536" s="643"/>
      <c r="DA536" s="643"/>
      <c r="DB536" s="643"/>
      <c r="DC536" s="643"/>
      <c r="DD536" s="643"/>
      <c r="DE536" s="643"/>
    </row>
    <row r="537" spans="34:109" ht="15" hidden="1" customHeight="1">
      <c r="AH537" s="24"/>
      <c r="AI537" s="24"/>
      <c r="AJ537" s="24"/>
      <c r="AK537" s="24"/>
      <c r="AL537" s="630" t="str">
        <f t="shared" si="16"/>
        <v/>
      </c>
      <c r="AM537" s="630" t="str">
        <f t="shared" si="17"/>
        <v/>
      </c>
      <c r="AO537" s="24"/>
      <c r="AP537" s="628">
        <v>535</v>
      </c>
      <c r="AQ537" s="642"/>
      <c r="AR537" s="642"/>
      <c r="AS537" s="642"/>
      <c r="AT537" s="642"/>
      <c r="AU537" s="642"/>
      <c r="AV537" s="642"/>
      <c r="AW537" s="642"/>
      <c r="AX537" s="642"/>
      <c r="AY537" s="642"/>
      <c r="AZ537" s="642"/>
      <c r="BA537" s="642"/>
      <c r="BB537" s="642"/>
      <c r="BC537" s="642"/>
      <c r="BD537" s="642"/>
      <c r="BE537" s="642"/>
      <c r="BF537" s="642"/>
      <c r="BG537" s="642"/>
      <c r="BH537" s="642"/>
      <c r="BI537" s="642"/>
      <c r="BJ537" s="634">
        <v>20534</v>
      </c>
      <c r="BK537" s="642"/>
      <c r="BL537" s="642"/>
      <c r="BM537" s="642"/>
      <c r="BN537" s="642"/>
      <c r="BO537" s="642"/>
      <c r="BP537" s="642"/>
      <c r="BQ537" s="642"/>
      <c r="BR537" s="642"/>
      <c r="BS537" s="642"/>
      <c r="BT537" s="642"/>
      <c r="BU537" s="642"/>
      <c r="BV537" s="642"/>
      <c r="BW537" s="24"/>
      <c r="BX537" s="24"/>
      <c r="BY537" s="24"/>
      <c r="BZ537" s="643"/>
      <c r="CA537" s="643"/>
      <c r="CB537" s="643"/>
      <c r="CC537" s="643"/>
      <c r="CD537" s="643"/>
      <c r="CE537" s="643"/>
      <c r="CF537" s="643"/>
      <c r="CG537" s="643"/>
      <c r="CH537" s="643"/>
      <c r="CI537" s="643"/>
      <c r="CJ537" s="643"/>
      <c r="CK537" s="643"/>
      <c r="CL537" s="643"/>
      <c r="CM537" s="643"/>
      <c r="CN537" s="643"/>
      <c r="CO537" s="643"/>
      <c r="CP537" s="643"/>
      <c r="CQ537" s="643"/>
      <c r="CR537" s="643"/>
      <c r="CS537" s="636" t="s">
        <v>2418</v>
      </c>
      <c r="CT537" s="643"/>
      <c r="CU537" s="643"/>
      <c r="CV537" s="643"/>
      <c r="CW537" s="643"/>
      <c r="CX537" s="643"/>
      <c r="CY537" s="643"/>
      <c r="CZ537" s="643"/>
      <c r="DA537" s="643"/>
      <c r="DB537" s="643"/>
      <c r="DC537" s="643"/>
      <c r="DD537" s="643"/>
      <c r="DE537" s="643"/>
    </row>
    <row r="538" spans="34:109" ht="15" hidden="1" customHeight="1">
      <c r="AH538" s="24"/>
      <c r="AI538" s="24"/>
      <c r="AJ538" s="24"/>
      <c r="AK538" s="24"/>
      <c r="AL538" s="630" t="str">
        <f t="shared" si="16"/>
        <v/>
      </c>
      <c r="AM538" s="630" t="str">
        <f t="shared" si="17"/>
        <v/>
      </c>
      <c r="AO538" s="24"/>
      <c r="AP538" s="628">
        <v>536</v>
      </c>
      <c r="AQ538" s="642"/>
      <c r="AR538" s="642"/>
      <c r="AS538" s="642"/>
      <c r="AT538" s="642"/>
      <c r="AU538" s="642"/>
      <c r="AV538" s="642"/>
      <c r="AW538" s="642"/>
      <c r="AX538" s="642"/>
      <c r="AY538" s="642"/>
      <c r="AZ538" s="642"/>
      <c r="BA538" s="642"/>
      <c r="BB538" s="642"/>
      <c r="BC538" s="642"/>
      <c r="BD538" s="642"/>
      <c r="BE538" s="642"/>
      <c r="BF538" s="642"/>
      <c r="BG538" s="642"/>
      <c r="BH538" s="642"/>
      <c r="BI538" s="642"/>
      <c r="BJ538" s="634">
        <v>20535</v>
      </c>
      <c r="BK538" s="642"/>
      <c r="BL538" s="642"/>
      <c r="BM538" s="642"/>
      <c r="BN538" s="642"/>
      <c r="BO538" s="642"/>
      <c r="BP538" s="642"/>
      <c r="BQ538" s="642"/>
      <c r="BR538" s="642"/>
      <c r="BS538" s="642"/>
      <c r="BT538" s="642"/>
      <c r="BU538" s="642"/>
      <c r="BV538" s="642"/>
      <c r="BW538" s="24"/>
      <c r="BX538" s="24"/>
      <c r="BY538" s="24"/>
      <c r="BZ538" s="643"/>
      <c r="CA538" s="643"/>
      <c r="CB538" s="643"/>
      <c r="CC538" s="643"/>
      <c r="CD538" s="643"/>
      <c r="CE538" s="643"/>
      <c r="CF538" s="643"/>
      <c r="CG538" s="643"/>
      <c r="CH538" s="643"/>
      <c r="CI538" s="643"/>
      <c r="CJ538" s="643"/>
      <c r="CK538" s="643"/>
      <c r="CL538" s="643"/>
      <c r="CM538" s="643"/>
      <c r="CN538" s="643"/>
      <c r="CO538" s="643"/>
      <c r="CP538" s="643"/>
      <c r="CQ538" s="643"/>
      <c r="CR538" s="643"/>
      <c r="CS538" s="636" t="s">
        <v>2419</v>
      </c>
      <c r="CT538" s="643"/>
      <c r="CU538" s="643"/>
      <c r="CV538" s="643"/>
      <c r="CW538" s="643"/>
      <c r="CX538" s="643"/>
      <c r="CY538" s="643"/>
      <c r="CZ538" s="643"/>
      <c r="DA538" s="643"/>
      <c r="DB538" s="643"/>
      <c r="DC538" s="643"/>
      <c r="DD538" s="643"/>
      <c r="DE538" s="643"/>
    </row>
    <row r="539" spans="34:109" ht="15" hidden="1" customHeight="1">
      <c r="AH539" s="24"/>
      <c r="AI539" s="24"/>
      <c r="AJ539" s="24"/>
      <c r="AK539" s="24"/>
      <c r="AL539" s="630" t="str">
        <f t="shared" si="16"/>
        <v/>
      </c>
      <c r="AM539" s="630" t="str">
        <f t="shared" si="17"/>
        <v/>
      </c>
      <c r="AO539" s="24"/>
      <c r="AP539" s="628">
        <v>537</v>
      </c>
      <c r="AQ539" s="642"/>
      <c r="AR539" s="642"/>
      <c r="AS539" s="642"/>
      <c r="AT539" s="642"/>
      <c r="AU539" s="642"/>
      <c r="AV539" s="642"/>
      <c r="AW539" s="642"/>
      <c r="AX539" s="642"/>
      <c r="AY539" s="642"/>
      <c r="AZ539" s="642"/>
      <c r="BA539" s="642"/>
      <c r="BB539" s="642"/>
      <c r="BC539" s="642"/>
      <c r="BD539" s="642"/>
      <c r="BE539" s="642"/>
      <c r="BF539" s="642"/>
      <c r="BG539" s="642"/>
      <c r="BH539" s="642"/>
      <c r="BI539" s="642"/>
      <c r="BJ539" s="634">
        <v>20536</v>
      </c>
      <c r="BK539" s="642"/>
      <c r="BL539" s="642"/>
      <c r="BM539" s="642"/>
      <c r="BN539" s="642"/>
      <c r="BO539" s="642"/>
      <c r="BP539" s="642"/>
      <c r="BQ539" s="642"/>
      <c r="BR539" s="642"/>
      <c r="BS539" s="642"/>
      <c r="BT539" s="642"/>
      <c r="BU539" s="642"/>
      <c r="BV539" s="642"/>
      <c r="BW539" s="24"/>
      <c r="BX539" s="24"/>
      <c r="BY539" s="24"/>
      <c r="BZ539" s="643"/>
      <c r="CA539" s="643"/>
      <c r="CB539" s="643"/>
      <c r="CC539" s="643"/>
      <c r="CD539" s="643"/>
      <c r="CE539" s="643"/>
      <c r="CF539" s="643"/>
      <c r="CG539" s="643"/>
      <c r="CH539" s="643"/>
      <c r="CI539" s="643"/>
      <c r="CJ539" s="643"/>
      <c r="CK539" s="643"/>
      <c r="CL539" s="643"/>
      <c r="CM539" s="643"/>
      <c r="CN539" s="643"/>
      <c r="CO539" s="643"/>
      <c r="CP539" s="643"/>
      <c r="CQ539" s="643"/>
      <c r="CR539" s="643"/>
      <c r="CS539" s="636" t="s">
        <v>2420</v>
      </c>
      <c r="CT539" s="643"/>
      <c r="CU539" s="643"/>
      <c r="CV539" s="643"/>
      <c r="CW539" s="643"/>
      <c r="CX539" s="643"/>
      <c r="CY539" s="643"/>
      <c r="CZ539" s="643"/>
      <c r="DA539" s="643"/>
      <c r="DB539" s="643"/>
      <c r="DC539" s="643"/>
      <c r="DD539" s="643"/>
      <c r="DE539" s="643"/>
    </row>
    <row r="540" spans="34:109" ht="15" hidden="1" customHeight="1">
      <c r="AH540" s="24"/>
      <c r="AI540" s="24"/>
      <c r="AJ540" s="24"/>
      <c r="AK540" s="24"/>
      <c r="AL540" s="630" t="str">
        <f t="shared" si="16"/>
        <v/>
      </c>
      <c r="AM540" s="630" t="str">
        <f t="shared" si="17"/>
        <v/>
      </c>
      <c r="AO540" s="24"/>
      <c r="AP540" s="628">
        <v>538</v>
      </c>
      <c r="AQ540" s="642"/>
      <c r="AR540" s="642"/>
      <c r="AS540" s="642"/>
      <c r="AT540" s="642"/>
      <c r="AU540" s="642"/>
      <c r="AV540" s="642"/>
      <c r="AW540" s="642"/>
      <c r="AX540" s="642"/>
      <c r="AY540" s="642"/>
      <c r="AZ540" s="642"/>
      <c r="BA540" s="642"/>
      <c r="BB540" s="642"/>
      <c r="BC540" s="642"/>
      <c r="BD540" s="642"/>
      <c r="BE540" s="642"/>
      <c r="BF540" s="642"/>
      <c r="BG540" s="642"/>
      <c r="BH540" s="642"/>
      <c r="BI540" s="642"/>
      <c r="BJ540" s="634">
        <v>20537</v>
      </c>
      <c r="BK540" s="642"/>
      <c r="BL540" s="642"/>
      <c r="BM540" s="642"/>
      <c r="BN540" s="642"/>
      <c r="BO540" s="642"/>
      <c r="BP540" s="642"/>
      <c r="BQ540" s="642"/>
      <c r="BR540" s="642"/>
      <c r="BS540" s="642"/>
      <c r="BT540" s="642"/>
      <c r="BU540" s="642"/>
      <c r="BV540" s="642"/>
      <c r="BW540" s="24"/>
      <c r="BX540" s="24"/>
      <c r="BY540" s="24"/>
      <c r="BZ540" s="643"/>
      <c r="CA540" s="643"/>
      <c r="CB540" s="643"/>
      <c r="CC540" s="643"/>
      <c r="CD540" s="643"/>
      <c r="CE540" s="643"/>
      <c r="CF540" s="643"/>
      <c r="CG540" s="643"/>
      <c r="CH540" s="643"/>
      <c r="CI540" s="643"/>
      <c r="CJ540" s="643"/>
      <c r="CK540" s="643"/>
      <c r="CL540" s="643"/>
      <c r="CM540" s="643"/>
      <c r="CN540" s="643"/>
      <c r="CO540" s="643"/>
      <c r="CP540" s="643"/>
      <c r="CQ540" s="643"/>
      <c r="CR540" s="643"/>
      <c r="CS540" s="636" t="s">
        <v>2421</v>
      </c>
      <c r="CT540" s="643"/>
      <c r="CU540" s="643"/>
      <c r="CV540" s="643"/>
      <c r="CW540" s="643"/>
      <c r="CX540" s="643"/>
      <c r="CY540" s="643"/>
      <c r="CZ540" s="643"/>
      <c r="DA540" s="643"/>
      <c r="DB540" s="643"/>
      <c r="DC540" s="643"/>
      <c r="DD540" s="643"/>
      <c r="DE540" s="643"/>
    </row>
    <row r="541" spans="34:109" ht="15" hidden="1" customHeight="1">
      <c r="AH541" s="24"/>
      <c r="AI541" s="24"/>
      <c r="AJ541" s="24"/>
      <c r="AK541" s="24"/>
      <c r="AL541" s="630" t="str">
        <f t="shared" si="16"/>
        <v/>
      </c>
      <c r="AM541" s="630" t="str">
        <f t="shared" si="17"/>
        <v/>
      </c>
      <c r="AO541" s="24"/>
      <c r="AP541" s="628">
        <v>539</v>
      </c>
      <c r="AQ541" s="642"/>
      <c r="AR541" s="642"/>
      <c r="AS541" s="642"/>
      <c r="AT541" s="642"/>
      <c r="AU541" s="642"/>
      <c r="AV541" s="642"/>
      <c r="AW541" s="642"/>
      <c r="AX541" s="642"/>
      <c r="AY541" s="642"/>
      <c r="AZ541" s="642"/>
      <c r="BA541" s="642"/>
      <c r="BB541" s="642"/>
      <c r="BC541" s="642"/>
      <c r="BD541" s="642"/>
      <c r="BE541" s="642"/>
      <c r="BF541" s="642"/>
      <c r="BG541" s="642"/>
      <c r="BH541" s="642"/>
      <c r="BI541" s="642"/>
      <c r="BJ541" s="634">
        <v>20538</v>
      </c>
      <c r="BK541" s="642"/>
      <c r="BL541" s="642"/>
      <c r="BM541" s="642"/>
      <c r="BN541" s="642"/>
      <c r="BO541" s="642"/>
      <c r="BP541" s="642"/>
      <c r="BQ541" s="642"/>
      <c r="BR541" s="642"/>
      <c r="BS541" s="642"/>
      <c r="BT541" s="642"/>
      <c r="BU541" s="642"/>
      <c r="BV541" s="642"/>
      <c r="BW541" s="24"/>
      <c r="BX541" s="24"/>
      <c r="BY541" s="24"/>
      <c r="BZ541" s="643"/>
      <c r="CA541" s="643"/>
      <c r="CB541" s="643"/>
      <c r="CC541" s="643"/>
      <c r="CD541" s="643"/>
      <c r="CE541" s="643"/>
      <c r="CF541" s="643"/>
      <c r="CG541" s="643"/>
      <c r="CH541" s="643"/>
      <c r="CI541" s="643"/>
      <c r="CJ541" s="643"/>
      <c r="CK541" s="643"/>
      <c r="CL541" s="643"/>
      <c r="CM541" s="643"/>
      <c r="CN541" s="643"/>
      <c r="CO541" s="643"/>
      <c r="CP541" s="643"/>
      <c r="CQ541" s="643"/>
      <c r="CR541" s="643"/>
      <c r="CS541" s="636" t="s">
        <v>2422</v>
      </c>
      <c r="CT541" s="643"/>
      <c r="CU541" s="643"/>
      <c r="CV541" s="643"/>
      <c r="CW541" s="643"/>
      <c r="CX541" s="643"/>
      <c r="CY541" s="643"/>
      <c r="CZ541" s="643"/>
      <c r="DA541" s="643"/>
      <c r="DB541" s="643"/>
      <c r="DC541" s="643"/>
      <c r="DD541" s="643"/>
      <c r="DE541" s="643"/>
    </row>
    <row r="542" spans="34:109" ht="15" hidden="1" customHeight="1">
      <c r="AH542" s="24"/>
      <c r="AI542" s="24"/>
      <c r="AJ542" s="24"/>
      <c r="AK542" s="24"/>
      <c r="AL542" s="630" t="str">
        <f t="shared" si="16"/>
        <v/>
      </c>
      <c r="AM542" s="630" t="str">
        <f t="shared" si="17"/>
        <v/>
      </c>
      <c r="AO542" s="24"/>
      <c r="AP542" s="628">
        <v>540</v>
      </c>
      <c r="AQ542" s="642"/>
      <c r="AR542" s="642"/>
      <c r="AS542" s="642"/>
      <c r="AT542" s="642"/>
      <c r="AU542" s="642"/>
      <c r="AV542" s="642"/>
      <c r="AW542" s="642"/>
      <c r="AX542" s="642"/>
      <c r="AY542" s="642"/>
      <c r="AZ542" s="642"/>
      <c r="BA542" s="642"/>
      <c r="BB542" s="642"/>
      <c r="BC542" s="642"/>
      <c r="BD542" s="642"/>
      <c r="BE542" s="642"/>
      <c r="BF542" s="642"/>
      <c r="BG542" s="642"/>
      <c r="BH542" s="642"/>
      <c r="BI542" s="642"/>
      <c r="BJ542" s="634">
        <v>20539</v>
      </c>
      <c r="BK542" s="642"/>
      <c r="BL542" s="642"/>
      <c r="BM542" s="642"/>
      <c r="BN542" s="642"/>
      <c r="BO542" s="642"/>
      <c r="BP542" s="642"/>
      <c r="BQ542" s="642"/>
      <c r="BR542" s="642"/>
      <c r="BS542" s="642"/>
      <c r="BT542" s="642"/>
      <c r="BU542" s="642"/>
      <c r="BV542" s="642"/>
      <c r="BW542" s="24"/>
      <c r="BX542" s="24"/>
      <c r="BY542" s="24"/>
      <c r="BZ542" s="643"/>
      <c r="CA542" s="643"/>
      <c r="CB542" s="643"/>
      <c r="CC542" s="643"/>
      <c r="CD542" s="643"/>
      <c r="CE542" s="643"/>
      <c r="CF542" s="643"/>
      <c r="CG542" s="643"/>
      <c r="CH542" s="643"/>
      <c r="CI542" s="643"/>
      <c r="CJ542" s="643"/>
      <c r="CK542" s="643"/>
      <c r="CL542" s="643"/>
      <c r="CM542" s="643"/>
      <c r="CN542" s="643"/>
      <c r="CO542" s="643"/>
      <c r="CP542" s="643"/>
      <c r="CQ542" s="643"/>
      <c r="CR542" s="643"/>
      <c r="CS542" s="636" t="s">
        <v>2423</v>
      </c>
      <c r="CT542" s="643"/>
      <c r="CU542" s="643"/>
      <c r="CV542" s="643"/>
      <c r="CW542" s="643"/>
      <c r="CX542" s="643"/>
      <c r="CY542" s="643"/>
      <c r="CZ542" s="643"/>
      <c r="DA542" s="643"/>
      <c r="DB542" s="643"/>
      <c r="DC542" s="643"/>
      <c r="DD542" s="643"/>
      <c r="DE542" s="643"/>
    </row>
    <row r="543" spans="34:109" ht="15" hidden="1" customHeight="1">
      <c r="AH543" s="24"/>
      <c r="AI543" s="24"/>
      <c r="AJ543" s="24"/>
      <c r="AK543" s="24"/>
      <c r="AL543" s="630" t="str">
        <f t="shared" si="16"/>
        <v/>
      </c>
      <c r="AM543" s="630" t="str">
        <f t="shared" si="17"/>
        <v/>
      </c>
      <c r="AO543" s="24"/>
      <c r="AP543" s="628">
        <v>541</v>
      </c>
      <c r="AQ543" s="642"/>
      <c r="AR543" s="642"/>
      <c r="AS543" s="642"/>
      <c r="AT543" s="642"/>
      <c r="AU543" s="642"/>
      <c r="AV543" s="642"/>
      <c r="AW543" s="642"/>
      <c r="AX543" s="642"/>
      <c r="AY543" s="642"/>
      <c r="AZ543" s="642"/>
      <c r="BA543" s="642"/>
      <c r="BB543" s="642"/>
      <c r="BC543" s="642"/>
      <c r="BD543" s="642"/>
      <c r="BE543" s="642"/>
      <c r="BF543" s="642"/>
      <c r="BG543" s="642"/>
      <c r="BH543" s="642"/>
      <c r="BI543" s="642"/>
      <c r="BJ543" s="634">
        <v>20540</v>
      </c>
      <c r="BK543" s="642"/>
      <c r="BL543" s="642"/>
      <c r="BM543" s="642"/>
      <c r="BN543" s="642"/>
      <c r="BO543" s="642"/>
      <c r="BP543" s="642"/>
      <c r="BQ543" s="642"/>
      <c r="BR543" s="642"/>
      <c r="BS543" s="642"/>
      <c r="BT543" s="642"/>
      <c r="BU543" s="642"/>
      <c r="BV543" s="642"/>
      <c r="BW543" s="24"/>
      <c r="BX543" s="24"/>
      <c r="BY543" s="24"/>
      <c r="BZ543" s="643"/>
      <c r="CA543" s="643"/>
      <c r="CB543" s="643"/>
      <c r="CC543" s="643"/>
      <c r="CD543" s="643"/>
      <c r="CE543" s="643"/>
      <c r="CF543" s="643"/>
      <c r="CG543" s="643"/>
      <c r="CH543" s="643"/>
      <c r="CI543" s="643"/>
      <c r="CJ543" s="643"/>
      <c r="CK543" s="643"/>
      <c r="CL543" s="643"/>
      <c r="CM543" s="643"/>
      <c r="CN543" s="643"/>
      <c r="CO543" s="643"/>
      <c r="CP543" s="643"/>
      <c r="CQ543" s="643"/>
      <c r="CR543" s="643"/>
      <c r="CS543" s="636" t="s">
        <v>2424</v>
      </c>
      <c r="CT543" s="643"/>
      <c r="CU543" s="643"/>
      <c r="CV543" s="643"/>
      <c r="CW543" s="643"/>
      <c r="CX543" s="643"/>
      <c r="CY543" s="643"/>
      <c r="CZ543" s="643"/>
      <c r="DA543" s="643"/>
      <c r="DB543" s="643"/>
      <c r="DC543" s="643"/>
      <c r="DD543" s="643"/>
      <c r="DE543" s="643"/>
    </row>
    <row r="544" spans="34:109" ht="15" hidden="1" customHeight="1">
      <c r="AH544" s="24"/>
      <c r="AI544" s="24"/>
      <c r="AJ544" s="24"/>
      <c r="AK544" s="24"/>
      <c r="AL544" s="630" t="str">
        <f t="shared" si="16"/>
        <v/>
      </c>
      <c r="AM544" s="630" t="str">
        <f t="shared" si="17"/>
        <v/>
      </c>
      <c r="AO544" s="24"/>
      <c r="AP544" s="628">
        <v>542</v>
      </c>
      <c r="AQ544" s="642"/>
      <c r="AR544" s="642"/>
      <c r="AS544" s="642"/>
      <c r="AT544" s="642"/>
      <c r="AU544" s="642"/>
      <c r="AV544" s="642"/>
      <c r="AW544" s="642"/>
      <c r="AX544" s="642"/>
      <c r="AY544" s="642"/>
      <c r="AZ544" s="642"/>
      <c r="BA544" s="642"/>
      <c r="BB544" s="642"/>
      <c r="BC544" s="642"/>
      <c r="BD544" s="642"/>
      <c r="BE544" s="642"/>
      <c r="BF544" s="642"/>
      <c r="BG544" s="642"/>
      <c r="BH544" s="642"/>
      <c r="BI544" s="642"/>
      <c r="BJ544" s="634">
        <v>20541</v>
      </c>
      <c r="BK544" s="642"/>
      <c r="BL544" s="642"/>
      <c r="BM544" s="642"/>
      <c r="BN544" s="642"/>
      <c r="BO544" s="642"/>
      <c r="BP544" s="642"/>
      <c r="BQ544" s="642"/>
      <c r="BR544" s="642"/>
      <c r="BS544" s="642"/>
      <c r="BT544" s="642"/>
      <c r="BU544" s="642"/>
      <c r="BV544" s="642"/>
      <c r="BW544" s="24"/>
      <c r="BX544" s="24"/>
      <c r="BY544" s="24"/>
      <c r="BZ544" s="643"/>
      <c r="CA544" s="643"/>
      <c r="CB544" s="643"/>
      <c r="CC544" s="643"/>
      <c r="CD544" s="643"/>
      <c r="CE544" s="643"/>
      <c r="CF544" s="643"/>
      <c r="CG544" s="643"/>
      <c r="CH544" s="643"/>
      <c r="CI544" s="643"/>
      <c r="CJ544" s="643"/>
      <c r="CK544" s="643"/>
      <c r="CL544" s="643"/>
      <c r="CM544" s="643"/>
      <c r="CN544" s="643"/>
      <c r="CO544" s="643"/>
      <c r="CP544" s="643"/>
      <c r="CQ544" s="643"/>
      <c r="CR544" s="643"/>
      <c r="CS544" s="636" t="s">
        <v>2425</v>
      </c>
      <c r="CT544" s="643"/>
      <c r="CU544" s="643"/>
      <c r="CV544" s="643"/>
      <c r="CW544" s="643"/>
      <c r="CX544" s="643"/>
      <c r="CY544" s="643"/>
      <c r="CZ544" s="643"/>
      <c r="DA544" s="643"/>
      <c r="DB544" s="643"/>
      <c r="DC544" s="643"/>
      <c r="DD544" s="643"/>
      <c r="DE544" s="643"/>
    </row>
    <row r="545" spans="34:109" ht="15" hidden="1" customHeight="1">
      <c r="AH545" s="24"/>
      <c r="AI545" s="24"/>
      <c r="AJ545" s="24"/>
      <c r="AK545" s="24"/>
      <c r="AL545" s="630" t="str">
        <f t="shared" si="16"/>
        <v/>
      </c>
      <c r="AM545" s="630" t="str">
        <f t="shared" si="17"/>
        <v/>
      </c>
      <c r="AO545" s="24"/>
      <c r="AP545" s="628">
        <v>543</v>
      </c>
      <c r="AQ545" s="642"/>
      <c r="AR545" s="642"/>
      <c r="AS545" s="642"/>
      <c r="AT545" s="642"/>
      <c r="AU545" s="642"/>
      <c r="AV545" s="642"/>
      <c r="AW545" s="642"/>
      <c r="AX545" s="642"/>
      <c r="AY545" s="642"/>
      <c r="AZ545" s="642"/>
      <c r="BA545" s="642"/>
      <c r="BB545" s="642"/>
      <c r="BC545" s="642"/>
      <c r="BD545" s="642"/>
      <c r="BE545" s="642"/>
      <c r="BF545" s="642"/>
      <c r="BG545" s="642"/>
      <c r="BH545" s="642"/>
      <c r="BI545" s="642"/>
      <c r="BJ545" s="634">
        <v>20542</v>
      </c>
      <c r="BK545" s="642"/>
      <c r="BL545" s="642"/>
      <c r="BM545" s="642"/>
      <c r="BN545" s="642"/>
      <c r="BO545" s="642"/>
      <c r="BP545" s="642"/>
      <c r="BQ545" s="642"/>
      <c r="BR545" s="642"/>
      <c r="BS545" s="642"/>
      <c r="BT545" s="642"/>
      <c r="BU545" s="642"/>
      <c r="BV545" s="642"/>
      <c r="BW545" s="24"/>
      <c r="BX545" s="24"/>
      <c r="BY545" s="24"/>
      <c r="BZ545" s="643"/>
      <c r="CA545" s="643"/>
      <c r="CB545" s="643"/>
      <c r="CC545" s="643"/>
      <c r="CD545" s="643"/>
      <c r="CE545" s="643"/>
      <c r="CF545" s="643"/>
      <c r="CG545" s="643"/>
      <c r="CH545" s="643"/>
      <c r="CI545" s="643"/>
      <c r="CJ545" s="643"/>
      <c r="CK545" s="643"/>
      <c r="CL545" s="643"/>
      <c r="CM545" s="643"/>
      <c r="CN545" s="643"/>
      <c r="CO545" s="643"/>
      <c r="CP545" s="643"/>
      <c r="CQ545" s="643"/>
      <c r="CR545" s="643"/>
      <c r="CS545" s="636" t="s">
        <v>2426</v>
      </c>
      <c r="CT545" s="643"/>
      <c r="CU545" s="643"/>
      <c r="CV545" s="643"/>
      <c r="CW545" s="643"/>
      <c r="CX545" s="643"/>
      <c r="CY545" s="643"/>
      <c r="CZ545" s="643"/>
      <c r="DA545" s="643"/>
      <c r="DB545" s="643"/>
      <c r="DC545" s="643"/>
      <c r="DD545" s="643"/>
      <c r="DE545" s="643"/>
    </row>
    <row r="546" spans="34:109" ht="15" hidden="1" customHeight="1">
      <c r="AH546" s="24"/>
      <c r="AI546" s="24"/>
      <c r="AJ546" s="24"/>
      <c r="AK546" s="24"/>
      <c r="AL546" s="630" t="str">
        <f t="shared" si="16"/>
        <v/>
      </c>
      <c r="AM546" s="630" t="str">
        <f t="shared" si="17"/>
        <v/>
      </c>
      <c r="AO546" s="24"/>
      <c r="AP546" s="628">
        <v>544</v>
      </c>
      <c r="AQ546" s="642"/>
      <c r="AR546" s="642"/>
      <c r="AS546" s="642"/>
      <c r="AT546" s="642"/>
      <c r="AU546" s="642"/>
      <c r="AV546" s="642"/>
      <c r="AW546" s="642"/>
      <c r="AX546" s="642"/>
      <c r="AY546" s="642"/>
      <c r="AZ546" s="642"/>
      <c r="BA546" s="642"/>
      <c r="BB546" s="642"/>
      <c r="BC546" s="642"/>
      <c r="BD546" s="642"/>
      <c r="BE546" s="642"/>
      <c r="BF546" s="642"/>
      <c r="BG546" s="642"/>
      <c r="BH546" s="642"/>
      <c r="BI546" s="642"/>
      <c r="BJ546" s="634">
        <v>20543</v>
      </c>
      <c r="BK546" s="642"/>
      <c r="BL546" s="642"/>
      <c r="BM546" s="642"/>
      <c r="BN546" s="642"/>
      <c r="BO546" s="642"/>
      <c r="BP546" s="642"/>
      <c r="BQ546" s="642"/>
      <c r="BR546" s="642"/>
      <c r="BS546" s="642"/>
      <c r="BT546" s="642"/>
      <c r="BU546" s="642"/>
      <c r="BV546" s="642"/>
      <c r="BW546" s="24"/>
      <c r="BX546" s="24"/>
      <c r="BY546" s="24"/>
      <c r="BZ546" s="643"/>
      <c r="CA546" s="643"/>
      <c r="CB546" s="643"/>
      <c r="CC546" s="643"/>
      <c r="CD546" s="643"/>
      <c r="CE546" s="643"/>
      <c r="CF546" s="643"/>
      <c r="CG546" s="643"/>
      <c r="CH546" s="643"/>
      <c r="CI546" s="643"/>
      <c r="CJ546" s="643"/>
      <c r="CK546" s="643"/>
      <c r="CL546" s="643"/>
      <c r="CM546" s="643"/>
      <c r="CN546" s="643"/>
      <c r="CO546" s="643"/>
      <c r="CP546" s="643"/>
      <c r="CQ546" s="643"/>
      <c r="CR546" s="643"/>
      <c r="CS546" s="636" t="s">
        <v>2427</v>
      </c>
      <c r="CT546" s="643"/>
      <c r="CU546" s="643"/>
      <c r="CV546" s="643"/>
      <c r="CW546" s="643"/>
      <c r="CX546" s="643"/>
      <c r="CY546" s="643"/>
      <c r="CZ546" s="643"/>
      <c r="DA546" s="643"/>
      <c r="DB546" s="643"/>
      <c r="DC546" s="643"/>
      <c r="DD546" s="643"/>
      <c r="DE546" s="643"/>
    </row>
    <row r="547" spans="34:109" ht="15" hidden="1" customHeight="1">
      <c r="AH547" s="24"/>
      <c r="AI547" s="24"/>
      <c r="AJ547" s="24"/>
      <c r="AK547" s="24"/>
      <c r="AL547" s="630" t="str">
        <f t="shared" si="16"/>
        <v/>
      </c>
      <c r="AM547" s="630" t="str">
        <f t="shared" si="17"/>
        <v/>
      </c>
      <c r="AO547" s="24"/>
      <c r="AP547" s="628">
        <v>545</v>
      </c>
      <c r="AQ547" s="642"/>
      <c r="AR547" s="642"/>
      <c r="AS547" s="642"/>
      <c r="AT547" s="642"/>
      <c r="AU547" s="642"/>
      <c r="AV547" s="642"/>
      <c r="AW547" s="642"/>
      <c r="AX547" s="642"/>
      <c r="AY547" s="642"/>
      <c r="AZ547" s="642"/>
      <c r="BA547" s="642"/>
      <c r="BB547" s="642"/>
      <c r="BC547" s="642"/>
      <c r="BD547" s="642"/>
      <c r="BE547" s="642"/>
      <c r="BF547" s="642"/>
      <c r="BG547" s="642"/>
      <c r="BH547" s="642"/>
      <c r="BI547" s="642"/>
      <c r="BJ547" s="634">
        <v>20544</v>
      </c>
      <c r="BK547" s="642"/>
      <c r="BL547" s="642"/>
      <c r="BM547" s="642"/>
      <c r="BN547" s="642"/>
      <c r="BO547" s="642"/>
      <c r="BP547" s="642"/>
      <c r="BQ547" s="642"/>
      <c r="BR547" s="642"/>
      <c r="BS547" s="642"/>
      <c r="BT547" s="642"/>
      <c r="BU547" s="642"/>
      <c r="BV547" s="642"/>
      <c r="BW547" s="24"/>
      <c r="BX547" s="24"/>
      <c r="BY547" s="24"/>
      <c r="BZ547" s="643"/>
      <c r="CA547" s="643"/>
      <c r="CB547" s="643"/>
      <c r="CC547" s="643"/>
      <c r="CD547" s="643"/>
      <c r="CE547" s="643"/>
      <c r="CF547" s="643"/>
      <c r="CG547" s="643"/>
      <c r="CH547" s="643"/>
      <c r="CI547" s="643"/>
      <c r="CJ547" s="643"/>
      <c r="CK547" s="643"/>
      <c r="CL547" s="643"/>
      <c r="CM547" s="643"/>
      <c r="CN547" s="643"/>
      <c r="CO547" s="643"/>
      <c r="CP547" s="643"/>
      <c r="CQ547" s="643"/>
      <c r="CR547" s="643"/>
      <c r="CS547" s="636" t="s">
        <v>2428</v>
      </c>
      <c r="CT547" s="643"/>
      <c r="CU547" s="643"/>
      <c r="CV547" s="643"/>
      <c r="CW547" s="643"/>
      <c r="CX547" s="643"/>
      <c r="CY547" s="643"/>
      <c r="CZ547" s="643"/>
      <c r="DA547" s="643"/>
      <c r="DB547" s="643"/>
      <c r="DC547" s="643"/>
      <c r="DD547" s="643"/>
      <c r="DE547" s="643"/>
    </row>
    <row r="548" spans="34:109" ht="15" hidden="1" customHeight="1">
      <c r="AH548" s="24"/>
      <c r="AI548" s="24"/>
      <c r="AJ548" s="24"/>
      <c r="AK548" s="24"/>
      <c r="AL548" s="630" t="str">
        <f t="shared" si="16"/>
        <v/>
      </c>
      <c r="AM548" s="630" t="str">
        <f t="shared" si="17"/>
        <v/>
      </c>
      <c r="AO548" s="24"/>
      <c r="AP548" s="628">
        <v>546</v>
      </c>
      <c r="AQ548" s="642"/>
      <c r="AR548" s="642"/>
      <c r="AS548" s="642"/>
      <c r="AT548" s="642"/>
      <c r="AU548" s="642"/>
      <c r="AV548" s="642"/>
      <c r="AW548" s="642"/>
      <c r="AX548" s="642"/>
      <c r="AY548" s="642"/>
      <c r="AZ548" s="642"/>
      <c r="BA548" s="642"/>
      <c r="BB548" s="642"/>
      <c r="BC548" s="642"/>
      <c r="BD548" s="642"/>
      <c r="BE548" s="642"/>
      <c r="BF548" s="642"/>
      <c r="BG548" s="642"/>
      <c r="BH548" s="642"/>
      <c r="BI548" s="642"/>
      <c r="BJ548" s="634">
        <v>20545</v>
      </c>
      <c r="BK548" s="642"/>
      <c r="BL548" s="642"/>
      <c r="BM548" s="642"/>
      <c r="BN548" s="642"/>
      <c r="BO548" s="642"/>
      <c r="BP548" s="642"/>
      <c r="BQ548" s="642"/>
      <c r="BR548" s="642"/>
      <c r="BS548" s="642"/>
      <c r="BT548" s="642"/>
      <c r="BU548" s="642"/>
      <c r="BV548" s="642"/>
      <c r="BW548" s="24"/>
      <c r="BX548" s="24"/>
      <c r="BY548" s="24"/>
      <c r="BZ548" s="643"/>
      <c r="CA548" s="643"/>
      <c r="CB548" s="643"/>
      <c r="CC548" s="643"/>
      <c r="CD548" s="643"/>
      <c r="CE548" s="643"/>
      <c r="CF548" s="643"/>
      <c r="CG548" s="643"/>
      <c r="CH548" s="643"/>
      <c r="CI548" s="643"/>
      <c r="CJ548" s="643"/>
      <c r="CK548" s="643"/>
      <c r="CL548" s="643"/>
      <c r="CM548" s="643"/>
      <c r="CN548" s="643"/>
      <c r="CO548" s="643"/>
      <c r="CP548" s="643"/>
      <c r="CQ548" s="643"/>
      <c r="CR548" s="643"/>
      <c r="CS548" s="636" t="s">
        <v>2429</v>
      </c>
      <c r="CT548" s="643"/>
      <c r="CU548" s="643"/>
      <c r="CV548" s="643"/>
      <c r="CW548" s="643"/>
      <c r="CX548" s="643"/>
      <c r="CY548" s="643"/>
      <c r="CZ548" s="643"/>
      <c r="DA548" s="643"/>
      <c r="DB548" s="643"/>
      <c r="DC548" s="643"/>
      <c r="DD548" s="643"/>
      <c r="DE548" s="643"/>
    </row>
    <row r="549" spans="34:109" ht="15" hidden="1" customHeight="1">
      <c r="AH549" s="24"/>
      <c r="AI549" s="24"/>
      <c r="AJ549" s="24"/>
      <c r="AK549" s="24"/>
      <c r="AL549" s="630" t="str">
        <f t="shared" si="16"/>
        <v/>
      </c>
      <c r="AM549" s="630" t="str">
        <f t="shared" si="17"/>
        <v/>
      </c>
      <c r="AO549" s="24"/>
      <c r="AP549" s="628">
        <v>547</v>
      </c>
      <c r="AQ549" s="642"/>
      <c r="AR549" s="642"/>
      <c r="AS549" s="642"/>
      <c r="AT549" s="642"/>
      <c r="AU549" s="642"/>
      <c r="AV549" s="642"/>
      <c r="AW549" s="642"/>
      <c r="AX549" s="642"/>
      <c r="AY549" s="642"/>
      <c r="AZ549" s="642"/>
      <c r="BA549" s="642"/>
      <c r="BB549" s="642"/>
      <c r="BC549" s="642"/>
      <c r="BD549" s="642"/>
      <c r="BE549" s="642"/>
      <c r="BF549" s="642"/>
      <c r="BG549" s="642"/>
      <c r="BH549" s="642"/>
      <c r="BI549" s="642"/>
      <c r="BJ549" s="634">
        <v>20546</v>
      </c>
      <c r="BK549" s="642"/>
      <c r="BL549" s="642"/>
      <c r="BM549" s="642"/>
      <c r="BN549" s="642"/>
      <c r="BO549" s="642"/>
      <c r="BP549" s="642"/>
      <c r="BQ549" s="642"/>
      <c r="BR549" s="642"/>
      <c r="BS549" s="642"/>
      <c r="BT549" s="642"/>
      <c r="BU549" s="642"/>
      <c r="BV549" s="642"/>
      <c r="BW549" s="24"/>
      <c r="BX549" s="24"/>
      <c r="BY549" s="24"/>
      <c r="BZ549" s="643"/>
      <c r="CA549" s="643"/>
      <c r="CB549" s="643"/>
      <c r="CC549" s="643"/>
      <c r="CD549" s="643"/>
      <c r="CE549" s="643"/>
      <c r="CF549" s="643"/>
      <c r="CG549" s="643"/>
      <c r="CH549" s="643"/>
      <c r="CI549" s="643"/>
      <c r="CJ549" s="643"/>
      <c r="CK549" s="643"/>
      <c r="CL549" s="643"/>
      <c r="CM549" s="643"/>
      <c r="CN549" s="643"/>
      <c r="CO549" s="643"/>
      <c r="CP549" s="643"/>
      <c r="CQ549" s="643"/>
      <c r="CR549" s="643"/>
      <c r="CS549" s="636" t="s">
        <v>2430</v>
      </c>
      <c r="CT549" s="643"/>
      <c r="CU549" s="643"/>
      <c r="CV549" s="643"/>
      <c r="CW549" s="643"/>
      <c r="CX549" s="643"/>
      <c r="CY549" s="643"/>
      <c r="CZ549" s="643"/>
      <c r="DA549" s="643"/>
      <c r="DB549" s="643"/>
      <c r="DC549" s="643"/>
      <c r="DD549" s="643"/>
      <c r="DE549" s="643"/>
    </row>
    <row r="550" spans="34:109" ht="15" hidden="1" customHeight="1">
      <c r="AH550" s="24"/>
      <c r="AI550" s="24"/>
      <c r="AJ550" s="24"/>
      <c r="AK550" s="24"/>
      <c r="AL550" s="630" t="str">
        <f t="shared" si="16"/>
        <v/>
      </c>
      <c r="AM550" s="630" t="str">
        <f t="shared" si="17"/>
        <v/>
      </c>
      <c r="AO550" s="24"/>
      <c r="AP550" s="628">
        <v>548</v>
      </c>
      <c r="AQ550" s="642"/>
      <c r="AR550" s="642"/>
      <c r="AS550" s="642"/>
      <c r="AT550" s="642"/>
      <c r="AU550" s="642"/>
      <c r="AV550" s="642"/>
      <c r="AW550" s="642"/>
      <c r="AX550" s="642"/>
      <c r="AY550" s="642"/>
      <c r="AZ550" s="642"/>
      <c r="BA550" s="642"/>
      <c r="BB550" s="642"/>
      <c r="BC550" s="642"/>
      <c r="BD550" s="642"/>
      <c r="BE550" s="642"/>
      <c r="BF550" s="642"/>
      <c r="BG550" s="642"/>
      <c r="BH550" s="642"/>
      <c r="BI550" s="642"/>
      <c r="BJ550" s="634">
        <v>20547</v>
      </c>
      <c r="BK550" s="642"/>
      <c r="BL550" s="642"/>
      <c r="BM550" s="642"/>
      <c r="BN550" s="642"/>
      <c r="BO550" s="642"/>
      <c r="BP550" s="642"/>
      <c r="BQ550" s="642"/>
      <c r="BR550" s="642"/>
      <c r="BS550" s="642"/>
      <c r="BT550" s="642"/>
      <c r="BU550" s="642"/>
      <c r="BV550" s="642"/>
      <c r="BW550" s="24"/>
      <c r="BX550" s="24"/>
      <c r="BY550" s="24"/>
      <c r="BZ550" s="643"/>
      <c r="CA550" s="643"/>
      <c r="CB550" s="643"/>
      <c r="CC550" s="643"/>
      <c r="CD550" s="643"/>
      <c r="CE550" s="643"/>
      <c r="CF550" s="643"/>
      <c r="CG550" s="643"/>
      <c r="CH550" s="643"/>
      <c r="CI550" s="643"/>
      <c r="CJ550" s="643"/>
      <c r="CK550" s="643"/>
      <c r="CL550" s="643"/>
      <c r="CM550" s="643"/>
      <c r="CN550" s="643"/>
      <c r="CO550" s="643"/>
      <c r="CP550" s="643"/>
      <c r="CQ550" s="643"/>
      <c r="CR550" s="643"/>
      <c r="CS550" s="636" t="s">
        <v>2431</v>
      </c>
      <c r="CT550" s="643"/>
      <c r="CU550" s="643"/>
      <c r="CV550" s="643"/>
      <c r="CW550" s="643"/>
      <c r="CX550" s="643"/>
      <c r="CY550" s="643"/>
      <c r="CZ550" s="643"/>
      <c r="DA550" s="643"/>
      <c r="DB550" s="643"/>
      <c r="DC550" s="643"/>
      <c r="DD550" s="643"/>
      <c r="DE550" s="643"/>
    </row>
    <row r="551" spans="34:109" ht="15" hidden="1" customHeight="1">
      <c r="AH551" s="24"/>
      <c r="AI551" s="24"/>
      <c r="AJ551" s="24"/>
      <c r="AK551" s="24"/>
      <c r="AL551" s="630" t="str">
        <f t="shared" si="16"/>
        <v/>
      </c>
      <c r="AM551" s="630" t="str">
        <f t="shared" si="17"/>
        <v/>
      </c>
      <c r="AO551" s="24"/>
      <c r="AP551" s="628">
        <v>549</v>
      </c>
      <c r="AQ551" s="642"/>
      <c r="AR551" s="642"/>
      <c r="AS551" s="642"/>
      <c r="AT551" s="642"/>
      <c r="AU551" s="642"/>
      <c r="AV551" s="642"/>
      <c r="AW551" s="642"/>
      <c r="AX551" s="642"/>
      <c r="AY551" s="642"/>
      <c r="AZ551" s="642"/>
      <c r="BA551" s="642"/>
      <c r="BB551" s="642"/>
      <c r="BC551" s="642"/>
      <c r="BD551" s="642"/>
      <c r="BE551" s="642"/>
      <c r="BF551" s="642"/>
      <c r="BG551" s="642"/>
      <c r="BH551" s="642"/>
      <c r="BI551" s="642"/>
      <c r="BJ551" s="634">
        <v>20548</v>
      </c>
      <c r="BK551" s="642"/>
      <c r="BL551" s="642"/>
      <c r="BM551" s="642"/>
      <c r="BN551" s="642"/>
      <c r="BO551" s="642"/>
      <c r="BP551" s="642"/>
      <c r="BQ551" s="642"/>
      <c r="BR551" s="642"/>
      <c r="BS551" s="642"/>
      <c r="BT551" s="642"/>
      <c r="BU551" s="642"/>
      <c r="BV551" s="642"/>
      <c r="BW551" s="24"/>
      <c r="BX551" s="24"/>
      <c r="BY551" s="24"/>
      <c r="BZ551" s="643"/>
      <c r="CA551" s="643"/>
      <c r="CB551" s="643"/>
      <c r="CC551" s="643"/>
      <c r="CD551" s="643"/>
      <c r="CE551" s="643"/>
      <c r="CF551" s="643"/>
      <c r="CG551" s="643"/>
      <c r="CH551" s="643"/>
      <c r="CI551" s="643"/>
      <c r="CJ551" s="643"/>
      <c r="CK551" s="643"/>
      <c r="CL551" s="643"/>
      <c r="CM551" s="643"/>
      <c r="CN551" s="643"/>
      <c r="CO551" s="643"/>
      <c r="CP551" s="643"/>
      <c r="CQ551" s="643"/>
      <c r="CR551" s="643"/>
      <c r="CS551" s="636" t="s">
        <v>2432</v>
      </c>
      <c r="CT551" s="643"/>
      <c r="CU551" s="643"/>
      <c r="CV551" s="643"/>
      <c r="CW551" s="643"/>
      <c r="CX551" s="643"/>
      <c r="CY551" s="643"/>
      <c r="CZ551" s="643"/>
      <c r="DA551" s="643"/>
      <c r="DB551" s="643"/>
      <c r="DC551" s="643"/>
      <c r="DD551" s="643"/>
      <c r="DE551" s="643"/>
    </row>
    <row r="552" spans="34:109" ht="15" hidden="1" customHeight="1">
      <c r="AH552" s="24"/>
      <c r="AI552" s="24"/>
      <c r="AJ552" s="24"/>
      <c r="AK552" s="24"/>
      <c r="AL552" s="630" t="str">
        <f t="shared" si="16"/>
        <v/>
      </c>
      <c r="AM552" s="630" t="str">
        <f t="shared" si="17"/>
        <v/>
      </c>
      <c r="AO552" s="24"/>
      <c r="AP552" s="628">
        <v>550</v>
      </c>
      <c r="AQ552" s="642"/>
      <c r="AR552" s="642"/>
      <c r="AS552" s="642"/>
      <c r="AT552" s="642"/>
      <c r="AU552" s="642"/>
      <c r="AV552" s="642"/>
      <c r="AW552" s="642"/>
      <c r="AX552" s="642"/>
      <c r="AY552" s="642"/>
      <c r="AZ552" s="642"/>
      <c r="BA552" s="642"/>
      <c r="BB552" s="642"/>
      <c r="BC552" s="642"/>
      <c r="BD552" s="642"/>
      <c r="BE552" s="642"/>
      <c r="BF552" s="642"/>
      <c r="BG552" s="642"/>
      <c r="BH552" s="642"/>
      <c r="BI552" s="642"/>
      <c r="BJ552" s="634">
        <v>20549</v>
      </c>
      <c r="BK552" s="642"/>
      <c r="BL552" s="642"/>
      <c r="BM552" s="642"/>
      <c r="BN552" s="642"/>
      <c r="BO552" s="642"/>
      <c r="BP552" s="642"/>
      <c r="BQ552" s="642"/>
      <c r="BR552" s="642"/>
      <c r="BS552" s="642"/>
      <c r="BT552" s="642"/>
      <c r="BU552" s="642"/>
      <c r="BV552" s="642"/>
      <c r="BW552" s="24"/>
      <c r="BX552" s="24"/>
      <c r="BY552" s="24"/>
      <c r="BZ552" s="643"/>
      <c r="CA552" s="643"/>
      <c r="CB552" s="643"/>
      <c r="CC552" s="643"/>
      <c r="CD552" s="643"/>
      <c r="CE552" s="643"/>
      <c r="CF552" s="643"/>
      <c r="CG552" s="643"/>
      <c r="CH552" s="643"/>
      <c r="CI552" s="643"/>
      <c r="CJ552" s="643"/>
      <c r="CK552" s="643"/>
      <c r="CL552" s="643"/>
      <c r="CM552" s="643"/>
      <c r="CN552" s="643"/>
      <c r="CO552" s="643"/>
      <c r="CP552" s="643"/>
      <c r="CQ552" s="643"/>
      <c r="CR552" s="643"/>
      <c r="CS552" s="636" t="s">
        <v>2433</v>
      </c>
      <c r="CT552" s="643"/>
      <c r="CU552" s="643"/>
      <c r="CV552" s="643"/>
      <c r="CW552" s="643"/>
      <c r="CX552" s="643"/>
      <c r="CY552" s="643"/>
      <c r="CZ552" s="643"/>
      <c r="DA552" s="643"/>
      <c r="DB552" s="643"/>
      <c r="DC552" s="643"/>
      <c r="DD552" s="643"/>
      <c r="DE552" s="643"/>
    </row>
    <row r="553" spans="34:109" ht="15" hidden="1" customHeight="1">
      <c r="AH553" s="24"/>
      <c r="AI553" s="24"/>
      <c r="AJ553" s="24"/>
      <c r="AK553" s="24"/>
      <c r="AL553" s="630" t="str">
        <f t="shared" si="16"/>
        <v/>
      </c>
      <c r="AM553" s="630" t="str">
        <f t="shared" si="17"/>
        <v/>
      </c>
      <c r="AO553" s="24"/>
      <c r="AP553" s="628">
        <v>551</v>
      </c>
      <c r="AQ553" s="642"/>
      <c r="AR553" s="642"/>
      <c r="AS553" s="642"/>
      <c r="AT553" s="642"/>
      <c r="AU553" s="642"/>
      <c r="AV553" s="642"/>
      <c r="AW553" s="642"/>
      <c r="AX553" s="642"/>
      <c r="AY553" s="642"/>
      <c r="AZ553" s="642"/>
      <c r="BA553" s="642"/>
      <c r="BB553" s="642"/>
      <c r="BC553" s="642"/>
      <c r="BD553" s="642"/>
      <c r="BE553" s="642"/>
      <c r="BF553" s="642"/>
      <c r="BG553" s="642"/>
      <c r="BH553" s="642"/>
      <c r="BI553" s="642"/>
      <c r="BJ553" s="634">
        <v>20550</v>
      </c>
      <c r="BK553" s="642"/>
      <c r="BL553" s="642"/>
      <c r="BM553" s="642"/>
      <c r="BN553" s="642"/>
      <c r="BO553" s="642"/>
      <c r="BP553" s="642"/>
      <c r="BQ553" s="642"/>
      <c r="BR553" s="642"/>
      <c r="BS553" s="642"/>
      <c r="BT553" s="642"/>
      <c r="BU553" s="642"/>
      <c r="BV553" s="642"/>
      <c r="BW553" s="24"/>
      <c r="BX553" s="24"/>
      <c r="BY553" s="24"/>
      <c r="BZ553" s="643"/>
      <c r="CA553" s="643"/>
      <c r="CB553" s="643"/>
      <c r="CC553" s="643"/>
      <c r="CD553" s="643"/>
      <c r="CE553" s="643"/>
      <c r="CF553" s="643"/>
      <c r="CG553" s="643"/>
      <c r="CH553" s="643"/>
      <c r="CI553" s="643"/>
      <c r="CJ553" s="643"/>
      <c r="CK553" s="643"/>
      <c r="CL553" s="643"/>
      <c r="CM553" s="643"/>
      <c r="CN553" s="643"/>
      <c r="CO553" s="643"/>
      <c r="CP553" s="643"/>
      <c r="CQ553" s="643"/>
      <c r="CR553" s="643"/>
      <c r="CS553" s="636" t="s">
        <v>2434</v>
      </c>
      <c r="CT553" s="643"/>
      <c r="CU553" s="643"/>
      <c r="CV553" s="643"/>
      <c r="CW553" s="643"/>
      <c r="CX553" s="643"/>
      <c r="CY553" s="643"/>
      <c r="CZ553" s="643"/>
      <c r="DA553" s="643"/>
      <c r="DB553" s="643"/>
      <c r="DC553" s="643"/>
      <c r="DD553" s="643"/>
      <c r="DE553" s="643"/>
    </row>
    <row r="554" spans="34:109" ht="15" hidden="1" customHeight="1">
      <c r="AH554" s="24"/>
      <c r="AI554" s="24"/>
      <c r="AJ554" s="24"/>
      <c r="AK554" s="24"/>
      <c r="AL554" s="630" t="str">
        <f t="shared" si="16"/>
        <v/>
      </c>
      <c r="AM554" s="630" t="str">
        <f t="shared" si="17"/>
        <v/>
      </c>
      <c r="AO554" s="24"/>
      <c r="AP554" s="628">
        <v>552</v>
      </c>
      <c r="AQ554" s="642"/>
      <c r="AR554" s="642"/>
      <c r="AS554" s="642"/>
      <c r="AT554" s="642"/>
      <c r="AU554" s="642"/>
      <c r="AV554" s="642"/>
      <c r="AW554" s="642"/>
      <c r="AX554" s="642"/>
      <c r="AY554" s="642"/>
      <c r="AZ554" s="642"/>
      <c r="BA554" s="642"/>
      <c r="BB554" s="642"/>
      <c r="BC554" s="642"/>
      <c r="BD554" s="642"/>
      <c r="BE554" s="642"/>
      <c r="BF554" s="642"/>
      <c r="BG554" s="642"/>
      <c r="BH554" s="642"/>
      <c r="BI554" s="642"/>
      <c r="BJ554" s="634">
        <v>20551</v>
      </c>
      <c r="BK554" s="642"/>
      <c r="BL554" s="642"/>
      <c r="BM554" s="642"/>
      <c r="BN554" s="642"/>
      <c r="BO554" s="642"/>
      <c r="BP554" s="642"/>
      <c r="BQ554" s="642"/>
      <c r="BR554" s="642"/>
      <c r="BS554" s="642"/>
      <c r="BT554" s="642"/>
      <c r="BU554" s="642"/>
      <c r="BV554" s="642"/>
      <c r="BW554" s="24"/>
      <c r="BX554" s="24"/>
      <c r="BY554" s="24"/>
      <c r="BZ554" s="643"/>
      <c r="CA554" s="643"/>
      <c r="CB554" s="643"/>
      <c r="CC554" s="643"/>
      <c r="CD554" s="643"/>
      <c r="CE554" s="643"/>
      <c r="CF554" s="643"/>
      <c r="CG554" s="643"/>
      <c r="CH554" s="643"/>
      <c r="CI554" s="643"/>
      <c r="CJ554" s="643"/>
      <c r="CK554" s="643"/>
      <c r="CL554" s="643"/>
      <c r="CM554" s="643"/>
      <c r="CN554" s="643"/>
      <c r="CO554" s="643"/>
      <c r="CP554" s="643"/>
      <c r="CQ554" s="643"/>
      <c r="CR554" s="643"/>
      <c r="CS554" s="636" t="s">
        <v>2435</v>
      </c>
      <c r="CT554" s="643"/>
      <c r="CU554" s="643"/>
      <c r="CV554" s="643"/>
      <c r="CW554" s="643"/>
      <c r="CX554" s="643"/>
      <c r="CY554" s="643"/>
      <c r="CZ554" s="643"/>
      <c r="DA554" s="643"/>
      <c r="DB554" s="643"/>
      <c r="DC554" s="643"/>
      <c r="DD554" s="643"/>
      <c r="DE554" s="643"/>
    </row>
    <row r="555" spans="34:109" ht="15" hidden="1" customHeight="1">
      <c r="AH555" s="24"/>
      <c r="AI555" s="24"/>
      <c r="AJ555" s="24"/>
      <c r="AK555" s="24"/>
      <c r="AL555" s="630" t="str">
        <f t="shared" si="16"/>
        <v/>
      </c>
      <c r="AM555" s="630" t="str">
        <f t="shared" si="17"/>
        <v/>
      </c>
      <c r="AO555" s="24"/>
      <c r="AP555" s="628">
        <v>553</v>
      </c>
      <c r="AQ555" s="642"/>
      <c r="AR555" s="642"/>
      <c r="AS555" s="642"/>
      <c r="AT555" s="642"/>
      <c r="AU555" s="642"/>
      <c r="AV555" s="642"/>
      <c r="AW555" s="642"/>
      <c r="AX555" s="642"/>
      <c r="AY555" s="642"/>
      <c r="AZ555" s="642"/>
      <c r="BA555" s="642"/>
      <c r="BB555" s="642"/>
      <c r="BC555" s="642"/>
      <c r="BD555" s="642"/>
      <c r="BE555" s="642"/>
      <c r="BF555" s="642"/>
      <c r="BG555" s="642"/>
      <c r="BH555" s="642"/>
      <c r="BI555" s="642"/>
      <c r="BJ555" s="634">
        <v>20552</v>
      </c>
      <c r="BK555" s="642"/>
      <c r="BL555" s="642"/>
      <c r="BM555" s="642"/>
      <c r="BN555" s="642"/>
      <c r="BO555" s="642"/>
      <c r="BP555" s="642"/>
      <c r="BQ555" s="642"/>
      <c r="BR555" s="642"/>
      <c r="BS555" s="642"/>
      <c r="BT555" s="642"/>
      <c r="BU555" s="642"/>
      <c r="BV555" s="642"/>
      <c r="BW555" s="24"/>
      <c r="BX555" s="24"/>
      <c r="BY555" s="24"/>
      <c r="BZ555" s="643"/>
      <c r="CA555" s="643"/>
      <c r="CB555" s="643"/>
      <c r="CC555" s="643"/>
      <c r="CD555" s="643"/>
      <c r="CE555" s="643"/>
      <c r="CF555" s="643"/>
      <c r="CG555" s="643"/>
      <c r="CH555" s="643"/>
      <c r="CI555" s="643"/>
      <c r="CJ555" s="643"/>
      <c r="CK555" s="643"/>
      <c r="CL555" s="643"/>
      <c r="CM555" s="643"/>
      <c r="CN555" s="643"/>
      <c r="CO555" s="643"/>
      <c r="CP555" s="643"/>
      <c r="CQ555" s="643"/>
      <c r="CR555" s="643"/>
      <c r="CS555" s="636" t="s">
        <v>2436</v>
      </c>
      <c r="CT555" s="643"/>
      <c r="CU555" s="643"/>
      <c r="CV555" s="643"/>
      <c r="CW555" s="643"/>
      <c r="CX555" s="643"/>
      <c r="CY555" s="643"/>
      <c r="CZ555" s="643"/>
      <c r="DA555" s="643"/>
      <c r="DB555" s="643"/>
      <c r="DC555" s="643"/>
      <c r="DD555" s="643"/>
      <c r="DE555" s="643"/>
    </row>
    <row r="556" spans="34:109" ht="15" hidden="1" customHeight="1">
      <c r="AH556" s="24"/>
      <c r="AI556" s="24"/>
      <c r="AJ556" s="24"/>
      <c r="AK556" s="24"/>
      <c r="AL556" s="630" t="str">
        <f t="shared" si="16"/>
        <v/>
      </c>
      <c r="AM556" s="630" t="str">
        <f t="shared" si="17"/>
        <v/>
      </c>
      <c r="AO556" s="24"/>
      <c r="AP556" s="628">
        <v>554</v>
      </c>
      <c r="AQ556" s="642"/>
      <c r="AR556" s="642"/>
      <c r="AS556" s="642"/>
      <c r="AT556" s="642"/>
      <c r="AU556" s="642"/>
      <c r="AV556" s="642"/>
      <c r="AW556" s="642"/>
      <c r="AX556" s="642"/>
      <c r="AY556" s="642"/>
      <c r="AZ556" s="642"/>
      <c r="BA556" s="642"/>
      <c r="BB556" s="642"/>
      <c r="BC556" s="642"/>
      <c r="BD556" s="642"/>
      <c r="BE556" s="642"/>
      <c r="BF556" s="642"/>
      <c r="BG556" s="642"/>
      <c r="BH556" s="642"/>
      <c r="BI556" s="642"/>
      <c r="BJ556" s="634">
        <v>20553</v>
      </c>
      <c r="BK556" s="642"/>
      <c r="BL556" s="642"/>
      <c r="BM556" s="642"/>
      <c r="BN556" s="642"/>
      <c r="BO556" s="642"/>
      <c r="BP556" s="642"/>
      <c r="BQ556" s="642"/>
      <c r="BR556" s="642"/>
      <c r="BS556" s="642"/>
      <c r="BT556" s="642"/>
      <c r="BU556" s="642"/>
      <c r="BV556" s="642"/>
      <c r="BW556" s="24"/>
      <c r="BX556" s="24"/>
      <c r="BY556" s="24"/>
      <c r="BZ556" s="643"/>
      <c r="CA556" s="643"/>
      <c r="CB556" s="643"/>
      <c r="CC556" s="643"/>
      <c r="CD556" s="643"/>
      <c r="CE556" s="643"/>
      <c r="CF556" s="643"/>
      <c r="CG556" s="643"/>
      <c r="CH556" s="643"/>
      <c r="CI556" s="643"/>
      <c r="CJ556" s="643"/>
      <c r="CK556" s="643"/>
      <c r="CL556" s="643"/>
      <c r="CM556" s="643"/>
      <c r="CN556" s="643"/>
      <c r="CO556" s="643"/>
      <c r="CP556" s="643"/>
      <c r="CQ556" s="643"/>
      <c r="CR556" s="643"/>
      <c r="CS556" s="636" t="s">
        <v>2437</v>
      </c>
      <c r="CT556" s="643"/>
      <c r="CU556" s="643"/>
      <c r="CV556" s="643"/>
      <c r="CW556" s="643"/>
      <c r="CX556" s="643"/>
      <c r="CY556" s="643"/>
      <c r="CZ556" s="643"/>
      <c r="DA556" s="643"/>
      <c r="DB556" s="643"/>
      <c r="DC556" s="643"/>
      <c r="DD556" s="643"/>
      <c r="DE556" s="643"/>
    </row>
    <row r="557" spans="34:109" ht="15" hidden="1" customHeight="1">
      <c r="AH557" s="24"/>
      <c r="AI557" s="24"/>
      <c r="AJ557" s="24"/>
      <c r="AK557" s="24"/>
      <c r="AL557" s="630" t="str">
        <f t="shared" si="16"/>
        <v/>
      </c>
      <c r="AM557" s="630" t="str">
        <f t="shared" si="17"/>
        <v/>
      </c>
      <c r="AO557" s="24"/>
      <c r="AP557" s="628">
        <v>555</v>
      </c>
      <c r="AQ557" s="642"/>
      <c r="AR557" s="642"/>
      <c r="AS557" s="642"/>
      <c r="AT557" s="642"/>
      <c r="AU557" s="642"/>
      <c r="AV557" s="642"/>
      <c r="AW557" s="642"/>
      <c r="AX557" s="642"/>
      <c r="AY557" s="642"/>
      <c r="AZ557" s="642"/>
      <c r="BA557" s="642"/>
      <c r="BB557" s="642"/>
      <c r="BC557" s="642"/>
      <c r="BD557" s="642"/>
      <c r="BE557" s="642"/>
      <c r="BF557" s="642"/>
      <c r="BG557" s="642"/>
      <c r="BH557" s="642"/>
      <c r="BI557" s="642"/>
      <c r="BJ557" s="634">
        <v>20554</v>
      </c>
      <c r="BK557" s="642"/>
      <c r="BL557" s="642"/>
      <c r="BM557" s="642"/>
      <c r="BN557" s="642"/>
      <c r="BO557" s="642"/>
      <c r="BP557" s="642"/>
      <c r="BQ557" s="642"/>
      <c r="BR557" s="642"/>
      <c r="BS557" s="642"/>
      <c r="BT557" s="642"/>
      <c r="BU557" s="642"/>
      <c r="BV557" s="642"/>
      <c r="BW557" s="24"/>
      <c r="BX557" s="24"/>
      <c r="BY557" s="24"/>
      <c r="BZ557" s="643"/>
      <c r="CA557" s="643"/>
      <c r="CB557" s="643"/>
      <c r="CC557" s="643"/>
      <c r="CD557" s="643"/>
      <c r="CE557" s="643"/>
      <c r="CF557" s="643"/>
      <c r="CG557" s="643"/>
      <c r="CH557" s="643"/>
      <c r="CI557" s="643"/>
      <c r="CJ557" s="643"/>
      <c r="CK557" s="643"/>
      <c r="CL557" s="643"/>
      <c r="CM557" s="643"/>
      <c r="CN557" s="643"/>
      <c r="CO557" s="643"/>
      <c r="CP557" s="643"/>
      <c r="CQ557" s="643"/>
      <c r="CR557" s="643"/>
      <c r="CS557" s="636" t="s">
        <v>2438</v>
      </c>
      <c r="CT557" s="643"/>
      <c r="CU557" s="643"/>
      <c r="CV557" s="643"/>
      <c r="CW557" s="643"/>
      <c r="CX557" s="643"/>
      <c r="CY557" s="643"/>
      <c r="CZ557" s="643"/>
      <c r="DA557" s="643"/>
      <c r="DB557" s="643"/>
      <c r="DC557" s="643"/>
      <c r="DD557" s="643"/>
      <c r="DE557" s="643"/>
    </row>
    <row r="558" spans="34:109" ht="15" hidden="1" customHeight="1">
      <c r="AH558" s="24"/>
      <c r="AI558" s="24"/>
      <c r="AJ558" s="24"/>
      <c r="AK558" s="24"/>
      <c r="AL558" s="630" t="str">
        <f t="shared" si="16"/>
        <v/>
      </c>
      <c r="AM558" s="630" t="str">
        <f t="shared" si="17"/>
        <v/>
      </c>
      <c r="AO558" s="24"/>
      <c r="AP558" s="628">
        <v>556</v>
      </c>
      <c r="AQ558" s="642"/>
      <c r="AR558" s="642"/>
      <c r="AS558" s="642"/>
      <c r="AT558" s="642"/>
      <c r="AU558" s="642"/>
      <c r="AV558" s="642"/>
      <c r="AW558" s="642"/>
      <c r="AX558" s="642"/>
      <c r="AY558" s="642"/>
      <c r="AZ558" s="642"/>
      <c r="BA558" s="642"/>
      <c r="BB558" s="642"/>
      <c r="BC558" s="642"/>
      <c r="BD558" s="642"/>
      <c r="BE558" s="642"/>
      <c r="BF558" s="642"/>
      <c r="BG558" s="642"/>
      <c r="BH558" s="642"/>
      <c r="BI558" s="642"/>
      <c r="BJ558" s="634">
        <v>20555</v>
      </c>
      <c r="BK558" s="642"/>
      <c r="BL558" s="642"/>
      <c r="BM558" s="642"/>
      <c r="BN558" s="642"/>
      <c r="BO558" s="642"/>
      <c r="BP558" s="642"/>
      <c r="BQ558" s="642"/>
      <c r="BR558" s="642"/>
      <c r="BS558" s="642"/>
      <c r="BT558" s="642"/>
      <c r="BU558" s="642"/>
      <c r="BV558" s="642"/>
      <c r="BW558" s="24"/>
      <c r="BX558" s="24"/>
      <c r="BY558" s="24"/>
      <c r="BZ558" s="643"/>
      <c r="CA558" s="643"/>
      <c r="CB558" s="643"/>
      <c r="CC558" s="643"/>
      <c r="CD558" s="643"/>
      <c r="CE558" s="643"/>
      <c r="CF558" s="643"/>
      <c r="CG558" s="643"/>
      <c r="CH558" s="643"/>
      <c r="CI558" s="643"/>
      <c r="CJ558" s="643"/>
      <c r="CK558" s="643"/>
      <c r="CL558" s="643"/>
      <c r="CM558" s="643"/>
      <c r="CN558" s="643"/>
      <c r="CO558" s="643"/>
      <c r="CP558" s="643"/>
      <c r="CQ558" s="643"/>
      <c r="CR558" s="643"/>
      <c r="CS558" s="636" t="s">
        <v>2439</v>
      </c>
      <c r="CT558" s="643"/>
      <c r="CU558" s="643"/>
      <c r="CV558" s="643"/>
      <c r="CW558" s="643"/>
      <c r="CX558" s="643"/>
      <c r="CY558" s="643"/>
      <c r="CZ558" s="643"/>
      <c r="DA558" s="643"/>
      <c r="DB558" s="643"/>
      <c r="DC558" s="643"/>
      <c r="DD558" s="643"/>
      <c r="DE558" s="643"/>
    </row>
    <row r="559" spans="34:109" ht="15" hidden="1" customHeight="1">
      <c r="AH559" s="24"/>
      <c r="AI559" s="24"/>
      <c r="AJ559" s="24"/>
      <c r="AK559" s="24"/>
      <c r="AL559" s="630" t="str">
        <f t="shared" si="16"/>
        <v/>
      </c>
      <c r="AM559" s="630" t="str">
        <f t="shared" si="17"/>
        <v/>
      </c>
      <c r="AO559" s="24"/>
      <c r="AP559" s="628">
        <v>557</v>
      </c>
      <c r="AQ559" s="642"/>
      <c r="AR559" s="642"/>
      <c r="AS559" s="642"/>
      <c r="AT559" s="642"/>
      <c r="AU559" s="642"/>
      <c r="AV559" s="642"/>
      <c r="AW559" s="642"/>
      <c r="AX559" s="642"/>
      <c r="AY559" s="642"/>
      <c r="AZ559" s="642"/>
      <c r="BA559" s="642"/>
      <c r="BB559" s="642"/>
      <c r="BC559" s="642"/>
      <c r="BD559" s="642"/>
      <c r="BE559" s="642"/>
      <c r="BF559" s="642"/>
      <c r="BG559" s="642"/>
      <c r="BH559" s="642"/>
      <c r="BI559" s="642"/>
      <c r="BJ559" s="634">
        <v>20556</v>
      </c>
      <c r="BK559" s="642"/>
      <c r="BL559" s="642"/>
      <c r="BM559" s="642"/>
      <c r="BN559" s="642"/>
      <c r="BO559" s="642"/>
      <c r="BP559" s="642"/>
      <c r="BQ559" s="642"/>
      <c r="BR559" s="642"/>
      <c r="BS559" s="642"/>
      <c r="BT559" s="642"/>
      <c r="BU559" s="642"/>
      <c r="BV559" s="642"/>
      <c r="BW559" s="24"/>
      <c r="BX559" s="24"/>
      <c r="BY559" s="24"/>
      <c r="BZ559" s="643"/>
      <c r="CA559" s="643"/>
      <c r="CB559" s="643"/>
      <c r="CC559" s="643"/>
      <c r="CD559" s="643"/>
      <c r="CE559" s="643"/>
      <c r="CF559" s="643"/>
      <c r="CG559" s="643"/>
      <c r="CH559" s="643"/>
      <c r="CI559" s="643"/>
      <c r="CJ559" s="643"/>
      <c r="CK559" s="643"/>
      <c r="CL559" s="643"/>
      <c r="CM559" s="643"/>
      <c r="CN559" s="643"/>
      <c r="CO559" s="643"/>
      <c r="CP559" s="643"/>
      <c r="CQ559" s="643"/>
      <c r="CR559" s="643"/>
      <c r="CS559" s="636" t="s">
        <v>2440</v>
      </c>
      <c r="CT559" s="643"/>
      <c r="CU559" s="643"/>
      <c r="CV559" s="643"/>
      <c r="CW559" s="643"/>
      <c r="CX559" s="643"/>
      <c r="CY559" s="643"/>
      <c r="CZ559" s="643"/>
      <c r="DA559" s="643"/>
      <c r="DB559" s="643"/>
      <c r="DC559" s="643"/>
      <c r="DD559" s="643"/>
      <c r="DE559" s="643"/>
    </row>
    <row r="560" spans="34:109" ht="15" hidden="1" customHeight="1">
      <c r="AH560" s="24"/>
      <c r="AI560" s="24"/>
      <c r="AJ560" s="24"/>
      <c r="AK560" s="24"/>
      <c r="AL560" s="630" t="str">
        <f t="shared" si="16"/>
        <v/>
      </c>
      <c r="AM560" s="630" t="str">
        <f t="shared" si="17"/>
        <v/>
      </c>
      <c r="AO560" s="24"/>
      <c r="AP560" s="628">
        <v>558</v>
      </c>
      <c r="AQ560" s="642"/>
      <c r="AR560" s="642"/>
      <c r="AS560" s="642"/>
      <c r="AT560" s="642"/>
      <c r="AU560" s="642"/>
      <c r="AV560" s="642"/>
      <c r="AW560" s="642"/>
      <c r="AX560" s="642"/>
      <c r="AY560" s="642"/>
      <c r="AZ560" s="642"/>
      <c r="BA560" s="642"/>
      <c r="BB560" s="642"/>
      <c r="BC560" s="642"/>
      <c r="BD560" s="642"/>
      <c r="BE560" s="642"/>
      <c r="BF560" s="642"/>
      <c r="BG560" s="642"/>
      <c r="BH560" s="642"/>
      <c r="BI560" s="642"/>
      <c r="BJ560" s="634">
        <v>20557</v>
      </c>
      <c r="BK560" s="642"/>
      <c r="BL560" s="642"/>
      <c r="BM560" s="642"/>
      <c r="BN560" s="642"/>
      <c r="BO560" s="642"/>
      <c r="BP560" s="642"/>
      <c r="BQ560" s="642"/>
      <c r="BR560" s="642"/>
      <c r="BS560" s="642"/>
      <c r="BT560" s="642"/>
      <c r="BU560" s="642"/>
      <c r="BV560" s="642"/>
      <c r="BW560" s="24"/>
      <c r="BX560" s="24"/>
      <c r="BY560" s="24"/>
      <c r="BZ560" s="643"/>
      <c r="CA560" s="643"/>
      <c r="CB560" s="643"/>
      <c r="CC560" s="643"/>
      <c r="CD560" s="643"/>
      <c r="CE560" s="643"/>
      <c r="CF560" s="643"/>
      <c r="CG560" s="643"/>
      <c r="CH560" s="643"/>
      <c r="CI560" s="643"/>
      <c r="CJ560" s="643"/>
      <c r="CK560" s="643"/>
      <c r="CL560" s="643"/>
      <c r="CM560" s="643"/>
      <c r="CN560" s="643"/>
      <c r="CO560" s="643"/>
      <c r="CP560" s="643"/>
      <c r="CQ560" s="643"/>
      <c r="CR560" s="643"/>
      <c r="CS560" s="636" t="s">
        <v>2441</v>
      </c>
      <c r="CT560" s="643"/>
      <c r="CU560" s="643"/>
      <c r="CV560" s="643"/>
      <c r="CW560" s="643"/>
      <c r="CX560" s="643"/>
      <c r="CY560" s="643"/>
      <c r="CZ560" s="643"/>
      <c r="DA560" s="643"/>
      <c r="DB560" s="643"/>
      <c r="DC560" s="643"/>
      <c r="DD560" s="643"/>
      <c r="DE560" s="643"/>
    </row>
    <row r="561" spans="34:109" ht="15" hidden="1" customHeight="1">
      <c r="AH561" s="24"/>
      <c r="AI561" s="24"/>
      <c r="AJ561" s="24"/>
      <c r="AK561" s="24"/>
      <c r="AL561" s="630" t="str">
        <f t="shared" si="16"/>
        <v/>
      </c>
      <c r="AM561" s="630" t="str">
        <f t="shared" si="17"/>
        <v/>
      </c>
      <c r="AO561" s="24"/>
      <c r="AP561" s="628">
        <v>559</v>
      </c>
      <c r="AQ561" s="642"/>
      <c r="AR561" s="642"/>
      <c r="AS561" s="642"/>
      <c r="AT561" s="642"/>
      <c r="AU561" s="642"/>
      <c r="AV561" s="642"/>
      <c r="AW561" s="642"/>
      <c r="AX561" s="642"/>
      <c r="AY561" s="642"/>
      <c r="AZ561" s="642"/>
      <c r="BA561" s="642"/>
      <c r="BB561" s="642"/>
      <c r="BC561" s="642"/>
      <c r="BD561" s="642"/>
      <c r="BE561" s="642"/>
      <c r="BF561" s="642"/>
      <c r="BG561" s="642"/>
      <c r="BH561" s="642"/>
      <c r="BI561" s="642"/>
      <c r="BJ561" s="634">
        <v>20558</v>
      </c>
      <c r="BK561" s="642"/>
      <c r="BL561" s="642"/>
      <c r="BM561" s="642"/>
      <c r="BN561" s="642"/>
      <c r="BO561" s="642"/>
      <c r="BP561" s="642"/>
      <c r="BQ561" s="642"/>
      <c r="BR561" s="642"/>
      <c r="BS561" s="642"/>
      <c r="BT561" s="642"/>
      <c r="BU561" s="642"/>
      <c r="BV561" s="642"/>
      <c r="BW561" s="24"/>
      <c r="BX561" s="24"/>
      <c r="BY561" s="24"/>
      <c r="BZ561" s="643"/>
      <c r="CA561" s="643"/>
      <c r="CB561" s="643"/>
      <c r="CC561" s="643"/>
      <c r="CD561" s="643"/>
      <c r="CE561" s="643"/>
      <c r="CF561" s="643"/>
      <c r="CG561" s="643"/>
      <c r="CH561" s="643"/>
      <c r="CI561" s="643"/>
      <c r="CJ561" s="643"/>
      <c r="CK561" s="643"/>
      <c r="CL561" s="643"/>
      <c r="CM561" s="643"/>
      <c r="CN561" s="643"/>
      <c r="CO561" s="643"/>
      <c r="CP561" s="643"/>
      <c r="CQ561" s="643"/>
      <c r="CR561" s="643"/>
      <c r="CS561" s="636" t="s">
        <v>2442</v>
      </c>
      <c r="CT561" s="643"/>
      <c r="CU561" s="643"/>
      <c r="CV561" s="643"/>
      <c r="CW561" s="643"/>
      <c r="CX561" s="643"/>
      <c r="CY561" s="643"/>
      <c r="CZ561" s="643"/>
      <c r="DA561" s="643"/>
      <c r="DB561" s="643"/>
      <c r="DC561" s="643"/>
      <c r="DD561" s="643"/>
      <c r="DE561" s="643"/>
    </row>
    <row r="562" spans="34:109" ht="15" hidden="1" customHeight="1">
      <c r="AH562" s="24"/>
      <c r="AI562" s="24"/>
      <c r="AJ562" s="24"/>
      <c r="AK562" s="24"/>
      <c r="AL562" s="630" t="str">
        <f t="shared" si="16"/>
        <v/>
      </c>
      <c r="AM562" s="630" t="str">
        <f t="shared" si="17"/>
        <v/>
      </c>
      <c r="AO562" s="24"/>
      <c r="AP562" s="628">
        <v>560</v>
      </c>
      <c r="AQ562" s="642"/>
      <c r="AR562" s="642"/>
      <c r="AS562" s="642"/>
      <c r="AT562" s="642"/>
      <c r="AU562" s="642"/>
      <c r="AV562" s="642"/>
      <c r="AW562" s="642"/>
      <c r="AX562" s="642"/>
      <c r="AY562" s="642"/>
      <c r="AZ562" s="642"/>
      <c r="BA562" s="642"/>
      <c r="BB562" s="642"/>
      <c r="BC562" s="642"/>
      <c r="BD562" s="642"/>
      <c r="BE562" s="642"/>
      <c r="BF562" s="642"/>
      <c r="BG562" s="642"/>
      <c r="BH562" s="642"/>
      <c r="BI562" s="642"/>
      <c r="BJ562" s="634">
        <v>20559</v>
      </c>
      <c r="BK562" s="642"/>
      <c r="BL562" s="642"/>
      <c r="BM562" s="642"/>
      <c r="BN562" s="642"/>
      <c r="BO562" s="642"/>
      <c r="BP562" s="642"/>
      <c r="BQ562" s="642"/>
      <c r="BR562" s="642"/>
      <c r="BS562" s="642"/>
      <c r="BT562" s="642"/>
      <c r="BU562" s="642"/>
      <c r="BV562" s="642"/>
      <c r="BW562" s="24"/>
      <c r="BX562" s="24"/>
      <c r="BY562" s="24"/>
      <c r="BZ562" s="643"/>
      <c r="CA562" s="643"/>
      <c r="CB562" s="643"/>
      <c r="CC562" s="643"/>
      <c r="CD562" s="643"/>
      <c r="CE562" s="643"/>
      <c r="CF562" s="643"/>
      <c r="CG562" s="643"/>
      <c r="CH562" s="643"/>
      <c r="CI562" s="643"/>
      <c r="CJ562" s="643"/>
      <c r="CK562" s="643"/>
      <c r="CL562" s="643"/>
      <c r="CM562" s="643"/>
      <c r="CN562" s="643"/>
      <c r="CO562" s="643"/>
      <c r="CP562" s="643"/>
      <c r="CQ562" s="643"/>
      <c r="CR562" s="643"/>
      <c r="CS562" s="636" t="s">
        <v>2443</v>
      </c>
      <c r="CT562" s="643"/>
      <c r="CU562" s="643"/>
      <c r="CV562" s="643"/>
      <c r="CW562" s="643"/>
      <c r="CX562" s="643"/>
      <c r="CY562" s="643"/>
      <c r="CZ562" s="643"/>
      <c r="DA562" s="643"/>
      <c r="DB562" s="643"/>
      <c r="DC562" s="643"/>
      <c r="DD562" s="643"/>
      <c r="DE562" s="643"/>
    </row>
    <row r="563" spans="34:109" ht="15" hidden="1" customHeight="1">
      <c r="AH563" s="24"/>
      <c r="AI563" s="24"/>
      <c r="AJ563" s="24"/>
      <c r="AK563" s="24"/>
      <c r="AL563" s="630" t="str">
        <f t="shared" si="16"/>
        <v/>
      </c>
      <c r="AM563" s="630" t="str">
        <f t="shared" si="17"/>
        <v/>
      </c>
      <c r="AO563" s="24"/>
      <c r="AP563" s="628">
        <v>561</v>
      </c>
      <c r="AQ563" s="642"/>
      <c r="AR563" s="642"/>
      <c r="AS563" s="642"/>
      <c r="AT563" s="642"/>
      <c r="AU563" s="642"/>
      <c r="AV563" s="642"/>
      <c r="AW563" s="642"/>
      <c r="AX563" s="642"/>
      <c r="AY563" s="642"/>
      <c r="AZ563" s="642"/>
      <c r="BA563" s="642"/>
      <c r="BB563" s="642"/>
      <c r="BC563" s="642"/>
      <c r="BD563" s="642"/>
      <c r="BE563" s="642"/>
      <c r="BF563" s="642"/>
      <c r="BG563" s="642"/>
      <c r="BH563" s="642"/>
      <c r="BI563" s="642"/>
      <c r="BJ563" s="634">
        <v>20560</v>
      </c>
      <c r="BK563" s="642"/>
      <c r="BL563" s="642"/>
      <c r="BM563" s="642"/>
      <c r="BN563" s="642"/>
      <c r="BO563" s="642"/>
      <c r="BP563" s="642"/>
      <c r="BQ563" s="642"/>
      <c r="BR563" s="642"/>
      <c r="BS563" s="642"/>
      <c r="BT563" s="642"/>
      <c r="BU563" s="642"/>
      <c r="BV563" s="642"/>
      <c r="BW563" s="24"/>
      <c r="BX563" s="24"/>
      <c r="BY563" s="24"/>
      <c r="BZ563" s="643"/>
      <c r="CA563" s="643"/>
      <c r="CB563" s="643"/>
      <c r="CC563" s="643"/>
      <c r="CD563" s="643"/>
      <c r="CE563" s="643"/>
      <c r="CF563" s="643"/>
      <c r="CG563" s="643"/>
      <c r="CH563" s="643"/>
      <c r="CI563" s="643"/>
      <c r="CJ563" s="643"/>
      <c r="CK563" s="643"/>
      <c r="CL563" s="643"/>
      <c r="CM563" s="643"/>
      <c r="CN563" s="643"/>
      <c r="CO563" s="643"/>
      <c r="CP563" s="643"/>
      <c r="CQ563" s="643"/>
      <c r="CR563" s="643"/>
      <c r="CS563" s="636" t="s">
        <v>2444</v>
      </c>
      <c r="CT563" s="643"/>
      <c r="CU563" s="643"/>
      <c r="CV563" s="643"/>
      <c r="CW563" s="643"/>
      <c r="CX563" s="643"/>
      <c r="CY563" s="643"/>
      <c r="CZ563" s="643"/>
      <c r="DA563" s="643"/>
      <c r="DB563" s="643"/>
      <c r="DC563" s="643"/>
      <c r="DD563" s="643"/>
      <c r="DE563" s="643"/>
    </row>
    <row r="564" spans="34:109" ht="15" hidden="1" customHeight="1">
      <c r="AH564" s="24"/>
      <c r="AI564" s="24"/>
      <c r="AJ564" s="24"/>
      <c r="AK564" s="24"/>
      <c r="AL564" s="630" t="str">
        <f t="shared" si="16"/>
        <v/>
      </c>
      <c r="AM564" s="630" t="str">
        <f t="shared" si="17"/>
        <v/>
      </c>
      <c r="AO564" s="24"/>
      <c r="AP564" s="628">
        <v>562</v>
      </c>
      <c r="AQ564" s="642"/>
      <c r="AR564" s="642"/>
      <c r="AS564" s="642"/>
      <c r="AT564" s="642"/>
      <c r="AU564" s="642"/>
      <c r="AV564" s="642"/>
      <c r="AW564" s="642"/>
      <c r="AX564" s="642"/>
      <c r="AY564" s="642"/>
      <c r="AZ564" s="642"/>
      <c r="BA564" s="642"/>
      <c r="BB564" s="642"/>
      <c r="BC564" s="642"/>
      <c r="BD564" s="642"/>
      <c r="BE564" s="642"/>
      <c r="BF564" s="642"/>
      <c r="BG564" s="642"/>
      <c r="BH564" s="642"/>
      <c r="BI564" s="642"/>
      <c r="BJ564" s="634">
        <v>20561</v>
      </c>
      <c r="BK564" s="642"/>
      <c r="BL564" s="642"/>
      <c r="BM564" s="642"/>
      <c r="BN564" s="642"/>
      <c r="BO564" s="642"/>
      <c r="BP564" s="642"/>
      <c r="BQ564" s="642"/>
      <c r="BR564" s="642"/>
      <c r="BS564" s="642"/>
      <c r="BT564" s="642"/>
      <c r="BU564" s="642"/>
      <c r="BV564" s="642"/>
      <c r="BW564" s="24"/>
      <c r="BX564" s="24"/>
      <c r="BY564" s="24"/>
      <c r="BZ564" s="643"/>
      <c r="CA564" s="643"/>
      <c r="CB564" s="643"/>
      <c r="CC564" s="643"/>
      <c r="CD564" s="643"/>
      <c r="CE564" s="643"/>
      <c r="CF564" s="643"/>
      <c r="CG564" s="643"/>
      <c r="CH564" s="643"/>
      <c r="CI564" s="643"/>
      <c r="CJ564" s="643"/>
      <c r="CK564" s="643"/>
      <c r="CL564" s="643"/>
      <c r="CM564" s="643"/>
      <c r="CN564" s="643"/>
      <c r="CO564" s="643"/>
      <c r="CP564" s="643"/>
      <c r="CQ564" s="643"/>
      <c r="CR564" s="643"/>
      <c r="CS564" s="636" t="s">
        <v>2445</v>
      </c>
      <c r="CT564" s="643"/>
      <c r="CU564" s="643"/>
      <c r="CV564" s="643"/>
      <c r="CW564" s="643"/>
      <c r="CX564" s="643"/>
      <c r="CY564" s="643"/>
      <c r="CZ564" s="643"/>
      <c r="DA564" s="643"/>
      <c r="DB564" s="643"/>
      <c r="DC564" s="643"/>
      <c r="DD564" s="643"/>
      <c r="DE564" s="643"/>
    </row>
    <row r="565" spans="34:109" ht="15" hidden="1" customHeight="1">
      <c r="AH565" s="24"/>
      <c r="AI565" s="24"/>
      <c r="AJ565" s="24"/>
      <c r="AK565" s="24"/>
      <c r="AL565" s="630" t="str">
        <f t="shared" si="16"/>
        <v/>
      </c>
      <c r="AM565" s="630" t="str">
        <f t="shared" si="17"/>
        <v/>
      </c>
      <c r="AO565" s="24"/>
      <c r="AP565" s="628">
        <v>563</v>
      </c>
      <c r="AQ565" s="642"/>
      <c r="AR565" s="642"/>
      <c r="AS565" s="642"/>
      <c r="AT565" s="642"/>
      <c r="AU565" s="642"/>
      <c r="AV565" s="642"/>
      <c r="AW565" s="642"/>
      <c r="AX565" s="642"/>
      <c r="AY565" s="642"/>
      <c r="AZ565" s="642"/>
      <c r="BA565" s="642"/>
      <c r="BB565" s="642"/>
      <c r="BC565" s="642"/>
      <c r="BD565" s="642"/>
      <c r="BE565" s="642"/>
      <c r="BF565" s="642"/>
      <c r="BG565" s="642"/>
      <c r="BH565" s="642"/>
      <c r="BI565" s="642"/>
      <c r="BJ565" s="634">
        <v>20562</v>
      </c>
      <c r="BK565" s="642"/>
      <c r="BL565" s="642"/>
      <c r="BM565" s="642"/>
      <c r="BN565" s="642"/>
      <c r="BO565" s="642"/>
      <c r="BP565" s="642"/>
      <c r="BQ565" s="642"/>
      <c r="BR565" s="642"/>
      <c r="BS565" s="642"/>
      <c r="BT565" s="642"/>
      <c r="BU565" s="642"/>
      <c r="BV565" s="642"/>
      <c r="BW565" s="24"/>
      <c r="BX565" s="24"/>
      <c r="BY565" s="24"/>
      <c r="BZ565" s="643"/>
      <c r="CA565" s="643"/>
      <c r="CB565" s="643"/>
      <c r="CC565" s="643"/>
      <c r="CD565" s="643"/>
      <c r="CE565" s="643"/>
      <c r="CF565" s="643"/>
      <c r="CG565" s="643"/>
      <c r="CH565" s="643"/>
      <c r="CI565" s="643"/>
      <c r="CJ565" s="643"/>
      <c r="CK565" s="643"/>
      <c r="CL565" s="643"/>
      <c r="CM565" s="643"/>
      <c r="CN565" s="643"/>
      <c r="CO565" s="643"/>
      <c r="CP565" s="643"/>
      <c r="CQ565" s="643"/>
      <c r="CR565" s="643"/>
      <c r="CS565" s="636" t="s">
        <v>2446</v>
      </c>
      <c r="CT565" s="643"/>
      <c r="CU565" s="643"/>
      <c r="CV565" s="643"/>
      <c r="CW565" s="643"/>
      <c r="CX565" s="643"/>
      <c r="CY565" s="643"/>
      <c r="CZ565" s="643"/>
      <c r="DA565" s="643"/>
      <c r="DB565" s="643"/>
      <c r="DC565" s="643"/>
      <c r="DD565" s="643"/>
      <c r="DE565" s="643"/>
    </row>
    <row r="566" spans="34:109" ht="15" hidden="1" customHeight="1">
      <c r="AH566" s="24"/>
      <c r="AI566" s="24"/>
      <c r="AJ566" s="24"/>
      <c r="AK566" s="24"/>
      <c r="AL566" s="630" t="str">
        <f t="shared" si="16"/>
        <v/>
      </c>
      <c r="AM566" s="630" t="str">
        <f t="shared" si="17"/>
        <v/>
      </c>
      <c r="AO566" s="24"/>
      <c r="AP566" s="628">
        <v>564</v>
      </c>
      <c r="AQ566" s="642"/>
      <c r="AR566" s="642"/>
      <c r="AS566" s="642"/>
      <c r="AT566" s="642"/>
      <c r="AU566" s="642"/>
      <c r="AV566" s="642"/>
      <c r="AW566" s="642"/>
      <c r="AX566" s="642"/>
      <c r="AY566" s="642"/>
      <c r="AZ566" s="642"/>
      <c r="BA566" s="642"/>
      <c r="BB566" s="642"/>
      <c r="BC566" s="642"/>
      <c r="BD566" s="642"/>
      <c r="BE566" s="642"/>
      <c r="BF566" s="642"/>
      <c r="BG566" s="642"/>
      <c r="BH566" s="642"/>
      <c r="BI566" s="642"/>
      <c r="BJ566" s="634">
        <v>20563</v>
      </c>
      <c r="BK566" s="642"/>
      <c r="BL566" s="642"/>
      <c r="BM566" s="642"/>
      <c r="BN566" s="642"/>
      <c r="BO566" s="642"/>
      <c r="BP566" s="642"/>
      <c r="BQ566" s="642"/>
      <c r="BR566" s="642"/>
      <c r="BS566" s="642"/>
      <c r="BT566" s="642"/>
      <c r="BU566" s="642"/>
      <c r="BV566" s="642"/>
      <c r="BW566" s="24"/>
      <c r="BX566" s="24"/>
      <c r="BY566" s="24"/>
      <c r="BZ566" s="643"/>
      <c r="CA566" s="643"/>
      <c r="CB566" s="643"/>
      <c r="CC566" s="643"/>
      <c r="CD566" s="643"/>
      <c r="CE566" s="643"/>
      <c r="CF566" s="643"/>
      <c r="CG566" s="643"/>
      <c r="CH566" s="643"/>
      <c r="CI566" s="643"/>
      <c r="CJ566" s="643"/>
      <c r="CK566" s="643"/>
      <c r="CL566" s="643"/>
      <c r="CM566" s="643"/>
      <c r="CN566" s="643"/>
      <c r="CO566" s="643"/>
      <c r="CP566" s="643"/>
      <c r="CQ566" s="643"/>
      <c r="CR566" s="643"/>
      <c r="CS566" s="636" t="s">
        <v>2447</v>
      </c>
      <c r="CT566" s="643"/>
      <c r="CU566" s="643"/>
      <c r="CV566" s="643"/>
      <c r="CW566" s="643"/>
      <c r="CX566" s="643"/>
      <c r="CY566" s="643"/>
      <c r="CZ566" s="643"/>
      <c r="DA566" s="643"/>
      <c r="DB566" s="643"/>
      <c r="DC566" s="643"/>
      <c r="DD566" s="643"/>
      <c r="DE566" s="643"/>
    </row>
    <row r="567" spans="34:109" ht="15" hidden="1" customHeight="1">
      <c r="AH567" s="24"/>
      <c r="AI567" s="24"/>
      <c r="AJ567" s="24"/>
      <c r="AK567" s="24"/>
      <c r="AL567" s="630" t="str">
        <f t="shared" si="16"/>
        <v/>
      </c>
      <c r="AM567" s="630" t="str">
        <f t="shared" si="17"/>
        <v/>
      </c>
      <c r="AO567" s="24"/>
      <c r="AP567" s="628">
        <v>565</v>
      </c>
      <c r="AQ567" s="642"/>
      <c r="AR567" s="642"/>
      <c r="AS567" s="642"/>
      <c r="AT567" s="642"/>
      <c r="AU567" s="642"/>
      <c r="AV567" s="642"/>
      <c r="AW567" s="642"/>
      <c r="AX567" s="642"/>
      <c r="AY567" s="642"/>
      <c r="AZ567" s="642"/>
      <c r="BA567" s="642"/>
      <c r="BB567" s="642"/>
      <c r="BC567" s="642"/>
      <c r="BD567" s="642"/>
      <c r="BE567" s="642"/>
      <c r="BF567" s="642"/>
      <c r="BG567" s="642"/>
      <c r="BH567" s="642"/>
      <c r="BI567" s="642"/>
      <c r="BJ567" s="634">
        <v>20564</v>
      </c>
      <c r="BK567" s="642"/>
      <c r="BL567" s="642"/>
      <c r="BM567" s="642"/>
      <c r="BN567" s="642"/>
      <c r="BO567" s="642"/>
      <c r="BP567" s="642"/>
      <c r="BQ567" s="642"/>
      <c r="BR567" s="642"/>
      <c r="BS567" s="642"/>
      <c r="BT567" s="642"/>
      <c r="BU567" s="642"/>
      <c r="BV567" s="642"/>
      <c r="BW567" s="24"/>
      <c r="BX567" s="24"/>
      <c r="BY567" s="24"/>
      <c r="BZ567" s="643"/>
      <c r="CA567" s="643"/>
      <c r="CB567" s="643"/>
      <c r="CC567" s="643"/>
      <c r="CD567" s="643"/>
      <c r="CE567" s="643"/>
      <c r="CF567" s="643"/>
      <c r="CG567" s="643"/>
      <c r="CH567" s="643"/>
      <c r="CI567" s="643"/>
      <c r="CJ567" s="643"/>
      <c r="CK567" s="643"/>
      <c r="CL567" s="643"/>
      <c r="CM567" s="643"/>
      <c r="CN567" s="643"/>
      <c r="CO567" s="643"/>
      <c r="CP567" s="643"/>
      <c r="CQ567" s="643"/>
      <c r="CR567" s="643"/>
      <c r="CS567" s="636" t="s">
        <v>2448</v>
      </c>
      <c r="CT567" s="643"/>
      <c r="CU567" s="643"/>
      <c r="CV567" s="643"/>
      <c r="CW567" s="643"/>
      <c r="CX567" s="643"/>
      <c r="CY567" s="643"/>
      <c r="CZ567" s="643"/>
      <c r="DA567" s="643"/>
      <c r="DB567" s="643"/>
      <c r="DC567" s="643"/>
      <c r="DD567" s="643"/>
      <c r="DE567" s="643"/>
    </row>
    <row r="568" spans="34:109" ht="15" hidden="1" customHeight="1">
      <c r="AH568" s="24"/>
      <c r="AI568" s="24"/>
      <c r="AJ568" s="24"/>
      <c r="AK568" s="24"/>
      <c r="AL568" s="630" t="str">
        <f t="shared" si="16"/>
        <v/>
      </c>
      <c r="AM568" s="630" t="str">
        <f t="shared" si="17"/>
        <v/>
      </c>
      <c r="AO568" s="24"/>
      <c r="AP568" s="628">
        <v>566</v>
      </c>
      <c r="AQ568" s="642"/>
      <c r="AR568" s="642"/>
      <c r="AS568" s="642"/>
      <c r="AT568" s="642"/>
      <c r="AU568" s="642"/>
      <c r="AV568" s="642"/>
      <c r="AW568" s="642"/>
      <c r="AX568" s="642"/>
      <c r="AY568" s="642"/>
      <c r="AZ568" s="642"/>
      <c r="BA568" s="642"/>
      <c r="BB568" s="642"/>
      <c r="BC568" s="642"/>
      <c r="BD568" s="642"/>
      <c r="BE568" s="642"/>
      <c r="BF568" s="642"/>
      <c r="BG568" s="642"/>
      <c r="BH568" s="642"/>
      <c r="BI568" s="642"/>
      <c r="BJ568" s="634">
        <v>20565</v>
      </c>
      <c r="BK568" s="642"/>
      <c r="BL568" s="642"/>
      <c r="BM568" s="642"/>
      <c r="BN568" s="642"/>
      <c r="BO568" s="642"/>
      <c r="BP568" s="642"/>
      <c r="BQ568" s="642"/>
      <c r="BR568" s="642"/>
      <c r="BS568" s="642"/>
      <c r="BT568" s="642"/>
      <c r="BU568" s="642"/>
      <c r="BV568" s="642"/>
      <c r="BW568" s="24"/>
      <c r="BX568" s="24"/>
      <c r="BY568" s="24"/>
      <c r="BZ568" s="643"/>
      <c r="CA568" s="643"/>
      <c r="CB568" s="643"/>
      <c r="CC568" s="643"/>
      <c r="CD568" s="643"/>
      <c r="CE568" s="643"/>
      <c r="CF568" s="643"/>
      <c r="CG568" s="643"/>
      <c r="CH568" s="643"/>
      <c r="CI568" s="643"/>
      <c r="CJ568" s="643"/>
      <c r="CK568" s="643"/>
      <c r="CL568" s="643"/>
      <c r="CM568" s="643"/>
      <c r="CN568" s="643"/>
      <c r="CO568" s="643"/>
      <c r="CP568" s="643"/>
      <c r="CQ568" s="643"/>
      <c r="CR568" s="643"/>
      <c r="CS568" s="636" t="s">
        <v>2449</v>
      </c>
      <c r="CT568" s="643"/>
      <c r="CU568" s="643"/>
      <c r="CV568" s="643"/>
      <c r="CW568" s="643"/>
      <c r="CX568" s="643"/>
      <c r="CY568" s="643"/>
      <c r="CZ568" s="643"/>
      <c r="DA568" s="643"/>
      <c r="DB568" s="643"/>
      <c r="DC568" s="643"/>
      <c r="DD568" s="643"/>
      <c r="DE568" s="643"/>
    </row>
    <row r="569" spans="34:109" ht="15" hidden="1" customHeight="1">
      <c r="AH569" s="24"/>
      <c r="AI569" s="24"/>
      <c r="AJ569" s="24"/>
      <c r="AK569" s="24"/>
      <c r="AL569" s="630" t="str">
        <f t="shared" si="16"/>
        <v/>
      </c>
      <c r="AM569" s="630" t="str">
        <f t="shared" si="17"/>
        <v/>
      </c>
      <c r="AO569" s="24"/>
      <c r="AP569" s="628">
        <v>567</v>
      </c>
      <c r="AQ569" s="642"/>
      <c r="AR569" s="642"/>
      <c r="AS569" s="642"/>
      <c r="AT569" s="642"/>
      <c r="AU569" s="642"/>
      <c r="AV569" s="642"/>
      <c r="AW569" s="642"/>
      <c r="AX569" s="642"/>
      <c r="AY569" s="642"/>
      <c r="AZ569" s="642"/>
      <c r="BA569" s="642"/>
      <c r="BB569" s="642"/>
      <c r="BC569" s="642"/>
      <c r="BD569" s="642"/>
      <c r="BE569" s="642"/>
      <c r="BF569" s="642"/>
      <c r="BG569" s="642"/>
      <c r="BH569" s="642"/>
      <c r="BI569" s="642"/>
      <c r="BJ569" s="634">
        <v>20566</v>
      </c>
      <c r="BK569" s="642"/>
      <c r="BL569" s="642"/>
      <c r="BM569" s="642"/>
      <c r="BN569" s="642"/>
      <c r="BO569" s="642"/>
      <c r="BP569" s="642"/>
      <c r="BQ569" s="642"/>
      <c r="BR569" s="642"/>
      <c r="BS569" s="642"/>
      <c r="BT569" s="642"/>
      <c r="BU569" s="642"/>
      <c r="BV569" s="642"/>
      <c r="BW569" s="24"/>
      <c r="BX569" s="24"/>
      <c r="BY569" s="24"/>
      <c r="BZ569" s="643"/>
      <c r="CA569" s="643"/>
      <c r="CB569" s="643"/>
      <c r="CC569" s="643"/>
      <c r="CD569" s="643"/>
      <c r="CE569" s="643"/>
      <c r="CF569" s="643"/>
      <c r="CG569" s="643"/>
      <c r="CH569" s="643"/>
      <c r="CI569" s="643"/>
      <c r="CJ569" s="643"/>
      <c r="CK569" s="643"/>
      <c r="CL569" s="643"/>
      <c r="CM569" s="643"/>
      <c r="CN569" s="643"/>
      <c r="CO569" s="643"/>
      <c r="CP569" s="643"/>
      <c r="CQ569" s="643"/>
      <c r="CR569" s="643"/>
      <c r="CS569" s="636" t="s">
        <v>2450</v>
      </c>
      <c r="CT569" s="643"/>
      <c r="CU569" s="643"/>
      <c r="CV569" s="643"/>
      <c r="CW569" s="643"/>
      <c r="CX569" s="643"/>
      <c r="CY569" s="643"/>
      <c r="CZ569" s="643"/>
      <c r="DA569" s="643"/>
      <c r="DB569" s="643"/>
      <c r="DC569" s="643"/>
      <c r="DD569" s="643"/>
      <c r="DE569" s="643"/>
    </row>
    <row r="570" spans="34:109" ht="15" hidden="1" customHeight="1">
      <c r="AH570" s="24"/>
      <c r="AI570" s="24"/>
      <c r="AJ570" s="24"/>
      <c r="AK570" s="24"/>
      <c r="AL570" s="630" t="str">
        <f t="shared" si="16"/>
        <v/>
      </c>
      <c r="AM570" s="630" t="str">
        <f t="shared" si="17"/>
        <v/>
      </c>
      <c r="AO570" s="24"/>
      <c r="AP570" s="628">
        <v>568</v>
      </c>
      <c r="AQ570" s="642"/>
      <c r="AR570" s="642"/>
      <c r="AS570" s="642"/>
      <c r="AT570" s="642"/>
      <c r="AU570" s="642"/>
      <c r="AV570" s="642"/>
      <c r="AW570" s="642"/>
      <c r="AX570" s="642"/>
      <c r="AY570" s="642"/>
      <c r="AZ570" s="642"/>
      <c r="BA570" s="642"/>
      <c r="BB570" s="642"/>
      <c r="BC570" s="642"/>
      <c r="BD570" s="642"/>
      <c r="BE570" s="642"/>
      <c r="BF570" s="642"/>
      <c r="BG570" s="642"/>
      <c r="BH570" s="642"/>
      <c r="BI570" s="642"/>
      <c r="BJ570" s="634">
        <v>20567</v>
      </c>
      <c r="BK570" s="642"/>
      <c r="BL570" s="642"/>
      <c r="BM570" s="642"/>
      <c r="BN570" s="642"/>
      <c r="BO570" s="642"/>
      <c r="BP570" s="642"/>
      <c r="BQ570" s="642"/>
      <c r="BR570" s="642"/>
      <c r="BS570" s="642"/>
      <c r="BT570" s="642"/>
      <c r="BU570" s="642"/>
      <c r="BV570" s="642"/>
      <c r="BW570" s="24"/>
      <c r="BX570" s="24"/>
      <c r="BY570" s="24"/>
      <c r="BZ570" s="643"/>
      <c r="CA570" s="643"/>
      <c r="CB570" s="643"/>
      <c r="CC570" s="643"/>
      <c r="CD570" s="643"/>
      <c r="CE570" s="643"/>
      <c r="CF570" s="643"/>
      <c r="CG570" s="643"/>
      <c r="CH570" s="643"/>
      <c r="CI570" s="643"/>
      <c r="CJ570" s="643"/>
      <c r="CK570" s="643"/>
      <c r="CL570" s="643"/>
      <c r="CM570" s="643"/>
      <c r="CN570" s="643"/>
      <c r="CO570" s="643"/>
      <c r="CP570" s="643"/>
      <c r="CQ570" s="643"/>
      <c r="CR570" s="643"/>
      <c r="CS570" s="636" t="s">
        <v>2451</v>
      </c>
      <c r="CT570" s="643"/>
      <c r="CU570" s="643"/>
      <c r="CV570" s="643"/>
      <c r="CW570" s="643"/>
      <c r="CX570" s="643"/>
      <c r="CY570" s="643"/>
      <c r="CZ570" s="643"/>
      <c r="DA570" s="643"/>
      <c r="DB570" s="643"/>
      <c r="DC570" s="643"/>
      <c r="DD570" s="643"/>
      <c r="DE570" s="643"/>
    </row>
    <row r="571" spans="34:109" ht="15" hidden="1" customHeight="1">
      <c r="AH571" s="628"/>
      <c r="AI571" s="628"/>
      <c r="AJ571" s="628"/>
      <c r="AK571" s="628"/>
      <c r="AL571" s="630" t="str">
        <f t="shared" si="16"/>
        <v/>
      </c>
      <c r="AM571" s="630" t="str">
        <f t="shared" si="17"/>
        <v/>
      </c>
      <c r="AO571" s="24"/>
      <c r="AP571" s="628">
        <v>569</v>
      </c>
      <c r="AQ571" s="642"/>
      <c r="AR571" s="642"/>
      <c r="AS571" s="642"/>
      <c r="AT571" s="642"/>
      <c r="AU571" s="642"/>
      <c r="AV571" s="642"/>
      <c r="AW571" s="642"/>
      <c r="AX571" s="642"/>
      <c r="AY571" s="642"/>
      <c r="AZ571" s="642"/>
      <c r="BA571" s="642"/>
      <c r="BB571" s="642"/>
      <c r="BC571" s="642"/>
      <c r="BD571" s="642"/>
      <c r="BE571" s="642"/>
      <c r="BF571" s="642"/>
      <c r="BG571" s="642"/>
      <c r="BH571" s="642"/>
      <c r="BI571" s="642"/>
      <c r="BJ571" s="634">
        <v>20568</v>
      </c>
      <c r="BK571" s="642"/>
      <c r="BL571" s="642"/>
      <c r="BM571" s="642"/>
      <c r="BN571" s="642"/>
      <c r="BO571" s="642"/>
      <c r="BP571" s="642"/>
      <c r="BQ571" s="642"/>
      <c r="BR571" s="642"/>
      <c r="BS571" s="642"/>
      <c r="BT571" s="642"/>
      <c r="BU571" s="642"/>
      <c r="BV571" s="642"/>
      <c r="BW571" s="24"/>
      <c r="BX571" s="24"/>
      <c r="BY571" s="24"/>
      <c r="BZ571" s="643"/>
      <c r="CA571" s="643"/>
      <c r="CB571" s="643"/>
      <c r="CC571" s="643"/>
      <c r="CD571" s="643"/>
      <c r="CE571" s="643"/>
      <c r="CF571" s="643"/>
      <c r="CG571" s="643"/>
      <c r="CH571" s="643"/>
      <c r="CI571" s="643"/>
      <c r="CJ571" s="643"/>
      <c r="CK571" s="643"/>
      <c r="CL571" s="643"/>
      <c r="CM571" s="643"/>
      <c r="CN571" s="643"/>
      <c r="CO571" s="643"/>
      <c r="CP571" s="643"/>
      <c r="CQ571" s="643"/>
      <c r="CR571" s="643"/>
      <c r="CS571" s="636" t="s">
        <v>2452</v>
      </c>
      <c r="CT571" s="643"/>
      <c r="CU571" s="643"/>
      <c r="CV571" s="643"/>
      <c r="CW571" s="643"/>
      <c r="CX571" s="643"/>
      <c r="CY571" s="643"/>
      <c r="CZ571" s="643"/>
      <c r="DA571" s="643"/>
      <c r="DB571" s="643"/>
      <c r="DC571" s="643"/>
      <c r="DD571" s="643"/>
      <c r="DE571" s="643"/>
    </row>
    <row r="572" spans="34:109" ht="15" hidden="1" customHeight="1">
      <c r="AH572" s="628"/>
      <c r="AI572" s="628"/>
      <c r="AJ572" s="628"/>
      <c r="AK572" s="628"/>
      <c r="AL572" s="630" t="str">
        <f t="shared" si="16"/>
        <v/>
      </c>
      <c r="AM572" s="630" t="str">
        <f t="shared" si="17"/>
        <v/>
      </c>
      <c r="AO572" s="24"/>
      <c r="AP572" s="628">
        <v>570</v>
      </c>
      <c r="AQ572" s="642"/>
      <c r="AR572" s="642"/>
      <c r="AS572" s="642"/>
      <c r="AT572" s="642"/>
      <c r="AU572" s="642"/>
      <c r="AV572" s="642"/>
      <c r="AW572" s="642"/>
      <c r="AX572" s="642"/>
      <c r="AY572" s="642"/>
      <c r="AZ572" s="642"/>
      <c r="BA572" s="642"/>
      <c r="BB572" s="642"/>
      <c r="BC572" s="642"/>
      <c r="BD572" s="642"/>
      <c r="BE572" s="642"/>
      <c r="BF572" s="642"/>
      <c r="BG572" s="642"/>
      <c r="BH572" s="642"/>
      <c r="BI572" s="642"/>
      <c r="BJ572" s="634">
        <v>20569</v>
      </c>
      <c r="BK572" s="642"/>
      <c r="BL572" s="642"/>
      <c r="BM572" s="642"/>
      <c r="BN572" s="642"/>
      <c r="BO572" s="642"/>
      <c r="BP572" s="642"/>
      <c r="BQ572" s="642"/>
      <c r="BR572" s="642"/>
      <c r="BS572" s="642"/>
      <c r="BT572" s="642"/>
      <c r="BU572" s="642"/>
      <c r="BV572" s="642"/>
      <c r="BW572" s="24"/>
      <c r="BX572" s="24"/>
      <c r="BY572" s="24"/>
      <c r="BZ572" s="643"/>
      <c r="CA572" s="643"/>
      <c r="CB572" s="643"/>
      <c r="CC572" s="643"/>
      <c r="CD572" s="643"/>
      <c r="CE572" s="643"/>
      <c r="CF572" s="643"/>
      <c r="CG572" s="643"/>
      <c r="CH572" s="643"/>
      <c r="CI572" s="643"/>
      <c r="CJ572" s="643"/>
      <c r="CK572" s="643"/>
      <c r="CL572" s="643"/>
      <c r="CM572" s="643"/>
      <c r="CN572" s="643"/>
      <c r="CO572" s="643"/>
      <c r="CP572" s="643"/>
      <c r="CQ572" s="643"/>
      <c r="CR572" s="643"/>
      <c r="CS572" s="636" t="s">
        <v>2453</v>
      </c>
      <c r="CT572" s="643"/>
      <c r="CU572" s="643"/>
      <c r="CV572" s="643"/>
      <c r="CW572" s="643"/>
      <c r="CX572" s="643"/>
      <c r="CY572" s="643"/>
      <c r="CZ572" s="643"/>
      <c r="DA572" s="643"/>
      <c r="DB572" s="643"/>
      <c r="DC572" s="643"/>
      <c r="DD572" s="643"/>
      <c r="DE572" s="643"/>
    </row>
    <row r="573" spans="34:109" ht="15" hidden="1" customHeight="1">
      <c r="AL573" s="630" t="str">
        <f t="shared" si="16"/>
        <v/>
      </c>
      <c r="AM573" s="630" t="str">
        <f t="shared" si="17"/>
        <v/>
      </c>
      <c r="AO573" s="24"/>
      <c r="AP573" s="628">
        <v>571</v>
      </c>
      <c r="AQ573" s="642"/>
      <c r="AR573" s="642"/>
      <c r="AS573" s="642"/>
      <c r="AT573" s="642"/>
      <c r="AU573" s="642"/>
      <c r="AV573" s="642"/>
      <c r="AW573" s="642"/>
      <c r="AX573" s="642"/>
      <c r="AY573" s="642"/>
      <c r="AZ573" s="642"/>
      <c r="BA573" s="642"/>
      <c r="BB573" s="642"/>
      <c r="BC573" s="642"/>
      <c r="BD573" s="642"/>
      <c r="BE573" s="642"/>
      <c r="BF573" s="642"/>
      <c r="BG573" s="642"/>
      <c r="BH573" s="642"/>
      <c r="BI573" s="642"/>
      <c r="BJ573" s="634">
        <v>20570</v>
      </c>
      <c r="BK573" s="642"/>
      <c r="BL573" s="642"/>
      <c r="BM573" s="642"/>
      <c r="BN573" s="642"/>
      <c r="BO573" s="642"/>
      <c r="BP573" s="642"/>
      <c r="BQ573" s="642"/>
      <c r="BR573" s="642"/>
      <c r="BS573" s="642"/>
      <c r="BT573" s="642"/>
      <c r="BU573" s="642"/>
      <c r="BV573" s="642"/>
      <c r="BW573" s="24"/>
      <c r="BX573" s="24"/>
      <c r="BY573" s="24"/>
      <c r="BZ573" s="643"/>
      <c r="CA573" s="643"/>
      <c r="CB573" s="643"/>
      <c r="CC573" s="643"/>
      <c r="CD573" s="643"/>
      <c r="CE573" s="643"/>
      <c r="CF573" s="643"/>
      <c r="CG573" s="643"/>
      <c r="CH573" s="643"/>
      <c r="CI573" s="643"/>
      <c r="CJ573" s="643"/>
      <c r="CK573" s="643"/>
      <c r="CL573" s="643"/>
      <c r="CM573" s="643"/>
      <c r="CN573" s="643"/>
      <c r="CO573" s="643"/>
      <c r="CP573" s="643"/>
      <c r="CQ573" s="643"/>
      <c r="CR573" s="643"/>
      <c r="CS573" s="636" t="s">
        <v>2454</v>
      </c>
      <c r="CT573" s="643"/>
      <c r="CU573" s="643"/>
      <c r="CV573" s="643"/>
      <c r="CW573" s="643"/>
      <c r="CX573" s="643"/>
      <c r="CY573" s="643"/>
      <c r="CZ573" s="643"/>
      <c r="DA573" s="643"/>
      <c r="DB573" s="643"/>
      <c r="DC573" s="643"/>
      <c r="DD573" s="643"/>
      <c r="DE573" s="643"/>
    </row>
    <row r="574" spans="34:109" ht="15" hidden="1" customHeight="1">
      <c r="AL574" s="653" t="str">
        <f t="shared" si="16"/>
        <v/>
      </c>
      <c r="AM574" s="653" t="str">
        <f t="shared" si="17"/>
        <v/>
      </c>
      <c r="AO574" s="24"/>
      <c r="AP574" s="628">
        <v>572</v>
      </c>
      <c r="AQ574" s="642"/>
      <c r="AR574" s="642"/>
      <c r="AS574" s="642"/>
      <c r="AT574" s="642"/>
      <c r="AU574" s="642"/>
      <c r="AV574" s="642"/>
      <c r="AW574" s="642"/>
      <c r="AX574" s="642"/>
      <c r="AY574" s="642"/>
      <c r="AZ574" s="642"/>
      <c r="BA574" s="642"/>
      <c r="BB574" s="642"/>
      <c r="BC574" s="642"/>
      <c r="BD574" s="642"/>
      <c r="BE574" s="642"/>
      <c r="BF574" s="642"/>
      <c r="BG574" s="642"/>
      <c r="BH574" s="642"/>
      <c r="BI574" s="642"/>
      <c r="BJ574" s="642">
        <v>20999</v>
      </c>
      <c r="BK574" s="642"/>
      <c r="BL574" s="642"/>
      <c r="BM574" s="642"/>
      <c r="BN574" s="642"/>
      <c r="BO574" s="642"/>
      <c r="BP574" s="642"/>
      <c r="BQ574" s="642"/>
      <c r="BR574" s="642"/>
      <c r="BS574" s="642"/>
      <c r="BT574" s="642"/>
      <c r="BU574" s="642"/>
      <c r="BV574" s="642"/>
      <c r="BW574" s="24"/>
      <c r="BX574" s="24"/>
      <c r="BY574" s="24"/>
      <c r="BZ574" s="643"/>
      <c r="CA574" s="643"/>
      <c r="CB574" s="643"/>
      <c r="CC574" s="643"/>
      <c r="CD574" s="643"/>
      <c r="CE574" s="643"/>
      <c r="CF574" s="643"/>
      <c r="CG574" s="643"/>
      <c r="CH574" s="643"/>
      <c r="CI574" s="643"/>
      <c r="CJ574" s="643"/>
      <c r="CK574" s="643"/>
      <c r="CL574" s="643"/>
      <c r="CM574" s="643"/>
      <c r="CN574" s="643"/>
      <c r="CO574" s="643"/>
      <c r="CP574" s="643"/>
      <c r="CQ574" s="643"/>
      <c r="CR574" s="643"/>
      <c r="CS574" s="636" t="s">
        <v>201</v>
      </c>
      <c r="CT574" s="643"/>
      <c r="CU574" s="643"/>
      <c r="CV574" s="643"/>
      <c r="CW574" s="643"/>
      <c r="CX574" s="643"/>
      <c r="CY574" s="643"/>
      <c r="CZ574" s="643"/>
      <c r="DA574" s="643"/>
      <c r="DB574" s="643"/>
      <c r="DC574" s="643"/>
      <c r="DD574" s="643"/>
      <c r="DE574" s="643"/>
    </row>
  </sheetData>
  <sheetProtection algorithmName="SHA-512" hashValue="BMVVzJ5Ls4CQwzHujIPvlEv3TWshDCmJ8Pa69Jz6wXqxtKt0Szgz1U/NS2hsN4XZATS1+r2jghkx3yNP0D9gGg==" saltValue="LZhNWuXToZkFSO8RmqTJfg==" spinCount="100000" sheet="1" objects="1" scenarios="1"/>
  <mergeCells count="66">
    <mergeCell ref="C71:AC71"/>
    <mergeCell ref="C73:AC73"/>
    <mergeCell ref="C75:AC75"/>
    <mergeCell ref="G113:AC113"/>
    <mergeCell ref="K114:AC114"/>
    <mergeCell ref="F92:J92"/>
    <mergeCell ref="K92:Z92"/>
    <mergeCell ref="F93:J93"/>
    <mergeCell ref="K93:Z93"/>
    <mergeCell ref="C95:AC95"/>
    <mergeCell ref="C79:AC79"/>
    <mergeCell ref="C81:AC81"/>
    <mergeCell ref="C83:AC83"/>
    <mergeCell ref="C85:AC85"/>
    <mergeCell ref="C87:AC87"/>
    <mergeCell ref="F89:J89"/>
    <mergeCell ref="G115:AC115"/>
    <mergeCell ref="I116:AC116"/>
    <mergeCell ref="G117:Q117"/>
    <mergeCell ref="U117:AC117"/>
    <mergeCell ref="D99:AC99"/>
    <mergeCell ref="D103:AC103"/>
    <mergeCell ref="H105:AC105"/>
    <mergeCell ref="H107:AC107"/>
    <mergeCell ref="C111:AC111"/>
    <mergeCell ref="K89:Z89"/>
    <mergeCell ref="F90:J90"/>
    <mergeCell ref="K90:Z90"/>
    <mergeCell ref="F91:J91"/>
    <mergeCell ref="K91:Z91"/>
    <mergeCell ref="D61:AC61"/>
    <mergeCell ref="C63:AC63"/>
    <mergeCell ref="C67:AC67"/>
    <mergeCell ref="D69:AC69"/>
    <mergeCell ref="C65:AC65"/>
    <mergeCell ref="C51:AC51"/>
    <mergeCell ref="D53:AC53"/>
    <mergeCell ref="D55:AC55"/>
    <mergeCell ref="D57:AC57"/>
    <mergeCell ref="D59:AC59"/>
    <mergeCell ref="C41:AC41"/>
    <mergeCell ref="C43:AC43"/>
    <mergeCell ref="C45:AC45"/>
    <mergeCell ref="C47:AC47"/>
    <mergeCell ref="D49:AC49"/>
    <mergeCell ref="C31:AC31"/>
    <mergeCell ref="C33:AC33"/>
    <mergeCell ref="C35:AC35"/>
    <mergeCell ref="D37:AC37"/>
    <mergeCell ref="C39:AC39"/>
    <mergeCell ref="C21:AC21"/>
    <mergeCell ref="D23:AC23"/>
    <mergeCell ref="C25:AC25"/>
    <mergeCell ref="C27:AC27"/>
    <mergeCell ref="C29:AC29"/>
    <mergeCell ref="C11:K11"/>
    <mergeCell ref="O11:AC11"/>
    <mergeCell ref="C14:AC14"/>
    <mergeCell ref="C17:AC17"/>
    <mergeCell ref="C19:AC19"/>
    <mergeCell ref="B1:AD1"/>
    <mergeCell ref="B3:AD3"/>
    <mergeCell ref="B5:AD5"/>
    <mergeCell ref="AA7:AD7"/>
    <mergeCell ref="B8:L8"/>
    <mergeCell ref="N8:O8"/>
  </mergeCells>
  <dataValidations count="1">
    <dataValidation type="list" allowBlank="1" showInputMessage="1" showErrorMessage="1" sqref="B8:L8" xr:uid="{BF460449-0F08-4B2D-8360-FAA6A058D46F}">
      <formula1>$AH$3:$AH$35</formula1>
    </dataValidation>
  </dataValidations>
  <hyperlinks>
    <hyperlink ref="AA7:AD7" location="Índice!B9" display="Índice" xr:uid="{1BEBE45D-89DF-4AD8-B2F3-21C1E8C246C7}"/>
    <hyperlink ref="I116" r:id="rId1" xr:uid="{E0E60A35-413C-47E7-AB6D-1D2E0FB8AF78}"/>
  </hyperlinks>
  <printOptions horizontalCentered="1"/>
  <pageMargins left="0.70866141732283472" right="0.70866141732283472" top="0.74803149606299213" bottom="0.74803149606299213" header="0.31496062992125984" footer="0.31496062992125984"/>
  <pageSetup scale="75" orientation="portrait" r:id="rId2"/>
  <headerFooter>
    <oddHeader>&amp;CMódulo 2
Presentación</oddHeader>
    <oddFooter>&amp;LCenso Nacional de Sistemas Penitenciarios Estatales 2024&amp;R&amp;P de &amp;N</oddFooter>
  </headerFooter>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E2501-4F96-4082-905D-D8310C47E13C}">
  <dimension ref="A1:AT624"/>
  <sheetViews>
    <sheetView showGridLines="0" zoomScaleNormal="100" workbookViewId="0">
      <selection activeCell="B3" sqref="B3:AD3"/>
    </sheetView>
  </sheetViews>
  <sheetFormatPr baseColWidth="10" defaultColWidth="0" defaultRowHeight="0" customHeight="1" zeroHeight="1"/>
  <cols>
    <col min="1" max="1" width="5.7109375" style="3" customWidth="1"/>
    <col min="2" max="30" width="3.7109375" style="3" customWidth="1"/>
    <col min="31" max="31" width="5.7109375" style="3" customWidth="1"/>
    <col min="32" max="32" width="9.28515625" style="3" hidden="1" customWidth="1"/>
    <col min="33" max="34" width="11.85546875" style="3" hidden="1" customWidth="1"/>
    <col min="35" max="16384" width="9.28515625" style="3" hidden="1"/>
  </cols>
  <sheetData>
    <row r="1" spans="1:30" ht="173.25" customHeight="1">
      <c r="A1" s="91"/>
      <c r="B1" s="718" t="s">
        <v>0</v>
      </c>
      <c r="C1" s="719"/>
      <c r="D1" s="719"/>
      <c r="E1" s="719"/>
      <c r="F1" s="719"/>
      <c r="G1" s="719"/>
      <c r="H1" s="719"/>
      <c r="I1" s="719"/>
      <c r="J1" s="719"/>
      <c r="K1" s="719"/>
      <c r="L1" s="719"/>
      <c r="M1" s="719"/>
      <c r="N1" s="719"/>
      <c r="O1" s="719"/>
      <c r="P1" s="719"/>
      <c r="Q1" s="719"/>
      <c r="R1" s="719"/>
      <c r="S1" s="719"/>
      <c r="T1" s="719"/>
      <c r="U1" s="719"/>
      <c r="V1" s="719"/>
      <c r="W1" s="719"/>
      <c r="X1" s="719"/>
      <c r="Y1" s="719"/>
      <c r="Z1" s="719"/>
      <c r="AA1" s="719"/>
      <c r="AB1" s="719"/>
      <c r="AC1" s="719"/>
      <c r="AD1" s="719"/>
    </row>
    <row r="2" spans="1:30" ht="15" customHeight="1">
      <c r="A2" s="91"/>
    </row>
    <row r="3" spans="1:30" ht="45" customHeight="1">
      <c r="A3" s="91"/>
      <c r="B3" s="720" t="s">
        <v>1</v>
      </c>
      <c r="C3" s="721"/>
      <c r="D3" s="721"/>
      <c r="E3" s="721"/>
      <c r="F3" s="721"/>
      <c r="G3" s="721"/>
      <c r="H3" s="721"/>
      <c r="I3" s="721"/>
      <c r="J3" s="721"/>
      <c r="K3" s="721"/>
      <c r="L3" s="721"/>
      <c r="M3" s="721"/>
      <c r="N3" s="721"/>
      <c r="O3" s="721"/>
      <c r="P3" s="721"/>
      <c r="Q3" s="721"/>
      <c r="R3" s="721"/>
      <c r="S3" s="721"/>
      <c r="T3" s="721"/>
      <c r="U3" s="721"/>
      <c r="V3" s="721"/>
      <c r="W3" s="721"/>
      <c r="X3" s="721"/>
      <c r="Y3" s="721"/>
      <c r="Z3" s="721"/>
      <c r="AA3" s="721"/>
      <c r="AB3" s="721"/>
      <c r="AC3" s="721"/>
      <c r="AD3" s="721"/>
    </row>
    <row r="4" spans="1:30" ht="15" customHeight="1">
      <c r="A4" s="91"/>
    </row>
    <row r="5" spans="1:30" ht="45" customHeight="1">
      <c r="A5" s="91"/>
      <c r="B5" s="720" t="s">
        <v>38</v>
      </c>
      <c r="C5" s="721"/>
      <c r="D5" s="721"/>
      <c r="E5" s="721"/>
      <c r="F5" s="721"/>
      <c r="G5" s="721"/>
      <c r="H5" s="721"/>
      <c r="I5" s="721"/>
      <c r="J5" s="721"/>
      <c r="K5" s="721"/>
      <c r="L5" s="721"/>
      <c r="M5" s="721"/>
      <c r="N5" s="721"/>
      <c r="O5" s="721"/>
      <c r="P5" s="721"/>
      <c r="Q5" s="721"/>
      <c r="R5" s="721"/>
      <c r="S5" s="721"/>
      <c r="T5" s="721"/>
      <c r="U5" s="721"/>
      <c r="V5" s="721"/>
      <c r="W5" s="721"/>
      <c r="X5" s="721"/>
      <c r="Y5" s="721"/>
      <c r="Z5" s="721"/>
      <c r="AA5" s="721"/>
      <c r="AB5" s="721"/>
      <c r="AC5" s="721"/>
      <c r="AD5" s="721"/>
    </row>
    <row r="6" spans="1:30" ht="15" customHeight="1">
      <c r="A6" s="91"/>
    </row>
    <row r="7" spans="1:30" ht="15" customHeight="1" thickBot="1">
      <c r="A7" s="91"/>
      <c r="B7" s="23" t="s">
        <v>3</v>
      </c>
      <c r="N7" s="23" t="s">
        <v>4</v>
      </c>
      <c r="P7" s="24"/>
      <c r="Q7" s="24"/>
      <c r="R7" s="24"/>
      <c r="S7" s="24"/>
      <c r="T7" s="24"/>
      <c r="U7" s="24"/>
      <c r="V7" s="24"/>
      <c r="W7" s="24"/>
      <c r="X7" s="24"/>
      <c r="Y7" s="24"/>
      <c r="Z7" s="24"/>
      <c r="AA7" s="758" t="s">
        <v>2</v>
      </c>
      <c r="AB7" s="758"/>
      <c r="AC7" s="758"/>
      <c r="AD7" s="758"/>
    </row>
    <row r="8" spans="1:30" ht="15" customHeight="1" thickBot="1">
      <c r="A8" s="108"/>
      <c r="B8" s="722" t="str">
        <f>IF(Presentación!B8="","",Presentación!B8)</f>
        <v>Puebla</v>
      </c>
      <c r="C8" s="723"/>
      <c r="D8" s="723"/>
      <c r="E8" s="723"/>
      <c r="F8" s="723"/>
      <c r="G8" s="723"/>
      <c r="H8" s="723"/>
      <c r="I8" s="723"/>
      <c r="J8" s="723"/>
      <c r="K8" s="723"/>
      <c r="L8" s="724"/>
      <c r="M8" s="25"/>
      <c r="N8" s="722">
        <f>IF(Presentación!N8="","",Presentación!N8)</f>
        <v>221</v>
      </c>
      <c r="O8" s="724"/>
      <c r="P8" s="107"/>
      <c r="Q8" s="107"/>
      <c r="R8" s="107"/>
      <c r="S8" s="109"/>
      <c r="T8" s="107"/>
      <c r="U8" s="107"/>
      <c r="V8" s="107"/>
      <c r="W8" s="107"/>
      <c r="X8" s="107"/>
      <c r="Y8" s="107"/>
      <c r="Z8" s="107"/>
      <c r="AB8" s="20"/>
      <c r="AC8" s="20"/>
      <c r="AD8" s="20"/>
    </row>
    <row r="9" spans="1:30" ht="15" customHeight="1">
      <c r="A9" s="91"/>
      <c r="C9" s="24"/>
      <c r="D9" s="24"/>
      <c r="E9" s="24"/>
      <c r="F9" s="24"/>
      <c r="G9" s="24"/>
      <c r="H9" s="24"/>
      <c r="I9" s="24"/>
      <c r="J9" s="24"/>
      <c r="K9" s="24"/>
      <c r="L9" s="24"/>
      <c r="M9" s="24"/>
      <c r="N9" s="24"/>
      <c r="O9" s="24"/>
      <c r="P9" s="24"/>
      <c r="Q9" s="24"/>
      <c r="R9" s="24"/>
      <c r="S9" s="24"/>
      <c r="T9" s="24"/>
      <c r="U9" s="24"/>
      <c r="V9" s="24"/>
      <c r="W9" s="24"/>
      <c r="X9" s="24"/>
      <c r="Y9" s="24"/>
      <c r="Z9" s="24"/>
      <c r="AA9" s="24"/>
      <c r="AB9" s="24"/>
      <c r="AC9" s="24"/>
    </row>
    <row r="10" spans="1:30" ht="15">
      <c r="B10" s="892" t="s">
        <v>2552</v>
      </c>
      <c r="C10" s="893"/>
      <c r="D10" s="893"/>
      <c r="E10" s="893"/>
      <c r="F10" s="893"/>
      <c r="G10" s="893"/>
      <c r="H10" s="893"/>
      <c r="I10" s="893"/>
      <c r="J10" s="893"/>
      <c r="K10" s="893"/>
      <c r="L10" s="893"/>
      <c r="M10" s="893"/>
      <c r="N10" s="893"/>
      <c r="O10" s="893"/>
      <c r="P10" s="893"/>
      <c r="Q10" s="893"/>
      <c r="R10" s="893"/>
      <c r="S10" s="893"/>
      <c r="T10" s="893"/>
      <c r="U10" s="893"/>
      <c r="V10" s="893"/>
      <c r="W10" s="893"/>
      <c r="X10" s="893"/>
      <c r="Y10" s="893"/>
      <c r="Z10" s="893"/>
      <c r="AA10" s="893"/>
      <c r="AB10" s="893"/>
      <c r="AC10" s="893"/>
      <c r="AD10" s="894"/>
    </row>
    <row r="11" spans="1:30" ht="36" customHeight="1">
      <c r="B11" s="654"/>
      <c r="C11" s="754" t="s">
        <v>5773</v>
      </c>
      <c r="D11" s="754"/>
      <c r="E11" s="754"/>
      <c r="F11" s="754"/>
      <c r="G11" s="754"/>
      <c r="H11" s="754"/>
      <c r="I11" s="754"/>
      <c r="J11" s="754"/>
      <c r="K11" s="754"/>
      <c r="L11" s="754"/>
      <c r="M11" s="754"/>
      <c r="N11" s="754"/>
      <c r="O11" s="754"/>
      <c r="P11" s="754"/>
      <c r="Q11" s="754"/>
      <c r="R11" s="754"/>
      <c r="S11" s="754"/>
      <c r="T11" s="754"/>
      <c r="U11" s="754"/>
      <c r="V11" s="754"/>
      <c r="W11" s="754"/>
      <c r="X11" s="754"/>
      <c r="Y11" s="754"/>
      <c r="Z11" s="754"/>
      <c r="AA11" s="754"/>
      <c r="AB11" s="754"/>
      <c r="AC11" s="754"/>
      <c r="AD11" s="891"/>
    </row>
    <row r="12" spans="1:30" ht="24" customHeight="1">
      <c r="B12" s="654"/>
      <c r="C12" s="754" t="s">
        <v>6334</v>
      </c>
      <c r="D12" s="830"/>
      <c r="E12" s="830"/>
      <c r="F12" s="830"/>
      <c r="G12" s="830"/>
      <c r="H12" s="830"/>
      <c r="I12" s="830"/>
      <c r="J12" s="830"/>
      <c r="K12" s="830"/>
      <c r="L12" s="830"/>
      <c r="M12" s="830"/>
      <c r="N12" s="830"/>
      <c r="O12" s="830"/>
      <c r="P12" s="830"/>
      <c r="Q12" s="830"/>
      <c r="R12" s="830"/>
      <c r="S12" s="830"/>
      <c r="T12" s="830"/>
      <c r="U12" s="830"/>
      <c r="V12" s="830"/>
      <c r="W12" s="830"/>
      <c r="X12" s="830"/>
      <c r="Y12" s="830"/>
      <c r="Z12" s="830"/>
      <c r="AA12" s="830"/>
      <c r="AB12" s="830"/>
      <c r="AC12" s="830"/>
      <c r="AD12" s="895"/>
    </row>
    <row r="13" spans="1:30" ht="60" customHeight="1">
      <c r="A13" s="91"/>
      <c r="B13" s="654"/>
      <c r="C13" s="754" t="s">
        <v>2555</v>
      </c>
      <c r="D13" s="830"/>
      <c r="E13" s="830"/>
      <c r="F13" s="830"/>
      <c r="G13" s="830"/>
      <c r="H13" s="830"/>
      <c r="I13" s="830"/>
      <c r="J13" s="830"/>
      <c r="K13" s="830"/>
      <c r="L13" s="830"/>
      <c r="M13" s="830"/>
      <c r="N13" s="830"/>
      <c r="O13" s="830"/>
      <c r="P13" s="830"/>
      <c r="Q13" s="830"/>
      <c r="R13" s="830"/>
      <c r="S13" s="830"/>
      <c r="T13" s="830"/>
      <c r="U13" s="830"/>
      <c r="V13" s="830"/>
      <c r="W13" s="830"/>
      <c r="X13" s="830"/>
      <c r="Y13" s="830"/>
      <c r="Z13" s="830"/>
      <c r="AA13" s="830"/>
      <c r="AB13" s="830"/>
      <c r="AC13" s="830"/>
      <c r="AD13" s="895"/>
    </row>
    <row r="14" spans="1:30" ht="36" customHeight="1">
      <c r="A14" s="57"/>
      <c r="B14" s="111"/>
      <c r="C14" s="754" t="s">
        <v>6496</v>
      </c>
      <c r="D14" s="754"/>
      <c r="E14" s="754"/>
      <c r="F14" s="754"/>
      <c r="G14" s="754"/>
      <c r="H14" s="754"/>
      <c r="I14" s="754"/>
      <c r="J14" s="754"/>
      <c r="K14" s="754"/>
      <c r="L14" s="754"/>
      <c r="M14" s="754"/>
      <c r="N14" s="754"/>
      <c r="O14" s="754"/>
      <c r="P14" s="754"/>
      <c r="Q14" s="754"/>
      <c r="R14" s="754"/>
      <c r="S14" s="754"/>
      <c r="T14" s="754"/>
      <c r="U14" s="754"/>
      <c r="V14" s="754"/>
      <c r="W14" s="754"/>
      <c r="X14" s="754"/>
      <c r="Y14" s="754"/>
      <c r="Z14" s="754"/>
      <c r="AA14" s="754"/>
      <c r="AB14" s="754"/>
      <c r="AC14" s="754"/>
      <c r="AD14" s="755"/>
    </row>
    <row r="15" spans="1:30" ht="48" customHeight="1">
      <c r="A15" s="91"/>
      <c r="B15" s="654"/>
      <c r="C15" s="754" t="s">
        <v>5590</v>
      </c>
      <c r="D15" s="754"/>
      <c r="E15" s="754"/>
      <c r="F15" s="754"/>
      <c r="G15" s="754"/>
      <c r="H15" s="754"/>
      <c r="I15" s="754"/>
      <c r="J15" s="754"/>
      <c r="K15" s="754"/>
      <c r="L15" s="754"/>
      <c r="M15" s="754"/>
      <c r="N15" s="754"/>
      <c r="O15" s="754"/>
      <c r="P15" s="754"/>
      <c r="Q15" s="754"/>
      <c r="R15" s="754"/>
      <c r="S15" s="754"/>
      <c r="T15" s="754"/>
      <c r="U15" s="754"/>
      <c r="V15" s="754"/>
      <c r="W15" s="754"/>
      <c r="X15" s="754"/>
      <c r="Y15" s="754"/>
      <c r="Z15" s="754"/>
      <c r="AA15" s="754"/>
      <c r="AB15" s="754"/>
      <c r="AC15" s="754"/>
      <c r="AD15" s="755"/>
    </row>
    <row r="16" spans="1:30" ht="15" customHeight="1">
      <c r="B16" s="209"/>
      <c r="C16" s="855" t="s">
        <v>5591</v>
      </c>
      <c r="D16" s="1004"/>
      <c r="E16" s="1004"/>
      <c r="F16" s="1004"/>
      <c r="G16" s="1004"/>
      <c r="H16" s="1004"/>
      <c r="I16" s="1004"/>
      <c r="J16" s="1004"/>
      <c r="K16" s="1004"/>
      <c r="L16" s="1004"/>
      <c r="M16" s="1004"/>
      <c r="N16" s="1004"/>
      <c r="O16" s="1004"/>
      <c r="P16" s="1004"/>
      <c r="Q16" s="1004"/>
      <c r="R16" s="1004"/>
      <c r="S16" s="1004"/>
      <c r="T16" s="1004"/>
      <c r="U16" s="1004"/>
      <c r="V16" s="1004"/>
      <c r="W16" s="1004"/>
      <c r="X16" s="1004"/>
      <c r="Y16" s="1004"/>
      <c r="Z16" s="1004"/>
      <c r="AA16" s="1004"/>
      <c r="AB16" s="1004"/>
      <c r="AC16" s="1004"/>
      <c r="AD16" s="1005"/>
    </row>
    <row r="17" spans="1:33" ht="15">
      <c r="B17" s="838" t="s">
        <v>2561</v>
      </c>
      <c r="C17" s="839"/>
      <c r="D17" s="839"/>
      <c r="E17" s="839"/>
      <c r="F17" s="839"/>
      <c r="G17" s="839"/>
      <c r="H17" s="839"/>
      <c r="I17" s="839"/>
      <c r="J17" s="839"/>
      <c r="K17" s="839"/>
      <c r="L17" s="839"/>
      <c r="M17" s="839"/>
      <c r="N17" s="839"/>
      <c r="O17" s="839"/>
      <c r="P17" s="839"/>
      <c r="Q17" s="839"/>
      <c r="R17" s="839"/>
      <c r="S17" s="839"/>
      <c r="T17" s="839"/>
      <c r="U17" s="839"/>
      <c r="V17" s="839"/>
      <c r="W17" s="839"/>
      <c r="X17" s="839"/>
      <c r="Y17" s="839"/>
      <c r="Z17" s="839"/>
      <c r="AA17" s="839"/>
      <c r="AB17" s="839"/>
      <c r="AC17" s="839"/>
      <c r="AD17" s="840"/>
    </row>
    <row r="18" spans="1:33" ht="60" customHeight="1">
      <c r="B18" s="114"/>
      <c r="C18" s="764" t="s">
        <v>6497</v>
      </c>
      <c r="D18" s="876"/>
      <c r="E18" s="876"/>
      <c r="F18" s="876"/>
      <c r="G18" s="876"/>
      <c r="H18" s="876"/>
      <c r="I18" s="876"/>
      <c r="J18" s="876"/>
      <c r="K18" s="876"/>
      <c r="L18" s="876"/>
      <c r="M18" s="876"/>
      <c r="N18" s="876"/>
      <c r="O18" s="876"/>
      <c r="P18" s="876"/>
      <c r="Q18" s="876"/>
      <c r="R18" s="876"/>
      <c r="S18" s="876"/>
      <c r="T18" s="876"/>
      <c r="U18" s="876"/>
      <c r="V18" s="876"/>
      <c r="W18" s="876"/>
      <c r="X18" s="876"/>
      <c r="Y18" s="876"/>
      <c r="Z18" s="876"/>
      <c r="AA18" s="876"/>
      <c r="AB18" s="876"/>
      <c r="AC18" s="876"/>
      <c r="AD18" s="877"/>
    </row>
    <row r="19" spans="1:33" ht="15.75" thickBot="1">
      <c r="B19" s="141"/>
      <c r="C19" s="141"/>
      <c r="D19" s="141"/>
      <c r="E19" s="141"/>
      <c r="F19" s="141"/>
      <c r="G19" s="141"/>
      <c r="H19" s="141"/>
      <c r="I19" s="141"/>
      <c r="J19" s="141"/>
      <c r="K19" s="141"/>
      <c r="L19" s="141"/>
      <c r="M19" s="141"/>
      <c r="N19" s="141"/>
      <c r="O19" s="141"/>
      <c r="P19" s="141"/>
      <c r="Q19" s="141"/>
      <c r="R19" s="141"/>
      <c r="S19" s="141"/>
      <c r="T19" s="141"/>
      <c r="U19" s="141"/>
      <c r="V19" s="141"/>
      <c r="W19" s="141"/>
      <c r="X19" s="141"/>
      <c r="Y19" s="141"/>
      <c r="Z19" s="141"/>
      <c r="AA19" s="141"/>
      <c r="AB19" s="141"/>
      <c r="AC19" s="141"/>
      <c r="AD19" s="141"/>
    </row>
    <row r="20" spans="1:33" customFormat="1" ht="15" customHeight="1" thickBot="1">
      <c r="A20" s="19" t="s">
        <v>2563</v>
      </c>
      <c r="B20" s="1182" t="s">
        <v>6498</v>
      </c>
      <c r="C20" s="1183"/>
      <c r="D20" s="1183"/>
      <c r="E20" s="1183"/>
      <c r="F20" s="1183"/>
      <c r="G20" s="1183"/>
      <c r="H20" s="1183"/>
      <c r="I20" s="1183"/>
      <c r="J20" s="1183"/>
      <c r="K20" s="1183"/>
      <c r="L20" s="1183"/>
      <c r="M20" s="1183"/>
      <c r="N20" s="1183"/>
      <c r="O20" s="1183"/>
      <c r="P20" s="1183"/>
      <c r="Q20" s="1183"/>
      <c r="R20" s="1183"/>
      <c r="S20" s="1183"/>
      <c r="T20" s="1183"/>
      <c r="U20" s="1183"/>
      <c r="V20" s="1183"/>
      <c r="W20" s="1183"/>
      <c r="X20" s="1183"/>
      <c r="Y20" s="1183"/>
      <c r="Z20" s="1183"/>
      <c r="AA20" s="1183"/>
      <c r="AB20" s="1183"/>
      <c r="AC20" s="1183"/>
      <c r="AD20" s="1184"/>
      <c r="AE20" s="3"/>
    </row>
    <row r="21" spans="1:33" ht="15"/>
    <row r="22" spans="1:33" ht="24" customHeight="1">
      <c r="A22" s="49" t="s">
        <v>6499</v>
      </c>
      <c r="B22" s="960" t="s">
        <v>6500</v>
      </c>
      <c r="C22" s="960"/>
      <c r="D22" s="960"/>
      <c r="E22" s="960"/>
      <c r="F22" s="960"/>
      <c r="G22" s="960"/>
      <c r="H22" s="960"/>
      <c r="I22" s="960"/>
      <c r="J22" s="960"/>
      <c r="K22" s="960"/>
      <c r="L22" s="960"/>
      <c r="M22" s="960"/>
      <c r="N22" s="960"/>
      <c r="O22" s="960"/>
      <c r="P22" s="960"/>
      <c r="Q22" s="960"/>
      <c r="R22" s="960"/>
      <c r="S22" s="960"/>
      <c r="T22" s="960"/>
      <c r="U22" s="960"/>
      <c r="V22" s="960"/>
      <c r="W22" s="960"/>
      <c r="X22" s="960"/>
      <c r="Y22" s="960"/>
      <c r="Z22" s="960"/>
      <c r="AA22" s="960"/>
      <c r="AB22" s="960"/>
      <c r="AC22" s="960"/>
      <c r="AD22" s="960"/>
    </row>
    <row r="23" spans="1:33" ht="15" customHeight="1">
      <c r="A23" s="211"/>
      <c r="B23" s="57"/>
      <c r="C23" s="830" t="s">
        <v>3945</v>
      </c>
      <c r="D23" s="830"/>
      <c r="E23" s="830"/>
      <c r="F23" s="830"/>
      <c r="G23" s="830"/>
      <c r="H23" s="830"/>
      <c r="I23" s="830"/>
      <c r="J23" s="830"/>
      <c r="K23" s="830"/>
      <c r="L23" s="830"/>
      <c r="M23" s="830"/>
      <c r="N23" s="830"/>
      <c r="O23" s="830"/>
      <c r="P23" s="830"/>
      <c r="Q23" s="830"/>
      <c r="R23" s="830"/>
      <c r="S23" s="830"/>
      <c r="T23" s="830"/>
      <c r="U23" s="830"/>
      <c r="V23" s="830"/>
      <c r="W23" s="830"/>
      <c r="X23" s="830"/>
      <c r="Y23" s="830"/>
      <c r="Z23" s="830"/>
      <c r="AA23" s="830"/>
      <c r="AB23" s="830"/>
      <c r="AC23" s="830"/>
      <c r="AD23" s="830"/>
    </row>
    <row r="24" spans="1:33" ht="15" customHeight="1" thickBot="1">
      <c r="A24" s="211"/>
      <c r="B24" s="57"/>
      <c r="C24" s="57"/>
      <c r="D24" s="57"/>
      <c r="E24" s="57"/>
      <c r="F24" s="57"/>
      <c r="G24" s="57"/>
      <c r="H24" s="57"/>
      <c r="I24" s="57"/>
      <c r="J24" s="57"/>
      <c r="K24" s="57"/>
      <c r="L24" s="57"/>
      <c r="M24" s="57"/>
      <c r="N24" s="57"/>
      <c r="O24" s="57"/>
      <c r="P24" s="57"/>
      <c r="Q24" s="57"/>
      <c r="R24" s="57"/>
      <c r="S24" s="57"/>
      <c r="T24" s="57"/>
      <c r="U24" s="57"/>
      <c r="V24" s="57"/>
      <c r="W24" s="57"/>
      <c r="X24" s="57"/>
      <c r="Y24" s="57"/>
      <c r="Z24" s="57"/>
      <c r="AA24" s="57"/>
      <c r="AB24" s="57"/>
      <c r="AC24" s="57"/>
      <c r="AD24" s="57"/>
      <c r="AG24" s="499" t="s">
        <v>3947</v>
      </c>
    </row>
    <row r="25" spans="1:33" ht="15" customHeight="1" thickBot="1">
      <c r="A25" s="211"/>
      <c r="B25" s="57"/>
      <c r="C25" s="137"/>
      <c r="D25" s="54" t="s">
        <v>4017</v>
      </c>
      <c r="E25" s="57"/>
      <c r="F25" s="57"/>
      <c r="G25" s="57"/>
      <c r="H25" s="57"/>
      <c r="I25" s="137"/>
      <c r="J25" s="54" t="s">
        <v>6501</v>
      </c>
      <c r="K25" s="57"/>
      <c r="L25" s="57"/>
      <c r="M25" s="57"/>
      <c r="N25" s="57"/>
      <c r="O25" s="57"/>
      <c r="P25" s="57"/>
      <c r="Q25" s="57"/>
      <c r="R25" s="57"/>
      <c r="S25" s="57"/>
      <c r="T25" s="137"/>
      <c r="U25" s="54" t="s">
        <v>6502</v>
      </c>
      <c r="V25" s="57"/>
      <c r="W25" s="57"/>
      <c r="X25" s="57"/>
      <c r="Y25" s="57"/>
      <c r="Z25" s="57"/>
      <c r="AA25" s="57"/>
      <c r="AB25" s="57"/>
      <c r="AC25" s="57"/>
      <c r="AD25" s="57"/>
      <c r="AG25">
        <f>IF(COUNTA(C25,I25,T25)=0,0,IF(COUNTA(C25,I25,T25)=1,0,1))</f>
        <v>0</v>
      </c>
    </row>
    <row r="26" spans="1:33" ht="15">
      <c r="A26" s="211"/>
      <c r="B26" s="57"/>
      <c r="C26" s="57"/>
      <c r="D26" s="57"/>
      <c r="E26" s="57"/>
      <c r="F26" s="57"/>
      <c r="G26" s="57"/>
      <c r="H26" s="57"/>
      <c r="I26" s="57"/>
      <c r="J26" s="57"/>
      <c r="K26" s="57"/>
      <c r="L26" s="57"/>
      <c r="M26" s="57"/>
      <c r="N26" s="57"/>
      <c r="O26" s="57"/>
      <c r="P26" s="57"/>
      <c r="Q26" s="57"/>
      <c r="R26" s="57"/>
      <c r="S26" s="57"/>
      <c r="T26" s="57"/>
      <c r="U26" s="57"/>
      <c r="V26" s="57"/>
      <c r="W26" s="57"/>
      <c r="X26" s="57"/>
      <c r="Y26" s="57"/>
      <c r="Z26" s="57"/>
      <c r="AA26" s="57"/>
      <c r="AB26" s="57"/>
      <c r="AC26" s="57"/>
      <c r="AD26" s="57"/>
    </row>
    <row r="27" spans="1:33" ht="24" customHeight="1">
      <c r="A27" s="211"/>
      <c r="B27" s="57"/>
      <c r="C27" s="754" t="s">
        <v>2611</v>
      </c>
      <c r="D27" s="754"/>
      <c r="E27" s="754"/>
      <c r="F27" s="754"/>
      <c r="G27" s="754"/>
      <c r="H27" s="754"/>
      <c r="I27" s="754"/>
      <c r="J27" s="754"/>
      <c r="K27" s="754"/>
      <c r="L27" s="754"/>
      <c r="M27" s="754"/>
      <c r="N27" s="754"/>
      <c r="O27" s="754"/>
      <c r="P27" s="754"/>
      <c r="Q27" s="754"/>
      <c r="R27" s="754"/>
      <c r="S27" s="754"/>
      <c r="T27" s="754"/>
      <c r="U27" s="754"/>
      <c r="V27" s="754"/>
      <c r="W27" s="754"/>
      <c r="X27" s="754"/>
      <c r="Y27" s="754"/>
      <c r="Z27" s="754"/>
      <c r="AA27" s="754"/>
      <c r="AB27" s="754"/>
      <c r="AC27" s="754"/>
      <c r="AD27" s="754"/>
    </row>
    <row r="28" spans="1:33" ht="60" customHeight="1">
      <c r="A28" s="211"/>
      <c r="B28" s="57"/>
      <c r="C28" s="851"/>
      <c r="D28" s="851"/>
      <c r="E28" s="851"/>
      <c r="F28" s="851"/>
      <c r="G28" s="851"/>
      <c r="H28" s="851"/>
      <c r="I28" s="851"/>
      <c r="J28" s="851"/>
      <c r="K28" s="851"/>
      <c r="L28" s="851"/>
      <c r="M28" s="851"/>
      <c r="N28" s="851"/>
      <c r="O28" s="851"/>
      <c r="P28" s="851"/>
      <c r="Q28" s="851"/>
      <c r="R28" s="851"/>
      <c r="S28" s="851"/>
      <c r="T28" s="851"/>
      <c r="U28" s="851"/>
      <c r="V28" s="851"/>
      <c r="W28" s="851"/>
      <c r="X28" s="851"/>
      <c r="Y28" s="851"/>
      <c r="Z28" s="851"/>
      <c r="AA28" s="851"/>
      <c r="AB28" s="851"/>
      <c r="AC28" s="851"/>
      <c r="AD28" s="851"/>
    </row>
    <row r="29" spans="1:33" ht="15">
      <c r="A29" s="211"/>
      <c r="B29" s="794" t="str">
        <f>IF(AG25&gt;0,"Favor de seleccionar solo un código","")</f>
        <v/>
      </c>
      <c r="C29" s="794"/>
      <c r="D29" s="794"/>
      <c r="E29" s="794"/>
      <c r="F29" s="794"/>
      <c r="G29" s="794"/>
      <c r="H29" s="794"/>
      <c r="I29" s="794"/>
      <c r="J29" s="794"/>
      <c r="K29" s="794"/>
      <c r="L29" s="794"/>
      <c r="M29" s="794"/>
      <c r="N29" s="794"/>
      <c r="O29" s="794"/>
      <c r="P29" s="794"/>
      <c r="Q29" s="794"/>
      <c r="R29" s="794"/>
      <c r="S29" s="794"/>
      <c r="T29" s="794"/>
      <c r="U29" s="794"/>
      <c r="V29" s="794"/>
      <c r="W29" s="794"/>
      <c r="X29" s="794"/>
      <c r="Y29" s="794"/>
      <c r="Z29" s="794"/>
      <c r="AA29" s="794"/>
      <c r="AB29" s="794"/>
      <c r="AC29" s="794"/>
      <c r="AD29" s="794"/>
    </row>
    <row r="30" spans="1:33" ht="15">
      <c r="A30" s="211"/>
      <c r="B30" s="57"/>
      <c r="C30" s="139"/>
      <c r="D30" s="139"/>
      <c r="E30" s="139"/>
      <c r="F30" s="139"/>
      <c r="G30" s="139"/>
      <c r="H30" s="139"/>
      <c r="I30" s="139"/>
      <c r="J30" s="139"/>
      <c r="K30" s="139"/>
      <c r="L30" s="139"/>
      <c r="M30" s="139"/>
      <c r="N30" s="139"/>
      <c r="O30" s="139"/>
      <c r="P30" s="139"/>
      <c r="Q30" s="139"/>
      <c r="R30" s="139"/>
      <c r="S30" s="139"/>
      <c r="T30" s="139"/>
      <c r="U30" s="139"/>
      <c r="V30" s="139"/>
      <c r="W30" s="139"/>
      <c r="X30" s="139"/>
      <c r="Y30" s="139"/>
      <c r="Z30" s="139"/>
      <c r="AA30" s="139"/>
      <c r="AB30" s="139"/>
      <c r="AC30" s="139"/>
      <c r="AD30" s="139"/>
    </row>
    <row r="31" spans="1:33" ht="15">
      <c r="A31" s="211"/>
      <c r="B31" s="57"/>
      <c r="C31" s="139"/>
      <c r="D31" s="139"/>
      <c r="E31" s="139"/>
      <c r="F31" s="139"/>
      <c r="G31" s="139"/>
      <c r="H31" s="139"/>
      <c r="I31" s="139"/>
      <c r="J31" s="139"/>
      <c r="K31" s="139"/>
      <c r="L31" s="139"/>
      <c r="M31" s="139"/>
      <c r="N31" s="139"/>
      <c r="O31" s="139"/>
      <c r="P31" s="139"/>
      <c r="Q31" s="139"/>
      <c r="R31" s="139"/>
      <c r="S31" s="139"/>
      <c r="T31" s="139"/>
      <c r="U31" s="139"/>
      <c r="V31" s="139"/>
      <c r="W31" s="139"/>
      <c r="X31" s="139"/>
      <c r="Y31" s="139"/>
      <c r="Z31" s="139"/>
      <c r="AA31" s="139"/>
      <c r="AB31" s="139"/>
      <c r="AC31" s="139"/>
      <c r="AD31" s="139"/>
    </row>
    <row r="32" spans="1:33" ht="15">
      <c r="A32" s="211"/>
      <c r="B32" s="57"/>
      <c r="C32" s="139"/>
      <c r="D32" s="139"/>
      <c r="E32" s="139"/>
      <c r="F32" s="139"/>
      <c r="G32" s="139"/>
      <c r="H32" s="139"/>
      <c r="I32" s="139"/>
      <c r="J32" s="139"/>
      <c r="K32" s="139"/>
      <c r="L32" s="139"/>
      <c r="M32" s="139"/>
      <c r="N32" s="139"/>
      <c r="O32" s="139"/>
      <c r="P32" s="139"/>
      <c r="Q32" s="139"/>
      <c r="R32" s="139"/>
      <c r="S32" s="139"/>
      <c r="T32" s="139"/>
      <c r="U32" s="139"/>
      <c r="V32" s="139"/>
      <c r="W32" s="139"/>
      <c r="X32" s="139"/>
      <c r="Y32" s="139"/>
      <c r="Z32" s="139"/>
      <c r="AA32" s="139"/>
      <c r="AB32" s="139"/>
      <c r="AC32" s="139"/>
      <c r="AD32" s="139"/>
    </row>
    <row r="33" spans="1:36" ht="15">
      <c r="A33" s="211"/>
      <c r="B33" s="57"/>
      <c r="C33" s="139"/>
      <c r="D33" s="139"/>
      <c r="E33" s="139"/>
      <c r="F33" s="139"/>
      <c r="G33" s="139"/>
      <c r="H33" s="139"/>
      <c r="I33" s="139"/>
      <c r="J33" s="139"/>
      <c r="K33" s="139"/>
      <c r="L33" s="139"/>
      <c r="M33" s="139"/>
      <c r="N33" s="139"/>
      <c r="O33" s="139"/>
      <c r="P33" s="139"/>
      <c r="Q33" s="139"/>
      <c r="R33" s="139"/>
      <c r="S33" s="139"/>
      <c r="T33" s="139"/>
      <c r="U33" s="139"/>
      <c r="V33" s="139"/>
      <c r="W33" s="139"/>
      <c r="X33" s="139"/>
      <c r="Y33" s="139"/>
      <c r="Z33" s="139"/>
      <c r="AA33" s="139"/>
      <c r="AB33" s="139"/>
      <c r="AC33" s="139"/>
      <c r="AD33" s="139"/>
    </row>
    <row r="34" spans="1:36" ht="15.75" thickBot="1">
      <c r="A34" s="211"/>
      <c r="B34" s="57"/>
      <c r="C34" s="139"/>
      <c r="D34" s="139"/>
      <c r="E34" s="139"/>
      <c r="F34" s="139"/>
      <c r="G34" s="139"/>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row>
    <row r="35" spans="1:36" customFormat="1" ht="15" customHeight="1" thickBot="1">
      <c r="A35" s="19" t="s">
        <v>2563</v>
      </c>
      <c r="B35" s="1182" t="s">
        <v>6503</v>
      </c>
      <c r="C35" s="1183"/>
      <c r="D35" s="1183"/>
      <c r="E35" s="1183"/>
      <c r="F35" s="1183"/>
      <c r="G35" s="1183"/>
      <c r="H35" s="1183"/>
      <c r="I35" s="1183"/>
      <c r="J35" s="1183"/>
      <c r="K35" s="1183"/>
      <c r="L35" s="1183"/>
      <c r="M35" s="1183"/>
      <c r="N35" s="1183"/>
      <c r="O35" s="1183"/>
      <c r="P35" s="1183"/>
      <c r="Q35" s="1183"/>
      <c r="R35" s="1183"/>
      <c r="S35" s="1183"/>
      <c r="T35" s="1183"/>
      <c r="U35" s="1183"/>
      <c r="V35" s="1183"/>
      <c r="W35" s="1183"/>
      <c r="X35" s="1183"/>
      <c r="Y35" s="1183"/>
      <c r="Z35" s="1183"/>
      <c r="AA35" s="1183"/>
      <c r="AB35" s="1183"/>
      <c r="AC35" s="1183"/>
      <c r="AD35" s="1184"/>
      <c r="AE35" s="3"/>
    </row>
    <row r="36" spans="1:36" ht="15">
      <c r="A36" s="211"/>
      <c r="B36" s="1006" t="s">
        <v>2948</v>
      </c>
      <c r="C36" s="893"/>
      <c r="D36" s="893"/>
      <c r="E36" s="893"/>
      <c r="F36" s="893"/>
      <c r="G36" s="893"/>
      <c r="H36" s="893"/>
      <c r="I36" s="893"/>
      <c r="J36" s="893"/>
      <c r="K36" s="893"/>
      <c r="L36" s="893"/>
      <c r="M36" s="893"/>
      <c r="N36" s="893"/>
      <c r="O36" s="893"/>
      <c r="P36" s="893"/>
      <c r="Q36" s="893"/>
      <c r="R36" s="893"/>
      <c r="S36" s="893"/>
      <c r="T36" s="893"/>
      <c r="U36" s="893"/>
      <c r="V36" s="893"/>
      <c r="W36" s="893"/>
      <c r="X36" s="893"/>
      <c r="Y36" s="893"/>
      <c r="Z36" s="893"/>
      <c r="AA36" s="893"/>
      <c r="AB36" s="893"/>
      <c r="AC36" s="893"/>
      <c r="AD36" s="1007"/>
    </row>
    <row r="37" spans="1:36" ht="24" customHeight="1">
      <c r="A37" s="103"/>
      <c r="B37" s="159"/>
      <c r="C37" s="764" t="s">
        <v>6504</v>
      </c>
      <c r="D37" s="764"/>
      <c r="E37" s="764"/>
      <c r="F37" s="764"/>
      <c r="G37" s="764"/>
      <c r="H37" s="764"/>
      <c r="I37" s="764"/>
      <c r="J37" s="764"/>
      <c r="K37" s="764"/>
      <c r="L37" s="764"/>
      <c r="M37" s="764"/>
      <c r="N37" s="764"/>
      <c r="O37" s="764"/>
      <c r="P37" s="764"/>
      <c r="Q37" s="764"/>
      <c r="R37" s="764"/>
      <c r="S37" s="764"/>
      <c r="T37" s="764"/>
      <c r="U37" s="764"/>
      <c r="V37" s="764"/>
      <c r="W37" s="764"/>
      <c r="X37" s="764"/>
      <c r="Y37" s="764"/>
      <c r="Z37" s="764"/>
      <c r="AA37" s="764"/>
      <c r="AB37" s="764"/>
      <c r="AC37" s="764"/>
      <c r="AD37" s="765"/>
    </row>
    <row r="38" spans="1:36" ht="15">
      <c r="A38" s="211"/>
      <c r="B38" s="838" t="s">
        <v>2565</v>
      </c>
      <c r="C38" s="839"/>
      <c r="D38" s="839"/>
      <c r="E38" s="839"/>
      <c r="F38" s="839"/>
      <c r="G38" s="839"/>
      <c r="H38" s="839"/>
      <c r="I38" s="839"/>
      <c r="J38" s="839"/>
      <c r="K38" s="839"/>
      <c r="L38" s="839"/>
      <c r="M38" s="839"/>
      <c r="N38" s="839"/>
      <c r="O38" s="839"/>
      <c r="P38" s="839"/>
      <c r="Q38" s="839"/>
      <c r="R38" s="839"/>
      <c r="S38" s="839"/>
      <c r="T38" s="839"/>
      <c r="U38" s="839"/>
      <c r="V38" s="839"/>
      <c r="W38" s="839"/>
      <c r="X38" s="839"/>
      <c r="Y38" s="839"/>
      <c r="Z38" s="839"/>
      <c r="AA38" s="839"/>
      <c r="AB38" s="839"/>
      <c r="AC38" s="839"/>
      <c r="AD38" s="840"/>
    </row>
    <row r="39" spans="1:36" ht="48" customHeight="1">
      <c r="A39" s="110"/>
      <c r="B39" s="74"/>
      <c r="C39" s="754" t="s">
        <v>6505</v>
      </c>
      <c r="D39" s="830"/>
      <c r="E39" s="830"/>
      <c r="F39" s="830"/>
      <c r="G39" s="830"/>
      <c r="H39" s="830"/>
      <c r="I39" s="830"/>
      <c r="J39" s="830"/>
      <c r="K39" s="830"/>
      <c r="L39" s="830"/>
      <c r="M39" s="830"/>
      <c r="N39" s="830"/>
      <c r="O39" s="830"/>
      <c r="P39" s="830"/>
      <c r="Q39" s="830"/>
      <c r="R39" s="830"/>
      <c r="S39" s="830"/>
      <c r="T39" s="830"/>
      <c r="U39" s="830"/>
      <c r="V39" s="830"/>
      <c r="W39" s="830"/>
      <c r="X39" s="830"/>
      <c r="Y39" s="830"/>
      <c r="Z39" s="830"/>
      <c r="AA39" s="830"/>
      <c r="AB39" s="830"/>
      <c r="AC39" s="830"/>
      <c r="AD39" s="886"/>
    </row>
    <row r="40" spans="1:36" ht="60" customHeight="1">
      <c r="A40" s="211"/>
      <c r="B40" s="114"/>
      <c r="C40" s="764" t="s">
        <v>6506</v>
      </c>
      <c r="D40" s="764"/>
      <c r="E40" s="764"/>
      <c r="F40" s="764"/>
      <c r="G40" s="764"/>
      <c r="H40" s="764"/>
      <c r="I40" s="764"/>
      <c r="J40" s="764"/>
      <c r="K40" s="764"/>
      <c r="L40" s="764"/>
      <c r="M40" s="764"/>
      <c r="N40" s="764"/>
      <c r="O40" s="764"/>
      <c r="P40" s="764"/>
      <c r="Q40" s="764"/>
      <c r="R40" s="764"/>
      <c r="S40" s="764"/>
      <c r="T40" s="764"/>
      <c r="U40" s="764"/>
      <c r="V40" s="764"/>
      <c r="W40" s="764"/>
      <c r="X40" s="764"/>
      <c r="Y40" s="764"/>
      <c r="Z40" s="764"/>
      <c r="AA40" s="764"/>
      <c r="AB40" s="764"/>
      <c r="AC40" s="764"/>
      <c r="AD40" s="765"/>
    </row>
    <row r="41" spans="1:36" ht="15">
      <c r="A41" s="211"/>
      <c r="B41" s="57"/>
      <c r="C41" s="139"/>
      <c r="D41" s="139"/>
      <c r="E41" s="139"/>
      <c r="F41" s="139"/>
      <c r="G41" s="139"/>
      <c r="H41" s="139"/>
      <c r="I41" s="139"/>
      <c r="J41" s="139"/>
      <c r="K41" s="139"/>
      <c r="L41" s="139"/>
      <c r="M41" s="139"/>
      <c r="N41" s="139"/>
      <c r="O41" s="139"/>
      <c r="P41" s="139"/>
      <c r="Q41" s="139"/>
      <c r="R41" s="139"/>
      <c r="S41" s="139"/>
      <c r="T41" s="139"/>
      <c r="U41" s="139"/>
      <c r="V41" s="139"/>
      <c r="W41" s="139"/>
      <c r="X41" s="139"/>
      <c r="Y41" s="139"/>
      <c r="Z41" s="139"/>
      <c r="AA41" s="139"/>
      <c r="AB41" s="139"/>
      <c r="AC41" s="139"/>
      <c r="AD41" s="139"/>
    </row>
    <row r="42" spans="1:36" ht="36" customHeight="1">
      <c r="A42" s="108" t="s">
        <v>6507</v>
      </c>
      <c r="B42" s="829" t="s">
        <v>6508</v>
      </c>
      <c r="C42" s="829"/>
      <c r="D42" s="829"/>
      <c r="E42" s="829"/>
      <c r="F42" s="829"/>
      <c r="G42" s="829"/>
      <c r="H42" s="829"/>
      <c r="I42" s="829"/>
      <c r="J42" s="829"/>
      <c r="K42" s="829"/>
      <c r="L42" s="829"/>
      <c r="M42" s="829"/>
      <c r="N42" s="829"/>
      <c r="O42" s="829"/>
      <c r="P42" s="829"/>
      <c r="Q42" s="829"/>
      <c r="R42" s="829"/>
      <c r="S42" s="829"/>
      <c r="T42" s="829"/>
      <c r="U42" s="829"/>
      <c r="V42" s="829"/>
      <c r="W42" s="829"/>
      <c r="X42" s="829"/>
      <c r="Y42" s="829"/>
      <c r="Z42" s="829"/>
      <c r="AA42" s="829"/>
      <c r="AB42" s="829"/>
      <c r="AC42" s="829"/>
      <c r="AD42" s="829"/>
    </row>
    <row r="43" spans="1:36" ht="36" customHeight="1">
      <c r="A43" s="49"/>
      <c r="B43" s="38"/>
      <c r="C43" s="830" t="s">
        <v>6509</v>
      </c>
      <c r="D43" s="830"/>
      <c r="E43" s="830"/>
      <c r="F43" s="830"/>
      <c r="G43" s="830"/>
      <c r="H43" s="830"/>
      <c r="I43" s="830"/>
      <c r="J43" s="830"/>
      <c r="K43" s="830"/>
      <c r="L43" s="830"/>
      <c r="M43" s="830"/>
      <c r="N43" s="830"/>
      <c r="O43" s="830"/>
      <c r="P43" s="830"/>
      <c r="Q43" s="830"/>
      <c r="R43" s="830"/>
      <c r="S43" s="830"/>
      <c r="T43" s="830"/>
      <c r="U43" s="830"/>
      <c r="V43" s="830"/>
      <c r="W43" s="830"/>
      <c r="X43" s="830"/>
      <c r="Y43" s="830"/>
      <c r="Z43" s="830"/>
      <c r="AA43" s="830"/>
      <c r="AB43" s="830"/>
      <c r="AC43" s="830"/>
      <c r="AD43" s="830"/>
    </row>
    <row r="44" spans="1:36" ht="36" customHeight="1">
      <c r="A44" s="89"/>
      <c r="B44" s="90"/>
      <c r="C44" s="754" t="s">
        <v>6510</v>
      </c>
      <c r="D44" s="754"/>
      <c r="E44" s="754"/>
      <c r="F44" s="754"/>
      <c r="G44" s="754"/>
      <c r="H44" s="754"/>
      <c r="I44" s="754"/>
      <c r="J44" s="754"/>
      <c r="K44" s="754"/>
      <c r="L44" s="754"/>
      <c r="M44" s="754"/>
      <c r="N44" s="754"/>
      <c r="O44" s="754"/>
      <c r="P44" s="754"/>
      <c r="Q44" s="754"/>
      <c r="R44" s="754"/>
      <c r="S44" s="754"/>
      <c r="T44" s="754"/>
      <c r="U44" s="754"/>
      <c r="V44" s="754"/>
      <c r="W44" s="754"/>
      <c r="X44" s="754"/>
      <c r="Y44" s="754"/>
      <c r="Z44" s="754"/>
      <c r="AA44" s="754"/>
      <c r="AB44" s="754"/>
      <c r="AC44" s="754"/>
      <c r="AD44" s="754"/>
    </row>
    <row r="45" spans="1:36" ht="36" customHeight="1">
      <c r="A45" s="103"/>
      <c r="B45" s="57"/>
      <c r="C45" s="754" t="s">
        <v>6511</v>
      </c>
      <c r="D45" s="754"/>
      <c r="E45" s="754"/>
      <c r="F45" s="754"/>
      <c r="G45" s="754"/>
      <c r="H45" s="754"/>
      <c r="I45" s="754"/>
      <c r="J45" s="754"/>
      <c r="K45" s="754"/>
      <c r="L45" s="754"/>
      <c r="M45" s="754"/>
      <c r="N45" s="754"/>
      <c r="O45" s="754"/>
      <c r="P45" s="754"/>
      <c r="Q45" s="754"/>
      <c r="R45" s="754"/>
      <c r="S45" s="754"/>
      <c r="T45" s="754"/>
      <c r="U45" s="754"/>
      <c r="V45" s="754"/>
      <c r="W45" s="754"/>
      <c r="X45" s="754"/>
      <c r="Y45" s="754"/>
      <c r="Z45" s="754"/>
      <c r="AA45" s="754"/>
      <c r="AB45" s="754"/>
      <c r="AC45" s="754"/>
      <c r="AD45" s="754"/>
    </row>
    <row r="46" spans="1:36" ht="15">
      <c r="A46" s="90"/>
      <c r="B46" s="90"/>
      <c r="C46" s="86"/>
      <c r="D46" s="86"/>
      <c r="E46" s="86"/>
      <c r="F46" s="86"/>
      <c r="G46" s="86"/>
      <c r="H46" s="86"/>
      <c r="I46" s="86"/>
      <c r="J46" s="86"/>
      <c r="K46" s="86"/>
      <c r="L46" s="86"/>
      <c r="M46" s="86"/>
      <c r="N46" s="86"/>
      <c r="O46" s="86"/>
      <c r="P46" s="86"/>
      <c r="Q46" s="86"/>
      <c r="R46" s="86"/>
      <c r="S46" s="86"/>
      <c r="T46" s="86"/>
      <c r="U46" s="86"/>
      <c r="V46" s="86"/>
      <c r="W46" s="86"/>
      <c r="X46" s="86"/>
      <c r="Y46" s="86"/>
      <c r="Z46" s="86"/>
      <c r="AA46" s="86"/>
      <c r="AB46" s="86"/>
      <c r="AC46" s="86"/>
      <c r="AD46" s="86"/>
      <c r="AG46"/>
      <c r="AH46"/>
      <c r="AI46" s="1176" t="s">
        <v>6512</v>
      </c>
      <c r="AJ46" s="1181" t="s">
        <v>6513</v>
      </c>
    </row>
    <row r="47" spans="1:36" ht="48" customHeight="1">
      <c r="A47" s="89"/>
      <c r="B47" s="90"/>
      <c r="C47" s="739" t="s">
        <v>6514</v>
      </c>
      <c r="D47" s="740"/>
      <c r="E47" s="740"/>
      <c r="F47" s="740"/>
      <c r="G47" s="740"/>
      <c r="H47" s="740"/>
      <c r="I47" s="740"/>
      <c r="J47" s="740"/>
      <c r="K47" s="740"/>
      <c r="L47" s="740"/>
      <c r="M47" s="740"/>
      <c r="N47" s="740"/>
      <c r="O47" s="740"/>
      <c r="P47" s="740"/>
      <c r="Q47" s="732" t="s">
        <v>4052</v>
      </c>
      <c r="R47" s="732"/>
      <c r="S47" s="732"/>
      <c r="T47" s="732"/>
      <c r="U47" s="732"/>
      <c r="V47" s="732"/>
      <c r="W47" s="732"/>
      <c r="X47" s="732"/>
      <c r="Y47" s="732"/>
      <c r="Z47" s="732"/>
      <c r="AA47" s="732"/>
      <c r="AB47" s="732"/>
      <c r="AC47" s="732"/>
      <c r="AD47" s="732"/>
      <c r="AG47" s="354" t="s">
        <v>2586</v>
      </c>
      <c r="AH47" s="282" t="s">
        <v>2590</v>
      </c>
      <c r="AI47" s="1176"/>
      <c r="AJ47" s="1181"/>
    </row>
    <row r="48" spans="1:36" ht="15">
      <c r="A48" s="89"/>
      <c r="B48" s="90"/>
      <c r="C48" s="749"/>
      <c r="D48" s="749"/>
      <c r="E48" s="749"/>
      <c r="F48" s="749"/>
      <c r="G48" s="749"/>
      <c r="H48" s="749"/>
      <c r="I48" s="749"/>
      <c r="J48" s="749"/>
      <c r="K48" s="749"/>
      <c r="L48" s="749"/>
      <c r="M48" s="749"/>
      <c r="N48" s="749"/>
      <c r="O48" s="749"/>
      <c r="P48" s="749"/>
      <c r="Q48" s="749"/>
      <c r="R48" s="749"/>
      <c r="S48" s="749"/>
      <c r="T48" s="749"/>
      <c r="U48" s="749"/>
      <c r="V48" s="749"/>
      <c r="W48" s="749"/>
      <c r="X48" s="749"/>
      <c r="Y48" s="749"/>
      <c r="Z48" s="749"/>
      <c r="AA48" s="749"/>
      <c r="AB48" s="749"/>
      <c r="AC48" s="749"/>
      <c r="AD48" s="749"/>
      <c r="AG48" s="326">
        <f>IF(AND(OR($I$25="X",$T$25="X"),COUNTA(C48:AD48)=0),0,IF(AND($I$25="",$T$25="",$C$48&lt;&gt;"",$C$48&lt;&gt;1,COUNTA(Q48)=0),0,IF(AND($I$25="",$T$25="",$C$48&lt;&gt;"",$C$48=1,COUNTA(Q48)&gt;0),0,IF(AND($C$48="",COUNTA(Q48)=0),0,1))))</f>
        <v>0</v>
      </c>
      <c r="AH48" s="283">
        <f>COUNTIF(Q48,"NS")</f>
        <v>0</v>
      </c>
      <c r="AI48" s="342">
        <f>IF(AND(OR(I25="X",T25="X"),COUNTA(C48:AD48)&gt;0),1,0)</f>
        <v>0</v>
      </c>
      <c r="AJ48" s="342">
        <f>IF(AND(C48&lt;&gt;"",C48&lt;&gt;1,COUNTA(Q48)&gt;0),1,0)</f>
        <v>0</v>
      </c>
    </row>
    <row r="49" spans="1:35" ht="15">
      <c r="A49" s="90"/>
      <c r="B49" s="90"/>
      <c r="C49" s="57"/>
      <c r="D49" s="57"/>
      <c r="E49" s="57"/>
      <c r="F49" s="57"/>
      <c r="G49" s="57"/>
      <c r="H49" s="57"/>
      <c r="I49" s="57"/>
      <c r="J49" s="57"/>
      <c r="K49" s="57"/>
      <c r="L49" s="57"/>
      <c r="M49" s="57"/>
      <c r="N49" s="57"/>
      <c r="O49" s="57"/>
      <c r="P49" s="57"/>
      <c r="Q49" s="57"/>
      <c r="R49" s="57"/>
      <c r="S49" s="57"/>
      <c r="T49" s="57"/>
      <c r="U49" s="57"/>
      <c r="V49" s="57"/>
      <c r="W49" s="57"/>
      <c r="X49" s="57"/>
      <c r="Y49" s="57"/>
      <c r="Z49" s="57"/>
      <c r="AA49" s="57"/>
      <c r="AB49" s="57"/>
      <c r="AC49" s="57"/>
      <c r="AD49" s="57"/>
    </row>
    <row r="50" spans="1:35" ht="24" customHeight="1">
      <c r="A50" s="90"/>
      <c r="B50" s="90"/>
      <c r="C50" s="754" t="s">
        <v>2611</v>
      </c>
      <c r="D50" s="754"/>
      <c r="E50" s="754"/>
      <c r="F50" s="754"/>
      <c r="G50" s="754"/>
      <c r="H50" s="754"/>
      <c r="I50" s="754"/>
      <c r="J50" s="754"/>
      <c r="K50" s="754"/>
      <c r="L50" s="754"/>
      <c r="M50" s="754"/>
      <c r="N50" s="754"/>
      <c r="O50" s="754"/>
      <c r="P50" s="754"/>
      <c r="Q50" s="754"/>
      <c r="R50" s="754"/>
      <c r="S50" s="754"/>
      <c r="T50" s="754"/>
      <c r="U50" s="754"/>
      <c r="V50" s="754"/>
      <c r="W50" s="754"/>
      <c r="X50" s="754"/>
      <c r="Y50" s="754"/>
      <c r="Z50" s="754"/>
      <c r="AA50" s="754"/>
      <c r="AB50" s="754"/>
      <c r="AC50" s="754"/>
      <c r="AD50" s="754"/>
    </row>
    <row r="51" spans="1:35" ht="60" customHeight="1">
      <c r="A51" s="90"/>
      <c r="B51" s="90"/>
      <c r="C51" s="851"/>
      <c r="D51" s="851"/>
      <c r="E51" s="851"/>
      <c r="F51" s="851"/>
      <c r="G51" s="851"/>
      <c r="H51" s="851"/>
      <c r="I51" s="851"/>
      <c r="J51" s="851"/>
      <c r="K51" s="851"/>
      <c r="L51" s="851"/>
      <c r="M51" s="851"/>
      <c r="N51" s="851"/>
      <c r="O51" s="851"/>
      <c r="P51" s="851"/>
      <c r="Q51" s="851"/>
      <c r="R51" s="851"/>
      <c r="S51" s="851"/>
      <c r="T51" s="851"/>
      <c r="U51" s="851"/>
      <c r="V51" s="851"/>
      <c r="W51" s="851"/>
      <c r="X51" s="851"/>
      <c r="Y51" s="851"/>
      <c r="Z51" s="851"/>
      <c r="AA51" s="851"/>
      <c r="AB51" s="851"/>
      <c r="AC51" s="851"/>
      <c r="AD51" s="851"/>
    </row>
    <row r="52" spans="1:35" ht="15">
      <c r="A52" s="90"/>
      <c r="B52" s="794" t="str">
        <f>IF(AG48&gt;0,"Favor de ingresar toda la información requerida en la pregunta y/o verifique que no tenga información en celdas sombreadas","")</f>
        <v/>
      </c>
      <c r="C52" s="794"/>
      <c r="D52" s="794"/>
      <c r="E52" s="794"/>
      <c r="F52" s="794"/>
      <c r="G52" s="794"/>
      <c r="H52" s="794"/>
      <c r="I52" s="794"/>
      <c r="J52" s="794"/>
      <c r="K52" s="794"/>
      <c r="L52" s="794"/>
      <c r="M52" s="794"/>
      <c r="N52" s="794"/>
      <c r="O52" s="794"/>
      <c r="P52" s="794"/>
      <c r="Q52" s="794"/>
      <c r="R52" s="794"/>
      <c r="S52" s="794"/>
      <c r="T52" s="794"/>
      <c r="U52" s="794"/>
      <c r="V52" s="794"/>
      <c r="W52" s="794"/>
      <c r="X52" s="794"/>
      <c r="Y52" s="794"/>
      <c r="Z52" s="794"/>
      <c r="AA52" s="794"/>
      <c r="AB52" s="794"/>
      <c r="AC52" s="794"/>
      <c r="AD52" s="794"/>
      <c r="AE52"/>
    </row>
    <row r="53" spans="1:35" ht="15">
      <c r="A53" s="90"/>
      <c r="B53" s="795" t="str">
        <f>IF(AH48&gt;0,"Alerta: debido a que cuenta con registros NS, debe proporcionar una justificación en el area de comentarios al final de la pregunta","")</f>
        <v/>
      </c>
      <c r="C53" s="795"/>
      <c r="D53" s="795"/>
      <c r="E53" s="795"/>
      <c r="F53" s="795"/>
      <c r="G53" s="795"/>
      <c r="H53" s="795"/>
      <c r="I53" s="795"/>
      <c r="J53" s="795"/>
      <c r="K53" s="795"/>
      <c r="L53" s="795"/>
      <c r="M53" s="795"/>
      <c r="N53" s="795"/>
      <c r="O53" s="795"/>
      <c r="P53" s="795"/>
      <c r="Q53" s="795"/>
      <c r="R53" s="795"/>
      <c r="S53" s="795"/>
      <c r="T53" s="795"/>
      <c r="U53" s="795"/>
      <c r="V53" s="795"/>
      <c r="W53" s="795"/>
      <c r="X53" s="795"/>
      <c r="Y53" s="795"/>
      <c r="Z53" s="795"/>
      <c r="AA53" s="795"/>
      <c r="AB53" s="795"/>
      <c r="AC53" s="795"/>
      <c r="AD53" s="795"/>
      <c r="AE53"/>
    </row>
    <row r="54" spans="1:35" ht="15">
      <c r="A54" s="90"/>
      <c r="B54" s="795" t="str">
        <f>IF(OR($C$48=3,$C$48=9),"Alerta: debe proporcionar una justificación ya que ha seleccionado el código 3 o 9 en la col. ¿Se encontraba constituida en su entidad… ?","")</f>
        <v/>
      </c>
      <c r="C54" s="795"/>
      <c r="D54" s="795"/>
      <c r="E54" s="795"/>
      <c r="F54" s="795"/>
      <c r="G54" s="795"/>
      <c r="H54" s="795"/>
      <c r="I54" s="795"/>
      <c r="J54" s="795"/>
      <c r="K54" s="795"/>
      <c r="L54" s="795"/>
      <c r="M54" s="795"/>
      <c r="N54" s="795"/>
      <c r="O54" s="795"/>
      <c r="P54" s="795"/>
      <c r="Q54" s="795"/>
      <c r="R54" s="795"/>
      <c r="S54" s="795"/>
      <c r="T54" s="795"/>
      <c r="U54" s="795"/>
      <c r="V54" s="795"/>
      <c r="W54" s="795"/>
      <c r="X54" s="795"/>
      <c r="Y54" s="795"/>
      <c r="Z54" s="795"/>
      <c r="AA54" s="795"/>
      <c r="AB54" s="795"/>
      <c r="AC54" s="795"/>
      <c r="AD54" s="795"/>
      <c r="AE54" s="795"/>
    </row>
    <row r="55" spans="1:35" ht="15">
      <c r="A55" s="90"/>
      <c r="B55" s="90"/>
      <c r="C55" s="86"/>
      <c r="D55" s="86"/>
      <c r="E55" s="86"/>
      <c r="F55" s="86"/>
      <c r="G55" s="86"/>
      <c r="H55" s="86"/>
      <c r="I55" s="86"/>
      <c r="J55" s="86"/>
      <c r="K55" s="86"/>
      <c r="L55" s="86"/>
      <c r="M55" s="86"/>
      <c r="N55" s="86"/>
      <c r="O55" s="86"/>
      <c r="P55" s="86"/>
      <c r="Q55" s="86"/>
      <c r="R55" s="86"/>
      <c r="S55" s="86"/>
      <c r="T55" s="86"/>
      <c r="U55" s="86"/>
      <c r="V55" s="86"/>
      <c r="W55" s="86"/>
      <c r="X55" s="86"/>
      <c r="Y55" s="86"/>
      <c r="Z55" s="86"/>
      <c r="AA55" s="86"/>
      <c r="AB55" s="86"/>
      <c r="AC55" s="86"/>
      <c r="AD55" s="86"/>
      <c r="AE55"/>
    </row>
    <row r="56" spans="1:35" ht="15">
      <c r="A56" s="90"/>
      <c r="B56" s="90"/>
      <c r="C56" s="86"/>
      <c r="D56" s="86"/>
      <c r="E56" s="86"/>
      <c r="F56" s="86"/>
      <c r="G56" s="86"/>
      <c r="H56" s="86"/>
      <c r="I56" s="86"/>
      <c r="J56" s="86"/>
      <c r="K56" s="86"/>
      <c r="L56" s="86"/>
      <c r="M56" s="86"/>
      <c r="N56" s="86"/>
      <c r="O56" s="86"/>
      <c r="P56" s="86"/>
      <c r="Q56" s="86"/>
      <c r="R56" s="86"/>
      <c r="S56" s="86"/>
      <c r="T56" s="86"/>
      <c r="U56" s="86"/>
      <c r="V56" s="86"/>
      <c r="W56" s="86"/>
      <c r="X56" s="86"/>
      <c r="Y56" s="86"/>
      <c r="Z56" s="86"/>
      <c r="AA56" s="86"/>
      <c r="AB56" s="86"/>
      <c r="AC56" s="86"/>
      <c r="AD56" s="86"/>
      <c r="AE56"/>
    </row>
    <row r="57" spans="1:35" ht="15">
      <c r="A57" s="90"/>
      <c r="B57" s="90"/>
      <c r="C57" s="86"/>
      <c r="D57" s="86"/>
      <c r="E57" s="86"/>
      <c r="F57" s="86"/>
      <c r="G57" s="86"/>
      <c r="H57" s="86"/>
      <c r="I57" s="86"/>
      <c r="J57" s="86"/>
      <c r="K57" s="86"/>
      <c r="L57" s="86"/>
      <c r="M57" s="86"/>
      <c r="N57" s="86"/>
      <c r="O57" s="86"/>
      <c r="P57" s="86"/>
      <c r="Q57" s="86"/>
      <c r="R57" s="86"/>
      <c r="S57" s="86"/>
      <c r="T57" s="86"/>
      <c r="U57" s="86"/>
      <c r="V57" s="86"/>
      <c r="W57" s="86"/>
      <c r="X57" s="86"/>
      <c r="Y57" s="86"/>
      <c r="Z57" s="86"/>
      <c r="AA57" s="86"/>
      <c r="AB57" s="86"/>
      <c r="AC57" s="86"/>
      <c r="AD57" s="86"/>
      <c r="AE57"/>
    </row>
    <row r="58" spans="1:35" ht="24" customHeight="1">
      <c r="A58" s="108" t="s">
        <v>6515</v>
      </c>
      <c r="B58" s="829" t="s">
        <v>6516</v>
      </c>
      <c r="C58" s="829"/>
      <c r="D58" s="829"/>
      <c r="E58" s="829"/>
      <c r="F58" s="829"/>
      <c r="G58" s="829"/>
      <c r="H58" s="829"/>
      <c r="I58" s="829"/>
      <c r="J58" s="829"/>
      <c r="K58" s="829"/>
      <c r="L58" s="829"/>
      <c r="M58" s="829"/>
      <c r="N58" s="829"/>
      <c r="O58" s="829"/>
      <c r="P58" s="829"/>
      <c r="Q58" s="829"/>
      <c r="R58" s="829"/>
      <c r="S58" s="829"/>
      <c r="T58" s="829"/>
      <c r="U58" s="829"/>
      <c r="V58" s="829"/>
      <c r="W58" s="829"/>
      <c r="X58" s="829"/>
      <c r="Y58" s="829"/>
      <c r="Z58" s="829"/>
      <c r="AA58" s="829"/>
      <c r="AB58" s="829"/>
      <c r="AC58" s="829"/>
      <c r="AD58" s="829"/>
    </row>
    <row r="59" spans="1:35" ht="15">
      <c r="A59" s="211"/>
      <c r="B59" s="57"/>
      <c r="C59" s="830" t="s">
        <v>3945</v>
      </c>
      <c r="D59" s="830"/>
      <c r="E59" s="830"/>
      <c r="F59" s="830"/>
      <c r="G59" s="830"/>
      <c r="H59" s="830"/>
      <c r="I59" s="830"/>
      <c r="J59" s="830"/>
      <c r="K59" s="830"/>
      <c r="L59" s="830"/>
      <c r="M59" s="830"/>
      <c r="N59" s="830"/>
      <c r="O59" s="830"/>
      <c r="P59" s="830"/>
      <c r="Q59" s="830"/>
      <c r="R59" s="830"/>
      <c r="S59" s="830"/>
      <c r="T59" s="830"/>
      <c r="U59" s="830"/>
      <c r="V59" s="830"/>
      <c r="W59" s="830"/>
      <c r="X59" s="830"/>
      <c r="Y59" s="830"/>
      <c r="Z59" s="830"/>
      <c r="AA59" s="830"/>
      <c r="AB59" s="830"/>
      <c r="AC59" s="830"/>
      <c r="AD59" s="830"/>
    </row>
    <row r="60" spans="1:35" ht="24" customHeight="1">
      <c r="A60" s="49"/>
      <c r="B60" s="38"/>
      <c r="C60" s="754" t="s">
        <v>6517</v>
      </c>
      <c r="D60" s="754"/>
      <c r="E60" s="754"/>
      <c r="F60" s="754"/>
      <c r="G60" s="754"/>
      <c r="H60" s="754"/>
      <c r="I60" s="754"/>
      <c r="J60" s="754"/>
      <c r="K60" s="754"/>
      <c r="L60" s="754"/>
      <c r="M60" s="754"/>
      <c r="N60" s="754"/>
      <c r="O60" s="754"/>
      <c r="P60" s="754"/>
      <c r="Q60" s="754"/>
      <c r="R60" s="754"/>
      <c r="S60" s="754"/>
      <c r="T60" s="754"/>
      <c r="U60" s="754"/>
      <c r="V60" s="754"/>
      <c r="W60" s="754"/>
      <c r="X60" s="754"/>
      <c r="Y60" s="754"/>
      <c r="Z60" s="754"/>
      <c r="AA60" s="754"/>
      <c r="AB60" s="754"/>
      <c r="AC60" s="754"/>
      <c r="AD60" s="754"/>
      <c r="AH60" s="1176" t="s">
        <v>6512</v>
      </c>
      <c r="AI60" s="1181" t="s">
        <v>6513</v>
      </c>
    </row>
    <row r="61" spans="1:35" ht="15.75" thickBot="1">
      <c r="A61" s="210"/>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G61" s="499" t="s">
        <v>3947</v>
      </c>
      <c r="AH61" s="1176"/>
      <c r="AI61" s="1181"/>
    </row>
    <row r="62" spans="1:35" ht="15.75" thickBot="1">
      <c r="A62" s="210"/>
      <c r="B62" s="38"/>
      <c r="C62" s="137"/>
      <c r="D62" s="54" t="s">
        <v>4017</v>
      </c>
      <c r="E62" s="38"/>
      <c r="F62" s="38"/>
      <c r="G62" s="38"/>
      <c r="H62" s="38"/>
      <c r="I62" s="137"/>
      <c r="J62" s="54" t="s">
        <v>3950</v>
      </c>
      <c r="K62" s="38"/>
      <c r="L62" s="120"/>
      <c r="M62" s="54"/>
      <c r="N62" s="38"/>
      <c r="O62" s="38"/>
      <c r="P62" s="38"/>
      <c r="Q62" s="38"/>
      <c r="R62" s="38"/>
      <c r="S62" s="38"/>
      <c r="T62" s="137"/>
      <c r="U62" s="54" t="s">
        <v>3673</v>
      </c>
      <c r="V62" s="38"/>
      <c r="W62" s="38"/>
      <c r="X62" s="38"/>
      <c r="Y62" s="38"/>
      <c r="Z62" s="38"/>
      <c r="AA62" s="38"/>
      <c r="AB62" s="38"/>
      <c r="AC62" s="38"/>
      <c r="AD62" s="38"/>
      <c r="AG62">
        <f>IF(COUNTA(C62,I62,T62)=0,0,IF(COUNTA(C62,I62,T62)=1,0,1))</f>
        <v>0</v>
      </c>
      <c r="AH62" s="342">
        <f>IF(AND(OR($I$25="X",$T$25="X"),COUNTA(C62,I62,T62)&gt;0),1,0)</f>
        <v>0</v>
      </c>
      <c r="AI62" s="342">
        <f>IF(AND($C$48&lt;&gt;"",$C$48&lt;&gt;1,COUNTA(C62,I62,T62)&gt;0),1,0)</f>
        <v>0</v>
      </c>
    </row>
    <row r="63" spans="1:35" ht="15">
      <c r="A63" s="211"/>
      <c r="B63" s="57"/>
      <c r="C63" s="57"/>
      <c r="D63" s="57"/>
      <c r="E63" s="57"/>
      <c r="F63" s="57"/>
      <c r="G63" s="57"/>
      <c r="H63" s="57"/>
      <c r="I63" s="57"/>
      <c r="J63" s="57"/>
      <c r="K63" s="57"/>
      <c r="L63" s="57"/>
      <c r="M63" s="57"/>
      <c r="N63" s="57"/>
      <c r="O63" s="57"/>
      <c r="P63" s="57"/>
      <c r="Q63" s="57"/>
      <c r="R63" s="57"/>
      <c r="S63" s="57"/>
      <c r="T63" s="57"/>
      <c r="U63" s="57"/>
      <c r="V63" s="57"/>
      <c r="W63" s="57"/>
      <c r="X63" s="57"/>
      <c r="Y63" s="57"/>
      <c r="Z63" s="57"/>
      <c r="AA63" s="57"/>
      <c r="AB63" s="57"/>
      <c r="AC63" s="57"/>
      <c r="AD63" s="57"/>
    </row>
    <row r="64" spans="1:35" ht="24" customHeight="1">
      <c r="A64" s="211"/>
      <c r="B64" s="57"/>
      <c r="C64" s="754" t="s">
        <v>2611</v>
      </c>
      <c r="D64" s="754"/>
      <c r="E64" s="754"/>
      <c r="F64" s="754"/>
      <c r="G64" s="754"/>
      <c r="H64" s="754"/>
      <c r="I64" s="754"/>
      <c r="J64" s="754"/>
      <c r="K64" s="754"/>
      <c r="L64" s="754"/>
      <c r="M64" s="754"/>
      <c r="N64" s="754"/>
      <c r="O64" s="754"/>
      <c r="P64" s="754"/>
      <c r="Q64" s="754"/>
      <c r="R64" s="754"/>
      <c r="S64" s="754"/>
      <c r="T64" s="754"/>
      <c r="U64" s="754"/>
      <c r="V64" s="754"/>
      <c r="W64" s="754"/>
      <c r="X64" s="754"/>
      <c r="Y64" s="754"/>
      <c r="Z64" s="754"/>
      <c r="AA64" s="754"/>
      <c r="AB64" s="754"/>
      <c r="AC64" s="754"/>
      <c r="AD64" s="754"/>
    </row>
    <row r="65" spans="1:37" ht="60" customHeight="1">
      <c r="A65" s="211"/>
      <c r="B65" s="57"/>
      <c r="C65" s="851"/>
      <c r="D65" s="851"/>
      <c r="E65" s="851"/>
      <c r="F65" s="851"/>
      <c r="G65" s="851"/>
      <c r="H65" s="851"/>
      <c r="I65" s="851"/>
      <c r="J65" s="851"/>
      <c r="K65" s="851"/>
      <c r="L65" s="851"/>
      <c r="M65" s="851"/>
      <c r="N65" s="851"/>
      <c r="O65" s="851"/>
      <c r="P65" s="851"/>
      <c r="Q65" s="851"/>
      <c r="R65" s="851"/>
      <c r="S65" s="851"/>
      <c r="T65" s="851"/>
      <c r="U65" s="851"/>
      <c r="V65" s="851"/>
      <c r="W65" s="851"/>
      <c r="X65" s="851"/>
      <c r="Y65" s="851"/>
      <c r="Z65" s="851"/>
      <c r="AA65" s="851"/>
      <c r="AB65" s="851"/>
      <c r="AC65" s="851"/>
      <c r="AD65" s="851"/>
    </row>
    <row r="66" spans="1:37" ht="15">
      <c r="A66" s="90"/>
      <c r="B66" s="794" t="str">
        <f>IF(OR(AH62&gt;0,AI62&gt;0),"Favor de ingresar toda la información requerida en la pregunta y/o verifique que no tenga información en celdas sombreadas","")</f>
        <v/>
      </c>
      <c r="C66" s="794"/>
      <c r="D66" s="794"/>
      <c r="E66" s="794"/>
      <c r="F66" s="794"/>
      <c r="G66" s="794"/>
      <c r="H66" s="794"/>
      <c r="I66" s="794"/>
      <c r="J66" s="794"/>
      <c r="K66" s="794"/>
      <c r="L66" s="794"/>
      <c r="M66" s="794"/>
      <c r="N66" s="794"/>
      <c r="O66" s="794"/>
      <c r="P66" s="794"/>
      <c r="Q66" s="794"/>
      <c r="R66" s="794"/>
      <c r="S66" s="794"/>
      <c r="T66" s="794"/>
      <c r="U66" s="794"/>
      <c r="V66" s="794"/>
      <c r="W66" s="794"/>
      <c r="X66" s="794"/>
      <c r="Y66" s="794"/>
      <c r="Z66" s="794"/>
      <c r="AA66" s="794"/>
      <c r="AB66" s="794"/>
      <c r="AC66" s="794"/>
      <c r="AD66" s="794"/>
    </row>
    <row r="67" spans="1:37" ht="15">
      <c r="A67" s="90"/>
      <c r="B67" s="794" t="str">
        <f>IF(AG62&gt;0,"Favor de seleccionar solo un código","")</f>
        <v/>
      </c>
      <c r="C67" s="794"/>
      <c r="D67" s="794"/>
      <c r="E67" s="794"/>
      <c r="F67" s="794"/>
      <c r="G67" s="794"/>
      <c r="H67" s="794"/>
      <c r="I67" s="794"/>
      <c r="J67" s="794"/>
      <c r="K67" s="794"/>
      <c r="L67" s="794"/>
      <c r="M67" s="794"/>
      <c r="N67" s="794"/>
      <c r="O67" s="794"/>
      <c r="P67" s="794"/>
      <c r="Q67" s="794"/>
      <c r="R67" s="794"/>
      <c r="S67" s="794"/>
      <c r="T67" s="794"/>
      <c r="U67" s="794"/>
      <c r="V67" s="794"/>
      <c r="W67" s="794"/>
      <c r="X67" s="794"/>
      <c r="Y67" s="794"/>
      <c r="Z67" s="794"/>
      <c r="AA67" s="794"/>
      <c r="AB67" s="794"/>
      <c r="AC67" s="794"/>
      <c r="AD67" s="794"/>
    </row>
    <row r="68" spans="1:37" ht="15">
      <c r="A68" s="90"/>
      <c r="B68" s="90"/>
      <c r="C68" s="86"/>
      <c r="D68" s="86"/>
      <c r="E68" s="86"/>
      <c r="F68" s="86"/>
      <c r="G68" s="86"/>
      <c r="H68" s="86"/>
      <c r="I68" s="86"/>
      <c r="J68" s="86"/>
      <c r="K68" s="86"/>
      <c r="L68" s="86"/>
      <c r="M68" s="86"/>
      <c r="N68" s="86"/>
      <c r="O68" s="86"/>
      <c r="P68" s="86"/>
      <c r="Q68" s="86"/>
      <c r="R68" s="86"/>
      <c r="S68" s="86"/>
      <c r="T68" s="86"/>
      <c r="U68" s="86"/>
      <c r="V68" s="86"/>
      <c r="W68" s="86"/>
      <c r="X68" s="86"/>
      <c r="Y68" s="86"/>
      <c r="Z68" s="86"/>
      <c r="AA68" s="86"/>
      <c r="AB68" s="86"/>
      <c r="AC68" s="86"/>
      <c r="AD68" s="86"/>
    </row>
    <row r="69" spans="1:37" ht="15">
      <c r="A69" s="90"/>
      <c r="B69" s="90"/>
      <c r="C69" s="86"/>
      <c r="D69" s="86"/>
      <c r="E69" s="86"/>
      <c r="F69" s="86"/>
      <c r="G69" s="86"/>
      <c r="H69" s="86"/>
      <c r="I69" s="86"/>
      <c r="J69" s="86"/>
      <c r="K69" s="86"/>
      <c r="L69" s="86"/>
      <c r="M69" s="86"/>
      <c r="N69" s="86"/>
      <c r="O69" s="86"/>
      <c r="P69" s="86"/>
      <c r="Q69" s="86"/>
      <c r="R69" s="86"/>
      <c r="S69" s="86"/>
      <c r="T69" s="86"/>
      <c r="U69" s="86"/>
      <c r="V69" s="86"/>
      <c r="W69" s="86"/>
      <c r="X69" s="86"/>
      <c r="Y69" s="86"/>
      <c r="Z69" s="86"/>
      <c r="AA69" s="86"/>
      <c r="AB69" s="86"/>
      <c r="AC69" s="86"/>
      <c r="AD69" s="86"/>
    </row>
    <row r="70" spans="1:37" ht="15">
      <c r="A70" s="90"/>
      <c r="B70" s="90"/>
      <c r="C70" s="86"/>
      <c r="D70" s="86"/>
      <c r="E70" s="86"/>
      <c r="F70" s="86"/>
      <c r="G70" s="86"/>
      <c r="H70" s="86"/>
      <c r="I70" s="86"/>
      <c r="J70" s="86"/>
      <c r="K70" s="86"/>
      <c r="L70" s="86"/>
      <c r="M70" s="86"/>
      <c r="N70" s="86"/>
      <c r="O70" s="86"/>
      <c r="P70" s="86"/>
      <c r="Q70" s="86"/>
      <c r="R70" s="86"/>
      <c r="S70" s="86"/>
      <c r="T70" s="86"/>
      <c r="U70" s="86"/>
      <c r="V70" s="86"/>
      <c r="W70" s="86"/>
      <c r="X70" s="86"/>
      <c r="Y70" s="86"/>
      <c r="Z70" s="86"/>
      <c r="AA70" s="86"/>
      <c r="AB70" s="86"/>
      <c r="AC70" s="86"/>
      <c r="AD70" s="86"/>
    </row>
    <row r="71" spans="1:37" ht="15">
      <c r="A71" s="90"/>
      <c r="B71" s="90"/>
      <c r="C71" s="86"/>
      <c r="D71" s="86"/>
      <c r="E71" s="86"/>
      <c r="F71" s="86"/>
      <c r="G71" s="86"/>
      <c r="H71" s="86"/>
      <c r="I71" s="86"/>
      <c r="J71" s="86"/>
      <c r="K71" s="86"/>
      <c r="L71" s="86"/>
      <c r="M71" s="86"/>
      <c r="N71" s="86"/>
      <c r="O71" s="86"/>
      <c r="P71" s="86"/>
      <c r="Q71" s="86"/>
      <c r="R71" s="86"/>
      <c r="S71" s="86"/>
      <c r="T71" s="86"/>
      <c r="U71" s="86"/>
      <c r="V71" s="86"/>
      <c r="W71" s="86"/>
      <c r="X71" s="86"/>
      <c r="Y71" s="86"/>
      <c r="Z71" s="86"/>
      <c r="AA71" s="86"/>
      <c r="AB71" s="86"/>
      <c r="AC71" s="86"/>
      <c r="AD71" s="86"/>
    </row>
    <row r="72" spans="1:37" ht="24" customHeight="1">
      <c r="A72" s="108" t="s">
        <v>6518</v>
      </c>
      <c r="B72" s="829" t="s">
        <v>6519</v>
      </c>
      <c r="C72" s="829"/>
      <c r="D72" s="829"/>
      <c r="E72" s="829"/>
      <c r="F72" s="829"/>
      <c r="G72" s="829"/>
      <c r="H72" s="829"/>
      <c r="I72" s="829"/>
      <c r="J72" s="829"/>
      <c r="K72" s="829"/>
      <c r="L72" s="829"/>
      <c r="M72" s="829"/>
      <c r="N72" s="829"/>
      <c r="O72" s="829"/>
      <c r="P72" s="829"/>
      <c r="Q72" s="829"/>
      <c r="R72" s="829"/>
      <c r="S72" s="829"/>
      <c r="T72" s="829"/>
      <c r="U72" s="829"/>
      <c r="V72" s="829"/>
      <c r="W72" s="829"/>
      <c r="X72" s="829"/>
      <c r="Y72" s="829"/>
      <c r="Z72" s="829"/>
      <c r="AA72" s="829"/>
      <c r="AB72" s="829"/>
      <c r="AC72" s="829"/>
      <c r="AD72" s="829"/>
    </row>
    <row r="73" spans="1:37" ht="15" customHeight="1">
      <c r="A73" s="210"/>
      <c r="B73" s="38"/>
      <c r="C73" s="754" t="s">
        <v>3663</v>
      </c>
      <c r="D73" s="754"/>
      <c r="E73" s="754"/>
      <c r="F73" s="754"/>
      <c r="G73" s="754"/>
      <c r="H73" s="754"/>
      <c r="I73" s="754"/>
      <c r="J73" s="754"/>
      <c r="K73" s="754"/>
      <c r="L73" s="754"/>
      <c r="M73" s="754"/>
      <c r="N73" s="754"/>
      <c r="O73" s="754"/>
      <c r="P73" s="754"/>
      <c r="Q73" s="754"/>
      <c r="R73" s="754"/>
      <c r="S73" s="754"/>
      <c r="T73" s="754"/>
      <c r="U73" s="754"/>
      <c r="V73" s="754"/>
      <c r="W73" s="754"/>
      <c r="X73" s="754"/>
      <c r="Y73" s="754"/>
      <c r="Z73" s="754"/>
      <c r="AA73" s="754"/>
      <c r="AB73" s="754"/>
      <c r="AC73" s="754"/>
      <c r="AD73" s="754"/>
    </row>
    <row r="74" spans="1:37" ht="36" customHeight="1">
      <c r="A74" s="49"/>
      <c r="B74" s="38"/>
      <c r="C74" s="754" t="s">
        <v>6520</v>
      </c>
      <c r="D74" s="754"/>
      <c r="E74" s="754"/>
      <c r="F74" s="754"/>
      <c r="G74" s="754"/>
      <c r="H74" s="754"/>
      <c r="I74" s="754"/>
      <c r="J74" s="754"/>
      <c r="K74" s="754"/>
      <c r="L74" s="754"/>
      <c r="M74" s="754"/>
      <c r="N74" s="754"/>
      <c r="O74" s="754"/>
      <c r="P74" s="754"/>
      <c r="Q74" s="754"/>
      <c r="R74" s="754"/>
      <c r="S74" s="754"/>
      <c r="T74" s="754"/>
      <c r="U74" s="754"/>
      <c r="V74" s="754"/>
      <c r="W74" s="754"/>
      <c r="X74" s="754"/>
      <c r="Y74" s="754"/>
      <c r="Z74" s="754"/>
      <c r="AA74" s="754"/>
      <c r="AB74" s="754"/>
      <c r="AC74" s="754"/>
      <c r="AD74" s="754"/>
    </row>
    <row r="75" spans="1:37" ht="24" customHeight="1">
      <c r="A75" s="210"/>
      <c r="B75" s="38"/>
      <c r="C75" s="754" t="s">
        <v>6521</v>
      </c>
      <c r="D75" s="754"/>
      <c r="E75" s="754"/>
      <c r="F75" s="754"/>
      <c r="G75" s="754"/>
      <c r="H75" s="754"/>
      <c r="I75" s="754"/>
      <c r="J75" s="754"/>
      <c r="K75" s="754"/>
      <c r="L75" s="754"/>
      <c r="M75" s="754"/>
      <c r="N75" s="754"/>
      <c r="O75" s="754"/>
      <c r="P75" s="754"/>
      <c r="Q75" s="754"/>
      <c r="R75" s="754"/>
      <c r="S75" s="754"/>
      <c r="T75" s="754"/>
      <c r="U75" s="754"/>
      <c r="V75" s="754"/>
      <c r="W75" s="754"/>
      <c r="X75" s="754"/>
      <c r="Y75" s="754"/>
      <c r="Z75" s="754"/>
      <c r="AA75" s="754"/>
      <c r="AB75" s="754"/>
      <c r="AC75" s="754"/>
      <c r="AD75" s="754"/>
      <c r="AG75" s="1176" t="s">
        <v>6522</v>
      </c>
      <c r="AH75" s="1176" t="s">
        <v>6523</v>
      </c>
      <c r="AI75" s="1179"/>
      <c r="AJ75" s="1176" t="s">
        <v>6524</v>
      </c>
      <c r="AK75" s="1176" t="s">
        <v>4348</v>
      </c>
    </row>
    <row r="76" spans="1:37" ht="15" customHeight="1" thickBot="1">
      <c r="A76" s="210"/>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G76" s="1176"/>
      <c r="AH76" s="1176"/>
      <c r="AI76" s="1179"/>
      <c r="AJ76" s="1176"/>
      <c r="AK76" s="1176"/>
    </row>
    <row r="77" spans="1:37" ht="15" customHeight="1" thickBot="1">
      <c r="A77" s="210"/>
      <c r="B77" s="38"/>
      <c r="C77" s="234"/>
      <c r="D77" s="54" t="s">
        <v>6525</v>
      </c>
      <c r="E77" s="51"/>
      <c r="F77" s="51"/>
      <c r="G77" s="51"/>
      <c r="H77" s="51"/>
      <c r="I77" s="51"/>
      <c r="J77" s="51"/>
      <c r="K77" s="51"/>
      <c r="L77" s="51"/>
      <c r="M77" s="51"/>
      <c r="N77" s="51"/>
      <c r="O77" s="51"/>
      <c r="P77" s="51"/>
      <c r="Q77" s="51"/>
      <c r="R77" s="51"/>
      <c r="S77" s="51"/>
      <c r="T77" s="51"/>
      <c r="U77" s="51"/>
      <c r="V77" s="51"/>
      <c r="W77" s="51"/>
      <c r="X77" s="51"/>
      <c r="Y77" s="51"/>
      <c r="Z77" s="51"/>
      <c r="AA77" s="51"/>
      <c r="AB77" s="51"/>
      <c r="AC77" s="51"/>
      <c r="AD77" s="51"/>
      <c r="AG77" s="342">
        <f>IF(AND(OR($I$25="X",$T$25="X"),COUNTA(C77:C90)&gt;0),1,0)</f>
        <v>0</v>
      </c>
      <c r="AH77" s="342">
        <f>IF(AND($C$48&lt;&gt;"",$C$48&lt;&gt;1,COUNTA(C77:C90)&gt;0),1,0)</f>
        <v>0</v>
      </c>
      <c r="AI77" s="342"/>
      <c r="AJ77">
        <f>IF(AND($C$77="X",COUNTA(C78:C90)&gt;0),1,0)</f>
        <v>0</v>
      </c>
      <c r="AK77">
        <f>IF(AND($C$90="X",COUNTA(C77:C89)&gt;0),1,0)</f>
        <v>0</v>
      </c>
    </row>
    <row r="78" spans="1:37" ht="15" customHeight="1" thickBot="1">
      <c r="A78" s="210"/>
      <c r="B78" s="38"/>
      <c r="C78" s="234"/>
      <c r="D78" s="965" t="s">
        <v>6526</v>
      </c>
      <c r="E78" s="731"/>
      <c r="F78" s="731"/>
      <c r="G78" s="731"/>
      <c r="H78" s="731"/>
      <c r="I78" s="731"/>
      <c r="J78" s="731"/>
      <c r="K78" s="731"/>
      <c r="L78" s="731"/>
      <c r="M78" s="731"/>
      <c r="N78" s="731"/>
      <c r="O78" s="731"/>
      <c r="P78" s="731"/>
      <c r="Q78" s="731"/>
      <c r="R78" s="731"/>
      <c r="S78" s="731"/>
      <c r="T78" s="731"/>
      <c r="U78" s="731"/>
      <c r="V78" s="731"/>
      <c r="W78" s="731"/>
      <c r="X78" s="731"/>
      <c r="Y78" s="731"/>
      <c r="Z78" s="731"/>
      <c r="AA78" s="731"/>
      <c r="AB78" s="731"/>
      <c r="AC78" s="731"/>
      <c r="AD78" s="731"/>
    </row>
    <row r="79" spans="1:37" ht="15" customHeight="1" thickBot="1">
      <c r="A79" s="210"/>
      <c r="B79" s="38"/>
      <c r="C79" s="234"/>
      <c r="D79" s="54" t="s">
        <v>6527</v>
      </c>
      <c r="E79" s="51"/>
      <c r="F79" s="51"/>
      <c r="G79" s="51"/>
      <c r="H79" s="51"/>
      <c r="I79" s="51"/>
      <c r="J79" s="51"/>
      <c r="K79" s="51"/>
      <c r="L79" s="51"/>
      <c r="M79" s="51"/>
      <c r="N79" s="51"/>
      <c r="O79" s="51"/>
      <c r="P79" s="51"/>
      <c r="Q79" s="38"/>
      <c r="R79" s="38"/>
      <c r="S79" s="38"/>
      <c r="T79" s="38"/>
      <c r="U79" s="38"/>
      <c r="V79" s="38"/>
      <c r="W79" s="38"/>
      <c r="X79" s="38"/>
      <c r="Y79" s="38"/>
      <c r="Z79" s="38"/>
      <c r="AA79" s="38"/>
      <c r="AB79" s="38"/>
      <c r="AC79" s="38"/>
      <c r="AD79" s="38"/>
    </row>
    <row r="80" spans="1:37" ht="15" customHeight="1" thickBot="1">
      <c r="A80" s="210"/>
      <c r="B80" s="38"/>
      <c r="C80" s="234"/>
      <c r="D80" s="54" t="s">
        <v>6528</v>
      </c>
      <c r="E80" s="51"/>
      <c r="F80" s="51"/>
      <c r="G80" s="51"/>
      <c r="H80" s="51"/>
      <c r="I80" s="51"/>
      <c r="J80" s="51"/>
      <c r="K80" s="51"/>
      <c r="L80" s="51"/>
      <c r="M80" s="51"/>
      <c r="N80" s="51"/>
      <c r="O80" s="51"/>
      <c r="P80" s="51"/>
      <c r="Q80" s="38"/>
      <c r="R80" s="38"/>
      <c r="S80" s="38"/>
      <c r="T80" s="38"/>
      <c r="U80" s="38"/>
      <c r="V80" s="38"/>
      <c r="W80" s="38"/>
      <c r="X80" s="38"/>
      <c r="Y80" s="38"/>
      <c r="Z80" s="38"/>
      <c r="AA80" s="38"/>
      <c r="AB80" s="38"/>
      <c r="AC80" s="38"/>
      <c r="AD80" s="38"/>
    </row>
    <row r="81" spans="1:30" ht="15" customHeight="1" thickBot="1">
      <c r="A81" s="210"/>
      <c r="B81" s="38"/>
      <c r="C81" s="234"/>
      <c r="D81" s="54" t="s">
        <v>6529</v>
      </c>
      <c r="E81" s="51"/>
      <c r="F81" s="51"/>
      <c r="G81" s="51"/>
      <c r="H81" s="51"/>
      <c r="I81" s="51"/>
      <c r="J81" s="51"/>
      <c r="K81" s="51"/>
      <c r="L81" s="51"/>
      <c r="M81" s="51"/>
      <c r="N81" s="51"/>
      <c r="O81" s="51"/>
      <c r="P81" s="51"/>
      <c r="Q81" s="38"/>
      <c r="R81" s="38"/>
      <c r="S81" s="38"/>
      <c r="T81" s="38"/>
      <c r="U81" s="38"/>
      <c r="V81" s="38"/>
      <c r="W81" s="38"/>
      <c r="X81" s="38"/>
      <c r="Y81" s="38"/>
      <c r="Z81" s="38"/>
      <c r="AA81" s="38"/>
      <c r="AB81" s="38"/>
      <c r="AC81" s="38"/>
      <c r="AD81" s="38"/>
    </row>
    <row r="82" spans="1:30" ht="15" customHeight="1" thickBot="1">
      <c r="A82" s="210"/>
      <c r="B82" s="38"/>
      <c r="C82" s="234"/>
      <c r="D82" s="54" t="s">
        <v>6530</v>
      </c>
      <c r="E82" s="51"/>
      <c r="F82" s="51"/>
      <c r="G82" s="51"/>
      <c r="H82" s="51"/>
      <c r="I82" s="51"/>
      <c r="J82" s="51"/>
      <c r="K82" s="51"/>
      <c r="L82" s="51"/>
      <c r="M82" s="51"/>
      <c r="N82" s="51"/>
      <c r="O82" s="51"/>
      <c r="P82" s="51"/>
      <c r="Q82" s="38"/>
      <c r="R82" s="38"/>
      <c r="S82" s="38"/>
      <c r="T82" s="38"/>
      <c r="U82" s="38"/>
      <c r="V82" s="38"/>
      <c r="W82" s="38"/>
      <c r="X82" s="38"/>
      <c r="Y82" s="38"/>
      <c r="Z82" s="38"/>
      <c r="AA82" s="38"/>
      <c r="AB82" s="38"/>
      <c r="AC82" s="38"/>
      <c r="AD82" s="38"/>
    </row>
    <row r="83" spans="1:30" ht="15" customHeight="1" thickBot="1">
      <c r="A83" s="210"/>
      <c r="B83" s="38"/>
      <c r="C83" s="234"/>
      <c r="D83" s="54" t="s">
        <v>6531</v>
      </c>
      <c r="E83" s="51"/>
      <c r="F83" s="51"/>
      <c r="G83" s="51"/>
      <c r="H83" s="51"/>
      <c r="I83" s="51"/>
      <c r="J83" s="51"/>
      <c r="K83" s="51"/>
      <c r="L83" s="51"/>
      <c r="M83" s="51"/>
      <c r="N83" s="51"/>
      <c r="O83" s="51"/>
      <c r="P83" s="51"/>
      <c r="Q83" s="38"/>
      <c r="R83" s="38"/>
      <c r="S83" s="38"/>
      <c r="T83" s="38"/>
      <c r="U83" s="38"/>
      <c r="V83" s="38"/>
      <c r="W83" s="38"/>
      <c r="X83" s="38"/>
      <c r="Y83" s="38"/>
      <c r="Z83" s="38"/>
      <c r="AA83" s="38"/>
      <c r="AB83" s="38"/>
      <c r="AC83" s="38"/>
      <c r="AD83" s="38"/>
    </row>
    <row r="84" spans="1:30" ht="15" customHeight="1" thickBot="1">
      <c r="A84" s="210"/>
      <c r="B84" s="38"/>
      <c r="C84" s="234"/>
      <c r="D84" s="54" t="s">
        <v>6532</v>
      </c>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row>
    <row r="85" spans="1:30" ht="15" customHeight="1" thickBot="1">
      <c r="A85" s="210"/>
      <c r="B85" s="38"/>
      <c r="C85" s="234"/>
      <c r="D85" s="54" t="s">
        <v>6533</v>
      </c>
      <c r="E85" s="51"/>
      <c r="F85" s="51"/>
      <c r="G85" s="51"/>
      <c r="H85" s="51"/>
      <c r="I85" s="51"/>
      <c r="J85" s="51"/>
      <c r="K85" s="51"/>
      <c r="L85" s="51"/>
      <c r="M85" s="51"/>
      <c r="N85" s="51"/>
      <c r="O85" s="51"/>
      <c r="P85" s="51"/>
      <c r="Q85" s="38"/>
      <c r="R85" s="38"/>
      <c r="S85" s="38"/>
      <c r="T85" s="38"/>
      <c r="U85" s="38"/>
      <c r="V85" s="38"/>
      <c r="W85" s="38"/>
      <c r="X85" s="38"/>
      <c r="Y85" s="38"/>
      <c r="Z85" s="38"/>
      <c r="AA85" s="38"/>
      <c r="AB85" s="38"/>
      <c r="AC85" s="38"/>
      <c r="AD85" s="38"/>
    </row>
    <row r="86" spans="1:30" ht="15" customHeight="1" thickBot="1">
      <c r="A86" s="210"/>
      <c r="B86" s="38"/>
      <c r="C86" s="234"/>
      <c r="D86" s="54" t="s">
        <v>6534</v>
      </c>
      <c r="E86" s="51"/>
      <c r="F86" s="51"/>
      <c r="G86" s="51"/>
      <c r="H86" s="51"/>
      <c r="I86" s="51"/>
      <c r="J86" s="51"/>
      <c r="K86" s="51"/>
      <c r="L86" s="51"/>
      <c r="M86" s="51"/>
      <c r="N86" s="51"/>
      <c r="O86" s="51"/>
      <c r="P86" s="51"/>
      <c r="Q86" s="38"/>
      <c r="R86" s="38"/>
      <c r="S86" s="38"/>
      <c r="T86" s="38"/>
      <c r="U86" s="38"/>
      <c r="V86" s="38"/>
      <c r="W86" s="38"/>
      <c r="X86" s="38"/>
      <c r="Y86" s="38"/>
      <c r="Z86" s="38"/>
      <c r="AA86" s="38"/>
      <c r="AB86" s="38"/>
      <c r="AC86" s="38"/>
      <c r="AD86" s="38"/>
    </row>
    <row r="87" spans="1:30" ht="15" customHeight="1" thickBot="1">
      <c r="A87" s="210"/>
      <c r="B87" s="38"/>
      <c r="C87" s="234"/>
      <c r="D87" s="54" t="s">
        <v>6535</v>
      </c>
      <c r="E87" s="51"/>
      <c r="F87" s="51"/>
      <c r="G87" s="51"/>
      <c r="H87" s="51"/>
      <c r="I87" s="51"/>
      <c r="J87" s="51"/>
      <c r="K87" s="51"/>
      <c r="L87" s="51"/>
      <c r="M87" s="51"/>
      <c r="N87" s="51"/>
      <c r="O87" s="51"/>
      <c r="P87" s="51"/>
      <c r="Q87" s="38"/>
      <c r="R87" s="38"/>
      <c r="S87" s="38"/>
      <c r="T87" s="38"/>
      <c r="U87" s="38"/>
      <c r="V87" s="38"/>
      <c r="W87" s="38"/>
      <c r="X87" s="38"/>
      <c r="Y87" s="38"/>
      <c r="Z87" s="38"/>
      <c r="AA87" s="38"/>
      <c r="AB87" s="38"/>
      <c r="AC87" s="38"/>
      <c r="AD87" s="38"/>
    </row>
    <row r="88" spans="1:30" ht="15" customHeight="1" thickBot="1">
      <c r="A88" s="210"/>
      <c r="B88" s="38"/>
      <c r="C88" s="234"/>
      <c r="D88" s="54" t="s">
        <v>6536</v>
      </c>
      <c r="E88" s="51"/>
      <c r="F88" s="51"/>
      <c r="G88" s="51"/>
      <c r="H88" s="51"/>
      <c r="I88" s="51"/>
      <c r="J88" s="51"/>
      <c r="K88" s="51"/>
      <c r="L88" s="51"/>
      <c r="M88" s="51"/>
      <c r="N88" s="51"/>
      <c r="O88" s="51"/>
      <c r="P88" s="51"/>
      <c r="Q88" s="38"/>
      <c r="R88" s="38"/>
      <c r="S88" s="38"/>
      <c r="T88" s="38"/>
      <c r="U88" s="38"/>
      <c r="V88" s="38"/>
      <c r="W88" s="38"/>
      <c r="X88" s="38"/>
      <c r="Y88" s="38"/>
      <c r="Z88" s="38"/>
      <c r="AA88" s="38"/>
      <c r="AB88" s="38"/>
      <c r="AC88" s="38"/>
      <c r="AD88" s="38"/>
    </row>
    <row r="89" spans="1:30" ht="15" customHeight="1" thickBot="1">
      <c r="A89" s="210"/>
      <c r="B89" s="38"/>
      <c r="C89" s="234"/>
      <c r="D89" s="54" t="s">
        <v>6537</v>
      </c>
      <c r="E89" s="51"/>
      <c r="F89" s="51"/>
      <c r="G89" s="51"/>
      <c r="H89" s="51"/>
      <c r="I89" s="51"/>
      <c r="J89" s="51"/>
      <c r="K89" s="737"/>
      <c r="L89" s="737"/>
      <c r="M89" s="737"/>
      <c r="N89" s="737"/>
      <c r="O89" s="737"/>
      <c r="P89" s="737"/>
      <c r="Q89" s="737"/>
      <c r="R89" s="737"/>
      <c r="S89" s="737"/>
      <c r="T89" s="737"/>
      <c r="U89" s="737"/>
      <c r="V89" s="737"/>
      <c r="W89" s="737"/>
      <c r="X89" s="737"/>
      <c r="Y89" s="737"/>
      <c r="Z89" s="737"/>
      <c r="AA89" s="737"/>
      <c r="AB89" s="737"/>
      <c r="AC89" s="737"/>
      <c r="AD89" s="737"/>
    </row>
    <row r="90" spans="1:30" ht="15" customHeight="1" thickBot="1">
      <c r="A90" s="210"/>
      <c r="B90" s="38"/>
      <c r="C90" s="234"/>
      <c r="D90" s="54" t="s">
        <v>3976</v>
      </c>
      <c r="E90" s="51"/>
      <c r="F90" s="51"/>
      <c r="G90" s="51"/>
      <c r="H90" s="51"/>
      <c r="I90" s="51"/>
      <c r="J90" s="51"/>
      <c r="K90" s="51"/>
      <c r="L90" s="51"/>
      <c r="M90" s="51"/>
      <c r="N90" s="51"/>
      <c r="O90" s="51"/>
      <c r="P90" s="51"/>
      <c r="Q90" s="38"/>
      <c r="R90" s="38"/>
      <c r="S90" s="38"/>
      <c r="T90" s="38"/>
      <c r="U90" s="38"/>
      <c r="V90" s="38"/>
      <c r="W90" s="38"/>
      <c r="X90" s="38"/>
      <c r="Y90" s="38"/>
      <c r="Z90" s="38"/>
      <c r="AA90" s="38"/>
      <c r="AB90" s="38"/>
      <c r="AC90" s="38"/>
      <c r="AD90" s="38"/>
    </row>
    <row r="91" spans="1:30" ht="15">
      <c r="A91" s="210"/>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row>
    <row r="92" spans="1:30" ht="24" customHeight="1">
      <c r="A92" s="210"/>
      <c r="B92" s="38"/>
      <c r="C92" s="754" t="s">
        <v>2611</v>
      </c>
      <c r="D92" s="754"/>
      <c r="E92" s="754"/>
      <c r="F92" s="754"/>
      <c r="G92" s="754"/>
      <c r="H92" s="754"/>
      <c r="I92" s="754"/>
      <c r="J92" s="754"/>
      <c r="K92" s="754"/>
      <c r="L92" s="754"/>
      <c r="M92" s="754"/>
      <c r="N92" s="754"/>
      <c r="O92" s="754"/>
      <c r="P92" s="754"/>
      <c r="Q92" s="754"/>
      <c r="R92" s="754"/>
      <c r="S92" s="754"/>
      <c r="T92" s="754"/>
      <c r="U92" s="754"/>
      <c r="V92" s="754"/>
      <c r="W92" s="754"/>
      <c r="X92" s="754"/>
      <c r="Y92" s="754"/>
      <c r="Z92" s="754"/>
      <c r="AA92" s="754"/>
      <c r="AB92" s="754"/>
      <c r="AC92" s="754"/>
      <c r="AD92" s="754"/>
    </row>
    <row r="93" spans="1:30" ht="60" customHeight="1">
      <c r="A93" s="210"/>
      <c r="B93" s="38"/>
      <c r="C93" s="851"/>
      <c r="D93" s="851"/>
      <c r="E93" s="851"/>
      <c r="F93" s="851"/>
      <c r="G93" s="851"/>
      <c r="H93" s="851"/>
      <c r="I93" s="851"/>
      <c r="J93" s="851"/>
      <c r="K93" s="851"/>
      <c r="L93" s="851"/>
      <c r="M93" s="851"/>
      <c r="N93" s="851"/>
      <c r="O93" s="851"/>
      <c r="P93" s="851"/>
      <c r="Q93" s="851"/>
      <c r="R93" s="851"/>
      <c r="S93" s="851"/>
      <c r="T93" s="851"/>
      <c r="U93" s="851"/>
      <c r="V93" s="851"/>
      <c r="W93" s="851"/>
      <c r="X93" s="851"/>
      <c r="Y93" s="851"/>
      <c r="Z93" s="851"/>
      <c r="AA93" s="851"/>
      <c r="AB93" s="851"/>
      <c r="AC93" s="851"/>
      <c r="AD93" s="851"/>
    </row>
    <row r="94" spans="1:30" ht="15" customHeight="1">
      <c r="A94" s="210"/>
      <c r="B94" s="794" t="str">
        <f>IF(OR(AG77&gt;0,AH77&gt;0),"Favor de verificar que no tenga información en celdas sombreadas","")</f>
        <v/>
      </c>
      <c r="C94" s="794"/>
      <c r="D94" s="794"/>
      <c r="E94" s="794"/>
      <c r="F94" s="794"/>
      <c r="G94" s="794"/>
      <c r="H94" s="794"/>
      <c r="I94" s="794"/>
      <c r="J94" s="794"/>
      <c r="K94" s="794"/>
      <c r="L94" s="794"/>
      <c r="M94" s="794"/>
      <c r="N94" s="794"/>
      <c r="O94" s="794"/>
      <c r="P94" s="794"/>
      <c r="Q94" s="794"/>
      <c r="R94" s="794"/>
      <c r="S94" s="794"/>
      <c r="T94" s="794"/>
      <c r="U94" s="794"/>
      <c r="V94" s="794"/>
      <c r="W94" s="794"/>
      <c r="X94" s="794"/>
      <c r="Y94" s="794"/>
      <c r="Z94" s="794"/>
      <c r="AA94" s="794"/>
      <c r="AB94" s="794"/>
      <c r="AC94" s="794"/>
      <c r="AD94" s="794"/>
    </row>
    <row r="95" spans="1:30" ht="15" customHeight="1">
      <c r="A95" s="210"/>
      <c r="B95" s="795" t="str">
        <f>IF(OR(AJ77&gt;0,AK77&gt;0),"Alerta: debe de proporcionar una justificación de acuerdo a lo establecido en la instrucción 3","")</f>
        <v/>
      </c>
      <c r="C95" s="795"/>
      <c r="D95" s="795"/>
      <c r="E95" s="795"/>
      <c r="F95" s="795"/>
      <c r="G95" s="795"/>
      <c r="H95" s="795"/>
      <c r="I95" s="795"/>
      <c r="J95" s="795"/>
      <c r="K95" s="795"/>
      <c r="L95" s="795"/>
      <c r="M95" s="795"/>
      <c r="N95" s="795"/>
      <c r="O95" s="795"/>
      <c r="P95" s="795"/>
      <c r="Q95" s="795"/>
      <c r="R95" s="795"/>
      <c r="S95" s="795"/>
      <c r="T95" s="795"/>
      <c r="U95" s="795"/>
      <c r="V95" s="795"/>
      <c r="W95" s="795"/>
      <c r="X95" s="795"/>
      <c r="Y95" s="795"/>
      <c r="Z95" s="795"/>
      <c r="AA95" s="795"/>
      <c r="AB95" s="795"/>
      <c r="AC95" s="795"/>
      <c r="AD95" s="795"/>
    </row>
    <row r="96" spans="1:30" ht="15" customHeight="1">
      <c r="A96" s="210"/>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row>
    <row r="97" spans="1:35" ht="15" customHeight="1">
      <c r="A97" s="210"/>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row>
    <row r="98" spans="1:35" ht="15" customHeight="1">
      <c r="A98" s="210"/>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row>
    <row r="99" spans="1:35" ht="15" customHeight="1">
      <c r="A99" s="210"/>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row>
    <row r="100" spans="1:35" ht="24" customHeight="1">
      <c r="A100" s="108" t="s">
        <v>6538</v>
      </c>
      <c r="B100" s="960" t="s">
        <v>6539</v>
      </c>
      <c r="C100" s="960"/>
      <c r="D100" s="960"/>
      <c r="E100" s="960"/>
      <c r="F100" s="960"/>
      <c r="G100" s="960"/>
      <c r="H100" s="960"/>
      <c r="I100" s="960"/>
      <c r="J100" s="960"/>
      <c r="K100" s="960"/>
      <c r="L100" s="960"/>
      <c r="M100" s="960"/>
      <c r="N100" s="960"/>
      <c r="O100" s="960"/>
      <c r="P100" s="960"/>
      <c r="Q100" s="960"/>
      <c r="R100" s="960"/>
      <c r="S100" s="960"/>
      <c r="T100" s="960"/>
      <c r="U100" s="960"/>
      <c r="V100" s="960"/>
      <c r="W100" s="960"/>
      <c r="X100" s="960"/>
      <c r="Y100" s="960"/>
      <c r="Z100" s="960"/>
      <c r="AA100" s="960"/>
      <c r="AB100" s="960"/>
      <c r="AC100" s="960"/>
      <c r="AD100" s="960"/>
      <c r="AG100" s="1176" t="s">
        <v>6540</v>
      </c>
      <c r="AH100" s="1176" t="s">
        <v>6541</v>
      </c>
      <c r="AI100" s="1176" t="s">
        <v>4348</v>
      </c>
    </row>
    <row r="101" spans="1:35" ht="15">
      <c r="A101" s="90"/>
      <c r="B101" s="90"/>
      <c r="C101" s="1013" t="s">
        <v>3663</v>
      </c>
      <c r="D101" s="1013"/>
      <c r="E101" s="1013"/>
      <c r="F101" s="1013"/>
      <c r="G101" s="1013"/>
      <c r="H101" s="1013"/>
      <c r="I101" s="1013"/>
      <c r="J101" s="1013"/>
      <c r="K101" s="1013"/>
      <c r="L101" s="1013"/>
      <c r="M101" s="1013"/>
      <c r="N101" s="1013"/>
      <c r="O101" s="1013"/>
      <c r="P101" s="1013"/>
      <c r="Q101" s="1013"/>
      <c r="R101" s="1013"/>
      <c r="S101" s="1013"/>
      <c r="T101" s="1013"/>
      <c r="U101" s="1013"/>
      <c r="V101" s="1013"/>
      <c r="W101" s="1013"/>
      <c r="X101" s="1013"/>
      <c r="Y101" s="1013"/>
      <c r="Z101" s="1013"/>
      <c r="AA101" s="1013"/>
      <c r="AB101" s="1013"/>
      <c r="AC101" s="1013"/>
      <c r="AD101" s="1013"/>
      <c r="AG101" s="1176"/>
      <c r="AH101" s="1176"/>
      <c r="AI101" s="1176"/>
    </row>
    <row r="102" spans="1:35" ht="15">
      <c r="A102" s="90"/>
      <c r="B102" s="90"/>
      <c r="C102" s="1013" t="s">
        <v>3958</v>
      </c>
      <c r="D102" s="1013"/>
      <c r="E102" s="1013"/>
      <c r="F102" s="1013"/>
      <c r="G102" s="1013"/>
      <c r="H102" s="1013"/>
      <c r="I102" s="1013"/>
      <c r="J102" s="1013"/>
      <c r="K102" s="1013"/>
      <c r="L102" s="1013"/>
      <c r="M102" s="1013"/>
      <c r="N102" s="1013"/>
      <c r="O102" s="1013"/>
      <c r="P102" s="1013"/>
      <c r="Q102" s="1013"/>
      <c r="R102" s="1013"/>
      <c r="S102" s="1013"/>
      <c r="T102" s="1013"/>
      <c r="U102" s="1013"/>
      <c r="V102" s="1013"/>
      <c r="W102" s="1013"/>
      <c r="X102" s="1013"/>
      <c r="Y102" s="1013"/>
      <c r="Z102" s="1013"/>
      <c r="AA102" s="1013"/>
      <c r="AB102" s="1013"/>
      <c r="AC102" s="1013"/>
      <c r="AD102" s="1013"/>
      <c r="AG102" s="1176"/>
      <c r="AH102" s="1176"/>
      <c r="AI102" s="1176"/>
    </row>
    <row r="103" spans="1:35" ht="15.75" thickBot="1">
      <c r="A103" s="90"/>
      <c r="B103" s="90"/>
      <c r="C103" s="86"/>
      <c r="D103" s="86"/>
      <c r="E103" s="86"/>
      <c r="F103" s="86"/>
      <c r="G103" s="86"/>
      <c r="H103" s="86"/>
      <c r="I103" s="86"/>
      <c r="J103" s="86"/>
      <c r="K103" s="86"/>
      <c r="L103" s="86"/>
      <c r="M103" s="86"/>
      <c r="N103" s="86"/>
      <c r="O103" s="86"/>
      <c r="P103" s="86"/>
      <c r="Q103" s="86"/>
      <c r="R103" s="86"/>
      <c r="S103" s="86"/>
      <c r="T103" s="86"/>
      <c r="U103" s="86"/>
      <c r="V103" s="86"/>
      <c r="W103" s="86"/>
      <c r="X103" s="86"/>
      <c r="Y103" s="86"/>
      <c r="Z103" s="86"/>
      <c r="AA103" s="86"/>
      <c r="AB103" s="86"/>
      <c r="AC103" s="86"/>
      <c r="AD103" s="86"/>
      <c r="AG103" s="342">
        <f>IF(AND(OR($I$25="X",$T$25="X"),COUNTA(C104:C118)&gt;0),1,0)</f>
        <v>0</v>
      </c>
      <c r="AH103" s="342">
        <f>IF(AND($C$48&lt;&gt;"",$C$48&lt;&gt;1,COUNTA(C104:C118)&gt;0),1,0)</f>
        <v>0</v>
      </c>
      <c r="AI103">
        <f>IF(AND($C$118="X",COUNTA(C104:C117)&gt;0),1,0)</f>
        <v>0</v>
      </c>
    </row>
    <row r="104" spans="1:35" ht="15" customHeight="1" thickBot="1">
      <c r="A104" s="90"/>
      <c r="B104" s="90"/>
      <c r="C104" s="137"/>
      <c r="D104" s="140" t="s">
        <v>6542</v>
      </c>
      <c r="E104" s="54"/>
      <c r="F104" s="54"/>
      <c r="G104" s="54"/>
      <c r="H104" s="54"/>
      <c r="I104" s="54"/>
      <c r="J104" s="54"/>
      <c r="K104" s="54"/>
      <c r="L104" s="54"/>
      <c r="M104" s="54"/>
      <c r="N104" s="54"/>
      <c r="O104" s="54"/>
      <c r="P104" s="54"/>
      <c r="Q104" s="54"/>
      <c r="R104" s="54"/>
      <c r="S104" s="54"/>
      <c r="T104" s="54"/>
      <c r="U104" s="54"/>
      <c r="V104" s="54"/>
      <c r="W104" s="54"/>
      <c r="X104" s="54"/>
      <c r="Y104" s="54"/>
      <c r="Z104" s="54"/>
      <c r="AA104" s="54"/>
      <c r="AB104" s="54"/>
      <c r="AC104" s="54"/>
      <c r="AD104" s="54"/>
    </row>
    <row r="105" spans="1:35" ht="15" customHeight="1" thickBot="1">
      <c r="A105" s="90"/>
      <c r="B105" s="90"/>
      <c r="C105" s="137"/>
      <c r="D105" s="140" t="s">
        <v>6543</v>
      </c>
      <c r="E105" s="51"/>
      <c r="F105" s="51"/>
      <c r="G105" s="51"/>
      <c r="H105" s="51"/>
      <c r="I105" s="51"/>
      <c r="J105" s="51"/>
      <c r="K105" s="51"/>
      <c r="L105" s="51"/>
      <c r="M105" s="51"/>
      <c r="N105" s="51"/>
      <c r="O105" s="51"/>
      <c r="P105" s="51"/>
      <c r="Q105" s="51"/>
      <c r="R105" s="51"/>
      <c r="S105" s="51"/>
      <c r="T105" s="51"/>
      <c r="U105" s="51"/>
      <c r="V105" s="51"/>
      <c r="W105" s="51"/>
      <c r="X105" s="51"/>
      <c r="Y105" s="51"/>
      <c r="Z105" s="51"/>
      <c r="AA105" s="51"/>
      <c r="AB105" s="51"/>
      <c r="AC105" s="51"/>
      <c r="AD105" s="51"/>
    </row>
    <row r="106" spans="1:35" ht="15" customHeight="1" thickBot="1">
      <c r="A106" s="90"/>
      <c r="B106" s="90"/>
      <c r="C106" s="137"/>
      <c r="D106" s="140" t="s">
        <v>6544</v>
      </c>
      <c r="E106" s="51"/>
      <c r="F106" s="51"/>
      <c r="G106" s="51"/>
      <c r="H106" s="51"/>
      <c r="I106" s="51"/>
      <c r="J106" s="51"/>
      <c r="K106" s="51"/>
      <c r="L106" s="51"/>
      <c r="M106" s="51"/>
      <c r="N106" s="51"/>
      <c r="O106" s="51"/>
      <c r="P106" s="51"/>
      <c r="Q106" s="51"/>
      <c r="R106" s="51"/>
      <c r="S106" s="51"/>
      <c r="T106" s="51"/>
      <c r="U106" s="51"/>
      <c r="V106" s="51"/>
      <c r="W106" s="51"/>
      <c r="X106" s="51"/>
      <c r="Y106" s="51"/>
      <c r="Z106" s="51"/>
      <c r="AA106" s="51"/>
      <c r="AB106" s="51"/>
      <c r="AC106" s="51"/>
      <c r="AD106" s="51"/>
    </row>
    <row r="107" spans="1:35" ht="15" customHeight="1" thickBot="1">
      <c r="A107" s="90"/>
      <c r="B107" s="90"/>
      <c r="C107" s="138"/>
      <c r="D107" s="140" t="s">
        <v>6545</v>
      </c>
      <c r="E107" s="51"/>
      <c r="F107" s="51"/>
      <c r="G107" s="51"/>
      <c r="H107" s="51"/>
      <c r="I107" s="51"/>
      <c r="J107" s="51"/>
      <c r="K107" s="51"/>
      <c r="L107" s="51"/>
      <c r="M107" s="51"/>
      <c r="N107" s="51"/>
      <c r="O107" s="51"/>
      <c r="P107" s="51"/>
      <c r="Q107" s="51"/>
      <c r="R107" s="51"/>
      <c r="S107" s="51"/>
      <c r="T107" s="51"/>
      <c r="U107" s="51"/>
      <c r="V107" s="51"/>
      <c r="W107" s="51"/>
      <c r="X107" s="51"/>
      <c r="Y107" s="51"/>
      <c r="Z107" s="51"/>
      <c r="AA107" s="51"/>
      <c r="AB107" s="51"/>
      <c r="AC107" s="51"/>
      <c r="AD107" s="51"/>
    </row>
    <row r="108" spans="1:35" ht="15" customHeight="1" thickBot="1">
      <c r="A108" s="90"/>
      <c r="B108" s="90"/>
      <c r="C108" s="137"/>
      <c r="D108" s="140" t="s">
        <v>6546</v>
      </c>
      <c r="E108" s="54"/>
      <c r="F108" s="54"/>
      <c r="G108" s="54"/>
      <c r="H108" s="54"/>
      <c r="I108" s="54"/>
      <c r="J108" s="54"/>
      <c r="K108" s="54"/>
      <c r="L108" s="54"/>
      <c r="M108" s="54"/>
      <c r="N108" s="54"/>
      <c r="O108" s="54"/>
      <c r="P108" s="54"/>
      <c r="Q108" s="54"/>
      <c r="R108" s="54"/>
      <c r="S108" s="54"/>
      <c r="T108" s="54"/>
      <c r="U108" s="54"/>
      <c r="V108" s="54"/>
      <c r="W108" s="54"/>
      <c r="X108" s="54"/>
      <c r="Y108" s="54"/>
      <c r="Z108" s="54"/>
      <c r="AA108" s="54"/>
      <c r="AB108" s="54"/>
      <c r="AC108" s="54"/>
      <c r="AD108" s="54"/>
    </row>
    <row r="109" spans="1:35" ht="24" customHeight="1" thickBot="1">
      <c r="A109" s="90"/>
      <c r="B109" s="90"/>
      <c r="C109" s="138"/>
      <c r="D109" s="965" t="s">
        <v>6547</v>
      </c>
      <c r="E109" s="731"/>
      <c r="F109" s="731"/>
      <c r="G109" s="731"/>
      <c r="H109" s="731"/>
      <c r="I109" s="731"/>
      <c r="J109" s="731"/>
      <c r="K109" s="731"/>
      <c r="L109" s="731"/>
      <c r="M109" s="731"/>
      <c r="N109" s="731"/>
      <c r="O109" s="731"/>
      <c r="P109" s="731"/>
      <c r="Q109" s="731"/>
      <c r="R109" s="731"/>
      <c r="S109" s="731"/>
      <c r="T109" s="731"/>
      <c r="U109" s="731"/>
      <c r="V109" s="731"/>
      <c r="W109" s="731"/>
      <c r="X109" s="731"/>
      <c r="Y109" s="731"/>
      <c r="Z109" s="731"/>
      <c r="AA109" s="731"/>
      <c r="AB109" s="731"/>
      <c r="AC109" s="731"/>
      <c r="AD109" s="731"/>
    </row>
    <row r="110" spans="1:35" ht="15" customHeight="1" thickBot="1">
      <c r="A110" s="90"/>
      <c r="B110" s="90"/>
      <c r="C110" s="137"/>
      <c r="D110" s="140" t="s">
        <v>6548</v>
      </c>
      <c r="E110" s="42"/>
      <c r="F110" s="42"/>
      <c r="G110" s="42"/>
      <c r="H110" s="42"/>
      <c r="I110" s="42"/>
      <c r="J110" s="42"/>
      <c r="K110" s="42"/>
      <c r="L110" s="42"/>
      <c r="M110" s="42"/>
      <c r="N110" s="42"/>
      <c r="O110" s="42"/>
      <c r="P110" s="42"/>
      <c r="Q110" s="42"/>
      <c r="R110" s="42"/>
      <c r="S110" s="42"/>
      <c r="T110" s="42"/>
      <c r="U110" s="42"/>
      <c r="V110" s="42"/>
      <c r="W110" s="42"/>
      <c r="X110" s="42"/>
      <c r="Y110" s="42"/>
      <c r="Z110" s="42"/>
      <c r="AA110" s="42"/>
      <c r="AB110" s="42"/>
      <c r="AC110" s="42"/>
      <c r="AD110" s="42"/>
    </row>
    <row r="111" spans="1:35" ht="15" customHeight="1" thickBot="1">
      <c r="A111" s="90"/>
      <c r="B111" s="90"/>
      <c r="C111" s="137"/>
      <c r="D111" s="140" t="s">
        <v>6549</v>
      </c>
      <c r="E111" s="54"/>
      <c r="F111" s="54"/>
      <c r="G111" s="54"/>
      <c r="H111" s="54"/>
      <c r="I111" s="54"/>
      <c r="J111" s="54"/>
      <c r="K111" s="54"/>
      <c r="L111" s="54"/>
      <c r="M111" s="54"/>
      <c r="N111" s="54"/>
      <c r="O111" s="54"/>
      <c r="P111" s="54"/>
      <c r="Q111" s="54"/>
      <c r="R111" s="54"/>
      <c r="S111" s="54"/>
      <c r="T111" s="54"/>
      <c r="U111" s="54"/>
      <c r="V111" s="54"/>
      <c r="W111" s="54"/>
      <c r="X111" s="54"/>
      <c r="Y111" s="54"/>
      <c r="Z111" s="54"/>
      <c r="AA111" s="54"/>
      <c r="AB111" s="54"/>
      <c r="AC111" s="54"/>
      <c r="AD111" s="54"/>
    </row>
    <row r="112" spans="1:35" ht="15" customHeight="1" thickBot="1">
      <c r="A112" s="90"/>
      <c r="B112" s="90"/>
      <c r="C112" s="137"/>
      <c r="D112" s="140" t="s">
        <v>6550</v>
      </c>
      <c r="E112" s="51"/>
      <c r="F112" s="51"/>
      <c r="G112" s="51"/>
      <c r="H112" s="51"/>
      <c r="I112" s="51"/>
      <c r="J112" s="51"/>
      <c r="K112" s="51"/>
      <c r="L112" s="51"/>
      <c r="M112" s="51"/>
      <c r="N112" s="51"/>
      <c r="O112" s="51"/>
      <c r="P112" s="51"/>
      <c r="Q112" s="51"/>
      <c r="R112" s="51"/>
      <c r="S112" s="51"/>
      <c r="T112" s="51"/>
      <c r="U112" s="51"/>
      <c r="V112" s="51"/>
      <c r="W112" s="51"/>
      <c r="X112" s="51"/>
      <c r="Y112" s="51"/>
      <c r="Z112" s="51"/>
      <c r="AA112" s="51"/>
      <c r="AB112" s="51"/>
      <c r="AC112" s="51"/>
      <c r="AD112" s="51"/>
    </row>
    <row r="113" spans="1:31" ht="15" customHeight="1" thickBot="1">
      <c r="A113" s="90"/>
      <c r="B113" s="90"/>
      <c r="C113" s="137"/>
      <c r="D113" s="140" t="s">
        <v>6551</v>
      </c>
      <c r="E113" s="51"/>
      <c r="F113" s="51"/>
      <c r="G113" s="51"/>
      <c r="H113" s="51"/>
      <c r="I113" s="51"/>
      <c r="J113" s="51"/>
      <c r="K113" s="51"/>
      <c r="L113" s="51"/>
      <c r="M113" s="51"/>
      <c r="N113" s="51"/>
      <c r="O113" s="51"/>
      <c r="P113" s="51"/>
      <c r="Q113" s="51"/>
      <c r="R113" s="51"/>
      <c r="S113" s="51"/>
      <c r="T113" s="51"/>
      <c r="U113" s="51"/>
      <c r="V113" s="51"/>
      <c r="W113" s="51"/>
      <c r="X113" s="51"/>
      <c r="Y113" s="51"/>
      <c r="Z113" s="51"/>
      <c r="AA113" s="51"/>
      <c r="AB113" s="51"/>
      <c r="AC113" s="51"/>
      <c r="AD113" s="51"/>
    </row>
    <row r="114" spans="1:31" ht="15" customHeight="1" thickBot="1">
      <c r="A114" s="90"/>
      <c r="B114" s="90"/>
      <c r="C114" s="137"/>
      <c r="D114" s="140" t="s">
        <v>6552</v>
      </c>
      <c r="E114" s="51"/>
      <c r="F114" s="51"/>
      <c r="G114" s="51"/>
      <c r="H114" s="51"/>
      <c r="I114" s="51"/>
      <c r="J114" s="51"/>
      <c r="K114" s="51"/>
      <c r="L114" s="51"/>
      <c r="M114" s="51"/>
      <c r="N114" s="51"/>
      <c r="O114" s="51"/>
      <c r="P114" s="51"/>
      <c r="Q114" s="51"/>
      <c r="R114" s="51"/>
      <c r="S114" s="51"/>
      <c r="T114" s="51"/>
      <c r="U114" s="51"/>
      <c r="V114" s="51"/>
      <c r="W114" s="51"/>
      <c r="X114" s="51"/>
      <c r="Y114" s="51"/>
      <c r="Z114" s="51"/>
      <c r="AA114" s="51"/>
      <c r="AB114" s="51"/>
      <c r="AC114" s="51"/>
      <c r="AD114" s="51"/>
    </row>
    <row r="115" spans="1:31" ht="15" customHeight="1" thickBot="1">
      <c r="A115" s="90"/>
      <c r="B115" s="90"/>
      <c r="C115" s="137"/>
      <c r="D115" s="140" t="s">
        <v>6553</v>
      </c>
      <c r="E115" s="51"/>
      <c r="F115" s="51"/>
      <c r="G115" s="51"/>
      <c r="H115" s="51"/>
      <c r="I115" s="51"/>
      <c r="J115" s="51"/>
      <c r="K115" s="51"/>
      <c r="L115" s="51"/>
      <c r="M115" s="51"/>
      <c r="N115" s="51"/>
      <c r="O115" s="51"/>
      <c r="P115" s="51"/>
      <c r="Q115" s="51"/>
      <c r="R115" s="51"/>
      <c r="S115" s="51"/>
      <c r="T115" s="51"/>
      <c r="U115" s="51"/>
      <c r="V115" s="51"/>
      <c r="W115" s="51"/>
      <c r="X115" s="51"/>
      <c r="Y115" s="51"/>
      <c r="Z115" s="51"/>
      <c r="AA115" s="51"/>
      <c r="AB115" s="51"/>
      <c r="AC115" s="51"/>
      <c r="AD115" s="51"/>
    </row>
    <row r="116" spans="1:31" ht="15" customHeight="1" thickBot="1">
      <c r="A116" s="90"/>
      <c r="B116" s="90"/>
      <c r="C116" s="137"/>
      <c r="D116" s="140" t="s">
        <v>6554</v>
      </c>
      <c r="E116" s="51"/>
      <c r="F116" s="51"/>
      <c r="G116" s="51"/>
      <c r="H116" s="51"/>
      <c r="I116" s="51"/>
      <c r="J116" s="51"/>
      <c r="K116" s="51"/>
      <c r="L116" s="51"/>
      <c r="M116" s="51"/>
      <c r="N116" s="51"/>
      <c r="O116" s="51"/>
      <c r="P116" s="51"/>
      <c r="Q116" s="51"/>
      <c r="R116" s="51"/>
      <c r="S116" s="51"/>
      <c r="T116" s="51"/>
      <c r="U116" s="51"/>
      <c r="V116" s="51"/>
      <c r="W116" s="51"/>
      <c r="X116" s="51"/>
      <c r="Y116" s="51"/>
      <c r="Z116" s="51"/>
      <c r="AA116" s="51"/>
      <c r="AB116" s="51"/>
      <c r="AC116" s="51"/>
      <c r="AD116" s="51"/>
    </row>
    <row r="117" spans="1:31" ht="15" customHeight="1" thickBot="1">
      <c r="A117" s="90"/>
      <c r="B117" s="90"/>
      <c r="C117" s="137"/>
      <c r="D117" s="140" t="s">
        <v>6555</v>
      </c>
      <c r="E117" s="51"/>
      <c r="F117" s="51"/>
      <c r="G117" s="51"/>
      <c r="H117" s="51"/>
      <c r="I117" s="51"/>
      <c r="J117" s="51"/>
      <c r="K117" s="51"/>
      <c r="L117" s="51"/>
      <c r="M117" s="51"/>
      <c r="N117" s="737"/>
      <c r="O117" s="737"/>
      <c r="P117" s="737"/>
      <c r="Q117" s="737"/>
      <c r="R117" s="737"/>
      <c r="S117" s="737"/>
      <c r="T117" s="737"/>
      <c r="U117" s="737"/>
      <c r="V117" s="737"/>
      <c r="W117" s="737"/>
      <c r="X117" s="737"/>
      <c r="Y117" s="737"/>
      <c r="Z117" s="737"/>
      <c r="AA117" s="737"/>
      <c r="AB117" s="737"/>
      <c r="AC117" s="737"/>
      <c r="AD117" s="737"/>
    </row>
    <row r="118" spans="1:31" ht="15" customHeight="1" thickBot="1">
      <c r="A118" s="90"/>
      <c r="B118" s="90"/>
      <c r="C118" s="137"/>
      <c r="D118" s="140" t="s">
        <v>3976</v>
      </c>
      <c r="E118" s="51"/>
      <c r="F118" s="51"/>
      <c r="G118" s="51"/>
      <c r="H118" s="51"/>
      <c r="I118" s="51"/>
      <c r="J118" s="51"/>
      <c r="K118" s="51"/>
      <c r="L118" s="51"/>
      <c r="M118" s="51"/>
      <c r="N118" s="51"/>
      <c r="O118" s="51"/>
      <c r="P118" s="51"/>
      <c r="Q118" s="51"/>
      <c r="R118" s="51"/>
      <c r="S118" s="51"/>
      <c r="T118" s="51"/>
      <c r="U118" s="51"/>
      <c r="V118" s="51"/>
      <c r="W118" s="51"/>
      <c r="X118" s="51"/>
      <c r="Y118" s="51"/>
      <c r="Z118" s="51"/>
      <c r="AA118" s="51"/>
      <c r="AB118" s="51"/>
      <c r="AC118" s="51"/>
      <c r="AD118" s="51"/>
    </row>
    <row r="119" spans="1:31" ht="15">
      <c r="A119" s="90"/>
      <c r="B119" s="90"/>
      <c r="C119" s="84"/>
      <c r="D119" s="84"/>
      <c r="E119" s="84"/>
      <c r="F119" s="84"/>
      <c r="G119" s="84"/>
      <c r="H119" s="84"/>
      <c r="I119" s="84"/>
      <c r="J119" s="84"/>
      <c r="K119" s="84"/>
      <c r="L119" s="84"/>
      <c r="M119" s="84"/>
      <c r="N119" s="84"/>
      <c r="O119" s="84"/>
      <c r="P119" s="84"/>
      <c r="Q119" s="84"/>
      <c r="R119" s="84"/>
      <c r="S119" s="84"/>
      <c r="T119" s="84"/>
      <c r="U119" s="84"/>
      <c r="V119" s="84"/>
      <c r="W119" s="84"/>
      <c r="X119" s="228"/>
      <c r="Y119" s="228"/>
      <c r="Z119" s="228"/>
      <c r="AA119" s="228"/>
      <c r="AB119" s="228"/>
      <c r="AC119" s="228"/>
      <c r="AD119" s="228"/>
    </row>
    <row r="120" spans="1:31" ht="24" customHeight="1">
      <c r="A120" s="90"/>
      <c r="B120" s="90"/>
      <c r="C120" s="754" t="s">
        <v>2611</v>
      </c>
      <c r="D120" s="754"/>
      <c r="E120" s="754"/>
      <c r="F120" s="754"/>
      <c r="G120" s="754"/>
      <c r="H120" s="754"/>
      <c r="I120" s="754"/>
      <c r="J120" s="754"/>
      <c r="K120" s="754"/>
      <c r="L120" s="754"/>
      <c r="M120" s="754"/>
      <c r="N120" s="754"/>
      <c r="O120" s="754"/>
      <c r="P120" s="754"/>
      <c r="Q120" s="754"/>
      <c r="R120" s="754"/>
      <c r="S120" s="754"/>
      <c r="T120" s="754"/>
      <c r="U120" s="754"/>
      <c r="V120" s="754"/>
      <c r="W120" s="754"/>
      <c r="X120" s="754"/>
      <c r="Y120" s="754"/>
      <c r="Z120" s="754"/>
      <c r="AA120" s="754"/>
      <c r="AB120" s="754"/>
      <c r="AC120" s="754"/>
      <c r="AD120" s="754"/>
    </row>
    <row r="121" spans="1:31" ht="60" customHeight="1">
      <c r="A121" s="90"/>
      <c r="B121" s="90"/>
      <c r="C121" s="851"/>
      <c r="D121" s="851"/>
      <c r="E121" s="851"/>
      <c r="F121" s="851"/>
      <c r="G121" s="851"/>
      <c r="H121" s="851"/>
      <c r="I121" s="851"/>
      <c r="J121" s="851"/>
      <c r="K121" s="851"/>
      <c r="L121" s="851"/>
      <c r="M121" s="851"/>
      <c r="N121" s="851"/>
      <c r="O121" s="851"/>
      <c r="P121" s="851"/>
      <c r="Q121" s="851"/>
      <c r="R121" s="851"/>
      <c r="S121" s="851"/>
      <c r="T121" s="851"/>
      <c r="U121" s="851"/>
      <c r="V121" s="851"/>
      <c r="W121" s="851"/>
      <c r="X121" s="851"/>
      <c r="Y121" s="851"/>
      <c r="Z121" s="851"/>
      <c r="AA121" s="851"/>
      <c r="AB121" s="851"/>
      <c r="AC121" s="851"/>
      <c r="AD121" s="851"/>
    </row>
    <row r="122" spans="1:31" ht="15">
      <c r="B122" s="794" t="str">
        <f>IF(OR(AG103&gt;0,AH103&gt;0,AI103&gt;0),"Favor de verificar que no tenga información en celdas sombreadas","")</f>
        <v/>
      </c>
      <c r="C122" s="794"/>
      <c r="D122" s="794"/>
      <c r="E122" s="794"/>
      <c r="F122" s="794"/>
      <c r="G122" s="794"/>
      <c r="H122" s="794"/>
      <c r="I122" s="794"/>
      <c r="J122" s="794"/>
      <c r="K122" s="794"/>
      <c r="L122" s="794"/>
      <c r="M122" s="794"/>
      <c r="N122" s="794"/>
      <c r="O122" s="794"/>
      <c r="P122" s="794"/>
      <c r="Q122" s="794"/>
      <c r="R122" s="794"/>
      <c r="S122" s="794"/>
      <c r="T122" s="794"/>
      <c r="U122" s="794"/>
      <c r="V122" s="794"/>
      <c r="W122" s="794"/>
      <c r="X122" s="794"/>
      <c r="Y122" s="794"/>
      <c r="Z122" s="794"/>
      <c r="AA122" s="794"/>
      <c r="AB122" s="794"/>
      <c r="AC122" s="794"/>
      <c r="AD122" s="794"/>
    </row>
    <row r="123" spans="1:31" ht="15"/>
    <row r="124" spans="1:31" ht="15"/>
    <row r="125" spans="1:31" ht="15"/>
    <row r="126" spans="1:31" ht="15"/>
    <row r="127" spans="1:31" ht="15.75" thickBot="1"/>
    <row r="128" spans="1:31" customFormat="1" ht="15" customHeight="1" thickBot="1">
      <c r="A128" s="153" t="s">
        <v>2563</v>
      </c>
      <c r="B128" s="831" t="s">
        <v>6556</v>
      </c>
      <c r="C128" s="832"/>
      <c r="D128" s="832"/>
      <c r="E128" s="832"/>
      <c r="F128" s="832"/>
      <c r="G128" s="832"/>
      <c r="H128" s="832"/>
      <c r="I128" s="832"/>
      <c r="J128" s="832"/>
      <c r="K128" s="832"/>
      <c r="L128" s="832"/>
      <c r="M128" s="832"/>
      <c r="N128" s="832"/>
      <c r="O128" s="832"/>
      <c r="P128" s="832"/>
      <c r="Q128" s="832"/>
      <c r="R128" s="832"/>
      <c r="S128" s="832"/>
      <c r="T128" s="832"/>
      <c r="U128" s="832"/>
      <c r="V128" s="832"/>
      <c r="W128" s="832"/>
      <c r="X128" s="832"/>
      <c r="Y128" s="832"/>
      <c r="Z128" s="832"/>
      <c r="AA128" s="832"/>
      <c r="AB128" s="832"/>
      <c r="AC128" s="832"/>
      <c r="AD128" s="833"/>
      <c r="AE128" s="3"/>
    </row>
    <row r="129" spans="1:44" ht="15" customHeight="1">
      <c r="B129" s="1006" t="s">
        <v>3157</v>
      </c>
      <c r="C129" s="893"/>
      <c r="D129" s="893"/>
      <c r="E129" s="893"/>
      <c r="F129" s="893"/>
      <c r="G129" s="893"/>
      <c r="H129" s="893"/>
      <c r="I129" s="893"/>
      <c r="J129" s="893"/>
      <c r="K129" s="893"/>
      <c r="L129" s="893"/>
      <c r="M129" s="893"/>
      <c r="N129" s="893"/>
      <c r="O129" s="893"/>
      <c r="P129" s="893"/>
      <c r="Q129" s="893"/>
      <c r="R129" s="893"/>
      <c r="S129" s="893"/>
      <c r="T129" s="893"/>
      <c r="U129" s="893"/>
      <c r="V129" s="893"/>
      <c r="W129" s="893"/>
      <c r="X129" s="893"/>
      <c r="Y129" s="893"/>
      <c r="Z129" s="893"/>
      <c r="AA129" s="893"/>
      <c r="AB129" s="893"/>
      <c r="AC129" s="893"/>
      <c r="AD129" s="1007"/>
    </row>
    <row r="130" spans="1:44" ht="60" customHeight="1">
      <c r="A130" s="94"/>
      <c r="B130" s="154"/>
      <c r="C130" s="754" t="s">
        <v>6557</v>
      </c>
      <c r="D130" s="754"/>
      <c r="E130" s="754"/>
      <c r="F130" s="754"/>
      <c r="G130" s="754"/>
      <c r="H130" s="754"/>
      <c r="I130" s="754"/>
      <c r="J130" s="754"/>
      <c r="K130" s="754"/>
      <c r="L130" s="754"/>
      <c r="M130" s="754"/>
      <c r="N130" s="754"/>
      <c r="O130" s="754"/>
      <c r="P130" s="754"/>
      <c r="Q130" s="754"/>
      <c r="R130" s="754"/>
      <c r="S130" s="754"/>
      <c r="T130" s="754"/>
      <c r="U130" s="754"/>
      <c r="V130" s="754"/>
      <c r="W130" s="754"/>
      <c r="X130" s="754"/>
      <c r="Y130" s="754"/>
      <c r="Z130" s="754"/>
      <c r="AA130" s="754"/>
      <c r="AB130" s="754"/>
      <c r="AC130" s="754"/>
      <c r="AD130" s="755"/>
    </row>
    <row r="131" spans="1:44" ht="24" customHeight="1">
      <c r="A131" s="94"/>
      <c r="B131" s="159"/>
      <c r="C131" s="764" t="s">
        <v>6558</v>
      </c>
      <c r="D131" s="764"/>
      <c r="E131" s="764"/>
      <c r="F131" s="764"/>
      <c r="G131" s="764"/>
      <c r="H131" s="764"/>
      <c r="I131" s="764"/>
      <c r="J131" s="764"/>
      <c r="K131" s="764"/>
      <c r="L131" s="764"/>
      <c r="M131" s="764"/>
      <c r="N131" s="764"/>
      <c r="O131" s="764"/>
      <c r="P131" s="764"/>
      <c r="Q131" s="764"/>
      <c r="R131" s="764"/>
      <c r="S131" s="764"/>
      <c r="T131" s="764"/>
      <c r="U131" s="764"/>
      <c r="V131" s="764"/>
      <c r="W131" s="764"/>
      <c r="X131" s="764"/>
      <c r="Y131" s="764"/>
      <c r="Z131" s="764"/>
      <c r="AA131" s="764"/>
      <c r="AB131" s="764"/>
      <c r="AC131" s="764"/>
      <c r="AD131" s="765"/>
    </row>
    <row r="132" spans="1:44" ht="15"/>
    <row r="133" spans="1:44" ht="36" customHeight="1">
      <c r="A133" s="49" t="s">
        <v>6559</v>
      </c>
      <c r="B133" s="960" t="s">
        <v>6560</v>
      </c>
      <c r="C133" s="960"/>
      <c r="D133" s="960"/>
      <c r="E133" s="960"/>
      <c r="F133" s="960"/>
      <c r="G133" s="960"/>
      <c r="H133" s="960"/>
      <c r="I133" s="960"/>
      <c r="J133" s="960"/>
      <c r="K133" s="960"/>
      <c r="L133" s="960"/>
      <c r="M133" s="960"/>
      <c r="N133" s="960"/>
      <c r="O133" s="960"/>
      <c r="P133" s="960"/>
      <c r="Q133" s="960"/>
      <c r="R133" s="960"/>
      <c r="S133" s="960"/>
      <c r="T133" s="960"/>
      <c r="U133" s="960"/>
      <c r="V133" s="960"/>
      <c r="W133" s="960"/>
      <c r="X133" s="960"/>
      <c r="Y133" s="960"/>
      <c r="Z133" s="960"/>
      <c r="AA133" s="960"/>
      <c r="AB133" s="960"/>
      <c r="AC133" s="960"/>
      <c r="AD133" s="960"/>
    </row>
    <row r="134" spans="1:44" ht="36" customHeight="1">
      <c r="A134" s="94"/>
      <c r="C134" s="830" t="s">
        <v>6561</v>
      </c>
      <c r="D134" s="830"/>
      <c r="E134" s="830"/>
      <c r="F134" s="830"/>
      <c r="G134" s="830"/>
      <c r="H134" s="830"/>
      <c r="I134" s="830"/>
      <c r="J134" s="830"/>
      <c r="K134" s="830"/>
      <c r="L134" s="830"/>
      <c r="M134" s="830"/>
      <c r="N134" s="830"/>
      <c r="O134" s="830"/>
      <c r="P134" s="830"/>
      <c r="Q134" s="830"/>
      <c r="R134" s="830"/>
      <c r="S134" s="830"/>
      <c r="T134" s="830"/>
      <c r="U134" s="830"/>
      <c r="V134" s="830"/>
      <c r="W134" s="830"/>
      <c r="X134" s="830"/>
      <c r="Y134" s="830"/>
      <c r="Z134" s="830"/>
      <c r="AA134" s="830"/>
      <c r="AB134" s="830"/>
      <c r="AC134" s="830"/>
      <c r="AD134" s="830"/>
    </row>
    <row r="135" spans="1:44" ht="24" customHeight="1">
      <c r="A135" s="94"/>
      <c r="C135" s="754" t="s">
        <v>6562</v>
      </c>
      <c r="D135" s="754"/>
      <c r="E135" s="754"/>
      <c r="F135" s="754"/>
      <c r="G135" s="754"/>
      <c r="H135" s="754"/>
      <c r="I135" s="754"/>
      <c r="J135" s="754"/>
      <c r="K135" s="754"/>
      <c r="L135" s="754"/>
      <c r="M135" s="754"/>
      <c r="N135" s="754"/>
      <c r="O135" s="754"/>
      <c r="P135" s="754"/>
      <c r="Q135" s="754"/>
      <c r="R135" s="754"/>
      <c r="S135" s="754"/>
      <c r="T135" s="754"/>
      <c r="U135" s="754"/>
      <c r="V135" s="754"/>
      <c r="W135" s="754"/>
      <c r="X135" s="754"/>
      <c r="Y135" s="754"/>
      <c r="Z135" s="754"/>
      <c r="AA135" s="754"/>
      <c r="AB135" s="754"/>
      <c r="AC135" s="754"/>
      <c r="AD135" s="754"/>
    </row>
    <row r="136" spans="1:44" ht="24" customHeight="1">
      <c r="A136" s="108"/>
      <c r="B136" s="106"/>
      <c r="C136" s="830" t="s">
        <v>6563</v>
      </c>
      <c r="D136" s="830"/>
      <c r="E136" s="830"/>
      <c r="F136" s="830"/>
      <c r="G136" s="830"/>
      <c r="H136" s="830"/>
      <c r="I136" s="830"/>
      <c r="J136" s="830"/>
      <c r="K136" s="830"/>
      <c r="L136" s="830"/>
      <c r="M136" s="830"/>
      <c r="N136" s="830"/>
      <c r="O136" s="830"/>
      <c r="P136" s="830"/>
      <c r="Q136" s="830"/>
      <c r="R136" s="830"/>
      <c r="S136" s="830"/>
      <c r="T136" s="830"/>
      <c r="U136" s="830"/>
      <c r="V136" s="830"/>
      <c r="W136" s="830"/>
      <c r="X136" s="830"/>
      <c r="Y136" s="830"/>
      <c r="Z136" s="830"/>
      <c r="AA136" s="830"/>
      <c r="AB136" s="830"/>
      <c r="AC136" s="830"/>
      <c r="AD136" s="830"/>
    </row>
    <row r="137" spans="1:44" ht="15" customHeight="1">
      <c r="A137" s="211"/>
      <c r="B137" s="57"/>
      <c r="C137" s="57"/>
      <c r="D137" s="57"/>
      <c r="E137" s="57"/>
      <c r="F137" s="57"/>
      <c r="G137" s="57"/>
      <c r="H137" s="57"/>
      <c r="I137" s="57"/>
      <c r="J137" s="57"/>
      <c r="K137" s="57"/>
      <c r="L137" s="57"/>
      <c r="M137" s="57"/>
      <c r="N137" s="57"/>
      <c r="O137" s="57"/>
      <c r="P137" s="57"/>
      <c r="Q137" s="57"/>
      <c r="R137" s="57"/>
      <c r="S137" s="57"/>
      <c r="T137" s="57"/>
      <c r="U137" s="57"/>
      <c r="V137" s="57"/>
      <c r="W137" s="57"/>
      <c r="X137" s="57"/>
      <c r="Y137" s="57"/>
      <c r="Z137" s="57"/>
      <c r="AA137" s="57"/>
      <c r="AB137" s="57"/>
      <c r="AC137" s="57"/>
      <c r="AD137" s="57"/>
    </row>
    <row r="138" spans="1:44" ht="15" customHeight="1">
      <c r="A138" s="108"/>
      <c r="B138" s="106"/>
      <c r="C138" s="86"/>
      <c r="D138" s="86"/>
      <c r="E138" s="86"/>
      <c r="F138" s="86"/>
      <c r="G138" s="86"/>
      <c r="H138" s="86"/>
      <c r="I138" s="86"/>
      <c r="J138" s="86"/>
      <c r="K138" s="86"/>
      <c r="L138" s="86"/>
      <c r="M138" s="86"/>
      <c r="N138" s="86"/>
      <c r="O138" s="86"/>
      <c r="P138" s="86"/>
      <c r="Q138" s="86"/>
      <c r="R138" s="86"/>
      <c r="S138" s="86"/>
      <c r="T138" s="86"/>
      <c r="U138" s="86"/>
      <c r="V138" s="86"/>
      <c r="W138" s="86"/>
      <c r="X138" s="86"/>
      <c r="Y138" s="655"/>
      <c r="Z138" s="655"/>
      <c r="AA138" s="1180" t="s">
        <v>6564</v>
      </c>
      <c r="AB138" s="1180"/>
      <c r="AC138" s="1180"/>
      <c r="AD138" s="1180"/>
      <c r="AG138"/>
      <c r="AH138"/>
      <c r="AI138"/>
      <c r="AJ138"/>
      <c r="AK138"/>
      <c r="AL138"/>
      <c r="AM138"/>
      <c r="AN138"/>
      <c r="AO138" s="1176" t="s">
        <v>6522</v>
      </c>
      <c r="AP138" s="1176" t="s">
        <v>6565</v>
      </c>
      <c r="AQ138"/>
      <c r="AR138"/>
    </row>
    <row r="139" spans="1:44" ht="15" customHeight="1">
      <c r="A139" s="211"/>
      <c r="B139" s="57"/>
      <c r="C139" s="57"/>
      <c r="D139" s="57"/>
      <c r="E139" s="57"/>
      <c r="F139" s="57"/>
      <c r="G139" s="57"/>
      <c r="H139" s="57"/>
      <c r="I139" s="57"/>
      <c r="J139" s="57"/>
      <c r="K139" s="57"/>
      <c r="L139" s="57"/>
      <c r="M139" s="57"/>
      <c r="N139" s="57"/>
      <c r="O139" s="57"/>
      <c r="P139" s="57"/>
      <c r="Q139" s="57"/>
      <c r="R139" s="57"/>
      <c r="S139" s="57"/>
      <c r="T139" s="57"/>
      <c r="U139" s="57"/>
      <c r="V139" s="57"/>
      <c r="W139" s="57"/>
      <c r="X139" s="57"/>
      <c r="Y139" s="57"/>
      <c r="Z139" s="57"/>
      <c r="AG139"/>
      <c r="AH139"/>
      <c r="AI139"/>
      <c r="AJ139"/>
      <c r="AK139"/>
      <c r="AL139"/>
      <c r="AM139"/>
      <c r="AN139"/>
      <c r="AO139" s="1176"/>
      <c r="AP139" s="1176"/>
      <c r="AQ139"/>
      <c r="AR139"/>
    </row>
    <row r="140" spans="1:44" ht="132" customHeight="1">
      <c r="A140" s="94"/>
      <c r="C140" s="739" t="s">
        <v>6566</v>
      </c>
      <c r="D140" s="740"/>
      <c r="E140" s="740"/>
      <c r="F140" s="740"/>
      <c r="G140" s="740"/>
      <c r="H140" s="741"/>
      <c r="I140" s="739" t="s">
        <v>3941</v>
      </c>
      <c r="J140" s="740"/>
      <c r="K140" s="740"/>
      <c r="L140" s="740"/>
      <c r="M140" s="740"/>
      <c r="N140" s="741"/>
      <c r="O140" s="739" t="s">
        <v>3942</v>
      </c>
      <c r="P140" s="740"/>
      <c r="Q140" s="740"/>
      <c r="R140" s="740"/>
      <c r="S140" s="740"/>
      <c r="T140" s="740"/>
      <c r="U140" s="740"/>
      <c r="V140" s="740"/>
      <c r="W140" s="740"/>
      <c r="X140" s="740"/>
      <c r="Y140" s="740"/>
      <c r="Z140" s="740"/>
      <c r="AA140" s="740"/>
      <c r="AB140" s="740"/>
      <c r="AC140" s="740"/>
      <c r="AD140" s="741"/>
      <c r="AG140" s="354" t="s">
        <v>2586</v>
      </c>
      <c r="AH140" s="282" t="s">
        <v>2590</v>
      </c>
      <c r="AI140" s="496" t="s">
        <v>2587</v>
      </c>
      <c r="AJ140" s="497"/>
      <c r="AK140" s="496" t="s">
        <v>2588</v>
      </c>
      <c r="AL140" s="497"/>
      <c r="AM140" s="496" t="s">
        <v>2589</v>
      </c>
      <c r="AN140"/>
      <c r="AO140" s="1176"/>
      <c r="AP140" s="1176"/>
      <c r="AQ140" s="256" t="s">
        <v>2591</v>
      </c>
      <c r="AR140" s="257" t="s">
        <v>2592</v>
      </c>
    </row>
    <row r="141" spans="1:44" ht="15" customHeight="1">
      <c r="A141" s="94"/>
      <c r="C141" s="816"/>
      <c r="D141" s="738"/>
      <c r="E141" s="738"/>
      <c r="F141" s="738"/>
      <c r="G141" s="738"/>
      <c r="H141" s="738"/>
      <c r="I141" s="1038"/>
      <c r="J141" s="1039"/>
      <c r="K141" s="1039"/>
      <c r="L141" s="1039"/>
      <c r="M141" s="1039"/>
      <c r="N141" s="1039"/>
      <c r="O141" s="749"/>
      <c r="P141" s="749"/>
      <c r="Q141" s="749"/>
      <c r="R141" s="749"/>
      <c r="S141" s="749"/>
      <c r="T141" s="749"/>
      <c r="U141" s="749"/>
      <c r="V141" s="749"/>
      <c r="W141" s="749"/>
      <c r="X141" s="749"/>
      <c r="Y141" s="749"/>
      <c r="Z141" s="749"/>
      <c r="AA141" s="749"/>
      <c r="AB141" s="749"/>
      <c r="AC141" s="749"/>
      <c r="AD141" s="749"/>
      <c r="AG141" s="326">
        <f>IF(AND(OR($I$25="X",$T$25="X"),COUNTA(C141:AD141)=0),0,IF(AND($I$25="",$T$25="",$C$141&lt;&gt;"",$C$141&lt;&gt;1,COUNTA(I141:AD141)=0),0,IF(AND($I$25="",$T$25="",$C$141&lt;&gt;"",$C$141=1,COUNTA(I141:AD141)=2),0,IF(AND($C$141="",COUNTA(I141:AD141)=0),0,1))))</f>
        <v>0</v>
      </c>
      <c r="AH141" s="283">
        <f>COUNTIF(I141:AD141,"NS")</f>
        <v>0</v>
      </c>
      <c r="AI141" s="326" t="b">
        <f>NOT(EXACT(O141,UPPER(O141)))</f>
        <v>0</v>
      </c>
      <c r="AJ141" s="326" t="str">
        <f>SUBSTITUTE( SUBSTITUTE( SUBSTITUTE( SUBSTITUTE( SUBSTITUTE( SUBSTITUTE( SUBSTITUTE( SUBSTITUTE( SUBSTITUTE( SUBSTITUTE(O141, "á", "a"), "é", "e"), "í", "i"), "ó", "o"), "ú", "u"), "Á", "A"), "É", "E"), "Í", "I"), "Ó", "O"), "Ú", "U")</f>
        <v/>
      </c>
      <c r="AK141" s="326" t="b">
        <f>NOT(EXACT(O141,AJ141))</f>
        <v>0</v>
      </c>
      <c r="AL141" s="326" t="str">
        <f>SUBSTITUTE((SUBSTITUTE(SUBSTITUTE(SUBSTITUTE(O141,".",""),",",""),"(","")),")","")</f>
        <v/>
      </c>
      <c r="AM141" s="326" t="b">
        <f>NOT(EXACT(O141,AL141))</f>
        <v>0</v>
      </c>
      <c r="AN141"/>
      <c r="AO141" s="342">
        <f>IF(AND(OR($I$25="X",$T$25="X"),COUNTA(C141:AD141)&gt;0),1,0)</f>
        <v>0</v>
      </c>
      <c r="AP141">
        <f>IF(AND($C$141&lt;&gt;"",$C$141&lt;&gt;1,COUNTA(I141:AD141)&gt;0),1,0)</f>
        <v>0</v>
      </c>
      <c r="AQ141" s="253">
        <f>LEN(I141)</f>
        <v>0</v>
      </c>
      <c r="AR141" s="253">
        <f>IF(I141="NS",0,IF(AND(I141&lt;&gt;"",SUM(AQ141)=4),0,IF(I141="",0,1)))</f>
        <v>0</v>
      </c>
    </row>
    <row r="142" spans="1:44" ht="15">
      <c r="A142" s="89"/>
      <c r="B142" s="90"/>
      <c r="C142" s="57"/>
      <c r="D142" s="57"/>
      <c r="E142" s="57"/>
      <c r="F142" s="57"/>
      <c r="G142" s="57"/>
      <c r="H142" s="57"/>
      <c r="I142" s="57"/>
      <c r="J142" s="57"/>
      <c r="K142" s="57"/>
      <c r="L142" s="57"/>
      <c r="M142" s="57"/>
      <c r="N142" s="57"/>
      <c r="O142" s="57"/>
      <c r="P142" s="57"/>
      <c r="Q142" s="57"/>
      <c r="R142" s="57"/>
      <c r="S142" s="57"/>
      <c r="T142" s="57"/>
      <c r="U142" s="57"/>
      <c r="V142" s="57"/>
      <c r="W142" s="57"/>
      <c r="X142" s="57"/>
      <c r="Y142" s="57"/>
      <c r="Z142" s="57"/>
      <c r="AA142" s="57"/>
      <c r="AB142" s="57"/>
      <c r="AC142" s="57"/>
      <c r="AD142" s="57"/>
      <c r="AG142"/>
      <c r="AH142"/>
      <c r="AI142" s="498">
        <f>COUNTIF(AI141,TRUE)</f>
        <v>0</v>
      </c>
      <c r="AJ142" s="283"/>
      <c r="AK142" s="498">
        <f>COUNTIF(AK141,TRUE)</f>
        <v>0</v>
      </c>
      <c r="AL142" s="283"/>
      <c r="AM142" s="498">
        <f>COUNTIF(AM141,TRUE)</f>
        <v>0</v>
      </c>
      <c r="AN142" s="498">
        <f>SUM(AI142,AK142,AM142)</f>
        <v>0</v>
      </c>
      <c r="AO142"/>
      <c r="AP142"/>
      <c r="AQ142"/>
      <c r="AR142"/>
    </row>
    <row r="143" spans="1:44" ht="24" customHeight="1">
      <c r="A143" s="94"/>
      <c r="C143" s="764" t="s">
        <v>2611</v>
      </c>
      <c r="D143" s="764"/>
      <c r="E143" s="764"/>
      <c r="F143" s="764"/>
      <c r="G143" s="764"/>
      <c r="H143" s="764"/>
      <c r="I143" s="764"/>
      <c r="J143" s="764"/>
      <c r="K143" s="764"/>
      <c r="L143" s="764"/>
      <c r="M143" s="764"/>
      <c r="N143" s="764"/>
      <c r="O143" s="764"/>
      <c r="P143" s="764"/>
      <c r="Q143" s="764"/>
      <c r="R143" s="764"/>
      <c r="S143" s="764"/>
      <c r="T143" s="764"/>
      <c r="U143" s="764"/>
      <c r="V143" s="764"/>
      <c r="W143" s="764"/>
      <c r="X143" s="764"/>
      <c r="Y143" s="764"/>
      <c r="Z143" s="764"/>
      <c r="AA143" s="764"/>
      <c r="AB143" s="764"/>
      <c r="AC143" s="764"/>
      <c r="AD143" s="764"/>
    </row>
    <row r="144" spans="1:44" ht="60" customHeight="1">
      <c r="A144" s="94"/>
      <c r="C144" s="1078"/>
      <c r="D144" s="1079"/>
      <c r="E144" s="1079"/>
      <c r="F144" s="1079"/>
      <c r="G144" s="1079"/>
      <c r="H144" s="1079"/>
      <c r="I144" s="1079"/>
      <c r="J144" s="1079"/>
      <c r="K144" s="1079"/>
      <c r="L144" s="1079"/>
      <c r="M144" s="1079"/>
      <c r="N144" s="1079"/>
      <c r="O144" s="1079"/>
      <c r="P144" s="1079"/>
      <c r="Q144" s="1079"/>
      <c r="R144" s="1079"/>
      <c r="S144" s="1079"/>
      <c r="T144" s="1079"/>
      <c r="U144" s="1079"/>
      <c r="V144" s="1079"/>
      <c r="W144" s="1079"/>
      <c r="X144" s="1079"/>
      <c r="Y144" s="1079"/>
      <c r="Z144" s="1079"/>
      <c r="AA144" s="1079"/>
      <c r="AB144" s="1079"/>
      <c r="AC144" s="1079"/>
      <c r="AD144" s="1080"/>
    </row>
    <row r="145" spans="1:35" ht="15" customHeight="1">
      <c r="A145" s="94"/>
      <c r="B145" s="794" t="str">
        <f>IF(AG141&gt;0,"Favor de ingresar toda la información requerida en la pregunta y/o verifique que no tenga información en celdas sombreadas","")</f>
        <v/>
      </c>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row>
    <row r="146" spans="1:35" ht="15" customHeight="1">
      <c r="A146" s="94"/>
      <c r="B146" s="795" t="str">
        <f>IF(AH141&gt;0,"Alerta: debido a que cuenta con registros NS, debe proporcionar una justificación en el area de comentarios al final de la pregunta","")</f>
        <v/>
      </c>
      <c r="C146" s="795"/>
      <c r="D146" s="795"/>
      <c r="E146" s="795"/>
      <c r="F146" s="795"/>
      <c r="G146" s="795"/>
      <c r="H146" s="795"/>
      <c r="I146" s="795"/>
      <c r="J146" s="795"/>
      <c r="K146" s="795"/>
      <c r="L146" s="795"/>
      <c r="M146" s="795"/>
      <c r="N146" s="795"/>
      <c r="O146" s="795"/>
      <c r="P146" s="795"/>
      <c r="Q146" s="795"/>
      <c r="R146" s="795"/>
      <c r="S146" s="795"/>
      <c r="T146" s="795"/>
      <c r="U146" s="795"/>
      <c r="V146" s="795"/>
      <c r="W146" s="795"/>
      <c r="X146" s="795"/>
      <c r="Y146" s="795"/>
      <c r="Z146" s="795"/>
      <c r="AA146" s="795"/>
      <c r="AB146" s="795"/>
      <c r="AC146" s="795"/>
      <c r="AD146" s="795"/>
    </row>
    <row r="147" spans="1:35" ht="15" customHeight="1">
      <c r="A147" s="94"/>
      <c r="B147" s="794" t="str">
        <f>IF(AN142=0,"","El nombre debe registrarse en mayúsculas, sin comillas ni signos de acentuación, puntuación, paréntesis y abreviaturas")</f>
        <v/>
      </c>
      <c r="C147" s="794"/>
      <c r="D147" s="794"/>
      <c r="E147" s="794"/>
      <c r="F147" s="794"/>
      <c r="G147" s="794"/>
      <c r="H147" s="794"/>
      <c r="I147" s="794"/>
      <c r="J147" s="794"/>
      <c r="K147" s="794"/>
      <c r="L147" s="794"/>
      <c r="M147" s="794"/>
      <c r="N147" s="794"/>
      <c r="O147" s="794"/>
      <c r="P147" s="794"/>
      <c r="Q147" s="794"/>
      <c r="R147" s="794"/>
      <c r="S147" s="794"/>
      <c r="T147" s="794"/>
      <c r="U147" s="794"/>
      <c r="V147" s="794"/>
      <c r="W147" s="794"/>
      <c r="X147" s="794"/>
      <c r="Y147" s="794"/>
      <c r="Z147" s="794"/>
      <c r="AA147" s="794"/>
      <c r="AB147" s="794"/>
      <c r="AC147" s="794"/>
      <c r="AD147" s="794"/>
    </row>
    <row r="148" spans="1:35" ht="15" customHeight="1">
      <c r="A148" s="94"/>
      <c r="B148" s="794" t="str">
        <f>IF(AR141&gt;0,"Favor de ingresar una fecha válida y/o verifique que el formato solicitado esté correcto","")</f>
        <v/>
      </c>
      <c r="C148" s="794"/>
      <c r="D148" s="794"/>
      <c r="E148" s="794"/>
      <c r="F148" s="794"/>
      <c r="G148" s="794"/>
      <c r="H148" s="794"/>
      <c r="I148" s="794"/>
      <c r="J148" s="794"/>
      <c r="K148" s="794"/>
      <c r="L148" s="794"/>
      <c r="M148" s="794"/>
      <c r="N148" s="794"/>
      <c r="O148" s="794"/>
      <c r="P148" s="794"/>
      <c r="Q148" s="794"/>
      <c r="R148" s="794"/>
      <c r="S148" s="794"/>
      <c r="T148" s="794"/>
      <c r="U148" s="794"/>
      <c r="V148" s="794"/>
      <c r="W148" s="794"/>
      <c r="X148" s="794"/>
      <c r="Y148" s="794"/>
      <c r="Z148" s="794"/>
      <c r="AA148" s="794"/>
      <c r="AB148" s="794"/>
      <c r="AC148" s="794"/>
      <c r="AD148" s="794"/>
    </row>
    <row r="149" spans="1:35" ht="15" customHeight="1">
      <c r="A149" s="94"/>
    </row>
    <row r="150" spans="1:35" ht="15" customHeight="1">
      <c r="A150" s="94"/>
    </row>
    <row r="151" spans="1:35" ht="36" customHeight="1">
      <c r="A151" s="108" t="s">
        <v>6567</v>
      </c>
      <c r="B151" s="829" t="s">
        <v>6568</v>
      </c>
      <c r="C151" s="829"/>
      <c r="D151" s="829"/>
      <c r="E151" s="829"/>
      <c r="F151" s="829"/>
      <c r="G151" s="829"/>
      <c r="H151" s="829"/>
      <c r="I151" s="829"/>
      <c r="J151" s="829"/>
      <c r="K151" s="829"/>
      <c r="L151" s="829"/>
      <c r="M151" s="829"/>
      <c r="N151" s="829"/>
      <c r="O151" s="829"/>
      <c r="P151" s="829"/>
      <c r="Q151" s="829"/>
      <c r="R151" s="829"/>
      <c r="S151" s="829"/>
      <c r="T151" s="829"/>
      <c r="U151" s="829"/>
      <c r="V151" s="829"/>
      <c r="W151" s="829"/>
      <c r="X151" s="829"/>
      <c r="Y151" s="829"/>
      <c r="Z151" s="829"/>
      <c r="AA151" s="829"/>
      <c r="AB151" s="829"/>
      <c r="AC151" s="829"/>
      <c r="AD151" s="829"/>
    </row>
    <row r="152" spans="1:35" ht="15" customHeight="1">
      <c r="A152" s="211"/>
      <c r="B152" s="57"/>
      <c r="C152" s="830" t="s">
        <v>3945</v>
      </c>
      <c r="D152" s="830"/>
      <c r="E152" s="830"/>
      <c r="F152" s="830"/>
      <c r="G152" s="830"/>
      <c r="H152" s="830"/>
      <c r="I152" s="830"/>
      <c r="J152" s="830"/>
      <c r="K152" s="830"/>
      <c r="L152" s="830"/>
      <c r="M152" s="830"/>
      <c r="N152" s="830"/>
      <c r="O152" s="830"/>
      <c r="P152" s="830"/>
      <c r="Q152" s="830"/>
      <c r="R152" s="830"/>
      <c r="S152" s="830"/>
      <c r="T152" s="830"/>
      <c r="U152" s="830"/>
      <c r="V152" s="830"/>
      <c r="W152" s="830"/>
      <c r="X152" s="830"/>
      <c r="Y152" s="830"/>
      <c r="Z152" s="830"/>
      <c r="AA152" s="830"/>
      <c r="AB152" s="830"/>
      <c r="AC152" s="830"/>
      <c r="AD152" s="830"/>
    </row>
    <row r="153" spans="1:35" ht="24" customHeight="1">
      <c r="A153" s="49"/>
      <c r="B153" s="38"/>
      <c r="C153" s="754" t="s">
        <v>6569</v>
      </c>
      <c r="D153" s="754"/>
      <c r="E153" s="754"/>
      <c r="F153" s="754"/>
      <c r="G153" s="754"/>
      <c r="H153" s="754"/>
      <c r="I153" s="754"/>
      <c r="J153" s="754"/>
      <c r="K153" s="754"/>
      <c r="L153" s="754"/>
      <c r="M153" s="754"/>
      <c r="N153" s="754"/>
      <c r="O153" s="754"/>
      <c r="P153" s="754"/>
      <c r="Q153" s="754"/>
      <c r="R153" s="754"/>
      <c r="S153" s="754"/>
      <c r="T153" s="754"/>
      <c r="U153" s="754"/>
      <c r="V153" s="754"/>
      <c r="W153" s="754"/>
      <c r="X153" s="754"/>
      <c r="Y153" s="754"/>
      <c r="Z153" s="754"/>
      <c r="AA153" s="754"/>
      <c r="AB153" s="754"/>
      <c r="AC153" s="754"/>
      <c r="AD153" s="754"/>
      <c r="AH153" s="1176" t="s">
        <v>6512</v>
      </c>
      <c r="AI153" s="1181" t="s">
        <v>6570</v>
      </c>
    </row>
    <row r="154" spans="1:35" ht="15" customHeight="1" thickBot="1">
      <c r="A154" s="210"/>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G154" s="499" t="s">
        <v>3947</v>
      </c>
      <c r="AH154" s="1176"/>
      <c r="AI154" s="1181"/>
    </row>
    <row r="155" spans="1:35" ht="15" customHeight="1" thickBot="1">
      <c r="A155" s="210"/>
      <c r="B155" s="38"/>
      <c r="C155" s="137"/>
      <c r="D155" s="54" t="s">
        <v>6571</v>
      </c>
      <c r="E155" s="38"/>
      <c r="F155" s="38"/>
      <c r="G155" s="38"/>
      <c r="H155" s="38"/>
      <c r="I155" s="38"/>
      <c r="J155" s="54"/>
      <c r="K155" s="38"/>
      <c r="L155" s="137"/>
      <c r="M155" s="54" t="s">
        <v>3950</v>
      </c>
      <c r="N155" s="38"/>
      <c r="O155" s="38"/>
      <c r="P155" s="38"/>
      <c r="Q155" s="38"/>
      <c r="R155" s="38"/>
      <c r="S155" s="38"/>
      <c r="T155" s="137"/>
      <c r="U155" s="54" t="s">
        <v>3673</v>
      </c>
      <c r="V155" s="38"/>
      <c r="W155" s="38"/>
      <c r="X155" s="38"/>
      <c r="Y155" s="38"/>
      <c r="Z155" s="38"/>
      <c r="AA155" s="38"/>
      <c r="AB155" s="38"/>
      <c r="AC155" s="38"/>
      <c r="AD155" s="38"/>
      <c r="AG155">
        <f>IF(COUNTA(C155,L155,T155)=0,0,IF(COUNTA(C155,L155,T155)=1,0,1))</f>
        <v>0</v>
      </c>
      <c r="AH155" s="342">
        <f>IF(AND(OR($I$25="X",$T$25="X"),COUNTA(C155,L155,T155)&gt;0),1,0)</f>
        <v>0</v>
      </c>
      <c r="AI155" s="342">
        <f>IF(AND($C$141&lt;&gt;"",$C$141&lt;&gt;1,COUNTA(C155,L155,T155)&gt;0),1,0)</f>
        <v>0</v>
      </c>
    </row>
    <row r="156" spans="1:35" ht="15" customHeight="1">
      <c r="A156" s="211"/>
      <c r="B156" s="57"/>
      <c r="C156" s="57"/>
      <c r="D156" s="57"/>
      <c r="E156" s="57"/>
      <c r="F156" s="57"/>
      <c r="G156" s="57"/>
      <c r="H156" s="57"/>
      <c r="I156" s="57"/>
      <c r="J156" s="57"/>
      <c r="K156" s="57"/>
      <c r="L156" s="57"/>
      <c r="M156" s="57"/>
      <c r="N156" s="57"/>
      <c r="O156" s="57"/>
      <c r="P156" s="57"/>
      <c r="Q156" s="57"/>
      <c r="R156" s="57"/>
      <c r="S156" s="57"/>
      <c r="T156" s="57"/>
      <c r="U156" s="57"/>
      <c r="V156" s="57"/>
      <c r="W156" s="57"/>
      <c r="X156" s="57"/>
      <c r="Y156" s="57"/>
      <c r="Z156" s="57"/>
      <c r="AA156" s="57"/>
      <c r="AB156" s="57"/>
      <c r="AC156" s="57"/>
      <c r="AD156" s="57"/>
    </row>
    <row r="157" spans="1:35" ht="24" customHeight="1">
      <c r="A157" s="211"/>
      <c r="B157" s="57"/>
      <c r="C157" s="754" t="s">
        <v>2611</v>
      </c>
      <c r="D157" s="754"/>
      <c r="E157" s="754"/>
      <c r="F157" s="754"/>
      <c r="G157" s="754"/>
      <c r="H157" s="754"/>
      <c r="I157" s="754"/>
      <c r="J157" s="754"/>
      <c r="K157" s="754"/>
      <c r="L157" s="754"/>
      <c r="M157" s="754"/>
      <c r="N157" s="754"/>
      <c r="O157" s="754"/>
      <c r="P157" s="754"/>
      <c r="Q157" s="754"/>
      <c r="R157" s="754"/>
      <c r="S157" s="754"/>
      <c r="T157" s="754"/>
      <c r="U157" s="754"/>
      <c r="V157" s="754"/>
      <c r="W157" s="754"/>
      <c r="X157" s="754"/>
      <c r="Y157" s="754"/>
      <c r="Z157" s="754"/>
      <c r="AA157" s="754"/>
      <c r="AB157" s="754"/>
      <c r="AC157" s="754"/>
      <c r="AD157" s="754"/>
    </row>
    <row r="158" spans="1:35" ht="60" customHeight="1">
      <c r="A158" s="211"/>
      <c r="B158" s="57"/>
      <c r="C158" s="851"/>
      <c r="D158" s="851"/>
      <c r="E158" s="851"/>
      <c r="F158" s="851"/>
      <c r="G158" s="851"/>
      <c r="H158" s="851"/>
      <c r="I158" s="851"/>
      <c r="J158" s="851"/>
      <c r="K158" s="851"/>
      <c r="L158" s="851"/>
      <c r="M158" s="851"/>
      <c r="N158" s="851"/>
      <c r="O158" s="851"/>
      <c r="P158" s="851"/>
      <c r="Q158" s="851"/>
      <c r="R158" s="851"/>
      <c r="S158" s="851"/>
      <c r="T158" s="851"/>
      <c r="U158" s="851"/>
      <c r="V158" s="851"/>
      <c r="W158" s="851"/>
      <c r="X158" s="851"/>
      <c r="Y158" s="851"/>
      <c r="Z158" s="851"/>
      <c r="AA158" s="851"/>
      <c r="AB158" s="851"/>
      <c r="AC158" s="851"/>
      <c r="AD158" s="851"/>
    </row>
    <row r="159" spans="1:35" ht="15" customHeight="1">
      <c r="A159" s="211"/>
      <c r="B159" s="794" t="str">
        <f>IF(OR(AH155&gt;0,AI155&gt;0),"Favor de ingresar toda la información requerida en la pregunta y/o verifique que no tenga información en celdas sombreadas","")</f>
        <v/>
      </c>
      <c r="C159" s="794"/>
      <c r="D159" s="794"/>
      <c r="E159" s="794"/>
      <c r="F159" s="794"/>
      <c r="G159" s="794"/>
      <c r="H159" s="794"/>
      <c r="I159" s="794"/>
      <c r="J159" s="794"/>
      <c r="K159" s="794"/>
      <c r="L159" s="794"/>
      <c r="M159" s="794"/>
      <c r="N159" s="794"/>
      <c r="O159" s="794"/>
      <c r="P159" s="794"/>
      <c r="Q159" s="794"/>
      <c r="R159" s="794"/>
      <c r="S159" s="794"/>
      <c r="T159" s="794"/>
      <c r="U159" s="794"/>
      <c r="V159" s="794"/>
      <c r="W159" s="794"/>
      <c r="X159" s="794"/>
      <c r="Y159" s="794"/>
      <c r="Z159" s="794"/>
      <c r="AA159" s="794"/>
      <c r="AB159" s="794"/>
      <c r="AC159" s="794"/>
      <c r="AD159" s="794"/>
    </row>
    <row r="160" spans="1:35" ht="15" customHeight="1">
      <c r="A160" s="211"/>
      <c r="B160" s="794" t="str">
        <f>IF(AG155&gt;0,"Favor de seleccionar solo un código","")</f>
        <v/>
      </c>
      <c r="C160" s="794"/>
      <c r="D160" s="794"/>
      <c r="E160" s="794"/>
      <c r="F160" s="794"/>
      <c r="G160" s="794"/>
      <c r="H160" s="794"/>
      <c r="I160" s="794"/>
      <c r="J160" s="794"/>
      <c r="K160" s="794"/>
      <c r="L160" s="794"/>
      <c r="M160" s="794"/>
      <c r="N160" s="794"/>
      <c r="O160" s="794"/>
      <c r="P160" s="794"/>
      <c r="Q160" s="794"/>
      <c r="R160" s="794"/>
      <c r="S160" s="794"/>
      <c r="T160" s="794"/>
      <c r="U160" s="794"/>
      <c r="V160" s="794"/>
      <c r="W160" s="794"/>
      <c r="X160" s="794"/>
      <c r="Y160" s="794"/>
      <c r="Z160" s="794"/>
      <c r="AA160" s="794"/>
      <c r="AB160" s="794"/>
      <c r="AC160" s="794"/>
      <c r="AD160" s="794"/>
    </row>
    <row r="161" spans="1:39" ht="15" customHeight="1">
      <c r="A161" s="211"/>
      <c r="B161" s="57"/>
      <c r="C161" s="57"/>
      <c r="D161" s="57"/>
      <c r="E161" s="57"/>
      <c r="F161" s="57"/>
      <c r="G161" s="57"/>
      <c r="H161" s="57"/>
      <c r="I161" s="57"/>
      <c r="J161" s="57"/>
      <c r="K161" s="57"/>
      <c r="L161" s="57"/>
      <c r="M161" s="57"/>
      <c r="N161" s="57"/>
      <c r="O161" s="57"/>
      <c r="P161" s="57"/>
      <c r="Q161" s="57"/>
      <c r="R161" s="57"/>
      <c r="S161" s="57"/>
      <c r="T161" s="57"/>
      <c r="U161" s="57"/>
      <c r="V161" s="57"/>
      <c r="W161" s="57"/>
      <c r="X161" s="57"/>
      <c r="Y161" s="57"/>
      <c r="Z161" s="57"/>
      <c r="AA161" s="57"/>
      <c r="AB161" s="57"/>
      <c r="AC161" s="57"/>
      <c r="AD161" s="57"/>
    </row>
    <row r="162" spans="1:39" ht="15" customHeight="1">
      <c r="A162" s="211"/>
      <c r="B162" s="57"/>
      <c r="C162" s="57"/>
      <c r="D162" s="57"/>
      <c r="E162" s="57"/>
      <c r="F162" s="57"/>
      <c r="G162" s="57"/>
      <c r="H162" s="57"/>
      <c r="I162" s="57"/>
      <c r="J162" s="57"/>
      <c r="K162" s="57"/>
      <c r="L162" s="57"/>
      <c r="M162" s="57"/>
      <c r="N162" s="57"/>
      <c r="O162" s="57"/>
      <c r="P162" s="57"/>
      <c r="Q162" s="57"/>
      <c r="R162" s="57"/>
      <c r="S162" s="57"/>
      <c r="T162" s="57"/>
      <c r="U162" s="57"/>
      <c r="V162" s="57"/>
      <c r="W162" s="57"/>
      <c r="X162" s="57"/>
      <c r="Y162" s="57"/>
      <c r="Z162" s="57"/>
      <c r="AA162" s="57"/>
      <c r="AB162" s="57"/>
      <c r="AC162" s="57"/>
      <c r="AD162" s="57"/>
    </row>
    <row r="163" spans="1:39" ht="15" customHeight="1">
      <c r="A163" s="211"/>
      <c r="B163" s="57"/>
      <c r="C163" s="57"/>
      <c r="D163" s="57"/>
      <c r="E163" s="57"/>
      <c r="F163" s="57"/>
      <c r="G163" s="57"/>
      <c r="H163" s="57"/>
      <c r="I163" s="57"/>
      <c r="J163" s="57"/>
      <c r="K163" s="57"/>
      <c r="L163" s="57"/>
      <c r="M163" s="57"/>
      <c r="N163" s="57"/>
      <c r="O163" s="57"/>
      <c r="P163" s="57"/>
      <c r="Q163" s="57"/>
      <c r="R163" s="57"/>
      <c r="S163" s="57"/>
      <c r="T163" s="57"/>
      <c r="U163" s="57"/>
      <c r="V163" s="57"/>
      <c r="W163" s="57"/>
      <c r="X163" s="57"/>
      <c r="Y163" s="57"/>
      <c r="Z163" s="57"/>
      <c r="AA163" s="57"/>
      <c r="AB163" s="57"/>
      <c r="AC163" s="57"/>
      <c r="AD163" s="57"/>
    </row>
    <row r="164" spans="1:39" ht="15" customHeight="1">
      <c r="A164" s="211"/>
      <c r="B164" s="57"/>
      <c r="C164" s="57"/>
      <c r="D164" s="57"/>
      <c r="E164" s="57"/>
      <c r="F164" s="57"/>
      <c r="G164" s="57"/>
      <c r="H164" s="57"/>
      <c r="I164" s="57"/>
      <c r="J164" s="57"/>
      <c r="K164" s="57"/>
      <c r="L164" s="57"/>
      <c r="M164" s="57"/>
      <c r="N164" s="57"/>
      <c r="O164" s="57"/>
      <c r="P164" s="57"/>
      <c r="Q164" s="57"/>
      <c r="R164" s="57"/>
      <c r="S164" s="57"/>
      <c r="T164" s="57"/>
      <c r="U164" s="57"/>
      <c r="V164" s="57"/>
      <c r="W164" s="57"/>
      <c r="X164" s="57"/>
      <c r="Y164" s="57"/>
      <c r="Z164" s="57"/>
      <c r="AA164" s="57"/>
      <c r="AB164" s="57"/>
      <c r="AC164" s="57"/>
      <c r="AD164" s="57"/>
    </row>
    <row r="165" spans="1:39" ht="24" customHeight="1">
      <c r="A165" s="108" t="s">
        <v>6572</v>
      </c>
      <c r="B165" s="829" t="s">
        <v>6573</v>
      </c>
      <c r="C165" s="829"/>
      <c r="D165" s="829"/>
      <c r="E165" s="829"/>
      <c r="F165" s="829"/>
      <c r="G165" s="829"/>
      <c r="H165" s="829"/>
      <c r="I165" s="829"/>
      <c r="J165" s="829"/>
      <c r="K165" s="829"/>
      <c r="L165" s="829"/>
      <c r="M165" s="829"/>
      <c r="N165" s="829"/>
      <c r="O165" s="829"/>
      <c r="P165" s="829"/>
      <c r="Q165" s="829"/>
      <c r="R165" s="829"/>
      <c r="S165" s="829"/>
      <c r="T165" s="829"/>
      <c r="U165" s="829"/>
      <c r="V165" s="829"/>
      <c r="W165" s="829"/>
      <c r="X165" s="829"/>
      <c r="Y165" s="829"/>
      <c r="Z165" s="829"/>
      <c r="AA165" s="829"/>
      <c r="AB165" s="829"/>
      <c r="AC165" s="829"/>
      <c r="AD165" s="829"/>
    </row>
    <row r="166" spans="1:39" ht="15" customHeight="1">
      <c r="A166" s="94"/>
      <c r="B166" s="105"/>
      <c r="C166" s="830" t="s">
        <v>3190</v>
      </c>
      <c r="D166" s="830"/>
      <c r="E166" s="830"/>
      <c r="F166" s="830"/>
      <c r="G166" s="830"/>
      <c r="H166" s="830"/>
      <c r="I166" s="830"/>
      <c r="J166" s="830"/>
      <c r="K166" s="830"/>
      <c r="L166" s="830"/>
      <c r="M166" s="830"/>
      <c r="N166" s="830"/>
      <c r="O166" s="830"/>
      <c r="P166" s="830"/>
      <c r="Q166" s="830"/>
      <c r="R166" s="830"/>
      <c r="S166" s="830"/>
      <c r="T166" s="830"/>
      <c r="U166" s="830"/>
      <c r="V166" s="830"/>
      <c r="W166" s="830"/>
      <c r="X166" s="830"/>
      <c r="Y166" s="830"/>
      <c r="Z166" s="830"/>
      <c r="AA166" s="830"/>
      <c r="AB166" s="830"/>
      <c r="AC166" s="830"/>
      <c r="AD166" s="830"/>
      <c r="AG166"/>
      <c r="AH166"/>
      <c r="AI166"/>
      <c r="AJ166"/>
      <c r="AK166"/>
      <c r="AL166"/>
    </row>
    <row r="167" spans="1:39" ht="15" customHeight="1">
      <c r="B167" s="90"/>
      <c r="C167" s="90"/>
      <c r="D167" s="90"/>
      <c r="E167" s="90"/>
      <c r="F167" s="90"/>
      <c r="G167" s="90"/>
      <c r="H167" s="90"/>
      <c r="I167" s="90"/>
      <c r="J167" s="90"/>
      <c r="K167" s="90"/>
      <c r="L167" s="90"/>
      <c r="M167" s="90"/>
      <c r="N167" s="90"/>
      <c r="O167" s="90"/>
      <c r="P167" s="90"/>
      <c r="Q167" s="90"/>
      <c r="R167" s="90"/>
      <c r="S167" s="90"/>
      <c r="T167" s="90"/>
      <c r="U167" s="90"/>
      <c r="V167" s="90"/>
      <c r="W167" s="90"/>
      <c r="X167" s="90"/>
      <c r="Y167" s="90"/>
      <c r="Z167" s="90"/>
      <c r="AA167" s="90"/>
      <c r="AB167" s="90"/>
      <c r="AC167" s="90"/>
      <c r="AD167" s="90"/>
      <c r="AG167"/>
      <c r="AH167"/>
      <c r="AI167"/>
      <c r="AJ167"/>
      <c r="AK167" s="1176" t="s">
        <v>6540</v>
      </c>
      <c r="AL167" s="1176" t="s">
        <v>6574</v>
      </c>
      <c r="AM167" s="1176" t="s">
        <v>6575</v>
      </c>
    </row>
    <row r="168" spans="1:39" ht="36" customHeight="1">
      <c r="B168" s="57"/>
      <c r="C168" s="732" t="s">
        <v>3953</v>
      </c>
      <c r="D168" s="732"/>
      <c r="E168" s="732"/>
      <c r="F168" s="732"/>
      <c r="G168" s="732"/>
      <c r="H168" s="732"/>
      <c r="I168" s="732"/>
      <c r="J168" s="732"/>
      <c r="K168" s="732"/>
      <c r="L168" s="732"/>
      <c r="M168" s="732" t="s">
        <v>6576</v>
      </c>
      <c r="N168" s="732"/>
      <c r="O168" s="732"/>
      <c r="P168" s="732"/>
      <c r="Q168" s="732"/>
      <c r="R168" s="732"/>
      <c r="S168" s="732"/>
      <c r="T168" s="732"/>
      <c r="U168" s="732"/>
      <c r="V168" s="732"/>
      <c r="W168" s="732"/>
      <c r="X168" s="732"/>
      <c r="Y168" s="732"/>
      <c r="Z168" s="732"/>
      <c r="AA168" s="732"/>
      <c r="AB168" s="732"/>
      <c r="AC168" s="732"/>
      <c r="AD168" s="732"/>
      <c r="AG168"/>
      <c r="AH168"/>
      <c r="AI168"/>
      <c r="AJ168"/>
      <c r="AK168" s="1176"/>
      <c r="AL168" s="1176"/>
      <c r="AM168" s="1176"/>
    </row>
    <row r="169" spans="1:39" ht="15">
      <c r="B169" s="57"/>
      <c r="C169" s="732"/>
      <c r="D169" s="732"/>
      <c r="E169" s="732"/>
      <c r="F169" s="732"/>
      <c r="G169" s="732"/>
      <c r="H169" s="732"/>
      <c r="I169" s="732"/>
      <c r="J169" s="732"/>
      <c r="K169" s="732"/>
      <c r="L169" s="732"/>
      <c r="M169" s="732" t="s">
        <v>2628</v>
      </c>
      <c r="N169" s="732"/>
      <c r="O169" s="732"/>
      <c r="P169" s="732"/>
      <c r="Q169" s="732"/>
      <c r="R169" s="732"/>
      <c r="S169" s="736" t="s">
        <v>2629</v>
      </c>
      <c r="T169" s="736"/>
      <c r="U169" s="736"/>
      <c r="V169" s="736"/>
      <c r="W169" s="736"/>
      <c r="X169" s="736"/>
      <c r="Y169" s="733" t="s">
        <v>2630</v>
      </c>
      <c r="Z169" s="734"/>
      <c r="AA169" s="734"/>
      <c r="AB169" s="734"/>
      <c r="AC169" s="734"/>
      <c r="AD169" s="735"/>
      <c r="AG169" s="349" t="s">
        <v>2586</v>
      </c>
      <c r="AH169" s="350" t="s">
        <v>2590</v>
      </c>
      <c r="AI169" s="351" t="s">
        <v>3163</v>
      </c>
      <c r="AJ169" s="352" t="s">
        <v>3164</v>
      </c>
      <c r="AK169" s="1176"/>
      <c r="AL169" s="1176"/>
      <c r="AM169" s="1176"/>
    </row>
    <row r="170" spans="1:39" ht="15">
      <c r="B170" s="57"/>
      <c r="C170" s="97" t="s">
        <v>2516</v>
      </c>
      <c r="D170" s="813" t="s">
        <v>3192</v>
      </c>
      <c r="E170" s="814"/>
      <c r="F170" s="814"/>
      <c r="G170" s="814"/>
      <c r="H170" s="814"/>
      <c r="I170" s="814"/>
      <c r="J170" s="814"/>
      <c r="K170" s="814"/>
      <c r="L170" s="815"/>
      <c r="M170" s="749"/>
      <c r="N170" s="749"/>
      <c r="O170" s="749"/>
      <c r="P170" s="749"/>
      <c r="Q170" s="749"/>
      <c r="R170" s="749"/>
      <c r="S170" s="749"/>
      <c r="T170" s="749"/>
      <c r="U170" s="749"/>
      <c r="V170" s="749"/>
      <c r="W170" s="749"/>
      <c r="X170" s="749"/>
      <c r="Y170" s="816"/>
      <c r="Z170" s="738"/>
      <c r="AA170" s="738"/>
      <c r="AB170" s="738"/>
      <c r="AC170" s="738"/>
      <c r="AD170" s="817"/>
      <c r="AG170" s="283">
        <f>IF(AND(OR($I$25="X",$T$25="X"),COUNTA(M170:AD179)=0),0,IF(AND($I$25="",$T$25="",$C$141&lt;&gt;"",$C$141&lt;&gt;1,COUNTA(M170:AD179)=0),0,IF(AND($I$25="",$T$25="",$C$141&lt;&gt;"",$C$141=1,$C$155="X",COUNTA(M170:AD179)=0),0,IF(AND($I$25="",$T$25="",$C$141&lt;&gt;"",$C$141=1,$C$155="",COUNTA(M170:AD179)=30),0,IF(COUNTA(M170:AD179)=0,0,1)))))</f>
        <v>0</v>
      </c>
      <c r="AH170" s="353">
        <f>COUNTIF(S170:AD170,"NS")</f>
        <v>0</v>
      </c>
      <c r="AI170" s="353">
        <f>SUM(S170:AD170)</f>
        <v>0</v>
      </c>
      <c r="AJ170" s="353">
        <f>IF(COUNTIF(M170:AD170,"NA")=3,0,IF(OR(AND(M170=0,AH170&gt;0),AND(M170="ns",AI170&gt;0),AND(M170="ns",AH170=0,AI170=0)),1,IF(OR(AND(M170&gt;0,AH170=2),AND(M170="ns",AH170=2),AND(M170="ns",AI170=0,AH170&gt;0),M170=AI170),0,1)))</f>
        <v>0</v>
      </c>
      <c r="AK170" s="342">
        <f>IF(AND(OR($I$25="X",$T$25="X"),COUNTA(M170:AD179)&gt;0),1,0)</f>
        <v>0</v>
      </c>
      <c r="AL170">
        <f>IF(AND($C$141&lt;&gt;"",$C$141&lt;&gt;1,COUNTA(M170:AD179)&gt;0),1,0)</f>
        <v>0</v>
      </c>
      <c r="AM170">
        <f>IF(AND($C$155="X",COUNTA(M170:AD179)&gt;0),1,0)</f>
        <v>0</v>
      </c>
    </row>
    <row r="171" spans="1:39" ht="15" customHeight="1">
      <c r="B171" s="57"/>
      <c r="C171" s="143" t="s">
        <v>2517</v>
      </c>
      <c r="D171" s="813" t="s">
        <v>3193</v>
      </c>
      <c r="E171" s="814"/>
      <c r="F171" s="814"/>
      <c r="G171" s="814"/>
      <c r="H171" s="814"/>
      <c r="I171" s="814"/>
      <c r="J171" s="814"/>
      <c r="K171" s="814"/>
      <c r="L171" s="815"/>
      <c r="M171" s="749"/>
      <c r="N171" s="749"/>
      <c r="O171" s="749"/>
      <c r="P171" s="749"/>
      <c r="Q171" s="749"/>
      <c r="R171" s="749"/>
      <c r="S171" s="749"/>
      <c r="T171" s="749"/>
      <c r="U171" s="749"/>
      <c r="V171" s="749"/>
      <c r="W171" s="749"/>
      <c r="X171" s="749"/>
      <c r="Y171" s="816"/>
      <c r="Z171" s="738"/>
      <c r="AA171" s="738"/>
      <c r="AB171" s="738"/>
      <c r="AC171" s="738"/>
      <c r="AD171" s="817"/>
      <c r="AH171" s="353">
        <f t="shared" ref="AH171:AH179" si="0">COUNTIF(S171:AD171,"NS")</f>
        <v>0</v>
      </c>
      <c r="AI171" s="353">
        <f t="shared" ref="AI171:AI179" si="1">SUM(S171:AD171)</f>
        <v>0</v>
      </c>
      <c r="AJ171" s="353">
        <f t="shared" ref="AJ171:AJ179" si="2">IF(COUNTIF(M171:AD171,"NA")=3,0,IF(OR(AND(M171=0,AH171&gt;0),AND(M171="ns",AI171&gt;0),AND(M171="ns",AH171=0,AI171=0)),1,IF(OR(AND(M171&gt;0,AH171=2),AND(M171="ns",AH171=2),AND(M171="ns",AI171=0,AH171&gt;0),M171=AI171),0,1)))</f>
        <v>0</v>
      </c>
    </row>
    <row r="172" spans="1:39" ht="15" customHeight="1">
      <c r="B172" s="57"/>
      <c r="C172" s="143" t="s">
        <v>2518</v>
      </c>
      <c r="D172" s="813" t="s">
        <v>3194</v>
      </c>
      <c r="E172" s="814"/>
      <c r="F172" s="814"/>
      <c r="G172" s="814"/>
      <c r="H172" s="814"/>
      <c r="I172" s="814"/>
      <c r="J172" s="814"/>
      <c r="K172" s="814"/>
      <c r="L172" s="815"/>
      <c r="M172" s="749"/>
      <c r="N172" s="749"/>
      <c r="O172" s="749"/>
      <c r="P172" s="749"/>
      <c r="Q172" s="749"/>
      <c r="R172" s="749"/>
      <c r="S172" s="749"/>
      <c r="T172" s="749"/>
      <c r="U172" s="749"/>
      <c r="V172" s="749"/>
      <c r="W172" s="749"/>
      <c r="X172" s="749"/>
      <c r="Y172" s="816"/>
      <c r="Z172" s="738"/>
      <c r="AA172" s="738"/>
      <c r="AB172" s="738"/>
      <c r="AC172" s="738"/>
      <c r="AD172" s="817"/>
      <c r="AH172" s="353">
        <f t="shared" si="0"/>
        <v>0</v>
      </c>
      <c r="AI172" s="353">
        <f t="shared" si="1"/>
        <v>0</v>
      </c>
      <c r="AJ172" s="353">
        <f t="shared" si="2"/>
        <v>0</v>
      </c>
    </row>
    <row r="173" spans="1:39" ht="15" customHeight="1">
      <c r="B173" s="57"/>
      <c r="C173" s="143" t="s">
        <v>2519</v>
      </c>
      <c r="D173" s="813" t="s">
        <v>3195</v>
      </c>
      <c r="E173" s="814"/>
      <c r="F173" s="814"/>
      <c r="G173" s="814"/>
      <c r="H173" s="814"/>
      <c r="I173" s="814"/>
      <c r="J173" s="814"/>
      <c r="K173" s="814"/>
      <c r="L173" s="815"/>
      <c r="M173" s="749"/>
      <c r="N173" s="749"/>
      <c r="O173" s="749"/>
      <c r="P173" s="749"/>
      <c r="Q173" s="749"/>
      <c r="R173" s="749"/>
      <c r="S173" s="749"/>
      <c r="T173" s="749"/>
      <c r="U173" s="749"/>
      <c r="V173" s="749"/>
      <c r="W173" s="749"/>
      <c r="X173" s="749"/>
      <c r="Y173" s="816"/>
      <c r="Z173" s="738"/>
      <c r="AA173" s="738"/>
      <c r="AB173" s="738"/>
      <c r="AC173" s="738"/>
      <c r="AD173" s="817"/>
      <c r="AH173" s="353">
        <f t="shared" si="0"/>
        <v>0</v>
      </c>
      <c r="AI173" s="353">
        <f t="shared" si="1"/>
        <v>0</v>
      </c>
      <c r="AJ173" s="353">
        <f t="shared" si="2"/>
        <v>0</v>
      </c>
    </row>
    <row r="174" spans="1:39" ht="15" customHeight="1">
      <c r="B174" s="57"/>
      <c r="C174" s="143" t="s">
        <v>2520</v>
      </c>
      <c r="D174" s="813" t="s">
        <v>3196</v>
      </c>
      <c r="E174" s="814"/>
      <c r="F174" s="814"/>
      <c r="G174" s="814"/>
      <c r="H174" s="814"/>
      <c r="I174" s="814"/>
      <c r="J174" s="814"/>
      <c r="K174" s="814"/>
      <c r="L174" s="815"/>
      <c r="M174" s="749"/>
      <c r="N174" s="749"/>
      <c r="O174" s="749"/>
      <c r="P174" s="749"/>
      <c r="Q174" s="749"/>
      <c r="R174" s="749"/>
      <c r="S174" s="749"/>
      <c r="T174" s="749"/>
      <c r="U174" s="749"/>
      <c r="V174" s="749"/>
      <c r="W174" s="749"/>
      <c r="X174" s="749"/>
      <c r="Y174" s="816"/>
      <c r="Z174" s="738"/>
      <c r="AA174" s="738"/>
      <c r="AB174" s="738"/>
      <c r="AC174" s="738"/>
      <c r="AD174" s="817"/>
      <c r="AH174" s="353">
        <f t="shared" si="0"/>
        <v>0</v>
      </c>
      <c r="AI174" s="353">
        <f t="shared" si="1"/>
        <v>0</v>
      </c>
      <c r="AJ174" s="353">
        <f t="shared" si="2"/>
        <v>0</v>
      </c>
    </row>
    <row r="175" spans="1:39" ht="15" customHeight="1">
      <c r="B175" s="57"/>
      <c r="C175" s="143" t="s">
        <v>2521</v>
      </c>
      <c r="D175" s="813" t="s">
        <v>3197</v>
      </c>
      <c r="E175" s="814"/>
      <c r="F175" s="814"/>
      <c r="G175" s="814"/>
      <c r="H175" s="814"/>
      <c r="I175" s="814"/>
      <c r="J175" s="814"/>
      <c r="K175" s="814"/>
      <c r="L175" s="815"/>
      <c r="M175" s="749"/>
      <c r="N175" s="749"/>
      <c r="O175" s="749"/>
      <c r="P175" s="749"/>
      <c r="Q175" s="749"/>
      <c r="R175" s="749"/>
      <c r="S175" s="749"/>
      <c r="T175" s="749"/>
      <c r="U175" s="749"/>
      <c r="V175" s="749"/>
      <c r="W175" s="749"/>
      <c r="X175" s="749"/>
      <c r="Y175" s="816"/>
      <c r="Z175" s="738"/>
      <c r="AA175" s="738"/>
      <c r="AB175" s="738"/>
      <c r="AC175" s="738"/>
      <c r="AD175" s="817"/>
      <c r="AH175" s="353">
        <f t="shared" si="0"/>
        <v>0</v>
      </c>
      <c r="AI175" s="353">
        <f t="shared" si="1"/>
        <v>0</v>
      </c>
      <c r="AJ175" s="353">
        <f t="shared" si="2"/>
        <v>0</v>
      </c>
    </row>
    <row r="176" spans="1:39" ht="15" customHeight="1">
      <c r="B176" s="57"/>
      <c r="C176" s="143" t="s">
        <v>2522</v>
      </c>
      <c r="D176" s="813" t="s">
        <v>3198</v>
      </c>
      <c r="E176" s="814"/>
      <c r="F176" s="814"/>
      <c r="G176" s="814"/>
      <c r="H176" s="814"/>
      <c r="I176" s="814"/>
      <c r="J176" s="814"/>
      <c r="K176" s="814"/>
      <c r="L176" s="815"/>
      <c r="M176" s="749"/>
      <c r="N176" s="749"/>
      <c r="O176" s="749"/>
      <c r="P176" s="749"/>
      <c r="Q176" s="749"/>
      <c r="R176" s="749"/>
      <c r="S176" s="749"/>
      <c r="T176" s="749"/>
      <c r="U176" s="749"/>
      <c r="V176" s="749"/>
      <c r="W176" s="749"/>
      <c r="X176" s="749"/>
      <c r="Y176" s="816"/>
      <c r="Z176" s="738"/>
      <c r="AA176" s="738"/>
      <c r="AB176" s="738"/>
      <c r="AC176" s="738"/>
      <c r="AD176" s="817"/>
      <c r="AH176" s="353">
        <f t="shared" si="0"/>
        <v>0</v>
      </c>
      <c r="AI176" s="353">
        <f t="shared" si="1"/>
        <v>0</v>
      </c>
      <c r="AJ176" s="353">
        <f t="shared" si="2"/>
        <v>0</v>
      </c>
    </row>
    <row r="177" spans="1:41" ht="15" customHeight="1">
      <c r="B177" s="57"/>
      <c r="C177" s="143" t="s">
        <v>2523</v>
      </c>
      <c r="D177" s="813" t="s">
        <v>3199</v>
      </c>
      <c r="E177" s="814"/>
      <c r="F177" s="814"/>
      <c r="G177" s="814"/>
      <c r="H177" s="814"/>
      <c r="I177" s="814"/>
      <c r="J177" s="814"/>
      <c r="K177" s="814"/>
      <c r="L177" s="815"/>
      <c r="M177" s="749"/>
      <c r="N177" s="749"/>
      <c r="O177" s="749"/>
      <c r="P177" s="749"/>
      <c r="Q177" s="749"/>
      <c r="R177" s="749"/>
      <c r="S177" s="749"/>
      <c r="T177" s="749"/>
      <c r="U177" s="749"/>
      <c r="V177" s="749"/>
      <c r="W177" s="749"/>
      <c r="X177" s="749"/>
      <c r="Y177" s="816"/>
      <c r="Z177" s="738"/>
      <c r="AA177" s="738"/>
      <c r="AB177" s="738"/>
      <c r="AC177" s="738"/>
      <c r="AD177" s="817"/>
      <c r="AH177" s="353">
        <f t="shared" si="0"/>
        <v>0</v>
      </c>
      <c r="AI177" s="353">
        <f t="shared" si="1"/>
        <v>0</v>
      </c>
      <c r="AJ177" s="353">
        <f t="shared" si="2"/>
        <v>0</v>
      </c>
    </row>
    <row r="178" spans="1:41" ht="15" customHeight="1">
      <c r="B178" s="57"/>
      <c r="C178" s="143" t="s">
        <v>2524</v>
      </c>
      <c r="D178" s="813" t="s">
        <v>3200</v>
      </c>
      <c r="E178" s="814"/>
      <c r="F178" s="814"/>
      <c r="G178" s="814"/>
      <c r="H178" s="814"/>
      <c r="I178" s="814"/>
      <c r="J178" s="814"/>
      <c r="K178" s="814"/>
      <c r="L178" s="815"/>
      <c r="M178" s="749"/>
      <c r="N178" s="749"/>
      <c r="O178" s="749"/>
      <c r="P178" s="749"/>
      <c r="Q178" s="749"/>
      <c r="R178" s="749"/>
      <c r="S178" s="749"/>
      <c r="T178" s="749"/>
      <c r="U178" s="749"/>
      <c r="V178" s="749"/>
      <c r="W178" s="749"/>
      <c r="X178" s="749"/>
      <c r="Y178" s="816"/>
      <c r="Z178" s="738"/>
      <c r="AA178" s="738"/>
      <c r="AB178" s="738"/>
      <c r="AC178" s="738"/>
      <c r="AD178" s="817"/>
      <c r="AH178" s="353">
        <f t="shared" si="0"/>
        <v>0</v>
      </c>
      <c r="AI178" s="353">
        <f t="shared" si="1"/>
        <v>0</v>
      </c>
      <c r="AJ178" s="353">
        <f t="shared" si="2"/>
        <v>0</v>
      </c>
    </row>
    <row r="179" spans="1:41" ht="15" customHeight="1">
      <c r="B179" s="57"/>
      <c r="C179" s="44" t="s">
        <v>3955</v>
      </c>
      <c r="D179" s="796" t="s">
        <v>201</v>
      </c>
      <c r="E179" s="796"/>
      <c r="F179" s="796"/>
      <c r="G179" s="796"/>
      <c r="H179" s="796"/>
      <c r="I179" s="796"/>
      <c r="J179" s="796"/>
      <c r="K179" s="796"/>
      <c r="L179" s="796"/>
      <c r="M179" s="749"/>
      <c r="N179" s="749"/>
      <c r="O179" s="749"/>
      <c r="P179" s="749"/>
      <c r="Q179" s="749"/>
      <c r="R179" s="749"/>
      <c r="S179" s="749"/>
      <c r="T179" s="749"/>
      <c r="U179" s="749"/>
      <c r="V179" s="749"/>
      <c r="W179" s="749"/>
      <c r="X179" s="749"/>
      <c r="Y179" s="816"/>
      <c r="Z179" s="738"/>
      <c r="AA179" s="738"/>
      <c r="AB179" s="738"/>
      <c r="AC179" s="738"/>
      <c r="AD179" s="817"/>
      <c r="AH179" s="353">
        <f t="shared" si="0"/>
        <v>0</v>
      </c>
      <c r="AI179" s="353">
        <f t="shared" si="1"/>
        <v>0</v>
      </c>
      <c r="AJ179" s="353">
        <f t="shared" si="2"/>
        <v>0</v>
      </c>
    </row>
    <row r="180" spans="1:41" ht="15" customHeight="1">
      <c r="B180" s="57"/>
      <c r="C180" s="51"/>
      <c r="D180" s="51"/>
      <c r="E180" s="57"/>
      <c r="F180" s="57"/>
      <c r="G180" s="57"/>
      <c r="H180" s="57"/>
      <c r="I180" s="57"/>
      <c r="J180" s="57"/>
      <c r="K180" s="57"/>
      <c r="L180" s="117" t="s">
        <v>2649</v>
      </c>
      <c r="M180" s="736">
        <f>IF(AND(SUM(M170:R179)=0,COUNTIF(M170:R179,"NS")&gt;0),"NS",
IF(AND(SUM(M170:R179)=0,COUNTIF(M170:R179,0)&gt;0),0,
IF(AND(SUM(M170:R179)=0,COUNTIF(M170:R179,"NA")&gt;0),"NA",
SUM(M170:R179))))</f>
        <v>0</v>
      </c>
      <c r="N180" s="736"/>
      <c r="O180" s="736"/>
      <c r="P180" s="736"/>
      <c r="Q180" s="736"/>
      <c r="R180" s="736"/>
      <c r="S180" s="736">
        <f t="shared" ref="S180" si="3">IF(AND(SUM(S170:X179)=0,COUNTIF(S170:X179,"NS")&gt;0),"NS",
IF(AND(SUM(S170:X179)=0,COUNTIF(S170:X179,0)&gt;0),0,
IF(AND(SUM(S170:X179)=0,COUNTIF(S170:X179,"NA")&gt;0),"NA",
SUM(S170:X179))))</f>
        <v>0</v>
      </c>
      <c r="T180" s="736"/>
      <c r="U180" s="736"/>
      <c r="V180" s="736"/>
      <c r="W180" s="736"/>
      <c r="X180" s="736"/>
      <c r="Y180" s="736">
        <f t="shared" ref="Y180" si="4">IF(AND(SUM(Y170:AD179)=0,COUNTIF(Y170:AD179,"NS")&gt;0),"NS",
IF(AND(SUM(Y170:AD179)=0,COUNTIF(Y170:AD179,0)&gt;0),0,
IF(AND(SUM(Y170:AD179)=0,COUNTIF(Y170:AD179,"NA")&gt;0),"NA",
SUM(Y170:AD179))))</f>
        <v>0</v>
      </c>
      <c r="Z180" s="736"/>
      <c r="AA180" s="736"/>
      <c r="AB180" s="736"/>
      <c r="AC180" s="736"/>
      <c r="AD180" s="736"/>
      <c r="AH180" s="350">
        <f>SUM(AH170:AH179)</f>
        <v>0</v>
      </c>
      <c r="AI180" s="351">
        <f>SUM(AI170:AI179)</f>
        <v>0</v>
      </c>
      <c r="AJ180" s="352">
        <f>SUM(AJ170:AJ179)</f>
        <v>0</v>
      </c>
    </row>
    <row r="181" spans="1:41" ht="15" customHeight="1">
      <c r="A181" s="10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row>
    <row r="182" spans="1:41" ht="24" customHeight="1">
      <c r="A182" s="210"/>
      <c r="B182" s="38"/>
      <c r="C182" s="754" t="s">
        <v>2611</v>
      </c>
      <c r="D182" s="754"/>
      <c r="E182" s="754"/>
      <c r="F182" s="754"/>
      <c r="G182" s="754"/>
      <c r="H182" s="754"/>
      <c r="I182" s="754"/>
      <c r="J182" s="754"/>
      <c r="K182" s="754"/>
      <c r="L182" s="754"/>
      <c r="M182" s="754"/>
      <c r="N182" s="754"/>
      <c r="O182" s="754"/>
      <c r="P182" s="754"/>
      <c r="Q182" s="754"/>
      <c r="R182" s="754"/>
      <c r="S182" s="754"/>
      <c r="T182" s="754"/>
      <c r="U182" s="754"/>
      <c r="V182" s="754"/>
      <c r="W182" s="754"/>
      <c r="X182" s="754"/>
      <c r="Y182" s="754"/>
      <c r="Z182" s="754"/>
      <c r="AA182" s="754"/>
      <c r="AB182" s="754"/>
      <c r="AC182" s="754"/>
      <c r="AD182" s="754"/>
    </row>
    <row r="183" spans="1:41" ht="60" customHeight="1">
      <c r="A183" s="210"/>
      <c r="B183" s="38"/>
      <c r="C183" s="851"/>
      <c r="D183" s="851"/>
      <c r="E183" s="851"/>
      <c r="F183" s="851"/>
      <c r="G183" s="851"/>
      <c r="H183" s="851"/>
      <c r="I183" s="851"/>
      <c r="J183" s="851"/>
      <c r="K183" s="851"/>
      <c r="L183" s="851"/>
      <c r="M183" s="851"/>
      <c r="N183" s="851"/>
      <c r="O183" s="851"/>
      <c r="P183" s="851"/>
      <c r="Q183" s="851"/>
      <c r="R183" s="851"/>
      <c r="S183" s="851"/>
      <c r="T183" s="851"/>
      <c r="U183" s="851"/>
      <c r="V183" s="851"/>
      <c r="W183" s="851"/>
      <c r="X183" s="851"/>
      <c r="Y183" s="851"/>
      <c r="Z183" s="851"/>
      <c r="AA183" s="851"/>
      <c r="AB183" s="851"/>
      <c r="AC183" s="851"/>
      <c r="AD183" s="851"/>
    </row>
    <row r="184" spans="1:41" ht="15" customHeight="1">
      <c r="A184" s="108"/>
      <c r="B184" s="794" t="str">
        <f>IF(AG170&gt;0,"Favor de ingresar toda la información requerida en la pregunta y/o verifique que no tenga información en celdas sombreadas","")</f>
        <v/>
      </c>
      <c r="C184" s="794"/>
      <c r="D184" s="794"/>
      <c r="E184" s="794"/>
      <c r="F184" s="794"/>
      <c r="G184" s="794"/>
      <c r="H184" s="794"/>
      <c r="I184" s="794"/>
      <c r="J184" s="794"/>
      <c r="K184" s="794"/>
      <c r="L184" s="794"/>
      <c r="M184" s="794"/>
      <c r="N184" s="794"/>
      <c r="O184" s="794"/>
      <c r="P184" s="794"/>
      <c r="Q184" s="794"/>
      <c r="R184" s="794"/>
      <c r="S184" s="794"/>
      <c r="T184" s="794"/>
      <c r="U184" s="794"/>
      <c r="V184" s="794"/>
      <c r="W184" s="794"/>
      <c r="X184" s="794"/>
      <c r="Y184" s="794"/>
      <c r="Z184" s="794"/>
      <c r="AA184" s="794"/>
      <c r="AB184" s="794"/>
      <c r="AC184" s="794"/>
      <c r="AD184" s="794"/>
    </row>
    <row r="185" spans="1:41" ht="15" customHeight="1">
      <c r="A185" s="108"/>
      <c r="B185" s="795" t="str">
        <f>IF(AH180&gt;0,"Alerta: debido a que cuenta con registros NS, debe proporcionar una justificación en el area de comentarios al final de la pregunta","")</f>
        <v/>
      </c>
      <c r="C185" s="795"/>
      <c r="D185" s="795"/>
      <c r="E185" s="795"/>
      <c r="F185" s="795"/>
      <c r="G185" s="795"/>
      <c r="H185" s="795"/>
      <c r="I185" s="795"/>
      <c r="J185" s="795"/>
      <c r="K185" s="795"/>
      <c r="L185" s="795"/>
      <c r="M185" s="795"/>
      <c r="N185" s="795"/>
      <c r="O185" s="795"/>
      <c r="P185" s="795"/>
      <c r="Q185" s="795"/>
      <c r="R185" s="795"/>
      <c r="S185" s="795"/>
      <c r="T185" s="795"/>
      <c r="U185" s="795"/>
      <c r="V185" s="795"/>
      <c r="W185" s="795"/>
      <c r="X185" s="795"/>
      <c r="Y185" s="795"/>
      <c r="Z185" s="795"/>
      <c r="AA185" s="795"/>
      <c r="AB185" s="795"/>
      <c r="AC185" s="795"/>
      <c r="AD185" s="795"/>
    </row>
    <row r="186" spans="1:41" ht="15" customHeight="1">
      <c r="A186" s="108"/>
      <c r="B186" s="794" t="str">
        <f>IF(AJ180&gt;0,"Favor de revisar la suma y consistencia de totales y/o subtotales por filas (numéricos y NS)","")</f>
        <v/>
      </c>
      <c r="C186" s="794"/>
      <c r="D186" s="794"/>
      <c r="E186" s="794"/>
      <c r="F186" s="794"/>
      <c r="G186" s="794"/>
      <c r="H186" s="794"/>
      <c r="I186" s="794"/>
      <c r="J186" s="794"/>
      <c r="K186" s="794"/>
      <c r="L186" s="794"/>
      <c r="M186" s="794"/>
      <c r="N186" s="794"/>
      <c r="O186" s="794"/>
      <c r="P186" s="794"/>
      <c r="Q186" s="794"/>
      <c r="R186" s="794"/>
      <c r="S186" s="794"/>
      <c r="T186" s="794"/>
      <c r="U186" s="794"/>
      <c r="V186" s="794"/>
      <c r="W186" s="794"/>
      <c r="X186" s="794"/>
      <c r="Y186" s="794"/>
      <c r="Z186" s="794"/>
      <c r="AA186" s="794"/>
      <c r="AB186" s="794"/>
      <c r="AC186" s="794"/>
      <c r="AD186" s="794"/>
    </row>
    <row r="187" spans="1:41" ht="15" customHeight="1">
      <c r="A187" s="10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row>
    <row r="188" spans="1:41" ht="15" customHeight="1">
      <c r="A188" s="10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row>
    <row r="189" spans="1:41" ht="15" customHeight="1">
      <c r="A189" s="10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row>
    <row r="190" spans="1:41" ht="24" customHeight="1">
      <c r="A190" s="108" t="s">
        <v>6577</v>
      </c>
      <c r="B190" s="829" t="s">
        <v>6578</v>
      </c>
      <c r="C190" s="829"/>
      <c r="D190" s="829"/>
      <c r="E190" s="829"/>
      <c r="F190" s="829"/>
      <c r="G190" s="829"/>
      <c r="H190" s="829"/>
      <c r="I190" s="829"/>
      <c r="J190" s="829"/>
      <c r="K190" s="829"/>
      <c r="L190" s="829"/>
      <c r="M190" s="829"/>
      <c r="N190" s="829"/>
      <c r="O190" s="829"/>
      <c r="P190" s="829"/>
      <c r="Q190" s="829"/>
      <c r="R190" s="829"/>
      <c r="S190" s="829"/>
      <c r="T190" s="829"/>
      <c r="U190" s="829"/>
      <c r="V190" s="829"/>
      <c r="W190" s="829"/>
      <c r="X190" s="829"/>
      <c r="Y190" s="829"/>
      <c r="Z190" s="829"/>
      <c r="AA190" s="829"/>
      <c r="AB190" s="829"/>
      <c r="AC190" s="829"/>
      <c r="AD190" s="829"/>
    </row>
    <row r="191" spans="1:41" ht="24" customHeight="1">
      <c r="A191" s="108"/>
      <c r="B191" s="105"/>
      <c r="C191" s="754" t="s">
        <v>6579</v>
      </c>
      <c r="D191" s="754"/>
      <c r="E191" s="754"/>
      <c r="F191" s="754"/>
      <c r="G191" s="754"/>
      <c r="H191" s="754"/>
      <c r="I191" s="754"/>
      <c r="J191" s="754"/>
      <c r="K191" s="754"/>
      <c r="L191" s="754"/>
      <c r="M191" s="754"/>
      <c r="N191" s="754"/>
      <c r="O191" s="754"/>
      <c r="P191" s="754"/>
      <c r="Q191" s="754"/>
      <c r="R191" s="754"/>
      <c r="S191" s="754"/>
      <c r="T191" s="754"/>
      <c r="U191" s="754"/>
      <c r="V191" s="754"/>
      <c r="W191" s="754"/>
      <c r="X191" s="754"/>
      <c r="Y191" s="754"/>
      <c r="Z191" s="754"/>
      <c r="AA191" s="754"/>
      <c r="AB191" s="754"/>
      <c r="AC191" s="754"/>
      <c r="AD191" s="754"/>
    </row>
    <row r="192" spans="1:41" ht="15" customHeight="1">
      <c r="A192" s="108"/>
      <c r="B192" s="38"/>
      <c r="C192" s="754" t="s">
        <v>6580</v>
      </c>
      <c r="D192" s="754"/>
      <c r="E192" s="754"/>
      <c r="F192" s="754"/>
      <c r="G192" s="754"/>
      <c r="H192" s="754"/>
      <c r="I192" s="754"/>
      <c r="J192" s="754"/>
      <c r="K192" s="754"/>
      <c r="L192" s="754"/>
      <c r="M192" s="754"/>
      <c r="N192" s="754"/>
      <c r="O192" s="754"/>
      <c r="P192" s="754"/>
      <c r="Q192" s="754"/>
      <c r="R192" s="754"/>
      <c r="S192" s="754"/>
      <c r="T192" s="754"/>
      <c r="U192" s="754"/>
      <c r="V192" s="754"/>
      <c r="W192" s="754"/>
      <c r="X192" s="754"/>
      <c r="Y192" s="754"/>
      <c r="Z192" s="754"/>
      <c r="AA192" s="754"/>
      <c r="AB192" s="754"/>
      <c r="AC192" s="754"/>
      <c r="AD192" s="754"/>
      <c r="AM192" s="1176" t="s">
        <v>6540</v>
      </c>
      <c r="AN192" s="1176" t="s">
        <v>6574</v>
      </c>
      <c r="AO192" s="1176" t="s">
        <v>6575</v>
      </c>
    </row>
    <row r="193" spans="1:41" ht="15" customHeight="1">
      <c r="A193" s="108"/>
      <c r="B193" s="38"/>
      <c r="C193" s="754" t="s">
        <v>6581</v>
      </c>
      <c r="D193" s="754"/>
      <c r="E193" s="754"/>
      <c r="F193" s="754"/>
      <c r="G193" s="754"/>
      <c r="H193" s="754"/>
      <c r="I193" s="754"/>
      <c r="J193" s="754"/>
      <c r="K193" s="754"/>
      <c r="L193" s="754"/>
      <c r="M193" s="754"/>
      <c r="N193" s="754"/>
      <c r="O193" s="754"/>
      <c r="P193" s="754"/>
      <c r="Q193" s="754"/>
      <c r="R193" s="754"/>
      <c r="S193" s="754"/>
      <c r="T193" s="754"/>
      <c r="U193" s="754"/>
      <c r="V193" s="754"/>
      <c r="W193" s="754"/>
      <c r="X193" s="754"/>
      <c r="Y193" s="754"/>
      <c r="Z193" s="754"/>
      <c r="AA193" s="754"/>
      <c r="AB193" s="754"/>
      <c r="AC193" s="754"/>
      <c r="AD193" s="754"/>
      <c r="AM193" s="1176"/>
      <c r="AN193" s="1176"/>
      <c r="AO193" s="1176"/>
    </row>
    <row r="194" spans="1:41" ht="15" customHeight="1" thickBot="1">
      <c r="A194" s="108"/>
      <c r="B194" s="38"/>
      <c r="C194" s="75"/>
      <c r="D194" s="86"/>
      <c r="E194" s="86"/>
      <c r="F194" s="86"/>
      <c r="G194" s="86"/>
      <c r="H194" s="86"/>
      <c r="I194" s="86"/>
      <c r="J194" s="86"/>
      <c r="K194" s="86"/>
      <c r="L194" s="86"/>
      <c r="M194" s="86"/>
      <c r="N194" s="86"/>
      <c r="O194" s="86"/>
      <c r="P194" s="86"/>
      <c r="Q194" s="86"/>
      <c r="R194" s="86"/>
      <c r="S194" s="86"/>
      <c r="T194" s="86"/>
      <c r="U194" s="86"/>
      <c r="V194" s="86"/>
      <c r="W194" s="86"/>
      <c r="X194" s="86"/>
      <c r="Y194" s="86"/>
      <c r="Z194" s="86"/>
      <c r="AA194" s="86"/>
      <c r="AB194" s="86"/>
      <c r="AC194" s="86"/>
      <c r="AD194" s="86"/>
      <c r="AG194" s="354" t="s">
        <v>2586</v>
      </c>
      <c r="AH194" s="282" t="s">
        <v>2590</v>
      </c>
      <c r="AI194" s="572" t="s">
        <v>3063</v>
      </c>
      <c r="AJ194" s="513" t="s">
        <v>4166</v>
      </c>
      <c r="AK194" s="573" t="s">
        <v>3073</v>
      </c>
      <c r="AL194" s="515" t="s">
        <v>3074</v>
      </c>
      <c r="AM194" s="1176"/>
      <c r="AN194" s="1176"/>
      <c r="AO194" s="1176"/>
    </row>
    <row r="195" spans="1:41" ht="24" customHeight="1" thickBot="1">
      <c r="A195" s="49"/>
      <c r="B195" s="38"/>
      <c r="C195" s="1035"/>
      <c r="D195" s="1036"/>
      <c r="E195" s="1036"/>
      <c r="F195" s="1037"/>
      <c r="G195" s="1189" t="s">
        <v>6582</v>
      </c>
      <c r="H195" s="1190"/>
      <c r="I195" s="1190"/>
      <c r="J195" s="1190"/>
      <c r="K195" s="1190"/>
      <c r="L195" s="1190"/>
      <c r="M195" s="1190"/>
      <c r="N195" s="1190"/>
      <c r="O195" s="1190"/>
      <c r="P195" s="1190"/>
      <c r="Q195" s="1190"/>
      <c r="R195" s="1190"/>
      <c r="S195" s="1190"/>
      <c r="T195" s="1190"/>
      <c r="U195" s="1190"/>
      <c r="V195" s="1190"/>
      <c r="W195" s="1190"/>
      <c r="X195" s="1190"/>
      <c r="Y195" s="1190"/>
      <c r="Z195" s="1190"/>
      <c r="AA195" s="1190"/>
      <c r="AB195" s="1190"/>
      <c r="AC195" s="1190"/>
      <c r="AD195" s="1190"/>
      <c r="AG195" s="326">
        <f>IF(AND(OR($I$25="X",$T$25="X"),COUNTA(C195)=0),0,IF(AND($I$25="",$T$25="",$C$141&lt;&gt;"",$C$141&lt;&gt;1,COUNTA(C195)=0),0,IF(AND($I$25="",$T$25="",$C$141&lt;&gt;"",$C$141=1,$C$155="X",COUNTA(C195)=0),0,IF(AND($I$25="",$T$25="",$C$141&lt;&gt;"",$C$141=1,$C$155="",COUNTA(C195)=1),0,IF(AND($C$141="",COUNTA(C195)=0),0,1)))))</f>
        <v>0</v>
      </c>
      <c r="AH195" s="283">
        <f>COUNTIF(C195,"NS")</f>
        <v>0</v>
      </c>
      <c r="AI195" s="283">
        <f>COUNTIF(C195,"NA")</f>
        <v>0</v>
      </c>
      <c r="AJ195" s="283">
        <f>IF(OR(C195="NS",C195="NA"),0,IF(SUM(ISTEXT(C195))=0,0,1))</f>
        <v>0</v>
      </c>
      <c r="AK195">
        <f>IF(OR(C195="NS",C195="NA"),0,LEN(C195)-LEN(INT(C195)-1))</f>
        <v>-2</v>
      </c>
      <c r="AL195">
        <f>IF(AK195&lt;=0,0,1)</f>
        <v>0</v>
      </c>
      <c r="AM195" s="342">
        <f>IF(AND(OR($I$25="X",$T$25="X"),COUNTA(C195)&gt;0),1,0)</f>
        <v>0</v>
      </c>
      <c r="AN195">
        <f>IF(AND($C$141&lt;&gt;"",$C$141&lt;&gt;1,COUNTA(C195)&gt;0),1,0)</f>
        <v>0</v>
      </c>
      <c r="AO195">
        <f>IF(AND($C$155="X",COUNTA(C195)&gt;0),1,0)</f>
        <v>0</v>
      </c>
    </row>
    <row r="196" spans="1:41" ht="15" customHeight="1">
      <c r="A196" s="10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row>
    <row r="197" spans="1:41" ht="24" customHeight="1">
      <c r="A197" s="210"/>
      <c r="B197" s="38"/>
      <c r="C197" s="754" t="s">
        <v>2611</v>
      </c>
      <c r="D197" s="754"/>
      <c r="E197" s="754"/>
      <c r="F197" s="754"/>
      <c r="G197" s="754"/>
      <c r="H197" s="754"/>
      <c r="I197" s="754"/>
      <c r="J197" s="754"/>
      <c r="K197" s="754"/>
      <c r="L197" s="754"/>
      <c r="M197" s="754"/>
      <c r="N197" s="754"/>
      <c r="O197" s="754"/>
      <c r="P197" s="754"/>
      <c r="Q197" s="754"/>
      <c r="R197" s="754"/>
      <c r="S197" s="754"/>
      <c r="T197" s="754"/>
      <c r="U197" s="754"/>
      <c r="V197" s="754"/>
      <c r="W197" s="754"/>
      <c r="X197" s="754"/>
      <c r="Y197" s="754"/>
      <c r="Z197" s="754"/>
      <c r="AA197" s="754"/>
      <c r="AB197" s="754"/>
      <c r="AC197" s="754"/>
      <c r="AD197" s="754"/>
    </row>
    <row r="198" spans="1:41" ht="60" customHeight="1">
      <c r="A198" s="210"/>
      <c r="B198" s="38"/>
      <c r="C198" s="851"/>
      <c r="D198" s="851"/>
      <c r="E198" s="851"/>
      <c r="F198" s="851"/>
      <c r="G198" s="851"/>
      <c r="H198" s="851"/>
      <c r="I198" s="851"/>
      <c r="J198" s="851"/>
      <c r="K198" s="851"/>
      <c r="L198" s="851"/>
      <c r="M198" s="851"/>
      <c r="N198" s="851"/>
      <c r="O198" s="851"/>
      <c r="P198" s="851"/>
      <c r="Q198" s="851"/>
      <c r="R198" s="851"/>
      <c r="S198" s="851"/>
      <c r="T198" s="851"/>
      <c r="U198" s="851"/>
      <c r="V198" s="851"/>
      <c r="W198" s="851"/>
      <c r="X198" s="851"/>
      <c r="Y198" s="851"/>
      <c r="Z198" s="851"/>
      <c r="AA198" s="851"/>
      <c r="AB198" s="851"/>
      <c r="AC198" s="851"/>
      <c r="AD198" s="851"/>
    </row>
    <row r="199" spans="1:41" ht="15">
      <c r="B199" s="794" t="str">
        <f>IF(AG195&gt;0,"Favor de ingresar toda la información requerida en la pregunta y/o verifique que no tenga información en celdas sombreadas","")</f>
        <v/>
      </c>
      <c r="C199" s="794"/>
      <c r="D199" s="794"/>
      <c r="E199" s="794"/>
      <c r="F199" s="794"/>
      <c r="G199" s="794"/>
      <c r="H199" s="794"/>
      <c r="I199" s="794"/>
      <c r="J199" s="794"/>
      <c r="K199" s="794"/>
      <c r="L199" s="794"/>
      <c r="M199" s="794"/>
      <c r="N199" s="794"/>
      <c r="O199" s="794"/>
      <c r="P199" s="794"/>
      <c r="Q199" s="794"/>
      <c r="R199" s="794"/>
      <c r="S199" s="794"/>
      <c r="T199" s="794"/>
      <c r="U199" s="794"/>
      <c r="V199" s="794"/>
      <c r="W199" s="794"/>
      <c r="X199" s="794"/>
      <c r="Y199" s="794"/>
      <c r="Z199" s="794"/>
      <c r="AA199" s="794"/>
      <c r="AB199" s="794"/>
      <c r="AC199" s="794"/>
      <c r="AD199" s="794"/>
    </row>
    <row r="200" spans="1:41" ht="15" customHeight="1">
      <c r="A200" s="108"/>
      <c r="B200" s="795" t="str">
        <f>IF(AH195&gt;0,"Alerta: debido a que cuenta con registros NS, debe proporcionar una justificación en el area de comentarios al final de la pregunta",IF(AI195&gt;0,"Alerta: debido a que cuenta con registros NA, debe proporcionar una justificación en el area de comentarios al final de la pregunta",""))</f>
        <v/>
      </c>
      <c r="C200" s="795"/>
      <c r="D200" s="795"/>
      <c r="E200" s="795"/>
      <c r="F200" s="795"/>
      <c r="G200" s="795"/>
      <c r="H200" s="795"/>
      <c r="I200" s="795"/>
      <c r="J200" s="795"/>
      <c r="K200" s="795"/>
      <c r="L200" s="795"/>
      <c r="M200" s="795"/>
      <c r="N200" s="795"/>
      <c r="O200" s="795"/>
      <c r="P200" s="795"/>
      <c r="Q200" s="795"/>
      <c r="R200" s="795"/>
      <c r="S200" s="795"/>
      <c r="T200" s="795"/>
      <c r="U200" s="795"/>
      <c r="V200" s="795"/>
      <c r="W200" s="795"/>
      <c r="X200" s="795"/>
      <c r="Y200" s="795"/>
      <c r="Z200" s="795"/>
      <c r="AA200" s="795"/>
      <c r="AB200" s="795"/>
      <c r="AC200" s="795"/>
      <c r="AD200" s="795"/>
    </row>
    <row r="201" spans="1:41" ht="15" customHeight="1">
      <c r="A201" s="108"/>
      <c r="B201" s="924" t="str">
        <f>IF(AJ195&gt;0,"Las cifras deben anotarse en pesos mexicanos (no debe agregar la frase “miles o millones de pesos”)",IF(AL195&gt;0,"No deben considerarse decimales en las cifra registrada",""))</f>
        <v/>
      </c>
      <c r="C201" s="924"/>
      <c r="D201" s="924"/>
      <c r="E201" s="924"/>
      <c r="F201" s="924"/>
      <c r="G201" s="924"/>
      <c r="H201" s="924"/>
      <c r="I201" s="924"/>
      <c r="J201" s="924"/>
      <c r="K201" s="924"/>
      <c r="L201" s="924"/>
      <c r="M201" s="924"/>
      <c r="N201" s="924"/>
      <c r="O201" s="924"/>
      <c r="P201" s="924"/>
      <c r="Q201" s="924"/>
      <c r="R201" s="924"/>
      <c r="S201" s="924"/>
      <c r="T201" s="924"/>
      <c r="U201" s="924"/>
      <c r="V201" s="924"/>
      <c r="W201" s="924"/>
      <c r="X201" s="924"/>
      <c r="Y201" s="924"/>
      <c r="Z201" s="924"/>
      <c r="AA201" s="924"/>
      <c r="AB201" s="924"/>
      <c r="AC201" s="924"/>
      <c r="AD201" s="924"/>
    </row>
    <row r="202" spans="1:41" ht="15" customHeight="1">
      <c r="A202" s="10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row>
    <row r="203" spans="1:41" ht="15" customHeight="1">
      <c r="A203" s="10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row>
    <row r="204" spans="1:41" ht="15"/>
    <row r="205" spans="1:41" ht="24" customHeight="1">
      <c r="A205" s="108" t="s">
        <v>6583</v>
      </c>
      <c r="B205" s="829" t="s">
        <v>6584</v>
      </c>
      <c r="C205" s="829"/>
      <c r="D205" s="829"/>
      <c r="E205" s="829"/>
      <c r="F205" s="829"/>
      <c r="G205" s="829"/>
      <c r="H205" s="829"/>
      <c r="I205" s="829"/>
      <c r="J205" s="829"/>
      <c r="K205" s="829"/>
      <c r="L205" s="829"/>
      <c r="M205" s="829"/>
      <c r="N205" s="829"/>
      <c r="O205" s="829"/>
      <c r="P205" s="829"/>
      <c r="Q205" s="829"/>
      <c r="R205" s="829"/>
      <c r="S205" s="829"/>
      <c r="T205" s="829"/>
      <c r="U205" s="829"/>
      <c r="V205" s="829"/>
      <c r="W205" s="829"/>
      <c r="X205" s="829"/>
      <c r="Y205" s="829"/>
      <c r="Z205" s="829"/>
      <c r="AA205" s="829"/>
      <c r="AB205" s="829"/>
      <c r="AC205" s="829"/>
      <c r="AD205" s="829"/>
    </row>
    <row r="206" spans="1:41" ht="15">
      <c r="A206" s="108"/>
      <c r="B206" s="102"/>
      <c r="C206" s="830" t="s">
        <v>6585</v>
      </c>
      <c r="D206" s="830"/>
      <c r="E206" s="830"/>
      <c r="F206" s="830"/>
      <c r="G206" s="830"/>
      <c r="H206" s="830"/>
      <c r="I206" s="830"/>
      <c r="J206" s="830"/>
      <c r="K206" s="830"/>
      <c r="L206" s="830"/>
      <c r="M206" s="830"/>
      <c r="N206" s="830"/>
      <c r="O206" s="830"/>
      <c r="P206" s="830"/>
      <c r="Q206" s="830"/>
      <c r="R206" s="830"/>
      <c r="S206" s="830"/>
      <c r="T206" s="830"/>
      <c r="U206" s="830"/>
      <c r="V206" s="830"/>
      <c r="W206" s="830"/>
      <c r="X206" s="830"/>
      <c r="Y206" s="830"/>
      <c r="Z206" s="830"/>
      <c r="AA206" s="830"/>
      <c r="AB206" s="830"/>
      <c r="AC206" s="830"/>
      <c r="AD206" s="830"/>
    </row>
    <row r="207" spans="1:41" ht="15">
      <c r="A207" s="108"/>
      <c r="B207" s="102"/>
      <c r="C207" s="830" t="s">
        <v>6586</v>
      </c>
      <c r="D207" s="830"/>
      <c r="E207" s="830"/>
      <c r="F207" s="830"/>
      <c r="G207" s="830"/>
      <c r="H207" s="830"/>
      <c r="I207" s="830"/>
      <c r="J207" s="830"/>
      <c r="K207" s="830"/>
      <c r="L207" s="830"/>
      <c r="M207" s="830"/>
      <c r="N207" s="830"/>
      <c r="O207" s="830"/>
      <c r="P207" s="830"/>
      <c r="Q207" s="830"/>
      <c r="R207" s="830"/>
      <c r="S207" s="830"/>
      <c r="T207" s="830"/>
      <c r="U207" s="830"/>
      <c r="V207" s="830"/>
      <c r="W207" s="830"/>
      <c r="X207" s="830"/>
      <c r="Y207" s="830"/>
      <c r="Z207" s="830"/>
      <c r="AA207" s="830"/>
      <c r="AB207" s="830"/>
      <c r="AC207" s="830"/>
      <c r="AD207" s="830"/>
      <c r="AG207" s="1176" t="s">
        <v>6540</v>
      </c>
      <c r="AH207" s="1176" t="s">
        <v>6574</v>
      </c>
      <c r="AI207" s="1176" t="s">
        <v>6575</v>
      </c>
      <c r="AJ207" s="1176" t="s">
        <v>6587</v>
      </c>
      <c r="AK207" s="1176" t="s">
        <v>6588</v>
      </c>
    </row>
    <row r="208" spans="1:41" ht="15.75" thickBot="1">
      <c r="A208" s="233"/>
      <c r="AG208" s="1176"/>
      <c r="AH208" s="1176"/>
      <c r="AI208" s="1176"/>
      <c r="AJ208" s="1176"/>
      <c r="AK208" s="1176"/>
    </row>
    <row r="209" spans="1:37" ht="15.75" thickBot="1">
      <c r="A209" s="233"/>
      <c r="C209" s="137"/>
      <c r="D209" s="54" t="s">
        <v>6589</v>
      </c>
      <c r="E209" s="54"/>
      <c r="F209" s="54"/>
      <c r="G209" s="54"/>
      <c r="H209" s="54"/>
      <c r="I209" s="54"/>
      <c r="J209" s="54"/>
      <c r="K209" s="54"/>
      <c r="L209" s="54"/>
      <c r="M209" s="54"/>
      <c r="N209" s="54"/>
      <c r="O209" s="54"/>
      <c r="P209" s="54"/>
      <c r="Q209" s="51"/>
      <c r="R209" s="51"/>
      <c r="S209" s="51"/>
      <c r="T209" s="51"/>
      <c r="U209" s="51"/>
      <c r="V209" s="51"/>
      <c r="W209" s="51"/>
      <c r="X209" s="51"/>
      <c r="Y209" s="51"/>
      <c r="Z209" s="51"/>
      <c r="AA209" s="51"/>
      <c r="AB209" s="51"/>
      <c r="AC209" s="51"/>
      <c r="AD209" s="51"/>
      <c r="AG209" s="1176"/>
      <c r="AH209" s="1176"/>
      <c r="AI209" s="1176"/>
      <c r="AJ209" s="1176"/>
      <c r="AK209" s="1176"/>
    </row>
    <row r="210" spans="1:37" ht="15.75" thickBot="1">
      <c r="A210" s="233"/>
      <c r="C210" s="137"/>
      <c r="D210" s="54" t="s">
        <v>6590</v>
      </c>
      <c r="E210" s="54"/>
      <c r="F210" s="54"/>
      <c r="G210" s="54"/>
      <c r="H210" s="54"/>
      <c r="I210" s="54"/>
      <c r="J210" s="54"/>
      <c r="K210" s="54"/>
      <c r="L210" s="54"/>
      <c r="M210" s="54"/>
      <c r="N210" s="54"/>
      <c r="O210" s="54"/>
      <c r="P210" s="54"/>
      <c r="Q210" s="51"/>
      <c r="R210" s="51"/>
      <c r="S210" s="51"/>
      <c r="T210" s="51"/>
      <c r="U210" s="51"/>
      <c r="V210" s="51"/>
      <c r="W210" s="51"/>
      <c r="X210" s="51"/>
      <c r="Y210" s="51"/>
      <c r="Z210" s="51"/>
      <c r="AA210" s="51"/>
      <c r="AB210" s="51"/>
      <c r="AC210" s="51"/>
      <c r="AD210" s="51"/>
      <c r="AG210" s="342">
        <f>IF(AND(OR($I$25="X",$T$25="X"),COUNTA(C209:C225)&gt;0),1,0)</f>
        <v>0</v>
      </c>
      <c r="AH210">
        <f>IF(AND($C$141&lt;&gt;"",$C$141&lt;&gt;1,COUNTA(C209:C225)&gt;0),1,0)</f>
        <v>0</v>
      </c>
      <c r="AI210">
        <f>IF(AND($C$155="X",COUNTA(C209:C225)&gt;0),1,0)</f>
        <v>0</v>
      </c>
      <c r="AJ210">
        <f>IF(AND($C$224="X",COUNTA(C209:C223,C225)&gt;0),1,0)</f>
        <v>0</v>
      </c>
      <c r="AK210">
        <f>IF(AND($C$225="X",COUNTA(C209:C224)&gt;0),1,0)</f>
        <v>0</v>
      </c>
    </row>
    <row r="211" spans="1:37" ht="15.75" thickBot="1">
      <c r="A211" s="233"/>
      <c r="C211" s="137"/>
      <c r="D211" s="54" t="s">
        <v>6591</v>
      </c>
      <c r="E211" s="54"/>
      <c r="F211" s="54"/>
      <c r="G211" s="54"/>
      <c r="H211" s="54"/>
      <c r="I211" s="54"/>
      <c r="J211" s="54"/>
      <c r="K211" s="54"/>
      <c r="L211" s="54"/>
      <c r="M211" s="54"/>
      <c r="N211" s="54"/>
      <c r="O211" s="54"/>
      <c r="P211" s="54"/>
      <c r="Q211" s="51"/>
      <c r="R211" s="51"/>
      <c r="S211" s="51"/>
      <c r="T211" s="51"/>
      <c r="U211" s="51"/>
      <c r="V211" s="51"/>
      <c r="W211" s="51"/>
      <c r="X211" s="51"/>
      <c r="Y211" s="51"/>
      <c r="Z211" s="51"/>
      <c r="AA211" s="51"/>
      <c r="AB211" s="51"/>
      <c r="AC211" s="51"/>
      <c r="AD211" s="51"/>
    </row>
    <row r="212" spans="1:37" ht="15.75" thickBot="1">
      <c r="A212" s="233"/>
      <c r="C212" s="137"/>
      <c r="D212" s="54" t="s">
        <v>6592</v>
      </c>
      <c r="E212" s="54"/>
      <c r="F212" s="54"/>
      <c r="G212" s="54"/>
      <c r="H212" s="54"/>
      <c r="I212" s="54"/>
      <c r="J212" s="54"/>
      <c r="K212" s="54"/>
      <c r="L212" s="54"/>
      <c r="M212" s="54"/>
      <c r="N212" s="54"/>
      <c r="O212" s="54"/>
      <c r="P212" s="54"/>
      <c r="Q212" s="51"/>
      <c r="R212" s="51"/>
      <c r="S212" s="51"/>
      <c r="T212" s="51"/>
      <c r="U212" s="51"/>
      <c r="V212" s="51"/>
      <c r="W212" s="51"/>
      <c r="X212" s="51"/>
      <c r="Y212" s="51"/>
      <c r="Z212" s="51"/>
      <c r="AA212" s="51"/>
      <c r="AB212" s="51"/>
      <c r="AC212" s="51"/>
      <c r="AD212" s="51"/>
    </row>
    <row r="213" spans="1:37" ht="15.75" thickBot="1">
      <c r="A213" s="233"/>
      <c r="C213" s="137"/>
      <c r="D213" s="54" t="s">
        <v>6593</v>
      </c>
      <c r="E213" s="54"/>
      <c r="F213" s="54"/>
      <c r="G213" s="54"/>
      <c r="H213" s="54"/>
      <c r="I213" s="54"/>
      <c r="J213" s="54"/>
      <c r="K213" s="54"/>
      <c r="L213" s="54"/>
      <c r="M213" s="54"/>
      <c r="N213" s="54"/>
      <c r="O213" s="54"/>
      <c r="P213" s="54"/>
      <c r="Q213" s="51"/>
      <c r="R213" s="51"/>
      <c r="S213" s="51"/>
      <c r="T213" s="51"/>
      <c r="U213" s="51"/>
      <c r="V213" s="51"/>
      <c r="W213" s="51"/>
      <c r="X213" s="51"/>
      <c r="Y213" s="51"/>
      <c r="Z213" s="51"/>
      <c r="AA213" s="51"/>
      <c r="AB213" s="51"/>
      <c r="AC213" s="51"/>
      <c r="AD213" s="51"/>
    </row>
    <row r="214" spans="1:37" ht="15.75" thickBot="1">
      <c r="A214" s="233"/>
      <c r="C214" s="137"/>
      <c r="D214" s="54" t="s">
        <v>6594</v>
      </c>
      <c r="E214" s="54"/>
      <c r="F214" s="54"/>
      <c r="G214" s="54"/>
      <c r="H214" s="54"/>
      <c r="I214" s="54"/>
      <c r="J214" s="54"/>
      <c r="K214" s="54"/>
      <c r="L214" s="54"/>
      <c r="M214" s="54"/>
      <c r="N214" s="54"/>
      <c r="O214" s="54"/>
      <c r="P214" s="54"/>
      <c r="Q214" s="51"/>
      <c r="R214" s="51"/>
      <c r="S214" s="51"/>
      <c r="T214" s="51"/>
      <c r="U214" s="51"/>
      <c r="V214" s="51"/>
      <c r="W214" s="51"/>
      <c r="X214" s="51"/>
      <c r="Y214" s="51"/>
      <c r="Z214" s="51"/>
      <c r="AA214" s="51"/>
      <c r="AB214" s="51"/>
      <c r="AC214" s="51"/>
      <c r="AD214" s="51"/>
    </row>
    <row r="215" spans="1:37" ht="15.75" thickBot="1">
      <c r="A215" s="233"/>
      <c r="C215" s="137"/>
      <c r="D215" s="54" t="s">
        <v>6595</v>
      </c>
      <c r="E215" s="54"/>
      <c r="F215" s="54"/>
      <c r="G215" s="54"/>
      <c r="H215" s="54"/>
      <c r="I215" s="54"/>
      <c r="J215" s="54"/>
      <c r="K215" s="54"/>
      <c r="L215" s="54"/>
      <c r="M215" s="54"/>
      <c r="N215" s="54"/>
      <c r="O215" s="54"/>
      <c r="P215" s="54"/>
      <c r="Q215" s="51"/>
      <c r="R215" s="51"/>
      <c r="S215" s="51"/>
      <c r="T215" s="51"/>
      <c r="U215" s="51"/>
      <c r="V215" s="51"/>
      <c r="W215" s="51"/>
      <c r="X215" s="51"/>
      <c r="Y215" s="51"/>
      <c r="Z215" s="51"/>
      <c r="AA215" s="51"/>
      <c r="AB215" s="51"/>
      <c r="AC215" s="51"/>
      <c r="AD215" s="51"/>
    </row>
    <row r="216" spans="1:37" ht="15.75" thickBot="1">
      <c r="A216" s="233"/>
      <c r="C216" s="137"/>
      <c r="D216" s="54" t="s">
        <v>6596</v>
      </c>
      <c r="E216" s="54"/>
      <c r="F216" s="54"/>
      <c r="G216" s="54"/>
      <c r="H216" s="54"/>
      <c r="I216" s="54"/>
      <c r="J216" s="54"/>
      <c r="K216" s="54"/>
      <c r="L216" s="54"/>
      <c r="M216" s="54"/>
      <c r="N216" s="54"/>
      <c r="O216" s="54"/>
      <c r="P216" s="54"/>
      <c r="Q216" s="51"/>
      <c r="R216" s="51"/>
      <c r="S216" s="51"/>
      <c r="T216" s="51"/>
      <c r="U216" s="51"/>
      <c r="V216" s="51"/>
      <c r="W216" s="51"/>
      <c r="X216" s="51"/>
      <c r="Y216" s="51"/>
      <c r="Z216" s="51"/>
      <c r="AA216" s="51"/>
      <c r="AB216" s="51"/>
      <c r="AC216" s="51"/>
      <c r="AD216" s="51"/>
    </row>
    <row r="217" spans="1:37" ht="15.75" thickBot="1">
      <c r="A217" s="233"/>
      <c r="C217" s="137"/>
      <c r="D217" s="54" t="s">
        <v>6597</v>
      </c>
      <c r="E217" s="54"/>
      <c r="F217" s="54"/>
      <c r="G217" s="54"/>
      <c r="H217" s="54"/>
      <c r="I217" s="54"/>
      <c r="J217" s="54"/>
      <c r="K217" s="54"/>
      <c r="L217" s="54"/>
      <c r="M217" s="54"/>
      <c r="N217" s="54"/>
      <c r="O217" s="54"/>
      <c r="P217" s="54"/>
      <c r="Q217" s="51"/>
      <c r="R217" s="51"/>
      <c r="S217" s="51"/>
      <c r="T217" s="51"/>
      <c r="U217" s="51"/>
      <c r="V217" s="51"/>
      <c r="W217" s="51"/>
      <c r="X217" s="51"/>
      <c r="Y217" s="51"/>
      <c r="Z217" s="51"/>
      <c r="AA217" s="51"/>
      <c r="AB217" s="51"/>
      <c r="AC217" s="51"/>
      <c r="AD217" s="51"/>
    </row>
    <row r="218" spans="1:37" ht="15.75" thickBot="1">
      <c r="A218" s="233"/>
      <c r="C218" s="137"/>
      <c r="D218" s="54" t="s">
        <v>6598</v>
      </c>
      <c r="E218" s="54"/>
      <c r="F218" s="54"/>
      <c r="G218" s="54"/>
      <c r="H218" s="54"/>
      <c r="I218" s="54"/>
      <c r="J218" s="54"/>
      <c r="K218" s="54"/>
      <c r="L218" s="54"/>
      <c r="M218" s="54"/>
      <c r="N218" s="54"/>
      <c r="O218" s="54"/>
      <c r="P218" s="54"/>
      <c r="Q218" s="51"/>
      <c r="R218" s="51"/>
      <c r="S218" s="51"/>
      <c r="T218" s="51"/>
      <c r="U218" s="51"/>
      <c r="V218" s="51"/>
      <c r="W218" s="51"/>
      <c r="X218" s="51"/>
      <c r="Y218" s="51"/>
      <c r="Z218" s="51"/>
      <c r="AA218" s="51"/>
      <c r="AB218" s="51"/>
      <c r="AC218" s="51"/>
      <c r="AD218" s="51"/>
    </row>
    <row r="219" spans="1:37" ht="15.75" thickBot="1">
      <c r="A219" s="108"/>
      <c r="B219" s="45"/>
      <c r="C219" s="137"/>
      <c r="D219" s="54" t="s">
        <v>6599</v>
      </c>
      <c r="E219" s="54"/>
      <c r="F219" s="54"/>
      <c r="G219" s="54"/>
      <c r="H219" s="54"/>
      <c r="I219" s="54"/>
      <c r="J219" s="54"/>
      <c r="K219" s="54"/>
      <c r="L219" s="54"/>
      <c r="M219" s="54"/>
      <c r="N219" s="54"/>
      <c r="O219" s="54"/>
      <c r="P219" s="54"/>
      <c r="Q219" s="45"/>
      <c r="R219" s="45"/>
      <c r="S219" s="45"/>
      <c r="T219" s="45"/>
      <c r="U219" s="45"/>
      <c r="V219" s="45"/>
      <c r="W219" s="45"/>
      <c r="X219" s="45"/>
      <c r="Y219" s="45"/>
      <c r="Z219" s="45"/>
      <c r="AA219" s="45"/>
      <c r="AB219" s="45"/>
      <c r="AC219" s="45"/>
      <c r="AD219" s="45"/>
    </row>
    <row r="220" spans="1:37" ht="15.75" thickBot="1">
      <c r="A220" s="108"/>
      <c r="B220" s="45"/>
      <c r="C220" s="137"/>
      <c r="D220" s="54" t="s">
        <v>6600</v>
      </c>
      <c r="E220" s="54"/>
      <c r="F220" s="54"/>
      <c r="G220" s="54"/>
      <c r="H220" s="54"/>
      <c r="I220" s="54"/>
      <c r="J220" s="54"/>
      <c r="K220" s="54"/>
      <c r="L220" s="54"/>
      <c r="M220" s="54"/>
      <c r="N220" s="54"/>
      <c r="O220" s="54"/>
      <c r="P220" s="54"/>
      <c r="Q220" s="45"/>
      <c r="R220" s="45"/>
      <c r="S220" s="45"/>
      <c r="T220" s="45"/>
      <c r="U220" s="45"/>
      <c r="V220" s="45"/>
      <c r="W220" s="45"/>
      <c r="X220" s="45"/>
      <c r="Y220" s="45"/>
      <c r="Z220" s="45"/>
      <c r="AA220" s="45"/>
      <c r="AB220" s="45"/>
      <c r="AC220" s="45"/>
      <c r="AD220" s="45"/>
    </row>
    <row r="221" spans="1:37" ht="15.75" thickBot="1">
      <c r="A221" s="108"/>
      <c r="B221" s="45"/>
      <c r="C221" s="137"/>
      <c r="D221" s="54" t="s">
        <v>6601</v>
      </c>
      <c r="E221" s="54"/>
      <c r="F221" s="54"/>
      <c r="G221" s="54"/>
      <c r="H221" s="54"/>
      <c r="I221" s="54"/>
      <c r="J221" s="54"/>
      <c r="K221" s="54"/>
      <c r="L221" s="54"/>
      <c r="M221" s="54"/>
      <c r="N221" s="54"/>
      <c r="O221" s="54"/>
      <c r="P221" s="54"/>
      <c r="Q221" s="45"/>
      <c r="R221" s="45"/>
      <c r="S221" s="45"/>
      <c r="T221" s="45"/>
      <c r="U221" s="45"/>
      <c r="V221" s="45"/>
      <c r="W221" s="45"/>
      <c r="X221" s="45"/>
      <c r="Y221" s="45"/>
      <c r="Z221" s="45"/>
      <c r="AA221" s="45"/>
      <c r="AB221" s="45"/>
      <c r="AC221" s="45"/>
      <c r="AD221" s="45"/>
    </row>
    <row r="222" spans="1:37" ht="15.75" thickBot="1">
      <c r="A222" s="108"/>
      <c r="B222" s="45"/>
      <c r="C222" s="137"/>
      <c r="D222" s="54" t="s">
        <v>6602</v>
      </c>
      <c r="E222" s="54"/>
      <c r="F222" s="54"/>
      <c r="G222" s="54"/>
      <c r="H222" s="54"/>
      <c r="I222" s="54"/>
      <c r="J222" s="54"/>
      <c r="K222" s="54"/>
      <c r="L222" s="54"/>
      <c r="M222" s="54"/>
      <c r="N222" s="54"/>
      <c r="O222" s="54"/>
      <c r="P222" s="54"/>
      <c r="Q222" s="45"/>
      <c r="R222" s="45"/>
      <c r="S222" s="45"/>
      <c r="T222" s="45"/>
      <c r="U222" s="45"/>
      <c r="V222" s="45"/>
      <c r="W222" s="45"/>
      <c r="X222" s="45"/>
      <c r="Y222" s="45"/>
      <c r="Z222" s="45"/>
      <c r="AA222" s="45"/>
      <c r="AB222" s="45"/>
      <c r="AC222" s="45"/>
      <c r="AD222" s="45"/>
    </row>
    <row r="223" spans="1:37" ht="15.75" thickBot="1">
      <c r="A223" s="108"/>
      <c r="B223" s="45"/>
      <c r="C223" s="137"/>
      <c r="D223" s="54" t="s">
        <v>6603</v>
      </c>
      <c r="E223" s="54"/>
      <c r="F223" s="54"/>
      <c r="G223" s="54"/>
      <c r="H223" s="54"/>
      <c r="I223" s="54"/>
      <c r="J223" s="54"/>
      <c r="K223" s="54"/>
      <c r="L223" s="54"/>
      <c r="M223" s="54"/>
      <c r="N223" s="54"/>
      <c r="O223" s="54"/>
      <c r="P223" s="51"/>
      <c r="Q223" s="737"/>
      <c r="R223" s="737"/>
      <c r="S223" s="737"/>
      <c r="T223" s="737"/>
      <c r="U223" s="737"/>
      <c r="V223" s="737"/>
      <c r="W223" s="737"/>
      <c r="X223" s="737"/>
      <c r="Y223" s="737"/>
      <c r="Z223" s="737"/>
      <c r="AA223" s="737"/>
      <c r="AB223" s="737"/>
      <c r="AC223" s="737"/>
      <c r="AD223" s="737"/>
    </row>
    <row r="224" spans="1:37" ht="15.75" thickBot="1">
      <c r="A224" s="108"/>
      <c r="B224" s="45"/>
      <c r="C224" s="137"/>
      <c r="D224" s="54" t="s">
        <v>6604</v>
      </c>
      <c r="E224" s="54"/>
      <c r="F224" s="54"/>
      <c r="G224" s="54"/>
      <c r="H224" s="54"/>
      <c r="I224" s="54"/>
      <c r="J224" s="54"/>
      <c r="K224" s="54"/>
      <c r="L224" s="54"/>
      <c r="M224" s="54"/>
      <c r="N224" s="54"/>
      <c r="O224" s="54"/>
      <c r="P224" s="84"/>
      <c r="Q224" s="84"/>
      <c r="R224" s="84"/>
      <c r="S224" s="84"/>
      <c r="T224" s="84"/>
      <c r="U224" s="84"/>
      <c r="V224" s="84"/>
      <c r="W224" s="84"/>
      <c r="X224" s="84"/>
      <c r="Y224" s="84"/>
      <c r="Z224" s="84"/>
      <c r="AA224" s="84"/>
      <c r="AB224" s="84"/>
      <c r="AC224" s="84"/>
      <c r="AD224" s="84"/>
    </row>
    <row r="225" spans="1:36" ht="15.75" thickBot="1">
      <c r="A225" s="108"/>
      <c r="B225" s="45"/>
      <c r="C225" s="137"/>
      <c r="D225" s="54" t="s">
        <v>3976</v>
      </c>
      <c r="E225" s="45"/>
      <c r="F225" s="45"/>
      <c r="G225" s="45"/>
      <c r="H225" s="45"/>
      <c r="I225" s="45"/>
      <c r="J225" s="45"/>
      <c r="K225" s="45"/>
      <c r="L225" s="45"/>
      <c r="M225" s="45"/>
      <c r="N225" s="45"/>
      <c r="O225" s="45"/>
      <c r="P225" s="45"/>
      <c r="Q225" s="45"/>
      <c r="R225" s="45"/>
      <c r="S225" s="45"/>
      <c r="T225" s="45"/>
      <c r="U225" s="45"/>
      <c r="V225" s="45"/>
      <c r="W225" s="45"/>
      <c r="X225" s="45"/>
      <c r="Y225" s="45"/>
      <c r="Z225" s="45"/>
      <c r="AA225" s="45"/>
      <c r="AB225" s="45"/>
      <c r="AC225" s="45"/>
      <c r="AD225" s="45"/>
    </row>
    <row r="226" spans="1:36" ht="15">
      <c r="A226" s="230"/>
      <c r="B226" s="90"/>
      <c r="C226" s="90"/>
      <c r="D226" s="90"/>
      <c r="E226" s="90"/>
      <c r="F226" s="90"/>
      <c r="G226" s="90"/>
      <c r="H226" s="90"/>
      <c r="I226" s="90"/>
      <c r="J226" s="90"/>
      <c r="K226" s="90"/>
      <c r="L226" s="90"/>
      <c r="M226" s="90"/>
      <c r="N226" s="90"/>
      <c r="O226" s="90"/>
      <c r="P226" s="90"/>
      <c r="Q226" s="90"/>
      <c r="R226" s="90"/>
      <c r="S226" s="90"/>
      <c r="T226" s="90"/>
      <c r="U226" s="90"/>
      <c r="V226" s="90"/>
      <c r="W226" s="90"/>
      <c r="X226" s="90"/>
      <c r="Y226" s="90"/>
      <c r="Z226" s="90"/>
      <c r="AA226" s="90"/>
      <c r="AB226" s="90"/>
      <c r="AC226" s="90"/>
      <c r="AD226" s="90"/>
    </row>
    <row r="227" spans="1:36" ht="24" customHeight="1">
      <c r="A227" s="211"/>
      <c r="B227" s="57"/>
      <c r="C227" s="754" t="s">
        <v>2611</v>
      </c>
      <c r="D227" s="754"/>
      <c r="E227" s="754"/>
      <c r="F227" s="754"/>
      <c r="G227" s="754"/>
      <c r="H227" s="754"/>
      <c r="I227" s="754"/>
      <c r="J227" s="754"/>
      <c r="K227" s="754"/>
      <c r="L227" s="754"/>
      <c r="M227" s="754"/>
      <c r="N227" s="754"/>
      <c r="O227" s="754"/>
      <c r="P227" s="754"/>
      <c r="Q227" s="754"/>
      <c r="R227" s="754"/>
      <c r="S227" s="754"/>
      <c r="T227" s="754"/>
      <c r="U227" s="754"/>
      <c r="V227" s="754"/>
      <c r="W227" s="754"/>
      <c r="X227" s="754"/>
      <c r="Y227" s="754"/>
      <c r="Z227" s="754"/>
      <c r="AA227" s="754"/>
      <c r="AB227" s="754"/>
      <c r="AC227" s="754"/>
      <c r="AD227" s="754"/>
    </row>
    <row r="228" spans="1:36" ht="60" customHeight="1">
      <c r="A228" s="211"/>
      <c r="B228" s="57"/>
      <c r="C228" s="851"/>
      <c r="D228" s="851"/>
      <c r="E228" s="851"/>
      <c r="F228" s="851"/>
      <c r="G228" s="851"/>
      <c r="H228" s="851"/>
      <c r="I228" s="851"/>
      <c r="J228" s="851"/>
      <c r="K228" s="851"/>
      <c r="L228" s="851"/>
      <c r="M228" s="851"/>
      <c r="N228" s="851"/>
      <c r="O228" s="851"/>
      <c r="P228" s="851"/>
      <c r="Q228" s="851"/>
      <c r="R228" s="851"/>
      <c r="S228" s="851"/>
      <c r="T228" s="851"/>
      <c r="U228" s="851"/>
      <c r="V228" s="851"/>
      <c r="W228" s="851"/>
      <c r="X228" s="851"/>
      <c r="Y228" s="851"/>
      <c r="Z228" s="851"/>
      <c r="AA228" s="851"/>
      <c r="AB228" s="851"/>
      <c r="AC228" s="851"/>
      <c r="AD228" s="851"/>
    </row>
    <row r="229" spans="1:36" ht="15">
      <c r="B229" s="794" t="str">
        <f>IF(OR(AG210&gt;0,AH210&gt;0,AI210&gt;0,AJ210&gt;0,AK210&gt;0),"Favor de verificar que no tenga información en celdas sombreadas","")</f>
        <v/>
      </c>
      <c r="C229" s="794"/>
      <c r="D229" s="794"/>
      <c r="E229" s="794"/>
      <c r="F229" s="794"/>
      <c r="G229" s="794"/>
      <c r="H229" s="794"/>
      <c r="I229" s="794"/>
      <c r="J229" s="794"/>
      <c r="K229" s="794"/>
      <c r="L229" s="794"/>
      <c r="M229" s="794"/>
      <c r="N229" s="794"/>
      <c r="O229" s="794"/>
      <c r="P229" s="794"/>
      <c r="Q229" s="794"/>
      <c r="R229" s="794"/>
      <c r="S229" s="794"/>
      <c r="T229" s="794"/>
      <c r="U229" s="794"/>
      <c r="V229" s="794"/>
      <c r="W229" s="794"/>
      <c r="X229" s="794"/>
      <c r="Y229" s="794"/>
      <c r="Z229" s="794"/>
      <c r="AA229" s="794"/>
      <c r="AB229" s="794"/>
      <c r="AC229" s="794"/>
      <c r="AD229" s="794"/>
    </row>
    <row r="230" spans="1:36" ht="15"/>
    <row r="231" spans="1:36" ht="15"/>
    <row r="232" spans="1:36" ht="15"/>
    <row r="233" spans="1:36" ht="15"/>
    <row r="234" spans="1:36" ht="15"/>
    <row r="235" spans="1:36" ht="24" customHeight="1">
      <c r="A235" s="108" t="s">
        <v>6605</v>
      </c>
      <c r="B235" s="829" t="s">
        <v>6606</v>
      </c>
      <c r="C235" s="829"/>
      <c r="D235" s="829"/>
      <c r="E235" s="829"/>
      <c r="F235" s="829"/>
      <c r="G235" s="829"/>
      <c r="H235" s="829"/>
      <c r="I235" s="829"/>
      <c r="J235" s="829"/>
      <c r="K235" s="829"/>
      <c r="L235" s="829"/>
      <c r="M235" s="829"/>
      <c r="N235" s="829"/>
      <c r="O235" s="829"/>
      <c r="P235" s="829"/>
      <c r="Q235" s="829"/>
      <c r="R235" s="829"/>
      <c r="S235" s="829"/>
      <c r="T235" s="829"/>
      <c r="U235" s="829"/>
      <c r="V235" s="829"/>
      <c r="W235" s="829"/>
      <c r="X235" s="829"/>
      <c r="Y235" s="829"/>
      <c r="Z235" s="829"/>
      <c r="AA235" s="829"/>
      <c r="AB235" s="829"/>
      <c r="AC235" s="829"/>
      <c r="AD235" s="829"/>
    </row>
    <row r="236" spans="1:36" ht="15" customHeight="1">
      <c r="C236" s="1010" t="s">
        <v>3663</v>
      </c>
      <c r="D236" s="1010"/>
      <c r="E236" s="1010"/>
      <c r="F236" s="1010"/>
      <c r="G236" s="1010"/>
      <c r="H236" s="1010"/>
      <c r="I236" s="1010"/>
      <c r="J236" s="1010"/>
      <c r="K236" s="1010"/>
      <c r="L236" s="1010"/>
      <c r="M236" s="1010"/>
      <c r="N236" s="1010"/>
      <c r="O236" s="1010"/>
      <c r="P236" s="1010"/>
      <c r="Q236" s="1010"/>
      <c r="R236" s="1010"/>
      <c r="S236" s="1010"/>
      <c r="T236" s="1010"/>
      <c r="U236" s="1010"/>
      <c r="V236" s="1010"/>
      <c r="W236" s="1010"/>
      <c r="X236" s="1010"/>
      <c r="Y236" s="1010"/>
      <c r="Z236" s="1010"/>
      <c r="AA236" s="1010"/>
      <c r="AB236" s="1010"/>
      <c r="AC236" s="1010"/>
      <c r="AD236" s="1010"/>
      <c r="AG236" s="1176" t="s">
        <v>6540</v>
      </c>
      <c r="AH236" s="1176" t="s">
        <v>6574</v>
      </c>
      <c r="AI236" s="1176" t="s">
        <v>6587</v>
      </c>
      <c r="AJ236" s="1176" t="s">
        <v>6588</v>
      </c>
    </row>
    <row r="237" spans="1:36" ht="15" customHeight="1">
      <c r="C237" s="1010" t="s">
        <v>6607</v>
      </c>
      <c r="D237" s="1010"/>
      <c r="E237" s="1010"/>
      <c r="F237" s="1010"/>
      <c r="G237" s="1010"/>
      <c r="H237" s="1010"/>
      <c r="I237" s="1010"/>
      <c r="J237" s="1010"/>
      <c r="K237" s="1010"/>
      <c r="L237" s="1010"/>
      <c r="M237" s="1010"/>
      <c r="N237" s="1010"/>
      <c r="O237" s="1010"/>
      <c r="P237" s="1010"/>
      <c r="Q237" s="1010"/>
      <c r="R237" s="1010"/>
      <c r="S237" s="1010"/>
      <c r="T237" s="1010"/>
      <c r="U237" s="1010"/>
      <c r="V237" s="1010"/>
      <c r="W237" s="1010"/>
      <c r="X237" s="1010"/>
      <c r="Y237" s="1010"/>
      <c r="Z237" s="1010"/>
      <c r="AA237" s="1010"/>
      <c r="AB237" s="1010"/>
      <c r="AC237" s="1010"/>
      <c r="AD237" s="1010"/>
      <c r="AG237" s="1176"/>
      <c r="AH237" s="1176"/>
      <c r="AI237" s="1176"/>
      <c r="AJ237" s="1176"/>
    </row>
    <row r="238" spans="1:36" ht="15" customHeight="1" thickBot="1">
      <c r="AG238" s="1176"/>
      <c r="AH238" s="1176"/>
      <c r="AI238" s="1176"/>
      <c r="AJ238" s="1176"/>
    </row>
    <row r="239" spans="1:36" ht="15" customHeight="1" thickBot="1">
      <c r="C239" s="135"/>
      <c r="D239" s="54" t="s">
        <v>6608</v>
      </c>
      <c r="E239" s="136"/>
      <c r="F239" s="136"/>
      <c r="G239" s="136"/>
      <c r="H239" s="136"/>
      <c r="I239" s="136"/>
      <c r="J239" s="136"/>
      <c r="K239" s="136"/>
      <c r="L239" s="136"/>
      <c r="M239" s="136"/>
      <c r="N239" s="136"/>
      <c r="O239" s="136"/>
      <c r="P239" s="136"/>
      <c r="Q239" s="136"/>
      <c r="R239" s="136"/>
      <c r="AG239" s="342">
        <f>IF(AND(OR($I$25="X",$T$25="X"),COUNTA(C239:C250)&gt;0),1,0)</f>
        <v>0</v>
      </c>
      <c r="AH239">
        <f>IF(AND($C$141&lt;&gt;"",$C$141&lt;&gt;1,COUNTA(C239:C250)&gt;0),1,0)</f>
        <v>0</v>
      </c>
      <c r="AI239">
        <f>IF(AND($C$249="X",COUNTA(C239:C248,C250)&gt;0),1,0)</f>
        <v>0</v>
      </c>
      <c r="AJ239">
        <f>IF(AND($C$250="X",COUNTA(C239:C249)&gt;0),1,0)</f>
        <v>0</v>
      </c>
    </row>
    <row r="240" spans="1:36" ht="15" customHeight="1" thickBot="1">
      <c r="C240" s="135"/>
      <c r="D240" s="54" t="s">
        <v>6609</v>
      </c>
      <c r="E240" s="136"/>
      <c r="F240" s="136"/>
      <c r="G240" s="136"/>
      <c r="H240" s="136"/>
      <c r="I240" s="136"/>
      <c r="J240" s="136"/>
      <c r="K240" s="136"/>
      <c r="L240" s="136"/>
      <c r="M240" s="136"/>
      <c r="N240" s="136"/>
      <c r="O240" s="136"/>
      <c r="P240" s="136"/>
      <c r="Q240" s="136"/>
      <c r="R240" s="136"/>
    </row>
    <row r="241" spans="1:30" ht="15" customHeight="1" thickBot="1">
      <c r="C241" s="137"/>
      <c r="D241" s="54" t="s">
        <v>6610</v>
      </c>
    </row>
    <row r="242" spans="1:30" ht="15" customHeight="1" thickBot="1">
      <c r="C242" s="138"/>
      <c r="D242" s="140" t="s">
        <v>6611</v>
      </c>
      <c r="E242" s="54"/>
      <c r="F242" s="54"/>
      <c r="G242" s="54"/>
      <c r="H242" s="54"/>
      <c r="I242" s="54"/>
      <c r="J242" s="54"/>
      <c r="K242" s="54"/>
      <c r="L242" s="54"/>
      <c r="M242" s="54"/>
      <c r="N242" s="54"/>
      <c r="O242" s="54"/>
      <c r="P242" s="54"/>
      <c r="Q242" s="54"/>
      <c r="R242" s="54"/>
      <c r="S242" s="54"/>
      <c r="T242" s="54"/>
      <c r="U242" s="54"/>
      <c r="V242" s="54"/>
      <c r="W242" s="54"/>
      <c r="X242" s="54"/>
      <c r="Y242" s="54"/>
      <c r="Z242" s="54"/>
      <c r="AA242" s="54"/>
      <c r="AB242" s="54"/>
      <c r="AC242" s="54"/>
      <c r="AD242" s="54"/>
    </row>
    <row r="243" spans="1:30" ht="15" customHeight="1" thickBot="1">
      <c r="C243" s="137"/>
      <c r="D243" s="54" t="s">
        <v>6612</v>
      </c>
    </row>
    <row r="244" spans="1:30" ht="15" customHeight="1" thickBot="1">
      <c r="C244" s="137"/>
      <c r="D244" s="54" t="s">
        <v>6613</v>
      </c>
    </row>
    <row r="245" spans="1:30" ht="24" customHeight="1" thickBot="1">
      <c r="C245" s="137"/>
      <c r="D245" s="1011" t="s">
        <v>6614</v>
      </c>
      <c r="E245" s="1012"/>
      <c r="F245" s="1012"/>
      <c r="G245" s="1012"/>
      <c r="H245" s="1012"/>
      <c r="I245" s="1012"/>
      <c r="J245" s="1012"/>
      <c r="K245" s="1012"/>
      <c r="L245" s="1012"/>
      <c r="M245" s="1012"/>
      <c r="N245" s="1012"/>
      <c r="O245" s="1012"/>
      <c r="P245" s="1012"/>
      <c r="Q245" s="1012"/>
      <c r="R245" s="1012"/>
      <c r="S245" s="1012"/>
      <c r="T245" s="1012"/>
      <c r="U245" s="1012"/>
      <c r="V245" s="1012"/>
      <c r="W245" s="1012"/>
      <c r="X245" s="1012"/>
      <c r="Y245" s="1012"/>
      <c r="Z245" s="1012"/>
      <c r="AA245" s="1012"/>
      <c r="AB245" s="1012"/>
      <c r="AC245" s="1012"/>
      <c r="AD245" s="1012"/>
    </row>
    <row r="246" spans="1:30" ht="15" customHeight="1" thickBot="1">
      <c r="C246" s="137"/>
      <c r="D246" s="54" t="s">
        <v>6615</v>
      </c>
    </row>
    <row r="247" spans="1:30" ht="15" customHeight="1" thickBot="1">
      <c r="C247" s="137"/>
      <c r="D247" s="54" t="s">
        <v>6616</v>
      </c>
    </row>
    <row r="248" spans="1:30" ht="15" customHeight="1" thickBot="1">
      <c r="C248" s="138"/>
      <c r="D248" s="54" t="s">
        <v>6617</v>
      </c>
      <c r="J248" s="51"/>
      <c r="K248" s="1185"/>
      <c r="L248" s="1141"/>
      <c r="M248" s="1141"/>
      <c r="N248" s="1141"/>
      <c r="O248" s="1141"/>
      <c r="P248" s="1141"/>
      <c r="Q248" s="1141"/>
      <c r="R248" s="1141"/>
      <c r="S248" s="1141"/>
      <c r="T248" s="1141"/>
      <c r="U248" s="1141"/>
      <c r="V248" s="1141"/>
      <c r="W248" s="1141"/>
      <c r="X248" s="1141"/>
      <c r="Y248" s="1141"/>
      <c r="Z248" s="1141"/>
      <c r="AA248" s="1141"/>
      <c r="AB248" s="1141"/>
      <c r="AC248" s="1141"/>
      <c r="AD248" s="1186"/>
    </row>
    <row r="249" spans="1:30" ht="24" customHeight="1" thickBot="1">
      <c r="A249" s="94"/>
      <c r="C249" s="137"/>
      <c r="D249" s="1011" t="s">
        <v>6618</v>
      </c>
      <c r="E249" s="1012"/>
      <c r="F249" s="1012"/>
      <c r="G249" s="1012"/>
      <c r="H249" s="1012"/>
      <c r="I249" s="1012"/>
      <c r="J249" s="1012"/>
      <c r="K249" s="1012"/>
      <c r="L249" s="1012"/>
      <c r="M249" s="1012"/>
      <c r="N249" s="1012"/>
      <c r="O249" s="1012"/>
      <c r="P249" s="1012"/>
      <c r="Q249" s="1012"/>
      <c r="R249" s="1012"/>
      <c r="S249" s="1012"/>
      <c r="T249" s="1012"/>
      <c r="U249" s="1012"/>
      <c r="V249" s="1012"/>
      <c r="W249" s="1012"/>
      <c r="X249" s="1012"/>
      <c r="Y249" s="1012"/>
      <c r="Z249" s="1012"/>
      <c r="AA249" s="1012"/>
      <c r="AB249" s="1012"/>
      <c r="AC249" s="1012"/>
      <c r="AD249" s="1012"/>
    </row>
    <row r="250" spans="1:30" ht="15" customHeight="1" thickBot="1">
      <c r="C250" s="137"/>
      <c r="D250" s="54" t="s">
        <v>3976</v>
      </c>
    </row>
    <row r="251" spans="1:30" ht="15" customHeight="1"/>
    <row r="252" spans="1:30" ht="24" customHeight="1">
      <c r="C252" s="754" t="s">
        <v>2611</v>
      </c>
      <c r="D252" s="754"/>
      <c r="E252" s="754"/>
      <c r="F252" s="754"/>
      <c r="G252" s="754"/>
      <c r="H252" s="754"/>
      <c r="I252" s="754"/>
      <c r="J252" s="754"/>
      <c r="K252" s="754"/>
      <c r="L252" s="754"/>
      <c r="M252" s="754"/>
      <c r="N252" s="754"/>
      <c r="O252" s="754"/>
      <c r="P252" s="754"/>
      <c r="Q252" s="754"/>
      <c r="R252" s="754"/>
      <c r="S252" s="754"/>
      <c r="T252" s="754"/>
      <c r="U252" s="754"/>
      <c r="V252" s="754"/>
      <c r="W252" s="754"/>
      <c r="X252" s="754"/>
      <c r="Y252" s="754"/>
      <c r="Z252" s="754"/>
      <c r="AA252" s="754"/>
      <c r="AB252" s="754"/>
      <c r="AC252" s="754"/>
      <c r="AD252" s="754"/>
    </row>
    <row r="253" spans="1:30" ht="60" customHeight="1">
      <c r="C253" s="851"/>
      <c r="D253" s="851"/>
      <c r="E253" s="851"/>
      <c r="F253" s="851"/>
      <c r="G253" s="851"/>
      <c r="H253" s="851"/>
      <c r="I253" s="851"/>
      <c r="J253" s="851"/>
      <c r="K253" s="851"/>
      <c r="L253" s="851"/>
      <c r="M253" s="851"/>
      <c r="N253" s="851"/>
      <c r="O253" s="851"/>
      <c r="P253" s="851"/>
      <c r="Q253" s="851"/>
      <c r="R253" s="851"/>
      <c r="S253" s="851"/>
      <c r="T253" s="851"/>
      <c r="U253" s="851"/>
      <c r="V253" s="851"/>
      <c r="W253" s="851"/>
      <c r="X253" s="851"/>
      <c r="Y253" s="851"/>
      <c r="Z253" s="851"/>
      <c r="AA253" s="851"/>
      <c r="AB253" s="851"/>
      <c r="AC253" s="851"/>
      <c r="AD253" s="851"/>
    </row>
    <row r="254" spans="1:30" ht="15">
      <c r="B254" s="794" t="str">
        <f>IF(OR(AG239&gt;0,AH239&gt;0,AI239&gt;0,AJ239&gt;0),"Favor de verificar que no tenga información en celdas sombreadas","")</f>
        <v/>
      </c>
      <c r="C254" s="794"/>
      <c r="D254" s="794"/>
      <c r="E254" s="794"/>
      <c r="F254" s="794"/>
      <c r="G254" s="794"/>
      <c r="H254" s="794"/>
      <c r="I254" s="794"/>
      <c r="J254" s="794"/>
      <c r="K254" s="794"/>
      <c r="L254" s="794"/>
      <c r="M254" s="794"/>
      <c r="N254" s="794"/>
      <c r="O254" s="794"/>
      <c r="P254" s="794"/>
      <c r="Q254" s="794"/>
      <c r="R254" s="794"/>
      <c r="S254" s="794"/>
      <c r="T254" s="794"/>
      <c r="U254" s="794"/>
      <c r="V254" s="794"/>
      <c r="W254" s="794"/>
      <c r="X254" s="794"/>
      <c r="Y254" s="794"/>
      <c r="Z254" s="794"/>
      <c r="AA254" s="794"/>
      <c r="AB254" s="794"/>
      <c r="AC254" s="794"/>
      <c r="AD254" s="794"/>
    </row>
    <row r="255" spans="1:30" ht="15"/>
    <row r="256" spans="1:30" ht="15"/>
    <row r="257" spans="1:37" ht="15"/>
    <row r="258" spans="1:37" ht="15"/>
    <row r="259" spans="1:37" ht="15">
      <c r="A259" s="94"/>
    </row>
    <row r="260" spans="1:37" ht="48" customHeight="1">
      <c r="A260" s="108" t="s">
        <v>6619</v>
      </c>
      <c r="B260" s="829" t="s">
        <v>6620</v>
      </c>
      <c r="C260" s="960"/>
      <c r="D260" s="960"/>
      <c r="E260" s="960"/>
      <c r="F260" s="960"/>
      <c r="G260" s="960"/>
      <c r="H260" s="960"/>
      <c r="I260" s="960"/>
      <c r="J260" s="960"/>
      <c r="K260" s="960"/>
      <c r="L260" s="960"/>
      <c r="M260" s="960"/>
      <c r="N260" s="960"/>
      <c r="O260" s="960"/>
      <c r="P260" s="960"/>
      <c r="Q260" s="960"/>
      <c r="R260" s="960"/>
      <c r="S260" s="960"/>
      <c r="T260" s="960"/>
      <c r="U260" s="960"/>
      <c r="V260" s="960"/>
      <c r="W260" s="960"/>
      <c r="X260" s="960"/>
      <c r="Y260" s="960"/>
      <c r="Z260" s="960"/>
      <c r="AA260" s="960"/>
      <c r="AB260" s="960"/>
      <c r="AC260" s="960"/>
      <c r="AD260" s="960"/>
    </row>
    <row r="261" spans="1:37" ht="36" customHeight="1">
      <c r="A261" s="49"/>
      <c r="B261" s="118"/>
      <c r="C261" s="830" t="s">
        <v>6621</v>
      </c>
      <c r="D261" s="830"/>
      <c r="E261" s="830"/>
      <c r="F261" s="830"/>
      <c r="G261" s="830"/>
      <c r="H261" s="830"/>
      <c r="I261" s="830"/>
      <c r="J261" s="830"/>
      <c r="K261" s="830"/>
      <c r="L261" s="830"/>
      <c r="M261" s="830"/>
      <c r="N261" s="830"/>
      <c r="O261" s="830"/>
      <c r="P261" s="830"/>
      <c r="Q261" s="830"/>
      <c r="R261" s="830"/>
      <c r="S261" s="830"/>
      <c r="T261" s="830"/>
      <c r="U261" s="830"/>
      <c r="V261" s="830"/>
      <c r="W261" s="830"/>
      <c r="X261" s="830"/>
      <c r="Y261" s="830"/>
      <c r="Z261" s="830"/>
      <c r="AA261" s="830"/>
      <c r="AB261" s="830"/>
      <c r="AC261" s="830"/>
      <c r="AD261" s="830"/>
    </row>
    <row r="262" spans="1:37" ht="48" customHeight="1">
      <c r="A262" s="49"/>
      <c r="B262" s="107"/>
      <c r="C262" s="754" t="s">
        <v>6622</v>
      </c>
      <c r="D262" s="754"/>
      <c r="E262" s="754"/>
      <c r="F262" s="754"/>
      <c r="G262" s="754"/>
      <c r="H262" s="754"/>
      <c r="I262" s="754"/>
      <c r="J262" s="754"/>
      <c r="K262" s="754"/>
      <c r="L262" s="754"/>
      <c r="M262" s="754"/>
      <c r="N262" s="754"/>
      <c r="O262" s="754"/>
      <c r="P262" s="754"/>
      <c r="Q262" s="754"/>
      <c r="R262" s="754"/>
      <c r="S262" s="754"/>
      <c r="T262" s="754"/>
      <c r="U262" s="754"/>
      <c r="V262" s="754"/>
      <c r="W262" s="754"/>
      <c r="X262" s="754"/>
      <c r="Y262" s="754"/>
      <c r="Z262" s="754"/>
      <c r="AA262" s="754"/>
      <c r="AB262" s="754"/>
      <c r="AC262" s="754"/>
      <c r="AD262" s="754"/>
      <c r="AH262" s="574"/>
      <c r="AI262" s="574"/>
    </row>
    <row r="263" spans="1:37" ht="15" customHeight="1">
      <c r="A263" s="108"/>
      <c r="B263" s="107"/>
      <c r="C263" s="107"/>
      <c r="D263" s="107"/>
      <c r="E263" s="107"/>
      <c r="F263" s="107"/>
      <c r="G263" s="107"/>
      <c r="H263" s="107"/>
      <c r="I263" s="107"/>
      <c r="J263" s="107"/>
      <c r="K263" s="107"/>
      <c r="L263" s="107"/>
      <c r="M263" s="107"/>
      <c r="N263" s="107"/>
      <c r="O263" s="107"/>
      <c r="P263" s="107"/>
      <c r="Q263" s="107"/>
      <c r="R263" s="107"/>
      <c r="S263" s="107"/>
      <c r="T263" s="107"/>
      <c r="U263" s="107"/>
      <c r="V263" s="107"/>
      <c r="W263" s="107"/>
      <c r="X263" s="107"/>
      <c r="Y263" s="107"/>
      <c r="Z263" s="107"/>
      <c r="AA263" s="107"/>
      <c r="AB263" s="107"/>
      <c r="AC263" s="107"/>
      <c r="AD263" s="107"/>
      <c r="AH263" s="574"/>
      <c r="AI263" s="574"/>
    </row>
    <row r="264" spans="1:37" ht="144" customHeight="1">
      <c r="A264" s="49"/>
      <c r="B264" s="107"/>
      <c r="C264" s="739" t="s">
        <v>6623</v>
      </c>
      <c r="D264" s="740"/>
      <c r="E264" s="740"/>
      <c r="F264" s="740"/>
      <c r="G264" s="740"/>
      <c r="H264" s="740"/>
      <c r="I264" s="740"/>
      <c r="J264" s="740"/>
      <c r="K264" s="740"/>
      <c r="L264" s="740"/>
      <c r="M264" s="740"/>
      <c r="N264" s="740"/>
      <c r="O264" s="740"/>
      <c r="P264" s="740"/>
      <c r="Q264" s="740"/>
      <c r="R264" s="741"/>
      <c r="S264" s="732" t="s">
        <v>6624</v>
      </c>
      <c r="T264" s="732"/>
      <c r="U264" s="732"/>
      <c r="V264" s="732"/>
      <c r="W264" s="732"/>
      <c r="X264" s="732"/>
      <c r="Y264" s="732" t="s">
        <v>6625</v>
      </c>
      <c r="Z264" s="732"/>
      <c r="AA264" s="732"/>
      <c r="AB264" s="732"/>
      <c r="AC264" s="732"/>
      <c r="AD264" s="732"/>
      <c r="AG264" s="354" t="s">
        <v>2586</v>
      </c>
      <c r="AH264" s="571" t="s">
        <v>6540</v>
      </c>
      <c r="AI264" s="571" t="s">
        <v>6574</v>
      </c>
      <c r="AJ264" s="571" t="s">
        <v>6626</v>
      </c>
      <c r="AK264" s="537" t="s">
        <v>6627</v>
      </c>
    </row>
    <row r="265" spans="1:37" ht="15">
      <c r="A265" s="103"/>
      <c r="B265" s="113"/>
      <c r="C265" s="44" t="s">
        <v>2516</v>
      </c>
      <c r="D265" s="796" t="s">
        <v>6628</v>
      </c>
      <c r="E265" s="796"/>
      <c r="F265" s="796"/>
      <c r="G265" s="796"/>
      <c r="H265" s="796"/>
      <c r="I265" s="796"/>
      <c r="J265" s="796"/>
      <c r="K265" s="796"/>
      <c r="L265" s="796"/>
      <c r="M265" s="796"/>
      <c r="N265" s="796"/>
      <c r="O265" s="796"/>
      <c r="P265" s="796"/>
      <c r="Q265" s="796"/>
      <c r="R265" s="796"/>
      <c r="S265" s="749"/>
      <c r="T265" s="749"/>
      <c r="U265" s="749"/>
      <c r="V265" s="749"/>
      <c r="W265" s="749"/>
      <c r="X265" s="749"/>
      <c r="Y265" s="749"/>
      <c r="Z265" s="749"/>
      <c r="AA265" s="749"/>
      <c r="AB265" s="749"/>
      <c r="AC265" s="749"/>
      <c r="AD265" s="749"/>
      <c r="AG265" s="326">
        <f>IF(AND(OR($I$25="X",$T$25="X"),COUNTA(S265:AD265)=0),0,IF(AND($I$25="",$T$25="",$C$141&lt;&gt;"",$C$141&lt;&gt;1,COUNTA(S265:AD265)=0),0,IF(AND($I$25="",$T$25="",$C$141&lt;&gt;"",$C$141=1,$S265&lt;&gt;"",$S265&lt;&gt;1,COUNTA(Y265)=0),0,IF(AND($I$25="",$T$25="",$C$141&lt;&gt;"",$C$141=1,$S265&lt;&gt;"",$S265=1,COUNTA(Y265)=1),0,IF(COUNTA(S265:AD265)=0,0,1)))))</f>
        <v>0</v>
      </c>
      <c r="AH265" s="342">
        <f>IF(AND(OR($I$25="X",$T$25="X"),COUNTA(S265:AD269)&gt;0),1,0)</f>
        <v>0</v>
      </c>
      <c r="AI265">
        <f>IF(AND($C$141&lt;&gt;"",$C$141&lt;&gt;1,COUNTA(S265:AD269)&gt;0),1,0)</f>
        <v>0</v>
      </c>
      <c r="AJ265">
        <f>IF(AND($S265&lt;&gt;"",$S265&lt;&gt;1,COUNTA(Y265)&gt;0),1,0)</f>
        <v>0</v>
      </c>
      <c r="AK265">
        <f>IF($S$269=1,1,0)</f>
        <v>0</v>
      </c>
    </row>
    <row r="266" spans="1:37" ht="15">
      <c r="A266" s="103"/>
      <c r="B266" s="113"/>
      <c r="C266" s="44" t="s">
        <v>2517</v>
      </c>
      <c r="D266" s="796" t="s">
        <v>6629</v>
      </c>
      <c r="E266" s="796"/>
      <c r="F266" s="796"/>
      <c r="G266" s="796"/>
      <c r="H266" s="796"/>
      <c r="I266" s="796"/>
      <c r="J266" s="796"/>
      <c r="K266" s="796"/>
      <c r="L266" s="796"/>
      <c r="M266" s="796"/>
      <c r="N266" s="796"/>
      <c r="O266" s="796"/>
      <c r="P266" s="796"/>
      <c r="Q266" s="796"/>
      <c r="R266" s="796"/>
      <c r="S266" s="749"/>
      <c r="T266" s="749"/>
      <c r="U266" s="749"/>
      <c r="V266" s="749"/>
      <c r="W266" s="749"/>
      <c r="X266" s="749"/>
      <c r="Y266" s="749"/>
      <c r="Z266" s="749"/>
      <c r="AA266" s="749"/>
      <c r="AB266" s="749"/>
      <c r="AC266" s="749"/>
      <c r="AD266" s="749"/>
      <c r="AG266" s="326">
        <f>IF(AND(OR($I$25="X",$T$25="X"),COUNTA(S266:AD266)=0),0,IF(AND($I$25="",$T$25="",$C$141&lt;&gt;"",$C$141&lt;&gt;1,COUNTA(S266:AD266)=0),0,IF(AND($I$25="",$T$25="",$C$141&lt;&gt;"",$C$141=1,$S266&lt;&gt;"",$S266&lt;&gt;1,COUNTA(Y266)=0),0,IF(AND($I$25="",$T$25="",$C$141&lt;&gt;"",$C$141=1,$S266&lt;&gt;"",$S266=1,COUNTA(Y266)=1),0,IF(COUNTA(S266:AD266)=0,0,1)))))</f>
        <v>0</v>
      </c>
      <c r="AJ266">
        <f t="shared" ref="AJ266:AJ269" si="5">IF(AND($S266&lt;&gt;"",$S266&lt;&gt;1,COUNTA(Y266)&gt;0),1,0)</f>
        <v>0</v>
      </c>
    </row>
    <row r="267" spans="1:37" ht="15">
      <c r="A267" s="103"/>
      <c r="B267" s="113"/>
      <c r="C267" s="44" t="s">
        <v>2518</v>
      </c>
      <c r="D267" s="796" t="s">
        <v>6630</v>
      </c>
      <c r="E267" s="796"/>
      <c r="F267" s="796"/>
      <c r="G267" s="796"/>
      <c r="H267" s="796"/>
      <c r="I267" s="796"/>
      <c r="J267" s="796"/>
      <c r="K267" s="796"/>
      <c r="L267" s="796"/>
      <c r="M267" s="796"/>
      <c r="N267" s="796"/>
      <c r="O267" s="796"/>
      <c r="P267" s="796"/>
      <c r="Q267" s="796"/>
      <c r="R267" s="796"/>
      <c r="S267" s="749"/>
      <c r="T267" s="749"/>
      <c r="U267" s="749"/>
      <c r="V267" s="749"/>
      <c r="W267" s="749"/>
      <c r="X267" s="749"/>
      <c r="Y267" s="749"/>
      <c r="Z267" s="749"/>
      <c r="AA267" s="749"/>
      <c r="AB267" s="749"/>
      <c r="AC267" s="749"/>
      <c r="AD267" s="749"/>
      <c r="AG267" s="326">
        <f>IF(AND(OR($I$25="X",$T$25="X"),COUNTA(S267:AD267)=0),0,IF(AND($I$25="",$T$25="",$C$141&lt;&gt;"",$C$141&lt;&gt;1,COUNTA(S267:AD267)=0),0,IF(AND($I$25="",$T$25="",$C$141&lt;&gt;"",$C$141=1,$S267&lt;&gt;"",$S267&lt;&gt;1,COUNTA(Y267)=0),0,IF(AND($I$25="",$T$25="",$C$141&lt;&gt;"",$C$141=1,$S267&lt;&gt;"",$S267=1,COUNTA(Y267)=1),0,IF(COUNTA(S267:AD267)=0,0,1)))))</f>
        <v>0</v>
      </c>
      <c r="AJ267">
        <f t="shared" si="5"/>
        <v>0</v>
      </c>
    </row>
    <row r="268" spans="1:37" ht="15">
      <c r="A268" s="103"/>
      <c r="B268" s="113"/>
      <c r="C268" s="44" t="s">
        <v>2519</v>
      </c>
      <c r="D268" s="796" t="s">
        <v>6631</v>
      </c>
      <c r="E268" s="796"/>
      <c r="F268" s="796"/>
      <c r="G268" s="796"/>
      <c r="H268" s="796"/>
      <c r="I268" s="796"/>
      <c r="J268" s="796"/>
      <c r="K268" s="796"/>
      <c r="L268" s="796"/>
      <c r="M268" s="796"/>
      <c r="N268" s="796"/>
      <c r="O268" s="796"/>
      <c r="P268" s="796"/>
      <c r="Q268" s="796"/>
      <c r="R268" s="796"/>
      <c r="S268" s="749"/>
      <c r="T268" s="749"/>
      <c r="U268" s="749"/>
      <c r="V268" s="749"/>
      <c r="W268" s="749"/>
      <c r="X268" s="749"/>
      <c r="Y268" s="749"/>
      <c r="Z268" s="749"/>
      <c r="AA268" s="749"/>
      <c r="AB268" s="749"/>
      <c r="AC268" s="749"/>
      <c r="AD268" s="749"/>
      <c r="AG268" s="326">
        <f t="shared" ref="AG268" si="6">IF(AND(OR($I$25="X",$T$25="X"),COUNTA(S268:AD268)=0),0,IF(AND($I$25="",$T$25="",$C$141&lt;&gt;"",$C$141&lt;&gt;1,COUNTA(S268:AD268)=0),0,IF(AND($I$25="",$T$25="",$C$141&lt;&gt;"",$C$141=1,$S268&lt;&gt;"",$S268&lt;&gt;1,COUNTA(Y268)=0),0,IF(AND($I$25="",$T$25="",$C$141&lt;&gt;"",$C$141=1,$S268&lt;&gt;"",$S268=1,COUNTA(Y268)=1),0,IF(COUNTA(S268:AD268)=0,0,1)))))</f>
        <v>0</v>
      </c>
      <c r="AJ268">
        <f t="shared" si="5"/>
        <v>0</v>
      </c>
    </row>
    <row r="269" spans="1:37" ht="15" customHeight="1">
      <c r="A269" s="103"/>
      <c r="B269" s="113"/>
      <c r="C269" s="44" t="s">
        <v>2520</v>
      </c>
      <c r="D269" s="796" t="s">
        <v>6632</v>
      </c>
      <c r="E269" s="796"/>
      <c r="F269" s="796"/>
      <c r="G269" s="796"/>
      <c r="H269" s="796"/>
      <c r="I269" s="796"/>
      <c r="J269" s="796"/>
      <c r="K269" s="796"/>
      <c r="L269" s="796"/>
      <c r="M269" s="796"/>
      <c r="N269" s="796"/>
      <c r="O269" s="796"/>
      <c r="P269" s="796"/>
      <c r="Q269" s="796"/>
      <c r="R269" s="796"/>
      <c r="S269" s="749"/>
      <c r="T269" s="749"/>
      <c r="U269" s="749"/>
      <c r="V269" s="749"/>
      <c r="W269" s="749"/>
      <c r="X269" s="749"/>
      <c r="Y269" s="749"/>
      <c r="Z269" s="749"/>
      <c r="AA269" s="749"/>
      <c r="AB269" s="749"/>
      <c r="AC269" s="749"/>
      <c r="AD269" s="749"/>
      <c r="AG269" s="326">
        <f>IF(AND(OR($I$25="X",$T$25="X"),COUNTA(S269:AD269)=0),0,IF(AND($I$25="",$T$25="",$C$141&lt;&gt;"",$C$141&lt;&gt;1,COUNTA(S269:AD269)=0),0,IF(AND($I$25="",$T$25="",$C$141&lt;&gt;"",$C$141=1,$S269&lt;&gt;"",$S269&lt;&gt;1,COUNTA(Y269)=0),0,IF(AND($I$25="",$T$25="",$C$141&lt;&gt;"",$C$141=1,$S269&lt;&gt;"",$S269=1,COUNTA(Y269)=1),0,IF(COUNTA(S269:AD269)=0,0,1)))))</f>
        <v>0</v>
      </c>
      <c r="AJ269">
        <f t="shared" si="5"/>
        <v>0</v>
      </c>
    </row>
    <row r="270" spans="1:37" ht="15">
      <c r="A270" s="103"/>
      <c r="B270" s="113"/>
      <c r="C270" s="113"/>
      <c r="D270" s="113"/>
      <c r="E270" s="134"/>
      <c r="F270" s="134"/>
      <c r="G270" s="134"/>
      <c r="H270" s="134"/>
      <c r="I270" s="134"/>
      <c r="J270" s="134"/>
      <c r="K270" s="134"/>
      <c r="L270" s="134"/>
      <c r="M270" s="134"/>
      <c r="N270" s="134"/>
      <c r="O270" s="134"/>
      <c r="P270" s="134"/>
      <c r="Q270" s="134"/>
      <c r="R270" s="134"/>
      <c r="S270" s="134"/>
      <c r="T270" s="117"/>
      <c r="U270" s="141"/>
      <c r="V270" s="141"/>
      <c r="W270" s="141"/>
      <c r="X270" s="141"/>
      <c r="Y270" s="141"/>
      <c r="Z270" s="141"/>
      <c r="AA270" s="141"/>
      <c r="AB270" s="141"/>
      <c r="AC270" s="141"/>
      <c r="AD270" s="141"/>
      <c r="AG270" s="349">
        <f>SUM(AG265:AG269)</f>
        <v>0</v>
      </c>
      <c r="AH270" s="283"/>
      <c r="AI270" s="283"/>
      <c r="AJ270" s="575">
        <f>SUM(AJ265:AJ269)</f>
        <v>0</v>
      </c>
    </row>
    <row r="271" spans="1:37" ht="45" customHeight="1">
      <c r="A271" s="103"/>
      <c r="B271" s="113"/>
      <c r="C271" s="822" t="s">
        <v>6633</v>
      </c>
      <c r="D271" s="822"/>
      <c r="E271" s="822"/>
      <c r="F271" s="816"/>
      <c r="G271" s="738"/>
      <c r="H271" s="738"/>
      <c r="I271" s="738"/>
      <c r="J271" s="738"/>
      <c r="K271" s="738"/>
      <c r="L271" s="738"/>
      <c r="M271" s="738"/>
      <c r="N271" s="738"/>
      <c r="O271" s="738"/>
      <c r="P271" s="738"/>
      <c r="Q271" s="738"/>
      <c r="R271" s="738"/>
      <c r="S271" s="738"/>
      <c r="T271" s="738"/>
      <c r="U271" s="738"/>
      <c r="V271" s="738"/>
      <c r="W271" s="738"/>
      <c r="X271" s="738"/>
      <c r="Y271" s="738"/>
      <c r="Z271" s="738"/>
      <c r="AA271" s="738"/>
      <c r="AB271" s="738"/>
      <c r="AC271" s="738"/>
      <c r="AD271" s="817"/>
    </row>
    <row r="272" spans="1:37" ht="15">
      <c r="A272" s="103"/>
      <c r="B272" s="794" t="str">
        <f>IF(AND(AK265&gt;0,F271=""),"Ha registrado el código 1 en el numeral 5, debe anotar el nombre de dicho(s) medio(s)","")</f>
        <v/>
      </c>
      <c r="C272" s="794"/>
      <c r="D272" s="794"/>
      <c r="E272" s="794"/>
      <c r="F272" s="794"/>
      <c r="G272" s="794"/>
      <c r="H272" s="794"/>
      <c r="I272" s="794"/>
      <c r="J272" s="794"/>
      <c r="K272" s="794"/>
      <c r="L272" s="794"/>
      <c r="M272" s="794"/>
      <c r="N272" s="794"/>
      <c r="O272" s="794"/>
      <c r="P272" s="794"/>
      <c r="Q272" s="794"/>
      <c r="R272" s="794"/>
      <c r="S272" s="794"/>
      <c r="T272" s="794"/>
      <c r="U272" s="794"/>
      <c r="V272" s="794"/>
      <c r="W272" s="794"/>
      <c r="X272" s="794"/>
      <c r="Y272" s="794"/>
      <c r="Z272" s="794"/>
      <c r="AA272" s="794"/>
      <c r="AB272" s="794"/>
      <c r="AC272" s="794"/>
      <c r="AD272" s="794"/>
      <c r="AE272" s="794"/>
    </row>
    <row r="273" spans="1:31" ht="24" customHeight="1">
      <c r="A273" s="210"/>
      <c r="B273" s="38"/>
      <c r="C273" s="754" t="s">
        <v>2611</v>
      </c>
      <c r="D273" s="754"/>
      <c r="E273" s="754"/>
      <c r="F273" s="754"/>
      <c r="G273" s="754"/>
      <c r="H273" s="754"/>
      <c r="I273" s="754"/>
      <c r="J273" s="754"/>
      <c r="K273" s="754"/>
      <c r="L273" s="754"/>
      <c r="M273" s="754"/>
      <c r="N273" s="754"/>
      <c r="O273" s="754"/>
      <c r="P273" s="754"/>
      <c r="Q273" s="754"/>
      <c r="R273" s="754"/>
      <c r="S273" s="754"/>
      <c r="T273" s="754"/>
      <c r="U273" s="754"/>
      <c r="V273" s="754"/>
      <c r="W273" s="754"/>
      <c r="X273" s="754"/>
      <c r="Y273" s="754"/>
      <c r="Z273" s="754"/>
      <c r="AA273" s="754"/>
      <c r="AB273" s="754"/>
      <c r="AC273" s="754"/>
      <c r="AD273" s="754"/>
    </row>
    <row r="274" spans="1:31" ht="60" customHeight="1">
      <c r="A274" s="210"/>
      <c r="B274" s="38"/>
      <c r="C274" s="851"/>
      <c r="D274" s="851"/>
      <c r="E274" s="851"/>
      <c r="F274" s="851"/>
      <c r="G274" s="851"/>
      <c r="H274" s="851"/>
      <c r="I274" s="851"/>
      <c r="J274" s="851"/>
      <c r="K274" s="851"/>
      <c r="L274" s="851"/>
      <c r="M274" s="851"/>
      <c r="N274" s="851"/>
      <c r="O274" s="851"/>
      <c r="P274" s="851"/>
      <c r="Q274" s="851"/>
      <c r="R274" s="851"/>
      <c r="S274" s="851"/>
      <c r="T274" s="851"/>
      <c r="U274" s="851"/>
      <c r="V274" s="851"/>
      <c r="W274" s="851"/>
      <c r="X274" s="851"/>
      <c r="Y274" s="851"/>
      <c r="Z274" s="851"/>
      <c r="AA274" s="851"/>
      <c r="AB274" s="851"/>
      <c r="AC274" s="851"/>
      <c r="AD274" s="851"/>
    </row>
    <row r="275" spans="1:31" ht="15">
      <c r="B275" s="794" t="str">
        <f>IF(AG270&gt;0,"Favor de ingresar toda la información requerida en la pregunta y/o verifique que no tenga información en celdas sombreadas","")</f>
        <v/>
      </c>
      <c r="C275" s="794"/>
      <c r="D275" s="794"/>
      <c r="E275" s="794"/>
      <c r="F275" s="794"/>
      <c r="G275" s="794"/>
      <c r="H275" s="794"/>
      <c r="I275" s="794"/>
      <c r="J275" s="794"/>
      <c r="K275" s="794"/>
      <c r="L275" s="794"/>
      <c r="M275" s="794"/>
      <c r="N275" s="794"/>
      <c r="O275" s="794"/>
      <c r="P275" s="794"/>
      <c r="Q275" s="794"/>
      <c r="R275" s="794"/>
      <c r="S275" s="794"/>
      <c r="T275" s="794"/>
      <c r="U275" s="794"/>
      <c r="V275" s="794"/>
      <c r="W275" s="794"/>
      <c r="X275" s="794"/>
      <c r="Y275" s="794"/>
      <c r="Z275" s="794"/>
      <c r="AA275" s="794"/>
      <c r="AB275" s="794"/>
      <c r="AC275" s="794"/>
      <c r="AD275" s="794"/>
    </row>
    <row r="276" spans="1:31" ht="15"/>
    <row r="277" spans="1:31" ht="15"/>
    <row r="278" spans="1:31" ht="15"/>
    <row r="279" spans="1:31" ht="15"/>
    <row r="280" spans="1:31" ht="15.75" thickBot="1"/>
    <row r="281" spans="1:31" customFormat="1" ht="15" customHeight="1" thickBot="1">
      <c r="A281" s="19" t="s">
        <v>2563</v>
      </c>
      <c r="B281" s="1182" t="s">
        <v>6634</v>
      </c>
      <c r="C281" s="1183"/>
      <c r="D281" s="1183"/>
      <c r="E281" s="1183"/>
      <c r="F281" s="1183"/>
      <c r="G281" s="1183"/>
      <c r="H281" s="1183"/>
      <c r="I281" s="1183"/>
      <c r="J281" s="1183"/>
      <c r="K281" s="1183"/>
      <c r="L281" s="1183"/>
      <c r="M281" s="1183"/>
      <c r="N281" s="1183"/>
      <c r="O281" s="1183"/>
      <c r="P281" s="1183"/>
      <c r="Q281" s="1183"/>
      <c r="R281" s="1183"/>
      <c r="S281" s="1183"/>
      <c r="T281" s="1183"/>
      <c r="U281" s="1183"/>
      <c r="V281" s="1183"/>
      <c r="W281" s="1183"/>
      <c r="X281" s="1183"/>
      <c r="Y281" s="1183"/>
      <c r="Z281" s="1183"/>
      <c r="AA281" s="1183"/>
      <c r="AB281" s="1183"/>
      <c r="AC281" s="1183"/>
      <c r="AD281" s="1184"/>
      <c r="AE281" s="3"/>
    </row>
    <row r="282" spans="1:31" ht="15" customHeight="1">
      <c r="A282" s="94"/>
      <c r="B282" s="1006" t="s">
        <v>3157</v>
      </c>
      <c r="C282" s="893"/>
      <c r="D282" s="893"/>
      <c r="E282" s="893"/>
      <c r="F282" s="893"/>
      <c r="G282" s="893"/>
      <c r="H282" s="893"/>
      <c r="I282" s="893"/>
      <c r="J282" s="893"/>
      <c r="K282" s="893"/>
      <c r="L282" s="893"/>
      <c r="M282" s="893"/>
      <c r="N282" s="893"/>
      <c r="O282" s="893"/>
      <c r="P282" s="893"/>
      <c r="Q282" s="893"/>
      <c r="R282" s="893"/>
      <c r="S282" s="893"/>
      <c r="T282" s="893"/>
      <c r="U282" s="893"/>
      <c r="V282" s="893"/>
      <c r="W282" s="893"/>
      <c r="X282" s="893"/>
      <c r="Y282" s="893"/>
      <c r="Z282" s="893"/>
      <c r="AA282" s="893"/>
      <c r="AB282" s="893"/>
      <c r="AC282" s="893"/>
      <c r="AD282" s="1007"/>
    </row>
    <row r="283" spans="1:31" ht="36" customHeight="1">
      <c r="A283" s="94"/>
      <c r="B283" s="154"/>
      <c r="C283" s="754" t="s">
        <v>6635</v>
      </c>
      <c r="D283" s="754"/>
      <c r="E283" s="754"/>
      <c r="F283" s="754"/>
      <c r="G283" s="754"/>
      <c r="H283" s="754"/>
      <c r="I283" s="754"/>
      <c r="J283" s="754"/>
      <c r="K283" s="754"/>
      <c r="L283" s="754"/>
      <c r="M283" s="754"/>
      <c r="N283" s="754"/>
      <c r="O283" s="754"/>
      <c r="P283" s="754"/>
      <c r="Q283" s="754"/>
      <c r="R283" s="754"/>
      <c r="S283" s="754"/>
      <c r="T283" s="754"/>
      <c r="U283" s="754"/>
      <c r="V283" s="754"/>
      <c r="W283" s="754"/>
      <c r="X283" s="754"/>
      <c r="Y283" s="754"/>
      <c r="Z283" s="754"/>
      <c r="AA283" s="754"/>
      <c r="AB283" s="754"/>
      <c r="AC283" s="754"/>
      <c r="AD283" s="755"/>
    </row>
    <row r="284" spans="1:31" ht="24" customHeight="1">
      <c r="A284" s="94"/>
      <c r="B284" s="159"/>
      <c r="C284" s="764" t="s">
        <v>6636</v>
      </c>
      <c r="D284" s="764"/>
      <c r="E284" s="764"/>
      <c r="F284" s="764"/>
      <c r="G284" s="764"/>
      <c r="H284" s="764"/>
      <c r="I284" s="764"/>
      <c r="J284" s="764"/>
      <c r="K284" s="764"/>
      <c r="L284" s="764"/>
      <c r="M284" s="764"/>
      <c r="N284" s="764"/>
      <c r="O284" s="764"/>
      <c r="P284" s="764"/>
      <c r="Q284" s="764"/>
      <c r="R284" s="764"/>
      <c r="S284" s="764"/>
      <c r="T284" s="764"/>
      <c r="U284" s="764"/>
      <c r="V284" s="764"/>
      <c r="W284" s="764"/>
      <c r="X284" s="764"/>
      <c r="Y284" s="764"/>
      <c r="Z284" s="764"/>
      <c r="AA284" s="764"/>
      <c r="AB284" s="764"/>
      <c r="AC284" s="764"/>
      <c r="AD284" s="765"/>
    </row>
    <row r="285" spans="1:31" ht="15"/>
    <row r="286" spans="1:31" ht="48" customHeight="1">
      <c r="A286" s="108" t="s">
        <v>6637</v>
      </c>
      <c r="B286" s="829" t="s">
        <v>6638</v>
      </c>
      <c r="C286" s="960"/>
      <c r="D286" s="960"/>
      <c r="E286" s="960"/>
      <c r="F286" s="960"/>
      <c r="G286" s="960"/>
      <c r="H286" s="960"/>
      <c r="I286" s="960"/>
      <c r="J286" s="960"/>
      <c r="K286" s="960"/>
      <c r="L286" s="960"/>
      <c r="M286" s="960"/>
      <c r="N286" s="960"/>
      <c r="O286" s="960"/>
      <c r="P286" s="960"/>
      <c r="Q286" s="960"/>
      <c r="R286" s="960"/>
      <c r="S286" s="960"/>
      <c r="T286" s="960"/>
      <c r="U286" s="960"/>
      <c r="V286" s="960"/>
      <c r="W286" s="960"/>
      <c r="X286" s="960"/>
      <c r="Y286" s="960"/>
      <c r="Z286" s="960"/>
      <c r="AA286" s="960"/>
      <c r="AB286" s="960"/>
      <c r="AC286" s="960"/>
      <c r="AD286" s="960"/>
    </row>
    <row r="287" spans="1:31" ht="36" customHeight="1">
      <c r="A287" s="49"/>
      <c r="B287" s="118"/>
      <c r="C287" s="754" t="s">
        <v>6639</v>
      </c>
      <c r="D287" s="754"/>
      <c r="E287" s="754"/>
      <c r="F287" s="754"/>
      <c r="G287" s="754"/>
      <c r="H287" s="754"/>
      <c r="I287" s="754"/>
      <c r="J287" s="754"/>
      <c r="K287" s="754"/>
      <c r="L287" s="754"/>
      <c r="M287" s="754"/>
      <c r="N287" s="754"/>
      <c r="O287" s="754"/>
      <c r="P287" s="754"/>
      <c r="Q287" s="754"/>
      <c r="R287" s="754"/>
      <c r="S287" s="754"/>
      <c r="T287" s="754"/>
      <c r="U287" s="754"/>
      <c r="V287" s="754"/>
      <c r="W287" s="754"/>
      <c r="X287" s="754"/>
      <c r="Y287" s="754"/>
      <c r="Z287" s="754"/>
      <c r="AA287" s="754"/>
      <c r="AB287" s="754"/>
      <c r="AC287" s="754"/>
      <c r="AD287" s="754"/>
    </row>
    <row r="288" spans="1:31" ht="48" customHeight="1">
      <c r="A288" s="103"/>
      <c r="B288" s="57"/>
      <c r="C288" s="754" t="s">
        <v>6640</v>
      </c>
      <c r="D288" s="754"/>
      <c r="E288" s="754"/>
      <c r="F288" s="754"/>
      <c r="G288" s="754"/>
      <c r="H288" s="754"/>
      <c r="I288" s="754"/>
      <c r="J288" s="754"/>
      <c r="K288" s="754"/>
      <c r="L288" s="754"/>
      <c r="M288" s="754"/>
      <c r="N288" s="754"/>
      <c r="O288" s="754"/>
      <c r="P288" s="754"/>
      <c r="Q288" s="754"/>
      <c r="R288" s="754"/>
      <c r="S288" s="754"/>
      <c r="T288" s="754"/>
      <c r="U288" s="754"/>
      <c r="V288" s="754"/>
      <c r="W288" s="754"/>
      <c r="X288" s="754"/>
      <c r="Y288" s="754"/>
      <c r="Z288" s="754"/>
      <c r="AA288" s="754"/>
      <c r="AB288" s="754"/>
      <c r="AC288" s="754"/>
      <c r="AD288" s="754"/>
    </row>
    <row r="289" spans="1:39" ht="48" customHeight="1">
      <c r="A289" s="103"/>
      <c r="B289" s="57"/>
      <c r="C289" s="754" t="s">
        <v>6641</v>
      </c>
      <c r="D289" s="754"/>
      <c r="E289" s="754"/>
      <c r="F289" s="754"/>
      <c r="G289" s="754"/>
      <c r="H289" s="754"/>
      <c r="I289" s="754"/>
      <c r="J289" s="754"/>
      <c r="K289" s="754"/>
      <c r="L289" s="754"/>
      <c r="M289" s="754"/>
      <c r="N289" s="754"/>
      <c r="O289" s="754"/>
      <c r="P289" s="754"/>
      <c r="Q289" s="754"/>
      <c r="R289" s="754"/>
      <c r="S289" s="754"/>
      <c r="T289" s="754"/>
      <c r="U289" s="754"/>
      <c r="V289" s="754"/>
      <c r="W289" s="754"/>
      <c r="X289" s="754"/>
      <c r="Y289" s="754"/>
      <c r="Z289" s="754"/>
      <c r="AA289" s="754"/>
      <c r="AB289" s="754"/>
      <c r="AC289" s="754"/>
      <c r="AD289" s="754"/>
    </row>
    <row r="290" spans="1:39" ht="36" customHeight="1">
      <c r="A290" s="211"/>
      <c r="B290" s="57"/>
      <c r="C290" s="754" t="s">
        <v>6642</v>
      </c>
      <c r="D290" s="754"/>
      <c r="E290" s="754"/>
      <c r="F290" s="754"/>
      <c r="G290" s="754"/>
      <c r="H290" s="754"/>
      <c r="I290" s="754"/>
      <c r="J290" s="754"/>
      <c r="K290" s="754"/>
      <c r="L290" s="754"/>
      <c r="M290" s="754"/>
      <c r="N290" s="754"/>
      <c r="O290" s="754"/>
      <c r="P290" s="754"/>
      <c r="Q290" s="754"/>
      <c r="R290" s="754"/>
      <c r="S290" s="754"/>
      <c r="T290" s="754"/>
      <c r="U290" s="754"/>
      <c r="V290" s="754"/>
      <c r="W290" s="754"/>
      <c r="X290" s="754"/>
      <c r="Y290" s="754"/>
      <c r="Z290" s="754"/>
      <c r="AA290" s="754"/>
      <c r="AB290" s="754"/>
      <c r="AC290" s="754"/>
      <c r="AD290" s="754"/>
    </row>
    <row r="291" spans="1:39" ht="15" customHeight="1">
      <c r="A291" s="211"/>
      <c r="B291" s="57"/>
      <c r="C291" s="57"/>
      <c r="D291" s="57"/>
      <c r="E291" s="57"/>
      <c r="F291" s="57"/>
      <c r="G291" s="57"/>
      <c r="H291" s="57"/>
      <c r="I291" s="57"/>
      <c r="J291" s="57"/>
      <c r="K291" s="57"/>
      <c r="L291" s="57"/>
      <c r="M291" s="57"/>
      <c r="N291" s="57"/>
      <c r="O291" s="57"/>
      <c r="P291" s="57"/>
      <c r="Q291" s="57"/>
      <c r="R291" s="57"/>
      <c r="S291" s="57"/>
      <c r="T291" s="57"/>
      <c r="U291" s="57"/>
      <c r="V291" s="57"/>
      <c r="W291" s="57"/>
      <c r="X291" s="57"/>
      <c r="Y291" s="57"/>
      <c r="Z291" s="57"/>
      <c r="AA291" s="57"/>
      <c r="AB291" s="57"/>
      <c r="AC291" s="57"/>
      <c r="AD291" s="57"/>
    </row>
    <row r="292" spans="1:39" ht="96" customHeight="1">
      <c r="A292" s="103"/>
      <c r="B292" s="57"/>
      <c r="C292" s="732" t="s">
        <v>6643</v>
      </c>
      <c r="D292" s="732"/>
      <c r="E292" s="732"/>
      <c r="F292" s="732"/>
      <c r="G292" s="732"/>
      <c r="H292" s="732"/>
      <c r="I292" s="732"/>
      <c r="J292" s="732"/>
      <c r="K292" s="732"/>
      <c r="L292" s="732"/>
      <c r="M292" s="732"/>
      <c r="N292" s="732"/>
      <c r="O292" s="732"/>
      <c r="P292" s="732"/>
      <c r="Q292" s="732"/>
      <c r="R292" s="732"/>
      <c r="S292" s="732" t="s">
        <v>6644</v>
      </c>
      <c r="T292" s="732"/>
      <c r="U292" s="732"/>
      <c r="V292" s="732"/>
      <c r="W292" s="732"/>
      <c r="X292" s="732"/>
      <c r="Y292" s="732" t="s">
        <v>6645</v>
      </c>
      <c r="Z292" s="732"/>
      <c r="AA292" s="732"/>
      <c r="AB292" s="732"/>
      <c r="AC292" s="732"/>
      <c r="AD292" s="732"/>
      <c r="AI292" s="1176" t="s">
        <v>6540</v>
      </c>
      <c r="AJ292" s="1176" t="s">
        <v>6626</v>
      </c>
      <c r="AK292" s="1191" t="s">
        <v>6646</v>
      </c>
      <c r="AL292"/>
      <c r="AM292" s="1192" t="s">
        <v>2622</v>
      </c>
    </row>
    <row r="293" spans="1:39" ht="15" customHeight="1">
      <c r="A293" s="103"/>
      <c r="B293" s="57"/>
      <c r="C293" s="732"/>
      <c r="D293" s="732"/>
      <c r="E293" s="732"/>
      <c r="F293" s="732"/>
      <c r="G293" s="732"/>
      <c r="H293" s="732"/>
      <c r="I293" s="732"/>
      <c r="J293" s="732"/>
      <c r="K293" s="732"/>
      <c r="L293" s="732"/>
      <c r="M293" s="732"/>
      <c r="N293" s="732"/>
      <c r="O293" s="732"/>
      <c r="P293" s="732"/>
      <c r="Q293" s="732"/>
      <c r="R293" s="732"/>
      <c r="S293" s="732"/>
      <c r="T293" s="732"/>
      <c r="U293" s="732"/>
      <c r="V293" s="732"/>
      <c r="W293" s="732"/>
      <c r="X293" s="732"/>
      <c r="Y293" s="736" t="s">
        <v>6647</v>
      </c>
      <c r="Z293" s="732"/>
      <c r="AA293" s="732"/>
      <c r="AB293" s="736" t="s">
        <v>4325</v>
      </c>
      <c r="AC293" s="736"/>
      <c r="AD293" s="736"/>
      <c r="AG293" s="354" t="s">
        <v>2586</v>
      </c>
      <c r="AH293" s="282" t="s">
        <v>2590</v>
      </c>
      <c r="AI293" s="1176"/>
      <c r="AJ293" s="1176"/>
      <c r="AK293" s="1191"/>
      <c r="AL293" s="579" t="s">
        <v>6648</v>
      </c>
      <c r="AM293" s="1192"/>
    </row>
    <row r="294" spans="1:39" ht="15" customHeight="1">
      <c r="A294" s="103"/>
      <c r="B294" s="57"/>
      <c r="C294" s="44" t="s">
        <v>2516</v>
      </c>
      <c r="D294" s="869" t="s">
        <v>6649</v>
      </c>
      <c r="E294" s="870"/>
      <c r="F294" s="870"/>
      <c r="G294" s="870"/>
      <c r="H294" s="870"/>
      <c r="I294" s="870"/>
      <c r="J294" s="870"/>
      <c r="K294" s="870"/>
      <c r="L294" s="870"/>
      <c r="M294" s="870"/>
      <c r="N294" s="870"/>
      <c r="O294" s="870"/>
      <c r="P294" s="870"/>
      <c r="Q294" s="870"/>
      <c r="R294" s="870"/>
      <c r="S294" s="816"/>
      <c r="T294" s="738"/>
      <c r="U294" s="738"/>
      <c r="V294" s="738"/>
      <c r="W294" s="738"/>
      <c r="X294" s="817"/>
      <c r="Y294" s="749"/>
      <c r="Z294" s="1188"/>
      <c r="AA294" s="1188"/>
      <c r="AB294" s="749"/>
      <c r="AC294" s="749"/>
      <c r="AD294" s="749"/>
      <c r="AG294" s="326">
        <f>IF(AND(OR($I$25="X",$T$25="X"),COUNTA(S294:AD294)=0),0,IF(AND($I$25="",$T$25="",$S294&lt;&gt;"",$S294&lt;&gt;1,COUNTA(Y294:AD294)=0),0,IF(AND($I$25="",$T$25="",$S294&lt;&gt;"",$S294=1,COUNTA(Y294)=1,AB294=""),0,IF(AND($I$25="",$T$25="",$S294&lt;&gt;"",$S294=1,COUNTA(Y294)=0,AB294="X"),0,IF(AND(S294="",COUNTA(Y294:AD294)=0),0,1)))))</f>
        <v>0</v>
      </c>
      <c r="AH294" s="283">
        <f>COUNTIF(Y294,"NS")</f>
        <v>0</v>
      </c>
      <c r="AI294" s="342">
        <f>IF(AND(OR($I$25="X",$T$25="X"),COUNTA(S294:AD299)&gt;0),1,0)</f>
        <v>0</v>
      </c>
      <c r="AJ294">
        <f>IF(AND($S294&lt;&gt;"",$S294&lt;&gt;1,COUNTA(Y294:AD294)&gt;0),1,0)</f>
        <v>0</v>
      </c>
      <c r="AK294" s="327">
        <f>IF(AND($AB294="X",COUNTA(Y294)&gt;0),1,0)</f>
        <v>0</v>
      </c>
      <c r="AL294">
        <f>IF($S$299=1,1,0)</f>
        <v>0</v>
      </c>
      <c r="AM294" s="253">
        <f>IF(AND(Y294&lt;&gt;"",SUM(Y294)&gt;0),0,IF(Y294="",0,1))</f>
        <v>0</v>
      </c>
    </row>
    <row r="295" spans="1:39" ht="15" customHeight="1">
      <c r="A295" s="103"/>
      <c r="B295" s="57"/>
      <c r="C295" s="199" t="s">
        <v>2517</v>
      </c>
      <c r="D295" s="1187" t="s">
        <v>5702</v>
      </c>
      <c r="E295" s="870"/>
      <c r="F295" s="870"/>
      <c r="G295" s="870"/>
      <c r="H295" s="870"/>
      <c r="I295" s="870"/>
      <c r="J295" s="870"/>
      <c r="K295" s="870"/>
      <c r="L295" s="870"/>
      <c r="M295" s="870"/>
      <c r="N295" s="870"/>
      <c r="O295" s="870"/>
      <c r="P295" s="870"/>
      <c r="Q295" s="870"/>
      <c r="R295" s="870"/>
      <c r="S295" s="816"/>
      <c r="T295" s="738"/>
      <c r="U295" s="738"/>
      <c r="V295" s="738"/>
      <c r="W295" s="738"/>
      <c r="X295" s="817"/>
      <c r="Y295" s="749"/>
      <c r="Z295" s="1188"/>
      <c r="AA295" s="1188"/>
      <c r="AB295" s="749"/>
      <c r="AC295" s="749"/>
      <c r="AD295" s="749"/>
      <c r="AG295" s="326">
        <f t="shared" ref="AG295:AG299" si="7">IF(AND(OR($I$25="X",$T$25="X"),COUNTA(S295:AD295)=0),0,IF(AND($I$25="",$T$25="",$S295&lt;&gt;"",$S295&lt;&gt;1,COUNTA(Y295:AD295)=0),0,IF(AND($I$25="",$T$25="",$S295&lt;&gt;"",$S295=1,COUNTA(Y295)=1,AB295=""),0,IF(AND($I$25="",$T$25="",$S295&lt;&gt;"",$S295=1,COUNTA(Y295)=0,AB295="X"),0,IF(AND(S295="",COUNTA(Y295:AD295)=0),0,1)))))</f>
        <v>0</v>
      </c>
      <c r="AH295" s="283">
        <f t="shared" ref="AH295:AH299" si="8">COUNTIF(Y295,"NS")</f>
        <v>0</v>
      </c>
      <c r="AJ295">
        <f t="shared" ref="AJ295:AJ299" si="9">IF(AND($S295&lt;&gt;"",$S295&lt;&gt;1,COUNTA(Y295:AD295)&gt;0),1,0)</f>
        <v>0</v>
      </c>
      <c r="AK295" s="327">
        <f t="shared" ref="AK295:AK299" si="10">IF(AND($AB295="X",COUNTA(Y295)&gt;0),1,0)</f>
        <v>0</v>
      </c>
      <c r="AM295" s="253">
        <f t="shared" ref="AM295:AM299" si="11">IF(AND(Y295&lt;&gt;"",SUM(Y295)&gt;0),0,IF(Y295="",0,1))</f>
        <v>0</v>
      </c>
    </row>
    <row r="296" spans="1:39" ht="15" customHeight="1">
      <c r="A296" s="103"/>
      <c r="B296" s="57"/>
      <c r="C296" s="199" t="s">
        <v>2518</v>
      </c>
      <c r="D296" s="1187" t="s">
        <v>6650</v>
      </c>
      <c r="E296" s="870"/>
      <c r="F296" s="870"/>
      <c r="G296" s="870"/>
      <c r="H296" s="870"/>
      <c r="I296" s="870"/>
      <c r="J296" s="870"/>
      <c r="K296" s="870"/>
      <c r="L296" s="870"/>
      <c r="M296" s="870"/>
      <c r="N296" s="870"/>
      <c r="O296" s="870"/>
      <c r="P296" s="870"/>
      <c r="Q296" s="870"/>
      <c r="R296" s="870"/>
      <c r="S296" s="816"/>
      <c r="T296" s="738"/>
      <c r="U296" s="738"/>
      <c r="V296" s="738"/>
      <c r="W296" s="738"/>
      <c r="X296" s="817"/>
      <c r="Y296" s="749"/>
      <c r="Z296" s="1188"/>
      <c r="AA296" s="1188"/>
      <c r="AB296" s="749"/>
      <c r="AC296" s="749"/>
      <c r="AD296" s="749"/>
      <c r="AG296" s="326">
        <f t="shared" si="7"/>
        <v>0</v>
      </c>
      <c r="AH296" s="283">
        <f t="shared" si="8"/>
        <v>0</v>
      </c>
      <c r="AJ296">
        <f t="shared" si="9"/>
        <v>0</v>
      </c>
      <c r="AK296" s="327">
        <f t="shared" si="10"/>
        <v>0</v>
      </c>
      <c r="AM296" s="253">
        <f t="shared" si="11"/>
        <v>0</v>
      </c>
    </row>
    <row r="297" spans="1:39" ht="15" customHeight="1">
      <c r="A297" s="103"/>
      <c r="B297" s="57"/>
      <c r="C297" s="199" t="s">
        <v>2519</v>
      </c>
      <c r="D297" s="1187" t="s">
        <v>6651</v>
      </c>
      <c r="E297" s="870"/>
      <c r="F297" s="870"/>
      <c r="G297" s="870"/>
      <c r="H297" s="870"/>
      <c r="I297" s="870"/>
      <c r="J297" s="870"/>
      <c r="K297" s="870"/>
      <c r="L297" s="870"/>
      <c r="M297" s="870"/>
      <c r="N297" s="870"/>
      <c r="O297" s="870"/>
      <c r="P297" s="870"/>
      <c r="Q297" s="870"/>
      <c r="R297" s="870"/>
      <c r="S297" s="816"/>
      <c r="T297" s="738"/>
      <c r="U297" s="738"/>
      <c r="V297" s="738"/>
      <c r="W297" s="738"/>
      <c r="X297" s="817"/>
      <c r="Y297" s="749"/>
      <c r="Z297" s="1188"/>
      <c r="AA297" s="1188"/>
      <c r="AB297" s="749"/>
      <c r="AC297" s="749"/>
      <c r="AD297" s="749"/>
      <c r="AG297" s="326">
        <f t="shared" si="7"/>
        <v>0</v>
      </c>
      <c r="AH297" s="283">
        <f t="shared" si="8"/>
        <v>0</v>
      </c>
      <c r="AJ297">
        <f t="shared" si="9"/>
        <v>0</v>
      </c>
      <c r="AK297" s="327">
        <f t="shared" si="10"/>
        <v>0</v>
      </c>
      <c r="AM297" s="253">
        <f t="shared" si="11"/>
        <v>0</v>
      </c>
    </row>
    <row r="298" spans="1:39" ht="15" customHeight="1">
      <c r="A298" s="103"/>
      <c r="B298" s="57"/>
      <c r="C298" s="199" t="s">
        <v>2520</v>
      </c>
      <c r="D298" s="1187" t="s">
        <v>6652</v>
      </c>
      <c r="E298" s="870"/>
      <c r="F298" s="870"/>
      <c r="G298" s="870"/>
      <c r="H298" s="870"/>
      <c r="I298" s="870"/>
      <c r="J298" s="870"/>
      <c r="K298" s="870"/>
      <c r="L298" s="870"/>
      <c r="M298" s="870"/>
      <c r="N298" s="870"/>
      <c r="O298" s="870"/>
      <c r="P298" s="870"/>
      <c r="Q298" s="870"/>
      <c r="R298" s="870"/>
      <c r="S298" s="816"/>
      <c r="T298" s="738"/>
      <c r="U298" s="738"/>
      <c r="V298" s="738"/>
      <c r="W298" s="738"/>
      <c r="X298" s="817"/>
      <c r="Y298" s="749"/>
      <c r="Z298" s="1188"/>
      <c r="AA298" s="1188"/>
      <c r="AB298" s="749"/>
      <c r="AC298" s="749"/>
      <c r="AD298" s="749"/>
      <c r="AG298" s="326">
        <f t="shared" si="7"/>
        <v>0</v>
      </c>
      <c r="AH298" s="283">
        <f t="shared" si="8"/>
        <v>0</v>
      </c>
      <c r="AJ298">
        <f t="shared" si="9"/>
        <v>0</v>
      </c>
      <c r="AK298" s="327">
        <f t="shared" si="10"/>
        <v>0</v>
      </c>
      <c r="AM298" s="253">
        <f t="shared" si="11"/>
        <v>0</v>
      </c>
    </row>
    <row r="299" spans="1:39" ht="15" customHeight="1">
      <c r="A299" s="103"/>
      <c r="B299" s="57"/>
      <c r="C299" s="199" t="s">
        <v>2521</v>
      </c>
      <c r="D299" s="1187" t="s">
        <v>6653</v>
      </c>
      <c r="E299" s="870"/>
      <c r="F299" s="870"/>
      <c r="G299" s="870"/>
      <c r="H299" s="870"/>
      <c r="I299" s="870"/>
      <c r="J299" s="870"/>
      <c r="K299" s="870"/>
      <c r="L299" s="870"/>
      <c r="M299" s="870"/>
      <c r="N299" s="870"/>
      <c r="O299" s="870"/>
      <c r="P299" s="870"/>
      <c r="Q299" s="870"/>
      <c r="R299" s="870"/>
      <c r="S299" s="816"/>
      <c r="T299" s="738"/>
      <c r="U299" s="738"/>
      <c r="V299" s="738"/>
      <c r="W299" s="738"/>
      <c r="X299" s="817"/>
      <c r="Y299" s="749"/>
      <c r="Z299" s="1188"/>
      <c r="AA299" s="1188"/>
      <c r="AB299" s="749"/>
      <c r="AC299" s="749"/>
      <c r="AD299" s="749"/>
      <c r="AG299" s="326">
        <f t="shared" si="7"/>
        <v>0</v>
      </c>
      <c r="AH299" s="283">
        <f t="shared" si="8"/>
        <v>0</v>
      </c>
      <c r="AJ299">
        <f t="shared" si="9"/>
        <v>0</v>
      </c>
      <c r="AK299" s="327">
        <f t="shared" si="10"/>
        <v>0</v>
      </c>
      <c r="AM299" s="253">
        <f t="shared" si="11"/>
        <v>0</v>
      </c>
    </row>
    <row r="300" spans="1:39" ht="15" customHeight="1">
      <c r="A300" s="103"/>
      <c r="B300" s="57"/>
      <c r="C300" s="57"/>
      <c r="D300" s="57"/>
      <c r="E300" s="57"/>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G300" s="349">
        <f>SUM(AG294:AG299)</f>
        <v>0</v>
      </c>
      <c r="AH300" s="282">
        <f>SUM(AH294:AH299)</f>
        <v>0</v>
      </c>
      <c r="AI300" s="283"/>
      <c r="AJ300" s="577">
        <f>SUM(AJ294:AJ299)</f>
        <v>0</v>
      </c>
      <c r="AK300" s="578">
        <f>SUM(AK294:AK299)</f>
        <v>0</v>
      </c>
      <c r="AM300" s="580">
        <f>SUM(AM294:AM299)</f>
        <v>0</v>
      </c>
    </row>
    <row r="301" spans="1:39" ht="45" customHeight="1">
      <c r="A301" s="103"/>
      <c r="B301" s="57"/>
      <c r="C301" s="822" t="s">
        <v>6654</v>
      </c>
      <c r="D301" s="822"/>
      <c r="E301" s="823"/>
      <c r="F301" s="749"/>
      <c r="G301" s="749"/>
      <c r="H301" s="749"/>
      <c r="I301" s="749"/>
      <c r="J301" s="749"/>
      <c r="K301" s="749"/>
      <c r="L301" s="749"/>
      <c r="M301" s="749"/>
      <c r="N301" s="749"/>
      <c r="O301" s="749"/>
      <c r="P301" s="749"/>
      <c r="Q301" s="749"/>
      <c r="R301" s="749"/>
      <c r="S301" s="749"/>
      <c r="T301" s="749"/>
      <c r="U301" s="749"/>
      <c r="V301" s="749"/>
      <c r="W301" s="749"/>
      <c r="X301" s="749"/>
      <c r="Y301" s="749"/>
      <c r="Z301" s="749"/>
      <c r="AA301" s="749"/>
      <c r="AB301" s="749"/>
      <c r="AC301" s="749"/>
      <c r="AD301" s="749"/>
    </row>
    <row r="302" spans="1:39" ht="15" customHeight="1">
      <c r="A302" s="103"/>
      <c r="B302" s="794" t="str">
        <f>IF(AND(AL294&gt;0,F301=""),"Ha registrado el código 1 en el numeral 6, debe anotar el nombre de dicha(s) materia(s)","")</f>
        <v/>
      </c>
      <c r="C302" s="794"/>
      <c r="D302" s="794"/>
      <c r="E302" s="794"/>
      <c r="F302" s="794"/>
      <c r="G302" s="794"/>
      <c r="H302" s="794"/>
      <c r="I302" s="794"/>
      <c r="J302" s="794"/>
      <c r="K302" s="794"/>
      <c r="L302" s="794"/>
      <c r="M302" s="794"/>
      <c r="N302" s="794"/>
      <c r="O302" s="794"/>
      <c r="P302" s="794"/>
      <c r="Q302" s="794"/>
      <c r="R302" s="794"/>
      <c r="S302" s="794"/>
      <c r="T302" s="794"/>
      <c r="U302" s="794"/>
      <c r="V302" s="794"/>
      <c r="W302" s="794"/>
      <c r="X302" s="794"/>
      <c r="Y302" s="794"/>
      <c r="Z302" s="794"/>
      <c r="AA302" s="794"/>
      <c r="AB302" s="794"/>
      <c r="AC302" s="794"/>
      <c r="AD302" s="794"/>
      <c r="AE302" s="794"/>
    </row>
    <row r="303" spans="1:39" ht="24" customHeight="1">
      <c r="A303" s="211"/>
      <c r="B303" s="57"/>
      <c r="C303" s="754" t="s">
        <v>2611</v>
      </c>
      <c r="D303" s="754"/>
      <c r="E303" s="754"/>
      <c r="F303" s="754"/>
      <c r="G303" s="754"/>
      <c r="H303" s="754"/>
      <c r="I303" s="754"/>
      <c r="J303" s="754"/>
      <c r="K303" s="754"/>
      <c r="L303" s="754"/>
      <c r="M303" s="754"/>
      <c r="N303" s="754"/>
      <c r="O303" s="754"/>
      <c r="P303" s="754"/>
      <c r="Q303" s="754"/>
      <c r="R303" s="754"/>
      <c r="S303" s="754"/>
      <c r="T303" s="754"/>
      <c r="U303" s="754"/>
      <c r="V303" s="754"/>
      <c r="W303" s="754"/>
      <c r="X303" s="754"/>
      <c r="Y303" s="754"/>
      <c r="Z303" s="754"/>
      <c r="AA303" s="754"/>
      <c r="AB303" s="754"/>
      <c r="AC303" s="754"/>
      <c r="AD303" s="754"/>
    </row>
    <row r="304" spans="1:39" ht="60" customHeight="1">
      <c r="A304" s="211"/>
      <c r="B304" s="57"/>
      <c r="C304" s="812"/>
      <c r="D304" s="812"/>
      <c r="E304" s="812"/>
      <c r="F304" s="812"/>
      <c r="G304" s="812"/>
      <c r="H304" s="812"/>
      <c r="I304" s="812"/>
      <c r="J304" s="812"/>
      <c r="K304" s="812"/>
      <c r="L304" s="812"/>
      <c r="M304" s="812"/>
      <c r="N304" s="812"/>
      <c r="O304" s="812"/>
      <c r="P304" s="812"/>
      <c r="Q304" s="812"/>
      <c r="R304" s="812"/>
      <c r="S304" s="812"/>
      <c r="T304" s="812"/>
      <c r="U304" s="812"/>
      <c r="V304" s="812"/>
      <c r="W304" s="812"/>
      <c r="X304" s="812"/>
      <c r="Y304" s="812"/>
      <c r="Z304" s="812"/>
      <c r="AA304" s="812"/>
      <c r="AB304" s="812"/>
      <c r="AC304" s="812"/>
      <c r="AD304" s="812"/>
    </row>
    <row r="305" spans="1:36" ht="15" customHeight="1">
      <c r="A305" s="211"/>
      <c r="B305" s="794" t="str">
        <f>IF(AG300&gt;0,"Favor de ingresar toda la información requerida en la pregunta y/o verifique que no tenga información en celdas sombreadas","")</f>
        <v/>
      </c>
      <c r="C305" s="794"/>
      <c r="D305" s="794"/>
      <c r="E305" s="794"/>
      <c r="F305" s="794"/>
      <c r="G305" s="794"/>
      <c r="H305" s="794"/>
      <c r="I305" s="794"/>
      <c r="J305" s="794"/>
      <c r="K305" s="794"/>
      <c r="L305" s="794"/>
      <c r="M305" s="794"/>
      <c r="N305" s="794"/>
      <c r="O305" s="794"/>
      <c r="P305" s="794"/>
      <c r="Q305" s="794"/>
      <c r="R305" s="794"/>
      <c r="S305" s="794"/>
      <c r="T305" s="794"/>
      <c r="U305" s="794"/>
      <c r="V305" s="794"/>
      <c r="W305" s="794"/>
      <c r="X305" s="794"/>
      <c r="Y305" s="794"/>
      <c r="Z305" s="794"/>
      <c r="AA305" s="794"/>
      <c r="AB305" s="794"/>
      <c r="AC305" s="794"/>
      <c r="AD305" s="794"/>
      <c r="AE305"/>
    </row>
    <row r="306" spans="1:36" ht="15" customHeight="1">
      <c r="A306" s="211"/>
      <c r="B306" s="795" t="str">
        <f>IF(AH300&gt;0,"Alerta: debido a que cuenta con registros NS, debe proporcionar una justificación en el area de comentarios al final de la pregunta","")</f>
        <v/>
      </c>
      <c r="C306" s="795"/>
      <c r="D306" s="795"/>
      <c r="E306" s="795"/>
      <c r="F306" s="795"/>
      <c r="G306" s="795"/>
      <c r="H306" s="795"/>
      <c r="I306" s="795"/>
      <c r="J306" s="795"/>
      <c r="K306" s="795"/>
      <c r="L306" s="795"/>
      <c r="M306" s="795"/>
      <c r="N306" s="795"/>
      <c r="O306" s="795"/>
      <c r="P306" s="795"/>
      <c r="Q306" s="795"/>
      <c r="R306" s="795"/>
      <c r="S306" s="795"/>
      <c r="T306" s="795"/>
      <c r="U306" s="795"/>
      <c r="V306" s="795"/>
      <c r="W306" s="795"/>
      <c r="X306" s="795"/>
      <c r="Y306" s="795"/>
      <c r="Z306" s="795"/>
      <c r="AA306" s="795"/>
      <c r="AB306" s="795"/>
      <c r="AC306" s="795"/>
      <c r="AD306" s="795"/>
      <c r="AE306"/>
    </row>
    <row r="307" spans="1:36" ht="15" customHeight="1">
      <c r="A307" s="211"/>
      <c r="B307" s="794" t="str">
        <f>IF(AM300&gt;0,"El periodo máximo para acceder a los servicios postpenales debe ser mayor a cero","")</f>
        <v/>
      </c>
      <c r="C307" s="794"/>
      <c r="D307" s="794"/>
      <c r="E307" s="794"/>
      <c r="F307" s="794"/>
      <c r="G307" s="794"/>
      <c r="H307" s="794"/>
      <c r="I307" s="794"/>
      <c r="J307" s="794"/>
      <c r="K307" s="794"/>
      <c r="L307" s="794"/>
      <c r="M307" s="794"/>
      <c r="N307" s="794"/>
      <c r="O307" s="794"/>
      <c r="P307" s="794"/>
      <c r="Q307" s="794"/>
      <c r="R307" s="794"/>
      <c r="S307" s="794"/>
      <c r="T307" s="794"/>
      <c r="U307" s="794"/>
      <c r="V307" s="794"/>
      <c r="W307" s="794"/>
      <c r="X307" s="794"/>
      <c r="Y307" s="794"/>
      <c r="Z307" s="794"/>
      <c r="AA307" s="794"/>
      <c r="AB307" s="794"/>
      <c r="AC307" s="794"/>
      <c r="AD307" s="794"/>
      <c r="AE307" s="794"/>
    </row>
    <row r="308" spans="1:36" ht="15" customHeight="1">
      <c r="A308" s="211"/>
      <c r="B308" s="57"/>
      <c r="C308" s="57"/>
      <c r="D308" s="57"/>
      <c r="E308" s="57"/>
      <c r="F308" s="57"/>
      <c r="G308" s="57"/>
      <c r="H308" s="57"/>
      <c r="I308" s="57"/>
      <c r="J308" s="57"/>
      <c r="K308" s="57"/>
      <c r="L308" s="57"/>
      <c r="M308" s="57"/>
      <c r="N308" s="57"/>
      <c r="O308" s="57"/>
      <c r="P308" s="57"/>
      <c r="Q308" s="57"/>
      <c r="R308" s="57"/>
      <c r="S308" s="57"/>
      <c r="T308" s="57"/>
      <c r="U308" s="57"/>
      <c r="V308" s="57"/>
      <c r="W308" s="57"/>
      <c r="X308" s="57"/>
      <c r="Y308" s="57"/>
      <c r="Z308" s="57"/>
      <c r="AA308" s="57"/>
      <c r="AB308" s="57"/>
      <c r="AC308" s="57"/>
      <c r="AD308" s="57"/>
      <c r="AE308"/>
    </row>
    <row r="309" spans="1:36" ht="15" customHeight="1">
      <c r="A309" s="211"/>
      <c r="B309" s="57"/>
      <c r="C309" s="57"/>
      <c r="D309" s="57"/>
      <c r="E309" s="57"/>
      <c r="F309" s="57"/>
      <c r="G309" s="57"/>
      <c r="H309" s="57"/>
      <c r="I309" s="57"/>
      <c r="J309" s="57"/>
      <c r="K309" s="57"/>
      <c r="L309" s="57"/>
      <c r="M309" s="57"/>
      <c r="N309" s="57"/>
      <c r="O309" s="57"/>
      <c r="P309" s="57"/>
      <c r="Q309" s="57"/>
      <c r="R309" s="57"/>
      <c r="S309" s="57"/>
      <c r="T309" s="57"/>
      <c r="U309" s="57"/>
      <c r="V309" s="57"/>
      <c r="W309" s="57"/>
      <c r="X309" s="57"/>
      <c r="Y309" s="57"/>
      <c r="Z309" s="57"/>
      <c r="AA309" s="57"/>
      <c r="AB309" s="57"/>
      <c r="AC309" s="57"/>
      <c r="AD309" s="57"/>
      <c r="AE309"/>
    </row>
    <row r="310" spans="1:36" ht="15" customHeight="1">
      <c r="A310" s="211"/>
      <c r="B310" s="57"/>
      <c r="C310" s="57"/>
      <c r="D310" s="57"/>
      <c r="E310" s="57"/>
      <c r="F310" s="57"/>
      <c r="G310" s="57"/>
      <c r="H310" s="57"/>
      <c r="I310" s="57"/>
      <c r="J310" s="57"/>
      <c r="K310" s="57"/>
      <c r="L310" s="57"/>
      <c r="M310" s="57"/>
      <c r="N310" s="57"/>
      <c r="O310" s="57"/>
      <c r="P310" s="57"/>
      <c r="Q310" s="57"/>
      <c r="R310" s="57"/>
      <c r="S310" s="57"/>
      <c r="T310" s="57"/>
      <c r="U310" s="57"/>
      <c r="V310" s="57"/>
      <c r="W310" s="57"/>
      <c r="X310" s="57"/>
      <c r="Y310" s="57"/>
      <c r="Z310" s="57"/>
      <c r="AA310" s="57"/>
      <c r="AB310" s="57"/>
      <c r="AC310" s="57"/>
      <c r="AD310" s="57"/>
      <c r="AE310"/>
    </row>
    <row r="311" spans="1:36" ht="24" customHeight="1">
      <c r="A311" s="108" t="s">
        <v>6655</v>
      </c>
      <c r="B311" s="960" t="s">
        <v>6656</v>
      </c>
      <c r="C311" s="960"/>
      <c r="D311" s="960"/>
      <c r="E311" s="960"/>
      <c r="F311" s="960"/>
      <c r="G311" s="960"/>
      <c r="H311" s="960"/>
      <c r="I311" s="960"/>
      <c r="J311" s="960"/>
      <c r="K311" s="960"/>
      <c r="L311" s="960"/>
      <c r="M311" s="960"/>
      <c r="N311" s="960"/>
      <c r="O311" s="960"/>
      <c r="P311" s="960"/>
      <c r="Q311" s="960"/>
      <c r="R311" s="960"/>
      <c r="S311" s="960"/>
      <c r="T311" s="960"/>
      <c r="U311" s="960"/>
      <c r="V311" s="960"/>
      <c r="W311" s="960"/>
      <c r="X311" s="960"/>
      <c r="Y311" s="960"/>
      <c r="Z311" s="960"/>
      <c r="AA311" s="960"/>
      <c r="AB311" s="960"/>
      <c r="AC311" s="960"/>
      <c r="AD311" s="960"/>
    </row>
    <row r="312" spans="1:36" ht="15" customHeight="1" thickBot="1">
      <c r="A312" s="108"/>
      <c r="B312" s="118"/>
      <c r="C312" s="118"/>
      <c r="D312" s="118"/>
      <c r="E312" s="118"/>
      <c r="F312" s="118"/>
      <c r="G312" s="118"/>
      <c r="H312" s="118"/>
      <c r="I312" s="118"/>
      <c r="J312" s="118"/>
      <c r="K312" s="118"/>
      <c r="L312" s="118"/>
      <c r="M312" s="118"/>
      <c r="N312" s="118"/>
      <c r="O312" s="118"/>
      <c r="P312" s="118"/>
      <c r="Q312" s="118"/>
      <c r="R312" s="118"/>
      <c r="S312" s="118"/>
      <c r="T312" s="118"/>
      <c r="U312" s="118"/>
      <c r="V312" s="118"/>
      <c r="W312" s="118"/>
      <c r="X312" s="118"/>
      <c r="Y312" s="118"/>
      <c r="Z312" s="118"/>
      <c r="AA312" s="118"/>
      <c r="AB312" s="118"/>
      <c r="AC312" s="118"/>
      <c r="AD312" s="118"/>
    </row>
    <row r="313" spans="1:36" ht="15" customHeight="1" thickBot="1">
      <c r="A313" s="108"/>
      <c r="B313" s="118"/>
      <c r="C313" s="1035"/>
      <c r="D313" s="1036"/>
      <c r="E313" s="1036"/>
      <c r="F313" s="1037"/>
      <c r="G313" s="677" t="s">
        <v>6657</v>
      </c>
      <c r="H313" s="131"/>
      <c r="I313" s="131"/>
      <c r="J313" s="131"/>
      <c r="K313" s="131"/>
      <c r="L313" s="131"/>
      <c r="M313" s="131"/>
      <c r="N313" s="131"/>
      <c r="O313" s="131"/>
      <c r="P313" s="131"/>
      <c r="Q313" s="131"/>
      <c r="R313" s="131"/>
      <c r="S313" s="131"/>
      <c r="T313" s="131"/>
      <c r="U313" s="131"/>
      <c r="V313" s="131"/>
      <c r="W313" s="131"/>
      <c r="X313" s="131"/>
      <c r="Y313" s="131"/>
      <c r="Z313" s="131"/>
      <c r="AA313" s="131"/>
      <c r="AB313" s="131"/>
      <c r="AC313" s="131"/>
      <c r="AD313" s="131"/>
      <c r="AG313" s="354" t="s">
        <v>2586</v>
      </c>
      <c r="AH313" s="282" t="s">
        <v>2590</v>
      </c>
      <c r="AI313" s="519" t="s">
        <v>4181</v>
      </c>
      <c r="AJ313" s="281" t="s">
        <v>3164</v>
      </c>
    </row>
    <row r="314" spans="1:36" ht="15" customHeight="1">
      <c r="A314" s="108"/>
      <c r="B314" s="118"/>
      <c r="C314" s="118"/>
      <c r="D314" s="118"/>
      <c r="E314" s="118"/>
      <c r="F314" s="118"/>
      <c r="G314" s="118"/>
      <c r="H314" s="118"/>
      <c r="I314" s="118"/>
      <c r="J314" s="118"/>
      <c r="K314" s="118"/>
      <c r="L314" s="118"/>
      <c r="M314" s="118"/>
      <c r="N314" s="118"/>
      <c r="O314" s="118"/>
      <c r="P314" s="118"/>
      <c r="Q314" s="118"/>
      <c r="R314" s="118"/>
      <c r="S314" s="118"/>
      <c r="T314" s="118"/>
      <c r="U314" s="118"/>
      <c r="V314" s="118"/>
      <c r="W314" s="118"/>
      <c r="X314" s="118"/>
      <c r="Y314" s="118"/>
      <c r="Z314" s="118"/>
      <c r="AA314" s="118"/>
      <c r="AB314" s="118"/>
      <c r="AC314" s="118"/>
      <c r="AD314" s="118"/>
      <c r="AG314" s="283">
        <f>IF(AND(OR($I$25="X",$T$25="X"),COUNTA(C313,E315,E317)=0),0,IF(AND($I$25="",$T$25="",COUNTA(C313,E315,E317)=3),0,IF(COUNTA(C313,E315,E317)=0,0,1)))</f>
        <v>0</v>
      </c>
      <c r="AH314" s="516">
        <f>COUNTIF(E315,"NS")+COUNTIF(E317,"NS")</f>
        <v>0</v>
      </c>
      <c r="AI314" s="516">
        <f>SUM(E315,E317)</f>
        <v>0</v>
      </c>
      <c r="AJ314" s="283">
        <f>IF(AND(C313="NA",E315="NA",E317="NA"),0,IF(OR(AND(C313=0,AH314&gt;0),AND(C313="NS",AI314&gt;0),AND(C313="NS",AH314=0,AI314=0)),1,IF(OR(AND(AH314&gt;=2,C313&gt;AI314),AND(C313="NS",AI314=0,AH314&gt;0),C313=AI314),0,1)))</f>
        <v>0</v>
      </c>
    </row>
    <row r="315" spans="1:36" ht="15" customHeight="1">
      <c r="A315" s="210"/>
      <c r="B315" s="38"/>
      <c r="C315" s="38"/>
      <c r="D315" s="38"/>
      <c r="E315" s="749"/>
      <c r="F315" s="749"/>
      <c r="G315" s="749"/>
      <c r="H315" s="749"/>
      <c r="I315" s="54" t="s">
        <v>6658</v>
      </c>
      <c r="J315" s="38"/>
      <c r="K315" s="38"/>
      <c r="L315" s="38"/>
      <c r="M315" s="38"/>
      <c r="N315" s="38"/>
      <c r="O315" s="38"/>
      <c r="P315" s="38"/>
      <c r="Q315" s="38"/>
      <c r="R315" s="38"/>
      <c r="S315" s="38"/>
      <c r="T315" s="38"/>
      <c r="U315" s="38"/>
      <c r="V315" s="38"/>
      <c r="W315" s="38"/>
      <c r="X315" s="38"/>
      <c r="Y315" s="38"/>
      <c r="Z315" s="38"/>
      <c r="AA315" s="38"/>
      <c r="AB315" s="38"/>
      <c r="AC315" s="38"/>
      <c r="AD315" s="38"/>
    </row>
    <row r="316" spans="1:36" ht="15" customHeight="1">
      <c r="A316" s="210"/>
      <c r="B316" s="38"/>
      <c r="C316" s="38"/>
      <c r="D316" s="38"/>
      <c r="E316" s="38"/>
      <c r="F316" s="38"/>
      <c r="G316" s="38"/>
      <c r="H316" s="38"/>
      <c r="I316" s="54"/>
      <c r="J316" s="38"/>
      <c r="K316" s="38"/>
      <c r="L316" s="38"/>
      <c r="M316" s="38"/>
      <c r="N316" s="38"/>
      <c r="O316" s="38"/>
      <c r="P316" s="38"/>
      <c r="Q316" s="38"/>
      <c r="R316" s="38"/>
      <c r="S316" s="38"/>
      <c r="T316" s="38"/>
      <c r="U316" s="38"/>
      <c r="V316" s="38"/>
      <c r="W316" s="38"/>
      <c r="X316" s="38"/>
      <c r="Y316" s="38"/>
      <c r="Z316" s="38"/>
      <c r="AA316" s="38"/>
      <c r="AB316" s="38"/>
      <c r="AC316" s="38"/>
      <c r="AD316" s="38"/>
    </row>
    <row r="317" spans="1:36" ht="15" customHeight="1">
      <c r="A317" s="210"/>
      <c r="B317" s="38"/>
      <c r="C317" s="38"/>
      <c r="D317" s="38"/>
      <c r="E317" s="749"/>
      <c r="F317" s="749"/>
      <c r="G317" s="749"/>
      <c r="H317" s="749"/>
      <c r="I317" s="54" t="s">
        <v>6659</v>
      </c>
      <c r="J317" s="38"/>
      <c r="K317" s="38"/>
      <c r="L317" s="38"/>
      <c r="M317" s="38"/>
      <c r="N317" s="38"/>
      <c r="O317" s="38"/>
      <c r="P317" s="38"/>
      <c r="Q317" s="38"/>
      <c r="R317" s="38"/>
      <c r="S317" s="38"/>
      <c r="T317" s="38"/>
      <c r="U317" s="38"/>
      <c r="V317" s="38"/>
      <c r="W317" s="38"/>
      <c r="X317" s="38"/>
      <c r="Y317" s="38"/>
      <c r="Z317" s="38"/>
      <c r="AA317" s="38"/>
      <c r="AB317" s="38"/>
      <c r="AC317" s="38"/>
      <c r="AD317" s="38"/>
    </row>
    <row r="318" spans="1:36" ht="15" customHeight="1">
      <c r="A318" s="210"/>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row>
    <row r="319" spans="1:36" ht="24" customHeight="1">
      <c r="A319" s="108"/>
      <c r="B319" s="118"/>
      <c r="C319" s="754" t="s">
        <v>2611</v>
      </c>
      <c r="D319" s="754"/>
      <c r="E319" s="754"/>
      <c r="F319" s="754"/>
      <c r="G319" s="754"/>
      <c r="H319" s="754"/>
      <c r="I319" s="754"/>
      <c r="J319" s="754"/>
      <c r="K319" s="754"/>
      <c r="L319" s="754"/>
      <c r="M319" s="754"/>
      <c r="N319" s="754"/>
      <c r="O319" s="754"/>
      <c r="P319" s="754"/>
      <c r="Q319" s="754"/>
      <c r="R319" s="754"/>
      <c r="S319" s="754"/>
      <c r="T319" s="754"/>
      <c r="U319" s="754"/>
      <c r="V319" s="754"/>
      <c r="W319" s="754"/>
      <c r="X319" s="754"/>
      <c r="Y319" s="754"/>
      <c r="Z319" s="754"/>
      <c r="AA319" s="754"/>
      <c r="AB319" s="754"/>
      <c r="AC319" s="754"/>
      <c r="AD319" s="754"/>
    </row>
    <row r="320" spans="1:36" ht="60" customHeight="1">
      <c r="A320" s="108"/>
      <c r="B320" s="118"/>
      <c r="C320" s="851"/>
      <c r="D320" s="851"/>
      <c r="E320" s="851"/>
      <c r="F320" s="851"/>
      <c r="G320" s="851"/>
      <c r="H320" s="851"/>
      <c r="I320" s="851"/>
      <c r="J320" s="851"/>
      <c r="K320" s="851"/>
      <c r="L320" s="851"/>
      <c r="M320" s="851"/>
      <c r="N320" s="851"/>
      <c r="O320" s="851"/>
      <c r="P320" s="851"/>
      <c r="Q320" s="851"/>
      <c r="R320" s="851"/>
      <c r="S320" s="851"/>
      <c r="T320" s="851"/>
      <c r="U320" s="851"/>
      <c r="V320" s="851"/>
      <c r="W320" s="851"/>
      <c r="X320" s="851"/>
      <c r="Y320" s="851"/>
      <c r="Z320" s="851"/>
      <c r="AA320" s="851"/>
      <c r="AB320" s="851"/>
      <c r="AC320" s="851"/>
      <c r="AD320" s="851"/>
    </row>
    <row r="321" spans="1:46" ht="15" customHeight="1">
      <c r="A321" s="108"/>
      <c r="B321" s="794" t="str">
        <f>IF(AG314&gt;0,"Favor de ingresar toda la información requerida en la pregunta y/o verifique que no tenga información en celdas sombreadas","")</f>
        <v/>
      </c>
      <c r="C321" s="794"/>
      <c r="D321" s="794"/>
      <c r="E321" s="794"/>
      <c r="F321" s="794"/>
      <c r="G321" s="794"/>
      <c r="H321" s="794"/>
      <c r="I321" s="794"/>
      <c r="J321" s="794"/>
      <c r="K321" s="794"/>
      <c r="L321" s="794"/>
      <c r="M321" s="794"/>
      <c r="N321" s="794"/>
      <c r="O321" s="794"/>
      <c r="P321" s="794"/>
      <c r="Q321" s="794"/>
      <c r="R321" s="794"/>
      <c r="S321" s="794"/>
      <c r="T321" s="794"/>
      <c r="U321" s="794"/>
      <c r="V321" s="794"/>
      <c r="W321" s="794"/>
      <c r="X321" s="794"/>
      <c r="Y321" s="794"/>
      <c r="Z321" s="794"/>
      <c r="AA321" s="794"/>
      <c r="AB321" s="794"/>
      <c r="AC321" s="794"/>
      <c r="AD321" s="794"/>
    </row>
    <row r="322" spans="1:46" ht="15" customHeight="1">
      <c r="A322" s="108"/>
      <c r="B322" s="795" t="str">
        <f>IF(AH314&gt;0,"Alerta: debido a que cuenta con registros NS, debe proporcionar una justificación en el area de comentarios al final de la pregunta","")</f>
        <v/>
      </c>
      <c r="C322" s="795"/>
      <c r="D322" s="795"/>
      <c r="E322" s="795"/>
      <c r="F322" s="795"/>
      <c r="G322" s="795"/>
      <c r="H322" s="795"/>
      <c r="I322" s="795"/>
      <c r="J322" s="795"/>
      <c r="K322" s="795"/>
      <c r="L322" s="795"/>
      <c r="M322" s="795"/>
      <c r="N322" s="795"/>
      <c r="O322" s="795"/>
      <c r="P322" s="795"/>
      <c r="Q322" s="795"/>
      <c r="R322" s="795"/>
      <c r="S322" s="795"/>
      <c r="T322" s="795"/>
      <c r="U322" s="795"/>
      <c r="V322" s="795"/>
      <c r="W322" s="795"/>
      <c r="X322" s="795"/>
      <c r="Y322" s="795"/>
      <c r="Z322" s="795"/>
      <c r="AA322" s="795"/>
      <c r="AB322" s="795"/>
      <c r="AC322" s="795"/>
      <c r="AD322" s="795"/>
    </row>
    <row r="323" spans="1:46" ht="15" customHeight="1">
      <c r="A323" s="108"/>
      <c r="B323" s="1003" t="str">
        <f>IF(AJ314&gt;0,"Favor de revisar la suma y consistencia de totales y/o subtotales por filas (numéricos y NS)","")</f>
        <v/>
      </c>
      <c r="C323" s="1003"/>
      <c r="D323" s="1003"/>
      <c r="E323" s="1003"/>
      <c r="F323" s="1003"/>
      <c r="G323" s="1003"/>
      <c r="H323" s="1003"/>
      <c r="I323" s="1003"/>
      <c r="J323" s="1003"/>
      <c r="K323" s="1003"/>
      <c r="L323" s="1003"/>
      <c r="M323" s="1003"/>
      <c r="N323" s="1003"/>
      <c r="O323" s="1003"/>
      <c r="P323" s="1003"/>
      <c r="Q323" s="1003"/>
      <c r="R323" s="1003"/>
      <c r="S323" s="1003"/>
      <c r="T323" s="1003"/>
      <c r="U323" s="1003"/>
      <c r="V323" s="1003"/>
      <c r="W323" s="1003"/>
      <c r="X323" s="1003"/>
      <c r="Y323" s="1003"/>
      <c r="Z323" s="1003"/>
      <c r="AA323" s="1003"/>
      <c r="AB323" s="1003"/>
      <c r="AC323" s="1003"/>
      <c r="AD323" s="1003"/>
    </row>
    <row r="324" spans="1:46" ht="15" customHeight="1">
      <c r="A324" s="108"/>
      <c r="B324" s="107"/>
      <c r="C324" s="107"/>
      <c r="D324" s="107"/>
      <c r="E324" s="107"/>
      <c r="F324" s="107"/>
      <c r="G324" s="107"/>
      <c r="H324" s="107"/>
      <c r="I324" s="107"/>
      <c r="J324" s="107"/>
      <c r="K324" s="107"/>
      <c r="L324" s="107"/>
      <c r="M324" s="107"/>
      <c r="N324" s="107"/>
      <c r="O324" s="107"/>
      <c r="P324" s="107"/>
      <c r="Q324" s="107"/>
      <c r="R324" s="107"/>
      <c r="S324" s="107"/>
      <c r="T324" s="107"/>
      <c r="U324" s="107"/>
      <c r="V324" s="107"/>
      <c r="W324" s="107"/>
      <c r="X324" s="107"/>
      <c r="Y324" s="107"/>
      <c r="Z324" s="107"/>
      <c r="AA324" s="107"/>
      <c r="AB324" s="107"/>
      <c r="AC324" s="107"/>
      <c r="AD324" s="107"/>
    </row>
    <row r="325" spans="1:46" ht="15" customHeight="1">
      <c r="A325" s="108"/>
      <c r="B325" s="107"/>
      <c r="C325" s="107"/>
      <c r="D325" s="107"/>
      <c r="E325" s="107"/>
      <c r="F325" s="107"/>
      <c r="G325" s="107"/>
      <c r="H325" s="107"/>
      <c r="I325" s="107"/>
      <c r="J325" s="107"/>
      <c r="K325" s="107"/>
      <c r="L325" s="107"/>
      <c r="M325" s="107"/>
      <c r="N325" s="107"/>
      <c r="O325" s="107"/>
      <c r="P325" s="107"/>
      <c r="Q325" s="107"/>
      <c r="R325" s="107"/>
      <c r="S325" s="107"/>
      <c r="T325" s="107"/>
      <c r="U325" s="107"/>
      <c r="V325" s="107"/>
      <c r="W325" s="107"/>
      <c r="X325" s="107"/>
      <c r="Y325" s="107"/>
      <c r="Z325" s="107"/>
      <c r="AA325" s="107"/>
      <c r="AB325" s="107"/>
      <c r="AC325" s="107"/>
      <c r="AD325" s="107"/>
    </row>
    <row r="326" spans="1:46" ht="15" customHeight="1">
      <c r="A326" s="211"/>
      <c r="B326" s="57"/>
      <c r="C326" s="57"/>
      <c r="D326" s="57"/>
      <c r="E326" s="57"/>
      <c r="F326" s="57"/>
      <c r="G326" s="57"/>
      <c r="H326" s="57"/>
      <c r="I326" s="57"/>
      <c r="J326" s="57"/>
      <c r="K326" s="57"/>
      <c r="L326" s="57"/>
      <c r="M326" s="57"/>
      <c r="N326" s="57"/>
      <c r="O326" s="57"/>
      <c r="P326" s="57"/>
      <c r="Q326" s="57"/>
      <c r="R326" s="57"/>
      <c r="S326" s="57"/>
      <c r="T326" s="57"/>
      <c r="U326" s="57"/>
      <c r="V326" s="57"/>
      <c r="W326" s="57"/>
      <c r="X326" s="57"/>
      <c r="Y326" s="57"/>
      <c r="Z326" s="57"/>
      <c r="AA326" s="57"/>
      <c r="AB326" s="57"/>
      <c r="AC326" s="57"/>
      <c r="AD326" s="57"/>
    </row>
    <row r="327" spans="1:46" ht="36" customHeight="1">
      <c r="A327" s="108" t="s">
        <v>6660</v>
      </c>
      <c r="B327" s="829" t="s">
        <v>6661</v>
      </c>
      <c r="C327" s="829" t="s">
        <v>6662</v>
      </c>
      <c r="D327" s="829"/>
      <c r="E327" s="829"/>
      <c r="F327" s="829"/>
      <c r="G327" s="829"/>
      <c r="H327" s="829"/>
      <c r="I327" s="829"/>
      <c r="J327" s="829"/>
      <c r="K327" s="829"/>
      <c r="L327" s="829"/>
      <c r="M327" s="829"/>
      <c r="N327" s="829"/>
      <c r="O327" s="829"/>
      <c r="P327" s="829"/>
      <c r="Q327" s="829"/>
      <c r="R327" s="829"/>
      <c r="S327" s="829"/>
      <c r="T327" s="829"/>
      <c r="U327" s="829"/>
      <c r="V327" s="829"/>
      <c r="W327" s="829"/>
      <c r="X327" s="829"/>
      <c r="Y327" s="829"/>
      <c r="Z327" s="829"/>
      <c r="AA327" s="829"/>
      <c r="AB327" s="829"/>
      <c r="AC327" s="829"/>
      <c r="AD327" s="829"/>
    </row>
    <row r="328" spans="1:46" ht="24" customHeight="1">
      <c r="A328" s="49"/>
      <c r="B328" s="38"/>
      <c r="C328" s="830" t="s">
        <v>6663</v>
      </c>
      <c r="D328" s="830"/>
      <c r="E328" s="830"/>
      <c r="F328" s="830"/>
      <c r="G328" s="830"/>
      <c r="H328" s="830"/>
      <c r="I328" s="830"/>
      <c r="J328" s="830"/>
      <c r="K328" s="830"/>
      <c r="L328" s="830"/>
      <c r="M328" s="830"/>
      <c r="N328" s="830"/>
      <c r="O328" s="830"/>
      <c r="P328" s="830"/>
      <c r="Q328" s="830"/>
      <c r="R328" s="830"/>
      <c r="S328" s="830"/>
      <c r="T328" s="830"/>
      <c r="U328" s="830"/>
      <c r="V328" s="830"/>
      <c r="W328" s="830"/>
      <c r="X328" s="830"/>
      <c r="Y328" s="830"/>
      <c r="Z328" s="830"/>
      <c r="AA328" s="830"/>
      <c r="AB328" s="830"/>
      <c r="AC328" s="830"/>
      <c r="AD328" s="830"/>
    </row>
    <row r="329" spans="1:46" ht="48" customHeight="1">
      <c r="A329" s="110"/>
      <c r="B329" s="57"/>
      <c r="C329" s="754" t="s">
        <v>6664</v>
      </c>
      <c r="D329" s="754"/>
      <c r="E329" s="754"/>
      <c r="F329" s="754"/>
      <c r="G329" s="754"/>
      <c r="H329" s="754"/>
      <c r="I329" s="754"/>
      <c r="J329" s="754"/>
      <c r="K329" s="754"/>
      <c r="L329" s="754"/>
      <c r="M329" s="754"/>
      <c r="N329" s="754"/>
      <c r="O329" s="754"/>
      <c r="P329" s="754"/>
      <c r="Q329" s="754"/>
      <c r="R329" s="754"/>
      <c r="S329" s="754"/>
      <c r="T329" s="754"/>
      <c r="U329" s="754"/>
      <c r="V329" s="754"/>
      <c r="W329" s="754"/>
      <c r="X329" s="754"/>
      <c r="Y329" s="754"/>
      <c r="Z329" s="754"/>
      <c r="AA329" s="754"/>
      <c r="AB329" s="754"/>
      <c r="AC329" s="754"/>
      <c r="AD329" s="754"/>
    </row>
    <row r="330" spans="1:46" ht="48" customHeight="1">
      <c r="A330" s="110"/>
      <c r="B330" s="57"/>
      <c r="C330" s="754" t="s">
        <v>6665</v>
      </c>
      <c r="D330" s="754"/>
      <c r="E330" s="754"/>
      <c r="F330" s="754"/>
      <c r="G330" s="754"/>
      <c r="H330" s="754"/>
      <c r="I330" s="754"/>
      <c r="J330" s="754"/>
      <c r="K330" s="754"/>
      <c r="L330" s="754"/>
      <c r="M330" s="754"/>
      <c r="N330" s="754"/>
      <c r="O330" s="754"/>
      <c r="P330" s="754"/>
      <c r="Q330" s="754"/>
      <c r="R330" s="754"/>
      <c r="S330" s="754"/>
      <c r="T330" s="754"/>
      <c r="U330" s="754"/>
      <c r="V330" s="754"/>
      <c r="W330" s="754"/>
      <c r="X330" s="754"/>
      <c r="Y330" s="754"/>
      <c r="Z330" s="754"/>
      <c r="AA330" s="754"/>
      <c r="AB330" s="754"/>
      <c r="AC330" s="754"/>
      <c r="AD330" s="754"/>
    </row>
    <row r="331" spans="1:46" ht="15" customHeight="1">
      <c r="A331" s="57"/>
      <c r="B331" s="57"/>
      <c r="C331" s="57"/>
      <c r="D331" s="57"/>
      <c r="E331" s="57"/>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G331"/>
      <c r="AH331"/>
      <c r="AI331"/>
      <c r="AJ331"/>
      <c r="AK331" s="1176" t="s">
        <v>6540</v>
      </c>
      <c r="AL331" s="1177" t="s">
        <v>6666</v>
      </c>
      <c r="AM331" s="1177" t="s">
        <v>6667</v>
      </c>
      <c r="AQ331" s="1194" t="s">
        <v>6668</v>
      </c>
      <c r="AR331" s="1195" t="s">
        <v>6669</v>
      </c>
      <c r="AS331" s="1195"/>
      <c r="AT331" s="1195"/>
    </row>
    <row r="332" spans="1:46" ht="24" customHeight="1">
      <c r="A332" s="110"/>
      <c r="B332" s="57"/>
      <c r="C332" s="797" t="s">
        <v>6643</v>
      </c>
      <c r="D332" s="798"/>
      <c r="E332" s="798"/>
      <c r="F332" s="798"/>
      <c r="G332" s="798"/>
      <c r="H332" s="798"/>
      <c r="I332" s="798"/>
      <c r="J332" s="798"/>
      <c r="K332" s="798"/>
      <c r="L332" s="799"/>
      <c r="M332" s="739" t="s">
        <v>6670</v>
      </c>
      <c r="N332" s="740"/>
      <c r="O332" s="740"/>
      <c r="P332" s="740"/>
      <c r="Q332" s="740"/>
      <c r="R332" s="740"/>
      <c r="S332" s="740"/>
      <c r="T332" s="740"/>
      <c r="U332" s="740"/>
      <c r="V332" s="740"/>
      <c r="W332" s="740"/>
      <c r="X332" s="740"/>
      <c r="Y332" s="740"/>
      <c r="Z332" s="740"/>
      <c r="AA332" s="740"/>
      <c r="AB332" s="740"/>
      <c r="AC332" s="740"/>
      <c r="AD332" s="741"/>
      <c r="AG332"/>
      <c r="AH332"/>
      <c r="AI332"/>
      <c r="AJ332"/>
      <c r="AK332" s="1176"/>
      <c r="AL332" s="1177"/>
      <c r="AM332" s="1177"/>
      <c r="AN332" s="1193" t="s">
        <v>6671</v>
      </c>
      <c r="AO332" s="1193"/>
      <c r="AP332" s="1193"/>
      <c r="AQ332" s="1194"/>
      <c r="AR332" s="1195"/>
      <c r="AS332" s="1195"/>
      <c r="AT332" s="1195"/>
    </row>
    <row r="333" spans="1:46" ht="15" customHeight="1">
      <c r="A333" s="110"/>
      <c r="B333" s="57"/>
      <c r="C333" s="803"/>
      <c r="D333" s="804"/>
      <c r="E333" s="804"/>
      <c r="F333" s="804"/>
      <c r="G333" s="804"/>
      <c r="H333" s="804"/>
      <c r="I333" s="804"/>
      <c r="J333" s="804"/>
      <c r="K333" s="804"/>
      <c r="L333" s="805"/>
      <c r="M333" s="739" t="s">
        <v>2628</v>
      </c>
      <c r="N333" s="740"/>
      <c r="O333" s="740"/>
      <c r="P333" s="740"/>
      <c r="Q333" s="740"/>
      <c r="R333" s="741"/>
      <c r="S333" s="733" t="s">
        <v>2629</v>
      </c>
      <c r="T333" s="734"/>
      <c r="U333" s="734"/>
      <c r="V333" s="734"/>
      <c r="W333" s="734"/>
      <c r="X333" s="735"/>
      <c r="Y333" s="733" t="s">
        <v>2630</v>
      </c>
      <c r="Z333" s="734"/>
      <c r="AA333" s="734"/>
      <c r="AB333" s="734"/>
      <c r="AC333" s="734"/>
      <c r="AD333" s="735"/>
      <c r="AG333" s="354" t="s">
        <v>2586</v>
      </c>
      <c r="AH333" s="350" t="s">
        <v>2590</v>
      </c>
      <c r="AI333" s="351" t="s">
        <v>3163</v>
      </c>
      <c r="AJ333" s="352" t="s">
        <v>3164</v>
      </c>
      <c r="AK333" s="1176"/>
      <c r="AL333" s="1177"/>
      <c r="AM333" s="1177"/>
      <c r="AN333" s="582" t="s">
        <v>2795</v>
      </c>
      <c r="AO333" s="360" t="s">
        <v>3177</v>
      </c>
      <c r="AP333" s="583" t="s">
        <v>3178</v>
      </c>
      <c r="AQ333" s="1194"/>
      <c r="AR333" s="585" t="s">
        <v>2795</v>
      </c>
      <c r="AS333" s="586" t="s">
        <v>3177</v>
      </c>
      <c r="AT333" s="587" t="s">
        <v>3178</v>
      </c>
    </row>
    <row r="334" spans="1:46" ht="15" customHeight="1">
      <c r="A334" s="110"/>
      <c r="B334" s="57"/>
      <c r="C334" s="97" t="s">
        <v>2516</v>
      </c>
      <c r="D334" s="813" t="s">
        <v>6649</v>
      </c>
      <c r="E334" s="814"/>
      <c r="F334" s="814"/>
      <c r="G334" s="814"/>
      <c r="H334" s="814"/>
      <c r="I334" s="814"/>
      <c r="J334" s="814"/>
      <c r="K334" s="814"/>
      <c r="L334" s="815"/>
      <c r="M334" s="816"/>
      <c r="N334" s="738"/>
      <c r="O334" s="738"/>
      <c r="P334" s="738"/>
      <c r="Q334" s="738"/>
      <c r="R334" s="817"/>
      <c r="S334" s="816"/>
      <c r="T334" s="738"/>
      <c r="U334" s="738"/>
      <c r="V334" s="738"/>
      <c r="W334" s="738"/>
      <c r="X334" s="817"/>
      <c r="Y334" s="816"/>
      <c r="Z334" s="738"/>
      <c r="AA334" s="738"/>
      <c r="AB334" s="738"/>
      <c r="AC334" s="738"/>
      <c r="AD334" s="817"/>
      <c r="AG334" s="283">
        <f>IF(AND(OR($I$25="X",$T$25="X"),COUNTA(M334:AD334)=0),0,IF(AND($I$25="",$T$25="",$S294&lt;&gt;"",$S294&lt;&gt;1,COUNTA(M334:AD334)=0),0,IF(AND($I$25="",$T$25="",$S294&lt;&gt;"",$S294=1,SUM($C$313)=0,COUNTA(M334:AD334)=0),0,IF(AND($I$25="",$T$25="",$S294&lt;&gt;"",$S294=1,SUM($C$313)&gt;0,COUNTA(M334:AD334)=3),0,IF(AND(COUNTA(M334:AD334)=0),0,1)))))</f>
        <v>0</v>
      </c>
      <c r="AH334" s="353">
        <f>COUNTIF(S334:AD334,"NS")</f>
        <v>0</v>
      </c>
      <c r="AI334" s="353">
        <f>SUM(S334:AD334)</f>
        <v>0</v>
      </c>
      <c r="AJ334" s="353">
        <f>IF(COUNTIF(M334:AD334,"NA")=3,0,IF(OR(AND(M334=0,AH334&gt;0),AND(M334="ns",AI334&gt;0),AND(M334="ns",AH334=0,AI334=0)),1,IF(OR(AND(M334&gt;0,AH334=2),AND(M334="ns",AH334=2),AND(M334="ns",AI334=0,AH334&gt;0),M334=AI334),0,1)))</f>
        <v>0</v>
      </c>
      <c r="AK334" s="342">
        <f>IF(AND(OR($T$25="X",$I$25="X"),COUNTA(M334:AD339)&gt;0),1,0)</f>
        <v>0</v>
      </c>
      <c r="AL334">
        <f>IF(AND($S294&lt;&gt;"",$S294&lt;&gt;1,COUNTA(M334:AD334)&gt;0),1,0)</f>
        <v>0</v>
      </c>
      <c r="AM334">
        <f>IF(AND(SUM($C$316)=0,COUNTA(M334:AD339)&gt;0),1,0)</f>
        <v>0</v>
      </c>
      <c r="AN334">
        <f>IF(OR(M340="NS",$C$313="NS"),0,IF(AND(M340="NA",$C$313="NA"),0,IF(M340&gt;=$C$313,0,1)))</f>
        <v>0</v>
      </c>
      <c r="AO334">
        <f>IF(OR(S340="NS",$E$315="NS"),0,IF(AND(S340="NA",$E$315="NA"),0,IF(S340&gt;=$E$315,0,1)))</f>
        <v>0</v>
      </c>
      <c r="AP334">
        <f>IF(OR(Y340="NS",$E$317="NS"),0,IF(AND(Y340="NA",$E$317="NA"),0,IF(Y340&gt;=$E$317,0,1)))</f>
        <v>0</v>
      </c>
      <c r="AQ334" s="588" t="s">
        <v>6672</v>
      </c>
      <c r="AR334">
        <f>IF(OR(M334="NS",$C$313="NS"),0,IF(AND(M334="NA",$C$313="NA"),0,IF(M334&lt;=$C$313,0,1)))</f>
        <v>0</v>
      </c>
      <c r="AS334">
        <f>IF(OR(S334="NS",$E$315="NS"),0,IF(AND(S334="NA",$E$315="NA"),0,IF(S334&lt;=$E$315,0,1)))</f>
        <v>0</v>
      </c>
      <c r="AT334">
        <f>IF(OR(Y334="NS",$E$317="NS"),0,IF(AND(Y334="NA",$E$317="NA"),0,IF(Y334&lt;=$E$317,0,1)))</f>
        <v>0</v>
      </c>
    </row>
    <row r="335" spans="1:46" ht="15" customHeight="1">
      <c r="A335" s="110"/>
      <c r="B335" s="57"/>
      <c r="C335" s="98" t="s">
        <v>2517</v>
      </c>
      <c r="D335" s="813" t="s">
        <v>5702</v>
      </c>
      <c r="E335" s="814"/>
      <c r="F335" s="814"/>
      <c r="G335" s="814"/>
      <c r="H335" s="814"/>
      <c r="I335" s="814"/>
      <c r="J335" s="814"/>
      <c r="K335" s="814"/>
      <c r="L335" s="815"/>
      <c r="M335" s="816"/>
      <c r="N335" s="738"/>
      <c r="O335" s="738"/>
      <c r="P335" s="738"/>
      <c r="Q335" s="738"/>
      <c r="R335" s="817"/>
      <c r="S335" s="816"/>
      <c r="T335" s="738"/>
      <c r="U335" s="738"/>
      <c r="V335" s="738"/>
      <c r="W335" s="738"/>
      <c r="X335" s="817"/>
      <c r="Y335" s="816"/>
      <c r="Z335" s="738"/>
      <c r="AA335" s="738"/>
      <c r="AB335" s="738"/>
      <c r="AC335" s="738"/>
      <c r="AD335" s="817"/>
      <c r="AG335" s="283">
        <f t="shared" ref="AG335:AG339" si="12">IF(AND(OR($I$25="X",$T$25="X"),COUNTA(M335:AD335)=0),0,IF(AND($I$25="",$T$25="",$S295&lt;&gt;"",$S295&lt;&gt;1,COUNTA(M335:AD335)=0),0,IF(AND($I$25="",$T$25="",$S295&lt;&gt;"",$S295=1,SUM($C$313)=0,COUNTA(M335:AD335)=0),0,IF(AND($I$25="",$T$25="",$S295&lt;&gt;"",$S295=1,SUM($C$313)&gt;0,COUNTA(M335:AD335)=3),0,IF(AND(COUNTA(M335:AD335)=0),0,1)))))</f>
        <v>0</v>
      </c>
      <c r="AH335" s="353">
        <f t="shared" ref="AH335:AH339" si="13">COUNTIF(S335:AD335,"NS")</f>
        <v>0</v>
      </c>
      <c r="AI335" s="353">
        <f t="shared" ref="AI335:AI339" si="14">SUM(S335:AD335)</f>
        <v>0</v>
      </c>
      <c r="AJ335" s="353">
        <f t="shared" ref="AJ335:AJ339" si="15">IF(COUNTIF(M335:AD335,"NA")=3,0,IF(OR(AND(M335=0,AH335&gt;0),AND(M335="ns",AI335&gt;0),AND(M335="ns",AH335=0,AI335=0)),1,IF(OR(AND(M335&gt;0,AH335=2),AND(M335="ns",AH335=2),AND(M335="ns",AI335=0,AH335&gt;0),M335=AI335),0,1)))</f>
        <v>0</v>
      </c>
      <c r="AL335">
        <f t="shared" ref="AL335:AL339" si="16">IF(AND($S295&lt;&gt;"",$S295&lt;&gt;1,COUNTA(M335:AD335)&gt;0),1,0)</f>
        <v>0</v>
      </c>
      <c r="AN335"/>
      <c r="AO335"/>
      <c r="AP335" s="584">
        <f>SUM(AN334:AP334)</f>
        <v>0</v>
      </c>
      <c r="AQ335" s="589" t="s">
        <v>6673</v>
      </c>
      <c r="AR335">
        <f t="shared" ref="AR335:AR339" si="17">IF(OR(M335="NS",$C$313="NS"),0,IF(AND(M335="NA",$C$313="NA"),0,IF(M335&lt;=$C$313,0,1)))</f>
        <v>0</v>
      </c>
      <c r="AS335">
        <f t="shared" ref="AS335:AS339" si="18">IF(OR(S335="NS",$E$315="NS"),0,IF(AND(S335="NA",$E$315="NA"),0,IF(S335&lt;=$E$315,0,1)))</f>
        <v>0</v>
      </c>
      <c r="AT335">
        <f>IF(OR(Y335="NS",$E$317="NS"),0,IF(AND(Y335="NA",$E$317="NA"),0,IF(Y335&lt;=$E$317,0,1)))</f>
        <v>0</v>
      </c>
    </row>
    <row r="336" spans="1:46" ht="15" customHeight="1">
      <c r="A336" s="110"/>
      <c r="B336" s="57"/>
      <c r="C336" s="98" t="s">
        <v>2518</v>
      </c>
      <c r="D336" s="813" t="s">
        <v>6650</v>
      </c>
      <c r="E336" s="814"/>
      <c r="F336" s="814"/>
      <c r="G336" s="814"/>
      <c r="H336" s="814"/>
      <c r="I336" s="814"/>
      <c r="J336" s="814"/>
      <c r="K336" s="814"/>
      <c r="L336" s="815"/>
      <c r="M336" s="816"/>
      <c r="N336" s="738"/>
      <c r="O336" s="738"/>
      <c r="P336" s="738"/>
      <c r="Q336" s="738"/>
      <c r="R336" s="817"/>
      <c r="S336" s="816"/>
      <c r="T336" s="738"/>
      <c r="U336" s="738"/>
      <c r="V336" s="738"/>
      <c r="W336" s="738"/>
      <c r="X336" s="817"/>
      <c r="Y336" s="816"/>
      <c r="Z336" s="738"/>
      <c r="AA336" s="738"/>
      <c r="AB336" s="738"/>
      <c r="AC336" s="738"/>
      <c r="AD336" s="817"/>
      <c r="AG336" s="283">
        <f t="shared" si="12"/>
        <v>0</v>
      </c>
      <c r="AH336" s="353">
        <f t="shared" si="13"/>
        <v>0</v>
      </c>
      <c r="AI336" s="353">
        <f t="shared" si="14"/>
        <v>0</v>
      </c>
      <c r="AJ336" s="353">
        <f t="shared" si="15"/>
        <v>0</v>
      </c>
      <c r="AL336">
        <f t="shared" si="16"/>
        <v>0</v>
      </c>
      <c r="AQ336" s="588" t="s">
        <v>6674</v>
      </c>
      <c r="AR336">
        <f t="shared" si="17"/>
        <v>0</v>
      </c>
      <c r="AS336">
        <f t="shared" si="18"/>
        <v>0</v>
      </c>
      <c r="AT336">
        <f t="shared" ref="AT336:AT338" si="19">IF(OR(Y336="NS",$E$317="NS"),0,IF(AND(Y336="NA",$E$317="NA"),0,IF(Y336&lt;=$E$317,0,1)))</f>
        <v>0</v>
      </c>
    </row>
    <row r="337" spans="1:46" ht="15" customHeight="1">
      <c r="A337" s="110"/>
      <c r="B337" s="57"/>
      <c r="C337" s="98" t="s">
        <v>2519</v>
      </c>
      <c r="D337" s="813" t="s">
        <v>6651</v>
      </c>
      <c r="E337" s="814"/>
      <c r="F337" s="814"/>
      <c r="G337" s="814"/>
      <c r="H337" s="814"/>
      <c r="I337" s="814"/>
      <c r="J337" s="814"/>
      <c r="K337" s="814"/>
      <c r="L337" s="815"/>
      <c r="M337" s="816"/>
      <c r="N337" s="738"/>
      <c r="O337" s="738"/>
      <c r="P337" s="738"/>
      <c r="Q337" s="738"/>
      <c r="R337" s="817"/>
      <c r="S337" s="816"/>
      <c r="T337" s="738"/>
      <c r="U337" s="738"/>
      <c r="V337" s="738"/>
      <c r="W337" s="738"/>
      <c r="X337" s="817"/>
      <c r="Y337" s="816"/>
      <c r="Z337" s="738"/>
      <c r="AA337" s="738"/>
      <c r="AB337" s="738"/>
      <c r="AC337" s="738"/>
      <c r="AD337" s="817"/>
      <c r="AG337" s="283">
        <f t="shared" si="12"/>
        <v>0</v>
      </c>
      <c r="AH337" s="353">
        <f t="shared" si="13"/>
        <v>0</v>
      </c>
      <c r="AI337" s="353">
        <f t="shared" si="14"/>
        <v>0</v>
      </c>
      <c r="AJ337" s="353">
        <f t="shared" si="15"/>
        <v>0</v>
      </c>
      <c r="AL337">
        <f t="shared" si="16"/>
        <v>0</v>
      </c>
      <c r="AQ337" s="589" t="s">
        <v>6675</v>
      </c>
      <c r="AR337">
        <f t="shared" si="17"/>
        <v>0</v>
      </c>
      <c r="AS337">
        <f t="shared" si="18"/>
        <v>0</v>
      </c>
      <c r="AT337">
        <f t="shared" si="19"/>
        <v>0</v>
      </c>
    </row>
    <row r="338" spans="1:46" ht="15" customHeight="1">
      <c r="A338" s="110"/>
      <c r="B338" s="57"/>
      <c r="C338" s="98" t="s">
        <v>2520</v>
      </c>
      <c r="D338" s="813" t="s">
        <v>6652</v>
      </c>
      <c r="E338" s="814"/>
      <c r="F338" s="814"/>
      <c r="G338" s="814"/>
      <c r="H338" s="814"/>
      <c r="I338" s="814"/>
      <c r="J338" s="814"/>
      <c r="K338" s="814"/>
      <c r="L338" s="815"/>
      <c r="M338" s="816"/>
      <c r="N338" s="738"/>
      <c r="O338" s="738"/>
      <c r="P338" s="738"/>
      <c r="Q338" s="738"/>
      <c r="R338" s="817"/>
      <c r="S338" s="816"/>
      <c r="T338" s="738"/>
      <c r="U338" s="738"/>
      <c r="V338" s="738"/>
      <c r="W338" s="738"/>
      <c r="X338" s="817"/>
      <c r="Y338" s="816"/>
      <c r="Z338" s="738"/>
      <c r="AA338" s="738"/>
      <c r="AB338" s="738"/>
      <c r="AC338" s="738"/>
      <c r="AD338" s="817"/>
      <c r="AG338" s="283">
        <f t="shared" si="12"/>
        <v>0</v>
      </c>
      <c r="AH338" s="353">
        <f t="shared" si="13"/>
        <v>0</v>
      </c>
      <c r="AI338" s="353">
        <f t="shared" si="14"/>
        <v>0</v>
      </c>
      <c r="AJ338" s="353">
        <f t="shared" si="15"/>
        <v>0</v>
      </c>
      <c r="AL338">
        <f t="shared" si="16"/>
        <v>0</v>
      </c>
      <c r="AQ338" s="588" t="s">
        <v>6676</v>
      </c>
      <c r="AR338">
        <f t="shared" si="17"/>
        <v>0</v>
      </c>
      <c r="AS338">
        <f t="shared" si="18"/>
        <v>0</v>
      </c>
      <c r="AT338">
        <f t="shared" si="19"/>
        <v>0</v>
      </c>
    </row>
    <row r="339" spans="1:46" ht="15" customHeight="1">
      <c r="A339" s="110"/>
      <c r="B339" s="57"/>
      <c r="C339" s="98" t="s">
        <v>2521</v>
      </c>
      <c r="D339" s="813" t="s">
        <v>6677</v>
      </c>
      <c r="E339" s="814"/>
      <c r="F339" s="814"/>
      <c r="G339" s="814"/>
      <c r="H339" s="814"/>
      <c r="I339" s="814"/>
      <c r="J339" s="814"/>
      <c r="K339" s="814"/>
      <c r="L339" s="815"/>
      <c r="M339" s="816"/>
      <c r="N339" s="738"/>
      <c r="O339" s="738"/>
      <c r="P339" s="738"/>
      <c r="Q339" s="738"/>
      <c r="R339" s="817"/>
      <c r="S339" s="816"/>
      <c r="T339" s="738"/>
      <c r="U339" s="738"/>
      <c r="V339" s="738"/>
      <c r="W339" s="738"/>
      <c r="X339" s="817"/>
      <c r="Y339" s="816"/>
      <c r="Z339" s="738"/>
      <c r="AA339" s="738"/>
      <c r="AB339" s="738"/>
      <c r="AC339" s="738"/>
      <c r="AD339" s="817"/>
      <c r="AG339" s="283">
        <f t="shared" si="12"/>
        <v>0</v>
      </c>
      <c r="AH339" s="353">
        <f t="shared" si="13"/>
        <v>0</v>
      </c>
      <c r="AI339" s="353">
        <f t="shared" si="14"/>
        <v>0</v>
      </c>
      <c r="AJ339" s="353">
        <f t="shared" si="15"/>
        <v>0</v>
      </c>
      <c r="AL339">
        <f t="shared" si="16"/>
        <v>0</v>
      </c>
      <c r="AQ339" s="589" t="s">
        <v>6678</v>
      </c>
      <c r="AR339">
        <f t="shared" si="17"/>
        <v>0</v>
      </c>
      <c r="AS339">
        <f t="shared" si="18"/>
        <v>0</v>
      </c>
      <c r="AT339">
        <f>IF(OR(Y339="NS",$E$317="NS"),0,IF(AND(Y339="NA",$E$317="NA"),0,IF(Y339&lt;=$E$317,0,1)))</f>
        <v>0</v>
      </c>
    </row>
    <row r="340" spans="1:46" ht="15" customHeight="1">
      <c r="A340" s="110"/>
      <c r="B340" s="57"/>
      <c r="C340" s="38"/>
      <c r="D340" s="38"/>
      <c r="E340" s="38"/>
      <c r="F340" s="38"/>
      <c r="G340" s="38"/>
      <c r="H340" s="38"/>
      <c r="I340" s="38"/>
      <c r="J340" s="38"/>
      <c r="L340" s="117" t="s">
        <v>2649</v>
      </c>
      <c r="M340" s="733">
        <f>IF(AND(SUM(M334:R339)=0,COUNTIF(M334:R339,"NS")&gt;0),"NS",
IF(AND(SUM(M334:R339)=0,COUNTIF(M334:R339,0)&gt;0),0,
IF(AND(SUM(M334:R339)=0,COUNTIF(M334:R339,"NA")&gt;0),"NA",
SUM(M334:R339))))</f>
        <v>0</v>
      </c>
      <c r="N340" s="734"/>
      <c r="O340" s="734"/>
      <c r="P340" s="734"/>
      <c r="Q340" s="734"/>
      <c r="R340" s="735"/>
      <c r="S340" s="733">
        <f t="shared" ref="S340" si="20">IF(AND(SUM(S334:X339)=0,COUNTIF(S334:X339,"NS")&gt;0),"NS",
IF(AND(SUM(S334:X339)=0,COUNTIF(S334:X339,0)&gt;0),0,
IF(AND(SUM(S334:X339)=0,COUNTIF(S334:X339,"NA")&gt;0),"NA",
SUM(S334:X339))))</f>
        <v>0</v>
      </c>
      <c r="T340" s="734"/>
      <c r="U340" s="734"/>
      <c r="V340" s="734"/>
      <c r="W340" s="734"/>
      <c r="X340" s="735"/>
      <c r="Y340" s="733">
        <f t="shared" ref="Y340" si="21">IF(AND(SUM(Y334:AD339)=0,COUNTIF(Y334:AD339,"NS")&gt;0),"NS",
IF(AND(SUM(Y334:AD339)=0,COUNTIF(Y334:AD339,0)&gt;0),0,
IF(AND(SUM(Y334:AD339)=0,COUNTIF(Y334:AD339,"NA")&gt;0),"NA",
SUM(Y334:AD339))))</f>
        <v>0</v>
      </c>
      <c r="Z340" s="734"/>
      <c r="AA340" s="734"/>
      <c r="AB340" s="734"/>
      <c r="AC340" s="734"/>
      <c r="AD340" s="735"/>
      <c r="AG340" s="349">
        <f>SUM(AG334:AG339)</f>
        <v>0</v>
      </c>
      <c r="AH340" s="282">
        <f>SUM(AH334:AH339)</f>
        <v>0</v>
      </c>
      <c r="AI340"/>
      <c r="AJ340" s="581">
        <f>SUM(AJ334:AJ339)</f>
        <v>0</v>
      </c>
      <c r="AK340"/>
      <c r="AL340" s="577">
        <f>SUM(AL334:AL339)</f>
        <v>0</v>
      </c>
      <c r="AQ340"/>
      <c r="AR340"/>
      <c r="AS340"/>
      <c r="AT340" s="587">
        <f>SUM(AR334:AT339)</f>
        <v>0</v>
      </c>
    </row>
    <row r="341" spans="1:46" ht="15" customHeight="1">
      <c r="A341" s="110"/>
      <c r="B341" s="57"/>
      <c r="C341" s="90"/>
      <c r="D341" s="90"/>
      <c r="E341" s="90"/>
      <c r="F341" s="90"/>
      <c r="G341" s="90"/>
      <c r="H341" s="90"/>
      <c r="I341" s="90"/>
      <c r="J341" s="90"/>
      <c r="K341" s="90"/>
      <c r="L341" s="90"/>
      <c r="M341" s="90"/>
      <c r="N341" s="90"/>
      <c r="O341" s="90"/>
      <c r="P341" s="90"/>
      <c r="Q341" s="90"/>
      <c r="R341" s="90"/>
      <c r="S341" s="90"/>
      <c r="T341" s="90"/>
      <c r="U341" s="90"/>
      <c r="V341" s="90"/>
      <c r="W341" s="90"/>
      <c r="X341" s="90"/>
      <c r="Y341" s="90"/>
      <c r="Z341" s="90"/>
      <c r="AA341" s="90"/>
      <c r="AB341" s="90"/>
      <c r="AC341" s="90"/>
      <c r="AD341" s="90"/>
    </row>
    <row r="342" spans="1:46" ht="24" customHeight="1">
      <c r="A342" s="57"/>
      <c r="B342" s="57"/>
      <c r="C342" s="754" t="s">
        <v>2611</v>
      </c>
      <c r="D342" s="754"/>
      <c r="E342" s="754"/>
      <c r="F342" s="754"/>
      <c r="G342" s="754"/>
      <c r="H342" s="754"/>
      <c r="I342" s="754"/>
      <c r="J342" s="754"/>
      <c r="K342" s="754"/>
      <c r="L342" s="754"/>
      <c r="M342" s="754"/>
      <c r="N342" s="754"/>
      <c r="O342" s="754"/>
      <c r="P342" s="754"/>
      <c r="Q342" s="754"/>
      <c r="R342" s="754"/>
      <c r="S342" s="754"/>
      <c r="T342" s="754"/>
      <c r="U342" s="754"/>
      <c r="V342" s="754"/>
      <c r="W342" s="754"/>
      <c r="X342" s="754"/>
      <c r="Y342" s="754"/>
      <c r="Z342" s="754"/>
      <c r="AA342" s="754"/>
      <c r="AB342" s="754"/>
      <c r="AC342" s="754"/>
      <c r="AD342" s="754"/>
    </row>
    <row r="343" spans="1:46" ht="60" customHeight="1">
      <c r="A343" s="57"/>
      <c r="B343" s="57"/>
      <c r="C343" s="851"/>
      <c r="D343" s="851"/>
      <c r="E343" s="851"/>
      <c r="F343" s="851"/>
      <c r="G343" s="851"/>
      <c r="H343" s="851"/>
      <c r="I343" s="851"/>
      <c r="J343" s="851"/>
      <c r="K343" s="851"/>
      <c r="L343" s="851"/>
      <c r="M343" s="851"/>
      <c r="N343" s="851"/>
      <c r="O343" s="851"/>
      <c r="P343" s="851"/>
      <c r="Q343" s="851"/>
      <c r="R343" s="851"/>
      <c r="S343" s="851"/>
      <c r="T343" s="851"/>
      <c r="U343" s="851"/>
      <c r="V343" s="851"/>
      <c r="W343" s="851"/>
      <c r="X343" s="851"/>
      <c r="Y343" s="851"/>
      <c r="Z343" s="851"/>
      <c r="AA343" s="851"/>
      <c r="AB343" s="851"/>
      <c r="AC343" s="851"/>
      <c r="AD343" s="851"/>
    </row>
    <row r="344" spans="1:46" ht="15">
      <c r="B344" s="794" t="str">
        <f>IF(AG340&gt;0,"Favor de ingresar toda la información requerida en la pregunta y/o verifique que no tenga información en celdas sombreadas","")</f>
        <v/>
      </c>
      <c r="C344" s="794"/>
      <c r="D344" s="794"/>
      <c r="E344" s="794"/>
      <c r="F344" s="794"/>
      <c r="G344" s="794"/>
      <c r="H344" s="794"/>
      <c r="I344" s="794"/>
      <c r="J344" s="794"/>
      <c r="K344" s="794"/>
      <c r="L344" s="794"/>
      <c r="M344" s="794"/>
      <c r="N344" s="794"/>
      <c r="O344" s="794"/>
      <c r="P344" s="794"/>
      <c r="Q344" s="794"/>
      <c r="R344" s="794"/>
      <c r="S344" s="794"/>
      <c r="T344" s="794"/>
      <c r="U344" s="794"/>
      <c r="V344" s="794"/>
      <c r="W344" s="794"/>
      <c r="X344" s="794"/>
      <c r="Y344" s="794"/>
      <c r="Z344" s="794"/>
      <c r="AA344" s="794"/>
      <c r="AB344" s="794"/>
      <c r="AC344" s="794"/>
      <c r="AD344" s="794"/>
      <c r="AE344"/>
    </row>
    <row r="345" spans="1:46" ht="15">
      <c r="B345" s="795" t="str">
        <f>IF(AH340&gt;0,"Alerta: debido a que cuenta con registros NS, debe proporcionar una justificación en el area de comentarios al final de la pregunta","")</f>
        <v/>
      </c>
      <c r="C345" s="795"/>
      <c r="D345" s="795"/>
      <c r="E345" s="795"/>
      <c r="F345" s="795"/>
      <c r="G345" s="795"/>
      <c r="H345" s="795"/>
      <c r="I345" s="795"/>
      <c r="J345" s="795"/>
      <c r="K345" s="795"/>
      <c r="L345" s="795"/>
      <c r="M345" s="795"/>
      <c r="N345" s="795"/>
      <c r="O345" s="795"/>
      <c r="P345" s="795"/>
      <c r="Q345" s="795"/>
      <c r="R345" s="795"/>
      <c r="S345" s="795"/>
      <c r="T345" s="795"/>
      <c r="U345" s="795"/>
      <c r="V345" s="795"/>
      <c r="W345" s="795"/>
      <c r="X345" s="795"/>
      <c r="Y345" s="795"/>
      <c r="Z345" s="795"/>
      <c r="AA345" s="795"/>
      <c r="AB345" s="795"/>
      <c r="AC345" s="795"/>
      <c r="AD345" s="795"/>
      <c r="AE345"/>
    </row>
    <row r="346" spans="1:46" ht="15">
      <c r="B346" s="1003" t="str">
        <f>IF(AJ340&gt;0,"Favor de revisar la suma y consistencia de totales y/o subtotales por filas (numéricos y NS)","")</f>
        <v/>
      </c>
      <c r="C346" s="1003"/>
      <c r="D346" s="1003"/>
      <c r="E346" s="1003"/>
      <c r="F346" s="1003"/>
      <c r="G346" s="1003"/>
      <c r="H346" s="1003"/>
      <c r="I346" s="1003"/>
      <c r="J346" s="1003"/>
      <c r="K346" s="1003"/>
      <c r="L346" s="1003"/>
      <c r="M346" s="1003"/>
      <c r="N346" s="1003"/>
      <c r="O346" s="1003"/>
      <c r="P346" s="1003"/>
      <c r="Q346" s="1003"/>
      <c r="R346" s="1003"/>
      <c r="S346" s="1003"/>
      <c r="T346" s="1003"/>
      <c r="U346" s="1003"/>
      <c r="V346" s="1003"/>
      <c r="W346" s="1003"/>
      <c r="X346" s="1003"/>
      <c r="Y346" s="1003"/>
      <c r="Z346" s="1003"/>
      <c r="AA346" s="1003"/>
      <c r="AB346" s="1003"/>
      <c r="AC346" s="1003"/>
      <c r="AD346" s="1003"/>
      <c r="AE346"/>
    </row>
    <row r="347" spans="1:46" ht="15">
      <c r="B347" s="794" t="str">
        <f>IF(AP335&gt;0,"Favor de revisar la instrucción 2 y verifique que se cumplan con los criterios establecidos","")</f>
        <v/>
      </c>
      <c r="C347" s="794"/>
      <c r="D347" s="794"/>
      <c r="E347" s="794"/>
      <c r="F347" s="794"/>
      <c r="G347" s="794"/>
      <c r="H347" s="794"/>
      <c r="I347" s="794"/>
      <c r="J347" s="794"/>
      <c r="K347" s="794"/>
      <c r="L347" s="794"/>
      <c r="M347" s="794"/>
      <c r="N347" s="794"/>
      <c r="O347" s="794"/>
      <c r="P347" s="794"/>
      <c r="Q347" s="794"/>
      <c r="R347" s="794"/>
      <c r="S347" s="794"/>
      <c r="T347" s="794"/>
      <c r="U347" s="794"/>
      <c r="V347" s="794"/>
      <c r="W347" s="794"/>
      <c r="X347" s="794"/>
      <c r="Y347" s="794"/>
      <c r="Z347" s="794"/>
      <c r="AA347" s="794"/>
      <c r="AB347" s="794"/>
      <c r="AC347" s="794"/>
      <c r="AD347" s="794"/>
      <c r="AE347" s="794"/>
    </row>
    <row r="348" spans="1:46" ht="15">
      <c r="B348" s="795" t="str">
        <f>IF(AT340&gt;0,"Alerta: debe de proporcionar una justificación de acuerdo a lo establecido en la instrucción 3","")</f>
        <v/>
      </c>
      <c r="C348" s="795"/>
      <c r="D348" s="795"/>
      <c r="E348" s="795"/>
      <c r="F348" s="795"/>
      <c r="G348" s="795"/>
      <c r="H348" s="795"/>
      <c r="I348" s="795"/>
      <c r="J348" s="795"/>
      <c r="K348" s="795"/>
      <c r="L348" s="795"/>
      <c r="M348" s="795"/>
      <c r="N348" s="795"/>
      <c r="O348" s="795"/>
      <c r="P348" s="795"/>
      <c r="Q348" s="795"/>
      <c r="R348" s="795"/>
      <c r="S348" s="795"/>
      <c r="T348" s="795"/>
      <c r="U348" s="795"/>
      <c r="V348" s="795"/>
      <c r="W348" s="795"/>
      <c r="X348" s="795"/>
      <c r="Y348" s="795"/>
      <c r="Z348" s="795"/>
      <c r="AA348" s="795"/>
      <c r="AB348" s="795"/>
      <c r="AC348" s="795"/>
      <c r="AD348" s="795"/>
      <c r="AE348"/>
    </row>
    <row r="349" spans="1:46" ht="15">
      <c r="AE349"/>
    </row>
    <row r="350" spans="1:46" ht="36" customHeight="1">
      <c r="A350" s="49" t="s">
        <v>6679</v>
      </c>
      <c r="B350" s="829" t="s">
        <v>6680</v>
      </c>
      <c r="C350" s="829" t="s">
        <v>6662</v>
      </c>
      <c r="D350" s="829"/>
      <c r="E350" s="829"/>
      <c r="F350" s="829"/>
      <c r="G350" s="829"/>
      <c r="H350" s="829"/>
      <c r="I350" s="829"/>
      <c r="J350" s="829"/>
      <c r="K350" s="829"/>
      <c r="L350" s="829"/>
      <c r="M350" s="829"/>
      <c r="N350" s="829"/>
      <c r="O350" s="829"/>
      <c r="P350" s="829"/>
      <c r="Q350" s="829"/>
      <c r="R350" s="829"/>
      <c r="S350" s="829"/>
      <c r="T350" s="829"/>
      <c r="U350" s="829"/>
      <c r="V350" s="829"/>
      <c r="W350" s="829"/>
      <c r="X350" s="829"/>
      <c r="Y350" s="829"/>
      <c r="Z350" s="829"/>
      <c r="AA350" s="829"/>
      <c r="AB350" s="829"/>
      <c r="AC350" s="829"/>
      <c r="AD350" s="829"/>
      <c r="AH350" s="24"/>
    </row>
    <row r="351" spans="1:46" ht="24" customHeight="1">
      <c r="A351" s="110"/>
      <c r="B351" s="57"/>
      <c r="C351" s="754" t="s">
        <v>4734</v>
      </c>
      <c r="D351" s="754"/>
      <c r="E351" s="754"/>
      <c r="F351" s="754"/>
      <c r="G351" s="754"/>
      <c r="H351" s="754"/>
      <c r="I351" s="754"/>
      <c r="J351" s="754"/>
      <c r="K351" s="754"/>
      <c r="L351" s="754"/>
      <c r="M351" s="754"/>
      <c r="N351" s="754"/>
      <c r="O351" s="754"/>
      <c r="P351" s="754"/>
      <c r="Q351" s="754"/>
      <c r="R351" s="754"/>
      <c r="S351" s="754"/>
      <c r="T351" s="754"/>
      <c r="U351" s="754"/>
      <c r="V351" s="754"/>
      <c r="W351" s="754"/>
      <c r="X351" s="754"/>
      <c r="Y351" s="754"/>
      <c r="Z351" s="754"/>
      <c r="AA351" s="754"/>
      <c r="AB351" s="754"/>
      <c r="AC351" s="754"/>
      <c r="AD351" s="754"/>
    </row>
    <row r="352" spans="1:46" ht="36" customHeight="1">
      <c r="A352" s="110"/>
      <c r="B352" s="57"/>
      <c r="C352" s="754" t="s">
        <v>6681</v>
      </c>
      <c r="D352" s="754"/>
      <c r="E352" s="754"/>
      <c r="F352" s="754"/>
      <c r="G352" s="754"/>
      <c r="H352" s="754"/>
      <c r="I352" s="754"/>
      <c r="J352" s="754"/>
      <c r="K352" s="754"/>
      <c r="L352" s="754"/>
      <c r="M352" s="754"/>
      <c r="N352" s="754"/>
      <c r="O352" s="754"/>
      <c r="P352" s="754"/>
      <c r="Q352" s="754"/>
      <c r="R352" s="754"/>
      <c r="S352" s="754"/>
      <c r="T352" s="754"/>
      <c r="U352" s="754"/>
      <c r="V352" s="754"/>
      <c r="W352" s="754"/>
      <c r="X352" s="754"/>
      <c r="Y352" s="754"/>
      <c r="Z352" s="754"/>
      <c r="AA352" s="754"/>
      <c r="AB352" s="754"/>
      <c r="AC352" s="754"/>
      <c r="AD352" s="754"/>
    </row>
    <row r="353" spans="1:46" ht="48" customHeight="1">
      <c r="A353" s="110"/>
      <c r="B353" s="57"/>
      <c r="C353" s="754" t="s">
        <v>6682</v>
      </c>
      <c r="D353" s="754"/>
      <c r="E353" s="754"/>
      <c r="F353" s="754"/>
      <c r="G353" s="754"/>
      <c r="H353" s="754"/>
      <c r="I353" s="754"/>
      <c r="J353" s="754"/>
      <c r="K353" s="754"/>
      <c r="L353" s="754"/>
      <c r="M353" s="754"/>
      <c r="N353" s="754"/>
      <c r="O353" s="754"/>
      <c r="P353" s="754"/>
      <c r="Q353" s="754"/>
      <c r="R353" s="754"/>
      <c r="S353" s="754"/>
      <c r="T353" s="754"/>
      <c r="U353" s="754"/>
      <c r="V353" s="754"/>
      <c r="W353" s="754"/>
      <c r="X353" s="754"/>
      <c r="Y353" s="754"/>
      <c r="Z353" s="754"/>
      <c r="AA353" s="754"/>
      <c r="AB353" s="754"/>
      <c r="AC353" s="754"/>
      <c r="AD353" s="754"/>
    </row>
    <row r="354" spans="1:46" ht="24" customHeight="1">
      <c r="A354" s="57"/>
      <c r="B354" s="57"/>
      <c r="C354" s="754" t="s">
        <v>6683</v>
      </c>
      <c r="D354" s="754"/>
      <c r="E354" s="754"/>
      <c r="F354" s="754"/>
      <c r="G354" s="754"/>
      <c r="H354" s="754"/>
      <c r="I354" s="754"/>
      <c r="J354" s="754"/>
      <c r="K354" s="754"/>
      <c r="L354" s="754"/>
      <c r="M354" s="754"/>
      <c r="N354" s="754"/>
      <c r="O354" s="754"/>
      <c r="P354" s="754"/>
      <c r="Q354" s="754"/>
      <c r="R354" s="754"/>
      <c r="S354" s="754"/>
      <c r="T354" s="754"/>
      <c r="U354" s="754"/>
      <c r="V354" s="754"/>
      <c r="W354" s="754"/>
      <c r="X354" s="754"/>
      <c r="Y354" s="754"/>
      <c r="Z354" s="754"/>
      <c r="AA354" s="754"/>
      <c r="AB354" s="754"/>
      <c r="AC354" s="754"/>
      <c r="AD354" s="754"/>
    </row>
    <row r="355" spans="1:46" ht="15">
      <c r="A355" s="57"/>
      <c r="B355" s="57"/>
      <c r="C355" s="57"/>
      <c r="D355" s="57"/>
      <c r="E355" s="57"/>
      <c r="F355" s="57"/>
      <c r="G355" s="57"/>
      <c r="H355" s="57"/>
      <c r="I355" s="57"/>
      <c r="J355" s="57"/>
      <c r="K355" s="57"/>
      <c r="L355" s="57"/>
      <c r="M355" s="57"/>
      <c r="N355" s="57"/>
      <c r="O355" s="57"/>
      <c r="P355" s="57"/>
      <c r="Q355" s="57"/>
      <c r="R355" s="57"/>
      <c r="S355" s="57"/>
      <c r="T355" s="57"/>
      <c r="U355" s="57"/>
      <c r="V355" s="57"/>
      <c r="W355" s="57"/>
      <c r="X355" s="57"/>
      <c r="Y355" s="57"/>
      <c r="Z355" s="57"/>
      <c r="AA355" s="57"/>
      <c r="AB355" s="57"/>
      <c r="AC355" s="57"/>
      <c r="AD355" s="57"/>
      <c r="AG355"/>
      <c r="AH355"/>
      <c r="AI355"/>
      <c r="AJ355"/>
      <c r="AK355" s="1176" t="s">
        <v>6540</v>
      </c>
      <c r="AL355" s="1177" t="s">
        <v>6667</v>
      </c>
      <c r="AM355" s="1177" t="s">
        <v>6684</v>
      </c>
      <c r="AN355"/>
      <c r="AO355"/>
      <c r="AP355"/>
      <c r="AQ355" s="1196" t="s">
        <v>6685</v>
      </c>
      <c r="AR355" s="1174" t="s">
        <v>6686</v>
      </c>
      <c r="AS355" s="1174"/>
      <c r="AT355" s="1174"/>
    </row>
    <row r="356" spans="1:46" ht="24" customHeight="1">
      <c r="A356" s="57"/>
      <c r="B356" s="57"/>
      <c r="C356" s="732" t="s">
        <v>6687</v>
      </c>
      <c r="D356" s="732"/>
      <c r="E356" s="732"/>
      <c r="F356" s="732"/>
      <c r="G356" s="732"/>
      <c r="H356" s="732"/>
      <c r="I356" s="732"/>
      <c r="J356" s="732"/>
      <c r="K356" s="732"/>
      <c r="L356" s="732"/>
      <c r="M356" s="732" t="s">
        <v>6688</v>
      </c>
      <c r="N356" s="732"/>
      <c r="O356" s="732"/>
      <c r="P356" s="732"/>
      <c r="Q356" s="732"/>
      <c r="R356" s="732"/>
      <c r="S356" s="732"/>
      <c r="T356" s="732"/>
      <c r="U356" s="732"/>
      <c r="V356" s="732"/>
      <c r="W356" s="732"/>
      <c r="X356" s="732"/>
      <c r="Y356" s="732"/>
      <c r="Z356" s="732"/>
      <c r="AA356" s="732"/>
      <c r="AB356" s="732"/>
      <c r="AC356" s="732"/>
      <c r="AD356" s="732"/>
      <c r="AG356"/>
      <c r="AH356"/>
      <c r="AI356"/>
      <c r="AJ356"/>
      <c r="AK356" s="1176"/>
      <c r="AL356" s="1177"/>
      <c r="AM356" s="1177"/>
      <c r="AN356" s="1172" t="s">
        <v>6671</v>
      </c>
      <c r="AO356" s="1172"/>
      <c r="AP356" s="1172"/>
      <c r="AQ356" s="1196"/>
      <c r="AR356" s="1174"/>
      <c r="AS356" s="1174"/>
      <c r="AT356" s="1174"/>
    </row>
    <row r="357" spans="1:46" ht="15">
      <c r="A357" s="57"/>
      <c r="B357" s="57"/>
      <c r="C357" s="732"/>
      <c r="D357" s="732"/>
      <c r="E357" s="732"/>
      <c r="F357" s="732"/>
      <c r="G357" s="732"/>
      <c r="H357" s="732"/>
      <c r="I357" s="732"/>
      <c r="J357" s="732"/>
      <c r="K357" s="732"/>
      <c r="L357" s="732"/>
      <c r="M357" s="987" t="s">
        <v>2628</v>
      </c>
      <c r="N357" s="988"/>
      <c r="O357" s="988"/>
      <c r="P357" s="988"/>
      <c r="Q357" s="988"/>
      <c r="R357" s="988"/>
      <c r="S357" s="989" t="s">
        <v>2629</v>
      </c>
      <c r="T357" s="990"/>
      <c r="U357" s="990"/>
      <c r="V357" s="990"/>
      <c r="W357" s="990"/>
      <c r="X357" s="990"/>
      <c r="Y357" s="989" t="s">
        <v>2630</v>
      </c>
      <c r="Z357" s="990"/>
      <c r="AA357" s="990"/>
      <c r="AB357" s="990"/>
      <c r="AC357" s="990"/>
      <c r="AD357" s="990"/>
      <c r="AG357" s="354" t="s">
        <v>2586</v>
      </c>
      <c r="AH357" s="350" t="s">
        <v>2590</v>
      </c>
      <c r="AI357" s="351" t="s">
        <v>3163</v>
      </c>
      <c r="AJ357" s="352" t="s">
        <v>3164</v>
      </c>
      <c r="AK357" s="1176"/>
      <c r="AL357" s="1177"/>
      <c r="AM357" s="1177"/>
      <c r="AN357" s="367" t="s">
        <v>2795</v>
      </c>
      <c r="AO357" s="590" t="s">
        <v>3177</v>
      </c>
      <c r="AP357" s="467" t="s">
        <v>3178</v>
      </c>
      <c r="AQ357" s="1196"/>
      <c r="AR357" s="591" t="s">
        <v>2795</v>
      </c>
      <c r="AS357" s="360" t="s">
        <v>3177</v>
      </c>
      <c r="AT357" s="592" t="s">
        <v>3178</v>
      </c>
    </row>
    <row r="358" spans="1:46" ht="15" customHeight="1">
      <c r="A358" s="57"/>
      <c r="B358" s="57"/>
      <c r="C358" s="97" t="s">
        <v>2516</v>
      </c>
      <c r="D358" s="1084" t="s">
        <v>6689</v>
      </c>
      <c r="E358" s="1084"/>
      <c r="F358" s="1084"/>
      <c r="G358" s="1084"/>
      <c r="H358" s="1084"/>
      <c r="I358" s="1084"/>
      <c r="J358" s="1084"/>
      <c r="K358" s="1084"/>
      <c r="L358" s="1084"/>
      <c r="M358" s="749"/>
      <c r="N358" s="749"/>
      <c r="O358" s="749"/>
      <c r="P358" s="749"/>
      <c r="Q358" s="749"/>
      <c r="R358" s="749"/>
      <c r="S358" s="749"/>
      <c r="T358" s="749"/>
      <c r="U358" s="749"/>
      <c r="V358" s="749"/>
      <c r="W358" s="749"/>
      <c r="X358" s="749"/>
      <c r="Y358" s="749"/>
      <c r="Z358" s="749"/>
      <c r="AA358" s="749"/>
      <c r="AB358" s="749"/>
      <c r="AC358" s="749"/>
      <c r="AD358" s="749"/>
      <c r="AG358" s="283">
        <f>IF(AND(OR($I$25="X",$T$25="X"),COUNTA(M358:AD364)=0),0,IF(AND($I$25="",$T$25="",SUM($C$313)=0,COUNTA(M358:AD364)=0),0,IF(AND($I$25="",$T$25="",SUM($C$313)&gt;0,SUM($M$334)=0,COUNTA(M358:AD364)=0),0,IF(AND($I$25="",$T$25="",SUM($C$313)&gt;0,SUM($M$334)&gt;0,COUNTA(M358:AD364)=21),0,1))))</f>
        <v>0</v>
      </c>
      <c r="AH358" s="353">
        <f>COUNTIF(S358:AD358,"NS")</f>
        <v>0</v>
      </c>
      <c r="AI358" s="353">
        <f>SUM(S358:AD358)</f>
        <v>0</v>
      </c>
      <c r="AJ358" s="353">
        <f>IF(COUNTIF(M358:AD358,"NA")=3,0,IF(OR(AND(M358=0,AH358&gt;0),AND(M358="ns",AI358&gt;0),AND(M358="ns",AH358=0,AI358=0)),1,IF(OR(AND(M358&gt;0,AH358=2),AND(M358="ns",AH358=2),AND(M358="ns",AI358=0,AH358&gt;0),M358=AI358),0,1)))</f>
        <v>0</v>
      </c>
      <c r="AK358" s="342">
        <f>IF(AND(OR($T$25="X",$I$25="X"),COUNTA(M358:AD364)&gt;0),1,0)</f>
        <v>0</v>
      </c>
      <c r="AL358">
        <f>IF(AND(SUM($C$313)=0,COUNTA(M358:AD364)&gt;0),1,0)</f>
        <v>0</v>
      </c>
      <c r="AM358">
        <f>IF(AND(SUM($M$334)=0,COUNTA(M358:AD364)&gt;0),1,0)</f>
        <v>0</v>
      </c>
      <c r="AN358">
        <f>IF(OR(M365="NS",$M$334="NS"),0,IF(AND(M365="NA",$M$334="NA"),0,IF(M365&gt;=$M$334,0,1)))</f>
        <v>0</v>
      </c>
      <c r="AO358">
        <f>IF(OR(S365="NS",$S$334="NS"),0,IF(AND(S365="NA",$S$334="NA"),0,IF(S365&gt;=$S$334,0,1)))</f>
        <v>0</v>
      </c>
      <c r="AP358">
        <f>IF(OR(Y365="NS",$Y$334="NS"),0,IF(AND(Y365="NA",$Y$334="NA"),0,IF(Y365&gt;=$Y$334,0,1)))</f>
        <v>0</v>
      </c>
      <c r="AQ358" s="593" t="s">
        <v>6690</v>
      </c>
      <c r="AR358">
        <f>IF(OR(M358="NS",$M$334="NS"),0,IF(AND(M358="NA",$M$334="NA"),0,IF(M358&lt;=$M$334,0,1)))</f>
        <v>0</v>
      </c>
      <c r="AS358">
        <f>IF(OR(S358="NS",$S$334="NS"),0,IF(AND(S358="NA",$S$334="NA"),0,IF(S358&lt;=$S$334,0,1)))</f>
        <v>0</v>
      </c>
      <c r="AT358">
        <f>IF(OR(Y358="NS",$Y$334="NS"),0,IF(AND(Y358="NA",$Y$334="NA"),0,IF(Y358&lt;=$Y$334,0,1)))</f>
        <v>0</v>
      </c>
    </row>
    <row r="359" spans="1:46" ht="24" customHeight="1">
      <c r="A359" s="57"/>
      <c r="B359" s="57"/>
      <c r="C359" s="98" t="s">
        <v>2517</v>
      </c>
      <c r="D359" s="813" t="s">
        <v>5861</v>
      </c>
      <c r="E359" s="814"/>
      <c r="F359" s="814"/>
      <c r="G359" s="814"/>
      <c r="H359" s="814"/>
      <c r="I359" s="814"/>
      <c r="J359" s="814"/>
      <c r="K359" s="814"/>
      <c r="L359" s="815"/>
      <c r="M359" s="749"/>
      <c r="N359" s="749"/>
      <c r="O359" s="749"/>
      <c r="P359" s="749"/>
      <c r="Q359" s="749"/>
      <c r="R359" s="749"/>
      <c r="S359" s="749"/>
      <c r="T359" s="749"/>
      <c r="U359" s="749"/>
      <c r="V359" s="749"/>
      <c r="W359" s="749"/>
      <c r="X359" s="749"/>
      <c r="Y359" s="749"/>
      <c r="Z359" s="749"/>
      <c r="AA359" s="749"/>
      <c r="AB359" s="749"/>
      <c r="AC359" s="749"/>
      <c r="AD359" s="749"/>
      <c r="AG359" s="283"/>
      <c r="AH359" s="353">
        <f t="shared" ref="AH359:AH364" si="22">COUNTIF(S359:AD359,"NS")</f>
        <v>0</v>
      </c>
      <c r="AI359" s="353">
        <f t="shared" ref="AI359:AI364" si="23">SUM(S359:AD359)</f>
        <v>0</v>
      </c>
      <c r="AJ359" s="353">
        <f t="shared" ref="AJ359:AJ364" si="24">IF(COUNTIF(M359:AD359,"NA")=3,0,IF(OR(AND(M359=0,AH359&gt;0),AND(M359="ns",AI359&gt;0),AND(M359="ns",AH359=0,AI359=0)),1,IF(OR(AND(M359&gt;0,AH359=2),AND(M359="ns",AH359=2),AND(M359="ns",AI359=0,AH359&gt;0),M359=AI359),0,1)))</f>
        <v>0</v>
      </c>
      <c r="AK359"/>
      <c r="AL359"/>
      <c r="AM359"/>
      <c r="AN359"/>
      <c r="AO359"/>
      <c r="AP359" s="594">
        <f>SUM(AN358:AP358)</f>
        <v>0</v>
      </c>
      <c r="AQ359" s="595" t="s">
        <v>6691</v>
      </c>
      <c r="AR359">
        <f t="shared" ref="AR359:AR364" si="25">IF(OR(M359="NS",$M$334="NS"),0,IF(AND(M359="NA",$M$334="NA"),0,IF(M359&lt;=$M$334,0,1)))</f>
        <v>0</v>
      </c>
      <c r="AS359">
        <f t="shared" ref="AS359:AS364" si="26">IF(OR(S359="NS",$S$334="NS"),0,IF(AND(S359="NA",$S$334="NA"),0,IF(S359&lt;=$S$334,0,1)))</f>
        <v>0</v>
      </c>
      <c r="AT359">
        <f t="shared" ref="AT359:AT363" si="27">IF(OR(Y359="NS",$Y$334="NS"),0,IF(AND(Y359="NA",$Y$334="NA"),0,IF(Y359&lt;=$Y$334,0,1)))</f>
        <v>0</v>
      </c>
    </row>
    <row r="360" spans="1:46" ht="15" customHeight="1">
      <c r="A360" s="57"/>
      <c r="B360" s="57"/>
      <c r="C360" s="98" t="s">
        <v>2518</v>
      </c>
      <c r="D360" s="796" t="s">
        <v>6692</v>
      </c>
      <c r="E360" s="796"/>
      <c r="F360" s="796"/>
      <c r="G360" s="796"/>
      <c r="H360" s="796"/>
      <c r="I360" s="796"/>
      <c r="J360" s="796"/>
      <c r="K360" s="796"/>
      <c r="L360" s="796"/>
      <c r="M360" s="749"/>
      <c r="N360" s="749"/>
      <c r="O360" s="749"/>
      <c r="P360" s="749"/>
      <c r="Q360" s="749"/>
      <c r="R360" s="749"/>
      <c r="S360" s="749"/>
      <c r="T360" s="749"/>
      <c r="U360" s="749"/>
      <c r="V360" s="749"/>
      <c r="W360" s="749"/>
      <c r="X360" s="749"/>
      <c r="Y360" s="749"/>
      <c r="Z360" s="749"/>
      <c r="AA360" s="749"/>
      <c r="AB360" s="749"/>
      <c r="AC360" s="749"/>
      <c r="AD360" s="749"/>
      <c r="AG360" s="283"/>
      <c r="AH360" s="353">
        <f t="shared" si="22"/>
        <v>0</v>
      </c>
      <c r="AI360" s="353">
        <f t="shared" si="23"/>
        <v>0</v>
      </c>
      <c r="AJ360" s="353">
        <f t="shared" si="24"/>
        <v>0</v>
      </c>
      <c r="AK360" s="368" t="s">
        <v>6693</v>
      </c>
      <c r="AL360"/>
      <c r="AM360"/>
      <c r="AN360"/>
      <c r="AO360"/>
      <c r="AP360"/>
      <c r="AQ360" s="596" t="s">
        <v>6694</v>
      </c>
      <c r="AR360">
        <f t="shared" si="25"/>
        <v>0</v>
      </c>
      <c r="AS360">
        <f t="shared" si="26"/>
        <v>0</v>
      </c>
      <c r="AT360">
        <f t="shared" si="27"/>
        <v>0</v>
      </c>
    </row>
    <row r="361" spans="1:46" ht="15" customHeight="1">
      <c r="A361" s="57"/>
      <c r="B361" s="57"/>
      <c r="C361" s="98" t="s">
        <v>2519</v>
      </c>
      <c r="D361" s="796" t="s">
        <v>6695</v>
      </c>
      <c r="E361" s="796"/>
      <c r="F361" s="796"/>
      <c r="G361" s="796"/>
      <c r="H361" s="796"/>
      <c r="I361" s="796"/>
      <c r="J361" s="796"/>
      <c r="K361" s="796"/>
      <c r="L361" s="796"/>
      <c r="M361" s="749"/>
      <c r="N361" s="749"/>
      <c r="O361" s="749"/>
      <c r="P361" s="749"/>
      <c r="Q361" s="749"/>
      <c r="R361" s="749"/>
      <c r="S361" s="749"/>
      <c r="T361" s="749"/>
      <c r="U361" s="749"/>
      <c r="V361" s="749"/>
      <c r="W361" s="749"/>
      <c r="X361" s="749"/>
      <c r="Y361" s="749"/>
      <c r="Z361" s="749"/>
      <c r="AA361" s="749"/>
      <c r="AB361" s="749"/>
      <c r="AC361" s="749"/>
      <c r="AD361" s="749"/>
      <c r="AG361" s="283"/>
      <c r="AH361" s="353">
        <f t="shared" si="22"/>
        <v>0</v>
      </c>
      <c r="AI361" s="353">
        <f t="shared" si="23"/>
        <v>0</v>
      </c>
      <c r="AJ361" s="353">
        <f t="shared" si="24"/>
        <v>0</v>
      </c>
      <c r="AK361">
        <f>IF(SUM(M364:AD364)&gt;0,1,0)</f>
        <v>0</v>
      </c>
      <c r="AL361"/>
      <c r="AM361"/>
      <c r="AN361"/>
      <c r="AO361"/>
      <c r="AP361"/>
      <c r="AQ361" s="595" t="s">
        <v>6696</v>
      </c>
      <c r="AR361">
        <f t="shared" si="25"/>
        <v>0</v>
      </c>
      <c r="AS361">
        <f t="shared" si="26"/>
        <v>0</v>
      </c>
      <c r="AT361">
        <f t="shared" si="27"/>
        <v>0</v>
      </c>
    </row>
    <row r="362" spans="1:46" ht="24" customHeight="1">
      <c r="A362" s="57"/>
      <c r="B362" s="57"/>
      <c r="C362" s="98" t="s">
        <v>2520</v>
      </c>
      <c r="D362" s="796" t="s">
        <v>6697</v>
      </c>
      <c r="E362" s="796"/>
      <c r="F362" s="796"/>
      <c r="G362" s="796"/>
      <c r="H362" s="796"/>
      <c r="I362" s="796"/>
      <c r="J362" s="796"/>
      <c r="K362" s="796"/>
      <c r="L362" s="796"/>
      <c r="M362" s="749"/>
      <c r="N362" s="749"/>
      <c r="O362" s="749"/>
      <c r="P362" s="749"/>
      <c r="Q362" s="749"/>
      <c r="R362" s="749"/>
      <c r="S362" s="749"/>
      <c r="T362" s="749"/>
      <c r="U362" s="749"/>
      <c r="V362" s="749"/>
      <c r="W362" s="749"/>
      <c r="X362" s="749"/>
      <c r="Y362" s="749"/>
      <c r="Z362" s="749"/>
      <c r="AA362" s="749"/>
      <c r="AB362" s="749"/>
      <c r="AC362" s="749"/>
      <c r="AD362" s="749"/>
      <c r="AG362" s="283"/>
      <c r="AH362" s="353">
        <f t="shared" si="22"/>
        <v>0</v>
      </c>
      <c r="AI362" s="353">
        <f t="shared" si="23"/>
        <v>0</v>
      </c>
      <c r="AJ362" s="353">
        <f t="shared" si="24"/>
        <v>0</v>
      </c>
      <c r="AK362"/>
      <c r="AL362"/>
      <c r="AM362"/>
      <c r="AN362"/>
      <c r="AO362"/>
      <c r="AP362"/>
      <c r="AQ362" s="596" t="s">
        <v>6698</v>
      </c>
      <c r="AR362">
        <f t="shared" si="25"/>
        <v>0</v>
      </c>
      <c r="AS362">
        <f t="shared" si="26"/>
        <v>0</v>
      </c>
      <c r="AT362">
        <f t="shared" si="27"/>
        <v>0</v>
      </c>
    </row>
    <row r="363" spans="1:46" ht="24" customHeight="1">
      <c r="A363" s="57"/>
      <c r="B363" s="57"/>
      <c r="C363" s="98" t="s">
        <v>2521</v>
      </c>
      <c r="D363" s="796" t="s">
        <v>6699</v>
      </c>
      <c r="E363" s="796"/>
      <c r="F363" s="796"/>
      <c r="G363" s="796"/>
      <c r="H363" s="796"/>
      <c r="I363" s="796"/>
      <c r="J363" s="796"/>
      <c r="K363" s="796"/>
      <c r="L363" s="796"/>
      <c r="M363" s="749"/>
      <c r="N363" s="749"/>
      <c r="O363" s="749"/>
      <c r="P363" s="749"/>
      <c r="Q363" s="749"/>
      <c r="R363" s="749"/>
      <c r="S363" s="749"/>
      <c r="T363" s="749"/>
      <c r="U363" s="749"/>
      <c r="V363" s="749"/>
      <c r="W363" s="749"/>
      <c r="X363" s="749"/>
      <c r="Y363" s="749"/>
      <c r="Z363" s="749"/>
      <c r="AA363" s="749"/>
      <c r="AB363" s="749"/>
      <c r="AC363" s="749"/>
      <c r="AD363" s="749"/>
      <c r="AG363" s="283"/>
      <c r="AH363" s="353">
        <f t="shared" si="22"/>
        <v>0</v>
      </c>
      <c r="AI363" s="353">
        <f t="shared" si="23"/>
        <v>0</v>
      </c>
      <c r="AJ363" s="353">
        <f t="shared" si="24"/>
        <v>0</v>
      </c>
      <c r="AK363"/>
      <c r="AL363"/>
      <c r="AM363"/>
      <c r="AN363"/>
      <c r="AO363"/>
      <c r="AP363"/>
      <c r="AQ363" s="595" t="s">
        <v>6700</v>
      </c>
      <c r="AR363">
        <f t="shared" si="25"/>
        <v>0</v>
      </c>
      <c r="AS363">
        <f t="shared" si="26"/>
        <v>0</v>
      </c>
      <c r="AT363">
        <f t="shared" si="27"/>
        <v>0</v>
      </c>
    </row>
    <row r="364" spans="1:46" ht="15" customHeight="1">
      <c r="A364" s="57"/>
      <c r="B364" s="57"/>
      <c r="C364" s="98" t="s">
        <v>2522</v>
      </c>
      <c r="D364" s="813" t="s">
        <v>2609</v>
      </c>
      <c r="E364" s="814"/>
      <c r="F364" s="814"/>
      <c r="G364" s="814"/>
      <c r="H364" s="814"/>
      <c r="I364" s="814"/>
      <c r="J364" s="814"/>
      <c r="K364" s="814"/>
      <c r="L364" s="815"/>
      <c r="M364" s="749"/>
      <c r="N364" s="749"/>
      <c r="O364" s="749"/>
      <c r="P364" s="749"/>
      <c r="Q364" s="749"/>
      <c r="R364" s="749"/>
      <c r="S364" s="749"/>
      <c r="T364" s="749"/>
      <c r="U364" s="749"/>
      <c r="V364" s="749"/>
      <c r="W364" s="749"/>
      <c r="X364" s="749"/>
      <c r="Y364" s="749"/>
      <c r="Z364" s="749"/>
      <c r="AA364" s="749"/>
      <c r="AB364" s="749"/>
      <c r="AC364" s="749"/>
      <c r="AD364" s="749"/>
      <c r="AG364" s="283"/>
      <c r="AH364" s="353">
        <f t="shared" si="22"/>
        <v>0</v>
      </c>
      <c r="AI364" s="353">
        <f t="shared" si="23"/>
        <v>0</v>
      </c>
      <c r="AJ364" s="353">
        <f t="shared" si="24"/>
        <v>0</v>
      </c>
      <c r="AK364"/>
      <c r="AL364"/>
      <c r="AM364"/>
      <c r="AN364"/>
      <c r="AO364"/>
      <c r="AP364"/>
      <c r="AQ364" s="596" t="s">
        <v>3758</v>
      </c>
      <c r="AR364">
        <f t="shared" si="25"/>
        <v>0</v>
      </c>
      <c r="AS364">
        <f t="shared" si="26"/>
        <v>0</v>
      </c>
      <c r="AT364">
        <f>IF(OR(Y364="NS",$Y$334="NS"),0,IF(AND(Y364="NA",$Y$334="NA"),0,IF(Y364&lt;=$Y$334,0,1)))</f>
        <v>0</v>
      </c>
    </row>
    <row r="365" spans="1:46" ht="15">
      <c r="A365" s="57"/>
      <c r="B365" s="57"/>
      <c r="C365" s="38"/>
      <c r="D365" s="38"/>
      <c r="E365" s="38"/>
      <c r="F365" s="38"/>
      <c r="G365" s="38"/>
      <c r="H365" s="38"/>
      <c r="I365" s="38"/>
      <c r="J365" s="38"/>
      <c r="K365" s="38"/>
      <c r="L365" s="117" t="s">
        <v>2649</v>
      </c>
      <c r="M365" s="736">
        <f>IF(AND(SUM(M358:R364)=0,COUNTIF(M358:R364,"NS")&gt;0),"NS",
IF(AND(SUM(M358:R364)=0,COUNTIF(M358:R364,0)&gt;0),0,
IF(AND(SUM(M358:R364)=0,COUNTIF(M358:R364,"NA")&gt;0),"NA",
SUM(M358:R364))))</f>
        <v>0</v>
      </c>
      <c r="N365" s="736"/>
      <c r="O365" s="736"/>
      <c r="P365" s="736"/>
      <c r="Q365" s="736"/>
      <c r="R365" s="736"/>
      <c r="S365" s="736">
        <f>IF(AND(SUM(S358:X364)=0,COUNTIF(S358:X364,"NS")&gt;0),"NS",
IF(AND(SUM(S358:X364)=0,COUNTIF(S358:X364,0)&gt;0),0,
IF(AND(SUM(S358:X364)=0,COUNTIF(S358:X364,"NA")&gt;0),"NA",
SUM(S358:X364))))</f>
        <v>0</v>
      </c>
      <c r="T365" s="736"/>
      <c r="U365" s="736"/>
      <c r="V365" s="736"/>
      <c r="W365" s="736"/>
      <c r="X365" s="736"/>
      <c r="Y365" s="736">
        <f>IF(AND(SUM(Y358:AD364)=0,COUNTIF(Y358:AD364,"NS")&gt;0),"NS",
IF(AND(SUM(Y358:AD364)=0,COUNTIF(Y358:AD364,0)&gt;0),0,
IF(AND(SUM(Y358:AD364)=0,COUNTIF(Y358:AD364,"NA")&gt;0),"NA",
SUM(Y358:AD364))))</f>
        <v>0</v>
      </c>
      <c r="Z365" s="736"/>
      <c r="AA365" s="736"/>
      <c r="AB365" s="736"/>
      <c r="AC365" s="736"/>
      <c r="AD365" s="736"/>
      <c r="AG365" s="283"/>
      <c r="AH365" s="282">
        <f>SUM(AH358:AH364)</f>
        <v>0</v>
      </c>
      <c r="AI365"/>
      <c r="AJ365" s="581">
        <f>SUM(AJ358:AJ364)</f>
        <v>0</v>
      </c>
      <c r="AK365"/>
      <c r="AL365"/>
      <c r="AM365"/>
      <c r="AN365"/>
      <c r="AO365"/>
      <c r="AP365"/>
      <c r="AQ365" s="597"/>
      <c r="AR365"/>
      <c r="AS365"/>
      <c r="AT365" s="598">
        <f>SUM(AR358:AT364)</f>
        <v>0</v>
      </c>
    </row>
    <row r="366" spans="1:46" ht="15">
      <c r="A366" s="57"/>
      <c r="B366" s="57"/>
      <c r="C366" s="90"/>
      <c r="D366" s="90"/>
      <c r="E366" s="90"/>
      <c r="F366" s="90"/>
      <c r="G366" s="90"/>
      <c r="H366" s="90"/>
      <c r="I366" s="90"/>
      <c r="J366" s="90"/>
      <c r="K366" s="90"/>
      <c r="L366" s="90"/>
      <c r="M366" s="90"/>
      <c r="N366" s="90"/>
      <c r="O366" s="90"/>
      <c r="P366" s="90"/>
      <c r="Q366" s="90"/>
      <c r="R366" s="90"/>
      <c r="S366" s="90"/>
      <c r="T366" s="90"/>
      <c r="U366" s="90"/>
      <c r="V366" s="90"/>
      <c r="W366" s="90"/>
      <c r="X366" s="90"/>
      <c r="Y366" s="90"/>
      <c r="Z366" s="90"/>
      <c r="AA366" s="90"/>
      <c r="AB366" s="90"/>
      <c r="AC366" s="90"/>
      <c r="AD366" s="90"/>
    </row>
    <row r="367" spans="1:46" ht="45" customHeight="1">
      <c r="A367" s="57"/>
      <c r="B367" s="57"/>
      <c r="C367" s="822" t="s">
        <v>2798</v>
      </c>
      <c r="D367" s="822"/>
      <c r="E367" s="823"/>
      <c r="F367" s="749"/>
      <c r="G367" s="749"/>
      <c r="H367" s="749"/>
      <c r="I367" s="749"/>
      <c r="J367" s="749"/>
      <c r="K367" s="749"/>
      <c r="L367" s="749"/>
      <c r="M367" s="749"/>
      <c r="N367" s="749"/>
      <c r="O367" s="749"/>
      <c r="P367" s="749"/>
      <c r="Q367" s="749"/>
      <c r="R367" s="749"/>
      <c r="S367" s="749"/>
      <c r="T367" s="749"/>
      <c r="U367" s="749"/>
      <c r="V367" s="749"/>
      <c r="W367" s="749"/>
      <c r="X367" s="749"/>
      <c r="Y367" s="749"/>
      <c r="Z367" s="749"/>
      <c r="AA367" s="749"/>
      <c r="AB367" s="749"/>
      <c r="AC367" s="749"/>
      <c r="AD367" s="749"/>
    </row>
    <row r="368" spans="1:46" ht="15">
      <c r="A368" s="57"/>
      <c r="B368" s="1175" t="str">
        <f>IF(AND(AK361&gt;0,F367=""),"Debido a que cuenta con registros mayores a cero en el numeral 7 debe anotar el nombre de dicho(s) tipo(s) de servicio(s)","")</f>
        <v/>
      </c>
      <c r="C368" s="1175"/>
      <c r="D368" s="1175"/>
      <c r="E368" s="1175"/>
      <c r="F368" s="1175"/>
      <c r="G368" s="1175"/>
      <c r="H368" s="1175"/>
      <c r="I368" s="1175"/>
      <c r="J368" s="1175"/>
      <c r="K368" s="1175"/>
      <c r="L368" s="1175"/>
      <c r="M368" s="1175"/>
      <c r="N368" s="1175"/>
      <c r="O368" s="1175"/>
      <c r="P368" s="1175"/>
      <c r="Q368" s="1175"/>
      <c r="R368" s="1175"/>
      <c r="S368" s="1175"/>
      <c r="T368" s="1175"/>
      <c r="U368" s="1175"/>
      <c r="V368" s="1175"/>
      <c r="W368" s="1175"/>
      <c r="X368" s="1175"/>
      <c r="Y368" s="1175"/>
      <c r="Z368" s="1175"/>
      <c r="AA368" s="1175"/>
      <c r="AB368" s="1175"/>
      <c r="AC368" s="1175"/>
      <c r="AD368" s="1175"/>
      <c r="AE368" s="1175"/>
    </row>
    <row r="369" spans="1:46" ht="24" customHeight="1">
      <c r="A369" s="57"/>
      <c r="B369" s="57"/>
      <c r="C369" s="754" t="s">
        <v>2611</v>
      </c>
      <c r="D369" s="754"/>
      <c r="E369" s="754"/>
      <c r="F369" s="754"/>
      <c r="G369" s="754"/>
      <c r="H369" s="754"/>
      <c r="I369" s="754"/>
      <c r="J369" s="754"/>
      <c r="K369" s="754"/>
      <c r="L369" s="754"/>
      <c r="M369" s="754"/>
      <c r="N369" s="754"/>
      <c r="O369" s="754"/>
      <c r="P369" s="754"/>
      <c r="Q369" s="754"/>
      <c r="R369" s="754"/>
      <c r="S369" s="754"/>
      <c r="T369" s="754"/>
      <c r="U369" s="754"/>
      <c r="V369" s="754"/>
      <c r="W369" s="754"/>
      <c r="X369" s="754"/>
      <c r="Y369" s="754"/>
      <c r="Z369" s="754"/>
      <c r="AA369" s="754"/>
      <c r="AB369" s="754"/>
      <c r="AC369" s="754"/>
      <c r="AD369" s="754"/>
    </row>
    <row r="370" spans="1:46" ht="60" customHeight="1">
      <c r="A370" s="57"/>
      <c r="B370" s="57"/>
      <c r="C370" s="851"/>
      <c r="D370" s="851"/>
      <c r="E370" s="851"/>
      <c r="F370" s="851"/>
      <c r="G370" s="851"/>
      <c r="H370" s="851"/>
      <c r="I370" s="851"/>
      <c r="J370" s="851"/>
      <c r="K370" s="851"/>
      <c r="L370" s="851"/>
      <c r="M370" s="851"/>
      <c r="N370" s="851"/>
      <c r="O370" s="851"/>
      <c r="P370" s="851"/>
      <c r="Q370" s="851"/>
      <c r="R370" s="851"/>
      <c r="S370" s="851"/>
      <c r="T370" s="851"/>
      <c r="U370" s="851"/>
      <c r="V370" s="851"/>
      <c r="W370" s="851"/>
      <c r="X370" s="851"/>
      <c r="Y370" s="851"/>
      <c r="Z370" s="851"/>
      <c r="AA370" s="851"/>
      <c r="AB370" s="851"/>
      <c r="AC370" s="851"/>
      <c r="AD370" s="851"/>
    </row>
    <row r="371" spans="1:46" ht="15">
      <c r="B371" s="794" t="str">
        <f>IF(AG358&gt;0,"Favor de ingresar toda la información requerida en la pregunta y/o verifique que no tenga información en celdas sombreadas","")</f>
        <v/>
      </c>
      <c r="C371" s="794"/>
      <c r="D371" s="794"/>
      <c r="E371" s="794"/>
      <c r="F371" s="794"/>
      <c r="G371" s="794"/>
      <c r="H371" s="794"/>
      <c r="I371" s="794"/>
      <c r="J371" s="794"/>
      <c r="K371" s="794"/>
      <c r="L371" s="794"/>
      <c r="M371" s="794"/>
      <c r="N371" s="794"/>
      <c r="O371" s="794"/>
      <c r="P371" s="794"/>
      <c r="Q371" s="794"/>
      <c r="R371" s="794"/>
      <c r="S371" s="794"/>
      <c r="T371" s="794"/>
      <c r="U371" s="794"/>
      <c r="V371" s="794"/>
      <c r="W371" s="794"/>
      <c r="X371" s="794"/>
      <c r="Y371" s="794"/>
      <c r="Z371" s="794"/>
      <c r="AA371" s="794"/>
      <c r="AB371" s="794"/>
      <c r="AC371" s="794"/>
      <c r="AD371" s="794"/>
      <c r="AE371"/>
    </row>
    <row r="372" spans="1:46" ht="15">
      <c r="B372" s="795" t="str">
        <f>IF(AH365&gt;0,"Alerta: debido a que cuenta con registros NS, debe proporcionar una justificación en el area de comentarios al final de la pregunta","")</f>
        <v/>
      </c>
      <c r="C372" s="795"/>
      <c r="D372" s="795"/>
      <c r="E372" s="795"/>
      <c r="F372" s="795"/>
      <c r="G372" s="795"/>
      <c r="H372" s="795"/>
      <c r="I372" s="795"/>
      <c r="J372" s="795"/>
      <c r="K372" s="795"/>
      <c r="L372" s="795"/>
      <c r="M372" s="795"/>
      <c r="N372" s="795"/>
      <c r="O372" s="795"/>
      <c r="P372" s="795"/>
      <c r="Q372" s="795"/>
      <c r="R372" s="795"/>
      <c r="S372" s="795"/>
      <c r="T372" s="795"/>
      <c r="U372" s="795"/>
      <c r="V372" s="795"/>
      <c r="W372" s="795"/>
      <c r="X372" s="795"/>
      <c r="Y372" s="795"/>
      <c r="Z372" s="795"/>
      <c r="AA372" s="795"/>
      <c r="AB372" s="795"/>
      <c r="AC372" s="795"/>
      <c r="AD372" s="795"/>
      <c r="AE372"/>
    </row>
    <row r="373" spans="1:46" ht="15">
      <c r="B373" s="1003" t="str">
        <f>IF(AJ365&gt;0,"Favor de revisar la suma y consistencia de totales y/o subtotales por filas (numéricos y NS)","")</f>
        <v/>
      </c>
      <c r="C373" s="1003"/>
      <c r="D373" s="1003"/>
      <c r="E373" s="1003"/>
      <c r="F373" s="1003"/>
      <c r="G373" s="1003"/>
      <c r="H373" s="1003"/>
      <c r="I373" s="1003"/>
      <c r="J373" s="1003"/>
      <c r="K373" s="1003"/>
      <c r="L373" s="1003"/>
      <c r="M373" s="1003"/>
      <c r="N373" s="1003"/>
      <c r="O373" s="1003"/>
      <c r="P373" s="1003"/>
      <c r="Q373" s="1003"/>
      <c r="R373" s="1003"/>
      <c r="S373" s="1003"/>
      <c r="T373" s="1003"/>
      <c r="U373" s="1003"/>
      <c r="V373" s="1003"/>
      <c r="W373" s="1003"/>
      <c r="X373" s="1003"/>
      <c r="Y373" s="1003"/>
      <c r="Z373" s="1003"/>
      <c r="AA373" s="1003"/>
      <c r="AB373" s="1003"/>
      <c r="AC373" s="1003"/>
      <c r="AD373" s="1003"/>
      <c r="AE373"/>
    </row>
    <row r="374" spans="1:46" ht="15">
      <c r="B374" s="794" t="str">
        <f>IF(AP359&gt;0,"Favor de revisar la instrucción 2 y verifique que se cumplan con los criterios establecidos","")</f>
        <v/>
      </c>
      <c r="C374" s="794"/>
      <c r="D374" s="794"/>
      <c r="E374" s="794"/>
      <c r="F374" s="794"/>
      <c r="G374" s="794"/>
      <c r="H374" s="794"/>
      <c r="I374" s="794"/>
      <c r="J374" s="794"/>
      <c r="K374" s="794"/>
      <c r="L374" s="794"/>
      <c r="M374" s="794"/>
      <c r="N374" s="794"/>
      <c r="O374" s="794"/>
      <c r="P374" s="794"/>
      <c r="Q374" s="794"/>
      <c r="R374" s="794"/>
      <c r="S374" s="794"/>
      <c r="T374" s="794"/>
      <c r="U374" s="794"/>
      <c r="V374" s="794"/>
      <c r="W374" s="794"/>
      <c r="X374" s="794"/>
      <c r="Y374" s="794"/>
      <c r="Z374" s="794"/>
      <c r="AA374" s="794"/>
      <c r="AB374" s="794"/>
      <c r="AC374" s="794"/>
      <c r="AD374" s="794"/>
      <c r="AE374" s="794"/>
    </row>
    <row r="375" spans="1:46" ht="15">
      <c r="B375" s="795" t="str">
        <f>IF(AT365&gt;0,"Alerta: debe de proporcionar una justificación de acuerdo a lo establecido en la instrucción 3","")</f>
        <v/>
      </c>
      <c r="C375" s="795"/>
      <c r="D375" s="795"/>
      <c r="E375" s="795"/>
      <c r="F375" s="795"/>
      <c r="G375" s="795"/>
      <c r="H375" s="795"/>
      <c r="I375" s="795"/>
      <c r="J375" s="795"/>
      <c r="K375" s="795"/>
      <c r="L375" s="795"/>
      <c r="M375" s="795"/>
      <c r="N375" s="795"/>
      <c r="O375" s="795"/>
      <c r="P375" s="795"/>
      <c r="Q375" s="795"/>
      <c r="R375" s="795"/>
      <c r="S375" s="795"/>
      <c r="T375" s="795"/>
      <c r="U375" s="795"/>
      <c r="V375" s="795"/>
      <c r="W375" s="795"/>
      <c r="X375" s="795"/>
      <c r="Y375" s="795"/>
      <c r="Z375" s="795"/>
      <c r="AA375" s="795"/>
      <c r="AB375" s="795"/>
      <c r="AC375" s="795"/>
      <c r="AD375" s="795"/>
      <c r="AE375"/>
    </row>
    <row r="376" spans="1:46" ht="15">
      <c r="AE376"/>
    </row>
    <row r="377" spans="1:46" ht="36" customHeight="1">
      <c r="A377" s="49" t="s">
        <v>6701</v>
      </c>
      <c r="B377" s="829" t="s">
        <v>6702</v>
      </c>
      <c r="C377" s="829" t="s">
        <v>6662</v>
      </c>
      <c r="D377" s="829"/>
      <c r="E377" s="829"/>
      <c r="F377" s="829"/>
      <c r="G377" s="829"/>
      <c r="H377" s="829"/>
      <c r="I377" s="829"/>
      <c r="J377" s="829"/>
      <c r="K377" s="829"/>
      <c r="L377" s="829"/>
      <c r="M377" s="829"/>
      <c r="N377" s="829"/>
      <c r="O377" s="829"/>
      <c r="P377" s="829"/>
      <c r="Q377" s="829"/>
      <c r="R377" s="829"/>
      <c r="S377" s="829"/>
      <c r="T377" s="829"/>
      <c r="U377" s="829"/>
      <c r="V377" s="829"/>
      <c r="W377" s="829"/>
      <c r="X377" s="829"/>
      <c r="Y377" s="829"/>
      <c r="Z377" s="829"/>
      <c r="AA377" s="829"/>
      <c r="AB377" s="829"/>
      <c r="AC377" s="829"/>
      <c r="AD377" s="829"/>
    </row>
    <row r="378" spans="1:46" ht="24" customHeight="1">
      <c r="A378" s="110"/>
      <c r="B378" s="57"/>
      <c r="C378" s="754" t="s">
        <v>6703</v>
      </c>
      <c r="D378" s="754"/>
      <c r="E378" s="754"/>
      <c r="F378" s="754"/>
      <c r="G378" s="754"/>
      <c r="H378" s="754"/>
      <c r="I378" s="754"/>
      <c r="J378" s="754"/>
      <c r="K378" s="754"/>
      <c r="L378" s="754"/>
      <c r="M378" s="754"/>
      <c r="N378" s="754"/>
      <c r="O378" s="754"/>
      <c r="P378" s="754"/>
      <c r="Q378" s="754"/>
      <c r="R378" s="754"/>
      <c r="S378" s="754"/>
      <c r="T378" s="754"/>
      <c r="U378" s="754"/>
      <c r="V378" s="754"/>
      <c r="W378" s="754"/>
      <c r="X378" s="754"/>
      <c r="Y378" s="754"/>
      <c r="Z378" s="754"/>
      <c r="AA378" s="754"/>
      <c r="AB378" s="754"/>
      <c r="AC378" s="754"/>
      <c r="AD378" s="754"/>
    </row>
    <row r="379" spans="1:46" ht="36" customHeight="1">
      <c r="A379" s="210"/>
      <c r="B379" s="38"/>
      <c r="C379" s="830" t="s">
        <v>6704</v>
      </c>
      <c r="D379" s="830"/>
      <c r="E379" s="830"/>
      <c r="F379" s="830"/>
      <c r="G379" s="830"/>
      <c r="H379" s="830"/>
      <c r="I379" s="830"/>
      <c r="J379" s="830"/>
      <c r="K379" s="830"/>
      <c r="L379" s="830"/>
      <c r="M379" s="830"/>
      <c r="N379" s="830"/>
      <c r="O379" s="830"/>
      <c r="P379" s="830"/>
      <c r="Q379" s="830"/>
      <c r="R379" s="830"/>
      <c r="S379" s="830"/>
      <c r="T379" s="830"/>
      <c r="U379" s="830"/>
      <c r="V379" s="830"/>
      <c r="W379" s="830"/>
      <c r="X379" s="830"/>
      <c r="Y379" s="830"/>
      <c r="Z379" s="830"/>
      <c r="AA379" s="830"/>
      <c r="AB379" s="830"/>
      <c r="AC379" s="830"/>
      <c r="AD379" s="830"/>
    </row>
    <row r="380" spans="1:46" ht="60" customHeight="1">
      <c r="A380" s="210"/>
      <c r="B380" s="57"/>
      <c r="C380" s="754" t="s">
        <v>6705</v>
      </c>
      <c r="D380" s="830"/>
      <c r="E380" s="830"/>
      <c r="F380" s="830"/>
      <c r="G380" s="830"/>
      <c r="H380" s="830"/>
      <c r="I380" s="830"/>
      <c r="J380" s="830"/>
      <c r="K380" s="830"/>
      <c r="L380" s="830"/>
      <c r="M380" s="830"/>
      <c r="N380" s="830"/>
      <c r="O380" s="830"/>
      <c r="P380" s="830"/>
      <c r="Q380" s="830"/>
      <c r="R380" s="830"/>
      <c r="S380" s="830"/>
      <c r="T380" s="830"/>
      <c r="U380" s="830"/>
      <c r="V380" s="830"/>
      <c r="W380" s="830"/>
      <c r="X380" s="830"/>
      <c r="Y380" s="830"/>
      <c r="Z380" s="830"/>
      <c r="AA380" s="830"/>
      <c r="AB380" s="830"/>
      <c r="AC380" s="830"/>
      <c r="AD380" s="830"/>
    </row>
    <row r="381" spans="1:46" ht="36" customHeight="1">
      <c r="A381" s="110"/>
      <c r="B381" s="57"/>
      <c r="C381" s="754" t="s">
        <v>6706</v>
      </c>
      <c r="D381" s="754"/>
      <c r="E381" s="754"/>
      <c r="F381" s="754"/>
      <c r="G381" s="754"/>
      <c r="H381" s="754"/>
      <c r="I381" s="754"/>
      <c r="J381" s="754"/>
      <c r="K381" s="754"/>
      <c r="L381" s="754"/>
      <c r="M381" s="754"/>
      <c r="N381" s="754"/>
      <c r="O381" s="754"/>
      <c r="P381" s="754"/>
      <c r="Q381" s="754"/>
      <c r="R381" s="754"/>
      <c r="S381" s="754"/>
      <c r="T381" s="754"/>
      <c r="U381" s="754"/>
      <c r="V381" s="754"/>
      <c r="W381" s="754"/>
      <c r="X381" s="754"/>
      <c r="Y381" s="754"/>
      <c r="Z381" s="754"/>
      <c r="AA381" s="754"/>
      <c r="AB381" s="754"/>
      <c r="AC381" s="754"/>
      <c r="AD381" s="754"/>
    </row>
    <row r="382" spans="1:46" ht="48" customHeight="1">
      <c r="A382" s="110"/>
      <c r="B382" s="57"/>
      <c r="C382" s="754" t="s">
        <v>6707</v>
      </c>
      <c r="D382" s="754"/>
      <c r="E382" s="754"/>
      <c r="F382" s="754"/>
      <c r="G382" s="754"/>
      <c r="H382" s="754"/>
      <c r="I382" s="754"/>
      <c r="J382" s="754"/>
      <c r="K382" s="754"/>
      <c r="L382" s="754"/>
      <c r="M382" s="754"/>
      <c r="N382" s="754"/>
      <c r="O382" s="754"/>
      <c r="P382" s="754"/>
      <c r="Q382" s="754"/>
      <c r="R382" s="754"/>
      <c r="S382" s="754"/>
      <c r="T382" s="754"/>
      <c r="U382" s="754"/>
      <c r="V382" s="754"/>
      <c r="W382" s="754"/>
      <c r="X382" s="754"/>
      <c r="Y382" s="754"/>
      <c r="Z382" s="754"/>
      <c r="AA382" s="754"/>
      <c r="AB382" s="754"/>
      <c r="AC382" s="754"/>
      <c r="AD382" s="754"/>
    </row>
    <row r="383" spans="1:46" ht="24" customHeight="1">
      <c r="A383" s="57"/>
      <c r="B383" s="57"/>
      <c r="C383" s="754" t="s">
        <v>6708</v>
      </c>
      <c r="D383" s="754"/>
      <c r="E383" s="754"/>
      <c r="F383" s="754"/>
      <c r="G383" s="754"/>
      <c r="H383" s="754"/>
      <c r="I383" s="754"/>
      <c r="J383" s="754"/>
      <c r="K383" s="754"/>
      <c r="L383" s="754"/>
      <c r="M383" s="754"/>
      <c r="N383" s="754"/>
      <c r="O383" s="754"/>
      <c r="P383" s="754"/>
      <c r="Q383" s="754"/>
      <c r="R383" s="754"/>
      <c r="S383" s="754"/>
      <c r="T383" s="754"/>
      <c r="U383" s="754"/>
      <c r="V383" s="754"/>
      <c r="W383" s="754"/>
      <c r="X383" s="754"/>
      <c r="Y383" s="754"/>
      <c r="Z383" s="754"/>
      <c r="AA383" s="754"/>
      <c r="AB383" s="754"/>
      <c r="AC383" s="754"/>
      <c r="AD383" s="754"/>
    </row>
    <row r="384" spans="1:46" ht="15">
      <c r="A384" s="57"/>
      <c r="B384" s="57"/>
      <c r="C384" s="57"/>
      <c r="D384" s="57"/>
      <c r="E384" s="57"/>
      <c r="F384" s="57"/>
      <c r="G384" s="57"/>
      <c r="H384" s="57"/>
      <c r="I384" s="57"/>
      <c r="J384" s="57"/>
      <c r="K384" s="57"/>
      <c r="L384" s="57"/>
      <c r="M384" s="57"/>
      <c r="N384" s="57"/>
      <c r="O384" s="57"/>
      <c r="P384" s="57"/>
      <c r="Q384" s="57"/>
      <c r="R384" s="57"/>
      <c r="S384" s="57"/>
      <c r="T384" s="57"/>
      <c r="U384" s="57"/>
      <c r="V384" s="57"/>
      <c r="W384" s="57"/>
      <c r="X384" s="57"/>
      <c r="Y384" s="57"/>
      <c r="Z384" s="57"/>
      <c r="AA384" s="57"/>
      <c r="AB384" s="57"/>
      <c r="AC384" s="57"/>
      <c r="AD384" s="57"/>
      <c r="AG384"/>
      <c r="AH384"/>
      <c r="AI384"/>
      <c r="AJ384"/>
      <c r="AK384" s="1176" t="s">
        <v>6540</v>
      </c>
      <c r="AL384" s="1177" t="s">
        <v>6667</v>
      </c>
      <c r="AM384" s="1177" t="s">
        <v>6684</v>
      </c>
      <c r="AN384"/>
      <c r="AO384"/>
      <c r="AP384"/>
      <c r="AQ384" s="1197" t="s">
        <v>6709</v>
      </c>
      <c r="AR384" s="1198" t="s">
        <v>6710</v>
      </c>
      <c r="AS384" s="1198"/>
      <c r="AT384" s="1198"/>
    </row>
    <row r="385" spans="1:46" ht="24" customHeight="1">
      <c r="A385" s="57"/>
      <c r="B385" s="57"/>
      <c r="C385" s="732" t="s">
        <v>6711</v>
      </c>
      <c r="D385" s="732"/>
      <c r="E385" s="732"/>
      <c r="F385" s="732"/>
      <c r="G385" s="732"/>
      <c r="H385" s="732"/>
      <c r="I385" s="732"/>
      <c r="J385" s="732"/>
      <c r="K385" s="732"/>
      <c r="L385" s="732"/>
      <c r="M385" s="732" t="s">
        <v>6712</v>
      </c>
      <c r="N385" s="732"/>
      <c r="O385" s="732"/>
      <c r="P385" s="732"/>
      <c r="Q385" s="732"/>
      <c r="R385" s="732"/>
      <c r="S385" s="732"/>
      <c r="T385" s="732"/>
      <c r="U385" s="732"/>
      <c r="V385" s="732"/>
      <c r="W385" s="732"/>
      <c r="X385" s="732"/>
      <c r="Y385" s="732"/>
      <c r="Z385" s="732"/>
      <c r="AA385" s="732"/>
      <c r="AB385" s="732"/>
      <c r="AC385" s="732"/>
      <c r="AD385" s="732"/>
      <c r="AG385"/>
      <c r="AH385"/>
      <c r="AI385"/>
      <c r="AJ385"/>
      <c r="AK385" s="1176"/>
      <c r="AL385" s="1177"/>
      <c r="AM385" s="1177"/>
      <c r="AN385" s="1199" t="s">
        <v>6713</v>
      </c>
      <c r="AO385" s="1199"/>
      <c r="AP385" s="1199"/>
      <c r="AQ385" s="1197"/>
      <c r="AR385" s="1198"/>
      <c r="AS385" s="1198"/>
      <c r="AT385" s="1198"/>
    </row>
    <row r="386" spans="1:46" ht="15">
      <c r="A386" s="57"/>
      <c r="B386" s="57"/>
      <c r="C386" s="732"/>
      <c r="D386" s="732"/>
      <c r="E386" s="732"/>
      <c r="F386" s="732"/>
      <c r="G386" s="732"/>
      <c r="H386" s="732"/>
      <c r="I386" s="732"/>
      <c r="J386" s="732"/>
      <c r="K386" s="732"/>
      <c r="L386" s="732"/>
      <c r="M386" s="987" t="s">
        <v>2628</v>
      </c>
      <c r="N386" s="988"/>
      <c r="O386" s="988"/>
      <c r="P386" s="988"/>
      <c r="Q386" s="988"/>
      <c r="R386" s="988"/>
      <c r="S386" s="989" t="s">
        <v>2629</v>
      </c>
      <c r="T386" s="990"/>
      <c r="U386" s="990"/>
      <c r="V386" s="990"/>
      <c r="W386" s="990"/>
      <c r="X386" s="990"/>
      <c r="Y386" s="989" t="s">
        <v>2630</v>
      </c>
      <c r="Z386" s="990"/>
      <c r="AA386" s="990"/>
      <c r="AB386" s="990"/>
      <c r="AC386" s="990"/>
      <c r="AD386" s="990"/>
      <c r="AG386" s="354" t="s">
        <v>2586</v>
      </c>
      <c r="AH386" s="350" t="s">
        <v>2590</v>
      </c>
      <c r="AI386" s="351" t="s">
        <v>3163</v>
      </c>
      <c r="AJ386" s="352" t="s">
        <v>3164</v>
      </c>
      <c r="AK386" s="1176"/>
      <c r="AL386" s="1177"/>
      <c r="AM386" s="1177"/>
      <c r="AN386" s="598" t="s">
        <v>2795</v>
      </c>
      <c r="AO386" s="368" t="s">
        <v>3177</v>
      </c>
      <c r="AP386" s="467" t="s">
        <v>3178</v>
      </c>
      <c r="AQ386" s="1197"/>
      <c r="AR386" s="599" t="s">
        <v>2795</v>
      </c>
      <c r="AS386" s="359" t="s">
        <v>3177</v>
      </c>
      <c r="AT386" s="361" t="s">
        <v>3178</v>
      </c>
    </row>
    <row r="387" spans="1:46" ht="15" customHeight="1">
      <c r="A387" s="57"/>
      <c r="B387" s="57"/>
      <c r="C387" s="97" t="s">
        <v>2516</v>
      </c>
      <c r="D387" s="1084" t="s">
        <v>6714</v>
      </c>
      <c r="E387" s="1084"/>
      <c r="F387" s="1084"/>
      <c r="G387" s="1084"/>
      <c r="H387" s="1084"/>
      <c r="I387" s="1084"/>
      <c r="J387" s="1084"/>
      <c r="K387" s="1084"/>
      <c r="L387" s="1084"/>
      <c r="M387" s="749"/>
      <c r="N387" s="749"/>
      <c r="O387" s="749"/>
      <c r="P387" s="749"/>
      <c r="Q387" s="749"/>
      <c r="R387" s="749"/>
      <c r="S387" s="749"/>
      <c r="T387" s="749"/>
      <c r="U387" s="749"/>
      <c r="V387" s="749"/>
      <c r="W387" s="749"/>
      <c r="X387" s="749"/>
      <c r="Y387" s="749"/>
      <c r="Z387" s="749"/>
      <c r="AA387" s="749"/>
      <c r="AB387" s="749"/>
      <c r="AC387" s="749"/>
      <c r="AD387" s="749"/>
      <c r="AG387" s="283">
        <f>IF(AND(OR($I$25="X",$T$25="X"),COUNTA(M387:AD398)=0),0,IF(AND($I$25="",$T$25="",SUM($C$313)=0,COUNTA(M387:AD398)=0),0,IF(AND($I$25="",$T$25="",SUM($C$313)&gt;0,SUM($M$335)=0,COUNTA(M387:AD398)=0),0,IF(AND($I$25="",$T$25="",SUM($C$313)&gt;0,SUM($M$335)&gt;0,COUNTA(M387:AD398)=36),0,1))))</f>
        <v>0</v>
      </c>
      <c r="AH387" s="353">
        <f>COUNTIF(S387:AD387,"NS")</f>
        <v>0</v>
      </c>
      <c r="AI387" s="353">
        <f>SUM(S387:AD387)</f>
        <v>0</v>
      </c>
      <c r="AJ387" s="353">
        <f>IF(COUNTIF(M387:AD387,"NA")=3,0,IF(OR(AND(M387=0,AH387&gt;0),AND(M387="ns",AI387&gt;0),AND(M387="ns",AH387=0,AI387=0)),1,IF(OR(AND(M387&gt;0,AH387=2),AND(M387="ns",AH387=2),AND(M387="ns",AI387=0,AH387&gt;0),M387=AI387),0,1)))</f>
        <v>0</v>
      </c>
      <c r="AK387" s="342">
        <f>IF(AND(OR($T$25="X",$I$25="X"),COUNTA(M387:AD398)&gt;0),1,0)</f>
        <v>0</v>
      </c>
      <c r="AL387">
        <f>IF(AND(SUM($C$313)=0,COUNTA(M387:AD398)&gt;0),1,0)</f>
        <v>0</v>
      </c>
      <c r="AM387">
        <f>IF(AND(SUM($M$335)=0,COUNTA(M387:AD398)&gt;0),1,0)</f>
        <v>0</v>
      </c>
      <c r="AN387">
        <f>IF(OR(M399="NS",$M$335="NS"),0,IF(AND(M399="NA",$M$335="NA"),0,IF(M399&gt;=$M$335,0,1)))</f>
        <v>0</v>
      </c>
      <c r="AO387">
        <f>IF(OR(S399="NS",$S$335="NS"),0,IF(AND(S399="NA",$S$335="NA"),0,IF(S399&gt;=$S$335,0,1)))</f>
        <v>0</v>
      </c>
      <c r="AP387">
        <f>IF(OR(Y399="NS",$Y$335="NS"),0,IF(AND(Y399="NA",$Y$335="NA"),0,IF(Y399&gt;=$Y$335,0,1)))</f>
        <v>0</v>
      </c>
      <c r="AQ387" s="600" t="s">
        <v>6715</v>
      </c>
      <c r="AR387">
        <f>IF(OR(M387="NS",$M$335="NS"),0,IF(AND(M387="NA",$M$335="NA"),0,IF(M387&lt;=$M$335,0,1)))</f>
        <v>0</v>
      </c>
      <c r="AS387">
        <f>IF(OR(S387="NS",$S$335="NS"),0,IF(AND(S387="NA",$S$335="NA"),0,IF(S387&lt;=$S$335,0,1)))</f>
        <v>0</v>
      </c>
      <c r="AT387">
        <f>IF(OR(Y387="NS",$Y$335="NS"),0,IF(AND(Y387="NA",$Y$335="NA"),0,IF(Y387&lt;=$Y$335,0,1)))</f>
        <v>0</v>
      </c>
    </row>
    <row r="388" spans="1:46" ht="15" customHeight="1">
      <c r="A388" s="57"/>
      <c r="B388" s="57"/>
      <c r="C388" s="98" t="s">
        <v>2517</v>
      </c>
      <c r="D388" s="796" t="s">
        <v>6716</v>
      </c>
      <c r="E388" s="796"/>
      <c r="F388" s="796"/>
      <c r="G388" s="796"/>
      <c r="H388" s="796"/>
      <c r="I388" s="796"/>
      <c r="J388" s="796"/>
      <c r="K388" s="796"/>
      <c r="L388" s="796"/>
      <c r="M388" s="749"/>
      <c r="N388" s="749"/>
      <c r="O388" s="749"/>
      <c r="P388" s="749"/>
      <c r="Q388" s="749"/>
      <c r="R388" s="749"/>
      <c r="S388" s="749"/>
      <c r="T388" s="749"/>
      <c r="U388" s="749"/>
      <c r="V388" s="749"/>
      <c r="W388" s="749"/>
      <c r="X388" s="749"/>
      <c r="Y388" s="749"/>
      <c r="Z388" s="749"/>
      <c r="AA388" s="749"/>
      <c r="AB388" s="749"/>
      <c r="AC388" s="749"/>
      <c r="AD388" s="749"/>
      <c r="AG388" s="283"/>
      <c r="AH388" s="353">
        <f t="shared" ref="AH388:AH398" si="28">COUNTIF(S388:AD388,"NS")</f>
        <v>0</v>
      </c>
      <c r="AI388" s="353">
        <f t="shared" ref="AI388:AI398" si="29">SUM(S388:AD388)</f>
        <v>0</v>
      </c>
      <c r="AJ388" s="353">
        <f t="shared" ref="AJ388:AJ398" si="30">IF(COUNTIF(M388:AD388,"NA")=3,0,IF(OR(AND(M388=0,AH388&gt;0),AND(M388="ns",AI388&gt;0),AND(M388="ns",AH388=0,AI388=0)),1,IF(OR(AND(M388&gt;0,AH388=2),AND(M388="ns",AH388=2),AND(M388="ns",AI388=0,AH388&gt;0),M388=AI388),0,1)))</f>
        <v>0</v>
      </c>
      <c r="AK388"/>
      <c r="AL388"/>
      <c r="AM388"/>
      <c r="AN388"/>
      <c r="AO388"/>
      <c r="AP388" s="601">
        <f>SUM(AN387:AP387)</f>
        <v>0</v>
      </c>
      <c r="AQ388" s="602" t="s">
        <v>6717</v>
      </c>
      <c r="AR388">
        <f t="shared" ref="AR388:AR398" si="31">IF(OR(M388="NS",$M$335="NS"),0,IF(AND(M388="NA",$M$335="NA"),0,IF(M388&lt;=$M$335,0,1)))</f>
        <v>0</v>
      </c>
      <c r="AS388">
        <f t="shared" ref="AS388:AS398" si="32">IF(OR(S388="NS",$S$335="NS"),0,IF(AND(S388="NA",$S$335="NA"),0,IF(S388&lt;=$S$335,0,1)))</f>
        <v>0</v>
      </c>
      <c r="AT388">
        <f t="shared" ref="AT388:AT397" si="33">IF(OR(Y388="NS",$Y$335="NS"),0,IF(AND(Y388="NA",$Y$335="NA"),0,IF(Y388&lt;=$Y$335,0,1)))</f>
        <v>0</v>
      </c>
    </row>
    <row r="389" spans="1:46" ht="15" customHeight="1">
      <c r="A389" s="57"/>
      <c r="B389" s="57"/>
      <c r="C389" s="98" t="s">
        <v>2518</v>
      </c>
      <c r="D389" s="796" t="s">
        <v>6718</v>
      </c>
      <c r="E389" s="796"/>
      <c r="F389" s="796"/>
      <c r="G389" s="796"/>
      <c r="H389" s="796"/>
      <c r="I389" s="796"/>
      <c r="J389" s="796"/>
      <c r="K389" s="796"/>
      <c r="L389" s="796"/>
      <c r="M389" s="749"/>
      <c r="N389" s="749"/>
      <c r="O389" s="749"/>
      <c r="P389" s="749"/>
      <c r="Q389" s="749"/>
      <c r="R389" s="749"/>
      <c r="S389" s="749"/>
      <c r="T389" s="749"/>
      <c r="U389" s="749"/>
      <c r="V389" s="749"/>
      <c r="W389" s="749"/>
      <c r="X389" s="749"/>
      <c r="Y389" s="749"/>
      <c r="Z389" s="749"/>
      <c r="AA389" s="749"/>
      <c r="AB389" s="749"/>
      <c r="AC389" s="749"/>
      <c r="AD389" s="749"/>
      <c r="AG389" s="283"/>
      <c r="AH389" s="353">
        <f t="shared" si="28"/>
        <v>0</v>
      </c>
      <c r="AI389" s="353">
        <f t="shared" si="29"/>
        <v>0</v>
      </c>
      <c r="AJ389" s="353">
        <f t="shared" si="30"/>
        <v>0</v>
      </c>
      <c r="AK389" s="359" t="s">
        <v>6719</v>
      </c>
      <c r="AL389"/>
      <c r="AM389"/>
      <c r="AN389"/>
      <c r="AO389"/>
      <c r="AP389"/>
      <c r="AQ389" s="603" t="s">
        <v>6720</v>
      </c>
      <c r="AR389">
        <f>IF(OR(M389="NS",$M$335="NS"),0,IF(AND(M389="NA",$M$335="NA"),0,IF(M389&lt;=$M$335,0,1)))</f>
        <v>0</v>
      </c>
      <c r="AS389">
        <f t="shared" si="32"/>
        <v>0</v>
      </c>
      <c r="AT389">
        <f t="shared" si="33"/>
        <v>0</v>
      </c>
    </row>
    <row r="390" spans="1:46" ht="15" customHeight="1">
      <c r="A390" s="57"/>
      <c r="B390" s="57"/>
      <c r="C390" s="98" t="s">
        <v>2519</v>
      </c>
      <c r="D390" s="796" t="s">
        <v>6721</v>
      </c>
      <c r="E390" s="796"/>
      <c r="F390" s="796"/>
      <c r="G390" s="796"/>
      <c r="H390" s="796"/>
      <c r="I390" s="796"/>
      <c r="J390" s="796"/>
      <c r="K390" s="796"/>
      <c r="L390" s="796"/>
      <c r="M390" s="749"/>
      <c r="N390" s="749"/>
      <c r="O390" s="749"/>
      <c r="P390" s="749"/>
      <c r="Q390" s="749"/>
      <c r="R390" s="749"/>
      <c r="S390" s="749"/>
      <c r="T390" s="749"/>
      <c r="U390" s="749"/>
      <c r="V390" s="749"/>
      <c r="W390" s="749"/>
      <c r="X390" s="749"/>
      <c r="Y390" s="749"/>
      <c r="Z390" s="749"/>
      <c r="AA390" s="749"/>
      <c r="AB390" s="749"/>
      <c r="AC390" s="749"/>
      <c r="AD390" s="749"/>
      <c r="AG390" s="283"/>
      <c r="AH390" s="353">
        <f t="shared" si="28"/>
        <v>0</v>
      </c>
      <c r="AI390" s="353">
        <f t="shared" si="29"/>
        <v>0</v>
      </c>
      <c r="AJ390" s="353">
        <f t="shared" si="30"/>
        <v>0</v>
      </c>
      <c r="AK390">
        <f>IF(SUM(M398:AD398)&gt;0,1,0)</f>
        <v>0</v>
      </c>
      <c r="AL390"/>
      <c r="AM390"/>
      <c r="AN390"/>
      <c r="AO390"/>
      <c r="AP390"/>
      <c r="AQ390" s="602" t="s">
        <v>6722</v>
      </c>
      <c r="AR390">
        <f t="shared" si="31"/>
        <v>0</v>
      </c>
      <c r="AS390">
        <f t="shared" si="32"/>
        <v>0</v>
      </c>
      <c r="AT390">
        <f t="shared" si="33"/>
        <v>0</v>
      </c>
    </row>
    <row r="391" spans="1:46" ht="15" customHeight="1">
      <c r="A391" s="57"/>
      <c r="B391" s="57"/>
      <c r="C391" s="98" t="s">
        <v>2520</v>
      </c>
      <c r="D391" s="796" t="s">
        <v>6723</v>
      </c>
      <c r="E391" s="796"/>
      <c r="F391" s="796"/>
      <c r="G391" s="796"/>
      <c r="H391" s="796"/>
      <c r="I391" s="796"/>
      <c r="J391" s="796"/>
      <c r="K391" s="796"/>
      <c r="L391" s="796"/>
      <c r="M391" s="749"/>
      <c r="N391" s="749"/>
      <c r="O391" s="749"/>
      <c r="P391" s="749"/>
      <c r="Q391" s="749"/>
      <c r="R391" s="749"/>
      <c r="S391" s="749"/>
      <c r="T391" s="749"/>
      <c r="U391" s="749"/>
      <c r="V391" s="749"/>
      <c r="W391" s="749"/>
      <c r="X391" s="749"/>
      <c r="Y391" s="749"/>
      <c r="Z391" s="749"/>
      <c r="AA391" s="749"/>
      <c r="AB391" s="749"/>
      <c r="AC391" s="749"/>
      <c r="AD391" s="749"/>
      <c r="AG391" s="283"/>
      <c r="AH391" s="353">
        <f t="shared" si="28"/>
        <v>0</v>
      </c>
      <c r="AI391" s="353">
        <f t="shared" si="29"/>
        <v>0</v>
      </c>
      <c r="AJ391" s="353">
        <f t="shared" si="30"/>
        <v>0</v>
      </c>
      <c r="AK391"/>
      <c r="AL391"/>
      <c r="AM391"/>
      <c r="AN391"/>
      <c r="AO391"/>
      <c r="AP391"/>
      <c r="AQ391" s="603" t="s">
        <v>6724</v>
      </c>
      <c r="AR391">
        <f t="shared" si="31"/>
        <v>0</v>
      </c>
      <c r="AS391">
        <f t="shared" si="32"/>
        <v>0</v>
      </c>
      <c r="AT391">
        <f t="shared" si="33"/>
        <v>0</v>
      </c>
    </row>
    <row r="392" spans="1:46" ht="15" customHeight="1">
      <c r="A392" s="57"/>
      <c r="B392" s="57"/>
      <c r="C392" s="98" t="s">
        <v>2521</v>
      </c>
      <c r="D392" s="1084" t="s">
        <v>2973</v>
      </c>
      <c r="E392" s="1084"/>
      <c r="F392" s="1084"/>
      <c r="G392" s="1084"/>
      <c r="H392" s="1084"/>
      <c r="I392" s="1084"/>
      <c r="J392" s="1084"/>
      <c r="K392" s="1084"/>
      <c r="L392" s="1084"/>
      <c r="M392" s="749"/>
      <c r="N392" s="749"/>
      <c r="O392" s="749"/>
      <c r="P392" s="749"/>
      <c r="Q392" s="749"/>
      <c r="R392" s="749"/>
      <c r="S392" s="749"/>
      <c r="T392" s="749"/>
      <c r="U392" s="749"/>
      <c r="V392" s="749"/>
      <c r="W392" s="749"/>
      <c r="X392" s="749"/>
      <c r="Y392" s="749"/>
      <c r="Z392" s="749"/>
      <c r="AA392" s="749"/>
      <c r="AB392" s="749"/>
      <c r="AC392" s="749"/>
      <c r="AD392" s="749"/>
      <c r="AG392" s="283"/>
      <c r="AH392" s="353">
        <f t="shared" si="28"/>
        <v>0</v>
      </c>
      <c r="AI392" s="353">
        <f t="shared" si="29"/>
        <v>0</v>
      </c>
      <c r="AJ392" s="353">
        <f t="shared" si="30"/>
        <v>0</v>
      </c>
      <c r="AK392"/>
      <c r="AL392"/>
      <c r="AM392"/>
      <c r="AN392"/>
      <c r="AO392"/>
      <c r="AP392"/>
      <c r="AQ392" s="602" t="s">
        <v>6725</v>
      </c>
      <c r="AR392">
        <f t="shared" si="31"/>
        <v>0</v>
      </c>
      <c r="AS392">
        <f t="shared" si="32"/>
        <v>0</v>
      </c>
      <c r="AT392">
        <f t="shared" si="33"/>
        <v>0</v>
      </c>
    </row>
    <row r="393" spans="1:46" ht="24" customHeight="1">
      <c r="A393" s="57"/>
      <c r="B393" s="57"/>
      <c r="C393" s="98" t="s">
        <v>2522</v>
      </c>
      <c r="D393" s="796" t="s">
        <v>2975</v>
      </c>
      <c r="E393" s="796"/>
      <c r="F393" s="796"/>
      <c r="G393" s="796"/>
      <c r="H393" s="796"/>
      <c r="I393" s="796"/>
      <c r="J393" s="796"/>
      <c r="K393" s="796"/>
      <c r="L393" s="796"/>
      <c r="M393" s="749"/>
      <c r="N393" s="749"/>
      <c r="O393" s="749"/>
      <c r="P393" s="749"/>
      <c r="Q393" s="749"/>
      <c r="R393" s="749"/>
      <c r="S393" s="749"/>
      <c r="T393" s="749"/>
      <c r="U393" s="749"/>
      <c r="V393" s="749"/>
      <c r="W393" s="749"/>
      <c r="X393" s="749"/>
      <c r="Y393" s="749"/>
      <c r="Z393" s="749"/>
      <c r="AA393" s="749"/>
      <c r="AB393" s="749"/>
      <c r="AC393" s="749"/>
      <c r="AD393" s="749"/>
      <c r="AG393" s="283"/>
      <c r="AH393" s="353">
        <f t="shared" si="28"/>
        <v>0</v>
      </c>
      <c r="AI393" s="353">
        <f t="shared" si="29"/>
        <v>0</v>
      </c>
      <c r="AJ393" s="353">
        <f t="shared" si="30"/>
        <v>0</v>
      </c>
      <c r="AK393"/>
      <c r="AL393"/>
      <c r="AM393"/>
      <c r="AN393"/>
      <c r="AO393"/>
      <c r="AP393"/>
      <c r="AQ393" s="603" t="s">
        <v>6726</v>
      </c>
      <c r="AR393">
        <f t="shared" si="31"/>
        <v>0</v>
      </c>
      <c r="AS393">
        <f t="shared" si="32"/>
        <v>0</v>
      </c>
      <c r="AT393">
        <f t="shared" si="33"/>
        <v>0</v>
      </c>
    </row>
    <row r="394" spans="1:46" ht="24" customHeight="1">
      <c r="A394" s="57"/>
      <c r="B394" s="57"/>
      <c r="C394" s="98" t="s">
        <v>2523</v>
      </c>
      <c r="D394" s="796" t="s">
        <v>6727</v>
      </c>
      <c r="E394" s="796"/>
      <c r="F394" s="796"/>
      <c r="G394" s="796"/>
      <c r="H394" s="796"/>
      <c r="I394" s="796"/>
      <c r="J394" s="796"/>
      <c r="K394" s="796"/>
      <c r="L394" s="796"/>
      <c r="M394" s="749"/>
      <c r="N394" s="749"/>
      <c r="O394" s="749"/>
      <c r="P394" s="749"/>
      <c r="Q394" s="749"/>
      <c r="R394" s="749"/>
      <c r="S394" s="749"/>
      <c r="T394" s="749"/>
      <c r="U394" s="749"/>
      <c r="V394" s="749"/>
      <c r="W394" s="749"/>
      <c r="X394" s="749"/>
      <c r="Y394" s="749"/>
      <c r="Z394" s="749"/>
      <c r="AA394" s="749"/>
      <c r="AB394" s="749"/>
      <c r="AC394" s="749"/>
      <c r="AD394" s="749"/>
      <c r="AG394" s="283"/>
      <c r="AH394" s="353">
        <f t="shared" si="28"/>
        <v>0</v>
      </c>
      <c r="AI394" s="353">
        <f t="shared" si="29"/>
        <v>0</v>
      </c>
      <c r="AJ394" s="353">
        <f t="shared" si="30"/>
        <v>0</v>
      </c>
      <c r="AK394"/>
      <c r="AL394"/>
      <c r="AM394"/>
      <c r="AN394"/>
      <c r="AO394"/>
      <c r="AP394"/>
      <c r="AQ394" s="602" t="s">
        <v>6728</v>
      </c>
      <c r="AR394">
        <f t="shared" si="31"/>
        <v>0</v>
      </c>
      <c r="AS394">
        <f>IF(OR(S394="NS",$S$335="NS"),0,IF(AND(S394="NA",$S$335="NA"),0,IF(S394&lt;=$S$335,0,1)))</f>
        <v>0</v>
      </c>
      <c r="AT394">
        <f t="shared" si="33"/>
        <v>0</v>
      </c>
    </row>
    <row r="395" spans="1:46" ht="15" customHeight="1">
      <c r="A395" s="57"/>
      <c r="B395" s="57"/>
      <c r="C395" s="98" t="s">
        <v>2524</v>
      </c>
      <c r="D395" s="796" t="s">
        <v>6729</v>
      </c>
      <c r="E395" s="796"/>
      <c r="F395" s="796"/>
      <c r="G395" s="796"/>
      <c r="H395" s="796"/>
      <c r="I395" s="796"/>
      <c r="J395" s="796"/>
      <c r="K395" s="796"/>
      <c r="L395" s="796"/>
      <c r="M395" s="749"/>
      <c r="N395" s="749"/>
      <c r="O395" s="749"/>
      <c r="P395" s="749"/>
      <c r="Q395" s="749"/>
      <c r="R395" s="749"/>
      <c r="S395" s="749"/>
      <c r="T395" s="749"/>
      <c r="U395" s="749"/>
      <c r="V395" s="749"/>
      <c r="W395" s="749"/>
      <c r="X395" s="749"/>
      <c r="Y395" s="749"/>
      <c r="Z395" s="749"/>
      <c r="AA395" s="749"/>
      <c r="AB395" s="749"/>
      <c r="AC395" s="749"/>
      <c r="AD395" s="749"/>
      <c r="AG395" s="283"/>
      <c r="AH395" s="353">
        <f t="shared" si="28"/>
        <v>0</v>
      </c>
      <c r="AI395" s="353">
        <f t="shared" si="29"/>
        <v>0</v>
      </c>
      <c r="AJ395" s="353">
        <f t="shared" si="30"/>
        <v>0</v>
      </c>
      <c r="AK395"/>
      <c r="AL395"/>
      <c r="AM395"/>
      <c r="AN395"/>
      <c r="AO395"/>
      <c r="AP395"/>
      <c r="AQ395" s="603" t="s">
        <v>6730</v>
      </c>
      <c r="AR395">
        <f t="shared" si="31"/>
        <v>0</v>
      </c>
      <c r="AS395">
        <f t="shared" si="32"/>
        <v>0</v>
      </c>
      <c r="AT395">
        <f t="shared" si="33"/>
        <v>0</v>
      </c>
    </row>
    <row r="396" spans="1:46" ht="15" customHeight="1">
      <c r="A396" s="57"/>
      <c r="B396" s="57"/>
      <c r="C396" s="98" t="s">
        <v>2525</v>
      </c>
      <c r="D396" s="796" t="s">
        <v>6731</v>
      </c>
      <c r="E396" s="796"/>
      <c r="F396" s="796"/>
      <c r="G396" s="796"/>
      <c r="H396" s="796"/>
      <c r="I396" s="796"/>
      <c r="J396" s="796"/>
      <c r="K396" s="796"/>
      <c r="L396" s="796"/>
      <c r="M396" s="749"/>
      <c r="N396" s="749"/>
      <c r="O396" s="749"/>
      <c r="P396" s="749"/>
      <c r="Q396" s="749"/>
      <c r="R396" s="749"/>
      <c r="S396" s="749"/>
      <c r="T396" s="749"/>
      <c r="U396" s="749"/>
      <c r="V396" s="749"/>
      <c r="W396" s="749"/>
      <c r="X396" s="749"/>
      <c r="Y396" s="749"/>
      <c r="Z396" s="749"/>
      <c r="AA396" s="749"/>
      <c r="AB396" s="749"/>
      <c r="AC396" s="749"/>
      <c r="AD396" s="749"/>
      <c r="AG396" s="283"/>
      <c r="AH396" s="353">
        <f t="shared" si="28"/>
        <v>0</v>
      </c>
      <c r="AI396" s="353">
        <f t="shared" si="29"/>
        <v>0</v>
      </c>
      <c r="AJ396" s="353">
        <f t="shared" si="30"/>
        <v>0</v>
      </c>
      <c r="AK396"/>
      <c r="AL396"/>
      <c r="AM396"/>
      <c r="AN396"/>
      <c r="AO396"/>
      <c r="AP396"/>
      <c r="AQ396" s="602" t="s">
        <v>6732</v>
      </c>
      <c r="AR396">
        <f t="shared" si="31"/>
        <v>0</v>
      </c>
      <c r="AS396">
        <f t="shared" si="32"/>
        <v>0</v>
      </c>
      <c r="AT396">
        <f t="shared" si="33"/>
        <v>0</v>
      </c>
    </row>
    <row r="397" spans="1:46" ht="24" customHeight="1">
      <c r="A397" s="57"/>
      <c r="B397" s="57"/>
      <c r="C397" s="98" t="s">
        <v>2526</v>
      </c>
      <c r="D397" s="796" t="s">
        <v>6733</v>
      </c>
      <c r="E397" s="796"/>
      <c r="F397" s="796"/>
      <c r="G397" s="796"/>
      <c r="H397" s="796"/>
      <c r="I397" s="796"/>
      <c r="J397" s="796"/>
      <c r="K397" s="796"/>
      <c r="L397" s="796"/>
      <c r="M397" s="749"/>
      <c r="N397" s="749"/>
      <c r="O397" s="749"/>
      <c r="P397" s="749"/>
      <c r="Q397" s="749"/>
      <c r="R397" s="749"/>
      <c r="S397" s="749"/>
      <c r="T397" s="749"/>
      <c r="U397" s="749"/>
      <c r="V397" s="749"/>
      <c r="W397" s="749"/>
      <c r="X397" s="749"/>
      <c r="Y397" s="749"/>
      <c r="Z397" s="749"/>
      <c r="AA397" s="749"/>
      <c r="AB397" s="749"/>
      <c r="AC397" s="749"/>
      <c r="AD397" s="749"/>
      <c r="AG397" s="283"/>
      <c r="AH397" s="353">
        <f t="shared" si="28"/>
        <v>0</v>
      </c>
      <c r="AI397" s="353">
        <f t="shared" si="29"/>
        <v>0</v>
      </c>
      <c r="AJ397" s="353">
        <f t="shared" si="30"/>
        <v>0</v>
      </c>
      <c r="AK397"/>
      <c r="AL397"/>
      <c r="AM397"/>
      <c r="AN397"/>
      <c r="AO397"/>
      <c r="AP397"/>
      <c r="AQ397" s="603" t="s">
        <v>6734</v>
      </c>
      <c r="AR397">
        <f t="shared" si="31"/>
        <v>0</v>
      </c>
      <c r="AS397">
        <f t="shared" si="32"/>
        <v>0</v>
      </c>
      <c r="AT397">
        <f t="shared" si="33"/>
        <v>0</v>
      </c>
    </row>
    <row r="398" spans="1:46" ht="15" customHeight="1">
      <c r="A398" s="57"/>
      <c r="B398" s="57"/>
      <c r="C398" s="98" t="s">
        <v>2527</v>
      </c>
      <c r="D398" s="796" t="s">
        <v>2609</v>
      </c>
      <c r="E398" s="796"/>
      <c r="F398" s="796"/>
      <c r="G398" s="796"/>
      <c r="H398" s="796"/>
      <c r="I398" s="796"/>
      <c r="J398" s="796"/>
      <c r="K398" s="796"/>
      <c r="L398" s="796"/>
      <c r="M398" s="749"/>
      <c r="N398" s="749"/>
      <c r="O398" s="749"/>
      <c r="P398" s="749"/>
      <c r="Q398" s="749"/>
      <c r="R398" s="749"/>
      <c r="S398" s="749"/>
      <c r="T398" s="749"/>
      <c r="U398" s="749"/>
      <c r="V398" s="749"/>
      <c r="W398" s="749"/>
      <c r="X398" s="749"/>
      <c r="Y398" s="749"/>
      <c r="Z398" s="749"/>
      <c r="AA398" s="749"/>
      <c r="AB398" s="749"/>
      <c r="AC398" s="749"/>
      <c r="AD398" s="749"/>
      <c r="AG398" s="283"/>
      <c r="AH398" s="353">
        <f t="shared" si="28"/>
        <v>0</v>
      </c>
      <c r="AI398" s="353">
        <f t="shared" si="29"/>
        <v>0</v>
      </c>
      <c r="AJ398" s="353">
        <f t="shared" si="30"/>
        <v>0</v>
      </c>
      <c r="AK398"/>
      <c r="AL398"/>
      <c r="AM398"/>
      <c r="AN398"/>
      <c r="AO398"/>
      <c r="AP398"/>
      <c r="AQ398" s="602" t="s">
        <v>3758</v>
      </c>
      <c r="AR398">
        <f t="shared" si="31"/>
        <v>0</v>
      </c>
      <c r="AS398">
        <f t="shared" si="32"/>
        <v>0</v>
      </c>
      <c r="AT398">
        <f>IF(OR(Y398="NS",$Y$335="NS"),0,IF(AND(Y398="NA",$Y$335="NA"),0,IF(Y398&lt;=$Y$335,0,1)))</f>
        <v>0</v>
      </c>
    </row>
    <row r="399" spans="1:46" ht="15">
      <c r="A399" s="57"/>
      <c r="B399" s="57"/>
      <c r="C399" s="38"/>
      <c r="D399" s="38"/>
      <c r="E399" s="38"/>
      <c r="F399" s="38"/>
      <c r="G399" s="38"/>
      <c r="H399" s="38"/>
      <c r="I399" s="38"/>
      <c r="J399" s="38"/>
      <c r="K399" s="38"/>
      <c r="L399" s="117" t="s">
        <v>2649</v>
      </c>
      <c r="M399" s="736">
        <f>IF(AND(SUM(M387:R398)=0,COUNTIF(M387:R398,"NS")&gt;0),"NS",
IF(AND(SUM(M387:R398)=0,COUNTIF(M387:R398,0)&gt;0),0,
IF(AND(SUM(M387:R398)=0,COUNTIF(M387:R398,"NA")&gt;0),"NA",
SUM(M387:R398))))</f>
        <v>0</v>
      </c>
      <c r="N399" s="736"/>
      <c r="O399" s="736"/>
      <c r="P399" s="736"/>
      <c r="Q399" s="736"/>
      <c r="R399" s="736"/>
      <c r="S399" s="736">
        <f t="shared" ref="S399" si="34">IF(AND(SUM(S387:X398)=0,COUNTIF(S387:X398,"NS")&gt;0),"NS",
IF(AND(SUM(S387:X398)=0,COUNTIF(S387:X398,0)&gt;0),0,
IF(AND(SUM(S387:X398)=0,COUNTIF(S387:X398,"NA")&gt;0),"NA",
SUM(S387:X398))))</f>
        <v>0</v>
      </c>
      <c r="T399" s="736"/>
      <c r="U399" s="736"/>
      <c r="V399" s="736"/>
      <c r="W399" s="736"/>
      <c r="X399" s="736"/>
      <c r="Y399" s="736">
        <f t="shared" ref="Y399" si="35">IF(AND(SUM(Y387:AD398)=0,COUNTIF(Y387:AD398,"NS")&gt;0),"NS",
IF(AND(SUM(Y387:AD398)=0,COUNTIF(Y387:AD398,0)&gt;0),0,
IF(AND(SUM(Y387:AD398)=0,COUNTIF(Y387:AD398,"NA")&gt;0),"NA",
SUM(Y387:AD398))))</f>
        <v>0</v>
      </c>
      <c r="Z399" s="736"/>
      <c r="AA399" s="736"/>
      <c r="AB399" s="736"/>
      <c r="AC399" s="736"/>
      <c r="AD399" s="736"/>
      <c r="AG399" s="283"/>
      <c r="AH399" s="282">
        <f>SUM(AH387:AH398)</f>
        <v>0</v>
      </c>
      <c r="AI399"/>
      <c r="AJ399" s="581">
        <f>SUM(AJ387:AJ398)</f>
        <v>0</v>
      </c>
      <c r="AK399"/>
      <c r="AL399"/>
      <c r="AM399"/>
      <c r="AN399"/>
      <c r="AO399"/>
      <c r="AP399"/>
      <c r="AQ399"/>
      <c r="AR399"/>
      <c r="AS399"/>
      <c r="AT399" s="590">
        <f>SUM(AR387:AT398)</f>
        <v>0</v>
      </c>
    </row>
    <row r="400" spans="1:46" ht="15">
      <c r="A400" s="57"/>
      <c r="B400" s="57"/>
      <c r="C400" s="90"/>
      <c r="D400" s="90"/>
      <c r="E400" s="90"/>
      <c r="F400" s="90"/>
      <c r="G400" s="90"/>
      <c r="H400" s="90"/>
      <c r="I400" s="90"/>
      <c r="J400" s="90"/>
      <c r="K400" s="90"/>
      <c r="L400" s="90"/>
      <c r="M400" s="90"/>
      <c r="N400" s="90"/>
      <c r="O400" s="90"/>
      <c r="P400" s="90"/>
      <c r="Q400" s="90"/>
      <c r="R400" s="90"/>
      <c r="S400" s="90"/>
      <c r="T400" s="90"/>
      <c r="U400" s="90"/>
      <c r="V400" s="90"/>
      <c r="W400" s="90"/>
      <c r="X400" s="90"/>
      <c r="Y400" s="90"/>
      <c r="Z400" s="90"/>
      <c r="AA400" s="90"/>
      <c r="AB400" s="90"/>
      <c r="AC400" s="90"/>
      <c r="AD400" s="90"/>
    </row>
    <row r="401" spans="1:46" ht="45" customHeight="1">
      <c r="A401" s="57"/>
      <c r="B401" s="57"/>
      <c r="C401" s="822" t="s">
        <v>2798</v>
      </c>
      <c r="D401" s="822"/>
      <c r="E401" s="822"/>
      <c r="F401" s="749"/>
      <c r="G401" s="749"/>
      <c r="H401" s="749"/>
      <c r="I401" s="749"/>
      <c r="J401" s="749"/>
      <c r="K401" s="749"/>
      <c r="L401" s="749"/>
      <c r="M401" s="749"/>
      <c r="N401" s="749"/>
      <c r="O401" s="749"/>
      <c r="P401" s="749"/>
      <c r="Q401" s="749"/>
      <c r="R401" s="749"/>
      <c r="S401" s="749"/>
      <c r="T401" s="749"/>
      <c r="U401" s="749"/>
      <c r="V401" s="749"/>
      <c r="W401" s="749"/>
      <c r="X401" s="749"/>
      <c r="Y401" s="749"/>
      <c r="Z401" s="749"/>
      <c r="AA401" s="749"/>
      <c r="AB401" s="749"/>
      <c r="AC401" s="749"/>
      <c r="AD401" s="749"/>
    </row>
    <row r="402" spans="1:46" ht="15">
      <c r="A402" s="57"/>
      <c r="B402" s="1175" t="str">
        <f>IF(AND(AK390&gt;0,F401=""),"Debido a que cuenta con registros mayores a cero en el numeral 12 debe anotar el nombre de dicho(s) tipo(s) de servicio(s)","")</f>
        <v/>
      </c>
      <c r="C402" s="1175"/>
      <c r="D402" s="1175"/>
      <c r="E402" s="1175"/>
      <c r="F402" s="1175"/>
      <c r="G402" s="1175"/>
      <c r="H402" s="1175"/>
      <c r="I402" s="1175"/>
      <c r="J402" s="1175"/>
      <c r="K402" s="1175"/>
      <c r="L402" s="1175"/>
      <c r="M402" s="1175"/>
      <c r="N402" s="1175"/>
      <c r="O402" s="1175"/>
      <c r="P402" s="1175"/>
      <c r="Q402" s="1175"/>
      <c r="R402" s="1175"/>
      <c r="S402" s="1175"/>
      <c r="T402" s="1175"/>
      <c r="U402" s="1175"/>
      <c r="V402" s="1175"/>
      <c r="W402" s="1175"/>
      <c r="X402" s="1175"/>
      <c r="Y402" s="1175"/>
      <c r="Z402" s="1175"/>
      <c r="AA402" s="1175"/>
      <c r="AB402" s="1175"/>
      <c r="AC402" s="1175"/>
      <c r="AD402" s="1175"/>
      <c r="AE402" s="1175"/>
    </row>
    <row r="403" spans="1:46" ht="24" customHeight="1">
      <c r="A403" s="57"/>
      <c r="B403" s="57"/>
      <c r="C403" s="754" t="s">
        <v>2611</v>
      </c>
      <c r="D403" s="754"/>
      <c r="E403" s="754"/>
      <c r="F403" s="754"/>
      <c r="G403" s="754"/>
      <c r="H403" s="754"/>
      <c r="I403" s="754"/>
      <c r="J403" s="754"/>
      <c r="K403" s="754"/>
      <c r="L403" s="754"/>
      <c r="M403" s="754"/>
      <c r="N403" s="754"/>
      <c r="O403" s="754"/>
      <c r="P403" s="754"/>
      <c r="Q403" s="754"/>
      <c r="R403" s="754"/>
      <c r="S403" s="754"/>
      <c r="T403" s="754"/>
      <c r="U403" s="754"/>
      <c r="V403" s="754"/>
      <c r="W403" s="754"/>
      <c r="X403" s="754"/>
      <c r="Y403" s="754"/>
      <c r="Z403" s="754"/>
      <c r="AA403" s="754"/>
      <c r="AB403" s="754"/>
      <c r="AC403" s="754"/>
      <c r="AD403" s="754"/>
    </row>
    <row r="404" spans="1:46" ht="60" customHeight="1">
      <c r="A404" s="57"/>
      <c r="B404" s="57"/>
      <c r="C404" s="851"/>
      <c r="D404" s="851"/>
      <c r="E404" s="851"/>
      <c r="F404" s="851"/>
      <c r="G404" s="851"/>
      <c r="H404" s="851"/>
      <c r="I404" s="851"/>
      <c r="J404" s="851"/>
      <c r="K404" s="851"/>
      <c r="L404" s="851"/>
      <c r="M404" s="851"/>
      <c r="N404" s="851"/>
      <c r="O404" s="851"/>
      <c r="P404" s="851"/>
      <c r="Q404" s="851"/>
      <c r="R404" s="851"/>
      <c r="S404" s="851"/>
      <c r="T404" s="851"/>
      <c r="U404" s="851"/>
      <c r="V404" s="851"/>
      <c r="W404" s="851"/>
      <c r="X404" s="851"/>
      <c r="Y404" s="851"/>
      <c r="Z404" s="851"/>
      <c r="AA404" s="851"/>
      <c r="AB404" s="851"/>
      <c r="AC404" s="851"/>
      <c r="AD404" s="851"/>
    </row>
    <row r="405" spans="1:46" ht="15">
      <c r="B405" s="794" t="str">
        <f>IF(AG387&gt;0,"Favor de ingresar toda la información requerida en la pregunta y/o verifique que no tenga información en celdas sombreadas","")</f>
        <v/>
      </c>
      <c r="C405" s="794"/>
      <c r="D405" s="794"/>
      <c r="E405" s="794"/>
      <c r="F405" s="794"/>
      <c r="G405" s="794"/>
      <c r="H405" s="794"/>
      <c r="I405" s="794"/>
      <c r="J405" s="794"/>
      <c r="K405" s="794"/>
      <c r="L405" s="794"/>
      <c r="M405" s="794"/>
      <c r="N405" s="794"/>
      <c r="O405" s="794"/>
      <c r="P405" s="794"/>
      <c r="Q405" s="794"/>
      <c r="R405" s="794"/>
      <c r="S405" s="794"/>
      <c r="T405" s="794"/>
      <c r="U405" s="794"/>
      <c r="V405" s="794"/>
      <c r="W405" s="794"/>
      <c r="X405" s="794"/>
      <c r="Y405" s="794"/>
      <c r="Z405" s="794"/>
      <c r="AA405" s="794"/>
      <c r="AB405" s="794"/>
      <c r="AC405" s="794"/>
      <c r="AD405" s="794"/>
      <c r="AE405"/>
    </row>
    <row r="406" spans="1:46" ht="15">
      <c r="B406" s="795" t="str">
        <f>IF(AH399&gt;0,"Alerta: debido a que cuenta con registros NS, debe proporcionar una justificación en el area de comentarios al final de la pregunta","")</f>
        <v/>
      </c>
      <c r="C406" s="795"/>
      <c r="D406" s="795"/>
      <c r="E406" s="795"/>
      <c r="F406" s="795"/>
      <c r="G406" s="795"/>
      <c r="H406" s="795"/>
      <c r="I406" s="795"/>
      <c r="J406" s="795"/>
      <c r="K406" s="795"/>
      <c r="L406" s="795"/>
      <c r="M406" s="795"/>
      <c r="N406" s="795"/>
      <c r="O406" s="795"/>
      <c r="P406" s="795"/>
      <c r="Q406" s="795"/>
      <c r="R406" s="795"/>
      <c r="S406" s="795"/>
      <c r="T406" s="795"/>
      <c r="U406" s="795"/>
      <c r="V406" s="795"/>
      <c r="W406" s="795"/>
      <c r="X406" s="795"/>
      <c r="Y406" s="795"/>
      <c r="Z406" s="795"/>
      <c r="AA406" s="795"/>
      <c r="AB406" s="795"/>
      <c r="AC406" s="795"/>
      <c r="AD406" s="795"/>
      <c r="AE406"/>
    </row>
    <row r="407" spans="1:46" ht="15">
      <c r="B407" s="1003" t="str">
        <f>IF(AJ399&gt;0,"Favor de revisar la suma y consistencia de totales y/o subtotales por filas (numéricos y NS)","")</f>
        <v/>
      </c>
      <c r="C407" s="1003"/>
      <c r="D407" s="1003"/>
      <c r="E407" s="1003"/>
      <c r="F407" s="1003"/>
      <c r="G407" s="1003"/>
      <c r="H407" s="1003"/>
      <c r="I407" s="1003"/>
      <c r="J407" s="1003"/>
      <c r="K407" s="1003"/>
      <c r="L407" s="1003"/>
      <c r="M407" s="1003"/>
      <c r="N407" s="1003"/>
      <c r="O407" s="1003"/>
      <c r="P407" s="1003"/>
      <c r="Q407" s="1003"/>
      <c r="R407" s="1003"/>
      <c r="S407" s="1003"/>
      <c r="T407" s="1003"/>
      <c r="U407" s="1003"/>
      <c r="V407" s="1003"/>
      <c r="W407" s="1003"/>
      <c r="X407" s="1003"/>
      <c r="Y407" s="1003"/>
      <c r="Z407" s="1003"/>
      <c r="AA407" s="1003"/>
      <c r="AB407" s="1003"/>
      <c r="AC407" s="1003"/>
      <c r="AD407" s="1003"/>
      <c r="AE407"/>
    </row>
    <row r="408" spans="1:46" ht="15">
      <c r="B408" s="794" t="str">
        <f>IF(AP388&gt;0,"Favor de revisar la instrucción 4 y verifique que se cumplan con los criterios establecidos","")</f>
        <v/>
      </c>
      <c r="C408" s="794"/>
      <c r="D408" s="794"/>
      <c r="E408" s="794"/>
      <c r="F408" s="794"/>
      <c r="G408" s="794"/>
      <c r="H408" s="794"/>
      <c r="I408" s="794"/>
      <c r="J408" s="794"/>
      <c r="K408" s="794"/>
      <c r="L408" s="794"/>
      <c r="M408" s="794"/>
      <c r="N408" s="794"/>
      <c r="O408" s="794"/>
      <c r="P408" s="794"/>
      <c r="Q408" s="794"/>
      <c r="R408" s="794"/>
      <c r="S408" s="794"/>
      <c r="T408" s="794"/>
      <c r="U408" s="794"/>
      <c r="V408" s="794"/>
      <c r="W408" s="794"/>
      <c r="X408" s="794"/>
      <c r="Y408" s="794"/>
      <c r="Z408" s="794"/>
      <c r="AA408" s="794"/>
      <c r="AB408" s="794"/>
      <c r="AC408" s="794"/>
      <c r="AD408" s="794"/>
      <c r="AE408" s="794"/>
    </row>
    <row r="409" spans="1:46" ht="15">
      <c r="B409" s="795" t="str">
        <f>IF(AT399&gt;0,"Alerta: debe de proporcionar una justificación de acuerdo a lo establecido en la instrucción 5","")</f>
        <v/>
      </c>
      <c r="C409" s="795"/>
      <c r="D409" s="795"/>
      <c r="E409" s="795"/>
      <c r="F409" s="795"/>
      <c r="G409" s="795"/>
      <c r="H409" s="795"/>
      <c r="I409" s="795"/>
      <c r="J409" s="795"/>
      <c r="K409" s="795"/>
      <c r="L409" s="795"/>
      <c r="M409" s="795"/>
      <c r="N409" s="795"/>
      <c r="O409" s="795"/>
      <c r="P409" s="795"/>
      <c r="Q409" s="795"/>
      <c r="R409" s="795"/>
      <c r="S409" s="795"/>
      <c r="T409" s="795"/>
      <c r="U409" s="795"/>
      <c r="V409" s="795"/>
      <c r="W409" s="795"/>
      <c r="X409" s="795"/>
      <c r="Y409" s="795"/>
      <c r="Z409" s="795"/>
      <c r="AA409" s="795"/>
      <c r="AB409" s="795"/>
      <c r="AC409" s="795"/>
      <c r="AD409" s="795"/>
      <c r="AE409"/>
    </row>
    <row r="410" spans="1:46" ht="15">
      <c r="AE410"/>
    </row>
    <row r="411" spans="1:46" ht="36" customHeight="1">
      <c r="A411" s="108" t="s">
        <v>6735</v>
      </c>
      <c r="B411" s="829" t="s">
        <v>6736</v>
      </c>
      <c r="C411" s="829" t="s">
        <v>6662</v>
      </c>
      <c r="D411" s="829"/>
      <c r="E411" s="829"/>
      <c r="F411" s="829"/>
      <c r="G411" s="829"/>
      <c r="H411" s="829"/>
      <c r="I411" s="829"/>
      <c r="J411" s="829"/>
      <c r="K411" s="829"/>
      <c r="L411" s="829"/>
      <c r="M411" s="829"/>
      <c r="N411" s="829"/>
      <c r="O411" s="829"/>
      <c r="P411" s="829"/>
      <c r="Q411" s="829"/>
      <c r="R411" s="829"/>
      <c r="S411" s="829"/>
      <c r="T411" s="829"/>
      <c r="U411" s="829"/>
      <c r="V411" s="829"/>
      <c r="W411" s="829"/>
      <c r="X411" s="829"/>
      <c r="Y411" s="829"/>
      <c r="Z411" s="829"/>
      <c r="AA411" s="829"/>
      <c r="AB411" s="829"/>
      <c r="AC411" s="829"/>
      <c r="AD411" s="829"/>
    </row>
    <row r="412" spans="1:46" ht="24" customHeight="1">
      <c r="A412" s="110"/>
      <c r="B412" s="57"/>
      <c r="C412" s="754" t="s">
        <v>6737</v>
      </c>
      <c r="D412" s="754"/>
      <c r="E412" s="754"/>
      <c r="F412" s="754"/>
      <c r="G412" s="754"/>
      <c r="H412" s="754"/>
      <c r="I412" s="754"/>
      <c r="J412" s="754"/>
      <c r="K412" s="754"/>
      <c r="L412" s="754"/>
      <c r="M412" s="754"/>
      <c r="N412" s="754"/>
      <c r="O412" s="754"/>
      <c r="P412" s="754"/>
      <c r="Q412" s="754"/>
      <c r="R412" s="754"/>
      <c r="S412" s="754"/>
      <c r="T412" s="754"/>
      <c r="U412" s="754"/>
      <c r="V412" s="754"/>
      <c r="W412" s="754"/>
      <c r="X412" s="754"/>
      <c r="Y412" s="754"/>
      <c r="Z412" s="754"/>
      <c r="AA412" s="754"/>
      <c r="AB412" s="754"/>
      <c r="AC412" s="754"/>
      <c r="AD412" s="754"/>
    </row>
    <row r="413" spans="1:46" ht="36" customHeight="1">
      <c r="A413" s="110"/>
      <c r="B413" s="57"/>
      <c r="C413" s="754" t="s">
        <v>6738</v>
      </c>
      <c r="D413" s="754"/>
      <c r="E413" s="754"/>
      <c r="F413" s="754"/>
      <c r="G413" s="754"/>
      <c r="H413" s="754"/>
      <c r="I413" s="754"/>
      <c r="J413" s="754"/>
      <c r="K413" s="754"/>
      <c r="L413" s="754"/>
      <c r="M413" s="754"/>
      <c r="N413" s="754"/>
      <c r="O413" s="754"/>
      <c r="P413" s="754"/>
      <c r="Q413" s="754"/>
      <c r="R413" s="754"/>
      <c r="S413" s="754"/>
      <c r="T413" s="754"/>
      <c r="U413" s="754"/>
      <c r="V413" s="754"/>
      <c r="W413" s="754"/>
      <c r="X413" s="754"/>
      <c r="Y413" s="754"/>
      <c r="Z413" s="754"/>
      <c r="AA413" s="754"/>
      <c r="AB413" s="754"/>
      <c r="AC413" s="754"/>
      <c r="AD413" s="754"/>
    </row>
    <row r="414" spans="1:46" ht="48" customHeight="1">
      <c r="A414" s="110"/>
      <c r="B414" s="57"/>
      <c r="C414" s="754" t="s">
        <v>6739</v>
      </c>
      <c r="D414" s="754"/>
      <c r="E414" s="754"/>
      <c r="F414" s="754"/>
      <c r="G414" s="754"/>
      <c r="H414" s="754"/>
      <c r="I414" s="754"/>
      <c r="J414" s="754"/>
      <c r="K414" s="754"/>
      <c r="L414" s="754"/>
      <c r="M414" s="754"/>
      <c r="N414" s="754"/>
      <c r="O414" s="754"/>
      <c r="P414" s="754"/>
      <c r="Q414" s="754"/>
      <c r="R414" s="754"/>
      <c r="S414" s="754"/>
      <c r="T414" s="754"/>
      <c r="U414" s="754"/>
      <c r="V414" s="754"/>
      <c r="W414" s="754"/>
      <c r="X414" s="754"/>
      <c r="Y414" s="754"/>
      <c r="Z414" s="754"/>
      <c r="AA414" s="754"/>
      <c r="AB414" s="754"/>
      <c r="AC414" s="754"/>
      <c r="AD414" s="754"/>
    </row>
    <row r="415" spans="1:46" ht="24" customHeight="1">
      <c r="A415" s="110"/>
      <c r="B415" s="57"/>
      <c r="C415" s="754" t="s">
        <v>6740</v>
      </c>
      <c r="D415" s="754"/>
      <c r="E415" s="754"/>
      <c r="F415" s="754"/>
      <c r="G415" s="754"/>
      <c r="H415" s="754"/>
      <c r="I415" s="754"/>
      <c r="J415" s="754"/>
      <c r="K415" s="754"/>
      <c r="L415" s="754"/>
      <c r="M415" s="754"/>
      <c r="N415" s="754"/>
      <c r="O415" s="754"/>
      <c r="P415" s="754"/>
      <c r="Q415" s="754"/>
      <c r="R415" s="754"/>
      <c r="S415" s="754"/>
      <c r="T415" s="754"/>
      <c r="U415" s="754"/>
      <c r="V415" s="754"/>
      <c r="W415" s="754"/>
      <c r="X415" s="754"/>
      <c r="Y415" s="754"/>
      <c r="Z415" s="754"/>
      <c r="AA415" s="754"/>
      <c r="AB415" s="754"/>
      <c r="AC415" s="754"/>
      <c r="AD415" s="754"/>
    </row>
    <row r="416" spans="1:46" ht="15">
      <c r="A416" s="57"/>
      <c r="B416" s="57"/>
      <c r="C416" s="57"/>
      <c r="D416" s="57"/>
      <c r="E416" s="57"/>
      <c r="F416" s="57"/>
      <c r="G416" s="57"/>
      <c r="H416" s="57"/>
      <c r="I416" s="57"/>
      <c r="J416" s="57"/>
      <c r="K416" s="57"/>
      <c r="L416" s="57"/>
      <c r="M416" s="57"/>
      <c r="N416" s="57"/>
      <c r="O416" s="57"/>
      <c r="P416" s="57"/>
      <c r="Q416" s="57"/>
      <c r="R416" s="57"/>
      <c r="S416" s="57"/>
      <c r="T416" s="57"/>
      <c r="U416" s="57"/>
      <c r="V416" s="57"/>
      <c r="W416" s="57"/>
      <c r="X416" s="57"/>
      <c r="Y416" s="57"/>
      <c r="Z416" s="57"/>
      <c r="AA416" s="57"/>
      <c r="AB416" s="57"/>
      <c r="AC416" s="57"/>
      <c r="AD416" s="57"/>
      <c r="AG416"/>
      <c r="AH416"/>
      <c r="AI416"/>
      <c r="AJ416"/>
      <c r="AK416" s="1176" t="s">
        <v>6540</v>
      </c>
      <c r="AL416" s="1177" t="s">
        <v>6667</v>
      </c>
      <c r="AM416" s="1177" t="s">
        <v>6684</v>
      </c>
      <c r="AN416"/>
      <c r="AO416"/>
      <c r="AP416"/>
      <c r="AQ416" s="1200" t="s">
        <v>6709</v>
      </c>
      <c r="AR416" s="1201" t="s">
        <v>6741</v>
      </c>
      <c r="AS416" s="1201"/>
      <c r="AT416" s="1201"/>
    </row>
    <row r="417" spans="1:46" ht="24" customHeight="1">
      <c r="A417" s="57"/>
      <c r="B417" s="57"/>
      <c r="C417" s="732" t="s">
        <v>6742</v>
      </c>
      <c r="D417" s="732"/>
      <c r="E417" s="732"/>
      <c r="F417" s="732"/>
      <c r="G417" s="732"/>
      <c r="H417" s="732"/>
      <c r="I417" s="732"/>
      <c r="J417" s="732"/>
      <c r="K417" s="732"/>
      <c r="L417" s="732"/>
      <c r="M417" s="732" t="s">
        <v>6743</v>
      </c>
      <c r="N417" s="732"/>
      <c r="O417" s="732"/>
      <c r="P417" s="732"/>
      <c r="Q417" s="732"/>
      <c r="R417" s="732"/>
      <c r="S417" s="732"/>
      <c r="T417" s="732"/>
      <c r="U417" s="732"/>
      <c r="V417" s="732"/>
      <c r="W417" s="732"/>
      <c r="X417" s="732"/>
      <c r="Y417" s="732"/>
      <c r="Z417" s="732"/>
      <c r="AA417" s="732"/>
      <c r="AB417" s="732"/>
      <c r="AC417" s="732"/>
      <c r="AD417" s="732"/>
      <c r="AG417"/>
      <c r="AH417"/>
      <c r="AI417"/>
      <c r="AJ417"/>
      <c r="AK417" s="1176"/>
      <c r="AL417" s="1177"/>
      <c r="AM417" s="1177"/>
      <c r="AN417" s="1202" t="s">
        <v>6713</v>
      </c>
      <c r="AO417" s="1202"/>
      <c r="AP417" s="1202"/>
      <c r="AQ417" s="1200"/>
      <c r="AR417" s="1201"/>
      <c r="AS417" s="1201"/>
      <c r="AT417" s="1201"/>
    </row>
    <row r="418" spans="1:46" ht="15">
      <c r="A418" s="57"/>
      <c r="B418" s="57"/>
      <c r="C418" s="732"/>
      <c r="D418" s="732"/>
      <c r="E418" s="732"/>
      <c r="F418" s="732"/>
      <c r="G418" s="732"/>
      <c r="H418" s="732"/>
      <c r="I418" s="732"/>
      <c r="J418" s="732"/>
      <c r="K418" s="732"/>
      <c r="L418" s="732"/>
      <c r="M418" s="987" t="s">
        <v>2628</v>
      </c>
      <c r="N418" s="988"/>
      <c r="O418" s="988"/>
      <c r="P418" s="988"/>
      <c r="Q418" s="988"/>
      <c r="R418" s="988"/>
      <c r="S418" s="989" t="s">
        <v>2629</v>
      </c>
      <c r="T418" s="990"/>
      <c r="U418" s="990"/>
      <c r="V418" s="990"/>
      <c r="W418" s="990"/>
      <c r="X418" s="990"/>
      <c r="Y418" s="989" t="s">
        <v>2630</v>
      </c>
      <c r="Z418" s="990"/>
      <c r="AA418" s="990"/>
      <c r="AB418" s="990"/>
      <c r="AC418" s="990"/>
      <c r="AD418" s="990"/>
      <c r="AG418" s="354" t="s">
        <v>2586</v>
      </c>
      <c r="AH418" s="350" t="s">
        <v>2590</v>
      </c>
      <c r="AI418" s="351" t="s">
        <v>3163</v>
      </c>
      <c r="AJ418" s="352" t="s">
        <v>3164</v>
      </c>
      <c r="AK418" s="1176"/>
      <c r="AL418" s="1177"/>
      <c r="AM418" s="1177"/>
      <c r="AN418" s="604" t="s">
        <v>2795</v>
      </c>
      <c r="AO418" s="418" t="s">
        <v>3177</v>
      </c>
      <c r="AP418" s="605" t="s">
        <v>3178</v>
      </c>
      <c r="AQ418" s="1200"/>
      <c r="AR418" s="606" t="s">
        <v>2795</v>
      </c>
      <c r="AS418" s="339" t="s">
        <v>3177</v>
      </c>
      <c r="AT418" s="592" t="s">
        <v>3178</v>
      </c>
    </row>
    <row r="419" spans="1:46" ht="24" customHeight="1">
      <c r="A419" s="57"/>
      <c r="B419" s="57"/>
      <c r="C419" s="97" t="s">
        <v>2516</v>
      </c>
      <c r="D419" s="1084" t="s">
        <v>6744</v>
      </c>
      <c r="E419" s="1084"/>
      <c r="F419" s="1084"/>
      <c r="G419" s="1084"/>
      <c r="H419" s="1084"/>
      <c r="I419" s="1084"/>
      <c r="J419" s="1084"/>
      <c r="K419" s="1084"/>
      <c r="L419" s="1084"/>
      <c r="M419" s="749"/>
      <c r="N419" s="749"/>
      <c r="O419" s="749"/>
      <c r="P419" s="749"/>
      <c r="Q419" s="749"/>
      <c r="R419" s="749"/>
      <c r="S419" s="749"/>
      <c r="T419" s="749"/>
      <c r="U419" s="749"/>
      <c r="V419" s="749"/>
      <c r="W419" s="749"/>
      <c r="X419" s="749"/>
      <c r="Y419" s="749"/>
      <c r="Z419" s="749"/>
      <c r="AA419" s="749"/>
      <c r="AB419" s="749"/>
      <c r="AC419" s="749"/>
      <c r="AD419" s="749"/>
      <c r="AG419" s="283">
        <f>IF(AND(OR($I$25="X",$T$25="X"),COUNTA(M419:AD425)=0),0,IF(AND($I$25="",$T$25="",SUM($C$313)=0,COUNTA(M419:AD425)=0),0,IF(AND($I$25="",$T$25="",SUM($C$313)&gt;0,SUM($M$336)=0,COUNTA(M419:AD425)=0),0,IF(AND($I$25="",$T$25="",SUM($C$313)&gt;0,SUM($M$336)&gt;0,COUNTA(M419:AD425)=21),0,1))))</f>
        <v>0</v>
      </c>
      <c r="AH419" s="353">
        <f>COUNTIF(S419:AD419,"NS")</f>
        <v>0</v>
      </c>
      <c r="AI419" s="353">
        <f>SUM(S419:AD419)</f>
        <v>0</v>
      </c>
      <c r="AJ419" s="353">
        <f>IF(COUNTIF(M419:AD419,"NA")=3,0,IF(OR(AND(M419=0,AH419&gt;0),AND(M419="ns",AI419&gt;0),AND(M419="ns",AH419=0,AI419=0)),1,IF(OR(AND(M419&gt;0,AH419=2),AND(M419="ns",AH419=2),AND(M419="ns",AI419=0,AH419&gt;0),M419=AI419),0,1)))</f>
        <v>0</v>
      </c>
      <c r="AK419" s="342">
        <f>IF(AND(OR($T$25="X",$I$25="X"),COUNTA(M419:AD425)&gt;0),1,0)</f>
        <v>0</v>
      </c>
      <c r="AL419">
        <f>IF(AND(SUM($C$313)=0,COUNTA(M419:AD425)&gt;0),1,0)</f>
        <v>0</v>
      </c>
      <c r="AM419">
        <f>IF(AND(SUM($M$336)=0,COUNTA(M419:AD425)&gt;0),1,0)</f>
        <v>0</v>
      </c>
      <c r="AN419">
        <f>IF(OR(M426="NS",$M$336="NS"),0,IF(AND(M426="NA",$M$336="NA"),0,IF(M426&gt;=$M$336,0,1)))</f>
        <v>0</v>
      </c>
      <c r="AO419">
        <f>IF(OR(S426="NS",$S$336="NS"),0,IF(AND(S426="NA",$S$336="NA"),0,IF(S426&gt;=$S$336,0,1)))</f>
        <v>0</v>
      </c>
      <c r="AP419">
        <f>IF(OR(Y426="NS",$Y$336="NS"),0,IF(AND(Y426="NA",$Y$336="NA"),0,IF(Y426&gt;=$Y$336,0,1)))</f>
        <v>0</v>
      </c>
      <c r="AQ419" s="607" t="s">
        <v>6745</v>
      </c>
      <c r="AR419">
        <f>IF(OR(M419="NS",$M$336="NS"),0,IF(AND(M419="NA",$M$336="NA"),0,IF(M419&lt;=$M$336,0,1)))</f>
        <v>0</v>
      </c>
      <c r="AS419">
        <f>IF(OR(S419="NS",$S$336="NS"),0,IF(AND(S419="NA",$S$336="NA"),0,IF(S419&lt;=$S$336,0,1)))</f>
        <v>0</v>
      </c>
      <c r="AT419">
        <f>IF(OR(Y419="NS",$Y$336="NS"),0,IF(AND(Y419="NA",$Y$336="NA"),0,IF(Y419&lt;=$Y$336,0,1)))</f>
        <v>0</v>
      </c>
    </row>
    <row r="420" spans="1:46" ht="15" customHeight="1">
      <c r="A420" s="57"/>
      <c r="B420" s="57"/>
      <c r="C420" s="98" t="s">
        <v>2517</v>
      </c>
      <c r="D420" s="796" t="s">
        <v>6746</v>
      </c>
      <c r="E420" s="796"/>
      <c r="F420" s="796"/>
      <c r="G420" s="796"/>
      <c r="H420" s="796"/>
      <c r="I420" s="796"/>
      <c r="J420" s="796"/>
      <c r="K420" s="796"/>
      <c r="L420" s="796"/>
      <c r="M420" s="749"/>
      <c r="N420" s="749"/>
      <c r="O420" s="749"/>
      <c r="P420" s="749"/>
      <c r="Q420" s="749"/>
      <c r="R420" s="749"/>
      <c r="S420" s="749"/>
      <c r="T420" s="749"/>
      <c r="U420" s="749"/>
      <c r="V420" s="749"/>
      <c r="W420" s="749"/>
      <c r="X420" s="749"/>
      <c r="Y420" s="749"/>
      <c r="Z420" s="749"/>
      <c r="AA420" s="749"/>
      <c r="AB420" s="749"/>
      <c r="AC420" s="749"/>
      <c r="AD420" s="749"/>
      <c r="AG420" s="283"/>
      <c r="AH420" s="353">
        <f t="shared" ref="AH420:AH425" si="36">COUNTIF(S420:AD420,"NS")</f>
        <v>0</v>
      </c>
      <c r="AI420" s="353">
        <f t="shared" ref="AI420:AI425" si="37">SUM(S420:AD420)</f>
        <v>0</v>
      </c>
      <c r="AJ420" s="353">
        <f t="shared" ref="AJ420:AJ424" si="38">IF(COUNTIF(M420:AD420,"NA")=3,0,IF(OR(AND(M420=0,AH420&gt;0),AND(M420="ns",AI420&gt;0),AND(M420="ns",AH420=0,AI420=0)),1,IF(OR(AND(M420&gt;0,AH420=2),AND(M420="ns",AH420=2),AND(M420="ns",AI420=0,AH420&gt;0),M420=AI420),0,1)))</f>
        <v>0</v>
      </c>
      <c r="AK420"/>
      <c r="AL420"/>
      <c r="AM420"/>
      <c r="AN420"/>
      <c r="AO420"/>
      <c r="AP420" s="608">
        <f>SUM(AN419:AP419)</f>
        <v>0</v>
      </c>
      <c r="AQ420" s="609" t="s">
        <v>6696</v>
      </c>
      <c r="AR420">
        <f t="shared" ref="AR420:AR425" si="39">IF(OR(M420="NS",$M$336="NS"),0,IF(AND(M420="NA",$M$336="NA"),0,IF(M420&lt;=$M$336,0,1)))</f>
        <v>0</v>
      </c>
      <c r="AS420">
        <f t="shared" ref="AS420:AS425" si="40">IF(OR(S420="NS",$S$336="NS"),0,IF(AND(S420="NA",$S$336="NA"),0,IF(S420&lt;=$S$336,0,1)))</f>
        <v>0</v>
      </c>
      <c r="AT420">
        <f t="shared" ref="AT420:AT424" si="41">IF(OR(Y420="NS",$Y$336="NS"),0,IF(AND(Y420="NA",$Y$336="NA"),0,IF(Y420&lt;=$Y$336,0,1)))</f>
        <v>0</v>
      </c>
    </row>
    <row r="421" spans="1:46" ht="24" customHeight="1">
      <c r="A421" s="57"/>
      <c r="B421" s="57"/>
      <c r="C421" s="98" t="s">
        <v>2518</v>
      </c>
      <c r="D421" s="796" t="s">
        <v>6747</v>
      </c>
      <c r="E421" s="796"/>
      <c r="F421" s="796"/>
      <c r="G421" s="796"/>
      <c r="H421" s="796"/>
      <c r="I421" s="796"/>
      <c r="J421" s="796"/>
      <c r="K421" s="796"/>
      <c r="L421" s="796"/>
      <c r="M421" s="749"/>
      <c r="N421" s="749"/>
      <c r="O421" s="749"/>
      <c r="P421" s="749"/>
      <c r="Q421" s="749"/>
      <c r="R421" s="749"/>
      <c r="S421" s="749"/>
      <c r="T421" s="749"/>
      <c r="U421" s="749"/>
      <c r="V421" s="749"/>
      <c r="W421" s="749"/>
      <c r="X421" s="749"/>
      <c r="Y421" s="749"/>
      <c r="Z421" s="749"/>
      <c r="AA421" s="749"/>
      <c r="AB421" s="749"/>
      <c r="AC421" s="749"/>
      <c r="AD421" s="749"/>
      <c r="AG421" s="283"/>
      <c r="AH421" s="353">
        <f t="shared" si="36"/>
        <v>0</v>
      </c>
      <c r="AI421" s="353">
        <f t="shared" si="37"/>
        <v>0</v>
      </c>
      <c r="AJ421" s="353">
        <f t="shared" si="38"/>
        <v>0</v>
      </c>
      <c r="AK421" s="610" t="s">
        <v>6693</v>
      </c>
      <c r="AL421"/>
      <c r="AM421"/>
      <c r="AN421"/>
      <c r="AO421"/>
      <c r="AP421"/>
      <c r="AQ421" s="607" t="s">
        <v>6748</v>
      </c>
      <c r="AR421">
        <f t="shared" si="39"/>
        <v>0</v>
      </c>
      <c r="AS421">
        <f t="shared" si="40"/>
        <v>0</v>
      </c>
      <c r="AT421">
        <f t="shared" si="41"/>
        <v>0</v>
      </c>
    </row>
    <row r="422" spans="1:46" ht="15" customHeight="1">
      <c r="A422" s="57"/>
      <c r="B422" s="57"/>
      <c r="C422" s="98" t="s">
        <v>2519</v>
      </c>
      <c r="D422" s="796" t="s">
        <v>6749</v>
      </c>
      <c r="E422" s="796"/>
      <c r="F422" s="796"/>
      <c r="G422" s="796"/>
      <c r="H422" s="796"/>
      <c r="I422" s="796"/>
      <c r="J422" s="796"/>
      <c r="K422" s="796"/>
      <c r="L422" s="796"/>
      <c r="M422" s="749"/>
      <c r="N422" s="749"/>
      <c r="O422" s="749"/>
      <c r="P422" s="749"/>
      <c r="Q422" s="749"/>
      <c r="R422" s="749"/>
      <c r="S422" s="749"/>
      <c r="T422" s="749"/>
      <c r="U422" s="749"/>
      <c r="V422" s="749"/>
      <c r="W422" s="749"/>
      <c r="X422" s="749"/>
      <c r="Y422" s="749"/>
      <c r="Z422" s="749"/>
      <c r="AA422" s="749"/>
      <c r="AB422" s="749"/>
      <c r="AC422" s="749"/>
      <c r="AD422" s="749"/>
      <c r="AG422" s="283"/>
      <c r="AH422" s="353">
        <f t="shared" si="36"/>
        <v>0</v>
      </c>
      <c r="AI422" s="353">
        <f t="shared" si="37"/>
        <v>0</v>
      </c>
      <c r="AJ422" s="353">
        <f t="shared" si="38"/>
        <v>0</v>
      </c>
      <c r="AK422">
        <f>IF(SUM(M425:AD425)&gt;0,1,0)</f>
        <v>0</v>
      </c>
      <c r="AL422"/>
      <c r="AM422"/>
      <c r="AN422"/>
      <c r="AO422"/>
      <c r="AP422"/>
      <c r="AQ422" s="609" t="s">
        <v>6750</v>
      </c>
      <c r="AR422">
        <f t="shared" si="39"/>
        <v>0</v>
      </c>
      <c r="AS422">
        <f t="shared" si="40"/>
        <v>0</v>
      </c>
      <c r="AT422">
        <f t="shared" si="41"/>
        <v>0</v>
      </c>
    </row>
    <row r="423" spans="1:46" ht="15" customHeight="1">
      <c r="A423" s="57"/>
      <c r="B423" s="57"/>
      <c r="C423" s="98" t="s">
        <v>2520</v>
      </c>
      <c r="D423" s="1084" t="s">
        <v>6751</v>
      </c>
      <c r="E423" s="1084"/>
      <c r="F423" s="1084"/>
      <c r="G423" s="1084"/>
      <c r="H423" s="1084"/>
      <c r="I423" s="1084"/>
      <c r="J423" s="1084"/>
      <c r="K423" s="1084"/>
      <c r="L423" s="1084"/>
      <c r="M423" s="749"/>
      <c r="N423" s="749"/>
      <c r="O423" s="749"/>
      <c r="P423" s="749"/>
      <c r="Q423" s="749"/>
      <c r="R423" s="749"/>
      <c r="S423" s="749"/>
      <c r="T423" s="749"/>
      <c r="U423" s="749"/>
      <c r="V423" s="749"/>
      <c r="W423" s="749"/>
      <c r="X423" s="749"/>
      <c r="Y423" s="749"/>
      <c r="Z423" s="749"/>
      <c r="AA423" s="749"/>
      <c r="AB423" s="749"/>
      <c r="AC423" s="749"/>
      <c r="AD423" s="749"/>
      <c r="AG423" s="283"/>
      <c r="AH423" s="353">
        <f t="shared" si="36"/>
        <v>0</v>
      </c>
      <c r="AI423" s="353">
        <f t="shared" si="37"/>
        <v>0</v>
      </c>
      <c r="AJ423" s="353">
        <f t="shared" si="38"/>
        <v>0</v>
      </c>
      <c r="AK423"/>
      <c r="AL423"/>
      <c r="AM423"/>
      <c r="AN423"/>
      <c r="AO423"/>
      <c r="AP423"/>
      <c r="AQ423" s="607" t="s">
        <v>6698</v>
      </c>
      <c r="AR423">
        <f t="shared" si="39"/>
        <v>0</v>
      </c>
      <c r="AS423">
        <f t="shared" si="40"/>
        <v>0</v>
      </c>
      <c r="AT423">
        <f t="shared" si="41"/>
        <v>0</v>
      </c>
    </row>
    <row r="424" spans="1:46" ht="24" customHeight="1">
      <c r="A424" s="57"/>
      <c r="B424" s="57"/>
      <c r="C424" s="98" t="s">
        <v>2521</v>
      </c>
      <c r="D424" s="1084" t="s">
        <v>6752</v>
      </c>
      <c r="E424" s="1084"/>
      <c r="F424" s="1084"/>
      <c r="G424" s="1084"/>
      <c r="H424" s="1084"/>
      <c r="I424" s="1084"/>
      <c r="J424" s="1084"/>
      <c r="K424" s="1084"/>
      <c r="L424" s="1084"/>
      <c r="M424" s="749"/>
      <c r="N424" s="749"/>
      <c r="O424" s="749"/>
      <c r="P424" s="749"/>
      <c r="Q424" s="749"/>
      <c r="R424" s="749"/>
      <c r="S424" s="749"/>
      <c r="T424" s="749"/>
      <c r="U424" s="749"/>
      <c r="V424" s="749"/>
      <c r="W424" s="749"/>
      <c r="X424" s="749"/>
      <c r="Y424" s="749"/>
      <c r="Z424" s="749"/>
      <c r="AA424" s="749"/>
      <c r="AB424" s="749"/>
      <c r="AC424" s="749"/>
      <c r="AD424" s="749"/>
      <c r="AG424" s="283"/>
      <c r="AH424" s="353">
        <f t="shared" si="36"/>
        <v>0</v>
      </c>
      <c r="AI424" s="353">
        <f t="shared" si="37"/>
        <v>0</v>
      </c>
      <c r="AJ424" s="353">
        <f t="shared" si="38"/>
        <v>0</v>
      </c>
      <c r="AK424"/>
      <c r="AL424"/>
      <c r="AM424"/>
      <c r="AN424"/>
      <c r="AO424"/>
      <c r="AP424"/>
      <c r="AQ424" s="609" t="s">
        <v>6753</v>
      </c>
      <c r="AR424">
        <f t="shared" si="39"/>
        <v>0</v>
      </c>
      <c r="AS424">
        <f t="shared" si="40"/>
        <v>0</v>
      </c>
      <c r="AT424">
        <f t="shared" si="41"/>
        <v>0</v>
      </c>
    </row>
    <row r="425" spans="1:46" ht="15" customHeight="1">
      <c r="A425" s="57"/>
      <c r="B425" s="57"/>
      <c r="C425" s="98" t="s">
        <v>2522</v>
      </c>
      <c r="D425" s="796" t="s">
        <v>2609</v>
      </c>
      <c r="E425" s="796"/>
      <c r="F425" s="796"/>
      <c r="G425" s="796"/>
      <c r="H425" s="796"/>
      <c r="I425" s="796"/>
      <c r="J425" s="796"/>
      <c r="K425" s="796"/>
      <c r="L425" s="796"/>
      <c r="M425" s="749"/>
      <c r="N425" s="749"/>
      <c r="O425" s="749"/>
      <c r="P425" s="749"/>
      <c r="Q425" s="749"/>
      <c r="R425" s="749"/>
      <c r="S425" s="749"/>
      <c r="T425" s="749"/>
      <c r="U425" s="749"/>
      <c r="V425" s="749"/>
      <c r="W425" s="749"/>
      <c r="X425" s="749"/>
      <c r="Y425" s="749"/>
      <c r="Z425" s="749"/>
      <c r="AA425" s="749"/>
      <c r="AB425" s="749"/>
      <c r="AC425" s="749"/>
      <c r="AD425" s="749"/>
      <c r="AG425" s="283"/>
      <c r="AH425" s="353">
        <f t="shared" si="36"/>
        <v>0</v>
      </c>
      <c r="AI425" s="353">
        <f t="shared" si="37"/>
        <v>0</v>
      </c>
      <c r="AJ425" s="353">
        <f>IF(COUNTIF(M425:AD425,"NA")=3,0,IF(OR(AND(M425=0,AH425&gt;0),AND(M425="ns",AI425&gt;0),AND(M425="ns",AH425=0,AI425=0)),1,IF(OR(AND(M425&gt;0,AH425=2),AND(M425="ns",AH425=2),AND(M425="ns",AI425=0,AH425&gt;0),M425=AI425),0,1)))</f>
        <v>0</v>
      </c>
      <c r="AK425"/>
      <c r="AL425"/>
      <c r="AM425"/>
      <c r="AN425"/>
      <c r="AO425"/>
      <c r="AP425"/>
      <c r="AQ425" s="607" t="s">
        <v>6754</v>
      </c>
      <c r="AR425">
        <f t="shared" si="39"/>
        <v>0</v>
      </c>
      <c r="AS425">
        <f t="shared" si="40"/>
        <v>0</v>
      </c>
      <c r="AT425">
        <f>IF(OR(Y425="NS",$Y$336="NS"),0,IF(AND(Y425="NA",$Y$336="NA"),0,IF(Y425&lt;=$Y$336,0,1)))</f>
        <v>0</v>
      </c>
    </row>
    <row r="426" spans="1:46" ht="15">
      <c r="A426" s="57"/>
      <c r="B426" s="57"/>
      <c r="C426" s="38"/>
      <c r="D426" s="38"/>
      <c r="E426" s="38"/>
      <c r="F426" s="38"/>
      <c r="G426" s="38"/>
      <c r="H426" s="38"/>
      <c r="I426" s="38"/>
      <c r="J426" s="38"/>
      <c r="K426" s="38"/>
      <c r="L426" s="117" t="s">
        <v>2649</v>
      </c>
      <c r="M426" s="736">
        <f>IF(AND(SUM(M419:R425)=0,COUNTIF(M419:R425,"NS")&gt;0),"NS",
IF(AND(SUM(M419:R425)=0,COUNTIF(M419:R425,0)&gt;0),0,
IF(AND(SUM(M419:R425)=0,COUNTIF(M419:R425,"NA")&gt;0),"NA",
SUM(M419:R425))))</f>
        <v>0</v>
      </c>
      <c r="N426" s="736"/>
      <c r="O426" s="736"/>
      <c r="P426" s="736"/>
      <c r="Q426" s="736"/>
      <c r="R426" s="736"/>
      <c r="S426" s="736">
        <f t="shared" ref="S426" si="42">IF(AND(SUM(S419:X425)=0,COUNTIF(S419:X425,"NS")&gt;0),"NS",
IF(AND(SUM(S419:X425)=0,COUNTIF(S419:X425,0)&gt;0),0,
IF(AND(SUM(S419:X425)=0,COUNTIF(S419:X425,"NA")&gt;0),"NA",
SUM(S419:X425))))</f>
        <v>0</v>
      </c>
      <c r="T426" s="736"/>
      <c r="U426" s="736"/>
      <c r="V426" s="736"/>
      <c r="W426" s="736"/>
      <c r="X426" s="736"/>
      <c r="Y426" s="736">
        <f t="shared" ref="Y426" si="43">IF(AND(SUM(Y419:AD425)=0,COUNTIF(Y419:AD425,"NS")&gt;0),"NS",
IF(AND(SUM(Y419:AD425)=0,COUNTIF(Y419:AD425,0)&gt;0),0,
IF(AND(SUM(Y419:AD425)=0,COUNTIF(Y419:AD425,"NA")&gt;0),"NA",
SUM(Y419:AD425))))</f>
        <v>0</v>
      </c>
      <c r="Z426" s="736"/>
      <c r="AA426" s="736"/>
      <c r="AB426" s="736"/>
      <c r="AC426" s="736"/>
      <c r="AD426" s="736"/>
      <c r="AG426" s="283"/>
      <c r="AH426" s="282">
        <f>SUM(AH419:AH425)</f>
        <v>0</v>
      </c>
      <c r="AI426"/>
      <c r="AJ426" s="581">
        <f>SUM(AJ419:AJ425)</f>
        <v>0</v>
      </c>
      <c r="AK426"/>
      <c r="AL426"/>
      <c r="AM426"/>
      <c r="AN426"/>
      <c r="AO426"/>
      <c r="AP426"/>
      <c r="AQ426"/>
      <c r="AR426"/>
      <c r="AS426"/>
      <c r="AT426" s="611">
        <f>SUM(AR419:AT425)</f>
        <v>0</v>
      </c>
    </row>
    <row r="427" spans="1:46" ht="15">
      <c r="A427" s="57"/>
      <c r="B427" s="57"/>
      <c r="C427" s="90"/>
      <c r="D427" s="90"/>
      <c r="E427" s="90"/>
      <c r="F427" s="90"/>
      <c r="G427" s="90"/>
      <c r="H427" s="90"/>
      <c r="I427" s="90"/>
      <c r="J427" s="90"/>
      <c r="K427" s="90"/>
      <c r="L427" s="90"/>
      <c r="M427" s="90"/>
      <c r="N427" s="90"/>
      <c r="O427" s="90"/>
      <c r="P427" s="90"/>
      <c r="Q427" s="90"/>
      <c r="R427" s="90"/>
      <c r="S427" s="90"/>
      <c r="T427" s="90"/>
      <c r="U427" s="90"/>
      <c r="V427" s="90"/>
      <c r="W427" s="90"/>
      <c r="X427" s="90"/>
      <c r="Y427" s="90"/>
      <c r="Z427" s="90"/>
      <c r="AA427" s="90"/>
      <c r="AB427" s="90"/>
      <c r="AC427" s="90"/>
      <c r="AD427" s="90"/>
    </row>
    <row r="428" spans="1:46" ht="45" customHeight="1">
      <c r="A428" s="57"/>
      <c r="B428" s="57"/>
      <c r="C428" s="822" t="s">
        <v>2798</v>
      </c>
      <c r="D428" s="822"/>
      <c r="E428" s="822"/>
      <c r="F428" s="749"/>
      <c r="G428" s="749"/>
      <c r="H428" s="749"/>
      <c r="I428" s="749"/>
      <c r="J428" s="749"/>
      <c r="K428" s="749"/>
      <c r="L428" s="749"/>
      <c r="M428" s="749"/>
      <c r="N428" s="749"/>
      <c r="O428" s="749"/>
      <c r="P428" s="749"/>
      <c r="Q428" s="749"/>
      <c r="R428" s="749"/>
      <c r="S428" s="749"/>
      <c r="T428" s="749"/>
      <c r="U428" s="749"/>
      <c r="V428" s="749"/>
      <c r="W428" s="749"/>
      <c r="X428" s="749"/>
      <c r="Y428" s="749"/>
      <c r="Z428" s="749"/>
      <c r="AA428" s="749"/>
      <c r="AB428" s="749"/>
      <c r="AC428" s="749"/>
      <c r="AD428" s="749"/>
    </row>
    <row r="429" spans="1:46" ht="15">
      <c r="A429" s="57"/>
      <c r="B429" s="1175" t="str">
        <f>IF(AND(AK422&gt;0,F428=""),"Debido a que cuenta con registros mayores a cero en el numeral 7 debe anotar el nombre de dicho(s) tipo(s) de servicio(s)","")</f>
        <v/>
      </c>
      <c r="C429" s="1175"/>
      <c r="D429" s="1175"/>
      <c r="E429" s="1175"/>
      <c r="F429" s="1175"/>
      <c r="G429" s="1175"/>
      <c r="H429" s="1175"/>
      <c r="I429" s="1175"/>
      <c r="J429" s="1175"/>
      <c r="K429" s="1175"/>
      <c r="L429" s="1175"/>
      <c r="M429" s="1175"/>
      <c r="N429" s="1175"/>
      <c r="O429" s="1175"/>
      <c r="P429" s="1175"/>
      <c r="Q429" s="1175"/>
      <c r="R429" s="1175"/>
      <c r="S429" s="1175"/>
      <c r="T429" s="1175"/>
      <c r="U429" s="1175"/>
      <c r="V429" s="1175"/>
      <c r="W429" s="1175"/>
      <c r="X429" s="1175"/>
      <c r="Y429" s="1175"/>
      <c r="Z429" s="1175"/>
      <c r="AA429" s="1175"/>
      <c r="AB429" s="1175"/>
      <c r="AC429" s="1175"/>
      <c r="AD429" s="1175"/>
      <c r="AE429" s="1175"/>
    </row>
    <row r="430" spans="1:46" ht="24" customHeight="1">
      <c r="A430" s="57"/>
      <c r="B430" s="57"/>
      <c r="C430" s="754" t="s">
        <v>2611</v>
      </c>
      <c r="D430" s="754"/>
      <c r="E430" s="754"/>
      <c r="F430" s="754"/>
      <c r="G430" s="754"/>
      <c r="H430" s="754"/>
      <c r="I430" s="754"/>
      <c r="J430" s="754"/>
      <c r="K430" s="754"/>
      <c r="L430" s="754"/>
      <c r="M430" s="754"/>
      <c r="N430" s="754"/>
      <c r="O430" s="754"/>
      <c r="P430" s="754"/>
      <c r="Q430" s="754"/>
      <c r="R430" s="754"/>
      <c r="S430" s="754"/>
      <c r="T430" s="754"/>
      <c r="U430" s="754"/>
      <c r="V430" s="754"/>
      <c r="W430" s="754"/>
      <c r="X430" s="754"/>
      <c r="Y430" s="754"/>
      <c r="Z430" s="754"/>
      <c r="AA430" s="754"/>
      <c r="AB430" s="754"/>
      <c r="AC430" s="754"/>
      <c r="AD430" s="754"/>
    </row>
    <row r="431" spans="1:46" ht="60" customHeight="1">
      <c r="A431" s="57"/>
      <c r="B431" s="57"/>
      <c r="C431" s="851"/>
      <c r="D431" s="851"/>
      <c r="E431" s="851"/>
      <c r="F431" s="851"/>
      <c r="G431" s="851"/>
      <c r="H431" s="851"/>
      <c r="I431" s="851"/>
      <c r="J431" s="851"/>
      <c r="K431" s="851"/>
      <c r="L431" s="851"/>
      <c r="M431" s="851"/>
      <c r="N431" s="851"/>
      <c r="O431" s="851"/>
      <c r="P431" s="851"/>
      <c r="Q431" s="851"/>
      <c r="R431" s="851"/>
      <c r="S431" s="851"/>
      <c r="T431" s="851"/>
      <c r="U431" s="851"/>
      <c r="V431" s="851"/>
      <c r="W431" s="851"/>
      <c r="X431" s="851"/>
      <c r="Y431" s="851"/>
      <c r="Z431" s="851"/>
      <c r="AA431" s="851"/>
      <c r="AB431" s="851"/>
      <c r="AC431" s="851"/>
      <c r="AD431" s="851"/>
    </row>
    <row r="432" spans="1:46" ht="15">
      <c r="B432" s="794" t="str">
        <f>IF(AG419&gt;0,"Favor de ingresar toda la información requerida en la pregunta y/o verifique que no tenga información en celdas sombreadas","")</f>
        <v/>
      </c>
      <c r="C432" s="794"/>
      <c r="D432" s="794"/>
      <c r="E432" s="794"/>
      <c r="F432" s="794"/>
      <c r="G432" s="794"/>
      <c r="H432" s="794"/>
      <c r="I432" s="794"/>
      <c r="J432" s="794"/>
      <c r="K432" s="794"/>
      <c r="L432" s="794"/>
      <c r="M432" s="794"/>
      <c r="N432" s="794"/>
      <c r="O432" s="794"/>
      <c r="P432" s="794"/>
      <c r="Q432" s="794"/>
      <c r="R432" s="794"/>
      <c r="S432" s="794"/>
      <c r="T432" s="794"/>
      <c r="U432" s="794"/>
      <c r="V432" s="794"/>
      <c r="W432" s="794"/>
      <c r="X432" s="794"/>
      <c r="Y432" s="794"/>
      <c r="Z432" s="794"/>
      <c r="AA432" s="794"/>
      <c r="AB432" s="794"/>
      <c r="AC432" s="794"/>
      <c r="AD432" s="794"/>
      <c r="AE432"/>
    </row>
    <row r="433" spans="1:46" ht="15">
      <c r="B433" s="795" t="str">
        <f>IF(AH426&gt;0,"Alerta: debido a que cuenta con registros NS, debe proporcionar una justificación en el area de comentarios al final de la pregunta","")</f>
        <v/>
      </c>
      <c r="C433" s="795"/>
      <c r="D433" s="795"/>
      <c r="E433" s="795"/>
      <c r="F433" s="795"/>
      <c r="G433" s="795"/>
      <c r="H433" s="795"/>
      <c r="I433" s="795"/>
      <c r="J433" s="795"/>
      <c r="K433" s="795"/>
      <c r="L433" s="795"/>
      <c r="M433" s="795"/>
      <c r="N433" s="795"/>
      <c r="O433" s="795"/>
      <c r="P433" s="795"/>
      <c r="Q433" s="795"/>
      <c r="R433" s="795"/>
      <c r="S433" s="795"/>
      <c r="T433" s="795"/>
      <c r="U433" s="795"/>
      <c r="V433" s="795"/>
      <c r="W433" s="795"/>
      <c r="X433" s="795"/>
      <c r="Y433" s="795"/>
      <c r="Z433" s="795"/>
      <c r="AA433" s="795"/>
      <c r="AB433" s="795"/>
      <c r="AC433" s="795"/>
      <c r="AD433" s="795"/>
      <c r="AE433"/>
    </row>
    <row r="434" spans="1:46" ht="15">
      <c r="B434" s="1003" t="str">
        <f>IF(AJ426&gt;0,"Favor de revisar la suma y consistencia de totales y/o subtotales por filas (numéricos y NS)","")</f>
        <v/>
      </c>
      <c r="C434" s="1003"/>
      <c r="D434" s="1003"/>
      <c r="E434" s="1003"/>
      <c r="F434" s="1003"/>
      <c r="G434" s="1003"/>
      <c r="H434" s="1003"/>
      <c r="I434" s="1003"/>
      <c r="J434" s="1003"/>
      <c r="K434" s="1003"/>
      <c r="L434" s="1003"/>
      <c r="M434" s="1003"/>
      <c r="N434" s="1003"/>
      <c r="O434" s="1003"/>
      <c r="P434" s="1003"/>
      <c r="Q434" s="1003"/>
      <c r="R434" s="1003"/>
      <c r="S434" s="1003"/>
      <c r="T434" s="1003"/>
      <c r="U434" s="1003"/>
      <c r="V434" s="1003"/>
      <c r="W434" s="1003"/>
      <c r="X434" s="1003"/>
      <c r="Y434" s="1003"/>
      <c r="Z434" s="1003"/>
      <c r="AA434" s="1003"/>
      <c r="AB434" s="1003"/>
      <c r="AC434" s="1003"/>
      <c r="AD434" s="1003"/>
      <c r="AE434"/>
    </row>
    <row r="435" spans="1:46" ht="15">
      <c r="B435" s="794" t="str">
        <f>IF(AP420&gt;0,"Favor de revisar la instrucción 2 y verifique que se cumplan con los criterios establecidos","")</f>
        <v/>
      </c>
      <c r="C435" s="794"/>
      <c r="D435" s="794"/>
      <c r="E435" s="794"/>
      <c r="F435" s="794"/>
      <c r="G435" s="794"/>
      <c r="H435" s="794"/>
      <c r="I435" s="794"/>
      <c r="J435" s="794"/>
      <c r="K435" s="794"/>
      <c r="L435" s="794"/>
      <c r="M435" s="794"/>
      <c r="N435" s="794"/>
      <c r="O435" s="794"/>
      <c r="P435" s="794"/>
      <c r="Q435" s="794"/>
      <c r="R435" s="794"/>
      <c r="S435" s="794"/>
      <c r="T435" s="794"/>
      <c r="U435" s="794"/>
      <c r="V435" s="794"/>
      <c r="W435" s="794"/>
      <c r="X435" s="794"/>
      <c r="Y435" s="794"/>
      <c r="Z435" s="794"/>
      <c r="AA435" s="794"/>
      <c r="AB435" s="794"/>
      <c r="AC435" s="794"/>
      <c r="AD435" s="794"/>
      <c r="AE435" s="794"/>
    </row>
    <row r="436" spans="1:46" ht="15">
      <c r="B436" s="795" t="str">
        <f>IF(AT426&gt;0,"Alerta: debe de proporcionar una justificación de acuerdo a lo establecido en la instrucción 3","")</f>
        <v/>
      </c>
      <c r="C436" s="795"/>
      <c r="D436" s="795"/>
      <c r="E436" s="795"/>
      <c r="F436" s="795"/>
      <c r="G436" s="795"/>
      <c r="H436" s="795"/>
      <c r="I436" s="795"/>
      <c r="J436" s="795"/>
      <c r="K436" s="795"/>
      <c r="L436" s="795"/>
      <c r="M436" s="795"/>
      <c r="N436" s="795"/>
      <c r="O436" s="795"/>
      <c r="P436" s="795"/>
      <c r="Q436" s="795"/>
      <c r="R436" s="795"/>
      <c r="S436" s="795"/>
      <c r="T436" s="795"/>
      <c r="U436" s="795"/>
      <c r="V436" s="795"/>
      <c r="W436" s="795"/>
      <c r="X436" s="795"/>
      <c r="Y436" s="795"/>
      <c r="Z436" s="795"/>
      <c r="AA436" s="795"/>
      <c r="AB436" s="795"/>
      <c r="AC436" s="795"/>
      <c r="AD436" s="795"/>
      <c r="AE436"/>
    </row>
    <row r="437" spans="1:46" ht="15">
      <c r="AE437"/>
    </row>
    <row r="438" spans="1:46" ht="36" customHeight="1">
      <c r="A438" s="108" t="s">
        <v>6755</v>
      </c>
      <c r="B438" s="829" t="s">
        <v>6756</v>
      </c>
      <c r="C438" s="829" t="s">
        <v>6662</v>
      </c>
      <c r="D438" s="829"/>
      <c r="E438" s="829"/>
      <c r="F438" s="829"/>
      <c r="G438" s="829"/>
      <c r="H438" s="829"/>
      <c r="I438" s="829"/>
      <c r="J438" s="829"/>
      <c r="K438" s="829"/>
      <c r="L438" s="829"/>
      <c r="M438" s="829"/>
      <c r="N438" s="829"/>
      <c r="O438" s="829"/>
      <c r="P438" s="829"/>
      <c r="Q438" s="829"/>
      <c r="R438" s="829"/>
      <c r="S438" s="829"/>
      <c r="T438" s="829"/>
      <c r="U438" s="829"/>
      <c r="V438" s="829"/>
      <c r="W438" s="829"/>
      <c r="X438" s="829"/>
      <c r="Y438" s="829"/>
      <c r="Z438" s="829"/>
      <c r="AA438" s="829"/>
      <c r="AB438" s="829"/>
      <c r="AC438" s="829"/>
      <c r="AD438" s="829"/>
    </row>
    <row r="439" spans="1:46" ht="24" customHeight="1">
      <c r="A439" s="110"/>
      <c r="B439" s="57"/>
      <c r="C439" s="754" t="s">
        <v>6757</v>
      </c>
      <c r="D439" s="754"/>
      <c r="E439" s="754"/>
      <c r="F439" s="754"/>
      <c r="G439" s="754"/>
      <c r="H439" s="754"/>
      <c r="I439" s="754"/>
      <c r="J439" s="754"/>
      <c r="K439" s="754"/>
      <c r="L439" s="754"/>
      <c r="M439" s="754"/>
      <c r="N439" s="754"/>
      <c r="O439" s="754"/>
      <c r="P439" s="754"/>
      <c r="Q439" s="754"/>
      <c r="R439" s="754"/>
      <c r="S439" s="754"/>
      <c r="T439" s="754"/>
      <c r="U439" s="754"/>
      <c r="V439" s="754"/>
      <c r="W439" s="754"/>
      <c r="X439" s="754"/>
      <c r="Y439" s="754"/>
      <c r="Z439" s="754"/>
      <c r="AA439" s="754"/>
      <c r="AB439" s="754"/>
      <c r="AC439" s="754"/>
      <c r="AD439" s="754"/>
    </row>
    <row r="440" spans="1:46" ht="36" customHeight="1">
      <c r="A440" s="110"/>
      <c r="B440" s="57"/>
      <c r="C440" s="754" t="s">
        <v>6758</v>
      </c>
      <c r="D440" s="754"/>
      <c r="E440" s="754"/>
      <c r="F440" s="754"/>
      <c r="G440" s="754"/>
      <c r="H440" s="754"/>
      <c r="I440" s="754"/>
      <c r="J440" s="754"/>
      <c r="K440" s="754"/>
      <c r="L440" s="754"/>
      <c r="M440" s="754"/>
      <c r="N440" s="754"/>
      <c r="O440" s="754"/>
      <c r="P440" s="754"/>
      <c r="Q440" s="754"/>
      <c r="R440" s="754"/>
      <c r="S440" s="754"/>
      <c r="T440" s="754"/>
      <c r="U440" s="754"/>
      <c r="V440" s="754"/>
      <c r="W440" s="754"/>
      <c r="X440" s="754"/>
      <c r="Y440" s="754"/>
      <c r="Z440" s="754"/>
      <c r="AA440" s="754"/>
      <c r="AB440" s="754"/>
      <c r="AC440" s="754"/>
      <c r="AD440" s="754"/>
    </row>
    <row r="441" spans="1:46" ht="48" customHeight="1">
      <c r="A441" s="110"/>
      <c r="B441" s="57"/>
      <c r="C441" s="754" t="s">
        <v>6759</v>
      </c>
      <c r="D441" s="754"/>
      <c r="E441" s="754"/>
      <c r="F441" s="754"/>
      <c r="G441" s="754"/>
      <c r="H441" s="754"/>
      <c r="I441" s="754"/>
      <c r="J441" s="754"/>
      <c r="K441" s="754"/>
      <c r="L441" s="754"/>
      <c r="M441" s="754"/>
      <c r="N441" s="754"/>
      <c r="O441" s="754"/>
      <c r="P441" s="754"/>
      <c r="Q441" s="754"/>
      <c r="R441" s="754"/>
      <c r="S441" s="754"/>
      <c r="T441" s="754"/>
      <c r="U441" s="754"/>
      <c r="V441" s="754"/>
      <c r="W441" s="754"/>
      <c r="X441" s="754"/>
      <c r="Y441" s="754"/>
      <c r="Z441" s="754"/>
      <c r="AA441" s="754"/>
      <c r="AB441" s="754"/>
      <c r="AC441" s="754"/>
      <c r="AD441" s="754"/>
    </row>
    <row r="442" spans="1:46" ht="24" customHeight="1">
      <c r="A442" s="57"/>
      <c r="B442" s="57"/>
      <c r="C442" s="754" t="s">
        <v>6760</v>
      </c>
      <c r="D442" s="754"/>
      <c r="E442" s="754"/>
      <c r="F442" s="754"/>
      <c r="G442" s="754"/>
      <c r="H442" s="754"/>
      <c r="I442" s="754"/>
      <c r="J442" s="754"/>
      <c r="K442" s="754"/>
      <c r="L442" s="754"/>
      <c r="M442" s="754"/>
      <c r="N442" s="754"/>
      <c r="O442" s="754"/>
      <c r="P442" s="754"/>
      <c r="Q442" s="754"/>
      <c r="R442" s="754"/>
      <c r="S442" s="754"/>
      <c r="T442" s="754"/>
      <c r="U442" s="754"/>
      <c r="V442" s="754"/>
      <c r="W442" s="754"/>
      <c r="X442" s="754"/>
      <c r="Y442" s="754"/>
      <c r="Z442" s="754"/>
      <c r="AA442" s="754"/>
      <c r="AB442" s="754"/>
      <c r="AC442" s="754"/>
      <c r="AD442" s="754"/>
    </row>
    <row r="443" spans="1:46" ht="15">
      <c r="A443" s="57"/>
      <c r="B443" s="57"/>
      <c r="C443" s="57"/>
      <c r="D443" s="57"/>
      <c r="E443" s="57"/>
      <c r="F443" s="57"/>
      <c r="G443" s="57"/>
      <c r="H443" s="57"/>
      <c r="I443" s="57"/>
      <c r="J443" s="57"/>
      <c r="K443" s="57"/>
      <c r="L443" s="57"/>
      <c r="M443" s="57"/>
      <c r="N443" s="57"/>
      <c r="O443" s="57"/>
      <c r="P443" s="57"/>
      <c r="Q443" s="57"/>
      <c r="R443" s="57"/>
      <c r="S443" s="57"/>
      <c r="T443" s="57"/>
      <c r="U443" s="57"/>
      <c r="V443" s="57"/>
      <c r="W443" s="57"/>
      <c r="X443" s="57"/>
      <c r="Y443" s="57"/>
      <c r="Z443" s="57"/>
      <c r="AA443" s="57"/>
      <c r="AB443" s="57"/>
      <c r="AC443" s="57"/>
      <c r="AD443" s="57"/>
      <c r="AG443"/>
      <c r="AH443"/>
      <c r="AI443"/>
      <c r="AJ443"/>
      <c r="AK443" s="1176" t="s">
        <v>6540</v>
      </c>
      <c r="AL443" s="1177" t="s">
        <v>6667</v>
      </c>
      <c r="AM443" s="1177" t="s">
        <v>6684</v>
      </c>
      <c r="AN443"/>
      <c r="AO443"/>
      <c r="AP443"/>
      <c r="AQ443" s="1196" t="s">
        <v>6685</v>
      </c>
      <c r="AR443" s="1174" t="s">
        <v>6761</v>
      </c>
      <c r="AS443" s="1174"/>
      <c r="AT443" s="1174"/>
    </row>
    <row r="444" spans="1:46" ht="24" customHeight="1">
      <c r="A444" s="57"/>
      <c r="B444" s="57"/>
      <c r="C444" s="732" t="s">
        <v>6762</v>
      </c>
      <c r="D444" s="732"/>
      <c r="E444" s="732"/>
      <c r="F444" s="732"/>
      <c r="G444" s="732"/>
      <c r="H444" s="732"/>
      <c r="I444" s="732"/>
      <c r="J444" s="732"/>
      <c r="K444" s="732"/>
      <c r="L444" s="732"/>
      <c r="M444" s="732" t="s">
        <v>6763</v>
      </c>
      <c r="N444" s="732"/>
      <c r="O444" s="732"/>
      <c r="P444" s="732"/>
      <c r="Q444" s="732"/>
      <c r="R444" s="732"/>
      <c r="S444" s="732"/>
      <c r="T444" s="732"/>
      <c r="U444" s="732"/>
      <c r="V444" s="732"/>
      <c r="W444" s="732"/>
      <c r="X444" s="732"/>
      <c r="Y444" s="732"/>
      <c r="Z444" s="732"/>
      <c r="AA444" s="732"/>
      <c r="AB444" s="732"/>
      <c r="AC444" s="732"/>
      <c r="AD444" s="732"/>
      <c r="AG444"/>
      <c r="AH444"/>
      <c r="AI444"/>
      <c r="AJ444"/>
      <c r="AK444" s="1176"/>
      <c r="AL444" s="1177"/>
      <c r="AM444" s="1177"/>
      <c r="AN444" s="1172" t="s">
        <v>6713</v>
      </c>
      <c r="AO444" s="1172"/>
      <c r="AP444" s="1172"/>
      <c r="AQ444" s="1196"/>
      <c r="AR444" s="1174"/>
      <c r="AS444" s="1174"/>
      <c r="AT444" s="1174"/>
    </row>
    <row r="445" spans="1:46" ht="15">
      <c r="A445" s="57"/>
      <c r="B445" s="57"/>
      <c r="C445" s="732"/>
      <c r="D445" s="732"/>
      <c r="E445" s="732"/>
      <c r="F445" s="732"/>
      <c r="G445" s="732"/>
      <c r="H445" s="732"/>
      <c r="I445" s="732"/>
      <c r="J445" s="732"/>
      <c r="K445" s="732"/>
      <c r="L445" s="732"/>
      <c r="M445" s="987" t="s">
        <v>2628</v>
      </c>
      <c r="N445" s="988"/>
      <c r="O445" s="988"/>
      <c r="P445" s="988"/>
      <c r="Q445" s="988"/>
      <c r="R445" s="988"/>
      <c r="S445" s="989" t="s">
        <v>2629</v>
      </c>
      <c r="T445" s="990"/>
      <c r="U445" s="990"/>
      <c r="V445" s="990"/>
      <c r="W445" s="990"/>
      <c r="X445" s="990"/>
      <c r="Y445" s="989" t="s">
        <v>2630</v>
      </c>
      <c r="Z445" s="990"/>
      <c r="AA445" s="990"/>
      <c r="AB445" s="990"/>
      <c r="AC445" s="990"/>
      <c r="AD445" s="990"/>
      <c r="AG445" s="354" t="s">
        <v>2586</v>
      </c>
      <c r="AH445" s="350" t="s">
        <v>2590</v>
      </c>
      <c r="AI445" s="351" t="s">
        <v>3163</v>
      </c>
      <c r="AJ445" s="352" t="s">
        <v>3164</v>
      </c>
      <c r="AK445" s="1176"/>
      <c r="AL445" s="1177"/>
      <c r="AM445" s="1177"/>
      <c r="AN445" s="367" t="s">
        <v>2795</v>
      </c>
      <c r="AO445" s="590" t="s">
        <v>3177</v>
      </c>
      <c r="AP445" s="467" t="s">
        <v>3178</v>
      </c>
      <c r="AQ445" s="1196"/>
      <c r="AR445" s="591" t="s">
        <v>2795</v>
      </c>
      <c r="AS445" s="360" t="s">
        <v>3177</v>
      </c>
      <c r="AT445" s="592" t="s">
        <v>3178</v>
      </c>
    </row>
    <row r="446" spans="1:46" ht="15" customHeight="1">
      <c r="A446" s="57"/>
      <c r="B446" s="57"/>
      <c r="C446" s="97" t="s">
        <v>2516</v>
      </c>
      <c r="D446" s="1084" t="s">
        <v>6764</v>
      </c>
      <c r="E446" s="1084"/>
      <c r="F446" s="1084"/>
      <c r="G446" s="1084"/>
      <c r="H446" s="1084"/>
      <c r="I446" s="1084"/>
      <c r="J446" s="1084"/>
      <c r="K446" s="1084"/>
      <c r="L446" s="1084"/>
      <c r="M446" s="749"/>
      <c r="N446" s="749"/>
      <c r="O446" s="749"/>
      <c r="P446" s="749"/>
      <c r="Q446" s="749"/>
      <c r="R446" s="749"/>
      <c r="S446" s="749"/>
      <c r="T446" s="749"/>
      <c r="U446" s="749"/>
      <c r="V446" s="749"/>
      <c r="W446" s="749"/>
      <c r="X446" s="749"/>
      <c r="Y446" s="749"/>
      <c r="Z446" s="749"/>
      <c r="AA446" s="749"/>
      <c r="AB446" s="749"/>
      <c r="AC446" s="749"/>
      <c r="AD446" s="749"/>
      <c r="AG446" s="283">
        <f>IF(AND(OR($I$25="X",$T$25="X"),COUNTA(M446:AD453)=0),0,IF(AND($I$25="",$T$25="",SUM($C$313)=0,COUNTA(M446:AD453)=0),0,IF(AND($I$25="",$T$25="",SUM($C$313)&gt;0,SUM($M$337)=0,COUNTA(M446:AD453)=0),0,IF(AND($I$25="",$T$25="",SUM($C$313)&gt;0,SUM($M$337)&gt;0,COUNTA(M446:AD453)=24),0,1))))</f>
        <v>0</v>
      </c>
      <c r="AH446" s="353">
        <f>COUNTIF(S446:AD446,"NS")</f>
        <v>0</v>
      </c>
      <c r="AI446" s="353">
        <f>SUM(S446:AD446)</f>
        <v>0</v>
      </c>
      <c r="AJ446" s="353">
        <f>IF(COUNTIF(M446:AD446,"NA")=3,0,IF(OR(AND(M446=0,AH446&gt;0),AND(M446="ns",AI446&gt;0),AND(M446="ns",AH446=0,AI446=0)),1,IF(OR(AND(M446&gt;0,AH446=2),AND(M446="ns",AH446=2),AND(M446="ns",AI446=0,AH446&gt;0),M446=AI446),0,1)))</f>
        <v>0</v>
      </c>
      <c r="AK446" s="342">
        <f>IF(AND(OR($T$25="X",$I$25="X"),COUNTA(M446:AD453)&gt;0),1,0)</f>
        <v>0</v>
      </c>
      <c r="AL446">
        <f>IF(AND(SUM($C$313)=0,COUNTA(M446:AD453)&gt;0),1,0)</f>
        <v>0</v>
      </c>
      <c r="AM446">
        <f>IF(AND(SUM($M$337)=0,COUNTA(M446:AD453)&gt;0),1,0)</f>
        <v>0</v>
      </c>
      <c r="AN446">
        <f>IF(OR(M454="NS",$M$337="NS"),0,IF(AND(M454="NA",$M$337="NA"),0,IF(M454&gt;=$M$337,0,1)))</f>
        <v>0</v>
      </c>
      <c r="AO446">
        <f>IF(OR(S454="NS",$S$337="NS"),0,IF(AND(S454="NA",$S$337="NA"),0,IF(S454&gt;=$S$337,0,1)))</f>
        <v>0</v>
      </c>
      <c r="AP446">
        <f>IF(OR(Y454="NS",$Y$337="NS"),0,IF(AND(Y454="NA",$Y$337="NA"),0,IF(Y454&gt;=$Y$337,0,1)))</f>
        <v>0</v>
      </c>
      <c r="AQ446" s="593" t="s">
        <v>6765</v>
      </c>
      <c r="AR446">
        <f>IF(OR(M446="NS",$M$337="NS"),0,IF(AND(M446="NA",$M$337="NA"),0,IF(M446&lt;=$M$337,0,1)))</f>
        <v>0</v>
      </c>
      <c r="AS446">
        <f>IF(OR(S446="NS",$S$337="NS"),0,IF(AND(S446="NA",$S$337="NA"),0,IF(S446&lt;=$S$337,0,1)))</f>
        <v>0</v>
      </c>
      <c r="AT446">
        <f>IF(OR(Y446="NS",$Y$337="NS"),0,IF(AND(Y446="NA",$Y$337="NA"),0,IF(Y446&lt;=$Y$337,0,1)))</f>
        <v>0</v>
      </c>
    </row>
    <row r="447" spans="1:46" ht="15" customHeight="1">
      <c r="A447" s="57"/>
      <c r="B447" s="57"/>
      <c r="C447" s="98" t="s">
        <v>2517</v>
      </c>
      <c r="D447" s="796" t="s">
        <v>6766</v>
      </c>
      <c r="E447" s="796"/>
      <c r="F447" s="796"/>
      <c r="G447" s="796"/>
      <c r="H447" s="796"/>
      <c r="I447" s="796"/>
      <c r="J447" s="796"/>
      <c r="K447" s="796"/>
      <c r="L447" s="796"/>
      <c r="M447" s="749"/>
      <c r="N447" s="749"/>
      <c r="O447" s="749"/>
      <c r="P447" s="749"/>
      <c r="Q447" s="749"/>
      <c r="R447" s="749"/>
      <c r="S447" s="749"/>
      <c r="T447" s="749"/>
      <c r="U447" s="749"/>
      <c r="V447" s="749"/>
      <c r="W447" s="749"/>
      <c r="X447" s="749"/>
      <c r="Y447" s="749"/>
      <c r="Z447" s="749"/>
      <c r="AA447" s="749"/>
      <c r="AB447" s="749"/>
      <c r="AC447" s="749"/>
      <c r="AD447" s="749"/>
      <c r="AG447" s="283"/>
      <c r="AH447" s="353">
        <f t="shared" ref="AH447:AH453" si="44">COUNTIF(S447:AD447,"NS")</f>
        <v>0</v>
      </c>
      <c r="AI447" s="353">
        <f t="shared" ref="AI447:AI453" si="45">SUM(S447:AD447)</f>
        <v>0</v>
      </c>
      <c r="AJ447" s="353">
        <f t="shared" ref="AJ447:AJ453" si="46">IF(COUNTIF(M447:AD447,"NA")=3,0,IF(OR(AND(M447=0,AH447&gt;0),AND(M447="ns",AI447&gt;0),AND(M447="ns",AH447=0,AI447=0)),1,IF(OR(AND(M447&gt;0,AH447=2),AND(M447="ns",AH447=2),AND(M447="ns",AI447=0,AH447&gt;0),M447=AI447),0,1)))</f>
        <v>0</v>
      </c>
      <c r="AK447"/>
      <c r="AL447"/>
      <c r="AM447"/>
      <c r="AN447"/>
      <c r="AO447"/>
      <c r="AP447" s="594">
        <f>SUM(AN446:AP446)</f>
        <v>0</v>
      </c>
      <c r="AQ447" s="595" t="s">
        <v>6767</v>
      </c>
      <c r="AR447">
        <f>IF(OR(M447="NS",$M$337="NS"),0,IF(AND(M447="NA",$M$337="NA"),0,IF(M447&lt;=$M$337,0,1)))</f>
        <v>0</v>
      </c>
      <c r="AS447">
        <f>IF(OR(S447="NS",$S$337="NS"),0,IF(AND(S447="NA",$S$337="NA"),0,IF(S447&lt;=$S$337,0,1)))</f>
        <v>0</v>
      </c>
      <c r="AT447">
        <f>IF(OR(Y447="NS",$Y$337="NS"),0,IF(AND(Y447="NA",$Y$337="NA"),0,IF(Y447&lt;=$Y$337,0,1)))</f>
        <v>0</v>
      </c>
    </row>
    <row r="448" spans="1:46" ht="15" customHeight="1">
      <c r="A448" s="57"/>
      <c r="B448" s="57"/>
      <c r="C448" s="98" t="s">
        <v>2518</v>
      </c>
      <c r="D448" s="796" t="s">
        <v>6768</v>
      </c>
      <c r="E448" s="796"/>
      <c r="F448" s="796"/>
      <c r="G448" s="796"/>
      <c r="H448" s="796"/>
      <c r="I448" s="796"/>
      <c r="J448" s="796"/>
      <c r="K448" s="796"/>
      <c r="L448" s="796"/>
      <c r="M448" s="749"/>
      <c r="N448" s="749"/>
      <c r="O448" s="749"/>
      <c r="P448" s="749"/>
      <c r="Q448" s="749"/>
      <c r="R448" s="749"/>
      <c r="S448" s="749"/>
      <c r="T448" s="749"/>
      <c r="U448" s="749"/>
      <c r="V448" s="749"/>
      <c r="W448" s="749"/>
      <c r="X448" s="749"/>
      <c r="Y448" s="749"/>
      <c r="Z448" s="749"/>
      <c r="AA448" s="749"/>
      <c r="AB448" s="749"/>
      <c r="AC448" s="749"/>
      <c r="AD448" s="749"/>
      <c r="AG448" s="283"/>
      <c r="AH448" s="353">
        <f t="shared" si="44"/>
        <v>0</v>
      </c>
      <c r="AI448" s="353">
        <f t="shared" si="45"/>
        <v>0</v>
      </c>
      <c r="AJ448" s="353">
        <f t="shared" si="46"/>
        <v>0</v>
      </c>
      <c r="AK448" s="368" t="s">
        <v>6769</v>
      </c>
      <c r="AL448"/>
      <c r="AM448"/>
      <c r="AN448"/>
      <c r="AO448"/>
      <c r="AP448"/>
      <c r="AQ448" s="596" t="s">
        <v>6770</v>
      </c>
      <c r="AR448">
        <f t="shared" ref="AR448:AR452" si="47">IF(OR(M448="NS",$M$337="NS"),0,IF(AND(M448="NA",$M$337="NA"),0,IF(M448&lt;=$M$337,0,1)))</f>
        <v>0</v>
      </c>
      <c r="AS448">
        <f t="shared" ref="AS448:AS452" si="48">IF(OR(S448="NS",$S$337="NS"),0,IF(AND(S448="NA",$S$337="NA"),0,IF(S448&lt;=$S$337,0,1)))</f>
        <v>0</v>
      </c>
      <c r="AT448">
        <f t="shared" ref="AT448:AT452" si="49">IF(OR(Y448="NS",$Y$337="NS"),0,IF(AND(Y448="NA",$Y$337="NA"),0,IF(Y448&lt;=$Y$337,0,1)))</f>
        <v>0</v>
      </c>
    </row>
    <row r="449" spans="1:46" ht="15" customHeight="1">
      <c r="A449" s="57"/>
      <c r="B449" s="57"/>
      <c r="C449" s="98" t="s">
        <v>2519</v>
      </c>
      <c r="D449" s="796" t="s">
        <v>6771</v>
      </c>
      <c r="E449" s="796"/>
      <c r="F449" s="796"/>
      <c r="G449" s="796"/>
      <c r="H449" s="796"/>
      <c r="I449" s="796"/>
      <c r="J449" s="796"/>
      <c r="K449" s="796"/>
      <c r="L449" s="796"/>
      <c r="M449" s="749"/>
      <c r="N449" s="749"/>
      <c r="O449" s="749"/>
      <c r="P449" s="749"/>
      <c r="Q449" s="749"/>
      <c r="R449" s="749"/>
      <c r="S449" s="749"/>
      <c r="T449" s="749"/>
      <c r="U449" s="749"/>
      <c r="V449" s="749"/>
      <c r="W449" s="749"/>
      <c r="X449" s="749"/>
      <c r="Y449" s="749"/>
      <c r="Z449" s="749"/>
      <c r="AA449" s="749"/>
      <c r="AB449" s="749"/>
      <c r="AC449" s="749"/>
      <c r="AD449" s="749"/>
      <c r="AG449" s="283"/>
      <c r="AH449" s="353">
        <f t="shared" si="44"/>
        <v>0</v>
      </c>
      <c r="AI449" s="353">
        <f t="shared" si="45"/>
        <v>0</v>
      </c>
      <c r="AJ449" s="353">
        <f t="shared" si="46"/>
        <v>0</v>
      </c>
      <c r="AK449">
        <f>IF(SUM(M453:AD453)&gt;0,1,0)</f>
        <v>0</v>
      </c>
      <c r="AL449"/>
      <c r="AM449"/>
      <c r="AN449"/>
      <c r="AO449"/>
      <c r="AP449"/>
      <c r="AQ449" s="595" t="s">
        <v>6772</v>
      </c>
      <c r="AR449">
        <f t="shared" si="47"/>
        <v>0</v>
      </c>
      <c r="AS449">
        <f t="shared" si="48"/>
        <v>0</v>
      </c>
      <c r="AT449">
        <f t="shared" si="49"/>
        <v>0</v>
      </c>
    </row>
    <row r="450" spans="1:46" ht="24" customHeight="1">
      <c r="A450" s="57"/>
      <c r="B450" s="57"/>
      <c r="C450" s="98" t="s">
        <v>2520</v>
      </c>
      <c r="D450" s="796" t="s">
        <v>6773</v>
      </c>
      <c r="E450" s="796"/>
      <c r="F450" s="796"/>
      <c r="G450" s="796"/>
      <c r="H450" s="796"/>
      <c r="I450" s="796"/>
      <c r="J450" s="796"/>
      <c r="K450" s="796"/>
      <c r="L450" s="796"/>
      <c r="M450" s="749"/>
      <c r="N450" s="749"/>
      <c r="O450" s="749"/>
      <c r="P450" s="749"/>
      <c r="Q450" s="749"/>
      <c r="R450" s="749"/>
      <c r="S450" s="749"/>
      <c r="T450" s="749"/>
      <c r="U450" s="749"/>
      <c r="V450" s="749"/>
      <c r="W450" s="749"/>
      <c r="X450" s="749"/>
      <c r="Y450" s="749"/>
      <c r="Z450" s="749"/>
      <c r="AA450" s="749"/>
      <c r="AB450" s="749"/>
      <c r="AC450" s="749"/>
      <c r="AD450" s="749"/>
      <c r="AG450" s="283"/>
      <c r="AH450" s="353">
        <f t="shared" si="44"/>
        <v>0</v>
      </c>
      <c r="AI450" s="353">
        <f t="shared" si="45"/>
        <v>0</v>
      </c>
      <c r="AJ450" s="353">
        <f>IF(COUNTIF(M450:AD450,"NA")=3,0,IF(OR(AND(M450=0,AH450&gt;0),AND(M450="ns",AI450&gt;0),AND(M450="ns",AH450=0,AI450=0)),1,IF(OR(AND(M450&gt;0,AH450=2),AND(M450="ns",AH450=2),AND(M450="ns",AI450=0,AH450&gt;0),M450=AI450),0,1)))</f>
        <v>0</v>
      </c>
      <c r="AK450"/>
      <c r="AL450"/>
      <c r="AM450"/>
      <c r="AN450"/>
      <c r="AO450"/>
      <c r="AP450"/>
      <c r="AQ450" s="596" t="s">
        <v>6774</v>
      </c>
      <c r="AR450">
        <f t="shared" si="47"/>
        <v>0</v>
      </c>
      <c r="AS450">
        <f t="shared" si="48"/>
        <v>0</v>
      </c>
      <c r="AT450">
        <f t="shared" si="49"/>
        <v>0</v>
      </c>
    </row>
    <row r="451" spans="1:46" ht="15" customHeight="1">
      <c r="A451" s="57"/>
      <c r="B451" s="57"/>
      <c r="C451" s="98" t="s">
        <v>2521</v>
      </c>
      <c r="D451" s="1084" t="s">
        <v>6775</v>
      </c>
      <c r="E451" s="1084"/>
      <c r="F451" s="1084"/>
      <c r="G451" s="1084"/>
      <c r="H451" s="1084"/>
      <c r="I451" s="1084"/>
      <c r="J451" s="1084"/>
      <c r="K451" s="1084"/>
      <c r="L451" s="1084"/>
      <c r="M451" s="749"/>
      <c r="N451" s="749"/>
      <c r="O451" s="749"/>
      <c r="P451" s="749"/>
      <c r="Q451" s="749"/>
      <c r="R451" s="749"/>
      <c r="S451" s="749"/>
      <c r="T451" s="749"/>
      <c r="U451" s="749"/>
      <c r="V451" s="749"/>
      <c r="W451" s="749"/>
      <c r="X451" s="749"/>
      <c r="Y451" s="749"/>
      <c r="Z451" s="749"/>
      <c r="AA451" s="749"/>
      <c r="AB451" s="749"/>
      <c r="AC451" s="749"/>
      <c r="AD451" s="749"/>
      <c r="AG451" s="283"/>
      <c r="AH451" s="353">
        <f t="shared" si="44"/>
        <v>0</v>
      </c>
      <c r="AI451" s="353">
        <f t="shared" si="45"/>
        <v>0</v>
      </c>
      <c r="AJ451" s="353">
        <f t="shared" si="46"/>
        <v>0</v>
      </c>
      <c r="AK451"/>
      <c r="AL451"/>
      <c r="AM451"/>
      <c r="AN451"/>
      <c r="AO451"/>
      <c r="AP451"/>
      <c r="AQ451" s="595" t="s">
        <v>6776</v>
      </c>
      <c r="AR451">
        <f t="shared" si="47"/>
        <v>0</v>
      </c>
      <c r="AS451">
        <f t="shared" si="48"/>
        <v>0</v>
      </c>
      <c r="AT451">
        <f t="shared" si="49"/>
        <v>0</v>
      </c>
    </row>
    <row r="452" spans="1:46" ht="15" customHeight="1">
      <c r="A452" s="57"/>
      <c r="B452" s="57"/>
      <c r="C452" s="98" t="s">
        <v>2522</v>
      </c>
      <c r="D452" s="796" t="s">
        <v>6777</v>
      </c>
      <c r="E452" s="796"/>
      <c r="F452" s="796"/>
      <c r="G452" s="796"/>
      <c r="H452" s="796"/>
      <c r="I452" s="796"/>
      <c r="J452" s="796"/>
      <c r="K452" s="796"/>
      <c r="L452" s="796"/>
      <c r="M452" s="749"/>
      <c r="N452" s="749"/>
      <c r="O452" s="749"/>
      <c r="P452" s="749"/>
      <c r="Q452" s="749"/>
      <c r="R452" s="749"/>
      <c r="S452" s="749"/>
      <c r="T452" s="749"/>
      <c r="U452" s="749"/>
      <c r="V452" s="749"/>
      <c r="W452" s="749"/>
      <c r="X452" s="749"/>
      <c r="Y452" s="749"/>
      <c r="Z452" s="749"/>
      <c r="AA452" s="749"/>
      <c r="AB452" s="749"/>
      <c r="AC452" s="749"/>
      <c r="AD452" s="749"/>
      <c r="AG452" s="283"/>
      <c r="AH452" s="353">
        <f t="shared" si="44"/>
        <v>0</v>
      </c>
      <c r="AI452" s="353">
        <f t="shared" si="45"/>
        <v>0</v>
      </c>
      <c r="AJ452" s="353">
        <f t="shared" si="46"/>
        <v>0</v>
      </c>
      <c r="AK452"/>
      <c r="AL452"/>
      <c r="AM452"/>
      <c r="AN452"/>
      <c r="AO452"/>
      <c r="AP452"/>
      <c r="AQ452" s="596" t="s">
        <v>6778</v>
      </c>
      <c r="AR452">
        <f t="shared" si="47"/>
        <v>0</v>
      </c>
      <c r="AS452">
        <f t="shared" si="48"/>
        <v>0</v>
      </c>
      <c r="AT452">
        <f t="shared" si="49"/>
        <v>0</v>
      </c>
    </row>
    <row r="453" spans="1:46" ht="15" customHeight="1">
      <c r="A453" s="57"/>
      <c r="B453" s="57"/>
      <c r="C453" s="98" t="s">
        <v>2523</v>
      </c>
      <c r="D453" s="796" t="s">
        <v>2609</v>
      </c>
      <c r="E453" s="796"/>
      <c r="F453" s="796"/>
      <c r="G453" s="796"/>
      <c r="H453" s="796"/>
      <c r="I453" s="796"/>
      <c r="J453" s="796"/>
      <c r="K453" s="796"/>
      <c r="L453" s="796"/>
      <c r="M453" s="749"/>
      <c r="N453" s="749"/>
      <c r="O453" s="749"/>
      <c r="P453" s="749"/>
      <c r="Q453" s="749"/>
      <c r="R453" s="749"/>
      <c r="S453" s="749"/>
      <c r="T453" s="749"/>
      <c r="U453" s="749"/>
      <c r="V453" s="749"/>
      <c r="W453" s="749"/>
      <c r="X453" s="749"/>
      <c r="Y453" s="749"/>
      <c r="Z453" s="749"/>
      <c r="AA453" s="749"/>
      <c r="AB453" s="749"/>
      <c r="AC453" s="749"/>
      <c r="AD453" s="749"/>
      <c r="AG453" s="283"/>
      <c r="AH453" s="353">
        <f t="shared" si="44"/>
        <v>0</v>
      </c>
      <c r="AI453" s="353">
        <f t="shared" si="45"/>
        <v>0</v>
      </c>
      <c r="AJ453" s="353">
        <f t="shared" si="46"/>
        <v>0</v>
      </c>
      <c r="AK453"/>
      <c r="AL453"/>
      <c r="AM453"/>
      <c r="AN453"/>
      <c r="AO453"/>
      <c r="AP453"/>
      <c r="AQ453" s="595" t="s">
        <v>3758</v>
      </c>
      <c r="AR453">
        <f>IF(OR(M453="NS",$M$337="NS"),0,IF(AND(M453="NA",$M$337="NA"),0,IF(M453&lt;=$M$337,0,1)))</f>
        <v>0</v>
      </c>
      <c r="AS453">
        <f>IF(OR(S453="NS",$S$337="NS"),0,IF(AND(S453="NA",$S$337="NA"),0,IF(S453&lt;=$S$337,0,1)))</f>
        <v>0</v>
      </c>
      <c r="AT453">
        <f>IF(OR(Y453="NS",$Y$337="NS"),0,IF(AND(Y453="NA",$Y$337="NA"),0,IF(Y453&lt;=$Y$337,0,1)))</f>
        <v>0</v>
      </c>
    </row>
    <row r="454" spans="1:46" ht="15">
      <c r="A454" s="57"/>
      <c r="B454" s="57"/>
      <c r="C454" s="38"/>
      <c r="D454" s="38"/>
      <c r="E454" s="38"/>
      <c r="F454" s="38"/>
      <c r="G454" s="38"/>
      <c r="H454" s="38"/>
      <c r="I454" s="38"/>
      <c r="J454" s="38"/>
      <c r="K454" s="38"/>
      <c r="L454" s="117" t="s">
        <v>2649</v>
      </c>
      <c r="M454" s="736">
        <f>IF(AND(SUM(M446:R453)=0,COUNTIF(M446:R453,"NS")&gt;0),"NS",
IF(AND(SUM(M446:R453)=0,COUNTIF(M446:R453,0)&gt;0),0,
IF(AND(SUM(M446:R453)=0,COUNTIF(M446:R453,"NA")&gt;0),"NA",
SUM(M446:R453))))</f>
        <v>0</v>
      </c>
      <c r="N454" s="736"/>
      <c r="O454" s="736"/>
      <c r="P454" s="736"/>
      <c r="Q454" s="736"/>
      <c r="R454" s="736"/>
      <c r="S454" s="736">
        <f t="shared" ref="S454" si="50">IF(AND(SUM(S446:X453)=0,COUNTIF(S446:X453,"NS")&gt;0),"NS",
IF(AND(SUM(S446:X453)=0,COUNTIF(S446:X453,0)&gt;0),0,
IF(AND(SUM(S446:X453)=0,COUNTIF(S446:X453,"NA")&gt;0),"NA",
SUM(S446:X453))))</f>
        <v>0</v>
      </c>
      <c r="T454" s="736"/>
      <c r="U454" s="736"/>
      <c r="V454" s="736"/>
      <c r="W454" s="736"/>
      <c r="X454" s="736"/>
      <c r="Y454" s="736">
        <f t="shared" ref="Y454" si="51">IF(AND(SUM(Y446:AD453)=0,COUNTIF(Y446:AD453,"NS")&gt;0),"NS",
IF(AND(SUM(Y446:AD453)=0,COUNTIF(Y446:AD453,0)&gt;0),0,
IF(AND(SUM(Y446:AD453)=0,COUNTIF(Y446:AD453,"NA")&gt;0),"NA",
SUM(Y446:AD453))))</f>
        <v>0</v>
      </c>
      <c r="Z454" s="736"/>
      <c r="AA454" s="736"/>
      <c r="AB454" s="736"/>
      <c r="AC454" s="736"/>
      <c r="AD454" s="736"/>
      <c r="AG454" s="283"/>
      <c r="AH454" s="282">
        <f>SUM(AH446:AH453)</f>
        <v>0</v>
      </c>
      <c r="AI454"/>
      <c r="AJ454" s="581">
        <f>SUM(AJ446:AJ453)</f>
        <v>0</v>
      </c>
      <c r="AK454"/>
      <c r="AL454"/>
      <c r="AM454"/>
      <c r="AN454"/>
      <c r="AO454"/>
      <c r="AP454"/>
      <c r="AQ454"/>
      <c r="AR454"/>
      <c r="AS454"/>
      <c r="AT454" s="598">
        <f>SUM(AR446:AT453)</f>
        <v>0</v>
      </c>
    </row>
    <row r="455" spans="1:46" ht="15">
      <c r="A455" s="57"/>
      <c r="B455" s="57"/>
      <c r="C455" s="90"/>
      <c r="D455" s="90"/>
      <c r="E455" s="90"/>
      <c r="F455" s="90"/>
      <c r="G455" s="90"/>
      <c r="H455" s="90"/>
      <c r="I455" s="90"/>
      <c r="J455" s="90"/>
      <c r="K455" s="90"/>
      <c r="L455" s="90"/>
      <c r="M455" s="90"/>
      <c r="N455" s="90"/>
      <c r="O455" s="90"/>
      <c r="P455" s="90"/>
      <c r="Q455" s="90"/>
      <c r="R455" s="90"/>
      <c r="S455" s="90"/>
      <c r="T455" s="90"/>
      <c r="U455" s="90"/>
      <c r="V455" s="90"/>
      <c r="W455" s="90"/>
      <c r="X455" s="90"/>
      <c r="Y455" s="90"/>
      <c r="Z455" s="90"/>
      <c r="AA455" s="90"/>
      <c r="AB455" s="90"/>
      <c r="AC455" s="90"/>
      <c r="AD455" s="90"/>
    </row>
    <row r="456" spans="1:46" ht="45" customHeight="1">
      <c r="A456" s="57"/>
      <c r="B456" s="57"/>
      <c r="C456" s="822" t="s">
        <v>2798</v>
      </c>
      <c r="D456" s="822"/>
      <c r="E456" s="822"/>
      <c r="F456" s="749"/>
      <c r="G456" s="749"/>
      <c r="H456" s="749"/>
      <c r="I456" s="749"/>
      <c r="J456" s="749"/>
      <c r="K456" s="749"/>
      <c r="L456" s="749"/>
      <c r="M456" s="749"/>
      <c r="N456" s="749"/>
      <c r="O456" s="749"/>
      <c r="P456" s="749"/>
      <c r="Q456" s="749"/>
      <c r="R456" s="749"/>
      <c r="S456" s="749"/>
      <c r="T456" s="749"/>
      <c r="U456" s="749"/>
      <c r="V456" s="749"/>
      <c r="W456" s="749"/>
      <c r="X456" s="749"/>
      <c r="Y456" s="749"/>
      <c r="Z456" s="749"/>
      <c r="AA456" s="749"/>
      <c r="AB456" s="749"/>
      <c r="AC456" s="749"/>
      <c r="AD456" s="749"/>
    </row>
    <row r="457" spans="1:46" ht="15">
      <c r="A457" s="57"/>
      <c r="B457" s="1175" t="str">
        <f>IF(AND(AK449&gt;0,F456=""),"Debido a que cuenta con registros mayores a cero en el numeral 8 debe anotar el nombre de dicho(s) tipo(s) de servicio(s)","")</f>
        <v/>
      </c>
      <c r="C457" s="1175"/>
      <c r="D457" s="1175"/>
      <c r="E457" s="1175"/>
      <c r="F457" s="1175"/>
      <c r="G457" s="1175"/>
      <c r="H457" s="1175"/>
      <c r="I457" s="1175"/>
      <c r="J457" s="1175"/>
      <c r="K457" s="1175"/>
      <c r="L457" s="1175"/>
      <c r="M457" s="1175"/>
      <c r="N457" s="1175"/>
      <c r="O457" s="1175"/>
      <c r="P457" s="1175"/>
      <c r="Q457" s="1175"/>
      <c r="R457" s="1175"/>
      <c r="S457" s="1175"/>
      <c r="T457" s="1175"/>
      <c r="U457" s="1175"/>
      <c r="V457" s="1175"/>
      <c r="W457" s="1175"/>
      <c r="X457" s="1175"/>
      <c r="Y457" s="1175"/>
      <c r="Z457" s="1175"/>
      <c r="AA457" s="1175"/>
      <c r="AB457" s="1175"/>
      <c r="AC457" s="1175"/>
      <c r="AD457" s="1175"/>
      <c r="AE457" s="1175"/>
    </row>
    <row r="458" spans="1:46" ht="24" customHeight="1">
      <c r="A458" s="57"/>
      <c r="B458" s="57"/>
      <c r="C458" s="754" t="s">
        <v>2611</v>
      </c>
      <c r="D458" s="754"/>
      <c r="E458" s="754"/>
      <c r="F458" s="754"/>
      <c r="G458" s="754"/>
      <c r="H458" s="754"/>
      <c r="I458" s="754"/>
      <c r="J458" s="754"/>
      <c r="K458" s="754"/>
      <c r="L458" s="754"/>
      <c r="M458" s="754"/>
      <c r="N458" s="754"/>
      <c r="O458" s="754"/>
      <c r="P458" s="754"/>
      <c r="Q458" s="754"/>
      <c r="R458" s="754"/>
      <c r="S458" s="754"/>
      <c r="T458" s="754"/>
      <c r="U458" s="754"/>
      <c r="V458" s="754"/>
      <c r="W458" s="754"/>
      <c r="X458" s="754"/>
      <c r="Y458" s="754"/>
      <c r="Z458" s="754"/>
      <c r="AA458" s="754"/>
      <c r="AB458" s="754"/>
      <c r="AC458" s="754"/>
      <c r="AD458" s="754"/>
    </row>
    <row r="459" spans="1:46" ht="60" customHeight="1">
      <c r="A459" s="57"/>
      <c r="B459" s="57"/>
      <c r="C459" s="851"/>
      <c r="D459" s="851"/>
      <c r="E459" s="851"/>
      <c r="F459" s="851"/>
      <c r="G459" s="851"/>
      <c r="H459" s="851"/>
      <c r="I459" s="851"/>
      <c r="J459" s="851"/>
      <c r="K459" s="851"/>
      <c r="L459" s="851"/>
      <c r="M459" s="851"/>
      <c r="N459" s="851"/>
      <c r="O459" s="851"/>
      <c r="P459" s="851"/>
      <c r="Q459" s="851"/>
      <c r="R459" s="851"/>
      <c r="S459" s="851"/>
      <c r="T459" s="851"/>
      <c r="U459" s="851"/>
      <c r="V459" s="851"/>
      <c r="W459" s="851"/>
      <c r="X459" s="851"/>
      <c r="Y459" s="851"/>
      <c r="Z459" s="851"/>
      <c r="AA459" s="851"/>
      <c r="AB459" s="851"/>
      <c r="AC459" s="851"/>
      <c r="AD459" s="851"/>
    </row>
    <row r="460" spans="1:46" ht="15">
      <c r="B460" s="794" t="str">
        <f>IF(AG446&gt;0,"Favor de ingresar toda la información requerida en la pregunta y/o verifique que no tenga información en celdas sombreadas","")</f>
        <v/>
      </c>
      <c r="C460" s="794"/>
      <c r="D460" s="794"/>
      <c r="E460" s="794"/>
      <c r="F460" s="794"/>
      <c r="G460" s="794"/>
      <c r="H460" s="794"/>
      <c r="I460" s="794"/>
      <c r="J460" s="794"/>
      <c r="K460" s="794"/>
      <c r="L460" s="794"/>
      <c r="M460" s="794"/>
      <c r="N460" s="794"/>
      <c r="O460" s="794"/>
      <c r="P460" s="794"/>
      <c r="Q460" s="794"/>
      <c r="R460" s="794"/>
      <c r="S460" s="794"/>
      <c r="T460" s="794"/>
      <c r="U460" s="794"/>
      <c r="V460" s="794"/>
      <c r="W460" s="794"/>
      <c r="X460" s="794"/>
      <c r="Y460" s="794"/>
      <c r="Z460" s="794"/>
      <c r="AA460" s="794"/>
      <c r="AB460" s="794"/>
      <c r="AC460" s="794"/>
      <c r="AD460" s="794"/>
      <c r="AE460"/>
    </row>
    <row r="461" spans="1:46" ht="15">
      <c r="B461" s="795" t="str">
        <f>IF(AH454&gt;0,"Alerta: debido a que cuenta con registros NS, debe proporcionar una justificación en el area de comentarios al final de la pregunta","")</f>
        <v/>
      </c>
      <c r="C461" s="795"/>
      <c r="D461" s="795"/>
      <c r="E461" s="795"/>
      <c r="F461" s="795"/>
      <c r="G461" s="795"/>
      <c r="H461" s="795"/>
      <c r="I461" s="795"/>
      <c r="J461" s="795"/>
      <c r="K461" s="795"/>
      <c r="L461" s="795"/>
      <c r="M461" s="795"/>
      <c r="N461" s="795"/>
      <c r="O461" s="795"/>
      <c r="P461" s="795"/>
      <c r="Q461" s="795"/>
      <c r="R461" s="795"/>
      <c r="S461" s="795"/>
      <c r="T461" s="795"/>
      <c r="U461" s="795"/>
      <c r="V461" s="795"/>
      <c r="W461" s="795"/>
      <c r="X461" s="795"/>
      <c r="Y461" s="795"/>
      <c r="Z461" s="795"/>
      <c r="AA461" s="795"/>
      <c r="AB461" s="795"/>
      <c r="AC461" s="795"/>
      <c r="AD461" s="795"/>
      <c r="AE461"/>
    </row>
    <row r="462" spans="1:46" ht="15">
      <c r="B462" s="1003" t="str">
        <f>IF(AJ454&gt;0,"Favor de revisar la suma y consistencia de totales y/o subtotales por filas (numéricos y NS)","")</f>
        <v/>
      </c>
      <c r="C462" s="1003"/>
      <c r="D462" s="1003"/>
      <c r="E462" s="1003"/>
      <c r="F462" s="1003"/>
      <c r="G462" s="1003"/>
      <c r="H462" s="1003"/>
      <c r="I462" s="1003"/>
      <c r="J462" s="1003"/>
      <c r="K462" s="1003"/>
      <c r="L462" s="1003"/>
      <c r="M462" s="1003"/>
      <c r="N462" s="1003"/>
      <c r="O462" s="1003"/>
      <c r="P462" s="1003"/>
      <c r="Q462" s="1003"/>
      <c r="R462" s="1003"/>
      <c r="S462" s="1003"/>
      <c r="T462" s="1003"/>
      <c r="U462" s="1003"/>
      <c r="V462" s="1003"/>
      <c r="W462" s="1003"/>
      <c r="X462" s="1003"/>
      <c r="Y462" s="1003"/>
      <c r="Z462" s="1003"/>
      <c r="AA462" s="1003"/>
      <c r="AB462" s="1003"/>
      <c r="AC462" s="1003"/>
      <c r="AD462" s="1003"/>
      <c r="AE462"/>
    </row>
    <row r="463" spans="1:46" ht="15">
      <c r="B463" s="794" t="str">
        <f>IF(AP447&gt;0,"Favor de revisar la instrucción 2 y verifique que se cumplan con los criterios establecidos","")</f>
        <v/>
      </c>
      <c r="C463" s="794"/>
      <c r="D463" s="794"/>
      <c r="E463" s="794"/>
      <c r="F463" s="794"/>
      <c r="G463" s="794"/>
      <c r="H463" s="794"/>
      <c r="I463" s="794"/>
      <c r="J463" s="794"/>
      <c r="K463" s="794"/>
      <c r="L463" s="794"/>
      <c r="M463" s="794"/>
      <c r="N463" s="794"/>
      <c r="O463" s="794"/>
      <c r="P463" s="794"/>
      <c r="Q463" s="794"/>
      <c r="R463" s="794"/>
      <c r="S463" s="794"/>
      <c r="T463" s="794"/>
      <c r="U463" s="794"/>
      <c r="V463" s="794"/>
      <c r="W463" s="794"/>
      <c r="X463" s="794"/>
      <c r="Y463" s="794"/>
      <c r="Z463" s="794"/>
      <c r="AA463" s="794"/>
      <c r="AB463" s="794"/>
      <c r="AC463" s="794"/>
      <c r="AD463" s="794"/>
      <c r="AE463" s="794"/>
    </row>
    <row r="464" spans="1:46" ht="15">
      <c r="B464" s="795" t="str">
        <f>IF(AT454&gt;0,"Alerta: debe de proporcionar una justificación de acuerdo a lo establecido en la instrucción 3","")</f>
        <v/>
      </c>
      <c r="C464" s="795"/>
      <c r="D464" s="795"/>
      <c r="E464" s="795"/>
      <c r="F464" s="795"/>
      <c r="G464" s="795"/>
      <c r="H464" s="795"/>
      <c r="I464" s="795"/>
      <c r="J464" s="795"/>
      <c r="K464" s="795"/>
      <c r="L464" s="795"/>
      <c r="M464" s="795"/>
      <c r="N464" s="795"/>
      <c r="O464" s="795"/>
      <c r="P464" s="795"/>
      <c r="Q464" s="795"/>
      <c r="R464" s="795"/>
      <c r="S464" s="795"/>
      <c r="T464" s="795"/>
      <c r="U464" s="795"/>
      <c r="V464" s="795"/>
      <c r="W464" s="795"/>
      <c r="X464" s="795"/>
      <c r="Y464" s="795"/>
      <c r="Z464" s="795"/>
      <c r="AA464" s="795"/>
      <c r="AB464" s="795"/>
      <c r="AC464" s="795"/>
      <c r="AD464" s="795"/>
      <c r="AE464"/>
    </row>
    <row r="465" spans="1:46" ht="15">
      <c r="AE465"/>
    </row>
    <row r="466" spans="1:46" ht="36" customHeight="1">
      <c r="A466" s="108" t="s">
        <v>6779</v>
      </c>
      <c r="B466" s="829" t="s">
        <v>6780</v>
      </c>
      <c r="C466" s="829" t="s">
        <v>6662</v>
      </c>
      <c r="D466" s="829"/>
      <c r="E466" s="829"/>
      <c r="F466" s="829"/>
      <c r="G466" s="829"/>
      <c r="H466" s="829"/>
      <c r="I466" s="829"/>
      <c r="J466" s="829"/>
      <c r="K466" s="829"/>
      <c r="L466" s="829"/>
      <c r="M466" s="829"/>
      <c r="N466" s="829"/>
      <c r="O466" s="829"/>
      <c r="P466" s="829"/>
      <c r="Q466" s="829"/>
      <c r="R466" s="829"/>
      <c r="S466" s="829"/>
      <c r="T466" s="829"/>
      <c r="U466" s="829"/>
      <c r="V466" s="829"/>
      <c r="W466" s="829"/>
      <c r="X466" s="829"/>
      <c r="Y466" s="829"/>
      <c r="Z466" s="829"/>
      <c r="AA466" s="829"/>
      <c r="AB466" s="829"/>
      <c r="AC466" s="829"/>
      <c r="AD466" s="829"/>
    </row>
    <row r="467" spans="1:46" ht="24" customHeight="1">
      <c r="A467" s="110"/>
      <c r="B467" s="57"/>
      <c r="C467" s="754" t="s">
        <v>6781</v>
      </c>
      <c r="D467" s="754"/>
      <c r="E467" s="754"/>
      <c r="F467" s="754"/>
      <c r="G467" s="754"/>
      <c r="H467" s="754"/>
      <c r="I467" s="754"/>
      <c r="J467" s="754"/>
      <c r="K467" s="754"/>
      <c r="L467" s="754"/>
      <c r="M467" s="754"/>
      <c r="N467" s="754"/>
      <c r="O467" s="754"/>
      <c r="P467" s="754"/>
      <c r="Q467" s="754"/>
      <c r="R467" s="754"/>
      <c r="S467" s="754"/>
      <c r="T467" s="754"/>
      <c r="U467" s="754"/>
      <c r="V467" s="754"/>
      <c r="W467" s="754"/>
      <c r="X467" s="754"/>
      <c r="Y467" s="754"/>
      <c r="Z467" s="754"/>
      <c r="AA467" s="754"/>
      <c r="AB467" s="754"/>
      <c r="AC467" s="754"/>
      <c r="AD467" s="754"/>
    </row>
    <row r="468" spans="1:46" ht="36" customHeight="1">
      <c r="A468" s="110"/>
      <c r="B468" s="57"/>
      <c r="C468" s="754" t="s">
        <v>6782</v>
      </c>
      <c r="D468" s="754"/>
      <c r="E468" s="754"/>
      <c r="F468" s="754"/>
      <c r="G468" s="754"/>
      <c r="H468" s="754"/>
      <c r="I468" s="754"/>
      <c r="J468" s="754"/>
      <c r="K468" s="754"/>
      <c r="L468" s="754"/>
      <c r="M468" s="754"/>
      <c r="N468" s="754"/>
      <c r="O468" s="754"/>
      <c r="P468" s="754"/>
      <c r="Q468" s="754"/>
      <c r="R468" s="754"/>
      <c r="S468" s="754"/>
      <c r="T468" s="754"/>
      <c r="U468" s="754"/>
      <c r="V468" s="754"/>
      <c r="W468" s="754"/>
      <c r="X468" s="754"/>
      <c r="Y468" s="754"/>
      <c r="Z468" s="754"/>
      <c r="AA468" s="754"/>
      <c r="AB468" s="754"/>
      <c r="AC468" s="754"/>
      <c r="AD468" s="754"/>
    </row>
    <row r="469" spans="1:46" ht="48" customHeight="1">
      <c r="A469" s="110"/>
      <c r="B469" s="57"/>
      <c r="C469" s="754" t="s">
        <v>6783</v>
      </c>
      <c r="D469" s="754"/>
      <c r="E469" s="754"/>
      <c r="F469" s="754"/>
      <c r="G469" s="754"/>
      <c r="H469" s="754"/>
      <c r="I469" s="754"/>
      <c r="J469" s="754"/>
      <c r="K469" s="754"/>
      <c r="L469" s="754"/>
      <c r="M469" s="754"/>
      <c r="N469" s="754"/>
      <c r="O469" s="754"/>
      <c r="P469" s="754"/>
      <c r="Q469" s="754"/>
      <c r="R469" s="754"/>
      <c r="S469" s="754"/>
      <c r="T469" s="754"/>
      <c r="U469" s="754"/>
      <c r="V469" s="754"/>
      <c r="W469" s="754"/>
      <c r="X469" s="754"/>
      <c r="Y469" s="754"/>
      <c r="Z469" s="754"/>
      <c r="AA469" s="754"/>
      <c r="AB469" s="754"/>
      <c r="AC469" s="754"/>
      <c r="AD469" s="754"/>
    </row>
    <row r="470" spans="1:46" ht="24" customHeight="1">
      <c r="A470" s="57"/>
      <c r="B470" s="57"/>
      <c r="C470" s="754" t="s">
        <v>6784</v>
      </c>
      <c r="D470" s="754"/>
      <c r="E470" s="754"/>
      <c r="F470" s="754"/>
      <c r="G470" s="754"/>
      <c r="H470" s="754"/>
      <c r="I470" s="754"/>
      <c r="J470" s="754"/>
      <c r="K470" s="754"/>
      <c r="L470" s="754"/>
      <c r="M470" s="754"/>
      <c r="N470" s="754"/>
      <c r="O470" s="754"/>
      <c r="P470" s="754"/>
      <c r="Q470" s="754"/>
      <c r="R470" s="754"/>
      <c r="S470" s="754"/>
      <c r="T470" s="754"/>
      <c r="U470" s="754"/>
      <c r="V470" s="754"/>
      <c r="W470" s="754"/>
      <c r="X470" s="754"/>
      <c r="Y470" s="754"/>
      <c r="Z470" s="754"/>
      <c r="AA470" s="754"/>
      <c r="AB470" s="754"/>
      <c r="AC470" s="754"/>
      <c r="AD470" s="754"/>
    </row>
    <row r="471" spans="1:46" ht="15">
      <c r="A471" s="57"/>
      <c r="B471" s="57"/>
      <c r="C471" s="57"/>
      <c r="D471" s="57"/>
      <c r="E471" s="57"/>
      <c r="F471" s="57"/>
      <c r="G471" s="57"/>
      <c r="H471" s="57"/>
      <c r="I471" s="57"/>
      <c r="J471" s="57"/>
      <c r="K471" s="57"/>
      <c r="L471" s="57"/>
      <c r="M471" s="57"/>
      <c r="N471" s="57"/>
      <c r="O471" s="57"/>
      <c r="P471" s="57"/>
      <c r="Q471" s="57"/>
      <c r="R471" s="57"/>
      <c r="S471" s="57"/>
      <c r="T471" s="57"/>
      <c r="U471" s="57"/>
      <c r="V471" s="57"/>
      <c r="W471" s="57"/>
      <c r="X471" s="57"/>
      <c r="Y471" s="57"/>
      <c r="Z471" s="57"/>
      <c r="AA471" s="57"/>
      <c r="AB471" s="57"/>
      <c r="AC471" s="57"/>
      <c r="AD471" s="57"/>
      <c r="AG471"/>
      <c r="AH471"/>
      <c r="AI471"/>
      <c r="AJ471"/>
      <c r="AK471" s="1176" t="s">
        <v>6540</v>
      </c>
      <c r="AL471" s="1177" t="s">
        <v>6667</v>
      </c>
      <c r="AM471" s="1177" t="s">
        <v>6684</v>
      </c>
      <c r="AN471"/>
      <c r="AO471"/>
      <c r="AP471"/>
      <c r="AQ471" s="1197" t="s">
        <v>6709</v>
      </c>
      <c r="AR471" s="1198" t="s">
        <v>6785</v>
      </c>
      <c r="AS471" s="1198"/>
      <c r="AT471" s="1198"/>
    </row>
    <row r="472" spans="1:46" ht="36" customHeight="1">
      <c r="A472" s="57"/>
      <c r="B472" s="57"/>
      <c r="C472" s="732" t="s">
        <v>6786</v>
      </c>
      <c r="D472" s="732"/>
      <c r="E472" s="732"/>
      <c r="F472" s="732"/>
      <c r="G472" s="732"/>
      <c r="H472" s="732"/>
      <c r="I472" s="732"/>
      <c r="J472" s="732"/>
      <c r="K472" s="732"/>
      <c r="L472" s="732"/>
      <c r="M472" s="732" t="s">
        <v>6787</v>
      </c>
      <c r="N472" s="732"/>
      <c r="O472" s="732"/>
      <c r="P472" s="732"/>
      <c r="Q472" s="732"/>
      <c r="R472" s="732"/>
      <c r="S472" s="732"/>
      <c r="T472" s="732"/>
      <c r="U472" s="732"/>
      <c r="V472" s="732"/>
      <c r="W472" s="732"/>
      <c r="X472" s="732"/>
      <c r="Y472" s="732"/>
      <c r="Z472" s="732"/>
      <c r="AA472" s="732"/>
      <c r="AB472" s="732"/>
      <c r="AC472" s="732"/>
      <c r="AD472" s="732"/>
      <c r="AG472"/>
      <c r="AH472"/>
      <c r="AI472"/>
      <c r="AJ472"/>
      <c r="AK472" s="1176"/>
      <c r="AL472" s="1177"/>
      <c r="AM472" s="1177"/>
      <c r="AN472" s="1199" t="s">
        <v>6713</v>
      </c>
      <c r="AO472" s="1199"/>
      <c r="AP472" s="1199"/>
      <c r="AQ472" s="1197"/>
      <c r="AR472" s="1198"/>
      <c r="AS472" s="1198"/>
      <c r="AT472" s="1198"/>
    </row>
    <row r="473" spans="1:46" ht="15">
      <c r="A473" s="57"/>
      <c r="B473" s="57"/>
      <c r="C473" s="732"/>
      <c r="D473" s="732"/>
      <c r="E473" s="732"/>
      <c r="F473" s="732"/>
      <c r="G473" s="732"/>
      <c r="H473" s="732"/>
      <c r="I473" s="732"/>
      <c r="J473" s="732"/>
      <c r="K473" s="732"/>
      <c r="L473" s="732"/>
      <c r="M473" s="987" t="s">
        <v>2628</v>
      </c>
      <c r="N473" s="988"/>
      <c r="O473" s="988"/>
      <c r="P473" s="988"/>
      <c r="Q473" s="988"/>
      <c r="R473" s="988"/>
      <c r="S473" s="989" t="s">
        <v>2629</v>
      </c>
      <c r="T473" s="990"/>
      <c r="U473" s="990"/>
      <c r="V473" s="990"/>
      <c r="W473" s="990"/>
      <c r="X473" s="990"/>
      <c r="Y473" s="989" t="s">
        <v>2630</v>
      </c>
      <c r="Z473" s="990"/>
      <c r="AA473" s="990"/>
      <c r="AB473" s="990"/>
      <c r="AC473" s="990"/>
      <c r="AD473" s="990"/>
      <c r="AG473" s="354" t="s">
        <v>2586</v>
      </c>
      <c r="AH473" s="350" t="s">
        <v>2590</v>
      </c>
      <c r="AI473" s="351" t="s">
        <v>3163</v>
      </c>
      <c r="AJ473" s="352" t="s">
        <v>3164</v>
      </c>
      <c r="AK473" s="1176"/>
      <c r="AL473" s="1177"/>
      <c r="AM473" s="1177"/>
      <c r="AN473" s="598" t="s">
        <v>2795</v>
      </c>
      <c r="AO473" s="368" t="s">
        <v>3177</v>
      </c>
      <c r="AP473" s="467" t="s">
        <v>3178</v>
      </c>
      <c r="AQ473" s="1197"/>
      <c r="AR473" s="599" t="s">
        <v>2795</v>
      </c>
      <c r="AS473" s="359" t="s">
        <v>3177</v>
      </c>
      <c r="AT473" s="361" t="s">
        <v>3178</v>
      </c>
    </row>
    <row r="474" spans="1:46" ht="24" customHeight="1">
      <c r="A474" s="57"/>
      <c r="B474" s="57"/>
      <c r="C474" s="97" t="s">
        <v>2516</v>
      </c>
      <c r="D474" s="1084" t="s">
        <v>6788</v>
      </c>
      <c r="E474" s="1084"/>
      <c r="F474" s="1084"/>
      <c r="G474" s="1084"/>
      <c r="H474" s="1084"/>
      <c r="I474" s="1084"/>
      <c r="J474" s="1084"/>
      <c r="K474" s="1084"/>
      <c r="L474" s="1084"/>
      <c r="M474" s="749"/>
      <c r="N474" s="749"/>
      <c r="O474" s="749"/>
      <c r="P474" s="749"/>
      <c r="Q474" s="749"/>
      <c r="R474" s="749"/>
      <c r="S474" s="749"/>
      <c r="T474" s="749"/>
      <c r="U474" s="749"/>
      <c r="V474" s="749"/>
      <c r="W474" s="749"/>
      <c r="X474" s="749"/>
      <c r="Y474" s="749"/>
      <c r="Z474" s="749"/>
      <c r="AA474" s="749"/>
      <c r="AB474" s="749"/>
      <c r="AC474" s="749"/>
      <c r="AD474" s="749"/>
      <c r="AG474" s="283">
        <f>IF(AND(OR($I$25="X",$T$25="X"),COUNTA(M474:AD480)=0),0,IF(AND($I$25="",$T$25="",SUM($C$313)=0,COUNTA(M474:AD480)=0),0,IF(AND($I$25="",$T$25="",SUM($C$313)&gt;0,SUM($M$338)=0,COUNTA(M474:AD480)=0),0,IF(AND($I$25="",$T$25="",SUM($C$313)&gt;0,SUM($M$338)&gt;0,COUNTA(M474:AD480)=21),0,1))))</f>
        <v>0</v>
      </c>
      <c r="AH474" s="353">
        <f>COUNTIF(S474:AD474,"NS")</f>
        <v>0</v>
      </c>
      <c r="AI474" s="353">
        <f>SUM(S474:AD474)</f>
        <v>0</v>
      </c>
      <c r="AJ474" s="353">
        <f>IF(COUNTIF(M474:AD474,"NA")=3,0,IF(OR(AND(M474=0,AH474&gt;0),AND(M474="ns",AI474&gt;0),AND(M474="ns",AH474=0,AI474=0)),1,IF(OR(AND(M474&gt;0,AH474=2),AND(M474="ns",AH474=2),AND(M474="ns",AI474=0,AH474&gt;0),M474=AI474),0,1)))</f>
        <v>0</v>
      </c>
      <c r="AK474" s="342">
        <f>IF(AND(OR($T$25="X",$I$25="X"),COUNTA(M474:AD480)&gt;0),1,0)</f>
        <v>0</v>
      </c>
      <c r="AL474">
        <f>IF(AND(SUM($C$313)=0,COUNTA(M474:AD480)&gt;0),1,0)</f>
        <v>0</v>
      </c>
      <c r="AM474">
        <f>IF(AND(SUM($M$338)=0,COUNTA(M474:AD480)&gt;0),1,0)</f>
        <v>0</v>
      </c>
      <c r="AN474">
        <f>IF(OR(M481="NS",$M$338="NS"),0,IF(AND(M481="NA",$M$338="NA"),0,IF(M481&gt;=$M$338,0,1)))</f>
        <v>0</v>
      </c>
      <c r="AO474">
        <f>IF(OR(S481="NS",$S$338="NS"),0,IF(AND(S481="NA",$S$338="NA"),0,IF(S481&gt;=$S$338,0,1)))</f>
        <v>0</v>
      </c>
      <c r="AP474">
        <f>IF(OR(Y481="NS",$Y$338="NS"),0,IF(AND(Y481="NA",$Y$338="NA"),0,IF(Y481&gt;=$Y$338,0,1)))</f>
        <v>0</v>
      </c>
      <c r="AQ474" s="600" t="s">
        <v>6789</v>
      </c>
      <c r="AR474">
        <f>IF(OR(M474="NS",$M$338="NS"),0,IF(AND(M474="NA",$M$338="NA"),0,IF(M474&lt;=$M$338,0,1)))</f>
        <v>0</v>
      </c>
      <c r="AS474">
        <f>IF(OR(S474="NS",$S$338="NS"),0,IF(AND(S474="NA",$S$338="NA"),0,IF(S474&lt;=$S$338,0,1)))</f>
        <v>0</v>
      </c>
      <c r="AT474">
        <f>IF(OR(Y474="NS",$Y$338="NS"),0,IF(AND(Y474="NA",$Y$338="NA"),0,IF(Y474&lt;=$Y$338,0,1)))</f>
        <v>0</v>
      </c>
    </row>
    <row r="475" spans="1:46" ht="48" customHeight="1">
      <c r="A475" s="57"/>
      <c r="B475" s="57"/>
      <c r="C475" s="98" t="s">
        <v>2517</v>
      </c>
      <c r="D475" s="796" t="s">
        <v>6790</v>
      </c>
      <c r="E475" s="796"/>
      <c r="F475" s="796"/>
      <c r="G475" s="796"/>
      <c r="H475" s="796"/>
      <c r="I475" s="796"/>
      <c r="J475" s="796"/>
      <c r="K475" s="796"/>
      <c r="L475" s="796"/>
      <c r="M475" s="749"/>
      <c r="N475" s="749"/>
      <c r="O475" s="749"/>
      <c r="P475" s="749"/>
      <c r="Q475" s="749"/>
      <c r="R475" s="749"/>
      <c r="S475" s="749"/>
      <c r="T475" s="749"/>
      <c r="U475" s="749"/>
      <c r="V475" s="749"/>
      <c r="W475" s="749"/>
      <c r="X475" s="749"/>
      <c r="Y475" s="749"/>
      <c r="Z475" s="749"/>
      <c r="AA475" s="749"/>
      <c r="AB475" s="749"/>
      <c r="AC475" s="749"/>
      <c r="AD475" s="749"/>
      <c r="AG475" s="283"/>
      <c r="AH475" s="353">
        <f t="shared" ref="AH475:AH480" si="52">COUNTIF(S475:AD475,"NS")</f>
        <v>0</v>
      </c>
      <c r="AI475" s="353">
        <f t="shared" ref="AI475:AI480" si="53">SUM(S475:AD475)</f>
        <v>0</v>
      </c>
      <c r="AJ475" s="353">
        <f t="shared" ref="AJ475:AJ480" si="54">IF(COUNTIF(M475:AD475,"NA")=3,0,IF(OR(AND(M475=0,AH475&gt;0),AND(M475="ns",AI475&gt;0),AND(M475="ns",AH475=0,AI475=0)),1,IF(OR(AND(M475&gt;0,AH475=2),AND(M475="ns",AH475=2),AND(M475="ns",AI475=0,AH475&gt;0),M475=AI475),0,1)))</f>
        <v>0</v>
      </c>
      <c r="AK475"/>
      <c r="AL475"/>
      <c r="AM475"/>
      <c r="AN475"/>
      <c r="AO475"/>
      <c r="AP475" s="601">
        <f>SUM(AN474:AP474)</f>
        <v>0</v>
      </c>
      <c r="AQ475" s="602" t="s">
        <v>6791</v>
      </c>
      <c r="AR475">
        <f t="shared" ref="AR475:AR480" si="55">IF(OR(M475="NS",$M$338="NS"),0,IF(AND(M475="NA",$M$338="NA"),0,IF(M475&lt;=$M$338,0,1)))</f>
        <v>0</v>
      </c>
      <c r="AS475">
        <f t="shared" ref="AS475:AS480" si="56">IF(OR(S475="NS",$S$338="NS"),0,IF(AND(S475="NA",$S$338="NA"),0,IF(S475&lt;=$S$338,0,1)))</f>
        <v>0</v>
      </c>
      <c r="AT475">
        <f t="shared" ref="AT475:AT479" si="57">IF(OR(Y475="NS",$Y$338="NS"),0,IF(AND(Y475="NA",$Y$338="NA"),0,IF(Y475&lt;=$Y$338,0,1)))</f>
        <v>0</v>
      </c>
    </row>
    <row r="476" spans="1:46" ht="24" customHeight="1">
      <c r="A476" s="57"/>
      <c r="B476" s="57"/>
      <c r="C476" s="98" t="s">
        <v>2518</v>
      </c>
      <c r="D476" s="796" t="s">
        <v>6792</v>
      </c>
      <c r="E476" s="796"/>
      <c r="F476" s="796"/>
      <c r="G476" s="796"/>
      <c r="H476" s="796"/>
      <c r="I476" s="796"/>
      <c r="J476" s="796"/>
      <c r="K476" s="796"/>
      <c r="L476" s="796"/>
      <c r="M476" s="749"/>
      <c r="N476" s="749"/>
      <c r="O476" s="749"/>
      <c r="P476" s="749"/>
      <c r="Q476" s="749"/>
      <c r="R476" s="749"/>
      <c r="S476" s="749"/>
      <c r="T476" s="749"/>
      <c r="U476" s="749"/>
      <c r="V476" s="749"/>
      <c r="W476" s="749"/>
      <c r="X476" s="749"/>
      <c r="Y476" s="749"/>
      <c r="Z476" s="749"/>
      <c r="AA476" s="749"/>
      <c r="AB476" s="749"/>
      <c r="AC476" s="749"/>
      <c r="AD476" s="749"/>
      <c r="AG476" s="283"/>
      <c r="AH476" s="353">
        <f t="shared" si="52"/>
        <v>0</v>
      </c>
      <c r="AI476" s="353">
        <f t="shared" si="53"/>
        <v>0</v>
      </c>
      <c r="AJ476" s="353">
        <f t="shared" si="54"/>
        <v>0</v>
      </c>
      <c r="AK476" s="610" t="s">
        <v>6693</v>
      </c>
      <c r="AL476"/>
      <c r="AM476"/>
      <c r="AN476"/>
      <c r="AO476"/>
      <c r="AP476"/>
      <c r="AQ476" s="603" t="s">
        <v>6793</v>
      </c>
      <c r="AR476">
        <f t="shared" si="55"/>
        <v>0</v>
      </c>
      <c r="AS476">
        <f t="shared" si="56"/>
        <v>0</v>
      </c>
      <c r="AT476">
        <f t="shared" si="57"/>
        <v>0</v>
      </c>
    </row>
    <row r="477" spans="1:46" ht="24" customHeight="1">
      <c r="A477" s="57"/>
      <c r="B477" s="57"/>
      <c r="C477" s="98" t="s">
        <v>2519</v>
      </c>
      <c r="D477" s="796" t="s">
        <v>6794</v>
      </c>
      <c r="E477" s="796"/>
      <c r="F477" s="796"/>
      <c r="G477" s="796"/>
      <c r="H477" s="796"/>
      <c r="I477" s="796"/>
      <c r="J477" s="796"/>
      <c r="K477" s="796"/>
      <c r="L477" s="796"/>
      <c r="M477" s="749"/>
      <c r="N477" s="749"/>
      <c r="O477" s="749"/>
      <c r="P477" s="749"/>
      <c r="Q477" s="749"/>
      <c r="R477" s="749"/>
      <c r="S477" s="749"/>
      <c r="T477" s="749"/>
      <c r="U477" s="749"/>
      <c r="V477" s="749"/>
      <c r="W477" s="749"/>
      <c r="X477" s="749"/>
      <c r="Y477" s="749"/>
      <c r="Z477" s="749"/>
      <c r="AA477" s="749"/>
      <c r="AB477" s="749"/>
      <c r="AC477" s="749"/>
      <c r="AD477" s="749"/>
      <c r="AG477" s="283"/>
      <c r="AH477" s="353">
        <f t="shared" si="52"/>
        <v>0</v>
      </c>
      <c r="AI477" s="353">
        <f t="shared" si="53"/>
        <v>0</v>
      </c>
      <c r="AJ477" s="353">
        <f t="shared" si="54"/>
        <v>0</v>
      </c>
      <c r="AK477">
        <f>IF(SUM(M480:AD480)&gt;0,1,0)</f>
        <v>0</v>
      </c>
      <c r="AL477"/>
      <c r="AM477"/>
      <c r="AN477"/>
      <c r="AO477"/>
      <c r="AP477"/>
      <c r="AQ477" s="602" t="s">
        <v>6795</v>
      </c>
      <c r="AR477">
        <f t="shared" si="55"/>
        <v>0</v>
      </c>
      <c r="AS477">
        <f t="shared" si="56"/>
        <v>0</v>
      </c>
      <c r="AT477">
        <f t="shared" si="57"/>
        <v>0</v>
      </c>
    </row>
    <row r="478" spans="1:46" ht="48" customHeight="1">
      <c r="A478" s="57"/>
      <c r="B478" s="57"/>
      <c r="C478" s="98" t="s">
        <v>2520</v>
      </c>
      <c r="D478" s="1084" t="s">
        <v>6796</v>
      </c>
      <c r="E478" s="1084"/>
      <c r="F478" s="1084"/>
      <c r="G478" s="1084"/>
      <c r="H478" s="1084"/>
      <c r="I478" s="1084"/>
      <c r="J478" s="1084"/>
      <c r="K478" s="1084"/>
      <c r="L478" s="1084"/>
      <c r="M478" s="749"/>
      <c r="N478" s="749"/>
      <c r="O478" s="749"/>
      <c r="P478" s="749"/>
      <c r="Q478" s="749"/>
      <c r="R478" s="749"/>
      <c r="S478" s="749"/>
      <c r="T478" s="749"/>
      <c r="U478" s="749"/>
      <c r="V478" s="749"/>
      <c r="W478" s="749"/>
      <c r="X478" s="749"/>
      <c r="Y478" s="749"/>
      <c r="Z478" s="749"/>
      <c r="AA478" s="749"/>
      <c r="AB478" s="749"/>
      <c r="AC478" s="749"/>
      <c r="AD478" s="749"/>
      <c r="AG478" s="283"/>
      <c r="AH478" s="353">
        <f t="shared" si="52"/>
        <v>0</v>
      </c>
      <c r="AI478" s="353">
        <f t="shared" si="53"/>
        <v>0</v>
      </c>
      <c r="AJ478" s="353">
        <f t="shared" si="54"/>
        <v>0</v>
      </c>
      <c r="AK478"/>
      <c r="AL478"/>
      <c r="AM478"/>
      <c r="AN478"/>
      <c r="AO478"/>
      <c r="AP478"/>
      <c r="AQ478" s="612" t="s">
        <v>6797</v>
      </c>
      <c r="AR478">
        <f t="shared" si="55"/>
        <v>0</v>
      </c>
      <c r="AS478">
        <f t="shared" si="56"/>
        <v>0</v>
      </c>
      <c r="AT478">
        <f t="shared" si="57"/>
        <v>0</v>
      </c>
    </row>
    <row r="479" spans="1:46" ht="24" customHeight="1">
      <c r="A479" s="57"/>
      <c r="B479" s="57"/>
      <c r="C479" s="98" t="s">
        <v>2521</v>
      </c>
      <c r="D479" s="796" t="s">
        <v>6798</v>
      </c>
      <c r="E479" s="796"/>
      <c r="F479" s="796"/>
      <c r="G479" s="796"/>
      <c r="H479" s="796"/>
      <c r="I479" s="796"/>
      <c r="J479" s="796"/>
      <c r="K479" s="796"/>
      <c r="L479" s="796"/>
      <c r="M479" s="749"/>
      <c r="N479" s="749"/>
      <c r="O479" s="749"/>
      <c r="P479" s="749"/>
      <c r="Q479" s="749"/>
      <c r="R479" s="749"/>
      <c r="S479" s="749"/>
      <c r="T479" s="749"/>
      <c r="U479" s="749"/>
      <c r="V479" s="749"/>
      <c r="W479" s="749"/>
      <c r="X479" s="749"/>
      <c r="Y479" s="749"/>
      <c r="Z479" s="749"/>
      <c r="AA479" s="749"/>
      <c r="AB479" s="749"/>
      <c r="AC479" s="749"/>
      <c r="AD479" s="749"/>
      <c r="AG479" s="283"/>
      <c r="AH479" s="353">
        <f t="shared" si="52"/>
        <v>0</v>
      </c>
      <c r="AI479" s="353">
        <f t="shared" si="53"/>
        <v>0</v>
      </c>
      <c r="AJ479" s="353">
        <f t="shared" si="54"/>
        <v>0</v>
      </c>
      <c r="AK479"/>
      <c r="AL479"/>
      <c r="AM479"/>
      <c r="AN479"/>
      <c r="AO479"/>
      <c r="AP479"/>
      <c r="AQ479" s="602" t="s">
        <v>6799</v>
      </c>
      <c r="AR479">
        <f t="shared" si="55"/>
        <v>0</v>
      </c>
      <c r="AS479">
        <f t="shared" si="56"/>
        <v>0</v>
      </c>
      <c r="AT479">
        <f t="shared" si="57"/>
        <v>0</v>
      </c>
    </row>
    <row r="480" spans="1:46" ht="15" customHeight="1">
      <c r="A480" s="57"/>
      <c r="B480" s="57"/>
      <c r="C480" s="98" t="s">
        <v>2522</v>
      </c>
      <c r="D480" s="796" t="s">
        <v>2609</v>
      </c>
      <c r="E480" s="796"/>
      <c r="F480" s="796"/>
      <c r="G480" s="796"/>
      <c r="H480" s="796"/>
      <c r="I480" s="796"/>
      <c r="J480" s="796"/>
      <c r="K480" s="796"/>
      <c r="L480" s="796"/>
      <c r="M480" s="749"/>
      <c r="N480" s="749"/>
      <c r="O480" s="749"/>
      <c r="P480" s="749"/>
      <c r="Q480" s="749"/>
      <c r="R480" s="749"/>
      <c r="S480" s="749"/>
      <c r="T480" s="749"/>
      <c r="U480" s="749"/>
      <c r="V480" s="749"/>
      <c r="W480" s="749"/>
      <c r="X480" s="749"/>
      <c r="Y480" s="749"/>
      <c r="Z480" s="749"/>
      <c r="AA480" s="749"/>
      <c r="AB480" s="749"/>
      <c r="AC480" s="749"/>
      <c r="AD480" s="749"/>
      <c r="AG480" s="283"/>
      <c r="AH480" s="353">
        <f t="shared" si="52"/>
        <v>0</v>
      </c>
      <c r="AI480" s="353">
        <f t="shared" si="53"/>
        <v>0</v>
      </c>
      <c r="AJ480" s="353">
        <f t="shared" si="54"/>
        <v>0</v>
      </c>
      <c r="AK480"/>
      <c r="AL480"/>
      <c r="AM480"/>
      <c r="AN480"/>
      <c r="AO480"/>
      <c r="AP480"/>
      <c r="AQ480" s="603" t="s">
        <v>3758</v>
      </c>
      <c r="AR480">
        <f t="shared" si="55"/>
        <v>0</v>
      </c>
      <c r="AS480">
        <f t="shared" si="56"/>
        <v>0</v>
      </c>
      <c r="AT480">
        <f>IF(OR(Y480="NS",$Y$338="NS"),0,IF(AND(Y480="NA",$Y$338="NA"),0,IF(Y480&lt;=$Y$338,0,1)))</f>
        <v>0</v>
      </c>
    </row>
    <row r="481" spans="1:46" ht="15">
      <c r="A481" s="57"/>
      <c r="B481" s="57"/>
      <c r="C481" s="38"/>
      <c r="D481" s="38"/>
      <c r="E481" s="38"/>
      <c r="F481" s="38"/>
      <c r="G481" s="38"/>
      <c r="H481" s="38"/>
      <c r="I481" s="38"/>
      <c r="J481" s="38"/>
      <c r="K481" s="38"/>
      <c r="L481" s="117" t="s">
        <v>2649</v>
      </c>
      <c r="M481" s="736">
        <f>IF(AND(SUM(M474:R480)=0,COUNTIF(M474:R480,"NS")&gt;0),"NS",
IF(AND(SUM(M474:R480)=0,COUNTIF(M474:R480,0)&gt;0),0,
IF(AND(SUM(M474:R480)=0,COUNTIF(M474:R480,"NA")&gt;0),"NA",
SUM(M474:R480))))</f>
        <v>0</v>
      </c>
      <c r="N481" s="736"/>
      <c r="O481" s="736"/>
      <c r="P481" s="736"/>
      <c r="Q481" s="736"/>
      <c r="R481" s="736"/>
      <c r="S481" s="736">
        <f t="shared" ref="S481" si="58">IF(AND(SUM(S474:X480)=0,COUNTIF(S474:X480,"NS")&gt;0),"NS",
IF(AND(SUM(S474:X480)=0,COUNTIF(S474:X480,0)&gt;0),0,
IF(AND(SUM(S474:X480)=0,COUNTIF(S474:X480,"NA")&gt;0),"NA",
SUM(S474:X480))))</f>
        <v>0</v>
      </c>
      <c r="T481" s="736"/>
      <c r="U481" s="736"/>
      <c r="V481" s="736"/>
      <c r="W481" s="736"/>
      <c r="X481" s="736"/>
      <c r="Y481" s="736">
        <f t="shared" ref="Y481" si="59">IF(AND(SUM(Y474:AD480)=0,COUNTIF(Y474:AD480,"NS")&gt;0),"NS",
IF(AND(SUM(Y474:AD480)=0,COUNTIF(Y474:AD480,0)&gt;0),0,
IF(AND(SUM(Y474:AD480)=0,COUNTIF(Y474:AD480,"NA")&gt;0),"NA",
SUM(Y474:AD480))))</f>
        <v>0</v>
      </c>
      <c r="Z481" s="736"/>
      <c r="AA481" s="736"/>
      <c r="AB481" s="736"/>
      <c r="AC481" s="736"/>
      <c r="AD481" s="736"/>
      <c r="AG481" s="283"/>
      <c r="AH481" s="282">
        <f>SUM(AH474:AH480)</f>
        <v>0</v>
      </c>
      <c r="AI481"/>
      <c r="AJ481" s="581">
        <f>SUM(AJ474:AJ480)</f>
        <v>0</v>
      </c>
      <c r="AK481"/>
      <c r="AL481"/>
      <c r="AM481"/>
      <c r="AN481"/>
      <c r="AO481"/>
      <c r="AP481"/>
      <c r="AQ481" s="597"/>
      <c r="AR481"/>
      <c r="AS481"/>
      <c r="AT481" s="590">
        <f>SUM(AR474:AT480)</f>
        <v>0</v>
      </c>
    </row>
    <row r="482" spans="1:46" ht="15">
      <c r="A482" s="57"/>
      <c r="B482" s="57"/>
      <c r="C482" s="90"/>
      <c r="D482" s="90"/>
      <c r="E482" s="90"/>
      <c r="F482" s="90"/>
      <c r="G482" s="90"/>
      <c r="H482" s="90"/>
      <c r="I482" s="90"/>
      <c r="J482" s="90"/>
      <c r="K482" s="90"/>
      <c r="L482" s="90"/>
      <c r="M482" s="90"/>
      <c r="N482" s="90"/>
      <c r="O482" s="90"/>
      <c r="P482" s="90"/>
      <c r="Q482" s="90"/>
      <c r="R482" s="90"/>
      <c r="S482" s="90"/>
      <c r="T482" s="90"/>
      <c r="U482" s="90"/>
      <c r="V482" s="90"/>
      <c r="W482" s="90"/>
      <c r="X482" s="90"/>
      <c r="Y482" s="90"/>
      <c r="Z482" s="90"/>
      <c r="AA482" s="90"/>
      <c r="AB482" s="90"/>
      <c r="AC482" s="90"/>
      <c r="AD482" s="90"/>
    </row>
    <row r="483" spans="1:46" ht="45" customHeight="1">
      <c r="A483" s="57"/>
      <c r="B483" s="57"/>
      <c r="C483" s="822" t="s">
        <v>2798</v>
      </c>
      <c r="D483" s="822"/>
      <c r="E483" s="822"/>
      <c r="F483" s="749"/>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row>
    <row r="484" spans="1:46" ht="15">
      <c r="A484" s="57"/>
      <c r="B484" s="1175" t="str">
        <f>IF(AND(AK477&gt;0,F483=""),"Debido a que cuenta con registros mayores a cero en el numeral 7 debe anotar el nombre de dicho(s) tipo(s) de servicio(s)","")</f>
        <v/>
      </c>
      <c r="C484" s="1175"/>
      <c r="D484" s="1175"/>
      <c r="E484" s="1175"/>
      <c r="F484" s="1175"/>
      <c r="G484" s="1175"/>
      <c r="H484" s="1175"/>
      <c r="I484" s="1175"/>
      <c r="J484" s="1175"/>
      <c r="K484" s="1175"/>
      <c r="L484" s="1175"/>
      <c r="M484" s="1175"/>
      <c r="N484" s="1175"/>
      <c r="O484" s="1175"/>
      <c r="P484" s="1175"/>
      <c r="Q484" s="1175"/>
      <c r="R484" s="1175"/>
      <c r="S484" s="1175"/>
      <c r="T484" s="1175"/>
      <c r="U484" s="1175"/>
      <c r="V484" s="1175"/>
      <c r="W484" s="1175"/>
      <c r="X484" s="1175"/>
      <c r="Y484" s="1175"/>
      <c r="Z484" s="1175"/>
      <c r="AA484" s="1175"/>
      <c r="AB484" s="1175"/>
      <c r="AC484" s="1175"/>
      <c r="AD484" s="1175"/>
      <c r="AE484" s="1175"/>
    </row>
    <row r="485" spans="1:46" ht="24" customHeight="1">
      <c r="A485" s="57"/>
      <c r="B485" s="57"/>
      <c r="C485" s="754" t="s">
        <v>2611</v>
      </c>
      <c r="D485" s="754"/>
      <c r="E485" s="754"/>
      <c r="F485" s="754"/>
      <c r="G485" s="754"/>
      <c r="H485" s="754"/>
      <c r="I485" s="754"/>
      <c r="J485" s="754"/>
      <c r="K485" s="754"/>
      <c r="L485" s="754"/>
      <c r="M485" s="754"/>
      <c r="N485" s="754"/>
      <c r="O485" s="754"/>
      <c r="P485" s="754"/>
      <c r="Q485" s="754"/>
      <c r="R485" s="754"/>
      <c r="S485" s="754"/>
      <c r="T485" s="754"/>
      <c r="U485" s="754"/>
      <c r="V485" s="754"/>
      <c r="W485" s="754"/>
      <c r="X485" s="754"/>
      <c r="Y485" s="754"/>
      <c r="Z485" s="754"/>
      <c r="AA485" s="754"/>
      <c r="AB485" s="754"/>
      <c r="AC485" s="754"/>
      <c r="AD485" s="754"/>
    </row>
    <row r="486" spans="1:46" ht="60" customHeight="1">
      <c r="A486" s="57"/>
      <c r="B486" s="57"/>
      <c r="C486" s="851"/>
      <c r="D486" s="851"/>
      <c r="E486" s="851"/>
      <c r="F486" s="851"/>
      <c r="G486" s="851"/>
      <c r="H486" s="851"/>
      <c r="I486" s="851"/>
      <c r="J486" s="851"/>
      <c r="K486" s="851"/>
      <c r="L486" s="851"/>
      <c r="M486" s="851"/>
      <c r="N486" s="851"/>
      <c r="O486" s="851"/>
      <c r="P486" s="851"/>
      <c r="Q486" s="851"/>
      <c r="R486" s="851"/>
      <c r="S486" s="851"/>
      <c r="T486" s="851"/>
      <c r="U486" s="851"/>
      <c r="V486" s="851"/>
      <c r="W486" s="851"/>
      <c r="X486" s="851"/>
      <c r="Y486" s="851"/>
      <c r="Z486" s="851"/>
      <c r="AA486" s="851"/>
      <c r="AB486" s="851"/>
      <c r="AC486" s="851"/>
      <c r="AD486" s="851"/>
    </row>
    <row r="487" spans="1:46" ht="15">
      <c r="B487" s="794" t="str">
        <f>IF(AG474&gt;0,"Favor de ingresar toda la información requerida en la pregunta y/o verifique que no tenga información en celdas sombreadas","")</f>
        <v/>
      </c>
      <c r="C487" s="794"/>
      <c r="D487" s="794"/>
      <c r="E487" s="794"/>
      <c r="F487" s="794"/>
      <c r="G487" s="794"/>
      <c r="H487" s="794"/>
      <c r="I487" s="794"/>
      <c r="J487" s="794"/>
      <c r="K487" s="794"/>
      <c r="L487" s="794"/>
      <c r="M487" s="794"/>
      <c r="N487" s="794"/>
      <c r="O487" s="794"/>
      <c r="P487" s="794"/>
      <c r="Q487" s="794"/>
      <c r="R487" s="794"/>
      <c r="S487" s="794"/>
      <c r="T487" s="794"/>
      <c r="U487" s="794"/>
      <c r="V487" s="794"/>
      <c r="W487" s="794"/>
      <c r="X487" s="794"/>
      <c r="Y487" s="794"/>
      <c r="Z487" s="794"/>
      <c r="AA487" s="794"/>
      <c r="AB487" s="794"/>
      <c r="AC487" s="794"/>
      <c r="AD487" s="794"/>
      <c r="AE487"/>
    </row>
    <row r="488" spans="1:46" ht="15">
      <c r="B488" s="795" t="str">
        <f>IF(AH481&gt;0,"Alerta: debido a que cuenta con registros NS, debe proporcionar una justificación en el area de comentarios al final de la pregunta","")</f>
        <v/>
      </c>
      <c r="C488" s="795"/>
      <c r="D488" s="795"/>
      <c r="E488" s="795"/>
      <c r="F488" s="795"/>
      <c r="G488" s="795"/>
      <c r="H488" s="795"/>
      <c r="I488" s="795"/>
      <c r="J488" s="795"/>
      <c r="K488" s="795"/>
      <c r="L488" s="795"/>
      <c r="M488" s="795"/>
      <c r="N488" s="795"/>
      <c r="O488" s="795"/>
      <c r="P488" s="795"/>
      <c r="Q488" s="795"/>
      <c r="R488" s="795"/>
      <c r="S488" s="795"/>
      <c r="T488" s="795"/>
      <c r="U488" s="795"/>
      <c r="V488" s="795"/>
      <c r="W488" s="795"/>
      <c r="X488" s="795"/>
      <c r="Y488" s="795"/>
      <c r="Z488" s="795"/>
      <c r="AA488" s="795"/>
      <c r="AB488" s="795"/>
      <c r="AC488" s="795"/>
      <c r="AD488" s="795"/>
      <c r="AE488"/>
    </row>
    <row r="489" spans="1:46" ht="15">
      <c r="B489" s="1003" t="str">
        <f>IF(AJ481&gt;0,"Favor de revisar la suma y consistencia de totales y/o subtotales por filas (numéricos y NS)","")</f>
        <v/>
      </c>
      <c r="C489" s="1003"/>
      <c r="D489" s="1003"/>
      <c r="E489" s="1003"/>
      <c r="F489" s="1003"/>
      <c r="G489" s="1003"/>
      <c r="H489" s="1003"/>
      <c r="I489" s="1003"/>
      <c r="J489" s="1003"/>
      <c r="K489" s="1003"/>
      <c r="L489" s="1003"/>
      <c r="M489" s="1003"/>
      <c r="N489" s="1003"/>
      <c r="O489" s="1003"/>
      <c r="P489" s="1003"/>
      <c r="Q489" s="1003"/>
      <c r="R489" s="1003"/>
      <c r="S489" s="1003"/>
      <c r="T489" s="1003"/>
      <c r="U489" s="1003"/>
      <c r="V489" s="1003"/>
      <c r="W489" s="1003"/>
      <c r="X489" s="1003"/>
      <c r="Y489" s="1003"/>
      <c r="Z489" s="1003"/>
      <c r="AA489" s="1003"/>
      <c r="AB489" s="1003"/>
      <c r="AC489" s="1003"/>
      <c r="AD489" s="1003"/>
      <c r="AE489"/>
    </row>
    <row r="490" spans="1:46" ht="15">
      <c r="B490" s="794" t="str">
        <f>IF(AP475&gt;0,"Favor de revisar la instrucción 2 y verifique que se cumplan con los criterios establecidos","")</f>
        <v/>
      </c>
      <c r="C490" s="794"/>
      <c r="D490" s="794"/>
      <c r="E490" s="794"/>
      <c r="F490" s="794"/>
      <c r="G490" s="794"/>
      <c r="H490" s="794"/>
      <c r="I490" s="794"/>
      <c r="J490" s="794"/>
      <c r="K490" s="794"/>
      <c r="L490" s="794"/>
      <c r="M490" s="794"/>
      <c r="N490" s="794"/>
      <c r="O490" s="794"/>
      <c r="P490" s="794"/>
      <c r="Q490" s="794"/>
      <c r="R490" s="794"/>
      <c r="S490" s="794"/>
      <c r="T490" s="794"/>
      <c r="U490" s="794"/>
      <c r="V490" s="794"/>
      <c r="W490" s="794"/>
      <c r="X490" s="794"/>
      <c r="Y490" s="794"/>
      <c r="Z490" s="794"/>
      <c r="AA490" s="794"/>
      <c r="AB490" s="794"/>
      <c r="AC490" s="794"/>
      <c r="AD490" s="794"/>
      <c r="AE490" s="794"/>
    </row>
    <row r="491" spans="1:46" ht="15">
      <c r="B491" s="795" t="str">
        <f>IF(AT481&gt;0,"Alerta: debe de proporcionar una justificación de acuerdo a lo establecido en la instrucción 3","")</f>
        <v/>
      </c>
      <c r="C491" s="795"/>
      <c r="D491" s="795"/>
      <c r="E491" s="795"/>
      <c r="F491" s="795"/>
      <c r="G491" s="795"/>
      <c r="H491" s="795"/>
      <c r="I491" s="795"/>
      <c r="J491" s="795"/>
      <c r="K491" s="795"/>
      <c r="L491" s="795"/>
      <c r="M491" s="795"/>
      <c r="N491" s="795"/>
      <c r="O491" s="795"/>
      <c r="P491" s="795"/>
      <c r="Q491" s="795"/>
      <c r="R491" s="795"/>
      <c r="S491" s="795"/>
      <c r="T491" s="795"/>
      <c r="U491" s="795"/>
      <c r="V491" s="795"/>
      <c r="W491" s="795"/>
      <c r="X491" s="795"/>
      <c r="Y491" s="795"/>
      <c r="Z491" s="795"/>
      <c r="AA491" s="795"/>
      <c r="AB491" s="795"/>
      <c r="AC491" s="795"/>
      <c r="AD491" s="795"/>
      <c r="AE491"/>
    </row>
    <row r="492" spans="1:46" ht="15.75" thickBot="1">
      <c r="AE492"/>
    </row>
    <row r="493" spans="1:46" customFormat="1" ht="15" customHeight="1" thickBot="1">
      <c r="A493" s="19" t="s">
        <v>2563</v>
      </c>
      <c r="B493" s="1182" t="s">
        <v>6800</v>
      </c>
      <c r="C493" s="1183"/>
      <c r="D493" s="1183"/>
      <c r="E493" s="1183"/>
      <c r="F493" s="1183"/>
      <c r="G493" s="1183"/>
      <c r="H493" s="1183"/>
      <c r="I493" s="1183"/>
      <c r="J493" s="1183"/>
      <c r="K493" s="1183"/>
      <c r="L493" s="1183"/>
      <c r="M493" s="1183"/>
      <c r="N493" s="1183"/>
      <c r="O493" s="1183"/>
      <c r="P493" s="1183"/>
      <c r="Q493" s="1183"/>
      <c r="R493" s="1183"/>
      <c r="S493" s="1183"/>
      <c r="T493" s="1183"/>
      <c r="U493" s="1183"/>
      <c r="V493" s="1183"/>
      <c r="W493" s="1183"/>
      <c r="X493" s="1183"/>
      <c r="Y493" s="1183"/>
      <c r="Z493" s="1183"/>
      <c r="AA493" s="1183"/>
      <c r="AB493" s="1183"/>
      <c r="AC493" s="1183"/>
      <c r="AD493" s="1184"/>
      <c r="AE493" s="3"/>
    </row>
    <row r="494" spans="1:46" ht="15"/>
    <row r="495" spans="1:46" ht="48" customHeight="1">
      <c r="A495" s="108" t="s">
        <v>6801</v>
      </c>
      <c r="B495" s="829" t="s">
        <v>6802</v>
      </c>
      <c r="C495" s="829"/>
      <c r="D495" s="829"/>
      <c r="E495" s="829"/>
      <c r="F495" s="829"/>
      <c r="G495" s="829"/>
      <c r="H495" s="829"/>
      <c r="I495" s="829"/>
      <c r="J495" s="829"/>
      <c r="K495" s="829"/>
      <c r="L495" s="829"/>
      <c r="M495" s="829"/>
      <c r="N495" s="829"/>
      <c r="O495" s="829"/>
      <c r="P495" s="829"/>
      <c r="Q495" s="829"/>
      <c r="R495" s="829"/>
      <c r="S495" s="829"/>
      <c r="T495" s="829"/>
      <c r="U495" s="829"/>
      <c r="V495" s="829"/>
      <c r="W495" s="829"/>
      <c r="X495" s="829"/>
      <c r="Y495" s="829"/>
      <c r="Z495" s="829"/>
      <c r="AA495" s="829"/>
      <c r="AB495" s="829"/>
      <c r="AC495" s="829"/>
      <c r="AD495" s="829"/>
    </row>
    <row r="496" spans="1:46" ht="36" customHeight="1">
      <c r="B496" s="54"/>
      <c r="C496" s="830" t="s">
        <v>6803</v>
      </c>
      <c r="D496" s="830"/>
      <c r="E496" s="830"/>
      <c r="F496" s="830"/>
      <c r="G496" s="830"/>
      <c r="H496" s="830"/>
      <c r="I496" s="830"/>
      <c r="J496" s="830"/>
      <c r="K496" s="830"/>
      <c r="L496" s="830"/>
      <c r="M496" s="830"/>
      <c r="N496" s="830"/>
      <c r="O496" s="830"/>
      <c r="P496" s="830"/>
      <c r="Q496" s="830"/>
      <c r="R496" s="830"/>
      <c r="S496" s="830"/>
      <c r="T496" s="830"/>
      <c r="U496" s="830"/>
      <c r="V496" s="830"/>
      <c r="W496" s="830"/>
      <c r="X496" s="830"/>
      <c r="Y496" s="830"/>
      <c r="Z496" s="830"/>
      <c r="AA496" s="830"/>
      <c r="AB496" s="830"/>
      <c r="AC496" s="830"/>
      <c r="AD496" s="830"/>
    </row>
    <row r="497" spans="1:39" ht="15">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c r="AA497" s="38"/>
      <c r="AB497" s="38"/>
      <c r="AC497" s="38"/>
      <c r="AD497" s="38"/>
      <c r="AG497"/>
      <c r="AH497"/>
      <c r="AI497"/>
      <c r="AJ497"/>
      <c r="AK497" s="1176" t="s">
        <v>6540</v>
      </c>
      <c r="AL497" s="1177" t="s">
        <v>6804</v>
      </c>
      <c r="AM497" s="1178" t="s">
        <v>3478</v>
      </c>
    </row>
    <row r="498" spans="1:39" ht="60" customHeight="1">
      <c r="B498" s="38"/>
      <c r="C498" s="797" t="s">
        <v>6805</v>
      </c>
      <c r="D498" s="798"/>
      <c r="E498" s="798"/>
      <c r="F498" s="798"/>
      <c r="G498" s="798"/>
      <c r="H498" s="798"/>
      <c r="I498" s="798"/>
      <c r="J498" s="798"/>
      <c r="K498" s="798"/>
      <c r="L498" s="799"/>
      <c r="M498" s="732" t="s">
        <v>6806</v>
      </c>
      <c r="N498" s="732"/>
      <c r="O498" s="732"/>
      <c r="P498" s="732"/>
      <c r="Q498" s="732"/>
      <c r="R498" s="732"/>
      <c r="S498" s="732"/>
      <c r="T498" s="732"/>
      <c r="U498" s="732"/>
      <c r="V498" s="732"/>
      <c r="W498" s="732"/>
      <c r="X498" s="732"/>
      <c r="Y498" s="732"/>
      <c r="Z498" s="732"/>
      <c r="AA498" s="732"/>
      <c r="AB498" s="732"/>
      <c r="AC498" s="732"/>
      <c r="AD498" s="732"/>
      <c r="AG498"/>
      <c r="AH498"/>
      <c r="AI498"/>
      <c r="AJ498"/>
      <c r="AK498" s="1176"/>
      <c r="AL498" s="1177"/>
      <c r="AM498" s="1178"/>
    </row>
    <row r="499" spans="1:39" ht="15">
      <c r="B499" s="38"/>
      <c r="C499" s="803"/>
      <c r="D499" s="804"/>
      <c r="E499" s="804"/>
      <c r="F499" s="804"/>
      <c r="G499" s="804"/>
      <c r="H499" s="804"/>
      <c r="I499" s="804"/>
      <c r="J499" s="804"/>
      <c r="K499" s="804"/>
      <c r="L499" s="805"/>
      <c r="M499" s="732" t="s">
        <v>2628</v>
      </c>
      <c r="N499" s="732"/>
      <c r="O499" s="732"/>
      <c r="P499" s="732"/>
      <c r="Q499" s="732"/>
      <c r="R499" s="732"/>
      <c r="S499" s="736" t="s">
        <v>2629</v>
      </c>
      <c r="T499" s="736"/>
      <c r="U499" s="736"/>
      <c r="V499" s="736"/>
      <c r="W499" s="736"/>
      <c r="X499" s="736"/>
      <c r="Y499" s="736" t="s">
        <v>2630</v>
      </c>
      <c r="Z499" s="736"/>
      <c r="AA499" s="736"/>
      <c r="AB499" s="736"/>
      <c r="AC499" s="736"/>
      <c r="AD499" s="736"/>
      <c r="AG499" s="354" t="s">
        <v>2586</v>
      </c>
      <c r="AH499" s="282" t="s">
        <v>2590</v>
      </c>
      <c r="AI499" s="351" t="s">
        <v>3163</v>
      </c>
      <c r="AJ499" s="352" t="s">
        <v>3164</v>
      </c>
      <c r="AK499" s="1176"/>
      <c r="AL499" s="1177"/>
      <c r="AM499" s="253">
        <f>IF(AND($C$500&lt;&gt;"",$C$500=1,M500&lt;&gt;"",S500&lt;&gt;"",Y500&lt;&gt;"",SUM(M500:AD500)=0),1,0)</f>
        <v>0</v>
      </c>
    </row>
    <row r="500" spans="1:39" ht="15">
      <c r="B500" s="38"/>
      <c r="C500" s="816"/>
      <c r="D500" s="738"/>
      <c r="E500" s="738"/>
      <c r="F500" s="738"/>
      <c r="G500" s="738"/>
      <c r="H500" s="738"/>
      <c r="I500" s="738"/>
      <c r="J500" s="738"/>
      <c r="K500" s="738"/>
      <c r="L500" s="817"/>
      <c r="M500" s="816"/>
      <c r="N500" s="738"/>
      <c r="O500" s="738"/>
      <c r="P500" s="738"/>
      <c r="Q500" s="738"/>
      <c r="R500" s="738"/>
      <c r="S500" s="816"/>
      <c r="T500" s="738"/>
      <c r="U500" s="738"/>
      <c r="V500" s="738"/>
      <c r="W500" s="738"/>
      <c r="X500" s="738"/>
      <c r="Y500" s="749"/>
      <c r="Z500" s="749"/>
      <c r="AA500" s="749"/>
      <c r="AB500" s="749"/>
      <c r="AC500" s="749"/>
      <c r="AD500" s="749"/>
      <c r="AG500" s="326">
        <f>IF(AND(OR($I$25="X",$T$25="X"),COUNTA(M500:AD500)=0),0,IF(AND($I$25="",$T$25="",$C$500&lt;&gt;"",$C$500&lt;&gt;1,COUNTA(M500:AD500)=0),0,IF(AND($I$25="",$T$25="",$C$500&lt;&gt;"",$C$500=1,COUNTA(M500:AD500)=3),0,IF(AND($C$500="",COUNTA(M500:AD500)=0),0,1))))</f>
        <v>0</v>
      </c>
      <c r="AH500" s="283">
        <f>COUNTIF(S500:AD500,"NS")</f>
        <v>0</v>
      </c>
      <c r="AI500" s="353">
        <f>SUM(S500:AD500)</f>
        <v>0</v>
      </c>
      <c r="AJ500" s="353">
        <f>IF(COUNTIF(M500:AD500,"NA")=3,0,IF(OR(AND(M500=0,AH500&gt;0),AND(M500="ns",AI500&gt;0),AND(M500="ns",AH500=0,AI500=0)),1,IF(OR(AND(M500&gt;0,AH500=2),AND(M500="ns",AH500=2),AND(M500="ns",AI500=0,AH500&gt;0),M500=AI500),0,1)))</f>
        <v>0</v>
      </c>
      <c r="AK500" s="342">
        <f>IF(AND(OR($T$25="X",$I$25="X"),COUNTA(C500:AD500)&gt;0),1,0)</f>
        <v>0</v>
      </c>
      <c r="AL500">
        <f>IF(AND($C$500&lt;&gt;"",$C$500&lt;&gt;1,COUNTA(M500:AD500)&gt;0),1,0)</f>
        <v>0</v>
      </c>
      <c r="AM500"/>
    </row>
    <row r="501" spans="1:39" ht="15"/>
    <row r="502" spans="1:39" ht="24" customHeight="1">
      <c r="C502" s="754" t="s">
        <v>2611</v>
      </c>
      <c r="D502" s="754"/>
      <c r="E502" s="754"/>
      <c r="F502" s="754"/>
      <c r="G502" s="754"/>
      <c r="H502" s="754"/>
      <c r="I502" s="754"/>
      <c r="J502" s="754"/>
      <c r="K502" s="754"/>
      <c r="L502" s="754"/>
      <c r="M502" s="754"/>
      <c r="N502" s="754"/>
      <c r="O502" s="754"/>
      <c r="P502" s="754"/>
      <c r="Q502" s="754"/>
      <c r="R502" s="754"/>
      <c r="S502" s="754"/>
      <c r="T502" s="754"/>
      <c r="U502" s="754"/>
      <c r="V502" s="754"/>
      <c r="W502" s="754"/>
      <c r="X502" s="754"/>
      <c r="Y502" s="754"/>
      <c r="Z502" s="754"/>
      <c r="AA502" s="754"/>
      <c r="AB502" s="754"/>
      <c r="AC502" s="754"/>
      <c r="AD502" s="754"/>
    </row>
    <row r="503" spans="1:39" ht="60" customHeight="1">
      <c r="C503" s="882"/>
      <c r="D503" s="883"/>
      <c r="E503" s="883"/>
      <c r="F503" s="883"/>
      <c r="G503" s="883"/>
      <c r="H503" s="883"/>
      <c r="I503" s="883"/>
      <c r="J503" s="883"/>
      <c r="K503" s="883"/>
      <c r="L503" s="883"/>
      <c r="M503" s="883"/>
      <c r="N503" s="883"/>
      <c r="O503" s="883"/>
      <c r="P503" s="883"/>
      <c r="Q503" s="883"/>
      <c r="R503" s="883"/>
      <c r="S503" s="883"/>
      <c r="T503" s="883"/>
      <c r="U503" s="883"/>
      <c r="V503" s="883"/>
      <c r="W503" s="883"/>
      <c r="X503" s="883"/>
      <c r="Y503" s="883"/>
      <c r="Z503" s="883"/>
      <c r="AA503" s="883"/>
      <c r="AB503" s="883"/>
      <c r="AC503" s="883"/>
      <c r="AD503" s="884"/>
    </row>
    <row r="504" spans="1:39" ht="15">
      <c r="B504" s="794" t="str">
        <f>IF(AG500&gt;0,"Favor de ingresar toda la información requerida en la pregunta y/o verifique que no tenga información en celdas sombreadas","")</f>
        <v/>
      </c>
      <c r="C504" s="794"/>
      <c r="D504" s="794"/>
      <c r="E504" s="794"/>
      <c r="F504" s="794"/>
      <c r="G504" s="794"/>
      <c r="H504" s="794"/>
      <c r="I504" s="794"/>
      <c r="J504" s="794"/>
      <c r="K504" s="794"/>
      <c r="L504" s="794"/>
      <c r="M504" s="794"/>
      <c r="N504" s="794"/>
      <c r="O504" s="794"/>
      <c r="P504" s="794"/>
      <c r="Q504" s="794"/>
      <c r="R504" s="794"/>
      <c r="S504" s="794"/>
      <c r="T504" s="794"/>
      <c r="U504" s="794"/>
      <c r="V504" s="794"/>
      <c r="W504" s="794"/>
      <c r="X504" s="794"/>
      <c r="Y504" s="794"/>
      <c r="Z504" s="794"/>
      <c r="AA504" s="794"/>
      <c r="AB504" s="794"/>
      <c r="AC504" s="794"/>
      <c r="AD504" s="794"/>
      <c r="AE504"/>
    </row>
    <row r="505" spans="1:39" ht="15">
      <c r="B505" s="795" t="str">
        <f>IF(AH500&gt;0,"Alerta: debido a que cuenta con registros NS, debe proporcionar una justificación en el area de comentarios al final de la pregunta","")</f>
        <v/>
      </c>
      <c r="C505" s="795"/>
      <c r="D505" s="795"/>
      <c r="E505" s="795"/>
      <c r="F505" s="795"/>
      <c r="G505" s="795"/>
      <c r="H505" s="795"/>
      <c r="I505" s="795"/>
      <c r="J505" s="795"/>
      <c r="K505" s="795"/>
      <c r="L505" s="795"/>
      <c r="M505" s="795"/>
      <c r="N505" s="795"/>
      <c r="O505" s="795"/>
      <c r="P505" s="795"/>
      <c r="Q505" s="795"/>
      <c r="R505" s="795"/>
      <c r="S505" s="795"/>
      <c r="T505" s="795"/>
      <c r="U505" s="795"/>
      <c r="V505" s="795"/>
      <c r="W505" s="795"/>
      <c r="X505" s="795"/>
      <c r="Y505" s="795"/>
      <c r="Z505" s="795"/>
      <c r="AA505" s="795"/>
      <c r="AB505" s="795"/>
      <c r="AC505" s="795"/>
      <c r="AD505" s="795"/>
      <c r="AE505"/>
    </row>
    <row r="506" spans="1:39" ht="15">
      <c r="B506" s="1003" t="str">
        <f>IF(AJ500&gt;0,"Favor de revisar la suma y consistencia de totales y/o subtotales por filas (numéricos y NS)","")</f>
        <v/>
      </c>
      <c r="C506" s="1003"/>
      <c r="D506" s="1003"/>
      <c r="E506" s="1003"/>
      <c r="F506" s="1003"/>
      <c r="G506" s="1003"/>
      <c r="H506" s="1003"/>
      <c r="I506" s="1003"/>
      <c r="J506" s="1003"/>
      <c r="K506" s="1003"/>
      <c r="L506" s="1003"/>
      <c r="M506" s="1003"/>
      <c r="N506" s="1003"/>
      <c r="O506" s="1003"/>
      <c r="P506" s="1003"/>
      <c r="Q506" s="1003"/>
      <c r="R506" s="1003"/>
      <c r="S506" s="1003"/>
      <c r="T506" s="1003"/>
      <c r="U506" s="1003"/>
      <c r="V506" s="1003"/>
      <c r="W506" s="1003"/>
      <c r="X506" s="1003"/>
      <c r="Y506" s="1003"/>
      <c r="Z506" s="1003"/>
      <c r="AA506" s="1003"/>
      <c r="AB506" s="1003"/>
      <c r="AC506" s="1003"/>
      <c r="AD506" s="1003"/>
      <c r="AE506"/>
    </row>
    <row r="507" spans="1:39" ht="15">
      <c r="B507" s="794" t="str">
        <f>IF(AM499&gt;0,"No puede ingresar cero en la col. Personas egresadas debido a que registró el código 1 en la col. ¿Canalizó personas egresadas a otras...?","")</f>
        <v/>
      </c>
      <c r="C507" s="794"/>
      <c r="D507" s="794"/>
      <c r="E507" s="794"/>
      <c r="F507" s="794"/>
      <c r="G507" s="794"/>
      <c r="H507" s="794"/>
      <c r="I507" s="794"/>
      <c r="J507" s="794"/>
      <c r="K507" s="794"/>
      <c r="L507" s="794"/>
      <c r="M507" s="794"/>
      <c r="N507" s="794"/>
      <c r="O507" s="794"/>
      <c r="P507" s="794"/>
      <c r="Q507" s="794"/>
      <c r="R507" s="794"/>
      <c r="S507" s="794"/>
      <c r="T507" s="794"/>
      <c r="U507" s="794"/>
      <c r="V507" s="794"/>
      <c r="W507" s="794"/>
      <c r="X507" s="794"/>
      <c r="Y507" s="794"/>
      <c r="Z507" s="794"/>
      <c r="AA507" s="794"/>
      <c r="AB507" s="794"/>
      <c r="AC507" s="794"/>
      <c r="AD507" s="794"/>
      <c r="AE507" s="794"/>
    </row>
    <row r="508" spans="1:39" ht="15">
      <c r="AE508"/>
    </row>
    <row r="509" spans="1:39" ht="15">
      <c r="AE509"/>
    </row>
    <row r="510" spans="1:39" ht="24" customHeight="1">
      <c r="A510" s="108" t="s">
        <v>6807</v>
      </c>
      <c r="B510" s="960" t="s">
        <v>6808</v>
      </c>
      <c r="C510" s="960"/>
      <c r="D510" s="960"/>
      <c r="E510" s="960"/>
      <c r="F510" s="960"/>
      <c r="G510" s="960"/>
      <c r="H510" s="960"/>
      <c r="I510" s="960"/>
      <c r="J510" s="960"/>
      <c r="K510" s="960"/>
      <c r="L510" s="960"/>
      <c r="M510" s="960"/>
      <c r="N510" s="960"/>
      <c r="O510" s="960"/>
      <c r="P510" s="960"/>
      <c r="Q510" s="960"/>
      <c r="R510" s="960"/>
      <c r="S510" s="960"/>
      <c r="T510" s="960"/>
      <c r="U510" s="960"/>
      <c r="V510" s="960"/>
      <c r="W510" s="960"/>
      <c r="X510" s="960"/>
      <c r="Y510" s="960"/>
      <c r="Z510" s="960"/>
      <c r="AA510" s="960"/>
      <c r="AB510" s="960"/>
      <c r="AC510" s="960"/>
      <c r="AD510" s="960"/>
    </row>
    <row r="511" spans="1:39" ht="36" customHeight="1">
      <c r="A511" s="108"/>
      <c r="B511" s="118"/>
      <c r="C511" s="830" t="s">
        <v>6809</v>
      </c>
      <c r="D511" s="830"/>
      <c r="E511" s="830"/>
      <c r="F511" s="830"/>
      <c r="G511" s="830"/>
      <c r="H511" s="830"/>
      <c r="I511" s="830"/>
      <c r="J511" s="830"/>
      <c r="K511" s="830"/>
      <c r="L511" s="830"/>
      <c r="M511" s="830"/>
      <c r="N511" s="830"/>
      <c r="O511" s="830"/>
      <c r="P511" s="830"/>
      <c r="Q511" s="830"/>
      <c r="R511" s="830"/>
      <c r="S511" s="830"/>
      <c r="T511" s="830"/>
      <c r="U511" s="830"/>
      <c r="V511" s="830"/>
      <c r="W511" s="830"/>
      <c r="X511" s="830"/>
      <c r="Y511" s="830"/>
      <c r="Z511" s="830"/>
      <c r="AA511" s="830"/>
      <c r="AB511" s="830"/>
      <c r="AC511" s="830"/>
      <c r="AD511" s="830"/>
    </row>
    <row r="512" spans="1:39" ht="15" customHeight="1">
      <c r="A512" s="108"/>
      <c r="B512" s="118"/>
      <c r="C512" s="830" t="s">
        <v>6810</v>
      </c>
      <c r="D512" s="830"/>
      <c r="E512" s="830"/>
      <c r="F512" s="830"/>
      <c r="G512" s="830"/>
      <c r="H512" s="830"/>
      <c r="I512" s="830"/>
      <c r="J512" s="830"/>
      <c r="K512" s="830"/>
      <c r="L512" s="830"/>
      <c r="M512" s="830"/>
      <c r="N512" s="830"/>
      <c r="O512" s="830"/>
      <c r="P512" s="830"/>
      <c r="Q512" s="830"/>
      <c r="R512" s="830"/>
      <c r="S512" s="830"/>
      <c r="T512" s="830"/>
      <c r="U512" s="830"/>
      <c r="V512" s="830"/>
      <c r="W512" s="830"/>
      <c r="X512" s="830"/>
      <c r="Y512" s="830"/>
      <c r="Z512" s="830"/>
      <c r="AA512" s="830"/>
      <c r="AB512" s="830"/>
      <c r="AC512" s="830"/>
      <c r="AD512" s="830"/>
    </row>
    <row r="513" spans="1:46" ht="36" customHeight="1">
      <c r="A513" s="49"/>
      <c r="B513" s="118"/>
      <c r="C513" s="754" t="s">
        <v>6811</v>
      </c>
      <c r="D513" s="754"/>
      <c r="E513" s="754"/>
      <c r="F513" s="754"/>
      <c r="G513" s="754"/>
      <c r="H513" s="754"/>
      <c r="I513" s="754"/>
      <c r="J513" s="754"/>
      <c r="K513" s="754"/>
      <c r="L513" s="754"/>
      <c r="M513" s="754"/>
      <c r="N513" s="754"/>
      <c r="O513" s="754"/>
      <c r="P513" s="754"/>
      <c r="Q513" s="754"/>
      <c r="R513" s="754"/>
      <c r="S513" s="754"/>
      <c r="T513" s="754"/>
      <c r="U513" s="754"/>
      <c r="V513" s="754"/>
      <c r="W513" s="754"/>
      <c r="X513" s="754"/>
      <c r="Y513" s="754"/>
      <c r="Z513" s="754"/>
      <c r="AA513" s="754"/>
      <c r="AB513" s="754"/>
      <c r="AC513" s="754"/>
      <c r="AD513" s="754"/>
    </row>
    <row r="514" spans="1:46" ht="36" customHeight="1">
      <c r="A514" s="49"/>
      <c r="B514" s="118"/>
      <c r="C514" s="754" t="s">
        <v>6812</v>
      </c>
      <c r="D514" s="754"/>
      <c r="E514" s="754"/>
      <c r="F514" s="754"/>
      <c r="G514" s="754"/>
      <c r="H514" s="754"/>
      <c r="I514" s="754"/>
      <c r="J514" s="754"/>
      <c r="K514" s="754"/>
      <c r="L514" s="754"/>
      <c r="M514" s="754"/>
      <c r="N514" s="754"/>
      <c r="O514" s="754"/>
      <c r="P514" s="754"/>
      <c r="Q514" s="754"/>
      <c r="R514" s="754"/>
      <c r="S514" s="754"/>
      <c r="T514" s="754"/>
      <c r="U514" s="754"/>
      <c r="V514" s="754"/>
      <c r="W514" s="754"/>
      <c r="X514" s="754"/>
      <c r="Y514" s="754"/>
      <c r="Z514" s="754"/>
      <c r="AA514" s="754"/>
      <c r="AB514" s="754"/>
      <c r="AC514" s="754"/>
      <c r="AD514" s="754"/>
    </row>
    <row r="515" spans="1:46" ht="24" customHeight="1">
      <c r="A515" s="49"/>
      <c r="B515" s="105"/>
      <c r="C515" s="754" t="s">
        <v>6813</v>
      </c>
      <c r="D515" s="754"/>
      <c r="E515" s="754"/>
      <c r="F515" s="754"/>
      <c r="G515" s="754"/>
      <c r="H515" s="754"/>
      <c r="I515" s="754"/>
      <c r="J515" s="754"/>
      <c r="K515" s="754"/>
      <c r="L515" s="754"/>
      <c r="M515" s="754"/>
      <c r="N515" s="754"/>
      <c r="O515" s="754"/>
      <c r="P515" s="754"/>
      <c r="Q515" s="754"/>
      <c r="R515" s="754"/>
      <c r="S515" s="754"/>
      <c r="T515" s="754"/>
      <c r="U515" s="754"/>
      <c r="V515" s="754"/>
      <c r="W515" s="754"/>
      <c r="X515" s="754"/>
      <c r="Y515" s="754"/>
      <c r="Z515" s="754"/>
      <c r="AA515" s="754"/>
      <c r="AB515" s="754"/>
      <c r="AC515" s="754"/>
      <c r="AD515" s="754"/>
    </row>
    <row r="516" spans="1:46" ht="15" customHeight="1">
      <c r="A516" s="230"/>
      <c r="B516" s="195"/>
      <c r="C516" s="90"/>
      <c r="D516" s="90"/>
      <c r="E516" s="90"/>
      <c r="F516" s="90"/>
      <c r="G516" s="90"/>
      <c r="H516" s="90"/>
      <c r="I516" s="90"/>
      <c r="J516" s="90"/>
      <c r="K516" s="90"/>
      <c r="L516" s="90"/>
      <c r="M516" s="90"/>
      <c r="N516" s="90"/>
      <c r="O516" s="90"/>
      <c r="P516" s="90"/>
      <c r="Q516" s="90"/>
      <c r="R516" s="90"/>
      <c r="S516" s="90"/>
      <c r="T516" s="90"/>
      <c r="U516" s="90"/>
      <c r="V516" s="90"/>
      <c r="W516" s="90"/>
      <c r="X516" s="90"/>
      <c r="Y516" s="90"/>
      <c r="Z516" s="90"/>
      <c r="AA516" s="90"/>
      <c r="AB516" s="90"/>
      <c r="AC516" s="90"/>
      <c r="AD516" s="90"/>
      <c r="AG516"/>
      <c r="AH516"/>
      <c r="AI516"/>
      <c r="AJ516"/>
      <c r="AK516" s="1176" t="s">
        <v>6540</v>
      </c>
      <c r="AL516" s="1177" t="s">
        <v>6804</v>
      </c>
      <c r="AM516" s="1177" t="s">
        <v>6814</v>
      </c>
      <c r="AN516"/>
      <c r="AO516"/>
      <c r="AP516"/>
      <c r="AQ516" s="1173" t="s">
        <v>6815</v>
      </c>
      <c r="AR516" s="1174" t="s">
        <v>6816</v>
      </c>
      <c r="AS516" s="1174"/>
      <c r="AT516" s="1174"/>
    </row>
    <row r="517" spans="1:46" ht="24" customHeight="1">
      <c r="A517" s="210"/>
      <c r="B517" s="38"/>
      <c r="C517" s="797" t="s">
        <v>6817</v>
      </c>
      <c r="D517" s="798"/>
      <c r="E517" s="798"/>
      <c r="F517" s="798"/>
      <c r="G517" s="798"/>
      <c r="H517" s="798"/>
      <c r="I517" s="798"/>
      <c r="J517" s="798"/>
      <c r="K517" s="798"/>
      <c r="L517" s="799"/>
      <c r="M517" s="739" t="s">
        <v>6818</v>
      </c>
      <c r="N517" s="740"/>
      <c r="O517" s="740"/>
      <c r="P517" s="740"/>
      <c r="Q517" s="740"/>
      <c r="R517" s="740"/>
      <c r="S517" s="740"/>
      <c r="T517" s="740"/>
      <c r="U517" s="740"/>
      <c r="V517" s="740"/>
      <c r="W517" s="740"/>
      <c r="X517" s="740"/>
      <c r="Y517" s="740"/>
      <c r="Z517" s="740"/>
      <c r="AA517" s="740"/>
      <c r="AB517" s="740"/>
      <c r="AC517" s="740"/>
      <c r="AD517" s="741"/>
      <c r="AG517"/>
      <c r="AH517"/>
      <c r="AI517"/>
      <c r="AJ517"/>
      <c r="AK517" s="1176"/>
      <c r="AL517" s="1177"/>
      <c r="AM517" s="1177"/>
      <c r="AN517" s="1172" t="s">
        <v>6819</v>
      </c>
      <c r="AO517" s="1172"/>
      <c r="AP517" s="1172"/>
      <c r="AQ517" s="1173"/>
      <c r="AR517" s="1174"/>
      <c r="AS517" s="1174"/>
      <c r="AT517" s="1174"/>
    </row>
    <row r="518" spans="1:46" ht="15" customHeight="1">
      <c r="A518" s="210"/>
      <c r="B518" s="38"/>
      <c r="C518" s="803"/>
      <c r="D518" s="804"/>
      <c r="E518" s="804"/>
      <c r="F518" s="804"/>
      <c r="G518" s="804"/>
      <c r="H518" s="804"/>
      <c r="I518" s="804"/>
      <c r="J518" s="804"/>
      <c r="K518" s="804"/>
      <c r="L518" s="805"/>
      <c r="M518" s="739" t="s">
        <v>2628</v>
      </c>
      <c r="N518" s="740"/>
      <c r="O518" s="740"/>
      <c r="P518" s="740"/>
      <c r="Q518" s="740"/>
      <c r="R518" s="741"/>
      <c r="S518" s="733" t="s">
        <v>2629</v>
      </c>
      <c r="T518" s="734"/>
      <c r="U518" s="734"/>
      <c r="V518" s="734"/>
      <c r="W518" s="734"/>
      <c r="X518" s="735"/>
      <c r="Y518" s="736" t="s">
        <v>2630</v>
      </c>
      <c r="Z518" s="736"/>
      <c r="AA518" s="736"/>
      <c r="AB518" s="736"/>
      <c r="AC518" s="736"/>
      <c r="AD518" s="736"/>
      <c r="AG518" s="354" t="s">
        <v>2586</v>
      </c>
      <c r="AH518" s="282" t="s">
        <v>2590</v>
      </c>
      <c r="AI518" s="351" t="s">
        <v>3163</v>
      </c>
      <c r="AJ518" s="352" t="s">
        <v>3164</v>
      </c>
      <c r="AK518" s="1176"/>
      <c r="AL518" s="1177"/>
      <c r="AM518" s="1177"/>
      <c r="AN518" s="367" t="s">
        <v>2795</v>
      </c>
      <c r="AO518" s="590" t="s">
        <v>3177</v>
      </c>
      <c r="AP518" s="467" t="s">
        <v>3178</v>
      </c>
      <c r="AQ518" s="1173"/>
      <c r="AR518" s="591" t="s">
        <v>2795</v>
      </c>
      <c r="AS518" s="360" t="s">
        <v>3177</v>
      </c>
      <c r="AT518" s="592" t="s">
        <v>3178</v>
      </c>
    </row>
    <row r="519" spans="1:46" ht="24" customHeight="1">
      <c r="A519" s="210"/>
      <c r="B519" s="38"/>
      <c r="C519" s="44" t="s">
        <v>2516</v>
      </c>
      <c r="D519" s="796" t="s">
        <v>6820</v>
      </c>
      <c r="E519" s="796"/>
      <c r="F519" s="796"/>
      <c r="G519" s="796"/>
      <c r="H519" s="796"/>
      <c r="I519" s="796"/>
      <c r="J519" s="796"/>
      <c r="K519" s="796"/>
      <c r="L519" s="796"/>
      <c r="M519" s="749"/>
      <c r="N519" s="749"/>
      <c r="O519" s="749"/>
      <c r="P519" s="749"/>
      <c r="Q519" s="749"/>
      <c r="R519" s="749"/>
      <c r="S519" s="749"/>
      <c r="T519" s="749"/>
      <c r="U519" s="749"/>
      <c r="V519" s="749"/>
      <c r="W519" s="749"/>
      <c r="X519" s="749"/>
      <c r="Y519" s="749"/>
      <c r="Z519" s="749"/>
      <c r="AA519" s="749"/>
      <c r="AB519" s="749"/>
      <c r="AC519" s="749"/>
      <c r="AD519" s="749"/>
      <c r="AG519" s="326">
        <f>IF(AND(OR($I$25="X",$T$25="X"),COUNTA(M519:AD544)=0),0,IF(AND($I$25="",$T$25="",$C$500&lt;&gt;"",$C$500&lt;&gt;1,COUNTA(M519:AD544)=0),0,IF(AND($I$25="",$T$25="",$C$500&lt;&gt;"",$C$500=1,COUNTA(M519:AD544)=77,$S$532=""),0,IF(AND($C$503="",COUNTA(M519:AD544)=0),0,1))))</f>
        <v>0</v>
      </c>
      <c r="AH519" s="283">
        <f>COUNTIF(S519:AD519,"NS")</f>
        <v>0</v>
      </c>
      <c r="AI519" s="353">
        <f>SUM(S519:AD519)</f>
        <v>0</v>
      </c>
      <c r="AJ519" s="353">
        <f>IF(COUNTIF(M519:AD519,"NA")=3,0,IF(OR(AND(M519=0,AH519&gt;0),AND(M519="ns",AI519&gt;0),AND(M519="ns",AH519=0,AI519=0)),1,IF(OR(AND(M519&gt;0,AH519=2),AND(M519="ns",AH519=2),AND(M519="ns",AI519=0,AH519&gt;0),M519=AI519),0,1)))</f>
        <v>0</v>
      </c>
      <c r="AK519" s="342">
        <f>IF(AND(OR($T$25="X",$I$25="X"),COUNTA(M519:AD544)&gt;0),1,0)</f>
        <v>0</v>
      </c>
      <c r="AL519">
        <f>IF(AND($C$500&lt;&gt;"",$C$500&lt;&gt;1,COUNTA(M519:AD544)&gt;0),1,0)</f>
        <v>0</v>
      </c>
      <c r="AM519">
        <f>IF($S$532&lt;&gt;"",1,0)</f>
        <v>0</v>
      </c>
      <c r="AN519">
        <f>IF(OR(M545="NS",$M$500="NS"),0,IF(AND(M545="NA",$M$500="NA"),0,IF(M545&gt;=$M$500,0,1)))</f>
        <v>0</v>
      </c>
      <c r="AO519">
        <f>IF(OR(S545="NS",$S$500="NS"),0,IF(AND(S545="NA",$S$500="NA"),0,IF(S545&gt;=$S$500,0,1)))</f>
        <v>0</v>
      </c>
      <c r="AP519">
        <f>IF(OR(Y545="NS",$Y$500="NS"),0,IF(AND(Y545="NA",$Y$500="NA"),0,IF(Y545&gt;=$Y$500,0,1)))</f>
        <v>0</v>
      </c>
      <c r="AQ519" s="593" t="s">
        <v>6821</v>
      </c>
      <c r="AR519">
        <f>IF(OR(M519="NS",$M$500="NS"),0,IF(AND(M519="NA",$M$500="NA"),0,IF(M519&lt;=$M$500,0,1)))</f>
        <v>0</v>
      </c>
      <c r="AS519">
        <f>IF(OR(S519="NS",$S$500="NS"),0,IF(AND(S519="NA",$S$500="NA"),0,IF(S519&lt;=$S$500,0,1)))</f>
        <v>0</v>
      </c>
      <c r="AT519">
        <f>IF(OR(Y519="NS",$Y$500="NS"),0,IF(AND(Y519="NA",$Y$500="NA"),0,IF(Y519&lt;=$Y$500,0,1)))</f>
        <v>0</v>
      </c>
    </row>
    <row r="520" spans="1:46" ht="15" customHeight="1">
      <c r="A520" s="210"/>
      <c r="B520" s="38"/>
      <c r="C520" s="44" t="s">
        <v>2517</v>
      </c>
      <c r="D520" s="796" t="s">
        <v>6822</v>
      </c>
      <c r="E520" s="796"/>
      <c r="F520" s="796"/>
      <c r="G520" s="796"/>
      <c r="H520" s="796"/>
      <c r="I520" s="796"/>
      <c r="J520" s="796"/>
      <c r="K520" s="796"/>
      <c r="L520" s="796"/>
      <c r="M520" s="749"/>
      <c r="N520" s="749"/>
      <c r="O520" s="749"/>
      <c r="P520" s="749"/>
      <c r="Q520" s="749"/>
      <c r="R520" s="749"/>
      <c r="S520" s="749"/>
      <c r="T520" s="749"/>
      <c r="U520" s="749"/>
      <c r="V520" s="749"/>
      <c r="W520" s="749"/>
      <c r="X520" s="749"/>
      <c r="Y520" s="749"/>
      <c r="Z520" s="749"/>
      <c r="AA520" s="749"/>
      <c r="AB520" s="749"/>
      <c r="AC520" s="749"/>
      <c r="AD520" s="749"/>
      <c r="AG520" s="326"/>
      <c r="AH520" s="283">
        <f t="shared" ref="AH520:AH544" si="60">COUNTIF(S520:AD520,"NS")</f>
        <v>0</v>
      </c>
      <c r="AI520" s="353">
        <f t="shared" ref="AI520:AI544" si="61">SUM(S520:AD520)</f>
        <v>0</v>
      </c>
      <c r="AJ520" s="353">
        <f t="shared" ref="AJ520:AJ544" si="62">IF(COUNTIF(M520:AD520,"NA")=3,0,IF(OR(AND(M520=0,AH520&gt;0),AND(M520="ns",AI520&gt;0),AND(M520="ns",AH520=0,AI520=0)),1,IF(OR(AND(M520&gt;0,AH520=2),AND(M520="ns",AH520=2),AND(M520="ns",AI520=0,AH520&gt;0),M520=AI520),0,1)))</f>
        <v>0</v>
      </c>
      <c r="AK520"/>
      <c r="AL520"/>
      <c r="AM520"/>
      <c r="AN520"/>
      <c r="AO520"/>
      <c r="AP520" s="594">
        <f>SUM(AN519:AP519)</f>
        <v>0</v>
      </c>
      <c r="AQ520" s="595" t="s">
        <v>6822</v>
      </c>
      <c r="AR520">
        <f t="shared" ref="AR520:AR543" si="63">IF(OR(M520="NS",$M$500="NS"),0,IF(AND(M520="NA",$M$500="NA"),0,IF(M520&lt;=$M$500,0,1)))</f>
        <v>0</v>
      </c>
      <c r="AS520">
        <f t="shared" ref="AS520:AS544" si="64">IF(OR(S520="NS",$S$500="NS"),0,IF(AND(S520="NA",$S$500="NA"),0,IF(S520&lt;=$S$500,0,1)))</f>
        <v>0</v>
      </c>
      <c r="AT520">
        <f t="shared" ref="AT520:AT544" si="65">IF(OR(Y520="NS",$Y$500="NS"),0,IF(AND(Y520="NA",$Y$500="NA"),0,IF(Y520&lt;=$Y$500,0,1)))</f>
        <v>0</v>
      </c>
    </row>
    <row r="521" spans="1:46" ht="24" customHeight="1">
      <c r="A521" s="210"/>
      <c r="B521" s="38"/>
      <c r="C521" s="44" t="s">
        <v>2518</v>
      </c>
      <c r="D521" s="796" t="s">
        <v>6823</v>
      </c>
      <c r="E521" s="796"/>
      <c r="F521" s="796"/>
      <c r="G521" s="796"/>
      <c r="H521" s="796"/>
      <c r="I521" s="796"/>
      <c r="J521" s="796"/>
      <c r="K521" s="796"/>
      <c r="L521" s="796"/>
      <c r="M521" s="749"/>
      <c r="N521" s="749"/>
      <c r="O521" s="749"/>
      <c r="P521" s="749"/>
      <c r="Q521" s="749"/>
      <c r="R521" s="749"/>
      <c r="S521" s="749"/>
      <c r="T521" s="749"/>
      <c r="U521" s="749"/>
      <c r="V521" s="749"/>
      <c r="W521" s="749"/>
      <c r="X521" s="749"/>
      <c r="Y521" s="749"/>
      <c r="Z521" s="749"/>
      <c r="AA521" s="749"/>
      <c r="AB521" s="749"/>
      <c r="AC521" s="749"/>
      <c r="AD521" s="749"/>
      <c r="AG521" s="326"/>
      <c r="AH521" s="283">
        <f t="shared" si="60"/>
        <v>0</v>
      </c>
      <c r="AI521" s="353">
        <f t="shared" si="61"/>
        <v>0</v>
      </c>
      <c r="AJ521" s="353">
        <f t="shared" si="62"/>
        <v>0</v>
      </c>
      <c r="AK521" s="613" t="s">
        <v>6824</v>
      </c>
      <c r="AL521"/>
      <c r="AM521"/>
      <c r="AN521"/>
      <c r="AO521"/>
      <c r="AP521"/>
      <c r="AQ521" s="596" t="s">
        <v>6825</v>
      </c>
      <c r="AR521">
        <f t="shared" si="63"/>
        <v>0</v>
      </c>
      <c r="AS521">
        <f t="shared" si="64"/>
        <v>0</v>
      </c>
      <c r="AT521">
        <f t="shared" si="65"/>
        <v>0</v>
      </c>
    </row>
    <row r="522" spans="1:46" ht="15" customHeight="1">
      <c r="A522" s="210"/>
      <c r="B522" s="38"/>
      <c r="C522" s="44" t="s">
        <v>2519</v>
      </c>
      <c r="D522" s="796" t="s">
        <v>6826</v>
      </c>
      <c r="E522" s="796"/>
      <c r="F522" s="796"/>
      <c r="G522" s="796"/>
      <c r="H522" s="796"/>
      <c r="I522" s="796"/>
      <c r="J522" s="796"/>
      <c r="K522" s="796"/>
      <c r="L522" s="796"/>
      <c r="M522" s="749"/>
      <c r="N522" s="749"/>
      <c r="O522" s="749"/>
      <c r="P522" s="749"/>
      <c r="Q522" s="749"/>
      <c r="R522" s="749"/>
      <c r="S522" s="749"/>
      <c r="T522" s="749"/>
      <c r="U522" s="749"/>
      <c r="V522" s="749"/>
      <c r="W522" s="749"/>
      <c r="X522" s="749"/>
      <c r="Y522" s="749"/>
      <c r="Z522" s="749"/>
      <c r="AA522" s="749"/>
      <c r="AB522" s="749"/>
      <c r="AC522" s="749"/>
      <c r="AD522" s="749"/>
      <c r="AG522" s="326"/>
      <c r="AH522" s="283">
        <f t="shared" si="60"/>
        <v>0</v>
      </c>
      <c r="AI522" s="353">
        <f t="shared" si="61"/>
        <v>0</v>
      </c>
      <c r="AJ522" s="353">
        <f t="shared" si="62"/>
        <v>0</v>
      </c>
      <c r="AK522">
        <f>IF(SUM(M543:AD543)&gt;0,1,0)</f>
        <v>0</v>
      </c>
      <c r="AL522"/>
      <c r="AM522"/>
      <c r="AN522"/>
      <c r="AO522"/>
      <c r="AP522"/>
      <c r="AQ522" s="595" t="s">
        <v>6827</v>
      </c>
      <c r="AR522">
        <f t="shared" si="63"/>
        <v>0</v>
      </c>
      <c r="AS522">
        <f t="shared" si="64"/>
        <v>0</v>
      </c>
      <c r="AT522">
        <f t="shared" si="65"/>
        <v>0</v>
      </c>
    </row>
    <row r="523" spans="1:46" ht="15" customHeight="1">
      <c r="A523" s="210"/>
      <c r="B523" s="38"/>
      <c r="C523" s="44" t="s">
        <v>2520</v>
      </c>
      <c r="D523" s="796" t="s">
        <v>6828</v>
      </c>
      <c r="E523" s="796"/>
      <c r="F523" s="796"/>
      <c r="G523" s="796"/>
      <c r="H523" s="796"/>
      <c r="I523" s="796"/>
      <c r="J523" s="796"/>
      <c r="K523" s="796"/>
      <c r="L523" s="796"/>
      <c r="M523" s="749"/>
      <c r="N523" s="749"/>
      <c r="O523" s="749"/>
      <c r="P523" s="749"/>
      <c r="Q523" s="749"/>
      <c r="R523" s="749"/>
      <c r="S523" s="749"/>
      <c r="T523" s="749"/>
      <c r="U523" s="749"/>
      <c r="V523" s="749"/>
      <c r="W523" s="749"/>
      <c r="X523" s="749"/>
      <c r="Y523" s="749"/>
      <c r="Z523" s="749"/>
      <c r="AA523" s="749"/>
      <c r="AB523" s="749"/>
      <c r="AC523" s="749"/>
      <c r="AD523" s="749"/>
      <c r="AH523" s="283">
        <f t="shared" si="60"/>
        <v>0</v>
      </c>
      <c r="AI523" s="353">
        <f t="shared" si="61"/>
        <v>0</v>
      </c>
      <c r="AJ523" s="353">
        <f t="shared" si="62"/>
        <v>0</v>
      </c>
      <c r="AN523"/>
      <c r="AO523"/>
      <c r="AP523"/>
      <c r="AQ523" s="596" t="s">
        <v>6829</v>
      </c>
      <c r="AR523">
        <f t="shared" si="63"/>
        <v>0</v>
      </c>
      <c r="AS523">
        <f t="shared" si="64"/>
        <v>0</v>
      </c>
      <c r="AT523">
        <f t="shared" si="65"/>
        <v>0</v>
      </c>
    </row>
    <row r="524" spans="1:46" ht="15" customHeight="1">
      <c r="A524" s="210"/>
      <c r="B524" s="38"/>
      <c r="C524" s="44" t="s">
        <v>2521</v>
      </c>
      <c r="D524" s="796" t="s">
        <v>6830</v>
      </c>
      <c r="E524" s="796"/>
      <c r="F524" s="796"/>
      <c r="G524" s="796"/>
      <c r="H524" s="796"/>
      <c r="I524" s="796"/>
      <c r="J524" s="796"/>
      <c r="K524" s="796"/>
      <c r="L524" s="796"/>
      <c r="M524" s="749"/>
      <c r="N524" s="749"/>
      <c r="O524" s="749"/>
      <c r="P524" s="749"/>
      <c r="Q524" s="749"/>
      <c r="R524" s="749"/>
      <c r="S524" s="749"/>
      <c r="T524" s="749"/>
      <c r="U524" s="749"/>
      <c r="V524" s="749"/>
      <c r="W524" s="749"/>
      <c r="X524" s="749"/>
      <c r="Y524" s="749"/>
      <c r="Z524" s="749"/>
      <c r="AA524" s="749"/>
      <c r="AB524" s="749"/>
      <c r="AC524" s="749"/>
      <c r="AD524" s="749"/>
      <c r="AH524" s="283">
        <f t="shared" si="60"/>
        <v>0</v>
      </c>
      <c r="AI524" s="353">
        <f t="shared" si="61"/>
        <v>0</v>
      </c>
      <c r="AJ524" s="353">
        <f t="shared" si="62"/>
        <v>0</v>
      </c>
      <c r="AN524"/>
      <c r="AO524"/>
      <c r="AP524"/>
      <c r="AQ524" s="595" t="s">
        <v>2688</v>
      </c>
      <c r="AR524">
        <f t="shared" si="63"/>
        <v>0</v>
      </c>
      <c r="AS524">
        <f t="shared" si="64"/>
        <v>0</v>
      </c>
      <c r="AT524">
        <f t="shared" si="65"/>
        <v>0</v>
      </c>
    </row>
    <row r="525" spans="1:46" ht="24" customHeight="1">
      <c r="A525" s="210"/>
      <c r="B525" s="38"/>
      <c r="C525" s="44" t="s">
        <v>2522</v>
      </c>
      <c r="D525" s="796" t="s">
        <v>6831</v>
      </c>
      <c r="E525" s="796"/>
      <c r="F525" s="796"/>
      <c r="G525" s="796"/>
      <c r="H525" s="796"/>
      <c r="I525" s="796"/>
      <c r="J525" s="796"/>
      <c r="K525" s="796"/>
      <c r="L525" s="796"/>
      <c r="M525" s="749"/>
      <c r="N525" s="749"/>
      <c r="O525" s="749"/>
      <c r="P525" s="749"/>
      <c r="Q525" s="749"/>
      <c r="R525" s="749"/>
      <c r="S525" s="749"/>
      <c r="T525" s="749"/>
      <c r="U525" s="749"/>
      <c r="V525" s="749"/>
      <c r="W525" s="749"/>
      <c r="X525" s="749"/>
      <c r="Y525" s="749"/>
      <c r="Z525" s="749"/>
      <c r="AA525" s="749"/>
      <c r="AB525" s="749"/>
      <c r="AC525" s="749"/>
      <c r="AD525" s="749"/>
      <c r="AH525" s="283">
        <f t="shared" si="60"/>
        <v>0</v>
      </c>
      <c r="AI525" s="353">
        <f t="shared" si="61"/>
        <v>0</v>
      </c>
      <c r="AJ525" s="353">
        <f t="shared" si="62"/>
        <v>0</v>
      </c>
      <c r="AN525"/>
      <c r="AO525"/>
      <c r="AP525"/>
      <c r="AQ525" s="596" t="s">
        <v>6832</v>
      </c>
      <c r="AR525">
        <f t="shared" si="63"/>
        <v>0</v>
      </c>
      <c r="AS525">
        <f t="shared" si="64"/>
        <v>0</v>
      </c>
      <c r="AT525">
        <f t="shared" si="65"/>
        <v>0</v>
      </c>
    </row>
    <row r="526" spans="1:46" ht="15" customHeight="1">
      <c r="A526" s="210"/>
      <c r="B526" s="38"/>
      <c r="C526" s="44" t="s">
        <v>2523</v>
      </c>
      <c r="D526" s="796" t="s">
        <v>2687</v>
      </c>
      <c r="E526" s="796"/>
      <c r="F526" s="796"/>
      <c r="G526" s="796"/>
      <c r="H526" s="796"/>
      <c r="I526" s="796"/>
      <c r="J526" s="796"/>
      <c r="K526" s="796"/>
      <c r="L526" s="796"/>
      <c r="M526" s="749"/>
      <c r="N526" s="749"/>
      <c r="O526" s="749"/>
      <c r="P526" s="749"/>
      <c r="Q526" s="749"/>
      <c r="R526" s="749"/>
      <c r="S526" s="749"/>
      <c r="T526" s="749"/>
      <c r="U526" s="749"/>
      <c r="V526" s="749"/>
      <c r="W526" s="749"/>
      <c r="X526" s="749"/>
      <c r="Y526" s="749"/>
      <c r="Z526" s="749"/>
      <c r="AA526" s="749"/>
      <c r="AB526" s="749"/>
      <c r="AC526" s="749"/>
      <c r="AD526" s="749"/>
      <c r="AH526" s="283">
        <f t="shared" si="60"/>
        <v>0</v>
      </c>
      <c r="AI526" s="353">
        <f t="shared" si="61"/>
        <v>0</v>
      </c>
      <c r="AJ526" s="353">
        <f t="shared" si="62"/>
        <v>0</v>
      </c>
      <c r="AN526"/>
      <c r="AO526"/>
      <c r="AP526"/>
      <c r="AQ526" s="595" t="s">
        <v>2687</v>
      </c>
      <c r="AR526">
        <f t="shared" si="63"/>
        <v>0</v>
      </c>
      <c r="AS526">
        <f t="shared" si="64"/>
        <v>0</v>
      </c>
      <c r="AT526">
        <f t="shared" si="65"/>
        <v>0</v>
      </c>
    </row>
    <row r="527" spans="1:46" ht="15" customHeight="1">
      <c r="A527" s="210"/>
      <c r="B527" s="38"/>
      <c r="C527" s="44" t="s">
        <v>2524</v>
      </c>
      <c r="D527" s="796" t="s">
        <v>6833</v>
      </c>
      <c r="E527" s="796"/>
      <c r="F527" s="796"/>
      <c r="G527" s="796"/>
      <c r="H527" s="796"/>
      <c r="I527" s="796"/>
      <c r="J527" s="796"/>
      <c r="K527" s="796"/>
      <c r="L527" s="796"/>
      <c r="M527" s="749"/>
      <c r="N527" s="749"/>
      <c r="O527" s="749"/>
      <c r="P527" s="749"/>
      <c r="Q527" s="749"/>
      <c r="R527" s="749"/>
      <c r="S527" s="749"/>
      <c r="T527" s="749"/>
      <c r="U527" s="749"/>
      <c r="V527" s="749"/>
      <c r="W527" s="749"/>
      <c r="X527" s="749"/>
      <c r="Y527" s="749"/>
      <c r="Z527" s="749"/>
      <c r="AA527" s="749"/>
      <c r="AB527" s="749"/>
      <c r="AC527" s="749"/>
      <c r="AD527" s="749"/>
      <c r="AH527" s="283">
        <f t="shared" si="60"/>
        <v>0</v>
      </c>
      <c r="AI527" s="353">
        <f t="shared" si="61"/>
        <v>0</v>
      </c>
      <c r="AJ527" s="353">
        <f t="shared" si="62"/>
        <v>0</v>
      </c>
      <c r="AN527"/>
      <c r="AO527"/>
      <c r="AP527"/>
      <c r="AQ527" s="596" t="s">
        <v>6834</v>
      </c>
      <c r="AR527">
        <f t="shared" si="63"/>
        <v>0</v>
      </c>
      <c r="AS527">
        <f t="shared" si="64"/>
        <v>0</v>
      </c>
      <c r="AT527">
        <f t="shared" si="65"/>
        <v>0</v>
      </c>
    </row>
    <row r="528" spans="1:46" ht="15" customHeight="1">
      <c r="A528" s="210"/>
      <c r="B528" s="38"/>
      <c r="C528" s="98" t="s">
        <v>2525</v>
      </c>
      <c r="D528" s="796" t="s">
        <v>6835</v>
      </c>
      <c r="E528" s="796"/>
      <c r="F528" s="796"/>
      <c r="G528" s="796"/>
      <c r="H528" s="796"/>
      <c r="I528" s="796"/>
      <c r="J528" s="796"/>
      <c r="K528" s="796"/>
      <c r="L528" s="796"/>
      <c r="M528" s="749"/>
      <c r="N528" s="749"/>
      <c r="O528" s="749"/>
      <c r="P528" s="749"/>
      <c r="Q528" s="749"/>
      <c r="R528" s="749"/>
      <c r="S528" s="749"/>
      <c r="T528" s="749"/>
      <c r="U528" s="749"/>
      <c r="V528" s="749"/>
      <c r="W528" s="749"/>
      <c r="X528" s="749"/>
      <c r="Y528" s="749"/>
      <c r="Z528" s="749"/>
      <c r="AA528" s="749"/>
      <c r="AB528" s="749"/>
      <c r="AC528" s="749"/>
      <c r="AD528" s="749"/>
      <c r="AH528" s="283">
        <f t="shared" si="60"/>
        <v>0</v>
      </c>
      <c r="AI528" s="353">
        <f t="shared" si="61"/>
        <v>0</v>
      </c>
      <c r="AJ528" s="353">
        <f t="shared" si="62"/>
        <v>0</v>
      </c>
      <c r="AN528"/>
      <c r="AO528"/>
      <c r="AP528"/>
      <c r="AQ528" s="595" t="s">
        <v>6836</v>
      </c>
      <c r="AR528">
        <f t="shared" si="63"/>
        <v>0</v>
      </c>
      <c r="AS528">
        <f t="shared" si="64"/>
        <v>0</v>
      </c>
      <c r="AT528">
        <f t="shared" si="65"/>
        <v>0</v>
      </c>
    </row>
    <row r="529" spans="1:46" ht="24" customHeight="1">
      <c r="A529" s="210"/>
      <c r="B529" s="38"/>
      <c r="C529" s="98" t="s">
        <v>2526</v>
      </c>
      <c r="D529" s="796" t="s">
        <v>6837</v>
      </c>
      <c r="E529" s="796"/>
      <c r="F529" s="796"/>
      <c r="G529" s="796"/>
      <c r="H529" s="796"/>
      <c r="I529" s="796"/>
      <c r="J529" s="796"/>
      <c r="K529" s="796"/>
      <c r="L529" s="796"/>
      <c r="M529" s="749"/>
      <c r="N529" s="749"/>
      <c r="O529" s="749"/>
      <c r="P529" s="749"/>
      <c r="Q529" s="749"/>
      <c r="R529" s="749"/>
      <c r="S529" s="749"/>
      <c r="T529" s="749"/>
      <c r="U529" s="749"/>
      <c r="V529" s="749"/>
      <c r="W529" s="749"/>
      <c r="X529" s="749"/>
      <c r="Y529" s="749"/>
      <c r="Z529" s="749"/>
      <c r="AA529" s="749"/>
      <c r="AB529" s="749"/>
      <c r="AC529" s="749"/>
      <c r="AD529" s="749"/>
      <c r="AH529" s="283">
        <f t="shared" si="60"/>
        <v>0</v>
      </c>
      <c r="AI529" s="353">
        <f t="shared" si="61"/>
        <v>0</v>
      </c>
      <c r="AJ529" s="353">
        <f t="shared" si="62"/>
        <v>0</v>
      </c>
      <c r="AN529"/>
      <c r="AO529"/>
      <c r="AP529"/>
      <c r="AQ529" s="596" t="s">
        <v>6838</v>
      </c>
      <c r="AR529">
        <f t="shared" si="63"/>
        <v>0</v>
      </c>
      <c r="AS529">
        <f t="shared" si="64"/>
        <v>0</v>
      </c>
      <c r="AT529">
        <f t="shared" si="65"/>
        <v>0</v>
      </c>
    </row>
    <row r="530" spans="1:46" ht="24" customHeight="1">
      <c r="A530" s="210"/>
      <c r="B530" s="38"/>
      <c r="C530" s="98" t="s">
        <v>2527</v>
      </c>
      <c r="D530" s="796" t="s">
        <v>6839</v>
      </c>
      <c r="E530" s="796"/>
      <c r="F530" s="796"/>
      <c r="G530" s="796"/>
      <c r="H530" s="796"/>
      <c r="I530" s="796"/>
      <c r="J530" s="796"/>
      <c r="K530" s="796"/>
      <c r="L530" s="796"/>
      <c r="M530" s="749"/>
      <c r="N530" s="749"/>
      <c r="O530" s="749"/>
      <c r="P530" s="749"/>
      <c r="Q530" s="749"/>
      <c r="R530" s="749"/>
      <c r="S530" s="749"/>
      <c r="T530" s="749"/>
      <c r="U530" s="749"/>
      <c r="V530" s="749"/>
      <c r="W530" s="749"/>
      <c r="X530" s="749"/>
      <c r="Y530" s="749"/>
      <c r="Z530" s="749"/>
      <c r="AA530" s="749"/>
      <c r="AB530" s="749"/>
      <c r="AC530" s="749"/>
      <c r="AD530" s="749"/>
      <c r="AH530" s="283">
        <f t="shared" si="60"/>
        <v>0</v>
      </c>
      <c r="AI530" s="353">
        <f t="shared" si="61"/>
        <v>0</v>
      </c>
      <c r="AJ530" s="353">
        <f t="shared" si="62"/>
        <v>0</v>
      </c>
      <c r="AN530"/>
      <c r="AO530"/>
      <c r="AP530"/>
      <c r="AQ530" s="595" t="s">
        <v>6840</v>
      </c>
      <c r="AR530">
        <f t="shared" si="63"/>
        <v>0</v>
      </c>
      <c r="AS530">
        <f t="shared" si="64"/>
        <v>0</v>
      </c>
      <c r="AT530">
        <f t="shared" si="65"/>
        <v>0</v>
      </c>
    </row>
    <row r="531" spans="1:46" ht="15" customHeight="1">
      <c r="A531" s="210"/>
      <c r="B531" s="38"/>
      <c r="C531" s="98" t="s">
        <v>2528</v>
      </c>
      <c r="D531" s="796" t="s">
        <v>6841</v>
      </c>
      <c r="E531" s="796"/>
      <c r="F531" s="796"/>
      <c r="G531" s="796"/>
      <c r="H531" s="796"/>
      <c r="I531" s="796"/>
      <c r="J531" s="796"/>
      <c r="K531" s="796"/>
      <c r="L531" s="796"/>
      <c r="M531" s="749"/>
      <c r="N531" s="749"/>
      <c r="O531" s="749"/>
      <c r="P531" s="749"/>
      <c r="Q531" s="749"/>
      <c r="R531" s="749"/>
      <c r="S531" s="749"/>
      <c r="T531" s="749"/>
      <c r="U531" s="749"/>
      <c r="V531" s="749"/>
      <c r="W531" s="749"/>
      <c r="X531" s="749"/>
      <c r="Y531" s="749"/>
      <c r="Z531" s="749"/>
      <c r="AA531" s="749"/>
      <c r="AB531" s="749"/>
      <c r="AC531" s="749"/>
      <c r="AD531" s="749"/>
      <c r="AH531" s="283">
        <f t="shared" si="60"/>
        <v>0</v>
      </c>
      <c r="AI531" s="353">
        <f t="shared" si="61"/>
        <v>0</v>
      </c>
      <c r="AJ531" s="353">
        <f t="shared" si="62"/>
        <v>0</v>
      </c>
      <c r="AN531"/>
      <c r="AO531"/>
      <c r="AP531"/>
      <c r="AQ531" s="596" t="s">
        <v>6842</v>
      </c>
      <c r="AR531">
        <f t="shared" si="63"/>
        <v>0</v>
      </c>
      <c r="AS531">
        <f t="shared" si="64"/>
        <v>0</v>
      </c>
      <c r="AT531">
        <f t="shared" si="65"/>
        <v>0</v>
      </c>
    </row>
    <row r="532" spans="1:46" ht="15" customHeight="1">
      <c r="A532" s="210"/>
      <c r="B532" s="38"/>
      <c r="C532" s="98" t="s">
        <v>2529</v>
      </c>
      <c r="D532" s="796" t="s">
        <v>6843</v>
      </c>
      <c r="E532" s="796"/>
      <c r="F532" s="796"/>
      <c r="G532" s="796"/>
      <c r="H532" s="796"/>
      <c r="I532" s="796"/>
      <c r="J532" s="796"/>
      <c r="K532" s="796"/>
      <c r="L532" s="796"/>
      <c r="M532" s="749"/>
      <c r="N532" s="749"/>
      <c r="O532" s="749"/>
      <c r="P532" s="749"/>
      <c r="Q532" s="749"/>
      <c r="R532" s="749"/>
      <c r="S532" s="736"/>
      <c r="T532" s="736"/>
      <c r="U532" s="736"/>
      <c r="V532" s="736"/>
      <c r="W532" s="736"/>
      <c r="X532" s="736"/>
      <c r="Y532" s="749"/>
      <c r="Z532" s="749"/>
      <c r="AA532" s="749"/>
      <c r="AB532" s="749"/>
      <c r="AC532" s="749"/>
      <c r="AD532" s="749"/>
      <c r="AH532" s="283">
        <f t="shared" si="60"/>
        <v>0</v>
      </c>
      <c r="AI532" s="353">
        <f t="shared" si="61"/>
        <v>0</v>
      </c>
      <c r="AJ532" s="353">
        <f t="shared" si="62"/>
        <v>0</v>
      </c>
      <c r="AN532"/>
      <c r="AO532"/>
      <c r="AP532"/>
      <c r="AQ532" s="595" t="s">
        <v>6844</v>
      </c>
      <c r="AR532">
        <f t="shared" si="63"/>
        <v>0</v>
      </c>
      <c r="AS532">
        <f t="shared" si="64"/>
        <v>0</v>
      </c>
      <c r="AT532">
        <f t="shared" si="65"/>
        <v>0</v>
      </c>
    </row>
    <row r="533" spans="1:46" ht="24" customHeight="1">
      <c r="A533" s="210"/>
      <c r="B533" s="38"/>
      <c r="C533" s="98" t="s">
        <v>2530</v>
      </c>
      <c r="D533" s="796" t="s">
        <v>6845</v>
      </c>
      <c r="E533" s="796"/>
      <c r="F533" s="796"/>
      <c r="G533" s="796"/>
      <c r="H533" s="796"/>
      <c r="I533" s="796"/>
      <c r="J533" s="796"/>
      <c r="K533" s="796"/>
      <c r="L533" s="796"/>
      <c r="M533" s="749"/>
      <c r="N533" s="749"/>
      <c r="O533" s="749"/>
      <c r="P533" s="749"/>
      <c r="Q533" s="749"/>
      <c r="R533" s="749"/>
      <c r="S533" s="749"/>
      <c r="T533" s="749"/>
      <c r="U533" s="749"/>
      <c r="V533" s="749"/>
      <c r="W533" s="749"/>
      <c r="X533" s="749"/>
      <c r="Y533" s="749"/>
      <c r="Z533" s="749"/>
      <c r="AA533" s="749"/>
      <c r="AB533" s="749"/>
      <c r="AC533" s="749"/>
      <c r="AD533" s="749"/>
      <c r="AH533" s="283">
        <f t="shared" si="60"/>
        <v>0</v>
      </c>
      <c r="AI533" s="353">
        <f t="shared" si="61"/>
        <v>0</v>
      </c>
      <c r="AJ533" s="353">
        <f t="shared" si="62"/>
        <v>0</v>
      </c>
      <c r="AN533"/>
      <c r="AO533"/>
      <c r="AP533"/>
      <c r="AQ533" s="596" t="s">
        <v>6846</v>
      </c>
      <c r="AR533">
        <f t="shared" si="63"/>
        <v>0</v>
      </c>
      <c r="AS533">
        <f t="shared" si="64"/>
        <v>0</v>
      </c>
      <c r="AT533">
        <f t="shared" si="65"/>
        <v>0</v>
      </c>
    </row>
    <row r="534" spans="1:46" ht="24" customHeight="1">
      <c r="A534" s="210"/>
      <c r="B534" s="38"/>
      <c r="C534" s="98" t="s">
        <v>2531</v>
      </c>
      <c r="D534" s="796" t="s">
        <v>6847</v>
      </c>
      <c r="E534" s="796"/>
      <c r="F534" s="796"/>
      <c r="G534" s="796"/>
      <c r="H534" s="796"/>
      <c r="I534" s="796"/>
      <c r="J534" s="796"/>
      <c r="K534" s="796"/>
      <c r="L534" s="796"/>
      <c r="M534" s="749"/>
      <c r="N534" s="749"/>
      <c r="O534" s="749"/>
      <c r="P534" s="749"/>
      <c r="Q534" s="749"/>
      <c r="R534" s="749"/>
      <c r="S534" s="749"/>
      <c r="T534" s="749"/>
      <c r="U534" s="749"/>
      <c r="V534" s="749"/>
      <c r="W534" s="749"/>
      <c r="X534" s="749"/>
      <c r="Y534" s="749"/>
      <c r="Z534" s="749"/>
      <c r="AA534" s="749"/>
      <c r="AB534" s="749"/>
      <c r="AC534" s="749"/>
      <c r="AD534" s="749"/>
      <c r="AH534" s="283">
        <f t="shared" si="60"/>
        <v>0</v>
      </c>
      <c r="AI534" s="353">
        <f t="shared" si="61"/>
        <v>0</v>
      </c>
      <c r="AJ534" s="353">
        <f t="shared" si="62"/>
        <v>0</v>
      </c>
      <c r="AN534"/>
      <c r="AO534"/>
      <c r="AP534"/>
      <c r="AQ534" s="595" t="s">
        <v>6848</v>
      </c>
      <c r="AR534">
        <f t="shared" si="63"/>
        <v>0</v>
      </c>
      <c r="AS534">
        <f t="shared" si="64"/>
        <v>0</v>
      </c>
      <c r="AT534">
        <f t="shared" si="65"/>
        <v>0</v>
      </c>
    </row>
    <row r="535" spans="1:46" ht="24" customHeight="1">
      <c r="A535" s="210"/>
      <c r="B535" s="38"/>
      <c r="C535" s="98" t="s">
        <v>2532</v>
      </c>
      <c r="D535" s="796" t="s">
        <v>6849</v>
      </c>
      <c r="E535" s="796"/>
      <c r="F535" s="796"/>
      <c r="G535" s="796"/>
      <c r="H535" s="796"/>
      <c r="I535" s="796"/>
      <c r="J535" s="796"/>
      <c r="K535" s="796"/>
      <c r="L535" s="796"/>
      <c r="M535" s="749"/>
      <c r="N535" s="749"/>
      <c r="O535" s="749"/>
      <c r="P535" s="749"/>
      <c r="Q535" s="749"/>
      <c r="R535" s="749"/>
      <c r="S535" s="749"/>
      <c r="T535" s="749"/>
      <c r="U535" s="749"/>
      <c r="V535" s="749"/>
      <c r="W535" s="749"/>
      <c r="X535" s="749"/>
      <c r="Y535" s="749"/>
      <c r="Z535" s="749"/>
      <c r="AA535" s="749"/>
      <c r="AB535" s="749"/>
      <c r="AC535" s="749"/>
      <c r="AD535" s="749"/>
      <c r="AH535" s="283">
        <f t="shared" si="60"/>
        <v>0</v>
      </c>
      <c r="AI535" s="353">
        <f t="shared" si="61"/>
        <v>0</v>
      </c>
      <c r="AJ535" s="353">
        <f t="shared" si="62"/>
        <v>0</v>
      </c>
      <c r="AN535"/>
      <c r="AO535"/>
      <c r="AP535"/>
      <c r="AQ535" s="596" t="s">
        <v>6850</v>
      </c>
      <c r="AR535">
        <f t="shared" si="63"/>
        <v>0</v>
      </c>
      <c r="AS535">
        <f t="shared" si="64"/>
        <v>0</v>
      </c>
      <c r="AT535">
        <f t="shared" si="65"/>
        <v>0</v>
      </c>
    </row>
    <row r="536" spans="1:46" ht="24" customHeight="1">
      <c r="A536" s="210"/>
      <c r="B536" s="38"/>
      <c r="C536" s="98" t="s">
        <v>2533</v>
      </c>
      <c r="D536" s="796" t="s">
        <v>6851</v>
      </c>
      <c r="E536" s="796"/>
      <c r="F536" s="796"/>
      <c r="G536" s="796"/>
      <c r="H536" s="796"/>
      <c r="I536" s="796"/>
      <c r="J536" s="796"/>
      <c r="K536" s="796"/>
      <c r="L536" s="796"/>
      <c r="M536" s="749"/>
      <c r="N536" s="749"/>
      <c r="O536" s="749"/>
      <c r="P536" s="749"/>
      <c r="Q536" s="749"/>
      <c r="R536" s="749"/>
      <c r="S536" s="749"/>
      <c r="T536" s="749"/>
      <c r="U536" s="749"/>
      <c r="V536" s="749"/>
      <c r="W536" s="749"/>
      <c r="X536" s="749"/>
      <c r="Y536" s="749"/>
      <c r="Z536" s="749"/>
      <c r="AA536" s="749"/>
      <c r="AB536" s="749"/>
      <c r="AC536" s="749"/>
      <c r="AD536" s="749"/>
      <c r="AH536" s="283">
        <f t="shared" si="60"/>
        <v>0</v>
      </c>
      <c r="AI536" s="353">
        <f t="shared" si="61"/>
        <v>0</v>
      </c>
      <c r="AJ536" s="353">
        <f t="shared" si="62"/>
        <v>0</v>
      </c>
      <c r="AN536"/>
      <c r="AO536"/>
      <c r="AP536"/>
      <c r="AQ536" s="615" t="s">
        <v>6852</v>
      </c>
      <c r="AR536">
        <f>IF(OR(M536="NS",$M$500="NS"),0,IF(AND(M536="NA",$M$500="NA"),0,IF(M536&lt;=$M$500,0,1)))</f>
        <v>0</v>
      </c>
      <c r="AS536">
        <f t="shared" si="64"/>
        <v>0</v>
      </c>
      <c r="AT536">
        <f t="shared" si="65"/>
        <v>0</v>
      </c>
    </row>
    <row r="537" spans="1:46" ht="24" customHeight="1">
      <c r="A537" s="210"/>
      <c r="B537" s="38"/>
      <c r="C537" s="98" t="s">
        <v>2534</v>
      </c>
      <c r="D537" s="796" t="s">
        <v>6853</v>
      </c>
      <c r="E537" s="796"/>
      <c r="F537" s="796"/>
      <c r="G537" s="796"/>
      <c r="H537" s="796"/>
      <c r="I537" s="796"/>
      <c r="J537" s="796"/>
      <c r="K537" s="796"/>
      <c r="L537" s="796"/>
      <c r="M537" s="749"/>
      <c r="N537" s="749"/>
      <c r="O537" s="749"/>
      <c r="P537" s="749"/>
      <c r="Q537" s="749"/>
      <c r="R537" s="749"/>
      <c r="S537" s="749"/>
      <c r="T537" s="749"/>
      <c r="U537" s="749"/>
      <c r="V537" s="749"/>
      <c r="W537" s="749"/>
      <c r="X537" s="749"/>
      <c r="Y537" s="749"/>
      <c r="Z537" s="749"/>
      <c r="AA537" s="749"/>
      <c r="AB537" s="749"/>
      <c r="AC537" s="749"/>
      <c r="AD537" s="749"/>
      <c r="AH537" s="283">
        <f t="shared" si="60"/>
        <v>0</v>
      </c>
      <c r="AI537" s="353">
        <f t="shared" si="61"/>
        <v>0</v>
      </c>
      <c r="AJ537" s="353">
        <f t="shared" si="62"/>
        <v>0</v>
      </c>
      <c r="AN537"/>
      <c r="AO537"/>
      <c r="AP537"/>
      <c r="AQ537" s="614" t="s">
        <v>6854</v>
      </c>
      <c r="AR537">
        <f t="shared" si="63"/>
        <v>0</v>
      </c>
      <c r="AS537">
        <f t="shared" si="64"/>
        <v>0</v>
      </c>
      <c r="AT537">
        <f t="shared" si="65"/>
        <v>0</v>
      </c>
    </row>
    <row r="538" spans="1:46" ht="15" customHeight="1">
      <c r="A538" s="210"/>
      <c r="B538" s="38"/>
      <c r="C538" s="98" t="s">
        <v>2535</v>
      </c>
      <c r="D538" s="796" t="s">
        <v>4404</v>
      </c>
      <c r="E538" s="796"/>
      <c r="F538" s="796"/>
      <c r="G538" s="796"/>
      <c r="H538" s="796"/>
      <c r="I538" s="796"/>
      <c r="J538" s="796"/>
      <c r="K538" s="796"/>
      <c r="L538" s="796"/>
      <c r="M538" s="749"/>
      <c r="N538" s="749"/>
      <c r="O538" s="749"/>
      <c r="P538" s="749"/>
      <c r="Q538" s="749"/>
      <c r="R538" s="749"/>
      <c r="S538" s="749"/>
      <c r="T538" s="749"/>
      <c r="U538" s="749"/>
      <c r="V538" s="749"/>
      <c r="W538" s="749"/>
      <c r="X538" s="749"/>
      <c r="Y538" s="749"/>
      <c r="Z538" s="749"/>
      <c r="AA538" s="749"/>
      <c r="AB538" s="749"/>
      <c r="AC538" s="749"/>
      <c r="AD538" s="749"/>
      <c r="AH538" s="283">
        <f t="shared" si="60"/>
        <v>0</v>
      </c>
      <c r="AI538" s="353">
        <f t="shared" si="61"/>
        <v>0</v>
      </c>
      <c r="AJ538" s="353">
        <f t="shared" si="62"/>
        <v>0</v>
      </c>
      <c r="AN538"/>
      <c r="AO538"/>
      <c r="AP538"/>
      <c r="AQ538" s="596" t="s">
        <v>6855</v>
      </c>
      <c r="AR538">
        <f t="shared" si="63"/>
        <v>0</v>
      </c>
      <c r="AS538">
        <f t="shared" si="64"/>
        <v>0</v>
      </c>
      <c r="AT538">
        <f t="shared" si="65"/>
        <v>0</v>
      </c>
    </row>
    <row r="539" spans="1:46" ht="15" customHeight="1">
      <c r="A539" s="210"/>
      <c r="B539" s="38"/>
      <c r="C539" s="98" t="s">
        <v>2536</v>
      </c>
      <c r="D539" s="796" t="s">
        <v>4406</v>
      </c>
      <c r="E539" s="796"/>
      <c r="F539" s="796"/>
      <c r="G539" s="796"/>
      <c r="H539" s="796"/>
      <c r="I539" s="796"/>
      <c r="J539" s="796"/>
      <c r="K539" s="796"/>
      <c r="L539" s="796"/>
      <c r="M539" s="749"/>
      <c r="N539" s="749"/>
      <c r="O539" s="749"/>
      <c r="P539" s="749"/>
      <c r="Q539" s="749"/>
      <c r="R539" s="749"/>
      <c r="S539" s="749"/>
      <c r="T539" s="749"/>
      <c r="U539" s="749"/>
      <c r="V539" s="749"/>
      <c r="W539" s="749"/>
      <c r="X539" s="749"/>
      <c r="Y539" s="749"/>
      <c r="Z539" s="749"/>
      <c r="AA539" s="749"/>
      <c r="AB539" s="749"/>
      <c r="AC539" s="749"/>
      <c r="AD539" s="749"/>
      <c r="AH539" s="283">
        <f t="shared" si="60"/>
        <v>0</v>
      </c>
      <c r="AI539" s="353">
        <f t="shared" si="61"/>
        <v>0</v>
      </c>
      <c r="AJ539" s="353">
        <f t="shared" si="62"/>
        <v>0</v>
      </c>
      <c r="AN539"/>
      <c r="AO539"/>
      <c r="AP539"/>
      <c r="AQ539" s="595" t="s">
        <v>6856</v>
      </c>
      <c r="AR539">
        <f t="shared" si="63"/>
        <v>0</v>
      </c>
      <c r="AS539">
        <f t="shared" si="64"/>
        <v>0</v>
      </c>
      <c r="AT539">
        <f t="shared" si="65"/>
        <v>0</v>
      </c>
    </row>
    <row r="540" spans="1:46" ht="15" customHeight="1">
      <c r="A540" s="210"/>
      <c r="B540" s="38"/>
      <c r="C540" s="98" t="s">
        <v>2537</v>
      </c>
      <c r="D540" s="796" t="s">
        <v>6857</v>
      </c>
      <c r="E540" s="796"/>
      <c r="F540" s="796"/>
      <c r="G540" s="796"/>
      <c r="H540" s="796"/>
      <c r="I540" s="796"/>
      <c r="J540" s="796"/>
      <c r="K540" s="796"/>
      <c r="L540" s="796"/>
      <c r="M540" s="749"/>
      <c r="N540" s="749"/>
      <c r="O540" s="749"/>
      <c r="P540" s="749"/>
      <c r="Q540" s="749"/>
      <c r="R540" s="749"/>
      <c r="S540" s="749"/>
      <c r="T540" s="749"/>
      <c r="U540" s="749"/>
      <c r="V540" s="749"/>
      <c r="W540" s="749"/>
      <c r="X540" s="749"/>
      <c r="Y540" s="749"/>
      <c r="Z540" s="749"/>
      <c r="AA540" s="749"/>
      <c r="AB540" s="749"/>
      <c r="AC540" s="749"/>
      <c r="AD540" s="749"/>
      <c r="AH540" s="283">
        <f t="shared" si="60"/>
        <v>0</v>
      </c>
      <c r="AI540" s="353">
        <f t="shared" si="61"/>
        <v>0</v>
      </c>
      <c r="AJ540" s="353">
        <f>IF(COUNTIF(M540:AD540,"NA")=3,0,IF(OR(AND(M540=0,AH540&gt;0),AND(M540="ns",AI540&gt;0),AND(M540="ns",AH540=0,AI540=0)),1,IF(OR(AND(M540&gt;0,AH540=2),AND(M540="ns",AH540=2),AND(M540="ns",AI540=0,AH540&gt;0),M540=AI540),0,1)))</f>
        <v>0</v>
      </c>
      <c r="AN540"/>
      <c r="AO540"/>
      <c r="AP540"/>
      <c r="AQ540" s="596" t="s">
        <v>6858</v>
      </c>
      <c r="AR540">
        <f t="shared" si="63"/>
        <v>0</v>
      </c>
      <c r="AS540">
        <f t="shared" si="64"/>
        <v>0</v>
      </c>
      <c r="AT540">
        <f t="shared" si="65"/>
        <v>0</v>
      </c>
    </row>
    <row r="541" spans="1:46" ht="15" customHeight="1">
      <c r="A541" s="210"/>
      <c r="B541" s="38"/>
      <c r="C541" s="98" t="s">
        <v>2538</v>
      </c>
      <c r="D541" s="796" t="s">
        <v>6859</v>
      </c>
      <c r="E541" s="796"/>
      <c r="F541" s="796"/>
      <c r="G541" s="796"/>
      <c r="H541" s="796"/>
      <c r="I541" s="796"/>
      <c r="J541" s="796"/>
      <c r="K541" s="796"/>
      <c r="L541" s="796"/>
      <c r="M541" s="749"/>
      <c r="N541" s="749"/>
      <c r="O541" s="749"/>
      <c r="P541" s="749"/>
      <c r="Q541" s="749"/>
      <c r="R541" s="749"/>
      <c r="S541" s="749"/>
      <c r="T541" s="749"/>
      <c r="U541" s="749"/>
      <c r="V541" s="749"/>
      <c r="W541" s="749"/>
      <c r="X541" s="749"/>
      <c r="Y541" s="749"/>
      <c r="Z541" s="749"/>
      <c r="AA541" s="749"/>
      <c r="AB541" s="749"/>
      <c r="AC541" s="749"/>
      <c r="AD541" s="749"/>
      <c r="AH541" s="283">
        <f t="shared" si="60"/>
        <v>0</v>
      </c>
      <c r="AI541" s="353">
        <f t="shared" si="61"/>
        <v>0</v>
      </c>
      <c r="AJ541" s="353">
        <f t="shared" si="62"/>
        <v>0</v>
      </c>
      <c r="AN541"/>
      <c r="AO541"/>
      <c r="AP541"/>
      <c r="AQ541" s="595" t="s">
        <v>6860</v>
      </c>
      <c r="AR541">
        <f t="shared" si="63"/>
        <v>0</v>
      </c>
      <c r="AS541">
        <f t="shared" si="64"/>
        <v>0</v>
      </c>
      <c r="AT541">
        <f t="shared" si="65"/>
        <v>0</v>
      </c>
    </row>
    <row r="542" spans="1:46" ht="24" customHeight="1">
      <c r="A542" s="210"/>
      <c r="B542" s="38"/>
      <c r="C542" s="98" t="s">
        <v>2539</v>
      </c>
      <c r="D542" s="796" t="s">
        <v>6861</v>
      </c>
      <c r="E542" s="796"/>
      <c r="F542" s="796"/>
      <c r="G542" s="796"/>
      <c r="H542" s="796"/>
      <c r="I542" s="796"/>
      <c r="J542" s="796"/>
      <c r="K542" s="796"/>
      <c r="L542" s="796"/>
      <c r="M542" s="749"/>
      <c r="N542" s="749"/>
      <c r="O542" s="749"/>
      <c r="P542" s="749"/>
      <c r="Q542" s="749"/>
      <c r="R542" s="749"/>
      <c r="S542" s="749"/>
      <c r="T542" s="749"/>
      <c r="U542" s="749"/>
      <c r="V542" s="749"/>
      <c r="W542" s="749"/>
      <c r="X542" s="749"/>
      <c r="Y542" s="749"/>
      <c r="Z542" s="749"/>
      <c r="AA542" s="749"/>
      <c r="AB542" s="749"/>
      <c r="AC542" s="749"/>
      <c r="AD542" s="749"/>
      <c r="AH542" s="283">
        <f t="shared" si="60"/>
        <v>0</v>
      </c>
      <c r="AI542" s="353">
        <f t="shared" si="61"/>
        <v>0</v>
      </c>
      <c r="AJ542" s="353">
        <f t="shared" si="62"/>
        <v>0</v>
      </c>
      <c r="AN542"/>
      <c r="AO542"/>
      <c r="AP542"/>
      <c r="AQ542" s="615" t="s">
        <v>6862</v>
      </c>
      <c r="AR542">
        <f t="shared" si="63"/>
        <v>0</v>
      </c>
      <c r="AS542">
        <f t="shared" si="64"/>
        <v>0</v>
      </c>
      <c r="AT542">
        <f t="shared" si="65"/>
        <v>0</v>
      </c>
    </row>
    <row r="543" spans="1:46" ht="15" customHeight="1">
      <c r="A543" s="210"/>
      <c r="B543" s="38"/>
      <c r="C543" s="98" t="s">
        <v>2540</v>
      </c>
      <c r="D543" s="796" t="s">
        <v>2609</v>
      </c>
      <c r="E543" s="796"/>
      <c r="F543" s="796"/>
      <c r="G543" s="796"/>
      <c r="H543" s="796"/>
      <c r="I543" s="796"/>
      <c r="J543" s="796"/>
      <c r="K543" s="796"/>
      <c r="L543" s="796"/>
      <c r="M543" s="749"/>
      <c r="N543" s="749"/>
      <c r="O543" s="749"/>
      <c r="P543" s="749"/>
      <c r="Q543" s="749"/>
      <c r="R543" s="749"/>
      <c r="S543" s="749"/>
      <c r="T543" s="749"/>
      <c r="U543" s="749"/>
      <c r="V543" s="749"/>
      <c r="W543" s="749"/>
      <c r="X543" s="749"/>
      <c r="Y543" s="749"/>
      <c r="Z543" s="749"/>
      <c r="AA543" s="749"/>
      <c r="AB543" s="749"/>
      <c r="AC543" s="749"/>
      <c r="AD543" s="749"/>
      <c r="AH543" s="283">
        <f t="shared" si="60"/>
        <v>0</v>
      </c>
      <c r="AI543" s="353">
        <f t="shared" si="61"/>
        <v>0</v>
      </c>
      <c r="AJ543" s="353">
        <f t="shared" si="62"/>
        <v>0</v>
      </c>
      <c r="AN543"/>
      <c r="AO543"/>
      <c r="AP543"/>
      <c r="AQ543" s="595" t="s">
        <v>3758</v>
      </c>
      <c r="AR543">
        <f t="shared" si="63"/>
        <v>0</v>
      </c>
      <c r="AS543">
        <f t="shared" si="64"/>
        <v>0</v>
      </c>
      <c r="AT543">
        <f t="shared" si="65"/>
        <v>0</v>
      </c>
    </row>
    <row r="544" spans="1:46" ht="15" customHeight="1">
      <c r="A544" s="210"/>
      <c r="B544" s="38"/>
      <c r="C544" s="98" t="s">
        <v>2541</v>
      </c>
      <c r="D544" s="796" t="s">
        <v>201</v>
      </c>
      <c r="E544" s="796"/>
      <c r="F544" s="796"/>
      <c r="G544" s="796"/>
      <c r="H544" s="796"/>
      <c r="I544" s="796"/>
      <c r="J544" s="796"/>
      <c r="K544" s="796"/>
      <c r="L544" s="796"/>
      <c r="M544" s="749"/>
      <c r="N544" s="749"/>
      <c r="O544" s="749"/>
      <c r="P544" s="749"/>
      <c r="Q544" s="749"/>
      <c r="R544" s="749"/>
      <c r="S544" s="749"/>
      <c r="T544" s="749"/>
      <c r="U544" s="749"/>
      <c r="V544" s="749"/>
      <c r="W544" s="749"/>
      <c r="X544" s="749"/>
      <c r="Y544" s="749"/>
      <c r="Z544" s="749"/>
      <c r="AA544" s="749"/>
      <c r="AB544" s="749"/>
      <c r="AC544" s="749"/>
      <c r="AD544" s="749"/>
      <c r="AH544" s="283">
        <f t="shared" si="60"/>
        <v>0</v>
      </c>
      <c r="AI544" s="353">
        <f t="shared" si="61"/>
        <v>0</v>
      </c>
      <c r="AJ544" s="353">
        <f t="shared" si="62"/>
        <v>0</v>
      </c>
      <c r="AN544"/>
      <c r="AO544"/>
      <c r="AP544"/>
      <c r="AQ544" s="596" t="s">
        <v>201</v>
      </c>
      <c r="AR544">
        <f>IF(OR(M544="NS",$M$500="NS"),0,IF(AND(M544="NA",$M$500="NA"),0,IF(M544&lt;=$M$500,0,1)))</f>
        <v>0</v>
      </c>
      <c r="AS544">
        <f t="shared" si="64"/>
        <v>0</v>
      </c>
      <c r="AT544">
        <f t="shared" si="65"/>
        <v>0</v>
      </c>
    </row>
    <row r="545" spans="1:46" ht="15" customHeight="1">
      <c r="A545" s="210"/>
      <c r="B545" s="38"/>
      <c r="C545" s="38"/>
      <c r="D545" s="38"/>
      <c r="E545" s="38"/>
      <c r="F545" s="38"/>
      <c r="G545" s="38"/>
      <c r="H545" s="38"/>
      <c r="I545" s="38"/>
      <c r="J545" s="38"/>
      <c r="K545" s="38"/>
      <c r="L545" s="232" t="s">
        <v>2649</v>
      </c>
      <c r="M545" s="736">
        <f>IF(AND(SUM(M519:R544)=0,COUNTIF(M519:R544,"NS")&gt;0),"NS",
IF(AND(SUM(M519:R544)=0,COUNTIF(M519:R544,0)&gt;0),0,
IF(AND(SUM(M519:R544)=0,COUNTIF(M519:R544,"NA")&gt;0),"NA",
SUM(M519:R544))))</f>
        <v>0</v>
      </c>
      <c r="N545" s="736"/>
      <c r="O545" s="736"/>
      <c r="P545" s="736"/>
      <c r="Q545" s="736"/>
      <c r="R545" s="736"/>
      <c r="S545" s="736">
        <f t="shared" ref="S545" si="66">IF(AND(SUM(S519:X544)=0,COUNTIF(S519:X544,"NS")&gt;0),"NS",
IF(AND(SUM(S519:X544)=0,COUNTIF(S519:X544,0)&gt;0),0,
IF(AND(SUM(S519:X544)=0,COUNTIF(S519:X544,"NA")&gt;0),"NA",
SUM(S519:X544))))</f>
        <v>0</v>
      </c>
      <c r="T545" s="736"/>
      <c r="U545" s="736"/>
      <c r="V545" s="736"/>
      <c r="W545" s="736"/>
      <c r="X545" s="736"/>
      <c r="Y545" s="736">
        <f t="shared" ref="Y545" si="67">IF(AND(SUM(Y519:AD544)=0,COUNTIF(Y519:AD544,"NS")&gt;0),"NS",
IF(AND(SUM(Y519:AD544)=0,COUNTIF(Y519:AD544,0)&gt;0),0,
IF(AND(SUM(Y519:AD544)=0,COUNTIF(Y519:AD544,"NA")&gt;0),"NA",
SUM(Y519:AD544))))</f>
        <v>0</v>
      </c>
      <c r="Z545" s="736"/>
      <c r="AA545" s="736"/>
      <c r="AB545" s="736"/>
      <c r="AC545" s="736"/>
      <c r="AD545" s="736"/>
      <c r="AG545" s="283"/>
      <c r="AH545" s="282">
        <f>SUM(AH519:AH544)</f>
        <v>0</v>
      </c>
      <c r="AI545"/>
      <c r="AJ545" s="581">
        <f>SUM(AJ519:AJ544)</f>
        <v>0</v>
      </c>
      <c r="AN545"/>
      <c r="AO545"/>
      <c r="AP545"/>
      <c r="AQ545" s="597"/>
      <c r="AR545"/>
      <c r="AS545"/>
      <c r="AT545" s="598">
        <f>SUM(AR519:AT544)</f>
        <v>0</v>
      </c>
    </row>
    <row r="546" spans="1:46" ht="15" customHeight="1">
      <c r="A546" s="211"/>
      <c r="B546" s="57"/>
      <c r="C546" s="57"/>
      <c r="D546" s="57"/>
      <c r="E546" s="57"/>
      <c r="F546" s="57"/>
      <c r="G546" s="57"/>
      <c r="H546" s="57"/>
      <c r="I546" s="57"/>
      <c r="J546" s="57"/>
      <c r="K546" s="57"/>
      <c r="L546" s="57"/>
      <c r="M546" s="57"/>
      <c r="N546" s="57"/>
      <c r="O546" s="57"/>
      <c r="P546" s="57"/>
      <c r="Q546" s="57"/>
      <c r="R546" s="57"/>
      <c r="S546" s="57"/>
      <c r="T546" s="57"/>
      <c r="U546" s="57"/>
      <c r="V546" s="57"/>
      <c r="W546" s="57"/>
      <c r="X546" s="57"/>
      <c r="Y546" s="57"/>
      <c r="Z546" s="57"/>
      <c r="AA546" s="57"/>
      <c r="AB546" s="57"/>
      <c r="AC546" s="57"/>
      <c r="AD546" s="57"/>
      <c r="AN546"/>
      <c r="AO546"/>
      <c r="AP546"/>
      <c r="AQ546" s="597"/>
      <c r="AR546"/>
      <c r="AS546"/>
    </row>
    <row r="547" spans="1:46" ht="45" customHeight="1">
      <c r="A547" s="211"/>
      <c r="B547" s="57"/>
      <c r="C547" s="934" t="s">
        <v>5848</v>
      </c>
      <c r="D547" s="934"/>
      <c r="E547" s="934"/>
      <c r="F547" s="749"/>
      <c r="G547" s="749"/>
      <c r="H547" s="749"/>
      <c r="I547" s="749"/>
      <c r="J547" s="749"/>
      <c r="K547" s="749"/>
      <c r="L547" s="749"/>
      <c r="M547" s="749"/>
      <c r="N547" s="749"/>
      <c r="O547" s="749"/>
      <c r="P547" s="749"/>
      <c r="Q547" s="749"/>
      <c r="R547" s="749"/>
      <c r="S547" s="749"/>
      <c r="T547" s="749"/>
      <c r="U547" s="749"/>
      <c r="V547" s="749"/>
      <c r="W547" s="749"/>
      <c r="X547" s="749"/>
      <c r="Y547" s="749"/>
      <c r="Z547" s="749"/>
      <c r="AA547" s="749"/>
      <c r="AB547" s="749"/>
      <c r="AC547" s="749"/>
      <c r="AD547" s="749"/>
    </row>
    <row r="548" spans="1:46" ht="15" customHeight="1">
      <c r="A548" s="211"/>
      <c r="B548" s="1175" t="str">
        <f>IF(AND(AK522&gt;0,F547=""),"Debido a que cuenta con registros mayores a cero en el numeral 25 debe anotar el nombre de dicho(s) tipo(s) de institución(es)","")</f>
        <v/>
      </c>
      <c r="C548" s="1175"/>
      <c r="D548" s="1175"/>
      <c r="E548" s="1175"/>
      <c r="F548" s="1175"/>
      <c r="G548" s="1175"/>
      <c r="H548" s="1175"/>
      <c r="I548" s="1175"/>
      <c r="J548" s="1175"/>
      <c r="K548" s="1175"/>
      <c r="L548" s="1175"/>
      <c r="M548" s="1175"/>
      <c r="N548" s="1175"/>
      <c r="O548" s="1175"/>
      <c r="P548" s="1175"/>
      <c r="Q548" s="1175"/>
      <c r="R548" s="1175"/>
      <c r="S548" s="1175"/>
      <c r="T548" s="1175"/>
      <c r="U548" s="1175"/>
      <c r="V548" s="1175"/>
      <c r="W548" s="1175"/>
      <c r="X548" s="1175"/>
      <c r="Y548" s="1175"/>
      <c r="Z548" s="1175"/>
      <c r="AA548" s="1175"/>
      <c r="AB548" s="1175"/>
      <c r="AC548" s="1175"/>
      <c r="AD548" s="1175"/>
      <c r="AE548" s="1175"/>
    </row>
    <row r="549" spans="1:46" ht="24" customHeight="1">
      <c r="A549" s="211"/>
      <c r="B549" s="57"/>
      <c r="C549" s="754" t="s">
        <v>2611</v>
      </c>
      <c r="D549" s="754"/>
      <c r="E549" s="754"/>
      <c r="F549" s="754"/>
      <c r="G549" s="754"/>
      <c r="H549" s="754"/>
      <c r="I549" s="754"/>
      <c r="J549" s="754"/>
      <c r="K549" s="754"/>
      <c r="L549" s="754"/>
      <c r="M549" s="754"/>
      <c r="N549" s="754"/>
      <c r="O549" s="754"/>
      <c r="P549" s="754"/>
      <c r="Q549" s="754"/>
      <c r="R549" s="754"/>
      <c r="S549" s="754"/>
      <c r="T549" s="754"/>
      <c r="U549" s="754"/>
      <c r="V549" s="754"/>
      <c r="W549" s="754"/>
      <c r="X549" s="754"/>
      <c r="Y549" s="754"/>
      <c r="Z549" s="754"/>
      <c r="AA549" s="754"/>
      <c r="AB549" s="754"/>
      <c r="AC549" s="754"/>
      <c r="AD549" s="754"/>
    </row>
    <row r="550" spans="1:46" ht="60" customHeight="1">
      <c r="A550" s="211"/>
      <c r="B550" s="57"/>
      <c r="C550" s="882"/>
      <c r="D550" s="883"/>
      <c r="E550" s="883"/>
      <c r="F550" s="883"/>
      <c r="G550" s="883"/>
      <c r="H550" s="883"/>
      <c r="I550" s="883"/>
      <c r="J550" s="883"/>
      <c r="K550" s="883"/>
      <c r="L550" s="883"/>
      <c r="M550" s="883"/>
      <c r="N550" s="883"/>
      <c r="O550" s="883"/>
      <c r="P550" s="883"/>
      <c r="Q550" s="883"/>
      <c r="R550" s="883"/>
      <c r="S550" s="883"/>
      <c r="T550" s="883"/>
      <c r="U550" s="883"/>
      <c r="V550" s="883"/>
      <c r="W550" s="883"/>
      <c r="X550" s="883"/>
      <c r="Y550" s="883"/>
      <c r="Z550" s="883"/>
      <c r="AA550" s="883"/>
      <c r="AB550" s="883"/>
      <c r="AC550" s="883"/>
      <c r="AD550" s="884"/>
    </row>
    <row r="551" spans="1:46" ht="15" customHeight="1">
      <c r="A551" s="211"/>
      <c r="B551" s="794" t="str">
        <f>IF(AG519&gt;0,"Favor de ingresar toda la información requerida en la pregunta y/o verifique que no tenga información en celdas sombreadas","")</f>
        <v/>
      </c>
      <c r="C551" s="794"/>
      <c r="D551" s="794"/>
      <c r="E551" s="794"/>
      <c r="F551" s="794"/>
      <c r="G551" s="794"/>
      <c r="H551" s="794"/>
      <c r="I551" s="794"/>
      <c r="J551" s="794"/>
      <c r="K551" s="794"/>
      <c r="L551" s="794"/>
      <c r="M551" s="794"/>
      <c r="N551" s="794"/>
      <c r="O551" s="794"/>
      <c r="P551" s="794"/>
      <c r="Q551" s="794"/>
      <c r="R551" s="794"/>
      <c r="S551" s="794"/>
      <c r="T551" s="794"/>
      <c r="U551" s="794"/>
      <c r="V551" s="794"/>
      <c r="W551" s="794"/>
      <c r="X551" s="794"/>
      <c r="Y551" s="794"/>
      <c r="Z551" s="794"/>
      <c r="AA551" s="794"/>
      <c r="AB551" s="794"/>
      <c r="AC551" s="794"/>
      <c r="AD551" s="794"/>
      <c r="AE551"/>
    </row>
    <row r="552" spans="1:46" ht="15" customHeight="1">
      <c r="A552" s="211"/>
      <c r="B552" s="795" t="str">
        <f>IF(AH545&gt;0,"Alerta: debido a que cuenta con registros NS, debe proporcionar una justificación en el area de comentarios al final de la pregunta","")</f>
        <v/>
      </c>
      <c r="C552" s="795"/>
      <c r="D552" s="795"/>
      <c r="E552" s="795"/>
      <c r="F552" s="795"/>
      <c r="G552" s="795"/>
      <c r="H552" s="795"/>
      <c r="I552" s="795"/>
      <c r="J552" s="795"/>
      <c r="K552" s="795"/>
      <c r="L552" s="795"/>
      <c r="M552" s="795"/>
      <c r="N552" s="795"/>
      <c r="O552" s="795"/>
      <c r="P552" s="795"/>
      <c r="Q552" s="795"/>
      <c r="R552" s="795"/>
      <c r="S552" s="795"/>
      <c r="T552" s="795"/>
      <c r="U552" s="795"/>
      <c r="V552" s="795"/>
      <c r="W552" s="795"/>
      <c r="X552" s="795"/>
      <c r="Y552" s="795"/>
      <c r="Z552" s="795"/>
      <c r="AA552" s="795"/>
      <c r="AB552" s="795"/>
      <c r="AC552" s="795"/>
      <c r="AD552" s="795"/>
      <c r="AE552"/>
    </row>
    <row r="553" spans="1:46" ht="15" customHeight="1">
      <c r="A553" s="211"/>
      <c r="B553" s="1003" t="str">
        <f>IF(AJ545&gt;0,"Favor de revisar la suma y consistencia de totales y/o subtotales por filas (numéricos y NS)","")</f>
        <v/>
      </c>
      <c r="C553" s="1003"/>
      <c r="D553" s="1003"/>
      <c r="E553" s="1003"/>
      <c r="F553" s="1003"/>
      <c r="G553" s="1003"/>
      <c r="H553" s="1003"/>
      <c r="I553" s="1003"/>
      <c r="J553" s="1003"/>
      <c r="K553" s="1003"/>
      <c r="L553" s="1003"/>
      <c r="M553" s="1003"/>
      <c r="N553" s="1003"/>
      <c r="O553" s="1003"/>
      <c r="P553" s="1003"/>
      <c r="Q553" s="1003"/>
      <c r="R553" s="1003"/>
      <c r="S553" s="1003"/>
      <c r="T553" s="1003"/>
      <c r="U553" s="1003"/>
      <c r="V553" s="1003"/>
      <c r="W553" s="1003"/>
      <c r="X553" s="1003"/>
      <c r="Y553" s="1003"/>
      <c r="Z553" s="1003"/>
      <c r="AA553" s="1003"/>
      <c r="AB553" s="1003"/>
      <c r="AC553" s="1003"/>
      <c r="AD553" s="1003"/>
      <c r="AE553"/>
    </row>
    <row r="554" spans="1:46" ht="15" customHeight="1">
      <c r="A554" s="211"/>
      <c r="B554" s="794" t="str">
        <f>IF(AP520&gt;0,"Favor de revisar la instrucción 3 y verifique que se cumplan con los criterios establecidos","")</f>
        <v/>
      </c>
      <c r="C554" s="794"/>
      <c r="D554" s="794"/>
      <c r="E554" s="794"/>
      <c r="F554" s="794"/>
      <c r="G554" s="794"/>
      <c r="H554" s="794"/>
      <c r="I554" s="794"/>
      <c r="J554" s="794"/>
      <c r="K554" s="794"/>
      <c r="L554" s="794"/>
      <c r="M554" s="794"/>
      <c r="N554" s="794"/>
      <c r="O554" s="794"/>
      <c r="P554" s="794"/>
      <c r="Q554" s="794"/>
      <c r="R554" s="794"/>
      <c r="S554" s="794"/>
      <c r="T554" s="794"/>
      <c r="U554" s="794"/>
      <c r="V554" s="794"/>
      <c r="W554" s="794"/>
      <c r="X554" s="794"/>
      <c r="Y554" s="794"/>
      <c r="Z554" s="794"/>
      <c r="AA554" s="794"/>
      <c r="AB554" s="794"/>
      <c r="AC554" s="794"/>
      <c r="AD554" s="794"/>
      <c r="AE554" s="794"/>
    </row>
    <row r="555" spans="1:46" ht="15" customHeight="1">
      <c r="A555" s="211"/>
      <c r="B555" s="795" t="str">
        <f>IF(AT545&gt;0,"Alerta: debe de proporcionar una justificación de acuerdo a lo establecido en la instrucción 4","")</f>
        <v/>
      </c>
      <c r="C555" s="795"/>
      <c r="D555" s="795"/>
      <c r="E555" s="795"/>
      <c r="F555" s="795"/>
      <c r="G555" s="795"/>
      <c r="H555" s="795"/>
      <c r="I555" s="795"/>
      <c r="J555" s="795"/>
      <c r="K555" s="795"/>
      <c r="L555" s="795"/>
      <c r="M555" s="795"/>
      <c r="N555" s="795"/>
      <c r="O555" s="795"/>
      <c r="P555" s="795"/>
      <c r="Q555" s="795"/>
      <c r="R555" s="795"/>
      <c r="S555" s="795"/>
      <c r="T555" s="795"/>
      <c r="U555" s="795"/>
      <c r="V555" s="795"/>
      <c r="W555" s="795"/>
      <c r="X555" s="795"/>
      <c r="Y555" s="795"/>
      <c r="Z555" s="795"/>
      <c r="AA555" s="795"/>
      <c r="AB555" s="795"/>
      <c r="AC555" s="795"/>
      <c r="AD555" s="795"/>
      <c r="AE555"/>
    </row>
    <row r="556" spans="1:46" ht="15" customHeight="1" thickBot="1">
      <c r="A556" s="211"/>
      <c r="B556" s="57"/>
      <c r="C556" s="57"/>
      <c r="D556" s="57"/>
      <c r="E556" s="57"/>
      <c r="F556" s="57"/>
      <c r="G556" s="57"/>
      <c r="H556" s="57"/>
      <c r="I556" s="57"/>
      <c r="J556" s="57"/>
      <c r="K556" s="57"/>
      <c r="L556" s="57"/>
      <c r="M556" s="57"/>
      <c r="N556" s="57"/>
      <c r="O556" s="57"/>
      <c r="P556" s="57"/>
      <c r="Q556" s="57"/>
      <c r="R556" s="57"/>
      <c r="S556" s="57"/>
      <c r="T556" s="57"/>
      <c r="U556" s="57"/>
      <c r="V556" s="57"/>
      <c r="W556" s="57"/>
      <c r="X556" s="57"/>
      <c r="Y556" s="57"/>
      <c r="Z556" s="57"/>
      <c r="AA556" s="57"/>
      <c r="AB556" s="57"/>
      <c r="AC556" s="57"/>
      <c r="AD556" s="57"/>
      <c r="AE556"/>
    </row>
    <row r="557" spans="1:46" customFormat="1" ht="15" customHeight="1" thickBot="1">
      <c r="A557" s="19" t="s">
        <v>2563</v>
      </c>
      <c r="B557" s="1182" t="s">
        <v>6863</v>
      </c>
      <c r="C557" s="1183"/>
      <c r="D557" s="1183"/>
      <c r="E557" s="1183"/>
      <c r="F557" s="1183"/>
      <c r="G557" s="1183"/>
      <c r="H557" s="1183"/>
      <c r="I557" s="1183"/>
      <c r="J557" s="1183"/>
      <c r="K557" s="1183"/>
      <c r="L557" s="1183"/>
      <c r="M557" s="1183"/>
      <c r="N557" s="1183"/>
      <c r="O557" s="1183"/>
      <c r="P557" s="1183"/>
      <c r="Q557" s="1183"/>
      <c r="R557" s="1183"/>
      <c r="S557" s="1183"/>
      <c r="T557" s="1183"/>
      <c r="U557" s="1183"/>
      <c r="V557" s="1183"/>
      <c r="W557" s="1183"/>
      <c r="X557" s="1183"/>
      <c r="Y557" s="1183"/>
      <c r="Z557" s="1183"/>
      <c r="AA557" s="1183"/>
      <c r="AB557" s="1183"/>
      <c r="AC557" s="1183"/>
      <c r="AD557" s="1184"/>
      <c r="AE557" s="3"/>
    </row>
    <row r="558" spans="1:46" ht="15" customHeight="1"/>
    <row r="559" spans="1:46" ht="48" customHeight="1">
      <c r="A559" s="108" t="s">
        <v>6864</v>
      </c>
      <c r="B559" s="829" t="s">
        <v>6865</v>
      </c>
      <c r="C559" s="829"/>
      <c r="D559" s="829"/>
      <c r="E559" s="829"/>
      <c r="F559" s="829"/>
      <c r="G559" s="829"/>
      <c r="H559" s="829"/>
      <c r="I559" s="829"/>
      <c r="J559" s="829"/>
      <c r="K559" s="829"/>
      <c r="L559" s="829"/>
      <c r="M559" s="829"/>
      <c r="N559" s="829"/>
      <c r="O559" s="829"/>
      <c r="P559" s="829"/>
      <c r="Q559" s="829"/>
      <c r="R559" s="829"/>
      <c r="S559" s="829"/>
      <c r="T559" s="829"/>
      <c r="U559" s="829"/>
      <c r="V559" s="829"/>
      <c r="W559" s="829"/>
      <c r="X559" s="829"/>
      <c r="Y559" s="829"/>
      <c r="Z559" s="829"/>
      <c r="AA559" s="829"/>
      <c r="AB559" s="829"/>
      <c r="AC559" s="829"/>
      <c r="AD559" s="829"/>
    </row>
    <row r="560" spans="1:46" ht="36" customHeight="1">
      <c r="B560" s="54"/>
      <c r="C560" s="830" t="s">
        <v>6866</v>
      </c>
      <c r="D560" s="830"/>
      <c r="E560" s="830"/>
      <c r="F560" s="830"/>
      <c r="G560" s="830"/>
      <c r="H560" s="830"/>
      <c r="I560" s="830"/>
      <c r="J560" s="830"/>
      <c r="K560" s="830"/>
      <c r="L560" s="830"/>
      <c r="M560" s="830"/>
      <c r="N560" s="830"/>
      <c r="O560" s="830"/>
      <c r="P560" s="830"/>
      <c r="Q560" s="830"/>
      <c r="R560" s="830"/>
      <c r="S560" s="830"/>
      <c r="T560" s="830"/>
      <c r="U560" s="830"/>
      <c r="V560" s="830"/>
      <c r="W560" s="830"/>
      <c r="X560" s="830"/>
      <c r="Y560" s="830"/>
      <c r="Z560" s="830"/>
      <c r="AA560" s="830"/>
      <c r="AB560" s="830"/>
      <c r="AC560" s="830"/>
      <c r="AD560" s="830"/>
    </row>
    <row r="561" spans="1:39" ht="15" customHeight="1">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c r="AA561" s="38"/>
      <c r="AB561" s="38"/>
      <c r="AC561" s="38"/>
      <c r="AD561" s="38"/>
      <c r="AG561"/>
      <c r="AH561"/>
      <c r="AI561"/>
      <c r="AJ561"/>
      <c r="AK561" s="1176" t="s">
        <v>6540</v>
      </c>
      <c r="AL561" s="1177" t="s">
        <v>6867</v>
      </c>
      <c r="AM561"/>
    </row>
    <row r="562" spans="1:39" ht="60" customHeight="1">
      <c r="B562" s="38"/>
      <c r="C562" s="732" t="s">
        <v>6868</v>
      </c>
      <c r="D562" s="732"/>
      <c r="E562" s="732"/>
      <c r="F562" s="732"/>
      <c r="G562" s="732"/>
      <c r="H562" s="732"/>
      <c r="I562" s="732"/>
      <c r="J562" s="732"/>
      <c r="K562" s="732"/>
      <c r="L562" s="732"/>
      <c r="M562" s="732" t="s">
        <v>6869</v>
      </c>
      <c r="N562" s="732"/>
      <c r="O562" s="732"/>
      <c r="P562" s="732"/>
      <c r="Q562" s="732"/>
      <c r="R562" s="732"/>
      <c r="S562" s="732"/>
      <c r="T562" s="732"/>
      <c r="U562" s="732"/>
      <c r="V562" s="732"/>
      <c r="W562" s="732"/>
      <c r="X562" s="732"/>
      <c r="Y562" s="732"/>
      <c r="Z562" s="732"/>
      <c r="AA562" s="732"/>
      <c r="AB562" s="732"/>
      <c r="AC562" s="732"/>
      <c r="AD562" s="732"/>
      <c r="AG562"/>
      <c r="AH562"/>
      <c r="AI562"/>
      <c r="AJ562"/>
      <c r="AK562" s="1176"/>
      <c r="AL562" s="1177"/>
      <c r="AM562" s="1178" t="s">
        <v>3478</v>
      </c>
    </row>
    <row r="563" spans="1:39" ht="15" customHeight="1">
      <c r="B563" s="38"/>
      <c r="C563" s="732"/>
      <c r="D563" s="732"/>
      <c r="E563" s="732"/>
      <c r="F563" s="732"/>
      <c r="G563" s="732"/>
      <c r="H563" s="732"/>
      <c r="I563" s="732"/>
      <c r="J563" s="732"/>
      <c r="K563" s="732"/>
      <c r="L563" s="732"/>
      <c r="M563" s="732" t="s">
        <v>2628</v>
      </c>
      <c r="N563" s="732"/>
      <c r="O563" s="732"/>
      <c r="P563" s="732"/>
      <c r="Q563" s="732"/>
      <c r="R563" s="732"/>
      <c r="S563" s="736" t="s">
        <v>2629</v>
      </c>
      <c r="T563" s="736"/>
      <c r="U563" s="736"/>
      <c r="V563" s="736"/>
      <c r="W563" s="736"/>
      <c r="X563" s="736"/>
      <c r="Y563" s="736" t="s">
        <v>2630</v>
      </c>
      <c r="Z563" s="736"/>
      <c r="AA563" s="736"/>
      <c r="AB563" s="736"/>
      <c r="AC563" s="736"/>
      <c r="AD563" s="736"/>
      <c r="AG563" s="354" t="s">
        <v>2586</v>
      </c>
      <c r="AH563" s="282" t="s">
        <v>2590</v>
      </c>
      <c r="AI563" s="351" t="s">
        <v>3163</v>
      </c>
      <c r="AJ563" s="352" t="s">
        <v>3164</v>
      </c>
      <c r="AK563" s="1176"/>
      <c r="AL563" s="1177"/>
      <c r="AM563" s="1178"/>
    </row>
    <row r="564" spans="1:39" ht="15" customHeight="1">
      <c r="B564" s="38"/>
      <c r="C564" s="749"/>
      <c r="D564" s="749"/>
      <c r="E564" s="749"/>
      <c r="F564" s="749"/>
      <c r="G564" s="749"/>
      <c r="H564" s="749"/>
      <c r="I564" s="749"/>
      <c r="J564" s="749"/>
      <c r="K564" s="749"/>
      <c r="L564" s="749"/>
      <c r="M564" s="816"/>
      <c r="N564" s="738"/>
      <c r="O564" s="738"/>
      <c r="P564" s="738"/>
      <c r="Q564" s="738"/>
      <c r="R564" s="738"/>
      <c r="S564" s="816"/>
      <c r="T564" s="738"/>
      <c r="U564" s="738"/>
      <c r="V564" s="738"/>
      <c r="W564" s="738"/>
      <c r="X564" s="738"/>
      <c r="Y564" s="749"/>
      <c r="Z564" s="749"/>
      <c r="AA564" s="749"/>
      <c r="AB564" s="749"/>
      <c r="AC564" s="749"/>
      <c r="AD564" s="749"/>
      <c r="AG564" s="326">
        <f>IF(AND(OR($I$25="X",$T$25="X"),COUNTA(C564:AD564)=0),0,IF(AND($I$25="",$T$25="",$C$564&lt;&gt;"",$C$564&lt;&gt;1,COUNTA(M564:AD564)=0),0,IF(AND($I$25="",$T$25="",$C$564&lt;&gt;"",$C$564=1,COUNTA(M564:AD564)=3),0,IF(AND($C$564="",COUNTA(M564:AD564)=0),0,1))))</f>
        <v>0</v>
      </c>
      <c r="AH564" s="283">
        <f>COUNTIF(S564:AD564,"NS")</f>
        <v>0</v>
      </c>
      <c r="AI564" s="353">
        <f>SUM(S564:AD564)</f>
        <v>0</v>
      </c>
      <c r="AJ564" s="353">
        <f>IF(COUNTIF(M564:AD564,"NA")=3,0,IF(OR(AND(M564=0,AH564&gt;0),AND(M564="ns",AI564&gt;0),AND(M564="ns",AH564=0,AI564=0)),1,IF(OR(AND(M564&gt;0,AH564=2),AND(M564="ns",AH564=2),AND(M564="ns",AI564=0,AH564&gt;0),M564=AI564),0,1)))</f>
        <v>0</v>
      </c>
      <c r="AK564" s="342">
        <f>IF(AND(OR($T$25="X",$I$25="X"),COUNTA(C564:AD564)&gt;0),1,0)</f>
        <v>0</v>
      </c>
      <c r="AL564">
        <f>IF(AND($C$564&lt;&gt;"",$C$564&lt;&gt;1,COUNTA(M564:AD564)&gt;0),1,0)</f>
        <v>0</v>
      </c>
      <c r="AM564" s="253">
        <f>IF(AND($C$564&lt;&gt;"",$C$564=1,M564&lt;&gt;"",S564&lt;&gt;"",Y564&lt;&gt;"",SUM(M564:AD564)=0),1,0)</f>
        <v>0</v>
      </c>
    </row>
    <row r="565" spans="1:39" ht="15" customHeight="1">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c r="AA565" s="38"/>
      <c r="AB565" s="38"/>
      <c r="AC565" s="38"/>
      <c r="AD565" s="38"/>
    </row>
    <row r="566" spans="1:39" ht="24" customHeight="1">
      <c r="A566" s="230"/>
      <c r="B566" s="90"/>
      <c r="C566" s="764" t="s">
        <v>2611</v>
      </c>
      <c r="D566" s="764"/>
      <c r="E566" s="764"/>
      <c r="F566" s="764"/>
      <c r="G566" s="764"/>
      <c r="H566" s="764"/>
      <c r="I566" s="764"/>
      <c r="J566" s="764"/>
      <c r="K566" s="764"/>
      <c r="L566" s="764"/>
      <c r="M566" s="764"/>
      <c r="N566" s="764"/>
      <c r="O566" s="764"/>
      <c r="P566" s="764"/>
      <c r="Q566" s="764"/>
      <c r="R566" s="764"/>
      <c r="S566" s="764"/>
      <c r="T566" s="764"/>
      <c r="U566" s="764"/>
      <c r="V566" s="764"/>
      <c r="W566" s="764"/>
      <c r="X566" s="764"/>
      <c r="Y566" s="764"/>
      <c r="Z566" s="764"/>
      <c r="AA566" s="764"/>
      <c r="AB566" s="764"/>
      <c r="AC566" s="764"/>
      <c r="AD566" s="764"/>
    </row>
    <row r="567" spans="1:39" ht="60" customHeight="1">
      <c r="A567" s="230"/>
      <c r="B567" s="90"/>
      <c r="C567" s="1078"/>
      <c r="D567" s="1079"/>
      <c r="E567" s="1079"/>
      <c r="F567" s="1079"/>
      <c r="G567" s="1079"/>
      <c r="H567" s="1079"/>
      <c r="I567" s="1079"/>
      <c r="J567" s="1079"/>
      <c r="K567" s="1079"/>
      <c r="L567" s="1079"/>
      <c r="M567" s="1079"/>
      <c r="N567" s="1079"/>
      <c r="O567" s="1079"/>
      <c r="P567" s="1079"/>
      <c r="Q567" s="1079"/>
      <c r="R567" s="1079"/>
      <c r="S567" s="1079"/>
      <c r="T567" s="1079"/>
      <c r="U567" s="1079"/>
      <c r="V567" s="1079"/>
      <c r="W567" s="1079"/>
      <c r="X567" s="1079"/>
      <c r="Y567" s="1079"/>
      <c r="Z567" s="1079"/>
      <c r="AA567" s="1079"/>
      <c r="AB567" s="1079"/>
      <c r="AC567" s="1079"/>
      <c r="AD567" s="1080"/>
    </row>
    <row r="568" spans="1:39" ht="15" customHeight="1">
      <c r="A568" s="108"/>
      <c r="B568" s="794" t="str">
        <f>IF(AG564&gt;0,"Favor de ingresar toda la información requerida en la pregunta y/o verifique que no tenga información en celdas sombreadas","")</f>
        <v/>
      </c>
      <c r="C568" s="794"/>
      <c r="D568" s="794"/>
      <c r="E568" s="794"/>
      <c r="F568" s="794"/>
      <c r="G568" s="794"/>
      <c r="H568" s="794"/>
      <c r="I568" s="794"/>
      <c r="J568" s="794"/>
      <c r="K568" s="794"/>
      <c r="L568" s="794"/>
      <c r="M568" s="794"/>
      <c r="N568" s="794"/>
      <c r="O568" s="794"/>
      <c r="P568" s="794"/>
      <c r="Q568" s="794"/>
      <c r="R568" s="794"/>
      <c r="S568" s="794"/>
      <c r="T568" s="794"/>
      <c r="U568" s="794"/>
      <c r="V568" s="794"/>
      <c r="W568" s="794"/>
      <c r="X568" s="794"/>
      <c r="Y568" s="794"/>
      <c r="Z568" s="794"/>
      <c r="AA568" s="794"/>
      <c r="AB568" s="794"/>
      <c r="AC568" s="794"/>
      <c r="AD568" s="794"/>
      <c r="AE568"/>
    </row>
    <row r="569" spans="1:39" ht="15" customHeight="1">
      <c r="A569" s="108"/>
      <c r="B569" s="795" t="str">
        <f>IF(AH564&gt;0,"Alerta: debido a que cuenta con registros NS, debe proporcionar una justificación en el area de comentarios al final de la pregunta","")</f>
        <v/>
      </c>
      <c r="C569" s="795"/>
      <c r="D569" s="795"/>
      <c r="E569" s="795"/>
      <c r="F569" s="795"/>
      <c r="G569" s="795"/>
      <c r="H569" s="795"/>
      <c r="I569" s="795"/>
      <c r="J569" s="795"/>
      <c r="K569" s="795"/>
      <c r="L569" s="795"/>
      <c r="M569" s="795"/>
      <c r="N569" s="795"/>
      <c r="O569" s="795"/>
      <c r="P569" s="795"/>
      <c r="Q569" s="795"/>
      <c r="R569" s="795"/>
      <c r="S569" s="795"/>
      <c r="T569" s="795"/>
      <c r="U569" s="795"/>
      <c r="V569" s="795"/>
      <c r="W569" s="795"/>
      <c r="X569" s="795"/>
      <c r="Y569" s="795"/>
      <c r="Z569" s="795"/>
      <c r="AA569" s="795"/>
      <c r="AB569" s="795"/>
      <c r="AC569" s="795"/>
      <c r="AD569" s="795"/>
      <c r="AE569"/>
    </row>
    <row r="570" spans="1:39" ht="15" customHeight="1">
      <c r="A570" s="231"/>
      <c r="B570" s="1003" t="str">
        <f>IF(AJ564&gt;0,"Favor de revisar la suma y consistencia de totales y/o subtotales por filas (numéricos y NS)","")</f>
        <v/>
      </c>
      <c r="C570" s="1003"/>
      <c r="D570" s="1003"/>
      <c r="E570" s="1003"/>
      <c r="F570" s="1003"/>
      <c r="G570" s="1003"/>
      <c r="H570" s="1003"/>
      <c r="I570" s="1003"/>
      <c r="J570" s="1003"/>
      <c r="K570" s="1003"/>
      <c r="L570" s="1003"/>
      <c r="M570" s="1003"/>
      <c r="N570" s="1003"/>
      <c r="O570" s="1003"/>
      <c r="P570" s="1003"/>
      <c r="Q570" s="1003"/>
      <c r="R570" s="1003"/>
      <c r="S570" s="1003"/>
      <c r="T570" s="1003"/>
      <c r="U570" s="1003"/>
      <c r="V570" s="1003"/>
      <c r="W570" s="1003"/>
      <c r="X570" s="1003"/>
      <c r="Y570" s="1003"/>
      <c r="Z570" s="1003"/>
      <c r="AA570" s="1003"/>
      <c r="AB570" s="1003"/>
      <c r="AC570" s="1003"/>
      <c r="AD570" s="1003"/>
      <c r="AE570"/>
    </row>
    <row r="571" spans="1:39" ht="15" customHeight="1">
      <c r="A571" s="108"/>
      <c r="B571" s="794" t="str">
        <f>IF(AM564&gt;0,"No puede ingresar cero en la col. Personas egresadas debido a que registró el código 1 en la col. ¿Contaba con algún registro...?","")</f>
        <v/>
      </c>
      <c r="C571" s="794"/>
      <c r="D571" s="794"/>
      <c r="E571" s="794"/>
      <c r="F571" s="794"/>
      <c r="G571" s="794"/>
      <c r="H571" s="794"/>
      <c r="I571" s="794"/>
      <c r="J571" s="794"/>
      <c r="K571" s="794"/>
      <c r="L571" s="794"/>
      <c r="M571" s="794"/>
      <c r="N571" s="794"/>
      <c r="O571" s="794"/>
      <c r="P571" s="794"/>
      <c r="Q571" s="794"/>
      <c r="R571" s="794"/>
      <c r="S571" s="794"/>
      <c r="T571" s="794"/>
      <c r="U571" s="794"/>
      <c r="V571" s="794"/>
      <c r="W571" s="794"/>
      <c r="X571" s="794"/>
      <c r="Y571" s="794"/>
      <c r="Z571" s="794"/>
      <c r="AA571" s="794"/>
      <c r="AB571" s="794"/>
      <c r="AC571" s="794"/>
      <c r="AD571" s="794"/>
      <c r="AE571" s="794"/>
    </row>
    <row r="572" spans="1:39" ht="15" customHeight="1">
      <c r="A572" s="10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c r="AA572" s="38"/>
      <c r="AB572" s="38"/>
      <c r="AC572" s="38"/>
      <c r="AD572" s="38"/>
      <c r="AE572"/>
    </row>
    <row r="573" spans="1:39" ht="15" customHeight="1">
      <c r="A573" s="108"/>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c r="AA573" s="38"/>
      <c r="AB573" s="38"/>
      <c r="AC573" s="38"/>
      <c r="AD573" s="38"/>
      <c r="AE573"/>
    </row>
    <row r="574" spans="1:39" ht="24" customHeight="1">
      <c r="A574" s="49" t="s">
        <v>6870</v>
      </c>
      <c r="B574" s="829" t="s">
        <v>6871</v>
      </c>
      <c r="C574" s="829"/>
      <c r="D574" s="829"/>
      <c r="E574" s="829"/>
      <c r="F574" s="829"/>
      <c r="G574" s="829"/>
      <c r="H574" s="829"/>
      <c r="I574" s="829"/>
      <c r="J574" s="829"/>
      <c r="K574" s="829"/>
      <c r="L574" s="829"/>
      <c r="M574" s="829"/>
      <c r="N574" s="829"/>
      <c r="O574" s="829"/>
      <c r="P574" s="829"/>
      <c r="Q574" s="829"/>
      <c r="R574" s="829"/>
      <c r="S574" s="829"/>
      <c r="T574" s="829"/>
      <c r="U574" s="829"/>
      <c r="V574" s="829"/>
      <c r="W574" s="829"/>
      <c r="X574" s="829"/>
      <c r="Y574" s="829"/>
      <c r="Z574" s="829"/>
      <c r="AA574" s="829"/>
      <c r="AB574" s="829"/>
      <c r="AC574" s="829"/>
      <c r="AD574" s="829"/>
    </row>
    <row r="575" spans="1:39" ht="36" customHeight="1">
      <c r="A575" s="210"/>
      <c r="B575" s="38"/>
      <c r="C575" s="830" t="s">
        <v>6872</v>
      </c>
      <c r="D575" s="830"/>
      <c r="E575" s="830"/>
      <c r="F575" s="830"/>
      <c r="G575" s="830"/>
      <c r="H575" s="830"/>
      <c r="I575" s="830"/>
      <c r="J575" s="830"/>
      <c r="K575" s="830"/>
      <c r="L575" s="830"/>
      <c r="M575" s="830"/>
      <c r="N575" s="830"/>
      <c r="O575" s="830"/>
      <c r="P575" s="830"/>
      <c r="Q575" s="830"/>
      <c r="R575" s="830"/>
      <c r="S575" s="830"/>
      <c r="T575" s="830"/>
      <c r="U575" s="830"/>
      <c r="V575" s="830"/>
      <c r="W575" s="830"/>
      <c r="X575" s="830"/>
      <c r="Y575" s="830"/>
      <c r="Z575" s="830"/>
      <c r="AA575" s="830"/>
      <c r="AB575" s="830"/>
      <c r="AC575" s="830"/>
      <c r="AD575" s="830"/>
    </row>
    <row r="576" spans="1:39" ht="36" customHeight="1">
      <c r="A576" s="49"/>
      <c r="B576" s="38"/>
      <c r="C576" s="754" t="s">
        <v>6873</v>
      </c>
      <c r="D576" s="754"/>
      <c r="E576" s="754"/>
      <c r="F576" s="754"/>
      <c r="G576" s="754"/>
      <c r="H576" s="754"/>
      <c r="I576" s="754"/>
      <c r="J576" s="754"/>
      <c r="K576" s="754"/>
      <c r="L576" s="754"/>
      <c r="M576" s="754"/>
      <c r="N576" s="754"/>
      <c r="O576" s="754"/>
      <c r="P576" s="754"/>
      <c r="Q576" s="754"/>
      <c r="R576" s="754"/>
      <c r="S576" s="754"/>
      <c r="T576" s="754"/>
      <c r="U576" s="754"/>
      <c r="V576" s="754"/>
      <c r="W576" s="754"/>
      <c r="X576" s="754"/>
      <c r="Y576" s="754"/>
      <c r="Z576" s="754"/>
      <c r="AA576" s="754"/>
      <c r="AB576" s="754"/>
      <c r="AC576" s="754"/>
      <c r="AD576" s="754"/>
    </row>
    <row r="577" spans="1:46" ht="36" customHeight="1">
      <c r="A577" s="49"/>
      <c r="B577" s="38"/>
      <c r="C577" s="754" t="s">
        <v>6874</v>
      </c>
      <c r="D577" s="754"/>
      <c r="E577" s="754"/>
      <c r="F577" s="754"/>
      <c r="G577" s="754"/>
      <c r="H577" s="754"/>
      <c r="I577" s="754"/>
      <c r="J577" s="754"/>
      <c r="K577" s="754"/>
      <c r="L577" s="754"/>
      <c r="M577" s="754"/>
      <c r="N577" s="754"/>
      <c r="O577" s="754"/>
      <c r="P577" s="754"/>
      <c r="Q577" s="754"/>
      <c r="R577" s="754"/>
      <c r="S577" s="754"/>
      <c r="T577" s="754"/>
      <c r="U577" s="754"/>
      <c r="V577" s="754"/>
      <c r="W577" s="754"/>
      <c r="X577" s="754"/>
      <c r="Y577" s="754"/>
      <c r="Z577" s="754"/>
      <c r="AA577" s="754"/>
      <c r="AB577" s="754"/>
      <c r="AC577" s="754"/>
      <c r="AD577" s="754"/>
    </row>
    <row r="578" spans="1:46" ht="24" customHeight="1">
      <c r="A578" s="110"/>
      <c r="B578" s="57"/>
      <c r="C578" s="754" t="s">
        <v>6875</v>
      </c>
      <c r="D578" s="754"/>
      <c r="E578" s="754"/>
      <c r="F578" s="754"/>
      <c r="G578" s="754"/>
      <c r="H578" s="754"/>
      <c r="I578" s="754"/>
      <c r="J578" s="754"/>
      <c r="K578" s="754"/>
      <c r="L578" s="754"/>
      <c r="M578" s="754"/>
      <c r="N578" s="754"/>
      <c r="O578" s="754"/>
      <c r="P578" s="754"/>
      <c r="Q578" s="754"/>
      <c r="R578" s="754"/>
      <c r="S578" s="754"/>
      <c r="T578" s="754"/>
      <c r="U578" s="754"/>
      <c r="V578" s="754"/>
      <c r="W578" s="754"/>
      <c r="X578" s="754"/>
      <c r="Y578" s="754"/>
      <c r="Z578" s="754"/>
      <c r="AA578" s="754"/>
      <c r="AB578" s="754"/>
      <c r="AC578" s="754"/>
      <c r="AD578" s="754"/>
    </row>
    <row r="579" spans="1:46" ht="15" customHeight="1">
      <c r="A579" s="210"/>
      <c r="B579" s="38"/>
      <c r="C579" s="75"/>
      <c r="D579" s="75"/>
      <c r="E579" s="75"/>
      <c r="F579" s="75"/>
      <c r="G579" s="75"/>
      <c r="H579" s="75"/>
      <c r="I579" s="75"/>
      <c r="J579" s="75"/>
      <c r="K579" s="75"/>
      <c r="L579" s="75"/>
      <c r="M579" s="75"/>
      <c r="N579" s="75"/>
      <c r="O579" s="75"/>
      <c r="P579" s="75"/>
      <c r="Q579" s="75"/>
      <c r="R579" s="75"/>
      <c r="S579" s="75"/>
      <c r="T579" s="75"/>
      <c r="U579" s="75"/>
      <c r="V579" s="75"/>
      <c r="W579" s="75"/>
      <c r="X579" s="75"/>
      <c r="Y579" s="75"/>
      <c r="Z579" s="75"/>
      <c r="AA579" s="75"/>
      <c r="AB579" s="75"/>
      <c r="AC579" s="75"/>
      <c r="AD579" s="75"/>
      <c r="AG579"/>
      <c r="AH579"/>
      <c r="AI579"/>
      <c r="AJ579"/>
      <c r="AK579" s="1176" t="s">
        <v>6540</v>
      </c>
      <c r="AL579" s="1177" t="s">
        <v>6867</v>
      </c>
      <c r="AM579" s="1179"/>
      <c r="AN579"/>
      <c r="AO579"/>
      <c r="AP579"/>
      <c r="AQ579" s="1173" t="s">
        <v>6876</v>
      </c>
      <c r="AR579" s="1174" t="s">
        <v>6877</v>
      </c>
      <c r="AS579" s="1174"/>
      <c r="AT579" s="1174"/>
    </row>
    <row r="580" spans="1:46" ht="24" customHeight="1">
      <c r="A580" s="210"/>
      <c r="B580" s="38"/>
      <c r="C580" s="732" t="s">
        <v>6878</v>
      </c>
      <c r="D580" s="880"/>
      <c r="E580" s="880"/>
      <c r="F580" s="880"/>
      <c r="G580" s="880"/>
      <c r="H580" s="880"/>
      <c r="I580" s="880"/>
      <c r="J580" s="880"/>
      <c r="K580" s="880"/>
      <c r="L580" s="880"/>
      <c r="M580" s="732" t="s">
        <v>6869</v>
      </c>
      <c r="N580" s="732"/>
      <c r="O580" s="732"/>
      <c r="P580" s="732"/>
      <c r="Q580" s="732"/>
      <c r="R580" s="732"/>
      <c r="S580" s="732"/>
      <c r="T580" s="732"/>
      <c r="U580" s="732"/>
      <c r="V580" s="732"/>
      <c r="W580" s="732"/>
      <c r="X580" s="732"/>
      <c r="Y580" s="732"/>
      <c r="Z580" s="732"/>
      <c r="AA580" s="732"/>
      <c r="AB580" s="732"/>
      <c r="AC580" s="732"/>
      <c r="AD580" s="732"/>
      <c r="AG580"/>
      <c r="AH580"/>
      <c r="AI580"/>
      <c r="AJ580"/>
      <c r="AK580" s="1176"/>
      <c r="AL580" s="1177"/>
      <c r="AM580" s="1179"/>
      <c r="AN580" s="1172" t="s">
        <v>6819</v>
      </c>
      <c r="AO580" s="1172"/>
      <c r="AP580" s="1172"/>
      <c r="AQ580" s="1173"/>
      <c r="AR580" s="1174"/>
      <c r="AS580" s="1174"/>
      <c r="AT580" s="1174"/>
    </row>
    <row r="581" spans="1:46" ht="15">
      <c r="A581" s="210"/>
      <c r="B581" s="38"/>
      <c r="C581" s="880"/>
      <c r="D581" s="880"/>
      <c r="E581" s="880"/>
      <c r="F581" s="880"/>
      <c r="G581" s="880"/>
      <c r="H581" s="880"/>
      <c r="I581" s="880"/>
      <c r="J581" s="880"/>
      <c r="K581" s="880"/>
      <c r="L581" s="880"/>
      <c r="M581" s="987" t="s">
        <v>2628</v>
      </c>
      <c r="N581" s="988"/>
      <c r="O581" s="988"/>
      <c r="P581" s="988"/>
      <c r="Q581" s="988"/>
      <c r="R581" s="988"/>
      <c r="S581" s="989" t="s">
        <v>2629</v>
      </c>
      <c r="T581" s="990"/>
      <c r="U581" s="990"/>
      <c r="V581" s="990"/>
      <c r="W581" s="990"/>
      <c r="X581" s="990"/>
      <c r="Y581" s="989" t="s">
        <v>2630</v>
      </c>
      <c r="Z581" s="990"/>
      <c r="AA581" s="990"/>
      <c r="AB581" s="990"/>
      <c r="AC581" s="990"/>
      <c r="AD581" s="990"/>
      <c r="AG581" s="354" t="s">
        <v>2586</v>
      </c>
      <c r="AH581" s="282" t="s">
        <v>2590</v>
      </c>
      <c r="AI581" s="351" t="s">
        <v>3163</v>
      </c>
      <c r="AJ581" s="352" t="s">
        <v>3164</v>
      </c>
      <c r="AK581" s="1176"/>
      <c r="AL581" s="1177"/>
      <c r="AM581" s="1179"/>
      <c r="AN581" s="367" t="s">
        <v>2795</v>
      </c>
      <c r="AO581" s="590" t="s">
        <v>3177</v>
      </c>
      <c r="AP581" s="467" t="s">
        <v>3178</v>
      </c>
      <c r="AQ581" s="1173"/>
      <c r="AR581" s="591" t="s">
        <v>2795</v>
      </c>
      <c r="AS581" s="360" t="s">
        <v>3177</v>
      </c>
      <c r="AT581" s="592" t="s">
        <v>3178</v>
      </c>
    </row>
    <row r="582" spans="1:46" ht="15" customHeight="1">
      <c r="A582" s="210"/>
      <c r="B582" s="38"/>
      <c r="C582" s="44" t="s">
        <v>2516</v>
      </c>
      <c r="D582" s="796" t="s">
        <v>5873</v>
      </c>
      <c r="E582" s="796"/>
      <c r="F582" s="796"/>
      <c r="G582" s="796"/>
      <c r="H582" s="796"/>
      <c r="I582" s="796"/>
      <c r="J582" s="796"/>
      <c r="K582" s="796"/>
      <c r="L582" s="796"/>
      <c r="M582" s="749"/>
      <c r="N582" s="749"/>
      <c r="O582" s="749"/>
      <c r="P582" s="749"/>
      <c r="Q582" s="749"/>
      <c r="R582" s="749"/>
      <c r="S582" s="749"/>
      <c r="T582" s="749"/>
      <c r="U582" s="749"/>
      <c r="V582" s="749"/>
      <c r="W582" s="749"/>
      <c r="X582" s="749"/>
      <c r="Y582" s="749"/>
      <c r="Z582" s="749"/>
      <c r="AA582" s="749"/>
      <c r="AB582" s="749"/>
      <c r="AC582" s="749"/>
      <c r="AD582" s="749"/>
      <c r="AG582" s="326">
        <f>IF(AND(OR($I$25="X",$T$25="X"),COUNTA(M582:AD597)=0),0,IF(AND($I$25="",$T$25="",$C$564&lt;&gt;"",$C$564&lt;&gt;1,COUNTA(M582:AD597)=0),0,IF(AND($I$25="",$T$25="",$C$564&lt;&gt;"",$C$564=1,COUNTA(M582:AD597)=48),0,IF(AND($C$564="",COUNTA(M582:AD597)=0),0,1))))</f>
        <v>0</v>
      </c>
      <c r="AH582" s="283">
        <f t="shared" ref="AH582:AH597" si="68">COUNTIF(S582:AD582,"NS")</f>
        <v>0</v>
      </c>
      <c r="AI582" s="353">
        <f t="shared" ref="AI582:AI597" si="69">SUM(S582:AD582)</f>
        <v>0</v>
      </c>
      <c r="AJ582" s="353">
        <f t="shared" ref="AJ582:AJ597" si="70">IF(COUNTIF(M582:AD582,"NA")=3,0,IF(OR(AND(M582=0,AH582&gt;0),AND(M582="ns",AI582&gt;0),AND(M582="ns",AH582=0,AI582=0)),1,IF(OR(AND(M582&gt;0,AH582=2),AND(M582="ns",AH582=2),AND(M582="ns",AI582=0,AH582&gt;0),M582=AI582),0,1)))</f>
        <v>0</v>
      </c>
      <c r="AK582" s="342">
        <f>IF(AND(OR($T$25="X",$I$25="X"),COUNTA(M582:AD597)&gt;0),1,0)</f>
        <v>0</v>
      </c>
      <c r="AL582">
        <f>IF(AND($C$564&lt;&gt;"",$C$564&lt;&gt;1,COUNTA(M582:AD597)&gt;0),1,0)</f>
        <v>0</v>
      </c>
      <c r="AM582"/>
      <c r="AN582">
        <f>IF(OR(M598="NS",$M$564="NS"),0,IF(AND(M598="NA",$M$564="NA"),0,IF(M598&gt;=$M$564,0,1)))</f>
        <v>0</v>
      </c>
      <c r="AO582">
        <f>IF(OR(S598="NS",$S$564="NS"),0,IF(AND(S598="NA",$S$564="NA"),0,IF(S598&gt;=$S$564,0,1)))</f>
        <v>0</v>
      </c>
      <c r="AP582">
        <f>IF(OR(Y598="NS",$Y$564="NS"),0,IF(AND(Y598="NA",$Y$564="NA"),0,IF(Y598&gt;=$Y$564,0,1)))</f>
        <v>0</v>
      </c>
      <c r="AQ582" s="593" t="s">
        <v>6879</v>
      </c>
      <c r="AR582">
        <f t="shared" ref="AR582:AR597" si="71">IF(OR(M582="NS",$M$564="NS"),0,IF(AND(M582="NA",$M$564="NA"),0,IF(M582&lt;=$M$564,0,1)))</f>
        <v>0</v>
      </c>
      <c r="AS582">
        <f t="shared" ref="AS582:AS597" si="72">IF(OR(S582="NS",$S$564="NS"),0,IF(AND(S582="NA",$S$564="NA"),0,IF(S582&lt;=$S$564,0,1)))</f>
        <v>0</v>
      </c>
      <c r="AT582">
        <f t="shared" ref="AT582:AT597" si="73">IF(OR(Y582="NS",$Y$564="NS"),0,IF(AND(Y582="NA",$Y$564="NA"),0,IF(Y582&lt;=$Y$564,0,1)))</f>
        <v>0</v>
      </c>
    </row>
    <row r="583" spans="1:46" ht="15" customHeight="1">
      <c r="A583" s="210"/>
      <c r="B583" s="38"/>
      <c r="C583" s="44" t="s">
        <v>2517</v>
      </c>
      <c r="D583" s="796" t="s">
        <v>5874</v>
      </c>
      <c r="E583" s="796"/>
      <c r="F583" s="796"/>
      <c r="G583" s="796"/>
      <c r="H583" s="796"/>
      <c r="I583" s="796"/>
      <c r="J583" s="796"/>
      <c r="K583" s="796"/>
      <c r="L583" s="796"/>
      <c r="M583" s="749"/>
      <c r="N583" s="749"/>
      <c r="O583" s="749"/>
      <c r="P583" s="749"/>
      <c r="Q583" s="749"/>
      <c r="R583" s="749"/>
      <c r="S583" s="749"/>
      <c r="T583" s="749"/>
      <c r="U583" s="749"/>
      <c r="V583" s="749"/>
      <c r="W583" s="749"/>
      <c r="X583" s="749"/>
      <c r="Y583" s="749"/>
      <c r="Z583" s="749"/>
      <c r="AA583" s="749"/>
      <c r="AB583" s="749"/>
      <c r="AC583" s="749"/>
      <c r="AD583" s="749"/>
      <c r="AG583" s="326"/>
      <c r="AH583" s="283">
        <f t="shared" si="68"/>
        <v>0</v>
      </c>
      <c r="AI583" s="353">
        <f t="shared" si="69"/>
        <v>0</v>
      </c>
      <c r="AJ583" s="353">
        <f t="shared" si="70"/>
        <v>0</v>
      </c>
      <c r="AK583"/>
      <c r="AL583"/>
      <c r="AM583"/>
      <c r="AN583"/>
      <c r="AO583"/>
      <c r="AP583" s="594">
        <f>SUM(AN582:AP582)</f>
        <v>0</v>
      </c>
      <c r="AQ583" s="595" t="s">
        <v>6880</v>
      </c>
      <c r="AR583">
        <f t="shared" si="71"/>
        <v>0</v>
      </c>
      <c r="AS583">
        <f t="shared" si="72"/>
        <v>0</v>
      </c>
      <c r="AT583">
        <f t="shared" si="73"/>
        <v>0</v>
      </c>
    </row>
    <row r="584" spans="1:46" ht="15" customHeight="1">
      <c r="A584" s="210"/>
      <c r="B584" s="38"/>
      <c r="C584" s="44" t="s">
        <v>2518</v>
      </c>
      <c r="D584" s="796" t="s">
        <v>5875</v>
      </c>
      <c r="E584" s="796"/>
      <c r="F584" s="796"/>
      <c r="G584" s="796"/>
      <c r="H584" s="796"/>
      <c r="I584" s="796"/>
      <c r="J584" s="796"/>
      <c r="K584" s="796"/>
      <c r="L584" s="796"/>
      <c r="M584" s="749"/>
      <c r="N584" s="749"/>
      <c r="O584" s="749"/>
      <c r="P584" s="749"/>
      <c r="Q584" s="749"/>
      <c r="R584" s="749"/>
      <c r="S584" s="749"/>
      <c r="T584" s="749"/>
      <c r="U584" s="749"/>
      <c r="V584" s="749"/>
      <c r="W584" s="749"/>
      <c r="X584" s="749"/>
      <c r="Y584" s="749"/>
      <c r="Z584" s="749"/>
      <c r="AA584" s="749"/>
      <c r="AB584" s="749"/>
      <c r="AC584" s="749"/>
      <c r="AD584" s="749"/>
      <c r="AH584" s="283">
        <f t="shared" si="68"/>
        <v>0</v>
      </c>
      <c r="AI584" s="353">
        <f t="shared" si="69"/>
        <v>0</v>
      </c>
      <c r="AJ584" s="353">
        <f t="shared" si="70"/>
        <v>0</v>
      </c>
      <c r="AK584" s="613" t="s">
        <v>6881</v>
      </c>
      <c r="AQ584" s="593" t="s">
        <v>5875</v>
      </c>
      <c r="AR584">
        <f t="shared" si="71"/>
        <v>0</v>
      </c>
      <c r="AS584">
        <f t="shared" si="72"/>
        <v>0</v>
      </c>
      <c r="AT584">
        <f t="shared" si="73"/>
        <v>0</v>
      </c>
    </row>
    <row r="585" spans="1:46" ht="15" customHeight="1">
      <c r="A585" s="210"/>
      <c r="B585" s="38"/>
      <c r="C585" s="44" t="s">
        <v>2519</v>
      </c>
      <c r="D585" s="796" t="s">
        <v>5876</v>
      </c>
      <c r="E585" s="796"/>
      <c r="F585" s="796"/>
      <c r="G585" s="796"/>
      <c r="H585" s="796"/>
      <c r="I585" s="796"/>
      <c r="J585" s="796"/>
      <c r="K585" s="796"/>
      <c r="L585" s="796"/>
      <c r="M585" s="749"/>
      <c r="N585" s="749"/>
      <c r="O585" s="749"/>
      <c r="P585" s="749"/>
      <c r="Q585" s="749"/>
      <c r="R585" s="749"/>
      <c r="S585" s="749"/>
      <c r="T585" s="749"/>
      <c r="U585" s="749"/>
      <c r="V585" s="749"/>
      <c r="W585" s="749"/>
      <c r="X585" s="749"/>
      <c r="Y585" s="749"/>
      <c r="Z585" s="749"/>
      <c r="AA585" s="749"/>
      <c r="AB585" s="749"/>
      <c r="AC585" s="749"/>
      <c r="AD585" s="749"/>
      <c r="AH585" s="283">
        <f t="shared" si="68"/>
        <v>0</v>
      </c>
      <c r="AI585" s="353">
        <f t="shared" si="69"/>
        <v>0</v>
      </c>
      <c r="AJ585" s="353">
        <f t="shared" si="70"/>
        <v>0</v>
      </c>
      <c r="AK585">
        <f>IF(SUM(M596:AD596)&gt;0,1,0)</f>
        <v>0</v>
      </c>
      <c r="AQ585" s="595" t="s">
        <v>5876</v>
      </c>
      <c r="AR585">
        <f t="shared" si="71"/>
        <v>0</v>
      </c>
      <c r="AS585">
        <f t="shared" si="72"/>
        <v>0</v>
      </c>
      <c r="AT585">
        <f t="shared" si="73"/>
        <v>0</v>
      </c>
    </row>
    <row r="586" spans="1:46" ht="15" customHeight="1">
      <c r="A586" s="210"/>
      <c r="B586" s="38"/>
      <c r="C586" s="44" t="s">
        <v>2520</v>
      </c>
      <c r="D586" s="796" t="s">
        <v>5877</v>
      </c>
      <c r="E586" s="796"/>
      <c r="F586" s="796"/>
      <c r="G586" s="796"/>
      <c r="H586" s="796"/>
      <c r="I586" s="796"/>
      <c r="J586" s="796"/>
      <c r="K586" s="796"/>
      <c r="L586" s="796"/>
      <c r="M586" s="749"/>
      <c r="N586" s="749"/>
      <c r="O586" s="749"/>
      <c r="P586" s="749"/>
      <c r="Q586" s="749"/>
      <c r="R586" s="749"/>
      <c r="S586" s="749"/>
      <c r="T586" s="749"/>
      <c r="U586" s="749"/>
      <c r="V586" s="749"/>
      <c r="W586" s="749"/>
      <c r="X586" s="749"/>
      <c r="Y586" s="749"/>
      <c r="Z586" s="749"/>
      <c r="AA586" s="749"/>
      <c r="AB586" s="749"/>
      <c r="AC586" s="749"/>
      <c r="AD586" s="749"/>
      <c r="AH586" s="283">
        <f t="shared" si="68"/>
        <v>0</v>
      </c>
      <c r="AI586" s="353">
        <f t="shared" si="69"/>
        <v>0</v>
      </c>
      <c r="AJ586" s="353">
        <f t="shared" si="70"/>
        <v>0</v>
      </c>
      <c r="AQ586" s="593" t="s">
        <v>6882</v>
      </c>
      <c r="AR586">
        <f t="shared" si="71"/>
        <v>0</v>
      </c>
      <c r="AS586">
        <f t="shared" si="72"/>
        <v>0</v>
      </c>
      <c r="AT586">
        <f t="shared" si="73"/>
        <v>0</v>
      </c>
    </row>
    <row r="587" spans="1:46" ht="15" customHeight="1">
      <c r="A587" s="210"/>
      <c r="B587" s="38"/>
      <c r="C587" s="44" t="s">
        <v>2521</v>
      </c>
      <c r="D587" s="796" t="s">
        <v>5878</v>
      </c>
      <c r="E587" s="796"/>
      <c r="F587" s="796"/>
      <c r="G587" s="796"/>
      <c r="H587" s="796"/>
      <c r="I587" s="796"/>
      <c r="J587" s="796"/>
      <c r="K587" s="796"/>
      <c r="L587" s="796"/>
      <c r="M587" s="749"/>
      <c r="N587" s="749"/>
      <c r="O587" s="749"/>
      <c r="P587" s="749"/>
      <c r="Q587" s="749"/>
      <c r="R587" s="749"/>
      <c r="S587" s="749"/>
      <c r="T587" s="749"/>
      <c r="U587" s="749"/>
      <c r="V587" s="749"/>
      <c r="W587" s="749"/>
      <c r="X587" s="749"/>
      <c r="Y587" s="749"/>
      <c r="Z587" s="749"/>
      <c r="AA587" s="749"/>
      <c r="AB587" s="749"/>
      <c r="AC587" s="749"/>
      <c r="AD587" s="749"/>
      <c r="AH587" s="283">
        <f t="shared" si="68"/>
        <v>0</v>
      </c>
      <c r="AI587" s="353">
        <f t="shared" si="69"/>
        <v>0</v>
      </c>
      <c r="AJ587" s="353">
        <f t="shared" si="70"/>
        <v>0</v>
      </c>
      <c r="AQ587" s="595" t="s">
        <v>6883</v>
      </c>
      <c r="AR587">
        <f t="shared" si="71"/>
        <v>0</v>
      </c>
      <c r="AS587">
        <f t="shared" si="72"/>
        <v>0</v>
      </c>
      <c r="AT587">
        <f t="shared" si="73"/>
        <v>0</v>
      </c>
    </row>
    <row r="588" spans="1:46" ht="24" customHeight="1">
      <c r="A588" s="210"/>
      <c r="B588" s="38"/>
      <c r="C588" s="44" t="s">
        <v>2522</v>
      </c>
      <c r="D588" s="796" t="s">
        <v>5879</v>
      </c>
      <c r="E588" s="796"/>
      <c r="F588" s="796"/>
      <c r="G588" s="796"/>
      <c r="H588" s="796"/>
      <c r="I588" s="796"/>
      <c r="J588" s="796"/>
      <c r="K588" s="796"/>
      <c r="L588" s="796"/>
      <c r="M588" s="749"/>
      <c r="N588" s="749"/>
      <c r="O588" s="749"/>
      <c r="P588" s="749"/>
      <c r="Q588" s="749"/>
      <c r="R588" s="749"/>
      <c r="S588" s="749"/>
      <c r="T588" s="749"/>
      <c r="U588" s="749"/>
      <c r="V588" s="749"/>
      <c r="W588" s="749"/>
      <c r="X588" s="749"/>
      <c r="Y588" s="749"/>
      <c r="Z588" s="749"/>
      <c r="AA588" s="749"/>
      <c r="AB588" s="749"/>
      <c r="AC588" s="749"/>
      <c r="AD588" s="749"/>
      <c r="AH588" s="283">
        <f t="shared" si="68"/>
        <v>0</v>
      </c>
      <c r="AI588" s="353">
        <f t="shared" si="69"/>
        <v>0</v>
      </c>
      <c r="AJ588" s="353">
        <f t="shared" si="70"/>
        <v>0</v>
      </c>
      <c r="AQ588" s="593" t="s">
        <v>6884</v>
      </c>
      <c r="AR588">
        <f t="shared" si="71"/>
        <v>0</v>
      </c>
      <c r="AS588">
        <f t="shared" si="72"/>
        <v>0</v>
      </c>
      <c r="AT588">
        <f t="shared" si="73"/>
        <v>0</v>
      </c>
    </row>
    <row r="589" spans="1:46" ht="24" customHeight="1">
      <c r="A589" s="210"/>
      <c r="B589" s="38"/>
      <c r="C589" s="44" t="s">
        <v>2523</v>
      </c>
      <c r="D589" s="796" t="s">
        <v>5880</v>
      </c>
      <c r="E589" s="796"/>
      <c r="F589" s="796"/>
      <c r="G589" s="796"/>
      <c r="H589" s="796"/>
      <c r="I589" s="796"/>
      <c r="J589" s="796"/>
      <c r="K589" s="796"/>
      <c r="L589" s="796"/>
      <c r="M589" s="749"/>
      <c r="N589" s="749"/>
      <c r="O589" s="749"/>
      <c r="P589" s="749"/>
      <c r="Q589" s="749"/>
      <c r="R589" s="749"/>
      <c r="S589" s="749"/>
      <c r="T589" s="749"/>
      <c r="U589" s="749"/>
      <c r="V589" s="749"/>
      <c r="W589" s="749"/>
      <c r="X589" s="749"/>
      <c r="Y589" s="749"/>
      <c r="Z589" s="749"/>
      <c r="AA589" s="749"/>
      <c r="AB589" s="749"/>
      <c r="AC589" s="749"/>
      <c r="AD589" s="749"/>
      <c r="AH589" s="283">
        <f t="shared" si="68"/>
        <v>0</v>
      </c>
      <c r="AI589" s="353">
        <f t="shared" si="69"/>
        <v>0</v>
      </c>
      <c r="AJ589" s="353">
        <f t="shared" si="70"/>
        <v>0</v>
      </c>
      <c r="AQ589" s="595" t="s">
        <v>6885</v>
      </c>
      <c r="AR589">
        <f t="shared" si="71"/>
        <v>0</v>
      </c>
      <c r="AS589">
        <f t="shared" si="72"/>
        <v>0</v>
      </c>
      <c r="AT589">
        <f t="shared" si="73"/>
        <v>0</v>
      </c>
    </row>
    <row r="590" spans="1:46" ht="15" customHeight="1">
      <c r="A590" s="210"/>
      <c r="B590" s="38"/>
      <c r="C590" s="44" t="s">
        <v>2524</v>
      </c>
      <c r="D590" s="796" t="s">
        <v>5881</v>
      </c>
      <c r="E590" s="796"/>
      <c r="F590" s="796"/>
      <c r="G590" s="796"/>
      <c r="H590" s="796"/>
      <c r="I590" s="796"/>
      <c r="J590" s="796"/>
      <c r="K590" s="796"/>
      <c r="L590" s="796"/>
      <c r="M590" s="749"/>
      <c r="N590" s="749"/>
      <c r="O590" s="749"/>
      <c r="P590" s="749"/>
      <c r="Q590" s="749"/>
      <c r="R590" s="749"/>
      <c r="S590" s="749"/>
      <c r="T590" s="749"/>
      <c r="U590" s="749"/>
      <c r="V590" s="749"/>
      <c r="W590" s="749"/>
      <c r="X590" s="749"/>
      <c r="Y590" s="749"/>
      <c r="Z590" s="749"/>
      <c r="AA590" s="749"/>
      <c r="AB590" s="749"/>
      <c r="AC590" s="749"/>
      <c r="AD590" s="749"/>
      <c r="AH590" s="283">
        <f t="shared" si="68"/>
        <v>0</v>
      </c>
      <c r="AI590" s="353">
        <f t="shared" si="69"/>
        <v>0</v>
      </c>
      <c r="AJ590" s="353">
        <f t="shared" si="70"/>
        <v>0</v>
      </c>
      <c r="AQ590" s="593" t="s">
        <v>5881</v>
      </c>
      <c r="AR590">
        <f t="shared" si="71"/>
        <v>0</v>
      </c>
      <c r="AS590">
        <f t="shared" si="72"/>
        <v>0</v>
      </c>
      <c r="AT590">
        <f t="shared" si="73"/>
        <v>0</v>
      </c>
    </row>
    <row r="591" spans="1:46" ht="24" customHeight="1">
      <c r="A591" s="210"/>
      <c r="B591" s="38"/>
      <c r="C591" s="44" t="s">
        <v>2525</v>
      </c>
      <c r="D591" s="796" t="s">
        <v>6886</v>
      </c>
      <c r="E591" s="796"/>
      <c r="F591" s="796"/>
      <c r="G591" s="796"/>
      <c r="H591" s="796"/>
      <c r="I591" s="796"/>
      <c r="J591" s="796"/>
      <c r="K591" s="796"/>
      <c r="L591" s="796"/>
      <c r="M591" s="749"/>
      <c r="N591" s="749"/>
      <c r="O591" s="749"/>
      <c r="P591" s="749"/>
      <c r="Q591" s="749"/>
      <c r="R591" s="749"/>
      <c r="S591" s="749"/>
      <c r="T591" s="749"/>
      <c r="U591" s="749"/>
      <c r="V591" s="749"/>
      <c r="W591" s="749"/>
      <c r="X591" s="749"/>
      <c r="Y591" s="749"/>
      <c r="Z591" s="749"/>
      <c r="AA591" s="749"/>
      <c r="AB591" s="749"/>
      <c r="AC591" s="749"/>
      <c r="AD591" s="749"/>
      <c r="AH591" s="283">
        <f t="shared" si="68"/>
        <v>0</v>
      </c>
      <c r="AI591" s="353">
        <f t="shared" si="69"/>
        <v>0</v>
      </c>
      <c r="AJ591" s="353">
        <f t="shared" si="70"/>
        <v>0</v>
      </c>
      <c r="AQ591" s="595" t="s">
        <v>6887</v>
      </c>
      <c r="AR591">
        <f t="shared" si="71"/>
        <v>0</v>
      </c>
      <c r="AS591">
        <f t="shared" si="72"/>
        <v>0</v>
      </c>
      <c r="AT591">
        <f t="shared" si="73"/>
        <v>0</v>
      </c>
    </row>
    <row r="592" spans="1:46" ht="15" customHeight="1">
      <c r="A592" s="210"/>
      <c r="B592" s="38"/>
      <c r="C592" s="44" t="s">
        <v>2526</v>
      </c>
      <c r="D592" s="796" t="s">
        <v>5883</v>
      </c>
      <c r="E592" s="796"/>
      <c r="F592" s="796"/>
      <c r="G592" s="796"/>
      <c r="H592" s="796"/>
      <c r="I592" s="796"/>
      <c r="J592" s="796"/>
      <c r="K592" s="796"/>
      <c r="L592" s="796"/>
      <c r="M592" s="749"/>
      <c r="N592" s="749"/>
      <c r="O592" s="749"/>
      <c r="P592" s="749"/>
      <c r="Q592" s="749"/>
      <c r="R592" s="749"/>
      <c r="S592" s="749"/>
      <c r="T592" s="749"/>
      <c r="U592" s="749"/>
      <c r="V592" s="749"/>
      <c r="W592" s="749"/>
      <c r="X592" s="749"/>
      <c r="Y592" s="749"/>
      <c r="Z592" s="749"/>
      <c r="AA592" s="749"/>
      <c r="AB592" s="749"/>
      <c r="AC592" s="749"/>
      <c r="AD592" s="749"/>
      <c r="AH592" s="283">
        <f t="shared" si="68"/>
        <v>0</v>
      </c>
      <c r="AI592" s="353">
        <f t="shared" si="69"/>
        <v>0</v>
      </c>
      <c r="AJ592" s="353">
        <f t="shared" si="70"/>
        <v>0</v>
      </c>
      <c r="AQ592" s="593" t="s">
        <v>5883</v>
      </c>
      <c r="AR592">
        <f t="shared" si="71"/>
        <v>0</v>
      </c>
      <c r="AS592">
        <f t="shared" si="72"/>
        <v>0</v>
      </c>
      <c r="AT592">
        <f t="shared" si="73"/>
        <v>0</v>
      </c>
    </row>
    <row r="593" spans="1:46" ht="15" customHeight="1">
      <c r="A593" s="210"/>
      <c r="B593" s="38"/>
      <c r="C593" s="44" t="s">
        <v>2527</v>
      </c>
      <c r="D593" s="796" t="s">
        <v>5884</v>
      </c>
      <c r="E593" s="796"/>
      <c r="F593" s="796"/>
      <c r="G593" s="796"/>
      <c r="H593" s="796"/>
      <c r="I593" s="796"/>
      <c r="J593" s="796"/>
      <c r="K593" s="796"/>
      <c r="L593" s="796"/>
      <c r="M593" s="749"/>
      <c r="N593" s="749"/>
      <c r="O593" s="749"/>
      <c r="P593" s="749"/>
      <c r="Q593" s="749"/>
      <c r="R593" s="749"/>
      <c r="S593" s="749"/>
      <c r="T593" s="749"/>
      <c r="U593" s="749"/>
      <c r="V593" s="749"/>
      <c r="W593" s="749"/>
      <c r="X593" s="749"/>
      <c r="Y593" s="749"/>
      <c r="Z593" s="749"/>
      <c r="AA593" s="749"/>
      <c r="AB593" s="749"/>
      <c r="AC593" s="749"/>
      <c r="AD593" s="749"/>
      <c r="AH593" s="283">
        <f t="shared" si="68"/>
        <v>0</v>
      </c>
      <c r="AI593" s="353">
        <f t="shared" si="69"/>
        <v>0</v>
      </c>
      <c r="AJ593" s="353">
        <f t="shared" si="70"/>
        <v>0</v>
      </c>
      <c r="AQ593" s="595" t="s">
        <v>6888</v>
      </c>
      <c r="AR593">
        <f t="shared" si="71"/>
        <v>0</v>
      </c>
      <c r="AS593">
        <f t="shared" si="72"/>
        <v>0</v>
      </c>
      <c r="AT593">
        <f t="shared" si="73"/>
        <v>0</v>
      </c>
    </row>
    <row r="594" spans="1:46" ht="15" customHeight="1">
      <c r="A594" s="210"/>
      <c r="B594" s="38"/>
      <c r="C594" s="44" t="s">
        <v>2528</v>
      </c>
      <c r="D594" s="796" t="s">
        <v>5885</v>
      </c>
      <c r="E594" s="796"/>
      <c r="F594" s="796"/>
      <c r="G594" s="796"/>
      <c r="H594" s="796"/>
      <c r="I594" s="796"/>
      <c r="J594" s="796"/>
      <c r="K594" s="796"/>
      <c r="L594" s="796"/>
      <c r="M594" s="749"/>
      <c r="N594" s="749"/>
      <c r="O594" s="749"/>
      <c r="P594" s="749"/>
      <c r="Q594" s="749"/>
      <c r="R594" s="749"/>
      <c r="S594" s="749"/>
      <c r="T594" s="749"/>
      <c r="U594" s="749"/>
      <c r="V594" s="749"/>
      <c r="W594" s="749"/>
      <c r="X594" s="749"/>
      <c r="Y594" s="749"/>
      <c r="Z594" s="749"/>
      <c r="AA594" s="749"/>
      <c r="AB594" s="749"/>
      <c r="AC594" s="749"/>
      <c r="AD594" s="749"/>
      <c r="AH594" s="283">
        <f t="shared" si="68"/>
        <v>0</v>
      </c>
      <c r="AI594" s="353">
        <f t="shared" si="69"/>
        <v>0</v>
      </c>
      <c r="AJ594" s="353">
        <f t="shared" si="70"/>
        <v>0</v>
      </c>
      <c r="AQ594" s="593" t="s">
        <v>6889</v>
      </c>
      <c r="AR594">
        <f t="shared" si="71"/>
        <v>0</v>
      </c>
      <c r="AS594">
        <f t="shared" si="72"/>
        <v>0</v>
      </c>
      <c r="AT594">
        <f t="shared" si="73"/>
        <v>0</v>
      </c>
    </row>
    <row r="595" spans="1:46" ht="24" customHeight="1">
      <c r="A595" s="210"/>
      <c r="B595" s="38"/>
      <c r="C595" s="44" t="s">
        <v>2529</v>
      </c>
      <c r="D595" s="796" t="s">
        <v>5886</v>
      </c>
      <c r="E595" s="796"/>
      <c r="F595" s="796"/>
      <c r="G595" s="796"/>
      <c r="H595" s="796"/>
      <c r="I595" s="796"/>
      <c r="J595" s="796"/>
      <c r="K595" s="796"/>
      <c r="L595" s="796"/>
      <c r="M595" s="749"/>
      <c r="N595" s="749"/>
      <c r="O595" s="749"/>
      <c r="P595" s="749"/>
      <c r="Q595" s="749"/>
      <c r="R595" s="749"/>
      <c r="S595" s="749"/>
      <c r="T595" s="749"/>
      <c r="U595" s="749"/>
      <c r="V595" s="749"/>
      <c r="W595" s="749"/>
      <c r="X595" s="749"/>
      <c r="Y595" s="749"/>
      <c r="Z595" s="749"/>
      <c r="AA595" s="749"/>
      <c r="AB595" s="749"/>
      <c r="AC595" s="749"/>
      <c r="AD595" s="749"/>
      <c r="AH595" s="283">
        <f t="shared" si="68"/>
        <v>0</v>
      </c>
      <c r="AI595" s="353">
        <f t="shared" si="69"/>
        <v>0</v>
      </c>
      <c r="AJ595" s="353">
        <f t="shared" si="70"/>
        <v>0</v>
      </c>
      <c r="AQ595" s="595" t="s">
        <v>6890</v>
      </c>
      <c r="AR595">
        <f t="shared" si="71"/>
        <v>0</v>
      </c>
      <c r="AS595">
        <f t="shared" si="72"/>
        <v>0</v>
      </c>
      <c r="AT595">
        <f t="shared" si="73"/>
        <v>0</v>
      </c>
    </row>
    <row r="596" spans="1:46" ht="15" customHeight="1">
      <c r="A596" s="210"/>
      <c r="B596" s="38"/>
      <c r="C596" s="44" t="s">
        <v>2530</v>
      </c>
      <c r="D596" s="796" t="s">
        <v>2609</v>
      </c>
      <c r="E596" s="796"/>
      <c r="F596" s="796"/>
      <c r="G596" s="796"/>
      <c r="H596" s="796"/>
      <c r="I596" s="796"/>
      <c r="J596" s="796"/>
      <c r="K596" s="796"/>
      <c r="L596" s="796"/>
      <c r="M596" s="749"/>
      <c r="N596" s="749"/>
      <c r="O596" s="749"/>
      <c r="P596" s="749"/>
      <c r="Q596" s="749"/>
      <c r="R596" s="749"/>
      <c r="S596" s="749"/>
      <c r="T596" s="749"/>
      <c r="U596" s="749"/>
      <c r="V596" s="749"/>
      <c r="W596" s="749"/>
      <c r="X596" s="749"/>
      <c r="Y596" s="749"/>
      <c r="Z596" s="749"/>
      <c r="AA596" s="749"/>
      <c r="AB596" s="749"/>
      <c r="AC596" s="749"/>
      <c r="AD596" s="749"/>
      <c r="AH596" s="283">
        <f t="shared" si="68"/>
        <v>0</v>
      </c>
      <c r="AI596" s="353">
        <f t="shared" si="69"/>
        <v>0</v>
      </c>
      <c r="AJ596" s="353">
        <f t="shared" si="70"/>
        <v>0</v>
      </c>
      <c r="AQ596" s="593" t="s">
        <v>3758</v>
      </c>
      <c r="AR596">
        <f t="shared" si="71"/>
        <v>0</v>
      </c>
      <c r="AS596">
        <f t="shared" si="72"/>
        <v>0</v>
      </c>
      <c r="AT596">
        <f t="shared" si="73"/>
        <v>0</v>
      </c>
    </row>
    <row r="597" spans="1:46" ht="15" customHeight="1">
      <c r="A597" s="210"/>
      <c r="B597" s="38"/>
      <c r="C597" s="44" t="s">
        <v>2531</v>
      </c>
      <c r="D597" s="796" t="s">
        <v>201</v>
      </c>
      <c r="E597" s="796"/>
      <c r="F597" s="796"/>
      <c r="G597" s="796"/>
      <c r="H597" s="796"/>
      <c r="I597" s="796"/>
      <c r="J597" s="796"/>
      <c r="K597" s="796"/>
      <c r="L597" s="796"/>
      <c r="M597" s="749"/>
      <c r="N597" s="749"/>
      <c r="O597" s="749"/>
      <c r="P597" s="749"/>
      <c r="Q597" s="749"/>
      <c r="R597" s="749"/>
      <c r="S597" s="749"/>
      <c r="T597" s="749"/>
      <c r="U597" s="749"/>
      <c r="V597" s="749"/>
      <c r="W597" s="749"/>
      <c r="X597" s="749"/>
      <c r="Y597" s="749"/>
      <c r="Z597" s="749"/>
      <c r="AA597" s="749"/>
      <c r="AB597" s="749"/>
      <c r="AC597" s="749"/>
      <c r="AD597" s="749"/>
      <c r="AH597" s="283">
        <f t="shared" si="68"/>
        <v>0</v>
      </c>
      <c r="AI597" s="353">
        <f t="shared" si="69"/>
        <v>0</v>
      </c>
      <c r="AJ597" s="353">
        <f t="shared" si="70"/>
        <v>0</v>
      </c>
      <c r="AQ597" s="595" t="s">
        <v>201</v>
      </c>
      <c r="AR597">
        <f t="shared" si="71"/>
        <v>0</v>
      </c>
      <c r="AS597">
        <f t="shared" si="72"/>
        <v>0</v>
      </c>
      <c r="AT597">
        <f t="shared" si="73"/>
        <v>0</v>
      </c>
    </row>
    <row r="598" spans="1:46" ht="15" customHeight="1">
      <c r="A598" s="210"/>
      <c r="B598" s="38"/>
      <c r="C598" s="38"/>
      <c r="D598" s="38"/>
      <c r="E598" s="38"/>
      <c r="F598" s="38"/>
      <c r="G598" s="38"/>
      <c r="H598" s="38"/>
      <c r="I598" s="38"/>
      <c r="J598" s="38"/>
      <c r="K598" s="38"/>
      <c r="L598" s="117" t="s">
        <v>2649</v>
      </c>
      <c r="M598" s="736">
        <f>IF(AND(SUM(M582:R597)=0,COUNTIF(M582:R597,"NS")&gt;0),"NS",
IF(AND(SUM(M582:R597)=0,COUNTIF(M582:R597,0)&gt;0),0,
IF(AND(SUM(M582:R597)=0,COUNTIF(M582:R597,"NA")&gt;0),"NA",
SUM(M582:R597))))</f>
        <v>0</v>
      </c>
      <c r="N598" s="736"/>
      <c r="O598" s="736"/>
      <c r="P598" s="736"/>
      <c r="Q598" s="736"/>
      <c r="R598" s="736"/>
      <c r="S598" s="736">
        <f>IF(AND(SUM(S582:X597)=0,COUNTIF(S582:X597,"NS")&gt;0),"NS",
IF(AND(SUM(S582:X597)=0,COUNTIF(S582:X597,0)&gt;0),0,
IF(AND(SUM(S582:X597)=0,COUNTIF(S582:X597,"NA")&gt;0),"NA",
SUM(S582:X597))))</f>
        <v>0</v>
      </c>
      <c r="T598" s="736"/>
      <c r="U598" s="736"/>
      <c r="V598" s="736"/>
      <c r="W598" s="736"/>
      <c r="X598" s="736"/>
      <c r="Y598" s="736">
        <f>IF(AND(SUM(Y582:AD597)=0,COUNTIF(Y582:AD597,"NS")&gt;0),"NS",
IF(AND(SUM(Y582:AD597)=0,COUNTIF(Y582:AD597,0)&gt;0),0,
IF(AND(SUM(Y582:AD597)=0,COUNTIF(Y582:AD597,"NA")&gt;0),"NA",
SUM(Y582:AD597))))</f>
        <v>0</v>
      </c>
      <c r="Z598" s="736"/>
      <c r="AA598" s="736"/>
      <c r="AB598" s="736"/>
      <c r="AC598" s="736"/>
      <c r="AD598" s="736"/>
      <c r="AH598" s="282">
        <f>SUM(AH582:AH597)</f>
        <v>0</v>
      </c>
      <c r="AI598"/>
      <c r="AJ598" s="581">
        <f>SUM(AJ582:AJ597)</f>
        <v>0</v>
      </c>
      <c r="AQ598"/>
      <c r="AR598"/>
      <c r="AS598"/>
      <c r="AT598" s="598">
        <f>SUM(AR582:AT597)</f>
        <v>0</v>
      </c>
    </row>
    <row r="599" spans="1:46" ht="15" customHeight="1">
      <c r="A599" s="210"/>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c r="AA599" s="38"/>
      <c r="AB599" s="38"/>
      <c r="AC599" s="38"/>
      <c r="AD599" s="38"/>
    </row>
    <row r="600" spans="1:46" ht="45" customHeight="1">
      <c r="A600" s="211"/>
      <c r="B600" s="57"/>
      <c r="C600" s="822" t="s">
        <v>2798</v>
      </c>
      <c r="D600" s="822"/>
      <c r="E600" s="822"/>
      <c r="F600" s="749"/>
      <c r="G600" s="749"/>
      <c r="H600" s="749"/>
      <c r="I600" s="749"/>
      <c r="J600" s="749"/>
      <c r="K600" s="749"/>
      <c r="L600" s="749"/>
      <c r="M600" s="749"/>
      <c r="N600" s="749"/>
      <c r="O600" s="749"/>
      <c r="P600" s="749"/>
      <c r="Q600" s="749"/>
      <c r="R600" s="749"/>
      <c r="S600" s="749"/>
      <c r="T600" s="749"/>
      <c r="U600" s="749"/>
      <c r="V600" s="749"/>
      <c r="W600" s="749"/>
      <c r="X600" s="749"/>
      <c r="Y600" s="749"/>
      <c r="Z600" s="749"/>
      <c r="AA600" s="749"/>
      <c r="AB600" s="749"/>
      <c r="AC600" s="749"/>
      <c r="AD600" s="749"/>
    </row>
    <row r="601" spans="1:46" ht="15" customHeight="1">
      <c r="A601" s="211"/>
      <c r="B601" s="1175" t="str">
        <f>IF(AND(AK585&gt;0,F600=""),"Debido a que cuenta con registros mayores a cero en el numeral 15 debe anotar el nombre de dicho(s) tipo(s) de oficio","")</f>
        <v/>
      </c>
      <c r="C601" s="1175"/>
      <c r="D601" s="1175"/>
      <c r="E601" s="1175"/>
      <c r="F601" s="1175"/>
      <c r="G601" s="1175"/>
      <c r="H601" s="1175"/>
      <c r="I601" s="1175"/>
      <c r="J601" s="1175"/>
      <c r="K601" s="1175"/>
      <c r="L601" s="1175"/>
      <c r="M601" s="1175"/>
      <c r="N601" s="1175"/>
      <c r="O601" s="1175"/>
      <c r="P601" s="1175"/>
      <c r="Q601" s="1175"/>
      <c r="R601" s="1175"/>
      <c r="S601" s="1175"/>
      <c r="T601" s="1175"/>
      <c r="U601" s="1175"/>
      <c r="V601" s="1175"/>
      <c r="W601" s="1175"/>
      <c r="X601" s="1175"/>
      <c r="Y601" s="1175"/>
      <c r="Z601" s="1175"/>
      <c r="AA601" s="1175"/>
      <c r="AB601" s="1175"/>
      <c r="AC601" s="1175"/>
      <c r="AD601" s="1175"/>
      <c r="AE601" s="1175"/>
    </row>
    <row r="602" spans="1:46" ht="24" customHeight="1">
      <c r="A602" s="210"/>
      <c r="B602" s="38"/>
      <c r="C602" s="754" t="s">
        <v>2611</v>
      </c>
      <c r="D602" s="754"/>
      <c r="E602" s="754"/>
      <c r="F602" s="754"/>
      <c r="G602" s="754"/>
      <c r="H602" s="754"/>
      <c r="I602" s="754"/>
      <c r="J602" s="754"/>
      <c r="K602" s="754"/>
      <c r="L602" s="754"/>
      <c r="M602" s="754"/>
      <c r="N602" s="754"/>
      <c r="O602" s="754"/>
      <c r="P602" s="754"/>
      <c r="Q602" s="754"/>
      <c r="R602" s="754"/>
      <c r="S602" s="754"/>
      <c r="T602" s="754"/>
      <c r="U602" s="754"/>
      <c r="V602" s="754"/>
      <c r="W602" s="754"/>
      <c r="X602" s="754"/>
      <c r="Y602" s="754"/>
      <c r="Z602" s="754"/>
      <c r="AA602" s="754"/>
      <c r="AB602" s="754"/>
      <c r="AC602" s="754"/>
      <c r="AD602" s="754"/>
    </row>
    <row r="603" spans="1:46" ht="60" customHeight="1">
      <c r="A603" s="210"/>
      <c r="B603" s="38"/>
      <c r="C603" s="851"/>
      <c r="D603" s="851"/>
      <c r="E603" s="851"/>
      <c r="F603" s="851"/>
      <c r="G603" s="851"/>
      <c r="H603" s="851"/>
      <c r="I603" s="851"/>
      <c r="J603" s="851"/>
      <c r="K603" s="851"/>
      <c r="L603" s="851"/>
      <c r="M603" s="851"/>
      <c r="N603" s="851"/>
      <c r="O603" s="851"/>
      <c r="P603" s="851"/>
      <c r="Q603" s="851"/>
      <c r="R603" s="851"/>
      <c r="S603" s="851"/>
      <c r="T603" s="851"/>
      <c r="U603" s="851"/>
      <c r="V603" s="851"/>
      <c r="W603" s="851"/>
      <c r="X603" s="851"/>
      <c r="Y603" s="851"/>
      <c r="Z603" s="851"/>
      <c r="AA603" s="851"/>
      <c r="AB603" s="851"/>
      <c r="AC603" s="851"/>
      <c r="AD603" s="851"/>
    </row>
    <row r="604" spans="1:46" ht="15" customHeight="1">
      <c r="B604" s="794" t="str">
        <f>IF(AG582&gt;0,"Favor de ingresar toda la información requerida en la pregunta y/o verifique que no tenga información en celdas sombreadas","")</f>
        <v/>
      </c>
      <c r="C604" s="794"/>
      <c r="D604" s="794"/>
      <c r="E604" s="794"/>
      <c r="F604" s="794"/>
      <c r="G604" s="794"/>
      <c r="H604" s="794"/>
      <c r="I604" s="794"/>
      <c r="J604" s="794"/>
      <c r="K604" s="794"/>
      <c r="L604" s="794"/>
      <c r="M604" s="794"/>
      <c r="N604" s="794"/>
      <c r="O604" s="794"/>
      <c r="P604" s="794"/>
      <c r="Q604" s="794"/>
      <c r="R604" s="794"/>
      <c r="S604" s="794"/>
      <c r="T604" s="794"/>
      <c r="U604" s="794"/>
      <c r="V604" s="794"/>
      <c r="W604" s="794"/>
      <c r="X604" s="794"/>
      <c r="Y604" s="794"/>
      <c r="Z604" s="794"/>
      <c r="AA604" s="794"/>
      <c r="AB604" s="794"/>
      <c r="AC604" s="794"/>
      <c r="AD604" s="794"/>
      <c r="AE604"/>
    </row>
    <row r="605" spans="1:46" ht="15" customHeight="1">
      <c r="B605" s="795" t="str">
        <f>IF(AH598&gt;0,"Alerta: debido a que cuenta con registros NS, debe proporcionar una justificación en el area de comentarios al final de la pregunta","")</f>
        <v/>
      </c>
      <c r="C605" s="795"/>
      <c r="D605" s="795"/>
      <c r="E605" s="795"/>
      <c r="F605" s="795"/>
      <c r="G605" s="795"/>
      <c r="H605" s="795"/>
      <c r="I605" s="795"/>
      <c r="J605" s="795"/>
      <c r="K605" s="795"/>
      <c r="L605" s="795"/>
      <c r="M605" s="795"/>
      <c r="N605" s="795"/>
      <c r="O605" s="795"/>
      <c r="P605" s="795"/>
      <c r="Q605" s="795"/>
      <c r="R605" s="795"/>
      <c r="S605" s="795"/>
      <c r="T605" s="795"/>
      <c r="U605" s="795"/>
      <c r="V605" s="795"/>
      <c r="W605" s="795"/>
      <c r="X605" s="795"/>
      <c r="Y605" s="795"/>
      <c r="Z605" s="795"/>
      <c r="AA605" s="795"/>
      <c r="AB605" s="795"/>
      <c r="AC605" s="795"/>
      <c r="AD605" s="795"/>
      <c r="AE605"/>
    </row>
    <row r="606" spans="1:46" ht="15" customHeight="1">
      <c r="B606" s="1003" t="str">
        <f>IF(AJ598&gt;0,"Favor de revisar la suma y consistencia de totales y/o subtotales por filas (numéricos y NS)","")</f>
        <v/>
      </c>
      <c r="C606" s="1003"/>
      <c r="D606" s="1003"/>
      <c r="E606" s="1003"/>
      <c r="F606" s="1003"/>
      <c r="G606" s="1003"/>
      <c r="H606" s="1003"/>
      <c r="I606" s="1003"/>
      <c r="J606" s="1003"/>
      <c r="K606" s="1003"/>
      <c r="L606" s="1003"/>
      <c r="M606" s="1003"/>
      <c r="N606" s="1003"/>
      <c r="O606" s="1003"/>
      <c r="P606" s="1003"/>
      <c r="Q606" s="1003"/>
      <c r="R606" s="1003"/>
      <c r="S606" s="1003"/>
      <c r="T606" s="1003"/>
      <c r="U606" s="1003"/>
      <c r="V606" s="1003"/>
      <c r="W606" s="1003"/>
      <c r="X606" s="1003"/>
      <c r="Y606" s="1003"/>
      <c r="Z606" s="1003"/>
      <c r="AA606" s="1003"/>
      <c r="AB606" s="1003"/>
      <c r="AC606" s="1003"/>
      <c r="AD606" s="1003"/>
      <c r="AE606"/>
    </row>
    <row r="607" spans="1:46" ht="15" customHeight="1">
      <c r="B607" s="794" t="str">
        <f>IF(AP583&gt;0,"Favor de revisar la instrucción 2 y verifique que se cumplan con los criterios establecidos","")</f>
        <v/>
      </c>
      <c r="C607" s="794"/>
      <c r="D607" s="794"/>
      <c r="E607" s="794"/>
      <c r="F607" s="794"/>
      <c r="G607" s="794"/>
      <c r="H607" s="794"/>
      <c r="I607" s="794"/>
      <c r="J607" s="794"/>
      <c r="K607" s="794"/>
      <c r="L607" s="794"/>
      <c r="M607" s="794"/>
      <c r="N607" s="794"/>
      <c r="O607" s="794"/>
      <c r="P607" s="794"/>
      <c r="Q607" s="794"/>
      <c r="R607" s="794"/>
      <c r="S607" s="794"/>
      <c r="T607" s="794"/>
      <c r="U607" s="794"/>
      <c r="V607" s="794"/>
      <c r="W607" s="794"/>
      <c r="X607" s="794"/>
      <c r="Y607" s="794"/>
      <c r="Z607" s="794"/>
      <c r="AA607" s="794"/>
      <c r="AB607" s="794"/>
      <c r="AC607" s="794"/>
      <c r="AD607" s="794"/>
      <c r="AE607" s="794"/>
    </row>
    <row r="608" spans="1:46" ht="15" customHeight="1">
      <c r="B608" s="795" t="str">
        <f>IF(AT598&gt;0,"Alerta: debe de proporcionar una justificación de acuerdo a lo establecido en la instrucción 3","")</f>
        <v/>
      </c>
      <c r="C608" s="795"/>
      <c r="D608" s="795"/>
      <c r="E608" s="795"/>
      <c r="F608" s="795"/>
      <c r="G608" s="795"/>
      <c r="H608" s="795"/>
      <c r="I608" s="795"/>
      <c r="J608" s="795"/>
      <c r="K608" s="795"/>
      <c r="L608" s="795"/>
      <c r="M608" s="795"/>
      <c r="N608" s="795"/>
      <c r="O608" s="795"/>
      <c r="P608" s="795"/>
      <c r="Q608" s="795"/>
      <c r="R608" s="795"/>
      <c r="S608" s="795"/>
      <c r="T608" s="795"/>
      <c r="U608" s="795"/>
      <c r="V608" s="795"/>
      <c r="W608" s="795"/>
      <c r="X608" s="795"/>
      <c r="Y608" s="795"/>
      <c r="Z608" s="795"/>
      <c r="AA608" s="795"/>
      <c r="AB608" s="795"/>
      <c r="AC608" s="795"/>
      <c r="AD608" s="795"/>
      <c r="AE608"/>
    </row>
    <row r="609" spans="2:31" ht="15" customHeight="1">
      <c r="B609"/>
      <c r="C609"/>
      <c r="D609"/>
      <c r="E609"/>
      <c r="F609"/>
      <c r="G609"/>
      <c r="H609"/>
      <c r="I609"/>
      <c r="J609"/>
      <c r="K609"/>
      <c r="L609"/>
      <c r="M609"/>
      <c r="N609"/>
      <c r="O609"/>
      <c r="P609"/>
      <c r="Q609"/>
      <c r="R609"/>
      <c r="S609"/>
      <c r="T609"/>
      <c r="U609"/>
      <c r="V609"/>
      <c r="W609"/>
      <c r="X609"/>
      <c r="Y609"/>
      <c r="Z609"/>
      <c r="AA609"/>
      <c r="AB609"/>
      <c r="AC609"/>
      <c r="AD609"/>
      <c r="AE609"/>
    </row>
    <row r="610" spans="2:31" ht="15" hidden="1" customHeight="1"/>
    <row r="611" spans="2:31" ht="15" hidden="1" customHeight="1"/>
    <row r="612" spans="2:31" ht="15" hidden="1" customHeight="1"/>
    <row r="613" spans="2:31" ht="15" hidden="1" customHeight="1"/>
    <row r="614" spans="2:31" ht="15" hidden="1" customHeight="1"/>
    <row r="615" spans="2:31" ht="15" hidden="1" customHeight="1"/>
    <row r="616" spans="2:31" ht="15" hidden="1" customHeight="1"/>
    <row r="617" spans="2:31" ht="15" hidden="1" customHeight="1"/>
    <row r="618" spans="2:31" ht="15" hidden="1" customHeight="1"/>
    <row r="619" spans="2:31" ht="15" hidden="1" customHeight="1"/>
    <row r="620" spans="2:31" ht="15" hidden="1" customHeight="1"/>
    <row r="621" spans="2:31" ht="15" hidden="1" customHeight="1"/>
    <row r="622" spans="2:31" ht="15" hidden="1" customHeight="1"/>
    <row r="623" spans="2:31" ht="15" hidden="1" customHeight="1"/>
    <row r="624" spans="2:31" ht="15" hidden="1" customHeight="1"/>
  </sheetData>
  <sheetProtection algorithmName="SHA-512" hashValue="aDOqmD6OjMMqji9cShOE6fogUDC2188Bxw29Els5nxHqmZxrDqnk/vQOE97yEPzsVXDA+MfR8YerXN4ph/9AXg==" saltValue="kfpl/Lhz8o9k8o7TX/f10A==" spinCount="100000" sheet="1" objects="1" scenarios="1"/>
  <mergeCells count="921">
    <mergeCell ref="AQ516:AQ518"/>
    <mergeCell ref="AR516:AT517"/>
    <mergeCell ref="AN517:AP517"/>
    <mergeCell ref="AK497:AK499"/>
    <mergeCell ref="AL497:AL499"/>
    <mergeCell ref="AM497:AM498"/>
    <mergeCell ref="B504:AD504"/>
    <mergeCell ref="B505:AD505"/>
    <mergeCell ref="B506:AD506"/>
    <mergeCell ref="B507:AE507"/>
    <mergeCell ref="AK516:AK518"/>
    <mergeCell ref="AL516:AL518"/>
    <mergeCell ref="AM516:AM518"/>
    <mergeCell ref="C513:AD513"/>
    <mergeCell ref="C514:AD514"/>
    <mergeCell ref="C515:AD515"/>
    <mergeCell ref="C517:L518"/>
    <mergeCell ref="M517:AD517"/>
    <mergeCell ref="M518:R518"/>
    <mergeCell ref="S518:X518"/>
    <mergeCell ref="Y518:AD518"/>
    <mergeCell ref="AK471:AK473"/>
    <mergeCell ref="AL471:AL473"/>
    <mergeCell ref="AM471:AM473"/>
    <mergeCell ref="AQ471:AQ473"/>
    <mergeCell ref="AR471:AT472"/>
    <mergeCell ref="AN472:AP472"/>
    <mergeCell ref="B484:AE484"/>
    <mergeCell ref="B487:AD487"/>
    <mergeCell ref="B488:AD488"/>
    <mergeCell ref="D478:L478"/>
    <mergeCell ref="M478:R478"/>
    <mergeCell ref="S478:X478"/>
    <mergeCell ref="Y478:AD478"/>
    <mergeCell ref="D479:L479"/>
    <mergeCell ref="M479:R479"/>
    <mergeCell ref="S479:X479"/>
    <mergeCell ref="Y479:AD479"/>
    <mergeCell ref="D476:L476"/>
    <mergeCell ref="M476:R476"/>
    <mergeCell ref="S476:X476"/>
    <mergeCell ref="Y476:AD476"/>
    <mergeCell ref="D477:L477"/>
    <mergeCell ref="M477:R477"/>
    <mergeCell ref="S477:X477"/>
    <mergeCell ref="AK443:AK445"/>
    <mergeCell ref="AL443:AL445"/>
    <mergeCell ref="AM443:AM445"/>
    <mergeCell ref="AQ443:AQ445"/>
    <mergeCell ref="AR443:AT444"/>
    <mergeCell ref="AN444:AP444"/>
    <mergeCell ref="B457:AE457"/>
    <mergeCell ref="B460:AD460"/>
    <mergeCell ref="B461:AD461"/>
    <mergeCell ref="D451:L451"/>
    <mergeCell ref="M451:R451"/>
    <mergeCell ref="S451:X451"/>
    <mergeCell ref="Y451:AD451"/>
    <mergeCell ref="D452:L452"/>
    <mergeCell ref="M452:R452"/>
    <mergeCell ref="S452:X452"/>
    <mergeCell ref="Y452:AD452"/>
    <mergeCell ref="D449:L449"/>
    <mergeCell ref="M449:R449"/>
    <mergeCell ref="S449:X449"/>
    <mergeCell ref="Y449:AD449"/>
    <mergeCell ref="D450:L450"/>
    <mergeCell ref="M450:R450"/>
    <mergeCell ref="S450:X450"/>
    <mergeCell ref="AK416:AK418"/>
    <mergeCell ref="AL416:AL418"/>
    <mergeCell ref="AM416:AM418"/>
    <mergeCell ref="AQ416:AQ418"/>
    <mergeCell ref="AR416:AT417"/>
    <mergeCell ref="AN417:AP417"/>
    <mergeCell ref="B429:AE429"/>
    <mergeCell ref="B432:AD432"/>
    <mergeCell ref="B433:AD433"/>
    <mergeCell ref="C431:AD431"/>
    <mergeCell ref="D424:L424"/>
    <mergeCell ref="M424:R424"/>
    <mergeCell ref="S424:X424"/>
    <mergeCell ref="Y424:AD424"/>
    <mergeCell ref="D425:L425"/>
    <mergeCell ref="M425:R425"/>
    <mergeCell ref="S425:X425"/>
    <mergeCell ref="Y425:AD425"/>
    <mergeCell ref="D422:L422"/>
    <mergeCell ref="M422:R422"/>
    <mergeCell ref="S422:X422"/>
    <mergeCell ref="Y422:AD422"/>
    <mergeCell ref="D423:L423"/>
    <mergeCell ref="M423:R423"/>
    <mergeCell ref="AK384:AK386"/>
    <mergeCell ref="AL384:AL386"/>
    <mergeCell ref="AM384:AM386"/>
    <mergeCell ref="AQ384:AQ386"/>
    <mergeCell ref="AR384:AT385"/>
    <mergeCell ref="AN385:AP385"/>
    <mergeCell ref="B402:AE402"/>
    <mergeCell ref="B405:AD405"/>
    <mergeCell ref="B406:AD406"/>
    <mergeCell ref="C404:AD404"/>
    <mergeCell ref="D397:L397"/>
    <mergeCell ref="M397:R397"/>
    <mergeCell ref="S397:X397"/>
    <mergeCell ref="Y397:AD397"/>
    <mergeCell ref="D398:L398"/>
    <mergeCell ref="M398:R398"/>
    <mergeCell ref="S398:X398"/>
    <mergeCell ref="Y398:AD398"/>
    <mergeCell ref="D395:L395"/>
    <mergeCell ref="M395:R395"/>
    <mergeCell ref="S395:X395"/>
    <mergeCell ref="Y395:AD395"/>
    <mergeCell ref="D396:L396"/>
    <mergeCell ref="M396:R396"/>
    <mergeCell ref="AK355:AK357"/>
    <mergeCell ref="AL355:AL357"/>
    <mergeCell ref="AM355:AM357"/>
    <mergeCell ref="AQ355:AQ357"/>
    <mergeCell ref="AR355:AT356"/>
    <mergeCell ref="AN356:AP356"/>
    <mergeCell ref="B368:AE368"/>
    <mergeCell ref="B371:AD371"/>
    <mergeCell ref="B372:AD372"/>
    <mergeCell ref="D364:L364"/>
    <mergeCell ref="M364:R364"/>
    <mergeCell ref="S364:X364"/>
    <mergeCell ref="Y364:AD364"/>
    <mergeCell ref="M365:R365"/>
    <mergeCell ref="S365:X365"/>
    <mergeCell ref="Y365:AD365"/>
    <mergeCell ref="C367:E367"/>
    <mergeCell ref="F367:AD367"/>
    <mergeCell ref="S359:X359"/>
    <mergeCell ref="Y359:AD359"/>
    <mergeCell ref="D358:L358"/>
    <mergeCell ref="M358:R358"/>
    <mergeCell ref="S358:X358"/>
    <mergeCell ref="Y358:AD358"/>
    <mergeCell ref="AK331:AK333"/>
    <mergeCell ref="AL331:AL333"/>
    <mergeCell ref="AM331:AM333"/>
    <mergeCell ref="AN332:AP332"/>
    <mergeCell ref="AQ331:AQ333"/>
    <mergeCell ref="AR331:AT332"/>
    <mergeCell ref="B344:AD344"/>
    <mergeCell ref="B345:AD345"/>
    <mergeCell ref="B346:AD346"/>
    <mergeCell ref="D338:L338"/>
    <mergeCell ref="M338:R338"/>
    <mergeCell ref="S338:X338"/>
    <mergeCell ref="Y338:AD338"/>
    <mergeCell ref="D339:L339"/>
    <mergeCell ref="M339:R339"/>
    <mergeCell ref="S339:X339"/>
    <mergeCell ref="Y339:AD339"/>
    <mergeCell ref="D336:L336"/>
    <mergeCell ref="M336:R336"/>
    <mergeCell ref="S336:X336"/>
    <mergeCell ref="Y336:AD336"/>
    <mergeCell ref="D337:L337"/>
    <mergeCell ref="M337:R337"/>
    <mergeCell ref="S337:X337"/>
    <mergeCell ref="AI292:AI293"/>
    <mergeCell ref="AJ292:AJ293"/>
    <mergeCell ref="AK292:AK293"/>
    <mergeCell ref="AM292:AM293"/>
    <mergeCell ref="B302:AE302"/>
    <mergeCell ref="B305:AD305"/>
    <mergeCell ref="B306:AD306"/>
    <mergeCell ref="B307:AE307"/>
    <mergeCell ref="B254:AD254"/>
    <mergeCell ref="B272:AE272"/>
    <mergeCell ref="B275:AD275"/>
    <mergeCell ref="C304:AD304"/>
    <mergeCell ref="AB295:AD295"/>
    <mergeCell ref="Y296:AA296"/>
    <mergeCell ref="AB296:AD296"/>
    <mergeCell ref="Y297:AA297"/>
    <mergeCell ref="AB297:AD297"/>
    <mergeCell ref="Y298:AA298"/>
    <mergeCell ref="AB298:AD298"/>
    <mergeCell ref="Y292:AD292"/>
    <mergeCell ref="D294:R294"/>
    <mergeCell ref="S294:X294"/>
    <mergeCell ref="Y294:AA294"/>
    <mergeCell ref="AB294:AD294"/>
    <mergeCell ref="AG207:AG209"/>
    <mergeCell ref="AH207:AH209"/>
    <mergeCell ref="AI207:AI209"/>
    <mergeCell ref="AJ207:AJ209"/>
    <mergeCell ref="AK207:AK209"/>
    <mergeCell ref="B229:AD229"/>
    <mergeCell ref="AG236:AG238"/>
    <mergeCell ref="AH236:AH238"/>
    <mergeCell ref="AI236:AI238"/>
    <mergeCell ref="AJ236:AJ238"/>
    <mergeCell ref="C237:AD237"/>
    <mergeCell ref="C207:AD207"/>
    <mergeCell ref="Q223:AD223"/>
    <mergeCell ref="B184:AD184"/>
    <mergeCell ref="B185:AD185"/>
    <mergeCell ref="B186:AD186"/>
    <mergeCell ref="AM192:AM194"/>
    <mergeCell ref="AN192:AN194"/>
    <mergeCell ref="AO192:AO194"/>
    <mergeCell ref="B199:AD199"/>
    <mergeCell ref="B200:AD200"/>
    <mergeCell ref="AH153:AH154"/>
    <mergeCell ref="AI153:AI154"/>
    <mergeCell ref="B159:AD159"/>
    <mergeCell ref="B160:AD160"/>
    <mergeCell ref="AK167:AK169"/>
    <mergeCell ref="AL167:AL169"/>
    <mergeCell ref="AM167:AM169"/>
    <mergeCell ref="C197:AD197"/>
    <mergeCell ref="C198:AD198"/>
    <mergeCell ref="C182:AD182"/>
    <mergeCell ref="C183:AD183"/>
    <mergeCell ref="B190:AD190"/>
    <mergeCell ref="C192:AD192"/>
    <mergeCell ref="C193:AD193"/>
    <mergeCell ref="C195:F195"/>
    <mergeCell ref="G195:AD195"/>
    <mergeCell ref="C603:AD603"/>
    <mergeCell ref="M598:R598"/>
    <mergeCell ref="S598:X598"/>
    <mergeCell ref="Y598:AD598"/>
    <mergeCell ref="C600:E600"/>
    <mergeCell ref="F600:AD600"/>
    <mergeCell ref="C602:AD602"/>
    <mergeCell ref="D596:L596"/>
    <mergeCell ref="M596:R596"/>
    <mergeCell ref="S596:X596"/>
    <mergeCell ref="Y596:AD596"/>
    <mergeCell ref="D597:L597"/>
    <mergeCell ref="M597:R597"/>
    <mergeCell ref="S597:X597"/>
    <mergeCell ref="Y597:AD597"/>
    <mergeCell ref="D594:L594"/>
    <mergeCell ref="M594:R594"/>
    <mergeCell ref="S594:X594"/>
    <mergeCell ref="Y594:AD594"/>
    <mergeCell ref="D595:L595"/>
    <mergeCell ref="M595:R595"/>
    <mergeCell ref="S595:X595"/>
    <mergeCell ref="Y595:AD595"/>
    <mergeCell ref="D592:L592"/>
    <mergeCell ref="M592:R592"/>
    <mergeCell ref="S592:X592"/>
    <mergeCell ref="Y592:AD592"/>
    <mergeCell ref="D593:L593"/>
    <mergeCell ref="M593:R593"/>
    <mergeCell ref="S593:X593"/>
    <mergeCell ref="Y593:AD593"/>
    <mergeCell ref="D591:L591"/>
    <mergeCell ref="M591:R591"/>
    <mergeCell ref="S591:X591"/>
    <mergeCell ref="Y591:AD591"/>
    <mergeCell ref="D588:L588"/>
    <mergeCell ref="M588:R588"/>
    <mergeCell ref="S588:X588"/>
    <mergeCell ref="Y588:AD588"/>
    <mergeCell ref="D589:L589"/>
    <mergeCell ref="M589:R589"/>
    <mergeCell ref="S589:X589"/>
    <mergeCell ref="Y589:AD589"/>
    <mergeCell ref="Y584:AD584"/>
    <mergeCell ref="D585:L585"/>
    <mergeCell ref="M585:R585"/>
    <mergeCell ref="S585:X585"/>
    <mergeCell ref="Y585:AD585"/>
    <mergeCell ref="D590:L590"/>
    <mergeCell ref="M590:R590"/>
    <mergeCell ref="S590:X590"/>
    <mergeCell ref="Y590:AD590"/>
    <mergeCell ref="C560:AD560"/>
    <mergeCell ref="C562:L563"/>
    <mergeCell ref="M562:AD562"/>
    <mergeCell ref="M563:R563"/>
    <mergeCell ref="S563:X563"/>
    <mergeCell ref="Y563:AD563"/>
    <mergeCell ref="D582:L582"/>
    <mergeCell ref="M582:R582"/>
    <mergeCell ref="S582:X582"/>
    <mergeCell ref="Y582:AD582"/>
    <mergeCell ref="B574:AD574"/>
    <mergeCell ref="C575:AD575"/>
    <mergeCell ref="C578:AD578"/>
    <mergeCell ref="C580:L581"/>
    <mergeCell ref="M580:AD580"/>
    <mergeCell ref="M581:R581"/>
    <mergeCell ref="S581:X581"/>
    <mergeCell ref="Y581:AD581"/>
    <mergeCell ref="C576:AD576"/>
    <mergeCell ref="C577:AD577"/>
    <mergeCell ref="C547:E547"/>
    <mergeCell ref="F547:AD547"/>
    <mergeCell ref="C549:AD549"/>
    <mergeCell ref="C550:AD550"/>
    <mergeCell ref="B557:AD557"/>
    <mergeCell ref="B559:AD559"/>
    <mergeCell ref="D544:L544"/>
    <mergeCell ref="M544:R544"/>
    <mergeCell ref="S544:X544"/>
    <mergeCell ref="Y544:AD544"/>
    <mergeCell ref="M545:R545"/>
    <mergeCell ref="S545:X545"/>
    <mergeCell ref="Y545:AD545"/>
    <mergeCell ref="B548:AE548"/>
    <mergeCell ref="B551:AD551"/>
    <mergeCell ref="B552:AD552"/>
    <mergeCell ref="B553:AD553"/>
    <mergeCell ref="B554:AE554"/>
    <mergeCell ref="B555:AD555"/>
    <mergeCell ref="D542:L542"/>
    <mergeCell ref="M542:R542"/>
    <mergeCell ref="S542:X542"/>
    <mergeCell ref="Y542:AD542"/>
    <mergeCell ref="D543:L543"/>
    <mergeCell ref="M543:R543"/>
    <mergeCell ref="S543:X543"/>
    <mergeCell ref="Y543:AD543"/>
    <mergeCell ref="D540:L540"/>
    <mergeCell ref="M540:R540"/>
    <mergeCell ref="S540:X540"/>
    <mergeCell ref="Y540:AD540"/>
    <mergeCell ref="D541:L541"/>
    <mergeCell ref="M541:R541"/>
    <mergeCell ref="S541:X541"/>
    <mergeCell ref="Y541:AD541"/>
    <mergeCell ref="D538:L538"/>
    <mergeCell ref="M538:R538"/>
    <mergeCell ref="S538:X538"/>
    <mergeCell ref="Y538:AD538"/>
    <mergeCell ref="D539:L539"/>
    <mergeCell ref="M539:R539"/>
    <mergeCell ref="S539:X539"/>
    <mergeCell ref="Y539:AD539"/>
    <mergeCell ref="D536:L536"/>
    <mergeCell ref="M536:R536"/>
    <mergeCell ref="S536:X536"/>
    <mergeCell ref="Y536:AD536"/>
    <mergeCell ref="D537:L537"/>
    <mergeCell ref="M537:R537"/>
    <mergeCell ref="S537:X537"/>
    <mergeCell ref="Y537:AD537"/>
    <mergeCell ref="D534:L534"/>
    <mergeCell ref="M534:R534"/>
    <mergeCell ref="S534:X534"/>
    <mergeCell ref="Y534:AD534"/>
    <mergeCell ref="D535:L535"/>
    <mergeCell ref="M535:R535"/>
    <mergeCell ref="S535:X535"/>
    <mergeCell ref="Y535:AD535"/>
    <mergeCell ref="D532:L532"/>
    <mergeCell ref="M532:R532"/>
    <mergeCell ref="S532:X532"/>
    <mergeCell ref="Y532:AD532"/>
    <mergeCell ref="D533:L533"/>
    <mergeCell ref="M533:R533"/>
    <mergeCell ref="S533:X533"/>
    <mergeCell ref="Y533:AD533"/>
    <mergeCell ref="D530:L530"/>
    <mergeCell ref="M530:R530"/>
    <mergeCell ref="S530:X530"/>
    <mergeCell ref="Y530:AD530"/>
    <mergeCell ref="D531:L531"/>
    <mergeCell ref="M531:R531"/>
    <mergeCell ref="S531:X531"/>
    <mergeCell ref="Y531:AD531"/>
    <mergeCell ref="D528:L528"/>
    <mergeCell ref="M528:R528"/>
    <mergeCell ref="S528:X528"/>
    <mergeCell ref="Y528:AD528"/>
    <mergeCell ref="D529:L529"/>
    <mergeCell ref="M529:R529"/>
    <mergeCell ref="S529:X529"/>
    <mergeCell ref="Y529:AD529"/>
    <mergeCell ref="D526:L526"/>
    <mergeCell ref="M526:R526"/>
    <mergeCell ref="S526:X526"/>
    <mergeCell ref="Y526:AD526"/>
    <mergeCell ref="D527:L527"/>
    <mergeCell ref="M527:R527"/>
    <mergeCell ref="S527:X527"/>
    <mergeCell ref="Y527:AD527"/>
    <mergeCell ref="D524:L524"/>
    <mergeCell ref="M524:R524"/>
    <mergeCell ref="S524:X524"/>
    <mergeCell ref="Y524:AD524"/>
    <mergeCell ref="D525:L525"/>
    <mergeCell ref="M525:R525"/>
    <mergeCell ref="S525:X525"/>
    <mergeCell ref="Y525:AD525"/>
    <mergeCell ref="D522:L522"/>
    <mergeCell ref="M522:R522"/>
    <mergeCell ref="S522:X522"/>
    <mergeCell ref="Y522:AD522"/>
    <mergeCell ref="D523:L523"/>
    <mergeCell ref="M523:R523"/>
    <mergeCell ref="S523:X523"/>
    <mergeCell ref="Y523:AD523"/>
    <mergeCell ref="D520:L520"/>
    <mergeCell ref="M520:R520"/>
    <mergeCell ref="S520:X520"/>
    <mergeCell ref="Y520:AD520"/>
    <mergeCell ref="D521:L521"/>
    <mergeCell ref="M521:R521"/>
    <mergeCell ref="S521:X521"/>
    <mergeCell ref="Y521:AD521"/>
    <mergeCell ref="D519:L519"/>
    <mergeCell ref="M519:R519"/>
    <mergeCell ref="S519:X519"/>
    <mergeCell ref="Y519:AD519"/>
    <mergeCell ref="C483:E483"/>
    <mergeCell ref="F483:AD483"/>
    <mergeCell ref="C511:AD511"/>
    <mergeCell ref="C512:AD512"/>
    <mergeCell ref="C500:L500"/>
    <mergeCell ref="M500:R500"/>
    <mergeCell ref="S500:X500"/>
    <mergeCell ref="Y500:AD500"/>
    <mergeCell ref="C502:AD502"/>
    <mergeCell ref="C503:AD503"/>
    <mergeCell ref="B510:AD510"/>
    <mergeCell ref="C496:AD496"/>
    <mergeCell ref="C498:L499"/>
    <mergeCell ref="M498:AD498"/>
    <mergeCell ref="M499:R499"/>
    <mergeCell ref="S499:X499"/>
    <mergeCell ref="Y499:AD499"/>
    <mergeCell ref="C485:AD485"/>
    <mergeCell ref="C486:AD486"/>
    <mergeCell ref="B493:AD493"/>
    <mergeCell ref="B495:AD495"/>
    <mergeCell ref="B489:AD489"/>
    <mergeCell ref="B490:AE490"/>
    <mergeCell ref="B491:AD491"/>
    <mergeCell ref="D480:L480"/>
    <mergeCell ref="M480:R480"/>
    <mergeCell ref="S480:X480"/>
    <mergeCell ref="Y480:AD480"/>
    <mergeCell ref="M481:R481"/>
    <mergeCell ref="S481:X481"/>
    <mergeCell ref="Y481:AD481"/>
    <mergeCell ref="Y477:AD477"/>
    <mergeCell ref="D474:L474"/>
    <mergeCell ref="M474:R474"/>
    <mergeCell ref="S474:X474"/>
    <mergeCell ref="Y474:AD474"/>
    <mergeCell ref="D475:L475"/>
    <mergeCell ref="M475:R475"/>
    <mergeCell ref="S475:X475"/>
    <mergeCell ref="Y475:AD475"/>
    <mergeCell ref="M473:R473"/>
    <mergeCell ref="S473:X473"/>
    <mergeCell ref="Y473:AD473"/>
    <mergeCell ref="C458:AD458"/>
    <mergeCell ref="C459:AD459"/>
    <mergeCell ref="B466:AD466"/>
    <mergeCell ref="D453:L453"/>
    <mergeCell ref="M453:R453"/>
    <mergeCell ref="S453:X453"/>
    <mergeCell ref="Y453:AD453"/>
    <mergeCell ref="M454:R454"/>
    <mergeCell ref="S454:X454"/>
    <mergeCell ref="Y454:AD454"/>
    <mergeCell ref="C456:E456"/>
    <mergeCell ref="F456:AD456"/>
    <mergeCell ref="C467:AD467"/>
    <mergeCell ref="C468:AD468"/>
    <mergeCell ref="C469:AD469"/>
    <mergeCell ref="C470:AD470"/>
    <mergeCell ref="C472:L473"/>
    <mergeCell ref="M472:AD472"/>
    <mergeCell ref="B462:AD462"/>
    <mergeCell ref="B463:AE463"/>
    <mergeCell ref="B464:AD464"/>
    <mergeCell ref="Y450:AD450"/>
    <mergeCell ref="D447:L447"/>
    <mergeCell ref="M447:R447"/>
    <mergeCell ref="S447:X447"/>
    <mergeCell ref="Y447:AD447"/>
    <mergeCell ref="D448:L448"/>
    <mergeCell ref="M448:R448"/>
    <mergeCell ref="S448:X448"/>
    <mergeCell ref="Y448:AD448"/>
    <mergeCell ref="C444:L445"/>
    <mergeCell ref="M444:AD444"/>
    <mergeCell ref="M445:R445"/>
    <mergeCell ref="S445:X445"/>
    <mergeCell ref="Y445:AD445"/>
    <mergeCell ref="D446:L446"/>
    <mergeCell ref="M446:R446"/>
    <mergeCell ref="S446:X446"/>
    <mergeCell ref="Y446:AD446"/>
    <mergeCell ref="B438:AD438"/>
    <mergeCell ref="C441:AD441"/>
    <mergeCell ref="C442:AD442"/>
    <mergeCell ref="M426:R426"/>
    <mergeCell ref="S426:X426"/>
    <mergeCell ref="Y426:AD426"/>
    <mergeCell ref="C430:AD430"/>
    <mergeCell ref="C439:AD439"/>
    <mergeCell ref="C440:AD440"/>
    <mergeCell ref="B434:AD434"/>
    <mergeCell ref="B435:AE435"/>
    <mergeCell ref="B436:AD436"/>
    <mergeCell ref="C428:E428"/>
    <mergeCell ref="F428:AD428"/>
    <mergeCell ref="S423:X423"/>
    <mergeCell ref="Y423:AD423"/>
    <mergeCell ref="D421:L421"/>
    <mergeCell ref="M421:R421"/>
    <mergeCell ref="S421:X421"/>
    <mergeCell ref="Y421:AD421"/>
    <mergeCell ref="C417:L418"/>
    <mergeCell ref="M417:AD417"/>
    <mergeCell ref="M418:R418"/>
    <mergeCell ref="S418:X418"/>
    <mergeCell ref="Y418:AD418"/>
    <mergeCell ref="D419:L419"/>
    <mergeCell ref="M419:R419"/>
    <mergeCell ref="S419:X419"/>
    <mergeCell ref="Y419:AD419"/>
    <mergeCell ref="B411:AD411"/>
    <mergeCell ref="C414:AD414"/>
    <mergeCell ref="C415:AD415"/>
    <mergeCell ref="M399:R399"/>
    <mergeCell ref="S399:X399"/>
    <mergeCell ref="Y399:AD399"/>
    <mergeCell ref="C403:AD403"/>
    <mergeCell ref="D420:L420"/>
    <mergeCell ref="M420:R420"/>
    <mergeCell ref="S420:X420"/>
    <mergeCell ref="Y420:AD420"/>
    <mergeCell ref="B407:AD407"/>
    <mergeCell ref="B408:AE408"/>
    <mergeCell ref="B409:AD409"/>
    <mergeCell ref="C401:E401"/>
    <mergeCell ref="F401:AD401"/>
    <mergeCell ref="C412:AD412"/>
    <mergeCell ref="C413:AD413"/>
    <mergeCell ref="S396:X396"/>
    <mergeCell ref="Y396:AD396"/>
    <mergeCell ref="D393:L393"/>
    <mergeCell ref="M393:R393"/>
    <mergeCell ref="S393:X393"/>
    <mergeCell ref="Y393:AD393"/>
    <mergeCell ref="D394:L394"/>
    <mergeCell ref="M394:R394"/>
    <mergeCell ref="S394:X394"/>
    <mergeCell ref="Y394:AD394"/>
    <mergeCell ref="D391:L391"/>
    <mergeCell ref="M391:R391"/>
    <mergeCell ref="S391:X391"/>
    <mergeCell ref="Y391:AD391"/>
    <mergeCell ref="D392:L392"/>
    <mergeCell ref="M392:R392"/>
    <mergeCell ref="S392:X392"/>
    <mergeCell ref="Y392:AD392"/>
    <mergeCell ref="Y390:AD390"/>
    <mergeCell ref="D388:L388"/>
    <mergeCell ref="M388:R388"/>
    <mergeCell ref="S388:X388"/>
    <mergeCell ref="Y388:AD388"/>
    <mergeCell ref="C369:AD369"/>
    <mergeCell ref="C370:AD370"/>
    <mergeCell ref="B377:AD377"/>
    <mergeCell ref="B373:AD373"/>
    <mergeCell ref="B374:AE374"/>
    <mergeCell ref="B375:AD375"/>
    <mergeCell ref="C378:AD378"/>
    <mergeCell ref="C380:AD380"/>
    <mergeCell ref="C381:AD381"/>
    <mergeCell ref="C382:AD382"/>
    <mergeCell ref="C379:AD379"/>
    <mergeCell ref="C383:AD383"/>
    <mergeCell ref="C385:L386"/>
    <mergeCell ref="M385:AD385"/>
    <mergeCell ref="M386:R386"/>
    <mergeCell ref="S386:X386"/>
    <mergeCell ref="D359:L359"/>
    <mergeCell ref="M359:R359"/>
    <mergeCell ref="D387:L387"/>
    <mergeCell ref="M387:R387"/>
    <mergeCell ref="S387:X387"/>
    <mergeCell ref="Y387:AD387"/>
    <mergeCell ref="D362:L362"/>
    <mergeCell ref="M362:R362"/>
    <mergeCell ref="S362:X362"/>
    <mergeCell ref="Y362:AD362"/>
    <mergeCell ref="D363:L363"/>
    <mergeCell ref="M363:R363"/>
    <mergeCell ref="S363:X363"/>
    <mergeCell ref="Y363:AD363"/>
    <mergeCell ref="D360:L360"/>
    <mergeCell ref="M360:R360"/>
    <mergeCell ref="S360:X360"/>
    <mergeCell ref="Y360:AD360"/>
    <mergeCell ref="D361:L361"/>
    <mergeCell ref="M361:R361"/>
    <mergeCell ref="S361:X361"/>
    <mergeCell ref="Y361:AD361"/>
    <mergeCell ref="Y386:AD386"/>
    <mergeCell ref="C353:AD353"/>
    <mergeCell ref="C354:AD354"/>
    <mergeCell ref="C356:L357"/>
    <mergeCell ref="M356:AD356"/>
    <mergeCell ref="M357:R357"/>
    <mergeCell ref="S357:X357"/>
    <mergeCell ref="Y357:AD357"/>
    <mergeCell ref="M340:R340"/>
    <mergeCell ref="S340:X340"/>
    <mergeCell ref="Y340:AD340"/>
    <mergeCell ref="C342:AD342"/>
    <mergeCell ref="C343:AD343"/>
    <mergeCell ref="B350:AD350"/>
    <mergeCell ref="B347:AE347"/>
    <mergeCell ref="B348:AD348"/>
    <mergeCell ref="C351:AD351"/>
    <mergeCell ref="C352:AD352"/>
    <mergeCell ref="Y337:AD337"/>
    <mergeCell ref="D334:L334"/>
    <mergeCell ref="M334:R334"/>
    <mergeCell ref="S334:X334"/>
    <mergeCell ref="Y334:AD334"/>
    <mergeCell ref="D335:L335"/>
    <mergeCell ref="M335:R335"/>
    <mergeCell ref="S335:X335"/>
    <mergeCell ref="Y335:AD335"/>
    <mergeCell ref="C320:AD320"/>
    <mergeCell ref="B327:AD327"/>
    <mergeCell ref="C332:L333"/>
    <mergeCell ref="M332:AD332"/>
    <mergeCell ref="M333:R333"/>
    <mergeCell ref="S333:X333"/>
    <mergeCell ref="Y333:AD333"/>
    <mergeCell ref="C328:AD328"/>
    <mergeCell ref="C329:AD329"/>
    <mergeCell ref="C330:AD330"/>
    <mergeCell ref="B321:AD321"/>
    <mergeCell ref="B322:AD322"/>
    <mergeCell ref="B323:AD323"/>
    <mergeCell ref="C313:F313"/>
    <mergeCell ref="E315:H315"/>
    <mergeCell ref="E317:H317"/>
    <mergeCell ref="C319:AD319"/>
    <mergeCell ref="D299:R299"/>
    <mergeCell ref="S299:X299"/>
    <mergeCell ref="C301:E301"/>
    <mergeCell ref="F301:AD301"/>
    <mergeCell ref="C303:AD303"/>
    <mergeCell ref="Y299:AA299"/>
    <mergeCell ref="AB299:AD299"/>
    <mergeCell ref="B311:AD311"/>
    <mergeCell ref="D297:R297"/>
    <mergeCell ref="S297:X297"/>
    <mergeCell ref="D298:R298"/>
    <mergeCell ref="S298:X298"/>
    <mergeCell ref="D295:R295"/>
    <mergeCell ref="S295:X295"/>
    <mergeCell ref="D296:R296"/>
    <mergeCell ref="S296:X296"/>
    <mergeCell ref="Y295:AA295"/>
    <mergeCell ref="C262:AD262"/>
    <mergeCell ref="D265:R265"/>
    <mergeCell ref="S265:X265"/>
    <mergeCell ref="Y265:AD265"/>
    <mergeCell ref="C284:AD284"/>
    <mergeCell ref="B286:AD286"/>
    <mergeCell ref="C287:AD287"/>
    <mergeCell ref="C290:AD290"/>
    <mergeCell ref="S292:X293"/>
    <mergeCell ref="C292:R293"/>
    <mergeCell ref="Y293:AA293"/>
    <mergeCell ref="AB293:AD293"/>
    <mergeCell ref="C283:AD283"/>
    <mergeCell ref="C288:AD288"/>
    <mergeCell ref="C289:AD289"/>
    <mergeCell ref="D266:R266"/>
    <mergeCell ref="S266:X266"/>
    <mergeCell ref="Y266:AD266"/>
    <mergeCell ref="D267:R267"/>
    <mergeCell ref="S267:X267"/>
    <mergeCell ref="Y267:AD267"/>
    <mergeCell ref="C264:R264"/>
    <mergeCell ref="S264:X264"/>
    <mergeCell ref="Y264:AD264"/>
    <mergeCell ref="C271:E271"/>
    <mergeCell ref="F271:AD271"/>
    <mergeCell ref="C273:AD273"/>
    <mergeCell ref="C274:AD274"/>
    <mergeCell ref="B281:AD281"/>
    <mergeCell ref="B282:AD282"/>
    <mergeCell ref="D268:R268"/>
    <mergeCell ref="S268:X268"/>
    <mergeCell ref="Y268:AD268"/>
    <mergeCell ref="D269:R269"/>
    <mergeCell ref="S269:X269"/>
    <mergeCell ref="Y269:AD269"/>
    <mergeCell ref="C191:AD191"/>
    <mergeCell ref="K248:AD248"/>
    <mergeCell ref="C252:AD252"/>
    <mergeCell ref="C253:AD253"/>
    <mergeCell ref="B260:AD260"/>
    <mergeCell ref="C261:AD261"/>
    <mergeCell ref="C227:AD227"/>
    <mergeCell ref="C228:AD228"/>
    <mergeCell ref="B235:AD235"/>
    <mergeCell ref="C236:AD236"/>
    <mergeCell ref="D245:AD245"/>
    <mergeCell ref="D249:AD249"/>
    <mergeCell ref="B201:AD201"/>
    <mergeCell ref="B205:AD205"/>
    <mergeCell ref="C206:AD206"/>
    <mergeCell ref="D179:L179"/>
    <mergeCell ref="M179:R179"/>
    <mergeCell ref="S179:X179"/>
    <mergeCell ref="Y179:AD179"/>
    <mergeCell ref="M180:R180"/>
    <mergeCell ref="S180:X180"/>
    <mergeCell ref="Y180:AD180"/>
    <mergeCell ref="D177:L177"/>
    <mergeCell ref="M177:R177"/>
    <mergeCell ref="S177:X177"/>
    <mergeCell ref="Y177:AD177"/>
    <mergeCell ref="D178:L178"/>
    <mergeCell ref="M178:R178"/>
    <mergeCell ref="S178:X178"/>
    <mergeCell ref="Y178:AD178"/>
    <mergeCell ref="D175:L175"/>
    <mergeCell ref="M175:R175"/>
    <mergeCell ref="S175:X175"/>
    <mergeCell ref="Y175:AD175"/>
    <mergeCell ref="D176:L176"/>
    <mergeCell ref="M176:R176"/>
    <mergeCell ref="S176:X176"/>
    <mergeCell ref="Y176:AD176"/>
    <mergeCell ref="D173:L173"/>
    <mergeCell ref="M173:R173"/>
    <mergeCell ref="S173:X173"/>
    <mergeCell ref="Y173:AD173"/>
    <mergeCell ref="D174:L174"/>
    <mergeCell ref="M174:R174"/>
    <mergeCell ref="S174:X174"/>
    <mergeCell ref="Y174:AD174"/>
    <mergeCell ref="D171:L171"/>
    <mergeCell ref="M171:R171"/>
    <mergeCell ref="S171:X171"/>
    <mergeCell ref="Y171:AD171"/>
    <mergeCell ref="D172:L172"/>
    <mergeCell ref="M172:R172"/>
    <mergeCell ref="S172:X172"/>
    <mergeCell ref="Y172:AD172"/>
    <mergeCell ref="C168:L169"/>
    <mergeCell ref="M168:AD168"/>
    <mergeCell ref="M169:R169"/>
    <mergeCell ref="S169:X169"/>
    <mergeCell ref="Y169:AD169"/>
    <mergeCell ref="D170:L170"/>
    <mergeCell ref="M170:R170"/>
    <mergeCell ref="S170:X170"/>
    <mergeCell ref="Y170:AD170"/>
    <mergeCell ref="C152:AD152"/>
    <mergeCell ref="C153:AD153"/>
    <mergeCell ref="C157:AD157"/>
    <mergeCell ref="C158:AD158"/>
    <mergeCell ref="B165:AD165"/>
    <mergeCell ref="C166:AD166"/>
    <mergeCell ref="C141:H141"/>
    <mergeCell ref="I141:N141"/>
    <mergeCell ref="O141:AD141"/>
    <mergeCell ref="C143:AD143"/>
    <mergeCell ref="C144:AD144"/>
    <mergeCell ref="B151:AD151"/>
    <mergeCell ref="I140:N140"/>
    <mergeCell ref="O140:AD140"/>
    <mergeCell ref="C120:AD120"/>
    <mergeCell ref="C121:AD121"/>
    <mergeCell ref="B128:AD128"/>
    <mergeCell ref="B129:AD129"/>
    <mergeCell ref="C130:AD130"/>
    <mergeCell ref="C131:AD131"/>
    <mergeCell ref="C136:AD136"/>
    <mergeCell ref="B122:AD122"/>
    <mergeCell ref="C40:AD40"/>
    <mergeCell ref="B42:AD42"/>
    <mergeCell ref="C43:AD43"/>
    <mergeCell ref="C45:AD45"/>
    <mergeCell ref="C27:AD27"/>
    <mergeCell ref="C28:AD28"/>
    <mergeCell ref="B35:AD35"/>
    <mergeCell ref="B36:AD36"/>
    <mergeCell ref="C37:AD37"/>
    <mergeCell ref="B38:AD38"/>
    <mergeCell ref="C39:AD39"/>
    <mergeCell ref="C44:AD44"/>
    <mergeCell ref="B29:AD29"/>
    <mergeCell ref="C23:AD23"/>
    <mergeCell ref="B10:AD10"/>
    <mergeCell ref="C11:AD11"/>
    <mergeCell ref="C12:AD12"/>
    <mergeCell ref="C13:AD13"/>
    <mergeCell ref="C14:AD14"/>
    <mergeCell ref="C15:AD15"/>
    <mergeCell ref="B17:AD17"/>
    <mergeCell ref="C18:AD18"/>
    <mergeCell ref="B1:AD1"/>
    <mergeCell ref="B3:AD3"/>
    <mergeCell ref="B5:AD5"/>
    <mergeCell ref="AA7:AD7"/>
    <mergeCell ref="B8:L8"/>
    <mergeCell ref="N8:O8"/>
    <mergeCell ref="C16:AD16"/>
    <mergeCell ref="B20:AD20"/>
    <mergeCell ref="B22:AD22"/>
    <mergeCell ref="D389:L389"/>
    <mergeCell ref="M389:R389"/>
    <mergeCell ref="S389:X389"/>
    <mergeCell ref="Y389:AD389"/>
    <mergeCell ref="D390:L390"/>
    <mergeCell ref="M390:R390"/>
    <mergeCell ref="S390:X390"/>
    <mergeCell ref="AI46:AI47"/>
    <mergeCell ref="B72:AD72"/>
    <mergeCell ref="C47:P47"/>
    <mergeCell ref="Q47:AD47"/>
    <mergeCell ref="C48:P48"/>
    <mergeCell ref="Q48:AD48"/>
    <mergeCell ref="C50:AD50"/>
    <mergeCell ref="C51:AD51"/>
    <mergeCell ref="C93:AD93"/>
    <mergeCell ref="B100:AD100"/>
    <mergeCell ref="C73:AD73"/>
    <mergeCell ref="C74:AD74"/>
    <mergeCell ref="C75:AD75"/>
    <mergeCell ref="D78:AD78"/>
    <mergeCell ref="K89:AD89"/>
    <mergeCell ref="C92:AD92"/>
    <mergeCell ref="C140:H140"/>
    <mergeCell ref="AJ46:AJ47"/>
    <mergeCell ref="B52:AD52"/>
    <mergeCell ref="B53:AD53"/>
    <mergeCell ref="B54:AE54"/>
    <mergeCell ref="AH60:AH61"/>
    <mergeCell ref="AI60:AI61"/>
    <mergeCell ref="B66:AD66"/>
    <mergeCell ref="B67:AD67"/>
    <mergeCell ref="B58:AD58"/>
    <mergeCell ref="C59:AD59"/>
    <mergeCell ref="C60:AD60"/>
    <mergeCell ref="C64:AD64"/>
    <mergeCell ref="C65:AD65"/>
    <mergeCell ref="AO138:AO140"/>
    <mergeCell ref="AP138:AP140"/>
    <mergeCell ref="B145:AD145"/>
    <mergeCell ref="B146:AD146"/>
    <mergeCell ref="B147:AD147"/>
    <mergeCell ref="B148:AD148"/>
    <mergeCell ref="AG75:AG76"/>
    <mergeCell ref="AH75:AH76"/>
    <mergeCell ref="AI75:AI76"/>
    <mergeCell ref="AJ75:AJ76"/>
    <mergeCell ref="AK75:AK76"/>
    <mergeCell ref="B94:AD94"/>
    <mergeCell ref="B95:AD95"/>
    <mergeCell ref="AG100:AG102"/>
    <mergeCell ref="AH100:AH102"/>
    <mergeCell ref="AI100:AI102"/>
    <mergeCell ref="C101:AD101"/>
    <mergeCell ref="C102:AD102"/>
    <mergeCell ref="D109:AD109"/>
    <mergeCell ref="N117:AD117"/>
    <mergeCell ref="B133:AD133"/>
    <mergeCell ref="C134:AD134"/>
    <mergeCell ref="C135:AD135"/>
    <mergeCell ref="AA138:AD138"/>
    <mergeCell ref="AK561:AK563"/>
    <mergeCell ref="AL561:AL563"/>
    <mergeCell ref="AM562:AM563"/>
    <mergeCell ref="B568:AD568"/>
    <mergeCell ref="B569:AD569"/>
    <mergeCell ref="B570:AD570"/>
    <mergeCell ref="B571:AE571"/>
    <mergeCell ref="AK579:AK581"/>
    <mergeCell ref="AL579:AL581"/>
    <mergeCell ref="AM579:AM581"/>
    <mergeCell ref="C564:L564"/>
    <mergeCell ref="M564:R564"/>
    <mergeCell ref="S564:X564"/>
    <mergeCell ref="Y564:AD564"/>
    <mergeCell ref="C566:AD566"/>
    <mergeCell ref="C567:AD567"/>
    <mergeCell ref="AN580:AP580"/>
    <mergeCell ref="AQ579:AQ581"/>
    <mergeCell ref="AR579:AT580"/>
    <mergeCell ref="B601:AE601"/>
    <mergeCell ref="B604:AD604"/>
    <mergeCell ref="B605:AD605"/>
    <mergeCell ref="B606:AD606"/>
    <mergeCell ref="B607:AE607"/>
    <mergeCell ref="B608:AD608"/>
    <mergeCell ref="D583:L583"/>
    <mergeCell ref="M583:R583"/>
    <mergeCell ref="S583:X583"/>
    <mergeCell ref="Y583:AD583"/>
    <mergeCell ref="D586:L586"/>
    <mergeCell ref="M586:R586"/>
    <mergeCell ref="S586:X586"/>
    <mergeCell ref="Y586:AD586"/>
    <mergeCell ref="D587:L587"/>
    <mergeCell ref="M587:R587"/>
    <mergeCell ref="S587:X587"/>
    <mergeCell ref="Y587:AD587"/>
    <mergeCell ref="D584:L584"/>
    <mergeCell ref="M584:R584"/>
    <mergeCell ref="S584:X584"/>
  </mergeCells>
  <phoneticPr fontId="64" type="noConversion"/>
  <conditionalFormatting sqref="C25">
    <cfRule type="expression" dxfId="218" priority="151">
      <formula>$I$25="X"</formula>
    </cfRule>
    <cfRule type="expression" dxfId="217" priority="149">
      <formula>$T$25="X"</formula>
    </cfRule>
  </conditionalFormatting>
  <conditionalFormatting sqref="C62">
    <cfRule type="expression" dxfId="216" priority="137">
      <formula>$I$62="X"</formula>
    </cfRule>
    <cfRule type="expression" dxfId="215" priority="134">
      <formula>$T$62="X"</formula>
    </cfRule>
    <cfRule type="expression" dxfId="214" priority="181">
      <formula>OR($I$25="X",$T$25="X")</formula>
    </cfRule>
    <cfRule type="expression" dxfId="213" priority="146">
      <formula>AND($C$48&lt;&gt;"",$C$48&lt;&gt;1)</formula>
    </cfRule>
  </conditionalFormatting>
  <conditionalFormatting sqref="C77:C89">
    <cfRule type="expression" dxfId="212" priority="131">
      <formula>$C$90="X"</formula>
    </cfRule>
  </conditionalFormatting>
  <conditionalFormatting sqref="C77:C90">
    <cfRule type="expression" dxfId="211" priority="178">
      <formula>OR($I$25="X",$T$25="X")</formula>
    </cfRule>
    <cfRule type="expression" dxfId="210" priority="143">
      <formula>AND($C$48&lt;&gt;"",$C$48&lt;&gt;1)</formula>
    </cfRule>
  </conditionalFormatting>
  <conditionalFormatting sqref="C78:C90">
    <cfRule type="expression" dxfId="209" priority="130">
      <formula>$C$77="X"</formula>
    </cfRule>
  </conditionalFormatting>
  <conditionalFormatting sqref="C104:C117">
    <cfRule type="expression" dxfId="208" priority="123">
      <formula>$C$118="X"</formula>
    </cfRule>
  </conditionalFormatting>
  <conditionalFormatting sqref="C104:C118">
    <cfRule type="expression" dxfId="207" priority="177">
      <formula>OR($I$25="X",$T$25="X")</formula>
    </cfRule>
    <cfRule type="expression" dxfId="206" priority="142">
      <formula>AND($C$48&lt;&gt;"",$C$48&lt;&gt;1)</formula>
    </cfRule>
  </conditionalFormatting>
  <conditionalFormatting sqref="C155">
    <cfRule type="expression" dxfId="205" priority="175">
      <formula>OR($I$25="X",$T$25="X")</formula>
    </cfRule>
    <cfRule type="expression" dxfId="204" priority="115">
      <formula>AND($C$141&lt;&gt;"",$C$141&lt;&gt;1)</formula>
    </cfRule>
    <cfRule type="expression" dxfId="203" priority="103">
      <formula>$T$155="X"</formula>
    </cfRule>
    <cfRule type="expression" dxfId="202" priority="105">
      <formula>$L$155="X"</formula>
    </cfRule>
  </conditionalFormatting>
  <conditionalFormatting sqref="C209:C223">
    <cfRule type="expression" dxfId="201" priority="93">
      <formula>$C$224="X"</formula>
    </cfRule>
  </conditionalFormatting>
  <conditionalFormatting sqref="C209:C224">
    <cfRule type="expression" dxfId="200" priority="92">
      <formula>$C$225="X"</formula>
    </cfRule>
  </conditionalFormatting>
  <conditionalFormatting sqref="C209:C225">
    <cfRule type="expression" dxfId="199" priority="110">
      <formula>AND($C$141&lt;&gt;"",$C$141&lt;&gt;1)</formula>
    </cfRule>
    <cfRule type="expression" dxfId="198" priority="99">
      <formula>$C$155="X"</formula>
    </cfRule>
    <cfRule type="expression" dxfId="197" priority="170">
      <formula>OR($I$25="X",$T$25="X")</formula>
    </cfRule>
  </conditionalFormatting>
  <conditionalFormatting sqref="C225">
    <cfRule type="expression" dxfId="196" priority="94">
      <formula>$C$224="X"</formula>
    </cfRule>
  </conditionalFormatting>
  <conditionalFormatting sqref="C239:C248">
    <cfRule type="expression" dxfId="195" priority="86">
      <formula>$C$249="X"</formula>
    </cfRule>
  </conditionalFormatting>
  <conditionalFormatting sqref="C239:C249">
    <cfRule type="expression" dxfId="194" priority="85">
      <formula>$C$250="X"</formula>
    </cfRule>
  </conditionalFormatting>
  <conditionalFormatting sqref="C239:C250">
    <cfRule type="expression" dxfId="193" priority="109">
      <formula>AND($C$141&lt;&gt;"",$C$141&lt;&gt;1)</formula>
    </cfRule>
    <cfRule type="expression" dxfId="192" priority="169">
      <formula>OR($I$25="X",$T$25="X")</formula>
    </cfRule>
  </conditionalFormatting>
  <conditionalFormatting sqref="C250">
    <cfRule type="expression" dxfId="191" priority="87">
      <formula>$C$249="X"</formula>
    </cfRule>
  </conditionalFormatting>
  <conditionalFormatting sqref="C195:F195">
    <cfRule type="expression" dxfId="190" priority="111">
      <formula>AND($C$141&lt;&gt;"",$C$141&lt;&gt;1)</formula>
    </cfRule>
    <cfRule type="expression" dxfId="189" priority="100">
      <formula>$C$155="X"</formula>
    </cfRule>
    <cfRule type="expression" dxfId="188" priority="171">
      <formula>OR($I$25="X",$T$25="X")</formula>
    </cfRule>
  </conditionalFormatting>
  <conditionalFormatting sqref="C313:F313">
    <cfRule type="expression" dxfId="187" priority="166">
      <formula>OR($I$25="X",$T$25="X")</formula>
    </cfRule>
  </conditionalFormatting>
  <conditionalFormatting sqref="C23:AD23">
    <cfRule type="expression" dxfId="186" priority="133">
      <formula>$AG$25&gt;0</formula>
    </cfRule>
  </conditionalFormatting>
  <conditionalFormatting sqref="C37:AD37">
    <cfRule type="expression" dxfId="185" priority="119">
      <formula>OR($AI$62&gt;0,$AH$77&gt;0,$AH$103&gt;0)</formula>
    </cfRule>
  </conditionalFormatting>
  <conditionalFormatting sqref="C43:AD43">
    <cfRule type="expression" dxfId="184" priority="141">
      <formula>$AJ$48&gt;0</formula>
    </cfRule>
  </conditionalFormatting>
  <conditionalFormatting sqref="C45:AD45">
    <cfRule type="expression" dxfId="183" priority="140">
      <formula>AND(OR($C$48=3,$C$48=9),$C$51="")</formula>
    </cfRule>
  </conditionalFormatting>
  <conditionalFormatting sqref="C48:AD48">
    <cfRule type="expression" dxfId="182" priority="182">
      <formula>OR($I$25="X",$T$25="X")</formula>
    </cfRule>
  </conditionalFormatting>
  <conditionalFormatting sqref="C59:AD59">
    <cfRule type="expression" dxfId="181" priority="132">
      <formula>$AG$62&gt;0</formula>
    </cfRule>
  </conditionalFormatting>
  <conditionalFormatting sqref="C75:AD75">
    <cfRule type="expression" dxfId="180" priority="124">
      <formula>AND(OR(AJ77&gt;0,AK77&gt;0),$C$93="")</formula>
    </cfRule>
  </conditionalFormatting>
  <conditionalFormatting sqref="C102:AD102">
    <cfRule type="expression" dxfId="179" priority="122">
      <formula>$AI$103&gt;0</formula>
    </cfRule>
  </conditionalFormatting>
  <conditionalFormatting sqref="C134:AD134">
    <cfRule type="expression" dxfId="178" priority="117">
      <formula>$AP$141&gt;0</formula>
    </cfRule>
  </conditionalFormatting>
  <conditionalFormatting sqref="C135:AD135">
    <cfRule type="expression" dxfId="177" priority="116">
      <formula>$AN$142&gt;0</formula>
    </cfRule>
  </conditionalFormatting>
  <conditionalFormatting sqref="C141:AD141">
    <cfRule type="expression" dxfId="176" priority="176">
      <formula>OR($I$25="X",$T$25="X")</formula>
    </cfRule>
  </conditionalFormatting>
  <conditionalFormatting sqref="C152:AD152">
    <cfRule type="expression" dxfId="175" priority="98">
      <formula>$AG$155&gt;0</formula>
    </cfRule>
  </conditionalFormatting>
  <conditionalFormatting sqref="C191:AD191">
    <cfRule type="expression" dxfId="174" priority="97">
      <formula>AND($AI$195&gt;0,$C$198="")</formula>
    </cfRule>
  </conditionalFormatting>
  <conditionalFormatting sqref="C192:AD192">
    <cfRule type="expression" dxfId="173" priority="96">
      <formula>$AJ$195&gt;0</formula>
    </cfRule>
  </conditionalFormatting>
  <conditionalFormatting sqref="C193:AD193">
    <cfRule type="expression" dxfId="172" priority="95">
      <formula>$AL$195&gt;0</formula>
    </cfRule>
  </conditionalFormatting>
  <conditionalFormatting sqref="C207:AD207">
    <cfRule type="expression" dxfId="171" priority="89">
      <formula>OR($AJ$210&gt;0,$AK$210&gt;0)</formula>
    </cfRule>
  </conditionalFormatting>
  <conditionalFormatting sqref="C237:AD237">
    <cfRule type="expression" dxfId="170" priority="88">
      <formula>OR($AI$239&gt;0,$AJ$239&gt;0)</formula>
    </cfRule>
  </conditionalFormatting>
  <conditionalFormatting sqref="C261:AD261">
    <cfRule type="expression" dxfId="169" priority="78">
      <formula>$AJ$270&gt;0</formula>
    </cfRule>
  </conditionalFormatting>
  <conditionalFormatting sqref="C262:AD262">
    <cfRule type="expression" dxfId="168" priority="79">
      <formula>AND(AK265&gt;0,F271="")</formula>
    </cfRule>
  </conditionalFormatting>
  <conditionalFormatting sqref="C287:AD287">
    <cfRule type="expression" dxfId="167" priority="73">
      <formula>$AJ$300&gt;0</formula>
    </cfRule>
  </conditionalFormatting>
  <conditionalFormatting sqref="C289:AD289">
    <cfRule type="expression" dxfId="166" priority="72">
      <formula>$AK$300&gt;0</formula>
    </cfRule>
  </conditionalFormatting>
  <conditionalFormatting sqref="C290:AD290">
    <cfRule type="expression" dxfId="165" priority="71">
      <formula>AND(AL294&gt;0,F301="")</formula>
    </cfRule>
  </conditionalFormatting>
  <conditionalFormatting sqref="C328:AD328">
    <cfRule type="expression" dxfId="164" priority="63">
      <formula>$AL$340&gt;0</formula>
    </cfRule>
  </conditionalFormatting>
  <conditionalFormatting sqref="C329:AD329">
    <cfRule type="expression" dxfId="163" priority="62">
      <formula>$AP$335&gt;0</formula>
    </cfRule>
  </conditionalFormatting>
  <conditionalFormatting sqref="C330:AD330">
    <cfRule type="expression" dxfId="162" priority="61">
      <formula>AND($AT$340&gt;0,$C$343="")</formula>
    </cfRule>
  </conditionalFormatting>
  <conditionalFormatting sqref="C351:AD351">
    <cfRule type="expression" dxfId="161" priority="55">
      <formula>$AM$358&gt;0</formula>
    </cfRule>
  </conditionalFormatting>
  <conditionalFormatting sqref="C352:AD352">
    <cfRule type="expression" dxfId="160" priority="54">
      <formula>$AP$359&gt;0</formula>
    </cfRule>
  </conditionalFormatting>
  <conditionalFormatting sqref="C353:AD353">
    <cfRule type="expression" dxfId="159" priority="53">
      <formula>AND($AT$365&gt;0,$C$370="")</formula>
    </cfRule>
  </conditionalFormatting>
  <conditionalFormatting sqref="C354:AD354">
    <cfRule type="expression" dxfId="158" priority="50">
      <formula>AND(AK361&gt;0,F367="")</formula>
    </cfRule>
  </conditionalFormatting>
  <conditionalFormatting sqref="C378:AD378">
    <cfRule type="expression" dxfId="157" priority="49">
      <formula>$AM$387&gt;0</formula>
    </cfRule>
  </conditionalFormatting>
  <conditionalFormatting sqref="C381:AD381">
    <cfRule type="expression" dxfId="156" priority="48">
      <formula>$AP$388&gt;0</formula>
    </cfRule>
  </conditionalFormatting>
  <conditionalFormatting sqref="C382:AD382">
    <cfRule type="expression" dxfId="155" priority="47">
      <formula>AND($AT$399&gt;0,$C$404="")</formula>
    </cfRule>
  </conditionalFormatting>
  <conditionalFormatting sqref="C383:AD383">
    <cfRule type="expression" dxfId="154" priority="44">
      <formula>AND(AK390&gt;0,F401="")</formula>
    </cfRule>
  </conditionalFormatting>
  <conditionalFormatting sqref="C412:AD412">
    <cfRule type="expression" dxfId="153" priority="43">
      <formula>$AM$419&gt;0</formula>
    </cfRule>
  </conditionalFormatting>
  <conditionalFormatting sqref="C413:AD413">
    <cfRule type="expression" dxfId="152" priority="42">
      <formula>$AP$420&gt;0</formula>
    </cfRule>
  </conditionalFormatting>
  <conditionalFormatting sqref="C414:AD414">
    <cfRule type="expression" dxfId="151" priority="41">
      <formula>AND($AT$426&gt;0,$C$431="")</formula>
    </cfRule>
  </conditionalFormatting>
  <conditionalFormatting sqref="C415:AD415">
    <cfRule type="expression" dxfId="150" priority="38">
      <formula>AND(AK422&gt;0,F428="")</formula>
    </cfRule>
  </conditionalFormatting>
  <conditionalFormatting sqref="C439:AD439">
    <cfRule type="expression" dxfId="149" priority="34">
      <formula>$AM$446&gt;0</formula>
    </cfRule>
  </conditionalFormatting>
  <conditionalFormatting sqref="C440:AD440">
    <cfRule type="expression" dxfId="148" priority="33">
      <formula>$AP$447&gt;0</formula>
    </cfRule>
  </conditionalFormatting>
  <conditionalFormatting sqref="C441:AD441">
    <cfRule type="expression" dxfId="147" priority="32">
      <formula>AND($AT$454&gt;0,$C$459="")</formula>
    </cfRule>
  </conditionalFormatting>
  <conditionalFormatting sqref="C442:AD442">
    <cfRule type="expression" dxfId="146" priority="35">
      <formula>AND(AK449&gt;0,F456="")</formula>
    </cfRule>
  </conditionalFormatting>
  <conditionalFormatting sqref="C467:AD467">
    <cfRule type="expression" dxfId="145" priority="28">
      <formula>$AM$474&gt;0</formula>
    </cfRule>
  </conditionalFormatting>
  <conditionalFormatting sqref="C468:AD468">
    <cfRule type="expression" dxfId="144" priority="27">
      <formula>$AP$475&gt;0</formula>
    </cfRule>
  </conditionalFormatting>
  <conditionalFormatting sqref="C469:AD469">
    <cfRule type="expression" dxfId="143" priority="26">
      <formula>AND($AT$481&gt;0,$C$486="")</formula>
    </cfRule>
  </conditionalFormatting>
  <conditionalFormatting sqref="C470:AD470">
    <cfRule type="expression" dxfId="142" priority="29">
      <formula>AND(AK477&gt;0,F483="")</formula>
    </cfRule>
  </conditionalFormatting>
  <conditionalFormatting sqref="C496:AD496">
    <cfRule type="expression" dxfId="141" priority="25">
      <formula>$AL$500&gt;0</formula>
    </cfRule>
  </conditionalFormatting>
  <conditionalFormatting sqref="C500:AD500">
    <cfRule type="expression" dxfId="140" priority="157">
      <formula>OR($I$25="X",$T$25="X")</formula>
    </cfRule>
  </conditionalFormatting>
  <conditionalFormatting sqref="C511:AD511">
    <cfRule type="expression" dxfId="139" priority="21">
      <formula>$AL$519&gt;0</formula>
    </cfRule>
  </conditionalFormatting>
  <conditionalFormatting sqref="C512:AD512">
    <cfRule type="expression" dxfId="138" priority="20">
      <formula>$AM$519&gt;0</formula>
    </cfRule>
  </conditionalFormatting>
  <conditionalFormatting sqref="C513:AD513">
    <cfRule type="expression" dxfId="137" priority="19">
      <formula>$AP$520&gt;0</formula>
    </cfRule>
  </conditionalFormatting>
  <conditionalFormatting sqref="C514:AD514">
    <cfRule type="expression" dxfId="136" priority="18">
      <formula>AND($AT$545&gt;0+$C$550="")</formula>
    </cfRule>
  </conditionalFormatting>
  <conditionalFormatting sqref="C515:AD515">
    <cfRule type="expression" dxfId="135" priority="16">
      <formula>AND(AK522&gt;0,F547="")</formula>
    </cfRule>
  </conditionalFormatting>
  <conditionalFormatting sqref="C560:AD560">
    <cfRule type="expression" dxfId="134" priority="12">
      <formula>"0+$AL$564&gt;0"</formula>
    </cfRule>
  </conditionalFormatting>
  <conditionalFormatting sqref="C564:AD564">
    <cfRule type="expression" dxfId="133" priority="155">
      <formula>OR($I$25="X",$T$25="X")</formula>
    </cfRule>
  </conditionalFormatting>
  <conditionalFormatting sqref="C575:AD575">
    <cfRule type="expression" dxfId="132" priority="10">
      <formula>$AL$582&gt;0</formula>
    </cfRule>
  </conditionalFormatting>
  <conditionalFormatting sqref="C576:AD576">
    <cfRule type="expression" dxfId="131" priority="9">
      <formula>$AP$583&gt;0</formula>
    </cfRule>
  </conditionalFormatting>
  <conditionalFormatting sqref="C577:AD577">
    <cfRule type="expression" dxfId="130" priority="8">
      <formula>AND($AT$598&gt;0,$C$603="")</formula>
    </cfRule>
  </conditionalFormatting>
  <conditionalFormatting sqref="C578:AD578">
    <cfRule type="expression" dxfId="129" priority="5">
      <formula>AND(AK585&gt;0,F600="")</formula>
    </cfRule>
  </conditionalFormatting>
  <conditionalFormatting sqref="E315:H315">
    <cfRule type="expression" dxfId="128" priority="165">
      <formula>OR($I$25="X",$T$25="X")</formula>
    </cfRule>
  </conditionalFormatting>
  <conditionalFormatting sqref="E317:H317">
    <cfRule type="expression" dxfId="127" priority="164">
      <formula>OR($I$25="X",$T$25="X")</formula>
    </cfRule>
  </conditionalFormatting>
  <conditionalFormatting sqref="F271:AD271">
    <cfRule type="expression" dxfId="126" priority="80">
      <formula>AND(AK265=0,F271="")</formula>
    </cfRule>
    <cfRule type="expression" dxfId="125" priority="81">
      <formula>AND(AK265&gt;0,F271="")</formula>
    </cfRule>
  </conditionalFormatting>
  <conditionalFormatting sqref="F301:AD301">
    <cfRule type="expression" dxfId="124" priority="77">
      <formula>AND(AL294&gt;0,F301="")</formula>
    </cfRule>
    <cfRule type="expression" dxfId="123" priority="76">
      <formula>AND(AL294=0,F301="")</formula>
    </cfRule>
  </conditionalFormatting>
  <conditionalFormatting sqref="F367:AD367">
    <cfRule type="expression" dxfId="122" priority="51">
      <formula>AND(AK361=0,F367="")</formula>
    </cfRule>
    <cfRule type="expression" dxfId="121" priority="52">
      <formula>AND(AK361&gt;0,F367="")</formula>
    </cfRule>
  </conditionalFormatting>
  <conditionalFormatting sqref="F401:AD401">
    <cfRule type="expression" dxfId="120" priority="46">
      <formula>AND(AK390&gt;0,F401="")</formula>
    </cfRule>
    <cfRule type="expression" dxfId="119" priority="45">
      <formula>AND(AK390=0,F401="")</formula>
    </cfRule>
  </conditionalFormatting>
  <conditionalFormatting sqref="F428:AD428">
    <cfRule type="expression" dxfId="118" priority="40">
      <formula>AND(AK422&gt;0,F428="")</formula>
    </cfRule>
    <cfRule type="expression" dxfId="117" priority="39">
      <formula>AND(AK422=0,F428="")</formula>
    </cfRule>
  </conditionalFormatting>
  <conditionalFormatting sqref="F456:AD456">
    <cfRule type="expression" dxfId="116" priority="36">
      <formula>AND(AK449=0,F456="")</formula>
    </cfRule>
    <cfRule type="expression" dxfId="115" priority="37">
      <formula>AND(AK449&gt;0,F456="")</formula>
    </cfRule>
  </conditionalFormatting>
  <conditionalFormatting sqref="F483:AD483">
    <cfRule type="expression" dxfId="114" priority="30">
      <formula>AND(AK477=0,F483="")</formula>
    </cfRule>
    <cfRule type="expression" dxfId="113" priority="31">
      <formula>AND(AK477&gt;0,F483="")</formula>
    </cfRule>
  </conditionalFormatting>
  <conditionalFormatting sqref="F547:AD547">
    <cfRule type="expression" dxfId="112" priority="17">
      <formula>AND(AK522&gt;0,F547="")</formula>
    </cfRule>
    <cfRule type="expression" dxfId="111" priority="15">
      <formula>AND(AK522=0,F547="")</formula>
    </cfRule>
  </conditionalFormatting>
  <conditionalFormatting sqref="F600:AD600">
    <cfRule type="expression" dxfId="110" priority="6">
      <formula>AND(AK585=0,F600="")</formula>
    </cfRule>
    <cfRule type="expression" dxfId="109" priority="7">
      <formula>AND(AK585&gt;0,F600="")</formula>
    </cfRule>
  </conditionalFormatting>
  <conditionalFormatting sqref="I25">
    <cfRule type="expression" dxfId="108" priority="148">
      <formula>$T$25="X"</formula>
    </cfRule>
    <cfRule type="expression" dxfId="107" priority="153">
      <formula>$C$25="X"</formula>
    </cfRule>
  </conditionalFormatting>
  <conditionalFormatting sqref="I62">
    <cfRule type="expression" dxfId="106" priority="135">
      <formula>$T$62="X"</formula>
    </cfRule>
    <cfRule type="expression" dxfId="105" priority="139">
      <formula>$C$62="X"</formula>
    </cfRule>
    <cfRule type="expression" dxfId="104" priority="145">
      <formula>AND($C$48&lt;&gt;"",$C$48&lt;&gt;1)</formula>
    </cfRule>
    <cfRule type="expression" dxfId="103" priority="180">
      <formula>OR($I$25="X",$T$25="X")</formula>
    </cfRule>
  </conditionalFormatting>
  <conditionalFormatting sqref="I141:AD141">
    <cfRule type="expression" dxfId="102" priority="118">
      <formula>AND($C$141&lt;&gt;"",$C$141&lt;&gt;1)</formula>
    </cfRule>
  </conditionalFormatting>
  <conditionalFormatting sqref="K89:AD89">
    <cfRule type="expression" dxfId="101" priority="125">
      <formula>AND($C$89="X",$K$89="")</formula>
    </cfRule>
    <cfRule type="expression" dxfId="100" priority="126">
      <formula>AND($C$89="",$K$89="")</formula>
    </cfRule>
  </conditionalFormatting>
  <conditionalFormatting sqref="K248:AD248">
    <cfRule type="expression" dxfId="99" priority="83">
      <formula>AND($C$248="X",$K$248="")</formula>
    </cfRule>
    <cfRule type="expression" dxfId="98" priority="84">
      <formula>AND($C$248="",$K$248="")</formula>
    </cfRule>
  </conditionalFormatting>
  <conditionalFormatting sqref="L155">
    <cfRule type="expression" dxfId="97" priority="107">
      <formula>$C$155="X"</formula>
    </cfRule>
    <cfRule type="expression" dxfId="96" priority="102">
      <formula>$T$155="X"</formula>
    </cfRule>
    <cfRule type="expression" dxfId="95" priority="174">
      <formula>OR($I$25="X",$T$25="X")</formula>
    </cfRule>
    <cfRule type="expression" dxfId="94" priority="114">
      <formula>AND($C$141&lt;&gt;"",$C$141&lt;&gt;1)</formula>
    </cfRule>
  </conditionalFormatting>
  <conditionalFormatting sqref="M170:AD179">
    <cfRule type="expression" dxfId="93" priority="112">
      <formula>AND($C$141&lt;&gt;"",$C$141&lt;&gt;1)</formula>
    </cfRule>
    <cfRule type="expression" dxfId="92" priority="101">
      <formula>$C$155="X"</formula>
    </cfRule>
    <cfRule type="expression" dxfId="91" priority="172">
      <formula>OR($I$25="X",$T$25="X")</formula>
    </cfRule>
  </conditionalFormatting>
  <conditionalFormatting sqref="M334:AD339">
    <cfRule type="expression" dxfId="90" priority="64">
      <formula>AND($S294&lt;&gt;"",$S294&lt;&gt;1)</formula>
    </cfRule>
    <cfRule type="expression" dxfId="89" priority="163">
      <formula>OR($I$25="X",$T$25="X")</formula>
    </cfRule>
    <cfRule type="expression" dxfId="88" priority="70">
      <formula>SUM($C$313)=0</formula>
    </cfRule>
  </conditionalFormatting>
  <conditionalFormatting sqref="M358:AD364">
    <cfRule type="expression" dxfId="87" priority="60">
      <formula>SUM($M$334)=0</formula>
    </cfRule>
    <cfRule type="expression" dxfId="86" priority="162">
      <formula>OR($I$25="X",$T$25="X")</formula>
    </cfRule>
    <cfRule type="expression" dxfId="85" priority="69">
      <formula>SUM($C$313)=0</formula>
    </cfRule>
  </conditionalFormatting>
  <conditionalFormatting sqref="M387:AD398">
    <cfRule type="expression" dxfId="84" priority="59">
      <formula>SUM($M$335)=0</formula>
    </cfRule>
    <cfRule type="expression" dxfId="83" priority="68">
      <formula>SUM($C$313)=0</formula>
    </cfRule>
    <cfRule type="expression" dxfId="82" priority="161">
      <formula>OR($I$25="X",$T$25="X")</formula>
    </cfRule>
  </conditionalFormatting>
  <conditionalFormatting sqref="M419:AD425">
    <cfRule type="expression" dxfId="81" priority="160">
      <formula>OR($I$25="X",$T$25="X")</formula>
    </cfRule>
    <cfRule type="expression" dxfId="80" priority="67">
      <formula>SUM($C$313)=0</formula>
    </cfRule>
    <cfRule type="expression" dxfId="79" priority="58">
      <formula>SUM($M$336)=0</formula>
    </cfRule>
  </conditionalFormatting>
  <conditionalFormatting sqref="M446:AD453">
    <cfRule type="expression" dxfId="78" priority="66">
      <formula>SUM($C$313)=0</formula>
    </cfRule>
    <cfRule type="expression" dxfId="77" priority="57">
      <formula>SUM($M$337)=0</formula>
    </cfRule>
    <cfRule type="expression" dxfId="76" priority="159">
      <formula>OR($I$25="X",$T$25="X")</formula>
    </cfRule>
  </conditionalFormatting>
  <conditionalFormatting sqref="M474:AD480">
    <cfRule type="expression" dxfId="75" priority="65">
      <formula>SUM($C$313)=0</formula>
    </cfRule>
    <cfRule type="expression" dxfId="74" priority="56">
      <formula>SUM($M$338)=0</formula>
    </cfRule>
    <cfRule type="expression" dxfId="73" priority="158">
      <formula>OR($I$25="X",$T$25="X")</formula>
    </cfRule>
  </conditionalFormatting>
  <conditionalFormatting sqref="M500:AD500">
    <cfRule type="expression" dxfId="72" priority="24">
      <formula>AND($C$500&lt;&gt;"",$C$500&lt;&gt;1)</formula>
    </cfRule>
  </conditionalFormatting>
  <conditionalFormatting sqref="M519:AD544">
    <cfRule type="expression" dxfId="71" priority="22">
      <formula>AND($C$500&lt;&gt;"",$C$500&lt;&gt;1)</formula>
    </cfRule>
    <cfRule type="expression" dxfId="70" priority="156">
      <formula>OR($I$25="X",$T$25="X")</formula>
    </cfRule>
  </conditionalFormatting>
  <conditionalFormatting sqref="M564:AD564">
    <cfRule type="expression" dxfId="69" priority="13">
      <formula>AND($C$564&lt;&gt;"",$C$564&lt;&gt;1)</formula>
    </cfRule>
  </conditionalFormatting>
  <conditionalFormatting sqref="M582:AD597">
    <cfRule type="expression" dxfId="68" priority="154">
      <formula>OR($I$25="X",$T$25="X")</formula>
    </cfRule>
    <cfRule type="expression" dxfId="67" priority="11">
      <formula>AND($C$564&lt;&gt;"",$C$564&lt;&gt;1)</formula>
    </cfRule>
  </conditionalFormatting>
  <conditionalFormatting sqref="N117:AD117">
    <cfRule type="expression" dxfId="66" priority="120">
      <formula>AND($C$117="",$N$117="")</formula>
    </cfRule>
    <cfRule type="expression" dxfId="65" priority="121">
      <formula>AND($C$117="X",$N$117="")</formula>
    </cfRule>
  </conditionalFormatting>
  <conditionalFormatting sqref="Q48:AD48">
    <cfRule type="expression" dxfId="64" priority="147">
      <formula>AND($C$48&lt;&gt;"",$C$48&lt;&gt;1)</formula>
    </cfRule>
  </conditionalFormatting>
  <conditionalFormatting sqref="Q223:AD223">
    <cfRule type="expression" dxfId="63" priority="90">
      <formula>AND($C$223="X",$Q$223="")</formula>
    </cfRule>
    <cfRule type="expression" dxfId="62" priority="91">
      <formula>AND($C$223="",$Q$223="")</formula>
    </cfRule>
  </conditionalFormatting>
  <conditionalFormatting sqref="S532:X532">
    <cfRule type="expression" dxfId="61" priority="23">
      <formula>$AI$515=""</formula>
    </cfRule>
  </conditionalFormatting>
  <conditionalFormatting sqref="S265:AD269">
    <cfRule type="expression" dxfId="60" priority="108">
      <formula>AND($C$141&lt;&gt;"",$C$141&lt;&gt;1)</formula>
    </cfRule>
    <cfRule type="expression" dxfId="59" priority="168">
      <formula>OR($I$25="X",$T$25="X")</formula>
    </cfRule>
  </conditionalFormatting>
  <conditionalFormatting sqref="S294:AD299">
    <cfRule type="expression" dxfId="58" priority="167">
      <formula>OR($I$25="X",$T$25="X")</formula>
    </cfRule>
  </conditionalFormatting>
  <conditionalFormatting sqref="T25">
    <cfRule type="expression" dxfId="57" priority="152">
      <formula>$C$25="X"</formula>
    </cfRule>
    <cfRule type="expression" dxfId="56" priority="150">
      <formula>$I$25="X"</formula>
    </cfRule>
  </conditionalFormatting>
  <conditionalFormatting sqref="T62">
    <cfRule type="expression" dxfId="55" priority="136">
      <formula>$I$62="X"</formula>
    </cfRule>
    <cfRule type="expression" dxfId="54" priority="144">
      <formula>AND($C$48&lt;&gt;"",$C$48&lt;&gt;1)</formula>
    </cfRule>
    <cfRule type="expression" dxfId="53" priority="138">
      <formula>$C$62="X"</formula>
    </cfRule>
    <cfRule type="expression" dxfId="52" priority="179">
      <formula>OR($I$25="X",$T$25="X")</formula>
    </cfRule>
  </conditionalFormatting>
  <conditionalFormatting sqref="T155">
    <cfRule type="expression" dxfId="51" priority="173">
      <formula>OR($I$25="X",$T$25="X")</formula>
    </cfRule>
    <cfRule type="expression" dxfId="50" priority="113">
      <formula>AND($C$141&lt;&gt;"",$C$141&lt;&gt;1)</formula>
    </cfRule>
    <cfRule type="expression" dxfId="49" priority="106">
      <formula>$C$155="X"</formula>
    </cfRule>
    <cfRule type="expression" dxfId="48" priority="104">
      <formula>$L$155="X"</formula>
    </cfRule>
  </conditionalFormatting>
  <conditionalFormatting sqref="Y294:AA299">
    <cfRule type="expression" dxfId="47" priority="74">
      <formula>$AB294="X"</formula>
    </cfRule>
  </conditionalFormatting>
  <conditionalFormatting sqref="Y265:AD269">
    <cfRule type="expression" dxfId="46" priority="82">
      <formula>AND($S265&lt;&gt;"",$S265&lt;&gt;1)</formula>
    </cfRule>
  </conditionalFormatting>
  <conditionalFormatting sqref="Y294:AD299">
    <cfRule type="expression" dxfId="45" priority="75">
      <formula>AND($S294&lt;&gt;"",$S294&lt;&gt;1)</formula>
    </cfRule>
  </conditionalFormatting>
  <dataValidations count="3">
    <dataValidation type="list" allowBlank="1" showInputMessage="1" showErrorMessage="1" sqref="C25 I25 T25 C62 I62 T62 C77:C90 C104:C118 C155 L155 T155 C209:C225 C239:C250 AB294:AD299" xr:uid="{6B36D8C4-8AA1-497D-BD58-080C64C0D4A2}">
      <formula1>"X"</formula1>
    </dataValidation>
    <dataValidation type="list" allowBlank="1" showInputMessage="1" showErrorMessage="1" sqref="C48:P48 C141:H141 C564:L564" xr:uid="{9F45D7FC-3CF7-48EC-8837-7AD24951AAEB}">
      <formula1>"1,2,3,9"</formula1>
    </dataValidation>
    <dataValidation type="list" allowBlank="1" showInputMessage="1" showErrorMessage="1" sqref="S265:AD269 S294:X299 C500:L500" xr:uid="{C6DFE42D-FCC2-4886-B8BD-801BB7A3B86D}">
      <formula1>"1,2,9"</formula1>
    </dataValidation>
  </dataValidations>
  <hyperlinks>
    <hyperlink ref="AA138:AD138" location="'Complemento 3'!AG10" display="Complemento 3" xr:uid="{8FDAC941-CF80-47E0-B9C0-4F205F774AB0}"/>
    <hyperlink ref="AA7:AD7" location="Índice!B45" display="Índice" xr:uid="{012E86FB-769C-41A8-91CE-8F8D0B1085B9}"/>
  </hyperlinks>
  <printOptions horizontalCentered="1"/>
  <pageMargins left="0.70866141732283472" right="0.70866141732283472" top="0.74803149606299213" bottom="0.74803149606299213" header="0.31496062992125984" footer="0.31496062992125984"/>
  <pageSetup scale="75" orientation="portrait" r:id="rId1"/>
  <headerFooter>
    <oddHeader>&amp;CMódulo 2 Sección XVI
Cuestionario</oddHeader>
    <oddFooter>&amp;LCenso Nacional de Sistemas Penitenciarios Estatales 2024&amp;R&amp;P de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8497D-4AB3-4348-ACA9-736FDC5FB6C4}">
  <dimension ref="A1:AV40"/>
  <sheetViews>
    <sheetView showGridLines="0" zoomScaleNormal="100" workbookViewId="0"/>
  </sheetViews>
  <sheetFormatPr baseColWidth="10" defaultColWidth="0" defaultRowHeight="15" customHeight="1" zeroHeight="1"/>
  <cols>
    <col min="1" max="1" width="5.7109375" style="3" customWidth="1"/>
    <col min="2" max="38" width="3.7109375" style="3" customWidth="1"/>
    <col min="39" max="39" width="5.7109375" style="3" customWidth="1"/>
    <col min="40" max="16384" width="11.42578125" style="3" hidden="1"/>
  </cols>
  <sheetData>
    <row r="1" spans="1:38" ht="173.25" customHeight="1">
      <c r="B1" s="718" t="s">
        <v>0</v>
      </c>
      <c r="C1" s="719"/>
      <c r="D1" s="719"/>
      <c r="E1" s="719"/>
      <c r="F1" s="719"/>
      <c r="G1" s="719"/>
      <c r="H1" s="719"/>
      <c r="I1" s="719"/>
      <c r="J1" s="719"/>
      <c r="K1" s="719"/>
      <c r="L1" s="719"/>
      <c r="M1" s="719"/>
      <c r="N1" s="719"/>
      <c r="O1" s="719"/>
      <c r="P1" s="719"/>
      <c r="Q1" s="719"/>
      <c r="R1" s="719"/>
      <c r="S1" s="719"/>
      <c r="T1" s="719"/>
      <c r="U1" s="719"/>
      <c r="V1" s="719"/>
      <c r="W1" s="719"/>
      <c r="X1" s="719"/>
      <c r="Y1" s="719"/>
      <c r="Z1" s="719"/>
      <c r="AA1" s="719"/>
      <c r="AB1" s="719"/>
      <c r="AC1" s="719"/>
      <c r="AD1" s="719"/>
      <c r="AE1" s="719"/>
      <c r="AF1" s="719"/>
      <c r="AG1" s="719"/>
      <c r="AH1" s="719"/>
      <c r="AI1" s="719"/>
      <c r="AJ1" s="719"/>
      <c r="AK1" s="719"/>
      <c r="AL1" s="719"/>
    </row>
    <row r="2" spans="1:38"/>
    <row r="3" spans="1:38" ht="45" customHeight="1">
      <c r="B3" s="720" t="s">
        <v>1</v>
      </c>
      <c r="C3" s="721"/>
      <c r="D3" s="721"/>
      <c r="E3" s="721"/>
      <c r="F3" s="721"/>
      <c r="G3" s="721"/>
      <c r="H3" s="721"/>
      <c r="I3" s="721"/>
      <c r="J3" s="721"/>
      <c r="K3" s="721"/>
      <c r="L3" s="721"/>
      <c r="M3" s="721"/>
      <c r="N3" s="721"/>
      <c r="O3" s="721"/>
      <c r="P3" s="721"/>
      <c r="Q3" s="721"/>
      <c r="R3" s="721"/>
      <c r="S3" s="721"/>
      <c r="T3" s="721"/>
      <c r="U3" s="721"/>
      <c r="V3" s="721"/>
      <c r="W3" s="721"/>
      <c r="X3" s="721"/>
      <c r="Y3" s="721"/>
      <c r="Z3" s="721"/>
      <c r="AA3" s="721"/>
      <c r="AB3" s="721"/>
      <c r="AC3" s="721"/>
      <c r="AD3" s="721"/>
      <c r="AE3" s="721"/>
      <c r="AF3" s="721"/>
      <c r="AG3" s="721"/>
      <c r="AH3" s="721"/>
      <c r="AI3" s="721"/>
      <c r="AJ3" s="721"/>
      <c r="AK3" s="721"/>
      <c r="AL3" s="721"/>
    </row>
    <row r="4" spans="1:38"/>
    <row r="5" spans="1:38" ht="60" customHeight="1">
      <c r="B5" s="720" t="s">
        <v>40</v>
      </c>
      <c r="C5" s="720"/>
      <c r="D5" s="720"/>
      <c r="E5" s="720"/>
      <c r="F5" s="720"/>
      <c r="G5" s="720"/>
      <c r="H5" s="720"/>
      <c r="I5" s="720"/>
      <c r="J5" s="720"/>
      <c r="K5" s="720"/>
      <c r="L5" s="720"/>
      <c r="M5" s="720"/>
      <c r="N5" s="720"/>
      <c r="O5" s="720"/>
      <c r="P5" s="720"/>
      <c r="Q5" s="720"/>
      <c r="R5" s="720"/>
      <c r="S5" s="720"/>
      <c r="T5" s="720"/>
      <c r="U5" s="720"/>
      <c r="V5" s="720"/>
      <c r="W5" s="720"/>
      <c r="X5" s="720"/>
      <c r="Y5" s="720"/>
      <c r="Z5" s="720"/>
      <c r="AA5" s="720"/>
      <c r="AB5" s="720"/>
      <c r="AC5" s="720"/>
      <c r="AD5" s="720"/>
      <c r="AE5" s="720"/>
      <c r="AF5" s="720"/>
      <c r="AG5" s="720"/>
      <c r="AH5" s="720"/>
      <c r="AI5" s="720"/>
      <c r="AJ5" s="720"/>
      <c r="AK5" s="720"/>
      <c r="AL5" s="720"/>
    </row>
    <row r="6" spans="1:38"/>
    <row r="7" spans="1:38" ht="15" customHeight="1" thickBot="1">
      <c r="B7" s="23" t="s">
        <v>3</v>
      </c>
      <c r="N7" s="23" t="s">
        <v>4</v>
      </c>
      <c r="P7" s="23"/>
      <c r="Q7" s="23"/>
      <c r="R7" s="23"/>
      <c r="AI7" s="742" t="s">
        <v>2</v>
      </c>
      <c r="AJ7" s="742"/>
      <c r="AK7" s="742"/>
      <c r="AL7" s="742"/>
    </row>
    <row r="8" spans="1:38" ht="15" customHeight="1" thickBot="1">
      <c r="B8" s="722" t="str">
        <f>IF(Presentación!B8="","",Presentación!B8)</f>
        <v>Puebla</v>
      </c>
      <c r="C8" s="723"/>
      <c r="D8" s="723"/>
      <c r="E8" s="723"/>
      <c r="F8" s="723"/>
      <c r="G8" s="723"/>
      <c r="H8" s="723"/>
      <c r="I8" s="723"/>
      <c r="J8" s="723"/>
      <c r="K8" s="723"/>
      <c r="L8" s="724"/>
      <c r="M8" s="25"/>
      <c r="N8" s="722">
        <f>IF(Presentación!N8="","",Presentación!N8)</f>
        <v>221</v>
      </c>
      <c r="O8" s="724"/>
      <c r="P8" s="23"/>
      <c r="Q8" s="23"/>
      <c r="R8" s="23"/>
      <c r="AI8" s="241"/>
      <c r="AJ8" s="241"/>
      <c r="AK8" s="241"/>
      <c r="AL8" s="241"/>
    </row>
    <row r="9" spans="1:38" ht="15" customHeight="1">
      <c r="AI9" s="241"/>
      <c r="AJ9" s="241"/>
      <c r="AK9" s="241"/>
      <c r="AL9" s="241"/>
    </row>
    <row r="10" spans="1:38" ht="15" customHeight="1">
      <c r="AI10" s="1203" t="s">
        <v>6891</v>
      </c>
      <c r="AJ10" s="1203"/>
      <c r="AK10" s="1203"/>
      <c r="AL10" s="1203"/>
    </row>
    <row r="11" spans="1:38" ht="15" customHeight="1"/>
    <row r="12" spans="1:38" ht="15" customHeight="1">
      <c r="A12" s="235"/>
      <c r="B12" s="1204" t="s">
        <v>6892</v>
      </c>
      <c r="C12" s="1205"/>
      <c r="D12" s="1205"/>
      <c r="E12" s="1205"/>
      <c r="F12" s="1205"/>
      <c r="G12" s="1205"/>
      <c r="H12" s="1205"/>
      <c r="I12" s="1205"/>
      <c r="J12" s="1205"/>
      <c r="K12" s="1205"/>
      <c r="L12" s="1205"/>
      <c r="M12" s="1205"/>
      <c r="N12" s="1205"/>
      <c r="O12" s="1205"/>
      <c r="P12" s="1205"/>
      <c r="Q12" s="1205"/>
      <c r="R12" s="1205"/>
      <c r="S12" s="1205"/>
      <c r="T12" s="1205"/>
      <c r="U12" s="1205"/>
      <c r="V12" s="1205"/>
      <c r="W12" s="1205"/>
      <c r="X12" s="1205"/>
      <c r="Y12" s="1205"/>
      <c r="Z12" s="1205"/>
      <c r="AA12" s="1205"/>
      <c r="AB12" s="1205"/>
      <c r="AC12" s="1205"/>
      <c r="AD12" s="1205"/>
      <c r="AE12" s="1205"/>
      <c r="AF12" s="1205"/>
      <c r="AG12" s="1205"/>
      <c r="AH12" s="1205"/>
      <c r="AI12" s="1205"/>
      <c r="AJ12" s="1205"/>
      <c r="AK12" s="1205"/>
      <c r="AL12" s="1206"/>
    </row>
    <row r="13" spans="1:38">
      <c r="A13" s="235"/>
      <c r="B13" s="236"/>
      <c r="C13" s="830" t="s">
        <v>6893</v>
      </c>
      <c r="D13" s="830"/>
      <c r="E13" s="830"/>
      <c r="F13" s="830"/>
      <c r="G13" s="830"/>
      <c r="H13" s="830"/>
      <c r="I13" s="830"/>
      <c r="J13" s="830"/>
      <c r="K13" s="830"/>
      <c r="L13" s="830"/>
      <c r="M13" s="830"/>
      <c r="N13" s="830"/>
      <c r="O13" s="830"/>
      <c r="P13" s="830"/>
      <c r="Q13" s="830"/>
      <c r="R13" s="830"/>
      <c r="S13" s="830"/>
      <c r="T13" s="830"/>
      <c r="U13" s="830"/>
      <c r="V13" s="830"/>
      <c r="W13" s="830"/>
      <c r="X13" s="830"/>
      <c r="Y13" s="830"/>
      <c r="Z13" s="830"/>
      <c r="AA13" s="830"/>
      <c r="AB13" s="830"/>
      <c r="AC13" s="830"/>
      <c r="AD13" s="830"/>
      <c r="AE13" s="830"/>
      <c r="AF13" s="830"/>
      <c r="AG13" s="830"/>
      <c r="AH13" s="830"/>
      <c r="AI13" s="830"/>
      <c r="AJ13" s="830"/>
      <c r="AK13" s="830"/>
      <c r="AL13" s="886"/>
    </row>
    <row r="14" spans="1:38" ht="15" customHeight="1">
      <c r="A14" s="235"/>
      <c r="B14" s="236"/>
      <c r="C14" s="754" t="s">
        <v>6894</v>
      </c>
      <c r="D14" s="830"/>
      <c r="E14" s="830"/>
      <c r="F14" s="830"/>
      <c r="G14" s="830"/>
      <c r="H14" s="830"/>
      <c r="I14" s="830"/>
      <c r="J14" s="830"/>
      <c r="K14" s="830"/>
      <c r="L14" s="830"/>
      <c r="M14" s="830"/>
      <c r="N14" s="830"/>
      <c r="O14" s="830"/>
      <c r="P14" s="830"/>
      <c r="Q14" s="830"/>
      <c r="R14" s="830"/>
      <c r="S14" s="830"/>
      <c r="T14" s="830"/>
      <c r="U14" s="830"/>
      <c r="V14" s="830"/>
      <c r="W14" s="830"/>
      <c r="X14" s="830"/>
      <c r="Y14" s="830"/>
      <c r="Z14" s="830"/>
      <c r="AA14" s="830"/>
      <c r="AB14" s="830"/>
      <c r="AC14" s="830"/>
      <c r="AD14" s="830"/>
      <c r="AE14" s="830"/>
      <c r="AF14" s="830"/>
      <c r="AG14" s="830"/>
      <c r="AH14" s="830"/>
      <c r="AI14" s="830"/>
      <c r="AJ14" s="830"/>
      <c r="AK14" s="830"/>
      <c r="AL14" s="886"/>
    </row>
    <row r="15" spans="1:38">
      <c r="A15" s="235"/>
      <c r="B15" s="237"/>
      <c r="C15" s="754" t="s">
        <v>6895</v>
      </c>
      <c r="D15" s="830"/>
      <c r="E15" s="830"/>
      <c r="F15" s="830"/>
      <c r="G15" s="830"/>
      <c r="H15" s="830"/>
      <c r="I15" s="830"/>
      <c r="J15" s="830"/>
      <c r="K15" s="830"/>
      <c r="L15" s="830"/>
      <c r="M15" s="830"/>
      <c r="N15" s="830"/>
      <c r="O15" s="830"/>
      <c r="P15" s="830"/>
      <c r="Q15" s="830"/>
      <c r="R15" s="830"/>
      <c r="S15" s="830"/>
      <c r="T15" s="830"/>
      <c r="U15" s="830"/>
      <c r="V15" s="830"/>
      <c r="W15" s="830"/>
      <c r="X15" s="830"/>
      <c r="Y15" s="830"/>
      <c r="Z15" s="830"/>
      <c r="AA15" s="830"/>
      <c r="AB15" s="830"/>
      <c r="AC15" s="830"/>
      <c r="AD15" s="830"/>
      <c r="AE15" s="830"/>
      <c r="AF15" s="830"/>
      <c r="AG15" s="830"/>
      <c r="AH15" s="830"/>
      <c r="AI15" s="830"/>
      <c r="AJ15" s="830"/>
      <c r="AK15" s="830"/>
      <c r="AL15" s="886"/>
    </row>
    <row r="16" spans="1:38" ht="24" customHeight="1">
      <c r="A16" s="235"/>
      <c r="B16" s="238"/>
      <c r="C16" s="754" t="s">
        <v>6896</v>
      </c>
      <c r="D16" s="754"/>
      <c r="E16" s="754"/>
      <c r="F16" s="754"/>
      <c r="G16" s="754"/>
      <c r="H16" s="754"/>
      <c r="I16" s="754"/>
      <c r="J16" s="754"/>
      <c r="K16" s="754"/>
      <c r="L16" s="754"/>
      <c r="M16" s="754"/>
      <c r="N16" s="754"/>
      <c r="O16" s="754"/>
      <c r="P16" s="754"/>
      <c r="Q16" s="754"/>
      <c r="R16" s="754"/>
      <c r="S16" s="754"/>
      <c r="T16" s="754"/>
      <c r="U16" s="754"/>
      <c r="V16" s="754"/>
      <c r="W16" s="754"/>
      <c r="X16" s="754"/>
      <c r="Y16" s="754"/>
      <c r="Z16" s="754"/>
      <c r="AA16" s="754"/>
      <c r="AB16" s="754"/>
      <c r="AC16" s="754"/>
      <c r="AD16" s="754"/>
      <c r="AE16" s="754"/>
      <c r="AF16" s="754"/>
      <c r="AG16" s="754"/>
      <c r="AH16" s="754"/>
      <c r="AI16" s="754"/>
      <c r="AJ16" s="754"/>
      <c r="AK16" s="754"/>
      <c r="AL16" s="755"/>
    </row>
    <row r="17" spans="1:48" ht="24" customHeight="1">
      <c r="A17" s="235"/>
      <c r="B17" s="238"/>
      <c r="C17" s="754" t="s">
        <v>6897</v>
      </c>
      <c r="D17" s="830"/>
      <c r="E17" s="830"/>
      <c r="F17" s="830"/>
      <c r="G17" s="830"/>
      <c r="H17" s="830"/>
      <c r="I17" s="830"/>
      <c r="J17" s="830"/>
      <c r="K17" s="830"/>
      <c r="L17" s="830"/>
      <c r="M17" s="830"/>
      <c r="N17" s="830"/>
      <c r="O17" s="830"/>
      <c r="P17" s="830"/>
      <c r="Q17" s="830"/>
      <c r="R17" s="830"/>
      <c r="S17" s="830"/>
      <c r="T17" s="830"/>
      <c r="U17" s="830"/>
      <c r="V17" s="830"/>
      <c r="W17" s="830"/>
      <c r="X17" s="830"/>
      <c r="Y17" s="830"/>
      <c r="Z17" s="830"/>
      <c r="AA17" s="830"/>
      <c r="AB17" s="830"/>
      <c r="AC17" s="830"/>
      <c r="AD17" s="830"/>
      <c r="AE17" s="830"/>
      <c r="AF17" s="830"/>
      <c r="AG17" s="830"/>
      <c r="AH17" s="830"/>
      <c r="AI17" s="830"/>
      <c r="AJ17" s="830"/>
      <c r="AK17" s="830"/>
      <c r="AL17" s="886"/>
    </row>
    <row r="18" spans="1:48" ht="36" customHeight="1">
      <c r="B18" s="239"/>
      <c r="C18" s="754" t="s">
        <v>6898</v>
      </c>
      <c r="D18" s="830"/>
      <c r="E18" s="830"/>
      <c r="F18" s="830"/>
      <c r="G18" s="830"/>
      <c r="H18" s="830"/>
      <c r="I18" s="830"/>
      <c r="J18" s="830"/>
      <c r="K18" s="830"/>
      <c r="L18" s="830"/>
      <c r="M18" s="830"/>
      <c r="N18" s="830"/>
      <c r="O18" s="830"/>
      <c r="P18" s="830"/>
      <c r="Q18" s="830"/>
      <c r="R18" s="830"/>
      <c r="S18" s="830"/>
      <c r="T18" s="830"/>
      <c r="U18" s="830"/>
      <c r="V18" s="830"/>
      <c r="W18" s="830"/>
      <c r="X18" s="830"/>
      <c r="Y18" s="830"/>
      <c r="Z18" s="830"/>
      <c r="AA18" s="830"/>
      <c r="AB18" s="830"/>
      <c r="AC18" s="830"/>
      <c r="AD18" s="830"/>
      <c r="AE18" s="830"/>
      <c r="AF18" s="830"/>
      <c r="AG18" s="830"/>
      <c r="AH18" s="830"/>
      <c r="AI18" s="830"/>
      <c r="AJ18" s="830"/>
      <c r="AK18" s="830"/>
      <c r="AL18" s="886"/>
    </row>
    <row r="19" spans="1:48" ht="24" customHeight="1">
      <c r="B19" s="239"/>
      <c r="C19" s="754" t="s">
        <v>6899</v>
      </c>
      <c r="D19" s="830"/>
      <c r="E19" s="830"/>
      <c r="F19" s="830"/>
      <c r="G19" s="830"/>
      <c r="H19" s="830"/>
      <c r="I19" s="830"/>
      <c r="J19" s="830"/>
      <c r="K19" s="830"/>
      <c r="L19" s="830"/>
      <c r="M19" s="830"/>
      <c r="N19" s="830"/>
      <c r="O19" s="830"/>
      <c r="P19" s="830"/>
      <c r="Q19" s="830"/>
      <c r="R19" s="830"/>
      <c r="S19" s="830"/>
      <c r="T19" s="830"/>
      <c r="U19" s="830"/>
      <c r="V19" s="830"/>
      <c r="W19" s="830"/>
      <c r="X19" s="830"/>
      <c r="Y19" s="830"/>
      <c r="Z19" s="830"/>
      <c r="AA19" s="830"/>
      <c r="AB19" s="830"/>
      <c r="AC19" s="830"/>
      <c r="AD19" s="830"/>
      <c r="AE19" s="830"/>
      <c r="AF19" s="830"/>
      <c r="AG19" s="830"/>
      <c r="AH19" s="830"/>
      <c r="AI19" s="830"/>
      <c r="AJ19" s="830"/>
      <c r="AK19" s="830"/>
      <c r="AL19" s="886"/>
    </row>
    <row r="20" spans="1:48" ht="36" customHeight="1">
      <c r="B20" s="240"/>
      <c r="C20" s="764" t="s">
        <v>6900</v>
      </c>
      <c r="D20" s="876"/>
      <c r="E20" s="876"/>
      <c r="F20" s="876"/>
      <c r="G20" s="876"/>
      <c r="H20" s="876"/>
      <c r="I20" s="876"/>
      <c r="J20" s="876"/>
      <c r="K20" s="876"/>
      <c r="L20" s="876"/>
      <c r="M20" s="876"/>
      <c r="N20" s="876"/>
      <c r="O20" s="876"/>
      <c r="P20" s="876"/>
      <c r="Q20" s="876"/>
      <c r="R20" s="876"/>
      <c r="S20" s="876"/>
      <c r="T20" s="876"/>
      <c r="U20" s="876"/>
      <c r="V20" s="876"/>
      <c r="W20" s="876"/>
      <c r="X20" s="876"/>
      <c r="Y20" s="876"/>
      <c r="Z20" s="876"/>
      <c r="AA20" s="876"/>
      <c r="AB20" s="876"/>
      <c r="AC20" s="876"/>
      <c r="AD20" s="876"/>
      <c r="AE20" s="876"/>
      <c r="AF20" s="876"/>
      <c r="AG20" s="876"/>
      <c r="AH20" s="876"/>
      <c r="AI20" s="876"/>
      <c r="AJ20" s="876"/>
      <c r="AK20" s="876"/>
      <c r="AL20" s="877"/>
    </row>
    <row r="21" spans="1:48">
      <c r="A21" s="235"/>
      <c r="B21" s="57"/>
      <c r="C21" s="57"/>
      <c r="D21" s="57"/>
      <c r="E21" s="57"/>
      <c r="F21" s="57"/>
      <c r="G21" s="57"/>
      <c r="H21" s="57"/>
      <c r="I21" s="57"/>
      <c r="J21" s="57"/>
      <c r="K21" s="57"/>
      <c r="L21" s="57"/>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row>
    <row r="22" spans="1:48" ht="156" customHeight="1">
      <c r="A22" s="235"/>
      <c r="B22" s="57"/>
      <c r="C22" s="797" t="s">
        <v>2581</v>
      </c>
      <c r="D22" s="798"/>
      <c r="E22" s="798"/>
      <c r="F22" s="798"/>
      <c r="G22" s="799"/>
      <c r="H22" s="874" t="s">
        <v>2582</v>
      </c>
      <c r="I22" s="874"/>
      <c r="J22" s="874" t="s">
        <v>6901</v>
      </c>
      <c r="K22" s="874"/>
      <c r="L22" s="874"/>
      <c r="M22" s="732" t="s">
        <v>6902</v>
      </c>
      <c r="N22" s="732"/>
      <c r="O22" s="732"/>
      <c r="P22" s="732"/>
      <c r="Q22" s="732"/>
      <c r="R22" s="797" t="s">
        <v>6903</v>
      </c>
      <c r="S22" s="798"/>
      <c r="T22" s="799"/>
      <c r="U22" s="797" t="s">
        <v>6904</v>
      </c>
      <c r="V22" s="798"/>
      <c r="W22" s="799"/>
      <c r="X22" s="1207" t="s">
        <v>6905</v>
      </c>
      <c r="Y22" s="797" t="s">
        <v>6906</v>
      </c>
      <c r="Z22" s="798"/>
      <c r="AA22" s="799"/>
      <c r="AB22" s="732" t="s">
        <v>6907</v>
      </c>
      <c r="AC22" s="732"/>
      <c r="AD22" s="732"/>
      <c r="AE22" s="797" t="s">
        <v>6908</v>
      </c>
      <c r="AF22" s="798"/>
      <c r="AG22" s="799"/>
      <c r="AH22" s="797" t="s">
        <v>6909</v>
      </c>
      <c r="AI22" s="798"/>
      <c r="AJ22" s="798"/>
      <c r="AK22" s="874" t="s">
        <v>6910</v>
      </c>
      <c r="AL22" s="874"/>
    </row>
    <row r="23" spans="1:48">
      <c r="A23" s="228"/>
      <c r="B23" s="131"/>
      <c r="C23" s="803"/>
      <c r="D23" s="804"/>
      <c r="E23" s="804"/>
      <c r="F23" s="804"/>
      <c r="G23" s="805"/>
      <c r="H23" s="874"/>
      <c r="I23" s="874"/>
      <c r="J23" s="874"/>
      <c r="K23" s="874"/>
      <c r="L23" s="874"/>
      <c r="M23" s="736" t="s">
        <v>6911</v>
      </c>
      <c r="N23" s="736"/>
      <c r="O23" s="736" t="s">
        <v>3942</v>
      </c>
      <c r="P23" s="736"/>
      <c r="Q23" s="736"/>
      <c r="R23" s="803"/>
      <c r="S23" s="804"/>
      <c r="T23" s="805"/>
      <c r="U23" s="803"/>
      <c r="V23" s="804"/>
      <c r="W23" s="805"/>
      <c r="X23" s="1208"/>
      <c r="Y23" s="803"/>
      <c r="Z23" s="804"/>
      <c r="AA23" s="805"/>
      <c r="AB23" s="732"/>
      <c r="AC23" s="732"/>
      <c r="AD23" s="732"/>
      <c r="AE23" s="803"/>
      <c r="AF23" s="804"/>
      <c r="AG23" s="805"/>
      <c r="AH23" s="803"/>
      <c r="AI23" s="804"/>
      <c r="AJ23" s="804"/>
      <c r="AK23" s="874"/>
      <c r="AL23" s="874"/>
      <c r="AO23" s="683" t="s">
        <v>2586</v>
      </c>
      <c r="AP23" s="698" t="s">
        <v>2590</v>
      </c>
      <c r="AQ23" s="699" t="s">
        <v>6912</v>
      </c>
      <c r="AR23" s="254" t="s">
        <v>6913</v>
      </c>
      <c r="AS23" s="699" t="s">
        <v>6914</v>
      </c>
      <c r="AT23" s="254" t="s">
        <v>6915</v>
      </c>
      <c r="AU23" s="700" t="s">
        <v>6916</v>
      </c>
      <c r="AV23" s="700" t="s">
        <v>6917</v>
      </c>
    </row>
    <row r="24" spans="1:48">
      <c r="A24" s="228"/>
      <c r="B24" s="70"/>
      <c r="C24" s="44" t="s">
        <v>2516</v>
      </c>
      <c r="D24" s="813" t="str">
        <f>IF(CNSIPEE_2024_M2_Secc1!D42="","",CNSIPEE_2024_M2_Secc1!D42)</f>
        <v/>
      </c>
      <c r="E24" s="814"/>
      <c r="F24" s="814"/>
      <c r="G24" s="815"/>
      <c r="H24" s="816"/>
      <c r="I24" s="817"/>
      <c r="J24" s="816"/>
      <c r="K24" s="738"/>
      <c r="L24" s="817"/>
      <c r="M24" s="733" t="str">
        <f>IF(O24="","",VLOOKUP(O24,Presentación!$AL$3:$AM$574,2,FALSE))</f>
        <v/>
      </c>
      <c r="N24" s="735"/>
      <c r="O24" s="882"/>
      <c r="P24" s="883"/>
      <c r="Q24" s="884"/>
      <c r="R24" s="949"/>
      <c r="S24" s="949"/>
      <c r="T24" s="949"/>
      <c r="U24" s="749"/>
      <c r="V24" s="749"/>
      <c r="W24" s="749"/>
      <c r="X24" s="692" t="s">
        <v>6918</v>
      </c>
      <c r="Y24" s="749"/>
      <c r="Z24" s="749"/>
      <c r="AA24" s="749"/>
      <c r="AB24" s="749"/>
      <c r="AC24" s="749"/>
      <c r="AD24" s="749"/>
      <c r="AE24" s="749"/>
      <c r="AF24" s="749"/>
      <c r="AG24" s="749"/>
      <c r="AH24" s="749"/>
      <c r="AI24" s="749"/>
      <c r="AJ24" s="749"/>
      <c r="AK24" s="733"/>
      <c r="AL24" s="735"/>
      <c r="AO24" s="253">
        <f t="shared" ref="AO24:AO31" si="0">IF(AND(COUNTA(H24:W24)=1,COUNTA(Y24:AL24)=0),0,IF(AND(COUNTA(H24:W24)=6,COUNTA(Y24:AJ24)=4,AK24=""),0,IF(AND(COUNTA(M24:W24)=3,COUNTA(M24:W24)=1,COUNTA(Y24:AJ24)=0,AK24&lt;&gt;""),0,1)))</f>
        <v>0</v>
      </c>
      <c r="AP24" s="253">
        <f t="shared" ref="AP24:AP31" si="1">IF(COUNTIF(R24:AJ24,"NS"),1,0)</f>
        <v>0</v>
      </c>
      <c r="AQ24" s="274" t="str" cm="1">
        <f t="array" aca="1" ref="AQ24" ca="1">_xlfn.TEXTJOIN("",TRUE,IFERROR((MID(U24,ROW(INDIRECT("1:"&amp;LEN(U24))),1)*1),""))</f>
        <v/>
      </c>
      <c r="AR24" s="274" t="str" cm="1">
        <f t="array" aca="1" ref="AR24" ca="1">_xlfn.TEXTJOIN("",TRUE,IFERROR((MID(Y24,ROW(INDIRECT("1:"&amp;LEN(Y24))),1)*1),""))</f>
        <v/>
      </c>
      <c r="AS24" s="253">
        <f t="shared" ref="AS24:AS31" ca="1" si="2">IF(AND(U24&lt;&gt;"NS",U24&lt;&gt;"NA",LEN(AQ24)&gt;8),1,0)</f>
        <v>0</v>
      </c>
      <c r="AT24" s="253">
        <f t="shared" ref="AT24:AT31" ca="1" si="3">IF(AND(Y24&lt;&gt;"NS",Y24&lt;&gt;"NA",LEN(AR24)&gt;9),1,0)</f>
        <v>0</v>
      </c>
      <c r="AU24" s="274" t="str" cm="1">
        <f t="array" aca="1" ref="AU24" ca="1">_xlfn.TEXTJOIN("",TRUE,IFERROR((MID(AH24,ROW(INDIRECT("1:"&amp;LEN(AH24))),1)*1),""))</f>
        <v/>
      </c>
      <c r="AV24" s="253">
        <f t="shared" ref="AV24:AV31" ca="1" si="4">IF(AND(AH24&lt;&gt;"NS",AH24&lt;&gt;"NA",LEN(AU24)&gt;10),1,0)</f>
        <v>0</v>
      </c>
    </row>
    <row r="25" spans="1:48">
      <c r="A25" s="228"/>
      <c r="B25" s="70"/>
      <c r="C25" s="44" t="s">
        <v>2517</v>
      </c>
      <c r="D25" s="813" t="str">
        <f>IF(CNSIPEE_2024_M2_Secc1!D43="","",CNSIPEE_2024_M2_Secc1!D43)</f>
        <v/>
      </c>
      <c r="E25" s="814"/>
      <c r="F25" s="814"/>
      <c r="G25" s="815"/>
      <c r="H25" s="816"/>
      <c r="I25" s="817"/>
      <c r="J25" s="816"/>
      <c r="K25" s="738"/>
      <c r="L25" s="817"/>
      <c r="M25" s="733" t="str">
        <f>IF(O25="","",VLOOKUP(O25,Presentación!$AL$3:$AM$574,2,FALSE))</f>
        <v/>
      </c>
      <c r="N25" s="735"/>
      <c r="O25" s="882"/>
      <c r="P25" s="883"/>
      <c r="Q25" s="884"/>
      <c r="R25" s="949"/>
      <c r="S25" s="949"/>
      <c r="T25" s="949"/>
      <c r="U25" s="749"/>
      <c r="V25" s="749"/>
      <c r="W25" s="749"/>
      <c r="X25" s="692" t="s">
        <v>6918</v>
      </c>
      <c r="Y25" s="749"/>
      <c r="Z25" s="749"/>
      <c r="AA25" s="749"/>
      <c r="AB25" s="749"/>
      <c r="AC25" s="749"/>
      <c r="AD25" s="749"/>
      <c r="AE25" s="749"/>
      <c r="AF25" s="749"/>
      <c r="AG25" s="749"/>
      <c r="AH25" s="749"/>
      <c r="AI25" s="749"/>
      <c r="AJ25" s="749"/>
      <c r="AK25" s="816"/>
      <c r="AL25" s="817"/>
      <c r="AO25" s="253">
        <f t="shared" si="0"/>
        <v>0</v>
      </c>
      <c r="AP25" s="253">
        <f t="shared" si="1"/>
        <v>0</v>
      </c>
      <c r="AQ25" s="274" t="str" cm="1">
        <f t="array" aca="1" ref="AQ25" ca="1">_xlfn.TEXTJOIN("",TRUE,IFERROR((MID(U25,ROW(INDIRECT("1:"&amp;LEN(U25))),1)*1),""))</f>
        <v/>
      </c>
      <c r="AR25" s="274" t="str" cm="1">
        <f t="array" aca="1" ref="AR25" ca="1">_xlfn.TEXTJOIN("",TRUE,IFERROR((MID(Y25,ROW(INDIRECT("1:"&amp;LEN(Y25))),1)*1),""))</f>
        <v/>
      </c>
      <c r="AS25" s="253">
        <f t="shared" ca="1" si="2"/>
        <v>0</v>
      </c>
      <c r="AT25" s="253">
        <f t="shared" ca="1" si="3"/>
        <v>0</v>
      </c>
      <c r="AU25" s="274" t="str" cm="1">
        <f t="array" aca="1" ref="AU25" ca="1">_xlfn.TEXTJOIN("",TRUE,IFERROR((MID(AH25,ROW(INDIRECT("1:"&amp;LEN(AH25))),1)*1),""))</f>
        <v/>
      </c>
      <c r="AV25" s="253">
        <f t="shared" ca="1" si="4"/>
        <v>0</v>
      </c>
    </row>
    <row r="26" spans="1:48">
      <c r="A26" s="228"/>
      <c r="B26" s="70"/>
      <c r="C26" s="44" t="s">
        <v>2518</v>
      </c>
      <c r="D26" s="813" t="str">
        <f>IF(CNSIPEE_2024_M2_Secc1!D44="","",CNSIPEE_2024_M2_Secc1!D44)</f>
        <v/>
      </c>
      <c r="E26" s="814"/>
      <c r="F26" s="814"/>
      <c r="G26" s="815"/>
      <c r="H26" s="816"/>
      <c r="I26" s="817"/>
      <c r="J26" s="816"/>
      <c r="K26" s="738"/>
      <c r="L26" s="817"/>
      <c r="M26" s="733" t="str">
        <f>IF(O26="","",VLOOKUP(O26,Presentación!$AL$3:$AM$574,2,FALSE))</f>
        <v/>
      </c>
      <c r="N26" s="735"/>
      <c r="O26" s="882"/>
      <c r="P26" s="883"/>
      <c r="Q26" s="884"/>
      <c r="R26" s="949"/>
      <c r="S26" s="949"/>
      <c r="T26" s="949"/>
      <c r="U26" s="749"/>
      <c r="V26" s="749"/>
      <c r="W26" s="749"/>
      <c r="X26" s="692" t="s">
        <v>6918</v>
      </c>
      <c r="Y26" s="749"/>
      <c r="Z26" s="749"/>
      <c r="AA26" s="749"/>
      <c r="AB26" s="749"/>
      <c r="AC26" s="749"/>
      <c r="AD26" s="749"/>
      <c r="AE26" s="749"/>
      <c r="AF26" s="749"/>
      <c r="AG26" s="749"/>
      <c r="AH26" s="749"/>
      <c r="AI26" s="749"/>
      <c r="AJ26" s="749"/>
      <c r="AK26" s="816"/>
      <c r="AL26" s="817"/>
      <c r="AO26" s="253">
        <f t="shared" si="0"/>
        <v>0</v>
      </c>
      <c r="AP26" s="253">
        <f t="shared" si="1"/>
        <v>0</v>
      </c>
      <c r="AQ26" s="274" t="str" cm="1">
        <f t="array" aca="1" ref="AQ26" ca="1">_xlfn.TEXTJOIN("",TRUE,IFERROR((MID(U26,ROW(INDIRECT("1:"&amp;LEN(U26))),1)*1),""))</f>
        <v/>
      </c>
      <c r="AR26" s="274" t="str" cm="1">
        <f t="array" aca="1" ref="AR26" ca="1">_xlfn.TEXTJOIN("",TRUE,IFERROR((MID(Y26,ROW(INDIRECT("1:"&amp;LEN(Y26))),1)*1),""))</f>
        <v/>
      </c>
      <c r="AS26" s="253">
        <f t="shared" ca="1" si="2"/>
        <v>0</v>
      </c>
      <c r="AT26" s="253">
        <f t="shared" ca="1" si="3"/>
        <v>0</v>
      </c>
      <c r="AU26" s="274" t="str" cm="1">
        <f t="array" aca="1" ref="AU26" ca="1">_xlfn.TEXTJOIN("",TRUE,IFERROR((MID(AH26,ROW(INDIRECT("1:"&amp;LEN(AH26))),1)*1),""))</f>
        <v/>
      </c>
      <c r="AV26" s="253">
        <f t="shared" ca="1" si="4"/>
        <v>0</v>
      </c>
    </row>
    <row r="27" spans="1:48">
      <c r="A27" s="228"/>
      <c r="B27" s="70"/>
      <c r="C27" s="44" t="s">
        <v>2519</v>
      </c>
      <c r="D27" s="813" t="str">
        <f>IF(CNSIPEE_2024_M2_Secc1!D45="","",CNSIPEE_2024_M2_Secc1!D45)</f>
        <v/>
      </c>
      <c r="E27" s="814"/>
      <c r="F27" s="814"/>
      <c r="G27" s="815"/>
      <c r="H27" s="816"/>
      <c r="I27" s="817"/>
      <c r="J27" s="816"/>
      <c r="K27" s="738"/>
      <c r="L27" s="817"/>
      <c r="M27" s="733" t="str">
        <f>IF(O27="","",VLOOKUP(O27,Presentación!$AL$3:$AM$574,2,FALSE))</f>
        <v/>
      </c>
      <c r="N27" s="735"/>
      <c r="O27" s="882"/>
      <c r="P27" s="883"/>
      <c r="Q27" s="884"/>
      <c r="R27" s="949"/>
      <c r="S27" s="949"/>
      <c r="T27" s="949"/>
      <c r="U27" s="749"/>
      <c r="V27" s="749"/>
      <c r="W27" s="749"/>
      <c r="X27" s="692" t="s">
        <v>6918</v>
      </c>
      <c r="Y27" s="749"/>
      <c r="Z27" s="749"/>
      <c r="AA27" s="749"/>
      <c r="AB27" s="749"/>
      <c r="AC27" s="749"/>
      <c r="AD27" s="749"/>
      <c r="AE27" s="749"/>
      <c r="AF27" s="749"/>
      <c r="AG27" s="749"/>
      <c r="AH27" s="749"/>
      <c r="AI27" s="749"/>
      <c r="AJ27" s="749"/>
      <c r="AK27" s="816"/>
      <c r="AL27" s="817"/>
      <c r="AO27" s="253">
        <f t="shared" si="0"/>
        <v>0</v>
      </c>
      <c r="AP27" s="253">
        <f t="shared" si="1"/>
        <v>0</v>
      </c>
      <c r="AQ27" s="274" t="str" cm="1">
        <f t="array" aca="1" ref="AQ27" ca="1">_xlfn.TEXTJOIN("",TRUE,IFERROR((MID(U27,ROW(INDIRECT("1:"&amp;LEN(U27))),1)*1),""))</f>
        <v/>
      </c>
      <c r="AR27" s="274" t="str" cm="1">
        <f t="array" aca="1" ref="AR27" ca="1">_xlfn.TEXTJOIN("",TRUE,IFERROR((MID(Y27,ROW(INDIRECT("1:"&amp;LEN(Y27))),1)*1),""))</f>
        <v/>
      </c>
      <c r="AS27" s="253">
        <f t="shared" ca="1" si="2"/>
        <v>0</v>
      </c>
      <c r="AT27" s="253">
        <f t="shared" ca="1" si="3"/>
        <v>0</v>
      </c>
      <c r="AU27" s="274" t="str" cm="1">
        <f t="array" aca="1" ref="AU27" ca="1">_xlfn.TEXTJOIN("",TRUE,IFERROR((MID(AH27,ROW(INDIRECT("1:"&amp;LEN(AH27))),1)*1),""))</f>
        <v/>
      </c>
      <c r="AV27" s="253">
        <f t="shared" ca="1" si="4"/>
        <v>0</v>
      </c>
    </row>
    <row r="28" spans="1:48">
      <c r="A28" s="228"/>
      <c r="B28" s="70"/>
      <c r="C28" s="44" t="s">
        <v>2520</v>
      </c>
      <c r="D28" s="813" t="str">
        <f>IF(CNSIPEE_2024_M2_Secc1!D46="","",CNSIPEE_2024_M2_Secc1!D46)</f>
        <v/>
      </c>
      <c r="E28" s="814"/>
      <c r="F28" s="814"/>
      <c r="G28" s="815"/>
      <c r="H28" s="816"/>
      <c r="I28" s="817"/>
      <c r="J28" s="816"/>
      <c r="K28" s="738"/>
      <c r="L28" s="817"/>
      <c r="M28" s="733" t="str">
        <f>IF(O28="","",VLOOKUP(O28,Presentación!$AL$3:$AM$574,2,FALSE))</f>
        <v/>
      </c>
      <c r="N28" s="735"/>
      <c r="O28" s="882"/>
      <c r="P28" s="883"/>
      <c r="Q28" s="884"/>
      <c r="R28" s="882"/>
      <c r="S28" s="883"/>
      <c r="T28" s="884"/>
      <c r="U28" s="749"/>
      <c r="V28" s="749"/>
      <c r="W28" s="749"/>
      <c r="X28" s="692" t="s">
        <v>6918</v>
      </c>
      <c r="Y28" s="749"/>
      <c r="Z28" s="749"/>
      <c r="AA28" s="749"/>
      <c r="AB28" s="749"/>
      <c r="AC28" s="749"/>
      <c r="AD28" s="749"/>
      <c r="AE28" s="749"/>
      <c r="AF28" s="749"/>
      <c r="AG28" s="749"/>
      <c r="AH28" s="749"/>
      <c r="AI28" s="749"/>
      <c r="AJ28" s="749"/>
      <c r="AK28" s="816"/>
      <c r="AL28" s="817"/>
      <c r="AO28" s="253">
        <f t="shared" si="0"/>
        <v>0</v>
      </c>
      <c r="AP28" s="253">
        <f t="shared" si="1"/>
        <v>0</v>
      </c>
      <c r="AQ28" s="274" t="str" cm="1">
        <f t="array" aca="1" ref="AQ28" ca="1">_xlfn.TEXTJOIN("",TRUE,IFERROR((MID(U28,ROW(INDIRECT("1:"&amp;LEN(U28))),1)*1),""))</f>
        <v/>
      </c>
      <c r="AR28" s="274" t="str" cm="1">
        <f t="array" aca="1" ref="AR28" ca="1">_xlfn.TEXTJOIN("",TRUE,IFERROR((MID(Y28,ROW(INDIRECT("1:"&amp;LEN(Y28))),1)*1),""))</f>
        <v/>
      </c>
      <c r="AS28" s="253">
        <f t="shared" ca="1" si="2"/>
        <v>0</v>
      </c>
      <c r="AT28" s="253">
        <f t="shared" ca="1" si="3"/>
        <v>0</v>
      </c>
      <c r="AU28" s="274" t="str" cm="1">
        <f t="array" aca="1" ref="AU28" ca="1">_xlfn.TEXTJOIN("",TRUE,IFERROR((MID(AH28,ROW(INDIRECT("1:"&amp;LEN(AH28))),1)*1),""))</f>
        <v/>
      </c>
      <c r="AV28" s="253">
        <f t="shared" ca="1" si="4"/>
        <v>0</v>
      </c>
    </row>
    <row r="29" spans="1:48">
      <c r="A29" s="228"/>
      <c r="B29" s="70"/>
      <c r="C29" s="44" t="s">
        <v>2521</v>
      </c>
      <c r="D29" s="813" t="str">
        <f>IF(CNSIPEE_2024_M2_Secc1!D47="","",CNSIPEE_2024_M2_Secc1!D47)</f>
        <v/>
      </c>
      <c r="E29" s="814"/>
      <c r="F29" s="814"/>
      <c r="G29" s="815"/>
      <c r="H29" s="816"/>
      <c r="I29" s="817"/>
      <c r="J29" s="816"/>
      <c r="K29" s="738"/>
      <c r="L29" s="817"/>
      <c r="M29" s="733" t="str">
        <f>IF(O29="","",VLOOKUP(O29,Presentación!$AL$3:$AM$574,2,FALSE))</f>
        <v/>
      </c>
      <c r="N29" s="735"/>
      <c r="O29" s="882"/>
      <c r="P29" s="883"/>
      <c r="Q29" s="884"/>
      <c r="R29" s="949"/>
      <c r="S29" s="949"/>
      <c r="T29" s="949"/>
      <c r="U29" s="749"/>
      <c r="V29" s="749"/>
      <c r="W29" s="749"/>
      <c r="X29" s="692" t="s">
        <v>6918</v>
      </c>
      <c r="Y29" s="749"/>
      <c r="Z29" s="749"/>
      <c r="AA29" s="749"/>
      <c r="AB29" s="749"/>
      <c r="AC29" s="749"/>
      <c r="AD29" s="749"/>
      <c r="AE29" s="749"/>
      <c r="AF29" s="749"/>
      <c r="AG29" s="749"/>
      <c r="AH29" s="749"/>
      <c r="AI29" s="749"/>
      <c r="AJ29" s="749"/>
      <c r="AK29" s="816"/>
      <c r="AL29" s="817"/>
      <c r="AO29" s="253">
        <f t="shared" si="0"/>
        <v>0</v>
      </c>
      <c r="AP29" s="253">
        <f t="shared" si="1"/>
        <v>0</v>
      </c>
      <c r="AQ29" s="274" t="str" cm="1">
        <f t="array" aca="1" ref="AQ29" ca="1">_xlfn.TEXTJOIN("",TRUE,IFERROR((MID(U29,ROW(INDIRECT("1:"&amp;LEN(U29))),1)*1),""))</f>
        <v/>
      </c>
      <c r="AR29" s="274" t="str" cm="1">
        <f t="array" aca="1" ref="AR29" ca="1">_xlfn.TEXTJOIN("",TRUE,IFERROR((MID(Y29,ROW(INDIRECT("1:"&amp;LEN(Y29))),1)*1),""))</f>
        <v/>
      </c>
      <c r="AS29" s="253">
        <f t="shared" ca="1" si="2"/>
        <v>0</v>
      </c>
      <c r="AT29" s="253">
        <f t="shared" ca="1" si="3"/>
        <v>0</v>
      </c>
      <c r="AU29" s="274" t="str" cm="1">
        <f t="array" aca="1" ref="AU29" ca="1">_xlfn.TEXTJOIN("",TRUE,IFERROR((MID(AH29,ROW(INDIRECT("1:"&amp;LEN(AH29))),1)*1),""))</f>
        <v/>
      </c>
      <c r="AV29" s="253">
        <f t="shared" ca="1" si="4"/>
        <v>0</v>
      </c>
    </row>
    <row r="30" spans="1:48">
      <c r="A30" s="228"/>
      <c r="B30" s="70"/>
      <c r="C30" s="44" t="s">
        <v>2522</v>
      </c>
      <c r="D30" s="813" t="str">
        <f>IF(CNSIPEE_2024_M2_Secc1!D48="","",CNSIPEE_2024_M2_Secc1!D48)</f>
        <v/>
      </c>
      <c r="E30" s="814"/>
      <c r="F30" s="814"/>
      <c r="G30" s="815"/>
      <c r="H30" s="816"/>
      <c r="I30" s="817"/>
      <c r="J30" s="816"/>
      <c r="K30" s="738"/>
      <c r="L30" s="817"/>
      <c r="M30" s="733" t="str">
        <f>IF(O30="","",VLOOKUP(O30,Presentación!$AL$3:$AM$574,2,FALSE))</f>
        <v/>
      </c>
      <c r="N30" s="735"/>
      <c r="O30" s="882"/>
      <c r="P30" s="883"/>
      <c r="Q30" s="884"/>
      <c r="R30" s="949"/>
      <c r="S30" s="949"/>
      <c r="T30" s="949"/>
      <c r="U30" s="749"/>
      <c r="V30" s="749"/>
      <c r="W30" s="749"/>
      <c r="X30" s="692" t="s">
        <v>6918</v>
      </c>
      <c r="Y30" s="749"/>
      <c r="Z30" s="749"/>
      <c r="AA30" s="749"/>
      <c r="AB30" s="749"/>
      <c r="AC30" s="749"/>
      <c r="AD30" s="749"/>
      <c r="AE30" s="749"/>
      <c r="AF30" s="749"/>
      <c r="AG30" s="749"/>
      <c r="AH30" s="749"/>
      <c r="AI30" s="749"/>
      <c r="AJ30" s="749"/>
      <c r="AK30" s="816"/>
      <c r="AL30" s="817"/>
      <c r="AO30" s="253">
        <f t="shared" si="0"/>
        <v>0</v>
      </c>
      <c r="AP30" s="253">
        <f t="shared" si="1"/>
        <v>0</v>
      </c>
      <c r="AQ30" s="274" t="str" cm="1">
        <f t="array" aca="1" ref="AQ30" ca="1">_xlfn.TEXTJOIN("",TRUE,IFERROR((MID(U30,ROW(INDIRECT("1:"&amp;LEN(U30))),1)*1),""))</f>
        <v/>
      </c>
      <c r="AR30" s="274" t="str" cm="1">
        <f t="array" aca="1" ref="AR30" ca="1">_xlfn.TEXTJOIN("",TRUE,IFERROR((MID(Y30,ROW(INDIRECT("1:"&amp;LEN(Y30))),1)*1),""))</f>
        <v/>
      </c>
      <c r="AS30" s="253">
        <f t="shared" ca="1" si="2"/>
        <v>0</v>
      </c>
      <c r="AT30" s="253">
        <f t="shared" ca="1" si="3"/>
        <v>0</v>
      </c>
      <c r="AU30" s="274" t="str" cm="1">
        <f t="array" aca="1" ref="AU30" ca="1">_xlfn.TEXTJOIN("",TRUE,IFERROR((MID(AH30,ROW(INDIRECT("1:"&amp;LEN(AH30))),1)*1),""))</f>
        <v/>
      </c>
      <c r="AV30" s="253">
        <f t="shared" ca="1" si="4"/>
        <v>0</v>
      </c>
    </row>
    <row r="31" spans="1:48">
      <c r="A31" s="228"/>
      <c r="B31" s="70"/>
      <c r="C31" s="44" t="s">
        <v>2523</v>
      </c>
      <c r="D31" s="813" t="str">
        <f>IF(CNSIPEE_2024_M2_Secc1!D49="","",CNSIPEE_2024_M2_Secc1!D49)</f>
        <v/>
      </c>
      <c r="E31" s="814"/>
      <c r="F31" s="814"/>
      <c r="G31" s="815"/>
      <c r="H31" s="816"/>
      <c r="I31" s="817"/>
      <c r="J31" s="816"/>
      <c r="K31" s="738"/>
      <c r="L31" s="817"/>
      <c r="M31" s="733" t="str">
        <f>IF(O31="","",VLOOKUP(O31,Presentación!$AL$3:$AM$574,2,FALSE))</f>
        <v/>
      </c>
      <c r="N31" s="735"/>
      <c r="O31" s="882"/>
      <c r="P31" s="883"/>
      <c r="Q31" s="884"/>
      <c r="R31" s="949"/>
      <c r="S31" s="949"/>
      <c r="T31" s="949"/>
      <c r="U31" s="749"/>
      <c r="V31" s="749"/>
      <c r="W31" s="749"/>
      <c r="X31" s="692" t="s">
        <v>6918</v>
      </c>
      <c r="Y31" s="749"/>
      <c r="Z31" s="749"/>
      <c r="AA31" s="749"/>
      <c r="AB31" s="749"/>
      <c r="AC31" s="749"/>
      <c r="AD31" s="749"/>
      <c r="AE31" s="749"/>
      <c r="AF31" s="749"/>
      <c r="AG31" s="749"/>
      <c r="AH31" s="749"/>
      <c r="AI31" s="749"/>
      <c r="AJ31" s="749"/>
      <c r="AK31" s="816"/>
      <c r="AL31" s="817"/>
      <c r="AO31" s="253">
        <f t="shared" si="0"/>
        <v>0</v>
      </c>
      <c r="AP31" s="253">
        <f t="shared" si="1"/>
        <v>0</v>
      </c>
      <c r="AQ31" s="274" t="str" cm="1">
        <f t="array" aca="1" ref="AQ31" ca="1">_xlfn.TEXTJOIN("",TRUE,IFERROR((MID(U31,ROW(INDIRECT("1:"&amp;LEN(U31))),1)*1),""))</f>
        <v/>
      </c>
      <c r="AR31" s="274" t="str" cm="1">
        <f t="array" aca="1" ref="AR31" ca="1">_xlfn.TEXTJOIN("",TRUE,IFERROR((MID(Y31,ROW(INDIRECT("1:"&amp;LEN(Y31))),1)*1),""))</f>
        <v/>
      </c>
      <c r="AS31" s="253">
        <f t="shared" ca="1" si="2"/>
        <v>0</v>
      </c>
      <c r="AT31" s="253">
        <f t="shared" ca="1" si="3"/>
        <v>0</v>
      </c>
      <c r="AU31" s="274" t="str" cm="1">
        <f t="array" aca="1" ref="AU31" ca="1">_xlfn.TEXTJOIN("",TRUE,IFERROR((MID(AH31,ROW(INDIRECT("1:"&amp;LEN(AH31))),1)*1),""))</f>
        <v/>
      </c>
      <c r="AV31" s="253">
        <f t="shared" ca="1" si="4"/>
        <v>0</v>
      </c>
    </row>
    <row r="32" spans="1:48">
      <c r="AO32" s="683">
        <f>SUM(AO24:AO31)</f>
        <v>0</v>
      </c>
      <c r="AP32" s="698">
        <f>SUM(AP24:AP31)</f>
        <v>0</v>
      </c>
      <c r="AQ32" s="253"/>
      <c r="AR32" s="253"/>
      <c r="AS32" s="699">
        <f ca="1">SUM(AS24:AS31)</f>
        <v>0</v>
      </c>
      <c r="AT32" s="254">
        <f ca="1">SUM(AT24:AT31)</f>
        <v>0</v>
      </c>
      <c r="AU32" s="253"/>
      <c r="AV32" s="700">
        <f ca="1">SUM(AV24:AV31)</f>
        <v>0</v>
      </c>
    </row>
    <row r="33" spans="2:38" ht="24" customHeight="1">
      <c r="C33" s="754" t="s">
        <v>2611</v>
      </c>
      <c r="D33" s="754"/>
      <c r="E33" s="754"/>
      <c r="F33" s="754"/>
      <c r="G33" s="754"/>
      <c r="H33" s="754"/>
      <c r="I33" s="754"/>
      <c r="J33" s="754"/>
      <c r="K33" s="754"/>
      <c r="L33" s="754"/>
      <c r="M33" s="754"/>
      <c r="N33" s="754"/>
      <c r="O33" s="754"/>
      <c r="P33" s="754"/>
      <c r="Q33" s="754"/>
      <c r="R33" s="754"/>
      <c r="S33" s="754"/>
      <c r="T33" s="754"/>
      <c r="U33" s="754"/>
      <c r="V33" s="754"/>
      <c r="W33" s="754"/>
      <c r="X33" s="754"/>
      <c r="Y33" s="754"/>
      <c r="Z33" s="754"/>
      <c r="AA33" s="754"/>
      <c r="AB33" s="754"/>
      <c r="AC33" s="754"/>
      <c r="AD33" s="754"/>
      <c r="AE33" s="754"/>
      <c r="AF33" s="754"/>
      <c r="AG33" s="754"/>
      <c r="AH33" s="754"/>
      <c r="AI33" s="754"/>
      <c r="AJ33" s="754"/>
      <c r="AK33" s="754"/>
      <c r="AL33" s="754"/>
    </row>
    <row r="34" spans="2:38" ht="60" customHeight="1">
      <c r="C34" s="851"/>
      <c r="D34" s="851"/>
      <c r="E34" s="851"/>
      <c r="F34" s="851"/>
      <c r="G34" s="851"/>
      <c r="H34" s="851"/>
      <c r="I34" s="851"/>
      <c r="J34" s="851"/>
      <c r="K34" s="851"/>
      <c r="L34" s="851"/>
      <c r="M34" s="851"/>
      <c r="N34" s="851"/>
      <c r="O34" s="851"/>
      <c r="P34" s="851"/>
      <c r="Q34" s="851"/>
      <c r="R34" s="851"/>
      <c r="S34" s="851"/>
      <c r="T34" s="851"/>
      <c r="U34" s="851"/>
      <c r="V34" s="851"/>
      <c r="W34" s="851"/>
      <c r="X34" s="851"/>
      <c r="Y34" s="851"/>
      <c r="Z34" s="851"/>
      <c r="AA34" s="851"/>
      <c r="AB34" s="851"/>
      <c r="AC34" s="851"/>
      <c r="AD34" s="851"/>
      <c r="AE34" s="851"/>
      <c r="AF34" s="851"/>
      <c r="AG34" s="851"/>
      <c r="AH34" s="851"/>
      <c r="AI34" s="851"/>
      <c r="AJ34" s="851"/>
      <c r="AK34" s="851"/>
      <c r="AL34" s="851"/>
    </row>
    <row r="35" spans="2:38" ht="15" customHeight="1">
      <c r="B35" s="794" t="str">
        <f>IF(AO32&gt;0,"Favor de ingresar toda la información requerida en la pregunta y/o verifique que no tenga información en celdas sombreadas","")</f>
        <v/>
      </c>
      <c r="C35" s="794"/>
      <c r="D35" s="794"/>
      <c r="E35" s="794"/>
      <c r="F35" s="794"/>
      <c r="G35" s="794"/>
      <c r="H35" s="794"/>
      <c r="I35" s="794"/>
      <c r="J35" s="794"/>
      <c r="K35" s="794"/>
      <c r="L35" s="794"/>
      <c r="M35" s="794"/>
      <c r="N35" s="794"/>
      <c r="O35" s="794"/>
      <c r="P35" s="794"/>
      <c r="Q35" s="794"/>
      <c r="R35" s="794"/>
      <c r="S35" s="794"/>
      <c r="T35" s="794"/>
      <c r="U35" s="794"/>
      <c r="V35" s="794"/>
      <c r="W35" s="794"/>
      <c r="X35" s="794"/>
      <c r="Y35" s="794"/>
      <c r="Z35" s="794"/>
      <c r="AA35" s="794"/>
      <c r="AB35" s="794"/>
      <c r="AC35" s="794"/>
      <c r="AD35" s="794"/>
      <c r="AE35" s="794"/>
      <c r="AF35" s="794"/>
      <c r="AG35" s="794"/>
      <c r="AH35" s="794"/>
      <c r="AI35" s="794"/>
      <c r="AJ35" s="794"/>
      <c r="AK35" s="794"/>
    </row>
    <row r="36" spans="2:38" ht="15" customHeight="1">
      <c r="B36" s="795" t="str">
        <f>IF(AP32&gt;0,"Alerta: debido a que cuenta con registros NS, debe proporcionar una justificación en el area de comentarios al final de la pregunta","")</f>
        <v/>
      </c>
      <c r="C36" s="795"/>
      <c r="D36" s="795"/>
      <c r="E36" s="795"/>
      <c r="F36" s="795"/>
      <c r="G36" s="795"/>
      <c r="H36" s="795"/>
      <c r="I36" s="795"/>
      <c r="J36" s="795"/>
      <c r="K36" s="795"/>
      <c r="L36" s="795"/>
      <c r="M36" s="795"/>
      <c r="N36" s="795"/>
      <c r="O36" s="795"/>
      <c r="P36" s="795"/>
      <c r="Q36" s="795"/>
      <c r="R36" s="795"/>
      <c r="S36" s="795"/>
      <c r="T36" s="795"/>
      <c r="U36" s="795"/>
      <c r="V36" s="795"/>
      <c r="W36" s="795"/>
      <c r="X36" s="795"/>
      <c r="Y36" s="795"/>
      <c r="Z36" s="795"/>
      <c r="AA36" s="795"/>
      <c r="AB36" s="795"/>
      <c r="AC36" s="795"/>
      <c r="AD36" s="795"/>
      <c r="AE36" s="795"/>
      <c r="AF36" s="795"/>
      <c r="AG36" s="795"/>
      <c r="AH36" s="795"/>
      <c r="AI36" s="795"/>
      <c r="AJ36" s="795"/>
      <c r="AK36" s="795"/>
    </row>
    <row r="37" spans="2:38" ht="15" customHeight="1">
      <c r="B37" s="794" t="str">
        <f ca="1">IF(AS32&gt;0,"Favor de revisar las coordenadas de latitud debido a que no debe exceder los 8 dígitos",IF(AT32&gt;0,"Favor de revisar las coordenadas de longitud debido a que no debe exceder los 9 dígitos",""))</f>
        <v/>
      </c>
      <c r="C37" s="794"/>
      <c r="D37" s="794"/>
      <c r="E37" s="794"/>
      <c r="F37" s="794"/>
      <c r="G37" s="794"/>
      <c r="H37" s="794"/>
      <c r="I37" s="794"/>
      <c r="J37" s="794"/>
      <c r="K37" s="794"/>
      <c r="L37" s="794"/>
      <c r="M37" s="794"/>
      <c r="N37" s="794"/>
      <c r="O37" s="794"/>
      <c r="P37" s="794"/>
      <c r="Q37" s="794"/>
      <c r="R37" s="794"/>
      <c r="S37" s="794"/>
      <c r="T37" s="794"/>
      <c r="U37" s="794"/>
      <c r="V37" s="794"/>
      <c r="W37" s="794"/>
      <c r="X37" s="794"/>
      <c r="Y37" s="794"/>
      <c r="Z37" s="794"/>
      <c r="AA37" s="794"/>
      <c r="AB37" s="794"/>
      <c r="AC37" s="794"/>
      <c r="AD37" s="794"/>
      <c r="AE37" s="794"/>
      <c r="AF37" s="794"/>
      <c r="AG37" s="794"/>
      <c r="AH37" s="794"/>
      <c r="AI37" s="794"/>
      <c r="AJ37" s="794"/>
      <c r="AK37" s="794"/>
    </row>
    <row r="38" spans="2:38" ht="15" customHeight="1">
      <c r="B38" s="794" t="str">
        <f ca="1">IF(AV32&gt;0,"Favor de revisar el número telefónico ya que no debe exceder de los 10 dígitos","")</f>
        <v/>
      </c>
      <c r="C38" s="794"/>
      <c r="D38" s="794"/>
      <c r="E38" s="794"/>
      <c r="F38" s="794"/>
      <c r="G38" s="794"/>
      <c r="H38" s="794"/>
      <c r="I38" s="794"/>
      <c r="J38" s="794"/>
      <c r="K38" s="794"/>
      <c r="L38" s="794"/>
      <c r="M38" s="794"/>
      <c r="N38" s="794"/>
      <c r="O38" s="794"/>
      <c r="P38" s="794"/>
      <c r="Q38" s="794"/>
      <c r="R38" s="794"/>
      <c r="S38" s="794"/>
      <c r="T38" s="794"/>
      <c r="U38" s="794"/>
      <c r="V38" s="794"/>
      <c r="W38" s="794"/>
      <c r="X38" s="794"/>
      <c r="Y38" s="794"/>
      <c r="Z38" s="794"/>
      <c r="AA38" s="794"/>
      <c r="AB38" s="794"/>
      <c r="AC38" s="794"/>
      <c r="AD38" s="794"/>
      <c r="AE38" s="794"/>
      <c r="AF38" s="794"/>
      <c r="AG38" s="794"/>
      <c r="AH38" s="794"/>
      <c r="AI38" s="794"/>
      <c r="AJ38" s="794"/>
      <c r="AK38" s="794"/>
    </row>
    <row r="39" spans="2:38" ht="15" customHeight="1"/>
    <row r="40" spans="2:38" ht="15" customHeight="1"/>
  </sheetData>
  <sheetProtection algorithmName="SHA-512" hashValue="p5DRyrnRoPqBWHF2Pj/cvsdBuu4V7Bi8pNJkZ3HTIQuptf/aNQtO1nIpA5QcE16+pbbG/qx8X902IDmYgN0Vmw==" saltValue="J7WECMyHnR4yAHCbbqIqeA==" spinCount="100000" sheet="1" objects="1" scenarios="1"/>
  <mergeCells count="132">
    <mergeCell ref="C14:AL14"/>
    <mergeCell ref="C15:AL15"/>
    <mergeCell ref="C16:AL16"/>
    <mergeCell ref="AK24:AL24"/>
    <mergeCell ref="D25:G25"/>
    <mergeCell ref="H25:I25"/>
    <mergeCell ref="J25:L25"/>
    <mergeCell ref="M25:N25"/>
    <mergeCell ref="O25:Q25"/>
    <mergeCell ref="AK25:AL25"/>
    <mergeCell ref="D24:G24"/>
    <mergeCell ref="AB22:AD23"/>
    <mergeCell ref="B35:AK35"/>
    <mergeCell ref="B36:AK36"/>
    <mergeCell ref="B37:AK37"/>
    <mergeCell ref="B38:AK38"/>
    <mergeCell ref="AB30:AD30"/>
    <mergeCell ref="AB31:AD31"/>
    <mergeCell ref="AE22:AG23"/>
    <mergeCell ref="B1:AL1"/>
    <mergeCell ref="B3:AL3"/>
    <mergeCell ref="B5:AL5"/>
    <mergeCell ref="B8:L8"/>
    <mergeCell ref="N8:O8"/>
    <mergeCell ref="C22:G23"/>
    <mergeCell ref="H22:I23"/>
    <mergeCell ref="J22:L23"/>
    <mergeCell ref="M22:Q22"/>
    <mergeCell ref="R22:T23"/>
    <mergeCell ref="U22:W23"/>
    <mergeCell ref="X22:X23"/>
    <mergeCell ref="AH22:AJ23"/>
    <mergeCell ref="AK22:AL23"/>
    <mergeCell ref="M23:N23"/>
    <mergeCell ref="O23:Q23"/>
    <mergeCell ref="Y22:AA23"/>
    <mergeCell ref="AI7:AL7"/>
    <mergeCell ref="AI10:AL10"/>
    <mergeCell ref="C17:AL17"/>
    <mergeCell ref="C19:AL19"/>
    <mergeCell ref="C20:AL20"/>
    <mergeCell ref="C18:AL18"/>
    <mergeCell ref="AE26:AG26"/>
    <mergeCell ref="AH26:AJ26"/>
    <mergeCell ref="Y26:AA26"/>
    <mergeCell ref="H24:I24"/>
    <mergeCell ref="J24:L24"/>
    <mergeCell ref="M24:N24"/>
    <mergeCell ref="O24:Q24"/>
    <mergeCell ref="R24:T24"/>
    <mergeCell ref="U24:W24"/>
    <mergeCell ref="AE24:AG24"/>
    <mergeCell ref="AH24:AJ24"/>
    <mergeCell ref="Y24:AA24"/>
    <mergeCell ref="R25:T25"/>
    <mergeCell ref="U25:W25"/>
    <mergeCell ref="AE25:AG25"/>
    <mergeCell ref="AH25:AJ25"/>
    <mergeCell ref="B12:AL12"/>
    <mergeCell ref="C13:AL13"/>
    <mergeCell ref="AE28:AG28"/>
    <mergeCell ref="AH28:AJ28"/>
    <mergeCell ref="Y28:AA28"/>
    <mergeCell ref="Y25:AA25"/>
    <mergeCell ref="AB24:AD24"/>
    <mergeCell ref="AB25:AD25"/>
    <mergeCell ref="AK26:AL26"/>
    <mergeCell ref="D27:G27"/>
    <mergeCell ref="H27:I27"/>
    <mergeCell ref="J27:L27"/>
    <mergeCell ref="M27:N27"/>
    <mergeCell ref="O27:Q27"/>
    <mergeCell ref="R27:T27"/>
    <mergeCell ref="U27:W27"/>
    <mergeCell ref="AE27:AG27"/>
    <mergeCell ref="AH27:AJ27"/>
    <mergeCell ref="AK27:AL27"/>
    <mergeCell ref="D26:G26"/>
    <mergeCell ref="H26:I26"/>
    <mergeCell ref="J26:L26"/>
    <mergeCell ref="M26:N26"/>
    <mergeCell ref="O26:Q26"/>
    <mergeCell ref="R26:T26"/>
    <mergeCell ref="U26:W26"/>
    <mergeCell ref="R30:T30"/>
    <mergeCell ref="U30:W30"/>
    <mergeCell ref="AE30:AG30"/>
    <mergeCell ref="Y27:AA27"/>
    <mergeCell ref="AB26:AD26"/>
    <mergeCell ref="AB27:AD27"/>
    <mergeCell ref="AK28:AL28"/>
    <mergeCell ref="D29:G29"/>
    <mergeCell ref="H29:I29"/>
    <mergeCell ref="J29:L29"/>
    <mergeCell ref="M29:N29"/>
    <mergeCell ref="O29:Q29"/>
    <mergeCell ref="R29:T29"/>
    <mergeCell ref="U29:W29"/>
    <mergeCell ref="AE29:AG29"/>
    <mergeCell ref="AH29:AJ29"/>
    <mergeCell ref="AK29:AL29"/>
    <mergeCell ref="D28:G28"/>
    <mergeCell ref="H28:I28"/>
    <mergeCell ref="J28:L28"/>
    <mergeCell ref="M28:N28"/>
    <mergeCell ref="O28:Q28"/>
    <mergeCell ref="R28:T28"/>
    <mergeCell ref="U28:W28"/>
    <mergeCell ref="AH30:AJ30"/>
    <mergeCell ref="Y30:AA30"/>
    <mergeCell ref="Y31:AA31"/>
    <mergeCell ref="Y29:AA29"/>
    <mergeCell ref="AB28:AD28"/>
    <mergeCell ref="AB29:AD29"/>
    <mergeCell ref="C33:AL33"/>
    <mergeCell ref="C34:AL34"/>
    <mergeCell ref="AK30:AL30"/>
    <mergeCell ref="D31:G31"/>
    <mergeCell ref="H31:I31"/>
    <mergeCell ref="J31:L31"/>
    <mergeCell ref="M31:N31"/>
    <mergeCell ref="O31:Q31"/>
    <mergeCell ref="R31:T31"/>
    <mergeCell ref="U31:W31"/>
    <mergeCell ref="AE31:AG31"/>
    <mergeCell ref="AH31:AJ31"/>
    <mergeCell ref="AK31:AL31"/>
    <mergeCell ref="D30:G30"/>
    <mergeCell ref="H30:I30"/>
    <mergeCell ref="J30:L30"/>
    <mergeCell ref="M30:N30"/>
    <mergeCell ref="O30:Q30"/>
  </mergeCells>
  <conditionalFormatting sqref="M24:N31">
    <cfRule type="expression" dxfId="44" priority="5">
      <formula>$AK24&lt;&gt;""</formula>
    </cfRule>
  </conditionalFormatting>
  <conditionalFormatting sqref="AK24:AL24">
    <cfRule type="expression" dxfId="43" priority="4">
      <formula>$AN$23=""</formula>
    </cfRule>
  </conditionalFormatting>
  <hyperlinks>
    <hyperlink ref="AI7:AL7" location="Índice!B47" display="Índice" xr:uid="{0E5811F2-AA73-4B73-B9D5-E468865026B0}"/>
    <hyperlink ref="AI10:AL10" location="CNSIPEE_2024_M2_Secc1!A32" display="Pregunta 1.1" xr:uid="{E96A9F2F-1B94-4DAE-BF6A-48EF5E87C7AB}"/>
  </hyperlinks>
  <printOptions horizontalCentered="1"/>
  <pageMargins left="0.70866141732283472" right="0.70866141732283472" top="0.74803149606299213" bottom="0.74803149606299213" header="0.31496062992125984" footer="0.31496062992125984"/>
  <pageSetup scale="75" orientation="portrait" r:id="rId1"/>
  <headerFooter>
    <oddHeader>&amp;CMódulo 2
Complemento 1</oddHeader>
    <oddFooter>&amp;LCenso Nacional de Sistemas Penitenciarios Estatales 2024&amp;R&amp;P de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3790F62-6048-4618-89D5-EBE6A50E93F9}">
          <x14:formula1>
            <xm:f>Presentación!$AL$3:$AL$574</xm:f>
          </x14:formula1>
          <xm:sqref>O24:Q31</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FEF82-ED92-4436-8756-70ACCC98ACC3}">
  <dimension ref="A1:IZ45"/>
  <sheetViews>
    <sheetView showGridLines="0" zoomScaleNormal="100" workbookViewId="0"/>
  </sheetViews>
  <sheetFormatPr baseColWidth="10" defaultColWidth="0" defaultRowHeight="15" customHeight="1" zeroHeight="1"/>
  <cols>
    <col min="1" max="1" width="5.7109375" style="3" customWidth="1"/>
    <col min="2" max="97" width="3.7109375" style="3" customWidth="1"/>
    <col min="98" max="98" width="5.7109375" style="3" customWidth="1"/>
    <col min="99" max="16384" width="11.42578125" style="3" hidden="1"/>
  </cols>
  <sheetData>
    <row r="1" spans="1:102" ht="173.25" customHeight="1">
      <c r="B1" s="718" t="s">
        <v>0</v>
      </c>
      <c r="C1" s="719"/>
      <c r="D1" s="719"/>
      <c r="E1" s="719"/>
      <c r="F1" s="719"/>
      <c r="G1" s="719"/>
      <c r="H1" s="719"/>
      <c r="I1" s="719"/>
      <c r="J1" s="719"/>
      <c r="K1" s="719"/>
      <c r="L1" s="719"/>
      <c r="M1" s="719"/>
      <c r="N1" s="719"/>
      <c r="O1" s="719"/>
      <c r="P1" s="719"/>
      <c r="Q1" s="719"/>
      <c r="R1" s="719"/>
      <c r="S1" s="719"/>
      <c r="T1" s="719"/>
      <c r="U1" s="719"/>
      <c r="V1" s="719"/>
      <c r="W1" s="719"/>
      <c r="X1" s="719"/>
      <c r="Y1" s="719"/>
      <c r="Z1" s="719"/>
      <c r="AA1" s="719"/>
      <c r="AB1" s="719"/>
      <c r="AC1" s="719"/>
      <c r="AD1" s="719"/>
      <c r="AE1" s="719"/>
      <c r="AF1" s="719"/>
      <c r="AG1" s="719"/>
      <c r="AH1" s="719"/>
      <c r="AI1" s="719"/>
      <c r="AJ1" s="719"/>
      <c r="AK1" s="719"/>
      <c r="AL1" s="719"/>
      <c r="AM1" s="719"/>
      <c r="AN1" s="719"/>
      <c r="AO1" s="719"/>
      <c r="AP1" s="719"/>
      <c r="AQ1" s="719"/>
      <c r="AR1" s="719"/>
      <c r="AS1" s="719"/>
      <c r="AT1" s="719"/>
      <c r="AU1" s="719"/>
      <c r="AV1" s="719"/>
      <c r="AW1" s="719"/>
      <c r="AX1" s="719"/>
      <c r="AY1" s="719"/>
      <c r="AZ1" s="719"/>
      <c r="BA1" s="719"/>
      <c r="BB1" s="719"/>
      <c r="BC1" s="719"/>
      <c r="BD1" s="719"/>
      <c r="BE1" s="719"/>
      <c r="BF1" s="719"/>
      <c r="BG1" s="719"/>
      <c r="BH1" s="719"/>
      <c r="BI1" s="719"/>
      <c r="BJ1" s="719"/>
      <c r="BK1" s="719"/>
      <c r="BL1" s="719"/>
      <c r="BM1" s="719"/>
      <c r="BN1" s="719"/>
      <c r="BO1" s="719"/>
      <c r="BP1" s="719"/>
      <c r="BQ1" s="719"/>
      <c r="BR1" s="719"/>
      <c r="BS1" s="719"/>
      <c r="BT1" s="719"/>
      <c r="BU1" s="719"/>
      <c r="BV1" s="719"/>
      <c r="BW1" s="719"/>
      <c r="BX1" s="719"/>
      <c r="BY1" s="719"/>
      <c r="BZ1" s="719"/>
      <c r="CA1" s="719"/>
      <c r="CB1" s="719"/>
      <c r="CC1" s="719"/>
      <c r="CD1" s="719"/>
      <c r="CE1" s="719"/>
      <c r="CF1" s="719"/>
      <c r="CG1" s="719"/>
      <c r="CH1" s="719"/>
      <c r="CI1" s="719"/>
      <c r="CJ1" s="719"/>
      <c r="CK1" s="719"/>
      <c r="CL1" s="719"/>
      <c r="CM1" s="719"/>
      <c r="CN1" s="719"/>
      <c r="CO1" s="719"/>
      <c r="CP1" s="719"/>
      <c r="CQ1" s="719"/>
      <c r="CR1" s="719"/>
      <c r="CS1" s="719"/>
    </row>
    <row r="2" spans="1:102"/>
    <row r="3" spans="1:102" ht="45" customHeight="1">
      <c r="B3" s="720" t="s">
        <v>1</v>
      </c>
      <c r="C3" s="721"/>
      <c r="D3" s="721"/>
      <c r="E3" s="721"/>
      <c r="F3" s="721"/>
      <c r="G3" s="721"/>
      <c r="H3" s="721"/>
      <c r="I3" s="721"/>
      <c r="J3" s="721"/>
      <c r="K3" s="721"/>
      <c r="L3" s="721"/>
      <c r="M3" s="721"/>
      <c r="N3" s="721"/>
      <c r="O3" s="721"/>
      <c r="P3" s="721"/>
      <c r="Q3" s="721"/>
      <c r="R3" s="721"/>
      <c r="S3" s="721"/>
      <c r="T3" s="721"/>
      <c r="U3" s="721"/>
      <c r="V3" s="721"/>
      <c r="W3" s="721"/>
      <c r="X3" s="721"/>
      <c r="Y3" s="721"/>
      <c r="Z3" s="721"/>
      <c r="AA3" s="721"/>
      <c r="AB3" s="721"/>
      <c r="AC3" s="721"/>
      <c r="AD3" s="721"/>
      <c r="AE3" s="721"/>
      <c r="AF3" s="721"/>
      <c r="AG3" s="721"/>
      <c r="AH3" s="721"/>
      <c r="AI3" s="721"/>
      <c r="AJ3" s="721"/>
      <c r="AK3" s="721"/>
      <c r="AL3" s="721"/>
      <c r="AM3" s="721"/>
      <c r="AN3" s="721"/>
      <c r="AO3" s="721"/>
      <c r="AP3" s="721"/>
      <c r="AQ3" s="721"/>
      <c r="AR3" s="721"/>
      <c r="AS3" s="721"/>
      <c r="AT3" s="721"/>
      <c r="AU3" s="721"/>
      <c r="AV3" s="721"/>
      <c r="AW3" s="721"/>
      <c r="AX3" s="721"/>
      <c r="AY3" s="721"/>
      <c r="AZ3" s="721"/>
      <c r="BA3" s="721"/>
      <c r="BB3" s="721"/>
      <c r="BC3" s="721"/>
      <c r="BD3" s="721"/>
      <c r="BE3" s="721"/>
      <c r="BF3" s="721"/>
      <c r="BG3" s="721"/>
      <c r="BH3" s="721"/>
      <c r="BI3" s="721"/>
      <c r="BJ3" s="721"/>
      <c r="BK3" s="721"/>
      <c r="BL3" s="721"/>
      <c r="BM3" s="721"/>
      <c r="BN3" s="721"/>
      <c r="BO3" s="721"/>
      <c r="BP3" s="721"/>
      <c r="BQ3" s="721"/>
      <c r="BR3" s="721"/>
      <c r="BS3" s="721"/>
      <c r="BT3" s="721"/>
      <c r="BU3" s="721"/>
      <c r="BV3" s="721"/>
      <c r="BW3" s="721"/>
      <c r="BX3" s="721"/>
      <c r="BY3" s="721"/>
      <c r="BZ3" s="721"/>
      <c r="CA3" s="721"/>
      <c r="CB3" s="721"/>
      <c r="CC3" s="721"/>
      <c r="CD3" s="721"/>
      <c r="CE3" s="721"/>
      <c r="CF3" s="721"/>
      <c r="CG3" s="721"/>
      <c r="CH3" s="721"/>
      <c r="CI3" s="721"/>
      <c r="CJ3" s="721"/>
      <c r="CK3" s="721"/>
      <c r="CL3" s="721"/>
      <c r="CM3" s="721"/>
      <c r="CN3" s="721"/>
      <c r="CO3" s="721"/>
      <c r="CP3" s="721"/>
      <c r="CQ3" s="721"/>
      <c r="CR3" s="721"/>
      <c r="CS3" s="721"/>
    </row>
    <row r="4" spans="1:102"/>
    <row r="5" spans="1:102" ht="60" customHeight="1">
      <c r="B5" s="721" t="s">
        <v>41</v>
      </c>
      <c r="C5" s="721"/>
      <c r="D5" s="721"/>
      <c r="E5" s="721"/>
      <c r="F5" s="721"/>
      <c r="G5" s="721"/>
      <c r="H5" s="721"/>
      <c r="I5" s="721"/>
      <c r="J5" s="721"/>
      <c r="K5" s="721"/>
      <c r="L5" s="721"/>
      <c r="M5" s="721"/>
      <c r="N5" s="721"/>
      <c r="O5" s="721"/>
      <c r="P5" s="721"/>
      <c r="Q5" s="721"/>
      <c r="R5" s="721"/>
      <c r="S5" s="721"/>
      <c r="T5" s="721"/>
      <c r="U5" s="721"/>
      <c r="V5" s="721"/>
      <c r="W5" s="721"/>
      <c r="X5" s="721"/>
      <c r="Y5" s="721"/>
      <c r="Z5" s="721"/>
      <c r="AA5" s="721"/>
      <c r="AB5" s="721"/>
      <c r="AC5" s="721"/>
      <c r="AD5" s="721"/>
      <c r="AE5" s="721"/>
      <c r="AF5" s="721"/>
      <c r="AG5" s="721"/>
      <c r="AH5" s="721"/>
      <c r="AI5" s="721"/>
      <c r="AJ5" s="721"/>
      <c r="AK5" s="721"/>
      <c r="AL5" s="721"/>
      <c r="AM5" s="721"/>
      <c r="AN5" s="721"/>
      <c r="AO5" s="721"/>
      <c r="AP5" s="721"/>
      <c r="AQ5" s="721"/>
      <c r="AR5" s="721"/>
      <c r="AS5" s="721"/>
      <c r="AT5" s="721"/>
      <c r="AU5" s="721"/>
      <c r="AV5" s="721"/>
      <c r="AW5" s="721"/>
      <c r="AX5" s="721"/>
      <c r="AY5" s="721"/>
      <c r="AZ5" s="721"/>
      <c r="BA5" s="721"/>
      <c r="BB5" s="721"/>
      <c r="BC5" s="721"/>
      <c r="BD5" s="721"/>
      <c r="BE5" s="721"/>
      <c r="BF5" s="721"/>
      <c r="BG5" s="721"/>
      <c r="BH5" s="721"/>
      <c r="BI5" s="721"/>
      <c r="BJ5" s="721"/>
      <c r="BK5" s="721"/>
      <c r="BL5" s="721"/>
      <c r="BM5" s="721"/>
      <c r="BN5" s="721"/>
      <c r="BO5" s="721"/>
      <c r="BP5" s="721"/>
      <c r="BQ5" s="721"/>
      <c r="BR5" s="721"/>
      <c r="BS5" s="721"/>
      <c r="BT5" s="721"/>
      <c r="BU5" s="721"/>
      <c r="BV5" s="721"/>
      <c r="BW5" s="721"/>
      <c r="BX5" s="721"/>
      <c r="BY5" s="721"/>
      <c r="BZ5" s="721"/>
      <c r="CA5" s="721"/>
      <c r="CB5" s="721"/>
      <c r="CC5" s="721"/>
      <c r="CD5" s="721"/>
      <c r="CE5" s="721"/>
      <c r="CF5" s="721"/>
      <c r="CG5" s="721"/>
      <c r="CH5" s="721"/>
      <c r="CI5" s="721"/>
      <c r="CJ5" s="721"/>
      <c r="CK5" s="721"/>
      <c r="CL5" s="721"/>
      <c r="CM5" s="721"/>
      <c r="CN5" s="721"/>
      <c r="CO5" s="721"/>
      <c r="CP5" s="721"/>
      <c r="CQ5" s="721"/>
      <c r="CR5" s="721"/>
      <c r="CS5" s="721"/>
    </row>
    <row r="6" spans="1:102"/>
    <row r="7" spans="1:102" ht="15" customHeight="1" thickBot="1">
      <c r="B7" s="23" t="s">
        <v>3</v>
      </c>
      <c r="N7" s="23" t="s">
        <v>4</v>
      </c>
      <c r="CP7" s="758" t="s">
        <v>2</v>
      </c>
      <c r="CQ7" s="758"/>
      <c r="CR7" s="758"/>
      <c r="CS7" s="758"/>
    </row>
    <row r="8" spans="1:102" ht="15" customHeight="1" thickBot="1">
      <c r="B8" s="722" t="str">
        <f>IF(Presentación!B8="","",Presentación!B8)</f>
        <v>Puebla</v>
      </c>
      <c r="C8" s="723"/>
      <c r="D8" s="723"/>
      <c r="E8" s="723"/>
      <c r="F8" s="723"/>
      <c r="G8" s="723"/>
      <c r="H8" s="723"/>
      <c r="I8" s="723"/>
      <c r="J8" s="723"/>
      <c r="K8" s="723"/>
      <c r="L8" s="724"/>
      <c r="M8" s="25"/>
      <c r="N8" s="722">
        <f>IF(Presentación!N8="","",Presentación!N8)</f>
        <v>221</v>
      </c>
      <c r="O8" s="724"/>
    </row>
    <row r="9" spans="1:102" ht="15" customHeight="1"/>
    <row r="10" spans="1:102" ht="15" customHeight="1">
      <c r="CP10" s="1211" t="s">
        <v>6919</v>
      </c>
      <c r="CQ10" s="1211"/>
      <c r="CR10" s="1211"/>
      <c r="CS10" s="1211"/>
    </row>
    <row r="11" spans="1:102" ht="15" customHeight="1">
      <c r="CX11" s="3" t="b">
        <f>AND(CNSIPEE_2024_M2_Secc1!$S81&lt;&gt;"",CNSIPEE_2024_M2_Secc1!$S81&lt;&gt;1)</f>
        <v>0</v>
      </c>
    </row>
    <row r="12" spans="1:102" ht="15" customHeight="1">
      <c r="A12" s="235"/>
      <c r="B12" s="1204" t="s">
        <v>6892</v>
      </c>
      <c r="C12" s="1205"/>
      <c r="D12" s="1205"/>
      <c r="E12" s="1205"/>
      <c r="F12" s="1205"/>
      <c r="G12" s="1205"/>
      <c r="H12" s="1205"/>
      <c r="I12" s="1205"/>
      <c r="J12" s="1205"/>
      <c r="K12" s="1205"/>
      <c r="L12" s="1205"/>
      <c r="M12" s="1205"/>
      <c r="N12" s="1205"/>
      <c r="O12" s="1205"/>
      <c r="P12" s="1205"/>
      <c r="Q12" s="1205"/>
      <c r="R12" s="1205"/>
      <c r="S12" s="1205"/>
      <c r="T12" s="1205"/>
      <c r="U12" s="1205"/>
      <c r="V12" s="1205"/>
      <c r="W12" s="1205"/>
      <c r="X12" s="1205"/>
      <c r="Y12" s="1205"/>
      <c r="Z12" s="1205"/>
      <c r="AA12" s="1205"/>
      <c r="AB12" s="1205"/>
      <c r="AC12" s="1205"/>
      <c r="AD12" s="1205"/>
      <c r="AE12" s="1205"/>
      <c r="AF12" s="1205"/>
      <c r="AG12" s="1205"/>
      <c r="AH12" s="1205"/>
      <c r="AI12" s="1205"/>
      <c r="AJ12" s="1205"/>
      <c r="AK12" s="1205"/>
      <c r="AL12" s="1205"/>
      <c r="AM12" s="1205"/>
      <c r="AN12" s="1205"/>
      <c r="AO12" s="1205"/>
      <c r="AP12" s="1205"/>
      <c r="AQ12" s="1205"/>
      <c r="AR12" s="1205"/>
      <c r="AS12" s="1205"/>
      <c r="AT12" s="1205"/>
      <c r="AU12" s="1205"/>
      <c r="AV12" s="1205"/>
      <c r="AW12" s="1205"/>
      <c r="AX12" s="1205"/>
      <c r="AY12" s="1205"/>
      <c r="AZ12" s="1205"/>
      <c r="BA12" s="1205"/>
      <c r="BB12" s="1205"/>
      <c r="BC12" s="1205"/>
      <c r="BD12" s="1205"/>
      <c r="BE12" s="1205"/>
      <c r="BF12" s="1205"/>
      <c r="BG12" s="1205"/>
      <c r="BH12" s="1205"/>
      <c r="BI12" s="1205"/>
      <c r="BJ12" s="1205"/>
      <c r="BK12" s="1205"/>
      <c r="BL12" s="1205"/>
      <c r="BM12" s="1205"/>
      <c r="BN12" s="1205"/>
      <c r="BO12" s="1205"/>
      <c r="BP12" s="1205"/>
      <c r="BQ12" s="1205"/>
      <c r="BR12" s="1205"/>
      <c r="BS12" s="1205"/>
      <c r="BT12" s="1205"/>
      <c r="BU12" s="1205"/>
      <c r="BV12" s="1205"/>
      <c r="BW12" s="1205"/>
      <c r="BX12" s="1205"/>
      <c r="BY12" s="1205"/>
      <c r="BZ12" s="1205"/>
      <c r="CA12" s="1205"/>
      <c r="CB12" s="1205"/>
      <c r="CC12" s="1205"/>
      <c r="CD12" s="1205"/>
      <c r="CE12" s="1205"/>
      <c r="CF12" s="1205"/>
      <c r="CG12" s="1205"/>
      <c r="CH12" s="1205"/>
      <c r="CI12" s="1205"/>
      <c r="CJ12" s="1205"/>
      <c r="CK12" s="1205"/>
      <c r="CL12" s="1205"/>
      <c r="CM12" s="1205"/>
      <c r="CN12" s="1205"/>
      <c r="CO12" s="1205"/>
      <c r="CP12" s="1205"/>
      <c r="CQ12" s="1205"/>
      <c r="CR12" s="1205"/>
      <c r="CS12" s="1206"/>
    </row>
    <row r="13" spans="1:102" ht="15" customHeight="1">
      <c r="A13" s="235"/>
      <c r="B13" s="236"/>
      <c r="C13" s="830" t="s">
        <v>6893</v>
      </c>
      <c r="D13" s="830"/>
      <c r="E13" s="830"/>
      <c r="F13" s="830"/>
      <c r="G13" s="830"/>
      <c r="H13" s="830"/>
      <c r="I13" s="830"/>
      <c r="J13" s="830"/>
      <c r="K13" s="830"/>
      <c r="L13" s="830"/>
      <c r="M13" s="830"/>
      <c r="N13" s="830"/>
      <c r="O13" s="830"/>
      <c r="P13" s="830"/>
      <c r="Q13" s="830"/>
      <c r="R13" s="830"/>
      <c r="S13" s="830"/>
      <c r="T13" s="830"/>
      <c r="U13" s="830"/>
      <c r="V13" s="830"/>
      <c r="W13" s="830"/>
      <c r="X13" s="830"/>
      <c r="Y13" s="830"/>
      <c r="Z13" s="830"/>
      <c r="AA13" s="830"/>
      <c r="AB13" s="830"/>
      <c r="AC13" s="830"/>
      <c r="AD13" s="830"/>
      <c r="AE13" s="830"/>
      <c r="AF13" s="830"/>
      <c r="AG13" s="830"/>
      <c r="AH13" s="830"/>
      <c r="AI13" s="830"/>
      <c r="AJ13" s="830"/>
      <c r="AK13" s="830"/>
      <c r="AL13" s="830"/>
      <c r="AM13" s="830"/>
      <c r="AN13" s="830"/>
      <c r="AO13" s="830"/>
      <c r="AP13" s="830"/>
      <c r="AQ13" s="830"/>
      <c r="AR13" s="830"/>
      <c r="AS13" s="830"/>
      <c r="AT13" s="830"/>
      <c r="AU13" s="830"/>
      <c r="AV13" s="830"/>
      <c r="AW13" s="830"/>
      <c r="AX13" s="830"/>
      <c r="AY13" s="830"/>
      <c r="AZ13" s="830"/>
      <c r="BA13" s="830"/>
      <c r="BB13" s="830"/>
      <c r="BC13" s="830"/>
      <c r="BD13" s="830"/>
      <c r="BE13" s="830"/>
      <c r="BF13" s="830"/>
      <c r="BG13" s="830"/>
      <c r="BH13" s="830"/>
      <c r="BI13" s="830"/>
      <c r="BJ13" s="830"/>
      <c r="BK13" s="830"/>
      <c r="BL13" s="830"/>
      <c r="BM13" s="830"/>
      <c r="BN13" s="830"/>
      <c r="BO13" s="830"/>
      <c r="BP13" s="830"/>
      <c r="BQ13" s="830"/>
      <c r="BR13" s="830"/>
      <c r="BS13" s="830"/>
      <c r="BT13" s="830"/>
      <c r="BU13" s="830"/>
      <c r="BV13" s="830"/>
      <c r="BW13" s="830"/>
      <c r="BX13" s="830"/>
      <c r="BY13" s="830"/>
      <c r="BZ13" s="830"/>
      <c r="CA13" s="830"/>
      <c r="CB13" s="830"/>
      <c r="CC13" s="830"/>
      <c r="CD13" s="830"/>
      <c r="CE13" s="830"/>
      <c r="CF13" s="830"/>
      <c r="CG13" s="830"/>
      <c r="CH13" s="830"/>
      <c r="CI13" s="830"/>
      <c r="CJ13" s="830"/>
      <c r="CK13" s="830"/>
      <c r="CL13" s="830"/>
      <c r="CM13" s="830"/>
      <c r="CN13" s="830"/>
      <c r="CO13" s="830"/>
      <c r="CP13" s="830"/>
      <c r="CQ13" s="830"/>
      <c r="CR13" s="830"/>
      <c r="CS13" s="886"/>
    </row>
    <row r="14" spans="1:102" ht="15" customHeight="1">
      <c r="A14" s="235"/>
      <c r="B14" s="236"/>
      <c r="C14" s="830" t="s">
        <v>6920</v>
      </c>
      <c r="D14" s="830"/>
      <c r="E14" s="830"/>
      <c r="F14" s="830"/>
      <c r="G14" s="830"/>
      <c r="H14" s="830"/>
      <c r="I14" s="830"/>
      <c r="J14" s="830"/>
      <c r="K14" s="830"/>
      <c r="L14" s="830"/>
      <c r="M14" s="830"/>
      <c r="N14" s="830"/>
      <c r="O14" s="830"/>
      <c r="P14" s="830"/>
      <c r="Q14" s="830"/>
      <c r="R14" s="830"/>
      <c r="S14" s="830"/>
      <c r="T14" s="830"/>
      <c r="U14" s="830"/>
      <c r="V14" s="830"/>
      <c r="W14" s="830"/>
      <c r="X14" s="830"/>
      <c r="Y14" s="830"/>
      <c r="Z14" s="830"/>
      <c r="AA14" s="830"/>
      <c r="AB14" s="830"/>
      <c r="AC14" s="830"/>
      <c r="AD14" s="830"/>
      <c r="AE14" s="830"/>
      <c r="AF14" s="830"/>
      <c r="AG14" s="830"/>
      <c r="AH14" s="830"/>
      <c r="AI14" s="830"/>
      <c r="AJ14" s="830"/>
      <c r="AK14" s="830"/>
      <c r="AL14" s="830"/>
      <c r="AM14" s="830"/>
      <c r="AN14" s="830"/>
      <c r="AO14" s="830"/>
      <c r="AP14" s="830"/>
      <c r="AQ14" s="830"/>
      <c r="AR14" s="830"/>
      <c r="AS14" s="830"/>
      <c r="AT14" s="830"/>
      <c r="AU14" s="830"/>
      <c r="AV14" s="830"/>
      <c r="AW14" s="830"/>
      <c r="AX14" s="830"/>
      <c r="AY14" s="830"/>
      <c r="AZ14" s="830"/>
      <c r="BA14" s="830"/>
      <c r="BB14" s="830"/>
      <c r="BC14" s="830"/>
      <c r="BD14" s="830"/>
      <c r="BE14" s="830"/>
      <c r="BF14" s="830"/>
      <c r="BG14" s="830"/>
      <c r="BH14" s="830"/>
      <c r="BI14" s="830"/>
      <c r="BJ14" s="830"/>
      <c r="BK14" s="830"/>
      <c r="BL14" s="830"/>
      <c r="BM14" s="830"/>
      <c r="BN14" s="830"/>
      <c r="BO14" s="830"/>
      <c r="BP14" s="830"/>
      <c r="BQ14" s="830"/>
      <c r="BR14" s="830"/>
      <c r="BS14" s="830"/>
      <c r="BT14" s="830"/>
      <c r="BU14" s="830"/>
      <c r="BV14" s="830"/>
      <c r="BW14" s="830"/>
      <c r="BX14" s="830"/>
      <c r="BY14" s="830"/>
      <c r="BZ14" s="830"/>
      <c r="CA14" s="830"/>
      <c r="CB14" s="830"/>
      <c r="CC14" s="830"/>
      <c r="CD14" s="830"/>
      <c r="CE14" s="830"/>
      <c r="CF14" s="830"/>
      <c r="CG14" s="830"/>
      <c r="CH14" s="830"/>
      <c r="CI14" s="830"/>
      <c r="CJ14" s="830"/>
      <c r="CK14" s="830"/>
      <c r="CL14" s="830"/>
      <c r="CM14" s="830"/>
      <c r="CN14" s="830"/>
      <c r="CO14" s="830"/>
      <c r="CP14" s="830"/>
      <c r="CQ14" s="830"/>
      <c r="CR14" s="830"/>
      <c r="CS14" s="886"/>
    </row>
    <row r="15" spans="1:102" ht="15" customHeight="1">
      <c r="A15" s="235"/>
      <c r="B15" s="236"/>
      <c r="C15" s="830" t="s">
        <v>6921</v>
      </c>
      <c r="D15" s="830"/>
      <c r="E15" s="830"/>
      <c r="F15" s="830"/>
      <c r="G15" s="830"/>
      <c r="H15" s="830"/>
      <c r="I15" s="830"/>
      <c r="J15" s="830"/>
      <c r="K15" s="830"/>
      <c r="L15" s="830"/>
      <c r="M15" s="830"/>
      <c r="N15" s="830"/>
      <c r="O15" s="830"/>
      <c r="P15" s="830"/>
      <c r="Q15" s="830"/>
      <c r="R15" s="830"/>
      <c r="S15" s="830"/>
      <c r="T15" s="830"/>
      <c r="U15" s="830"/>
      <c r="V15" s="830"/>
      <c r="W15" s="830"/>
      <c r="X15" s="830"/>
      <c r="Y15" s="830"/>
      <c r="Z15" s="830"/>
      <c r="AA15" s="830"/>
      <c r="AB15" s="830"/>
      <c r="AC15" s="830"/>
      <c r="AD15" s="830"/>
      <c r="AE15" s="830"/>
      <c r="AF15" s="830"/>
      <c r="AG15" s="830"/>
      <c r="AH15" s="830"/>
      <c r="AI15" s="830"/>
      <c r="AJ15" s="830"/>
      <c r="AK15" s="830"/>
      <c r="AL15" s="830"/>
      <c r="AM15" s="830"/>
      <c r="AN15" s="830"/>
      <c r="AO15" s="830"/>
      <c r="AP15" s="830"/>
      <c r="AQ15" s="830"/>
      <c r="AR15" s="830"/>
      <c r="AS15" s="830"/>
      <c r="AT15" s="830"/>
      <c r="AU15" s="830"/>
      <c r="AV15" s="830"/>
      <c r="AW15" s="830"/>
      <c r="AX15" s="830"/>
      <c r="AY15" s="830"/>
      <c r="AZ15" s="830"/>
      <c r="BA15" s="830"/>
      <c r="BB15" s="830"/>
      <c r="BC15" s="830"/>
      <c r="BD15" s="830"/>
      <c r="BE15" s="830"/>
      <c r="BF15" s="830"/>
      <c r="BG15" s="830"/>
      <c r="BH15" s="830"/>
      <c r="BI15" s="830"/>
      <c r="BJ15" s="830"/>
      <c r="BK15" s="830"/>
      <c r="BL15" s="830"/>
      <c r="BM15" s="830"/>
      <c r="BN15" s="830"/>
      <c r="BO15" s="830"/>
      <c r="BP15" s="830"/>
      <c r="BQ15" s="830"/>
      <c r="BR15" s="830"/>
      <c r="BS15" s="830"/>
      <c r="BT15" s="830"/>
      <c r="BU15" s="830"/>
      <c r="BV15" s="830"/>
      <c r="BW15" s="830"/>
      <c r="BX15" s="830"/>
      <c r="BY15" s="830"/>
      <c r="BZ15" s="830"/>
      <c r="CA15" s="830"/>
      <c r="CB15" s="830"/>
      <c r="CC15" s="830"/>
      <c r="CD15" s="830"/>
      <c r="CE15" s="830"/>
      <c r="CF15" s="830"/>
      <c r="CG15" s="830"/>
      <c r="CH15" s="830"/>
      <c r="CI15" s="830"/>
      <c r="CJ15" s="830"/>
      <c r="CK15" s="830"/>
      <c r="CL15" s="830"/>
      <c r="CM15" s="830"/>
      <c r="CN15" s="830"/>
      <c r="CO15" s="830"/>
      <c r="CP15" s="830"/>
      <c r="CQ15" s="830"/>
      <c r="CR15" s="830"/>
      <c r="CS15" s="886"/>
    </row>
    <row r="16" spans="1:102" ht="15" customHeight="1">
      <c r="A16" s="235"/>
      <c r="B16" s="236"/>
      <c r="C16" s="830" t="s">
        <v>6922</v>
      </c>
      <c r="D16" s="830"/>
      <c r="E16" s="830"/>
      <c r="F16" s="830"/>
      <c r="G16" s="830"/>
      <c r="H16" s="830"/>
      <c r="I16" s="830"/>
      <c r="J16" s="830"/>
      <c r="K16" s="830"/>
      <c r="L16" s="830"/>
      <c r="M16" s="830"/>
      <c r="N16" s="830"/>
      <c r="O16" s="830"/>
      <c r="P16" s="830"/>
      <c r="Q16" s="830"/>
      <c r="R16" s="830"/>
      <c r="S16" s="830"/>
      <c r="T16" s="830"/>
      <c r="U16" s="830"/>
      <c r="V16" s="830"/>
      <c r="W16" s="830"/>
      <c r="X16" s="830"/>
      <c r="Y16" s="830"/>
      <c r="Z16" s="830"/>
      <c r="AA16" s="830"/>
      <c r="AB16" s="830"/>
      <c r="AC16" s="830"/>
      <c r="AD16" s="830"/>
      <c r="AE16" s="830"/>
      <c r="AF16" s="830"/>
      <c r="AG16" s="830"/>
      <c r="AH16" s="830"/>
      <c r="AI16" s="830"/>
      <c r="AJ16" s="830"/>
      <c r="AK16" s="830"/>
      <c r="AL16" s="830"/>
      <c r="AM16" s="830"/>
      <c r="AN16" s="830"/>
      <c r="AO16" s="830"/>
      <c r="AP16" s="830"/>
      <c r="AQ16" s="830"/>
      <c r="AR16" s="830"/>
      <c r="AS16" s="830"/>
      <c r="AT16" s="830"/>
      <c r="AU16" s="830"/>
      <c r="AV16" s="830"/>
      <c r="AW16" s="830"/>
      <c r="AX16" s="830"/>
      <c r="AY16" s="830"/>
      <c r="AZ16" s="830"/>
      <c r="BA16" s="830"/>
      <c r="BB16" s="830"/>
      <c r="BC16" s="830"/>
      <c r="BD16" s="830"/>
      <c r="BE16" s="830"/>
      <c r="BF16" s="830"/>
      <c r="BG16" s="830"/>
      <c r="BH16" s="830"/>
      <c r="BI16" s="830"/>
      <c r="BJ16" s="830"/>
      <c r="BK16" s="830"/>
      <c r="BL16" s="830"/>
      <c r="BM16" s="830"/>
      <c r="BN16" s="830"/>
      <c r="BO16" s="830"/>
      <c r="BP16" s="830"/>
      <c r="BQ16" s="830"/>
      <c r="BR16" s="830"/>
      <c r="BS16" s="830"/>
      <c r="BT16" s="830"/>
      <c r="BU16" s="830"/>
      <c r="BV16" s="830"/>
      <c r="BW16" s="830"/>
      <c r="BX16" s="830"/>
      <c r="BY16" s="830"/>
      <c r="BZ16" s="830"/>
      <c r="CA16" s="830"/>
      <c r="CB16" s="830"/>
      <c r="CC16" s="830"/>
      <c r="CD16" s="830"/>
      <c r="CE16" s="830"/>
      <c r="CF16" s="830"/>
      <c r="CG16" s="830"/>
      <c r="CH16" s="830"/>
      <c r="CI16" s="830"/>
      <c r="CJ16" s="830"/>
      <c r="CK16" s="830"/>
      <c r="CL16" s="830"/>
      <c r="CM16" s="830"/>
      <c r="CN16" s="830"/>
      <c r="CO16" s="830"/>
      <c r="CP16" s="830"/>
      <c r="CQ16" s="830"/>
      <c r="CR16" s="830"/>
      <c r="CS16" s="886"/>
    </row>
    <row r="17" spans="1:260" ht="15" customHeight="1">
      <c r="A17" s="235"/>
      <c r="B17" s="236"/>
      <c r="C17" s="830" t="s">
        <v>6923</v>
      </c>
      <c r="D17" s="830"/>
      <c r="E17" s="830"/>
      <c r="F17" s="830"/>
      <c r="G17" s="830"/>
      <c r="H17" s="830"/>
      <c r="I17" s="830"/>
      <c r="J17" s="830"/>
      <c r="K17" s="830"/>
      <c r="L17" s="830"/>
      <c r="M17" s="830"/>
      <c r="N17" s="830"/>
      <c r="O17" s="830"/>
      <c r="P17" s="830"/>
      <c r="Q17" s="830"/>
      <c r="R17" s="830"/>
      <c r="S17" s="830"/>
      <c r="T17" s="830"/>
      <c r="U17" s="830"/>
      <c r="V17" s="830"/>
      <c r="W17" s="830"/>
      <c r="X17" s="830"/>
      <c r="Y17" s="830"/>
      <c r="Z17" s="830"/>
      <c r="AA17" s="830"/>
      <c r="AB17" s="830"/>
      <c r="AC17" s="830"/>
      <c r="AD17" s="830"/>
      <c r="AE17" s="830"/>
      <c r="AF17" s="830"/>
      <c r="AG17" s="830"/>
      <c r="AH17" s="830"/>
      <c r="AI17" s="830"/>
      <c r="AJ17" s="830"/>
      <c r="AK17" s="830"/>
      <c r="AL17" s="830"/>
      <c r="AM17" s="830"/>
      <c r="AN17" s="830"/>
      <c r="AO17" s="830"/>
      <c r="AP17" s="830"/>
      <c r="AQ17" s="830"/>
      <c r="AR17" s="830"/>
      <c r="AS17" s="830"/>
      <c r="AT17" s="830"/>
      <c r="AU17" s="830"/>
      <c r="AV17" s="830"/>
      <c r="AW17" s="830"/>
      <c r="AX17" s="830"/>
      <c r="AY17" s="830"/>
      <c r="AZ17" s="830"/>
      <c r="BA17" s="830"/>
      <c r="BB17" s="830"/>
      <c r="BC17" s="830"/>
      <c r="BD17" s="830"/>
      <c r="BE17" s="830"/>
      <c r="BF17" s="830"/>
      <c r="BG17" s="830"/>
      <c r="BH17" s="830"/>
      <c r="BI17" s="830"/>
      <c r="BJ17" s="830"/>
      <c r="BK17" s="830"/>
      <c r="BL17" s="830"/>
      <c r="BM17" s="830"/>
      <c r="BN17" s="830"/>
      <c r="BO17" s="830"/>
      <c r="BP17" s="830"/>
      <c r="BQ17" s="830"/>
      <c r="BR17" s="830"/>
      <c r="BS17" s="830"/>
      <c r="BT17" s="830"/>
      <c r="BU17" s="830"/>
      <c r="BV17" s="830"/>
      <c r="BW17" s="830"/>
      <c r="BX17" s="830"/>
      <c r="BY17" s="830"/>
      <c r="BZ17" s="830"/>
      <c r="CA17" s="830"/>
      <c r="CB17" s="830"/>
      <c r="CC17" s="830"/>
      <c r="CD17" s="830"/>
      <c r="CE17" s="830"/>
      <c r="CF17" s="830"/>
      <c r="CG17" s="830"/>
      <c r="CH17" s="830"/>
      <c r="CI17" s="830"/>
      <c r="CJ17" s="830"/>
      <c r="CK17" s="830"/>
      <c r="CL17" s="830"/>
      <c r="CM17" s="830"/>
      <c r="CN17" s="830"/>
      <c r="CO17" s="830"/>
      <c r="CP17" s="830"/>
      <c r="CQ17" s="830"/>
      <c r="CR17" s="830"/>
      <c r="CS17" s="886"/>
    </row>
    <row r="18" spans="1:260" ht="15" customHeight="1">
      <c r="A18" s="235"/>
      <c r="B18" s="236"/>
      <c r="C18" s="830" t="s">
        <v>6924</v>
      </c>
      <c r="D18" s="830"/>
      <c r="E18" s="830"/>
      <c r="F18" s="830"/>
      <c r="G18" s="830"/>
      <c r="H18" s="830"/>
      <c r="I18" s="830"/>
      <c r="J18" s="830"/>
      <c r="K18" s="830"/>
      <c r="L18" s="830"/>
      <c r="M18" s="830"/>
      <c r="N18" s="830"/>
      <c r="O18" s="830"/>
      <c r="P18" s="830"/>
      <c r="Q18" s="830"/>
      <c r="R18" s="830"/>
      <c r="S18" s="830"/>
      <c r="T18" s="830"/>
      <c r="U18" s="830"/>
      <c r="V18" s="830"/>
      <c r="W18" s="830"/>
      <c r="X18" s="830"/>
      <c r="Y18" s="830"/>
      <c r="Z18" s="830"/>
      <c r="AA18" s="830"/>
      <c r="AB18" s="830"/>
      <c r="AC18" s="830"/>
      <c r="AD18" s="830"/>
      <c r="AE18" s="830"/>
      <c r="AF18" s="830"/>
      <c r="AG18" s="830"/>
      <c r="AH18" s="830"/>
      <c r="AI18" s="830"/>
      <c r="AJ18" s="830"/>
      <c r="AK18" s="830"/>
      <c r="AL18" s="830"/>
      <c r="AM18" s="830"/>
      <c r="AN18" s="830"/>
      <c r="AO18" s="830"/>
      <c r="AP18" s="830"/>
      <c r="AQ18" s="830"/>
      <c r="AR18" s="830"/>
      <c r="AS18" s="830"/>
      <c r="AT18" s="830"/>
      <c r="AU18" s="830"/>
      <c r="AV18" s="830"/>
      <c r="AW18" s="830"/>
      <c r="AX18" s="830"/>
      <c r="AY18" s="830"/>
      <c r="AZ18" s="830"/>
      <c r="BA18" s="830"/>
      <c r="BB18" s="830"/>
      <c r="BC18" s="830"/>
      <c r="BD18" s="830"/>
      <c r="BE18" s="830"/>
      <c r="BF18" s="830"/>
      <c r="BG18" s="830"/>
      <c r="BH18" s="830"/>
      <c r="BI18" s="830"/>
      <c r="BJ18" s="830"/>
      <c r="BK18" s="830"/>
      <c r="BL18" s="830"/>
      <c r="BM18" s="830"/>
      <c r="BN18" s="830"/>
      <c r="BO18" s="830"/>
      <c r="BP18" s="830"/>
      <c r="BQ18" s="830"/>
      <c r="BR18" s="830"/>
      <c r="BS18" s="830"/>
      <c r="BT18" s="830"/>
      <c r="BU18" s="830"/>
      <c r="BV18" s="830"/>
      <c r="BW18" s="830"/>
      <c r="BX18" s="830"/>
      <c r="BY18" s="830"/>
      <c r="BZ18" s="830"/>
      <c r="CA18" s="830"/>
      <c r="CB18" s="830"/>
      <c r="CC18" s="830"/>
      <c r="CD18" s="830"/>
      <c r="CE18" s="830"/>
      <c r="CF18" s="830"/>
      <c r="CG18" s="830"/>
      <c r="CH18" s="830"/>
      <c r="CI18" s="830"/>
      <c r="CJ18" s="830"/>
      <c r="CK18" s="830"/>
      <c r="CL18" s="830"/>
      <c r="CM18" s="830"/>
      <c r="CN18" s="830"/>
      <c r="CO18" s="830"/>
      <c r="CP18" s="830"/>
      <c r="CQ18" s="830"/>
      <c r="CR18" s="830"/>
      <c r="CS18" s="886"/>
    </row>
    <row r="19" spans="1:260" ht="15" customHeight="1">
      <c r="A19" s="235"/>
      <c r="B19" s="238"/>
      <c r="C19" s="754" t="s">
        <v>6925</v>
      </c>
      <c r="D19" s="754"/>
      <c r="E19" s="754"/>
      <c r="F19" s="754"/>
      <c r="G19" s="754"/>
      <c r="H19" s="754"/>
      <c r="I19" s="754"/>
      <c r="J19" s="754"/>
      <c r="K19" s="754"/>
      <c r="L19" s="754"/>
      <c r="M19" s="754"/>
      <c r="N19" s="754"/>
      <c r="O19" s="754"/>
      <c r="P19" s="754"/>
      <c r="Q19" s="754"/>
      <c r="R19" s="754"/>
      <c r="S19" s="754"/>
      <c r="T19" s="754"/>
      <c r="U19" s="754"/>
      <c r="V19" s="754"/>
      <c r="W19" s="754"/>
      <c r="X19" s="754"/>
      <c r="Y19" s="754"/>
      <c r="Z19" s="754"/>
      <c r="AA19" s="754"/>
      <c r="AB19" s="754"/>
      <c r="AC19" s="754"/>
      <c r="AD19" s="754"/>
      <c r="AE19" s="754"/>
      <c r="AF19" s="754"/>
      <c r="AG19" s="754"/>
      <c r="AH19" s="754"/>
      <c r="AI19" s="754"/>
      <c r="AJ19" s="754"/>
      <c r="AK19" s="754"/>
      <c r="AL19" s="754"/>
      <c r="AM19" s="754"/>
      <c r="AN19" s="754"/>
      <c r="AO19" s="754"/>
      <c r="AP19" s="754"/>
      <c r="AQ19" s="754"/>
      <c r="AR19" s="754"/>
      <c r="AS19" s="754"/>
      <c r="AT19" s="754"/>
      <c r="AU19" s="754"/>
      <c r="AV19" s="754"/>
      <c r="AW19" s="754"/>
      <c r="AX19" s="754"/>
      <c r="AY19" s="754"/>
      <c r="AZ19" s="754"/>
      <c r="BA19" s="754"/>
      <c r="BB19" s="754"/>
      <c r="BC19" s="754"/>
      <c r="BD19" s="754"/>
      <c r="BE19" s="754"/>
      <c r="BF19" s="754"/>
      <c r="BG19" s="754"/>
      <c r="BH19" s="754"/>
      <c r="BI19" s="754"/>
      <c r="BJ19" s="754"/>
      <c r="BK19" s="754"/>
      <c r="BL19" s="754"/>
      <c r="BM19" s="754"/>
      <c r="BN19" s="754"/>
      <c r="BO19" s="754"/>
      <c r="BP19" s="754"/>
      <c r="BQ19" s="754"/>
      <c r="BR19" s="754"/>
      <c r="BS19" s="754"/>
      <c r="BT19" s="754"/>
      <c r="BU19" s="754"/>
      <c r="BV19" s="754"/>
      <c r="BW19" s="754"/>
      <c r="BX19" s="754"/>
      <c r="BY19" s="754"/>
      <c r="BZ19" s="754"/>
      <c r="CA19" s="754"/>
      <c r="CB19" s="754"/>
      <c r="CC19" s="754"/>
      <c r="CD19" s="754"/>
      <c r="CE19" s="754"/>
      <c r="CF19" s="754"/>
      <c r="CG19" s="754"/>
      <c r="CH19" s="754"/>
      <c r="CI19" s="754"/>
      <c r="CJ19" s="754"/>
      <c r="CK19" s="754"/>
      <c r="CL19" s="754"/>
      <c r="CM19" s="754"/>
      <c r="CN19" s="754"/>
      <c r="CO19" s="754"/>
      <c r="CP19" s="754"/>
      <c r="CQ19" s="754"/>
      <c r="CR19" s="754"/>
      <c r="CS19" s="755"/>
    </row>
    <row r="20" spans="1:260" ht="15" customHeight="1">
      <c r="A20" s="235"/>
      <c r="B20" s="236"/>
      <c r="D20" s="830" t="s">
        <v>6926</v>
      </c>
      <c r="E20" s="830"/>
      <c r="F20" s="830"/>
      <c r="G20" s="830"/>
      <c r="H20" s="830"/>
      <c r="I20" s="830"/>
      <c r="J20" s="830"/>
      <c r="K20" s="830"/>
      <c r="L20" s="830"/>
      <c r="M20" s="830"/>
      <c r="N20" s="830"/>
      <c r="O20" s="830"/>
      <c r="P20" s="830"/>
      <c r="Q20" s="830"/>
      <c r="R20" s="830"/>
      <c r="S20" s="830"/>
      <c r="T20" s="830"/>
      <c r="U20" s="830"/>
      <c r="V20" s="830"/>
      <c r="W20" s="830"/>
      <c r="X20" s="830"/>
      <c r="Y20" s="830"/>
      <c r="Z20" s="830"/>
      <c r="AA20" s="830"/>
      <c r="AB20" s="830"/>
      <c r="AC20" s="830"/>
      <c r="AD20" s="830"/>
      <c r="AE20" s="830"/>
      <c r="AF20" s="830"/>
      <c r="AG20" s="830"/>
      <c r="AH20" s="830"/>
      <c r="AI20" s="830"/>
      <c r="AJ20" s="830"/>
      <c r="AK20" s="830"/>
      <c r="AL20" s="830"/>
      <c r="AM20" s="830"/>
      <c r="AN20" s="830"/>
      <c r="AO20" s="830"/>
      <c r="AP20" s="830"/>
      <c r="AQ20" s="830"/>
      <c r="AR20" s="830"/>
      <c r="AS20" s="830"/>
      <c r="AT20" s="830"/>
      <c r="AU20" s="830"/>
      <c r="AV20" s="830"/>
      <c r="AW20" s="830"/>
      <c r="AX20" s="830"/>
      <c r="AY20" s="830"/>
      <c r="AZ20" s="830"/>
      <c r="BA20" s="830"/>
      <c r="BB20" s="830"/>
      <c r="BC20" s="830"/>
      <c r="BD20" s="830"/>
      <c r="BE20" s="830"/>
      <c r="BF20" s="830"/>
      <c r="BG20" s="830"/>
      <c r="BH20" s="830"/>
      <c r="BI20" s="830"/>
      <c r="BJ20" s="830"/>
      <c r="BK20" s="830"/>
      <c r="BL20" s="830"/>
      <c r="BM20" s="830"/>
      <c r="BN20" s="830"/>
      <c r="BO20" s="830"/>
      <c r="BP20" s="830"/>
      <c r="BQ20" s="830"/>
      <c r="BR20" s="830"/>
      <c r="BS20" s="830"/>
      <c r="BT20" s="830"/>
      <c r="BU20" s="830"/>
      <c r="BV20" s="830"/>
      <c r="BW20" s="830"/>
      <c r="BX20" s="830"/>
      <c r="BY20" s="830"/>
      <c r="BZ20" s="830"/>
      <c r="CA20" s="830"/>
      <c r="CB20" s="830"/>
      <c r="CC20" s="830"/>
      <c r="CD20" s="830"/>
      <c r="CE20" s="830"/>
      <c r="CF20" s="830"/>
      <c r="CG20" s="830"/>
      <c r="CH20" s="830"/>
      <c r="CI20" s="830"/>
      <c r="CJ20" s="830"/>
      <c r="CK20" s="830"/>
      <c r="CL20" s="830"/>
      <c r="CM20" s="830"/>
      <c r="CN20" s="830"/>
      <c r="CO20" s="830"/>
      <c r="CP20" s="830"/>
      <c r="CQ20" s="830"/>
      <c r="CR20" s="830"/>
      <c r="CS20" s="886"/>
    </row>
    <row r="21" spans="1:260" ht="15" customHeight="1">
      <c r="A21" s="235"/>
      <c r="B21" s="236"/>
      <c r="D21" s="830" t="s">
        <v>6927</v>
      </c>
      <c r="E21" s="830"/>
      <c r="F21" s="830"/>
      <c r="G21" s="830"/>
      <c r="H21" s="830"/>
      <c r="I21" s="830"/>
      <c r="J21" s="830"/>
      <c r="K21" s="830"/>
      <c r="L21" s="830"/>
      <c r="M21" s="830"/>
      <c r="N21" s="830"/>
      <c r="O21" s="830"/>
      <c r="P21" s="830"/>
      <c r="Q21" s="830"/>
      <c r="R21" s="830"/>
      <c r="S21" s="830"/>
      <c r="T21" s="830"/>
      <c r="U21" s="830"/>
      <c r="V21" s="830"/>
      <c r="W21" s="830"/>
      <c r="X21" s="830"/>
      <c r="Y21" s="830"/>
      <c r="Z21" s="830"/>
      <c r="AA21" s="830"/>
      <c r="AB21" s="830"/>
      <c r="AC21" s="830"/>
      <c r="AD21" s="830"/>
      <c r="AE21" s="830"/>
      <c r="AF21" s="830"/>
      <c r="AG21" s="830"/>
      <c r="AH21" s="830"/>
      <c r="AI21" s="830"/>
      <c r="AJ21" s="830"/>
      <c r="AK21" s="830"/>
      <c r="AL21" s="830"/>
      <c r="AM21" s="830"/>
      <c r="AN21" s="830"/>
      <c r="AO21" s="830"/>
      <c r="AP21" s="830"/>
      <c r="AQ21" s="830"/>
      <c r="AR21" s="830"/>
      <c r="AS21" s="830"/>
      <c r="AT21" s="830"/>
      <c r="AU21" s="830"/>
      <c r="AV21" s="830"/>
      <c r="AW21" s="830"/>
      <c r="AX21" s="830"/>
      <c r="AY21" s="830"/>
      <c r="AZ21" s="830"/>
      <c r="BA21" s="830"/>
      <c r="BB21" s="830"/>
      <c r="BC21" s="830"/>
      <c r="BD21" s="830"/>
      <c r="BE21" s="830"/>
      <c r="BF21" s="830"/>
      <c r="BG21" s="830"/>
      <c r="BH21" s="830"/>
      <c r="BI21" s="830"/>
      <c r="BJ21" s="830"/>
      <c r="BK21" s="830"/>
      <c r="BL21" s="830"/>
      <c r="BM21" s="830"/>
      <c r="BN21" s="830"/>
      <c r="BO21" s="830"/>
      <c r="BP21" s="830"/>
      <c r="BQ21" s="830"/>
      <c r="BR21" s="830"/>
      <c r="BS21" s="830"/>
      <c r="BT21" s="830"/>
      <c r="BU21" s="830"/>
      <c r="BV21" s="830"/>
      <c r="BW21" s="830"/>
      <c r="BX21" s="830"/>
      <c r="BY21" s="830"/>
      <c r="BZ21" s="830"/>
      <c r="CA21" s="830"/>
      <c r="CB21" s="830"/>
      <c r="CC21" s="830"/>
      <c r="CD21" s="830"/>
      <c r="CE21" s="830"/>
      <c r="CF21" s="830"/>
      <c r="CG21" s="830"/>
      <c r="CH21" s="830"/>
      <c r="CI21" s="830"/>
      <c r="CJ21" s="830"/>
      <c r="CK21" s="830"/>
      <c r="CL21" s="830"/>
      <c r="CM21" s="830"/>
      <c r="CN21" s="830"/>
      <c r="CO21" s="830"/>
      <c r="CP21" s="830"/>
      <c r="CQ21" s="830"/>
      <c r="CR21" s="830"/>
      <c r="CS21" s="886"/>
    </row>
    <row r="22" spans="1:260" ht="15" customHeight="1">
      <c r="A22" s="235"/>
      <c r="B22" s="236"/>
      <c r="D22" s="830" t="s">
        <v>6928</v>
      </c>
      <c r="E22" s="830"/>
      <c r="F22" s="830"/>
      <c r="G22" s="830"/>
      <c r="H22" s="830"/>
      <c r="I22" s="830"/>
      <c r="J22" s="830"/>
      <c r="K22" s="830"/>
      <c r="L22" s="830"/>
      <c r="M22" s="830"/>
      <c r="N22" s="830"/>
      <c r="O22" s="830"/>
      <c r="P22" s="830"/>
      <c r="Q22" s="830"/>
      <c r="R22" s="830"/>
      <c r="S22" s="830"/>
      <c r="T22" s="830"/>
      <c r="U22" s="830"/>
      <c r="V22" s="830"/>
      <c r="W22" s="830"/>
      <c r="X22" s="830"/>
      <c r="Y22" s="830"/>
      <c r="Z22" s="830"/>
      <c r="AA22" s="830"/>
      <c r="AB22" s="830"/>
      <c r="AC22" s="830"/>
      <c r="AD22" s="830"/>
      <c r="AE22" s="830"/>
      <c r="AF22" s="830"/>
      <c r="AG22" s="830"/>
      <c r="AH22" s="830"/>
      <c r="AI22" s="830"/>
      <c r="AJ22" s="830"/>
      <c r="AK22" s="830"/>
      <c r="AL22" s="830"/>
      <c r="AM22" s="830"/>
      <c r="AN22" s="830"/>
      <c r="AO22" s="830"/>
      <c r="AP22" s="830"/>
      <c r="AQ22" s="830"/>
      <c r="AR22" s="830"/>
      <c r="AS22" s="830"/>
      <c r="AT22" s="830"/>
      <c r="AU22" s="830"/>
      <c r="AV22" s="830"/>
      <c r="AW22" s="830"/>
      <c r="AX22" s="830"/>
      <c r="AY22" s="830"/>
      <c r="AZ22" s="830"/>
      <c r="BA22" s="830"/>
      <c r="BB22" s="830"/>
      <c r="BC22" s="830"/>
      <c r="BD22" s="830"/>
      <c r="BE22" s="830"/>
      <c r="BF22" s="830"/>
      <c r="BG22" s="830"/>
      <c r="BH22" s="830"/>
      <c r="BI22" s="830"/>
      <c r="BJ22" s="830"/>
      <c r="BK22" s="830"/>
      <c r="BL22" s="830"/>
      <c r="BM22" s="830"/>
      <c r="BN22" s="830"/>
      <c r="BO22" s="830"/>
      <c r="BP22" s="830"/>
      <c r="BQ22" s="830"/>
      <c r="BR22" s="830"/>
      <c r="BS22" s="830"/>
      <c r="BT22" s="830"/>
      <c r="BU22" s="830"/>
      <c r="BV22" s="830"/>
      <c r="BW22" s="830"/>
      <c r="BX22" s="830"/>
      <c r="BY22" s="830"/>
      <c r="BZ22" s="830"/>
      <c r="CA22" s="830"/>
      <c r="CB22" s="830"/>
      <c r="CC22" s="830"/>
      <c r="CD22" s="830"/>
      <c r="CE22" s="830"/>
      <c r="CF22" s="830"/>
      <c r="CG22" s="830"/>
      <c r="CH22" s="830"/>
      <c r="CI22" s="830"/>
      <c r="CJ22" s="830"/>
      <c r="CK22" s="830"/>
      <c r="CL22" s="830"/>
      <c r="CM22" s="830"/>
      <c r="CN22" s="830"/>
      <c r="CO22" s="830"/>
      <c r="CP22" s="830"/>
      <c r="CQ22" s="830"/>
      <c r="CR22" s="830"/>
      <c r="CS22" s="886"/>
    </row>
    <row r="23" spans="1:260" ht="15" customHeight="1">
      <c r="A23" s="235"/>
      <c r="B23" s="238"/>
      <c r="C23" s="754" t="s">
        <v>6929</v>
      </c>
      <c r="D23" s="754"/>
      <c r="E23" s="754"/>
      <c r="F23" s="754"/>
      <c r="G23" s="754"/>
      <c r="H23" s="754"/>
      <c r="I23" s="754"/>
      <c r="J23" s="754"/>
      <c r="K23" s="754"/>
      <c r="L23" s="754"/>
      <c r="M23" s="754"/>
      <c r="N23" s="754"/>
      <c r="O23" s="754"/>
      <c r="P23" s="754"/>
      <c r="Q23" s="754"/>
      <c r="R23" s="754"/>
      <c r="S23" s="754"/>
      <c r="T23" s="754"/>
      <c r="U23" s="754"/>
      <c r="V23" s="754"/>
      <c r="W23" s="754"/>
      <c r="X23" s="754"/>
      <c r="Y23" s="754"/>
      <c r="Z23" s="754"/>
      <c r="AA23" s="754"/>
      <c r="AB23" s="754"/>
      <c r="AC23" s="754"/>
      <c r="AD23" s="754"/>
      <c r="AE23" s="754"/>
      <c r="AF23" s="754"/>
      <c r="AG23" s="754"/>
      <c r="AH23" s="754"/>
      <c r="AI23" s="754"/>
      <c r="AJ23" s="754"/>
      <c r="AK23" s="754"/>
      <c r="AL23" s="754"/>
      <c r="AM23" s="754"/>
      <c r="AN23" s="754"/>
      <c r="AO23" s="754"/>
      <c r="AP23" s="754"/>
      <c r="AQ23" s="754"/>
      <c r="AR23" s="754"/>
      <c r="AS23" s="754"/>
      <c r="AT23" s="754"/>
      <c r="AU23" s="754"/>
      <c r="AV23" s="754"/>
      <c r="AW23" s="754"/>
      <c r="AX23" s="754"/>
      <c r="AY23" s="754"/>
      <c r="AZ23" s="754"/>
      <c r="BA23" s="754"/>
      <c r="BB23" s="754"/>
      <c r="BC23" s="754"/>
      <c r="BD23" s="754"/>
      <c r="BE23" s="754"/>
      <c r="BF23" s="754"/>
      <c r="BG23" s="754"/>
      <c r="BH23" s="754"/>
      <c r="BI23" s="754"/>
      <c r="BJ23" s="754"/>
      <c r="BK23" s="754"/>
      <c r="BL23" s="754"/>
      <c r="BM23" s="754"/>
      <c r="BN23" s="754"/>
      <c r="BO23" s="754"/>
      <c r="BP23" s="754"/>
      <c r="BQ23" s="754"/>
      <c r="BR23" s="754"/>
      <c r="BS23" s="754"/>
      <c r="BT23" s="754"/>
      <c r="BU23" s="754"/>
      <c r="BV23" s="754"/>
      <c r="BW23" s="754"/>
      <c r="BX23" s="754"/>
      <c r="BY23" s="754"/>
      <c r="BZ23" s="754"/>
      <c r="CA23" s="754"/>
      <c r="CB23" s="754"/>
      <c r="CC23" s="754"/>
      <c r="CD23" s="754"/>
      <c r="CE23" s="754"/>
      <c r="CF23" s="754"/>
      <c r="CG23" s="754"/>
      <c r="CH23" s="754"/>
      <c r="CI23" s="754"/>
      <c r="CJ23" s="754"/>
      <c r="CK23" s="754"/>
      <c r="CL23" s="754"/>
      <c r="CM23" s="754"/>
      <c r="CN23" s="754"/>
      <c r="CO23" s="754"/>
      <c r="CP23" s="754"/>
      <c r="CQ23" s="754"/>
      <c r="CR23" s="754"/>
      <c r="CS23" s="755"/>
    </row>
    <row r="24" spans="1:260" ht="15" customHeight="1">
      <c r="A24" s="235"/>
      <c r="B24" s="133"/>
      <c r="C24" s="764" t="s">
        <v>6930</v>
      </c>
      <c r="D24" s="764"/>
      <c r="E24" s="764"/>
      <c r="F24" s="764"/>
      <c r="G24" s="764"/>
      <c r="H24" s="764"/>
      <c r="I24" s="764"/>
      <c r="J24" s="764"/>
      <c r="K24" s="764"/>
      <c r="L24" s="764"/>
      <c r="M24" s="764"/>
      <c r="N24" s="764"/>
      <c r="O24" s="764"/>
      <c r="P24" s="764"/>
      <c r="Q24" s="764"/>
      <c r="R24" s="764"/>
      <c r="S24" s="764"/>
      <c r="T24" s="764"/>
      <c r="U24" s="764"/>
      <c r="V24" s="764"/>
      <c r="W24" s="764"/>
      <c r="X24" s="764"/>
      <c r="Y24" s="764"/>
      <c r="Z24" s="764"/>
      <c r="AA24" s="764"/>
      <c r="AB24" s="764"/>
      <c r="AC24" s="764"/>
      <c r="AD24" s="764"/>
      <c r="AE24" s="764"/>
      <c r="AF24" s="764"/>
      <c r="AG24" s="764"/>
      <c r="AH24" s="764"/>
      <c r="AI24" s="764"/>
      <c r="AJ24" s="764"/>
      <c r="AK24" s="764"/>
      <c r="AL24" s="764"/>
      <c r="AM24" s="764"/>
      <c r="AN24" s="764"/>
      <c r="AO24" s="764"/>
      <c r="AP24" s="764"/>
      <c r="AQ24" s="764"/>
      <c r="AR24" s="764"/>
      <c r="AS24" s="764"/>
      <c r="AT24" s="764"/>
      <c r="AU24" s="764"/>
      <c r="AV24" s="764"/>
      <c r="AW24" s="764"/>
      <c r="AX24" s="764"/>
      <c r="AY24" s="764"/>
      <c r="AZ24" s="764"/>
      <c r="BA24" s="764"/>
      <c r="BB24" s="764"/>
      <c r="BC24" s="764"/>
      <c r="BD24" s="764"/>
      <c r="BE24" s="764"/>
      <c r="BF24" s="764"/>
      <c r="BG24" s="764"/>
      <c r="BH24" s="764"/>
      <c r="BI24" s="764"/>
      <c r="BJ24" s="764"/>
      <c r="BK24" s="764"/>
      <c r="BL24" s="764"/>
      <c r="BM24" s="764"/>
      <c r="BN24" s="764"/>
      <c r="BO24" s="764"/>
      <c r="BP24" s="764"/>
      <c r="BQ24" s="764"/>
      <c r="BR24" s="764"/>
      <c r="BS24" s="764"/>
      <c r="BT24" s="764"/>
      <c r="BU24" s="764"/>
      <c r="BV24" s="764"/>
      <c r="BW24" s="764"/>
      <c r="BX24" s="764"/>
      <c r="BY24" s="764"/>
      <c r="BZ24" s="764"/>
      <c r="CA24" s="764"/>
      <c r="CB24" s="764"/>
      <c r="CC24" s="764"/>
      <c r="CD24" s="764"/>
      <c r="CE24" s="764"/>
      <c r="CF24" s="764"/>
      <c r="CG24" s="764"/>
      <c r="CH24" s="764"/>
      <c r="CI24" s="764"/>
      <c r="CJ24" s="764"/>
      <c r="CK24" s="764"/>
      <c r="CL24" s="764"/>
      <c r="CM24" s="764"/>
      <c r="CN24" s="764"/>
      <c r="CO24" s="764"/>
      <c r="CP24" s="764"/>
      <c r="CQ24" s="764"/>
      <c r="CR24" s="764"/>
      <c r="CS24" s="765"/>
    </row>
    <row r="25" spans="1:260">
      <c r="A25" s="235"/>
      <c r="B25" s="57"/>
      <c r="C25" s="57"/>
      <c r="D25" s="57"/>
      <c r="E25" s="57"/>
      <c r="F25" s="57"/>
      <c r="G25" s="57"/>
      <c r="H25" s="57"/>
      <c r="I25" s="57"/>
      <c r="J25" s="57"/>
      <c r="K25" s="57"/>
      <c r="L25" s="57"/>
      <c r="M25" s="57"/>
      <c r="N25" s="57"/>
      <c r="O25" s="57"/>
      <c r="P25" s="57"/>
      <c r="Q25" s="57"/>
      <c r="R25" s="57"/>
      <c r="S25" s="57"/>
      <c r="T25" s="57"/>
      <c r="U25" s="57"/>
      <c r="V25" s="57"/>
      <c r="W25" s="57"/>
      <c r="X25" s="57"/>
      <c r="Y25" s="57"/>
      <c r="Z25" s="57"/>
      <c r="AA25" s="57"/>
      <c r="AB25" s="57"/>
      <c r="AC25" s="57"/>
      <c r="AD25" s="57"/>
      <c r="AE25" s="57"/>
      <c r="AF25" s="57"/>
      <c r="AG25" s="57"/>
      <c r="AH25" s="57"/>
      <c r="AI25" s="57"/>
      <c r="AJ25" s="57"/>
      <c r="AK25" s="57"/>
      <c r="AL25" s="57"/>
      <c r="AM25" s="57"/>
      <c r="AN25" s="57"/>
      <c r="AO25" s="57"/>
      <c r="AP25" s="57"/>
      <c r="AQ25" s="57"/>
      <c r="AR25" s="57"/>
      <c r="AS25" s="57"/>
      <c r="AT25" s="57"/>
      <c r="AU25" s="57"/>
      <c r="AV25" s="57"/>
      <c r="AW25" s="57"/>
      <c r="AX25" s="57"/>
      <c r="AY25" s="57"/>
      <c r="AZ25" s="57"/>
      <c r="BA25" s="57"/>
      <c r="BB25" s="57"/>
      <c r="BC25" s="57"/>
      <c r="BD25" s="57"/>
      <c r="BE25" s="57"/>
      <c r="BF25" s="57"/>
      <c r="BG25" s="57"/>
      <c r="BH25" s="57"/>
      <c r="BI25" s="57"/>
      <c r="BJ25" s="57"/>
      <c r="BK25" s="57"/>
      <c r="BL25" s="57"/>
      <c r="BM25" s="57"/>
      <c r="BN25" s="57"/>
      <c r="BO25" s="57"/>
      <c r="BP25" s="57"/>
      <c r="BQ25" s="57"/>
      <c r="BR25" s="57"/>
      <c r="BS25" s="57"/>
      <c r="BT25" s="57"/>
      <c r="BU25" s="57"/>
      <c r="BV25" s="57"/>
      <c r="BW25" s="57"/>
      <c r="BX25" s="57"/>
      <c r="BY25" s="57"/>
      <c r="BZ25" s="57"/>
      <c r="CA25" s="57"/>
      <c r="CB25" s="57"/>
      <c r="CC25" s="57"/>
      <c r="CD25" s="57"/>
      <c r="CE25" s="57"/>
      <c r="CF25" s="57"/>
      <c r="CG25" s="57"/>
      <c r="CH25" s="57"/>
      <c r="CI25" s="57"/>
      <c r="CJ25" s="57"/>
      <c r="CK25" s="57"/>
      <c r="CL25" s="57"/>
      <c r="CM25" s="57"/>
      <c r="CN25" s="57"/>
      <c r="CO25" s="57"/>
      <c r="CP25" s="57"/>
      <c r="CQ25" s="57"/>
      <c r="CR25" s="57"/>
      <c r="CS25" s="57"/>
      <c r="CX25" s="1214" t="s">
        <v>6931</v>
      </c>
      <c r="CY25" s="1214"/>
      <c r="CZ25" s="1214"/>
      <c r="DA25" s="1214"/>
      <c r="DB25" s="1214"/>
      <c r="DC25" s="1214"/>
      <c r="DD25" s="1214"/>
      <c r="DE25" s="1214"/>
      <c r="DF25" s="1214"/>
      <c r="DG25" s="1214"/>
      <c r="DH25" s="1214"/>
      <c r="DI25" s="1214"/>
      <c r="DJ25" s="1214"/>
      <c r="DK25" s="1214"/>
      <c r="DL25" s="1214"/>
      <c r="DM25" s="1214"/>
      <c r="DN25" s="1214"/>
      <c r="DO25" s="1214"/>
      <c r="DP25" s="1214"/>
      <c r="DQ25" s="1214"/>
      <c r="DR25" s="1214"/>
      <c r="DS25" s="1214"/>
      <c r="DT25" s="1214"/>
      <c r="DU25" s="1214"/>
      <c r="DV25" s="1214"/>
      <c r="DW25" s="1214"/>
      <c r="DX25" s="1214"/>
      <c r="DY25" s="1214"/>
      <c r="DZ25" s="1214"/>
      <c r="EB25" s="1216" t="s">
        <v>6932</v>
      </c>
      <c r="EC25" s="1216"/>
      <c r="ED25" s="1216"/>
      <c r="EE25" s="1216"/>
      <c r="EF25" s="1216"/>
      <c r="EG25" s="1216"/>
      <c r="EH25" s="1216"/>
      <c r="EI25" s="1216"/>
      <c r="EJ25" s="1216"/>
      <c r="EK25" s="1216"/>
      <c r="EL25" s="1216"/>
      <c r="EM25" s="1216"/>
      <c r="EN25" s="1216"/>
      <c r="EO25" s="1216"/>
      <c r="EP25" s="1216"/>
      <c r="EQ25" s="1216"/>
      <c r="ER25" s="1216"/>
      <c r="ES25" s="1216"/>
      <c r="ET25" s="1216"/>
      <c r="EU25" s="1216"/>
      <c r="EV25" s="1216"/>
      <c r="EW25" s="1216"/>
      <c r="EX25" s="1216"/>
      <c r="EY25" s="1216"/>
      <c r="EZ25" s="1216"/>
      <c r="FA25" s="1216"/>
      <c r="FB25" s="1216"/>
      <c r="FC25" s="1216"/>
      <c r="FD25" s="1216"/>
    </row>
    <row r="26" spans="1:260" ht="15" customHeight="1">
      <c r="A26" s="228"/>
      <c r="B26" s="131"/>
      <c r="C26" s="797" t="s">
        <v>2581</v>
      </c>
      <c r="D26" s="798"/>
      <c r="E26" s="798"/>
      <c r="F26" s="798"/>
      <c r="G26" s="799"/>
      <c r="H26" s="732" t="s">
        <v>6933</v>
      </c>
      <c r="I26" s="732"/>
      <c r="J26" s="732"/>
      <c r="K26" s="732"/>
      <c r="L26" s="732"/>
      <c r="M26" s="732"/>
      <c r="N26" s="732"/>
      <c r="O26" s="732"/>
      <c r="P26" s="732"/>
      <c r="Q26" s="732"/>
      <c r="R26" s="732"/>
      <c r="S26" s="732"/>
      <c r="T26" s="732"/>
      <c r="U26" s="732"/>
      <c r="V26" s="732"/>
      <c r="W26" s="732"/>
      <c r="X26" s="732"/>
      <c r="Y26" s="732"/>
      <c r="Z26" s="732" t="s">
        <v>6934</v>
      </c>
      <c r="AA26" s="732"/>
      <c r="AB26" s="732"/>
      <c r="AC26" s="732"/>
      <c r="AD26" s="732"/>
      <c r="AE26" s="732"/>
      <c r="AF26" s="732"/>
      <c r="AG26" s="732"/>
      <c r="AH26" s="732"/>
      <c r="AI26" s="732"/>
      <c r="AJ26" s="732"/>
      <c r="AK26" s="732"/>
      <c r="AL26" s="732"/>
      <c r="AM26" s="732"/>
      <c r="AN26" s="732"/>
      <c r="AO26" s="732"/>
      <c r="AP26" s="732"/>
      <c r="AQ26" s="732"/>
      <c r="AR26" s="732" t="s">
        <v>6935</v>
      </c>
      <c r="AS26" s="732"/>
      <c r="AT26" s="732"/>
      <c r="AU26" s="732"/>
      <c r="AV26" s="732"/>
      <c r="AW26" s="732"/>
      <c r="AX26" s="732"/>
      <c r="AY26" s="732"/>
      <c r="AZ26" s="732"/>
      <c r="BA26" s="732"/>
      <c r="BB26" s="732"/>
      <c r="BC26" s="732"/>
      <c r="BD26" s="732"/>
      <c r="BE26" s="732"/>
      <c r="BF26" s="732"/>
      <c r="BG26" s="732"/>
      <c r="BH26" s="732"/>
      <c r="BI26" s="732"/>
      <c r="BJ26" s="732" t="s">
        <v>6936</v>
      </c>
      <c r="BK26" s="732"/>
      <c r="BL26" s="732"/>
      <c r="BM26" s="732"/>
      <c r="BN26" s="732"/>
      <c r="BO26" s="732"/>
      <c r="BP26" s="732"/>
      <c r="BQ26" s="732"/>
      <c r="BR26" s="732"/>
      <c r="BS26" s="732"/>
      <c r="BT26" s="732"/>
      <c r="BU26" s="732"/>
      <c r="BV26" s="732"/>
      <c r="BW26" s="732"/>
      <c r="BX26" s="732"/>
      <c r="BY26" s="732"/>
      <c r="BZ26" s="732"/>
      <c r="CA26" s="732"/>
      <c r="CB26" s="732" t="s">
        <v>6937</v>
      </c>
      <c r="CC26" s="732"/>
      <c r="CD26" s="732"/>
      <c r="CE26" s="732"/>
      <c r="CF26" s="732"/>
      <c r="CG26" s="732"/>
      <c r="CH26" s="732"/>
      <c r="CI26" s="732"/>
      <c r="CJ26" s="732"/>
      <c r="CK26" s="732"/>
      <c r="CL26" s="732"/>
      <c r="CM26" s="732"/>
      <c r="CN26" s="732"/>
      <c r="CO26" s="732"/>
      <c r="CP26" s="732"/>
      <c r="CQ26" s="732"/>
      <c r="CR26" s="732"/>
      <c r="CS26" s="732"/>
      <c r="CX26" s="1214"/>
      <c r="CY26" s="1214"/>
      <c r="CZ26" s="1214"/>
      <c r="DA26" s="1214"/>
      <c r="DB26" s="1214"/>
      <c r="DC26" s="1214"/>
      <c r="DD26" s="1214"/>
      <c r="DE26" s="1214"/>
      <c r="DF26" s="1214"/>
      <c r="DG26" s="1214"/>
      <c r="DH26" s="1214"/>
      <c r="DI26" s="1214"/>
      <c r="DJ26" s="1214"/>
      <c r="DK26" s="1214"/>
      <c r="DL26" s="1214"/>
      <c r="DM26" s="1214"/>
      <c r="DN26" s="1214"/>
      <c r="DO26" s="1214"/>
      <c r="DP26" s="1214"/>
      <c r="DQ26" s="1214"/>
      <c r="DR26" s="1214"/>
      <c r="DS26" s="1214"/>
      <c r="DT26" s="1214"/>
      <c r="DU26" s="1214"/>
      <c r="DV26" s="1214"/>
      <c r="DW26" s="1214"/>
      <c r="DX26" s="1214"/>
      <c r="DY26" s="1214"/>
      <c r="DZ26" s="1214"/>
      <c r="EB26" s="1216"/>
      <c r="EC26" s="1216"/>
      <c r="ED26" s="1216"/>
      <c r="EE26" s="1216"/>
      <c r="EF26" s="1216"/>
      <c r="EG26" s="1216"/>
      <c r="EH26" s="1216"/>
      <c r="EI26" s="1216"/>
      <c r="EJ26" s="1216"/>
      <c r="EK26" s="1216"/>
      <c r="EL26" s="1216"/>
      <c r="EM26" s="1216"/>
      <c r="EN26" s="1216"/>
      <c r="EO26" s="1216"/>
      <c r="EP26" s="1216"/>
      <c r="EQ26" s="1216"/>
      <c r="ER26" s="1216"/>
      <c r="ES26" s="1216"/>
      <c r="ET26" s="1216"/>
      <c r="EU26" s="1216"/>
      <c r="EV26" s="1216"/>
      <c r="EW26" s="1216"/>
      <c r="EX26" s="1216"/>
      <c r="EY26" s="1216"/>
      <c r="EZ26" s="1216"/>
      <c r="FA26" s="1216"/>
      <c r="FB26" s="1216"/>
      <c r="FC26" s="1216"/>
      <c r="FD26" s="1216"/>
      <c r="GX26"/>
      <c r="GY26"/>
      <c r="GZ26"/>
      <c r="HA26"/>
      <c r="HB26"/>
      <c r="HC26"/>
      <c r="HD26"/>
      <c r="HE26"/>
      <c r="HF26"/>
      <c r="HG26"/>
      <c r="HH26"/>
      <c r="HI26"/>
      <c r="HJ26"/>
      <c r="HK26"/>
      <c r="HL26"/>
      <c r="HM26" s="1212" t="s">
        <v>6938</v>
      </c>
      <c r="HN26" s="1212"/>
      <c r="HO26" s="1212"/>
      <c r="HP26" s="1212"/>
      <c r="HQ26" s="1212"/>
      <c r="HR26" s="1212"/>
      <c r="HS26" s="1212"/>
      <c r="HT26" s="1212"/>
      <c r="HU26" s="1213" t="s">
        <v>6939</v>
      </c>
      <c r="HV26" s="1213"/>
      <c r="HW26" s="1213"/>
      <c r="HX26" s="1213"/>
      <c r="HY26" s="1213"/>
      <c r="HZ26" s="1213"/>
      <c r="IA26" s="1213"/>
      <c r="IB26" s="1213"/>
      <c r="IC26" s="1212" t="s">
        <v>6940</v>
      </c>
      <c r="ID26" s="1212"/>
      <c r="IE26" s="1212"/>
      <c r="IF26" s="1212"/>
      <c r="IG26" s="1212"/>
      <c r="IH26" s="1212"/>
      <c r="II26" s="1212"/>
      <c r="IJ26" s="1212"/>
      <c r="IK26" s="1213" t="s">
        <v>6941</v>
      </c>
      <c r="IL26" s="1213"/>
      <c r="IM26" s="1213"/>
      <c r="IN26" s="1213"/>
      <c r="IO26" s="1213"/>
      <c r="IP26" s="1213"/>
      <c r="IQ26" s="1213"/>
      <c r="IR26" s="1213"/>
      <c r="IS26" s="1212" t="s">
        <v>6942</v>
      </c>
      <c r="IT26" s="1212"/>
      <c r="IU26" s="1212"/>
      <c r="IV26" s="1212"/>
      <c r="IW26" s="1212"/>
      <c r="IX26" s="1212"/>
      <c r="IY26" s="1212"/>
      <c r="IZ26" s="1212"/>
    </row>
    <row r="27" spans="1:260" ht="24" customHeight="1">
      <c r="A27" s="228"/>
      <c r="B27" s="131"/>
      <c r="C27" s="800"/>
      <c r="D27" s="801"/>
      <c r="E27" s="801"/>
      <c r="F27" s="801"/>
      <c r="G27" s="802"/>
      <c r="H27" s="818" t="s">
        <v>3942</v>
      </c>
      <c r="I27" s="819"/>
      <c r="J27" s="819"/>
      <c r="K27" s="820"/>
      <c r="L27" s="818" t="s">
        <v>6943</v>
      </c>
      <c r="M27" s="819"/>
      <c r="N27" s="819"/>
      <c r="O27" s="820"/>
      <c r="P27" s="841" t="s">
        <v>4317</v>
      </c>
      <c r="Q27" s="842"/>
      <c r="R27" s="733" t="s">
        <v>4318</v>
      </c>
      <c r="S27" s="734"/>
      <c r="T27" s="734"/>
      <c r="U27" s="734"/>
      <c r="V27" s="734"/>
      <c r="W27" s="734"/>
      <c r="X27" s="734"/>
      <c r="Y27" s="735"/>
      <c r="Z27" s="818" t="s">
        <v>3942</v>
      </c>
      <c r="AA27" s="819"/>
      <c r="AB27" s="819"/>
      <c r="AC27" s="820"/>
      <c r="AD27" s="818" t="s">
        <v>6943</v>
      </c>
      <c r="AE27" s="819"/>
      <c r="AF27" s="819"/>
      <c r="AG27" s="820"/>
      <c r="AH27" s="841" t="s">
        <v>4317</v>
      </c>
      <c r="AI27" s="842"/>
      <c r="AJ27" s="733" t="s">
        <v>4318</v>
      </c>
      <c r="AK27" s="734"/>
      <c r="AL27" s="734"/>
      <c r="AM27" s="734"/>
      <c r="AN27" s="734"/>
      <c r="AO27" s="734"/>
      <c r="AP27" s="734"/>
      <c r="AQ27" s="735"/>
      <c r="AR27" s="818" t="s">
        <v>3942</v>
      </c>
      <c r="AS27" s="819"/>
      <c r="AT27" s="819"/>
      <c r="AU27" s="820"/>
      <c r="AV27" s="818" t="s">
        <v>6943</v>
      </c>
      <c r="AW27" s="819"/>
      <c r="AX27" s="819"/>
      <c r="AY27" s="820"/>
      <c r="AZ27" s="841" t="s">
        <v>4317</v>
      </c>
      <c r="BA27" s="842"/>
      <c r="BB27" s="733" t="s">
        <v>4318</v>
      </c>
      <c r="BC27" s="734"/>
      <c r="BD27" s="734"/>
      <c r="BE27" s="734"/>
      <c r="BF27" s="734"/>
      <c r="BG27" s="734"/>
      <c r="BH27" s="734"/>
      <c r="BI27" s="735"/>
      <c r="BJ27" s="818" t="s">
        <v>3942</v>
      </c>
      <c r="BK27" s="819"/>
      <c r="BL27" s="819"/>
      <c r="BM27" s="820"/>
      <c r="BN27" s="818" t="s">
        <v>6943</v>
      </c>
      <c r="BO27" s="819"/>
      <c r="BP27" s="819"/>
      <c r="BQ27" s="820"/>
      <c r="BR27" s="841" t="s">
        <v>4317</v>
      </c>
      <c r="BS27" s="842"/>
      <c r="BT27" s="733" t="s">
        <v>4318</v>
      </c>
      <c r="BU27" s="734"/>
      <c r="BV27" s="734"/>
      <c r="BW27" s="734"/>
      <c r="BX27" s="734"/>
      <c r="BY27" s="734"/>
      <c r="BZ27" s="734"/>
      <c r="CA27" s="735"/>
      <c r="CB27" s="818" t="s">
        <v>3942</v>
      </c>
      <c r="CC27" s="819"/>
      <c r="CD27" s="819"/>
      <c r="CE27" s="820"/>
      <c r="CF27" s="818" t="s">
        <v>6943</v>
      </c>
      <c r="CG27" s="819"/>
      <c r="CH27" s="819"/>
      <c r="CI27" s="820"/>
      <c r="CJ27" s="841" t="s">
        <v>4317</v>
      </c>
      <c r="CK27" s="842"/>
      <c r="CL27" s="733" t="s">
        <v>4318</v>
      </c>
      <c r="CM27" s="734"/>
      <c r="CN27" s="734"/>
      <c r="CO27" s="734"/>
      <c r="CP27" s="734"/>
      <c r="CQ27" s="734"/>
      <c r="CR27" s="734"/>
      <c r="CS27" s="735"/>
      <c r="CX27" s="1215" t="s">
        <v>6944</v>
      </c>
      <c r="CY27" s="1215"/>
      <c r="CZ27" s="1215"/>
      <c r="DA27" s="1215"/>
      <c r="DB27" s="1215"/>
      <c r="DC27"/>
      <c r="DD27" s="1215" t="s">
        <v>6945</v>
      </c>
      <c r="DE27" s="1215"/>
      <c r="DF27" s="1215"/>
      <c r="DG27" s="1215"/>
      <c r="DH27" s="1215"/>
      <c r="DI27"/>
      <c r="DJ27" s="1215" t="s">
        <v>6946</v>
      </c>
      <c r="DK27" s="1215"/>
      <c r="DL27" s="1215"/>
      <c r="DM27" s="1215"/>
      <c r="DN27" s="1215"/>
      <c r="DO27"/>
      <c r="DP27" s="1215" t="s">
        <v>6947</v>
      </c>
      <c r="DQ27" s="1215"/>
      <c r="DR27" s="1215"/>
      <c r="DS27" s="1215"/>
      <c r="DT27" s="1215"/>
      <c r="DU27"/>
      <c r="DV27" s="1215" t="s">
        <v>6948</v>
      </c>
      <c r="DW27" s="1215"/>
      <c r="DX27" s="1215"/>
      <c r="DY27" s="1215"/>
      <c r="DZ27" s="1215"/>
      <c r="EB27" s="1217" t="s">
        <v>6944</v>
      </c>
      <c r="EC27" s="1217"/>
      <c r="ED27" s="1217"/>
      <c r="EE27" s="1217"/>
      <c r="EF27" s="1217"/>
      <c r="EG27"/>
      <c r="EH27" s="1217" t="s">
        <v>6945</v>
      </c>
      <c r="EI27" s="1217"/>
      <c r="EJ27" s="1217"/>
      <c r="EK27" s="1217"/>
      <c r="EL27" s="1217"/>
      <c r="EM27"/>
      <c r="EN27" s="1217" t="s">
        <v>6946</v>
      </c>
      <c r="EO27" s="1217"/>
      <c r="EP27" s="1217"/>
      <c r="EQ27" s="1217"/>
      <c r="ER27" s="1217"/>
      <c r="ES27"/>
      <c r="ET27" s="1217" t="s">
        <v>6947</v>
      </c>
      <c r="EU27" s="1217"/>
      <c r="EV27" s="1217"/>
      <c r="EW27" s="1217"/>
      <c r="EX27" s="1217"/>
      <c r="EY27"/>
      <c r="EZ27" s="1217" t="s">
        <v>6948</v>
      </c>
      <c r="FA27" s="1217"/>
      <c r="FB27" s="1217"/>
      <c r="FC27" s="1217"/>
      <c r="FD27" s="1217"/>
      <c r="FI27" s="1223" t="s">
        <v>6944</v>
      </c>
      <c r="FJ27" s="1223"/>
      <c r="FK27" s="1223"/>
      <c r="FL27" s="1223"/>
      <c r="FM27" s="1223"/>
      <c r="FN27" s="1223"/>
      <c r="FO27" s="1223"/>
      <c r="FP27" s="1223"/>
      <c r="FQ27" s="1059" t="s">
        <v>6945</v>
      </c>
      <c r="FR27" s="1059"/>
      <c r="FS27" s="1059"/>
      <c r="FT27" s="1059"/>
      <c r="FU27" s="1059"/>
      <c r="FV27" s="1059"/>
      <c r="FW27" s="1059"/>
      <c r="FX27" s="1059"/>
      <c r="FY27" s="1223" t="s">
        <v>6946</v>
      </c>
      <c r="FZ27" s="1223"/>
      <c r="GA27" s="1223"/>
      <c r="GB27" s="1223"/>
      <c r="GC27" s="1223"/>
      <c r="GD27" s="1223"/>
      <c r="GE27" s="1223"/>
      <c r="GF27" s="1223"/>
      <c r="GG27" s="1059" t="s">
        <v>6947</v>
      </c>
      <c r="GH27" s="1059"/>
      <c r="GI27" s="1059"/>
      <c r="GJ27" s="1059"/>
      <c r="GK27" s="1059"/>
      <c r="GL27" s="1059"/>
      <c r="GM27" s="1059"/>
      <c r="GN27" s="1059"/>
      <c r="GO27" s="1223" t="s">
        <v>6948</v>
      </c>
      <c r="GP27" s="1223"/>
      <c r="GQ27" s="1223"/>
      <c r="GR27" s="1223"/>
      <c r="GS27" s="1223"/>
      <c r="GT27" s="1223"/>
      <c r="GU27" s="1223"/>
      <c r="GV27" s="1223"/>
      <c r="GX27" s="1218" t="s">
        <v>6949</v>
      </c>
      <c r="GY27" s="1218"/>
      <c r="GZ27" s="1218"/>
      <c r="HA27" s="1219" t="s">
        <v>6950</v>
      </c>
      <c r="HB27" s="1219"/>
      <c r="HC27" s="1219"/>
      <c r="HD27" s="1218" t="s">
        <v>6951</v>
      </c>
      <c r="HE27" s="1218"/>
      <c r="HF27" s="1218"/>
      <c r="HG27" s="1219" t="s">
        <v>6952</v>
      </c>
      <c r="HH27" s="1219"/>
      <c r="HI27" s="1219"/>
      <c r="HJ27" s="1218" t="s">
        <v>6953</v>
      </c>
      <c r="HK27" s="1218"/>
      <c r="HL27" s="1218"/>
      <c r="HM27" s="1220" t="s">
        <v>4319</v>
      </c>
      <c r="HN27" s="1220"/>
      <c r="HO27" s="1221" t="s">
        <v>2591</v>
      </c>
      <c r="HP27" s="1221"/>
      <c r="HQ27" s="1220" t="s">
        <v>4320</v>
      </c>
      <c r="HR27" s="1220"/>
      <c r="HS27" s="1221" t="s">
        <v>4321</v>
      </c>
      <c r="HT27" s="1221"/>
      <c r="HU27" s="1220" t="s">
        <v>4319</v>
      </c>
      <c r="HV27" s="1220"/>
      <c r="HW27" s="1221" t="s">
        <v>2591</v>
      </c>
      <c r="HX27" s="1221"/>
      <c r="HY27" s="1220" t="s">
        <v>4320</v>
      </c>
      <c r="HZ27" s="1220"/>
      <c r="IA27" s="1221" t="s">
        <v>4321</v>
      </c>
      <c r="IB27" s="1221"/>
      <c r="IC27" s="1220" t="s">
        <v>4319</v>
      </c>
      <c r="ID27" s="1220"/>
      <c r="IE27" s="1221" t="s">
        <v>2591</v>
      </c>
      <c r="IF27" s="1221"/>
      <c r="IG27" s="1220" t="s">
        <v>4320</v>
      </c>
      <c r="IH27" s="1220"/>
      <c r="II27" s="1221" t="s">
        <v>4321</v>
      </c>
      <c r="IJ27" s="1221"/>
      <c r="IK27" s="1220" t="s">
        <v>4319</v>
      </c>
      <c r="IL27" s="1220"/>
      <c r="IM27" s="1221" t="s">
        <v>2591</v>
      </c>
      <c r="IN27" s="1221"/>
      <c r="IO27" s="1220" t="s">
        <v>4320</v>
      </c>
      <c r="IP27" s="1220"/>
      <c r="IQ27" s="1221" t="s">
        <v>4321</v>
      </c>
      <c r="IR27" s="1221"/>
      <c r="IS27" s="1220" t="s">
        <v>4319</v>
      </c>
      <c r="IT27" s="1220"/>
      <c r="IU27" s="1221" t="s">
        <v>2591</v>
      </c>
      <c r="IV27" s="1221"/>
      <c r="IW27" s="1220" t="s">
        <v>4320</v>
      </c>
      <c r="IX27" s="1220"/>
      <c r="IY27" s="1221" t="s">
        <v>4321</v>
      </c>
      <c r="IZ27" s="1221"/>
    </row>
    <row r="28" spans="1:260" ht="72" customHeight="1">
      <c r="A28" s="228"/>
      <c r="B28" s="131"/>
      <c r="C28" s="803"/>
      <c r="D28" s="804"/>
      <c r="E28" s="804"/>
      <c r="F28" s="804"/>
      <c r="G28" s="805"/>
      <c r="H28" s="824"/>
      <c r="I28" s="825"/>
      <c r="J28" s="825"/>
      <c r="K28" s="826"/>
      <c r="L28" s="824"/>
      <c r="M28" s="825"/>
      <c r="N28" s="825"/>
      <c r="O28" s="826"/>
      <c r="P28" s="845"/>
      <c r="Q28" s="846"/>
      <c r="R28" s="857" t="s">
        <v>4322</v>
      </c>
      <c r="S28" s="857"/>
      <c r="T28" s="857" t="s">
        <v>4323</v>
      </c>
      <c r="U28" s="857"/>
      <c r="V28" s="857" t="s">
        <v>4324</v>
      </c>
      <c r="W28" s="857"/>
      <c r="X28" s="857" t="s">
        <v>4325</v>
      </c>
      <c r="Y28" s="857"/>
      <c r="Z28" s="824"/>
      <c r="AA28" s="825"/>
      <c r="AB28" s="825"/>
      <c r="AC28" s="826"/>
      <c r="AD28" s="824"/>
      <c r="AE28" s="825"/>
      <c r="AF28" s="825"/>
      <c r="AG28" s="826"/>
      <c r="AH28" s="845"/>
      <c r="AI28" s="846"/>
      <c r="AJ28" s="857" t="s">
        <v>4322</v>
      </c>
      <c r="AK28" s="857"/>
      <c r="AL28" s="857" t="s">
        <v>4323</v>
      </c>
      <c r="AM28" s="857"/>
      <c r="AN28" s="857" t="s">
        <v>4324</v>
      </c>
      <c r="AO28" s="857"/>
      <c r="AP28" s="857" t="s">
        <v>4325</v>
      </c>
      <c r="AQ28" s="857"/>
      <c r="AR28" s="824"/>
      <c r="AS28" s="825"/>
      <c r="AT28" s="825"/>
      <c r="AU28" s="826"/>
      <c r="AV28" s="824"/>
      <c r="AW28" s="825"/>
      <c r="AX28" s="825"/>
      <c r="AY28" s="826"/>
      <c r="AZ28" s="845"/>
      <c r="BA28" s="846"/>
      <c r="BB28" s="857" t="s">
        <v>4322</v>
      </c>
      <c r="BC28" s="857"/>
      <c r="BD28" s="857" t="s">
        <v>4323</v>
      </c>
      <c r="BE28" s="857"/>
      <c r="BF28" s="857" t="s">
        <v>4324</v>
      </c>
      <c r="BG28" s="857"/>
      <c r="BH28" s="857" t="s">
        <v>4325</v>
      </c>
      <c r="BI28" s="857"/>
      <c r="BJ28" s="824"/>
      <c r="BK28" s="825"/>
      <c r="BL28" s="825"/>
      <c r="BM28" s="826"/>
      <c r="BN28" s="824"/>
      <c r="BO28" s="825"/>
      <c r="BP28" s="825"/>
      <c r="BQ28" s="826"/>
      <c r="BR28" s="845"/>
      <c r="BS28" s="846"/>
      <c r="BT28" s="857" t="s">
        <v>4322</v>
      </c>
      <c r="BU28" s="857"/>
      <c r="BV28" s="857" t="s">
        <v>4323</v>
      </c>
      <c r="BW28" s="857"/>
      <c r="BX28" s="857" t="s">
        <v>4324</v>
      </c>
      <c r="BY28" s="857"/>
      <c r="BZ28" s="857" t="s">
        <v>4325</v>
      </c>
      <c r="CA28" s="857"/>
      <c r="CB28" s="824"/>
      <c r="CC28" s="825"/>
      <c r="CD28" s="825"/>
      <c r="CE28" s="826"/>
      <c r="CF28" s="824"/>
      <c r="CG28" s="825"/>
      <c r="CH28" s="825"/>
      <c r="CI28" s="826"/>
      <c r="CJ28" s="845"/>
      <c r="CK28" s="846"/>
      <c r="CL28" s="857" t="s">
        <v>4322</v>
      </c>
      <c r="CM28" s="857"/>
      <c r="CN28" s="857" t="s">
        <v>4323</v>
      </c>
      <c r="CO28" s="857"/>
      <c r="CP28" s="857" t="s">
        <v>4324</v>
      </c>
      <c r="CQ28" s="857"/>
      <c r="CR28" s="857" t="s">
        <v>4325</v>
      </c>
      <c r="CS28" s="857"/>
      <c r="CV28" s="247" t="s">
        <v>2586</v>
      </c>
      <c r="CW28" s="251" t="s">
        <v>2590</v>
      </c>
      <c r="CX28" s="496" t="s">
        <v>2587</v>
      </c>
      <c r="CY28" s="497"/>
      <c r="CZ28" s="496" t="s">
        <v>2588</v>
      </c>
      <c r="DA28" s="497"/>
      <c r="DB28" s="496" t="s">
        <v>2589</v>
      </c>
      <c r="DC28"/>
      <c r="DD28" s="496" t="s">
        <v>2587</v>
      </c>
      <c r="DE28" s="497"/>
      <c r="DF28" s="496" t="s">
        <v>2588</v>
      </c>
      <c r="DG28" s="497"/>
      <c r="DH28" s="496" t="s">
        <v>2589</v>
      </c>
      <c r="DI28"/>
      <c r="DJ28" s="496" t="s">
        <v>2587</v>
      </c>
      <c r="DK28" s="497"/>
      <c r="DL28" s="496" t="s">
        <v>2588</v>
      </c>
      <c r="DM28" s="497"/>
      <c r="DN28" s="496" t="s">
        <v>2589</v>
      </c>
      <c r="DO28"/>
      <c r="DP28" s="496" t="s">
        <v>2587</v>
      </c>
      <c r="DQ28" s="497"/>
      <c r="DR28" s="496" t="s">
        <v>2588</v>
      </c>
      <c r="DS28" s="497"/>
      <c r="DT28" s="496" t="s">
        <v>2589</v>
      </c>
      <c r="DU28"/>
      <c r="DV28" s="496" t="s">
        <v>2587</v>
      </c>
      <c r="DW28" s="497"/>
      <c r="DX28" s="496" t="s">
        <v>2588</v>
      </c>
      <c r="DY28" s="497"/>
      <c r="DZ28" s="496" t="s">
        <v>2589</v>
      </c>
      <c r="EB28" s="496" t="s">
        <v>2587</v>
      </c>
      <c r="EC28" s="497"/>
      <c r="ED28" s="496" t="s">
        <v>2588</v>
      </c>
      <c r="EE28" s="497"/>
      <c r="EF28" s="496" t="s">
        <v>2589</v>
      </c>
      <c r="EG28"/>
      <c r="EH28" s="496" t="s">
        <v>2587</v>
      </c>
      <c r="EI28" s="497"/>
      <c r="EJ28" s="496" t="s">
        <v>2588</v>
      </c>
      <c r="EK28" s="497"/>
      <c r="EL28" s="496" t="s">
        <v>2589</v>
      </c>
      <c r="EM28"/>
      <c r="EN28" s="496" t="s">
        <v>2587</v>
      </c>
      <c r="EO28" s="497"/>
      <c r="EP28" s="496" t="s">
        <v>2588</v>
      </c>
      <c r="EQ28" s="497"/>
      <c r="ER28" s="496" t="s">
        <v>2589</v>
      </c>
      <c r="ES28"/>
      <c r="ET28" s="496" t="s">
        <v>2587</v>
      </c>
      <c r="EU28" s="497"/>
      <c r="EV28" s="496" t="s">
        <v>2588</v>
      </c>
      <c r="EW28" s="497"/>
      <c r="EX28" s="496" t="s">
        <v>2589</v>
      </c>
      <c r="EY28"/>
      <c r="EZ28" s="496" t="s">
        <v>2587</v>
      </c>
      <c r="FA28" s="497"/>
      <c r="FB28" s="496" t="s">
        <v>2588</v>
      </c>
      <c r="FC28" s="497"/>
      <c r="FD28" s="496" t="s">
        <v>2589</v>
      </c>
      <c r="FE28" s="618" t="s">
        <v>6954</v>
      </c>
      <c r="FF28" s="545" t="s">
        <v>6955</v>
      </c>
      <c r="FG28" s="619" t="s">
        <v>6956</v>
      </c>
      <c r="FH28" s="620" t="s">
        <v>6957</v>
      </c>
      <c r="FI28" s="538" t="s">
        <v>2591</v>
      </c>
      <c r="FJ28" s="539" t="s">
        <v>4346</v>
      </c>
      <c r="FK28" s="540" t="s">
        <v>4321</v>
      </c>
      <c r="FL28" s="541" t="s">
        <v>4347</v>
      </c>
      <c r="FM28" s="543" t="s">
        <v>4349</v>
      </c>
      <c r="FN28" s="544" t="s">
        <v>4350</v>
      </c>
      <c r="FO28" s="545" t="s">
        <v>4351</v>
      </c>
      <c r="FP28" s="546" t="s">
        <v>4352</v>
      </c>
      <c r="FQ28" s="538" t="s">
        <v>2591</v>
      </c>
      <c r="FR28" s="539" t="s">
        <v>4346</v>
      </c>
      <c r="FS28" s="540" t="s">
        <v>4321</v>
      </c>
      <c r="FT28" s="541" t="s">
        <v>4347</v>
      </c>
      <c r="FU28" s="543" t="s">
        <v>4349</v>
      </c>
      <c r="FV28" s="544" t="s">
        <v>4350</v>
      </c>
      <c r="FW28" s="545" t="s">
        <v>4351</v>
      </c>
      <c r="FX28" s="546" t="s">
        <v>4352</v>
      </c>
      <c r="FY28" s="538" t="s">
        <v>2591</v>
      </c>
      <c r="FZ28" s="539" t="s">
        <v>4346</v>
      </c>
      <c r="GA28" s="540" t="s">
        <v>4321</v>
      </c>
      <c r="GB28" s="541" t="s">
        <v>4347</v>
      </c>
      <c r="GC28" s="543" t="s">
        <v>4349</v>
      </c>
      <c r="GD28" s="544" t="s">
        <v>4350</v>
      </c>
      <c r="GE28" s="545" t="s">
        <v>4351</v>
      </c>
      <c r="GF28" s="546" t="s">
        <v>4352</v>
      </c>
      <c r="GG28" s="538" t="s">
        <v>2591</v>
      </c>
      <c r="GH28" s="539" t="s">
        <v>4346</v>
      </c>
      <c r="GI28" s="540" t="s">
        <v>4321</v>
      </c>
      <c r="GJ28" s="541" t="s">
        <v>4347</v>
      </c>
      <c r="GK28" s="543" t="s">
        <v>4349</v>
      </c>
      <c r="GL28" s="544" t="s">
        <v>4350</v>
      </c>
      <c r="GM28" s="545" t="s">
        <v>4351</v>
      </c>
      <c r="GN28" s="546" t="s">
        <v>4352</v>
      </c>
      <c r="GO28" s="538" t="s">
        <v>2591</v>
      </c>
      <c r="GP28" s="539" t="s">
        <v>4346</v>
      </c>
      <c r="GQ28" s="540" t="s">
        <v>4321</v>
      </c>
      <c r="GR28" s="541" t="s">
        <v>4347</v>
      </c>
      <c r="GS28" s="543" t="s">
        <v>4349</v>
      </c>
      <c r="GT28" s="544" t="s">
        <v>4350</v>
      </c>
      <c r="GU28" s="545" t="s">
        <v>4351</v>
      </c>
      <c r="GV28" s="546" t="s">
        <v>4352</v>
      </c>
      <c r="GX28" s="916" t="s">
        <v>4326</v>
      </c>
      <c r="GY28" s="916"/>
      <c r="GZ28" s="916"/>
      <c r="HA28" s="1222" t="s">
        <v>4326</v>
      </c>
      <c r="HB28" s="1222"/>
      <c r="HC28" s="1222"/>
      <c r="HD28" s="916" t="s">
        <v>4326</v>
      </c>
      <c r="HE28" s="916"/>
      <c r="HF28" s="916"/>
      <c r="HG28" s="1222" t="s">
        <v>4326</v>
      </c>
      <c r="HH28" s="1222"/>
      <c r="HI28" s="1222"/>
      <c r="HJ28" s="916" t="s">
        <v>4326</v>
      </c>
      <c r="HK28" s="916"/>
      <c r="HL28" s="916"/>
      <c r="HM28" s="256" t="s">
        <v>2591</v>
      </c>
      <c r="HN28" s="257" t="s">
        <v>2592</v>
      </c>
      <c r="HO28" s="256" t="s">
        <v>2591</v>
      </c>
      <c r="HP28" s="257" t="s">
        <v>2592</v>
      </c>
      <c r="HQ28" s="256" t="s">
        <v>2591</v>
      </c>
      <c r="HR28" s="257" t="s">
        <v>2592</v>
      </c>
      <c r="HS28" s="256" t="s">
        <v>2591</v>
      </c>
      <c r="HT28" s="257" t="s">
        <v>2592</v>
      </c>
      <c r="HU28" s="256" t="s">
        <v>2591</v>
      </c>
      <c r="HV28" s="257" t="s">
        <v>2592</v>
      </c>
      <c r="HW28" s="256" t="s">
        <v>2591</v>
      </c>
      <c r="HX28" s="257" t="s">
        <v>2592</v>
      </c>
      <c r="HY28" s="256" t="s">
        <v>2591</v>
      </c>
      <c r="HZ28" s="257" t="s">
        <v>2592</v>
      </c>
      <c r="IA28" s="256" t="s">
        <v>2591</v>
      </c>
      <c r="IB28" s="257" t="s">
        <v>2592</v>
      </c>
      <c r="IC28" s="256" t="s">
        <v>2591</v>
      </c>
      <c r="ID28" s="257" t="s">
        <v>2592</v>
      </c>
      <c r="IE28" s="256" t="s">
        <v>2591</v>
      </c>
      <c r="IF28" s="257" t="s">
        <v>2592</v>
      </c>
      <c r="IG28" s="256" t="s">
        <v>2591</v>
      </c>
      <c r="IH28" s="257" t="s">
        <v>2592</v>
      </c>
      <c r="II28" s="256" t="s">
        <v>2591</v>
      </c>
      <c r="IJ28" s="257" t="s">
        <v>2592</v>
      </c>
      <c r="IK28" s="256" t="s">
        <v>2591</v>
      </c>
      <c r="IL28" s="257" t="s">
        <v>2592</v>
      </c>
      <c r="IM28" s="256" t="s">
        <v>2591</v>
      </c>
      <c r="IN28" s="257" t="s">
        <v>2592</v>
      </c>
      <c r="IO28" s="256" t="s">
        <v>2591</v>
      </c>
      <c r="IP28" s="257" t="s">
        <v>2592</v>
      </c>
      <c r="IQ28" s="256" t="s">
        <v>2591</v>
      </c>
      <c r="IR28" s="257" t="s">
        <v>2592</v>
      </c>
      <c r="IS28" s="256" t="s">
        <v>2591</v>
      </c>
      <c r="IT28" s="257" t="s">
        <v>2592</v>
      </c>
      <c r="IU28" s="256" t="s">
        <v>2591</v>
      </c>
      <c r="IV28" s="257" t="s">
        <v>2592</v>
      </c>
      <c r="IW28" s="256" t="s">
        <v>2591</v>
      </c>
      <c r="IX28" s="257" t="s">
        <v>2592</v>
      </c>
      <c r="IY28" s="256" t="s">
        <v>2591</v>
      </c>
      <c r="IZ28" s="257" t="s">
        <v>2592</v>
      </c>
    </row>
    <row r="29" spans="1:260">
      <c r="A29" s="228"/>
      <c r="B29" s="70"/>
      <c r="C29" s="92" t="s">
        <v>2516</v>
      </c>
      <c r="D29" s="813" t="str">
        <f>IF(CNSIPEE_2024_M2_Secc1!D42="","",CNSIPEE_2024_M2_Secc1!D42)</f>
        <v/>
      </c>
      <c r="E29" s="814"/>
      <c r="F29" s="814"/>
      <c r="G29" s="815"/>
      <c r="H29" s="949"/>
      <c r="I29" s="949"/>
      <c r="J29" s="949"/>
      <c r="K29" s="949"/>
      <c r="L29" s="949"/>
      <c r="M29" s="949"/>
      <c r="N29" s="949"/>
      <c r="O29" s="949"/>
      <c r="P29" s="1209"/>
      <c r="Q29" s="1209"/>
      <c r="R29" s="1209"/>
      <c r="S29" s="1209"/>
      <c r="T29" s="1209"/>
      <c r="U29" s="1209"/>
      <c r="V29" s="1209"/>
      <c r="W29" s="1209"/>
      <c r="X29" s="1210"/>
      <c r="Y29" s="1210"/>
      <c r="Z29" s="949"/>
      <c r="AA29" s="949"/>
      <c r="AB29" s="949"/>
      <c r="AC29" s="949"/>
      <c r="AD29" s="949"/>
      <c r="AE29" s="949"/>
      <c r="AF29" s="949"/>
      <c r="AG29" s="949"/>
      <c r="AH29" s="1209"/>
      <c r="AI29" s="1209"/>
      <c r="AJ29" s="1209"/>
      <c r="AK29" s="1209"/>
      <c r="AL29" s="1209"/>
      <c r="AM29" s="1209"/>
      <c r="AN29" s="1209"/>
      <c r="AO29" s="1209"/>
      <c r="AP29" s="1210"/>
      <c r="AQ29" s="1210"/>
      <c r="AR29" s="949"/>
      <c r="AS29" s="949"/>
      <c r="AT29" s="949"/>
      <c r="AU29" s="949"/>
      <c r="AV29" s="949"/>
      <c r="AW29" s="949"/>
      <c r="AX29" s="949"/>
      <c r="AY29" s="949"/>
      <c r="AZ29" s="1209"/>
      <c r="BA29" s="1209"/>
      <c r="BB29" s="1209"/>
      <c r="BC29" s="1209"/>
      <c r="BD29" s="1209"/>
      <c r="BE29" s="1209"/>
      <c r="BF29" s="1209"/>
      <c r="BG29" s="1209"/>
      <c r="BH29" s="1210"/>
      <c r="BI29" s="1210"/>
      <c r="BJ29" s="949"/>
      <c r="BK29" s="949"/>
      <c r="BL29" s="949"/>
      <c r="BM29" s="949"/>
      <c r="BN29" s="949"/>
      <c r="BO29" s="949"/>
      <c r="BP29" s="949"/>
      <c r="BQ29" s="949"/>
      <c r="BR29" s="1209"/>
      <c r="BS29" s="1209"/>
      <c r="BT29" s="1209"/>
      <c r="BU29" s="1209"/>
      <c r="BV29" s="1209"/>
      <c r="BW29" s="1209"/>
      <c r="BX29" s="1209"/>
      <c r="BY29" s="1209"/>
      <c r="BZ29" s="1210"/>
      <c r="CA29" s="1210"/>
      <c r="CB29" s="949"/>
      <c r="CC29" s="949"/>
      <c r="CD29" s="949"/>
      <c r="CE29" s="949"/>
      <c r="CF29" s="949"/>
      <c r="CG29" s="949"/>
      <c r="CH29" s="949"/>
      <c r="CI29" s="949"/>
      <c r="CJ29" s="1209"/>
      <c r="CK29" s="1209"/>
      <c r="CL29" s="1209"/>
      <c r="CM29" s="1209"/>
      <c r="CN29" s="1209"/>
      <c r="CO29" s="1209"/>
      <c r="CP29" s="1209"/>
      <c r="CQ29" s="1209"/>
      <c r="CR29" s="1210"/>
      <c r="CS29" s="1210"/>
      <c r="CV29" s="249">
        <f>IF(AND(COUNTBLANK(D29)=0,CNSIPEE_2024_M2_Secc1!$S81&lt;&gt;"",CNSIPEE_2024_M2_Secc1!$S81&lt;&gt;1,COUNTA(H29:CS29)=0),0,IF(AND(COUNTBLANK(D29)=0,CNSIPEE_2024_M2_Secc1!$S81&lt;&gt;"",CNSIPEE_2024_M2_Secc1!$S81=1,FE29=5,FH29=0,COUNTA(H29:Q29)=3,COUNTA(R29:Y29)&gt;0,FI29=0,FJ29=0,FK29=0,FL29=0,COUNTA(Z29:AI29)=3,COUNTA(AJ29:AQ29)&gt;0,FQ29=0,FR29=0,FS29=0,FT29=0,COUNTA(AR29:BA29)=3,COUNTA(BB29:BI29)&gt;0,FY29=0,FZ29=0,GA29=0,GB29=0,COUNTA(BJ29:BS29)=3,COUNTA(BT29:CA29)&gt;0,GG29=0,GH29=0,GI29=0,GJ29=0,COUNTA(CB29:CK29)=3,COUNTA(CL29:CS29)&gt;0,GO29=0,GP29=0,GQ29=0,GR29=0),0,IF(AND(COUNTBLANK(D29)=0,CNSIPEE_2024_M2_Secc1!$S81&lt;&gt;"",CNSIPEE_2024_M2_Secc1!$S81=1,FE29=4,FH29=0,COUNTA(H29:Q29)=3,COUNTA(R29:Y29)&gt;0,FI29=0,FJ29=0,FK29=0,FL29=0,COUNTA(Z29:AI29)=3,COUNTA(AJ29:AQ29)&gt;0,FQ29=0,FR29=0,FS29=0,FT29=0,COUNTA(AR29:BA29)=3,COUNTA(BB29:BI29)&gt;0,FY29=0,FZ29=0,GA29=0,GB29=0),0,IF(AND(COUNTBLANK(D29)=0,CNSIPEE_2024_M2_Secc1!$S81&lt;&gt;"",CNSIPEE_2024_M2_Secc1!$S81=1,FE29=3,FH29=0,COUNTA(H29:Q29)=3,COUNTA(R29:Y29)&gt;0,FI29=0,FJ29=0,FK29=0,FL29=0,COUNTA(Z29:AI29)=3,COUNTA(AJ29:AQ29)&gt;0,FQ29=0,FR29=0,FS29=0,FT29=0,COUNTA(AR29:BA29)=3,COUNTA(BB29:BI29)&gt;0,FY29=0,FZ29=0,GA29=0,GB29=0),0,IF(AND(COUNTBLANK(D29)=0,CNSIPEE_2024_M2_Secc1!$S81&lt;&gt;"",CNSIPEE_2024_M2_Secc1!$S81=1,FE29=2,FH29=0,COUNTA(H29:Q29)=3,COUNTA(R29:Y29)&gt;0,FI29=0,FJ29=0,FK29=0,FL29=0,COUNTA(Z29:AI29)=3,COUNTA(AJ29:AQ29)&gt;0,FQ29=0,FR29=0,FS29=0,FT29=0),0,IF(AND(COUNTBLANK(D29)=0,CNSIPEE_2024_M2_Secc1!$S81&lt;&gt;"",CNSIPEE_2024_M2_Secc1!$S81=1,FE29=1,FH29=0,COUNTA(H29:Q29)=3,COUNTA(R29:Y29)&gt;0,FI29=0,FJ29=0,FK29=0,FL29=0),0,IF(AND(COUNTBLANK(D29)=1,COUNTA(H29:CS29)=0),0,1)))))))</f>
        <v>0</v>
      </c>
      <c r="CW29" s="249">
        <f>COUNTIF(H29:W29,"NS")+COUNTIF(Z29:AO29,"NS")+COUNTIF(AR29:BG29,"NS")+COUNTIF(BJ29:BY29,"NS")+COUNTIF(CB29:CQ29,"NS")</f>
        <v>0</v>
      </c>
      <c r="CX29" s="326" t="b">
        <f>NOT(EXACT(H29,UPPER(H29)))</f>
        <v>0</v>
      </c>
      <c r="CY29" s="326" t="str">
        <f>SUBSTITUTE( SUBSTITUTE( SUBSTITUTE( SUBSTITUTE( SUBSTITUTE( SUBSTITUTE( SUBSTITUTE( SUBSTITUTE( SUBSTITUTE( SUBSTITUTE(H29, "á", "a"), "é", "e"), "í", "i"), "ó", "o"), "ú", "u"), "Á", "A"), "É", "E"), "Í", "I"), "Ó", "O"), "Ú", "U")</f>
        <v/>
      </c>
      <c r="CZ29" s="326" t="b">
        <f>NOT(EXACT(H29,CY29))</f>
        <v>0</v>
      </c>
      <c r="DA29" s="326" t="str">
        <f>SUBSTITUTE((SUBSTITUTE(SUBSTITUTE(SUBSTITUTE(H29,".",""),",",""),"(","")),")","")</f>
        <v/>
      </c>
      <c r="DB29" s="326" t="b">
        <f>NOT(EXACT(H29,DA29))</f>
        <v>0</v>
      </c>
      <c r="DC29"/>
      <c r="DD29" s="326" t="b">
        <f>NOT(EXACT(Z29,UPPER(Z29)))</f>
        <v>0</v>
      </c>
      <c r="DE29" s="326" t="str">
        <f>SUBSTITUTE( SUBSTITUTE( SUBSTITUTE( SUBSTITUTE( SUBSTITUTE( SUBSTITUTE( SUBSTITUTE( SUBSTITUTE( SUBSTITUTE( SUBSTITUTE(Z29, "á", "a"), "é", "e"), "í", "i"), "ó", "o"), "ú", "u"), "Á", "A"), "É", "E"), "Í", "I"), "Ó", "O"), "Ú", "U")</f>
        <v/>
      </c>
      <c r="DF29" s="326" t="b">
        <f>NOT(EXACT(Z29,DE29))</f>
        <v>0</v>
      </c>
      <c r="DG29" s="326" t="str">
        <f>SUBSTITUTE((SUBSTITUTE(SUBSTITUTE(SUBSTITUTE(Z29,".",""),",",""),"(","")),")","")</f>
        <v/>
      </c>
      <c r="DH29" s="326" t="b">
        <f>NOT(EXACT(Z29,DG29))</f>
        <v>0</v>
      </c>
      <c r="DI29"/>
      <c r="DJ29" s="326" t="b">
        <f>NOT(EXACT(AR29,UPPER(AR29)))</f>
        <v>0</v>
      </c>
      <c r="DK29" s="326" t="str">
        <f>SUBSTITUTE( SUBSTITUTE( SUBSTITUTE( SUBSTITUTE( SUBSTITUTE( SUBSTITUTE( SUBSTITUTE( SUBSTITUTE( SUBSTITUTE( SUBSTITUTE(AR29, "á", "a"), "é", "e"), "í", "i"), "ó", "o"), "ú", "u"), "Á", "A"), "É", "E"), "Í", "I"), "Ó", "O"), "Ú", "U")</f>
        <v/>
      </c>
      <c r="DL29" s="326" t="b">
        <f>NOT(EXACT(AR29,DK29))</f>
        <v>0</v>
      </c>
      <c r="DM29" s="326" t="str">
        <f>SUBSTITUTE((SUBSTITUTE(SUBSTITUTE(SUBSTITUTE(AR29,".",""),",",""),"(","")),")","")</f>
        <v/>
      </c>
      <c r="DN29" s="326" t="b">
        <f>NOT(EXACT(AR29,DM29))</f>
        <v>0</v>
      </c>
      <c r="DO29"/>
      <c r="DP29" s="326" t="b">
        <f>NOT(EXACT(BJ29,UPPER(BJ29)))</f>
        <v>0</v>
      </c>
      <c r="DQ29" s="326" t="str">
        <f>SUBSTITUTE( SUBSTITUTE( SUBSTITUTE( SUBSTITUTE( SUBSTITUTE( SUBSTITUTE( SUBSTITUTE( SUBSTITUTE( SUBSTITUTE( SUBSTITUTE(BJ29, "á", "a"), "é", "e"), "í", "i"), "ó", "o"), "ú", "u"), "Á", "A"), "É", "E"), "Í", "I"), "Ó", "O"), "Ú", "U")</f>
        <v/>
      </c>
      <c r="DR29" s="326" t="b">
        <f>NOT(EXACT(BJ29,DQ29))</f>
        <v>0</v>
      </c>
      <c r="DS29" s="326" t="str">
        <f>SUBSTITUTE((SUBSTITUTE(SUBSTITUTE(SUBSTITUTE(BJ29,".",""),",",""),"(","")),")","")</f>
        <v/>
      </c>
      <c r="DT29" s="326" t="b">
        <f>NOT(EXACT(BJ29,DS29))</f>
        <v>0</v>
      </c>
      <c r="DU29"/>
      <c r="DV29" s="326" t="b">
        <f>NOT(EXACT(CB29,UPPER(CB29)))</f>
        <v>0</v>
      </c>
      <c r="DW29" s="326" t="str">
        <f>SUBSTITUTE( SUBSTITUTE( SUBSTITUTE( SUBSTITUTE( SUBSTITUTE( SUBSTITUTE( SUBSTITUTE( SUBSTITUTE( SUBSTITUTE( SUBSTITUTE(CB29, "á", "a"), "é", "e"), "í", "i"), "ó", "o"), "ú", "u"), "Á", "A"), "É", "E"), "Í", "I"), "Ó", "O"), "Ú", "U")</f>
        <v/>
      </c>
      <c r="DX29" s="326" t="b">
        <f>NOT(EXACT(CB29,DW29))</f>
        <v>0</v>
      </c>
      <c r="DY29" s="326" t="str">
        <f>SUBSTITUTE((SUBSTITUTE(SUBSTITUTE(SUBSTITUTE(CB29,".",""),",",""),"(","")),")","")</f>
        <v/>
      </c>
      <c r="DZ29" s="326" t="b">
        <f>NOT(EXACT(CB29,DY29))</f>
        <v>0</v>
      </c>
      <c r="EB29" s="326" t="b">
        <f>NOT(EXACT(L29,UPPER(L29)))</f>
        <v>0</v>
      </c>
      <c r="EC29" s="326" t="str">
        <f>SUBSTITUTE( SUBSTITUTE( SUBSTITUTE( SUBSTITUTE( SUBSTITUTE( SUBSTITUTE( SUBSTITUTE( SUBSTITUTE( SUBSTITUTE( SUBSTITUTE(L29, "á", "a"), "é", "e"), "í", "i"), "ó", "o"), "ú", "u"), "Á", "A"), "É", "E"), "Í", "I"), "Ó", "O"), "Ú", "U")</f>
        <v/>
      </c>
      <c r="ED29" s="326" t="b">
        <f>NOT(EXACT(L29,EC29))</f>
        <v>0</v>
      </c>
      <c r="EE29" s="326" t="str">
        <f>SUBSTITUTE((SUBSTITUTE(SUBSTITUTE(SUBSTITUTE(L29,".",""),",",""),"(","")),")","")</f>
        <v/>
      </c>
      <c r="EF29" s="326" t="b">
        <f>NOT(EXACT(L29,EE29))</f>
        <v>0</v>
      </c>
      <c r="EG29"/>
      <c r="EH29" s="326" t="b">
        <f>NOT(EXACT(AD29,UPPER(AD29)))</f>
        <v>0</v>
      </c>
      <c r="EI29" s="326" t="str">
        <f>SUBSTITUTE( SUBSTITUTE( SUBSTITUTE( SUBSTITUTE( SUBSTITUTE( SUBSTITUTE( SUBSTITUTE( SUBSTITUTE( SUBSTITUTE( SUBSTITUTE(AD29, "á", "a"), "é", "e"), "í", "i"), "ó", "o"), "ú", "u"), "Á", "A"), "É", "E"), "Í", "I"), "Ó", "O"), "Ú", "U")</f>
        <v/>
      </c>
      <c r="EJ29" s="326" t="b">
        <f>NOT(EXACT(AD29,EI29))</f>
        <v>0</v>
      </c>
      <c r="EK29" s="326" t="str">
        <f>SUBSTITUTE((SUBSTITUTE(SUBSTITUTE(SUBSTITUTE(AD29,".",""),",",""),"(","")),")","")</f>
        <v/>
      </c>
      <c r="EL29" s="326" t="b">
        <f>NOT(EXACT(AD29,EK29))</f>
        <v>0</v>
      </c>
      <c r="EM29"/>
      <c r="EN29" s="326" t="b">
        <f>NOT(EXACT(AV29,UPPER(AV29)))</f>
        <v>0</v>
      </c>
      <c r="EO29" s="326" t="str">
        <f>SUBSTITUTE( SUBSTITUTE( SUBSTITUTE( SUBSTITUTE( SUBSTITUTE( SUBSTITUTE( SUBSTITUTE( SUBSTITUTE( SUBSTITUTE( SUBSTITUTE(AV29, "á", "a"), "é", "e"), "í", "i"), "ó", "o"), "ú", "u"), "Á", "A"), "É", "E"), "Í", "I"), "Ó", "O"), "Ú", "U")</f>
        <v/>
      </c>
      <c r="EP29" s="326" t="b">
        <f>NOT(EXACT(AV29,EO29))</f>
        <v>0</v>
      </c>
      <c r="EQ29" s="326" t="str">
        <f>SUBSTITUTE((SUBSTITUTE(SUBSTITUTE(SUBSTITUTE(AV29,".",""),",",""),"(","")),")","")</f>
        <v/>
      </c>
      <c r="ER29" s="326" t="b">
        <f>NOT(EXACT(AV29,EQ29))</f>
        <v>0</v>
      </c>
      <c r="ES29"/>
      <c r="ET29" s="326" t="b">
        <f>NOT(EXACT(BN29,UPPER(BN29)))</f>
        <v>0</v>
      </c>
      <c r="EU29" s="326" t="str">
        <f>SUBSTITUTE( SUBSTITUTE( SUBSTITUTE( SUBSTITUTE( SUBSTITUTE( SUBSTITUTE( SUBSTITUTE( SUBSTITUTE( SUBSTITUTE( SUBSTITUTE(BN29, "á", "a"), "é", "e"), "í", "i"), "ó", "o"), "ú", "u"), "Á", "A"), "É", "E"), "Í", "I"), "Ó", "O"), "Ú", "U")</f>
        <v/>
      </c>
      <c r="EV29" s="326" t="b">
        <f>NOT(EXACT(BN29,EU29))</f>
        <v>0</v>
      </c>
      <c r="EW29" s="326" t="str">
        <f>SUBSTITUTE((SUBSTITUTE(SUBSTITUTE(SUBSTITUTE(BN29,".",""),",",""),"(","")),")","")</f>
        <v/>
      </c>
      <c r="EX29" s="326" t="b">
        <f>NOT(EXACT(BN29,EW29))</f>
        <v>0</v>
      </c>
      <c r="EY29"/>
      <c r="EZ29" s="326" t="b">
        <f>NOT(EXACT(CF29,UPPER(CF29)))</f>
        <v>0</v>
      </c>
      <c r="FA29" s="326" t="str">
        <f>SUBSTITUTE( SUBSTITUTE( SUBSTITUTE( SUBSTITUTE( SUBSTITUTE( SUBSTITUTE( SUBSTITUTE( SUBSTITUTE( SUBSTITUTE( SUBSTITUTE(CF29, "á", "a"), "é", "e"), "í", "i"), "ó", "o"), "ú", "u"), "Á", "A"), "É", "E"), "Í", "I"), "Ó", "O"), "Ú", "U")</f>
        <v/>
      </c>
      <c r="FB29" s="326" t="b">
        <f>NOT(EXACT(CF29,FA29))</f>
        <v>0</v>
      </c>
      <c r="FC29" s="326" t="str">
        <f>SUBSTITUTE((SUBSTITUTE(SUBSTITUTE(SUBSTITUTE(CF29,".",""),",",""),"(","")),")","")</f>
        <v/>
      </c>
      <c r="FD29" s="326" t="b">
        <f>NOT(EXACT(CF29,FC29))</f>
        <v>0</v>
      </c>
      <c r="FE29">
        <f>SUM(CNSIPEE_2024_M2_Secc1!$Y81)</f>
        <v>0</v>
      </c>
      <c r="FF29">
        <f>IF(AND(COUNTA(H29,Z29,AR29,BJ29,CB29)=CNSIPEE_2024_M2_Secc1!$Y81),0,1)</f>
        <v>0</v>
      </c>
      <c r="FG29">
        <f>IF(AND(CNSIPEE_2024_M2_Secc1!$S81&lt;&gt;1,COUNTA(H29:CS29)&gt;0),1,0)</f>
        <v>0</v>
      </c>
      <c r="FH29">
        <f>IF(AND(FE29=5,COUNTA(H29:CS29)=20),0,IF(AND(FE29=4,COUNTA(H29:CS29)=16),0,IF(AND(FE29=3,COUNTA(H29:CS29)=12),0,IF(AND(FE29=2,COUNTA(H29:CS29)=8),0,IF(AND(FE29=1,COUNTA(H29:CS29)=4),0,IF(AND(FE29=0,COUNTA(H29:CS29)=0),0,1))))))</f>
        <v>0</v>
      </c>
      <c r="FI29">
        <f>IF(AND(R29&lt;&gt;"",COUNTA(T29:Y29)=0),0,IF(AND(R29="",COUNTA(T29:Y29)=0),0,IF(AND(R29="",COUNTA(T29:Y29)&gt;0),0,1)))</f>
        <v>0</v>
      </c>
      <c r="FJ29">
        <f>IF(AND(T29&lt;&gt;"",COUNTA(R29,V29:Y29)=0),0,IF(AND(T29="",COUNTA(R29,V29:Y29)=0),0,IF(AND(T29="",COUNTA(R29,V29:Y29)&gt;0),0,1)))</f>
        <v>0</v>
      </c>
      <c r="FK29">
        <f>IF(AND(V29&lt;&gt;"",COUNTA(R29:U29,X29)=0),0,IF(AND(V29="",COUNTA(R29:U29,X29)=0),0,IF(AND(V29="",COUNTA(R29:U29,X29)&gt;0),0,1)))</f>
        <v>0</v>
      </c>
      <c r="FL29">
        <f>IF(AND(X29&lt;&gt;"",COUNTA(R29:W29)=0),0,IF(AND(X29="",COUNTA(R29:W29)=0),0,IF(AND(X29="",COUNTA(R29:W29)&gt;0),0,1)))</f>
        <v>0</v>
      </c>
      <c r="FM29">
        <f t="shared" ref="FM29" si="0">IF(AND(R29&lt;&gt;"",COUNTA(T29:Y29)&gt;0),1,0)</f>
        <v>0</v>
      </c>
      <c r="FN29">
        <f t="shared" ref="FN29" si="1">IF(AND(T29&lt;&gt;"",COUNTA(R29,V29:Y29)&gt;0),1,0)</f>
        <v>0</v>
      </c>
      <c r="FO29">
        <f>IF(AND(V29&lt;&gt;"",COUNTA(R29:U29,X29)&gt;0),1,0)</f>
        <v>0</v>
      </c>
      <c r="FP29">
        <f t="shared" ref="FP29" si="2">IF(AND(X29&lt;&gt;"",COUNTA(R29:W29)&gt;0),1,0)</f>
        <v>0</v>
      </c>
      <c r="FQ29">
        <f t="shared" ref="FQ29" si="3">IF(AND(AJ29&lt;&gt;"",COUNTA(AL29:AQ29)=0),0,IF(AND(AJ29="",COUNTA(AL29:AQ29)=0),0,IF(AND(AJ29="",COUNTA(AL29:AQ29)&gt;0),0,1)))</f>
        <v>0</v>
      </c>
      <c r="FR29">
        <f>IF(AND(AL29&lt;&gt;"",COUNTA(AJ29,AN29:AQ29)=0),0,IF(AND(AL29="",COUNTA(AJ29,AN29:AQ29)=0),0,IF(AND(AL29="",COUNTA(AJ29,AN29:AQ29)&gt;0),0,1)))</f>
        <v>0</v>
      </c>
      <c r="FS29">
        <f>IF(AND(AN29&lt;&gt;"",COUNTA(AJ29:AM29,AP29)=0),0,IF(AND(AN29="",COUNTA(AJ29:AM29,AP29)=0),0,IF(AND(AN29="",COUNTA(AJ29:AM29,AP29)&gt;0),0,1)))</f>
        <v>0</v>
      </c>
      <c r="FT29">
        <f>IF(AND(AP29&lt;&gt;"",COUNTA(AJ29:AO29)=0),0,IF(AND(AP29="",COUNTA(AJ29:AO29)=0),0,IF(AND(AP29="",COUNTA(AJ29:AO29)&gt;0),0,1)))</f>
        <v>0</v>
      </c>
      <c r="FU29">
        <f t="shared" ref="FU29" si="4">IF(AND(AJ29&lt;&gt;"",COUNTA(AL29:AQ29)&gt;0),1,0)</f>
        <v>0</v>
      </c>
      <c r="FV29">
        <f>IF(AND(AL29&lt;&gt;"",COUNTA(AJ29,AN29:AQ29)&gt;0),1,0)</f>
        <v>0</v>
      </c>
      <c r="FW29">
        <f t="shared" ref="FW29" si="5">IF(AND(AN29&lt;&gt;"",COUNTA(AJ29:AM29,AP29)&gt;0),1,0)</f>
        <v>0</v>
      </c>
      <c r="FX29">
        <f t="shared" ref="FX29" si="6">IF(AND(AP29&lt;&gt;"",COUNTA(AJ29:AO29)&gt;0),1,0)</f>
        <v>0</v>
      </c>
      <c r="FY29">
        <f>IF(AND(BB29&lt;&gt;"",COUNTA(BD29:BI29)=0),0,IF(AND(BB29="",COUNTA(BD29:BI29)=0),0,IF(AND(BB29="",COUNTA(BD29:BI29)&gt;0),0,1)))</f>
        <v>0</v>
      </c>
      <c r="FZ29">
        <f t="shared" ref="FZ29" si="7">IF(AND(BD29&lt;&gt;"",COUNTA(BB29,BF29:BI29)=0),0,IF(AND(BD29="",COUNTA(BB29,BF29:BI29)=0),0,IF(AND(BD29="",COUNTA(BB29,BF29:BI29)&gt;0),0,1)))</f>
        <v>0</v>
      </c>
      <c r="GA29">
        <f t="shared" ref="GA29" si="8">IF(AND(BF29&lt;&gt;"",COUNTA(BB29:BE29,BH29)=0),0,IF(AND(BF29="",COUNTA(BB29:BE29,BH29)=0),0,IF(AND(BF29="",COUNTA(BB29:BE29,BH29)&gt;0),0,1)))</f>
        <v>0</v>
      </c>
      <c r="GB29">
        <f t="shared" ref="GB29" si="9">IF(AND(BH29&lt;&gt;"",COUNTA(BB29:BG29)=0),0,IF(AND(BH29="",COUNTA(BB29:BG29)=0),0,IF(AND(BH29="",COUNTA(BB29:BG29)&gt;0),0,1)))</f>
        <v>0</v>
      </c>
      <c r="GC29">
        <f>IF(AND(BB29&lt;&gt;"",COUNTA(BD29:BI29)&gt;0),1,0)</f>
        <v>0</v>
      </c>
      <c r="GD29">
        <f t="shared" ref="GD29" si="10">IF(AND(BD29&lt;&gt;"",COUNTA(BB29,BF29:BI29)&gt;0),1,0)</f>
        <v>0</v>
      </c>
      <c r="GE29">
        <f t="shared" ref="GE29" si="11">IF(AND(BF29&lt;&gt;"",COUNTA(BB29:BE29,BH29)&gt;0),1,0)</f>
        <v>0</v>
      </c>
      <c r="GF29">
        <f t="shared" ref="GF29" si="12">IF(AND(BH29&lt;&gt;"",COUNTA(BB29:BG29)&gt;0),1,0)</f>
        <v>0</v>
      </c>
      <c r="GG29">
        <f>IF(AND(BT29&lt;&gt;"",COUNTA(BV29:CA29)=0),0,IF(AND(BT29="",COUNTA(BV29:CA29)=0),0,IF(AND(BT29="",COUNTA(BV29:CA29)&gt;0),0,1)))</f>
        <v>0</v>
      </c>
      <c r="GH29">
        <f t="shared" ref="GH29" si="13">IF(AND(BV29&lt;&gt;"",COUNTA(BT29,BX29:CA29)=0),0,IF(AND(BV29="",COUNTA(BT29,BX29:CA29)=0),0,IF(AND(BV29="",COUNTA(BT29,BX29:CA29)&gt;0),0,1)))</f>
        <v>0</v>
      </c>
      <c r="GI29">
        <f t="shared" ref="GI29" si="14">IF(AND(BX29&lt;&gt;"",COUNTA(BT29:BW29,BZ29)=0),0,IF(AND(BX29="",COUNTA(BT29:BW29,BZ29)=0),0,IF(AND(BX29="",COUNTA(BT29:BW29,BZ29)&gt;0),0,1)))</f>
        <v>0</v>
      </c>
      <c r="GJ29">
        <f t="shared" ref="GJ29" si="15">IF(AND(BZ29&lt;&gt;"",COUNTA(BT29:BY29)=0),0,IF(AND(BZ29="",COUNTA(BT29:BY29)=0),0,IF(AND(BZ29="",COUNTA(BT29:BY29)&gt;0),0,1)))</f>
        <v>0</v>
      </c>
      <c r="GK29">
        <f t="shared" ref="GK29" si="16">IF(AND(BT29&lt;&gt;"",COUNTA(BV29:CA29)&gt;0),1,0)</f>
        <v>0</v>
      </c>
      <c r="GL29">
        <f t="shared" ref="GL29" si="17">IF(AND(BV29&lt;&gt;"",COUNTA(BT29,BX29:CA29)&gt;0),1,0)</f>
        <v>0</v>
      </c>
      <c r="GM29">
        <f t="shared" ref="GM29" si="18">IF(AND(BX29&lt;&gt;"",COUNTA(BT29:BW29,BZ29)&gt;0),1,0)</f>
        <v>0</v>
      </c>
      <c r="GN29">
        <f t="shared" ref="GN29" si="19">IF(AND(BZ29&lt;&gt;"",COUNTA(BT29:BY29)&gt;0),1,0)</f>
        <v>0</v>
      </c>
      <c r="GO29">
        <f>IF(AND(CL29&lt;&gt;"",COUNTA(CN29:CS29)=0),0,IF(AND(CL29="",COUNTA(CN29:CS29)=0),0,IF(AND(CL29="",COUNTA(CN29:CS29)&gt;0),0,1)))</f>
        <v>0</v>
      </c>
      <c r="GP29">
        <f>IF(AND(CN29&lt;&gt;"",COUNTA(CL29,CP29:CS29)=0),0,IF(AND(CN29="",COUNTA(CL29,CP29:CS29)=0),0,IF(AND(CN29="",COUNTA(CL29,CP29:CS29)&gt;0),0,1)))</f>
        <v>0</v>
      </c>
      <c r="GQ29">
        <f t="shared" ref="GQ29" si="20">IF(AND(CP29&lt;&gt;"",COUNTA(CL29:CO29,CR29)=0),0,IF(AND(CP29="",COUNTA(CL29:CO29,CR29)=0),0,IF(AND(CP29="",COUNTA(CL29:CO29,CR29)&gt;0),0,1)))</f>
        <v>0</v>
      </c>
      <c r="GR29">
        <f t="shared" ref="GR29" si="21">IF(AND(CR29&lt;&gt;"",COUNTA(CL29:CQ29)=0),0,IF(AND(CR29="",COUNTA(CL29:CQ29)=0),0,IF(AND(CR29="",COUNTA(CL29:CQ29)&gt;0),0,1)))</f>
        <v>0</v>
      </c>
      <c r="GS29">
        <f t="shared" ref="GS29" si="22">IF(AND(CL29&lt;&gt;"",COUNTA(CN29:CS29)&gt;0),1,0)</f>
        <v>0</v>
      </c>
      <c r="GT29">
        <f>IF(AND(CN29&lt;&gt;"",COUNTA(CL29,CP29:CS29)&gt;0),1,0)</f>
        <v>0</v>
      </c>
      <c r="GU29">
        <f t="shared" ref="GU29" si="23">IF(AND(CP29&lt;&gt;"",COUNTA(CL29:CO29,CR29)&gt;0),1,0)</f>
        <v>0</v>
      </c>
      <c r="GV29">
        <f t="shared" ref="GV29" si="24">IF(AND(CR29&lt;&gt;"",COUNTA(CL29:CQ29)&gt;0),1,0)</f>
        <v>0</v>
      </c>
      <c r="GX29">
        <f>IF(AND($P29&lt;&gt;"",R29=""),0,IF(OR($P29="NS",R29="NS"),0,IF(AND($P29="NA",R29="NA"),0,IF(R29&gt;=P29,0,1))))</f>
        <v>0</v>
      </c>
      <c r="GY29">
        <f>IF(AND($P29&lt;&gt;"",T29=""),0,IF(OR($P29="NS",T29="NS"),0,IF(AND($P29="NA",T29="NA"),0,IF(T29&gt;=$P29,0,1))))</f>
        <v>0</v>
      </c>
      <c r="GZ29">
        <f>IF(AND($P29&lt;&gt;"",V29=""),0,IF(OR($P29="NS",V29="NS"),0,IF(AND($P29="NA",V29="NA"),0,IF(V29&gt;=$P29,0,1))))</f>
        <v>0</v>
      </c>
      <c r="HA29">
        <f>IF(AND($AH29&lt;&gt;"",AJ29=""),0,IF(OR($AH29="NS",AJ29="NS"),0,IF(AND($AH29="NA",AJ29="NA"),0,IF(AJ29&gt;=$AH29,0,1))))</f>
        <v>0</v>
      </c>
      <c r="HB29">
        <f>IF(AND($AH29&lt;&gt;"",AL29=""),0,IF(OR($AH29="NS",AL29="NS"),0,IF(AND($AH29="NA",AL29="NA"),0,IF(AL29&gt;=$AH29,0,1))))</f>
        <v>0</v>
      </c>
      <c r="HC29">
        <f>IF(AND($AH29&lt;&gt;"",AN29=""),0,IF(OR($AH29="NS",AN29="NS"),0,IF(AND($AH29="NA",AN29="NA"),0,IF(AN29&gt;=$AH29,0,1))))</f>
        <v>0</v>
      </c>
      <c r="HD29">
        <f>IF(AND($AZ29&lt;&gt;"",BB29=""),0,IF(OR($AZ29="NS",BB29="NS"),0,IF(AND($AZ29="NA",BB29="NA"),0,IF(BB29&gt;=$AZ29,0,1))))</f>
        <v>0</v>
      </c>
      <c r="HE29">
        <f>IF(AND($AZ29&lt;&gt;"",BD29=""),0,IF(OR($AZ29="NS",BD29="NS"),0,IF(AND($AZ29="NA",BD29="NA"),0,IF(BD29&gt;=$AZ29,0,1))))</f>
        <v>0</v>
      </c>
      <c r="HF29">
        <f>IF(AND($AZ29&lt;&gt;"",BF29=""),0,IF(OR($AZ29="NS",BF29="NS"),0,IF(AND($AZ29="NA",BF29="NA"),0,IF(BF29&gt;=$AZ29,0,1))))</f>
        <v>0</v>
      </c>
      <c r="HG29">
        <f>IF(AND($AZ29&lt;&gt;"",BT29=""),0,IF(OR($BR29="NS",BT29="NS"),0,IF(AND($BR29="NA",BT29="NA"),0,IF(BT29&gt;=$BR29,0,1))))</f>
        <v>0</v>
      </c>
      <c r="HH29">
        <f>IF(AND($AZ29&lt;&gt;"",BV29=""),0,IF(OR($BR29="NS",BV29="NS"),0,IF(AND($BR29="NA",BV29="NA"),0,IF(BV29&gt;=$BR29,0,1))))</f>
        <v>0</v>
      </c>
      <c r="HI29">
        <f>IF(AND($AZ29&lt;&gt;"",BX29=""),0,IF(OR($BR29="NS",BX29="NS"),0,IF(AND($BR29="NA",BX29="NA"),0,IF(BX29&gt;=$BR29,0,1))))</f>
        <v>0</v>
      </c>
      <c r="HJ29">
        <f>IF(AND($CJ29&lt;&gt;"",CL29=""),0,IF(OR($CJ29="NS",CL29="NS"),0,IF(AND($CJ29="NA",CL29="NA"),0,IF(CL29&gt;=$CJ29,0,1))))</f>
        <v>0</v>
      </c>
      <c r="HK29">
        <f>IF(AND($CJ29&lt;&gt;"",CN29=""),0,IF(OR($CJ29="NS",CN29="NS"),0,IF(AND($CJ29="NA",CN29="NA"),0,IF(CN29&gt;=$CJ29,0,1))))</f>
        <v>0</v>
      </c>
      <c r="HL29">
        <f>IF(AND($CJ29&lt;&gt;"",CP29=""),0,IF(OR($CJ29="NS",CP29="NS"),0,IF(AND($CJ29="NA",CP29="NA"),0,IF(CP29&gt;=$CJ29,0,1))))</f>
        <v>0</v>
      </c>
      <c r="HM29" s="253">
        <f>LEN(P29)</f>
        <v>0</v>
      </c>
      <c r="HN29" s="253">
        <f>IF(P29="NS",0,IF(AND(P29&lt;&gt;"",SUM(HM29)=4),0,IF(P29="",0,1)))</f>
        <v>0</v>
      </c>
      <c r="HO29" s="253">
        <f>LEN(R29)</f>
        <v>0</v>
      </c>
      <c r="HP29" s="253">
        <f>IF(R29="NS",0,IF(AND(R29&lt;&gt;"",SUM(HO29)=4),0,IF(R29="",0,1)))</f>
        <v>0</v>
      </c>
      <c r="HQ29" s="253">
        <f>LEN(T29)</f>
        <v>0</v>
      </c>
      <c r="HR29" s="253">
        <f>IF(T29="NS",0,IF(AND(T29&lt;&gt;"",SUM(HQ29)=4),0,IF(T29="",0,1)))</f>
        <v>0</v>
      </c>
      <c r="HS29" s="253">
        <f t="shared" ref="HS29" si="25">LEN(V29)</f>
        <v>0</v>
      </c>
      <c r="HT29" s="253">
        <f>IF(V29="NS",0,IF(AND(V29&lt;&gt;"",SUM(HS29)=4),0,IF(V29="",0,1)))</f>
        <v>0</v>
      </c>
      <c r="HU29" s="253">
        <f t="shared" ref="HU29" si="26">LEN(AH29)</f>
        <v>0</v>
      </c>
      <c r="HV29" s="253">
        <f>IF(AH29="NS",0,IF(AND(AH29&lt;&gt;"",SUM(HU29)=4),0,IF(AH29="",0,1)))</f>
        <v>0</v>
      </c>
      <c r="HW29" s="253">
        <f t="shared" ref="HW29" si="27">LEN(AJ29)</f>
        <v>0</v>
      </c>
      <c r="HX29" s="253">
        <f>IF(AJ29="NS",0,IF(AND(AJ29&lt;&gt;"",SUM(HW29)=4),0,IF(AJ29="",0,1)))</f>
        <v>0</v>
      </c>
      <c r="HY29" s="253">
        <f t="shared" ref="HY29" si="28">LEN(AL29)</f>
        <v>0</v>
      </c>
      <c r="HZ29" s="253">
        <f>IF(AL29="NS",0,IF(AND(AL29&lt;&gt;"",SUM(HY29)=4),0,IF(AL29="",0,1)))</f>
        <v>0</v>
      </c>
      <c r="IA29" s="253">
        <f t="shared" ref="IA29" si="29">LEN(AN29)</f>
        <v>0</v>
      </c>
      <c r="IB29" s="253">
        <f>IF(AN29="NS",0,IF(AND(AN29&lt;&gt;"",SUM(IA29)=4),0,IF(AN29="",0,1)))</f>
        <v>0</v>
      </c>
      <c r="IC29" s="253">
        <f>LEN(AZ29)</f>
        <v>0</v>
      </c>
      <c r="ID29" s="253">
        <f>IF(AZ29="NS",0,IF(AND(AZ29&lt;&gt;"",SUM(IC29)=4),0,IF(AZ29="",0,1)))</f>
        <v>0</v>
      </c>
      <c r="IE29" s="253">
        <f t="shared" ref="IE29" si="30">LEN(BB29)</f>
        <v>0</v>
      </c>
      <c r="IF29" s="253">
        <f>IF(BB29="NS",0,IF(AND(BB29&lt;&gt;"",SUM(IE29)=4),0,IF(BB29="",0,1)))</f>
        <v>0</v>
      </c>
      <c r="IG29" s="253">
        <f>LEN(BD29)</f>
        <v>0</v>
      </c>
      <c r="IH29" s="253">
        <f>IF(BD29="NS",0,IF(AND(BD29&lt;&gt;"",SUM(IG29)=4),0,IF(BD29="",0,1)))</f>
        <v>0</v>
      </c>
      <c r="II29" s="253">
        <f t="shared" ref="II29" si="31">LEN(BF29)</f>
        <v>0</v>
      </c>
      <c r="IJ29" s="253">
        <f>IF(BF29="NS",0,IF(AND(BF29&lt;&gt;"",SUM(II29)=4),0,IF(BF29="",0,1)))</f>
        <v>0</v>
      </c>
      <c r="IK29" s="253">
        <f>LEN(BR29)</f>
        <v>0</v>
      </c>
      <c r="IL29" s="253">
        <f>IF(BR29="NS",0,IF(AND(BR29&lt;&gt;"",SUM(IK29)=4),0,IF(BR29="",0,1)))</f>
        <v>0</v>
      </c>
      <c r="IM29" s="253">
        <f t="shared" ref="IM29" si="32">LEN(BT29)</f>
        <v>0</v>
      </c>
      <c r="IN29" s="253">
        <f>IF(BT29="NS",0,IF(AND(BT29&lt;&gt;"",SUM(IM29)=4),0,IF(BT29="",0,1)))</f>
        <v>0</v>
      </c>
      <c r="IO29" s="253">
        <f t="shared" ref="IO29" si="33">LEN(BV29)</f>
        <v>0</v>
      </c>
      <c r="IP29" s="253">
        <f>IF(BV29="NS",0,IF(AND(BV29&lt;&gt;"",SUM(IO29)=4),0,IF(BV29="",0,1)))</f>
        <v>0</v>
      </c>
      <c r="IQ29" s="253">
        <f t="shared" ref="IQ29" si="34">LEN(BX29)</f>
        <v>0</v>
      </c>
      <c r="IR29" s="253">
        <f>IF(BX29="NS",0,IF(AND(BX29&lt;&gt;"",SUM(IQ29)=4),0,IF(BX29="",0,1)))</f>
        <v>0</v>
      </c>
      <c r="IS29" s="253">
        <f t="shared" ref="IS29" si="35">LEN(CJ29)</f>
        <v>0</v>
      </c>
      <c r="IT29" s="253">
        <f>IF(CJ29="NS",0,IF(AND(CJ29&lt;&gt;"",SUM(IS29)=4),0,IF(CJ29="",0,1)))</f>
        <v>0</v>
      </c>
      <c r="IU29" s="253">
        <f t="shared" ref="IU29" si="36">LEN(CL29)</f>
        <v>0</v>
      </c>
      <c r="IV29" s="253">
        <f>IF(CL29="NS",0,IF(AND(CL29&lt;&gt;"",SUM(IU29)=4),0,IF(CL29="",0,1)))</f>
        <v>0</v>
      </c>
      <c r="IW29" s="253">
        <f t="shared" ref="IW29" si="37">LEN(CN29)</f>
        <v>0</v>
      </c>
      <c r="IX29" s="253">
        <f>IF(CN29="NS",0,IF(AND(CN29&lt;&gt;"",SUM(IW29)=4),0,IF(CN29="",0,1)))</f>
        <v>0</v>
      </c>
      <c r="IY29" s="253">
        <f t="shared" ref="IY29" si="38">LEN(CP29)</f>
        <v>0</v>
      </c>
      <c r="IZ29" s="253">
        <f>IF(CP29="NS",0,IF(AND(CP29&lt;&gt;"",SUM(IY29)=4),0,IF(CP29="",0,1)))</f>
        <v>0</v>
      </c>
    </row>
    <row r="30" spans="1:260">
      <c r="A30" s="228"/>
      <c r="B30" s="70"/>
      <c r="C30" s="44" t="s">
        <v>2517</v>
      </c>
      <c r="D30" s="813" t="str">
        <f>IF(CNSIPEE_2024_M2_Secc1!D43="","",CNSIPEE_2024_M2_Secc1!D43)</f>
        <v/>
      </c>
      <c r="E30" s="814"/>
      <c r="F30" s="814"/>
      <c r="G30" s="815"/>
      <c r="H30" s="949"/>
      <c r="I30" s="949"/>
      <c r="J30" s="949"/>
      <c r="K30" s="949"/>
      <c r="L30" s="949"/>
      <c r="M30" s="949"/>
      <c r="N30" s="949"/>
      <c r="O30" s="949"/>
      <c r="P30" s="1209"/>
      <c r="Q30" s="1209"/>
      <c r="R30" s="1209"/>
      <c r="S30" s="1209"/>
      <c r="T30" s="1209"/>
      <c r="U30" s="1209"/>
      <c r="V30" s="1209"/>
      <c r="W30" s="1209"/>
      <c r="X30" s="1210"/>
      <c r="Y30" s="1210"/>
      <c r="Z30" s="949"/>
      <c r="AA30" s="949"/>
      <c r="AB30" s="949"/>
      <c r="AC30" s="949"/>
      <c r="AD30" s="949"/>
      <c r="AE30" s="949"/>
      <c r="AF30" s="949"/>
      <c r="AG30" s="949"/>
      <c r="AH30" s="1209"/>
      <c r="AI30" s="1209"/>
      <c r="AJ30" s="1209"/>
      <c r="AK30" s="1209"/>
      <c r="AL30" s="1209"/>
      <c r="AM30" s="1209"/>
      <c r="AN30" s="1209"/>
      <c r="AO30" s="1209"/>
      <c r="AP30" s="1210"/>
      <c r="AQ30" s="1210"/>
      <c r="AR30" s="949"/>
      <c r="AS30" s="949"/>
      <c r="AT30" s="949"/>
      <c r="AU30" s="949"/>
      <c r="AV30" s="949"/>
      <c r="AW30" s="949"/>
      <c r="AX30" s="949"/>
      <c r="AY30" s="949"/>
      <c r="AZ30" s="1209"/>
      <c r="BA30" s="1209"/>
      <c r="BB30" s="1209"/>
      <c r="BC30" s="1209"/>
      <c r="BD30" s="1209"/>
      <c r="BE30" s="1209"/>
      <c r="BF30" s="1209"/>
      <c r="BG30" s="1209"/>
      <c r="BH30" s="1210"/>
      <c r="BI30" s="1210"/>
      <c r="BJ30" s="949"/>
      <c r="BK30" s="949"/>
      <c r="BL30" s="949"/>
      <c r="BM30" s="949"/>
      <c r="BN30" s="949"/>
      <c r="BO30" s="949"/>
      <c r="BP30" s="949"/>
      <c r="BQ30" s="949"/>
      <c r="BR30" s="1209"/>
      <c r="BS30" s="1209"/>
      <c r="BT30" s="1209"/>
      <c r="BU30" s="1209"/>
      <c r="BV30" s="1209"/>
      <c r="BW30" s="1209"/>
      <c r="BX30" s="1209"/>
      <c r="BY30" s="1209"/>
      <c r="BZ30" s="1210"/>
      <c r="CA30" s="1210"/>
      <c r="CB30" s="949"/>
      <c r="CC30" s="949"/>
      <c r="CD30" s="949"/>
      <c r="CE30" s="949"/>
      <c r="CF30" s="949"/>
      <c r="CG30" s="949"/>
      <c r="CH30" s="949"/>
      <c r="CI30" s="949"/>
      <c r="CJ30" s="1209"/>
      <c r="CK30" s="1209"/>
      <c r="CL30" s="1209"/>
      <c r="CM30" s="1209"/>
      <c r="CN30" s="1209"/>
      <c r="CO30" s="1209"/>
      <c r="CP30" s="1209"/>
      <c r="CQ30" s="1209"/>
      <c r="CR30" s="1210"/>
      <c r="CS30" s="1210"/>
      <c r="CV30" s="249">
        <f>IF(AND(COUNTBLANK(D30)=0,CNSIPEE_2024_M2_Secc1!$S82&lt;&gt;"",CNSIPEE_2024_M2_Secc1!$S82&lt;&gt;1,COUNTA(H30:CS30)=0),0,IF(AND(COUNTBLANK(D30)=0,CNSIPEE_2024_M2_Secc1!$S82&lt;&gt;"",CNSIPEE_2024_M2_Secc1!$S82=1,FE30=5,FH30=0,COUNTA(H30:Q30)=3,COUNTA(R30:Y30)&gt;0,FI30=0,FJ30=0,FK30=0,FL30=0,COUNTA(Z30:AI30)=3,COUNTA(AJ30:AQ30)&gt;0,FQ30=0,FR30=0,FS30=0,FT30=0,COUNTA(AR30:BA30)=3,COUNTA(BB30:BI30)&gt;0,FY30=0,FZ30=0,GA30=0,GB30=0,COUNTA(BJ30:BS30)=3,COUNTA(BT30:CA30)&gt;0,GG30=0,GH30=0,GI30=0,GJ30=0,COUNTA(CB30:CK30)=3,COUNTA(CL30:CS30)&gt;0,GO30=0,GP30=0,GQ30=0,GR30=0),0,IF(AND(COUNTBLANK(D30)=0,CNSIPEE_2024_M2_Secc1!$S82&lt;&gt;"",CNSIPEE_2024_M2_Secc1!$S82=1,FE30=4,FH30=0,COUNTA(H30:Q30)=3,COUNTA(R30:Y30)&gt;0,FI30=0,FJ30=0,FK30=0,FL30=0,COUNTA(Z30:AI30)=3,COUNTA(AJ30:AQ30)&gt;0,FQ30=0,FR30=0,FS30=0,FT30=0,COUNTA(AR30:BA30)=3,COUNTA(BB30:BI30)&gt;0,FY30=0,FZ30=0,GA30=0,GB30=0),0,IF(AND(COUNTBLANK(D30)=0,CNSIPEE_2024_M2_Secc1!$S82&lt;&gt;"",CNSIPEE_2024_M2_Secc1!$S82=1,FE30=3,FH30=0,COUNTA(H30:Q30)=3,COUNTA(R30:Y30)&gt;0,FI30=0,FJ30=0,FK30=0,FL30=0,COUNTA(Z30:AI30)=3,COUNTA(AJ30:AQ30)&gt;0,FQ30=0,FR30=0,FS30=0,FT30=0,COUNTA(AR30:BA30)=3,COUNTA(BB30:BI30)&gt;0,FY30=0,FZ30=0,GA30=0,GB30=0),0,IF(AND(COUNTBLANK(D30)=0,CNSIPEE_2024_M2_Secc1!$S82&lt;&gt;"",CNSIPEE_2024_M2_Secc1!$S82=1,FE30=2,FH30=0,COUNTA(H30:Q30)=3,COUNTA(R30:Y30)&gt;0,FI30=0,FJ30=0,FK30=0,FL30=0,COUNTA(Z30:AI30)=3,COUNTA(AJ30:AQ30)&gt;0,FQ30=0,FR30=0,FS30=0,FT30=0),0,IF(AND(COUNTBLANK(D30)=0,CNSIPEE_2024_M2_Secc1!$S82&lt;&gt;"",CNSIPEE_2024_M2_Secc1!$S82=1,FE30=1,FH30=0,COUNTA(H30:Q30)=3,COUNTA(R30:Y30)&gt;0,FI30=0,FJ30=0,FK30=0,FL30=0),0,IF(AND(COUNTBLANK(D30)=1,COUNTA(H30:CS30)=0),0,1)))))))</f>
        <v>0</v>
      </c>
      <c r="CW30" s="249">
        <f t="shared" ref="CW30:CW36" si="39">COUNTIF(H30:W30,"NS")+COUNTIF(Z30:AO30,"NS")+COUNTIF(AR30:BG30,"NS")+COUNTIF(BJ30:BY30,"NS")+COUNTIF(CB30:CQ30,"NS")</f>
        <v>0</v>
      </c>
      <c r="CX30" s="326" t="b">
        <f t="shared" ref="CX30:CX36" si="40">NOT(EXACT(H30,UPPER(H30)))</f>
        <v>0</v>
      </c>
      <c r="CY30" s="326" t="str">
        <f t="shared" ref="CY30:CY36" si="41">SUBSTITUTE( SUBSTITUTE( SUBSTITUTE( SUBSTITUTE( SUBSTITUTE( SUBSTITUTE( SUBSTITUTE( SUBSTITUTE( SUBSTITUTE( SUBSTITUTE(H30, "á", "a"), "é", "e"), "í", "i"), "ó", "o"), "ú", "u"), "Á", "A"), "É", "E"), "Í", "I"), "Ó", "O"), "Ú", "U")</f>
        <v/>
      </c>
      <c r="CZ30" s="326" t="b">
        <f t="shared" ref="CZ30:CZ36" si="42">NOT(EXACT(H30,CY30))</f>
        <v>0</v>
      </c>
      <c r="DA30" s="326" t="str">
        <f t="shared" ref="DA30:DA36" si="43">SUBSTITUTE((SUBSTITUTE(SUBSTITUTE(SUBSTITUTE(H30,".",""),",",""),"(","")),")","")</f>
        <v/>
      </c>
      <c r="DB30" s="326" t="b">
        <f t="shared" ref="DB30:DB36" si="44">NOT(EXACT(H30,DA30))</f>
        <v>0</v>
      </c>
      <c r="DC30"/>
      <c r="DD30" s="326" t="b">
        <f t="shared" ref="DD30:DD36" si="45">NOT(EXACT(Z30,UPPER(Z30)))</f>
        <v>0</v>
      </c>
      <c r="DE30" s="326" t="str">
        <f t="shared" ref="DE30:DE36" si="46">SUBSTITUTE( SUBSTITUTE( SUBSTITUTE( SUBSTITUTE( SUBSTITUTE( SUBSTITUTE( SUBSTITUTE( SUBSTITUTE( SUBSTITUTE( SUBSTITUTE(Z30, "á", "a"), "é", "e"), "í", "i"), "ó", "o"), "ú", "u"), "Á", "A"), "É", "E"), "Í", "I"), "Ó", "O"), "Ú", "U")</f>
        <v/>
      </c>
      <c r="DF30" s="326" t="b">
        <f t="shared" ref="DF30:DF36" si="47">NOT(EXACT(Z30,DE30))</f>
        <v>0</v>
      </c>
      <c r="DG30" s="326" t="str">
        <f t="shared" ref="DG30:DG36" si="48">SUBSTITUTE((SUBSTITUTE(SUBSTITUTE(SUBSTITUTE(Z30,".",""),",",""),"(","")),")","")</f>
        <v/>
      </c>
      <c r="DH30" s="326" t="b">
        <f t="shared" ref="DH30:DH36" si="49">NOT(EXACT(Z30,DG30))</f>
        <v>0</v>
      </c>
      <c r="DI30"/>
      <c r="DJ30" s="326" t="b">
        <f t="shared" ref="DJ30:DJ36" si="50">NOT(EXACT(AR30,UPPER(AR30)))</f>
        <v>0</v>
      </c>
      <c r="DK30" s="326" t="str">
        <f t="shared" ref="DK30:DK36" si="51">SUBSTITUTE( SUBSTITUTE( SUBSTITUTE( SUBSTITUTE( SUBSTITUTE( SUBSTITUTE( SUBSTITUTE( SUBSTITUTE( SUBSTITUTE( SUBSTITUTE(AR30, "á", "a"), "é", "e"), "í", "i"), "ó", "o"), "ú", "u"), "Á", "A"), "É", "E"), "Í", "I"), "Ó", "O"), "Ú", "U")</f>
        <v/>
      </c>
      <c r="DL30" s="326" t="b">
        <f t="shared" ref="DL30:DL36" si="52">NOT(EXACT(AR30,DK30))</f>
        <v>0</v>
      </c>
      <c r="DM30" s="326" t="str">
        <f t="shared" ref="DM30:DM36" si="53">SUBSTITUTE((SUBSTITUTE(SUBSTITUTE(SUBSTITUTE(AR30,".",""),",",""),"(","")),")","")</f>
        <v/>
      </c>
      <c r="DN30" s="326" t="b">
        <f t="shared" ref="DN30:DN36" si="54">NOT(EXACT(AR30,DM30))</f>
        <v>0</v>
      </c>
      <c r="DO30"/>
      <c r="DP30" s="326" t="b">
        <f t="shared" ref="DP30:DP36" si="55">NOT(EXACT(BJ30,UPPER(BJ30)))</f>
        <v>0</v>
      </c>
      <c r="DQ30" s="326" t="str">
        <f t="shared" ref="DQ30:DQ36" si="56">SUBSTITUTE( SUBSTITUTE( SUBSTITUTE( SUBSTITUTE( SUBSTITUTE( SUBSTITUTE( SUBSTITUTE( SUBSTITUTE( SUBSTITUTE( SUBSTITUTE(BJ30, "á", "a"), "é", "e"), "í", "i"), "ó", "o"), "ú", "u"), "Á", "A"), "É", "E"), "Í", "I"), "Ó", "O"), "Ú", "U")</f>
        <v/>
      </c>
      <c r="DR30" s="326" t="b">
        <f t="shared" ref="DR30:DR36" si="57">NOT(EXACT(BJ30,DQ30))</f>
        <v>0</v>
      </c>
      <c r="DS30" s="326" t="str">
        <f t="shared" ref="DS30:DS36" si="58">SUBSTITUTE((SUBSTITUTE(SUBSTITUTE(SUBSTITUTE(BJ30,".",""),",",""),"(","")),")","")</f>
        <v/>
      </c>
      <c r="DT30" s="326" t="b">
        <f t="shared" ref="DT30:DT36" si="59">NOT(EXACT(BJ30,DS30))</f>
        <v>0</v>
      </c>
      <c r="DU30"/>
      <c r="DV30" s="326" t="b">
        <f t="shared" ref="DV30:DV36" si="60">NOT(EXACT(CB30,UPPER(CB30)))</f>
        <v>0</v>
      </c>
      <c r="DW30" s="326" t="str">
        <f t="shared" ref="DW30:DW36" si="61">SUBSTITUTE( SUBSTITUTE( SUBSTITUTE( SUBSTITUTE( SUBSTITUTE( SUBSTITUTE( SUBSTITUTE( SUBSTITUTE( SUBSTITUTE( SUBSTITUTE(CB30, "á", "a"), "é", "e"), "í", "i"), "ó", "o"), "ú", "u"), "Á", "A"), "É", "E"), "Í", "I"), "Ó", "O"), "Ú", "U")</f>
        <v/>
      </c>
      <c r="DX30" s="326" t="b">
        <f t="shared" ref="DX30:DX36" si="62">NOT(EXACT(CB30,DW30))</f>
        <v>0</v>
      </c>
      <c r="DY30" s="326" t="str">
        <f t="shared" ref="DY30:DY36" si="63">SUBSTITUTE((SUBSTITUTE(SUBSTITUTE(SUBSTITUTE(CB30,".",""),",",""),"(","")),")","")</f>
        <v/>
      </c>
      <c r="DZ30" s="326" t="b">
        <f t="shared" ref="DZ30:DZ36" si="64">NOT(EXACT(CB30,DY30))</f>
        <v>0</v>
      </c>
      <c r="EB30" s="326" t="b">
        <f t="shared" ref="EB30:EB36" si="65">NOT(EXACT(L30,UPPER(L30)))</f>
        <v>0</v>
      </c>
      <c r="EC30" s="326" t="str">
        <f t="shared" ref="EC30:EC36" si="66">SUBSTITUTE( SUBSTITUTE( SUBSTITUTE( SUBSTITUTE( SUBSTITUTE( SUBSTITUTE( SUBSTITUTE( SUBSTITUTE( SUBSTITUTE( SUBSTITUTE(L30, "á", "a"), "é", "e"), "í", "i"), "ó", "o"), "ú", "u"), "Á", "A"), "É", "E"), "Í", "I"), "Ó", "O"), "Ú", "U")</f>
        <v/>
      </c>
      <c r="ED30" s="326" t="b">
        <f t="shared" ref="ED30:ED36" si="67">NOT(EXACT(L30,EC30))</f>
        <v>0</v>
      </c>
      <c r="EE30" s="326" t="str">
        <f t="shared" ref="EE30:EE36" si="68">SUBSTITUTE((SUBSTITUTE(SUBSTITUTE(SUBSTITUTE(L30,".",""),",",""),"(","")),")","")</f>
        <v/>
      </c>
      <c r="EF30" s="326" t="b">
        <f t="shared" ref="EF30:EF36" si="69">NOT(EXACT(L30,EE30))</f>
        <v>0</v>
      </c>
      <c r="EG30"/>
      <c r="EH30" s="326" t="b">
        <f t="shared" ref="EH30:EH36" si="70">NOT(EXACT(AD30,UPPER(AD30)))</f>
        <v>0</v>
      </c>
      <c r="EI30" s="326" t="str">
        <f t="shared" ref="EI30:EI36" si="71">SUBSTITUTE( SUBSTITUTE( SUBSTITUTE( SUBSTITUTE( SUBSTITUTE( SUBSTITUTE( SUBSTITUTE( SUBSTITUTE( SUBSTITUTE( SUBSTITUTE(AD30, "á", "a"), "é", "e"), "í", "i"), "ó", "o"), "ú", "u"), "Á", "A"), "É", "E"), "Í", "I"), "Ó", "O"), "Ú", "U")</f>
        <v/>
      </c>
      <c r="EJ30" s="326" t="b">
        <f t="shared" ref="EJ30:EJ36" si="72">NOT(EXACT(AD30,EI30))</f>
        <v>0</v>
      </c>
      <c r="EK30" s="326" t="str">
        <f t="shared" ref="EK30:EK36" si="73">SUBSTITUTE((SUBSTITUTE(SUBSTITUTE(SUBSTITUTE(AD30,".",""),",",""),"(","")),")","")</f>
        <v/>
      </c>
      <c r="EL30" s="326" t="b">
        <f t="shared" ref="EL30:EL36" si="74">NOT(EXACT(AD30,EK30))</f>
        <v>0</v>
      </c>
      <c r="EM30"/>
      <c r="EN30" s="326" t="b">
        <f t="shared" ref="EN30:EN36" si="75">NOT(EXACT(AV30,UPPER(AV30)))</f>
        <v>0</v>
      </c>
      <c r="EO30" s="326" t="str">
        <f t="shared" ref="EO30:EO36" si="76">SUBSTITUTE( SUBSTITUTE( SUBSTITUTE( SUBSTITUTE( SUBSTITUTE( SUBSTITUTE( SUBSTITUTE( SUBSTITUTE( SUBSTITUTE( SUBSTITUTE(AV30, "á", "a"), "é", "e"), "í", "i"), "ó", "o"), "ú", "u"), "Á", "A"), "É", "E"), "Í", "I"), "Ó", "O"), "Ú", "U")</f>
        <v/>
      </c>
      <c r="EP30" s="326" t="b">
        <f t="shared" ref="EP30:EP36" si="77">NOT(EXACT(AV30,EO30))</f>
        <v>0</v>
      </c>
      <c r="EQ30" s="326" t="str">
        <f t="shared" ref="EQ30:EQ36" si="78">SUBSTITUTE((SUBSTITUTE(SUBSTITUTE(SUBSTITUTE(AV30,".",""),",",""),"(","")),")","")</f>
        <v/>
      </c>
      <c r="ER30" s="326" t="b">
        <f t="shared" ref="ER30:ER36" si="79">NOT(EXACT(AV30,EQ30))</f>
        <v>0</v>
      </c>
      <c r="ES30"/>
      <c r="ET30" s="326" t="b">
        <f t="shared" ref="ET30:ET36" si="80">NOT(EXACT(BN30,UPPER(BN30)))</f>
        <v>0</v>
      </c>
      <c r="EU30" s="326" t="str">
        <f t="shared" ref="EU30:EU36" si="81">SUBSTITUTE( SUBSTITUTE( SUBSTITUTE( SUBSTITUTE( SUBSTITUTE( SUBSTITUTE( SUBSTITUTE( SUBSTITUTE( SUBSTITUTE( SUBSTITUTE(BN30, "á", "a"), "é", "e"), "í", "i"), "ó", "o"), "ú", "u"), "Á", "A"), "É", "E"), "Í", "I"), "Ó", "O"), "Ú", "U")</f>
        <v/>
      </c>
      <c r="EV30" s="326" t="b">
        <f t="shared" ref="EV30:EV36" si="82">NOT(EXACT(BN30,EU30))</f>
        <v>0</v>
      </c>
      <c r="EW30" s="326" t="str">
        <f t="shared" ref="EW30:EW36" si="83">SUBSTITUTE((SUBSTITUTE(SUBSTITUTE(SUBSTITUTE(BN30,".",""),",",""),"(","")),")","")</f>
        <v/>
      </c>
      <c r="EX30" s="326" t="b">
        <f t="shared" ref="EX30:EX36" si="84">NOT(EXACT(BN30,EW30))</f>
        <v>0</v>
      </c>
      <c r="EY30"/>
      <c r="EZ30" s="326" t="b">
        <f t="shared" ref="EZ30:EZ36" si="85">NOT(EXACT(CF30,UPPER(CF30)))</f>
        <v>0</v>
      </c>
      <c r="FA30" s="326" t="str">
        <f t="shared" ref="FA30:FA36" si="86">SUBSTITUTE( SUBSTITUTE( SUBSTITUTE( SUBSTITUTE( SUBSTITUTE( SUBSTITUTE( SUBSTITUTE( SUBSTITUTE( SUBSTITUTE( SUBSTITUTE(CF30, "á", "a"), "é", "e"), "í", "i"), "ó", "o"), "ú", "u"), "Á", "A"), "É", "E"), "Í", "I"), "Ó", "O"), "Ú", "U")</f>
        <v/>
      </c>
      <c r="FB30" s="326" t="b">
        <f t="shared" ref="FB30:FB36" si="87">NOT(EXACT(CF30,FA30))</f>
        <v>0</v>
      </c>
      <c r="FC30" s="326" t="str">
        <f t="shared" ref="FC30:FC36" si="88">SUBSTITUTE((SUBSTITUTE(SUBSTITUTE(SUBSTITUTE(CF30,".",""),",",""),"(","")),")","")</f>
        <v/>
      </c>
      <c r="FD30" s="326" t="b">
        <f t="shared" ref="FD30:FD36" si="89">NOT(EXACT(CF30,FC30))</f>
        <v>0</v>
      </c>
      <c r="FE30">
        <f>SUM(CNSIPEE_2024_M2_Secc1!$Y82)</f>
        <v>0</v>
      </c>
      <c r="FF30">
        <f>IF(AND(COUNTA(H30,Z30,AR30,BJ30,CB30)=CNSIPEE_2024_M2_Secc1!$Y82),0,1)</f>
        <v>0</v>
      </c>
      <c r="FG30">
        <f>IF(AND(CNSIPEE_2024_M2_Secc1!$S82&lt;&gt;1,COUNTA(H30:CS30)&gt;0),1,0)</f>
        <v>0</v>
      </c>
      <c r="FH30">
        <f t="shared" ref="FH30:FH36" si="90">IF(AND(FE30=5,COUNTA(H30:CS30)=20),0,IF(AND(FE30=4,COUNTA(H30:CS30)=16),0,IF(AND(FE30=3,COUNTA(H30:CS30)=12),0,IF(AND(FE30=2,COUNTA(H30:CS30)=8),0,IF(AND(FE30=1,COUNTA(H30:CS30)=4),0,IF(AND(FE30=0,COUNTA(H30:CS30)=0),0,1))))))</f>
        <v>0</v>
      </c>
      <c r="FI30">
        <f t="shared" ref="FI30:FI36" si="91">IF(AND(R30&lt;&gt;"",COUNTA(T30:Y30)=0),0,IF(AND(R30="",COUNTA(T30:Y30)=0),0,IF(AND(R30="",COUNTA(T30:Y30)&gt;0),0,1)))</f>
        <v>0</v>
      </c>
      <c r="FJ30">
        <f t="shared" ref="FJ30:FJ36" si="92">IF(AND(T30&lt;&gt;"",COUNTA(R30,V30:Y30)=0),0,IF(AND(T30="",COUNTA(R30,V30:Y30)=0),0,IF(AND(T30="",COUNTA(R30,V30:Y30)&gt;0),0,1)))</f>
        <v>0</v>
      </c>
      <c r="FK30">
        <f t="shared" ref="FK30:FK36" si="93">IF(AND(V30&lt;&gt;"",COUNTA(R30:U30,X30)=0),0,IF(AND(V30="",COUNTA(R30:U30,X30)=0),0,IF(AND(V30="",COUNTA(R30:U30,X30)&gt;0),0,1)))</f>
        <v>0</v>
      </c>
      <c r="FL30">
        <f t="shared" ref="FL30:FL36" si="94">IF(AND(X30&lt;&gt;"",COUNTA(R30:W30)=0),0,IF(AND(X30="",COUNTA(R30:W30)=0),0,IF(AND(X30="",COUNTA(R30:W30)&gt;0),0,1)))</f>
        <v>0</v>
      </c>
      <c r="FM30">
        <f t="shared" ref="FM30:FM36" si="95">IF(AND(R30&lt;&gt;"",COUNTA(T30:Y30)&gt;0),1,0)</f>
        <v>0</v>
      </c>
      <c r="FN30">
        <f t="shared" ref="FN30:FN36" si="96">IF(AND(T30&lt;&gt;"",COUNTA(R30,V30:Y30)&gt;0),1,0)</f>
        <v>0</v>
      </c>
      <c r="FO30">
        <f t="shared" ref="FO30:FO36" si="97">IF(AND(V30&lt;&gt;"",COUNTA(R30:U30,X30)&gt;0),1,0)</f>
        <v>0</v>
      </c>
      <c r="FP30">
        <f t="shared" ref="FP30:FP36" si="98">IF(AND(X30&lt;&gt;"",COUNTA(R30:W30)&gt;0),1,0)</f>
        <v>0</v>
      </c>
      <c r="FQ30">
        <f t="shared" ref="FQ30:FQ36" si="99">IF(AND(AJ30&lt;&gt;"",COUNTA(AL30:AQ30)=0),0,IF(AND(AJ30="",COUNTA(AL30:AQ30)=0),0,IF(AND(AJ30="",COUNTA(AL30:AQ30)&gt;0),0,1)))</f>
        <v>0</v>
      </c>
      <c r="FR30">
        <f t="shared" ref="FR30:FR36" si="100">IF(AND(AL30&lt;&gt;"",COUNTA(AJ30,AN30:AQ30)=0),0,IF(AND(AL30="",COUNTA(AJ30,AN30:AQ30)=0),0,IF(AND(AL30="",COUNTA(AJ30,AN30:AQ30)&gt;0),0,1)))</f>
        <v>0</v>
      </c>
      <c r="FS30">
        <f t="shared" ref="FS30:FS36" si="101">IF(AND(AN30&lt;&gt;"",COUNTA(AJ30:AM30,AP30)=0),0,IF(AND(AN30="",COUNTA(AJ30:AM30,AP30)=0),0,IF(AND(AN30="",COUNTA(AJ30:AM30,AP30)&gt;0),0,1)))</f>
        <v>0</v>
      </c>
      <c r="FT30">
        <f t="shared" ref="FT30:FT36" si="102">IF(AND(AP30&lt;&gt;"",COUNTA(AJ30:AO30)=0),0,IF(AND(AP30="",COUNTA(AJ30:AO30)=0),0,IF(AND(AP30="",COUNTA(AJ30:AO30)&gt;0),0,1)))</f>
        <v>0</v>
      </c>
      <c r="FU30">
        <f t="shared" ref="FU30:FU36" si="103">IF(AND(AJ30&lt;&gt;"",COUNTA(AL30:AQ30)&gt;0),1,0)</f>
        <v>0</v>
      </c>
      <c r="FV30">
        <f t="shared" ref="FV30:FV36" si="104">IF(AND(AL30&lt;&gt;"",COUNTA(AJ30,AN30:AQ30)&gt;0),1,0)</f>
        <v>0</v>
      </c>
      <c r="FW30">
        <f t="shared" ref="FW30:FW36" si="105">IF(AND(AN30&lt;&gt;"",COUNTA(AJ30:AM30,AP30)&gt;0),1,0)</f>
        <v>0</v>
      </c>
      <c r="FX30">
        <f t="shared" ref="FX30:FX36" si="106">IF(AND(AP30&lt;&gt;"",COUNTA(AJ30:AO30)&gt;0),1,0)</f>
        <v>0</v>
      </c>
      <c r="FY30">
        <f t="shared" ref="FY30:FY36" si="107">IF(AND(BB30&lt;&gt;"",COUNTA(BD30:BI30)=0),0,IF(AND(BB30="",COUNTA(BD30:BI30)=0),0,IF(AND(BB30="",COUNTA(BD30:BI30)&gt;0),0,1)))</f>
        <v>0</v>
      </c>
      <c r="FZ30">
        <f t="shared" ref="FZ30:FZ36" si="108">IF(AND(BD30&lt;&gt;"",COUNTA(BB30,BF30:BI30)=0),0,IF(AND(BD30="",COUNTA(BB30,BF30:BI30)=0),0,IF(AND(BD30="",COUNTA(BB30,BF30:BI30)&gt;0),0,1)))</f>
        <v>0</v>
      </c>
      <c r="GA30">
        <f t="shared" ref="GA30:GA36" si="109">IF(AND(BF30&lt;&gt;"",COUNTA(BB30:BE30,BH30)=0),0,IF(AND(BF30="",COUNTA(BB30:BE30,BH30)=0),0,IF(AND(BF30="",COUNTA(BB30:BE30,BH30)&gt;0),0,1)))</f>
        <v>0</v>
      </c>
      <c r="GB30">
        <f t="shared" ref="GB30:GB36" si="110">IF(AND(BH30&lt;&gt;"",COUNTA(BB30:BG30)=0),0,IF(AND(BH30="",COUNTA(BB30:BG30)=0),0,IF(AND(BH30="",COUNTA(BB30:BG30)&gt;0),0,1)))</f>
        <v>0</v>
      </c>
      <c r="GC30">
        <f t="shared" ref="GC30:GC36" si="111">IF(AND(BB30&lt;&gt;"",COUNTA(BD30:BI30)&gt;0),1,0)</f>
        <v>0</v>
      </c>
      <c r="GD30">
        <f t="shared" ref="GD30:GD36" si="112">IF(AND(BD30&lt;&gt;"",COUNTA(BB30,BF30:BI30)&gt;0),1,0)</f>
        <v>0</v>
      </c>
      <c r="GE30">
        <f t="shared" ref="GE30:GE36" si="113">IF(AND(BF30&lt;&gt;"",COUNTA(BB30:BE30,BH30)&gt;0),1,0)</f>
        <v>0</v>
      </c>
      <c r="GF30">
        <f t="shared" ref="GF30:GF36" si="114">IF(AND(BH30&lt;&gt;"",COUNTA(BB30:BG30)&gt;0),1,0)</f>
        <v>0</v>
      </c>
      <c r="GG30">
        <f t="shared" ref="GG30:GG36" si="115">IF(AND(BT30&lt;&gt;"",COUNTA(BV30:CA30)=0),0,IF(AND(BT30="",COUNTA(BV30:CA30)=0),0,IF(AND(BT30="",COUNTA(BV30:CA30)&gt;0),0,1)))</f>
        <v>0</v>
      </c>
      <c r="GH30">
        <f t="shared" ref="GH30:GH36" si="116">IF(AND(BV30&lt;&gt;"",COUNTA(BT30,BX30:CA30)=0),0,IF(AND(BV30="",COUNTA(BT30,BX30:CA30)=0),0,IF(AND(BV30="",COUNTA(BT30,BX30:CA30)&gt;0),0,1)))</f>
        <v>0</v>
      </c>
      <c r="GI30">
        <f t="shared" ref="GI30:GI36" si="117">IF(AND(BX30&lt;&gt;"",COUNTA(BT30:BW30,BZ30)=0),0,IF(AND(BX30="",COUNTA(BT30:BW30,BZ30)=0),0,IF(AND(BX30="",COUNTA(BT30:BW30,BZ30)&gt;0),0,1)))</f>
        <v>0</v>
      </c>
      <c r="GJ30">
        <f t="shared" ref="GJ30:GJ36" si="118">IF(AND(BZ30&lt;&gt;"",COUNTA(BT30:BY30)=0),0,IF(AND(BZ30="",COUNTA(BT30:BY30)=0),0,IF(AND(BZ30="",COUNTA(BT30:BY30)&gt;0),0,1)))</f>
        <v>0</v>
      </c>
      <c r="GK30">
        <f t="shared" ref="GK30:GK36" si="119">IF(AND(BT30&lt;&gt;"",COUNTA(BV30:CA30)&gt;0),1,0)</f>
        <v>0</v>
      </c>
      <c r="GL30">
        <f t="shared" ref="GL30:GL36" si="120">IF(AND(BV30&lt;&gt;"",COUNTA(BT30,BX30:CA30)&gt;0),1,0)</f>
        <v>0</v>
      </c>
      <c r="GM30">
        <f t="shared" ref="GM30:GM36" si="121">IF(AND(BX30&lt;&gt;"",COUNTA(BT30:BW30,BZ30)&gt;0),1,0)</f>
        <v>0</v>
      </c>
      <c r="GN30">
        <f t="shared" ref="GN30:GN36" si="122">IF(AND(BZ30&lt;&gt;"",COUNTA(BT30:BY30)&gt;0),1,0)</f>
        <v>0</v>
      </c>
      <c r="GO30">
        <f t="shared" ref="GO30:GO36" si="123">IF(AND(CL30&lt;&gt;"",COUNTA(CN30:CS30)=0),0,IF(AND(CL30="",COUNTA(CN30:CS30)=0),0,IF(AND(CL30="",COUNTA(CN30:CS30)&gt;0),0,1)))</f>
        <v>0</v>
      </c>
      <c r="GP30">
        <f t="shared" ref="GP30:GP36" si="124">IF(AND(CN30&lt;&gt;"",COUNTA(CL30,CP30:CS30)=0),0,IF(AND(CN30="",COUNTA(CL30,CP30:CS30)=0),0,IF(AND(CN30="",COUNTA(CL30,CP30:CS30)&gt;0),0,1)))</f>
        <v>0</v>
      </c>
      <c r="GQ30">
        <f t="shared" ref="GQ30:GQ36" si="125">IF(AND(CP30&lt;&gt;"",COUNTA(CL30:CO30,CR30)=0),0,IF(AND(CP30="",COUNTA(CL30:CO30,CR30)=0),0,IF(AND(CP30="",COUNTA(CL30:CO30,CR30)&gt;0),0,1)))</f>
        <v>0</v>
      </c>
      <c r="GR30">
        <f t="shared" ref="GR30:GR36" si="126">IF(AND(CR30&lt;&gt;"",COUNTA(CL30:CQ30)=0),0,IF(AND(CR30="",COUNTA(CL30:CQ30)=0),0,IF(AND(CR30="",COUNTA(CL30:CQ30)&gt;0),0,1)))</f>
        <v>0</v>
      </c>
      <c r="GS30">
        <f t="shared" ref="GS30:GS36" si="127">IF(AND(CL30&lt;&gt;"",COUNTA(CN30:CS30)&gt;0),1,0)</f>
        <v>0</v>
      </c>
      <c r="GT30">
        <f t="shared" ref="GT30:GT36" si="128">IF(AND(CN30&lt;&gt;"",COUNTA(CL30,CP30:CS30)&gt;0),1,0)</f>
        <v>0</v>
      </c>
      <c r="GU30">
        <f t="shared" ref="GU30:GU36" si="129">IF(AND(CP30&lt;&gt;"",COUNTA(CL30:CO30,CR30)&gt;0),1,0)</f>
        <v>0</v>
      </c>
      <c r="GV30">
        <f t="shared" ref="GV30:GV36" si="130">IF(AND(CR30&lt;&gt;"",COUNTA(CL30:CQ30)&gt;0),1,0)</f>
        <v>0</v>
      </c>
      <c r="GX30">
        <f t="shared" ref="GX30:GX36" si="131">IF(AND($P30&lt;&gt;"",R30=""),0,IF(OR($P30="NS",R30="NS"),0,IF(AND($P30="NA",R30="NA"),0,IF(R30&gt;=P30,0,1))))</f>
        <v>0</v>
      </c>
      <c r="GY30">
        <f t="shared" ref="GY30:GY36" si="132">IF(AND($P30&lt;&gt;"",T30=""),0,IF(OR($P30="NS",T30="NS"),0,IF(AND($P30="NA",T30="NA"),0,IF(T30&gt;=$P30,0,1))))</f>
        <v>0</v>
      </c>
      <c r="GZ30">
        <f t="shared" ref="GZ30:GZ36" si="133">IF(AND($P30&lt;&gt;"",V30=""),0,IF(OR($P30="NS",V30="NS"),0,IF(AND($P30="NA",V30="NA"),0,IF(V30&gt;=$P30,0,1))))</f>
        <v>0</v>
      </c>
      <c r="HA30">
        <f t="shared" ref="HA30:HA36" si="134">IF(AND($AH30&lt;&gt;"",AJ30=""),0,IF(OR($AH30="NS",AJ30="NS"),0,IF(AND($AH30="NA",AJ30="NA"),0,IF(AJ30&gt;=$AH30,0,1))))</f>
        <v>0</v>
      </c>
      <c r="HB30">
        <f t="shared" ref="HB30:HB36" si="135">IF(AND($AH30&lt;&gt;"",AL30=""),0,IF(OR($AH30="NS",AL30="NS"),0,IF(AND($AH30="NA",AL30="NA"),0,IF(AL30&gt;=$AH30,0,1))))</f>
        <v>0</v>
      </c>
      <c r="HC30">
        <f t="shared" ref="HC30:HC36" si="136">IF(AND($AH30&lt;&gt;"",AN30=""),0,IF(OR($AH30="NS",AN30="NS"),0,IF(AND($AH30="NA",AN30="NA"),0,IF(AN30&gt;=$AH30,0,1))))</f>
        <v>0</v>
      </c>
      <c r="HD30">
        <f t="shared" ref="HD30:HD36" si="137">IF(AND($AZ30&lt;&gt;"",BB30=""),0,IF(OR($AZ30="NS",BB30="NS"),0,IF(AND($AZ30="NA",BB30="NA"),0,IF(BB30&gt;=$AZ30,0,1))))</f>
        <v>0</v>
      </c>
      <c r="HE30">
        <f t="shared" ref="HE30:HE36" si="138">IF(AND($AZ30&lt;&gt;"",BD30=""),0,IF(OR($AZ30="NS",BD30="NS"),0,IF(AND($AZ30="NA",BD30="NA"),0,IF(BD30&gt;=$AZ30,0,1))))</f>
        <v>0</v>
      </c>
      <c r="HF30">
        <f t="shared" ref="HF30:HF36" si="139">IF(AND($AZ30&lt;&gt;"",BF30=""),0,IF(OR($AZ30="NS",BF30="NS"),0,IF(AND($AZ30="NA",BF30="NA"),0,IF(BF30&gt;=$AZ30,0,1))))</f>
        <v>0</v>
      </c>
      <c r="HG30">
        <f t="shared" ref="HG30:HG36" si="140">IF(AND($AZ30&lt;&gt;"",BT30=""),0,IF(OR($BR30="NS",BT30="NS"),0,IF(AND($BR30="NA",BT30="NA"),0,IF(BT30&gt;=$BR30,0,1))))</f>
        <v>0</v>
      </c>
      <c r="HH30">
        <f t="shared" ref="HH30:HH36" si="141">IF(AND($AZ30&lt;&gt;"",BV30=""),0,IF(OR($BR30="NS",BV30="NS"),0,IF(AND($BR30="NA",BV30="NA"),0,IF(BV30&gt;=$BR30,0,1))))</f>
        <v>0</v>
      </c>
      <c r="HI30">
        <f t="shared" ref="HI30:HI36" si="142">IF(AND($AZ30&lt;&gt;"",BX30=""),0,IF(OR($BR30="NS",BX30="NS"),0,IF(AND($BR30="NA",BX30="NA"),0,IF(BX30&gt;=$BR30,0,1))))</f>
        <v>0</v>
      </c>
      <c r="HJ30">
        <f t="shared" ref="HJ30:HJ36" si="143">IF(AND($CJ30&lt;&gt;"",CL30=""),0,IF(OR($CJ30="NS",CL30="NS"),0,IF(AND($CJ30="NA",CL30="NA"),0,IF(CL30&gt;=$CJ30,0,1))))</f>
        <v>0</v>
      </c>
      <c r="HK30">
        <f t="shared" ref="HK30:HK36" si="144">IF(AND($CJ30&lt;&gt;"",CN30=""),0,IF(OR($CJ30="NS",CN30="NS"),0,IF(AND($CJ30="NA",CN30="NA"),0,IF(CN30&gt;=$CJ30,0,1))))</f>
        <v>0</v>
      </c>
      <c r="HL30">
        <f t="shared" ref="HL30:HL35" si="145">IF(AND($CJ30&lt;&gt;"",CP30=""),0,IF(OR($CJ30="NS",CP30="NS"),0,IF(AND($CJ30="NA",CP30="NA"),0,IF(CP30&gt;=$CJ30,0,1))))</f>
        <v>0</v>
      </c>
      <c r="HM30" s="253">
        <f t="shared" ref="HM30:HM36" si="146">LEN(P30)</f>
        <v>0</v>
      </c>
      <c r="HN30" s="253">
        <f t="shared" ref="HN30:HN36" si="147">IF(P30="NS",0,IF(AND(P30&lt;&gt;"",SUM(HM30)=4),0,IF(P30="",0,1)))</f>
        <v>0</v>
      </c>
      <c r="HO30" s="253">
        <f t="shared" ref="HO30:HO36" si="148">LEN(R30)</f>
        <v>0</v>
      </c>
      <c r="HP30" s="253">
        <f t="shared" ref="HP30:HP36" si="149">IF(R30="NS",0,IF(AND(R30&lt;&gt;"",SUM(HO30)=4),0,IF(R30="",0,1)))</f>
        <v>0</v>
      </c>
      <c r="HQ30" s="253">
        <f t="shared" ref="HQ30:HQ36" si="150">LEN(T30)</f>
        <v>0</v>
      </c>
      <c r="HR30" s="253">
        <f t="shared" ref="HR30:HR36" si="151">IF(T30="NS",0,IF(AND(T30&lt;&gt;"",SUM(HQ30)=4),0,IF(T30="",0,1)))</f>
        <v>0</v>
      </c>
      <c r="HS30" s="253">
        <f t="shared" ref="HS30:HS36" si="152">LEN(V30)</f>
        <v>0</v>
      </c>
      <c r="HT30" s="253">
        <f t="shared" ref="HT30:HT36" si="153">IF(V30="NS",0,IF(AND(V30&lt;&gt;"",SUM(HS30)=4),0,IF(V30="",0,1)))</f>
        <v>0</v>
      </c>
      <c r="HU30" s="253">
        <f t="shared" ref="HU30:HU36" si="154">LEN(AH30)</f>
        <v>0</v>
      </c>
      <c r="HV30" s="253">
        <f t="shared" ref="HV30:HV36" si="155">IF(AH30="NS",0,IF(AND(AH30&lt;&gt;"",SUM(HU30)=4),0,IF(AH30="",0,1)))</f>
        <v>0</v>
      </c>
      <c r="HW30" s="253">
        <f t="shared" ref="HW30:HW36" si="156">LEN(AJ30)</f>
        <v>0</v>
      </c>
      <c r="HX30" s="253">
        <f t="shared" ref="HX30:HX36" si="157">IF(AJ30="NS",0,IF(AND(AJ30&lt;&gt;"",SUM(HW30)=4),0,IF(AJ30="",0,1)))</f>
        <v>0</v>
      </c>
      <c r="HY30" s="253">
        <f t="shared" ref="HY30:HY36" si="158">LEN(AL30)</f>
        <v>0</v>
      </c>
      <c r="HZ30" s="253">
        <f t="shared" ref="HZ30:HZ36" si="159">IF(AL30="NS",0,IF(AND(AL30&lt;&gt;"",SUM(HY30)=4),0,IF(AL30="",0,1)))</f>
        <v>0</v>
      </c>
      <c r="IA30" s="253">
        <f t="shared" ref="IA30:IA36" si="160">LEN(AN30)</f>
        <v>0</v>
      </c>
      <c r="IB30" s="253">
        <f t="shared" ref="IB30:IB36" si="161">IF(AN30="NS",0,IF(AND(AN30&lt;&gt;"",SUM(IA30)=4),0,IF(AN30="",0,1)))</f>
        <v>0</v>
      </c>
      <c r="IC30" s="253">
        <f t="shared" ref="IC30:IC36" si="162">LEN(AZ30)</f>
        <v>0</v>
      </c>
      <c r="ID30" s="253">
        <f t="shared" ref="ID30:ID36" si="163">IF(AZ30="NS",0,IF(AND(AZ30&lt;&gt;"",SUM(IC30)=4),0,IF(AZ30="",0,1)))</f>
        <v>0</v>
      </c>
      <c r="IE30" s="253">
        <f t="shared" ref="IE30:IE36" si="164">LEN(BB30)</f>
        <v>0</v>
      </c>
      <c r="IF30" s="253">
        <f t="shared" ref="IF30:IF36" si="165">IF(BB30="NS",0,IF(AND(BB30&lt;&gt;"",SUM(IE30)=4),0,IF(BB30="",0,1)))</f>
        <v>0</v>
      </c>
      <c r="IG30" s="253">
        <f t="shared" ref="IG30:IG36" si="166">LEN(BD30)</f>
        <v>0</v>
      </c>
      <c r="IH30" s="253">
        <f t="shared" ref="IH30:IH36" si="167">IF(BD30="NS",0,IF(AND(BD30&lt;&gt;"",SUM(IG30)=4),0,IF(BD30="",0,1)))</f>
        <v>0</v>
      </c>
      <c r="II30" s="253">
        <f t="shared" ref="II30:II36" si="168">LEN(BF30)</f>
        <v>0</v>
      </c>
      <c r="IJ30" s="253">
        <f t="shared" ref="IJ30:IJ36" si="169">IF(BF30="NS",0,IF(AND(BF30&lt;&gt;"",SUM(II30)=4),0,IF(BF30="",0,1)))</f>
        <v>0</v>
      </c>
      <c r="IK30" s="253">
        <f t="shared" ref="IK30:IK36" si="170">LEN(BR30)</f>
        <v>0</v>
      </c>
      <c r="IL30" s="253">
        <f t="shared" ref="IL30:IL36" si="171">IF(BR30="NS",0,IF(AND(BR30&lt;&gt;"",SUM(IK30)=4),0,IF(BR30="",0,1)))</f>
        <v>0</v>
      </c>
      <c r="IM30" s="253">
        <f t="shared" ref="IM30:IM36" si="172">LEN(BT30)</f>
        <v>0</v>
      </c>
      <c r="IN30" s="253">
        <f t="shared" ref="IN30:IN36" si="173">IF(BT30="NS",0,IF(AND(BT30&lt;&gt;"",SUM(IM30)=4),0,IF(BT30="",0,1)))</f>
        <v>0</v>
      </c>
      <c r="IO30" s="253">
        <f t="shared" ref="IO30:IO36" si="174">LEN(BV30)</f>
        <v>0</v>
      </c>
      <c r="IP30" s="253">
        <f t="shared" ref="IP30:IP36" si="175">IF(BV30="NS",0,IF(AND(BV30&lt;&gt;"",SUM(IO30)=4),0,IF(BV30="",0,1)))</f>
        <v>0</v>
      </c>
      <c r="IQ30" s="253">
        <f t="shared" ref="IQ30:IQ36" si="176">LEN(BX30)</f>
        <v>0</v>
      </c>
      <c r="IR30" s="253">
        <f t="shared" ref="IR30:IR36" si="177">IF(BX30="NS",0,IF(AND(BX30&lt;&gt;"",SUM(IQ30)=4),0,IF(BX30="",0,1)))</f>
        <v>0</v>
      </c>
      <c r="IS30" s="253">
        <f t="shared" ref="IS30:IS36" si="178">LEN(CJ30)</f>
        <v>0</v>
      </c>
      <c r="IT30" s="253">
        <f t="shared" ref="IT30:IT36" si="179">IF(CJ30="NS",0,IF(AND(CJ30&lt;&gt;"",SUM(IS30)=4),0,IF(CJ30="",0,1)))</f>
        <v>0</v>
      </c>
      <c r="IU30" s="253">
        <f t="shared" ref="IU30:IU36" si="180">LEN(CL30)</f>
        <v>0</v>
      </c>
      <c r="IV30" s="253">
        <f t="shared" ref="IV30:IV36" si="181">IF(CL30="NS",0,IF(AND(CL30&lt;&gt;"",SUM(IU30)=4),0,IF(CL30="",0,1)))</f>
        <v>0</v>
      </c>
      <c r="IW30" s="253">
        <f t="shared" ref="IW30:IW36" si="182">LEN(CN30)</f>
        <v>0</v>
      </c>
      <c r="IX30" s="253">
        <f t="shared" ref="IX30:IX36" si="183">IF(CN30="NS",0,IF(AND(CN30&lt;&gt;"",SUM(IW30)=4),0,IF(CN30="",0,1)))</f>
        <v>0</v>
      </c>
      <c r="IY30" s="253">
        <f t="shared" ref="IY30:IY36" si="184">LEN(CP30)</f>
        <v>0</v>
      </c>
      <c r="IZ30" s="253">
        <f t="shared" ref="IZ30:IZ36" si="185">IF(CP30="NS",0,IF(AND(CP30&lt;&gt;"",SUM(IY30)=4),0,IF(CP30="",0,1)))</f>
        <v>0</v>
      </c>
    </row>
    <row r="31" spans="1:260">
      <c r="A31" s="228"/>
      <c r="B31" s="70"/>
      <c r="C31" s="44" t="s">
        <v>2518</v>
      </c>
      <c r="D31" s="813" t="str">
        <f>IF(CNSIPEE_2024_M2_Secc1!D44="","",CNSIPEE_2024_M2_Secc1!D44)</f>
        <v/>
      </c>
      <c r="E31" s="814"/>
      <c r="F31" s="814"/>
      <c r="G31" s="815"/>
      <c r="H31" s="949"/>
      <c r="I31" s="949"/>
      <c r="J31" s="949"/>
      <c r="K31" s="949"/>
      <c r="L31" s="949"/>
      <c r="M31" s="949"/>
      <c r="N31" s="949"/>
      <c r="O31" s="949"/>
      <c r="P31" s="1209"/>
      <c r="Q31" s="1209"/>
      <c r="R31" s="1209"/>
      <c r="S31" s="1209"/>
      <c r="T31" s="1209"/>
      <c r="U31" s="1209"/>
      <c r="V31" s="1209"/>
      <c r="W31" s="1209"/>
      <c r="X31" s="1210"/>
      <c r="Y31" s="1210"/>
      <c r="Z31" s="949"/>
      <c r="AA31" s="949"/>
      <c r="AB31" s="949"/>
      <c r="AC31" s="949"/>
      <c r="AD31" s="949"/>
      <c r="AE31" s="949"/>
      <c r="AF31" s="949"/>
      <c r="AG31" s="949"/>
      <c r="AH31" s="1209"/>
      <c r="AI31" s="1209"/>
      <c r="AJ31" s="1209"/>
      <c r="AK31" s="1209"/>
      <c r="AL31" s="1209"/>
      <c r="AM31" s="1209"/>
      <c r="AN31" s="1209"/>
      <c r="AO31" s="1209"/>
      <c r="AP31" s="1210"/>
      <c r="AQ31" s="1210"/>
      <c r="AR31" s="949"/>
      <c r="AS31" s="949"/>
      <c r="AT31" s="949"/>
      <c r="AU31" s="949"/>
      <c r="AV31" s="949"/>
      <c r="AW31" s="949"/>
      <c r="AX31" s="949"/>
      <c r="AY31" s="949"/>
      <c r="AZ31" s="1209"/>
      <c r="BA31" s="1209"/>
      <c r="BB31" s="1209"/>
      <c r="BC31" s="1209"/>
      <c r="BD31" s="1209"/>
      <c r="BE31" s="1209"/>
      <c r="BF31" s="1209"/>
      <c r="BG31" s="1209"/>
      <c r="BH31" s="1210"/>
      <c r="BI31" s="1210"/>
      <c r="BJ31" s="949"/>
      <c r="BK31" s="949"/>
      <c r="BL31" s="949"/>
      <c r="BM31" s="949"/>
      <c r="BN31" s="949"/>
      <c r="BO31" s="949"/>
      <c r="BP31" s="949"/>
      <c r="BQ31" s="949"/>
      <c r="BR31" s="1209"/>
      <c r="BS31" s="1209"/>
      <c r="BT31" s="1209"/>
      <c r="BU31" s="1209"/>
      <c r="BV31" s="1209"/>
      <c r="BW31" s="1209"/>
      <c r="BX31" s="1209"/>
      <c r="BY31" s="1209"/>
      <c r="BZ31" s="1210"/>
      <c r="CA31" s="1210"/>
      <c r="CB31" s="949"/>
      <c r="CC31" s="949"/>
      <c r="CD31" s="949"/>
      <c r="CE31" s="949"/>
      <c r="CF31" s="949"/>
      <c r="CG31" s="949"/>
      <c r="CH31" s="949"/>
      <c r="CI31" s="949"/>
      <c r="CJ31" s="1209"/>
      <c r="CK31" s="1209"/>
      <c r="CL31" s="1209"/>
      <c r="CM31" s="1209"/>
      <c r="CN31" s="1209"/>
      <c r="CO31" s="1209"/>
      <c r="CP31" s="1209"/>
      <c r="CQ31" s="1209"/>
      <c r="CR31" s="1210"/>
      <c r="CS31" s="1210"/>
      <c r="CV31" s="249">
        <f>IF(AND(COUNTBLANK(D31)=0,CNSIPEE_2024_M2_Secc1!$S83&lt;&gt;"",CNSIPEE_2024_M2_Secc1!$S83&lt;&gt;1,COUNTA(H31:CS31)=0),0,IF(AND(COUNTBLANK(D31)=0,CNSIPEE_2024_M2_Secc1!$S83&lt;&gt;"",CNSIPEE_2024_M2_Secc1!$S83=1,FE31=5,FH31=0,COUNTA(H31:Q31)=3,COUNTA(R31:Y31)&gt;0,FI31=0,FJ31=0,FK31=0,FL31=0,COUNTA(Z31:AI31)=3,COUNTA(AJ31:AQ31)&gt;0,FQ31=0,FR31=0,FS31=0,FT31=0,COUNTA(AR31:BA31)=3,COUNTA(BB31:BI31)&gt;0,FY31=0,FZ31=0,GA31=0,GB31=0,COUNTA(BJ31:BS31)=3,COUNTA(BT31:CA31)&gt;0,GG31=0,GH31=0,GI31=0,GJ31=0,COUNTA(CB31:CK31)=3,COUNTA(CL31:CS31)&gt;0,GO31=0,GP31=0,GQ31=0,GR31=0),0,IF(AND(COUNTBLANK(D31)=0,CNSIPEE_2024_M2_Secc1!$S83&lt;&gt;"",CNSIPEE_2024_M2_Secc1!$S83=1,FE31=4,FH31=0,COUNTA(H31:Q31)=3,COUNTA(R31:Y31)&gt;0,FI31=0,FJ31=0,FK31=0,FL31=0,COUNTA(Z31:AI31)=3,COUNTA(AJ31:AQ31)&gt;0,FQ31=0,FR31=0,FS31=0,FT31=0,COUNTA(AR31:BA31)=3,COUNTA(BB31:BI31)&gt;0,FY31=0,FZ31=0,GA31=0,GB31=0),0,IF(AND(COUNTBLANK(D31)=0,CNSIPEE_2024_M2_Secc1!$S83&lt;&gt;"",CNSIPEE_2024_M2_Secc1!$S83=1,FE31=3,FH31=0,COUNTA(H31:Q31)=3,COUNTA(R31:Y31)&gt;0,FI31=0,FJ31=0,FK31=0,FL31=0,COUNTA(Z31:AI31)=3,COUNTA(AJ31:AQ31)&gt;0,FQ31=0,FR31=0,FS31=0,FT31=0,COUNTA(AR31:BA31)=3,COUNTA(BB31:BI31)&gt;0,FY31=0,FZ31=0,GA31=0,GB31=0),0,IF(AND(COUNTBLANK(D31)=0,CNSIPEE_2024_M2_Secc1!$S83&lt;&gt;"",CNSIPEE_2024_M2_Secc1!$S83=1,FE31=2,FH31=0,COUNTA(H31:Q31)=3,COUNTA(R31:Y31)&gt;0,FI31=0,FJ31=0,FK31=0,FL31=0,COUNTA(Z31:AI31)=3,COUNTA(AJ31:AQ31)&gt;0,FQ31=0,FR31=0,FS31=0,FT31=0),0,IF(AND(COUNTBLANK(D31)=0,CNSIPEE_2024_M2_Secc1!$S83&lt;&gt;"",CNSIPEE_2024_M2_Secc1!$S83=1,FE31=1,FH31=0,COUNTA(H31:Q31)=3,COUNTA(R31:Y31)&gt;0,FI31=0,FJ31=0,FK31=0,FL31=0),0,IF(AND(COUNTBLANK(D31)=1,COUNTA(H31:CS31)=0),0,1)))))))</f>
        <v>0</v>
      </c>
      <c r="CW31" s="249">
        <f t="shared" si="39"/>
        <v>0</v>
      </c>
      <c r="CX31" s="326" t="b">
        <f t="shared" si="40"/>
        <v>0</v>
      </c>
      <c r="CY31" s="326" t="str">
        <f t="shared" si="41"/>
        <v/>
      </c>
      <c r="CZ31" s="326" t="b">
        <f t="shared" si="42"/>
        <v>0</v>
      </c>
      <c r="DA31" s="326" t="str">
        <f t="shared" si="43"/>
        <v/>
      </c>
      <c r="DB31" s="326" t="b">
        <f t="shared" si="44"/>
        <v>0</v>
      </c>
      <c r="DC31"/>
      <c r="DD31" s="326" t="b">
        <f t="shared" si="45"/>
        <v>0</v>
      </c>
      <c r="DE31" s="326" t="str">
        <f t="shared" si="46"/>
        <v/>
      </c>
      <c r="DF31" s="326" t="b">
        <f t="shared" si="47"/>
        <v>0</v>
      </c>
      <c r="DG31" s="326" t="str">
        <f t="shared" si="48"/>
        <v/>
      </c>
      <c r="DH31" s="326" t="b">
        <f t="shared" si="49"/>
        <v>0</v>
      </c>
      <c r="DI31"/>
      <c r="DJ31" s="326" t="b">
        <f t="shared" si="50"/>
        <v>0</v>
      </c>
      <c r="DK31" s="326" t="str">
        <f t="shared" si="51"/>
        <v/>
      </c>
      <c r="DL31" s="326" t="b">
        <f t="shared" si="52"/>
        <v>0</v>
      </c>
      <c r="DM31" s="326" t="str">
        <f t="shared" si="53"/>
        <v/>
      </c>
      <c r="DN31" s="326" t="b">
        <f t="shared" si="54"/>
        <v>0</v>
      </c>
      <c r="DO31"/>
      <c r="DP31" s="326" t="b">
        <f t="shared" si="55"/>
        <v>0</v>
      </c>
      <c r="DQ31" s="326" t="str">
        <f t="shared" si="56"/>
        <v/>
      </c>
      <c r="DR31" s="326" t="b">
        <f t="shared" si="57"/>
        <v>0</v>
      </c>
      <c r="DS31" s="326" t="str">
        <f t="shared" si="58"/>
        <v/>
      </c>
      <c r="DT31" s="326" t="b">
        <f t="shared" si="59"/>
        <v>0</v>
      </c>
      <c r="DU31"/>
      <c r="DV31" s="326" t="b">
        <f t="shared" si="60"/>
        <v>0</v>
      </c>
      <c r="DW31" s="326" t="str">
        <f t="shared" si="61"/>
        <v/>
      </c>
      <c r="DX31" s="326" t="b">
        <f t="shared" si="62"/>
        <v>0</v>
      </c>
      <c r="DY31" s="326" t="str">
        <f t="shared" si="63"/>
        <v/>
      </c>
      <c r="DZ31" s="326" t="b">
        <f t="shared" si="64"/>
        <v>0</v>
      </c>
      <c r="EB31" s="326" t="b">
        <f t="shared" si="65"/>
        <v>0</v>
      </c>
      <c r="EC31" s="326" t="str">
        <f t="shared" si="66"/>
        <v/>
      </c>
      <c r="ED31" s="326" t="b">
        <f t="shared" si="67"/>
        <v>0</v>
      </c>
      <c r="EE31" s="326" t="str">
        <f t="shared" si="68"/>
        <v/>
      </c>
      <c r="EF31" s="326" t="b">
        <f t="shared" si="69"/>
        <v>0</v>
      </c>
      <c r="EG31"/>
      <c r="EH31" s="326" t="b">
        <f t="shared" si="70"/>
        <v>0</v>
      </c>
      <c r="EI31" s="326" t="str">
        <f t="shared" si="71"/>
        <v/>
      </c>
      <c r="EJ31" s="326" t="b">
        <f t="shared" si="72"/>
        <v>0</v>
      </c>
      <c r="EK31" s="326" t="str">
        <f t="shared" si="73"/>
        <v/>
      </c>
      <c r="EL31" s="326" t="b">
        <f t="shared" si="74"/>
        <v>0</v>
      </c>
      <c r="EM31"/>
      <c r="EN31" s="326" t="b">
        <f t="shared" si="75"/>
        <v>0</v>
      </c>
      <c r="EO31" s="326" t="str">
        <f t="shared" si="76"/>
        <v/>
      </c>
      <c r="EP31" s="326" t="b">
        <f t="shared" si="77"/>
        <v>0</v>
      </c>
      <c r="EQ31" s="326" t="str">
        <f t="shared" si="78"/>
        <v/>
      </c>
      <c r="ER31" s="326" t="b">
        <f t="shared" si="79"/>
        <v>0</v>
      </c>
      <c r="ES31"/>
      <c r="ET31" s="326" t="b">
        <f t="shared" si="80"/>
        <v>0</v>
      </c>
      <c r="EU31" s="326" t="str">
        <f t="shared" si="81"/>
        <v/>
      </c>
      <c r="EV31" s="326" t="b">
        <f t="shared" si="82"/>
        <v>0</v>
      </c>
      <c r="EW31" s="326" t="str">
        <f t="shared" si="83"/>
        <v/>
      </c>
      <c r="EX31" s="326" t="b">
        <f t="shared" si="84"/>
        <v>0</v>
      </c>
      <c r="EY31"/>
      <c r="EZ31" s="326" t="b">
        <f t="shared" si="85"/>
        <v>0</v>
      </c>
      <c r="FA31" s="326" t="str">
        <f t="shared" si="86"/>
        <v/>
      </c>
      <c r="FB31" s="326" t="b">
        <f t="shared" si="87"/>
        <v>0</v>
      </c>
      <c r="FC31" s="326" t="str">
        <f t="shared" si="88"/>
        <v/>
      </c>
      <c r="FD31" s="326" t="b">
        <f t="shared" si="89"/>
        <v>0</v>
      </c>
      <c r="FE31">
        <f>SUM(CNSIPEE_2024_M2_Secc1!$Y83)</f>
        <v>0</v>
      </c>
      <c r="FF31">
        <f>IF(AND(COUNTA(H31,Z31,AR31,BJ31,CB31)=CNSIPEE_2024_M2_Secc1!$Y83),0,1)</f>
        <v>0</v>
      </c>
      <c r="FG31">
        <f>IF(AND(CNSIPEE_2024_M2_Secc1!$S83&lt;&gt;1,COUNTA(H31:CS31)&gt;0),1,0)</f>
        <v>0</v>
      </c>
      <c r="FH31">
        <f t="shared" si="90"/>
        <v>0</v>
      </c>
      <c r="FI31">
        <f t="shared" si="91"/>
        <v>0</v>
      </c>
      <c r="FJ31">
        <f t="shared" si="92"/>
        <v>0</v>
      </c>
      <c r="FK31">
        <f t="shared" si="93"/>
        <v>0</v>
      </c>
      <c r="FL31">
        <f t="shared" si="94"/>
        <v>0</v>
      </c>
      <c r="FM31">
        <f t="shared" si="95"/>
        <v>0</v>
      </c>
      <c r="FN31">
        <f t="shared" si="96"/>
        <v>0</v>
      </c>
      <c r="FO31">
        <f t="shared" si="97"/>
        <v>0</v>
      </c>
      <c r="FP31">
        <f t="shared" si="98"/>
        <v>0</v>
      </c>
      <c r="FQ31">
        <f t="shared" si="99"/>
        <v>0</v>
      </c>
      <c r="FR31">
        <f t="shared" si="100"/>
        <v>0</v>
      </c>
      <c r="FS31">
        <f t="shared" si="101"/>
        <v>0</v>
      </c>
      <c r="FT31">
        <f t="shared" si="102"/>
        <v>0</v>
      </c>
      <c r="FU31">
        <f t="shared" si="103"/>
        <v>0</v>
      </c>
      <c r="FV31">
        <f t="shared" si="104"/>
        <v>0</v>
      </c>
      <c r="FW31">
        <f t="shared" si="105"/>
        <v>0</v>
      </c>
      <c r="FX31">
        <f t="shared" si="106"/>
        <v>0</v>
      </c>
      <c r="FY31">
        <f t="shared" si="107"/>
        <v>0</v>
      </c>
      <c r="FZ31">
        <f t="shared" si="108"/>
        <v>0</v>
      </c>
      <c r="GA31">
        <f t="shared" si="109"/>
        <v>0</v>
      </c>
      <c r="GB31">
        <f t="shared" si="110"/>
        <v>0</v>
      </c>
      <c r="GC31">
        <f t="shared" si="111"/>
        <v>0</v>
      </c>
      <c r="GD31">
        <f t="shared" si="112"/>
        <v>0</v>
      </c>
      <c r="GE31">
        <f t="shared" si="113"/>
        <v>0</v>
      </c>
      <c r="GF31">
        <f t="shared" si="114"/>
        <v>0</v>
      </c>
      <c r="GG31">
        <f t="shared" si="115"/>
        <v>0</v>
      </c>
      <c r="GH31">
        <f t="shared" si="116"/>
        <v>0</v>
      </c>
      <c r="GI31">
        <f t="shared" si="117"/>
        <v>0</v>
      </c>
      <c r="GJ31">
        <f t="shared" si="118"/>
        <v>0</v>
      </c>
      <c r="GK31">
        <f t="shared" si="119"/>
        <v>0</v>
      </c>
      <c r="GL31">
        <f t="shared" si="120"/>
        <v>0</v>
      </c>
      <c r="GM31">
        <f t="shared" si="121"/>
        <v>0</v>
      </c>
      <c r="GN31">
        <f t="shared" si="122"/>
        <v>0</v>
      </c>
      <c r="GO31">
        <f t="shared" si="123"/>
        <v>0</v>
      </c>
      <c r="GP31">
        <f t="shared" si="124"/>
        <v>0</v>
      </c>
      <c r="GQ31">
        <f t="shared" si="125"/>
        <v>0</v>
      </c>
      <c r="GR31">
        <f t="shared" si="126"/>
        <v>0</v>
      </c>
      <c r="GS31">
        <f t="shared" si="127"/>
        <v>0</v>
      </c>
      <c r="GT31">
        <f t="shared" si="128"/>
        <v>0</v>
      </c>
      <c r="GU31">
        <f t="shared" si="129"/>
        <v>0</v>
      </c>
      <c r="GV31">
        <f t="shared" si="130"/>
        <v>0</v>
      </c>
      <c r="GX31">
        <f t="shared" si="131"/>
        <v>0</v>
      </c>
      <c r="GY31">
        <f t="shared" si="132"/>
        <v>0</v>
      </c>
      <c r="GZ31">
        <f t="shared" si="133"/>
        <v>0</v>
      </c>
      <c r="HA31">
        <f t="shared" si="134"/>
        <v>0</v>
      </c>
      <c r="HB31">
        <f t="shared" si="135"/>
        <v>0</v>
      </c>
      <c r="HC31">
        <f t="shared" si="136"/>
        <v>0</v>
      </c>
      <c r="HD31">
        <f t="shared" si="137"/>
        <v>0</v>
      </c>
      <c r="HE31">
        <f t="shared" si="138"/>
        <v>0</v>
      </c>
      <c r="HF31">
        <f t="shared" si="139"/>
        <v>0</v>
      </c>
      <c r="HG31">
        <f t="shared" si="140"/>
        <v>0</v>
      </c>
      <c r="HH31">
        <f t="shared" si="141"/>
        <v>0</v>
      </c>
      <c r="HI31">
        <f t="shared" si="142"/>
        <v>0</v>
      </c>
      <c r="HJ31">
        <f t="shared" si="143"/>
        <v>0</v>
      </c>
      <c r="HK31">
        <f t="shared" si="144"/>
        <v>0</v>
      </c>
      <c r="HL31">
        <f t="shared" si="145"/>
        <v>0</v>
      </c>
      <c r="HM31" s="253">
        <f t="shared" si="146"/>
        <v>0</v>
      </c>
      <c r="HN31" s="253">
        <f t="shared" si="147"/>
        <v>0</v>
      </c>
      <c r="HO31" s="253">
        <f t="shared" si="148"/>
        <v>0</v>
      </c>
      <c r="HP31" s="253">
        <f t="shared" si="149"/>
        <v>0</v>
      </c>
      <c r="HQ31" s="253">
        <f t="shared" si="150"/>
        <v>0</v>
      </c>
      <c r="HR31" s="253">
        <f t="shared" si="151"/>
        <v>0</v>
      </c>
      <c r="HS31" s="253">
        <f t="shared" si="152"/>
        <v>0</v>
      </c>
      <c r="HT31" s="253">
        <f t="shared" si="153"/>
        <v>0</v>
      </c>
      <c r="HU31" s="253">
        <f t="shared" si="154"/>
        <v>0</v>
      </c>
      <c r="HV31" s="253">
        <f t="shared" si="155"/>
        <v>0</v>
      </c>
      <c r="HW31" s="253">
        <f t="shared" si="156"/>
        <v>0</v>
      </c>
      <c r="HX31" s="253">
        <f t="shared" si="157"/>
        <v>0</v>
      </c>
      <c r="HY31" s="253">
        <f t="shared" si="158"/>
        <v>0</v>
      </c>
      <c r="HZ31" s="253">
        <f t="shared" si="159"/>
        <v>0</v>
      </c>
      <c r="IA31" s="253">
        <f t="shared" si="160"/>
        <v>0</v>
      </c>
      <c r="IB31" s="253">
        <f t="shared" si="161"/>
        <v>0</v>
      </c>
      <c r="IC31" s="253">
        <f t="shared" si="162"/>
        <v>0</v>
      </c>
      <c r="ID31" s="253">
        <f t="shared" si="163"/>
        <v>0</v>
      </c>
      <c r="IE31" s="253">
        <f t="shared" si="164"/>
        <v>0</v>
      </c>
      <c r="IF31" s="253">
        <f t="shared" si="165"/>
        <v>0</v>
      </c>
      <c r="IG31" s="253">
        <f t="shared" si="166"/>
        <v>0</v>
      </c>
      <c r="IH31" s="253">
        <f t="shared" si="167"/>
        <v>0</v>
      </c>
      <c r="II31" s="253">
        <f t="shared" si="168"/>
        <v>0</v>
      </c>
      <c r="IJ31" s="253">
        <f t="shared" si="169"/>
        <v>0</v>
      </c>
      <c r="IK31" s="253">
        <f t="shared" si="170"/>
        <v>0</v>
      </c>
      <c r="IL31" s="253">
        <f t="shared" si="171"/>
        <v>0</v>
      </c>
      <c r="IM31" s="253">
        <f t="shared" si="172"/>
        <v>0</v>
      </c>
      <c r="IN31" s="253">
        <f t="shared" si="173"/>
        <v>0</v>
      </c>
      <c r="IO31" s="253">
        <f t="shared" si="174"/>
        <v>0</v>
      </c>
      <c r="IP31" s="253">
        <f t="shared" si="175"/>
        <v>0</v>
      </c>
      <c r="IQ31" s="253">
        <f t="shared" si="176"/>
        <v>0</v>
      </c>
      <c r="IR31" s="253">
        <f t="shared" si="177"/>
        <v>0</v>
      </c>
      <c r="IS31" s="253">
        <f t="shared" si="178"/>
        <v>0</v>
      </c>
      <c r="IT31" s="253">
        <f t="shared" si="179"/>
        <v>0</v>
      </c>
      <c r="IU31" s="253">
        <f t="shared" si="180"/>
        <v>0</v>
      </c>
      <c r="IV31" s="253">
        <f t="shared" si="181"/>
        <v>0</v>
      </c>
      <c r="IW31" s="253">
        <f t="shared" si="182"/>
        <v>0</v>
      </c>
      <c r="IX31" s="253">
        <f t="shared" si="183"/>
        <v>0</v>
      </c>
      <c r="IY31" s="253">
        <f t="shared" si="184"/>
        <v>0</v>
      </c>
      <c r="IZ31" s="253">
        <f t="shared" si="185"/>
        <v>0</v>
      </c>
    </row>
    <row r="32" spans="1:260">
      <c r="A32" s="228"/>
      <c r="B32" s="70"/>
      <c r="C32" s="44" t="s">
        <v>2519</v>
      </c>
      <c r="D32" s="813" t="str">
        <f>IF(CNSIPEE_2024_M2_Secc1!D45="","",CNSIPEE_2024_M2_Secc1!D45)</f>
        <v/>
      </c>
      <c r="E32" s="814"/>
      <c r="F32" s="814"/>
      <c r="G32" s="815"/>
      <c r="H32" s="949"/>
      <c r="I32" s="949"/>
      <c r="J32" s="949"/>
      <c r="K32" s="949"/>
      <c r="L32" s="949"/>
      <c r="M32" s="949"/>
      <c r="N32" s="949"/>
      <c r="O32" s="949"/>
      <c r="P32" s="1209"/>
      <c r="Q32" s="1209"/>
      <c r="R32" s="1209"/>
      <c r="S32" s="1209"/>
      <c r="T32" s="1209"/>
      <c r="U32" s="1209"/>
      <c r="V32" s="1209"/>
      <c r="W32" s="1209"/>
      <c r="X32" s="1210"/>
      <c r="Y32" s="1210"/>
      <c r="Z32" s="949"/>
      <c r="AA32" s="949"/>
      <c r="AB32" s="949"/>
      <c r="AC32" s="949"/>
      <c r="AD32" s="949"/>
      <c r="AE32" s="949"/>
      <c r="AF32" s="949"/>
      <c r="AG32" s="949"/>
      <c r="AH32" s="1209"/>
      <c r="AI32" s="1209"/>
      <c r="AJ32" s="1209"/>
      <c r="AK32" s="1209"/>
      <c r="AL32" s="1209"/>
      <c r="AM32" s="1209"/>
      <c r="AN32" s="1209"/>
      <c r="AO32" s="1209"/>
      <c r="AP32" s="1210"/>
      <c r="AQ32" s="1210"/>
      <c r="AR32" s="949"/>
      <c r="AS32" s="949"/>
      <c r="AT32" s="949"/>
      <c r="AU32" s="949"/>
      <c r="AV32" s="949"/>
      <c r="AW32" s="949"/>
      <c r="AX32" s="949"/>
      <c r="AY32" s="949"/>
      <c r="AZ32" s="1209"/>
      <c r="BA32" s="1209"/>
      <c r="BB32" s="1209"/>
      <c r="BC32" s="1209"/>
      <c r="BD32" s="1209"/>
      <c r="BE32" s="1209"/>
      <c r="BF32" s="1209"/>
      <c r="BG32" s="1209"/>
      <c r="BH32" s="1210"/>
      <c r="BI32" s="1210"/>
      <c r="BJ32" s="949"/>
      <c r="BK32" s="949"/>
      <c r="BL32" s="949"/>
      <c r="BM32" s="949"/>
      <c r="BN32" s="949"/>
      <c r="BO32" s="949"/>
      <c r="BP32" s="949"/>
      <c r="BQ32" s="949"/>
      <c r="BR32" s="1209"/>
      <c r="BS32" s="1209"/>
      <c r="BT32" s="1209"/>
      <c r="BU32" s="1209"/>
      <c r="BV32" s="1209"/>
      <c r="BW32" s="1209"/>
      <c r="BX32" s="1209"/>
      <c r="BY32" s="1209"/>
      <c r="BZ32" s="1210"/>
      <c r="CA32" s="1210"/>
      <c r="CB32" s="949"/>
      <c r="CC32" s="949"/>
      <c r="CD32" s="949"/>
      <c r="CE32" s="949"/>
      <c r="CF32" s="949"/>
      <c r="CG32" s="949"/>
      <c r="CH32" s="949"/>
      <c r="CI32" s="949"/>
      <c r="CJ32" s="1209"/>
      <c r="CK32" s="1209"/>
      <c r="CL32" s="1209"/>
      <c r="CM32" s="1209"/>
      <c r="CN32" s="1209"/>
      <c r="CO32" s="1209"/>
      <c r="CP32" s="1209"/>
      <c r="CQ32" s="1209"/>
      <c r="CR32" s="1210"/>
      <c r="CS32" s="1210"/>
      <c r="CV32" s="249">
        <f>IF(AND(COUNTBLANK(D32)=0,CNSIPEE_2024_M2_Secc1!$S84&lt;&gt;"",CNSIPEE_2024_M2_Secc1!$S84&lt;&gt;1,COUNTA(H32:CS32)=0),0,IF(AND(COUNTBLANK(D32)=0,CNSIPEE_2024_M2_Secc1!$S84&lt;&gt;"",CNSIPEE_2024_M2_Secc1!$S84=1,FE32=5,FH32=0,COUNTA(H32:Q32)=3,COUNTA(R32:Y32)&gt;0,FI32=0,FJ32=0,FK32=0,FL32=0,COUNTA(Z32:AI32)=3,COUNTA(AJ32:AQ32)&gt;0,FQ32=0,FR32=0,FS32=0,FT32=0,COUNTA(AR32:BA32)=3,COUNTA(BB32:BI32)&gt;0,FY32=0,FZ32=0,GA32=0,GB32=0,COUNTA(BJ32:BS32)=3,COUNTA(BT32:CA32)&gt;0,GG32=0,GH32=0,GI32=0,GJ32=0,COUNTA(CB32:CK32)=3,COUNTA(CL32:CS32)&gt;0,GO32=0,GP32=0,GQ32=0,GR32=0),0,IF(AND(COUNTBLANK(D32)=0,CNSIPEE_2024_M2_Secc1!$S84&lt;&gt;"",CNSIPEE_2024_M2_Secc1!$S84=1,FE32=4,FH32=0,COUNTA(H32:Q32)=3,COUNTA(R32:Y32)&gt;0,FI32=0,FJ32=0,FK32=0,FL32=0,COUNTA(Z32:AI32)=3,COUNTA(AJ32:AQ32)&gt;0,FQ32=0,FR32=0,FS32=0,FT32=0,COUNTA(AR32:BA32)=3,COUNTA(BB32:BI32)&gt;0,FY32=0,FZ32=0,GA32=0,GB32=0),0,IF(AND(COUNTBLANK(D32)=0,CNSIPEE_2024_M2_Secc1!$S84&lt;&gt;"",CNSIPEE_2024_M2_Secc1!$S84=1,FE32=3,FH32=0,COUNTA(H32:Q32)=3,COUNTA(R32:Y32)&gt;0,FI32=0,FJ32=0,FK32=0,FL32=0,COUNTA(Z32:AI32)=3,COUNTA(AJ32:AQ32)&gt;0,FQ32=0,FR32=0,FS32=0,FT32=0,COUNTA(AR32:BA32)=3,COUNTA(BB32:BI32)&gt;0,FY32=0,FZ32=0,GA32=0,GB32=0),0,IF(AND(COUNTBLANK(D32)=0,CNSIPEE_2024_M2_Secc1!$S84&lt;&gt;"",CNSIPEE_2024_M2_Secc1!$S84=1,FE32=2,FH32=0,COUNTA(H32:Q32)=3,COUNTA(R32:Y32)&gt;0,FI32=0,FJ32=0,FK32=0,FL32=0,COUNTA(Z32:AI32)=3,COUNTA(AJ32:AQ32)&gt;0,FQ32=0,FR32=0,FS32=0,FT32=0),0,IF(AND(COUNTBLANK(D32)=0,CNSIPEE_2024_M2_Secc1!$S84&lt;&gt;"",CNSIPEE_2024_M2_Secc1!$S84=1,FE32=1,FH32=0,COUNTA(H32:Q32)=3,COUNTA(R32:Y32)&gt;0,FI32=0,FJ32=0,FK32=0,FL32=0),0,IF(AND(COUNTBLANK(D32)=1,COUNTA(H32:CS32)=0),0,1)))))))</f>
        <v>0</v>
      </c>
      <c r="CW32" s="249">
        <f t="shared" si="39"/>
        <v>0</v>
      </c>
      <c r="CX32" s="326" t="b">
        <f t="shared" si="40"/>
        <v>0</v>
      </c>
      <c r="CY32" s="326" t="str">
        <f t="shared" si="41"/>
        <v/>
      </c>
      <c r="CZ32" s="326" t="b">
        <f t="shared" si="42"/>
        <v>0</v>
      </c>
      <c r="DA32" s="326" t="str">
        <f t="shared" si="43"/>
        <v/>
      </c>
      <c r="DB32" s="326" t="b">
        <f t="shared" si="44"/>
        <v>0</v>
      </c>
      <c r="DC32"/>
      <c r="DD32" s="326" t="b">
        <f t="shared" si="45"/>
        <v>0</v>
      </c>
      <c r="DE32" s="326" t="str">
        <f t="shared" si="46"/>
        <v/>
      </c>
      <c r="DF32" s="326" t="b">
        <f t="shared" si="47"/>
        <v>0</v>
      </c>
      <c r="DG32" s="326" t="str">
        <f t="shared" si="48"/>
        <v/>
      </c>
      <c r="DH32" s="326" t="b">
        <f t="shared" si="49"/>
        <v>0</v>
      </c>
      <c r="DI32"/>
      <c r="DJ32" s="326" t="b">
        <f t="shared" si="50"/>
        <v>0</v>
      </c>
      <c r="DK32" s="326" t="str">
        <f t="shared" si="51"/>
        <v/>
      </c>
      <c r="DL32" s="326" t="b">
        <f t="shared" si="52"/>
        <v>0</v>
      </c>
      <c r="DM32" s="326" t="str">
        <f t="shared" si="53"/>
        <v/>
      </c>
      <c r="DN32" s="326" t="b">
        <f t="shared" si="54"/>
        <v>0</v>
      </c>
      <c r="DO32"/>
      <c r="DP32" s="326" t="b">
        <f t="shared" si="55"/>
        <v>0</v>
      </c>
      <c r="DQ32" s="326" t="str">
        <f t="shared" si="56"/>
        <v/>
      </c>
      <c r="DR32" s="326" t="b">
        <f t="shared" si="57"/>
        <v>0</v>
      </c>
      <c r="DS32" s="326" t="str">
        <f t="shared" si="58"/>
        <v/>
      </c>
      <c r="DT32" s="326" t="b">
        <f t="shared" si="59"/>
        <v>0</v>
      </c>
      <c r="DU32"/>
      <c r="DV32" s="326" t="b">
        <f t="shared" si="60"/>
        <v>0</v>
      </c>
      <c r="DW32" s="326" t="str">
        <f t="shared" si="61"/>
        <v/>
      </c>
      <c r="DX32" s="326" t="b">
        <f t="shared" si="62"/>
        <v>0</v>
      </c>
      <c r="DY32" s="326" t="str">
        <f t="shared" si="63"/>
        <v/>
      </c>
      <c r="DZ32" s="326" t="b">
        <f t="shared" si="64"/>
        <v>0</v>
      </c>
      <c r="EB32" s="326" t="b">
        <f t="shared" si="65"/>
        <v>0</v>
      </c>
      <c r="EC32" s="326" t="str">
        <f t="shared" si="66"/>
        <v/>
      </c>
      <c r="ED32" s="326" t="b">
        <f t="shared" si="67"/>
        <v>0</v>
      </c>
      <c r="EE32" s="326" t="str">
        <f t="shared" si="68"/>
        <v/>
      </c>
      <c r="EF32" s="326" t="b">
        <f t="shared" si="69"/>
        <v>0</v>
      </c>
      <c r="EG32"/>
      <c r="EH32" s="326" t="b">
        <f t="shared" si="70"/>
        <v>0</v>
      </c>
      <c r="EI32" s="326" t="str">
        <f t="shared" si="71"/>
        <v/>
      </c>
      <c r="EJ32" s="326" t="b">
        <f t="shared" si="72"/>
        <v>0</v>
      </c>
      <c r="EK32" s="326" t="str">
        <f t="shared" si="73"/>
        <v/>
      </c>
      <c r="EL32" s="326" t="b">
        <f t="shared" si="74"/>
        <v>0</v>
      </c>
      <c r="EM32"/>
      <c r="EN32" s="326" t="b">
        <f t="shared" si="75"/>
        <v>0</v>
      </c>
      <c r="EO32" s="326" t="str">
        <f t="shared" si="76"/>
        <v/>
      </c>
      <c r="EP32" s="326" t="b">
        <f t="shared" si="77"/>
        <v>0</v>
      </c>
      <c r="EQ32" s="326" t="str">
        <f t="shared" si="78"/>
        <v/>
      </c>
      <c r="ER32" s="326" t="b">
        <f t="shared" si="79"/>
        <v>0</v>
      </c>
      <c r="ES32"/>
      <c r="ET32" s="326" t="b">
        <f t="shared" si="80"/>
        <v>0</v>
      </c>
      <c r="EU32" s="326" t="str">
        <f t="shared" si="81"/>
        <v/>
      </c>
      <c r="EV32" s="326" t="b">
        <f t="shared" si="82"/>
        <v>0</v>
      </c>
      <c r="EW32" s="326" t="str">
        <f t="shared" si="83"/>
        <v/>
      </c>
      <c r="EX32" s="326" t="b">
        <f t="shared" si="84"/>
        <v>0</v>
      </c>
      <c r="EY32"/>
      <c r="EZ32" s="326" t="b">
        <f t="shared" si="85"/>
        <v>0</v>
      </c>
      <c r="FA32" s="326" t="str">
        <f t="shared" si="86"/>
        <v/>
      </c>
      <c r="FB32" s="326" t="b">
        <f t="shared" si="87"/>
        <v>0</v>
      </c>
      <c r="FC32" s="326" t="str">
        <f t="shared" si="88"/>
        <v/>
      </c>
      <c r="FD32" s="326" t="b">
        <f t="shared" si="89"/>
        <v>0</v>
      </c>
      <c r="FE32">
        <f>SUM(CNSIPEE_2024_M2_Secc1!$Y84)</f>
        <v>0</v>
      </c>
      <c r="FF32">
        <f>IF(AND(COUNTA(H32,Z32,AR32,BJ32,CB32)=CNSIPEE_2024_M2_Secc1!$Y84),0,1)</f>
        <v>0</v>
      </c>
      <c r="FG32">
        <f>IF(AND(CNSIPEE_2024_M2_Secc1!$S84&lt;&gt;1,COUNTA(H32:CS32)&gt;0),1,0)</f>
        <v>0</v>
      </c>
      <c r="FH32">
        <f t="shared" si="90"/>
        <v>0</v>
      </c>
      <c r="FI32">
        <f t="shared" si="91"/>
        <v>0</v>
      </c>
      <c r="FJ32">
        <f t="shared" si="92"/>
        <v>0</v>
      </c>
      <c r="FK32">
        <f t="shared" si="93"/>
        <v>0</v>
      </c>
      <c r="FL32">
        <f t="shared" si="94"/>
        <v>0</v>
      </c>
      <c r="FM32">
        <f t="shared" si="95"/>
        <v>0</v>
      </c>
      <c r="FN32">
        <f t="shared" si="96"/>
        <v>0</v>
      </c>
      <c r="FO32">
        <f t="shared" si="97"/>
        <v>0</v>
      </c>
      <c r="FP32">
        <f t="shared" si="98"/>
        <v>0</v>
      </c>
      <c r="FQ32">
        <f t="shared" si="99"/>
        <v>0</v>
      </c>
      <c r="FR32">
        <f t="shared" si="100"/>
        <v>0</v>
      </c>
      <c r="FS32">
        <f t="shared" si="101"/>
        <v>0</v>
      </c>
      <c r="FT32">
        <f t="shared" si="102"/>
        <v>0</v>
      </c>
      <c r="FU32">
        <f t="shared" si="103"/>
        <v>0</v>
      </c>
      <c r="FV32">
        <f t="shared" si="104"/>
        <v>0</v>
      </c>
      <c r="FW32">
        <f t="shared" si="105"/>
        <v>0</v>
      </c>
      <c r="FX32">
        <f t="shared" si="106"/>
        <v>0</v>
      </c>
      <c r="FY32">
        <f t="shared" si="107"/>
        <v>0</v>
      </c>
      <c r="FZ32">
        <f t="shared" si="108"/>
        <v>0</v>
      </c>
      <c r="GA32">
        <f t="shared" si="109"/>
        <v>0</v>
      </c>
      <c r="GB32">
        <f t="shared" si="110"/>
        <v>0</v>
      </c>
      <c r="GC32">
        <f t="shared" si="111"/>
        <v>0</v>
      </c>
      <c r="GD32">
        <f t="shared" si="112"/>
        <v>0</v>
      </c>
      <c r="GE32">
        <f t="shared" si="113"/>
        <v>0</v>
      </c>
      <c r="GF32">
        <f t="shared" si="114"/>
        <v>0</v>
      </c>
      <c r="GG32">
        <f t="shared" si="115"/>
        <v>0</v>
      </c>
      <c r="GH32">
        <f t="shared" si="116"/>
        <v>0</v>
      </c>
      <c r="GI32">
        <f t="shared" si="117"/>
        <v>0</v>
      </c>
      <c r="GJ32">
        <f t="shared" si="118"/>
        <v>0</v>
      </c>
      <c r="GK32">
        <f t="shared" si="119"/>
        <v>0</v>
      </c>
      <c r="GL32">
        <f t="shared" si="120"/>
        <v>0</v>
      </c>
      <c r="GM32">
        <f t="shared" si="121"/>
        <v>0</v>
      </c>
      <c r="GN32">
        <f t="shared" si="122"/>
        <v>0</v>
      </c>
      <c r="GO32">
        <f t="shared" si="123"/>
        <v>0</v>
      </c>
      <c r="GP32">
        <f t="shared" si="124"/>
        <v>0</v>
      </c>
      <c r="GQ32">
        <f t="shared" si="125"/>
        <v>0</v>
      </c>
      <c r="GR32">
        <f t="shared" si="126"/>
        <v>0</v>
      </c>
      <c r="GS32">
        <f t="shared" si="127"/>
        <v>0</v>
      </c>
      <c r="GT32">
        <f t="shared" si="128"/>
        <v>0</v>
      </c>
      <c r="GU32">
        <f t="shared" si="129"/>
        <v>0</v>
      </c>
      <c r="GV32">
        <f t="shared" si="130"/>
        <v>0</v>
      </c>
      <c r="GX32">
        <f t="shared" si="131"/>
        <v>0</v>
      </c>
      <c r="GY32">
        <f t="shared" si="132"/>
        <v>0</v>
      </c>
      <c r="GZ32">
        <f t="shared" si="133"/>
        <v>0</v>
      </c>
      <c r="HA32">
        <f t="shared" si="134"/>
        <v>0</v>
      </c>
      <c r="HB32">
        <f t="shared" si="135"/>
        <v>0</v>
      </c>
      <c r="HC32">
        <f t="shared" si="136"/>
        <v>0</v>
      </c>
      <c r="HD32">
        <f t="shared" si="137"/>
        <v>0</v>
      </c>
      <c r="HE32">
        <f t="shared" si="138"/>
        <v>0</v>
      </c>
      <c r="HF32">
        <f t="shared" si="139"/>
        <v>0</v>
      </c>
      <c r="HG32">
        <f t="shared" si="140"/>
        <v>0</v>
      </c>
      <c r="HH32">
        <f t="shared" si="141"/>
        <v>0</v>
      </c>
      <c r="HI32">
        <f t="shared" si="142"/>
        <v>0</v>
      </c>
      <c r="HJ32">
        <f t="shared" si="143"/>
        <v>0</v>
      </c>
      <c r="HK32">
        <f t="shared" si="144"/>
        <v>0</v>
      </c>
      <c r="HL32">
        <f t="shared" si="145"/>
        <v>0</v>
      </c>
      <c r="HM32" s="253">
        <f t="shared" si="146"/>
        <v>0</v>
      </c>
      <c r="HN32" s="253">
        <f t="shared" si="147"/>
        <v>0</v>
      </c>
      <c r="HO32" s="253">
        <f t="shared" si="148"/>
        <v>0</v>
      </c>
      <c r="HP32" s="253">
        <f t="shared" si="149"/>
        <v>0</v>
      </c>
      <c r="HQ32" s="253">
        <f t="shared" si="150"/>
        <v>0</v>
      </c>
      <c r="HR32" s="253">
        <f t="shared" si="151"/>
        <v>0</v>
      </c>
      <c r="HS32" s="253">
        <f t="shared" si="152"/>
        <v>0</v>
      </c>
      <c r="HT32" s="253">
        <f t="shared" si="153"/>
        <v>0</v>
      </c>
      <c r="HU32" s="253">
        <f t="shared" si="154"/>
        <v>0</v>
      </c>
      <c r="HV32" s="253">
        <f t="shared" si="155"/>
        <v>0</v>
      </c>
      <c r="HW32" s="253">
        <f t="shared" si="156"/>
        <v>0</v>
      </c>
      <c r="HX32" s="253">
        <f t="shared" si="157"/>
        <v>0</v>
      </c>
      <c r="HY32" s="253">
        <f t="shared" si="158"/>
        <v>0</v>
      </c>
      <c r="HZ32" s="253">
        <f t="shared" si="159"/>
        <v>0</v>
      </c>
      <c r="IA32" s="253">
        <f t="shared" si="160"/>
        <v>0</v>
      </c>
      <c r="IB32" s="253">
        <f t="shared" si="161"/>
        <v>0</v>
      </c>
      <c r="IC32" s="253">
        <f t="shared" si="162"/>
        <v>0</v>
      </c>
      <c r="ID32" s="253">
        <f t="shared" si="163"/>
        <v>0</v>
      </c>
      <c r="IE32" s="253">
        <f t="shared" si="164"/>
        <v>0</v>
      </c>
      <c r="IF32" s="253">
        <f t="shared" si="165"/>
        <v>0</v>
      </c>
      <c r="IG32" s="253">
        <f t="shared" si="166"/>
        <v>0</v>
      </c>
      <c r="IH32" s="253">
        <f t="shared" si="167"/>
        <v>0</v>
      </c>
      <c r="II32" s="253">
        <f t="shared" si="168"/>
        <v>0</v>
      </c>
      <c r="IJ32" s="253">
        <f t="shared" si="169"/>
        <v>0</v>
      </c>
      <c r="IK32" s="253">
        <f t="shared" si="170"/>
        <v>0</v>
      </c>
      <c r="IL32" s="253">
        <f t="shared" si="171"/>
        <v>0</v>
      </c>
      <c r="IM32" s="253">
        <f t="shared" si="172"/>
        <v>0</v>
      </c>
      <c r="IN32" s="253">
        <f t="shared" si="173"/>
        <v>0</v>
      </c>
      <c r="IO32" s="253">
        <f t="shared" si="174"/>
        <v>0</v>
      </c>
      <c r="IP32" s="253">
        <f t="shared" si="175"/>
        <v>0</v>
      </c>
      <c r="IQ32" s="253">
        <f t="shared" si="176"/>
        <v>0</v>
      </c>
      <c r="IR32" s="253">
        <f t="shared" si="177"/>
        <v>0</v>
      </c>
      <c r="IS32" s="253">
        <f t="shared" si="178"/>
        <v>0</v>
      </c>
      <c r="IT32" s="253">
        <f t="shared" si="179"/>
        <v>0</v>
      </c>
      <c r="IU32" s="253">
        <f t="shared" si="180"/>
        <v>0</v>
      </c>
      <c r="IV32" s="253">
        <f t="shared" si="181"/>
        <v>0</v>
      </c>
      <c r="IW32" s="253">
        <f t="shared" si="182"/>
        <v>0</v>
      </c>
      <c r="IX32" s="253">
        <f t="shared" si="183"/>
        <v>0</v>
      </c>
      <c r="IY32" s="253">
        <f t="shared" si="184"/>
        <v>0</v>
      </c>
      <c r="IZ32" s="253">
        <f t="shared" si="185"/>
        <v>0</v>
      </c>
    </row>
    <row r="33" spans="1:260">
      <c r="A33" s="228"/>
      <c r="B33" s="70"/>
      <c r="C33" s="44" t="s">
        <v>2520</v>
      </c>
      <c r="D33" s="813" t="str">
        <f>IF(CNSIPEE_2024_M2_Secc1!D46="","",CNSIPEE_2024_M2_Secc1!D46)</f>
        <v/>
      </c>
      <c r="E33" s="814"/>
      <c r="F33" s="814"/>
      <c r="G33" s="815"/>
      <c r="H33" s="949"/>
      <c r="I33" s="949"/>
      <c r="J33" s="949"/>
      <c r="K33" s="949"/>
      <c r="L33" s="949"/>
      <c r="M33" s="949"/>
      <c r="N33" s="949"/>
      <c r="O33" s="949"/>
      <c r="P33" s="1209"/>
      <c r="Q33" s="1209"/>
      <c r="R33" s="1209"/>
      <c r="S33" s="1209"/>
      <c r="T33" s="1209"/>
      <c r="U33" s="1209"/>
      <c r="V33" s="1209"/>
      <c r="W33" s="1209"/>
      <c r="X33" s="1210"/>
      <c r="Y33" s="1210"/>
      <c r="Z33" s="949"/>
      <c r="AA33" s="949"/>
      <c r="AB33" s="949"/>
      <c r="AC33" s="949"/>
      <c r="AD33" s="949"/>
      <c r="AE33" s="949"/>
      <c r="AF33" s="949"/>
      <c r="AG33" s="949"/>
      <c r="AH33" s="1209"/>
      <c r="AI33" s="1209"/>
      <c r="AJ33" s="1209"/>
      <c r="AK33" s="1209"/>
      <c r="AL33" s="1209"/>
      <c r="AM33" s="1209"/>
      <c r="AN33" s="1209"/>
      <c r="AO33" s="1209"/>
      <c r="AP33" s="1210"/>
      <c r="AQ33" s="1210"/>
      <c r="AR33" s="949"/>
      <c r="AS33" s="949"/>
      <c r="AT33" s="949"/>
      <c r="AU33" s="949"/>
      <c r="AV33" s="949"/>
      <c r="AW33" s="949"/>
      <c r="AX33" s="949"/>
      <c r="AY33" s="949"/>
      <c r="AZ33" s="1209"/>
      <c r="BA33" s="1209"/>
      <c r="BB33" s="1209"/>
      <c r="BC33" s="1209"/>
      <c r="BD33" s="1209"/>
      <c r="BE33" s="1209"/>
      <c r="BF33" s="1209"/>
      <c r="BG33" s="1209"/>
      <c r="BH33" s="1210"/>
      <c r="BI33" s="1210"/>
      <c r="BJ33" s="949"/>
      <c r="BK33" s="949"/>
      <c r="BL33" s="949"/>
      <c r="BM33" s="949"/>
      <c r="BN33" s="949"/>
      <c r="BO33" s="949"/>
      <c r="BP33" s="949"/>
      <c r="BQ33" s="949"/>
      <c r="BR33" s="1209"/>
      <c r="BS33" s="1209"/>
      <c r="BT33" s="1209"/>
      <c r="BU33" s="1209"/>
      <c r="BV33" s="1209"/>
      <c r="BW33" s="1209"/>
      <c r="BX33" s="1209"/>
      <c r="BY33" s="1209"/>
      <c r="BZ33" s="1210"/>
      <c r="CA33" s="1210"/>
      <c r="CB33" s="949"/>
      <c r="CC33" s="949"/>
      <c r="CD33" s="949"/>
      <c r="CE33" s="949"/>
      <c r="CF33" s="949"/>
      <c r="CG33" s="949"/>
      <c r="CH33" s="949"/>
      <c r="CI33" s="949"/>
      <c r="CJ33" s="1209"/>
      <c r="CK33" s="1209"/>
      <c r="CL33" s="1209"/>
      <c r="CM33" s="1209"/>
      <c r="CN33" s="1209"/>
      <c r="CO33" s="1209"/>
      <c r="CP33" s="1209"/>
      <c r="CQ33" s="1209"/>
      <c r="CR33" s="1210"/>
      <c r="CS33" s="1210"/>
      <c r="CV33" s="249">
        <f>IF(AND(COUNTBLANK(D33)=0,CNSIPEE_2024_M2_Secc1!$S85&lt;&gt;"",CNSIPEE_2024_M2_Secc1!$S85&lt;&gt;1,COUNTA(H33:CS33)=0),0,IF(AND(COUNTBLANK(D33)=0,CNSIPEE_2024_M2_Secc1!$S85&lt;&gt;"",CNSIPEE_2024_M2_Secc1!$S85=1,FE33=5,FH33=0,COUNTA(H33:Q33)=3,COUNTA(R33:Y33)&gt;0,FI33=0,FJ33=0,FK33=0,FL33=0,COUNTA(Z33:AI33)=3,COUNTA(AJ33:AQ33)&gt;0,FQ33=0,FR33=0,FS33=0,FT33=0,COUNTA(AR33:BA33)=3,COUNTA(BB33:BI33)&gt;0,FY33=0,FZ33=0,GA33=0,GB33=0,COUNTA(BJ33:BS33)=3,COUNTA(BT33:CA33)&gt;0,GG33=0,GH33=0,GI33=0,GJ33=0,COUNTA(CB33:CK33)=3,COUNTA(CL33:CS33)&gt;0,GO33=0,GP33=0,GQ33=0,GR33=0),0,IF(AND(COUNTBLANK(D33)=0,CNSIPEE_2024_M2_Secc1!$S85&lt;&gt;"",CNSIPEE_2024_M2_Secc1!$S85=1,FE33=4,FH33=0,COUNTA(H33:Q33)=3,COUNTA(R33:Y33)&gt;0,FI33=0,FJ33=0,FK33=0,FL33=0,COUNTA(Z33:AI33)=3,COUNTA(AJ33:AQ33)&gt;0,FQ33=0,FR33=0,FS33=0,FT33=0,COUNTA(AR33:BA33)=3,COUNTA(BB33:BI33)&gt;0,FY33=0,FZ33=0,GA33=0,GB33=0),0,IF(AND(COUNTBLANK(D33)=0,CNSIPEE_2024_M2_Secc1!$S85&lt;&gt;"",CNSIPEE_2024_M2_Secc1!$S85=1,FE33=3,FH33=0,COUNTA(H33:Q33)=3,COUNTA(R33:Y33)&gt;0,FI33=0,FJ33=0,FK33=0,FL33=0,COUNTA(Z33:AI33)=3,COUNTA(AJ33:AQ33)&gt;0,FQ33=0,FR33=0,FS33=0,FT33=0,COUNTA(AR33:BA33)=3,COUNTA(BB33:BI33)&gt;0,FY33=0,FZ33=0,GA33=0,GB33=0),0,IF(AND(COUNTBLANK(D33)=0,CNSIPEE_2024_M2_Secc1!$S85&lt;&gt;"",CNSIPEE_2024_M2_Secc1!$S85=1,FE33=2,FH33=0,COUNTA(H33:Q33)=3,COUNTA(R33:Y33)&gt;0,FI33=0,FJ33=0,FK33=0,FL33=0,COUNTA(Z33:AI33)=3,COUNTA(AJ33:AQ33)&gt;0,FQ33=0,FR33=0,FS33=0,FT33=0),0,IF(AND(COUNTBLANK(D33)=0,CNSIPEE_2024_M2_Secc1!$S85&lt;&gt;"",CNSIPEE_2024_M2_Secc1!$S85=1,FE33=1,FH33=0,COUNTA(H33:Q33)=3,COUNTA(R33:Y33)&gt;0,FI33=0,FJ33=0,FK33=0,FL33=0),0,IF(AND(COUNTBLANK(D33)=1,COUNTA(H33:CS33)=0),0,1)))))))</f>
        <v>0</v>
      </c>
      <c r="CW33" s="249">
        <f t="shared" si="39"/>
        <v>0</v>
      </c>
      <c r="CX33" s="326" t="b">
        <f t="shared" si="40"/>
        <v>0</v>
      </c>
      <c r="CY33" s="326" t="str">
        <f t="shared" si="41"/>
        <v/>
      </c>
      <c r="CZ33" s="326" t="b">
        <f t="shared" si="42"/>
        <v>0</v>
      </c>
      <c r="DA33" s="326" t="str">
        <f t="shared" si="43"/>
        <v/>
      </c>
      <c r="DB33" s="326" t="b">
        <f t="shared" si="44"/>
        <v>0</v>
      </c>
      <c r="DC33"/>
      <c r="DD33" s="326" t="b">
        <f t="shared" si="45"/>
        <v>0</v>
      </c>
      <c r="DE33" s="326" t="str">
        <f t="shared" si="46"/>
        <v/>
      </c>
      <c r="DF33" s="326" t="b">
        <f t="shared" si="47"/>
        <v>0</v>
      </c>
      <c r="DG33" s="326" t="str">
        <f t="shared" si="48"/>
        <v/>
      </c>
      <c r="DH33" s="326" t="b">
        <f t="shared" si="49"/>
        <v>0</v>
      </c>
      <c r="DI33"/>
      <c r="DJ33" s="326" t="b">
        <f t="shared" si="50"/>
        <v>0</v>
      </c>
      <c r="DK33" s="326" t="str">
        <f t="shared" si="51"/>
        <v/>
      </c>
      <c r="DL33" s="326" t="b">
        <f t="shared" si="52"/>
        <v>0</v>
      </c>
      <c r="DM33" s="326" t="str">
        <f t="shared" si="53"/>
        <v/>
      </c>
      <c r="DN33" s="326" t="b">
        <f t="shared" si="54"/>
        <v>0</v>
      </c>
      <c r="DO33"/>
      <c r="DP33" s="326" t="b">
        <f t="shared" si="55"/>
        <v>0</v>
      </c>
      <c r="DQ33" s="326" t="str">
        <f t="shared" si="56"/>
        <v/>
      </c>
      <c r="DR33" s="326" t="b">
        <f t="shared" si="57"/>
        <v>0</v>
      </c>
      <c r="DS33" s="326" t="str">
        <f t="shared" si="58"/>
        <v/>
      </c>
      <c r="DT33" s="326" t="b">
        <f t="shared" si="59"/>
        <v>0</v>
      </c>
      <c r="DU33"/>
      <c r="DV33" s="326" t="b">
        <f t="shared" si="60"/>
        <v>0</v>
      </c>
      <c r="DW33" s="326" t="str">
        <f t="shared" si="61"/>
        <v/>
      </c>
      <c r="DX33" s="326" t="b">
        <f t="shared" si="62"/>
        <v>0</v>
      </c>
      <c r="DY33" s="326" t="str">
        <f t="shared" si="63"/>
        <v/>
      </c>
      <c r="DZ33" s="326" t="b">
        <f t="shared" si="64"/>
        <v>0</v>
      </c>
      <c r="EB33" s="326" t="b">
        <f t="shared" si="65"/>
        <v>0</v>
      </c>
      <c r="EC33" s="326" t="str">
        <f t="shared" si="66"/>
        <v/>
      </c>
      <c r="ED33" s="326" t="b">
        <f t="shared" si="67"/>
        <v>0</v>
      </c>
      <c r="EE33" s="326" t="str">
        <f t="shared" si="68"/>
        <v/>
      </c>
      <c r="EF33" s="326" t="b">
        <f t="shared" si="69"/>
        <v>0</v>
      </c>
      <c r="EG33"/>
      <c r="EH33" s="326" t="b">
        <f t="shared" si="70"/>
        <v>0</v>
      </c>
      <c r="EI33" s="326" t="str">
        <f t="shared" si="71"/>
        <v/>
      </c>
      <c r="EJ33" s="326" t="b">
        <f t="shared" si="72"/>
        <v>0</v>
      </c>
      <c r="EK33" s="326" t="str">
        <f t="shared" si="73"/>
        <v/>
      </c>
      <c r="EL33" s="326" t="b">
        <f t="shared" si="74"/>
        <v>0</v>
      </c>
      <c r="EM33"/>
      <c r="EN33" s="326" t="b">
        <f t="shared" si="75"/>
        <v>0</v>
      </c>
      <c r="EO33" s="326" t="str">
        <f t="shared" si="76"/>
        <v/>
      </c>
      <c r="EP33" s="326" t="b">
        <f t="shared" si="77"/>
        <v>0</v>
      </c>
      <c r="EQ33" s="326" t="str">
        <f t="shared" si="78"/>
        <v/>
      </c>
      <c r="ER33" s="326" t="b">
        <f t="shared" si="79"/>
        <v>0</v>
      </c>
      <c r="ES33"/>
      <c r="ET33" s="326" t="b">
        <f t="shared" si="80"/>
        <v>0</v>
      </c>
      <c r="EU33" s="326" t="str">
        <f t="shared" si="81"/>
        <v/>
      </c>
      <c r="EV33" s="326" t="b">
        <f t="shared" si="82"/>
        <v>0</v>
      </c>
      <c r="EW33" s="326" t="str">
        <f t="shared" si="83"/>
        <v/>
      </c>
      <c r="EX33" s="326" t="b">
        <f t="shared" si="84"/>
        <v>0</v>
      </c>
      <c r="EY33"/>
      <c r="EZ33" s="326" t="b">
        <f t="shared" si="85"/>
        <v>0</v>
      </c>
      <c r="FA33" s="326" t="str">
        <f t="shared" si="86"/>
        <v/>
      </c>
      <c r="FB33" s="326" t="b">
        <f t="shared" si="87"/>
        <v>0</v>
      </c>
      <c r="FC33" s="326" t="str">
        <f t="shared" si="88"/>
        <v/>
      </c>
      <c r="FD33" s="326" t="b">
        <f t="shared" si="89"/>
        <v>0</v>
      </c>
      <c r="FE33">
        <f>SUM(CNSIPEE_2024_M2_Secc1!$Y85)</f>
        <v>0</v>
      </c>
      <c r="FF33">
        <f>IF(AND(COUNTA(H33,Z33,AR33,BJ33,CB33)=CNSIPEE_2024_M2_Secc1!$Y85),0,1)</f>
        <v>0</v>
      </c>
      <c r="FG33">
        <f>IF(AND(CNSIPEE_2024_M2_Secc1!$S85&lt;&gt;1,COUNTA(H33:CS33)&gt;0),1,0)</f>
        <v>0</v>
      </c>
      <c r="FH33">
        <f t="shared" si="90"/>
        <v>0</v>
      </c>
      <c r="FI33">
        <f t="shared" si="91"/>
        <v>0</v>
      </c>
      <c r="FJ33">
        <f t="shared" si="92"/>
        <v>0</v>
      </c>
      <c r="FK33">
        <f t="shared" si="93"/>
        <v>0</v>
      </c>
      <c r="FL33">
        <f t="shared" si="94"/>
        <v>0</v>
      </c>
      <c r="FM33">
        <f t="shared" si="95"/>
        <v>0</v>
      </c>
      <c r="FN33">
        <f t="shared" si="96"/>
        <v>0</v>
      </c>
      <c r="FO33">
        <f t="shared" si="97"/>
        <v>0</v>
      </c>
      <c r="FP33">
        <f t="shared" si="98"/>
        <v>0</v>
      </c>
      <c r="FQ33">
        <f t="shared" si="99"/>
        <v>0</v>
      </c>
      <c r="FR33">
        <f t="shared" si="100"/>
        <v>0</v>
      </c>
      <c r="FS33">
        <f t="shared" si="101"/>
        <v>0</v>
      </c>
      <c r="FT33">
        <f t="shared" si="102"/>
        <v>0</v>
      </c>
      <c r="FU33">
        <f t="shared" si="103"/>
        <v>0</v>
      </c>
      <c r="FV33">
        <f t="shared" si="104"/>
        <v>0</v>
      </c>
      <c r="FW33">
        <f t="shared" si="105"/>
        <v>0</v>
      </c>
      <c r="FX33">
        <f t="shared" si="106"/>
        <v>0</v>
      </c>
      <c r="FY33">
        <f t="shared" si="107"/>
        <v>0</v>
      </c>
      <c r="FZ33">
        <f t="shared" si="108"/>
        <v>0</v>
      </c>
      <c r="GA33">
        <f t="shared" si="109"/>
        <v>0</v>
      </c>
      <c r="GB33">
        <f t="shared" si="110"/>
        <v>0</v>
      </c>
      <c r="GC33">
        <f t="shared" si="111"/>
        <v>0</v>
      </c>
      <c r="GD33">
        <f t="shared" si="112"/>
        <v>0</v>
      </c>
      <c r="GE33">
        <f t="shared" si="113"/>
        <v>0</v>
      </c>
      <c r="GF33">
        <f t="shared" si="114"/>
        <v>0</v>
      </c>
      <c r="GG33">
        <f t="shared" si="115"/>
        <v>0</v>
      </c>
      <c r="GH33">
        <f t="shared" si="116"/>
        <v>0</v>
      </c>
      <c r="GI33">
        <f t="shared" si="117"/>
        <v>0</v>
      </c>
      <c r="GJ33">
        <f t="shared" si="118"/>
        <v>0</v>
      </c>
      <c r="GK33">
        <f t="shared" si="119"/>
        <v>0</v>
      </c>
      <c r="GL33">
        <f t="shared" si="120"/>
        <v>0</v>
      </c>
      <c r="GM33">
        <f t="shared" si="121"/>
        <v>0</v>
      </c>
      <c r="GN33">
        <f t="shared" si="122"/>
        <v>0</v>
      </c>
      <c r="GO33">
        <f t="shared" si="123"/>
        <v>0</v>
      </c>
      <c r="GP33">
        <f t="shared" si="124"/>
        <v>0</v>
      </c>
      <c r="GQ33">
        <f t="shared" si="125"/>
        <v>0</v>
      </c>
      <c r="GR33">
        <f t="shared" si="126"/>
        <v>0</v>
      </c>
      <c r="GS33">
        <f t="shared" si="127"/>
        <v>0</v>
      </c>
      <c r="GT33">
        <f t="shared" si="128"/>
        <v>0</v>
      </c>
      <c r="GU33">
        <f t="shared" si="129"/>
        <v>0</v>
      </c>
      <c r="GV33">
        <f t="shared" si="130"/>
        <v>0</v>
      </c>
      <c r="GX33">
        <f t="shared" si="131"/>
        <v>0</v>
      </c>
      <c r="GY33">
        <f t="shared" si="132"/>
        <v>0</v>
      </c>
      <c r="GZ33">
        <f t="shared" si="133"/>
        <v>0</v>
      </c>
      <c r="HA33">
        <f t="shared" si="134"/>
        <v>0</v>
      </c>
      <c r="HB33">
        <f t="shared" si="135"/>
        <v>0</v>
      </c>
      <c r="HC33">
        <f t="shared" si="136"/>
        <v>0</v>
      </c>
      <c r="HD33">
        <f t="shared" si="137"/>
        <v>0</v>
      </c>
      <c r="HE33">
        <f t="shared" si="138"/>
        <v>0</v>
      </c>
      <c r="HF33">
        <f t="shared" si="139"/>
        <v>0</v>
      </c>
      <c r="HG33">
        <f t="shared" si="140"/>
        <v>0</v>
      </c>
      <c r="HH33">
        <f t="shared" si="141"/>
        <v>0</v>
      </c>
      <c r="HI33">
        <f t="shared" si="142"/>
        <v>0</v>
      </c>
      <c r="HJ33">
        <f t="shared" si="143"/>
        <v>0</v>
      </c>
      <c r="HK33">
        <f t="shared" si="144"/>
        <v>0</v>
      </c>
      <c r="HL33">
        <f t="shared" si="145"/>
        <v>0</v>
      </c>
      <c r="HM33" s="253">
        <f t="shared" si="146"/>
        <v>0</v>
      </c>
      <c r="HN33" s="253">
        <f t="shared" si="147"/>
        <v>0</v>
      </c>
      <c r="HO33" s="253">
        <f t="shared" si="148"/>
        <v>0</v>
      </c>
      <c r="HP33" s="253">
        <f t="shared" si="149"/>
        <v>0</v>
      </c>
      <c r="HQ33" s="253">
        <f t="shared" si="150"/>
        <v>0</v>
      </c>
      <c r="HR33" s="253">
        <f t="shared" si="151"/>
        <v>0</v>
      </c>
      <c r="HS33" s="253">
        <f t="shared" si="152"/>
        <v>0</v>
      </c>
      <c r="HT33" s="253">
        <f t="shared" si="153"/>
        <v>0</v>
      </c>
      <c r="HU33" s="253">
        <f t="shared" si="154"/>
        <v>0</v>
      </c>
      <c r="HV33" s="253">
        <f t="shared" si="155"/>
        <v>0</v>
      </c>
      <c r="HW33" s="253">
        <f t="shared" si="156"/>
        <v>0</v>
      </c>
      <c r="HX33" s="253">
        <f t="shared" si="157"/>
        <v>0</v>
      </c>
      <c r="HY33" s="253">
        <f t="shared" si="158"/>
        <v>0</v>
      </c>
      <c r="HZ33" s="253">
        <f t="shared" si="159"/>
        <v>0</v>
      </c>
      <c r="IA33" s="253">
        <f t="shared" si="160"/>
        <v>0</v>
      </c>
      <c r="IB33" s="253">
        <f t="shared" si="161"/>
        <v>0</v>
      </c>
      <c r="IC33" s="253">
        <f t="shared" si="162"/>
        <v>0</v>
      </c>
      <c r="ID33" s="253">
        <f t="shared" si="163"/>
        <v>0</v>
      </c>
      <c r="IE33" s="253">
        <f t="shared" si="164"/>
        <v>0</v>
      </c>
      <c r="IF33" s="253">
        <f t="shared" si="165"/>
        <v>0</v>
      </c>
      <c r="IG33" s="253">
        <f t="shared" si="166"/>
        <v>0</v>
      </c>
      <c r="IH33" s="253">
        <f t="shared" si="167"/>
        <v>0</v>
      </c>
      <c r="II33" s="253">
        <f t="shared" si="168"/>
        <v>0</v>
      </c>
      <c r="IJ33" s="253">
        <f t="shared" si="169"/>
        <v>0</v>
      </c>
      <c r="IK33" s="253">
        <f t="shared" si="170"/>
        <v>0</v>
      </c>
      <c r="IL33" s="253">
        <f t="shared" si="171"/>
        <v>0</v>
      </c>
      <c r="IM33" s="253">
        <f t="shared" si="172"/>
        <v>0</v>
      </c>
      <c r="IN33" s="253">
        <f t="shared" si="173"/>
        <v>0</v>
      </c>
      <c r="IO33" s="253">
        <f t="shared" si="174"/>
        <v>0</v>
      </c>
      <c r="IP33" s="253">
        <f t="shared" si="175"/>
        <v>0</v>
      </c>
      <c r="IQ33" s="253">
        <f t="shared" si="176"/>
        <v>0</v>
      </c>
      <c r="IR33" s="253">
        <f t="shared" si="177"/>
        <v>0</v>
      </c>
      <c r="IS33" s="253">
        <f t="shared" si="178"/>
        <v>0</v>
      </c>
      <c r="IT33" s="253">
        <f t="shared" si="179"/>
        <v>0</v>
      </c>
      <c r="IU33" s="253">
        <f t="shared" si="180"/>
        <v>0</v>
      </c>
      <c r="IV33" s="253">
        <f t="shared" si="181"/>
        <v>0</v>
      </c>
      <c r="IW33" s="253">
        <f t="shared" si="182"/>
        <v>0</v>
      </c>
      <c r="IX33" s="253">
        <f t="shared" si="183"/>
        <v>0</v>
      </c>
      <c r="IY33" s="253">
        <f t="shared" si="184"/>
        <v>0</v>
      </c>
      <c r="IZ33" s="253">
        <f t="shared" si="185"/>
        <v>0</v>
      </c>
    </row>
    <row r="34" spans="1:260">
      <c r="A34" s="228"/>
      <c r="B34" s="70"/>
      <c r="C34" s="44" t="s">
        <v>2521</v>
      </c>
      <c r="D34" s="813" t="str">
        <f>IF(CNSIPEE_2024_M2_Secc1!D47="","",CNSIPEE_2024_M2_Secc1!D47)</f>
        <v/>
      </c>
      <c r="E34" s="814"/>
      <c r="F34" s="814"/>
      <c r="G34" s="815"/>
      <c r="H34" s="949"/>
      <c r="I34" s="949"/>
      <c r="J34" s="949"/>
      <c r="K34" s="949"/>
      <c r="L34" s="949"/>
      <c r="M34" s="949"/>
      <c r="N34" s="949"/>
      <c r="O34" s="949"/>
      <c r="P34" s="1209"/>
      <c r="Q34" s="1209"/>
      <c r="R34" s="1209"/>
      <c r="S34" s="1209"/>
      <c r="T34" s="1209"/>
      <c r="U34" s="1209"/>
      <c r="V34" s="1209"/>
      <c r="W34" s="1209"/>
      <c r="X34" s="1210"/>
      <c r="Y34" s="1210"/>
      <c r="Z34" s="949"/>
      <c r="AA34" s="949"/>
      <c r="AB34" s="949"/>
      <c r="AC34" s="949"/>
      <c r="AD34" s="949"/>
      <c r="AE34" s="949"/>
      <c r="AF34" s="949"/>
      <c r="AG34" s="949"/>
      <c r="AH34" s="1209"/>
      <c r="AI34" s="1209"/>
      <c r="AJ34" s="1209"/>
      <c r="AK34" s="1209"/>
      <c r="AL34" s="1209"/>
      <c r="AM34" s="1209"/>
      <c r="AN34" s="1209"/>
      <c r="AO34" s="1209"/>
      <c r="AP34" s="1210"/>
      <c r="AQ34" s="1210"/>
      <c r="AR34" s="949"/>
      <c r="AS34" s="949"/>
      <c r="AT34" s="949"/>
      <c r="AU34" s="949"/>
      <c r="AV34" s="949"/>
      <c r="AW34" s="949"/>
      <c r="AX34" s="949"/>
      <c r="AY34" s="949"/>
      <c r="AZ34" s="1209"/>
      <c r="BA34" s="1209"/>
      <c r="BB34" s="1209"/>
      <c r="BC34" s="1209"/>
      <c r="BD34" s="1209"/>
      <c r="BE34" s="1209"/>
      <c r="BF34" s="1209"/>
      <c r="BG34" s="1209"/>
      <c r="BH34" s="1210"/>
      <c r="BI34" s="1210"/>
      <c r="BJ34" s="949"/>
      <c r="BK34" s="949"/>
      <c r="BL34" s="949"/>
      <c r="BM34" s="949"/>
      <c r="BN34" s="949"/>
      <c r="BO34" s="949"/>
      <c r="BP34" s="949"/>
      <c r="BQ34" s="949"/>
      <c r="BR34" s="1209"/>
      <c r="BS34" s="1209"/>
      <c r="BT34" s="1209"/>
      <c r="BU34" s="1209"/>
      <c r="BV34" s="1209"/>
      <c r="BW34" s="1209"/>
      <c r="BX34" s="1209"/>
      <c r="BY34" s="1209"/>
      <c r="BZ34" s="1210"/>
      <c r="CA34" s="1210"/>
      <c r="CB34" s="949"/>
      <c r="CC34" s="949"/>
      <c r="CD34" s="949"/>
      <c r="CE34" s="949"/>
      <c r="CF34" s="949"/>
      <c r="CG34" s="949"/>
      <c r="CH34" s="949"/>
      <c r="CI34" s="949"/>
      <c r="CJ34" s="1209"/>
      <c r="CK34" s="1209"/>
      <c r="CL34" s="1209"/>
      <c r="CM34" s="1209"/>
      <c r="CN34" s="1209"/>
      <c r="CO34" s="1209"/>
      <c r="CP34" s="1209"/>
      <c r="CQ34" s="1209"/>
      <c r="CR34" s="1210"/>
      <c r="CS34" s="1210"/>
      <c r="CV34" s="249">
        <f>IF(AND(COUNTBLANK(D34)=0,CNSIPEE_2024_M2_Secc1!$S86&lt;&gt;"",CNSIPEE_2024_M2_Secc1!$S86&lt;&gt;1,COUNTA(H34:CS34)=0),0,IF(AND(COUNTBLANK(D34)=0,CNSIPEE_2024_M2_Secc1!$S86&lt;&gt;"",CNSIPEE_2024_M2_Secc1!$S86=1,FE34=5,FH34=0,COUNTA(H34:Q34)=3,COUNTA(R34:Y34)&gt;0,FI34=0,FJ34=0,FK34=0,FL34=0,COUNTA(Z34:AI34)=3,COUNTA(AJ34:AQ34)&gt;0,FQ34=0,FR34=0,FS34=0,FT34=0,COUNTA(AR34:BA34)=3,COUNTA(BB34:BI34)&gt;0,FY34=0,FZ34=0,GA34=0,GB34=0,COUNTA(BJ34:BS34)=3,COUNTA(BT34:CA34)&gt;0,GG34=0,GH34=0,GI34=0,GJ34=0,COUNTA(CB34:CK34)=3,COUNTA(CL34:CS34)&gt;0,GO34=0,GP34=0,GQ34=0,GR34=0),0,IF(AND(COUNTBLANK(D34)=0,CNSIPEE_2024_M2_Secc1!$S86&lt;&gt;"",CNSIPEE_2024_M2_Secc1!$S86=1,FE34=4,FH34=0,COUNTA(H34:Q34)=3,COUNTA(R34:Y34)&gt;0,FI34=0,FJ34=0,FK34=0,FL34=0,COUNTA(Z34:AI34)=3,COUNTA(AJ34:AQ34)&gt;0,FQ34=0,FR34=0,FS34=0,FT34=0,COUNTA(AR34:BA34)=3,COUNTA(BB34:BI34)&gt;0,FY34=0,FZ34=0,GA34=0,GB34=0),0,IF(AND(COUNTBLANK(D34)=0,CNSIPEE_2024_M2_Secc1!$S86&lt;&gt;"",CNSIPEE_2024_M2_Secc1!$S86=1,FE34=3,FH34=0,COUNTA(H34:Q34)=3,COUNTA(R34:Y34)&gt;0,FI34=0,FJ34=0,FK34=0,FL34=0,COUNTA(Z34:AI34)=3,COUNTA(AJ34:AQ34)&gt;0,FQ34=0,FR34=0,FS34=0,FT34=0,COUNTA(AR34:BA34)=3,COUNTA(BB34:BI34)&gt;0,FY34=0,FZ34=0,GA34=0,GB34=0),0,IF(AND(COUNTBLANK(D34)=0,CNSIPEE_2024_M2_Secc1!$S86&lt;&gt;"",CNSIPEE_2024_M2_Secc1!$S86=1,FE34=2,FH34=0,COUNTA(H34:Q34)=3,COUNTA(R34:Y34)&gt;0,FI34=0,FJ34=0,FK34=0,FL34=0,COUNTA(Z34:AI34)=3,COUNTA(AJ34:AQ34)&gt;0,FQ34=0,FR34=0,FS34=0,FT34=0),0,IF(AND(COUNTBLANK(D34)=0,CNSIPEE_2024_M2_Secc1!$S86&lt;&gt;"",CNSIPEE_2024_M2_Secc1!$S86=1,FE34=1,FH34=0,COUNTA(H34:Q34)=3,COUNTA(R34:Y34)&gt;0,FI34=0,FJ34=0,FK34=0,FL34=0),0,IF(AND(COUNTBLANK(D34)=1,COUNTA(H34:CS34)=0),0,1)))))))</f>
        <v>0</v>
      </c>
      <c r="CW34" s="249">
        <f t="shared" si="39"/>
        <v>0</v>
      </c>
      <c r="CX34" s="326" t="b">
        <f t="shared" si="40"/>
        <v>0</v>
      </c>
      <c r="CY34" s="326" t="str">
        <f t="shared" si="41"/>
        <v/>
      </c>
      <c r="CZ34" s="326" t="b">
        <f t="shared" si="42"/>
        <v>0</v>
      </c>
      <c r="DA34" s="326" t="str">
        <f t="shared" si="43"/>
        <v/>
      </c>
      <c r="DB34" s="326" t="b">
        <f t="shared" si="44"/>
        <v>0</v>
      </c>
      <c r="DC34"/>
      <c r="DD34" s="326" t="b">
        <f t="shared" si="45"/>
        <v>0</v>
      </c>
      <c r="DE34" s="326" t="str">
        <f t="shared" si="46"/>
        <v/>
      </c>
      <c r="DF34" s="326" t="b">
        <f t="shared" si="47"/>
        <v>0</v>
      </c>
      <c r="DG34" s="326" t="str">
        <f t="shared" si="48"/>
        <v/>
      </c>
      <c r="DH34" s="326" t="b">
        <f t="shared" si="49"/>
        <v>0</v>
      </c>
      <c r="DI34"/>
      <c r="DJ34" s="326" t="b">
        <f t="shared" si="50"/>
        <v>0</v>
      </c>
      <c r="DK34" s="326" t="str">
        <f t="shared" si="51"/>
        <v/>
      </c>
      <c r="DL34" s="326" t="b">
        <f t="shared" si="52"/>
        <v>0</v>
      </c>
      <c r="DM34" s="326" t="str">
        <f t="shared" si="53"/>
        <v/>
      </c>
      <c r="DN34" s="326" t="b">
        <f t="shared" si="54"/>
        <v>0</v>
      </c>
      <c r="DO34"/>
      <c r="DP34" s="326" t="b">
        <f t="shared" si="55"/>
        <v>0</v>
      </c>
      <c r="DQ34" s="326" t="str">
        <f t="shared" si="56"/>
        <v/>
      </c>
      <c r="DR34" s="326" t="b">
        <f t="shared" si="57"/>
        <v>0</v>
      </c>
      <c r="DS34" s="326" t="str">
        <f t="shared" si="58"/>
        <v/>
      </c>
      <c r="DT34" s="326" t="b">
        <f t="shared" si="59"/>
        <v>0</v>
      </c>
      <c r="DU34"/>
      <c r="DV34" s="326" t="b">
        <f t="shared" si="60"/>
        <v>0</v>
      </c>
      <c r="DW34" s="326" t="str">
        <f t="shared" si="61"/>
        <v/>
      </c>
      <c r="DX34" s="326" t="b">
        <f t="shared" si="62"/>
        <v>0</v>
      </c>
      <c r="DY34" s="326" t="str">
        <f t="shared" si="63"/>
        <v/>
      </c>
      <c r="DZ34" s="326" t="b">
        <f t="shared" si="64"/>
        <v>0</v>
      </c>
      <c r="EB34" s="326" t="b">
        <f t="shared" si="65"/>
        <v>0</v>
      </c>
      <c r="EC34" s="326" t="str">
        <f t="shared" si="66"/>
        <v/>
      </c>
      <c r="ED34" s="326" t="b">
        <f t="shared" si="67"/>
        <v>0</v>
      </c>
      <c r="EE34" s="326" t="str">
        <f t="shared" si="68"/>
        <v/>
      </c>
      <c r="EF34" s="326" t="b">
        <f t="shared" si="69"/>
        <v>0</v>
      </c>
      <c r="EG34"/>
      <c r="EH34" s="326" t="b">
        <f t="shared" si="70"/>
        <v>0</v>
      </c>
      <c r="EI34" s="326" t="str">
        <f t="shared" si="71"/>
        <v/>
      </c>
      <c r="EJ34" s="326" t="b">
        <f t="shared" si="72"/>
        <v>0</v>
      </c>
      <c r="EK34" s="326" t="str">
        <f t="shared" si="73"/>
        <v/>
      </c>
      <c r="EL34" s="326" t="b">
        <f t="shared" si="74"/>
        <v>0</v>
      </c>
      <c r="EM34"/>
      <c r="EN34" s="326" t="b">
        <f t="shared" si="75"/>
        <v>0</v>
      </c>
      <c r="EO34" s="326" t="str">
        <f t="shared" si="76"/>
        <v/>
      </c>
      <c r="EP34" s="326" t="b">
        <f t="shared" si="77"/>
        <v>0</v>
      </c>
      <c r="EQ34" s="326" t="str">
        <f t="shared" si="78"/>
        <v/>
      </c>
      <c r="ER34" s="326" t="b">
        <f t="shared" si="79"/>
        <v>0</v>
      </c>
      <c r="ES34"/>
      <c r="ET34" s="326" t="b">
        <f t="shared" si="80"/>
        <v>0</v>
      </c>
      <c r="EU34" s="326" t="str">
        <f t="shared" si="81"/>
        <v/>
      </c>
      <c r="EV34" s="326" t="b">
        <f t="shared" si="82"/>
        <v>0</v>
      </c>
      <c r="EW34" s="326" t="str">
        <f t="shared" si="83"/>
        <v/>
      </c>
      <c r="EX34" s="326" t="b">
        <f t="shared" si="84"/>
        <v>0</v>
      </c>
      <c r="EY34"/>
      <c r="EZ34" s="326" t="b">
        <f t="shared" si="85"/>
        <v>0</v>
      </c>
      <c r="FA34" s="326" t="str">
        <f t="shared" si="86"/>
        <v/>
      </c>
      <c r="FB34" s="326" t="b">
        <f t="shared" si="87"/>
        <v>0</v>
      </c>
      <c r="FC34" s="326" t="str">
        <f t="shared" si="88"/>
        <v/>
      </c>
      <c r="FD34" s="326" t="b">
        <f t="shared" si="89"/>
        <v>0</v>
      </c>
      <c r="FE34">
        <f>SUM(CNSIPEE_2024_M2_Secc1!$Y86)</f>
        <v>0</v>
      </c>
      <c r="FF34">
        <f>IF(AND(COUNTA(H34,Z34,AR34,BJ34,CB34)=CNSIPEE_2024_M2_Secc1!$Y86),0,1)</f>
        <v>0</v>
      </c>
      <c r="FG34">
        <f>IF(AND(CNSIPEE_2024_M2_Secc1!$S86&lt;&gt;1,COUNTA(H34:CS34)&gt;0),1,0)</f>
        <v>0</v>
      </c>
      <c r="FH34">
        <f t="shared" si="90"/>
        <v>0</v>
      </c>
      <c r="FI34">
        <f t="shared" si="91"/>
        <v>0</v>
      </c>
      <c r="FJ34">
        <f t="shared" si="92"/>
        <v>0</v>
      </c>
      <c r="FK34">
        <f t="shared" si="93"/>
        <v>0</v>
      </c>
      <c r="FL34">
        <f t="shared" si="94"/>
        <v>0</v>
      </c>
      <c r="FM34">
        <f t="shared" si="95"/>
        <v>0</v>
      </c>
      <c r="FN34">
        <f t="shared" si="96"/>
        <v>0</v>
      </c>
      <c r="FO34">
        <f t="shared" si="97"/>
        <v>0</v>
      </c>
      <c r="FP34">
        <f t="shared" si="98"/>
        <v>0</v>
      </c>
      <c r="FQ34">
        <f t="shared" si="99"/>
        <v>0</v>
      </c>
      <c r="FR34">
        <f t="shared" si="100"/>
        <v>0</v>
      </c>
      <c r="FS34">
        <f t="shared" si="101"/>
        <v>0</v>
      </c>
      <c r="FT34">
        <f t="shared" si="102"/>
        <v>0</v>
      </c>
      <c r="FU34">
        <f t="shared" si="103"/>
        <v>0</v>
      </c>
      <c r="FV34">
        <f t="shared" si="104"/>
        <v>0</v>
      </c>
      <c r="FW34">
        <f t="shared" si="105"/>
        <v>0</v>
      </c>
      <c r="FX34">
        <f t="shared" si="106"/>
        <v>0</v>
      </c>
      <c r="FY34">
        <f t="shared" si="107"/>
        <v>0</v>
      </c>
      <c r="FZ34">
        <f t="shared" si="108"/>
        <v>0</v>
      </c>
      <c r="GA34">
        <f t="shared" si="109"/>
        <v>0</v>
      </c>
      <c r="GB34">
        <f t="shared" si="110"/>
        <v>0</v>
      </c>
      <c r="GC34">
        <f t="shared" si="111"/>
        <v>0</v>
      </c>
      <c r="GD34">
        <f t="shared" si="112"/>
        <v>0</v>
      </c>
      <c r="GE34">
        <f t="shared" si="113"/>
        <v>0</v>
      </c>
      <c r="GF34">
        <f t="shared" si="114"/>
        <v>0</v>
      </c>
      <c r="GG34">
        <f t="shared" si="115"/>
        <v>0</v>
      </c>
      <c r="GH34">
        <f t="shared" si="116"/>
        <v>0</v>
      </c>
      <c r="GI34">
        <f t="shared" si="117"/>
        <v>0</v>
      </c>
      <c r="GJ34">
        <f t="shared" si="118"/>
        <v>0</v>
      </c>
      <c r="GK34">
        <f t="shared" si="119"/>
        <v>0</v>
      </c>
      <c r="GL34">
        <f t="shared" si="120"/>
        <v>0</v>
      </c>
      <c r="GM34">
        <f t="shared" si="121"/>
        <v>0</v>
      </c>
      <c r="GN34">
        <f t="shared" si="122"/>
        <v>0</v>
      </c>
      <c r="GO34">
        <f t="shared" si="123"/>
        <v>0</v>
      </c>
      <c r="GP34">
        <f t="shared" si="124"/>
        <v>0</v>
      </c>
      <c r="GQ34">
        <f t="shared" si="125"/>
        <v>0</v>
      </c>
      <c r="GR34">
        <f t="shared" si="126"/>
        <v>0</v>
      </c>
      <c r="GS34">
        <f t="shared" si="127"/>
        <v>0</v>
      </c>
      <c r="GT34">
        <f t="shared" si="128"/>
        <v>0</v>
      </c>
      <c r="GU34">
        <f t="shared" si="129"/>
        <v>0</v>
      </c>
      <c r="GV34">
        <f t="shared" si="130"/>
        <v>0</v>
      </c>
      <c r="GX34">
        <f t="shared" si="131"/>
        <v>0</v>
      </c>
      <c r="GY34">
        <f t="shared" si="132"/>
        <v>0</v>
      </c>
      <c r="GZ34">
        <f t="shared" si="133"/>
        <v>0</v>
      </c>
      <c r="HA34">
        <f t="shared" si="134"/>
        <v>0</v>
      </c>
      <c r="HB34">
        <f t="shared" si="135"/>
        <v>0</v>
      </c>
      <c r="HC34">
        <f t="shared" si="136"/>
        <v>0</v>
      </c>
      <c r="HD34">
        <f t="shared" si="137"/>
        <v>0</v>
      </c>
      <c r="HE34">
        <f t="shared" si="138"/>
        <v>0</v>
      </c>
      <c r="HF34">
        <f t="shared" si="139"/>
        <v>0</v>
      </c>
      <c r="HG34">
        <f t="shared" si="140"/>
        <v>0</v>
      </c>
      <c r="HH34">
        <f t="shared" si="141"/>
        <v>0</v>
      </c>
      <c r="HI34">
        <f t="shared" si="142"/>
        <v>0</v>
      </c>
      <c r="HJ34">
        <f t="shared" si="143"/>
        <v>0</v>
      </c>
      <c r="HK34">
        <f t="shared" si="144"/>
        <v>0</v>
      </c>
      <c r="HL34">
        <f t="shared" si="145"/>
        <v>0</v>
      </c>
      <c r="HM34" s="253">
        <f t="shared" si="146"/>
        <v>0</v>
      </c>
      <c r="HN34" s="253">
        <f t="shared" si="147"/>
        <v>0</v>
      </c>
      <c r="HO34" s="253">
        <f t="shared" si="148"/>
        <v>0</v>
      </c>
      <c r="HP34" s="253">
        <f t="shared" si="149"/>
        <v>0</v>
      </c>
      <c r="HQ34" s="253">
        <f t="shared" si="150"/>
        <v>0</v>
      </c>
      <c r="HR34" s="253">
        <f t="shared" si="151"/>
        <v>0</v>
      </c>
      <c r="HS34" s="253">
        <f t="shared" si="152"/>
        <v>0</v>
      </c>
      <c r="HT34" s="253">
        <f t="shared" si="153"/>
        <v>0</v>
      </c>
      <c r="HU34" s="253">
        <f t="shared" si="154"/>
        <v>0</v>
      </c>
      <c r="HV34" s="253">
        <f t="shared" si="155"/>
        <v>0</v>
      </c>
      <c r="HW34" s="253">
        <f t="shared" si="156"/>
        <v>0</v>
      </c>
      <c r="HX34" s="253">
        <f t="shared" si="157"/>
        <v>0</v>
      </c>
      <c r="HY34" s="253">
        <f t="shared" si="158"/>
        <v>0</v>
      </c>
      <c r="HZ34" s="253">
        <f t="shared" si="159"/>
        <v>0</v>
      </c>
      <c r="IA34" s="253">
        <f t="shared" si="160"/>
        <v>0</v>
      </c>
      <c r="IB34" s="253">
        <f t="shared" si="161"/>
        <v>0</v>
      </c>
      <c r="IC34" s="253">
        <f t="shared" si="162"/>
        <v>0</v>
      </c>
      <c r="ID34" s="253">
        <f t="shared" si="163"/>
        <v>0</v>
      </c>
      <c r="IE34" s="253">
        <f t="shared" si="164"/>
        <v>0</v>
      </c>
      <c r="IF34" s="253">
        <f t="shared" si="165"/>
        <v>0</v>
      </c>
      <c r="IG34" s="253">
        <f t="shared" si="166"/>
        <v>0</v>
      </c>
      <c r="IH34" s="253">
        <f t="shared" si="167"/>
        <v>0</v>
      </c>
      <c r="II34" s="253">
        <f t="shared" si="168"/>
        <v>0</v>
      </c>
      <c r="IJ34" s="253">
        <f t="shared" si="169"/>
        <v>0</v>
      </c>
      <c r="IK34" s="253">
        <f t="shared" si="170"/>
        <v>0</v>
      </c>
      <c r="IL34" s="253">
        <f t="shared" si="171"/>
        <v>0</v>
      </c>
      <c r="IM34" s="253">
        <f t="shared" si="172"/>
        <v>0</v>
      </c>
      <c r="IN34" s="253">
        <f t="shared" si="173"/>
        <v>0</v>
      </c>
      <c r="IO34" s="253">
        <f t="shared" si="174"/>
        <v>0</v>
      </c>
      <c r="IP34" s="253">
        <f t="shared" si="175"/>
        <v>0</v>
      </c>
      <c r="IQ34" s="253">
        <f t="shared" si="176"/>
        <v>0</v>
      </c>
      <c r="IR34" s="253">
        <f t="shared" si="177"/>
        <v>0</v>
      </c>
      <c r="IS34" s="253">
        <f t="shared" si="178"/>
        <v>0</v>
      </c>
      <c r="IT34" s="253">
        <f t="shared" si="179"/>
        <v>0</v>
      </c>
      <c r="IU34" s="253">
        <f t="shared" si="180"/>
        <v>0</v>
      </c>
      <c r="IV34" s="253">
        <f t="shared" si="181"/>
        <v>0</v>
      </c>
      <c r="IW34" s="253">
        <f t="shared" si="182"/>
        <v>0</v>
      </c>
      <c r="IX34" s="253">
        <f t="shared" si="183"/>
        <v>0</v>
      </c>
      <c r="IY34" s="253">
        <f t="shared" si="184"/>
        <v>0</v>
      </c>
      <c r="IZ34" s="253">
        <f t="shared" si="185"/>
        <v>0</v>
      </c>
    </row>
    <row r="35" spans="1:260">
      <c r="A35" s="228"/>
      <c r="B35" s="70"/>
      <c r="C35" s="44" t="s">
        <v>2522</v>
      </c>
      <c r="D35" s="813" t="str">
        <f>IF(CNSIPEE_2024_M2_Secc1!D48="","",CNSIPEE_2024_M2_Secc1!D48)</f>
        <v/>
      </c>
      <c r="E35" s="814"/>
      <c r="F35" s="814"/>
      <c r="G35" s="815"/>
      <c r="H35" s="949"/>
      <c r="I35" s="949"/>
      <c r="J35" s="949"/>
      <c r="K35" s="949"/>
      <c r="L35" s="949"/>
      <c r="M35" s="949"/>
      <c r="N35" s="949"/>
      <c r="O35" s="949"/>
      <c r="P35" s="1209"/>
      <c r="Q35" s="1209"/>
      <c r="R35" s="1209"/>
      <c r="S35" s="1209"/>
      <c r="T35" s="1209"/>
      <c r="U35" s="1209"/>
      <c r="V35" s="1209"/>
      <c r="W35" s="1209"/>
      <c r="X35" s="1210"/>
      <c r="Y35" s="1210"/>
      <c r="Z35" s="949"/>
      <c r="AA35" s="949"/>
      <c r="AB35" s="949"/>
      <c r="AC35" s="949"/>
      <c r="AD35" s="949"/>
      <c r="AE35" s="949"/>
      <c r="AF35" s="949"/>
      <c r="AG35" s="949"/>
      <c r="AH35" s="1209"/>
      <c r="AI35" s="1209"/>
      <c r="AJ35" s="1209"/>
      <c r="AK35" s="1209"/>
      <c r="AL35" s="1209"/>
      <c r="AM35" s="1209"/>
      <c r="AN35" s="1209"/>
      <c r="AO35" s="1209"/>
      <c r="AP35" s="1210"/>
      <c r="AQ35" s="1210"/>
      <c r="AR35" s="949"/>
      <c r="AS35" s="949"/>
      <c r="AT35" s="949"/>
      <c r="AU35" s="949"/>
      <c r="AV35" s="949"/>
      <c r="AW35" s="949"/>
      <c r="AX35" s="949"/>
      <c r="AY35" s="949"/>
      <c r="AZ35" s="1209"/>
      <c r="BA35" s="1209"/>
      <c r="BB35" s="1209"/>
      <c r="BC35" s="1209"/>
      <c r="BD35" s="1209"/>
      <c r="BE35" s="1209"/>
      <c r="BF35" s="1209"/>
      <c r="BG35" s="1209"/>
      <c r="BH35" s="1210"/>
      <c r="BI35" s="1210"/>
      <c r="BJ35" s="949"/>
      <c r="BK35" s="949"/>
      <c r="BL35" s="949"/>
      <c r="BM35" s="949"/>
      <c r="BN35" s="949"/>
      <c r="BO35" s="949"/>
      <c r="BP35" s="949"/>
      <c r="BQ35" s="949"/>
      <c r="BR35" s="1209"/>
      <c r="BS35" s="1209"/>
      <c r="BT35" s="1209"/>
      <c r="BU35" s="1209"/>
      <c r="BV35" s="1209"/>
      <c r="BW35" s="1209"/>
      <c r="BX35" s="1209"/>
      <c r="BY35" s="1209"/>
      <c r="BZ35" s="1210"/>
      <c r="CA35" s="1210"/>
      <c r="CB35" s="949"/>
      <c r="CC35" s="949"/>
      <c r="CD35" s="949"/>
      <c r="CE35" s="949"/>
      <c r="CF35" s="949"/>
      <c r="CG35" s="949"/>
      <c r="CH35" s="949"/>
      <c r="CI35" s="949"/>
      <c r="CJ35" s="1209"/>
      <c r="CK35" s="1209"/>
      <c r="CL35" s="1209"/>
      <c r="CM35" s="1209"/>
      <c r="CN35" s="1209"/>
      <c r="CO35" s="1209"/>
      <c r="CP35" s="1209"/>
      <c r="CQ35" s="1209"/>
      <c r="CR35" s="1210"/>
      <c r="CS35" s="1210"/>
      <c r="CV35" s="249">
        <f>IF(AND(COUNTBLANK(D35)=0,CNSIPEE_2024_M2_Secc1!$S87&lt;&gt;"",CNSIPEE_2024_M2_Secc1!$S87&lt;&gt;1,COUNTA(H35:CS35)=0),0,IF(AND(COUNTBLANK(D35)=0,CNSIPEE_2024_M2_Secc1!$S87&lt;&gt;"",CNSIPEE_2024_M2_Secc1!$S87=1,FE35=5,FH35=0,COUNTA(H35:Q35)=3,COUNTA(R35:Y35)&gt;0,FI35=0,FJ35=0,FK35=0,FL35=0,COUNTA(Z35:AI35)=3,COUNTA(AJ35:AQ35)&gt;0,FQ35=0,FR35=0,FS35=0,FT35=0,COUNTA(AR35:BA35)=3,COUNTA(BB35:BI35)&gt;0,FY35=0,FZ35=0,GA35=0,GB35=0,COUNTA(BJ35:BS35)=3,COUNTA(BT35:CA35)&gt;0,GG35=0,GH35=0,GI35=0,GJ35=0,COUNTA(CB35:CK35)=3,COUNTA(CL35:CS35)&gt;0,GO35=0,GP35=0,GQ35=0,GR35=0),0,IF(AND(COUNTBLANK(D35)=0,CNSIPEE_2024_M2_Secc1!$S87&lt;&gt;"",CNSIPEE_2024_M2_Secc1!$S87=1,FE35=4,FH35=0,COUNTA(H35:Q35)=3,COUNTA(R35:Y35)&gt;0,FI35=0,FJ35=0,FK35=0,FL35=0,COUNTA(Z35:AI35)=3,COUNTA(AJ35:AQ35)&gt;0,FQ35=0,FR35=0,FS35=0,FT35=0,COUNTA(AR35:BA35)=3,COUNTA(BB35:BI35)&gt;0,FY35=0,FZ35=0,GA35=0,GB35=0),0,IF(AND(COUNTBLANK(D35)=0,CNSIPEE_2024_M2_Secc1!$S87&lt;&gt;"",CNSIPEE_2024_M2_Secc1!$S87=1,FE35=3,FH35=0,COUNTA(H35:Q35)=3,COUNTA(R35:Y35)&gt;0,FI35=0,FJ35=0,FK35=0,FL35=0,COUNTA(Z35:AI35)=3,COUNTA(AJ35:AQ35)&gt;0,FQ35=0,FR35=0,FS35=0,FT35=0,COUNTA(AR35:BA35)=3,COUNTA(BB35:BI35)&gt;0,FY35=0,FZ35=0,GA35=0,GB35=0),0,IF(AND(COUNTBLANK(D35)=0,CNSIPEE_2024_M2_Secc1!$S87&lt;&gt;"",CNSIPEE_2024_M2_Secc1!$S87=1,FE35=2,FH35=0,COUNTA(H35:Q35)=3,COUNTA(R35:Y35)&gt;0,FI35=0,FJ35=0,FK35=0,FL35=0,COUNTA(Z35:AI35)=3,COUNTA(AJ35:AQ35)&gt;0,FQ35=0,FR35=0,FS35=0,FT35=0),0,IF(AND(COUNTBLANK(D35)=0,CNSIPEE_2024_M2_Secc1!$S87&lt;&gt;"",CNSIPEE_2024_M2_Secc1!$S87=1,FE35=1,FH35=0,COUNTA(H35:Q35)=3,COUNTA(R35:Y35)&gt;0,FI35=0,FJ35=0,FK35=0,FL35=0),0,IF(AND(COUNTBLANK(D35)=1,COUNTA(H35:CS35)=0),0,1)))))))</f>
        <v>0</v>
      </c>
      <c r="CW35" s="249">
        <f t="shared" si="39"/>
        <v>0</v>
      </c>
      <c r="CX35" s="326" t="b">
        <f t="shared" si="40"/>
        <v>0</v>
      </c>
      <c r="CY35" s="326" t="str">
        <f t="shared" si="41"/>
        <v/>
      </c>
      <c r="CZ35" s="326" t="b">
        <f t="shared" si="42"/>
        <v>0</v>
      </c>
      <c r="DA35" s="326" t="str">
        <f t="shared" si="43"/>
        <v/>
      </c>
      <c r="DB35" s="326" t="b">
        <f t="shared" si="44"/>
        <v>0</v>
      </c>
      <c r="DC35"/>
      <c r="DD35" s="326" t="b">
        <f t="shared" si="45"/>
        <v>0</v>
      </c>
      <c r="DE35" s="326" t="str">
        <f t="shared" si="46"/>
        <v/>
      </c>
      <c r="DF35" s="326" t="b">
        <f t="shared" si="47"/>
        <v>0</v>
      </c>
      <c r="DG35" s="326" t="str">
        <f t="shared" si="48"/>
        <v/>
      </c>
      <c r="DH35" s="326" t="b">
        <f t="shared" si="49"/>
        <v>0</v>
      </c>
      <c r="DI35"/>
      <c r="DJ35" s="326" t="b">
        <f t="shared" si="50"/>
        <v>0</v>
      </c>
      <c r="DK35" s="326" t="str">
        <f t="shared" si="51"/>
        <v/>
      </c>
      <c r="DL35" s="326" t="b">
        <f t="shared" si="52"/>
        <v>0</v>
      </c>
      <c r="DM35" s="326" t="str">
        <f t="shared" si="53"/>
        <v/>
      </c>
      <c r="DN35" s="326" t="b">
        <f t="shared" si="54"/>
        <v>0</v>
      </c>
      <c r="DO35"/>
      <c r="DP35" s="326" t="b">
        <f t="shared" si="55"/>
        <v>0</v>
      </c>
      <c r="DQ35" s="326" t="str">
        <f t="shared" si="56"/>
        <v/>
      </c>
      <c r="DR35" s="326" t="b">
        <f t="shared" si="57"/>
        <v>0</v>
      </c>
      <c r="DS35" s="326" t="str">
        <f t="shared" si="58"/>
        <v/>
      </c>
      <c r="DT35" s="326" t="b">
        <f t="shared" si="59"/>
        <v>0</v>
      </c>
      <c r="DU35"/>
      <c r="DV35" s="326" t="b">
        <f t="shared" si="60"/>
        <v>0</v>
      </c>
      <c r="DW35" s="326" t="str">
        <f t="shared" si="61"/>
        <v/>
      </c>
      <c r="DX35" s="326" t="b">
        <f t="shared" si="62"/>
        <v>0</v>
      </c>
      <c r="DY35" s="326" t="str">
        <f t="shared" si="63"/>
        <v/>
      </c>
      <c r="DZ35" s="326" t="b">
        <f t="shared" si="64"/>
        <v>0</v>
      </c>
      <c r="EB35" s="326" t="b">
        <f t="shared" si="65"/>
        <v>0</v>
      </c>
      <c r="EC35" s="326" t="str">
        <f t="shared" si="66"/>
        <v/>
      </c>
      <c r="ED35" s="326" t="b">
        <f t="shared" si="67"/>
        <v>0</v>
      </c>
      <c r="EE35" s="326" t="str">
        <f t="shared" si="68"/>
        <v/>
      </c>
      <c r="EF35" s="326" t="b">
        <f t="shared" si="69"/>
        <v>0</v>
      </c>
      <c r="EG35"/>
      <c r="EH35" s="326" t="b">
        <f t="shared" si="70"/>
        <v>0</v>
      </c>
      <c r="EI35" s="326" t="str">
        <f t="shared" si="71"/>
        <v/>
      </c>
      <c r="EJ35" s="326" t="b">
        <f t="shared" si="72"/>
        <v>0</v>
      </c>
      <c r="EK35" s="326" t="str">
        <f t="shared" si="73"/>
        <v/>
      </c>
      <c r="EL35" s="326" t="b">
        <f t="shared" si="74"/>
        <v>0</v>
      </c>
      <c r="EM35"/>
      <c r="EN35" s="326" t="b">
        <f t="shared" si="75"/>
        <v>0</v>
      </c>
      <c r="EO35" s="326" t="str">
        <f t="shared" si="76"/>
        <v/>
      </c>
      <c r="EP35" s="326" t="b">
        <f t="shared" si="77"/>
        <v>0</v>
      </c>
      <c r="EQ35" s="326" t="str">
        <f t="shared" si="78"/>
        <v/>
      </c>
      <c r="ER35" s="326" t="b">
        <f t="shared" si="79"/>
        <v>0</v>
      </c>
      <c r="ES35"/>
      <c r="ET35" s="326" t="b">
        <f t="shared" si="80"/>
        <v>0</v>
      </c>
      <c r="EU35" s="326" t="str">
        <f t="shared" si="81"/>
        <v/>
      </c>
      <c r="EV35" s="326" t="b">
        <f t="shared" si="82"/>
        <v>0</v>
      </c>
      <c r="EW35" s="326" t="str">
        <f t="shared" si="83"/>
        <v/>
      </c>
      <c r="EX35" s="326" t="b">
        <f t="shared" si="84"/>
        <v>0</v>
      </c>
      <c r="EY35"/>
      <c r="EZ35" s="326" t="b">
        <f t="shared" si="85"/>
        <v>0</v>
      </c>
      <c r="FA35" s="326" t="str">
        <f t="shared" si="86"/>
        <v/>
      </c>
      <c r="FB35" s="326" t="b">
        <f t="shared" si="87"/>
        <v>0</v>
      </c>
      <c r="FC35" s="326" t="str">
        <f t="shared" si="88"/>
        <v/>
      </c>
      <c r="FD35" s="326" t="b">
        <f t="shared" si="89"/>
        <v>0</v>
      </c>
      <c r="FE35">
        <f>SUM(CNSIPEE_2024_M2_Secc1!$Y87)</f>
        <v>0</v>
      </c>
      <c r="FF35">
        <f>IF(AND(COUNTA(H35,Z35,AR35,BJ35,CB35)=CNSIPEE_2024_M2_Secc1!$Y87),0,1)</f>
        <v>0</v>
      </c>
      <c r="FG35">
        <f>IF(AND(CNSIPEE_2024_M2_Secc1!$S87&lt;&gt;1,COUNTA(H35:CS35)&gt;0),1,0)</f>
        <v>0</v>
      </c>
      <c r="FH35">
        <f t="shared" si="90"/>
        <v>0</v>
      </c>
      <c r="FI35">
        <f t="shared" si="91"/>
        <v>0</v>
      </c>
      <c r="FJ35">
        <f t="shared" si="92"/>
        <v>0</v>
      </c>
      <c r="FK35">
        <f t="shared" si="93"/>
        <v>0</v>
      </c>
      <c r="FL35">
        <f t="shared" si="94"/>
        <v>0</v>
      </c>
      <c r="FM35">
        <f t="shared" si="95"/>
        <v>0</v>
      </c>
      <c r="FN35">
        <f t="shared" si="96"/>
        <v>0</v>
      </c>
      <c r="FO35">
        <f t="shared" si="97"/>
        <v>0</v>
      </c>
      <c r="FP35">
        <f t="shared" si="98"/>
        <v>0</v>
      </c>
      <c r="FQ35">
        <f t="shared" si="99"/>
        <v>0</v>
      </c>
      <c r="FR35">
        <f t="shared" si="100"/>
        <v>0</v>
      </c>
      <c r="FS35">
        <f t="shared" si="101"/>
        <v>0</v>
      </c>
      <c r="FT35">
        <f t="shared" si="102"/>
        <v>0</v>
      </c>
      <c r="FU35">
        <f t="shared" si="103"/>
        <v>0</v>
      </c>
      <c r="FV35">
        <f t="shared" si="104"/>
        <v>0</v>
      </c>
      <c r="FW35">
        <f t="shared" si="105"/>
        <v>0</v>
      </c>
      <c r="FX35">
        <f t="shared" si="106"/>
        <v>0</v>
      </c>
      <c r="FY35">
        <f t="shared" si="107"/>
        <v>0</v>
      </c>
      <c r="FZ35">
        <f t="shared" si="108"/>
        <v>0</v>
      </c>
      <c r="GA35">
        <f t="shared" si="109"/>
        <v>0</v>
      </c>
      <c r="GB35">
        <f t="shared" si="110"/>
        <v>0</v>
      </c>
      <c r="GC35">
        <f t="shared" si="111"/>
        <v>0</v>
      </c>
      <c r="GD35">
        <f t="shared" si="112"/>
        <v>0</v>
      </c>
      <c r="GE35">
        <f t="shared" si="113"/>
        <v>0</v>
      </c>
      <c r="GF35">
        <f t="shared" si="114"/>
        <v>0</v>
      </c>
      <c r="GG35">
        <f t="shared" si="115"/>
        <v>0</v>
      </c>
      <c r="GH35">
        <f t="shared" si="116"/>
        <v>0</v>
      </c>
      <c r="GI35">
        <f t="shared" si="117"/>
        <v>0</v>
      </c>
      <c r="GJ35">
        <f t="shared" si="118"/>
        <v>0</v>
      </c>
      <c r="GK35">
        <f t="shared" si="119"/>
        <v>0</v>
      </c>
      <c r="GL35">
        <f t="shared" si="120"/>
        <v>0</v>
      </c>
      <c r="GM35">
        <f t="shared" si="121"/>
        <v>0</v>
      </c>
      <c r="GN35">
        <f t="shared" si="122"/>
        <v>0</v>
      </c>
      <c r="GO35">
        <f t="shared" si="123"/>
        <v>0</v>
      </c>
      <c r="GP35">
        <f t="shared" si="124"/>
        <v>0</v>
      </c>
      <c r="GQ35">
        <f t="shared" si="125"/>
        <v>0</v>
      </c>
      <c r="GR35">
        <f t="shared" si="126"/>
        <v>0</v>
      </c>
      <c r="GS35">
        <f t="shared" si="127"/>
        <v>0</v>
      </c>
      <c r="GT35">
        <f t="shared" si="128"/>
        <v>0</v>
      </c>
      <c r="GU35">
        <f t="shared" si="129"/>
        <v>0</v>
      </c>
      <c r="GV35">
        <f t="shared" si="130"/>
        <v>0</v>
      </c>
      <c r="GX35">
        <f t="shared" si="131"/>
        <v>0</v>
      </c>
      <c r="GY35">
        <f t="shared" si="132"/>
        <v>0</v>
      </c>
      <c r="GZ35">
        <f t="shared" si="133"/>
        <v>0</v>
      </c>
      <c r="HA35">
        <f t="shared" si="134"/>
        <v>0</v>
      </c>
      <c r="HB35">
        <f t="shared" si="135"/>
        <v>0</v>
      </c>
      <c r="HC35">
        <f t="shared" si="136"/>
        <v>0</v>
      </c>
      <c r="HD35">
        <f t="shared" si="137"/>
        <v>0</v>
      </c>
      <c r="HE35">
        <f t="shared" si="138"/>
        <v>0</v>
      </c>
      <c r="HF35">
        <f t="shared" si="139"/>
        <v>0</v>
      </c>
      <c r="HG35">
        <f t="shared" si="140"/>
        <v>0</v>
      </c>
      <c r="HH35">
        <f t="shared" si="141"/>
        <v>0</v>
      </c>
      <c r="HI35">
        <f t="shared" si="142"/>
        <v>0</v>
      </c>
      <c r="HJ35">
        <f t="shared" si="143"/>
        <v>0</v>
      </c>
      <c r="HK35">
        <f t="shared" si="144"/>
        <v>0</v>
      </c>
      <c r="HL35">
        <f t="shared" si="145"/>
        <v>0</v>
      </c>
      <c r="HM35" s="253">
        <f t="shared" si="146"/>
        <v>0</v>
      </c>
      <c r="HN35" s="253">
        <f t="shared" si="147"/>
        <v>0</v>
      </c>
      <c r="HO35" s="253">
        <f t="shared" si="148"/>
        <v>0</v>
      </c>
      <c r="HP35" s="253">
        <f t="shared" si="149"/>
        <v>0</v>
      </c>
      <c r="HQ35" s="253">
        <f t="shared" si="150"/>
        <v>0</v>
      </c>
      <c r="HR35" s="253">
        <f t="shared" si="151"/>
        <v>0</v>
      </c>
      <c r="HS35" s="253">
        <f t="shared" si="152"/>
        <v>0</v>
      </c>
      <c r="HT35" s="253">
        <f t="shared" si="153"/>
        <v>0</v>
      </c>
      <c r="HU35" s="253">
        <f t="shared" si="154"/>
        <v>0</v>
      </c>
      <c r="HV35" s="253">
        <f t="shared" si="155"/>
        <v>0</v>
      </c>
      <c r="HW35" s="253">
        <f t="shared" si="156"/>
        <v>0</v>
      </c>
      <c r="HX35" s="253">
        <f t="shared" si="157"/>
        <v>0</v>
      </c>
      <c r="HY35" s="253">
        <f t="shared" si="158"/>
        <v>0</v>
      </c>
      <c r="HZ35" s="253">
        <f t="shared" si="159"/>
        <v>0</v>
      </c>
      <c r="IA35" s="253">
        <f t="shared" si="160"/>
        <v>0</v>
      </c>
      <c r="IB35" s="253">
        <f t="shared" si="161"/>
        <v>0</v>
      </c>
      <c r="IC35" s="253">
        <f t="shared" si="162"/>
        <v>0</v>
      </c>
      <c r="ID35" s="253">
        <f t="shared" si="163"/>
        <v>0</v>
      </c>
      <c r="IE35" s="253">
        <f t="shared" si="164"/>
        <v>0</v>
      </c>
      <c r="IF35" s="253">
        <f t="shared" si="165"/>
        <v>0</v>
      </c>
      <c r="IG35" s="253">
        <f t="shared" si="166"/>
        <v>0</v>
      </c>
      <c r="IH35" s="253">
        <f t="shared" si="167"/>
        <v>0</v>
      </c>
      <c r="II35" s="253">
        <f t="shared" si="168"/>
        <v>0</v>
      </c>
      <c r="IJ35" s="253">
        <f t="shared" si="169"/>
        <v>0</v>
      </c>
      <c r="IK35" s="253">
        <f t="shared" si="170"/>
        <v>0</v>
      </c>
      <c r="IL35" s="253">
        <f t="shared" si="171"/>
        <v>0</v>
      </c>
      <c r="IM35" s="253">
        <f t="shared" si="172"/>
        <v>0</v>
      </c>
      <c r="IN35" s="253">
        <f t="shared" si="173"/>
        <v>0</v>
      </c>
      <c r="IO35" s="253">
        <f t="shared" si="174"/>
        <v>0</v>
      </c>
      <c r="IP35" s="253">
        <f t="shared" si="175"/>
        <v>0</v>
      </c>
      <c r="IQ35" s="253">
        <f t="shared" si="176"/>
        <v>0</v>
      </c>
      <c r="IR35" s="253">
        <f t="shared" si="177"/>
        <v>0</v>
      </c>
      <c r="IS35" s="253">
        <f t="shared" si="178"/>
        <v>0</v>
      </c>
      <c r="IT35" s="253">
        <f t="shared" si="179"/>
        <v>0</v>
      </c>
      <c r="IU35" s="253">
        <f t="shared" si="180"/>
        <v>0</v>
      </c>
      <c r="IV35" s="253">
        <f t="shared" si="181"/>
        <v>0</v>
      </c>
      <c r="IW35" s="253">
        <f t="shared" si="182"/>
        <v>0</v>
      </c>
      <c r="IX35" s="253">
        <f t="shared" si="183"/>
        <v>0</v>
      </c>
      <c r="IY35" s="253">
        <f t="shared" si="184"/>
        <v>0</v>
      </c>
      <c r="IZ35" s="253">
        <f t="shared" si="185"/>
        <v>0</v>
      </c>
    </row>
    <row r="36" spans="1:260">
      <c r="A36" s="228"/>
      <c r="B36" s="70"/>
      <c r="C36" s="44" t="s">
        <v>2523</v>
      </c>
      <c r="D36" s="813" t="str">
        <f>IF(CNSIPEE_2024_M2_Secc1!D49="","",CNSIPEE_2024_M2_Secc1!D49)</f>
        <v/>
      </c>
      <c r="E36" s="814"/>
      <c r="F36" s="814"/>
      <c r="G36" s="815"/>
      <c r="H36" s="949"/>
      <c r="I36" s="949"/>
      <c r="J36" s="949"/>
      <c r="K36" s="949"/>
      <c r="L36" s="949"/>
      <c r="M36" s="949"/>
      <c r="N36" s="949"/>
      <c r="O36" s="949"/>
      <c r="P36" s="1209"/>
      <c r="Q36" s="1209"/>
      <c r="R36" s="1209"/>
      <c r="S36" s="1209"/>
      <c r="T36" s="1209"/>
      <c r="U36" s="1209"/>
      <c r="V36" s="1209"/>
      <c r="W36" s="1209"/>
      <c r="X36" s="1210"/>
      <c r="Y36" s="1210"/>
      <c r="Z36" s="949"/>
      <c r="AA36" s="949"/>
      <c r="AB36" s="949"/>
      <c r="AC36" s="949"/>
      <c r="AD36" s="949"/>
      <c r="AE36" s="949"/>
      <c r="AF36" s="949"/>
      <c r="AG36" s="949"/>
      <c r="AH36" s="1209"/>
      <c r="AI36" s="1209"/>
      <c r="AJ36" s="1209"/>
      <c r="AK36" s="1209"/>
      <c r="AL36" s="1209"/>
      <c r="AM36" s="1209"/>
      <c r="AN36" s="1209"/>
      <c r="AO36" s="1209"/>
      <c r="AP36" s="1210"/>
      <c r="AQ36" s="1210"/>
      <c r="AR36" s="949"/>
      <c r="AS36" s="949"/>
      <c r="AT36" s="949"/>
      <c r="AU36" s="949"/>
      <c r="AV36" s="949"/>
      <c r="AW36" s="949"/>
      <c r="AX36" s="949"/>
      <c r="AY36" s="949"/>
      <c r="AZ36" s="1209"/>
      <c r="BA36" s="1209"/>
      <c r="BB36" s="1209"/>
      <c r="BC36" s="1209"/>
      <c r="BD36" s="1209"/>
      <c r="BE36" s="1209"/>
      <c r="BF36" s="1209"/>
      <c r="BG36" s="1209"/>
      <c r="BH36" s="1210"/>
      <c r="BI36" s="1210"/>
      <c r="BJ36" s="949"/>
      <c r="BK36" s="949"/>
      <c r="BL36" s="949"/>
      <c r="BM36" s="949"/>
      <c r="BN36" s="949"/>
      <c r="BO36" s="949"/>
      <c r="BP36" s="949"/>
      <c r="BQ36" s="949"/>
      <c r="BR36" s="1209"/>
      <c r="BS36" s="1209"/>
      <c r="BT36" s="1209"/>
      <c r="BU36" s="1209"/>
      <c r="BV36" s="1209"/>
      <c r="BW36" s="1209"/>
      <c r="BX36" s="1209"/>
      <c r="BY36" s="1209"/>
      <c r="BZ36" s="1210"/>
      <c r="CA36" s="1210"/>
      <c r="CB36" s="949"/>
      <c r="CC36" s="949"/>
      <c r="CD36" s="949"/>
      <c r="CE36" s="949"/>
      <c r="CF36" s="949"/>
      <c r="CG36" s="949"/>
      <c r="CH36" s="949"/>
      <c r="CI36" s="949"/>
      <c r="CJ36" s="1209"/>
      <c r="CK36" s="1209"/>
      <c r="CL36" s="1209"/>
      <c r="CM36" s="1209"/>
      <c r="CN36" s="1209"/>
      <c r="CO36" s="1209"/>
      <c r="CP36" s="1209"/>
      <c r="CQ36" s="1209"/>
      <c r="CR36" s="1210"/>
      <c r="CS36" s="1210"/>
      <c r="CV36" s="249">
        <f>IF(AND(COUNTBLANK(D36)=0,CNSIPEE_2024_M2_Secc1!$S88&lt;&gt;"",CNSIPEE_2024_M2_Secc1!$S88&lt;&gt;1,COUNTA(H36:CS36)=0),0,IF(AND(COUNTBLANK(D36)=0,CNSIPEE_2024_M2_Secc1!$S88&lt;&gt;"",CNSIPEE_2024_M2_Secc1!$S88=1,FE36=5,FH36=0,COUNTA(H36:Q36)=3,COUNTA(R36:Y36)&gt;0,FI36=0,FJ36=0,FK36=0,FL36=0,COUNTA(Z36:AI36)=3,COUNTA(AJ36:AQ36)&gt;0,FQ36=0,FR36=0,FS36=0,FT36=0,COUNTA(AR36:BA36)=3,COUNTA(BB36:BI36)&gt;0,FY36=0,FZ36=0,GA36=0,GB36=0,COUNTA(BJ36:BS36)=3,COUNTA(BT36:CA36)&gt;0,GG36=0,GH36=0,GI36=0,GJ36=0,COUNTA(CB36:CK36)=3,COUNTA(CL36:CS36)&gt;0,GO36=0,GP36=0,GQ36=0,GR36=0),0,IF(AND(COUNTBLANK(D36)=0,CNSIPEE_2024_M2_Secc1!$S88&lt;&gt;"",CNSIPEE_2024_M2_Secc1!$S88=1,FE36=4,FH36=0,COUNTA(H36:Q36)=3,COUNTA(R36:Y36)&gt;0,FI36=0,FJ36=0,FK36=0,FL36=0,COUNTA(Z36:AI36)=3,COUNTA(AJ36:AQ36)&gt;0,FQ36=0,FR36=0,FS36=0,FT36=0,COUNTA(AR36:BA36)=3,COUNTA(BB36:BI36)&gt;0,FY36=0,FZ36=0,GA36=0,GB36=0),0,IF(AND(COUNTBLANK(D36)=0,CNSIPEE_2024_M2_Secc1!$S88&lt;&gt;"",CNSIPEE_2024_M2_Secc1!$S88=1,FE36=3,FH36=0,COUNTA(H36:Q36)=3,COUNTA(R36:Y36)&gt;0,FI36=0,FJ36=0,FK36=0,FL36=0,COUNTA(Z36:AI36)=3,COUNTA(AJ36:AQ36)&gt;0,FQ36=0,FR36=0,FS36=0,FT36=0,COUNTA(AR36:BA36)=3,COUNTA(BB36:BI36)&gt;0,FY36=0,FZ36=0,GA36=0,GB36=0),0,IF(AND(COUNTBLANK(D36)=0,CNSIPEE_2024_M2_Secc1!$S88&lt;&gt;"",CNSIPEE_2024_M2_Secc1!$S88=1,FE36=2,FH36=0,COUNTA(H36:Q36)=3,COUNTA(R36:Y36)&gt;0,FI36=0,FJ36=0,FK36=0,FL36=0,COUNTA(Z36:AI36)=3,COUNTA(AJ36:AQ36)&gt;0,FQ36=0,FR36=0,FS36=0,FT36=0),0,IF(AND(COUNTBLANK(D36)=0,CNSIPEE_2024_M2_Secc1!$S88&lt;&gt;"",CNSIPEE_2024_M2_Secc1!$S88=1,FE36=1,FH36=0,COUNTA(H36:Q36)=3,COUNTA(R36:Y36)&gt;0,FI36=0,FJ36=0,FK36=0,FL36=0),0,IF(AND(COUNTBLANK(D36)=1,COUNTA(H36:CS36)=0),0,1)))))))</f>
        <v>0</v>
      </c>
      <c r="CW36" s="249">
        <f t="shared" si="39"/>
        <v>0</v>
      </c>
      <c r="CX36" s="326" t="b">
        <f t="shared" si="40"/>
        <v>0</v>
      </c>
      <c r="CY36" s="326" t="str">
        <f t="shared" si="41"/>
        <v/>
      </c>
      <c r="CZ36" s="326" t="b">
        <f t="shared" si="42"/>
        <v>0</v>
      </c>
      <c r="DA36" s="326" t="str">
        <f t="shared" si="43"/>
        <v/>
      </c>
      <c r="DB36" s="326" t="b">
        <f t="shared" si="44"/>
        <v>0</v>
      </c>
      <c r="DC36"/>
      <c r="DD36" s="326" t="b">
        <f t="shared" si="45"/>
        <v>0</v>
      </c>
      <c r="DE36" s="326" t="str">
        <f t="shared" si="46"/>
        <v/>
      </c>
      <c r="DF36" s="326" t="b">
        <f t="shared" si="47"/>
        <v>0</v>
      </c>
      <c r="DG36" s="326" t="str">
        <f t="shared" si="48"/>
        <v/>
      </c>
      <c r="DH36" s="326" t="b">
        <f t="shared" si="49"/>
        <v>0</v>
      </c>
      <c r="DI36"/>
      <c r="DJ36" s="326" t="b">
        <f t="shared" si="50"/>
        <v>0</v>
      </c>
      <c r="DK36" s="326" t="str">
        <f t="shared" si="51"/>
        <v/>
      </c>
      <c r="DL36" s="326" t="b">
        <f t="shared" si="52"/>
        <v>0</v>
      </c>
      <c r="DM36" s="326" t="str">
        <f t="shared" si="53"/>
        <v/>
      </c>
      <c r="DN36" s="326" t="b">
        <f t="shared" si="54"/>
        <v>0</v>
      </c>
      <c r="DO36"/>
      <c r="DP36" s="326" t="b">
        <f t="shared" si="55"/>
        <v>0</v>
      </c>
      <c r="DQ36" s="326" t="str">
        <f t="shared" si="56"/>
        <v/>
      </c>
      <c r="DR36" s="326" t="b">
        <f t="shared" si="57"/>
        <v>0</v>
      </c>
      <c r="DS36" s="326" t="str">
        <f t="shared" si="58"/>
        <v/>
      </c>
      <c r="DT36" s="326" t="b">
        <f t="shared" si="59"/>
        <v>0</v>
      </c>
      <c r="DU36"/>
      <c r="DV36" s="326" t="b">
        <f t="shared" si="60"/>
        <v>0</v>
      </c>
      <c r="DW36" s="326" t="str">
        <f t="shared" si="61"/>
        <v/>
      </c>
      <c r="DX36" s="326" t="b">
        <f t="shared" si="62"/>
        <v>0</v>
      </c>
      <c r="DY36" s="326" t="str">
        <f t="shared" si="63"/>
        <v/>
      </c>
      <c r="DZ36" s="326" t="b">
        <f t="shared" si="64"/>
        <v>0</v>
      </c>
      <c r="EB36" s="326" t="b">
        <f t="shared" si="65"/>
        <v>0</v>
      </c>
      <c r="EC36" s="326" t="str">
        <f t="shared" si="66"/>
        <v/>
      </c>
      <c r="ED36" s="326" t="b">
        <f t="shared" si="67"/>
        <v>0</v>
      </c>
      <c r="EE36" s="326" t="str">
        <f t="shared" si="68"/>
        <v/>
      </c>
      <c r="EF36" s="326" t="b">
        <f t="shared" si="69"/>
        <v>0</v>
      </c>
      <c r="EG36"/>
      <c r="EH36" s="326" t="b">
        <f t="shared" si="70"/>
        <v>0</v>
      </c>
      <c r="EI36" s="326" t="str">
        <f t="shared" si="71"/>
        <v/>
      </c>
      <c r="EJ36" s="326" t="b">
        <f t="shared" si="72"/>
        <v>0</v>
      </c>
      <c r="EK36" s="326" t="str">
        <f t="shared" si="73"/>
        <v/>
      </c>
      <c r="EL36" s="326" t="b">
        <f t="shared" si="74"/>
        <v>0</v>
      </c>
      <c r="EM36"/>
      <c r="EN36" s="326" t="b">
        <f t="shared" si="75"/>
        <v>0</v>
      </c>
      <c r="EO36" s="326" t="str">
        <f t="shared" si="76"/>
        <v/>
      </c>
      <c r="EP36" s="326" t="b">
        <f t="shared" si="77"/>
        <v>0</v>
      </c>
      <c r="EQ36" s="326" t="str">
        <f t="shared" si="78"/>
        <v/>
      </c>
      <c r="ER36" s="326" t="b">
        <f t="shared" si="79"/>
        <v>0</v>
      </c>
      <c r="ES36"/>
      <c r="ET36" s="326" t="b">
        <f t="shared" si="80"/>
        <v>0</v>
      </c>
      <c r="EU36" s="326" t="str">
        <f t="shared" si="81"/>
        <v/>
      </c>
      <c r="EV36" s="326" t="b">
        <f t="shared" si="82"/>
        <v>0</v>
      </c>
      <c r="EW36" s="326" t="str">
        <f t="shared" si="83"/>
        <v/>
      </c>
      <c r="EX36" s="326" t="b">
        <f t="shared" si="84"/>
        <v>0</v>
      </c>
      <c r="EY36"/>
      <c r="EZ36" s="326" t="b">
        <f t="shared" si="85"/>
        <v>0</v>
      </c>
      <c r="FA36" s="326" t="str">
        <f t="shared" si="86"/>
        <v/>
      </c>
      <c r="FB36" s="326" t="b">
        <f t="shared" si="87"/>
        <v>0</v>
      </c>
      <c r="FC36" s="326" t="str">
        <f t="shared" si="88"/>
        <v/>
      </c>
      <c r="FD36" s="326" t="b">
        <f t="shared" si="89"/>
        <v>0</v>
      </c>
      <c r="FE36">
        <f>SUM(CNSIPEE_2024_M2_Secc1!$Y88)</f>
        <v>0</v>
      </c>
      <c r="FF36">
        <f>IF(AND(COUNTA(H36,Z36,AR36,BJ36,CB36)=CNSIPEE_2024_M2_Secc1!$Y88),0,1)</f>
        <v>0</v>
      </c>
      <c r="FG36">
        <f>IF(AND(CNSIPEE_2024_M2_Secc1!$S88&lt;&gt;1,COUNTA(H36:CS36)&gt;0),1,0)</f>
        <v>0</v>
      </c>
      <c r="FH36">
        <f t="shared" si="90"/>
        <v>0</v>
      </c>
      <c r="FI36">
        <f t="shared" si="91"/>
        <v>0</v>
      </c>
      <c r="FJ36">
        <f t="shared" si="92"/>
        <v>0</v>
      </c>
      <c r="FK36">
        <f t="shared" si="93"/>
        <v>0</v>
      </c>
      <c r="FL36">
        <f t="shared" si="94"/>
        <v>0</v>
      </c>
      <c r="FM36">
        <f t="shared" si="95"/>
        <v>0</v>
      </c>
      <c r="FN36">
        <f t="shared" si="96"/>
        <v>0</v>
      </c>
      <c r="FO36">
        <f t="shared" si="97"/>
        <v>0</v>
      </c>
      <c r="FP36">
        <f t="shared" si="98"/>
        <v>0</v>
      </c>
      <c r="FQ36">
        <f t="shared" si="99"/>
        <v>0</v>
      </c>
      <c r="FR36">
        <f t="shared" si="100"/>
        <v>0</v>
      </c>
      <c r="FS36">
        <f t="shared" si="101"/>
        <v>0</v>
      </c>
      <c r="FT36">
        <f t="shared" si="102"/>
        <v>0</v>
      </c>
      <c r="FU36">
        <f t="shared" si="103"/>
        <v>0</v>
      </c>
      <c r="FV36">
        <f t="shared" si="104"/>
        <v>0</v>
      </c>
      <c r="FW36">
        <f t="shared" si="105"/>
        <v>0</v>
      </c>
      <c r="FX36">
        <f t="shared" si="106"/>
        <v>0</v>
      </c>
      <c r="FY36">
        <f t="shared" si="107"/>
        <v>0</v>
      </c>
      <c r="FZ36">
        <f t="shared" si="108"/>
        <v>0</v>
      </c>
      <c r="GA36">
        <f t="shared" si="109"/>
        <v>0</v>
      </c>
      <c r="GB36">
        <f t="shared" si="110"/>
        <v>0</v>
      </c>
      <c r="GC36">
        <f t="shared" si="111"/>
        <v>0</v>
      </c>
      <c r="GD36">
        <f t="shared" si="112"/>
        <v>0</v>
      </c>
      <c r="GE36">
        <f t="shared" si="113"/>
        <v>0</v>
      </c>
      <c r="GF36">
        <f t="shared" si="114"/>
        <v>0</v>
      </c>
      <c r="GG36">
        <f t="shared" si="115"/>
        <v>0</v>
      </c>
      <c r="GH36">
        <f t="shared" si="116"/>
        <v>0</v>
      </c>
      <c r="GI36">
        <f t="shared" si="117"/>
        <v>0</v>
      </c>
      <c r="GJ36">
        <f t="shared" si="118"/>
        <v>0</v>
      </c>
      <c r="GK36">
        <f t="shared" si="119"/>
        <v>0</v>
      </c>
      <c r="GL36">
        <f t="shared" si="120"/>
        <v>0</v>
      </c>
      <c r="GM36">
        <f t="shared" si="121"/>
        <v>0</v>
      </c>
      <c r="GN36">
        <f t="shared" si="122"/>
        <v>0</v>
      </c>
      <c r="GO36">
        <f t="shared" si="123"/>
        <v>0</v>
      </c>
      <c r="GP36">
        <f t="shared" si="124"/>
        <v>0</v>
      </c>
      <c r="GQ36">
        <f t="shared" si="125"/>
        <v>0</v>
      </c>
      <c r="GR36">
        <f t="shared" si="126"/>
        <v>0</v>
      </c>
      <c r="GS36">
        <f t="shared" si="127"/>
        <v>0</v>
      </c>
      <c r="GT36">
        <f t="shared" si="128"/>
        <v>0</v>
      </c>
      <c r="GU36">
        <f t="shared" si="129"/>
        <v>0</v>
      </c>
      <c r="GV36">
        <f t="shared" si="130"/>
        <v>0</v>
      </c>
      <c r="GX36">
        <f t="shared" si="131"/>
        <v>0</v>
      </c>
      <c r="GY36">
        <f t="shared" si="132"/>
        <v>0</v>
      </c>
      <c r="GZ36">
        <f t="shared" si="133"/>
        <v>0</v>
      </c>
      <c r="HA36">
        <f t="shared" si="134"/>
        <v>0</v>
      </c>
      <c r="HB36">
        <f t="shared" si="135"/>
        <v>0</v>
      </c>
      <c r="HC36">
        <f t="shared" si="136"/>
        <v>0</v>
      </c>
      <c r="HD36">
        <f t="shared" si="137"/>
        <v>0</v>
      </c>
      <c r="HE36">
        <f t="shared" si="138"/>
        <v>0</v>
      </c>
      <c r="HF36">
        <f t="shared" si="139"/>
        <v>0</v>
      </c>
      <c r="HG36">
        <f t="shared" si="140"/>
        <v>0</v>
      </c>
      <c r="HH36">
        <f t="shared" si="141"/>
        <v>0</v>
      </c>
      <c r="HI36">
        <f t="shared" si="142"/>
        <v>0</v>
      </c>
      <c r="HJ36">
        <f t="shared" si="143"/>
        <v>0</v>
      </c>
      <c r="HK36">
        <f t="shared" si="144"/>
        <v>0</v>
      </c>
      <c r="HL36">
        <f>IF(AND($CJ36&lt;&gt;"",CP36=""),0,IF(OR($CJ36="NS",CP36="NS"),0,IF(AND($CJ36="NA",CP36="NA"),0,IF(CP36&gt;=$CJ36,0,1))))</f>
        <v>0</v>
      </c>
      <c r="HM36" s="253">
        <f t="shared" si="146"/>
        <v>0</v>
      </c>
      <c r="HN36" s="253">
        <f t="shared" si="147"/>
        <v>0</v>
      </c>
      <c r="HO36" s="253">
        <f t="shared" si="148"/>
        <v>0</v>
      </c>
      <c r="HP36" s="253">
        <f t="shared" si="149"/>
        <v>0</v>
      </c>
      <c r="HQ36" s="253">
        <f t="shared" si="150"/>
        <v>0</v>
      </c>
      <c r="HR36" s="253">
        <f t="shared" si="151"/>
        <v>0</v>
      </c>
      <c r="HS36" s="253">
        <f t="shared" si="152"/>
        <v>0</v>
      </c>
      <c r="HT36" s="253">
        <f t="shared" si="153"/>
        <v>0</v>
      </c>
      <c r="HU36" s="253">
        <f t="shared" si="154"/>
        <v>0</v>
      </c>
      <c r="HV36" s="253">
        <f t="shared" si="155"/>
        <v>0</v>
      </c>
      <c r="HW36" s="253">
        <f t="shared" si="156"/>
        <v>0</v>
      </c>
      <c r="HX36" s="253">
        <f t="shared" si="157"/>
        <v>0</v>
      </c>
      <c r="HY36" s="253">
        <f t="shared" si="158"/>
        <v>0</v>
      </c>
      <c r="HZ36" s="253">
        <f t="shared" si="159"/>
        <v>0</v>
      </c>
      <c r="IA36" s="253">
        <f t="shared" si="160"/>
        <v>0</v>
      </c>
      <c r="IB36" s="253">
        <f t="shared" si="161"/>
        <v>0</v>
      </c>
      <c r="IC36" s="253">
        <f t="shared" si="162"/>
        <v>0</v>
      </c>
      <c r="ID36" s="253">
        <f t="shared" si="163"/>
        <v>0</v>
      </c>
      <c r="IE36" s="253">
        <f t="shared" si="164"/>
        <v>0</v>
      </c>
      <c r="IF36" s="253">
        <f t="shared" si="165"/>
        <v>0</v>
      </c>
      <c r="IG36" s="253">
        <f t="shared" si="166"/>
        <v>0</v>
      </c>
      <c r="IH36" s="253">
        <f t="shared" si="167"/>
        <v>0</v>
      </c>
      <c r="II36" s="253">
        <f t="shared" si="168"/>
        <v>0</v>
      </c>
      <c r="IJ36" s="253">
        <f t="shared" si="169"/>
        <v>0</v>
      </c>
      <c r="IK36" s="253">
        <f t="shared" si="170"/>
        <v>0</v>
      </c>
      <c r="IL36" s="253">
        <f t="shared" si="171"/>
        <v>0</v>
      </c>
      <c r="IM36" s="253">
        <f t="shared" si="172"/>
        <v>0</v>
      </c>
      <c r="IN36" s="253">
        <f t="shared" si="173"/>
        <v>0</v>
      </c>
      <c r="IO36" s="253">
        <f t="shared" si="174"/>
        <v>0</v>
      </c>
      <c r="IP36" s="253">
        <f t="shared" si="175"/>
        <v>0</v>
      </c>
      <c r="IQ36" s="253">
        <f t="shared" si="176"/>
        <v>0</v>
      </c>
      <c r="IR36" s="253">
        <f t="shared" si="177"/>
        <v>0</v>
      </c>
      <c r="IS36" s="253">
        <f t="shared" si="178"/>
        <v>0</v>
      </c>
      <c r="IT36" s="253">
        <f t="shared" si="179"/>
        <v>0</v>
      </c>
      <c r="IU36" s="253">
        <f t="shared" si="180"/>
        <v>0</v>
      </c>
      <c r="IV36" s="253">
        <f t="shared" si="181"/>
        <v>0</v>
      </c>
      <c r="IW36" s="253">
        <f t="shared" si="182"/>
        <v>0</v>
      </c>
      <c r="IX36" s="253">
        <f t="shared" si="183"/>
        <v>0</v>
      </c>
      <c r="IY36" s="253">
        <f t="shared" si="184"/>
        <v>0</v>
      </c>
      <c r="IZ36" s="253">
        <f t="shared" si="185"/>
        <v>0</v>
      </c>
    </row>
    <row r="37" spans="1:260" ht="15.75">
      <c r="B37" s="794" t="str">
        <f>IF(HT38&gt;0,"Favor de ingresar una fecha válida y/o verifique que el formato solicitado esté correcto en la acreditación o certificación 1",IF(IB38&gt;0,"Favor de ingresar una fecha válida y/o verifique que el formato solicitado esté correcto en la acreditación o certificación 2",IF(IJ38&gt;0,"Favor de ingresar una fecha válida y/o verifique que el formato solicitado esté correcto en la acreditación o certificación 3",IF(IR38&gt;0,"Favor de ingresar una fecha válida y/o verifique que el formato solicitado esté correcto en la acreditación o certificación 4",IF(IZ38&gt;0,"Favor de ingresar una fecha válida y/o verifique que el formato solicitado esté correcto en la acreditación o certificación 5","")))))</f>
        <v/>
      </c>
      <c r="C37" s="794"/>
      <c r="D37" s="794"/>
      <c r="E37" s="794"/>
      <c r="F37" s="794"/>
      <c r="G37" s="794"/>
      <c r="H37" s="794"/>
      <c r="I37" s="794"/>
      <c r="J37" s="794"/>
      <c r="K37" s="794"/>
      <c r="L37" s="794"/>
      <c r="M37" s="794"/>
      <c r="N37" s="794"/>
      <c r="O37" s="794"/>
      <c r="P37" s="794"/>
      <c r="Q37" s="794"/>
      <c r="R37" s="794"/>
      <c r="S37" s="794"/>
      <c r="T37" s="794"/>
      <c r="U37" s="794"/>
      <c r="V37" s="794"/>
      <c r="W37" s="794"/>
      <c r="X37" s="794"/>
      <c r="Y37" s="794"/>
      <c r="Z37" s="794"/>
      <c r="AA37" s="794"/>
      <c r="AB37" s="794"/>
      <c r="AC37" s="794"/>
      <c r="AD37" s="794"/>
      <c r="AE37" s="794"/>
      <c r="AF37" s="794"/>
      <c r="AG37" s="794"/>
      <c r="AH37" s="794"/>
      <c r="AI37" s="794"/>
      <c r="AJ37" s="794"/>
      <c r="AK37" s="794"/>
      <c r="AL37" s="794"/>
      <c r="AM37" s="794"/>
      <c r="AN37" s="794"/>
      <c r="AO37" s="794"/>
      <c r="AP37" s="794"/>
      <c r="AQ37" s="794"/>
      <c r="AR37" s="794"/>
      <c r="AS37" s="794"/>
      <c r="AT37" s="794"/>
      <c r="AU37" s="794"/>
      <c r="AV37" s="794"/>
      <c r="AW37" s="794"/>
      <c r="AX37" s="794"/>
      <c r="AY37" s="794"/>
      <c r="AZ37" s="794"/>
      <c r="BA37" s="794"/>
      <c r="BB37" s="794"/>
      <c r="BC37" s="794"/>
      <c r="BD37" s="794"/>
      <c r="BE37" s="794"/>
      <c r="BF37" s="794"/>
      <c r="BG37" s="794"/>
      <c r="BH37" s="794"/>
      <c r="BI37" s="794"/>
      <c r="BJ37" s="794"/>
      <c r="BK37" s="794"/>
      <c r="BL37" s="794"/>
      <c r="BM37" s="794"/>
      <c r="BN37" s="794"/>
      <c r="BO37" s="794"/>
      <c r="BP37" s="794"/>
      <c r="BQ37" s="794"/>
      <c r="BR37" s="794"/>
      <c r="BS37" s="794"/>
      <c r="BT37" s="794"/>
      <c r="BU37" s="794"/>
      <c r="BV37" s="794"/>
      <c r="BW37" s="794"/>
      <c r="BX37" s="794"/>
      <c r="BY37" s="794"/>
      <c r="BZ37" s="794"/>
      <c r="CA37" s="794"/>
      <c r="CB37" s="794"/>
      <c r="CC37" s="794"/>
      <c r="CD37" s="794"/>
      <c r="CE37" s="794"/>
      <c r="CF37" s="794"/>
      <c r="CG37" s="794"/>
      <c r="CH37" s="794"/>
      <c r="CI37" s="794"/>
      <c r="CJ37" s="794"/>
      <c r="CK37" s="794"/>
      <c r="CL37" s="794"/>
      <c r="CM37" s="794"/>
      <c r="CN37" s="794"/>
      <c r="CO37" s="794"/>
      <c r="CP37" s="794"/>
      <c r="CQ37" s="794"/>
      <c r="CR37" s="794"/>
      <c r="CS37" s="794"/>
      <c r="CT37" s="794"/>
      <c r="CV37" s="247">
        <f>SUM(CV29:CV36)</f>
        <v>0</v>
      </c>
      <c r="CW37" s="251">
        <f>SUM(CW29:CW36)</f>
        <v>0</v>
      </c>
      <c r="CX37" s="498">
        <f>COUNTIF(CX29:CX36,TRUE)</f>
        <v>0</v>
      </c>
      <c r="CY37" s="283"/>
      <c r="CZ37" s="498">
        <f>COUNTIF(CZ29:CZ36,TRUE)</f>
        <v>0</v>
      </c>
      <c r="DA37" s="283"/>
      <c r="DB37" s="498">
        <f>COUNTIF(DB29:DB36,TRUE)</f>
        <v>0</v>
      </c>
      <c r="DC37"/>
      <c r="DD37" s="498">
        <f>COUNTIF(DD29:DD36,TRUE)</f>
        <v>0</v>
      </c>
      <c r="DE37" s="283"/>
      <c r="DF37" s="498">
        <f>COUNTIF(DF29:DF36,TRUE)</f>
        <v>0</v>
      </c>
      <c r="DG37" s="283"/>
      <c r="DH37" s="498">
        <f>COUNTIF(DH29:DH36,TRUE)</f>
        <v>0</v>
      </c>
      <c r="DI37"/>
      <c r="DJ37" s="498">
        <f>COUNTIF(DJ29:DJ36,TRUE)</f>
        <v>0</v>
      </c>
      <c r="DK37" s="283"/>
      <c r="DL37" s="498">
        <f>COUNTIF(DL29:DL36,TRUE)</f>
        <v>0</v>
      </c>
      <c r="DM37" s="283"/>
      <c r="DN37" s="498">
        <f>COUNTIF(DN29:DN36,TRUE)</f>
        <v>0</v>
      </c>
      <c r="DO37"/>
      <c r="DP37" s="498">
        <f>COUNTIF(DP29:DP36,TRUE)</f>
        <v>0</v>
      </c>
      <c r="DQ37" s="283"/>
      <c r="DR37" s="498">
        <f>COUNTIF(DR29:DR36,TRUE)</f>
        <v>0</v>
      </c>
      <c r="DS37" s="283"/>
      <c r="DT37" s="498">
        <f>COUNTIF(DT29:DT36,TRUE)</f>
        <v>0</v>
      </c>
      <c r="DU37"/>
      <c r="DV37" s="498">
        <f>COUNTIF(DV29:DV36,TRUE)</f>
        <v>0</v>
      </c>
      <c r="DW37" s="283"/>
      <c r="DX37" s="498">
        <f>COUNTIF(DX29:DX36,TRUE)</f>
        <v>0</v>
      </c>
      <c r="DY37" s="283"/>
      <c r="DZ37" s="498">
        <f>COUNTIF(DZ29:DZ36,TRUE)</f>
        <v>0</v>
      </c>
      <c r="EA37"/>
      <c r="EB37" s="498">
        <f>COUNTIF(EB29:EB36,TRUE)</f>
        <v>0</v>
      </c>
      <c r="EC37" s="283"/>
      <c r="ED37" s="498">
        <f>COUNTIF(ED29:ED36,TRUE)</f>
        <v>0</v>
      </c>
      <c r="EE37" s="283"/>
      <c r="EF37" s="498">
        <f>COUNTIF(EF29:EF36,TRUE)</f>
        <v>0</v>
      </c>
      <c r="EG37"/>
      <c r="EH37" s="498">
        <f>COUNTIF(EH29:EH36,TRUE)</f>
        <v>0</v>
      </c>
      <c r="EI37" s="283"/>
      <c r="EJ37" s="498">
        <f>COUNTIF(EJ29:EJ36,TRUE)</f>
        <v>0</v>
      </c>
      <c r="EK37" s="283"/>
      <c r="EL37" s="498">
        <f>COUNTIF(EL29:EL36,TRUE)</f>
        <v>0</v>
      </c>
      <c r="EM37"/>
      <c r="EN37" s="498">
        <f>COUNTIF(EN29:EN36,TRUE)</f>
        <v>0</v>
      </c>
      <c r="EO37" s="283"/>
      <c r="EP37" s="498">
        <f>COUNTIF(EP29:EP36,TRUE)</f>
        <v>0</v>
      </c>
      <c r="EQ37" s="283"/>
      <c r="ER37" s="498">
        <f>COUNTIF(ER29:ER36,TRUE)</f>
        <v>0</v>
      </c>
      <c r="ES37"/>
      <c r="ET37" s="498">
        <f>COUNTIF(ET29:ET36,TRUE)</f>
        <v>0</v>
      </c>
      <c r="EU37" s="283"/>
      <c r="EV37" s="498">
        <f>COUNTIF(EV29:EV36,TRUE)</f>
        <v>0</v>
      </c>
      <c r="EW37" s="283"/>
      <c r="EX37" s="498">
        <f>COUNTIF(EX29:EX36,TRUE)</f>
        <v>0</v>
      </c>
      <c r="EY37"/>
      <c r="EZ37" s="498">
        <f>COUNTIF(EZ29:EZ36,TRUE)</f>
        <v>0</v>
      </c>
      <c r="FA37" s="283"/>
      <c r="FB37" s="498">
        <f>COUNTIF(FB29:FB36,TRUE)</f>
        <v>0</v>
      </c>
      <c r="FC37" s="283"/>
      <c r="FD37" s="498">
        <f>COUNTIF(FD29:FD36,TRUE)</f>
        <v>0</v>
      </c>
      <c r="FF37" s="621">
        <f>SUM(FF29:FF36)</f>
        <v>0</v>
      </c>
      <c r="FG37" s="622">
        <f>SUM(FG29:FG36)</f>
        <v>0</v>
      </c>
      <c r="FH37" s="591">
        <f>SUM(FH29:FH36)</f>
        <v>0</v>
      </c>
      <c r="FM37" s="552">
        <f>SUM(FM29:FM36)</f>
        <v>0</v>
      </c>
      <c r="FN37" s="553">
        <f>SUM(FN29:FN36)</f>
        <v>0</v>
      </c>
      <c r="FO37" s="554">
        <f>SUM(FO29:FO36)</f>
        <v>0</v>
      </c>
      <c r="FP37" s="555">
        <f>SUM(FP29:FP36)</f>
        <v>0</v>
      </c>
      <c r="FQ37"/>
      <c r="FR37"/>
      <c r="FS37"/>
      <c r="FT37"/>
      <c r="FU37" s="552">
        <f>SUM(FU29:FU36)</f>
        <v>0</v>
      </c>
      <c r="FV37" s="553">
        <f>SUM(FV29:FV36)</f>
        <v>0</v>
      </c>
      <c r="FW37" s="554">
        <f>SUM(FW29:FW36)</f>
        <v>0</v>
      </c>
      <c r="FX37" s="555">
        <f>SUM(FX29:FX36)</f>
        <v>0</v>
      </c>
      <c r="FY37"/>
      <c r="FZ37"/>
      <c r="GA37"/>
      <c r="GB37"/>
      <c r="GC37" s="552">
        <f>SUM(GC29:GC36)</f>
        <v>0</v>
      </c>
      <c r="GD37" s="553">
        <f>SUM(GD29:GD36)</f>
        <v>0</v>
      </c>
      <c r="GE37" s="554">
        <f>SUM(GE29:GE36)</f>
        <v>0</v>
      </c>
      <c r="GF37" s="555">
        <f>SUM(GF29:GF36)</f>
        <v>0</v>
      </c>
      <c r="GG37"/>
      <c r="GH37"/>
      <c r="GI37"/>
      <c r="GJ37"/>
      <c r="GK37" s="552">
        <f>SUM(GK29:GK36)</f>
        <v>0</v>
      </c>
      <c r="GL37" s="553">
        <f>SUM(GL29:GL36)</f>
        <v>0</v>
      </c>
      <c r="GM37" s="554">
        <f>SUM(GM29:GM36)</f>
        <v>0</v>
      </c>
      <c r="GN37" s="555">
        <f>SUM(GN29:GN36)</f>
        <v>0</v>
      </c>
      <c r="GO37"/>
      <c r="GP37"/>
      <c r="GQ37"/>
      <c r="GR37"/>
      <c r="GS37" s="552">
        <f>SUM(GS29:GS36)</f>
        <v>0</v>
      </c>
      <c r="GT37" s="553">
        <f>SUM(GT29:GT36)</f>
        <v>0</v>
      </c>
      <c r="GU37" s="554">
        <f>SUM(GU29:GU36)</f>
        <v>0</v>
      </c>
      <c r="GV37" s="555">
        <f>SUM(GV29:GV36)</f>
        <v>0</v>
      </c>
      <c r="HL37" s="624">
        <f>SUM(GX29:HL36)</f>
        <v>0</v>
      </c>
      <c r="HM37"/>
      <c r="HN37" s="257">
        <f>SUM(HN29:HN36)</f>
        <v>0</v>
      </c>
      <c r="HO37"/>
      <c r="HP37" s="257">
        <f>SUM(HP29:HP36)</f>
        <v>0</v>
      </c>
      <c r="HQ37"/>
      <c r="HR37" s="257">
        <f>SUM(HR29:HR36)</f>
        <v>0</v>
      </c>
      <c r="HS37"/>
      <c r="HT37" s="257">
        <f>SUM(HT29:HT36)</f>
        <v>0</v>
      </c>
      <c r="HU37"/>
      <c r="HV37" s="257">
        <f>SUM(HV29:HV36)</f>
        <v>0</v>
      </c>
      <c r="HW37"/>
      <c r="HX37" s="257">
        <f>SUM(HX29:HX36)</f>
        <v>0</v>
      </c>
      <c r="HY37"/>
      <c r="HZ37" s="257">
        <f>SUM(HZ29:HZ36)</f>
        <v>0</v>
      </c>
      <c r="IA37"/>
      <c r="IB37" s="257">
        <f>SUM(IB29:IB36)</f>
        <v>0</v>
      </c>
      <c r="IC37"/>
      <c r="ID37" s="257">
        <f>SUM(ID29:ID36)</f>
        <v>0</v>
      </c>
      <c r="IE37"/>
      <c r="IF37" s="257">
        <f>SUM(IF29:IF36)</f>
        <v>0</v>
      </c>
      <c r="IG37"/>
      <c r="IH37" s="257">
        <f>SUM(IH29:IH36)</f>
        <v>0</v>
      </c>
      <c r="II37"/>
      <c r="IJ37" s="257">
        <f>SUM(IJ29:IJ36)</f>
        <v>0</v>
      </c>
      <c r="IK37"/>
      <c r="IL37" s="257">
        <f>SUM(IL29:IL36)</f>
        <v>0</v>
      </c>
      <c r="IM37"/>
      <c r="IN37" s="257">
        <f>SUM(IN29:IN36)</f>
        <v>0</v>
      </c>
      <c r="IO37"/>
      <c r="IP37" s="257">
        <f>SUM(IP29:IP36)</f>
        <v>0</v>
      </c>
      <c r="IQ37"/>
      <c r="IR37" s="257">
        <f>SUM(IR29:IR36)</f>
        <v>0</v>
      </c>
      <c r="IS37"/>
      <c r="IT37" s="257">
        <f>SUM(IT29:IT36)</f>
        <v>0</v>
      </c>
      <c r="IU37"/>
      <c r="IV37" s="257">
        <f>SUM(IV29:IV36)</f>
        <v>0</v>
      </c>
      <c r="IW37"/>
      <c r="IX37" s="257">
        <f>SUM(IX29:IX36)</f>
        <v>0</v>
      </c>
      <c r="IY37"/>
      <c r="IZ37" s="257">
        <f>SUM(IZ29:IZ36)</f>
        <v>0</v>
      </c>
    </row>
    <row r="38" spans="1:260" ht="15" customHeight="1">
      <c r="C38" s="754" t="s">
        <v>2611</v>
      </c>
      <c r="D38" s="754"/>
      <c r="E38" s="754"/>
      <c r="F38" s="754"/>
      <c r="G38" s="754"/>
      <c r="H38" s="754"/>
      <c r="I38" s="754"/>
      <c r="J38" s="754"/>
      <c r="K38" s="754"/>
      <c r="L38" s="754"/>
      <c r="M38" s="754"/>
      <c r="N38" s="754"/>
      <c r="O38" s="754"/>
      <c r="P38" s="754"/>
      <c r="Q38" s="754"/>
      <c r="R38" s="754"/>
      <c r="S38" s="754"/>
      <c r="T38" s="754"/>
      <c r="U38" s="754"/>
      <c r="V38" s="754"/>
      <c r="W38" s="754"/>
      <c r="X38" s="754"/>
      <c r="Y38" s="754"/>
      <c r="Z38" s="754"/>
      <c r="AA38" s="754"/>
      <c r="AB38" s="754"/>
      <c r="AC38" s="754"/>
      <c r="AD38" s="754"/>
      <c r="AE38" s="754"/>
      <c r="AF38" s="754"/>
      <c r="AG38" s="754"/>
      <c r="AH38" s="754"/>
      <c r="AI38" s="754"/>
      <c r="AJ38" s="754"/>
      <c r="AK38" s="754"/>
      <c r="AL38" s="754"/>
      <c r="AM38" s="754"/>
      <c r="AN38" s="754"/>
      <c r="AO38" s="754"/>
      <c r="AP38" s="754"/>
      <c r="AQ38" s="754"/>
      <c r="AR38" s="754"/>
      <c r="AS38" s="754"/>
      <c r="AT38" s="754"/>
      <c r="AU38" s="754"/>
      <c r="AV38" s="754"/>
      <c r="AW38" s="754"/>
      <c r="AX38" s="754"/>
      <c r="AY38" s="754"/>
      <c r="AZ38" s="754"/>
      <c r="BA38" s="754"/>
      <c r="BB38" s="754"/>
      <c r="BC38" s="754"/>
      <c r="BD38" s="754"/>
      <c r="BE38" s="754"/>
      <c r="BF38" s="754"/>
      <c r="BG38" s="754"/>
      <c r="BH38" s="754"/>
      <c r="BI38" s="754"/>
      <c r="BJ38" s="754"/>
      <c r="BK38" s="754"/>
      <c r="BL38" s="754"/>
      <c r="BM38" s="754"/>
      <c r="BN38" s="754"/>
      <c r="BO38" s="754"/>
      <c r="BP38" s="754"/>
      <c r="BQ38" s="754"/>
      <c r="BR38" s="754"/>
      <c r="BS38" s="754"/>
      <c r="BT38" s="754"/>
      <c r="BU38" s="754"/>
      <c r="BV38" s="754"/>
      <c r="BW38" s="754"/>
      <c r="BX38" s="754"/>
      <c r="BY38" s="754"/>
      <c r="BZ38" s="754"/>
      <c r="CA38" s="754"/>
      <c r="CB38" s="754"/>
      <c r="CC38" s="754"/>
      <c r="CD38" s="754"/>
      <c r="CE38" s="754"/>
      <c r="CF38" s="754"/>
      <c r="CG38" s="754"/>
      <c r="CH38" s="754"/>
      <c r="CI38" s="754"/>
      <c r="CJ38" s="754"/>
      <c r="CK38" s="754"/>
      <c r="CL38" s="754"/>
      <c r="CM38" s="754"/>
      <c r="CN38" s="754"/>
      <c r="CO38" s="754"/>
      <c r="CP38" s="754"/>
      <c r="CQ38" s="754"/>
      <c r="CR38" s="754"/>
      <c r="CS38" s="754"/>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s="623">
        <f>SUM(FM37:FO37,FU37:FW37,GC37:GE37,GK37:GM37,GS37:GU37)</f>
        <v>0</v>
      </c>
      <c r="HL38"/>
      <c r="HM38"/>
      <c r="HN38"/>
      <c r="HO38"/>
      <c r="HP38"/>
      <c r="HQ38"/>
      <c r="HR38"/>
      <c r="HS38"/>
      <c r="HT38" s="288">
        <f>SUM(HN37,HP37,HR37,HT37)</f>
        <v>0</v>
      </c>
      <c r="HU38"/>
      <c r="HV38"/>
      <c r="HW38"/>
      <c r="HX38"/>
      <c r="HY38"/>
      <c r="HZ38"/>
      <c r="IA38"/>
      <c r="IB38" s="288">
        <f>SUM(HV37,HX37,HZ37,IB37)</f>
        <v>0</v>
      </c>
      <c r="IC38"/>
      <c r="ID38"/>
      <c r="IE38"/>
      <c r="IF38"/>
      <c r="IG38"/>
      <c r="IH38"/>
      <c r="II38"/>
      <c r="IJ38" s="288">
        <f>SUM(ID37,IF37,IH37,IJ37)</f>
        <v>0</v>
      </c>
      <c r="IK38"/>
      <c r="IL38"/>
      <c r="IM38"/>
      <c r="IN38"/>
      <c r="IO38"/>
      <c r="IP38"/>
      <c r="IQ38"/>
      <c r="IR38" s="288">
        <f>SUM(IL37,IN37,IP37,IR37)</f>
        <v>0</v>
      </c>
      <c r="IS38"/>
      <c r="IT38"/>
      <c r="IU38"/>
      <c r="IV38"/>
      <c r="IW38"/>
      <c r="IX38"/>
      <c r="IY38"/>
      <c r="IZ38" s="288">
        <f>SUM(IT37,IV37,IX37,IZ37)</f>
        <v>0</v>
      </c>
    </row>
    <row r="39" spans="1:260" ht="60" customHeight="1">
      <c r="C39" s="851"/>
      <c r="D39" s="851"/>
      <c r="E39" s="851"/>
      <c r="F39" s="851"/>
      <c r="G39" s="851"/>
      <c r="H39" s="851"/>
      <c r="I39" s="851"/>
      <c r="J39" s="851"/>
      <c r="K39" s="851"/>
      <c r="L39" s="851"/>
      <c r="M39" s="851"/>
      <c r="N39" s="851"/>
      <c r="O39" s="851"/>
      <c r="P39" s="851"/>
      <c r="Q39" s="851"/>
      <c r="R39" s="851"/>
      <c r="S39" s="851"/>
      <c r="T39" s="851"/>
      <c r="U39" s="851"/>
      <c r="V39" s="851"/>
      <c r="W39" s="851"/>
      <c r="X39" s="851"/>
      <c r="Y39" s="851"/>
      <c r="Z39" s="851"/>
      <c r="AA39" s="851"/>
      <c r="AB39" s="851"/>
      <c r="AC39" s="851"/>
      <c r="AD39" s="851"/>
      <c r="AE39" s="851"/>
      <c r="AF39" s="851"/>
      <c r="AG39" s="851"/>
      <c r="AH39" s="851"/>
      <c r="AI39" s="851"/>
      <c r="AJ39" s="851"/>
      <c r="AK39" s="851"/>
      <c r="AL39" s="851"/>
      <c r="AM39" s="851"/>
      <c r="AN39" s="851"/>
      <c r="AO39" s="851"/>
      <c r="AP39" s="851"/>
      <c r="AQ39" s="851"/>
      <c r="AR39" s="851"/>
      <c r="AS39" s="851"/>
      <c r="AT39" s="851"/>
      <c r="AU39" s="851"/>
      <c r="AV39" s="851"/>
      <c r="AW39" s="851"/>
      <c r="AX39" s="851"/>
      <c r="AY39" s="851"/>
      <c r="AZ39" s="851"/>
      <c r="BA39" s="851"/>
      <c r="BB39" s="851"/>
      <c r="BC39" s="851"/>
      <c r="BD39" s="851"/>
      <c r="BE39" s="851"/>
      <c r="BF39" s="851"/>
      <c r="BG39" s="851"/>
      <c r="BH39" s="851"/>
      <c r="BI39" s="851"/>
      <c r="BJ39" s="851"/>
      <c r="BK39" s="851"/>
      <c r="BL39" s="851"/>
      <c r="BM39" s="851"/>
      <c r="BN39" s="851"/>
      <c r="BO39" s="851"/>
      <c r="BP39" s="851"/>
      <c r="BQ39" s="851"/>
      <c r="BR39" s="851"/>
      <c r="BS39" s="851"/>
      <c r="BT39" s="851"/>
      <c r="BU39" s="851"/>
      <c r="BV39" s="851"/>
      <c r="BW39" s="851"/>
      <c r="BX39" s="851"/>
      <c r="BY39" s="851"/>
      <c r="BZ39" s="851"/>
      <c r="CA39" s="851"/>
      <c r="CB39" s="851"/>
      <c r="CC39" s="851"/>
      <c r="CD39" s="851"/>
      <c r="CE39" s="851"/>
      <c r="CF39" s="851"/>
      <c r="CG39" s="851"/>
      <c r="CH39" s="851"/>
      <c r="CI39" s="851"/>
      <c r="CJ39" s="851"/>
      <c r="CK39" s="851"/>
      <c r="CL39" s="851"/>
      <c r="CM39" s="851"/>
      <c r="CN39" s="851"/>
      <c r="CO39" s="851"/>
      <c r="CP39" s="851"/>
      <c r="CQ39" s="851"/>
      <c r="CR39" s="851"/>
      <c r="CS39" s="851"/>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s="498">
        <f>SUM(CX37,CZ37,DB37,DD37,DF37,DH37,DJ37,DL37,DN37,DP37,DR37,DT37,DV37,DX37,DZ37,EB37,ED37,EF37,EH37,EJ37,EL37,EN37,EP37,ER37,ET37,EV37,EX37,EZ37,FB37,FD37)</f>
        <v>0</v>
      </c>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s="623">
        <f>SUM(FP37,FX37,GF37,GN37,GV37)</f>
        <v>0</v>
      </c>
    </row>
    <row r="40" spans="1:260" ht="15" customHeight="1">
      <c r="B40" s="794" t="str">
        <f>IF(CV37&gt;0,"Favor de ingresar toda la información requerida en la pregunta y/o verifique que no tenga información en celdas sombreadas","")</f>
        <v/>
      </c>
      <c r="C40" s="794"/>
      <c r="D40" s="794"/>
      <c r="E40" s="794"/>
      <c r="F40" s="794"/>
      <c r="G40" s="794"/>
      <c r="H40" s="794"/>
      <c r="I40" s="794"/>
      <c r="J40" s="794"/>
      <c r="K40" s="794"/>
      <c r="L40" s="794"/>
      <c r="M40" s="794"/>
      <c r="N40" s="794"/>
      <c r="O40" s="794"/>
      <c r="P40" s="794"/>
      <c r="Q40" s="794"/>
      <c r="R40" s="794"/>
      <c r="S40" s="794"/>
      <c r="T40" s="794"/>
      <c r="U40" s="794"/>
      <c r="V40" s="794"/>
      <c r="W40" s="794"/>
      <c r="X40" s="794"/>
      <c r="Y40" s="794"/>
      <c r="Z40" s="794"/>
      <c r="AA40" s="794"/>
      <c r="AB40" s="794"/>
      <c r="AC40" s="794"/>
      <c r="AD40" s="794"/>
      <c r="AE40" s="794"/>
      <c r="AF40" s="794"/>
      <c r="AG40" s="794"/>
      <c r="AH40" s="794"/>
      <c r="AI40" s="794"/>
      <c r="AJ40" s="794"/>
      <c r="AK40" s="794"/>
      <c r="AL40" s="794"/>
      <c r="AM40" s="794"/>
      <c r="AN40" s="794"/>
      <c r="AO40" s="794"/>
      <c r="AP40" s="794"/>
      <c r="AQ40" s="794"/>
      <c r="AR40" s="794"/>
      <c r="AS40" s="794"/>
      <c r="AT40" s="794"/>
      <c r="AU40" s="794"/>
      <c r="AV40" s="794"/>
      <c r="AW40" s="794"/>
      <c r="AX40" s="794"/>
      <c r="AY40" s="794"/>
      <c r="AZ40" s="794"/>
      <c r="BA40" s="794"/>
      <c r="BB40" s="794"/>
      <c r="BC40" s="794"/>
      <c r="BD40" s="794"/>
      <c r="BE40" s="794"/>
      <c r="BF40" s="794"/>
      <c r="BG40" s="794"/>
      <c r="BH40" s="794"/>
      <c r="BI40" s="794"/>
      <c r="BJ40" s="794"/>
      <c r="BK40" s="794"/>
      <c r="BL40" s="794"/>
      <c r="BM40" s="794"/>
      <c r="BN40" s="794"/>
      <c r="BO40" s="794"/>
      <c r="BP40" s="794"/>
      <c r="BQ40" s="794"/>
      <c r="BR40" s="794"/>
      <c r="BS40" s="794"/>
      <c r="BT40" s="794"/>
      <c r="BU40" s="794"/>
      <c r="BV40" s="794"/>
      <c r="BW40" s="794"/>
      <c r="BX40" s="794"/>
      <c r="BY40" s="794"/>
      <c r="BZ40" s="794"/>
      <c r="CA40" s="794"/>
      <c r="CB40" s="794"/>
      <c r="CC40" s="794"/>
      <c r="CD40" s="794"/>
      <c r="CE40" s="794"/>
      <c r="CF40" s="794"/>
      <c r="CG40" s="794"/>
      <c r="CH40" s="794"/>
      <c r="CI40" s="794"/>
      <c r="CJ40" s="794"/>
      <c r="CK40" s="794"/>
      <c r="CL40" s="794"/>
      <c r="CM40" s="794"/>
      <c r="CN40" s="794"/>
      <c r="CO40" s="794"/>
      <c r="CP40" s="794"/>
      <c r="CQ40" s="794"/>
      <c r="CR40" s="794"/>
      <c r="CS40" s="625"/>
    </row>
    <row r="41" spans="1:260" ht="15" customHeight="1">
      <c r="B41" s="795" t="str">
        <f>IF(CW37&gt;0,"Alerta: debido a que cuenta con registros NS, debe proporcionar una justificación en el area de comentarios al final de la pregunta","")</f>
        <v/>
      </c>
      <c r="C41" s="795"/>
      <c r="D41" s="795"/>
      <c r="E41" s="795"/>
      <c r="F41" s="795"/>
      <c r="G41" s="795"/>
      <c r="H41" s="795"/>
      <c r="I41" s="795"/>
      <c r="J41" s="795"/>
      <c r="K41" s="795"/>
      <c r="L41" s="795"/>
      <c r="M41" s="795"/>
      <c r="N41" s="795"/>
      <c r="O41" s="795"/>
      <c r="P41" s="795"/>
      <c r="Q41" s="795"/>
      <c r="R41" s="795"/>
      <c r="S41" s="795"/>
      <c r="T41" s="795"/>
      <c r="U41" s="795"/>
      <c r="V41" s="795"/>
      <c r="W41" s="795"/>
      <c r="X41" s="795"/>
      <c r="Y41" s="795"/>
      <c r="Z41" s="795"/>
      <c r="AA41" s="795"/>
      <c r="AB41" s="795"/>
      <c r="AC41" s="795"/>
      <c r="AD41" s="795"/>
      <c r="AE41" s="795"/>
      <c r="AF41" s="795"/>
      <c r="AG41" s="795"/>
      <c r="AH41" s="795"/>
      <c r="AI41" s="795"/>
      <c r="AJ41" s="795"/>
      <c r="AK41" s="795"/>
      <c r="AL41" s="795"/>
      <c r="AM41" s="795"/>
      <c r="AN41" s="795"/>
      <c r="AO41" s="795"/>
      <c r="AP41" s="795"/>
      <c r="AQ41" s="795"/>
      <c r="AR41" s="795"/>
      <c r="AS41" s="795"/>
      <c r="AT41" s="795"/>
      <c r="AU41" s="795"/>
      <c r="AV41" s="795"/>
      <c r="AW41" s="795"/>
      <c r="AX41" s="795"/>
      <c r="AY41" s="795"/>
      <c r="AZ41" s="795"/>
      <c r="BA41" s="795"/>
      <c r="BB41" s="795"/>
      <c r="BC41" s="795"/>
      <c r="BD41" s="795"/>
      <c r="BE41" s="795"/>
      <c r="BF41" s="795"/>
      <c r="BG41" s="795"/>
      <c r="BH41" s="795"/>
      <c r="BI41" s="795"/>
      <c r="BJ41" s="795"/>
      <c r="BK41" s="795"/>
      <c r="BL41" s="795"/>
      <c r="BM41" s="795"/>
      <c r="BN41" s="795"/>
      <c r="BO41" s="795"/>
      <c r="BP41" s="795"/>
      <c r="BQ41" s="795"/>
      <c r="BR41" s="795"/>
      <c r="BS41" s="795"/>
      <c r="BT41" s="795"/>
      <c r="BU41" s="795"/>
      <c r="BV41" s="795"/>
      <c r="BW41" s="795"/>
      <c r="BX41" s="795"/>
      <c r="BY41" s="795"/>
      <c r="BZ41" s="795"/>
      <c r="CA41" s="795"/>
      <c r="CB41" s="795"/>
      <c r="CC41" s="795"/>
      <c r="CD41" s="795"/>
      <c r="CE41" s="795"/>
      <c r="CF41" s="795"/>
      <c r="CG41" s="795"/>
      <c r="CH41" s="795"/>
      <c r="CI41" s="795"/>
      <c r="CJ41" s="795"/>
      <c r="CK41" s="795"/>
      <c r="CL41" s="795"/>
      <c r="CM41" s="795"/>
      <c r="CN41" s="795"/>
      <c r="CO41" s="795"/>
      <c r="CP41" s="795"/>
      <c r="CQ41" s="795"/>
      <c r="CR41" s="795"/>
      <c r="CS41" s="795"/>
    </row>
    <row r="42" spans="1:260" ht="15" customHeight="1">
      <c r="B42" s="1003" t="str">
        <f>IF(FD39=0,"","El nombre debe registrarse en mayúsculas, sin comillas ni signos de acentuación, puntuación, paréntesis y abreviaturas")</f>
        <v/>
      </c>
      <c r="C42" s="1003"/>
      <c r="D42" s="1003"/>
      <c r="E42" s="1003"/>
      <c r="F42" s="1003"/>
      <c r="G42" s="1003"/>
      <c r="H42" s="1003"/>
      <c r="I42" s="1003"/>
      <c r="J42" s="1003"/>
      <c r="K42" s="1003"/>
      <c r="L42" s="1003"/>
      <c r="M42" s="1003"/>
      <c r="N42" s="1003"/>
      <c r="O42" s="1003"/>
      <c r="P42" s="1003"/>
      <c r="Q42" s="1003"/>
      <c r="R42" s="1003"/>
      <c r="S42" s="1003"/>
      <c r="T42" s="1003"/>
      <c r="U42" s="1003"/>
      <c r="V42" s="1003"/>
      <c r="W42" s="1003"/>
      <c r="X42" s="1003"/>
      <c r="Y42" s="1003"/>
      <c r="Z42" s="1003"/>
      <c r="AA42" s="1003"/>
      <c r="AB42" s="1003"/>
      <c r="AC42" s="1003"/>
      <c r="AD42" s="1003"/>
      <c r="AE42" s="1003"/>
      <c r="AF42" s="1003"/>
      <c r="AG42" s="1003"/>
      <c r="AH42" s="1003"/>
      <c r="AI42" s="1003"/>
      <c r="AJ42" s="1003"/>
      <c r="AK42" s="1003"/>
      <c r="AL42" s="1003"/>
      <c r="AM42" s="1003"/>
      <c r="AN42" s="1003"/>
      <c r="AO42" s="1003"/>
      <c r="AP42" s="1003"/>
      <c r="AQ42" s="1003"/>
      <c r="AR42" s="1003"/>
      <c r="AS42" s="1003"/>
      <c r="AT42" s="1003"/>
      <c r="AU42" s="1003"/>
      <c r="AV42" s="1003"/>
      <c r="AW42" s="1003"/>
      <c r="AX42" s="1003"/>
      <c r="AY42" s="1003"/>
      <c r="AZ42" s="1003"/>
      <c r="BA42" s="1003"/>
      <c r="BB42" s="1003"/>
      <c r="BC42" s="1003"/>
      <c r="BD42" s="1003"/>
      <c r="BE42" s="1003"/>
      <c r="BF42" s="1003"/>
      <c r="BG42" s="1003"/>
      <c r="BH42" s="1003"/>
      <c r="BI42" s="1003"/>
      <c r="BJ42" s="1003"/>
      <c r="BK42" s="1003"/>
      <c r="BL42" s="1003"/>
      <c r="BM42" s="1003"/>
      <c r="BN42" s="1003"/>
      <c r="BO42" s="1003"/>
      <c r="BP42" s="1003"/>
      <c r="BQ42" s="1003"/>
      <c r="BR42" s="1003"/>
      <c r="BS42" s="1003"/>
      <c r="BT42" s="1003"/>
      <c r="BU42" s="1003"/>
      <c r="BV42" s="1003"/>
      <c r="BW42" s="1003"/>
      <c r="BX42" s="1003"/>
      <c r="BY42" s="1003"/>
      <c r="BZ42" s="1003"/>
      <c r="CA42" s="1003"/>
      <c r="CB42" s="1003"/>
      <c r="CC42" s="1003"/>
      <c r="CD42" s="1003"/>
      <c r="CE42" s="1003"/>
      <c r="CF42" s="1003"/>
      <c r="CG42" s="1003"/>
      <c r="CH42" s="1003"/>
      <c r="CI42" s="1003"/>
      <c r="CJ42" s="1003"/>
      <c r="CK42" s="1003"/>
      <c r="CL42" s="1003"/>
      <c r="CM42" s="1003"/>
      <c r="CN42" s="1003"/>
      <c r="CO42" s="1003"/>
      <c r="CP42" s="1003"/>
      <c r="CQ42" s="1003"/>
      <c r="CR42" s="1003"/>
      <c r="CS42" s="1003"/>
    </row>
    <row r="43" spans="1:260" ht="15" customHeight="1">
      <c r="B43" s="794" t="str">
        <f>IF(FH37&gt;0,"Para cada centro penitenciario la cantidad de acreditaciones debe de ser igual a la cantidad registrada en la col. Certificaciones o acreditaciones de la pregunta 1.3","")</f>
        <v/>
      </c>
      <c r="C43" s="794"/>
      <c r="D43" s="794"/>
      <c r="E43" s="794"/>
      <c r="F43" s="794"/>
      <c r="G43" s="794"/>
      <c r="H43" s="794"/>
      <c r="I43" s="794"/>
      <c r="J43" s="794"/>
      <c r="K43" s="794"/>
      <c r="L43" s="794"/>
      <c r="M43" s="794"/>
      <c r="N43" s="794"/>
      <c r="O43" s="794"/>
      <c r="P43" s="794"/>
      <c r="Q43" s="794"/>
      <c r="R43" s="794"/>
      <c r="S43" s="794"/>
      <c r="T43" s="794"/>
      <c r="U43" s="794"/>
      <c r="V43" s="794"/>
      <c r="W43" s="794"/>
      <c r="X43" s="794"/>
      <c r="Y43" s="794"/>
      <c r="Z43" s="794"/>
      <c r="AA43" s="794"/>
      <c r="AB43" s="794"/>
      <c r="AC43" s="794"/>
      <c r="AD43" s="794"/>
      <c r="AE43" s="794"/>
      <c r="AF43" s="794"/>
      <c r="AG43" s="794"/>
      <c r="AH43" s="794"/>
      <c r="AI43" s="794"/>
      <c r="AJ43" s="794"/>
      <c r="AK43" s="794"/>
      <c r="AL43" s="794"/>
      <c r="AM43" s="794"/>
      <c r="AN43" s="794"/>
      <c r="AO43" s="794"/>
      <c r="AP43" s="794"/>
      <c r="AQ43" s="794"/>
      <c r="AR43" s="794"/>
      <c r="AS43" s="794"/>
      <c r="AT43" s="794"/>
      <c r="AU43" s="794"/>
      <c r="AV43" s="794"/>
      <c r="AW43" s="794"/>
      <c r="AX43" s="794"/>
      <c r="AY43" s="794"/>
      <c r="AZ43" s="794"/>
      <c r="BA43" s="794"/>
      <c r="BB43" s="794"/>
      <c r="BC43" s="794"/>
      <c r="BD43" s="794"/>
      <c r="BE43" s="794"/>
      <c r="BF43" s="794"/>
      <c r="BG43" s="794"/>
      <c r="BH43" s="794"/>
      <c r="BI43" s="794"/>
      <c r="BJ43" s="794"/>
      <c r="BK43" s="794"/>
      <c r="BL43" s="794"/>
      <c r="BM43" s="794"/>
      <c r="BN43" s="794"/>
      <c r="BO43" s="794"/>
      <c r="BP43" s="794"/>
      <c r="BQ43" s="794"/>
      <c r="BR43" s="794"/>
      <c r="BS43" s="794"/>
      <c r="BT43" s="794"/>
      <c r="BU43" s="794"/>
      <c r="BV43" s="794"/>
      <c r="BW43" s="794"/>
      <c r="BX43" s="794"/>
      <c r="BY43" s="794"/>
      <c r="BZ43" s="794"/>
      <c r="CA43" s="794"/>
      <c r="CB43" s="794"/>
      <c r="CC43" s="794"/>
      <c r="CD43" s="794"/>
      <c r="CE43" s="794"/>
      <c r="CF43" s="794"/>
      <c r="CG43" s="794"/>
      <c r="CH43" s="794"/>
      <c r="CI43" s="794"/>
      <c r="CJ43" s="794"/>
      <c r="CK43" s="794"/>
      <c r="CL43" s="794"/>
      <c r="CM43" s="794"/>
      <c r="CN43" s="794"/>
      <c r="CO43" s="794"/>
      <c r="CP43" s="794"/>
      <c r="CQ43" s="794"/>
      <c r="CR43" s="794"/>
      <c r="CS43" s="794"/>
    </row>
    <row r="44" spans="1:260" ht="15" customHeight="1">
      <c r="B44" s="795" t="str">
        <f>IF(HL37&gt;0,"Alerta: Debe de proporcionar una justificación ya que en el año registrado en la col. Año de vencimiento es menor a lo registrado en la col. Año de entrada en vigor ","")</f>
        <v/>
      </c>
      <c r="C44" s="795"/>
      <c r="D44" s="795"/>
      <c r="E44" s="795"/>
      <c r="F44" s="795"/>
      <c r="G44" s="795"/>
      <c r="H44" s="795"/>
      <c r="I44" s="795"/>
      <c r="J44" s="795"/>
      <c r="K44" s="795"/>
      <c r="L44" s="795"/>
      <c r="M44" s="795"/>
      <c r="N44" s="795"/>
      <c r="O44" s="795"/>
      <c r="P44" s="795"/>
      <c r="Q44" s="795"/>
      <c r="R44" s="795"/>
      <c r="S44" s="795"/>
      <c r="T44" s="795"/>
      <c r="U44" s="795"/>
      <c r="V44" s="795"/>
      <c r="W44" s="795"/>
      <c r="X44" s="795"/>
      <c r="Y44" s="795"/>
      <c r="Z44" s="795"/>
      <c r="AA44" s="795"/>
      <c r="AB44" s="795"/>
      <c r="AC44" s="795"/>
      <c r="AD44" s="795"/>
      <c r="AE44" s="795"/>
      <c r="AF44" s="795"/>
      <c r="AG44" s="795"/>
      <c r="AH44" s="795"/>
      <c r="AI44" s="795"/>
      <c r="AJ44" s="795"/>
      <c r="AK44" s="795"/>
      <c r="AL44" s="795"/>
      <c r="AM44" s="795"/>
      <c r="AN44" s="795"/>
      <c r="AO44" s="795"/>
      <c r="AP44" s="795"/>
      <c r="AQ44" s="795"/>
      <c r="AR44" s="795"/>
      <c r="AS44" s="795"/>
      <c r="AT44" s="795"/>
      <c r="AU44" s="795"/>
      <c r="AV44" s="795"/>
      <c r="AW44" s="795"/>
      <c r="AX44" s="795"/>
      <c r="AY44" s="795"/>
      <c r="AZ44" s="795"/>
      <c r="BA44" s="795"/>
      <c r="BB44" s="795"/>
      <c r="BC44" s="795"/>
      <c r="BD44" s="795"/>
      <c r="BE44" s="795"/>
      <c r="BF44" s="795"/>
      <c r="BG44" s="795"/>
      <c r="BH44" s="795"/>
      <c r="BI44" s="795"/>
      <c r="BJ44" s="795"/>
      <c r="BK44" s="795"/>
      <c r="BL44" s="795"/>
      <c r="BM44" s="795"/>
      <c r="BN44" s="795"/>
      <c r="BO44" s="795"/>
      <c r="BP44" s="795"/>
      <c r="BQ44" s="795"/>
      <c r="BR44" s="795"/>
      <c r="BS44" s="795"/>
      <c r="BT44" s="795"/>
      <c r="BU44" s="795"/>
      <c r="BV44" s="795"/>
      <c r="BW44" s="795"/>
      <c r="BX44" s="795"/>
      <c r="BY44" s="795"/>
      <c r="BZ44" s="795"/>
      <c r="CA44" s="795"/>
      <c r="CB44" s="795"/>
      <c r="CC44" s="795"/>
      <c r="CD44" s="795"/>
      <c r="CE44" s="795"/>
      <c r="CF44" s="795"/>
      <c r="CG44" s="795"/>
      <c r="CH44" s="795"/>
      <c r="CI44" s="795"/>
      <c r="CJ44" s="795"/>
      <c r="CK44" s="795"/>
      <c r="CL44" s="795"/>
      <c r="CM44" s="795"/>
      <c r="CN44" s="795"/>
      <c r="CO44" s="795"/>
      <c r="CP44" s="795"/>
      <c r="CQ44" s="795"/>
      <c r="CR44" s="795"/>
      <c r="CS44" s="795"/>
    </row>
    <row r="45" spans="1:260" ht="15" customHeight="1">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row>
  </sheetData>
  <sheetProtection algorithmName="SHA-512" hashValue="b/j3tFf5+b0T6Pl/Rsg3SoAsRM9ZecHgt1PFSrfPfR4/xwFpN4OrJgKTfzobv/pQCfF5T9826lcQUGDhDUvkhA==" saltValue="DshrgJAiFrqxPC5AmYg84w==" spinCount="100000" sheet="1" objects="1" scenarios="1"/>
  <mergeCells count="414">
    <mergeCell ref="B42:CS42"/>
    <mergeCell ref="B43:CS43"/>
    <mergeCell ref="B44:CS44"/>
    <mergeCell ref="B37:CT37"/>
    <mergeCell ref="IW27:IX27"/>
    <mergeCell ref="IY27:IZ27"/>
    <mergeCell ref="GX28:GZ28"/>
    <mergeCell ref="HA28:HC28"/>
    <mergeCell ref="HD28:HF28"/>
    <mergeCell ref="HG28:HI28"/>
    <mergeCell ref="HJ28:HL28"/>
    <mergeCell ref="B40:CR40"/>
    <mergeCell ref="B41:CS41"/>
    <mergeCell ref="FI27:FP27"/>
    <mergeCell ref="FQ27:FX27"/>
    <mergeCell ref="FY27:GF27"/>
    <mergeCell ref="GG27:GN27"/>
    <mergeCell ref="GO27:GV27"/>
    <mergeCell ref="CF27:CI28"/>
    <mergeCell ref="CJ27:CK28"/>
    <mergeCell ref="CL27:CS27"/>
    <mergeCell ref="R28:S28"/>
    <mergeCell ref="T28:U28"/>
    <mergeCell ref="V28:W28"/>
    <mergeCell ref="IS26:IZ26"/>
    <mergeCell ref="GX27:GZ27"/>
    <mergeCell ref="HA27:HC27"/>
    <mergeCell ref="HD27:HF27"/>
    <mergeCell ref="HG27:HI27"/>
    <mergeCell ref="HJ27:HL27"/>
    <mergeCell ref="HM27:HN27"/>
    <mergeCell ref="HO27:HP27"/>
    <mergeCell ref="HQ27:HR27"/>
    <mergeCell ref="HS27:HT27"/>
    <mergeCell ref="HU27:HV27"/>
    <mergeCell ref="HW27:HX27"/>
    <mergeCell ref="HY27:HZ27"/>
    <mergeCell ref="IA27:IB27"/>
    <mergeCell ref="IC27:ID27"/>
    <mergeCell ref="IE27:IF27"/>
    <mergeCell ref="IG27:IH27"/>
    <mergeCell ref="II27:IJ27"/>
    <mergeCell ref="IK27:IL27"/>
    <mergeCell ref="IM27:IN27"/>
    <mergeCell ref="IO27:IP27"/>
    <mergeCell ref="IQ27:IR27"/>
    <mergeCell ref="IS27:IT27"/>
    <mergeCell ref="IU27:IV27"/>
    <mergeCell ref="HM26:HT26"/>
    <mergeCell ref="HU26:IB26"/>
    <mergeCell ref="IC26:IJ26"/>
    <mergeCell ref="IK26:IR26"/>
    <mergeCell ref="CX25:DZ26"/>
    <mergeCell ref="CX27:DB27"/>
    <mergeCell ref="DD27:DH27"/>
    <mergeCell ref="DJ27:DN27"/>
    <mergeCell ref="DP27:DT27"/>
    <mergeCell ref="DV27:DZ27"/>
    <mergeCell ref="EB25:FD26"/>
    <mergeCell ref="EB27:EF27"/>
    <mergeCell ref="EH27:EL27"/>
    <mergeCell ref="EN27:ER27"/>
    <mergeCell ref="ET27:EX27"/>
    <mergeCell ref="EZ27:FD27"/>
    <mergeCell ref="C23:CS23"/>
    <mergeCell ref="C14:CS14"/>
    <mergeCell ref="C15:CS15"/>
    <mergeCell ref="C16:CS16"/>
    <mergeCell ref="C17:CS17"/>
    <mergeCell ref="C18:CS18"/>
    <mergeCell ref="C19:CS19"/>
    <mergeCell ref="D20:CS20"/>
    <mergeCell ref="D21:CS21"/>
    <mergeCell ref="D22:CS22"/>
    <mergeCell ref="CP10:CS10"/>
    <mergeCell ref="B1:CS1"/>
    <mergeCell ref="B3:CS3"/>
    <mergeCell ref="B5:CS5"/>
    <mergeCell ref="CP7:CS7"/>
    <mergeCell ref="B8:L8"/>
    <mergeCell ref="N8:O8"/>
    <mergeCell ref="B12:CS12"/>
    <mergeCell ref="C13:CS13"/>
    <mergeCell ref="C24:CS24"/>
    <mergeCell ref="C26:G28"/>
    <mergeCell ref="H26:Y26"/>
    <mergeCell ref="Z26:AQ26"/>
    <mergeCell ref="AR26:BI26"/>
    <mergeCell ref="BJ26:CA26"/>
    <mergeCell ref="CB26:CS26"/>
    <mergeCell ref="H27:K28"/>
    <mergeCell ref="L27:O28"/>
    <mergeCell ref="P27:Q28"/>
    <mergeCell ref="R27:Y27"/>
    <mergeCell ref="Z27:AC28"/>
    <mergeCell ref="AD27:AG28"/>
    <mergeCell ref="AH27:AI28"/>
    <mergeCell ref="AJ27:AQ27"/>
    <mergeCell ref="AR27:AU28"/>
    <mergeCell ref="AV27:AY28"/>
    <mergeCell ref="AZ27:BA28"/>
    <mergeCell ref="BB27:BI27"/>
    <mergeCell ref="BJ27:BM28"/>
    <mergeCell ref="BN27:BQ28"/>
    <mergeCell ref="BR27:BS28"/>
    <mergeCell ref="BT27:CA27"/>
    <mergeCell ref="CB27:CE28"/>
    <mergeCell ref="X28:Y28"/>
    <mergeCell ref="AJ28:AK28"/>
    <mergeCell ref="AL28:AM28"/>
    <mergeCell ref="AN28:AO28"/>
    <mergeCell ref="AP28:AQ28"/>
    <mergeCell ref="BB28:BC28"/>
    <mergeCell ref="BD28:BE28"/>
    <mergeCell ref="BF28:BG28"/>
    <mergeCell ref="BH28:BI28"/>
    <mergeCell ref="BT28:BU28"/>
    <mergeCell ref="BV28:BW28"/>
    <mergeCell ref="BX28:BY28"/>
    <mergeCell ref="BZ28:CA28"/>
    <mergeCell ref="CL28:CM28"/>
    <mergeCell ref="CN28:CO28"/>
    <mergeCell ref="CP28:CQ28"/>
    <mergeCell ref="CR28:CS28"/>
    <mergeCell ref="D29:G29"/>
    <mergeCell ref="H29:K29"/>
    <mergeCell ref="L29:O29"/>
    <mergeCell ref="P29:Q29"/>
    <mergeCell ref="R29:S29"/>
    <mergeCell ref="T29:U29"/>
    <mergeCell ref="V29:W29"/>
    <mergeCell ref="X29:Y29"/>
    <mergeCell ref="Z29:AC29"/>
    <mergeCell ref="AD29:AG29"/>
    <mergeCell ref="AH29:AI29"/>
    <mergeCell ref="AJ29:AK29"/>
    <mergeCell ref="AL29:AM29"/>
    <mergeCell ref="AN29:AO29"/>
    <mergeCell ref="AP29:AQ29"/>
    <mergeCell ref="AR29:AU29"/>
    <mergeCell ref="AV29:AY29"/>
    <mergeCell ref="AZ29:BA29"/>
    <mergeCell ref="BB29:BC29"/>
    <mergeCell ref="BD29:BE29"/>
    <mergeCell ref="BF29:BG29"/>
    <mergeCell ref="BH29:BI29"/>
    <mergeCell ref="BJ29:BM29"/>
    <mergeCell ref="BN29:BQ29"/>
    <mergeCell ref="BR29:BS29"/>
    <mergeCell ref="BT29:BU29"/>
    <mergeCell ref="BV29:BW29"/>
    <mergeCell ref="BX29:BY29"/>
    <mergeCell ref="BZ29:CA29"/>
    <mergeCell ref="CB29:CE29"/>
    <mergeCell ref="CF29:CI29"/>
    <mergeCell ref="CJ29:CK29"/>
    <mergeCell ref="CL29:CM29"/>
    <mergeCell ref="CN29:CO29"/>
    <mergeCell ref="CP29:CQ29"/>
    <mergeCell ref="CR29:CS29"/>
    <mergeCell ref="D30:G30"/>
    <mergeCell ref="H30:K30"/>
    <mergeCell ref="L30:O30"/>
    <mergeCell ref="P30:Q30"/>
    <mergeCell ref="R30:S30"/>
    <mergeCell ref="T30:U30"/>
    <mergeCell ref="V30:W30"/>
    <mergeCell ref="X30:Y30"/>
    <mergeCell ref="Z30:AC30"/>
    <mergeCell ref="AD30:AG30"/>
    <mergeCell ref="AH30:AI30"/>
    <mergeCell ref="AJ30:AK30"/>
    <mergeCell ref="AL30:AM30"/>
    <mergeCell ref="AN30:AO30"/>
    <mergeCell ref="AP30:AQ30"/>
    <mergeCell ref="AR30:AU30"/>
    <mergeCell ref="AV30:AY30"/>
    <mergeCell ref="AZ30:BA30"/>
    <mergeCell ref="BB30:BC30"/>
    <mergeCell ref="BD30:BE30"/>
    <mergeCell ref="BF30:BG30"/>
    <mergeCell ref="BH30:BI30"/>
    <mergeCell ref="BJ30:BM30"/>
    <mergeCell ref="BN30:BQ30"/>
    <mergeCell ref="BR30:BS30"/>
    <mergeCell ref="BT30:BU30"/>
    <mergeCell ref="BV30:BW30"/>
    <mergeCell ref="BX30:BY30"/>
    <mergeCell ref="BZ30:CA30"/>
    <mergeCell ref="CB30:CE30"/>
    <mergeCell ref="CF30:CI30"/>
    <mergeCell ref="CJ30:CK30"/>
    <mergeCell ref="CL30:CM30"/>
    <mergeCell ref="CN30:CO30"/>
    <mergeCell ref="CP30:CQ30"/>
    <mergeCell ref="CR30:CS30"/>
    <mergeCell ref="D31:G31"/>
    <mergeCell ref="H31:K31"/>
    <mergeCell ref="L31:O31"/>
    <mergeCell ref="P31:Q31"/>
    <mergeCell ref="R31:S31"/>
    <mergeCell ref="T31:U31"/>
    <mergeCell ref="V31:W31"/>
    <mergeCell ref="X31:Y31"/>
    <mergeCell ref="Z31:AC31"/>
    <mergeCell ref="AD31:AG31"/>
    <mergeCell ref="AH31:AI31"/>
    <mergeCell ref="AJ31:AK31"/>
    <mergeCell ref="AL31:AM31"/>
    <mergeCell ref="AN31:AO31"/>
    <mergeCell ref="AP31:AQ31"/>
    <mergeCell ref="AR31:AU31"/>
    <mergeCell ref="AV31:AY31"/>
    <mergeCell ref="AZ31:BA31"/>
    <mergeCell ref="BB31:BC31"/>
    <mergeCell ref="BD31:BE31"/>
    <mergeCell ref="BF31:BG31"/>
    <mergeCell ref="BH31:BI31"/>
    <mergeCell ref="BJ31:BM31"/>
    <mergeCell ref="BN31:BQ31"/>
    <mergeCell ref="BR31:BS31"/>
    <mergeCell ref="BT31:BU31"/>
    <mergeCell ref="BV31:BW31"/>
    <mergeCell ref="BX31:BY31"/>
    <mergeCell ref="BZ31:CA31"/>
    <mergeCell ref="CB31:CE31"/>
    <mergeCell ref="CF31:CI31"/>
    <mergeCell ref="CJ31:CK31"/>
    <mergeCell ref="CL31:CM31"/>
    <mergeCell ref="CN31:CO31"/>
    <mergeCell ref="CP31:CQ31"/>
    <mergeCell ref="CR31:CS31"/>
    <mergeCell ref="D32:G32"/>
    <mergeCell ref="H32:K32"/>
    <mergeCell ref="L32:O32"/>
    <mergeCell ref="P32:Q32"/>
    <mergeCell ref="R32:S32"/>
    <mergeCell ref="T32:U32"/>
    <mergeCell ref="V32:W32"/>
    <mergeCell ref="X32:Y32"/>
    <mergeCell ref="Z32:AC32"/>
    <mergeCell ref="AD32:AG32"/>
    <mergeCell ref="AH32:AI32"/>
    <mergeCell ref="AJ32:AK32"/>
    <mergeCell ref="AL32:AM32"/>
    <mergeCell ref="AN32:AO32"/>
    <mergeCell ref="AP32:AQ32"/>
    <mergeCell ref="AR32:AU32"/>
    <mergeCell ref="AV32:AY32"/>
    <mergeCell ref="AZ32:BA32"/>
    <mergeCell ref="BB32:BC32"/>
    <mergeCell ref="BD32:BE32"/>
    <mergeCell ref="BF32:BG32"/>
    <mergeCell ref="BH32:BI32"/>
    <mergeCell ref="BJ32:BM32"/>
    <mergeCell ref="BN32:BQ32"/>
    <mergeCell ref="BR32:BS32"/>
    <mergeCell ref="BT32:BU32"/>
    <mergeCell ref="BV32:BW32"/>
    <mergeCell ref="BX32:BY32"/>
    <mergeCell ref="BZ32:CA32"/>
    <mergeCell ref="CB32:CE32"/>
    <mergeCell ref="CF32:CI32"/>
    <mergeCell ref="CJ32:CK32"/>
    <mergeCell ref="CL32:CM32"/>
    <mergeCell ref="CN32:CO32"/>
    <mergeCell ref="CP32:CQ32"/>
    <mergeCell ref="CR32:CS32"/>
    <mergeCell ref="D33:G33"/>
    <mergeCell ref="H33:K33"/>
    <mergeCell ref="L33:O33"/>
    <mergeCell ref="P33:Q33"/>
    <mergeCell ref="R33:S33"/>
    <mergeCell ref="T33:U33"/>
    <mergeCell ref="V33:W33"/>
    <mergeCell ref="X33:Y33"/>
    <mergeCell ref="Z33:AC33"/>
    <mergeCell ref="AD33:AG33"/>
    <mergeCell ref="AH33:AI33"/>
    <mergeCell ref="AJ33:AK33"/>
    <mergeCell ref="AL33:AM33"/>
    <mergeCell ref="AN33:AO33"/>
    <mergeCell ref="AP33:AQ33"/>
    <mergeCell ref="AR33:AU33"/>
    <mergeCell ref="AV33:AY33"/>
    <mergeCell ref="AZ33:BA33"/>
    <mergeCell ref="BB33:BC33"/>
    <mergeCell ref="BD33:BE33"/>
    <mergeCell ref="BF33:BG33"/>
    <mergeCell ref="BH33:BI33"/>
    <mergeCell ref="BJ33:BM33"/>
    <mergeCell ref="BN33:BQ33"/>
    <mergeCell ref="BR33:BS33"/>
    <mergeCell ref="BT33:BU33"/>
    <mergeCell ref="BV33:BW33"/>
    <mergeCell ref="BX33:BY33"/>
    <mergeCell ref="BZ33:CA33"/>
    <mergeCell ref="CB33:CE33"/>
    <mergeCell ref="CF33:CI33"/>
    <mergeCell ref="CJ33:CK33"/>
    <mergeCell ref="CL33:CM33"/>
    <mergeCell ref="CN33:CO33"/>
    <mergeCell ref="CP33:CQ33"/>
    <mergeCell ref="CR33:CS33"/>
    <mergeCell ref="D34:G34"/>
    <mergeCell ref="H34:K34"/>
    <mergeCell ref="L34:O34"/>
    <mergeCell ref="P34:Q34"/>
    <mergeCell ref="R34:S34"/>
    <mergeCell ref="T34:U34"/>
    <mergeCell ref="V34:W34"/>
    <mergeCell ref="X34:Y34"/>
    <mergeCell ref="Z34:AC34"/>
    <mergeCell ref="AD34:AG34"/>
    <mergeCell ref="AH34:AI34"/>
    <mergeCell ref="AJ34:AK34"/>
    <mergeCell ref="AL34:AM34"/>
    <mergeCell ref="AN34:AO34"/>
    <mergeCell ref="AP34:AQ34"/>
    <mergeCell ref="AR34:AU34"/>
    <mergeCell ref="AV34:AY34"/>
    <mergeCell ref="AZ34:BA34"/>
    <mergeCell ref="BB34:BC34"/>
    <mergeCell ref="BD34:BE34"/>
    <mergeCell ref="BF34:BG34"/>
    <mergeCell ref="BH34:BI34"/>
    <mergeCell ref="BJ34:BM34"/>
    <mergeCell ref="BN34:BQ34"/>
    <mergeCell ref="BR34:BS34"/>
    <mergeCell ref="BT34:BU34"/>
    <mergeCell ref="BV34:BW34"/>
    <mergeCell ref="BX34:BY34"/>
    <mergeCell ref="BZ34:CA34"/>
    <mergeCell ref="CB34:CE34"/>
    <mergeCell ref="CF34:CI34"/>
    <mergeCell ref="CJ34:CK34"/>
    <mergeCell ref="CL34:CM34"/>
    <mergeCell ref="CN34:CO34"/>
    <mergeCell ref="CP34:CQ34"/>
    <mergeCell ref="CR34:CS34"/>
    <mergeCell ref="D35:G35"/>
    <mergeCell ref="H35:K35"/>
    <mergeCell ref="L35:O35"/>
    <mergeCell ref="P35:Q35"/>
    <mergeCell ref="R35:S35"/>
    <mergeCell ref="T35:U35"/>
    <mergeCell ref="V35:W35"/>
    <mergeCell ref="X35:Y35"/>
    <mergeCell ref="Z35:AC35"/>
    <mergeCell ref="AD35:AG35"/>
    <mergeCell ref="AH35:AI35"/>
    <mergeCell ref="AJ35:AK35"/>
    <mergeCell ref="AL35:AM35"/>
    <mergeCell ref="AN35:AO35"/>
    <mergeCell ref="AP35:AQ35"/>
    <mergeCell ref="AR35:AU35"/>
    <mergeCell ref="CN35:CO35"/>
    <mergeCell ref="AV35:AY35"/>
    <mergeCell ref="AZ35:BA35"/>
    <mergeCell ref="BB35:BC35"/>
    <mergeCell ref="BD35:BE35"/>
    <mergeCell ref="BF35:BG35"/>
    <mergeCell ref="BH35:BI35"/>
    <mergeCell ref="BJ35:BM35"/>
    <mergeCell ref="BN35:BQ35"/>
    <mergeCell ref="BR35:BS35"/>
    <mergeCell ref="CP35:CQ35"/>
    <mergeCell ref="CR35:CS35"/>
    <mergeCell ref="AN36:AO36"/>
    <mergeCell ref="AP36:AQ36"/>
    <mergeCell ref="AR36:AU36"/>
    <mergeCell ref="AV36:AY36"/>
    <mergeCell ref="AZ36:BA36"/>
    <mergeCell ref="D36:G36"/>
    <mergeCell ref="H36:K36"/>
    <mergeCell ref="L36:O36"/>
    <mergeCell ref="P36:Q36"/>
    <mergeCell ref="R36:S36"/>
    <mergeCell ref="T36:U36"/>
    <mergeCell ref="V36:W36"/>
    <mergeCell ref="X36:Y36"/>
    <mergeCell ref="Z36:AC36"/>
    <mergeCell ref="BT35:BU35"/>
    <mergeCell ref="BV35:BW35"/>
    <mergeCell ref="BX35:BY35"/>
    <mergeCell ref="BZ35:CA35"/>
    <mergeCell ref="CB35:CE35"/>
    <mergeCell ref="CF35:CI35"/>
    <mergeCell ref="CJ35:CK35"/>
    <mergeCell ref="CL35:CM35"/>
    <mergeCell ref="C38:CS38"/>
    <mergeCell ref="C39:CS39"/>
    <mergeCell ref="BX36:BY36"/>
    <mergeCell ref="BZ36:CA36"/>
    <mergeCell ref="CB36:CE36"/>
    <mergeCell ref="CF36:CI36"/>
    <mergeCell ref="CJ36:CK36"/>
    <mergeCell ref="CL36:CM36"/>
    <mergeCell ref="CN36:CO36"/>
    <mergeCell ref="CP36:CQ36"/>
    <mergeCell ref="CR36:CS36"/>
    <mergeCell ref="BB36:BC36"/>
    <mergeCell ref="BD36:BE36"/>
    <mergeCell ref="BF36:BG36"/>
    <mergeCell ref="BH36:BI36"/>
    <mergeCell ref="BJ36:BM36"/>
    <mergeCell ref="BN36:BQ36"/>
    <mergeCell ref="BR36:BS36"/>
    <mergeCell ref="BT36:BU36"/>
    <mergeCell ref="BV36:BW36"/>
    <mergeCell ref="AD36:AG36"/>
    <mergeCell ref="AH36:AI36"/>
    <mergeCell ref="AJ36:AK36"/>
    <mergeCell ref="AL36:AM36"/>
  </mergeCells>
  <conditionalFormatting sqref="C14:CS14">
    <cfRule type="expression" dxfId="42" priority="8">
      <formula>$FG$37&gt;0</formula>
    </cfRule>
  </conditionalFormatting>
  <conditionalFormatting sqref="C15:CS15">
    <cfRule type="expression" dxfId="41" priority="7">
      <formula>$FH$37&gt;0</formula>
    </cfRule>
  </conditionalFormatting>
  <conditionalFormatting sqref="C16:CS16">
    <cfRule type="expression" dxfId="40" priority="6">
      <formula>$FD$39&gt;0</formula>
    </cfRule>
  </conditionalFormatting>
  <conditionalFormatting sqref="C19:CS19">
    <cfRule type="expression" dxfId="39" priority="5">
      <formula>$GV$38&gt;0</formula>
    </cfRule>
  </conditionalFormatting>
  <conditionalFormatting sqref="C23:CS23">
    <cfRule type="expression" dxfId="38" priority="4">
      <formula>$GV$39&gt;0</formula>
    </cfRule>
  </conditionalFormatting>
  <conditionalFormatting sqref="C24:CS24">
    <cfRule type="expression" dxfId="37" priority="3">
      <formula>AND($HL$37&gt;0,$C$39="")</formula>
    </cfRule>
  </conditionalFormatting>
  <conditionalFormatting sqref="H29:CS36">
    <cfRule type="expression" dxfId="36" priority="9">
      <formula>$FE29=0</formula>
    </cfRule>
  </conditionalFormatting>
  <conditionalFormatting sqref="R29:S36">
    <cfRule type="expression" dxfId="35" priority="40">
      <formula>$T29&lt;&gt;""</formula>
    </cfRule>
  </conditionalFormatting>
  <conditionalFormatting sqref="R29:U36">
    <cfRule type="expression" dxfId="34" priority="38">
      <formula>$V29&lt;&gt;""</formula>
    </cfRule>
  </conditionalFormatting>
  <conditionalFormatting sqref="R29:W36">
    <cfRule type="expression" dxfId="33" priority="46">
      <formula>$X29="X"</formula>
    </cfRule>
  </conditionalFormatting>
  <conditionalFormatting sqref="T29:Y36">
    <cfRule type="expression" dxfId="32" priority="41">
      <formula>$R29&lt;&gt;""</formula>
    </cfRule>
  </conditionalFormatting>
  <conditionalFormatting sqref="V29:Y36">
    <cfRule type="expression" dxfId="31" priority="39">
      <formula>$T29&lt;&gt;""</formula>
    </cfRule>
  </conditionalFormatting>
  <conditionalFormatting sqref="X29:Y36">
    <cfRule type="expression" dxfId="30" priority="37">
      <formula>$V29&lt;&gt;""</formula>
    </cfRule>
  </conditionalFormatting>
  <conditionalFormatting sqref="Z29:CS36">
    <cfRule type="expression" dxfId="29" priority="10">
      <formula>$FE29=1</formula>
    </cfRule>
  </conditionalFormatting>
  <conditionalFormatting sqref="AJ29:AK36">
    <cfRule type="expression" dxfId="28" priority="35">
      <formula>$AL29&lt;&gt;""</formula>
    </cfRule>
  </conditionalFormatting>
  <conditionalFormatting sqref="AJ29:AM36">
    <cfRule type="expression" dxfId="27" priority="33">
      <formula>$AN29&lt;&gt;""</formula>
    </cfRule>
  </conditionalFormatting>
  <conditionalFormatting sqref="AJ29:AO36">
    <cfRule type="expression" dxfId="26" priority="45">
      <formula>$AP29="X"</formula>
    </cfRule>
  </conditionalFormatting>
  <conditionalFormatting sqref="AL29:AQ36">
    <cfRule type="expression" dxfId="25" priority="36">
      <formula>$AJ29&lt;&gt;""</formula>
    </cfRule>
  </conditionalFormatting>
  <conditionalFormatting sqref="AN29:AQ36">
    <cfRule type="expression" dxfId="24" priority="34">
      <formula>$AL29&lt;&gt;""</formula>
    </cfRule>
  </conditionalFormatting>
  <conditionalFormatting sqref="AP29:AQ36">
    <cfRule type="expression" dxfId="23" priority="32">
      <formula>$AN29&lt;&gt;""</formula>
    </cfRule>
  </conditionalFormatting>
  <conditionalFormatting sqref="AR29:CS36">
    <cfRule type="expression" dxfId="22" priority="11">
      <formula>$FE29=2</formula>
    </cfRule>
  </conditionalFormatting>
  <conditionalFormatting sqref="BB29:BC36">
    <cfRule type="expression" dxfId="21" priority="30">
      <formula>$BD29&lt;&gt;""</formula>
    </cfRule>
  </conditionalFormatting>
  <conditionalFormatting sqref="BB29:BE36">
    <cfRule type="expression" dxfId="20" priority="28">
      <formula>$BF29&lt;&gt;""</formula>
    </cfRule>
  </conditionalFormatting>
  <conditionalFormatting sqref="BB29:BG36">
    <cfRule type="expression" dxfId="19" priority="44">
      <formula>$BH29="X"</formula>
    </cfRule>
  </conditionalFormatting>
  <conditionalFormatting sqref="BD29:BI36">
    <cfRule type="expression" dxfId="18" priority="31">
      <formula>$BB29&lt;&gt;""</formula>
    </cfRule>
  </conditionalFormatting>
  <conditionalFormatting sqref="BF29:BI36">
    <cfRule type="expression" dxfId="17" priority="29">
      <formula>$BD29&lt;&gt;""</formula>
    </cfRule>
  </conditionalFormatting>
  <conditionalFormatting sqref="BH29:BI36">
    <cfRule type="expression" dxfId="16" priority="27">
      <formula>$BF29&lt;&gt;""</formula>
    </cfRule>
  </conditionalFormatting>
  <conditionalFormatting sqref="BJ29:CS36">
    <cfRule type="expression" dxfId="15" priority="12">
      <formula>$FE29=3</formula>
    </cfRule>
  </conditionalFormatting>
  <conditionalFormatting sqref="BT29:BU36">
    <cfRule type="expression" dxfId="14" priority="25">
      <formula>$BV29&lt;&gt;""</formula>
    </cfRule>
  </conditionalFormatting>
  <conditionalFormatting sqref="BT29:BW36">
    <cfRule type="expression" dxfId="13" priority="23">
      <formula>$BX29&lt;&gt;""</formula>
    </cfRule>
  </conditionalFormatting>
  <conditionalFormatting sqref="BT29:BY36">
    <cfRule type="expression" dxfId="12" priority="43">
      <formula>$BZ29="X"</formula>
    </cfRule>
  </conditionalFormatting>
  <conditionalFormatting sqref="BV29:CA36">
    <cfRule type="expression" dxfId="11" priority="26">
      <formula>$BT29&lt;&gt;""</formula>
    </cfRule>
  </conditionalFormatting>
  <conditionalFormatting sqref="BX29:CA36">
    <cfRule type="expression" dxfId="10" priority="24">
      <formula>$BV29&lt;&gt;""</formula>
    </cfRule>
  </conditionalFormatting>
  <conditionalFormatting sqref="BZ29:CA36">
    <cfRule type="expression" dxfId="9" priority="22">
      <formula>$BX29&lt;&gt;""</formula>
    </cfRule>
  </conditionalFormatting>
  <conditionalFormatting sqref="CB29:CS36">
    <cfRule type="expression" dxfId="8" priority="13">
      <formula>$FE29=4</formula>
    </cfRule>
  </conditionalFormatting>
  <conditionalFormatting sqref="CL29:CM36">
    <cfRule type="expression" dxfId="7" priority="20">
      <formula>$CN29&lt;&gt;""</formula>
    </cfRule>
  </conditionalFormatting>
  <conditionalFormatting sqref="CL29:CO36">
    <cfRule type="expression" dxfId="6" priority="18">
      <formula>$CP29&lt;&gt;""</formula>
    </cfRule>
  </conditionalFormatting>
  <conditionalFormatting sqref="CL29:CQ36">
    <cfRule type="expression" dxfId="5" priority="42">
      <formula>$CR29="X"</formula>
    </cfRule>
  </conditionalFormatting>
  <conditionalFormatting sqref="CN29:CS36">
    <cfRule type="expression" dxfId="4" priority="21">
      <formula>$CL29&lt;&gt;""</formula>
    </cfRule>
  </conditionalFormatting>
  <conditionalFormatting sqref="CP29:CS36">
    <cfRule type="expression" dxfId="3" priority="19">
      <formula>$CN29&lt;&gt;""</formula>
    </cfRule>
  </conditionalFormatting>
  <conditionalFormatting sqref="CR29:CS36">
    <cfRule type="expression" dxfId="2" priority="17">
      <formula>$CP29&lt;&gt;""</formula>
    </cfRule>
  </conditionalFormatting>
  <dataValidations count="1">
    <dataValidation type="list" allowBlank="1" showInputMessage="1" showErrorMessage="1" sqref="X29:Y36 AP29:AQ36 BH29:BI36 BZ29:CA36 CR29:CS36" xr:uid="{CC6B7519-3F71-47D0-B779-376077C2B01C}">
      <formula1>"X"</formula1>
    </dataValidation>
  </dataValidations>
  <hyperlinks>
    <hyperlink ref="CP7:CS7" location="Índice!B49" display="Índice" xr:uid="{B0B213E3-6DC4-4158-9D13-A9DDD094D7CE}"/>
    <hyperlink ref="CP10:CS10" location="CNSIPEE_2024_M2_Secc1!A73" display="Pregunta 1.2" xr:uid="{CFD8618A-AC4C-43A0-9550-927F0535C1DB}"/>
  </hyperlinks>
  <printOptions horizontalCentered="1"/>
  <pageMargins left="0.70866141732283472" right="0.70866141732283472" top="0.74803149606299213" bottom="0.74803149606299213" header="0.31496062992125984" footer="0.31496062992125984"/>
  <pageSetup scale="75" orientation="portrait" r:id="rId1"/>
  <headerFooter>
    <oddHeader>&amp;CMódulo 2
Complemento 2</oddHeader>
    <oddFooter>&amp;LCenso Nacional de Sistemas Penitenciarios Estatales 2024&amp;R&amp;P de &amp;N</oddFooter>
  </headerFooter>
  <colBreaks count="1" manualBreakCount="1">
    <brk id="49" max="55" man="1"/>
  </colBreaks>
  <drawing r:id="rId2"/>
  <extLst>
    <ext xmlns:x14="http://schemas.microsoft.com/office/spreadsheetml/2009/9/main" uri="{78C0D931-6437-407d-A8EE-F0AAD7539E65}">
      <x14:conditionalFormattings>
        <x14:conditionalFormatting xmlns:xm="http://schemas.microsoft.com/office/excel/2006/main">
          <x14:cfRule type="expression" priority="47" id="{E44B7099-E322-467D-80EB-07FF1E79939D}">
            <xm:f>AND(CNSIPEE_2024_M2_Secc1!$S81&lt;&gt;"",CNSIPEE_2024_M2_Secc1!$S81&lt;&gt;1)</xm:f>
            <x14:dxf>
              <fill>
                <patternFill patternType="mediumGray"/>
              </fill>
            </x14:dxf>
          </x14:cfRule>
          <xm:sqref>H29:CS36</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B3D223-5D27-4101-BE82-BC49F1EAB2B7}">
  <dimension ref="A1:AT32"/>
  <sheetViews>
    <sheetView showGridLines="0" zoomScaleNormal="100" workbookViewId="0"/>
  </sheetViews>
  <sheetFormatPr baseColWidth="10" defaultColWidth="0" defaultRowHeight="0" customHeight="1" zeroHeight="1"/>
  <cols>
    <col min="1" max="1" width="5.7109375" style="3" customWidth="1"/>
    <col min="2" max="36" width="3.7109375" style="3" customWidth="1"/>
    <col min="37" max="37" width="5.7109375" style="3" customWidth="1"/>
    <col min="38" max="16384" width="11.42578125" style="3" hidden="1"/>
  </cols>
  <sheetData>
    <row r="1" spans="1:36" ht="173.25" customHeight="1">
      <c r="B1" s="718" t="s">
        <v>0</v>
      </c>
      <c r="C1" s="719"/>
      <c r="D1" s="719"/>
      <c r="E1" s="719"/>
      <c r="F1" s="719"/>
      <c r="G1" s="719"/>
      <c r="H1" s="719"/>
      <c r="I1" s="719"/>
      <c r="J1" s="719"/>
      <c r="K1" s="719"/>
      <c r="L1" s="719"/>
      <c r="M1" s="719"/>
      <c r="N1" s="719"/>
      <c r="O1" s="719"/>
      <c r="P1" s="719"/>
      <c r="Q1" s="719"/>
      <c r="R1" s="719"/>
      <c r="S1" s="719"/>
      <c r="T1" s="719"/>
      <c r="U1" s="719"/>
      <c r="V1" s="719"/>
      <c r="W1" s="719"/>
      <c r="X1" s="719"/>
      <c r="Y1" s="719"/>
      <c r="Z1" s="719"/>
      <c r="AA1" s="719"/>
      <c r="AB1" s="719"/>
      <c r="AC1" s="719"/>
      <c r="AD1" s="719"/>
      <c r="AE1" s="719"/>
      <c r="AF1" s="719"/>
      <c r="AG1" s="719"/>
      <c r="AH1" s="719"/>
      <c r="AI1" s="719"/>
      <c r="AJ1" s="719"/>
    </row>
    <row r="2" spans="1:36" ht="15"/>
    <row r="3" spans="1:36" ht="45" customHeight="1">
      <c r="B3" s="720" t="s">
        <v>1</v>
      </c>
      <c r="C3" s="721"/>
      <c r="D3" s="721"/>
      <c r="E3" s="721"/>
      <c r="F3" s="721"/>
      <c r="G3" s="721"/>
      <c r="H3" s="721"/>
      <c r="I3" s="721"/>
      <c r="J3" s="721"/>
      <c r="K3" s="721"/>
      <c r="L3" s="721"/>
      <c r="M3" s="721"/>
      <c r="N3" s="721"/>
      <c r="O3" s="721"/>
      <c r="P3" s="721"/>
      <c r="Q3" s="721"/>
      <c r="R3" s="721"/>
      <c r="S3" s="721"/>
      <c r="T3" s="721"/>
      <c r="U3" s="721"/>
      <c r="V3" s="721"/>
      <c r="W3" s="721"/>
      <c r="X3" s="721"/>
      <c r="Y3" s="721"/>
      <c r="Z3" s="721"/>
      <c r="AA3" s="721"/>
      <c r="AB3" s="721"/>
      <c r="AC3" s="721"/>
      <c r="AD3" s="721"/>
      <c r="AE3" s="721"/>
      <c r="AF3" s="721"/>
      <c r="AG3" s="721"/>
      <c r="AH3" s="721"/>
      <c r="AI3" s="721"/>
      <c r="AJ3" s="721"/>
    </row>
    <row r="4" spans="1:36" ht="15"/>
    <row r="5" spans="1:36" ht="60" customHeight="1">
      <c r="B5" s="720" t="s">
        <v>42</v>
      </c>
      <c r="C5" s="720"/>
      <c r="D5" s="720"/>
      <c r="E5" s="720"/>
      <c r="F5" s="720"/>
      <c r="G5" s="720"/>
      <c r="H5" s="720"/>
      <c r="I5" s="720"/>
      <c r="J5" s="720"/>
      <c r="K5" s="720"/>
      <c r="L5" s="720"/>
      <c r="M5" s="720"/>
      <c r="N5" s="720"/>
      <c r="O5" s="720"/>
      <c r="P5" s="720"/>
      <c r="Q5" s="720"/>
      <c r="R5" s="720"/>
      <c r="S5" s="720"/>
      <c r="T5" s="720"/>
      <c r="U5" s="720"/>
      <c r="V5" s="720"/>
      <c r="W5" s="720"/>
      <c r="X5" s="720"/>
      <c r="Y5" s="720"/>
      <c r="Z5" s="720"/>
      <c r="AA5" s="720"/>
      <c r="AB5" s="720"/>
      <c r="AC5" s="720"/>
      <c r="AD5" s="720"/>
      <c r="AE5" s="720"/>
      <c r="AF5" s="720"/>
      <c r="AG5" s="720"/>
      <c r="AH5" s="720"/>
      <c r="AI5" s="720"/>
      <c r="AJ5" s="720"/>
    </row>
    <row r="6" spans="1:36" ht="15"/>
    <row r="7" spans="1:36" ht="15" customHeight="1" thickBot="1">
      <c r="B7" s="23" t="s">
        <v>3</v>
      </c>
      <c r="N7" s="23" t="s">
        <v>4</v>
      </c>
      <c r="AG7" s="758" t="s">
        <v>2</v>
      </c>
      <c r="AH7" s="758"/>
      <c r="AI7" s="758"/>
      <c r="AJ7" s="758"/>
    </row>
    <row r="8" spans="1:36" ht="15" customHeight="1" thickBot="1">
      <c r="B8" s="722" t="str">
        <f>IF(Presentación!B8="","",Presentación!B8)</f>
        <v>Puebla</v>
      </c>
      <c r="C8" s="723"/>
      <c r="D8" s="723"/>
      <c r="E8" s="723"/>
      <c r="F8" s="723"/>
      <c r="G8" s="723"/>
      <c r="H8" s="723"/>
      <c r="I8" s="723"/>
      <c r="J8" s="723"/>
      <c r="K8" s="723"/>
      <c r="L8" s="724"/>
      <c r="M8" s="25"/>
      <c r="N8" s="722">
        <f>IF(Presentación!N8="","",Presentación!N8)</f>
        <v>221</v>
      </c>
      <c r="O8" s="724"/>
    </row>
    <row r="9" spans="1:36" ht="15" customHeight="1"/>
    <row r="10" spans="1:36" ht="15" customHeight="1">
      <c r="AG10" s="1203" t="s">
        <v>6958</v>
      </c>
      <c r="AH10" s="1203"/>
      <c r="AI10" s="1203"/>
      <c r="AJ10" s="1203"/>
    </row>
    <row r="11" spans="1:36" ht="15" customHeight="1"/>
    <row r="12" spans="1:36" ht="15" customHeight="1">
      <c r="A12" s="235"/>
      <c r="B12" s="1204" t="s">
        <v>6892</v>
      </c>
      <c r="C12" s="1205"/>
      <c r="D12" s="1205"/>
      <c r="E12" s="1205"/>
      <c r="F12" s="1205"/>
      <c r="G12" s="1205"/>
      <c r="H12" s="1205"/>
      <c r="I12" s="1205"/>
      <c r="J12" s="1205"/>
      <c r="K12" s="1205"/>
      <c r="L12" s="1205"/>
      <c r="M12" s="1205"/>
      <c r="N12" s="1205"/>
      <c r="O12" s="1205"/>
      <c r="P12" s="1205"/>
      <c r="Q12" s="1205"/>
      <c r="R12" s="1205"/>
      <c r="S12" s="1205"/>
      <c r="T12" s="1205"/>
      <c r="U12" s="1205"/>
      <c r="V12" s="1205"/>
      <c r="W12" s="1205"/>
      <c r="X12" s="1205"/>
      <c r="Y12" s="1205"/>
      <c r="Z12" s="1205"/>
      <c r="AA12" s="1205"/>
      <c r="AB12" s="1205"/>
      <c r="AC12" s="1205"/>
      <c r="AD12" s="1205"/>
      <c r="AE12" s="1205"/>
      <c r="AF12" s="1205"/>
      <c r="AG12" s="1205"/>
      <c r="AH12" s="1205"/>
      <c r="AI12" s="1205"/>
      <c r="AJ12" s="1206"/>
    </row>
    <row r="13" spans="1:36" ht="24" customHeight="1">
      <c r="A13" s="235"/>
      <c r="B13" s="236"/>
      <c r="C13" s="830" t="s">
        <v>6959</v>
      </c>
      <c r="D13" s="830"/>
      <c r="E13" s="830"/>
      <c r="F13" s="830"/>
      <c r="G13" s="830"/>
      <c r="H13" s="830"/>
      <c r="I13" s="830"/>
      <c r="J13" s="830"/>
      <c r="K13" s="830"/>
      <c r="L13" s="830"/>
      <c r="M13" s="830"/>
      <c r="N13" s="830"/>
      <c r="O13" s="830"/>
      <c r="P13" s="830"/>
      <c r="Q13" s="830"/>
      <c r="R13" s="830"/>
      <c r="S13" s="830"/>
      <c r="T13" s="830"/>
      <c r="U13" s="830"/>
      <c r="V13" s="830"/>
      <c r="W13" s="830"/>
      <c r="X13" s="830"/>
      <c r="Y13" s="830"/>
      <c r="Z13" s="830"/>
      <c r="AA13" s="830"/>
      <c r="AB13" s="830"/>
      <c r="AC13" s="830"/>
      <c r="AD13" s="830"/>
      <c r="AE13" s="830"/>
      <c r="AF13" s="830"/>
      <c r="AG13" s="830"/>
      <c r="AH13" s="830"/>
      <c r="AI13" s="830"/>
      <c r="AJ13" s="886"/>
    </row>
    <row r="14" spans="1:36" ht="24" customHeight="1">
      <c r="A14" s="235"/>
      <c r="B14" s="236"/>
      <c r="C14" s="754" t="s">
        <v>6960</v>
      </c>
      <c r="D14" s="830"/>
      <c r="E14" s="830"/>
      <c r="F14" s="830"/>
      <c r="G14" s="830"/>
      <c r="H14" s="830"/>
      <c r="I14" s="830"/>
      <c r="J14" s="830"/>
      <c r="K14" s="830"/>
      <c r="L14" s="830"/>
      <c r="M14" s="830"/>
      <c r="N14" s="830"/>
      <c r="O14" s="830"/>
      <c r="P14" s="830"/>
      <c r="Q14" s="830"/>
      <c r="R14" s="830"/>
      <c r="S14" s="830"/>
      <c r="T14" s="830"/>
      <c r="U14" s="830"/>
      <c r="V14" s="830"/>
      <c r="W14" s="830"/>
      <c r="X14" s="830"/>
      <c r="Y14" s="830"/>
      <c r="Z14" s="830"/>
      <c r="AA14" s="830"/>
      <c r="AB14" s="830"/>
      <c r="AC14" s="830"/>
      <c r="AD14" s="830"/>
      <c r="AE14" s="830"/>
      <c r="AF14" s="830"/>
      <c r="AG14" s="830"/>
      <c r="AH14" s="830"/>
      <c r="AI14" s="830"/>
      <c r="AJ14" s="886"/>
    </row>
    <row r="15" spans="1:36" ht="24" customHeight="1">
      <c r="A15" s="235"/>
      <c r="B15" s="236"/>
      <c r="C15" s="754" t="s">
        <v>6961</v>
      </c>
      <c r="D15" s="830"/>
      <c r="E15" s="830"/>
      <c r="F15" s="830"/>
      <c r="G15" s="830"/>
      <c r="H15" s="830"/>
      <c r="I15" s="830"/>
      <c r="J15" s="830"/>
      <c r="K15" s="830"/>
      <c r="L15" s="830"/>
      <c r="M15" s="830"/>
      <c r="N15" s="830"/>
      <c r="O15" s="830"/>
      <c r="P15" s="830"/>
      <c r="Q15" s="830"/>
      <c r="R15" s="830"/>
      <c r="S15" s="830"/>
      <c r="T15" s="830"/>
      <c r="U15" s="830"/>
      <c r="V15" s="830"/>
      <c r="W15" s="830"/>
      <c r="X15" s="830"/>
      <c r="Y15" s="830"/>
      <c r="Z15" s="830"/>
      <c r="AA15" s="830"/>
      <c r="AB15" s="830"/>
      <c r="AC15" s="830"/>
      <c r="AD15" s="830"/>
      <c r="AE15" s="830"/>
      <c r="AF15" s="830"/>
      <c r="AG15" s="830"/>
      <c r="AH15" s="830"/>
      <c r="AI15" s="830"/>
      <c r="AJ15" s="886"/>
    </row>
    <row r="16" spans="1:36" ht="24" customHeight="1">
      <c r="A16" s="235"/>
      <c r="B16" s="237"/>
      <c r="C16" s="754" t="s">
        <v>6962</v>
      </c>
      <c r="D16" s="830"/>
      <c r="E16" s="830"/>
      <c r="F16" s="830"/>
      <c r="G16" s="830"/>
      <c r="H16" s="830"/>
      <c r="I16" s="830"/>
      <c r="J16" s="830"/>
      <c r="K16" s="830"/>
      <c r="L16" s="830"/>
      <c r="M16" s="830"/>
      <c r="N16" s="830"/>
      <c r="O16" s="830"/>
      <c r="P16" s="830"/>
      <c r="Q16" s="830"/>
      <c r="R16" s="830"/>
      <c r="S16" s="830"/>
      <c r="T16" s="830"/>
      <c r="U16" s="830"/>
      <c r="V16" s="830"/>
      <c r="W16" s="830"/>
      <c r="X16" s="830"/>
      <c r="Y16" s="830"/>
      <c r="Z16" s="830"/>
      <c r="AA16" s="830"/>
      <c r="AB16" s="830"/>
      <c r="AC16" s="830"/>
      <c r="AD16" s="830"/>
      <c r="AE16" s="830"/>
      <c r="AF16" s="830"/>
      <c r="AG16" s="830"/>
      <c r="AH16" s="830"/>
      <c r="AI16" s="830"/>
      <c r="AJ16" s="886"/>
    </row>
    <row r="17" spans="1:46" ht="36" customHeight="1">
      <c r="A17" s="235"/>
      <c r="B17" s="238"/>
      <c r="C17" s="754" t="s">
        <v>6963</v>
      </c>
      <c r="D17" s="830"/>
      <c r="E17" s="830"/>
      <c r="F17" s="830"/>
      <c r="G17" s="830"/>
      <c r="H17" s="830"/>
      <c r="I17" s="830"/>
      <c r="J17" s="830"/>
      <c r="K17" s="830"/>
      <c r="L17" s="830"/>
      <c r="M17" s="830"/>
      <c r="N17" s="830"/>
      <c r="O17" s="830"/>
      <c r="P17" s="830"/>
      <c r="Q17" s="830"/>
      <c r="R17" s="830"/>
      <c r="S17" s="830"/>
      <c r="T17" s="830"/>
      <c r="U17" s="830"/>
      <c r="V17" s="830"/>
      <c r="W17" s="830"/>
      <c r="X17" s="830"/>
      <c r="Y17" s="830"/>
      <c r="Z17" s="830"/>
      <c r="AA17" s="830"/>
      <c r="AB17" s="830"/>
      <c r="AC17" s="830"/>
      <c r="AD17" s="830"/>
      <c r="AE17" s="830"/>
      <c r="AF17" s="830"/>
      <c r="AG17" s="830"/>
      <c r="AH17" s="830"/>
      <c r="AI17" s="830"/>
      <c r="AJ17" s="886"/>
    </row>
    <row r="18" spans="1:46" ht="36" customHeight="1">
      <c r="A18" s="235"/>
      <c r="B18" s="238"/>
      <c r="C18" s="754" t="s">
        <v>6964</v>
      </c>
      <c r="D18" s="830"/>
      <c r="E18" s="830"/>
      <c r="F18" s="830"/>
      <c r="G18" s="830"/>
      <c r="H18" s="830"/>
      <c r="I18" s="830"/>
      <c r="J18" s="830"/>
      <c r="K18" s="830"/>
      <c r="L18" s="830"/>
      <c r="M18" s="830"/>
      <c r="N18" s="830"/>
      <c r="O18" s="830"/>
      <c r="P18" s="830"/>
      <c r="Q18" s="830"/>
      <c r="R18" s="830"/>
      <c r="S18" s="830"/>
      <c r="T18" s="830"/>
      <c r="U18" s="830"/>
      <c r="V18" s="830"/>
      <c r="W18" s="830"/>
      <c r="X18" s="830"/>
      <c r="Y18" s="830"/>
      <c r="Z18" s="830"/>
      <c r="AA18" s="830"/>
      <c r="AB18" s="830"/>
      <c r="AC18" s="830"/>
      <c r="AD18" s="830"/>
      <c r="AE18" s="830"/>
      <c r="AF18" s="830"/>
      <c r="AG18" s="830"/>
      <c r="AH18" s="830"/>
      <c r="AI18" s="830"/>
      <c r="AJ18" s="886"/>
    </row>
    <row r="19" spans="1:46" ht="48" customHeight="1">
      <c r="B19" s="240"/>
      <c r="C19" s="764" t="s">
        <v>6965</v>
      </c>
      <c r="D19" s="876"/>
      <c r="E19" s="876"/>
      <c r="F19" s="876"/>
      <c r="G19" s="876"/>
      <c r="H19" s="876"/>
      <c r="I19" s="876"/>
      <c r="J19" s="876"/>
      <c r="K19" s="876"/>
      <c r="L19" s="876"/>
      <c r="M19" s="876"/>
      <c r="N19" s="876"/>
      <c r="O19" s="876"/>
      <c r="P19" s="876"/>
      <c r="Q19" s="876"/>
      <c r="R19" s="876"/>
      <c r="S19" s="876"/>
      <c r="T19" s="876"/>
      <c r="U19" s="876"/>
      <c r="V19" s="876"/>
      <c r="W19" s="876"/>
      <c r="X19" s="876"/>
      <c r="Y19" s="876"/>
      <c r="Z19" s="876"/>
      <c r="AA19" s="876"/>
      <c r="AB19" s="876"/>
      <c r="AC19" s="876"/>
      <c r="AD19" s="876"/>
      <c r="AE19" s="876"/>
      <c r="AF19" s="876"/>
      <c r="AG19" s="876"/>
      <c r="AH19" s="876"/>
      <c r="AI19" s="876"/>
      <c r="AJ19" s="877"/>
    </row>
    <row r="20" spans="1:46" ht="15" customHeight="1">
      <c r="A20" s="235"/>
      <c r="B20" s="57"/>
      <c r="C20" s="57"/>
      <c r="D20" s="57"/>
      <c r="E20" s="57"/>
      <c r="F20" s="57"/>
      <c r="G20" s="57"/>
      <c r="H20" s="57"/>
      <c r="I20" s="57"/>
      <c r="J20" s="57"/>
      <c r="K20" s="57"/>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row>
    <row r="21" spans="1:46" ht="312" customHeight="1">
      <c r="A21" s="235"/>
      <c r="B21" s="235"/>
      <c r="C21" s="732" t="s">
        <v>6966</v>
      </c>
      <c r="D21" s="732"/>
      <c r="E21" s="732"/>
      <c r="F21" s="732"/>
      <c r="G21" s="732"/>
      <c r="H21" s="874" t="s">
        <v>6967</v>
      </c>
      <c r="I21" s="874"/>
      <c r="J21" s="847" t="s">
        <v>6901</v>
      </c>
      <c r="K21" s="953"/>
      <c r="L21" s="848"/>
      <c r="M21" s="732" t="s">
        <v>6902</v>
      </c>
      <c r="N21" s="732"/>
      <c r="O21" s="732"/>
      <c r="P21" s="732"/>
      <c r="Q21" s="732"/>
      <c r="R21" s="732" t="s">
        <v>6903</v>
      </c>
      <c r="S21" s="732"/>
      <c r="T21" s="732"/>
      <c r="U21" s="732" t="s">
        <v>6904</v>
      </c>
      <c r="V21" s="732"/>
      <c r="W21" s="732"/>
      <c r="X21" s="1224" t="s">
        <v>6905</v>
      </c>
      <c r="Y21" s="732" t="s">
        <v>6906</v>
      </c>
      <c r="Z21" s="732"/>
      <c r="AA21" s="732"/>
      <c r="AB21" s="732" t="s">
        <v>6968</v>
      </c>
      <c r="AC21" s="732"/>
      <c r="AD21" s="732"/>
      <c r="AE21" s="732" t="s">
        <v>6908</v>
      </c>
      <c r="AF21" s="732"/>
      <c r="AG21" s="732"/>
      <c r="AH21" s="732" t="s">
        <v>6909</v>
      </c>
      <c r="AI21" s="732"/>
      <c r="AJ21" s="732"/>
    </row>
    <row r="22" spans="1:46" ht="15" customHeight="1">
      <c r="A22" s="228"/>
      <c r="B22" s="131"/>
      <c r="C22" s="732"/>
      <c r="D22" s="732"/>
      <c r="E22" s="732"/>
      <c r="F22" s="732"/>
      <c r="G22" s="732"/>
      <c r="H22" s="874"/>
      <c r="I22" s="874"/>
      <c r="J22" s="849"/>
      <c r="K22" s="957"/>
      <c r="L22" s="850"/>
      <c r="M22" s="736" t="s">
        <v>6911</v>
      </c>
      <c r="N22" s="736"/>
      <c r="O22" s="736" t="s">
        <v>3942</v>
      </c>
      <c r="P22" s="736"/>
      <c r="Q22" s="736"/>
      <c r="R22" s="732"/>
      <c r="S22" s="732"/>
      <c r="T22" s="732"/>
      <c r="U22" s="732"/>
      <c r="V22" s="732"/>
      <c r="W22" s="732"/>
      <c r="X22" s="1224"/>
      <c r="Y22" s="732"/>
      <c r="Z22" s="732"/>
      <c r="AA22" s="732"/>
      <c r="AB22" s="732"/>
      <c r="AC22" s="732"/>
      <c r="AD22" s="732"/>
      <c r="AE22" s="732"/>
      <c r="AF22" s="732"/>
      <c r="AG22" s="732"/>
      <c r="AH22" s="732"/>
      <c r="AI22" s="732"/>
      <c r="AJ22" s="732"/>
      <c r="AM22" s="683" t="s">
        <v>2586</v>
      </c>
      <c r="AN22" s="698" t="s">
        <v>2590</v>
      </c>
      <c r="AO22" s="699" t="s">
        <v>6912</v>
      </c>
      <c r="AP22" s="254" t="s">
        <v>6913</v>
      </c>
      <c r="AQ22" s="699" t="s">
        <v>6914</v>
      </c>
      <c r="AR22" s="254" t="s">
        <v>6915</v>
      </c>
      <c r="AS22" s="700" t="s">
        <v>6916</v>
      </c>
      <c r="AT22" s="700" t="s">
        <v>6917</v>
      </c>
    </row>
    <row r="23" spans="1:46" ht="15">
      <c r="A23" s="228"/>
      <c r="B23" s="70"/>
      <c r="C23" s="813" t="str">
        <f>IF(CNSIPEE_2024_M2_Secc16!O141="","",CNSIPEE_2024_M2_Secc16!O141)</f>
        <v/>
      </c>
      <c r="D23" s="814"/>
      <c r="E23" s="814"/>
      <c r="F23" s="814"/>
      <c r="G23" s="815"/>
      <c r="H23" s="816"/>
      <c r="I23" s="817"/>
      <c r="J23" s="749"/>
      <c r="K23" s="749"/>
      <c r="L23" s="749"/>
      <c r="M23" s="733" t="str">
        <f>IF(O23="","",VLOOKUP(O23,Presentación!$AL$3:$AM$574,2,FALSE))</f>
        <v/>
      </c>
      <c r="N23" s="735"/>
      <c r="O23" s="882"/>
      <c r="P23" s="883"/>
      <c r="Q23" s="884"/>
      <c r="R23" s="949"/>
      <c r="S23" s="949"/>
      <c r="T23" s="949"/>
      <c r="U23" s="749"/>
      <c r="V23" s="749"/>
      <c r="W23" s="749"/>
      <c r="X23" s="692" t="s">
        <v>6918</v>
      </c>
      <c r="Y23" s="749"/>
      <c r="Z23" s="749"/>
      <c r="AA23" s="749"/>
      <c r="AB23" s="749"/>
      <c r="AC23" s="749"/>
      <c r="AD23" s="749"/>
      <c r="AE23" s="749"/>
      <c r="AF23" s="749"/>
      <c r="AG23" s="749"/>
      <c r="AH23" s="749"/>
      <c r="AI23" s="749"/>
      <c r="AJ23" s="749"/>
      <c r="AM23" s="253">
        <f>IF(AND(COUNTBLANK(C23)=0,COUNTA(H23:W23)=6,COUNTA(Y23:AJ23)=4),0,IF(AND(COUNTBLANK(C23)=1,COUNTA(H23:AJ23)=2),0,1))</f>
        <v>0</v>
      </c>
      <c r="AN23" s="253">
        <f>IF(COUNTIF(H23:AJ23,"NS"),1,0)</f>
        <v>0</v>
      </c>
      <c r="AO23" s="274" t="str" cm="1">
        <f t="array" aca="1" ref="AO23" ca="1">_xlfn.TEXTJOIN("",TRUE,IFERROR((MID(U23,ROW(INDIRECT("1:"&amp;LEN(U23))),1)*1),""))</f>
        <v/>
      </c>
      <c r="AP23" s="274" t="str" cm="1">
        <f t="array" aca="1" ref="AP23" ca="1">_xlfn.TEXTJOIN("",TRUE,IFERROR((MID(Y23,ROW(INDIRECT("1:"&amp;LEN(Y23))),1)*1),""))</f>
        <v/>
      </c>
      <c r="AQ23" s="253">
        <f ca="1">IF(AND(U23&lt;&gt;"NS",U23&lt;&gt;"NA",LEN(AO23)&gt;8),1,0)</f>
        <v>0</v>
      </c>
      <c r="AR23" s="253">
        <f ca="1">IF(AND(Y23&lt;&gt;"NS",Y23&lt;&gt;"NA",LEN(AP23)&gt;9),1,0)</f>
        <v>0</v>
      </c>
      <c r="AS23" s="274" t="str" cm="1">
        <f t="array" aca="1" ref="AS23" ca="1">_xlfn.TEXTJOIN("",TRUE,IFERROR((MID(AH23,ROW(INDIRECT("1:"&amp;LEN(AH23))),1)*1),""))</f>
        <v/>
      </c>
      <c r="AT23" s="253">
        <f ca="1">IF(AND(AH23&lt;&gt;"NS",AH23&lt;&gt;"NA",LEN(AS23)&gt;10),1,0)</f>
        <v>0</v>
      </c>
    </row>
    <row r="24" spans="1:46" ht="15" customHeight="1"/>
    <row r="25" spans="1:46" ht="24" customHeight="1">
      <c r="C25" s="754" t="s">
        <v>2611</v>
      </c>
      <c r="D25" s="754"/>
      <c r="E25" s="754"/>
      <c r="F25" s="754"/>
      <c r="G25" s="754"/>
      <c r="H25" s="754"/>
      <c r="I25" s="754"/>
      <c r="J25" s="754"/>
      <c r="K25" s="754"/>
      <c r="L25" s="754"/>
      <c r="M25" s="754"/>
      <c r="N25" s="754"/>
      <c r="O25" s="754"/>
      <c r="P25" s="754"/>
      <c r="Q25" s="754"/>
      <c r="R25" s="754"/>
      <c r="S25" s="754"/>
      <c r="T25" s="754"/>
      <c r="U25" s="754"/>
      <c r="V25" s="754"/>
      <c r="W25" s="754"/>
      <c r="X25" s="754"/>
      <c r="Y25" s="754"/>
      <c r="Z25" s="754"/>
      <c r="AA25" s="754"/>
      <c r="AB25" s="754"/>
      <c r="AC25" s="754"/>
      <c r="AD25" s="754"/>
      <c r="AE25" s="754"/>
      <c r="AF25" s="754"/>
      <c r="AG25" s="754"/>
      <c r="AH25" s="754"/>
      <c r="AI25" s="754"/>
      <c r="AJ25" s="754"/>
    </row>
    <row r="26" spans="1:46" ht="60" customHeight="1">
      <c r="C26" s="851"/>
      <c r="D26" s="851"/>
      <c r="E26" s="851"/>
      <c r="F26" s="851"/>
      <c r="G26" s="851"/>
      <c r="H26" s="851"/>
      <c r="I26" s="851"/>
      <c r="J26" s="851"/>
      <c r="K26" s="851"/>
      <c r="L26" s="851"/>
      <c r="M26" s="851"/>
      <c r="N26" s="851"/>
      <c r="O26" s="851"/>
      <c r="P26" s="851"/>
      <c r="Q26" s="851"/>
      <c r="R26" s="851"/>
      <c r="S26" s="851"/>
      <c r="T26" s="851"/>
      <c r="U26" s="851"/>
      <c r="V26" s="851"/>
      <c r="W26" s="851"/>
      <c r="X26" s="851"/>
      <c r="Y26" s="851"/>
      <c r="Z26" s="851"/>
      <c r="AA26" s="851"/>
      <c r="AB26" s="851"/>
      <c r="AC26" s="851"/>
      <c r="AD26" s="851"/>
      <c r="AE26" s="851"/>
      <c r="AF26" s="851"/>
      <c r="AG26" s="851"/>
      <c r="AH26" s="851"/>
      <c r="AI26" s="851"/>
      <c r="AJ26" s="851"/>
    </row>
    <row r="27" spans="1:46" ht="15" customHeight="1">
      <c r="B27" s="794" t="str">
        <f>IF(AM23&gt;0,"Favor de ingresar toda la información requerida en la pregunta y/o verifique que no tenga información en celdas sombreadas","")</f>
        <v/>
      </c>
      <c r="C27" s="794"/>
      <c r="D27" s="794"/>
      <c r="E27" s="794"/>
      <c r="F27" s="794"/>
      <c r="G27" s="794"/>
      <c r="H27" s="794"/>
      <c r="I27" s="794"/>
      <c r="J27" s="794"/>
      <c r="K27" s="794"/>
      <c r="L27" s="794"/>
      <c r="M27" s="794"/>
      <c r="N27" s="794"/>
      <c r="O27" s="794"/>
      <c r="P27" s="794"/>
      <c r="Q27" s="794"/>
      <c r="R27" s="794"/>
      <c r="S27" s="794"/>
      <c r="T27" s="794"/>
      <c r="U27" s="794"/>
      <c r="V27" s="794"/>
      <c r="W27" s="794"/>
      <c r="X27" s="794"/>
      <c r="Y27" s="794"/>
      <c r="Z27" s="794"/>
      <c r="AA27" s="794"/>
      <c r="AB27" s="794"/>
      <c r="AC27" s="794"/>
      <c r="AD27" s="794"/>
      <c r="AE27" s="794"/>
      <c r="AF27" s="794"/>
      <c r="AG27" s="794"/>
      <c r="AH27" s="794"/>
      <c r="AI27" s="794"/>
      <c r="AJ27" s="794"/>
      <c r="AK27" s="794"/>
    </row>
    <row r="28" spans="1:46" ht="15" customHeight="1">
      <c r="B28" s="795" t="str">
        <f>IF(AN23&gt;0,"Alerta: debido a que cuenta con registros NS, debe proporcionar una justificación en el area de comentarios al final de la pregunta","")</f>
        <v/>
      </c>
      <c r="C28" s="795"/>
      <c r="D28" s="795"/>
      <c r="E28" s="795"/>
      <c r="F28" s="795"/>
      <c r="G28" s="795"/>
      <c r="H28" s="795"/>
      <c r="I28" s="795"/>
      <c r="J28" s="795"/>
      <c r="K28" s="795"/>
      <c r="L28" s="795"/>
      <c r="M28" s="795"/>
      <c r="N28" s="795"/>
      <c r="O28" s="795"/>
      <c r="P28" s="795"/>
      <c r="Q28" s="795"/>
      <c r="R28" s="795"/>
      <c r="S28" s="795"/>
      <c r="T28" s="795"/>
      <c r="U28" s="795"/>
      <c r="V28" s="795"/>
      <c r="W28" s="795"/>
      <c r="X28" s="795"/>
      <c r="Y28" s="795"/>
      <c r="Z28" s="795"/>
      <c r="AA28" s="795"/>
      <c r="AB28" s="795"/>
      <c r="AC28" s="795"/>
      <c r="AD28" s="795"/>
      <c r="AE28" s="795"/>
      <c r="AF28" s="795"/>
      <c r="AG28" s="795"/>
      <c r="AH28" s="795"/>
      <c r="AI28" s="795"/>
      <c r="AJ28" s="795"/>
      <c r="AK28" s="795"/>
    </row>
    <row r="29" spans="1:46" ht="15" customHeight="1">
      <c r="B29" s="794" t="str">
        <f ca="1">IF(AQ23&gt;0,"Favor de revisar las coordenadas de latitud debido a que no debe exceder los 8 dígitos",IF(AR23&gt;0,"Favor de revisar las coordenadas de longitud debido a que no debe exceder los 9 dígitos",""))</f>
        <v/>
      </c>
      <c r="C29" s="794"/>
      <c r="D29" s="794"/>
      <c r="E29" s="794"/>
      <c r="F29" s="794"/>
      <c r="G29" s="794"/>
      <c r="H29" s="794"/>
      <c r="I29" s="794"/>
      <c r="J29" s="794"/>
      <c r="K29" s="794"/>
      <c r="L29" s="794"/>
      <c r="M29" s="794"/>
      <c r="N29" s="794"/>
      <c r="O29" s="794"/>
      <c r="P29" s="794"/>
      <c r="Q29" s="794"/>
      <c r="R29" s="794"/>
      <c r="S29" s="794"/>
      <c r="T29" s="794"/>
      <c r="U29" s="794"/>
      <c r="V29" s="794"/>
      <c r="W29" s="794"/>
      <c r="X29" s="794"/>
      <c r="Y29" s="794"/>
      <c r="Z29" s="794"/>
      <c r="AA29" s="794"/>
      <c r="AB29" s="794"/>
      <c r="AC29" s="794"/>
      <c r="AD29" s="794"/>
      <c r="AE29" s="794"/>
      <c r="AF29" s="794"/>
      <c r="AG29" s="794"/>
      <c r="AH29" s="794"/>
      <c r="AI29" s="794"/>
      <c r="AJ29" s="794"/>
      <c r="AK29" s="794"/>
    </row>
    <row r="30" spans="1:46" ht="15" customHeight="1">
      <c r="B30" s="794" t="str">
        <f ca="1">IF(AT23&gt;0,"Favor de revisar el número telefónico ya que no debe exceder de los 10 dígitos","")</f>
        <v/>
      </c>
      <c r="C30" s="794"/>
      <c r="D30" s="794"/>
      <c r="E30" s="794"/>
      <c r="F30" s="794"/>
      <c r="G30" s="794"/>
      <c r="H30" s="794"/>
      <c r="I30" s="794"/>
      <c r="J30" s="794"/>
      <c r="K30" s="794"/>
      <c r="L30" s="794"/>
      <c r="M30" s="794"/>
      <c r="N30" s="794"/>
      <c r="O30" s="794"/>
      <c r="P30" s="794"/>
      <c r="Q30" s="794"/>
      <c r="R30" s="794"/>
      <c r="S30" s="794"/>
      <c r="T30" s="794"/>
      <c r="U30" s="794"/>
      <c r="V30" s="794"/>
      <c r="W30" s="794"/>
      <c r="X30" s="794"/>
      <c r="Y30" s="794"/>
      <c r="Z30" s="794"/>
      <c r="AA30" s="794"/>
      <c r="AB30" s="794"/>
      <c r="AC30" s="794"/>
      <c r="AD30" s="794"/>
      <c r="AE30" s="794"/>
      <c r="AF30" s="794"/>
      <c r="AG30" s="794"/>
      <c r="AH30" s="794"/>
      <c r="AI30" s="794"/>
      <c r="AJ30" s="794"/>
      <c r="AK30" s="794"/>
    </row>
    <row r="31" spans="1:46" ht="15" customHeight="1"/>
    <row r="32" spans="1:46" ht="15" customHeight="1"/>
  </sheetData>
  <sheetProtection algorithmName="SHA-512" hashValue="9o/Fij2PWWSmj6dbPZOcawHqhMsnBMdU4r7mRKsapPuMKiA6Bt60KJ5CK5LIFqJITGfS2/dZktnzNmjn2T19lQ==" saltValue="hiPeRFPA+Sq5/QjUB67/ig==" spinCount="100000" sheet="1" objects="1" scenarios="1"/>
  <mergeCells count="45">
    <mergeCell ref="B27:AK27"/>
    <mergeCell ref="B28:AK28"/>
    <mergeCell ref="B29:AK29"/>
    <mergeCell ref="B30:AK30"/>
    <mergeCell ref="Y21:AA22"/>
    <mergeCell ref="AB21:AD22"/>
    <mergeCell ref="AE21:AG22"/>
    <mergeCell ref="AH21:AJ22"/>
    <mergeCell ref="C21:G22"/>
    <mergeCell ref="J21:L22"/>
    <mergeCell ref="M21:Q21"/>
    <mergeCell ref="R21:T22"/>
    <mergeCell ref="U21:W22"/>
    <mergeCell ref="M22:N22"/>
    <mergeCell ref="O22:Q22"/>
    <mergeCell ref="H21:I22"/>
    <mergeCell ref="C15:AJ15"/>
    <mergeCell ref="C16:AJ16"/>
    <mergeCell ref="C18:AJ18"/>
    <mergeCell ref="C17:AJ17"/>
    <mergeCell ref="AG10:AJ10"/>
    <mergeCell ref="C14:AJ14"/>
    <mergeCell ref="B8:L8"/>
    <mergeCell ref="N8:O8"/>
    <mergeCell ref="B12:AJ12"/>
    <mergeCell ref="C13:AJ13"/>
    <mergeCell ref="B1:AJ1"/>
    <mergeCell ref="B3:AJ3"/>
    <mergeCell ref="B5:AJ5"/>
    <mergeCell ref="AG7:AJ7"/>
    <mergeCell ref="C19:AJ19"/>
    <mergeCell ref="X21:X22"/>
    <mergeCell ref="C25:AJ25"/>
    <mergeCell ref="C26:AJ26"/>
    <mergeCell ref="O23:Q23"/>
    <mergeCell ref="R23:T23"/>
    <mergeCell ref="U23:W23"/>
    <mergeCell ref="Y23:AA23"/>
    <mergeCell ref="AB23:AD23"/>
    <mergeCell ref="C23:G23"/>
    <mergeCell ref="J23:L23"/>
    <mergeCell ref="M23:N23"/>
    <mergeCell ref="H23:I23"/>
    <mergeCell ref="AE23:AG23"/>
    <mergeCell ref="AH23:AJ23"/>
  </mergeCells>
  <conditionalFormatting sqref="M23:N23">
    <cfRule type="expression" dxfId="0" priority="4">
      <formula>$AK23&lt;&gt;""</formula>
    </cfRule>
  </conditionalFormatting>
  <dataValidations disablePrompts="1" count="1">
    <dataValidation type="list" allowBlank="1" showInputMessage="1" showErrorMessage="1" sqref="J23:L23" xr:uid="{9D54C650-7738-4981-B8A0-EA2CAC3723C3}">
      <formula1>"1,2,3,9"</formula1>
    </dataValidation>
  </dataValidations>
  <hyperlinks>
    <hyperlink ref="AG7:AJ7" location="Índice!B51" display="Índice" xr:uid="{3A530FFA-9D76-47FE-B492-BA7EF946BC16}"/>
    <hyperlink ref="AG10:AJ10" location="CNSIPEE_2024_M2_Secc16!A133" display="Pregunta 16.6" xr:uid="{D091B487-2655-43FE-B982-469B84E54A20}"/>
  </hyperlinks>
  <printOptions horizontalCentered="1"/>
  <pageMargins left="0.70866141732283472" right="0.70866141732283472" top="0.74803149606299213" bottom="0.74803149606299213" header="0.31496062992125984" footer="0.31496062992125984"/>
  <pageSetup scale="75" orientation="portrait" r:id="rId1"/>
  <headerFooter>
    <oddHeader>&amp;CMódulo 2 
Complemento 3</oddHeader>
    <oddFooter>&amp;LCenso Nacional de Sistemas Penitenciarios Estatales 2024&amp;R&amp;P de &amp;N</oddFooter>
  </headerFooter>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1A9A5573-1D31-4EA4-AFC6-F5D82E4E1C27}">
          <x14:formula1>
            <xm:f>Presentación!$AL$3:$AL$574</xm:f>
          </x14:formula1>
          <xm:sqref>O23:Q23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7B6DD-4CFE-4B10-AB8B-7058A66423BA}">
  <dimension ref="A1:AE371"/>
  <sheetViews>
    <sheetView showGridLines="0" zoomScaleNormal="100" workbookViewId="0">
      <selection activeCell="AA7" sqref="AA7:AD7"/>
    </sheetView>
  </sheetViews>
  <sheetFormatPr baseColWidth="10" defaultColWidth="0" defaultRowHeight="15" customHeight="1" zeroHeight="1"/>
  <cols>
    <col min="1" max="1" width="5.7109375" style="3" customWidth="1"/>
    <col min="2" max="30" width="3.7109375" style="3" customWidth="1"/>
    <col min="31" max="31" width="5.7109375" style="3" customWidth="1"/>
    <col min="32" max="16384" width="11.42578125" style="3" hidden="1"/>
  </cols>
  <sheetData>
    <row r="1" spans="2:30" ht="173.25" customHeight="1">
      <c r="B1" s="718" t="s">
        <v>0</v>
      </c>
      <c r="C1" s="719"/>
      <c r="D1" s="719"/>
      <c r="E1" s="719"/>
      <c r="F1" s="719"/>
      <c r="G1" s="719"/>
      <c r="H1" s="719"/>
      <c r="I1" s="719"/>
      <c r="J1" s="719"/>
      <c r="K1" s="719"/>
      <c r="L1" s="719"/>
      <c r="M1" s="719"/>
      <c r="N1" s="719"/>
      <c r="O1" s="719"/>
      <c r="P1" s="719"/>
      <c r="Q1" s="719"/>
      <c r="R1" s="719"/>
      <c r="S1" s="719"/>
      <c r="T1" s="719"/>
      <c r="U1" s="719"/>
      <c r="V1" s="719"/>
      <c r="W1" s="719"/>
      <c r="X1" s="719"/>
      <c r="Y1" s="719"/>
      <c r="Z1" s="719"/>
      <c r="AA1" s="719"/>
      <c r="AB1" s="719"/>
      <c r="AC1" s="719"/>
      <c r="AD1" s="719"/>
    </row>
    <row r="2" spans="2:30"/>
    <row r="3" spans="2:30" ht="45" customHeight="1">
      <c r="B3" s="720" t="s">
        <v>1</v>
      </c>
      <c r="C3" s="721"/>
      <c r="D3" s="721"/>
      <c r="E3" s="721"/>
      <c r="F3" s="721"/>
      <c r="G3" s="721"/>
      <c r="H3" s="721"/>
      <c r="I3" s="721"/>
      <c r="J3" s="721"/>
      <c r="K3" s="721"/>
      <c r="L3" s="721"/>
      <c r="M3" s="721"/>
      <c r="N3" s="721"/>
      <c r="O3" s="721"/>
      <c r="P3" s="721"/>
      <c r="Q3" s="721"/>
      <c r="R3" s="721"/>
      <c r="S3" s="721"/>
      <c r="T3" s="721"/>
      <c r="U3" s="721"/>
      <c r="V3" s="721"/>
      <c r="W3" s="721"/>
      <c r="X3" s="721"/>
      <c r="Y3" s="721"/>
      <c r="Z3" s="721"/>
      <c r="AA3" s="721"/>
      <c r="AB3" s="721"/>
      <c r="AC3" s="721"/>
      <c r="AD3" s="721"/>
    </row>
    <row r="4" spans="2:30"/>
    <row r="5" spans="2:30" ht="60" customHeight="1">
      <c r="B5" s="720" t="s">
        <v>43</v>
      </c>
      <c r="C5" s="721"/>
      <c r="D5" s="721"/>
      <c r="E5" s="721"/>
      <c r="F5" s="721"/>
      <c r="G5" s="721"/>
      <c r="H5" s="721"/>
      <c r="I5" s="721"/>
      <c r="J5" s="721"/>
      <c r="K5" s="721"/>
      <c r="L5" s="721"/>
      <c r="M5" s="721"/>
      <c r="N5" s="721"/>
      <c r="O5" s="721"/>
      <c r="P5" s="721"/>
      <c r="Q5" s="721"/>
      <c r="R5" s="721"/>
      <c r="S5" s="721"/>
      <c r="T5" s="721"/>
      <c r="U5" s="721"/>
      <c r="V5" s="721"/>
      <c r="W5" s="721"/>
      <c r="X5" s="721"/>
      <c r="Y5" s="721"/>
      <c r="Z5" s="721"/>
      <c r="AA5" s="721"/>
      <c r="AB5" s="721"/>
      <c r="AC5" s="721"/>
      <c r="AD5" s="721"/>
    </row>
    <row r="6" spans="2:30" ht="15" customHeight="1"/>
    <row r="7" spans="2:30" ht="15" customHeight="1" thickBot="1">
      <c r="B7" s="23" t="s">
        <v>3</v>
      </c>
      <c r="N7" s="23" t="s">
        <v>4</v>
      </c>
      <c r="AA7" s="758" t="s">
        <v>2</v>
      </c>
      <c r="AB7" s="758"/>
      <c r="AC7" s="758"/>
      <c r="AD7" s="758"/>
    </row>
    <row r="8" spans="2:30" ht="15" customHeight="1" thickBot="1">
      <c r="B8" s="722" t="str">
        <f>IF(Presentación!B8="","",Presentación!B8)</f>
        <v>Puebla</v>
      </c>
      <c r="C8" s="723"/>
      <c r="D8" s="723"/>
      <c r="E8" s="723"/>
      <c r="F8" s="723"/>
      <c r="G8" s="723"/>
      <c r="H8" s="723"/>
      <c r="I8" s="723"/>
      <c r="J8" s="723"/>
      <c r="K8" s="723"/>
      <c r="L8" s="724"/>
      <c r="M8" s="25"/>
      <c r="N8" s="722">
        <f>IF(Presentación!N8="","",Presentación!N8)</f>
        <v>221</v>
      </c>
      <c r="O8" s="724"/>
    </row>
    <row r="9" spans="2:30" ht="15" customHeight="1"/>
    <row r="10" spans="2:30" ht="15" customHeight="1">
      <c r="B10" s="45" t="s">
        <v>4749</v>
      </c>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row>
    <row r="11" spans="2:30" ht="24" customHeight="1">
      <c r="B11" s="54"/>
      <c r="C11" s="731" t="s">
        <v>6969</v>
      </c>
      <c r="D11" s="731"/>
      <c r="E11" s="731"/>
      <c r="F11" s="731"/>
      <c r="G11" s="731"/>
      <c r="H11" s="731"/>
      <c r="I11" s="731"/>
      <c r="J11" s="731"/>
      <c r="K11" s="731"/>
      <c r="L11" s="731"/>
      <c r="M11" s="731"/>
      <c r="N11" s="731"/>
      <c r="O11" s="731"/>
      <c r="P11" s="731"/>
      <c r="Q11" s="731"/>
      <c r="R11" s="731"/>
      <c r="S11" s="731"/>
      <c r="T11" s="731"/>
      <c r="U11" s="731"/>
      <c r="V11" s="731"/>
      <c r="W11" s="731"/>
      <c r="X11" s="731"/>
      <c r="Y11" s="731"/>
      <c r="Z11" s="731"/>
      <c r="AA11" s="731"/>
      <c r="AB11" s="731"/>
      <c r="AC11" s="731"/>
      <c r="AD11" s="731"/>
    </row>
    <row r="12" spans="2:30">
      <c r="B12" s="54"/>
      <c r="C12" s="36"/>
      <c r="D12" s="36"/>
      <c r="E12" s="36"/>
      <c r="F12" s="36"/>
      <c r="G12" s="36"/>
      <c r="H12" s="36"/>
      <c r="I12" s="36"/>
      <c r="J12" s="36"/>
      <c r="K12" s="36"/>
      <c r="L12" s="36"/>
      <c r="M12" s="36"/>
      <c r="N12" s="36"/>
      <c r="O12" s="36"/>
      <c r="P12" s="36"/>
      <c r="Q12" s="36"/>
      <c r="R12" s="36"/>
      <c r="S12" s="36"/>
      <c r="T12" s="36"/>
      <c r="U12" s="36"/>
      <c r="V12" s="36"/>
      <c r="W12" s="36"/>
      <c r="X12" s="36"/>
      <c r="Y12" s="36"/>
      <c r="Z12" s="36"/>
      <c r="AA12" s="36"/>
      <c r="AB12" s="36"/>
      <c r="AC12" s="36"/>
      <c r="AD12" s="36"/>
    </row>
    <row r="13" spans="2:30" ht="15" customHeight="1">
      <c r="B13" s="54"/>
      <c r="C13" s="51"/>
      <c r="D13" s="731" t="s">
        <v>6970</v>
      </c>
      <c r="E13" s="731"/>
      <c r="F13" s="731"/>
      <c r="G13" s="731"/>
      <c r="H13" s="731"/>
      <c r="I13" s="731"/>
      <c r="J13" s="731"/>
      <c r="K13" s="731"/>
      <c r="L13" s="731"/>
      <c r="M13" s="731"/>
      <c r="N13" s="731"/>
      <c r="O13" s="731"/>
      <c r="P13" s="731"/>
      <c r="Q13" s="731"/>
      <c r="R13" s="731"/>
      <c r="S13" s="731"/>
      <c r="T13" s="731"/>
      <c r="U13" s="731"/>
      <c r="V13" s="731"/>
      <c r="W13" s="731"/>
      <c r="X13" s="731"/>
      <c r="Y13" s="731"/>
      <c r="Z13" s="731"/>
      <c r="AA13" s="731"/>
      <c r="AB13" s="731"/>
      <c r="AC13" s="731"/>
      <c r="AD13" s="731"/>
    </row>
    <row r="14" spans="2:30">
      <c r="B14" s="54"/>
      <c r="C14" s="38"/>
      <c r="D14" s="38"/>
      <c r="E14" s="38"/>
      <c r="F14" s="38"/>
      <c r="G14" s="38"/>
      <c r="H14" s="38"/>
      <c r="I14" s="38"/>
      <c r="J14" s="38"/>
      <c r="K14" s="38"/>
      <c r="L14" s="38"/>
      <c r="M14" s="38"/>
      <c r="N14" s="38"/>
      <c r="O14" s="38"/>
      <c r="P14" s="38"/>
      <c r="Q14" s="38"/>
      <c r="R14" s="38"/>
      <c r="S14" s="38"/>
      <c r="T14" s="38"/>
      <c r="U14" s="38"/>
      <c r="V14" s="38"/>
      <c r="W14" s="38"/>
      <c r="X14" s="38"/>
      <c r="Y14" s="38"/>
      <c r="Z14" s="38"/>
      <c r="AA14" s="38"/>
      <c r="AB14" s="38"/>
      <c r="AC14" s="38"/>
      <c r="AD14" s="38"/>
    </row>
    <row r="15" spans="2:30" ht="15" customHeight="1">
      <c r="B15" s="54"/>
      <c r="C15" s="51"/>
      <c r="D15" s="731" t="s">
        <v>6971</v>
      </c>
      <c r="E15" s="731"/>
      <c r="F15" s="731"/>
      <c r="G15" s="731"/>
      <c r="H15" s="731"/>
      <c r="I15" s="731"/>
      <c r="J15" s="731"/>
      <c r="K15" s="731"/>
      <c r="L15" s="731"/>
      <c r="M15" s="731"/>
      <c r="N15" s="731"/>
      <c r="O15" s="731"/>
      <c r="P15" s="731"/>
      <c r="Q15" s="731"/>
      <c r="R15" s="731"/>
      <c r="S15" s="731"/>
      <c r="T15" s="731"/>
      <c r="U15" s="731"/>
      <c r="V15" s="731"/>
      <c r="W15" s="731"/>
      <c r="X15" s="731"/>
      <c r="Y15" s="731"/>
      <c r="Z15" s="731"/>
      <c r="AA15" s="731"/>
      <c r="AB15" s="731"/>
      <c r="AC15" s="731"/>
      <c r="AD15" s="731"/>
    </row>
    <row r="16" spans="2:30">
      <c r="B16" s="54"/>
      <c r="C16" s="38"/>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38"/>
    </row>
    <row r="17" spans="2:30" ht="15" customHeight="1">
      <c r="B17" s="54"/>
      <c r="C17" s="51"/>
      <c r="D17" s="731" t="s">
        <v>6972</v>
      </c>
      <c r="E17" s="731"/>
      <c r="F17" s="731"/>
      <c r="G17" s="731"/>
      <c r="H17" s="731"/>
      <c r="I17" s="731"/>
      <c r="J17" s="731"/>
      <c r="K17" s="731"/>
      <c r="L17" s="731"/>
      <c r="M17" s="731"/>
      <c r="N17" s="731"/>
      <c r="O17" s="731"/>
      <c r="P17" s="731"/>
      <c r="Q17" s="731"/>
      <c r="R17" s="731"/>
      <c r="S17" s="731"/>
      <c r="T17" s="731"/>
      <c r="U17" s="731"/>
      <c r="V17" s="731"/>
      <c r="W17" s="731"/>
      <c r="X17" s="731"/>
      <c r="Y17" s="731"/>
      <c r="Z17" s="731"/>
      <c r="AA17" s="731"/>
      <c r="AB17" s="731"/>
      <c r="AC17" s="731"/>
      <c r="AD17" s="731"/>
    </row>
    <row r="18" spans="2:30">
      <c r="B18" s="54"/>
      <c r="C18" s="38"/>
      <c r="D18" s="38"/>
      <c r="E18" s="38"/>
      <c r="F18" s="38"/>
      <c r="G18" s="38"/>
      <c r="H18" s="38"/>
      <c r="I18" s="38"/>
      <c r="J18" s="38"/>
      <c r="K18" s="38"/>
      <c r="L18" s="38"/>
      <c r="M18" s="38"/>
      <c r="N18" s="38"/>
      <c r="O18" s="38"/>
      <c r="P18" s="38"/>
      <c r="Q18" s="38"/>
      <c r="R18" s="38"/>
      <c r="S18" s="38"/>
      <c r="T18" s="38"/>
      <c r="U18" s="38"/>
      <c r="V18" s="38"/>
      <c r="W18" s="38"/>
      <c r="X18" s="38"/>
      <c r="Y18" s="38"/>
      <c r="Z18" s="38"/>
      <c r="AA18" s="38"/>
      <c r="AB18" s="38"/>
      <c r="AC18" s="38"/>
      <c r="AD18" s="38"/>
    </row>
    <row r="19" spans="2:30">
      <c r="B19" s="45" t="s">
        <v>6973</v>
      </c>
      <c r="C19" s="157"/>
      <c r="D19" s="157"/>
      <c r="E19" s="38"/>
      <c r="F19" s="38"/>
      <c r="G19" s="38"/>
      <c r="H19" s="38"/>
      <c r="I19" s="38"/>
      <c r="J19" s="38"/>
      <c r="K19" s="38"/>
      <c r="L19" s="38"/>
      <c r="M19" s="38"/>
      <c r="N19" s="38"/>
      <c r="O19" s="38"/>
      <c r="P19" s="38"/>
      <c r="Q19" s="38"/>
      <c r="R19" s="38"/>
      <c r="S19" s="38"/>
      <c r="T19" s="38"/>
      <c r="U19" s="38"/>
      <c r="V19" s="38"/>
      <c r="W19" s="38"/>
      <c r="X19" s="38"/>
      <c r="Y19" s="38"/>
      <c r="Z19" s="38"/>
      <c r="AA19" s="38"/>
      <c r="AB19" s="38"/>
      <c r="AC19" s="38"/>
      <c r="AD19" s="38"/>
    </row>
    <row r="20" spans="2:30" ht="48" customHeight="1">
      <c r="B20" s="54"/>
      <c r="C20" s="731" t="s">
        <v>6974</v>
      </c>
      <c r="D20" s="731"/>
      <c r="E20" s="731"/>
      <c r="F20" s="731"/>
      <c r="G20" s="731"/>
      <c r="H20" s="731"/>
      <c r="I20" s="731"/>
      <c r="J20" s="731"/>
      <c r="K20" s="731"/>
      <c r="L20" s="731"/>
      <c r="M20" s="731"/>
      <c r="N20" s="731"/>
      <c r="O20" s="731"/>
      <c r="P20" s="731"/>
      <c r="Q20" s="731"/>
      <c r="R20" s="731"/>
      <c r="S20" s="731"/>
      <c r="T20" s="731"/>
      <c r="U20" s="731"/>
      <c r="V20" s="731"/>
      <c r="W20" s="731"/>
      <c r="X20" s="731"/>
      <c r="Y20" s="731"/>
      <c r="Z20" s="731"/>
      <c r="AA20" s="731"/>
      <c r="AB20" s="731"/>
      <c r="AC20" s="731"/>
      <c r="AD20" s="731"/>
    </row>
    <row r="21" spans="2:30">
      <c r="B21" s="54"/>
      <c r="C21" s="36"/>
      <c r="D21" s="36"/>
      <c r="E21" s="36"/>
      <c r="F21" s="36"/>
      <c r="G21" s="36"/>
      <c r="H21" s="36"/>
      <c r="I21" s="36"/>
      <c r="J21" s="36"/>
      <c r="K21" s="36"/>
      <c r="L21" s="36"/>
      <c r="M21" s="36"/>
      <c r="N21" s="36"/>
      <c r="O21" s="36"/>
      <c r="P21" s="36"/>
      <c r="Q21" s="36"/>
      <c r="R21" s="36"/>
      <c r="S21" s="36"/>
      <c r="T21" s="36"/>
      <c r="U21" s="36"/>
      <c r="V21" s="36"/>
      <c r="W21" s="36"/>
      <c r="X21" s="36"/>
      <c r="Y21" s="36"/>
      <c r="Z21" s="36"/>
      <c r="AA21" s="36"/>
      <c r="AB21" s="36"/>
      <c r="AC21" s="36"/>
      <c r="AD21" s="36"/>
    </row>
    <row r="22" spans="2:30" ht="15" customHeight="1">
      <c r="B22" s="54"/>
      <c r="C22" s="36"/>
      <c r="D22" s="731" t="s">
        <v>6975</v>
      </c>
      <c r="E22" s="731"/>
      <c r="F22" s="731"/>
      <c r="G22" s="731"/>
      <c r="H22" s="731"/>
      <c r="I22" s="731"/>
      <c r="J22" s="731"/>
      <c r="K22" s="731"/>
      <c r="L22" s="731"/>
      <c r="M22" s="731"/>
      <c r="N22" s="731"/>
      <c r="O22" s="731"/>
      <c r="P22" s="731"/>
      <c r="Q22" s="731"/>
      <c r="R22" s="731"/>
      <c r="S22" s="731"/>
      <c r="T22" s="731"/>
      <c r="U22" s="731"/>
      <c r="V22" s="731"/>
      <c r="W22" s="731"/>
      <c r="X22" s="731"/>
      <c r="Y22" s="731"/>
      <c r="Z22" s="731"/>
      <c r="AA22" s="731"/>
      <c r="AB22" s="731"/>
      <c r="AC22" s="731"/>
      <c r="AD22" s="731"/>
    </row>
    <row r="23" spans="2:30">
      <c r="B23" s="54"/>
      <c r="C23" s="157"/>
      <c r="D23" s="157"/>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row>
    <row r="24" spans="2:30" ht="36" customHeight="1">
      <c r="B24" s="54"/>
      <c r="C24" s="36"/>
      <c r="D24" s="731" t="s">
        <v>6976</v>
      </c>
      <c r="E24" s="731"/>
      <c r="F24" s="731"/>
      <c r="G24" s="731"/>
      <c r="H24" s="731"/>
      <c r="I24" s="731"/>
      <c r="J24" s="731"/>
      <c r="K24" s="731"/>
      <c r="L24" s="731"/>
      <c r="M24" s="731"/>
      <c r="N24" s="731"/>
      <c r="O24" s="731"/>
      <c r="P24" s="731"/>
      <c r="Q24" s="731"/>
      <c r="R24" s="731"/>
      <c r="S24" s="731"/>
      <c r="T24" s="731"/>
      <c r="U24" s="731"/>
      <c r="V24" s="731"/>
      <c r="W24" s="731"/>
      <c r="X24" s="731"/>
      <c r="Y24" s="731"/>
      <c r="Z24" s="731"/>
      <c r="AA24" s="731"/>
      <c r="AB24" s="731"/>
      <c r="AC24" s="731"/>
      <c r="AD24" s="731"/>
    </row>
    <row r="25" spans="2:30">
      <c r="B25" s="54"/>
      <c r="C25" s="157"/>
      <c r="D25" s="157"/>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row>
    <row r="26" spans="2:30" ht="24" customHeight="1">
      <c r="B26" s="54"/>
      <c r="C26" s="36"/>
      <c r="D26" s="731" t="s">
        <v>6977</v>
      </c>
      <c r="E26" s="731"/>
      <c r="F26" s="731"/>
      <c r="G26" s="731"/>
      <c r="H26" s="731"/>
      <c r="I26" s="731"/>
      <c r="J26" s="731"/>
      <c r="K26" s="731"/>
      <c r="L26" s="731"/>
      <c r="M26" s="731"/>
      <c r="N26" s="731"/>
      <c r="O26" s="731"/>
      <c r="P26" s="731"/>
      <c r="Q26" s="731"/>
      <c r="R26" s="731"/>
      <c r="S26" s="731"/>
      <c r="T26" s="731"/>
      <c r="U26" s="731"/>
      <c r="V26" s="731"/>
      <c r="W26" s="731"/>
      <c r="X26" s="731"/>
      <c r="Y26" s="731"/>
      <c r="Z26" s="731"/>
      <c r="AA26" s="731"/>
      <c r="AB26" s="731"/>
      <c r="AC26" s="731"/>
      <c r="AD26" s="731"/>
    </row>
    <row r="27" spans="2:30">
      <c r="B27" s="54"/>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row>
    <row r="28" spans="2:30">
      <c r="B28" s="45" t="s">
        <v>6978</v>
      </c>
      <c r="C28" s="157"/>
      <c r="D28" s="157"/>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row>
    <row r="29" spans="2:30" ht="24" customHeight="1">
      <c r="B29" s="54"/>
      <c r="C29" s="731" t="s">
        <v>6979</v>
      </c>
      <c r="D29" s="731"/>
      <c r="E29" s="731"/>
      <c r="F29" s="731"/>
      <c r="G29" s="731"/>
      <c r="H29" s="731"/>
      <c r="I29" s="731"/>
      <c r="J29" s="731"/>
      <c r="K29" s="731"/>
      <c r="L29" s="731"/>
      <c r="M29" s="731"/>
      <c r="N29" s="731"/>
      <c r="O29" s="731"/>
      <c r="P29" s="731"/>
      <c r="Q29" s="731"/>
      <c r="R29" s="731"/>
      <c r="S29" s="731"/>
      <c r="T29" s="731"/>
      <c r="U29" s="731"/>
      <c r="V29" s="731"/>
      <c r="W29" s="731"/>
      <c r="X29" s="731"/>
      <c r="Y29" s="731"/>
      <c r="Z29" s="731"/>
      <c r="AA29" s="731"/>
      <c r="AB29" s="731"/>
      <c r="AC29" s="731"/>
      <c r="AD29" s="731"/>
    </row>
    <row r="30" spans="2:30">
      <c r="B30" s="54"/>
      <c r="C30" s="157"/>
      <c r="D30" s="157"/>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row>
    <row r="31" spans="2:30">
      <c r="B31" s="45" t="s">
        <v>6980</v>
      </c>
      <c r="C31" s="157"/>
      <c r="D31" s="157"/>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row>
    <row r="32" spans="2:30" ht="60" customHeight="1">
      <c r="B32" s="54"/>
      <c r="C32" s="731" t="s">
        <v>6981</v>
      </c>
      <c r="D32" s="731"/>
      <c r="E32" s="731"/>
      <c r="F32" s="731"/>
      <c r="G32" s="731"/>
      <c r="H32" s="731"/>
      <c r="I32" s="731"/>
      <c r="J32" s="731"/>
      <c r="K32" s="731"/>
      <c r="L32" s="731"/>
      <c r="M32" s="731"/>
      <c r="N32" s="731"/>
      <c r="O32" s="731"/>
      <c r="P32" s="731"/>
      <c r="Q32" s="731"/>
      <c r="R32" s="731"/>
      <c r="S32" s="731"/>
      <c r="T32" s="731"/>
      <c r="U32" s="731"/>
      <c r="V32" s="731"/>
      <c r="W32" s="731"/>
      <c r="X32" s="731"/>
      <c r="Y32" s="731"/>
      <c r="Z32" s="731"/>
      <c r="AA32" s="731"/>
      <c r="AB32" s="731"/>
      <c r="AC32" s="731"/>
      <c r="AD32" s="731"/>
    </row>
    <row r="33" spans="2:30">
      <c r="B33" s="54"/>
      <c r="C33" s="157"/>
      <c r="D33" s="157"/>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row>
    <row r="34" spans="2:30">
      <c r="B34" s="45" t="s">
        <v>6982</v>
      </c>
      <c r="C34" s="157"/>
      <c r="D34" s="157"/>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row>
    <row r="35" spans="2:30" ht="24" customHeight="1">
      <c r="B35" s="54"/>
      <c r="C35" s="731" t="s">
        <v>6983</v>
      </c>
      <c r="D35" s="731"/>
      <c r="E35" s="731"/>
      <c r="F35" s="731"/>
      <c r="G35" s="731"/>
      <c r="H35" s="731"/>
      <c r="I35" s="731"/>
      <c r="J35" s="731"/>
      <c r="K35" s="731"/>
      <c r="L35" s="731"/>
      <c r="M35" s="731"/>
      <c r="N35" s="731"/>
      <c r="O35" s="731"/>
      <c r="P35" s="731"/>
      <c r="Q35" s="731"/>
      <c r="R35" s="731"/>
      <c r="S35" s="731"/>
      <c r="T35" s="731"/>
      <c r="U35" s="731"/>
      <c r="V35" s="731"/>
      <c r="W35" s="731"/>
      <c r="X35" s="731"/>
      <c r="Y35" s="731"/>
      <c r="Z35" s="731"/>
      <c r="AA35" s="731"/>
      <c r="AB35" s="731"/>
      <c r="AC35" s="731"/>
      <c r="AD35" s="731"/>
    </row>
    <row r="36" spans="2:30">
      <c r="B36" s="54"/>
      <c r="C36" s="157"/>
      <c r="D36" s="157"/>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row>
    <row r="37" spans="2:30">
      <c r="B37" s="45" t="s">
        <v>6984</v>
      </c>
      <c r="C37" s="157"/>
      <c r="D37" s="157"/>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row>
    <row r="38" spans="2:30" ht="36" customHeight="1">
      <c r="B38" s="54"/>
      <c r="C38" s="731" t="s">
        <v>6985</v>
      </c>
      <c r="D38" s="731"/>
      <c r="E38" s="731"/>
      <c r="F38" s="731"/>
      <c r="G38" s="731"/>
      <c r="H38" s="731"/>
      <c r="I38" s="731"/>
      <c r="J38" s="731"/>
      <c r="K38" s="731"/>
      <c r="L38" s="731"/>
      <c r="M38" s="731"/>
      <c r="N38" s="731"/>
      <c r="O38" s="731"/>
      <c r="P38" s="731"/>
      <c r="Q38" s="731"/>
      <c r="R38" s="731"/>
      <c r="S38" s="731"/>
      <c r="T38" s="731"/>
      <c r="U38" s="731"/>
      <c r="V38" s="731"/>
      <c r="W38" s="731"/>
      <c r="X38" s="731"/>
      <c r="Y38" s="731"/>
      <c r="Z38" s="731"/>
      <c r="AA38" s="731"/>
      <c r="AB38" s="731"/>
      <c r="AC38" s="731"/>
      <c r="AD38" s="731"/>
    </row>
    <row r="39" spans="2:30">
      <c r="B39" s="54"/>
      <c r="C39" s="157"/>
      <c r="D39" s="157"/>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row>
    <row r="40" spans="2:30">
      <c r="B40" s="45" t="s">
        <v>6986</v>
      </c>
      <c r="C40" s="157"/>
      <c r="D40" s="157"/>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row>
    <row r="41" spans="2:30" ht="48" customHeight="1">
      <c r="B41" s="54"/>
      <c r="C41" s="731" t="s">
        <v>6987</v>
      </c>
      <c r="D41" s="731"/>
      <c r="E41" s="731"/>
      <c r="F41" s="731"/>
      <c r="G41" s="731"/>
      <c r="H41" s="731"/>
      <c r="I41" s="731"/>
      <c r="J41" s="731"/>
      <c r="K41" s="731"/>
      <c r="L41" s="731"/>
      <c r="M41" s="731"/>
      <c r="N41" s="731"/>
      <c r="O41" s="731"/>
      <c r="P41" s="731"/>
      <c r="Q41" s="731"/>
      <c r="R41" s="731"/>
      <c r="S41" s="731"/>
      <c r="T41" s="731"/>
      <c r="U41" s="731"/>
      <c r="V41" s="731"/>
      <c r="W41" s="731"/>
      <c r="X41" s="731"/>
      <c r="Y41" s="731"/>
      <c r="Z41" s="731"/>
      <c r="AA41" s="731"/>
      <c r="AB41" s="731"/>
      <c r="AC41" s="731"/>
      <c r="AD41" s="731"/>
    </row>
    <row r="42" spans="2:30">
      <c r="B42" s="54"/>
      <c r="C42" s="157"/>
      <c r="D42" s="157"/>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row>
    <row r="43" spans="2:30">
      <c r="B43" s="45" t="s">
        <v>6988</v>
      </c>
      <c r="C43" s="157"/>
      <c r="D43" s="157"/>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row>
    <row r="44" spans="2:30" ht="36" customHeight="1">
      <c r="B44" s="54"/>
      <c r="C44" s="731" t="s">
        <v>6989</v>
      </c>
      <c r="D44" s="731"/>
      <c r="E44" s="731"/>
      <c r="F44" s="731"/>
      <c r="G44" s="731"/>
      <c r="H44" s="731"/>
      <c r="I44" s="731"/>
      <c r="J44" s="731"/>
      <c r="K44" s="731"/>
      <c r="L44" s="731"/>
      <c r="M44" s="731"/>
      <c r="N44" s="731"/>
      <c r="O44" s="731"/>
      <c r="P44" s="731"/>
      <c r="Q44" s="731"/>
      <c r="R44" s="731"/>
      <c r="S44" s="731"/>
      <c r="T44" s="731"/>
      <c r="U44" s="731"/>
      <c r="V44" s="731"/>
      <c r="W44" s="731"/>
      <c r="X44" s="731"/>
      <c r="Y44" s="731"/>
      <c r="Z44" s="731"/>
      <c r="AA44" s="731"/>
      <c r="AB44" s="731"/>
      <c r="AC44" s="731"/>
      <c r="AD44" s="731"/>
    </row>
    <row r="45" spans="2:30">
      <c r="B45" s="54"/>
      <c r="C45" s="157"/>
      <c r="D45" s="157"/>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row>
    <row r="46" spans="2:30">
      <c r="B46" s="45" t="s">
        <v>4119</v>
      </c>
      <c r="C46" s="157"/>
      <c r="D46" s="157"/>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row>
    <row r="47" spans="2:30" ht="24" customHeight="1">
      <c r="B47" s="54"/>
      <c r="C47" s="731" t="s">
        <v>6990</v>
      </c>
      <c r="D47" s="731"/>
      <c r="E47" s="731"/>
      <c r="F47" s="731"/>
      <c r="G47" s="731"/>
      <c r="H47" s="731"/>
      <c r="I47" s="731"/>
      <c r="J47" s="731"/>
      <c r="K47" s="731"/>
      <c r="L47" s="731"/>
      <c r="M47" s="731"/>
      <c r="N47" s="731"/>
      <c r="O47" s="731"/>
      <c r="P47" s="731"/>
      <c r="Q47" s="731"/>
      <c r="R47" s="731"/>
      <c r="S47" s="731"/>
      <c r="T47" s="731"/>
      <c r="U47" s="731"/>
      <c r="V47" s="731"/>
      <c r="W47" s="731"/>
      <c r="X47" s="731"/>
      <c r="Y47" s="731"/>
      <c r="Z47" s="731"/>
      <c r="AA47" s="731"/>
      <c r="AB47" s="731"/>
      <c r="AC47" s="731"/>
      <c r="AD47" s="731"/>
    </row>
    <row r="48" spans="2:30">
      <c r="B48" s="54"/>
      <c r="C48" s="157"/>
      <c r="D48" s="157"/>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row>
    <row r="49" spans="2:30">
      <c r="B49" s="45" t="s">
        <v>6991</v>
      </c>
    </row>
    <row r="50" spans="2:30" ht="36" customHeight="1">
      <c r="B50" s="16"/>
      <c r="C50" s="731" t="s">
        <v>6992</v>
      </c>
      <c r="D50" s="731"/>
      <c r="E50" s="731"/>
      <c r="F50" s="731"/>
      <c r="G50" s="731"/>
      <c r="H50" s="731"/>
      <c r="I50" s="731"/>
      <c r="J50" s="731"/>
      <c r="K50" s="731"/>
      <c r="L50" s="731"/>
      <c r="M50" s="731"/>
      <c r="N50" s="731"/>
      <c r="O50" s="731"/>
      <c r="P50" s="731"/>
      <c r="Q50" s="731"/>
      <c r="R50" s="731"/>
      <c r="S50" s="731"/>
      <c r="T50" s="731"/>
      <c r="U50" s="731"/>
      <c r="V50" s="731"/>
      <c r="W50" s="731"/>
      <c r="X50" s="731"/>
      <c r="Y50" s="731"/>
      <c r="Z50" s="731"/>
      <c r="AA50" s="731"/>
      <c r="AB50" s="731"/>
      <c r="AC50" s="731"/>
      <c r="AD50" s="731"/>
    </row>
    <row r="51" spans="2:30">
      <c r="B51" s="113"/>
      <c r="C51" s="46"/>
      <c r="D51" s="46"/>
      <c r="E51" s="46"/>
      <c r="F51" s="46"/>
      <c r="G51" s="46"/>
      <c r="H51" s="46"/>
      <c r="I51" s="46"/>
      <c r="J51" s="46"/>
      <c r="K51" s="46"/>
      <c r="L51" s="46"/>
      <c r="M51" s="46"/>
      <c r="N51" s="46"/>
      <c r="O51" s="46"/>
      <c r="P51" s="46"/>
      <c r="Q51" s="46"/>
      <c r="R51" s="46"/>
      <c r="S51" s="46"/>
      <c r="T51" s="46"/>
      <c r="U51" s="46"/>
      <c r="V51" s="46"/>
      <c r="W51" s="46"/>
      <c r="X51" s="46"/>
      <c r="Y51" s="46"/>
      <c r="Z51" s="46"/>
      <c r="AA51" s="46"/>
      <c r="AB51" s="46"/>
      <c r="AC51" s="46"/>
      <c r="AD51" s="46"/>
    </row>
    <row r="52" spans="2:30" ht="36" customHeight="1">
      <c r="B52" s="113"/>
      <c r="C52" s="46"/>
      <c r="D52" s="731" t="s">
        <v>6993</v>
      </c>
      <c r="E52" s="731"/>
      <c r="F52" s="731"/>
      <c r="G52" s="731"/>
      <c r="H52" s="731"/>
      <c r="I52" s="731"/>
      <c r="J52" s="731"/>
      <c r="K52" s="731"/>
      <c r="L52" s="731"/>
      <c r="M52" s="731"/>
      <c r="N52" s="731"/>
      <c r="O52" s="731"/>
      <c r="P52" s="731"/>
      <c r="Q52" s="731"/>
      <c r="R52" s="731"/>
      <c r="S52" s="731"/>
      <c r="T52" s="731"/>
      <c r="U52" s="731"/>
      <c r="V52" s="731"/>
      <c r="W52" s="731"/>
      <c r="X52" s="731"/>
      <c r="Y52" s="731"/>
      <c r="Z52" s="731"/>
      <c r="AA52" s="731"/>
      <c r="AB52" s="731"/>
      <c r="AC52" s="731"/>
      <c r="AD52" s="731"/>
    </row>
    <row r="53" spans="2:30">
      <c r="B53" s="113"/>
      <c r="C53" s="46"/>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row>
    <row r="54" spans="2:30" ht="24" customHeight="1">
      <c r="B54" s="113"/>
      <c r="C54" s="46"/>
      <c r="D54" s="731" t="s">
        <v>6994</v>
      </c>
      <c r="E54" s="731"/>
      <c r="F54" s="731"/>
      <c r="G54" s="731"/>
      <c r="H54" s="731"/>
      <c r="I54" s="731"/>
      <c r="J54" s="731"/>
      <c r="K54" s="731"/>
      <c r="L54" s="731"/>
      <c r="M54" s="731"/>
      <c r="N54" s="731"/>
      <c r="O54" s="731"/>
      <c r="P54" s="731"/>
      <c r="Q54" s="731"/>
      <c r="R54" s="731"/>
      <c r="S54" s="731"/>
      <c r="T54" s="731"/>
      <c r="U54" s="731"/>
      <c r="V54" s="731"/>
      <c r="W54" s="731"/>
      <c r="X54" s="731"/>
      <c r="Y54" s="731"/>
      <c r="Z54" s="731"/>
      <c r="AA54" s="731"/>
      <c r="AB54" s="731"/>
      <c r="AC54" s="731"/>
      <c r="AD54" s="731"/>
    </row>
    <row r="55" spans="2:30">
      <c r="B55" s="113"/>
      <c r="C55" s="46"/>
      <c r="D55" s="36"/>
      <c r="E55" s="36"/>
      <c r="F55" s="36"/>
      <c r="G55" s="36"/>
      <c r="H55" s="36"/>
      <c r="I55" s="36"/>
      <c r="J55" s="36"/>
      <c r="K55" s="36"/>
      <c r="L55" s="36"/>
      <c r="M55" s="36"/>
      <c r="N55" s="36"/>
      <c r="O55" s="36"/>
      <c r="P55" s="36"/>
      <c r="Q55" s="36"/>
      <c r="R55" s="36"/>
      <c r="S55" s="36"/>
      <c r="T55" s="36"/>
      <c r="U55" s="36"/>
      <c r="V55" s="36"/>
      <c r="W55" s="36"/>
      <c r="X55" s="36"/>
      <c r="Y55" s="36"/>
      <c r="Z55" s="36"/>
      <c r="AA55" s="36"/>
      <c r="AB55" s="36"/>
      <c r="AC55" s="36"/>
      <c r="AD55" s="36"/>
    </row>
    <row r="56" spans="2:30" ht="36" customHeight="1">
      <c r="B56" s="113"/>
      <c r="C56" s="46"/>
      <c r="D56" s="731" t="s">
        <v>6995</v>
      </c>
      <c r="E56" s="731"/>
      <c r="F56" s="731"/>
      <c r="G56" s="731"/>
      <c r="H56" s="731"/>
      <c r="I56" s="731"/>
      <c r="J56" s="731"/>
      <c r="K56" s="731"/>
      <c r="L56" s="731"/>
      <c r="M56" s="731"/>
      <c r="N56" s="731"/>
      <c r="O56" s="731"/>
      <c r="P56" s="731"/>
      <c r="Q56" s="731"/>
      <c r="R56" s="731"/>
      <c r="S56" s="731"/>
      <c r="T56" s="731"/>
      <c r="U56" s="731"/>
      <c r="V56" s="731"/>
      <c r="W56" s="731"/>
      <c r="X56" s="731"/>
      <c r="Y56" s="731"/>
      <c r="Z56" s="731"/>
      <c r="AA56" s="731"/>
      <c r="AB56" s="731"/>
      <c r="AC56" s="731"/>
      <c r="AD56" s="731"/>
    </row>
    <row r="57" spans="2:30">
      <c r="B57" s="113"/>
      <c r="C57" s="46"/>
      <c r="D57" s="36"/>
      <c r="E57" s="36"/>
      <c r="F57" s="36"/>
      <c r="G57" s="36"/>
      <c r="H57" s="36"/>
      <c r="I57" s="36"/>
      <c r="J57" s="36"/>
      <c r="K57" s="36"/>
      <c r="L57" s="36"/>
      <c r="M57" s="36"/>
      <c r="N57" s="36"/>
      <c r="O57" s="36"/>
      <c r="P57" s="36"/>
      <c r="Q57" s="36"/>
      <c r="R57" s="36"/>
      <c r="S57" s="36"/>
      <c r="T57" s="36"/>
      <c r="U57" s="36"/>
      <c r="V57" s="36"/>
      <c r="W57" s="36"/>
      <c r="X57" s="36"/>
      <c r="Y57" s="36"/>
      <c r="Z57" s="36"/>
      <c r="AA57" s="36"/>
      <c r="AB57" s="36"/>
      <c r="AC57" s="36"/>
      <c r="AD57" s="36"/>
    </row>
    <row r="58" spans="2:30" ht="48" customHeight="1">
      <c r="B58" s="113"/>
      <c r="C58" s="46"/>
      <c r="D58" s="731" t="s">
        <v>6996</v>
      </c>
      <c r="E58" s="731"/>
      <c r="F58" s="731"/>
      <c r="G58" s="731"/>
      <c r="H58" s="731"/>
      <c r="I58" s="731"/>
      <c r="J58" s="731"/>
      <c r="K58" s="731"/>
      <c r="L58" s="731"/>
      <c r="M58" s="731"/>
      <c r="N58" s="731"/>
      <c r="O58" s="731"/>
      <c r="P58" s="731"/>
      <c r="Q58" s="731"/>
      <c r="R58" s="731"/>
      <c r="S58" s="731"/>
      <c r="T58" s="731"/>
      <c r="U58" s="731"/>
      <c r="V58" s="731"/>
      <c r="W58" s="731"/>
      <c r="X58" s="731"/>
      <c r="Y58" s="731"/>
      <c r="Z58" s="731"/>
      <c r="AA58" s="731"/>
      <c r="AB58" s="731"/>
      <c r="AC58" s="731"/>
      <c r="AD58" s="731"/>
    </row>
    <row r="59" spans="2:30">
      <c r="B59" s="113"/>
      <c r="C59" s="46"/>
      <c r="D59" s="46"/>
      <c r="E59" s="46"/>
      <c r="F59" s="46"/>
      <c r="G59" s="46"/>
      <c r="H59" s="46"/>
      <c r="I59" s="46"/>
      <c r="J59" s="46"/>
      <c r="K59" s="46"/>
      <c r="L59" s="46"/>
      <c r="M59" s="46"/>
      <c r="N59" s="46"/>
      <c r="O59" s="46"/>
      <c r="P59" s="46"/>
      <c r="Q59" s="46"/>
      <c r="R59" s="46"/>
      <c r="S59" s="46"/>
      <c r="T59" s="46"/>
      <c r="U59" s="46"/>
      <c r="V59" s="46"/>
      <c r="W59" s="46"/>
      <c r="X59" s="46"/>
      <c r="Y59" s="46"/>
      <c r="Z59" s="46"/>
      <c r="AA59" s="46"/>
      <c r="AB59" s="46"/>
      <c r="AC59" s="46"/>
      <c r="AD59" s="46"/>
    </row>
    <row r="60" spans="2:30" ht="36" customHeight="1">
      <c r="B60" s="113"/>
      <c r="C60" s="46"/>
      <c r="D60" s="731" t="s">
        <v>6997</v>
      </c>
      <c r="E60" s="731"/>
      <c r="F60" s="731"/>
      <c r="G60" s="731"/>
      <c r="H60" s="731"/>
      <c r="I60" s="731"/>
      <c r="J60" s="731"/>
      <c r="K60" s="731"/>
      <c r="L60" s="731"/>
      <c r="M60" s="731"/>
      <c r="N60" s="731"/>
      <c r="O60" s="731"/>
      <c r="P60" s="731"/>
      <c r="Q60" s="731"/>
      <c r="R60" s="731"/>
      <c r="S60" s="731"/>
      <c r="T60" s="731"/>
      <c r="U60" s="731"/>
      <c r="V60" s="731"/>
      <c r="W60" s="731"/>
      <c r="X60" s="731"/>
      <c r="Y60" s="731"/>
      <c r="Z60" s="731"/>
      <c r="AA60" s="731"/>
      <c r="AB60" s="731"/>
      <c r="AC60" s="731"/>
      <c r="AD60" s="731"/>
    </row>
    <row r="61" spans="2:30">
      <c r="B61" s="113"/>
      <c r="C61" s="4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row>
    <row r="62" spans="2:30" ht="24" customHeight="1">
      <c r="B62" s="113"/>
      <c r="C62" s="46"/>
      <c r="D62" s="731" t="s">
        <v>6998</v>
      </c>
      <c r="E62" s="731"/>
      <c r="F62" s="731"/>
      <c r="G62" s="731"/>
      <c r="H62" s="731"/>
      <c r="I62" s="731"/>
      <c r="J62" s="731"/>
      <c r="K62" s="731"/>
      <c r="L62" s="731"/>
      <c r="M62" s="731"/>
      <c r="N62" s="731"/>
      <c r="O62" s="731"/>
      <c r="P62" s="731"/>
      <c r="Q62" s="731"/>
      <c r="R62" s="731"/>
      <c r="S62" s="731"/>
      <c r="T62" s="731"/>
      <c r="U62" s="731"/>
      <c r="V62" s="731"/>
      <c r="W62" s="731"/>
      <c r="X62" s="731"/>
      <c r="Y62" s="731"/>
      <c r="Z62" s="731"/>
      <c r="AA62" s="731"/>
      <c r="AB62" s="731"/>
      <c r="AC62" s="731"/>
      <c r="AD62" s="731"/>
    </row>
    <row r="63" spans="2:30">
      <c r="B63" s="113"/>
      <c r="C63" s="4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row>
    <row r="64" spans="2:30" ht="48" customHeight="1">
      <c r="B64" s="113"/>
      <c r="C64" s="46"/>
      <c r="D64" s="731" t="s">
        <v>6999</v>
      </c>
      <c r="E64" s="731"/>
      <c r="F64" s="731"/>
      <c r="G64" s="731"/>
      <c r="H64" s="731"/>
      <c r="I64" s="731"/>
      <c r="J64" s="731"/>
      <c r="K64" s="731"/>
      <c r="L64" s="731"/>
      <c r="M64" s="731"/>
      <c r="N64" s="731"/>
      <c r="O64" s="731"/>
      <c r="P64" s="731"/>
      <c r="Q64" s="731"/>
      <c r="R64" s="731"/>
      <c r="S64" s="731"/>
      <c r="T64" s="731"/>
      <c r="U64" s="731"/>
      <c r="V64" s="731"/>
      <c r="W64" s="731"/>
      <c r="X64" s="731"/>
      <c r="Y64" s="731"/>
      <c r="Z64" s="731"/>
      <c r="AA64" s="731"/>
      <c r="AB64" s="731"/>
      <c r="AC64" s="731"/>
      <c r="AD64" s="731"/>
    </row>
    <row r="65" spans="2:30">
      <c r="B65" s="113"/>
      <c r="C65" s="4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row>
    <row r="66" spans="2:30" ht="48" customHeight="1">
      <c r="B66" s="113"/>
      <c r="C66" s="46"/>
      <c r="D66" s="731" t="s">
        <v>7000</v>
      </c>
      <c r="E66" s="731"/>
      <c r="F66" s="731"/>
      <c r="G66" s="731"/>
      <c r="H66" s="731"/>
      <c r="I66" s="731"/>
      <c r="J66" s="731"/>
      <c r="K66" s="731"/>
      <c r="L66" s="731"/>
      <c r="M66" s="731"/>
      <c r="N66" s="731"/>
      <c r="O66" s="731"/>
      <c r="P66" s="731"/>
      <c r="Q66" s="731"/>
      <c r="R66" s="731"/>
      <c r="S66" s="731"/>
      <c r="T66" s="731"/>
      <c r="U66" s="731"/>
      <c r="V66" s="731"/>
      <c r="W66" s="731"/>
      <c r="X66" s="731"/>
      <c r="Y66" s="731"/>
      <c r="Z66" s="731"/>
      <c r="AA66" s="731"/>
      <c r="AB66" s="731"/>
      <c r="AC66" s="731"/>
      <c r="AD66" s="731"/>
    </row>
    <row r="67" spans="2:30">
      <c r="B67" s="113"/>
      <c r="C67" s="4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row>
    <row r="68" spans="2:30" ht="48" customHeight="1">
      <c r="B68" s="113"/>
      <c r="C68" s="46"/>
      <c r="D68" s="731" t="s">
        <v>7001</v>
      </c>
      <c r="E68" s="731"/>
      <c r="F68" s="731"/>
      <c r="G68" s="731"/>
      <c r="H68" s="731"/>
      <c r="I68" s="731"/>
      <c r="J68" s="731"/>
      <c r="K68" s="731"/>
      <c r="L68" s="731"/>
      <c r="M68" s="731"/>
      <c r="N68" s="731"/>
      <c r="O68" s="731"/>
      <c r="P68" s="731"/>
      <c r="Q68" s="731"/>
      <c r="R68" s="731"/>
      <c r="S68" s="731"/>
      <c r="T68" s="731"/>
      <c r="U68" s="731"/>
      <c r="V68" s="731"/>
      <c r="W68" s="731"/>
      <c r="X68" s="731"/>
      <c r="Y68" s="731"/>
      <c r="Z68" s="731"/>
      <c r="AA68" s="731"/>
      <c r="AB68" s="731"/>
      <c r="AC68" s="731"/>
      <c r="AD68" s="731"/>
    </row>
    <row r="69" spans="2:30">
      <c r="B69" s="54"/>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row>
    <row r="70" spans="2:30">
      <c r="B70" s="45" t="s">
        <v>7002</v>
      </c>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row>
    <row r="71" spans="2:30" ht="15" customHeight="1">
      <c r="B71" s="54"/>
      <c r="C71" s="731" t="s">
        <v>7003</v>
      </c>
      <c r="D71" s="731"/>
      <c r="E71" s="731"/>
      <c r="F71" s="731"/>
      <c r="G71" s="731"/>
      <c r="H71" s="731"/>
      <c r="I71" s="731"/>
      <c r="J71" s="731"/>
      <c r="K71" s="731"/>
      <c r="L71" s="731"/>
      <c r="M71" s="731"/>
      <c r="N71" s="731"/>
      <c r="O71" s="731"/>
      <c r="P71" s="731"/>
      <c r="Q71" s="731"/>
      <c r="R71" s="731"/>
      <c r="S71" s="731"/>
      <c r="T71" s="731"/>
      <c r="U71" s="731"/>
      <c r="V71" s="731"/>
      <c r="W71" s="731"/>
      <c r="X71" s="731"/>
      <c r="Y71" s="731"/>
      <c r="Z71" s="731"/>
      <c r="AA71" s="731"/>
      <c r="AB71" s="731"/>
      <c r="AC71" s="731"/>
      <c r="AD71" s="731"/>
    </row>
    <row r="72" spans="2:30">
      <c r="B72" s="54"/>
      <c r="C72" s="157"/>
      <c r="D72" s="157"/>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row>
    <row r="73" spans="2:30">
      <c r="B73" s="45" t="s">
        <v>7004</v>
      </c>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row>
    <row r="74" spans="2:30" ht="48" customHeight="1">
      <c r="B74" s="54"/>
      <c r="C74" s="731" t="s">
        <v>7005</v>
      </c>
      <c r="D74" s="731"/>
      <c r="E74" s="731"/>
      <c r="F74" s="731"/>
      <c r="G74" s="731"/>
      <c r="H74" s="731"/>
      <c r="I74" s="731"/>
      <c r="J74" s="731"/>
      <c r="K74" s="731"/>
      <c r="L74" s="731"/>
      <c r="M74" s="731"/>
      <c r="N74" s="731"/>
      <c r="O74" s="731"/>
      <c r="P74" s="731"/>
      <c r="Q74" s="731"/>
      <c r="R74" s="731"/>
      <c r="S74" s="731"/>
      <c r="T74" s="731"/>
      <c r="U74" s="731"/>
      <c r="V74" s="731"/>
      <c r="W74" s="731"/>
      <c r="X74" s="731"/>
      <c r="Y74" s="731"/>
      <c r="Z74" s="731"/>
      <c r="AA74" s="731"/>
      <c r="AB74" s="731"/>
      <c r="AC74" s="731"/>
      <c r="AD74" s="731"/>
    </row>
    <row r="75" spans="2:30">
      <c r="B75" s="54"/>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row>
    <row r="76" spans="2:30">
      <c r="B76" s="45" t="s">
        <v>7006</v>
      </c>
      <c r="C76" s="157"/>
      <c r="D76" s="157"/>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row>
    <row r="77" spans="2:30" ht="48" customHeight="1">
      <c r="B77" s="54"/>
      <c r="C77" s="731" t="s">
        <v>7007</v>
      </c>
      <c r="D77" s="731"/>
      <c r="E77" s="731"/>
      <c r="F77" s="731"/>
      <c r="G77" s="731"/>
      <c r="H77" s="731"/>
      <c r="I77" s="731"/>
      <c r="J77" s="731"/>
      <c r="K77" s="731"/>
      <c r="L77" s="731"/>
      <c r="M77" s="731"/>
      <c r="N77" s="731"/>
      <c r="O77" s="731"/>
      <c r="P77" s="731"/>
      <c r="Q77" s="731"/>
      <c r="R77" s="731"/>
      <c r="S77" s="731"/>
      <c r="T77" s="731"/>
      <c r="U77" s="731"/>
      <c r="V77" s="731"/>
      <c r="W77" s="731"/>
      <c r="X77" s="731"/>
      <c r="Y77" s="731"/>
      <c r="Z77" s="731"/>
      <c r="AA77" s="731"/>
      <c r="AB77" s="731"/>
      <c r="AC77" s="731"/>
      <c r="AD77" s="731"/>
    </row>
    <row r="78" spans="2:30">
      <c r="B78" s="54"/>
      <c r="C78" s="157"/>
      <c r="D78" s="157"/>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row>
    <row r="79" spans="2:30">
      <c r="B79" s="45" t="s">
        <v>7008</v>
      </c>
      <c r="C79" s="157"/>
      <c r="D79" s="157"/>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row>
    <row r="80" spans="2:30" ht="36" customHeight="1">
      <c r="B80" s="54"/>
      <c r="C80" s="731" t="s">
        <v>7009</v>
      </c>
      <c r="D80" s="731"/>
      <c r="E80" s="731"/>
      <c r="F80" s="731"/>
      <c r="G80" s="731"/>
      <c r="H80" s="731"/>
      <c r="I80" s="731"/>
      <c r="J80" s="731"/>
      <c r="K80" s="731"/>
      <c r="L80" s="731"/>
      <c r="M80" s="731"/>
      <c r="N80" s="731"/>
      <c r="O80" s="731"/>
      <c r="P80" s="731"/>
      <c r="Q80" s="731"/>
      <c r="R80" s="731"/>
      <c r="S80" s="731"/>
      <c r="T80" s="731"/>
      <c r="U80" s="731"/>
      <c r="V80" s="731"/>
      <c r="W80" s="731"/>
      <c r="X80" s="731"/>
      <c r="Y80" s="731"/>
      <c r="Z80" s="731"/>
      <c r="AA80" s="731"/>
      <c r="AB80" s="731"/>
      <c r="AC80" s="731"/>
      <c r="AD80" s="731"/>
    </row>
    <row r="81" spans="2:30">
      <c r="B81" s="54"/>
      <c r="C81" s="157"/>
      <c r="D81" s="157"/>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row>
    <row r="82" spans="2:30">
      <c r="B82" s="45" t="s">
        <v>4116</v>
      </c>
      <c r="C82" s="157"/>
      <c r="D82" s="157"/>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row>
    <row r="83" spans="2:30" ht="15" customHeight="1">
      <c r="B83" s="54"/>
      <c r="C83" s="731" t="s">
        <v>7010</v>
      </c>
      <c r="D83" s="731"/>
      <c r="E83" s="731"/>
      <c r="F83" s="731"/>
      <c r="G83" s="731"/>
      <c r="H83" s="731"/>
      <c r="I83" s="731"/>
      <c r="J83" s="731"/>
      <c r="K83" s="731"/>
      <c r="L83" s="731"/>
      <c r="M83" s="731"/>
      <c r="N83" s="731"/>
      <c r="O83" s="731"/>
      <c r="P83" s="731"/>
      <c r="Q83" s="731"/>
      <c r="R83" s="731"/>
      <c r="S83" s="731"/>
      <c r="T83" s="731"/>
      <c r="U83" s="731"/>
      <c r="V83" s="731"/>
      <c r="W83" s="731"/>
      <c r="X83" s="731"/>
      <c r="Y83" s="731"/>
      <c r="Z83" s="731"/>
      <c r="AA83" s="731"/>
      <c r="AB83" s="731"/>
      <c r="AC83" s="731"/>
      <c r="AD83" s="731"/>
    </row>
    <row r="84" spans="2:30">
      <c r="B84" s="54"/>
      <c r="C84" s="157"/>
      <c r="D84" s="157"/>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row>
    <row r="85" spans="2:30">
      <c r="B85" s="45" t="s">
        <v>7011</v>
      </c>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row>
    <row r="86" spans="2:30" ht="15" customHeight="1">
      <c r="B86" s="54"/>
      <c r="C86" s="731" t="s">
        <v>7012</v>
      </c>
      <c r="D86" s="731"/>
      <c r="E86" s="731"/>
      <c r="F86" s="731"/>
      <c r="G86" s="731"/>
      <c r="H86" s="731"/>
      <c r="I86" s="731"/>
      <c r="J86" s="731"/>
      <c r="K86" s="731"/>
      <c r="L86" s="731"/>
      <c r="M86" s="731"/>
      <c r="N86" s="731"/>
      <c r="O86" s="731"/>
      <c r="P86" s="731"/>
      <c r="Q86" s="731"/>
      <c r="R86" s="731"/>
      <c r="S86" s="731"/>
      <c r="T86" s="731"/>
      <c r="U86" s="731"/>
      <c r="V86" s="731"/>
      <c r="W86" s="731"/>
      <c r="X86" s="731"/>
      <c r="Y86" s="731"/>
      <c r="Z86" s="731"/>
      <c r="AA86" s="731"/>
      <c r="AB86" s="731"/>
      <c r="AC86" s="731"/>
      <c r="AD86" s="731"/>
    </row>
    <row r="87" spans="2:30">
      <c r="B87" s="54"/>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row>
    <row r="88" spans="2:30">
      <c r="B88" s="45" t="s">
        <v>4118</v>
      </c>
      <c r="C88" s="157"/>
      <c r="D88" s="157"/>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row>
    <row r="89" spans="2:30" ht="24" customHeight="1">
      <c r="B89" s="54"/>
      <c r="C89" s="731" t="s">
        <v>7013</v>
      </c>
      <c r="D89" s="731"/>
      <c r="E89" s="731"/>
      <c r="F89" s="731"/>
      <c r="G89" s="731"/>
      <c r="H89" s="731"/>
      <c r="I89" s="731"/>
      <c r="J89" s="731"/>
      <c r="K89" s="731"/>
      <c r="L89" s="731"/>
      <c r="M89" s="731"/>
      <c r="N89" s="731"/>
      <c r="O89" s="731"/>
      <c r="P89" s="731"/>
      <c r="Q89" s="731"/>
      <c r="R89" s="731"/>
      <c r="S89" s="731"/>
      <c r="T89" s="731"/>
      <c r="U89" s="731"/>
      <c r="V89" s="731"/>
      <c r="W89" s="731"/>
      <c r="X89" s="731"/>
      <c r="Y89" s="731"/>
      <c r="Z89" s="731"/>
      <c r="AA89" s="731"/>
      <c r="AB89" s="731"/>
      <c r="AC89" s="731"/>
      <c r="AD89" s="731"/>
    </row>
    <row r="90" spans="2:30">
      <c r="B90" s="54"/>
      <c r="C90" s="157"/>
      <c r="D90" s="157"/>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row>
    <row r="91" spans="2:30">
      <c r="B91" s="45" t="s">
        <v>6770</v>
      </c>
      <c r="C91" s="157"/>
      <c r="D91" s="157"/>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row>
    <row r="92" spans="2:30" ht="36" customHeight="1">
      <c r="B92" s="54"/>
      <c r="C92" s="731" t="s">
        <v>7014</v>
      </c>
      <c r="D92" s="731"/>
      <c r="E92" s="731"/>
      <c r="F92" s="731"/>
      <c r="G92" s="731"/>
      <c r="H92" s="731"/>
      <c r="I92" s="731"/>
      <c r="J92" s="731"/>
      <c r="K92" s="731"/>
      <c r="L92" s="731"/>
      <c r="M92" s="731"/>
      <c r="N92" s="731"/>
      <c r="O92" s="731"/>
      <c r="P92" s="731"/>
      <c r="Q92" s="731"/>
      <c r="R92" s="731"/>
      <c r="S92" s="731"/>
      <c r="T92" s="731"/>
      <c r="U92" s="731"/>
      <c r="V92" s="731"/>
      <c r="W92" s="731"/>
      <c r="X92" s="731"/>
      <c r="Y92" s="731"/>
      <c r="Z92" s="731"/>
      <c r="AA92" s="731"/>
      <c r="AB92" s="731"/>
      <c r="AC92" s="731"/>
      <c r="AD92" s="731"/>
    </row>
    <row r="93" spans="2:30">
      <c r="B93" s="54"/>
      <c r="C93" s="157"/>
      <c r="D93" s="157"/>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row>
    <row r="94" spans="2:30">
      <c r="B94" s="45" t="s">
        <v>7015</v>
      </c>
      <c r="C94" s="157"/>
      <c r="D94" s="157"/>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row>
    <row r="95" spans="2:30" ht="24" customHeight="1">
      <c r="B95" s="54"/>
      <c r="C95" s="731" t="s">
        <v>7016</v>
      </c>
      <c r="D95" s="731"/>
      <c r="E95" s="731"/>
      <c r="F95" s="731"/>
      <c r="G95" s="731"/>
      <c r="H95" s="731"/>
      <c r="I95" s="731"/>
      <c r="J95" s="731"/>
      <c r="K95" s="731"/>
      <c r="L95" s="731"/>
      <c r="M95" s="731"/>
      <c r="N95" s="731"/>
      <c r="O95" s="731"/>
      <c r="P95" s="731"/>
      <c r="Q95" s="731"/>
      <c r="R95" s="731"/>
      <c r="S95" s="731"/>
      <c r="T95" s="731"/>
      <c r="U95" s="731"/>
      <c r="V95" s="731"/>
      <c r="W95" s="731"/>
      <c r="X95" s="731"/>
      <c r="Y95" s="731"/>
      <c r="Z95" s="731"/>
      <c r="AA95" s="731"/>
      <c r="AB95" s="731"/>
      <c r="AC95" s="731"/>
      <c r="AD95" s="731"/>
    </row>
    <row r="96" spans="2:30">
      <c r="B96" s="54"/>
      <c r="C96" s="157"/>
      <c r="D96" s="157"/>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row>
    <row r="97" spans="2:30">
      <c r="B97" s="45" t="s">
        <v>3528</v>
      </c>
      <c r="C97" s="157"/>
      <c r="D97" s="157"/>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row>
    <row r="98" spans="2:30" ht="24" customHeight="1">
      <c r="B98" s="54"/>
      <c r="C98" s="731" t="s">
        <v>7017</v>
      </c>
      <c r="D98" s="731"/>
      <c r="E98" s="731"/>
      <c r="F98" s="731"/>
      <c r="G98" s="731"/>
      <c r="H98" s="731"/>
      <c r="I98" s="731"/>
      <c r="J98" s="731"/>
      <c r="K98" s="731"/>
      <c r="L98" s="731"/>
      <c r="M98" s="731"/>
      <c r="N98" s="731"/>
      <c r="O98" s="731"/>
      <c r="P98" s="731"/>
      <c r="Q98" s="731"/>
      <c r="R98" s="731"/>
      <c r="S98" s="731"/>
      <c r="T98" s="731"/>
      <c r="U98" s="731"/>
      <c r="V98" s="731"/>
      <c r="W98" s="731"/>
      <c r="X98" s="731"/>
      <c r="Y98" s="731"/>
      <c r="Z98" s="731"/>
      <c r="AA98" s="731"/>
      <c r="AB98" s="731"/>
      <c r="AC98" s="731"/>
      <c r="AD98" s="731"/>
    </row>
    <row r="99" spans="2:30">
      <c r="B99" s="54"/>
      <c r="C99" s="157"/>
      <c r="D99" s="157"/>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row>
    <row r="100" spans="2:30">
      <c r="B100" s="45" t="s">
        <v>7018</v>
      </c>
      <c r="C100" s="157"/>
      <c r="D100" s="157"/>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row>
    <row r="101" spans="2:30" ht="36" customHeight="1">
      <c r="B101" s="54"/>
      <c r="C101" s="731" t="s">
        <v>7019</v>
      </c>
      <c r="D101" s="731"/>
      <c r="E101" s="731"/>
      <c r="F101" s="731"/>
      <c r="G101" s="731"/>
      <c r="H101" s="731"/>
      <c r="I101" s="731"/>
      <c r="J101" s="731"/>
      <c r="K101" s="731"/>
      <c r="L101" s="731"/>
      <c r="M101" s="731"/>
      <c r="N101" s="731"/>
      <c r="O101" s="731"/>
      <c r="P101" s="731"/>
      <c r="Q101" s="731"/>
      <c r="R101" s="731"/>
      <c r="S101" s="731"/>
      <c r="T101" s="731"/>
      <c r="U101" s="731"/>
      <c r="V101" s="731"/>
      <c r="W101" s="731"/>
      <c r="X101" s="731"/>
      <c r="Y101" s="731"/>
      <c r="Z101" s="731"/>
      <c r="AA101" s="731"/>
      <c r="AB101" s="731"/>
      <c r="AC101" s="731"/>
      <c r="AD101" s="731"/>
    </row>
    <row r="102" spans="2:30">
      <c r="B102" s="54"/>
      <c r="C102" s="157"/>
      <c r="D102" s="157"/>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row>
    <row r="103" spans="2:30">
      <c r="B103" s="45" t="s">
        <v>7020</v>
      </c>
      <c r="C103" s="157"/>
      <c r="D103" s="157"/>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row>
    <row r="104" spans="2:30" ht="36" customHeight="1">
      <c r="B104" s="54"/>
      <c r="C104" s="731" t="s">
        <v>7021</v>
      </c>
      <c r="D104" s="731"/>
      <c r="E104" s="731"/>
      <c r="F104" s="731"/>
      <c r="G104" s="731"/>
      <c r="H104" s="731"/>
      <c r="I104" s="731"/>
      <c r="J104" s="731"/>
      <c r="K104" s="731"/>
      <c r="L104" s="731"/>
      <c r="M104" s="731"/>
      <c r="N104" s="731"/>
      <c r="O104" s="731"/>
      <c r="P104" s="731"/>
      <c r="Q104" s="731"/>
      <c r="R104" s="731"/>
      <c r="S104" s="731"/>
      <c r="T104" s="731"/>
      <c r="U104" s="731"/>
      <c r="V104" s="731"/>
      <c r="W104" s="731"/>
      <c r="X104" s="731"/>
      <c r="Y104" s="731"/>
      <c r="Z104" s="731"/>
      <c r="AA104" s="731"/>
      <c r="AB104" s="731"/>
      <c r="AC104" s="731"/>
      <c r="AD104" s="731"/>
    </row>
    <row r="105" spans="2:30">
      <c r="B105" s="54"/>
      <c r="C105" s="157"/>
      <c r="D105" s="157"/>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row>
    <row r="106" spans="2:30">
      <c r="B106" s="45" t="s">
        <v>7022</v>
      </c>
      <c r="C106" s="157"/>
      <c r="D106" s="157"/>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row>
    <row r="107" spans="2:30" ht="48" customHeight="1">
      <c r="B107" s="54"/>
      <c r="C107" s="731" t="s">
        <v>7023</v>
      </c>
      <c r="D107" s="731"/>
      <c r="E107" s="731"/>
      <c r="F107" s="731"/>
      <c r="G107" s="731"/>
      <c r="H107" s="731"/>
      <c r="I107" s="731"/>
      <c r="J107" s="731"/>
      <c r="K107" s="731"/>
      <c r="L107" s="731"/>
      <c r="M107" s="731"/>
      <c r="N107" s="731"/>
      <c r="O107" s="731"/>
      <c r="P107" s="731"/>
      <c r="Q107" s="731"/>
      <c r="R107" s="731"/>
      <c r="S107" s="731"/>
      <c r="T107" s="731"/>
      <c r="U107" s="731"/>
      <c r="V107" s="731"/>
      <c r="W107" s="731"/>
      <c r="X107" s="731"/>
      <c r="Y107" s="731"/>
      <c r="Z107" s="731"/>
      <c r="AA107" s="731"/>
      <c r="AB107" s="731"/>
      <c r="AC107" s="731"/>
      <c r="AD107" s="731"/>
    </row>
    <row r="108" spans="2:30">
      <c r="B108" s="54"/>
      <c r="C108" s="157"/>
      <c r="D108" s="157"/>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row>
    <row r="109" spans="2:30">
      <c r="B109" s="45" t="s">
        <v>7024</v>
      </c>
      <c r="C109" s="157"/>
      <c r="D109" s="157"/>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row>
    <row r="110" spans="2:30" ht="48" customHeight="1">
      <c r="B110" s="54"/>
      <c r="C110" s="731" t="s">
        <v>7025</v>
      </c>
      <c r="D110" s="731"/>
      <c r="E110" s="731"/>
      <c r="F110" s="731"/>
      <c r="G110" s="731"/>
      <c r="H110" s="731"/>
      <c r="I110" s="731"/>
      <c r="J110" s="731"/>
      <c r="K110" s="731"/>
      <c r="L110" s="731"/>
      <c r="M110" s="731"/>
      <c r="N110" s="731"/>
      <c r="O110" s="731"/>
      <c r="P110" s="731"/>
      <c r="Q110" s="731"/>
      <c r="R110" s="731"/>
      <c r="S110" s="731"/>
      <c r="T110" s="731"/>
      <c r="U110" s="731"/>
      <c r="V110" s="731"/>
      <c r="W110" s="731"/>
      <c r="X110" s="731"/>
      <c r="Y110" s="731"/>
      <c r="Z110" s="731"/>
      <c r="AA110" s="731"/>
      <c r="AB110" s="731"/>
      <c r="AC110" s="731"/>
      <c r="AD110" s="731"/>
    </row>
    <row r="111" spans="2:30">
      <c r="B111" s="54"/>
      <c r="C111" s="157"/>
      <c r="D111" s="157"/>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row>
    <row r="112" spans="2:30">
      <c r="B112" s="45" t="s">
        <v>7026</v>
      </c>
      <c r="C112" s="157"/>
      <c r="D112" s="157"/>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row>
    <row r="113" spans="2:30" ht="36" customHeight="1">
      <c r="B113" s="54"/>
      <c r="C113" s="731" t="s">
        <v>7027</v>
      </c>
      <c r="D113" s="731"/>
      <c r="E113" s="731"/>
      <c r="F113" s="731"/>
      <c r="G113" s="731"/>
      <c r="H113" s="731"/>
      <c r="I113" s="731"/>
      <c r="J113" s="731"/>
      <c r="K113" s="731"/>
      <c r="L113" s="731"/>
      <c r="M113" s="731"/>
      <c r="N113" s="731"/>
      <c r="O113" s="731"/>
      <c r="P113" s="731"/>
      <c r="Q113" s="731"/>
      <c r="R113" s="731"/>
      <c r="S113" s="731"/>
      <c r="T113" s="731"/>
      <c r="U113" s="731"/>
      <c r="V113" s="731"/>
      <c r="W113" s="731"/>
      <c r="X113" s="731"/>
      <c r="Y113" s="731"/>
      <c r="Z113" s="731"/>
      <c r="AA113" s="731"/>
      <c r="AB113" s="731"/>
      <c r="AC113" s="731"/>
      <c r="AD113" s="731"/>
    </row>
    <row r="114" spans="2:30">
      <c r="B114" s="54"/>
      <c r="C114" s="157"/>
      <c r="D114" s="157"/>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row>
    <row r="115" spans="2:30">
      <c r="B115" s="45" t="s">
        <v>7028</v>
      </c>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row>
    <row r="116" spans="2:30" ht="36" customHeight="1">
      <c r="B116" s="51"/>
      <c r="C116" s="731" t="s">
        <v>7029</v>
      </c>
      <c r="D116" s="731"/>
      <c r="E116" s="731"/>
      <c r="F116" s="731"/>
      <c r="G116" s="731"/>
      <c r="H116" s="731"/>
      <c r="I116" s="731"/>
      <c r="J116" s="731"/>
      <c r="K116" s="731"/>
      <c r="L116" s="731"/>
      <c r="M116" s="731"/>
      <c r="N116" s="731"/>
      <c r="O116" s="731"/>
      <c r="P116" s="731"/>
      <c r="Q116" s="731"/>
      <c r="R116" s="731"/>
      <c r="S116" s="731"/>
      <c r="T116" s="731"/>
      <c r="U116" s="731"/>
      <c r="V116" s="731"/>
      <c r="W116" s="731"/>
      <c r="X116" s="731"/>
      <c r="Y116" s="731"/>
      <c r="Z116" s="731"/>
      <c r="AA116" s="731"/>
      <c r="AB116" s="731"/>
      <c r="AC116" s="731"/>
      <c r="AD116" s="731"/>
    </row>
    <row r="117" spans="2:30">
      <c r="B117" s="54"/>
      <c r="C117" s="157"/>
      <c r="D117" s="157"/>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row>
    <row r="118" spans="2:30">
      <c r="B118" s="45" t="s">
        <v>7030</v>
      </c>
      <c r="C118" s="157"/>
      <c r="D118" s="157"/>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row>
    <row r="119" spans="2:30" ht="36" customHeight="1">
      <c r="B119" s="54"/>
      <c r="C119" s="731" t="s">
        <v>7031</v>
      </c>
      <c r="D119" s="731"/>
      <c r="E119" s="731"/>
      <c r="F119" s="731"/>
      <c r="G119" s="731"/>
      <c r="H119" s="731"/>
      <c r="I119" s="731"/>
      <c r="J119" s="731"/>
      <c r="K119" s="731"/>
      <c r="L119" s="731"/>
      <c r="M119" s="731"/>
      <c r="N119" s="731"/>
      <c r="O119" s="731"/>
      <c r="P119" s="731"/>
      <c r="Q119" s="731"/>
      <c r="R119" s="731"/>
      <c r="S119" s="731"/>
      <c r="T119" s="731"/>
      <c r="U119" s="731"/>
      <c r="V119" s="731"/>
      <c r="W119" s="731"/>
      <c r="X119" s="731"/>
      <c r="Y119" s="731"/>
      <c r="Z119" s="731"/>
      <c r="AA119" s="731"/>
      <c r="AB119" s="731"/>
      <c r="AC119" s="731"/>
      <c r="AD119" s="731"/>
    </row>
    <row r="120" spans="2:30">
      <c r="B120" s="54"/>
      <c r="C120" s="157"/>
      <c r="D120" s="157"/>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row>
    <row r="121" spans="2:30">
      <c r="B121" s="45" t="s">
        <v>7032</v>
      </c>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row>
    <row r="122" spans="2:30" ht="36" customHeight="1">
      <c r="B122" s="54"/>
      <c r="C122" s="731" t="s">
        <v>7033</v>
      </c>
      <c r="D122" s="731"/>
      <c r="E122" s="731"/>
      <c r="F122" s="731"/>
      <c r="G122" s="731"/>
      <c r="H122" s="731"/>
      <c r="I122" s="731"/>
      <c r="J122" s="731"/>
      <c r="K122" s="731"/>
      <c r="L122" s="731"/>
      <c r="M122" s="731"/>
      <c r="N122" s="731"/>
      <c r="O122" s="731"/>
      <c r="P122" s="731"/>
      <c r="Q122" s="731"/>
      <c r="R122" s="731"/>
      <c r="S122" s="731"/>
      <c r="T122" s="731"/>
      <c r="U122" s="731"/>
      <c r="V122" s="731"/>
      <c r="W122" s="731"/>
      <c r="X122" s="731"/>
      <c r="Y122" s="731"/>
      <c r="Z122" s="731"/>
      <c r="AA122" s="731"/>
      <c r="AB122" s="731"/>
      <c r="AC122" s="731"/>
      <c r="AD122" s="731"/>
    </row>
    <row r="123" spans="2:30">
      <c r="B123" s="54"/>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row>
    <row r="124" spans="2:30">
      <c r="B124" s="45" t="s">
        <v>7034</v>
      </c>
      <c r="C124" s="54"/>
      <c r="D124" s="54"/>
      <c r="E124" s="54"/>
      <c r="F124" s="54"/>
      <c r="G124" s="54"/>
      <c r="H124" s="54"/>
      <c r="I124" s="54"/>
      <c r="J124" s="54"/>
      <c r="K124" s="54"/>
      <c r="L124" s="54"/>
      <c r="M124" s="54"/>
      <c r="N124" s="54"/>
      <c r="O124" s="54"/>
      <c r="P124" s="54"/>
      <c r="Q124" s="54"/>
      <c r="R124" s="54"/>
      <c r="S124" s="54"/>
      <c r="T124" s="54"/>
      <c r="U124" s="54"/>
      <c r="V124" s="54"/>
      <c r="W124" s="54"/>
      <c r="X124" s="54"/>
      <c r="Y124" s="54"/>
      <c r="Z124" s="54"/>
      <c r="AA124" s="54"/>
      <c r="AB124" s="54"/>
      <c r="AC124" s="54"/>
      <c r="AD124" s="54"/>
    </row>
    <row r="125" spans="2:30" ht="24" customHeight="1">
      <c r="B125" s="54"/>
      <c r="C125" s="731" t="s">
        <v>7035</v>
      </c>
      <c r="D125" s="731"/>
      <c r="E125" s="731"/>
      <c r="F125" s="731"/>
      <c r="G125" s="731"/>
      <c r="H125" s="731"/>
      <c r="I125" s="731"/>
      <c r="J125" s="731"/>
      <c r="K125" s="731"/>
      <c r="L125" s="731"/>
      <c r="M125" s="731"/>
      <c r="N125" s="731"/>
      <c r="O125" s="731"/>
      <c r="P125" s="731"/>
      <c r="Q125" s="731"/>
      <c r="R125" s="731"/>
      <c r="S125" s="731"/>
      <c r="T125" s="731"/>
      <c r="U125" s="731"/>
      <c r="V125" s="731"/>
      <c r="W125" s="731"/>
      <c r="X125" s="731"/>
      <c r="Y125" s="731"/>
      <c r="Z125" s="731"/>
      <c r="AA125" s="731"/>
      <c r="AB125" s="731"/>
      <c r="AC125" s="731"/>
      <c r="AD125" s="731"/>
    </row>
    <row r="126" spans="2:30">
      <c r="B126" s="54"/>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row>
    <row r="127" spans="2:30">
      <c r="B127" s="45" t="s">
        <v>7036</v>
      </c>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row>
    <row r="128" spans="2:30" ht="24" customHeight="1">
      <c r="B128" s="54"/>
      <c r="C128" s="731" t="s">
        <v>7037</v>
      </c>
      <c r="D128" s="731"/>
      <c r="E128" s="731"/>
      <c r="F128" s="731"/>
      <c r="G128" s="731"/>
      <c r="H128" s="731"/>
      <c r="I128" s="731"/>
      <c r="J128" s="731"/>
      <c r="K128" s="731"/>
      <c r="L128" s="731"/>
      <c r="M128" s="731"/>
      <c r="N128" s="731"/>
      <c r="O128" s="731"/>
      <c r="P128" s="731"/>
      <c r="Q128" s="731"/>
      <c r="R128" s="731"/>
      <c r="S128" s="731"/>
      <c r="T128" s="731"/>
      <c r="U128" s="731"/>
      <c r="V128" s="731"/>
      <c r="W128" s="731"/>
      <c r="X128" s="731"/>
      <c r="Y128" s="731"/>
      <c r="Z128" s="731"/>
      <c r="AA128" s="731"/>
      <c r="AB128" s="731"/>
      <c r="AC128" s="731"/>
      <c r="AD128" s="731"/>
    </row>
    <row r="129" spans="2:30">
      <c r="B129" s="54"/>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row>
    <row r="130" spans="2:30">
      <c r="B130" s="45" t="s">
        <v>7038</v>
      </c>
      <c r="C130" s="157"/>
      <c r="D130" s="157"/>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row>
    <row r="131" spans="2:30" ht="24" customHeight="1">
      <c r="B131" s="54"/>
      <c r="C131" s="731" t="s">
        <v>7039</v>
      </c>
      <c r="D131" s="731"/>
      <c r="E131" s="731"/>
      <c r="F131" s="731"/>
      <c r="G131" s="731"/>
      <c r="H131" s="731"/>
      <c r="I131" s="731"/>
      <c r="J131" s="731"/>
      <c r="K131" s="731"/>
      <c r="L131" s="731"/>
      <c r="M131" s="731"/>
      <c r="N131" s="731"/>
      <c r="O131" s="731"/>
      <c r="P131" s="731"/>
      <c r="Q131" s="731"/>
      <c r="R131" s="731"/>
      <c r="S131" s="731"/>
      <c r="T131" s="731"/>
      <c r="U131" s="731"/>
      <c r="V131" s="731"/>
      <c r="W131" s="731"/>
      <c r="X131" s="731"/>
      <c r="Y131" s="731"/>
      <c r="Z131" s="731"/>
      <c r="AA131" s="731"/>
      <c r="AB131" s="731"/>
      <c r="AC131" s="731"/>
      <c r="AD131" s="731"/>
    </row>
    <row r="132" spans="2:30">
      <c r="B132" s="54"/>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row>
    <row r="133" spans="2:30">
      <c r="B133" s="45" t="s">
        <v>4592</v>
      </c>
      <c r="C133" s="157"/>
      <c r="D133" s="157"/>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row>
    <row r="134" spans="2:30">
      <c r="B134" s="54"/>
      <c r="C134" s="731" t="s">
        <v>7040</v>
      </c>
      <c r="D134" s="731"/>
      <c r="E134" s="731"/>
      <c r="F134" s="731"/>
      <c r="G134" s="731"/>
      <c r="H134" s="731"/>
      <c r="I134" s="731"/>
      <c r="J134" s="731"/>
      <c r="K134" s="731"/>
      <c r="L134" s="731"/>
      <c r="M134" s="731"/>
      <c r="N134" s="731"/>
      <c r="O134" s="731"/>
      <c r="P134" s="731"/>
      <c r="Q134" s="731"/>
      <c r="R134" s="731"/>
      <c r="S134" s="731"/>
      <c r="T134" s="731"/>
      <c r="U134" s="731"/>
      <c r="V134" s="731"/>
      <c r="W134" s="731"/>
      <c r="X134" s="731"/>
      <c r="Y134" s="731"/>
      <c r="Z134" s="731"/>
      <c r="AA134" s="731"/>
      <c r="AB134" s="731"/>
      <c r="AC134" s="731"/>
      <c r="AD134" s="731"/>
    </row>
    <row r="135" spans="2:30">
      <c r="B135" s="54"/>
      <c r="C135" s="157"/>
      <c r="D135" s="157"/>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row>
    <row r="136" spans="2:30">
      <c r="B136" s="45" t="s">
        <v>7041</v>
      </c>
      <c r="C136" s="157"/>
      <c r="D136" s="157"/>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row>
    <row r="137" spans="2:30" ht="24" customHeight="1">
      <c r="B137" s="54"/>
      <c r="C137" s="731" t="s">
        <v>7042</v>
      </c>
      <c r="D137" s="731"/>
      <c r="E137" s="731"/>
      <c r="F137" s="731"/>
      <c r="G137" s="731"/>
      <c r="H137" s="731"/>
      <c r="I137" s="731"/>
      <c r="J137" s="731"/>
      <c r="K137" s="731"/>
      <c r="L137" s="731"/>
      <c r="M137" s="731"/>
      <c r="N137" s="731"/>
      <c r="O137" s="731"/>
      <c r="P137" s="731"/>
      <c r="Q137" s="731"/>
      <c r="R137" s="731"/>
      <c r="S137" s="731"/>
      <c r="T137" s="731"/>
      <c r="U137" s="731"/>
      <c r="V137" s="731"/>
      <c r="W137" s="731"/>
      <c r="X137" s="731"/>
      <c r="Y137" s="731"/>
      <c r="Z137" s="731"/>
      <c r="AA137" s="731"/>
      <c r="AB137" s="731"/>
      <c r="AC137" s="731"/>
      <c r="AD137" s="731"/>
    </row>
    <row r="138" spans="2:30">
      <c r="B138" s="54"/>
      <c r="C138" s="157"/>
      <c r="D138" s="157"/>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row>
    <row r="139" spans="2:30">
      <c r="B139" s="45" t="s">
        <v>7043</v>
      </c>
      <c r="C139" s="157"/>
      <c r="D139" s="157"/>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row>
    <row r="140" spans="2:30" ht="24" customHeight="1">
      <c r="B140" s="54"/>
      <c r="C140" s="731" t="s">
        <v>7044</v>
      </c>
      <c r="D140" s="731"/>
      <c r="E140" s="731"/>
      <c r="F140" s="731"/>
      <c r="G140" s="731"/>
      <c r="H140" s="731"/>
      <c r="I140" s="731"/>
      <c r="J140" s="731"/>
      <c r="K140" s="731"/>
      <c r="L140" s="731"/>
      <c r="M140" s="731"/>
      <c r="N140" s="731"/>
      <c r="O140" s="731"/>
      <c r="P140" s="731"/>
      <c r="Q140" s="731"/>
      <c r="R140" s="731"/>
      <c r="S140" s="731"/>
      <c r="T140" s="731"/>
      <c r="U140" s="731"/>
      <c r="V140" s="731"/>
      <c r="W140" s="731"/>
      <c r="X140" s="731"/>
      <c r="Y140" s="731"/>
      <c r="Z140" s="731"/>
      <c r="AA140" s="731"/>
      <c r="AB140" s="731"/>
      <c r="AC140" s="731"/>
      <c r="AD140" s="731"/>
    </row>
    <row r="141" spans="2:30">
      <c r="B141" s="54"/>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row>
    <row r="142" spans="2:30">
      <c r="B142" s="45" t="s">
        <v>7045</v>
      </c>
      <c r="C142" s="157"/>
      <c r="D142" s="157"/>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row>
    <row r="143" spans="2:30" ht="24" customHeight="1">
      <c r="B143" s="54"/>
      <c r="C143" s="731" t="s">
        <v>7046</v>
      </c>
      <c r="D143" s="731"/>
      <c r="E143" s="731"/>
      <c r="F143" s="731"/>
      <c r="G143" s="731"/>
      <c r="H143" s="731"/>
      <c r="I143" s="731"/>
      <c r="J143" s="731"/>
      <c r="K143" s="731"/>
      <c r="L143" s="731"/>
      <c r="M143" s="731"/>
      <c r="N143" s="731"/>
      <c r="O143" s="731"/>
      <c r="P143" s="731"/>
      <c r="Q143" s="731"/>
      <c r="R143" s="731"/>
      <c r="S143" s="731"/>
      <c r="T143" s="731"/>
      <c r="U143" s="731"/>
      <c r="V143" s="731"/>
      <c r="W143" s="731"/>
      <c r="X143" s="731"/>
      <c r="Y143" s="731"/>
      <c r="Z143" s="731"/>
      <c r="AA143" s="731"/>
      <c r="AB143" s="731"/>
      <c r="AC143" s="731"/>
      <c r="AD143" s="731"/>
    </row>
    <row r="144" spans="2:30">
      <c r="B144" s="54"/>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6"/>
    </row>
    <row r="145" spans="2:30">
      <c r="B145" s="45" t="s">
        <v>7047</v>
      </c>
      <c r="C145" s="157"/>
      <c r="D145" s="157"/>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row>
    <row r="146" spans="2:30" ht="36" customHeight="1">
      <c r="B146" s="54"/>
      <c r="C146" s="731" t="s">
        <v>7048</v>
      </c>
      <c r="D146" s="731"/>
      <c r="E146" s="731"/>
      <c r="F146" s="731"/>
      <c r="G146" s="731"/>
      <c r="H146" s="731"/>
      <c r="I146" s="731"/>
      <c r="J146" s="731"/>
      <c r="K146" s="731"/>
      <c r="L146" s="731"/>
      <c r="M146" s="731"/>
      <c r="N146" s="731"/>
      <c r="O146" s="731"/>
      <c r="P146" s="731"/>
      <c r="Q146" s="731"/>
      <c r="R146" s="731"/>
      <c r="S146" s="731"/>
      <c r="T146" s="731"/>
      <c r="U146" s="731"/>
      <c r="V146" s="731"/>
      <c r="W146" s="731"/>
      <c r="X146" s="731"/>
      <c r="Y146" s="731"/>
      <c r="Z146" s="731"/>
      <c r="AA146" s="731"/>
      <c r="AB146" s="731"/>
      <c r="AC146" s="731"/>
      <c r="AD146" s="731"/>
    </row>
    <row r="147" spans="2:30">
      <c r="B147" s="54"/>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6"/>
    </row>
    <row r="148" spans="2:30">
      <c r="B148" s="45" t="s">
        <v>4591</v>
      </c>
      <c r="C148" s="157"/>
      <c r="D148" s="157"/>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row>
    <row r="149" spans="2:30" ht="60" customHeight="1">
      <c r="B149" s="54"/>
      <c r="C149" s="731" t="s">
        <v>7049</v>
      </c>
      <c r="D149" s="731"/>
      <c r="E149" s="731"/>
      <c r="F149" s="731"/>
      <c r="G149" s="731"/>
      <c r="H149" s="731"/>
      <c r="I149" s="731"/>
      <c r="J149" s="731"/>
      <c r="K149" s="731"/>
      <c r="L149" s="731"/>
      <c r="M149" s="731"/>
      <c r="N149" s="731"/>
      <c r="O149" s="731"/>
      <c r="P149" s="731"/>
      <c r="Q149" s="731"/>
      <c r="R149" s="731"/>
      <c r="S149" s="731"/>
      <c r="T149" s="731"/>
      <c r="U149" s="731"/>
      <c r="V149" s="731"/>
      <c r="W149" s="731"/>
      <c r="X149" s="731"/>
      <c r="Y149" s="731"/>
      <c r="Z149" s="731"/>
      <c r="AA149" s="731"/>
      <c r="AB149" s="731"/>
      <c r="AC149" s="731"/>
      <c r="AD149" s="731"/>
    </row>
    <row r="150" spans="2:30">
      <c r="B150" s="54"/>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row>
    <row r="151" spans="2:30">
      <c r="B151" s="45" t="s">
        <v>4117</v>
      </c>
      <c r="C151" s="157"/>
      <c r="D151" s="157"/>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row>
    <row r="152" spans="2:30" ht="24" customHeight="1">
      <c r="B152" s="54"/>
      <c r="C152" s="731" t="s">
        <v>7050</v>
      </c>
      <c r="D152" s="731"/>
      <c r="E152" s="731"/>
      <c r="F152" s="731"/>
      <c r="G152" s="731"/>
      <c r="H152" s="731"/>
      <c r="I152" s="731"/>
      <c r="J152" s="731"/>
      <c r="K152" s="731"/>
      <c r="L152" s="731"/>
      <c r="M152" s="731"/>
      <c r="N152" s="731"/>
      <c r="O152" s="731"/>
      <c r="P152" s="731"/>
      <c r="Q152" s="731"/>
      <c r="R152" s="731"/>
      <c r="S152" s="731"/>
      <c r="T152" s="731"/>
      <c r="U152" s="731"/>
      <c r="V152" s="731"/>
      <c r="W152" s="731"/>
      <c r="X152" s="731"/>
      <c r="Y152" s="731"/>
      <c r="Z152" s="731"/>
      <c r="AA152" s="731"/>
      <c r="AB152" s="731"/>
      <c r="AC152" s="731"/>
      <c r="AD152" s="731"/>
    </row>
    <row r="153" spans="2:30">
      <c r="B153" s="54"/>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row>
    <row r="154" spans="2:30">
      <c r="B154" s="45" t="s">
        <v>7051</v>
      </c>
      <c r="C154" s="157"/>
      <c r="D154" s="157"/>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row>
    <row r="155" spans="2:30" ht="36" customHeight="1">
      <c r="B155" s="54"/>
      <c r="C155" s="731" t="s">
        <v>7052</v>
      </c>
      <c r="D155" s="731"/>
      <c r="E155" s="731"/>
      <c r="F155" s="731"/>
      <c r="G155" s="731"/>
      <c r="H155" s="731"/>
      <c r="I155" s="731"/>
      <c r="J155" s="731"/>
      <c r="K155" s="731"/>
      <c r="L155" s="731"/>
      <c r="M155" s="731"/>
      <c r="N155" s="731"/>
      <c r="O155" s="731"/>
      <c r="P155" s="731"/>
      <c r="Q155" s="731"/>
      <c r="R155" s="731"/>
      <c r="S155" s="731"/>
      <c r="T155" s="731"/>
      <c r="U155" s="731"/>
      <c r="V155" s="731"/>
      <c r="W155" s="731"/>
      <c r="X155" s="731"/>
      <c r="Y155" s="731"/>
      <c r="Z155" s="731"/>
      <c r="AA155" s="731"/>
      <c r="AB155" s="731"/>
      <c r="AC155" s="731"/>
      <c r="AD155" s="731"/>
    </row>
    <row r="156" spans="2:30">
      <c r="B156" s="54"/>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row>
    <row r="157" spans="2:30" ht="60" customHeight="1">
      <c r="B157" s="54"/>
      <c r="C157" s="36"/>
      <c r="D157" s="731" t="s">
        <v>7053</v>
      </c>
      <c r="E157" s="731"/>
      <c r="F157" s="731"/>
      <c r="G157" s="731"/>
      <c r="H157" s="731"/>
      <c r="I157" s="731"/>
      <c r="J157" s="731"/>
      <c r="K157" s="731"/>
      <c r="L157" s="731"/>
      <c r="M157" s="731"/>
      <c r="N157" s="731"/>
      <c r="O157" s="731"/>
      <c r="P157" s="731"/>
      <c r="Q157" s="731"/>
      <c r="R157" s="731"/>
      <c r="S157" s="731"/>
      <c r="T157" s="731"/>
      <c r="U157" s="731"/>
      <c r="V157" s="731"/>
      <c r="W157" s="731"/>
      <c r="X157" s="731"/>
      <c r="Y157" s="731"/>
      <c r="Z157" s="731"/>
      <c r="AA157" s="731"/>
      <c r="AB157" s="731"/>
      <c r="AC157" s="731"/>
      <c r="AD157" s="731"/>
    </row>
    <row r="158" spans="2:30">
      <c r="B158" s="54"/>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row>
    <row r="159" spans="2:30" ht="48" customHeight="1">
      <c r="B159" s="54"/>
      <c r="C159" s="75"/>
      <c r="D159" s="731" t="s">
        <v>7054</v>
      </c>
      <c r="E159" s="731"/>
      <c r="F159" s="731"/>
      <c r="G159" s="731"/>
      <c r="H159" s="731"/>
      <c r="I159" s="731"/>
      <c r="J159" s="731"/>
      <c r="K159" s="731"/>
      <c r="L159" s="731"/>
      <c r="M159" s="731"/>
      <c r="N159" s="731"/>
      <c r="O159" s="731"/>
      <c r="P159" s="731"/>
      <c r="Q159" s="731"/>
      <c r="R159" s="731"/>
      <c r="S159" s="731"/>
      <c r="T159" s="731"/>
      <c r="U159" s="731"/>
      <c r="V159" s="731"/>
      <c r="W159" s="731"/>
      <c r="X159" s="731"/>
      <c r="Y159" s="731"/>
      <c r="Z159" s="731"/>
      <c r="AA159" s="731"/>
      <c r="AB159" s="731"/>
      <c r="AC159" s="731"/>
      <c r="AD159" s="731"/>
    </row>
    <row r="160" spans="2:30">
      <c r="B160" s="54"/>
      <c r="C160" s="139"/>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row>
    <row r="161" spans="2:30" ht="84" customHeight="1">
      <c r="B161" s="54"/>
      <c r="C161" s="36"/>
      <c r="D161" s="731" t="s">
        <v>7055</v>
      </c>
      <c r="E161" s="731"/>
      <c r="F161" s="731"/>
      <c r="G161" s="731"/>
      <c r="H161" s="731"/>
      <c r="I161" s="731"/>
      <c r="J161" s="731"/>
      <c r="K161" s="731"/>
      <c r="L161" s="731"/>
      <c r="M161" s="731"/>
      <c r="N161" s="731"/>
      <c r="O161" s="731"/>
      <c r="P161" s="731"/>
      <c r="Q161" s="731"/>
      <c r="R161" s="731"/>
      <c r="S161" s="731"/>
      <c r="T161" s="731"/>
      <c r="U161" s="731"/>
      <c r="V161" s="731"/>
      <c r="W161" s="731"/>
      <c r="X161" s="731"/>
      <c r="Y161" s="731"/>
      <c r="Z161" s="731"/>
      <c r="AA161" s="731"/>
      <c r="AB161" s="731"/>
      <c r="AC161" s="731"/>
      <c r="AD161" s="731"/>
    </row>
    <row r="162" spans="2:30">
      <c r="B162" s="54"/>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row>
    <row r="163" spans="2:30" ht="48" customHeight="1">
      <c r="B163" s="54"/>
      <c r="C163" s="139"/>
      <c r="D163" s="731" t="s">
        <v>7056</v>
      </c>
      <c r="E163" s="731"/>
      <c r="F163" s="731"/>
      <c r="G163" s="731"/>
      <c r="H163" s="731"/>
      <c r="I163" s="731"/>
      <c r="J163" s="731"/>
      <c r="K163" s="731"/>
      <c r="L163" s="731"/>
      <c r="M163" s="731"/>
      <c r="N163" s="731"/>
      <c r="O163" s="731"/>
      <c r="P163" s="731"/>
      <c r="Q163" s="731"/>
      <c r="R163" s="731"/>
      <c r="S163" s="731"/>
      <c r="T163" s="731"/>
      <c r="U163" s="731"/>
      <c r="V163" s="731"/>
      <c r="W163" s="731"/>
      <c r="X163" s="731"/>
      <c r="Y163" s="731"/>
      <c r="Z163" s="731"/>
      <c r="AA163" s="731"/>
      <c r="AB163" s="731"/>
      <c r="AC163" s="731"/>
      <c r="AD163" s="731"/>
    </row>
    <row r="164" spans="2:30">
      <c r="B164" s="54"/>
      <c r="C164" s="139"/>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row>
    <row r="165" spans="2:30">
      <c r="B165" s="45" t="s">
        <v>7057</v>
      </c>
      <c r="C165" s="157"/>
      <c r="D165" s="157"/>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row>
    <row r="166" spans="2:30" ht="24" customHeight="1">
      <c r="B166" s="54"/>
      <c r="C166" s="731" t="s">
        <v>7058</v>
      </c>
      <c r="D166" s="731"/>
      <c r="E166" s="731"/>
      <c r="F166" s="731"/>
      <c r="G166" s="731"/>
      <c r="H166" s="731"/>
      <c r="I166" s="731"/>
      <c r="J166" s="731"/>
      <c r="K166" s="731"/>
      <c r="L166" s="731"/>
      <c r="M166" s="731"/>
      <c r="N166" s="731"/>
      <c r="O166" s="731"/>
      <c r="P166" s="731"/>
      <c r="Q166" s="731"/>
      <c r="R166" s="731"/>
      <c r="S166" s="731"/>
      <c r="T166" s="731"/>
      <c r="U166" s="731"/>
      <c r="V166" s="731"/>
      <c r="W166" s="731"/>
      <c r="X166" s="731"/>
      <c r="Y166" s="731"/>
      <c r="Z166" s="731"/>
      <c r="AA166" s="731"/>
      <c r="AB166" s="731"/>
      <c r="AC166" s="731"/>
      <c r="AD166" s="731"/>
    </row>
    <row r="167" spans="2:30">
      <c r="B167" s="54"/>
      <c r="C167" s="157"/>
      <c r="D167" s="157"/>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row>
    <row r="168" spans="2:30">
      <c r="B168" s="45" t="s">
        <v>7059</v>
      </c>
      <c r="C168" s="157"/>
      <c r="D168" s="157"/>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row>
    <row r="169" spans="2:30" ht="84" customHeight="1">
      <c r="B169" s="54"/>
      <c r="C169" s="731" t="s">
        <v>7060</v>
      </c>
      <c r="D169" s="731"/>
      <c r="E169" s="731"/>
      <c r="F169" s="731"/>
      <c r="G169" s="731"/>
      <c r="H169" s="731"/>
      <c r="I169" s="731"/>
      <c r="J169" s="731"/>
      <c r="K169" s="731"/>
      <c r="L169" s="731"/>
      <c r="M169" s="731"/>
      <c r="N169" s="731"/>
      <c r="O169" s="731"/>
      <c r="P169" s="731"/>
      <c r="Q169" s="731"/>
      <c r="R169" s="731"/>
      <c r="S169" s="731"/>
      <c r="T169" s="731"/>
      <c r="U169" s="731"/>
      <c r="V169" s="731"/>
      <c r="W169" s="731"/>
      <c r="X169" s="731"/>
      <c r="Y169" s="731"/>
      <c r="Z169" s="731"/>
      <c r="AA169" s="731"/>
      <c r="AB169" s="731"/>
      <c r="AC169" s="731"/>
      <c r="AD169" s="731"/>
    </row>
    <row r="170" spans="2:30">
      <c r="B170" s="54"/>
      <c r="C170" s="157"/>
      <c r="D170" s="157"/>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row>
    <row r="171" spans="2:30">
      <c r="B171" s="45" t="s">
        <v>7061</v>
      </c>
      <c r="C171" s="157"/>
      <c r="D171" s="157"/>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row>
    <row r="172" spans="2:30" ht="36" customHeight="1">
      <c r="B172" s="54"/>
      <c r="C172" s="731" t="s">
        <v>7062</v>
      </c>
      <c r="D172" s="731"/>
      <c r="E172" s="731"/>
      <c r="F172" s="731"/>
      <c r="G172" s="731"/>
      <c r="H172" s="731"/>
      <c r="I172" s="731"/>
      <c r="J172" s="731"/>
      <c r="K172" s="731"/>
      <c r="L172" s="731"/>
      <c r="M172" s="731"/>
      <c r="N172" s="731"/>
      <c r="O172" s="731"/>
      <c r="P172" s="731"/>
      <c r="Q172" s="731"/>
      <c r="R172" s="731"/>
      <c r="S172" s="731"/>
      <c r="T172" s="731"/>
      <c r="U172" s="731"/>
      <c r="V172" s="731"/>
      <c r="W172" s="731"/>
      <c r="X172" s="731"/>
      <c r="Y172" s="731"/>
      <c r="Z172" s="731"/>
      <c r="AA172" s="731"/>
      <c r="AB172" s="731"/>
      <c r="AC172" s="731"/>
      <c r="AD172" s="731"/>
    </row>
    <row r="173" spans="2:30">
      <c r="B173" s="54"/>
      <c r="C173" s="157"/>
      <c r="D173" s="157"/>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row>
    <row r="174" spans="2:30" ht="15" customHeight="1">
      <c r="B174" s="45" t="s">
        <v>7063</v>
      </c>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row>
    <row r="175" spans="2:30" ht="24" customHeight="1">
      <c r="B175" s="54"/>
      <c r="C175" s="731" t="s">
        <v>7064</v>
      </c>
      <c r="D175" s="731"/>
      <c r="E175" s="731"/>
      <c r="F175" s="731"/>
      <c r="G175" s="731"/>
      <c r="H175" s="731"/>
      <c r="I175" s="731"/>
      <c r="J175" s="731"/>
      <c r="K175" s="731"/>
      <c r="L175" s="731"/>
      <c r="M175" s="731"/>
      <c r="N175" s="731"/>
      <c r="O175" s="731"/>
      <c r="P175" s="731"/>
      <c r="Q175" s="731"/>
      <c r="R175" s="731"/>
      <c r="S175" s="731"/>
      <c r="T175" s="731"/>
      <c r="U175" s="731"/>
      <c r="V175" s="731"/>
      <c r="W175" s="731"/>
      <c r="X175" s="731"/>
      <c r="Y175" s="731"/>
      <c r="Z175" s="731"/>
      <c r="AA175" s="731"/>
      <c r="AB175" s="731"/>
      <c r="AC175" s="731"/>
      <c r="AD175" s="731"/>
    </row>
    <row r="176" spans="2:30">
      <c r="B176" s="54"/>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6"/>
    </row>
    <row r="177" spans="2:30">
      <c r="B177" s="45" t="s">
        <v>4404</v>
      </c>
      <c r="C177" s="157"/>
      <c r="D177" s="157"/>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row>
    <row r="178" spans="2:30" ht="36" customHeight="1">
      <c r="B178" s="54"/>
      <c r="C178" s="731" t="s">
        <v>7065</v>
      </c>
      <c r="D178" s="731"/>
      <c r="E178" s="731"/>
      <c r="F178" s="731"/>
      <c r="G178" s="731"/>
      <c r="H178" s="731"/>
      <c r="I178" s="731"/>
      <c r="J178" s="731"/>
      <c r="K178" s="731"/>
      <c r="L178" s="731"/>
      <c r="M178" s="731"/>
      <c r="N178" s="731"/>
      <c r="O178" s="731"/>
      <c r="P178" s="731"/>
      <c r="Q178" s="731"/>
      <c r="R178" s="731"/>
      <c r="S178" s="731"/>
      <c r="T178" s="731"/>
      <c r="U178" s="731"/>
      <c r="V178" s="731"/>
      <c r="W178" s="731"/>
      <c r="X178" s="731"/>
      <c r="Y178" s="731"/>
      <c r="Z178" s="731"/>
      <c r="AA178" s="731"/>
      <c r="AB178" s="731"/>
      <c r="AC178" s="731"/>
      <c r="AD178" s="731"/>
    </row>
    <row r="179" spans="2:30">
      <c r="B179" s="54"/>
      <c r="C179" s="157"/>
      <c r="D179" s="157"/>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row>
    <row r="180" spans="2:30">
      <c r="B180" s="45" t="s">
        <v>6853</v>
      </c>
      <c r="C180" s="157"/>
      <c r="D180" s="157"/>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row>
    <row r="181" spans="2:30" ht="72" customHeight="1">
      <c r="B181" s="54"/>
      <c r="C181" s="731" t="s">
        <v>7066</v>
      </c>
      <c r="D181" s="731"/>
      <c r="E181" s="731"/>
      <c r="F181" s="731"/>
      <c r="G181" s="731"/>
      <c r="H181" s="731"/>
      <c r="I181" s="731"/>
      <c r="J181" s="731"/>
      <c r="K181" s="731"/>
      <c r="L181" s="731"/>
      <c r="M181" s="731"/>
      <c r="N181" s="731"/>
      <c r="O181" s="731"/>
      <c r="P181" s="731"/>
      <c r="Q181" s="731"/>
      <c r="R181" s="731"/>
      <c r="S181" s="731"/>
      <c r="T181" s="731"/>
      <c r="U181" s="731"/>
      <c r="V181" s="731"/>
      <c r="W181" s="731"/>
      <c r="X181" s="731"/>
      <c r="Y181" s="731"/>
      <c r="Z181" s="731"/>
      <c r="AA181" s="731"/>
      <c r="AB181" s="731"/>
      <c r="AC181" s="731"/>
      <c r="AD181" s="731"/>
    </row>
    <row r="182" spans="2:30">
      <c r="B182" s="54"/>
      <c r="C182" s="157"/>
      <c r="D182" s="157"/>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row>
    <row r="183" spans="2:30">
      <c r="B183" s="45" t="s">
        <v>4406</v>
      </c>
      <c r="C183" s="157"/>
      <c r="D183" s="157"/>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row>
    <row r="184" spans="2:30" ht="24" customHeight="1">
      <c r="B184" s="54"/>
      <c r="C184" s="731" t="s">
        <v>7067</v>
      </c>
      <c r="D184" s="731"/>
      <c r="E184" s="731"/>
      <c r="F184" s="731"/>
      <c r="G184" s="731"/>
      <c r="H184" s="731"/>
      <c r="I184" s="731"/>
      <c r="J184" s="731"/>
      <c r="K184" s="731"/>
      <c r="L184" s="731"/>
      <c r="M184" s="731"/>
      <c r="N184" s="731"/>
      <c r="O184" s="731"/>
      <c r="P184" s="731"/>
      <c r="Q184" s="731"/>
      <c r="R184" s="731"/>
      <c r="S184" s="731"/>
      <c r="T184" s="731"/>
      <c r="U184" s="731"/>
      <c r="V184" s="731"/>
      <c r="W184" s="731"/>
      <c r="X184" s="731"/>
      <c r="Y184" s="731"/>
      <c r="Z184" s="731"/>
      <c r="AA184" s="731"/>
      <c r="AB184" s="731"/>
      <c r="AC184" s="731"/>
      <c r="AD184" s="731"/>
    </row>
    <row r="185" spans="2:30">
      <c r="B185" s="54"/>
      <c r="C185" s="157"/>
      <c r="D185" s="157"/>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row>
    <row r="186" spans="2:30">
      <c r="B186" s="45" t="s">
        <v>3529</v>
      </c>
      <c r="C186" s="157"/>
      <c r="D186" s="157"/>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row>
    <row r="187" spans="2:30" ht="24" customHeight="1">
      <c r="B187" s="54"/>
      <c r="C187" s="731" t="s">
        <v>7068</v>
      </c>
      <c r="D187" s="731"/>
      <c r="E187" s="731"/>
      <c r="F187" s="731"/>
      <c r="G187" s="731"/>
      <c r="H187" s="731"/>
      <c r="I187" s="731"/>
      <c r="J187" s="731"/>
      <c r="K187" s="731"/>
      <c r="L187" s="731"/>
      <c r="M187" s="731"/>
      <c r="N187" s="731"/>
      <c r="O187" s="731"/>
      <c r="P187" s="731"/>
      <c r="Q187" s="731"/>
      <c r="R187" s="731"/>
      <c r="S187" s="731"/>
      <c r="T187" s="731"/>
      <c r="U187" s="731"/>
      <c r="V187" s="731"/>
      <c r="W187" s="731"/>
      <c r="X187" s="731"/>
      <c r="Y187" s="731"/>
      <c r="Z187" s="731"/>
      <c r="AA187" s="731"/>
      <c r="AB187" s="731"/>
      <c r="AC187" s="731"/>
      <c r="AD187" s="731"/>
    </row>
    <row r="188" spans="2:30">
      <c r="B188" s="54"/>
      <c r="C188" s="157"/>
      <c r="D188" s="157"/>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row>
    <row r="189" spans="2:30">
      <c r="B189" s="45" t="s">
        <v>3299</v>
      </c>
      <c r="C189" s="157"/>
      <c r="D189" s="157"/>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row>
    <row r="190" spans="2:30" ht="36" customHeight="1">
      <c r="B190" s="54"/>
      <c r="C190" s="731" t="s">
        <v>7069</v>
      </c>
      <c r="D190" s="731"/>
      <c r="E190" s="731"/>
      <c r="F190" s="731"/>
      <c r="G190" s="731"/>
      <c r="H190" s="731"/>
      <c r="I190" s="731"/>
      <c r="J190" s="731"/>
      <c r="K190" s="731"/>
      <c r="L190" s="731"/>
      <c r="M190" s="731"/>
      <c r="N190" s="731"/>
      <c r="O190" s="731"/>
      <c r="P190" s="731"/>
      <c r="Q190" s="731"/>
      <c r="R190" s="731"/>
      <c r="S190" s="731"/>
      <c r="T190" s="731"/>
      <c r="U190" s="731"/>
      <c r="V190" s="731"/>
      <c r="W190" s="731"/>
      <c r="X190" s="731"/>
      <c r="Y190" s="731"/>
      <c r="Z190" s="731"/>
      <c r="AA190" s="731"/>
      <c r="AB190" s="731"/>
      <c r="AC190" s="731"/>
      <c r="AD190" s="731"/>
    </row>
    <row r="191" spans="2:30">
      <c r="B191" s="54"/>
      <c r="C191" s="157"/>
      <c r="D191" s="157"/>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row>
    <row r="192" spans="2:30">
      <c r="B192" s="45" t="s">
        <v>3298</v>
      </c>
      <c r="C192" s="157"/>
      <c r="D192" s="157"/>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row>
    <row r="193" spans="2:30" ht="48" customHeight="1">
      <c r="B193" s="54"/>
      <c r="C193" s="731" t="s">
        <v>7070</v>
      </c>
      <c r="D193" s="731"/>
      <c r="E193" s="731"/>
      <c r="F193" s="731"/>
      <c r="G193" s="731"/>
      <c r="H193" s="731"/>
      <c r="I193" s="731"/>
      <c r="J193" s="731"/>
      <c r="K193" s="731"/>
      <c r="L193" s="731"/>
      <c r="M193" s="731"/>
      <c r="N193" s="731"/>
      <c r="O193" s="731"/>
      <c r="P193" s="731"/>
      <c r="Q193" s="731"/>
      <c r="R193" s="731"/>
      <c r="S193" s="731"/>
      <c r="T193" s="731"/>
      <c r="U193" s="731"/>
      <c r="V193" s="731"/>
      <c r="W193" s="731"/>
      <c r="X193" s="731"/>
      <c r="Y193" s="731"/>
      <c r="Z193" s="731"/>
      <c r="AA193" s="731"/>
      <c r="AB193" s="731"/>
      <c r="AC193" s="731"/>
      <c r="AD193" s="731"/>
    </row>
    <row r="194" spans="2:30">
      <c r="B194" s="54"/>
      <c r="C194" s="157"/>
      <c r="D194" s="157"/>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row>
    <row r="195" spans="2:30">
      <c r="B195" s="45" t="s">
        <v>7071</v>
      </c>
      <c r="C195" s="157"/>
      <c r="D195" s="157"/>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row>
    <row r="196" spans="2:30" ht="24" customHeight="1">
      <c r="B196" s="54"/>
      <c r="C196" s="731" t="s">
        <v>7072</v>
      </c>
      <c r="D196" s="731"/>
      <c r="E196" s="731"/>
      <c r="F196" s="731"/>
      <c r="G196" s="731"/>
      <c r="H196" s="731"/>
      <c r="I196" s="731"/>
      <c r="J196" s="731"/>
      <c r="K196" s="731"/>
      <c r="L196" s="731"/>
      <c r="M196" s="731"/>
      <c r="N196" s="731"/>
      <c r="O196" s="731"/>
      <c r="P196" s="731"/>
      <c r="Q196" s="731"/>
      <c r="R196" s="731"/>
      <c r="S196" s="731"/>
      <c r="T196" s="731"/>
      <c r="U196" s="731"/>
      <c r="V196" s="731"/>
      <c r="W196" s="731"/>
      <c r="X196" s="731"/>
      <c r="Y196" s="731"/>
      <c r="Z196" s="731"/>
      <c r="AA196" s="731"/>
      <c r="AB196" s="731"/>
      <c r="AC196" s="731"/>
      <c r="AD196" s="731"/>
    </row>
    <row r="197" spans="2:30">
      <c r="B197" s="54"/>
      <c r="C197" s="157"/>
      <c r="D197" s="157"/>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row>
    <row r="198" spans="2:30">
      <c r="B198" s="45" t="s">
        <v>3267</v>
      </c>
      <c r="C198" s="157"/>
      <c r="D198" s="157"/>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row>
    <row r="199" spans="2:30" ht="36" customHeight="1">
      <c r="B199" s="54"/>
      <c r="C199" s="731" t="s">
        <v>7073</v>
      </c>
      <c r="D199" s="731"/>
      <c r="E199" s="731"/>
      <c r="F199" s="731"/>
      <c r="G199" s="731"/>
      <c r="H199" s="731"/>
      <c r="I199" s="731"/>
      <c r="J199" s="731"/>
      <c r="K199" s="731"/>
      <c r="L199" s="731"/>
      <c r="M199" s="731"/>
      <c r="N199" s="731"/>
      <c r="O199" s="731"/>
      <c r="P199" s="731"/>
      <c r="Q199" s="731"/>
      <c r="R199" s="731"/>
      <c r="S199" s="731"/>
      <c r="T199" s="731"/>
      <c r="U199" s="731"/>
      <c r="V199" s="731"/>
      <c r="W199" s="731"/>
      <c r="X199" s="731"/>
      <c r="Y199" s="731"/>
      <c r="Z199" s="731"/>
      <c r="AA199" s="731"/>
      <c r="AB199" s="731"/>
      <c r="AC199" s="731"/>
      <c r="AD199" s="731"/>
    </row>
    <row r="200" spans="2:30">
      <c r="B200" s="54"/>
      <c r="C200" s="157"/>
      <c r="D200" s="157"/>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row>
    <row r="201" spans="2:30">
      <c r="B201" s="45" t="s">
        <v>7074</v>
      </c>
      <c r="C201" s="157"/>
      <c r="D201" s="157"/>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row>
    <row r="202" spans="2:30" ht="24" customHeight="1">
      <c r="B202" s="54"/>
      <c r="C202" s="731" t="s">
        <v>7075</v>
      </c>
      <c r="D202" s="731"/>
      <c r="E202" s="731"/>
      <c r="F202" s="731"/>
      <c r="G202" s="731"/>
      <c r="H202" s="731"/>
      <c r="I202" s="731"/>
      <c r="J202" s="731"/>
      <c r="K202" s="731"/>
      <c r="L202" s="731"/>
      <c r="M202" s="731"/>
      <c r="N202" s="731"/>
      <c r="O202" s="731"/>
      <c r="P202" s="731"/>
      <c r="Q202" s="731"/>
      <c r="R202" s="731"/>
      <c r="S202" s="731"/>
      <c r="T202" s="731"/>
      <c r="U202" s="731"/>
      <c r="V202" s="731"/>
      <c r="W202" s="731"/>
      <c r="X202" s="731"/>
      <c r="Y202" s="731"/>
      <c r="Z202" s="731"/>
      <c r="AA202" s="731"/>
      <c r="AB202" s="731"/>
      <c r="AC202" s="731"/>
      <c r="AD202" s="731"/>
    </row>
    <row r="203" spans="2:30">
      <c r="B203" s="54"/>
      <c r="C203" s="157"/>
      <c r="D203" s="157"/>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row>
    <row r="204" spans="2:30">
      <c r="B204" s="45" t="s">
        <v>3268</v>
      </c>
      <c r="C204" s="157"/>
      <c r="D204" s="157"/>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row>
    <row r="205" spans="2:30" ht="48" customHeight="1">
      <c r="B205" s="54"/>
      <c r="C205" s="731" t="s">
        <v>7076</v>
      </c>
      <c r="D205" s="731"/>
      <c r="E205" s="731"/>
      <c r="F205" s="731"/>
      <c r="G205" s="731"/>
      <c r="H205" s="731"/>
      <c r="I205" s="731"/>
      <c r="J205" s="731"/>
      <c r="K205" s="731"/>
      <c r="L205" s="731"/>
      <c r="M205" s="731"/>
      <c r="N205" s="731"/>
      <c r="O205" s="731"/>
      <c r="P205" s="731"/>
      <c r="Q205" s="731"/>
      <c r="R205" s="731"/>
      <c r="S205" s="731"/>
      <c r="T205" s="731"/>
      <c r="U205" s="731"/>
      <c r="V205" s="731"/>
      <c r="W205" s="731"/>
      <c r="X205" s="731"/>
      <c r="Y205" s="731"/>
      <c r="Z205" s="731"/>
      <c r="AA205" s="731"/>
      <c r="AB205" s="731"/>
      <c r="AC205" s="731"/>
      <c r="AD205" s="731"/>
    </row>
    <row r="206" spans="2:30">
      <c r="B206" s="54"/>
      <c r="C206" s="157"/>
      <c r="D206" s="157"/>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row>
    <row r="207" spans="2:30">
      <c r="B207" s="45" t="s">
        <v>7077</v>
      </c>
      <c r="C207" s="102"/>
      <c r="D207" s="102"/>
      <c r="E207" s="45"/>
      <c r="F207" s="45"/>
      <c r="G207" s="45"/>
      <c r="H207" s="45"/>
      <c r="I207" s="45"/>
      <c r="J207" s="45"/>
      <c r="K207" s="45"/>
      <c r="L207" s="45"/>
      <c r="M207" s="45"/>
      <c r="N207" s="45"/>
      <c r="O207" s="45"/>
      <c r="P207" s="45"/>
      <c r="Q207" s="45"/>
      <c r="R207" s="45"/>
      <c r="S207" s="45"/>
      <c r="T207" s="45"/>
      <c r="U207" s="45"/>
      <c r="V207" s="45"/>
      <c r="W207" s="45"/>
      <c r="X207" s="45"/>
      <c r="Y207" s="45"/>
      <c r="Z207" s="45"/>
      <c r="AA207" s="45"/>
      <c r="AB207" s="45"/>
      <c r="AC207" s="45"/>
      <c r="AD207" s="45"/>
    </row>
    <row r="208" spans="2:30" ht="24" customHeight="1">
      <c r="B208" s="54"/>
      <c r="C208" s="731" t="s">
        <v>7078</v>
      </c>
      <c r="D208" s="731"/>
      <c r="E208" s="731"/>
      <c r="F208" s="731"/>
      <c r="G208" s="731"/>
      <c r="H208" s="731"/>
      <c r="I208" s="731"/>
      <c r="J208" s="731"/>
      <c r="K208" s="731"/>
      <c r="L208" s="731"/>
      <c r="M208" s="731"/>
      <c r="N208" s="731"/>
      <c r="O208" s="731"/>
      <c r="P208" s="731"/>
      <c r="Q208" s="731"/>
      <c r="R208" s="731"/>
      <c r="S208" s="731"/>
      <c r="T208" s="731"/>
      <c r="U208" s="731"/>
      <c r="V208" s="731"/>
      <c r="W208" s="731"/>
      <c r="X208" s="731"/>
      <c r="Y208" s="731"/>
      <c r="Z208" s="731"/>
      <c r="AA208" s="731"/>
      <c r="AB208" s="731"/>
      <c r="AC208" s="731"/>
      <c r="AD208" s="731"/>
    </row>
    <row r="209" spans="2:30">
      <c r="B209" s="54"/>
      <c r="C209" s="157"/>
      <c r="D209" s="157"/>
      <c r="E209" s="38"/>
      <c r="F209" s="38"/>
      <c r="G209" s="38"/>
      <c r="H209" s="38"/>
      <c r="I209" s="38"/>
      <c r="J209" s="38"/>
      <c r="K209" s="38"/>
      <c r="L209" s="38"/>
      <c r="M209" s="38"/>
      <c r="N209" s="38"/>
      <c r="O209" s="38"/>
      <c r="P209" s="38"/>
      <c r="Q209" s="38"/>
      <c r="R209" s="38"/>
      <c r="S209" s="38"/>
      <c r="T209" s="38"/>
      <c r="U209" s="38"/>
      <c r="V209" s="38"/>
      <c r="W209" s="38"/>
      <c r="X209" s="38"/>
      <c r="Y209" s="38"/>
      <c r="Z209" s="38"/>
      <c r="AA209" s="38"/>
      <c r="AB209" s="38"/>
      <c r="AC209" s="38"/>
      <c r="AD209" s="38"/>
    </row>
    <row r="210" spans="2:30" ht="96" customHeight="1">
      <c r="B210" s="54"/>
      <c r="C210" s="36"/>
      <c r="D210" s="731" t="s">
        <v>7079</v>
      </c>
      <c r="E210" s="731"/>
      <c r="F210" s="731"/>
      <c r="G210" s="731"/>
      <c r="H210" s="731"/>
      <c r="I210" s="731"/>
      <c r="J210" s="731"/>
      <c r="K210" s="731"/>
      <c r="L210" s="731"/>
      <c r="M210" s="731"/>
      <c r="N210" s="731"/>
      <c r="O210" s="731"/>
      <c r="P210" s="731"/>
      <c r="Q210" s="731"/>
      <c r="R210" s="731"/>
      <c r="S210" s="731"/>
      <c r="T210" s="731"/>
      <c r="U210" s="731"/>
      <c r="V210" s="731"/>
      <c r="W210" s="731"/>
      <c r="X210" s="731"/>
      <c r="Y210" s="731"/>
      <c r="Z210" s="731"/>
      <c r="AA210" s="731"/>
      <c r="AB210" s="731"/>
      <c r="AC210" s="731"/>
      <c r="AD210" s="731"/>
    </row>
    <row r="211" spans="2:30">
      <c r="B211" s="54"/>
      <c r="C211" s="36"/>
      <c r="D211" s="36"/>
      <c r="E211" s="36"/>
      <c r="F211" s="36"/>
      <c r="G211" s="36"/>
      <c r="H211" s="36"/>
      <c r="I211" s="36"/>
      <c r="J211" s="36"/>
      <c r="K211" s="36"/>
      <c r="L211" s="36"/>
      <c r="M211" s="36"/>
      <c r="N211" s="36"/>
      <c r="O211" s="36"/>
      <c r="P211" s="36"/>
      <c r="Q211" s="36"/>
      <c r="R211" s="36"/>
      <c r="S211" s="36"/>
      <c r="T211" s="36"/>
      <c r="U211" s="36"/>
      <c r="V211" s="36"/>
      <c r="W211" s="36"/>
      <c r="X211" s="36"/>
      <c r="Y211" s="36"/>
      <c r="Z211" s="36"/>
      <c r="AA211" s="36"/>
      <c r="AB211" s="36"/>
      <c r="AC211" s="36"/>
      <c r="AD211" s="36"/>
    </row>
    <row r="212" spans="2:30" ht="24" customHeight="1">
      <c r="B212" s="54"/>
      <c r="C212" s="75"/>
      <c r="D212" s="731" t="s">
        <v>7080</v>
      </c>
      <c r="E212" s="731"/>
      <c r="F212" s="731"/>
      <c r="G212" s="731"/>
      <c r="H212" s="731"/>
      <c r="I212" s="731"/>
      <c r="J212" s="731"/>
      <c r="K212" s="731"/>
      <c r="L212" s="731"/>
      <c r="M212" s="731"/>
      <c r="N212" s="731"/>
      <c r="O212" s="731"/>
      <c r="P212" s="731"/>
      <c r="Q212" s="731"/>
      <c r="R212" s="731"/>
      <c r="S212" s="731"/>
      <c r="T212" s="731"/>
      <c r="U212" s="731"/>
      <c r="V212" s="731"/>
      <c r="W212" s="731"/>
      <c r="X212" s="731"/>
      <c r="Y212" s="731"/>
      <c r="Z212" s="731"/>
      <c r="AA212" s="731"/>
      <c r="AB212" s="731"/>
      <c r="AC212" s="731"/>
      <c r="AD212" s="731"/>
    </row>
    <row r="213" spans="2:30">
      <c r="B213" s="54"/>
      <c r="C213" s="139"/>
      <c r="D213" s="36"/>
      <c r="E213" s="36"/>
      <c r="F213" s="36"/>
      <c r="G213" s="36"/>
      <c r="H213" s="36"/>
      <c r="I213" s="36"/>
      <c r="J213" s="36"/>
      <c r="K213" s="36"/>
      <c r="L213" s="36"/>
      <c r="M213" s="36"/>
      <c r="N213" s="36"/>
      <c r="O213" s="36"/>
      <c r="P213" s="36"/>
      <c r="Q213" s="36"/>
      <c r="R213" s="36"/>
      <c r="S213" s="36"/>
      <c r="T213" s="36"/>
      <c r="U213" s="36"/>
      <c r="V213" s="36"/>
      <c r="W213" s="36"/>
      <c r="X213" s="36"/>
      <c r="Y213" s="36"/>
      <c r="Z213" s="36"/>
      <c r="AA213" s="36"/>
      <c r="AB213" s="36"/>
      <c r="AC213" s="36"/>
      <c r="AD213" s="36"/>
    </row>
    <row r="214" spans="2:30" ht="60" customHeight="1">
      <c r="B214" s="54"/>
      <c r="C214" s="36"/>
      <c r="D214" s="731" t="s">
        <v>7081</v>
      </c>
      <c r="E214" s="731"/>
      <c r="F214" s="731"/>
      <c r="G214" s="731"/>
      <c r="H214" s="731"/>
      <c r="I214" s="731"/>
      <c r="J214" s="731"/>
      <c r="K214" s="731"/>
      <c r="L214" s="731"/>
      <c r="M214" s="731"/>
      <c r="N214" s="731"/>
      <c r="O214" s="731"/>
      <c r="P214" s="731"/>
      <c r="Q214" s="731"/>
      <c r="R214" s="731"/>
      <c r="S214" s="731"/>
      <c r="T214" s="731"/>
      <c r="U214" s="731"/>
      <c r="V214" s="731"/>
      <c r="W214" s="731"/>
      <c r="X214" s="731"/>
      <c r="Y214" s="731"/>
      <c r="Z214" s="731"/>
      <c r="AA214" s="731"/>
      <c r="AB214" s="731"/>
      <c r="AC214" s="731"/>
      <c r="AD214" s="731"/>
    </row>
    <row r="215" spans="2:30">
      <c r="B215" s="54"/>
      <c r="C215" s="36"/>
      <c r="D215" s="36"/>
      <c r="E215" s="36"/>
      <c r="F215" s="36"/>
      <c r="G215" s="36"/>
      <c r="H215" s="36"/>
      <c r="I215" s="36"/>
      <c r="J215" s="36"/>
      <c r="K215" s="36"/>
      <c r="L215" s="36"/>
      <c r="M215" s="36"/>
      <c r="N215" s="36"/>
      <c r="O215" s="36"/>
      <c r="P215" s="36"/>
      <c r="Q215" s="36"/>
      <c r="R215" s="36"/>
      <c r="S215" s="36"/>
      <c r="T215" s="36"/>
      <c r="U215" s="36"/>
      <c r="V215" s="36"/>
      <c r="W215" s="36"/>
      <c r="X215" s="36"/>
      <c r="Y215" s="36"/>
      <c r="Z215" s="36"/>
      <c r="AA215" s="36"/>
      <c r="AB215" s="36"/>
      <c r="AC215" s="36"/>
      <c r="AD215" s="36"/>
    </row>
    <row r="216" spans="2:30" ht="24" customHeight="1">
      <c r="B216" s="54"/>
      <c r="C216" s="139"/>
      <c r="D216" s="731" t="s">
        <v>7082</v>
      </c>
      <c r="E216" s="731"/>
      <c r="F216" s="731"/>
      <c r="G216" s="731"/>
      <c r="H216" s="731"/>
      <c r="I216" s="731"/>
      <c r="J216" s="731"/>
      <c r="K216" s="731"/>
      <c r="L216" s="731"/>
      <c r="M216" s="731"/>
      <c r="N216" s="731"/>
      <c r="O216" s="731"/>
      <c r="P216" s="731"/>
      <c r="Q216" s="731"/>
      <c r="R216" s="731"/>
      <c r="S216" s="731"/>
      <c r="T216" s="731"/>
      <c r="U216" s="731"/>
      <c r="V216" s="731"/>
      <c r="W216" s="731"/>
      <c r="X216" s="731"/>
      <c r="Y216" s="731"/>
      <c r="Z216" s="731"/>
      <c r="AA216" s="731"/>
      <c r="AB216" s="731"/>
      <c r="AC216" s="731"/>
      <c r="AD216" s="731"/>
    </row>
    <row r="217" spans="2:30">
      <c r="B217" s="54"/>
      <c r="C217" s="139"/>
      <c r="D217" s="36"/>
      <c r="E217" s="36"/>
      <c r="F217" s="36"/>
      <c r="G217" s="36"/>
      <c r="H217" s="36"/>
      <c r="I217" s="36"/>
      <c r="J217" s="36"/>
      <c r="K217" s="36"/>
      <c r="L217" s="36"/>
      <c r="M217" s="36"/>
      <c r="N217" s="36"/>
      <c r="O217" s="36"/>
      <c r="P217" s="36"/>
      <c r="Q217" s="36"/>
      <c r="R217" s="36"/>
      <c r="S217" s="36"/>
      <c r="T217" s="36"/>
      <c r="U217" s="36"/>
      <c r="V217" s="36"/>
      <c r="W217" s="36"/>
      <c r="X217" s="36"/>
      <c r="Y217" s="36"/>
      <c r="Z217" s="36"/>
      <c r="AA217" s="36"/>
      <c r="AB217" s="36"/>
      <c r="AC217" s="36"/>
      <c r="AD217" s="36"/>
    </row>
    <row r="218" spans="2:30" ht="48" customHeight="1">
      <c r="B218" s="54"/>
      <c r="C218" s="139"/>
      <c r="D218" s="1012" t="s">
        <v>7083</v>
      </c>
      <c r="E218" s="1012"/>
      <c r="F218" s="1012"/>
      <c r="G218" s="1012"/>
      <c r="H218" s="1012"/>
      <c r="I218" s="1012"/>
      <c r="J218" s="1012"/>
      <c r="K218" s="1012"/>
      <c r="L218" s="1012"/>
      <c r="M218" s="1012"/>
      <c r="N218" s="1012"/>
      <c r="O218" s="1012"/>
      <c r="P218" s="1012"/>
      <c r="Q218" s="1012"/>
      <c r="R218" s="1012"/>
      <c r="S218" s="1012"/>
      <c r="T218" s="1012"/>
      <c r="U218" s="1012"/>
      <c r="V218" s="1012"/>
      <c r="W218" s="1012"/>
      <c r="X218" s="1012"/>
      <c r="Y218" s="1012"/>
      <c r="Z218" s="1012"/>
      <c r="AA218" s="1012"/>
      <c r="AB218" s="1012"/>
      <c r="AC218" s="1012"/>
      <c r="AD218" s="1012"/>
    </row>
    <row r="219" spans="2:30">
      <c r="B219" s="54"/>
      <c r="C219" s="157"/>
      <c r="D219" s="157"/>
      <c r="E219" s="38"/>
      <c r="F219" s="38"/>
      <c r="G219" s="38"/>
      <c r="H219" s="38"/>
      <c r="I219" s="38"/>
      <c r="J219" s="38"/>
      <c r="K219" s="38"/>
      <c r="L219" s="38"/>
      <c r="M219" s="38"/>
      <c r="N219" s="38"/>
      <c r="O219" s="38"/>
      <c r="P219" s="38"/>
      <c r="Q219" s="38"/>
      <c r="R219" s="38"/>
      <c r="S219" s="38"/>
      <c r="T219" s="38"/>
      <c r="U219" s="38"/>
      <c r="V219" s="38"/>
      <c r="W219" s="38"/>
      <c r="X219" s="38"/>
      <c r="Y219" s="38"/>
      <c r="Z219" s="38"/>
      <c r="AA219" s="38"/>
      <c r="AB219" s="38"/>
      <c r="AC219" s="38"/>
      <c r="AD219" s="38"/>
    </row>
    <row r="220" spans="2:30" ht="72" customHeight="1">
      <c r="B220" s="54"/>
      <c r="C220" s="36"/>
      <c r="D220" s="731" t="s">
        <v>7084</v>
      </c>
      <c r="E220" s="731"/>
      <c r="F220" s="731"/>
      <c r="G220" s="731"/>
      <c r="H220" s="731"/>
      <c r="I220" s="731"/>
      <c r="J220" s="731"/>
      <c r="K220" s="731"/>
      <c r="L220" s="731"/>
      <c r="M220" s="731"/>
      <c r="N220" s="731"/>
      <c r="O220" s="731"/>
      <c r="P220" s="731"/>
      <c r="Q220" s="731"/>
      <c r="R220" s="731"/>
      <c r="S220" s="731"/>
      <c r="T220" s="731"/>
      <c r="U220" s="731"/>
      <c r="V220" s="731"/>
      <c r="W220" s="731"/>
      <c r="X220" s="731"/>
      <c r="Y220" s="731"/>
      <c r="Z220" s="731"/>
      <c r="AA220" s="731"/>
      <c r="AB220" s="731"/>
      <c r="AC220" s="731"/>
      <c r="AD220" s="731"/>
    </row>
    <row r="221" spans="2:30">
      <c r="B221" s="54"/>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c r="AA221" s="36"/>
      <c r="AB221" s="36"/>
      <c r="AC221" s="36"/>
      <c r="AD221" s="36"/>
    </row>
    <row r="222" spans="2:30" ht="84" customHeight="1">
      <c r="B222" s="54"/>
      <c r="C222" s="75"/>
      <c r="D222" s="731" t="s">
        <v>7085</v>
      </c>
      <c r="E222" s="731"/>
      <c r="F222" s="731"/>
      <c r="G222" s="731"/>
      <c r="H222" s="731"/>
      <c r="I222" s="731"/>
      <c r="J222" s="731"/>
      <c r="K222" s="731"/>
      <c r="L222" s="731"/>
      <c r="M222" s="731"/>
      <c r="N222" s="731"/>
      <c r="O222" s="731"/>
      <c r="P222" s="731"/>
      <c r="Q222" s="731"/>
      <c r="R222" s="731"/>
      <c r="S222" s="731"/>
      <c r="T222" s="731"/>
      <c r="U222" s="731"/>
      <c r="V222" s="731"/>
      <c r="W222" s="731"/>
      <c r="X222" s="731"/>
      <c r="Y222" s="731"/>
      <c r="Z222" s="731"/>
      <c r="AA222" s="731"/>
      <c r="AB222" s="731"/>
      <c r="AC222" s="731"/>
      <c r="AD222" s="731"/>
    </row>
    <row r="223" spans="2:30">
      <c r="B223" s="54"/>
      <c r="C223" s="139"/>
      <c r="D223" s="36"/>
      <c r="E223" s="36"/>
      <c r="F223" s="36"/>
      <c r="G223" s="36"/>
      <c r="H223" s="36"/>
      <c r="I223" s="36"/>
      <c r="J223" s="36"/>
      <c r="K223" s="36"/>
      <c r="L223" s="36"/>
      <c r="M223" s="36"/>
      <c r="N223" s="36"/>
      <c r="O223" s="36"/>
      <c r="P223" s="36"/>
      <c r="Q223" s="36"/>
      <c r="R223" s="36"/>
      <c r="S223" s="36"/>
      <c r="T223" s="36"/>
      <c r="U223" s="36"/>
      <c r="V223" s="36"/>
      <c r="W223" s="36"/>
      <c r="X223" s="36"/>
      <c r="Y223" s="36"/>
      <c r="Z223" s="36"/>
      <c r="AA223" s="36"/>
      <c r="AB223" s="36"/>
      <c r="AC223" s="36"/>
      <c r="AD223" s="36"/>
    </row>
    <row r="224" spans="2:30" ht="72" customHeight="1">
      <c r="B224" s="54"/>
      <c r="C224" s="36"/>
      <c r="D224" s="731" t="s">
        <v>7086</v>
      </c>
      <c r="E224" s="731"/>
      <c r="F224" s="731"/>
      <c r="G224" s="731"/>
      <c r="H224" s="731"/>
      <c r="I224" s="731"/>
      <c r="J224" s="731"/>
      <c r="K224" s="731"/>
      <c r="L224" s="731"/>
      <c r="M224" s="731"/>
      <c r="N224" s="731"/>
      <c r="O224" s="731"/>
      <c r="P224" s="731"/>
      <c r="Q224" s="731"/>
      <c r="R224" s="731"/>
      <c r="S224" s="731"/>
      <c r="T224" s="731"/>
      <c r="U224" s="731"/>
      <c r="V224" s="731"/>
      <c r="W224" s="731"/>
      <c r="X224" s="731"/>
      <c r="Y224" s="731"/>
      <c r="Z224" s="731"/>
      <c r="AA224" s="731"/>
      <c r="AB224" s="731"/>
      <c r="AC224" s="731"/>
      <c r="AD224" s="731"/>
    </row>
    <row r="225" spans="2:30">
      <c r="B225" s="54"/>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c r="AA225" s="36"/>
      <c r="AB225" s="36"/>
      <c r="AC225" s="36"/>
      <c r="AD225" s="36"/>
    </row>
    <row r="226" spans="2:30" ht="84" customHeight="1">
      <c r="B226" s="54"/>
      <c r="C226" s="139"/>
      <c r="D226" s="731" t="s">
        <v>7087</v>
      </c>
      <c r="E226" s="731"/>
      <c r="F226" s="731"/>
      <c r="G226" s="731"/>
      <c r="H226" s="731"/>
      <c r="I226" s="731"/>
      <c r="J226" s="731"/>
      <c r="K226" s="731"/>
      <c r="L226" s="731"/>
      <c r="M226" s="731"/>
      <c r="N226" s="731"/>
      <c r="O226" s="731"/>
      <c r="P226" s="731"/>
      <c r="Q226" s="731"/>
      <c r="R226" s="731"/>
      <c r="S226" s="731"/>
      <c r="T226" s="731"/>
      <c r="U226" s="731"/>
      <c r="V226" s="731"/>
      <c r="W226" s="731"/>
      <c r="X226" s="731"/>
      <c r="Y226" s="731"/>
      <c r="Z226" s="731"/>
      <c r="AA226" s="731"/>
      <c r="AB226" s="731"/>
      <c r="AC226" s="731"/>
      <c r="AD226" s="731"/>
    </row>
    <row r="227" spans="2:30">
      <c r="B227" s="54"/>
      <c r="C227" s="139"/>
      <c r="D227" s="36"/>
      <c r="E227" s="36"/>
      <c r="F227" s="36"/>
      <c r="G227" s="36"/>
      <c r="H227" s="36"/>
      <c r="I227" s="36"/>
      <c r="J227" s="36"/>
      <c r="K227" s="36"/>
      <c r="L227" s="36"/>
      <c r="M227" s="36"/>
      <c r="N227" s="36"/>
      <c r="O227" s="36"/>
      <c r="P227" s="36"/>
      <c r="Q227" s="36"/>
      <c r="R227" s="36"/>
      <c r="S227" s="36"/>
      <c r="T227" s="36"/>
      <c r="U227" s="36"/>
      <c r="V227" s="36"/>
      <c r="W227" s="36"/>
      <c r="X227" s="36"/>
      <c r="Y227" s="36"/>
      <c r="Z227" s="36"/>
      <c r="AA227" s="36"/>
      <c r="AB227" s="36"/>
      <c r="AC227" s="36"/>
      <c r="AD227" s="36"/>
    </row>
    <row r="228" spans="2:30" ht="48" customHeight="1">
      <c r="B228" s="54"/>
      <c r="C228" s="139"/>
      <c r="D228" s="1012" t="s">
        <v>7088</v>
      </c>
      <c r="E228" s="1012"/>
      <c r="F228" s="1012"/>
      <c r="G228" s="1012"/>
      <c r="H228" s="1012"/>
      <c r="I228" s="1012"/>
      <c r="J228" s="1012"/>
      <c r="K228" s="1012"/>
      <c r="L228" s="1012"/>
      <c r="M228" s="1012"/>
      <c r="N228" s="1012"/>
      <c r="O228" s="1012"/>
      <c r="P228" s="1012"/>
      <c r="Q228" s="1012"/>
      <c r="R228" s="1012"/>
      <c r="S228" s="1012"/>
      <c r="T228" s="1012"/>
      <c r="U228" s="1012"/>
      <c r="V228" s="1012"/>
      <c r="W228" s="1012"/>
      <c r="X228" s="1012"/>
      <c r="Y228" s="1012"/>
      <c r="Z228" s="1012"/>
      <c r="AA228" s="1012"/>
      <c r="AB228" s="1012"/>
      <c r="AC228" s="1012"/>
      <c r="AD228" s="1012"/>
    </row>
    <row r="229" spans="2:30">
      <c r="B229" s="54"/>
      <c r="C229" s="157"/>
      <c r="D229" s="157"/>
      <c r="E229" s="38"/>
      <c r="F229" s="38"/>
      <c r="G229" s="38"/>
      <c r="H229" s="38"/>
      <c r="I229" s="38"/>
      <c r="J229" s="38"/>
      <c r="K229" s="38"/>
      <c r="L229" s="38"/>
      <c r="M229" s="38"/>
      <c r="N229" s="38"/>
      <c r="O229" s="38"/>
      <c r="P229" s="38"/>
      <c r="Q229" s="38"/>
      <c r="R229" s="38"/>
      <c r="S229" s="38"/>
      <c r="T229" s="38"/>
      <c r="U229" s="38"/>
      <c r="V229" s="38"/>
      <c r="W229" s="38"/>
      <c r="X229" s="38"/>
      <c r="Y229" s="38"/>
      <c r="Z229" s="38"/>
      <c r="AA229" s="38"/>
      <c r="AB229" s="38"/>
      <c r="AC229" s="38"/>
      <c r="AD229" s="38"/>
    </row>
    <row r="230" spans="2:30" ht="48" customHeight="1">
      <c r="B230" s="54"/>
      <c r="C230" s="36"/>
      <c r="D230" s="731" t="s">
        <v>7089</v>
      </c>
      <c r="E230" s="731"/>
      <c r="F230" s="731"/>
      <c r="G230" s="731"/>
      <c r="H230" s="731"/>
      <c r="I230" s="731"/>
      <c r="J230" s="731"/>
      <c r="K230" s="731"/>
      <c r="L230" s="731"/>
      <c r="M230" s="731"/>
      <c r="N230" s="731"/>
      <c r="O230" s="731"/>
      <c r="P230" s="731"/>
      <c r="Q230" s="731"/>
      <c r="R230" s="731"/>
      <c r="S230" s="731"/>
      <c r="T230" s="731"/>
      <c r="U230" s="731"/>
      <c r="V230" s="731"/>
      <c r="W230" s="731"/>
      <c r="X230" s="731"/>
      <c r="Y230" s="731"/>
      <c r="Z230" s="731"/>
      <c r="AA230" s="731"/>
      <c r="AB230" s="731"/>
      <c r="AC230" s="731"/>
      <c r="AD230" s="731"/>
    </row>
    <row r="231" spans="2:30">
      <c r="B231" s="54"/>
      <c r="C231" s="36"/>
      <c r="D231" s="36"/>
      <c r="E231" s="36"/>
      <c r="F231" s="36"/>
      <c r="G231" s="36"/>
      <c r="H231" s="36"/>
      <c r="I231" s="36"/>
      <c r="J231" s="36"/>
      <c r="K231" s="36"/>
      <c r="L231" s="36"/>
      <c r="M231" s="36"/>
      <c r="N231" s="36"/>
      <c r="O231" s="36"/>
      <c r="P231" s="36"/>
      <c r="Q231" s="36"/>
      <c r="R231" s="36"/>
      <c r="S231" s="36"/>
      <c r="T231" s="36"/>
      <c r="U231" s="36"/>
      <c r="V231" s="36"/>
      <c r="W231" s="36"/>
      <c r="X231" s="36"/>
      <c r="Y231" s="36"/>
      <c r="Z231" s="36"/>
      <c r="AA231" s="36"/>
      <c r="AB231" s="36"/>
      <c r="AC231" s="36"/>
      <c r="AD231" s="36"/>
    </row>
    <row r="232" spans="2:30" ht="36" customHeight="1">
      <c r="B232" s="54"/>
      <c r="C232" s="139"/>
      <c r="D232" s="731" t="s">
        <v>7090</v>
      </c>
      <c r="E232" s="731"/>
      <c r="F232" s="731"/>
      <c r="G232" s="731"/>
      <c r="H232" s="731"/>
      <c r="I232" s="731"/>
      <c r="J232" s="731"/>
      <c r="K232" s="731"/>
      <c r="L232" s="731"/>
      <c r="M232" s="731"/>
      <c r="N232" s="731"/>
      <c r="O232" s="731"/>
      <c r="P232" s="731"/>
      <c r="Q232" s="731"/>
      <c r="R232" s="731"/>
      <c r="S232" s="731"/>
      <c r="T232" s="731"/>
      <c r="U232" s="731"/>
      <c r="V232" s="731"/>
      <c r="W232" s="731"/>
      <c r="X232" s="731"/>
      <c r="Y232" s="731"/>
      <c r="Z232" s="731"/>
      <c r="AA232" s="731"/>
      <c r="AB232" s="731"/>
      <c r="AC232" s="731"/>
      <c r="AD232" s="731"/>
    </row>
    <row r="233" spans="2:30">
      <c r="B233" s="54"/>
      <c r="C233" s="139"/>
      <c r="D233" s="36"/>
      <c r="E233" s="36"/>
      <c r="F233" s="36"/>
      <c r="G233" s="36"/>
      <c r="H233" s="36"/>
      <c r="I233" s="36"/>
      <c r="J233" s="36"/>
      <c r="K233" s="36"/>
      <c r="L233" s="36"/>
      <c r="M233" s="36"/>
      <c r="N233" s="36"/>
      <c r="O233" s="36"/>
      <c r="P233" s="36"/>
      <c r="Q233" s="36"/>
      <c r="R233" s="36"/>
      <c r="S233" s="36"/>
      <c r="T233" s="36"/>
      <c r="U233" s="36"/>
      <c r="V233" s="36"/>
      <c r="W233" s="36"/>
      <c r="X233" s="36"/>
      <c r="Y233" s="36"/>
      <c r="Z233" s="36"/>
      <c r="AA233" s="36"/>
      <c r="AB233" s="36"/>
      <c r="AC233" s="36"/>
      <c r="AD233" s="36"/>
    </row>
    <row r="234" spans="2:30">
      <c r="B234" s="45" t="s">
        <v>7091</v>
      </c>
      <c r="C234" s="157"/>
      <c r="D234" s="157"/>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c r="AC234" s="38"/>
      <c r="AD234" s="38"/>
    </row>
    <row r="235" spans="2:30" ht="36" customHeight="1">
      <c r="B235" s="54"/>
      <c r="C235" s="731" t="s">
        <v>7092</v>
      </c>
      <c r="D235" s="731"/>
      <c r="E235" s="731"/>
      <c r="F235" s="731"/>
      <c r="G235" s="731"/>
      <c r="H235" s="731"/>
      <c r="I235" s="731"/>
      <c r="J235" s="731"/>
      <c r="K235" s="731"/>
      <c r="L235" s="731"/>
      <c r="M235" s="731"/>
      <c r="N235" s="731"/>
      <c r="O235" s="731"/>
      <c r="P235" s="731"/>
      <c r="Q235" s="731"/>
      <c r="R235" s="731"/>
      <c r="S235" s="731"/>
      <c r="T235" s="731"/>
      <c r="U235" s="731"/>
      <c r="V235" s="731"/>
      <c r="W235" s="731"/>
      <c r="X235" s="731"/>
      <c r="Y235" s="731"/>
      <c r="Z235" s="731"/>
      <c r="AA235" s="731"/>
      <c r="AB235" s="731"/>
      <c r="AC235" s="731"/>
      <c r="AD235" s="731"/>
    </row>
    <row r="236" spans="2:30">
      <c r="B236" s="54"/>
      <c r="C236" s="157"/>
      <c r="D236" s="157"/>
      <c r="E236" s="38"/>
      <c r="F236" s="38"/>
      <c r="G236" s="38"/>
      <c r="H236" s="38"/>
      <c r="I236" s="38"/>
      <c r="J236" s="38"/>
      <c r="K236" s="38"/>
      <c r="L236" s="38"/>
      <c r="M236" s="38"/>
      <c r="N236" s="38"/>
      <c r="O236" s="38"/>
      <c r="P236" s="38"/>
      <c r="Q236" s="38"/>
      <c r="R236" s="38"/>
      <c r="S236" s="38"/>
      <c r="T236" s="38"/>
      <c r="U236" s="38"/>
      <c r="V236" s="38"/>
      <c r="W236" s="38"/>
      <c r="X236" s="38"/>
      <c r="Y236" s="38"/>
      <c r="Z236" s="38"/>
      <c r="AA236" s="38"/>
      <c r="AB236" s="38"/>
      <c r="AC236" s="38"/>
      <c r="AD236" s="38"/>
    </row>
    <row r="237" spans="2:30">
      <c r="B237" s="45" t="s">
        <v>6364</v>
      </c>
      <c r="C237" s="157"/>
      <c r="D237" s="157"/>
      <c r="E237" s="38"/>
      <c r="F237" s="38"/>
      <c r="G237" s="38"/>
      <c r="H237" s="38"/>
      <c r="I237" s="38"/>
      <c r="J237" s="38"/>
      <c r="K237" s="38"/>
      <c r="L237" s="38"/>
      <c r="M237" s="38"/>
      <c r="N237" s="38"/>
      <c r="O237" s="38"/>
      <c r="P237" s="38"/>
      <c r="Q237" s="38"/>
      <c r="R237" s="38"/>
      <c r="S237" s="38"/>
      <c r="T237" s="38"/>
      <c r="U237" s="38"/>
      <c r="V237" s="38"/>
      <c r="W237" s="38"/>
      <c r="X237" s="38"/>
      <c r="Y237" s="38"/>
      <c r="Z237" s="38"/>
      <c r="AA237" s="38"/>
      <c r="AB237" s="38"/>
      <c r="AC237" s="38"/>
      <c r="AD237" s="38"/>
    </row>
    <row r="238" spans="2:30" ht="36" customHeight="1">
      <c r="B238" s="54"/>
      <c r="C238" s="731" t="s">
        <v>7093</v>
      </c>
      <c r="D238" s="731"/>
      <c r="E238" s="731"/>
      <c r="F238" s="731"/>
      <c r="G238" s="731"/>
      <c r="H238" s="731"/>
      <c r="I238" s="731"/>
      <c r="J238" s="731"/>
      <c r="K238" s="731"/>
      <c r="L238" s="731"/>
      <c r="M238" s="731"/>
      <c r="N238" s="731"/>
      <c r="O238" s="731"/>
      <c r="P238" s="731"/>
      <c r="Q238" s="731"/>
      <c r="R238" s="731"/>
      <c r="S238" s="731"/>
      <c r="T238" s="731"/>
      <c r="U238" s="731"/>
      <c r="V238" s="731"/>
      <c r="W238" s="731"/>
      <c r="X238" s="731"/>
      <c r="Y238" s="731"/>
      <c r="Z238" s="731"/>
      <c r="AA238" s="731"/>
      <c r="AB238" s="731"/>
      <c r="AC238" s="731"/>
      <c r="AD238" s="731"/>
    </row>
    <row r="239" spans="2:30">
      <c r="B239" s="54"/>
      <c r="C239" s="157"/>
      <c r="D239" s="157"/>
      <c r="E239" s="38"/>
      <c r="F239" s="38"/>
      <c r="G239" s="38"/>
      <c r="H239" s="38"/>
      <c r="I239" s="38"/>
      <c r="J239" s="38"/>
      <c r="K239" s="38"/>
      <c r="L239" s="38"/>
      <c r="M239" s="38"/>
      <c r="N239" s="38"/>
      <c r="O239" s="38"/>
      <c r="P239" s="38"/>
      <c r="Q239" s="38"/>
      <c r="R239" s="38"/>
      <c r="S239" s="38"/>
      <c r="T239" s="38"/>
      <c r="U239" s="38"/>
      <c r="V239" s="38"/>
      <c r="W239" s="38"/>
      <c r="X239" s="38"/>
      <c r="Y239" s="38"/>
      <c r="Z239" s="38"/>
      <c r="AA239" s="38"/>
      <c r="AB239" s="38"/>
      <c r="AC239" s="38"/>
      <c r="AD239" s="38"/>
    </row>
    <row r="240" spans="2:30">
      <c r="B240" s="45" t="s">
        <v>7094</v>
      </c>
      <c r="C240" s="157"/>
      <c r="D240" s="157"/>
      <c r="E240" s="38"/>
      <c r="F240" s="38"/>
      <c r="G240" s="38"/>
      <c r="H240" s="38"/>
      <c r="I240" s="38"/>
      <c r="J240" s="38"/>
      <c r="K240" s="38"/>
      <c r="L240" s="38"/>
      <c r="M240" s="38"/>
      <c r="N240" s="38"/>
      <c r="O240" s="38"/>
      <c r="P240" s="38"/>
      <c r="Q240" s="38"/>
      <c r="R240" s="38"/>
      <c r="S240" s="38"/>
      <c r="T240" s="38"/>
      <c r="U240" s="38"/>
      <c r="V240" s="38"/>
      <c r="W240" s="38"/>
      <c r="X240" s="38"/>
      <c r="Y240" s="38"/>
      <c r="Z240" s="38"/>
      <c r="AA240" s="38"/>
      <c r="AB240" s="38"/>
      <c r="AC240" s="38"/>
      <c r="AD240" s="38"/>
    </row>
    <row r="241" spans="2:30" ht="48" customHeight="1">
      <c r="B241" s="54"/>
      <c r="C241" s="731" t="s">
        <v>7095</v>
      </c>
      <c r="D241" s="731"/>
      <c r="E241" s="731"/>
      <c r="F241" s="731"/>
      <c r="G241" s="731"/>
      <c r="H241" s="731"/>
      <c r="I241" s="731"/>
      <c r="J241" s="731"/>
      <c r="K241" s="731"/>
      <c r="L241" s="731"/>
      <c r="M241" s="731"/>
      <c r="N241" s="731"/>
      <c r="O241" s="731"/>
      <c r="P241" s="731"/>
      <c r="Q241" s="731"/>
      <c r="R241" s="731"/>
      <c r="S241" s="731"/>
      <c r="T241" s="731"/>
      <c r="U241" s="731"/>
      <c r="V241" s="731"/>
      <c r="W241" s="731"/>
      <c r="X241" s="731"/>
      <c r="Y241" s="731"/>
      <c r="Z241" s="731"/>
      <c r="AA241" s="731"/>
      <c r="AB241" s="731"/>
      <c r="AC241" s="731"/>
      <c r="AD241" s="731"/>
    </row>
    <row r="242" spans="2:30">
      <c r="B242" s="54"/>
      <c r="C242" s="157"/>
      <c r="D242" s="157"/>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38"/>
      <c r="AD242" s="38"/>
    </row>
    <row r="243" spans="2:30">
      <c r="B243" s="45" t="s">
        <v>7096</v>
      </c>
      <c r="C243" s="157"/>
      <c r="D243" s="157"/>
      <c r="E243" s="38"/>
      <c r="F243" s="38"/>
      <c r="G243" s="38"/>
      <c r="H243" s="38"/>
      <c r="I243" s="38"/>
      <c r="J243" s="38"/>
      <c r="K243" s="38"/>
      <c r="L243" s="38"/>
      <c r="M243" s="38"/>
      <c r="N243" s="38"/>
      <c r="O243" s="38"/>
      <c r="P243" s="38"/>
      <c r="Q243" s="38"/>
      <c r="R243" s="38"/>
      <c r="S243" s="38"/>
      <c r="T243" s="38"/>
      <c r="U243" s="38"/>
      <c r="V243" s="38"/>
      <c r="W243" s="38"/>
      <c r="X243" s="38"/>
      <c r="Y243" s="38"/>
      <c r="Z243" s="38"/>
      <c r="AA243" s="38"/>
      <c r="AB243" s="38"/>
      <c r="AC243" s="38"/>
      <c r="AD243" s="38"/>
    </row>
    <row r="244" spans="2:30" ht="15" customHeight="1">
      <c r="B244" s="54"/>
      <c r="C244" s="731" t="s">
        <v>7097</v>
      </c>
      <c r="D244" s="731"/>
      <c r="E244" s="731"/>
      <c r="F244" s="731"/>
      <c r="G244" s="731"/>
      <c r="H244" s="731"/>
      <c r="I244" s="731"/>
      <c r="J244" s="731"/>
      <c r="K244" s="731"/>
      <c r="L244" s="731"/>
      <c r="M244" s="731"/>
      <c r="N244" s="731"/>
      <c r="O244" s="731"/>
      <c r="P244" s="731"/>
      <c r="Q244" s="731"/>
      <c r="R244" s="731"/>
      <c r="S244" s="731"/>
      <c r="T244" s="731"/>
      <c r="U244" s="731"/>
      <c r="V244" s="731"/>
      <c r="W244" s="731"/>
      <c r="X244" s="731"/>
      <c r="Y244" s="731"/>
      <c r="Z244" s="731"/>
      <c r="AA244" s="731"/>
      <c r="AB244" s="731"/>
      <c r="AC244" s="731"/>
      <c r="AD244" s="731"/>
    </row>
    <row r="245" spans="2:30">
      <c r="B245" s="54"/>
      <c r="C245" s="157"/>
      <c r="D245" s="157"/>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c r="AC245" s="38"/>
      <c r="AD245" s="38"/>
    </row>
    <row r="246" spans="2:30">
      <c r="B246" s="45" t="s">
        <v>4175</v>
      </c>
      <c r="C246" s="157"/>
      <c r="D246" s="157"/>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c r="AD246" s="38"/>
    </row>
    <row r="247" spans="2:30" ht="24" customHeight="1">
      <c r="B247" s="54"/>
      <c r="C247" s="731" t="s">
        <v>7098</v>
      </c>
      <c r="D247" s="731"/>
      <c r="E247" s="731"/>
      <c r="F247" s="731"/>
      <c r="G247" s="731"/>
      <c r="H247" s="731"/>
      <c r="I247" s="731"/>
      <c r="J247" s="731"/>
      <c r="K247" s="731"/>
      <c r="L247" s="731"/>
      <c r="M247" s="731"/>
      <c r="N247" s="731"/>
      <c r="O247" s="731"/>
      <c r="P247" s="731"/>
      <c r="Q247" s="731"/>
      <c r="R247" s="731"/>
      <c r="S247" s="731"/>
      <c r="T247" s="731"/>
      <c r="U247" s="731"/>
      <c r="V247" s="731"/>
      <c r="W247" s="731"/>
      <c r="X247" s="731"/>
      <c r="Y247" s="731"/>
      <c r="Z247" s="731"/>
      <c r="AA247" s="731"/>
      <c r="AB247" s="731"/>
      <c r="AC247" s="731"/>
      <c r="AD247" s="731"/>
    </row>
    <row r="248" spans="2:30">
      <c r="B248" s="54"/>
      <c r="C248" s="157"/>
      <c r="D248" s="157"/>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c r="AC248" s="38"/>
      <c r="AD248" s="38"/>
    </row>
    <row r="249" spans="2:30">
      <c r="B249" s="45" t="s">
        <v>7099</v>
      </c>
      <c r="C249" s="157"/>
      <c r="D249" s="157"/>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c r="AC249" s="38"/>
      <c r="AD249" s="38"/>
    </row>
    <row r="250" spans="2:30" ht="36" customHeight="1">
      <c r="B250" s="54"/>
      <c r="C250" s="731" t="s">
        <v>7100</v>
      </c>
      <c r="D250" s="731"/>
      <c r="E250" s="731"/>
      <c r="F250" s="731"/>
      <c r="G250" s="731"/>
      <c r="H250" s="731"/>
      <c r="I250" s="731"/>
      <c r="J250" s="731"/>
      <c r="K250" s="731"/>
      <c r="L250" s="731"/>
      <c r="M250" s="731"/>
      <c r="N250" s="731"/>
      <c r="O250" s="731"/>
      <c r="P250" s="731"/>
      <c r="Q250" s="731"/>
      <c r="R250" s="731"/>
      <c r="S250" s="731"/>
      <c r="T250" s="731"/>
      <c r="U250" s="731"/>
      <c r="V250" s="731"/>
      <c r="W250" s="731"/>
      <c r="X250" s="731"/>
      <c r="Y250" s="731"/>
      <c r="Z250" s="731"/>
      <c r="AA250" s="731"/>
      <c r="AB250" s="731"/>
      <c r="AC250" s="731"/>
      <c r="AD250" s="731"/>
    </row>
    <row r="251" spans="2:30">
      <c r="B251" s="54"/>
      <c r="C251" s="157"/>
      <c r="D251" s="157"/>
      <c r="E251" s="38"/>
      <c r="F251" s="38"/>
      <c r="G251" s="38"/>
      <c r="H251" s="38"/>
      <c r="I251" s="38"/>
      <c r="J251" s="38"/>
      <c r="K251" s="38"/>
      <c r="L251" s="38"/>
      <c r="M251" s="38"/>
      <c r="N251" s="38"/>
      <c r="O251" s="38"/>
      <c r="P251" s="38"/>
      <c r="Q251" s="38"/>
      <c r="R251" s="38"/>
      <c r="S251" s="38"/>
      <c r="T251" s="38"/>
      <c r="U251" s="38"/>
      <c r="V251" s="38"/>
      <c r="W251" s="38"/>
      <c r="X251" s="38"/>
      <c r="Y251" s="38"/>
      <c r="Z251" s="38"/>
      <c r="AA251" s="38"/>
      <c r="AB251" s="38"/>
      <c r="AC251" s="38"/>
      <c r="AD251" s="38"/>
    </row>
    <row r="252" spans="2:30">
      <c r="B252" s="45" t="s">
        <v>7101</v>
      </c>
      <c r="C252" s="157"/>
      <c r="D252" s="157"/>
      <c r="E252" s="38"/>
      <c r="F252" s="38"/>
      <c r="G252" s="38"/>
      <c r="H252" s="38"/>
      <c r="I252" s="38"/>
      <c r="J252" s="38"/>
      <c r="K252" s="38"/>
      <c r="L252" s="38"/>
      <c r="M252" s="38"/>
      <c r="N252" s="38"/>
      <c r="O252" s="38"/>
      <c r="P252" s="38"/>
      <c r="Q252" s="38"/>
      <c r="R252" s="38"/>
      <c r="S252" s="38"/>
      <c r="T252" s="38"/>
      <c r="U252" s="38"/>
      <c r="V252" s="38"/>
      <c r="W252" s="38"/>
      <c r="X252" s="38"/>
      <c r="Y252" s="38"/>
      <c r="Z252" s="38"/>
      <c r="AA252" s="38"/>
      <c r="AB252" s="38"/>
      <c r="AC252" s="38"/>
      <c r="AD252" s="38"/>
    </row>
    <row r="253" spans="2:30" ht="72" customHeight="1">
      <c r="B253" s="54"/>
      <c r="C253" s="731" t="s">
        <v>7102</v>
      </c>
      <c r="D253" s="731"/>
      <c r="E253" s="731"/>
      <c r="F253" s="731"/>
      <c r="G253" s="731"/>
      <c r="H253" s="731"/>
      <c r="I253" s="731"/>
      <c r="J253" s="731"/>
      <c r="K253" s="731"/>
      <c r="L253" s="731"/>
      <c r="M253" s="731"/>
      <c r="N253" s="731"/>
      <c r="O253" s="731"/>
      <c r="P253" s="731"/>
      <c r="Q253" s="731"/>
      <c r="R253" s="731"/>
      <c r="S253" s="731"/>
      <c r="T253" s="731"/>
      <c r="U253" s="731"/>
      <c r="V253" s="731"/>
      <c r="W253" s="731"/>
      <c r="X253" s="731"/>
      <c r="Y253" s="731"/>
      <c r="Z253" s="731"/>
      <c r="AA253" s="731"/>
      <c r="AB253" s="731"/>
      <c r="AC253" s="731"/>
      <c r="AD253" s="731"/>
    </row>
    <row r="254" spans="2:30">
      <c r="B254" s="54"/>
      <c r="C254" s="157"/>
      <c r="D254" s="157"/>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8"/>
    </row>
    <row r="255" spans="2:30">
      <c r="B255" s="45" t="s">
        <v>7103</v>
      </c>
      <c r="C255" s="157"/>
      <c r="D255" s="157"/>
      <c r="E255" s="38"/>
      <c r="F255" s="38"/>
      <c r="G255" s="38"/>
      <c r="H255" s="38"/>
      <c r="I255" s="38"/>
      <c r="J255" s="38"/>
      <c r="K255" s="38"/>
      <c r="L255" s="38"/>
      <c r="M255" s="38"/>
      <c r="N255" s="38"/>
      <c r="O255" s="38"/>
      <c r="P255" s="38"/>
      <c r="Q255" s="38"/>
      <c r="R255" s="38"/>
      <c r="S255" s="38"/>
      <c r="T255" s="38"/>
      <c r="U255" s="38"/>
      <c r="V255" s="38"/>
      <c r="W255" s="38"/>
      <c r="X255" s="38"/>
      <c r="Y255" s="38"/>
      <c r="Z255" s="38"/>
      <c r="AA255" s="38"/>
      <c r="AB255" s="38"/>
      <c r="AC255" s="38"/>
      <c r="AD255" s="38"/>
    </row>
    <row r="256" spans="2:30" ht="24" customHeight="1">
      <c r="B256" s="54"/>
      <c r="C256" s="731" t="s">
        <v>7104</v>
      </c>
      <c r="D256" s="731"/>
      <c r="E256" s="731"/>
      <c r="F256" s="731"/>
      <c r="G256" s="731"/>
      <c r="H256" s="731"/>
      <c r="I256" s="731"/>
      <c r="J256" s="731"/>
      <c r="K256" s="731"/>
      <c r="L256" s="731"/>
      <c r="M256" s="731"/>
      <c r="N256" s="731"/>
      <c r="O256" s="731"/>
      <c r="P256" s="731"/>
      <c r="Q256" s="731"/>
      <c r="R256" s="731"/>
      <c r="S256" s="731"/>
      <c r="T256" s="731"/>
      <c r="U256" s="731"/>
      <c r="V256" s="731"/>
      <c r="W256" s="731"/>
      <c r="X256" s="731"/>
      <c r="Y256" s="731"/>
      <c r="Z256" s="731"/>
      <c r="AA256" s="731"/>
      <c r="AB256" s="731"/>
      <c r="AC256" s="731"/>
      <c r="AD256" s="731"/>
    </row>
    <row r="257" spans="2:30">
      <c r="B257" s="54"/>
      <c r="C257" s="157"/>
      <c r="D257" s="157"/>
      <c r="E257" s="38"/>
      <c r="F257" s="38"/>
      <c r="G257" s="38"/>
      <c r="H257" s="38"/>
      <c r="I257" s="38"/>
      <c r="J257" s="38"/>
      <c r="K257" s="38"/>
      <c r="L257" s="38"/>
      <c r="M257" s="38"/>
      <c r="N257" s="38"/>
      <c r="O257" s="38"/>
      <c r="P257" s="38"/>
      <c r="Q257" s="38"/>
      <c r="R257" s="38"/>
      <c r="S257" s="38"/>
      <c r="T257" s="38"/>
      <c r="U257" s="38"/>
      <c r="V257" s="38"/>
      <c r="W257" s="38"/>
      <c r="X257" s="38"/>
      <c r="Y257" s="38"/>
      <c r="Z257" s="38"/>
      <c r="AA257" s="38"/>
      <c r="AB257" s="38"/>
      <c r="AC257" s="38"/>
      <c r="AD257" s="38"/>
    </row>
    <row r="258" spans="2:30">
      <c r="B258" s="45" t="s">
        <v>7105</v>
      </c>
      <c r="C258" s="157"/>
      <c r="D258" s="157"/>
      <c r="E258" s="38"/>
      <c r="F258" s="38"/>
      <c r="G258" s="38"/>
      <c r="H258" s="38"/>
      <c r="I258" s="38"/>
      <c r="J258" s="38"/>
      <c r="K258" s="38"/>
      <c r="L258" s="38"/>
      <c r="M258" s="38"/>
      <c r="N258" s="38"/>
      <c r="O258" s="38"/>
      <c r="P258" s="38"/>
      <c r="Q258" s="38"/>
      <c r="R258" s="38"/>
      <c r="S258" s="38"/>
      <c r="T258" s="38"/>
      <c r="U258" s="38"/>
      <c r="V258" s="38"/>
      <c r="W258" s="38"/>
      <c r="X258" s="38"/>
      <c r="Y258" s="38"/>
      <c r="Z258" s="38"/>
      <c r="AA258" s="38"/>
      <c r="AB258" s="38"/>
      <c r="AC258" s="38"/>
      <c r="AD258" s="38"/>
    </row>
    <row r="259" spans="2:30" ht="36" customHeight="1">
      <c r="B259" s="54"/>
      <c r="C259" s="731" t="s">
        <v>7106</v>
      </c>
      <c r="D259" s="731"/>
      <c r="E259" s="731"/>
      <c r="F259" s="731"/>
      <c r="G259" s="731"/>
      <c r="H259" s="731"/>
      <c r="I259" s="731"/>
      <c r="J259" s="731"/>
      <c r="K259" s="731"/>
      <c r="L259" s="731"/>
      <c r="M259" s="731"/>
      <c r="N259" s="731"/>
      <c r="O259" s="731"/>
      <c r="P259" s="731"/>
      <c r="Q259" s="731"/>
      <c r="R259" s="731"/>
      <c r="S259" s="731"/>
      <c r="T259" s="731"/>
      <c r="U259" s="731"/>
      <c r="V259" s="731"/>
      <c r="W259" s="731"/>
      <c r="X259" s="731"/>
      <c r="Y259" s="731"/>
      <c r="Z259" s="731"/>
      <c r="AA259" s="731"/>
      <c r="AB259" s="731"/>
      <c r="AC259" s="731"/>
      <c r="AD259" s="731"/>
    </row>
    <row r="260" spans="2:30">
      <c r="B260" s="54"/>
      <c r="C260" s="157"/>
      <c r="D260" s="157"/>
      <c r="E260" s="38"/>
      <c r="F260" s="38"/>
      <c r="G260" s="38"/>
      <c r="H260" s="38"/>
      <c r="I260" s="38"/>
      <c r="J260" s="38"/>
      <c r="K260" s="38"/>
      <c r="L260" s="38"/>
      <c r="M260" s="38"/>
      <c r="N260" s="38"/>
      <c r="O260" s="38"/>
      <c r="P260" s="38"/>
      <c r="Q260" s="38"/>
      <c r="R260" s="38"/>
      <c r="S260" s="38"/>
      <c r="T260" s="38"/>
      <c r="U260" s="38"/>
      <c r="V260" s="38"/>
      <c r="W260" s="38"/>
      <c r="X260" s="38"/>
      <c r="Y260" s="38"/>
      <c r="Z260" s="38"/>
      <c r="AA260" s="38"/>
      <c r="AB260" s="38"/>
      <c r="AC260" s="38"/>
      <c r="AD260" s="38"/>
    </row>
    <row r="261" spans="2:30">
      <c r="B261" s="45" t="s">
        <v>7107</v>
      </c>
      <c r="C261" s="157"/>
      <c r="D261" s="157"/>
      <c r="E261" s="38"/>
      <c r="F261" s="38"/>
      <c r="G261" s="38"/>
      <c r="H261" s="38"/>
      <c r="I261" s="38"/>
      <c r="J261" s="38"/>
      <c r="K261" s="38"/>
      <c r="L261" s="38"/>
      <c r="M261" s="38"/>
      <c r="N261" s="38"/>
      <c r="O261" s="38"/>
      <c r="P261" s="38"/>
      <c r="Q261" s="38"/>
      <c r="R261" s="38"/>
      <c r="S261" s="38"/>
      <c r="T261" s="38"/>
      <c r="U261" s="38"/>
      <c r="V261" s="38"/>
      <c r="W261" s="38"/>
      <c r="X261" s="38"/>
      <c r="Y261" s="38"/>
      <c r="Z261" s="38"/>
      <c r="AA261" s="38"/>
      <c r="AB261" s="38"/>
      <c r="AC261" s="38"/>
      <c r="AD261" s="38"/>
    </row>
    <row r="262" spans="2:30" ht="60" customHeight="1">
      <c r="B262" s="54"/>
      <c r="C262" s="731" t="s">
        <v>7108</v>
      </c>
      <c r="D262" s="731"/>
      <c r="E262" s="731"/>
      <c r="F262" s="731"/>
      <c r="G262" s="731"/>
      <c r="H262" s="731"/>
      <c r="I262" s="731"/>
      <c r="J262" s="731"/>
      <c r="K262" s="731"/>
      <c r="L262" s="731"/>
      <c r="M262" s="731"/>
      <c r="N262" s="731"/>
      <c r="O262" s="731"/>
      <c r="P262" s="731"/>
      <c r="Q262" s="731"/>
      <c r="R262" s="731"/>
      <c r="S262" s="731"/>
      <c r="T262" s="731"/>
      <c r="U262" s="731"/>
      <c r="V262" s="731"/>
      <c r="W262" s="731"/>
      <c r="X262" s="731"/>
      <c r="Y262" s="731"/>
      <c r="Z262" s="731"/>
      <c r="AA262" s="731"/>
      <c r="AB262" s="731"/>
      <c r="AC262" s="731"/>
      <c r="AD262" s="731"/>
    </row>
    <row r="263" spans="2:30">
      <c r="B263" s="54"/>
      <c r="C263" s="157"/>
      <c r="D263" s="157"/>
      <c r="E263" s="38"/>
      <c r="F263" s="38"/>
      <c r="G263" s="38"/>
      <c r="H263" s="38"/>
      <c r="I263" s="38"/>
      <c r="J263" s="38"/>
      <c r="K263" s="38"/>
      <c r="L263" s="38"/>
      <c r="M263" s="38"/>
      <c r="N263" s="38"/>
      <c r="O263" s="38"/>
      <c r="P263" s="38"/>
      <c r="Q263" s="38"/>
      <c r="R263" s="38"/>
      <c r="S263" s="38"/>
      <c r="T263" s="38"/>
      <c r="U263" s="38"/>
      <c r="V263" s="38"/>
      <c r="W263" s="38"/>
      <c r="X263" s="38"/>
      <c r="Y263" s="38"/>
      <c r="Z263" s="38"/>
      <c r="AA263" s="38"/>
      <c r="AB263" s="38"/>
      <c r="AC263" s="38"/>
      <c r="AD263" s="38"/>
    </row>
    <row r="264" spans="2:30">
      <c r="B264" s="45" t="s">
        <v>7109</v>
      </c>
      <c r="C264" s="157"/>
      <c r="D264" s="157"/>
      <c r="E264" s="38"/>
      <c r="F264" s="38"/>
      <c r="G264" s="38"/>
      <c r="H264" s="38"/>
      <c r="I264" s="38"/>
      <c r="J264" s="38"/>
      <c r="K264" s="38"/>
      <c r="L264" s="38"/>
      <c r="M264" s="38"/>
      <c r="N264" s="38"/>
      <c r="O264" s="38"/>
      <c r="P264" s="38"/>
      <c r="Q264" s="38"/>
      <c r="R264" s="38"/>
      <c r="S264" s="38"/>
      <c r="T264" s="38"/>
      <c r="U264" s="38"/>
      <c r="V264" s="38"/>
      <c r="W264" s="38"/>
      <c r="X264" s="38"/>
      <c r="Y264" s="38"/>
      <c r="Z264" s="38"/>
      <c r="AA264" s="38"/>
      <c r="AB264" s="38"/>
      <c r="AC264" s="38"/>
      <c r="AD264" s="38"/>
    </row>
    <row r="265" spans="2:30" ht="60" customHeight="1">
      <c r="B265" s="54"/>
      <c r="C265" s="731" t="s">
        <v>7110</v>
      </c>
      <c r="D265" s="731"/>
      <c r="E265" s="731"/>
      <c r="F265" s="731"/>
      <c r="G265" s="731"/>
      <c r="H265" s="731"/>
      <c r="I265" s="731"/>
      <c r="J265" s="731"/>
      <c r="K265" s="731"/>
      <c r="L265" s="731"/>
      <c r="M265" s="731"/>
      <c r="N265" s="731"/>
      <c r="O265" s="731"/>
      <c r="P265" s="731"/>
      <c r="Q265" s="731"/>
      <c r="R265" s="731"/>
      <c r="S265" s="731"/>
      <c r="T265" s="731"/>
      <c r="U265" s="731"/>
      <c r="V265" s="731"/>
      <c r="W265" s="731"/>
      <c r="X265" s="731"/>
      <c r="Y265" s="731"/>
      <c r="Z265" s="731"/>
      <c r="AA265" s="731"/>
      <c r="AB265" s="731"/>
      <c r="AC265" s="731"/>
      <c r="AD265" s="731"/>
    </row>
    <row r="266" spans="2:30">
      <c r="B266" s="54"/>
      <c r="C266" s="36"/>
      <c r="D266" s="36"/>
      <c r="E266" s="36"/>
      <c r="F266" s="36"/>
      <c r="G266" s="36"/>
      <c r="H266" s="36"/>
      <c r="I266" s="36"/>
      <c r="J266" s="36"/>
      <c r="K266" s="36"/>
      <c r="L266" s="36"/>
      <c r="M266" s="36"/>
      <c r="N266" s="36"/>
      <c r="O266" s="36"/>
      <c r="P266" s="36"/>
      <c r="Q266" s="36"/>
      <c r="R266" s="36"/>
      <c r="S266" s="36"/>
      <c r="T266" s="36"/>
      <c r="U266" s="36"/>
      <c r="V266" s="36"/>
      <c r="W266" s="36"/>
      <c r="X266" s="36"/>
      <c r="Y266" s="36"/>
      <c r="Z266" s="36"/>
      <c r="AA266" s="36"/>
      <c r="AB266" s="36"/>
      <c r="AC266" s="36"/>
      <c r="AD266" s="36"/>
    </row>
    <row r="267" spans="2:30" ht="60" customHeight="1">
      <c r="B267" s="54"/>
      <c r="C267" s="36"/>
      <c r="D267" s="731" t="s">
        <v>7111</v>
      </c>
      <c r="E267" s="731"/>
      <c r="F267" s="731"/>
      <c r="G267" s="731"/>
      <c r="H267" s="731"/>
      <c r="I267" s="731"/>
      <c r="J267" s="731"/>
      <c r="K267" s="731"/>
      <c r="L267" s="731"/>
      <c r="M267" s="731"/>
      <c r="N267" s="731"/>
      <c r="O267" s="731"/>
      <c r="P267" s="731"/>
      <c r="Q267" s="731"/>
      <c r="R267" s="731"/>
      <c r="S267" s="731"/>
      <c r="T267" s="731"/>
      <c r="U267" s="731"/>
      <c r="V267" s="731"/>
      <c r="W267" s="731"/>
      <c r="X267" s="731"/>
      <c r="Y267" s="731"/>
      <c r="Z267" s="731"/>
      <c r="AA267" s="731"/>
      <c r="AB267" s="731"/>
      <c r="AC267" s="731"/>
      <c r="AD267" s="731"/>
    </row>
    <row r="268" spans="2:30">
      <c r="B268" s="54"/>
      <c r="C268" s="157"/>
      <c r="D268" s="157"/>
      <c r="E268" s="38"/>
      <c r="F268" s="38"/>
      <c r="G268" s="38"/>
      <c r="H268" s="38"/>
      <c r="I268" s="38"/>
      <c r="J268" s="38"/>
      <c r="K268" s="38"/>
      <c r="L268" s="38"/>
      <c r="M268" s="38"/>
      <c r="N268" s="38"/>
      <c r="O268" s="38"/>
      <c r="P268" s="38"/>
      <c r="Q268" s="38"/>
      <c r="R268" s="38"/>
      <c r="S268" s="38"/>
      <c r="T268" s="38"/>
      <c r="U268" s="38"/>
      <c r="V268" s="38"/>
      <c r="W268" s="38"/>
      <c r="X268" s="38"/>
      <c r="Y268" s="38"/>
      <c r="Z268" s="38"/>
      <c r="AA268" s="38"/>
      <c r="AB268" s="38"/>
      <c r="AC268" s="38"/>
      <c r="AD268" s="38"/>
    </row>
    <row r="269" spans="2:30" ht="36" customHeight="1">
      <c r="B269" s="54"/>
      <c r="C269" s="36"/>
      <c r="D269" s="731" t="s">
        <v>7112</v>
      </c>
      <c r="E269" s="731"/>
      <c r="F269" s="731"/>
      <c r="G269" s="731"/>
      <c r="H269" s="731"/>
      <c r="I269" s="731"/>
      <c r="J269" s="731"/>
      <c r="K269" s="731"/>
      <c r="L269" s="731"/>
      <c r="M269" s="731"/>
      <c r="N269" s="731"/>
      <c r="O269" s="731"/>
      <c r="P269" s="731"/>
      <c r="Q269" s="731"/>
      <c r="R269" s="731"/>
      <c r="S269" s="731"/>
      <c r="T269" s="731"/>
      <c r="U269" s="731"/>
      <c r="V269" s="731"/>
      <c r="W269" s="731"/>
      <c r="X269" s="731"/>
      <c r="Y269" s="731"/>
      <c r="Z269" s="731"/>
      <c r="AA269" s="731"/>
      <c r="AB269" s="731"/>
      <c r="AC269" s="731"/>
      <c r="AD269" s="731"/>
    </row>
    <row r="270" spans="2:30">
      <c r="B270" s="54"/>
      <c r="C270" s="157"/>
      <c r="D270" s="157"/>
      <c r="E270" s="38"/>
      <c r="F270" s="38"/>
      <c r="G270" s="38"/>
      <c r="H270" s="38"/>
      <c r="I270" s="38"/>
      <c r="J270" s="38"/>
      <c r="K270" s="38"/>
      <c r="L270" s="38"/>
      <c r="M270" s="38"/>
      <c r="N270" s="38"/>
      <c r="O270" s="38"/>
      <c r="P270" s="38"/>
      <c r="Q270" s="38"/>
      <c r="R270" s="38"/>
      <c r="S270" s="38"/>
      <c r="T270" s="38"/>
      <c r="U270" s="38"/>
      <c r="V270" s="38"/>
      <c r="W270" s="38"/>
      <c r="X270" s="38"/>
      <c r="Y270" s="38"/>
      <c r="Z270" s="38"/>
      <c r="AA270" s="38"/>
      <c r="AB270" s="38"/>
      <c r="AC270" s="38"/>
      <c r="AD270" s="38"/>
    </row>
    <row r="271" spans="2:30" ht="36" customHeight="1">
      <c r="B271" s="54"/>
      <c r="C271" s="36"/>
      <c r="D271" s="731" t="s">
        <v>7113</v>
      </c>
      <c r="E271" s="731"/>
      <c r="F271" s="731"/>
      <c r="G271" s="731"/>
      <c r="H271" s="731"/>
      <c r="I271" s="731"/>
      <c r="J271" s="731"/>
      <c r="K271" s="731"/>
      <c r="L271" s="731"/>
      <c r="M271" s="731"/>
      <c r="N271" s="731"/>
      <c r="O271" s="731"/>
      <c r="P271" s="731"/>
      <c r="Q271" s="731"/>
      <c r="R271" s="731"/>
      <c r="S271" s="731"/>
      <c r="T271" s="731"/>
      <c r="U271" s="731"/>
      <c r="V271" s="731"/>
      <c r="W271" s="731"/>
      <c r="X271" s="731"/>
      <c r="Y271" s="731"/>
      <c r="Z271" s="731"/>
      <c r="AA271" s="731"/>
      <c r="AB271" s="731"/>
      <c r="AC271" s="731"/>
      <c r="AD271" s="731"/>
    </row>
    <row r="272" spans="2:30">
      <c r="B272" s="54"/>
      <c r="C272" s="157"/>
      <c r="D272" s="157"/>
      <c r="E272" s="38"/>
      <c r="F272" s="38"/>
      <c r="G272" s="38"/>
      <c r="H272" s="38"/>
      <c r="I272" s="38"/>
      <c r="J272" s="38"/>
      <c r="K272" s="38"/>
      <c r="L272" s="38"/>
      <c r="M272" s="38"/>
      <c r="N272" s="38"/>
      <c r="O272" s="38"/>
      <c r="P272" s="38"/>
      <c r="Q272" s="38"/>
      <c r="R272" s="38"/>
      <c r="S272" s="38"/>
      <c r="T272" s="38"/>
      <c r="U272" s="38"/>
      <c r="V272" s="38"/>
      <c r="W272" s="38"/>
      <c r="X272" s="38"/>
      <c r="Y272" s="38"/>
      <c r="Z272" s="38"/>
      <c r="AA272" s="38"/>
      <c r="AB272" s="38"/>
      <c r="AC272" s="38"/>
      <c r="AD272" s="38"/>
    </row>
    <row r="273" spans="2:30" ht="60" customHeight="1">
      <c r="B273" s="54"/>
      <c r="C273" s="36"/>
      <c r="D273" s="731" t="s">
        <v>7114</v>
      </c>
      <c r="E273" s="731"/>
      <c r="F273" s="731"/>
      <c r="G273" s="731"/>
      <c r="H273" s="731"/>
      <c r="I273" s="731"/>
      <c r="J273" s="731"/>
      <c r="K273" s="731"/>
      <c r="L273" s="731"/>
      <c r="M273" s="731"/>
      <c r="N273" s="731"/>
      <c r="O273" s="731"/>
      <c r="P273" s="731"/>
      <c r="Q273" s="731"/>
      <c r="R273" s="731"/>
      <c r="S273" s="731"/>
      <c r="T273" s="731"/>
      <c r="U273" s="731"/>
      <c r="V273" s="731"/>
      <c r="W273" s="731"/>
      <c r="X273" s="731"/>
      <c r="Y273" s="731"/>
      <c r="Z273" s="731"/>
      <c r="AA273" s="731"/>
      <c r="AB273" s="731"/>
      <c r="AC273" s="731"/>
      <c r="AD273" s="731"/>
    </row>
    <row r="274" spans="2:30">
      <c r="B274" s="54"/>
      <c r="C274" s="157"/>
      <c r="D274" s="157"/>
      <c r="E274" s="38"/>
      <c r="F274" s="38"/>
      <c r="G274" s="38"/>
      <c r="H274" s="38"/>
      <c r="I274" s="38"/>
      <c r="J274" s="38"/>
      <c r="K274" s="38"/>
      <c r="L274" s="38"/>
      <c r="M274" s="38"/>
      <c r="N274" s="38"/>
      <c r="O274" s="38"/>
      <c r="P274" s="38"/>
      <c r="Q274" s="38"/>
      <c r="R274" s="38"/>
      <c r="S274" s="38"/>
      <c r="T274" s="38"/>
      <c r="U274" s="38"/>
      <c r="V274" s="38"/>
      <c r="W274" s="38"/>
      <c r="X274" s="38"/>
      <c r="Y274" s="38"/>
      <c r="Z274" s="38"/>
      <c r="AA274" s="38"/>
      <c r="AB274" s="38"/>
      <c r="AC274" s="38"/>
      <c r="AD274" s="38"/>
    </row>
    <row r="275" spans="2:30" ht="60" customHeight="1">
      <c r="B275" s="54"/>
      <c r="C275" s="36"/>
      <c r="D275" s="731" t="s">
        <v>7115</v>
      </c>
      <c r="E275" s="731"/>
      <c r="F275" s="731"/>
      <c r="G275" s="731"/>
      <c r="H275" s="731"/>
      <c r="I275" s="731"/>
      <c r="J275" s="731"/>
      <c r="K275" s="731"/>
      <c r="L275" s="731"/>
      <c r="M275" s="731"/>
      <c r="N275" s="731"/>
      <c r="O275" s="731"/>
      <c r="P275" s="731"/>
      <c r="Q275" s="731"/>
      <c r="R275" s="731"/>
      <c r="S275" s="731"/>
      <c r="T275" s="731"/>
      <c r="U275" s="731"/>
      <c r="V275" s="731"/>
      <c r="W275" s="731"/>
      <c r="X275" s="731"/>
      <c r="Y275" s="731"/>
      <c r="Z275" s="731"/>
      <c r="AA275" s="731"/>
      <c r="AB275" s="731"/>
      <c r="AC275" s="731"/>
      <c r="AD275" s="731"/>
    </row>
    <row r="276" spans="2:30">
      <c r="B276" s="54"/>
      <c r="C276" s="157"/>
      <c r="D276" s="157"/>
      <c r="E276" s="38"/>
      <c r="F276" s="38"/>
      <c r="G276" s="38"/>
      <c r="H276" s="38"/>
      <c r="I276" s="38"/>
      <c r="J276" s="38"/>
      <c r="K276" s="38"/>
      <c r="L276" s="38"/>
      <c r="M276" s="38"/>
      <c r="N276" s="38"/>
      <c r="O276" s="38"/>
      <c r="P276" s="38"/>
      <c r="Q276" s="38"/>
      <c r="R276" s="38"/>
      <c r="S276" s="38"/>
      <c r="T276" s="38"/>
      <c r="U276" s="38"/>
      <c r="V276" s="38"/>
      <c r="W276" s="38"/>
      <c r="X276" s="38"/>
      <c r="Y276" s="38"/>
      <c r="Z276" s="38"/>
      <c r="AA276" s="38"/>
      <c r="AB276" s="38"/>
      <c r="AC276" s="38"/>
      <c r="AD276" s="38"/>
    </row>
    <row r="277" spans="2:30">
      <c r="B277" s="45" t="s">
        <v>4120</v>
      </c>
      <c r="C277" s="157"/>
      <c r="D277" s="157"/>
      <c r="E277" s="38"/>
      <c r="F277" s="38"/>
      <c r="G277" s="38"/>
      <c r="H277" s="38"/>
      <c r="I277" s="38"/>
      <c r="J277" s="38"/>
      <c r="K277" s="38"/>
      <c r="L277" s="38"/>
      <c r="M277" s="38"/>
      <c r="N277" s="38"/>
      <c r="O277" s="38"/>
      <c r="P277" s="38"/>
      <c r="Q277" s="38"/>
      <c r="R277" s="38"/>
      <c r="S277" s="38"/>
      <c r="T277" s="38"/>
      <c r="U277" s="38"/>
      <c r="V277" s="38"/>
      <c r="W277" s="38"/>
      <c r="X277" s="38"/>
      <c r="Y277" s="38"/>
      <c r="Z277" s="38"/>
      <c r="AA277" s="38"/>
      <c r="AB277" s="38"/>
      <c r="AC277" s="38"/>
      <c r="AD277" s="38"/>
    </row>
    <row r="278" spans="2:30" ht="24" customHeight="1">
      <c r="B278" s="54"/>
      <c r="C278" s="731" t="s">
        <v>7116</v>
      </c>
      <c r="D278" s="731"/>
      <c r="E278" s="731"/>
      <c r="F278" s="731"/>
      <c r="G278" s="731"/>
      <c r="H278" s="731"/>
      <c r="I278" s="731"/>
      <c r="J278" s="731"/>
      <c r="K278" s="731"/>
      <c r="L278" s="731"/>
      <c r="M278" s="731"/>
      <c r="N278" s="731"/>
      <c r="O278" s="731"/>
      <c r="P278" s="731"/>
      <c r="Q278" s="731"/>
      <c r="R278" s="731"/>
      <c r="S278" s="731"/>
      <c r="T278" s="731"/>
      <c r="U278" s="731"/>
      <c r="V278" s="731"/>
      <c r="W278" s="731"/>
      <c r="X278" s="731"/>
      <c r="Y278" s="731"/>
      <c r="Z278" s="731"/>
      <c r="AA278" s="731"/>
      <c r="AB278" s="731"/>
      <c r="AC278" s="731"/>
      <c r="AD278" s="731"/>
    </row>
    <row r="279" spans="2:30">
      <c r="B279" s="54"/>
      <c r="C279" s="157"/>
      <c r="D279" s="157"/>
      <c r="E279" s="38"/>
      <c r="F279" s="38"/>
      <c r="G279" s="38"/>
      <c r="H279" s="38"/>
      <c r="I279" s="38"/>
      <c r="J279" s="38"/>
      <c r="K279" s="38"/>
      <c r="L279" s="38"/>
      <c r="M279" s="38"/>
      <c r="N279" s="38"/>
      <c r="O279" s="38"/>
      <c r="P279" s="38"/>
      <c r="Q279" s="38"/>
      <c r="R279" s="38"/>
      <c r="S279" s="38"/>
      <c r="T279" s="38"/>
      <c r="U279" s="38"/>
      <c r="V279" s="38"/>
      <c r="W279" s="38"/>
      <c r="X279" s="38"/>
      <c r="Y279" s="38"/>
      <c r="Z279" s="38"/>
      <c r="AA279" s="38"/>
      <c r="AB279" s="38"/>
      <c r="AC279" s="38"/>
      <c r="AD279" s="38"/>
    </row>
    <row r="280" spans="2:30">
      <c r="B280" s="45" t="s">
        <v>7117</v>
      </c>
      <c r="C280" s="157"/>
      <c r="D280" s="157"/>
      <c r="E280" s="38"/>
      <c r="F280" s="38"/>
      <c r="G280" s="38"/>
      <c r="H280" s="38"/>
      <c r="I280" s="38"/>
      <c r="J280" s="38"/>
      <c r="K280" s="38"/>
      <c r="L280" s="38"/>
      <c r="M280" s="38"/>
      <c r="N280" s="38"/>
      <c r="O280" s="38"/>
      <c r="P280" s="38"/>
      <c r="Q280" s="38"/>
      <c r="R280" s="38"/>
      <c r="S280" s="38"/>
      <c r="T280" s="38"/>
      <c r="U280" s="38"/>
      <c r="V280" s="38"/>
      <c r="W280" s="38"/>
      <c r="X280" s="38"/>
      <c r="Y280" s="38"/>
      <c r="Z280" s="38"/>
      <c r="AA280" s="38"/>
      <c r="AB280" s="38"/>
      <c r="AC280" s="38"/>
      <c r="AD280" s="38"/>
    </row>
    <row r="281" spans="2:30" ht="72" customHeight="1">
      <c r="B281" s="54"/>
      <c r="C281" s="731" t="s">
        <v>7118</v>
      </c>
      <c r="D281" s="731"/>
      <c r="E281" s="731"/>
      <c r="F281" s="731"/>
      <c r="G281" s="731"/>
      <c r="H281" s="731"/>
      <c r="I281" s="731"/>
      <c r="J281" s="731"/>
      <c r="K281" s="731"/>
      <c r="L281" s="731"/>
      <c r="M281" s="731"/>
      <c r="N281" s="731"/>
      <c r="O281" s="731"/>
      <c r="P281" s="731"/>
      <c r="Q281" s="731"/>
      <c r="R281" s="731"/>
      <c r="S281" s="731"/>
      <c r="T281" s="731"/>
      <c r="U281" s="731"/>
      <c r="V281" s="731"/>
      <c r="W281" s="731"/>
      <c r="X281" s="731"/>
      <c r="Y281" s="731"/>
      <c r="Z281" s="731"/>
      <c r="AA281" s="731"/>
      <c r="AB281" s="731"/>
      <c r="AC281" s="731"/>
      <c r="AD281" s="731"/>
    </row>
    <row r="282" spans="2:30">
      <c r="B282" s="54"/>
      <c r="C282" s="157"/>
      <c r="D282" s="157"/>
      <c r="E282" s="38"/>
      <c r="F282" s="38"/>
      <c r="G282" s="38"/>
      <c r="H282" s="38"/>
      <c r="I282" s="38"/>
      <c r="J282" s="38"/>
      <c r="K282" s="38"/>
      <c r="L282" s="38"/>
      <c r="M282" s="38"/>
      <c r="N282" s="38"/>
      <c r="O282" s="38"/>
      <c r="P282" s="38"/>
      <c r="Q282" s="38"/>
      <c r="R282" s="38"/>
      <c r="S282" s="38"/>
      <c r="T282" s="38"/>
      <c r="U282" s="38"/>
      <c r="V282" s="38"/>
      <c r="W282" s="38"/>
      <c r="X282" s="38"/>
      <c r="Y282" s="38"/>
      <c r="Z282" s="38"/>
      <c r="AA282" s="38"/>
      <c r="AB282" s="38"/>
      <c r="AC282" s="38"/>
      <c r="AD282" s="38"/>
    </row>
    <row r="283" spans="2:30">
      <c r="B283" s="45" t="s">
        <v>7119</v>
      </c>
      <c r="C283" s="157"/>
      <c r="D283" s="157"/>
      <c r="E283" s="38"/>
      <c r="F283" s="38"/>
      <c r="G283" s="38"/>
      <c r="H283" s="38"/>
      <c r="I283" s="38"/>
      <c r="J283" s="38"/>
      <c r="K283" s="38"/>
      <c r="L283" s="38"/>
      <c r="M283" s="38"/>
      <c r="N283" s="38"/>
      <c r="O283" s="38"/>
      <c r="P283" s="38"/>
      <c r="Q283" s="38"/>
      <c r="R283" s="38"/>
      <c r="S283" s="38"/>
      <c r="T283" s="38"/>
      <c r="U283" s="38"/>
      <c r="V283" s="38"/>
      <c r="W283" s="38"/>
      <c r="X283" s="38"/>
      <c r="Y283" s="38"/>
      <c r="Z283" s="38"/>
      <c r="AA283" s="38"/>
      <c r="AB283" s="38"/>
      <c r="AC283" s="38"/>
      <c r="AD283" s="38"/>
    </row>
    <row r="284" spans="2:30" ht="24" customHeight="1">
      <c r="B284" s="54"/>
      <c r="C284" s="731" t="s">
        <v>7120</v>
      </c>
      <c r="D284" s="731"/>
      <c r="E284" s="731"/>
      <c r="F284" s="731"/>
      <c r="G284" s="731"/>
      <c r="H284" s="731"/>
      <c r="I284" s="731"/>
      <c r="J284" s="731"/>
      <c r="K284" s="731"/>
      <c r="L284" s="731"/>
      <c r="M284" s="731"/>
      <c r="N284" s="731"/>
      <c r="O284" s="731"/>
      <c r="P284" s="731"/>
      <c r="Q284" s="731"/>
      <c r="R284" s="731"/>
      <c r="S284" s="731"/>
      <c r="T284" s="731"/>
      <c r="U284" s="731"/>
      <c r="V284" s="731"/>
      <c r="W284" s="731"/>
      <c r="X284" s="731"/>
      <c r="Y284" s="731"/>
      <c r="Z284" s="731"/>
      <c r="AA284" s="731"/>
      <c r="AB284" s="731"/>
      <c r="AC284" s="731"/>
      <c r="AD284" s="731"/>
    </row>
    <row r="285" spans="2:30">
      <c r="B285" s="54"/>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c r="AA285" s="38"/>
      <c r="AB285" s="38"/>
      <c r="AC285" s="38"/>
      <c r="AD285" s="38"/>
    </row>
    <row r="286" spans="2:30">
      <c r="B286" s="45" t="s">
        <v>7121</v>
      </c>
      <c r="C286" s="157"/>
      <c r="D286" s="157"/>
      <c r="E286" s="38"/>
      <c r="F286" s="38"/>
      <c r="G286" s="38"/>
      <c r="H286" s="38"/>
      <c r="I286" s="38"/>
      <c r="J286" s="38"/>
      <c r="K286" s="38"/>
      <c r="L286" s="38"/>
      <c r="M286" s="38"/>
      <c r="N286" s="38"/>
      <c r="O286" s="38"/>
      <c r="P286" s="38"/>
      <c r="Q286" s="38"/>
      <c r="R286" s="38"/>
      <c r="S286" s="38"/>
      <c r="T286" s="38"/>
      <c r="U286" s="38"/>
      <c r="V286" s="38"/>
      <c r="W286" s="38"/>
      <c r="X286" s="38"/>
      <c r="Y286" s="38"/>
      <c r="Z286" s="38"/>
      <c r="AA286" s="38"/>
      <c r="AB286" s="38"/>
      <c r="AC286" s="38"/>
      <c r="AD286" s="38"/>
    </row>
    <row r="287" spans="2:30" ht="36" customHeight="1">
      <c r="B287" s="16"/>
      <c r="C287" s="731" t="s">
        <v>7122</v>
      </c>
      <c r="D287" s="731"/>
      <c r="E287" s="731"/>
      <c r="F287" s="731"/>
      <c r="G287" s="731"/>
      <c r="H287" s="731"/>
      <c r="I287" s="731"/>
      <c r="J287" s="731"/>
      <c r="K287" s="731"/>
      <c r="L287" s="731"/>
      <c r="M287" s="731"/>
      <c r="N287" s="731"/>
      <c r="O287" s="731"/>
      <c r="P287" s="731"/>
      <c r="Q287" s="731"/>
      <c r="R287" s="731"/>
      <c r="S287" s="731"/>
      <c r="T287" s="731"/>
      <c r="U287" s="731"/>
      <c r="V287" s="731"/>
      <c r="W287" s="731"/>
      <c r="X287" s="731"/>
      <c r="Y287" s="731"/>
      <c r="Z287" s="731"/>
      <c r="AA287" s="731"/>
      <c r="AB287" s="731"/>
      <c r="AC287" s="731"/>
      <c r="AD287" s="731"/>
    </row>
    <row r="288" spans="2:30">
      <c r="B288" s="54"/>
      <c r="C288" s="157"/>
      <c r="D288" s="157"/>
      <c r="E288" s="38"/>
      <c r="F288" s="38"/>
      <c r="G288" s="38"/>
      <c r="H288" s="38"/>
      <c r="I288" s="38"/>
      <c r="J288" s="38"/>
      <c r="K288" s="38"/>
      <c r="L288" s="38"/>
      <c r="M288" s="38"/>
      <c r="N288" s="38"/>
      <c r="O288" s="38"/>
      <c r="P288" s="38"/>
      <c r="Q288" s="38"/>
      <c r="R288" s="38"/>
      <c r="S288" s="38"/>
      <c r="T288" s="38"/>
      <c r="U288" s="38"/>
      <c r="V288" s="38"/>
      <c r="W288" s="38"/>
      <c r="X288" s="38"/>
      <c r="Y288" s="38"/>
      <c r="Z288" s="38"/>
      <c r="AA288" s="38"/>
      <c r="AB288" s="38"/>
      <c r="AC288" s="38"/>
      <c r="AD288" s="38"/>
    </row>
    <row r="289" spans="2:30">
      <c r="B289" s="45" t="s">
        <v>7123</v>
      </c>
      <c r="C289" s="157"/>
      <c r="D289" s="157"/>
      <c r="E289" s="38"/>
      <c r="F289" s="38"/>
      <c r="G289" s="38"/>
      <c r="H289" s="38"/>
      <c r="I289" s="38"/>
      <c r="J289" s="38"/>
      <c r="K289" s="38"/>
      <c r="L289" s="38"/>
      <c r="M289" s="38"/>
      <c r="N289" s="38"/>
      <c r="O289" s="38"/>
      <c r="P289" s="38"/>
      <c r="Q289" s="38"/>
      <c r="R289" s="38"/>
      <c r="S289" s="38"/>
      <c r="T289" s="38"/>
      <c r="U289" s="38"/>
      <c r="V289" s="38"/>
      <c r="W289" s="38"/>
      <c r="X289" s="38"/>
      <c r="Y289" s="38"/>
      <c r="Z289" s="38"/>
      <c r="AA289" s="38"/>
      <c r="AB289" s="38"/>
      <c r="AC289" s="38"/>
      <c r="AD289" s="38"/>
    </row>
    <row r="290" spans="2:30" ht="24" customHeight="1">
      <c r="B290" s="54"/>
      <c r="C290" s="731" t="s">
        <v>7124</v>
      </c>
      <c r="D290" s="731"/>
      <c r="E290" s="731"/>
      <c r="F290" s="731"/>
      <c r="G290" s="731"/>
      <c r="H290" s="731"/>
      <c r="I290" s="731"/>
      <c r="J290" s="731"/>
      <c r="K290" s="731"/>
      <c r="L290" s="731"/>
      <c r="M290" s="731"/>
      <c r="N290" s="731"/>
      <c r="O290" s="731"/>
      <c r="P290" s="731"/>
      <c r="Q290" s="731"/>
      <c r="R290" s="731"/>
      <c r="S290" s="731"/>
      <c r="T290" s="731"/>
      <c r="U290" s="731"/>
      <c r="V290" s="731"/>
      <c r="W290" s="731"/>
      <c r="X290" s="731"/>
      <c r="Y290" s="731"/>
      <c r="Z290" s="731"/>
      <c r="AA290" s="731"/>
      <c r="AB290" s="731"/>
      <c r="AC290" s="731"/>
      <c r="AD290" s="731"/>
    </row>
    <row r="291" spans="2:30">
      <c r="B291" s="54"/>
      <c r="C291" s="157"/>
      <c r="D291" s="157"/>
      <c r="E291" s="38"/>
      <c r="F291" s="38"/>
      <c r="G291" s="38"/>
      <c r="H291" s="38"/>
      <c r="I291" s="38"/>
      <c r="J291" s="38"/>
      <c r="K291" s="38"/>
      <c r="L291" s="38"/>
      <c r="M291" s="38"/>
      <c r="N291" s="38"/>
      <c r="O291" s="38"/>
      <c r="P291" s="38"/>
      <c r="Q291" s="38"/>
      <c r="R291" s="38"/>
      <c r="S291" s="38"/>
      <c r="T291" s="38"/>
      <c r="U291" s="38"/>
      <c r="V291" s="38"/>
      <c r="W291" s="38"/>
      <c r="X291" s="38"/>
      <c r="Y291" s="38"/>
      <c r="Z291" s="38"/>
      <c r="AA291" s="38"/>
      <c r="AB291" s="38"/>
      <c r="AC291" s="38"/>
      <c r="AD291" s="38"/>
    </row>
    <row r="292" spans="2:30">
      <c r="B292" s="45" t="s">
        <v>4587</v>
      </c>
      <c r="C292" s="157"/>
      <c r="D292" s="157"/>
      <c r="E292" s="38"/>
      <c r="F292" s="38"/>
      <c r="G292" s="38"/>
      <c r="H292" s="38"/>
      <c r="I292" s="38"/>
      <c r="J292" s="38"/>
      <c r="K292" s="38"/>
      <c r="L292" s="38"/>
      <c r="M292" s="38"/>
      <c r="N292" s="38"/>
      <c r="O292" s="38"/>
      <c r="P292" s="38"/>
      <c r="Q292" s="38"/>
      <c r="R292" s="38"/>
      <c r="S292" s="38"/>
      <c r="T292" s="38"/>
      <c r="U292" s="38"/>
      <c r="V292" s="38"/>
      <c r="W292" s="38"/>
      <c r="X292" s="38"/>
      <c r="Y292" s="38"/>
      <c r="Z292" s="38"/>
      <c r="AA292" s="38"/>
      <c r="AB292" s="38"/>
      <c r="AC292" s="38"/>
      <c r="AD292" s="38"/>
    </row>
    <row r="293" spans="2:30" ht="24" customHeight="1">
      <c r="B293" s="54"/>
      <c r="C293" s="731" t="s">
        <v>7125</v>
      </c>
      <c r="D293" s="731"/>
      <c r="E293" s="731"/>
      <c r="F293" s="731"/>
      <c r="G293" s="731"/>
      <c r="H293" s="731"/>
      <c r="I293" s="731"/>
      <c r="J293" s="731"/>
      <c r="K293" s="731"/>
      <c r="L293" s="731"/>
      <c r="M293" s="731"/>
      <c r="N293" s="731"/>
      <c r="O293" s="731"/>
      <c r="P293" s="731"/>
      <c r="Q293" s="731"/>
      <c r="R293" s="731"/>
      <c r="S293" s="731"/>
      <c r="T293" s="731"/>
      <c r="U293" s="731"/>
      <c r="V293" s="731"/>
      <c r="W293" s="731"/>
      <c r="X293" s="731"/>
      <c r="Y293" s="731"/>
      <c r="Z293" s="731"/>
      <c r="AA293" s="731"/>
      <c r="AB293" s="731"/>
      <c r="AC293" s="731"/>
      <c r="AD293" s="731"/>
    </row>
    <row r="294" spans="2:30">
      <c r="B294" s="54"/>
      <c r="C294" s="157"/>
      <c r="D294" s="157"/>
      <c r="E294" s="38"/>
      <c r="F294" s="38"/>
      <c r="G294" s="38"/>
      <c r="H294" s="38"/>
      <c r="I294" s="38"/>
      <c r="J294" s="38"/>
      <c r="K294" s="38"/>
      <c r="L294" s="38"/>
      <c r="M294" s="38"/>
      <c r="N294" s="38"/>
      <c r="O294" s="38"/>
      <c r="P294" s="38"/>
      <c r="Q294" s="38"/>
      <c r="R294" s="38"/>
      <c r="S294" s="38"/>
      <c r="T294" s="38"/>
      <c r="U294" s="38"/>
      <c r="V294" s="38"/>
      <c r="W294" s="38"/>
      <c r="X294" s="38"/>
      <c r="Y294" s="38"/>
      <c r="Z294" s="38"/>
      <c r="AA294" s="38"/>
      <c r="AB294" s="38"/>
      <c r="AC294" s="38"/>
      <c r="AD294" s="38"/>
    </row>
    <row r="295" spans="2:30">
      <c r="B295" s="45" t="s">
        <v>7126</v>
      </c>
      <c r="C295" s="157"/>
      <c r="D295" s="157"/>
      <c r="E295" s="38"/>
      <c r="F295" s="38"/>
      <c r="G295" s="38"/>
      <c r="H295" s="38"/>
      <c r="I295" s="38"/>
      <c r="J295" s="38"/>
      <c r="K295" s="38"/>
      <c r="L295" s="38"/>
      <c r="M295" s="38"/>
      <c r="N295" s="38"/>
      <c r="O295" s="38"/>
      <c r="P295" s="38"/>
      <c r="Q295" s="38"/>
      <c r="R295" s="38"/>
      <c r="S295" s="38"/>
      <c r="T295" s="38"/>
      <c r="U295" s="38"/>
      <c r="V295" s="38"/>
      <c r="W295" s="38"/>
      <c r="X295" s="38"/>
      <c r="Y295" s="38"/>
      <c r="Z295" s="38"/>
      <c r="AA295" s="38"/>
      <c r="AB295" s="38"/>
      <c r="AC295" s="38"/>
      <c r="AD295" s="38"/>
    </row>
    <row r="296" spans="2:30" ht="36" customHeight="1">
      <c r="B296" s="54"/>
      <c r="C296" s="731" t="s">
        <v>7127</v>
      </c>
      <c r="D296" s="731"/>
      <c r="E296" s="731"/>
      <c r="F296" s="731"/>
      <c r="G296" s="731"/>
      <c r="H296" s="731"/>
      <c r="I296" s="731"/>
      <c r="J296" s="731"/>
      <c r="K296" s="731"/>
      <c r="L296" s="731"/>
      <c r="M296" s="731"/>
      <c r="N296" s="731"/>
      <c r="O296" s="731"/>
      <c r="P296" s="731"/>
      <c r="Q296" s="731"/>
      <c r="R296" s="731"/>
      <c r="S296" s="731"/>
      <c r="T296" s="731"/>
      <c r="U296" s="731"/>
      <c r="V296" s="731"/>
      <c r="W296" s="731"/>
      <c r="X296" s="731"/>
      <c r="Y296" s="731"/>
      <c r="Z296" s="731"/>
      <c r="AA296" s="731"/>
      <c r="AB296" s="731"/>
      <c r="AC296" s="731"/>
      <c r="AD296" s="731"/>
    </row>
    <row r="297" spans="2:30">
      <c r="B297" s="54"/>
      <c r="C297" s="157"/>
      <c r="D297" s="157"/>
      <c r="E297" s="38"/>
      <c r="F297" s="38"/>
      <c r="G297" s="38"/>
      <c r="H297" s="38"/>
      <c r="I297" s="38"/>
      <c r="J297" s="38"/>
      <c r="K297" s="38"/>
      <c r="L297" s="38"/>
      <c r="M297" s="38"/>
      <c r="N297" s="38"/>
      <c r="O297" s="38"/>
      <c r="P297" s="38"/>
      <c r="Q297" s="38"/>
      <c r="R297" s="38"/>
      <c r="S297" s="38"/>
      <c r="T297" s="38"/>
      <c r="U297" s="38"/>
      <c r="V297" s="38"/>
      <c r="W297" s="38"/>
      <c r="X297" s="38"/>
      <c r="Y297" s="38"/>
      <c r="Z297" s="38"/>
      <c r="AA297" s="38"/>
      <c r="AB297" s="38"/>
      <c r="AC297" s="38"/>
      <c r="AD297" s="38"/>
    </row>
    <row r="298" spans="2:30">
      <c r="B298" s="45" t="s">
        <v>7128</v>
      </c>
      <c r="C298" s="157"/>
      <c r="D298" s="157"/>
      <c r="E298" s="38"/>
      <c r="F298" s="38"/>
      <c r="G298" s="38"/>
      <c r="H298" s="38"/>
      <c r="I298" s="38"/>
      <c r="J298" s="38"/>
      <c r="K298" s="38"/>
      <c r="L298" s="38"/>
      <c r="M298" s="38"/>
      <c r="N298" s="38"/>
      <c r="O298" s="38"/>
      <c r="P298" s="38"/>
      <c r="Q298" s="38"/>
      <c r="R298" s="38"/>
      <c r="S298" s="38"/>
      <c r="T298" s="38"/>
      <c r="U298" s="38"/>
      <c r="V298" s="38"/>
      <c r="W298" s="38"/>
      <c r="X298" s="38"/>
      <c r="Y298" s="38"/>
      <c r="Z298" s="38"/>
      <c r="AA298" s="38"/>
      <c r="AB298" s="38"/>
      <c r="AC298" s="38"/>
      <c r="AD298" s="38"/>
    </row>
    <row r="299" spans="2:30" ht="60" customHeight="1">
      <c r="B299" s="54"/>
      <c r="C299" s="731" t="s">
        <v>7129</v>
      </c>
      <c r="D299" s="731"/>
      <c r="E299" s="731"/>
      <c r="F299" s="731"/>
      <c r="G299" s="731"/>
      <c r="H299" s="731"/>
      <c r="I299" s="731"/>
      <c r="J299" s="731"/>
      <c r="K299" s="731"/>
      <c r="L299" s="731"/>
      <c r="M299" s="731"/>
      <c r="N299" s="731"/>
      <c r="O299" s="731"/>
      <c r="P299" s="731"/>
      <c r="Q299" s="731"/>
      <c r="R299" s="731"/>
      <c r="S299" s="731"/>
      <c r="T299" s="731"/>
      <c r="U299" s="731"/>
      <c r="V299" s="731"/>
      <c r="W299" s="731"/>
      <c r="X299" s="731"/>
      <c r="Y299" s="731"/>
      <c r="Z299" s="731"/>
      <c r="AA299" s="731"/>
      <c r="AB299" s="731"/>
      <c r="AC299" s="731"/>
      <c r="AD299" s="731"/>
    </row>
    <row r="300" spans="2:30">
      <c r="B300" s="54"/>
      <c r="C300" s="157"/>
      <c r="D300" s="157"/>
      <c r="E300" s="38"/>
      <c r="F300" s="38"/>
      <c r="G300" s="38"/>
      <c r="H300" s="38"/>
      <c r="I300" s="38"/>
      <c r="J300" s="38"/>
      <c r="K300" s="38"/>
      <c r="L300" s="38"/>
      <c r="M300" s="38"/>
      <c r="N300" s="38"/>
      <c r="O300" s="38"/>
      <c r="P300" s="38"/>
      <c r="Q300" s="38"/>
      <c r="R300" s="38"/>
      <c r="S300" s="38"/>
      <c r="T300" s="38"/>
      <c r="U300" s="38"/>
      <c r="V300" s="38"/>
      <c r="W300" s="38"/>
      <c r="X300" s="38"/>
      <c r="Y300" s="38"/>
      <c r="Z300" s="38"/>
      <c r="AA300" s="38"/>
      <c r="AB300" s="38"/>
      <c r="AC300" s="38"/>
      <c r="AD300" s="38"/>
    </row>
    <row r="301" spans="2:30">
      <c r="B301" s="45" t="s">
        <v>7130</v>
      </c>
      <c r="C301" s="157"/>
      <c r="D301" s="157"/>
      <c r="E301" s="38"/>
      <c r="F301" s="38"/>
      <c r="G301" s="38"/>
      <c r="H301" s="38"/>
      <c r="I301" s="38"/>
      <c r="J301" s="38"/>
      <c r="K301" s="38"/>
      <c r="L301" s="38"/>
      <c r="M301" s="38"/>
      <c r="N301" s="38"/>
      <c r="O301" s="38"/>
      <c r="P301" s="38"/>
      <c r="Q301" s="38"/>
      <c r="R301" s="38"/>
      <c r="S301" s="38"/>
      <c r="T301" s="38"/>
      <c r="U301" s="38"/>
      <c r="V301" s="38"/>
      <c r="W301" s="38"/>
      <c r="X301" s="38"/>
      <c r="Y301" s="38"/>
      <c r="Z301" s="38"/>
      <c r="AA301" s="38"/>
      <c r="AB301" s="38"/>
      <c r="AC301" s="38"/>
      <c r="AD301" s="38"/>
    </row>
    <row r="302" spans="2:30" ht="60" customHeight="1">
      <c r="B302" s="54"/>
      <c r="C302" s="731" t="s">
        <v>7131</v>
      </c>
      <c r="D302" s="731"/>
      <c r="E302" s="731"/>
      <c r="F302" s="731"/>
      <c r="G302" s="731"/>
      <c r="H302" s="731"/>
      <c r="I302" s="731"/>
      <c r="J302" s="731"/>
      <c r="K302" s="731"/>
      <c r="L302" s="731"/>
      <c r="M302" s="731"/>
      <c r="N302" s="731"/>
      <c r="O302" s="731"/>
      <c r="P302" s="731"/>
      <c r="Q302" s="731"/>
      <c r="R302" s="731"/>
      <c r="S302" s="731"/>
      <c r="T302" s="731"/>
      <c r="U302" s="731"/>
      <c r="V302" s="731"/>
      <c r="W302" s="731"/>
      <c r="X302" s="731"/>
      <c r="Y302" s="731"/>
      <c r="Z302" s="731"/>
      <c r="AA302" s="731"/>
      <c r="AB302" s="731"/>
      <c r="AC302" s="731"/>
      <c r="AD302" s="731"/>
    </row>
    <row r="303" spans="2:30">
      <c r="B303" s="54"/>
      <c r="C303" s="157"/>
      <c r="D303" s="157"/>
      <c r="E303" s="38"/>
      <c r="F303" s="38"/>
      <c r="G303" s="38"/>
      <c r="H303" s="38"/>
      <c r="I303" s="38"/>
      <c r="J303" s="38"/>
      <c r="K303" s="38"/>
      <c r="L303" s="38"/>
      <c r="M303" s="38"/>
      <c r="N303" s="38"/>
      <c r="O303" s="38"/>
      <c r="P303" s="38"/>
      <c r="Q303" s="38"/>
      <c r="R303" s="38"/>
      <c r="S303" s="38"/>
      <c r="T303" s="38"/>
      <c r="U303" s="38"/>
      <c r="V303" s="38"/>
      <c r="W303" s="38"/>
      <c r="X303" s="38"/>
      <c r="Y303" s="38"/>
      <c r="Z303" s="38"/>
      <c r="AA303" s="38"/>
      <c r="AB303" s="38"/>
      <c r="AC303" s="38"/>
      <c r="AD303" s="38"/>
    </row>
    <row r="304" spans="2:30">
      <c r="B304" s="45" t="s">
        <v>4593</v>
      </c>
      <c r="C304" s="157"/>
      <c r="D304" s="157"/>
      <c r="E304" s="38"/>
      <c r="F304" s="38"/>
      <c r="G304" s="38"/>
      <c r="H304" s="38"/>
      <c r="I304" s="38"/>
      <c r="J304" s="38"/>
      <c r="K304" s="38"/>
      <c r="L304" s="38"/>
      <c r="M304" s="38"/>
      <c r="N304" s="38"/>
      <c r="O304" s="38"/>
      <c r="P304" s="38"/>
      <c r="Q304" s="38"/>
      <c r="R304" s="38"/>
      <c r="S304" s="38"/>
      <c r="T304" s="38"/>
      <c r="U304" s="38"/>
      <c r="V304" s="38"/>
      <c r="W304" s="38"/>
      <c r="X304" s="38"/>
      <c r="Y304" s="38"/>
      <c r="Z304" s="38"/>
      <c r="AA304" s="38"/>
      <c r="AB304" s="38"/>
      <c r="AC304" s="38"/>
      <c r="AD304" s="38"/>
    </row>
    <row r="305" spans="2:30" ht="36" customHeight="1">
      <c r="B305" s="54"/>
      <c r="C305" s="1012" t="s">
        <v>7132</v>
      </c>
      <c r="D305" s="1012"/>
      <c r="E305" s="1012"/>
      <c r="F305" s="1012"/>
      <c r="G305" s="1012"/>
      <c r="H305" s="1012"/>
      <c r="I305" s="1012"/>
      <c r="J305" s="1012"/>
      <c r="K305" s="1012"/>
      <c r="L305" s="1012"/>
      <c r="M305" s="1012"/>
      <c r="N305" s="1012"/>
      <c r="O305" s="1012"/>
      <c r="P305" s="1012"/>
      <c r="Q305" s="1012"/>
      <c r="R305" s="1012"/>
      <c r="S305" s="1012"/>
      <c r="T305" s="1012"/>
      <c r="U305" s="1012"/>
      <c r="V305" s="1012"/>
      <c r="W305" s="1012"/>
      <c r="X305" s="1012"/>
      <c r="Y305" s="1012"/>
      <c r="Z305" s="1012"/>
      <c r="AA305" s="1012"/>
      <c r="AB305" s="1012"/>
      <c r="AC305" s="1012"/>
      <c r="AD305" s="1012"/>
    </row>
    <row r="306" spans="2:30">
      <c r="B306" s="54"/>
      <c r="C306" s="157"/>
      <c r="D306" s="157"/>
      <c r="E306" s="38"/>
      <c r="F306" s="38"/>
      <c r="G306" s="38"/>
      <c r="H306" s="38"/>
      <c r="I306" s="38"/>
      <c r="J306" s="38"/>
      <c r="K306" s="38"/>
      <c r="L306" s="38"/>
      <c r="M306" s="38"/>
      <c r="N306" s="38"/>
      <c r="O306" s="38"/>
      <c r="P306" s="38"/>
      <c r="Q306" s="38"/>
      <c r="R306" s="38"/>
      <c r="S306" s="38"/>
      <c r="T306" s="38"/>
      <c r="U306" s="38"/>
      <c r="V306" s="38"/>
      <c r="W306" s="38"/>
      <c r="X306" s="38"/>
      <c r="Y306" s="38"/>
      <c r="Z306" s="38"/>
      <c r="AA306" s="38"/>
      <c r="AB306" s="38"/>
      <c r="AC306" s="38"/>
      <c r="AD306" s="38"/>
    </row>
    <row r="307" spans="2:30">
      <c r="B307" s="45" t="s">
        <v>7133</v>
      </c>
      <c r="C307" s="157"/>
      <c r="D307" s="157"/>
      <c r="E307" s="38"/>
      <c r="F307" s="38"/>
      <c r="G307" s="38"/>
      <c r="H307" s="38"/>
      <c r="I307" s="38"/>
      <c r="J307" s="38"/>
      <c r="K307" s="38"/>
      <c r="L307" s="38"/>
      <c r="M307" s="38"/>
      <c r="N307" s="38"/>
      <c r="O307" s="38"/>
      <c r="P307" s="38"/>
      <c r="Q307" s="38"/>
      <c r="R307" s="38"/>
      <c r="S307" s="38"/>
      <c r="T307" s="38"/>
      <c r="U307" s="38"/>
      <c r="V307" s="38"/>
      <c r="W307" s="38"/>
      <c r="X307" s="38"/>
      <c r="Y307" s="38"/>
      <c r="Z307" s="38"/>
      <c r="AA307" s="38"/>
      <c r="AB307" s="38"/>
      <c r="AC307" s="38"/>
      <c r="AD307" s="38"/>
    </row>
    <row r="308" spans="2:30" ht="36" customHeight="1">
      <c r="B308" s="54"/>
      <c r="C308" s="1012" t="s">
        <v>7134</v>
      </c>
      <c r="D308" s="1012"/>
      <c r="E308" s="1012"/>
      <c r="F308" s="1012"/>
      <c r="G308" s="1012"/>
      <c r="H308" s="1012"/>
      <c r="I308" s="1012"/>
      <c r="J308" s="1012"/>
      <c r="K308" s="1012"/>
      <c r="L308" s="1012"/>
      <c r="M308" s="1012"/>
      <c r="N308" s="1012"/>
      <c r="O308" s="1012"/>
      <c r="P308" s="1012"/>
      <c r="Q308" s="1012"/>
      <c r="R308" s="1012"/>
      <c r="S308" s="1012"/>
      <c r="T308" s="1012"/>
      <c r="U308" s="1012"/>
      <c r="V308" s="1012"/>
      <c r="W308" s="1012"/>
      <c r="X308" s="1012"/>
      <c r="Y308" s="1012"/>
      <c r="Z308" s="1012"/>
      <c r="AA308" s="1012"/>
      <c r="AB308" s="1012"/>
      <c r="AC308" s="1012"/>
      <c r="AD308" s="1012"/>
    </row>
    <row r="309" spans="2:30">
      <c r="B309" s="54"/>
      <c r="C309" s="157"/>
      <c r="D309" s="157"/>
      <c r="E309" s="38"/>
      <c r="F309" s="38"/>
      <c r="G309" s="38"/>
      <c r="H309" s="38"/>
      <c r="I309" s="38"/>
      <c r="J309" s="38"/>
      <c r="K309" s="38"/>
      <c r="L309" s="38"/>
      <c r="M309" s="38"/>
      <c r="N309" s="38"/>
      <c r="O309" s="38"/>
      <c r="P309" s="38"/>
      <c r="Q309" s="38"/>
      <c r="R309" s="38"/>
      <c r="S309" s="38"/>
      <c r="T309" s="38"/>
      <c r="U309" s="38"/>
      <c r="V309" s="38"/>
      <c r="W309" s="38"/>
      <c r="X309" s="38"/>
      <c r="Y309" s="38"/>
      <c r="Z309" s="38"/>
      <c r="AA309" s="38"/>
      <c r="AB309" s="38"/>
      <c r="AC309" s="38"/>
      <c r="AD309" s="38"/>
    </row>
    <row r="310" spans="2:30">
      <c r="B310" s="45" t="s">
        <v>7135</v>
      </c>
      <c r="C310" s="157"/>
      <c r="D310" s="157"/>
      <c r="E310" s="38"/>
      <c r="F310" s="38"/>
      <c r="G310" s="38"/>
      <c r="H310" s="38"/>
      <c r="I310" s="38"/>
      <c r="J310" s="38"/>
      <c r="K310" s="38"/>
      <c r="L310" s="38"/>
      <c r="M310" s="38"/>
      <c r="N310" s="38"/>
      <c r="O310" s="38"/>
      <c r="P310" s="38"/>
      <c r="Q310" s="38"/>
      <c r="R310" s="38"/>
      <c r="S310" s="38"/>
      <c r="T310" s="38"/>
      <c r="U310" s="38"/>
      <c r="V310" s="38"/>
      <c r="W310" s="38"/>
      <c r="X310" s="38"/>
      <c r="Y310" s="38"/>
      <c r="Z310" s="38"/>
      <c r="AA310" s="38"/>
      <c r="AB310" s="38"/>
      <c r="AC310" s="38"/>
      <c r="AD310" s="38"/>
    </row>
    <row r="311" spans="2:30" ht="24" customHeight="1">
      <c r="B311" s="54"/>
      <c r="C311" s="1012" t="s">
        <v>7136</v>
      </c>
      <c r="D311" s="1012"/>
      <c r="E311" s="1012"/>
      <c r="F311" s="1012"/>
      <c r="G311" s="1012"/>
      <c r="H311" s="1012"/>
      <c r="I311" s="1012"/>
      <c r="J311" s="1012"/>
      <c r="K311" s="1012"/>
      <c r="L311" s="1012"/>
      <c r="M311" s="1012"/>
      <c r="N311" s="1012"/>
      <c r="O311" s="1012"/>
      <c r="P311" s="1012"/>
      <c r="Q311" s="1012"/>
      <c r="R311" s="1012"/>
      <c r="S311" s="1012"/>
      <c r="T311" s="1012"/>
      <c r="U311" s="1012"/>
      <c r="V311" s="1012"/>
      <c r="W311" s="1012"/>
      <c r="X311" s="1012"/>
      <c r="Y311" s="1012"/>
      <c r="Z311" s="1012"/>
      <c r="AA311" s="1012"/>
      <c r="AB311" s="1012"/>
      <c r="AC311" s="1012"/>
      <c r="AD311" s="1012"/>
    </row>
    <row r="312" spans="2:30">
      <c r="B312" s="54"/>
      <c r="C312" s="157"/>
      <c r="D312" s="157"/>
      <c r="E312" s="38"/>
      <c r="F312" s="38"/>
      <c r="G312" s="38"/>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row>
    <row r="313" spans="2:30">
      <c r="B313" s="45" t="s">
        <v>7137</v>
      </c>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row>
    <row r="314" spans="2:30" ht="15" customHeight="1">
      <c r="B314" s="54"/>
      <c r="C314" s="731" t="s">
        <v>7138</v>
      </c>
      <c r="D314" s="731"/>
      <c r="E314" s="731"/>
      <c r="F314" s="731"/>
      <c r="G314" s="731"/>
      <c r="H314" s="731"/>
      <c r="I314" s="731"/>
      <c r="J314" s="731"/>
      <c r="K314" s="731"/>
      <c r="L314" s="731"/>
      <c r="M314" s="731"/>
      <c r="N314" s="731"/>
      <c r="O314" s="731"/>
      <c r="P314" s="731"/>
      <c r="Q314" s="731"/>
      <c r="R314" s="731"/>
      <c r="S314" s="731"/>
      <c r="T314" s="731"/>
      <c r="U314" s="731"/>
      <c r="V314" s="731"/>
      <c r="W314" s="731"/>
      <c r="X314" s="731"/>
      <c r="Y314" s="731"/>
      <c r="Z314" s="731"/>
      <c r="AA314" s="731"/>
      <c r="AB314" s="731"/>
      <c r="AC314" s="731"/>
      <c r="AD314" s="731"/>
    </row>
    <row r="315" spans="2:30">
      <c r="B315" s="54"/>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row>
    <row r="316" spans="2:30">
      <c r="B316" s="45" t="s">
        <v>7139</v>
      </c>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row>
    <row r="317" spans="2:30" ht="24" customHeight="1">
      <c r="B317" s="54"/>
      <c r="C317" s="731" t="s">
        <v>7140</v>
      </c>
      <c r="D317" s="731"/>
      <c r="E317" s="731"/>
      <c r="F317" s="731"/>
      <c r="G317" s="731"/>
      <c r="H317" s="731"/>
      <c r="I317" s="731"/>
      <c r="J317" s="731"/>
      <c r="K317" s="731"/>
      <c r="L317" s="731"/>
      <c r="M317" s="731"/>
      <c r="N317" s="731"/>
      <c r="O317" s="731"/>
      <c r="P317" s="731"/>
      <c r="Q317" s="731"/>
      <c r="R317" s="731"/>
      <c r="S317" s="731"/>
      <c r="T317" s="731"/>
      <c r="U317" s="731"/>
      <c r="V317" s="731"/>
      <c r="W317" s="731"/>
      <c r="X317" s="731"/>
      <c r="Y317" s="731"/>
      <c r="Z317" s="731"/>
      <c r="AA317" s="731"/>
      <c r="AB317" s="731"/>
      <c r="AC317" s="731"/>
      <c r="AD317" s="731"/>
    </row>
    <row r="318" spans="2:30">
      <c r="B318" s="54"/>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row>
    <row r="319" spans="2:30">
      <c r="B319" s="45" t="s">
        <v>7141</v>
      </c>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c r="AA319" s="38"/>
      <c r="AB319" s="38"/>
      <c r="AC319" s="38"/>
      <c r="AD319" s="38"/>
    </row>
    <row r="320" spans="2:30" ht="24" customHeight="1">
      <c r="B320" s="54"/>
      <c r="C320" s="731" t="s">
        <v>7142</v>
      </c>
      <c r="D320" s="731"/>
      <c r="E320" s="731"/>
      <c r="F320" s="731"/>
      <c r="G320" s="731"/>
      <c r="H320" s="731"/>
      <c r="I320" s="731"/>
      <c r="J320" s="731"/>
      <c r="K320" s="731"/>
      <c r="L320" s="731"/>
      <c r="M320" s="731"/>
      <c r="N320" s="731"/>
      <c r="O320" s="731"/>
      <c r="P320" s="731"/>
      <c r="Q320" s="731"/>
      <c r="R320" s="731"/>
      <c r="S320" s="731"/>
      <c r="T320" s="731"/>
      <c r="U320" s="731"/>
      <c r="V320" s="731"/>
      <c r="W320" s="731"/>
      <c r="X320" s="731"/>
      <c r="Y320" s="731"/>
      <c r="Z320" s="731"/>
      <c r="AA320" s="731"/>
      <c r="AB320" s="731"/>
      <c r="AC320" s="731"/>
      <c r="AD320" s="731"/>
    </row>
    <row r="321" spans="2:30">
      <c r="B321" s="54"/>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c r="AA321" s="38"/>
      <c r="AB321" s="38"/>
      <c r="AC321" s="38"/>
      <c r="AD321" s="38"/>
    </row>
    <row r="322" spans="2:30">
      <c r="B322" s="45" t="s">
        <v>7143</v>
      </c>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c r="AA322" s="38"/>
      <c r="AB322" s="38"/>
      <c r="AC322" s="38"/>
      <c r="AD322" s="38"/>
    </row>
    <row r="323" spans="2:30" ht="24" customHeight="1">
      <c r="B323" s="54"/>
      <c r="C323" s="731" t="s">
        <v>7144</v>
      </c>
      <c r="D323" s="731"/>
      <c r="E323" s="731"/>
      <c r="F323" s="731"/>
      <c r="G323" s="731"/>
      <c r="H323" s="731"/>
      <c r="I323" s="731"/>
      <c r="J323" s="731"/>
      <c r="K323" s="731"/>
      <c r="L323" s="731"/>
      <c r="M323" s="731"/>
      <c r="N323" s="731"/>
      <c r="O323" s="731"/>
      <c r="P323" s="731"/>
      <c r="Q323" s="731"/>
      <c r="R323" s="731"/>
      <c r="S323" s="731"/>
      <c r="T323" s="731"/>
      <c r="U323" s="731"/>
      <c r="V323" s="731"/>
      <c r="W323" s="731"/>
      <c r="X323" s="731"/>
      <c r="Y323" s="731"/>
      <c r="Z323" s="731"/>
      <c r="AA323" s="731"/>
      <c r="AB323" s="731"/>
      <c r="AC323" s="731"/>
      <c r="AD323" s="731"/>
    </row>
    <row r="324" spans="2:30">
      <c r="B324" s="54"/>
      <c r="C324" s="157"/>
      <c r="D324" s="157"/>
      <c r="E324" s="38"/>
      <c r="F324" s="38"/>
      <c r="G324" s="38"/>
      <c r="H324" s="38"/>
      <c r="I324" s="38"/>
      <c r="J324" s="38"/>
      <c r="K324" s="38"/>
      <c r="L324" s="38"/>
      <c r="M324" s="38"/>
      <c r="N324" s="38"/>
      <c r="O324" s="38"/>
      <c r="P324" s="38"/>
      <c r="Q324" s="38"/>
      <c r="R324" s="38"/>
      <c r="S324" s="38"/>
      <c r="T324" s="38"/>
      <c r="U324" s="38"/>
      <c r="V324" s="38"/>
      <c r="W324" s="38"/>
      <c r="X324" s="38"/>
      <c r="Y324" s="38"/>
      <c r="Z324" s="38"/>
      <c r="AA324" s="38"/>
      <c r="AB324" s="38"/>
      <c r="AC324" s="38"/>
      <c r="AD324" s="38"/>
    </row>
    <row r="325" spans="2:30">
      <c r="B325" s="45" t="s">
        <v>7145</v>
      </c>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c r="AA325" s="38"/>
      <c r="AB325" s="38"/>
      <c r="AC325" s="38"/>
      <c r="AD325" s="38"/>
    </row>
    <row r="326" spans="2:30">
      <c r="B326" s="54"/>
      <c r="C326" s="731" t="s">
        <v>7146</v>
      </c>
      <c r="D326" s="731"/>
      <c r="E326" s="731"/>
      <c r="F326" s="731"/>
      <c r="G326" s="731"/>
      <c r="H326" s="731"/>
      <c r="I326" s="731"/>
      <c r="J326" s="731"/>
      <c r="K326" s="731"/>
      <c r="L326" s="731"/>
      <c r="M326" s="731"/>
      <c r="N326" s="731"/>
      <c r="O326" s="731"/>
      <c r="P326" s="731"/>
      <c r="Q326" s="731"/>
      <c r="R326" s="731"/>
      <c r="S326" s="731"/>
      <c r="T326" s="731"/>
      <c r="U326" s="731"/>
      <c r="V326" s="731"/>
      <c r="W326" s="731"/>
      <c r="X326" s="731"/>
      <c r="Y326" s="731"/>
      <c r="Z326" s="731"/>
      <c r="AA326" s="731"/>
      <c r="AB326" s="731"/>
      <c r="AC326" s="731"/>
      <c r="AD326" s="731"/>
    </row>
    <row r="327" spans="2:30">
      <c r="B327" s="54"/>
      <c r="C327" s="157"/>
      <c r="D327" s="157"/>
      <c r="E327" s="38"/>
      <c r="F327" s="38"/>
      <c r="G327" s="38"/>
      <c r="H327" s="38"/>
      <c r="I327" s="38"/>
      <c r="J327" s="38"/>
      <c r="K327" s="38"/>
      <c r="L327" s="38"/>
      <c r="M327" s="38"/>
      <c r="N327" s="38"/>
      <c r="O327" s="38"/>
      <c r="P327" s="38"/>
      <c r="Q327" s="38"/>
      <c r="R327" s="38"/>
      <c r="S327" s="38"/>
      <c r="T327" s="38"/>
      <c r="U327" s="38"/>
      <c r="V327" s="38"/>
      <c r="W327" s="38"/>
      <c r="X327" s="38"/>
      <c r="Y327" s="38"/>
      <c r="Z327" s="38"/>
      <c r="AA327" s="38"/>
      <c r="AB327" s="38"/>
      <c r="AC327" s="38"/>
      <c r="AD327" s="38"/>
    </row>
    <row r="328" spans="2:30">
      <c r="B328" s="45" t="s">
        <v>7147</v>
      </c>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c r="AA328" s="38"/>
      <c r="AB328" s="38"/>
      <c r="AC328" s="38"/>
      <c r="AD328" s="38"/>
    </row>
    <row r="329" spans="2:30" ht="24" customHeight="1">
      <c r="B329" s="54"/>
      <c r="C329" s="731" t="s">
        <v>7148</v>
      </c>
      <c r="D329" s="731"/>
      <c r="E329" s="731"/>
      <c r="F329" s="731"/>
      <c r="G329" s="731"/>
      <c r="H329" s="731"/>
      <c r="I329" s="731"/>
      <c r="J329" s="731"/>
      <c r="K329" s="731"/>
      <c r="L329" s="731"/>
      <c r="M329" s="731"/>
      <c r="N329" s="731"/>
      <c r="O329" s="731"/>
      <c r="P329" s="731"/>
      <c r="Q329" s="731"/>
      <c r="R329" s="731"/>
      <c r="S329" s="731"/>
      <c r="T329" s="731"/>
      <c r="U329" s="731"/>
      <c r="V329" s="731"/>
      <c r="W329" s="731"/>
      <c r="X329" s="731"/>
      <c r="Y329" s="731"/>
      <c r="Z329" s="731"/>
      <c r="AA329" s="731"/>
      <c r="AB329" s="731"/>
      <c r="AC329" s="731"/>
      <c r="AD329" s="731"/>
    </row>
    <row r="330" spans="2:30">
      <c r="B330" s="54"/>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c r="AA330" s="38"/>
      <c r="AB330" s="38"/>
      <c r="AC330" s="38"/>
      <c r="AD330" s="38"/>
    </row>
    <row r="331" spans="2:30">
      <c r="B331" s="45" t="s">
        <v>7149</v>
      </c>
      <c r="C331" s="157"/>
      <c r="D331" s="157"/>
      <c r="E331" s="38"/>
      <c r="F331" s="38"/>
      <c r="G331" s="38"/>
      <c r="H331" s="38"/>
      <c r="I331" s="38"/>
      <c r="J331" s="38"/>
      <c r="K331" s="38"/>
      <c r="L331" s="38"/>
      <c r="M331" s="38"/>
      <c r="N331" s="38"/>
      <c r="O331" s="38"/>
      <c r="P331" s="38"/>
      <c r="Q331" s="38"/>
      <c r="R331" s="38"/>
      <c r="S331" s="38"/>
      <c r="T331" s="38"/>
      <c r="U331" s="38"/>
      <c r="V331" s="38"/>
      <c r="W331" s="38"/>
      <c r="X331" s="38"/>
      <c r="Y331" s="38"/>
      <c r="Z331" s="38"/>
      <c r="AA331" s="38"/>
      <c r="AB331" s="38"/>
      <c r="AC331" s="38"/>
      <c r="AD331" s="38"/>
    </row>
    <row r="332" spans="2:30" ht="36" customHeight="1">
      <c r="B332" s="54"/>
      <c r="C332" s="731" t="s">
        <v>7150</v>
      </c>
      <c r="D332" s="731"/>
      <c r="E332" s="731"/>
      <c r="F332" s="731"/>
      <c r="G332" s="731"/>
      <c r="H332" s="731"/>
      <c r="I332" s="731"/>
      <c r="J332" s="731"/>
      <c r="K332" s="731"/>
      <c r="L332" s="731"/>
      <c r="M332" s="731"/>
      <c r="N332" s="731"/>
      <c r="O332" s="731"/>
      <c r="P332" s="731"/>
      <c r="Q332" s="731"/>
      <c r="R332" s="731"/>
      <c r="S332" s="731"/>
      <c r="T332" s="731"/>
      <c r="U332" s="731"/>
      <c r="V332" s="731"/>
      <c r="W332" s="731"/>
      <c r="X332" s="731"/>
      <c r="Y332" s="731"/>
      <c r="Z332" s="731"/>
      <c r="AA332" s="731"/>
      <c r="AB332" s="731"/>
      <c r="AC332" s="731"/>
      <c r="AD332" s="731"/>
    </row>
    <row r="333" spans="2:30">
      <c r="B333" s="54"/>
      <c r="C333" s="157"/>
      <c r="D333" s="157"/>
      <c r="E333" s="38"/>
      <c r="F333" s="38"/>
      <c r="G333" s="38"/>
      <c r="H333" s="38"/>
      <c r="I333" s="38"/>
      <c r="J333" s="38"/>
      <c r="K333" s="38"/>
      <c r="L333" s="38"/>
      <c r="M333" s="38"/>
      <c r="N333" s="38"/>
      <c r="O333" s="38"/>
      <c r="P333" s="38"/>
      <c r="Q333" s="38"/>
      <c r="R333" s="38"/>
      <c r="S333" s="38"/>
      <c r="T333" s="38"/>
      <c r="U333" s="38"/>
      <c r="V333" s="38"/>
      <c r="W333" s="38"/>
      <c r="X333" s="38"/>
      <c r="Y333" s="38"/>
      <c r="Z333" s="38"/>
      <c r="AA333" s="38"/>
      <c r="AB333" s="38"/>
      <c r="AC333" s="38"/>
      <c r="AD333" s="38"/>
    </row>
    <row r="334" spans="2:30">
      <c r="B334" s="45" t="s">
        <v>7151</v>
      </c>
      <c r="C334" s="157"/>
      <c r="D334" s="157"/>
      <c r="E334" s="38"/>
      <c r="F334" s="38"/>
      <c r="G334" s="38"/>
      <c r="H334" s="38"/>
      <c r="I334" s="38"/>
      <c r="J334" s="38"/>
      <c r="K334" s="38"/>
      <c r="L334" s="38"/>
      <c r="M334" s="38"/>
      <c r="N334" s="38"/>
      <c r="O334" s="38"/>
      <c r="P334" s="38"/>
      <c r="Q334" s="38"/>
      <c r="R334" s="38"/>
      <c r="S334" s="38"/>
      <c r="T334" s="38"/>
      <c r="U334" s="38"/>
      <c r="V334" s="38"/>
      <c r="W334" s="38"/>
      <c r="X334" s="38"/>
      <c r="Y334" s="38"/>
      <c r="Z334" s="38"/>
      <c r="AA334" s="38"/>
      <c r="AB334" s="38"/>
      <c r="AC334" s="38"/>
      <c r="AD334" s="38"/>
    </row>
    <row r="335" spans="2:30" ht="60" customHeight="1">
      <c r="B335" s="54"/>
      <c r="C335" s="731" t="s">
        <v>7152</v>
      </c>
      <c r="D335" s="731"/>
      <c r="E335" s="731"/>
      <c r="F335" s="731"/>
      <c r="G335" s="731"/>
      <c r="H335" s="731"/>
      <c r="I335" s="731"/>
      <c r="J335" s="731"/>
      <c r="K335" s="731"/>
      <c r="L335" s="731"/>
      <c r="M335" s="731"/>
      <c r="N335" s="731"/>
      <c r="O335" s="731"/>
      <c r="P335" s="731"/>
      <c r="Q335" s="731"/>
      <c r="R335" s="731"/>
      <c r="S335" s="731"/>
      <c r="T335" s="731"/>
      <c r="U335" s="731"/>
      <c r="V335" s="731"/>
      <c r="W335" s="731"/>
      <c r="X335" s="731"/>
      <c r="Y335" s="731"/>
      <c r="Z335" s="731"/>
      <c r="AA335" s="731"/>
      <c r="AB335" s="731"/>
      <c r="AC335" s="731"/>
      <c r="AD335" s="731"/>
    </row>
    <row r="336" spans="2:30">
      <c r="B336" s="54"/>
      <c r="C336" s="157"/>
      <c r="D336" s="157"/>
      <c r="E336" s="38"/>
      <c r="F336" s="38"/>
      <c r="G336" s="38"/>
      <c r="H336" s="38"/>
      <c r="I336" s="38"/>
      <c r="J336" s="38"/>
      <c r="K336" s="38"/>
      <c r="L336" s="38"/>
      <c r="M336" s="38"/>
      <c r="N336" s="38"/>
      <c r="O336" s="38"/>
      <c r="P336" s="38"/>
      <c r="Q336" s="38"/>
      <c r="R336" s="38"/>
      <c r="S336" s="38"/>
      <c r="T336" s="38"/>
      <c r="U336" s="38"/>
      <c r="V336" s="38"/>
      <c r="W336" s="38"/>
      <c r="X336" s="38"/>
      <c r="Y336" s="38"/>
      <c r="Z336" s="38"/>
      <c r="AA336" s="38"/>
      <c r="AB336" s="38"/>
      <c r="AC336" s="38"/>
      <c r="AD336" s="38"/>
    </row>
    <row r="337" spans="2:30">
      <c r="B337" s="45" t="s">
        <v>7153</v>
      </c>
      <c r="C337" s="157"/>
      <c r="D337" s="157"/>
      <c r="E337" s="38"/>
      <c r="F337" s="38"/>
      <c r="G337" s="38"/>
      <c r="H337" s="38"/>
      <c r="I337" s="38"/>
      <c r="J337" s="38"/>
      <c r="K337" s="38"/>
      <c r="L337" s="38"/>
      <c r="M337" s="38"/>
      <c r="N337" s="38"/>
      <c r="O337" s="38"/>
      <c r="P337" s="38"/>
      <c r="Q337" s="38"/>
      <c r="R337" s="38"/>
      <c r="S337" s="38"/>
      <c r="T337" s="38"/>
      <c r="U337" s="38"/>
      <c r="V337" s="38"/>
      <c r="W337" s="38"/>
      <c r="X337" s="38"/>
      <c r="Y337" s="38"/>
      <c r="Z337" s="38"/>
      <c r="AA337" s="38"/>
      <c r="AB337" s="38"/>
      <c r="AC337" s="38"/>
      <c r="AD337" s="38"/>
    </row>
    <row r="338" spans="2:30" ht="36" customHeight="1">
      <c r="B338" s="54"/>
      <c r="C338" s="731" t="s">
        <v>7154</v>
      </c>
      <c r="D338" s="731"/>
      <c r="E338" s="731"/>
      <c r="F338" s="731"/>
      <c r="G338" s="731"/>
      <c r="H338" s="731"/>
      <c r="I338" s="731"/>
      <c r="J338" s="731"/>
      <c r="K338" s="731"/>
      <c r="L338" s="731"/>
      <c r="M338" s="731"/>
      <c r="N338" s="731"/>
      <c r="O338" s="731"/>
      <c r="P338" s="731"/>
      <c r="Q338" s="731"/>
      <c r="R338" s="731"/>
      <c r="S338" s="731"/>
      <c r="T338" s="731"/>
      <c r="U338" s="731"/>
      <c r="V338" s="731"/>
      <c r="W338" s="731"/>
      <c r="X338" s="731"/>
      <c r="Y338" s="731"/>
      <c r="Z338" s="731"/>
      <c r="AA338" s="731"/>
      <c r="AB338" s="731"/>
      <c r="AC338" s="731"/>
      <c r="AD338" s="731"/>
    </row>
    <row r="339" spans="2:30">
      <c r="B339" s="54"/>
      <c r="C339" s="157"/>
      <c r="D339" s="157"/>
      <c r="E339" s="38"/>
      <c r="F339" s="38"/>
      <c r="G339" s="38"/>
      <c r="H339" s="38"/>
      <c r="I339" s="38"/>
      <c r="J339" s="38"/>
      <c r="K339" s="38"/>
      <c r="L339" s="38"/>
      <c r="M339" s="38"/>
      <c r="N339" s="38"/>
      <c r="O339" s="38"/>
      <c r="P339" s="38"/>
      <c r="Q339" s="38"/>
      <c r="R339" s="38"/>
      <c r="S339" s="38"/>
      <c r="T339" s="38"/>
      <c r="U339" s="38"/>
      <c r="V339" s="38"/>
      <c r="W339" s="38"/>
      <c r="X339" s="38"/>
      <c r="Y339" s="38"/>
      <c r="Z339" s="38"/>
      <c r="AA339" s="38"/>
      <c r="AB339" s="38"/>
      <c r="AC339" s="38"/>
      <c r="AD339" s="38"/>
    </row>
    <row r="340" spans="2:30">
      <c r="B340" s="45" t="s">
        <v>7155</v>
      </c>
      <c r="C340" s="157"/>
      <c r="D340" s="157"/>
      <c r="E340" s="38"/>
      <c r="F340" s="38"/>
      <c r="G340" s="38"/>
      <c r="H340" s="38"/>
      <c r="I340" s="38"/>
      <c r="J340" s="38"/>
      <c r="K340" s="38"/>
      <c r="L340" s="38"/>
      <c r="M340" s="38"/>
      <c r="N340" s="38"/>
      <c r="O340" s="38"/>
      <c r="P340" s="38"/>
      <c r="Q340" s="38"/>
      <c r="R340" s="38"/>
      <c r="S340" s="38"/>
      <c r="T340" s="38"/>
      <c r="U340" s="38"/>
      <c r="V340" s="38"/>
      <c r="W340" s="38"/>
      <c r="X340" s="38"/>
      <c r="Y340" s="38"/>
      <c r="Z340" s="38"/>
      <c r="AA340" s="38"/>
      <c r="AB340" s="38"/>
      <c r="AC340" s="38"/>
      <c r="AD340" s="38"/>
    </row>
    <row r="341" spans="2:30" ht="15" customHeight="1">
      <c r="B341" s="54"/>
      <c r="C341" s="731" t="s">
        <v>7156</v>
      </c>
      <c r="D341" s="731"/>
      <c r="E341" s="731"/>
      <c r="F341" s="731"/>
      <c r="G341" s="731"/>
      <c r="H341" s="731"/>
      <c r="I341" s="731"/>
      <c r="J341" s="731"/>
      <c r="K341" s="731"/>
      <c r="L341" s="731"/>
      <c r="M341" s="731"/>
      <c r="N341" s="731"/>
      <c r="O341" s="731"/>
      <c r="P341" s="731"/>
      <c r="Q341" s="731"/>
      <c r="R341" s="731"/>
      <c r="S341" s="731"/>
      <c r="T341" s="731"/>
      <c r="U341" s="731"/>
      <c r="V341" s="731"/>
      <c r="W341" s="731"/>
      <c r="X341" s="731"/>
      <c r="Y341" s="731"/>
      <c r="Z341" s="731"/>
      <c r="AA341" s="731"/>
      <c r="AB341" s="731"/>
      <c r="AC341" s="731"/>
      <c r="AD341" s="731"/>
    </row>
    <row r="342" spans="2:30">
      <c r="B342" s="54"/>
      <c r="C342" s="157"/>
      <c r="D342" s="157"/>
      <c r="E342" s="38"/>
      <c r="F342" s="38"/>
      <c r="G342" s="38"/>
      <c r="H342" s="38"/>
      <c r="I342" s="38"/>
      <c r="J342" s="38"/>
      <c r="K342" s="38"/>
      <c r="L342" s="38"/>
      <c r="M342" s="38"/>
      <c r="N342" s="38"/>
      <c r="O342" s="38"/>
      <c r="P342" s="38"/>
      <c r="Q342" s="38"/>
      <c r="R342" s="38"/>
      <c r="S342" s="38"/>
      <c r="T342" s="38"/>
      <c r="U342" s="38"/>
      <c r="V342" s="38"/>
      <c r="W342" s="38"/>
      <c r="X342" s="38"/>
      <c r="Y342" s="38"/>
      <c r="Z342" s="38"/>
      <c r="AA342" s="38"/>
      <c r="AB342" s="38"/>
      <c r="AC342" s="38"/>
      <c r="AD342" s="38"/>
    </row>
    <row r="343" spans="2:30">
      <c r="B343" s="45" t="s">
        <v>5535</v>
      </c>
      <c r="C343" s="157"/>
      <c r="D343" s="157"/>
      <c r="E343" s="38"/>
      <c r="F343" s="38"/>
      <c r="G343" s="38"/>
      <c r="H343" s="38"/>
      <c r="I343" s="38"/>
      <c r="J343" s="38"/>
      <c r="K343" s="38"/>
      <c r="L343" s="38"/>
      <c r="M343" s="38"/>
      <c r="N343" s="38"/>
      <c r="O343" s="38"/>
      <c r="P343" s="38"/>
      <c r="Q343" s="38"/>
      <c r="R343" s="38"/>
      <c r="S343" s="38"/>
      <c r="T343" s="38"/>
      <c r="U343" s="38"/>
      <c r="V343" s="38"/>
      <c r="W343" s="38"/>
      <c r="X343" s="38"/>
      <c r="Y343" s="38"/>
      <c r="Z343" s="38"/>
      <c r="AA343" s="38"/>
      <c r="AB343" s="38"/>
      <c r="AC343" s="38"/>
      <c r="AD343" s="38"/>
    </row>
    <row r="344" spans="2:30" ht="24" customHeight="1">
      <c r="B344" s="54"/>
      <c r="C344" s="731" t="s">
        <v>7157</v>
      </c>
      <c r="D344" s="731"/>
      <c r="E344" s="731"/>
      <c r="F344" s="731"/>
      <c r="G344" s="731"/>
      <c r="H344" s="731"/>
      <c r="I344" s="731"/>
      <c r="J344" s="731"/>
      <c r="K344" s="731"/>
      <c r="L344" s="731"/>
      <c r="M344" s="731"/>
      <c r="N344" s="731"/>
      <c r="O344" s="731"/>
      <c r="P344" s="731"/>
      <c r="Q344" s="731"/>
      <c r="R344" s="731"/>
      <c r="S344" s="731"/>
      <c r="T344" s="731"/>
      <c r="U344" s="731"/>
      <c r="V344" s="731"/>
      <c r="W344" s="731"/>
      <c r="X344" s="731"/>
      <c r="Y344" s="731"/>
      <c r="Z344" s="731"/>
      <c r="AA344" s="731"/>
      <c r="AB344" s="731"/>
      <c r="AC344" s="731"/>
      <c r="AD344" s="731"/>
    </row>
    <row r="345" spans="2:30">
      <c r="B345" s="16"/>
      <c r="C345" s="242"/>
      <c r="D345" s="242"/>
    </row>
    <row r="346" spans="2:30">
      <c r="B346" s="45" t="s">
        <v>7158</v>
      </c>
      <c r="C346" s="157"/>
      <c r="D346" s="157"/>
      <c r="E346" s="38"/>
      <c r="F346" s="38"/>
      <c r="G346" s="38"/>
      <c r="H346" s="38"/>
      <c r="I346" s="38"/>
      <c r="J346" s="38"/>
      <c r="K346" s="38"/>
      <c r="L346" s="38"/>
      <c r="M346" s="38"/>
      <c r="N346" s="38"/>
      <c r="O346" s="38"/>
      <c r="P346" s="38"/>
      <c r="Q346" s="38"/>
      <c r="R346" s="38"/>
      <c r="S346" s="38"/>
      <c r="T346" s="38"/>
      <c r="U346" s="38"/>
      <c r="V346" s="38"/>
      <c r="W346" s="38"/>
      <c r="X346" s="38"/>
      <c r="Y346" s="38"/>
      <c r="Z346" s="38"/>
      <c r="AA346" s="38"/>
      <c r="AB346" s="38"/>
      <c r="AC346" s="38"/>
      <c r="AD346" s="38"/>
    </row>
    <row r="347" spans="2:30" ht="36" customHeight="1">
      <c r="B347" s="54"/>
      <c r="C347" s="731" t="s">
        <v>7159</v>
      </c>
      <c r="D347" s="731"/>
      <c r="E347" s="731"/>
      <c r="F347" s="731"/>
      <c r="G347" s="731"/>
      <c r="H347" s="731"/>
      <c r="I347" s="731"/>
      <c r="J347" s="731"/>
      <c r="K347" s="731"/>
      <c r="L347" s="731"/>
      <c r="M347" s="731"/>
      <c r="N347" s="731"/>
      <c r="O347" s="731"/>
      <c r="P347" s="731"/>
      <c r="Q347" s="731"/>
      <c r="R347" s="731"/>
      <c r="S347" s="731"/>
      <c r="T347" s="731"/>
      <c r="U347" s="731"/>
      <c r="V347" s="731"/>
      <c r="W347" s="731"/>
      <c r="X347" s="731"/>
      <c r="Y347" s="731"/>
      <c r="Z347" s="731"/>
      <c r="AA347" s="731"/>
      <c r="AB347" s="731"/>
      <c r="AC347" s="731"/>
      <c r="AD347" s="731"/>
    </row>
    <row r="348" spans="2:30">
      <c r="B348" s="16"/>
      <c r="C348" s="242"/>
      <c r="D348" s="242"/>
    </row>
    <row r="349" spans="2:30">
      <c r="B349" s="45" t="s">
        <v>7160</v>
      </c>
      <c r="C349" s="157"/>
      <c r="D349" s="157"/>
      <c r="E349" s="38"/>
      <c r="F349" s="38"/>
      <c r="G349" s="38"/>
      <c r="H349" s="38"/>
      <c r="I349" s="38"/>
      <c r="J349" s="38"/>
      <c r="K349" s="38"/>
      <c r="L349" s="38"/>
      <c r="M349" s="38"/>
      <c r="N349" s="38"/>
      <c r="O349" s="38"/>
      <c r="P349" s="38"/>
      <c r="Q349" s="38"/>
      <c r="R349" s="38"/>
      <c r="S349" s="38"/>
      <c r="T349" s="38"/>
      <c r="U349" s="38"/>
      <c r="V349" s="38"/>
      <c r="W349" s="38"/>
      <c r="X349" s="38"/>
      <c r="Y349" s="38"/>
      <c r="Z349" s="38"/>
      <c r="AA349" s="38"/>
      <c r="AB349" s="38"/>
      <c r="AC349" s="38"/>
      <c r="AD349" s="38"/>
    </row>
    <row r="350" spans="2:30" ht="36" customHeight="1">
      <c r="B350" s="54"/>
      <c r="C350" s="731" t="s">
        <v>7161</v>
      </c>
      <c r="D350" s="731"/>
      <c r="E350" s="731"/>
      <c r="F350" s="731"/>
      <c r="G350" s="731"/>
      <c r="H350" s="731"/>
      <c r="I350" s="731"/>
      <c r="J350" s="731"/>
      <c r="K350" s="731"/>
      <c r="L350" s="731"/>
      <c r="M350" s="731"/>
      <c r="N350" s="731"/>
      <c r="O350" s="731"/>
      <c r="P350" s="731"/>
      <c r="Q350" s="731"/>
      <c r="R350" s="731"/>
      <c r="S350" s="731"/>
      <c r="T350" s="731"/>
      <c r="U350" s="731"/>
      <c r="V350" s="731"/>
      <c r="W350" s="731"/>
      <c r="X350" s="731"/>
      <c r="Y350" s="731"/>
      <c r="Z350" s="731"/>
      <c r="AA350" s="731"/>
      <c r="AB350" s="731"/>
      <c r="AC350" s="731"/>
      <c r="AD350" s="731"/>
    </row>
    <row r="351" spans="2:30">
      <c r="B351" s="16"/>
      <c r="C351" s="242"/>
      <c r="D351" s="242"/>
    </row>
    <row r="352" spans="2:30">
      <c r="B352" s="45" t="s">
        <v>7162</v>
      </c>
      <c r="C352" s="157"/>
      <c r="D352" s="157"/>
      <c r="E352" s="38"/>
      <c r="F352" s="38"/>
      <c r="G352" s="38"/>
      <c r="H352" s="38"/>
      <c r="I352" s="38"/>
      <c r="J352" s="38"/>
      <c r="K352" s="38"/>
      <c r="L352" s="38"/>
      <c r="M352" s="38"/>
      <c r="N352" s="38"/>
      <c r="O352" s="38"/>
      <c r="P352" s="38"/>
      <c r="Q352" s="38"/>
      <c r="R352" s="38"/>
      <c r="S352" s="38"/>
      <c r="T352" s="38"/>
      <c r="U352" s="38"/>
      <c r="V352" s="38"/>
      <c r="W352" s="38"/>
      <c r="X352" s="38"/>
      <c r="Y352" s="38"/>
      <c r="Z352" s="38"/>
      <c r="AA352" s="38"/>
      <c r="AB352" s="38"/>
      <c r="AC352" s="38"/>
      <c r="AD352" s="38"/>
    </row>
    <row r="353" spans="2:30" ht="24" customHeight="1">
      <c r="B353" s="54"/>
      <c r="C353" s="731" t="s">
        <v>7163</v>
      </c>
      <c r="D353" s="731"/>
      <c r="E353" s="731"/>
      <c r="F353" s="731"/>
      <c r="G353" s="731"/>
      <c r="H353" s="731"/>
      <c r="I353" s="731"/>
      <c r="J353" s="731"/>
      <c r="K353" s="731"/>
      <c r="L353" s="731"/>
      <c r="M353" s="731"/>
      <c r="N353" s="731"/>
      <c r="O353" s="731"/>
      <c r="P353" s="731"/>
      <c r="Q353" s="731"/>
      <c r="R353" s="731"/>
      <c r="S353" s="731"/>
      <c r="T353" s="731"/>
      <c r="U353" s="731"/>
      <c r="V353" s="731"/>
      <c r="W353" s="731"/>
      <c r="X353" s="731"/>
      <c r="Y353" s="731"/>
      <c r="Z353" s="731"/>
      <c r="AA353" s="731"/>
      <c r="AB353" s="731"/>
      <c r="AC353" s="731"/>
      <c r="AD353" s="731"/>
    </row>
    <row r="354" spans="2:30">
      <c r="B354" s="16"/>
      <c r="C354" s="242"/>
      <c r="D354" s="242"/>
    </row>
    <row r="355" spans="2:30">
      <c r="B355" s="45" t="s">
        <v>7164</v>
      </c>
      <c r="C355" s="157"/>
      <c r="D355" s="157"/>
      <c r="E355" s="38"/>
      <c r="F355" s="38"/>
      <c r="G355" s="38"/>
      <c r="H355" s="38"/>
      <c r="I355" s="38"/>
      <c r="J355" s="38"/>
      <c r="K355" s="38"/>
      <c r="L355" s="38"/>
      <c r="M355" s="38"/>
      <c r="N355" s="38"/>
      <c r="O355" s="38"/>
      <c r="P355" s="38"/>
      <c r="Q355" s="38"/>
      <c r="R355" s="38"/>
      <c r="S355" s="38"/>
      <c r="T355" s="38"/>
      <c r="U355" s="38"/>
      <c r="V355" s="38"/>
      <c r="W355" s="38"/>
      <c r="X355" s="38"/>
      <c r="Y355" s="38"/>
      <c r="Z355" s="38"/>
      <c r="AA355" s="38"/>
      <c r="AB355" s="38"/>
      <c r="AC355" s="38"/>
      <c r="AD355" s="38"/>
    </row>
    <row r="356" spans="2:30" ht="36" customHeight="1">
      <c r="B356" s="54"/>
      <c r="C356" s="731" t="s">
        <v>7165</v>
      </c>
      <c r="D356" s="731"/>
      <c r="E356" s="731"/>
      <c r="F356" s="731"/>
      <c r="G356" s="731"/>
      <c r="H356" s="731"/>
      <c r="I356" s="731"/>
      <c r="J356" s="731"/>
      <c r="K356" s="731"/>
      <c r="L356" s="731"/>
      <c r="M356" s="731"/>
      <c r="N356" s="731"/>
      <c r="O356" s="731"/>
      <c r="P356" s="731"/>
      <c r="Q356" s="731"/>
      <c r="R356" s="731"/>
      <c r="S356" s="731"/>
      <c r="T356" s="731"/>
      <c r="U356" s="731"/>
      <c r="V356" s="731"/>
      <c r="W356" s="731"/>
      <c r="X356" s="731"/>
      <c r="Y356" s="731"/>
      <c r="Z356" s="731"/>
      <c r="AA356" s="731"/>
      <c r="AB356" s="731"/>
      <c r="AC356" s="731"/>
      <c r="AD356" s="731"/>
    </row>
    <row r="357" spans="2:30">
      <c r="B357" s="16"/>
      <c r="C357" s="242"/>
      <c r="D357" s="242"/>
    </row>
    <row r="358" spans="2:30" ht="24" customHeight="1">
      <c r="B358" s="16"/>
      <c r="C358" s="242"/>
      <c r="D358" s="1012" t="s">
        <v>7166</v>
      </c>
      <c r="E358" s="1012"/>
      <c r="F358" s="1012"/>
      <c r="G358" s="1012"/>
      <c r="H358" s="1012"/>
      <c r="I358" s="1012"/>
      <c r="J358" s="1012"/>
      <c r="K358" s="1012"/>
      <c r="L358" s="1012"/>
      <c r="M358" s="1012"/>
      <c r="N358" s="1012"/>
      <c r="O358" s="1012"/>
      <c r="P358" s="1012"/>
      <c r="Q358" s="1012"/>
      <c r="R358" s="1012"/>
      <c r="S358" s="1012"/>
      <c r="T358" s="1012"/>
      <c r="U358" s="1012"/>
      <c r="V358" s="1012"/>
      <c r="W358" s="1012"/>
      <c r="X358" s="1012"/>
      <c r="Y358" s="1012"/>
      <c r="Z358" s="1012"/>
      <c r="AA358" s="1012"/>
      <c r="AB358" s="1012"/>
      <c r="AC358" s="1012"/>
      <c r="AD358" s="1012"/>
    </row>
    <row r="359" spans="2:30">
      <c r="B359" s="16"/>
      <c r="C359" s="242"/>
      <c r="D359" s="242"/>
    </row>
    <row r="360" spans="2:30" ht="24" customHeight="1">
      <c r="B360" s="16"/>
      <c r="C360" s="242"/>
      <c r="D360" s="1012" t="s">
        <v>7167</v>
      </c>
      <c r="E360" s="1012"/>
      <c r="F360" s="1012"/>
      <c r="G360" s="1012"/>
      <c r="H360" s="1012"/>
      <c r="I360" s="1012"/>
      <c r="J360" s="1012"/>
      <c r="K360" s="1012"/>
      <c r="L360" s="1012"/>
      <c r="M360" s="1012"/>
      <c r="N360" s="1012"/>
      <c r="O360" s="1012"/>
      <c r="P360" s="1012"/>
      <c r="Q360" s="1012"/>
      <c r="R360" s="1012"/>
      <c r="S360" s="1012"/>
      <c r="T360" s="1012"/>
      <c r="U360" s="1012"/>
      <c r="V360" s="1012"/>
      <c r="W360" s="1012"/>
      <c r="X360" s="1012"/>
      <c r="Y360" s="1012"/>
      <c r="Z360" s="1012"/>
      <c r="AA360" s="1012"/>
      <c r="AB360" s="1012"/>
      <c r="AC360" s="1012"/>
      <c r="AD360" s="1012"/>
    </row>
    <row r="361" spans="2:30">
      <c r="B361" s="16"/>
      <c r="C361" s="242"/>
      <c r="D361" s="242"/>
    </row>
    <row r="362" spans="2:30" ht="48" customHeight="1">
      <c r="B362" s="16"/>
      <c r="C362" s="242"/>
      <c r="D362" s="1012" t="s">
        <v>7168</v>
      </c>
      <c r="E362" s="1012"/>
      <c r="F362" s="1012"/>
      <c r="G362" s="1012"/>
      <c r="H362" s="1012"/>
      <c r="I362" s="1012"/>
      <c r="J362" s="1012"/>
      <c r="K362" s="1012"/>
      <c r="L362" s="1012"/>
      <c r="M362" s="1012"/>
      <c r="N362" s="1012"/>
      <c r="O362" s="1012"/>
      <c r="P362" s="1012"/>
      <c r="Q362" s="1012"/>
      <c r="R362" s="1012"/>
      <c r="S362" s="1012"/>
      <c r="T362" s="1012"/>
      <c r="U362" s="1012"/>
      <c r="V362" s="1012"/>
      <c r="W362" s="1012"/>
      <c r="X362" s="1012"/>
      <c r="Y362" s="1012"/>
      <c r="Z362" s="1012"/>
      <c r="AA362" s="1012"/>
      <c r="AB362" s="1012"/>
      <c r="AC362" s="1012"/>
      <c r="AD362" s="1012"/>
    </row>
    <row r="363" spans="2:30" ht="15" customHeight="1">
      <c r="B363" s="16"/>
      <c r="C363" s="242"/>
      <c r="D363" s="242"/>
    </row>
    <row r="364" spans="2:30">
      <c r="B364" s="45" t="s">
        <v>7169</v>
      </c>
      <c r="C364" s="157"/>
      <c r="D364" s="157"/>
      <c r="E364" s="38"/>
      <c r="F364" s="38"/>
      <c r="G364" s="38"/>
      <c r="H364" s="38"/>
      <c r="I364" s="38"/>
      <c r="J364" s="38"/>
      <c r="K364" s="38"/>
      <c r="L364" s="38"/>
      <c r="M364" s="38"/>
      <c r="N364" s="38"/>
      <c r="O364" s="38"/>
      <c r="P364" s="38"/>
      <c r="Q364" s="38"/>
      <c r="R364" s="38"/>
      <c r="S364" s="38"/>
      <c r="T364" s="38"/>
      <c r="U364" s="38"/>
      <c r="V364" s="38"/>
      <c r="W364" s="38"/>
      <c r="X364" s="38"/>
      <c r="Y364" s="38"/>
      <c r="Z364" s="38"/>
      <c r="AA364" s="38"/>
      <c r="AB364" s="38"/>
      <c r="AC364" s="38"/>
      <c r="AD364" s="38"/>
    </row>
    <row r="365" spans="2:30" ht="48" customHeight="1">
      <c r="B365" s="54"/>
      <c r="C365" s="731" t="s">
        <v>7170</v>
      </c>
      <c r="D365" s="731"/>
      <c r="E365" s="731"/>
      <c r="F365" s="731"/>
      <c r="G365" s="731"/>
      <c r="H365" s="731"/>
      <c r="I365" s="731"/>
      <c r="J365" s="731"/>
      <c r="K365" s="731"/>
      <c r="L365" s="731"/>
      <c r="M365" s="731"/>
      <c r="N365" s="731"/>
      <c r="O365" s="731"/>
      <c r="P365" s="731"/>
      <c r="Q365" s="731"/>
      <c r="R365" s="731"/>
      <c r="S365" s="731"/>
      <c r="T365" s="731"/>
      <c r="U365" s="731"/>
      <c r="V365" s="731"/>
      <c r="W365" s="731"/>
      <c r="X365" s="731"/>
      <c r="Y365" s="731"/>
      <c r="Z365" s="731"/>
      <c r="AA365" s="731"/>
      <c r="AB365" s="731"/>
      <c r="AC365" s="731"/>
      <c r="AD365" s="731"/>
    </row>
    <row r="366" spans="2:30" ht="15" customHeight="1"/>
    <row r="367" spans="2:30" ht="15" customHeight="1"/>
    <row r="368" spans="2:30" ht="15" customHeight="1"/>
    <row r="369" ht="15" customHeight="1"/>
    <row r="370" ht="15" customHeight="1"/>
    <row r="371" ht="15" customHeight="1"/>
  </sheetData>
  <sheetProtection algorithmName="SHA-512" hashValue="2kgBci4GNXIqbtEEES3kCfdthzCp1k9d3bnIv3LY087rY6oPs0ExC5HfVY+7xR5+lky05suz2JziBUtUuovk9A==" saltValue="w5VHN/E+mtWh37N6DkC4Jg==" spinCount="100000" sheet="1" objects="1" scenarios="1"/>
  <mergeCells count="138">
    <mergeCell ref="C353:AD353"/>
    <mergeCell ref="C356:AD356"/>
    <mergeCell ref="D358:AD358"/>
    <mergeCell ref="D360:AD360"/>
    <mergeCell ref="D362:AD362"/>
    <mergeCell ref="C365:AD365"/>
    <mergeCell ref="C335:AD335"/>
    <mergeCell ref="C338:AD338"/>
    <mergeCell ref="C341:AD341"/>
    <mergeCell ref="C344:AD344"/>
    <mergeCell ref="C347:AD347"/>
    <mergeCell ref="C350:AD350"/>
    <mergeCell ref="C317:AD317"/>
    <mergeCell ref="C320:AD320"/>
    <mergeCell ref="C323:AD323"/>
    <mergeCell ref="C326:AD326"/>
    <mergeCell ref="C329:AD329"/>
    <mergeCell ref="C332:AD332"/>
    <mergeCell ref="C299:AD299"/>
    <mergeCell ref="C302:AD302"/>
    <mergeCell ref="C305:AD305"/>
    <mergeCell ref="C308:AD308"/>
    <mergeCell ref="C311:AD311"/>
    <mergeCell ref="C314:AD314"/>
    <mergeCell ref="C281:AD281"/>
    <mergeCell ref="C284:AD284"/>
    <mergeCell ref="C287:AD287"/>
    <mergeCell ref="C290:AD290"/>
    <mergeCell ref="C293:AD293"/>
    <mergeCell ref="C296:AD296"/>
    <mergeCell ref="D267:AD267"/>
    <mergeCell ref="D269:AD269"/>
    <mergeCell ref="D271:AD271"/>
    <mergeCell ref="D273:AD273"/>
    <mergeCell ref="D275:AD275"/>
    <mergeCell ref="C278:AD278"/>
    <mergeCell ref="C250:AD250"/>
    <mergeCell ref="C253:AD253"/>
    <mergeCell ref="C256:AD256"/>
    <mergeCell ref="C259:AD259"/>
    <mergeCell ref="C262:AD262"/>
    <mergeCell ref="C265:AD265"/>
    <mergeCell ref="D232:AD232"/>
    <mergeCell ref="C235:AD235"/>
    <mergeCell ref="C238:AD238"/>
    <mergeCell ref="C241:AD241"/>
    <mergeCell ref="C244:AD244"/>
    <mergeCell ref="C247:AD247"/>
    <mergeCell ref="D220:AD220"/>
    <mergeCell ref="D222:AD222"/>
    <mergeCell ref="D224:AD224"/>
    <mergeCell ref="D226:AD226"/>
    <mergeCell ref="D228:AD228"/>
    <mergeCell ref="D230:AD230"/>
    <mergeCell ref="C208:AD208"/>
    <mergeCell ref="D210:AD210"/>
    <mergeCell ref="D212:AD212"/>
    <mergeCell ref="D214:AD214"/>
    <mergeCell ref="D216:AD216"/>
    <mergeCell ref="D218:AD218"/>
    <mergeCell ref="C190:AD190"/>
    <mergeCell ref="C193:AD193"/>
    <mergeCell ref="C196:AD196"/>
    <mergeCell ref="C199:AD199"/>
    <mergeCell ref="C202:AD202"/>
    <mergeCell ref="C205:AD205"/>
    <mergeCell ref="C172:AD172"/>
    <mergeCell ref="C175:AD175"/>
    <mergeCell ref="C178:AD178"/>
    <mergeCell ref="C181:AD181"/>
    <mergeCell ref="C184:AD184"/>
    <mergeCell ref="C187:AD187"/>
    <mergeCell ref="D157:AD157"/>
    <mergeCell ref="D159:AD159"/>
    <mergeCell ref="D161:AD161"/>
    <mergeCell ref="D163:AD163"/>
    <mergeCell ref="C166:AD166"/>
    <mergeCell ref="C169:AD169"/>
    <mergeCell ref="C140:AD140"/>
    <mergeCell ref="C143:AD143"/>
    <mergeCell ref="C146:AD146"/>
    <mergeCell ref="C149:AD149"/>
    <mergeCell ref="C152:AD152"/>
    <mergeCell ref="C155:AD155"/>
    <mergeCell ref="C122:AD122"/>
    <mergeCell ref="C125:AD125"/>
    <mergeCell ref="C128:AD128"/>
    <mergeCell ref="C131:AD131"/>
    <mergeCell ref="C134:AD134"/>
    <mergeCell ref="C137:AD137"/>
    <mergeCell ref="C104:AD104"/>
    <mergeCell ref="C107:AD107"/>
    <mergeCell ref="C110:AD110"/>
    <mergeCell ref="C113:AD113"/>
    <mergeCell ref="C116:AD116"/>
    <mergeCell ref="C119:AD119"/>
    <mergeCell ref="C86:AD86"/>
    <mergeCell ref="C89:AD89"/>
    <mergeCell ref="C92:AD92"/>
    <mergeCell ref="C95:AD95"/>
    <mergeCell ref="C98:AD98"/>
    <mergeCell ref="C101:AD101"/>
    <mergeCell ref="D68:AD68"/>
    <mergeCell ref="C71:AD71"/>
    <mergeCell ref="C74:AD74"/>
    <mergeCell ref="C77:AD77"/>
    <mergeCell ref="C80:AD80"/>
    <mergeCell ref="C83:AD83"/>
    <mergeCell ref="D56:AD56"/>
    <mergeCell ref="D58:AD58"/>
    <mergeCell ref="D60:AD60"/>
    <mergeCell ref="D62:AD62"/>
    <mergeCell ref="D64:AD64"/>
    <mergeCell ref="D66:AD66"/>
    <mergeCell ref="C41:AD41"/>
    <mergeCell ref="C44:AD44"/>
    <mergeCell ref="C47:AD47"/>
    <mergeCell ref="C50:AD50"/>
    <mergeCell ref="D52:AD52"/>
    <mergeCell ref="D54:AD54"/>
    <mergeCell ref="C32:AD32"/>
    <mergeCell ref="C35:AD35"/>
    <mergeCell ref="C38:AD38"/>
    <mergeCell ref="C11:AD11"/>
    <mergeCell ref="D13:AD13"/>
    <mergeCell ref="D15:AD15"/>
    <mergeCell ref="D17:AD17"/>
    <mergeCell ref="C20:AD20"/>
    <mergeCell ref="D22:AD22"/>
    <mergeCell ref="B1:AD1"/>
    <mergeCell ref="B3:AD3"/>
    <mergeCell ref="B5:AD5"/>
    <mergeCell ref="AA7:AD7"/>
    <mergeCell ref="B8:L8"/>
    <mergeCell ref="N8:O8"/>
    <mergeCell ref="D24:AD24"/>
    <mergeCell ref="D26:AD26"/>
    <mergeCell ref="C29:AD29"/>
  </mergeCells>
  <hyperlinks>
    <hyperlink ref="AA7:AD7" location="Índice!B53" display="Índice" xr:uid="{586F215C-02B9-4A80-86FC-399135A3292E}"/>
  </hyperlinks>
  <printOptions horizontalCentered="1"/>
  <pageMargins left="0.70866141732283472" right="0.70866141732283472" top="0.74803149606299213" bottom="0.74803149606299213" header="0.31496062992125984" footer="0.31496062992125984"/>
  <pageSetup scale="75" orientation="portrait" r:id="rId1"/>
  <headerFooter>
    <oddHeader>&amp;CMódulo 2
Glosario</oddHeader>
    <oddFooter>&amp;LCenso Nacional de Sistemas Penitenciarios Estatales 2024&amp;R&amp;P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9604A-58EF-4FAC-A358-810387B0F821}">
  <sheetPr codeName="Hoja3"/>
  <dimension ref="A1:AE56"/>
  <sheetViews>
    <sheetView showGridLines="0" zoomScaleNormal="100" workbookViewId="0"/>
  </sheetViews>
  <sheetFormatPr baseColWidth="10" defaultColWidth="0" defaultRowHeight="15" customHeight="1" zeroHeight="1"/>
  <cols>
    <col min="1" max="1" width="5.7109375" style="3" customWidth="1"/>
    <col min="2" max="30" width="3.7109375" style="3" customWidth="1"/>
    <col min="31" max="31" width="5.7109375" style="3" customWidth="1"/>
    <col min="32" max="16384" width="11.42578125" style="3" hidden="1"/>
  </cols>
  <sheetData>
    <row r="1" spans="2:30" ht="173.25" customHeight="1">
      <c r="B1" s="718" t="s">
        <v>0</v>
      </c>
      <c r="C1" s="719"/>
      <c r="D1" s="719"/>
      <c r="E1" s="719"/>
      <c r="F1" s="719"/>
      <c r="G1" s="719"/>
      <c r="H1" s="719"/>
      <c r="I1" s="719"/>
      <c r="J1" s="719"/>
      <c r="K1" s="719"/>
      <c r="L1" s="719"/>
      <c r="M1" s="719"/>
      <c r="N1" s="719"/>
      <c r="O1" s="719"/>
      <c r="P1" s="719"/>
      <c r="Q1" s="719"/>
      <c r="R1" s="719"/>
      <c r="S1" s="719"/>
      <c r="T1" s="719"/>
      <c r="U1" s="719"/>
      <c r="V1" s="719"/>
      <c r="W1" s="719"/>
      <c r="X1" s="719"/>
      <c r="Y1" s="719"/>
      <c r="Z1" s="719"/>
      <c r="AA1" s="719"/>
      <c r="AB1" s="719"/>
      <c r="AC1" s="719"/>
      <c r="AD1" s="719"/>
    </row>
    <row r="2" spans="2:30"/>
    <row r="3" spans="2:30" ht="45" customHeight="1">
      <c r="B3" s="720" t="s">
        <v>1</v>
      </c>
      <c r="C3" s="721"/>
      <c r="D3" s="721"/>
      <c r="E3" s="721"/>
      <c r="F3" s="721"/>
      <c r="G3" s="721"/>
      <c r="H3" s="721"/>
      <c r="I3" s="721"/>
      <c r="J3" s="721"/>
      <c r="K3" s="721"/>
      <c r="L3" s="721"/>
      <c r="M3" s="721"/>
      <c r="N3" s="721"/>
      <c r="O3" s="721"/>
      <c r="P3" s="721"/>
      <c r="Q3" s="721"/>
      <c r="R3" s="721"/>
      <c r="S3" s="721"/>
      <c r="T3" s="721"/>
      <c r="U3" s="721"/>
      <c r="V3" s="721"/>
      <c r="W3" s="721"/>
      <c r="X3" s="721"/>
      <c r="Y3" s="721"/>
      <c r="Z3" s="721"/>
      <c r="AA3" s="721"/>
      <c r="AB3" s="721"/>
      <c r="AC3" s="721"/>
      <c r="AD3" s="721"/>
    </row>
    <row r="4" spans="2:30"/>
    <row r="5" spans="2:30" ht="60" customHeight="1">
      <c r="B5" s="720" t="s">
        <v>2455</v>
      </c>
      <c r="C5" s="721"/>
      <c r="D5" s="721"/>
      <c r="E5" s="721"/>
      <c r="F5" s="721"/>
      <c r="G5" s="721"/>
      <c r="H5" s="721"/>
      <c r="I5" s="721"/>
      <c r="J5" s="721"/>
      <c r="K5" s="721"/>
      <c r="L5" s="721"/>
      <c r="M5" s="721"/>
      <c r="N5" s="721"/>
      <c r="O5" s="721"/>
      <c r="P5" s="721"/>
      <c r="Q5" s="721"/>
      <c r="R5" s="721"/>
      <c r="S5" s="721"/>
      <c r="T5" s="721"/>
      <c r="U5" s="721"/>
      <c r="V5" s="721"/>
      <c r="W5" s="721"/>
      <c r="X5" s="721"/>
      <c r="Y5" s="721"/>
      <c r="Z5" s="721"/>
      <c r="AA5" s="721"/>
      <c r="AB5" s="721"/>
      <c r="AC5" s="721"/>
      <c r="AD5" s="721"/>
    </row>
    <row r="6" spans="2:30" ht="15" customHeight="1">
      <c r="B6" s="21"/>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row>
    <row r="7" spans="2:30" ht="15" customHeight="1" thickBot="1">
      <c r="B7" s="23" t="s">
        <v>3</v>
      </c>
      <c r="N7" s="23" t="s">
        <v>4</v>
      </c>
      <c r="AA7" s="742" t="s">
        <v>2</v>
      </c>
      <c r="AB7" s="742"/>
      <c r="AC7" s="742"/>
      <c r="AD7" s="742"/>
    </row>
    <row r="8" spans="2:30" ht="15" customHeight="1" thickBot="1">
      <c r="B8" s="722" t="str">
        <f>IF(Presentación!B8="","",Presentación!B8)</f>
        <v>Puebla</v>
      </c>
      <c r="C8" s="723"/>
      <c r="D8" s="723"/>
      <c r="E8" s="723"/>
      <c r="F8" s="723"/>
      <c r="G8" s="723"/>
      <c r="H8" s="723"/>
      <c r="I8" s="723"/>
      <c r="J8" s="723"/>
      <c r="K8" s="723"/>
      <c r="L8" s="724"/>
      <c r="M8" s="25"/>
      <c r="N8" s="722">
        <f>IF(Presentación!N8="","",Presentación!N8)</f>
        <v>221</v>
      </c>
      <c r="O8" s="724"/>
    </row>
    <row r="9" spans="2:30" ht="15" customHeight="1" thickBot="1">
      <c r="B9" s="36"/>
      <c r="C9" s="36"/>
      <c r="D9" s="36"/>
      <c r="E9" s="36"/>
      <c r="F9" s="36"/>
      <c r="G9" s="36"/>
      <c r="H9" s="36"/>
      <c r="I9" s="36"/>
      <c r="J9" s="36"/>
      <c r="K9" s="36"/>
      <c r="L9" s="36"/>
      <c r="N9" s="70"/>
    </row>
    <row r="10" spans="2:30" ht="15" customHeight="1" thickBot="1">
      <c r="B10" s="743" t="s">
        <v>2456</v>
      </c>
      <c r="C10" s="744"/>
      <c r="D10" s="744"/>
      <c r="E10" s="744"/>
      <c r="F10" s="744"/>
      <c r="G10" s="744"/>
      <c r="H10" s="744"/>
      <c r="I10" s="744"/>
      <c r="J10" s="744"/>
      <c r="K10" s="744"/>
      <c r="L10" s="744"/>
      <c r="M10" s="744"/>
      <c r="N10" s="744"/>
      <c r="O10" s="744"/>
      <c r="P10" s="744"/>
      <c r="Q10" s="744"/>
      <c r="R10" s="745"/>
      <c r="S10" s="57"/>
      <c r="T10" s="743" t="s">
        <v>2457</v>
      </c>
      <c r="U10" s="744"/>
      <c r="V10" s="744"/>
      <c r="W10" s="744"/>
      <c r="X10" s="744"/>
      <c r="Y10" s="744"/>
      <c r="Z10" s="744"/>
      <c r="AA10" s="744"/>
      <c r="AB10" s="744"/>
      <c r="AC10" s="744"/>
      <c r="AD10" s="745"/>
    </row>
    <row r="11" spans="2:30" ht="48" customHeight="1" thickBot="1">
      <c r="B11" s="55"/>
      <c r="C11" s="746" t="s">
        <v>2458</v>
      </c>
      <c r="D11" s="746"/>
      <c r="E11" s="746"/>
      <c r="F11" s="746"/>
      <c r="G11" s="746"/>
      <c r="H11" s="746"/>
      <c r="I11" s="746"/>
      <c r="J11" s="746"/>
      <c r="K11" s="746"/>
      <c r="L11" s="746"/>
      <c r="M11" s="746"/>
      <c r="N11" s="746"/>
      <c r="O11" s="746"/>
      <c r="P11" s="746"/>
      <c r="Q11" s="746"/>
      <c r="R11" s="56"/>
      <c r="S11" s="57"/>
      <c r="T11" s="747" t="s">
        <v>2459</v>
      </c>
      <c r="U11" s="746"/>
      <c r="V11" s="746"/>
      <c r="W11" s="746"/>
      <c r="X11" s="746"/>
      <c r="Y11" s="746"/>
      <c r="Z11" s="746"/>
      <c r="AA11" s="746"/>
      <c r="AB11" s="746"/>
      <c r="AC11" s="746"/>
      <c r="AD11" s="748"/>
    </row>
    <row r="12" spans="2:30" ht="15" customHeight="1">
      <c r="B12" s="58"/>
      <c r="C12" s="59"/>
      <c r="D12" s="59"/>
      <c r="E12" s="59"/>
      <c r="F12" s="59"/>
      <c r="G12" s="59"/>
      <c r="H12" s="59"/>
      <c r="I12" s="59"/>
      <c r="J12" s="59"/>
      <c r="K12" s="59"/>
      <c r="L12" s="59"/>
      <c r="M12" s="59"/>
      <c r="N12" s="59"/>
      <c r="O12" s="59"/>
      <c r="P12" s="59"/>
      <c r="Q12" s="59"/>
      <c r="R12" s="60"/>
      <c r="S12" s="57"/>
      <c r="T12" s="61"/>
      <c r="U12" s="57"/>
      <c r="V12" s="57"/>
      <c r="AB12" s="57"/>
      <c r="AC12" s="57"/>
      <c r="AD12" s="62"/>
    </row>
    <row r="13" spans="2:30" ht="15" customHeight="1">
      <c r="B13" s="61"/>
      <c r="C13" s="54" t="s">
        <v>2460</v>
      </c>
      <c r="D13" s="38"/>
      <c r="E13" s="38"/>
      <c r="F13" s="38"/>
      <c r="G13" s="38"/>
      <c r="H13" s="51"/>
      <c r="I13" s="51"/>
      <c r="J13" s="51"/>
      <c r="K13" s="51"/>
      <c r="L13" s="51"/>
      <c r="M13" s="737"/>
      <c r="N13" s="737"/>
      <c r="O13" s="737"/>
      <c r="P13" s="737"/>
      <c r="Q13" s="737"/>
      <c r="R13" s="62"/>
      <c r="S13" s="57"/>
      <c r="T13" s="61"/>
      <c r="U13" s="733" t="s">
        <v>2461</v>
      </c>
      <c r="V13" s="734"/>
      <c r="W13" s="734"/>
      <c r="X13" s="734"/>
      <c r="Y13" s="734"/>
      <c r="Z13" s="734"/>
      <c r="AA13" s="734"/>
      <c r="AB13" s="734"/>
      <c r="AC13" s="735"/>
      <c r="AD13" s="62"/>
    </row>
    <row r="14" spans="2:30" ht="15" customHeight="1">
      <c r="B14" s="61"/>
      <c r="C14" s="54" t="s">
        <v>2462</v>
      </c>
      <c r="D14" s="38"/>
      <c r="E14" s="38"/>
      <c r="F14" s="737"/>
      <c r="G14" s="737"/>
      <c r="H14" s="737"/>
      <c r="I14" s="737"/>
      <c r="J14" s="737"/>
      <c r="K14" s="737"/>
      <c r="L14" s="737"/>
      <c r="M14" s="737"/>
      <c r="N14" s="737"/>
      <c r="O14" s="737"/>
      <c r="P14" s="737"/>
      <c r="Q14" s="737"/>
      <c r="R14" s="62"/>
      <c r="S14" s="57"/>
      <c r="T14" s="61"/>
      <c r="U14" s="749"/>
      <c r="V14" s="749"/>
      <c r="W14" s="749"/>
      <c r="X14" s="749"/>
      <c r="Y14" s="749"/>
      <c r="Z14" s="749"/>
      <c r="AA14" s="749"/>
      <c r="AB14" s="749"/>
      <c r="AC14" s="749"/>
      <c r="AD14" s="62"/>
    </row>
    <row r="15" spans="2:30" ht="15" customHeight="1">
      <c r="B15" s="61"/>
      <c r="C15" s="54" t="s">
        <v>2463</v>
      </c>
      <c r="D15" s="38"/>
      <c r="E15" s="38"/>
      <c r="F15" s="38"/>
      <c r="G15" s="738"/>
      <c r="H15" s="738"/>
      <c r="I15" s="738"/>
      <c r="J15" s="738"/>
      <c r="K15" s="738"/>
      <c r="L15" s="738"/>
      <c r="M15" s="738"/>
      <c r="N15" s="738"/>
      <c r="O15" s="738"/>
      <c r="P15" s="738"/>
      <c r="Q15" s="738"/>
      <c r="R15" s="62"/>
      <c r="S15" s="57"/>
      <c r="T15" s="61"/>
      <c r="U15" s="749"/>
      <c r="V15" s="749"/>
      <c r="W15" s="749"/>
      <c r="X15" s="749"/>
      <c r="Y15" s="749"/>
      <c r="Z15" s="749"/>
      <c r="AA15" s="749"/>
      <c r="AB15" s="749"/>
      <c r="AC15" s="749"/>
      <c r="AD15" s="62"/>
    </row>
    <row r="16" spans="2:30" ht="15" customHeight="1">
      <c r="B16" s="61"/>
      <c r="C16" s="54" t="s">
        <v>2464</v>
      </c>
      <c r="D16" s="38"/>
      <c r="E16" s="38"/>
      <c r="F16" s="38"/>
      <c r="G16" s="38"/>
      <c r="H16" s="738"/>
      <c r="I16" s="738"/>
      <c r="J16" s="738"/>
      <c r="K16" s="738"/>
      <c r="L16" s="738"/>
      <c r="M16" s="738"/>
      <c r="N16" s="738"/>
      <c r="O16" s="738"/>
      <c r="P16" s="738"/>
      <c r="Q16" s="738"/>
      <c r="R16" s="62"/>
      <c r="S16" s="57"/>
      <c r="T16" s="61"/>
      <c r="U16" s="749"/>
      <c r="V16" s="749"/>
      <c r="W16" s="749"/>
      <c r="X16" s="749"/>
      <c r="Y16" s="749"/>
      <c r="Z16" s="749"/>
      <c r="AA16" s="749"/>
      <c r="AB16" s="749"/>
      <c r="AC16" s="749"/>
      <c r="AD16" s="62"/>
    </row>
    <row r="17" spans="2:30" ht="15" customHeight="1">
      <c r="B17" s="61"/>
      <c r="C17" s="54" t="s">
        <v>2465</v>
      </c>
      <c r="D17" s="38"/>
      <c r="E17" s="38"/>
      <c r="F17" s="38"/>
      <c r="G17" s="38"/>
      <c r="H17" s="738"/>
      <c r="I17" s="738"/>
      <c r="J17" s="738"/>
      <c r="K17" s="738"/>
      <c r="L17" s="738"/>
      <c r="M17" s="738"/>
      <c r="N17" s="738"/>
      <c r="O17" s="738"/>
      <c r="P17" s="738"/>
      <c r="Q17" s="738"/>
      <c r="R17" s="62"/>
      <c r="S17" s="57"/>
      <c r="T17" s="61"/>
      <c r="U17" s="749"/>
      <c r="V17" s="749"/>
      <c r="W17" s="749"/>
      <c r="X17" s="749"/>
      <c r="Y17" s="749"/>
      <c r="Z17" s="749"/>
      <c r="AA17" s="749"/>
      <c r="AB17" s="749"/>
      <c r="AC17" s="749"/>
      <c r="AD17" s="62"/>
    </row>
    <row r="18" spans="2:30" ht="15" customHeight="1">
      <c r="B18" s="61"/>
      <c r="C18" s="54" t="s">
        <v>1765</v>
      </c>
      <c r="D18" s="38"/>
      <c r="E18" s="737"/>
      <c r="F18" s="737"/>
      <c r="G18" s="737"/>
      <c r="H18" s="737"/>
      <c r="I18" s="737"/>
      <c r="J18" s="737"/>
      <c r="K18" s="737"/>
      <c r="L18" s="737"/>
      <c r="M18" s="737"/>
      <c r="N18" s="737"/>
      <c r="O18" s="737"/>
      <c r="P18" s="737"/>
      <c r="Q18" s="737"/>
      <c r="R18" s="62"/>
      <c r="S18" s="57"/>
      <c r="T18" s="61"/>
      <c r="U18" s="749"/>
      <c r="V18" s="749"/>
      <c r="W18" s="749"/>
      <c r="X18" s="749"/>
      <c r="Y18" s="749"/>
      <c r="Z18" s="749"/>
      <c r="AA18" s="749"/>
      <c r="AB18" s="749"/>
      <c r="AC18" s="749"/>
      <c r="AD18" s="62"/>
    </row>
    <row r="19" spans="2:30" ht="15" customHeight="1">
      <c r="B19" s="61"/>
      <c r="C19" s="54" t="s">
        <v>1780</v>
      </c>
      <c r="D19" s="38"/>
      <c r="E19" s="38"/>
      <c r="F19" s="738"/>
      <c r="G19" s="738"/>
      <c r="H19" s="738"/>
      <c r="I19" s="738"/>
      <c r="J19" s="738"/>
      <c r="K19" s="738"/>
      <c r="L19" s="738"/>
      <c r="M19" s="738"/>
      <c r="N19" s="738"/>
      <c r="O19" s="738"/>
      <c r="P19" s="738"/>
      <c r="Q19" s="738"/>
      <c r="R19" s="62"/>
      <c r="S19" s="57"/>
      <c r="T19" s="61"/>
      <c r="U19" s="749"/>
      <c r="V19" s="749"/>
      <c r="W19" s="749"/>
      <c r="X19" s="749"/>
      <c r="Y19" s="749"/>
      <c r="Z19" s="749"/>
      <c r="AA19" s="749"/>
      <c r="AB19" s="749"/>
      <c r="AC19" s="749"/>
      <c r="AD19" s="62"/>
    </row>
    <row r="20" spans="2:30" ht="15" customHeight="1">
      <c r="B20" s="61"/>
      <c r="C20" s="54" t="s">
        <v>1772</v>
      </c>
      <c r="D20" s="38"/>
      <c r="E20" s="38"/>
      <c r="F20" s="63"/>
      <c r="G20" s="63"/>
      <c r="H20" s="738"/>
      <c r="I20" s="738"/>
      <c r="J20" s="738"/>
      <c r="K20" s="738"/>
      <c r="L20" s="738"/>
      <c r="M20" s="738"/>
      <c r="N20" s="738"/>
      <c r="O20" s="738"/>
      <c r="P20" s="738"/>
      <c r="Q20" s="738"/>
      <c r="R20" s="62"/>
      <c r="S20" s="57"/>
      <c r="T20" s="61"/>
      <c r="U20" s="749"/>
      <c r="V20" s="749"/>
      <c r="W20" s="749"/>
      <c r="X20" s="749"/>
      <c r="Y20" s="749"/>
      <c r="Z20" s="749"/>
      <c r="AA20" s="749"/>
      <c r="AB20" s="749"/>
      <c r="AC20" s="749"/>
      <c r="AD20" s="62"/>
    </row>
    <row r="21" spans="2:30" ht="15" customHeight="1" thickBot="1">
      <c r="B21" s="64"/>
      <c r="C21" s="65"/>
      <c r="D21" s="65"/>
      <c r="E21" s="65"/>
      <c r="F21" s="65"/>
      <c r="G21" s="65"/>
      <c r="H21" s="65"/>
      <c r="I21" s="65"/>
      <c r="J21" s="65"/>
      <c r="K21" s="65"/>
      <c r="L21" s="65"/>
      <c r="M21" s="65"/>
      <c r="N21" s="65"/>
      <c r="O21" s="65"/>
      <c r="P21" s="65"/>
      <c r="Q21" s="65"/>
      <c r="R21" s="66"/>
      <c r="S21" s="57"/>
      <c r="T21" s="64"/>
      <c r="U21" s="65"/>
      <c r="V21" s="65"/>
      <c r="W21" s="65"/>
      <c r="X21" s="65"/>
      <c r="Y21" s="65"/>
      <c r="Z21" s="65"/>
      <c r="AA21" s="65"/>
      <c r="AB21" s="65"/>
      <c r="AC21" s="65"/>
      <c r="AD21" s="66"/>
    </row>
    <row r="22" spans="2:30" ht="15" customHeight="1" thickBot="1"/>
    <row r="23" spans="2:30" ht="15" customHeight="1" thickBot="1">
      <c r="B23" s="743" t="s">
        <v>2466</v>
      </c>
      <c r="C23" s="744"/>
      <c r="D23" s="744"/>
      <c r="E23" s="744"/>
      <c r="F23" s="744"/>
      <c r="G23" s="744"/>
      <c r="H23" s="744"/>
      <c r="I23" s="744"/>
      <c r="J23" s="744"/>
      <c r="K23" s="744"/>
      <c r="L23" s="744"/>
      <c r="M23" s="744"/>
      <c r="N23" s="744"/>
      <c r="O23" s="744"/>
      <c r="P23" s="744"/>
      <c r="Q23" s="744"/>
      <c r="R23" s="745"/>
      <c r="S23" s="57"/>
      <c r="T23" s="743" t="s">
        <v>2457</v>
      </c>
      <c r="U23" s="744"/>
      <c r="V23" s="744"/>
      <c r="W23" s="744"/>
      <c r="X23" s="744"/>
      <c r="Y23" s="744"/>
      <c r="Z23" s="744"/>
      <c r="AA23" s="744"/>
      <c r="AB23" s="744"/>
      <c r="AC23" s="744"/>
      <c r="AD23" s="745"/>
    </row>
    <row r="24" spans="2:30" ht="48" customHeight="1" thickBot="1">
      <c r="B24" s="55"/>
      <c r="C24" s="750" t="s">
        <v>2467</v>
      </c>
      <c r="D24" s="750"/>
      <c r="E24" s="750"/>
      <c r="F24" s="750"/>
      <c r="G24" s="750"/>
      <c r="H24" s="750"/>
      <c r="I24" s="750"/>
      <c r="J24" s="750"/>
      <c r="K24" s="750"/>
      <c r="L24" s="750"/>
      <c r="M24" s="750"/>
      <c r="N24" s="750"/>
      <c r="O24" s="750"/>
      <c r="P24" s="750"/>
      <c r="Q24" s="750"/>
      <c r="R24" s="56"/>
      <c r="S24" s="57"/>
      <c r="T24" s="747" t="s">
        <v>2459</v>
      </c>
      <c r="U24" s="746"/>
      <c r="V24" s="746"/>
      <c r="W24" s="746"/>
      <c r="X24" s="746"/>
      <c r="Y24" s="746"/>
      <c r="Z24" s="746"/>
      <c r="AA24" s="746"/>
      <c r="AB24" s="746"/>
      <c r="AC24" s="746"/>
      <c r="AD24" s="748"/>
    </row>
    <row r="25" spans="2:30" ht="15" customHeight="1">
      <c r="B25" s="58"/>
      <c r="C25" s="59"/>
      <c r="D25" s="59"/>
      <c r="E25" s="59"/>
      <c r="F25" s="59"/>
      <c r="G25" s="59"/>
      <c r="H25" s="59"/>
      <c r="I25" s="59"/>
      <c r="J25" s="59"/>
      <c r="K25" s="59"/>
      <c r="L25" s="59"/>
      <c r="M25" s="59"/>
      <c r="N25" s="59"/>
      <c r="O25" s="59"/>
      <c r="P25" s="59"/>
      <c r="Q25" s="59"/>
      <c r="R25" s="60"/>
      <c r="S25" s="57"/>
      <c r="T25" s="61"/>
      <c r="U25" s="57"/>
      <c r="V25" s="57"/>
      <c r="AB25" s="57"/>
      <c r="AC25" s="57"/>
      <c r="AD25" s="62"/>
    </row>
    <row r="26" spans="2:30" ht="15" customHeight="1">
      <c r="B26" s="61"/>
      <c r="C26" s="54" t="s">
        <v>2460</v>
      </c>
      <c r="D26" s="38"/>
      <c r="E26" s="38"/>
      <c r="F26" s="38"/>
      <c r="G26" s="38"/>
      <c r="H26" s="51"/>
      <c r="I26" s="51"/>
      <c r="J26" s="51"/>
      <c r="K26" s="51"/>
      <c r="L26" s="51"/>
      <c r="M26" s="737"/>
      <c r="N26" s="737"/>
      <c r="O26" s="737"/>
      <c r="P26" s="737"/>
      <c r="Q26" s="737"/>
      <c r="R26" s="62"/>
      <c r="S26" s="57"/>
      <c r="T26" s="61"/>
      <c r="U26" s="733" t="s">
        <v>2461</v>
      </c>
      <c r="V26" s="734"/>
      <c r="W26" s="734"/>
      <c r="X26" s="734"/>
      <c r="Y26" s="734"/>
      <c r="Z26" s="734"/>
      <c r="AA26" s="734"/>
      <c r="AB26" s="734"/>
      <c r="AC26" s="735"/>
      <c r="AD26" s="62"/>
    </row>
    <row r="27" spans="2:30" ht="15" customHeight="1">
      <c r="B27" s="61"/>
      <c r="C27" s="54" t="s">
        <v>2462</v>
      </c>
      <c r="D27" s="38"/>
      <c r="E27" s="38"/>
      <c r="F27" s="737"/>
      <c r="G27" s="737"/>
      <c r="H27" s="737"/>
      <c r="I27" s="737"/>
      <c r="J27" s="737"/>
      <c r="K27" s="737"/>
      <c r="L27" s="737"/>
      <c r="M27" s="737"/>
      <c r="N27" s="737"/>
      <c r="O27" s="737"/>
      <c r="P27" s="737"/>
      <c r="Q27" s="737"/>
      <c r="R27" s="62"/>
      <c r="S27" s="57"/>
      <c r="T27" s="61"/>
      <c r="U27" s="749"/>
      <c r="V27" s="749"/>
      <c r="W27" s="749"/>
      <c r="X27" s="749"/>
      <c r="Y27" s="749"/>
      <c r="Z27" s="749"/>
      <c r="AA27" s="749"/>
      <c r="AB27" s="749"/>
      <c r="AC27" s="749"/>
      <c r="AD27" s="62"/>
    </row>
    <row r="28" spans="2:30" ht="15" customHeight="1">
      <c r="B28" s="61"/>
      <c r="C28" s="54" t="s">
        <v>2463</v>
      </c>
      <c r="D28" s="38"/>
      <c r="E28" s="38"/>
      <c r="F28" s="38"/>
      <c r="G28" s="738"/>
      <c r="H28" s="738"/>
      <c r="I28" s="738"/>
      <c r="J28" s="738"/>
      <c r="K28" s="738"/>
      <c r="L28" s="738"/>
      <c r="M28" s="738"/>
      <c r="N28" s="738"/>
      <c r="O28" s="738"/>
      <c r="P28" s="738"/>
      <c r="Q28" s="738"/>
      <c r="R28" s="62"/>
      <c r="S28" s="57"/>
      <c r="T28" s="61"/>
      <c r="U28" s="749"/>
      <c r="V28" s="749"/>
      <c r="W28" s="749"/>
      <c r="X28" s="749"/>
      <c r="Y28" s="749"/>
      <c r="Z28" s="749"/>
      <c r="AA28" s="749"/>
      <c r="AB28" s="749"/>
      <c r="AC28" s="749"/>
      <c r="AD28" s="62"/>
    </row>
    <row r="29" spans="2:30" ht="15" customHeight="1">
      <c r="B29" s="61"/>
      <c r="C29" s="54" t="s">
        <v>2464</v>
      </c>
      <c r="D29" s="38"/>
      <c r="E29" s="38"/>
      <c r="F29" s="38"/>
      <c r="G29" s="38"/>
      <c r="H29" s="738"/>
      <c r="I29" s="738"/>
      <c r="J29" s="738"/>
      <c r="K29" s="738"/>
      <c r="L29" s="738"/>
      <c r="M29" s="738"/>
      <c r="N29" s="738"/>
      <c r="O29" s="738"/>
      <c r="P29" s="738"/>
      <c r="Q29" s="738"/>
      <c r="R29" s="62"/>
      <c r="S29" s="57"/>
      <c r="T29" s="61"/>
      <c r="U29" s="749"/>
      <c r="V29" s="749"/>
      <c r="W29" s="749"/>
      <c r="X29" s="749"/>
      <c r="Y29" s="749"/>
      <c r="Z29" s="749"/>
      <c r="AA29" s="749"/>
      <c r="AB29" s="749"/>
      <c r="AC29" s="749"/>
      <c r="AD29" s="62"/>
    </row>
    <row r="30" spans="2:30" ht="15" customHeight="1">
      <c r="B30" s="61"/>
      <c r="C30" s="54" t="s">
        <v>2465</v>
      </c>
      <c r="D30" s="38"/>
      <c r="E30" s="38"/>
      <c r="F30" s="38"/>
      <c r="G30" s="38"/>
      <c r="H30" s="738"/>
      <c r="I30" s="738"/>
      <c r="J30" s="738"/>
      <c r="K30" s="738"/>
      <c r="L30" s="738"/>
      <c r="M30" s="738"/>
      <c r="N30" s="738"/>
      <c r="O30" s="738"/>
      <c r="P30" s="738"/>
      <c r="Q30" s="738"/>
      <c r="R30" s="62"/>
      <c r="S30" s="57"/>
      <c r="T30" s="61"/>
      <c r="U30" s="749"/>
      <c r="V30" s="749"/>
      <c r="W30" s="749"/>
      <c r="X30" s="749"/>
      <c r="Y30" s="749"/>
      <c r="Z30" s="749"/>
      <c r="AA30" s="749"/>
      <c r="AB30" s="749"/>
      <c r="AC30" s="749"/>
      <c r="AD30" s="62"/>
    </row>
    <row r="31" spans="2:30" ht="15" customHeight="1">
      <c r="B31" s="61"/>
      <c r="C31" s="54" t="s">
        <v>1765</v>
      </c>
      <c r="D31" s="38"/>
      <c r="E31" s="737"/>
      <c r="F31" s="737"/>
      <c r="G31" s="737"/>
      <c r="H31" s="737"/>
      <c r="I31" s="737"/>
      <c r="J31" s="737"/>
      <c r="K31" s="737"/>
      <c r="L31" s="737"/>
      <c r="M31" s="737"/>
      <c r="N31" s="737"/>
      <c r="O31" s="737"/>
      <c r="P31" s="737"/>
      <c r="Q31" s="737"/>
      <c r="R31" s="62"/>
      <c r="S31" s="57"/>
      <c r="T31" s="61"/>
      <c r="U31" s="749"/>
      <c r="V31" s="749"/>
      <c r="W31" s="749"/>
      <c r="X31" s="749"/>
      <c r="Y31" s="749"/>
      <c r="Z31" s="749"/>
      <c r="AA31" s="749"/>
      <c r="AB31" s="749"/>
      <c r="AC31" s="749"/>
      <c r="AD31" s="62"/>
    </row>
    <row r="32" spans="2:30" ht="15" customHeight="1">
      <c r="B32" s="61"/>
      <c r="C32" s="54" t="s">
        <v>1780</v>
      </c>
      <c r="D32" s="38"/>
      <c r="E32" s="38"/>
      <c r="F32" s="738"/>
      <c r="G32" s="738"/>
      <c r="H32" s="738"/>
      <c r="I32" s="738"/>
      <c r="J32" s="738"/>
      <c r="K32" s="738"/>
      <c r="L32" s="738"/>
      <c r="M32" s="738"/>
      <c r="N32" s="738"/>
      <c r="O32" s="738"/>
      <c r="P32" s="738"/>
      <c r="Q32" s="738"/>
      <c r="R32" s="62"/>
      <c r="S32" s="57"/>
      <c r="T32" s="61"/>
      <c r="U32" s="749"/>
      <c r="V32" s="749"/>
      <c r="W32" s="749"/>
      <c r="X32" s="749"/>
      <c r="Y32" s="749"/>
      <c r="Z32" s="749"/>
      <c r="AA32" s="749"/>
      <c r="AB32" s="749"/>
      <c r="AC32" s="749"/>
      <c r="AD32" s="62"/>
    </row>
    <row r="33" spans="2:30" ht="15" customHeight="1">
      <c r="B33" s="61"/>
      <c r="C33" s="54" t="s">
        <v>1772</v>
      </c>
      <c r="D33" s="38"/>
      <c r="E33" s="38"/>
      <c r="F33" s="63"/>
      <c r="G33" s="63"/>
      <c r="H33" s="738"/>
      <c r="I33" s="738"/>
      <c r="J33" s="738"/>
      <c r="K33" s="738"/>
      <c r="L33" s="738"/>
      <c r="M33" s="738"/>
      <c r="N33" s="738"/>
      <c r="O33" s="738"/>
      <c r="P33" s="738"/>
      <c r="Q33" s="738"/>
      <c r="R33" s="62"/>
      <c r="S33" s="57"/>
      <c r="T33" s="61"/>
      <c r="U33" s="749"/>
      <c r="V33" s="749"/>
      <c r="W33" s="749"/>
      <c r="X33" s="749"/>
      <c r="Y33" s="749"/>
      <c r="Z33" s="749"/>
      <c r="AA33" s="749"/>
      <c r="AB33" s="749"/>
      <c r="AC33" s="749"/>
      <c r="AD33" s="62"/>
    </row>
    <row r="34" spans="2:30" ht="15" customHeight="1" thickBot="1">
      <c r="B34" s="64"/>
      <c r="C34" s="65"/>
      <c r="D34" s="65"/>
      <c r="E34" s="65"/>
      <c r="F34" s="65"/>
      <c r="G34" s="65"/>
      <c r="H34" s="65"/>
      <c r="I34" s="65"/>
      <c r="J34" s="65"/>
      <c r="K34" s="65"/>
      <c r="L34" s="65"/>
      <c r="M34" s="65"/>
      <c r="N34" s="65"/>
      <c r="O34" s="65"/>
      <c r="P34" s="65"/>
      <c r="Q34" s="65"/>
      <c r="R34" s="66"/>
      <c r="S34" s="57"/>
      <c r="T34" s="64"/>
      <c r="U34" s="65"/>
      <c r="V34" s="65"/>
      <c r="W34" s="65"/>
      <c r="X34" s="65"/>
      <c r="Y34" s="65"/>
      <c r="Z34" s="65"/>
      <c r="AA34" s="65"/>
      <c r="AB34" s="65"/>
      <c r="AC34" s="65"/>
      <c r="AD34" s="66"/>
    </row>
    <row r="35" spans="2:30" ht="15" customHeight="1" thickBot="1"/>
    <row r="36" spans="2:30" ht="15" customHeight="1" thickBot="1">
      <c r="B36" s="743" t="s">
        <v>2468</v>
      </c>
      <c r="C36" s="744"/>
      <c r="D36" s="744"/>
      <c r="E36" s="744"/>
      <c r="F36" s="744"/>
      <c r="G36" s="744"/>
      <c r="H36" s="744"/>
      <c r="I36" s="744"/>
      <c r="J36" s="744"/>
      <c r="K36" s="744"/>
      <c r="L36" s="744"/>
      <c r="M36" s="744"/>
      <c r="N36" s="744"/>
      <c r="O36" s="744"/>
      <c r="P36" s="744"/>
      <c r="Q36" s="744"/>
      <c r="R36" s="745"/>
      <c r="S36" s="57"/>
      <c r="T36" s="743" t="s">
        <v>2457</v>
      </c>
      <c r="U36" s="744"/>
      <c r="V36" s="744"/>
      <c r="W36" s="744"/>
      <c r="X36" s="744"/>
      <c r="Y36" s="744"/>
      <c r="Z36" s="744"/>
      <c r="AA36" s="744"/>
      <c r="AB36" s="744"/>
      <c r="AC36" s="744"/>
      <c r="AD36" s="745"/>
    </row>
    <row r="37" spans="2:30" ht="48" customHeight="1" thickBot="1">
      <c r="B37" s="55"/>
      <c r="C37" s="750" t="s">
        <v>2469</v>
      </c>
      <c r="D37" s="750"/>
      <c r="E37" s="750"/>
      <c r="F37" s="750"/>
      <c r="G37" s="750"/>
      <c r="H37" s="750"/>
      <c r="I37" s="750"/>
      <c r="J37" s="750"/>
      <c r="K37" s="750"/>
      <c r="L37" s="750"/>
      <c r="M37" s="750"/>
      <c r="N37" s="750"/>
      <c r="O37" s="750"/>
      <c r="P37" s="750"/>
      <c r="Q37" s="750"/>
      <c r="R37" s="56"/>
      <c r="S37" s="57"/>
      <c r="T37" s="747" t="s">
        <v>2459</v>
      </c>
      <c r="U37" s="746"/>
      <c r="V37" s="746"/>
      <c r="W37" s="746"/>
      <c r="X37" s="746"/>
      <c r="Y37" s="746"/>
      <c r="Z37" s="746"/>
      <c r="AA37" s="746"/>
      <c r="AB37" s="746"/>
      <c r="AC37" s="746"/>
      <c r="AD37" s="748"/>
    </row>
    <row r="38" spans="2:30" ht="15" customHeight="1">
      <c r="B38" s="58"/>
      <c r="C38" s="59"/>
      <c r="D38" s="59"/>
      <c r="E38" s="59"/>
      <c r="F38" s="59"/>
      <c r="G38" s="59"/>
      <c r="H38" s="59"/>
      <c r="I38" s="59"/>
      <c r="J38" s="59"/>
      <c r="K38" s="59"/>
      <c r="L38" s="59"/>
      <c r="M38" s="59"/>
      <c r="N38" s="59"/>
      <c r="O38" s="59"/>
      <c r="P38" s="59"/>
      <c r="Q38" s="59"/>
      <c r="R38" s="60"/>
      <c r="S38" s="57"/>
      <c r="T38" s="61"/>
      <c r="U38" s="57"/>
      <c r="V38" s="57"/>
      <c r="AB38" s="57"/>
      <c r="AC38" s="57"/>
      <c r="AD38" s="62"/>
    </row>
    <row r="39" spans="2:30" ht="15" customHeight="1">
      <c r="B39" s="61"/>
      <c r="C39" s="54" t="s">
        <v>2460</v>
      </c>
      <c r="D39" s="38"/>
      <c r="E39" s="38"/>
      <c r="F39" s="38"/>
      <c r="G39" s="38"/>
      <c r="H39" s="51"/>
      <c r="I39" s="51"/>
      <c r="J39" s="51"/>
      <c r="K39" s="51"/>
      <c r="L39" s="51"/>
      <c r="M39" s="737"/>
      <c r="N39" s="737"/>
      <c r="O39" s="737"/>
      <c r="P39" s="737"/>
      <c r="Q39" s="737"/>
      <c r="R39" s="62"/>
      <c r="S39" s="57"/>
      <c r="T39" s="61"/>
      <c r="U39" s="733" t="s">
        <v>2461</v>
      </c>
      <c r="V39" s="734"/>
      <c r="W39" s="734"/>
      <c r="X39" s="734"/>
      <c r="Y39" s="734"/>
      <c r="Z39" s="734"/>
      <c r="AA39" s="734"/>
      <c r="AB39" s="734"/>
      <c r="AC39" s="735"/>
      <c r="AD39" s="62"/>
    </row>
    <row r="40" spans="2:30" ht="15" customHeight="1">
      <c r="B40" s="61"/>
      <c r="C40" s="54" t="s">
        <v>2462</v>
      </c>
      <c r="D40" s="38"/>
      <c r="E40" s="38"/>
      <c r="F40" s="737"/>
      <c r="G40" s="737"/>
      <c r="H40" s="737"/>
      <c r="I40" s="737"/>
      <c r="J40" s="737"/>
      <c r="K40" s="737"/>
      <c r="L40" s="737"/>
      <c r="M40" s="737"/>
      <c r="N40" s="737"/>
      <c r="O40" s="737"/>
      <c r="P40" s="737"/>
      <c r="Q40" s="737"/>
      <c r="R40" s="62"/>
      <c r="S40" s="57"/>
      <c r="T40" s="61"/>
      <c r="U40" s="749"/>
      <c r="V40" s="749"/>
      <c r="W40" s="749"/>
      <c r="X40" s="749"/>
      <c r="Y40" s="749"/>
      <c r="Z40" s="749"/>
      <c r="AA40" s="749"/>
      <c r="AB40" s="749"/>
      <c r="AC40" s="749"/>
      <c r="AD40" s="62"/>
    </row>
    <row r="41" spans="2:30" ht="15" customHeight="1">
      <c r="B41" s="61"/>
      <c r="C41" s="54" t="s">
        <v>2463</v>
      </c>
      <c r="D41" s="38"/>
      <c r="E41" s="38"/>
      <c r="F41" s="38"/>
      <c r="G41" s="738"/>
      <c r="H41" s="738"/>
      <c r="I41" s="738"/>
      <c r="J41" s="738"/>
      <c r="K41" s="738"/>
      <c r="L41" s="738"/>
      <c r="M41" s="738"/>
      <c r="N41" s="738"/>
      <c r="O41" s="738"/>
      <c r="P41" s="738"/>
      <c r="Q41" s="738"/>
      <c r="R41" s="62"/>
      <c r="S41" s="57"/>
      <c r="T41" s="61"/>
      <c r="U41" s="749"/>
      <c r="V41" s="749"/>
      <c r="W41" s="749"/>
      <c r="X41" s="749"/>
      <c r="Y41" s="749"/>
      <c r="Z41" s="749"/>
      <c r="AA41" s="749"/>
      <c r="AB41" s="749"/>
      <c r="AC41" s="749"/>
      <c r="AD41" s="62"/>
    </row>
    <row r="42" spans="2:30" ht="15" customHeight="1">
      <c r="B42" s="61"/>
      <c r="C42" s="54" t="s">
        <v>2464</v>
      </c>
      <c r="D42" s="38"/>
      <c r="E42" s="38"/>
      <c r="F42" s="38"/>
      <c r="G42" s="38"/>
      <c r="H42" s="738"/>
      <c r="I42" s="738"/>
      <c r="J42" s="738"/>
      <c r="K42" s="738"/>
      <c r="L42" s="738"/>
      <c r="M42" s="738"/>
      <c r="N42" s="738"/>
      <c r="O42" s="738"/>
      <c r="P42" s="738"/>
      <c r="Q42" s="738"/>
      <c r="R42" s="62"/>
      <c r="S42" s="57"/>
      <c r="T42" s="61"/>
      <c r="U42" s="749"/>
      <c r="V42" s="749"/>
      <c r="W42" s="749"/>
      <c r="X42" s="749"/>
      <c r="Y42" s="749"/>
      <c r="Z42" s="749"/>
      <c r="AA42" s="749"/>
      <c r="AB42" s="749"/>
      <c r="AC42" s="749"/>
      <c r="AD42" s="62"/>
    </row>
    <row r="43" spans="2:30" ht="15" customHeight="1">
      <c r="B43" s="61"/>
      <c r="C43" s="54" t="s">
        <v>2465</v>
      </c>
      <c r="D43" s="38"/>
      <c r="E43" s="38"/>
      <c r="F43" s="38"/>
      <c r="G43" s="38"/>
      <c r="H43" s="738"/>
      <c r="I43" s="738"/>
      <c r="J43" s="738"/>
      <c r="K43" s="738"/>
      <c r="L43" s="738"/>
      <c r="M43" s="738"/>
      <c r="N43" s="738"/>
      <c r="O43" s="738"/>
      <c r="P43" s="738"/>
      <c r="Q43" s="738"/>
      <c r="R43" s="62"/>
      <c r="S43" s="57"/>
      <c r="T43" s="61"/>
      <c r="U43" s="749"/>
      <c r="V43" s="749"/>
      <c r="W43" s="749"/>
      <c r="X43" s="749"/>
      <c r="Y43" s="749"/>
      <c r="Z43" s="749"/>
      <c r="AA43" s="749"/>
      <c r="AB43" s="749"/>
      <c r="AC43" s="749"/>
      <c r="AD43" s="62"/>
    </row>
    <row r="44" spans="2:30" ht="15" customHeight="1">
      <c r="B44" s="61"/>
      <c r="C44" s="54" t="s">
        <v>1765</v>
      </c>
      <c r="D44" s="38"/>
      <c r="E44" s="737"/>
      <c r="F44" s="737"/>
      <c r="G44" s="737"/>
      <c r="H44" s="737"/>
      <c r="I44" s="737"/>
      <c r="J44" s="737"/>
      <c r="K44" s="737"/>
      <c r="L44" s="737"/>
      <c r="M44" s="737"/>
      <c r="N44" s="737"/>
      <c r="O44" s="737"/>
      <c r="P44" s="737"/>
      <c r="Q44" s="737"/>
      <c r="R44" s="62"/>
      <c r="S44" s="57"/>
      <c r="T44" s="61"/>
      <c r="U44" s="749"/>
      <c r="V44" s="749"/>
      <c r="W44" s="749"/>
      <c r="X44" s="749"/>
      <c r="Y44" s="749"/>
      <c r="Z44" s="749"/>
      <c r="AA44" s="749"/>
      <c r="AB44" s="749"/>
      <c r="AC44" s="749"/>
      <c r="AD44" s="62"/>
    </row>
    <row r="45" spans="2:30" ht="15" customHeight="1">
      <c r="B45" s="61"/>
      <c r="C45" s="54" t="s">
        <v>1780</v>
      </c>
      <c r="D45" s="38"/>
      <c r="E45" s="38"/>
      <c r="F45" s="738"/>
      <c r="G45" s="738"/>
      <c r="H45" s="738"/>
      <c r="I45" s="738"/>
      <c r="J45" s="738"/>
      <c r="K45" s="738"/>
      <c r="L45" s="738"/>
      <c r="M45" s="738"/>
      <c r="N45" s="738"/>
      <c r="O45" s="738"/>
      <c r="P45" s="738"/>
      <c r="Q45" s="738"/>
      <c r="R45" s="62"/>
      <c r="S45" s="57"/>
      <c r="T45" s="61"/>
      <c r="U45" s="749"/>
      <c r="V45" s="749"/>
      <c r="W45" s="749"/>
      <c r="X45" s="749"/>
      <c r="Y45" s="749"/>
      <c r="Z45" s="749"/>
      <c r="AA45" s="749"/>
      <c r="AB45" s="749"/>
      <c r="AC45" s="749"/>
      <c r="AD45" s="62"/>
    </row>
    <row r="46" spans="2:30" ht="15" customHeight="1">
      <c r="B46" s="61"/>
      <c r="C46" s="54" t="s">
        <v>1772</v>
      </c>
      <c r="D46" s="38"/>
      <c r="E46" s="38"/>
      <c r="F46" s="63"/>
      <c r="G46" s="63"/>
      <c r="H46" s="738"/>
      <c r="I46" s="738"/>
      <c r="J46" s="738"/>
      <c r="K46" s="738"/>
      <c r="L46" s="738"/>
      <c r="M46" s="738"/>
      <c r="N46" s="738"/>
      <c r="O46" s="738"/>
      <c r="P46" s="738"/>
      <c r="Q46" s="738"/>
      <c r="R46" s="62"/>
      <c r="S46" s="57"/>
      <c r="T46" s="61"/>
      <c r="U46" s="749"/>
      <c r="V46" s="749"/>
      <c r="W46" s="749"/>
      <c r="X46" s="749"/>
      <c r="Y46" s="749"/>
      <c r="Z46" s="749"/>
      <c r="AA46" s="749"/>
      <c r="AB46" s="749"/>
      <c r="AC46" s="749"/>
      <c r="AD46" s="62"/>
    </row>
    <row r="47" spans="2:30" ht="15" customHeight="1" thickBot="1">
      <c r="B47" s="64"/>
      <c r="C47" s="65"/>
      <c r="D47" s="65"/>
      <c r="E47" s="65"/>
      <c r="F47" s="65"/>
      <c r="G47" s="65"/>
      <c r="H47" s="65"/>
      <c r="I47" s="65"/>
      <c r="J47" s="65"/>
      <c r="K47" s="65"/>
      <c r="L47" s="65"/>
      <c r="M47" s="65"/>
      <c r="N47" s="65"/>
      <c r="O47" s="65"/>
      <c r="P47" s="65"/>
      <c r="Q47" s="65"/>
      <c r="R47" s="66"/>
      <c r="S47" s="57"/>
      <c r="T47" s="64"/>
      <c r="U47" s="65"/>
      <c r="V47" s="65"/>
      <c r="W47" s="65"/>
      <c r="X47" s="65"/>
      <c r="Y47" s="65"/>
      <c r="Z47" s="65"/>
      <c r="AA47" s="65"/>
      <c r="AB47" s="65"/>
      <c r="AC47" s="65"/>
      <c r="AD47" s="66"/>
    </row>
    <row r="48" spans="2:30" ht="15" customHeight="1" thickBot="1"/>
    <row r="49" spans="2:30" ht="15" customHeight="1">
      <c r="B49" s="67"/>
      <c r="C49" s="68" t="s">
        <v>2470</v>
      </c>
      <c r="D49" s="68"/>
      <c r="E49" s="68"/>
      <c r="F49" s="68"/>
      <c r="G49" s="68"/>
      <c r="H49" s="68"/>
      <c r="I49" s="68"/>
      <c r="J49" s="68"/>
      <c r="K49" s="68"/>
      <c r="L49" s="68"/>
      <c r="M49" s="68"/>
      <c r="N49" s="68"/>
      <c r="O49" s="68"/>
      <c r="P49" s="68"/>
      <c r="Q49" s="68"/>
      <c r="R49" s="68"/>
      <c r="S49" s="68"/>
      <c r="T49" s="68"/>
      <c r="U49" s="68"/>
      <c r="V49" s="68"/>
      <c r="W49" s="68"/>
      <c r="X49" s="68"/>
      <c r="Y49" s="68"/>
      <c r="Z49" s="68"/>
      <c r="AA49" s="68"/>
      <c r="AB49" s="68"/>
      <c r="AC49" s="68"/>
      <c r="AD49" s="69"/>
    </row>
    <row r="50" spans="2:30" ht="72" customHeight="1" thickBot="1">
      <c r="B50" s="751"/>
      <c r="C50" s="752"/>
      <c r="D50" s="752"/>
      <c r="E50" s="752"/>
      <c r="F50" s="752"/>
      <c r="G50" s="752"/>
      <c r="H50" s="752"/>
      <c r="I50" s="752"/>
      <c r="J50" s="752"/>
      <c r="K50" s="752"/>
      <c r="L50" s="752"/>
      <c r="M50" s="752"/>
      <c r="N50" s="752"/>
      <c r="O50" s="752"/>
      <c r="P50" s="752"/>
      <c r="Q50" s="752"/>
      <c r="R50" s="752"/>
      <c r="S50" s="752"/>
      <c r="T50" s="752"/>
      <c r="U50" s="752"/>
      <c r="V50" s="752"/>
      <c r="W50" s="752"/>
      <c r="X50" s="752"/>
      <c r="Y50" s="752"/>
      <c r="Z50" s="752"/>
      <c r="AA50" s="752"/>
      <c r="AB50" s="752"/>
      <c r="AC50" s="752"/>
      <c r="AD50" s="753"/>
    </row>
    <row r="51" spans="2:30" ht="15" customHeight="1"/>
    <row r="52" spans="2:30" ht="15" customHeight="1"/>
    <row r="53" spans="2:30" ht="15" customHeight="1"/>
    <row r="54" spans="2:30" ht="15" customHeight="1"/>
    <row r="55" spans="2:30" ht="15" customHeight="1"/>
    <row r="56" spans="2:30" ht="15" customHeight="1"/>
  </sheetData>
  <sheetProtection algorithmName="SHA-512" hashValue="JWLhKuLZpMAYTcIz+ISzRN/F/Y6+atHuhDoxoPd9c5YLyc6JcwO4neCZmFGZF0ko98x1SEfkcv0qv+IGfHjEmQ==" saltValue="XtuQQhra7GW4DT/X79OFMA==" spinCount="100000" sheet="1" objects="1" scenarios="1"/>
  <mergeCells count="49">
    <mergeCell ref="B50:AD50"/>
    <mergeCell ref="B36:R36"/>
    <mergeCell ref="T36:AD36"/>
    <mergeCell ref="C37:Q37"/>
    <mergeCell ref="T37:AD37"/>
    <mergeCell ref="M39:Q39"/>
    <mergeCell ref="U39:AC39"/>
    <mergeCell ref="F40:Q40"/>
    <mergeCell ref="U40:AC46"/>
    <mergeCell ref="G41:Q41"/>
    <mergeCell ref="H42:Q42"/>
    <mergeCell ref="H43:Q43"/>
    <mergeCell ref="E44:Q44"/>
    <mergeCell ref="F45:Q45"/>
    <mergeCell ref="H46:Q46"/>
    <mergeCell ref="F27:Q27"/>
    <mergeCell ref="U27:AC33"/>
    <mergeCell ref="G28:Q28"/>
    <mergeCell ref="H29:Q29"/>
    <mergeCell ref="H30:Q30"/>
    <mergeCell ref="E31:Q31"/>
    <mergeCell ref="F32:Q32"/>
    <mergeCell ref="H33:Q33"/>
    <mergeCell ref="B23:R23"/>
    <mergeCell ref="T23:AD23"/>
    <mergeCell ref="C24:Q24"/>
    <mergeCell ref="T24:AD24"/>
    <mergeCell ref="M26:Q26"/>
    <mergeCell ref="U26:AC26"/>
    <mergeCell ref="F14:Q14"/>
    <mergeCell ref="U14:AC20"/>
    <mergeCell ref="G15:Q15"/>
    <mergeCell ref="H16:Q16"/>
    <mergeCell ref="H17:Q17"/>
    <mergeCell ref="E18:Q18"/>
    <mergeCell ref="F19:Q19"/>
    <mergeCell ref="H20:Q20"/>
    <mergeCell ref="B10:R10"/>
    <mergeCell ref="T10:AD10"/>
    <mergeCell ref="C11:Q11"/>
    <mergeCell ref="T11:AD11"/>
    <mergeCell ref="M13:Q13"/>
    <mergeCell ref="U13:AC13"/>
    <mergeCell ref="B1:AD1"/>
    <mergeCell ref="B3:AD3"/>
    <mergeCell ref="B5:AD5"/>
    <mergeCell ref="AA7:AD7"/>
    <mergeCell ref="B8:L8"/>
    <mergeCell ref="N8:O8"/>
  </mergeCells>
  <hyperlinks>
    <hyperlink ref="AA7:AD7" location="Índice!F11C2" display="Índice" xr:uid="{EBB07E2C-E8A1-4A6B-89E6-9F6EDC3961BA}"/>
  </hyperlinks>
  <printOptions horizontalCentered="1"/>
  <pageMargins left="0.70866141732283472" right="0.70866141732283472" top="0.74803149606299213" bottom="0.74803149606299213" header="0.31496062992125984" footer="0.31496062992125984"/>
  <pageSetup scale="75" orientation="portrait" r:id="rId1"/>
  <headerFooter>
    <oddHeader>&amp;CMódulo 2
Informantes</oddHeader>
    <oddFooter>&amp;LCenso Nacional de Sistemas Penitenciarios Estatales 2024&amp;R&amp;P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70888-EEA1-4EF5-A53C-3633D92897D5}">
  <dimension ref="A1:XFC71"/>
  <sheetViews>
    <sheetView showGridLines="0" zoomScaleNormal="100" workbookViewId="0"/>
  </sheetViews>
  <sheetFormatPr baseColWidth="10" defaultColWidth="0" defaultRowHeight="15" customHeight="1" zeroHeight="1"/>
  <cols>
    <col min="1" max="1" width="5.7109375" style="3" customWidth="1"/>
    <col min="2" max="61" width="3.7109375" style="3" customWidth="1"/>
    <col min="62" max="62" width="9.42578125" style="3" customWidth="1"/>
    <col min="63" max="64" width="20.5703125" style="3" hidden="1"/>
    <col min="65" max="65" width="32.85546875" style="3" hidden="1"/>
    <col min="66" max="72" width="20.5703125" style="3" hidden="1"/>
    <col min="73" max="16383" width="11.42578125" style="3" hidden="1"/>
    <col min="16384" max="16384" width="5.28515625" style="3" hidden="1"/>
  </cols>
  <sheetData>
    <row r="1" spans="1:61" ht="173.25" customHeight="1">
      <c r="B1" s="718" t="s">
        <v>0</v>
      </c>
      <c r="C1" s="718"/>
      <c r="D1" s="718"/>
      <c r="E1" s="718"/>
      <c r="F1" s="718"/>
      <c r="G1" s="718"/>
      <c r="H1" s="718"/>
      <c r="I1" s="718"/>
      <c r="J1" s="718"/>
      <c r="K1" s="718"/>
      <c r="L1" s="718"/>
      <c r="M1" s="718"/>
      <c r="N1" s="718"/>
      <c r="O1" s="718"/>
      <c r="P1" s="718"/>
      <c r="Q1" s="718"/>
      <c r="R1" s="718"/>
      <c r="S1" s="718"/>
      <c r="T1" s="718"/>
      <c r="U1" s="718"/>
      <c r="V1" s="718"/>
      <c r="W1" s="718"/>
      <c r="X1" s="718"/>
      <c r="Y1" s="718"/>
      <c r="Z1" s="718"/>
      <c r="AA1" s="718"/>
      <c r="AB1" s="718"/>
      <c r="AC1" s="718"/>
      <c r="AD1" s="718"/>
      <c r="AE1" s="718"/>
      <c r="AF1" s="718"/>
      <c r="AG1" s="718"/>
      <c r="AH1" s="718"/>
      <c r="AI1" s="718"/>
      <c r="AJ1" s="718"/>
      <c r="AK1" s="718"/>
      <c r="AL1" s="718"/>
      <c r="AM1" s="718"/>
      <c r="AN1" s="718"/>
      <c r="AO1" s="718"/>
      <c r="AP1" s="718"/>
      <c r="AQ1" s="718"/>
      <c r="AR1" s="718"/>
      <c r="AS1" s="718"/>
      <c r="AT1" s="718"/>
      <c r="AU1" s="718"/>
      <c r="AV1" s="718"/>
      <c r="AW1" s="718"/>
      <c r="AX1" s="718"/>
      <c r="AY1" s="718"/>
      <c r="AZ1" s="718"/>
      <c r="BA1" s="718"/>
      <c r="BB1" s="718"/>
      <c r="BC1" s="718"/>
      <c r="BD1" s="718"/>
      <c r="BE1" s="718"/>
      <c r="BF1" s="718"/>
      <c r="BG1" s="718"/>
      <c r="BH1" s="718"/>
      <c r="BI1" s="718"/>
    </row>
    <row r="2" spans="1:61" ht="15" customHeight="1">
      <c r="B2" s="57"/>
      <c r="C2" s="57"/>
      <c r="D2" s="57"/>
      <c r="E2" s="57"/>
      <c r="F2" s="57"/>
      <c r="G2" s="57"/>
      <c r="H2" s="57"/>
      <c r="I2" s="57"/>
      <c r="J2" s="57"/>
      <c r="K2" s="57"/>
      <c r="L2" s="57"/>
      <c r="M2" s="57"/>
      <c r="N2" s="57"/>
      <c r="O2" s="57"/>
      <c r="P2" s="57"/>
      <c r="Q2" s="57"/>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row>
    <row r="3" spans="1:61" ht="45" customHeight="1">
      <c r="B3" s="720" t="s">
        <v>1</v>
      </c>
      <c r="C3" s="720"/>
      <c r="D3" s="720"/>
      <c r="E3" s="720"/>
      <c r="F3" s="720"/>
      <c r="G3" s="720"/>
      <c r="H3" s="720"/>
      <c r="I3" s="720"/>
      <c r="J3" s="720"/>
      <c r="K3" s="720"/>
      <c r="L3" s="720"/>
      <c r="M3" s="720"/>
      <c r="N3" s="720"/>
      <c r="O3" s="720"/>
      <c r="P3" s="720"/>
      <c r="Q3" s="720"/>
      <c r="R3" s="720"/>
      <c r="S3" s="720"/>
      <c r="T3" s="720"/>
      <c r="U3" s="720"/>
      <c r="V3" s="720"/>
      <c r="W3" s="720"/>
      <c r="X3" s="720"/>
      <c r="Y3" s="720"/>
      <c r="Z3" s="720"/>
      <c r="AA3" s="720"/>
      <c r="AB3" s="720"/>
      <c r="AC3" s="720"/>
      <c r="AD3" s="720"/>
      <c r="AE3" s="720"/>
      <c r="AF3" s="720"/>
      <c r="AG3" s="720"/>
      <c r="AH3" s="720"/>
      <c r="AI3" s="720"/>
      <c r="AJ3" s="720"/>
      <c r="AK3" s="720"/>
      <c r="AL3" s="720"/>
      <c r="AM3" s="720"/>
      <c r="AN3" s="720"/>
      <c r="AO3" s="720"/>
      <c r="AP3" s="720"/>
      <c r="AQ3" s="720"/>
      <c r="AR3" s="720"/>
      <c r="AS3" s="720"/>
      <c r="AT3" s="720"/>
      <c r="AU3" s="720"/>
      <c r="AV3" s="720"/>
      <c r="AW3" s="720"/>
      <c r="AX3" s="720"/>
      <c r="AY3" s="720"/>
      <c r="AZ3" s="720"/>
      <c r="BA3" s="720"/>
      <c r="BB3" s="720"/>
      <c r="BC3" s="720"/>
      <c r="BD3" s="720"/>
      <c r="BE3" s="720"/>
      <c r="BF3" s="720"/>
      <c r="BG3" s="720"/>
      <c r="BH3" s="720"/>
      <c r="BI3" s="720"/>
    </row>
    <row r="4" spans="1:61" ht="15" customHeight="1">
      <c r="B4" s="83"/>
      <c r="C4" s="83"/>
      <c r="D4" s="83"/>
      <c r="E4" s="83"/>
      <c r="F4" s="83"/>
      <c r="G4" s="83"/>
      <c r="H4" s="83"/>
      <c r="I4" s="83"/>
      <c r="J4" s="83"/>
      <c r="K4" s="83"/>
      <c r="L4" s="83"/>
      <c r="M4" s="83"/>
      <c r="N4" s="83"/>
      <c r="O4" s="83"/>
      <c r="P4" s="83"/>
      <c r="Q4" s="83"/>
      <c r="R4" s="83"/>
      <c r="S4" s="83"/>
      <c r="T4" s="83"/>
      <c r="U4" s="83"/>
      <c r="V4" s="83"/>
      <c r="W4" s="83"/>
      <c r="X4" s="83"/>
      <c r="Y4" s="83"/>
      <c r="Z4" s="83"/>
      <c r="AA4" s="83"/>
      <c r="AB4" s="83"/>
      <c r="AC4" s="83"/>
      <c r="AD4" s="83"/>
      <c r="AE4" s="83"/>
      <c r="AF4" s="83"/>
      <c r="AG4" s="83"/>
      <c r="AH4" s="83"/>
      <c r="AI4" s="83"/>
      <c r="AJ4" s="83"/>
      <c r="AK4" s="83"/>
      <c r="AL4" s="83"/>
      <c r="AM4" s="83"/>
      <c r="AN4" s="83"/>
      <c r="AO4" s="83"/>
      <c r="AP4" s="83"/>
      <c r="AQ4" s="83"/>
      <c r="AR4" s="83"/>
      <c r="AS4" s="83"/>
      <c r="AT4" s="83"/>
      <c r="AU4" s="83"/>
      <c r="AV4" s="83"/>
      <c r="AW4" s="83"/>
      <c r="AX4" s="83"/>
      <c r="AY4" s="83"/>
      <c r="AZ4" s="83"/>
      <c r="BA4" s="83"/>
      <c r="BB4" s="83"/>
      <c r="BC4" s="83"/>
    </row>
    <row r="5" spans="1:61" ht="60" customHeight="1">
      <c r="B5" s="720" t="s">
        <v>2471</v>
      </c>
      <c r="C5" s="720"/>
      <c r="D5" s="720"/>
      <c r="E5" s="720"/>
      <c r="F5" s="720"/>
      <c r="G5" s="720"/>
      <c r="H5" s="720"/>
      <c r="I5" s="720"/>
      <c r="J5" s="720"/>
      <c r="K5" s="720"/>
      <c r="L5" s="720"/>
      <c r="M5" s="720"/>
      <c r="N5" s="720"/>
      <c r="O5" s="720"/>
      <c r="P5" s="720"/>
      <c r="Q5" s="720"/>
      <c r="R5" s="720"/>
      <c r="S5" s="720"/>
      <c r="T5" s="720"/>
      <c r="U5" s="720"/>
      <c r="V5" s="720"/>
      <c r="W5" s="720"/>
      <c r="X5" s="720"/>
      <c r="Y5" s="720"/>
      <c r="Z5" s="720"/>
      <c r="AA5" s="720"/>
      <c r="AB5" s="720"/>
      <c r="AC5" s="720"/>
      <c r="AD5" s="720"/>
      <c r="AE5" s="720"/>
      <c r="AF5" s="720"/>
      <c r="AG5" s="720"/>
      <c r="AH5" s="720"/>
      <c r="AI5" s="720"/>
      <c r="AJ5" s="720"/>
      <c r="AK5" s="720"/>
      <c r="AL5" s="720"/>
      <c r="AM5" s="720"/>
      <c r="AN5" s="720"/>
      <c r="AO5" s="720"/>
      <c r="AP5" s="720"/>
      <c r="AQ5" s="720"/>
      <c r="AR5" s="720"/>
      <c r="AS5" s="720"/>
      <c r="AT5" s="720"/>
      <c r="AU5" s="720"/>
      <c r="AV5" s="720"/>
      <c r="AW5" s="720"/>
      <c r="AX5" s="720"/>
      <c r="AY5" s="720"/>
      <c r="AZ5" s="720"/>
      <c r="BA5" s="720"/>
      <c r="BB5" s="720"/>
      <c r="BC5" s="720"/>
      <c r="BD5" s="720"/>
      <c r="BE5" s="720"/>
      <c r="BF5" s="720"/>
      <c r="BG5" s="720"/>
      <c r="BH5" s="720"/>
      <c r="BI5" s="720"/>
    </row>
    <row r="6" spans="1:61" ht="15" customHeight="1"/>
    <row r="7" spans="1:61" ht="15" customHeight="1" thickBot="1">
      <c r="B7" s="23" t="s">
        <v>3</v>
      </c>
      <c r="N7" s="23" t="s">
        <v>4</v>
      </c>
      <c r="P7" s="23"/>
      <c r="BF7" s="758" t="s">
        <v>2</v>
      </c>
      <c r="BG7" s="758"/>
      <c r="BH7" s="758"/>
      <c r="BI7" s="758"/>
    </row>
    <row r="8" spans="1:61" ht="15" customHeight="1" thickBot="1">
      <c r="B8" s="722" t="str">
        <f>IF(Presentación!B8="","",Presentación!B8)</f>
        <v>Puebla</v>
      </c>
      <c r="C8" s="723"/>
      <c r="D8" s="723"/>
      <c r="E8" s="723"/>
      <c r="F8" s="723"/>
      <c r="G8" s="723"/>
      <c r="H8" s="723"/>
      <c r="I8" s="723"/>
      <c r="J8" s="723"/>
      <c r="K8" s="723"/>
      <c r="L8" s="724"/>
      <c r="M8" s="25"/>
      <c r="N8" s="722">
        <f>IF(Presentación!N8="","",Presentación!N8)</f>
        <v>221</v>
      </c>
      <c r="O8" s="724"/>
      <c r="P8" s="23"/>
    </row>
    <row r="9" spans="1:61" ht="15.75" thickBot="1"/>
    <row r="10" spans="1:61" customFormat="1" ht="15" customHeight="1" thickBot="1">
      <c r="A10" s="15"/>
      <c r="B10" s="743" t="s">
        <v>2472</v>
      </c>
      <c r="C10" s="744"/>
      <c r="D10" s="744"/>
      <c r="E10" s="744"/>
      <c r="F10" s="744"/>
      <c r="G10" s="744"/>
      <c r="H10" s="744"/>
      <c r="I10" s="744"/>
      <c r="J10" s="744"/>
      <c r="K10" s="744"/>
      <c r="L10" s="744"/>
      <c r="M10" s="744"/>
      <c r="N10" s="744"/>
      <c r="O10" s="744"/>
      <c r="P10" s="744"/>
      <c r="Q10" s="744"/>
      <c r="R10" s="744"/>
      <c r="S10" s="744"/>
      <c r="T10" s="744"/>
      <c r="U10" s="744"/>
      <c r="V10" s="744"/>
      <c r="W10" s="744"/>
      <c r="X10" s="744"/>
      <c r="Y10" s="744"/>
      <c r="Z10" s="744"/>
      <c r="AA10" s="744"/>
      <c r="AB10" s="744"/>
      <c r="AC10" s="744"/>
      <c r="AD10" s="744"/>
      <c r="AE10" s="744"/>
      <c r="AF10" s="744"/>
      <c r="AG10" s="744"/>
      <c r="AH10" s="744"/>
      <c r="AI10" s="744"/>
      <c r="AJ10" s="744"/>
      <c r="AK10" s="744"/>
      <c r="AL10" s="744"/>
      <c r="AM10" s="744"/>
      <c r="AN10" s="744"/>
      <c r="AO10" s="744"/>
      <c r="AP10" s="744"/>
      <c r="AQ10" s="744"/>
      <c r="AR10" s="744"/>
      <c r="AS10" s="744"/>
      <c r="AT10" s="744"/>
      <c r="AU10" s="744"/>
      <c r="AV10" s="744"/>
      <c r="AW10" s="744"/>
      <c r="AX10" s="744"/>
      <c r="AY10" s="744"/>
      <c r="AZ10" s="744"/>
      <c r="BA10" s="744"/>
      <c r="BB10" s="744"/>
      <c r="BC10" s="744"/>
      <c r="BD10" s="744"/>
      <c r="BE10" s="744"/>
      <c r="BF10" s="744"/>
      <c r="BG10" s="744"/>
      <c r="BH10" s="744"/>
      <c r="BI10" s="744"/>
    </row>
    <row r="11" spans="1:61" ht="15" customHeight="1">
      <c r="A11" s="73"/>
      <c r="B11" s="759" t="s">
        <v>2473</v>
      </c>
      <c r="C11" s="760"/>
      <c r="D11" s="760"/>
      <c r="E11" s="760"/>
      <c r="F11" s="760"/>
      <c r="G11" s="760"/>
      <c r="H11" s="760"/>
      <c r="I11" s="760"/>
      <c r="J11" s="760"/>
      <c r="K11" s="760"/>
      <c r="L11" s="760"/>
      <c r="M11" s="760"/>
      <c r="N11" s="760"/>
      <c r="O11" s="760"/>
      <c r="P11" s="760"/>
      <c r="Q11" s="760"/>
      <c r="R11" s="760"/>
      <c r="S11" s="760"/>
      <c r="T11" s="760"/>
      <c r="U11" s="760"/>
      <c r="V11" s="760"/>
      <c r="W11" s="760"/>
      <c r="X11" s="760"/>
      <c r="Y11" s="760"/>
      <c r="Z11" s="760"/>
      <c r="AA11" s="760"/>
      <c r="AB11" s="760"/>
      <c r="AC11" s="760"/>
      <c r="AD11" s="760"/>
      <c r="AE11" s="760"/>
      <c r="AF11" s="760"/>
      <c r="AG11" s="760"/>
      <c r="AH11" s="760"/>
      <c r="AI11" s="760"/>
      <c r="AJ11" s="760"/>
      <c r="AK11" s="760"/>
      <c r="AL11" s="760"/>
      <c r="AM11" s="760"/>
      <c r="AN11" s="760"/>
      <c r="AO11" s="760"/>
      <c r="AP11" s="760"/>
      <c r="AQ11" s="760"/>
      <c r="AR11" s="760"/>
      <c r="AS11" s="760"/>
      <c r="AT11" s="760"/>
      <c r="AU11" s="760"/>
      <c r="AV11" s="760"/>
      <c r="AW11" s="760"/>
      <c r="AX11" s="760"/>
      <c r="AY11" s="760"/>
      <c r="AZ11" s="760"/>
      <c r="BA11" s="760"/>
      <c r="BB11" s="760"/>
      <c r="BC11" s="760"/>
      <c r="BD11" s="760"/>
      <c r="BE11" s="760"/>
      <c r="BF11" s="760"/>
      <c r="BG11" s="760"/>
      <c r="BH11" s="760"/>
      <c r="BI11" s="761"/>
    </row>
    <row r="12" spans="1:61" ht="15" customHeight="1">
      <c r="A12" s="73"/>
      <c r="B12" s="74"/>
      <c r="C12" s="754" t="s">
        <v>2474</v>
      </c>
      <c r="D12" s="754"/>
      <c r="E12" s="754"/>
      <c r="F12" s="754"/>
      <c r="G12" s="754"/>
      <c r="H12" s="754"/>
      <c r="I12" s="754"/>
      <c r="J12" s="754"/>
      <c r="K12" s="754"/>
      <c r="L12" s="754"/>
      <c r="M12" s="754"/>
      <c r="N12" s="754"/>
      <c r="O12" s="754"/>
      <c r="P12" s="754"/>
      <c r="Q12" s="754"/>
      <c r="R12" s="754"/>
      <c r="S12" s="754"/>
      <c r="T12" s="754"/>
      <c r="U12" s="754"/>
      <c r="V12" s="754"/>
      <c r="W12" s="754"/>
      <c r="X12" s="754"/>
      <c r="Y12" s="754"/>
      <c r="Z12" s="754"/>
      <c r="AA12" s="754"/>
      <c r="AB12" s="754"/>
      <c r="AC12" s="754"/>
      <c r="AD12" s="754"/>
      <c r="AE12" s="754"/>
      <c r="AF12" s="754"/>
      <c r="AG12" s="754"/>
      <c r="AH12" s="754"/>
      <c r="AI12" s="754"/>
      <c r="AJ12" s="754"/>
      <c r="AK12" s="754"/>
      <c r="AL12" s="754"/>
      <c r="AM12" s="754"/>
      <c r="AN12" s="754"/>
      <c r="AO12" s="754"/>
      <c r="AP12" s="754"/>
      <c r="AQ12" s="754"/>
      <c r="AR12" s="754"/>
      <c r="AS12" s="754"/>
      <c r="AT12" s="754"/>
      <c r="AU12" s="754"/>
      <c r="AV12" s="754"/>
      <c r="AW12" s="754"/>
      <c r="AX12" s="754"/>
      <c r="AY12" s="754"/>
      <c r="AZ12" s="754"/>
      <c r="BA12" s="754"/>
      <c r="BB12" s="754"/>
      <c r="BC12" s="754"/>
      <c r="BD12" s="754"/>
      <c r="BE12" s="754"/>
      <c r="BF12" s="754"/>
      <c r="BG12" s="754"/>
      <c r="BH12" s="754"/>
      <c r="BI12" s="755"/>
    </row>
    <row r="13" spans="1:61" ht="15" customHeight="1">
      <c r="A13" s="73"/>
      <c r="B13" s="74"/>
      <c r="C13" s="754" t="s">
        <v>2475</v>
      </c>
      <c r="D13" s="754"/>
      <c r="E13" s="754"/>
      <c r="F13" s="754"/>
      <c r="G13" s="754"/>
      <c r="H13" s="754"/>
      <c r="I13" s="754"/>
      <c r="J13" s="754"/>
      <c r="K13" s="754"/>
      <c r="L13" s="754"/>
      <c r="M13" s="754"/>
      <c r="N13" s="754"/>
      <c r="O13" s="754"/>
      <c r="P13" s="754"/>
      <c r="Q13" s="754"/>
      <c r="R13" s="754"/>
      <c r="S13" s="754"/>
      <c r="T13" s="754"/>
      <c r="U13" s="754"/>
      <c r="V13" s="754"/>
      <c r="W13" s="754"/>
      <c r="X13" s="754"/>
      <c r="Y13" s="754"/>
      <c r="Z13" s="754"/>
      <c r="AA13" s="754"/>
      <c r="AB13" s="754"/>
      <c r="AC13" s="754"/>
      <c r="AD13" s="754"/>
      <c r="AE13" s="754"/>
      <c r="AF13" s="754"/>
      <c r="AG13" s="754"/>
      <c r="AH13" s="754"/>
      <c r="AI13" s="754"/>
      <c r="AJ13" s="754"/>
      <c r="AK13" s="754"/>
      <c r="AL13" s="754"/>
      <c r="AM13" s="754"/>
      <c r="AN13" s="754"/>
      <c r="AO13" s="754"/>
      <c r="AP13" s="754"/>
      <c r="AQ13" s="754"/>
      <c r="AR13" s="754"/>
      <c r="AS13" s="754"/>
      <c r="AT13" s="754"/>
      <c r="AU13" s="754"/>
      <c r="AV13" s="754"/>
      <c r="AW13" s="754"/>
      <c r="AX13" s="754"/>
      <c r="AY13" s="754"/>
      <c r="AZ13" s="754"/>
      <c r="BA13" s="754"/>
      <c r="BB13" s="754"/>
      <c r="BC13" s="754"/>
      <c r="BD13" s="754"/>
      <c r="BE13" s="754"/>
      <c r="BF13" s="754"/>
      <c r="BG13" s="754"/>
      <c r="BH13" s="754"/>
      <c r="BI13" s="755"/>
    </row>
    <row r="14" spans="1:61" ht="15" customHeight="1">
      <c r="A14" s="73"/>
      <c r="B14" s="74"/>
      <c r="C14" s="754" t="s">
        <v>2476</v>
      </c>
      <c r="D14" s="754"/>
      <c r="E14" s="754"/>
      <c r="F14" s="754"/>
      <c r="G14" s="754"/>
      <c r="H14" s="754"/>
      <c r="I14" s="754"/>
      <c r="J14" s="754"/>
      <c r="K14" s="754"/>
      <c r="L14" s="754"/>
      <c r="M14" s="754"/>
      <c r="N14" s="754"/>
      <c r="O14" s="754"/>
      <c r="P14" s="754"/>
      <c r="Q14" s="754"/>
      <c r="R14" s="754"/>
      <c r="S14" s="754"/>
      <c r="T14" s="754"/>
      <c r="U14" s="754"/>
      <c r="V14" s="754"/>
      <c r="W14" s="754"/>
      <c r="X14" s="754"/>
      <c r="Y14" s="754"/>
      <c r="Z14" s="754"/>
      <c r="AA14" s="754"/>
      <c r="AB14" s="754"/>
      <c r="AC14" s="754"/>
      <c r="AD14" s="754"/>
      <c r="AE14" s="754"/>
      <c r="AF14" s="754"/>
      <c r="AG14" s="754"/>
      <c r="AH14" s="754"/>
      <c r="AI14" s="754"/>
      <c r="AJ14" s="754"/>
      <c r="AK14" s="754"/>
      <c r="AL14" s="754"/>
      <c r="AM14" s="754"/>
      <c r="AN14" s="754"/>
      <c r="AO14" s="754"/>
      <c r="AP14" s="754"/>
      <c r="AQ14" s="754"/>
      <c r="AR14" s="754"/>
      <c r="AS14" s="754"/>
      <c r="AT14" s="754"/>
      <c r="AU14" s="754"/>
      <c r="AV14" s="754"/>
      <c r="AW14" s="754"/>
      <c r="AX14" s="754"/>
      <c r="AY14" s="754"/>
      <c r="AZ14" s="754"/>
      <c r="BA14" s="754"/>
      <c r="BB14" s="754"/>
      <c r="BC14" s="754"/>
      <c r="BD14" s="754"/>
      <c r="BE14" s="754"/>
      <c r="BF14" s="754"/>
      <c r="BG14" s="754"/>
      <c r="BH14" s="754"/>
      <c r="BI14" s="755"/>
    </row>
    <row r="15" spans="1:61" ht="15" customHeight="1">
      <c r="A15" s="73"/>
      <c r="B15" s="74"/>
      <c r="C15" s="754" t="s">
        <v>2477</v>
      </c>
      <c r="D15" s="754"/>
      <c r="E15" s="754"/>
      <c r="F15" s="754"/>
      <c r="G15" s="754"/>
      <c r="H15" s="754"/>
      <c r="I15" s="754"/>
      <c r="J15" s="754"/>
      <c r="K15" s="754"/>
      <c r="L15" s="754"/>
      <c r="M15" s="754"/>
      <c r="N15" s="754"/>
      <c r="O15" s="754"/>
      <c r="P15" s="754"/>
      <c r="Q15" s="754"/>
      <c r="R15" s="754"/>
      <c r="S15" s="754"/>
      <c r="T15" s="754"/>
      <c r="U15" s="754"/>
      <c r="V15" s="754"/>
      <c r="W15" s="754"/>
      <c r="X15" s="754"/>
      <c r="Y15" s="754"/>
      <c r="Z15" s="754"/>
      <c r="AA15" s="754"/>
      <c r="AB15" s="754"/>
      <c r="AC15" s="754"/>
      <c r="AD15" s="754"/>
      <c r="AE15" s="754"/>
      <c r="AF15" s="754"/>
      <c r="AG15" s="754"/>
      <c r="AH15" s="754"/>
      <c r="AI15" s="754"/>
      <c r="AJ15" s="754"/>
      <c r="AK15" s="754"/>
      <c r="AL15" s="754"/>
      <c r="AM15" s="754"/>
      <c r="AN15" s="754"/>
      <c r="AO15" s="754"/>
      <c r="AP15" s="754"/>
      <c r="AQ15" s="754"/>
      <c r="AR15" s="754"/>
      <c r="AS15" s="754"/>
      <c r="AT15" s="754"/>
      <c r="AU15" s="754"/>
      <c r="AV15" s="754"/>
      <c r="AW15" s="754"/>
      <c r="AX15" s="754"/>
      <c r="AY15" s="754"/>
      <c r="AZ15" s="754"/>
      <c r="BA15" s="754"/>
      <c r="BB15" s="754"/>
      <c r="BC15" s="754"/>
      <c r="BD15" s="754"/>
      <c r="BE15" s="754"/>
      <c r="BF15" s="754"/>
      <c r="BG15" s="754"/>
      <c r="BH15" s="754"/>
      <c r="BI15" s="755"/>
    </row>
    <row r="16" spans="1:61" ht="15" customHeight="1">
      <c r="A16" s="73"/>
      <c r="B16" s="74"/>
      <c r="C16" s="754" t="s">
        <v>2478</v>
      </c>
      <c r="D16" s="754"/>
      <c r="E16" s="754"/>
      <c r="F16" s="754"/>
      <c r="G16" s="754"/>
      <c r="H16" s="754"/>
      <c r="I16" s="754"/>
      <c r="J16" s="754"/>
      <c r="K16" s="754"/>
      <c r="L16" s="754"/>
      <c r="M16" s="754"/>
      <c r="N16" s="754"/>
      <c r="O16" s="754"/>
      <c r="P16" s="754"/>
      <c r="Q16" s="754"/>
      <c r="R16" s="754"/>
      <c r="S16" s="754"/>
      <c r="T16" s="754"/>
      <c r="U16" s="754"/>
      <c r="V16" s="754"/>
      <c r="W16" s="754"/>
      <c r="X16" s="754"/>
      <c r="Y16" s="754"/>
      <c r="Z16" s="754"/>
      <c r="AA16" s="754"/>
      <c r="AB16" s="754"/>
      <c r="AC16" s="754"/>
      <c r="AD16" s="754"/>
      <c r="AE16" s="754"/>
      <c r="AF16" s="754"/>
      <c r="AG16" s="754"/>
      <c r="AH16" s="754"/>
      <c r="AI16" s="754"/>
      <c r="AJ16" s="754"/>
      <c r="AK16" s="754"/>
      <c r="AL16" s="754"/>
      <c r="AM16" s="754"/>
      <c r="AN16" s="754"/>
      <c r="AO16" s="754"/>
      <c r="AP16" s="754"/>
      <c r="AQ16" s="754"/>
      <c r="AR16" s="754"/>
      <c r="AS16" s="754"/>
      <c r="AT16" s="754"/>
      <c r="AU16" s="754"/>
      <c r="AV16" s="754"/>
      <c r="AW16" s="754"/>
      <c r="AX16" s="754"/>
      <c r="AY16" s="754"/>
      <c r="AZ16" s="754"/>
      <c r="BA16" s="754"/>
      <c r="BB16" s="754"/>
      <c r="BC16" s="754"/>
      <c r="BD16" s="754"/>
      <c r="BE16" s="754"/>
      <c r="BF16" s="754"/>
      <c r="BG16" s="754"/>
      <c r="BH16" s="754"/>
      <c r="BI16" s="755"/>
    </row>
    <row r="17" spans="1:63" ht="15" customHeight="1">
      <c r="A17" s="73"/>
      <c r="B17" s="76"/>
      <c r="C17" s="754" t="s">
        <v>2479</v>
      </c>
      <c r="D17" s="754"/>
      <c r="E17" s="754"/>
      <c r="F17" s="754"/>
      <c r="G17" s="754"/>
      <c r="H17" s="754"/>
      <c r="I17" s="754"/>
      <c r="J17" s="754"/>
      <c r="K17" s="754"/>
      <c r="L17" s="754"/>
      <c r="M17" s="754"/>
      <c r="N17" s="754"/>
      <c r="O17" s="754"/>
      <c r="P17" s="754"/>
      <c r="Q17" s="754"/>
      <c r="R17" s="754"/>
      <c r="S17" s="754"/>
      <c r="T17" s="754"/>
      <c r="U17" s="754"/>
      <c r="V17" s="754"/>
      <c r="W17" s="754"/>
      <c r="X17" s="754"/>
      <c r="Y17" s="754"/>
      <c r="Z17" s="754"/>
      <c r="AA17" s="754"/>
      <c r="AB17" s="754"/>
      <c r="AC17" s="754"/>
      <c r="AD17" s="754"/>
      <c r="AE17" s="754"/>
      <c r="AF17" s="754"/>
      <c r="AG17" s="754"/>
      <c r="AH17" s="754"/>
      <c r="AI17" s="754"/>
      <c r="AJ17" s="754"/>
      <c r="AK17" s="754"/>
      <c r="AL17" s="754"/>
      <c r="AM17" s="754"/>
      <c r="AN17" s="754"/>
      <c r="AO17" s="754"/>
      <c r="AP17" s="754"/>
      <c r="AQ17" s="754"/>
      <c r="AR17" s="754"/>
      <c r="AS17" s="754"/>
      <c r="AT17" s="754"/>
      <c r="AU17" s="754"/>
      <c r="AV17" s="754"/>
      <c r="AW17" s="754"/>
      <c r="AX17" s="754"/>
      <c r="AY17" s="754"/>
      <c r="AZ17" s="754"/>
      <c r="BA17" s="754"/>
      <c r="BB17" s="754"/>
      <c r="BC17" s="754"/>
      <c r="BD17" s="754"/>
      <c r="BE17" s="754"/>
      <c r="BF17" s="754"/>
      <c r="BG17" s="754"/>
      <c r="BH17" s="754"/>
      <c r="BI17" s="755"/>
    </row>
    <row r="18" spans="1:63" ht="15" customHeight="1">
      <c r="A18" s="73"/>
      <c r="B18" s="76"/>
      <c r="C18" s="754" t="s">
        <v>2480</v>
      </c>
      <c r="D18" s="754"/>
      <c r="E18" s="754"/>
      <c r="F18" s="754"/>
      <c r="G18" s="754"/>
      <c r="H18" s="754"/>
      <c r="I18" s="754"/>
      <c r="J18" s="754"/>
      <c r="K18" s="754"/>
      <c r="L18" s="754"/>
      <c r="M18" s="754"/>
      <c r="N18" s="754"/>
      <c r="O18" s="754"/>
      <c r="P18" s="754"/>
      <c r="Q18" s="754"/>
      <c r="R18" s="754"/>
      <c r="S18" s="754"/>
      <c r="T18" s="754"/>
      <c r="U18" s="754"/>
      <c r="V18" s="754"/>
      <c r="W18" s="754"/>
      <c r="X18" s="754"/>
      <c r="Y18" s="754"/>
      <c r="Z18" s="754"/>
      <c r="AA18" s="754"/>
      <c r="AB18" s="754"/>
      <c r="AC18" s="754"/>
      <c r="AD18" s="754"/>
      <c r="AE18" s="754"/>
      <c r="AF18" s="754"/>
      <c r="AG18" s="754"/>
      <c r="AH18" s="754"/>
      <c r="AI18" s="754"/>
      <c r="AJ18" s="754"/>
      <c r="AK18" s="754"/>
      <c r="AL18" s="754"/>
      <c r="AM18" s="754"/>
      <c r="AN18" s="754"/>
      <c r="AO18" s="754"/>
      <c r="AP18" s="754"/>
      <c r="AQ18" s="754"/>
      <c r="AR18" s="754"/>
      <c r="AS18" s="754"/>
      <c r="AT18" s="754"/>
      <c r="AU18" s="754"/>
      <c r="AV18" s="754"/>
      <c r="AW18" s="754"/>
      <c r="AX18" s="754"/>
      <c r="AY18" s="754"/>
      <c r="AZ18" s="754"/>
      <c r="BA18" s="754"/>
      <c r="BB18" s="754"/>
      <c r="BC18" s="754"/>
      <c r="BD18" s="754"/>
      <c r="BE18" s="754"/>
      <c r="BF18" s="754"/>
      <c r="BG18" s="754"/>
      <c r="BH18" s="754"/>
      <c r="BI18" s="755"/>
    </row>
    <row r="19" spans="1:63" ht="48" customHeight="1">
      <c r="A19" s="73"/>
      <c r="B19" s="76"/>
      <c r="C19" s="77"/>
      <c r="D19" s="754" t="s">
        <v>2481</v>
      </c>
      <c r="E19" s="754"/>
      <c r="F19" s="754"/>
      <c r="G19" s="754"/>
      <c r="H19" s="754"/>
      <c r="I19" s="754"/>
      <c r="J19" s="754"/>
      <c r="K19" s="754"/>
      <c r="L19" s="754"/>
      <c r="M19" s="754"/>
      <c r="N19" s="754"/>
      <c r="O19" s="754"/>
      <c r="P19" s="754"/>
      <c r="Q19" s="754"/>
      <c r="R19" s="754"/>
      <c r="S19" s="754"/>
      <c r="T19" s="754"/>
      <c r="U19" s="754"/>
      <c r="V19" s="754"/>
      <c r="W19" s="754"/>
      <c r="X19" s="754"/>
      <c r="Y19" s="754"/>
      <c r="Z19" s="754"/>
      <c r="AA19" s="754"/>
      <c r="AB19" s="754"/>
      <c r="AC19" s="754"/>
      <c r="AD19" s="754"/>
      <c r="AE19" s="754"/>
      <c r="AF19" s="754"/>
      <c r="AG19" s="754"/>
      <c r="AH19" s="754"/>
      <c r="AI19" s="754"/>
      <c r="AJ19" s="754"/>
      <c r="AK19" s="754"/>
      <c r="AL19" s="754"/>
      <c r="AM19" s="754"/>
      <c r="AN19" s="754"/>
      <c r="AO19" s="754"/>
      <c r="AP19" s="754"/>
      <c r="AQ19" s="754"/>
      <c r="AR19" s="754"/>
      <c r="AS19" s="754"/>
      <c r="AT19" s="754"/>
      <c r="AU19" s="754"/>
      <c r="AV19" s="754"/>
      <c r="AW19" s="754"/>
      <c r="AX19" s="754"/>
      <c r="AY19" s="754"/>
      <c r="AZ19" s="754"/>
      <c r="BA19" s="754"/>
      <c r="BB19" s="754"/>
      <c r="BC19" s="754"/>
      <c r="BD19" s="754"/>
      <c r="BE19" s="754"/>
      <c r="BF19" s="754"/>
      <c r="BG19" s="754"/>
      <c r="BH19" s="754"/>
      <c r="BI19" s="755"/>
    </row>
    <row r="20" spans="1:63" ht="15" customHeight="1">
      <c r="A20" s="73"/>
      <c r="B20" s="76"/>
      <c r="C20" s="756" t="s">
        <v>2482</v>
      </c>
      <c r="D20" s="756"/>
      <c r="E20" s="756"/>
      <c r="F20" s="756"/>
      <c r="G20" s="756"/>
      <c r="H20" s="756"/>
      <c r="I20" s="756"/>
      <c r="J20" s="756"/>
      <c r="K20" s="756"/>
      <c r="L20" s="756"/>
      <c r="M20" s="756"/>
      <c r="N20" s="756"/>
      <c r="O20" s="756"/>
      <c r="P20" s="756"/>
      <c r="Q20" s="756"/>
      <c r="R20" s="756"/>
      <c r="S20" s="756"/>
      <c r="T20" s="756"/>
      <c r="U20" s="756"/>
      <c r="V20" s="756"/>
      <c r="W20" s="756"/>
      <c r="X20" s="756"/>
      <c r="Y20" s="756"/>
      <c r="Z20" s="756"/>
      <c r="AA20" s="756"/>
      <c r="AB20" s="756"/>
      <c r="AC20" s="756"/>
      <c r="AD20" s="756"/>
      <c r="AE20" s="756"/>
      <c r="AF20" s="756"/>
      <c r="AG20" s="756"/>
      <c r="AH20" s="756"/>
      <c r="AI20" s="756"/>
      <c r="AJ20" s="756"/>
      <c r="AK20" s="756"/>
      <c r="AL20" s="756"/>
      <c r="AM20" s="756"/>
      <c r="AN20" s="756"/>
      <c r="AO20" s="756"/>
      <c r="AP20" s="756"/>
      <c r="AQ20" s="756"/>
      <c r="AR20" s="756"/>
      <c r="AS20" s="756"/>
      <c r="AT20" s="756"/>
      <c r="AU20" s="756"/>
      <c r="AV20" s="756"/>
      <c r="AW20" s="756"/>
      <c r="AX20" s="756"/>
      <c r="AY20" s="756"/>
      <c r="AZ20" s="756"/>
      <c r="BA20" s="756"/>
      <c r="BB20" s="756"/>
      <c r="BC20" s="756"/>
      <c r="BD20" s="756"/>
      <c r="BE20" s="756"/>
      <c r="BF20" s="756"/>
      <c r="BG20" s="756"/>
      <c r="BH20" s="756"/>
      <c r="BI20" s="757"/>
    </row>
    <row r="21" spans="1:63" ht="15" customHeight="1">
      <c r="A21" s="73"/>
      <c r="B21" s="76"/>
      <c r="D21" s="762" t="s">
        <v>2483</v>
      </c>
      <c r="E21" s="762"/>
      <c r="F21" s="762"/>
      <c r="G21" s="762"/>
      <c r="H21" s="762"/>
      <c r="I21" s="762"/>
      <c r="J21" s="762"/>
      <c r="K21" s="762"/>
      <c r="L21" s="762"/>
      <c r="M21" s="762"/>
      <c r="N21" s="762"/>
      <c r="O21" s="762"/>
      <c r="P21" s="762"/>
      <c r="Q21" s="762"/>
      <c r="R21" s="762"/>
      <c r="S21" s="762"/>
      <c r="T21" s="762"/>
      <c r="U21" s="762"/>
      <c r="V21" s="762"/>
      <c r="W21" s="762"/>
      <c r="X21" s="762"/>
      <c r="Y21" s="762"/>
      <c r="Z21" s="762"/>
      <c r="AA21" s="762"/>
      <c r="AB21" s="762"/>
      <c r="AC21" s="762"/>
      <c r="AD21" s="762"/>
      <c r="AE21" s="762"/>
      <c r="AF21" s="762"/>
      <c r="AG21" s="762"/>
      <c r="AH21" s="762"/>
      <c r="AI21" s="762"/>
      <c r="AJ21" s="762"/>
      <c r="AK21" s="762"/>
      <c r="AL21" s="762"/>
      <c r="AM21" s="762"/>
      <c r="AN21" s="762"/>
      <c r="AO21" s="762"/>
      <c r="AP21" s="762"/>
      <c r="AQ21" s="762"/>
      <c r="AR21" s="762"/>
      <c r="AS21" s="762"/>
      <c r="AT21" s="762"/>
      <c r="AU21" s="762"/>
      <c r="AV21" s="762"/>
      <c r="AW21" s="762"/>
      <c r="AX21" s="762"/>
      <c r="AY21" s="762"/>
      <c r="AZ21" s="762"/>
      <c r="BA21" s="762"/>
      <c r="BB21" s="762"/>
      <c r="BC21" s="762"/>
      <c r="BD21" s="762"/>
      <c r="BE21" s="762"/>
      <c r="BF21" s="762"/>
      <c r="BG21" s="762"/>
      <c r="BH21" s="762"/>
      <c r="BI21" s="763"/>
    </row>
    <row r="22" spans="1:63" ht="15" customHeight="1">
      <c r="A22" s="73"/>
      <c r="B22" s="76"/>
      <c r="D22" s="762" t="s">
        <v>2484</v>
      </c>
      <c r="E22" s="762"/>
      <c r="F22" s="762"/>
      <c r="G22" s="762"/>
      <c r="H22" s="762"/>
      <c r="I22" s="762"/>
      <c r="J22" s="762"/>
      <c r="K22" s="762"/>
      <c r="L22" s="762"/>
      <c r="M22" s="762"/>
      <c r="N22" s="762"/>
      <c r="O22" s="762"/>
      <c r="P22" s="762"/>
      <c r="Q22" s="762"/>
      <c r="R22" s="762"/>
      <c r="S22" s="762"/>
      <c r="T22" s="762"/>
      <c r="U22" s="762"/>
      <c r="V22" s="762"/>
      <c r="W22" s="762"/>
      <c r="X22" s="762"/>
      <c r="Y22" s="762"/>
      <c r="Z22" s="762"/>
      <c r="AA22" s="762"/>
      <c r="AB22" s="762"/>
      <c r="AC22" s="762"/>
      <c r="AD22" s="762"/>
      <c r="AE22" s="762"/>
      <c r="AF22" s="762"/>
      <c r="AG22" s="762"/>
      <c r="AH22" s="762"/>
      <c r="AI22" s="762"/>
      <c r="AJ22" s="762"/>
      <c r="AK22" s="762"/>
      <c r="AL22" s="762"/>
      <c r="AM22" s="762"/>
      <c r="AN22" s="762"/>
      <c r="AO22" s="762"/>
      <c r="AP22" s="762"/>
      <c r="AQ22" s="762"/>
      <c r="AR22" s="762"/>
      <c r="AS22" s="762"/>
      <c r="AT22" s="762"/>
      <c r="AU22" s="762"/>
      <c r="AV22" s="762"/>
      <c r="AW22" s="762"/>
      <c r="AX22" s="762"/>
      <c r="AY22" s="762"/>
      <c r="AZ22" s="762"/>
      <c r="BA22" s="762"/>
      <c r="BB22" s="762"/>
      <c r="BC22" s="762"/>
      <c r="BD22" s="762"/>
      <c r="BE22" s="762"/>
      <c r="BF22" s="762"/>
      <c r="BG22" s="762"/>
      <c r="BH22" s="762"/>
      <c r="BI22" s="763"/>
    </row>
    <row r="23" spans="1:63" ht="15" customHeight="1">
      <c r="A23" s="73"/>
      <c r="B23" s="76"/>
      <c r="D23" s="762" t="s">
        <v>2485</v>
      </c>
      <c r="E23" s="762"/>
      <c r="F23" s="762"/>
      <c r="G23" s="762"/>
      <c r="H23" s="762"/>
      <c r="I23" s="762"/>
      <c r="J23" s="762"/>
      <c r="K23" s="762"/>
      <c r="L23" s="762"/>
      <c r="M23" s="762"/>
      <c r="N23" s="762"/>
      <c r="O23" s="762"/>
      <c r="P23" s="762"/>
      <c r="Q23" s="762"/>
      <c r="R23" s="762"/>
      <c r="S23" s="762"/>
      <c r="T23" s="762"/>
      <c r="U23" s="762"/>
      <c r="V23" s="762"/>
      <c r="W23" s="762"/>
      <c r="X23" s="762"/>
      <c r="Y23" s="762"/>
      <c r="Z23" s="762"/>
      <c r="AA23" s="762"/>
      <c r="AB23" s="762"/>
      <c r="AC23" s="762"/>
      <c r="AD23" s="762"/>
      <c r="AE23" s="762"/>
      <c r="AF23" s="762"/>
      <c r="AG23" s="762"/>
      <c r="AH23" s="762"/>
      <c r="AI23" s="762"/>
      <c r="AJ23" s="762"/>
      <c r="AK23" s="762"/>
      <c r="AL23" s="762"/>
      <c r="AM23" s="762"/>
      <c r="AN23" s="762"/>
      <c r="AO23" s="762"/>
      <c r="AP23" s="762"/>
      <c r="AQ23" s="762"/>
      <c r="AR23" s="762"/>
      <c r="AS23" s="762"/>
      <c r="AT23" s="762"/>
      <c r="AU23" s="762"/>
      <c r="AV23" s="762"/>
      <c r="AW23" s="762"/>
      <c r="AX23" s="762"/>
      <c r="AY23" s="762"/>
      <c r="AZ23" s="762"/>
      <c r="BA23" s="762"/>
      <c r="BB23" s="762"/>
      <c r="BC23" s="762"/>
      <c r="BD23" s="762"/>
      <c r="BE23" s="762"/>
      <c r="BF23" s="762"/>
      <c r="BG23" s="762"/>
      <c r="BH23" s="762"/>
      <c r="BI23" s="763"/>
    </row>
    <row r="24" spans="1:63" ht="195.95" customHeight="1">
      <c r="A24" s="78"/>
      <c r="B24" s="79"/>
      <c r="C24" s="78"/>
      <c r="D24" s="78"/>
      <c r="E24" s="754" t="s">
        <v>2486</v>
      </c>
      <c r="F24" s="754"/>
      <c r="G24" s="754"/>
      <c r="H24" s="754"/>
      <c r="I24" s="754"/>
      <c r="J24" s="754"/>
      <c r="K24" s="754"/>
      <c r="L24" s="754"/>
      <c r="M24" s="754"/>
      <c r="N24" s="754"/>
      <c r="O24" s="754"/>
      <c r="P24" s="754"/>
      <c r="Q24" s="754"/>
      <c r="R24" s="754"/>
      <c r="S24" s="754"/>
      <c r="T24" s="754"/>
      <c r="U24" s="754"/>
      <c r="V24" s="754"/>
      <c r="W24" s="754"/>
      <c r="X24" s="754"/>
      <c r="Y24" s="754"/>
      <c r="Z24" s="754"/>
      <c r="AA24" s="754"/>
      <c r="AB24" s="754"/>
      <c r="AC24" s="754"/>
      <c r="AD24" s="754"/>
      <c r="AE24" s="754"/>
      <c r="AF24" s="754"/>
      <c r="AG24" s="754"/>
      <c r="AH24" s="754"/>
      <c r="AI24" s="754"/>
      <c r="AJ24" s="754"/>
      <c r="AK24" s="754"/>
      <c r="AL24" s="754"/>
      <c r="AM24" s="754"/>
      <c r="AN24" s="754"/>
      <c r="AO24" s="754"/>
      <c r="AP24" s="754"/>
      <c r="AQ24" s="754"/>
      <c r="AR24" s="754"/>
      <c r="AS24" s="754"/>
      <c r="AT24" s="754"/>
      <c r="AU24" s="754"/>
      <c r="AV24" s="754"/>
      <c r="AW24" s="754"/>
      <c r="AX24" s="754"/>
      <c r="AY24" s="754"/>
      <c r="AZ24" s="754"/>
      <c r="BA24" s="754"/>
      <c r="BB24" s="754"/>
      <c r="BC24" s="754"/>
      <c r="BD24" s="754"/>
      <c r="BE24" s="754"/>
      <c r="BF24" s="754"/>
      <c r="BG24" s="754"/>
      <c r="BH24" s="754"/>
      <c r="BI24" s="755"/>
    </row>
    <row r="25" spans="1:63" ht="15" customHeight="1">
      <c r="A25" s="73"/>
      <c r="B25" s="80"/>
      <c r="C25" s="81"/>
      <c r="D25" s="764" t="s">
        <v>2487</v>
      </c>
      <c r="E25" s="764"/>
      <c r="F25" s="764"/>
      <c r="G25" s="764"/>
      <c r="H25" s="764"/>
      <c r="I25" s="764"/>
      <c r="J25" s="764"/>
      <c r="K25" s="764"/>
      <c r="L25" s="764"/>
      <c r="M25" s="764"/>
      <c r="N25" s="764"/>
      <c r="O25" s="764"/>
      <c r="P25" s="764"/>
      <c r="Q25" s="764"/>
      <c r="R25" s="764"/>
      <c r="S25" s="764"/>
      <c r="T25" s="764"/>
      <c r="U25" s="764"/>
      <c r="V25" s="764"/>
      <c r="W25" s="764"/>
      <c r="X25" s="764"/>
      <c r="Y25" s="764"/>
      <c r="Z25" s="764"/>
      <c r="AA25" s="764"/>
      <c r="AB25" s="764"/>
      <c r="AC25" s="764"/>
      <c r="AD25" s="764"/>
      <c r="AE25" s="764"/>
      <c r="AF25" s="764"/>
      <c r="AG25" s="764"/>
      <c r="AH25" s="764"/>
      <c r="AI25" s="764"/>
      <c r="AJ25" s="764"/>
      <c r="AK25" s="764"/>
      <c r="AL25" s="764"/>
      <c r="AM25" s="764"/>
      <c r="AN25" s="764"/>
      <c r="AO25" s="764"/>
      <c r="AP25" s="764"/>
      <c r="AQ25" s="764"/>
      <c r="AR25" s="764"/>
      <c r="AS25" s="764"/>
      <c r="AT25" s="764"/>
      <c r="AU25" s="764"/>
      <c r="AV25" s="764"/>
      <c r="AW25" s="764"/>
      <c r="AX25" s="764"/>
      <c r="AY25" s="764"/>
      <c r="AZ25" s="764"/>
      <c r="BA25" s="764"/>
      <c r="BB25" s="764"/>
      <c r="BC25" s="764"/>
      <c r="BD25" s="764"/>
      <c r="BE25" s="764"/>
      <c r="BF25" s="764"/>
      <c r="BG25" s="764"/>
      <c r="BH25" s="764"/>
      <c r="BI25" s="765"/>
    </row>
    <row r="26" spans="1:63" ht="15" customHeight="1" thickBot="1">
      <c r="A26" s="73"/>
      <c r="B26" s="38"/>
      <c r="C26" s="77"/>
      <c r="D26" s="77"/>
      <c r="E26" s="77"/>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c r="AF26" s="77"/>
      <c r="AG26" s="77"/>
      <c r="AH26" s="77"/>
      <c r="AI26" s="77"/>
      <c r="AJ26" s="77"/>
      <c r="AK26" s="77"/>
      <c r="AL26" s="77"/>
      <c r="AM26" s="77"/>
      <c r="AN26" s="77"/>
      <c r="AO26" s="77"/>
      <c r="AP26" s="77"/>
      <c r="AQ26" s="77"/>
      <c r="AR26" s="77"/>
      <c r="AS26" s="77"/>
      <c r="AT26" s="77"/>
      <c r="AU26" s="77"/>
      <c r="AV26" s="77"/>
      <c r="AW26" s="77"/>
      <c r="AX26" s="77"/>
      <c r="AY26" s="77"/>
      <c r="AZ26" s="77"/>
      <c r="BA26" s="77"/>
      <c r="BB26" s="77"/>
      <c r="BC26" s="77"/>
    </row>
    <row r="27" spans="1:63" customFormat="1" ht="15" customHeight="1">
      <c r="A27" s="16"/>
      <c r="B27" s="766" t="s">
        <v>2488</v>
      </c>
      <c r="C27" s="768" t="s">
        <v>2489</v>
      </c>
      <c r="D27" s="768"/>
      <c r="E27" s="768"/>
      <c r="F27" s="768" t="s">
        <v>2490</v>
      </c>
      <c r="G27" s="768"/>
      <c r="H27" s="768"/>
      <c r="I27" s="768" t="s">
        <v>2491</v>
      </c>
      <c r="J27" s="768"/>
      <c r="K27" s="768"/>
      <c r="L27" s="768" t="s">
        <v>2492</v>
      </c>
      <c r="M27" s="768"/>
      <c r="N27" s="768"/>
      <c r="O27" s="768" t="s">
        <v>2493</v>
      </c>
      <c r="P27" s="768"/>
      <c r="Q27" s="768"/>
      <c r="R27" s="768"/>
      <c r="S27" s="768" t="s">
        <v>2494</v>
      </c>
      <c r="T27" s="768"/>
      <c r="U27" s="768"/>
      <c r="V27" s="768"/>
      <c r="W27" s="768" t="s">
        <v>2495</v>
      </c>
      <c r="X27" s="768"/>
      <c r="Y27" s="768"/>
      <c r="Z27" s="768" t="s">
        <v>2496</v>
      </c>
      <c r="AA27" s="768"/>
      <c r="AB27" s="768"/>
      <c r="AC27" s="768" t="s">
        <v>2497</v>
      </c>
      <c r="AD27" s="768"/>
      <c r="AE27" s="768"/>
      <c r="AF27" s="768" t="s">
        <v>2498</v>
      </c>
      <c r="AG27" s="768"/>
      <c r="AH27" s="768"/>
      <c r="AI27" s="768"/>
      <c r="AJ27" s="768"/>
      <c r="AK27" s="768"/>
      <c r="AL27" s="768"/>
      <c r="AM27" s="768"/>
      <c r="AN27" s="768"/>
      <c r="AO27" s="768"/>
      <c r="AP27" s="768"/>
      <c r="AQ27" s="768"/>
      <c r="AR27" s="768"/>
      <c r="AS27" s="768"/>
      <c r="AT27" s="768"/>
      <c r="AU27" s="768"/>
      <c r="AV27" s="768"/>
      <c r="AW27" s="768"/>
      <c r="AX27" s="768"/>
      <c r="AY27" s="768"/>
      <c r="AZ27" s="768"/>
      <c r="BA27" s="768"/>
      <c r="BB27" s="768"/>
      <c r="BC27" s="768"/>
      <c r="BD27" s="768"/>
      <c r="BE27" s="768"/>
      <c r="BF27" s="768"/>
      <c r="BG27" s="768"/>
      <c r="BH27" s="768"/>
      <c r="BI27" s="770"/>
    </row>
    <row r="28" spans="1:63" customFormat="1" ht="15" customHeight="1">
      <c r="A28" s="16"/>
      <c r="B28" s="767"/>
      <c r="C28" s="769"/>
      <c r="D28" s="769"/>
      <c r="E28" s="769"/>
      <c r="F28" s="769"/>
      <c r="G28" s="769"/>
      <c r="H28" s="769"/>
      <c r="I28" s="769"/>
      <c r="J28" s="769"/>
      <c r="K28" s="769"/>
      <c r="L28" s="769"/>
      <c r="M28" s="769"/>
      <c r="N28" s="769"/>
      <c r="O28" s="769"/>
      <c r="P28" s="769"/>
      <c r="Q28" s="769"/>
      <c r="R28" s="769"/>
      <c r="S28" s="769"/>
      <c r="T28" s="769"/>
      <c r="U28" s="769"/>
      <c r="V28" s="769"/>
      <c r="W28" s="769"/>
      <c r="X28" s="769"/>
      <c r="Y28" s="769"/>
      <c r="Z28" s="769"/>
      <c r="AA28" s="769"/>
      <c r="AB28" s="769"/>
      <c r="AC28" s="769"/>
      <c r="AD28" s="769"/>
      <c r="AE28" s="769"/>
      <c r="AF28" s="769" t="s">
        <v>2499</v>
      </c>
      <c r="AG28" s="769"/>
      <c r="AH28" s="769"/>
      <c r="AI28" s="769"/>
      <c r="AJ28" s="769"/>
      <c r="AK28" s="769"/>
      <c r="AL28" s="769"/>
      <c r="AM28" s="769"/>
      <c r="AN28" s="769" t="s">
        <v>2500</v>
      </c>
      <c r="AO28" s="769"/>
      <c r="AP28" s="769"/>
      <c r="AQ28" s="769"/>
      <c r="AR28" s="769"/>
      <c r="AS28" s="769"/>
      <c r="AT28" s="769"/>
      <c r="AU28" s="769"/>
      <c r="AV28" s="769" t="s">
        <v>2501</v>
      </c>
      <c r="AW28" s="769"/>
      <c r="AX28" s="769"/>
      <c r="AY28" s="769"/>
      <c r="AZ28" s="769"/>
      <c r="BA28" s="769"/>
      <c r="BB28" s="769"/>
      <c r="BC28" s="769"/>
      <c r="BD28" s="771" t="s">
        <v>2502</v>
      </c>
      <c r="BE28" s="772"/>
      <c r="BF28" s="772"/>
      <c r="BG28" s="772"/>
      <c r="BH28" s="772"/>
      <c r="BI28" s="773"/>
    </row>
    <row r="29" spans="1:63" customFormat="1" ht="24" customHeight="1">
      <c r="A29" s="16"/>
      <c r="B29" s="767"/>
      <c r="C29" s="769"/>
      <c r="D29" s="769"/>
      <c r="E29" s="769"/>
      <c r="F29" s="769"/>
      <c r="G29" s="769"/>
      <c r="H29" s="769"/>
      <c r="I29" s="769"/>
      <c r="J29" s="769"/>
      <c r="K29" s="769"/>
      <c r="L29" s="769"/>
      <c r="M29" s="769"/>
      <c r="N29" s="769"/>
      <c r="O29" s="769"/>
      <c r="P29" s="769"/>
      <c r="Q29" s="769"/>
      <c r="R29" s="769"/>
      <c r="S29" s="769"/>
      <c r="T29" s="769"/>
      <c r="U29" s="769"/>
      <c r="V29" s="769"/>
      <c r="W29" s="769"/>
      <c r="X29" s="769"/>
      <c r="Y29" s="769"/>
      <c r="Z29" s="769"/>
      <c r="AA29" s="769"/>
      <c r="AB29" s="769"/>
      <c r="AC29" s="769"/>
      <c r="AD29" s="769"/>
      <c r="AE29" s="769"/>
      <c r="AF29" s="769" t="s">
        <v>2503</v>
      </c>
      <c r="AG29" s="769"/>
      <c r="AH29" s="769"/>
      <c r="AI29" s="769"/>
      <c r="AJ29" s="769" t="s">
        <v>2504</v>
      </c>
      <c r="AK29" s="769"/>
      <c r="AL29" s="769"/>
      <c r="AM29" s="769"/>
      <c r="AN29" s="769" t="s">
        <v>2503</v>
      </c>
      <c r="AO29" s="769"/>
      <c r="AP29" s="769"/>
      <c r="AQ29" s="769"/>
      <c r="AR29" s="769" t="s">
        <v>2504</v>
      </c>
      <c r="AS29" s="769"/>
      <c r="AT29" s="769"/>
      <c r="AU29" s="769"/>
      <c r="AV29" s="769" t="s">
        <v>2503</v>
      </c>
      <c r="AW29" s="769"/>
      <c r="AX29" s="769"/>
      <c r="AY29" s="769"/>
      <c r="AZ29" s="769" t="s">
        <v>2504</v>
      </c>
      <c r="BA29" s="769"/>
      <c r="BB29" s="769"/>
      <c r="BC29" s="769"/>
      <c r="BD29" s="774"/>
      <c r="BE29" s="775"/>
      <c r="BF29" s="775"/>
      <c r="BG29" s="775"/>
      <c r="BH29" s="775"/>
      <c r="BI29" s="776"/>
    </row>
    <row r="30" spans="1:63" customFormat="1" ht="48" customHeight="1">
      <c r="A30" s="17"/>
      <c r="B30" s="18" t="s">
        <v>2505</v>
      </c>
      <c r="C30" s="777" t="s">
        <v>2506</v>
      </c>
      <c r="D30" s="777"/>
      <c r="E30" s="777"/>
      <c r="F30" s="777" t="s">
        <v>537</v>
      </c>
      <c r="G30" s="777"/>
      <c r="H30" s="777"/>
      <c r="I30" s="777" t="s">
        <v>2507</v>
      </c>
      <c r="J30" s="777"/>
      <c r="K30" s="777"/>
      <c r="L30" s="777" t="s">
        <v>552</v>
      </c>
      <c r="M30" s="777"/>
      <c r="N30" s="777"/>
      <c r="O30" s="777" t="s">
        <v>2508</v>
      </c>
      <c r="P30" s="777"/>
      <c r="Q30" s="777"/>
      <c r="R30" s="777"/>
      <c r="S30" s="777" t="s">
        <v>2509</v>
      </c>
      <c r="T30" s="777"/>
      <c r="U30" s="777"/>
      <c r="V30" s="777"/>
      <c r="W30" s="777" t="s">
        <v>2510</v>
      </c>
      <c r="X30" s="777"/>
      <c r="Y30" s="777"/>
      <c r="Z30" s="778" t="s">
        <v>2511</v>
      </c>
      <c r="AA30" s="779"/>
      <c r="AB30" s="779"/>
      <c r="AC30" s="777" t="s">
        <v>2512</v>
      </c>
      <c r="AD30" s="777"/>
      <c r="AE30" s="777"/>
      <c r="AF30" s="780" t="s">
        <v>2513</v>
      </c>
      <c r="AG30" s="780"/>
      <c r="AH30" s="780"/>
      <c r="AI30" s="780"/>
      <c r="AJ30" s="781">
        <v>3</v>
      </c>
      <c r="AK30" s="781"/>
      <c r="AL30" s="781"/>
      <c r="AM30" s="781"/>
      <c r="AN30" s="780" t="s">
        <v>2514</v>
      </c>
      <c r="AO30" s="780"/>
      <c r="AP30" s="780"/>
      <c r="AQ30" s="780"/>
      <c r="AR30" s="781">
        <v>1</v>
      </c>
      <c r="AS30" s="781"/>
      <c r="AT30" s="781"/>
      <c r="AU30" s="781"/>
      <c r="AV30" s="780" t="s">
        <v>2515</v>
      </c>
      <c r="AW30" s="780"/>
      <c r="AX30" s="780"/>
      <c r="AY30" s="780"/>
      <c r="AZ30" s="781">
        <v>9</v>
      </c>
      <c r="BA30" s="781"/>
      <c r="BB30" s="781"/>
      <c r="BC30" s="781"/>
      <c r="BD30" s="783"/>
      <c r="BE30" s="784"/>
      <c r="BF30" s="784"/>
      <c r="BG30" s="784"/>
      <c r="BH30" s="784"/>
      <c r="BI30" s="785"/>
    </row>
    <row r="31" spans="1:63" ht="15" customHeight="1">
      <c r="B31" s="71" t="s">
        <v>2516</v>
      </c>
      <c r="C31" s="782"/>
      <c r="D31" s="782"/>
      <c r="E31" s="782"/>
      <c r="F31" s="782"/>
      <c r="G31" s="782"/>
      <c r="H31" s="782"/>
      <c r="I31" s="782"/>
      <c r="J31" s="782"/>
      <c r="K31" s="782"/>
      <c r="L31" s="782"/>
      <c r="M31" s="782"/>
      <c r="N31" s="782"/>
      <c r="O31" s="782"/>
      <c r="P31" s="782"/>
      <c r="Q31" s="782"/>
      <c r="R31" s="782"/>
      <c r="S31" s="782"/>
      <c r="T31" s="782"/>
      <c r="U31" s="782"/>
      <c r="V31" s="782"/>
      <c r="W31" s="782"/>
      <c r="X31" s="782"/>
      <c r="Y31" s="782"/>
      <c r="Z31" s="782"/>
      <c r="AA31" s="782"/>
      <c r="AB31" s="782"/>
      <c r="AC31" s="782"/>
      <c r="AD31" s="782"/>
      <c r="AE31" s="782"/>
      <c r="AF31" s="782"/>
      <c r="AG31" s="782"/>
      <c r="AH31" s="782"/>
      <c r="AI31" s="782"/>
      <c r="AJ31" s="782"/>
      <c r="AK31" s="782"/>
      <c r="AL31" s="782"/>
      <c r="AM31" s="782"/>
      <c r="AN31" s="782"/>
      <c r="AO31" s="782"/>
      <c r="AP31" s="782"/>
      <c r="AQ31" s="782"/>
      <c r="AR31" s="782"/>
      <c r="AS31" s="782"/>
      <c r="AT31" s="782"/>
      <c r="AU31" s="782"/>
      <c r="AV31" s="782"/>
      <c r="AW31" s="782"/>
      <c r="AX31" s="782"/>
      <c r="AY31" s="782"/>
      <c r="AZ31" s="782"/>
      <c r="BA31" s="782"/>
      <c r="BB31" s="782"/>
      <c r="BC31" s="782"/>
      <c r="BD31" s="782"/>
      <c r="BE31" s="782"/>
      <c r="BF31" s="782"/>
      <c r="BG31" s="782"/>
      <c r="BH31" s="782"/>
      <c r="BI31" s="786"/>
      <c r="BK31" s="3">
        <v>1</v>
      </c>
    </row>
    <row r="32" spans="1:63" ht="15" customHeight="1">
      <c r="B32" s="71" t="s">
        <v>2517</v>
      </c>
      <c r="C32" s="782"/>
      <c r="D32" s="782"/>
      <c r="E32" s="782"/>
      <c r="F32" s="782"/>
      <c r="G32" s="782"/>
      <c r="H32" s="782"/>
      <c r="I32" s="782"/>
      <c r="J32" s="782"/>
      <c r="K32" s="782"/>
      <c r="L32" s="782"/>
      <c r="M32" s="782"/>
      <c r="N32" s="782"/>
      <c r="O32" s="782"/>
      <c r="P32" s="782"/>
      <c r="Q32" s="782"/>
      <c r="R32" s="782"/>
      <c r="S32" s="782"/>
      <c r="T32" s="782"/>
      <c r="U32" s="782"/>
      <c r="V32" s="782"/>
      <c r="W32" s="782"/>
      <c r="X32" s="782"/>
      <c r="Y32" s="782"/>
      <c r="Z32" s="782"/>
      <c r="AA32" s="782"/>
      <c r="AB32" s="782"/>
      <c r="AC32" s="782"/>
      <c r="AD32" s="782"/>
      <c r="AE32" s="782"/>
      <c r="AF32" s="782"/>
      <c r="AG32" s="782"/>
      <c r="AH32" s="782"/>
      <c r="AI32" s="782"/>
      <c r="AJ32" s="782"/>
      <c r="AK32" s="782"/>
      <c r="AL32" s="782"/>
      <c r="AM32" s="782"/>
      <c r="AN32" s="782"/>
      <c r="AO32" s="782"/>
      <c r="AP32" s="782"/>
      <c r="AQ32" s="782"/>
      <c r="AR32" s="782"/>
      <c r="AS32" s="782"/>
      <c r="AT32" s="782"/>
      <c r="AU32" s="782"/>
      <c r="AV32" s="782"/>
      <c r="AW32" s="782"/>
      <c r="AX32" s="782"/>
      <c r="AY32" s="782"/>
      <c r="AZ32" s="782"/>
      <c r="BA32" s="782"/>
      <c r="BB32" s="782"/>
      <c r="BC32" s="782"/>
      <c r="BD32" s="782"/>
      <c r="BE32" s="782"/>
      <c r="BF32" s="782"/>
      <c r="BG32" s="782"/>
      <c r="BH32" s="782"/>
      <c r="BI32" s="786"/>
      <c r="BK32" s="3">
        <v>2</v>
      </c>
    </row>
    <row r="33" spans="2:63" ht="15" customHeight="1">
      <c r="B33" s="71" t="s">
        <v>2518</v>
      </c>
      <c r="C33" s="782"/>
      <c r="D33" s="782"/>
      <c r="E33" s="782"/>
      <c r="F33" s="782"/>
      <c r="G33" s="782"/>
      <c r="H33" s="782"/>
      <c r="I33" s="782"/>
      <c r="J33" s="782"/>
      <c r="K33" s="782"/>
      <c r="L33" s="782"/>
      <c r="M33" s="782"/>
      <c r="N33" s="782"/>
      <c r="O33" s="782"/>
      <c r="P33" s="782"/>
      <c r="Q33" s="782"/>
      <c r="R33" s="782"/>
      <c r="S33" s="782"/>
      <c r="T33" s="782"/>
      <c r="U33" s="782"/>
      <c r="V33" s="782"/>
      <c r="W33" s="782"/>
      <c r="X33" s="782"/>
      <c r="Y33" s="782"/>
      <c r="Z33" s="782"/>
      <c r="AA33" s="782"/>
      <c r="AB33" s="782"/>
      <c r="AC33" s="782"/>
      <c r="AD33" s="782"/>
      <c r="AE33" s="782"/>
      <c r="AF33" s="782"/>
      <c r="AG33" s="782"/>
      <c r="AH33" s="782"/>
      <c r="AI33" s="782"/>
      <c r="AJ33" s="782"/>
      <c r="AK33" s="782"/>
      <c r="AL33" s="782"/>
      <c r="AM33" s="782"/>
      <c r="AN33" s="782"/>
      <c r="AO33" s="782"/>
      <c r="AP33" s="782"/>
      <c r="AQ33" s="782"/>
      <c r="AR33" s="782"/>
      <c r="AS33" s="782"/>
      <c r="AT33" s="782"/>
      <c r="AU33" s="782"/>
      <c r="AV33" s="782"/>
      <c r="AW33" s="782"/>
      <c r="AX33" s="782"/>
      <c r="AY33" s="782"/>
      <c r="AZ33" s="782"/>
      <c r="BA33" s="782"/>
      <c r="BB33" s="782"/>
      <c r="BC33" s="782"/>
      <c r="BD33" s="787"/>
      <c r="BE33" s="788"/>
      <c r="BF33" s="782"/>
      <c r="BG33" s="782"/>
      <c r="BH33" s="788"/>
      <c r="BI33" s="789"/>
      <c r="BK33" s="3">
        <v>3</v>
      </c>
    </row>
    <row r="34" spans="2:63" ht="15" customHeight="1">
      <c r="B34" s="71" t="s">
        <v>2519</v>
      </c>
      <c r="C34" s="782"/>
      <c r="D34" s="782"/>
      <c r="E34" s="782"/>
      <c r="F34" s="782"/>
      <c r="G34" s="782"/>
      <c r="H34" s="782"/>
      <c r="I34" s="782"/>
      <c r="J34" s="782"/>
      <c r="K34" s="782"/>
      <c r="L34" s="782"/>
      <c r="M34" s="782"/>
      <c r="N34" s="782"/>
      <c r="O34" s="782"/>
      <c r="P34" s="782"/>
      <c r="Q34" s="782"/>
      <c r="R34" s="782"/>
      <c r="S34" s="782"/>
      <c r="T34" s="782"/>
      <c r="U34" s="782"/>
      <c r="V34" s="782"/>
      <c r="W34" s="782"/>
      <c r="X34" s="782"/>
      <c r="Y34" s="782"/>
      <c r="Z34" s="782"/>
      <c r="AA34" s="782"/>
      <c r="AB34" s="782"/>
      <c r="AC34" s="782"/>
      <c r="AD34" s="782"/>
      <c r="AE34" s="782"/>
      <c r="AF34" s="782"/>
      <c r="AG34" s="782"/>
      <c r="AH34" s="782"/>
      <c r="AI34" s="782"/>
      <c r="AJ34" s="782"/>
      <c r="AK34" s="782"/>
      <c r="AL34" s="782"/>
      <c r="AM34" s="782"/>
      <c r="AN34" s="782"/>
      <c r="AO34" s="782"/>
      <c r="AP34" s="782"/>
      <c r="AQ34" s="782"/>
      <c r="AR34" s="782"/>
      <c r="AS34" s="782"/>
      <c r="AT34" s="782"/>
      <c r="AU34" s="782"/>
      <c r="AV34" s="782"/>
      <c r="AW34" s="782"/>
      <c r="AX34" s="782"/>
      <c r="AY34" s="782"/>
      <c r="AZ34" s="782"/>
      <c r="BA34" s="782"/>
      <c r="BB34" s="782"/>
      <c r="BC34" s="782"/>
      <c r="BD34" s="782"/>
      <c r="BE34" s="782"/>
      <c r="BF34" s="782"/>
      <c r="BG34" s="782"/>
      <c r="BH34" s="782"/>
      <c r="BI34" s="786"/>
      <c r="BK34" s="3">
        <v>4</v>
      </c>
    </row>
    <row r="35" spans="2:63" ht="15" customHeight="1">
      <c r="B35" s="71" t="s">
        <v>2520</v>
      </c>
      <c r="C35" s="782"/>
      <c r="D35" s="782"/>
      <c r="E35" s="782"/>
      <c r="F35" s="782"/>
      <c r="G35" s="782"/>
      <c r="H35" s="782"/>
      <c r="I35" s="782"/>
      <c r="J35" s="782"/>
      <c r="K35" s="782"/>
      <c r="L35" s="782"/>
      <c r="M35" s="782"/>
      <c r="N35" s="782"/>
      <c r="O35" s="782"/>
      <c r="P35" s="782"/>
      <c r="Q35" s="782"/>
      <c r="R35" s="782"/>
      <c r="S35" s="782"/>
      <c r="T35" s="782"/>
      <c r="U35" s="782"/>
      <c r="V35" s="782"/>
      <c r="W35" s="782"/>
      <c r="X35" s="782"/>
      <c r="Y35" s="782"/>
      <c r="Z35" s="782"/>
      <c r="AA35" s="782"/>
      <c r="AB35" s="782"/>
      <c r="AC35" s="782"/>
      <c r="AD35" s="782"/>
      <c r="AE35" s="782"/>
      <c r="AF35" s="782"/>
      <c r="AG35" s="782"/>
      <c r="AH35" s="782"/>
      <c r="AI35" s="782"/>
      <c r="AJ35" s="782"/>
      <c r="AK35" s="782"/>
      <c r="AL35" s="782"/>
      <c r="AM35" s="782"/>
      <c r="AN35" s="782"/>
      <c r="AO35" s="782"/>
      <c r="AP35" s="782"/>
      <c r="AQ35" s="782"/>
      <c r="AR35" s="782"/>
      <c r="AS35" s="782"/>
      <c r="AT35" s="782"/>
      <c r="AU35" s="782"/>
      <c r="AV35" s="782"/>
      <c r="AW35" s="782"/>
      <c r="AX35" s="782"/>
      <c r="AY35" s="782"/>
      <c r="AZ35" s="782"/>
      <c r="BA35" s="782"/>
      <c r="BB35" s="782"/>
      <c r="BC35" s="782"/>
      <c r="BD35" s="782"/>
      <c r="BE35" s="782"/>
      <c r="BF35" s="782"/>
      <c r="BG35" s="782"/>
      <c r="BH35" s="782"/>
      <c r="BI35" s="786"/>
      <c r="BK35" s="3">
        <v>5</v>
      </c>
    </row>
    <row r="36" spans="2:63" ht="15" customHeight="1">
      <c r="B36" s="71" t="s">
        <v>2521</v>
      </c>
      <c r="C36" s="782"/>
      <c r="D36" s="782"/>
      <c r="E36" s="782"/>
      <c r="F36" s="782"/>
      <c r="G36" s="782"/>
      <c r="H36" s="782"/>
      <c r="I36" s="782"/>
      <c r="J36" s="782"/>
      <c r="K36" s="782"/>
      <c r="L36" s="782"/>
      <c r="M36" s="782"/>
      <c r="N36" s="782"/>
      <c r="O36" s="782"/>
      <c r="P36" s="782"/>
      <c r="Q36" s="782"/>
      <c r="R36" s="782"/>
      <c r="S36" s="782"/>
      <c r="T36" s="782"/>
      <c r="U36" s="782"/>
      <c r="V36" s="782"/>
      <c r="W36" s="782"/>
      <c r="X36" s="782"/>
      <c r="Y36" s="782"/>
      <c r="Z36" s="782"/>
      <c r="AA36" s="782"/>
      <c r="AB36" s="782"/>
      <c r="AC36" s="782"/>
      <c r="AD36" s="782"/>
      <c r="AE36" s="782"/>
      <c r="AF36" s="782"/>
      <c r="AG36" s="782"/>
      <c r="AH36" s="782"/>
      <c r="AI36" s="782"/>
      <c r="AJ36" s="782"/>
      <c r="AK36" s="782"/>
      <c r="AL36" s="782"/>
      <c r="AM36" s="782"/>
      <c r="AN36" s="782"/>
      <c r="AO36" s="782"/>
      <c r="AP36" s="782"/>
      <c r="AQ36" s="782"/>
      <c r="AR36" s="782"/>
      <c r="AS36" s="782"/>
      <c r="AT36" s="782"/>
      <c r="AU36" s="782"/>
      <c r="AV36" s="782"/>
      <c r="AW36" s="782"/>
      <c r="AX36" s="782"/>
      <c r="AY36" s="782"/>
      <c r="AZ36" s="782"/>
      <c r="BA36" s="782"/>
      <c r="BB36" s="782"/>
      <c r="BC36" s="782"/>
      <c r="BD36" s="782"/>
      <c r="BE36" s="782"/>
      <c r="BF36" s="782"/>
      <c r="BG36" s="782"/>
      <c r="BH36" s="782"/>
      <c r="BI36" s="786"/>
      <c r="BK36" s="3">
        <v>6</v>
      </c>
    </row>
    <row r="37" spans="2:63" ht="15" customHeight="1">
      <c r="B37" s="71" t="s">
        <v>2522</v>
      </c>
      <c r="C37" s="782"/>
      <c r="D37" s="782"/>
      <c r="E37" s="782"/>
      <c r="F37" s="782"/>
      <c r="G37" s="782"/>
      <c r="H37" s="782"/>
      <c r="I37" s="782"/>
      <c r="J37" s="782"/>
      <c r="K37" s="782"/>
      <c r="L37" s="782"/>
      <c r="M37" s="782"/>
      <c r="N37" s="782"/>
      <c r="O37" s="782"/>
      <c r="P37" s="782"/>
      <c r="Q37" s="782"/>
      <c r="R37" s="782"/>
      <c r="S37" s="782"/>
      <c r="T37" s="782"/>
      <c r="U37" s="782"/>
      <c r="V37" s="782"/>
      <c r="W37" s="782"/>
      <c r="X37" s="782"/>
      <c r="Y37" s="782"/>
      <c r="Z37" s="782"/>
      <c r="AA37" s="782"/>
      <c r="AB37" s="782"/>
      <c r="AC37" s="782"/>
      <c r="AD37" s="782"/>
      <c r="AE37" s="782"/>
      <c r="AF37" s="782"/>
      <c r="AG37" s="782"/>
      <c r="AH37" s="782"/>
      <c r="AI37" s="782"/>
      <c r="AJ37" s="782"/>
      <c r="AK37" s="782"/>
      <c r="AL37" s="782"/>
      <c r="AM37" s="782"/>
      <c r="AN37" s="782"/>
      <c r="AO37" s="782"/>
      <c r="AP37" s="782"/>
      <c r="AQ37" s="782"/>
      <c r="AR37" s="782"/>
      <c r="AS37" s="782"/>
      <c r="AT37" s="782"/>
      <c r="AU37" s="782"/>
      <c r="AV37" s="782"/>
      <c r="AW37" s="782"/>
      <c r="AX37" s="782"/>
      <c r="AY37" s="782"/>
      <c r="AZ37" s="782"/>
      <c r="BA37" s="782"/>
      <c r="BB37" s="782"/>
      <c r="BC37" s="782"/>
      <c r="BD37" s="782"/>
      <c r="BE37" s="782"/>
      <c r="BF37" s="782"/>
      <c r="BG37" s="782"/>
      <c r="BH37" s="782"/>
      <c r="BI37" s="786"/>
      <c r="BK37" s="3">
        <v>7</v>
      </c>
    </row>
    <row r="38" spans="2:63" ht="15" customHeight="1">
      <c r="B38" s="71" t="s">
        <v>2523</v>
      </c>
      <c r="C38" s="782"/>
      <c r="D38" s="782"/>
      <c r="E38" s="782"/>
      <c r="F38" s="782"/>
      <c r="G38" s="782"/>
      <c r="H38" s="782"/>
      <c r="I38" s="782"/>
      <c r="J38" s="782"/>
      <c r="K38" s="782"/>
      <c r="L38" s="782"/>
      <c r="M38" s="782"/>
      <c r="N38" s="782"/>
      <c r="O38" s="782"/>
      <c r="P38" s="782"/>
      <c r="Q38" s="782"/>
      <c r="R38" s="782"/>
      <c r="S38" s="782"/>
      <c r="T38" s="782"/>
      <c r="U38" s="782"/>
      <c r="V38" s="782"/>
      <c r="W38" s="782"/>
      <c r="X38" s="782"/>
      <c r="Y38" s="782"/>
      <c r="Z38" s="782"/>
      <c r="AA38" s="782"/>
      <c r="AB38" s="782"/>
      <c r="AC38" s="782"/>
      <c r="AD38" s="782"/>
      <c r="AE38" s="782"/>
      <c r="AF38" s="782"/>
      <c r="AG38" s="782"/>
      <c r="AH38" s="782"/>
      <c r="AI38" s="782"/>
      <c r="AJ38" s="782"/>
      <c r="AK38" s="782"/>
      <c r="AL38" s="782"/>
      <c r="AM38" s="782"/>
      <c r="AN38" s="782"/>
      <c r="AO38" s="782"/>
      <c r="AP38" s="782"/>
      <c r="AQ38" s="782"/>
      <c r="AR38" s="782"/>
      <c r="AS38" s="782"/>
      <c r="AT38" s="782"/>
      <c r="AU38" s="782"/>
      <c r="AV38" s="782"/>
      <c r="AW38" s="782"/>
      <c r="AX38" s="782"/>
      <c r="AY38" s="782"/>
      <c r="AZ38" s="782"/>
      <c r="BA38" s="782"/>
      <c r="BB38" s="782"/>
      <c r="BC38" s="782"/>
      <c r="BD38" s="782"/>
      <c r="BE38" s="782"/>
      <c r="BF38" s="782"/>
      <c r="BG38" s="782"/>
      <c r="BH38" s="782"/>
      <c r="BI38" s="786"/>
      <c r="BK38" s="3">
        <v>8</v>
      </c>
    </row>
    <row r="39" spans="2:63" ht="15" customHeight="1">
      <c r="B39" s="71" t="s">
        <v>2524</v>
      </c>
      <c r="C39" s="782"/>
      <c r="D39" s="782"/>
      <c r="E39" s="782"/>
      <c r="F39" s="782"/>
      <c r="G39" s="782"/>
      <c r="H39" s="782"/>
      <c r="I39" s="782"/>
      <c r="J39" s="782"/>
      <c r="K39" s="782"/>
      <c r="L39" s="782"/>
      <c r="M39" s="782"/>
      <c r="N39" s="782"/>
      <c r="O39" s="782"/>
      <c r="P39" s="782"/>
      <c r="Q39" s="782"/>
      <c r="R39" s="782"/>
      <c r="S39" s="782"/>
      <c r="T39" s="782"/>
      <c r="U39" s="782"/>
      <c r="V39" s="782"/>
      <c r="W39" s="782"/>
      <c r="X39" s="782"/>
      <c r="Y39" s="782"/>
      <c r="Z39" s="782"/>
      <c r="AA39" s="782"/>
      <c r="AB39" s="782"/>
      <c r="AC39" s="782"/>
      <c r="AD39" s="782"/>
      <c r="AE39" s="782"/>
      <c r="AF39" s="782"/>
      <c r="AG39" s="782"/>
      <c r="AH39" s="782"/>
      <c r="AI39" s="782"/>
      <c r="AJ39" s="782"/>
      <c r="AK39" s="782"/>
      <c r="AL39" s="782"/>
      <c r="AM39" s="782"/>
      <c r="AN39" s="782"/>
      <c r="AO39" s="782"/>
      <c r="AP39" s="782"/>
      <c r="AQ39" s="782"/>
      <c r="AR39" s="782"/>
      <c r="AS39" s="782"/>
      <c r="AT39" s="782"/>
      <c r="AU39" s="782"/>
      <c r="AV39" s="782"/>
      <c r="AW39" s="782"/>
      <c r="AX39" s="782"/>
      <c r="AY39" s="782"/>
      <c r="AZ39" s="782"/>
      <c r="BA39" s="782"/>
      <c r="BB39" s="782"/>
      <c r="BC39" s="782"/>
      <c r="BD39" s="782"/>
      <c r="BE39" s="782"/>
      <c r="BF39" s="782"/>
      <c r="BG39" s="782"/>
      <c r="BH39" s="782"/>
      <c r="BI39" s="786"/>
      <c r="BK39" s="3">
        <v>9</v>
      </c>
    </row>
    <row r="40" spans="2:63" ht="15" customHeight="1">
      <c r="B40" s="71" t="s">
        <v>2525</v>
      </c>
      <c r="C40" s="782"/>
      <c r="D40" s="782"/>
      <c r="E40" s="782"/>
      <c r="F40" s="782"/>
      <c r="G40" s="782"/>
      <c r="H40" s="782"/>
      <c r="I40" s="782"/>
      <c r="J40" s="782"/>
      <c r="K40" s="782"/>
      <c r="L40" s="782"/>
      <c r="M40" s="782"/>
      <c r="N40" s="782"/>
      <c r="O40" s="782"/>
      <c r="P40" s="782"/>
      <c r="Q40" s="782"/>
      <c r="R40" s="782"/>
      <c r="S40" s="782"/>
      <c r="T40" s="782"/>
      <c r="U40" s="782"/>
      <c r="V40" s="782"/>
      <c r="W40" s="782"/>
      <c r="X40" s="782"/>
      <c r="Y40" s="782"/>
      <c r="Z40" s="782"/>
      <c r="AA40" s="782"/>
      <c r="AB40" s="782"/>
      <c r="AC40" s="782"/>
      <c r="AD40" s="782"/>
      <c r="AE40" s="782"/>
      <c r="AF40" s="782"/>
      <c r="AG40" s="782"/>
      <c r="AH40" s="782"/>
      <c r="AI40" s="782"/>
      <c r="AJ40" s="782"/>
      <c r="AK40" s="782"/>
      <c r="AL40" s="782"/>
      <c r="AM40" s="782"/>
      <c r="AN40" s="782"/>
      <c r="AO40" s="782"/>
      <c r="AP40" s="782"/>
      <c r="AQ40" s="782"/>
      <c r="AR40" s="782"/>
      <c r="AS40" s="782"/>
      <c r="AT40" s="782"/>
      <c r="AU40" s="782"/>
      <c r="AV40" s="782"/>
      <c r="AW40" s="782"/>
      <c r="AX40" s="782"/>
      <c r="AY40" s="782"/>
      <c r="AZ40" s="782"/>
      <c r="BA40" s="782"/>
      <c r="BB40" s="782"/>
      <c r="BC40" s="782"/>
      <c r="BD40" s="782"/>
      <c r="BE40" s="782"/>
      <c r="BF40" s="782"/>
      <c r="BG40" s="782"/>
      <c r="BH40" s="782"/>
      <c r="BI40" s="786"/>
      <c r="BK40" s="3">
        <v>10</v>
      </c>
    </row>
    <row r="41" spans="2:63" ht="15" customHeight="1">
      <c r="B41" s="71" t="s">
        <v>2526</v>
      </c>
      <c r="C41" s="782"/>
      <c r="D41" s="782"/>
      <c r="E41" s="782"/>
      <c r="F41" s="782"/>
      <c r="G41" s="782"/>
      <c r="H41" s="782"/>
      <c r="I41" s="782"/>
      <c r="J41" s="782"/>
      <c r="K41" s="782"/>
      <c r="L41" s="782"/>
      <c r="M41" s="782"/>
      <c r="N41" s="782"/>
      <c r="O41" s="782"/>
      <c r="P41" s="782"/>
      <c r="Q41" s="782"/>
      <c r="R41" s="782"/>
      <c r="S41" s="782"/>
      <c r="T41" s="782"/>
      <c r="U41" s="782"/>
      <c r="V41" s="782"/>
      <c r="W41" s="782"/>
      <c r="X41" s="782"/>
      <c r="Y41" s="782"/>
      <c r="Z41" s="782"/>
      <c r="AA41" s="782"/>
      <c r="AB41" s="782"/>
      <c r="AC41" s="782"/>
      <c r="AD41" s="782"/>
      <c r="AE41" s="782"/>
      <c r="AF41" s="782"/>
      <c r="AG41" s="782"/>
      <c r="AH41" s="782"/>
      <c r="AI41" s="782"/>
      <c r="AJ41" s="782"/>
      <c r="AK41" s="782"/>
      <c r="AL41" s="782"/>
      <c r="AM41" s="782"/>
      <c r="AN41" s="782"/>
      <c r="AO41" s="782"/>
      <c r="AP41" s="782"/>
      <c r="AQ41" s="782"/>
      <c r="AR41" s="782"/>
      <c r="AS41" s="782"/>
      <c r="AT41" s="782"/>
      <c r="AU41" s="782"/>
      <c r="AV41" s="782"/>
      <c r="AW41" s="782"/>
      <c r="AX41" s="782"/>
      <c r="AY41" s="782"/>
      <c r="AZ41" s="782"/>
      <c r="BA41" s="782"/>
      <c r="BB41" s="782"/>
      <c r="BC41" s="782"/>
      <c r="BD41" s="782"/>
      <c r="BE41" s="782"/>
      <c r="BF41" s="782"/>
      <c r="BG41" s="782"/>
      <c r="BH41" s="782"/>
      <c r="BI41" s="786"/>
    </row>
    <row r="42" spans="2:63" ht="15" customHeight="1">
      <c r="B42" s="71" t="s">
        <v>2527</v>
      </c>
      <c r="C42" s="782"/>
      <c r="D42" s="782"/>
      <c r="E42" s="782"/>
      <c r="F42" s="782"/>
      <c r="G42" s="782"/>
      <c r="H42" s="782"/>
      <c r="I42" s="782"/>
      <c r="J42" s="782"/>
      <c r="K42" s="782"/>
      <c r="L42" s="782"/>
      <c r="M42" s="782"/>
      <c r="N42" s="782"/>
      <c r="O42" s="782"/>
      <c r="P42" s="782"/>
      <c r="Q42" s="782"/>
      <c r="R42" s="782"/>
      <c r="S42" s="782"/>
      <c r="T42" s="782"/>
      <c r="U42" s="782"/>
      <c r="V42" s="782"/>
      <c r="W42" s="782"/>
      <c r="X42" s="782"/>
      <c r="Y42" s="782"/>
      <c r="Z42" s="782"/>
      <c r="AA42" s="782"/>
      <c r="AB42" s="782"/>
      <c r="AC42" s="782"/>
      <c r="AD42" s="782"/>
      <c r="AE42" s="782"/>
      <c r="AF42" s="782"/>
      <c r="AG42" s="782"/>
      <c r="AH42" s="782"/>
      <c r="AI42" s="782"/>
      <c r="AJ42" s="782"/>
      <c r="AK42" s="782"/>
      <c r="AL42" s="782"/>
      <c r="AM42" s="782"/>
      <c r="AN42" s="782"/>
      <c r="AO42" s="782"/>
      <c r="AP42" s="782"/>
      <c r="AQ42" s="782"/>
      <c r="AR42" s="782"/>
      <c r="AS42" s="782"/>
      <c r="AT42" s="782"/>
      <c r="AU42" s="782"/>
      <c r="AV42" s="782"/>
      <c r="AW42" s="782"/>
      <c r="AX42" s="782"/>
      <c r="AY42" s="782"/>
      <c r="AZ42" s="782"/>
      <c r="BA42" s="782"/>
      <c r="BB42" s="782"/>
      <c r="BC42" s="782"/>
      <c r="BD42" s="782"/>
      <c r="BE42" s="782"/>
      <c r="BF42" s="782"/>
      <c r="BG42" s="782"/>
      <c r="BH42" s="782"/>
      <c r="BI42" s="786"/>
    </row>
    <row r="43" spans="2:63" ht="15" customHeight="1">
      <c r="B43" s="71" t="s">
        <v>2528</v>
      </c>
      <c r="C43" s="782"/>
      <c r="D43" s="782"/>
      <c r="E43" s="782"/>
      <c r="F43" s="782"/>
      <c r="G43" s="782"/>
      <c r="H43" s="782"/>
      <c r="I43" s="782"/>
      <c r="J43" s="782"/>
      <c r="K43" s="782"/>
      <c r="L43" s="782"/>
      <c r="M43" s="782"/>
      <c r="N43" s="782"/>
      <c r="O43" s="782"/>
      <c r="P43" s="782"/>
      <c r="Q43" s="782"/>
      <c r="R43" s="782"/>
      <c r="S43" s="782"/>
      <c r="T43" s="782"/>
      <c r="U43" s="782"/>
      <c r="V43" s="782"/>
      <c r="W43" s="782"/>
      <c r="X43" s="782"/>
      <c r="Y43" s="782"/>
      <c r="Z43" s="782"/>
      <c r="AA43" s="782"/>
      <c r="AB43" s="782"/>
      <c r="AC43" s="782"/>
      <c r="AD43" s="782"/>
      <c r="AE43" s="782"/>
      <c r="AF43" s="782"/>
      <c r="AG43" s="782"/>
      <c r="AH43" s="782"/>
      <c r="AI43" s="782"/>
      <c r="AJ43" s="782"/>
      <c r="AK43" s="782"/>
      <c r="AL43" s="782"/>
      <c r="AM43" s="782"/>
      <c r="AN43" s="782"/>
      <c r="AO43" s="782"/>
      <c r="AP43" s="782"/>
      <c r="AQ43" s="782"/>
      <c r="AR43" s="782"/>
      <c r="AS43" s="782"/>
      <c r="AT43" s="782"/>
      <c r="AU43" s="782"/>
      <c r="AV43" s="782"/>
      <c r="AW43" s="782"/>
      <c r="AX43" s="782"/>
      <c r="AY43" s="782"/>
      <c r="AZ43" s="782"/>
      <c r="BA43" s="782"/>
      <c r="BB43" s="782"/>
      <c r="BC43" s="782"/>
      <c r="BD43" s="782"/>
      <c r="BE43" s="782"/>
      <c r="BF43" s="782"/>
      <c r="BG43" s="782"/>
      <c r="BH43" s="782"/>
      <c r="BI43" s="786"/>
    </row>
    <row r="44" spans="2:63" ht="15" customHeight="1">
      <c r="B44" s="71" t="s">
        <v>2529</v>
      </c>
      <c r="C44" s="782"/>
      <c r="D44" s="782"/>
      <c r="E44" s="782"/>
      <c r="F44" s="782"/>
      <c r="G44" s="782"/>
      <c r="H44" s="782"/>
      <c r="I44" s="782"/>
      <c r="J44" s="782"/>
      <c r="K44" s="782"/>
      <c r="L44" s="782"/>
      <c r="M44" s="782"/>
      <c r="N44" s="782"/>
      <c r="O44" s="782"/>
      <c r="P44" s="782"/>
      <c r="Q44" s="782"/>
      <c r="R44" s="782"/>
      <c r="S44" s="782"/>
      <c r="T44" s="782"/>
      <c r="U44" s="782"/>
      <c r="V44" s="782"/>
      <c r="W44" s="782"/>
      <c r="X44" s="782"/>
      <c r="Y44" s="782"/>
      <c r="Z44" s="782"/>
      <c r="AA44" s="782"/>
      <c r="AB44" s="782"/>
      <c r="AC44" s="782"/>
      <c r="AD44" s="782"/>
      <c r="AE44" s="782"/>
      <c r="AF44" s="782"/>
      <c r="AG44" s="782"/>
      <c r="AH44" s="782"/>
      <c r="AI44" s="782"/>
      <c r="AJ44" s="782"/>
      <c r="AK44" s="782"/>
      <c r="AL44" s="782"/>
      <c r="AM44" s="782"/>
      <c r="AN44" s="782"/>
      <c r="AO44" s="782"/>
      <c r="AP44" s="782"/>
      <c r="AQ44" s="782"/>
      <c r="AR44" s="782"/>
      <c r="AS44" s="782"/>
      <c r="AT44" s="782"/>
      <c r="AU44" s="782"/>
      <c r="AV44" s="782"/>
      <c r="AW44" s="782"/>
      <c r="AX44" s="782"/>
      <c r="AY44" s="782"/>
      <c r="AZ44" s="782"/>
      <c r="BA44" s="782"/>
      <c r="BB44" s="782"/>
      <c r="BC44" s="782"/>
      <c r="BD44" s="782"/>
      <c r="BE44" s="782"/>
      <c r="BF44" s="782"/>
      <c r="BG44" s="782"/>
      <c r="BH44" s="782"/>
      <c r="BI44" s="786"/>
    </row>
    <row r="45" spans="2:63" ht="15" customHeight="1">
      <c r="B45" s="71" t="s">
        <v>2530</v>
      </c>
      <c r="C45" s="782"/>
      <c r="D45" s="782"/>
      <c r="E45" s="782"/>
      <c r="F45" s="782"/>
      <c r="G45" s="782"/>
      <c r="H45" s="782"/>
      <c r="I45" s="782"/>
      <c r="J45" s="782"/>
      <c r="K45" s="782"/>
      <c r="L45" s="782"/>
      <c r="M45" s="782"/>
      <c r="N45" s="782"/>
      <c r="O45" s="782"/>
      <c r="P45" s="782"/>
      <c r="Q45" s="782"/>
      <c r="R45" s="782"/>
      <c r="S45" s="782"/>
      <c r="T45" s="782"/>
      <c r="U45" s="782"/>
      <c r="V45" s="782"/>
      <c r="W45" s="782"/>
      <c r="X45" s="782"/>
      <c r="Y45" s="782"/>
      <c r="Z45" s="782"/>
      <c r="AA45" s="782"/>
      <c r="AB45" s="782"/>
      <c r="AC45" s="782"/>
      <c r="AD45" s="782"/>
      <c r="AE45" s="782"/>
      <c r="AF45" s="782"/>
      <c r="AG45" s="782"/>
      <c r="AH45" s="782"/>
      <c r="AI45" s="782"/>
      <c r="AJ45" s="782"/>
      <c r="AK45" s="782"/>
      <c r="AL45" s="782"/>
      <c r="AM45" s="782"/>
      <c r="AN45" s="782"/>
      <c r="AO45" s="782"/>
      <c r="AP45" s="782"/>
      <c r="AQ45" s="782"/>
      <c r="AR45" s="782"/>
      <c r="AS45" s="782"/>
      <c r="AT45" s="782"/>
      <c r="AU45" s="782"/>
      <c r="AV45" s="782"/>
      <c r="AW45" s="782"/>
      <c r="AX45" s="782"/>
      <c r="AY45" s="782"/>
      <c r="AZ45" s="782"/>
      <c r="BA45" s="782"/>
      <c r="BB45" s="782"/>
      <c r="BC45" s="782"/>
      <c r="BD45" s="782"/>
      <c r="BE45" s="782"/>
      <c r="BF45" s="782"/>
      <c r="BG45" s="782"/>
      <c r="BH45" s="782"/>
      <c r="BI45" s="786"/>
    </row>
    <row r="46" spans="2:63" ht="15" customHeight="1">
      <c r="B46" s="71" t="s">
        <v>2531</v>
      </c>
      <c r="C46" s="782"/>
      <c r="D46" s="782"/>
      <c r="E46" s="782"/>
      <c r="F46" s="782"/>
      <c r="G46" s="782"/>
      <c r="H46" s="782"/>
      <c r="I46" s="782"/>
      <c r="J46" s="782"/>
      <c r="K46" s="782"/>
      <c r="L46" s="782"/>
      <c r="M46" s="782"/>
      <c r="N46" s="782"/>
      <c r="O46" s="782"/>
      <c r="P46" s="782"/>
      <c r="Q46" s="782"/>
      <c r="R46" s="782"/>
      <c r="S46" s="782"/>
      <c r="T46" s="782"/>
      <c r="U46" s="782"/>
      <c r="V46" s="782"/>
      <c r="W46" s="782"/>
      <c r="X46" s="782"/>
      <c r="Y46" s="782"/>
      <c r="Z46" s="782"/>
      <c r="AA46" s="782"/>
      <c r="AB46" s="782"/>
      <c r="AC46" s="782"/>
      <c r="AD46" s="782"/>
      <c r="AE46" s="782"/>
      <c r="AF46" s="782"/>
      <c r="AG46" s="782"/>
      <c r="AH46" s="782"/>
      <c r="AI46" s="782"/>
      <c r="AJ46" s="782"/>
      <c r="AK46" s="782"/>
      <c r="AL46" s="782"/>
      <c r="AM46" s="782"/>
      <c r="AN46" s="782"/>
      <c r="AO46" s="782"/>
      <c r="AP46" s="782"/>
      <c r="AQ46" s="782"/>
      <c r="AR46" s="782"/>
      <c r="AS46" s="782"/>
      <c r="AT46" s="782"/>
      <c r="AU46" s="782"/>
      <c r="AV46" s="782"/>
      <c r="AW46" s="782"/>
      <c r="AX46" s="782"/>
      <c r="AY46" s="782"/>
      <c r="AZ46" s="782"/>
      <c r="BA46" s="782"/>
      <c r="BB46" s="782"/>
      <c r="BC46" s="782"/>
      <c r="BD46" s="782"/>
      <c r="BE46" s="782"/>
      <c r="BF46" s="782"/>
      <c r="BG46" s="782"/>
      <c r="BH46" s="782"/>
      <c r="BI46" s="786"/>
    </row>
    <row r="47" spans="2:63" ht="15" customHeight="1">
      <c r="B47" s="71" t="s">
        <v>2532</v>
      </c>
      <c r="C47" s="782"/>
      <c r="D47" s="782"/>
      <c r="E47" s="782"/>
      <c r="F47" s="782"/>
      <c r="G47" s="782"/>
      <c r="H47" s="782"/>
      <c r="I47" s="782"/>
      <c r="J47" s="782"/>
      <c r="K47" s="782"/>
      <c r="L47" s="782"/>
      <c r="M47" s="782"/>
      <c r="N47" s="782"/>
      <c r="O47" s="782"/>
      <c r="P47" s="782"/>
      <c r="Q47" s="782"/>
      <c r="R47" s="782"/>
      <c r="S47" s="782"/>
      <c r="T47" s="782"/>
      <c r="U47" s="782"/>
      <c r="V47" s="782"/>
      <c r="W47" s="782"/>
      <c r="X47" s="782"/>
      <c r="Y47" s="782"/>
      <c r="Z47" s="782"/>
      <c r="AA47" s="782"/>
      <c r="AB47" s="782"/>
      <c r="AC47" s="782"/>
      <c r="AD47" s="782"/>
      <c r="AE47" s="782"/>
      <c r="AF47" s="782"/>
      <c r="AG47" s="782"/>
      <c r="AH47" s="782"/>
      <c r="AI47" s="782"/>
      <c r="AJ47" s="782"/>
      <c r="AK47" s="782"/>
      <c r="AL47" s="782"/>
      <c r="AM47" s="782"/>
      <c r="AN47" s="782"/>
      <c r="AO47" s="782"/>
      <c r="AP47" s="782"/>
      <c r="AQ47" s="782"/>
      <c r="AR47" s="782"/>
      <c r="AS47" s="782"/>
      <c r="AT47" s="782"/>
      <c r="AU47" s="782"/>
      <c r="AV47" s="782"/>
      <c r="AW47" s="782"/>
      <c r="AX47" s="782"/>
      <c r="AY47" s="782"/>
      <c r="AZ47" s="782"/>
      <c r="BA47" s="782"/>
      <c r="BB47" s="782"/>
      <c r="BC47" s="782"/>
      <c r="BD47" s="782"/>
      <c r="BE47" s="782"/>
      <c r="BF47" s="782"/>
      <c r="BG47" s="782"/>
      <c r="BH47" s="782"/>
      <c r="BI47" s="786"/>
    </row>
    <row r="48" spans="2:63" ht="15" customHeight="1">
      <c r="B48" s="71" t="s">
        <v>2533</v>
      </c>
      <c r="C48" s="782"/>
      <c r="D48" s="782"/>
      <c r="E48" s="782"/>
      <c r="F48" s="782"/>
      <c r="G48" s="782"/>
      <c r="H48" s="782"/>
      <c r="I48" s="782"/>
      <c r="J48" s="782"/>
      <c r="K48" s="782"/>
      <c r="L48" s="782"/>
      <c r="M48" s="782"/>
      <c r="N48" s="782"/>
      <c r="O48" s="782"/>
      <c r="P48" s="782"/>
      <c r="Q48" s="782"/>
      <c r="R48" s="782"/>
      <c r="S48" s="782"/>
      <c r="T48" s="782"/>
      <c r="U48" s="782"/>
      <c r="V48" s="782"/>
      <c r="W48" s="782"/>
      <c r="X48" s="782"/>
      <c r="Y48" s="782"/>
      <c r="Z48" s="782"/>
      <c r="AA48" s="782"/>
      <c r="AB48" s="782"/>
      <c r="AC48" s="782"/>
      <c r="AD48" s="782"/>
      <c r="AE48" s="782"/>
      <c r="AF48" s="782"/>
      <c r="AG48" s="782"/>
      <c r="AH48" s="782"/>
      <c r="AI48" s="782"/>
      <c r="AJ48" s="782"/>
      <c r="AK48" s="782"/>
      <c r="AL48" s="782"/>
      <c r="AM48" s="782"/>
      <c r="AN48" s="782"/>
      <c r="AO48" s="782"/>
      <c r="AP48" s="782"/>
      <c r="AQ48" s="782"/>
      <c r="AR48" s="782"/>
      <c r="AS48" s="782"/>
      <c r="AT48" s="782"/>
      <c r="AU48" s="782"/>
      <c r="AV48" s="782"/>
      <c r="AW48" s="782"/>
      <c r="AX48" s="782"/>
      <c r="AY48" s="782"/>
      <c r="AZ48" s="782"/>
      <c r="BA48" s="782"/>
      <c r="BB48" s="782"/>
      <c r="BC48" s="782"/>
      <c r="BD48" s="782"/>
      <c r="BE48" s="782"/>
      <c r="BF48" s="782"/>
      <c r="BG48" s="782"/>
      <c r="BH48" s="782"/>
      <c r="BI48" s="786"/>
    </row>
    <row r="49" spans="2:61" ht="15" customHeight="1">
      <c r="B49" s="71" t="s">
        <v>2534</v>
      </c>
      <c r="C49" s="782"/>
      <c r="D49" s="782"/>
      <c r="E49" s="782"/>
      <c r="F49" s="782"/>
      <c r="G49" s="782"/>
      <c r="H49" s="782"/>
      <c r="I49" s="782"/>
      <c r="J49" s="782"/>
      <c r="K49" s="782"/>
      <c r="L49" s="782"/>
      <c r="M49" s="782"/>
      <c r="N49" s="782"/>
      <c r="O49" s="782"/>
      <c r="P49" s="782"/>
      <c r="Q49" s="782"/>
      <c r="R49" s="782"/>
      <c r="S49" s="782"/>
      <c r="T49" s="782"/>
      <c r="U49" s="782"/>
      <c r="V49" s="782"/>
      <c r="W49" s="782"/>
      <c r="X49" s="782"/>
      <c r="Y49" s="782"/>
      <c r="Z49" s="782"/>
      <c r="AA49" s="782"/>
      <c r="AB49" s="782"/>
      <c r="AC49" s="782"/>
      <c r="AD49" s="782"/>
      <c r="AE49" s="782"/>
      <c r="AF49" s="782"/>
      <c r="AG49" s="782"/>
      <c r="AH49" s="782"/>
      <c r="AI49" s="782"/>
      <c r="AJ49" s="782"/>
      <c r="AK49" s="782"/>
      <c r="AL49" s="782"/>
      <c r="AM49" s="782"/>
      <c r="AN49" s="782"/>
      <c r="AO49" s="782"/>
      <c r="AP49" s="782"/>
      <c r="AQ49" s="782"/>
      <c r="AR49" s="782"/>
      <c r="AS49" s="782"/>
      <c r="AT49" s="782"/>
      <c r="AU49" s="782"/>
      <c r="AV49" s="782"/>
      <c r="AW49" s="782"/>
      <c r="AX49" s="782"/>
      <c r="AY49" s="782"/>
      <c r="AZ49" s="782"/>
      <c r="BA49" s="782"/>
      <c r="BB49" s="782"/>
      <c r="BC49" s="782"/>
      <c r="BD49" s="782"/>
      <c r="BE49" s="782"/>
      <c r="BF49" s="782"/>
      <c r="BG49" s="782"/>
      <c r="BH49" s="782"/>
      <c r="BI49" s="786"/>
    </row>
    <row r="50" spans="2:61" ht="15" customHeight="1">
      <c r="B50" s="71" t="s">
        <v>2535</v>
      </c>
      <c r="C50" s="782"/>
      <c r="D50" s="782"/>
      <c r="E50" s="782"/>
      <c r="F50" s="782"/>
      <c r="G50" s="782"/>
      <c r="H50" s="782"/>
      <c r="I50" s="782"/>
      <c r="J50" s="782"/>
      <c r="K50" s="782"/>
      <c r="L50" s="782"/>
      <c r="M50" s="782"/>
      <c r="N50" s="782"/>
      <c r="O50" s="782"/>
      <c r="P50" s="782"/>
      <c r="Q50" s="782"/>
      <c r="R50" s="782"/>
      <c r="S50" s="782"/>
      <c r="T50" s="782"/>
      <c r="U50" s="782"/>
      <c r="V50" s="782"/>
      <c r="W50" s="782"/>
      <c r="X50" s="782"/>
      <c r="Y50" s="782"/>
      <c r="Z50" s="782"/>
      <c r="AA50" s="782"/>
      <c r="AB50" s="782"/>
      <c r="AC50" s="782"/>
      <c r="AD50" s="782"/>
      <c r="AE50" s="782"/>
      <c r="AF50" s="782"/>
      <c r="AG50" s="782"/>
      <c r="AH50" s="782"/>
      <c r="AI50" s="782"/>
      <c r="AJ50" s="782"/>
      <c r="AK50" s="782"/>
      <c r="AL50" s="782"/>
      <c r="AM50" s="782"/>
      <c r="AN50" s="782"/>
      <c r="AO50" s="782"/>
      <c r="AP50" s="782"/>
      <c r="AQ50" s="782"/>
      <c r="AR50" s="782"/>
      <c r="AS50" s="782"/>
      <c r="AT50" s="782"/>
      <c r="AU50" s="782"/>
      <c r="AV50" s="782"/>
      <c r="AW50" s="782"/>
      <c r="AX50" s="782"/>
      <c r="AY50" s="782"/>
      <c r="AZ50" s="782"/>
      <c r="BA50" s="782"/>
      <c r="BB50" s="782"/>
      <c r="BC50" s="782"/>
      <c r="BD50" s="782"/>
      <c r="BE50" s="782"/>
      <c r="BF50" s="782"/>
      <c r="BG50" s="782"/>
      <c r="BH50" s="782"/>
      <c r="BI50" s="786"/>
    </row>
    <row r="51" spans="2:61" ht="15" customHeight="1">
      <c r="B51" s="71" t="s">
        <v>2536</v>
      </c>
      <c r="C51" s="782"/>
      <c r="D51" s="782"/>
      <c r="E51" s="782"/>
      <c r="F51" s="782"/>
      <c r="G51" s="782"/>
      <c r="H51" s="782"/>
      <c r="I51" s="782"/>
      <c r="J51" s="782"/>
      <c r="K51" s="782"/>
      <c r="L51" s="782"/>
      <c r="M51" s="782"/>
      <c r="N51" s="782"/>
      <c r="O51" s="782"/>
      <c r="P51" s="782"/>
      <c r="Q51" s="782"/>
      <c r="R51" s="782"/>
      <c r="S51" s="782"/>
      <c r="T51" s="782"/>
      <c r="U51" s="782"/>
      <c r="V51" s="782"/>
      <c r="W51" s="782"/>
      <c r="X51" s="782"/>
      <c r="Y51" s="782"/>
      <c r="Z51" s="782"/>
      <c r="AA51" s="782"/>
      <c r="AB51" s="782"/>
      <c r="AC51" s="782"/>
      <c r="AD51" s="782"/>
      <c r="AE51" s="782"/>
      <c r="AF51" s="782"/>
      <c r="AG51" s="782"/>
      <c r="AH51" s="782"/>
      <c r="AI51" s="782"/>
      <c r="AJ51" s="782"/>
      <c r="AK51" s="782"/>
      <c r="AL51" s="782"/>
      <c r="AM51" s="782"/>
      <c r="AN51" s="782"/>
      <c r="AO51" s="782"/>
      <c r="AP51" s="782"/>
      <c r="AQ51" s="782"/>
      <c r="AR51" s="782"/>
      <c r="AS51" s="782"/>
      <c r="AT51" s="782"/>
      <c r="AU51" s="782"/>
      <c r="AV51" s="782"/>
      <c r="AW51" s="782"/>
      <c r="AX51" s="782"/>
      <c r="AY51" s="782"/>
      <c r="AZ51" s="782"/>
      <c r="BA51" s="782"/>
      <c r="BB51" s="782"/>
      <c r="BC51" s="782"/>
      <c r="BD51" s="782"/>
      <c r="BE51" s="782"/>
      <c r="BF51" s="782"/>
      <c r="BG51" s="782"/>
      <c r="BH51" s="782"/>
      <c r="BI51" s="786"/>
    </row>
    <row r="52" spans="2:61" ht="15" customHeight="1">
      <c r="B52" s="71" t="s">
        <v>2537</v>
      </c>
      <c r="C52" s="782"/>
      <c r="D52" s="782"/>
      <c r="E52" s="782"/>
      <c r="F52" s="782"/>
      <c r="G52" s="782"/>
      <c r="H52" s="782"/>
      <c r="I52" s="782"/>
      <c r="J52" s="782"/>
      <c r="K52" s="782"/>
      <c r="L52" s="782"/>
      <c r="M52" s="782"/>
      <c r="N52" s="782"/>
      <c r="O52" s="782"/>
      <c r="P52" s="782"/>
      <c r="Q52" s="782"/>
      <c r="R52" s="782"/>
      <c r="S52" s="782"/>
      <c r="T52" s="782"/>
      <c r="U52" s="782"/>
      <c r="V52" s="782"/>
      <c r="W52" s="782"/>
      <c r="X52" s="782"/>
      <c r="Y52" s="782"/>
      <c r="Z52" s="782"/>
      <c r="AA52" s="782"/>
      <c r="AB52" s="782"/>
      <c r="AC52" s="782"/>
      <c r="AD52" s="782"/>
      <c r="AE52" s="782"/>
      <c r="AF52" s="782"/>
      <c r="AG52" s="782"/>
      <c r="AH52" s="782"/>
      <c r="AI52" s="782"/>
      <c r="AJ52" s="782"/>
      <c r="AK52" s="782"/>
      <c r="AL52" s="782"/>
      <c r="AM52" s="782"/>
      <c r="AN52" s="782"/>
      <c r="AO52" s="782"/>
      <c r="AP52" s="782"/>
      <c r="AQ52" s="782"/>
      <c r="AR52" s="782"/>
      <c r="AS52" s="782"/>
      <c r="AT52" s="782"/>
      <c r="AU52" s="782"/>
      <c r="AV52" s="782"/>
      <c r="AW52" s="782"/>
      <c r="AX52" s="782"/>
      <c r="AY52" s="782"/>
      <c r="AZ52" s="782"/>
      <c r="BA52" s="782"/>
      <c r="BB52" s="782"/>
      <c r="BC52" s="782"/>
      <c r="BD52" s="782"/>
      <c r="BE52" s="782"/>
      <c r="BF52" s="782"/>
      <c r="BG52" s="782"/>
      <c r="BH52" s="782"/>
      <c r="BI52" s="786"/>
    </row>
    <row r="53" spans="2:61" ht="15" customHeight="1">
      <c r="B53" s="71" t="s">
        <v>2538</v>
      </c>
      <c r="C53" s="782"/>
      <c r="D53" s="782"/>
      <c r="E53" s="782"/>
      <c r="F53" s="782"/>
      <c r="G53" s="782"/>
      <c r="H53" s="782"/>
      <c r="I53" s="782"/>
      <c r="J53" s="782"/>
      <c r="K53" s="782"/>
      <c r="L53" s="782"/>
      <c r="M53" s="782"/>
      <c r="N53" s="782"/>
      <c r="O53" s="782"/>
      <c r="P53" s="782"/>
      <c r="Q53" s="782"/>
      <c r="R53" s="782"/>
      <c r="S53" s="782"/>
      <c r="T53" s="782"/>
      <c r="U53" s="782"/>
      <c r="V53" s="782"/>
      <c r="W53" s="782"/>
      <c r="X53" s="782"/>
      <c r="Y53" s="782"/>
      <c r="Z53" s="782"/>
      <c r="AA53" s="782"/>
      <c r="AB53" s="782"/>
      <c r="AC53" s="782"/>
      <c r="AD53" s="782"/>
      <c r="AE53" s="782"/>
      <c r="AF53" s="782"/>
      <c r="AG53" s="782"/>
      <c r="AH53" s="782"/>
      <c r="AI53" s="782"/>
      <c r="AJ53" s="782"/>
      <c r="AK53" s="782"/>
      <c r="AL53" s="782"/>
      <c r="AM53" s="782"/>
      <c r="AN53" s="782"/>
      <c r="AO53" s="782"/>
      <c r="AP53" s="782"/>
      <c r="AQ53" s="782"/>
      <c r="AR53" s="782"/>
      <c r="AS53" s="782"/>
      <c r="AT53" s="782"/>
      <c r="AU53" s="782"/>
      <c r="AV53" s="782"/>
      <c r="AW53" s="782"/>
      <c r="AX53" s="782"/>
      <c r="AY53" s="782"/>
      <c r="AZ53" s="782"/>
      <c r="BA53" s="782"/>
      <c r="BB53" s="782"/>
      <c r="BC53" s="782"/>
      <c r="BD53" s="782"/>
      <c r="BE53" s="782"/>
      <c r="BF53" s="782"/>
      <c r="BG53" s="782"/>
      <c r="BH53" s="782"/>
      <c r="BI53" s="786"/>
    </row>
    <row r="54" spans="2:61" ht="15" customHeight="1">
      <c r="B54" s="71" t="s">
        <v>2539</v>
      </c>
      <c r="C54" s="782"/>
      <c r="D54" s="782"/>
      <c r="E54" s="782"/>
      <c r="F54" s="782"/>
      <c r="G54" s="782"/>
      <c r="H54" s="782"/>
      <c r="I54" s="782"/>
      <c r="J54" s="782"/>
      <c r="K54" s="782"/>
      <c r="L54" s="782"/>
      <c r="M54" s="782"/>
      <c r="N54" s="782"/>
      <c r="O54" s="782"/>
      <c r="P54" s="782"/>
      <c r="Q54" s="782"/>
      <c r="R54" s="782"/>
      <c r="S54" s="782"/>
      <c r="T54" s="782"/>
      <c r="U54" s="782"/>
      <c r="V54" s="782"/>
      <c r="W54" s="782"/>
      <c r="X54" s="782"/>
      <c r="Y54" s="782"/>
      <c r="Z54" s="782"/>
      <c r="AA54" s="782"/>
      <c r="AB54" s="782"/>
      <c r="AC54" s="782"/>
      <c r="AD54" s="782"/>
      <c r="AE54" s="782"/>
      <c r="AF54" s="782"/>
      <c r="AG54" s="782"/>
      <c r="AH54" s="782"/>
      <c r="AI54" s="782"/>
      <c r="AJ54" s="782"/>
      <c r="AK54" s="782"/>
      <c r="AL54" s="782"/>
      <c r="AM54" s="782"/>
      <c r="AN54" s="782"/>
      <c r="AO54" s="782"/>
      <c r="AP54" s="782"/>
      <c r="AQ54" s="782"/>
      <c r="AR54" s="782"/>
      <c r="AS54" s="782"/>
      <c r="AT54" s="782"/>
      <c r="AU54" s="782"/>
      <c r="AV54" s="782"/>
      <c r="AW54" s="782"/>
      <c r="AX54" s="782"/>
      <c r="AY54" s="782"/>
      <c r="AZ54" s="782"/>
      <c r="BA54" s="782"/>
      <c r="BB54" s="782"/>
      <c r="BC54" s="782"/>
      <c r="BD54" s="782"/>
      <c r="BE54" s="782"/>
      <c r="BF54" s="782"/>
      <c r="BG54" s="782"/>
      <c r="BH54" s="782"/>
      <c r="BI54" s="786"/>
    </row>
    <row r="55" spans="2:61" ht="15" customHeight="1">
      <c r="B55" s="71" t="s">
        <v>2540</v>
      </c>
      <c r="C55" s="782"/>
      <c r="D55" s="782"/>
      <c r="E55" s="782"/>
      <c r="F55" s="782"/>
      <c r="G55" s="782"/>
      <c r="H55" s="782"/>
      <c r="I55" s="782"/>
      <c r="J55" s="782"/>
      <c r="K55" s="782"/>
      <c r="L55" s="782"/>
      <c r="M55" s="782"/>
      <c r="N55" s="782"/>
      <c r="O55" s="782"/>
      <c r="P55" s="782"/>
      <c r="Q55" s="782"/>
      <c r="R55" s="782"/>
      <c r="S55" s="782"/>
      <c r="T55" s="782"/>
      <c r="U55" s="782"/>
      <c r="V55" s="782"/>
      <c r="W55" s="782"/>
      <c r="X55" s="782"/>
      <c r="Y55" s="782"/>
      <c r="Z55" s="782"/>
      <c r="AA55" s="782"/>
      <c r="AB55" s="782"/>
      <c r="AC55" s="782"/>
      <c r="AD55" s="782"/>
      <c r="AE55" s="782"/>
      <c r="AF55" s="782"/>
      <c r="AG55" s="782"/>
      <c r="AH55" s="782"/>
      <c r="AI55" s="782"/>
      <c r="AJ55" s="782"/>
      <c r="AK55" s="782"/>
      <c r="AL55" s="782"/>
      <c r="AM55" s="782"/>
      <c r="AN55" s="782"/>
      <c r="AO55" s="782"/>
      <c r="AP55" s="782"/>
      <c r="AQ55" s="782"/>
      <c r="AR55" s="782"/>
      <c r="AS55" s="782"/>
      <c r="AT55" s="782"/>
      <c r="AU55" s="782"/>
      <c r="AV55" s="782"/>
      <c r="AW55" s="782"/>
      <c r="AX55" s="782"/>
      <c r="AY55" s="782"/>
      <c r="AZ55" s="782"/>
      <c r="BA55" s="782"/>
      <c r="BB55" s="782"/>
      <c r="BC55" s="782"/>
      <c r="BD55" s="782"/>
      <c r="BE55" s="782"/>
      <c r="BF55" s="782"/>
      <c r="BG55" s="782"/>
      <c r="BH55" s="782"/>
      <c r="BI55" s="786"/>
    </row>
    <row r="56" spans="2:61" ht="15" customHeight="1">
      <c r="B56" s="71" t="s">
        <v>2541</v>
      </c>
      <c r="C56" s="782"/>
      <c r="D56" s="782"/>
      <c r="E56" s="782"/>
      <c r="F56" s="782"/>
      <c r="G56" s="782"/>
      <c r="H56" s="782"/>
      <c r="I56" s="782"/>
      <c r="J56" s="782"/>
      <c r="K56" s="782"/>
      <c r="L56" s="782"/>
      <c r="M56" s="782"/>
      <c r="N56" s="782"/>
      <c r="O56" s="782"/>
      <c r="P56" s="782"/>
      <c r="Q56" s="782"/>
      <c r="R56" s="782"/>
      <c r="S56" s="782"/>
      <c r="T56" s="782"/>
      <c r="U56" s="782"/>
      <c r="V56" s="782"/>
      <c r="W56" s="782"/>
      <c r="X56" s="782"/>
      <c r="Y56" s="782"/>
      <c r="Z56" s="782"/>
      <c r="AA56" s="782"/>
      <c r="AB56" s="782"/>
      <c r="AC56" s="782"/>
      <c r="AD56" s="782"/>
      <c r="AE56" s="782"/>
      <c r="AF56" s="782"/>
      <c r="AG56" s="782"/>
      <c r="AH56" s="782"/>
      <c r="AI56" s="782"/>
      <c r="AJ56" s="782"/>
      <c r="AK56" s="782"/>
      <c r="AL56" s="782"/>
      <c r="AM56" s="782"/>
      <c r="AN56" s="782"/>
      <c r="AO56" s="782"/>
      <c r="AP56" s="782"/>
      <c r="AQ56" s="782"/>
      <c r="AR56" s="782"/>
      <c r="AS56" s="782"/>
      <c r="AT56" s="782"/>
      <c r="AU56" s="782"/>
      <c r="AV56" s="782"/>
      <c r="AW56" s="782"/>
      <c r="AX56" s="782"/>
      <c r="AY56" s="782"/>
      <c r="AZ56" s="782"/>
      <c r="BA56" s="782"/>
      <c r="BB56" s="782"/>
      <c r="BC56" s="782"/>
      <c r="BD56" s="782"/>
      <c r="BE56" s="782"/>
      <c r="BF56" s="782"/>
      <c r="BG56" s="782"/>
      <c r="BH56" s="782"/>
      <c r="BI56" s="786"/>
    </row>
    <row r="57" spans="2:61" ht="15" customHeight="1">
      <c r="B57" s="71" t="s">
        <v>2542</v>
      </c>
      <c r="C57" s="782"/>
      <c r="D57" s="782"/>
      <c r="E57" s="782"/>
      <c r="F57" s="782"/>
      <c r="G57" s="782"/>
      <c r="H57" s="782"/>
      <c r="I57" s="782"/>
      <c r="J57" s="782"/>
      <c r="K57" s="782"/>
      <c r="L57" s="782"/>
      <c r="M57" s="782"/>
      <c r="N57" s="782"/>
      <c r="O57" s="782"/>
      <c r="P57" s="782"/>
      <c r="Q57" s="782"/>
      <c r="R57" s="782"/>
      <c r="S57" s="782"/>
      <c r="T57" s="782"/>
      <c r="U57" s="782"/>
      <c r="V57" s="782"/>
      <c r="W57" s="782"/>
      <c r="X57" s="782"/>
      <c r="Y57" s="782"/>
      <c r="Z57" s="782"/>
      <c r="AA57" s="782"/>
      <c r="AB57" s="782"/>
      <c r="AC57" s="782"/>
      <c r="AD57" s="782"/>
      <c r="AE57" s="782"/>
      <c r="AF57" s="782"/>
      <c r="AG57" s="782"/>
      <c r="AH57" s="782"/>
      <c r="AI57" s="782"/>
      <c r="AJ57" s="782"/>
      <c r="AK57" s="782"/>
      <c r="AL57" s="782"/>
      <c r="AM57" s="782"/>
      <c r="AN57" s="782"/>
      <c r="AO57" s="782"/>
      <c r="AP57" s="782"/>
      <c r="AQ57" s="782"/>
      <c r="AR57" s="782"/>
      <c r="AS57" s="782"/>
      <c r="AT57" s="782"/>
      <c r="AU57" s="782"/>
      <c r="AV57" s="782"/>
      <c r="AW57" s="782"/>
      <c r="AX57" s="782"/>
      <c r="AY57" s="782"/>
      <c r="AZ57" s="782"/>
      <c r="BA57" s="782"/>
      <c r="BB57" s="782"/>
      <c r="BC57" s="782"/>
      <c r="BD57" s="782"/>
      <c r="BE57" s="782"/>
      <c r="BF57" s="782"/>
      <c r="BG57" s="782"/>
      <c r="BH57" s="782"/>
      <c r="BI57" s="786"/>
    </row>
    <row r="58" spans="2:61" ht="15" customHeight="1">
      <c r="B58" s="71" t="s">
        <v>2543</v>
      </c>
      <c r="C58" s="782"/>
      <c r="D58" s="782"/>
      <c r="E58" s="782"/>
      <c r="F58" s="782"/>
      <c r="G58" s="782"/>
      <c r="H58" s="782"/>
      <c r="I58" s="782"/>
      <c r="J58" s="782"/>
      <c r="K58" s="782"/>
      <c r="L58" s="782"/>
      <c r="M58" s="782"/>
      <c r="N58" s="782"/>
      <c r="O58" s="782"/>
      <c r="P58" s="782"/>
      <c r="Q58" s="782"/>
      <c r="R58" s="782"/>
      <c r="S58" s="782"/>
      <c r="T58" s="782"/>
      <c r="U58" s="782"/>
      <c r="V58" s="782"/>
      <c r="W58" s="782"/>
      <c r="X58" s="782"/>
      <c r="Y58" s="782"/>
      <c r="Z58" s="782"/>
      <c r="AA58" s="782"/>
      <c r="AB58" s="782"/>
      <c r="AC58" s="782"/>
      <c r="AD58" s="782"/>
      <c r="AE58" s="782"/>
      <c r="AF58" s="782"/>
      <c r="AG58" s="782"/>
      <c r="AH58" s="782"/>
      <c r="AI58" s="782"/>
      <c r="AJ58" s="782"/>
      <c r="AK58" s="782"/>
      <c r="AL58" s="782"/>
      <c r="AM58" s="782"/>
      <c r="AN58" s="782"/>
      <c r="AO58" s="782"/>
      <c r="AP58" s="782"/>
      <c r="AQ58" s="782"/>
      <c r="AR58" s="782"/>
      <c r="AS58" s="782"/>
      <c r="AT58" s="782"/>
      <c r="AU58" s="782"/>
      <c r="AV58" s="782"/>
      <c r="AW58" s="782"/>
      <c r="AX58" s="782"/>
      <c r="AY58" s="782"/>
      <c r="AZ58" s="782"/>
      <c r="BA58" s="782"/>
      <c r="BB58" s="782"/>
      <c r="BC58" s="782"/>
      <c r="BD58" s="782"/>
      <c r="BE58" s="782"/>
      <c r="BF58" s="782"/>
      <c r="BG58" s="782"/>
      <c r="BH58" s="782"/>
      <c r="BI58" s="786"/>
    </row>
    <row r="59" spans="2:61" ht="15" customHeight="1">
      <c r="B59" s="71" t="s">
        <v>2544</v>
      </c>
      <c r="C59" s="782"/>
      <c r="D59" s="782"/>
      <c r="E59" s="782"/>
      <c r="F59" s="782"/>
      <c r="G59" s="782"/>
      <c r="H59" s="782"/>
      <c r="I59" s="782"/>
      <c r="J59" s="782"/>
      <c r="K59" s="782"/>
      <c r="L59" s="782"/>
      <c r="M59" s="782"/>
      <c r="N59" s="782"/>
      <c r="O59" s="782"/>
      <c r="P59" s="782"/>
      <c r="Q59" s="782"/>
      <c r="R59" s="782"/>
      <c r="S59" s="782"/>
      <c r="T59" s="782"/>
      <c r="U59" s="782"/>
      <c r="V59" s="782"/>
      <c r="W59" s="782"/>
      <c r="X59" s="782"/>
      <c r="Y59" s="782"/>
      <c r="Z59" s="782"/>
      <c r="AA59" s="782"/>
      <c r="AB59" s="782"/>
      <c r="AC59" s="782"/>
      <c r="AD59" s="782"/>
      <c r="AE59" s="782"/>
      <c r="AF59" s="782"/>
      <c r="AG59" s="782"/>
      <c r="AH59" s="782"/>
      <c r="AI59" s="782"/>
      <c r="AJ59" s="782"/>
      <c r="AK59" s="782"/>
      <c r="AL59" s="782"/>
      <c r="AM59" s="782"/>
      <c r="AN59" s="782"/>
      <c r="AO59" s="782"/>
      <c r="AP59" s="782"/>
      <c r="AQ59" s="782"/>
      <c r="AR59" s="782"/>
      <c r="AS59" s="782"/>
      <c r="AT59" s="782"/>
      <c r="AU59" s="782"/>
      <c r="AV59" s="782"/>
      <c r="AW59" s="782"/>
      <c r="AX59" s="782"/>
      <c r="AY59" s="782"/>
      <c r="AZ59" s="782"/>
      <c r="BA59" s="782"/>
      <c r="BB59" s="782"/>
      <c r="BC59" s="782"/>
      <c r="BD59" s="782"/>
      <c r="BE59" s="782"/>
      <c r="BF59" s="782"/>
      <c r="BG59" s="782"/>
      <c r="BH59" s="782"/>
      <c r="BI59" s="786"/>
    </row>
    <row r="60" spans="2:61" ht="15" customHeight="1">
      <c r="B60" s="71" t="s">
        <v>2545</v>
      </c>
      <c r="C60" s="782"/>
      <c r="D60" s="782"/>
      <c r="E60" s="782"/>
      <c r="F60" s="782"/>
      <c r="G60" s="782"/>
      <c r="H60" s="782"/>
      <c r="I60" s="782"/>
      <c r="J60" s="782"/>
      <c r="K60" s="782"/>
      <c r="L60" s="782"/>
      <c r="M60" s="782"/>
      <c r="N60" s="782"/>
      <c r="O60" s="782"/>
      <c r="P60" s="782"/>
      <c r="Q60" s="782"/>
      <c r="R60" s="782"/>
      <c r="S60" s="782"/>
      <c r="T60" s="782"/>
      <c r="U60" s="782"/>
      <c r="V60" s="782"/>
      <c r="W60" s="782"/>
      <c r="X60" s="782"/>
      <c r="Y60" s="782"/>
      <c r="Z60" s="782"/>
      <c r="AA60" s="782"/>
      <c r="AB60" s="782"/>
      <c r="AC60" s="782"/>
      <c r="AD60" s="782"/>
      <c r="AE60" s="782"/>
      <c r="AF60" s="782"/>
      <c r="AG60" s="782"/>
      <c r="AH60" s="782"/>
      <c r="AI60" s="782"/>
      <c r="AJ60" s="782"/>
      <c r="AK60" s="782"/>
      <c r="AL60" s="782"/>
      <c r="AM60" s="782"/>
      <c r="AN60" s="782"/>
      <c r="AO60" s="782"/>
      <c r="AP60" s="782"/>
      <c r="AQ60" s="782"/>
      <c r="AR60" s="782"/>
      <c r="AS60" s="782"/>
      <c r="AT60" s="782"/>
      <c r="AU60" s="782"/>
      <c r="AV60" s="782"/>
      <c r="AW60" s="782"/>
      <c r="AX60" s="782"/>
      <c r="AY60" s="782"/>
      <c r="AZ60" s="782"/>
      <c r="BA60" s="782"/>
      <c r="BB60" s="782"/>
      <c r="BC60" s="782"/>
      <c r="BD60" s="782"/>
      <c r="BE60" s="782"/>
      <c r="BF60" s="782"/>
      <c r="BG60" s="782"/>
      <c r="BH60" s="782"/>
      <c r="BI60" s="786"/>
    </row>
    <row r="61" spans="2:61" ht="15" customHeight="1">
      <c r="B61" s="71" t="s">
        <v>2546</v>
      </c>
      <c r="C61" s="782"/>
      <c r="D61" s="782"/>
      <c r="E61" s="782"/>
      <c r="F61" s="782"/>
      <c r="G61" s="782"/>
      <c r="H61" s="782"/>
      <c r="I61" s="782"/>
      <c r="J61" s="782"/>
      <c r="K61" s="782"/>
      <c r="L61" s="782"/>
      <c r="M61" s="782"/>
      <c r="N61" s="782"/>
      <c r="O61" s="782"/>
      <c r="P61" s="782"/>
      <c r="Q61" s="782"/>
      <c r="R61" s="782"/>
      <c r="S61" s="782"/>
      <c r="T61" s="782"/>
      <c r="U61" s="782"/>
      <c r="V61" s="782"/>
      <c r="W61" s="782"/>
      <c r="X61" s="782"/>
      <c r="Y61" s="782"/>
      <c r="Z61" s="782"/>
      <c r="AA61" s="782"/>
      <c r="AB61" s="782"/>
      <c r="AC61" s="782"/>
      <c r="AD61" s="782"/>
      <c r="AE61" s="782"/>
      <c r="AF61" s="782"/>
      <c r="AG61" s="782"/>
      <c r="AH61" s="782"/>
      <c r="AI61" s="782"/>
      <c r="AJ61" s="782"/>
      <c r="AK61" s="782"/>
      <c r="AL61" s="782"/>
      <c r="AM61" s="782"/>
      <c r="AN61" s="782"/>
      <c r="AO61" s="782"/>
      <c r="AP61" s="782"/>
      <c r="AQ61" s="782"/>
      <c r="AR61" s="782"/>
      <c r="AS61" s="782"/>
      <c r="AT61" s="782"/>
      <c r="AU61" s="782"/>
      <c r="AV61" s="782"/>
      <c r="AW61" s="782"/>
      <c r="AX61" s="782"/>
      <c r="AY61" s="782"/>
      <c r="AZ61" s="782"/>
      <c r="BA61" s="782"/>
      <c r="BB61" s="782"/>
      <c r="BC61" s="782"/>
      <c r="BD61" s="782"/>
      <c r="BE61" s="782"/>
      <c r="BF61" s="782"/>
      <c r="BG61" s="782"/>
      <c r="BH61" s="782"/>
      <c r="BI61" s="786"/>
    </row>
    <row r="62" spans="2:61" ht="15" customHeight="1">
      <c r="B62" s="71" t="s">
        <v>2547</v>
      </c>
      <c r="C62" s="782"/>
      <c r="D62" s="782"/>
      <c r="E62" s="782"/>
      <c r="F62" s="782"/>
      <c r="G62" s="782"/>
      <c r="H62" s="782"/>
      <c r="I62" s="782"/>
      <c r="J62" s="782"/>
      <c r="K62" s="782"/>
      <c r="L62" s="782"/>
      <c r="M62" s="782"/>
      <c r="N62" s="782"/>
      <c r="O62" s="782"/>
      <c r="P62" s="782"/>
      <c r="Q62" s="782"/>
      <c r="R62" s="782"/>
      <c r="S62" s="782"/>
      <c r="T62" s="782"/>
      <c r="U62" s="782"/>
      <c r="V62" s="782"/>
      <c r="W62" s="782"/>
      <c r="X62" s="782"/>
      <c r="Y62" s="782"/>
      <c r="Z62" s="782"/>
      <c r="AA62" s="782"/>
      <c r="AB62" s="782"/>
      <c r="AC62" s="782"/>
      <c r="AD62" s="782"/>
      <c r="AE62" s="782"/>
      <c r="AF62" s="782"/>
      <c r="AG62" s="782"/>
      <c r="AH62" s="782"/>
      <c r="AI62" s="782"/>
      <c r="AJ62" s="782"/>
      <c r="AK62" s="782"/>
      <c r="AL62" s="782"/>
      <c r="AM62" s="782"/>
      <c r="AN62" s="782"/>
      <c r="AO62" s="782"/>
      <c r="AP62" s="782"/>
      <c r="AQ62" s="782"/>
      <c r="AR62" s="782"/>
      <c r="AS62" s="782"/>
      <c r="AT62" s="782"/>
      <c r="AU62" s="782"/>
      <c r="AV62" s="782"/>
      <c r="AW62" s="782"/>
      <c r="AX62" s="782"/>
      <c r="AY62" s="782"/>
      <c r="AZ62" s="782"/>
      <c r="BA62" s="782"/>
      <c r="BB62" s="782"/>
      <c r="BC62" s="782"/>
      <c r="BD62" s="782"/>
      <c r="BE62" s="782"/>
      <c r="BF62" s="782"/>
      <c r="BG62" s="782"/>
      <c r="BH62" s="782"/>
      <c r="BI62" s="786"/>
    </row>
    <row r="63" spans="2:61" ht="15" customHeight="1">
      <c r="B63" s="71" t="s">
        <v>2548</v>
      </c>
      <c r="C63" s="782"/>
      <c r="D63" s="782"/>
      <c r="E63" s="782"/>
      <c r="F63" s="782"/>
      <c r="G63" s="782"/>
      <c r="H63" s="782"/>
      <c r="I63" s="782"/>
      <c r="J63" s="782"/>
      <c r="K63" s="782"/>
      <c r="L63" s="782"/>
      <c r="M63" s="782"/>
      <c r="N63" s="782"/>
      <c r="O63" s="782"/>
      <c r="P63" s="782"/>
      <c r="Q63" s="782"/>
      <c r="R63" s="782"/>
      <c r="S63" s="782"/>
      <c r="T63" s="782"/>
      <c r="U63" s="782"/>
      <c r="V63" s="782"/>
      <c r="W63" s="782"/>
      <c r="X63" s="782"/>
      <c r="Y63" s="782"/>
      <c r="Z63" s="782"/>
      <c r="AA63" s="782"/>
      <c r="AB63" s="782"/>
      <c r="AC63" s="782"/>
      <c r="AD63" s="782"/>
      <c r="AE63" s="782"/>
      <c r="AF63" s="782"/>
      <c r="AG63" s="782"/>
      <c r="AH63" s="782"/>
      <c r="AI63" s="782"/>
      <c r="AJ63" s="782"/>
      <c r="AK63" s="782"/>
      <c r="AL63" s="782"/>
      <c r="AM63" s="782"/>
      <c r="AN63" s="782"/>
      <c r="AO63" s="782"/>
      <c r="AP63" s="782"/>
      <c r="AQ63" s="782"/>
      <c r="AR63" s="782"/>
      <c r="AS63" s="782"/>
      <c r="AT63" s="782"/>
      <c r="AU63" s="782"/>
      <c r="AV63" s="782"/>
      <c r="AW63" s="782"/>
      <c r="AX63" s="782"/>
      <c r="AY63" s="782"/>
      <c r="AZ63" s="782"/>
      <c r="BA63" s="782"/>
      <c r="BB63" s="782"/>
      <c r="BC63" s="782"/>
      <c r="BD63" s="782"/>
      <c r="BE63" s="782"/>
      <c r="BF63" s="782"/>
      <c r="BG63" s="782"/>
      <c r="BH63" s="782"/>
      <c r="BI63" s="786"/>
    </row>
    <row r="64" spans="2:61" ht="15" customHeight="1">
      <c r="B64" s="71" t="s">
        <v>2549</v>
      </c>
      <c r="C64" s="782"/>
      <c r="D64" s="782"/>
      <c r="E64" s="782"/>
      <c r="F64" s="782"/>
      <c r="G64" s="782"/>
      <c r="H64" s="782"/>
      <c r="I64" s="782"/>
      <c r="J64" s="782"/>
      <c r="K64" s="782"/>
      <c r="L64" s="782"/>
      <c r="M64" s="782"/>
      <c r="N64" s="782"/>
      <c r="O64" s="782"/>
      <c r="P64" s="782"/>
      <c r="Q64" s="782"/>
      <c r="R64" s="782"/>
      <c r="S64" s="782"/>
      <c r="T64" s="782"/>
      <c r="U64" s="782"/>
      <c r="V64" s="782"/>
      <c r="W64" s="782"/>
      <c r="X64" s="782"/>
      <c r="Y64" s="782"/>
      <c r="Z64" s="782"/>
      <c r="AA64" s="782"/>
      <c r="AB64" s="782"/>
      <c r="AC64" s="782"/>
      <c r="AD64" s="782"/>
      <c r="AE64" s="782"/>
      <c r="AF64" s="782"/>
      <c r="AG64" s="782"/>
      <c r="AH64" s="782"/>
      <c r="AI64" s="782"/>
      <c r="AJ64" s="782"/>
      <c r="AK64" s="782"/>
      <c r="AL64" s="782"/>
      <c r="AM64" s="782"/>
      <c r="AN64" s="782"/>
      <c r="AO64" s="782"/>
      <c r="AP64" s="782"/>
      <c r="AQ64" s="782"/>
      <c r="AR64" s="782"/>
      <c r="AS64" s="782"/>
      <c r="AT64" s="782"/>
      <c r="AU64" s="782"/>
      <c r="AV64" s="782"/>
      <c r="AW64" s="782"/>
      <c r="AX64" s="782"/>
      <c r="AY64" s="782"/>
      <c r="AZ64" s="782"/>
      <c r="BA64" s="782"/>
      <c r="BB64" s="782"/>
      <c r="BC64" s="782"/>
      <c r="BD64" s="782"/>
      <c r="BE64" s="782"/>
      <c r="BF64" s="782"/>
      <c r="BG64" s="782"/>
      <c r="BH64" s="782"/>
      <c r="BI64" s="786"/>
    </row>
    <row r="65" spans="2:61" ht="15" customHeight="1" thickBot="1">
      <c r="B65" s="72" t="s">
        <v>2550</v>
      </c>
      <c r="C65" s="790"/>
      <c r="D65" s="790"/>
      <c r="E65" s="790"/>
      <c r="F65" s="790"/>
      <c r="G65" s="790"/>
      <c r="H65" s="790"/>
      <c r="I65" s="790"/>
      <c r="J65" s="790"/>
      <c r="K65" s="790"/>
      <c r="L65" s="790"/>
      <c r="M65" s="790"/>
      <c r="N65" s="790"/>
      <c r="O65" s="790"/>
      <c r="P65" s="790"/>
      <c r="Q65" s="790"/>
      <c r="R65" s="790"/>
      <c r="S65" s="790"/>
      <c r="T65" s="790"/>
      <c r="U65" s="790"/>
      <c r="V65" s="790"/>
      <c r="W65" s="790"/>
      <c r="X65" s="790"/>
      <c r="Y65" s="790"/>
      <c r="Z65" s="790"/>
      <c r="AA65" s="790"/>
      <c r="AB65" s="790"/>
      <c r="AC65" s="790"/>
      <c r="AD65" s="790"/>
      <c r="AE65" s="790"/>
      <c r="AF65" s="790"/>
      <c r="AG65" s="790"/>
      <c r="AH65" s="790"/>
      <c r="AI65" s="790"/>
      <c r="AJ65" s="790"/>
      <c r="AK65" s="790"/>
      <c r="AL65" s="790"/>
      <c r="AM65" s="790"/>
      <c r="AN65" s="790"/>
      <c r="AO65" s="790"/>
      <c r="AP65" s="790"/>
      <c r="AQ65" s="790"/>
      <c r="AR65" s="790"/>
      <c r="AS65" s="790"/>
      <c r="AT65" s="790"/>
      <c r="AU65" s="790"/>
      <c r="AV65" s="790"/>
      <c r="AW65" s="790"/>
      <c r="AX65" s="790"/>
      <c r="AY65" s="790"/>
      <c r="AZ65" s="790"/>
      <c r="BA65" s="790"/>
      <c r="BB65" s="790"/>
      <c r="BC65" s="790"/>
      <c r="BD65" s="790"/>
      <c r="BE65" s="790"/>
      <c r="BF65" s="790"/>
      <c r="BG65" s="790"/>
      <c r="BH65" s="790"/>
      <c r="BI65" s="791"/>
    </row>
    <row r="66" spans="2:61"/>
    <row r="67" spans="2:61"/>
    <row r="68" spans="2:61"/>
    <row r="69" spans="2:61" ht="15" customHeight="1"/>
    <row r="70" spans="2:61" ht="15" customHeight="1"/>
    <row r="71" spans="2:61" ht="15" customHeight="1"/>
  </sheetData>
  <sheetProtection algorithmName="SHA-512" hashValue="Cc33x63TDuucwKYZxZuy7SoV0+e2BVo3EeoKSQUFC+/kJZ1zi+3tWv7OX8fnCbiG5sSbsPAI+3+ZGoKKUC//Yg==" saltValue="dzUn/LZJ5akfdslefU1ZkA==" spinCount="100000" sheet="1" objects="1" scenarios="1"/>
  <mergeCells count="619">
    <mergeCell ref="AJ64:AM64"/>
    <mergeCell ref="AN64:AQ64"/>
    <mergeCell ref="AR64:AU64"/>
    <mergeCell ref="AV64:AY64"/>
    <mergeCell ref="AZ64:BC64"/>
    <mergeCell ref="BD64:BI64"/>
    <mergeCell ref="C65:E65"/>
    <mergeCell ref="F65:H65"/>
    <mergeCell ref="I65:K65"/>
    <mergeCell ref="L65:N65"/>
    <mergeCell ref="O65:R65"/>
    <mergeCell ref="S65:V65"/>
    <mergeCell ref="W65:Y65"/>
    <mergeCell ref="Z65:AB65"/>
    <mergeCell ref="AC65:AE65"/>
    <mergeCell ref="AF65:AI65"/>
    <mergeCell ref="AJ65:AM65"/>
    <mergeCell ref="AN65:AQ65"/>
    <mergeCell ref="AR65:AU65"/>
    <mergeCell ref="AV65:AY65"/>
    <mergeCell ref="AZ65:BC65"/>
    <mergeCell ref="BD65:BI65"/>
    <mergeCell ref="C64:E64"/>
    <mergeCell ref="F64:H64"/>
    <mergeCell ref="I64:K64"/>
    <mergeCell ref="L64:N64"/>
    <mergeCell ref="O64:R64"/>
    <mergeCell ref="S64:V64"/>
    <mergeCell ref="W64:Y64"/>
    <mergeCell ref="Z64:AB64"/>
    <mergeCell ref="AC64:AE64"/>
    <mergeCell ref="AF62:AI62"/>
    <mergeCell ref="I62:K62"/>
    <mergeCell ref="L62:N62"/>
    <mergeCell ref="O62:R62"/>
    <mergeCell ref="S62:V62"/>
    <mergeCell ref="W62:Y62"/>
    <mergeCell ref="Z62:AB62"/>
    <mergeCell ref="AC62:AE62"/>
    <mergeCell ref="AF64:AI64"/>
    <mergeCell ref="AJ62:AM62"/>
    <mergeCell ref="AN62:AQ62"/>
    <mergeCell ref="AR62:AU62"/>
    <mergeCell ref="AV62:AY62"/>
    <mergeCell ref="AZ62:BC62"/>
    <mergeCell ref="BD62:BI62"/>
    <mergeCell ref="C63:E63"/>
    <mergeCell ref="F63:H63"/>
    <mergeCell ref="I63:K63"/>
    <mergeCell ref="L63:N63"/>
    <mergeCell ref="O63:R63"/>
    <mergeCell ref="S63:V63"/>
    <mergeCell ref="W63:Y63"/>
    <mergeCell ref="Z63:AB63"/>
    <mergeCell ref="AC63:AE63"/>
    <mergeCell ref="AF63:AI63"/>
    <mergeCell ref="AJ63:AM63"/>
    <mergeCell ref="AN63:AQ63"/>
    <mergeCell ref="AR63:AU63"/>
    <mergeCell ref="AV63:AY63"/>
    <mergeCell ref="AZ63:BC63"/>
    <mergeCell ref="BD63:BI63"/>
    <mergeCell ref="C62:E62"/>
    <mergeCell ref="F62:H62"/>
    <mergeCell ref="AJ60:AM60"/>
    <mergeCell ref="AN60:AQ60"/>
    <mergeCell ref="AR60:AU60"/>
    <mergeCell ref="AV60:AY60"/>
    <mergeCell ref="AZ60:BC60"/>
    <mergeCell ref="BD60:BI60"/>
    <mergeCell ref="C61:E61"/>
    <mergeCell ref="F61:H61"/>
    <mergeCell ref="I61:K61"/>
    <mergeCell ref="L61:N61"/>
    <mergeCell ref="O61:R61"/>
    <mergeCell ref="S61:V61"/>
    <mergeCell ref="W61:Y61"/>
    <mergeCell ref="Z61:AB61"/>
    <mergeCell ref="AC61:AE61"/>
    <mergeCell ref="AF61:AI61"/>
    <mergeCell ref="AJ61:AM61"/>
    <mergeCell ref="AN61:AQ61"/>
    <mergeCell ref="AR61:AU61"/>
    <mergeCell ref="AV61:AY61"/>
    <mergeCell ref="AZ61:BC61"/>
    <mergeCell ref="BD61:BI61"/>
    <mergeCell ref="C60:E60"/>
    <mergeCell ref="F60:H60"/>
    <mergeCell ref="I60:K60"/>
    <mergeCell ref="L60:N60"/>
    <mergeCell ref="O60:R60"/>
    <mergeCell ref="S60:V60"/>
    <mergeCell ref="W60:Y60"/>
    <mergeCell ref="Z60:AB60"/>
    <mergeCell ref="AC60:AE60"/>
    <mergeCell ref="AF58:AI58"/>
    <mergeCell ref="I58:K58"/>
    <mergeCell ref="L58:N58"/>
    <mergeCell ref="O58:R58"/>
    <mergeCell ref="S58:V58"/>
    <mergeCell ref="W58:Y58"/>
    <mergeCell ref="Z58:AB58"/>
    <mergeCell ref="AC58:AE58"/>
    <mergeCell ref="AF60:AI60"/>
    <mergeCell ref="AJ58:AM58"/>
    <mergeCell ref="AN58:AQ58"/>
    <mergeCell ref="AR58:AU58"/>
    <mergeCell ref="AV58:AY58"/>
    <mergeCell ref="AZ58:BC58"/>
    <mergeCell ref="BD58:BI58"/>
    <mergeCell ref="C59:E59"/>
    <mergeCell ref="F59:H59"/>
    <mergeCell ref="I59:K59"/>
    <mergeCell ref="L59:N59"/>
    <mergeCell ref="O59:R59"/>
    <mergeCell ref="S59:V59"/>
    <mergeCell ref="W59:Y59"/>
    <mergeCell ref="Z59:AB59"/>
    <mergeCell ref="AC59:AE59"/>
    <mergeCell ref="AF59:AI59"/>
    <mergeCell ref="AJ59:AM59"/>
    <mergeCell ref="AN59:AQ59"/>
    <mergeCell ref="AR59:AU59"/>
    <mergeCell ref="AV59:AY59"/>
    <mergeCell ref="AZ59:BC59"/>
    <mergeCell ref="BD59:BI59"/>
    <mergeCell ref="C58:E58"/>
    <mergeCell ref="F58:H58"/>
    <mergeCell ref="AJ56:AM56"/>
    <mergeCell ref="AN56:AQ56"/>
    <mergeCell ref="AR56:AU56"/>
    <mergeCell ref="AV56:AY56"/>
    <mergeCell ref="AZ56:BC56"/>
    <mergeCell ref="BD56:BI56"/>
    <mergeCell ref="C57:E57"/>
    <mergeCell ref="F57:H57"/>
    <mergeCell ref="I57:K57"/>
    <mergeCell ref="L57:N57"/>
    <mergeCell ref="O57:R57"/>
    <mergeCell ref="S57:V57"/>
    <mergeCell ref="W57:Y57"/>
    <mergeCell ref="Z57:AB57"/>
    <mergeCell ref="AC57:AE57"/>
    <mergeCell ref="AF57:AI57"/>
    <mergeCell ref="AJ57:AM57"/>
    <mergeCell ref="AN57:AQ57"/>
    <mergeCell ref="AR57:AU57"/>
    <mergeCell ref="AV57:AY57"/>
    <mergeCell ref="AZ57:BC57"/>
    <mergeCell ref="BD57:BI57"/>
    <mergeCell ref="C56:E56"/>
    <mergeCell ref="F56:H56"/>
    <mergeCell ref="I56:K56"/>
    <mergeCell ref="L56:N56"/>
    <mergeCell ref="O56:R56"/>
    <mergeCell ref="S56:V56"/>
    <mergeCell ref="W56:Y56"/>
    <mergeCell ref="Z56:AB56"/>
    <mergeCell ref="AC56:AE56"/>
    <mergeCell ref="AF54:AI54"/>
    <mergeCell ref="I54:K54"/>
    <mergeCell ref="L54:N54"/>
    <mergeCell ref="O54:R54"/>
    <mergeCell ref="S54:V54"/>
    <mergeCell ref="W54:Y54"/>
    <mergeCell ref="Z54:AB54"/>
    <mergeCell ref="AC54:AE54"/>
    <mergeCell ref="AF56:AI56"/>
    <mergeCell ref="AJ54:AM54"/>
    <mergeCell ref="AN54:AQ54"/>
    <mergeCell ref="AR54:AU54"/>
    <mergeCell ref="AV54:AY54"/>
    <mergeCell ref="AZ54:BC54"/>
    <mergeCell ref="BD54:BI54"/>
    <mergeCell ref="C55:E55"/>
    <mergeCell ref="F55:H55"/>
    <mergeCell ref="I55:K55"/>
    <mergeCell ref="L55:N55"/>
    <mergeCell ref="O55:R55"/>
    <mergeCell ref="S55:V55"/>
    <mergeCell ref="W55:Y55"/>
    <mergeCell ref="Z55:AB55"/>
    <mergeCell ref="AC55:AE55"/>
    <mergeCell ref="AF55:AI55"/>
    <mergeCell ref="AJ55:AM55"/>
    <mergeCell ref="AN55:AQ55"/>
    <mergeCell ref="AR55:AU55"/>
    <mergeCell ref="AV55:AY55"/>
    <mergeCell ref="AZ55:BC55"/>
    <mergeCell ref="BD55:BI55"/>
    <mergeCell ref="C54:E54"/>
    <mergeCell ref="F54:H54"/>
    <mergeCell ref="AJ52:AM52"/>
    <mergeCell ref="AN52:AQ52"/>
    <mergeCell ref="AR52:AU52"/>
    <mergeCell ref="AV52:AY52"/>
    <mergeCell ref="AZ52:BC52"/>
    <mergeCell ref="BD52:BI52"/>
    <mergeCell ref="C53:E53"/>
    <mergeCell ref="F53:H53"/>
    <mergeCell ref="I53:K53"/>
    <mergeCell ref="L53:N53"/>
    <mergeCell ref="O53:R53"/>
    <mergeCell ref="S53:V53"/>
    <mergeCell ref="W53:Y53"/>
    <mergeCell ref="Z53:AB53"/>
    <mergeCell ref="AC53:AE53"/>
    <mergeCell ref="AF53:AI53"/>
    <mergeCell ref="AJ53:AM53"/>
    <mergeCell ref="AN53:AQ53"/>
    <mergeCell ref="AR53:AU53"/>
    <mergeCell ref="AV53:AY53"/>
    <mergeCell ref="AZ53:BC53"/>
    <mergeCell ref="BD53:BI53"/>
    <mergeCell ref="C52:E52"/>
    <mergeCell ref="F52:H52"/>
    <mergeCell ref="I52:K52"/>
    <mergeCell ref="L52:N52"/>
    <mergeCell ref="O52:R52"/>
    <mergeCell ref="S52:V52"/>
    <mergeCell ref="W52:Y52"/>
    <mergeCell ref="Z52:AB52"/>
    <mergeCell ref="AC52:AE52"/>
    <mergeCell ref="AF50:AI50"/>
    <mergeCell ref="I50:K50"/>
    <mergeCell ref="L50:N50"/>
    <mergeCell ref="O50:R50"/>
    <mergeCell ref="S50:V50"/>
    <mergeCell ref="W50:Y50"/>
    <mergeCell ref="Z50:AB50"/>
    <mergeCell ref="AC50:AE50"/>
    <mergeCell ref="AF52:AI52"/>
    <mergeCell ref="AJ50:AM50"/>
    <mergeCell ref="AN50:AQ50"/>
    <mergeCell ref="AR50:AU50"/>
    <mergeCell ref="AV50:AY50"/>
    <mergeCell ref="AZ50:BC50"/>
    <mergeCell ref="BD50:BI50"/>
    <mergeCell ref="C51:E51"/>
    <mergeCell ref="F51:H51"/>
    <mergeCell ref="I51:K51"/>
    <mergeCell ref="L51:N51"/>
    <mergeCell ref="O51:R51"/>
    <mergeCell ref="S51:V51"/>
    <mergeCell ref="W51:Y51"/>
    <mergeCell ref="Z51:AB51"/>
    <mergeCell ref="AC51:AE51"/>
    <mergeCell ref="AF51:AI51"/>
    <mergeCell ref="AJ51:AM51"/>
    <mergeCell ref="AN51:AQ51"/>
    <mergeCell ref="AR51:AU51"/>
    <mergeCell ref="AV51:AY51"/>
    <mergeCell ref="AZ51:BC51"/>
    <mergeCell ref="BD51:BI51"/>
    <mergeCell ref="C50:E50"/>
    <mergeCell ref="F50:H50"/>
    <mergeCell ref="AJ48:AM48"/>
    <mergeCell ref="AN48:AQ48"/>
    <mergeCell ref="AR48:AU48"/>
    <mergeCell ref="AV48:AY48"/>
    <mergeCell ref="AZ48:BC48"/>
    <mergeCell ref="BD48:BI48"/>
    <mergeCell ref="C49:E49"/>
    <mergeCell ref="F49:H49"/>
    <mergeCell ref="I49:K49"/>
    <mergeCell ref="L49:N49"/>
    <mergeCell ref="O49:R49"/>
    <mergeCell ref="S49:V49"/>
    <mergeCell ref="W49:Y49"/>
    <mergeCell ref="Z49:AB49"/>
    <mergeCell ref="AC49:AE49"/>
    <mergeCell ref="AF49:AI49"/>
    <mergeCell ref="AJ49:AM49"/>
    <mergeCell ref="AN49:AQ49"/>
    <mergeCell ref="AR49:AU49"/>
    <mergeCell ref="AV49:AY49"/>
    <mergeCell ref="AZ49:BC49"/>
    <mergeCell ref="BD49:BI49"/>
    <mergeCell ref="C48:E48"/>
    <mergeCell ref="F48:H48"/>
    <mergeCell ref="I48:K48"/>
    <mergeCell ref="L48:N48"/>
    <mergeCell ref="O48:R48"/>
    <mergeCell ref="S48:V48"/>
    <mergeCell ref="W48:Y48"/>
    <mergeCell ref="Z48:AB48"/>
    <mergeCell ref="AC48:AE48"/>
    <mergeCell ref="AF46:AI46"/>
    <mergeCell ref="I46:K46"/>
    <mergeCell ref="L46:N46"/>
    <mergeCell ref="O46:R46"/>
    <mergeCell ref="S46:V46"/>
    <mergeCell ref="W46:Y46"/>
    <mergeCell ref="Z46:AB46"/>
    <mergeCell ref="AC46:AE46"/>
    <mergeCell ref="AF48:AI48"/>
    <mergeCell ref="AJ46:AM46"/>
    <mergeCell ref="AN46:AQ46"/>
    <mergeCell ref="AR46:AU46"/>
    <mergeCell ref="AV46:AY46"/>
    <mergeCell ref="AZ46:BC46"/>
    <mergeCell ref="BD46:BI46"/>
    <mergeCell ref="C47:E47"/>
    <mergeCell ref="F47:H47"/>
    <mergeCell ref="I47:K47"/>
    <mergeCell ref="L47:N47"/>
    <mergeCell ref="O47:R47"/>
    <mergeCell ref="S47:V47"/>
    <mergeCell ref="W47:Y47"/>
    <mergeCell ref="Z47:AB47"/>
    <mergeCell ref="AC47:AE47"/>
    <mergeCell ref="AF47:AI47"/>
    <mergeCell ref="AJ47:AM47"/>
    <mergeCell ref="AN47:AQ47"/>
    <mergeCell ref="AR47:AU47"/>
    <mergeCell ref="AV47:AY47"/>
    <mergeCell ref="AZ47:BC47"/>
    <mergeCell ref="BD47:BI47"/>
    <mergeCell ref="C46:E46"/>
    <mergeCell ref="F46:H46"/>
    <mergeCell ref="AJ44:AM44"/>
    <mergeCell ref="AN44:AQ44"/>
    <mergeCell ref="AR44:AU44"/>
    <mergeCell ref="AV44:AY44"/>
    <mergeCell ref="AZ44:BC44"/>
    <mergeCell ref="BD44:BI44"/>
    <mergeCell ref="C45:E45"/>
    <mergeCell ref="F45:H45"/>
    <mergeCell ref="I45:K45"/>
    <mergeCell ref="L45:N45"/>
    <mergeCell ref="O45:R45"/>
    <mergeCell ref="S45:V45"/>
    <mergeCell ref="W45:Y45"/>
    <mergeCell ref="Z45:AB45"/>
    <mergeCell ref="AC45:AE45"/>
    <mergeCell ref="AF45:AI45"/>
    <mergeCell ref="AJ45:AM45"/>
    <mergeCell ref="AN45:AQ45"/>
    <mergeCell ref="AR45:AU45"/>
    <mergeCell ref="AV45:AY45"/>
    <mergeCell ref="AZ45:BC45"/>
    <mergeCell ref="BD45:BI45"/>
    <mergeCell ref="C44:E44"/>
    <mergeCell ref="F44:H44"/>
    <mergeCell ref="I44:K44"/>
    <mergeCell ref="L44:N44"/>
    <mergeCell ref="O44:R44"/>
    <mergeCell ref="S44:V44"/>
    <mergeCell ref="W44:Y44"/>
    <mergeCell ref="Z44:AB44"/>
    <mergeCell ref="AC44:AE44"/>
    <mergeCell ref="AF42:AI42"/>
    <mergeCell ref="I42:K42"/>
    <mergeCell ref="L42:N42"/>
    <mergeCell ref="O42:R42"/>
    <mergeCell ref="S42:V42"/>
    <mergeCell ref="W42:Y42"/>
    <mergeCell ref="Z42:AB42"/>
    <mergeCell ref="AC42:AE42"/>
    <mergeCell ref="AF44:AI44"/>
    <mergeCell ref="AJ42:AM42"/>
    <mergeCell ref="AN42:AQ42"/>
    <mergeCell ref="AR42:AU42"/>
    <mergeCell ref="AV42:AY42"/>
    <mergeCell ref="AZ42:BC42"/>
    <mergeCell ref="BD42:BI42"/>
    <mergeCell ref="C43:E43"/>
    <mergeCell ref="F43:H43"/>
    <mergeCell ref="I43:K43"/>
    <mergeCell ref="L43:N43"/>
    <mergeCell ref="O43:R43"/>
    <mergeCell ref="S43:V43"/>
    <mergeCell ref="W43:Y43"/>
    <mergeCell ref="Z43:AB43"/>
    <mergeCell ref="AC43:AE43"/>
    <mergeCell ref="AF43:AI43"/>
    <mergeCell ref="AJ43:AM43"/>
    <mergeCell ref="AN43:AQ43"/>
    <mergeCell ref="AR43:AU43"/>
    <mergeCell ref="AV43:AY43"/>
    <mergeCell ref="AZ43:BC43"/>
    <mergeCell ref="BD43:BI43"/>
    <mergeCell ref="C42:E42"/>
    <mergeCell ref="F42:H42"/>
    <mergeCell ref="AJ40:AM40"/>
    <mergeCell ref="AN40:AQ40"/>
    <mergeCell ref="AR40:AU40"/>
    <mergeCell ref="AV40:AY40"/>
    <mergeCell ref="AZ40:BC40"/>
    <mergeCell ref="BD40:BI40"/>
    <mergeCell ref="C41:E41"/>
    <mergeCell ref="F41:H41"/>
    <mergeCell ref="I41:K41"/>
    <mergeCell ref="L41:N41"/>
    <mergeCell ref="O41:R41"/>
    <mergeCell ref="S41:V41"/>
    <mergeCell ref="W41:Y41"/>
    <mergeCell ref="Z41:AB41"/>
    <mergeCell ref="AC41:AE41"/>
    <mergeCell ref="AF41:AI41"/>
    <mergeCell ref="AJ41:AM41"/>
    <mergeCell ref="AN41:AQ41"/>
    <mergeCell ref="AR41:AU41"/>
    <mergeCell ref="AV41:AY41"/>
    <mergeCell ref="AZ41:BC41"/>
    <mergeCell ref="BD41:BI41"/>
    <mergeCell ref="C40:E40"/>
    <mergeCell ref="F40:H40"/>
    <mergeCell ref="I40:K40"/>
    <mergeCell ref="L40:N40"/>
    <mergeCell ref="O40:R40"/>
    <mergeCell ref="S40:V40"/>
    <mergeCell ref="W40:Y40"/>
    <mergeCell ref="Z40:AB40"/>
    <mergeCell ref="AC40:AE40"/>
    <mergeCell ref="AF38:AI38"/>
    <mergeCell ref="I38:K38"/>
    <mergeCell ref="L38:N38"/>
    <mergeCell ref="O38:R38"/>
    <mergeCell ref="S38:V38"/>
    <mergeCell ref="W38:Y38"/>
    <mergeCell ref="Z38:AB38"/>
    <mergeCell ref="AC38:AE38"/>
    <mergeCell ref="AF40:AI40"/>
    <mergeCell ref="AJ38:AM38"/>
    <mergeCell ref="AN38:AQ38"/>
    <mergeCell ref="AR38:AU38"/>
    <mergeCell ref="AV38:AY38"/>
    <mergeCell ref="AZ38:BC38"/>
    <mergeCell ref="BD38:BI38"/>
    <mergeCell ref="C39:E39"/>
    <mergeCell ref="F39:H39"/>
    <mergeCell ref="I39:K39"/>
    <mergeCell ref="L39:N39"/>
    <mergeCell ref="O39:R39"/>
    <mergeCell ref="S39:V39"/>
    <mergeCell ref="W39:Y39"/>
    <mergeCell ref="Z39:AB39"/>
    <mergeCell ref="AC39:AE39"/>
    <mergeCell ref="AF39:AI39"/>
    <mergeCell ref="AJ39:AM39"/>
    <mergeCell ref="AN39:AQ39"/>
    <mergeCell ref="AR39:AU39"/>
    <mergeCell ref="AV39:AY39"/>
    <mergeCell ref="AZ39:BC39"/>
    <mergeCell ref="BD39:BI39"/>
    <mergeCell ref="C38:E38"/>
    <mergeCell ref="F38:H38"/>
    <mergeCell ref="AJ36:AM36"/>
    <mergeCell ref="AN36:AQ36"/>
    <mergeCell ref="AR36:AU36"/>
    <mergeCell ref="AV36:AY36"/>
    <mergeCell ref="AZ36:BC36"/>
    <mergeCell ref="BD36:BI36"/>
    <mergeCell ref="C37:E37"/>
    <mergeCell ref="F37:H37"/>
    <mergeCell ref="I37:K37"/>
    <mergeCell ref="L37:N37"/>
    <mergeCell ref="O37:R37"/>
    <mergeCell ref="S37:V37"/>
    <mergeCell ref="W37:Y37"/>
    <mergeCell ref="Z37:AB37"/>
    <mergeCell ref="AC37:AE37"/>
    <mergeCell ref="AF37:AI37"/>
    <mergeCell ref="AJ37:AM37"/>
    <mergeCell ref="AN37:AQ37"/>
    <mergeCell ref="AR37:AU37"/>
    <mergeCell ref="AV37:AY37"/>
    <mergeCell ref="AZ37:BC37"/>
    <mergeCell ref="BD37:BI37"/>
    <mergeCell ref="C36:E36"/>
    <mergeCell ref="F36:H36"/>
    <mergeCell ref="I36:K36"/>
    <mergeCell ref="L36:N36"/>
    <mergeCell ref="O36:R36"/>
    <mergeCell ref="S36:V36"/>
    <mergeCell ref="W36:Y36"/>
    <mergeCell ref="Z36:AB36"/>
    <mergeCell ref="AC36:AE36"/>
    <mergeCell ref="AF34:AI34"/>
    <mergeCell ref="I34:K34"/>
    <mergeCell ref="L34:N34"/>
    <mergeCell ref="O34:R34"/>
    <mergeCell ref="S34:V34"/>
    <mergeCell ref="W34:Y34"/>
    <mergeCell ref="Z34:AB34"/>
    <mergeCell ref="AC34:AE34"/>
    <mergeCell ref="AF36:AI36"/>
    <mergeCell ref="AF35:AI35"/>
    <mergeCell ref="AJ35:AM35"/>
    <mergeCell ref="AN35:AQ35"/>
    <mergeCell ref="AR35:AU35"/>
    <mergeCell ref="AV35:AY35"/>
    <mergeCell ref="AZ35:BC35"/>
    <mergeCell ref="BD35:BI35"/>
    <mergeCell ref="C34:E34"/>
    <mergeCell ref="F34:H34"/>
    <mergeCell ref="C35:E35"/>
    <mergeCell ref="F35:H35"/>
    <mergeCell ref="I35:K35"/>
    <mergeCell ref="L35:N35"/>
    <mergeCell ref="O35:R35"/>
    <mergeCell ref="S35:V35"/>
    <mergeCell ref="W35:Y35"/>
    <mergeCell ref="Z35:AB35"/>
    <mergeCell ref="AC35:AE35"/>
    <mergeCell ref="AF33:AI33"/>
    <mergeCell ref="AJ33:AM33"/>
    <mergeCell ref="AN33:AQ33"/>
    <mergeCell ref="AR33:AU33"/>
    <mergeCell ref="AV33:AY33"/>
    <mergeCell ref="AZ33:BC33"/>
    <mergeCell ref="BD33:BI33"/>
    <mergeCell ref="C32:E32"/>
    <mergeCell ref="AJ34:AM34"/>
    <mergeCell ref="AN34:AQ34"/>
    <mergeCell ref="AR34:AU34"/>
    <mergeCell ref="AV34:AY34"/>
    <mergeCell ref="AZ34:BC34"/>
    <mergeCell ref="BD34:BI34"/>
    <mergeCell ref="C33:E33"/>
    <mergeCell ref="F33:H33"/>
    <mergeCell ref="I33:K33"/>
    <mergeCell ref="L33:N33"/>
    <mergeCell ref="O33:R33"/>
    <mergeCell ref="S33:V33"/>
    <mergeCell ref="W33:Y33"/>
    <mergeCell ref="Z33:AB33"/>
    <mergeCell ref="AC33:AE33"/>
    <mergeCell ref="F32:H32"/>
    <mergeCell ref="I32:K32"/>
    <mergeCell ref="L32:N32"/>
    <mergeCell ref="O32:R32"/>
    <mergeCell ref="S32:V32"/>
    <mergeCell ref="W32:Y32"/>
    <mergeCell ref="Z32:AB32"/>
    <mergeCell ref="AC32:AE32"/>
    <mergeCell ref="BD30:BI30"/>
    <mergeCell ref="AF31:AI31"/>
    <mergeCell ref="AJ31:AM31"/>
    <mergeCell ref="AN31:AQ31"/>
    <mergeCell ref="AR31:AU31"/>
    <mergeCell ref="AV31:AY31"/>
    <mergeCell ref="AZ31:BC31"/>
    <mergeCell ref="BD31:BI31"/>
    <mergeCell ref="AF32:AI32"/>
    <mergeCell ref="AJ32:AM32"/>
    <mergeCell ref="AN32:AQ32"/>
    <mergeCell ref="AR32:AU32"/>
    <mergeCell ref="AV32:AY32"/>
    <mergeCell ref="AZ32:BC32"/>
    <mergeCell ref="BD32:BI32"/>
    <mergeCell ref="C31:E31"/>
    <mergeCell ref="F31:H31"/>
    <mergeCell ref="I31:K31"/>
    <mergeCell ref="L31:N31"/>
    <mergeCell ref="O31:R31"/>
    <mergeCell ref="S31:V31"/>
    <mergeCell ref="W31:Y31"/>
    <mergeCell ref="Z31:AB31"/>
    <mergeCell ref="AC31:AE31"/>
    <mergeCell ref="AV29:AY29"/>
    <mergeCell ref="AZ29:BC29"/>
    <mergeCell ref="C30:E30"/>
    <mergeCell ref="F30:H30"/>
    <mergeCell ref="I30:K30"/>
    <mergeCell ref="L30:N30"/>
    <mergeCell ref="O30:R30"/>
    <mergeCell ref="S30:V30"/>
    <mergeCell ref="W30:Y30"/>
    <mergeCell ref="Z30:AB30"/>
    <mergeCell ref="AC30:AE30"/>
    <mergeCell ref="AF30:AI30"/>
    <mergeCell ref="AJ30:AM30"/>
    <mergeCell ref="AN30:AQ30"/>
    <mergeCell ref="AR30:AU30"/>
    <mergeCell ref="AV30:AY30"/>
    <mergeCell ref="AZ30:BC30"/>
    <mergeCell ref="D21:BI21"/>
    <mergeCell ref="D22:BI22"/>
    <mergeCell ref="D23:BI23"/>
    <mergeCell ref="E24:BI24"/>
    <mergeCell ref="D25:BI25"/>
    <mergeCell ref="B27:B29"/>
    <mergeCell ref="C27:E29"/>
    <mergeCell ref="F27:H29"/>
    <mergeCell ref="I27:K29"/>
    <mergeCell ref="L27:N29"/>
    <mergeCell ref="O27:R29"/>
    <mergeCell ref="S27:V29"/>
    <mergeCell ref="W27:Y29"/>
    <mergeCell ref="Z27:AB29"/>
    <mergeCell ref="AC27:AE29"/>
    <mergeCell ref="AF27:BI27"/>
    <mergeCell ref="AF28:AM28"/>
    <mergeCell ref="AN28:AU28"/>
    <mergeCell ref="AV28:BC28"/>
    <mergeCell ref="BD28:BI29"/>
    <mergeCell ref="AF29:AI29"/>
    <mergeCell ref="AJ29:AM29"/>
    <mergeCell ref="AN29:AQ29"/>
    <mergeCell ref="AR29:AU29"/>
    <mergeCell ref="C13:BI13"/>
    <mergeCell ref="C14:BI14"/>
    <mergeCell ref="C15:BI15"/>
    <mergeCell ref="C16:BI16"/>
    <mergeCell ref="C17:BI17"/>
    <mergeCell ref="C18:BI18"/>
    <mergeCell ref="D19:BI19"/>
    <mergeCell ref="C20:BI20"/>
    <mergeCell ref="B1:BI1"/>
    <mergeCell ref="B3:BI3"/>
    <mergeCell ref="BF7:BI7"/>
    <mergeCell ref="B8:L8"/>
    <mergeCell ref="N8:O8"/>
    <mergeCell ref="B5:BI5"/>
    <mergeCell ref="B10:BI10"/>
    <mergeCell ref="B11:BI11"/>
    <mergeCell ref="C12:BI12"/>
  </mergeCells>
  <dataValidations count="1">
    <dataValidation type="list" allowBlank="1" showInputMessage="1" showErrorMessage="1" sqref="AR30:AU65 AZ30:BC65 AJ30:AM65" xr:uid="{E49411D3-2874-4D7F-B1FF-13467326997C}">
      <formula1>$BK$30:$BK$40</formula1>
    </dataValidation>
  </dataValidations>
  <hyperlinks>
    <hyperlink ref="BF7:BI7" location="Índice!B13" display="Índice" xr:uid="{EFEE289A-5FF0-45E3-BB76-9F3BD616D751}"/>
    <hyperlink ref="Z30" r:id="rId1" xr:uid="{76C063A8-F7B2-4A81-9A8C-F37D324D1966}"/>
  </hyperlinks>
  <pageMargins left="0.70866141732283472" right="0.70866141732283472" top="0.74803149606299213" bottom="0.74803149606299213" header="0.31496062992125984" footer="0.31496062992125984"/>
  <pageSetup scale="75" orientation="portrait" r:id="rId2"/>
  <headerFooter>
    <oddHeader>&amp;CMódulo 2
Participantes</oddHeader>
    <oddFooter>&amp;LCenso Nacional de Sistemas Penitenciarios Estatales 2024&amp;R&amp;P de &amp;N</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47ADC-B4D5-4658-A5E7-E5E9693F84D0}">
  <sheetPr codeName="Hoja5"/>
  <dimension ref="A1:BN630"/>
  <sheetViews>
    <sheetView showGridLines="0" zoomScaleNormal="100" workbookViewId="0"/>
  </sheetViews>
  <sheetFormatPr baseColWidth="10" defaultColWidth="0" defaultRowHeight="15" customHeight="1" zeroHeight="1"/>
  <cols>
    <col min="1" max="1" width="5.7109375" style="3" customWidth="1"/>
    <col min="2" max="30" width="3.7109375" style="3" customWidth="1"/>
    <col min="31" max="31" width="5.7109375" style="3" customWidth="1"/>
    <col min="32" max="34" width="9.28515625" style="3" hidden="1" customWidth="1"/>
    <col min="35" max="36" width="11.85546875" style="3" hidden="1" customWidth="1"/>
    <col min="37" max="16384" width="9.28515625" style="3" hidden="1"/>
  </cols>
  <sheetData>
    <row r="1" spans="1:32" ht="173.25" customHeight="1">
      <c r="A1" s="91"/>
      <c r="B1" s="718" t="s">
        <v>0</v>
      </c>
      <c r="C1" s="719"/>
      <c r="D1" s="719"/>
      <c r="E1" s="719"/>
      <c r="F1" s="719"/>
      <c r="G1" s="719"/>
      <c r="H1" s="719"/>
      <c r="I1" s="719"/>
      <c r="J1" s="719"/>
      <c r="K1" s="719"/>
      <c r="L1" s="719"/>
      <c r="M1" s="719"/>
      <c r="N1" s="719"/>
      <c r="O1" s="719"/>
      <c r="P1" s="719"/>
      <c r="Q1" s="719"/>
      <c r="R1" s="719"/>
      <c r="S1" s="719"/>
      <c r="T1" s="719"/>
      <c r="U1" s="719"/>
      <c r="V1" s="719"/>
      <c r="W1" s="719"/>
      <c r="X1" s="719"/>
      <c r="Y1" s="719"/>
      <c r="Z1" s="719"/>
      <c r="AA1" s="719"/>
      <c r="AB1" s="719"/>
      <c r="AC1" s="719"/>
      <c r="AD1" s="719"/>
    </row>
    <row r="2" spans="1:32" ht="15" customHeight="1">
      <c r="A2" s="91"/>
    </row>
    <row r="3" spans="1:32" ht="45" customHeight="1">
      <c r="A3" s="91"/>
      <c r="B3" s="720" t="s">
        <v>1</v>
      </c>
      <c r="C3" s="721"/>
      <c r="D3" s="721"/>
      <c r="E3" s="721"/>
      <c r="F3" s="721"/>
      <c r="G3" s="721"/>
      <c r="H3" s="721"/>
      <c r="I3" s="721"/>
      <c r="J3" s="721"/>
      <c r="K3" s="721"/>
      <c r="L3" s="721"/>
      <c r="M3" s="721"/>
      <c r="N3" s="721"/>
      <c r="O3" s="721"/>
      <c r="P3" s="721"/>
      <c r="Q3" s="721"/>
      <c r="R3" s="721"/>
      <c r="S3" s="721"/>
      <c r="T3" s="721"/>
      <c r="U3" s="721"/>
      <c r="V3" s="721"/>
      <c r="W3" s="721"/>
      <c r="X3" s="721"/>
      <c r="Y3" s="721"/>
      <c r="Z3" s="721"/>
      <c r="AA3" s="721"/>
      <c r="AB3" s="721"/>
      <c r="AC3" s="721"/>
      <c r="AD3" s="721"/>
    </row>
    <row r="4" spans="1:32" ht="15" customHeight="1">
      <c r="A4" s="91"/>
    </row>
    <row r="5" spans="1:32" ht="45" customHeight="1">
      <c r="A5" s="91"/>
      <c r="B5" s="720" t="s">
        <v>8</v>
      </c>
      <c r="C5" s="721"/>
      <c r="D5" s="721"/>
      <c r="E5" s="721"/>
      <c r="F5" s="721"/>
      <c r="G5" s="721"/>
      <c r="H5" s="721"/>
      <c r="I5" s="721"/>
      <c r="J5" s="721"/>
      <c r="K5" s="721"/>
      <c r="L5" s="721"/>
      <c r="M5" s="721"/>
      <c r="N5" s="721"/>
      <c r="O5" s="721"/>
      <c r="P5" s="721"/>
      <c r="Q5" s="721"/>
      <c r="R5" s="721"/>
      <c r="S5" s="721"/>
      <c r="T5" s="721"/>
      <c r="U5" s="721"/>
      <c r="V5" s="721"/>
      <c r="W5" s="721"/>
      <c r="X5" s="721"/>
      <c r="Y5" s="721"/>
      <c r="Z5" s="721"/>
      <c r="AA5" s="721"/>
      <c r="AB5" s="721"/>
      <c r="AC5" s="721"/>
      <c r="AD5" s="721"/>
      <c r="AF5" s="3" t="s">
        <v>2551</v>
      </c>
    </row>
    <row r="6" spans="1:32" ht="15" customHeight="1">
      <c r="A6" s="91"/>
    </row>
    <row r="7" spans="1:32" ht="15" customHeight="1" thickBot="1">
      <c r="A7" s="91"/>
      <c r="B7" s="23" t="s">
        <v>3</v>
      </c>
      <c r="N7" s="23" t="s">
        <v>4</v>
      </c>
      <c r="P7" s="24"/>
      <c r="Q7" s="24"/>
      <c r="R7" s="24"/>
      <c r="S7" s="24"/>
      <c r="T7" s="24"/>
      <c r="U7" s="24"/>
      <c r="V7" s="24"/>
      <c r="W7" s="24"/>
      <c r="X7" s="24"/>
      <c r="Y7" s="24"/>
      <c r="Z7" s="24"/>
      <c r="AA7" s="758" t="s">
        <v>2</v>
      </c>
      <c r="AB7" s="758"/>
      <c r="AC7" s="758"/>
      <c r="AD7" s="758"/>
    </row>
    <row r="8" spans="1:32" ht="15" customHeight="1" thickBot="1">
      <c r="A8" s="108"/>
      <c r="B8" s="722" t="str">
        <f>IF(Presentación!B8="","",Presentación!B8)</f>
        <v>Puebla</v>
      </c>
      <c r="C8" s="723"/>
      <c r="D8" s="723"/>
      <c r="E8" s="723"/>
      <c r="F8" s="723"/>
      <c r="G8" s="723"/>
      <c r="H8" s="723"/>
      <c r="I8" s="723"/>
      <c r="J8" s="723"/>
      <c r="K8" s="723"/>
      <c r="L8" s="724"/>
      <c r="M8" s="25"/>
      <c r="N8" s="722">
        <f>IF(Presentación!N8="","",Presentación!N8)</f>
        <v>221</v>
      </c>
      <c r="O8" s="724"/>
      <c r="P8" s="107"/>
      <c r="Q8" s="107"/>
      <c r="R8" s="107"/>
      <c r="S8" s="109"/>
      <c r="T8" s="107"/>
      <c r="U8" s="107"/>
      <c r="V8" s="107"/>
      <c r="W8" s="107"/>
      <c r="X8" s="107"/>
      <c r="Y8" s="107"/>
      <c r="Z8" s="107"/>
      <c r="AA8" s="107"/>
      <c r="AB8" s="107"/>
      <c r="AC8" s="107"/>
      <c r="AD8" s="107"/>
    </row>
    <row r="9" spans="1:32" ht="15" customHeight="1">
      <c r="A9" s="91"/>
      <c r="C9" s="24"/>
      <c r="D9" s="24"/>
      <c r="E9" s="24"/>
      <c r="F9" s="24"/>
      <c r="G9" s="24"/>
      <c r="H9" s="24"/>
      <c r="I9" s="24"/>
      <c r="J9" s="24"/>
      <c r="K9" s="24"/>
      <c r="L9" s="24"/>
      <c r="M9" s="24"/>
      <c r="N9" s="24"/>
      <c r="O9" s="24"/>
      <c r="P9" s="24"/>
      <c r="Q9" s="24"/>
      <c r="R9" s="24"/>
      <c r="S9" s="24"/>
      <c r="T9" s="24"/>
      <c r="U9" s="24"/>
      <c r="V9" s="24"/>
      <c r="W9" s="24"/>
      <c r="X9" s="24"/>
      <c r="Y9" s="24"/>
      <c r="Z9" s="24"/>
      <c r="AA9" s="24"/>
      <c r="AB9" s="24"/>
      <c r="AC9" s="24"/>
    </row>
    <row r="10" spans="1:32" ht="15" customHeight="1">
      <c r="A10" s="94"/>
      <c r="B10" s="892" t="s">
        <v>2552</v>
      </c>
      <c r="C10" s="893"/>
      <c r="D10" s="893"/>
      <c r="E10" s="893"/>
      <c r="F10" s="893"/>
      <c r="G10" s="893"/>
      <c r="H10" s="893"/>
      <c r="I10" s="893"/>
      <c r="J10" s="893"/>
      <c r="K10" s="893"/>
      <c r="L10" s="893"/>
      <c r="M10" s="893"/>
      <c r="N10" s="893"/>
      <c r="O10" s="893"/>
      <c r="P10" s="893"/>
      <c r="Q10" s="893"/>
      <c r="R10" s="893"/>
      <c r="S10" s="893"/>
      <c r="T10" s="893"/>
      <c r="U10" s="893"/>
      <c r="V10" s="893"/>
      <c r="W10" s="893"/>
      <c r="X10" s="893"/>
      <c r="Y10" s="893"/>
      <c r="Z10" s="893"/>
      <c r="AA10" s="893"/>
      <c r="AB10" s="893"/>
      <c r="AC10" s="893"/>
      <c r="AD10" s="894"/>
    </row>
    <row r="11" spans="1:32" ht="36" customHeight="1">
      <c r="A11" s="94"/>
      <c r="B11" s="654"/>
      <c r="C11" s="754" t="s">
        <v>2553</v>
      </c>
      <c r="D11" s="754"/>
      <c r="E11" s="754"/>
      <c r="F11" s="754"/>
      <c r="G11" s="754"/>
      <c r="H11" s="754"/>
      <c r="I11" s="754"/>
      <c r="J11" s="754"/>
      <c r="K11" s="754"/>
      <c r="L11" s="754"/>
      <c r="M11" s="754"/>
      <c r="N11" s="754"/>
      <c r="O11" s="754"/>
      <c r="P11" s="754"/>
      <c r="Q11" s="754"/>
      <c r="R11" s="754"/>
      <c r="S11" s="754"/>
      <c r="T11" s="754"/>
      <c r="U11" s="754"/>
      <c r="V11" s="754"/>
      <c r="W11" s="754"/>
      <c r="X11" s="754"/>
      <c r="Y11" s="754"/>
      <c r="Z11" s="754"/>
      <c r="AA11" s="754"/>
      <c r="AB11" s="754"/>
      <c r="AC11" s="754"/>
      <c r="AD11" s="891"/>
    </row>
    <row r="12" spans="1:32" ht="24" customHeight="1">
      <c r="A12" s="94"/>
      <c r="B12" s="654"/>
      <c r="C12" s="754" t="s">
        <v>2554</v>
      </c>
      <c r="D12" s="830"/>
      <c r="E12" s="830"/>
      <c r="F12" s="830"/>
      <c r="G12" s="830"/>
      <c r="H12" s="830"/>
      <c r="I12" s="830"/>
      <c r="J12" s="830"/>
      <c r="K12" s="830"/>
      <c r="L12" s="830"/>
      <c r="M12" s="830"/>
      <c r="N12" s="830"/>
      <c r="O12" s="830"/>
      <c r="P12" s="830"/>
      <c r="Q12" s="830"/>
      <c r="R12" s="830"/>
      <c r="S12" s="830"/>
      <c r="T12" s="830"/>
      <c r="U12" s="830"/>
      <c r="V12" s="830"/>
      <c r="W12" s="830"/>
      <c r="X12" s="830"/>
      <c r="Y12" s="830"/>
      <c r="Z12" s="830"/>
      <c r="AA12" s="830"/>
      <c r="AB12" s="830"/>
      <c r="AC12" s="830"/>
      <c r="AD12" s="895"/>
    </row>
    <row r="13" spans="1:32" ht="60" customHeight="1">
      <c r="A13" s="146"/>
      <c r="B13" s="654"/>
      <c r="C13" s="754" t="s">
        <v>2555</v>
      </c>
      <c r="D13" s="830"/>
      <c r="E13" s="830"/>
      <c r="F13" s="830"/>
      <c r="G13" s="830"/>
      <c r="H13" s="830"/>
      <c r="I13" s="830"/>
      <c r="J13" s="830"/>
      <c r="K13" s="830"/>
      <c r="L13" s="830"/>
      <c r="M13" s="830"/>
      <c r="N13" s="830"/>
      <c r="O13" s="830"/>
      <c r="P13" s="830"/>
      <c r="Q13" s="830"/>
      <c r="R13" s="830"/>
      <c r="S13" s="830"/>
      <c r="T13" s="830"/>
      <c r="U13" s="830"/>
      <c r="V13" s="830"/>
      <c r="W13" s="830"/>
      <c r="X13" s="830"/>
      <c r="Y13" s="830"/>
      <c r="Z13" s="830"/>
      <c r="AA13" s="830"/>
      <c r="AB13" s="830"/>
      <c r="AC13" s="830"/>
      <c r="AD13" s="895"/>
    </row>
    <row r="14" spans="1:32" ht="15" customHeight="1">
      <c r="A14" s="94"/>
      <c r="B14" s="654"/>
      <c r="C14" s="754" t="s">
        <v>2556</v>
      </c>
      <c r="D14" s="754"/>
      <c r="E14" s="754"/>
      <c r="F14" s="754"/>
      <c r="G14" s="754"/>
      <c r="H14" s="754"/>
      <c r="I14" s="754"/>
      <c r="J14" s="754"/>
      <c r="K14" s="754"/>
      <c r="L14" s="754"/>
      <c r="M14" s="754"/>
      <c r="N14" s="754"/>
      <c r="O14" s="754"/>
      <c r="P14" s="754"/>
      <c r="Q14" s="754"/>
      <c r="R14" s="754"/>
      <c r="S14" s="754"/>
      <c r="T14" s="754"/>
      <c r="U14" s="754"/>
      <c r="V14" s="754"/>
      <c r="W14" s="754"/>
      <c r="X14" s="754"/>
      <c r="Y14" s="754"/>
      <c r="Z14" s="754"/>
      <c r="AA14" s="754"/>
      <c r="AB14" s="754"/>
      <c r="AC14" s="754"/>
      <c r="AD14" s="755"/>
    </row>
    <row r="15" spans="1:32" ht="15" customHeight="1">
      <c r="A15" s="146"/>
      <c r="B15" s="654"/>
      <c r="C15" s="754" t="s">
        <v>2557</v>
      </c>
      <c r="D15" s="754"/>
      <c r="E15" s="754"/>
      <c r="F15" s="754"/>
      <c r="G15" s="754"/>
      <c r="H15" s="754"/>
      <c r="I15" s="754"/>
      <c r="J15" s="754"/>
      <c r="K15" s="754"/>
      <c r="L15" s="754"/>
      <c r="M15" s="754"/>
      <c r="N15" s="754"/>
      <c r="O15" s="754"/>
      <c r="P15" s="754"/>
      <c r="Q15" s="754"/>
      <c r="R15" s="754"/>
      <c r="S15" s="754"/>
      <c r="T15" s="754"/>
      <c r="U15" s="754"/>
      <c r="V15" s="754"/>
      <c r="W15" s="754"/>
      <c r="X15" s="754"/>
      <c r="Y15" s="754"/>
      <c r="Z15" s="754"/>
      <c r="AA15" s="754"/>
      <c r="AB15" s="754"/>
      <c r="AC15" s="754"/>
      <c r="AD15" s="891"/>
    </row>
    <row r="16" spans="1:32" ht="36" customHeight="1">
      <c r="A16" s="110"/>
      <c r="B16" s="111"/>
      <c r="C16" s="754" t="s">
        <v>2558</v>
      </c>
      <c r="D16" s="754"/>
      <c r="E16" s="754"/>
      <c r="F16" s="754"/>
      <c r="G16" s="754"/>
      <c r="H16" s="754"/>
      <c r="I16" s="754"/>
      <c r="J16" s="754"/>
      <c r="K16" s="754"/>
      <c r="L16" s="754"/>
      <c r="M16" s="754"/>
      <c r="N16" s="754"/>
      <c r="O16" s="754"/>
      <c r="P16" s="754"/>
      <c r="Q16" s="754"/>
      <c r="R16" s="754"/>
      <c r="S16" s="754"/>
      <c r="T16" s="754"/>
      <c r="U16" s="754"/>
      <c r="V16" s="754"/>
      <c r="W16" s="754"/>
      <c r="X16" s="754"/>
      <c r="Y16" s="754"/>
      <c r="Z16" s="754"/>
      <c r="AA16" s="754"/>
      <c r="AB16" s="754"/>
      <c r="AC16" s="754"/>
      <c r="AD16" s="755"/>
    </row>
    <row r="17" spans="1:30" ht="48" customHeight="1">
      <c r="A17" s="146"/>
      <c r="B17" s="654"/>
      <c r="C17" s="754" t="s">
        <v>2559</v>
      </c>
      <c r="D17" s="754"/>
      <c r="E17" s="754"/>
      <c r="F17" s="754"/>
      <c r="G17" s="754"/>
      <c r="H17" s="754"/>
      <c r="I17" s="754"/>
      <c r="J17" s="754"/>
      <c r="K17" s="754"/>
      <c r="L17" s="754"/>
      <c r="M17" s="754"/>
      <c r="N17" s="754"/>
      <c r="O17" s="754"/>
      <c r="P17" s="754"/>
      <c r="Q17" s="754"/>
      <c r="R17" s="754"/>
      <c r="S17" s="754"/>
      <c r="T17" s="754"/>
      <c r="U17" s="754"/>
      <c r="V17" s="754"/>
      <c r="W17" s="754"/>
      <c r="X17" s="754"/>
      <c r="Y17" s="754"/>
      <c r="Z17" s="754"/>
      <c r="AA17" s="754"/>
      <c r="AB17" s="754"/>
      <c r="AC17" s="754"/>
      <c r="AD17" s="755"/>
    </row>
    <row r="18" spans="1:30" ht="15" customHeight="1">
      <c r="A18" s="94"/>
      <c r="B18" s="209"/>
      <c r="C18" s="855" t="s">
        <v>2560</v>
      </c>
      <c r="D18" s="855"/>
      <c r="E18" s="855"/>
      <c r="F18" s="855"/>
      <c r="G18" s="855"/>
      <c r="H18" s="855"/>
      <c r="I18" s="855"/>
      <c r="J18" s="855"/>
      <c r="K18" s="855"/>
      <c r="L18" s="855"/>
      <c r="M18" s="855"/>
      <c r="N18" s="855"/>
      <c r="O18" s="855"/>
      <c r="P18" s="855"/>
      <c r="Q18" s="855"/>
      <c r="R18" s="855"/>
      <c r="S18" s="855"/>
      <c r="T18" s="855"/>
      <c r="U18" s="855"/>
      <c r="V18" s="855"/>
      <c r="W18" s="855"/>
      <c r="X18" s="855"/>
      <c r="Y18" s="855"/>
      <c r="Z18" s="855"/>
      <c r="AA18" s="855"/>
      <c r="AB18" s="855"/>
      <c r="AC18" s="855"/>
      <c r="AD18" s="896"/>
    </row>
    <row r="19" spans="1:30" ht="15" customHeight="1">
      <c r="A19" s="147"/>
      <c r="B19" s="852" t="s">
        <v>2561</v>
      </c>
      <c r="C19" s="853"/>
      <c r="D19" s="853"/>
      <c r="E19" s="853"/>
      <c r="F19" s="853"/>
      <c r="G19" s="853"/>
      <c r="H19" s="853"/>
      <c r="I19" s="853"/>
      <c r="J19" s="853"/>
      <c r="K19" s="853"/>
      <c r="L19" s="853"/>
      <c r="M19" s="853"/>
      <c r="N19" s="853"/>
      <c r="O19" s="853"/>
      <c r="P19" s="853"/>
      <c r="Q19" s="853"/>
      <c r="R19" s="853"/>
      <c r="S19" s="853"/>
      <c r="T19" s="853"/>
      <c r="U19" s="853"/>
      <c r="V19" s="853"/>
      <c r="W19" s="853"/>
      <c r="X19" s="853"/>
      <c r="Y19" s="853"/>
      <c r="Z19" s="853"/>
      <c r="AA19" s="853"/>
      <c r="AB19" s="853"/>
      <c r="AC19" s="853"/>
      <c r="AD19" s="854"/>
    </row>
    <row r="20" spans="1:30" ht="48" customHeight="1">
      <c r="A20" s="147"/>
      <c r="B20" s="209"/>
      <c r="C20" s="855" t="s">
        <v>2562</v>
      </c>
      <c r="D20" s="855"/>
      <c r="E20" s="855"/>
      <c r="F20" s="855"/>
      <c r="G20" s="855"/>
      <c r="H20" s="855"/>
      <c r="I20" s="855"/>
      <c r="J20" s="855"/>
      <c r="K20" s="855"/>
      <c r="L20" s="855"/>
      <c r="M20" s="855"/>
      <c r="N20" s="855"/>
      <c r="O20" s="855"/>
      <c r="P20" s="855"/>
      <c r="Q20" s="855"/>
      <c r="R20" s="855"/>
      <c r="S20" s="855"/>
      <c r="T20" s="855"/>
      <c r="U20" s="855"/>
      <c r="V20" s="855"/>
      <c r="W20" s="855"/>
      <c r="X20" s="855"/>
      <c r="Y20" s="855"/>
      <c r="Z20" s="855"/>
      <c r="AA20" s="855"/>
      <c r="AB20" s="855"/>
      <c r="AC20" s="855"/>
      <c r="AD20" s="856"/>
    </row>
    <row r="21" spans="1:30" ht="15" customHeight="1" thickBot="1">
      <c r="A21" s="112"/>
      <c r="B21" s="11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row>
    <row r="22" spans="1:30" customFormat="1" ht="15" customHeight="1" thickBot="1">
      <c r="A22" s="153" t="s">
        <v>2563</v>
      </c>
      <c r="B22" s="831" t="s">
        <v>2564</v>
      </c>
      <c r="C22" s="832"/>
      <c r="D22" s="832"/>
      <c r="E22" s="832"/>
      <c r="F22" s="832"/>
      <c r="G22" s="832"/>
      <c r="H22" s="832"/>
      <c r="I22" s="832"/>
      <c r="J22" s="832"/>
      <c r="K22" s="832"/>
      <c r="L22" s="832"/>
      <c r="M22" s="832"/>
      <c r="N22" s="832"/>
      <c r="O22" s="832"/>
      <c r="P22" s="832"/>
      <c r="Q22" s="832"/>
      <c r="R22" s="832"/>
      <c r="S22" s="832"/>
      <c r="T22" s="832"/>
      <c r="U22" s="832"/>
      <c r="V22" s="832"/>
      <c r="W22" s="832"/>
      <c r="X22" s="832"/>
      <c r="Y22" s="832"/>
      <c r="Z22" s="832"/>
      <c r="AA22" s="832"/>
      <c r="AB22" s="832"/>
      <c r="AC22" s="832"/>
      <c r="AD22" s="833"/>
    </row>
    <row r="23" spans="1:30" ht="15" customHeight="1">
      <c r="A23" s="94"/>
      <c r="B23" s="852" t="s">
        <v>2565</v>
      </c>
      <c r="C23" s="853"/>
      <c r="D23" s="853"/>
      <c r="E23" s="853"/>
      <c r="F23" s="853"/>
      <c r="G23" s="853"/>
      <c r="H23" s="853"/>
      <c r="I23" s="853"/>
      <c r="J23" s="853"/>
      <c r="K23" s="853"/>
      <c r="L23" s="853"/>
      <c r="M23" s="853"/>
      <c r="N23" s="853"/>
      <c r="O23" s="853"/>
      <c r="P23" s="853"/>
      <c r="Q23" s="853"/>
      <c r="R23" s="853"/>
      <c r="S23" s="853"/>
      <c r="T23" s="853"/>
      <c r="U23" s="853"/>
      <c r="V23" s="853"/>
      <c r="W23" s="853"/>
      <c r="X23" s="853"/>
      <c r="Y23" s="853"/>
      <c r="Z23" s="853"/>
      <c r="AA23" s="853"/>
      <c r="AB23" s="853"/>
      <c r="AC23" s="853"/>
      <c r="AD23" s="854"/>
    </row>
    <row r="24" spans="1:30" ht="24" customHeight="1">
      <c r="A24" s="146"/>
      <c r="B24" s="654"/>
      <c r="C24" s="754" t="s">
        <v>2566</v>
      </c>
      <c r="D24" s="754"/>
      <c r="E24" s="754"/>
      <c r="F24" s="754"/>
      <c r="G24" s="754"/>
      <c r="H24" s="754"/>
      <c r="I24" s="754"/>
      <c r="J24" s="754"/>
      <c r="K24" s="754"/>
      <c r="L24" s="754"/>
      <c r="M24" s="754"/>
      <c r="N24" s="754"/>
      <c r="O24" s="754"/>
      <c r="P24" s="754"/>
      <c r="Q24" s="754"/>
      <c r="R24" s="754"/>
      <c r="S24" s="754"/>
      <c r="T24" s="754"/>
      <c r="U24" s="754"/>
      <c r="V24" s="754"/>
      <c r="W24" s="754"/>
      <c r="X24" s="754"/>
      <c r="Y24" s="754"/>
      <c r="Z24" s="754"/>
      <c r="AA24" s="754"/>
      <c r="AB24" s="754"/>
      <c r="AC24" s="754"/>
      <c r="AD24" s="891"/>
    </row>
    <row r="25" spans="1:30" ht="48" customHeight="1">
      <c r="A25" s="146"/>
      <c r="B25" s="654"/>
      <c r="C25" s="754" t="s">
        <v>2567</v>
      </c>
      <c r="D25" s="754"/>
      <c r="E25" s="754"/>
      <c r="F25" s="754"/>
      <c r="G25" s="754"/>
      <c r="H25" s="754"/>
      <c r="I25" s="754"/>
      <c r="J25" s="754"/>
      <c r="K25" s="754"/>
      <c r="L25" s="754"/>
      <c r="M25" s="754"/>
      <c r="N25" s="754"/>
      <c r="O25" s="754"/>
      <c r="P25" s="754"/>
      <c r="Q25" s="754"/>
      <c r="R25" s="754"/>
      <c r="S25" s="754"/>
      <c r="T25" s="754"/>
      <c r="U25" s="754"/>
      <c r="V25" s="754"/>
      <c r="W25" s="754"/>
      <c r="X25" s="754"/>
      <c r="Y25" s="754"/>
      <c r="Z25" s="754"/>
      <c r="AA25" s="754"/>
      <c r="AB25" s="754"/>
      <c r="AC25" s="754"/>
      <c r="AD25" s="891"/>
    </row>
    <row r="26" spans="1:30" ht="36" customHeight="1">
      <c r="A26" s="49"/>
      <c r="B26" s="101"/>
      <c r="C26" s="754" t="s">
        <v>2568</v>
      </c>
      <c r="D26" s="754"/>
      <c r="E26" s="754"/>
      <c r="F26" s="754"/>
      <c r="G26" s="754"/>
      <c r="H26" s="754"/>
      <c r="I26" s="754"/>
      <c r="J26" s="754"/>
      <c r="K26" s="754"/>
      <c r="L26" s="754"/>
      <c r="M26" s="754"/>
      <c r="N26" s="754"/>
      <c r="O26" s="754"/>
      <c r="P26" s="754"/>
      <c r="Q26" s="754"/>
      <c r="R26" s="754"/>
      <c r="S26" s="754"/>
      <c r="T26" s="754"/>
      <c r="U26" s="754"/>
      <c r="V26" s="754"/>
      <c r="W26" s="754"/>
      <c r="X26" s="754"/>
      <c r="Y26" s="754"/>
      <c r="Z26" s="754"/>
      <c r="AA26" s="754"/>
      <c r="AB26" s="754"/>
      <c r="AC26" s="754"/>
      <c r="AD26" s="755"/>
    </row>
    <row r="27" spans="1:30" ht="60" customHeight="1">
      <c r="A27" s="49"/>
      <c r="B27" s="101"/>
      <c r="C27" s="75"/>
      <c r="D27" s="754" t="s">
        <v>2569</v>
      </c>
      <c r="E27" s="754"/>
      <c r="F27" s="754"/>
      <c r="G27" s="754"/>
      <c r="H27" s="754"/>
      <c r="I27" s="754"/>
      <c r="J27" s="754"/>
      <c r="K27" s="754"/>
      <c r="L27" s="754"/>
      <c r="M27" s="754"/>
      <c r="N27" s="754"/>
      <c r="O27" s="754"/>
      <c r="P27" s="754"/>
      <c r="Q27" s="754"/>
      <c r="R27" s="754"/>
      <c r="S27" s="754"/>
      <c r="T27" s="754"/>
      <c r="U27" s="754"/>
      <c r="V27" s="754"/>
      <c r="W27" s="754"/>
      <c r="X27" s="754"/>
      <c r="Y27" s="754"/>
      <c r="Z27" s="754"/>
      <c r="AA27" s="754"/>
      <c r="AB27" s="754"/>
      <c r="AC27" s="754"/>
      <c r="AD27" s="755"/>
    </row>
    <row r="28" spans="1:30" ht="36" customHeight="1">
      <c r="A28" s="49"/>
      <c r="B28" s="101"/>
      <c r="C28" s="75"/>
      <c r="D28" s="754" t="s">
        <v>2570</v>
      </c>
      <c r="E28" s="754"/>
      <c r="F28" s="754"/>
      <c r="G28" s="754"/>
      <c r="H28" s="754"/>
      <c r="I28" s="754"/>
      <c r="J28" s="754"/>
      <c r="K28" s="754"/>
      <c r="L28" s="754"/>
      <c r="M28" s="754"/>
      <c r="N28" s="754"/>
      <c r="O28" s="754"/>
      <c r="P28" s="754"/>
      <c r="Q28" s="754"/>
      <c r="R28" s="754"/>
      <c r="S28" s="754"/>
      <c r="T28" s="754"/>
      <c r="U28" s="754"/>
      <c r="V28" s="754"/>
      <c r="W28" s="754"/>
      <c r="X28" s="754"/>
      <c r="Y28" s="754"/>
      <c r="Z28" s="754"/>
      <c r="AA28" s="754"/>
      <c r="AB28" s="754"/>
      <c r="AC28" s="754"/>
      <c r="AD28" s="755"/>
    </row>
    <row r="29" spans="1:30" ht="72" customHeight="1">
      <c r="A29" s="49"/>
      <c r="B29" s="101"/>
      <c r="C29" s="75"/>
      <c r="D29" s="754" t="s">
        <v>2571</v>
      </c>
      <c r="E29" s="754"/>
      <c r="F29" s="754"/>
      <c r="G29" s="754"/>
      <c r="H29" s="754"/>
      <c r="I29" s="754"/>
      <c r="J29" s="754"/>
      <c r="K29" s="754"/>
      <c r="L29" s="754"/>
      <c r="M29" s="754"/>
      <c r="N29" s="754"/>
      <c r="O29" s="754"/>
      <c r="P29" s="754"/>
      <c r="Q29" s="754"/>
      <c r="R29" s="754"/>
      <c r="S29" s="754"/>
      <c r="T29" s="754"/>
      <c r="U29" s="754"/>
      <c r="V29" s="754"/>
      <c r="W29" s="754"/>
      <c r="X29" s="754"/>
      <c r="Y29" s="754"/>
      <c r="Z29" s="754"/>
      <c r="AA29" s="754"/>
      <c r="AB29" s="754"/>
      <c r="AC29" s="754"/>
      <c r="AD29" s="755"/>
    </row>
    <row r="30" spans="1:30" ht="48" customHeight="1">
      <c r="A30" s="49"/>
      <c r="B30" s="95"/>
      <c r="C30" s="82"/>
      <c r="D30" s="764" t="s">
        <v>2572</v>
      </c>
      <c r="E30" s="764"/>
      <c r="F30" s="764"/>
      <c r="G30" s="764"/>
      <c r="H30" s="764"/>
      <c r="I30" s="764"/>
      <c r="J30" s="764"/>
      <c r="K30" s="764"/>
      <c r="L30" s="764"/>
      <c r="M30" s="764"/>
      <c r="N30" s="764"/>
      <c r="O30" s="764"/>
      <c r="P30" s="764"/>
      <c r="Q30" s="764"/>
      <c r="R30" s="764"/>
      <c r="S30" s="764"/>
      <c r="T30" s="764"/>
      <c r="U30" s="764"/>
      <c r="V30" s="764"/>
      <c r="W30" s="764"/>
      <c r="X30" s="764"/>
      <c r="Y30" s="764"/>
      <c r="Z30" s="764"/>
      <c r="AA30" s="764"/>
      <c r="AB30" s="764"/>
      <c r="AC30" s="764"/>
      <c r="AD30" s="765"/>
    </row>
    <row r="31" spans="1:30">
      <c r="A31" s="94"/>
    </row>
    <row r="32" spans="1:30" ht="48" customHeight="1">
      <c r="A32" s="49" t="s">
        <v>2573</v>
      </c>
      <c r="B32" s="829" t="s">
        <v>2574</v>
      </c>
      <c r="C32" s="829"/>
      <c r="D32" s="829"/>
      <c r="E32" s="829"/>
      <c r="F32" s="829"/>
      <c r="G32" s="829"/>
      <c r="H32" s="829"/>
      <c r="I32" s="829"/>
      <c r="J32" s="829"/>
      <c r="K32" s="829"/>
      <c r="L32" s="829"/>
      <c r="M32" s="829"/>
      <c r="N32" s="829"/>
      <c r="O32" s="829"/>
      <c r="P32" s="829"/>
      <c r="Q32" s="829"/>
      <c r="R32" s="829"/>
      <c r="S32" s="829"/>
      <c r="T32" s="829"/>
      <c r="U32" s="829"/>
      <c r="V32" s="829"/>
      <c r="W32" s="829"/>
      <c r="X32" s="829"/>
      <c r="Y32" s="829"/>
      <c r="Z32" s="829"/>
      <c r="AA32" s="829"/>
      <c r="AB32" s="829"/>
      <c r="AC32" s="829"/>
      <c r="AD32" s="829"/>
    </row>
    <row r="33" spans="1:44" ht="24" customHeight="1">
      <c r="A33" s="49"/>
      <c r="B33" s="102"/>
      <c r="C33" s="754" t="s">
        <v>2575</v>
      </c>
      <c r="D33" s="754"/>
      <c r="E33" s="754"/>
      <c r="F33" s="754"/>
      <c r="G33" s="754"/>
      <c r="H33" s="754"/>
      <c r="I33" s="754"/>
      <c r="J33" s="754"/>
      <c r="K33" s="754"/>
      <c r="L33" s="754"/>
      <c r="M33" s="754"/>
      <c r="N33" s="754"/>
      <c r="O33" s="754"/>
      <c r="P33" s="754"/>
      <c r="Q33" s="754"/>
      <c r="R33" s="754"/>
      <c r="S33" s="754"/>
      <c r="T33" s="754"/>
      <c r="U33" s="754"/>
      <c r="V33" s="754"/>
      <c r="W33" s="754"/>
      <c r="X33" s="754"/>
      <c r="Y33" s="754"/>
      <c r="Z33" s="754"/>
      <c r="AA33" s="754"/>
      <c r="AB33" s="754"/>
      <c r="AC33" s="754"/>
      <c r="AD33" s="754"/>
    </row>
    <row r="34" spans="1:44" ht="24" customHeight="1">
      <c r="A34" s="49"/>
      <c r="B34" s="102"/>
      <c r="C34" s="754" t="s">
        <v>2576</v>
      </c>
      <c r="D34" s="754"/>
      <c r="E34" s="754"/>
      <c r="F34" s="754"/>
      <c r="G34" s="754"/>
      <c r="H34" s="754"/>
      <c r="I34" s="754"/>
      <c r="J34" s="754"/>
      <c r="K34" s="754"/>
      <c r="L34" s="754"/>
      <c r="M34" s="754"/>
      <c r="N34" s="754"/>
      <c r="O34" s="754"/>
      <c r="P34" s="754"/>
      <c r="Q34" s="754"/>
      <c r="R34" s="754"/>
      <c r="S34" s="754"/>
      <c r="T34" s="754"/>
      <c r="U34" s="754"/>
      <c r="V34" s="754"/>
      <c r="W34" s="754"/>
      <c r="X34" s="754"/>
      <c r="Y34" s="754"/>
      <c r="Z34" s="754"/>
      <c r="AA34" s="754"/>
      <c r="AB34" s="754"/>
      <c r="AC34" s="754"/>
      <c r="AD34" s="754"/>
    </row>
    <row r="35" spans="1:44" ht="24" customHeight="1">
      <c r="A35" s="49"/>
      <c r="B35" s="102"/>
      <c r="C35" s="830" t="s">
        <v>2577</v>
      </c>
      <c r="D35" s="830"/>
      <c r="E35" s="830"/>
      <c r="F35" s="830"/>
      <c r="G35" s="830"/>
      <c r="H35" s="830"/>
      <c r="I35" s="830"/>
      <c r="J35" s="830"/>
      <c r="K35" s="830"/>
      <c r="L35" s="830"/>
      <c r="M35" s="830"/>
      <c r="N35" s="830"/>
      <c r="O35" s="830"/>
      <c r="P35" s="830"/>
      <c r="Q35" s="830"/>
      <c r="R35" s="830"/>
      <c r="S35" s="830"/>
      <c r="T35" s="830"/>
      <c r="U35" s="830"/>
      <c r="V35" s="830"/>
      <c r="W35" s="830"/>
      <c r="X35" s="830"/>
      <c r="Y35" s="830"/>
      <c r="Z35" s="830"/>
      <c r="AA35" s="830"/>
      <c r="AB35" s="830"/>
      <c r="AC35" s="830"/>
      <c r="AD35" s="830"/>
    </row>
    <row r="36" spans="1:44" ht="24" customHeight="1">
      <c r="A36" s="49"/>
      <c r="B36" s="102"/>
      <c r="C36" s="830" t="s">
        <v>2578</v>
      </c>
      <c r="D36" s="830"/>
      <c r="E36" s="830"/>
      <c r="F36" s="830"/>
      <c r="G36" s="830"/>
      <c r="H36" s="830"/>
      <c r="I36" s="830"/>
      <c r="J36" s="830"/>
      <c r="K36" s="830"/>
      <c r="L36" s="830"/>
      <c r="M36" s="830"/>
      <c r="N36" s="830"/>
      <c r="O36" s="830"/>
      <c r="P36" s="830"/>
      <c r="Q36" s="830"/>
      <c r="R36" s="830"/>
      <c r="S36" s="830"/>
      <c r="T36" s="830"/>
      <c r="U36" s="830"/>
      <c r="V36" s="830"/>
      <c r="W36" s="830"/>
      <c r="X36" s="830"/>
      <c r="Y36" s="830"/>
      <c r="Z36" s="830"/>
      <c r="AA36" s="830"/>
      <c r="AB36" s="830"/>
      <c r="AC36" s="830"/>
      <c r="AD36" s="830"/>
    </row>
    <row r="37" spans="1:44" ht="24" customHeight="1">
      <c r="A37" s="49"/>
      <c r="B37" s="106"/>
      <c r="C37" s="830" t="s">
        <v>2579</v>
      </c>
      <c r="D37" s="830"/>
      <c r="E37" s="830"/>
      <c r="F37" s="830"/>
      <c r="G37" s="830"/>
      <c r="H37" s="830"/>
      <c r="I37" s="830"/>
      <c r="J37" s="830"/>
      <c r="K37" s="830"/>
      <c r="L37" s="830"/>
      <c r="M37" s="830"/>
      <c r="N37" s="830"/>
      <c r="O37" s="830"/>
      <c r="P37" s="830"/>
      <c r="Q37" s="830"/>
      <c r="R37" s="830"/>
      <c r="S37" s="830"/>
      <c r="T37" s="830"/>
      <c r="U37" s="830"/>
      <c r="V37" s="830"/>
      <c r="W37" s="830"/>
      <c r="X37" s="830"/>
      <c r="Y37" s="830"/>
      <c r="Z37" s="830"/>
      <c r="AA37" s="830"/>
      <c r="AB37" s="830"/>
      <c r="AC37" s="830"/>
      <c r="AD37" s="830"/>
    </row>
    <row r="38" spans="1:44" ht="15" customHeight="1">
      <c r="A38" s="103"/>
      <c r="B38" s="57"/>
      <c r="C38" s="57"/>
      <c r="D38" s="57"/>
      <c r="E38" s="57"/>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row>
    <row r="39" spans="1:44" ht="15" customHeight="1">
      <c r="A39" s="49"/>
      <c r="B39" s="106"/>
      <c r="C39" s="86"/>
      <c r="D39" s="86"/>
      <c r="E39" s="86"/>
      <c r="F39" s="86"/>
      <c r="G39" s="86"/>
      <c r="H39" s="86"/>
      <c r="I39" s="86"/>
      <c r="J39" s="86"/>
      <c r="K39" s="86"/>
      <c r="L39" s="86"/>
      <c r="M39" s="86"/>
      <c r="N39" s="86"/>
      <c r="O39" s="86"/>
      <c r="P39" s="86"/>
      <c r="Q39" s="86"/>
      <c r="R39" s="86"/>
      <c r="S39" s="86"/>
      <c r="T39" s="86"/>
      <c r="U39" s="86"/>
      <c r="V39" s="86"/>
      <c r="W39" s="86"/>
      <c r="X39" s="86"/>
      <c r="Y39" s="655"/>
      <c r="Z39" s="655"/>
      <c r="AA39" s="897" t="s">
        <v>2580</v>
      </c>
      <c r="AB39" s="897"/>
      <c r="AC39" s="897"/>
      <c r="AD39" s="897"/>
    </row>
    <row r="40" spans="1:44" ht="15" customHeight="1">
      <c r="A40" s="103"/>
      <c r="B40" s="57"/>
      <c r="C40" s="57"/>
      <c r="D40" s="57"/>
      <c r="E40" s="57"/>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row>
    <row r="41" spans="1:44" ht="108" customHeight="1">
      <c r="A41" s="103"/>
      <c r="B41" s="57"/>
      <c r="C41" s="739" t="s">
        <v>2581</v>
      </c>
      <c r="D41" s="740"/>
      <c r="E41" s="740"/>
      <c r="F41" s="740"/>
      <c r="G41" s="740"/>
      <c r="H41" s="740"/>
      <c r="I41" s="740"/>
      <c r="J41" s="741"/>
      <c r="K41" s="898" t="s">
        <v>2582</v>
      </c>
      <c r="L41" s="899"/>
      <c r="M41" s="739" t="s">
        <v>2583</v>
      </c>
      <c r="N41" s="740"/>
      <c r="O41" s="740"/>
      <c r="P41" s="740"/>
      <c r="Q41" s="740"/>
      <c r="R41" s="741"/>
      <c r="S41" s="732" t="s">
        <v>2584</v>
      </c>
      <c r="T41" s="732"/>
      <c r="U41" s="732"/>
      <c r="V41" s="732"/>
      <c r="W41" s="732"/>
      <c r="X41" s="732"/>
      <c r="Y41" s="732" t="s">
        <v>2585</v>
      </c>
      <c r="Z41" s="732"/>
      <c r="AA41" s="732"/>
      <c r="AB41" s="732"/>
      <c r="AC41" s="732"/>
      <c r="AD41" s="732"/>
      <c r="AG41" s="247" t="s">
        <v>2586</v>
      </c>
      <c r="AH41" s="248" t="s">
        <v>2587</v>
      </c>
      <c r="AI41" s="249"/>
      <c r="AJ41" s="248" t="s">
        <v>2588</v>
      </c>
      <c r="AK41" s="249"/>
      <c r="AL41" s="248" t="s">
        <v>2589</v>
      </c>
      <c r="AN41" s="251" t="s">
        <v>2590</v>
      </c>
      <c r="AQ41" s="256" t="s">
        <v>2591</v>
      </c>
      <c r="AR41" s="257" t="s">
        <v>2592</v>
      </c>
    </row>
    <row r="42" spans="1:44" ht="15" customHeight="1">
      <c r="A42" s="103"/>
      <c r="B42" s="57"/>
      <c r="C42" s="97" t="s">
        <v>2516</v>
      </c>
      <c r="D42" s="882"/>
      <c r="E42" s="883"/>
      <c r="F42" s="883"/>
      <c r="G42" s="883"/>
      <c r="H42" s="883"/>
      <c r="I42" s="883"/>
      <c r="J42" s="884"/>
      <c r="K42" s="816"/>
      <c r="L42" s="817"/>
      <c r="M42" s="749"/>
      <c r="N42" s="749"/>
      <c r="O42" s="749"/>
      <c r="P42" s="749"/>
      <c r="Q42" s="749"/>
      <c r="R42" s="749"/>
      <c r="S42" s="749"/>
      <c r="T42" s="749"/>
      <c r="U42" s="749"/>
      <c r="V42" s="749"/>
      <c r="W42" s="749"/>
      <c r="X42" s="749"/>
      <c r="Y42" s="885"/>
      <c r="Z42" s="885"/>
      <c r="AA42" s="885"/>
      <c r="AB42" s="885"/>
      <c r="AC42" s="885"/>
      <c r="AD42" s="885"/>
      <c r="AG42" s="249">
        <f>IF(AND(COUNTBLANK(D42)=0,COUNTA(K42:AD42)=4),0,IF(AND(COUNTBLANK(D42)=1,COUNTA(K42:AD42)=0),0,1))</f>
        <v>0</v>
      </c>
      <c r="AH42" s="249" t="b">
        <f>NOT(EXACT($D42,UPPER($D42)))</f>
        <v>0</v>
      </c>
      <c r="AI42" s="249" t="str">
        <f>SUBSTITUTE( SUBSTITUTE( SUBSTITUTE( SUBSTITUTE( SUBSTITUTE( SUBSTITUTE( SUBSTITUTE( SUBSTITUTE( SUBSTITUTE( SUBSTITUTE($D42, "á", "a"), "é", "e"), "í", "i"), "ó", "o"), "ú", "u"), "Á", "A"), "É", "E"), "Í", "I"), "Ó", "O"), "Ú", "U")</f>
        <v/>
      </c>
      <c r="AJ42" s="249" t="b">
        <f>NOT(EXACT($D42,AI42))</f>
        <v>0</v>
      </c>
      <c r="AK42" s="249" t="str">
        <f>SUBSTITUTE((SUBSTITUTE(SUBSTITUTE(SUBSTITUTE($D42,".",""),",",""),"(","")),")","")</f>
        <v/>
      </c>
      <c r="AL42" s="249" t="b">
        <f>NOT(EXACT($D42,AK42))</f>
        <v>0</v>
      </c>
      <c r="AN42" s="249">
        <f>COUNTIF(Y42,"NS")</f>
        <v>0</v>
      </c>
      <c r="AO42" s="255" t="s">
        <v>2593</v>
      </c>
      <c r="AP42" s="253">
        <f>IF(COUNTIF(M42:R49,5)&gt;0,1,0)</f>
        <v>0</v>
      </c>
      <c r="AQ42" s="253">
        <f>LEN(Y42)</f>
        <v>0</v>
      </c>
      <c r="AR42" s="253">
        <f>IF(Y42="NS",0,IF(AND(Y42&lt;&gt;"",SUM(AQ42)=4),0,IF(Y42="",0,1)))</f>
        <v>0</v>
      </c>
    </row>
    <row r="43" spans="1:44" ht="15" customHeight="1">
      <c r="A43" s="103"/>
      <c r="B43" s="57"/>
      <c r="C43" s="98" t="s">
        <v>2517</v>
      </c>
      <c r="D43" s="882"/>
      <c r="E43" s="883"/>
      <c r="F43" s="883"/>
      <c r="G43" s="883"/>
      <c r="H43" s="883"/>
      <c r="I43" s="883"/>
      <c r="J43" s="884"/>
      <c r="K43" s="816"/>
      <c r="L43" s="817"/>
      <c r="M43" s="749"/>
      <c r="N43" s="749"/>
      <c r="O43" s="749"/>
      <c r="P43" s="749"/>
      <c r="Q43" s="749"/>
      <c r="R43" s="749"/>
      <c r="S43" s="749"/>
      <c r="T43" s="749"/>
      <c r="U43" s="749"/>
      <c r="V43" s="749"/>
      <c r="W43" s="749"/>
      <c r="X43" s="749"/>
      <c r="Y43" s="885"/>
      <c r="Z43" s="885"/>
      <c r="AA43" s="885"/>
      <c r="AB43" s="885"/>
      <c r="AC43" s="885"/>
      <c r="AD43" s="885"/>
      <c r="AG43" s="249">
        <f t="shared" ref="AG43:AG49" si="0">IF(AND(COUNTBLANK(D43)=0,COUNTA(K43:AD43)=4),0,IF(AND(COUNTBLANK(D43)=1,COUNTA(K43:AD43)=0),0,1))</f>
        <v>0</v>
      </c>
      <c r="AH43" s="249" t="b">
        <f t="shared" ref="AH43:AH49" si="1">NOT(EXACT($D43,UPPER($D43)))</f>
        <v>0</v>
      </c>
      <c r="AI43" s="249" t="str">
        <f t="shared" ref="AI43:AI49" si="2">SUBSTITUTE( SUBSTITUTE( SUBSTITUTE( SUBSTITUTE( SUBSTITUTE( SUBSTITUTE( SUBSTITUTE( SUBSTITUTE( SUBSTITUTE( SUBSTITUTE($D43, "á", "a"), "é", "e"), "í", "i"), "ó", "o"), "ú", "u"), "Á", "A"), "É", "E"), "Í", "I"), "Ó", "O"), "Ú", "U")</f>
        <v/>
      </c>
      <c r="AJ43" s="249" t="b">
        <f t="shared" ref="AJ43:AJ49" si="3">NOT(EXACT($D43,AI43))</f>
        <v>0</v>
      </c>
      <c r="AK43" s="249" t="str">
        <f t="shared" ref="AK43:AK49" si="4">SUBSTITUTE((SUBSTITUTE(SUBSTITUTE(SUBSTITUTE($D43,".",""),",",""),"(","")),")","")</f>
        <v/>
      </c>
      <c r="AL43" s="249" t="b">
        <f t="shared" ref="AL43:AL49" si="5">NOT(EXACT($D43,AK43))</f>
        <v>0</v>
      </c>
      <c r="AN43" s="249">
        <f t="shared" ref="AN43:AN49" si="6">COUNTIF(Y43,"NS")</f>
        <v>0</v>
      </c>
      <c r="AO43" s="914" t="s">
        <v>2594</v>
      </c>
      <c r="AP43" s="915">
        <f>IF(COUNTIF(S42:X49,5)&gt;0,1,0)</f>
        <v>0</v>
      </c>
      <c r="AQ43" s="253">
        <f t="shared" ref="AQ43:AQ49" si="7">LEN(Y43)</f>
        <v>0</v>
      </c>
      <c r="AR43" s="253">
        <f t="shared" ref="AR43:AR49" si="8">IF(Y43="NS",0,IF(AND(Y43&lt;&gt;"",SUM(AQ43)=4),0,IF(Y43="",0,1)))</f>
        <v>0</v>
      </c>
    </row>
    <row r="44" spans="1:44" ht="15" customHeight="1">
      <c r="A44" s="103"/>
      <c r="B44" s="57"/>
      <c r="C44" s="98" t="s">
        <v>2518</v>
      </c>
      <c r="D44" s="882"/>
      <c r="E44" s="883"/>
      <c r="F44" s="883"/>
      <c r="G44" s="883"/>
      <c r="H44" s="883"/>
      <c r="I44" s="883"/>
      <c r="J44" s="884"/>
      <c r="K44" s="816"/>
      <c r="L44" s="817"/>
      <c r="M44" s="749"/>
      <c r="N44" s="749"/>
      <c r="O44" s="749"/>
      <c r="P44" s="749"/>
      <c r="Q44" s="749"/>
      <c r="R44" s="749"/>
      <c r="S44" s="749"/>
      <c r="T44" s="749"/>
      <c r="U44" s="749"/>
      <c r="V44" s="749"/>
      <c r="W44" s="749"/>
      <c r="X44" s="749"/>
      <c r="Y44" s="885"/>
      <c r="Z44" s="885"/>
      <c r="AA44" s="885"/>
      <c r="AB44" s="885"/>
      <c r="AC44" s="885"/>
      <c r="AD44" s="885"/>
      <c r="AG44" s="249">
        <f t="shared" si="0"/>
        <v>0</v>
      </c>
      <c r="AH44" s="249" t="b">
        <f t="shared" si="1"/>
        <v>0</v>
      </c>
      <c r="AI44" s="249" t="str">
        <f t="shared" si="2"/>
        <v/>
      </c>
      <c r="AJ44" s="249" t="b">
        <f t="shared" si="3"/>
        <v>0</v>
      </c>
      <c r="AK44" s="249" t="str">
        <f t="shared" si="4"/>
        <v/>
      </c>
      <c r="AL44" s="249" t="b">
        <f t="shared" si="5"/>
        <v>0</v>
      </c>
      <c r="AN44" s="249">
        <f t="shared" si="6"/>
        <v>0</v>
      </c>
      <c r="AO44" s="914"/>
      <c r="AP44" s="915"/>
      <c r="AQ44" s="253">
        <f t="shared" si="7"/>
        <v>0</v>
      </c>
      <c r="AR44" s="253">
        <f t="shared" si="8"/>
        <v>0</v>
      </c>
    </row>
    <row r="45" spans="1:44" ht="15" customHeight="1">
      <c r="A45" s="103"/>
      <c r="B45" s="57"/>
      <c r="C45" s="98" t="s">
        <v>2519</v>
      </c>
      <c r="D45" s="882"/>
      <c r="E45" s="883"/>
      <c r="F45" s="883"/>
      <c r="G45" s="883"/>
      <c r="H45" s="883"/>
      <c r="I45" s="883"/>
      <c r="J45" s="884"/>
      <c r="K45" s="816"/>
      <c r="L45" s="817"/>
      <c r="M45" s="749"/>
      <c r="N45" s="749"/>
      <c r="O45" s="749"/>
      <c r="P45" s="749"/>
      <c r="Q45" s="749"/>
      <c r="R45" s="749"/>
      <c r="S45" s="749"/>
      <c r="T45" s="749"/>
      <c r="U45" s="749"/>
      <c r="V45" s="749"/>
      <c r="W45" s="749"/>
      <c r="X45" s="749"/>
      <c r="Y45" s="885"/>
      <c r="Z45" s="885"/>
      <c r="AA45" s="885"/>
      <c r="AB45" s="885"/>
      <c r="AC45" s="885"/>
      <c r="AD45" s="885"/>
      <c r="AG45" s="249">
        <f t="shared" si="0"/>
        <v>0</v>
      </c>
      <c r="AH45" s="249" t="b">
        <f t="shared" si="1"/>
        <v>0</v>
      </c>
      <c r="AI45" s="249" t="str">
        <f t="shared" si="2"/>
        <v/>
      </c>
      <c r="AJ45" s="249" t="b">
        <f t="shared" si="3"/>
        <v>0</v>
      </c>
      <c r="AK45" s="249" t="str">
        <f t="shared" si="4"/>
        <v/>
      </c>
      <c r="AL45" s="249" t="b">
        <f t="shared" si="5"/>
        <v>0</v>
      </c>
      <c r="AN45" s="249">
        <f t="shared" si="6"/>
        <v>0</v>
      </c>
      <c r="AQ45" s="253">
        <f t="shared" si="7"/>
        <v>0</v>
      </c>
      <c r="AR45" s="253">
        <f t="shared" si="8"/>
        <v>0</v>
      </c>
    </row>
    <row r="46" spans="1:44" ht="15" customHeight="1">
      <c r="A46" s="103"/>
      <c r="B46" s="57"/>
      <c r="C46" s="98" t="s">
        <v>2520</v>
      </c>
      <c r="D46" s="882"/>
      <c r="E46" s="883"/>
      <c r="F46" s="883"/>
      <c r="G46" s="883"/>
      <c r="H46" s="883"/>
      <c r="I46" s="883"/>
      <c r="J46" s="884"/>
      <c r="K46" s="816"/>
      <c r="L46" s="817"/>
      <c r="M46" s="749"/>
      <c r="N46" s="749"/>
      <c r="O46" s="749"/>
      <c r="P46" s="749"/>
      <c r="Q46" s="749"/>
      <c r="R46" s="749"/>
      <c r="S46" s="749"/>
      <c r="T46" s="749"/>
      <c r="U46" s="749"/>
      <c r="V46" s="749"/>
      <c r="W46" s="749"/>
      <c r="X46" s="749"/>
      <c r="Y46" s="885"/>
      <c r="Z46" s="885"/>
      <c r="AA46" s="885"/>
      <c r="AB46" s="885"/>
      <c r="AC46" s="885"/>
      <c r="AD46" s="885"/>
      <c r="AG46" s="249">
        <f t="shared" si="0"/>
        <v>0</v>
      </c>
      <c r="AH46" s="249" t="b">
        <f t="shared" si="1"/>
        <v>0</v>
      </c>
      <c r="AI46" s="249" t="str">
        <f t="shared" si="2"/>
        <v/>
      </c>
      <c r="AJ46" s="249" t="b">
        <f t="shared" si="3"/>
        <v>0</v>
      </c>
      <c r="AK46" s="249" t="str">
        <f t="shared" si="4"/>
        <v/>
      </c>
      <c r="AL46" s="249" t="b">
        <f t="shared" si="5"/>
        <v>0</v>
      </c>
      <c r="AN46" s="249">
        <f t="shared" si="6"/>
        <v>0</v>
      </c>
      <c r="AQ46" s="253">
        <f t="shared" si="7"/>
        <v>0</v>
      </c>
      <c r="AR46" s="253">
        <f t="shared" si="8"/>
        <v>0</v>
      </c>
    </row>
    <row r="47" spans="1:44" ht="15" customHeight="1">
      <c r="A47" s="103"/>
      <c r="B47" s="57"/>
      <c r="C47" s="98" t="s">
        <v>2521</v>
      </c>
      <c r="D47" s="882"/>
      <c r="E47" s="883"/>
      <c r="F47" s="883"/>
      <c r="G47" s="883"/>
      <c r="H47" s="883"/>
      <c r="I47" s="883"/>
      <c r="J47" s="884"/>
      <c r="K47" s="816"/>
      <c r="L47" s="817"/>
      <c r="M47" s="749"/>
      <c r="N47" s="749"/>
      <c r="O47" s="749"/>
      <c r="P47" s="749"/>
      <c r="Q47" s="749"/>
      <c r="R47" s="749"/>
      <c r="S47" s="749"/>
      <c r="T47" s="749"/>
      <c r="U47" s="749"/>
      <c r="V47" s="749"/>
      <c r="W47" s="749"/>
      <c r="X47" s="749"/>
      <c r="Y47" s="885"/>
      <c r="Z47" s="885"/>
      <c r="AA47" s="885"/>
      <c r="AB47" s="885"/>
      <c r="AC47" s="885"/>
      <c r="AD47" s="885"/>
      <c r="AG47" s="249">
        <f t="shared" si="0"/>
        <v>0</v>
      </c>
      <c r="AH47" s="249" t="b">
        <f t="shared" si="1"/>
        <v>0</v>
      </c>
      <c r="AI47" s="249" t="str">
        <f t="shared" si="2"/>
        <v/>
      </c>
      <c r="AJ47" s="249" t="b">
        <f t="shared" si="3"/>
        <v>0</v>
      </c>
      <c r="AK47" s="249" t="str">
        <f t="shared" si="4"/>
        <v/>
      </c>
      <c r="AL47" s="249" t="b">
        <f t="shared" si="5"/>
        <v>0</v>
      </c>
      <c r="AN47" s="249">
        <f t="shared" si="6"/>
        <v>0</v>
      </c>
      <c r="AQ47" s="253">
        <f t="shared" si="7"/>
        <v>0</v>
      </c>
      <c r="AR47" s="253">
        <f t="shared" si="8"/>
        <v>0</v>
      </c>
    </row>
    <row r="48" spans="1:44" ht="15" customHeight="1">
      <c r="A48" s="103"/>
      <c r="B48" s="57"/>
      <c r="C48" s="98" t="s">
        <v>2522</v>
      </c>
      <c r="D48" s="882"/>
      <c r="E48" s="883"/>
      <c r="F48" s="883"/>
      <c r="G48" s="883"/>
      <c r="H48" s="883"/>
      <c r="I48" s="883"/>
      <c r="J48" s="884"/>
      <c r="K48" s="816"/>
      <c r="L48" s="817"/>
      <c r="M48" s="749"/>
      <c r="N48" s="749"/>
      <c r="O48" s="749"/>
      <c r="P48" s="749"/>
      <c r="Q48" s="749"/>
      <c r="R48" s="749"/>
      <c r="S48" s="749"/>
      <c r="T48" s="749"/>
      <c r="U48" s="749"/>
      <c r="V48" s="749"/>
      <c r="W48" s="749"/>
      <c r="X48" s="749"/>
      <c r="Y48" s="885"/>
      <c r="Z48" s="885"/>
      <c r="AA48" s="885"/>
      <c r="AB48" s="885"/>
      <c r="AC48" s="885"/>
      <c r="AD48" s="885"/>
      <c r="AG48" s="249">
        <f t="shared" si="0"/>
        <v>0</v>
      </c>
      <c r="AH48" s="249" t="b">
        <f t="shared" si="1"/>
        <v>0</v>
      </c>
      <c r="AI48" s="249" t="str">
        <f t="shared" si="2"/>
        <v/>
      </c>
      <c r="AJ48" s="249" t="b">
        <f t="shared" si="3"/>
        <v>0</v>
      </c>
      <c r="AK48" s="249" t="str">
        <f t="shared" si="4"/>
        <v/>
      </c>
      <c r="AL48" s="249" t="b">
        <f t="shared" si="5"/>
        <v>0</v>
      </c>
      <c r="AN48" s="249">
        <f t="shared" si="6"/>
        <v>0</v>
      </c>
      <c r="AQ48" s="253">
        <f t="shared" si="7"/>
        <v>0</v>
      </c>
      <c r="AR48" s="253">
        <f t="shared" si="8"/>
        <v>0</v>
      </c>
    </row>
    <row r="49" spans="1:44" ht="15" customHeight="1">
      <c r="A49" s="103"/>
      <c r="B49" s="57"/>
      <c r="C49" s="98" t="s">
        <v>2523</v>
      </c>
      <c r="D49" s="882"/>
      <c r="E49" s="883"/>
      <c r="F49" s="883"/>
      <c r="G49" s="883"/>
      <c r="H49" s="883"/>
      <c r="I49" s="883"/>
      <c r="J49" s="884"/>
      <c r="K49" s="816"/>
      <c r="L49" s="817"/>
      <c r="M49" s="749"/>
      <c r="N49" s="749"/>
      <c r="O49" s="749"/>
      <c r="P49" s="749"/>
      <c r="Q49" s="749"/>
      <c r="R49" s="749"/>
      <c r="S49" s="749"/>
      <c r="T49" s="749"/>
      <c r="U49" s="749"/>
      <c r="V49" s="749"/>
      <c r="W49" s="749"/>
      <c r="X49" s="749"/>
      <c r="Y49" s="885"/>
      <c r="Z49" s="885"/>
      <c r="AA49" s="885"/>
      <c r="AB49" s="885"/>
      <c r="AC49" s="885"/>
      <c r="AD49" s="885"/>
      <c r="AG49" s="249">
        <f t="shared" si="0"/>
        <v>0</v>
      </c>
      <c r="AH49" s="249" t="b">
        <f t="shared" si="1"/>
        <v>0</v>
      </c>
      <c r="AI49" s="249" t="str">
        <f t="shared" si="2"/>
        <v/>
      </c>
      <c r="AJ49" s="249" t="b">
        <f t="shared" si="3"/>
        <v>0</v>
      </c>
      <c r="AK49" s="249" t="str">
        <f t="shared" si="4"/>
        <v/>
      </c>
      <c r="AL49" s="249" t="b">
        <f t="shared" si="5"/>
        <v>0</v>
      </c>
      <c r="AN49" s="249">
        <f t="shared" si="6"/>
        <v>0</v>
      </c>
      <c r="AQ49" s="253">
        <f t="shared" si="7"/>
        <v>0</v>
      </c>
      <c r="AR49" s="253">
        <f t="shared" si="8"/>
        <v>0</v>
      </c>
    </row>
    <row r="50" spans="1:44" ht="15" customHeight="1" thickBot="1">
      <c r="A50" s="103"/>
      <c r="B50" s="57"/>
      <c r="C50" s="57"/>
      <c r="D50" s="57"/>
      <c r="E50" s="57"/>
      <c r="F50" s="57"/>
      <c r="G50" s="57"/>
      <c r="H50" s="57"/>
      <c r="I50" s="57"/>
      <c r="J50" s="57"/>
      <c r="K50" s="57"/>
      <c r="L50" s="57"/>
      <c r="M50" s="57"/>
      <c r="N50" s="57"/>
      <c r="O50" s="57"/>
      <c r="P50" s="57"/>
      <c r="Q50" s="57"/>
      <c r="R50" s="57"/>
      <c r="S50" s="57"/>
      <c r="T50" s="57"/>
      <c r="U50" s="57"/>
      <c r="V50" s="57"/>
      <c r="W50" s="57"/>
      <c r="X50" s="57"/>
      <c r="Y50" s="57"/>
      <c r="Z50" s="57"/>
      <c r="AA50" s="57"/>
      <c r="AB50" s="57"/>
      <c r="AC50" s="57"/>
      <c r="AD50" s="57"/>
      <c r="AG50" s="247">
        <f>SUM(AG42:AG49)</f>
        <v>0</v>
      </c>
      <c r="AH50" s="250">
        <f>COUNTIF(AH42:AH49,TRUE)</f>
        <v>0</v>
      </c>
      <c r="AI50" s="249"/>
      <c r="AJ50" s="250">
        <f>COUNTIF(AJ42:AJ49,TRUE)</f>
        <v>0</v>
      </c>
      <c r="AK50" s="249"/>
      <c r="AL50" s="250">
        <f>COUNTIF(AL42:AL49,TRUE)</f>
        <v>0</v>
      </c>
      <c r="AM50" s="250">
        <f>SUM(AH50,AJ50,AL50)</f>
        <v>0</v>
      </c>
      <c r="AN50" s="251">
        <f>SUM(AN42:AN49)</f>
        <v>0</v>
      </c>
      <c r="AR50" s="257">
        <f>SUM(AR42:AR49)</f>
        <v>0</v>
      </c>
    </row>
    <row r="51" spans="1:44" ht="15" customHeight="1" thickBot="1">
      <c r="A51" s="96"/>
      <c r="B51" s="90"/>
      <c r="C51" s="902">
        <f>COUNTA(D42:J49)</f>
        <v>0</v>
      </c>
      <c r="D51" s="903"/>
      <c r="E51" s="903"/>
      <c r="F51" s="904"/>
      <c r="G51" s="45" t="s">
        <v>2595</v>
      </c>
      <c r="H51" s="90"/>
      <c r="I51" s="90"/>
      <c r="J51" s="90"/>
      <c r="K51" s="90"/>
      <c r="L51" s="90"/>
      <c r="M51" s="90"/>
      <c r="N51" s="90"/>
      <c r="O51" s="90"/>
      <c r="P51" s="90"/>
      <c r="Q51" s="90"/>
      <c r="R51" s="90"/>
      <c r="S51" s="90"/>
      <c r="T51" s="90"/>
      <c r="U51" s="90"/>
      <c r="V51" s="90"/>
      <c r="W51" s="90"/>
      <c r="X51" s="90"/>
      <c r="Y51" s="90"/>
      <c r="Z51" s="90"/>
      <c r="AA51" s="90"/>
      <c r="AB51" s="90"/>
      <c r="AC51" s="90"/>
      <c r="AD51" s="90"/>
    </row>
    <row r="52" spans="1:44" ht="15" customHeight="1">
      <c r="A52" s="96"/>
      <c r="B52" s="90"/>
      <c r="C52" s="90"/>
      <c r="D52" s="90"/>
      <c r="E52" s="90"/>
      <c r="F52" s="90"/>
      <c r="G52" s="90"/>
      <c r="H52" s="90"/>
      <c r="I52" s="90"/>
      <c r="J52" s="90"/>
      <c r="K52" s="90"/>
      <c r="L52" s="90"/>
      <c r="M52" s="90"/>
      <c r="N52" s="90"/>
      <c r="O52" s="90"/>
      <c r="P52" s="90"/>
      <c r="Q52" s="90"/>
      <c r="R52" s="90"/>
      <c r="S52" s="90"/>
      <c r="T52" s="90"/>
      <c r="U52" s="90"/>
      <c r="V52" s="90"/>
      <c r="W52" s="90"/>
      <c r="X52" s="90"/>
      <c r="Y52" s="90"/>
      <c r="Z52" s="90"/>
      <c r="AA52" s="90"/>
      <c r="AB52" s="90"/>
      <c r="AC52" s="90"/>
      <c r="AD52" s="90"/>
    </row>
    <row r="53" spans="1:44" ht="45" customHeight="1">
      <c r="A53" s="49"/>
      <c r="B53" s="90"/>
      <c r="C53" s="905" t="s">
        <v>2596</v>
      </c>
      <c r="D53" s="905"/>
      <c r="E53" s="905"/>
      <c r="F53" s="906"/>
      <c r="G53" s="816"/>
      <c r="H53" s="738"/>
      <c r="I53" s="738"/>
      <c r="J53" s="738"/>
      <c r="K53" s="738"/>
      <c r="L53" s="738"/>
      <c r="M53" s="738"/>
      <c r="N53" s="738"/>
      <c r="O53" s="738"/>
      <c r="P53" s="738"/>
      <c r="Q53" s="738"/>
      <c r="R53" s="738"/>
      <c r="S53" s="738"/>
      <c r="T53" s="738"/>
      <c r="U53" s="738"/>
      <c r="V53" s="738"/>
      <c r="W53" s="738"/>
      <c r="X53" s="738"/>
      <c r="Y53" s="738"/>
      <c r="Z53" s="738"/>
      <c r="AA53" s="738"/>
      <c r="AB53" s="738"/>
      <c r="AC53" s="738"/>
      <c r="AD53" s="817"/>
    </row>
    <row r="54" spans="1:44" ht="15" customHeight="1">
      <c r="A54" s="49"/>
      <c r="B54" s="794" t="str">
        <f>IF(AND(AP42&gt;0,G53=""),"Debido a que seleccionó el código 5 en la col. Tipo de centro especializado debe anotar el nombre de dicho(s) tipo(s) centro(s)","")</f>
        <v/>
      </c>
      <c r="C54" s="794"/>
      <c r="D54" s="794"/>
      <c r="E54" s="794"/>
      <c r="F54" s="794"/>
      <c r="G54" s="794"/>
      <c r="H54" s="794"/>
      <c r="I54" s="794"/>
      <c r="J54" s="794"/>
      <c r="K54" s="794"/>
      <c r="L54" s="794"/>
      <c r="M54" s="794"/>
      <c r="N54" s="794"/>
      <c r="O54" s="794"/>
      <c r="P54" s="794"/>
      <c r="Q54" s="794"/>
      <c r="R54" s="794"/>
      <c r="S54" s="794"/>
      <c r="T54" s="794"/>
      <c r="U54" s="794"/>
      <c r="V54" s="794"/>
      <c r="W54" s="794"/>
      <c r="X54" s="794"/>
      <c r="Y54" s="794"/>
      <c r="Z54" s="794"/>
      <c r="AA54" s="794"/>
      <c r="AB54" s="794"/>
      <c r="AC54" s="794"/>
      <c r="AD54" s="794"/>
      <c r="AE54" s="794"/>
      <c r="AK54" s="3" t="s">
        <v>2597</v>
      </c>
    </row>
    <row r="55" spans="1:44" ht="45" customHeight="1">
      <c r="A55" s="49"/>
      <c r="B55" s="90"/>
      <c r="C55" s="905" t="s">
        <v>2598</v>
      </c>
      <c r="D55" s="905"/>
      <c r="E55" s="905"/>
      <c r="F55" s="906"/>
      <c r="G55" s="816"/>
      <c r="H55" s="738"/>
      <c r="I55" s="738"/>
      <c r="J55" s="738"/>
      <c r="K55" s="738"/>
      <c r="L55" s="738"/>
      <c r="M55" s="738"/>
      <c r="N55" s="738"/>
      <c r="O55" s="738"/>
      <c r="P55" s="738"/>
      <c r="Q55" s="738"/>
      <c r="R55" s="738"/>
      <c r="S55" s="738"/>
      <c r="T55" s="738"/>
      <c r="U55" s="738"/>
      <c r="V55" s="738"/>
      <c r="W55" s="738"/>
      <c r="X55" s="738"/>
      <c r="Y55" s="738"/>
      <c r="Z55" s="738"/>
      <c r="AA55" s="738"/>
      <c r="AB55" s="738"/>
      <c r="AC55" s="738"/>
      <c r="AD55" s="817"/>
      <c r="AI55" s="3" t="s">
        <v>2551</v>
      </c>
    </row>
    <row r="56" spans="1:44" ht="15" customHeight="1">
      <c r="A56" s="49"/>
      <c r="B56" s="794" t="str">
        <f>IF(AND(AP43&gt;0,G55=""),"Debido a que seleccionó el código 5 en la col. Modelo arquitectónico debe anotar el nombre de dicho(s) modelo(s) o arquitectónico(s) ","")</f>
        <v/>
      </c>
      <c r="C56" s="794"/>
      <c r="D56" s="794"/>
      <c r="E56" s="794"/>
      <c r="F56" s="794"/>
      <c r="G56" s="794"/>
      <c r="H56" s="794"/>
      <c r="I56" s="794"/>
      <c r="J56" s="794"/>
      <c r="K56" s="794"/>
      <c r="L56" s="794"/>
      <c r="M56" s="794"/>
      <c r="N56" s="794"/>
      <c r="O56" s="794"/>
      <c r="P56" s="794"/>
      <c r="Q56" s="794"/>
      <c r="R56" s="794"/>
      <c r="S56" s="794"/>
      <c r="T56" s="794"/>
      <c r="U56" s="794"/>
      <c r="V56" s="794"/>
      <c r="W56" s="794"/>
      <c r="X56" s="794"/>
      <c r="Y56" s="794"/>
      <c r="Z56" s="794"/>
      <c r="AA56" s="794"/>
      <c r="AB56" s="794"/>
      <c r="AC56" s="794"/>
      <c r="AD56" s="794"/>
      <c r="AE56" s="794"/>
    </row>
    <row r="57" spans="1:44" ht="15" customHeight="1">
      <c r="A57" s="103"/>
      <c r="B57" s="57"/>
      <c r="C57" s="732" t="s">
        <v>2599</v>
      </c>
      <c r="D57" s="732"/>
      <c r="E57" s="732"/>
      <c r="F57" s="732"/>
      <c r="G57" s="732"/>
      <c r="H57" s="732"/>
      <c r="I57" s="732"/>
      <c r="J57" s="732"/>
      <c r="K57" s="732"/>
      <c r="L57" s="732"/>
      <c r="M57" s="732"/>
      <c r="N57" s="732"/>
      <c r="O57" s="732"/>
      <c r="P57" s="732"/>
      <c r="Q57" s="57"/>
      <c r="R57" s="732" t="s">
        <v>2600</v>
      </c>
      <c r="S57" s="732"/>
      <c r="T57" s="732"/>
      <c r="U57" s="732"/>
      <c r="V57" s="732"/>
      <c r="W57" s="732"/>
      <c r="X57" s="732"/>
      <c r="Y57" s="732"/>
      <c r="Z57" s="732"/>
      <c r="AA57" s="732"/>
      <c r="AB57" s="732"/>
      <c r="AC57" s="732"/>
      <c r="AD57" s="732"/>
    </row>
    <row r="58" spans="1:44" ht="24" customHeight="1">
      <c r="A58" s="103"/>
      <c r="B58" s="57"/>
      <c r="C58" s="44" t="s">
        <v>2516</v>
      </c>
      <c r="D58" s="796" t="s">
        <v>2601</v>
      </c>
      <c r="E58" s="796"/>
      <c r="F58" s="796"/>
      <c r="G58" s="796"/>
      <c r="H58" s="796"/>
      <c r="I58" s="796"/>
      <c r="J58" s="796"/>
      <c r="K58" s="796"/>
      <c r="L58" s="796"/>
      <c r="M58" s="796"/>
      <c r="N58" s="796"/>
      <c r="O58" s="796"/>
      <c r="P58" s="796"/>
      <c r="Q58" s="57"/>
      <c r="R58" s="44" t="s">
        <v>2516</v>
      </c>
      <c r="S58" s="796" t="s">
        <v>2602</v>
      </c>
      <c r="T58" s="796"/>
      <c r="U58" s="796"/>
      <c r="V58" s="796"/>
      <c r="W58" s="796"/>
      <c r="X58" s="796"/>
      <c r="Y58" s="796"/>
      <c r="Z58" s="796"/>
      <c r="AA58" s="796"/>
      <c r="AB58" s="796"/>
      <c r="AC58" s="796"/>
      <c r="AD58" s="796"/>
    </row>
    <row r="59" spans="1:44" ht="15" customHeight="1">
      <c r="A59" s="103"/>
      <c r="B59" s="57"/>
      <c r="C59" s="44" t="s">
        <v>2517</v>
      </c>
      <c r="D59" s="796" t="s">
        <v>2603</v>
      </c>
      <c r="E59" s="796"/>
      <c r="F59" s="796"/>
      <c r="G59" s="796"/>
      <c r="H59" s="796"/>
      <c r="I59" s="796"/>
      <c r="J59" s="796"/>
      <c r="K59" s="796"/>
      <c r="L59" s="796"/>
      <c r="M59" s="796"/>
      <c r="N59" s="796"/>
      <c r="O59" s="796"/>
      <c r="P59" s="796"/>
      <c r="Q59" s="57"/>
      <c r="R59" s="44" t="s">
        <v>2517</v>
      </c>
      <c r="S59" s="796" t="s">
        <v>2604</v>
      </c>
      <c r="T59" s="796"/>
      <c r="U59" s="796"/>
      <c r="V59" s="796"/>
      <c r="W59" s="796"/>
      <c r="X59" s="796"/>
      <c r="Y59" s="796"/>
      <c r="Z59" s="796"/>
      <c r="AA59" s="796"/>
      <c r="AB59" s="796"/>
      <c r="AC59" s="796"/>
      <c r="AD59" s="796"/>
    </row>
    <row r="60" spans="1:44" ht="15" customHeight="1">
      <c r="A60" s="103"/>
      <c r="B60" s="57"/>
      <c r="C60" s="44" t="s">
        <v>2518</v>
      </c>
      <c r="D60" s="796" t="s">
        <v>2605</v>
      </c>
      <c r="E60" s="796"/>
      <c r="F60" s="796"/>
      <c r="G60" s="796"/>
      <c r="H60" s="796"/>
      <c r="I60" s="796"/>
      <c r="J60" s="796"/>
      <c r="K60" s="796"/>
      <c r="L60" s="796"/>
      <c r="M60" s="796"/>
      <c r="N60" s="796"/>
      <c r="O60" s="796"/>
      <c r="P60" s="796"/>
      <c r="Q60" s="57"/>
      <c r="R60" s="44" t="s">
        <v>2518</v>
      </c>
      <c r="S60" s="796" t="s">
        <v>2606</v>
      </c>
      <c r="T60" s="796"/>
      <c r="U60" s="796"/>
      <c r="V60" s="796"/>
      <c r="W60" s="796"/>
      <c r="X60" s="796"/>
      <c r="Y60" s="796"/>
      <c r="Z60" s="796"/>
      <c r="AA60" s="796"/>
      <c r="AB60" s="796"/>
      <c r="AC60" s="796"/>
      <c r="AD60" s="796"/>
    </row>
    <row r="61" spans="1:44" ht="15" customHeight="1">
      <c r="A61" s="103"/>
      <c r="B61" s="57"/>
      <c r="C61" s="44" t="s">
        <v>2519</v>
      </c>
      <c r="D61" s="796" t="s">
        <v>2607</v>
      </c>
      <c r="E61" s="796"/>
      <c r="F61" s="796"/>
      <c r="G61" s="796"/>
      <c r="H61" s="796"/>
      <c r="I61" s="796"/>
      <c r="J61" s="796"/>
      <c r="K61" s="796"/>
      <c r="L61" s="796"/>
      <c r="M61" s="796"/>
      <c r="N61" s="796"/>
      <c r="O61" s="796"/>
      <c r="P61" s="796"/>
      <c r="Q61" s="57"/>
      <c r="R61" s="44" t="s">
        <v>2519</v>
      </c>
      <c r="S61" s="796" t="s">
        <v>2608</v>
      </c>
      <c r="T61" s="796"/>
      <c r="U61" s="796"/>
      <c r="V61" s="796"/>
      <c r="W61" s="796"/>
      <c r="X61" s="796"/>
      <c r="Y61" s="796"/>
      <c r="Z61" s="796"/>
      <c r="AA61" s="796"/>
      <c r="AB61" s="796"/>
      <c r="AC61" s="796"/>
      <c r="AD61" s="796"/>
    </row>
    <row r="62" spans="1:44" ht="15" customHeight="1">
      <c r="A62" s="103"/>
      <c r="B62" s="57"/>
      <c r="C62" s="44" t="s">
        <v>2520</v>
      </c>
      <c r="D62" s="796" t="s">
        <v>2609</v>
      </c>
      <c r="E62" s="796"/>
      <c r="F62" s="796"/>
      <c r="G62" s="796"/>
      <c r="H62" s="796"/>
      <c r="I62" s="796"/>
      <c r="J62" s="796"/>
      <c r="K62" s="796"/>
      <c r="L62" s="796"/>
      <c r="M62" s="796"/>
      <c r="N62" s="796"/>
      <c r="O62" s="796"/>
      <c r="P62" s="796"/>
      <c r="Q62" s="57"/>
      <c r="R62" s="44" t="s">
        <v>2520</v>
      </c>
      <c r="S62" s="869" t="s">
        <v>2610</v>
      </c>
      <c r="T62" s="870"/>
      <c r="U62" s="870"/>
      <c r="V62" s="870"/>
      <c r="W62" s="870"/>
      <c r="X62" s="870"/>
      <c r="Y62" s="870"/>
      <c r="Z62" s="870"/>
      <c r="AA62" s="870"/>
      <c r="AB62" s="870"/>
      <c r="AC62" s="870"/>
      <c r="AD62" s="871"/>
    </row>
    <row r="63" spans="1:44" ht="15" customHeight="1">
      <c r="A63" s="103"/>
      <c r="B63" s="57"/>
      <c r="C63" s="44" t="s">
        <v>2524</v>
      </c>
      <c r="D63" s="796" t="s">
        <v>201</v>
      </c>
      <c r="E63" s="796"/>
      <c r="F63" s="796"/>
      <c r="G63" s="796"/>
      <c r="H63" s="796"/>
      <c r="I63" s="796"/>
      <c r="J63" s="796"/>
      <c r="K63" s="796"/>
      <c r="L63" s="796"/>
      <c r="M63" s="796"/>
      <c r="N63" s="796"/>
      <c r="O63" s="796"/>
      <c r="P63" s="796"/>
      <c r="Q63" s="57"/>
      <c r="R63" s="44" t="s">
        <v>2524</v>
      </c>
      <c r="S63" s="796" t="s">
        <v>201</v>
      </c>
      <c r="T63" s="796"/>
      <c r="U63" s="796"/>
      <c r="V63" s="796"/>
      <c r="W63" s="796"/>
      <c r="X63" s="796"/>
      <c r="Y63" s="796"/>
      <c r="Z63" s="796"/>
      <c r="AA63" s="796"/>
      <c r="AB63" s="796"/>
      <c r="AC63" s="796"/>
      <c r="AD63" s="796"/>
    </row>
    <row r="64" spans="1:44" ht="15" customHeight="1">
      <c r="A64" s="103"/>
      <c r="B64" s="57"/>
      <c r="C64" s="57"/>
      <c r="D64" s="57"/>
      <c r="E64" s="57"/>
      <c r="F64" s="57"/>
      <c r="G64" s="57"/>
      <c r="H64" s="57"/>
      <c r="I64" s="57"/>
      <c r="J64" s="57"/>
      <c r="K64" s="57"/>
      <c r="L64" s="57"/>
      <c r="M64" s="57"/>
      <c r="N64" s="57"/>
      <c r="O64" s="57"/>
      <c r="P64" s="57"/>
      <c r="Q64" s="57"/>
      <c r="R64" s="57"/>
      <c r="S64" s="57"/>
      <c r="T64" s="57"/>
      <c r="U64" s="57"/>
      <c r="V64" s="57"/>
      <c r="W64" s="57"/>
      <c r="X64" s="57"/>
      <c r="Y64" s="57"/>
      <c r="Z64" s="57"/>
      <c r="AA64" s="57"/>
      <c r="AB64" s="57"/>
      <c r="AC64" s="57"/>
      <c r="AD64" s="57"/>
    </row>
    <row r="65" spans="1:37" ht="24" customHeight="1">
      <c r="A65" s="103"/>
      <c r="B65" s="57"/>
      <c r="C65" s="754" t="s">
        <v>2611</v>
      </c>
      <c r="D65" s="754"/>
      <c r="E65" s="754"/>
      <c r="F65" s="754"/>
      <c r="G65" s="754"/>
      <c r="H65" s="754"/>
      <c r="I65" s="754"/>
      <c r="J65" s="754"/>
      <c r="K65" s="754"/>
      <c r="L65" s="754"/>
      <c r="M65" s="754"/>
      <c r="N65" s="754"/>
      <c r="O65" s="754"/>
      <c r="P65" s="754"/>
      <c r="Q65" s="754"/>
      <c r="R65" s="754"/>
      <c r="S65" s="754"/>
      <c r="T65" s="754"/>
      <c r="U65" s="754"/>
      <c r="V65" s="754"/>
      <c r="W65" s="754"/>
      <c r="X65" s="754"/>
      <c r="Y65" s="754"/>
      <c r="Z65" s="754"/>
      <c r="AA65" s="754"/>
      <c r="AB65" s="754"/>
      <c r="AC65" s="754"/>
      <c r="AD65" s="754"/>
    </row>
    <row r="66" spans="1:37" ht="60" customHeight="1">
      <c r="A66" s="103"/>
      <c r="B66" s="57"/>
      <c r="C66" s="851"/>
      <c r="D66" s="851"/>
      <c r="E66" s="851"/>
      <c r="F66" s="851"/>
      <c r="G66" s="851"/>
      <c r="H66" s="851"/>
      <c r="I66" s="851"/>
      <c r="J66" s="851"/>
      <c r="K66" s="851"/>
      <c r="L66" s="851"/>
      <c r="M66" s="851"/>
      <c r="N66" s="851"/>
      <c r="O66" s="851"/>
      <c r="P66" s="851"/>
      <c r="Q66" s="851"/>
      <c r="R66" s="851"/>
      <c r="S66" s="851"/>
      <c r="T66" s="851"/>
      <c r="U66" s="851"/>
      <c r="V66" s="851"/>
      <c r="W66" s="851"/>
      <c r="X66" s="851"/>
      <c r="Y66" s="851"/>
      <c r="Z66" s="851"/>
      <c r="AA66" s="851"/>
      <c r="AB66" s="851"/>
      <c r="AC66" s="851"/>
      <c r="AD66" s="851"/>
    </row>
    <row r="67" spans="1:37" ht="15" customHeight="1">
      <c r="A67" s="103"/>
      <c r="B67" s="794" t="str">
        <f>IF(AG50&gt;0,"Favor de ingresar toda la información requerida en la pregunta ","")</f>
        <v/>
      </c>
      <c r="C67" s="794"/>
      <c r="D67" s="794"/>
      <c r="E67" s="794"/>
      <c r="F67" s="794"/>
      <c r="G67" s="794"/>
      <c r="H67" s="794"/>
      <c r="I67" s="794"/>
      <c r="J67" s="794"/>
      <c r="K67" s="794"/>
      <c r="L67" s="794"/>
      <c r="M67" s="794"/>
      <c r="N67" s="794"/>
      <c r="O67" s="794"/>
      <c r="P67" s="794"/>
      <c r="Q67" s="794"/>
      <c r="R67" s="794"/>
      <c r="S67" s="794"/>
      <c r="T67" s="794"/>
      <c r="U67" s="794"/>
      <c r="V67" s="794"/>
      <c r="W67" s="794"/>
      <c r="X67" s="794"/>
      <c r="Y67" s="794"/>
      <c r="Z67" s="794"/>
      <c r="AA67" s="794"/>
      <c r="AB67" s="794"/>
      <c r="AC67" s="794"/>
      <c r="AD67" s="794"/>
    </row>
    <row r="68" spans="1:37" ht="15" customHeight="1">
      <c r="A68" s="49"/>
      <c r="B68" s="795" t="str">
        <f>IF(AN50&gt;0,"Alerta: debido a que cuenta con registros NS, debe proporcionar una justificación en el area de comentarios al final de la pregunta","")</f>
        <v/>
      </c>
      <c r="C68" s="795"/>
      <c r="D68" s="795"/>
      <c r="E68" s="795"/>
      <c r="F68" s="795"/>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row>
    <row r="69" spans="1:37" ht="15" customHeight="1">
      <c r="A69" s="49"/>
      <c r="B69" s="794" t="str">
        <f>IF(AM50=0,"","El nombre debe registrarse en mayúsculas, sin comillas ni signos de acentuación, puntuación, paréntesis y abreviaturas")</f>
        <v/>
      </c>
      <c r="C69" s="794"/>
      <c r="D69" s="794"/>
      <c r="E69" s="794"/>
      <c r="F69" s="794"/>
      <c r="G69" s="794"/>
      <c r="H69" s="794"/>
      <c r="I69" s="794"/>
      <c r="J69" s="794"/>
      <c r="K69" s="794"/>
      <c r="L69" s="794"/>
      <c r="M69" s="794"/>
      <c r="N69" s="794"/>
      <c r="O69" s="794"/>
      <c r="P69" s="794"/>
      <c r="Q69" s="794"/>
      <c r="R69" s="794"/>
      <c r="S69" s="794"/>
      <c r="T69" s="794"/>
      <c r="U69" s="794"/>
      <c r="V69" s="794"/>
      <c r="W69" s="794"/>
      <c r="X69" s="794"/>
      <c r="Y69" s="794"/>
      <c r="Z69" s="794"/>
      <c r="AA69" s="794"/>
      <c r="AB69" s="794"/>
      <c r="AC69" s="794"/>
      <c r="AD69" s="794"/>
    </row>
    <row r="70" spans="1:37" ht="15" customHeight="1">
      <c r="A70" s="49"/>
      <c r="B70" s="794" t="str">
        <f>IF(AR50&gt;0,"Favor de ingresar una fecha válida y/o verifique que el formato solicitado esté correcto","")</f>
        <v/>
      </c>
      <c r="C70" s="794"/>
      <c r="D70" s="794"/>
      <c r="E70" s="794"/>
      <c r="F70" s="794"/>
      <c r="G70" s="794"/>
      <c r="H70" s="794"/>
      <c r="I70" s="794"/>
      <c r="J70" s="794"/>
      <c r="K70" s="794"/>
      <c r="L70" s="794"/>
      <c r="M70" s="794"/>
      <c r="N70" s="794"/>
      <c r="O70" s="794"/>
      <c r="P70" s="794"/>
      <c r="Q70" s="794"/>
      <c r="R70" s="794"/>
      <c r="S70" s="794"/>
      <c r="T70" s="794"/>
      <c r="U70" s="794"/>
      <c r="V70" s="794"/>
      <c r="W70" s="794"/>
      <c r="X70" s="794"/>
      <c r="Y70" s="794"/>
      <c r="Z70" s="794"/>
      <c r="AA70" s="794"/>
      <c r="AB70" s="794"/>
      <c r="AC70" s="794"/>
      <c r="AD70" s="794"/>
    </row>
    <row r="71" spans="1:37" ht="15" customHeight="1">
      <c r="A71" s="49"/>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row>
    <row r="72" spans="1:37" ht="15" customHeight="1">
      <c r="A72" s="49"/>
      <c r="B72" s="38"/>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row>
    <row r="73" spans="1:37" ht="24" customHeight="1">
      <c r="A73" s="49" t="s">
        <v>2612</v>
      </c>
      <c r="B73" s="829" t="s">
        <v>2613</v>
      </c>
      <c r="C73" s="829"/>
      <c r="D73" s="829"/>
      <c r="E73" s="829"/>
      <c r="F73" s="829"/>
      <c r="G73" s="829"/>
      <c r="H73" s="829"/>
      <c r="I73" s="829"/>
      <c r="J73" s="829"/>
      <c r="K73" s="829"/>
      <c r="L73" s="829"/>
      <c r="M73" s="829"/>
      <c r="N73" s="829"/>
      <c r="O73" s="829"/>
      <c r="P73" s="829"/>
      <c r="Q73" s="829"/>
      <c r="R73" s="829"/>
      <c r="S73" s="829"/>
      <c r="T73" s="829"/>
      <c r="U73" s="829"/>
      <c r="V73" s="829"/>
      <c r="W73" s="829"/>
      <c r="X73" s="829"/>
      <c r="Y73" s="829"/>
      <c r="Z73" s="829"/>
      <c r="AA73" s="829"/>
      <c r="AB73" s="829"/>
      <c r="AC73" s="829"/>
      <c r="AD73" s="829"/>
    </row>
    <row r="74" spans="1:37" ht="36" customHeight="1">
      <c r="A74" s="49"/>
      <c r="B74" s="105"/>
      <c r="C74" s="830" t="s">
        <v>2614</v>
      </c>
      <c r="D74" s="830"/>
      <c r="E74" s="830"/>
      <c r="F74" s="830"/>
      <c r="G74" s="830"/>
      <c r="H74" s="830"/>
      <c r="I74" s="830"/>
      <c r="J74" s="830"/>
      <c r="K74" s="830"/>
      <c r="L74" s="830"/>
      <c r="M74" s="830"/>
      <c r="N74" s="830"/>
      <c r="O74" s="830"/>
      <c r="P74" s="830"/>
      <c r="Q74" s="830"/>
      <c r="R74" s="830"/>
      <c r="S74" s="830"/>
      <c r="T74" s="830"/>
      <c r="U74" s="830"/>
      <c r="V74" s="830"/>
      <c r="W74" s="830"/>
      <c r="X74" s="830"/>
      <c r="Y74" s="830"/>
      <c r="Z74" s="830"/>
      <c r="AA74" s="830"/>
      <c r="AB74" s="830"/>
      <c r="AC74" s="830"/>
      <c r="AD74" s="830"/>
    </row>
    <row r="75" spans="1:37" ht="36" customHeight="1">
      <c r="A75" s="49"/>
      <c r="B75" s="57"/>
      <c r="C75" s="830" t="s">
        <v>2615</v>
      </c>
      <c r="D75" s="830"/>
      <c r="E75" s="830"/>
      <c r="F75" s="830"/>
      <c r="G75" s="830"/>
      <c r="H75" s="830"/>
      <c r="I75" s="830"/>
      <c r="J75" s="830"/>
      <c r="K75" s="830"/>
      <c r="L75" s="830"/>
      <c r="M75" s="830"/>
      <c r="N75" s="830"/>
      <c r="O75" s="830"/>
      <c r="P75" s="830"/>
      <c r="Q75" s="830"/>
      <c r="R75" s="830"/>
      <c r="S75" s="830"/>
      <c r="T75" s="830"/>
      <c r="U75" s="830"/>
      <c r="V75" s="830"/>
      <c r="W75" s="830"/>
      <c r="X75" s="830"/>
      <c r="Y75" s="830"/>
      <c r="Z75" s="830"/>
      <c r="AA75" s="830"/>
      <c r="AB75" s="830"/>
      <c r="AC75" s="830"/>
      <c r="AD75" s="830"/>
    </row>
    <row r="76" spans="1:37" ht="24" customHeight="1">
      <c r="A76" s="49"/>
      <c r="B76" s="106"/>
      <c r="C76" s="830" t="s">
        <v>2616</v>
      </c>
      <c r="D76" s="830"/>
      <c r="E76" s="830"/>
      <c r="F76" s="830"/>
      <c r="G76" s="830"/>
      <c r="H76" s="830"/>
      <c r="I76" s="830"/>
      <c r="J76" s="830"/>
      <c r="K76" s="830"/>
      <c r="L76" s="830"/>
      <c r="M76" s="830"/>
      <c r="N76" s="830"/>
      <c r="O76" s="830"/>
      <c r="P76" s="830"/>
      <c r="Q76" s="830"/>
      <c r="R76" s="830"/>
      <c r="S76" s="830"/>
      <c r="T76" s="830"/>
      <c r="U76" s="830"/>
      <c r="V76" s="830"/>
      <c r="W76" s="830"/>
      <c r="X76" s="830"/>
      <c r="Y76" s="830"/>
      <c r="Z76" s="830"/>
      <c r="AA76" s="830"/>
      <c r="AB76" s="830"/>
      <c r="AC76" s="830"/>
      <c r="AD76" s="830"/>
    </row>
    <row r="77" spans="1:37" ht="15" customHeight="1">
      <c r="A77" s="49"/>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row>
    <row r="78" spans="1:37" ht="15" customHeight="1">
      <c r="A78" s="49"/>
      <c r="B78" s="106"/>
      <c r="C78" s="86"/>
      <c r="D78" s="86"/>
      <c r="E78" s="86"/>
      <c r="F78" s="86"/>
      <c r="G78" s="86"/>
      <c r="H78" s="86"/>
      <c r="I78" s="86"/>
      <c r="J78" s="86"/>
      <c r="K78" s="86"/>
      <c r="L78" s="86"/>
      <c r="M78" s="86"/>
      <c r="N78" s="86"/>
      <c r="O78" s="86"/>
      <c r="P78" s="86"/>
      <c r="Q78" s="86"/>
      <c r="R78" s="86"/>
      <c r="S78" s="86"/>
      <c r="T78" s="86"/>
      <c r="U78" s="86"/>
      <c r="V78" s="86"/>
      <c r="W78" s="86"/>
      <c r="X78" s="86"/>
      <c r="Y78" s="655"/>
      <c r="Z78" s="655"/>
      <c r="AA78" s="907" t="s">
        <v>2617</v>
      </c>
      <c r="AB78" s="907"/>
      <c r="AC78" s="907"/>
      <c r="AD78" s="907"/>
    </row>
    <row r="79" spans="1:37" ht="15" customHeight="1">
      <c r="A79" s="49"/>
      <c r="B79" s="57"/>
      <c r="C79" s="57"/>
      <c r="D79" s="57"/>
      <c r="E79" s="57"/>
      <c r="F79" s="57"/>
      <c r="G79" s="57"/>
      <c r="H79" s="57"/>
      <c r="I79" s="57"/>
      <c r="J79" s="57"/>
      <c r="K79" s="57"/>
      <c r="L79" s="57"/>
      <c r="M79" s="57"/>
      <c r="N79" s="57"/>
      <c r="O79" s="57"/>
      <c r="P79" s="57"/>
      <c r="Q79" s="57"/>
      <c r="R79" s="57"/>
      <c r="S79" s="57"/>
      <c r="T79" s="57"/>
      <c r="U79" s="57"/>
      <c r="V79" s="57"/>
      <c r="W79" s="57"/>
      <c r="X79" s="57"/>
      <c r="Y79" s="57"/>
      <c r="Z79" s="57"/>
      <c r="AA79" s="57"/>
      <c r="AB79" s="57"/>
      <c r="AC79" s="57"/>
      <c r="AD79" s="57"/>
    </row>
    <row r="80" spans="1:37" ht="72" customHeight="1">
      <c r="A80" s="49"/>
      <c r="B80" s="57"/>
      <c r="C80" s="908" t="s">
        <v>2581</v>
      </c>
      <c r="D80" s="909"/>
      <c r="E80" s="909"/>
      <c r="F80" s="909"/>
      <c r="G80" s="909"/>
      <c r="H80" s="909"/>
      <c r="I80" s="909"/>
      <c r="J80" s="909"/>
      <c r="K80" s="909"/>
      <c r="L80" s="909"/>
      <c r="M80" s="909"/>
      <c r="N80" s="909"/>
      <c r="O80" s="909"/>
      <c r="P80" s="909"/>
      <c r="Q80" s="909"/>
      <c r="R80" s="910"/>
      <c r="S80" s="908" t="s">
        <v>2618</v>
      </c>
      <c r="T80" s="911"/>
      <c r="U80" s="911"/>
      <c r="V80" s="911"/>
      <c r="W80" s="911"/>
      <c r="X80" s="912"/>
      <c r="Y80" s="908" t="s">
        <v>2619</v>
      </c>
      <c r="Z80" s="911"/>
      <c r="AA80" s="911"/>
      <c r="AB80" s="911"/>
      <c r="AC80" s="911"/>
      <c r="AD80" s="912"/>
      <c r="AG80" s="247" t="s">
        <v>2586</v>
      </c>
      <c r="AH80" s="251" t="s">
        <v>2590</v>
      </c>
      <c r="AI80" s="258" t="s">
        <v>2620</v>
      </c>
      <c r="AJ80" s="259" t="s">
        <v>2621</v>
      </c>
      <c r="AK80" s="260" t="s">
        <v>2622</v>
      </c>
    </row>
    <row r="81" spans="1:37" ht="15" customHeight="1">
      <c r="A81" s="49"/>
      <c r="B81" s="57"/>
      <c r="C81" s="98" t="s">
        <v>2516</v>
      </c>
      <c r="D81" s="796" t="str">
        <f>IF(CNSIPEE_2024_M2_Secc1!D42="","",CNSIPEE_2024_M2_Secc1!D42)</f>
        <v/>
      </c>
      <c r="E81" s="796"/>
      <c r="F81" s="796"/>
      <c r="G81" s="796"/>
      <c r="H81" s="796"/>
      <c r="I81" s="796"/>
      <c r="J81" s="796"/>
      <c r="K81" s="796"/>
      <c r="L81" s="796"/>
      <c r="M81" s="796"/>
      <c r="N81" s="796"/>
      <c r="O81" s="796"/>
      <c r="P81" s="796"/>
      <c r="Q81" s="796"/>
      <c r="R81" s="796"/>
      <c r="S81" s="900"/>
      <c r="T81" s="900"/>
      <c r="U81" s="900"/>
      <c r="V81" s="900"/>
      <c r="W81" s="900"/>
      <c r="X81" s="901"/>
      <c r="Y81" s="900"/>
      <c r="Z81" s="900"/>
      <c r="AA81" s="900"/>
      <c r="AB81" s="900"/>
      <c r="AC81" s="900"/>
      <c r="AD81" s="901"/>
      <c r="AG81" s="249">
        <f>IF(AND(COUNTBLANK(D81)=0,S81&lt;&gt;"",S81&lt;&gt;1,COUNTA(Y81)=0),0,IF(AND(COUNTBLANK(D81)=0,S81&lt;&gt;"",S81=1,COUNTA(Y81)=1),0,IF(AND(COUNTBLANK(D81)=1,COUNTA(S81:AD81)=0),0,1)))</f>
        <v>0</v>
      </c>
      <c r="AH81" s="249">
        <f>COUNTIF(Y81,"NS")</f>
        <v>0</v>
      </c>
      <c r="AI81" s="253">
        <f>IF(AND($S81&lt;&gt;"",$S81&lt;&gt;1,COUNTA(Y81)&gt;0),1,0)</f>
        <v>0</v>
      </c>
      <c r="AJ81" s="253">
        <f>IF(Y81&gt;5,1,0)</f>
        <v>0</v>
      </c>
      <c r="AK81" s="253">
        <f>IF(AND($S81&lt;&gt;"",$S81=1,Y81&lt;&gt;"",Y81=0),1,0)</f>
        <v>0</v>
      </c>
    </row>
    <row r="82" spans="1:37" ht="15" customHeight="1">
      <c r="A82" s="49"/>
      <c r="B82" s="57"/>
      <c r="C82" s="98" t="s">
        <v>2517</v>
      </c>
      <c r="D82" s="796" t="str">
        <f>IF(CNSIPEE_2024_M2_Secc1!D43="","",CNSIPEE_2024_M2_Secc1!D43)</f>
        <v/>
      </c>
      <c r="E82" s="796"/>
      <c r="F82" s="796"/>
      <c r="G82" s="796"/>
      <c r="H82" s="796"/>
      <c r="I82" s="796"/>
      <c r="J82" s="796"/>
      <c r="K82" s="796"/>
      <c r="L82" s="796"/>
      <c r="M82" s="796"/>
      <c r="N82" s="796"/>
      <c r="O82" s="796"/>
      <c r="P82" s="796"/>
      <c r="Q82" s="796"/>
      <c r="R82" s="796"/>
      <c r="S82" s="900"/>
      <c r="T82" s="900"/>
      <c r="U82" s="900"/>
      <c r="V82" s="900"/>
      <c r="W82" s="900"/>
      <c r="X82" s="901"/>
      <c r="Y82" s="900"/>
      <c r="Z82" s="900"/>
      <c r="AA82" s="900"/>
      <c r="AB82" s="900"/>
      <c r="AC82" s="900"/>
      <c r="AD82" s="901"/>
      <c r="AG82" s="249">
        <f t="shared" ref="AG82:AG88" si="9">IF(AND(COUNTBLANK(D82)=0,S82&lt;&gt;"",S82&lt;&gt;1,COUNTA(Y82)=0),0,IF(AND(COUNTBLANK(D82)=0,S82&lt;&gt;"",S82=1,COUNTA(Y82)=1),0,IF(AND(COUNTBLANK(D82)=1,COUNTA(S82:AD82)=0),0,1)))</f>
        <v>0</v>
      </c>
      <c r="AH82" s="249">
        <f t="shared" ref="AH82:AH88" si="10">COUNTIF(Y82,"NS")</f>
        <v>0</v>
      </c>
      <c r="AI82" s="253">
        <f t="shared" ref="AI82:AI88" si="11">IF(AND($S82&lt;&gt;"",$S82&lt;&gt;1,COUNTA(Y82)&gt;0),1,0)</f>
        <v>0</v>
      </c>
      <c r="AJ82" s="253">
        <f t="shared" ref="AJ82:AJ88" si="12">IF(Y82&gt;5,1,0)</f>
        <v>0</v>
      </c>
      <c r="AK82" s="253">
        <f t="shared" ref="AK82:AK88" si="13">IF(AND($S82&lt;&gt;"",$S82=1,Y82&lt;&gt;"",Y82=0),1,0)</f>
        <v>0</v>
      </c>
    </row>
    <row r="83" spans="1:37" ht="15" customHeight="1">
      <c r="A83" s="49"/>
      <c r="B83" s="57"/>
      <c r="C83" s="98" t="s">
        <v>2518</v>
      </c>
      <c r="D83" s="796" t="str">
        <f>IF(CNSIPEE_2024_M2_Secc1!D44="","",CNSIPEE_2024_M2_Secc1!D44)</f>
        <v/>
      </c>
      <c r="E83" s="796"/>
      <c r="F83" s="796"/>
      <c r="G83" s="796"/>
      <c r="H83" s="796"/>
      <c r="I83" s="796"/>
      <c r="J83" s="796"/>
      <c r="K83" s="796"/>
      <c r="L83" s="796"/>
      <c r="M83" s="796"/>
      <c r="N83" s="796"/>
      <c r="O83" s="796"/>
      <c r="P83" s="796"/>
      <c r="Q83" s="796"/>
      <c r="R83" s="796"/>
      <c r="S83" s="900"/>
      <c r="T83" s="900"/>
      <c r="U83" s="900"/>
      <c r="V83" s="900"/>
      <c r="W83" s="900"/>
      <c r="X83" s="901"/>
      <c r="Y83" s="900"/>
      <c r="Z83" s="900"/>
      <c r="AA83" s="900"/>
      <c r="AB83" s="900"/>
      <c r="AC83" s="900"/>
      <c r="AD83" s="901"/>
      <c r="AG83" s="249">
        <f t="shared" si="9"/>
        <v>0</v>
      </c>
      <c r="AH83" s="249">
        <f t="shared" si="10"/>
        <v>0</v>
      </c>
      <c r="AI83" s="253">
        <f t="shared" si="11"/>
        <v>0</v>
      </c>
      <c r="AJ83" s="253">
        <f t="shared" si="12"/>
        <v>0</v>
      </c>
      <c r="AK83" s="253">
        <f t="shared" si="13"/>
        <v>0</v>
      </c>
    </row>
    <row r="84" spans="1:37" ht="15" customHeight="1">
      <c r="A84" s="49"/>
      <c r="B84" s="57"/>
      <c r="C84" s="98" t="s">
        <v>2519</v>
      </c>
      <c r="D84" s="796" t="str">
        <f>IF(CNSIPEE_2024_M2_Secc1!D45="","",CNSIPEE_2024_M2_Secc1!D45)</f>
        <v/>
      </c>
      <c r="E84" s="796"/>
      <c r="F84" s="796"/>
      <c r="G84" s="796"/>
      <c r="H84" s="796"/>
      <c r="I84" s="796"/>
      <c r="J84" s="796"/>
      <c r="K84" s="796"/>
      <c r="L84" s="796"/>
      <c r="M84" s="796"/>
      <c r="N84" s="796"/>
      <c r="O84" s="796"/>
      <c r="P84" s="796"/>
      <c r="Q84" s="796"/>
      <c r="R84" s="796"/>
      <c r="S84" s="900"/>
      <c r="T84" s="900"/>
      <c r="U84" s="900"/>
      <c r="V84" s="900"/>
      <c r="W84" s="900"/>
      <c r="X84" s="901"/>
      <c r="Y84" s="900"/>
      <c r="Z84" s="900"/>
      <c r="AA84" s="900"/>
      <c r="AB84" s="900"/>
      <c r="AC84" s="900"/>
      <c r="AD84" s="901"/>
      <c r="AG84" s="249">
        <f t="shared" si="9"/>
        <v>0</v>
      </c>
      <c r="AH84" s="249">
        <f t="shared" si="10"/>
        <v>0</v>
      </c>
      <c r="AI84" s="253">
        <f t="shared" si="11"/>
        <v>0</v>
      </c>
      <c r="AJ84" s="253">
        <f t="shared" si="12"/>
        <v>0</v>
      </c>
      <c r="AK84" s="253">
        <f t="shared" si="13"/>
        <v>0</v>
      </c>
    </row>
    <row r="85" spans="1:37" ht="15" customHeight="1">
      <c r="A85" s="49"/>
      <c r="B85" s="57"/>
      <c r="C85" s="98" t="s">
        <v>2520</v>
      </c>
      <c r="D85" s="796" t="str">
        <f>IF(CNSIPEE_2024_M2_Secc1!D46="","",CNSIPEE_2024_M2_Secc1!D46)</f>
        <v/>
      </c>
      <c r="E85" s="796"/>
      <c r="F85" s="796"/>
      <c r="G85" s="796"/>
      <c r="H85" s="796"/>
      <c r="I85" s="796"/>
      <c r="J85" s="796"/>
      <c r="K85" s="796"/>
      <c r="L85" s="796"/>
      <c r="M85" s="796"/>
      <c r="N85" s="796"/>
      <c r="O85" s="796"/>
      <c r="P85" s="796"/>
      <c r="Q85" s="796"/>
      <c r="R85" s="796"/>
      <c r="S85" s="900"/>
      <c r="T85" s="900"/>
      <c r="U85" s="900"/>
      <c r="V85" s="900"/>
      <c r="W85" s="900"/>
      <c r="X85" s="901"/>
      <c r="Y85" s="900"/>
      <c r="Z85" s="900"/>
      <c r="AA85" s="900"/>
      <c r="AB85" s="900"/>
      <c r="AC85" s="900"/>
      <c r="AD85" s="901"/>
      <c r="AG85" s="249">
        <f t="shared" si="9"/>
        <v>0</v>
      </c>
      <c r="AH85" s="249">
        <f t="shared" si="10"/>
        <v>0</v>
      </c>
      <c r="AI85" s="253">
        <f t="shared" si="11"/>
        <v>0</v>
      </c>
      <c r="AJ85" s="253">
        <f t="shared" si="12"/>
        <v>0</v>
      </c>
      <c r="AK85" s="253">
        <f t="shared" si="13"/>
        <v>0</v>
      </c>
    </row>
    <row r="86" spans="1:37" ht="15" customHeight="1">
      <c r="A86" s="49"/>
      <c r="B86" s="57"/>
      <c r="C86" s="98" t="s">
        <v>2521</v>
      </c>
      <c r="D86" s="796" t="str">
        <f>IF(CNSIPEE_2024_M2_Secc1!D47="","",CNSIPEE_2024_M2_Secc1!D47)</f>
        <v/>
      </c>
      <c r="E86" s="796"/>
      <c r="F86" s="796"/>
      <c r="G86" s="796"/>
      <c r="H86" s="796"/>
      <c r="I86" s="796"/>
      <c r="J86" s="796"/>
      <c r="K86" s="796"/>
      <c r="L86" s="796"/>
      <c r="M86" s="796"/>
      <c r="N86" s="796"/>
      <c r="O86" s="796"/>
      <c r="P86" s="796"/>
      <c r="Q86" s="796"/>
      <c r="R86" s="796"/>
      <c r="S86" s="900"/>
      <c r="T86" s="900"/>
      <c r="U86" s="900"/>
      <c r="V86" s="900"/>
      <c r="W86" s="900"/>
      <c r="X86" s="901"/>
      <c r="Y86" s="900"/>
      <c r="Z86" s="900"/>
      <c r="AA86" s="900"/>
      <c r="AB86" s="900"/>
      <c r="AC86" s="900"/>
      <c r="AD86" s="901"/>
      <c r="AG86" s="249">
        <f t="shared" si="9"/>
        <v>0</v>
      </c>
      <c r="AH86" s="249">
        <f t="shared" si="10"/>
        <v>0</v>
      </c>
      <c r="AI86" s="253">
        <f t="shared" si="11"/>
        <v>0</v>
      </c>
      <c r="AJ86" s="253">
        <f t="shared" si="12"/>
        <v>0</v>
      </c>
      <c r="AK86" s="253">
        <f t="shared" si="13"/>
        <v>0</v>
      </c>
    </row>
    <row r="87" spans="1:37" ht="15" customHeight="1">
      <c r="A87" s="49"/>
      <c r="B87" s="57"/>
      <c r="C87" s="98" t="s">
        <v>2522</v>
      </c>
      <c r="D87" s="796" t="str">
        <f>IF(CNSIPEE_2024_M2_Secc1!D48="","",CNSIPEE_2024_M2_Secc1!D48)</f>
        <v/>
      </c>
      <c r="E87" s="796"/>
      <c r="F87" s="796"/>
      <c r="G87" s="796"/>
      <c r="H87" s="796"/>
      <c r="I87" s="796"/>
      <c r="J87" s="796"/>
      <c r="K87" s="796"/>
      <c r="L87" s="796"/>
      <c r="M87" s="796"/>
      <c r="N87" s="796"/>
      <c r="O87" s="796"/>
      <c r="P87" s="796"/>
      <c r="Q87" s="796"/>
      <c r="R87" s="796"/>
      <c r="S87" s="900"/>
      <c r="T87" s="900"/>
      <c r="U87" s="900"/>
      <c r="V87" s="900"/>
      <c r="W87" s="900"/>
      <c r="X87" s="901"/>
      <c r="Y87" s="900"/>
      <c r="Z87" s="900"/>
      <c r="AA87" s="900"/>
      <c r="AB87" s="900"/>
      <c r="AC87" s="900"/>
      <c r="AD87" s="901"/>
      <c r="AG87" s="249">
        <f t="shared" si="9"/>
        <v>0</v>
      </c>
      <c r="AH87" s="249">
        <f t="shared" si="10"/>
        <v>0</v>
      </c>
      <c r="AI87" s="253">
        <f t="shared" si="11"/>
        <v>0</v>
      </c>
      <c r="AJ87" s="253">
        <f t="shared" si="12"/>
        <v>0</v>
      </c>
      <c r="AK87" s="253">
        <f t="shared" si="13"/>
        <v>0</v>
      </c>
    </row>
    <row r="88" spans="1:37" ht="15" customHeight="1">
      <c r="A88" s="49"/>
      <c r="B88" s="57"/>
      <c r="C88" s="98" t="s">
        <v>2523</v>
      </c>
      <c r="D88" s="796" t="str">
        <f>IF(CNSIPEE_2024_M2_Secc1!D49="","",CNSIPEE_2024_M2_Secc1!D49)</f>
        <v/>
      </c>
      <c r="E88" s="796"/>
      <c r="F88" s="796"/>
      <c r="G88" s="796"/>
      <c r="H88" s="796"/>
      <c r="I88" s="796"/>
      <c r="J88" s="796"/>
      <c r="K88" s="796"/>
      <c r="L88" s="796"/>
      <c r="M88" s="796"/>
      <c r="N88" s="796"/>
      <c r="O88" s="796"/>
      <c r="P88" s="796"/>
      <c r="Q88" s="796"/>
      <c r="R88" s="796"/>
      <c r="S88" s="900"/>
      <c r="T88" s="900"/>
      <c r="U88" s="900"/>
      <c r="V88" s="900"/>
      <c r="W88" s="900"/>
      <c r="X88" s="901"/>
      <c r="Y88" s="900"/>
      <c r="Z88" s="900"/>
      <c r="AA88" s="900"/>
      <c r="AB88" s="900"/>
      <c r="AC88" s="900"/>
      <c r="AD88" s="901"/>
      <c r="AG88" s="249">
        <f t="shared" si="9"/>
        <v>0</v>
      </c>
      <c r="AH88" s="249">
        <f t="shared" si="10"/>
        <v>0</v>
      </c>
      <c r="AI88" s="253">
        <f t="shared" si="11"/>
        <v>0</v>
      </c>
      <c r="AJ88" s="253">
        <f t="shared" si="12"/>
        <v>0</v>
      </c>
      <c r="AK88" s="253">
        <f t="shared" si="13"/>
        <v>0</v>
      </c>
    </row>
    <row r="89" spans="1:37" ht="15" customHeight="1">
      <c r="A89" s="49"/>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G89" s="247">
        <f>SUM(AG81:AG88)</f>
        <v>0</v>
      </c>
      <c r="AH89" s="251">
        <f>SUM(AH81:AH88)</f>
        <v>0</v>
      </c>
      <c r="AI89" s="258">
        <f>SUM(AI81:AI88)</f>
        <v>0</v>
      </c>
      <c r="AJ89" s="261">
        <f>SUM(AJ81:AJ88)</f>
        <v>0</v>
      </c>
      <c r="AK89" s="262">
        <f>SUM(AK81:AK88)</f>
        <v>0</v>
      </c>
    </row>
    <row r="90" spans="1:37" ht="24" customHeight="1">
      <c r="A90" s="49"/>
      <c r="B90" s="38"/>
      <c r="C90" s="754" t="s">
        <v>2611</v>
      </c>
      <c r="D90" s="754"/>
      <c r="E90" s="754"/>
      <c r="F90" s="754"/>
      <c r="G90" s="754"/>
      <c r="H90" s="754"/>
      <c r="I90" s="754"/>
      <c r="J90" s="754"/>
      <c r="K90" s="754"/>
      <c r="L90" s="754"/>
      <c r="M90" s="754"/>
      <c r="N90" s="754"/>
      <c r="O90" s="754"/>
      <c r="P90" s="754"/>
      <c r="Q90" s="754"/>
      <c r="R90" s="754"/>
      <c r="S90" s="754"/>
      <c r="T90" s="754"/>
      <c r="U90" s="754"/>
      <c r="V90" s="754"/>
      <c r="W90" s="754"/>
      <c r="X90" s="754"/>
      <c r="Y90" s="754"/>
      <c r="Z90" s="754"/>
      <c r="AA90" s="754"/>
      <c r="AB90" s="754"/>
      <c r="AC90" s="754"/>
      <c r="AD90" s="754"/>
    </row>
    <row r="91" spans="1:37" ht="60" customHeight="1">
      <c r="A91" s="49"/>
      <c r="B91" s="38"/>
      <c r="C91" s="851"/>
      <c r="D91" s="851"/>
      <c r="E91" s="851"/>
      <c r="F91" s="851"/>
      <c r="G91" s="851"/>
      <c r="H91" s="851"/>
      <c r="I91" s="851"/>
      <c r="J91" s="851"/>
      <c r="K91" s="851"/>
      <c r="L91" s="851"/>
      <c r="M91" s="851"/>
      <c r="N91" s="851"/>
      <c r="O91" s="851"/>
      <c r="P91" s="851"/>
      <c r="Q91" s="851"/>
      <c r="R91" s="851"/>
      <c r="S91" s="851"/>
      <c r="T91" s="851"/>
      <c r="U91" s="851"/>
      <c r="V91" s="851"/>
      <c r="W91" s="851"/>
      <c r="X91" s="851"/>
      <c r="Y91" s="851"/>
      <c r="Z91" s="851"/>
      <c r="AA91" s="851"/>
      <c r="AB91" s="851"/>
      <c r="AC91" s="851"/>
      <c r="AD91" s="851"/>
    </row>
    <row r="92" spans="1:37" ht="15" customHeight="1">
      <c r="A92" s="49"/>
      <c r="B92" s="794" t="str">
        <f>IF(AG89&gt;0,"Favor de ingresar toda la información requerida en la pregunta y/o verifique que no tenga información en celdas sombreadas","")</f>
        <v/>
      </c>
      <c r="C92" s="794"/>
      <c r="D92" s="794"/>
      <c r="E92" s="794"/>
      <c r="F92" s="794"/>
      <c r="G92" s="794"/>
      <c r="H92" s="794"/>
      <c r="I92" s="794"/>
      <c r="J92" s="794"/>
      <c r="K92" s="794"/>
      <c r="L92" s="794"/>
      <c r="M92" s="794"/>
      <c r="N92" s="794"/>
      <c r="O92" s="794"/>
      <c r="P92" s="794"/>
      <c r="Q92" s="794"/>
      <c r="R92" s="794"/>
      <c r="S92" s="794"/>
      <c r="T92" s="794"/>
      <c r="U92" s="794"/>
      <c r="V92" s="794"/>
      <c r="W92" s="794"/>
      <c r="X92" s="794"/>
      <c r="Y92" s="794"/>
      <c r="Z92" s="794"/>
      <c r="AA92" s="794"/>
      <c r="AB92" s="794"/>
      <c r="AC92" s="794"/>
      <c r="AD92" s="794"/>
      <c r="AE92"/>
    </row>
    <row r="93" spans="1:37" ht="15" customHeight="1">
      <c r="A93" s="49"/>
      <c r="B93" s="795" t="str">
        <f>IF(AH89&gt;0,"Alerta: debido a que cuenta con registros NS, debe proporcionar una justificación en el area de comentarios al final de la pregunta","")</f>
        <v/>
      </c>
      <c r="C93" s="795"/>
      <c r="D93" s="795"/>
      <c r="E93" s="795"/>
      <c r="F93" s="795"/>
      <c r="G93" s="795"/>
      <c r="H93" s="795"/>
      <c r="I93" s="795"/>
      <c r="J93" s="795"/>
      <c r="K93" s="795"/>
      <c r="L93" s="795"/>
      <c r="M93" s="795"/>
      <c r="N93" s="795"/>
      <c r="O93" s="795"/>
      <c r="P93" s="795"/>
      <c r="Q93" s="795"/>
      <c r="R93" s="795"/>
      <c r="S93" s="795"/>
      <c r="T93" s="795"/>
      <c r="U93" s="795"/>
      <c r="V93" s="795"/>
      <c r="W93" s="795"/>
      <c r="X93" s="795"/>
      <c r="Y93" s="795"/>
      <c r="Z93" s="795"/>
      <c r="AA93" s="795"/>
      <c r="AB93" s="795"/>
      <c r="AC93" s="795"/>
      <c r="AD93" s="795"/>
      <c r="AE93"/>
    </row>
    <row r="94" spans="1:37" ht="15" customHeight="1">
      <c r="A94" s="49"/>
      <c r="B94" s="794" t="str">
        <f>IF(AJ89&gt;0,"No puede registrar más de 5 certificaciones o acreditaciones por cada centro penitenciario","")</f>
        <v/>
      </c>
      <c r="C94" s="794"/>
      <c r="D94" s="794"/>
      <c r="E94" s="794"/>
      <c r="F94" s="794"/>
      <c r="G94" s="794"/>
      <c r="H94" s="794"/>
      <c r="I94" s="794"/>
      <c r="J94" s="794"/>
      <c r="K94" s="794"/>
      <c r="L94" s="794"/>
      <c r="M94" s="794"/>
      <c r="N94" s="794"/>
      <c r="O94" s="794"/>
      <c r="P94" s="794"/>
      <c r="Q94" s="794"/>
      <c r="R94" s="794"/>
      <c r="S94" s="794"/>
      <c r="T94" s="794"/>
      <c r="U94" s="794"/>
      <c r="V94" s="794"/>
      <c r="W94" s="794"/>
      <c r="X94" s="794"/>
      <c r="Y94" s="794"/>
      <c r="Z94" s="794"/>
      <c r="AA94" s="794"/>
      <c r="AB94" s="794"/>
      <c r="AC94" s="794"/>
      <c r="AD94" s="794"/>
      <c r="AE94"/>
    </row>
    <row r="95" spans="1:37" ht="15" customHeight="1">
      <c r="A95" s="49"/>
      <c r="B95" s="794" t="str">
        <f>IF(AK89&gt;0,"No puede ingresar cero en la col. Certificaciones debido a que registró el código 1 en la col. ¿Contaba con alguna certificación...?","")</f>
        <v/>
      </c>
      <c r="C95" s="794"/>
      <c r="D95" s="794"/>
      <c r="E95" s="794"/>
      <c r="F95" s="794"/>
      <c r="G95" s="794"/>
      <c r="H95" s="794"/>
      <c r="I95" s="794"/>
      <c r="J95" s="794"/>
      <c r="K95" s="794"/>
      <c r="L95" s="794"/>
      <c r="M95" s="794"/>
      <c r="N95" s="794"/>
      <c r="O95" s="794"/>
      <c r="P95" s="794"/>
      <c r="Q95" s="794"/>
      <c r="R95" s="794"/>
      <c r="S95" s="794"/>
      <c r="T95" s="794"/>
      <c r="U95" s="794"/>
      <c r="V95" s="794"/>
      <c r="W95" s="794"/>
      <c r="X95" s="794"/>
      <c r="Y95" s="794"/>
      <c r="Z95" s="794"/>
      <c r="AA95" s="794"/>
      <c r="AB95" s="794"/>
      <c r="AC95" s="794"/>
      <c r="AD95" s="794"/>
      <c r="AE95" s="794"/>
    </row>
    <row r="96" spans="1:37" ht="15" customHeight="1">
      <c r="A96" s="49"/>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row>
    <row r="97" spans="1:45" ht="15" customHeight="1">
      <c r="A97" s="49"/>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row>
    <row r="98" spans="1:45" ht="24" customHeight="1">
      <c r="A98" s="49" t="s">
        <v>2623</v>
      </c>
      <c r="B98" s="829" t="s">
        <v>2624</v>
      </c>
      <c r="C98" s="829"/>
      <c r="D98" s="829"/>
      <c r="E98" s="829"/>
      <c r="F98" s="829"/>
      <c r="G98" s="829"/>
      <c r="H98" s="829"/>
      <c r="I98" s="829"/>
      <c r="J98" s="829"/>
      <c r="K98" s="829"/>
      <c r="L98" s="829"/>
      <c r="M98" s="829"/>
      <c r="N98" s="829"/>
      <c r="O98" s="829"/>
      <c r="P98" s="829"/>
      <c r="Q98" s="829"/>
      <c r="R98" s="829"/>
      <c r="S98" s="829"/>
      <c r="T98" s="829"/>
      <c r="U98" s="829"/>
      <c r="V98" s="829"/>
      <c r="W98" s="829"/>
      <c r="X98" s="829"/>
      <c r="Y98" s="829"/>
      <c r="Z98" s="829"/>
      <c r="AA98" s="829"/>
      <c r="AB98" s="829"/>
      <c r="AC98" s="829"/>
      <c r="AD98" s="829"/>
    </row>
    <row r="99" spans="1:45" ht="15" customHeight="1">
      <c r="A99" s="103"/>
      <c r="B99" s="57"/>
      <c r="C99" s="881" t="s">
        <v>2625</v>
      </c>
      <c r="D99" s="881"/>
      <c r="E99" s="881"/>
      <c r="F99" s="881"/>
      <c r="G99" s="881"/>
      <c r="H99" s="881"/>
      <c r="I99" s="881"/>
      <c r="J99" s="881"/>
      <c r="K99" s="881"/>
      <c r="L99" s="881"/>
      <c r="M99" s="881"/>
      <c r="N99" s="881"/>
      <c r="O99" s="881"/>
      <c r="P99" s="881"/>
      <c r="Q99" s="881"/>
      <c r="R99" s="881"/>
      <c r="S99" s="881"/>
      <c r="T99" s="881"/>
      <c r="U99" s="881"/>
      <c r="V99" s="881"/>
      <c r="W99" s="881"/>
      <c r="X99" s="881"/>
      <c r="Y99" s="881"/>
      <c r="Z99" s="881"/>
      <c r="AA99" s="881"/>
      <c r="AB99" s="881"/>
      <c r="AC99" s="881"/>
      <c r="AD99" s="881"/>
    </row>
    <row r="100" spans="1:45" ht="24" customHeight="1">
      <c r="A100" s="49"/>
      <c r="B100" s="57"/>
      <c r="C100" s="830" t="s">
        <v>2626</v>
      </c>
      <c r="D100" s="830"/>
      <c r="E100" s="830"/>
      <c r="F100" s="830"/>
      <c r="G100" s="830"/>
      <c r="H100" s="830"/>
      <c r="I100" s="830"/>
      <c r="J100" s="830"/>
      <c r="K100" s="830"/>
      <c r="L100" s="830"/>
      <c r="M100" s="830"/>
      <c r="N100" s="830"/>
      <c r="O100" s="830"/>
      <c r="P100" s="830"/>
      <c r="Q100" s="830"/>
      <c r="R100" s="830"/>
      <c r="S100" s="830"/>
      <c r="T100" s="830"/>
      <c r="U100" s="830"/>
      <c r="V100" s="830"/>
      <c r="W100" s="830"/>
      <c r="X100" s="830"/>
      <c r="Y100" s="830"/>
      <c r="Z100" s="830"/>
      <c r="AA100" s="830"/>
      <c r="AB100" s="830"/>
      <c r="AC100" s="830"/>
      <c r="AD100" s="830"/>
    </row>
    <row r="101" spans="1:45" ht="15" customHeight="1">
      <c r="A101" s="49"/>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row>
    <row r="102" spans="1:45" ht="24" customHeight="1">
      <c r="A102" s="49"/>
      <c r="B102" s="38"/>
      <c r="C102" s="797" t="s">
        <v>2581</v>
      </c>
      <c r="D102" s="798"/>
      <c r="E102" s="798"/>
      <c r="F102" s="798"/>
      <c r="G102" s="798"/>
      <c r="H102" s="798"/>
      <c r="I102" s="798"/>
      <c r="J102" s="798"/>
      <c r="K102" s="798"/>
      <c r="L102" s="798"/>
      <c r="M102" s="798"/>
      <c r="N102" s="799"/>
      <c r="O102" s="739" t="s">
        <v>2627</v>
      </c>
      <c r="P102" s="740"/>
      <c r="Q102" s="740"/>
      <c r="R102" s="740"/>
      <c r="S102" s="740"/>
      <c r="T102" s="740"/>
      <c r="U102" s="740"/>
      <c r="V102" s="740"/>
      <c r="W102" s="740"/>
      <c r="X102" s="740"/>
      <c r="Y102" s="740"/>
      <c r="Z102" s="740"/>
      <c r="AA102" s="740"/>
      <c r="AB102" s="740"/>
      <c r="AC102" s="740"/>
      <c r="AD102" s="741"/>
    </row>
    <row r="103" spans="1:45" ht="84" customHeight="1">
      <c r="A103" s="49"/>
      <c r="B103" s="38"/>
      <c r="C103" s="800"/>
      <c r="D103" s="801"/>
      <c r="E103" s="801"/>
      <c r="F103" s="801"/>
      <c r="G103" s="801"/>
      <c r="H103" s="801"/>
      <c r="I103" s="801"/>
      <c r="J103" s="801"/>
      <c r="K103" s="801"/>
      <c r="L103" s="801"/>
      <c r="M103" s="801"/>
      <c r="N103" s="802"/>
      <c r="O103" s="887" t="s">
        <v>2628</v>
      </c>
      <c r="P103" s="889" t="s">
        <v>2629</v>
      </c>
      <c r="Q103" s="889" t="s">
        <v>2630</v>
      </c>
      <c r="R103" s="889" t="s">
        <v>2631</v>
      </c>
      <c r="S103" s="733" t="s">
        <v>2632</v>
      </c>
      <c r="T103" s="734"/>
      <c r="U103" s="734"/>
      <c r="V103" s="735"/>
      <c r="W103" s="733" t="s">
        <v>2633</v>
      </c>
      <c r="X103" s="734"/>
      <c r="Y103" s="734"/>
      <c r="Z103" s="735"/>
      <c r="AA103" s="733" t="s">
        <v>2634</v>
      </c>
      <c r="AB103" s="734"/>
      <c r="AC103" s="734"/>
      <c r="AD103" s="735"/>
    </row>
    <row r="104" spans="1:45" ht="72" customHeight="1">
      <c r="A104" s="49"/>
      <c r="B104" s="38"/>
      <c r="C104" s="803"/>
      <c r="D104" s="804"/>
      <c r="E104" s="804"/>
      <c r="F104" s="804"/>
      <c r="G104" s="804"/>
      <c r="H104" s="804"/>
      <c r="I104" s="804"/>
      <c r="J104" s="804"/>
      <c r="K104" s="804"/>
      <c r="L104" s="804"/>
      <c r="M104" s="804"/>
      <c r="N104" s="805"/>
      <c r="O104" s="888"/>
      <c r="P104" s="890"/>
      <c r="Q104" s="890"/>
      <c r="R104" s="890"/>
      <c r="S104" s="127" t="s">
        <v>2635</v>
      </c>
      <c r="T104" s="128" t="s">
        <v>2629</v>
      </c>
      <c r="U104" s="128" t="s">
        <v>2630</v>
      </c>
      <c r="V104" s="128" t="s">
        <v>2636</v>
      </c>
      <c r="W104" s="127" t="s">
        <v>2635</v>
      </c>
      <c r="X104" s="128" t="s">
        <v>2629</v>
      </c>
      <c r="Y104" s="128" t="s">
        <v>2630</v>
      </c>
      <c r="Z104" s="128" t="s">
        <v>2636</v>
      </c>
      <c r="AA104" s="127" t="s">
        <v>2635</v>
      </c>
      <c r="AB104" s="128" t="s">
        <v>2629</v>
      </c>
      <c r="AC104" s="128" t="s">
        <v>2630</v>
      </c>
      <c r="AD104" s="128" t="s">
        <v>2636</v>
      </c>
      <c r="AG104" s="247" t="s">
        <v>2586</v>
      </c>
      <c r="AH104" s="263" t="s">
        <v>2637</v>
      </c>
      <c r="AI104" s="264" t="s">
        <v>2638</v>
      </c>
      <c r="AJ104" s="265" t="s">
        <v>2639</v>
      </c>
      <c r="AK104" s="263" t="s">
        <v>2640</v>
      </c>
      <c r="AL104" s="264" t="s">
        <v>2641</v>
      </c>
      <c r="AM104" s="265" t="s">
        <v>2642</v>
      </c>
      <c r="AN104" s="263" t="s">
        <v>2643</v>
      </c>
      <c r="AO104" s="264" t="s">
        <v>2644</v>
      </c>
      <c r="AP104" s="265" t="s">
        <v>2645</v>
      </c>
      <c r="AQ104" s="263" t="s">
        <v>2646</v>
      </c>
      <c r="AR104" s="264" t="s">
        <v>2647</v>
      </c>
      <c r="AS104" s="265" t="s">
        <v>2648</v>
      </c>
    </row>
    <row r="105" spans="1:45" ht="15" customHeight="1">
      <c r="A105" s="49"/>
      <c r="B105" s="38"/>
      <c r="C105" s="97" t="s">
        <v>2516</v>
      </c>
      <c r="D105" s="813" t="str">
        <f>IF(CNSIPEE_2024_M2_Secc1!D42="","",CNSIPEE_2024_M2_Secc1!D42)</f>
        <v/>
      </c>
      <c r="E105" s="814"/>
      <c r="F105" s="814"/>
      <c r="G105" s="814"/>
      <c r="H105" s="814"/>
      <c r="I105" s="814"/>
      <c r="J105" s="814"/>
      <c r="K105" s="814"/>
      <c r="L105" s="814"/>
      <c r="M105" s="814"/>
      <c r="N105" s="815"/>
      <c r="O105" s="100"/>
      <c r="P105" s="100"/>
      <c r="Q105" s="100"/>
      <c r="R105" s="100"/>
      <c r="S105" s="100"/>
      <c r="T105" s="100"/>
      <c r="U105" s="100"/>
      <c r="V105" s="100"/>
      <c r="W105" s="100"/>
      <c r="X105" s="100"/>
      <c r="Y105" s="100"/>
      <c r="Z105" s="100"/>
      <c r="AA105" s="100"/>
      <c r="AB105" s="100"/>
      <c r="AC105" s="100"/>
      <c r="AD105" s="100"/>
      <c r="AG105" s="249">
        <f>IF(AND(COUNTBLANK(D105)=0,COUNTA(O105:AD105)=16),0,IF(AND(COUNTBLANK(D105)=1,COUNTA(O105:AD105)=0),0,1))</f>
        <v>0</v>
      </c>
      <c r="AH105" s="249">
        <f>COUNTIF(P105:R105,"NS")</f>
        <v>0</v>
      </c>
      <c r="AI105" s="249">
        <f>SUM(P105:R105)</f>
        <v>0</v>
      </c>
      <c r="AJ105" s="249">
        <f>IF(COUNTIF(O105:R105,"NA")=4,0,IF(COUNTA(O105:R105)=0,0,IF(OR(AND(O105=0,AH105&gt;0),AND(O105="ns",AI105&gt;0),AND(O105="ns",AH105=0,AI105=0)),1,IF(OR(AND(O105&gt;0,AH105=2),AND(O105="ns",AH105=2),AND(O105="ns",AI105=0,AH105&gt;0),O105=AI105),0,1))))</f>
        <v>0</v>
      </c>
      <c r="AK105" s="249">
        <f>COUNTIF(T105:V105,"NS")</f>
        <v>0</v>
      </c>
      <c r="AL105" s="249">
        <f>SUM(T105:V105)</f>
        <v>0</v>
      </c>
      <c r="AM105" s="249">
        <f>IF(COUNTIF(S105:V105,"NA")=4,0,IF(COUNTA(S105:V105)=0,0,IF(OR(AND(S105=0,AK105&gt;0),AND(S105="ns",AL105&gt;0),AND(S105="ns",AK105=0,AL105=0)),1,IF(OR(AND(S105&gt;0,AK105=2),AND(S105="ns",AK105=2),AND(S105="ns",AL105=0,AK105&gt;0),S105=AL105),0,1))))</f>
        <v>0</v>
      </c>
      <c r="AN105" s="249">
        <f>COUNTIF(X105:Z105,"NS")</f>
        <v>0</v>
      </c>
      <c r="AO105" s="249">
        <f>SUM(X105:Z105)</f>
        <v>0</v>
      </c>
      <c r="AP105" s="249">
        <f>IF(COUNTIF(W105:Z105,"NA")=4,0,IF(COUNTA(W105:Z105)=0,0,IF(OR(AND(W105=0,AN105&gt;0),AND(W105="ns",AO105&gt;0),AND(W105="ns",AN105=0,AO105=0)),1,IF(OR(AND(W105&gt;0,AN105=2),AND(W105="ns",AN105=2),AND(W105="ns",AO105=0,AN105&gt;0),W105=AO105),0,1))))</f>
        <v>0</v>
      </c>
      <c r="AQ105" s="249">
        <f>COUNTIF(AB105:AD105,"NS")</f>
        <v>0</v>
      </c>
      <c r="AR105" s="249">
        <f>SUM(AB105:AD105)</f>
        <v>0</v>
      </c>
      <c r="AS105" s="249">
        <f>IF(COUNTIF(AA105:AD105,"NA")=4,0,IF(COUNTA(AA105:AD105)=0,0,IF(OR(AND(AA105=0,AQ105&gt;0),AND(AA105="ns",AR105&gt;0),AND(AA105="ns",AQ105=0,AR105=0)),1,IF(OR(AND(AA105&gt;0,AQ105=2),AND(AA105="ns",AQ105=2),AND(AA105="ns",AR105=0,AQ105&gt;0),AA105=AR105),0,1))))</f>
        <v>0</v>
      </c>
    </row>
    <row r="106" spans="1:45">
      <c r="A106" s="49"/>
      <c r="B106" s="38"/>
      <c r="C106" s="143" t="s">
        <v>2517</v>
      </c>
      <c r="D106" s="813" t="str">
        <f>IF(CNSIPEE_2024_M2_Secc1!D43="","",CNSIPEE_2024_M2_Secc1!D43)</f>
        <v/>
      </c>
      <c r="E106" s="814"/>
      <c r="F106" s="814"/>
      <c r="G106" s="814"/>
      <c r="H106" s="814"/>
      <c r="I106" s="814"/>
      <c r="J106" s="814"/>
      <c r="K106" s="814"/>
      <c r="L106" s="814"/>
      <c r="M106" s="814"/>
      <c r="N106" s="815"/>
      <c r="O106" s="100"/>
      <c r="P106" s="100"/>
      <c r="Q106" s="100"/>
      <c r="R106" s="100"/>
      <c r="S106" s="100"/>
      <c r="T106" s="100"/>
      <c r="U106" s="100"/>
      <c r="V106" s="100"/>
      <c r="W106" s="100"/>
      <c r="X106" s="100"/>
      <c r="Y106" s="100"/>
      <c r="Z106" s="100"/>
      <c r="AA106" s="100"/>
      <c r="AB106" s="100"/>
      <c r="AC106" s="100"/>
      <c r="AD106" s="100"/>
      <c r="AG106" s="249">
        <f t="shared" ref="AG106:AG112" si="14">IF(AND(COUNTBLANK(D106)=0,COUNTA(O106:AD106)=16),0,IF(AND(COUNTBLANK(D106)=1,COUNTA(O106:AD106)=0),0,1))</f>
        <v>0</v>
      </c>
      <c r="AH106" s="249">
        <f t="shared" ref="AH106:AH112" si="15">COUNTIF(P106:R106,"NS")</f>
        <v>0</v>
      </c>
      <c r="AI106" s="249">
        <f t="shared" ref="AI106:AI112" si="16">SUM(P106:R106)</f>
        <v>0</v>
      </c>
      <c r="AJ106" s="249">
        <f t="shared" ref="AJ106:AJ112" si="17">IF(COUNTIF(O106:R106,"NA")=4,0,IF(COUNTA(O106:R106)=0,0,IF(OR(AND(O106=0,AH106&gt;0),AND(O106="ns",AI106&gt;0),AND(O106="ns",AH106=0,AI106=0)),1,IF(OR(AND(O106&gt;0,AH106=2),AND(O106="ns",AH106=2),AND(O106="ns",AI106=0,AH106&gt;0),O106=AI106),0,1))))</f>
        <v>0</v>
      </c>
      <c r="AK106" s="249">
        <f t="shared" ref="AK106:AK112" si="18">COUNTIF(T106:V106,"NS")</f>
        <v>0</v>
      </c>
      <c r="AL106" s="249">
        <f t="shared" ref="AL106:AL112" si="19">SUM(T106:V106)</f>
        <v>0</v>
      </c>
      <c r="AM106" s="249">
        <f t="shared" ref="AM106:AM112" si="20">IF(COUNTIF(S106:V106,"NA")=4,0,IF(COUNTA(S106:V106)=0,0,IF(OR(AND(S106=0,AK106&gt;0),AND(S106="ns",AL106&gt;0),AND(S106="ns",AK106=0,AL106=0)),1,IF(OR(AND(S106&gt;0,AK106=2),AND(S106="ns",AK106=2),AND(S106="ns",AL106=0,AK106&gt;0),S106=AL106),0,1))))</f>
        <v>0</v>
      </c>
      <c r="AN106" s="249">
        <f t="shared" ref="AN106:AN112" si="21">COUNTIF(X106:Z106,"NS")</f>
        <v>0</v>
      </c>
      <c r="AO106" s="249">
        <f t="shared" ref="AO106:AO112" si="22">SUM(X106:Z106)</f>
        <v>0</v>
      </c>
      <c r="AP106" s="249">
        <f t="shared" ref="AP106:AP112" si="23">IF(COUNTIF(W106:Z106,"NA")=4,0,IF(COUNTA(W106:Z106)=0,0,IF(OR(AND(W106=0,AN106&gt;0),AND(W106="ns",AO106&gt;0),AND(W106="ns",AN106=0,AO106=0)),1,IF(OR(AND(W106&gt;0,AN106=2),AND(W106="ns",AN106=2),AND(W106="ns",AO106=0,AN106&gt;0),W106=AO106),0,1))))</f>
        <v>0</v>
      </c>
      <c r="AQ106" s="249">
        <f t="shared" ref="AQ106:AQ112" si="24">COUNTIF(AB106:AD106,"NS")</f>
        <v>0</v>
      </c>
      <c r="AR106" s="249">
        <f t="shared" ref="AR106:AR112" si="25">SUM(AB106:AD106)</f>
        <v>0</v>
      </c>
      <c r="AS106" s="249">
        <f t="shared" ref="AS106:AS112" si="26">IF(COUNTIF(AA106:AD106,"NA")=4,0,IF(COUNTA(AA106:AD106)=0,0,IF(OR(AND(AA106=0,AQ106&gt;0),AND(AA106="ns",AR106&gt;0),AND(AA106="ns",AQ106=0,AR106=0)),1,IF(OR(AND(AA106&gt;0,AQ106=2),AND(AA106="ns",AQ106=2),AND(AA106="ns",AR106=0,AQ106&gt;0),AA106=AR106),0,1))))</f>
        <v>0</v>
      </c>
    </row>
    <row r="107" spans="1:45">
      <c r="A107" s="49"/>
      <c r="B107" s="38"/>
      <c r="C107" s="143" t="s">
        <v>2518</v>
      </c>
      <c r="D107" s="813" t="str">
        <f>IF(CNSIPEE_2024_M2_Secc1!D44="","",CNSIPEE_2024_M2_Secc1!D44)</f>
        <v/>
      </c>
      <c r="E107" s="814"/>
      <c r="F107" s="814"/>
      <c r="G107" s="814"/>
      <c r="H107" s="814"/>
      <c r="I107" s="814"/>
      <c r="J107" s="814"/>
      <c r="K107" s="814"/>
      <c r="L107" s="814"/>
      <c r="M107" s="814"/>
      <c r="N107" s="815"/>
      <c r="O107" s="100"/>
      <c r="P107" s="100"/>
      <c r="Q107" s="100"/>
      <c r="R107" s="100"/>
      <c r="S107" s="100"/>
      <c r="T107" s="100"/>
      <c r="U107" s="100"/>
      <c r="V107" s="100"/>
      <c r="W107" s="100"/>
      <c r="X107" s="100"/>
      <c r="Y107" s="100"/>
      <c r="Z107" s="100"/>
      <c r="AA107" s="100"/>
      <c r="AB107" s="100"/>
      <c r="AC107" s="100"/>
      <c r="AD107" s="100"/>
      <c r="AG107" s="249">
        <f t="shared" si="14"/>
        <v>0</v>
      </c>
      <c r="AH107" s="249">
        <f t="shared" si="15"/>
        <v>0</v>
      </c>
      <c r="AI107" s="249">
        <f t="shared" si="16"/>
        <v>0</v>
      </c>
      <c r="AJ107" s="249">
        <f t="shared" si="17"/>
        <v>0</v>
      </c>
      <c r="AK107" s="249">
        <f t="shared" si="18"/>
        <v>0</v>
      </c>
      <c r="AL107" s="249">
        <f t="shared" si="19"/>
        <v>0</v>
      </c>
      <c r="AM107" s="249">
        <f t="shared" si="20"/>
        <v>0</v>
      </c>
      <c r="AN107" s="249">
        <f t="shared" si="21"/>
        <v>0</v>
      </c>
      <c r="AO107" s="249">
        <f t="shared" si="22"/>
        <v>0</v>
      </c>
      <c r="AP107" s="249">
        <f t="shared" si="23"/>
        <v>0</v>
      </c>
      <c r="AQ107" s="249">
        <f t="shared" si="24"/>
        <v>0</v>
      </c>
      <c r="AR107" s="249">
        <f t="shared" si="25"/>
        <v>0</v>
      </c>
      <c r="AS107" s="249">
        <f t="shared" si="26"/>
        <v>0</v>
      </c>
    </row>
    <row r="108" spans="1:45">
      <c r="A108" s="49"/>
      <c r="B108" s="38"/>
      <c r="C108" s="143" t="s">
        <v>2519</v>
      </c>
      <c r="D108" s="813" t="str">
        <f>IF(CNSIPEE_2024_M2_Secc1!D45="","",CNSIPEE_2024_M2_Secc1!D45)</f>
        <v/>
      </c>
      <c r="E108" s="814"/>
      <c r="F108" s="814"/>
      <c r="G108" s="814"/>
      <c r="H108" s="814"/>
      <c r="I108" s="814"/>
      <c r="J108" s="814"/>
      <c r="K108" s="814"/>
      <c r="L108" s="814"/>
      <c r="M108" s="814"/>
      <c r="N108" s="815"/>
      <c r="O108" s="100"/>
      <c r="P108" s="100"/>
      <c r="Q108" s="100"/>
      <c r="R108" s="100"/>
      <c r="S108" s="100"/>
      <c r="T108" s="100"/>
      <c r="U108" s="100"/>
      <c r="V108" s="100"/>
      <c r="W108" s="100"/>
      <c r="X108" s="100"/>
      <c r="Y108" s="100"/>
      <c r="Z108" s="100"/>
      <c r="AA108" s="100"/>
      <c r="AB108" s="100"/>
      <c r="AC108" s="100"/>
      <c r="AD108" s="100"/>
      <c r="AG108" s="249">
        <f t="shared" si="14"/>
        <v>0</v>
      </c>
      <c r="AH108" s="249">
        <f t="shared" si="15"/>
        <v>0</v>
      </c>
      <c r="AI108" s="249">
        <f t="shared" si="16"/>
        <v>0</v>
      </c>
      <c r="AJ108" s="249">
        <f t="shared" si="17"/>
        <v>0</v>
      </c>
      <c r="AK108" s="249">
        <f t="shared" si="18"/>
        <v>0</v>
      </c>
      <c r="AL108" s="249">
        <f t="shared" si="19"/>
        <v>0</v>
      </c>
      <c r="AM108" s="249">
        <f t="shared" si="20"/>
        <v>0</v>
      </c>
      <c r="AN108" s="249">
        <f t="shared" si="21"/>
        <v>0</v>
      </c>
      <c r="AO108" s="249">
        <f t="shared" si="22"/>
        <v>0</v>
      </c>
      <c r="AP108" s="249">
        <f t="shared" si="23"/>
        <v>0</v>
      </c>
      <c r="AQ108" s="249">
        <f t="shared" si="24"/>
        <v>0</v>
      </c>
      <c r="AR108" s="249">
        <f t="shared" si="25"/>
        <v>0</v>
      </c>
      <c r="AS108" s="249">
        <f t="shared" si="26"/>
        <v>0</v>
      </c>
    </row>
    <row r="109" spans="1:45">
      <c r="A109" s="49"/>
      <c r="B109" s="38"/>
      <c r="C109" s="143" t="s">
        <v>2520</v>
      </c>
      <c r="D109" s="813" t="str">
        <f>IF(CNSIPEE_2024_M2_Secc1!D46="","",CNSIPEE_2024_M2_Secc1!D46)</f>
        <v/>
      </c>
      <c r="E109" s="814"/>
      <c r="F109" s="814"/>
      <c r="G109" s="814"/>
      <c r="H109" s="814"/>
      <c r="I109" s="814"/>
      <c r="J109" s="814"/>
      <c r="K109" s="814"/>
      <c r="L109" s="814"/>
      <c r="M109" s="814"/>
      <c r="N109" s="815"/>
      <c r="O109" s="100"/>
      <c r="P109" s="100"/>
      <c r="Q109" s="100"/>
      <c r="R109" s="100"/>
      <c r="S109" s="100"/>
      <c r="T109" s="100"/>
      <c r="U109" s="100"/>
      <c r="V109" s="100"/>
      <c r="W109" s="100"/>
      <c r="X109" s="100"/>
      <c r="Y109" s="100"/>
      <c r="Z109" s="100"/>
      <c r="AA109" s="100"/>
      <c r="AB109" s="100"/>
      <c r="AC109" s="100"/>
      <c r="AD109" s="100"/>
      <c r="AG109" s="249">
        <f t="shared" si="14"/>
        <v>0</v>
      </c>
      <c r="AH109" s="249">
        <f t="shared" si="15"/>
        <v>0</v>
      </c>
      <c r="AI109" s="249">
        <f t="shared" si="16"/>
        <v>0</v>
      </c>
      <c r="AJ109" s="249">
        <f t="shared" si="17"/>
        <v>0</v>
      </c>
      <c r="AK109" s="249">
        <f t="shared" si="18"/>
        <v>0</v>
      </c>
      <c r="AL109" s="249">
        <f t="shared" si="19"/>
        <v>0</v>
      </c>
      <c r="AM109" s="249">
        <f t="shared" si="20"/>
        <v>0</v>
      </c>
      <c r="AN109" s="249">
        <f t="shared" si="21"/>
        <v>0</v>
      </c>
      <c r="AO109" s="249">
        <f t="shared" si="22"/>
        <v>0</v>
      </c>
      <c r="AP109" s="249">
        <f t="shared" si="23"/>
        <v>0</v>
      </c>
      <c r="AQ109" s="249">
        <f t="shared" si="24"/>
        <v>0</v>
      </c>
      <c r="AR109" s="249">
        <f t="shared" si="25"/>
        <v>0</v>
      </c>
      <c r="AS109" s="249">
        <f t="shared" si="26"/>
        <v>0</v>
      </c>
    </row>
    <row r="110" spans="1:45">
      <c r="A110" s="49"/>
      <c r="B110" s="38"/>
      <c r="C110" s="143" t="s">
        <v>2521</v>
      </c>
      <c r="D110" s="813" t="str">
        <f>IF(CNSIPEE_2024_M2_Secc1!D47="","",CNSIPEE_2024_M2_Secc1!D47)</f>
        <v/>
      </c>
      <c r="E110" s="814"/>
      <c r="F110" s="814"/>
      <c r="G110" s="814"/>
      <c r="H110" s="814"/>
      <c r="I110" s="814"/>
      <c r="J110" s="814"/>
      <c r="K110" s="814"/>
      <c r="L110" s="814"/>
      <c r="M110" s="814"/>
      <c r="N110" s="815"/>
      <c r="O110" s="100"/>
      <c r="P110" s="100"/>
      <c r="Q110" s="100"/>
      <c r="R110" s="100"/>
      <c r="S110" s="100"/>
      <c r="T110" s="100"/>
      <c r="U110" s="100"/>
      <c r="V110" s="100"/>
      <c r="W110" s="100"/>
      <c r="X110" s="100"/>
      <c r="Y110" s="100"/>
      <c r="Z110" s="100"/>
      <c r="AA110" s="100"/>
      <c r="AB110" s="100"/>
      <c r="AC110" s="100"/>
      <c r="AD110" s="100"/>
      <c r="AG110" s="249">
        <f t="shared" si="14"/>
        <v>0</v>
      </c>
      <c r="AH110" s="249">
        <f t="shared" si="15"/>
        <v>0</v>
      </c>
      <c r="AI110" s="249">
        <f t="shared" si="16"/>
        <v>0</v>
      </c>
      <c r="AJ110" s="249">
        <f t="shared" si="17"/>
        <v>0</v>
      </c>
      <c r="AK110" s="249">
        <f t="shared" si="18"/>
        <v>0</v>
      </c>
      <c r="AL110" s="249">
        <f t="shared" si="19"/>
        <v>0</v>
      </c>
      <c r="AM110" s="249">
        <f t="shared" si="20"/>
        <v>0</v>
      </c>
      <c r="AN110" s="249">
        <f t="shared" si="21"/>
        <v>0</v>
      </c>
      <c r="AO110" s="249">
        <f t="shared" si="22"/>
        <v>0</v>
      </c>
      <c r="AP110" s="249">
        <f t="shared" si="23"/>
        <v>0</v>
      </c>
      <c r="AQ110" s="249">
        <f t="shared" si="24"/>
        <v>0</v>
      </c>
      <c r="AR110" s="249">
        <f t="shared" si="25"/>
        <v>0</v>
      </c>
      <c r="AS110" s="249">
        <f t="shared" si="26"/>
        <v>0</v>
      </c>
    </row>
    <row r="111" spans="1:45">
      <c r="A111" s="49"/>
      <c r="B111" s="38"/>
      <c r="C111" s="143" t="s">
        <v>2522</v>
      </c>
      <c r="D111" s="813" t="str">
        <f>IF(CNSIPEE_2024_M2_Secc1!D48="","",CNSIPEE_2024_M2_Secc1!D48)</f>
        <v/>
      </c>
      <c r="E111" s="814"/>
      <c r="F111" s="814"/>
      <c r="G111" s="814"/>
      <c r="H111" s="814"/>
      <c r="I111" s="814"/>
      <c r="J111" s="814"/>
      <c r="K111" s="814"/>
      <c r="L111" s="814"/>
      <c r="M111" s="814"/>
      <c r="N111" s="815"/>
      <c r="O111" s="100"/>
      <c r="P111" s="100"/>
      <c r="Q111" s="100"/>
      <c r="R111" s="100"/>
      <c r="S111" s="100"/>
      <c r="T111" s="100"/>
      <c r="U111" s="100"/>
      <c r="V111" s="100"/>
      <c r="W111" s="100"/>
      <c r="X111" s="100"/>
      <c r="Y111" s="100"/>
      <c r="Z111" s="100"/>
      <c r="AA111" s="100"/>
      <c r="AB111" s="100"/>
      <c r="AC111" s="100"/>
      <c r="AD111" s="100"/>
      <c r="AG111" s="249">
        <f t="shared" si="14"/>
        <v>0</v>
      </c>
      <c r="AH111" s="249">
        <f t="shared" si="15"/>
        <v>0</v>
      </c>
      <c r="AI111" s="249">
        <f t="shared" si="16"/>
        <v>0</v>
      </c>
      <c r="AJ111" s="249">
        <f t="shared" si="17"/>
        <v>0</v>
      </c>
      <c r="AK111" s="249">
        <f t="shared" si="18"/>
        <v>0</v>
      </c>
      <c r="AL111" s="249">
        <f t="shared" si="19"/>
        <v>0</v>
      </c>
      <c r="AM111" s="249">
        <f t="shared" si="20"/>
        <v>0</v>
      </c>
      <c r="AN111" s="249">
        <f t="shared" si="21"/>
        <v>0</v>
      </c>
      <c r="AO111" s="249">
        <f t="shared" si="22"/>
        <v>0</v>
      </c>
      <c r="AP111" s="249">
        <f t="shared" si="23"/>
        <v>0</v>
      </c>
      <c r="AQ111" s="249">
        <f t="shared" si="24"/>
        <v>0</v>
      </c>
      <c r="AR111" s="249">
        <f t="shared" si="25"/>
        <v>0</v>
      </c>
      <c r="AS111" s="249">
        <f t="shared" si="26"/>
        <v>0</v>
      </c>
    </row>
    <row r="112" spans="1:45">
      <c r="A112" s="49"/>
      <c r="B112" s="38"/>
      <c r="C112" s="143" t="s">
        <v>2523</v>
      </c>
      <c r="D112" s="813" t="str">
        <f>IF(CNSIPEE_2024_M2_Secc1!D49="","",CNSIPEE_2024_M2_Secc1!D49)</f>
        <v/>
      </c>
      <c r="E112" s="814"/>
      <c r="F112" s="814"/>
      <c r="G112" s="814"/>
      <c r="H112" s="814"/>
      <c r="I112" s="814"/>
      <c r="J112" s="814"/>
      <c r="K112" s="814"/>
      <c r="L112" s="814"/>
      <c r="M112" s="814"/>
      <c r="N112" s="815"/>
      <c r="O112" s="100"/>
      <c r="P112" s="100"/>
      <c r="Q112" s="100"/>
      <c r="R112" s="100"/>
      <c r="S112" s="100"/>
      <c r="T112" s="100"/>
      <c r="U112" s="100"/>
      <c r="V112" s="100"/>
      <c r="W112" s="100"/>
      <c r="X112" s="100"/>
      <c r="Y112" s="100"/>
      <c r="Z112" s="100"/>
      <c r="AA112" s="100"/>
      <c r="AB112" s="100"/>
      <c r="AC112" s="100"/>
      <c r="AD112" s="100"/>
      <c r="AG112" s="249">
        <f t="shared" si="14"/>
        <v>0</v>
      </c>
      <c r="AH112" s="249">
        <f t="shared" si="15"/>
        <v>0</v>
      </c>
      <c r="AI112" s="249">
        <f t="shared" si="16"/>
        <v>0</v>
      </c>
      <c r="AJ112" s="249">
        <f t="shared" si="17"/>
        <v>0</v>
      </c>
      <c r="AK112" s="249">
        <f t="shared" si="18"/>
        <v>0</v>
      </c>
      <c r="AL112" s="249">
        <f t="shared" si="19"/>
        <v>0</v>
      </c>
      <c r="AM112" s="249">
        <f t="shared" si="20"/>
        <v>0</v>
      </c>
      <c r="AN112" s="249">
        <f t="shared" si="21"/>
        <v>0</v>
      </c>
      <c r="AO112" s="249">
        <f t="shared" si="22"/>
        <v>0</v>
      </c>
      <c r="AP112" s="249">
        <f t="shared" si="23"/>
        <v>0</v>
      </c>
      <c r="AQ112" s="249">
        <f t="shared" si="24"/>
        <v>0</v>
      </c>
      <c r="AR112" s="249">
        <f t="shared" si="25"/>
        <v>0</v>
      </c>
      <c r="AS112" s="249">
        <f t="shared" si="26"/>
        <v>0</v>
      </c>
    </row>
    <row r="113" spans="1:45">
      <c r="A113" s="49"/>
      <c r="B113" s="38"/>
      <c r="C113" s="38"/>
      <c r="D113" s="38"/>
      <c r="E113" s="38"/>
      <c r="F113" s="38"/>
      <c r="G113" s="38"/>
      <c r="H113" s="38"/>
      <c r="I113" s="38"/>
      <c r="K113" s="38"/>
      <c r="L113" s="38"/>
      <c r="M113" s="38"/>
      <c r="N113" s="99" t="s">
        <v>2649</v>
      </c>
      <c r="O113" s="124">
        <f>IF(AND(SUM(O105:O112)=0,COUNTIF(O105:O112,"NS")&gt;0),"NS",
IF(AND(SUM(O105:O112)=0,COUNTIF(O105:O112,0)&gt;0),0,
IF(AND(SUM(O105:O112)=0,COUNTIF(O105:O112,"NA")&gt;0),"NA",
SUM(O105:O112))))</f>
        <v>0</v>
      </c>
      <c r="P113" s="124">
        <f>IF(AND(SUM(P105:P112)=0,COUNTIF(P105:P112,"NS")&gt;0),"NS",
IF(AND(SUM(P105:P112)=0,COUNTIF(P105:P112,0)&gt;0),0,
IF(AND(SUM(P105:P112)=0,COUNTIF(P105:P112,"NA")&gt;0),"NA",
SUM(P105:P112))))</f>
        <v>0</v>
      </c>
      <c r="Q113" s="124">
        <f t="shared" ref="Q113:AD113" si="27">IF(AND(SUM(Q105:Q112)=0,COUNTIF(Q105:Q112,"NS")&gt;0),"NS",
IF(AND(SUM(Q105:Q112)=0,COUNTIF(Q105:Q112,0)&gt;0),0,
IF(AND(SUM(Q105:Q112)=0,COUNTIF(Q105:Q112,"NA")&gt;0),"NA",
SUM(Q105:Q112))))</f>
        <v>0</v>
      </c>
      <c r="R113" s="124">
        <f t="shared" si="27"/>
        <v>0</v>
      </c>
      <c r="S113" s="124">
        <f t="shared" si="27"/>
        <v>0</v>
      </c>
      <c r="T113" s="124">
        <f t="shared" si="27"/>
        <v>0</v>
      </c>
      <c r="U113" s="124">
        <f t="shared" si="27"/>
        <v>0</v>
      </c>
      <c r="V113" s="124">
        <f t="shared" si="27"/>
        <v>0</v>
      </c>
      <c r="W113" s="124">
        <f t="shared" si="27"/>
        <v>0</v>
      </c>
      <c r="X113" s="124">
        <f t="shared" si="27"/>
        <v>0</v>
      </c>
      <c r="Y113" s="124">
        <f t="shared" si="27"/>
        <v>0</v>
      </c>
      <c r="Z113" s="124">
        <f t="shared" si="27"/>
        <v>0</v>
      </c>
      <c r="AA113" s="124">
        <f t="shared" si="27"/>
        <v>0</v>
      </c>
      <c r="AB113" s="124">
        <f t="shared" si="27"/>
        <v>0</v>
      </c>
      <c r="AC113" s="124">
        <f t="shared" si="27"/>
        <v>0</v>
      </c>
      <c r="AD113" s="124">
        <f t="shared" si="27"/>
        <v>0</v>
      </c>
      <c r="AG113" s="247">
        <f>SUM(AG105:AG112)</f>
        <v>0</v>
      </c>
      <c r="AH113" s="263">
        <f>SUM(AH105:AH112)</f>
        <v>0</v>
      </c>
      <c r="AI113" s="249"/>
      <c r="AJ113" s="265">
        <f>SUM(AJ105:AJ112)</f>
        <v>0</v>
      </c>
      <c r="AK113" s="263">
        <f t="shared" ref="AK113" si="28">SUM(AK105:AK112)</f>
        <v>0</v>
      </c>
      <c r="AL113" s="249"/>
      <c r="AM113" s="265">
        <f t="shared" ref="AM113:AN113" si="29">SUM(AM105:AM112)</f>
        <v>0</v>
      </c>
      <c r="AN113" s="263">
        <f t="shared" si="29"/>
        <v>0</v>
      </c>
      <c r="AO113" s="249"/>
      <c r="AP113" s="265">
        <f t="shared" ref="AP113:AQ113" si="30">SUM(AP105:AP112)</f>
        <v>0</v>
      </c>
      <c r="AQ113" s="263">
        <f t="shared" si="30"/>
        <v>0</v>
      </c>
      <c r="AR113" s="249"/>
      <c r="AS113" s="265">
        <f t="shared" ref="AS113" si="31">SUM(AS105:AS112)</f>
        <v>0</v>
      </c>
    </row>
    <row r="114" spans="1:45" ht="15" customHeight="1">
      <c r="A114" s="49"/>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row>
    <row r="115" spans="1:45" ht="24" customHeight="1">
      <c r="A115" s="49"/>
      <c r="B115" s="38"/>
      <c r="C115" s="754" t="s">
        <v>2611</v>
      </c>
      <c r="D115" s="754"/>
      <c r="E115" s="754"/>
      <c r="F115" s="754"/>
      <c r="G115" s="754"/>
      <c r="H115" s="754"/>
      <c r="I115" s="754"/>
      <c r="J115" s="754"/>
      <c r="K115" s="754"/>
      <c r="L115" s="754"/>
      <c r="M115" s="754"/>
      <c r="N115" s="754"/>
      <c r="O115" s="754"/>
      <c r="P115" s="754"/>
      <c r="Q115" s="754"/>
      <c r="R115" s="754"/>
      <c r="S115" s="754"/>
      <c r="T115" s="754"/>
      <c r="U115" s="754"/>
      <c r="V115" s="754"/>
      <c r="W115" s="754"/>
      <c r="X115" s="754"/>
      <c r="Y115" s="754"/>
      <c r="Z115" s="754"/>
      <c r="AA115" s="754"/>
      <c r="AB115" s="754"/>
      <c r="AC115" s="754"/>
      <c r="AD115" s="754"/>
      <c r="AJ115" s="266" t="s">
        <v>2650</v>
      </c>
      <c r="AK115" s="249">
        <f>SUM(AJ113,AM113,AP113,AS113)</f>
        <v>0</v>
      </c>
      <c r="AL115" s="266" t="s">
        <v>2651</v>
      </c>
      <c r="AM115" s="249">
        <f>SUM(AH113,AK113,AN113,AQ113)</f>
        <v>0</v>
      </c>
      <c r="AN115" s="249"/>
      <c r="AO115" s="249"/>
      <c r="AP115" s="253"/>
      <c r="AQ115" s="253"/>
    </row>
    <row r="116" spans="1:45" ht="60" customHeight="1">
      <c r="A116" s="49"/>
      <c r="B116" s="38"/>
      <c r="C116" s="851"/>
      <c r="D116" s="851"/>
      <c r="E116" s="851"/>
      <c r="F116" s="851"/>
      <c r="G116" s="851"/>
      <c r="H116" s="851"/>
      <c r="I116" s="851"/>
      <c r="J116" s="851"/>
      <c r="K116" s="851"/>
      <c r="L116" s="851"/>
      <c r="M116" s="851"/>
      <c r="N116" s="851"/>
      <c r="O116" s="851"/>
      <c r="P116" s="851"/>
      <c r="Q116" s="851"/>
      <c r="R116" s="851"/>
      <c r="S116" s="851"/>
      <c r="T116" s="851"/>
      <c r="U116" s="851"/>
      <c r="V116" s="851"/>
      <c r="W116" s="851"/>
      <c r="X116" s="851"/>
      <c r="Y116" s="851"/>
      <c r="Z116" s="851"/>
      <c r="AA116" s="851"/>
      <c r="AB116" s="851"/>
      <c r="AC116" s="851"/>
      <c r="AD116" s="851"/>
      <c r="AJ116" s="266" t="s">
        <v>2652</v>
      </c>
      <c r="AK116" s="249">
        <f>IF(AM115&gt;0,IF(SUM(O113)&gt;=SUM(S113,W113,AA113),0,1),IF(SUM(O113)&lt;&gt;SUM(S113,W113,AA113),1,0))</f>
        <v>0</v>
      </c>
      <c r="AL116" s="266" t="s">
        <v>2653</v>
      </c>
      <c r="AM116" s="249">
        <f>IF(AM115&gt;0,IF(SUM(P113)&gt;=SUM(T113,X113,AB113),0,1),IF(SUM(P113)&lt;&gt;SUM(T113,X113,AB113),1,0))</f>
        <v>0</v>
      </c>
      <c r="AN116" s="266" t="s">
        <v>2654</v>
      </c>
      <c r="AO116" s="249">
        <f>IF(AM115&gt;0,IF(SUM(Q113)&gt;=SUM(U113,Y113,AC113),0,1),IF(SUM(Q113)&lt;&gt;SUM(U113,Y113,AC113),1,0))</f>
        <v>0</v>
      </c>
      <c r="AP116" s="266" t="s">
        <v>2655</v>
      </c>
      <c r="AQ116" s="249">
        <f>IF(AM115&gt;0,IF(SUM(R113)&gt;=SUM(V113,Z113,AD113),0,1),IF(SUM(R113)&lt;&gt;SUM(V113,Z113,AD113),1,0))</f>
        <v>0</v>
      </c>
    </row>
    <row r="117" spans="1:45">
      <c r="A117" s="94"/>
      <c r="B117" s="794" t="str">
        <f>IF(AG113&gt;0,"Favor de ingresar toda la información requerida en la pregunta y/o verifique que no tenga información en celdas sombreadas","")</f>
        <v/>
      </c>
      <c r="C117" s="794"/>
      <c r="D117" s="794"/>
      <c r="E117" s="794"/>
      <c r="F117" s="794"/>
      <c r="G117" s="794"/>
      <c r="H117" s="794"/>
      <c r="I117" s="794"/>
      <c r="J117" s="794"/>
      <c r="K117" s="794"/>
      <c r="L117" s="794"/>
      <c r="M117" s="794"/>
      <c r="N117" s="794"/>
      <c r="O117" s="794"/>
      <c r="P117" s="794"/>
      <c r="Q117" s="794"/>
      <c r="R117" s="794"/>
      <c r="S117" s="794"/>
      <c r="T117" s="794"/>
      <c r="U117" s="794"/>
      <c r="V117" s="794"/>
      <c r="W117" s="794"/>
      <c r="X117" s="794"/>
      <c r="Y117" s="794"/>
      <c r="Z117" s="794"/>
      <c r="AA117" s="794"/>
      <c r="AB117" s="794"/>
      <c r="AC117" s="794"/>
      <c r="AD117" s="794"/>
    </row>
    <row r="118" spans="1:45">
      <c r="A118" s="94"/>
      <c r="B118" s="795" t="str">
        <f>IF(AM115&gt;0,"Alerta: debido a que cuenta con registros NS, debe proporcionar una justificación en el area de comentarios al final de la pregunta","")</f>
        <v/>
      </c>
      <c r="C118" s="795"/>
      <c r="D118" s="795"/>
      <c r="E118" s="795"/>
      <c r="F118" s="795"/>
      <c r="G118" s="795"/>
      <c r="H118" s="795"/>
      <c r="I118" s="795"/>
      <c r="J118" s="795"/>
      <c r="K118" s="795"/>
      <c r="L118" s="795"/>
      <c r="M118" s="795"/>
      <c r="N118" s="795"/>
      <c r="O118" s="795"/>
      <c r="P118" s="795"/>
      <c r="Q118" s="795"/>
      <c r="R118" s="795"/>
      <c r="S118" s="795"/>
      <c r="T118" s="795"/>
      <c r="U118" s="795"/>
      <c r="V118" s="795"/>
      <c r="W118" s="795"/>
      <c r="X118" s="795"/>
      <c r="Y118" s="795"/>
      <c r="Z118" s="795"/>
      <c r="AA118" s="795"/>
      <c r="AB118" s="795"/>
      <c r="AC118" s="795"/>
      <c r="AD118" s="795"/>
    </row>
    <row r="119" spans="1:45">
      <c r="A119" s="94"/>
      <c r="B119" s="794" t="str">
        <f>IF(OR(AK115&gt;0,AK116&gt;0,AM116&gt;0,AO116&gt;0,AQ116&gt;0),"Favor de revisar la suma y consistencia de totales y/o subtotales por filas (numéricos y NS)","")</f>
        <v/>
      </c>
      <c r="C119" s="794"/>
      <c r="D119" s="794"/>
      <c r="E119" s="794"/>
      <c r="F119" s="794"/>
      <c r="G119" s="794"/>
      <c r="H119" s="794"/>
      <c r="I119" s="794"/>
      <c r="J119" s="794"/>
      <c r="K119" s="794"/>
      <c r="L119" s="794"/>
      <c r="M119" s="794"/>
      <c r="N119" s="794"/>
      <c r="O119" s="794"/>
      <c r="P119" s="794"/>
      <c r="Q119" s="794"/>
      <c r="R119" s="794"/>
      <c r="S119" s="794"/>
      <c r="T119" s="794"/>
      <c r="U119" s="794"/>
      <c r="V119" s="794"/>
      <c r="W119" s="794"/>
      <c r="X119" s="794"/>
      <c r="Y119" s="794"/>
      <c r="Z119" s="794"/>
      <c r="AA119" s="794"/>
      <c r="AB119" s="794"/>
      <c r="AC119" s="794"/>
      <c r="AD119" s="794"/>
    </row>
    <row r="120" spans="1:45">
      <c r="A120" s="94"/>
    </row>
    <row r="121" spans="1:45">
      <c r="A121" s="94"/>
    </row>
    <row r="122" spans="1:45" ht="15.75" thickBot="1">
      <c r="A122" s="94"/>
    </row>
    <row r="123" spans="1:45" customFormat="1" ht="15" customHeight="1" thickBot="1">
      <c r="A123" s="153" t="s">
        <v>2563</v>
      </c>
      <c r="B123" s="831" t="s">
        <v>2656</v>
      </c>
      <c r="C123" s="832"/>
      <c r="D123" s="832"/>
      <c r="E123" s="832"/>
      <c r="F123" s="832"/>
      <c r="G123" s="832"/>
      <c r="H123" s="832"/>
      <c r="I123" s="832"/>
      <c r="J123" s="832"/>
      <c r="K123" s="832"/>
      <c r="L123" s="832"/>
      <c r="M123" s="832"/>
      <c r="N123" s="832"/>
      <c r="O123" s="832"/>
      <c r="P123" s="832"/>
      <c r="Q123" s="832"/>
      <c r="R123" s="832"/>
      <c r="S123" s="832"/>
      <c r="T123" s="832"/>
      <c r="U123" s="832"/>
      <c r="V123" s="832"/>
      <c r="W123" s="832"/>
      <c r="X123" s="832"/>
      <c r="Y123" s="832"/>
      <c r="Z123" s="832"/>
      <c r="AA123" s="832"/>
      <c r="AB123" s="832"/>
      <c r="AC123" s="832"/>
      <c r="AD123" s="833"/>
    </row>
    <row r="124" spans="1:45" ht="15" customHeight="1">
      <c r="A124" s="94"/>
      <c r="B124" s="852" t="s">
        <v>2565</v>
      </c>
      <c r="C124" s="853"/>
      <c r="D124" s="853"/>
      <c r="E124" s="853"/>
      <c r="F124" s="853"/>
      <c r="G124" s="853"/>
      <c r="H124" s="853"/>
      <c r="I124" s="853"/>
      <c r="J124" s="853"/>
      <c r="K124" s="853"/>
      <c r="L124" s="853"/>
      <c r="M124" s="853"/>
      <c r="N124" s="853"/>
      <c r="O124" s="853"/>
      <c r="P124" s="853"/>
      <c r="Q124" s="853"/>
      <c r="R124" s="853"/>
      <c r="S124" s="853"/>
      <c r="T124" s="853"/>
      <c r="U124" s="853"/>
      <c r="V124" s="853"/>
      <c r="W124" s="853"/>
      <c r="X124" s="853"/>
      <c r="Y124" s="853"/>
      <c r="Z124" s="853"/>
      <c r="AA124" s="853"/>
      <c r="AB124" s="853"/>
      <c r="AC124" s="853"/>
      <c r="AD124" s="854"/>
    </row>
    <row r="125" spans="1:45" ht="24" customHeight="1">
      <c r="A125" s="94"/>
      <c r="B125" s="74"/>
      <c r="C125" s="754" t="s">
        <v>2657</v>
      </c>
      <c r="D125" s="830"/>
      <c r="E125" s="830"/>
      <c r="F125" s="830"/>
      <c r="G125" s="830"/>
      <c r="H125" s="830"/>
      <c r="I125" s="830"/>
      <c r="J125" s="830"/>
      <c r="K125" s="830"/>
      <c r="L125" s="830"/>
      <c r="M125" s="830"/>
      <c r="N125" s="830"/>
      <c r="O125" s="830"/>
      <c r="P125" s="830"/>
      <c r="Q125" s="830"/>
      <c r="R125" s="830"/>
      <c r="S125" s="830"/>
      <c r="T125" s="830"/>
      <c r="U125" s="830"/>
      <c r="V125" s="830"/>
      <c r="W125" s="830"/>
      <c r="X125" s="830"/>
      <c r="Y125" s="830"/>
      <c r="Z125" s="830"/>
      <c r="AA125" s="830"/>
      <c r="AB125" s="830"/>
      <c r="AC125" s="830"/>
      <c r="AD125" s="886"/>
    </row>
    <row r="126" spans="1:45" ht="36" customHeight="1">
      <c r="A126" s="94"/>
      <c r="B126" s="95"/>
      <c r="C126" s="764" t="s">
        <v>2658</v>
      </c>
      <c r="D126" s="876"/>
      <c r="E126" s="876"/>
      <c r="F126" s="876"/>
      <c r="G126" s="876"/>
      <c r="H126" s="876"/>
      <c r="I126" s="876"/>
      <c r="J126" s="876"/>
      <c r="K126" s="876"/>
      <c r="L126" s="876"/>
      <c r="M126" s="876"/>
      <c r="N126" s="876"/>
      <c r="O126" s="876"/>
      <c r="P126" s="876"/>
      <c r="Q126" s="876"/>
      <c r="R126" s="876"/>
      <c r="S126" s="876"/>
      <c r="T126" s="876"/>
      <c r="U126" s="876"/>
      <c r="V126" s="876"/>
      <c r="W126" s="876"/>
      <c r="X126" s="876"/>
      <c r="Y126" s="876"/>
      <c r="Z126" s="876"/>
      <c r="AA126" s="876"/>
      <c r="AB126" s="876"/>
      <c r="AC126" s="876"/>
      <c r="AD126" s="877"/>
    </row>
    <row r="127" spans="1:45">
      <c r="A127" s="94"/>
    </row>
    <row r="128" spans="1:45" ht="36" customHeight="1">
      <c r="A128" s="49" t="s">
        <v>2659</v>
      </c>
      <c r="B128" s="829" t="s">
        <v>2660</v>
      </c>
      <c r="C128" s="829"/>
      <c r="D128" s="829"/>
      <c r="E128" s="829"/>
      <c r="F128" s="829"/>
      <c r="G128" s="829"/>
      <c r="H128" s="829"/>
      <c r="I128" s="829"/>
      <c r="J128" s="829"/>
      <c r="K128" s="829"/>
      <c r="L128" s="829"/>
      <c r="M128" s="829"/>
      <c r="N128" s="829"/>
      <c r="O128" s="829"/>
      <c r="P128" s="829"/>
      <c r="Q128" s="829"/>
      <c r="R128" s="829"/>
      <c r="S128" s="829"/>
      <c r="T128" s="829"/>
      <c r="U128" s="829"/>
      <c r="V128" s="829"/>
      <c r="W128" s="829"/>
      <c r="X128" s="829"/>
      <c r="Y128" s="829"/>
      <c r="Z128" s="829"/>
      <c r="AA128" s="829"/>
      <c r="AB128" s="829"/>
      <c r="AC128" s="829"/>
      <c r="AD128" s="829"/>
    </row>
    <row r="129" spans="1:36" ht="24" customHeight="1">
      <c r="A129" s="103"/>
      <c r="B129" s="57"/>
      <c r="C129" s="830" t="s">
        <v>2661</v>
      </c>
      <c r="D129" s="830"/>
      <c r="E129" s="830"/>
      <c r="F129" s="830"/>
      <c r="G129" s="830"/>
      <c r="H129" s="830"/>
      <c r="I129" s="830"/>
      <c r="J129" s="830"/>
      <c r="K129" s="830"/>
      <c r="L129" s="830"/>
      <c r="M129" s="830"/>
      <c r="N129" s="830"/>
      <c r="O129" s="830"/>
      <c r="P129" s="830"/>
      <c r="Q129" s="830"/>
      <c r="R129" s="830"/>
      <c r="S129" s="830"/>
      <c r="T129" s="830"/>
      <c r="U129" s="830"/>
      <c r="V129" s="830"/>
      <c r="W129" s="830"/>
      <c r="X129" s="830"/>
      <c r="Y129" s="830"/>
      <c r="Z129" s="830"/>
      <c r="AA129" s="830"/>
      <c r="AB129" s="830"/>
      <c r="AC129" s="830"/>
      <c r="AD129" s="830"/>
    </row>
    <row r="130" spans="1:36" ht="15" customHeight="1">
      <c r="A130" s="49"/>
      <c r="B130" s="57"/>
      <c r="C130" s="830" t="s">
        <v>2662</v>
      </c>
      <c r="D130" s="830"/>
      <c r="E130" s="830"/>
      <c r="F130" s="830"/>
      <c r="G130" s="830"/>
      <c r="H130" s="830"/>
      <c r="I130" s="830"/>
      <c r="J130" s="830"/>
      <c r="K130" s="830"/>
      <c r="L130" s="830"/>
      <c r="M130" s="830"/>
      <c r="N130" s="830"/>
      <c r="O130" s="830"/>
      <c r="P130" s="830"/>
      <c r="Q130" s="830"/>
      <c r="R130" s="830"/>
      <c r="S130" s="830"/>
      <c r="T130" s="830"/>
      <c r="U130" s="830"/>
      <c r="V130" s="830"/>
      <c r="W130" s="830"/>
      <c r="X130" s="830"/>
      <c r="Y130" s="830"/>
      <c r="Z130" s="830"/>
      <c r="AA130" s="830"/>
      <c r="AB130" s="830"/>
      <c r="AC130" s="830"/>
      <c r="AD130" s="830"/>
    </row>
    <row r="131" spans="1:36" ht="24" customHeight="1">
      <c r="A131" s="49"/>
      <c r="B131" s="57"/>
      <c r="C131" s="830" t="s">
        <v>2663</v>
      </c>
      <c r="D131" s="830"/>
      <c r="E131" s="830"/>
      <c r="F131" s="830"/>
      <c r="G131" s="830"/>
      <c r="H131" s="830"/>
      <c r="I131" s="830"/>
      <c r="J131" s="830"/>
      <c r="K131" s="830"/>
      <c r="L131" s="830"/>
      <c r="M131" s="830"/>
      <c r="N131" s="830"/>
      <c r="O131" s="830"/>
      <c r="P131" s="830"/>
      <c r="Q131" s="830"/>
      <c r="R131" s="830"/>
      <c r="S131" s="830"/>
      <c r="T131" s="830"/>
      <c r="U131" s="830"/>
      <c r="V131" s="830"/>
      <c r="W131" s="830"/>
      <c r="X131" s="830"/>
      <c r="Y131" s="830"/>
      <c r="Z131" s="830"/>
      <c r="AA131" s="830"/>
      <c r="AB131" s="830"/>
      <c r="AC131" s="830"/>
      <c r="AD131" s="830"/>
    </row>
    <row r="132" spans="1:36" ht="15" customHeight="1">
      <c r="A132" s="49"/>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row>
    <row r="133" spans="1:36" ht="15" customHeight="1">
      <c r="A133" s="94"/>
      <c r="AA133" s="875" t="s">
        <v>2664</v>
      </c>
      <c r="AB133" s="875"/>
      <c r="AC133" s="875"/>
      <c r="AD133" s="875"/>
    </row>
    <row r="134" spans="1:36" ht="36" customHeight="1">
      <c r="A134" s="49"/>
      <c r="B134" s="38"/>
      <c r="C134" s="732" t="s">
        <v>2581</v>
      </c>
      <c r="D134" s="732"/>
      <c r="E134" s="732"/>
      <c r="F134" s="732"/>
      <c r="G134" s="732"/>
      <c r="H134" s="732"/>
      <c r="I134" s="732"/>
      <c r="J134" s="732"/>
      <c r="K134" s="732"/>
      <c r="L134" s="732" t="s">
        <v>2665</v>
      </c>
      <c r="M134" s="732"/>
      <c r="N134" s="732"/>
      <c r="O134" s="732"/>
      <c r="P134" s="732"/>
      <c r="Q134" s="732"/>
      <c r="R134" s="732" t="s">
        <v>2666</v>
      </c>
      <c r="S134" s="732"/>
      <c r="T134" s="732"/>
      <c r="U134" s="732"/>
      <c r="V134" s="732"/>
      <c r="W134" s="732"/>
      <c r="X134" s="732"/>
      <c r="Y134" s="732"/>
      <c r="Z134" s="732"/>
      <c r="AA134" s="732"/>
      <c r="AB134" s="732"/>
      <c r="AC134" s="732"/>
      <c r="AD134" s="732"/>
    </row>
    <row r="135" spans="1:36" ht="15" customHeight="1">
      <c r="A135" s="49"/>
      <c r="B135" s="38"/>
      <c r="C135" s="732"/>
      <c r="D135" s="732"/>
      <c r="E135" s="732"/>
      <c r="F135" s="732"/>
      <c r="G135" s="732"/>
      <c r="H135" s="732"/>
      <c r="I135" s="732"/>
      <c r="J135" s="732"/>
      <c r="K135" s="732"/>
      <c r="L135" s="732"/>
      <c r="M135" s="732"/>
      <c r="N135" s="732"/>
      <c r="O135" s="732"/>
      <c r="P135" s="732"/>
      <c r="Q135" s="732"/>
      <c r="R135" s="92" t="s">
        <v>2516</v>
      </c>
      <c r="S135" s="44" t="s">
        <v>2517</v>
      </c>
      <c r="T135" s="44" t="s">
        <v>2518</v>
      </c>
      <c r="U135" s="44" t="s">
        <v>2519</v>
      </c>
      <c r="V135" s="44" t="s">
        <v>2520</v>
      </c>
      <c r="W135" s="44" t="s">
        <v>2521</v>
      </c>
      <c r="X135" s="44" t="s">
        <v>2522</v>
      </c>
      <c r="Y135" s="44" t="s">
        <v>2523</v>
      </c>
      <c r="Z135" s="44" t="s">
        <v>2524</v>
      </c>
      <c r="AA135" s="44" t="s">
        <v>2525</v>
      </c>
      <c r="AB135" s="44" t="s">
        <v>2526</v>
      </c>
      <c r="AC135" s="44" t="s">
        <v>2527</v>
      </c>
      <c r="AD135" s="44" t="s">
        <v>2528</v>
      </c>
      <c r="AG135" s="247" t="s">
        <v>2586</v>
      </c>
      <c r="AH135" s="258" t="s">
        <v>2620</v>
      </c>
    </row>
    <row r="136" spans="1:36" ht="15" customHeight="1">
      <c r="A136" s="96"/>
      <c r="B136" s="90"/>
      <c r="C136" s="97" t="s">
        <v>2516</v>
      </c>
      <c r="D136" s="813" t="str">
        <f>IF(CNSIPEE_2024_M2_Secc1!D42="","",CNSIPEE_2024_M2_Secc1!D42)</f>
        <v/>
      </c>
      <c r="E136" s="814"/>
      <c r="F136" s="814"/>
      <c r="G136" s="814"/>
      <c r="H136" s="814"/>
      <c r="I136" s="814"/>
      <c r="J136" s="814"/>
      <c r="K136" s="815"/>
      <c r="L136" s="816"/>
      <c r="M136" s="738"/>
      <c r="N136" s="738"/>
      <c r="O136" s="738"/>
      <c r="P136" s="738"/>
      <c r="Q136" s="817"/>
      <c r="R136" s="88"/>
      <c r="S136" s="88"/>
      <c r="T136" s="88"/>
      <c r="U136" s="88"/>
      <c r="V136" s="88"/>
      <c r="W136" s="88"/>
      <c r="X136" s="88"/>
      <c r="Y136" s="88"/>
      <c r="Z136" s="88"/>
      <c r="AA136" s="88"/>
      <c r="AB136" s="88"/>
      <c r="AC136" s="88"/>
      <c r="AD136" s="88"/>
      <c r="AG136" s="249">
        <f>IF(AND(COUNTBLANK(D136)=0,L136&lt;&gt;"",L136&lt;&gt;1,COUNTA(R136:AD136)=0,COUNTA(R148:AD148)=0),0,IF(AND(COUNTBLANK(D136)=0,L136&lt;&gt;"",L136=1,COUNTA(R136:AD136)&gt;0,COUNTA(R148:AD148)&gt;0),0,IF(AND(COUNTBLANK(D136)=1,COUNTA(L136:AD136,R148:AD148)=0),0,1)))</f>
        <v>0</v>
      </c>
      <c r="AH136" s="253">
        <f>IF(AND($L136&lt;&gt;"",$L136&lt;&gt;1,COUNTA(R136:AD136,R148:AD148)&gt;0),1,0)</f>
        <v>0</v>
      </c>
      <c r="AI136" s="252" t="s">
        <v>2667</v>
      </c>
      <c r="AJ136" s="253">
        <f>IF(COUNTIF(AD148:AD155,"X")&gt;0,1,0)</f>
        <v>0</v>
      </c>
    </row>
    <row r="137" spans="1:36" ht="15" customHeight="1">
      <c r="A137" s="96"/>
      <c r="B137" s="90"/>
      <c r="C137" s="98" t="s">
        <v>2517</v>
      </c>
      <c r="D137" s="813" t="str">
        <f>IF(CNSIPEE_2024_M2_Secc1!D43="","",CNSIPEE_2024_M2_Secc1!D43)</f>
        <v/>
      </c>
      <c r="E137" s="814"/>
      <c r="F137" s="814"/>
      <c r="G137" s="814"/>
      <c r="H137" s="814"/>
      <c r="I137" s="814"/>
      <c r="J137" s="814"/>
      <c r="K137" s="815"/>
      <c r="L137" s="816"/>
      <c r="M137" s="738"/>
      <c r="N137" s="738"/>
      <c r="O137" s="738"/>
      <c r="P137" s="738"/>
      <c r="Q137" s="817"/>
      <c r="R137" s="88"/>
      <c r="S137" s="88"/>
      <c r="T137" s="88"/>
      <c r="U137" s="88"/>
      <c r="V137" s="88"/>
      <c r="W137" s="88"/>
      <c r="X137" s="88"/>
      <c r="Y137" s="88"/>
      <c r="Z137" s="88"/>
      <c r="AA137" s="88"/>
      <c r="AB137" s="88"/>
      <c r="AC137" s="88"/>
      <c r="AD137" s="88"/>
      <c r="AG137" s="249">
        <f t="shared" ref="AG137:AG143" si="32">IF(AND(COUNTBLANK(D137)=0,L137&lt;&gt;"",L137&lt;&gt;1,COUNTA(R137:AD137)=0,COUNTA(R149:AD149)=0),0,IF(AND(COUNTBLANK(D137)=0,L137&lt;&gt;"",L137=1,COUNTA(R137:AD137)&gt;0,COUNTA(R149:AD149)&gt;0),0,IF(AND(COUNTBLANK(D137)=1,COUNTA(L137:AD137,R149:AD149)=0),0,1)))</f>
        <v>0</v>
      </c>
      <c r="AH137" s="253">
        <f t="shared" ref="AH137:AH143" si="33">IF(AND($L137&lt;&gt;"",$L137&lt;&gt;1,COUNTA(R137:AD137,R149:AD149)&gt;0),1,0)</f>
        <v>0</v>
      </c>
    </row>
    <row r="138" spans="1:36" ht="15" customHeight="1">
      <c r="A138" s="96"/>
      <c r="B138" s="90"/>
      <c r="C138" s="98" t="s">
        <v>2518</v>
      </c>
      <c r="D138" s="813" t="str">
        <f>IF(CNSIPEE_2024_M2_Secc1!D44="","",CNSIPEE_2024_M2_Secc1!D44)</f>
        <v/>
      </c>
      <c r="E138" s="814"/>
      <c r="F138" s="814"/>
      <c r="G138" s="814"/>
      <c r="H138" s="814"/>
      <c r="I138" s="814"/>
      <c r="J138" s="814"/>
      <c r="K138" s="815"/>
      <c r="L138" s="816"/>
      <c r="M138" s="738"/>
      <c r="N138" s="738"/>
      <c r="O138" s="738"/>
      <c r="P138" s="738"/>
      <c r="Q138" s="817"/>
      <c r="R138" s="88"/>
      <c r="S138" s="88"/>
      <c r="T138" s="88"/>
      <c r="U138" s="88"/>
      <c r="V138" s="88"/>
      <c r="W138" s="88"/>
      <c r="X138" s="88"/>
      <c r="Y138" s="88"/>
      <c r="Z138" s="88"/>
      <c r="AA138" s="88"/>
      <c r="AB138" s="88"/>
      <c r="AC138" s="88"/>
      <c r="AD138" s="88"/>
      <c r="AG138" s="249">
        <f t="shared" si="32"/>
        <v>0</v>
      </c>
      <c r="AH138" s="253">
        <f t="shared" si="33"/>
        <v>0</v>
      </c>
    </row>
    <row r="139" spans="1:36" ht="15" customHeight="1">
      <c r="A139" s="96"/>
      <c r="B139" s="90"/>
      <c r="C139" s="98" t="s">
        <v>2519</v>
      </c>
      <c r="D139" s="813" t="str">
        <f>IF(CNSIPEE_2024_M2_Secc1!D45="","",CNSIPEE_2024_M2_Secc1!D45)</f>
        <v/>
      </c>
      <c r="E139" s="814"/>
      <c r="F139" s="814"/>
      <c r="G139" s="814"/>
      <c r="H139" s="814"/>
      <c r="I139" s="814"/>
      <c r="J139" s="814"/>
      <c r="K139" s="815"/>
      <c r="L139" s="816"/>
      <c r="M139" s="738"/>
      <c r="N139" s="738"/>
      <c r="O139" s="738"/>
      <c r="P139" s="738"/>
      <c r="Q139" s="817"/>
      <c r="R139" s="88"/>
      <c r="S139" s="88"/>
      <c r="T139" s="88"/>
      <c r="U139" s="88"/>
      <c r="V139" s="88"/>
      <c r="W139" s="88"/>
      <c r="X139" s="88"/>
      <c r="Y139" s="88"/>
      <c r="Z139" s="88"/>
      <c r="AA139" s="88"/>
      <c r="AB139" s="88"/>
      <c r="AC139" s="88"/>
      <c r="AD139" s="88"/>
      <c r="AG139" s="249">
        <f t="shared" si="32"/>
        <v>0</v>
      </c>
      <c r="AH139" s="253">
        <f t="shared" si="33"/>
        <v>0</v>
      </c>
    </row>
    <row r="140" spans="1:36" ht="15" customHeight="1">
      <c r="A140" s="96"/>
      <c r="B140" s="90"/>
      <c r="C140" s="98" t="s">
        <v>2520</v>
      </c>
      <c r="D140" s="813" t="str">
        <f>IF(CNSIPEE_2024_M2_Secc1!D46="","",CNSIPEE_2024_M2_Secc1!D46)</f>
        <v/>
      </c>
      <c r="E140" s="814"/>
      <c r="F140" s="814"/>
      <c r="G140" s="814"/>
      <c r="H140" s="814"/>
      <c r="I140" s="814"/>
      <c r="J140" s="814"/>
      <c r="K140" s="815"/>
      <c r="L140" s="816"/>
      <c r="M140" s="738"/>
      <c r="N140" s="738"/>
      <c r="O140" s="738"/>
      <c r="P140" s="738"/>
      <c r="Q140" s="817"/>
      <c r="R140" s="88"/>
      <c r="S140" s="88"/>
      <c r="T140" s="88"/>
      <c r="U140" s="88"/>
      <c r="V140" s="88"/>
      <c r="W140" s="88"/>
      <c r="X140" s="88"/>
      <c r="Y140" s="88"/>
      <c r="Z140" s="88"/>
      <c r="AA140" s="88"/>
      <c r="AB140" s="88"/>
      <c r="AC140" s="88"/>
      <c r="AD140" s="88"/>
      <c r="AG140" s="249">
        <f t="shared" si="32"/>
        <v>0</v>
      </c>
      <c r="AH140" s="253">
        <f t="shared" si="33"/>
        <v>0</v>
      </c>
    </row>
    <row r="141" spans="1:36" ht="15" customHeight="1">
      <c r="A141" s="96"/>
      <c r="B141" s="90"/>
      <c r="C141" s="98" t="s">
        <v>2521</v>
      </c>
      <c r="D141" s="813" t="str">
        <f>IF(CNSIPEE_2024_M2_Secc1!D47="","",CNSIPEE_2024_M2_Secc1!D47)</f>
        <v/>
      </c>
      <c r="E141" s="814"/>
      <c r="F141" s="814"/>
      <c r="G141" s="814"/>
      <c r="H141" s="814"/>
      <c r="I141" s="814"/>
      <c r="J141" s="814"/>
      <c r="K141" s="815"/>
      <c r="L141" s="816"/>
      <c r="M141" s="738"/>
      <c r="N141" s="738"/>
      <c r="O141" s="738"/>
      <c r="P141" s="738"/>
      <c r="Q141" s="817"/>
      <c r="R141" s="88"/>
      <c r="S141" s="88"/>
      <c r="T141" s="88"/>
      <c r="U141" s="88"/>
      <c r="V141" s="88"/>
      <c r="W141" s="88"/>
      <c r="X141" s="88"/>
      <c r="Y141" s="88"/>
      <c r="Z141" s="88"/>
      <c r="AA141" s="88"/>
      <c r="AB141" s="88"/>
      <c r="AC141" s="88"/>
      <c r="AD141" s="88"/>
      <c r="AG141" s="249">
        <f t="shared" si="32"/>
        <v>0</v>
      </c>
      <c r="AH141" s="253">
        <f t="shared" si="33"/>
        <v>0</v>
      </c>
    </row>
    <row r="142" spans="1:36" ht="15" customHeight="1">
      <c r="A142" s="96"/>
      <c r="B142" s="90"/>
      <c r="C142" s="98" t="s">
        <v>2522</v>
      </c>
      <c r="D142" s="813" t="str">
        <f>IF(CNSIPEE_2024_M2_Secc1!D48="","",CNSIPEE_2024_M2_Secc1!D48)</f>
        <v/>
      </c>
      <c r="E142" s="814"/>
      <c r="F142" s="814"/>
      <c r="G142" s="814"/>
      <c r="H142" s="814"/>
      <c r="I142" s="814"/>
      <c r="J142" s="814"/>
      <c r="K142" s="815"/>
      <c r="L142" s="816"/>
      <c r="M142" s="738"/>
      <c r="N142" s="738"/>
      <c r="O142" s="738"/>
      <c r="P142" s="738"/>
      <c r="Q142" s="817"/>
      <c r="R142" s="88"/>
      <c r="S142" s="88"/>
      <c r="T142" s="88"/>
      <c r="U142" s="88"/>
      <c r="V142" s="88"/>
      <c r="W142" s="88"/>
      <c r="X142" s="88"/>
      <c r="Y142" s="88"/>
      <c r="Z142" s="88"/>
      <c r="AA142" s="88"/>
      <c r="AB142" s="88"/>
      <c r="AC142" s="88"/>
      <c r="AD142" s="88"/>
      <c r="AG142" s="249">
        <f t="shared" si="32"/>
        <v>0</v>
      </c>
      <c r="AH142" s="253">
        <f t="shared" si="33"/>
        <v>0</v>
      </c>
    </row>
    <row r="143" spans="1:36" ht="15" customHeight="1">
      <c r="A143" s="96"/>
      <c r="B143" s="90"/>
      <c r="C143" s="98" t="s">
        <v>2523</v>
      </c>
      <c r="D143" s="813" t="str">
        <f>IF(CNSIPEE_2024_M2_Secc1!D49="","",CNSIPEE_2024_M2_Secc1!D49)</f>
        <v/>
      </c>
      <c r="E143" s="814"/>
      <c r="F143" s="814"/>
      <c r="G143" s="814"/>
      <c r="H143" s="814"/>
      <c r="I143" s="814"/>
      <c r="J143" s="814"/>
      <c r="K143" s="815"/>
      <c r="L143" s="816"/>
      <c r="M143" s="738"/>
      <c r="N143" s="738"/>
      <c r="O143" s="738"/>
      <c r="P143" s="738"/>
      <c r="Q143" s="817"/>
      <c r="R143" s="88"/>
      <c r="S143" s="88"/>
      <c r="T143" s="88"/>
      <c r="U143" s="88"/>
      <c r="V143" s="88"/>
      <c r="W143" s="88"/>
      <c r="X143" s="88"/>
      <c r="Y143" s="88"/>
      <c r="Z143" s="88"/>
      <c r="AA143" s="88"/>
      <c r="AB143" s="88"/>
      <c r="AC143" s="88"/>
      <c r="AD143" s="88"/>
      <c r="AG143" s="249">
        <f t="shared" si="32"/>
        <v>0</v>
      </c>
      <c r="AH143" s="253">
        <f t="shared" si="33"/>
        <v>0</v>
      </c>
    </row>
    <row r="144" spans="1:36" ht="15" customHeight="1">
      <c r="A144" s="96"/>
      <c r="B144" s="90"/>
      <c r="C144" s="90"/>
      <c r="D144" s="90"/>
      <c r="E144" s="90"/>
      <c r="F144" s="90"/>
      <c r="G144" s="90"/>
      <c r="H144" s="90"/>
      <c r="I144" s="90"/>
      <c r="J144" s="90"/>
      <c r="K144" s="90"/>
      <c r="L144" s="90"/>
      <c r="M144" s="90"/>
      <c r="N144" s="90"/>
      <c r="O144" s="90"/>
      <c r="P144" s="90"/>
      <c r="Q144" s="90"/>
      <c r="R144" s="90"/>
      <c r="S144" s="90"/>
      <c r="T144" s="90"/>
      <c r="U144" s="90"/>
      <c r="V144" s="90"/>
      <c r="W144" s="90"/>
      <c r="X144" s="90"/>
      <c r="Y144" s="90"/>
      <c r="Z144" s="90"/>
      <c r="AA144" s="90"/>
      <c r="AB144" s="90"/>
      <c r="AC144" s="90"/>
      <c r="AD144" s="90"/>
      <c r="AG144" s="247">
        <f>SUM(AG136:AG143)</f>
        <v>0</v>
      </c>
      <c r="AH144" s="258">
        <f>SUM(AH136:AH143)</f>
        <v>0</v>
      </c>
    </row>
    <row r="145" spans="1:31" ht="15" customHeight="1">
      <c r="A145" s="94"/>
      <c r="AA145" s="875" t="s">
        <v>2668</v>
      </c>
      <c r="AB145" s="875"/>
      <c r="AC145" s="875"/>
      <c r="AD145" s="875"/>
    </row>
    <row r="146" spans="1:31" ht="36" customHeight="1">
      <c r="A146" s="49"/>
      <c r="B146" s="38"/>
      <c r="C146" s="732" t="s">
        <v>2581</v>
      </c>
      <c r="D146" s="732"/>
      <c r="E146" s="732"/>
      <c r="F146" s="732"/>
      <c r="G146" s="732"/>
      <c r="H146" s="732"/>
      <c r="I146" s="732"/>
      <c r="J146" s="732"/>
      <c r="K146" s="732"/>
      <c r="L146" s="732"/>
      <c r="M146" s="732"/>
      <c r="N146" s="732"/>
      <c r="O146" s="732"/>
      <c r="P146" s="732"/>
      <c r="Q146" s="732"/>
      <c r="R146" s="739" t="s">
        <v>2666</v>
      </c>
      <c r="S146" s="740"/>
      <c r="T146" s="740"/>
      <c r="U146" s="740"/>
      <c r="V146" s="740"/>
      <c r="W146" s="740"/>
      <c r="X146" s="740"/>
      <c r="Y146" s="740"/>
      <c r="Z146" s="740"/>
      <c r="AA146" s="740"/>
      <c r="AB146" s="740"/>
      <c r="AC146" s="740"/>
      <c r="AD146" s="741"/>
    </row>
    <row r="147" spans="1:31" ht="15" customHeight="1">
      <c r="A147" s="49"/>
      <c r="B147" s="38"/>
      <c r="C147" s="732"/>
      <c r="D147" s="732"/>
      <c r="E147" s="732"/>
      <c r="F147" s="732"/>
      <c r="G147" s="732"/>
      <c r="H147" s="732"/>
      <c r="I147" s="732"/>
      <c r="J147" s="732"/>
      <c r="K147" s="732"/>
      <c r="L147" s="732"/>
      <c r="M147" s="732"/>
      <c r="N147" s="732"/>
      <c r="O147" s="732"/>
      <c r="P147" s="732"/>
      <c r="Q147" s="732"/>
      <c r="R147" s="44" t="s">
        <v>2529</v>
      </c>
      <c r="S147" s="44" t="s">
        <v>2530</v>
      </c>
      <c r="T147" s="44" t="s">
        <v>2531</v>
      </c>
      <c r="U147" s="44" t="s">
        <v>2532</v>
      </c>
      <c r="V147" s="44" t="s">
        <v>2533</v>
      </c>
      <c r="W147" s="44" t="s">
        <v>2534</v>
      </c>
      <c r="X147" s="44" t="s">
        <v>2535</v>
      </c>
      <c r="Y147" s="44" t="s">
        <v>2536</v>
      </c>
      <c r="Z147" s="44" t="s">
        <v>2537</v>
      </c>
      <c r="AA147" s="44" t="s">
        <v>2538</v>
      </c>
      <c r="AB147" s="44" t="s">
        <v>2539</v>
      </c>
      <c r="AC147" s="44" t="s">
        <v>2540</v>
      </c>
      <c r="AD147" s="44" t="s">
        <v>2541</v>
      </c>
    </row>
    <row r="148" spans="1:31" ht="15" customHeight="1">
      <c r="A148" s="96"/>
      <c r="B148" s="90"/>
      <c r="C148" s="97" t="s">
        <v>2516</v>
      </c>
      <c r="D148" s="813" t="str">
        <f>IF(CNSIPEE_2024_M2_Secc1!D42="","",CNSIPEE_2024_M2_Secc1!D42)</f>
        <v/>
      </c>
      <c r="E148" s="814"/>
      <c r="F148" s="814"/>
      <c r="G148" s="814"/>
      <c r="H148" s="814"/>
      <c r="I148" s="814"/>
      <c r="J148" s="814"/>
      <c r="K148" s="814"/>
      <c r="L148" s="814"/>
      <c r="M148" s="814"/>
      <c r="N148" s="814"/>
      <c r="O148" s="814"/>
      <c r="P148" s="814"/>
      <c r="Q148" s="815"/>
      <c r="R148" s="88"/>
      <c r="S148" s="88"/>
      <c r="T148" s="88"/>
      <c r="U148" s="88"/>
      <c r="V148" s="88"/>
      <c r="W148" s="88"/>
      <c r="X148" s="88"/>
      <c r="Y148" s="88"/>
      <c r="Z148" s="88"/>
      <c r="AA148" s="88"/>
      <c r="AB148" s="88"/>
      <c r="AC148" s="88"/>
      <c r="AD148" s="88"/>
    </row>
    <row r="149" spans="1:31" ht="15" customHeight="1">
      <c r="A149" s="96"/>
      <c r="B149" s="90"/>
      <c r="C149" s="98" t="s">
        <v>2517</v>
      </c>
      <c r="D149" s="813" t="str">
        <f>IF(CNSIPEE_2024_M2_Secc1!D43="","",CNSIPEE_2024_M2_Secc1!D43)</f>
        <v/>
      </c>
      <c r="E149" s="814"/>
      <c r="F149" s="814"/>
      <c r="G149" s="814"/>
      <c r="H149" s="814"/>
      <c r="I149" s="814"/>
      <c r="J149" s="814"/>
      <c r="K149" s="814"/>
      <c r="L149" s="814"/>
      <c r="M149" s="814"/>
      <c r="N149" s="814"/>
      <c r="O149" s="814"/>
      <c r="P149" s="814"/>
      <c r="Q149" s="815"/>
      <c r="R149" s="88"/>
      <c r="S149" s="88"/>
      <c r="T149" s="88"/>
      <c r="U149" s="88"/>
      <c r="V149" s="88"/>
      <c r="W149" s="88"/>
      <c r="X149" s="88"/>
      <c r="Y149" s="88"/>
      <c r="Z149" s="88"/>
      <c r="AA149" s="88"/>
      <c r="AB149" s="88"/>
      <c r="AC149" s="88"/>
      <c r="AD149" s="88"/>
    </row>
    <row r="150" spans="1:31" ht="15" customHeight="1">
      <c r="A150" s="96"/>
      <c r="B150" s="90"/>
      <c r="C150" s="98" t="s">
        <v>2518</v>
      </c>
      <c r="D150" s="813" t="str">
        <f>IF(CNSIPEE_2024_M2_Secc1!D44="","",CNSIPEE_2024_M2_Secc1!D44)</f>
        <v/>
      </c>
      <c r="E150" s="814"/>
      <c r="F150" s="814"/>
      <c r="G150" s="814"/>
      <c r="H150" s="814"/>
      <c r="I150" s="814"/>
      <c r="J150" s="814"/>
      <c r="K150" s="814"/>
      <c r="L150" s="814"/>
      <c r="M150" s="814"/>
      <c r="N150" s="814"/>
      <c r="O150" s="814"/>
      <c r="P150" s="814"/>
      <c r="Q150" s="815"/>
      <c r="R150" s="88"/>
      <c r="S150" s="88"/>
      <c r="T150" s="88"/>
      <c r="U150" s="88"/>
      <c r="V150" s="88"/>
      <c r="W150" s="88"/>
      <c r="X150" s="88"/>
      <c r="Y150" s="88"/>
      <c r="Z150" s="88"/>
      <c r="AA150" s="88"/>
      <c r="AB150" s="88"/>
      <c r="AC150" s="88"/>
      <c r="AD150" s="88"/>
    </row>
    <row r="151" spans="1:31" ht="15" customHeight="1">
      <c r="A151" s="96"/>
      <c r="B151" s="90"/>
      <c r="C151" s="98" t="s">
        <v>2519</v>
      </c>
      <c r="D151" s="813" t="str">
        <f>IF(CNSIPEE_2024_M2_Secc1!D45="","",CNSIPEE_2024_M2_Secc1!D45)</f>
        <v/>
      </c>
      <c r="E151" s="814"/>
      <c r="F151" s="814"/>
      <c r="G151" s="814"/>
      <c r="H151" s="814"/>
      <c r="I151" s="814"/>
      <c r="J151" s="814"/>
      <c r="K151" s="814"/>
      <c r="L151" s="814"/>
      <c r="M151" s="814"/>
      <c r="N151" s="814"/>
      <c r="O151" s="814"/>
      <c r="P151" s="814"/>
      <c r="Q151" s="815"/>
      <c r="R151" s="88"/>
      <c r="S151" s="88"/>
      <c r="T151" s="88"/>
      <c r="U151" s="88"/>
      <c r="V151" s="88"/>
      <c r="W151" s="88"/>
      <c r="X151" s="88"/>
      <c r="Y151" s="88"/>
      <c r="Z151" s="88"/>
      <c r="AA151" s="88"/>
      <c r="AB151" s="88"/>
      <c r="AC151" s="88"/>
      <c r="AD151" s="88"/>
    </row>
    <row r="152" spans="1:31" ht="15" customHeight="1">
      <c r="A152" s="96"/>
      <c r="B152" s="90"/>
      <c r="C152" s="98" t="s">
        <v>2520</v>
      </c>
      <c r="D152" s="813" t="str">
        <f>IF(CNSIPEE_2024_M2_Secc1!D46="","",CNSIPEE_2024_M2_Secc1!D46)</f>
        <v/>
      </c>
      <c r="E152" s="814"/>
      <c r="F152" s="814"/>
      <c r="G152" s="814"/>
      <c r="H152" s="814"/>
      <c r="I152" s="814"/>
      <c r="J152" s="814"/>
      <c r="K152" s="814"/>
      <c r="L152" s="814"/>
      <c r="M152" s="814"/>
      <c r="N152" s="814"/>
      <c r="O152" s="814"/>
      <c r="P152" s="814"/>
      <c r="Q152" s="815"/>
      <c r="R152" s="88"/>
      <c r="S152" s="88"/>
      <c r="T152" s="88"/>
      <c r="U152" s="88"/>
      <c r="V152" s="88"/>
      <c r="W152" s="88"/>
      <c r="X152" s="88"/>
      <c r="Y152" s="88"/>
      <c r="Z152" s="88"/>
      <c r="AA152" s="88"/>
      <c r="AB152" s="88"/>
      <c r="AC152" s="88"/>
      <c r="AD152" s="88"/>
    </row>
    <row r="153" spans="1:31" ht="15" customHeight="1">
      <c r="A153" s="96"/>
      <c r="B153" s="90"/>
      <c r="C153" s="98" t="s">
        <v>2521</v>
      </c>
      <c r="D153" s="813" t="str">
        <f>IF(CNSIPEE_2024_M2_Secc1!D47="","",CNSIPEE_2024_M2_Secc1!D47)</f>
        <v/>
      </c>
      <c r="E153" s="814"/>
      <c r="F153" s="814"/>
      <c r="G153" s="814"/>
      <c r="H153" s="814"/>
      <c r="I153" s="814"/>
      <c r="J153" s="814"/>
      <c r="K153" s="814"/>
      <c r="L153" s="814"/>
      <c r="M153" s="814"/>
      <c r="N153" s="814"/>
      <c r="O153" s="814"/>
      <c r="P153" s="814"/>
      <c r="Q153" s="815"/>
      <c r="R153" s="88"/>
      <c r="S153" s="88"/>
      <c r="T153" s="88"/>
      <c r="U153" s="88"/>
      <c r="V153" s="88"/>
      <c r="W153" s="88"/>
      <c r="X153" s="88"/>
      <c r="Y153" s="88"/>
      <c r="Z153" s="88"/>
      <c r="AA153" s="88"/>
      <c r="AB153" s="88"/>
      <c r="AC153" s="88"/>
      <c r="AD153" s="88"/>
    </row>
    <row r="154" spans="1:31" ht="15" customHeight="1">
      <c r="A154" s="96"/>
      <c r="B154" s="90"/>
      <c r="C154" s="98" t="s">
        <v>2522</v>
      </c>
      <c r="D154" s="813" t="str">
        <f>IF(CNSIPEE_2024_M2_Secc1!D48="","",CNSIPEE_2024_M2_Secc1!D48)</f>
        <v/>
      </c>
      <c r="E154" s="814"/>
      <c r="F154" s="814"/>
      <c r="G154" s="814"/>
      <c r="H154" s="814"/>
      <c r="I154" s="814"/>
      <c r="J154" s="814"/>
      <c r="K154" s="814"/>
      <c r="L154" s="814"/>
      <c r="M154" s="814"/>
      <c r="N154" s="814"/>
      <c r="O154" s="814"/>
      <c r="P154" s="814"/>
      <c r="Q154" s="815"/>
      <c r="R154" s="88"/>
      <c r="S154" s="88"/>
      <c r="T154" s="88"/>
      <c r="U154" s="88"/>
      <c r="V154" s="88"/>
      <c r="W154" s="88"/>
      <c r="X154" s="88"/>
      <c r="Y154" s="88"/>
      <c r="Z154" s="88"/>
      <c r="AA154" s="88"/>
      <c r="AB154" s="88"/>
      <c r="AC154" s="88"/>
      <c r="AD154" s="88"/>
    </row>
    <row r="155" spans="1:31" ht="15" customHeight="1">
      <c r="A155" s="96"/>
      <c r="B155" s="90"/>
      <c r="C155" s="98" t="s">
        <v>2523</v>
      </c>
      <c r="D155" s="813" t="str">
        <f>IF(CNSIPEE_2024_M2_Secc1!D49="","",CNSIPEE_2024_M2_Secc1!D49)</f>
        <v/>
      </c>
      <c r="E155" s="814"/>
      <c r="F155" s="814"/>
      <c r="G155" s="814"/>
      <c r="H155" s="814"/>
      <c r="I155" s="814"/>
      <c r="J155" s="814"/>
      <c r="K155" s="814"/>
      <c r="L155" s="814"/>
      <c r="M155" s="814"/>
      <c r="N155" s="814"/>
      <c r="O155" s="814"/>
      <c r="P155" s="814"/>
      <c r="Q155" s="815"/>
      <c r="R155" s="88"/>
      <c r="S155" s="88"/>
      <c r="T155" s="88"/>
      <c r="U155" s="88"/>
      <c r="V155" s="88"/>
      <c r="W155" s="88"/>
      <c r="X155" s="88"/>
      <c r="Y155" s="88"/>
      <c r="Z155" s="88"/>
      <c r="AA155" s="88"/>
      <c r="AB155" s="88"/>
      <c r="AC155" s="88"/>
      <c r="AD155" s="88"/>
    </row>
    <row r="156" spans="1:31" ht="15" customHeight="1">
      <c r="A156" s="96"/>
      <c r="B156" s="90"/>
      <c r="C156" s="90"/>
      <c r="D156" s="90"/>
      <c r="E156" s="90"/>
      <c r="F156" s="90"/>
      <c r="G156" s="90"/>
      <c r="H156" s="90"/>
      <c r="I156" s="90"/>
      <c r="J156" s="90"/>
      <c r="K156" s="90"/>
      <c r="L156" s="90"/>
      <c r="M156" s="90"/>
      <c r="N156" s="90"/>
      <c r="O156" s="90"/>
      <c r="P156" s="90"/>
      <c r="Q156" s="90"/>
      <c r="R156" s="90"/>
      <c r="S156" s="90"/>
      <c r="T156" s="90"/>
      <c r="U156" s="90"/>
      <c r="V156" s="90"/>
      <c r="W156" s="90"/>
      <c r="X156" s="90"/>
      <c r="Y156" s="90"/>
      <c r="Z156" s="90"/>
      <c r="AA156" s="90"/>
      <c r="AB156" s="90"/>
      <c r="AC156" s="90"/>
      <c r="AD156" s="90"/>
    </row>
    <row r="157" spans="1:31" ht="45" customHeight="1">
      <c r="A157" s="103"/>
      <c r="B157" s="57"/>
      <c r="C157" s="822" t="s">
        <v>2669</v>
      </c>
      <c r="D157" s="822"/>
      <c r="E157" s="822"/>
      <c r="F157" s="823"/>
      <c r="G157" s="816"/>
      <c r="H157" s="738"/>
      <c r="I157" s="738"/>
      <c r="J157" s="738"/>
      <c r="K157" s="738"/>
      <c r="L157" s="738"/>
      <c r="M157" s="738"/>
      <c r="N157" s="738"/>
      <c r="O157" s="738"/>
      <c r="P157" s="738"/>
      <c r="Q157" s="738"/>
      <c r="R157" s="738"/>
      <c r="S157" s="738"/>
      <c r="T157" s="738"/>
      <c r="U157" s="738"/>
      <c r="V157" s="738"/>
      <c r="W157" s="738"/>
      <c r="X157" s="738"/>
      <c r="Y157" s="738"/>
      <c r="Z157" s="738"/>
      <c r="AA157" s="738"/>
      <c r="AB157" s="738"/>
      <c r="AC157" s="738"/>
      <c r="AD157" s="817"/>
    </row>
    <row r="158" spans="1:31" ht="15" customHeight="1">
      <c r="A158" s="103"/>
      <c r="B158" s="794" t="str">
        <f>IF(AND(AJ136&gt;0,G157=""),"Debido a que seleccionó el código 26 en la col. Espacios físicos de infraestructura debe anotar el nombre de dicho(s) espacio(s) físico(s) ","")</f>
        <v/>
      </c>
      <c r="C158" s="794"/>
      <c r="D158" s="794"/>
      <c r="E158" s="794"/>
      <c r="F158" s="794"/>
      <c r="G158" s="794"/>
      <c r="H158" s="794"/>
      <c r="I158" s="794"/>
      <c r="J158" s="794"/>
      <c r="K158" s="794"/>
      <c r="L158" s="794"/>
      <c r="M158" s="794"/>
      <c r="N158" s="794"/>
      <c r="O158" s="794"/>
      <c r="P158" s="794"/>
      <c r="Q158" s="794"/>
      <c r="R158" s="794"/>
      <c r="S158" s="794"/>
      <c r="T158" s="794"/>
      <c r="U158" s="794"/>
      <c r="V158" s="794"/>
      <c r="W158" s="794"/>
      <c r="X158" s="794"/>
      <c r="Y158" s="794"/>
      <c r="Z158" s="794"/>
      <c r="AA158" s="794"/>
      <c r="AB158" s="794"/>
      <c r="AC158" s="794"/>
      <c r="AD158" s="794"/>
      <c r="AE158" s="794"/>
    </row>
    <row r="159" spans="1:31">
      <c r="A159" s="89"/>
      <c r="B159" s="90"/>
      <c r="C159" s="880" t="s">
        <v>2670</v>
      </c>
      <c r="D159" s="880"/>
      <c r="E159" s="880"/>
      <c r="F159" s="880"/>
      <c r="G159" s="880"/>
      <c r="H159" s="880"/>
      <c r="I159" s="880"/>
      <c r="J159" s="880"/>
      <c r="K159" s="880"/>
      <c r="L159" s="880"/>
      <c r="M159" s="880"/>
      <c r="N159" s="880"/>
      <c r="O159" s="880"/>
      <c r="P159" s="880"/>
      <c r="Q159" s="880"/>
      <c r="R159" s="880"/>
      <c r="S159" s="880"/>
      <c r="T159" s="880"/>
      <c r="U159" s="880"/>
      <c r="V159" s="880"/>
      <c r="W159" s="880"/>
      <c r="X159" s="880"/>
      <c r="Y159" s="880"/>
      <c r="Z159" s="880"/>
      <c r="AA159" s="880"/>
      <c r="AB159" s="880"/>
      <c r="AC159" s="880"/>
      <c r="AD159" s="880"/>
    </row>
    <row r="160" spans="1:31" ht="24" customHeight="1">
      <c r="A160" s="89"/>
      <c r="B160" s="90"/>
      <c r="C160" s="97" t="s">
        <v>2516</v>
      </c>
      <c r="D160" s="813" t="s">
        <v>2671</v>
      </c>
      <c r="E160" s="814"/>
      <c r="F160" s="814"/>
      <c r="G160" s="814"/>
      <c r="H160" s="814"/>
      <c r="I160" s="814"/>
      <c r="J160" s="814"/>
      <c r="K160" s="814"/>
      <c r="L160" s="814"/>
      <c r="M160" s="814"/>
      <c r="N160" s="814"/>
      <c r="O160" s="814"/>
      <c r="P160" s="815"/>
      <c r="Q160" s="44" t="s">
        <v>2529</v>
      </c>
      <c r="R160" s="813" t="s">
        <v>2672</v>
      </c>
      <c r="S160" s="814"/>
      <c r="T160" s="814"/>
      <c r="U160" s="814"/>
      <c r="V160" s="814"/>
      <c r="W160" s="814"/>
      <c r="X160" s="814"/>
      <c r="Y160" s="814"/>
      <c r="Z160" s="814"/>
      <c r="AA160" s="814"/>
      <c r="AB160" s="814"/>
      <c r="AC160" s="814"/>
      <c r="AD160" s="815"/>
    </row>
    <row r="161" spans="1:30" ht="36" customHeight="1">
      <c r="A161" s="89"/>
      <c r="B161" s="90"/>
      <c r="C161" s="98" t="s">
        <v>2517</v>
      </c>
      <c r="D161" s="813" t="s">
        <v>2673</v>
      </c>
      <c r="E161" s="814"/>
      <c r="F161" s="814"/>
      <c r="G161" s="814"/>
      <c r="H161" s="814"/>
      <c r="I161" s="814"/>
      <c r="J161" s="814"/>
      <c r="K161" s="814"/>
      <c r="L161" s="814"/>
      <c r="M161" s="814"/>
      <c r="N161" s="814"/>
      <c r="O161" s="814"/>
      <c r="P161" s="815"/>
      <c r="Q161" s="44" t="s">
        <v>2530</v>
      </c>
      <c r="R161" s="813" t="s">
        <v>2674</v>
      </c>
      <c r="S161" s="814"/>
      <c r="T161" s="814"/>
      <c r="U161" s="814"/>
      <c r="V161" s="814"/>
      <c r="W161" s="814"/>
      <c r="X161" s="814"/>
      <c r="Y161" s="814"/>
      <c r="Z161" s="814"/>
      <c r="AA161" s="814"/>
      <c r="AB161" s="814"/>
      <c r="AC161" s="814"/>
      <c r="AD161" s="815"/>
    </row>
    <row r="162" spans="1:30" ht="15" customHeight="1">
      <c r="A162" s="89"/>
      <c r="B162" s="90"/>
      <c r="C162" s="98" t="s">
        <v>2518</v>
      </c>
      <c r="D162" s="813" t="s">
        <v>2675</v>
      </c>
      <c r="E162" s="814"/>
      <c r="F162" s="814"/>
      <c r="G162" s="814"/>
      <c r="H162" s="814"/>
      <c r="I162" s="814"/>
      <c r="J162" s="814"/>
      <c r="K162" s="814"/>
      <c r="L162" s="814"/>
      <c r="M162" s="814"/>
      <c r="N162" s="814"/>
      <c r="O162" s="814"/>
      <c r="P162" s="815"/>
      <c r="Q162" s="44" t="s">
        <v>2531</v>
      </c>
      <c r="R162" s="813" t="s">
        <v>2676</v>
      </c>
      <c r="S162" s="814"/>
      <c r="T162" s="814"/>
      <c r="U162" s="814"/>
      <c r="V162" s="814"/>
      <c r="W162" s="814"/>
      <c r="X162" s="814"/>
      <c r="Y162" s="814"/>
      <c r="Z162" s="814"/>
      <c r="AA162" s="814"/>
      <c r="AB162" s="814"/>
      <c r="AC162" s="814"/>
      <c r="AD162" s="815"/>
    </row>
    <row r="163" spans="1:30" ht="15" customHeight="1">
      <c r="A163" s="89"/>
      <c r="B163" s="90"/>
      <c r="C163" s="98" t="s">
        <v>2519</v>
      </c>
      <c r="D163" s="813" t="s">
        <v>2677</v>
      </c>
      <c r="E163" s="814"/>
      <c r="F163" s="814"/>
      <c r="G163" s="814"/>
      <c r="H163" s="814"/>
      <c r="I163" s="814"/>
      <c r="J163" s="814"/>
      <c r="K163" s="814"/>
      <c r="L163" s="814"/>
      <c r="M163" s="814"/>
      <c r="N163" s="814"/>
      <c r="O163" s="814"/>
      <c r="P163" s="815"/>
      <c r="Q163" s="44" t="s">
        <v>2532</v>
      </c>
      <c r="R163" s="813" t="s">
        <v>2678</v>
      </c>
      <c r="S163" s="814"/>
      <c r="T163" s="814"/>
      <c r="U163" s="814"/>
      <c r="V163" s="814"/>
      <c r="W163" s="814"/>
      <c r="X163" s="814"/>
      <c r="Y163" s="814"/>
      <c r="Z163" s="814"/>
      <c r="AA163" s="814"/>
      <c r="AB163" s="814"/>
      <c r="AC163" s="814"/>
      <c r="AD163" s="815"/>
    </row>
    <row r="164" spans="1:30" ht="15" customHeight="1">
      <c r="A164" s="89"/>
      <c r="B164" s="90"/>
      <c r="C164" s="98" t="s">
        <v>2520</v>
      </c>
      <c r="D164" s="813" t="s">
        <v>2679</v>
      </c>
      <c r="E164" s="814"/>
      <c r="F164" s="814"/>
      <c r="G164" s="814"/>
      <c r="H164" s="814"/>
      <c r="I164" s="814"/>
      <c r="J164" s="814"/>
      <c r="K164" s="814"/>
      <c r="L164" s="814"/>
      <c r="M164" s="814"/>
      <c r="N164" s="814"/>
      <c r="O164" s="814"/>
      <c r="P164" s="815"/>
      <c r="Q164" s="44" t="s">
        <v>2533</v>
      </c>
      <c r="R164" s="813" t="s">
        <v>2680</v>
      </c>
      <c r="S164" s="814"/>
      <c r="T164" s="814"/>
      <c r="U164" s="814"/>
      <c r="V164" s="814"/>
      <c r="W164" s="814"/>
      <c r="X164" s="814"/>
      <c r="Y164" s="814"/>
      <c r="Z164" s="814"/>
      <c r="AA164" s="814"/>
      <c r="AB164" s="814"/>
      <c r="AC164" s="814"/>
      <c r="AD164" s="815"/>
    </row>
    <row r="165" spans="1:30" ht="15" customHeight="1">
      <c r="A165" s="89"/>
      <c r="B165" s="90"/>
      <c r="C165" s="98" t="s">
        <v>2521</v>
      </c>
      <c r="D165" s="813" t="s">
        <v>2681</v>
      </c>
      <c r="E165" s="814"/>
      <c r="F165" s="814"/>
      <c r="G165" s="814"/>
      <c r="H165" s="814"/>
      <c r="I165" s="814"/>
      <c r="J165" s="814"/>
      <c r="K165" s="814"/>
      <c r="L165" s="814"/>
      <c r="M165" s="814"/>
      <c r="N165" s="814"/>
      <c r="O165" s="814"/>
      <c r="P165" s="815"/>
      <c r="Q165" s="44" t="s">
        <v>2534</v>
      </c>
      <c r="R165" s="813" t="s">
        <v>2682</v>
      </c>
      <c r="S165" s="814"/>
      <c r="T165" s="814"/>
      <c r="U165" s="814"/>
      <c r="V165" s="814"/>
      <c r="W165" s="814"/>
      <c r="X165" s="814"/>
      <c r="Y165" s="814"/>
      <c r="Z165" s="814"/>
      <c r="AA165" s="814"/>
      <c r="AB165" s="814"/>
      <c r="AC165" s="814"/>
      <c r="AD165" s="815"/>
    </row>
    <row r="166" spans="1:30" ht="15" customHeight="1">
      <c r="A166" s="89"/>
      <c r="B166" s="90"/>
      <c r="C166" s="98" t="s">
        <v>2522</v>
      </c>
      <c r="D166" s="813" t="s">
        <v>2683</v>
      </c>
      <c r="E166" s="814"/>
      <c r="F166" s="814"/>
      <c r="G166" s="814"/>
      <c r="H166" s="814"/>
      <c r="I166" s="814"/>
      <c r="J166" s="814"/>
      <c r="K166" s="814"/>
      <c r="L166" s="814"/>
      <c r="M166" s="814"/>
      <c r="N166" s="814"/>
      <c r="O166" s="814"/>
      <c r="P166" s="815"/>
      <c r="Q166" s="44" t="s">
        <v>2535</v>
      </c>
      <c r="R166" s="813" t="s">
        <v>2684</v>
      </c>
      <c r="S166" s="814"/>
      <c r="T166" s="814"/>
      <c r="U166" s="814"/>
      <c r="V166" s="814"/>
      <c r="W166" s="814"/>
      <c r="X166" s="814"/>
      <c r="Y166" s="814"/>
      <c r="Z166" s="814"/>
      <c r="AA166" s="814"/>
      <c r="AB166" s="814"/>
      <c r="AC166" s="814"/>
      <c r="AD166" s="815"/>
    </row>
    <row r="167" spans="1:30" ht="15" customHeight="1">
      <c r="A167" s="89"/>
      <c r="B167" s="90"/>
      <c r="C167" s="98" t="s">
        <v>2523</v>
      </c>
      <c r="D167" s="813" t="s">
        <v>2685</v>
      </c>
      <c r="E167" s="814"/>
      <c r="F167" s="814"/>
      <c r="G167" s="814"/>
      <c r="H167" s="814"/>
      <c r="I167" s="814"/>
      <c r="J167" s="814"/>
      <c r="K167" s="814"/>
      <c r="L167" s="814"/>
      <c r="M167" s="814"/>
      <c r="N167" s="814"/>
      <c r="O167" s="814"/>
      <c r="P167" s="815"/>
      <c r="Q167" s="44" t="s">
        <v>2536</v>
      </c>
      <c r="R167" s="813" t="s">
        <v>2686</v>
      </c>
      <c r="S167" s="814"/>
      <c r="T167" s="814"/>
      <c r="U167" s="814"/>
      <c r="V167" s="814"/>
      <c r="W167" s="814"/>
      <c r="X167" s="814"/>
      <c r="Y167" s="814"/>
      <c r="Z167" s="814"/>
      <c r="AA167" s="814"/>
      <c r="AB167" s="814"/>
      <c r="AC167" s="814"/>
      <c r="AD167" s="815"/>
    </row>
    <row r="168" spans="1:30" ht="15" customHeight="1">
      <c r="A168" s="89"/>
      <c r="B168" s="90"/>
      <c r="C168" s="98" t="s">
        <v>2524</v>
      </c>
      <c r="D168" s="813" t="s">
        <v>2687</v>
      </c>
      <c r="E168" s="814"/>
      <c r="F168" s="814"/>
      <c r="G168" s="814"/>
      <c r="H168" s="814"/>
      <c r="I168" s="814"/>
      <c r="J168" s="814"/>
      <c r="K168" s="814"/>
      <c r="L168" s="814"/>
      <c r="M168" s="814"/>
      <c r="N168" s="814"/>
      <c r="O168" s="814"/>
      <c r="P168" s="815"/>
      <c r="Q168" s="44" t="s">
        <v>2537</v>
      </c>
      <c r="R168" s="813" t="s">
        <v>2688</v>
      </c>
      <c r="S168" s="814"/>
      <c r="T168" s="814"/>
      <c r="U168" s="814"/>
      <c r="V168" s="814"/>
      <c r="W168" s="814"/>
      <c r="X168" s="814"/>
      <c r="Y168" s="814"/>
      <c r="Z168" s="814"/>
      <c r="AA168" s="814"/>
      <c r="AB168" s="814"/>
      <c r="AC168" s="814"/>
      <c r="AD168" s="815"/>
    </row>
    <row r="169" spans="1:30" ht="15" customHeight="1">
      <c r="A169" s="89"/>
      <c r="B169" s="90"/>
      <c r="C169" s="98" t="s">
        <v>2525</v>
      </c>
      <c r="D169" s="813" t="s">
        <v>2689</v>
      </c>
      <c r="E169" s="814"/>
      <c r="F169" s="814"/>
      <c r="G169" s="814"/>
      <c r="H169" s="814"/>
      <c r="I169" s="814"/>
      <c r="J169" s="814"/>
      <c r="K169" s="814"/>
      <c r="L169" s="814"/>
      <c r="M169" s="814"/>
      <c r="N169" s="814"/>
      <c r="O169" s="814"/>
      <c r="P169" s="815"/>
      <c r="Q169" s="44" t="s">
        <v>2538</v>
      </c>
      <c r="R169" s="813" t="s">
        <v>2690</v>
      </c>
      <c r="S169" s="814"/>
      <c r="T169" s="814"/>
      <c r="U169" s="814"/>
      <c r="V169" s="814"/>
      <c r="W169" s="814"/>
      <c r="X169" s="814"/>
      <c r="Y169" s="814"/>
      <c r="Z169" s="814"/>
      <c r="AA169" s="814"/>
      <c r="AB169" s="814"/>
      <c r="AC169" s="814"/>
      <c r="AD169" s="815"/>
    </row>
    <row r="170" spans="1:30" ht="24" customHeight="1">
      <c r="A170" s="89"/>
      <c r="B170" s="90"/>
      <c r="C170" s="98" t="s">
        <v>2526</v>
      </c>
      <c r="D170" s="813" t="s">
        <v>2691</v>
      </c>
      <c r="E170" s="814"/>
      <c r="F170" s="814"/>
      <c r="G170" s="814"/>
      <c r="H170" s="814"/>
      <c r="I170" s="814"/>
      <c r="J170" s="814"/>
      <c r="K170" s="814"/>
      <c r="L170" s="814"/>
      <c r="M170" s="814"/>
      <c r="N170" s="814"/>
      <c r="O170" s="814"/>
      <c r="P170" s="815"/>
      <c r="Q170" s="44" t="s">
        <v>2539</v>
      </c>
      <c r="R170" s="813" t="s">
        <v>2692</v>
      </c>
      <c r="S170" s="814"/>
      <c r="T170" s="814"/>
      <c r="U170" s="814"/>
      <c r="V170" s="814"/>
      <c r="W170" s="814"/>
      <c r="X170" s="814"/>
      <c r="Y170" s="814"/>
      <c r="Z170" s="814"/>
      <c r="AA170" s="814"/>
      <c r="AB170" s="814"/>
      <c r="AC170" s="814"/>
      <c r="AD170" s="815"/>
    </row>
    <row r="171" spans="1:30" ht="15" customHeight="1">
      <c r="A171" s="89"/>
      <c r="B171" s="90"/>
      <c r="C171" s="98" t="s">
        <v>2527</v>
      </c>
      <c r="D171" s="813" t="s">
        <v>2693</v>
      </c>
      <c r="E171" s="814"/>
      <c r="F171" s="814"/>
      <c r="G171" s="814"/>
      <c r="H171" s="814"/>
      <c r="I171" s="814"/>
      <c r="J171" s="814"/>
      <c r="K171" s="814"/>
      <c r="L171" s="814"/>
      <c r="M171" s="814"/>
      <c r="N171" s="814"/>
      <c r="O171" s="814"/>
      <c r="P171" s="815"/>
      <c r="Q171" s="44" t="s">
        <v>2540</v>
      </c>
      <c r="R171" s="813" t="s">
        <v>2694</v>
      </c>
      <c r="S171" s="814"/>
      <c r="T171" s="814"/>
      <c r="U171" s="814"/>
      <c r="V171" s="814"/>
      <c r="W171" s="814"/>
      <c r="X171" s="814"/>
      <c r="Y171" s="814"/>
      <c r="Z171" s="814"/>
      <c r="AA171" s="814"/>
      <c r="AB171" s="814"/>
      <c r="AC171" s="814"/>
      <c r="AD171" s="815"/>
    </row>
    <row r="172" spans="1:30" ht="15" customHeight="1">
      <c r="A172" s="89"/>
      <c r="B172" s="90"/>
      <c r="C172" s="98" t="s">
        <v>2528</v>
      </c>
      <c r="D172" s="813" t="s">
        <v>2695</v>
      </c>
      <c r="E172" s="814"/>
      <c r="F172" s="814"/>
      <c r="G172" s="814"/>
      <c r="H172" s="814"/>
      <c r="I172" s="814"/>
      <c r="J172" s="814"/>
      <c r="K172" s="814"/>
      <c r="L172" s="814"/>
      <c r="M172" s="814"/>
      <c r="N172" s="814"/>
      <c r="O172" s="814"/>
      <c r="P172" s="815"/>
      <c r="Q172" s="44" t="s">
        <v>2541</v>
      </c>
      <c r="R172" s="796" t="s">
        <v>2696</v>
      </c>
      <c r="S172" s="796"/>
      <c r="T172" s="796"/>
      <c r="U172" s="796"/>
      <c r="V172" s="796"/>
      <c r="W172" s="796"/>
      <c r="X172" s="796"/>
      <c r="Y172" s="796"/>
      <c r="Z172" s="796"/>
      <c r="AA172" s="796"/>
      <c r="AB172" s="796"/>
      <c r="AC172" s="796"/>
      <c r="AD172" s="796"/>
    </row>
    <row r="173" spans="1:30" ht="15" customHeight="1">
      <c r="A173" s="89"/>
      <c r="B173" s="90"/>
      <c r="C173" s="84"/>
      <c r="D173" s="36"/>
      <c r="E173" s="36"/>
      <c r="F173" s="36"/>
      <c r="G173" s="36"/>
      <c r="H173" s="36"/>
      <c r="I173" s="36"/>
      <c r="J173" s="36"/>
      <c r="K173" s="36"/>
      <c r="L173" s="36"/>
      <c r="M173" s="36"/>
      <c r="N173" s="36"/>
      <c r="O173" s="36"/>
      <c r="P173" s="36"/>
      <c r="Q173" s="70"/>
      <c r="R173" s="36"/>
      <c r="S173" s="36"/>
      <c r="T173" s="36"/>
      <c r="U173" s="36"/>
      <c r="V173" s="36"/>
      <c r="W173" s="36"/>
      <c r="X173" s="36"/>
      <c r="Y173" s="36"/>
      <c r="Z173" s="36"/>
      <c r="AA173" s="36"/>
      <c r="AB173" s="36"/>
      <c r="AC173" s="36"/>
      <c r="AD173" s="36"/>
    </row>
    <row r="174" spans="1:30" ht="24" customHeight="1">
      <c r="A174" s="96"/>
      <c r="B174" s="90"/>
      <c r="C174" s="754" t="s">
        <v>2611</v>
      </c>
      <c r="D174" s="754"/>
      <c r="E174" s="754"/>
      <c r="F174" s="754"/>
      <c r="G174" s="754"/>
      <c r="H174" s="754"/>
      <c r="I174" s="754"/>
      <c r="J174" s="754"/>
      <c r="K174" s="754"/>
      <c r="L174" s="754"/>
      <c r="M174" s="754"/>
      <c r="N174" s="754"/>
      <c r="O174" s="754"/>
      <c r="P174" s="754"/>
      <c r="Q174" s="754"/>
      <c r="R174" s="754"/>
      <c r="S174" s="754"/>
      <c r="T174" s="754"/>
      <c r="U174" s="754"/>
      <c r="V174" s="754"/>
      <c r="W174" s="754"/>
      <c r="X174" s="754"/>
      <c r="Y174" s="754"/>
      <c r="Z174" s="754"/>
      <c r="AA174" s="754"/>
      <c r="AB174" s="754"/>
      <c r="AC174" s="754"/>
      <c r="AD174" s="754"/>
    </row>
    <row r="175" spans="1:30" ht="60" customHeight="1">
      <c r="A175" s="96"/>
      <c r="B175" s="90"/>
      <c r="C175" s="851"/>
      <c r="D175" s="851"/>
      <c r="E175" s="851"/>
      <c r="F175" s="851"/>
      <c r="G175" s="851"/>
      <c r="H175" s="851"/>
      <c r="I175" s="851"/>
      <c r="J175" s="851"/>
      <c r="K175" s="851"/>
      <c r="L175" s="851"/>
      <c r="M175" s="851"/>
      <c r="N175" s="851"/>
      <c r="O175" s="851"/>
      <c r="P175" s="851"/>
      <c r="Q175" s="851"/>
      <c r="R175" s="851"/>
      <c r="S175" s="851"/>
      <c r="T175" s="851"/>
      <c r="U175" s="851"/>
      <c r="V175" s="851"/>
      <c r="W175" s="851"/>
      <c r="X175" s="851"/>
      <c r="Y175" s="851"/>
      <c r="Z175" s="851"/>
      <c r="AA175" s="851"/>
      <c r="AB175" s="851"/>
      <c r="AC175" s="851"/>
      <c r="AD175" s="851"/>
    </row>
    <row r="176" spans="1:30" ht="15" customHeight="1">
      <c r="A176" s="96"/>
      <c r="B176" s="794" t="str">
        <f>IF(AG144&gt;0,"Favor de ingresar toda la información requerida en la pregunta y/o verifique que no tenga información en celdas sombreadas","")</f>
        <v/>
      </c>
      <c r="C176" s="794"/>
      <c r="D176" s="794"/>
      <c r="E176" s="794"/>
      <c r="F176" s="794"/>
      <c r="G176" s="794"/>
      <c r="H176" s="794"/>
      <c r="I176" s="794"/>
      <c r="J176" s="794"/>
      <c r="K176" s="794"/>
      <c r="L176" s="794"/>
      <c r="M176" s="794"/>
      <c r="N176" s="794"/>
      <c r="O176" s="794"/>
      <c r="P176" s="794"/>
      <c r="Q176" s="794"/>
      <c r="R176" s="794"/>
      <c r="S176" s="794"/>
      <c r="T176" s="794"/>
      <c r="U176" s="794"/>
      <c r="V176" s="794"/>
      <c r="W176" s="794"/>
      <c r="X176" s="794"/>
      <c r="Y176" s="794"/>
      <c r="Z176" s="794"/>
      <c r="AA176" s="794"/>
      <c r="AB176" s="794"/>
      <c r="AC176" s="794"/>
      <c r="AD176" s="794"/>
    </row>
    <row r="177" spans="1:44" ht="15" customHeight="1">
      <c r="A177" s="103"/>
      <c r="B177" s="656"/>
      <c r="C177" s="84"/>
      <c r="D177" s="84"/>
      <c r="E177" s="84"/>
      <c r="F177" s="84"/>
      <c r="G177" s="657"/>
      <c r="H177" s="657"/>
      <c r="I177" s="657"/>
      <c r="J177" s="657"/>
      <c r="K177" s="657"/>
      <c r="L177" s="657"/>
      <c r="M177" s="657"/>
      <c r="N177" s="657"/>
      <c r="O177" s="657"/>
      <c r="P177" s="657"/>
      <c r="Q177" s="657"/>
      <c r="R177" s="657"/>
      <c r="S177" s="657"/>
      <c r="T177" s="657"/>
      <c r="U177" s="657"/>
      <c r="V177" s="657"/>
      <c r="W177" s="657"/>
      <c r="X177" s="657"/>
      <c r="Y177" s="657"/>
      <c r="Z177" s="657"/>
      <c r="AA177" s="657"/>
      <c r="AB177" s="657"/>
      <c r="AC177" s="84"/>
      <c r="AD177" s="84"/>
    </row>
    <row r="178" spans="1:44" ht="15" customHeight="1">
      <c r="A178" s="103"/>
      <c r="B178" s="656"/>
      <c r="C178" s="84"/>
      <c r="D178" s="84"/>
      <c r="E178" s="84"/>
      <c r="F178" s="84"/>
      <c r="G178" s="657"/>
      <c r="H178" s="657"/>
      <c r="I178" s="657"/>
      <c r="J178" s="657"/>
      <c r="K178" s="657"/>
      <c r="L178" s="657"/>
      <c r="M178" s="657"/>
      <c r="N178" s="657"/>
      <c r="O178" s="657"/>
      <c r="P178" s="657"/>
      <c r="Q178" s="657"/>
      <c r="R178" s="657"/>
      <c r="S178" s="657"/>
      <c r="T178" s="657"/>
      <c r="U178" s="657"/>
      <c r="V178" s="657"/>
      <c r="W178" s="657"/>
      <c r="X178" s="657"/>
      <c r="Y178" s="657"/>
      <c r="Z178" s="657"/>
      <c r="AA178" s="657"/>
      <c r="AB178" s="657"/>
      <c r="AC178" s="84"/>
      <c r="AD178" s="84"/>
    </row>
    <row r="179" spans="1:44" ht="15" customHeight="1">
      <c r="A179" s="103"/>
      <c r="B179" s="656"/>
      <c r="C179" s="656"/>
      <c r="D179" s="656"/>
      <c r="E179" s="656"/>
      <c r="F179" s="656"/>
      <c r="G179" s="656"/>
      <c r="H179" s="656"/>
      <c r="I179" s="656"/>
      <c r="J179" s="656"/>
      <c r="K179" s="656"/>
      <c r="L179" s="656"/>
      <c r="M179" s="656"/>
      <c r="N179" s="656"/>
      <c r="O179" s="656"/>
      <c r="P179" s="656"/>
      <c r="Q179" s="656"/>
      <c r="R179" s="656"/>
      <c r="S179" s="656"/>
      <c r="T179" s="656"/>
      <c r="U179" s="656"/>
      <c r="V179" s="656"/>
      <c r="W179" s="656"/>
      <c r="X179" s="656"/>
      <c r="Y179" s="656"/>
      <c r="Z179" s="656"/>
      <c r="AA179" s="656"/>
      <c r="AB179" s="656"/>
      <c r="AC179" s="656"/>
      <c r="AD179" s="656"/>
    </row>
    <row r="180" spans="1:44" ht="15" customHeight="1">
      <c r="A180" s="103"/>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c r="AA180" s="51"/>
      <c r="AB180" s="51"/>
      <c r="AC180" s="51"/>
      <c r="AD180" s="51"/>
    </row>
    <row r="181" spans="1:44" ht="15" customHeight="1">
      <c r="A181" s="103"/>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c r="AA181" s="51"/>
      <c r="AB181" s="51"/>
      <c r="AC181" s="51"/>
      <c r="AD181" s="51"/>
    </row>
    <row r="182" spans="1:44" ht="24" customHeight="1">
      <c r="A182" s="49" t="s">
        <v>2697</v>
      </c>
      <c r="B182" s="829" t="s">
        <v>2698</v>
      </c>
      <c r="C182" s="829"/>
      <c r="D182" s="829"/>
      <c r="E182" s="829"/>
      <c r="F182" s="829"/>
      <c r="G182" s="829"/>
      <c r="H182" s="829"/>
      <c r="I182" s="829"/>
      <c r="J182" s="829"/>
      <c r="K182" s="829"/>
      <c r="L182" s="829"/>
      <c r="M182" s="829"/>
      <c r="N182" s="829"/>
      <c r="O182" s="829"/>
      <c r="P182" s="829"/>
      <c r="Q182" s="829"/>
      <c r="R182" s="829"/>
      <c r="S182" s="829"/>
      <c r="T182" s="829"/>
      <c r="U182" s="829"/>
      <c r="V182" s="829"/>
      <c r="W182" s="829"/>
      <c r="X182" s="829"/>
      <c r="Y182" s="829"/>
      <c r="Z182" s="829"/>
      <c r="AA182" s="829"/>
      <c r="AB182" s="829"/>
      <c r="AC182" s="829"/>
      <c r="AD182" s="829"/>
    </row>
    <row r="183" spans="1:44" ht="24" customHeight="1">
      <c r="A183" s="49"/>
      <c r="B183" s="90"/>
      <c r="C183" s="754" t="s">
        <v>2699</v>
      </c>
      <c r="D183" s="754"/>
      <c r="E183" s="754"/>
      <c r="F183" s="754"/>
      <c r="G183" s="754"/>
      <c r="H183" s="754"/>
      <c r="I183" s="754"/>
      <c r="J183" s="754"/>
      <c r="K183" s="754"/>
      <c r="L183" s="754"/>
      <c r="M183" s="754"/>
      <c r="N183" s="754"/>
      <c r="O183" s="754"/>
      <c r="P183" s="754"/>
      <c r="Q183" s="754"/>
      <c r="R183" s="754"/>
      <c r="S183" s="754"/>
      <c r="T183" s="754"/>
      <c r="U183" s="754"/>
      <c r="V183" s="754"/>
      <c r="W183" s="754"/>
      <c r="X183" s="754"/>
      <c r="Y183" s="754"/>
      <c r="Z183" s="754"/>
      <c r="AA183" s="754"/>
      <c r="AB183" s="754"/>
      <c r="AC183" s="754"/>
      <c r="AD183" s="754"/>
    </row>
    <row r="184" spans="1:44" ht="24" customHeight="1">
      <c r="A184" s="94"/>
      <c r="B184" s="94"/>
      <c r="C184" s="830" t="s">
        <v>2700</v>
      </c>
      <c r="D184" s="830"/>
      <c r="E184" s="830"/>
      <c r="F184" s="830"/>
      <c r="G184" s="830"/>
      <c r="H184" s="830"/>
      <c r="I184" s="830"/>
      <c r="J184" s="830"/>
      <c r="K184" s="830"/>
      <c r="L184" s="830"/>
      <c r="M184" s="830"/>
      <c r="N184" s="830"/>
      <c r="O184" s="830"/>
      <c r="P184" s="830"/>
      <c r="Q184" s="830"/>
      <c r="R184" s="830"/>
      <c r="S184" s="830"/>
      <c r="T184" s="830"/>
      <c r="U184" s="830"/>
      <c r="V184" s="830"/>
      <c r="W184" s="830"/>
      <c r="X184" s="830"/>
      <c r="Y184" s="830"/>
      <c r="Z184" s="830"/>
      <c r="AA184" s="830"/>
      <c r="AB184" s="830"/>
      <c r="AC184" s="830"/>
      <c r="AD184" s="830"/>
    </row>
    <row r="185" spans="1:44" ht="24" customHeight="1">
      <c r="A185" s="94"/>
      <c r="B185" s="94"/>
      <c r="C185" s="830" t="s">
        <v>2701</v>
      </c>
      <c r="D185" s="830"/>
      <c r="E185" s="830"/>
      <c r="F185" s="830"/>
      <c r="G185" s="830"/>
      <c r="H185" s="830"/>
      <c r="I185" s="830"/>
      <c r="J185" s="830"/>
      <c r="K185" s="830"/>
      <c r="L185" s="830"/>
      <c r="M185" s="830"/>
      <c r="N185" s="830"/>
      <c r="O185" s="830"/>
      <c r="P185" s="830"/>
      <c r="Q185" s="830"/>
      <c r="R185" s="830"/>
      <c r="S185" s="830"/>
      <c r="T185" s="830"/>
      <c r="U185" s="830"/>
      <c r="V185" s="830"/>
      <c r="W185" s="830"/>
      <c r="X185" s="830"/>
      <c r="Y185" s="830"/>
      <c r="Z185" s="830"/>
      <c r="AA185" s="830"/>
      <c r="AB185" s="830"/>
      <c r="AC185" s="830"/>
      <c r="AD185" s="830"/>
    </row>
    <row r="186" spans="1:44" ht="24" customHeight="1">
      <c r="A186" s="94"/>
      <c r="B186" s="94"/>
      <c r="C186" s="830" t="s">
        <v>2702</v>
      </c>
      <c r="D186" s="830"/>
      <c r="E186" s="830"/>
      <c r="F186" s="830"/>
      <c r="G186" s="830"/>
      <c r="H186" s="830"/>
      <c r="I186" s="830"/>
      <c r="J186" s="830"/>
      <c r="K186" s="830"/>
      <c r="L186" s="830"/>
      <c r="M186" s="830"/>
      <c r="N186" s="830"/>
      <c r="O186" s="830"/>
      <c r="P186" s="830"/>
      <c r="Q186" s="830"/>
      <c r="R186" s="830"/>
      <c r="S186" s="830"/>
      <c r="T186" s="830"/>
      <c r="U186" s="830"/>
      <c r="V186" s="830"/>
      <c r="W186" s="830"/>
      <c r="X186" s="830"/>
      <c r="Y186" s="830"/>
      <c r="Z186" s="830"/>
      <c r="AA186" s="830"/>
      <c r="AB186" s="830"/>
      <c r="AC186" s="830"/>
      <c r="AD186" s="830"/>
    </row>
    <row r="187" spans="1:44" ht="24" customHeight="1">
      <c r="A187" s="94"/>
      <c r="C187" s="830" t="s">
        <v>2703</v>
      </c>
      <c r="D187" s="830"/>
      <c r="E187" s="830"/>
      <c r="F187" s="830"/>
      <c r="G187" s="830"/>
      <c r="H187" s="830"/>
      <c r="I187" s="830"/>
      <c r="J187" s="830"/>
      <c r="K187" s="830"/>
      <c r="L187" s="830"/>
      <c r="M187" s="830"/>
      <c r="N187" s="830"/>
      <c r="O187" s="830"/>
      <c r="P187" s="830"/>
      <c r="Q187" s="830"/>
      <c r="R187" s="830"/>
      <c r="S187" s="830"/>
      <c r="T187" s="830"/>
      <c r="U187" s="830"/>
      <c r="V187" s="830"/>
      <c r="W187" s="830"/>
      <c r="X187" s="830"/>
      <c r="Y187" s="830"/>
      <c r="Z187" s="830"/>
      <c r="AA187" s="830"/>
      <c r="AB187" s="830"/>
      <c r="AC187" s="830"/>
      <c r="AD187" s="830"/>
    </row>
    <row r="188" spans="1:44" ht="15" customHeight="1">
      <c r="A188" s="49"/>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row>
    <row r="189" spans="1:44" ht="15" customHeight="1">
      <c r="A189" s="49"/>
      <c r="B189" s="90"/>
      <c r="C189" s="732" t="s">
        <v>2581</v>
      </c>
      <c r="D189" s="732"/>
      <c r="E189" s="732"/>
      <c r="F189" s="732"/>
      <c r="G189" s="732"/>
      <c r="H189" s="732"/>
      <c r="I189" s="732"/>
      <c r="J189" s="732"/>
      <c r="K189" s="732"/>
      <c r="L189" s="732"/>
      <c r="M189" s="732"/>
      <c r="N189" s="732"/>
      <c r="O189" s="739" t="s">
        <v>2704</v>
      </c>
      <c r="P189" s="740"/>
      <c r="Q189" s="740"/>
      <c r="R189" s="740"/>
      <c r="S189" s="740"/>
      <c r="T189" s="740"/>
      <c r="U189" s="740"/>
      <c r="V189" s="740"/>
      <c r="W189" s="740"/>
      <c r="X189" s="740"/>
      <c r="Y189" s="740"/>
      <c r="Z189" s="740"/>
      <c r="AA189" s="740"/>
      <c r="AB189" s="740"/>
      <c r="AC189" s="740"/>
      <c r="AD189" s="741"/>
      <c r="AN189" s="913" t="s">
        <v>2705</v>
      </c>
      <c r="AO189" s="913"/>
      <c r="AP189" s="913"/>
      <c r="AQ189" s="913"/>
      <c r="AR189" s="253"/>
    </row>
    <row r="190" spans="1:44" ht="60" customHeight="1">
      <c r="A190" s="49"/>
      <c r="B190" s="90"/>
      <c r="C190" s="732"/>
      <c r="D190" s="732"/>
      <c r="E190" s="732"/>
      <c r="F190" s="732"/>
      <c r="G190" s="732"/>
      <c r="H190" s="732"/>
      <c r="I190" s="732"/>
      <c r="J190" s="732"/>
      <c r="K190" s="732"/>
      <c r="L190" s="732"/>
      <c r="M190" s="732"/>
      <c r="N190" s="732"/>
      <c r="O190" s="733" t="s">
        <v>2706</v>
      </c>
      <c r="P190" s="734"/>
      <c r="Q190" s="734"/>
      <c r="R190" s="735"/>
      <c r="S190" s="733" t="s">
        <v>2707</v>
      </c>
      <c r="T190" s="734"/>
      <c r="U190" s="734"/>
      <c r="V190" s="735"/>
      <c r="W190" s="733" t="s">
        <v>2708</v>
      </c>
      <c r="X190" s="734"/>
      <c r="Y190" s="734"/>
      <c r="Z190" s="735"/>
      <c r="AA190" s="733" t="s">
        <v>2709</v>
      </c>
      <c r="AB190" s="734"/>
      <c r="AC190" s="734"/>
      <c r="AD190" s="735"/>
      <c r="AG190" s="247" t="s">
        <v>2586</v>
      </c>
      <c r="AH190" s="267" t="s">
        <v>2710</v>
      </c>
      <c r="AI190" s="268" t="s">
        <v>2711</v>
      </c>
      <c r="AJ190" s="269" t="s">
        <v>2712</v>
      </c>
      <c r="AK190" s="270" t="s">
        <v>2713</v>
      </c>
      <c r="AL190" s="271" t="s">
        <v>2714</v>
      </c>
      <c r="AM190" s="251" t="s">
        <v>2590</v>
      </c>
      <c r="AN190" s="276" t="s">
        <v>2715</v>
      </c>
      <c r="AO190" s="277" t="s">
        <v>2716</v>
      </c>
      <c r="AP190" s="278" t="s">
        <v>2717</v>
      </c>
      <c r="AQ190" s="279" t="s">
        <v>2718</v>
      </c>
      <c r="AR190" s="258" t="s">
        <v>2620</v>
      </c>
    </row>
    <row r="191" spans="1:44" ht="15" customHeight="1">
      <c r="A191" s="49"/>
      <c r="B191" s="90"/>
      <c r="C191" s="44" t="s">
        <v>2516</v>
      </c>
      <c r="D191" s="813" t="str">
        <f>IF(CNSIPEE_2024_M2_Secc1!D42="","",CNSIPEE_2024_M2_Secc1!D42)</f>
        <v/>
      </c>
      <c r="E191" s="814"/>
      <c r="F191" s="814"/>
      <c r="G191" s="814"/>
      <c r="H191" s="814"/>
      <c r="I191" s="814"/>
      <c r="J191" s="814"/>
      <c r="K191" s="814"/>
      <c r="L191" s="814"/>
      <c r="M191" s="814"/>
      <c r="N191" s="815"/>
      <c r="O191" s="816"/>
      <c r="P191" s="738"/>
      <c r="Q191" s="738"/>
      <c r="R191" s="817"/>
      <c r="S191" s="816"/>
      <c r="T191" s="738"/>
      <c r="U191" s="738"/>
      <c r="V191" s="817"/>
      <c r="W191" s="816"/>
      <c r="X191" s="738"/>
      <c r="Y191" s="738"/>
      <c r="Z191" s="817"/>
      <c r="AA191" s="816"/>
      <c r="AB191" s="738"/>
      <c r="AC191" s="738"/>
      <c r="AD191" s="817"/>
      <c r="AG191" s="249">
        <f>IF(AND(COUNTBLANK(D191)=0,$L136&lt;&gt;"",$L136&lt;&gt;1,COUNTA(O191:AD191)=0),0,IF(AND(COUNTBLANK(D191)=0,$L136&lt;&gt;"",$L136=1,SUM(AH191:AK191)=COUNTA(O191:AD191)),0,IF(AND(COUNTBLANK(D191)=1,COUNTA(O191:AD191)=0),0,1)))</f>
        <v>0</v>
      </c>
      <c r="AH191" s="253">
        <f>IF(COUNTIF(T136,"X")&gt;0,1,0)</f>
        <v>0</v>
      </c>
      <c r="AI191" s="253">
        <f>IF(COUNTIF(X136,"X")&gt;0,1,0)</f>
        <v>0</v>
      </c>
      <c r="AJ191" s="253">
        <f>IF(COUNTIF(Z136:AC136,"X")&gt;0,1,0)</f>
        <v>0</v>
      </c>
      <c r="AK191" s="253">
        <f>IF(COUNTIF(T148,"X")&gt;0,1,0)</f>
        <v>0</v>
      </c>
      <c r="AL191" s="253">
        <f>IF(AND($L136&lt;&gt;"",$L136&lt;&gt;1),1,0)</f>
        <v>0</v>
      </c>
      <c r="AM191" s="249">
        <f>COUNTIF(O191:AD191,"NS")</f>
        <v>0</v>
      </c>
      <c r="AN191" s="253">
        <f>IF(AND(COUNTIF(T136,"X")=0,COUNTA(O191)&gt;0),1,0)</f>
        <v>0</v>
      </c>
      <c r="AO191" s="253">
        <f>IF(AND(COUNTIF(X136,"X")=0,COUNTA(S191)&gt;0),1,0)</f>
        <v>0</v>
      </c>
      <c r="AP191" s="253">
        <f>IF(AND(COUNTIF(Z136:AC136,"X")=0,COUNTA(W191)&gt;0),1,0)</f>
        <v>0</v>
      </c>
      <c r="AQ191" s="253">
        <f>IF(AND(COUNTIF(T148,"X")=0,COUNTA(AA191)&gt;0),1,0)</f>
        <v>0</v>
      </c>
      <c r="AR191" s="253">
        <f>IF(AND($L136&lt;&gt;"",$L136&lt;&gt;1,COUNTA(O191:AD191)&gt;0),1,0)</f>
        <v>0</v>
      </c>
    </row>
    <row r="192" spans="1:44" ht="15" customHeight="1">
      <c r="A192" s="49"/>
      <c r="B192" s="90"/>
      <c r="C192" s="44" t="s">
        <v>2517</v>
      </c>
      <c r="D192" s="813" t="str">
        <f>IF(CNSIPEE_2024_M2_Secc1!D43="","",CNSIPEE_2024_M2_Secc1!D43)</f>
        <v/>
      </c>
      <c r="E192" s="814"/>
      <c r="F192" s="814"/>
      <c r="G192" s="814"/>
      <c r="H192" s="814"/>
      <c r="I192" s="814"/>
      <c r="J192" s="814"/>
      <c r="K192" s="814"/>
      <c r="L192" s="814"/>
      <c r="M192" s="814"/>
      <c r="N192" s="815"/>
      <c r="O192" s="816"/>
      <c r="P192" s="738"/>
      <c r="Q192" s="738"/>
      <c r="R192" s="817"/>
      <c r="S192" s="816"/>
      <c r="T192" s="738"/>
      <c r="U192" s="738"/>
      <c r="V192" s="817"/>
      <c r="W192" s="816"/>
      <c r="X192" s="738"/>
      <c r="Y192" s="738"/>
      <c r="Z192" s="817"/>
      <c r="AA192" s="816"/>
      <c r="AB192" s="738"/>
      <c r="AC192" s="738"/>
      <c r="AD192" s="817"/>
      <c r="AG192" s="249">
        <f t="shared" ref="AG192:AG198" si="34">IF(AND(COUNTBLANK(D192)=0,$L137&lt;&gt;"",$L137&lt;&gt;1,COUNTA(O192:AD192)=0),0,IF(AND(COUNTBLANK(D192)=0,$L137&lt;&gt;"",$L137=1,SUM(AH192:AK192)=COUNTA(O192:AD192)),0,IF(AND(COUNTBLANK(D192)=1,COUNTA(O192:AD192)=0),0,1)))</f>
        <v>0</v>
      </c>
      <c r="AH192" s="253">
        <f t="shared" ref="AH192:AH198" si="35">IF(COUNTIF(T137,"X")&gt;0,1,0)</f>
        <v>0</v>
      </c>
      <c r="AI192" s="253">
        <f t="shared" ref="AI192:AI198" si="36">IF(COUNTIF(X137,"X")&gt;0,1,0)</f>
        <v>0</v>
      </c>
      <c r="AJ192" s="253">
        <f t="shared" ref="AJ192:AJ198" si="37">IF(COUNTIF(Z137:AC137,"X")&gt;0,1,0)</f>
        <v>0</v>
      </c>
      <c r="AK192" s="253">
        <f t="shared" ref="AK192:AK198" si="38">IF(COUNTIF(T149,"X")&gt;0,1,0)</f>
        <v>0</v>
      </c>
      <c r="AL192" s="253">
        <f>IF(AND($L137&lt;&gt;"",$L137&lt;&gt;1),1,0)</f>
        <v>0</v>
      </c>
      <c r="AM192" s="249">
        <f>COUNTIF(O192:AD192,"NS")</f>
        <v>0</v>
      </c>
      <c r="AN192" s="253">
        <f>IF(AND(COUNTIF(T137,"X")=0,COUNTA(O192)&gt;0),1,0)</f>
        <v>0</v>
      </c>
      <c r="AO192" s="253">
        <f>IF(AND(COUNTIF(X137,"X")=0,COUNTA(S192)&gt;0),1,0)</f>
        <v>0</v>
      </c>
      <c r="AP192" s="253">
        <f>IF(AND(COUNTIF(Z137:AC137,"X")=0,COUNTA(W192)&gt;0),1,0)</f>
        <v>0</v>
      </c>
      <c r="AQ192" s="253">
        <f>IF(AND(COUNTIF(T149,"X")=0,COUNTA(AA192)&gt;0),1,0)</f>
        <v>0</v>
      </c>
      <c r="AR192" s="253">
        <f t="shared" ref="AR192:AR198" si="39">IF(AND($L137&lt;&gt;"",$L137&lt;&gt;1,COUNTA(O192:AD192)&gt;0),1,0)</f>
        <v>0</v>
      </c>
    </row>
    <row r="193" spans="1:44" ht="15" customHeight="1">
      <c r="A193" s="49"/>
      <c r="B193" s="90"/>
      <c r="C193" s="44" t="s">
        <v>2518</v>
      </c>
      <c r="D193" s="813" t="str">
        <f>IF(CNSIPEE_2024_M2_Secc1!D44="","",CNSIPEE_2024_M2_Secc1!D44)</f>
        <v/>
      </c>
      <c r="E193" s="814"/>
      <c r="F193" s="814"/>
      <c r="G193" s="814"/>
      <c r="H193" s="814"/>
      <c r="I193" s="814"/>
      <c r="J193" s="814"/>
      <c r="K193" s="814"/>
      <c r="L193" s="814"/>
      <c r="M193" s="814"/>
      <c r="N193" s="815"/>
      <c r="O193" s="816"/>
      <c r="P193" s="738"/>
      <c r="Q193" s="738"/>
      <c r="R193" s="817"/>
      <c r="S193" s="816"/>
      <c r="T193" s="738"/>
      <c r="U193" s="738"/>
      <c r="V193" s="817"/>
      <c r="W193" s="816"/>
      <c r="X193" s="738"/>
      <c r="Y193" s="738"/>
      <c r="Z193" s="817"/>
      <c r="AA193" s="816"/>
      <c r="AB193" s="738"/>
      <c r="AC193" s="738"/>
      <c r="AD193" s="817"/>
      <c r="AG193" s="249">
        <f t="shared" si="34"/>
        <v>0</v>
      </c>
      <c r="AH193" s="253">
        <f>IF(COUNTIF(T138,"X")&gt;0,1,0)</f>
        <v>0</v>
      </c>
      <c r="AI193" s="253">
        <f>IF(COUNTIF(X138,"X")&gt;0,1,0)</f>
        <v>0</v>
      </c>
      <c r="AJ193" s="253">
        <f>IF(COUNTIF(Z138:AC138,"X")&gt;0,1,0)</f>
        <v>0</v>
      </c>
      <c r="AK193" s="253">
        <f>IF(COUNTIF(T150,"X")&gt;0,1,0)</f>
        <v>0</v>
      </c>
      <c r="AL193" s="253">
        <f t="shared" ref="AL193:AL198" si="40">IF(AND($L138&lt;&gt;"",$L138&lt;&gt;1),1,0)</f>
        <v>0</v>
      </c>
      <c r="AM193" s="249">
        <f t="shared" ref="AM193:AM198" si="41">COUNTIF(O193:AD193,"NS")</f>
        <v>0</v>
      </c>
      <c r="AN193" s="253">
        <f t="shared" ref="AN193:AN198" si="42">IF(AND(COUNTIF(T138,"X")=0,COUNTA(O193)&gt;0),1,0)</f>
        <v>0</v>
      </c>
      <c r="AO193" s="253">
        <f t="shared" ref="AO193:AO198" si="43">IF(AND(COUNTIF(X138,"X")=0,COUNTA(S193)&gt;0),1,0)</f>
        <v>0</v>
      </c>
      <c r="AP193" s="253">
        <f t="shared" ref="AP193:AP198" si="44">IF(AND(COUNTIF(Z138:AC138,"X")=0,COUNTA(W193)&gt;0),1,0)</f>
        <v>0</v>
      </c>
      <c r="AQ193" s="253">
        <f t="shared" ref="AQ193:AQ198" si="45">IF(AND(COUNTIF(T150,"X")=0,COUNTA(AA193)&gt;0),1,0)</f>
        <v>0</v>
      </c>
      <c r="AR193" s="253">
        <f t="shared" si="39"/>
        <v>0</v>
      </c>
    </row>
    <row r="194" spans="1:44" ht="15" customHeight="1">
      <c r="A194" s="49"/>
      <c r="B194" s="90"/>
      <c r="C194" s="44" t="s">
        <v>2519</v>
      </c>
      <c r="D194" s="813" t="str">
        <f>IF(CNSIPEE_2024_M2_Secc1!D45="","",CNSIPEE_2024_M2_Secc1!D45)</f>
        <v/>
      </c>
      <c r="E194" s="814"/>
      <c r="F194" s="814"/>
      <c r="G194" s="814"/>
      <c r="H194" s="814"/>
      <c r="I194" s="814"/>
      <c r="J194" s="814"/>
      <c r="K194" s="814"/>
      <c r="L194" s="814"/>
      <c r="M194" s="814"/>
      <c r="N194" s="815"/>
      <c r="O194" s="816"/>
      <c r="P194" s="738"/>
      <c r="Q194" s="738"/>
      <c r="R194" s="817"/>
      <c r="S194" s="816"/>
      <c r="T194" s="738"/>
      <c r="U194" s="738"/>
      <c r="V194" s="817"/>
      <c r="W194" s="816"/>
      <c r="X194" s="738"/>
      <c r="Y194" s="738"/>
      <c r="Z194" s="817"/>
      <c r="AA194" s="816"/>
      <c r="AB194" s="738"/>
      <c r="AC194" s="738"/>
      <c r="AD194" s="817"/>
      <c r="AG194" s="249">
        <f t="shared" si="34"/>
        <v>0</v>
      </c>
      <c r="AH194" s="253">
        <f t="shared" si="35"/>
        <v>0</v>
      </c>
      <c r="AI194" s="253">
        <f t="shared" si="36"/>
        <v>0</v>
      </c>
      <c r="AJ194" s="253">
        <f t="shared" si="37"/>
        <v>0</v>
      </c>
      <c r="AK194" s="253">
        <f t="shared" si="38"/>
        <v>0</v>
      </c>
      <c r="AL194" s="253">
        <f t="shared" si="40"/>
        <v>0</v>
      </c>
      <c r="AM194" s="249">
        <f t="shared" si="41"/>
        <v>0</v>
      </c>
      <c r="AN194" s="253">
        <f t="shared" si="42"/>
        <v>0</v>
      </c>
      <c r="AO194" s="253">
        <f t="shared" si="43"/>
        <v>0</v>
      </c>
      <c r="AP194" s="253">
        <f t="shared" si="44"/>
        <v>0</v>
      </c>
      <c r="AQ194" s="253">
        <f t="shared" si="45"/>
        <v>0</v>
      </c>
      <c r="AR194" s="253">
        <f t="shared" si="39"/>
        <v>0</v>
      </c>
    </row>
    <row r="195" spans="1:44" ht="15" customHeight="1">
      <c r="A195" s="49"/>
      <c r="B195" s="90"/>
      <c r="C195" s="44" t="s">
        <v>2520</v>
      </c>
      <c r="D195" s="813" t="str">
        <f>IF(CNSIPEE_2024_M2_Secc1!D46="","",CNSIPEE_2024_M2_Secc1!D46)</f>
        <v/>
      </c>
      <c r="E195" s="814"/>
      <c r="F195" s="814"/>
      <c r="G195" s="814"/>
      <c r="H195" s="814"/>
      <c r="I195" s="814"/>
      <c r="J195" s="814"/>
      <c r="K195" s="814"/>
      <c r="L195" s="814"/>
      <c r="M195" s="814"/>
      <c r="N195" s="815"/>
      <c r="O195" s="816"/>
      <c r="P195" s="738"/>
      <c r="Q195" s="738"/>
      <c r="R195" s="817"/>
      <c r="S195" s="816"/>
      <c r="T195" s="738"/>
      <c r="U195" s="738"/>
      <c r="V195" s="817"/>
      <c r="W195" s="816"/>
      <c r="X195" s="738"/>
      <c r="Y195" s="738"/>
      <c r="Z195" s="817"/>
      <c r="AA195" s="816"/>
      <c r="AB195" s="738"/>
      <c r="AC195" s="738"/>
      <c r="AD195" s="817"/>
      <c r="AG195" s="249">
        <f t="shared" si="34"/>
        <v>0</v>
      </c>
      <c r="AH195" s="253">
        <f t="shared" si="35"/>
        <v>0</v>
      </c>
      <c r="AI195" s="253">
        <f t="shared" si="36"/>
        <v>0</v>
      </c>
      <c r="AJ195" s="253">
        <f t="shared" si="37"/>
        <v>0</v>
      </c>
      <c r="AK195" s="253">
        <f t="shared" si="38"/>
        <v>0</v>
      </c>
      <c r="AL195" s="253">
        <f t="shared" si="40"/>
        <v>0</v>
      </c>
      <c r="AM195" s="249">
        <f t="shared" si="41"/>
        <v>0</v>
      </c>
      <c r="AN195" s="253">
        <f t="shared" si="42"/>
        <v>0</v>
      </c>
      <c r="AO195" s="253">
        <f t="shared" si="43"/>
        <v>0</v>
      </c>
      <c r="AP195" s="253">
        <f t="shared" si="44"/>
        <v>0</v>
      </c>
      <c r="AQ195" s="253">
        <f t="shared" si="45"/>
        <v>0</v>
      </c>
      <c r="AR195" s="253">
        <f t="shared" si="39"/>
        <v>0</v>
      </c>
    </row>
    <row r="196" spans="1:44" ht="15" customHeight="1">
      <c r="A196" s="49"/>
      <c r="B196" s="90"/>
      <c r="C196" s="44" t="s">
        <v>2521</v>
      </c>
      <c r="D196" s="813" t="str">
        <f>IF(CNSIPEE_2024_M2_Secc1!D47="","",CNSIPEE_2024_M2_Secc1!D47)</f>
        <v/>
      </c>
      <c r="E196" s="814"/>
      <c r="F196" s="814"/>
      <c r="G196" s="814"/>
      <c r="H196" s="814"/>
      <c r="I196" s="814"/>
      <c r="J196" s="814"/>
      <c r="K196" s="814"/>
      <c r="L196" s="814"/>
      <c r="M196" s="814"/>
      <c r="N196" s="815"/>
      <c r="O196" s="816"/>
      <c r="P196" s="738"/>
      <c r="Q196" s="738"/>
      <c r="R196" s="817"/>
      <c r="S196" s="816"/>
      <c r="T196" s="738"/>
      <c r="U196" s="738"/>
      <c r="V196" s="817"/>
      <c r="W196" s="816"/>
      <c r="X196" s="738"/>
      <c r="Y196" s="738"/>
      <c r="Z196" s="817"/>
      <c r="AA196" s="816"/>
      <c r="AB196" s="738"/>
      <c r="AC196" s="738"/>
      <c r="AD196" s="817"/>
      <c r="AG196" s="249">
        <f t="shared" si="34"/>
        <v>0</v>
      </c>
      <c r="AH196" s="253">
        <f t="shared" si="35"/>
        <v>0</v>
      </c>
      <c r="AI196" s="253">
        <f t="shared" si="36"/>
        <v>0</v>
      </c>
      <c r="AJ196" s="253">
        <f t="shared" si="37"/>
        <v>0</v>
      </c>
      <c r="AK196" s="253">
        <f t="shared" si="38"/>
        <v>0</v>
      </c>
      <c r="AL196" s="253">
        <f t="shared" si="40"/>
        <v>0</v>
      </c>
      <c r="AM196" s="249">
        <f t="shared" si="41"/>
        <v>0</v>
      </c>
      <c r="AN196" s="253">
        <f t="shared" si="42"/>
        <v>0</v>
      </c>
      <c r="AO196" s="253">
        <f t="shared" si="43"/>
        <v>0</v>
      </c>
      <c r="AP196" s="253">
        <f t="shared" si="44"/>
        <v>0</v>
      </c>
      <c r="AQ196" s="253">
        <f t="shared" si="45"/>
        <v>0</v>
      </c>
      <c r="AR196" s="253">
        <f t="shared" si="39"/>
        <v>0</v>
      </c>
    </row>
    <row r="197" spans="1:44" ht="15" customHeight="1">
      <c r="A197" s="49"/>
      <c r="B197" s="90"/>
      <c r="C197" s="44" t="s">
        <v>2522</v>
      </c>
      <c r="D197" s="813" t="str">
        <f>IF(CNSIPEE_2024_M2_Secc1!D48="","",CNSIPEE_2024_M2_Secc1!D48)</f>
        <v/>
      </c>
      <c r="E197" s="814"/>
      <c r="F197" s="814"/>
      <c r="G197" s="814"/>
      <c r="H197" s="814"/>
      <c r="I197" s="814"/>
      <c r="J197" s="814"/>
      <c r="K197" s="814"/>
      <c r="L197" s="814"/>
      <c r="M197" s="814"/>
      <c r="N197" s="815"/>
      <c r="O197" s="816"/>
      <c r="P197" s="738"/>
      <c r="Q197" s="738"/>
      <c r="R197" s="817"/>
      <c r="S197" s="816"/>
      <c r="T197" s="738"/>
      <c r="U197" s="738"/>
      <c r="V197" s="817"/>
      <c r="W197" s="816"/>
      <c r="X197" s="738"/>
      <c r="Y197" s="738"/>
      <c r="Z197" s="817"/>
      <c r="AA197" s="816"/>
      <c r="AB197" s="738"/>
      <c r="AC197" s="738"/>
      <c r="AD197" s="817"/>
      <c r="AG197" s="249">
        <f t="shared" si="34"/>
        <v>0</v>
      </c>
      <c r="AH197" s="253">
        <f t="shared" si="35"/>
        <v>0</v>
      </c>
      <c r="AI197" s="253">
        <f t="shared" si="36"/>
        <v>0</v>
      </c>
      <c r="AJ197" s="253">
        <f t="shared" si="37"/>
        <v>0</v>
      </c>
      <c r="AK197" s="253">
        <f t="shared" si="38"/>
        <v>0</v>
      </c>
      <c r="AL197" s="253">
        <f t="shared" si="40"/>
        <v>0</v>
      </c>
      <c r="AM197" s="249">
        <f t="shared" si="41"/>
        <v>0</v>
      </c>
      <c r="AN197" s="253">
        <f t="shared" si="42"/>
        <v>0</v>
      </c>
      <c r="AO197" s="253">
        <f t="shared" si="43"/>
        <v>0</v>
      </c>
      <c r="AP197" s="253">
        <f t="shared" si="44"/>
        <v>0</v>
      </c>
      <c r="AQ197" s="253">
        <f t="shared" si="45"/>
        <v>0</v>
      </c>
      <c r="AR197" s="253">
        <f t="shared" si="39"/>
        <v>0</v>
      </c>
    </row>
    <row r="198" spans="1:44" ht="15" customHeight="1">
      <c r="A198" s="49"/>
      <c r="B198" s="90"/>
      <c r="C198" s="44" t="s">
        <v>2523</v>
      </c>
      <c r="D198" s="813" t="str">
        <f>IF(CNSIPEE_2024_M2_Secc1!D49="","",CNSIPEE_2024_M2_Secc1!D49)</f>
        <v/>
      </c>
      <c r="E198" s="814"/>
      <c r="F198" s="814"/>
      <c r="G198" s="814"/>
      <c r="H198" s="814"/>
      <c r="I198" s="814"/>
      <c r="J198" s="814"/>
      <c r="K198" s="814"/>
      <c r="L198" s="814"/>
      <c r="M198" s="814"/>
      <c r="N198" s="815"/>
      <c r="O198" s="816"/>
      <c r="P198" s="738"/>
      <c r="Q198" s="738"/>
      <c r="R198" s="817"/>
      <c r="S198" s="816"/>
      <c r="T198" s="738"/>
      <c r="U198" s="738"/>
      <c r="V198" s="817"/>
      <c r="W198" s="816"/>
      <c r="X198" s="738"/>
      <c r="Y198" s="738"/>
      <c r="Z198" s="817"/>
      <c r="AA198" s="816"/>
      <c r="AB198" s="738"/>
      <c r="AC198" s="738"/>
      <c r="AD198" s="817"/>
      <c r="AG198" s="249">
        <f t="shared" si="34"/>
        <v>0</v>
      </c>
      <c r="AH198" s="253">
        <f t="shared" si="35"/>
        <v>0</v>
      </c>
      <c r="AI198" s="253">
        <f t="shared" si="36"/>
        <v>0</v>
      </c>
      <c r="AJ198" s="253">
        <f t="shared" si="37"/>
        <v>0</v>
      </c>
      <c r="AK198" s="253">
        <f t="shared" si="38"/>
        <v>0</v>
      </c>
      <c r="AL198" s="253">
        <f t="shared" si="40"/>
        <v>0</v>
      </c>
      <c r="AM198" s="249">
        <f t="shared" si="41"/>
        <v>0</v>
      </c>
      <c r="AN198" s="253">
        <f t="shared" si="42"/>
        <v>0</v>
      </c>
      <c r="AO198" s="253">
        <f t="shared" si="43"/>
        <v>0</v>
      </c>
      <c r="AP198" s="253">
        <f t="shared" si="44"/>
        <v>0</v>
      </c>
      <c r="AQ198" s="253">
        <f t="shared" si="45"/>
        <v>0</v>
      </c>
      <c r="AR198" s="253">
        <f t="shared" si="39"/>
        <v>0</v>
      </c>
    </row>
    <row r="199" spans="1:44" ht="15" customHeight="1">
      <c r="A199" s="49"/>
      <c r="B199" s="90"/>
      <c r="N199" s="99" t="s">
        <v>2649</v>
      </c>
      <c r="O199" s="733">
        <f>IF(AND(SUM(O191:R198)=0,COUNTIF(O191:R198,"NS")&gt;0),"NS",
IF(AND(SUM(O191:R198)=0,COUNTIF(O191:R198,0)&gt;0),0,
IF(AND(SUM(O191:R198)=0,COUNTIF(O191:R198,"NA")&gt;0),"NA",
SUM(O191:R198))))</f>
        <v>0</v>
      </c>
      <c r="P199" s="734"/>
      <c r="Q199" s="734"/>
      <c r="R199" s="735"/>
      <c r="S199" s="733">
        <f t="shared" ref="S199" si="46">IF(AND(SUM(S191:V198)=0,COUNTIF(S191:V198,"NS")&gt;0),"NS",
IF(AND(SUM(S191:V198)=0,COUNTIF(S191:V198,0)&gt;0),0,
IF(AND(SUM(S191:V198)=0,COUNTIF(S191:V198,"NA")&gt;0),"NA",
SUM(S191:V198))))</f>
        <v>0</v>
      </c>
      <c r="T199" s="734"/>
      <c r="U199" s="734"/>
      <c r="V199" s="735"/>
      <c r="W199" s="733">
        <f t="shared" ref="W199" si="47">IF(AND(SUM(W191:Z198)=0,COUNTIF(W191:Z198,"NS")&gt;0),"NS",
IF(AND(SUM(W191:Z198)=0,COUNTIF(W191:Z198,0)&gt;0),0,
IF(AND(SUM(W191:Z198)=0,COUNTIF(W191:Z198,"NA")&gt;0),"NA",
SUM(W191:Z198))))</f>
        <v>0</v>
      </c>
      <c r="X199" s="734"/>
      <c r="Y199" s="734"/>
      <c r="Z199" s="735"/>
      <c r="AA199" s="733">
        <f t="shared" ref="AA199" si="48">IF(AND(SUM(AA191:AD198)=0,COUNTIF(AA191:AD198,"NS")&gt;0),"NS",
IF(AND(SUM(AA191:AD198)=0,COUNTIF(AA191:AD198,0)&gt;0),0,
IF(AND(SUM(AA191:AD198)=0,COUNTIF(AA191:AD198,"NA")&gt;0),"NA",
SUM(AA191:AD198))))</f>
        <v>0</v>
      </c>
      <c r="AB199" s="734"/>
      <c r="AC199" s="734"/>
      <c r="AD199" s="735"/>
      <c r="AG199" s="247">
        <f>SUM(AG191:AG198)</f>
        <v>0</v>
      </c>
      <c r="AM199" s="251">
        <f t="shared" ref="AM199:AR199" si="49">SUM(AM191:AM198)</f>
        <v>0</v>
      </c>
      <c r="AN199" s="272">
        <f t="shared" si="49"/>
        <v>0</v>
      </c>
      <c r="AO199" s="273">
        <f t="shared" si="49"/>
        <v>0</v>
      </c>
      <c r="AP199" s="274">
        <f t="shared" si="49"/>
        <v>0</v>
      </c>
      <c r="AQ199" s="275">
        <f t="shared" si="49"/>
        <v>0</v>
      </c>
      <c r="AR199" s="258">
        <f t="shared" si="49"/>
        <v>0</v>
      </c>
    </row>
    <row r="200" spans="1:44" ht="15" customHeight="1">
      <c r="A200" s="49"/>
      <c r="B200" s="57"/>
      <c r="C200" s="70"/>
      <c r="D200" s="84"/>
      <c r="E200" s="84"/>
      <c r="F200" s="84"/>
      <c r="G200" s="658"/>
      <c r="H200" s="658"/>
      <c r="I200" s="658"/>
      <c r="J200" s="658"/>
      <c r="K200" s="658"/>
      <c r="L200" s="658"/>
      <c r="M200" s="659"/>
      <c r="N200" s="659"/>
      <c r="O200" s="659"/>
      <c r="P200" s="659"/>
      <c r="Q200" s="659"/>
      <c r="R200" s="659"/>
      <c r="S200" s="659"/>
      <c r="T200" s="659"/>
      <c r="U200" s="659"/>
      <c r="V200" s="659"/>
      <c r="W200" s="659"/>
      <c r="X200" s="659"/>
      <c r="Y200" s="658"/>
      <c r="Z200" s="658"/>
      <c r="AA200" s="658"/>
      <c r="AB200" s="658"/>
      <c r="AC200" s="141"/>
      <c r="AD200" s="141"/>
      <c r="AM200" s="253"/>
      <c r="AN200" s="253"/>
      <c r="AO200" s="253"/>
      <c r="AP200" s="253"/>
      <c r="AQ200" s="258">
        <f>SUM(AN199:AQ199)</f>
        <v>0</v>
      </c>
      <c r="AR200" s="253"/>
    </row>
    <row r="201" spans="1:44" ht="24" customHeight="1">
      <c r="A201" s="49"/>
      <c r="B201" s="90"/>
      <c r="C201" s="754" t="s">
        <v>2611</v>
      </c>
      <c r="D201" s="754"/>
      <c r="E201" s="754"/>
      <c r="F201" s="754"/>
      <c r="G201" s="754"/>
      <c r="H201" s="754"/>
      <c r="I201" s="754"/>
      <c r="J201" s="754"/>
      <c r="K201" s="754"/>
      <c r="L201" s="754"/>
      <c r="M201" s="754"/>
      <c r="N201" s="754"/>
      <c r="O201" s="754"/>
      <c r="P201" s="754"/>
      <c r="Q201" s="754"/>
      <c r="R201" s="754"/>
      <c r="S201" s="754"/>
      <c r="T201" s="754"/>
      <c r="U201" s="754"/>
      <c r="V201" s="754"/>
      <c r="W201" s="754"/>
      <c r="X201" s="754"/>
      <c r="Y201" s="754"/>
      <c r="Z201" s="754"/>
      <c r="AA201" s="754"/>
      <c r="AB201" s="754"/>
      <c r="AC201" s="754"/>
      <c r="AD201" s="754"/>
    </row>
    <row r="202" spans="1:44" ht="60" customHeight="1">
      <c r="A202" s="49"/>
      <c r="B202" s="90"/>
      <c r="C202" s="812"/>
      <c r="D202" s="812"/>
      <c r="E202" s="812"/>
      <c r="F202" s="812"/>
      <c r="G202" s="812"/>
      <c r="H202" s="812"/>
      <c r="I202" s="812"/>
      <c r="J202" s="812"/>
      <c r="K202" s="812"/>
      <c r="L202" s="812"/>
      <c r="M202" s="812"/>
      <c r="N202" s="812"/>
      <c r="O202" s="812"/>
      <c r="P202" s="812"/>
      <c r="Q202" s="812"/>
      <c r="R202" s="812"/>
      <c r="S202" s="812"/>
      <c r="T202" s="812"/>
      <c r="U202" s="812"/>
      <c r="V202" s="812"/>
      <c r="W202" s="812"/>
      <c r="X202" s="812"/>
      <c r="Y202" s="812"/>
      <c r="Z202" s="812"/>
      <c r="AA202" s="812"/>
      <c r="AB202" s="812"/>
      <c r="AC202" s="812"/>
      <c r="AD202" s="812"/>
    </row>
    <row r="203" spans="1:44" ht="15" customHeight="1">
      <c r="A203" s="49"/>
      <c r="B203" s="794" t="str">
        <f>IF(OR(AG199&gt;0,AQ200&gt;0),"Favor de ingresar toda la información requerida en la pregunta y/o verifique que no tenga información en celdas sombreadas","")</f>
        <v/>
      </c>
      <c r="C203" s="794"/>
      <c r="D203" s="794"/>
      <c r="E203" s="794"/>
      <c r="F203" s="794"/>
      <c r="G203" s="794"/>
      <c r="H203" s="794"/>
      <c r="I203" s="794"/>
      <c r="J203" s="794"/>
      <c r="K203" s="794"/>
      <c r="L203" s="794"/>
      <c r="M203" s="794"/>
      <c r="N203" s="794"/>
      <c r="O203" s="794"/>
      <c r="P203" s="794"/>
      <c r="Q203" s="794"/>
      <c r="R203" s="794"/>
      <c r="S203" s="794"/>
      <c r="T203" s="794"/>
      <c r="U203" s="794"/>
      <c r="V203" s="794"/>
      <c r="W203" s="794"/>
      <c r="X203" s="794"/>
      <c r="Y203" s="794"/>
      <c r="Z203" s="794"/>
      <c r="AA203" s="794"/>
      <c r="AB203" s="794"/>
      <c r="AC203" s="794"/>
      <c r="AD203" s="794"/>
    </row>
    <row r="204" spans="1:44" ht="15" customHeight="1">
      <c r="A204" s="49"/>
      <c r="B204" s="795" t="str">
        <f>IF(AM199&gt;0,"Alerta: debido a que cuenta con registros NS, debe proporcionar una justificación en el area de comentarios al final de la pregunta","")</f>
        <v/>
      </c>
      <c r="C204" s="795"/>
      <c r="D204" s="795"/>
      <c r="E204" s="795"/>
      <c r="F204" s="795"/>
      <c r="G204" s="795"/>
      <c r="H204" s="795"/>
      <c r="I204" s="795"/>
      <c r="J204" s="795"/>
      <c r="K204" s="795"/>
      <c r="L204" s="795"/>
      <c r="M204" s="795"/>
      <c r="N204" s="795"/>
      <c r="O204" s="795"/>
      <c r="P204" s="795"/>
      <c r="Q204" s="795"/>
      <c r="R204" s="795"/>
      <c r="S204" s="795"/>
      <c r="T204" s="795"/>
      <c r="U204" s="795"/>
      <c r="V204" s="795"/>
      <c r="W204" s="795"/>
      <c r="X204" s="795"/>
      <c r="Y204" s="795"/>
      <c r="Z204" s="795"/>
      <c r="AA204" s="795"/>
      <c r="AB204" s="795"/>
      <c r="AC204" s="795"/>
      <c r="AD204" s="795"/>
    </row>
    <row r="205" spans="1:44" ht="15" customHeight="1">
      <c r="A205" s="49"/>
      <c r="B205" s="656"/>
      <c r="C205" s="84"/>
      <c r="D205" s="84"/>
      <c r="E205" s="84"/>
      <c r="F205" s="84"/>
      <c r="G205" s="657"/>
      <c r="H205" s="657"/>
      <c r="I205" s="657"/>
      <c r="J205" s="657"/>
      <c r="K205" s="657"/>
      <c r="L205" s="657"/>
      <c r="M205" s="657"/>
      <c r="N205" s="657"/>
      <c r="O205" s="657"/>
      <c r="P205" s="657"/>
      <c r="Q205" s="657"/>
      <c r="R205" s="657"/>
      <c r="S205" s="657"/>
      <c r="T205" s="657"/>
      <c r="U205" s="657"/>
      <c r="V205" s="657"/>
      <c r="W205" s="657"/>
      <c r="X205" s="657"/>
      <c r="Y205" s="657"/>
      <c r="Z205" s="657"/>
      <c r="AA205" s="657"/>
      <c r="AB205" s="657"/>
      <c r="AC205" s="84"/>
      <c r="AD205" s="84"/>
    </row>
    <row r="206" spans="1:44" ht="15" customHeight="1">
      <c r="A206" s="49"/>
      <c r="B206" s="656"/>
      <c r="C206" s="656"/>
      <c r="D206" s="656"/>
      <c r="E206" s="656"/>
      <c r="F206" s="656"/>
      <c r="G206" s="656"/>
      <c r="H206" s="656"/>
      <c r="I206" s="656"/>
      <c r="J206" s="656"/>
      <c r="K206" s="656"/>
      <c r="L206" s="656"/>
      <c r="M206" s="656"/>
      <c r="N206" s="656"/>
      <c r="O206" s="656"/>
      <c r="P206" s="656"/>
      <c r="Q206" s="656"/>
      <c r="R206" s="656"/>
      <c r="S206" s="656"/>
      <c r="T206" s="656"/>
      <c r="U206" s="656"/>
      <c r="V206" s="656"/>
      <c r="W206" s="656"/>
      <c r="X206" s="656"/>
      <c r="Y206" s="656"/>
      <c r="Z206" s="656"/>
      <c r="AA206" s="656"/>
      <c r="AB206" s="656"/>
      <c r="AC206" s="656"/>
      <c r="AD206" s="656"/>
    </row>
    <row r="207" spans="1:44" ht="15" customHeight="1">
      <c r="A207" s="49"/>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c r="AA207" s="51"/>
      <c r="AB207" s="51"/>
      <c r="AC207" s="51"/>
      <c r="AD207" s="51"/>
    </row>
    <row r="208" spans="1:44" ht="15" customHeight="1">
      <c r="A208" s="49"/>
      <c r="B208" s="57"/>
      <c r="C208" s="57"/>
      <c r="D208" s="57"/>
      <c r="E208" s="57"/>
      <c r="F208" s="57"/>
      <c r="G208" s="57"/>
      <c r="H208" s="57"/>
      <c r="I208" s="57"/>
      <c r="J208" s="57"/>
      <c r="K208" s="57"/>
      <c r="L208" s="57"/>
      <c r="M208" s="57"/>
      <c r="N208" s="57"/>
      <c r="O208" s="57"/>
      <c r="P208" s="57"/>
      <c r="Q208" s="57"/>
      <c r="R208" s="57"/>
      <c r="S208" s="57"/>
      <c r="T208" s="57"/>
      <c r="U208" s="57"/>
      <c r="V208" s="57"/>
      <c r="W208" s="57"/>
      <c r="X208" s="57"/>
      <c r="Y208" s="57"/>
      <c r="Z208" s="57"/>
      <c r="AA208" s="57"/>
      <c r="AB208" s="57"/>
      <c r="AC208" s="57"/>
      <c r="AD208" s="57"/>
    </row>
    <row r="209" spans="1:35" ht="36" customHeight="1">
      <c r="A209" s="49" t="s">
        <v>2719</v>
      </c>
      <c r="B209" s="829" t="s">
        <v>2720</v>
      </c>
      <c r="C209" s="829"/>
      <c r="D209" s="829"/>
      <c r="E209" s="829"/>
      <c r="F209" s="829"/>
      <c r="G209" s="829"/>
      <c r="H209" s="829"/>
      <c r="I209" s="829"/>
      <c r="J209" s="829"/>
      <c r="K209" s="829"/>
      <c r="L209" s="829"/>
      <c r="M209" s="829"/>
      <c r="N209" s="829"/>
      <c r="O209" s="829"/>
      <c r="P209" s="829"/>
      <c r="Q209" s="829"/>
      <c r="R209" s="829"/>
      <c r="S209" s="829"/>
      <c r="T209" s="829"/>
      <c r="U209" s="829"/>
      <c r="V209" s="829"/>
      <c r="W209" s="829"/>
      <c r="X209" s="829"/>
      <c r="Y209" s="829"/>
      <c r="Z209" s="829"/>
      <c r="AA209" s="829"/>
      <c r="AB209" s="829"/>
      <c r="AC209" s="829"/>
      <c r="AD209" s="829"/>
    </row>
    <row r="210" spans="1:35" ht="24" customHeight="1">
      <c r="A210" s="103"/>
      <c r="B210" s="57"/>
      <c r="C210" s="830" t="s">
        <v>2721</v>
      </c>
      <c r="D210" s="830"/>
      <c r="E210" s="830"/>
      <c r="F210" s="830"/>
      <c r="G210" s="830"/>
      <c r="H210" s="830"/>
      <c r="I210" s="830"/>
      <c r="J210" s="830"/>
      <c r="K210" s="830"/>
      <c r="L210" s="830"/>
      <c r="M210" s="830"/>
      <c r="N210" s="830"/>
      <c r="O210" s="830"/>
      <c r="P210" s="830"/>
      <c r="Q210" s="830"/>
      <c r="R210" s="830"/>
      <c r="S210" s="830"/>
      <c r="T210" s="830"/>
      <c r="U210" s="830"/>
      <c r="V210" s="830"/>
      <c r="W210" s="830"/>
      <c r="X210" s="830"/>
      <c r="Y210" s="830"/>
      <c r="Z210" s="830"/>
      <c r="AA210" s="830"/>
      <c r="AB210" s="830"/>
      <c r="AC210" s="830"/>
      <c r="AD210" s="830"/>
    </row>
    <row r="211" spans="1:35" ht="24" customHeight="1">
      <c r="A211" s="49"/>
      <c r="B211" s="57"/>
      <c r="C211" s="754" t="s">
        <v>2722</v>
      </c>
      <c r="D211" s="754"/>
      <c r="E211" s="754"/>
      <c r="F211" s="754"/>
      <c r="G211" s="754"/>
      <c r="H211" s="754"/>
      <c r="I211" s="754"/>
      <c r="J211" s="754"/>
      <c r="K211" s="754"/>
      <c r="L211" s="754"/>
      <c r="M211" s="754"/>
      <c r="N211" s="754"/>
      <c r="O211" s="754"/>
      <c r="P211" s="754"/>
      <c r="Q211" s="754"/>
      <c r="R211" s="754"/>
      <c r="S211" s="754"/>
      <c r="T211" s="754"/>
      <c r="U211" s="754"/>
      <c r="V211" s="754"/>
      <c r="W211" s="754"/>
      <c r="X211" s="754"/>
      <c r="Y211" s="754"/>
      <c r="Z211" s="754"/>
      <c r="AA211" s="754"/>
      <c r="AB211" s="754"/>
      <c r="AC211" s="754"/>
      <c r="AD211" s="754"/>
    </row>
    <row r="212" spans="1:35" ht="24" customHeight="1">
      <c r="A212" s="49"/>
      <c r="B212" s="57"/>
      <c r="C212" s="754" t="s">
        <v>2723</v>
      </c>
      <c r="D212" s="754"/>
      <c r="E212" s="754"/>
      <c r="F212" s="754"/>
      <c r="G212" s="754"/>
      <c r="H212" s="754"/>
      <c r="I212" s="754"/>
      <c r="J212" s="754"/>
      <c r="K212" s="754"/>
      <c r="L212" s="754"/>
      <c r="M212" s="754"/>
      <c r="N212" s="754"/>
      <c r="O212" s="754"/>
      <c r="P212" s="754"/>
      <c r="Q212" s="754"/>
      <c r="R212" s="754"/>
      <c r="S212" s="754"/>
      <c r="T212" s="754"/>
      <c r="U212" s="754"/>
      <c r="V212" s="754"/>
      <c r="W212" s="754"/>
      <c r="X212" s="754"/>
      <c r="Y212" s="754"/>
      <c r="Z212" s="754"/>
      <c r="AA212" s="754"/>
      <c r="AB212" s="754"/>
      <c r="AC212" s="754"/>
      <c r="AD212" s="754"/>
    </row>
    <row r="213" spans="1:35" ht="15" customHeight="1">
      <c r="A213" s="49"/>
      <c r="B213" s="57"/>
      <c r="C213" s="830" t="s">
        <v>2724</v>
      </c>
      <c r="D213" s="830"/>
      <c r="E213" s="830"/>
      <c r="F213" s="830"/>
      <c r="G213" s="830"/>
      <c r="H213" s="830"/>
      <c r="I213" s="830"/>
      <c r="J213" s="830"/>
      <c r="K213" s="830"/>
      <c r="L213" s="830"/>
      <c r="M213" s="830"/>
      <c r="N213" s="830"/>
      <c r="O213" s="830"/>
      <c r="P213" s="830"/>
      <c r="Q213" s="830"/>
      <c r="R213" s="830"/>
      <c r="S213" s="830"/>
      <c r="T213" s="830"/>
      <c r="U213" s="830"/>
      <c r="V213" s="830"/>
      <c r="W213" s="830"/>
      <c r="X213" s="830"/>
      <c r="Y213" s="830"/>
      <c r="Z213" s="830"/>
      <c r="AA213" s="830"/>
      <c r="AB213" s="830"/>
      <c r="AC213" s="830"/>
      <c r="AD213" s="830"/>
    </row>
    <row r="214" spans="1:35" ht="24" customHeight="1">
      <c r="A214" s="49"/>
      <c r="B214" s="57"/>
      <c r="C214" s="830" t="s">
        <v>2725</v>
      </c>
      <c r="D214" s="830"/>
      <c r="E214" s="830"/>
      <c r="F214" s="830"/>
      <c r="G214" s="830"/>
      <c r="H214" s="830"/>
      <c r="I214" s="830"/>
      <c r="J214" s="830"/>
      <c r="K214" s="830"/>
      <c r="L214" s="830"/>
      <c r="M214" s="830"/>
      <c r="N214" s="830"/>
      <c r="O214" s="830"/>
      <c r="P214" s="830"/>
      <c r="Q214" s="830"/>
      <c r="R214" s="830"/>
      <c r="S214" s="830"/>
      <c r="T214" s="830"/>
      <c r="U214" s="830"/>
      <c r="V214" s="830"/>
      <c r="W214" s="830"/>
      <c r="X214" s="830"/>
      <c r="Y214" s="830"/>
      <c r="Z214" s="830"/>
      <c r="AA214" s="830"/>
      <c r="AB214" s="830"/>
      <c r="AC214" s="830"/>
      <c r="AD214" s="830"/>
    </row>
    <row r="215" spans="1:35" ht="15" customHeight="1">
      <c r="A215" s="49"/>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c r="AC215" s="38"/>
      <c r="AD215" s="38"/>
    </row>
    <row r="216" spans="1:35" ht="48" customHeight="1">
      <c r="A216" s="49"/>
      <c r="B216" s="38"/>
      <c r="C216" s="732" t="s">
        <v>2581</v>
      </c>
      <c r="D216" s="732"/>
      <c r="E216" s="732"/>
      <c r="F216" s="732"/>
      <c r="G216" s="732"/>
      <c r="H216" s="732"/>
      <c r="I216" s="732"/>
      <c r="J216" s="732"/>
      <c r="K216" s="732"/>
      <c r="L216" s="732"/>
      <c r="M216" s="732"/>
      <c r="N216" s="732"/>
      <c r="O216" s="732" t="s">
        <v>2726</v>
      </c>
      <c r="P216" s="732"/>
      <c r="Q216" s="732"/>
      <c r="R216" s="732"/>
      <c r="S216" s="732"/>
      <c r="T216" s="732"/>
      <c r="U216" s="732" t="s">
        <v>2727</v>
      </c>
      <c r="V216" s="732"/>
      <c r="W216" s="732"/>
      <c r="X216" s="732"/>
      <c r="Y216" s="732"/>
      <c r="Z216" s="732"/>
      <c r="AA216" s="732"/>
      <c r="AB216" s="732"/>
      <c r="AC216" s="732"/>
      <c r="AD216" s="732"/>
    </row>
    <row r="217" spans="1:35" ht="15" customHeight="1">
      <c r="A217" s="49"/>
      <c r="B217" s="38"/>
      <c r="C217" s="732"/>
      <c r="D217" s="732"/>
      <c r="E217" s="732"/>
      <c r="F217" s="732"/>
      <c r="G217" s="732"/>
      <c r="H217" s="732"/>
      <c r="I217" s="732"/>
      <c r="J217" s="732"/>
      <c r="K217" s="732"/>
      <c r="L217" s="732"/>
      <c r="M217" s="732"/>
      <c r="N217" s="732"/>
      <c r="O217" s="732"/>
      <c r="P217" s="732"/>
      <c r="Q217" s="732"/>
      <c r="R217" s="732"/>
      <c r="S217" s="732"/>
      <c r="T217" s="732"/>
      <c r="U217" s="44" t="s">
        <v>2516</v>
      </c>
      <c r="V217" s="44" t="s">
        <v>2517</v>
      </c>
      <c r="W217" s="44" t="s">
        <v>2518</v>
      </c>
      <c r="X217" s="44" t="s">
        <v>2519</v>
      </c>
      <c r="Y217" s="44" t="s">
        <v>2520</v>
      </c>
      <c r="Z217" s="44" t="s">
        <v>2521</v>
      </c>
      <c r="AA217" s="44" t="s">
        <v>2522</v>
      </c>
      <c r="AB217" s="44" t="s">
        <v>2523</v>
      </c>
      <c r="AC217" s="44" t="s">
        <v>2524</v>
      </c>
      <c r="AD217" s="44" t="s">
        <v>2525</v>
      </c>
      <c r="AG217" s="247" t="s">
        <v>2586</v>
      </c>
      <c r="AH217" s="258" t="s">
        <v>2620</v>
      </c>
      <c r="AI217" s="254" t="s">
        <v>2728</v>
      </c>
    </row>
    <row r="218" spans="1:35" ht="15" customHeight="1">
      <c r="A218" s="96"/>
      <c r="B218" s="90"/>
      <c r="C218" s="97" t="s">
        <v>2516</v>
      </c>
      <c r="D218" s="796" t="str">
        <f>IF(CNSIPEE_2024_M2_Secc1!D42="","",CNSIPEE_2024_M2_Secc1!D42)</f>
        <v/>
      </c>
      <c r="E218" s="796"/>
      <c r="F218" s="796"/>
      <c r="G218" s="796"/>
      <c r="H218" s="796"/>
      <c r="I218" s="796"/>
      <c r="J218" s="796"/>
      <c r="K218" s="796"/>
      <c r="L218" s="796"/>
      <c r="M218" s="796"/>
      <c r="N218" s="796"/>
      <c r="O218" s="749"/>
      <c r="P218" s="749"/>
      <c r="Q218" s="749"/>
      <c r="R218" s="749"/>
      <c r="S218" s="749"/>
      <c r="T218" s="749"/>
      <c r="U218" s="88"/>
      <c r="V218" s="88"/>
      <c r="W218" s="88"/>
      <c r="X218" s="88"/>
      <c r="Y218" s="88"/>
      <c r="Z218" s="88"/>
      <c r="AA218" s="88"/>
      <c r="AB218" s="88"/>
      <c r="AC218" s="88"/>
      <c r="AD218" s="88"/>
      <c r="AG218" s="249">
        <f>IF(AND(COUNTBLANK(D218)=0,$O218&lt;&gt;"",$O218&lt;&gt;1,COUNTA(U218:AD218)=0),0,IF(AND(COUNTBLANK(D218)=0,$O218&lt;&gt;"",$O218=1,COUNTA(U218:AD218)&gt;0),0,IF(AND(COUNTBLANK(D218)=1,COUNTA(U218:AD218)=0),0,1)))</f>
        <v>0</v>
      </c>
      <c r="AH218" s="253">
        <f>IF(AND($O218&lt;&gt;"",$O218&lt;&gt;1,COUNTA(U218:AD218)&gt;0),1,0)</f>
        <v>0</v>
      </c>
      <c r="AI218" s="253">
        <f>IF(COUNTIF(AD218:AD225,"X")&gt;0,1,0)</f>
        <v>0</v>
      </c>
    </row>
    <row r="219" spans="1:35" ht="15" customHeight="1">
      <c r="A219" s="96"/>
      <c r="B219" s="90"/>
      <c r="C219" s="98" t="s">
        <v>2517</v>
      </c>
      <c r="D219" s="796" t="str">
        <f>IF(CNSIPEE_2024_M2_Secc1!D43="","",CNSIPEE_2024_M2_Secc1!D43)</f>
        <v/>
      </c>
      <c r="E219" s="796"/>
      <c r="F219" s="796"/>
      <c r="G219" s="796"/>
      <c r="H219" s="796"/>
      <c r="I219" s="796"/>
      <c r="J219" s="796"/>
      <c r="K219" s="796"/>
      <c r="L219" s="796"/>
      <c r="M219" s="796"/>
      <c r="N219" s="796"/>
      <c r="O219" s="749"/>
      <c r="P219" s="749"/>
      <c r="Q219" s="749"/>
      <c r="R219" s="749"/>
      <c r="S219" s="749"/>
      <c r="T219" s="749"/>
      <c r="U219" s="88"/>
      <c r="V219" s="88"/>
      <c r="W219" s="88"/>
      <c r="X219" s="88"/>
      <c r="Y219" s="88"/>
      <c r="Z219" s="88"/>
      <c r="AA219" s="88"/>
      <c r="AB219" s="88"/>
      <c r="AC219" s="88"/>
      <c r="AD219" s="88"/>
      <c r="AG219" s="249">
        <f t="shared" ref="AG219:AG225" si="50">IF(AND(COUNTBLANK(D219)=0,$O219&lt;&gt;"",$O219&lt;&gt;1,COUNTA(U219:AD219)=0),0,IF(AND(COUNTBLANK(D219)=0,$O219&lt;&gt;"",$O219=1,COUNTA(U219:AD219)&gt;0),0,IF(AND(COUNTBLANK(D219)=1,COUNTA(U219:AD219)=0),0,1)))</f>
        <v>0</v>
      </c>
      <c r="AH219" s="253">
        <f t="shared" ref="AH219:AH225" si="51">IF(AND($O219&lt;&gt;"",$O219&lt;&gt;1,COUNTA(U219:AD219)&gt;0),1,0)</f>
        <v>0</v>
      </c>
    </row>
    <row r="220" spans="1:35" ht="15" customHeight="1">
      <c r="A220" s="96"/>
      <c r="B220" s="90"/>
      <c r="C220" s="98" t="s">
        <v>2518</v>
      </c>
      <c r="D220" s="796" t="str">
        <f>IF(CNSIPEE_2024_M2_Secc1!D44="","",CNSIPEE_2024_M2_Secc1!D44)</f>
        <v/>
      </c>
      <c r="E220" s="796"/>
      <c r="F220" s="796"/>
      <c r="G220" s="796"/>
      <c r="H220" s="796"/>
      <c r="I220" s="796"/>
      <c r="J220" s="796"/>
      <c r="K220" s="796"/>
      <c r="L220" s="796"/>
      <c r="M220" s="796"/>
      <c r="N220" s="796"/>
      <c r="O220" s="749"/>
      <c r="P220" s="749"/>
      <c r="Q220" s="749"/>
      <c r="R220" s="749"/>
      <c r="S220" s="749"/>
      <c r="T220" s="749"/>
      <c r="U220" s="88"/>
      <c r="V220" s="88"/>
      <c r="W220" s="88"/>
      <c r="X220" s="88"/>
      <c r="Y220" s="88"/>
      <c r="Z220" s="88"/>
      <c r="AA220" s="88"/>
      <c r="AB220" s="88"/>
      <c r="AC220" s="88"/>
      <c r="AD220" s="88"/>
      <c r="AG220" s="249">
        <f t="shared" si="50"/>
        <v>0</v>
      </c>
      <c r="AH220" s="253">
        <f t="shared" si="51"/>
        <v>0</v>
      </c>
    </row>
    <row r="221" spans="1:35" ht="15" customHeight="1">
      <c r="A221" s="96"/>
      <c r="B221" s="90"/>
      <c r="C221" s="98" t="s">
        <v>2519</v>
      </c>
      <c r="D221" s="796" t="str">
        <f>IF(CNSIPEE_2024_M2_Secc1!D45="","",CNSIPEE_2024_M2_Secc1!D45)</f>
        <v/>
      </c>
      <c r="E221" s="796"/>
      <c r="F221" s="796"/>
      <c r="G221" s="796"/>
      <c r="H221" s="796"/>
      <c r="I221" s="796"/>
      <c r="J221" s="796"/>
      <c r="K221" s="796"/>
      <c r="L221" s="796"/>
      <c r="M221" s="796"/>
      <c r="N221" s="796"/>
      <c r="O221" s="749"/>
      <c r="P221" s="749"/>
      <c r="Q221" s="749"/>
      <c r="R221" s="749"/>
      <c r="S221" s="749"/>
      <c r="T221" s="749"/>
      <c r="U221" s="88"/>
      <c r="V221" s="88"/>
      <c r="W221" s="88"/>
      <c r="X221" s="88"/>
      <c r="Y221" s="88"/>
      <c r="Z221" s="88"/>
      <c r="AA221" s="88"/>
      <c r="AB221" s="88"/>
      <c r="AC221" s="88"/>
      <c r="AD221" s="88"/>
      <c r="AG221" s="249">
        <f t="shared" si="50"/>
        <v>0</v>
      </c>
      <c r="AH221" s="253">
        <f t="shared" si="51"/>
        <v>0</v>
      </c>
    </row>
    <row r="222" spans="1:35" ht="15" customHeight="1">
      <c r="A222" s="96"/>
      <c r="B222" s="90"/>
      <c r="C222" s="98" t="s">
        <v>2520</v>
      </c>
      <c r="D222" s="796" t="str">
        <f>IF(CNSIPEE_2024_M2_Secc1!D46="","",CNSIPEE_2024_M2_Secc1!D46)</f>
        <v/>
      </c>
      <c r="E222" s="796"/>
      <c r="F222" s="796"/>
      <c r="G222" s="796"/>
      <c r="H222" s="796"/>
      <c r="I222" s="796"/>
      <c r="J222" s="796"/>
      <c r="K222" s="796"/>
      <c r="L222" s="796"/>
      <c r="M222" s="796"/>
      <c r="N222" s="796"/>
      <c r="O222" s="749"/>
      <c r="P222" s="749"/>
      <c r="Q222" s="749"/>
      <c r="R222" s="749"/>
      <c r="S222" s="749"/>
      <c r="T222" s="749"/>
      <c r="U222" s="88"/>
      <c r="V222" s="88"/>
      <c r="W222" s="88"/>
      <c r="X222" s="88"/>
      <c r="Y222" s="88"/>
      <c r="Z222" s="88"/>
      <c r="AA222" s="88"/>
      <c r="AB222" s="88"/>
      <c r="AC222" s="88"/>
      <c r="AD222" s="88"/>
      <c r="AG222" s="249">
        <f t="shared" si="50"/>
        <v>0</v>
      </c>
      <c r="AH222" s="253">
        <f t="shared" si="51"/>
        <v>0</v>
      </c>
    </row>
    <row r="223" spans="1:35" ht="15" customHeight="1">
      <c r="A223" s="96"/>
      <c r="B223" s="90"/>
      <c r="C223" s="98" t="s">
        <v>2521</v>
      </c>
      <c r="D223" s="796" t="str">
        <f>IF(CNSIPEE_2024_M2_Secc1!D47="","",CNSIPEE_2024_M2_Secc1!D47)</f>
        <v/>
      </c>
      <c r="E223" s="796"/>
      <c r="F223" s="796"/>
      <c r="G223" s="796"/>
      <c r="H223" s="796"/>
      <c r="I223" s="796"/>
      <c r="J223" s="796"/>
      <c r="K223" s="796"/>
      <c r="L223" s="796"/>
      <c r="M223" s="796"/>
      <c r="N223" s="796"/>
      <c r="O223" s="749"/>
      <c r="P223" s="749"/>
      <c r="Q223" s="749"/>
      <c r="R223" s="749"/>
      <c r="S223" s="749"/>
      <c r="T223" s="749"/>
      <c r="U223" s="88"/>
      <c r="V223" s="88"/>
      <c r="W223" s="88"/>
      <c r="X223" s="88"/>
      <c r="Y223" s="88"/>
      <c r="Z223" s="88"/>
      <c r="AA223" s="88"/>
      <c r="AB223" s="88"/>
      <c r="AC223" s="88"/>
      <c r="AD223" s="88"/>
      <c r="AG223" s="249">
        <f t="shared" si="50"/>
        <v>0</v>
      </c>
      <c r="AH223" s="253">
        <f t="shared" si="51"/>
        <v>0</v>
      </c>
    </row>
    <row r="224" spans="1:35" ht="15" customHeight="1">
      <c r="A224" s="96"/>
      <c r="B224" s="90"/>
      <c r="C224" s="98" t="s">
        <v>2522</v>
      </c>
      <c r="D224" s="796" t="str">
        <f>IF(CNSIPEE_2024_M2_Secc1!D48="","",CNSIPEE_2024_M2_Secc1!D48)</f>
        <v/>
      </c>
      <c r="E224" s="796"/>
      <c r="F224" s="796"/>
      <c r="G224" s="796"/>
      <c r="H224" s="796"/>
      <c r="I224" s="796"/>
      <c r="J224" s="796"/>
      <c r="K224" s="796"/>
      <c r="L224" s="796"/>
      <c r="M224" s="796"/>
      <c r="N224" s="796"/>
      <c r="O224" s="749"/>
      <c r="P224" s="749"/>
      <c r="Q224" s="749"/>
      <c r="R224" s="749"/>
      <c r="S224" s="749"/>
      <c r="T224" s="749"/>
      <c r="U224" s="88"/>
      <c r="V224" s="88"/>
      <c r="W224" s="88"/>
      <c r="X224" s="88"/>
      <c r="Y224" s="88"/>
      <c r="Z224" s="88"/>
      <c r="AA224" s="88"/>
      <c r="AB224" s="88"/>
      <c r="AC224" s="88"/>
      <c r="AD224" s="88"/>
      <c r="AG224" s="249">
        <f t="shared" si="50"/>
        <v>0</v>
      </c>
      <c r="AH224" s="253">
        <f t="shared" si="51"/>
        <v>0</v>
      </c>
    </row>
    <row r="225" spans="1:34" ht="15" customHeight="1">
      <c r="A225" s="96"/>
      <c r="B225" s="90"/>
      <c r="C225" s="98" t="s">
        <v>2523</v>
      </c>
      <c r="D225" s="796" t="str">
        <f>IF(CNSIPEE_2024_M2_Secc1!D49="","",CNSIPEE_2024_M2_Secc1!D49)</f>
        <v/>
      </c>
      <c r="E225" s="796"/>
      <c r="F225" s="796"/>
      <c r="G225" s="796"/>
      <c r="H225" s="796"/>
      <c r="I225" s="796"/>
      <c r="J225" s="796"/>
      <c r="K225" s="796"/>
      <c r="L225" s="796"/>
      <c r="M225" s="796"/>
      <c r="N225" s="796"/>
      <c r="O225" s="749"/>
      <c r="P225" s="749"/>
      <c r="Q225" s="749"/>
      <c r="R225" s="749"/>
      <c r="S225" s="749"/>
      <c r="T225" s="749"/>
      <c r="U225" s="88"/>
      <c r="V225" s="88"/>
      <c r="W225" s="88"/>
      <c r="X225" s="88"/>
      <c r="Y225" s="88"/>
      <c r="Z225" s="88"/>
      <c r="AA225" s="88"/>
      <c r="AB225" s="88"/>
      <c r="AC225" s="88"/>
      <c r="AD225" s="88"/>
      <c r="AG225" s="249">
        <f t="shared" si="50"/>
        <v>0</v>
      </c>
      <c r="AH225" s="253">
        <f t="shared" si="51"/>
        <v>0</v>
      </c>
    </row>
    <row r="226" spans="1:34" ht="15" customHeight="1">
      <c r="A226" s="103"/>
      <c r="B226" s="57"/>
      <c r="C226" s="57"/>
      <c r="D226" s="57"/>
      <c r="E226" s="57"/>
      <c r="F226" s="57"/>
      <c r="G226" s="57"/>
      <c r="H226" s="57"/>
      <c r="I226" s="57"/>
      <c r="J226" s="57"/>
      <c r="K226" s="57"/>
      <c r="L226" s="57"/>
      <c r="M226" s="57"/>
      <c r="N226" s="57"/>
      <c r="O226" s="57"/>
      <c r="P226" s="57"/>
      <c r="Q226" s="57"/>
      <c r="R226" s="57"/>
      <c r="S226" s="57"/>
      <c r="T226" s="57"/>
      <c r="U226" s="57"/>
      <c r="V226" s="57"/>
      <c r="W226" s="57"/>
      <c r="X226" s="57"/>
      <c r="Y226" s="57"/>
      <c r="Z226" s="57"/>
      <c r="AA226" s="57"/>
      <c r="AB226" s="57"/>
      <c r="AC226" s="57"/>
      <c r="AD226" s="57"/>
      <c r="AG226" s="247">
        <f>SUM(AG218:AG225)</f>
        <v>0</v>
      </c>
      <c r="AH226" s="258">
        <f>SUM(AH218:AH225)</f>
        <v>0</v>
      </c>
    </row>
    <row r="227" spans="1:34" ht="45" customHeight="1">
      <c r="A227" s="103"/>
      <c r="B227" s="57"/>
      <c r="C227" s="822" t="s">
        <v>2729</v>
      </c>
      <c r="D227" s="822"/>
      <c r="E227" s="822"/>
      <c r="F227" s="823"/>
      <c r="G227" s="816"/>
      <c r="H227" s="738"/>
      <c r="I227" s="738"/>
      <c r="J227" s="738"/>
      <c r="K227" s="738"/>
      <c r="L227" s="738"/>
      <c r="M227" s="738"/>
      <c r="N227" s="738"/>
      <c r="O227" s="738"/>
      <c r="P227" s="738"/>
      <c r="Q227" s="738"/>
      <c r="R227" s="738"/>
      <c r="S227" s="738"/>
      <c r="T227" s="738"/>
      <c r="U227" s="738"/>
      <c r="V227" s="738"/>
      <c r="W227" s="738"/>
      <c r="X227" s="738"/>
      <c r="Y227" s="738"/>
      <c r="Z227" s="738"/>
      <c r="AA227" s="738"/>
      <c r="AB227" s="738"/>
      <c r="AC227" s="738"/>
      <c r="AD227" s="817"/>
    </row>
    <row r="228" spans="1:34" ht="15" customHeight="1">
      <c r="A228" s="103"/>
      <c r="B228" s="794" t="str">
        <f>IF(AND(AI218&gt;0,G227=""),"Seleccionó el código 10 en la col. Espacios físicos de infraestructura debe anotar el nombre de dicho(s) espacio(s) de infraestructura","")</f>
        <v/>
      </c>
      <c r="C228" s="794"/>
      <c r="D228" s="794"/>
      <c r="E228" s="794"/>
      <c r="F228" s="794"/>
      <c r="G228" s="794"/>
      <c r="H228" s="794"/>
      <c r="I228" s="794"/>
      <c r="J228" s="794"/>
      <c r="K228" s="794"/>
      <c r="L228" s="794"/>
      <c r="M228" s="794"/>
      <c r="N228" s="794"/>
      <c r="O228" s="794"/>
      <c r="P228" s="794"/>
      <c r="Q228" s="794"/>
      <c r="R228" s="794"/>
      <c r="S228" s="794"/>
      <c r="T228" s="794"/>
      <c r="U228" s="794"/>
      <c r="V228" s="794"/>
      <c r="W228" s="794"/>
      <c r="X228" s="794"/>
      <c r="Y228" s="794"/>
      <c r="Z228" s="794"/>
      <c r="AA228" s="794"/>
      <c r="AB228" s="794"/>
      <c r="AC228" s="794"/>
      <c r="AD228" s="794"/>
      <c r="AE228" s="794"/>
    </row>
    <row r="229" spans="1:34">
      <c r="A229" s="89"/>
      <c r="B229" s="90"/>
      <c r="C229" s="880" t="s">
        <v>2730</v>
      </c>
      <c r="D229" s="880"/>
      <c r="E229" s="880"/>
      <c r="F229" s="880"/>
      <c r="G229" s="880"/>
      <c r="H229" s="880"/>
      <c r="I229" s="880"/>
      <c r="J229" s="880"/>
      <c r="K229" s="880"/>
      <c r="L229" s="880"/>
      <c r="M229" s="880"/>
      <c r="N229" s="880"/>
      <c r="O229" s="880"/>
      <c r="P229" s="880"/>
      <c r="Q229" s="880"/>
      <c r="R229" s="880"/>
      <c r="S229" s="880"/>
      <c r="T229" s="880"/>
      <c r="U229" s="880"/>
      <c r="V229" s="880"/>
      <c r="W229" s="880"/>
      <c r="X229" s="880"/>
      <c r="Y229" s="880"/>
      <c r="Z229" s="880"/>
      <c r="AA229" s="880"/>
      <c r="AB229" s="880"/>
      <c r="AC229" s="880"/>
      <c r="AD229" s="880"/>
    </row>
    <row r="230" spans="1:34" ht="24" customHeight="1">
      <c r="A230" s="89"/>
      <c r="B230" s="90"/>
      <c r="C230" s="44" t="s">
        <v>2516</v>
      </c>
      <c r="D230" s="813" t="s">
        <v>2731</v>
      </c>
      <c r="E230" s="814"/>
      <c r="F230" s="814"/>
      <c r="G230" s="814"/>
      <c r="H230" s="814"/>
      <c r="I230" s="814"/>
      <c r="J230" s="814"/>
      <c r="K230" s="814"/>
      <c r="L230" s="814"/>
      <c r="M230" s="814"/>
      <c r="N230" s="814"/>
      <c r="O230" s="814"/>
      <c r="P230" s="815"/>
      <c r="Q230" s="143" t="s">
        <v>2521</v>
      </c>
      <c r="R230" s="813" t="s">
        <v>2732</v>
      </c>
      <c r="S230" s="814"/>
      <c r="T230" s="814"/>
      <c r="U230" s="814"/>
      <c r="V230" s="814"/>
      <c r="W230" s="814"/>
      <c r="X230" s="814"/>
      <c r="Y230" s="814"/>
      <c r="Z230" s="814"/>
      <c r="AA230" s="814"/>
      <c r="AB230" s="814"/>
      <c r="AC230" s="814"/>
      <c r="AD230" s="815"/>
    </row>
    <row r="231" spans="1:34" ht="24" customHeight="1">
      <c r="A231" s="89"/>
      <c r="B231" s="90"/>
      <c r="C231" s="199" t="s">
        <v>2517</v>
      </c>
      <c r="D231" s="813" t="s">
        <v>2733</v>
      </c>
      <c r="E231" s="814"/>
      <c r="F231" s="814"/>
      <c r="G231" s="814"/>
      <c r="H231" s="814"/>
      <c r="I231" s="814"/>
      <c r="J231" s="814"/>
      <c r="K231" s="814"/>
      <c r="L231" s="814"/>
      <c r="M231" s="814"/>
      <c r="N231" s="814"/>
      <c r="O231" s="814"/>
      <c r="P231" s="815"/>
      <c r="Q231" s="143" t="s">
        <v>2522</v>
      </c>
      <c r="R231" s="813" t="s">
        <v>2734</v>
      </c>
      <c r="S231" s="814"/>
      <c r="T231" s="814"/>
      <c r="U231" s="814"/>
      <c r="V231" s="814"/>
      <c r="W231" s="814"/>
      <c r="X231" s="814"/>
      <c r="Y231" s="814"/>
      <c r="Z231" s="814"/>
      <c r="AA231" s="814"/>
      <c r="AB231" s="814"/>
      <c r="AC231" s="814"/>
      <c r="AD231" s="815"/>
    </row>
    <row r="232" spans="1:34" ht="24" customHeight="1">
      <c r="A232" s="89"/>
      <c r="B232" s="90"/>
      <c r="C232" s="143" t="s">
        <v>2518</v>
      </c>
      <c r="D232" s="813" t="s">
        <v>2735</v>
      </c>
      <c r="E232" s="814"/>
      <c r="F232" s="814"/>
      <c r="G232" s="814"/>
      <c r="H232" s="814"/>
      <c r="I232" s="814"/>
      <c r="J232" s="814"/>
      <c r="K232" s="814"/>
      <c r="L232" s="814"/>
      <c r="M232" s="814"/>
      <c r="N232" s="814"/>
      <c r="O232" s="814"/>
      <c r="P232" s="815"/>
      <c r="Q232" s="143" t="s">
        <v>2523</v>
      </c>
      <c r="R232" s="813" t="s">
        <v>2736</v>
      </c>
      <c r="S232" s="814"/>
      <c r="T232" s="814"/>
      <c r="U232" s="814"/>
      <c r="V232" s="814"/>
      <c r="W232" s="814"/>
      <c r="X232" s="814"/>
      <c r="Y232" s="814"/>
      <c r="Z232" s="814"/>
      <c r="AA232" s="814"/>
      <c r="AB232" s="814"/>
      <c r="AC232" s="814"/>
      <c r="AD232" s="815"/>
    </row>
    <row r="233" spans="1:34" ht="24" customHeight="1">
      <c r="A233" s="89"/>
      <c r="B233" s="90"/>
      <c r="C233" s="143" t="s">
        <v>2519</v>
      </c>
      <c r="D233" s="813" t="s">
        <v>2737</v>
      </c>
      <c r="E233" s="814"/>
      <c r="F233" s="814"/>
      <c r="G233" s="814"/>
      <c r="H233" s="814"/>
      <c r="I233" s="814"/>
      <c r="J233" s="814"/>
      <c r="K233" s="814"/>
      <c r="L233" s="814"/>
      <c r="M233" s="814"/>
      <c r="N233" s="814"/>
      <c r="O233" s="814"/>
      <c r="P233" s="815"/>
      <c r="Q233" s="143" t="s">
        <v>2524</v>
      </c>
      <c r="R233" s="813" t="s">
        <v>2738</v>
      </c>
      <c r="S233" s="814"/>
      <c r="T233" s="814"/>
      <c r="U233" s="814"/>
      <c r="V233" s="814"/>
      <c r="W233" s="814"/>
      <c r="X233" s="814"/>
      <c r="Y233" s="814"/>
      <c r="Z233" s="814"/>
      <c r="AA233" s="814"/>
      <c r="AB233" s="814"/>
      <c r="AC233" s="814"/>
      <c r="AD233" s="815"/>
    </row>
    <row r="234" spans="1:34" ht="15" customHeight="1">
      <c r="A234" s="89"/>
      <c r="B234" s="90"/>
      <c r="C234" s="143" t="s">
        <v>2520</v>
      </c>
      <c r="D234" s="813" t="s">
        <v>2739</v>
      </c>
      <c r="E234" s="814"/>
      <c r="F234" s="814"/>
      <c r="G234" s="814"/>
      <c r="H234" s="814"/>
      <c r="I234" s="814"/>
      <c r="J234" s="814"/>
      <c r="K234" s="814"/>
      <c r="L234" s="814"/>
      <c r="M234" s="814"/>
      <c r="N234" s="814"/>
      <c r="O234" s="814"/>
      <c r="P234" s="815"/>
      <c r="Q234" s="143" t="s">
        <v>2525</v>
      </c>
      <c r="R234" s="813" t="s">
        <v>2740</v>
      </c>
      <c r="S234" s="814"/>
      <c r="T234" s="814"/>
      <c r="U234" s="814"/>
      <c r="V234" s="814"/>
      <c r="W234" s="814"/>
      <c r="X234" s="814"/>
      <c r="Y234" s="814"/>
      <c r="Z234" s="814"/>
      <c r="AA234" s="814"/>
      <c r="AB234" s="814"/>
      <c r="AC234" s="814"/>
      <c r="AD234" s="815"/>
    </row>
    <row r="235" spans="1:34" ht="15" customHeight="1">
      <c r="A235" s="103"/>
      <c r="B235" s="57"/>
      <c r="C235" s="57"/>
      <c r="D235" s="57"/>
      <c r="E235" s="57"/>
      <c r="F235" s="57"/>
      <c r="G235" s="57"/>
      <c r="H235" s="57"/>
      <c r="I235" s="57"/>
      <c r="J235" s="57"/>
      <c r="K235" s="57"/>
      <c r="L235" s="57"/>
      <c r="M235" s="57"/>
      <c r="N235" s="57"/>
      <c r="O235" s="57"/>
      <c r="P235" s="57"/>
      <c r="Q235" s="57"/>
      <c r="R235" s="57"/>
      <c r="S235" s="57"/>
      <c r="T235" s="57"/>
      <c r="U235" s="57"/>
      <c r="V235" s="57"/>
      <c r="W235" s="57"/>
      <c r="X235" s="57"/>
      <c r="Y235" s="57"/>
      <c r="Z235" s="57"/>
      <c r="AA235" s="57"/>
      <c r="AB235" s="57"/>
      <c r="AC235" s="57"/>
      <c r="AD235" s="57"/>
    </row>
    <row r="236" spans="1:34" ht="24" customHeight="1">
      <c r="A236" s="103"/>
      <c r="B236" s="57"/>
      <c r="C236" s="754" t="s">
        <v>2611</v>
      </c>
      <c r="D236" s="754"/>
      <c r="E236" s="754"/>
      <c r="F236" s="754"/>
      <c r="G236" s="754"/>
      <c r="H236" s="754"/>
      <c r="I236" s="754"/>
      <c r="J236" s="754"/>
      <c r="K236" s="754"/>
      <c r="L236" s="754"/>
      <c r="M236" s="754"/>
      <c r="N236" s="754"/>
      <c r="O236" s="754"/>
      <c r="P236" s="754"/>
      <c r="Q236" s="754"/>
      <c r="R236" s="754"/>
      <c r="S236" s="754"/>
      <c r="T236" s="754"/>
      <c r="U236" s="754"/>
      <c r="V236" s="754"/>
      <c r="W236" s="754"/>
      <c r="X236" s="754"/>
      <c r="Y236" s="754"/>
      <c r="Z236" s="754"/>
      <c r="AA236" s="754"/>
      <c r="AB236" s="754"/>
      <c r="AC236" s="754"/>
      <c r="AD236" s="754"/>
    </row>
    <row r="237" spans="1:34" ht="60" customHeight="1">
      <c r="A237" s="103"/>
      <c r="B237" s="57"/>
      <c r="C237" s="851"/>
      <c r="D237" s="851"/>
      <c r="E237" s="851"/>
      <c r="F237" s="851"/>
      <c r="G237" s="851"/>
      <c r="H237" s="851"/>
      <c r="I237" s="851"/>
      <c r="J237" s="851"/>
      <c r="K237" s="851"/>
      <c r="L237" s="851"/>
      <c r="M237" s="851"/>
      <c r="N237" s="851"/>
      <c r="O237" s="851"/>
      <c r="P237" s="851"/>
      <c r="Q237" s="851"/>
      <c r="R237" s="851"/>
      <c r="S237" s="851"/>
      <c r="T237" s="851"/>
      <c r="U237" s="851"/>
      <c r="V237" s="851"/>
      <c r="W237" s="851"/>
      <c r="X237" s="851"/>
      <c r="Y237" s="851"/>
      <c r="Z237" s="851"/>
      <c r="AA237" s="851"/>
      <c r="AB237" s="851"/>
      <c r="AC237" s="851"/>
      <c r="AD237" s="851"/>
    </row>
    <row r="238" spans="1:34" ht="15" customHeight="1">
      <c r="A238" s="103"/>
      <c r="B238" s="794" t="str">
        <f>IF(AG226&gt;0,"Favor de ingresar toda la información requerida en la pregunta y/o verifique que no tenga información en celdas sombreadas","")</f>
        <v/>
      </c>
      <c r="C238" s="794"/>
      <c r="D238" s="794"/>
      <c r="E238" s="794"/>
      <c r="F238" s="794"/>
      <c r="G238" s="794"/>
      <c r="H238" s="794"/>
      <c r="I238" s="794"/>
      <c r="J238" s="794"/>
      <c r="K238" s="794"/>
      <c r="L238" s="794"/>
      <c r="M238" s="794"/>
      <c r="N238" s="794"/>
      <c r="O238" s="794"/>
      <c r="P238" s="794"/>
      <c r="Q238" s="794"/>
      <c r="R238" s="794"/>
      <c r="S238" s="794"/>
      <c r="T238" s="794"/>
      <c r="U238" s="794"/>
      <c r="V238" s="794"/>
      <c r="W238" s="794"/>
      <c r="X238" s="794"/>
      <c r="Y238" s="794"/>
      <c r="Z238" s="794"/>
      <c r="AA238" s="794"/>
      <c r="AB238" s="794"/>
      <c r="AC238" s="794"/>
      <c r="AD238" s="794"/>
      <c r="AE238"/>
    </row>
    <row r="239" spans="1:34" ht="15" customHeight="1">
      <c r="A239" s="103"/>
      <c r="B239" s="795"/>
      <c r="C239" s="795"/>
      <c r="D239" s="795"/>
      <c r="E239" s="795"/>
      <c r="F239" s="795"/>
      <c r="G239" s="795"/>
      <c r="H239" s="795"/>
      <c r="I239" s="795"/>
      <c r="J239" s="795"/>
      <c r="K239" s="795"/>
      <c r="L239" s="795"/>
      <c r="M239" s="795"/>
      <c r="N239" s="795"/>
      <c r="O239" s="795"/>
      <c r="P239" s="795"/>
      <c r="Q239" s="795"/>
      <c r="R239" s="795"/>
      <c r="S239" s="795"/>
      <c r="T239" s="795"/>
      <c r="U239" s="795"/>
      <c r="V239" s="795"/>
      <c r="W239" s="795"/>
      <c r="X239" s="795"/>
      <c r="Y239" s="795"/>
      <c r="Z239" s="795"/>
      <c r="AA239" s="795"/>
      <c r="AB239" s="795"/>
      <c r="AC239" s="795"/>
      <c r="AD239" s="795"/>
      <c r="AE239" s="795"/>
    </row>
    <row r="240" spans="1:34" ht="15" customHeight="1">
      <c r="A240" s="103"/>
      <c r="B240" s="57"/>
      <c r="C240" s="57"/>
      <c r="D240" s="57"/>
      <c r="E240" s="57"/>
      <c r="F240" s="57"/>
      <c r="G240" s="57"/>
      <c r="H240" s="57"/>
      <c r="I240" s="57"/>
      <c r="J240" s="57"/>
      <c r="K240" s="57"/>
      <c r="L240" s="57"/>
      <c r="M240" s="57"/>
      <c r="N240" s="57"/>
      <c r="O240" s="57"/>
      <c r="P240" s="57"/>
      <c r="Q240" s="57"/>
      <c r="R240" s="57"/>
      <c r="S240" s="57"/>
      <c r="T240" s="57"/>
      <c r="U240" s="57"/>
      <c r="V240" s="57"/>
      <c r="W240" s="57"/>
      <c r="X240" s="57"/>
      <c r="Y240" s="57"/>
      <c r="Z240" s="57"/>
      <c r="AA240" s="57"/>
      <c r="AB240" s="57"/>
      <c r="AC240" s="57"/>
      <c r="AD240" s="57"/>
    </row>
    <row r="241" spans="1:66" ht="15" customHeight="1">
      <c r="A241" s="103"/>
      <c r="B241" s="57"/>
      <c r="C241" s="57"/>
      <c r="D241" s="57"/>
      <c r="E241" s="57"/>
      <c r="F241" s="57"/>
      <c r="G241" s="57"/>
      <c r="H241" s="57"/>
      <c r="I241" s="57"/>
      <c r="J241" s="57"/>
      <c r="K241" s="57"/>
      <c r="L241" s="57"/>
      <c r="M241" s="57"/>
      <c r="N241" s="57"/>
      <c r="O241" s="57"/>
      <c r="P241" s="57"/>
      <c r="Q241" s="57"/>
      <c r="R241" s="57"/>
      <c r="S241" s="57"/>
      <c r="T241" s="57"/>
      <c r="U241" s="57"/>
      <c r="V241" s="57"/>
      <c r="W241" s="57"/>
      <c r="X241" s="57"/>
      <c r="Y241" s="57"/>
      <c r="Z241" s="57"/>
      <c r="AA241" s="57"/>
      <c r="AB241" s="57"/>
      <c r="AC241" s="57"/>
      <c r="AD241" s="57"/>
    </row>
    <row r="242" spans="1:66" ht="15" customHeight="1">
      <c r="A242" s="103"/>
      <c r="B242" s="57"/>
      <c r="C242" s="57"/>
      <c r="D242" s="57"/>
      <c r="E242" s="57"/>
      <c r="F242" s="57"/>
      <c r="G242" s="57"/>
      <c r="H242" s="57"/>
      <c r="I242" s="57"/>
      <c r="J242" s="57"/>
      <c r="K242" s="57"/>
      <c r="L242" s="57"/>
      <c r="M242" s="57"/>
      <c r="N242" s="57"/>
      <c r="O242" s="57"/>
      <c r="P242" s="57"/>
      <c r="Q242" s="57"/>
      <c r="R242" s="57"/>
      <c r="S242" s="57"/>
      <c r="T242" s="57"/>
      <c r="U242" s="57"/>
      <c r="V242" s="57"/>
      <c r="W242" s="57"/>
      <c r="X242" s="57"/>
      <c r="Y242" s="57"/>
      <c r="Z242" s="57"/>
      <c r="AA242" s="57"/>
      <c r="AB242" s="57"/>
      <c r="AC242" s="57"/>
      <c r="AD242" s="57"/>
    </row>
    <row r="243" spans="1:66" ht="15" customHeight="1">
      <c r="A243" s="103"/>
      <c r="B243" s="57"/>
      <c r="C243" s="57"/>
      <c r="D243" s="57"/>
      <c r="E243" s="57"/>
      <c r="F243" s="57"/>
      <c r="G243" s="57"/>
      <c r="H243" s="57"/>
      <c r="I243" s="57"/>
      <c r="J243" s="57"/>
      <c r="K243" s="57"/>
      <c r="L243" s="57"/>
      <c r="M243" s="57"/>
      <c r="N243" s="57"/>
      <c r="O243" s="57"/>
      <c r="P243" s="57"/>
      <c r="Q243" s="57"/>
      <c r="R243" s="57"/>
      <c r="S243" s="57"/>
      <c r="T243" s="57"/>
      <c r="U243" s="57"/>
      <c r="V243" s="57"/>
      <c r="W243" s="57"/>
      <c r="X243" s="57"/>
      <c r="Y243" s="57"/>
      <c r="Z243" s="57"/>
      <c r="AA243" s="57"/>
      <c r="AB243" s="57"/>
      <c r="AC243" s="57"/>
      <c r="AD243" s="57"/>
    </row>
    <row r="244" spans="1:66" ht="24" customHeight="1">
      <c r="A244" s="49" t="s">
        <v>2741</v>
      </c>
      <c r="B244" s="829" t="s">
        <v>2742</v>
      </c>
      <c r="C244" s="829"/>
      <c r="D244" s="829"/>
      <c r="E244" s="829"/>
      <c r="F244" s="829"/>
      <c r="G244" s="829"/>
      <c r="H244" s="829"/>
      <c r="I244" s="829"/>
      <c r="J244" s="829"/>
      <c r="K244" s="829"/>
      <c r="L244" s="829"/>
      <c r="M244" s="829"/>
      <c r="N244" s="829"/>
      <c r="O244" s="829"/>
      <c r="P244" s="829"/>
      <c r="Q244" s="829"/>
      <c r="R244" s="829"/>
      <c r="S244" s="829"/>
      <c r="T244" s="829"/>
      <c r="U244" s="829"/>
      <c r="V244" s="829"/>
      <c r="W244" s="829"/>
      <c r="X244" s="829"/>
      <c r="Y244" s="829"/>
      <c r="Z244" s="829"/>
      <c r="AA244" s="829"/>
      <c r="AB244" s="829"/>
      <c r="AC244" s="829"/>
      <c r="AD244" s="829"/>
    </row>
    <row r="245" spans="1:66" customFormat="1" ht="24" customHeight="1">
      <c r="A245" s="49"/>
      <c r="B245" s="105"/>
      <c r="C245" s="830" t="s">
        <v>2743</v>
      </c>
      <c r="D245" s="830"/>
      <c r="E245" s="830"/>
      <c r="F245" s="830"/>
      <c r="G245" s="830"/>
      <c r="H245" s="830"/>
      <c r="I245" s="830"/>
      <c r="J245" s="830"/>
      <c r="K245" s="830"/>
      <c r="L245" s="830"/>
      <c r="M245" s="830"/>
      <c r="N245" s="830"/>
      <c r="O245" s="830"/>
      <c r="P245" s="830"/>
      <c r="Q245" s="830"/>
      <c r="R245" s="830"/>
      <c r="S245" s="830"/>
      <c r="T245" s="830"/>
      <c r="U245" s="830"/>
      <c r="V245" s="830"/>
      <c r="W245" s="830"/>
      <c r="X245" s="830"/>
      <c r="Y245" s="830"/>
      <c r="Z245" s="830"/>
      <c r="AA245" s="830"/>
      <c r="AB245" s="830"/>
      <c r="AC245" s="830"/>
      <c r="AD245" s="830"/>
    </row>
    <row r="246" spans="1:66" ht="36" customHeight="1">
      <c r="A246" s="49"/>
      <c r="B246" s="105"/>
      <c r="C246" s="830" t="s">
        <v>2744</v>
      </c>
      <c r="D246" s="830"/>
      <c r="E246" s="830"/>
      <c r="F246" s="830"/>
      <c r="G246" s="830"/>
      <c r="H246" s="830"/>
      <c r="I246" s="830"/>
      <c r="J246" s="830"/>
      <c r="K246" s="830"/>
      <c r="L246" s="830"/>
      <c r="M246" s="830"/>
      <c r="N246" s="830"/>
      <c r="O246" s="830"/>
      <c r="P246" s="830"/>
      <c r="Q246" s="830"/>
      <c r="R246" s="830"/>
      <c r="S246" s="830"/>
      <c r="T246" s="830"/>
      <c r="U246" s="830"/>
      <c r="V246" s="830"/>
      <c r="W246" s="830"/>
      <c r="X246" s="830"/>
      <c r="Y246" s="830"/>
      <c r="Z246" s="830"/>
      <c r="AA246" s="830"/>
      <c r="AB246" s="830"/>
      <c r="AC246" s="830"/>
      <c r="AD246" s="830"/>
    </row>
    <row r="247" spans="1:66" ht="36" customHeight="1">
      <c r="A247" s="49"/>
      <c r="B247" s="105"/>
      <c r="C247" s="754" t="s">
        <v>2745</v>
      </c>
      <c r="D247" s="754"/>
      <c r="E247" s="754"/>
      <c r="F247" s="754"/>
      <c r="G247" s="754"/>
      <c r="H247" s="754"/>
      <c r="I247" s="754"/>
      <c r="J247" s="754"/>
      <c r="K247" s="754"/>
      <c r="L247" s="754"/>
      <c r="M247" s="754"/>
      <c r="N247" s="754"/>
      <c r="O247" s="754"/>
      <c r="P247" s="754"/>
      <c r="Q247" s="754"/>
      <c r="R247" s="754"/>
      <c r="S247" s="754"/>
      <c r="T247" s="754"/>
      <c r="U247" s="754"/>
      <c r="V247" s="754"/>
      <c r="W247" s="754"/>
      <c r="X247" s="754"/>
      <c r="Y247" s="754"/>
      <c r="Z247" s="754"/>
      <c r="AA247" s="754"/>
      <c r="AB247" s="754"/>
      <c r="AC247" s="754"/>
      <c r="AD247" s="754"/>
    </row>
    <row r="248" spans="1:66" ht="24" customHeight="1">
      <c r="A248" s="50"/>
      <c r="B248" s="57"/>
      <c r="C248" s="754" t="s">
        <v>2746</v>
      </c>
      <c r="D248" s="754"/>
      <c r="E248" s="754"/>
      <c r="F248" s="754"/>
      <c r="G248" s="754"/>
      <c r="H248" s="754"/>
      <c r="I248" s="754"/>
      <c r="J248" s="754"/>
      <c r="K248" s="754"/>
      <c r="L248" s="754"/>
      <c r="M248" s="754"/>
      <c r="N248" s="754"/>
      <c r="O248" s="754"/>
      <c r="P248" s="754"/>
      <c r="Q248" s="754"/>
      <c r="R248" s="754"/>
      <c r="S248" s="754"/>
      <c r="T248" s="754"/>
      <c r="U248" s="754"/>
      <c r="V248" s="754"/>
      <c r="W248" s="754"/>
      <c r="X248" s="754"/>
      <c r="Y248" s="754"/>
      <c r="Z248" s="754"/>
      <c r="AA248" s="754"/>
      <c r="AB248" s="754"/>
      <c r="AC248" s="754"/>
      <c r="AD248" s="754"/>
    </row>
    <row r="249" spans="1:66" ht="15" customHeight="1">
      <c r="A249" s="50"/>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c r="AC249" s="38"/>
      <c r="AD249" s="38"/>
    </row>
    <row r="250" spans="1:66" ht="15" customHeight="1">
      <c r="A250" s="50"/>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c r="AA250" s="875" t="s">
        <v>2664</v>
      </c>
      <c r="AB250" s="875"/>
      <c r="AC250" s="875"/>
      <c r="AD250" s="875"/>
    </row>
    <row r="251" spans="1:66" ht="15" customHeight="1">
      <c r="A251" s="50"/>
      <c r="B251" s="38"/>
      <c r="C251" s="732" t="s">
        <v>2581</v>
      </c>
      <c r="D251" s="732"/>
      <c r="E251" s="732"/>
      <c r="F251" s="732"/>
      <c r="G251" s="732"/>
      <c r="H251" s="732"/>
      <c r="I251" s="732"/>
      <c r="J251" s="732"/>
      <c r="K251" s="732"/>
      <c r="L251" s="732"/>
      <c r="M251" s="732"/>
      <c r="N251" s="732"/>
      <c r="O251" s="732"/>
      <c r="P251" s="798" t="s">
        <v>2747</v>
      </c>
      <c r="Q251" s="798"/>
      <c r="R251" s="798"/>
      <c r="S251" s="798"/>
      <c r="T251" s="798"/>
      <c r="U251" s="798"/>
      <c r="V251" s="798"/>
      <c r="W251" s="798"/>
      <c r="X251" s="798"/>
      <c r="Y251" s="798"/>
      <c r="Z251" s="798"/>
      <c r="AA251" s="798"/>
      <c r="AB251" s="798"/>
      <c r="AC251" s="798"/>
      <c r="AD251" s="799"/>
    </row>
    <row r="252" spans="1:66" ht="15" customHeight="1">
      <c r="A252" s="50"/>
      <c r="B252" s="38"/>
      <c r="C252" s="732"/>
      <c r="D252" s="732"/>
      <c r="E252" s="732"/>
      <c r="F252" s="732"/>
      <c r="G252" s="732"/>
      <c r="H252" s="732"/>
      <c r="I252" s="732"/>
      <c r="J252" s="732"/>
      <c r="K252" s="732"/>
      <c r="L252" s="732"/>
      <c r="M252" s="732"/>
      <c r="N252" s="732"/>
      <c r="O252" s="732"/>
      <c r="P252" s="879" t="s">
        <v>2628</v>
      </c>
      <c r="Q252" s="857" t="s">
        <v>2748</v>
      </c>
      <c r="R252" s="857" t="s">
        <v>2749</v>
      </c>
      <c r="S252" s="733" t="s">
        <v>2750</v>
      </c>
      <c r="T252" s="734"/>
      <c r="U252" s="734"/>
      <c r="V252" s="734"/>
      <c r="W252" s="734"/>
      <c r="X252" s="734"/>
      <c r="Y252" s="734"/>
      <c r="Z252" s="734"/>
      <c r="AA252" s="734"/>
      <c r="AB252" s="734"/>
      <c r="AC252" s="734"/>
      <c r="AD252" s="735"/>
    </row>
    <row r="253" spans="1:66" ht="156" customHeight="1">
      <c r="A253" s="50"/>
      <c r="B253" s="38"/>
      <c r="C253" s="732"/>
      <c r="D253" s="732"/>
      <c r="E253" s="732"/>
      <c r="F253" s="732"/>
      <c r="G253" s="732"/>
      <c r="H253" s="732"/>
      <c r="I253" s="732"/>
      <c r="J253" s="732"/>
      <c r="K253" s="732"/>
      <c r="L253" s="732"/>
      <c r="M253" s="732"/>
      <c r="N253" s="732"/>
      <c r="O253" s="732"/>
      <c r="P253" s="879"/>
      <c r="Q253" s="857"/>
      <c r="R253" s="857"/>
      <c r="S253" s="857" t="s">
        <v>2751</v>
      </c>
      <c r="T253" s="857"/>
      <c r="U253" s="857"/>
      <c r="V253" s="857" t="s">
        <v>2752</v>
      </c>
      <c r="W253" s="857"/>
      <c r="X253" s="857"/>
      <c r="Y253" s="857" t="s">
        <v>2753</v>
      </c>
      <c r="Z253" s="857"/>
      <c r="AA253" s="857"/>
      <c r="AB253" s="857" t="s">
        <v>2754</v>
      </c>
      <c r="AC253" s="857"/>
      <c r="AD253" s="857"/>
    </row>
    <row r="254" spans="1:66" ht="60" customHeight="1">
      <c r="A254" s="50"/>
      <c r="B254" s="38"/>
      <c r="C254" s="732"/>
      <c r="D254" s="732"/>
      <c r="E254" s="732"/>
      <c r="F254" s="732"/>
      <c r="G254" s="732"/>
      <c r="H254" s="732"/>
      <c r="I254" s="732"/>
      <c r="J254" s="732"/>
      <c r="K254" s="732"/>
      <c r="L254" s="732"/>
      <c r="M254" s="732"/>
      <c r="N254" s="732"/>
      <c r="O254" s="732"/>
      <c r="P254" s="879"/>
      <c r="Q254" s="857"/>
      <c r="R254" s="857"/>
      <c r="S254" s="127" t="s">
        <v>2755</v>
      </c>
      <c r="T254" s="128" t="s">
        <v>2748</v>
      </c>
      <c r="U254" s="128" t="s">
        <v>2749</v>
      </c>
      <c r="V254" s="127" t="s">
        <v>2755</v>
      </c>
      <c r="W254" s="128" t="s">
        <v>2748</v>
      </c>
      <c r="X254" s="128" t="s">
        <v>2749</v>
      </c>
      <c r="Y254" s="127" t="s">
        <v>2755</v>
      </c>
      <c r="Z254" s="128" t="s">
        <v>2748</v>
      </c>
      <c r="AA254" s="128" t="s">
        <v>2749</v>
      </c>
      <c r="AB254" s="127" t="s">
        <v>2755</v>
      </c>
      <c r="AC254" s="128" t="s">
        <v>2748</v>
      </c>
      <c r="AD254" s="128" t="s">
        <v>2749</v>
      </c>
      <c r="AG254" s="247" t="s">
        <v>2586</v>
      </c>
      <c r="AH254" s="263" t="s">
        <v>2637</v>
      </c>
      <c r="AI254" s="264" t="s">
        <v>2638</v>
      </c>
      <c r="AJ254" s="265" t="s">
        <v>2639</v>
      </c>
      <c r="AK254" s="263" t="s">
        <v>2640</v>
      </c>
      <c r="AL254" s="264" t="s">
        <v>2641</v>
      </c>
      <c r="AM254" s="265" t="s">
        <v>2642</v>
      </c>
      <c r="AN254" s="263" t="s">
        <v>2643</v>
      </c>
      <c r="AO254" s="264" t="s">
        <v>2644</v>
      </c>
      <c r="AP254" s="265" t="s">
        <v>2645</v>
      </c>
      <c r="AQ254" s="263" t="s">
        <v>2646</v>
      </c>
      <c r="AR254" s="264" t="s">
        <v>2647</v>
      </c>
      <c r="AS254" s="265" t="s">
        <v>2648</v>
      </c>
      <c r="AT254" s="263" t="s">
        <v>2756</v>
      </c>
      <c r="AU254" s="264" t="s">
        <v>2757</v>
      </c>
      <c r="AV254" s="265" t="s">
        <v>2758</v>
      </c>
      <c r="AW254" s="263" t="s">
        <v>2759</v>
      </c>
      <c r="AX254" s="280" t="s">
        <v>2760</v>
      </c>
      <c r="AY254" s="281" t="s">
        <v>2761</v>
      </c>
      <c r="AZ254" s="282" t="s">
        <v>2762</v>
      </c>
      <c r="BA254" s="280" t="s">
        <v>2763</v>
      </c>
      <c r="BB254" s="281" t="s">
        <v>2764</v>
      </c>
      <c r="BC254" s="282" t="s">
        <v>2765</v>
      </c>
      <c r="BD254" s="280" t="s">
        <v>2766</v>
      </c>
      <c r="BE254" s="281" t="s">
        <v>2767</v>
      </c>
      <c r="BF254" s="282" t="s">
        <v>2768</v>
      </c>
      <c r="BG254" s="280" t="s">
        <v>2769</v>
      </c>
      <c r="BH254" s="281" t="s">
        <v>2770</v>
      </c>
      <c r="BI254" s="282" t="s">
        <v>2771</v>
      </c>
      <c r="BJ254" s="280" t="s">
        <v>2772</v>
      </c>
      <c r="BK254" s="281" t="s">
        <v>2773</v>
      </c>
      <c r="BL254" s="282" t="s">
        <v>2774</v>
      </c>
      <c r="BM254" s="280" t="s">
        <v>2775</v>
      </c>
      <c r="BN254" s="281" t="s">
        <v>2776</v>
      </c>
    </row>
    <row r="255" spans="1:66" ht="15" customHeight="1">
      <c r="A255" s="50"/>
      <c r="B255" s="38"/>
      <c r="C255" s="97" t="s">
        <v>2516</v>
      </c>
      <c r="D255" s="813" t="str">
        <f>IF(CNSIPEE_2024_M2_Secc1!D42="","",CNSIPEE_2024_M2_Secc1!D42)</f>
        <v/>
      </c>
      <c r="E255" s="814"/>
      <c r="F255" s="814"/>
      <c r="G255" s="814"/>
      <c r="H255" s="814"/>
      <c r="I255" s="814"/>
      <c r="J255" s="814"/>
      <c r="K255" s="814"/>
      <c r="L255" s="814"/>
      <c r="M255" s="814"/>
      <c r="N255" s="814"/>
      <c r="O255" s="815"/>
      <c r="P255" s="100"/>
      <c r="Q255" s="100"/>
      <c r="R255" s="100"/>
      <c r="S255" s="100"/>
      <c r="T255" s="100"/>
      <c r="U255" s="100"/>
      <c r="V255" s="100"/>
      <c r="W255" s="100"/>
      <c r="X255" s="100"/>
      <c r="Y255" s="100"/>
      <c r="Z255" s="100"/>
      <c r="AA255" s="100"/>
      <c r="AB255" s="100"/>
      <c r="AC255" s="100"/>
      <c r="AD255" s="100"/>
      <c r="AG255" s="249">
        <f>IF(AND(COUNTBLANK(D255)=0,COUNTA(P255:AD255,M270:AD270)=0),0,IF(AND(COUNTBLANK(D255)=0,COUNTA(P255:AD255,M270:AD270)=33),0,IF(AND(COUNTBLANK(D255)=1,COUNTA(P255:AD255,M270:AD270)=0),0,1)))</f>
        <v>0</v>
      </c>
      <c r="AH255" s="249">
        <f>COUNTIF(Q255:R255,"NS")</f>
        <v>0</v>
      </c>
      <c r="AI255" s="249">
        <f>SUM(Q255:R255)</f>
        <v>0</v>
      </c>
      <c r="AJ255" s="249">
        <f>IF(COUNTIF(P255:R255,"NA")=3,0,IF(COUNTA(P255:R255)=0,0,IF(OR(AND(P255=0,AH255&gt;0),AND(P255="ns",AI255&gt;0),AND(P255="ns",AH255=0,AI255=0)),1,IF(OR(AND(P255&gt;0,AH255=2),AND(P255="ns",AH255=2),AND(P255="ns",AI255=0,AH255&gt;0),P255=AI255),0,1))))</f>
        <v>0</v>
      </c>
      <c r="AK255" s="249">
        <f>COUNTIF(T255:U255,"NS")</f>
        <v>0</v>
      </c>
      <c r="AL255" s="249">
        <f>SUM(T255:U255)</f>
        <v>0</v>
      </c>
      <c r="AM255" s="249">
        <f>IF(COUNTIF(S255:U255,"NA")=3,0,IF(COUNTA(S255:U255)=0,0,IF(OR(AND(S255=0,AK255&gt;0),AND(S255="ns",AL255&gt;0),AND(S255="ns",AK255=0,AL255=0)),1,IF(OR(AND(S255&gt;0,AK255=2),AND(S255="ns",AK255=2),AND(S255="ns",AL255=0,AK255&gt;0),S255=AL255),0,1))))</f>
        <v>0</v>
      </c>
      <c r="AN255" s="249">
        <f>COUNTIF(W255:X255,"NS")</f>
        <v>0</v>
      </c>
      <c r="AO255" s="249">
        <f>SUM(W255:X255)</f>
        <v>0</v>
      </c>
      <c r="AP255" s="249">
        <f>IF(COUNTIF(V255:X255,"NA")=3,0,IF(COUNTA(V255:X255)=0,0,IF(OR(AND(V255=0,AN255&gt;0),AND(V255="ns",AO255&gt;0),AND(V255="ns",AN255=0,AO255=0)),1,IF(OR(AND(V255&gt;0,AN255=2),AND(V255="ns",AN255=2),AND(V255="ns",AO255=0,AN255&gt;0),V255=AO255),0,1))))</f>
        <v>0</v>
      </c>
      <c r="AQ255" s="249">
        <f>COUNTIF(Z255:AA255,"NS")</f>
        <v>0</v>
      </c>
      <c r="AR255" s="249">
        <f>SUM(Z255:AA255)</f>
        <v>0</v>
      </c>
      <c r="AS255" s="249">
        <f>IF(COUNTIF(Y255:AA255,"NA")=3,0,IF(COUNTA(Y255:AA255)=0,0,IF(OR(AND(Y255=0,AQ255&gt;0),AND(Y255="ns",AR255&gt;0),AND(Y255="ns",AQ255=0,AR255=0)),1,IF(OR(AND(Y255&gt;0,AQ255=2),AND(Y255="ns",AQ255=2),AND(Y255="ns",AR255=0,AQ255&gt;0),Y255=AR255),0,1))))</f>
        <v>0</v>
      </c>
      <c r="AT255" s="249">
        <f>COUNTIF(AC255:AD255,"NS")</f>
        <v>0</v>
      </c>
      <c r="AU255" s="249">
        <f>SUM(AC255:AD255)</f>
        <v>0</v>
      </c>
      <c r="AV255" s="249">
        <f>IF(COUNTIF(AB255:AD255,"NA")=3,0,IF(COUNTA(AB255:AD255)=0,0,IF(OR(AND(AB255=0,AT255&gt;0),AND(AB255="ns",AU255&gt;0),AND(AB255="ns",AT255=0,AU255=0)),1,IF(OR(AND(AB255&gt;0,AT255=2),AND(AB255="ns",AT255=2),AND(AB255="ns",AU255=0,AT255&gt;0),AB255=AU255),0,1))))</f>
        <v>0</v>
      </c>
      <c r="AW255" s="249">
        <f>COUNTIF(N270:O270,"NS")</f>
        <v>0</v>
      </c>
      <c r="AX255" s="283">
        <f>SUM(N270:O270)</f>
        <v>0</v>
      </c>
      <c r="AY255" s="283">
        <f>IF(COUNTIF(M270:O270,"NA")=3,0,IF(COUNTA(M270:O270)=0,0,IF(OR(AND(M270=0,AW255&gt;0),AND(M270="ns",AX255&gt;0),AND(M270="ns",AW255=0,AX255=0)),1,IF(OR(AND(M270&gt;0,AW255=2),AND(M270="ns",AW255=2),AND(M270="ns",AX255=0,AW255&gt;0),M270=AX255),0,1))))</f>
        <v>0</v>
      </c>
      <c r="AZ255" s="249">
        <f>COUNTIF(Q270:R270,"NS")</f>
        <v>0</v>
      </c>
      <c r="BA255" s="283">
        <f>SUM(Q270:R270)</f>
        <v>0</v>
      </c>
      <c r="BB255" s="283">
        <f>IF(COUNTIF(P270:R270,"NA")=3,0,IF(COUNTA(P270:R270)=0,0,IF(OR(AND(P270=0,AZ255&gt;0),AND(P270="ns",BA255&gt;0),AND(P270="ns",AZ255=0,BA255=0)),1,IF(OR(AND(P270&gt;0,AZ255=2),AND(P270="ns",AZ255=2),AND(P270="ns",BA255=0,AZ255&gt;0),P270=BA255),0,1))))</f>
        <v>0</v>
      </c>
      <c r="BC255" s="249">
        <f>COUNTIF(T270:U270,"NS")</f>
        <v>0</v>
      </c>
      <c r="BD255" s="283">
        <f>SUM(T270:U270)</f>
        <v>0</v>
      </c>
      <c r="BE255" s="283">
        <f>IF(COUNTIF(S270:U270,"NA")=3,0,IF(COUNTA(S270:U270)=0,0,IF(OR(AND(S270=0,BC255&gt;0),AND(S270="ns",BD255&gt;0),AND(S270="ns",BC255=0,BD255=0)),1,IF(OR(AND(S270&gt;0,BC255=2),AND(S270="ns",BC255=2),AND(S270="ns",BD255=0,BC255&gt;0),S270=BD255),0,1))))</f>
        <v>0</v>
      </c>
      <c r="BF255" s="249">
        <f>COUNTIF(W270:X270,"NS")</f>
        <v>0</v>
      </c>
      <c r="BG255" s="283">
        <f>SUM(W270:X270)</f>
        <v>0</v>
      </c>
      <c r="BH255" s="283">
        <f>IF(COUNTIF(V270:X270,"NA")=3,0,IF(COUNTA(V270:X270)=0,0,IF(OR(AND(V270=0,BF255&gt;0),AND(V270="ns",BG255&gt;0),AND(V270="ns",BF255=0,BG255=0)),1,IF(OR(AND(V270&gt;0,BF255=2),AND(V270="ns",BF255=2),AND(V270="ns",BG255=0,BF255&gt;0),V270=BG255),0,1))))</f>
        <v>0</v>
      </c>
      <c r="BI255" s="249">
        <f>COUNTIF(Z270:AA270,"NS")</f>
        <v>0</v>
      </c>
      <c r="BJ255" s="283">
        <f>SUM(Z270:AA270)</f>
        <v>0</v>
      </c>
      <c r="BK255" s="283">
        <f>IF(COUNTIF(Y270:AA270,"NA")=3,0,IF(COUNTA(Y270:AA270)=0,0,IF(OR(AND(Y270=0,BI255&gt;0),AND(Y270="ns",BJ255&gt;0),AND(Y270="ns",BI255=0,BJ255=0)),1,IF(OR(AND(Y270&gt;0,BI255=2),AND(Y270="ns",BI255=2),AND(Y270="ns",BJ255=0,BI255&gt;0),Y270=BJ255),0,1))))</f>
        <v>0</v>
      </c>
      <c r="BL255" s="249">
        <f>COUNTIF(AC270:AD270,"NS")</f>
        <v>0</v>
      </c>
      <c r="BM255" s="283">
        <f>SUM(AC270:AD270)</f>
        <v>0</v>
      </c>
      <c r="BN255" s="283">
        <f>IF(COUNTIF(AB270:AD270,"NA")=3,0,IF(COUNTA(AB270:AD270)=0,0,IF(OR(AND(AB270=0,BL255&gt;0),AND(AB270="ns",BM255&gt;0),AND(AB270="ns",BL255=0,BM255=0)),1,IF(OR(AND(AB270&gt;0,BL255=2),AND(AB270="ns",BL255=2),AND(AB270="ns",BM255=0,BL255&gt;0),AB270=BM255),0,1))))</f>
        <v>0</v>
      </c>
    </row>
    <row r="256" spans="1:66" ht="15" customHeight="1">
      <c r="A256" s="50"/>
      <c r="B256" s="38"/>
      <c r="C256" s="143" t="s">
        <v>2517</v>
      </c>
      <c r="D256" s="813" t="str">
        <f>IF(CNSIPEE_2024_M2_Secc1!D43="","",CNSIPEE_2024_M2_Secc1!D43)</f>
        <v/>
      </c>
      <c r="E256" s="814"/>
      <c r="F256" s="814"/>
      <c r="G256" s="814"/>
      <c r="H256" s="814"/>
      <c r="I256" s="814"/>
      <c r="J256" s="814"/>
      <c r="K256" s="814"/>
      <c r="L256" s="814"/>
      <c r="M256" s="814"/>
      <c r="N256" s="814"/>
      <c r="O256" s="815"/>
      <c r="P256" s="100"/>
      <c r="Q256" s="100"/>
      <c r="R256" s="100"/>
      <c r="S256" s="100"/>
      <c r="T256" s="100"/>
      <c r="U256" s="100"/>
      <c r="V256" s="100"/>
      <c r="W256" s="100"/>
      <c r="X256" s="100"/>
      <c r="Y256" s="100"/>
      <c r="Z256" s="100"/>
      <c r="AA256" s="100"/>
      <c r="AB256" s="100"/>
      <c r="AC256" s="100"/>
      <c r="AD256" s="100"/>
      <c r="AG256" s="249">
        <f t="shared" ref="AG256:AG262" si="52">IF(AND(COUNTBLANK(D256)=0,COUNTA(P256:AD256,M271:AD271)=0),0,IF(AND(COUNTBLANK(D256)=0,COUNTA(P256:AD256,M271:AD271)=33),0,IF(AND(COUNTBLANK(D256)=1,COUNTA(P256:AD256,M271:AD271)=0),0,1)))</f>
        <v>0</v>
      </c>
      <c r="AH256" s="249">
        <f t="shared" ref="AH256:AH262" si="53">COUNTIF(Q256:R256,"NS")</f>
        <v>0</v>
      </c>
      <c r="AI256" s="249">
        <f t="shared" ref="AI256:AI262" si="54">SUM(Q256:R256)</f>
        <v>0</v>
      </c>
      <c r="AJ256" s="249">
        <f t="shared" ref="AJ256:AJ262" si="55">IF(COUNTIF(P256:R256,"NA")=3,0,IF(COUNTA(P256:R256)=0,0,IF(OR(AND(P256=0,AH256&gt;0),AND(P256="ns",AI256&gt;0),AND(P256="ns",AH256=0,AI256=0)),1,IF(OR(AND(P256&gt;0,AH256=2),AND(P256="ns",AH256=2),AND(P256="ns",AI256=0,AH256&gt;0),P256=AI256),0,1))))</f>
        <v>0</v>
      </c>
      <c r="AK256" s="249">
        <f t="shared" ref="AK256:AK262" si="56">COUNTIF(T256:U256,"NS")</f>
        <v>0</v>
      </c>
      <c r="AL256" s="249">
        <f t="shared" ref="AL256:AL262" si="57">SUM(T256:U256)</f>
        <v>0</v>
      </c>
      <c r="AM256" s="249">
        <f t="shared" ref="AM256:AM262" si="58">IF(COUNTIF(S256:U256,"NA")=3,0,IF(COUNTA(S256:U256)=0,0,IF(OR(AND(S256=0,AK256&gt;0),AND(S256="ns",AL256&gt;0),AND(S256="ns",AK256=0,AL256=0)),1,IF(OR(AND(S256&gt;0,AK256=2),AND(S256="ns",AK256=2),AND(S256="ns",AL256=0,AK256&gt;0),S256=AL256),0,1))))</f>
        <v>0</v>
      </c>
      <c r="AN256" s="249">
        <f t="shared" ref="AN256:AN262" si="59">COUNTIF(W256:X256,"NS")</f>
        <v>0</v>
      </c>
      <c r="AO256" s="249">
        <f t="shared" ref="AO256:AO262" si="60">SUM(W256:X256)</f>
        <v>0</v>
      </c>
      <c r="AP256" s="249">
        <f t="shared" ref="AP256:AP262" si="61">IF(COUNTIF(V256:X256,"NA")=3,0,IF(COUNTA(V256:X256)=0,0,IF(OR(AND(V256=0,AN256&gt;0),AND(V256="ns",AO256&gt;0),AND(V256="ns",AN256=0,AO256=0)),1,IF(OR(AND(V256&gt;0,AN256=2),AND(V256="ns",AN256=2),AND(V256="ns",AO256=0,AN256&gt;0),V256=AO256),0,1))))</f>
        <v>0</v>
      </c>
      <c r="AQ256" s="249">
        <f t="shared" ref="AQ256:AQ262" si="62">COUNTIF(Z256:AA256,"NS")</f>
        <v>0</v>
      </c>
      <c r="AR256" s="249">
        <f t="shared" ref="AR256:AR262" si="63">SUM(Z256:AA256)</f>
        <v>0</v>
      </c>
      <c r="AS256" s="249">
        <f t="shared" ref="AS256:AS262" si="64">IF(COUNTIF(Y256:AA256,"NA")=3,0,IF(COUNTA(Y256:AA256)=0,0,IF(OR(AND(Y256=0,AQ256&gt;0),AND(Y256="ns",AR256&gt;0),AND(Y256="ns",AQ256=0,AR256=0)),1,IF(OR(AND(Y256&gt;0,AQ256=2),AND(Y256="ns",AQ256=2),AND(Y256="ns",AR256=0,AQ256&gt;0),Y256=AR256),0,1))))</f>
        <v>0</v>
      </c>
      <c r="AT256" s="249">
        <f t="shared" ref="AT256:AT262" si="65">COUNTIF(AC256:AD256,"NS")</f>
        <v>0</v>
      </c>
      <c r="AU256" s="249">
        <f t="shared" ref="AU256:AU262" si="66">SUM(AC256:AD256)</f>
        <v>0</v>
      </c>
      <c r="AV256" s="249">
        <f t="shared" ref="AV256:AV262" si="67">IF(COUNTIF(AB256:AD256,"NA")=3,0,IF(COUNTA(AB256:AD256)=0,0,IF(OR(AND(AB256=0,AT256&gt;0),AND(AB256="ns",AU256&gt;0),AND(AB256="ns",AT256=0,AU256=0)),1,IF(OR(AND(AB256&gt;0,AT256=2),AND(AB256="ns",AT256=2),AND(AB256="ns",AU256=0,AT256&gt;0),AB256=AU256),0,1))))</f>
        <v>0</v>
      </c>
      <c r="AW256" s="249">
        <f t="shared" ref="AW256:AW262" si="68">COUNTIF(N271:O271,"NS")</f>
        <v>0</v>
      </c>
      <c r="AX256" s="283">
        <f t="shared" ref="AX256:AX262" si="69">SUM(N271:O271)</f>
        <v>0</v>
      </c>
      <c r="AY256" s="283">
        <f t="shared" ref="AY256:AY262" si="70">IF(COUNTIF(M271:O271,"NA")=3,0,IF(COUNTA(M271:O271)=0,0,IF(OR(AND(M271=0,AW256&gt;0),AND(M271="ns",AX256&gt;0),AND(M271="ns",AW256=0,AX256=0)),1,IF(OR(AND(M271&gt;0,AW256=2),AND(M271="ns",AW256=2),AND(M271="ns",AX256=0,AW256&gt;0),M271=AX256),0,1))))</f>
        <v>0</v>
      </c>
      <c r="AZ256" s="249">
        <f t="shared" ref="AZ256:AZ262" si="71">COUNTIF(Q271:R271,"NS")</f>
        <v>0</v>
      </c>
      <c r="BA256" s="283">
        <f t="shared" ref="BA256:BA262" si="72">SUM(Q271:R271)</f>
        <v>0</v>
      </c>
      <c r="BB256" s="283">
        <f t="shared" ref="BB256:BB262" si="73">IF(COUNTIF(P271:R271,"NA")=3,0,IF(COUNTA(P271:R271)=0,0,IF(OR(AND(P271=0,AZ256&gt;0),AND(P271="ns",BA256&gt;0),AND(P271="ns",AZ256=0,BA256=0)),1,IF(OR(AND(P271&gt;0,AZ256=2),AND(P271="ns",AZ256=2),AND(P271="ns",BA256=0,AZ256&gt;0),P271=BA256),0,1))))</f>
        <v>0</v>
      </c>
      <c r="BC256" s="249">
        <f t="shared" ref="BC256:BC262" si="74">COUNTIF(T271:U271,"NS")</f>
        <v>0</v>
      </c>
      <c r="BD256" s="283">
        <f t="shared" ref="BD256:BD262" si="75">SUM(T271:U271)</f>
        <v>0</v>
      </c>
      <c r="BE256" s="283">
        <f t="shared" ref="BE256:BE262" si="76">IF(COUNTIF(S271:U271,"NA")=3,0,IF(COUNTA(S271:U271)=0,0,IF(OR(AND(S271=0,BC256&gt;0),AND(S271="ns",BD256&gt;0),AND(S271="ns",BC256=0,BD256=0)),1,IF(OR(AND(S271&gt;0,BC256=2),AND(S271="ns",BC256=2),AND(S271="ns",BD256=0,BC256&gt;0),S271=BD256),0,1))))</f>
        <v>0</v>
      </c>
      <c r="BF256" s="249">
        <f t="shared" ref="BF256:BF262" si="77">COUNTIF(W271:X271,"NS")</f>
        <v>0</v>
      </c>
      <c r="BG256" s="283">
        <f t="shared" ref="BG256:BG262" si="78">SUM(W271:X271)</f>
        <v>0</v>
      </c>
      <c r="BH256" s="283">
        <f t="shared" ref="BH256:BH262" si="79">IF(COUNTIF(V271:X271,"NA")=3,0,IF(COUNTA(V271:X271)=0,0,IF(OR(AND(V271=0,BF256&gt;0),AND(V271="ns",BG256&gt;0),AND(V271="ns",BF256=0,BG256=0)),1,IF(OR(AND(V271&gt;0,BF256=2),AND(V271="ns",BF256=2),AND(V271="ns",BG256=0,BF256&gt;0),V271=BG256),0,1))))</f>
        <v>0</v>
      </c>
      <c r="BI256" s="249">
        <f t="shared" ref="BI256:BI262" si="80">COUNTIF(Z271:AA271,"NS")</f>
        <v>0</v>
      </c>
      <c r="BJ256" s="283">
        <f t="shared" ref="BJ256:BJ262" si="81">SUM(Z271:AA271)</f>
        <v>0</v>
      </c>
      <c r="BK256" s="283">
        <f t="shared" ref="BK256:BK262" si="82">IF(COUNTIF(Y271:AA271,"NA")=3,0,IF(COUNTA(Y271:AA271)=0,0,IF(OR(AND(Y271=0,BI256&gt;0),AND(Y271="ns",BJ256&gt;0),AND(Y271="ns",BI256=0,BJ256=0)),1,IF(OR(AND(Y271&gt;0,BI256=2),AND(Y271="ns",BI256=2),AND(Y271="ns",BJ256=0,BI256&gt;0),Y271=BJ256),0,1))))</f>
        <v>0</v>
      </c>
      <c r="BL256" s="249">
        <f t="shared" ref="BL256:BL262" si="83">COUNTIF(AC271:AD271,"NS")</f>
        <v>0</v>
      </c>
      <c r="BM256" s="283">
        <f t="shared" ref="BM256:BM262" si="84">SUM(AC271:AD271)</f>
        <v>0</v>
      </c>
      <c r="BN256" s="283">
        <f t="shared" ref="BN256:BN262" si="85">IF(COUNTIF(AB271:AD271,"NA")=3,0,IF(COUNTA(AB271:AD271)=0,0,IF(OR(AND(AB271=0,BL256&gt;0),AND(AB271="ns",BM256&gt;0),AND(AB271="ns",BL256=0,BM256=0)),1,IF(OR(AND(AB271&gt;0,BL256=2),AND(AB271="ns",BL256=2),AND(AB271="ns",BM256=0,BL256&gt;0),AB271=BM256),0,1))))</f>
        <v>0</v>
      </c>
    </row>
    <row r="257" spans="1:66" ht="15" customHeight="1">
      <c r="A257" s="50"/>
      <c r="B257" s="38"/>
      <c r="C257" s="143" t="s">
        <v>2518</v>
      </c>
      <c r="D257" s="813" t="str">
        <f>IF(CNSIPEE_2024_M2_Secc1!D44="","",CNSIPEE_2024_M2_Secc1!D44)</f>
        <v/>
      </c>
      <c r="E257" s="814"/>
      <c r="F257" s="814"/>
      <c r="G257" s="814"/>
      <c r="H257" s="814"/>
      <c r="I257" s="814"/>
      <c r="J257" s="814"/>
      <c r="K257" s="814"/>
      <c r="L257" s="814"/>
      <c r="M257" s="814"/>
      <c r="N257" s="814"/>
      <c r="O257" s="815"/>
      <c r="P257" s="100"/>
      <c r="Q257" s="100"/>
      <c r="R257" s="100"/>
      <c r="S257" s="100"/>
      <c r="T257" s="100"/>
      <c r="U257" s="100"/>
      <c r="V257" s="100"/>
      <c r="W257" s="100"/>
      <c r="X257" s="100"/>
      <c r="Y257" s="100"/>
      <c r="Z257" s="100"/>
      <c r="AA257" s="100"/>
      <c r="AB257" s="100"/>
      <c r="AC257" s="100"/>
      <c r="AD257" s="100"/>
      <c r="AG257" s="249">
        <f t="shared" si="52"/>
        <v>0</v>
      </c>
      <c r="AH257" s="249">
        <f t="shared" si="53"/>
        <v>0</v>
      </c>
      <c r="AI257" s="249">
        <f t="shared" si="54"/>
        <v>0</v>
      </c>
      <c r="AJ257" s="249">
        <f t="shared" si="55"/>
        <v>0</v>
      </c>
      <c r="AK257" s="249">
        <f t="shared" si="56"/>
        <v>0</v>
      </c>
      <c r="AL257" s="249">
        <f t="shared" si="57"/>
        <v>0</v>
      </c>
      <c r="AM257" s="249">
        <f t="shared" si="58"/>
        <v>0</v>
      </c>
      <c r="AN257" s="249">
        <f t="shared" si="59"/>
        <v>0</v>
      </c>
      <c r="AO257" s="249">
        <f t="shared" si="60"/>
        <v>0</v>
      </c>
      <c r="AP257" s="249">
        <f t="shared" si="61"/>
        <v>0</v>
      </c>
      <c r="AQ257" s="249">
        <f t="shared" si="62"/>
        <v>0</v>
      </c>
      <c r="AR257" s="249">
        <f t="shared" si="63"/>
        <v>0</v>
      </c>
      <c r="AS257" s="249">
        <f t="shared" si="64"/>
        <v>0</v>
      </c>
      <c r="AT257" s="249">
        <f t="shared" si="65"/>
        <v>0</v>
      </c>
      <c r="AU257" s="249">
        <f t="shared" si="66"/>
        <v>0</v>
      </c>
      <c r="AV257" s="249">
        <f t="shared" si="67"/>
        <v>0</v>
      </c>
      <c r="AW257" s="249">
        <f t="shared" si="68"/>
        <v>0</v>
      </c>
      <c r="AX257" s="283">
        <f t="shared" si="69"/>
        <v>0</v>
      </c>
      <c r="AY257" s="283">
        <f t="shared" si="70"/>
        <v>0</v>
      </c>
      <c r="AZ257" s="249">
        <f t="shared" si="71"/>
        <v>0</v>
      </c>
      <c r="BA257" s="283">
        <f t="shared" si="72"/>
        <v>0</v>
      </c>
      <c r="BB257" s="283">
        <f t="shared" si="73"/>
        <v>0</v>
      </c>
      <c r="BC257" s="249">
        <f t="shared" si="74"/>
        <v>0</v>
      </c>
      <c r="BD257" s="283">
        <f t="shared" si="75"/>
        <v>0</v>
      </c>
      <c r="BE257" s="283">
        <f t="shared" si="76"/>
        <v>0</v>
      </c>
      <c r="BF257" s="249">
        <f t="shared" si="77"/>
        <v>0</v>
      </c>
      <c r="BG257" s="283">
        <f t="shared" si="78"/>
        <v>0</v>
      </c>
      <c r="BH257" s="283">
        <f t="shared" si="79"/>
        <v>0</v>
      </c>
      <c r="BI257" s="249">
        <f t="shared" si="80"/>
        <v>0</v>
      </c>
      <c r="BJ257" s="283">
        <f t="shared" si="81"/>
        <v>0</v>
      </c>
      <c r="BK257" s="283">
        <f t="shared" si="82"/>
        <v>0</v>
      </c>
      <c r="BL257" s="249">
        <f t="shared" si="83"/>
        <v>0</v>
      </c>
      <c r="BM257" s="283">
        <f t="shared" si="84"/>
        <v>0</v>
      </c>
      <c r="BN257" s="283">
        <f t="shared" si="85"/>
        <v>0</v>
      </c>
    </row>
    <row r="258" spans="1:66" ht="15" customHeight="1">
      <c r="A258" s="50"/>
      <c r="B258" s="38"/>
      <c r="C258" s="143" t="s">
        <v>2519</v>
      </c>
      <c r="D258" s="813" t="str">
        <f>IF(CNSIPEE_2024_M2_Secc1!D45="","",CNSIPEE_2024_M2_Secc1!D45)</f>
        <v/>
      </c>
      <c r="E258" s="814"/>
      <c r="F258" s="814"/>
      <c r="G258" s="814"/>
      <c r="H258" s="814"/>
      <c r="I258" s="814"/>
      <c r="J258" s="814"/>
      <c r="K258" s="814"/>
      <c r="L258" s="814"/>
      <c r="M258" s="814"/>
      <c r="N258" s="814"/>
      <c r="O258" s="815"/>
      <c r="P258" s="100"/>
      <c r="Q258" s="100"/>
      <c r="R258" s="100"/>
      <c r="S258" s="100"/>
      <c r="T258" s="100"/>
      <c r="U258" s="100"/>
      <c r="V258" s="100"/>
      <c r="W258" s="100"/>
      <c r="X258" s="100"/>
      <c r="Y258" s="100"/>
      <c r="Z258" s="100"/>
      <c r="AA258" s="100"/>
      <c r="AB258" s="100"/>
      <c r="AC258" s="100"/>
      <c r="AD258" s="100"/>
      <c r="AG258" s="249">
        <f t="shared" si="52"/>
        <v>0</v>
      </c>
      <c r="AH258" s="249">
        <f t="shared" si="53"/>
        <v>0</v>
      </c>
      <c r="AI258" s="249">
        <f t="shared" si="54"/>
        <v>0</v>
      </c>
      <c r="AJ258" s="249">
        <f t="shared" si="55"/>
        <v>0</v>
      </c>
      <c r="AK258" s="249">
        <f t="shared" si="56"/>
        <v>0</v>
      </c>
      <c r="AL258" s="249">
        <f t="shared" si="57"/>
        <v>0</v>
      </c>
      <c r="AM258" s="249">
        <f t="shared" si="58"/>
        <v>0</v>
      </c>
      <c r="AN258" s="249">
        <f t="shared" si="59"/>
        <v>0</v>
      </c>
      <c r="AO258" s="249">
        <f t="shared" si="60"/>
        <v>0</v>
      </c>
      <c r="AP258" s="249">
        <f t="shared" si="61"/>
        <v>0</v>
      </c>
      <c r="AQ258" s="249">
        <f t="shared" si="62"/>
        <v>0</v>
      </c>
      <c r="AR258" s="249">
        <f t="shared" si="63"/>
        <v>0</v>
      </c>
      <c r="AS258" s="249">
        <f t="shared" si="64"/>
        <v>0</v>
      </c>
      <c r="AT258" s="249">
        <f t="shared" si="65"/>
        <v>0</v>
      </c>
      <c r="AU258" s="249">
        <f t="shared" si="66"/>
        <v>0</v>
      </c>
      <c r="AV258" s="249">
        <f t="shared" si="67"/>
        <v>0</v>
      </c>
      <c r="AW258" s="249">
        <f t="shared" si="68"/>
        <v>0</v>
      </c>
      <c r="AX258" s="283">
        <f t="shared" si="69"/>
        <v>0</v>
      </c>
      <c r="AY258" s="283">
        <f t="shared" si="70"/>
        <v>0</v>
      </c>
      <c r="AZ258" s="249">
        <f t="shared" si="71"/>
        <v>0</v>
      </c>
      <c r="BA258" s="283">
        <f t="shared" si="72"/>
        <v>0</v>
      </c>
      <c r="BB258" s="283">
        <f t="shared" si="73"/>
        <v>0</v>
      </c>
      <c r="BC258" s="249">
        <f t="shared" si="74"/>
        <v>0</v>
      </c>
      <c r="BD258" s="283">
        <f t="shared" si="75"/>
        <v>0</v>
      </c>
      <c r="BE258" s="283">
        <f t="shared" si="76"/>
        <v>0</v>
      </c>
      <c r="BF258" s="249">
        <f t="shared" si="77"/>
        <v>0</v>
      </c>
      <c r="BG258" s="283">
        <f t="shared" si="78"/>
        <v>0</v>
      </c>
      <c r="BH258" s="283">
        <f t="shared" si="79"/>
        <v>0</v>
      </c>
      <c r="BI258" s="249">
        <f t="shared" si="80"/>
        <v>0</v>
      </c>
      <c r="BJ258" s="283">
        <f t="shared" si="81"/>
        <v>0</v>
      </c>
      <c r="BK258" s="283">
        <f t="shared" si="82"/>
        <v>0</v>
      </c>
      <c r="BL258" s="249">
        <f t="shared" si="83"/>
        <v>0</v>
      </c>
      <c r="BM258" s="283">
        <f t="shared" si="84"/>
        <v>0</v>
      </c>
      <c r="BN258" s="283">
        <f t="shared" si="85"/>
        <v>0</v>
      </c>
    </row>
    <row r="259" spans="1:66" ht="15" customHeight="1">
      <c r="A259" s="50"/>
      <c r="B259" s="38"/>
      <c r="C259" s="143" t="s">
        <v>2520</v>
      </c>
      <c r="D259" s="813" t="str">
        <f>IF(CNSIPEE_2024_M2_Secc1!D46="","",CNSIPEE_2024_M2_Secc1!D46)</f>
        <v/>
      </c>
      <c r="E259" s="814"/>
      <c r="F259" s="814"/>
      <c r="G259" s="814"/>
      <c r="H259" s="814"/>
      <c r="I259" s="814"/>
      <c r="J259" s="814"/>
      <c r="K259" s="814"/>
      <c r="L259" s="814"/>
      <c r="M259" s="814"/>
      <c r="N259" s="814"/>
      <c r="O259" s="815"/>
      <c r="P259" s="100"/>
      <c r="Q259" s="100"/>
      <c r="R259" s="100"/>
      <c r="S259" s="100"/>
      <c r="T259" s="100"/>
      <c r="U259" s="100"/>
      <c r="V259" s="100"/>
      <c r="W259" s="100"/>
      <c r="X259" s="100"/>
      <c r="Y259" s="100"/>
      <c r="Z259" s="100"/>
      <c r="AA259" s="100"/>
      <c r="AB259" s="100"/>
      <c r="AC259" s="100"/>
      <c r="AD259" s="100"/>
      <c r="AG259" s="249">
        <f t="shared" si="52"/>
        <v>0</v>
      </c>
      <c r="AH259" s="249">
        <f t="shared" si="53"/>
        <v>0</v>
      </c>
      <c r="AI259" s="249">
        <f t="shared" si="54"/>
        <v>0</v>
      </c>
      <c r="AJ259" s="249">
        <f t="shared" si="55"/>
        <v>0</v>
      </c>
      <c r="AK259" s="249">
        <f t="shared" si="56"/>
        <v>0</v>
      </c>
      <c r="AL259" s="249">
        <f t="shared" si="57"/>
        <v>0</v>
      </c>
      <c r="AM259" s="249">
        <f t="shared" si="58"/>
        <v>0</v>
      </c>
      <c r="AN259" s="249">
        <f t="shared" si="59"/>
        <v>0</v>
      </c>
      <c r="AO259" s="249">
        <f t="shared" si="60"/>
        <v>0</v>
      </c>
      <c r="AP259" s="249">
        <f t="shared" si="61"/>
        <v>0</v>
      </c>
      <c r="AQ259" s="249">
        <f t="shared" si="62"/>
        <v>0</v>
      </c>
      <c r="AR259" s="249">
        <f t="shared" si="63"/>
        <v>0</v>
      </c>
      <c r="AS259" s="249">
        <f t="shared" si="64"/>
        <v>0</v>
      </c>
      <c r="AT259" s="249">
        <f t="shared" si="65"/>
        <v>0</v>
      </c>
      <c r="AU259" s="249">
        <f t="shared" si="66"/>
        <v>0</v>
      </c>
      <c r="AV259" s="249">
        <f t="shared" si="67"/>
        <v>0</v>
      </c>
      <c r="AW259" s="249">
        <f t="shared" si="68"/>
        <v>0</v>
      </c>
      <c r="AX259" s="283">
        <f t="shared" si="69"/>
        <v>0</v>
      </c>
      <c r="AY259" s="283">
        <f t="shared" si="70"/>
        <v>0</v>
      </c>
      <c r="AZ259" s="249">
        <f t="shared" si="71"/>
        <v>0</v>
      </c>
      <c r="BA259" s="283">
        <f t="shared" si="72"/>
        <v>0</v>
      </c>
      <c r="BB259" s="283">
        <f t="shared" si="73"/>
        <v>0</v>
      </c>
      <c r="BC259" s="249">
        <f t="shared" si="74"/>
        <v>0</v>
      </c>
      <c r="BD259" s="283">
        <f t="shared" si="75"/>
        <v>0</v>
      </c>
      <c r="BE259" s="283">
        <f t="shared" si="76"/>
        <v>0</v>
      </c>
      <c r="BF259" s="249">
        <f t="shared" si="77"/>
        <v>0</v>
      </c>
      <c r="BG259" s="283">
        <f t="shared" si="78"/>
        <v>0</v>
      </c>
      <c r="BH259" s="283">
        <f t="shared" si="79"/>
        <v>0</v>
      </c>
      <c r="BI259" s="249">
        <f t="shared" si="80"/>
        <v>0</v>
      </c>
      <c r="BJ259" s="283">
        <f t="shared" si="81"/>
        <v>0</v>
      </c>
      <c r="BK259" s="283">
        <f t="shared" si="82"/>
        <v>0</v>
      </c>
      <c r="BL259" s="249">
        <f t="shared" si="83"/>
        <v>0</v>
      </c>
      <c r="BM259" s="283">
        <f t="shared" si="84"/>
        <v>0</v>
      </c>
      <c r="BN259" s="283">
        <f t="shared" si="85"/>
        <v>0</v>
      </c>
    </row>
    <row r="260" spans="1:66" ht="15" customHeight="1">
      <c r="A260" s="50"/>
      <c r="B260" s="38"/>
      <c r="C260" s="143" t="s">
        <v>2521</v>
      </c>
      <c r="D260" s="813" t="str">
        <f>IF(CNSIPEE_2024_M2_Secc1!D47="","",CNSIPEE_2024_M2_Secc1!D47)</f>
        <v/>
      </c>
      <c r="E260" s="814"/>
      <c r="F260" s="814"/>
      <c r="G260" s="814"/>
      <c r="H260" s="814"/>
      <c r="I260" s="814"/>
      <c r="J260" s="814"/>
      <c r="K260" s="814"/>
      <c r="L260" s="814"/>
      <c r="M260" s="814"/>
      <c r="N260" s="814"/>
      <c r="O260" s="815"/>
      <c r="P260" s="100"/>
      <c r="Q260" s="100"/>
      <c r="R260" s="100"/>
      <c r="S260" s="100"/>
      <c r="T260" s="100"/>
      <c r="U260" s="100"/>
      <c r="V260" s="100"/>
      <c r="W260" s="100"/>
      <c r="X260" s="100"/>
      <c r="Y260" s="100"/>
      <c r="Z260" s="100"/>
      <c r="AA260" s="100"/>
      <c r="AB260" s="100"/>
      <c r="AC260" s="100"/>
      <c r="AD260" s="100"/>
      <c r="AG260" s="249">
        <f t="shared" si="52"/>
        <v>0</v>
      </c>
      <c r="AH260" s="249">
        <f t="shared" si="53"/>
        <v>0</v>
      </c>
      <c r="AI260" s="249">
        <f t="shared" si="54"/>
        <v>0</v>
      </c>
      <c r="AJ260" s="249">
        <f t="shared" si="55"/>
        <v>0</v>
      </c>
      <c r="AK260" s="249">
        <f t="shared" si="56"/>
        <v>0</v>
      </c>
      <c r="AL260" s="249">
        <f t="shared" si="57"/>
        <v>0</v>
      </c>
      <c r="AM260" s="249">
        <f t="shared" si="58"/>
        <v>0</v>
      </c>
      <c r="AN260" s="249">
        <f t="shared" si="59"/>
        <v>0</v>
      </c>
      <c r="AO260" s="249">
        <f t="shared" si="60"/>
        <v>0</v>
      </c>
      <c r="AP260" s="249">
        <f t="shared" si="61"/>
        <v>0</v>
      </c>
      <c r="AQ260" s="249">
        <f t="shared" si="62"/>
        <v>0</v>
      </c>
      <c r="AR260" s="249">
        <f t="shared" si="63"/>
        <v>0</v>
      </c>
      <c r="AS260" s="249">
        <f t="shared" si="64"/>
        <v>0</v>
      </c>
      <c r="AT260" s="249">
        <f t="shared" si="65"/>
        <v>0</v>
      </c>
      <c r="AU260" s="249">
        <f t="shared" si="66"/>
        <v>0</v>
      </c>
      <c r="AV260" s="249">
        <f t="shared" si="67"/>
        <v>0</v>
      </c>
      <c r="AW260" s="249">
        <f t="shared" si="68"/>
        <v>0</v>
      </c>
      <c r="AX260" s="283">
        <f t="shared" si="69"/>
        <v>0</v>
      </c>
      <c r="AY260" s="283">
        <f t="shared" si="70"/>
        <v>0</v>
      </c>
      <c r="AZ260" s="249">
        <f t="shared" si="71"/>
        <v>0</v>
      </c>
      <c r="BA260" s="283">
        <f t="shared" si="72"/>
        <v>0</v>
      </c>
      <c r="BB260" s="283">
        <f t="shared" si="73"/>
        <v>0</v>
      </c>
      <c r="BC260" s="249">
        <f t="shared" si="74"/>
        <v>0</v>
      </c>
      <c r="BD260" s="283">
        <f t="shared" si="75"/>
        <v>0</v>
      </c>
      <c r="BE260" s="283">
        <f t="shared" si="76"/>
        <v>0</v>
      </c>
      <c r="BF260" s="249">
        <f t="shared" si="77"/>
        <v>0</v>
      </c>
      <c r="BG260" s="283">
        <f t="shared" si="78"/>
        <v>0</v>
      </c>
      <c r="BH260" s="283">
        <f t="shared" si="79"/>
        <v>0</v>
      </c>
      <c r="BI260" s="249">
        <f t="shared" si="80"/>
        <v>0</v>
      </c>
      <c r="BJ260" s="283">
        <f t="shared" si="81"/>
        <v>0</v>
      </c>
      <c r="BK260" s="283">
        <f t="shared" si="82"/>
        <v>0</v>
      </c>
      <c r="BL260" s="249">
        <f t="shared" si="83"/>
        <v>0</v>
      </c>
      <c r="BM260" s="283">
        <f t="shared" si="84"/>
        <v>0</v>
      </c>
      <c r="BN260" s="283">
        <f t="shared" si="85"/>
        <v>0</v>
      </c>
    </row>
    <row r="261" spans="1:66" ht="15" customHeight="1">
      <c r="A261" s="50"/>
      <c r="B261" s="38"/>
      <c r="C261" s="143" t="s">
        <v>2522</v>
      </c>
      <c r="D261" s="813" t="str">
        <f>IF(CNSIPEE_2024_M2_Secc1!D48="","",CNSIPEE_2024_M2_Secc1!D48)</f>
        <v/>
      </c>
      <c r="E261" s="814"/>
      <c r="F261" s="814"/>
      <c r="G261" s="814"/>
      <c r="H261" s="814"/>
      <c r="I261" s="814"/>
      <c r="J261" s="814"/>
      <c r="K261" s="814"/>
      <c r="L261" s="814"/>
      <c r="M261" s="814"/>
      <c r="N261" s="814"/>
      <c r="O261" s="815"/>
      <c r="P261" s="100"/>
      <c r="Q261" s="100"/>
      <c r="R261" s="100"/>
      <c r="S261" s="100"/>
      <c r="T261" s="100"/>
      <c r="U261" s="100"/>
      <c r="V261" s="100"/>
      <c r="W261" s="100"/>
      <c r="X261" s="100"/>
      <c r="Y261" s="100"/>
      <c r="Z261" s="100"/>
      <c r="AA261" s="100"/>
      <c r="AB261" s="100"/>
      <c r="AC261" s="100"/>
      <c r="AD261" s="100"/>
      <c r="AG261" s="249">
        <f t="shared" si="52"/>
        <v>0</v>
      </c>
      <c r="AH261" s="249">
        <f t="shared" si="53"/>
        <v>0</v>
      </c>
      <c r="AI261" s="249">
        <f t="shared" si="54"/>
        <v>0</v>
      </c>
      <c r="AJ261" s="249">
        <f t="shared" si="55"/>
        <v>0</v>
      </c>
      <c r="AK261" s="249">
        <f t="shared" si="56"/>
        <v>0</v>
      </c>
      <c r="AL261" s="249">
        <f t="shared" si="57"/>
        <v>0</v>
      </c>
      <c r="AM261" s="249">
        <f t="shared" si="58"/>
        <v>0</v>
      </c>
      <c r="AN261" s="249">
        <f t="shared" si="59"/>
        <v>0</v>
      </c>
      <c r="AO261" s="249">
        <f t="shared" si="60"/>
        <v>0</v>
      </c>
      <c r="AP261" s="249">
        <f t="shared" si="61"/>
        <v>0</v>
      </c>
      <c r="AQ261" s="249">
        <f t="shared" si="62"/>
        <v>0</v>
      </c>
      <c r="AR261" s="249">
        <f t="shared" si="63"/>
        <v>0</v>
      </c>
      <c r="AS261" s="249">
        <f t="shared" si="64"/>
        <v>0</v>
      </c>
      <c r="AT261" s="249">
        <f t="shared" si="65"/>
        <v>0</v>
      </c>
      <c r="AU261" s="249">
        <f t="shared" si="66"/>
        <v>0</v>
      </c>
      <c r="AV261" s="249">
        <f t="shared" si="67"/>
        <v>0</v>
      </c>
      <c r="AW261" s="249">
        <f t="shared" si="68"/>
        <v>0</v>
      </c>
      <c r="AX261" s="283">
        <f t="shared" si="69"/>
        <v>0</v>
      </c>
      <c r="AY261" s="283">
        <f t="shared" si="70"/>
        <v>0</v>
      </c>
      <c r="AZ261" s="249">
        <f t="shared" si="71"/>
        <v>0</v>
      </c>
      <c r="BA261" s="283">
        <f t="shared" si="72"/>
        <v>0</v>
      </c>
      <c r="BB261" s="283">
        <f t="shared" si="73"/>
        <v>0</v>
      </c>
      <c r="BC261" s="249">
        <f t="shared" si="74"/>
        <v>0</v>
      </c>
      <c r="BD261" s="283">
        <f t="shared" si="75"/>
        <v>0</v>
      </c>
      <c r="BE261" s="283">
        <f t="shared" si="76"/>
        <v>0</v>
      </c>
      <c r="BF261" s="249">
        <f t="shared" si="77"/>
        <v>0</v>
      </c>
      <c r="BG261" s="283">
        <f t="shared" si="78"/>
        <v>0</v>
      </c>
      <c r="BH261" s="283">
        <f t="shared" si="79"/>
        <v>0</v>
      </c>
      <c r="BI261" s="249">
        <f t="shared" si="80"/>
        <v>0</v>
      </c>
      <c r="BJ261" s="283">
        <f t="shared" si="81"/>
        <v>0</v>
      </c>
      <c r="BK261" s="283">
        <f t="shared" si="82"/>
        <v>0</v>
      </c>
      <c r="BL261" s="249">
        <f t="shared" si="83"/>
        <v>0</v>
      </c>
      <c r="BM261" s="283">
        <f t="shared" si="84"/>
        <v>0</v>
      </c>
      <c r="BN261" s="283">
        <f t="shared" si="85"/>
        <v>0</v>
      </c>
    </row>
    <row r="262" spans="1:66" ht="15" customHeight="1">
      <c r="A262" s="50"/>
      <c r="B262" s="38"/>
      <c r="C262" s="143" t="s">
        <v>2523</v>
      </c>
      <c r="D262" s="813" t="str">
        <f>IF(CNSIPEE_2024_M2_Secc1!D49="","",CNSIPEE_2024_M2_Secc1!D49)</f>
        <v/>
      </c>
      <c r="E262" s="814"/>
      <c r="F262" s="814"/>
      <c r="G262" s="814"/>
      <c r="H262" s="814"/>
      <c r="I262" s="814"/>
      <c r="J262" s="814"/>
      <c r="K262" s="814"/>
      <c r="L262" s="814"/>
      <c r="M262" s="814"/>
      <c r="N262" s="814"/>
      <c r="O262" s="815"/>
      <c r="P262" s="100"/>
      <c r="Q262" s="100"/>
      <c r="R262" s="100"/>
      <c r="S262" s="100"/>
      <c r="T262" s="100"/>
      <c r="U262" s="100"/>
      <c r="V262" s="100"/>
      <c r="W262" s="100"/>
      <c r="X262" s="100"/>
      <c r="Y262" s="100"/>
      <c r="Z262" s="100"/>
      <c r="AA262" s="100"/>
      <c r="AB262" s="100"/>
      <c r="AC262" s="100"/>
      <c r="AD262" s="100"/>
      <c r="AG262" s="249">
        <f t="shared" si="52"/>
        <v>0</v>
      </c>
      <c r="AH262" s="249">
        <f t="shared" si="53"/>
        <v>0</v>
      </c>
      <c r="AI262" s="249">
        <f t="shared" si="54"/>
        <v>0</v>
      </c>
      <c r="AJ262" s="249">
        <f t="shared" si="55"/>
        <v>0</v>
      </c>
      <c r="AK262" s="249">
        <f t="shared" si="56"/>
        <v>0</v>
      </c>
      <c r="AL262" s="249">
        <f t="shared" si="57"/>
        <v>0</v>
      </c>
      <c r="AM262" s="249">
        <f t="shared" si="58"/>
        <v>0</v>
      </c>
      <c r="AN262" s="249">
        <f t="shared" si="59"/>
        <v>0</v>
      </c>
      <c r="AO262" s="249">
        <f t="shared" si="60"/>
        <v>0</v>
      </c>
      <c r="AP262" s="249">
        <f t="shared" si="61"/>
        <v>0</v>
      </c>
      <c r="AQ262" s="249">
        <f t="shared" si="62"/>
        <v>0</v>
      </c>
      <c r="AR262" s="249">
        <f t="shared" si="63"/>
        <v>0</v>
      </c>
      <c r="AS262" s="249">
        <f t="shared" si="64"/>
        <v>0</v>
      </c>
      <c r="AT262" s="249">
        <f t="shared" si="65"/>
        <v>0</v>
      </c>
      <c r="AU262" s="249">
        <f t="shared" si="66"/>
        <v>0</v>
      </c>
      <c r="AV262" s="249">
        <f t="shared" si="67"/>
        <v>0</v>
      </c>
      <c r="AW262" s="249">
        <f t="shared" si="68"/>
        <v>0</v>
      </c>
      <c r="AX262" s="283">
        <f t="shared" si="69"/>
        <v>0</v>
      </c>
      <c r="AY262" s="283">
        <f t="shared" si="70"/>
        <v>0</v>
      </c>
      <c r="AZ262" s="249">
        <f t="shared" si="71"/>
        <v>0</v>
      </c>
      <c r="BA262" s="283">
        <f t="shared" si="72"/>
        <v>0</v>
      </c>
      <c r="BB262" s="283">
        <f t="shared" si="73"/>
        <v>0</v>
      </c>
      <c r="BC262" s="249">
        <f t="shared" si="74"/>
        <v>0</v>
      </c>
      <c r="BD262" s="283">
        <f t="shared" si="75"/>
        <v>0</v>
      </c>
      <c r="BE262" s="283">
        <f t="shared" si="76"/>
        <v>0</v>
      </c>
      <c r="BF262" s="249">
        <f t="shared" si="77"/>
        <v>0</v>
      </c>
      <c r="BG262" s="283">
        <f t="shared" si="78"/>
        <v>0</v>
      </c>
      <c r="BH262" s="283">
        <f t="shared" si="79"/>
        <v>0</v>
      </c>
      <c r="BI262" s="249">
        <f t="shared" si="80"/>
        <v>0</v>
      </c>
      <c r="BJ262" s="283">
        <f t="shared" si="81"/>
        <v>0</v>
      </c>
      <c r="BK262" s="283">
        <f t="shared" si="82"/>
        <v>0</v>
      </c>
      <c r="BL262" s="249">
        <f t="shared" si="83"/>
        <v>0</v>
      </c>
      <c r="BM262" s="283">
        <f t="shared" si="84"/>
        <v>0</v>
      </c>
      <c r="BN262" s="283">
        <f t="shared" si="85"/>
        <v>0</v>
      </c>
    </row>
    <row r="263" spans="1:66" ht="15" customHeight="1">
      <c r="A263" s="50"/>
      <c r="B263" s="38"/>
      <c r="C263" s="84"/>
      <c r="D263" s="36"/>
      <c r="E263" s="36"/>
      <c r="F263" s="36"/>
      <c r="G263" s="36"/>
      <c r="H263" s="36"/>
      <c r="I263" s="617"/>
      <c r="J263" s="617"/>
      <c r="K263" s="617"/>
      <c r="M263"/>
      <c r="N263"/>
      <c r="O263" s="99" t="s">
        <v>2649</v>
      </c>
      <c r="P263" s="124">
        <f>IF(AND(SUM(P255:P262)=0,COUNTIF(P255:P262,"NS")&gt;0),"NS",
IF(AND(SUM(P255:P262)=0,COUNTIF(P255:P262,0)&gt;0),0,
IF(AND(SUM(P255:P262)=0,COUNTIF(P255:P262,"NA")&gt;0),"NA",
SUM(P255:P262))))</f>
        <v>0</v>
      </c>
      <c r="Q263" s="124">
        <f t="shared" ref="Q263:AD263" si="86">IF(AND(SUM(Q255:Q262)=0,COUNTIF(Q255:Q262,"NS")&gt;0),"NS",
IF(AND(SUM(Q255:Q262)=0,COUNTIF(Q255:Q262,0)&gt;0),0,
IF(AND(SUM(Q255:Q262)=0,COUNTIF(Q255:Q262,"NA")&gt;0),"NA",
SUM(Q255:Q262))))</f>
        <v>0</v>
      </c>
      <c r="R263" s="124">
        <f t="shared" si="86"/>
        <v>0</v>
      </c>
      <c r="S263" s="124">
        <f t="shared" si="86"/>
        <v>0</v>
      </c>
      <c r="T263" s="124">
        <f t="shared" si="86"/>
        <v>0</v>
      </c>
      <c r="U263" s="124">
        <f t="shared" si="86"/>
        <v>0</v>
      </c>
      <c r="V263" s="124">
        <f t="shared" si="86"/>
        <v>0</v>
      </c>
      <c r="W263" s="124">
        <f t="shared" si="86"/>
        <v>0</v>
      </c>
      <c r="X263" s="124">
        <f t="shared" si="86"/>
        <v>0</v>
      </c>
      <c r="Y263" s="124">
        <f t="shared" si="86"/>
        <v>0</v>
      </c>
      <c r="Z263" s="124">
        <f t="shared" si="86"/>
        <v>0</v>
      </c>
      <c r="AA263" s="124">
        <f t="shared" si="86"/>
        <v>0</v>
      </c>
      <c r="AB263" s="124">
        <f t="shared" si="86"/>
        <v>0</v>
      </c>
      <c r="AC263" s="124">
        <f t="shared" si="86"/>
        <v>0</v>
      </c>
      <c r="AD263" s="124">
        <f t="shared" si="86"/>
        <v>0</v>
      </c>
      <c r="AG263" s="247">
        <f>SUM(AG255:AG262)</f>
        <v>0</v>
      </c>
      <c r="AH263" s="263">
        <f>SUM(AH255:AH262)</f>
        <v>0</v>
      </c>
      <c r="AI263" s="249"/>
      <c r="AJ263" s="265">
        <f>SUM(AJ255:AJ262)</f>
        <v>0</v>
      </c>
      <c r="AK263" s="263">
        <f t="shared" ref="AK263" si="87">SUM(AK255:AK262)</f>
        <v>0</v>
      </c>
      <c r="AL263" s="249"/>
      <c r="AM263" s="265">
        <f t="shared" ref="AM263:AN263" si="88">SUM(AM255:AM262)</f>
        <v>0</v>
      </c>
      <c r="AN263" s="263">
        <f t="shared" si="88"/>
        <v>0</v>
      </c>
      <c r="AO263" s="249"/>
      <c r="AP263" s="265">
        <f t="shared" ref="AP263:AQ263" si="89">SUM(AP255:AP262)</f>
        <v>0</v>
      </c>
      <c r="AQ263" s="263">
        <f t="shared" si="89"/>
        <v>0</v>
      </c>
      <c r="AR263" s="249"/>
      <c r="AS263" s="265">
        <f t="shared" ref="AS263:AT263" si="90">SUM(AS255:AS262)</f>
        <v>0</v>
      </c>
      <c r="AT263" s="263">
        <f t="shared" si="90"/>
        <v>0</v>
      </c>
      <c r="AU263" s="249"/>
      <c r="AV263" s="265">
        <f t="shared" ref="AV263:AW263" si="91">SUM(AV255:AV262)</f>
        <v>0</v>
      </c>
      <c r="AW263" s="263">
        <f t="shared" si="91"/>
        <v>0</v>
      </c>
      <c r="AX263" s="249"/>
      <c r="AY263" s="265">
        <f t="shared" ref="AY263:AZ263" si="92">SUM(AY255:AY262)</f>
        <v>0</v>
      </c>
      <c r="AZ263" s="263">
        <f t="shared" si="92"/>
        <v>0</v>
      </c>
      <c r="BA263" s="249"/>
      <c r="BB263" s="265">
        <f t="shared" ref="BB263:BC263" si="93">SUM(BB255:BB262)</f>
        <v>0</v>
      </c>
      <c r="BC263" s="263">
        <f t="shared" si="93"/>
        <v>0</v>
      </c>
      <c r="BD263" s="249"/>
      <c r="BE263" s="265">
        <f t="shared" ref="BE263:BF263" si="94">SUM(BE255:BE262)</f>
        <v>0</v>
      </c>
      <c r="BF263" s="263">
        <f t="shared" si="94"/>
        <v>0</v>
      </c>
      <c r="BG263" s="249"/>
      <c r="BH263" s="265">
        <f t="shared" ref="BH263:BI263" si="95">SUM(BH255:BH262)</f>
        <v>0</v>
      </c>
      <c r="BI263" s="263">
        <f t="shared" si="95"/>
        <v>0</v>
      </c>
      <c r="BJ263" s="249"/>
      <c r="BK263" s="265">
        <f t="shared" ref="BK263:BL263" si="96">SUM(BK255:BK262)</f>
        <v>0</v>
      </c>
      <c r="BL263" s="263">
        <f t="shared" si="96"/>
        <v>0</v>
      </c>
      <c r="BM263" s="249"/>
      <c r="BN263" s="265">
        <f t="shared" ref="BN263" si="97">SUM(BN255:BN262)</f>
        <v>0</v>
      </c>
    </row>
    <row r="264" spans="1:66" ht="15" customHeight="1">
      <c r="A264" s="50"/>
      <c r="B264" s="57"/>
      <c r="C264" s="57"/>
      <c r="D264" s="57"/>
      <c r="E264" s="57"/>
      <c r="F264" s="57"/>
      <c r="G264" s="57"/>
      <c r="H264" s="57"/>
      <c r="I264" s="57"/>
      <c r="J264" s="57"/>
      <c r="K264" s="57"/>
      <c r="L264" s="57"/>
      <c r="M264" s="57"/>
      <c r="N264" s="57"/>
      <c r="O264" s="57"/>
      <c r="P264" s="57"/>
      <c r="Q264" s="57"/>
      <c r="R264" s="57"/>
      <c r="S264" s="57"/>
      <c r="T264" s="57"/>
      <c r="U264" s="57"/>
      <c r="V264" s="57"/>
      <c r="W264" s="57"/>
      <c r="X264" s="57"/>
      <c r="Y264" s="57"/>
      <c r="Z264" s="57"/>
      <c r="AA264" s="57"/>
      <c r="AB264" s="57"/>
      <c r="AC264" s="57"/>
      <c r="AD264" s="57"/>
    </row>
    <row r="265" spans="1:66" ht="15" customHeight="1">
      <c r="A265" s="50"/>
      <c r="B265" s="57"/>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c r="AA265" s="875" t="s">
        <v>2668</v>
      </c>
      <c r="AB265" s="875"/>
      <c r="AC265" s="875"/>
      <c r="AD265" s="875"/>
      <c r="AJ265" s="266" t="s">
        <v>2650</v>
      </c>
      <c r="AK265" s="249">
        <f>SUM(AJ263,AM263,AP263,AS263,AV263,AY263,BB263,BE263,BH263,BK263,BN263)</f>
        <v>0</v>
      </c>
      <c r="AL265" s="266" t="s">
        <v>2651</v>
      </c>
      <c r="AM265" s="249">
        <f>SUM(AH263,AK263,AN263,AQ263,AT263,AW263,AZ263,BC263,BF263,BI263,BL263)</f>
        <v>0</v>
      </c>
      <c r="AN265" s="249"/>
      <c r="AO265" s="249"/>
    </row>
    <row r="266" spans="1:66" ht="15" customHeight="1">
      <c r="A266" s="50"/>
      <c r="B266" s="38"/>
      <c r="C266" s="732" t="s">
        <v>2581</v>
      </c>
      <c r="D266" s="732"/>
      <c r="E266" s="732"/>
      <c r="F266" s="732"/>
      <c r="G266" s="732"/>
      <c r="H266" s="732"/>
      <c r="I266" s="732"/>
      <c r="J266" s="732"/>
      <c r="K266" s="732"/>
      <c r="L266" s="732"/>
      <c r="M266" s="798" t="s">
        <v>2747</v>
      </c>
      <c r="N266" s="798"/>
      <c r="O266" s="798"/>
      <c r="P266" s="798"/>
      <c r="Q266" s="798"/>
      <c r="R266" s="798"/>
      <c r="S266" s="798"/>
      <c r="T266" s="798"/>
      <c r="U266" s="798"/>
      <c r="V266" s="798"/>
      <c r="W266" s="798"/>
      <c r="X266" s="798"/>
      <c r="Y266" s="798"/>
      <c r="Z266" s="798"/>
      <c r="AA266" s="798"/>
      <c r="AB266" s="798"/>
      <c r="AC266" s="798"/>
      <c r="AD266" s="799"/>
      <c r="AJ266" s="249"/>
      <c r="AK266" s="249"/>
      <c r="AL266" s="298"/>
      <c r="AM266" s="249"/>
      <c r="AN266" s="298"/>
      <c r="AO266" s="249"/>
    </row>
    <row r="267" spans="1:66" ht="15" customHeight="1">
      <c r="A267" s="50"/>
      <c r="B267" s="38"/>
      <c r="C267" s="732"/>
      <c r="D267" s="732"/>
      <c r="E267" s="732"/>
      <c r="F267" s="732"/>
      <c r="G267" s="732"/>
      <c r="H267" s="732"/>
      <c r="I267" s="732"/>
      <c r="J267" s="732"/>
      <c r="K267" s="732"/>
      <c r="L267" s="732"/>
      <c r="M267" s="733" t="s">
        <v>2750</v>
      </c>
      <c r="N267" s="734"/>
      <c r="O267" s="734"/>
      <c r="P267" s="734"/>
      <c r="Q267" s="734"/>
      <c r="R267" s="734"/>
      <c r="S267" s="734"/>
      <c r="T267" s="734"/>
      <c r="U267" s="734"/>
      <c r="V267" s="734"/>
      <c r="W267" s="734"/>
      <c r="X267" s="734"/>
      <c r="Y267" s="734"/>
      <c r="Z267" s="734"/>
      <c r="AA267" s="734"/>
      <c r="AB267" s="734"/>
      <c r="AC267" s="734"/>
      <c r="AD267" s="735"/>
      <c r="AK267" s="807" t="s">
        <v>2777</v>
      </c>
      <c r="AL267" s="807"/>
      <c r="AM267" s="807"/>
      <c r="AN267" s="807"/>
      <c r="AO267" s="807"/>
      <c r="AP267" s="807"/>
      <c r="AQ267" s="807"/>
      <c r="AR267" s="807"/>
      <c r="AS267" s="807"/>
      <c r="AT267" s="807"/>
      <c r="AU267" s="807"/>
      <c r="AV267" s="807"/>
      <c r="AW267" s="807"/>
      <c r="AX267" s="807"/>
      <c r="AY267" s="807"/>
      <c r="AZ267" s="807"/>
      <c r="BA267" s="807"/>
      <c r="BB267" s="807"/>
      <c r="BC267" s="807"/>
      <c r="BD267" s="807"/>
      <c r="BE267" s="807"/>
      <c r="BF267" s="807"/>
      <c r="BG267" s="807"/>
      <c r="BH267" s="807"/>
      <c r="BI267" s="807"/>
      <c r="BJ267" s="807"/>
      <c r="BK267" s="807"/>
      <c r="BL267" s="807"/>
      <c r="BM267" s="807"/>
      <c r="BN267" s="807"/>
    </row>
    <row r="268" spans="1:66" ht="156" customHeight="1">
      <c r="A268" s="50"/>
      <c r="B268" s="38"/>
      <c r="C268" s="732"/>
      <c r="D268" s="732"/>
      <c r="E268" s="732"/>
      <c r="F268" s="732"/>
      <c r="G268" s="732"/>
      <c r="H268" s="732"/>
      <c r="I268" s="732"/>
      <c r="J268" s="732"/>
      <c r="K268" s="732"/>
      <c r="L268" s="732"/>
      <c r="M268" s="857" t="s">
        <v>2778</v>
      </c>
      <c r="N268" s="857"/>
      <c r="O268" s="857"/>
      <c r="P268" s="857" t="s">
        <v>2779</v>
      </c>
      <c r="Q268" s="857"/>
      <c r="R268" s="857"/>
      <c r="S268" s="857" t="s">
        <v>2780</v>
      </c>
      <c r="T268" s="857"/>
      <c r="U268" s="857"/>
      <c r="V268" s="857" t="s">
        <v>2781</v>
      </c>
      <c r="W268" s="857"/>
      <c r="X268" s="857"/>
      <c r="Y268" s="857" t="s">
        <v>2782</v>
      </c>
      <c r="Z268" s="857"/>
      <c r="AA268" s="857"/>
      <c r="AB268" s="857" t="s">
        <v>2783</v>
      </c>
      <c r="AC268" s="857"/>
      <c r="AD268" s="857"/>
      <c r="AG268" s="806" t="s">
        <v>2784</v>
      </c>
      <c r="AH268" s="806"/>
      <c r="AI268" s="806"/>
      <c r="AK268" s="808" t="s">
        <v>2785</v>
      </c>
      <c r="AL268" s="808"/>
      <c r="AM268" s="808"/>
      <c r="AN268" s="809" t="s">
        <v>2786</v>
      </c>
      <c r="AO268" s="809"/>
      <c r="AP268" s="809"/>
      <c r="AQ268" s="808" t="s">
        <v>2787</v>
      </c>
      <c r="AR268" s="808"/>
      <c r="AS268" s="808"/>
      <c r="AT268" s="809" t="s">
        <v>2788</v>
      </c>
      <c r="AU268" s="809"/>
      <c r="AV268" s="809"/>
      <c r="AW268" s="810" t="s">
        <v>2789</v>
      </c>
      <c r="AX268" s="810"/>
      <c r="AY268" s="810"/>
      <c r="AZ268" s="811" t="s">
        <v>2790</v>
      </c>
      <c r="BA268" s="811"/>
      <c r="BB268" s="811"/>
      <c r="BC268" s="810" t="s">
        <v>2791</v>
      </c>
      <c r="BD268" s="810"/>
      <c r="BE268" s="810"/>
      <c r="BF268" s="811" t="s">
        <v>2792</v>
      </c>
      <c r="BG268" s="811"/>
      <c r="BH268" s="811"/>
      <c r="BI268" s="810" t="s">
        <v>2793</v>
      </c>
      <c r="BJ268" s="810"/>
      <c r="BK268" s="810"/>
      <c r="BL268" s="811" t="s">
        <v>2794</v>
      </c>
      <c r="BM268" s="811"/>
      <c r="BN268" s="811"/>
    </row>
    <row r="269" spans="1:66" ht="60" customHeight="1">
      <c r="A269" s="50"/>
      <c r="B269" s="38"/>
      <c r="C269" s="732"/>
      <c r="D269" s="732"/>
      <c r="E269" s="732"/>
      <c r="F269" s="732"/>
      <c r="G269" s="732"/>
      <c r="H269" s="732"/>
      <c r="I269" s="732"/>
      <c r="J269" s="732"/>
      <c r="K269" s="732"/>
      <c r="L269" s="732"/>
      <c r="M269" s="127" t="s">
        <v>2755</v>
      </c>
      <c r="N269" s="128" t="s">
        <v>2748</v>
      </c>
      <c r="O269" s="128" t="s">
        <v>2749</v>
      </c>
      <c r="P269" s="127" t="s">
        <v>2755</v>
      </c>
      <c r="Q269" s="128" t="s">
        <v>2748</v>
      </c>
      <c r="R269" s="128" t="s">
        <v>2749</v>
      </c>
      <c r="S269" s="127" t="s">
        <v>2755</v>
      </c>
      <c r="T269" s="128" t="s">
        <v>2748</v>
      </c>
      <c r="U269" s="128" t="s">
        <v>2749</v>
      </c>
      <c r="V269" s="127" t="s">
        <v>2755</v>
      </c>
      <c r="W269" s="128" t="s">
        <v>2748</v>
      </c>
      <c r="X269" s="128" t="s">
        <v>2749</v>
      </c>
      <c r="Y269" s="127" t="s">
        <v>2755</v>
      </c>
      <c r="Z269" s="128" t="s">
        <v>2748</v>
      </c>
      <c r="AA269" s="128" t="s">
        <v>2749</v>
      </c>
      <c r="AB269" s="127" t="s">
        <v>2755</v>
      </c>
      <c r="AC269" s="128" t="s">
        <v>2748</v>
      </c>
      <c r="AD269" s="128" t="s">
        <v>2749</v>
      </c>
      <c r="AG269" s="285" t="s">
        <v>2795</v>
      </c>
      <c r="AH269" s="286" t="s">
        <v>2796</v>
      </c>
      <c r="AI269" s="287" t="s">
        <v>2797</v>
      </c>
      <c r="AK269" s="285" t="s">
        <v>2795</v>
      </c>
      <c r="AL269" s="290" t="s">
        <v>2796</v>
      </c>
      <c r="AM269" s="291" t="s">
        <v>2797</v>
      </c>
      <c r="AN269" s="285" t="s">
        <v>2795</v>
      </c>
      <c r="AO269" s="290" t="s">
        <v>2796</v>
      </c>
      <c r="AP269" s="291" t="s">
        <v>2797</v>
      </c>
      <c r="AQ269" s="285" t="s">
        <v>2795</v>
      </c>
      <c r="AR269" s="290" t="s">
        <v>2796</v>
      </c>
      <c r="AS269" s="291" t="s">
        <v>2797</v>
      </c>
      <c r="AT269" s="285" t="s">
        <v>2795</v>
      </c>
      <c r="AU269" s="290" t="s">
        <v>2796</v>
      </c>
      <c r="AV269" s="291" t="s">
        <v>2797</v>
      </c>
      <c r="AW269" s="285" t="s">
        <v>2795</v>
      </c>
      <c r="AX269" s="292" t="s">
        <v>2796</v>
      </c>
      <c r="AY269" s="293" t="s">
        <v>2797</v>
      </c>
      <c r="AZ269" s="294" t="s">
        <v>2795</v>
      </c>
      <c r="BA269" s="292" t="s">
        <v>2796</v>
      </c>
      <c r="BB269" s="293" t="s">
        <v>2797</v>
      </c>
      <c r="BC269" s="294" t="s">
        <v>2795</v>
      </c>
      <c r="BD269" s="292" t="s">
        <v>2796</v>
      </c>
      <c r="BE269" s="293" t="s">
        <v>2797</v>
      </c>
      <c r="BF269" s="294" t="s">
        <v>2795</v>
      </c>
      <c r="BG269" s="292" t="s">
        <v>2796</v>
      </c>
      <c r="BH269" s="293" t="s">
        <v>2797</v>
      </c>
      <c r="BI269" s="294" t="s">
        <v>2795</v>
      </c>
      <c r="BJ269" s="292" t="s">
        <v>2796</v>
      </c>
      <c r="BK269" s="293" t="s">
        <v>2797</v>
      </c>
      <c r="BL269" s="294" t="s">
        <v>2795</v>
      </c>
      <c r="BM269" s="292" t="s">
        <v>2796</v>
      </c>
      <c r="BN269" s="293" t="s">
        <v>2797</v>
      </c>
    </row>
    <row r="270" spans="1:66" ht="15" customHeight="1">
      <c r="A270" s="50"/>
      <c r="B270" s="38"/>
      <c r="C270" s="97" t="s">
        <v>2516</v>
      </c>
      <c r="D270" s="796" t="str">
        <f>IF(CNSIPEE_2024_M2_Secc1!D42="","",CNSIPEE_2024_M2_Secc1!D42)</f>
        <v/>
      </c>
      <c r="E270" s="796"/>
      <c r="F270" s="796"/>
      <c r="G270" s="796"/>
      <c r="H270" s="796"/>
      <c r="I270" s="796"/>
      <c r="J270" s="796"/>
      <c r="K270" s="796"/>
      <c r="L270" s="796"/>
      <c r="M270" s="100"/>
      <c r="N270" s="100"/>
      <c r="O270" s="100"/>
      <c r="P270" s="100"/>
      <c r="Q270" s="100"/>
      <c r="R270" s="100"/>
      <c r="S270" s="100"/>
      <c r="T270" s="100"/>
      <c r="U270" s="100"/>
      <c r="V270" s="100"/>
      <c r="W270" s="100"/>
      <c r="X270" s="100"/>
      <c r="Y270" s="100"/>
      <c r="Z270" s="100"/>
      <c r="AA270" s="100"/>
      <c r="AB270" s="100"/>
      <c r="AC270" s="100"/>
      <c r="AD270" s="100"/>
      <c r="AG270" s="253">
        <f>IF(SUM(P255)&lt;=SUM(S255,V255,Y255,AB255,M270,P270,S270,V270,Y270,AB270),0,1)</f>
        <v>0</v>
      </c>
      <c r="AH270" s="253">
        <f>IF(SUM(Q255)&lt;=SUM(T255,W255,Z255,AC255,N270,Q270,T270,W270,Z270,AC270),0,1)</f>
        <v>0</v>
      </c>
      <c r="AI270" s="253">
        <f>IF(SUM(R255)&lt;=SUM(U255,X255,AA255,AD255,O270,R270,U270,X270,AA270,AD270),0,1)</f>
        <v>0</v>
      </c>
      <c r="AK270" s="253">
        <f>IF(OR(S255="NS",$P255="NS"),0,IF(AND(S255="NA",$P255="NA"),0,IF(S255&lt;=$P255,0,1)))</f>
        <v>0</v>
      </c>
      <c r="AL270" s="253">
        <f>IF(OR(T255="NS",$Q255="NS"),0,IF(AND(T255="NA",$Q255="NA"),0,IF(T255&lt;=$Q255,0,1)))</f>
        <v>0</v>
      </c>
      <c r="AM270" s="253">
        <f>IF(OR(U255="NS",$R255="NS"),0,IF(AND(U255="NA",$R255="NA"),0,IF(U255&lt;=$R255,0,1)))</f>
        <v>0</v>
      </c>
      <c r="AN270" s="253">
        <f>IF(OR(V255="NS",$P255="NS"),0,IF(AND(V255="NA",$P255="NA"),0,IF(V255&lt;=$P255,0,1)))</f>
        <v>0</v>
      </c>
      <c r="AO270" s="253">
        <f>IF(OR(W255="NS",$Q255="NS"),0,IF(AND(W255="NA",$Q255="NA"),0,IF(W255&lt;=$Q255,0,1)))</f>
        <v>0</v>
      </c>
      <c r="AP270" s="253">
        <f>IF(OR(X255="NS",$R255="NS"),0,IF(AND(X255="NA",$R255="NA"),0,IF(X255&lt;=$R255,0,1)))</f>
        <v>0</v>
      </c>
      <c r="AQ270" s="253">
        <f>IF(OR(Y255="NS",$P255="NS"),0,IF(AND(Y255="NA",$P255="NA"),0,IF(Y255&lt;=$P255,0,1)))</f>
        <v>0</v>
      </c>
      <c r="AR270" s="253">
        <f>IF(OR(Z255="NS",$Q255="NS"),0,IF(AND(Z255="NA",$Q255="NA"),0,IF(Z255&lt;=$Q255,0,1)))</f>
        <v>0</v>
      </c>
      <c r="AS270" s="253">
        <f>IF(OR(AA255="NS",$R255="NS"),0,IF(AND(AA255="NA",$R255="NA"),0,IF(AA255&lt;=$R255,0,1)))</f>
        <v>0</v>
      </c>
      <c r="AT270" s="253">
        <f>IF(OR(AB255="NS",$P255="NS"),0,IF(AND(AB255="NA",$P255="NA"),0,IF(AB255&lt;=$P255,0,1)))</f>
        <v>0</v>
      </c>
      <c r="AU270" s="253">
        <f>IF(OR(AC255="NS",$Q255="NS"),0,IF(AND(AC255="NA",$Q255="NA"),0,IF(AC255&lt;=$Q255,0,1)))</f>
        <v>0</v>
      </c>
      <c r="AV270" s="253">
        <f>IF(OR(AD255="NS",$R255="NS"),0,IF(AND(AD255="NA",$R255="NA"),0,IF(AD255&lt;=$R255,0,1)))</f>
        <v>0</v>
      </c>
      <c r="AW270" s="253">
        <f>IF(OR(M270="NS",$P255="NS"),0,IF(AND(M270="NA",$P255="NA"),0,IF(M270&lt;=$P255,0,1)))</f>
        <v>0</v>
      </c>
      <c r="AX270" s="253">
        <f>IF(OR(N270="NS",$Q255="NS"),0,IF(AND(N270="NA",$Q255="NA"),0,IF(N270&lt;=$Q255,0,1)))</f>
        <v>0</v>
      </c>
      <c r="AY270" s="253">
        <f>IF(OR(O270="NS",$R255="NS"),0,IF(AND(O270="NA",$R255="NA"),0,IF(O270&lt;=$R255,0,1)))</f>
        <v>0</v>
      </c>
      <c r="AZ270" s="253">
        <f>IF(OR(P270="NS",$P255="NS"),0,IF(AND(P270="NA",$P255="NA"),0,IF(P270&lt;=$P255,0,1)))</f>
        <v>0</v>
      </c>
      <c r="BA270" s="253">
        <f>IF(OR(Q270="NS",$Q255="NS"),0,IF(AND(Q270="NA",$Q255="NA"),0,IF(Q270&lt;=$Q255,0,1)))</f>
        <v>0</v>
      </c>
      <c r="BB270" s="253">
        <f>IF(OR(R270="NS",$R255="NS"),0,IF(AND(R270="NA",$R255="NA"),0,IF(R270&lt;=$R255,0,1)))</f>
        <v>0</v>
      </c>
      <c r="BC270" s="253">
        <f>IF(OR(S270="NS",$P255="NS"),0,IF(AND(S270="NA",$P255="NA"),0,IF(S270&lt;=$P255,0,1)))</f>
        <v>0</v>
      </c>
      <c r="BD270" s="253">
        <f>IF(OR(T270="NS",$Q255="NS"),0,IF(AND(T270="NA",$Q255="NA"),0,IF(T270&lt;=$Q255,0,1)))</f>
        <v>0</v>
      </c>
      <c r="BE270" s="253">
        <f>IF(OR(U270="NS",$R255="NS"),0,IF(AND(U270="NA",$R255="NA"),0,IF(U270&lt;=$R255,0,1)))</f>
        <v>0</v>
      </c>
      <c r="BF270" s="253">
        <f>IF(OR(V270="NS",$P255="NS"),0,IF(AND(V270="NA",$P255="NA"),0,IF(V270&lt;=$P255,0,1)))</f>
        <v>0</v>
      </c>
      <c r="BG270" s="253">
        <f>IF(OR(W270="NS",$Q255="NS"),0,IF(AND(W270="NA",$Q255="NA"),0,IF(W270&lt;=$Q255,0,1)))</f>
        <v>0</v>
      </c>
      <c r="BH270" s="253">
        <f>IF(OR(X270="NS",$R255="NS"),0,IF(AND(X270="NA",$R255="NA"),0,IF(X270&lt;=$R255,0,1)))</f>
        <v>0</v>
      </c>
      <c r="BI270" s="253">
        <f>IF(OR(Y270="NS",$P255="NS"),0,IF(AND(Y270="NA",$P255="NA"),0,IF(Y270&lt;=$P255,0,1)))</f>
        <v>0</v>
      </c>
      <c r="BJ270" s="253">
        <f>IF(OR(Z270="NS",$Q255="NS"),0,IF(AND(Z270="NA",$Q255="NA"),0,IF(Z270&lt;=$Q255,0,1)))</f>
        <v>0</v>
      </c>
      <c r="BK270" s="253">
        <f>IF(OR(AA270="NS",$R255="NS"),0,IF(AND(AA270="NA",$R255="NA"),0,IF(AA270&lt;=$R255,0,1)))</f>
        <v>0</v>
      </c>
      <c r="BL270" s="253">
        <f>IF(OR(AB270="NS",$P255="NS"),0,IF(AND(AB270="NA",$P255="NA"),0,IF(AB270&lt;=$P255,0,1)))</f>
        <v>0</v>
      </c>
      <c r="BM270" s="253">
        <f>IF(OR(AC270="NS",$Q255="NS"),0,IF(AND(AC270="NA",$Q255="NA"),0,IF(AC270&lt;=$Q255,0,1)))</f>
        <v>0</v>
      </c>
      <c r="BN270" s="253">
        <f>IF(OR(AD270="NS",$R255="NS"),0,IF(AND(AD270="NA",$R255="NA"),0,IF(AD270&lt;=$R255,0,1)))</f>
        <v>0</v>
      </c>
    </row>
    <row r="271" spans="1:66" ht="15" customHeight="1">
      <c r="A271" s="50"/>
      <c r="B271" s="38"/>
      <c r="C271" s="143" t="s">
        <v>2517</v>
      </c>
      <c r="D271" s="796" t="str">
        <f>IF(CNSIPEE_2024_M2_Secc1!D43="","",CNSIPEE_2024_M2_Secc1!D43)</f>
        <v/>
      </c>
      <c r="E271" s="796"/>
      <c r="F271" s="796"/>
      <c r="G271" s="796"/>
      <c r="H271" s="796"/>
      <c r="I271" s="796"/>
      <c r="J271" s="796"/>
      <c r="K271" s="796"/>
      <c r="L271" s="796"/>
      <c r="M271" s="100"/>
      <c r="N271" s="100"/>
      <c r="O271" s="100"/>
      <c r="P271" s="100"/>
      <c r="Q271" s="100"/>
      <c r="R271" s="100"/>
      <c r="S271" s="100"/>
      <c r="T271" s="100"/>
      <c r="U271" s="100"/>
      <c r="V271" s="100"/>
      <c r="W271" s="100"/>
      <c r="X271" s="100"/>
      <c r="Y271" s="100"/>
      <c r="Z271" s="100"/>
      <c r="AA271" s="100"/>
      <c r="AB271" s="100"/>
      <c r="AC271" s="100"/>
      <c r="AD271" s="100"/>
      <c r="AG271" s="253">
        <f t="shared" ref="AG271:AI271" si="98">IF(SUM(P256)&lt;=SUM(S256,V256,Y256,AB256,M271,P271,S271,V271,Y271,AB271),0,1)</f>
        <v>0</v>
      </c>
      <c r="AH271" s="253">
        <f t="shared" si="98"/>
        <v>0</v>
      </c>
      <c r="AI271" s="253">
        <f t="shared" si="98"/>
        <v>0</v>
      </c>
      <c r="AK271" s="253">
        <f t="shared" ref="AK271:AK277" si="99">IF(OR(S256="NS",$P256="NS"),0,IF(AND(S256="NA",$P256="NA"),0,IF(S256&lt;=$P256,0,1)))</f>
        <v>0</v>
      </c>
      <c r="AL271" s="253">
        <f t="shared" ref="AL271:AL277" si="100">IF(OR(T256="NS",$Q256="NS"),0,IF(AND(T256="NA",$Q256="NA"),0,IF(T256&lt;=$Q256,0,1)))</f>
        <v>0</v>
      </c>
      <c r="AM271" s="253">
        <f t="shared" ref="AM271:AM277" si="101">IF(OR(U256="NS",$R256="NS"),0,IF(AND(U256="NA",$R256="NA"),0,IF(U256&lt;=$R256,0,1)))</f>
        <v>0</v>
      </c>
      <c r="AN271" s="253">
        <f t="shared" ref="AN271:AN277" si="102">IF(OR(V256="NS",$P256="NS"),0,IF(AND(V256="NA",$P256="NA"),0,IF(V256&lt;=$P256,0,1)))</f>
        <v>0</v>
      </c>
      <c r="AO271" s="253">
        <f t="shared" ref="AO271:AO277" si="103">IF(OR(W256="NS",$Q256="NS"),0,IF(AND(W256="NA",$Q256="NA"),0,IF(W256&lt;=$Q256,0,1)))</f>
        <v>0</v>
      </c>
      <c r="AP271" s="253">
        <f t="shared" ref="AP271:AP277" si="104">IF(OR(X256="NS",$R256="NS"),0,IF(AND(X256="NA",$R256="NA"),0,IF(X256&lt;=$R256,0,1)))</f>
        <v>0</v>
      </c>
      <c r="AQ271" s="253">
        <f t="shared" ref="AQ271:AQ277" si="105">IF(OR(Y256="NS",$P256="NS"),0,IF(AND(Y256="NA",$P256="NA"),0,IF(Y256&lt;=$P256,0,1)))</f>
        <v>0</v>
      </c>
      <c r="AR271" s="253">
        <f t="shared" ref="AR271:AR277" si="106">IF(OR(Z256="NS",$Q256="NS"),0,IF(AND(Z256="NA",$Q256="NA"),0,IF(Z256&lt;=$Q256,0,1)))</f>
        <v>0</v>
      </c>
      <c r="AS271" s="253">
        <f t="shared" ref="AS271:AS277" si="107">IF(OR(AA256="NS",$R256="NS"),0,IF(AND(AA256="NA",$R256="NA"),0,IF(AA256&lt;=$R256,0,1)))</f>
        <v>0</v>
      </c>
      <c r="AT271" s="253">
        <f t="shared" ref="AT271:AT277" si="108">IF(OR(AB256="NS",$P256="NS"),0,IF(AND(AB256="NA",$P256="NA"),0,IF(AB256&lt;=$P256,0,1)))</f>
        <v>0</v>
      </c>
      <c r="AU271" s="253">
        <f t="shared" ref="AU271:AU277" si="109">IF(OR(AC256="NS",$Q256="NS"),0,IF(AND(AC256="NA",$Q256="NA"),0,IF(AC256&lt;=$Q256,0,1)))</f>
        <v>0</v>
      </c>
      <c r="AV271" s="253">
        <f t="shared" ref="AV271:AV277" si="110">IF(OR(AD256="NS",$R256="NS"),0,IF(AND(AD256="NA",$R256="NA"),0,IF(AD256&lt;=$R256,0,1)))</f>
        <v>0</v>
      </c>
      <c r="AW271" s="253">
        <f t="shared" ref="AW271:AW277" si="111">IF(OR(M271="NS",$P256="NS"),0,IF(AND(M271="NA",$P256="NA"),0,IF(M271&lt;=$P256,0,1)))</f>
        <v>0</v>
      </c>
      <c r="AX271" s="253">
        <f t="shared" ref="AX271:AX277" si="112">IF(OR(N271="NS",$Q256="NS"),0,IF(AND(N271="NA",$Q256="NA"),0,IF(N271&lt;=$Q256,0,1)))</f>
        <v>0</v>
      </c>
      <c r="AY271" s="253">
        <f t="shared" ref="AY271:AY277" si="113">IF(OR(O271="NS",$R256="NS"),0,IF(AND(O271="NA",$R256="NA"),0,IF(O271&lt;=$R256,0,1)))</f>
        <v>0</v>
      </c>
      <c r="AZ271" s="253">
        <f t="shared" ref="AZ271:AZ277" si="114">IF(OR(P271="NS",$P256="NS"),0,IF(AND(P271="NA",$P256="NA"),0,IF(P271&lt;=$P256,0,1)))</f>
        <v>0</v>
      </c>
      <c r="BA271" s="253">
        <f t="shared" ref="BA271:BA277" si="115">IF(OR(Q271="NS",$Q256="NS"),0,IF(AND(Q271="NA",$Q256="NA"),0,IF(Q271&lt;=$Q256,0,1)))</f>
        <v>0</v>
      </c>
      <c r="BB271" s="253">
        <f t="shared" ref="BB271:BB277" si="116">IF(OR(R271="NS",$R256="NS"),0,IF(AND(R271="NA",$R256="NA"),0,IF(R271&lt;=$R256,0,1)))</f>
        <v>0</v>
      </c>
      <c r="BC271" s="253">
        <f t="shared" ref="BC271:BC277" si="117">IF(OR(S271="NS",$P256="NS"),0,IF(AND(S271="NA",$P256="NA"),0,IF(S271&lt;=$P256,0,1)))</f>
        <v>0</v>
      </c>
      <c r="BD271" s="253">
        <f t="shared" ref="BD271:BD277" si="118">IF(OR(T271="NS",$Q256="NS"),0,IF(AND(T271="NA",$Q256="NA"),0,IF(T271&lt;=$Q256,0,1)))</f>
        <v>0</v>
      </c>
      <c r="BE271" s="253">
        <f t="shared" ref="BE271:BE277" si="119">IF(OR(U271="NS",$R256="NS"),0,IF(AND(U271="NA",$R256="NA"),0,IF(U271&lt;=$R256,0,1)))</f>
        <v>0</v>
      </c>
      <c r="BF271" s="253">
        <f t="shared" ref="BF271:BF277" si="120">IF(OR(V271="NS",$P256="NS"),0,IF(AND(V271="NA",$P256="NA"),0,IF(V271&lt;=$P256,0,1)))</f>
        <v>0</v>
      </c>
      <c r="BG271" s="253">
        <f t="shared" ref="BG271:BG277" si="121">IF(OR(W271="NS",$Q256="NS"),0,IF(AND(W271="NA",$Q256="NA"),0,IF(W271&lt;=$Q256,0,1)))</f>
        <v>0</v>
      </c>
      <c r="BH271" s="253">
        <f t="shared" ref="BH271:BH277" si="122">IF(OR(X271="NS",$R256="NS"),0,IF(AND(X271="NA",$R256="NA"),0,IF(X271&lt;=$R256,0,1)))</f>
        <v>0</v>
      </c>
      <c r="BI271" s="253">
        <f t="shared" ref="BI271:BI277" si="123">IF(OR(Y271="NS",$P256="NS"),0,IF(AND(Y271="NA",$P256="NA"),0,IF(Y271&lt;=$P256,0,1)))</f>
        <v>0</v>
      </c>
      <c r="BJ271" s="253">
        <f t="shared" ref="BJ271:BJ277" si="124">IF(OR(Z271="NS",$Q256="NS"),0,IF(AND(Z271="NA",$Q256="NA"),0,IF(Z271&lt;=$Q256,0,1)))</f>
        <v>0</v>
      </c>
      <c r="BK271" s="253">
        <f t="shared" ref="BK271:BK277" si="125">IF(OR(AA271="NS",$R256="NS"),0,IF(AND(AA271="NA",$R256="NA"),0,IF(AA271&lt;=$R256,0,1)))</f>
        <v>0</v>
      </c>
      <c r="BL271" s="253">
        <f t="shared" ref="BL271:BL277" si="126">IF(OR(AB271="NS",$P256="NS"),0,IF(AND(AB271="NA",$P256="NA"),0,IF(AB271&lt;=$P256,0,1)))</f>
        <v>0</v>
      </c>
      <c r="BM271" s="253">
        <f t="shared" ref="BM271:BM277" si="127">IF(OR(AC271="NS",$Q256="NS"),0,IF(AND(AC271="NA",$Q256="NA"),0,IF(AC271&lt;=$Q256,0,1)))</f>
        <v>0</v>
      </c>
      <c r="BN271" s="253">
        <f t="shared" ref="BN271:BN277" si="128">IF(OR(AD271="NS",$R256="NS"),0,IF(AND(AD271="NA",$R256="NA"),0,IF(AD271&lt;=$R256,0,1)))</f>
        <v>0</v>
      </c>
    </row>
    <row r="272" spans="1:66" ht="15" customHeight="1">
      <c r="A272" s="50"/>
      <c r="B272" s="38"/>
      <c r="C272" s="143" t="s">
        <v>2518</v>
      </c>
      <c r="D272" s="796" t="str">
        <f>IF(CNSIPEE_2024_M2_Secc1!D44="","",CNSIPEE_2024_M2_Secc1!D44)</f>
        <v/>
      </c>
      <c r="E272" s="796"/>
      <c r="F272" s="796"/>
      <c r="G272" s="796"/>
      <c r="H272" s="796"/>
      <c r="I272" s="796"/>
      <c r="J272" s="796"/>
      <c r="K272" s="796"/>
      <c r="L272" s="796"/>
      <c r="M272" s="100"/>
      <c r="N272" s="100"/>
      <c r="O272" s="100"/>
      <c r="P272" s="100"/>
      <c r="Q272" s="100"/>
      <c r="R272" s="100"/>
      <c r="S272" s="100"/>
      <c r="T272" s="100"/>
      <c r="U272" s="100"/>
      <c r="V272" s="100"/>
      <c r="W272" s="100"/>
      <c r="X272" s="100"/>
      <c r="Y272" s="100"/>
      <c r="Z272" s="100"/>
      <c r="AA272" s="100"/>
      <c r="AB272" s="100"/>
      <c r="AC272" s="100"/>
      <c r="AD272" s="100"/>
      <c r="AG272" s="253">
        <f t="shared" ref="AG272:AI272" si="129">IF(SUM(P257)&lt;=SUM(S257,V257,Y257,AB257,M272,P272,S272,V272,Y272,AB272),0,1)</f>
        <v>0</v>
      </c>
      <c r="AH272" s="253">
        <f t="shared" si="129"/>
        <v>0</v>
      </c>
      <c r="AI272" s="253">
        <f t="shared" si="129"/>
        <v>0</v>
      </c>
      <c r="AK272" s="253">
        <f t="shared" si="99"/>
        <v>0</v>
      </c>
      <c r="AL272" s="253">
        <f t="shared" si="100"/>
        <v>0</v>
      </c>
      <c r="AM272" s="253">
        <f t="shared" si="101"/>
        <v>0</v>
      </c>
      <c r="AN272" s="253">
        <f t="shared" si="102"/>
        <v>0</v>
      </c>
      <c r="AO272" s="253">
        <f t="shared" si="103"/>
        <v>0</v>
      </c>
      <c r="AP272" s="253">
        <f t="shared" si="104"/>
        <v>0</v>
      </c>
      <c r="AQ272" s="253">
        <f t="shared" si="105"/>
        <v>0</v>
      </c>
      <c r="AR272" s="253">
        <f t="shared" si="106"/>
        <v>0</v>
      </c>
      <c r="AS272" s="253">
        <f t="shared" si="107"/>
        <v>0</v>
      </c>
      <c r="AT272" s="253">
        <f t="shared" si="108"/>
        <v>0</v>
      </c>
      <c r="AU272" s="253">
        <f t="shared" si="109"/>
        <v>0</v>
      </c>
      <c r="AV272" s="253">
        <f t="shared" si="110"/>
        <v>0</v>
      </c>
      <c r="AW272" s="253">
        <f t="shared" si="111"/>
        <v>0</v>
      </c>
      <c r="AX272" s="253">
        <f t="shared" si="112"/>
        <v>0</v>
      </c>
      <c r="AY272" s="253">
        <f t="shared" si="113"/>
        <v>0</v>
      </c>
      <c r="AZ272" s="253">
        <f t="shared" si="114"/>
        <v>0</v>
      </c>
      <c r="BA272" s="253">
        <f t="shared" si="115"/>
        <v>0</v>
      </c>
      <c r="BB272" s="253">
        <f t="shared" si="116"/>
        <v>0</v>
      </c>
      <c r="BC272" s="253">
        <f t="shared" si="117"/>
        <v>0</v>
      </c>
      <c r="BD272" s="253">
        <f t="shared" si="118"/>
        <v>0</v>
      </c>
      <c r="BE272" s="253">
        <f t="shared" si="119"/>
        <v>0</v>
      </c>
      <c r="BF272" s="253">
        <f t="shared" si="120"/>
        <v>0</v>
      </c>
      <c r="BG272" s="253">
        <f t="shared" si="121"/>
        <v>0</v>
      </c>
      <c r="BH272" s="253">
        <f t="shared" si="122"/>
        <v>0</v>
      </c>
      <c r="BI272" s="253">
        <f t="shared" si="123"/>
        <v>0</v>
      </c>
      <c r="BJ272" s="253">
        <f t="shared" si="124"/>
        <v>0</v>
      </c>
      <c r="BK272" s="253">
        <f t="shared" si="125"/>
        <v>0</v>
      </c>
      <c r="BL272" s="253">
        <f t="shared" si="126"/>
        <v>0</v>
      </c>
      <c r="BM272" s="253">
        <f t="shared" si="127"/>
        <v>0</v>
      </c>
      <c r="BN272" s="253">
        <f t="shared" si="128"/>
        <v>0</v>
      </c>
    </row>
    <row r="273" spans="1:66" ht="15" customHeight="1">
      <c r="A273" s="50"/>
      <c r="B273" s="38"/>
      <c r="C273" s="143" t="s">
        <v>2519</v>
      </c>
      <c r="D273" s="796" t="str">
        <f>IF(CNSIPEE_2024_M2_Secc1!D45="","",CNSIPEE_2024_M2_Secc1!D45)</f>
        <v/>
      </c>
      <c r="E273" s="796"/>
      <c r="F273" s="796"/>
      <c r="G273" s="796"/>
      <c r="H273" s="796"/>
      <c r="I273" s="796"/>
      <c r="J273" s="796"/>
      <c r="K273" s="796"/>
      <c r="L273" s="796"/>
      <c r="M273" s="100"/>
      <c r="N273" s="100"/>
      <c r="O273" s="100"/>
      <c r="P273" s="100"/>
      <c r="Q273" s="100"/>
      <c r="R273" s="100"/>
      <c r="S273" s="100"/>
      <c r="T273" s="100"/>
      <c r="U273" s="100"/>
      <c r="V273" s="100"/>
      <c r="W273" s="100"/>
      <c r="X273" s="100"/>
      <c r="Y273" s="100"/>
      <c r="Z273" s="100"/>
      <c r="AA273" s="100"/>
      <c r="AB273" s="100"/>
      <c r="AC273" s="100"/>
      <c r="AD273" s="100"/>
      <c r="AG273" s="253">
        <f t="shared" ref="AG273:AI273" si="130">IF(SUM(P258)&lt;=SUM(S258,V258,Y258,AB258,M273,P273,S273,V273,Y273,AB273),0,1)</f>
        <v>0</v>
      </c>
      <c r="AH273" s="253">
        <f t="shared" si="130"/>
        <v>0</v>
      </c>
      <c r="AI273" s="253">
        <f t="shared" si="130"/>
        <v>0</v>
      </c>
      <c r="AK273" s="253">
        <f t="shared" si="99"/>
        <v>0</v>
      </c>
      <c r="AL273" s="253">
        <f t="shared" si="100"/>
        <v>0</v>
      </c>
      <c r="AM273" s="253">
        <f t="shared" si="101"/>
        <v>0</v>
      </c>
      <c r="AN273" s="253">
        <f t="shared" si="102"/>
        <v>0</v>
      </c>
      <c r="AO273" s="253">
        <f t="shared" si="103"/>
        <v>0</v>
      </c>
      <c r="AP273" s="253">
        <f t="shared" si="104"/>
        <v>0</v>
      </c>
      <c r="AQ273" s="253">
        <f t="shared" si="105"/>
        <v>0</v>
      </c>
      <c r="AR273" s="253">
        <f t="shared" si="106"/>
        <v>0</v>
      </c>
      <c r="AS273" s="253">
        <f t="shared" si="107"/>
        <v>0</v>
      </c>
      <c r="AT273" s="253">
        <f t="shared" si="108"/>
        <v>0</v>
      </c>
      <c r="AU273" s="253">
        <f t="shared" si="109"/>
        <v>0</v>
      </c>
      <c r="AV273" s="253">
        <f t="shared" si="110"/>
        <v>0</v>
      </c>
      <c r="AW273" s="253">
        <f t="shared" si="111"/>
        <v>0</v>
      </c>
      <c r="AX273" s="253">
        <f t="shared" si="112"/>
        <v>0</v>
      </c>
      <c r="AY273" s="253">
        <f t="shared" si="113"/>
        <v>0</v>
      </c>
      <c r="AZ273" s="253">
        <f t="shared" si="114"/>
        <v>0</v>
      </c>
      <c r="BA273" s="253">
        <f t="shared" si="115"/>
        <v>0</v>
      </c>
      <c r="BB273" s="253">
        <f t="shared" si="116"/>
        <v>0</v>
      </c>
      <c r="BC273" s="253">
        <f t="shared" si="117"/>
        <v>0</v>
      </c>
      <c r="BD273" s="253">
        <f t="shared" si="118"/>
        <v>0</v>
      </c>
      <c r="BE273" s="253">
        <f t="shared" si="119"/>
        <v>0</v>
      </c>
      <c r="BF273" s="253">
        <f t="shared" si="120"/>
        <v>0</v>
      </c>
      <c r="BG273" s="253">
        <f t="shared" si="121"/>
        <v>0</v>
      </c>
      <c r="BH273" s="253">
        <f t="shared" si="122"/>
        <v>0</v>
      </c>
      <c r="BI273" s="253">
        <f t="shared" si="123"/>
        <v>0</v>
      </c>
      <c r="BJ273" s="253">
        <f t="shared" si="124"/>
        <v>0</v>
      </c>
      <c r="BK273" s="253">
        <f t="shared" si="125"/>
        <v>0</v>
      </c>
      <c r="BL273" s="253">
        <f t="shared" si="126"/>
        <v>0</v>
      </c>
      <c r="BM273" s="253">
        <f t="shared" si="127"/>
        <v>0</v>
      </c>
      <c r="BN273" s="253">
        <f t="shared" si="128"/>
        <v>0</v>
      </c>
    </row>
    <row r="274" spans="1:66" ht="15" customHeight="1">
      <c r="A274" s="50"/>
      <c r="B274" s="38"/>
      <c r="C274" s="143" t="s">
        <v>2520</v>
      </c>
      <c r="D274" s="796" t="str">
        <f>IF(CNSIPEE_2024_M2_Secc1!D46="","",CNSIPEE_2024_M2_Secc1!D46)</f>
        <v/>
      </c>
      <c r="E274" s="796"/>
      <c r="F274" s="796"/>
      <c r="G274" s="796"/>
      <c r="H274" s="796"/>
      <c r="I274" s="796"/>
      <c r="J274" s="796"/>
      <c r="K274" s="796"/>
      <c r="L274" s="796"/>
      <c r="M274" s="100"/>
      <c r="N274" s="100"/>
      <c r="O274" s="100"/>
      <c r="P274" s="100"/>
      <c r="Q274" s="100"/>
      <c r="R274" s="100"/>
      <c r="S274" s="100"/>
      <c r="T274" s="100"/>
      <c r="U274" s="100"/>
      <c r="V274" s="100"/>
      <c r="W274" s="100"/>
      <c r="X274" s="100"/>
      <c r="Y274" s="100"/>
      <c r="Z274" s="100"/>
      <c r="AA274" s="100"/>
      <c r="AB274" s="100"/>
      <c r="AC274" s="100"/>
      <c r="AD274" s="100"/>
      <c r="AG274" s="253">
        <f t="shared" ref="AG274:AI274" si="131">IF(SUM(P259)&lt;=SUM(S259,V259,Y259,AB259,M274,P274,S274,V274,Y274,AB274),0,1)</f>
        <v>0</v>
      </c>
      <c r="AH274" s="253">
        <f t="shared" si="131"/>
        <v>0</v>
      </c>
      <c r="AI274" s="253">
        <f t="shared" si="131"/>
        <v>0</v>
      </c>
      <c r="AK274" s="253">
        <f t="shared" si="99"/>
        <v>0</v>
      </c>
      <c r="AL274" s="253">
        <f t="shared" si="100"/>
        <v>0</v>
      </c>
      <c r="AM274" s="253">
        <f t="shared" si="101"/>
        <v>0</v>
      </c>
      <c r="AN274" s="253">
        <f t="shared" si="102"/>
        <v>0</v>
      </c>
      <c r="AO274" s="253">
        <f t="shared" si="103"/>
        <v>0</v>
      </c>
      <c r="AP274" s="253">
        <f t="shared" si="104"/>
        <v>0</v>
      </c>
      <c r="AQ274" s="253">
        <f t="shared" si="105"/>
        <v>0</v>
      </c>
      <c r="AR274" s="253">
        <f t="shared" si="106"/>
        <v>0</v>
      </c>
      <c r="AS274" s="253">
        <f t="shared" si="107"/>
        <v>0</v>
      </c>
      <c r="AT274" s="253">
        <f t="shared" si="108"/>
        <v>0</v>
      </c>
      <c r="AU274" s="253">
        <f t="shared" si="109"/>
        <v>0</v>
      </c>
      <c r="AV274" s="253">
        <f t="shared" si="110"/>
        <v>0</v>
      </c>
      <c r="AW274" s="253">
        <f t="shared" si="111"/>
        <v>0</v>
      </c>
      <c r="AX274" s="253">
        <f t="shared" si="112"/>
        <v>0</v>
      </c>
      <c r="AY274" s="253">
        <f t="shared" si="113"/>
        <v>0</v>
      </c>
      <c r="AZ274" s="253">
        <f t="shared" si="114"/>
        <v>0</v>
      </c>
      <c r="BA274" s="253">
        <f t="shared" si="115"/>
        <v>0</v>
      </c>
      <c r="BB274" s="253">
        <f t="shared" si="116"/>
        <v>0</v>
      </c>
      <c r="BC274" s="253">
        <f t="shared" si="117"/>
        <v>0</v>
      </c>
      <c r="BD274" s="253">
        <f t="shared" si="118"/>
        <v>0</v>
      </c>
      <c r="BE274" s="253">
        <f t="shared" si="119"/>
        <v>0</v>
      </c>
      <c r="BF274" s="253">
        <f t="shared" si="120"/>
        <v>0</v>
      </c>
      <c r="BG274" s="253">
        <f t="shared" si="121"/>
        <v>0</v>
      </c>
      <c r="BH274" s="253">
        <f t="shared" si="122"/>
        <v>0</v>
      </c>
      <c r="BI274" s="253">
        <f t="shared" si="123"/>
        <v>0</v>
      </c>
      <c r="BJ274" s="253">
        <f t="shared" si="124"/>
        <v>0</v>
      </c>
      <c r="BK274" s="253">
        <f t="shared" si="125"/>
        <v>0</v>
      </c>
      <c r="BL274" s="253">
        <f t="shared" si="126"/>
        <v>0</v>
      </c>
      <c r="BM274" s="253">
        <f t="shared" si="127"/>
        <v>0</v>
      </c>
      <c r="BN274" s="253">
        <f t="shared" si="128"/>
        <v>0</v>
      </c>
    </row>
    <row r="275" spans="1:66" ht="15" customHeight="1">
      <c r="A275" s="50"/>
      <c r="B275" s="38"/>
      <c r="C275" s="143" t="s">
        <v>2521</v>
      </c>
      <c r="D275" s="796" t="str">
        <f>IF(CNSIPEE_2024_M2_Secc1!D47="","",CNSIPEE_2024_M2_Secc1!D47)</f>
        <v/>
      </c>
      <c r="E275" s="796"/>
      <c r="F275" s="796"/>
      <c r="G275" s="796"/>
      <c r="H275" s="796"/>
      <c r="I275" s="796"/>
      <c r="J275" s="796"/>
      <c r="K275" s="796"/>
      <c r="L275" s="796"/>
      <c r="M275" s="100"/>
      <c r="N275" s="100"/>
      <c r="O275" s="100"/>
      <c r="P275" s="100"/>
      <c r="Q275" s="100"/>
      <c r="R275" s="100"/>
      <c r="S275" s="100"/>
      <c r="T275" s="100"/>
      <c r="U275" s="100"/>
      <c r="V275" s="100"/>
      <c r="W275" s="100"/>
      <c r="X275" s="100"/>
      <c r="Y275" s="100"/>
      <c r="Z275" s="100"/>
      <c r="AA275" s="100"/>
      <c r="AB275" s="100"/>
      <c r="AC275" s="100"/>
      <c r="AD275" s="100"/>
      <c r="AG275" s="253">
        <f t="shared" ref="AG275:AI275" si="132">IF(SUM(P260)&lt;=SUM(S260,V260,Y260,AB260,M275,P275,S275,V275,Y275,AB275),0,1)</f>
        <v>0</v>
      </c>
      <c r="AH275" s="253">
        <f t="shared" si="132"/>
        <v>0</v>
      </c>
      <c r="AI275" s="253">
        <f t="shared" si="132"/>
        <v>0</v>
      </c>
      <c r="AK275" s="253">
        <f t="shared" si="99"/>
        <v>0</v>
      </c>
      <c r="AL275" s="253">
        <f t="shared" si="100"/>
        <v>0</v>
      </c>
      <c r="AM275" s="253">
        <f t="shared" si="101"/>
        <v>0</v>
      </c>
      <c r="AN275" s="253">
        <f t="shared" si="102"/>
        <v>0</v>
      </c>
      <c r="AO275" s="253">
        <f t="shared" si="103"/>
        <v>0</v>
      </c>
      <c r="AP275" s="253">
        <f t="shared" si="104"/>
        <v>0</v>
      </c>
      <c r="AQ275" s="253">
        <f t="shared" si="105"/>
        <v>0</v>
      </c>
      <c r="AR275" s="253">
        <f t="shared" si="106"/>
        <v>0</v>
      </c>
      <c r="AS275" s="253">
        <f t="shared" si="107"/>
        <v>0</v>
      </c>
      <c r="AT275" s="253">
        <f t="shared" si="108"/>
        <v>0</v>
      </c>
      <c r="AU275" s="253">
        <f t="shared" si="109"/>
        <v>0</v>
      </c>
      <c r="AV275" s="253">
        <f t="shared" si="110"/>
        <v>0</v>
      </c>
      <c r="AW275" s="253">
        <f t="shared" si="111"/>
        <v>0</v>
      </c>
      <c r="AX275" s="253">
        <f t="shared" si="112"/>
        <v>0</v>
      </c>
      <c r="AY275" s="253">
        <f t="shared" si="113"/>
        <v>0</v>
      </c>
      <c r="AZ275" s="253">
        <f t="shared" si="114"/>
        <v>0</v>
      </c>
      <c r="BA275" s="253">
        <f t="shared" si="115"/>
        <v>0</v>
      </c>
      <c r="BB275" s="253">
        <f t="shared" si="116"/>
        <v>0</v>
      </c>
      <c r="BC275" s="253">
        <f t="shared" si="117"/>
        <v>0</v>
      </c>
      <c r="BD275" s="253">
        <f t="shared" si="118"/>
        <v>0</v>
      </c>
      <c r="BE275" s="253">
        <f t="shared" si="119"/>
        <v>0</v>
      </c>
      <c r="BF275" s="253">
        <f t="shared" si="120"/>
        <v>0</v>
      </c>
      <c r="BG275" s="253">
        <f t="shared" si="121"/>
        <v>0</v>
      </c>
      <c r="BH275" s="253">
        <f t="shared" si="122"/>
        <v>0</v>
      </c>
      <c r="BI275" s="253">
        <f t="shared" si="123"/>
        <v>0</v>
      </c>
      <c r="BJ275" s="253">
        <f t="shared" si="124"/>
        <v>0</v>
      </c>
      <c r="BK275" s="253">
        <f t="shared" si="125"/>
        <v>0</v>
      </c>
      <c r="BL275" s="253">
        <f t="shared" si="126"/>
        <v>0</v>
      </c>
      <c r="BM275" s="253">
        <f t="shared" si="127"/>
        <v>0</v>
      </c>
      <c r="BN275" s="253">
        <f t="shared" si="128"/>
        <v>0</v>
      </c>
    </row>
    <row r="276" spans="1:66" ht="15" customHeight="1">
      <c r="A276" s="50"/>
      <c r="B276" s="38"/>
      <c r="C276" s="143" t="s">
        <v>2522</v>
      </c>
      <c r="D276" s="796" t="str">
        <f>IF(CNSIPEE_2024_M2_Secc1!D48="","",CNSIPEE_2024_M2_Secc1!D48)</f>
        <v/>
      </c>
      <c r="E276" s="796"/>
      <c r="F276" s="796"/>
      <c r="G276" s="796"/>
      <c r="H276" s="796"/>
      <c r="I276" s="796"/>
      <c r="J276" s="796"/>
      <c r="K276" s="796"/>
      <c r="L276" s="796"/>
      <c r="M276" s="100"/>
      <c r="N276" s="100"/>
      <c r="O276" s="100"/>
      <c r="P276" s="100"/>
      <c r="Q276" s="100"/>
      <c r="R276" s="100"/>
      <c r="S276" s="100"/>
      <c r="T276" s="100"/>
      <c r="U276" s="100"/>
      <c r="V276" s="100"/>
      <c r="W276" s="100"/>
      <c r="X276" s="100"/>
      <c r="Y276" s="100"/>
      <c r="Z276" s="100"/>
      <c r="AA276" s="100"/>
      <c r="AB276" s="100"/>
      <c r="AC276" s="100"/>
      <c r="AD276" s="100"/>
      <c r="AG276" s="253">
        <f t="shared" ref="AG276:AI276" si="133">IF(SUM(P261)&lt;=SUM(S261,V261,Y261,AB261,M276,P276,S276,V276,Y276,AB276),0,1)</f>
        <v>0</v>
      </c>
      <c r="AH276" s="253">
        <f t="shared" si="133"/>
        <v>0</v>
      </c>
      <c r="AI276" s="253">
        <f t="shared" si="133"/>
        <v>0</v>
      </c>
      <c r="AK276" s="253">
        <f t="shared" si="99"/>
        <v>0</v>
      </c>
      <c r="AL276" s="253">
        <f t="shared" si="100"/>
        <v>0</v>
      </c>
      <c r="AM276" s="253">
        <f t="shared" si="101"/>
        <v>0</v>
      </c>
      <c r="AN276" s="253">
        <f t="shared" si="102"/>
        <v>0</v>
      </c>
      <c r="AO276" s="253">
        <f t="shared" si="103"/>
        <v>0</v>
      </c>
      <c r="AP276" s="253">
        <f t="shared" si="104"/>
        <v>0</v>
      </c>
      <c r="AQ276" s="253">
        <f t="shared" si="105"/>
        <v>0</v>
      </c>
      <c r="AR276" s="253">
        <f t="shared" si="106"/>
        <v>0</v>
      </c>
      <c r="AS276" s="253">
        <f t="shared" si="107"/>
        <v>0</v>
      </c>
      <c r="AT276" s="253">
        <f t="shared" si="108"/>
        <v>0</v>
      </c>
      <c r="AU276" s="253">
        <f t="shared" si="109"/>
        <v>0</v>
      </c>
      <c r="AV276" s="253">
        <f t="shared" si="110"/>
        <v>0</v>
      </c>
      <c r="AW276" s="253">
        <f t="shared" si="111"/>
        <v>0</v>
      </c>
      <c r="AX276" s="253">
        <f t="shared" si="112"/>
        <v>0</v>
      </c>
      <c r="AY276" s="253">
        <f t="shared" si="113"/>
        <v>0</v>
      </c>
      <c r="AZ276" s="253">
        <f t="shared" si="114"/>
        <v>0</v>
      </c>
      <c r="BA276" s="253">
        <f t="shared" si="115"/>
        <v>0</v>
      </c>
      <c r="BB276" s="253">
        <f t="shared" si="116"/>
        <v>0</v>
      </c>
      <c r="BC276" s="253">
        <f t="shared" si="117"/>
        <v>0</v>
      </c>
      <c r="BD276" s="253">
        <f t="shared" si="118"/>
        <v>0</v>
      </c>
      <c r="BE276" s="253">
        <f t="shared" si="119"/>
        <v>0</v>
      </c>
      <c r="BF276" s="253">
        <f t="shared" si="120"/>
        <v>0</v>
      </c>
      <c r="BG276" s="253">
        <f t="shared" si="121"/>
        <v>0</v>
      </c>
      <c r="BH276" s="253">
        <f t="shared" si="122"/>
        <v>0</v>
      </c>
      <c r="BI276" s="253">
        <f t="shared" si="123"/>
        <v>0</v>
      </c>
      <c r="BJ276" s="253">
        <f t="shared" si="124"/>
        <v>0</v>
      </c>
      <c r="BK276" s="253">
        <f t="shared" si="125"/>
        <v>0</v>
      </c>
      <c r="BL276" s="253">
        <f t="shared" si="126"/>
        <v>0</v>
      </c>
      <c r="BM276" s="253">
        <f t="shared" si="127"/>
        <v>0</v>
      </c>
      <c r="BN276" s="253">
        <f t="shared" si="128"/>
        <v>0</v>
      </c>
    </row>
    <row r="277" spans="1:66" ht="15" customHeight="1">
      <c r="A277" s="50"/>
      <c r="B277" s="38"/>
      <c r="C277" s="143" t="s">
        <v>2523</v>
      </c>
      <c r="D277" s="796" t="str">
        <f>IF(CNSIPEE_2024_M2_Secc1!D49="","",CNSIPEE_2024_M2_Secc1!D49)</f>
        <v/>
      </c>
      <c r="E277" s="796"/>
      <c r="F277" s="796"/>
      <c r="G277" s="796"/>
      <c r="H277" s="796"/>
      <c r="I277" s="796"/>
      <c r="J277" s="796"/>
      <c r="K277" s="796"/>
      <c r="L277" s="796"/>
      <c r="M277" s="100"/>
      <c r="N277" s="100"/>
      <c r="O277" s="100"/>
      <c r="P277" s="100"/>
      <c r="Q277" s="100"/>
      <c r="R277" s="100"/>
      <c r="S277" s="100"/>
      <c r="T277" s="100"/>
      <c r="U277" s="100"/>
      <c r="V277" s="100"/>
      <c r="W277" s="100"/>
      <c r="X277" s="100"/>
      <c r="Y277" s="100"/>
      <c r="Z277" s="100"/>
      <c r="AA277" s="100"/>
      <c r="AB277" s="100"/>
      <c r="AC277" s="100"/>
      <c r="AD277" s="100"/>
      <c r="AG277" s="253">
        <f>IF(SUM(P262)&lt;=SUM(S262,V262,Y262,AB262,M277,P277,S277,V277,Y277,AB277),0,1)</f>
        <v>0</v>
      </c>
      <c r="AH277" s="253">
        <f t="shared" ref="AH277:AI277" si="134">IF(SUM(Q262)&lt;=SUM(T262,W262,Z262,AC262,N277,Q277,T277,W277,Z277,AC277),0,1)</f>
        <v>0</v>
      </c>
      <c r="AI277" s="253">
        <f t="shared" si="134"/>
        <v>0</v>
      </c>
      <c r="AK277" s="253">
        <f t="shared" si="99"/>
        <v>0</v>
      </c>
      <c r="AL277" s="253">
        <f t="shared" si="100"/>
        <v>0</v>
      </c>
      <c r="AM277" s="253">
        <f t="shared" si="101"/>
        <v>0</v>
      </c>
      <c r="AN277" s="253">
        <f t="shared" si="102"/>
        <v>0</v>
      </c>
      <c r="AO277" s="253">
        <f t="shared" si="103"/>
        <v>0</v>
      </c>
      <c r="AP277" s="253">
        <f t="shared" si="104"/>
        <v>0</v>
      </c>
      <c r="AQ277" s="253">
        <f t="shared" si="105"/>
        <v>0</v>
      </c>
      <c r="AR277" s="253">
        <f t="shared" si="106"/>
        <v>0</v>
      </c>
      <c r="AS277" s="253">
        <f t="shared" si="107"/>
        <v>0</v>
      </c>
      <c r="AT277" s="253">
        <f t="shared" si="108"/>
        <v>0</v>
      </c>
      <c r="AU277" s="253">
        <f t="shared" si="109"/>
        <v>0</v>
      </c>
      <c r="AV277" s="253">
        <f t="shared" si="110"/>
        <v>0</v>
      </c>
      <c r="AW277" s="253">
        <f t="shared" si="111"/>
        <v>0</v>
      </c>
      <c r="AX277" s="253">
        <f t="shared" si="112"/>
        <v>0</v>
      </c>
      <c r="AY277" s="253">
        <f t="shared" si="113"/>
        <v>0</v>
      </c>
      <c r="AZ277" s="253">
        <f t="shared" si="114"/>
        <v>0</v>
      </c>
      <c r="BA277" s="253">
        <f t="shared" si="115"/>
        <v>0</v>
      </c>
      <c r="BB277" s="253">
        <f t="shared" si="116"/>
        <v>0</v>
      </c>
      <c r="BC277" s="253">
        <f t="shared" si="117"/>
        <v>0</v>
      </c>
      <c r="BD277" s="253">
        <f t="shared" si="118"/>
        <v>0</v>
      </c>
      <c r="BE277" s="253">
        <f t="shared" si="119"/>
        <v>0</v>
      </c>
      <c r="BF277" s="253">
        <f t="shared" si="120"/>
        <v>0</v>
      </c>
      <c r="BG277" s="253">
        <f t="shared" si="121"/>
        <v>0</v>
      </c>
      <c r="BH277" s="253">
        <f t="shared" si="122"/>
        <v>0</v>
      </c>
      <c r="BI277" s="253">
        <f t="shared" si="123"/>
        <v>0</v>
      </c>
      <c r="BJ277" s="253">
        <f t="shared" si="124"/>
        <v>0</v>
      </c>
      <c r="BK277" s="253">
        <f t="shared" si="125"/>
        <v>0</v>
      </c>
      <c r="BL277" s="253">
        <f t="shared" si="126"/>
        <v>0</v>
      </c>
      <c r="BM277" s="253">
        <f t="shared" si="127"/>
        <v>0</v>
      </c>
      <c r="BN277" s="253">
        <f t="shared" si="128"/>
        <v>0</v>
      </c>
    </row>
    <row r="278" spans="1:66" ht="15" customHeight="1">
      <c r="A278" s="50"/>
      <c r="B278" s="38"/>
      <c r="C278" s="84"/>
      <c r="D278" s="36"/>
      <c r="E278" s="36"/>
      <c r="F278" s="36"/>
      <c r="G278" s="36"/>
      <c r="H278" s="36"/>
      <c r="I278" s="617"/>
      <c r="J278" s="617"/>
      <c r="K278" s="617"/>
      <c r="L278" s="99"/>
      <c r="M278" s="124">
        <f>IF(AND(SUM(M270:M277)=0,COUNTIF(M270:M277,"NS")&gt;0),"NS",
IF(AND(SUM(M270:M277)=0,COUNTIF(M270:M277,0)&gt;0),0,
IF(AND(SUM(M270:M277)=0,COUNTIF(M270:M277,"NA")&gt;0),"NA",
SUM(M270:M277))))</f>
        <v>0</v>
      </c>
      <c r="N278" s="124">
        <f t="shared" ref="N278:AD278" si="135">IF(AND(SUM(N270:N277)=0,COUNTIF(N270:N277,"NS")&gt;0),"NS",
IF(AND(SUM(N270:N277)=0,COUNTIF(N270:N277,0)&gt;0),0,
IF(AND(SUM(N270:N277)=0,COUNTIF(N270:N277,"NA")&gt;0),"NA",
SUM(N270:N277))))</f>
        <v>0</v>
      </c>
      <c r="O278" s="124">
        <f t="shared" si="135"/>
        <v>0</v>
      </c>
      <c r="P278" s="124">
        <f t="shared" si="135"/>
        <v>0</v>
      </c>
      <c r="Q278" s="124">
        <f t="shared" si="135"/>
        <v>0</v>
      </c>
      <c r="R278" s="124">
        <f t="shared" si="135"/>
        <v>0</v>
      </c>
      <c r="S278" s="124">
        <f t="shared" si="135"/>
        <v>0</v>
      </c>
      <c r="T278" s="124">
        <f t="shared" si="135"/>
        <v>0</v>
      </c>
      <c r="U278" s="124">
        <f t="shared" si="135"/>
        <v>0</v>
      </c>
      <c r="V278" s="124">
        <f t="shared" si="135"/>
        <v>0</v>
      </c>
      <c r="W278" s="124">
        <f t="shared" si="135"/>
        <v>0</v>
      </c>
      <c r="X278" s="124">
        <f t="shared" si="135"/>
        <v>0</v>
      </c>
      <c r="Y278" s="124">
        <f t="shared" si="135"/>
        <v>0</v>
      </c>
      <c r="Z278" s="124">
        <f t="shared" si="135"/>
        <v>0</v>
      </c>
      <c r="AA278" s="124">
        <f t="shared" si="135"/>
        <v>0</v>
      </c>
      <c r="AB278" s="124">
        <f t="shared" si="135"/>
        <v>0</v>
      </c>
      <c r="AC278" s="124">
        <f t="shared" si="135"/>
        <v>0</v>
      </c>
      <c r="AD278" s="124">
        <f t="shared" si="135"/>
        <v>0</v>
      </c>
      <c r="AG278" s="288">
        <f>SUM(AG270:AG277)</f>
        <v>0</v>
      </c>
      <c r="AH278" s="289">
        <f>SUM(AH270:AH277)</f>
        <v>0</v>
      </c>
      <c r="AI278" s="252">
        <f>SUM(AI270:AI277)</f>
        <v>0</v>
      </c>
      <c r="AK278" s="288">
        <f>SUM(AK270:AK277)</f>
        <v>0</v>
      </c>
      <c r="AL278" s="295">
        <f>SUM(AL270:AL277)</f>
        <v>0</v>
      </c>
      <c r="AM278" s="296">
        <f>SUM(AM270:AM277)</f>
        <v>0</v>
      </c>
      <c r="AN278" s="288">
        <f t="shared" ref="AN278:BN278" si="136">SUM(AN270:AN277)</f>
        <v>0</v>
      </c>
      <c r="AO278" s="295">
        <f t="shared" si="136"/>
        <v>0</v>
      </c>
      <c r="AP278" s="296">
        <f t="shared" si="136"/>
        <v>0</v>
      </c>
      <c r="AQ278" s="288">
        <f t="shared" si="136"/>
        <v>0</v>
      </c>
      <c r="AR278" s="295">
        <f t="shared" si="136"/>
        <v>0</v>
      </c>
      <c r="AS278" s="296">
        <f t="shared" si="136"/>
        <v>0</v>
      </c>
      <c r="AT278" s="288">
        <f t="shared" si="136"/>
        <v>0</v>
      </c>
      <c r="AU278" s="295">
        <f t="shared" si="136"/>
        <v>0</v>
      </c>
      <c r="AV278" s="296">
        <f t="shared" si="136"/>
        <v>0</v>
      </c>
      <c r="AW278" s="288">
        <f t="shared" si="136"/>
        <v>0</v>
      </c>
      <c r="AX278" s="295">
        <f t="shared" si="136"/>
        <v>0</v>
      </c>
      <c r="AY278" s="296">
        <f t="shared" si="136"/>
        <v>0</v>
      </c>
      <c r="AZ278" s="288">
        <f t="shared" si="136"/>
        <v>0</v>
      </c>
      <c r="BA278" s="295">
        <f t="shared" si="136"/>
        <v>0</v>
      </c>
      <c r="BB278" s="296">
        <f t="shared" si="136"/>
        <v>0</v>
      </c>
      <c r="BC278" s="288">
        <f t="shared" si="136"/>
        <v>0</v>
      </c>
      <c r="BD278" s="295">
        <f t="shared" si="136"/>
        <v>0</v>
      </c>
      <c r="BE278" s="296">
        <f t="shared" si="136"/>
        <v>0</v>
      </c>
      <c r="BF278" s="288">
        <f t="shared" si="136"/>
        <v>0</v>
      </c>
      <c r="BG278" s="295">
        <f t="shared" si="136"/>
        <v>0</v>
      </c>
      <c r="BH278" s="296">
        <f t="shared" si="136"/>
        <v>0</v>
      </c>
      <c r="BI278" s="288">
        <f t="shared" si="136"/>
        <v>0</v>
      </c>
      <c r="BJ278" s="295">
        <f t="shared" si="136"/>
        <v>0</v>
      </c>
      <c r="BK278" s="296">
        <f t="shared" si="136"/>
        <v>0</v>
      </c>
      <c r="BL278" s="288">
        <f t="shared" si="136"/>
        <v>0</v>
      </c>
      <c r="BM278" s="295">
        <f t="shared" si="136"/>
        <v>0</v>
      </c>
      <c r="BN278" s="296">
        <f t="shared" si="136"/>
        <v>0</v>
      </c>
    </row>
    <row r="279" spans="1:66" ht="15" customHeight="1">
      <c r="A279" s="50"/>
      <c r="B279" s="57"/>
      <c r="C279" s="57"/>
      <c r="D279" s="57"/>
      <c r="E279" s="57"/>
      <c r="F279" s="57"/>
      <c r="G279" s="57"/>
      <c r="H279" s="57"/>
      <c r="I279" s="57"/>
      <c r="J279" s="57"/>
      <c r="K279" s="57"/>
      <c r="L279" s="57"/>
      <c r="M279" s="57"/>
      <c r="N279" s="57"/>
      <c r="O279" s="57"/>
      <c r="P279" s="57"/>
      <c r="Q279" s="57"/>
      <c r="R279" s="57"/>
      <c r="S279" s="57"/>
      <c r="T279" s="57"/>
      <c r="U279" s="57"/>
      <c r="V279" s="57"/>
      <c r="W279" s="57"/>
      <c r="X279" s="57"/>
      <c r="Y279" s="57"/>
      <c r="Z279" s="57"/>
      <c r="AA279" s="57"/>
      <c r="AB279" s="57"/>
      <c r="AC279" s="57"/>
      <c r="AD279" s="57"/>
      <c r="AG279" s="253"/>
      <c r="AH279" s="253"/>
      <c r="AI279" s="284">
        <f>SUM(AG278:AI278)</f>
        <v>0</v>
      </c>
      <c r="BN279" s="297">
        <f>SUM(AK278:BN278)</f>
        <v>0</v>
      </c>
    </row>
    <row r="280" spans="1:66" ht="45" customHeight="1">
      <c r="A280" s="50"/>
      <c r="B280" s="57"/>
      <c r="C280" s="822" t="s">
        <v>2798</v>
      </c>
      <c r="D280" s="822"/>
      <c r="E280" s="822"/>
      <c r="F280" s="749"/>
      <c r="G280" s="749"/>
      <c r="H280" s="749"/>
      <c r="I280" s="749"/>
      <c r="J280" s="749"/>
      <c r="K280" s="749"/>
      <c r="L280" s="749"/>
      <c r="M280" s="749"/>
      <c r="N280" s="749"/>
      <c r="O280" s="749"/>
      <c r="P280" s="749"/>
      <c r="Q280" s="749"/>
      <c r="R280" s="749"/>
      <c r="S280" s="749"/>
      <c r="T280" s="749"/>
      <c r="U280" s="749"/>
      <c r="V280" s="749"/>
      <c r="W280" s="749"/>
      <c r="X280" s="749"/>
      <c r="Y280" s="749"/>
      <c r="Z280" s="749"/>
      <c r="AA280" s="749"/>
      <c r="AB280" s="749"/>
      <c r="AC280" s="749"/>
      <c r="AD280" s="749"/>
    </row>
    <row r="281" spans="1:66" ht="15" customHeight="1">
      <c r="A281" s="50"/>
      <c r="B281" s="794" t="str">
        <f>IF(AND(SUM(AB278:AD278)&gt;0,F280=""),"Ha registrado un valor mayor a cero en la col. Otro tipo debe anotar el nombre de dicho(s) tipo(s) de servicio(s)","")</f>
        <v/>
      </c>
      <c r="C281" s="794"/>
      <c r="D281" s="794"/>
      <c r="E281" s="794"/>
      <c r="F281" s="794"/>
      <c r="G281" s="794"/>
      <c r="H281" s="794"/>
      <c r="I281" s="794"/>
      <c r="J281" s="794"/>
      <c r="K281" s="794"/>
      <c r="L281" s="794"/>
      <c r="M281" s="794"/>
      <c r="N281" s="794"/>
      <c r="O281" s="794"/>
      <c r="P281" s="794"/>
      <c r="Q281" s="794"/>
      <c r="R281" s="794"/>
      <c r="S281" s="794"/>
      <c r="T281" s="794"/>
      <c r="U281" s="794"/>
      <c r="V281" s="794"/>
      <c r="W281" s="794"/>
      <c r="X281" s="794"/>
      <c r="Y281" s="794"/>
      <c r="Z281" s="794"/>
      <c r="AA281" s="794"/>
      <c r="AB281" s="794"/>
      <c r="AC281" s="794"/>
      <c r="AD281" s="794"/>
      <c r="AE281" s="794"/>
    </row>
    <row r="282" spans="1:66" ht="24" customHeight="1">
      <c r="A282" s="50"/>
      <c r="B282" s="57"/>
      <c r="C282" s="754" t="s">
        <v>2611</v>
      </c>
      <c r="D282" s="754"/>
      <c r="E282" s="754"/>
      <c r="F282" s="754"/>
      <c r="G282" s="754"/>
      <c r="H282" s="754"/>
      <c r="I282" s="754"/>
      <c r="J282" s="754"/>
      <c r="K282" s="754"/>
      <c r="L282" s="754"/>
      <c r="M282" s="754"/>
      <c r="N282" s="754"/>
      <c r="O282" s="754"/>
      <c r="P282" s="754"/>
      <c r="Q282" s="754"/>
      <c r="R282" s="754"/>
      <c r="S282" s="754"/>
      <c r="T282" s="754"/>
      <c r="U282" s="754"/>
      <c r="V282" s="754"/>
      <c r="W282" s="754"/>
      <c r="X282" s="754"/>
      <c r="Y282" s="754"/>
      <c r="Z282" s="754"/>
      <c r="AA282" s="754"/>
      <c r="AB282" s="754"/>
      <c r="AC282" s="754"/>
      <c r="AD282" s="754"/>
    </row>
    <row r="283" spans="1:66" ht="60" customHeight="1">
      <c r="A283" s="50"/>
      <c r="B283" s="57"/>
      <c r="C283" s="812"/>
      <c r="D283" s="812"/>
      <c r="E283" s="812"/>
      <c r="F283" s="812"/>
      <c r="G283" s="812"/>
      <c r="H283" s="812"/>
      <c r="I283" s="812"/>
      <c r="J283" s="812"/>
      <c r="K283" s="812"/>
      <c r="L283" s="812"/>
      <c r="M283" s="812"/>
      <c r="N283" s="812"/>
      <c r="O283" s="812"/>
      <c r="P283" s="812"/>
      <c r="Q283" s="812"/>
      <c r="R283" s="812"/>
      <c r="S283" s="812"/>
      <c r="T283" s="812"/>
      <c r="U283" s="812"/>
      <c r="V283" s="812"/>
      <c r="W283" s="812"/>
      <c r="X283" s="812"/>
      <c r="Y283" s="812"/>
      <c r="Z283" s="812"/>
      <c r="AA283" s="812"/>
      <c r="AB283" s="812"/>
      <c r="AC283" s="812"/>
      <c r="AD283" s="812"/>
    </row>
    <row r="284" spans="1:66" ht="15" customHeight="1">
      <c r="A284" s="50"/>
      <c r="B284" s="794" t="str">
        <f>IF(AG263&gt;0,"Favor de ingresar toda la información requerida en la pregunta ","")</f>
        <v/>
      </c>
      <c r="C284" s="794"/>
      <c r="D284" s="794"/>
      <c r="E284" s="794"/>
      <c r="F284" s="794"/>
      <c r="G284" s="794"/>
      <c r="H284" s="794"/>
      <c r="I284" s="794"/>
      <c r="J284" s="794"/>
      <c r="K284" s="794"/>
      <c r="L284" s="794"/>
      <c r="M284" s="794"/>
      <c r="N284" s="794"/>
      <c r="O284" s="794"/>
      <c r="P284" s="794"/>
      <c r="Q284" s="794"/>
      <c r="R284" s="794"/>
      <c r="S284" s="794"/>
      <c r="T284" s="794"/>
      <c r="U284" s="794"/>
      <c r="V284" s="794"/>
      <c r="W284" s="794"/>
      <c r="X284" s="794"/>
      <c r="Y284" s="794"/>
      <c r="Z284" s="794"/>
      <c r="AA284" s="794"/>
      <c r="AB284" s="794"/>
      <c r="AC284" s="794"/>
      <c r="AD284" s="794"/>
      <c r="AE284"/>
    </row>
    <row r="285" spans="1:66" ht="15" customHeight="1">
      <c r="A285" s="50"/>
      <c r="B285" s="795" t="str">
        <f>IF(AM265&gt;0,"Alerta: debido a que cuenta con registros NS, debe proporcionar una justificación en el area de comentarios al final de la pregunta","")</f>
        <v/>
      </c>
      <c r="C285" s="795"/>
      <c r="D285" s="795"/>
      <c r="E285" s="795"/>
      <c r="F285" s="795"/>
      <c r="G285" s="795"/>
      <c r="H285" s="795"/>
      <c r="I285" s="795"/>
      <c r="J285" s="795"/>
      <c r="K285" s="795"/>
      <c r="L285" s="795"/>
      <c r="M285" s="795"/>
      <c r="N285" s="795"/>
      <c r="O285" s="795"/>
      <c r="P285" s="795"/>
      <c r="Q285" s="795"/>
      <c r="R285" s="795"/>
      <c r="S285" s="795"/>
      <c r="T285" s="795"/>
      <c r="U285" s="795"/>
      <c r="V285" s="795"/>
      <c r="W285" s="795"/>
      <c r="X285" s="795"/>
      <c r="Y285" s="795"/>
      <c r="Z285" s="795"/>
      <c r="AA285" s="795"/>
      <c r="AB285" s="795"/>
      <c r="AC285" s="795"/>
      <c r="AD285" s="795"/>
      <c r="AE285"/>
    </row>
    <row r="286" spans="1:66" ht="15" customHeight="1">
      <c r="A286" s="50"/>
      <c r="B286" s="794" t="str">
        <f>IF(AK265&gt;0,"Favor de revisar la suma y consistencia de totales y/o subtotales por filas (numéricos y NS)","")</f>
        <v/>
      </c>
      <c r="C286" s="794"/>
      <c r="D286" s="794"/>
      <c r="E286" s="794"/>
      <c r="F286" s="794"/>
      <c r="G286" s="794"/>
      <c r="H286" s="794"/>
      <c r="I286" s="794"/>
      <c r="J286" s="794"/>
      <c r="K286" s="794"/>
      <c r="L286" s="794"/>
      <c r="M286" s="794"/>
      <c r="N286" s="794"/>
      <c r="O286" s="794"/>
      <c r="P286" s="794"/>
      <c r="Q286" s="794"/>
      <c r="R286" s="794"/>
      <c r="S286" s="794"/>
      <c r="T286" s="794"/>
      <c r="U286" s="794"/>
      <c r="V286" s="794"/>
      <c r="W286" s="794"/>
      <c r="X286" s="794"/>
      <c r="Y286" s="794"/>
      <c r="Z286" s="794"/>
      <c r="AA286" s="794"/>
      <c r="AB286" s="794"/>
      <c r="AC286" s="794"/>
      <c r="AD286" s="794"/>
      <c r="AE286"/>
    </row>
    <row r="287" spans="1:66" ht="15" customHeight="1">
      <c r="A287" s="50"/>
      <c r="B287" s="794" t="str">
        <f>IF(AI279&gt;0,"Favor de revisar la instrucción 2 y verifique que se cumplan con los criterios establecidos","")</f>
        <v/>
      </c>
      <c r="C287" s="794"/>
      <c r="D287" s="794"/>
      <c r="E287" s="794"/>
      <c r="F287" s="794"/>
      <c r="G287" s="794"/>
      <c r="H287" s="794"/>
      <c r="I287" s="794"/>
      <c r="J287" s="794"/>
      <c r="K287" s="794"/>
      <c r="L287" s="794"/>
      <c r="M287" s="794"/>
      <c r="N287" s="794"/>
      <c r="O287" s="794"/>
      <c r="P287" s="794"/>
      <c r="Q287" s="794"/>
      <c r="R287" s="794"/>
      <c r="S287" s="794"/>
      <c r="T287" s="794"/>
      <c r="U287" s="794"/>
      <c r="V287" s="794"/>
      <c r="W287" s="794"/>
      <c r="X287" s="794"/>
      <c r="Y287" s="794"/>
      <c r="Z287" s="794"/>
      <c r="AA287" s="794"/>
      <c r="AB287" s="794"/>
      <c r="AC287" s="794"/>
      <c r="AD287" s="794"/>
      <c r="AE287" s="794"/>
    </row>
    <row r="288" spans="1:66" ht="15" customHeight="1">
      <c r="A288" s="50"/>
      <c r="B288" s="795" t="str">
        <f>IF(BN279&gt;0,"Alerta: debe de proporcionar una justificación de acuerdo a lo establecido en la instrucción 3","")</f>
        <v/>
      </c>
      <c r="C288" s="795"/>
      <c r="D288" s="795"/>
      <c r="E288" s="795"/>
      <c r="F288" s="795"/>
      <c r="G288" s="795"/>
      <c r="H288" s="795"/>
      <c r="I288" s="795"/>
      <c r="J288" s="795"/>
      <c r="K288" s="795"/>
      <c r="L288" s="795"/>
      <c r="M288" s="795"/>
      <c r="N288" s="795"/>
      <c r="O288" s="795"/>
      <c r="P288" s="795"/>
      <c r="Q288" s="795"/>
      <c r="R288" s="795"/>
      <c r="S288" s="795"/>
      <c r="T288" s="795"/>
      <c r="U288" s="795"/>
      <c r="V288" s="795"/>
      <c r="W288" s="795"/>
      <c r="X288" s="795"/>
      <c r="Y288" s="795"/>
      <c r="Z288" s="795"/>
      <c r="AA288" s="795"/>
      <c r="AB288" s="795"/>
      <c r="AC288" s="795"/>
      <c r="AD288" s="795"/>
      <c r="AE288" s="795"/>
    </row>
    <row r="289" spans="1:35" ht="15" customHeight="1">
      <c r="A289" s="50"/>
      <c r="B289" s="90"/>
      <c r="C289" s="90"/>
      <c r="D289" s="90"/>
      <c r="E289" s="90"/>
      <c r="F289" s="90"/>
      <c r="G289" s="90"/>
      <c r="H289" s="90"/>
      <c r="I289" s="90"/>
      <c r="J289" s="90"/>
      <c r="K289" s="90"/>
      <c r="L289" s="90"/>
      <c r="M289" s="90"/>
      <c r="N289" s="90"/>
      <c r="O289" s="90"/>
      <c r="P289" s="90"/>
      <c r="Q289" s="90"/>
      <c r="R289" s="90"/>
      <c r="S289" s="90"/>
      <c r="T289" s="90"/>
      <c r="U289" s="90"/>
      <c r="V289" s="90"/>
      <c r="W289" s="90"/>
      <c r="X289" s="90"/>
      <c r="Y289" s="90"/>
      <c r="Z289" s="90"/>
      <c r="AA289" s="90"/>
      <c r="AB289" s="90"/>
      <c r="AC289" s="90"/>
      <c r="AD289" s="90"/>
    </row>
    <row r="290" spans="1:35" ht="24" customHeight="1">
      <c r="A290" s="49" t="s">
        <v>2799</v>
      </c>
      <c r="B290" s="829" t="s">
        <v>2800</v>
      </c>
      <c r="C290" s="829"/>
      <c r="D290" s="829"/>
      <c r="E290" s="829"/>
      <c r="F290" s="829"/>
      <c r="G290" s="829"/>
      <c r="H290" s="829"/>
      <c r="I290" s="829"/>
      <c r="J290" s="829"/>
      <c r="K290" s="829"/>
      <c r="L290" s="829"/>
      <c r="M290" s="829"/>
      <c r="N290" s="829"/>
      <c r="O290" s="829"/>
      <c r="P290" s="829"/>
      <c r="Q290" s="829"/>
      <c r="R290" s="829"/>
      <c r="S290" s="829"/>
      <c r="T290" s="829"/>
      <c r="U290" s="829"/>
      <c r="V290" s="829"/>
      <c r="W290" s="829"/>
      <c r="X290" s="829"/>
      <c r="Y290" s="829"/>
      <c r="Z290" s="829"/>
      <c r="AA290" s="829"/>
      <c r="AB290" s="829"/>
      <c r="AC290" s="829"/>
      <c r="AD290" s="829"/>
    </row>
    <row r="291" spans="1:35" ht="24" customHeight="1">
      <c r="A291" s="103"/>
      <c r="B291" s="57"/>
      <c r="C291" s="830" t="s">
        <v>2801</v>
      </c>
      <c r="D291" s="830"/>
      <c r="E291" s="830"/>
      <c r="F291" s="830"/>
      <c r="G291" s="830"/>
      <c r="H291" s="830"/>
      <c r="I291" s="830"/>
      <c r="J291" s="830"/>
      <c r="K291" s="830"/>
      <c r="L291" s="830"/>
      <c r="M291" s="830"/>
      <c r="N291" s="830"/>
      <c r="O291" s="830"/>
      <c r="P291" s="830"/>
      <c r="Q291" s="830"/>
      <c r="R291" s="830"/>
      <c r="S291" s="830"/>
      <c r="T291" s="830"/>
      <c r="U291" s="830"/>
      <c r="V291" s="830"/>
      <c r="W291" s="830"/>
      <c r="X291" s="830"/>
      <c r="Y291" s="830"/>
      <c r="Z291" s="830"/>
      <c r="AA291" s="830"/>
      <c r="AB291" s="830"/>
      <c r="AC291" s="830"/>
      <c r="AD291" s="830"/>
    </row>
    <row r="292" spans="1:35" ht="15" customHeight="1">
      <c r="A292" s="96"/>
      <c r="B292" s="90"/>
      <c r="C292" s="830" t="s">
        <v>2802</v>
      </c>
      <c r="D292" s="830"/>
      <c r="E292" s="830"/>
      <c r="F292" s="830"/>
      <c r="G292" s="830"/>
      <c r="H292" s="830"/>
      <c r="I292" s="830"/>
      <c r="J292" s="830"/>
      <c r="K292" s="830"/>
      <c r="L292" s="830"/>
      <c r="M292" s="830"/>
      <c r="N292" s="830"/>
      <c r="O292" s="830"/>
      <c r="P292" s="830"/>
      <c r="Q292" s="830"/>
      <c r="R292" s="830"/>
      <c r="S292" s="830"/>
      <c r="T292" s="830"/>
      <c r="U292" s="830"/>
      <c r="V292" s="830"/>
      <c r="W292" s="830"/>
      <c r="X292" s="830"/>
      <c r="Y292" s="830"/>
      <c r="Z292" s="830"/>
      <c r="AA292" s="830"/>
      <c r="AB292" s="830"/>
      <c r="AC292" s="830"/>
      <c r="AD292" s="830"/>
    </row>
    <row r="293" spans="1:35" ht="24" customHeight="1">
      <c r="A293" s="96"/>
      <c r="B293" s="90"/>
      <c r="C293" s="830" t="s">
        <v>2803</v>
      </c>
      <c r="D293" s="830"/>
      <c r="E293" s="830"/>
      <c r="F293" s="830"/>
      <c r="G293" s="830"/>
      <c r="H293" s="830"/>
      <c r="I293" s="830"/>
      <c r="J293" s="830"/>
      <c r="K293" s="830"/>
      <c r="L293" s="830"/>
      <c r="M293" s="830"/>
      <c r="N293" s="830"/>
      <c r="O293" s="830"/>
      <c r="P293" s="830"/>
      <c r="Q293" s="830"/>
      <c r="R293" s="830"/>
      <c r="S293" s="830"/>
      <c r="T293" s="830"/>
      <c r="U293" s="830"/>
      <c r="V293" s="830"/>
      <c r="W293" s="830"/>
      <c r="X293" s="830"/>
      <c r="Y293" s="830"/>
      <c r="Z293" s="830"/>
      <c r="AA293" s="830"/>
      <c r="AB293" s="830"/>
      <c r="AC293" s="830"/>
      <c r="AD293" s="830"/>
    </row>
    <row r="294" spans="1:35" ht="15" customHeight="1">
      <c r="A294" s="96"/>
      <c r="B294" s="90"/>
      <c r="C294" s="90"/>
      <c r="D294" s="90"/>
      <c r="E294" s="90"/>
      <c r="F294" s="90"/>
      <c r="G294" s="90"/>
      <c r="H294" s="90"/>
      <c r="I294" s="90"/>
      <c r="J294" s="90"/>
      <c r="K294" s="90"/>
      <c r="L294" s="90"/>
      <c r="M294" s="90"/>
      <c r="N294" s="90"/>
      <c r="O294" s="90"/>
      <c r="P294" s="90"/>
      <c r="Q294" s="90"/>
      <c r="R294" s="90"/>
      <c r="S294" s="90"/>
      <c r="T294" s="90"/>
      <c r="U294" s="90"/>
      <c r="V294" s="90"/>
      <c r="W294" s="90"/>
      <c r="X294" s="90"/>
      <c r="Y294" s="90"/>
      <c r="Z294" s="90"/>
      <c r="AA294" s="90"/>
      <c r="AB294" s="90"/>
      <c r="AC294" s="90"/>
      <c r="AD294" s="90"/>
    </row>
    <row r="295" spans="1:35" ht="15" customHeight="1">
      <c r="A295" s="49"/>
      <c r="B295" s="90"/>
      <c r="C295" s="797" t="s">
        <v>2581</v>
      </c>
      <c r="D295" s="798"/>
      <c r="E295" s="798"/>
      <c r="F295" s="798"/>
      <c r="G295" s="798"/>
      <c r="H295" s="798"/>
      <c r="I295" s="798"/>
      <c r="J295" s="798"/>
      <c r="K295" s="798"/>
      <c r="L295" s="799"/>
      <c r="M295" s="797" t="s">
        <v>2804</v>
      </c>
      <c r="N295" s="798"/>
      <c r="O295" s="798"/>
      <c r="P295" s="798"/>
      <c r="Q295" s="798"/>
      <c r="R295" s="799"/>
      <c r="S295" s="739" t="s">
        <v>2805</v>
      </c>
      <c r="T295" s="740"/>
      <c r="U295" s="740"/>
      <c r="V295" s="740"/>
      <c r="W295" s="740"/>
      <c r="X295" s="740"/>
      <c r="Y295" s="740"/>
      <c r="Z295" s="740"/>
      <c r="AA295" s="740"/>
      <c r="AB295" s="740"/>
      <c r="AC295" s="740"/>
      <c r="AD295" s="741"/>
    </row>
    <row r="296" spans="1:35" ht="120" customHeight="1">
      <c r="A296" s="49"/>
      <c r="B296" s="90"/>
      <c r="C296" s="803"/>
      <c r="D296" s="804"/>
      <c r="E296" s="804"/>
      <c r="F296" s="804"/>
      <c r="G296" s="804"/>
      <c r="H296" s="804"/>
      <c r="I296" s="804"/>
      <c r="J296" s="804"/>
      <c r="K296" s="804"/>
      <c r="L296" s="805"/>
      <c r="M296" s="803"/>
      <c r="N296" s="804"/>
      <c r="O296" s="804"/>
      <c r="P296" s="804"/>
      <c r="Q296" s="804"/>
      <c r="R296" s="805"/>
      <c r="S296" s="857" t="s">
        <v>2806</v>
      </c>
      <c r="T296" s="857"/>
      <c r="U296" s="857" t="s">
        <v>2807</v>
      </c>
      <c r="V296" s="857"/>
      <c r="W296" s="857" t="s">
        <v>2808</v>
      </c>
      <c r="X296" s="857"/>
      <c r="Y296" s="857" t="s">
        <v>2809</v>
      </c>
      <c r="Z296" s="857"/>
      <c r="AA296" s="857" t="s">
        <v>2810</v>
      </c>
      <c r="AB296" s="857"/>
      <c r="AC296" s="857" t="s">
        <v>2811</v>
      </c>
      <c r="AD296" s="857"/>
      <c r="AG296" s="247" t="s">
        <v>2586</v>
      </c>
      <c r="AH296" s="299" t="s">
        <v>2812</v>
      </c>
      <c r="AI296" s="258" t="s">
        <v>2620</v>
      </c>
    </row>
    <row r="297" spans="1:35" ht="15" customHeight="1">
      <c r="A297" s="49"/>
      <c r="B297" s="90"/>
      <c r="C297" s="97" t="s">
        <v>2516</v>
      </c>
      <c r="D297" s="813" t="str">
        <f>IF(CNSIPEE_2024_M2_Secc1!D42="","",CNSIPEE_2024_M2_Secc1!D42)</f>
        <v/>
      </c>
      <c r="E297" s="814"/>
      <c r="F297" s="814"/>
      <c r="G297" s="814"/>
      <c r="H297" s="814"/>
      <c r="I297" s="814"/>
      <c r="J297" s="814"/>
      <c r="K297" s="814"/>
      <c r="L297" s="815"/>
      <c r="M297" s="816"/>
      <c r="N297" s="738"/>
      <c r="O297" s="738"/>
      <c r="P297" s="738"/>
      <c r="Q297" s="738"/>
      <c r="R297" s="817"/>
      <c r="S297" s="749"/>
      <c r="T297" s="749"/>
      <c r="U297" s="749"/>
      <c r="V297" s="749"/>
      <c r="W297" s="749"/>
      <c r="X297" s="749"/>
      <c r="Y297" s="749"/>
      <c r="Z297" s="749"/>
      <c r="AA297" s="749"/>
      <c r="AB297" s="749"/>
      <c r="AC297" s="749"/>
      <c r="AD297" s="749"/>
      <c r="AG297" s="249">
        <f>IF(AND(COUNTBLANK(D297)=0,$M297&lt;&gt;"",$M297&lt;&gt;1,COUNTA(S297:AD297)=0),0,IF(AND(COUNTBLANK(D297)=0,$M297&lt;&gt;"",$M297=1,COUNTA(S297:AD297)&gt;0),0,IF(AND(COUNTBLANK(D297)=1,COUNTA(M297:AD297)=0),0,1)))</f>
        <v>0</v>
      </c>
      <c r="AH297" s="253">
        <f>IF(COUNTIF(AC297:AD304,"X")&gt;0,1,0)</f>
        <v>0</v>
      </c>
      <c r="AI297" s="253">
        <f>IF(AND($M297&lt;&gt;"",$M297&lt;&gt;1,COUNTA(S297:AD297)&gt;0),1,0)</f>
        <v>0</v>
      </c>
    </row>
    <row r="298" spans="1:35" ht="15" customHeight="1">
      <c r="A298" s="49"/>
      <c r="B298" s="90"/>
      <c r="C298" s="143" t="s">
        <v>2517</v>
      </c>
      <c r="D298" s="813" t="str">
        <f>IF(CNSIPEE_2024_M2_Secc1!D43="","",CNSIPEE_2024_M2_Secc1!D43)</f>
        <v/>
      </c>
      <c r="E298" s="814"/>
      <c r="F298" s="814"/>
      <c r="G298" s="814"/>
      <c r="H298" s="814"/>
      <c r="I298" s="814"/>
      <c r="J298" s="814"/>
      <c r="K298" s="814"/>
      <c r="L298" s="815"/>
      <c r="M298" s="816"/>
      <c r="N298" s="738"/>
      <c r="O298" s="738"/>
      <c r="P298" s="738"/>
      <c r="Q298" s="738"/>
      <c r="R298" s="817"/>
      <c r="S298" s="749"/>
      <c r="T298" s="749"/>
      <c r="U298" s="749"/>
      <c r="V298" s="749"/>
      <c r="W298" s="749"/>
      <c r="X298" s="749"/>
      <c r="Y298" s="749"/>
      <c r="Z298" s="749"/>
      <c r="AA298" s="749"/>
      <c r="AB298" s="749"/>
      <c r="AC298" s="749"/>
      <c r="AD298" s="749"/>
      <c r="AG298" s="249">
        <f t="shared" ref="AG298:AG304" si="137">IF(AND(COUNTBLANK(D298)=0,$M298&lt;&gt;"",$M298&lt;&gt;1,COUNTA(S298:AD298)=0),0,IF(AND(COUNTBLANK(D298)=0,$M298&lt;&gt;"",$M298=1,COUNTA(S298:AD298)&gt;0),0,IF(AND(COUNTBLANK(D298)=1,COUNTA(M298:AD298)=0),0,1)))</f>
        <v>0</v>
      </c>
      <c r="AI298" s="253">
        <f t="shared" ref="AI298:AI304" si="138">IF(AND($M298&lt;&gt;"",$M298&lt;&gt;1,COUNTA(S298:AD298)&gt;0),1,0)</f>
        <v>0</v>
      </c>
    </row>
    <row r="299" spans="1:35" ht="15" customHeight="1">
      <c r="A299" s="49"/>
      <c r="B299" s="90"/>
      <c r="C299" s="143" t="s">
        <v>2518</v>
      </c>
      <c r="D299" s="813" t="str">
        <f>IF(CNSIPEE_2024_M2_Secc1!D44="","",CNSIPEE_2024_M2_Secc1!D44)</f>
        <v/>
      </c>
      <c r="E299" s="814"/>
      <c r="F299" s="814"/>
      <c r="G299" s="814"/>
      <c r="H299" s="814"/>
      <c r="I299" s="814"/>
      <c r="J299" s="814"/>
      <c r="K299" s="814"/>
      <c r="L299" s="815"/>
      <c r="M299" s="816"/>
      <c r="N299" s="738"/>
      <c r="O299" s="738"/>
      <c r="P299" s="738"/>
      <c r="Q299" s="738"/>
      <c r="R299" s="817"/>
      <c r="S299" s="749"/>
      <c r="T299" s="749"/>
      <c r="U299" s="749"/>
      <c r="V299" s="749"/>
      <c r="W299" s="749"/>
      <c r="X299" s="749"/>
      <c r="Y299" s="749"/>
      <c r="Z299" s="749"/>
      <c r="AA299" s="749"/>
      <c r="AB299" s="749"/>
      <c r="AC299" s="749"/>
      <c r="AD299" s="749"/>
      <c r="AG299" s="249">
        <f t="shared" si="137"/>
        <v>0</v>
      </c>
      <c r="AI299" s="253">
        <f t="shared" si="138"/>
        <v>0</v>
      </c>
    </row>
    <row r="300" spans="1:35" ht="15" customHeight="1">
      <c r="A300" s="49"/>
      <c r="B300" s="90"/>
      <c r="C300" s="143" t="s">
        <v>2519</v>
      </c>
      <c r="D300" s="813" t="str">
        <f>IF(CNSIPEE_2024_M2_Secc1!D45="","",CNSIPEE_2024_M2_Secc1!D45)</f>
        <v/>
      </c>
      <c r="E300" s="814"/>
      <c r="F300" s="814"/>
      <c r="G300" s="814"/>
      <c r="H300" s="814"/>
      <c r="I300" s="814"/>
      <c r="J300" s="814"/>
      <c r="K300" s="814"/>
      <c r="L300" s="815"/>
      <c r="M300" s="816"/>
      <c r="N300" s="738"/>
      <c r="O300" s="738"/>
      <c r="P300" s="738"/>
      <c r="Q300" s="738"/>
      <c r="R300" s="817"/>
      <c r="S300" s="749"/>
      <c r="T300" s="749"/>
      <c r="U300" s="749"/>
      <c r="V300" s="749"/>
      <c r="W300" s="749"/>
      <c r="X300" s="749"/>
      <c r="Y300" s="749"/>
      <c r="Z300" s="749"/>
      <c r="AA300" s="749"/>
      <c r="AB300" s="749"/>
      <c r="AC300" s="749"/>
      <c r="AD300" s="749"/>
      <c r="AG300" s="249">
        <f t="shared" si="137"/>
        <v>0</v>
      </c>
      <c r="AI300" s="253">
        <f t="shared" si="138"/>
        <v>0</v>
      </c>
    </row>
    <row r="301" spans="1:35" ht="15" customHeight="1">
      <c r="A301" s="49"/>
      <c r="B301" s="90"/>
      <c r="C301" s="143" t="s">
        <v>2520</v>
      </c>
      <c r="D301" s="813" t="str">
        <f>IF(CNSIPEE_2024_M2_Secc1!D46="","",CNSIPEE_2024_M2_Secc1!D46)</f>
        <v/>
      </c>
      <c r="E301" s="814"/>
      <c r="F301" s="814"/>
      <c r="G301" s="814"/>
      <c r="H301" s="814"/>
      <c r="I301" s="814"/>
      <c r="J301" s="814"/>
      <c r="K301" s="814"/>
      <c r="L301" s="815"/>
      <c r="M301" s="816"/>
      <c r="N301" s="738"/>
      <c r="O301" s="738"/>
      <c r="P301" s="738"/>
      <c r="Q301" s="738"/>
      <c r="R301" s="817"/>
      <c r="S301" s="749"/>
      <c r="T301" s="749"/>
      <c r="U301" s="749"/>
      <c r="V301" s="749"/>
      <c r="W301" s="749"/>
      <c r="X301" s="749"/>
      <c r="Y301" s="749"/>
      <c r="Z301" s="749"/>
      <c r="AA301" s="749"/>
      <c r="AB301" s="749"/>
      <c r="AC301" s="749"/>
      <c r="AD301" s="749"/>
      <c r="AG301" s="249">
        <f t="shared" si="137"/>
        <v>0</v>
      </c>
      <c r="AI301" s="253">
        <f t="shared" si="138"/>
        <v>0</v>
      </c>
    </row>
    <row r="302" spans="1:35" ht="15" customHeight="1">
      <c r="A302" s="49"/>
      <c r="B302" s="90"/>
      <c r="C302" s="143" t="s">
        <v>2521</v>
      </c>
      <c r="D302" s="813" t="str">
        <f>IF(CNSIPEE_2024_M2_Secc1!D47="","",CNSIPEE_2024_M2_Secc1!D47)</f>
        <v/>
      </c>
      <c r="E302" s="814"/>
      <c r="F302" s="814"/>
      <c r="G302" s="814"/>
      <c r="H302" s="814"/>
      <c r="I302" s="814"/>
      <c r="J302" s="814"/>
      <c r="K302" s="814"/>
      <c r="L302" s="815"/>
      <c r="M302" s="816"/>
      <c r="N302" s="738"/>
      <c r="O302" s="738"/>
      <c r="P302" s="738"/>
      <c r="Q302" s="738"/>
      <c r="R302" s="817"/>
      <c r="S302" s="749"/>
      <c r="T302" s="749"/>
      <c r="U302" s="749"/>
      <c r="V302" s="749"/>
      <c r="W302" s="749"/>
      <c r="X302" s="749"/>
      <c r="Y302" s="749"/>
      <c r="Z302" s="749"/>
      <c r="AA302" s="749"/>
      <c r="AB302" s="749"/>
      <c r="AC302" s="749"/>
      <c r="AD302" s="749"/>
      <c r="AG302" s="249">
        <f t="shared" si="137"/>
        <v>0</v>
      </c>
      <c r="AI302" s="253">
        <f t="shared" si="138"/>
        <v>0</v>
      </c>
    </row>
    <row r="303" spans="1:35" ht="15" customHeight="1">
      <c r="A303" s="49"/>
      <c r="B303" s="90"/>
      <c r="C303" s="143" t="s">
        <v>2522</v>
      </c>
      <c r="D303" s="813" t="str">
        <f>IF(CNSIPEE_2024_M2_Secc1!D48="","",CNSIPEE_2024_M2_Secc1!D48)</f>
        <v/>
      </c>
      <c r="E303" s="814"/>
      <c r="F303" s="814"/>
      <c r="G303" s="814"/>
      <c r="H303" s="814"/>
      <c r="I303" s="814"/>
      <c r="J303" s="814"/>
      <c r="K303" s="814"/>
      <c r="L303" s="815"/>
      <c r="M303" s="816"/>
      <c r="N303" s="738"/>
      <c r="O303" s="738"/>
      <c r="P303" s="738"/>
      <c r="Q303" s="738"/>
      <c r="R303" s="817"/>
      <c r="S303" s="749"/>
      <c r="T303" s="749"/>
      <c r="U303" s="749"/>
      <c r="V303" s="749"/>
      <c r="W303" s="749"/>
      <c r="X303" s="749"/>
      <c r="Y303" s="749"/>
      <c r="Z303" s="749"/>
      <c r="AA303" s="749"/>
      <c r="AB303" s="749"/>
      <c r="AC303" s="749"/>
      <c r="AD303" s="749"/>
      <c r="AG303" s="249">
        <f t="shared" si="137"/>
        <v>0</v>
      </c>
      <c r="AI303" s="253">
        <f t="shared" si="138"/>
        <v>0</v>
      </c>
    </row>
    <row r="304" spans="1:35" ht="15" customHeight="1">
      <c r="A304" s="49"/>
      <c r="B304" s="90"/>
      <c r="C304" s="143" t="s">
        <v>2523</v>
      </c>
      <c r="D304" s="813" t="str">
        <f>IF(CNSIPEE_2024_M2_Secc1!D49="","",CNSIPEE_2024_M2_Secc1!D49)</f>
        <v/>
      </c>
      <c r="E304" s="814"/>
      <c r="F304" s="814"/>
      <c r="G304" s="814"/>
      <c r="H304" s="814"/>
      <c r="I304" s="814"/>
      <c r="J304" s="814"/>
      <c r="K304" s="814"/>
      <c r="L304" s="815"/>
      <c r="M304" s="816"/>
      <c r="N304" s="738"/>
      <c r="O304" s="738"/>
      <c r="P304" s="738"/>
      <c r="Q304" s="738"/>
      <c r="R304" s="817"/>
      <c r="S304" s="749"/>
      <c r="T304" s="749"/>
      <c r="U304" s="749"/>
      <c r="V304" s="749"/>
      <c r="W304" s="749"/>
      <c r="X304" s="749"/>
      <c r="Y304" s="749"/>
      <c r="Z304" s="749"/>
      <c r="AA304" s="749"/>
      <c r="AB304" s="749"/>
      <c r="AC304" s="749"/>
      <c r="AD304" s="749"/>
      <c r="AG304" s="249">
        <f t="shared" si="137"/>
        <v>0</v>
      </c>
      <c r="AI304" s="253">
        <f t="shared" si="138"/>
        <v>0</v>
      </c>
    </row>
    <row r="305" spans="1:35" ht="15" customHeight="1">
      <c r="A305" s="96"/>
      <c r="B305" s="90"/>
      <c r="C305" s="57"/>
      <c r="D305" s="57"/>
      <c r="E305" s="57"/>
      <c r="F305" s="57"/>
      <c r="G305" s="57"/>
      <c r="H305" s="57"/>
      <c r="I305" s="57"/>
      <c r="J305" s="57"/>
      <c r="K305" s="57"/>
      <c r="L305" s="57"/>
      <c r="M305" s="57"/>
      <c r="N305" s="57"/>
      <c r="O305" s="57"/>
      <c r="P305" s="57"/>
      <c r="Q305" s="57"/>
      <c r="R305" s="57"/>
      <c r="S305" s="57"/>
      <c r="T305" s="57"/>
      <c r="U305" s="57"/>
      <c r="V305" s="57"/>
      <c r="W305" s="57"/>
      <c r="X305" s="57"/>
      <c r="Y305" s="57"/>
      <c r="Z305" s="57"/>
      <c r="AA305" s="57"/>
      <c r="AB305" s="57"/>
      <c r="AC305" s="57"/>
      <c r="AD305" s="57"/>
      <c r="AG305" s="247">
        <f>SUM(AG297:AG304)</f>
        <v>0</v>
      </c>
      <c r="AI305" s="258">
        <f>SUM(AI297:AI304)</f>
        <v>0</v>
      </c>
    </row>
    <row r="306" spans="1:35" ht="45" customHeight="1">
      <c r="A306" s="96"/>
      <c r="B306" s="90"/>
      <c r="C306" s="822" t="s">
        <v>2813</v>
      </c>
      <c r="D306" s="822"/>
      <c r="E306" s="822"/>
      <c r="F306" s="822"/>
      <c r="G306" s="823"/>
      <c r="H306" s="749"/>
      <c r="I306" s="749"/>
      <c r="J306" s="749"/>
      <c r="K306" s="749"/>
      <c r="L306" s="749"/>
      <c r="M306" s="749"/>
      <c r="N306" s="749"/>
      <c r="O306" s="749"/>
      <c r="P306" s="749"/>
      <c r="Q306" s="749"/>
      <c r="R306" s="749"/>
      <c r="S306" s="749"/>
      <c r="T306" s="749"/>
      <c r="U306" s="749"/>
      <c r="V306" s="749"/>
      <c r="W306" s="749"/>
      <c r="X306" s="749"/>
      <c r="Y306" s="749"/>
      <c r="Z306" s="749"/>
      <c r="AA306" s="749"/>
      <c r="AB306" s="749"/>
      <c r="AC306" s="749"/>
      <c r="AD306" s="749"/>
    </row>
    <row r="307" spans="1:35" ht="15" customHeight="1">
      <c r="A307" s="96"/>
      <c r="B307" s="794" t="str">
        <f>IF(AND(AH297&gt;0,H306=""),"Debido a que seleccionó la col. Otro equipo especializado para emergencias debe anotar el nombre de dicho(s) equipo(s) especializado(s)","")</f>
        <v/>
      </c>
      <c r="C307" s="794"/>
      <c r="D307" s="794"/>
      <c r="E307" s="794"/>
      <c r="F307" s="794"/>
      <c r="G307" s="794"/>
      <c r="H307" s="794"/>
      <c r="I307" s="794"/>
      <c r="J307" s="794"/>
      <c r="K307" s="794"/>
      <c r="L307" s="794"/>
      <c r="M307" s="794"/>
      <c r="N307" s="794"/>
      <c r="O307" s="794"/>
      <c r="P307" s="794"/>
      <c r="Q307" s="794"/>
      <c r="R307" s="794"/>
      <c r="S307" s="794"/>
      <c r="T307" s="794"/>
      <c r="U307" s="794"/>
      <c r="V307" s="794"/>
      <c r="W307" s="794"/>
      <c r="X307" s="794"/>
      <c r="Y307" s="794"/>
      <c r="Z307" s="794"/>
      <c r="AA307" s="794"/>
      <c r="AB307" s="794"/>
      <c r="AC307" s="794"/>
      <c r="AD307" s="794"/>
      <c r="AE307" s="794"/>
    </row>
    <row r="308" spans="1:35" ht="24" customHeight="1">
      <c r="A308" s="96"/>
      <c r="B308" s="90"/>
      <c r="C308" s="754" t="s">
        <v>2611</v>
      </c>
      <c r="D308" s="754"/>
      <c r="E308" s="754"/>
      <c r="F308" s="754"/>
      <c r="G308" s="754"/>
      <c r="H308" s="754"/>
      <c r="I308" s="754"/>
      <c r="J308" s="754"/>
      <c r="K308" s="754"/>
      <c r="L308" s="754"/>
      <c r="M308" s="754"/>
      <c r="N308" s="754"/>
      <c r="O308" s="754"/>
      <c r="P308" s="754"/>
      <c r="Q308" s="754"/>
      <c r="R308" s="754"/>
      <c r="S308" s="754"/>
      <c r="T308" s="754"/>
      <c r="U308" s="754"/>
      <c r="V308" s="754"/>
      <c r="W308" s="754"/>
      <c r="X308" s="754"/>
      <c r="Y308" s="754"/>
      <c r="Z308" s="754"/>
      <c r="AA308" s="754"/>
      <c r="AB308" s="754"/>
      <c r="AC308" s="754"/>
      <c r="AD308" s="754"/>
    </row>
    <row r="309" spans="1:35" ht="60" customHeight="1">
      <c r="A309" s="96"/>
      <c r="B309" s="90"/>
      <c r="C309" s="851"/>
      <c r="D309" s="851"/>
      <c r="E309" s="851"/>
      <c r="F309" s="851"/>
      <c r="G309" s="851"/>
      <c r="H309" s="851"/>
      <c r="I309" s="851"/>
      <c r="J309" s="851"/>
      <c r="K309" s="851"/>
      <c r="L309" s="851"/>
      <c r="M309" s="851"/>
      <c r="N309" s="851"/>
      <c r="O309" s="851"/>
      <c r="P309" s="851"/>
      <c r="Q309" s="851"/>
      <c r="R309" s="851"/>
      <c r="S309" s="851"/>
      <c r="T309" s="851"/>
      <c r="U309" s="851"/>
      <c r="V309" s="851"/>
      <c r="W309" s="851"/>
      <c r="X309" s="851"/>
      <c r="Y309" s="851"/>
      <c r="Z309" s="851"/>
      <c r="AA309" s="851"/>
      <c r="AB309" s="851"/>
      <c r="AC309" s="851"/>
      <c r="AD309" s="851"/>
    </row>
    <row r="310" spans="1:35" ht="15" customHeight="1">
      <c r="A310" s="96"/>
      <c r="B310" s="794" t="str">
        <f>IF(AG305&gt;0,"Favor de ingresar toda la información requerida en la pregunta y/o verifique que no tenga información en celdas sombreadas","")</f>
        <v/>
      </c>
      <c r="C310" s="794"/>
      <c r="D310" s="794"/>
      <c r="E310" s="794"/>
      <c r="F310" s="794"/>
      <c r="G310" s="794"/>
      <c r="H310" s="794"/>
      <c r="I310" s="794"/>
      <c r="J310" s="794"/>
      <c r="K310" s="794"/>
      <c r="L310" s="794"/>
      <c r="M310" s="794"/>
      <c r="N310" s="794"/>
      <c r="O310" s="794"/>
      <c r="P310" s="794"/>
      <c r="Q310" s="794"/>
      <c r="R310" s="794"/>
      <c r="S310" s="794"/>
      <c r="T310" s="794"/>
      <c r="U310" s="794"/>
      <c r="V310" s="794"/>
      <c r="W310" s="794"/>
      <c r="X310" s="794"/>
      <c r="Y310" s="794"/>
      <c r="Z310" s="794"/>
      <c r="AA310" s="794"/>
      <c r="AB310" s="794"/>
      <c r="AC310" s="794"/>
      <c r="AD310" s="794"/>
    </row>
    <row r="311" spans="1:35" ht="15" customHeight="1">
      <c r="A311" s="96"/>
      <c r="B311" s="90"/>
      <c r="C311" s="90"/>
      <c r="D311" s="90"/>
      <c r="E311" s="90"/>
      <c r="F311" s="90"/>
      <c r="G311" s="90"/>
      <c r="H311" s="90"/>
      <c r="I311" s="90"/>
      <c r="J311" s="90"/>
      <c r="K311" s="90"/>
      <c r="L311" s="90"/>
      <c r="M311" s="90"/>
      <c r="N311" s="90"/>
      <c r="O311" s="90"/>
      <c r="P311" s="90"/>
      <c r="Q311" s="90"/>
      <c r="R311" s="90"/>
      <c r="S311" s="90"/>
      <c r="T311" s="90"/>
      <c r="U311" s="90"/>
      <c r="V311" s="90"/>
      <c r="W311" s="90"/>
      <c r="X311" s="90"/>
      <c r="Y311" s="90"/>
      <c r="Z311" s="90"/>
      <c r="AA311" s="90"/>
      <c r="AB311" s="90"/>
      <c r="AC311" s="90"/>
      <c r="AD311" s="90"/>
    </row>
    <row r="312" spans="1:35" ht="15" customHeight="1">
      <c r="A312" s="96"/>
      <c r="B312" s="90"/>
      <c r="C312" s="90"/>
      <c r="D312" s="90"/>
      <c r="E312" s="90"/>
      <c r="F312" s="90"/>
      <c r="G312" s="90"/>
      <c r="H312" s="90"/>
      <c r="I312" s="90"/>
      <c r="J312" s="90"/>
      <c r="K312" s="90"/>
      <c r="L312" s="90"/>
      <c r="M312" s="90"/>
      <c r="N312" s="90"/>
      <c r="O312" s="90"/>
      <c r="P312" s="90"/>
      <c r="Q312" s="90"/>
      <c r="R312" s="90"/>
      <c r="S312" s="90"/>
      <c r="T312" s="90"/>
      <c r="U312" s="90"/>
      <c r="V312" s="90"/>
      <c r="W312" s="90"/>
      <c r="X312" s="90"/>
      <c r="Y312" s="90"/>
      <c r="Z312" s="90"/>
      <c r="AA312" s="90"/>
      <c r="AB312" s="90"/>
      <c r="AC312" s="90"/>
      <c r="AD312" s="90"/>
    </row>
    <row r="313" spans="1:35" ht="15" customHeight="1">
      <c r="A313" s="96"/>
      <c r="B313" s="90"/>
      <c r="C313" s="90"/>
      <c r="D313" s="90"/>
      <c r="E313" s="90"/>
      <c r="F313" s="90"/>
      <c r="G313" s="90"/>
      <c r="H313" s="90"/>
      <c r="I313" s="90"/>
      <c r="J313" s="90"/>
      <c r="K313" s="90"/>
      <c r="L313" s="90"/>
      <c r="M313" s="90"/>
      <c r="N313" s="90"/>
      <c r="O313" s="90"/>
      <c r="P313" s="90"/>
      <c r="Q313" s="90"/>
      <c r="R313" s="90"/>
      <c r="S313" s="90"/>
      <c r="T313" s="90"/>
      <c r="U313" s="90"/>
      <c r="V313" s="90"/>
      <c r="W313" s="90"/>
      <c r="X313" s="90"/>
      <c r="Y313" s="90"/>
      <c r="Z313" s="90"/>
      <c r="AA313" s="90"/>
      <c r="AB313" s="90"/>
      <c r="AC313" s="90"/>
      <c r="AD313" s="90"/>
    </row>
    <row r="314" spans="1:35" ht="15" customHeight="1">
      <c r="A314" s="96"/>
      <c r="B314" s="90"/>
      <c r="C314" s="90"/>
      <c r="D314" s="90"/>
      <c r="E314" s="90"/>
      <c r="F314" s="90"/>
      <c r="G314" s="90"/>
      <c r="H314" s="90"/>
      <c r="I314" s="90"/>
      <c r="J314" s="90"/>
      <c r="K314" s="90"/>
      <c r="L314" s="90"/>
      <c r="M314" s="90"/>
      <c r="N314" s="90"/>
      <c r="O314" s="90"/>
      <c r="P314" s="90"/>
      <c r="Q314" s="90"/>
      <c r="R314" s="90"/>
      <c r="S314" s="90"/>
      <c r="T314" s="90"/>
      <c r="U314" s="90"/>
      <c r="V314" s="90"/>
      <c r="W314" s="90"/>
      <c r="X314" s="90"/>
      <c r="Y314" s="90"/>
      <c r="Z314" s="90"/>
      <c r="AA314" s="90"/>
      <c r="AB314" s="90"/>
      <c r="AC314" s="90"/>
      <c r="AD314" s="90"/>
    </row>
    <row r="315" spans="1:35" ht="15" customHeight="1" thickBot="1">
      <c r="A315" s="103"/>
      <c r="B315" s="57"/>
      <c r="C315" s="57"/>
      <c r="D315" s="57"/>
      <c r="E315" s="57"/>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row>
    <row r="316" spans="1:35" customFormat="1" ht="15" customHeight="1" thickBot="1">
      <c r="A316" s="153" t="s">
        <v>2563</v>
      </c>
      <c r="B316" s="831" t="s">
        <v>2814</v>
      </c>
      <c r="C316" s="832"/>
      <c r="D316" s="832"/>
      <c r="E316" s="832"/>
      <c r="F316" s="832"/>
      <c r="G316" s="832"/>
      <c r="H316" s="832"/>
      <c r="I316" s="832"/>
      <c r="J316" s="832"/>
      <c r="K316" s="832"/>
      <c r="L316" s="832"/>
      <c r="M316" s="832"/>
      <c r="N316" s="832"/>
      <c r="O316" s="832"/>
      <c r="P316" s="832"/>
      <c r="Q316" s="832"/>
      <c r="R316" s="832"/>
      <c r="S316" s="832"/>
      <c r="T316" s="832"/>
      <c r="U316" s="832"/>
      <c r="V316" s="832"/>
      <c r="W316" s="832"/>
      <c r="X316" s="832"/>
      <c r="Y316" s="832"/>
      <c r="Z316" s="832"/>
      <c r="AA316" s="832"/>
      <c r="AB316" s="832"/>
      <c r="AC316" s="832"/>
      <c r="AD316" s="833"/>
    </row>
    <row r="317" spans="1:35" ht="15" customHeight="1">
      <c r="A317" s="94"/>
      <c r="B317" s="852" t="s">
        <v>2565</v>
      </c>
      <c r="C317" s="853"/>
      <c r="D317" s="853"/>
      <c r="E317" s="853"/>
      <c r="F317" s="853"/>
      <c r="G317" s="853"/>
      <c r="H317" s="853"/>
      <c r="I317" s="853"/>
      <c r="J317" s="853"/>
      <c r="K317" s="853"/>
      <c r="L317" s="853"/>
      <c r="M317" s="853"/>
      <c r="N317" s="853"/>
      <c r="O317" s="853"/>
      <c r="P317" s="853"/>
      <c r="Q317" s="853"/>
      <c r="R317" s="853"/>
      <c r="S317" s="853"/>
      <c r="T317" s="853"/>
      <c r="U317" s="853"/>
      <c r="V317" s="853"/>
      <c r="W317" s="853"/>
      <c r="X317" s="853"/>
      <c r="Y317" s="853"/>
      <c r="Z317" s="853"/>
      <c r="AA317" s="853"/>
      <c r="AB317" s="853"/>
      <c r="AC317" s="853"/>
      <c r="AD317" s="854"/>
    </row>
    <row r="318" spans="1:35" ht="24" customHeight="1">
      <c r="A318" s="94"/>
      <c r="B318" s="95"/>
      <c r="C318" s="764" t="s">
        <v>2815</v>
      </c>
      <c r="D318" s="876"/>
      <c r="E318" s="876"/>
      <c r="F318" s="876"/>
      <c r="G318" s="876"/>
      <c r="H318" s="876"/>
      <c r="I318" s="876"/>
      <c r="J318" s="876"/>
      <c r="K318" s="876"/>
      <c r="L318" s="876"/>
      <c r="M318" s="876"/>
      <c r="N318" s="876"/>
      <c r="O318" s="876"/>
      <c r="P318" s="876"/>
      <c r="Q318" s="876"/>
      <c r="R318" s="876"/>
      <c r="S318" s="876"/>
      <c r="T318" s="876"/>
      <c r="U318" s="876"/>
      <c r="V318" s="876"/>
      <c r="W318" s="876"/>
      <c r="X318" s="876"/>
      <c r="Y318" s="876"/>
      <c r="Z318" s="876"/>
      <c r="AA318" s="876"/>
      <c r="AB318" s="876"/>
      <c r="AC318" s="876"/>
      <c r="AD318" s="877"/>
    </row>
    <row r="319" spans="1:35">
      <c r="A319" s="94"/>
    </row>
    <row r="320" spans="1:35" ht="36" customHeight="1">
      <c r="A320" s="49" t="s">
        <v>2816</v>
      </c>
      <c r="B320" s="829" t="s">
        <v>2817</v>
      </c>
      <c r="C320" s="829"/>
      <c r="D320" s="829"/>
      <c r="E320" s="829"/>
      <c r="F320" s="829"/>
      <c r="G320" s="829"/>
      <c r="H320" s="829"/>
      <c r="I320" s="829"/>
      <c r="J320" s="829"/>
      <c r="K320" s="829"/>
      <c r="L320" s="829"/>
      <c r="M320" s="829"/>
      <c r="N320" s="829"/>
      <c r="O320" s="829"/>
      <c r="P320" s="829"/>
      <c r="Q320" s="829"/>
      <c r="R320" s="829"/>
      <c r="S320" s="829"/>
      <c r="T320" s="829"/>
      <c r="U320" s="829"/>
      <c r="V320" s="829"/>
      <c r="W320" s="829"/>
      <c r="X320" s="829"/>
      <c r="Y320" s="829"/>
      <c r="Z320" s="829"/>
      <c r="AA320" s="829"/>
      <c r="AB320" s="829"/>
      <c r="AC320" s="829"/>
      <c r="AD320" s="829"/>
    </row>
    <row r="321" spans="1:36" ht="24" customHeight="1">
      <c r="A321" s="49"/>
      <c r="B321" s="57"/>
      <c r="C321" s="830" t="s">
        <v>2818</v>
      </c>
      <c r="D321" s="830"/>
      <c r="E321" s="830"/>
      <c r="F321" s="830"/>
      <c r="G321" s="830"/>
      <c r="H321" s="830"/>
      <c r="I321" s="830"/>
      <c r="J321" s="830"/>
      <c r="K321" s="830"/>
      <c r="L321" s="830"/>
      <c r="M321" s="830"/>
      <c r="N321" s="830"/>
      <c r="O321" s="830"/>
      <c r="P321" s="830"/>
      <c r="Q321" s="830"/>
      <c r="R321" s="830"/>
      <c r="S321" s="830"/>
      <c r="T321" s="830"/>
      <c r="U321" s="830"/>
      <c r="V321" s="830"/>
      <c r="W321" s="830"/>
      <c r="X321" s="830"/>
      <c r="Y321" s="830"/>
      <c r="Z321" s="830"/>
      <c r="AA321" s="830"/>
      <c r="AB321" s="830"/>
      <c r="AC321" s="830"/>
      <c r="AD321" s="830"/>
    </row>
    <row r="322" spans="1:36" ht="24" customHeight="1">
      <c r="A322" s="49"/>
      <c r="B322" s="57"/>
      <c r="C322" s="830" t="s">
        <v>2819</v>
      </c>
      <c r="D322" s="830"/>
      <c r="E322" s="830"/>
      <c r="F322" s="830"/>
      <c r="G322" s="830"/>
      <c r="H322" s="830"/>
      <c r="I322" s="830"/>
      <c r="J322" s="830"/>
      <c r="K322" s="830"/>
      <c r="L322" s="830"/>
      <c r="M322" s="830"/>
      <c r="N322" s="830"/>
      <c r="O322" s="830"/>
      <c r="P322" s="830"/>
      <c r="Q322" s="830"/>
      <c r="R322" s="830"/>
      <c r="S322" s="830"/>
      <c r="T322" s="830"/>
      <c r="U322" s="830"/>
      <c r="V322" s="830"/>
      <c r="W322" s="830"/>
      <c r="X322" s="830"/>
      <c r="Y322" s="830"/>
      <c r="Z322" s="830"/>
      <c r="AA322" s="830"/>
      <c r="AB322" s="830"/>
      <c r="AC322" s="830"/>
      <c r="AD322" s="830"/>
    </row>
    <row r="323" spans="1:36" ht="36" customHeight="1">
      <c r="A323" s="49"/>
      <c r="B323" s="57"/>
      <c r="C323" s="830" t="s">
        <v>2820</v>
      </c>
      <c r="D323" s="830"/>
      <c r="E323" s="830"/>
      <c r="F323" s="830"/>
      <c r="G323" s="830"/>
      <c r="H323" s="830"/>
      <c r="I323" s="830"/>
      <c r="J323" s="830"/>
      <c r="K323" s="830"/>
      <c r="L323" s="830"/>
      <c r="M323" s="830"/>
      <c r="N323" s="830"/>
      <c r="O323" s="830"/>
      <c r="P323" s="830"/>
      <c r="Q323" s="830"/>
      <c r="R323" s="830"/>
      <c r="S323" s="830"/>
      <c r="T323" s="830"/>
      <c r="U323" s="830"/>
      <c r="V323" s="830"/>
      <c r="W323" s="830"/>
      <c r="X323" s="830"/>
      <c r="Y323" s="830"/>
      <c r="Z323" s="830"/>
      <c r="AA323" s="830"/>
      <c r="AB323" s="830"/>
      <c r="AC323" s="830"/>
      <c r="AD323" s="830"/>
    </row>
    <row r="324" spans="1:36" ht="36" customHeight="1">
      <c r="A324" s="50"/>
      <c r="B324" s="57"/>
      <c r="C324" s="830" t="s">
        <v>2821</v>
      </c>
      <c r="D324" s="830"/>
      <c r="E324" s="830"/>
      <c r="F324" s="830"/>
      <c r="G324" s="830"/>
      <c r="H324" s="830"/>
      <c r="I324" s="830"/>
      <c r="J324" s="830"/>
      <c r="K324" s="830"/>
      <c r="L324" s="830"/>
      <c r="M324" s="830"/>
      <c r="N324" s="830"/>
      <c r="O324" s="830"/>
      <c r="P324" s="830"/>
      <c r="Q324" s="830"/>
      <c r="R324" s="830"/>
      <c r="S324" s="830"/>
      <c r="T324" s="830"/>
      <c r="U324" s="830"/>
      <c r="V324" s="830"/>
      <c r="W324" s="830"/>
      <c r="X324" s="830"/>
      <c r="Y324" s="830"/>
      <c r="Z324" s="830"/>
      <c r="AA324" s="830"/>
      <c r="AB324" s="830"/>
      <c r="AC324" s="830"/>
      <c r="AD324" s="830"/>
    </row>
    <row r="325" spans="1:36" ht="24" customHeight="1">
      <c r="A325" s="50"/>
      <c r="B325" s="57"/>
      <c r="C325" s="830" t="s">
        <v>2822</v>
      </c>
      <c r="D325" s="830"/>
      <c r="E325" s="830"/>
      <c r="F325" s="830"/>
      <c r="G325" s="830"/>
      <c r="H325" s="830"/>
      <c r="I325" s="830"/>
      <c r="J325" s="830"/>
      <c r="K325" s="830"/>
      <c r="L325" s="830"/>
      <c r="M325" s="830"/>
      <c r="N325" s="830"/>
      <c r="O325" s="830"/>
      <c r="P325" s="830"/>
      <c r="Q325" s="830"/>
      <c r="R325" s="830"/>
      <c r="S325" s="830"/>
      <c r="T325" s="830"/>
      <c r="U325" s="830"/>
      <c r="V325" s="830"/>
      <c r="W325" s="830"/>
      <c r="X325" s="830"/>
      <c r="Y325" s="830"/>
      <c r="Z325" s="830"/>
      <c r="AA325" s="830"/>
      <c r="AB325" s="830"/>
      <c r="AC325" s="830"/>
      <c r="AD325" s="830"/>
    </row>
    <row r="326" spans="1:36" ht="24" customHeight="1">
      <c r="A326" s="50"/>
      <c r="B326" s="57"/>
      <c r="C326" s="830" t="s">
        <v>2823</v>
      </c>
      <c r="D326" s="830"/>
      <c r="E326" s="830"/>
      <c r="F326" s="830"/>
      <c r="G326" s="830"/>
      <c r="H326" s="830"/>
      <c r="I326" s="830"/>
      <c r="J326" s="830"/>
      <c r="K326" s="830"/>
      <c r="L326" s="830"/>
      <c r="M326" s="830"/>
      <c r="N326" s="830"/>
      <c r="O326" s="830"/>
      <c r="P326" s="830"/>
      <c r="Q326" s="830"/>
      <c r="R326" s="830"/>
      <c r="S326" s="830"/>
      <c r="T326" s="830"/>
      <c r="U326" s="830"/>
      <c r="V326" s="830"/>
      <c r="W326" s="830"/>
      <c r="X326" s="830"/>
      <c r="Y326" s="830"/>
      <c r="Z326" s="830"/>
      <c r="AA326" s="830"/>
      <c r="AB326" s="830"/>
      <c r="AC326" s="830"/>
      <c r="AD326" s="830"/>
    </row>
    <row r="327" spans="1:36" ht="24" customHeight="1">
      <c r="A327" s="49"/>
      <c r="B327" s="38"/>
      <c r="C327" s="830" t="s">
        <v>2824</v>
      </c>
      <c r="D327" s="830"/>
      <c r="E327" s="830"/>
      <c r="F327" s="830"/>
      <c r="G327" s="830"/>
      <c r="H327" s="830"/>
      <c r="I327" s="830"/>
      <c r="J327" s="830"/>
      <c r="K327" s="830"/>
      <c r="L327" s="830"/>
      <c r="M327" s="830"/>
      <c r="N327" s="830"/>
      <c r="O327" s="830"/>
      <c r="P327" s="830"/>
      <c r="Q327" s="830"/>
      <c r="R327" s="830"/>
      <c r="S327" s="830"/>
      <c r="T327" s="830"/>
      <c r="U327" s="830"/>
      <c r="V327" s="830"/>
      <c r="W327" s="830"/>
      <c r="X327" s="830"/>
      <c r="Y327" s="830"/>
      <c r="Z327" s="830"/>
      <c r="AA327" s="830"/>
      <c r="AB327" s="830"/>
      <c r="AC327" s="830"/>
      <c r="AD327" s="830"/>
    </row>
    <row r="328" spans="1:36" ht="24" customHeight="1">
      <c r="A328" s="50"/>
      <c r="B328" s="38"/>
      <c r="C328" s="830" t="s">
        <v>2825</v>
      </c>
      <c r="D328" s="830"/>
      <c r="E328" s="830"/>
      <c r="F328" s="830"/>
      <c r="G328" s="830"/>
      <c r="H328" s="830"/>
      <c r="I328" s="830"/>
      <c r="J328" s="830"/>
      <c r="K328" s="830"/>
      <c r="L328" s="830"/>
      <c r="M328" s="830"/>
      <c r="N328" s="830"/>
      <c r="O328" s="830"/>
      <c r="P328" s="830"/>
      <c r="Q328" s="830"/>
      <c r="R328" s="830"/>
      <c r="S328" s="830"/>
      <c r="T328" s="830"/>
      <c r="U328" s="830"/>
      <c r="V328" s="830"/>
      <c r="W328" s="830"/>
      <c r="X328" s="830"/>
      <c r="Y328" s="830"/>
      <c r="Z328" s="830"/>
      <c r="AA328" s="830"/>
      <c r="AB328" s="830"/>
      <c r="AC328" s="830"/>
      <c r="AD328" s="830"/>
    </row>
    <row r="329" spans="1:36" ht="36" customHeight="1">
      <c r="A329" s="50"/>
      <c r="B329" s="38"/>
      <c r="C329" s="830" t="s">
        <v>2826</v>
      </c>
      <c r="D329" s="830"/>
      <c r="E329" s="830"/>
      <c r="F329" s="830"/>
      <c r="G329" s="830"/>
      <c r="H329" s="830"/>
      <c r="I329" s="830"/>
      <c r="J329" s="830"/>
      <c r="K329" s="830"/>
      <c r="L329" s="830"/>
      <c r="M329" s="830"/>
      <c r="N329" s="830"/>
      <c r="O329" s="830"/>
      <c r="P329" s="830"/>
      <c r="Q329" s="830"/>
      <c r="R329" s="830"/>
      <c r="S329" s="830"/>
      <c r="T329" s="830"/>
      <c r="U329" s="830"/>
      <c r="V329" s="830"/>
      <c r="W329" s="830"/>
      <c r="X329" s="830"/>
      <c r="Y329" s="830"/>
      <c r="Z329" s="830"/>
      <c r="AA329" s="830"/>
      <c r="AB329" s="830"/>
      <c r="AC329" s="830"/>
      <c r="AD329" s="830"/>
    </row>
    <row r="330" spans="1:36">
      <c r="A330" s="49"/>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c r="AA330" s="38"/>
      <c r="AB330" s="38"/>
      <c r="AC330" s="38"/>
      <c r="AD330" s="38"/>
    </row>
    <row r="331" spans="1:36" ht="48" customHeight="1">
      <c r="A331" s="50"/>
      <c r="B331" s="38"/>
      <c r="C331" s="797" t="s">
        <v>2581</v>
      </c>
      <c r="D331" s="798"/>
      <c r="E331" s="798"/>
      <c r="F331" s="798"/>
      <c r="G331" s="798"/>
      <c r="H331" s="798"/>
      <c r="I331" s="799"/>
      <c r="J331" s="818" t="s">
        <v>2827</v>
      </c>
      <c r="K331" s="819"/>
      <c r="L331" s="819"/>
      <c r="M331" s="819"/>
      <c r="N331" s="819"/>
      <c r="O331" s="820"/>
      <c r="P331" s="739" t="s">
        <v>2828</v>
      </c>
      <c r="Q331" s="740"/>
      <c r="R331" s="740"/>
      <c r="S331" s="740"/>
      <c r="T331" s="740"/>
      <c r="U331" s="740"/>
      <c r="V331" s="740"/>
      <c r="W331" s="740"/>
      <c r="X331" s="740"/>
      <c r="Y331" s="740"/>
      <c r="Z331" s="740"/>
      <c r="AA331" s="740"/>
      <c r="AB331" s="740"/>
      <c r="AC331" s="740"/>
      <c r="AD331" s="741"/>
    </row>
    <row r="332" spans="1:36">
      <c r="A332" s="50"/>
      <c r="B332" s="38"/>
      <c r="C332" s="800"/>
      <c r="D332" s="801"/>
      <c r="E332" s="801"/>
      <c r="F332" s="801"/>
      <c r="G332" s="801"/>
      <c r="H332" s="801"/>
      <c r="I332" s="802"/>
      <c r="J332" s="821"/>
      <c r="K332" s="822"/>
      <c r="L332" s="822"/>
      <c r="M332" s="822"/>
      <c r="N332" s="822"/>
      <c r="O332" s="823"/>
      <c r="P332" s="827" t="s">
        <v>2516</v>
      </c>
      <c r="Q332" s="827" t="s">
        <v>2517</v>
      </c>
      <c r="R332" s="827" t="s">
        <v>2518</v>
      </c>
      <c r="S332" s="827" t="s">
        <v>2519</v>
      </c>
      <c r="T332" s="733" t="s">
        <v>2520</v>
      </c>
      <c r="U332" s="735"/>
      <c r="V332" s="733" t="s">
        <v>2521</v>
      </c>
      <c r="W332" s="734"/>
      <c r="X332" s="734"/>
      <c r="Y332" s="735"/>
      <c r="Z332" s="828" t="s">
        <v>2522</v>
      </c>
      <c r="AA332" s="827" t="s">
        <v>2523</v>
      </c>
      <c r="AB332" s="827" t="s">
        <v>2524</v>
      </c>
      <c r="AC332" s="827" t="s">
        <v>2525</v>
      </c>
      <c r="AD332" s="827" t="s">
        <v>2526</v>
      </c>
    </row>
    <row r="333" spans="1:36">
      <c r="A333" s="50"/>
      <c r="B333" s="38"/>
      <c r="C333" s="803"/>
      <c r="D333" s="804"/>
      <c r="E333" s="804"/>
      <c r="F333" s="804"/>
      <c r="G333" s="804"/>
      <c r="H333" s="804"/>
      <c r="I333" s="805"/>
      <c r="J333" s="824"/>
      <c r="K333" s="825"/>
      <c r="L333" s="825"/>
      <c r="M333" s="825"/>
      <c r="N333" s="825"/>
      <c r="O333" s="826"/>
      <c r="P333" s="828"/>
      <c r="Q333" s="828"/>
      <c r="R333" s="828"/>
      <c r="S333" s="828"/>
      <c r="T333" s="44" t="s">
        <v>2829</v>
      </c>
      <c r="U333" s="44" t="s">
        <v>2830</v>
      </c>
      <c r="V333" s="43" t="s">
        <v>2831</v>
      </c>
      <c r="W333" s="43" t="s">
        <v>2832</v>
      </c>
      <c r="X333" s="43" t="s">
        <v>2833</v>
      </c>
      <c r="Y333" s="43" t="s">
        <v>2834</v>
      </c>
      <c r="Z333" s="736"/>
      <c r="AA333" s="828"/>
      <c r="AB333" s="828"/>
      <c r="AC333" s="828"/>
      <c r="AD333" s="828"/>
      <c r="AG333" s="247" t="s">
        <v>2586</v>
      </c>
      <c r="AH333" s="300" t="s">
        <v>2835</v>
      </c>
      <c r="AI333" s="301" t="s">
        <v>2836</v>
      </c>
      <c r="AJ333" s="258" t="s">
        <v>2620</v>
      </c>
    </row>
    <row r="334" spans="1:36">
      <c r="A334" s="50"/>
      <c r="B334" s="38"/>
      <c r="C334" s="97" t="s">
        <v>2516</v>
      </c>
      <c r="D334" s="796" t="str">
        <f>IF(CNSIPEE_2024_M2_Secc1!D42="","",CNSIPEE_2024_M2_Secc1!D42)</f>
        <v/>
      </c>
      <c r="E334" s="796"/>
      <c r="F334" s="796"/>
      <c r="G334" s="796"/>
      <c r="H334" s="796"/>
      <c r="I334" s="796"/>
      <c r="J334" s="749"/>
      <c r="K334" s="749"/>
      <c r="L334" s="749"/>
      <c r="M334" s="749"/>
      <c r="N334" s="749"/>
      <c r="O334" s="749"/>
      <c r="P334" s="88"/>
      <c r="Q334" s="88"/>
      <c r="R334" s="88"/>
      <c r="S334" s="88"/>
      <c r="T334" s="88"/>
      <c r="U334" s="88"/>
      <c r="V334" s="88"/>
      <c r="W334" s="88"/>
      <c r="X334" s="88"/>
      <c r="Y334" s="88"/>
      <c r="Z334" s="88"/>
      <c r="AA334" s="88"/>
      <c r="AB334" s="88"/>
      <c r="AC334" s="88"/>
      <c r="AD334" s="88"/>
      <c r="AG334" s="249">
        <f>IF(AND(COUNTBLANK(D334)=0,$J334&lt;&gt;"",$J334&lt;&gt;1,COUNTA(P334:AD334)=0),0,IF(AND(COUNTBLANK(D334)=0,$J334&lt;&gt;"",$J334=1,COUNTA(P334:AD334)&gt;0),0,IF(AND(COUNTBLANK(D334)=1,COUNTA(P334:AD334)=0),0,1)))</f>
        <v>0</v>
      </c>
      <c r="AH334" s="253">
        <f>IF(COUNTIF(Y334:Y341,"X")&gt;0,1,0)</f>
        <v>0</v>
      </c>
      <c r="AI334" s="253">
        <f>IF(COUNTIF(AD334:AD341,"X")&gt;0,1,0)</f>
        <v>0</v>
      </c>
      <c r="AJ334" s="253">
        <f>IF(AND($J334&lt;&gt;"",$J334&lt;&gt;1,COUNTA(P334:AD334)&gt;0),1,0)</f>
        <v>0</v>
      </c>
    </row>
    <row r="335" spans="1:36">
      <c r="A335" s="50"/>
      <c r="B335" s="38"/>
      <c r="C335" s="143" t="s">
        <v>2517</v>
      </c>
      <c r="D335" s="796" t="str">
        <f>IF(CNSIPEE_2024_M2_Secc1!D43="","",CNSIPEE_2024_M2_Secc1!D43)</f>
        <v/>
      </c>
      <c r="E335" s="796"/>
      <c r="F335" s="796"/>
      <c r="G335" s="796"/>
      <c r="H335" s="796"/>
      <c r="I335" s="796"/>
      <c r="J335" s="749"/>
      <c r="K335" s="749"/>
      <c r="L335" s="749"/>
      <c r="M335" s="749"/>
      <c r="N335" s="749"/>
      <c r="O335" s="749"/>
      <c r="P335" s="88"/>
      <c r="Q335" s="88"/>
      <c r="R335" s="88"/>
      <c r="S335" s="88"/>
      <c r="T335" s="88"/>
      <c r="U335" s="88"/>
      <c r="V335" s="88"/>
      <c r="W335" s="88"/>
      <c r="X335" s="88"/>
      <c r="Y335" s="88"/>
      <c r="Z335" s="88"/>
      <c r="AA335" s="88"/>
      <c r="AB335" s="88"/>
      <c r="AC335" s="88"/>
      <c r="AD335" s="88"/>
      <c r="AG335" s="249">
        <f t="shared" ref="AG335:AG341" si="139">IF(AND(COUNTBLANK(D335)=0,$J335&lt;&gt;"",$J335&lt;&gt;1,COUNTA(P335:AD335)=0),0,IF(AND(COUNTBLANK(D335)=0,$J335&lt;&gt;"",$J335=1,COUNTA(P335:AD335)&gt;0),0,IF(AND(COUNTBLANK(D335)=1,COUNTA(P335:AD335)=0),0,1)))</f>
        <v>0</v>
      </c>
      <c r="AJ335" s="253">
        <f t="shared" ref="AJ335:AJ341" si="140">IF(AND($J335&lt;&gt;"",$J335&lt;&gt;1,COUNTA(P335:AD335)&gt;0),1,0)</f>
        <v>0</v>
      </c>
    </row>
    <row r="336" spans="1:36">
      <c r="A336" s="50"/>
      <c r="B336" s="38"/>
      <c r="C336" s="143" t="s">
        <v>2518</v>
      </c>
      <c r="D336" s="796" t="str">
        <f>IF(CNSIPEE_2024_M2_Secc1!D44="","",CNSIPEE_2024_M2_Secc1!D44)</f>
        <v/>
      </c>
      <c r="E336" s="796"/>
      <c r="F336" s="796"/>
      <c r="G336" s="796"/>
      <c r="H336" s="796"/>
      <c r="I336" s="796"/>
      <c r="J336" s="749"/>
      <c r="K336" s="749"/>
      <c r="L336" s="749"/>
      <c r="M336" s="749"/>
      <c r="N336" s="749"/>
      <c r="O336" s="749"/>
      <c r="P336" s="88"/>
      <c r="Q336" s="88"/>
      <c r="R336" s="88"/>
      <c r="S336" s="88"/>
      <c r="T336" s="88"/>
      <c r="U336" s="88"/>
      <c r="V336" s="88"/>
      <c r="W336" s="88"/>
      <c r="X336" s="88"/>
      <c r="Y336" s="88"/>
      <c r="Z336" s="88"/>
      <c r="AA336" s="88"/>
      <c r="AB336" s="88"/>
      <c r="AC336" s="88"/>
      <c r="AD336" s="88"/>
      <c r="AG336" s="249">
        <f t="shared" si="139"/>
        <v>0</v>
      </c>
      <c r="AJ336" s="253">
        <f t="shared" si="140"/>
        <v>0</v>
      </c>
    </row>
    <row r="337" spans="1:36">
      <c r="A337" s="50"/>
      <c r="B337" s="38"/>
      <c r="C337" s="143" t="s">
        <v>2519</v>
      </c>
      <c r="D337" s="796" t="str">
        <f>IF(CNSIPEE_2024_M2_Secc1!D45="","",CNSIPEE_2024_M2_Secc1!D45)</f>
        <v/>
      </c>
      <c r="E337" s="796"/>
      <c r="F337" s="796"/>
      <c r="G337" s="796"/>
      <c r="H337" s="796"/>
      <c r="I337" s="796"/>
      <c r="J337" s="749"/>
      <c r="K337" s="749"/>
      <c r="L337" s="749"/>
      <c r="M337" s="749"/>
      <c r="N337" s="749"/>
      <c r="O337" s="749"/>
      <c r="P337" s="88"/>
      <c r="Q337" s="88"/>
      <c r="R337" s="88"/>
      <c r="S337" s="88"/>
      <c r="T337" s="88"/>
      <c r="U337" s="88"/>
      <c r="V337" s="88"/>
      <c r="W337" s="88"/>
      <c r="X337" s="88"/>
      <c r="Y337" s="88"/>
      <c r="Z337" s="88"/>
      <c r="AA337" s="88"/>
      <c r="AB337" s="88"/>
      <c r="AC337" s="88"/>
      <c r="AD337" s="88"/>
      <c r="AG337" s="249">
        <f t="shared" si="139"/>
        <v>0</v>
      </c>
      <c r="AJ337" s="253">
        <f t="shared" si="140"/>
        <v>0</v>
      </c>
    </row>
    <row r="338" spans="1:36">
      <c r="A338" s="50"/>
      <c r="B338" s="38"/>
      <c r="C338" s="143" t="s">
        <v>2520</v>
      </c>
      <c r="D338" s="796" t="str">
        <f>IF(CNSIPEE_2024_M2_Secc1!D46="","",CNSIPEE_2024_M2_Secc1!D46)</f>
        <v/>
      </c>
      <c r="E338" s="796"/>
      <c r="F338" s="796"/>
      <c r="G338" s="796"/>
      <c r="H338" s="796"/>
      <c r="I338" s="796"/>
      <c r="J338" s="749"/>
      <c r="K338" s="749"/>
      <c r="L338" s="749"/>
      <c r="M338" s="749"/>
      <c r="N338" s="749"/>
      <c r="O338" s="749"/>
      <c r="P338" s="88"/>
      <c r="Q338" s="88"/>
      <c r="R338" s="88"/>
      <c r="S338" s="88"/>
      <c r="T338" s="88"/>
      <c r="U338" s="88"/>
      <c r="V338" s="88"/>
      <c r="W338" s="88"/>
      <c r="X338" s="88"/>
      <c r="Y338" s="88"/>
      <c r="Z338" s="88"/>
      <c r="AA338" s="88"/>
      <c r="AB338" s="88"/>
      <c r="AC338" s="88"/>
      <c r="AD338" s="88"/>
      <c r="AG338" s="249">
        <f t="shared" si="139"/>
        <v>0</v>
      </c>
      <c r="AJ338" s="253">
        <f t="shared" si="140"/>
        <v>0</v>
      </c>
    </row>
    <row r="339" spans="1:36">
      <c r="A339" s="50"/>
      <c r="B339" s="38"/>
      <c r="C339" s="143" t="s">
        <v>2521</v>
      </c>
      <c r="D339" s="796" t="str">
        <f>IF(CNSIPEE_2024_M2_Secc1!D47="","",CNSIPEE_2024_M2_Secc1!D47)</f>
        <v/>
      </c>
      <c r="E339" s="796"/>
      <c r="F339" s="796"/>
      <c r="G339" s="796"/>
      <c r="H339" s="796"/>
      <c r="I339" s="796"/>
      <c r="J339" s="749"/>
      <c r="K339" s="749"/>
      <c r="L339" s="749"/>
      <c r="M339" s="749"/>
      <c r="N339" s="749"/>
      <c r="O339" s="749"/>
      <c r="P339" s="88"/>
      <c r="Q339" s="88"/>
      <c r="R339" s="88"/>
      <c r="S339" s="88"/>
      <c r="T339" s="88"/>
      <c r="U339" s="88"/>
      <c r="V339" s="88"/>
      <c r="W339" s="88"/>
      <c r="X339" s="88"/>
      <c r="Y339" s="88"/>
      <c r="Z339" s="88"/>
      <c r="AA339" s="88"/>
      <c r="AB339" s="88"/>
      <c r="AC339" s="88"/>
      <c r="AD339" s="88"/>
      <c r="AG339" s="249">
        <f t="shared" si="139"/>
        <v>0</v>
      </c>
      <c r="AJ339" s="253">
        <f t="shared" si="140"/>
        <v>0</v>
      </c>
    </row>
    <row r="340" spans="1:36">
      <c r="A340" s="50"/>
      <c r="B340" s="38"/>
      <c r="C340" s="143" t="s">
        <v>2522</v>
      </c>
      <c r="D340" s="796" t="str">
        <f>IF(CNSIPEE_2024_M2_Secc1!D48="","",CNSIPEE_2024_M2_Secc1!D48)</f>
        <v/>
      </c>
      <c r="E340" s="796"/>
      <c r="F340" s="796"/>
      <c r="G340" s="796"/>
      <c r="H340" s="796"/>
      <c r="I340" s="796"/>
      <c r="J340" s="749"/>
      <c r="K340" s="749"/>
      <c r="L340" s="749"/>
      <c r="M340" s="749"/>
      <c r="N340" s="749"/>
      <c r="O340" s="749"/>
      <c r="P340" s="88"/>
      <c r="Q340" s="88"/>
      <c r="R340" s="88"/>
      <c r="S340" s="88"/>
      <c r="T340" s="88"/>
      <c r="U340" s="88"/>
      <c r="V340" s="88"/>
      <c r="W340" s="88"/>
      <c r="X340" s="88"/>
      <c r="Y340" s="88"/>
      <c r="Z340" s="88"/>
      <c r="AA340" s="88"/>
      <c r="AB340" s="88"/>
      <c r="AC340" s="88"/>
      <c r="AD340" s="88"/>
      <c r="AG340" s="249">
        <f t="shared" si="139"/>
        <v>0</v>
      </c>
      <c r="AJ340" s="253">
        <f t="shared" si="140"/>
        <v>0</v>
      </c>
    </row>
    <row r="341" spans="1:36">
      <c r="A341" s="50"/>
      <c r="B341" s="38"/>
      <c r="C341" s="143" t="s">
        <v>2523</v>
      </c>
      <c r="D341" s="796" t="str">
        <f>IF(CNSIPEE_2024_M2_Secc1!D49="","",CNSIPEE_2024_M2_Secc1!D49)</f>
        <v/>
      </c>
      <c r="E341" s="796"/>
      <c r="F341" s="796"/>
      <c r="G341" s="796"/>
      <c r="H341" s="796"/>
      <c r="I341" s="796"/>
      <c r="J341" s="749"/>
      <c r="K341" s="749"/>
      <c r="L341" s="749"/>
      <c r="M341" s="749"/>
      <c r="N341" s="749"/>
      <c r="O341" s="749"/>
      <c r="P341" s="88"/>
      <c r="Q341" s="88"/>
      <c r="R341" s="88"/>
      <c r="S341" s="88"/>
      <c r="T341" s="88"/>
      <c r="U341" s="88"/>
      <c r="V341" s="88"/>
      <c r="W341" s="88"/>
      <c r="X341" s="88"/>
      <c r="Y341" s="88"/>
      <c r="Z341" s="88"/>
      <c r="AA341" s="88"/>
      <c r="AB341" s="88"/>
      <c r="AC341" s="88"/>
      <c r="AD341" s="88"/>
      <c r="AG341" s="249">
        <f t="shared" si="139"/>
        <v>0</v>
      </c>
      <c r="AJ341" s="253">
        <f t="shared" si="140"/>
        <v>0</v>
      </c>
    </row>
    <row r="342" spans="1:36" ht="15" customHeight="1">
      <c r="A342" s="49"/>
      <c r="B342" s="57"/>
      <c r="C342" s="57"/>
      <c r="D342" s="57"/>
      <c r="E342" s="57"/>
      <c r="F342" s="57"/>
      <c r="G342" s="57"/>
      <c r="H342" s="57"/>
      <c r="I342" s="57"/>
      <c r="J342" s="57"/>
      <c r="K342" s="57"/>
      <c r="L342" s="57"/>
      <c r="M342" s="57"/>
      <c r="N342" s="57"/>
      <c r="O342" s="57"/>
      <c r="P342" s="57"/>
      <c r="Q342" s="57"/>
      <c r="R342" s="57"/>
      <c r="S342" s="57"/>
      <c r="T342" s="57"/>
      <c r="U342" s="57"/>
      <c r="V342" s="57"/>
      <c r="W342" s="57"/>
      <c r="X342" s="57"/>
      <c r="Y342" s="57"/>
      <c r="Z342" s="57"/>
      <c r="AA342" s="57"/>
      <c r="AB342" s="57"/>
      <c r="AC342" s="57"/>
      <c r="AD342" s="57"/>
      <c r="AG342" s="247">
        <f>SUM(AG334:AG341)</f>
        <v>0</v>
      </c>
      <c r="AJ342" s="258">
        <f>SUM(AJ334:AJ341)</f>
        <v>0</v>
      </c>
    </row>
    <row r="343" spans="1:36" ht="45" customHeight="1">
      <c r="A343" s="50"/>
      <c r="B343" s="57"/>
      <c r="C343" s="822" t="s">
        <v>2837</v>
      </c>
      <c r="D343" s="822"/>
      <c r="E343" s="822"/>
      <c r="F343" s="822"/>
      <c r="G343" s="749"/>
      <c r="H343" s="749"/>
      <c r="I343" s="749"/>
      <c r="J343" s="749"/>
      <c r="K343" s="749"/>
      <c r="L343" s="749"/>
      <c r="M343" s="749"/>
      <c r="N343" s="749"/>
      <c r="O343" s="749"/>
      <c r="P343" s="749"/>
      <c r="Q343" s="749"/>
      <c r="R343" s="749"/>
      <c r="S343" s="749"/>
      <c r="T343" s="749"/>
      <c r="U343" s="749"/>
      <c r="V343" s="749"/>
      <c r="W343" s="749"/>
      <c r="X343" s="749"/>
      <c r="Y343" s="749"/>
      <c r="Z343" s="749"/>
      <c r="AA343" s="749"/>
      <c r="AB343" s="749"/>
      <c r="AC343" s="749"/>
      <c r="AD343" s="749"/>
    </row>
    <row r="344" spans="1:36" ht="15" customHeight="1">
      <c r="A344" s="50"/>
      <c r="B344" s="794" t="str">
        <f>IF(AND(AH334&gt;0,G343=""),"Seleccionó el código 6.4 de la col.Tipo de infraestructura tecnológica debe anotar el nombre de dicho(s) tipo(s) de detector(es)","")</f>
        <v/>
      </c>
      <c r="C344" s="794"/>
      <c r="D344" s="794"/>
      <c r="E344" s="794"/>
      <c r="F344" s="794"/>
      <c r="G344" s="794"/>
      <c r="H344" s="794"/>
      <c r="I344" s="794"/>
      <c r="J344" s="794"/>
      <c r="K344" s="794"/>
      <c r="L344" s="794"/>
      <c r="M344" s="794"/>
      <c r="N344" s="794"/>
      <c r="O344" s="794"/>
      <c r="P344" s="794"/>
      <c r="Q344" s="794"/>
      <c r="R344" s="794"/>
      <c r="S344" s="794"/>
      <c r="T344" s="794"/>
      <c r="U344" s="794"/>
      <c r="V344" s="794"/>
      <c r="W344" s="794"/>
      <c r="X344" s="794"/>
      <c r="Y344" s="794"/>
      <c r="Z344" s="794"/>
      <c r="AA344" s="794"/>
      <c r="AB344" s="794"/>
      <c r="AC344" s="794"/>
      <c r="AD344" s="794"/>
      <c r="AE344" s="794"/>
    </row>
    <row r="345" spans="1:36" ht="45" customHeight="1">
      <c r="A345" s="50"/>
      <c r="B345" s="57"/>
      <c r="C345" s="822" t="s">
        <v>2838</v>
      </c>
      <c r="D345" s="822"/>
      <c r="E345" s="822"/>
      <c r="F345" s="822"/>
      <c r="G345" s="749"/>
      <c r="H345" s="749"/>
      <c r="I345" s="749"/>
      <c r="J345" s="749"/>
      <c r="K345" s="749"/>
      <c r="L345" s="749"/>
      <c r="M345" s="749"/>
      <c r="N345" s="749"/>
      <c r="O345" s="749"/>
      <c r="P345" s="749"/>
      <c r="Q345" s="749"/>
      <c r="R345" s="749"/>
      <c r="S345" s="749"/>
      <c r="T345" s="749"/>
      <c r="U345" s="749"/>
      <c r="V345" s="749"/>
      <c r="W345" s="749"/>
      <c r="X345" s="749"/>
      <c r="Y345" s="749"/>
      <c r="Z345" s="749"/>
      <c r="AA345" s="749"/>
      <c r="AB345" s="749"/>
      <c r="AC345" s="749"/>
      <c r="AD345" s="749"/>
    </row>
    <row r="346" spans="1:36" ht="15" customHeight="1">
      <c r="A346" s="49"/>
      <c r="B346" s="794" t="str">
        <f>IF(AND(AI334&gt;0,G345=""),"Seleccionó el código 11 de la col.Tipo de infraestructura tecnológica debe anotar el nombre de dicho(s) tipo(s) de infraestructura","")</f>
        <v/>
      </c>
      <c r="C346" s="794"/>
      <c r="D346" s="794"/>
      <c r="E346" s="794"/>
      <c r="F346" s="794"/>
      <c r="G346" s="794"/>
      <c r="H346" s="794"/>
      <c r="I346" s="794"/>
      <c r="J346" s="794"/>
      <c r="K346" s="794"/>
      <c r="L346" s="794"/>
      <c r="M346" s="794"/>
      <c r="N346" s="794"/>
      <c r="O346" s="794"/>
      <c r="P346" s="794"/>
      <c r="Q346" s="794"/>
      <c r="R346" s="794"/>
      <c r="S346" s="794"/>
      <c r="T346" s="794"/>
      <c r="U346" s="794"/>
      <c r="V346" s="794"/>
      <c r="W346" s="794"/>
      <c r="X346" s="794"/>
      <c r="Y346" s="794"/>
      <c r="Z346" s="794"/>
      <c r="AA346" s="794"/>
      <c r="AB346" s="794"/>
      <c r="AC346" s="794"/>
      <c r="AD346" s="794"/>
      <c r="AE346" s="794"/>
    </row>
    <row r="347" spans="1:36" ht="15" customHeight="1">
      <c r="A347" s="50"/>
      <c r="B347" s="57"/>
      <c r="C347" s="739" t="s">
        <v>2839</v>
      </c>
      <c r="D347" s="740"/>
      <c r="E347" s="740"/>
      <c r="F347" s="740"/>
      <c r="G347" s="740"/>
      <c r="H347" s="740"/>
      <c r="I347" s="740"/>
      <c r="J347" s="740"/>
      <c r="K347" s="740"/>
      <c r="L347" s="740"/>
      <c r="M347" s="740"/>
      <c r="N347" s="740"/>
      <c r="O347" s="740"/>
      <c r="P347" s="740"/>
      <c r="Q347" s="740"/>
      <c r="R347" s="740"/>
      <c r="S347" s="740"/>
      <c r="T347" s="740"/>
      <c r="U347" s="740"/>
      <c r="V347" s="740"/>
      <c r="W347" s="740"/>
      <c r="X347" s="740"/>
      <c r="Y347" s="740"/>
      <c r="Z347" s="740"/>
      <c r="AA347" s="740"/>
      <c r="AB347" s="740"/>
      <c r="AC347" s="740"/>
      <c r="AD347" s="741"/>
    </row>
    <row r="348" spans="1:36" ht="15" customHeight="1">
      <c r="A348" s="50"/>
      <c r="B348" s="57"/>
      <c r="C348" s="733" t="s">
        <v>2516</v>
      </c>
      <c r="D348" s="734"/>
      <c r="E348" s="735"/>
      <c r="F348" s="813" t="s">
        <v>2840</v>
      </c>
      <c r="G348" s="814"/>
      <c r="H348" s="814"/>
      <c r="I348" s="814"/>
      <c r="J348" s="814"/>
      <c r="K348" s="814"/>
      <c r="L348" s="814"/>
      <c r="M348" s="814"/>
      <c r="N348" s="814"/>
      <c r="O348" s="814"/>
      <c r="P348" s="814"/>
      <c r="Q348" s="814"/>
      <c r="R348" s="814"/>
      <c r="S348" s="814"/>
      <c r="T348" s="814"/>
      <c r="U348" s="814"/>
      <c r="V348" s="814"/>
      <c r="W348" s="814"/>
      <c r="X348" s="814"/>
      <c r="Y348" s="814"/>
      <c r="Z348" s="814"/>
      <c r="AA348" s="814"/>
      <c r="AB348" s="814"/>
      <c r="AC348" s="814"/>
      <c r="AD348" s="815"/>
    </row>
    <row r="349" spans="1:36" ht="15" customHeight="1">
      <c r="A349" s="50"/>
      <c r="B349" s="57"/>
      <c r="C349" s="733" t="s">
        <v>2517</v>
      </c>
      <c r="D349" s="734"/>
      <c r="E349" s="735"/>
      <c r="F349" s="813" t="s">
        <v>2841</v>
      </c>
      <c r="G349" s="814"/>
      <c r="H349" s="814"/>
      <c r="I349" s="814"/>
      <c r="J349" s="814"/>
      <c r="K349" s="814"/>
      <c r="L349" s="814"/>
      <c r="M349" s="814"/>
      <c r="N349" s="814"/>
      <c r="O349" s="814"/>
      <c r="P349" s="814"/>
      <c r="Q349" s="814"/>
      <c r="R349" s="814"/>
      <c r="S349" s="814"/>
      <c r="T349" s="814"/>
      <c r="U349" s="814"/>
      <c r="V349" s="814"/>
      <c r="W349" s="814"/>
      <c r="X349" s="814"/>
      <c r="Y349" s="814"/>
      <c r="Z349" s="814"/>
      <c r="AA349" s="814"/>
      <c r="AB349" s="814"/>
      <c r="AC349" s="814"/>
      <c r="AD349" s="815"/>
    </row>
    <row r="350" spans="1:36" ht="15" customHeight="1">
      <c r="A350" s="50"/>
      <c r="B350" s="57"/>
      <c r="C350" s="733" t="s">
        <v>2518</v>
      </c>
      <c r="D350" s="734"/>
      <c r="E350" s="735"/>
      <c r="F350" s="813" t="s">
        <v>2842</v>
      </c>
      <c r="G350" s="814"/>
      <c r="H350" s="814"/>
      <c r="I350" s="814"/>
      <c r="J350" s="814"/>
      <c r="K350" s="814"/>
      <c r="L350" s="814"/>
      <c r="M350" s="814"/>
      <c r="N350" s="814"/>
      <c r="O350" s="814"/>
      <c r="P350" s="814"/>
      <c r="Q350" s="814"/>
      <c r="R350" s="814"/>
      <c r="S350" s="814"/>
      <c r="T350" s="814"/>
      <c r="U350" s="814"/>
      <c r="V350" s="814"/>
      <c r="W350" s="814"/>
      <c r="X350" s="814"/>
      <c r="Y350" s="814"/>
      <c r="Z350" s="814"/>
      <c r="AA350" s="814"/>
      <c r="AB350" s="814"/>
      <c r="AC350" s="814"/>
      <c r="AD350" s="815"/>
    </row>
    <row r="351" spans="1:36" ht="15" customHeight="1">
      <c r="A351" s="50"/>
      <c r="B351" s="57"/>
      <c r="C351" s="733" t="s">
        <v>2519</v>
      </c>
      <c r="D351" s="734"/>
      <c r="E351" s="735"/>
      <c r="F351" s="813" t="s">
        <v>2843</v>
      </c>
      <c r="G351" s="814"/>
      <c r="H351" s="814"/>
      <c r="I351" s="814"/>
      <c r="J351" s="814"/>
      <c r="K351" s="814"/>
      <c r="L351" s="814"/>
      <c r="M351" s="814"/>
      <c r="N351" s="814"/>
      <c r="O351" s="814"/>
      <c r="P351" s="814"/>
      <c r="Q351" s="814"/>
      <c r="R351" s="814"/>
      <c r="S351" s="814"/>
      <c r="T351" s="814"/>
      <c r="U351" s="814"/>
      <c r="V351" s="814"/>
      <c r="W351" s="814"/>
      <c r="X351" s="814"/>
      <c r="Y351" s="814"/>
      <c r="Z351" s="814"/>
      <c r="AA351" s="814"/>
      <c r="AB351" s="814"/>
      <c r="AC351" s="814"/>
      <c r="AD351" s="815"/>
    </row>
    <row r="352" spans="1:36" ht="30" customHeight="1">
      <c r="A352" s="50"/>
      <c r="B352" s="57"/>
      <c r="C352" s="841" t="s">
        <v>2844</v>
      </c>
      <c r="D352" s="842"/>
      <c r="E352" s="43" t="s">
        <v>2829</v>
      </c>
      <c r="F352" s="813" t="s">
        <v>2845</v>
      </c>
      <c r="G352" s="814"/>
      <c r="H352" s="814"/>
      <c r="I352" s="814"/>
      <c r="J352" s="814"/>
      <c r="K352" s="814"/>
      <c r="L352" s="814"/>
      <c r="M352" s="814"/>
      <c r="N352" s="814"/>
      <c r="O352" s="814"/>
      <c r="P352" s="814"/>
      <c r="Q352" s="814"/>
      <c r="R352" s="814"/>
      <c r="S352" s="814"/>
      <c r="T352" s="814"/>
      <c r="U352" s="814"/>
      <c r="V352" s="814"/>
      <c r="W352" s="814"/>
      <c r="X352" s="814"/>
      <c r="Y352" s="814"/>
      <c r="Z352" s="814"/>
      <c r="AA352" s="814"/>
      <c r="AB352" s="814"/>
      <c r="AC352" s="814"/>
      <c r="AD352" s="815"/>
    </row>
    <row r="353" spans="1:30" ht="30" customHeight="1">
      <c r="A353" s="50"/>
      <c r="B353" s="57"/>
      <c r="C353" s="845"/>
      <c r="D353" s="846"/>
      <c r="E353" s="43" t="s">
        <v>2830</v>
      </c>
      <c r="F353" s="813" t="s">
        <v>2846</v>
      </c>
      <c r="G353" s="814"/>
      <c r="H353" s="814"/>
      <c r="I353" s="814"/>
      <c r="J353" s="814"/>
      <c r="K353" s="814"/>
      <c r="L353" s="814"/>
      <c r="M353" s="814"/>
      <c r="N353" s="814"/>
      <c r="O353" s="814"/>
      <c r="P353" s="814"/>
      <c r="Q353" s="814"/>
      <c r="R353" s="814"/>
      <c r="S353" s="814"/>
      <c r="T353" s="814"/>
      <c r="U353" s="814"/>
      <c r="V353" s="814"/>
      <c r="W353" s="814"/>
      <c r="X353" s="814"/>
      <c r="Y353" s="814"/>
      <c r="Z353" s="814"/>
      <c r="AA353" s="814"/>
      <c r="AB353" s="814"/>
      <c r="AC353" s="814"/>
      <c r="AD353" s="815"/>
    </row>
    <row r="354" spans="1:30" ht="18" customHeight="1">
      <c r="A354" s="50"/>
      <c r="B354" s="57"/>
      <c r="C354" s="841" t="s">
        <v>2847</v>
      </c>
      <c r="D354" s="842"/>
      <c r="E354" s="43" t="s">
        <v>2831</v>
      </c>
      <c r="F354" s="813" t="s">
        <v>2848</v>
      </c>
      <c r="G354" s="814"/>
      <c r="H354" s="814"/>
      <c r="I354" s="814"/>
      <c r="J354" s="814"/>
      <c r="K354" s="814"/>
      <c r="L354" s="814"/>
      <c r="M354" s="814"/>
      <c r="N354" s="814"/>
      <c r="O354" s="814"/>
      <c r="P354" s="814"/>
      <c r="Q354" s="814"/>
      <c r="R354" s="814"/>
      <c r="S354" s="814"/>
      <c r="T354" s="814"/>
      <c r="U354" s="814"/>
      <c r="V354" s="814"/>
      <c r="W354" s="814"/>
      <c r="X354" s="814"/>
      <c r="Y354" s="814"/>
      <c r="Z354" s="814"/>
      <c r="AA354" s="814"/>
      <c r="AB354" s="814"/>
      <c r="AC354" s="814"/>
      <c r="AD354" s="815"/>
    </row>
    <row r="355" spans="1:30" ht="18" customHeight="1">
      <c r="A355" s="50"/>
      <c r="B355" s="57"/>
      <c r="C355" s="843"/>
      <c r="D355" s="844"/>
      <c r="E355" s="43" t="s">
        <v>2832</v>
      </c>
      <c r="F355" s="813" t="s">
        <v>2849</v>
      </c>
      <c r="G355" s="814"/>
      <c r="H355" s="814"/>
      <c r="I355" s="814"/>
      <c r="J355" s="814"/>
      <c r="K355" s="814"/>
      <c r="L355" s="814"/>
      <c r="M355" s="814"/>
      <c r="N355" s="814"/>
      <c r="O355" s="814"/>
      <c r="P355" s="814"/>
      <c r="Q355" s="814"/>
      <c r="R355" s="814"/>
      <c r="S355" s="814"/>
      <c r="T355" s="814"/>
      <c r="U355" s="814"/>
      <c r="V355" s="814"/>
      <c r="W355" s="814"/>
      <c r="X355" s="814"/>
      <c r="Y355" s="814"/>
      <c r="Z355" s="814"/>
      <c r="AA355" s="814"/>
      <c r="AB355" s="814"/>
      <c r="AC355" s="814"/>
      <c r="AD355" s="815"/>
    </row>
    <row r="356" spans="1:30" ht="18" customHeight="1">
      <c r="A356" s="50"/>
      <c r="B356" s="57"/>
      <c r="C356" s="843"/>
      <c r="D356" s="844"/>
      <c r="E356" s="43" t="s">
        <v>2833</v>
      </c>
      <c r="F356" s="813" t="s">
        <v>2850</v>
      </c>
      <c r="G356" s="814"/>
      <c r="H356" s="814"/>
      <c r="I356" s="814"/>
      <c r="J356" s="814"/>
      <c r="K356" s="814"/>
      <c r="L356" s="814"/>
      <c r="M356" s="814"/>
      <c r="N356" s="814"/>
      <c r="O356" s="814"/>
      <c r="P356" s="814"/>
      <c r="Q356" s="814"/>
      <c r="R356" s="814"/>
      <c r="S356" s="814"/>
      <c r="T356" s="814"/>
      <c r="U356" s="814"/>
      <c r="V356" s="814"/>
      <c r="W356" s="814"/>
      <c r="X356" s="814"/>
      <c r="Y356" s="814"/>
      <c r="Z356" s="814"/>
      <c r="AA356" s="814"/>
      <c r="AB356" s="814"/>
      <c r="AC356" s="814"/>
      <c r="AD356" s="815"/>
    </row>
    <row r="357" spans="1:30" ht="18" customHeight="1">
      <c r="A357" s="50"/>
      <c r="B357" s="57"/>
      <c r="C357" s="845"/>
      <c r="D357" s="846"/>
      <c r="E357" s="43" t="s">
        <v>2834</v>
      </c>
      <c r="F357" s="813" t="s">
        <v>2851</v>
      </c>
      <c r="G357" s="814"/>
      <c r="H357" s="814"/>
      <c r="I357" s="814"/>
      <c r="J357" s="814"/>
      <c r="K357" s="814"/>
      <c r="L357" s="814"/>
      <c r="M357" s="814"/>
      <c r="N357" s="814"/>
      <c r="O357" s="814"/>
      <c r="P357" s="814"/>
      <c r="Q357" s="814"/>
      <c r="R357" s="814"/>
      <c r="S357" s="814"/>
      <c r="T357" s="814"/>
      <c r="U357" s="814"/>
      <c r="V357" s="814"/>
      <c r="W357" s="814"/>
      <c r="X357" s="814"/>
      <c r="Y357" s="814"/>
      <c r="Z357" s="814"/>
      <c r="AA357" s="814"/>
      <c r="AB357" s="814"/>
      <c r="AC357" s="814"/>
      <c r="AD357" s="815"/>
    </row>
    <row r="358" spans="1:30" ht="15" customHeight="1">
      <c r="A358" s="50"/>
      <c r="B358" s="57"/>
      <c r="C358" s="733" t="s">
        <v>2522</v>
      </c>
      <c r="D358" s="734"/>
      <c r="E358" s="735"/>
      <c r="F358" s="813" t="s">
        <v>2852</v>
      </c>
      <c r="G358" s="814"/>
      <c r="H358" s="814"/>
      <c r="I358" s="814"/>
      <c r="J358" s="814"/>
      <c r="K358" s="814"/>
      <c r="L358" s="814"/>
      <c r="M358" s="814"/>
      <c r="N358" s="814"/>
      <c r="O358" s="814"/>
      <c r="P358" s="814"/>
      <c r="Q358" s="814"/>
      <c r="R358" s="814"/>
      <c r="S358" s="814"/>
      <c r="T358" s="814"/>
      <c r="U358" s="814"/>
      <c r="V358" s="814"/>
      <c r="W358" s="814"/>
      <c r="X358" s="814"/>
      <c r="Y358" s="814"/>
      <c r="Z358" s="814"/>
      <c r="AA358" s="814"/>
      <c r="AB358" s="814"/>
      <c r="AC358" s="814"/>
      <c r="AD358" s="815"/>
    </row>
    <row r="359" spans="1:30" ht="15" customHeight="1">
      <c r="A359" s="50"/>
      <c r="B359" s="57"/>
      <c r="C359" s="733" t="s">
        <v>2523</v>
      </c>
      <c r="D359" s="734"/>
      <c r="E359" s="735"/>
      <c r="F359" s="813" t="s">
        <v>2853</v>
      </c>
      <c r="G359" s="814"/>
      <c r="H359" s="814"/>
      <c r="I359" s="814"/>
      <c r="J359" s="814"/>
      <c r="K359" s="814"/>
      <c r="L359" s="814"/>
      <c r="M359" s="814"/>
      <c r="N359" s="814"/>
      <c r="O359" s="814"/>
      <c r="P359" s="814"/>
      <c r="Q359" s="814"/>
      <c r="R359" s="814"/>
      <c r="S359" s="814"/>
      <c r="T359" s="814"/>
      <c r="U359" s="814"/>
      <c r="V359" s="814"/>
      <c r="W359" s="814"/>
      <c r="X359" s="814"/>
      <c r="Y359" s="814"/>
      <c r="Z359" s="814"/>
      <c r="AA359" s="814"/>
      <c r="AB359" s="814"/>
      <c r="AC359" s="814"/>
      <c r="AD359" s="815"/>
    </row>
    <row r="360" spans="1:30" ht="15" customHeight="1">
      <c r="A360" s="50"/>
      <c r="B360" s="57"/>
      <c r="C360" s="733" t="s">
        <v>2524</v>
      </c>
      <c r="D360" s="734"/>
      <c r="E360" s="735"/>
      <c r="F360" s="813" t="s">
        <v>2854</v>
      </c>
      <c r="G360" s="814"/>
      <c r="H360" s="814"/>
      <c r="I360" s="814"/>
      <c r="J360" s="814"/>
      <c r="K360" s="814"/>
      <c r="L360" s="814"/>
      <c r="M360" s="814"/>
      <c r="N360" s="814"/>
      <c r="O360" s="814"/>
      <c r="P360" s="814"/>
      <c r="Q360" s="814"/>
      <c r="R360" s="814"/>
      <c r="S360" s="814"/>
      <c r="T360" s="814"/>
      <c r="U360" s="814"/>
      <c r="V360" s="814"/>
      <c r="W360" s="814"/>
      <c r="X360" s="814"/>
      <c r="Y360" s="814"/>
      <c r="Z360" s="814"/>
      <c r="AA360" s="814"/>
      <c r="AB360" s="814"/>
      <c r="AC360" s="814"/>
      <c r="AD360" s="815"/>
    </row>
    <row r="361" spans="1:30" ht="15" customHeight="1">
      <c r="A361" s="50"/>
      <c r="B361" s="57"/>
      <c r="C361" s="733" t="s">
        <v>2525</v>
      </c>
      <c r="D361" s="734"/>
      <c r="E361" s="735"/>
      <c r="F361" s="813" t="s">
        <v>2855</v>
      </c>
      <c r="G361" s="814"/>
      <c r="H361" s="814"/>
      <c r="I361" s="814"/>
      <c r="J361" s="814"/>
      <c r="K361" s="814"/>
      <c r="L361" s="814"/>
      <c r="M361" s="814"/>
      <c r="N361" s="814"/>
      <c r="O361" s="814"/>
      <c r="P361" s="814"/>
      <c r="Q361" s="814"/>
      <c r="R361" s="814"/>
      <c r="S361" s="814"/>
      <c r="T361" s="814"/>
      <c r="U361" s="814"/>
      <c r="V361" s="814"/>
      <c r="W361" s="814"/>
      <c r="X361" s="814"/>
      <c r="Y361" s="814"/>
      <c r="Z361" s="814"/>
      <c r="AA361" s="814"/>
      <c r="AB361" s="814"/>
      <c r="AC361" s="814"/>
      <c r="AD361" s="815"/>
    </row>
    <row r="362" spans="1:30" ht="15" customHeight="1">
      <c r="A362" s="50"/>
      <c r="B362" s="57"/>
      <c r="C362" s="733" t="s">
        <v>2526</v>
      </c>
      <c r="D362" s="734"/>
      <c r="E362" s="735"/>
      <c r="F362" s="813" t="s">
        <v>2856</v>
      </c>
      <c r="G362" s="814"/>
      <c r="H362" s="814"/>
      <c r="I362" s="814"/>
      <c r="J362" s="814"/>
      <c r="K362" s="814"/>
      <c r="L362" s="814"/>
      <c r="M362" s="814"/>
      <c r="N362" s="814"/>
      <c r="O362" s="814"/>
      <c r="P362" s="814"/>
      <c r="Q362" s="814"/>
      <c r="R362" s="814"/>
      <c r="S362" s="814"/>
      <c r="T362" s="814"/>
      <c r="U362" s="814"/>
      <c r="V362" s="814"/>
      <c r="W362" s="814"/>
      <c r="X362" s="814"/>
      <c r="Y362" s="814"/>
      <c r="Z362" s="814"/>
      <c r="AA362" s="814"/>
      <c r="AB362" s="814"/>
      <c r="AC362" s="814"/>
      <c r="AD362" s="815"/>
    </row>
    <row r="363" spans="1:30" ht="15" customHeight="1">
      <c r="A363" s="50"/>
      <c r="B363" s="57"/>
      <c r="C363" s="57"/>
      <c r="D363" s="57"/>
      <c r="E363" s="57"/>
    </row>
    <row r="364" spans="1:30" ht="24" customHeight="1">
      <c r="A364" s="49"/>
      <c r="B364" s="90"/>
      <c r="C364" s="754" t="s">
        <v>2611</v>
      </c>
      <c r="D364" s="754"/>
      <c r="E364" s="754"/>
      <c r="F364" s="754"/>
      <c r="G364" s="754"/>
      <c r="H364" s="754"/>
      <c r="I364" s="754"/>
      <c r="J364" s="754"/>
      <c r="K364" s="754"/>
      <c r="L364" s="754"/>
      <c r="M364" s="754"/>
      <c r="N364" s="754"/>
      <c r="O364" s="754"/>
      <c r="P364" s="754"/>
      <c r="Q364" s="754"/>
      <c r="R364" s="754"/>
      <c r="S364" s="754"/>
      <c r="T364" s="754"/>
      <c r="U364" s="754"/>
      <c r="V364" s="754"/>
      <c r="W364" s="754"/>
      <c r="X364" s="754"/>
      <c r="Y364" s="754"/>
      <c r="Z364" s="754"/>
      <c r="AA364" s="754"/>
      <c r="AB364" s="754"/>
      <c r="AC364" s="754"/>
      <c r="AD364" s="754"/>
    </row>
    <row r="365" spans="1:30" ht="60" customHeight="1">
      <c r="A365" s="49"/>
      <c r="B365" s="90"/>
      <c r="C365" s="812"/>
      <c r="D365" s="812"/>
      <c r="E365" s="812"/>
      <c r="F365" s="812"/>
      <c r="G365" s="812"/>
      <c r="H365" s="812"/>
      <c r="I365" s="812"/>
      <c r="J365" s="812"/>
      <c r="K365" s="812"/>
      <c r="L365" s="812"/>
      <c r="M365" s="812"/>
      <c r="N365" s="812"/>
      <c r="O365" s="812"/>
      <c r="P365" s="812"/>
      <c r="Q365" s="812"/>
      <c r="R365" s="812"/>
      <c r="S365" s="812"/>
      <c r="T365" s="812"/>
      <c r="U365" s="812"/>
      <c r="V365" s="812"/>
      <c r="W365" s="812"/>
      <c r="X365" s="812"/>
      <c r="Y365" s="812"/>
      <c r="Z365" s="812"/>
      <c r="AA365" s="812"/>
      <c r="AB365" s="812"/>
      <c r="AC365" s="812"/>
      <c r="AD365" s="812"/>
    </row>
    <row r="366" spans="1:30" ht="15" customHeight="1">
      <c r="A366" s="49"/>
      <c r="B366" s="794" t="str">
        <f>IF(AG342&gt;0,"Favor de ingresar toda la información requerida en la pregunta y/o verifique que no tenga información en celdas sombreadas","")</f>
        <v/>
      </c>
      <c r="C366" s="794"/>
      <c r="D366" s="794"/>
      <c r="E366" s="794"/>
      <c r="F366" s="794"/>
      <c r="G366" s="794"/>
      <c r="H366" s="794"/>
      <c r="I366" s="794"/>
      <c r="J366" s="794"/>
      <c r="K366" s="794"/>
      <c r="L366" s="794"/>
      <c r="M366" s="794"/>
      <c r="N366" s="794"/>
      <c r="O366" s="794"/>
      <c r="P366" s="794"/>
      <c r="Q366" s="794"/>
      <c r="R366" s="794"/>
      <c r="S366" s="794"/>
      <c r="T366" s="794"/>
      <c r="U366" s="794"/>
      <c r="V366" s="794"/>
      <c r="W366" s="794"/>
      <c r="X366" s="794"/>
      <c r="Y366" s="794"/>
      <c r="Z366" s="794"/>
      <c r="AA366" s="794"/>
      <c r="AB366" s="794"/>
      <c r="AC366" s="794"/>
      <c r="AD366" s="794"/>
    </row>
    <row r="367" spans="1:30" ht="15" customHeight="1">
      <c r="A367" s="49"/>
      <c r="B367" s="57"/>
      <c r="C367" s="57"/>
      <c r="D367" s="57"/>
      <c r="E367" s="57"/>
      <c r="F367" s="57"/>
      <c r="G367" s="57"/>
      <c r="H367" s="57"/>
      <c r="I367" s="57"/>
      <c r="J367" s="57"/>
      <c r="K367" s="57"/>
      <c r="L367" s="57"/>
      <c r="M367" s="57"/>
      <c r="N367" s="57"/>
      <c r="O367" s="57"/>
      <c r="P367" s="57"/>
      <c r="Q367" s="57"/>
      <c r="R367" s="57"/>
      <c r="S367" s="57"/>
      <c r="T367" s="57"/>
      <c r="U367" s="57"/>
      <c r="V367" s="57"/>
      <c r="W367" s="57"/>
      <c r="X367" s="57"/>
      <c r="Y367" s="57"/>
      <c r="Z367" s="57"/>
      <c r="AA367" s="57"/>
      <c r="AB367" s="57"/>
      <c r="AC367" s="57"/>
      <c r="AD367" s="57"/>
    </row>
    <row r="368" spans="1:30" ht="15" customHeight="1">
      <c r="A368" s="49"/>
      <c r="B368" s="57"/>
      <c r="C368" s="57"/>
      <c r="D368" s="57"/>
      <c r="E368" s="57"/>
      <c r="F368" s="57"/>
      <c r="G368" s="57"/>
      <c r="H368" s="57"/>
      <c r="I368" s="57"/>
      <c r="J368" s="57"/>
      <c r="K368" s="57"/>
      <c r="L368" s="57"/>
      <c r="M368" s="57"/>
      <c r="N368" s="57"/>
      <c r="O368" s="57"/>
      <c r="P368" s="57"/>
      <c r="Q368" s="57"/>
      <c r="R368" s="57"/>
      <c r="S368" s="57"/>
      <c r="T368" s="57"/>
      <c r="U368" s="57"/>
      <c r="V368" s="57"/>
      <c r="W368" s="57"/>
      <c r="X368" s="57"/>
      <c r="Y368" s="57"/>
      <c r="Z368" s="57"/>
      <c r="AA368" s="57"/>
      <c r="AB368" s="57"/>
      <c r="AC368" s="57"/>
      <c r="AD368" s="57"/>
    </row>
    <row r="369" spans="1:35" ht="15" customHeight="1">
      <c r="A369" s="49"/>
      <c r="B369" s="57"/>
      <c r="C369" s="57"/>
      <c r="D369" s="57"/>
      <c r="E369" s="57"/>
      <c r="F369" s="57"/>
      <c r="G369" s="57"/>
      <c r="H369" s="57"/>
      <c r="I369" s="57"/>
      <c r="J369" s="57"/>
      <c r="K369" s="57"/>
      <c r="L369" s="57"/>
      <c r="M369" s="57"/>
      <c r="N369" s="57"/>
      <c r="O369" s="57"/>
      <c r="P369" s="57"/>
      <c r="Q369" s="57"/>
      <c r="R369" s="57"/>
      <c r="S369" s="57"/>
      <c r="T369" s="57"/>
      <c r="U369" s="57"/>
      <c r="V369" s="57"/>
      <c r="W369" s="57"/>
      <c r="X369" s="57"/>
      <c r="Y369" s="57"/>
      <c r="Z369" s="57"/>
      <c r="AA369" s="57"/>
      <c r="AB369" s="57"/>
      <c r="AC369" s="57"/>
      <c r="AD369" s="57"/>
    </row>
    <row r="370" spans="1:35" ht="15" customHeight="1">
      <c r="A370" s="49"/>
      <c r="B370" s="57"/>
      <c r="C370" s="57"/>
      <c r="D370" s="57"/>
      <c r="E370" s="57"/>
      <c r="F370" s="57"/>
      <c r="G370" s="57"/>
      <c r="H370" s="57"/>
      <c r="I370" s="57"/>
      <c r="J370" s="57"/>
      <c r="K370" s="57"/>
      <c r="L370" s="57"/>
      <c r="M370" s="57"/>
      <c r="N370" s="57"/>
      <c r="O370" s="57"/>
      <c r="P370" s="57"/>
      <c r="Q370" s="57"/>
      <c r="R370" s="57"/>
      <c r="S370" s="57"/>
      <c r="T370" s="57"/>
      <c r="U370" s="57"/>
      <c r="V370" s="57"/>
      <c r="W370" s="57"/>
      <c r="X370" s="57"/>
      <c r="Y370" s="57"/>
      <c r="Z370" s="57"/>
      <c r="AA370" s="57"/>
      <c r="AB370" s="57"/>
      <c r="AC370" s="57"/>
      <c r="AD370" s="57"/>
    </row>
    <row r="371" spans="1:35" ht="15" customHeight="1">
      <c r="A371" s="49"/>
      <c r="B371" s="57"/>
      <c r="C371" s="57"/>
      <c r="D371" s="57"/>
      <c r="E371" s="57"/>
      <c r="F371" s="57"/>
      <c r="G371" s="57"/>
      <c r="H371" s="57"/>
      <c r="I371" s="57"/>
      <c r="J371" s="57"/>
      <c r="K371" s="57"/>
      <c r="L371" s="57"/>
      <c r="M371" s="57"/>
      <c r="N371" s="57"/>
      <c r="O371" s="57"/>
      <c r="P371" s="57"/>
      <c r="Q371" s="57"/>
      <c r="R371" s="57"/>
      <c r="S371" s="57"/>
      <c r="T371" s="57"/>
      <c r="U371" s="57"/>
      <c r="V371" s="57"/>
      <c r="W371" s="57"/>
      <c r="X371" s="57"/>
      <c r="Y371" s="57"/>
      <c r="Z371" s="57"/>
      <c r="AA371" s="57"/>
      <c r="AB371" s="57"/>
      <c r="AC371" s="57"/>
      <c r="AD371" s="57"/>
    </row>
    <row r="372" spans="1:35" ht="36" customHeight="1">
      <c r="A372" s="49" t="s">
        <v>2857</v>
      </c>
      <c r="B372" s="829" t="s">
        <v>2858</v>
      </c>
      <c r="C372" s="829"/>
      <c r="D372" s="829"/>
      <c r="E372" s="829"/>
      <c r="F372" s="829"/>
      <c r="G372" s="829"/>
      <c r="H372" s="829"/>
      <c r="I372" s="829"/>
      <c r="J372" s="829"/>
      <c r="K372" s="829"/>
      <c r="L372" s="829"/>
      <c r="M372" s="829"/>
      <c r="N372" s="829"/>
      <c r="O372" s="829"/>
      <c r="P372" s="829"/>
      <c r="Q372" s="829"/>
      <c r="R372" s="829"/>
      <c r="S372" s="829"/>
      <c r="T372" s="829"/>
      <c r="U372" s="829"/>
      <c r="V372" s="829"/>
      <c r="W372" s="829"/>
      <c r="X372" s="829"/>
      <c r="Y372" s="829"/>
      <c r="Z372" s="829"/>
      <c r="AA372" s="829"/>
      <c r="AB372" s="829"/>
      <c r="AC372" s="829"/>
      <c r="AD372" s="829"/>
    </row>
    <row r="373" spans="1:35" ht="36" customHeight="1">
      <c r="A373" s="103"/>
      <c r="B373" s="57"/>
      <c r="C373" s="754" t="s">
        <v>2859</v>
      </c>
      <c r="D373" s="754"/>
      <c r="E373" s="754"/>
      <c r="F373" s="754"/>
      <c r="G373" s="754"/>
      <c r="H373" s="754"/>
      <c r="I373" s="754"/>
      <c r="J373" s="754"/>
      <c r="K373" s="754"/>
      <c r="L373" s="754"/>
      <c r="M373" s="754"/>
      <c r="N373" s="754"/>
      <c r="O373" s="754"/>
      <c r="P373" s="754"/>
      <c r="Q373" s="754"/>
      <c r="R373" s="754"/>
      <c r="S373" s="754"/>
      <c r="T373" s="754"/>
      <c r="U373" s="754"/>
      <c r="V373" s="754"/>
      <c r="W373" s="754"/>
      <c r="X373" s="754"/>
      <c r="Y373" s="754"/>
      <c r="Z373" s="754"/>
      <c r="AA373" s="754"/>
      <c r="AB373" s="754"/>
      <c r="AC373" s="754"/>
      <c r="AD373" s="754"/>
    </row>
    <row r="374" spans="1:35" ht="24" customHeight="1">
      <c r="A374" s="49"/>
      <c r="B374" s="38"/>
      <c r="C374" s="830" t="s">
        <v>2860</v>
      </c>
      <c r="D374" s="830"/>
      <c r="E374" s="830"/>
      <c r="F374" s="830"/>
      <c r="G374" s="830"/>
      <c r="H374" s="830"/>
      <c r="I374" s="830"/>
      <c r="J374" s="830"/>
      <c r="K374" s="830"/>
      <c r="L374" s="830"/>
      <c r="M374" s="830"/>
      <c r="N374" s="830"/>
      <c r="O374" s="830"/>
      <c r="P374" s="830"/>
      <c r="Q374" s="830"/>
      <c r="R374" s="830"/>
      <c r="S374" s="830"/>
      <c r="T374" s="830"/>
      <c r="U374" s="830"/>
      <c r="V374" s="830"/>
      <c r="W374" s="830"/>
      <c r="X374" s="830"/>
      <c r="Y374" s="830"/>
      <c r="Z374" s="830"/>
      <c r="AA374" s="830"/>
      <c r="AB374" s="830"/>
      <c r="AC374" s="830"/>
      <c r="AD374" s="830"/>
    </row>
    <row r="375" spans="1:35" ht="24" customHeight="1">
      <c r="A375" s="49"/>
      <c r="B375" s="38"/>
      <c r="C375" s="830" t="s">
        <v>2861</v>
      </c>
      <c r="D375" s="830"/>
      <c r="E375" s="830"/>
      <c r="F375" s="830"/>
      <c r="G375" s="830"/>
      <c r="H375" s="830"/>
      <c r="I375" s="830"/>
      <c r="J375" s="830"/>
      <c r="K375" s="830"/>
      <c r="L375" s="830"/>
      <c r="M375" s="830"/>
      <c r="N375" s="830"/>
      <c r="O375" s="830"/>
      <c r="P375" s="830"/>
      <c r="Q375" s="830"/>
      <c r="R375" s="830"/>
      <c r="S375" s="830"/>
      <c r="T375" s="830"/>
      <c r="U375" s="830"/>
      <c r="V375" s="830"/>
      <c r="W375" s="830"/>
      <c r="X375" s="830"/>
      <c r="Y375" s="830"/>
      <c r="Z375" s="830"/>
      <c r="AA375" s="830"/>
      <c r="AB375" s="830"/>
      <c r="AC375" s="830"/>
      <c r="AD375" s="830"/>
    </row>
    <row r="376" spans="1:35" ht="15" customHeight="1">
      <c r="A376" s="103"/>
      <c r="B376" s="57"/>
      <c r="C376" s="57"/>
      <c r="D376" s="57"/>
      <c r="E376" s="57"/>
      <c r="F376" s="57"/>
      <c r="G376" s="57"/>
      <c r="H376" s="57"/>
      <c r="I376" s="57"/>
      <c r="J376" s="57"/>
      <c r="K376" s="57"/>
      <c r="L376" s="57"/>
      <c r="M376" s="57"/>
      <c r="N376" s="57"/>
      <c r="O376" s="57"/>
      <c r="P376" s="57"/>
      <c r="Q376" s="57"/>
      <c r="R376" s="57"/>
      <c r="S376" s="57"/>
      <c r="T376" s="57"/>
      <c r="U376" s="57"/>
      <c r="V376" s="57"/>
      <c r="W376" s="57"/>
      <c r="X376" s="57"/>
      <c r="Y376" s="57"/>
      <c r="Z376" s="57"/>
      <c r="AA376" s="57"/>
      <c r="AB376" s="57"/>
      <c r="AC376" s="57"/>
      <c r="AD376" s="57"/>
    </row>
    <row r="377" spans="1:35" ht="24" customHeight="1">
      <c r="A377" s="49"/>
      <c r="B377" s="38"/>
      <c r="C377" s="797" t="s">
        <v>2581</v>
      </c>
      <c r="D377" s="798"/>
      <c r="E377" s="798"/>
      <c r="F377" s="798"/>
      <c r="G377" s="798"/>
      <c r="H377" s="799"/>
      <c r="I377" s="818" t="s">
        <v>2862</v>
      </c>
      <c r="J377" s="819"/>
      <c r="K377" s="819"/>
      <c r="L377" s="819"/>
      <c r="M377" s="819"/>
      <c r="N377" s="820"/>
      <c r="O377" s="739" t="s">
        <v>2863</v>
      </c>
      <c r="P377" s="740"/>
      <c r="Q377" s="740"/>
      <c r="R377" s="740"/>
      <c r="S377" s="740"/>
      <c r="T377" s="740"/>
      <c r="U377" s="740"/>
      <c r="V377" s="740"/>
      <c r="W377" s="740"/>
      <c r="X377" s="740"/>
      <c r="Y377" s="740"/>
      <c r="Z377" s="740"/>
      <c r="AA377" s="740"/>
      <c r="AB377" s="740"/>
      <c r="AC377" s="740"/>
      <c r="AD377" s="741"/>
    </row>
    <row r="378" spans="1:35" ht="120" customHeight="1">
      <c r="A378" s="49"/>
      <c r="B378" s="38"/>
      <c r="C378" s="803"/>
      <c r="D378" s="804"/>
      <c r="E378" s="804"/>
      <c r="F378" s="804"/>
      <c r="G378" s="804"/>
      <c r="H378" s="805"/>
      <c r="I378" s="824"/>
      <c r="J378" s="825"/>
      <c r="K378" s="825"/>
      <c r="L378" s="825"/>
      <c r="M378" s="825"/>
      <c r="N378" s="826"/>
      <c r="O378" s="858" t="s">
        <v>2864</v>
      </c>
      <c r="P378" s="860"/>
      <c r="Q378" s="858" t="s">
        <v>2865</v>
      </c>
      <c r="R378" s="860"/>
      <c r="S378" s="858" t="s">
        <v>2866</v>
      </c>
      <c r="T378" s="860"/>
      <c r="U378" s="858" t="s">
        <v>2867</v>
      </c>
      <c r="V378" s="860"/>
      <c r="W378" s="858" t="s">
        <v>2868</v>
      </c>
      <c r="X378" s="860"/>
      <c r="Y378" s="858" t="s">
        <v>2869</v>
      </c>
      <c r="Z378" s="860"/>
      <c r="AA378" s="858" t="s">
        <v>2870</v>
      </c>
      <c r="AB378" s="860"/>
      <c r="AC378" s="858" t="s">
        <v>2871</v>
      </c>
      <c r="AD378" s="860"/>
      <c r="AG378" s="247" t="s">
        <v>2586</v>
      </c>
      <c r="AH378" s="299" t="s">
        <v>2872</v>
      </c>
      <c r="AI378" s="258" t="s">
        <v>2620</v>
      </c>
    </row>
    <row r="379" spans="1:35" ht="15" customHeight="1">
      <c r="A379" s="49"/>
      <c r="B379" s="38"/>
      <c r="C379" s="97" t="s">
        <v>2516</v>
      </c>
      <c r="D379" s="813" t="str">
        <f>IF(CNSIPEE_2024_M2_Secc1!D42="","",CNSIPEE_2024_M2_Secc1!D42)</f>
        <v/>
      </c>
      <c r="E379" s="814"/>
      <c r="F379" s="814"/>
      <c r="G379" s="814"/>
      <c r="H379" s="815"/>
      <c r="I379" s="816"/>
      <c r="J379" s="738"/>
      <c r="K379" s="738"/>
      <c r="L379" s="738"/>
      <c r="M379" s="738"/>
      <c r="N379" s="817"/>
      <c r="O379" s="816"/>
      <c r="P379" s="817"/>
      <c r="Q379" s="816"/>
      <c r="R379" s="817"/>
      <c r="S379" s="816"/>
      <c r="T379" s="817"/>
      <c r="U379" s="816"/>
      <c r="V379" s="817"/>
      <c r="W379" s="816"/>
      <c r="X379" s="817"/>
      <c r="Y379" s="816"/>
      <c r="Z379" s="817"/>
      <c r="AA379" s="816"/>
      <c r="AB379" s="817"/>
      <c r="AC379" s="816"/>
      <c r="AD379" s="817"/>
      <c r="AG379" s="249">
        <f>IF(AND(COUNTBLANK(D379)=0,$I379&lt;&gt;"",$I379&lt;&gt;1,COUNTA(O379:AD379)=0),0,IF(AND(COUNTBLANK(D379)=0,$I379&lt;&gt;"",$I379=1,COUNTA(O379:AD379)&gt;0),0,IF(AND(COUNTBLANK(D379)=1,COUNTA(O379:AD379)=0),0,1)))</f>
        <v>0</v>
      </c>
      <c r="AH379" s="253">
        <f>IF(COUNTIF(AC379:AD386,"X")&gt;0,1,0)</f>
        <v>0</v>
      </c>
      <c r="AI379" s="253">
        <f>IF(AND($I379&lt;&gt;"",$I379&lt;&gt;1,COUNTA(O379:AD379)&gt;0),1,0)</f>
        <v>0</v>
      </c>
    </row>
    <row r="380" spans="1:35" ht="15" customHeight="1">
      <c r="A380" s="49"/>
      <c r="B380" s="90"/>
      <c r="C380" s="143" t="s">
        <v>2517</v>
      </c>
      <c r="D380" s="813" t="str">
        <f>IF(CNSIPEE_2024_M2_Secc1!D43="","",CNSIPEE_2024_M2_Secc1!D43)</f>
        <v/>
      </c>
      <c r="E380" s="814"/>
      <c r="F380" s="814"/>
      <c r="G380" s="814"/>
      <c r="H380" s="815"/>
      <c r="I380" s="816"/>
      <c r="J380" s="738"/>
      <c r="K380" s="738"/>
      <c r="L380" s="738"/>
      <c r="M380" s="738"/>
      <c r="N380" s="817"/>
      <c r="O380" s="816"/>
      <c r="P380" s="817"/>
      <c r="Q380" s="816"/>
      <c r="R380" s="817"/>
      <c r="S380" s="816"/>
      <c r="T380" s="817"/>
      <c r="U380" s="816"/>
      <c r="V380" s="817"/>
      <c r="W380" s="816"/>
      <c r="X380" s="817"/>
      <c r="Y380" s="816"/>
      <c r="Z380" s="817"/>
      <c r="AA380" s="816"/>
      <c r="AB380" s="817"/>
      <c r="AC380" s="816"/>
      <c r="AD380" s="817"/>
      <c r="AG380" s="249">
        <f t="shared" ref="AG380:AG386" si="141">IF(AND(COUNTBLANK(D380)=0,$I380&lt;&gt;"",$I380&lt;&gt;1,COUNTA(O380:AD380)=0),0,IF(AND(COUNTBLANK(D380)=0,$I380&lt;&gt;"",$I380=1,COUNTA(O380:AD380)&gt;0),0,IF(AND(COUNTBLANK(D380)=1,COUNTA(O380:AD380)=0),0,1)))</f>
        <v>0</v>
      </c>
      <c r="AI380" s="253">
        <f t="shared" ref="AI380:AI386" si="142">IF(AND($I380&lt;&gt;"",$I380&lt;&gt;1,COUNTA(O380:AD380)&gt;0),1,0)</f>
        <v>0</v>
      </c>
    </row>
    <row r="381" spans="1:35" ht="15" customHeight="1">
      <c r="A381" s="49"/>
      <c r="B381" s="57"/>
      <c r="C381" s="143" t="s">
        <v>2518</v>
      </c>
      <c r="D381" s="813" t="str">
        <f>IF(CNSIPEE_2024_M2_Secc1!D44="","",CNSIPEE_2024_M2_Secc1!D44)</f>
        <v/>
      </c>
      <c r="E381" s="814"/>
      <c r="F381" s="814"/>
      <c r="G381" s="814"/>
      <c r="H381" s="815"/>
      <c r="I381" s="816"/>
      <c r="J381" s="738"/>
      <c r="K381" s="738"/>
      <c r="L381" s="738"/>
      <c r="M381" s="738"/>
      <c r="N381" s="817"/>
      <c r="O381" s="816"/>
      <c r="P381" s="817"/>
      <c r="Q381" s="816"/>
      <c r="R381" s="817"/>
      <c r="S381" s="816"/>
      <c r="T381" s="817"/>
      <c r="U381" s="816"/>
      <c r="V381" s="817"/>
      <c r="W381" s="816"/>
      <c r="X381" s="817"/>
      <c r="Y381" s="816"/>
      <c r="Z381" s="817"/>
      <c r="AA381" s="816"/>
      <c r="AB381" s="817"/>
      <c r="AC381" s="816"/>
      <c r="AD381" s="817"/>
      <c r="AG381" s="249">
        <f t="shared" si="141"/>
        <v>0</v>
      </c>
      <c r="AI381" s="253">
        <f t="shared" si="142"/>
        <v>0</v>
      </c>
    </row>
    <row r="382" spans="1:35" ht="15" customHeight="1">
      <c r="A382" s="49"/>
      <c r="B382" s="57"/>
      <c r="C382" s="143" t="s">
        <v>2519</v>
      </c>
      <c r="D382" s="813" t="str">
        <f>IF(CNSIPEE_2024_M2_Secc1!D45="","",CNSIPEE_2024_M2_Secc1!D45)</f>
        <v/>
      </c>
      <c r="E382" s="814"/>
      <c r="F382" s="814"/>
      <c r="G382" s="814"/>
      <c r="H382" s="815"/>
      <c r="I382" s="816"/>
      <c r="J382" s="738"/>
      <c r="K382" s="738"/>
      <c r="L382" s="738"/>
      <c r="M382" s="738"/>
      <c r="N382" s="817"/>
      <c r="O382" s="816"/>
      <c r="P382" s="817"/>
      <c r="Q382" s="816"/>
      <c r="R382" s="817"/>
      <c r="S382" s="816"/>
      <c r="T382" s="817"/>
      <c r="U382" s="816"/>
      <c r="V382" s="817"/>
      <c r="W382" s="816"/>
      <c r="X382" s="817"/>
      <c r="Y382" s="816"/>
      <c r="Z382" s="817"/>
      <c r="AA382" s="816"/>
      <c r="AB382" s="817"/>
      <c r="AC382" s="816"/>
      <c r="AD382" s="817"/>
      <c r="AG382" s="249">
        <f t="shared" si="141"/>
        <v>0</v>
      </c>
      <c r="AI382" s="253">
        <f t="shared" si="142"/>
        <v>0</v>
      </c>
    </row>
    <row r="383" spans="1:35" ht="15" customHeight="1">
      <c r="A383" s="49"/>
      <c r="B383" s="57"/>
      <c r="C383" s="143" t="s">
        <v>2520</v>
      </c>
      <c r="D383" s="813" t="str">
        <f>IF(CNSIPEE_2024_M2_Secc1!D46="","",CNSIPEE_2024_M2_Secc1!D46)</f>
        <v/>
      </c>
      <c r="E383" s="814"/>
      <c r="F383" s="814"/>
      <c r="G383" s="814"/>
      <c r="H383" s="815"/>
      <c r="I383" s="816"/>
      <c r="J383" s="738"/>
      <c r="K383" s="738"/>
      <c r="L383" s="738"/>
      <c r="M383" s="738"/>
      <c r="N383" s="817"/>
      <c r="O383" s="816"/>
      <c r="P383" s="817"/>
      <c r="Q383" s="816"/>
      <c r="R383" s="817"/>
      <c r="S383" s="816"/>
      <c r="T383" s="817"/>
      <c r="U383" s="816"/>
      <c r="V383" s="817"/>
      <c r="W383" s="816"/>
      <c r="X383" s="817"/>
      <c r="Y383" s="816"/>
      <c r="Z383" s="817"/>
      <c r="AA383" s="816"/>
      <c r="AB383" s="817"/>
      <c r="AC383" s="816"/>
      <c r="AD383" s="817"/>
      <c r="AG383" s="249">
        <f t="shared" si="141"/>
        <v>0</v>
      </c>
      <c r="AI383" s="253">
        <f t="shared" si="142"/>
        <v>0</v>
      </c>
    </row>
    <row r="384" spans="1:35" ht="15" customHeight="1">
      <c r="A384" s="49"/>
      <c r="B384" s="57"/>
      <c r="C384" s="143" t="s">
        <v>2521</v>
      </c>
      <c r="D384" s="813" t="str">
        <f>IF(CNSIPEE_2024_M2_Secc1!D47="","",CNSIPEE_2024_M2_Secc1!D47)</f>
        <v/>
      </c>
      <c r="E384" s="814"/>
      <c r="F384" s="814"/>
      <c r="G384" s="814"/>
      <c r="H384" s="815"/>
      <c r="I384" s="816"/>
      <c r="J384" s="738"/>
      <c r="K384" s="738"/>
      <c r="L384" s="738"/>
      <c r="M384" s="738"/>
      <c r="N384" s="817"/>
      <c r="O384" s="816"/>
      <c r="P384" s="817"/>
      <c r="Q384" s="816"/>
      <c r="R384" s="817"/>
      <c r="S384" s="816"/>
      <c r="T384" s="817"/>
      <c r="U384" s="816"/>
      <c r="V384" s="817"/>
      <c r="W384" s="816"/>
      <c r="X384" s="817"/>
      <c r="Y384" s="816"/>
      <c r="Z384" s="817"/>
      <c r="AA384" s="816"/>
      <c r="AB384" s="817"/>
      <c r="AC384" s="816"/>
      <c r="AD384" s="817"/>
      <c r="AG384" s="249">
        <f t="shared" si="141"/>
        <v>0</v>
      </c>
      <c r="AI384" s="253">
        <f t="shared" si="142"/>
        <v>0</v>
      </c>
    </row>
    <row r="385" spans="1:35" ht="15" customHeight="1">
      <c r="A385" s="49"/>
      <c r="B385" s="57"/>
      <c r="C385" s="143" t="s">
        <v>2522</v>
      </c>
      <c r="D385" s="813" t="str">
        <f>IF(CNSIPEE_2024_M2_Secc1!D48="","",CNSIPEE_2024_M2_Secc1!D48)</f>
        <v/>
      </c>
      <c r="E385" s="814"/>
      <c r="F385" s="814"/>
      <c r="G385" s="814"/>
      <c r="H385" s="815"/>
      <c r="I385" s="816"/>
      <c r="J385" s="738"/>
      <c r="K385" s="738"/>
      <c r="L385" s="738"/>
      <c r="M385" s="738"/>
      <c r="N385" s="817"/>
      <c r="O385" s="816"/>
      <c r="P385" s="817"/>
      <c r="Q385" s="816"/>
      <c r="R385" s="817"/>
      <c r="S385" s="816"/>
      <c r="T385" s="817"/>
      <c r="U385" s="816"/>
      <c r="V385" s="817"/>
      <c r="W385" s="816"/>
      <c r="X385" s="817"/>
      <c r="Y385" s="816"/>
      <c r="Z385" s="817"/>
      <c r="AA385" s="816"/>
      <c r="AB385" s="817"/>
      <c r="AC385" s="816"/>
      <c r="AD385" s="817"/>
      <c r="AG385" s="249">
        <f t="shared" si="141"/>
        <v>0</v>
      </c>
      <c r="AI385" s="253">
        <f t="shared" si="142"/>
        <v>0</v>
      </c>
    </row>
    <row r="386" spans="1:35" ht="15" customHeight="1">
      <c r="A386" s="49"/>
      <c r="B386" s="90"/>
      <c r="C386" s="143" t="s">
        <v>2523</v>
      </c>
      <c r="D386" s="813" t="str">
        <f>IF(CNSIPEE_2024_M2_Secc1!D49="","",CNSIPEE_2024_M2_Secc1!D49)</f>
        <v/>
      </c>
      <c r="E386" s="814"/>
      <c r="F386" s="814"/>
      <c r="G386" s="814"/>
      <c r="H386" s="815"/>
      <c r="I386" s="816"/>
      <c r="J386" s="738"/>
      <c r="K386" s="738"/>
      <c r="L386" s="738"/>
      <c r="M386" s="738"/>
      <c r="N386" s="817"/>
      <c r="O386" s="816"/>
      <c r="P386" s="817"/>
      <c r="Q386" s="816"/>
      <c r="R386" s="817"/>
      <c r="S386" s="816"/>
      <c r="T386" s="817"/>
      <c r="U386" s="816"/>
      <c r="V386" s="817"/>
      <c r="W386" s="816"/>
      <c r="X386" s="817"/>
      <c r="Y386" s="816"/>
      <c r="Z386" s="817"/>
      <c r="AA386" s="816"/>
      <c r="AB386" s="817"/>
      <c r="AC386" s="816"/>
      <c r="AD386" s="817"/>
      <c r="AG386" s="249">
        <f t="shared" si="141"/>
        <v>0</v>
      </c>
      <c r="AI386" s="253">
        <f t="shared" si="142"/>
        <v>0</v>
      </c>
    </row>
    <row r="387" spans="1:35" ht="15" customHeight="1">
      <c r="A387" s="103"/>
      <c r="B387" s="57"/>
      <c r="C387" s="57"/>
      <c r="D387" s="57"/>
      <c r="E387" s="57"/>
      <c r="F387" s="57"/>
      <c r="G387" s="57"/>
      <c r="H387" s="57"/>
      <c r="I387" s="57"/>
      <c r="J387" s="57"/>
      <c r="K387" s="57"/>
      <c r="L387" s="57"/>
      <c r="M387" s="57"/>
      <c r="N387" s="57"/>
      <c r="O387" s="57"/>
      <c r="P387" s="57"/>
      <c r="Q387" s="57"/>
      <c r="R387" s="57"/>
      <c r="S387" s="57"/>
      <c r="T387" s="57"/>
      <c r="U387" s="57"/>
      <c r="V387" s="57"/>
      <c r="W387" s="57"/>
      <c r="X387" s="57"/>
      <c r="Y387" s="57"/>
      <c r="Z387" s="57"/>
      <c r="AA387" s="57"/>
      <c r="AB387" s="57"/>
      <c r="AC387" s="57"/>
      <c r="AD387" s="57"/>
      <c r="AG387" s="247">
        <f>SUM(AG379:AG386)</f>
        <v>0</v>
      </c>
      <c r="AI387" s="258">
        <f>SUM(AI379:AI386)</f>
        <v>0</v>
      </c>
    </row>
    <row r="388" spans="1:35" ht="45" customHeight="1">
      <c r="A388" s="50"/>
      <c r="B388" s="57"/>
      <c r="C388" s="822" t="s">
        <v>2838</v>
      </c>
      <c r="D388" s="822"/>
      <c r="E388" s="822"/>
      <c r="F388" s="822"/>
      <c r="G388" s="749"/>
      <c r="H388" s="749"/>
      <c r="I388" s="749"/>
      <c r="J388" s="749"/>
      <c r="K388" s="749"/>
      <c r="L388" s="749"/>
      <c r="M388" s="749"/>
      <c r="N388" s="749"/>
      <c r="O388" s="749"/>
      <c r="P388" s="749"/>
      <c r="Q388" s="749"/>
      <c r="R388" s="749"/>
      <c r="S388" s="749"/>
      <c r="T388" s="749"/>
      <c r="U388" s="749"/>
      <c r="V388" s="749"/>
      <c r="W388" s="749"/>
      <c r="X388" s="749"/>
      <c r="Y388" s="749"/>
      <c r="Z388" s="749"/>
      <c r="AA388" s="749"/>
      <c r="AB388" s="749"/>
      <c r="AC388" s="749"/>
      <c r="AD388" s="749"/>
    </row>
    <row r="389" spans="1:35" ht="15" customHeight="1">
      <c r="A389" s="103"/>
      <c r="B389" s="794" t="str">
        <f>IF(AND(AH379&gt;0,G388=""),"Debido a que seleccionó la col. Otro tipo de infraestructura tecnológica debe anotar el nombre de dicho(s) tipo(s) de infraestructura","")</f>
        <v/>
      </c>
      <c r="C389" s="794"/>
      <c r="D389" s="794"/>
      <c r="E389" s="794"/>
      <c r="F389" s="794"/>
      <c r="G389" s="794"/>
      <c r="H389" s="794"/>
      <c r="I389" s="794"/>
      <c r="J389" s="794"/>
      <c r="K389" s="794"/>
      <c r="L389" s="794"/>
      <c r="M389" s="794"/>
      <c r="N389" s="794"/>
      <c r="O389" s="794"/>
      <c r="P389" s="794"/>
      <c r="Q389" s="794"/>
      <c r="R389" s="794"/>
      <c r="S389" s="794"/>
      <c r="T389" s="794"/>
      <c r="U389" s="794"/>
      <c r="V389" s="794"/>
      <c r="W389" s="794"/>
      <c r="X389" s="794"/>
      <c r="Y389" s="794"/>
      <c r="Z389" s="794"/>
      <c r="AA389" s="794"/>
      <c r="AB389" s="794"/>
      <c r="AC389" s="794"/>
      <c r="AD389" s="794"/>
      <c r="AE389" s="794"/>
    </row>
    <row r="390" spans="1:35" ht="24" customHeight="1">
      <c r="A390" s="96"/>
      <c r="B390" s="90"/>
      <c r="C390" s="754" t="s">
        <v>2611</v>
      </c>
      <c r="D390" s="754"/>
      <c r="E390" s="754"/>
      <c r="F390" s="754"/>
      <c r="G390" s="754"/>
      <c r="H390" s="754"/>
      <c r="I390" s="754"/>
      <c r="J390" s="754"/>
      <c r="K390" s="754"/>
      <c r="L390" s="754"/>
      <c r="M390" s="754"/>
      <c r="N390" s="754"/>
      <c r="O390" s="754"/>
      <c r="P390" s="754"/>
      <c r="Q390" s="754"/>
      <c r="R390" s="754"/>
      <c r="S390" s="754"/>
      <c r="T390" s="754"/>
      <c r="U390" s="754"/>
      <c r="V390" s="754"/>
      <c r="W390" s="754"/>
      <c r="X390" s="754"/>
      <c r="Y390" s="754"/>
      <c r="Z390" s="754"/>
      <c r="AA390" s="754"/>
      <c r="AB390" s="754"/>
      <c r="AC390" s="754"/>
      <c r="AD390" s="754"/>
    </row>
    <row r="391" spans="1:35" ht="60" customHeight="1">
      <c r="A391" s="96"/>
      <c r="B391" s="90"/>
      <c r="C391" s="851"/>
      <c r="D391" s="851"/>
      <c r="E391" s="851"/>
      <c r="F391" s="851"/>
      <c r="G391" s="851"/>
      <c r="H391" s="851"/>
      <c r="I391" s="851"/>
      <c r="J391" s="851"/>
      <c r="K391" s="851"/>
      <c r="L391" s="851"/>
      <c r="M391" s="851"/>
      <c r="N391" s="851"/>
      <c r="O391" s="851"/>
      <c r="P391" s="851"/>
      <c r="Q391" s="851"/>
      <c r="R391" s="851"/>
      <c r="S391" s="851"/>
      <c r="T391" s="851"/>
      <c r="U391" s="851"/>
      <c r="V391" s="851"/>
      <c r="W391" s="851"/>
      <c r="X391" s="851"/>
      <c r="Y391" s="851"/>
      <c r="Z391" s="851"/>
      <c r="AA391" s="851"/>
      <c r="AB391" s="851"/>
      <c r="AC391" s="851"/>
      <c r="AD391" s="851"/>
    </row>
    <row r="392" spans="1:35" ht="15" customHeight="1">
      <c r="A392" s="96"/>
      <c r="B392" s="794" t="str">
        <f>IF(AG387&gt;0,"Favor de ingresar toda la información requerida en la pregunta y/o verifique que no tenga información en celdas sombreadas","")</f>
        <v/>
      </c>
      <c r="C392" s="794"/>
      <c r="D392" s="794"/>
      <c r="E392" s="794"/>
      <c r="F392" s="794"/>
      <c r="G392" s="794"/>
      <c r="H392" s="794"/>
      <c r="I392" s="794"/>
      <c r="J392" s="794"/>
      <c r="K392" s="794"/>
      <c r="L392" s="794"/>
      <c r="M392" s="794"/>
      <c r="N392" s="794"/>
      <c r="O392" s="794"/>
      <c r="P392" s="794"/>
      <c r="Q392" s="794"/>
      <c r="R392" s="794"/>
      <c r="S392" s="794"/>
      <c r="T392" s="794"/>
      <c r="U392" s="794"/>
      <c r="V392" s="794"/>
      <c r="W392" s="794"/>
      <c r="X392" s="794"/>
      <c r="Y392" s="794"/>
      <c r="Z392" s="794"/>
      <c r="AA392" s="794"/>
      <c r="AB392" s="794"/>
      <c r="AC392" s="794"/>
      <c r="AD392" s="794"/>
    </row>
    <row r="393" spans="1:35" ht="15" customHeight="1">
      <c r="A393" s="96"/>
      <c r="B393" s="302"/>
      <c r="C393" s="90"/>
      <c r="D393" s="90"/>
      <c r="E393" s="90"/>
      <c r="F393" s="90"/>
      <c r="G393" s="90"/>
      <c r="H393" s="90"/>
      <c r="I393" s="90"/>
      <c r="J393" s="90"/>
      <c r="K393" s="90"/>
      <c r="L393" s="90"/>
      <c r="M393" s="90"/>
      <c r="N393" s="90"/>
      <c r="O393" s="90"/>
      <c r="P393" s="90"/>
      <c r="Q393" s="90"/>
      <c r="R393" s="90"/>
      <c r="S393" s="90"/>
      <c r="T393" s="90"/>
      <c r="U393" s="90"/>
      <c r="V393" s="90"/>
      <c r="W393" s="90"/>
      <c r="X393" s="90"/>
      <c r="Y393" s="90"/>
      <c r="Z393" s="90"/>
      <c r="AA393" s="90"/>
      <c r="AB393" s="90"/>
      <c r="AC393" s="90"/>
      <c r="AD393" s="90"/>
    </row>
    <row r="394" spans="1:35" ht="15" customHeight="1">
      <c r="A394" s="96"/>
      <c r="B394" s="90"/>
      <c r="C394" s="90"/>
      <c r="D394" s="90"/>
      <c r="E394" s="90"/>
      <c r="F394" s="90"/>
      <c r="G394" s="90"/>
      <c r="H394" s="90"/>
      <c r="I394" s="90"/>
      <c r="J394" s="90"/>
      <c r="K394" s="90"/>
      <c r="L394" s="90"/>
      <c r="M394" s="90"/>
      <c r="N394" s="90"/>
      <c r="O394" s="90"/>
      <c r="P394" s="90"/>
      <c r="Q394" s="90"/>
      <c r="R394" s="90"/>
      <c r="S394" s="90"/>
      <c r="T394" s="90"/>
      <c r="U394" s="90"/>
      <c r="V394" s="90"/>
      <c r="W394" s="90"/>
      <c r="X394" s="90"/>
      <c r="Y394" s="90"/>
      <c r="Z394" s="90"/>
      <c r="AA394" s="90"/>
      <c r="AB394" s="90"/>
      <c r="AC394" s="90"/>
      <c r="AD394" s="90"/>
    </row>
    <row r="395" spans="1:35" ht="15" customHeight="1">
      <c r="A395" s="96"/>
      <c r="B395" s="90"/>
      <c r="C395" s="90"/>
      <c r="D395" s="90"/>
      <c r="E395" s="90"/>
      <c r="F395" s="90"/>
      <c r="G395" s="90"/>
      <c r="H395" s="90"/>
      <c r="I395" s="90"/>
      <c r="J395" s="90"/>
      <c r="K395" s="90"/>
      <c r="L395" s="90"/>
      <c r="M395" s="90"/>
      <c r="N395" s="90"/>
      <c r="O395" s="90"/>
      <c r="P395" s="90"/>
      <c r="Q395" s="90"/>
      <c r="R395" s="90"/>
      <c r="S395" s="90"/>
      <c r="T395" s="90"/>
      <c r="U395" s="90"/>
      <c r="V395" s="90"/>
      <c r="W395" s="90"/>
      <c r="X395" s="90"/>
      <c r="Y395" s="90"/>
      <c r="Z395" s="90"/>
      <c r="AA395" s="90"/>
      <c r="AB395" s="90"/>
      <c r="AC395" s="90"/>
      <c r="AD395" s="90"/>
    </row>
    <row r="396" spans="1:35" ht="15" customHeight="1">
      <c r="A396" s="96"/>
      <c r="B396" s="90"/>
      <c r="C396" s="90"/>
      <c r="D396" s="90"/>
      <c r="E396" s="90"/>
      <c r="F396" s="90"/>
      <c r="G396" s="90"/>
      <c r="H396" s="90"/>
      <c r="I396" s="90"/>
      <c r="J396" s="90"/>
      <c r="K396" s="90"/>
      <c r="L396" s="90"/>
      <c r="M396" s="90"/>
      <c r="N396" s="90"/>
      <c r="O396" s="90"/>
      <c r="P396" s="90"/>
      <c r="Q396" s="90"/>
      <c r="R396" s="90"/>
      <c r="S396" s="90"/>
      <c r="T396" s="90"/>
      <c r="U396" s="90"/>
      <c r="V396" s="90"/>
      <c r="W396" s="90"/>
      <c r="X396" s="90"/>
      <c r="Y396" s="90"/>
      <c r="Z396" s="90"/>
      <c r="AA396" s="90"/>
      <c r="AB396" s="90"/>
      <c r="AC396" s="90"/>
      <c r="AD396" s="90"/>
    </row>
    <row r="397" spans="1:35" ht="15" customHeight="1" thickBot="1">
      <c r="A397" s="96"/>
      <c r="B397" s="90"/>
      <c r="C397" s="90"/>
      <c r="D397" s="90"/>
      <c r="E397" s="90"/>
      <c r="F397" s="90"/>
      <c r="G397" s="90"/>
      <c r="H397" s="90"/>
      <c r="I397" s="90"/>
      <c r="J397" s="90"/>
      <c r="K397" s="90"/>
      <c r="L397" s="90"/>
      <c r="M397" s="90"/>
      <c r="N397" s="90"/>
      <c r="O397" s="90"/>
      <c r="P397" s="90"/>
      <c r="Q397" s="90"/>
      <c r="R397" s="90"/>
      <c r="S397" s="90"/>
      <c r="T397" s="90"/>
      <c r="U397" s="90"/>
      <c r="V397" s="90"/>
      <c r="W397" s="90"/>
      <c r="X397" s="90"/>
      <c r="Y397" s="90"/>
      <c r="Z397" s="90"/>
      <c r="AA397" s="90"/>
      <c r="AB397" s="90"/>
      <c r="AC397" s="90"/>
      <c r="AD397" s="90"/>
    </row>
    <row r="398" spans="1:35" customFormat="1" ht="15" customHeight="1" thickBot="1">
      <c r="A398" s="660" t="s">
        <v>2563</v>
      </c>
      <c r="B398" s="831" t="s">
        <v>2873</v>
      </c>
      <c r="C398" s="832"/>
      <c r="D398" s="832"/>
      <c r="E398" s="832"/>
      <c r="F398" s="832"/>
      <c r="G398" s="832"/>
      <c r="H398" s="832"/>
      <c r="I398" s="832"/>
      <c r="J398" s="832"/>
      <c r="K398" s="832"/>
      <c r="L398" s="832"/>
      <c r="M398" s="832"/>
      <c r="N398" s="832"/>
      <c r="O398" s="832"/>
      <c r="P398" s="832"/>
      <c r="Q398" s="832"/>
      <c r="R398" s="832"/>
      <c r="S398" s="832"/>
      <c r="T398" s="832"/>
      <c r="U398" s="832"/>
      <c r="V398" s="832"/>
      <c r="W398" s="832"/>
      <c r="X398" s="832"/>
      <c r="Y398" s="832"/>
      <c r="Z398" s="832"/>
      <c r="AA398" s="832"/>
      <c r="AB398" s="832"/>
      <c r="AC398" s="832"/>
      <c r="AD398" s="833"/>
    </row>
    <row r="399" spans="1:35" ht="15" customHeight="1">
      <c r="A399" s="94"/>
      <c r="B399" s="852" t="s">
        <v>2565</v>
      </c>
      <c r="C399" s="853"/>
      <c r="D399" s="853"/>
      <c r="E399" s="853"/>
      <c r="F399" s="853"/>
      <c r="G399" s="853"/>
      <c r="H399" s="853"/>
      <c r="I399" s="853"/>
      <c r="J399" s="853"/>
      <c r="K399" s="853"/>
      <c r="L399" s="853"/>
      <c r="M399" s="853"/>
      <c r="N399" s="853"/>
      <c r="O399" s="853"/>
      <c r="P399" s="853"/>
      <c r="Q399" s="853"/>
      <c r="R399" s="853"/>
      <c r="S399" s="853"/>
      <c r="T399" s="853"/>
      <c r="U399" s="853"/>
      <c r="V399" s="853"/>
      <c r="W399" s="853"/>
      <c r="X399" s="853"/>
      <c r="Y399" s="853"/>
      <c r="Z399" s="853"/>
      <c r="AA399" s="853"/>
      <c r="AB399" s="853"/>
      <c r="AC399" s="853"/>
      <c r="AD399" s="854"/>
    </row>
    <row r="400" spans="1:35" ht="24" customHeight="1">
      <c r="A400" s="146"/>
      <c r="B400" s="95"/>
      <c r="C400" s="764" t="s">
        <v>2874</v>
      </c>
      <c r="D400" s="876"/>
      <c r="E400" s="876"/>
      <c r="F400" s="876"/>
      <c r="G400" s="876"/>
      <c r="H400" s="876"/>
      <c r="I400" s="876"/>
      <c r="J400" s="876"/>
      <c r="K400" s="876"/>
      <c r="L400" s="876"/>
      <c r="M400" s="876"/>
      <c r="N400" s="876"/>
      <c r="O400" s="876"/>
      <c r="P400" s="876"/>
      <c r="Q400" s="876"/>
      <c r="R400" s="876"/>
      <c r="S400" s="876"/>
      <c r="T400" s="876"/>
      <c r="U400" s="876"/>
      <c r="V400" s="876"/>
      <c r="W400" s="876"/>
      <c r="X400" s="876"/>
      <c r="Y400" s="876"/>
      <c r="Z400" s="876"/>
      <c r="AA400" s="876"/>
      <c r="AB400" s="876"/>
      <c r="AC400" s="876"/>
      <c r="AD400" s="877"/>
    </row>
    <row r="401" spans="1:35" ht="15" customHeight="1">
      <c r="A401" s="103"/>
      <c r="B401" s="57"/>
      <c r="C401" s="57"/>
      <c r="D401" s="57"/>
      <c r="E401" s="57"/>
      <c r="F401" s="57"/>
      <c r="G401" s="57"/>
      <c r="H401" s="57"/>
      <c r="I401" s="57"/>
      <c r="J401" s="57"/>
      <c r="K401" s="57"/>
      <c r="L401" s="57"/>
      <c r="M401" s="57"/>
      <c r="N401" s="57"/>
      <c r="O401" s="57"/>
      <c r="P401" s="57"/>
      <c r="Q401" s="57"/>
      <c r="R401" s="57"/>
      <c r="S401" s="57"/>
      <c r="T401" s="57"/>
      <c r="U401" s="57"/>
      <c r="V401" s="57"/>
      <c r="W401" s="57"/>
      <c r="X401" s="57"/>
      <c r="Y401" s="57"/>
      <c r="Z401" s="57"/>
      <c r="AA401" s="57"/>
      <c r="AB401" s="57"/>
      <c r="AC401" s="57"/>
      <c r="AD401" s="57"/>
    </row>
    <row r="402" spans="1:35" ht="36" customHeight="1">
      <c r="A402" s="49" t="s">
        <v>2875</v>
      </c>
      <c r="B402" s="829" t="s">
        <v>2876</v>
      </c>
      <c r="C402" s="829"/>
      <c r="D402" s="829"/>
      <c r="E402" s="829"/>
      <c r="F402" s="829"/>
      <c r="G402" s="829"/>
      <c r="H402" s="829"/>
      <c r="I402" s="829"/>
      <c r="J402" s="829"/>
      <c r="K402" s="829"/>
      <c r="L402" s="829"/>
      <c r="M402" s="829"/>
      <c r="N402" s="829"/>
      <c r="O402" s="829"/>
      <c r="P402" s="829"/>
      <c r="Q402" s="829"/>
      <c r="R402" s="829"/>
      <c r="S402" s="829"/>
      <c r="T402" s="829"/>
      <c r="U402" s="829"/>
      <c r="V402" s="829"/>
      <c r="W402" s="829"/>
      <c r="X402" s="829"/>
      <c r="Y402" s="829"/>
      <c r="Z402" s="829"/>
      <c r="AA402" s="829"/>
      <c r="AB402" s="829"/>
      <c r="AC402" s="829"/>
      <c r="AD402" s="829"/>
    </row>
    <row r="403" spans="1:35" ht="24" customHeight="1">
      <c r="A403" s="49"/>
      <c r="B403" s="105"/>
      <c r="C403" s="878" t="s">
        <v>2877</v>
      </c>
      <c r="D403" s="878"/>
      <c r="E403" s="878"/>
      <c r="F403" s="878"/>
      <c r="G403" s="878"/>
      <c r="H403" s="878"/>
      <c r="I403" s="878"/>
      <c r="J403" s="878"/>
      <c r="K403" s="878"/>
      <c r="L403" s="878"/>
      <c r="M403" s="878"/>
      <c r="N403" s="878"/>
      <c r="O403" s="878"/>
      <c r="P403" s="878"/>
      <c r="Q403" s="878"/>
      <c r="R403" s="878"/>
      <c r="S403" s="878"/>
      <c r="T403" s="878"/>
      <c r="U403" s="878"/>
      <c r="V403" s="878"/>
      <c r="W403" s="878"/>
      <c r="X403" s="878"/>
      <c r="Y403" s="878"/>
      <c r="Z403" s="878"/>
      <c r="AA403" s="878"/>
      <c r="AB403" s="878"/>
      <c r="AC403" s="878"/>
      <c r="AD403" s="878"/>
    </row>
    <row r="404" spans="1:35" ht="24" customHeight="1">
      <c r="A404" s="50"/>
      <c r="B404" s="57"/>
      <c r="C404" s="754" t="s">
        <v>2878</v>
      </c>
      <c r="D404" s="754"/>
      <c r="E404" s="754"/>
      <c r="F404" s="754"/>
      <c r="G404" s="754"/>
      <c r="H404" s="754"/>
      <c r="I404" s="754"/>
      <c r="J404" s="754"/>
      <c r="K404" s="754"/>
      <c r="L404" s="754"/>
      <c r="M404" s="754"/>
      <c r="N404" s="754"/>
      <c r="O404" s="754"/>
      <c r="P404" s="754"/>
      <c r="Q404" s="754"/>
      <c r="R404" s="754"/>
      <c r="S404" s="754"/>
      <c r="T404" s="754"/>
      <c r="U404" s="754"/>
      <c r="V404" s="754"/>
      <c r="W404" s="754"/>
      <c r="X404" s="754"/>
      <c r="Y404" s="754"/>
      <c r="Z404" s="754"/>
      <c r="AA404" s="754"/>
      <c r="AB404" s="754"/>
      <c r="AC404" s="754"/>
      <c r="AD404" s="754"/>
    </row>
    <row r="405" spans="1:35" ht="15" customHeight="1">
      <c r="A405" s="50"/>
      <c r="B405" s="57"/>
      <c r="C405" s="754" t="s">
        <v>2879</v>
      </c>
      <c r="D405" s="754"/>
      <c r="E405" s="754"/>
      <c r="F405" s="754"/>
      <c r="G405" s="754"/>
      <c r="H405" s="754"/>
      <c r="I405" s="754"/>
      <c r="J405" s="754"/>
      <c r="K405" s="754"/>
      <c r="L405" s="754"/>
      <c r="M405" s="754"/>
      <c r="N405" s="754"/>
      <c r="O405" s="754"/>
      <c r="P405" s="754"/>
      <c r="Q405" s="754"/>
      <c r="R405" s="754"/>
      <c r="S405" s="754"/>
      <c r="T405" s="754"/>
      <c r="U405" s="754"/>
      <c r="V405" s="754"/>
      <c r="W405" s="754"/>
      <c r="X405" s="754"/>
      <c r="Y405" s="754"/>
      <c r="Z405" s="754"/>
      <c r="AA405" s="754"/>
      <c r="AB405" s="754"/>
      <c r="AC405" s="754"/>
      <c r="AD405" s="754"/>
    </row>
    <row r="406" spans="1:35" ht="48" customHeight="1">
      <c r="A406" s="50"/>
      <c r="B406" s="57"/>
      <c r="C406" s="754" t="s">
        <v>2880</v>
      </c>
      <c r="D406" s="830"/>
      <c r="E406" s="830"/>
      <c r="F406" s="830"/>
      <c r="G406" s="830"/>
      <c r="H406" s="830"/>
      <c r="I406" s="830"/>
      <c r="J406" s="830"/>
      <c r="K406" s="830"/>
      <c r="L406" s="830"/>
      <c r="M406" s="830"/>
      <c r="N406" s="830"/>
      <c r="O406" s="830"/>
      <c r="P406" s="830"/>
      <c r="Q406" s="830"/>
      <c r="R406" s="830"/>
      <c r="S406" s="830"/>
      <c r="T406" s="830"/>
      <c r="U406" s="830"/>
      <c r="V406" s="830"/>
      <c r="W406" s="830"/>
      <c r="X406" s="830"/>
      <c r="Y406" s="830"/>
      <c r="Z406" s="830"/>
      <c r="AA406" s="830"/>
      <c r="AB406" s="830"/>
      <c r="AC406" s="830"/>
      <c r="AD406" s="830"/>
    </row>
    <row r="407" spans="1:35" ht="36" customHeight="1">
      <c r="A407" s="50"/>
      <c r="B407" s="57"/>
      <c r="C407" s="830" t="s">
        <v>2881</v>
      </c>
      <c r="D407" s="830"/>
      <c r="E407" s="830"/>
      <c r="F407" s="830"/>
      <c r="G407" s="830"/>
      <c r="H407" s="830"/>
      <c r="I407" s="830"/>
      <c r="J407" s="830"/>
      <c r="K407" s="830"/>
      <c r="L407" s="830"/>
      <c r="M407" s="830"/>
      <c r="N407" s="830"/>
      <c r="O407" s="830"/>
      <c r="P407" s="830"/>
      <c r="Q407" s="830"/>
      <c r="R407" s="830"/>
      <c r="S407" s="830"/>
      <c r="T407" s="830"/>
      <c r="U407" s="830"/>
      <c r="V407" s="830"/>
      <c r="W407" s="830"/>
      <c r="X407" s="830"/>
      <c r="Y407" s="830"/>
      <c r="Z407" s="830"/>
      <c r="AA407" s="830"/>
      <c r="AB407" s="830"/>
      <c r="AC407" s="830"/>
      <c r="AD407" s="830"/>
    </row>
    <row r="408" spans="1:35" ht="24" customHeight="1">
      <c r="A408" s="50"/>
      <c r="B408" s="57"/>
      <c r="C408" s="830" t="s">
        <v>2882</v>
      </c>
      <c r="D408" s="830"/>
      <c r="E408" s="830"/>
      <c r="F408" s="830"/>
      <c r="G408" s="830"/>
      <c r="H408" s="830"/>
      <c r="I408" s="830"/>
      <c r="J408" s="830"/>
      <c r="K408" s="830"/>
      <c r="L408" s="830"/>
      <c r="M408" s="830"/>
      <c r="N408" s="830"/>
      <c r="O408" s="830"/>
      <c r="P408" s="830"/>
      <c r="Q408" s="830"/>
      <c r="R408" s="830"/>
      <c r="S408" s="830"/>
      <c r="T408" s="830"/>
      <c r="U408" s="830"/>
      <c r="V408" s="830"/>
      <c r="W408" s="830"/>
      <c r="X408" s="830"/>
      <c r="Y408" s="830"/>
      <c r="Z408" s="830"/>
      <c r="AA408" s="830"/>
      <c r="AB408" s="830"/>
      <c r="AC408" s="830"/>
      <c r="AD408" s="830"/>
    </row>
    <row r="409" spans="1:35" ht="15" customHeight="1">
      <c r="A409" s="103"/>
      <c r="B409" s="57"/>
      <c r="C409" s="57"/>
      <c r="D409" s="57"/>
      <c r="E409" s="57"/>
      <c r="F409" s="57"/>
      <c r="G409" s="57"/>
      <c r="H409" s="57"/>
      <c r="I409" s="57"/>
      <c r="J409" s="57"/>
      <c r="L409" s="57"/>
      <c r="M409" s="57"/>
      <c r="N409" s="57"/>
      <c r="O409" s="57"/>
      <c r="P409" s="57"/>
      <c r="Q409" s="57"/>
      <c r="R409" s="57"/>
      <c r="S409" s="57"/>
      <c r="T409" s="57"/>
      <c r="U409" s="57"/>
      <c r="V409" s="57"/>
      <c r="W409" s="57"/>
      <c r="X409" s="57"/>
      <c r="Y409" s="57"/>
      <c r="Z409" s="57"/>
      <c r="AA409" s="57"/>
      <c r="AB409" s="57"/>
      <c r="AC409" s="57"/>
      <c r="AD409" s="57"/>
    </row>
    <row r="410" spans="1:35" ht="15" customHeight="1">
      <c r="A410" s="49"/>
      <c r="B410" s="57"/>
      <c r="C410" s="86"/>
      <c r="D410" s="86"/>
      <c r="E410" s="86"/>
      <c r="F410" s="86"/>
      <c r="G410" s="86"/>
      <c r="H410" s="86"/>
      <c r="I410" s="86"/>
      <c r="J410" s="86"/>
      <c r="K410" s="86"/>
      <c r="L410" s="86"/>
      <c r="M410" s="86"/>
      <c r="N410" s="86"/>
      <c r="O410" s="86"/>
      <c r="P410" s="86"/>
      <c r="Q410" s="86"/>
      <c r="R410" s="86"/>
      <c r="S410" s="86"/>
      <c r="T410" s="86"/>
      <c r="U410" s="86"/>
      <c r="V410" s="86"/>
      <c r="W410" s="86"/>
      <c r="X410" s="86"/>
      <c r="Y410" s="86"/>
      <c r="Z410" s="86"/>
      <c r="AA410" s="875" t="s">
        <v>2664</v>
      </c>
      <c r="AB410" s="875"/>
      <c r="AC410" s="875"/>
      <c r="AD410" s="875"/>
    </row>
    <row r="411" spans="1:35" ht="144" customHeight="1">
      <c r="A411" s="49"/>
      <c r="B411" s="57"/>
      <c r="C411" s="847" t="s">
        <v>2581</v>
      </c>
      <c r="D411" s="848"/>
      <c r="E411" s="857" t="s">
        <v>2883</v>
      </c>
      <c r="F411" s="857"/>
      <c r="G411" s="739" t="s">
        <v>2884</v>
      </c>
      <c r="H411" s="740"/>
      <c r="I411" s="740"/>
      <c r="J411" s="740"/>
      <c r="K411" s="740"/>
      <c r="L411" s="740"/>
      <c r="M411" s="740"/>
      <c r="N411" s="740"/>
      <c r="O411" s="740"/>
      <c r="P411" s="740"/>
      <c r="Q411" s="740"/>
      <c r="R411" s="740"/>
      <c r="S411" s="740"/>
      <c r="T411" s="740"/>
      <c r="U411" s="740"/>
      <c r="V411" s="740"/>
      <c r="W411" s="740"/>
      <c r="X411" s="740"/>
      <c r="Y411" s="740"/>
      <c r="Z411" s="740"/>
      <c r="AA411" s="740"/>
      <c r="AB411" s="740"/>
      <c r="AC411" s="740"/>
      <c r="AD411" s="741"/>
    </row>
    <row r="412" spans="1:35" ht="15" customHeight="1">
      <c r="A412" s="49"/>
      <c r="B412" s="57"/>
      <c r="C412" s="849"/>
      <c r="D412" s="850"/>
      <c r="E412" s="857"/>
      <c r="F412" s="857"/>
      <c r="G412" s="44" t="s">
        <v>2516</v>
      </c>
      <c r="H412" s="44" t="s">
        <v>2517</v>
      </c>
      <c r="I412" s="44" t="s">
        <v>2518</v>
      </c>
      <c r="J412" s="44" t="s">
        <v>2519</v>
      </c>
      <c r="K412" s="44" t="s">
        <v>2520</v>
      </c>
      <c r="L412" s="44" t="s">
        <v>2521</v>
      </c>
      <c r="M412" s="44" t="s">
        <v>2522</v>
      </c>
      <c r="N412" s="44" t="s">
        <v>2523</v>
      </c>
      <c r="O412" s="44" t="s">
        <v>2524</v>
      </c>
      <c r="P412" s="44" t="s">
        <v>2525</v>
      </c>
      <c r="Q412" s="44" t="s">
        <v>2526</v>
      </c>
      <c r="R412" s="44" t="s">
        <v>2527</v>
      </c>
      <c r="S412" s="44" t="s">
        <v>2528</v>
      </c>
      <c r="T412" s="44" t="s">
        <v>2529</v>
      </c>
      <c r="U412" s="44" t="s">
        <v>2530</v>
      </c>
      <c r="V412" s="44" t="s">
        <v>2531</v>
      </c>
      <c r="W412" s="44" t="s">
        <v>2532</v>
      </c>
      <c r="X412" s="44" t="s">
        <v>2533</v>
      </c>
      <c r="Y412" s="44" t="s">
        <v>2534</v>
      </c>
      <c r="Z412" s="44" t="s">
        <v>2535</v>
      </c>
      <c r="AA412" s="44" t="s">
        <v>2536</v>
      </c>
      <c r="AB412" s="44" t="s">
        <v>2537</v>
      </c>
      <c r="AC412" s="44" t="s">
        <v>2538</v>
      </c>
      <c r="AD412" s="44" t="s">
        <v>2539</v>
      </c>
      <c r="AG412" s="247" t="s">
        <v>2586</v>
      </c>
      <c r="AH412" s="301" t="s">
        <v>2885</v>
      </c>
      <c r="AI412" s="258" t="s">
        <v>2620</v>
      </c>
    </row>
    <row r="413" spans="1:35" ht="15" customHeight="1">
      <c r="A413" s="49"/>
      <c r="B413" s="57"/>
      <c r="C413" s="44" t="s">
        <v>2516</v>
      </c>
      <c r="D413" s="616" t="str">
        <f>IF(CNSIPEE_2024_M2_Secc1!D42="","",CNSIPEE_2024_M2_Secc1!D42)</f>
        <v/>
      </c>
      <c r="E413" s="816"/>
      <c r="F413" s="817"/>
      <c r="G413" s="87"/>
      <c r="H413" s="88"/>
      <c r="I413" s="88"/>
      <c r="J413" s="88"/>
      <c r="K413" s="88"/>
      <c r="L413" s="88"/>
      <c r="M413" s="88"/>
      <c r="N413" s="88"/>
      <c r="O413" s="88"/>
      <c r="P413" s="88"/>
      <c r="Q413" s="88"/>
      <c r="R413" s="88"/>
      <c r="S413" s="88"/>
      <c r="T413" s="88"/>
      <c r="U413" s="88"/>
      <c r="V413" s="88"/>
      <c r="W413" s="88"/>
      <c r="X413" s="88"/>
      <c r="Y413" s="88"/>
      <c r="Z413" s="88"/>
      <c r="AA413" s="88"/>
      <c r="AB413" s="88"/>
      <c r="AC413" s="88"/>
      <c r="AD413" s="88"/>
      <c r="AG413" s="249">
        <f>IF(AND(COUNTBLANK(D413)=0,$E413&lt;&gt;"",$E413&lt;&gt;1,COUNTA(G413:AD413,G425:AD425)=0),0,IF(AND(COUNTBLANK(D413)=0,$E413&lt;&gt;"",$E413=1,COUNTA(G413:AD413)=COUNTA(G425:AD425)),0,IF(AND(COUNTBLANK(D413)=1,COUNTA(G413:AD413,G425:AD425)=0),0,1)))</f>
        <v>0</v>
      </c>
      <c r="AH413" s="253">
        <f>IF(COUNTIF(AD413:AD420,"X")&gt;0,1,0)</f>
        <v>0</v>
      </c>
      <c r="AI413" s="253">
        <f>IF(AND($E413&lt;&gt;"",$E413&lt;&gt;1,COUNTA(G413:AD413,G425:AD425)&gt;0),1,0)</f>
        <v>0</v>
      </c>
    </row>
    <row r="414" spans="1:35" ht="15" customHeight="1">
      <c r="A414" s="49"/>
      <c r="B414" s="57"/>
      <c r="C414" s="44" t="s">
        <v>2517</v>
      </c>
      <c r="D414" s="616" t="str">
        <f>IF(CNSIPEE_2024_M2_Secc1!D43="","",CNSIPEE_2024_M2_Secc1!D43)</f>
        <v/>
      </c>
      <c r="E414" s="816"/>
      <c r="F414" s="817"/>
      <c r="G414" s="87"/>
      <c r="H414" s="88"/>
      <c r="I414" s="88"/>
      <c r="J414" s="88"/>
      <c r="K414" s="88"/>
      <c r="L414" s="88"/>
      <c r="M414" s="88"/>
      <c r="N414" s="88"/>
      <c r="O414" s="88"/>
      <c r="P414" s="88"/>
      <c r="Q414" s="88"/>
      <c r="R414" s="88"/>
      <c r="S414" s="88"/>
      <c r="T414" s="88"/>
      <c r="U414" s="88"/>
      <c r="V414" s="88"/>
      <c r="W414" s="88"/>
      <c r="X414" s="88"/>
      <c r="Y414" s="88"/>
      <c r="Z414" s="88"/>
      <c r="AA414" s="88"/>
      <c r="AB414" s="88"/>
      <c r="AC414" s="88"/>
      <c r="AD414" s="88"/>
      <c r="AG414" s="249">
        <f t="shared" ref="AG414:AG420" si="143">IF(AND(COUNTBLANK(D414)=0,$E414&lt;&gt;"",$E414&lt;&gt;1,COUNTA(G414:AD414,G426:AD426)=0),0,IF(AND(COUNTBLANK(D414)=0,$E414&lt;&gt;"",$E414=1,COUNTA(G414:AD414)=COUNTA(G426:AD426)),0,IF(AND(COUNTBLANK(D414)=1,COUNTA(G414:AD414,G426:AD426)=0),0,1)))</f>
        <v>0</v>
      </c>
      <c r="AI414" s="253">
        <f t="shared" ref="AI414:AI420" si="144">IF(AND($E414&lt;&gt;"",$E414&lt;&gt;1,COUNTA(G414:AD414,G426:AD426)&gt;0),1,0)</f>
        <v>0</v>
      </c>
    </row>
    <row r="415" spans="1:35" ht="15" customHeight="1">
      <c r="A415" s="49"/>
      <c r="B415" s="57"/>
      <c r="C415" s="44" t="s">
        <v>2518</v>
      </c>
      <c r="D415" s="616" t="str">
        <f>IF(CNSIPEE_2024_M2_Secc1!D44="","",CNSIPEE_2024_M2_Secc1!D44)</f>
        <v/>
      </c>
      <c r="E415" s="816"/>
      <c r="F415" s="817"/>
      <c r="G415" s="87"/>
      <c r="H415" s="88"/>
      <c r="I415" s="88"/>
      <c r="J415" s="88"/>
      <c r="K415" s="88"/>
      <c r="L415" s="88"/>
      <c r="M415" s="88"/>
      <c r="N415" s="88"/>
      <c r="O415" s="88"/>
      <c r="P415" s="88"/>
      <c r="Q415" s="88"/>
      <c r="R415" s="88"/>
      <c r="S415" s="88"/>
      <c r="T415" s="88"/>
      <c r="U415" s="88"/>
      <c r="V415" s="88"/>
      <c r="W415" s="88"/>
      <c r="X415" s="88"/>
      <c r="Y415" s="88"/>
      <c r="Z415" s="88"/>
      <c r="AA415" s="88"/>
      <c r="AB415" s="88"/>
      <c r="AC415" s="88"/>
      <c r="AD415" s="88"/>
      <c r="AG415" s="249">
        <f t="shared" si="143"/>
        <v>0</v>
      </c>
      <c r="AI415" s="253">
        <f t="shared" si="144"/>
        <v>0</v>
      </c>
    </row>
    <row r="416" spans="1:35" ht="15" customHeight="1">
      <c r="A416" s="49"/>
      <c r="B416" s="57"/>
      <c r="C416" s="44" t="s">
        <v>2519</v>
      </c>
      <c r="D416" s="616" t="str">
        <f>IF(CNSIPEE_2024_M2_Secc1!D45="","",CNSIPEE_2024_M2_Secc1!D45)</f>
        <v/>
      </c>
      <c r="E416" s="816"/>
      <c r="F416" s="817"/>
      <c r="G416" s="87"/>
      <c r="H416" s="88"/>
      <c r="I416" s="88"/>
      <c r="J416" s="88"/>
      <c r="K416" s="88"/>
      <c r="L416" s="88"/>
      <c r="M416" s="88"/>
      <c r="N416" s="88"/>
      <c r="O416" s="88"/>
      <c r="P416" s="88"/>
      <c r="Q416" s="88"/>
      <c r="R416" s="88"/>
      <c r="S416" s="88"/>
      <c r="T416" s="88"/>
      <c r="U416" s="88"/>
      <c r="V416" s="88"/>
      <c r="W416" s="88"/>
      <c r="X416" s="88"/>
      <c r="Y416" s="88"/>
      <c r="Z416" s="88"/>
      <c r="AA416" s="88"/>
      <c r="AB416" s="88"/>
      <c r="AC416" s="88"/>
      <c r="AD416" s="88"/>
      <c r="AG416" s="249">
        <f t="shared" si="143"/>
        <v>0</v>
      </c>
      <c r="AI416" s="253">
        <f t="shared" si="144"/>
        <v>0</v>
      </c>
    </row>
    <row r="417" spans="1:35" ht="15" customHeight="1">
      <c r="A417" s="49"/>
      <c r="B417" s="57"/>
      <c r="C417" s="44" t="s">
        <v>2520</v>
      </c>
      <c r="D417" s="616" t="str">
        <f>IF(CNSIPEE_2024_M2_Secc1!D46="","",CNSIPEE_2024_M2_Secc1!D46)</f>
        <v/>
      </c>
      <c r="E417" s="816"/>
      <c r="F417" s="817"/>
      <c r="G417" s="87"/>
      <c r="H417" s="88"/>
      <c r="I417" s="88"/>
      <c r="J417" s="88"/>
      <c r="K417" s="88"/>
      <c r="L417" s="88"/>
      <c r="M417" s="88"/>
      <c r="N417" s="88"/>
      <c r="O417" s="88"/>
      <c r="P417" s="88"/>
      <c r="Q417" s="88"/>
      <c r="R417" s="88"/>
      <c r="S417" s="88"/>
      <c r="T417" s="88"/>
      <c r="U417" s="88"/>
      <c r="V417" s="88"/>
      <c r="W417" s="88"/>
      <c r="X417" s="88"/>
      <c r="Y417" s="88"/>
      <c r="Z417" s="88"/>
      <c r="AA417" s="88"/>
      <c r="AB417" s="88"/>
      <c r="AC417" s="88"/>
      <c r="AD417" s="88"/>
      <c r="AG417" s="249">
        <f t="shared" si="143"/>
        <v>0</v>
      </c>
      <c r="AI417" s="253">
        <f t="shared" si="144"/>
        <v>0</v>
      </c>
    </row>
    <row r="418" spans="1:35" ht="15" customHeight="1">
      <c r="A418" s="49"/>
      <c r="B418" s="57"/>
      <c r="C418" s="44" t="s">
        <v>2521</v>
      </c>
      <c r="D418" s="616" t="str">
        <f>IF(CNSIPEE_2024_M2_Secc1!D47="","",CNSIPEE_2024_M2_Secc1!D47)</f>
        <v/>
      </c>
      <c r="E418" s="816"/>
      <c r="F418" s="817"/>
      <c r="G418" s="87"/>
      <c r="H418" s="88"/>
      <c r="I418" s="88"/>
      <c r="J418" s="88"/>
      <c r="K418" s="88"/>
      <c r="L418" s="88"/>
      <c r="M418" s="88"/>
      <c r="N418" s="88"/>
      <c r="O418" s="88"/>
      <c r="P418" s="88"/>
      <c r="Q418" s="88"/>
      <c r="R418" s="88"/>
      <c r="S418" s="88"/>
      <c r="T418" s="88"/>
      <c r="U418" s="88"/>
      <c r="V418" s="88"/>
      <c r="W418" s="88"/>
      <c r="X418" s="88"/>
      <c r="Y418" s="88"/>
      <c r="Z418" s="88"/>
      <c r="AA418" s="88"/>
      <c r="AB418" s="88"/>
      <c r="AC418" s="88"/>
      <c r="AD418" s="88"/>
      <c r="AG418" s="249">
        <f t="shared" si="143"/>
        <v>0</v>
      </c>
      <c r="AI418" s="253">
        <f t="shared" si="144"/>
        <v>0</v>
      </c>
    </row>
    <row r="419" spans="1:35" ht="15" customHeight="1">
      <c r="A419" s="49"/>
      <c r="B419" s="57"/>
      <c r="C419" s="44" t="s">
        <v>2522</v>
      </c>
      <c r="D419" s="616" t="str">
        <f>IF(CNSIPEE_2024_M2_Secc1!D48="","",CNSIPEE_2024_M2_Secc1!D48)</f>
        <v/>
      </c>
      <c r="E419" s="816"/>
      <c r="F419" s="817"/>
      <c r="G419" s="87"/>
      <c r="H419" s="88"/>
      <c r="I419" s="88"/>
      <c r="J419" s="88"/>
      <c r="K419" s="88"/>
      <c r="L419" s="88"/>
      <c r="M419" s="88"/>
      <c r="N419" s="88"/>
      <c r="O419" s="88"/>
      <c r="P419" s="88"/>
      <c r="Q419" s="88"/>
      <c r="R419" s="88"/>
      <c r="S419" s="88"/>
      <c r="T419" s="88"/>
      <c r="U419" s="88"/>
      <c r="V419" s="88"/>
      <c r="W419" s="88"/>
      <c r="X419" s="88"/>
      <c r="Y419" s="88"/>
      <c r="Z419" s="88"/>
      <c r="AA419" s="88"/>
      <c r="AB419" s="88"/>
      <c r="AC419" s="88"/>
      <c r="AD419" s="88"/>
      <c r="AG419" s="249">
        <f t="shared" si="143"/>
        <v>0</v>
      </c>
      <c r="AI419" s="253">
        <f t="shared" si="144"/>
        <v>0</v>
      </c>
    </row>
    <row r="420" spans="1:35" ht="15" customHeight="1">
      <c r="A420" s="49"/>
      <c r="B420" s="57"/>
      <c r="C420" s="44" t="s">
        <v>2523</v>
      </c>
      <c r="D420" s="616" t="str">
        <f>IF(CNSIPEE_2024_M2_Secc1!D49="","",CNSIPEE_2024_M2_Secc1!D49)</f>
        <v/>
      </c>
      <c r="E420" s="816"/>
      <c r="F420" s="817"/>
      <c r="G420" s="87"/>
      <c r="H420" s="88"/>
      <c r="I420" s="88"/>
      <c r="J420" s="88"/>
      <c r="K420" s="88"/>
      <c r="L420" s="88"/>
      <c r="M420" s="88"/>
      <c r="N420" s="88"/>
      <c r="O420" s="88"/>
      <c r="P420" s="88"/>
      <c r="Q420" s="88"/>
      <c r="R420" s="88"/>
      <c r="S420" s="88"/>
      <c r="T420" s="88"/>
      <c r="U420" s="88"/>
      <c r="V420" s="88"/>
      <c r="W420" s="88"/>
      <c r="X420" s="88"/>
      <c r="Y420" s="88"/>
      <c r="Z420" s="88"/>
      <c r="AA420" s="88"/>
      <c r="AB420" s="88"/>
      <c r="AC420" s="88"/>
      <c r="AD420" s="88"/>
      <c r="AG420" s="249">
        <f t="shared" si="143"/>
        <v>0</v>
      </c>
      <c r="AI420" s="253">
        <f t="shared" si="144"/>
        <v>0</v>
      </c>
    </row>
    <row r="421" spans="1:35" ht="15" customHeight="1">
      <c r="A421" s="103"/>
      <c r="B421" s="57"/>
      <c r="C421" s="84"/>
      <c r="AG421" s="247">
        <f>SUM(AG413:AG420)</f>
        <v>0</v>
      </c>
      <c r="AI421" s="258">
        <f>SUM(AI413:AI420)</f>
        <v>0</v>
      </c>
    </row>
    <row r="422" spans="1:35" ht="15" customHeight="1">
      <c r="A422" s="49"/>
      <c r="B422" s="57"/>
      <c r="C422" s="86"/>
      <c r="D422" s="86"/>
      <c r="E422" s="86"/>
      <c r="F422" s="86"/>
      <c r="G422" s="86"/>
      <c r="H422" s="86"/>
      <c r="I422" s="86"/>
      <c r="J422" s="86"/>
      <c r="K422" s="86"/>
      <c r="L422" s="86"/>
      <c r="M422" s="86"/>
      <c r="N422" s="86"/>
      <c r="O422" s="86"/>
      <c r="P422" s="86"/>
      <c r="Q422" s="86"/>
      <c r="R422" s="86"/>
      <c r="S422" s="86"/>
      <c r="T422" s="86"/>
      <c r="U422" s="86"/>
      <c r="V422" s="86"/>
      <c r="W422" s="86"/>
      <c r="X422" s="86"/>
      <c r="Y422" s="86"/>
      <c r="Z422" s="86"/>
      <c r="AA422" s="873" t="s">
        <v>2668</v>
      </c>
      <c r="AB422" s="873"/>
      <c r="AC422" s="873"/>
      <c r="AD422" s="873"/>
    </row>
    <row r="423" spans="1:35" ht="144" customHeight="1">
      <c r="A423" s="49"/>
      <c r="B423" s="57"/>
      <c r="C423" s="874" t="s">
        <v>2581</v>
      </c>
      <c r="D423" s="874"/>
      <c r="E423" s="874"/>
      <c r="F423" s="874"/>
      <c r="G423" s="732" t="s">
        <v>2886</v>
      </c>
      <c r="H423" s="732"/>
      <c r="I423" s="732"/>
      <c r="J423" s="732"/>
      <c r="K423" s="732"/>
      <c r="L423" s="732"/>
      <c r="M423" s="732"/>
      <c r="N423" s="732"/>
      <c r="O423" s="732"/>
      <c r="P423" s="732"/>
      <c r="Q423" s="732"/>
      <c r="R423" s="732"/>
      <c r="S423" s="732"/>
      <c r="T423" s="732"/>
      <c r="U423" s="732"/>
      <c r="V423" s="732"/>
      <c r="W423" s="732"/>
      <c r="X423" s="732"/>
      <c r="Y423" s="732"/>
      <c r="Z423" s="732"/>
      <c r="AA423" s="732"/>
      <c r="AB423" s="732"/>
      <c r="AC423" s="732"/>
      <c r="AD423" s="732"/>
    </row>
    <row r="424" spans="1:35" ht="15" customHeight="1">
      <c r="A424" s="49"/>
      <c r="B424" s="57"/>
      <c r="C424" s="874"/>
      <c r="D424" s="874"/>
      <c r="E424" s="874"/>
      <c r="F424" s="874"/>
      <c r="G424" s="44" t="s">
        <v>2516</v>
      </c>
      <c r="H424" s="44" t="s">
        <v>2517</v>
      </c>
      <c r="I424" s="44" t="s">
        <v>2518</v>
      </c>
      <c r="J424" s="44" t="s">
        <v>2519</v>
      </c>
      <c r="K424" s="44" t="s">
        <v>2520</v>
      </c>
      <c r="L424" s="44" t="s">
        <v>2521</v>
      </c>
      <c r="M424" s="44" t="s">
        <v>2522</v>
      </c>
      <c r="N424" s="44" t="s">
        <v>2523</v>
      </c>
      <c r="O424" s="44" t="s">
        <v>2524</v>
      </c>
      <c r="P424" s="44" t="s">
        <v>2525</v>
      </c>
      <c r="Q424" s="44" t="s">
        <v>2526</v>
      </c>
      <c r="R424" s="44" t="s">
        <v>2527</v>
      </c>
      <c r="S424" s="44" t="s">
        <v>2528</v>
      </c>
      <c r="T424" s="44" t="s">
        <v>2529</v>
      </c>
      <c r="U424" s="44" t="s">
        <v>2530</v>
      </c>
      <c r="V424" s="44" t="s">
        <v>2531</v>
      </c>
      <c r="W424" s="44" t="s">
        <v>2532</v>
      </c>
      <c r="X424" s="44" t="s">
        <v>2533</v>
      </c>
      <c r="Y424" s="44" t="s">
        <v>2534</v>
      </c>
      <c r="Z424" s="44" t="s">
        <v>2535</v>
      </c>
      <c r="AA424" s="44" t="s">
        <v>2536</v>
      </c>
      <c r="AB424" s="44" t="s">
        <v>2537</v>
      </c>
      <c r="AC424" s="44" t="s">
        <v>2538</v>
      </c>
      <c r="AD424" s="44" t="s">
        <v>2539</v>
      </c>
    </row>
    <row r="425" spans="1:35" ht="15" customHeight="1">
      <c r="A425" s="49"/>
      <c r="B425" s="57"/>
      <c r="C425" s="44" t="s">
        <v>2516</v>
      </c>
      <c r="D425" s="813" t="str">
        <f>IF(CNSIPEE_2024_M2_Secc1!D42="","",CNSIPEE_2024_M2_Secc1!D42)</f>
        <v/>
      </c>
      <c r="E425" s="814"/>
      <c r="F425" s="815"/>
      <c r="G425" s="88"/>
      <c r="H425" s="88"/>
      <c r="I425" s="88"/>
      <c r="J425" s="88"/>
      <c r="K425" s="88"/>
      <c r="L425" s="88"/>
      <c r="M425" s="88"/>
      <c r="N425" s="88"/>
      <c r="O425" s="88"/>
      <c r="P425" s="88"/>
      <c r="Q425" s="88"/>
      <c r="R425" s="88"/>
      <c r="S425" s="88"/>
      <c r="T425" s="88"/>
      <c r="U425" s="88"/>
      <c r="V425" s="88"/>
      <c r="W425" s="88"/>
      <c r="X425" s="88"/>
      <c r="Y425" s="88"/>
      <c r="Z425" s="88"/>
      <c r="AA425" s="88"/>
      <c r="AB425" s="88"/>
      <c r="AC425" s="88"/>
      <c r="AD425" s="88"/>
    </row>
    <row r="426" spans="1:35" ht="15" customHeight="1">
      <c r="A426" s="49"/>
      <c r="B426" s="57"/>
      <c r="C426" s="44" t="s">
        <v>2517</v>
      </c>
      <c r="D426" s="813" t="str">
        <f>IF(CNSIPEE_2024_M2_Secc1!D43="","",CNSIPEE_2024_M2_Secc1!D43)</f>
        <v/>
      </c>
      <c r="E426" s="814"/>
      <c r="F426" s="815"/>
      <c r="G426" s="88"/>
      <c r="H426" s="88"/>
      <c r="I426" s="88"/>
      <c r="J426" s="88"/>
      <c r="K426" s="88"/>
      <c r="L426" s="88"/>
      <c r="M426" s="88"/>
      <c r="N426" s="88"/>
      <c r="O426" s="88"/>
      <c r="P426" s="88"/>
      <c r="Q426" s="88"/>
      <c r="R426" s="88"/>
      <c r="S426" s="88"/>
      <c r="T426" s="88"/>
      <c r="U426" s="88"/>
      <c r="V426" s="88"/>
      <c r="W426" s="88"/>
      <c r="X426" s="88"/>
      <c r="Y426" s="88"/>
      <c r="Z426" s="88"/>
      <c r="AA426" s="88"/>
      <c r="AB426" s="88"/>
      <c r="AC426" s="88"/>
      <c r="AD426" s="88"/>
    </row>
    <row r="427" spans="1:35" ht="15" customHeight="1">
      <c r="A427" s="49"/>
      <c r="B427" s="57"/>
      <c r="C427" s="44" t="s">
        <v>2518</v>
      </c>
      <c r="D427" s="813" t="str">
        <f>IF(CNSIPEE_2024_M2_Secc1!D44="","",CNSIPEE_2024_M2_Secc1!D44)</f>
        <v/>
      </c>
      <c r="E427" s="814"/>
      <c r="F427" s="815"/>
      <c r="G427" s="88"/>
      <c r="H427" s="88"/>
      <c r="I427" s="88"/>
      <c r="J427" s="88"/>
      <c r="K427" s="88"/>
      <c r="L427" s="88"/>
      <c r="M427" s="88"/>
      <c r="N427" s="88"/>
      <c r="O427" s="88"/>
      <c r="P427" s="88"/>
      <c r="Q427" s="88"/>
      <c r="R427" s="88"/>
      <c r="S427" s="88"/>
      <c r="T427" s="88"/>
      <c r="U427" s="88"/>
      <c r="V427" s="88"/>
      <c r="W427" s="88"/>
      <c r="X427" s="88"/>
      <c r="Y427" s="88"/>
      <c r="Z427" s="88"/>
      <c r="AA427" s="88"/>
      <c r="AB427" s="88"/>
      <c r="AC427" s="88"/>
      <c r="AD427" s="88"/>
    </row>
    <row r="428" spans="1:35" ht="15" customHeight="1">
      <c r="A428" s="49"/>
      <c r="B428" s="57"/>
      <c r="C428" s="44" t="s">
        <v>2519</v>
      </c>
      <c r="D428" s="813" t="str">
        <f>IF(CNSIPEE_2024_M2_Secc1!D45="","",CNSIPEE_2024_M2_Secc1!D45)</f>
        <v/>
      </c>
      <c r="E428" s="814"/>
      <c r="F428" s="815"/>
      <c r="G428" s="88"/>
      <c r="H428" s="88"/>
      <c r="I428" s="88"/>
      <c r="J428" s="88"/>
      <c r="K428" s="88"/>
      <c r="L428" s="88"/>
      <c r="M428" s="88"/>
      <c r="N428" s="88"/>
      <c r="O428" s="88"/>
      <c r="P428" s="88"/>
      <c r="Q428" s="88"/>
      <c r="R428" s="88"/>
      <c r="S428" s="88"/>
      <c r="T428" s="88"/>
      <c r="U428" s="88"/>
      <c r="V428" s="88"/>
      <c r="W428" s="88"/>
      <c r="X428" s="88"/>
      <c r="Y428" s="88"/>
      <c r="Z428" s="88"/>
      <c r="AA428" s="88"/>
      <c r="AB428" s="88"/>
      <c r="AC428" s="88"/>
      <c r="AD428" s="88"/>
    </row>
    <row r="429" spans="1:35" ht="15" customHeight="1">
      <c r="A429" s="49"/>
      <c r="B429" s="57"/>
      <c r="C429" s="44" t="s">
        <v>2520</v>
      </c>
      <c r="D429" s="813" t="str">
        <f>IF(CNSIPEE_2024_M2_Secc1!D46="","",CNSIPEE_2024_M2_Secc1!D46)</f>
        <v/>
      </c>
      <c r="E429" s="814"/>
      <c r="F429" s="815"/>
      <c r="G429" s="88"/>
      <c r="H429" s="88"/>
      <c r="I429" s="88"/>
      <c r="J429" s="88"/>
      <c r="K429" s="88"/>
      <c r="L429" s="88"/>
      <c r="M429" s="88"/>
      <c r="N429" s="88"/>
      <c r="O429" s="88"/>
      <c r="P429" s="88"/>
      <c r="Q429" s="88"/>
      <c r="R429" s="88"/>
      <c r="S429" s="88"/>
      <c r="T429" s="88"/>
      <c r="U429" s="88"/>
      <c r="V429" s="88"/>
      <c r="W429" s="88"/>
      <c r="X429" s="88"/>
      <c r="Y429" s="88"/>
      <c r="Z429" s="88"/>
      <c r="AA429" s="88"/>
      <c r="AB429" s="88"/>
      <c r="AC429" s="88"/>
      <c r="AD429" s="88"/>
    </row>
    <row r="430" spans="1:35" ht="15" customHeight="1">
      <c r="A430" s="49"/>
      <c r="B430" s="57"/>
      <c r="C430" s="44" t="s">
        <v>2521</v>
      </c>
      <c r="D430" s="813" t="str">
        <f>IF(CNSIPEE_2024_M2_Secc1!D47="","",CNSIPEE_2024_M2_Secc1!D47)</f>
        <v/>
      </c>
      <c r="E430" s="814"/>
      <c r="F430" s="815"/>
      <c r="G430" s="88"/>
      <c r="H430" s="88"/>
      <c r="I430" s="88"/>
      <c r="J430" s="88"/>
      <c r="K430" s="88"/>
      <c r="L430" s="88"/>
      <c r="M430" s="88"/>
      <c r="N430" s="88"/>
      <c r="O430" s="88"/>
      <c r="P430" s="88"/>
      <c r="Q430" s="88"/>
      <c r="R430" s="88"/>
      <c r="S430" s="88"/>
      <c r="T430" s="88"/>
      <c r="U430" s="88"/>
      <c r="V430" s="88"/>
      <c r="W430" s="88"/>
      <c r="X430" s="88"/>
      <c r="Y430" s="88"/>
      <c r="Z430" s="88"/>
      <c r="AA430" s="88"/>
      <c r="AB430" s="88"/>
      <c r="AC430" s="88"/>
      <c r="AD430" s="88"/>
    </row>
    <row r="431" spans="1:35" ht="15" customHeight="1">
      <c r="A431" s="49"/>
      <c r="B431" s="57"/>
      <c r="C431" s="44" t="s">
        <v>2522</v>
      </c>
      <c r="D431" s="813" t="str">
        <f>IF(CNSIPEE_2024_M2_Secc1!D48="","",CNSIPEE_2024_M2_Secc1!D48)</f>
        <v/>
      </c>
      <c r="E431" s="814"/>
      <c r="F431" s="815"/>
      <c r="G431" s="88"/>
      <c r="H431" s="88"/>
      <c r="I431" s="88"/>
      <c r="J431" s="88"/>
      <c r="K431" s="88"/>
      <c r="L431" s="88"/>
      <c r="M431" s="88"/>
      <c r="N431" s="88"/>
      <c r="O431" s="88"/>
      <c r="P431" s="88"/>
      <c r="Q431" s="88"/>
      <c r="R431" s="88"/>
      <c r="S431" s="88"/>
      <c r="T431" s="88"/>
      <c r="U431" s="88"/>
      <c r="V431" s="88"/>
      <c r="W431" s="88"/>
      <c r="X431" s="88"/>
      <c r="Y431" s="88"/>
      <c r="Z431" s="88"/>
      <c r="AA431" s="88"/>
      <c r="AB431" s="88"/>
      <c r="AC431" s="88"/>
      <c r="AD431" s="88"/>
    </row>
    <row r="432" spans="1:35" ht="15" customHeight="1">
      <c r="A432" s="49"/>
      <c r="B432" s="57"/>
      <c r="C432" s="44" t="s">
        <v>2523</v>
      </c>
      <c r="D432" s="813" t="str">
        <f>IF(CNSIPEE_2024_M2_Secc1!D49="","",CNSIPEE_2024_M2_Secc1!D49)</f>
        <v/>
      </c>
      <c r="E432" s="814"/>
      <c r="F432" s="815"/>
      <c r="G432" s="88"/>
      <c r="H432" s="88"/>
      <c r="I432" s="88"/>
      <c r="J432" s="88"/>
      <c r="K432" s="88"/>
      <c r="L432" s="88"/>
      <c r="M432" s="88"/>
      <c r="N432" s="88"/>
      <c r="O432" s="88"/>
      <c r="P432" s="88"/>
      <c r="Q432" s="88"/>
      <c r="R432" s="88"/>
      <c r="S432" s="88"/>
      <c r="T432" s="88"/>
      <c r="U432" s="88"/>
      <c r="V432" s="88"/>
      <c r="W432" s="88"/>
      <c r="X432" s="88"/>
      <c r="Y432" s="88"/>
      <c r="Z432" s="88"/>
      <c r="AA432" s="88"/>
      <c r="AB432" s="88"/>
      <c r="AC432" s="88"/>
      <c r="AD432" s="88"/>
    </row>
    <row r="433" spans="1:31" ht="15" customHeight="1">
      <c r="A433" s="103"/>
      <c r="B433" s="57"/>
      <c r="C433" s="84"/>
    </row>
    <row r="434" spans="1:31" ht="45" customHeight="1">
      <c r="A434" s="103"/>
      <c r="B434" s="57"/>
      <c r="C434" s="822" t="s">
        <v>2798</v>
      </c>
      <c r="D434" s="822"/>
      <c r="E434" s="822"/>
      <c r="F434" s="749"/>
      <c r="G434" s="749"/>
      <c r="H434" s="749"/>
      <c r="I434" s="749"/>
      <c r="J434" s="749"/>
      <c r="K434" s="749"/>
      <c r="L434" s="749"/>
      <c r="M434" s="749"/>
      <c r="N434" s="749"/>
      <c r="O434" s="749"/>
      <c r="P434" s="749"/>
      <c r="Q434" s="749"/>
      <c r="R434" s="749"/>
      <c r="S434" s="749"/>
      <c r="T434" s="749"/>
      <c r="U434" s="749"/>
      <c r="V434" s="749"/>
      <c r="W434" s="749"/>
      <c r="X434" s="749"/>
      <c r="Y434" s="749"/>
      <c r="Z434" s="749"/>
      <c r="AA434" s="749"/>
      <c r="AB434" s="749"/>
      <c r="AC434" s="749"/>
      <c r="AD434" s="749"/>
    </row>
    <row r="435" spans="1:31" ht="15" customHeight="1">
      <c r="A435" s="103"/>
      <c r="B435" s="794" t="str">
        <f>IF(AND(AJ379&gt;0,F434=""),"Seleccionó el código 24 de la col.Tipo de suminitros otorgados debe anotar el nombre de dicho(s) tipo(s) de suministros","")</f>
        <v/>
      </c>
      <c r="C435" s="794"/>
      <c r="D435" s="794"/>
      <c r="E435" s="794"/>
      <c r="F435" s="794"/>
      <c r="G435" s="794"/>
      <c r="H435" s="794"/>
      <c r="I435" s="794"/>
      <c r="J435" s="794"/>
      <c r="K435" s="794"/>
      <c r="L435" s="794"/>
      <c r="M435" s="794"/>
      <c r="N435" s="794"/>
      <c r="O435" s="794"/>
      <c r="P435" s="794"/>
      <c r="Q435" s="794"/>
      <c r="R435" s="794"/>
      <c r="S435" s="794"/>
      <c r="T435" s="794"/>
      <c r="U435" s="794"/>
      <c r="V435" s="794"/>
      <c r="W435" s="794"/>
      <c r="X435" s="794"/>
      <c r="Y435" s="794"/>
      <c r="Z435" s="794"/>
      <c r="AA435" s="794"/>
      <c r="AB435" s="794"/>
      <c r="AC435" s="794"/>
      <c r="AD435" s="794"/>
      <c r="AE435" s="794"/>
    </row>
    <row r="436" spans="1:31" ht="24" customHeight="1">
      <c r="A436" s="49"/>
      <c r="B436" s="57"/>
      <c r="C436" s="732" t="s">
        <v>2887</v>
      </c>
      <c r="D436" s="732"/>
      <c r="E436" s="732"/>
      <c r="F436" s="732"/>
      <c r="G436" s="732"/>
      <c r="H436" s="732"/>
      <c r="I436" s="732"/>
      <c r="J436" s="732"/>
      <c r="K436" s="732"/>
      <c r="L436" s="732"/>
      <c r="M436" s="54"/>
      <c r="N436" s="732" t="s">
        <v>2888</v>
      </c>
      <c r="O436" s="732"/>
      <c r="P436" s="732"/>
      <c r="Q436" s="732"/>
      <c r="R436" s="732"/>
      <c r="S436" s="732"/>
      <c r="T436" s="732"/>
      <c r="U436" s="732"/>
      <c r="V436" s="732"/>
      <c r="W436" s="732"/>
      <c r="X436" s="732"/>
      <c r="Y436" s="732"/>
      <c r="Z436" s="732"/>
      <c r="AA436" s="732"/>
      <c r="AB436" s="732"/>
      <c r="AC436" s="732"/>
      <c r="AD436" s="732"/>
    </row>
    <row r="437" spans="1:31" ht="15" customHeight="1">
      <c r="A437" s="49"/>
      <c r="B437" s="57"/>
      <c r="C437" s="44" t="s">
        <v>2516</v>
      </c>
      <c r="D437" s="796" t="s">
        <v>2889</v>
      </c>
      <c r="E437" s="796"/>
      <c r="F437" s="796"/>
      <c r="G437" s="796"/>
      <c r="H437" s="796"/>
      <c r="I437" s="796"/>
      <c r="J437" s="796"/>
      <c r="K437" s="796"/>
      <c r="L437" s="796"/>
      <c r="M437" s="659"/>
      <c r="N437" s="92" t="s">
        <v>2516</v>
      </c>
      <c r="O437" s="872" t="s">
        <v>2890</v>
      </c>
      <c r="P437" s="872"/>
      <c r="Q437" s="872"/>
      <c r="R437" s="872"/>
      <c r="S437" s="872"/>
      <c r="T437" s="872"/>
      <c r="U437" s="872"/>
      <c r="V437" s="872"/>
      <c r="W437" s="872"/>
      <c r="X437" s="872"/>
      <c r="Y437" s="872"/>
      <c r="Z437" s="872"/>
      <c r="AA437" s="872"/>
      <c r="AB437" s="872"/>
      <c r="AC437" s="872"/>
      <c r="AD437" s="872"/>
    </row>
    <row r="438" spans="1:31" ht="15" customHeight="1">
      <c r="A438" s="49"/>
      <c r="B438" s="57"/>
      <c r="C438" s="44" t="s">
        <v>2517</v>
      </c>
      <c r="D438" s="796" t="s">
        <v>2891</v>
      </c>
      <c r="E438" s="796"/>
      <c r="F438" s="796"/>
      <c r="G438" s="796"/>
      <c r="H438" s="796"/>
      <c r="I438" s="796"/>
      <c r="J438" s="796"/>
      <c r="K438" s="796"/>
      <c r="L438" s="796"/>
      <c r="M438" s="659"/>
      <c r="N438" s="44" t="s">
        <v>2517</v>
      </c>
      <c r="O438" s="869" t="s">
        <v>2892</v>
      </c>
      <c r="P438" s="870"/>
      <c r="Q438" s="870"/>
      <c r="R438" s="870"/>
      <c r="S438" s="870"/>
      <c r="T438" s="870"/>
      <c r="U438" s="870"/>
      <c r="V438" s="870"/>
      <c r="W438" s="870"/>
      <c r="X438" s="870"/>
      <c r="Y438" s="870"/>
      <c r="Z438" s="870"/>
      <c r="AA438" s="870"/>
      <c r="AB438" s="870"/>
      <c r="AC438" s="870"/>
      <c r="AD438" s="871"/>
    </row>
    <row r="439" spans="1:31" ht="15" customHeight="1">
      <c r="A439" s="49"/>
      <c r="B439" s="57"/>
      <c r="C439" s="44" t="s">
        <v>2518</v>
      </c>
      <c r="D439" s="796" t="s">
        <v>2893</v>
      </c>
      <c r="E439" s="796"/>
      <c r="F439" s="796"/>
      <c r="G439" s="796"/>
      <c r="H439" s="796"/>
      <c r="I439" s="796"/>
      <c r="J439" s="796"/>
      <c r="K439" s="796"/>
      <c r="L439" s="796"/>
      <c r="M439" s="659"/>
      <c r="N439" s="44" t="s">
        <v>2518</v>
      </c>
      <c r="O439" s="869" t="s">
        <v>2894</v>
      </c>
      <c r="P439" s="870"/>
      <c r="Q439" s="870"/>
      <c r="R439" s="870"/>
      <c r="S439" s="870"/>
      <c r="T439" s="870"/>
      <c r="U439" s="870"/>
      <c r="V439" s="870"/>
      <c r="W439" s="870"/>
      <c r="X439" s="870"/>
      <c r="Y439" s="870"/>
      <c r="Z439" s="870"/>
      <c r="AA439" s="870"/>
      <c r="AB439" s="870"/>
      <c r="AC439" s="870"/>
      <c r="AD439" s="871"/>
    </row>
    <row r="440" spans="1:31" ht="15" customHeight="1">
      <c r="A440" s="49"/>
      <c r="B440" s="57"/>
      <c r="C440" s="44" t="s">
        <v>2519</v>
      </c>
      <c r="D440" s="796" t="s">
        <v>2895</v>
      </c>
      <c r="E440" s="796"/>
      <c r="F440" s="796"/>
      <c r="G440" s="796"/>
      <c r="H440" s="796"/>
      <c r="I440" s="796"/>
      <c r="J440" s="796"/>
      <c r="K440" s="796"/>
      <c r="L440" s="796"/>
      <c r="M440" s="659"/>
      <c r="N440" s="44" t="s">
        <v>2519</v>
      </c>
      <c r="O440" s="869" t="s">
        <v>2896</v>
      </c>
      <c r="P440" s="870"/>
      <c r="Q440" s="870"/>
      <c r="R440" s="870"/>
      <c r="S440" s="870"/>
      <c r="T440" s="870"/>
      <c r="U440" s="870"/>
      <c r="V440" s="870"/>
      <c r="W440" s="870"/>
      <c r="X440" s="870"/>
      <c r="Y440" s="870"/>
      <c r="Z440" s="870"/>
      <c r="AA440" s="870"/>
      <c r="AB440" s="870"/>
      <c r="AC440" s="870"/>
      <c r="AD440" s="871"/>
    </row>
    <row r="441" spans="1:31" ht="15" customHeight="1">
      <c r="A441" s="49"/>
      <c r="B441" s="57"/>
      <c r="C441" s="44" t="s">
        <v>2520</v>
      </c>
      <c r="D441" s="796" t="s">
        <v>2897</v>
      </c>
      <c r="E441" s="796"/>
      <c r="F441" s="796"/>
      <c r="G441" s="796"/>
      <c r="H441" s="796"/>
      <c r="I441" s="796"/>
      <c r="J441" s="796"/>
      <c r="K441" s="796"/>
      <c r="L441" s="796"/>
      <c r="M441" s="659"/>
      <c r="N441" s="44" t="s">
        <v>2520</v>
      </c>
      <c r="O441" s="869" t="s">
        <v>2898</v>
      </c>
      <c r="P441" s="870"/>
      <c r="Q441" s="870"/>
      <c r="R441" s="870"/>
      <c r="S441" s="870"/>
      <c r="T441" s="870"/>
      <c r="U441" s="870"/>
      <c r="V441" s="870"/>
      <c r="W441" s="870"/>
      <c r="X441" s="870"/>
      <c r="Y441" s="870"/>
      <c r="Z441" s="870"/>
      <c r="AA441" s="870"/>
      <c r="AB441" s="870"/>
      <c r="AC441" s="870"/>
      <c r="AD441" s="871"/>
    </row>
    <row r="442" spans="1:31" ht="15" customHeight="1">
      <c r="A442" s="49"/>
      <c r="B442" s="57"/>
      <c r="C442" s="44" t="s">
        <v>2521</v>
      </c>
      <c r="D442" s="796" t="s">
        <v>2899</v>
      </c>
      <c r="E442" s="796"/>
      <c r="F442" s="796"/>
      <c r="G442" s="796"/>
      <c r="H442" s="796"/>
      <c r="I442" s="796"/>
      <c r="J442" s="796"/>
      <c r="K442" s="796"/>
      <c r="L442" s="796"/>
      <c r="M442" s="659"/>
      <c r="N442" s="44" t="s">
        <v>2521</v>
      </c>
      <c r="O442" s="869" t="s">
        <v>2900</v>
      </c>
      <c r="P442" s="870"/>
      <c r="Q442" s="870"/>
      <c r="R442" s="870"/>
      <c r="S442" s="870"/>
      <c r="T442" s="870"/>
      <c r="U442" s="870"/>
      <c r="V442" s="870"/>
      <c r="W442" s="870"/>
      <c r="X442" s="870"/>
      <c r="Y442" s="870"/>
      <c r="Z442" s="870"/>
      <c r="AA442" s="870"/>
      <c r="AB442" s="870"/>
      <c r="AC442" s="870"/>
      <c r="AD442" s="871"/>
    </row>
    <row r="443" spans="1:31" ht="15" customHeight="1">
      <c r="A443" s="49"/>
      <c r="B443" s="57"/>
      <c r="C443" s="44" t="s">
        <v>2522</v>
      </c>
      <c r="D443" s="813" t="s">
        <v>2901</v>
      </c>
      <c r="E443" s="814"/>
      <c r="F443" s="814"/>
      <c r="G443" s="814"/>
      <c r="H443" s="814"/>
      <c r="I443" s="814"/>
      <c r="J443" s="814"/>
      <c r="K443" s="814"/>
      <c r="L443" s="815"/>
      <c r="M443" s="659"/>
      <c r="N443" s="44" t="s">
        <v>2522</v>
      </c>
      <c r="O443" s="869" t="s">
        <v>2902</v>
      </c>
      <c r="P443" s="870"/>
      <c r="Q443" s="870"/>
      <c r="R443" s="870"/>
      <c r="S443" s="870"/>
      <c r="T443" s="870"/>
      <c r="U443" s="870"/>
      <c r="V443" s="870"/>
      <c r="W443" s="870"/>
      <c r="X443" s="870"/>
      <c r="Y443" s="870"/>
      <c r="Z443" s="870"/>
      <c r="AA443" s="870"/>
      <c r="AB443" s="870"/>
      <c r="AC443" s="870"/>
      <c r="AD443" s="871"/>
    </row>
    <row r="444" spans="1:31" ht="15" customHeight="1">
      <c r="A444" s="49"/>
      <c r="B444" s="57"/>
      <c r="C444" s="44" t="s">
        <v>2523</v>
      </c>
      <c r="D444" s="813" t="s">
        <v>2903</v>
      </c>
      <c r="E444" s="814"/>
      <c r="F444" s="814"/>
      <c r="G444" s="814"/>
      <c r="H444" s="814"/>
      <c r="I444" s="814"/>
      <c r="J444" s="814"/>
      <c r="K444" s="814"/>
      <c r="L444" s="815"/>
      <c r="M444" s="659"/>
      <c r="N444" s="44" t="s">
        <v>2523</v>
      </c>
      <c r="O444" s="869" t="s">
        <v>2904</v>
      </c>
      <c r="P444" s="870"/>
      <c r="Q444" s="870"/>
      <c r="R444" s="870"/>
      <c r="S444" s="870"/>
      <c r="T444" s="870"/>
      <c r="U444" s="870"/>
      <c r="V444" s="870"/>
      <c r="W444" s="870"/>
      <c r="X444" s="870"/>
      <c r="Y444" s="870"/>
      <c r="Z444" s="870"/>
      <c r="AA444" s="870"/>
      <c r="AB444" s="870"/>
      <c r="AC444" s="870"/>
      <c r="AD444" s="871"/>
    </row>
    <row r="445" spans="1:31" ht="15" customHeight="1">
      <c r="A445" s="49"/>
      <c r="B445" s="57"/>
      <c r="C445" s="44" t="s">
        <v>2524</v>
      </c>
      <c r="D445" s="813" t="s">
        <v>2905</v>
      </c>
      <c r="E445" s="814"/>
      <c r="F445" s="814"/>
      <c r="G445" s="814"/>
      <c r="H445" s="814"/>
      <c r="I445" s="814"/>
      <c r="J445" s="814"/>
      <c r="K445" s="814"/>
      <c r="L445" s="815"/>
      <c r="M445" s="659"/>
      <c r="N445" s="44" t="s">
        <v>2524</v>
      </c>
      <c r="O445" s="869" t="s">
        <v>2906</v>
      </c>
      <c r="P445" s="870"/>
      <c r="Q445" s="870"/>
      <c r="R445" s="870"/>
      <c r="S445" s="870"/>
      <c r="T445" s="870"/>
      <c r="U445" s="870"/>
      <c r="V445" s="870"/>
      <c r="W445" s="870"/>
      <c r="X445" s="870"/>
      <c r="Y445" s="870"/>
      <c r="Z445" s="870"/>
      <c r="AA445" s="870"/>
      <c r="AB445" s="870"/>
      <c r="AC445" s="870"/>
      <c r="AD445" s="871"/>
    </row>
    <row r="446" spans="1:31" ht="15" customHeight="1">
      <c r="A446" s="49"/>
      <c r="B446" s="57"/>
      <c r="C446" s="44" t="s">
        <v>2525</v>
      </c>
      <c r="D446" s="813" t="s">
        <v>2907</v>
      </c>
      <c r="E446" s="814"/>
      <c r="F446" s="814"/>
      <c r="G446" s="814"/>
      <c r="H446" s="814"/>
      <c r="I446" s="814"/>
      <c r="J446" s="814"/>
      <c r="K446" s="814"/>
      <c r="L446" s="815"/>
      <c r="M446" s="659"/>
      <c r="N446" s="44" t="s">
        <v>2525</v>
      </c>
      <c r="O446" s="869" t="s">
        <v>2908</v>
      </c>
      <c r="P446" s="870"/>
      <c r="Q446" s="870"/>
      <c r="R446" s="870"/>
      <c r="S446" s="870"/>
      <c r="T446" s="870"/>
      <c r="U446" s="870"/>
      <c r="V446" s="870"/>
      <c r="W446" s="870"/>
      <c r="X446" s="870"/>
      <c r="Y446" s="870"/>
      <c r="Z446" s="870"/>
      <c r="AA446" s="870"/>
      <c r="AB446" s="870"/>
      <c r="AC446" s="870"/>
      <c r="AD446" s="871"/>
    </row>
    <row r="447" spans="1:31" ht="15" customHeight="1">
      <c r="A447" s="49"/>
      <c r="B447" s="57"/>
      <c r="C447" s="44" t="s">
        <v>2526</v>
      </c>
      <c r="D447" s="813" t="s">
        <v>2909</v>
      </c>
      <c r="E447" s="814"/>
      <c r="F447" s="814"/>
      <c r="G447" s="814"/>
      <c r="H447" s="814"/>
      <c r="I447" s="814"/>
      <c r="J447" s="814"/>
      <c r="K447" s="814"/>
      <c r="L447" s="815"/>
      <c r="M447" s="659"/>
      <c r="N447" s="44" t="s">
        <v>2526</v>
      </c>
      <c r="O447" s="869" t="s">
        <v>2910</v>
      </c>
      <c r="P447" s="870"/>
      <c r="Q447" s="870"/>
      <c r="R447" s="870"/>
      <c r="S447" s="870"/>
      <c r="T447" s="870"/>
      <c r="U447" s="870"/>
      <c r="V447" s="870"/>
      <c r="W447" s="870"/>
      <c r="X447" s="870"/>
      <c r="Y447" s="870"/>
      <c r="Z447" s="870"/>
      <c r="AA447" s="870"/>
      <c r="AB447" s="870"/>
      <c r="AC447" s="870"/>
      <c r="AD447" s="871"/>
    </row>
    <row r="448" spans="1:31" ht="15" customHeight="1">
      <c r="A448" s="49"/>
      <c r="B448" s="57"/>
      <c r="C448" s="44" t="s">
        <v>2527</v>
      </c>
      <c r="D448" s="813" t="s">
        <v>2911</v>
      </c>
      <c r="E448" s="814"/>
      <c r="F448" s="814"/>
      <c r="G448" s="814"/>
      <c r="H448" s="814"/>
      <c r="I448" s="814"/>
      <c r="J448" s="814"/>
      <c r="K448" s="814"/>
      <c r="L448" s="815"/>
      <c r="M448" s="659"/>
      <c r="N448" s="44" t="s">
        <v>2912</v>
      </c>
      <c r="O448" s="872" t="s">
        <v>201</v>
      </c>
      <c r="P448" s="872"/>
      <c r="Q448" s="872"/>
      <c r="R448" s="872"/>
      <c r="S448" s="872"/>
      <c r="T448" s="872"/>
      <c r="U448" s="872"/>
      <c r="V448" s="872"/>
      <c r="W448" s="872"/>
      <c r="X448" s="872"/>
      <c r="Y448" s="872"/>
      <c r="Z448" s="872"/>
      <c r="AA448" s="872"/>
      <c r="AB448" s="872"/>
      <c r="AC448" s="872"/>
      <c r="AD448" s="872"/>
    </row>
    <row r="449" spans="1:31" ht="15" customHeight="1">
      <c r="A449" s="49"/>
      <c r="B449" s="57"/>
      <c r="C449" s="44" t="s">
        <v>2528</v>
      </c>
      <c r="D449" s="813" t="s">
        <v>2913</v>
      </c>
      <c r="E449" s="814"/>
      <c r="F449" s="814"/>
      <c r="G449" s="814"/>
      <c r="H449" s="814"/>
      <c r="I449" s="814"/>
      <c r="J449" s="814"/>
      <c r="K449" s="814"/>
      <c r="L449" s="815"/>
      <c r="M449" s="659"/>
    </row>
    <row r="450" spans="1:31" ht="15" customHeight="1">
      <c r="A450" s="49"/>
      <c r="B450" s="57"/>
      <c r="C450" s="44" t="s">
        <v>2529</v>
      </c>
      <c r="D450" s="813" t="s">
        <v>2914</v>
      </c>
      <c r="E450" s="814"/>
      <c r="F450" s="814"/>
      <c r="G450" s="814"/>
      <c r="H450" s="814"/>
      <c r="I450" s="814"/>
      <c r="J450" s="814"/>
      <c r="K450" s="814"/>
      <c r="L450" s="815"/>
      <c r="M450" s="659"/>
      <c r="N450" s="90"/>
      <c r="O450" s="90"/>
      <c r="P450" s="90"/>
      <c r="Q450" s="90"/>
      <c r="R450" s="90"/>
      <c r="S450" s="90"/>
      <c r="T450" s="90"/>
      <c r="U450" s="90"/>
      <c r="V450" s="90"/>
      <c r="W450" s="90"/>
    </row>
    <row r="451" spans="1:31" ht="15" customHeight="1">
      <c r="A451" s="49"/>
      <c r="B451" s="57"/>
      <c r="C451" s="44" t="s">
        <v>2530</v>
      </c>
      <c r="D451" s="813" t="s">
        <v>2915</v>
      </c>
      <c r="E451" s="814"/>
      <c r="F451" s="814"/>
      <c r="G451" s="814"/>
      <c r="H451" s="814"/>
      <c r="I451" s="814"/>
      <c r="J451" s="814"/>
      <c r="K451" s="814"/>
      <c r="L451" s="815"/>
      <c r="M451" s="659"/>
      <c r="N451" s="90"/>
      <c r="O451" s="90"/>
      <c r="P451" s="90"/>
      <c r="Q451" s="90"/>
      <c r="R451" s="90"/>
      <c r="S451" s="90"/>
      <c r="T451" s="90"/>
      <c r="U451" s="90"/>
      <c r="V451" s="90"/>
      <c r="W451" s="90"/>
    </row>
    <row r="452" spans="1:31" ht="15" customHeight="1">
      <c r="A452" s="49"/>
      <c r="B452" s="57"/>
      <c r="C452" s="44" t="s">
        <v>2531</v>
      </c>
      <c r="D452" s="813" t="s">
        <v>2916</v>
      </c>
      <c r="E452" s="814"/>
      <c r="F452" s="814"/>
      <c r="G452" s="814"/>
      <c r="H452" s="814"/>
      <c r="I452" s="814"/>
      <c r="J452" s="814"/>
      <c r="K452" s="814"/>
      <c r="L452" s="815"/>
      <c r="M452" s="659"/>
      <c r="N452" s="90"/>
      <c r="O452" s="90"/>
      <c r="P452" s="90"/>
      <c r="Q452" s="90"/>
      <c r="R452" s="90"/>
      <c r="S452" s="90"/>
      <c r="T452" s="90"/>
      <c r="U452" s="90"/>
      <c r="V452" s="90"/>
      <c r="W452" s="90"/>
    </row>
    <row r="453" spans="1:31" ht="15" customHeight="1">
      <c r="A453" s="49"/>
      <c r="B453" s="57"/>
      <c r="C453" s="44" t="s">
        <v>2532</v>
      </c>
      <c r="D453" s="813" t="s">
        <v>2917</v>
      </c>
      <c r="E453" s="814"/>
      <c r="F453" s="814"/>
      <c r="G453" s="814"/>
      <c r="H453" s="814"/>
      <c r="I453" s="814"/>
      <c r="J453" s="814"/>
      <c r="K453" s="814"/>
      <c r="L453" s="815"/>
      <c r="M453" s="659"/>
      <c r="N453" s="90"/>
      <c r="O453" s="90"/>
      <c r="P453" s="90"/>
      <c r="Q453" s="90"/>
      <c r="R453" s="90"/>
      <c r="S453" s="90"/>
      <c r="T453" s="90"/>
      <c r="U453" s="90"/>
      <c r="V453" s="90"/>
      <c r="W453" s="90"/>
    </row>
    <row r="454" spans="1:31" ht="15" customHeight="1">
      <c r="A454" s="49"/>
      <c r="B454" s="57"/>
      <c r="C454" s="44" t="s">
        <v>2533</v>
      </c>
      <c r="D454" s="813" t="s">
        <v>2918</v>
      </c>
      <c r="E454" s="814"/>
      <c r="F454" s="814"/>
      <c r="G454" s="814"/>
      <c r="H454" s="814"/>
      <c r="I454" s="814"/>
      <c r="J454" s="814"/>
      <c r="K454" s="814"/>
      <c r="L454" s="815"/>
      <c r="M454" s="659"/>
      <c r="N454" s="90"/>
      <c r="O454" s="90"/>
      <c r="P454" s="90"/>
      <c r="Q454" s="90"/>
      <c r="R454" s="90"/>
      <c r="S454" s="90"/>
      <c r="T454" s="90"/>
      <c r="U454" s="90"/>
      <c r="V454" s="90"/>
      <c r="W454" s="90"/>
    </row>
    <row r="455" spans="1:31" ht="15" customHeight="1">
      <c r="A455" s="49"/>
      <c r="B455" s="57"/>
      <c r="C455" s="44" t="s">
        <v>2534</v>
      </c>
      <c r="D455" s="813" t="s">
        <v>2919</v>
      </c>
      <c r="E455" s="814"/>
      <c r="F455" s="814"/>
      <c r="G455" s="814"/>
      <c r="H455" s="814"/>
      <c r="I455" s="814"/>
      <c r="J455" s="814"/>
      <c r="K455" s="814"/>
      <c r="L455" s="815"/>
      <c r="M455" s="659"/>
      <c r="N455" s="90"/>
      <c r="O455" s="90"/>
      <c r="P455" s="90"/>
      <c r="Q455" s="90"/>
      <c r="R455" s="90"/>
      <c r="S455" s="90"/>
      <c r="T455" s="90"/>
      <c r="U455" s="90"/>
      <c r="V455" s="90"/>
      <c r="W455" s="90"/>
    </row>
    <row r="456" spans="1:31" ht="15" customHeight="1">
      <c r="A456" s="49"/>
      <c r="B456" s="57"/>
      <c r="C456" s="44" t="s">
        <v>2535</v>
      </c>
      <c r="D456" s="813" t="s">
        <v>2920</v>
      </c>
      <c r="E456" s="814"/>
      <c r="F456" s="814"/>
      <c r="G456" s="814"/>
      <c r="H456" s="814"/>
      <c r="I456" s="814"/>
      <c r="J456" s="814"/>
      <c r="K456" s="814"/>
      <c r="L456" s="815"/>
      <c r="M456" s="659"/>
      <c r="N456" s="90"/>
      <c r="O456" s="90"/>
      <c r="P456" s="90"/>
      <c r="Q456" s="90"/>
      <c r="R456" s="90"/>
      <c r="S456" s="90"/>
      <c r="T456" s="90"/>
      <c r="U456" s="90"/>
      <c r="V456" s="90"/>
      <c r="W456" s="90"/>
    </row>
    <row r="457" spans="1:31" ht="15" customHeight="1">
      <c r="A457" s="49"/>
      <c r="B457" s="57"/>
      <c r="C457" s="44" t="s">
        <v>2536</v>
      </c>
      <c r="D457" s="813" t="s">
        <v>2921</v>
      </c>
      <c r="E457" s="814"/>
      <c r="F457" s="814"/>
      <c r="G457" s="814"/>
      <c r="H457" s="814"/>
      <c r="I457" s="814"/>
      <c r="J457" s="814"/>
      <c r="K457" s="814"/>
      <c r="L457" s="815"/>
      <c r="M457" s="659"/>
      <c r="N457" s="90"/>
      <c r="O457" s="90"/>
      <c r="P457" s="90"/>
      <c r="Q457" s="90"/>
      <c r="R457" s="90"/>
      <c r="S457" s="90"/>
      <c r="T457" s="90"/>
      <c r="U457" s="90"/>
      <c r="V457" s="90"/>
      <c r="W457" s="90"/>
    </row>
    <row r="458" spans="1:31" ht="15" customHeight="1">
      <c r="A458" s="49"/>
      <c r="B458" s="57"/>
      <c r="C458" s="44" t="s">
        <v>2537</v>
      </c>
      <c r="D458" s="813" t="s">
        <v>2922</v>
      </c>
      <c r="E458" s="814"/>
      <c r="F458" s="814"/>
      <c r="G458" s="814"/>
      <c r="H458" s="814"/>
      <c r="I458" s="814"/>
      <c r="J458" s="814"/>
      <c r="K458" s="814"/>
      <c r="L458" s="815"/>
      <c r="M458" s="659"/>
      <c r="N458" s="90"/>
      <c r="O458" s="90"/>
      <c r="P458" s="90"/>
      <c r="Q458" s="90"/>
      <c r="R458" s="90"/>
      <c r="S458" s="90"/>
      <c r="T458" s="90"/>
      <c r="U458" s="90"/>
      <c r="V458" s="90"/>
      <c r="W458" s="90"/>
    </row>
    <row r="459" spans="1:31" ht="24" customHeight="1">
      <c r="A459" s="49"/>
      <c r="B459" s="57"/>
      <c r="C459" s="44" t="s">
        <v>2538</v>
      </c>
      <c r="D459" s="813" t="s">
        <v>2923</v>
      </c>
      <c r="E459" s="814"/>
      <c r="F459" s="814"/>
      <c r="G459" s="814"/>
      <c r="H459" s="814"/>
      <c r="I459" s="814"/>
      <c r="J459" s="814"/>
      <c r="K459" s="814"/>
      <c r="L459" s="815"/>
      <c r="M459" s="659"/>
      <c r="N459" s="90"/>
      <c r="O459" s="90"/>
      <c r="P459" s="90"/>
      <c r="Q459" s="90"/>
      <c r="R459" s="90"/>
      <c r="S459" s="90"/>
      <c r="T459" s="90"/>
      <c r="U459" s="90"/>
      <c r="V459" s="90"/>
      <c r="W459" s="90"/>
    </row>
    <row r="460" spans="1:31" ht="15" customHeight="1">
      <c r="A460" s="49"/>
      <c r="B460" s="57"/>
      <c r="C460" s="44" t="s">
        <v>2539</v>
      </c>
      <c r="D460" s="813" t="s">
        <v>2609</v>
      </c>
      <c r="E460" s="814"/>
      <c r="F460" s="814"/>
      <c r="G460" s="814"/>
      <c r="H460" s="814"/>
      <c r="I460" s="814"/>
      <c r="J460" s="814"/>
      <c r="K460" s="814"/>
      <c r="L460" s="815"/>
      <c r="M460" s="659"/>
      <c r="N460" s="90"/>
      <c r="O460" s="90"/>
      <c r="P460" s="90"/>
      <c r="Q460" s="90"/>
      <c r="R460" s="90"/>
      <c r="S460" s="90"/>
      <c r="T460" s="90"/>
      <c r="U460" s="90"/>
      <c r="V460" s="90"/>
      <c r="W460" s="90"/>
    </row>
    <row r="461" spans="1:31" ht="15" customHeight="1">
      <c r="A461" s="103"/>
      <c r="B461" s="57"/>
      <c r="C461" s="70"/>
      <c r="D461" s="84"/>
      <c r="E461" s="84"/>
      <c r="F461" s="84"/>
      <c r="G461" s="658"/>
      <c r="H461" s="658"/>
      <c r="I461" s="658"/>
      <c r="J461" s="658"/>
      <c r="K461" s="658"/>
      <c r="L461" s="658"/>
      <c r="M461" s="659"/>
      <c r="N461" s="659"/>
      <c r="O461" s="659"/>
      <c r="P461" s="659"/>
      <c r="Q461" s="659"/>
      <c r="R461" s="659"/>
      <c r="S461" s="659"/>
      <c r="T461" s="659"/>
      <c r="U461" s="659"/>
      <c r="V461" s="659"/>
      <c r="W461" s="659"/>
      <c r="X461" s="659"/>
      <c r="Y461" s="658"/>
      <c r="Z461" s="658"/>
      <c r="AA461" s="658"/>
      <c r="AB461" s="658"/>
      <c r="AC461" s="141"/>
      <c r="AD461" s="141"/>
    </row>
    <row r="462" spans="1:31" ht="24" customHeight="1">
      <c r="A462" s="96"/>
      <c r="B462" s="90"/>
      <c r="C462" s="754" t="s">
        <v>2611</v>
      </c>
      <c r="D462" s="754"/>
      <c r="E462" s="754"/>
      <c r="F462" s="754"/>
      <c r="G462" s="754"/>
      <c r="H462" s="754"/>
      <c r="I462" s="754"/>
      <c r="J462" s="754"/>
      <c r="K462" s="754"/>
      <c r="L462" s="754"/>
      <c r="M462" s="754"/>
      <c r="N462" s="754"/>
      <c r="O462" s="754"/>
      <c r="P462" s="754"/>
      <c r="Q462" s="754"/>
      <c r="R462" s="754"/>
      <c r="S462" s="754"/>
      <c r="T462" s="754"/>
      <c r="U462" s="754"/>
      <c r="V462" s="754"/>
      <c r="W462" s="754"/>
      <c r="X462" s="754"/>
      <c r="Y462" s="754"/>
      <c r="Z462" s="754"/>
      <c r="AA462" s="754"/>
      <c r="AB462" s="754"/>
      <c r="AC462" s="754"/>
      <c r="AD462" s="754"/>
    </row>
    <row r="463" spans="1:31" ht="60" customHeight="1">
      <c r="A463" s="96"/>
      <c r="B463" s="90"/>
      <c r="C463" s="851"/>
      <c r="D463" s="851"/>
      <c r="E463" s="851"/>
      <c r="F463" s="851"/>
      <c r="G463" s="851"/>
      <c r="H463" s="851"/>
      <c r="I463" s="851"/>
      <c r="J463" s="851"/>
      <c r="K463" s="851"/>
      <c r="L463" s="851"/>
      <c r="M463" s="851"/>
      <c r="N463" s="851"/>
      <c r="O463" s="851"/>
      <c r="P463" s="851"/>
      <c r="Q463" s="851"/>
      <c r="R463" s="851"/>
      <c r="S463" s="851"/>
      <c r="T463" s="851"/>
      <c r="U463" s="851"/>
      <c r="V463" s="851"/>
      <c r="W463" s="851"/>
      <c r="X463" s="851"/>
      <c r="Y463" s="851"/>
      <c r="Z463" s="851"/>
      <c r="AA463" s="851"/>
      <c r="AB463" s="851"/>
      <c r="AC463" s="851"/>
      <c r="AD463" s="851"/>
    </row>
    <row r="464" spans="1:31" ht="15" customHeight="1">
      <c r="A464" s="96"/>
      <c r="B464" s="794" t="str">
        <f>IF(AG421&gt;0,"Favor de ingresar toda la información requerida en la pregunta y/o verifique que no tenga información en celdas sombreadas","")</f>
        <v/>
      </c>
      <c r="C464" s="794"/>
      <c r="D464" s="794"/>
      <c r="E464" s="794"/>
      <c r="F464" s="794"/>
      <c r="G464" s="794"/>
      <c r="H464" s="794"/>
      <c r="I464" s="794"/>
      <c r="J464" s="794"/>
      <c r="K464" s="794"/>
      <c r="L464" s="794"/>
      <c r="M464" s="794"/>
      <c r="N464" s="794"/>
      <c r="O464" s="794"/>
      <c r="P464" s="794"/>
      <c r="Q464" s="794"/>
      <c r="R464" s="794"/>
      <c r="S464" s="794"/>
      <c r="T464" s="794"/>
      <c r="U464" s="794"/>
      <c r="V464" s="794"/>
      <c r="W464" s="794"/>
      <c r="X464" s="794"/>
      <c r="Y464" s="794"/>
      <c r="Z464" s="794"/>
      <c r="AA464" s="794"/>
      <c r="AB464" s="794"/>
      <c r="AC464" s="794"/>
      <c r="AD464" s="794"/>
      <c r="AE464"/>
    </row>
    <row r="465" spans="1:38" ht="15" customHeight="1">
      <c r="A465" s="96"/>
      <c r="B465" s="795"/>
      <c r="C465" s="795"/>
      <c r="D465" s="795"/>
      <c r="E465" s="795"/>
      <c r="F465" s="795"/>
      <c r="G465" s="795"/>
      <c r="H465" s="795"/>
      <c r="I465" s="795"/>
      <c r="J465" s="795"/>
      <c r="K465" s="795"/>
      <c r="L465" s="795"/>
      <c r="M465" s="795"/>
      <c r="N465" s="795"/>
      <c r="O465" s="795"/>
      <c r="P465" s="795"/>
      <c r="Q465" s="795"/>
      <c r="R465" s="795"/>
      <c r="S465" s="795"/>
      <c r="T465" s="795"/>
      <c r="U465" s="795"/>
      <c r="V465" s="795"/>
      <c r="W465" s="795"/>
      <c r="X465" s="795"/>
      <c r="Y465" s="795"/>
      <c r="Z465" s="795"/>
      <c r="AA465" s="795"/>
      <c r="AB465" s="795"/>
      <c r="AC465" s="795"/>
      <c r="AD465" s="795"/>
      <c r="AE465" s="795"/>
    </row>
    <row r="466" spans="1:38" ht="15" customHeight="1">
      <c r="A466" s="96"/>
      <c r="B466" s="303"/>
      <c r="C466" s="303"/>
      <c r="D466" s="303"/>
      <c r="E466" s="303"/>
      <c r="F466" s="303"/>
      <c r="G466" s="303"/>
      <c r="H466" s="303"/>
      <c r="I466" s="303"/>
      <c r="J466" s="303"/>
      <c r="K466" s="303"/>
      <c r="L466" s="303"/>
      <c r="M466" s="303"/>
      <c r="N466" s="303"/>
      <c r="O466" s="303"/>
      <c r="P466" s="303"/>
      <c r="Q466" s="303"/>
      <c r="R466" s="303"/>
      <c r="S466" s="303"/>
      <c r="T466" s="303"/>
      <c r="U466" s="303"/>
      <c r="V466" s="303"/>
      <c r="W466" s="303"/>
      <c r="X466" s="303"/>
      <c r="Y466" s="303"/>
      <c r="Z466" s="303"/>
      <c r="AA466" s="303"/>
      <c r="AB466" s="303"/>
      <c r="AC466" s="303"/>
      <c r="AD466" s="303"/>
      <c r="AE466"/>
    </row>
    <row r="467" spans="1:38" ht="15" customHeight="1">
      <c r="A467" s="96"/>
      <c r="B467" s="303"/>
      <c r="C467" s="303"/>
      <c r="D467" s="303"/>
      <c r="E467" s="303"/>
      <c r="F467" s="303"/>
      <c r="G467" s="303"/>
      <c r="H467" s="303"/>
      <c r="I467" s="303"/>
      <c r="J467" s="303"/>
      <c r="K467" s="303"/>
      <c r="L467" s="303"/>
      <c r="M467" s="303"/>
      <c r="N467" s="303"/>
      <c r="O467" s="303"/>
      <c r="P467" s="303"/>
      <c r="Q467" s="303"/>
      <c r="R467" s="303"/>
      <c r="S467" s="303"/>
      <c r="T467" s="303"/>
      <c r="U467" s="303"/>
      <c r="V467" s="303"/>
      <c r="W467" s="303"/>
      <c r="X467" s="303"/>
      <c r="Y467" s="303"/>
      <c r="Z467" s="303"/>
      <c r="AA467" s="303"/>
      <c r="AB467" s="303"/>
      <c r="AC467" s="303"/>
      <c r="AD467" s="303"/>
      <c r="AE467"/>
    </row>
    <row r="468" spans="1:38" ht="15" customHeight="1">
      <c r="A468" s="96"/>
      <c r="B468" s="303"/>
      <c r="C468" s="303"/>
      <c r="D468" s="303"/>
      <c r="E468" s="303"/>
      <c r="F468" s="303"/>
      <c r="G468" s="303"/>
      <c r="H468" s="303"/>
      <c r="I468" s="303"/>
      <c r="J468" s="303"/>
      <c r="K468" s="303"/>
      <c r="L468" s="303"/>
      <c r="M468" s="303"/>
      <c r="N468" s="303"/>
      <c r="O468" s="303"/>
      <c r="P468" s="303"/>
      <c r="Q468" s="303"/>
      <c r="R468" s="303"/>
      <c r="S468" s="303"/>
      <c r="T468" s="303"/>
      <c r="U468" s="303"/>
      <c r="V468" s="303"/>
      <c r="W468" s="303"/>
      <c r="X468" s="303"/>
      <c r="Y468" s="303"/>
      <c r="Z468" s="303"/>
      <c r="AA468" s="303"/>
      <c r="AB468" s="303"/>
      <c r="AC468" s="303"/>
      <c r="AD468" s="303"/>
      <c r="AE468"/>
    </row>
    <row r="469" spans="1:38" ht="15" customHeight="1">
      <c r="A469" s="96"/>
      <c r="B469" s="303"/>
      <c r="C469" s="303"/>
      <c r="D469" s="303"/>
      <c r="E469" s="303"/>
      <c r="F469" s="303"/>
      <c r="G469" s="303"/>
      <c r="H469" s="303"/>
      <c r="I469" s="303"/>
      <c r="J469" s="303"/>
      <c r="K469" s="303"/>
      <c r="L469" s="303"/>
      <c r="M469" s="303"/>
      <c r="N469" s="303"/>
      <c r="O469" s="303"/>
      <c r="P469" s="303"/>
      <c r="Q469" s="303"/>
      <c r="R469" s="303"/>
      <c r="S469" s="303"/>
      <c r="T469" s="303"/>
      <c r="U469" s="303"/>
      <c r="V469" s="303"/>
      <c r="W469" s="303"/>
      <c r="X469" s="303"/>
      <c r="Y469" s="303"/>
      <c r="Z469" s="303"/>
      <c r="AA469" s="303"/>
      <c r="AB469" s="303"/>
      <c r="AC469" s="303"/>
      <c r="AD469" s="303"/>
      <c r="AE469"/>
    </row>
    <row r="470" spans="1:38" ht="36" customHeight="1">
      <c r="A470" s="49" t="s">
        <v>2924</v>
      </c>
      <c r="B470" s="829" t="s">
        <v>2925</v>
      </c>
      <c r="C470" s="829"/>
      <c r="D470" s="829"/>
      <c r="E470" s="829"/>
      <c r="F470" s="829"/>
      <c r="G470" s="829"/>
      <c r="H470" s="829"/>
      <c r="I470" s="829"/>
      <c r="J470" s="829"/>
      <c r="K470" s="829"/>
      <c r="L470" s="829"/>
      <c r="M470" s="829"/>
      <c r="N470" s="829"/>
      <c r="O470" s="829"/>
      <c r="P470" s="829"/>
      <c r="Q470" s="829"/>
      <c r="R470" s="829"/>
      <c r="S470" s="829"/>
      <c r="T470" s="829"/>
      <c r="U470" s="829"/>
      <c r="V470" s="829"/>
      <c r="W470" s="829"/>
      <c r="X470" s="829"/>
      <c r="Y470" s="829"/>
      <c r="Z470" s="829"/>
      <c r="AA470" s="829"/>
      <c r="AB470" s="829"/>
      <c r="AC470" s="829"/>
      <c r="AD470" s="829"/>
    </row>
    <row r="471" spans="1:38" ht="36" customHeight="1">
      <c r="A471" s="50"/>
      <c r="B471" s="57"/>
      <c r="C471" s="754" t="s">
        <v>2926</v>
      </c>
      <c r="D471" s="754"/>
      <c r="E471" s="754"/>
      <c r="F471" s="754"/>
      <c r="G471" s="754"/>
      <c r="H471" s="754"/>
      <c r="I471" s="754"/>
      <c r="J471" s="754"/>
      <c r="K471" s="754"/>
      <c r="L471" s="754"/>
      <c r="M471" s="754"/>
      <c r="N471" s="754"/>
      <c r="O471" s="754"/>
      <c r="P471" s="754"/>
      <c r="Q471" s="754"/>
      <c r="R471" s="754"/>
      <c r="S471" s="754"/>
      <c r="T471" s="754"/>
      <c r="U471" s="754"/>
      <c r="V471" s="754"/>
      <c r="W471" s="754"/>
      <c r="X471" s="754"/>
      <c r="Y471" s="754"/>
      <c r="Z471" s="754"/>
      <c r="AA471" s="754"/>
      <c r="AB471" s="754"/>
      <c r="AC471" s="754"/>
      <c r="AD471" s="754"/>
    </row>
    <row r="472" spans="1:38" ht="36" customHeight="1">
      <c r="A472" s="50"/>
      <c r="B472" s="57"/>
      <c r="C472" s="754" t="s">
        <v>2927</v>
      </c>
      <c r="D472" s="754"/>
      <c r="E472" s="754"/>
      <c r="F472" s="754"/>
      <c r="G472" s="754"/>
      <c r="H472" s="754"/>
      <c r="I472" s="754"/>
      <c r="J472" s="754"/>
      <c r="K472" s="754"/>
      <c r="L472" s="754"/>
      <c r="M472" s="754"/>
      <c r="N472" s="754"/>
      <c r="O472" s="754"/>
      <c r="P472" s="754"/>
      <c r="Q472" s="754"/>
      <c r="R472" s="754"/>
      <c r="S472" s="754"/>
      <c r="T472" s="754"/>
      <c r="U472" s="754"/>
      <c r="V472" s="754"/>
      <c r="W472" s="754"/>
      <c r="X472" s="754"/>
      <c r="Y472" s="754"/>
      <c r="Z472" s="754"/>
      <c r="AA472" s="754"/>
      <c r="AB472" s="754"/>
      <c r="AC472" s="754"/>
      <c r="AD472" s="754"/>
    </row>
    <row r="473" spans="1:38" ht="24" customHeight="1">
      <c r="A473" s="50"/>
      <c r="B473" s="57"/>
      <c r="C473" s="754" t="s">
        <v>2928</v>
      </c>
      <c r="D473" s="754"/>
      <c r="E473" s="754"/>
      <c r="F473" s="754"/>
      <c r="G473" s="754"/>
      <c r="H473" s="754"/>
      <c r="I473" s="754"/>
      <c r="J473" s="754"/>
      <c r="K473" s="754"/>
      <c r="L473" s="754"/>
      <c r="M473" s="754"/>
      <c r="N473" s="754"/>
      <c r="O473" s="754"/>
      <c r="P473" s="754"/>
      <c r="Q473" s="754"/>
      <c r="R473" s="754"/>
      <c r="S473" s="754"/>
      <c r="T473" s="754"/>
      <c r="U473" s="754"/>
      <c r="V473" s="754"/>
      <c r="W473" s="754"/>
      <c r="X473" s="754"/>
      <c r="Y473" s="754"/>
      <c r="Z473" s="754"/>
      <c r="AA473" s="754"/>
      <c r="AB473" s="754"/>
      <c r="AC473" s="754"/>
      <c r="AD473" s="754"/>
    </row>
    <row r="474" spans="1:38" ht="24" customHeight="1">
      <c r="A474" s="93"/>
      <c r="B474" s="57"/>
      <c r="C474" s="754" t="s">
        <v>2929</v>
      </c>
      <c r="D474" s="754"/>
      <c r="E474" s="754"/>
      <c r="F474" s="754"/>
      <c r="G474" s="754"/>
      <c r="H474" s="754"/>
      <c r="I474" s="754"/>
      <c r="J474" s="754"/>
      <c r="K474" s="754"/>
      <c r="L474" s="754"/>
      <c r="M474" s="754"/>
      <c r="N474" s="754"/>
      <c r="O474" s="754"/>
      <c r="P474" s="754"/>
      <c r="Q474" s="754"/>
      <c r="R474" s="754"/>
      <c r="S474" s="754"/>
      <c r="T474" s="754"/>
      <c r="U474" s="754"/>
      <c r="V474" s="754"/>
      <c r="W474" s="754"/>
      <c r="X474" s="754"/>
      <c r="Y474" s="754"/>
      <c r="Z474" s="754"/>
      <c r="AA474" s="754"/>
      <c r="AB474" s="754"/>
      <c r="AC474" s="754"/>
      <c r="AD474" s="754"/>
    </row>
    <row r="475" spans="1:38" ht="15" customHeight="1">
      <c r="A475" s="103"/>
      <c r="B475" s="57"/>
      <c r="C475" s="57"/>
      <c r="D475" s="57"/>
      <c r="E475" s="57"/>
      <c r="F475" s="57"/>
      <c r="G475" s="57"/>
      <c r="H475" s="57"/>
      <c r="I475" s="57"/>
      <c r="J475" s="57"/>
      <c r="L475" s="57"/>
      <c r="M475" s="57"/>
      <c r="N475" s="57"/>
      <c r="O475" s="57"/>
      <c r="P475" s="57"/>
      <c r="Q475" s="57"/>
      <c r="R475" s="57"/>
      <c r="S475" s="57"/>
      <c r="T475" s="57"/>
      <c r="U475" s="57"/>
      <c r="V475" s="57"/>
      <c r="W475" s="57"/>
      <c r="X475" s="57"/>
      <c r="Y475" s="57"/>
      <c r="Z475" s="57"/>
      <c r="AA475" s="57"/>
      <c r="AB475" s="57"/>
      <c r="AC475" s="57"/>
      <c r="AD475" s="57"/>
    </row>
    <row r="476" spans="1:38" ht="15" customHeight="1">
      <c r="A476" s="49"/>
      <c r="B476" s="57"/>
      <c r="C476" s="732" t="s">
        <v>2581</v>
      </c>
      <c r="D476" s="732"/>
      <c r="E476" s="732"/>
      <c r="F476" s="732"/>
      <c r="G476" s="732"/>
      <c r="H476" s="732"/>
      <c r="I476" s="732"/>
      <c r="J476" s="732"/>
      <c r="K476" s="732"/>
      <c r="L476" s="732"/>
      <c r="M476" s="732"/>
      <c r="N476" s="732"/>
      <c r="O476" s="732" t="s">
        <v>2930</v>
      </c>
      <c r="P476" s="732"/>
      <c r="Q476" s="732"/>
      <c r="R476" s="732"/>
      <c r="S476" s="732"/>
      <c r="T476" s="732"/>
      <c r="U476" s="732"/>
      <c r="V476" s="732"/>
      <c r="W476" s="732" t="s">
        <v>2931</v>
      </c>
      <c r="X476" s="732"/>
      <c r="Y476" s="732"/>
      <c r="Z476" s="732"/>
      <c r="AA476" s="732"/>
      <c r="AB476" s="732"/>
      <c r="AC476" s="732"/>
      <c r="AD476" s="732"/>
    </row>
    <row r="477" spans="1:38" ht="84" customHeight="1">
      <c r="A477" s="49"/>
      <c r="B477" s="57"/>
      <c r="C477" s="732"/>
      <c r="D477" s="732"/>
      <c r="E477" s="732"/>
      <c r="F477" s="732"/>
      <c r="G477" s="732"/>
      <c r="H477" s="732"/>
      <c r="I477" s="732"/>
      <c r="J477" s="732"/>
      <c r="K477" s="732"/>
      <c r="L477" s="732"/>
      <c r="M477" s="732"/>
      <c r="N477" s="732"/>
      <c r="O477" s="733" t="s">
        <v>2932</v>
      </c>
      <c r="P477" s="734"/>
      <c r="Q477" s="734"/>
      <c r="R477" s="735"/>
      <c r="S477" s="733" t="s">
        <v>2933</v>
      </c>
      <c r="T477" s="734"/>
      <c r="U477" s="734"/>
      <c r="V477" s="735"/>
      <c r="W477" s="733" t="s">
        <v>2932</v>
      </c>
      <c r="X477" s="734"/>
      <c r="Y477" s="734"/>
      <c r="Z477" s="735"/>
      <c r="AA477" s="733" t="s">
        <v>2933</v>
      </c>
      <c r="AB477" s="734"/>
      <c r="AC477" s="734"/>
      <c r="AD477" s="735"/>
      <c r="AG477" s="247" t="s">
        <v>2586</v>
      </c>
      <c r="AH477" s="304" t="s">
        <v>2934</v>
      </c>
      <c r="AI477" s="308" t="s">
        <v>2935</v>
      </c>
      <c r="AJ477" s="301" t="s">
        <v>2936</v>
      </c>
      <c r="AK477" s="306" t="s">
        <v>2937</v>
      </c>
      <c r="AL477" s="307" t="s">
        <v>2938</v>
      </c>
    </row>
    <row r="478" spans="1:38" ht="15" customHeight="1">
      <c r="A478" s="49"/>
      <c r="B478" s="57"/>
      <c r="C478" s="44" t="s">
        <v>2516</v>
      </c>
      <c r="D478" s="796" t="str">
        <f>IF(CNSIPEE_2024_M2_Secc1!D42="","",CNSIPEE_2024_M2_Secc1!D42)</f>
        <v/>
      </c>
      <c r="E478" s="796"/>
      <c r="F478" s="796"/>
      <c r="G478" s="796"/>
      <c r="H478" s="796"/>
      <c r="I478" s="796"/>
      <c r="J478" s="796"/>
      <c r="K478" s="796"/>
      <c r="L478" s="796"/>
      <c r="M478" s="796"/>
      <c r="N478" s="796"/>
      <c r="O478" s="749"/>
      <c r="P478" s="749"/>
      <c r="Q478" s="749"/>
      <c r="R478" s="749"/>
      <c r="S478" s="749"/>
      <c r="T478" s="749"/>
      <c r="U478" s="749"/>
      <c r="V478" s="749"/>
      <c r="W478" s="749"/>
      <c r="X478" s="749"/>
      <c r="Y478" s="749"/>
      <c r="Z478" s="749"/>
      <c r="AA478" s="749"/>
      <c r="AB478" s="749"/>
      <c r="AC478" s="749"/>
      <c r="AD478" s="749"/>
      <c r="AG478" s="249">
        <f>IF(AND(COUNTBLANK(D478)=0,AH478=0,AI478=0),0,IF(AND(COUNTBLANK(D478)=1,AH478=0,AI478=0),0,1))</f>
        <v>0</v>
      </c>
      <c r="AH478" s="253">
        <f>IF(AND(COUNTBLANK(D478)=0,$O478&lt;&gt;"",$O478&lt;&gt;1,S478=""),0,IF(AND(COUNTBLANK(D478)=0,$O478&lt;&gt;"",$O478=1,S478&lt;&gt;""),0,IF(AND(COUNTBLANK(D478)=1,$O478="",S478=""),0,1)))</f>
        <v>0</v>
      </c>
      <c r="AI478" s="253">
        <f>IF(AND(COUNTBLANK(D478)=0,$W478&lt;&gt;"",$W478&lt;&gt;1,AA478=""),0,IF(AND(COUNTBLANK(D478)=0,$W478&lt;&gt;"",$W478=1,AA478&lt;&gt;""),0,IF(AND(COUNTBLANK(D478)=1,$W478="",AA478=""),0,1)))</f>
        <v>0</v>
      </c>
      <c r="AJ478" s="253">
        <f>IF(OR(COUNTIF(S478:V485,6)&gt;0,COUNTIF(AA478:AD485,6)&gt;0),1,0)</f>
        <v>0</v>
      </c>
      <c r="AK478" s="253">
        <f>IF(AND($O478&lt;&gt;"",$O478&lt;&gt;1,COUNTA(S478)&gt;0),1,0)</f>
        <v>0</v>
      </c>
      <c r="AL478" s="253">
        <f>IF(AND($W478&lt;&gt;"",$W478&lt;&gt;1,COUNTA(AA478)&gt;0),1,0)</f>
        <v>0</v>
      </c>
    </row>
    <row r="479" spans="1:38" ht="15" customHeight="1">
      <c r="A479" s="49"/>
      <c r="B479" s="57"/>
      <c r="C479" s="44" t="s">
        <v>2517</v>
      </c>
      <c r="D479" s="796" t="str">
        <f>IF(CNSIPEE_2024_M2_Secc1!D43="","",CNSIPEE_2024_M2_Secc1!D43)</f>
        <v/>
      </c>
      <c r="E479" s="796"/>
      <c r="F479" s="796"/>
      <c r="G479" s="796"/>
      <c r="H479" s="796"/>
      <c r="I479" s="796"/>
      <c r="J479" s="796"/>
      <c r="K479" s="796"/>
      <c r="L479" s="796"/>
      <c r="M479" s="796"/>
      <c r="N479" s="796"/>
      <c r="O479" s="749"/>
      <c r="P479" s="749"/>
      <c r="Q479" s="749"/>
      <c r="R479" s="749"/>
      <c r="S479" s="749"/>
      <c r="T479" s="749"/>
      <c r="U479" s="749"/>
      <c r="V479" s="749"/>
      <c r="W479" s="749"/>
      <c r="X479" s="749"/>
      <c r="Y479" s="749"/>
      <c r="Z479" s="749"/>
      <c r="AA479" s="749"/>
      <c r="AB479" s="749"/>
      <c r="AC479" s="749"/>
      <c r="AD479" s="749"/>
      <c r="AG479" s="249">
        <f t="shared" ref="AG479:AG485" si="145">IF(AND(COUNTBLANK(D479)=0,AH479=0,AI479=0),0,IF(AND(COUNTBLANK(D479)=1,AH479=0,AI479=0),0,1))</f>
        <v>0</v>
      </c>
      <c r="AH479" s="253">
        <f t="shared" ref="AH479:AH485" si="146">IF(AND(COUNTBLANK(D479)=0,$O479&lt;&gt;"",$O479&lt;&gt;1,S479=""),0,IF(AND(COUNTBLANK(D479)=0,$O479&lt;&gt;"",$O479=1,S479&lt;&gt;""),0,IF(AND(COUNTBLANK(D479)=1,$O479="",S479=""),0,1)))</f>
        <v>0</v>
      </c>
      <c r="AI479" s="253">
        <f t="shared" ref="AI479:AI485" si="147">IF(AND(COUNTBLANK(D479)=0,$W479&lt;&gt;"",$W479&lt;&gt;1,AA479=""),0,IF(AND(COUNTBLANK(D479)=0,$W479&lt;&gt;"",$W479=1,AA479&lt;&gt;""),0,IF(AND(COUNTBLANK(D479)=1,$W479="",AA479=""),0,1)))</f>
        <v>0</v>
      </c>
      <c r="AK479" s="253">
        <f t="shared" ref="AK479:AK485" si="148">IF(AND($O479&lt;&gt;"",$O479&lt;&gt;1,COUNTA(S479)&gt;0),1,0)</f>
        <v>0</v>
      </c>
      <c r="AL479" s="253">
        <f t="shared" ref="AL479:AL485" si="149">IF(AND($W479&lt;&gt;"",$W479&lt;&gt;1,COUNTA(AA479)&gt;0),1,0)</f>
        <v>0</v>
      </c>
    </row>
    <row r="480" spans="1:38" ht="15" customHeight="1">
      <c r="A480" s="49"/>
      <c r="B480" s="57"/>
      <c r="C480" s="44" t="s">
        <v>2518</v>
      </c>
      <c r="D480" s="796" t="str">
        <f>IF(CNSIPEE_2024_M2_Secc1!D44="","",CNSIPEE_2024_M2_Secc1!D44)</f>
        <v/>
      </c>
      <c r="E480" s="796"/>
      <c r="F480" s="796"/>
      <c r="G480" s="796"/>
      <c r="H480" s="796"/>
      <c r="I480" s="796"/>
      <c r="J480" s="796"/>
      <c r="K480" s="796"/>
      <c r="L480" s="796"/>
      <c r="M480" s="796"/>
      <c r="N480" s="796"/>
      <c r="O480" s="749"/>
      <c r="P480" s="749"/>
      <c r="Q480" s="749"/>
      <c r="R480" s="749"/>
      <c r="S480" s="749"/>
      <c r="T480" s="749"/>
      <c r="U480" s="749"/>
      <c r="V480" s="749"/>
      <c r="W480" s="749"/>
      <c r="X480" s="749"/>
      <c r="Y480" s="749"/>
      <c r="Z480" s="749"/>
      <c r="AA480" s="749"/>
      <c r="AB480" s="749"/>
      <c r="AC480" s="749"/>
      <c r="AD480" s="749"/>
      <c r="AG480" s="249">
        <f t="shared" si="145"/>
        <v>0</v>
      </c>
      <c r="AH480" s="253">
        <f t="shared" si="146"/>
        <v>0</v>
      </c>
      <c r="AI480" s="253">
        <f t="shared" si="147"/>
        <v>0</v>
      </c>
      <c r="AK480" s="253">
        <f t="shared" si="148"/>
        <v>0</v>
      </c>
      <c r="AL480" s="253">
        <f t="shared" si="149"/>
        <v>0</v>
      </c>
    </row>
    <row r="481" spans="1:38" ht="15" customHeight="1">
      <c r="A481" s="49"/>
      <c r="B481" s="57"/>
      <c r="C481" s="44" t="s">
        <v>2519</v>
      </c>
      <c r="D481" s="796" t="str">
        <f>IF(CNSIPEE_2024_M2_Secc1!D45="","",CNSIPEE_2024_M2_Secc1!D45)</f>
        <v/>
      </c>
      <c r="E481" s="796"/>
      <c r="F481" s="796"/>
      <c r="G481" s="796"/>
      <c r="H481" s="796"/>
      <c r="I481" s="796"/>
      <c r="J481" s="796"/>
      <c r="K481" s="796"/>
      <c r="L481" s="796"/>
      <c r="M481" s="796"/>
      <c r="N481" s="796"/>
      <c r="O481" s="749"/>
      <c r="P481" s="749"/>
      <c r="Q481" s="749"/>
      <c r="R481" s="749"/>
      <c r="S481" s="749"/>
      <c r="T481" s="749"/>
      <c r="U481" s="749"/>
      <c r="V481" s="749"/>
      <c r="W481" s="749"/>
      <c r="X481" s="749"/>
      <c r="Y481" s="749"/>
      <c r="Z481" s="749"/>
      <c r="AA481" s="749"/>
      <c r="AB481" s="749"/>
      <c r="AC481" s="749"/>
      <c r="AD481" s="749"/>
      <c r="AG481" s="249">
        <f t="shared" si="145"/>
        <v>0</v>
      </c>
      <c r="AH481" s="253">
        <f t="shared" si="146"/>
        <v>0</v>
      </c>
      <c r="AI481" s="253">
        <f t="shared" si="147"/>
        <v>0</v>
      </c>
      <c r="AK481" s="253">
        <f t="shared" si="148"/>
        <v>0</v>
      </c>
      <c r="AL481" s="253">
        <f t="shared" si="149"/>
        <v>0</v>
      </c>
    </row>
    <row r="482" spans="1:38" ht="15" customHeight="1">
      <c r="A482" s="49"/>
      <c r="B482" s="57"/>
      <c r="C482" s="44" t="s">
        <v>2520</v>
      </c>
      <c r="D482" s="796" t="str">
        <f>IF(CNSIPEE_2024_M2_Secc1!D46="","",CNSIPEE_2024_M2_Secc1!D46)</f>
        <v/>
      </c>
      <c r="E482" s="796"/>
      <c r="F482" s="796"/>
      <c r="G482" s="796"/>
      <c r="H482" s="796"/>
      <c r="I482" s="796"/>
      <c r="J482" s="796"/>
      <c r="K482" s="796"/>
      <c r="L482" s="796"/>
      <c r="M482" s="796"/>
      <c r="N482" s="796"/>
      <c r="O482" s="749"/>
      <c r="P482" s="749"/>
      <c r="Q482" s="749"/>
      <c r="R482" s="749"/>
      <c r="S482" s="749"/>
      <c r="T482" s="749"/>
      <c r="U482" s="749"/>
      <c r="V482" s="749"/>
      <c r="W482" s="749"/>
      <c r="X482" s="749"/>
      <c r="Y482" s="749"/>
      <c r="Z482" s="749"/>
      <c r="AA482" s="749"/>
      <c r="AB482" s="749"/>
      <c r="AC482" s="749"/>
      <c r="AD482" s="749"/>
      <c r="AG482" s="249">
        <f t="shared" si="145"/>
        <v>0</v>
      </c>
      <c r="AH482" s="253">
        <f t="shared" si="146"/>
        <v>0</v>
      </c>
      <c r="AI482" s="253">
        <f t="shared" si="147"/>
        <v>0</v>
      </c>
      <c r="AK482" s="253">
        <f t="shared" si="148"/>
        <v>0</v>
      </c>
      <c r="AL482" s="253">
        <f t="shared" si="149"/>
        <v>0</v>
      </c>
    </row>
    <row r="483" spans="1:38" ht="15" customHeight="1">
      <c r="A483" s="49"/>
      <c r="B483" s="57"/>
      <c r="C483" s="44" t="s">
        <v>2521</v>
      </c>
      <c r="D483" s="796" t="str">
        <f>IF(CNSIPEE_2024_M2_Secc1!D47="","",CNSIPEE_2024_M2_Secc1!D47)</f>
        <v/>
      </c>
      <c r="E483" s="796"/>
      <c r="F483" s="796"/>
      <c r="G483" s="796"/>
      <c r="H483" s="796"/>
      <c r="I483" s="796"/>
      <c r="J483" s="796"/>
      <c r="K483" s="796"/>
      <c r="L483" s="796"/>
      <c r="M483" s="796"/>
      <c r="N483" s="796"/>
      <c r="O483" s="749"/>
      <c r="P483" s="749"/>
      <c r="Q483" s="749"/>
      <c r="R483" s="749"/>
      <c r="S483" s="749"/>
      <c r="T483" s="749"/>
      <c r="U483" s="749"/>
      <c r="V483" s="749"/>
      <c r="W483" s="749"/>
      <c r="X483" s="749"/>
      <c r="Y483" s="749"/>
      <c r="Z483" s="749"/>
      <c r="AA483" s="749"/>
      <c r="AB483" s="749"/>
      <c r="AC483" s="749"/>
      <c r="AD483" s="749"/>
      <c r="AG483" s="249">
        <f t="shared" si="145"/>
        <v>0</v>
      </c>
      <c r="AH483" s="253">
        <f t="shared" si="146"/>
        <v>0</v>
      </c>
      <c r="AI483" s="253">
        <f t="shared" si="147"/>
        <v>0</v>
      </c>
      <c r="AK483" s="253">
        <f t="shared" si="148"/>
        <v>0</v>
      </c>
      <c r="AL483" s="253">
        <f t="shared" si="149"/>
        <v>0</v>
      </c>
    </row>
    <row r="484" spans="1:38" ht="15" customHeight="1">
      <c r="A484" s="49"/>
      <c r="B484" s="57"/>
      <c r="C484" s="44" t="s">
        <v>2522</v>
      </c>
      <c r="D484" s="796" t="str">
        <f>IF(CNSIPEE_2024_M2_Secc1!D48="","",CNSIPEE_2024_M2_Secc1!D48)</f>
        <v/>
      </c>
      <c r="E484" s="796"/>
      <c r="F484" s="796"/>
      <c r="G484" s="796"/>
      <c r="H484" s="796"/>
      <c r="I484" s="796"/>
      <c r="J484" s="796"/>
      <c r="K484" s="796"/>
      <c r="L484" s="796"/>
      <c r="M484" s="796"/>
      <c r="N484" s="796"/>
      <c r="O484" s="749"/>
      <c r="P484" s="749"/>
      <c r="Q484" s="749"/>
      <c r="R484" s="749"/>
      <c r="S484" s="749"/>
      <c r="T484" s="749"/>
      <c r="U484" s="749"/>
      <c r="V484" s="749"/>
      <c r="W484" s="749"/>
      <c r="X484" s="749"/>
      <c r="Y484" s="749"/>
      <c r="Z484" s="749"/>
      <c r="AA484" s="749"/>
      <c r="AB484" s="749"/>
      <c r="AC484" s="749"/>
      <c r="AD484" s="749"/>
      <c r="AG484" s="249">
        <f t="shared" si="145"/>
        <v>0</v>
      </c>
      <c r="AH484" s="253">
        <f t="shared" si="146"/>
        <v>0</v>
      </c>
      <c r="AI484" s="253">
        <f t="shared" si="147"/>
        <v>0</v>
      </c>
      <c r="AK484" s="253">
        <f t="shared" si="148"/>
        <v>0</v>
      </c>
      <c r="AL484" s="253">
        <f t="shared" si="149"/>
        <v>0</v>
      </c>
    </row>
    <row r="485" spans="1:38" ht="15" customHeight="1">
      <c r="A485" s="49"/>
      <c r="B485" s="57"/>
      <c r="C485" s="44" t="s">
        <v>2523</v>
      </c>
      <c r="D485" s="796" t="str">
        <f>IF(CNSIPEE_2024_M2_Secc1!D49="","",CNSIPEE_2024_M2_Secc1!D49)</f>
        <v/>
      </c>
      <c r="E485" s="796"/>
      <c r="F485" s="796"/>
      <c r="G485" s="796"/>
      <c r="H485" s="796"/>
      <c r="I485" s="796"/>
      <c r="J485" s="796"/>
      <c r="K485" s="796"/>
      <c r="L485" s="796"/>
      <c r="M485" s="796"/>
      <c r="N485" s="796"/>
      <c r="O485" s="749"/>
      <c r="P485" s="749"/>
      <c r="Q485" s="749"/>
      <c r="R485" s="749"/>
      <c r="S485" s="749"/>
      <c r="T485" s="749"/>
      <c r="U485" s="749"/>
      <c r="V485" s="749"/>
      <c r="W485" s="749"/>
      <c r="X485" s="749"/>
      <c r="Y485" s="749"/>
      <c r="Z485" s="749"/>
      <c r="AA485" s="749"/>
      <c r="AB485" s="749"/>
      <c r="AC485" s="749"/>
      <c r="AD485" s="749"/>
      <c r="AG485" s="249">
        <f t="shared" si="145"/>
        <v>0</v>
      </c>
      <c r="AH485" s="253">
        <f t="shared" si="146"/>
        <v>0</v>
      </c>
      <c r="AI485" s="253">
        <f t="shared" si="147"/>
        <v>0</v>
      </c>
      <c r="AK485" s="253">
        <f t="shared" si="148"/>
        <v>0</v>
      </c>
      <c r="AL485" s="253">
        <f t="shared" si="149"/>
        <v>0</v>
      </c>
    </row>
    <row r="486" spans="1:38" ht="15" customHeight="1">
      <c r="A486" s="103"/>
      <c r="B486" s="57"/>
      <c r="C486" s="70"/>
      <c r="D486" s="84"/>
      <c r="E486" s="84"/>
      <c r="F486" s="84"/>
      <c r="G486" s="658"/>
      <c r="H486" s="658"/>
      <c r="I486" s="658"/>
      <c r="J486" s="658"/>
      <c r="K486" s="658"/>
      <c r="L486" s="658"/>
      <c r="M486" s="659"/>
      <c r="N486" s="659"/>
      <c r="O486" s="659"/>
      <c r="P486" s="659"/>
      <c r="Q486" s="659"/>
      <c r="R486" s="659"/>
      <c r="S486" s="659"/>
      <c r="T486" s="659"/>
      <c r="U486" s="659"/>
      <c r="V486" s="659"/>
      <c r="W486" s="659"/>
      <c r="X486" s="659"/>
      <c r="Y486" s="658"/>
      <c r="Z486" s="658"/>
      <c r="AA486" s="658"/>
      <c r="AB486" s="658"/>
      <c r="AC486" s="141"/>
      <c r="AD486" s="141"/>
      <c r="AG486" s="247">
        <f>SUM(AG478:AG485)</f>
        <v>0</v>
      </c>
      <c r="AK486" s="258">
        <f>SUM(AK478:AK485)</f>
        <v>0</v>
      </c>
      <c r="AL486" s="305">
        <f>SUM(AL478:AL485)</f>
        <v>0</v>
      </c>
    </row>
    <row r="487" spans="1:38" ht="45" customHeight="1">
      <c r="A487" s="103"/>
      <c r="B487" s="57"/>
      <c r="C487" s="822" t="s">
        <v>2939</v>
      </c>
      <c r="D487" s="822"/>
      <c r="E487" s="822"/>
      <c r="F487" s="749"/>
      <c r="G487" s="749"/>
      <c r="H487" s="749"/>
      <c r="I487" s="749"/>
      <c r="J487" s="749"/>
      <c r="K487" s="749"/>
      <c r="L487" s="749"/>
      <c r="M487" s="749"/>
      <c r="N487" s="749"/>
      <c r="O487" s="749"/>
      <c r="P487" s="749"/>
      <c r="Q487" s="749"/>
      <c r="R487" s="749"/>
      <c r="S487" s="749"/>
      <c r="T487" s="749"/>
      <c r="U487" s="749"/>
      <c r="V487" s="749"/>
      <c r="W487" s="749"/>
      <c r="X487" s="749"/>
      <c r="Y487" s="749"/>
      <c r="Z487" s="749"/>
      <c r="AA487" s="749"/>
      <c r="AB487" s="749"/>
      <c r="AC487" s="749"/>
      <c r="AD487" s="749"/>
    </row>
    <row r="488" spans="1:38" ht="15" customHeight="1">
      <c r="A488" s="103"/>
      <c r="B488" s="794" t="str">
        <f>IF(AND(AJ478&gt;0,F487=""),"Seleccionó el código 6 en alguna de las col. Frecuencia en la que proporcionó el suministro debe anotar el nombre de dicha(s) frecuencia(s)","")</f>
        <v/>
      </c>
      <c r="C488" s="794"/>
      <c r="D488" s="794"/>
      <c r="E488" s="794"/>
      <c r="F488" s="794"/>
      <c r="G488" s="794"/>
      <c r="H488" s="794"/>
      <c r="I488" s="794"/>
      <c r="J488" s="794"/>
      <c r="K488" s="794"/>
      <c r="L488" s="794"/>
      <c r="M488" s="794"/>
      <c r="N488" s="794"/>
      <c r="O488" s="794"/>
      <c r="P488" s="794"/>
      <c r="Q488" s="794"/>
      <c r="R488" s="794"/>
      <c r="S488" s="794"/>
      <c r="T488" s="794"/>
      <c r="U488" s="794"/>
      <c r="V488" s="794"/>
      <c r="W488" s="794"/>
      <c r="X488" s="794"/>
      <c r="Y488" s="794"/>
      <c r="Z488" s="794"/>
      <c r="AA488" s="794"/>
      <c r="AB488" s="794"/>
      <c r="AC488" s="794"/>
      <c r="AD488" s="794"/>
      <c r="AE488" s="794"/>
    </row>
    <row r="489" spans="1:38" ht="15" customHeight="1">
      <c r="A489" s="94"/>
      <c r="C489" s="732" t="s">
        <v>2940</v>
      </c>
      <c r="D489" s="732"/>
      <c r="E489" s="732"/>
      <c r="F489" s="732"/>
      <c r="G489" s="732"/>
      <c r="H489" s="732"/>
      <c r="I489" s="732"/>
      <c r="J489" s="732"/>
      <c r="K489" s="732"/>
      <c r="L489" s="732"/>
      <c r="M489" s="732"/>
      <c r="N489" s="732"/>
      <c r="O489" s="732"/>
      <c r="P489" s="732"/>
      <c r="Q489" s="732"/>
      <c r="R489" s="732"/>
      <c r="S489" s="732"/>
      <c r="T489" s="732"/>
      <c r="U489" s="732"/>
      <c r="V489" s="732"/>
      <c r="W489" s="732"/>
      <c r="X489" s="732"/>
      <c r="Y489" s="732"/>
      <c r="Z489" s="732"/>
      <c r="AA489" s="732"/>
      <c r="AB489" s="732"/>
      <c r="AC489" s="732"/>
      <c r="AD489" s="732"/>
    </row>
    <row r="490" spans="1:38" ht="15" customHeight="1">
      <c r="A490" s="94"/>
      <c r="C490" s="92" t="s">
        <v>2516</v>
      </c>
      <c r="D490" s="861" t="s">
        <v>2941</v>
      </c>
      <c r="E490" s="862"/>
      <c r="F490" s="862"/>
      <c r="G490" s="862"/>
      <c r="H490" s="862"/>
      <c r="I490" s="862"/>
      <c r="J490" s="862"/>
      <c r="K490" s="862"/>
      <c r="L490" s="862"/>
      <c r="M490" s="862"/>
      <c r="N490" s="862"/>
      <c r="O490" s="862"/>
      <c r="P490" s="862"/>
      <c r="Q490" s="862"/>
      <c r="R490" s="862"/>
      <c r="S490" s="862"/>
      <c r="T490" s="862"/>
      <c r="U490" s="862"/>
      <c r="V490" s="862"/>
      <c r="W490" s="862"/>
      <c r="X490" s="862"/>
      <c r="Y490" s="862"/>
      <c r="Z490" s="862"/>
      <c r="AA490" s="862"/>
      <c r="AB490" s="862"/>
      <c r="AC490" s="862"/>
      <c r="AD490" s="863"/>
    </row>
    <row r="491" spans="1:38" ht="15" customHeight="1">
      <c r="A491" s="94"/>
      <c r="C491" s="44" t="s">
        <v>2517</v>
      </c>
      <c r="D491" s="796" t="s">
        <v>2942</v>
      </c>
      <c r="E491" s="796"/>
      <c r="F491" s="796"/>
      <c r="G491" s="796"/>
      <c r="H491" s="796"/>
      <c r="I491" s="796"/>
      <c r="J491" s="796"/>
      <c r="K491" s="796"/>
      <c r="L491" s="796"/>
      <c r="M491" s="796"/>
      <c r="N491" s="796"/>
      <c r="O491" s="796"/>
      <c r="P491" s="796"/>
      <c r="Q491" s="796"/>
      <c r="R491" s="796"/>
      <c r="S491" s="796"/>
      <c r="T491" s="796"/>
      <c r="U491" s="796"/>
      <c r="V491" s="796"/>
      <c r="W491" s="796"/>
      <c r="X491" s="796"/>
      <c r="Y491" s="796"/>
      <c r="Z491" s="796"/>
      <c r="AA491" s="796"/>
      <c r="AB491" s="796"/>
      <c r="AC491" s="796"/>
      <c r="AD491" s="796"/>
    </row>
    <row r="492" spans="1:38" ht="15" customHeight="1">
      <c r="A492" s="94"/>
      <c r="C492" s="44" t="s">
        <v>2518</v>
      </c>
      <c r="D492" s="796" t="s">
        <v>2943</v>
      </c>
      <c r="E492" s="796"/>
      <c r="F492" s="796"/>
      <c r="G492" s="796"/>
      <c r="H492" s="796"/>
      <c r="I492" s="796"/>
      <c r="J492" s="796"/>
      <c r="K492" s="796"/>
      <c r="L492" s="796"/>
      <c r="M492" s="796"/>
      <c r="N492" s="796"/>
      <c r="O492" s="796"/>
      <c r="P492" s="796"/>
      <c r="Q492" s="796"/>
      <c r="R492" s="796"/>
      <c r="S492" s="796"/>
      <c r="T492" s="796"/>
      <c r="U492" s="796"/>
      <c r="V492" s="796"/>
      <c r="W492" s="796"/>
      <c r="X492" s="796"/>
      <c r="Y492" s="796"/>
      <c r="Z492" s="796"/>
      <c r="AA492" s="796"/>
      <c r="AB492" s="796"/>
      <c r="AC492" s="796"/>
      <c r="AD492" s="796"/>
    </row>
    <row r="493" spans="1:38" ht="15" customHeight="1">
      <c r="A493" s="94"/>
      <c r="C493" s="44" t="s">
        <v>2519</v>
      </c>
      <c r="D493" s="796" t="s">
        <v>2944</v>
      </c>
      <c r="E493" s="796"/>
      <c r="F493" s="796"/>
      <c r="G493" s="796"/>
      <c r="H493" s="796"/>
      <c r="I493" s="796"/>
      <c r="J493" s="796"/>
      <c r="K493" s="796"/>
      <c r="L493" s="796"/>
      <c r="M493" s="796"/>
      <c r="N493" s="796"/>
      <c r="O493" s="796"/>
      <c r="P493" s="796"/>
      <c r="Q493" s="796"/>
      <c r="R493" s="796"/>
      <c r="S493" s="796"/>
      <c r="T493" s="796"/>
      <c r="U493" s="796"/>
      <c r="V493" s="796"/>
      <c r="W493" s="796"/>
      <c r="X493" s="796"/>
      <c r="Y493" s="796"/>
      <c r="Z493" s="796"/>
      <c r="AA493" s="796"/>
      <c r="AB493" s="796"/>
      <c r="AC493" s="796"/>
      <c r="AD493" s="796"/>
    </row>
    <row r="494" spans="1:38" ht="15" customHeight="1">
      <c r="A494" s="94"/>
      <c r="C494" s="44" t="s">
        <v>2520</v>
      </c>
      <c r="D494" s="796" t="s">
        <v>2945</v>
      </c>
      <c r="E494" s="796"/>
      <c r="F494" s="796"/>
      <c r="G494" s="796"/>
      <c r="H494" s="796"/>
      <c r="I494" s="796"/>
      <c r="J494" s="796"/>
      <c r="K494" s="796"/>
      <c r="L494" s="796"/>
      <c r="M494" s="796"/>
      <c r="N494" s="796"/>
      <c r="O494" s="796"/>
      <c r="P494" s="796"/>
      <c r="Q494" s="796"/>
      <c r="R494" s="796"/>
      <c r="S494" s="796"/>
      <c r="T494" s="796"/>
      <c r="U494" s="796"/>
      <c r="V494" s="796"/>
      <c r="W494" s="796"/>
      <c r="X494" s="796"/>
      <c r="Y494" s="796"/>
      <c r="Z494" s="796"/>
      <c r="AA494" s="796"/>
      <c r="AB494" s="796"/>
      <c r="AC494" s="796"/>
      <c r="AD494" s="796"/>
    </row>
    <row r="495" spans="1:38" ht="15" customHeight="1">
      <c r="A495" s="94"/>
      <c r="C495" s="44" t="s">
        <v>2521</v>
      </c>
      <c r="D495" s="796" t="s">
        <v>2946</v>
      </c>
      <c r="E495" s="796"/>
      <c r="F495" s="796"/>
      <c r="G495" s="796"/>
      <c r="H495" s="796"/>
      <c r="I495" s="796"/>
      <c r="J495" s="796"/>
      <c r="K495" s="796"/>
      <c r="L495" s="796"/>
      <c r="M495" s="796"/>
      <c r="N495" s="796"/>
      <c r="O495" s="796"/>
      <c r="P495" s="796"/>
      <c r="Q495" s="796"/>
      <c r="R495" s="796"/>
      <c r="S495" s="796"/>
      <c r="T495" s="796"/>
      <c r="U495" s="796"/>
      <c r="V495" s="796"/>
      <c r="W495" s="796"/>
      <c r="X495" s="796"/>
      <c r="Y495" s="796"/>
      <c r="Z495" s="796"/>
      <c r="AA495" s="796"/>
      <c r="AB495" s="796"/>
      <c r="AC495" s="796"/>
      <c r="AD495" s="796"/>
    </row>
    <row r="496" spans="1:38" ht="15" customHeight="1">
      <c r="A496" s="120"/>
      <c r="B496" s="54"/>
      <c r="C496" s="44" t="s">
        <v>2524</v>
      </c>
      <c r="D496" s="796" t="s">
        <v>201</v>
      </c>
      <c r="E496" s="796"/>
      <c r="F496" s="796"/>
      <c r="G496" s="796"/>
      <c r="H496" s="796"/>
      <c r="I496" s="796"/>
      <c r="J496" s="796"/>
      <c r="K496" s="796"/>
      <c r="L496" s="796"/>
      <c r="M496" s="796"/>
      <c r="N496" s="796"/>
      <c r="O496" s="796"/>
      <c r="P496" s="796"/>
      <c r="Q496" s="796"/>
      <c r="R496" s="796"/>
      <c r="S496" s="796"/>
      <c r="T496" s="796"/>
      <c r="U496" s="796"/>
      <c r="V496" s="796"/>
      <c r="W496" s="796"/>
      <c r="X496" s="796"/>
      <c r="Y496" s="796"/>
      <c r="Z496" s="796"/>
      <c r="AA496" s="796"/>
      <c r="AB496" s="796"/>
      <c r="AC496" s="796"/>
      <c r="AD496" s="796"/>
    </row>
    <row r="497" spans="1:30" ht="15" customHeight="1">
      <c r="A497" s="103"/>
      <c r="B497" s="57"/>
      <c r="C497" s="70"/>
      <c r="D497" s="84"/>
      <c r="E497" s="84"/>
      <c r="F497" s="84"/>
      <c r="G497" s="658"/>
      <c r="H497" s="658"/>
      <c r="I497" s="658"/>
      <c r="J497" s="658"/>
      <c r="K497" s="658"/>
      <c r="L497" s="658"/>
      <c r="M497" s="659"/>
      <c r="N497" s="659"/>
      <c r="O497" s="659"/>
      <c r="P497" s="659"/>
      <c r="Q497" s="659"/>
      <c r="R497" s="659"/>
      <c r="S497" s="659"/>
      <c r="T497" s="659"/>
      <c r="U497" s="659"/>
      <c r="V497" s="659"/>
      <c r="W497" s="659"/>
      <c r="X497" s="659"/>
      <c r="Y497" s="658"/>
      <c r="Z497" s="658"/>
      <c r="AA497" s="658"/>
      <c r="AB497" s="658"/>
      <c r="AC497" s="141"/>
      <c r="AD497" s="141"/>
    </row>
    <row r="498" spans="1:30" ht="24" customHeight="1">
      <c r="A498" s="96"/>
      <c r="B498" s="90"/>
      <c r="C498" s="754" t="s">
        <v>2611</v>
      </c>
      <c r="D498" s="754"/>
      <c r="E498" s="754"/>
      <c r="F498" s="754"/>
      <c r="G498" s="754"/>
      <c r="H498" s="754"/>
      <c r="I498" s="754"/>
      <c r="J498" s="754"/>
      <c r="K498" s="754"/>
      <c r="L498" s="754"/>
      <c r="M498" s="754"/>
      <c r="N498" s="754"/>
      <c r="O498" s="754"/>
      <c r="P498" s="754"/>
      <c r="Q498" s="754"/>
      <c r="R498" s="754"/>
      <c r="S498" s="754"/>
      <c r="T498" s="754"/>
      <c r="U498" s="754"/>
      <c r="V498" s="754"/>
      <c r="W498" s="754"/>
      <c r="X498" s="754"/>
      <c r="Y498" s="754"/>
      <c r="Z498" s="754"/>
      <c r="AA498" s="754"/>
      <c r="AB498" s="754"/>
      <c r="AC498" s="754"/>
      <c r="AD498" s="754"/>
    </row>
    <row r="499" spans="1:30" ht="60" customHeight="1">
      <c r="A499" s="96"/>
      <c r="B499" s="90"/>
      <c r="C499" s="851"/>
      <c r="D499" s="851"/>
      <c r="E499" s="851"/>
      <c r="F499" s="851"/>
      <c r="G499" s="851"/>
      <c r="H499" s="851"/>
      <c r="I499" s="851"/>
      <c r="J499" s="851"/>
      <c r="K499" s="851"/>
      <c r="L499" s="851"/>
      <c r="M499" s="851"/>
      <c r="N499" s="851"/>
      <c r="O499" s="851"/>
      <c r="P499" s="851"/>
      <c r="Q499" s="851"/>
      <c r="R499" s="851"/>
      <c r="S499" s="851"/>
      <c r="T499" s="851"/>
      <c r="U499" s="851"/>
      <c r="V499" s="851"/>
      <c r="W499" s="851"/>
      <c r="X499" s="851"/>
      <c r="Y499" s="851"/>
      <c r="Z499" s="851"/>
      <c r="AA499" s="851"/>
      <c r="AB499" s="851"/>
      <c r="AC499" s="851"/>
      <c r="AD499" s="851"/>
    </row>
    <row r="500" spans="1:30" ht="15" customHeight="1">
      <c r="A500" s="96"/>
      <c r="B500" s="794" t="str">
        <f>IF(AG486&gt;0,"Favor de ingresar toda la información requerida en la pregunta y/o verifique que no tenga información en celdas sombreadas","")</f>
        <v/>
      </c>
      <c r="C500" s="794"/>
      <c r="D500" s="794"/>
      <c r="E500" s="794"/>
      <c r="F500" s="794"/>
      <c r="G500" s="794"/>
      <c r="H500" s="794"/>
      <c r="I500" s="794"/>
      <c r="J500" s="794"/>
      <c r="K500" s="794"/>
      <c r="L500" s="794"/>
      <c r="M500" s="794"/>
      <c r="N500" s="794"/>
      <c r="O500" s="794"/>
      <c r="P500" s="794"/>
      <c r="Q500" s="794"/>
      <c r="R500" s="794"/>
      <c r="S500" s="794"/>
      <c r="T500" s="794"/>
      <c r="U500" s="794"/>
      <c r="V500" s="794"/>
      <c r="W500" s="794"/>
      <c r="X500" s="794"/>
      <c r="Y500" s="794"/>
      <c r="Z500" s="794"/>
      <c r="AA500" s="794"/>
      <c r="AB500" s="794"/>
      <c r="AC500" s="794"/>
      <c r="AD500" s="794"/>
    </row>
    <row r="501" spans="1:30" ht="15" customHeight="1">
      <c r="A501" s="96"/>
      <c r="B501" s="160"/>
      <c r="C501" s="54"/>
      <c r="D501" s="54"/>
      <c r="E501" s="54"/>
      <c r="F501" s="54"/>
      <c r="G501" s="54"/>
      <c r="H501" s="54"/>
      <c r="I501" s="54"/>
      <c r="J501" s="54"/>
      <c r="K501" s="54"/>
      <c r="L501" s="54"/>
      <c r="M501" s="54"/>
      <c r="N501" s="54"/>
      <c r="O501" s="54"/>
      <c r="P501" s="54"/>
      <c r="Q501" s="54"/>
      <c r="R501" s="54"/>
      <c r="S501" s="54"/>
      <c r="T501" s="54"/>
      <c r="U501" s="54"/>
      <c r="V501" s="54"/>
      <c r="W501" s="54"/>
      <c r="X501" s="54"/>
      <c r="Y501" s="54"/>
      <c r="Z501" s="54"/>
      <c r="AA501" s="54"/>
      <c r="AB501" s="54"/>
      <c r="AC501" s="54"/>
      <c r="AD501" s="54"/>
    </row>
    <row r="502" spans="1:30" ht="15" customHeight="1">
      <c r="A502" s="96"/>
      <c r="B502" s="54"/>
      <c r="C502" s="54"/>
      <c r="D502" s="54"/>
      <c r="E502" s="54"/>
      <c r="F502" s="54"/>
      <c r="G502" s="54"/>
      <c r="H502" s="54"/>
      <c r="I502" s="54"/>
      <c r="J502" s="54"/>
      <c r="K502" s="54"/>
      <c r="L502" s="54"/>
      <c r="M502" s="54"/>
      <c r="N502" s="54"/>
      <c r="O502" s="54"/>
      <c r="P502" s="54"/>
      <c r="Q502" s="54"/>
      <c r="R502" s="54"/>
      <c r="S502" s="54"/>
      <c r="T502" s="54"/>
      <c r="U502" s="54"/>
      <c r="V502" s="54"/>
      <c r="W502" s="54"/>
      <c r="X502" s="54"/>
      <c r="Y502" s="54"/>
      <c r="Z502" s="54"/>
      <c r="AA502" s="54"/>
      <c r="AB502" s="54"/>
      <c r="AC502" s="54"/>
      <c r="AD502" s="54"/>
    </row>
    <row r="503" spans="1:30" ht="15" customHeight="1">
      <c r="A503" s="96"/>
      <c r="B503" s="54"/>
      <c r="C503" s="54"/>
      <c r="D503" s="54"/>
      <c r="E503" s="54"/>
      <c r="F503" s="54"/>
      <c r="G503" s="54"/>
      <c r="H503" s="54"/>
      <c r="I503" s="54"/>
      <c r="J503" s="54"/>
      <c r="K503" s="54"/>
      <c r="L503" s="54"/>
      <c r="M503" s="54"/>
      <c r="N503" s="54"/>
      <c r="O503" s="54"/>
      <c r="P503" s="54"/>
      <c r="Q503" s="54"/>
      <c r="R503" s="54"/>
      <c r="S503" s="54"/>
      <c r="T503" s="54"/>
      <c r="U503" s="54"/>
      <c r="V503" s="54"/>
      <c r="W503" s="54"/>
      <c r="X503" s="54"/>
      <c r="Y503" s="54"/>
      <c r="Z503" s="54"/>
      <c r="AA503" s="54"/>
      <c r="AB503" s="54"/>
      <c r="AC503" s="54"/>
      <c r="AD503" s="54"/>
    </row>
    <row r="504" spans="1:30" ht="15" customHeight="1">
      <c r="A504" s="96"/>
      <c r="B504" s="54"/>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4"/>
      <c r="AC504" s="54"/>
      <c r="AD504" s="54"/>
    </row>
    <row r="505" spans="1:30" ht="15" customHeight="1" thickBot="1">
      <c r="A505" s="96"/>
      <c r="B505" s="54"/>
      <c r="C505" s="54"/>
      <c r="D505" s="54"/>
      <c r="E505" s="54"/>
      <c r="F505" s="54"/>
      <c r="G505" s="54"/>
      <c r="H505" s="54"/>
      <c r="I505" s="54"/>
      <c r="J505" s="54"/>
      <c r="K505" s="54"/>
      <c r="L505" s="54"/>
      <c r="M505" s="54"/>
      <c r="N505" s="54"/>
      <c r="O505" s="54"/>
      <c r="P505" s="54"/>
      <c r="Q505" s="54"/>
      <c r="R505" s="54"/>
      <c r="S505" s="54"/>
      <c r="T505" s="54"/>
      <c r="U505" s="54"/>
      <c r="V505" s="54"/>
      <c r="W505" s="54"/>
      <c r="X505" s="54"/>
      <c r="Y505" s="54"/>
      <c r="Z505" s="54"/>
      <c r="AA505" s="54"/>
      <c r="AB505" s="54"/>
      <c r="AC505" s="54"/>
      <c r="AD505" s="54"/>
    </row>
    <row r="506" spans="1:30" customFormat="1" ht="15" customHeight="1" thickBot="1">
      <c r="A506" s="153" t="s">
        <v>2563</v>
      </c>
      <c r="B506" s="831" t="s">
        <v>2947</v>
      </c>
      <c r="C506" s="832"/>
      <c r="D506" s="832"/>
      <c r="E506" s="832"/>
      <c r="F506" s="832"/>
      <c r="G506" s="832"/>
      <c r="H506" s="832"/>
      <c r="I506" s="832"/>
      <c r="J506" s="832"/>
      <c r="K506" s="832"/>
      <c r="L506" s="832"/>
      <c r="M506" s="832"/>
      <c r="N506" s="832"/>
      <c r="O506" s="832"/>
      <c r="P506" s="832"/>
      <c r="Q506" s="832"/>
      <c r="R506" s="832"/>
      <c r="S506" s="832"/>
      <c r="T506" s="832"/>
      <c r="U506" s="832"/>
      <c r="V506" s="832"/>
      <c r="W506" s="832"/>
      <c r="X506" s="832"/>
      <c r="Y506" s="832"/>
      <c r="Z506" s="832"/>
      <c r="AA506" s="832"/>
      <c r="AB506" s="832"/>
      <c r="AC506" s="832"/>
      <c r="AD506" s="833"/>
    </row>
    <row r="507" spans="1:30" ht="15" customHeight="1">
      <c r="A507" s="94"/>
      <c r="B507" s="866" t="s">
        <v>2948</v>
      </c>
      <c r="C507" s="867"/>
      <c r="D507" s="867"/>
      <c r="E507" s="867"/>
      <c r="F507" s="867"/>
      <c r="G507" s="867"/>
      <c r="H507" s="867"/>
      <c r="I507" s="867"/>
      <c r="J507" s="867"/>
      <c r="K507" s="867"/>
      <c r="L507" s="867"/>
      <c r="M507" s="867"/>
      <c r="N507" s="867"/>
      <c r="O507" s="867"/>
      <c r="P507" s="867"/>
      <c r="Q507" s="867"/>
      <c r="R507" s="867"/>
      <c r="S507" s="867"/>
      <c r="T507" s="867"/>
      <c r="U507" s="867"/>
      <c r="V507" s="867"/>
      <c r="W507" s="867"/>
      <c r="X507" s="867"/>
      <c r="Y507" s="867"/>
      <c r="Z507" s="867"/>
      <c r="AA507" s="867"/>
      <c r="AB507" s="867"/>
      <c r="AC507" s="867"/>
      <c r="AD507" s="868"/>
    </row>
    <row r="508" spans="1:30" ht="24" customHeight="1">
      <c r="A508" s="147"/>
      <c r="B508" s="114"/>
      <c r="C508" s="864" t="s">
        <v>2949</v>
      </c>
      <c r="D508" s="864"/>
      <c r="E508" s="864"/>
      <c r="F508" s="864"/>
      <c r="G508" s="864"/>
      <c r="H508" s="864"/>
      <c r="I508" s="864"/>
      <c r="J508" s="864"/>
      <c r="K508" s="864"/>
      <c r="L508" s="864"/>
      <c r="M508" s="864"/>
      <c r="N508" s="864"/>
      <c r="O508" s="864"/>
      <c r="P508" s="864"/>
      <c r="Q508" s="864"/>
      <c r="R508" s="864"/>
      <c r="S508" s="864"/>
      <c r="T508" s="864"/>
      <c r="U508" s="864"/>
      <c r="V508" s="864"/>
      <c r="W508" s="864"/>
      <c r="X508" s="864"/>
      <c r="Y508" s="864"/>
      <c r="Z508" s="864"/>
      <c r="AA508" s="864"/>
      <c r="AB508" s="864"/>
      <c r="AC508" s="864"/>
      <c r="AD508" s="865"/>
    </row>
    <row r="509" spans="1:30" ht="15" customHeight="1">
      <c r="A509" s="103"/>
      <c r="B509" s="57"/>
      <c r="C509" s="57"/>
      <c r="D509" s="57"/>
      <c r="E509" s="57"/>
      <c r="F509" s="57"/>
      <c r="G509" s="57"/>
      <c r="H509" s="57"/>
      <c r="I509" s="57"/>
      <c r="J509" s="57"/>
      <c r="K509" s="57"/>
      <c r="L509" s="57"/>
      <c r="M509" s="57"/>
      <c r="N509" s="57"/>
      <c r="O509" s="57"/>
      <c r="P509" s="57"/>
      <c r="Q509" s="57"/>
      <c r="R509" s="57"/>
      <c r="S509" s="57"/>
      <c r="T509" s="57"/>
      <c r="U509" s="57"/>
      <c r="V509" s="57"/>
      <c r="W509" s="57"/>
      <c r="X509" s="57"/>
      <c r="Y509" s="57"/>
      <c r="Z509" s="57"/>
      <c r="AA509" s="57"/>
      <c r="AB509" s="57"/>
      <c r="AC509" s="57"/>
      <c r="AD509" s="57"/>
    </row>
    <row r="510" spans="1:30" ht="36" customHeight="1">
      <c r="A510" s="49" t="s">
        <v>2950</v>
      </c>
      <c r="B510" s="829" t="s">
        <v>2951</v>
      </c>
      <c r="C510" s="829"/>
      <c r="D510" s="829"/>
      <c r="E510" s="829"/>
      <c r="F510" s="829"/>
      <c r="G510" s="829"/>
      <c r="H510" s="829"/>
      <c r="I510" s="829"/>
      <c r="J510" s="829"/>
      <c r="K510" s="829"/>
      <c r="L510" s="829"/>
      <c r="M510" s="829"/>
      <c r="N510" s="829"/>
      <c r="O510" s="829"/>
      <c r="P510" s="829"/>
      <c r="Q510" s="829"/>
      <c r="R510" s="829"/>
      <c r="S510" s="829"/>
      <c r="T510" s="829"/>
      <c r="U510" s="829"/>
      <c r="V510" s="829"/>
      <c r="W510" s="829"/>
      <c r="X510" s="829"/>
      <c r="Y510" s="829"/>
      <c r="Z510" s="829"/>
      <c r="AA510" s="829"/>
      <c r="AB510" s="829"/>
      <c r="AC510" s="829"/>
      <c r="AD510" s="829"/>
    </row>
    <row r="511" spans="1:30" ht="36" customHeight="1">
      <c r="A511" s="50"/>
      <c r="B511" s="90"/>
      <c r="C511" s="754" t="s">
        <v>2952</v>
      </c>
      <c r="D511" s="754"/>
      <c r="E511" s="754"/>
      <c r="F511" s="754"/>
      <c r="G511" s="754"/>
      <c r="H511" s="754"/>
      <c r="I511" s="754"/>
      <c r="J511" s="754"/>
      <c r="K511" s="754"/>
      <c r="L511" s="754"/>
      <c r="M511" s="754"/>
      <c r="N511" s="754"/>
      <c r="O511" s="754"/>
      <c r="P511" s="754"/>
      <c r="Q511" s="754"/>
      <c r="R511" s="754"/>
      <c r="S511" s="754"/>
      <c r="T511" s="754"/>
      <c r="U511" s="754"/>
      <c r="V511" s="754"/>
      <c r="W511" s="754"/>
      <c r="X511" s="754"/>
      <c r="Y511" s="754"/>
      <c r="Z511" s="754"/>
      <c r="AA511" s="754"/>
      <c r="AB511" s="754"/>
      <c r="AC511" s="754"/>
      <c r="AD511" s="754"/>
    </row>
    <row r="512" spans="1:30" ht="48" customHeight="1">
      <c r="A512" s="50"/>
      <c r="B512" s="90"/>
      <c r="C512" s="830" t="s">
        <v>2953</v>
      </c>
      <c r="D512" s="830"/>
      <c r="E512" s="830"/>
      <c r="F512" s="830"/>
      <c r="G512" s="830"/>
      <c r="H512" s="830"/>
      <c r="I512" s="830"/>
      <c r="J512" s="830"/>
      <c r="K512" s="830"/>
      <c r="L512" s="830"/>
      <c r="M512" s="830"/>
      <c r="N512" s="830"/>
      <c r="O512" s="830"/>
      <c r="P512" s="830"/>
      <c r="Q512" s="830"/>
      <c r="R512" s="830"/>
      <c r="S512" s="830"/>
      <c r="T512" s="830"/>
      <c r="U512" s="830"/>
      <c r="V512" s="830"/>
      <c r="W512" s="830"/>
      <c r="X512" s="830"/>
      <c r="Y512" s="830"/>
      <c r="Z512" s="830"/>
      <c r="AA512" s="830"/>
      <c r="AB512" s="830"/>
      <c r="AC512" s="830"/>
      <c r="AD512" s="830"/>
    </row>
    <row r="513" spans="1:35" ht="60" customHeight="1">
      <c r="A513" s="50"/>
      <c r="B513" s="90"/>
      <c r="C513" s="754" t="s">
        <v>2954</v>
      </c>
      <c r="D513" s="830"/>
      <c r="E513" s="830"/>
      <c r="F513" s="830"/>
      <c r="G513" s="830"/>
      <c r="H513" s="830"/>
      <c r="I513" s="830"/>
      <c r="J513" s="830"/>
      <c r="K513" s="830"/>
      <c r="L513" s="830"/>
      <c r="M513" s="830"/>
      <c r="N513" s="830"/>
      <c r="O513" s="830"/>
      <c r="P513" s="830"/>
      <c r="Q513" s="830"/>
      <c r="R513" s="830"/>
      <c r="S513" s="830"/>
      <c r="T513" s="830"/>
      <c r="U513" s="830"/>
      <c r="V513" s="830"/>
      <c r="W513" s="830"/>
      <c r="X513" s="830"/>
      <c r="Y513" s="830"/>
      <c r="Z513" s="830"/>
      <c r="AA513" s="830"/>
      <c r="AB513" s="830"/>
      <c r="AC513" s="830"/>
      <c r="AD513" s="830"/>
    </row>
    <row r="514" spans="1:35" ht="15" customHeight="1">
      <c r="A514" s="49"/>
      <c r="B514" s="90"/>
      <c r="C514" s="830" t="s">
        <v>2955</v>
      </c>
      <c r="D514" s="830"/>
      <c r="E514" s="830"/>
      <c r="F514" s="830"/>
      <c r="G514" s="830"/>
      <c r="H514" s="830"/>
      <c r="I514" s="830"/>
      <c r="J514" s="830"/>
      <c r="K514" s="830"/>
      <c r="L514" s="830"/>
      <c r="M514" s="830"/>
      <c r="N514" s="830"/>
      <c r="O514" s="830"/>
      <c r="P514" s="830"/>
      <c r="Q514" s="830"/>
      <c r="R514" s="830"/>
      <c r="S514" s="830"/>
      <c r="T514" s="830"/>
      <c r="U514" s="830"/>
      <c r="V514" s="830"/>
      <c r="W514" s="830"/>
      <c r="X514" s="830"/>
      <c r="Y514" s="830"/>
      <c r="Z514" s="830"/>
      <c r="AA514" s="830"/>
      <c r="AB514" s="830"/>
      <c r="AC514" s="830"/>
      <c r="AD514" s="830"/>
    </row>
    <row r="515" spans="1:35" ht="24" customHeight="1">
      <c r="A515" s="49"/>
      <c r="B515" s="57"/>
      <c r="C515" s="830" t="s">
        <v>2956</v>
      </c>
      <c r="D515" s="830"/>
      <c r="E515" s="830"/>
      <c r="F515" s="830"/>
      <c r="G515" s="830"/>
      <c r="H515" s="830"/>
      <c r="I515" s="830"/>
      <c r="J515" s="830"/>
      <c r="K515" s="830"/>
      <c r="L515" s="830"/>
      <c r="M515" s="830"/>
      <c r="N515" s="830"/>
      <c r="O515" s="830"/>
      <c r="P515" s="830"/>
      <c r="Q515" s="830"/>
      <c r="R515" s="830"/>
      <c r="S515" s="830"/>
      <c r="T515" s="830"/>
      <c r="U515" s="830"/>
      <c r="V515" s="830"/>
      <c r="W515" s="830"/>
      <c r="X515" s="830"/>
      <c r="Y515" s="830"/>
      <c r="Z515" s="830"/>
      <c r="AA515" s="830"/>
      <c r="AB515" s="830"/>
      <c r="AC515" s="830"/>
      <c r="AD515" s="830"/>
    </row>
    <row r="516" spans="1:35" ht="15" customHeight="1">
      <c r="A516" s="96"/>
      <c r="B516" s="90"/>
      <c r="C516" s="90"/>
      <c r="D516" s="90"/>
      <c r="E516" s="90"/>
      <c r="F516" s="90"/>
      <c r="G516" s="90"/>
      <c r="H516" s="90"/>
      <c r="I516" s="90"/>
      <c r="J516" s="90"/>
      <c r="K516" s="90"/>
      <c r="L516" s="90"/>
      <c r="M516" s="90"/>
      <c r="N516" s="90"/>
      <c r="O516" s="90"/>
      <c r="P516" s="90"/>
      <c r="Q516" s="90"/>
      <c r="R516" s="90"/>
      <c r="S516" s="90"/>
      <c r="T516" s="90"/>
      <c r="U516" s="90"/>
      <c r="V516" s="90"/>
      <c r="W516" s="90"/>
      <c r="X516" s="90"/>
      <c r="Y516" s="90"/>
      <c r="Z516" s="90"/>
      <c r="AA516" s="90"/>
      <c r="AB516" s="90"/>
      <c r="AC516" s="90"/>
      <c r="AD516" s="90"/>
    </row>
    <row r="517" spans="1:35" ht="84" customHeight="1">
      <c r="A517" s="49"/>
      <c r="B517" s="90"/>
      <c r="C517" s="732" t="s">
        <v>2581</v>
      </c>
      <c r="D517" s="732"/>
      <c r="E517" s="732"/>
      <c r="F517" s="732"/>
      <c r="G517" s="732"/>
      <c r="H517" s="732"/>
      <c r="I517" s="818" t="s">
        <v>2957</v>
      </c>
      <c r="J517" s="819"/>
      <c r="K517" s="819"/>
      <c r="L517" s="820"/>
      <c r="M517" s="739" t="s">
        <v>2958</v>
      </c>
      <c r="N517" s="740"/>
      <c r="O517" s="740"/>
      <c r="P517" s="740"/>
      <c r="Q517" s="740"/>
      <c r="R517" s="740"/>
      <c r="S517" s="740"/>
      <c r="T517" s="740"/>
      <c r="U517" s="740"/>
      <c r="V517" s="740"/>
      <c r="W517" s="740"/>
      <c r="X517" s="740"/>
      <c r="Y517" s="740"/>
      <c r="Z517" s="740"/>
      <c r="AA517" s="740"/>
      <c r="AB517" s="740"/>
      <c r="AC517" s="740"/>
      <c r="AD517" s="741"/>
      <c r="AG517" s="792" t="s">
        <v>2586</v>
      </c>
      <c r="AH517" s="793" t="s">
        <v>2959</v>
      </c>
      <c r="AI517" s="253"/>
    </row>
    <row r="518" spans="1:35">
      <c r="A518" s="49"/>
      <c r="B518" s="90"/>
      <c r="C518" s="732"/>
      <c r="D518" s="732"/>
      <c r="E518" s="732"/>
      <c r="F518" s="732"/>
      <c r="G518" s="732"/>
      <c r="H518" s="732"/>
      <c r="I518" s="824"/>
      <c r="J518" s="825"/>
      <c r="K518" s="825"/>
      <c r="L518" s="826"/>
      <c r="M518" s="44" t="s">
        <v>2516</v>
      </c>
      <c r="N518" s="44" t="s">
        <v>2517</v>
      </c>
      <c r="O518" s="44" t="s">
        <v>2518</v>
      </c>
      <c r="P518" s="44" t="s">
        <v>2519</v>
      </c>
      <c r="Q518" s="44" t="s">
        <v>2520</v>
      </c>
      <c r="R518" s="44" t="s">
        <v>2521</v>
      </c>
      <c r="S518" s="44" t="s">
        <v>2522</v>
      </c>
      <c r="T518" s="44" t="s">
        <v>2523</v>
      </c>
      <c r="U518" s="44" t="s">
        <v>2524</v>
      </c>
      <c r="V518" s="44" t="s">
        <v>2525</v>
      </c>
      <c r="W518" s="44" t="s">
        <v>2526</v>
      </c>
      <c r="X518" s="44" t="s">
        <v>2527</v>
      </c>
      <c r="Y518" s="44" t="s">
        <v>2528</v>
      </c>
      <c r="Z518" s="44" t="s">
        <v>2529</v>
      </c>
      <c r="AA518" s="44" t="s">
        <v>2530</v>
      </c>
      <c r="AB518" s="44" t="s">
        <v>2531</v>
      </c>
      <c r="AC518" s="44" t="s">
        <v>2532</v>
      </c>
      <c r="AD518" s="44" t="s">
        <v>2533</v>
      </c>
      <c r="AG518" s="792"/>
      <c r="AH518" s="793"/>
      <c r="AI518" s="258" t="s">
        <v>2620</v>
      </c>
    </row>
    <row r="519" spans="1:35">
      <c r="A519" s="49"/>
      <c r="B519" s="90"/>
      <c r="C519" s="43" t="s">
        <v>2516</v>
      </c>
      <c r="D519" s="796" t="str">
        <f>IF(CNSIPEE_2024_M2_Secc1!D42="","",CNSIPEE_2024_M2_Secc1!D42)</f>
        <v/>
      </c>
      <c r="E519" s="796"/>
      <c r="F519" s="796"/>
      <c r="G519" s="796"/>
      <c r="H519" s="796"/>
      <c r="I519" s="749"/>
      <c r="J519" s="749"/>
      <c r="K519" s="749"/>
      <c r="L519" s="749"/>
      <c r="M519" s="88"/>
      <c r="N519" s="88"/>
      <c r="O519" s="88"/>
      <c r="P519" s="88"/>
      <c r="Q519" s="88"/>
      <c r="R519" s="88"/>
      <c r="S519" s="88"/>
      <c r="T519" s="88"/>
      <c r="U519" s="88"/>
      <c r="V519" s="88"/>
      <c r="W519" s="88"/>
      <c r="X519" s="88"/>
      <c r="Y519" s="88"/>
      <c r="Z519" s="88"/>
      <c r="AA519" s="88"/>
      <c r="AB519" s="88"/>
      <c r="AC519" s="88"/>
      <c r="AD519" s="88"/>
      <c r="AG519" s="249">
        <f>IF(AND(COUNTBLANK(D519)=0,$I519&lt;&gt;"",$I519&lt;&gt;1,COUNTA(M519:AD519)=0),0,IF(AND(COUNTBLANK(D519)=0,$I519&lt;&gt;"",$I519=1,COUNTA(M519:AD519)&gt;0),0,IF(AND(COUNTBLANK(D519)=1,COUNTA(M519:AD519)=0),0,1)))</f>
        <v>0</v>
      </c>
      <c r="AH519" s="253">
        <f>IF(COUNTIF(AD519:AD526,"X")&gt;0,1,0)</f>
        <v>0</v>
      </c>
      <c r="AI519" s="253">
        <f>IF(AND($I519&lt;&gt;"",$I519&lt;&gt;1,COUNTA(M519:AD519)&gt;0),1,0)</f>
        <v>0</v>
      </c>
    </row>
    <row r="520" spans="1:35">
      <c r="A520" s="49"/>
      <c r="B520" s="90"/>
      <c r="C520" s="44" t="s">
        <v>2517</v>
      </c>
      <c r="D520" s="796" t="str">
        <f>IF(CNSIPEE_2024_M2_Secc1!D43="","",CNSIPEE_2024_M2_Secc1!D43)</f>
        <v/>
      </c>
      <c r="E520" s="796"/>
      <c r="F520" s="796"/>
      <c r="G520" s="796"/>
      <c r="H520" s="796"/>
      <c r="I520" s="749"/>
      <c r="J520" s="749"/>
      <c r="K520" s="749"/>
      <c r="L520" s="749"/>
      <c r="M520" s="88"/>
      <c r="N520" s="88"/>
      <c r="O520" s="88"/>
      <c r="P520" s="88"/>
      <c r="Q520" s="88"/>
      <c r="R520" s="88"/>
      <c r="S520" s="88"/>
      <c r="T520" s="88"/>
      <c r="U520" s="88"/>
      <c r="V520" s="88"/>
      <c r="W520" s="88"/>
      <c r="X520" s="88"/>
      <c r="Y520" s="88"/>
      <c r="Z520" s="88"/>
      <c r="AA520" s="88"/>
      <c r="AB520" s="88"/>
      <c r="AC520" s="88"/>
      <c r="AD520" s="88"/>
      <c r="AG520" s="249">
        <f t="shared" ref="AG520:AG526" si="150">IF(AND(COUNTBLANK(D520)=0,$I520&lt;&gt;"",$I520&lt;&gt;1,COUNTA(M520:AD520)=0),0,IF(AND(COUNTBLANK(D520)=0,$I520&lt;&gt;"",$I520=1,COUNTA(M520:AD520)&gt;0),0,IF(AND(COUNTBLANK(D520)=1,COUNTA(M520:AD520)=0),0,1)))</f>
        <v>0</v>
      </c>
      <c r="AI520" s="253">
        <f t="shared" ref="AI520:AI526" si="151">IF(AND($I520&lt;&gt;"",$I520&lt;&gt;1,COUNTA(M520:AD520)&gt;0),1,0)</f>
        <v>0</v>
      </c>
    </row>
    <row r="521" spans="1:35" ht="15" customHeight="1">
      <c r="A521" s="49"/>
      <c r="B521" s="90"/>
      <c r="C521" s="44" t="s">
        <v>2518</v>
      </c>
      <c r="D521" s="796" t="str">
        <f>IF(CNSIPEE_2024_M2_Secc1!D44="","",CNSIPEE_2024_M2_Secc1!D44)</f>
        <v/>
      </c>
      <c r="E521" s="796"/>
      <c r="F521" s="796"/>
      <c r="G521" s="796"/>
      <c r="H521" s="796"/>
      <c r="I521" s="749"/>
      <c r="J521" s="749"/>
      <c r="K521" s="749"/>
      <c r="L521" s="749"/>
      <c r="M521" s="88"/>
      <c r="N521" s="88"/>
      <c r="O521" s="88"/>
      <c r="P521" s="88"/>
      <c r="Q521" s="88"/>
      <c r="R521" s="88"/>
      <c r="S521" s="88"/>
      <c r="T521" s="88"/>
      <c r="U521" s="88"/>
      <c r="V521" s="88"/>
      <c r="W521" s="88"/>
      <c r="X521" s="88"/>
      <c r="Y521" s="88"/>
      <c r="Z521" s="88"/>
      <c r="AA521" s="88"/>
      <c r="AB521" s="88"/>
      <c r="AC521" s="88"/>
      <c r="AD521" s="88"/>
      <c r="AG521" s="249">
        <f t="shared" si="150"/>
        <v>0</v>
      </c>
      <c r="AI521" s="253">
        <f t="shared" si="151"/>
        <v>0</v>
      </c>
    </row>
    <row r="522" spans="1:35" ht="15" customHeight="1">
      <c r="A522" s="49"/>
      <c r="B522" s="90"/>
      <c r="C522" s="44" t="s">
        <v>2519</v>
      </c>
      <c r="D522" s="796" t="str">
        <f>IF(CNSIPEE_2024_M2_Secc1!D45="","",CNSIPEE_2024_M2_Secc1!D45)</f>
        <v/>
      </c>
      <c r="E522" s="796"/>
      <c r="F522" s="796"/>
      <c r="G522" s="796"/>
      <c r="H522" s="796"/>
      <c r="I522" s="749"/>
      <c r="J522" s="749"/>
      <c r="K522" s="749"/>
      <c r="L522" s="749"/>
      <c r="M522" s="88"/>
      <c r="N522" s="88"/>
      <c r="O522" s="88"/>
      <c r="P522" s="88"/>
      <c r="Q522" s="88"/>
      <c r="R522" s="88"/>
      <c r="S522" s="88"/>
      <c r="T522" s="88"/>
      <c r="U522" s="88"/>
      <c r="V522" s="88"/>
      <c r="W522" s="88"/>
      <c r="X522" s="88"/>
      <c r="Y522" s="88"/>
      <c r="Z522" s="88"/>
      <c r="AA522" s="88"/>
      <c r="AB522" s="88"/>
      <c r="AC522" s="88"/>
      <c r="AD522" s="88"/>
      <c r="AG522" s="249">
        <f t="shared" si="150"/>
        <v>0</v>
      </c>
      <c r="AI522" s="253">
        <f t="shared" si="151"/>
        <v>0</v>
      </c>
    </row>
    <row r="523" spans="1:35" ht="15" customHeight="1">
      <c r="A523" s="49"/>
      <c r="B523" s="90"/>
      <c r="C523" s="44" t="s">
        <v>2520</v>
      </c>
      <c r="D523" s="796" t="str">
        <f>IF(CNSIPEE_2024_M2_Secc1!D46="","",CNSIPEE_2024_M2_Secc1!D46)</f>
        <v/>
      </c>
      <c r="E523" s="796"/>
      <c r="F523" s="796"/>
      <c r="G523" s="796"/>
      <c r="H523" s="796"/>
      <c r="I523" s="749"/>
      <c r="J523" s="749"/>
      <c r="K523" s="749"/>
      <c r="L523" s="749"/>
      <c r="M523" s="88"/>
      <c r="N523" s="88"/>
      <c r="O523" s="88"/>
      <c r="P523" s="88"/>
      <c r="Q523" s="88"/>
      <c r="R523" s="88"/>
      <c r="S523" s="88"/>
      <c r="T523" s="88"/>
      <c r="U523" s="88"/>
      <c r="V523" s="88"/>
      <c r="W523" s="88"/>
      <c r="X523" s="88"/>
      <c r="Y523" s="88"/>
      <c r="Z523" s="88"/>
      <c r="AA523" s="88"/>
      <c r="AB523" s="88"/>
      <c r="AC523" s="88"/>
      <c r="AD523" s="88"/>
      <c r="AG523" s="249">
        <f t="shared" si="150"/>
        <v>0</v>
      </c>
      <c r="AI523" s="253">
        <f t="shared" si="151"/>
        <v>0</v>
      </c>
    </row>
    <row r="524" spans="1:35" ht="15" customHeight="1">
      <c r="A524" s="49"/>
      <c r="B524" s="90"/>
      <c r="C524" s="44" t="s">
        <v>2521</v>
      </c>
      <c r="D524" s="796" t="str">
        <f>IF(CNSIPEE_2024_M2_Secc1!D47="","",CNSIPEE_2024_M2_Secc1!D47)</f>
        <v/>
      </c>
      <c r="E524" s="796"/>
      <c r="F524" s="796"/>
      <c r="G524" s="796"/>
      <c r="H524" s="796"/>
      <c r="I524" s="749"/>
      <c r="J524" s="749"/>
      <c r="K524" s="749"/>
      <c r="L524" s="749"/>
      <c r="M524" s="88"/>
      <c r="N524" s="88"/>
      <c r="O524" s="88"/>
      <c r="P524" s="88"/>
      <c r="Q524" s="88"/>
      <c r="R524" s="88"/>
      <c r="S524" s="88"/>
      <c r="T524" s="88"/>
      <c r="U524" s="88"/>
      <c r="V524" s="88"/>
      <c r="W524" s="88"/>
      <c r="X524" s="88"/>
      <c r="Y524" s="88"/>
      <c r="Z524" s="88"/>
      <c r="AA524" s="88"/>
      <c r="AB524" s="88"/>
      <c r="AC524" s="88"/>
      <c r="AD524" s="88"/>
      <c r="AG524" s="249">
        <f t="shared" si="150"/>
        <v>0</v>
      </c>
      <c r="AI524" s="253">
        <f t="shared" si="151"/>
        <v>0</v>
      </c>
    </row>
    <row r="525" spans="1:35" ht="15" customHeight="1">
      <c r="A525" s="49"/>
      <c r="B525" s="90"/>
      <c r="C525" s="44" t="s">
        <v>2522</v>
      </c>
      <c r="D525" s="796" t="str">
        <f>IF(CNSIPEE_2024_M2_Secc1!D48="","",CNSIPEE_2024_M2_Secc1!D48)</f>
        <v/>
      </c>
      <c r="E525" s="796"/>
      <c r="F525" s="796"/>
      <c r="G525" s="796"/>
      <c r="H525" s="796"/>
      <c r="I525" s="749"/>
      <c r="J525" s="749"/>
      <c r="K525" s="749"/>
      <c r="L525" s="749"/>
      <c r="M525" s="88"/>
      <c r="N525" s="88"/>
      <c r="O525" s="88"/>
      <c r="P525" s="88"/>
      <c r="Q525" s="88"/>
      <c r="R525" s="88"/>
      <c r="S525" s="88"/>
      <c r="T525" s="88"/>
      <c r="U525" s="88"/>
      <c r="V525" s="88"/>
      <c r="W525" s="88"/>
      <c r="X525" s="88"/>
      <c r="Y525" s="88"/>
      <c r="Z525" s="88"/>
      <c r="AA525" s="88"/>
      <c r="AB525" s="88"/>
      <c r="AC525" s="88"/>
      <c r="AD525" s="88"/>
      <c r="AG525" s="249">
        <f t="shared" si="150"/>
        <v>0</v>
      </c>
      <c r="AI525" s="253">
        <f t="shared" si="151"/>
        <v>0</v>
      </c>
    </row>
    <row r="526" spans="1:35" ht="15" customHeight="1">
      <c r="A526" s="49"/>
      <c r="B526" s="90"/>
      <c r="C526" s="44" t="s">
        <v>2523</v>
      </c>
      <c r="D526" s="796" t="str">
        <f>IF(CNSIPEE_2024_M2_Secc1!D49="","",CNSIPEE_2024_M2_Secc1!D49)</f>
        <v/>
      </c>
      <c r="E526" s="796"/>
      <c r="F526" s="796"/>
      <c r="G526" s="796"/>
      <c r="H526" s="796"/>
      <c r="I526" s="749"/>
      <c r="J526" s="749"/>
      <c r="K526" s="749"/>
      <c r="L526" s="749"/>
      <c r="M526" s="88"/>
      <c r="N526" s="88"/>
      <c r="O526" s="88"/>
      <c r="P526" s="88"/>
      <c r="Q526" s="88"/>
      <c r="R526" s="88"/>
      <c r="S526" s="88"/>
      <c r="T526" s="88"/>
      <c r="U526" s="88"/>
      <c r="V526" s="88"/>
      <c r="W526" s="88"/>
      <c r="X526" s="88"/>
      <c r="Y526" s="88"/>
      <c r="Z526" s="88"/>
      <c r="AA526" s="88"/>
      <c r="AB526" s="88"/>
      <c r="AC526" s="88"/>
      <c r="AD526" s="88"/>
      <c r="AG526" s="249">
        <f t="shared" si="150"/>
        <v>0</v>
      </c>
      <c r="AI526" s="253">
        <f t="shared" si="151"/>
        <v>0</v>
      </c>
    </row>
    <row r="527" spans="1:35" ht="15" customHeight="1">
      <c r="A527" s="49"/>
      <c r="B527" s="90"/>
      <c r="C527" s="90"/>
      <c r="D527" s="90"/>
      <c r="E527" s="90"/>
      <c r="F527" s="90"/>
      <c r="G527" s="90"/>
      <c r="H527" s="90"/>
      <c r="I527" s="90"/>
      <c r="J527" s="90"/>
      <c r="K527" s="90"/>
      <c r="L527" s="90"/>
      <c r="M527" s="90"/>
      <c r="N527" s="90"/>
      <c r="O527" s="90"/>
      <c r="P527" s="90"/>
      <c r="Q527" s="90"/>
      <c r="R527" s="90"/>
      <c r="S527" s="90"/>
      <c r="T527" s="90"/>
      <c r="U527" s="90"/>
      <c r="V527" s="90"/>
      <c r="W527" s="90"/>
      <c r="X527" s="90"/>
      <c r="Y527" s="90"/>
      <c r="Z527" s="90"/>
      <c r="AA527" s="90"/>
      <c r="AB527" s="90"/>
      <c r="AC527" s="90"/>
      <c r="AD527" s="90"/>
      <c r="AG527" s="247">
        <f>SUM(AG519:AG526)</f>
        <v>0</v>
      </c>
      <c r="AI527" s="258">
        <f>SUM(AI519:AI526)</f>
        <v>0</v>
      </c>
    </row>
    <row r="528" spans="1:35" ht="45" customHeight="1">
      <c r="A528" s="49"/>
      <c r="B528" s="90"/>
      <c r="C528" s="822" t="s">
        <v>2798</v>
      </c>
      <c r="D528" s="822"/>
      <c r="E528" s="822"/>
      <c r="F528" s="749"/>
      <c r="G528" s="749"/>
      <c r="H528" s="749"/>
      <c r="I528" s="749"/>
      <c r="J528" s="749"/>
      <c r="K528" s="749"/>
      <c r="L528" s="749"/>
      <c r="M528" s="749"/>
      <c r="N528" s="749"/>
      <c r="O528" s="749"/>
      <c r="P528" s="749"/>
      <c r="Q528" s="749"/>
      <c r="R528" s="749"/>
      <c r="S528" s="749"/>
      <c r="T528" s="749"/>
      <c r="U528" s="749"/>
      <c r="V528" s="749"/>
      <c r="W528" s="749"/>
      <c r="X528" s="749"/>
      <c r="Y528" s="749"/>
      <c r="Z528" s="749"/>
      <c r="AA528" s="749"/>
      <c r="AB528" s="749"/>
      <c r="AC528" s="749"/>
      <c r="AD528" s="749"/>
    </row>
    <row r="529" spans="1:31" ht="15" customHeight="1">
      <c r="A529" s="49"/>
      <c r="B529" s="794" t="str">
        <f>IF(AND(AH519&gt;0,F528=""),"Seleccionó el código 18 en la col. Tipo de servicios médicos ofertados debe anotar el nombre de dicho(s) tipo(s) de servicios médicos","")</f>
        <v/>
      </c>
      <c r="C529" s="794"/>
      <c r="D529" s="794"/>
      <c r="E529" s="794"/>
      <c r="F529" s="794"/>
      <c r="G529" s="794"/>
      <c r="H529" s="794"/>
      <c r="I529" s="794"/>
      <c r="J529" s="794"/>
      <c r="K529" s="794"/>
      <c r="L529" s="794"/>
      <c r="M529" s="794"/>
      <c r="N529" s="794"/>
      <c r="O529" s="794"/>
      <c r="P529" s="794"/>
      <c r="Q529" s="794"/>
      <c r="R529" s="794"/>
      <c r="S529" s="794"/>
      <c r="T529" s="794"/>
      <c r="U529" s="794"/>
      <c r="V529" s="794"/>
      <c r="W529" s="794"/>
      <c r="X529" s="794"/>
      <c r="Y529" s="794"/>
      <c r="Z529" s="794"/>
      <c r="AA529" s="794"/>
      <c r="AB529" s="794"/>
      <c r="AC529" s="794"/>
      <c r="AD529" s="794"/>
      <c r="AE529" s="794"/>
    </row>
    <row r="530" spans="1:31" ht="15" customHeight="1">
      <c r="A530" s="89"/>
      <c r="B530" s="90"/>
      <c r="C530" s="732" t="s">
        <v>2960</v>
      </c>
      <c r="D530" s="732"/>
      <c r="E530" s="732"/>
      <c r="F530" s="732"/>
      <c r="G530" s="732"/>
      <c r="H530" s="732"/>
      <c r="I530" s="732"/>
      <c r="J530" s="732"/>
      <c r="K530" s="732"/>
      <c r="L530" s="732"/>
      <c r="M530" s="732"/>
      <c r="N530" s="732"/>
      <c r="O530" s="732"/>
      <c r="P530" s="732"/>
      <c r="Q530" s="732"/>
      <c r="R530" s="732"/>
      <c r="S530" s="732"/>
      <c r="T530" s="732"/>
      <c r="U530" s="732"/>
      <c r="V530" s="732"/>
      <c r="W530" s="732"/>
      <c r="X530" s="732"/>
      <c r="Y530" s="732"/>
      <c r="Z530" s="732"/>
      <c r="AA530" s="732"/>
      <c r="AB530" s="732"/>
      <c r="AC530" s="732"/>
      <c r="AD530" s="732"/>
    </row>
    <row r="531" spans="1:31" ht="15" customHeight="1">
      <c r="A531" s="89"/>
      <c r="B531" s="90"/>
      <c r="C531" s="43" t="s">
        <v>2516</v>
      </c>
      <c r="D531" s="813" t="s">
        <v>2961</v>
      </c>
      <c r="E531" s="814"/>
      <c r="F531" s="814"/>
      <c r="G531" s="814"/>
      <c r="H531" s="814"/>
      <c r="I531" s="814"/>
      <c r="J531" s="814"/>
      <c r="K531" s="814"/>
      <c r="L531" s="814"/>
      <c r="M531" s="814"/>
      <c r="N531" s="814"/>
      <c r="O531" s="814"/>
      <c r="P531" s="815"/>
      <c r="Q531" s="44" t="s">
        <v>2525</v>
      </c>
      <c r="R531" s="813" t="s">
        <v>2962</v>
      </c>
      <c r="S531" s="814"/>
      <c r="T531" s="814"/>
      <c r="U531" s="814"/>
      <c r="V531" s="814"/>
      <c r="W531" s="814"/>
      <c r="X531" s="814"/>
      <c r="Y531" s="814"/>
      <c r="Z531" s="814"/>
      <c r="AA531" s="814"/>
      <c r="AB531" s="814"/>
      <c r="AC531" s="814"/>
      <c r="AD531" s="815"/>
    </row>
    <row r="532" spans="1:31" ht="15" customHeight="1">
      <c r="A532" s="89"/>
      <c r="B532" s="90"/>
      <c r="C532" s="44" t="s">
        <v>2517</v>
      </c>
      <c r="D532" s="813" t="s">
        <v>2963</v>
      </c>
      <c r="E532" s="814"/>
      <c r="F532" s="814"/>
      <c r="G532" s="814"/>
      <c r="H532" s="814"/>
      <c r="I532" s="814"/>
      <c r="J532" s="814"/>
      <c r="K532" s="814"/>
      <c r="L532" s="814"/>
      <c r="M532" s="814"/>
      <c r="N532" s="814"/>
      <c r="O532" s="814"/>
      <c r="P532" s="815"/>
      <c r="Q532" s="44" t="s">
        <v>2526</v>
      </c>
      <c r="R532" s="813" t="s">
        <v>2964</v>
      </c>
      <c r="S532" s="814"/>
      <c r="T532" s="814"/>
      <c r="U532" s="814"/>
      <c r="V532" s="814"/>
      <c r="W532" s="814"/>
      <c r="X532" s="814"/>
      <c r="Y532" s="814"/>
      <c r="Z532" s="814"/>
      <c r="AA532" s="814"/>
      <c r="AB532" s="814"/>
      <c r="AC532" s="814"/>
      <c r="AD532" s="815"/>
    </row>
    <row r="533" spans="1:31" ht="15" customHeight="1">
      <c r="A533" s="89"/>
      <c r="B533" s="90"/>
      <c r="C533" s="44" t="s">
        <v>2518</v>
      </c>
      <c r="D533" s="813" t="s">
        <v>2965</v>
      </c>
      <c r="E533" s="814"/>
      <c r="F533" s="814"/>
      <c r="G533" s="814"/>
      <c r="H533" s="814"/>
      <c r="I533" s="814"/>
      <c r="J533" s="814"/>
      <c r="K533" s="814"/>
      <c r="L533" s="814"/>
      <c r="M533" s="814"/>
      <c r="N533" s="814"/>
      <c r="O533" s="814"/>
      <c r="P533" s="815"/>
      <c r="Q533" s="44" t="s">
        <v>2527</v>
      </c>
      <c r="R533" s="813" t="s">
        <v>2966</v>
      </c>
      <c r="S533" s="814"/>
      <c r="T533" s="814"/>
      <c r="U533" s="814"/>
      <c r="V533" s="814"/>
      <c r="W533" s="814"/>
      <c r="X533" s="814"/>
      <c r="Y533" s="814"/>
      <c r="Z533" s="814"/>
      <c r="AA533" s="814"/>
      <c r="AB533" s="814"/>
      <c r="AC533" s="814"/>
      <c r="AD533" s="815"/>
    </row>
    <row r="534" spans="1:31" ht="15" customHeight="1">
      <c r="A534" s="89"/>
      <c r="B534" s="90"/>
      <c r="C534" s="44" t="s">
        <v>2519</v>
      </c>
      <c r="D534" s="813" t="s">
        <v>2967</v>
      </c>
      <c r="E534" s="814"/>
      <c r="F534" s="814"/>
      <c r="G534" s="814"/>
      <c r="H534" s="814"/>
      <c r="I534" s="814"/>
      <c r="J534" s="814"/>
      <c r="K534" s="814"/>
      <c r="L534" s="814"/>
      <c r="M534" s="814"/>
      <c r="N534" s="814"/>
      <c r="O534" s="814"/>
      <c r="P534" s="815"/>
      <c r="Q534" s="44" t="s">
        <v>2528</v>
      </c>
      <c r="R534" s="813" t="s">
        <v>2968</v>
      </c>
      <c r="S534" s="814"/>
      <c r="T534" s="814"/>
      <c r="U534" s="814"/>
      <c r="V534" s="814"/>
      <c r="W534" s="814"/>
      <c r="X534" s="814"/>
      <c r="Y534" s="814"/>
      <c r="Z534" s="814"/>
      <c r="AA534" s="814"/>
      <c r="AB534" s="814"/>
      <c r="AC534" s="814"/>
      <c r="AD534" s="815"/>
    </row>
    <row r="535" spans="1:31" ht="15" customHeight="1">
      <c r="A535" s="89"/>
      <c r="B535" s="90"/>
      <c r="C535" s="44" t="s">
        <v>2520</v>
      </c>
      <c r="D535" s="813" t="s">
        <v>2969</v>
      </c>
      <c r="E535" s="814"/>
      <c r="F535" s="814"/>
      <c r="G535" s="814"/>
      <c r="H535" s="814"/>
      <c r="I535" s="814"/>
      <c r="J535" s="814"/>
      <c r="K535" s="814"/>
      <c r="L535" s="814"/>
      <c r="M535" s="814"/>
      <c r="N535" s="814"/>
      <c r="O535" s="814"/>
      <c r="P535" s="815"/>
      <c r="Q535" s="44" t="s">
        <v>2529</v>
      </c>
      <c r="R535" s="813" t="s">
        <v>2970</v>
      </c>
      <c r="S535" s="814"/>
      <c r="T535" s="814"/>
      <c r="U535" s="814"/>
      <c r="V535" s="814"/>
      <c r="W535" s="814"/>
      <c r="X535" s="814"/>
      <c r="Y535" s="814"/>
      <c r="Z535" s="814"/>
      <c r="AA535" s="814"/>
      <c r="AB535" s="814"/>
      <c r="AC535" s="814"/>
      <c r="AD535" s="815"/>
    </row>
    <row r="536" spans="1:31" ht="24" customHeight="1">
      <c r="A536" s="89"/>
      <c r="B536" s="90"/>
      <c r="C536" s="44" t="s">
        <v>2521</v>
      </c>
      <c r="D536" s="813" t="s">
        <v>2971</v>
      </c>
      <c r="E536" s="814"/>
      <c r="F536" s="814"/>
      <c r="G536" s="814"/>
      <c r="H536" s="814"/>
      <c r="I536" s="814"/>
      <c r="J536" s="814"/>
      <c r="K536" s="814"/>
      <c r="L536" s="814"/>
      <c r="M536" s="814"/>
      <c r="N536" s="814"/>
      <c r="O536" s="814"/>
      <c r="P536" s="815"/>
      <c r="Q536" s="44" t="s">
        <v>2530</v>
      </c>
      <c r="R536" s="813" t="s">
        <v>2972</v>
      </c>
      <c r="S536" s="814"/>
      <c r="T536" s="814"/>
      <c r="U536" s="814"/>
      <c r="V536" s="814"/>
      <c r="W536" s="814"/>
      <c r="X536" s="814"/>
      <c r="Y536" s="814"/>
      <c r="Z536" s="814"/>
      <c r="AA536" s="814"/>
      <c r="AB536" s="814"/>
      <c r="AC536" s="814"/>
      <c r="AD536" s="815"/>
    </row>
    <row r="537" spans="1:31" ht="15" customHeight="1">
      <c r="A537" s="89"/>
      <c r="B537" s="90"/>
      <c r="C537" s="44" t="s">
        <v>2522</v>
      </c>
      <c r="D537" s="813" t="s">
        <v>2973</v>
      </c>
      <c r="E537" s="814"/>
      <c r="F537" s="814"/>
      <c r="G537" s="814"/>
      <c r="H537" s="814"/>
      <c r="I537" s="814"/>
      <c r="J537" s="814"/>
      <c r="K537" s="814"/>
      <c r="L537" s="814"/>
      <c r="M537" s="814"/>
      <c r="N537" s="814"/>
      <c r="O537" s="814"/>
      <c r="P537" s="815"/>
      <c r="Q537" s="44" t="s">
        <v>2531</v>
      </c>
      <c r="R537" s="813" t="s">
        <v>2974</v>
      </c>
      <c r="S537" s="814"/>
      <c r="T537" s="814"/>
      <c r="U537" s="814"/>
      <c r="V537" s="814"/>
      <c r="W537" s="814"/>
      <c r="X537" s="814"/>
      <c r="Y537" s="814"/>
      <c r="Z537" s="814"/>
      <c r="AA537" s="814"/>
      <c r="AB537" s="814"/>
      <c r="AC537" s="814"/>
      <c r="AD537" s="815"/>
    </row>
    <row r="538" spans="1:31" ht="15" customHeight="1">
      <c r="A538" s="89"/>
      <c r="B538" s="90"/>
      <c r="C538" s="44" t="s">
        <v>2523</v>
      </c>
      <c r="D538" s="813" t="s">
        <v>2975</v>
      </c>
      <c r="E538" s="814"/>
      <c r="F538" s="814"/>
      <c r="G538" s="814"/>
      <c r="H538" s="814"/>
      <c r="I538" s="814"/>
      <c r="J538" s="814"/>
      <c r="K538" s="814"/>
      <c r="L538" s="814"/>
      <c r="M538" s="814"/>
      <c r="N538" s="814"/>
      <c r="O538" s="814"/>
      <c r="P538" s="815"/>
      <c r="Q538" s="44" t="s">
        <v>2532</v>
      </c>
      <c r="R538" s="813" t="s">
        <v>2976</v>
      </c>
      <c r="S538" s="814"/>
      <c r="T538" s="814"/>
      <c r="U538" s="814"/>
      <c r="V538" s="814"/>
      <c r="W538" s="814"/>
      <c r="X538" s="814"/>
      <c r="Y538" s="814"/>
      <c r="Z538" s="814"/>
      <c r="AA538" s="814"/>
      <c r="AB538" s="814"/>
      <c r="AC538" s="814"/>
      <c r="AD538" s="815"/>
    </row>
    <row r="539" spans="1:31" ht="15" customHeight="1">
      <c r="A539" s="89"/>
      <c r="B539" s="90"/>
      <c r="C539" s="44" t="s">
        <v>2524</v>
      </c>
      <c r="D539" s="813" t="s">
        <v>2977</v>
      </c>
      <c r="E539" s="814"/>
      <c r="F539" s="814"/>
      <c r="G539" s="814"/>
      <c r="H539" s="814"/>
      <c r="I539" s="814"/>
      <c r="J539" s="814"/>
      <c r="K539" s="814"/>
      <c r="L539" s="814"/>
      <c r="M539" s="814"/>
      <c r="N539" s="814"/>
      <c r="O539" s="814"/>
      <c r="P539" s="815"/>
      <c r="Q539" s="44" t="s">
        <v>2533</v>
      </c>
      <c r="R539" s="813" t="s">
        <v>2609</v>
      </c>
      <c r="S539" s="814"/>
      <c r="T539" s="814"/>
      <c r="U539" s="814"/>
      <c r="V539" s="814"/>
      <c r="W539" s="814"/>
      <c r="X539" s="814"/>
      <c r="Y539" s="814"/>
      <c r="Z539" s="814"/>
      <c r="AA539" s="814"/>
      <c r="AB539" s="814"/>
      <c r="AC539" s="814"/>
      <c r="AD539" s="815"/>
    </row>
    <row r="540" spans="1:31" ht="15" customHeight="1">
      <c r="A540" s="49"/>
      <c r="B540" s="57"/>
      <c r="C540" s="70"/>
      <c r="D540" s="84"/>
      <c r="E540" s="84"/>
      <c r="F540" s="84"/>
      <c r="G540" s="658"/>
      <c r="H540" s="658"/>
      <c r="I540" s="658"/>
      <c r="J540" s="658"/>
      <c r="K540" s="658"/>
      <c r="L540" s="658"/>
      <c r="M540" s="659"/>
      <c r="N540" s="659"/>
      <c r="O540" s="659"/>
      <c r="P540" s="659"/>
      <c r="Q540" s="659"/>
      <c r="R540" s="659"/>
      <c r="S540" s="659"/>
      <c r="T540" s="659"/>
      <c r="U540" s="659"/>
      <c r="V540" s="659"/>
      <c r="W540" s="659"/>
      <c r="X540" s="659"/>
      <c r="Y540" s="658"/>
      <c r="Z540" s="658"/>
      <c r="AA540" s="658"/>
      <c r="AB540" s="658"/>
      <c r="AC540" s="141"/>
      <c r="AD540" s="141"/>
    </row>
    <row r="541" spans="1:31" ht="24" customHeight="1">
      <c r="A541" s="96"/>
      <c r="B541" s="90"/>
      <c r="C541" s="754" t="s">
        <v>2611</v>
      </c>
      <c r="D541" s="754"/>
      <c r="E541" s="754"/>
      <c r="F541" s="754"/>
      <c r="G541" s="754"/>
      <c r="H541" s="754"/>
      <c r="I541" s="754"/>
      <c r="J541" s="754"/>
      <c r="K541" s="754"/>
      <c r="L541" s="754"/>
      <c r="M541" s="754"/>
      <c r="N541" s="754"/>
      <c r="O541" s="754"/>
      <c r="P541" s="754"/>
      <c r="Q541" s="754"/>
      <c r="R541" s="754"/>
      <c r="S541" s="754"/>
      <c r="T541" s="754"/>
      <c r="U541" s="754"/>
      <c r="V541" s="754"/>
      <c r="W541" s="754"/>
      <c r="X541" s="754"/>
      <c r="Y541" s="754"/>
      <c r="Z541" s="754"/>
      <c r="AA541" s="754"/>
      <c r="AB541" s="754"/>
      <c r="AC541" s="754"/>
      <c r="AD541" s="754"/>
    </row>
    <row r="542" spans="1:31" ht="60" customHeight="1">
      <c r="A542" s="96"/>
      <c r="B542" s="90"/>
      <c r="C542" s="851"/>
      <c r="D542" s="851"/>
      <c r="E542" s="851"/>
      <c r="F542" s="851"/>
      <c r="G542" s="851"/>
      <c r="H542" s="851"/>
      <c r="I542" s="851"/>
      <c r="J542" s="851"/>
      <c r="K542" s="851"/>
      <c r="L542" s="851"/>
      <c r="M542" s="851"/>
      <c r="N542" s="851"/>
      <c r="O542" s="851"/>
      <c r="P542" s="851"/>
      <c r="Q542" s="851"/>
      <c r="R542" s="851"/>
      <c r="S542" s="851"/>
      <c r="T542" s="851"/>
      <c r="U542" s="851"/>
      <c r="V542" s="851"/>
      <c r="W542" s="851"/>
      <c r="X542" s="851"/>
      <c r="Y542" s="851"/>
      <c r="Z542" s="851"/>
      <c r="AA542" s="851"/>
      <c r="AB542" s="851"/>
      <c r="AC542" s="851"/>
      <c r="AD542" s="851"/>
    </row>
    <row r="543" spans="1:31" ht="15" customHeight="1">
      <c r="A543" s="96"/>
      <c r="B543" s="794" t="str">
        <f>IF(AG527&gt;0,"Favor de ingresar toda la información requerida en la pregunta y/o verifique que no tenga información en celdas sombreadas","")</f>
        <v/>
      </c>
      <c r="C543" s="794"/>
      <c r="D543" s="794"/>
      <c r="E543" s="794"/>
      <c r="F543" s="794"/>
      <c r="G543" s="794"/>
      <c r="H543" s="794"/>
      <c r="I543" s="794"/>
      <c r="J543" s="794"/>
      <c r="K543" s="794"/>
      <c r="L543" s="794"/>
      <c r="M543" s="794"/>
      <c r="N543" s="794"/>
      <c r="O543" s="794"/>
      <c r="P543" s="794"/>
      <c r="Q543" s="794"/>
      <c r="R543" s="794"/>
      <c r="S543" s="794"/>
      <c r="T543" s="794"/>
      <c r="U543" s="794"/>
      <c r="V543" s="794"/>
      <c r="W543" s="794"/>
      <c r="X543" s="794"/>
      <c r="Y543" s="794"/>
      <c r="Z543" s="794"/>
      <c r="AA543" s="794"/>
      <c r="AB543" s="794"/>
      <c r="AC543" s="794"/>
      <c r="AD543" s="794"/>
      <c r="AE543"/>
    </row>
    <row r="544" spans="1:31" ht="15" customHeight="1">
      <c r="A544" s="96"/>
      <c r="B544" s="795"/>
      <c r="C544" s="795"/>
      <c r="D544" s="795"/>
      <c r="E544" s="795"/>
      <c r="F544" s="795"/>
      <c r="G544" s="795"/>
      <c r="H544" s="795"/>
      <c r="I544" s="795"/>
      <c r="J544" s="795"/>
      <c r="K544" s="795"/>
      <c r="L544" s="795"/>
      <c r="M544" s="795"/>
      <c r="N544" s="795"/>
      <c r="O544" s="795"/>
      <c r="P544" s="795"/>
      <c r="Q544" s="795"/>
      <c r="R544" s="795"/>
      <c r="S544" s="795"/>
      <c r="T544" s="795"/>
      <c r="U544" s="795"/>
      <c r="V544" s="795"/>
      <c r="W544" s="795"/>
      <c r="X544" s="795"/>
      <c r="Y544" s="795"/>
      <c r="Z544" s="795"/>
      <c r="AA544" s="795"/>
      <c r="AB544" s="795"/>
      <c r="AC544" s="795"/>
      <c r="AD544" s="795"/>
      <c r="AE544" s="795"/>
    </row>
    <row r="545" spans="1:35" ht="15" customHeight="1">
      <c r="A545" s="96"/>
      <c r="B545" s="54"/>
      <c r="C545" s="54"/>
      <c r="D545" s="54"/>
      <c r="E545" s="54"/>
      <c r="F545" s="54"/>
      <c r="G545" s="54"/>
      <c r="H545" s="54"/>
      <c r="I545" s="54"/>
      <c r="J545" s="54"/>
      <c r="K545" s="54"/>
      <c r="L545" s="54"/>
      <c r="M545" s="54"/>
      <c r="N545" s="54"/>
      <c r="O545" s="54"/>
      <c r="P545" s="54"/>
      <c r="Q545" s="54"/>
      <c r="R545" s="54"/>
      <c r="S545" s="54"/>
      <c r="T545" s="54"/>
      <c r="U545" s="54"/>
      <c r="V545" s="54"/>
      <c r="W545" s="54"/>
      <c r="X545" s="54"/>
      <c r="Y545" s="54"/>
      <c r="Z545" s="54"/>
      <c r="AA545" s="54"/>
      <c r="AB545" s="54"/>
      <c r="AC545" s="54"/>
      <c r="AD545" s="54"/>
      <c r="AE545"/>
    </row>
    <row r="546" spans="1:35" ht="15" customHeight="1">
      <c r="A546" s="96"/>
      <c r="B546" s="54"/>
      <c r="C546" s="54"/>
      <c r="D546" s="54"/>
      <c r="E546" s="54"/>
      <c r="F546" s="54"/>
      <c r="G546" s="54"/>
      <c r="H546" s="54"/>
      <c r="I546" s="54"/>
      <c r="J546" s="54"/>
      <c r="K546" s="54"/>
      <c r="L546" s="54"/>
      <c r="M546" s="54"/>
      <c r="N546" s="54"/>
      <c r="O546" s="54"/>
      <c r="P546" s="54"/>
      <c r="Q546" s="54"/>
      <c r="R546" s="54"/>
      <c r="S546" s="54"/>
      <c r="T546" s="54"/>
      <c r="U546" s="54"/>
      <c r="V546" s="54"/>
      <c r="W546" s="54"/>
      <c r="X546" s="54"/>
      <c r="Y546" s="54"/>
      <c r="Z546" s="54"/>
      <c r="AA546" s="54"/>
      <c r="AB546" s="54"/>
      <c r="AC546" s="54"/>
      <c r="AD546" s="54"/>
      <c r="AE546"/>
    </row>
    <row r="547" spans="1:35" ht="15" customHeight="1">
      <c r="A547" s="96"/>
      <c r="B547" s="54"/>
      <c r="C547" s="54"/>
      <c r="D547" s="54"/>
      <c r="E547" s="54"/>
      <c r="F547" s="54"/>
      <c r="G547" s="54"/>
      <c r="H547" s="54"/>
      <c r="I547" s="54"/>
      <c r="J547" s="54"/>
      <c r="K547" s="54"/>
      <c r="L547" s="54"/>
      <c r="M547" s="54"/>
      <c r="N547" s="54"/>
      <c r="O547" s="54"/>
      <c r="P547" s="54"/>
      <c r="Q547" s="54"/>
      <c r="R547" s="54"/>
      <c r="S547" s="54"/>
      <c r="T547" s="54"/>
      <c r="U547" s="54"/>
      <c r="V547" s="54"/>
      <c r="W547" s="54"/>
      <c r="X547" s="54"/>
      <c r="Y547" s="54"/>
      <c r="Z547" s="54"/>
      <c r="AA547" s="54"/>
      <c r="AB547" s="54"/>
      <c r="AC547" s="54"/>
      <c r="AD547" s="54"/>
      <c r="AE547"/>
    </row>
    <row r="548" spans="1:35" ht="15" customHeight="1">
      <c r="A548" s="96"/>
      <c r="B548" s="54"/>
      <c r="C548" s="54"/>
      <c r="D548" s="54"/>
      <c r="E548" s="54"/>
      <c r="F548" s="54"/>
      <c r="G548" s="54"/>
      <c r="H548" s="54"/>
      <c r="I548" s="54"/>
      <c r="J548" s="54"/>
      <c r="K548" s="54"/>
      <c r="L548" s="54"/>
      <c r="M548" s="54"/>
      <c r="N548" s="54"/>
      <c r="O548" s="54"/>
      <c r="P548" s="54"/>
      <c r="Q548" s="54"/>
      <c r="R548" s="54"/>
      <c r="S548" s="54"/>
      <c r="T548" s="54"/>
      <c r="U548" s="54"/>
      <c r="V548" s="54"/>
      <c r="W548" s="54"/>
      <c r="X548" s="54"/>
      <c r="Y548" s="54"/>
      <c r="Z548" s="54"/>
      <c r="AA548" s="54"/>
      <c r="AB548" s="54"/>
      <c r="AC548" s="54"/>
      <c r="AD548" s="54"/>
      <c r="AE548"/>
    </row>
    <row r="549" spans="1:35" ht="24" customHeight="1">
      <c r="A549" s="49" t="s">
        <v>2978</v>
      </c>
      <c r="B549" s="829" t="s">
        <v>2979</v>
      </c>
      <c r="C549" s="829"/>
      <c r="D549" s="829"/>
      <c r="E549" s="829"/>
      <c r="F549" s="829"/>
      <c r="G549" s="829"/>
      <c r="H549" s="829"/>
      <c r="I549" s="829"/>
      <c r="J549" s="829"/>
      <c r="K549" s="829"/>
      <c r="L549" s="829"/>
      <c r="M549" s="829"/>
      <c r="N549" s="829"/>
      <c r="O549" s="829"/>
      <c r="P549" s="829"/>
      <c r="Q549" s="829"/>
      <c r="R549" s="829"/>
      <c r="S549" s="829"/>
      <c r="T549" s="829"/>
      <c r="U549" s="829"/>
      <c r="V549" s="829"/>
      <c r="W549" s="829"/>
      <c r="X549" s="829"/>
      <c r="Y549" s="829"/>
      <c r="Z549" s="829"/>
      <c r="AA549" s="829"/>
      <c r="AB549" s="829"/>
      <c r="AC549" s="829"/>
      <c r="AD549" s="829"/>
    </row>
    <row r="550" spans="1:35" ht="36" customHeight="1">
      <c r="A550" s="50"/>
      <c r="B550" s="90"/>
      <c r="C550" s="754" t="s">
        <v>2980</v>
      </c>
      <c r="D550" s="754"/>
      <c r="E550" s="754"/>
      <c r="F550" s="754"/>
      <c r="G550" s="754"/>
      <c r="H550" s="754"/>
      <c r="I550" s="754"/>
      <c r="J550" s="754"/>
      <c r="K550" s="754"/>
      <c r="L550" s="754"/>
      <c r="M550" s="754"/>
      <c r="N550" s="754"/>
      <c r="O550" s="754"/>
      <c r="P550" s="754"/>
      <c r="Q550" s="754"/>
      <c r="R550" s="754"/>
      <c r="S550" s="754"/>
      <c r="T550" s="754"/>
      <c r="U550" s="754"/>
      <c r="V550" s="754"/>
      <c r="W550" s="754"/>
      <c r="X550" s="754"/>
      <c r="Y550" s="754"/>
      <c r="Z550" s="754"/>
      <c r="AA550" s="754"/>
      <c r="AB550" s="754"/>
      <c r="AC550" s="754"/>
      <c r="AD550" s="754"/>
    </row>
    <row r="551" spans="1:35" ht="15" customHeight="1">
      <c r="A551" s="50"/>
      <c r="B551" s="90"/>
      <c r="C551" s="830" t="s">
        <v>2981</v>
      </c>
      <c r="D551" s="830"/>
      <c r="E551" s="830"/>
      <c r="F551" s="830"/>
      <c r="G551" s="830"/>
      <c r="H551" s="830"/>
      <c r="I551" s="830"/>
      <c r="J551" s="830"/>
      <c r="K551" s="830"/>
      <c r="L551" s="830"/>
      <c r="M551" s="830"/>
      <c r="N551" s="830"/>
      <c r="O551" s="830"/>
      <c r="P551" s="830"/>
      <c r="Q551" s="830"/>
      <c r="R551" s="830"/>
      <c r="S551" s="830"/>
      <c r="T551" s="830"/>
      <c r="U551" s="830"/>
      <c r="V551" s="830"/>
      <c r="W551" s="830"/>
      <c r="X551" s="830"/>
      <c r="Y551" s="830"/>
      <c r="Z551" s="830"/>
      <c r="AA551" s="830"/>
      <c r="AB551" s="830"/>
      <c r="AC551" s="830"/>
      <c r="AD551" s="830"/>
    </row>
    <row r="552" spans="1:35" ht="24" customHeight="1">
      <c r="A552" s="50"/>
      <c r="B552" s="90"/>
      <c r="C552" s="830" t="s">
        <v>2982</v>
      </c>
      <c r="D552" s="830"/>
      <c r="E552" s="830"/>
      <c r="F552" s="830"/>
      <c r="G552" s="830"/>
      <c r="H552" s="830"/>
      <c r="I552" s="830"/>
      <c r="J552" s="830"/>
      <c r="K552" s="830"/>
      <c r="L552" s="830"/>
      <c r="M552" s="830"/>
      <c r="N552" s="830"/>
      <c r="O552" s="830"/>
      <c r="P552" s="830"/>
      <c r="Q552" s="830"/>
      <c r="R552" s="830"/>
      <c r="S552" s="830"/>
      <c r="T552" s="830"/>
      <c r="U552" s="830"/>
      <c r="V552" s="830"/>
      <c r="W552" s="830"/>
      <c r="X552" s="830"/>
      <c r="Y552" s="830"/>
      <c r="Z552" s="830"/>
      <c r="AA552" s="830"/>
      <c r="AB552" s="830"/>
      <c r="AC552" s="830"/>
      <c r="AD552" s="830"/>
    </row>
    <row r="553" spans="1:35" ht="15" customHeight="1">
      <c r="A553" s="96"/>
      <c r="B553" s="90"/>
      <c r="C553" s="90"/>
      <c r="D553" s="90"/>
      <c r="E553" s="90"/>
      <c r="F553" s="90"/>
      <c r="G553" s="90"/>
      <c r="H553" s="90"/>
      <c r="I553" s="90"/>
      <c r="J553" s="90"/>
      <c r="K553" s="90"/>
      <c r="L553" s="90"/>
      <c r="M553" s="90"/>
      <c r="N553" s="90"/>
      <c r="O553" s="90"/>
      <c r="P553" s="90"/>
      <c r="Q553" s="90"/>
      <c r="R553" s="90"/>
      <c r="S553" s="90"/>
      <c r="T553" s="90"/>
      <c r="U553" s="90"/>
      <c r="V553" s="90"/>
      <c r="W553" s="90"/>
      <c r="X553" s="90"/>
      <c r="Y553" s="90"/>
      <c r="Z553" s="90"/>
      <c r="AA553" s="90"/>
      <c r="AB553" s="90"/>
      <c r="AC553" s="90"/>
      <c r="AD553" s="90"/>
    </row>
    <row r="554" spans="1:35" ht="15" customHeight="1">
      <c r="A554" s="96"/>
      <c r="B554" s="90"/>
      <c r="C554" s="797" t="s">
        <v>2581</v>
      </c>
      <c r="D554" s="798"/>
      <c r="E554" s="798"/>
      <c r="F554" s="798"/>
      <c r="G554" s="798"/>
      <c r="H554" s="799"/>
      <c r="I554" s="818" t="s">
        <v>2983</v>
      </c>
      <c r="J554" s="819"/>
      <c r="K554" s="819"/>
      <c r="L554" s="820"/>
      <c r="M554" s="739" t="s">
        <v>2984</v>
      </c>
      <c r="N554" s="740"/>
      <c r="O554" s="740"/>
      <c r="P554" s="740"/>
      <c r="Q554" s="740"/>
      <c r="R554" s="740"/>
      <c r="S554" s="740"/>
      <c r="T554" s="740"/>
      <c r="U554" s="740"/>
      <c r="V554" s="740"/>
      <c r="W554" s="740"/>
      <c r="X554" s="740"/>
      <c r="Y554" s="740"/>
      <c r="Z554" s="740"/>
      <c r="AA554" s="740"/>
      <c r="AB554" s="740"/>
      <c r="AC554" s="740"/>
      <c r="AD554" s="741"/>
    </row>
    <row r="555" spans="1:35" ht="84" customHeight="1">
      <c r="A555" s="49"/>
      <c r="B555" s="90"/>
      <c r="C555" s="803"/>
      <c r="D555" s="804"/>
      <c r="E555" s="804"/>
      <c r="F555" s="804"/>
      <c r="G555" s="804"/>
      <c r="H555" s="805"/>
      <c r="I555" s="824"/>
      <c r="J555" s="825"/>
      <c r="K555" s="825"/>
      <c r="L555" s="826"/>
      <c r="M555" s="858" t="s">
        <v>2985</v>
      </c>
      <c r="N555" s="859"/>
      <c r="O555" s="860"/>
      <c r="P555" s="858" t="s">
        <v>2986</v>
      </c>
      <c r="Q555" s="859"/>
      <c r="R555" s="859"/>
      <c r="S555" s="858" t="s">
        <v>2987</v>
      </c>
      <c r="T555" s="859"/>
      <c r="U555" s="860"/>
      <c r="V555" s="858" t="s">
        <v>2988</v>
      </c>
      <c r="W555" s="859"/>
      <c r="X555" s="860"/>
      <c r="Y555" s="858" t="s">
        <v>2989</v>
      </c>
      <c r="Z555" s="859"/>
      <c r="AA555" s="860"/>
      <c r="AB555" s="858" t="s">
        <v>2990</v>
      </c>
      <c r="AC555" s="859"/>
      <c r="AD555" s="860"/>
      <c r="AG555" s="247" t="s">
        <v>2586</v>
      </c>
      <c r="AH555" s="309" t="s">
        <v>2794</v>
      </c>
      <c r="AI555" s="258" t="s">
        <v>2620</v>
      </c>
    </row>
    <row r="556" spans="1:35" ht="15" customHeight="1">
      <c r="A556" s="96"/>
      <c r="B556" s="90"/>
      <c r="C556" s="44" t="s">
        <v>2516</v>
      </c>
      <c r="D556" s="813" t="str">
        <f>IF(CNSIPEE_2024_M2_Secc1!D42="","",CNSIPEE_2024_M2_Secc1!D42)</f>
        <v/>
      </c>
      <c r="E556" s="814"/>
      <c r="F556" s="814"/>
      <c r="G556" s="814"/>
      <c r="H556" s="815"/>
      <c r="I556" s="816"/>
      <c r="J556" s="738"/>
      <c r="K556" s="738"/>
      <c r="L556" s="817"/>
      <c r="M556" s="816"/>
      <c r="N556" s="738"/>
      <c r="O556" s="817"/>
      <c r="P556" s="816"/>
      <c r="Q556" s="738"/>
      <c r="R556" s="817"/>
      <c r="S556" s="816"/>
      <c r="T556" s="738"/>
      <c r="U556" s="817"/>
      <c r="V556" s="816"/>
      <c r="W556" s="738"/>
      <c r="X556" s="817"/>
      <c r="Y556" s="816"/>
      <c r="Z556" s="738"/>
      <c r="AA556" s="817"/>
      <c r="AB556" s="816"/>
      <c r="AC556" s="738"/>
      <c r="AD556" s="817"/>
      <c r="AG556" s="249">
        <f>IF(AND(COUNTBLANK(D556)=0,$I556&lt;&gt;"",$I556&lt;&gt;1,COUNTA(M556:AD556)=0),0,IF(AND(COUNTBLANK(D556)=0,$I556&lt;&gt;"",$I556=1,COUNTA(M556:AD556)&gt;0),0,IF(AND(COUNTBLANK(D556)=1,COUNTA(M556:AD556)=0),0,1)))</f>
        <v>0</v>
      </c>
      <c r="AH556" s="253">
        <f>IF(COUNTIF(AB556:AD563,"X")&gt;0,1,0)</f>
        <v>0</v>
      </c>
      <c r="AI556" s="253">
        <f>IF(AND($I556&lt;&gt;"",$I556&lt;&gt;1,COUNTA(M556:AD556)&gt;0),1,0)</f>
        <v>0</v>
      </c>
    </row>
    <row r="557" spans="1:35" ht="15" customHeight="1">
      <c r="A557" s="96"/>
      <c r="B557" s="90"/>
      <c r="C557" s="44" t="s">
        <v>2517</v>
      </c>
      <c r="D557" s="813" t="str">
        <f>IF(CNSIPEE_2024_M2_Secc1!D43="","",CNSIPEE_2024_M2_Secc1!D43)</f>
        <v/>
      </c>
      <c r="E557" s="814"/>
      <c r="F557" s="814"/>
      <c r="G557" s="814"/>
      <c r="H557" s="815"/>
      <c r="I557" s="816"/>
      <c r="J557" s="738"/>
      <c r="K557" s="738"/>
      <c r="L557" s="817"/>
      <c r="M557" s="816"/>
      <c r="N557" s="738"/>
      <c r="O557" s="817"/>
      <c r="P557" s="816"/>
      <c r="Q557" s="738"/>
      <c r="R557" s="817"/>
      <c r="S557" s="816"/>
      <c r="T557" s="738"/>
      <c r="U557" s="817"/>
      <c r="V557" s="816"/>
      <c r="W557" s="738"/>
      <c r="X557" s="817"/>
      <c r="Y557" s="816"/>
      <c r="Z557" s="738"/>
      <c r="AA557" s="817"/>
      <c r="AB557" s="816"/>
      <c r="AC557" s="738"/>
      <c r="AD557" s="817"/>
      <c r="AG557" s="249">
        <f t="shared" ref="AG557:AG563" si="152">IF(AND(COUNTBLANK(D557)=0,$I557&lt;&gt;"",$I557&lt;&gt;1,COUNTA(M557:AD557)=0),0,IF(AND(COUNTBLANK(D557)=0,$I557&lt;&gt;"",$I557=1,COUNTA(M557:AD557)&gt;0),0,IF(AND(COUNTBLANK(D557)=1,COUNTA(M557:AD557)=0),0,1)))</f>
        <v>0</v>
      </c>
      <c r="AI557" s="253">
        <f t="shared" ref="AI557:AI563" si="153">IF(AND($I557&lt;&gt;"",$I557&lt;&gt;1,COUNTA(M557:AD557)&gt;0),1,0)</f>
        <v>0</v>
      </c>
    </row>
    <row r="558" spans="1:35" ht="15" customHeight="1">
      <c r="A558" s="96"/>
      <c r="B558" s="90"/>
      <c r="C558" s="44" t="s">
        <v>2518</v>
      </c>
      <c r="D558" s="813" t="str">
        <f>IF(CNSIPEE_2024_M2_Secc1!D44="","",CNSIPEE_2024_M2_Secc1!D44)</f>
        <v/>
      </c>
      <c r="E558" s="814"/>
      <c r="F558" s="814"/>
      <c r="G558" s="814"/>
      <c r="H558" s="815"/>
      <c r="I558" s="816"/>
      <c r="J558" s="738"/>
      <c r="K558" s="738"/>
      <c r="L558" s="817"/>
      <c r="M558" s="816"/>
      <c r="N558" s="738"/>
      <c r="O558" s="817"/>
      <c r="P558" s="816"/>
      <c r="Q558" s="738"/>
      <c r="R558" s="817"/>
      <c r="S558" s="816"/>
      <c r="T558" s="738"/>
      <c r="U558" s="817"/>
      <c r="V558" s="816"/>
      <c r="W558" s="738"/>
      <c r="X558" s="817"/>
      <c r="Y558" s="816"/>
      <c r="Z558" s="738"/>
      <c r="AA558" s="817"/>
      <c r="AB558" s="816"/>
      <c r="AC558" s="738"/>
      <c r="AD558" s="817"/>
      <c r="AG558" s="249">
        <f t="shared" si="152"/>
        <v>0</v>
      </c>
      <c r="AI558" s="253">
        <f t="shared" si="153"/>
        <v>0</v>
      </c>
    </row>
    <row r="559" spans="1:35" ht="15" customHeight="1">
      <c r="A559" s="96"/>
      <c r="B559" s="90"/>
      <c r="C559" s="44" t="s">
        <v>2519</v>
      </c>
      <c r="D559" s="813" t="str">
        <f>IF(CNSIPEE_2024_M2_Secc1!D45="","",CNSIPEE_2024_M2_Secc1!D45)</f>
        <v/>
      </c>
      <c r="E559" s="814"/>
      <c r="F559" s="814"/>
      <c r="G559" s="814"/>
      <c r="H559" s="815"/>
      <c r="I559" s="816"/>
      <c r="J559" s="738"/>
      <c r="K559" s="738"/>
      <c r="L559" s="817"/>
      <c r="M559" s="816"/>
      <c r="N559" s="738"/>
      <c r="O559" s="817"/>
      <c r="P559" s="816"/>
      <c r="Q559" s="738"/>
      <c r="R559" s="817"/>
      <c r="S559" s="816"/>
      <c r="T559" s="738"/>
      <c r="U559" s="817"/>
      <c r="V559" s="816"/>
      <c r="W559" s="738"/>
      <c r="X559" s="817"/>
      <c r="Y559" s="816"/>
      <c r="Z559" s="738"/>
      <c r="AA559" s="817"/>
      <c r="AB559" s="816"/>
      <c r="AC559" s="738"/>
      <c r="AD559" s="817"/>
      <c r="AG559" s="249">
        <f t="shared" si="152"/>
        <v>0</v>
      </c>
      <c r="AI559" s="253">
        <f t="shared" si="153"/>
        <v>0</v>
      </c>
    </row>
    <row r="560" spans="1:35" ht="15" customHeight="1">
      <c r="A560" s="96"/>
      <c r="B560" s="90"/>
      <c r="C560" s="44" t="s">
        <v>2520</v>
      </c>
      <c r="D560" s="813" t="str">
        <f>IF(CNSIPEE_2024_M2_Secc1!D46="","",CNSIPEE_2024_M2_Secc1!D46)</f>
        <v/>
      </c>
      <c r="E560" s="814"/>
      <c r="F560" s="814"/>
      <c r="G560" s="814"/>
      <c r="H560" s="815"/>
      <c r="I560" s="816"/>
      <c r="J560" s="738"/>
      <c r="K560" s="738"/>
      <c r="L560" s="817"/>
      <c r="M560" s="816"/>
      <c r="N560" s="738"/>
      <c r="O560" s="817"/>
      <c r="P560" s="816"/>
      <c r="Q560" s="738"/>
      <c r="R560" s="817"/>
      <c r="S560" s="816"/>
      <c r="T560" s="738"/>
      <c r="U560" s="817"/>
      <c r="V560" s="816"/>
      <c r="W560" s="738"/>
      <c r="X560" s="817"/>
      <c r="Y560" s="816"/>
      <c r="Z560" s="738"/>
      <c r="AA560" s="817"/>
      <c r="AB560" s="816"/>
      <c r="AC560" s="738"/>
      <c r="AD560" s="817"/>
      <c r="AG560" s="249">
        <f t="shared" si="152"/>
        <v>0</v>
      </c>
      <c r="AI560" s="253">
        <f t="shared" si="153"/>
        <v>0</v>
      </c>
    </row>
    <row r="561" spans="1:35" ht="15" customHeight="1">
      <c r="A561" s="96"/>
      <c r="B561" s="90"/>
      <c r="C561" s="44" t="s">
        <v>2521</v>
      </c>
      <c r="D561" s="813" t="str">
        <f>IF(CNSIPEE_2024_M2_Secc1!D47="","",CNSIPEE_2024_M2_Secc1!D47)</f>
        <v/>
      </c>
      <c r="E561" s="814"/>
      <c r="F561" s="814"/>
      <c r="G561" s="814"/>
      <c r="H561" s="815"/>
      <c r="I561" s="816"/>
      <c r="J561" s="738"/>
      <c r="K561" s="738"/>
      <c r="L561" s="817"/>
      <c r="M561" s="816"/>
      <c r="N561" s="738"/>
      <c r="O561" s="817"/>
      <c r="P561" s="816"/>
      <c r="Q561" s="738"/>
      <c r="R561" s="817"/>
      <c r="S561" s="816"/>
      <c r="T561" s="738"/>
      <c r="U561" s="817"/>
      <c r="V561" s="816"/>
      <c r="W561" s="738"/>
      <c r="X561" s="817"/>
      <c r="Y561" s="816"/>
      <c r="Z561" s="738"/>
      <c r="AA561" s="817"/>
      <c r="AB561" s="816"/>
      <c r="AC561" s="738"/>
      <c r="AD561" s="817"/>
      <c r="AG561" s="249">
        <f t="shared" si="152"/>
        <v>0</v>
      </c>
      <c r="AI561" s="253">
        <f t="shared" si="153"/>
        <v>0</v>
      </c>
    </row>
    <row r="562" spans="1:35" ht="15" customHeight="1">
      <c r="A562" s="96"/>
      <c r="B562" s="90"/>
      <c r="C562" s="44" t="s">
        <v>2522</v>
      </c>
      <c r="D562" s="813" t="str">
        <f>IF(CNSIPEE_2024_M2_Secc1!D48="","",CNSIPEE_2024_M2_Secc1!D48)</f>
        <v/>
      </c>
      <c r="E562" s="814"/>
      <c r="F562" s="814"/>
      <c r="G562" s="814"/>
      <c r="H562" s="815"/>
      <c r="I562" s="816"/>
      <c r="J562" s="738"/>
      <c r="K562" s="738"/>
      <c r="L562" s="817"/>
      <c r="M562" s="816"/>
      <c r="N562" s="738"/>
      <c r="O562" s="817"/>
      <c r="P562" s="816"/>
      <c r="Q562" s="738"/>
      <c r="R562" s="817"/>
      <c r="S562" s="816"/>
      <c r="T562" s="738"/>
      <c r="U562" s="817"/>
      <c r="V562" s="816"/>
      <c r="W562" s="738"/>
      <c r="X562" s="817"/>
      <c r="Y562" s="816"/>
      <c r="Z562" s="738"/>
      <c r="AA562" s="817"/>
      <c r="AB562" s="816"/>
      <c r="AC562" s="738"/>
      <c r="AD562" s="817"/>
      <c r="AG562" s="249">
        <f t="shared" si="152"/>
        <v>0</v>
      </c>
      <c r="AI562" s="253">
        <f t="shared" si="153"/>
        <v>0</v>
      </c>
    </row>
    <row r="563" spans="1:35" ht="15" customHeight="1">
      <c r="A563" s="96"/>
      <c r="B563" s="90"/>
      <c r="C563" s="44" t="s">
        <v>2523</v>
      </c>
      <c r="D563" s="813" t="str">
        <f>IF(CNSIPEE_2024_M2_Secc1!D49="","",CNSIPEE_2024_M2_Secc1!D49)</f>
        <v/>
      </c>
      <c r="E563" s="814"/>
      <c r="F563" s="814"/>
      <c r="G563" s="814"/>
      <c r="H563" s="815"/>
      <c r="I563" s="816"/>
      <c r="J563" s="738"/>
      <c r="K563" s="738"/>
      <c r="L563" s="817"/>
      <c r="M563" s="816"/>
      <c r="N563" s="738"/>
      <c r="O563" s="817"/>
      <c r="P563" s="816"/>
      <c r="Q563" s="738"/>
      <c r="R563" s="817"/>
      <c r="S563" s="816"/>
      <c r="T563" s="738"/>
      <c r="U563" s="817"/>
      <c r="V563" s="816"/>
      <c r="W563" s="738"/>
      <c r="X563" s="817"/>
      <c r="Y563" s="816"/>
      <c r="Z563" s="738"/>
      <c r="AA563" s="817"/>
      <c r="AB563" s="816"/>
      <c r="AC563" s="738"/>
      <c r="AD563" s="817"/>
      <c r="AG563" s="249">
        <f t="shared" si="152"/>
        <v>0</v>
      </c>
      <c r="AI563" s="253">
        <f t="shared" si="153"/>
        <v>0</v>
      </c>
    </row>
    <row r="564" spans="1:35" ht="15" customHeight="1">
      <c r="A564" s="96"/>
      <c r="B564" s="90"/>
      <c r="C564" s="90"/>
      <c r="D564" s="90"/>
      <c r="E564" s="90"/>
      <c r="F564" s="90"/>
      <c r="G564" s="90"/>
      <c r="H564" s="90"/>
      <c r="I564" s="90"/>
      <c r="J564" s="90"/>
      <c r="K564" s="90"/>
      <c r="L564" s="90"/>
      <c r="M564" s="90"/>
      <c r="N564" s="90"/>
      <c r="O564" s="90"/>
      <c r="P564" s="90"/>
      <c r="Q564" s="90"/>
      <c r="R564" s="90"/>
      <c r="S564" s="90"/>
      <c r="T564" s="90"/>
      <c r="U564" s="90"/>
      <c r="V564" s="90"/>
      <c r="W564" s="90"/>
      <c r="X564" s="90"/>
      <c r="Y564" s="90"/>
      <c r="Z564" s="90"/>
      <c r="AA564" s="90"/>
      <c r="AB564" s="90"/>
      <c r="AC564" s="90"/>
      <c r="AD564" s="90"/>
      <c r="AG564" s="247">
        <f>SUM(AG556:AG563)</f>
        <v>0</v>
      </c>
      <c r="AI564" s="258">
        <f>SUM(AI556:AI563)</f>
        <v>0</v>
      </c>
    </row>
    <row r="565" spans="1:35" ht="45" customHeight="1">
      <c r="A565" s="96"/>
      <c r="B565" s="90"/>
      <c r="C565" s="822" t="s">
        <v>2798</v>
      </c>
      <c r="D565" s="822"/>
      <c r="E565" s="822"/>
      <c r="F565" s="749"/>
      <c r="G565" s="749"/>
      <c r="H565" s="749"/>
      <c r="I565" s="749"/>
      <c r="J565" s="749"/>
      <c r="K565" s="749"/>
      <c r="L565" s="749"/>
      <c r="M565" s="749"/>
      <c r="N565" s="749"/>
      <c r="O565" s="749"/>
      <c r="P565" s="749"/>
      <c r="Q565" s="749"/>
      <c r="R565" s="749"/>
      <c r="S565" s="749"/>
      <c r="T565" s="749"/>
      <c r="U565" s="749"/>
      <c r="V565" s="749"/>
      <c r="W565" s="749"/>
      <c r="X565" s="749"/>
      <c r="Y565" s="749"/>
      <c r="Z565" s="749"/>
      <c r="AA565" s="749"/>
      <c r="AB565" s="749"/>
      <c r="AC565" s="749"/>
      <c r="AD565" s="749"/>
    </row>
    <row r="566" spans="1:35" ht="15" customHeight="1">
      <c r="A566" s="96"/>
      <c r="B566" s="794" t="str">
        <f>IF(AND(AH556&gt;0,F565=""),"Debido a que seleccionó la col. Otro tipo debe anotar el nombre de dicho(s) tipo(s) de programas educativos","")</f>
        <v/>
      </c>
      <c r="C566" s="794"/>
      <c r="D566" s="794"/>
      <c r="E566" s="794"/>
      <c r="F566" s="794"/>
      <c r="G566" s="794"/>
      <c r="H566" s="794"/>
      <c r="I566" s="794"/>
      <c r="J566" s="794"/>
      <c r="K566" s="794"/>
      <c r="L566" s="794"/>
      <c r="M566" s="794"/>
      <c r="N566" s="794"/>
      <c r="O566" s="794"/>
      <c r="P566" s="794"/>
      <c r="Q566" s="794"/>
      <c r="R566" s="794"/>
      <c r="S566" s="794"/>
      <c r="T566" s="794"/>
      <c r="U566" s="794"/>
      <c r="V566" s="794"/>
      <c r="W566" s="794"/>
      <c r="X566" s="794"/>
      <c r="Y566" s="794"/>
      <c r="Z566" s="794"/>
      <c r="AA566" s="794"/>
      <c r="AB566" s="794"/>
      <c r="AC566" s="794"/>
      <c r="AD566" s="794"/>
      <c r="AE566" s="794"/>
    </row>
    <row r="567" spans="1:35" ht="24" customHeight="1">
      <c r="A567" s="96"/>
      <c r="B567" s="90"/>
      <c r="C567" s="754" t="s">
        <v>2611</v>
      </c>
      <c r="D567" s="754"/>
      <c r="E567" s="754"/>
      <c r="F567" s="754"/>
      <c r="G567" s="754"/>
      <c r="H567" s="754"/>
      <c r="I567" s="754"/>
      <c r="J567" s="754"/>
      <c r="K567" s="754"/>
      <c r="L567" s="754"/>
      <c r="M567" s="754"/>
      <c r="N567" s="754"/>
      <c r="O567" s="754"/>
      <c r="P567" s="754"/>
      <c r="Q567" s="754"/>
      <c r="R567" s="754"/>
      <c r="S567" s="754"/>
      <c r="T567" s="754"/>
      <c r="U567" s="754"/>
      <c r="V567" s="754"/>
      <c r="W567" s="754"/>
      <c r="X567" s="754"/>
      <c r="Y567" s="754"/>
      <c r="Z567" s="754"/>
      <c r="AA567" s="754"/>
      <c r="AB567" s="754"/>
      <c r="AC567" s="754"/>
      <c r="AD567" s="754"/>
    </row>
    <row r="568" spans="1:35" ht="60" customHeight="1">
      <c r="A568" s="96"/>
      <c r="B568" s="90"/>
      <c r="C568" s="851"/>
      <c r="D568" s="851"/>
      <c r="E568" s="851"/>
      <c r="F568" s="851"/>
      <c r="G568" s="851"/>
      <c r="H568" s="851"/>
      <c r="I568" s="851"/>
      <c r="J568" s="851"/>
      <c r="K568" s="851"/>
      <c r="L568" s="851"/>
      <c r="M568" s="851"/>
      <c r="N568" s="851"/>
      <c r="O568" s="851"/>
      <c r="P568" s="851"/>
      <c r="Q568" s="851"/>
      <c r="R568" s="851"/>
      <c r="S568" s="851"/>
      <c r="T568" s="851"/>
      <c r="U568" s="851"/>
      <c r="V568" s="851"/>
      <c r="W568" s="851"/>
      <c r="X568" s="851"/>
      <c r="Y568" s="851"/>
      <c r="Z568" s="851"/>
      <c r="AA568" s="851"/>
      <c r="AB568" s="851"/>
      <c r="AC568" s="851"/>
      <c r="AD568" s="851"/>
    </row>
    <row r="569" spans="1:35" ht="15" customHeight="1">
      <c r="A569" s="96"/>
      <c r="B569" s="794" t="str">
        <f>IF(AG564&gt;0,"Favor de ingresar toda la información requerida en la pregunta y/o verifique que no tenga información en celdas sombreadas","")</f>
        <v/>
      </c>
      <c r="C569" s="794"/>
      <c r="D569" s="794"/>
      <c r="E569" s="794"/>
      <c r="F569" s="794"/>
      <c r="G569" s="794"/>
      <c r="H569" s="794"/>
      <c r="I569" s="794"/>
      <c r="J569" s="794"/>
      <c r="K569" s="794"/>
      <c r="L569" s="794"/>
      <c r="M569" s="794"/>
      <c r="N569" s="794"/>
      <c r="O569" s="794"/>
      <c r="P569" s="794"/>
      <c r="Q569" s="794"/>
      <c r="R569" s="794"/>
      <c r="S569" s="794"/>
      <c r="T569" s="794"/>
      <c r="U569" s="794"/>
      <c r="V569" s="794"/>
      <c r="W569" s="794"/>
      <c r="X569" s="794"/>
      <c r="Y569" s="794"/>
      <c r="Z569" s="794"/>
      <c r="AA569" s="794"/>
      <c r="AB569" s="794"/>
      <c r="AC569" s="794"/>
      <c r="AD569" s="794"/>
    </row>
    <row r="570" spans="1:35" ht="15" customHeight="1">
      <c r="A570" s="96"/>
      <c r="B570" s="90"/>
      <c r="C570" s="36"/>
      <c r="D570" s="36"/>
      <c r="E570" s="36"/>
      <c r="F570" s="36"/>
      <c r="G570" s="36"/>
      <c r="H570" s="36"/>
      <c r="I570" s="36"/>
      <c r="J570" s="36"/>
      <c r="K570" s="36"/>
      <c r="L570" s="36"/>
      <c r="M570" s="36"/>
      <c r="N570" s="36"/>
      <c r="O570" s="36"/>
      <c r="P570" s="36"/>
      <c r="Q570" s="36"/>
      <c r="R570" s="36"/>
      <c r="S570" s="36"/>
      <c r="T570" s="36"/>
      <c r="U570" s="36"/>
      <c r="V570" s="36"/>
      <c r="W570" s="36"/>
      <c r="X570" s="36"/>
      <c r="Y570" s="36"/>
      <c r="Z570" s="36"/>
      <c r="AA570" s="36"/>
      <c r="AB570" s="36"/>
      <c r="AC570" s="36"/>
      <c r="AD570" s="36"/>
    </row>
    <row r="571" spans="1:35" ht="15" customHeight="1">
      <c r="A571" s="96"/>
      <c r="B571" s="90"/>
      <c r="C571" s="36"/>
      <c r="D571" s="36"/>
      <c r="E571" s="36"/>
      <c r="F571" s="36"/>
      <c r="G571" s="36"/>
      <c r="H571" s="36"/>
      <c r="I571" s="36"/>
      <c r="J571" s="36"/>
      <c r="K571" s="36"/>
      <c r="L571" s="36"/>
      <c r="M571" s="36"/>
      <c r="N571" s="36"/>
      <c r="O571" s="36"/>
      <c r="P571" s="36"/>
      <c r="Q571" s="36"/>
      <c r="R571" s="36"/>
      <c r="S571" s="36"/>
      <c r="T571" s="36"/>
      <c r="U571" s="36"/>
      <c r="V571" s="36"/>
      <c r="W571" s="36"/>
      <c r="X571" s="36"/>
      <c r="Y571" s="36"/>
      <c r="Z571" s="36"/>
      <c r="AA571" s="36"/>
      <c r="AB571" s="36"/>
      <c r="AC571" s="36"/>
      <c r="AD571" s="36"/>
    </row>
    <row r="572" spans="1:35" ht="15" customHeight="1">
      <c r="A572" s="96"/>
      <c r="B572" s="90"/>
      <c r="C572" s="36"/>
      <c r="D572" s="36"/>
      <c r="E572" s="36"/>
      <c r="F572" s="36"/>
      <c r="G572" s="36"/>
      <c r="H572" s="36"/>
      <c r="I572" s="36"/>
      <c r="J572" s="36"/>
      <c r="K572" s="36"/>
      <c r="L572" s="36"/>
      <c r="M572" s="36"/>
      <c r="N572" s="36"/>
      <c r="O572" s="36"/>
      <c r="P572" s="36"/>
      <c r="Q572" s="36"/>
      <c r="R572" s="36"/>
      <c r="S572" s="36"/>
      <c r="T572" s="36"/>
      <c r="U572" s="36"/>
      <c r="V572" s="36"/>
      <c r="W572" s="36"/>
      <c r="X572" s="36"/>
      <c r="Y572" s="36"/>
      <c r="Z572" s="36"/>
      <c r="AA572" s="36"/>
      <c r="AB572" s="36"/>
      <c r="AC572" s="36"/>
      <c r="AD572" s="36"/>
    </row>
    <row r="573" spans="1:35" ht="15" customHeight="1">
      <c r="A573" s="96"/>
      <c r="B573" s="90"/>
      <c r="C573" s="90"/>
      <c r="D573" s="90"/>
      <c r="E573" s="90"/>
      <c r="F573" s="90"/>
      <c r="G573" s="90"/>
      <c r="H573" s="90"/>
      <c r="I573" s="90"/>
      <c r="J573" s="90"/>
      <c r="K573" s="90"/>
      <c r="L573" s="90"/>
      <c r="M573" s="90"/>
      <c r="N573" s="90"/>
      <c r="O573" s="90"/>
      <c r="P573" s="90"/>
      <c r="Q573" s="90"/>
      <c r="R573" s="90"/>
      <c r="S573" s="90"/>
      <c r="T573" s="90"/>
      <c r="U573" s="90"/>
      <c r="V573" s="90"/>
      <c r="W573" s="90"/>
      <c r="X573" s="90"/>
      <c r="Y573" s="90"/>
      <c r="Z573" s="90"/>
      <c r="AA573" s="90"/>
      <c r="AB573" s="90"/>
      <c r="AC573" s="90"/>
      <c r="AD573" s="90"/>
    </row>
    <row r="574" spans="1:35" ht="15" customHeight="1">
      <c r="A574" s="96"/>
      <c r="B574" s="90"/>
      <c r="C574" s="90"/>
      <c r="D574" s="90"/>
      <c r="E574" s="90"/>
      <c r="F574" s="90"/>
      <c r="G574" s="90"/>
      <c r="H574" s="90"/>
      <c r="I574" s="90"/>
      <c r="J574" s="90"/>
      <c r="K574" s="90"/>
      <c r="L574" s="90"/>
      <c r="M574" s="90"/>
      <c r="N574" s="90"/>
      <c r="O574" s="90"/>
      <c r="P574" s="90"/>
      <c r="Q574" s="90"/>
      <c r="R574" s="90"/>
      <c r="S574" s="90"/>
      <c r="T574" s="90"/>
      <c r="U574" s="90"/>
      <c r="V574" s="90"/>
      <c r="W574" s="90"/>
      <c r="X574" s="90"/>
      <c r="Y574" s="90"/>
      <c r="Z574" s="90"/>
      <c r="AA574" s="90"/>
      <c r="AB574" s="90"/>
      <c r="AC574" s="90"/>
      <c r="AD574" s="90"/>
    </row>
    <row r="575" spans="1:35" ht="36" customHeight="1">
      <c r="A575" s="49" t="s">
        <v>2991</v>
      </c>
      <c r="B575" s="829" t="s">
        <v>2992</v>
      </c>
      <c r="C575" s="829"/>
      <c r="D575" s="829"/>
      <c r="E575" s="829"/>
      <c r="F575" s="829"/>
      <c r="G575" s="829"/>
      <c r="H575" s="829"/>
      <c r="I575" s="829"/>
      <c r="J575" s="829"/>
      <c r="K575" s="829"/>
      <c r="L575" s="829"/>
      <c r="M575" s="829"/>
      <c r="N575" s="829"/>
      <c r="O575" s="829"/>
      <c r="P575" s="829"/>
      <c r="Q575" s="829"/>
      <c r="R575" s="829"/>
      <c r="S575" s="829"/>
      <c r="T575" s="829"/>
      <c r="U575" s="829"/>
      <c r="V575" s="829"/>
      <c r="W575" s="829"/>
      <c r="X575" s="829"/>
      <c r="Y575" s="829"/>
      <c r="Z575" s="829"/>
      <c r="AA575" s="829"/>
      <c r="AB575" s="829"/>
      <c r="AC575" s="829"/>
      <c r="AD575" s="829"/>
    </row>
    <row r="576" spans="1:35" ht="24" customHeight="1">
      <c r="A576" s="50"/>
      <c r="B576" s="50"/>
      <c r="C576" s="754" t="s">
        <v>2993</v>
      </c>
      <c r="D576" s="754"/>
      <c r="E576" s="754"/>
      <c r="F576" s="754"/>
      <c r="G576" s="754"/>
      <c r="H576" s="754"/>
      <c r="I576" s="754"/>
      <c r="J576" s="754"/>
      <c r="K576" s="754"/>
      <c r="L576" s="754"/>
      <c r="M576" s="754"/>
      <c r="N576" s="754"/>
      <c r="O576" s="754"/>
      <c r="P576" s="754"/>
      <c r="Q576" s="754"/>
      <c r="R576" s="754"/>
      <c r="S576" s="754"/>
      <c r="T576" s="754"/>
      <c r="U576" s="754"/>
      <c r="V576" s="754"/>
      <c r="W576" s="754"/>
      <c r="X576" s="754"/>
      <c r="Y576" s="754"/>
      <c r="Z576" s="754"/>
      <c r="AA576" s="754"/>
      <c r="AB576" s="754"/>
      <c r="AC576" s="754"/>
      <c r="AD576" s="754"/>
    </row>
    <row r="577" spans="1:36" ht="36" customHeight="1">
      <c r="A577" s="50"/>
      <c r="B577" s="90"/>
      <c r="C577" s="754" t="s">
        <v>2994</v>
      </c>
      <c r="D577" s="754"/>
      <c r="E577" s="754"/>
      <c r="F577" s="754"/>
      <c r="G577" s="754"/>
      <c r="H577" s="754"/>
      <c r="I577" s="754"/>
      <c r="J577" s="754"/>
      <c r="K577" s="754"/>
      <c r="L577" s="754"/>
      <c r="M577" s="754"/>
      <c r="N577" s="754"/>
      <c r="O577" s="754"/>
      <c r="P577" s="754"/>
      <c r="Q577" s="754"/>
      <c r="R577" s="754"/>
      <c r="S577" s="754"/>
      <c r="T577" s="754"/>
      <c r="U577" s="754"/>
      <c r="V577" s="754"/>
      <c r="W577" s="754"/>
      <c r="X577" s="754"/>
      <c r="Y577" s="754"/>
      <c r="Z577" s="754"/>
      <c r="AA577" s="754"/>
      <c r="AB577" s="754"/>
      <c r="AC577" s="754"/>
      <c r="AD577" s="754"/>
    </row>
    <row r="578" spans="1:36" ht="15" customHeight="1">
      <c r="A578" s="50"/>
      <c r="B578" s="90"/>
      <c r="C578" s="830" t="s">
        <v>2995</v>
      </c>
      <c r="D578" s="830"/>
      <c r="E578" s="830"/>
      <c r="F578" s="830"/>
      <c r="G578" s="830"/>
      <c r="H578" s="830"/>
      <c r="I578" s="830"/>
      <c r="J578" s="830"/>
      <c r="K578" s="830"/>
      <c r="L578" s="830"/>
      <c r="M578" s="830"/>
      <c r="N578" s="830"/>
      <c r="O578" s="830"/>
      <c r="P578" s="830"/>
      <c r="Q578" s="830"/>
      <c r="R578" s="830"/>
      <c r="S578" s="830"/>
      <c r="T578" s="830"/>
      <c r="U578" s="830"/>
      <c r="V578" s="830"/>
      <c r="W578" s="830"/>
      <c r="X578" s="830"/>
      <c r="Y578" s="830"/>
      <c r="Z578" s="830"/>
      <c r="AA578" s="830"/>
      <c r="AB578" s="830"/>
      <c r="AC578" s="830"/>
      <c r="AD578" s="830"/>
    </row>
    <row r="579" spans="1:36" ht="24" customHeight="1">
      <c r="A579" s="50"/>
      <c r="B579" s="90"/>
      <c r="C579" s="830" t="s">
        <v>2996</v>
      </c>
      <c r="D579" s="830"/>
      <c r="E579" s="830"/>
      <c r="F579" s="830"/>
      <c r="G579" s="830"/>
      <c r="H579" s="830"/>
      <c r="I579" s="830"/>
      <c r="J579" s="830"/>
      <c r="K579" s="830"/>
      <c r="L579" s="830"/>
      <c r="M579" s="830"/>
      <c r="N579" s="830"/>
      <c r="O579" s="830"/>
      <c r="P579" s="830"/>
      <c r="Q579" s="830"/>
      <c r="R579" s="830"/>
      <c r="S579" s="830"/>
      <c r="T579" s="830"/>
      <c r="U579" s="830"/>
      <c r="V579" s="830"/>
      <c r="W579" s="830"/>
      <c r="X579" s="830"/>
      <c r="Y579" s="830"/>
      <c r="Z579" s="830"/>
      <c r="AA579" s="830"/>
      <c r="AB579" s="830"/>
      <c r="AC579" s="830"/>
      <c r="AD579" s="830"/>
    </row>
    <row r="580" spans="1:36" ht="15" customHeight="1">
      <c r="A580" s="96"/>
      <c r="B580" s="90"/>
      <c r="C580" s="90"/>
      <c r="D580" s="90"/>
      <c r="E580" s="90"/>
      <c r="F580" s="90"/>
      <c r="G580" s="90"/>
      <c r="H580" s="90"/>
      <c r="I580" s="90"/>
      <c r="J580" s="90"/>
      <c r="K580" s="90"/>
      <c r="L580" s="90"/>
      <c r="M580" s="90"/>
      <c r="N580" s="90"/>
      <c r="O580" s="90"/>
      <c r="P580" s="90"/>
      <c r="Q580" s="90"/>
      <c r="R580" s="90"/>
      <c r="S580" s="90"/>
      <c r="T580" s="90"/>
      <c r="U580" s="90"/>
      <c r="V580" s="90"/>
      <c r="W580" s="90"/>
      <c r="X580" s="90"/>
      <c r="Y580" s="90"/>
      <c r="Z580" s="90"/>
      <c r="AA580" s="90"/>
      <c r="AB580" s="90"/>
      <c r="AC580" s="90"/>
      <c r="AD580" s="90"/>
    </row>
    <row r="581" spans="1:36" ht="15" customHeight="1">
      <c r="A581" s="96"/>
      <c r="B581" s="90"/>
      <c r="C581" s="797" t="s">
        <v>2581</v>
      </c>
      <c r="D581" s="798"/>
      <c r="E581" s="798"/>
      <c r="F581" s="798"/>
      <c r="G581" s="798"/>
      <c r="H581" s="798"/>
      <c r="I581" s="798"/>
      <c r="J581" s="798"/>
      <c r="K581" s="798"/>
      <c r="L581" s="798"/>
      <c r="M581" s="798"/>
      <c r="N581" s="799"/>
      <c r="O581" s="818" t="s">
        <v>2997</v>
      </c>
      <c r="P581" s="819"/>
      <c r="Q581" s="819"/>
      <c r="R581" s="820"/>
      <c r="S581" s="740" t="s">
        <v>2998</v>
      </c>
      <c r="T581" s="740"/>
      <c r="U581" s="740"/>
      <c r="V581" s="740"/>
      <c r="W581" s="740"/>
      <c r="X581" s="740"/>
      <c r="Y581" s="740"/>
      <c r="Z581" s="740"/>
      <c r="AA581" s="740"/>
      <c r="AB581" s="740"/>
      <c r="AC581" s="740"/>
      <c r="AD581" s="741"/>
      <c r="AG581" s="792" t="s">
        <v>2586</v>
      </c>
      <c r="AH581" s="793" t="s">
        <v>2794</v>
      </c>
      <c r="AI581" s="253"/>
      <c r="AJ581" s="253"/>
    </row>
    <row r="582" spans="1:36" ht="144" customHeight="1">
      <c r="A582" s="96"/>
      <c r="B582" s="90"/>
      <c r="C582" s="803"/>
      <c r="D582" s="804"/>
      <c r="E582" s="804"/>
      <c r="F582" s="804"/>
      <c r="G582" s="804"/>
      <c r="H582" s="804"/>
      <c r="I582" s="804"/>
      <c r="J582" s="804"/>
      <c r="K582" s="804"/>
      <c r="L582" s="804"/>
      <c r="M582" s="804"/>
      <c r="N582" s="805"/>
      <c r="O582" s="824"/>
      <c r="P582" s="825"/>
      <c r="Q582" s="825"/>
      <c r="R582" s="826"/>
      <c r="S582" s="857" t="s">
        <v>2999</v>
      </c>
      <c r="T582" s="857"/>
      <c r="U582" s="857"/>
      <c r="V582" s="857" t="s">
        <v>3000</v>
      </c>
      <c r="W582" s="857"/>
      <c r="X582" s="857"/>
      <c r="Y582" s="857" t="s">
        <v>3001</v>
      </c>
      <c r="Z582" s="857"/>
      <c r="AA582" s="857"/>
      <c r="AB582" s="857" t="s">
        <v>2990</v>
      </c>
      <c r="AC582" s="857"/>
      <c r="AD582" s="857"/>
      <c r="AG582" s="792"/>
      <c r="AH582" s="793"/>
      <c r="AI582" s="306" t="s">
        <v>3002</v>
      </c>
      <c r="AJ582" s="307" t="s">
        <v>3003</v>
      </c>
    </row>
    <row r="583" spans="1:36">
      <c r="A583" s="96"/>
      <c r="B583" s="90"/>
      <c r="C583" s="44" t="s">
        <v>2516</v>
      </c>
      <c r="D583" s="813" t="str">
        <f>IF(CNSIPEE_2024_M2_Secc1!D42="","",CNSIPEE_2024_M2_Secc1!D42)</f>
        <v/>
      </c>
      <c r="E583" s="814"/>
      <c r="F583" s="814"/>
      <c r="G583" s="814"/>
      <c r="H583" s="814"/>
      <c r="I583" s="814"/>
      <c r="J583" s="814"/>
      <c r="K583" s="814"/>
      <c r="L583" s="814"/>
      <c r="M583" s="814"/>
      <c r="N583" s="815"/>
      <c r="O583" s="816"/>
      <c r="P583" s="738"/>
      <c r="Q583" s="738"/>
      <c r="R583" s="817"/>
      <c r="S583" s="816"/>
      <c r="T583" s="738"/>
      <c r="U583" s="817"/>
      <c r="V583" s="816"/>
      <c r="W583" s="738"/>
      <c r="X583" s="817"/>
      <c r="Y583" s="816"/>
      <c r="Z583" s="738"/>
      <c r="AA583" s="817"/>
      <c r="AB583" s="816"/>
      <c r="AC583" s="738"/>
      <c r="AD583" s="817"/>
      <c r="AG583" s="249">
        <f>IF(AND(COUNTBLANK(D583)=0,$I556&lt;&gt;"",$I556&lt;&gt;1,COUNTA(O583:AD583)=0),0,IF(AND(COUNTBLANK(D583)=0,$I556&lt;&gt;"",$I556=1,$O583&lt;&gt;"",$O583&lt;&gt;1,COUNTA(S583:AD583)=0),0,IF(AND(COUNTBLANK(D583)=0,$I556&lt;&gt;"",$I556=1,$O583&lt;&gt;"",$O583=1,COUNTA(S583:AD583)&gt;0),0,IF(AND(COUNTBLANK(D583)=1,COUNTA(O583:AD583)=0),0,1))))</f>
        <v>0</v>
      </c>
      <c r="AH583" s="253">
        <f>IF(COUNTIF(AB583:AD590,"X")&gt;0,1,0)</f>
        <v>0</v>
      </c>
      <c r="AI583" s="253">
        <f>IF(AND($O583&lt;&gt;"",$O583&lt;&gt;1,COUNTA(S583:AD583)&gt;0),1,0)</f>
        <v>0</v>
      </c>
      <c r="AJ583" s="253">
        <f>IF(AND($I556&lt;&gt;"",$I556&lt;&gt;1,COUNTA(O583:AD583)&gt;0),1,0)</f>
        <v>0</v>
      </c>
    </row>
    <row r="584" spans="1:36">
      <c r="A584" s="96"/>
      <c r="B584" s="90"/>
      <c r="C584" s="44" t="s">
        <v>2517</v>
      </c>
      <c r="D584" s="813" t="str">
        <f>IF(CNSIPEE_2024_M2_Secc1!D43="","",CNSIPEE_2024_M2_Secc1!D43)</f>
        <v/>
      </c>
      <c r="E584" s="814"/>
      <c r="F584" s="814"/>
      <c r="G584" s="814"/>
      <c r="H584" s="814"/>
      <c r="I584" s="814"/>
      <c r="J584" s="814"/>
      <c r="K584" s="814"/>
      <c r="L584" s="814"/>
      <c r="M584" s="814"/>
      <c r="N584" s="815"/>
      <c r="O584" s="816"/>
      <c r="P584" s="738"/>
      <c r="Q584" s="738"/>
      <c r="R584" s="817"/>
      <c r="S584" s="816"/>
      <c r="T584" s="738"/>
      <c r="U584" s="817"/>
      <c r="V584" s="816"/>
      <c r="W584" s="738"/>
      <c r="X584" s="817"/>
      <c r="Y584" s="816"/>
      <c r="Z584" s="738"/>
      <c r="AA584" s="817"/>
      <c r="AB584" s="816"/>
      <c r="AC584" s="738"/>
      <c r="AD584" s="817"/>
      <c r="AG584" s="249">
        <f t="shared" ref="AG584:AG590" si="154">IF(AND(COUNTBLANK(D584)=0,$I557&lt;&gt;"",$I557&lt;&gt;1,COUNTA(O584:AD584)=0),0,IF(AND(COUNTBLANK(D584)=0,$I557&lt;&gt;"",$I557=1,$O584&lt;&gt;"",$O584&lt;&gt;1,COUNTA(S584:AD584)=0),0,IF(AND(COUNTBLANK(D584)=0,$I557&lt;&gt;"",$I557=1,$O584&lt;&gt;"",$O584=1,COUNTA(S584:AD584)&gt;0),0,IF(AND(COUNTBLANK(D584)=1,COUNTA(O584:AD584)=0),0,1))))</f>
        <v>0</v>
      </c>
      <c r="AI584" s="253">
        <f t="shared" ref="AI584:AI590" si="155">IF(AND($O584&lt;&gt;"",$O584&lt;&gt;1,COUNTA(S584:AD584)&gt;0),1,0)</f>
        <v>0</v>
      </c>
      <c r="AJ584" s="253">
        <f t="shared" ref="AJ584:AJ590" si="156">IF(AND($I557&lt;&gt;"",$I557&lt;&gt;1,COUNTA(O584:AD584)&gt;0),1,0)</f>
        <v>0</v>
      </c>
    </row>
    <row r="585" spans="1:36" ht="15" customHeight="1">
      <c r="A585" s="96"/>
      <c r="B585" s="90"/>
      <c r="C585" s="44" t="s">
        <v>2518</v>
      </c>
      <c r="D585" s="813" t="str">
        <f>IF(CNSIPEE_2024_M2_Secc1!D44="","",CNSIPEE_2024_M2_Secc1!D44)</f>
        <v/>
      </c>
      <c r="E585" s="814"/>
      <c r="F585" s="814"/>
      <c r="G585" s="814"/>
      <c r="H585" s="814"/>
      <c r="I585" s="814"/>
      <c r="J585" s="814"/>
      <c r="K585" s="814"/>
      <c r="L585" s="814"/>
      <c r="M585" s="814"/>
      <c r="N585" s="815"/>
      <c r="O585" s="816"/>
      <c r="P585" s="738"/>
      <c r="Q585" s="738"/>
      <c r="R585" s="817"/>
      <c r="S585" s="816"/>
      <c r="T585" s="738"/>
      <c r="U585" s="817"/>
      <c r="V585" s="816"/>
      <c r="W585" s="738"/>
      <c r="X585" s="817"/>
      <c r="Y585" s="816"/>
      <c r="Z585" s="738"/>
      <c r="AA585" s="817"/>
      <c r="AB585" s="816"/>
      <c r="AC585" s="738"/>
      <c r="AD585" s="817"/>
      <c r="AG585" s="249">
        <f t="shared" si="154"/>
        <v>0</v>
      </c>
      <c r="AI585" s="253">
        <f t="shared" si="155"/>
        <v>0</v>
      </c>
      <c r="AJ585" s="253">
        <f t="shared" si="156"/>
        <v>0</v>
      </c>
    </row>
    <row r="586" spans="1:36" ht="15" customHeight="1">
      <c r="A586" s="96"/>
      <c r="B586" s="90"/>
      <c r="C586" s="44" t="s">
        <v>2519</v>
      </c>
      <c r="D586" s="813" t="str">
        <f>IF(CNSIPEE_2024_M2_Secc1!D45="","",CNSIPEE_2024_M2_Secc1!D45)</f>
        <v/>
      </c>
      <c r="E586" s="814"/>
      <c r="F586" s="814"/>
      <c r="G586" s="814"/>
      <c r="H586" s="814"/>
      <c r="I586" s="814"/>
      <c r="J586" s="814"/>
      <c r="K586" s="814"/>
      <c r="L586" s="814"/>
      <c r="M586" s="814"/>
      <c r="N586" s="815"/>
      <c r="O586" s="816"/>
      <c r="P586" s="738"/>
      <c r="Q586" s="738"/>
      <c r="R586" s="817"/>
      <c r="S586" s="816"/>
      <c r="T586" s="738"/>
      <c r="U586" s="817"/>
      <c r="V586" s="816"/>
      <c r="W586" s="738"/>
      <c r="X586" s="817"/>
      <c r="Y586" s="816"/>
      <c r="Z586" s="738"/>
      <c r="AA586" s="817"/>
      <c r="AB586" s="816"/>
      <c r="AC586" s="738"/>
      <c r="AD586" s="817"/>
      <c r="AG586" s="249">
        <f t="shared" si="154"/>
        <v>0</v>
      </c>
      <c r="AI586" s="253">
        <f t="shared" si="155"/>
        <v>0</v>
      </c>
      <c r="AJ586" s="253">
        <f t="shared" si="156"/>
        <v>0</v>
      </c>
    </row>
    <row r="587" spans="1:36" ht="15" customHeight="1">
      <c r="A587" s="96"/>
      <c r="B587" s="90"/>
      <c r="C587" s="44" t="s">
        <v>2520</v>
      </c>
      <c r="D587" s="813" t="str">
        <f>IF(CNSIPEE_2024_M2_Secc1!D46="","",CNSIPEE_2024_M2_Secc1!D46)</f>
        <v/>
      </c>
      <c r="E587" s="814"/>
      <c r="F587" s="814"/>
      <c r="G587" s="814"/>
      <c r="H587" s="814"/>
      <c r="I587" s="814"/>
      <c r="J587" s="814"/>
      <c r="K587" s="814"/>
      <c r="L587" s="814"/>
      <c r="M587" s="814"/>
      <c r="N587" s="815"/>
      <c r="O587" s="816"/>
      <c r="P587" s="738"/>
      <c r="Q587" s="738"/>
      <c r="R587" s="817"/>
      <c r="S587" s="816"/>
      <c r="T587" s="738"/>
      <c r="U587" s="817"/>
      <c r="V587" s="816"/>
      <c r="W587" s="738"/>
      <c r="X587" s="817"/>
      <c r="Y587" s="816"/>
      <c r="Z587" s="738"/>
      <c r="AA587" s="817"/>
      <c r="AB587" s="816"/>
      <c r="AC587" s="738"/>
      <c r="AD587" s="817"/>
      <c r="AG587" s="249">
        <f t="shared" si="154"/>
        <v>0</v>
      </c>
      <c r="AI587" s="253">
        <f t="shared" si="155"/>
        <v>0</v>
      </c>
      <c r="AJ587" s="253">
        <f t="shared" si="156"/>
        <v>0</v>
      </c>
    </row>
    <row r="588" spans="1:36" ht="15" customHeight="1">
      <c r="A588" s="96"/>
      <c r="B588" s="90"/>
      <c r="C588" s="44" t="s">
        <v>2521</v>
      </c>
      <c r="D588" s="813" t="str">
        <f>IF(CNSIPEE_2024_M2_Secc1!D47="","",CNSIPEE_2024_M2_Secc1!D47)</f>
        <v/>
      </c>
      <c r="E588" s="814"/>
      <c r="F588" s="814"/>
      <c r="G588" s="814"/>
      <c r="H588" s="814"/>
      <c r="I588" s="814"/>
      <c r="J588" s="814"/>
      <c r="K588" s="814"/>
      <c r="L588" s="814"/>
      <c r="M588" s="814"/>
      <c r="N588" s="815"/>
      <c r="O588" s="816"/>
      <c r="P588" s="738"/>
      <c r="Q588" s="738"/>
      <c r="R588" s="817"/>
      <c r="S588" s="816"/>
      <c r="T588" s="738"/>
      <c r="U588" s="817"/>
      <c r="V588" s="816"/>
      <c r="W588" s="738"/>
      <c r="X588" s="817"/>
      <c r="Y588" s="816"/>
      <c r="Z588" s="738"/>
      <c r="AA588" s="817"/>
      <c r="AB588" s="816"/>
      <c r="AC588" s="738"/>
      <c r="AD588" s="817"/>
      <c r="AG588" s="249">
        <f t="shared" si="154"/>
        <v>0</v>
      </c>
      <c r="AI588" s="253">
        <f t="shared" si="155"/>
        <v>0</v>
      </c>
      <c r="AJ588" s="253">
        <f t="shared" si="156"/>
        <v>0</v>
      </c>
    </row>
    <row r="589" spans="1:36" ht="15" customHeight="1">
      <c r="A589" s="96"/>
      <c r="B589" s="90"/>
      <c r="C589" s="44" t="s">
        <v>2522</v>
      </c>
      <c r="D589" s="813" t="str">
        <f>IF(CNSIPEE_2024_M2_Secc1!D48="","",CNSIPEE_2024_M2_Secc1!D48)</f>
        <v/>
      </c>
      <c r="E589" s="814"/>
      <c r="F589" s="814"/>
      <c r="G589" s="814"/>
      <c r="H589" s="814"/>
      <c r="I589" s="814"/>
      <c r="J589" s="814"/>
      <c r="K589" s="814"/>
      <c r="L589" s="814"/>
      <c r="M589" s="814"/>
      <c r="N589" s="815"/>
      <c r="O589" s="816"/>
      <c r="P589" s="738"/>
      <c r="Q589" s="738"/>
      <c r="R589" s="817"/>
      <c r="S589" s="816"/>
      <c r="T589" s="738"/>
      <c r="U589" s="817"/>
      <c r="V589" s="816"/>
      <c r="W589" s="738"/>
      <c r="X589" s="817"/>
      <c r="Y589" s="816"/>
      <c r="Z589" s="738"/>
      <c r="AA589" s="817"/>
      <c r="AB589" s="816"/>
      <c r="AC589" s="738"/>
      <c r="AD589" s="817"/>
      <c r="AG589" s="249">
        <f t="shared" si="154"/>
        <v>0</v>
      </c>
      <c r="AI589" s="253">
        <f t="shared" si="155"/>
        <v>0</v>
      </c>
      <c r="AJ589" s="253">
        <f t="shared" si="156"/>
        <v>0</v>
      </c>
    </row>
    <row r="590" spans="1:36" ht="15" customHeight="1">
      <c r="A590" s="96"/>
      <c r="B590" s="90"/>
      <c r="C590" s="44" t="s">
        <v>2523</v>
      </c>
      <c r="D590" s="813" t="str">
        <f>IF(CNSIPEE_2024_M2_Secc1!D49="","",CNSIPEE_2024_M2_Secc1!D49)</f>
        <v/>
      </c>
      <c r="E590" s="814"/>
      <c r="F590" s="814"/>
      <c r="G590" s="814"/>
      <c r="H590" s="814"/>
      <c r="I590" s="814"/>
      <c r="J590" s="814"/>
      <c r="K590" s="814"/>
      <c r="L590" s="814"/>
      <c r="M590" s="814"/>
      <c r="N590" s="815"/>
      <c r="O590" s="816"/>
      <c r="P590" s="738"/>
      <c r="Q590" s="738"/>
      <c r="R590" s="817"/>
      <c r="S590" s="816"/>
      <c r="T590" s="738"/>
      <c r="U590" s="817"/>
      <c r="V590" s="816"/>
      <c r="W590" s="738"/>
      <c r="X590" s="817"/>
      <c r="Y590" s="816"/>
      <c r="Z590" s="738"/>
      <c r="AA590" s="817"/>
      <c r="AB590" s="816"/>
      <c r="AC590" s="738"/>
      <c r="AD590" s="817"/>
      <c r="AG590" s="249">
        <f t="shared" si="154"/>
        <v>0</v>
      </c>
      <c r="AI590" s="253">
        <f t="shared" si="155"/>
        <v>0</v>
      </c>
      <c r="AJ590" s="253">
        <f t="shared" si="156"/>
        <v>0</v>
      </c>
    </row>
    <row r="591" spans="1:36" ht="15" customHeight="1">
      <c r="A591" s="96"/>
      <c r="B591" s="90"/>
      <c r="C591" s="70"/>
      <c r="D591" s="36"/>
      <c r="E591" s="36"/>
      <c r="F591" s="36"/>
      <c r="G591" s="36"/>
      <c r="H591" s="36"/>
      <c r="I591" s="84"/>
      <c r="J591" s="84"/>
      <c r="K591" s="84"/>
      <c r="L591" s="84"/>
      <c r="M591" s="84"/>
      <c r="N591" s="84"/>
      <c r="O591" s="84"/>
      <c r="P591" s="84"/>
      <c r="Q591" s="84"/>
      <c r="R591" s="84"/>
      <c r="S591" s="84"/>
      <c r="T591" s="84"/>
      <c r="U591" s="84"/>
      <c r="V591" s="84"/>
      <c r="W591" s="84"/>
      <c r="X591" s="84"/>
      <c r="Y591" s="84"/>
      <c r="Z591" s="84"/>
      <c r="AA591" s="84"/>
      <c r="AB591" s="84"/>
      <c r="AC591" s="84"/>
      <c r="AD591" s="84"/>
      <c r="AG591" s="247">
        <f>SUM(AG583:AG590)</f>
        <v>0</v>
      </c>
      <c r="AI591" s="258">
        <f>SUM(AI583:AI590)</f>
        <v>0</v>
      </c>
      <c r="AJ591" s="305">
        <f>SUM(AJ583:AJ590)</f>
        <v>0</v>
      </c>
    </row>
    <row r="592" spans="1:36" ht="45" customHeight="1">
      <c r="A592" s="96"/>
      <c r="B592" s="90"/>
      <c r="C592" s="822" t="s">
        <v>2798</v>
      </c>
      <c r="D592" s="822"/>
      <c r="E592" s="822"/>
      <c r="F592" s="749"/>
      <c r="G592" s="749"/>
      <c r="H592" s="749"/>
      <c r="I592" s="749"/>
      <c r="J592" s="749"/>
      <c r="K592" s="749"/>
      <c r="L592" s="749"/>
      <c r="M592" s="749"/>
      <c r="N592" s="749"/>
      <c r="O592" s="749"/>
      <c r="P592" s="749"/>
      <c r="Q592" s="749"/>
      <c r="R592" s="749"/>
      <c r="S592" s="749"/>
      <c r="T592" s="749"/>
      <c r="U592" s="749"/>
      <c r="V592" s="749"/>
      <c r="W592" s="749"/>
      <c r="X592" s="749"/>
      <c r="Y592" s="749"/>
      <c r="Z592" s="749"/>
      <c r="AA592" s="749"/>
      <c r="AB592" s="749"/>
      <c r="AC592" s="749"/>
      <c r="AD592" s="749"/>
    </row>
    <row r="593" spans="1:31" ht="15" customHeight="1">
      <c r="A593" s="96"/>
      <c r="B593" s="794" t="str">
        <f>IF(AND(AH583&gt;0,F592=""),"Debido a que seleccionó la col. Otro tipo debe anotar el nombre de dicho(s) tipo(s) de población adolescente","")</f>
        <v/>
      </c>
      <c r="C593" s="794"/>
      <c r="D593" s="794"/>
      <c r="E593" s="794"/>
      <c r="F593" s="794"/>
      <c r="G593" s="794"/>
      <c r="H593" s="794"/>
      <c r="I593" s="794"/>
      <c r="J593" s="794"/>
      <c r="K593" s="794"/>
      <c r="L593" s="794"/>
      <c r="M593" s="794"/>
      <c r="N593" s="794"/>
      <c r="O593" s="794"/>
      <c r="P593" s="794"/>
      <c r="Q593" s="794"/>
      <c r="R593" s="794"/>
      <c r="S593" s="794"/>
      <c r="T593" s="794"/>
      <c r="U593" s="794"/>
      <c r="V593" s="794"/>
      <c r="W593" s="794"/>
      <c r="X593" s="794"/>
      <c r="Y593" s="794"/>
      <c r="Z593" s="794"/>
      <c r="AA593" s="794"/>
      <c r="AB593" s="794"/>
      <c r="AC593" s="794"/>
      <c r="AD593" s="794"/>
      <c r="AE593" s="794"/>
    </row>
    <row r="594" spans="1:31" ht="24" customHeight="1">
      <c r="A594" s="96"/>
      <c r="B594" s="90"/>
      <c r="C594" s="754" t="s">
        <v>2611</v>
      </c>
      <c r="D594" s="754"/>
      <c r="E594" s="754"/>
      <c r="F594" s="754"/>
      <c r="G594" s="754"/>
      <c r="H594" s="754"/>
      <c r="I594" s="754"/>
      <c r="J594" s="754"/>
      <c r="K594" s="754"/>
      <c r="L594" s="754"/>
      <c r="M594" s="754"/>
      <c r="N594" s="754"/>
      <c r="O594" s="754"/>
      <c r="P594" s="754"/>
      <c r="Q594" s="754"/>
      <c r="R594" s="754"/>
      <c r="S594" s="754"/>
      <c r="T594" s="754"/>
      <c r="U594" s="754"/>
      <c r="V594" s="754"/>
      <c r="W594" s="754"/>
      <c r="X594" s="754"/>
      <c r="Y594" s="754"/>
      <c r="Z594" s="754"/>
      <c r="AA594" s="754"/>
      <c r="AB594" s="754"/>
      <c r="AC594" s="754"/>
      <c r="AD594" s="754"/>
    </row>
    <row r="595" spans="1:31" ht="60" customHeight="1">
      <c r="A595" s="96"/>
      <c r="B595" s="90"/>
      <c r="C595" s="851"/>
      <c r="D595" s="851"/>
      <c r="E595" s="851"/>
      <c r="F595" s="851"/>
      <c r="G595" s="851"/>
      <c r="H595" s="851"/>
      <c r="I595" s="851"/>
      <c r="J595" s="851"/>
      <c r="K595" s="851"/>
      <c r="L595" s="851"/>
      <c r="M595" s="851"/>
      <c r="N595" s="851"/>
      <c r="O595" s="851"/>
      <c r="P595" s="851"/>
      <c r="Q595" s="851"/>
      <c r="R595" s="851"/>
      <c r="S595" s="851"/>
      <c r="T595" s="851"/>
      <c r="U595" s="851"/>
      <c r="V595" s="851"/>
      <c r="W595" s="851"/>
      <c r="X595" s="851"/>
      <c r="Y595" s="851"/>
      <c r="Z595" s="851"/>
      <c r="AA595" s="851"/>
      <c r="AB595" s="851"/>
      <c r="AC595" s="851"/>
      <c r="AD595" s="851"/>
    </row>
    <row r="596" spans="1:31" ht="15" customHeight="1">
      <c r="A596" s="91"/>
      <c r="B596" s="794" t="str">
        <f>IF(AG591&gt;0,"Favor de ingresar toda la información requerida en la pregunta y/o verifique que no tenga información en celdas sombreadas","")</f>
        <v/>
      </c>
      <c r="C596" s="794"/>
      <c r="D596" s="794"/>
      <c r="E596" s="794"/>
      <c r="F596" s="794"/>
      <c r="G596" s="794"/>
      <c r="H596" s="794"/>
      <c r="I596" s="794"/>
      <c r="J596" s="794"/>
      <c r="K596" s="794"/>
      <c r="L596" s="794"/>
      <c r="M596" s="794"/>
      <c r="N596" s="794"/>
      <c r="O596" s="794"/>
      <c r="P596" s="794"/>
      <c r="Q596" s="794"/>
      <c r="R596" s="794"/>
      <c r="S596" s="794"/>
      <c r="T596" s="794"/>
      <c r="U596" s="794"/>
      <c r="V596" s="794"/>
      <c r="W596" s="794"/>
      <c r="X596" s="794"/>
      <c r="Y596" s="794"/>
      <c r="Z596" s="794"/>
      <c r="AA596" s="794"/>
      <c r="AB596" s="794"/>
      <c r="AC596" s="794"/>
      <c r="AD596" s="794"/>
    </row>
    <row r="597" spans="1:31" ht="15" customHeight="1">
      <c r="A597" s="91"/>
    </row>
    <row r="598" spans="1:31" ht="15" customHeight="1">
      <c r="A598" s="91"/>
    </row>
    <row r="599" spans="1:31" ht="15" customHeight="1">
      <c r="A599" s="91"/>
    </row>
    <row r="600" spans="1:31" ht="15" customHeight="1">
      <c r="A600" s="91"/>
    </row>
    <row r="601" spans="1:31" ht="15" customHeight="1" thickBot="1">
      <c r="A601" s="91"/>
    </row>
    <row r="602" spans="1:31" customFormat="1" ht="15" customHeight="1" thickBot="1">
      <c r="A602" s="153" t="s">
        <v>2563</v>
      </c>
      <c r="B602" s="831" t="s">
        <v>3004</v>
      </c>
      <c r="C602" s="832"/>
      <c r="D602" s="832"/>
      <c r="E602" s="832"/>
      <c r="F602" s="832"/>
      <c r="G602" s="832"/>
      <c r="H602" s="832"/>
      <c r="I602" s="832"/>
      <c r="J602" s="832"/>
      <c r="K602" s="832"/>
      <c r="L602" s="832"/>
      <c r="M602" s="832"/>
      <c r="N602" s="832"/>
      <c r="O602" s="832"/>
      <c r="P602" s="832"/>
      <c r="Q602" s="832"/>
      <c r="R602" s="832"/>
      <c r="S602" s="832"/>
      <c r="T602" s="832"/>
      <c r="U602" s="832"/>
      <c r="V602" s="832"/>
      <c r="W602" s="832"/>
      <c r="X602" s="832"/>
      <c r="Y602" s="832"/>
      <c r="Z602" s="832"/>
      <c r="AA602" s="832"/>
      <c r="AB602" s="832"/>
      <c r="AC602" s="832"/>
      <c r="AD602" s="833"/>
    </row>
    <row r="603" spans="1:31" ht="15" customHeight="1">
      <c r="A603" s="84"/>
      <c r="B603" s="834" t="s">
        <v>3005</v>
      </c>
      <c r="C603" s="835"/>
      <c r="D603" s="835"/>
      <c r="E603" s="835"/>
      <c r="F603" s="835"/>
      <c r="G603" s="835"/>
      <c r="H603" s="835"/>
      <c r="I603" s="835"/>
      <c r="J603" s="835"/>
      <c r="K603" s="835"/>
      <c r="L603" s="835"/>
      <c r="M603" s="835"/>
      <c r="N603" s="835"/>
      <c r="O603" s="835"/>
      <c r="P603" s="835"/>
      <c r="Q603" s="835"/>
      <c r="R603" s="835"/>
      <c r="S603" s="835"/>
      <c r="T603" s="835"/>
      <c r="U603" s="835"/>
      <c r="V603" s="835"/>
      <c r="W603" s="835"/>
      <c r="X603" s="835"/>
      <c r="Y603" s="835"/>
      <c r="Z603" s="835"/>
      <c r="AA603" s="835"/>
      <c r="AB603" s="835"/>
      <c r="AC603" s="835"/>
      <c r="AD603" s="836"/>
    </row>
    <row r="604" spans="1:31" ht="24" customHeight="1">
      <c r="A604" s="84"/>
      <c r="B604" s="85"/>
      <c r="C604" s="764" t="s">
        <v>3006</v>
      </c>
      <c r="D604" s="764"/>
      <c r="E604" s="764"/>
      <c r="F604" s="764"/>
      <c r="G604" s="764"/>
      <c r="H604" s="764"/>
      <c r="I604" s="764"/>
      <c r="J604" s="764"/>
      <c r="K604" s="764"/>
      <c r="L604" s="764"/>
      <c r="M604" s="764"/>
      <c r="N604" s="764"/>
      <c r="O604" s="764"/>
      <c r="P604" s="764"/>
      <c r="Q604" s="764"/>
      <c r="R604" s="764"/>
      <c r="S604" s="764"/>
      <c r="T604" s="764"/>
      <c r="U604" s="764"/>
      <c r="V604" s="764"/>
      <c r="W604" s="764"/>
      <c r="X604" s="764"/>
      <c r="Y604" s="764"/>
      <c r="Z604" s="764"/>
      <c r="AA604" s="764"/>
      <c r="AB604" s="764"/>
      <c r="AC604" s="764"/>
      <c r="AD604" s="837"/>
    </row>
    <row r="605" spans="1:31" ht="15" customHeight="1">
      <c r="A605" s="147"/>
      <c r="B605" s="838" t="s">
        <v>2565</v>
      </c>
      <c r="C605" s="839"/>
      <c r="D605" s="839"/>
      <c r="E605" s="839"/>
      <c r="F605" s="839"/>
      <c r="G605" s="839"/>
      <c r="H605" s="839"/>
      <c r="I605" s="839"/>
      <c r="J605" s="839"/>
      <c r="K605" s="839"/>
      <c r="L605" s="839"/>
      <c r="M605" s="839"/>
      <c r="N605" s="839"/>
      <c r="O605" s="839"/>
      <c r="P605" s="839"/>
      <c r="Q605" s="839"/>
      <c r="R605" s="839"/>
      <c r="S605" s="839"/>
      <c r="T605" s="839"/>
      <c r="U605" s="839"/>
      <c r="V605" s="839"/>
      <c r="W605" s="839"/>
      <c r="X605" s="839"/>
      <c r="Y605" s="839"/>
      <c r="Z605" s="839"/>
      <c r="AA605" s="839"/>
      <c r="AB605" s="839"/>
      <c r="AC605" s="839"/>
      <c r="AD605" s="840"/>
    </row>
    <row r="606" spans="1:31" ht="36" customHeight="1">
      <c r="A606" s="94"/>
      <c r="B606" s="76"/>
      <c r="C606" s="754" t="s">
        <v>3007</v>
      </c>
      <c r="D606" s="754"/>
      <c r="E606" s="754"/>
      <c r="F606" s="754"/>
      <c r="G606" s="754"/>
      <c r="H606" s="754"/>
      <c r="I606" s="754"/>
      <c r="J606" s="754"/>
      <c r="K606" s="754"/>
      <c r="L606" s="754"/>
      <c r="M606" s="754"/>
      <c r="N606" s="754"/>
      <c r="O606" s="754"/>
      <c r="P606" s="754"/>
      <c r="Q606" s="754"/>
      <c r="R606" s="754"/>
      <c r="S606" s="754"/>
      <c r="T606" s="754"/>
      <c r="U606" s="754"/>
      <c r="V606" s="754"/>
      <c r="W606" s="754"/>
      <c r="X606" s="754"/>
      <c r="Y606" s="754"/>
      <c r="Z606" s="754"/>
      <c r="AA606" s="754"/>
      <c r="AB606" s="754"/>
      <c r="AC606" s="754"/>
      <c r="AD606" s="755"/>
    </row>
    <row r="607" spans="1:31" ht="36" customHeight="1">
      <c r="A607" s="94"/>
      <c r="B607" s="80"/>
      <c r="C607" s="764" t="s">
        <v>3008</v>
      </c>
      <c r="D607" s="764"/>
      <c r="E607" s="764"/>
      <c r="F607" s="764"/>
      <c r="G607" s="764"/>
      <c r="H607" s="764"/>
      <c r="I607" s="764"/>
      <c r="J607" s="764"/>
      <c r="K607" s="764"/>
      <c r="L607" s="764"/>
      <c r="M607" s="764"/>
      <c r="N607" s="764"/>
      <c r="O607" s="764"/>
      <c r="P607" s="764"/>
      <c r="Q607" s="764"/>
      <c r="R607" s="764"/>
      <c r="S607" s="764"/>
      <c r="T607" s="764"/>
      <c r="U607" s="764"/>
      <c r="V607" s="764"/>
      <c r="W607" s="764"/>
      <c r="X607" s="764"/>
      <c r="Y607" s="764"/>
      <c r="Z607" s="764"/>
      <c r="AA607" s="764"/>
      <c r="AB607" s="764"/>
      <c r="AC607" s="764"/>
      <c r="AD607" s="765"/>
    </row>
    <row r="608" spans="1:31" ht="15" customHeight="1">
      <c r="A608" s="84"/>
      <c r="B608" s="57"/>
      <c r="C608" s="75"/>
      <c r="D608" s="86"/>
      <c r="E608" s="86"/>
      <c r="F608" s="86"/>
      <c r="G608" s="86"/>
      <c r="H608" s="86"/>
      <c r="I608" s="86"/>
      <c r="J608" s="86"/>
      <c r="K608" s="86"/>
      <c r="L608" s="86"/>
      <c r="M608" s="86"/>
      <c r="N608" s="86"/>
      <c r="O608" s="86"/>
      <c r="P608" s="86"/>
      <c r="Q608" s="86"/>
      <c r="R608" s="86"/>
      <c r="S608" s="86"/>
      <c r="T608" s="86"/>
      <c r="U608" s="86"/>
      <c r="V608" s="86"/>
      <c r="W608" s="86"/>
      <c r="X608" s="86"/>
      <c r="Y608" s="86"/>
      <c r="Z608" s="86"/>
      <c r="AA608" s="86"/>
      <c r="AB608" s="86"/>
      <c r="AC608" s="86"/>
      <c r="AD608" s="86"/>
    </row>
    <row r="609" spans="1:40" ht="36" customHeight="1">
      <c r="A609" s="49" t="s">
        <v>3009</v>
      </c>
      <c r="B609" s="829" t="s">
        <v>3010</v>
      </c>
      <c r="C609" s="829"/>
      <c r="D609" s="829"/>
      <c r="E609" s="829"/>
      <c r="F609" s="829"/>
      <c r="G609" s="829"/>
      <c r="H609" s="829"/>
      <c r="I609" s="829"/>
      <c r="J609" s="829"/>
      <c r="K609" s="829"/>
      <c r="L609" s="829"/>
      <c r="M609" s="829"/>
      <c r="N609" s="829"/>
      <c r="O609" s="829"/>
      <c r="P609" s="829"/>
      <c r="Q609" s="829"/>
      <c r="R609" s="829"/>
      <c r="S609" s="829"/>
      <c r="T609" s="829"/>
      <c r="U609" s="829"/>
      <c r="V609" s="829"/>
      <c r="W609" s="829"/>
      <c r="X609" s="829"/>
      <c r="Y609" s="829"/>
      <c r="Z609" s="829"/>
      <c r="AA609" s="829"/>
      <c r="AB609" s="829"/>
      <c r="AC609" s="829"/>
      <c r="AD609" s="829"/>
    </row>
    <row r="610" spans="1:40" ht="15" customHeight="1">
      <c r="A610" s="49"/>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c r="AA610" s="38"/>
      <c r="AB610" s="38"/>
      <c r="AC610" s="38"/>
      <c r="AD610" s="38"/>
    </row>
    <row r="611" spans="1:40" ht="15" customHeight="1">
      <c r="A611" s="49"/>
      <c r="B611" s="38"/>
      <c r="C611" s="732" t="s">
        <v>2581</v>
      </c>
      <c r="D611" s="732"/>
      <c r="E611" s="732"/>
      <c r="F611" s="732"/>
      <c r="G611" s="732"/>
      <c r="H611" s="732"/>
      <c r="I611" s="847" t="s">
        <v>3011</v>
      </c>
      <c r="J611" s="848"/>
      <c r="K611" s="847" t="s">
        <v>3012</v>
      </c>
      <c r="L611" s="848"/>
      <c r="M611" s="847" t="s">
        <v>3013</v>
      </c>
      <c r="N611" s="848"/>
      <c r="O611" s="739" t="s">
        <v>3014</v>
      </c>
      <c r="P611" s="740"/>
      <c r="Q611" s="740"/>
      <c r="R611" s="740"/>
      <c r="S611" s="740"/>
      <c r="T611" s="741"/>
      <c r="U611" s="739" t="s">
        <v>3015</v>
      </c>
      <c r="V611" s="740"/>
      <c r="W611" s="740"/>
      <c r="X611" s="740"/>
      <c r="Y611" s="740"/>
      <c r="Z611" s="740"/>
      <c r="AA611" s="797" t="s">
        <v>3016</v>
      </c>
      <c r="AB611" s="798"/>
      <c r="AC611" s="798"/>
      <c r="AD611" s="799"/>
    </row>
    <row r="612" spans="1:40" ht="96" customHeight="1">
      <c r="A612" s="49"/>
      <c r="B612" s="38"/>
      <c r="C612" s="732"/>
      <c r="D612" s="732"/>
      <c r="E612" s="732"/>
      <c r="F612" s="732"/>
      <c r="G612" s="732"/>
      <c r="H612" s="732"/>
      <c r="I612" s="849"/>
      <c r="J612" s="850"/>
      <c r="K612" s="849"/>
      <c r="L612" s="850"/>
      <c r="M612" s="849"/>
      <c r="N612" s="850"/>
      <c r="O612" s="732" t="s">
        <v>2628</v>
      </c>
      <c r="P612" s="732"/>
      <c r="Q612" s="857" t="s">
        <v>3017</v>
      </c>
      <c r="R612" s="857"/>
      <c r="S612" s="858" t="s">
        <v>3018</v>
      </c>
      <c r="T612" s="860"/>
      <c r="U612" s="739" t="s">
        <v>2628</v>
      </c>
      <c r="V612" s="741"/>
      <c r="W612" s="858" t="s">
        <v>3019</v>
      </c>
      <c r="X612" s="860"/>
      <c r="Y612" s="858" t="s">
        <v>3020</v>
      </c>
      <c r="Z612" s="860"/>
      <c r="AA612" s="803"/>
      <c r="AB612" s="804"/>
      <c r="AC612" s="804"/>
      <c r="AD612" s="805"/>
      <c r="AG612" s="247" t="s">
        <v>2586</v>
      </c>
      <c r="AH612" s="263" t="s">
        <v>2637</v>
      </c>
      <c r="AI612" s="264" t="s">
        <v>2638</v>
      </c>
      <c r="AJ612" s="265" t="s">
        <v>2639</v>
      </c>
      <c r="AK612" s="263" t="s">
        <v>2640</v>
      </c>
      <c r="AL612" s="264" t="s">
        <v>2641</v>
      </c>
      <c r="AM612" s="265" t="s">
        <v>2642</v>
      </c>
      <c r="AN612" s="310" t="s">
        <v>2590</v>
      </c>
    </row>
    <row r="613" spans="1:40" ht="15" customHeight="1">
      <c r="A613" s="49"/>
      <c r="B613" s="38"/>
      <c r="C613" s="97" t="s">
        <v>2516</v>
      </c>
      <c r="D613" s="813" t="str">
        <f>IF(CNSIPEE_2024_M2_Secc1!D42="","",CNSIPEE_2024_M2_Secc1!D42)</f>
        <v/>
      </c>
      <c r="E613" s="814"/>
      <c r="F613" s="814"/>
      <c r="G613" s="814"/>
      <c r="H613" s="815"/>
      <c r="I613" s="816"/>
      <c r="J613" s="817"/>
      <c r="K613" s="816"/>
      <c r="L613" s="817"/>
      <c r="M613" s="816"/>
      <c r="N613" s="817"/>
      <c r="O613" s="816"/>
      <c r="P613" s="817"/>
      <c r="Q613" s="816"/>
      <c r="R613" s="817"/>
      <c r="S613" s="816"/>
      <c r="T613" s="817"/>
      <c r="U613" s="816"/>
      <c r="V613" s="817"/>
      <c r="W613" s="816"/>
      <c r="X613" s="817"/>
      <c r="Y613" s="816"/>
      <c r="Z613" s="817"/>
      <c r="AA613" s="816"/>
      <c r="AB613" s="738"/>
      <c r="AC613" s="738"/>
      <c r="AD613" s="817"/>
      <c r="AG613" s="249">
        <f>IF(AND(COUNTBLANK(D613)=0,COUNTA(I613:AD613)=10),0,IF(AND(COUNTBLANK(D613)=1,COUNTA(I613:AD613)=0),0,1))</f>
        <v>0</v>
      </c>
      <c r="AH613" s="249">
        <f>COUNTIF(Q613:T613,"NS")</f>
        <v>0</v>
      </c>
      <c r="AI613" s="249">
        <f>SUM(Q613:T613)</f>
        <v>0</v>
      </c>
      <c r="AJ613" s="249">
        <f>IF(COUNTIF(O613:T613,"NA")=3,0,IF(COUNTA(O613:T613)=0,0,IF(OR(AND(O613=0,AH613&gt;0),AND(O613="ns",AI613&gt;0),AND(O613="ns",AH613=0,AI613=0)),1,IF(OR(AND(O613&gt;0,AH613=2),AND(O613="ns",AH613=2),AND(O613="ns",AI613=0,AH613&gt;0),O613=AI613),0,1))))</f>
        <v>0</v>
      </c>
      <c r="AK613" s="249">
        <f>COUNTIF(W613:Z613,"NS")</f>
        <v>0</v>
      </c>
      <c r="AL613" s="249">
        <f>SUM(W613:Z613)</f>
        <v>0</v>
      </c>
      <c r="AM613" s="249">
        <f>IF(COUNTIF(U613:Z613,"NA")=3,0,IF(COUNTA(U613:Z613)=0,0,IF(OR(AND(U613=0,AK613&gt;0),AND(U613="ns",AL613&gt;0),AND(U613="ns",AK613=0,AL613=0)),1,IF(OR(AND(U613&gt;0,AK613=2),AND(U613="ns",AK613=2),AND(U613="ns",AL613=0,AK613&gt;0),U613=AL613),0,1))))</f>
        <v>0</v>
      </c>
      <c r="AN613" s="253">
        <f>COUNTIF(I613:N613,"NS")</f>
        <v>0</v>
      </c>
    </row>
    <row r="614" spans="1:40" ht="15" customHeight="1">
      <c r="A614" s="49"/>
      <c r="B614" s="38"/>
      <c r="C614" s="98" t="s">
        <v>2517</v>
      </c>
      <c r="D614" s="813" t="str">
        <f>IF(CNSIPEE_2024_M2_Secc1!D43="","",CNSIPEE_2024_M2_Secc1!D43)</f>
        <v/>
      </c>
      <c r="E614" s="814"/>
      <c r="F614" s="814"/>
      <c r="G614" s="814"/>
      <c r="H614" s="815"/>
      <c r="I614" s="816"/>
      <c r="J614" s="817"/>
      <c r="K614" s="816"/>
      <c r="L614" s="817"/>
      <c r="M614" s="816"/>
      <c r="N614" s="817"/>
      <c r="O614" s="816"/>
      <c r="P614" s="817"/>
      <c r="Q614" s="816"/>
      <c r="R614" s="817"/>
      <c r="S614" s="816"/>
      <c r="T614" s="817"/>
      <c r="U614" s="816"/>
      <c r="V614" s="817"/>
      <c r="W614" s="816"/>
      <c r="X614" s="817"/>
      <c r="Y614" s="816"/>
      <c r="Z614" s="817"/>
      <c r="AA614" s="816"/>
      <c r="AB614" s="738"/>
      <c r="AC614" s="738"/>
      <c r="AD614" s="817"/>
      <c r="AG614" s="249">
        <f t="shared" ref="AG614:AG620" si="157">IF(AND(COUNTBLANK(D614)=0,COUNTA(I614:AD614)=10),0,IF(AND(COUNTBLANK(D614)=1,COUNTA(I614:AD614)=0),0,1))</f>
        <v>0</v>
      </c>
      <c r="AH614" s="249">
        <f t="shared" ref="AH614:AH620" si="158">COUNTIF(Q614:T614,"NS")</f>
        <v>0</v>
      </c>
      <c r="AI614" s="249">
        <f t="shared" ref="AI614:AI620" si="159">SUM(Q614:T614)</f>
        <v>0</v>
      </c>
      <c r="AJ614" s="249">
        <f t="shared" ref="AJ614:AJ620" si="160">IF(COUNTIF(O614:T614,"NA")=3,0,IF(COUNTA(O614:T614)=0,0,IF(OR(AND(O614=0,AH614&gt;0),AND(O614="ns",AI614&gt;0),AND(O614="ns",AH614=0,AI614=0)),1,IF(OR(AND(O614&gt;0,AH614=2),AND(O614="ns",AH614=2),AND(O614="ns",AI614=0,AH614&gt;0),O614=AI614),0,1))))</f>
        <v>0</v>
      </c>
      <c r="AK614" s="249">
        <f t="shared" ref="AK614:AK620" si="161">COUNTIF(W614:Z614,"NS")</f>
        <v>0</v>
      </c>
      <c r="AL614" s="249">
        <f t="shared" ref="AL614:AL620" si="162">SUM(W614:Z614)</f>
        <v>0</v>
      </c>
      <c r="AM614" s="249">
        <f t="shared" ref="AM614:AM620" si="163">IF(COUNTIF(U614:Z614,"NA")=3,0,IF(COUNTA(U614:Z614)=0,0,IF(OR(AND(U614=0,AK614&gt;0),AND(U614="ns",AL614&gt;0),AND(U614="ns",AK614=0,AL614=0)),1,IF(OR(AND(U614&gt;0,AK614=2),AND(U614="ns",AK614=2),AND(U614="ns",AL614=0,AK614&gt;0),U614=AL614),0,1))))</f>
        <v>0</v>
      </c>
      <c r="AN614" s="253">
        <f t="shared" ref="AN614:AN620" si="164">COUNTIF(I614:N614,"NS")</f>
        <v>0</v>
      </c>
    </row>
    <row r="615" spans="1:40" ht="15" customHeight="1">
      <c r="A615" s="49"/>
      <c r="B615" s="38"/>
      <c r="C615" s="98" t="s">
        <v>2518</v>
      </c>
      <c r="D615" s="813" t="str">
        <f>IF(CNSIPEE_2024_M2_Secc1!D44="","",CNSIPEE_2024_M2_Secc1!D44)</f>
        <v/>
      </c>
      <c r="E615" s="814"/>
      <c r="F615" s="814"/>
      <c r="G615" s="814"/>
      <c r="H615" s="815"/>
      <c r="I615" s="816"/>
      <c r="J615" s="817"/>
      <c r="K615" s="816"/>
      <c r="L615" s="817"/>
      <c r="M615" s="816"/>
      <c r="N615" s="817"/>
      <c r="O615" s="816"/>
      <c r="P615" s="817"/>
      <c r="Q615" s="816"/>
      <c r="R615" s="817"/>
      <c r="S615" s="816"/>
      <c r="T615" s="817"/>
      <c r="U615" s="816"/>
      <c r="V615" s="817"/>
      <c r="W615" s="816"/>
      <c r="X615" s="817"/>
      <c r="Y615" s="816"/>
      <c r="Z615" s="817"/>
      <c r="AA615" s="816"/>
      <c r="AB615" s="738"/>
      <c r="AC615" s="738"/>
      <c r="AD615" s="817"/>
      <c r="AG615" s="249">
        <f t="shared" si="157"/>
        <v>0</v>
      </c>
      <c r="AH615" s="249">
        <f t="shared" si="158"/>
        <v>0</v>
      </c>
      <c r="AI615" s="249">
        <f t="shared" si="159"/>
        <v>0</v>
      </c>
      <c r="AJ615" s="249">
        <f t="shared" si="160"/>
        <v>0</v>
      </c>
      <c r="AK615" s="249">
        <f t="shared" si="161"/>
        <v>0</v>
      </c>
      <c r="AL615" s="249">
        <f t="shared" si="162"/>
        <v>0</v>
      </c>
      <c r="AM615" s="249">
        <f t="shared" si="163"/>
        <v>0</v>
      </c>
      <c r="AN615" s="253">
        <f t="shared" si="164"/>
        <v>0</v>
      </c>
    </row>
    <row r="616" spans="1:40" ht="15" customHeight="1">
      <c r="A616" s="49"/>
      <c r="B616" s="38"/>
      <c r="C616" s="98" t="s">
        <v>2519</v>
      </c>
      <c r="D616" s="813" t="str">
        <f>IF(CNSIPEE_2024_M2_Secc1!D45="","",CNSIPEE_2024_M2_Secc1!D45)</f>
        <v/>
      </c>
      <c r="E616" s="814"/>
      <c r="F616" s="814"/>
      <c r="G616" s="814"/>
      <c r="H616" s="815"/>
      <c r="I616" s="816"/>
      <c r="J616" s="817"/>
      <c r="K616" s="816"/>
      <c r="L616" s="817"/>
      <c r="M616" s="816"/>
      <c r="N616" s="817"/>
      <c r="O616" s="816"/>
      <c r="P616" s="817"/>
      <c r="Q616" s="816"/>
      <c r="R616" s="817"/>
      <c r="S616" s="816"/>
      <c r="T616" s="817"/>
      <c r="U616" s="816"/>
      <c r="V616" s="817"/>
      <c r="W616" s="816"/>
      <c r="X616" s="817"/>
      <c r="Y616" s="816"/>
      <c r="Z616" s="817"/>
      <c r="AA616" s="816"/>
      <c r="AB616" s="738"/>
      <c r="AC616" s="738"/>
      <c r="AD616" s="817"/>
      <c r="AG616" s="249">
        <f t="shared" si="157"/>
        <v>0</v>
      </c>
      <c r="AH616" s="249">
        <f t="shared" si="158"/>
        <v>0</v>
      </c>
      <c r="AI616" s="249">
        <f t="shared" si="159"/>
        <v>0</v>
      </c>
      <c r="AJ616" s="249">
        <f t="shared" si="160"/>
        <v>0</v>
      </c>
      <c r="AK616" s="249">
        <f t="shared" si="161"/>
        <v>0</v>
      </c>
      <c r="AL616" s="249">
        <f t="shared" si="162"/>
        <v>0</v>
      </c>
      <c r="AM616" s="249">
        <f t="shared" si="163"/>
        <v>0</v>
      </c>
      <c r="AN616" s="253">
        <f t="shared" si="164"/>
        <v>0</v>
      </c>
    </row>
    <row r="617" spans="1:40" ht="15" customHeight="1">
      <c r="A617" s="49"/>
      <c r="B617" s="38"/>
      <c r="C617" s="98" t="s">
        <v>2520</v>
      </c>
      <c r="D617" s="813" t="str">
        <f>IF(CNSIPEE_2024_M2_Secc1!D46="","",CNSIPEE_2024_M2_Secc1!D46)</f>
        <v/>
      </c>
      <c r="E617" s="814"/>
      <c r="F617" s="814"/>
      <c r="G617" s="814"/>
      <c r="H617" s="815"/>
      <c r="I617" s="816"/>
      <c r="J617" s="817"/>
      <c r="K617" s="816"/>
      <c r="L617" s="817"/>
      <c r="M617" s="816"/>
      <c r="N617" s="817"/>
      <c r="O617" s="816"/>
      <c r="P617" s="817"/>
      <c r="Q617" s="816"/>
      <c r="R617" s="817"/>
      <c r="S617" s="816"/>
      <c r="T617" s="817"/>
      <c r="U617" s="816"/>
      <c r="V617" s="817"/>
      <c r="W617" s="816"/>
      <c r="X617" s="817"/>
      <c r="Y617" s="816"/>
      <c r="Z617" s="817"/>
      <c r="AA617" s="816"/>
      <c r="AB617" s="738"/>
      <c r="AC617" s="738"/>
      <c r="AD617" s="817"/>
      <c r="AG617" s="249">
        <f t="shared" si="157"/>
        <v>0</v>
      </c>
      <c r="AH617" s="249">
        <f t="shared" si="158"/>
        <v>0</v>
      </c>
      <c r="AI617" s="249">
        <f t="shared" si="159"/>
        <v>0</v>
      </c>
      <c r="AJ617" s="249">
        <f t="shared" si="160"/>
        <v>0</v>
      </c>
      <c r="AK617" s="249">
        <f t="shared" si="161"/>
        <v>0</v>
      </c>
      <c r="AL617" s="249">
        <f t="shared" si="162"/>
        <v>0</v>
      </c>
      <c r="AM617" s="249">
        <f t="shared" si="163"/>
        <v>0</v>
      </c>
      <c r="AN617" s="253">
        <f t="shared" si="164"/>
        <v>0</v>
      </c>
    </row>
    <row r="618" spans="1:40" ht="15" customHeight="1">
      <c r="A618" s="49"/>
      <c r="B618" s="38"/>
      <c r="C618" s="98" t="s">
        <v>2521</v>
      </c>
      <c r="D618" s="813" t="str">
        <f>IF(CNSIPEE_2024_M2_Secc1!D47="","",CNSIPEE_2024_M2_Secc1!D47)</f>
        <v/>
      </c>
      <c r="E618" s="814"/>
      <c r="F618" s="814"/>
      <c r="G618" s="814"/>
      <c r="H618" s="815"/>
      <c r="I618" s="816"/>
      <c r="J618" s="817"/>
      <c r="K618" s="816"/>
      <c r="L618" s="817"/>
      <c r="M618" s="816"/>
      <c r="N618" s="817"/>
      <c r="O618" s="816"/>
      <c r="P618" s="817"/>
      <c r="Q618" s="816"/>
      <c r="R618" s="817"/>
      <c r="S618" s="816"/>
      <c r="T618" s="817"/>
      <c r="U618" s="816"/>
      <c r="V618" s="817"/>
      <c r="W618" s="816"/>
      <c r="X618" s="817"/>
      <c r="Y618" s="816"/>
      <c r="Z618" s="817"/>
      <c r="AA618" s="816"/>
      <c r="AB618" s="738"/>
      <c r="AC618" s="738"/>
      <c r="AD618" s="817"/>
      <c r="AG618" s="249">
        <f t="shared" si="157"/>
        <v>0</v>
      </c>
      <c r="AH618" s="249">
        <f t="shared" si="158"/>
        <v>0</v>
      </c>
      <c r="AI618" s="249">
        <f t="shared" si="159"/>
        <v>0</v>
      </c>
      <c r="AJ618" s="249">
        <f t="shared" si="160"/>
        <v>0</v>
      </c>
      <c r="AK618" s="249">
        <f t="shared" si="161"/>
        <v>0</v>
      </c>
      <c r="AL618" s="249">
        <f t="shared" si="162"/>
        <v>0</v>
      </c>
      <c r="AM618" s="249">
        <f t="shared" si="163"/>
        <v>0</v>
      </c>
      <c r="AN618" s="253">
        <f t="shared" si="164"/>
        <v>0</v>
      </c>
    </row>
    <row r="619" spans="1:40" ht="15" customHeight="1">
      <c r="A619" s="49"/>
      <c r="B619" s="38"/>
      <c r="C619" s="98" t="s">
        <v>2522</v>
      </c>
      <c r="D619" s="813" t="str">
        <f>IF(CNSIPEE_2024_M2_Secc1!D48="","",CNSIPEE_2024_M2_Secc1!D48)</f>
        <v/>
      </c>
      <c r="E619" s="814"/>
      <c r="F619" s="814"/>
      <c r="G619" s="814"/>
      <c r="H619" s="815"/>
      <c r="I619" s="816"/>
      <c r="J619" s="817"/>
      <c r="K619" s="816"/>
      <c r="L619" s="817"/>
      <c r="M619" s="816"/>
      <c r="N619" s="817"/>
      <c r="O619" s="816"/>
      <c r="P619" s="817"/>
      <c r="Q619" s="816"/>
      <c r="R619" s="817"/>
      <c r="S619" s="816"/>
      <c r="T619" s="817"/>
      <c r="U619" s="816"/>
      <c r="V619" s="817"/>
      <c r="W619" s="816"/>
      <c r="X619" s="817"/>
      <c r="Y619" s="816"/>
      <c r="Z619" s="817"/>
      <c r="AA619" s="816"/>
      <c r="AB619" s="738"/>
      <c r="AC619" s="738"/>
      <c r="AD619" s="817"/>
      <c r="AG619" s="249">
        <f t="shared" si="157"/>
        <v>0</v>
      </c>
      <c r="AH619" s="249">
        <f t="shared" si="158"/>
        <v>0</v>
      </c>
      <c r="AI619" s="249">
        <f t="shared" si="159"/>
        <v>0</v>
      </c>
      <c r="AJ619" s="249">
        <f t="shared" si="160"/>
        <v>0</v>
      </c>
      <c r="AK619" s="249">
        <f t="shared" si="161"/>
        <v>0</v>
      </c>
      <c r="AL619" s="249">
        <f t="shared" si="162"/>
        <v>0</v>
      </c>
      <c r="AM619" s="249">
        <f t="shared" si="163"/>
        <v>0</v>
      </c>
      <c r="AN619" s="253">
        <f t="shared" si="164"/>
        <v>0</v>
      </c>
    </row>
    <row r="620" spans="1:40" ht="15" customHeight="1">
      <c r="A620" s="49"/>
      <c r="B620" s="38"/>
      <c r="C620" s="98" t="s">
        <v>2523</v>
      </c>
      <c r="D620" s="813" t="str">
        <f>IF(CNSIPEE_2024_M2_Secc1!D49="","",CNSIPEE_2024_M2_Secc1!D49)</f>
        <v/>
      </c>
      <c r="E620" s="814"/>
      <c r="F620" s="814"/>
      <c r="G620" s="814"/>
      <c r="H620" s="815"/>
      <c r="I620" s="816"/>
      <c r="J620" s="817"/>
      <c r="K620" s="816"/>
      <c r="L620" s="817"/>
      <c r="M620" s="816"/>
      <c r="N620" s="817"/>
      <c r="O620" s="816"/>
      <c r="P620" s="817"/>
      <c r="Q620" s="816"/>
      <c r="R620" s="817"/>
      <c r="S620" s="816"/>
      <c r="T620" s="817"/>
      <c r="U620" s="816"/>
      <c r="V620" s="817"/>
      <c r="W620" s="816"/>
      <c r="X620" s="817"/>
      <c r="Y620" s="816"/>
      <c r="Z620" s="817"/>
      <c r="AA620" s="816"/>
      <c r="AB620" s="738"/>
      <c r="AC620" s="738"/>
      <c r="AD620" s="817"/>
      <c r="AG620" s="249">
        <f t="shared" si="157"/>
        <v>0</v>
      </c>
      <c r="AH620" s="249">
        <f t="shared" si="158"/>
        <v>0</v>
      </c>
      <c r="AI620" s="249">
        <f t="shared" si="159"/>
        <v>0</v>
      </c>
      <c r="AJ620" s="249">
        <f t="shared" si="160"/>
        <v>0</v>
      </c>
      <c r="AK620" s="249">
        <f t="shared" si="161"/>
        <v>0</v>
      </c>
      <c r="AL620" s="249">
        <f t="shared" si="162"/>
        <v>0</v>
      </c>
      <c r="AM620" s="249">
        <f t="shared" si="163"/>
        <v>0</v>
      </c>
      <c r="AN620" s="253">
        <f t="shared" si="164"/>
        <v>0</v>
      </c>
    </row>
    <row r="621" spans="1:40" ht="15" customHeight="1">
      <c r="A621" s="49"/>
      <c r="B621" s="38"/>
      <c r="C621" s="38"/>
      <c r="D621" s="38"/>
      <c r="E621" s="38"/>
      <c r="F621" s="38"/>
      <c r="G621" s="38"/>
      <c r="H621" s="117" t="s">
        <v>2649</v>
      </c>
      <c r="I621" s="733">
        <f>IF(AND(SUM(I613:J620)=0,COUNTIF(I613:J620,"NS")&gt;0),"NS",
IF(AND(SUM(I613:J620)=0,COUNTIF(I613:J620,0)&gt;0),0,
IF(AND(SUM(I613:J620)=0,COUNTIF(I613:J620,"NA")&gt;0),"NA",
SUM(I613:J620))))</f>
        <v>0</v>
      </c>
      <c r="J621" s="735"/>
      <c r="K621" s="733">
        <f t="shared" ref="K621" si="165">IF(AND(SUM(K613:L620)=0,COUNTIF(K613:L620,"NS")&gt;0),"NS",
IF(AND(SUM(K613:L620)=0,COUNTIF(K613:L620,0)&gt;0),0,
IF(AND(SUM(K613:L620)=0,COUNTIF(K613:L620,"NA")&gt;0),"NA",
SUM(K613:L620))))</f>
        <v>0</v>
      </c>
      <c r="L621" s="735"/>
      <c r="M621" s="733">
        <f t="shared" ref="M621" si="166">IF(AND(SUM(M613:N620)=0,COUNTIF(M613:N620,"NS")&gt;0),"NS",
IF(AND(SUM(M613:N620)=0,COUNTIF(M613:N620,0)&gt;0),0,
IF(AND(SUM(M613:N620)=0,COUNTIF(M613:N620,"NA")&gt;0),"NA",
SUM(M613:N620))))</f>
        <v>0</v>
      </c>
      <c r="N621" s="735"/>
      <c r="O621" s="733">
        <f t="shared" ref="O621" si="167">IF(AND(SUM(O613:P620)=0,COUNTIF(O613:P620,"NS")&gt;0),"NS",
IF(AND(SUM(O613:P620)=0,COUNTIF(O613:P620,0)&gt;0),0,
IF(AND(SUM(O613:P620)=0,COUNTIF(O613:P620,"NA")&gt;0),"NA",
SUM(O613:P620))))</f>
        <v>0</v>
      </c>
      <c r="P621" s="735"/>
      <c r="Q621" s="733">
        <f t="shared" ref="Q621" si="168">IF(AND(SUM(Q613:R620)=0,COUNTIF(Q613:R620,"NS")&gt;0),"NS",
IF(AND(SUM(Q613:R620)=0,COUNTIF(Q613:R620,0)&gt;0),0,
IF(AND(SUM(Q613:R620)=0,COUNTIF(Q613:R620,"NA")&gt;0),"NA",
SUM(Q613:R620))))</f>
        <v>0</v>
      </c>
      <c r="R621" s="735"/>
      <c r="S621" s="733">
        <f t="shared" ref="S621" si="169">IF(AND(SUM(S613:T620)=0,COUNTIF(S613:T620,"NS")&gt;0),"NS",
IF(AND(SUM(S613:T620)=0,COUNTIF(S613:T620,0)&gt;0),0,
IF(AND(SUM(S613:T620)=0,COUNTIF(S613:T620,"NA")&gt;0),"NA",
SUM(S613:T620))))</f>
        <v>0</v>
      </c>
      <c r="T621" s="735"/>
      <c r="U621" s="733">
        <f t="shared" ref="U621" si="170">IF(AND(SUM(U613:V620)=0,COUNTIF(U613:V620,"NS")&gt;0),"NS",
IF(AND(SUM(U613:V620)=0,COUNTIF(U613:V620,0)&gt;0),0,
IF(AND(SUM(U613:V620)=0,COUNTIF(U613:V620,"NA")&gt;0),"NA",
SUM(U613:V620))))</f>
        <v>0</v>
      </c>
      <c r="V621" s="735"/>
      <c r="W621" s="733">
        <f t="shared" ref="W621" si="171">IF(AND(SUM(W613:X620)=0,COUNTIF(W613:X620,"NS")&gt;0),"NS",
IF(AND(SUM(W613:X620)=0,COUNTIF(W613:X620,0)&gt;0),0,
IF(AND(SUM(W613:X620)=0,COUNTIF(W613:X620,"NA")&gt;0),"NA",
SUM(W613:X620))))</f>
        <v>0</v>
      </c>
      <c r="X621" s="735"/>
      <c r="Y621" s="733">
        <f t="shared" ref="Y621" si="172">IF(AND(SUM(Y613:Z620)=0,COUNTIF(Y613:Z620,"NS")&gt;0),"NS",
IF(AND(SUM(Y613:Z620)=0,COUNTIF(Y613:Z620,0)&gt;0),0,
IF(AND(SUM(Y613:Z620)=0,COUNTIF(Y613:Z620,"NA")&gt;0),"NA",
SUM(Y613:Z620))))</f>
        <v>0</v>
      </c>
      <c r="Z621" s="735"/>
      <c r="AA621" s="51"/>
      <c r="AB621" s="51"/>
      <c r="AC621" s="51"/>
      <c r="AD621" s="51"/>
      <c r="AG621" s="247">
        <f>SUM(AG613:AG620)</f>
        <v>0</v>
      </c>
      <c r="AH621" s="263">
        <f>SUM(AH613:AH620)</f>
        <v>0</v>
      </c>
      <c r="AI621" s="249"/>
      <c r="AJ621" s="265">
        <f>SUM(AJ613:AJ620)</f>
        <v>0</v>
      </c>
      <c r="AK621" s="263">
        <f>SUM(AK613:AK620)</f>
        <v>0</v>
      </c>
      <c r="AL621" s="249"/>
      <c r="AM621" s="265">
        <f>SUM(AM613:AM620)</f>
        <v>0</v>
      </c>
      <c r="AN621" s="251">
        <f>SUM(AN613:AN620)</f>
        <v>0</v>
      </c>
    </row>
    <row r="622" spans="1:40">
      <c r="A622" s="94"/>
    </row>
    <row r="623" spans="1:40" ht="24" customHeight="1">
      <c r="A623" s="96"/>
      <c r="B623" s="90"/>
      <c r="C623" s="754" t="s">
        <v>2611</v>
      </c>
      <c r="D623" s="754"/>
      <c r="E623" s="754"/>
      <c r="F623" s="754"/>
      <c r="G623" s="754"/>
      <c r="H623" s="754"/>
      <c r="I623" s="754"/>
      <c r="J623" s="754"/>
      <c r="K623" s="754"/>
      <c r="L623" s="754"/>
      <c r="M623" s="754"/>
      <c r="N623" s="754"/>
      <c r="O623" s="754"/>
      <c r="P623" s="754"/>
      <c r="Q623" s="754"/>
      <c r="R623" s="754"/>
      <c r="S623" s="754"/>
      <c r="T623" s="754"/>
      <c r="U623" s="754"/>
      <c r="V623" s="754"/>
      <c r="W623" s="754"/>
      <c r="X623" s="754"/>
      <c r="Y623" s="754"/>
      <c r="Z623" s="754"/>
      <c r="AA623" s="754"/>
      <c r="AB623" s="754"/>
      <c r="AC623" s="754"/>
      <c r="AD623" s="754"/>
      <c r="AJ623" s="266" t="s">
        <v>2650</v>
      </c>
      <c r="AK623" s="249">
        <f>SUM(AJ621,AM621)</f>
        <v>0</v>
      </c>
      <c r="AL623" s="266" t="s">
        <v>2651</v>
      </c>
      <c r="AM623" s="249">
        <f>SUM(AH621,AK621,AN621)</f>
        <v>0</v>
      </c>
    </row>
    <row r="624" spans="1:40" ht="60" customHeight="1">
      <c r="A624" s="96"/>
      <c r="B624" s="90"/>
      <c r="C624" s="851"/>
      <c r="D624" s="851"/>
      <c r="E624" s="851"/>
      <c r="F624" s="851"/>
      <c r="G624" s="851"/>
      <c r="H624" s="851"/>
      <c r="I624" s="851"/>
      <c r="J624" s="851"/>
      <c r="K624" s="851"/>
      <c r="L624" s="851"/>
      <c r="M624" s="851"/>
      <c r="N624" s="851"/>
      <c r="O624" s="851"/>
      <c r="P624" s="851"/>
      <c r="Q624" s="851"/>
      <c r="R624" s="851"/>
      <c r="S624" s="851"/>
      <c r="T624" s="851"/>
      <c r="U624" s="851"/>
      <c r="V624" s="851"/>
      <c r="W624" s="851"/>
      <c r="X624" s="851"/>
      <c r="Y624" s="851"/>
      <c r="Z624" s="851"/>
      <c r="AA624" s="851"/>
      <c r="AB624" s="851"/>
      <c r="AC624" s="851"/>
      <c r="AD624" s="851"/>
    </row>
    <row r="625" spans="2:30" ht="15" customHeight="1">
      <c r="B625" s="794" t="str">
        <f>IF(AG621&gt;0,"Favor de ingresar toda la información requerida en la pregunta ","")</f>
        <v/>
      </c>
      <c r="C625" s="794"/>
      <c r="D625" s="794"/>
      <c r="E625" s="794"/>
      <c r="F625" s="794"/>
      <c r="G625" s="794"/>
      <c r="H625" s="794"/>
      <c r="I625" s="794"/>
      <c r="J625" s="794"/>
      <c r="K625" s="794"/>
      <c r="L625" s="794"/>
      <c r="M625" s="794"/>
      <c r="N625" s="794"/>
      <c r="O625" s="794"/>
      <c r="P625" s="794"/>
      <c r="Q625" s="794"/>
      <c r="R625" s="794"/>
      <c r="S625" s="794"/>
      <c r="T625" s="794"/>
      <c r="U625" s="794"/>
      <c r="V625" s="794"/>
      <c r="W625" s="794"/>
      <c r="X625" s="794"/>
      <c r="Y625" s="794"/>
      <c r="Z625" s="794"/>
      <c r="AA625" s="794"/>
      <c r="AB625" s="794"/>
      <c r="AC625" s="794"/>
      <c r="AD625" s="794"/>
    </row>
    <row r="626" spans="2:30" ht="15" customHeight="1">
      <c r="B626" s="795" t="str">
        <f>IF(AM623&gt;0,"Alerta: debido a que cuenta con registros NS, debe proporcionar una justificación en el area de comentarios al final de la pregunta","")</f>
        <v/>
      </c>
      <c r="C626" s="795"/>
      <c r="D626" s="795"/>
      <c r="E626" s="795"/>
      <c r="F626" s="795"/>
      <c r="G626" s="795"/>
      <c r="H626" s="795"/>
      <c r="I626" s="795"/>
      <c r="J626" s="795"/>
      <c r="K626" s="795"/>
      <c r="L626" s="795"/>
      <c r="M626" s="795"/>
      <c r="N626" s="795"/>
      <c r="O626" s="795"/>
      <c r="P626" s="795"/>
      <c r="Q626" s="795"/>
      <c r="R626" s="795"/>
      <c r="S626" s="795"/>
      <c r="T626" s="795"/>
      <c r="U626" s="795"/>
      <c r="V626" s="795"/>
      <c r="W626" s="795"/>
      <c r="X626" s="795"/>
      <c r="Y626" s="795"/>
      <c r="Z626" s="795"/>
      <c r="AA626" s="795"/>
      <c r="AB626" s="795"/>
      <c r="AC626" s="795"/>
      <c r="AD626" s="795"/>
    </row>
    <row r="627" spans="2:30" ht="15" customHeight="1">
      <c r="B627" s="794" t="str">
        <f>IF(AK623&gt;0,"Favor de revisar la suma y consistencia de totales y/o subtotales por filas (numéricos y NS)","")</f>
        <v/>
      </c>
      <c r="C627" s="794"/>
      <c r="D627" s="794"/>
      <c r="E627" s="794"/>
      <c r="F627" s="794"/>
      <c r="G627" s="794"/>
      <c r="H627" s="794"/>
      <c r="I627" s="794"/>
      <c r="J627" s="794"/>
      <c r="K627" s="794"/>
      <c r="L627" s="794"/>
      <c r="M627" s="794"/>
      <c r="N627" s="794"/>
      <c r="O627" s="794"/>
      <c r="P627" s="794"/>
      <c r="Q627" s="794"/>
      <c r="R627" s="794"/>
      <c r="S627" s="794"/>
      <c r="T627" s="794"/>
      <c r="U627" s="794"/>
      <c r="V627" s="794"/>
      <c r="W627" s="794"/>
      <c r="X627" s="794"/>
      <c r="Y627" s="794"/>
      <c r="Z627" s="794"/>
      <c r="AA627" s="794"/>
      <c r="AB627" s="794"/>
      <c r="AC627" s="794"/>
      <c r="AD627" s="794"/>
    </row>
    <row r="628" spans="2:30" ht="15" customHeight="1">
      <c r="B628"/>
      <c r="C628"/>
      <c r="D628"/>
      <c r="E628"/>
      <c r="F628"/>
      <c r="G628"/>
      <c r="H628"/>
      <c r="I628"/>
      <c r="J628"/>
      <c r="K628"/>
      <c r="L628"/>
      <c r="M628"/>
      <c r="N628"/>
      <c r="O628"/>
      <c r="P628"/>
      <c r="Q628"/>
      <c r="R628"/>
      <c r="S628"/>
      <c r="T628"/>
      <c r="U628"/>
      <c r="V628"/>
      <c r="W628"/>
      <c r="X628"/>
      <c r="Y628"/>
      <c r="Z628"/>
      <c r="AA628"/>
      <c r="AB628"/>
      <c r="AC628"/>
      <c r="AD628"/>
    </row>
    <row r="629" spans="2:30" ht="15" customHeight="1">
      <c r="B629"/>
      <c r="C629"/>
      <c r="D629"/>
      <c r="E629"/>
      <c r="F629"/>
      <c r="G629"/>
      <c r="H629"/>
      <c r="I629"/>
      <c r="J629"/>
      <c r="K629"/>
      <c r="L629"/>
      <c r="M629"/>
      <c r="N629"/>
      <c r="O629"/>
      <c r="P629"/>
      <c r="Q629"/>
      <c r="R629"/>
      <c r="S629"/>
      <c r="T629"/>
      <c r="U629"/>
      <c r="V629"/>
      <c r="W629"/>
      <c r="X629"/>
      <c r="Y629"/>
      <c r="Z629"/>
      <c r="AA629"/>
      <c r="AB629"/>
      <c r="AC629"/>
      <c r="AD629"/>
    </row>
    <row r="630" spans="2:30" ht="15" customHeight="1">
      <c r="B630"/>
      <c r="C630"/>
      <c r="D630"/>
      <c r="E630"/>
      <c r="F630"/>
      <c r="G630"/>
      <c r="H630"/>
      <c r="I630"/>
      <c r="J630"/>
      <c r="K630"/>
      <c r="L630"/>
      <c r="M630"/>
      <c r="N630"/>
      <c r="O630"/>
      <c r="P630"/>
      <c r="Q630"/>
      <c r="R630"/>
      <c r="S630"/>
      <c r="T630"/>
      <c r="U630"/>
      <c r="V630"/>
      <c r="W630"/>
      <c r="X630"/>
      <c r="Y630"/>
      <c r="Z630"/>
      <c r="AA630"/>
      <c r="AB630"/>
      <c r="AC630"/>
      <c r="AD630"/>
    </row>
  </sheetData>
  <sheetProtection algorithmName="SHA-512" hashValue="FI6mWYkDD4yL3Au2C6n2AuKxMMi7ok9IonB2Kuh7s/eDhCvt8sXDewnFemZZxDdB408CcNRfJgooWTehHaeNAw==" saltValue="Hws76nBvxDdyWrPQ16ifaQ==" spinCount="100000" sheet="1" objects="1" scenarios="1"/>
  <mergeCells count="1146">
    <mergeCell ref="AN189:AQ189"/>
    <mergeCell ref="B203:AD203"/>
    <mergeCell ref="B204:AD204"/>
    <mergeCell ref="B228:AE228"/>
    <mergeCell ref="B238:AD238"/>
    <mergeCell ref="B239:AE239"/>
    <mergeCell ref="AO43:AO44"/>
    <mergeCell ref="AP43:AP44"/>
    <mergeCell ref="B54:AE54"/>
    <mergeCell ref="B56:AE56"/>
    <mergeCell ref="B67:AD67"/>
    <mergeCell ref="B68:AD68"/>
    <mergeCell ref="B69:AD69"/>
    <mergeCell ref="B70:AD70"/>
    <mergeCell ref="B92:AD92"/>
    <mergeCell ref="B93:AD93"/>
    <mergeCell ref="B94:AD94"/>
    <mergeCell ref="B95:AE95"/>
    <mergeCell ref="B117:AD117"/>
    <mergeCell ref="B118:AD118"/>
    <mergeCell ref="B119:AD119"/>
    <mergeCell ref="B158:AE158"/>
    <mergeCell ref="B176:AD176"/>
    <mergeCell ref="Y85:AD85"/>
    <mergeCell ref="D86:R86"/>
    <mergeCell ref="S86:X86"/>
    <mergeCell ref="Y86:AD86"/>
    <mergeCell ref="D84:R84"/>
    <mergeCell ref="S84:X84"/>
    <mergeCell ref="Y84:AD84"/>
    <mergeCell ref="K47:L47"/>
    <mergeCell ref="Y47:AD47"/>
    <mergeCell ref="AA265:AD265"/>
    <mergeCell ref="C266:L269"/>
    <mergeCell ref="M266:AD266"/>
    <mergeCell ref="M267:AD267"/>
    <mergeCell ref="M268:O268"/>
    <mergeCell ref="P268:R268"/>
    <mergeCell ref="S268:U268"/>
    <mergeCell ref="V268:X268"/>
    <mergeCell ref="Y268:AA268"/>
    <mergeCell ref="AB268:AD268"/>
    <mergeCell ref="D270:L270"/>
    <mergeCell ref="D271:L271"/>
    <mergeCell ref="D272:L272"/>
    <mergeCell ref="AA250:AD250"/>
    <mergeCell ref="M47:R47"/>
    <mergeCell ref="S47:X47"/>
    <mergeCell ref="D63:P63"/>
    <mergeCell ref="S63:AD63"/>
    <mergeCell ref="C65:AD65"/>
    <mergeCell ref="C66:AD66"/>
    <mergeCell ref="D60:P60"/>
    <mergeCell ref="C245:AD245"/>
    <mergeCell ref="D87:R87"/>
    <mergeCell ref="S87:X87"/>
    <mergeCell ref="Y87:AD87"/>
    <mergeCell ref="D88:R88"/>
    <mergeCell ref="S88:X88"/>
    <mergeCell ref="Y88:AD88"/>
    <mergeCell ref="D85:R85"/>
    <mergeCell ref="S85:X85"/>
    <mergeCell ref="Y48:AD48"/>
    <mergeCell ref="D47:J47"/>
    <mergeCell ref="K619:L619"/>
    <mergeCell ref="M619:N619"/>
    <mergeCell ref="O619:P619"/>
    <mergeCell ref="Q619:R619"/>
    <mergeCell ref="U619:V619"/>
    <mergeCell ref="W619:X619"/>
    <mergeCell ref="B575:AD575"/>
    <mergeCell ref="C576:AD576"/>
    <mergeCell ref="S585:U585"/>
    <mergeCell ref="C577:AD577"/>
    <mergeCell ref="C578:AD578"/>
    <mergeCell ref="C579:AD579"/>
    <mergeCell ref="D587:N587"/>
    <mergeCell ref="O587:R587"/>
    <mergeCell ref="O612:P612"/>
    <mergeCell ref="Q612:R612"/>
    <mergeCell ref="C280:E280"/>
    <mergeCell ref="F280:AD280"/>
    <mergeCell ref="S586:U586"/>
    <mergeCell ref="K611:L612"/>
    <mergeCell ref="D299:L299"/>
    <mergeCell ref="Y619:Z619"/>
    <mergeCell ref="D618:H618"/>
    <mergeCell ref="I618:J618"/>
    <mergeCell ref="AA618:AD618"/>
    <mergeCell ref="D619:H619"/>
    <mergeCell ref="I619:J619"/>
    <mergeCell ref="AA619:AD619"/>
    <mergeCell ref="C611:H612"/>
    <mergeCell ref="I611:J612"/>
    <mergeCell ref="C408:AD408"/>
    <mergeCell ref="U618:V618"/>
    <mergeCell ref="D585:N585"/>
    <mergeCell ref="AA299:AB299"/>
    <mergeCell ref="M299:R299"/>
    <mergeCell ref="S299:T299"/>
    <mergeCell ref="U299:V299"/>
    <mergeCell ref="W299:X299"/>
    <mergeCell ref="D302:L302"/>
    <mergeCell ref="M302:R302"/>
    <mergeCell ref="Y618:Z618"/>
    <mergeCell ref="K618:L618"/>
    <mergeCell ref="M618:N618"/>
    <mergeCell ref="O618:P618"/>
    <mergeCell ref="Q618:R618"/>
    <mergeCell ref="S618:T618"/>
    <mergeCell ref="S302:T302"/>
    <mergeCell ref="C329:AD329"/>
    <mergeCell ref="C323:AD323"/>
    <mergeCell ref="C327:AD327"/>
    <mergeCell ref="B317:AD317"/>
    <mergeCell ref="C318:AD318"/>
    <mergeCell ref="B320:AD320"/>
    <mergeCell ref="C321:AD321"/>
    <mergeCell ref="C322:AD322"/>
    <mergeCell ref="C306:G306"/>
    <mergeCell ref="U302:V302"/>
    <mergeCell ref="W302:X302"/>
    <mergeCell ref="Y302:Z302"/>
    <mergeCell ref="AA302:AB302"/>
    <mergeCell ref="Y301:Z301"/>
    <mergeCell ref="AA301:AB301"/>
    <mergeCell ref="AC301:AD301"/>
    <mergeCell ref="D300:L300"/>
    <mergeCell ref="S619:T619"/>
    <mergeCell ref="Y82:AD82"/>
    <mergeCell ref="C75:AD75"/>
    <mergeCell ref="C76:AD76"/>
    <mergeCell ref="AA78:AD78"/>
    <mergeCell ref="C80:R80"/>
    <mergeCell ref="S80:X80"/>
    <mergeCell ref="Y80:AD80"/>
    <mergeCell ref="D62:P62"/>
    <mergeCell ref="S62:AD62"/>
    <mergeCell ref="G53:AD53"/>
    <mergeCell ref="C55:F55"/>
    <mergeCell ref="G55:AD55"/>
    <mergeCell ref="D83:R83"/>
    <mergeCell ref="S83:X83"/>
    <mergeCell ref="W296:X296"/>
    <mergeCell ref="Y296:Z296"/>
    <mergeCell ref="AA296:AB296"/>
    <mergeCell ref="C74:AD74"/>
    <mergeCell ref="C324:AD324"/>
    <mergeCell ref="C325:AD325"/>
    <mergeCell ref="C57:P57"/>
    <mergeCell ref="S612:T612"/>
    <mergeCell ref="U612:V612"/>
    <mergeCell ref="W612:X612"/>
    <mergeCell ref="Y612:Z612"/>
    <mergeCell ref="D586:N586"/>
    <mergeCell ref="O586:R586"/>
    <mergeCell ref="W618:X618"/>
    <mergeCell ref="V586:X586"/>
    <mergeCell ref="Y586:AA586"/>
    <mergeCell ref="AB586:AD586"/>
    <mergeCell ref="I621:J621"/>
    <mergeCell ref="C623:AD623"/>
    <mergeCell ref="C624:AD624"/>
    <mergeCell ref="K620:L620"/>
    <mergeCell ref="M620:N620"/>
    <mergeCell ref="O620:P620"/>
    <mergeCell ref="Q620:R620"/>
    <mergeCell ref="S620:T620"/>
    <mergeCell ref="U620:V620"/>
    <mergeCell ref="W620:X620"/>
    <mergeCell ref="Y620:Z620"/>
    <mergeCell ref="K621:L621"/>
    <mergeCell ref="M621:N621"/>
    <mergeCell ref="O621:P621"/>
    <mergeCell ref="Q621:R621"/>
    <mergeCell ref="S621:T621"/>
    <mergeCell ref="U621:V621"/>
    <mergeCell ref="W621:X621"/>
    <mergeCell ref="Y621:Z621"/>
    <mergeCell ref="D620:H620"/>
    <mergeCell ref="I620:J620"/>
    <mergeCell ref="AA620:AD620"/>
    <mergeCell ref="S295:AD295"/>
    <mergeCell ref="S296:T296"/>
    <mergeCell ref="U296:V296"/>
    <mergeCell ref="D49:J49"/>
    <mergeCell ref="K49:L49"/>
    <mergeCell ref="M49:R49"/>
    <mergeCell ref="S49:X49"/>
    <mergeCell ref="Y83:AD83"/>
    <mergeCell ref="Y49:AD49"/>
    <mergeCell ref="D48:J48"/>
    <mergeCell ref="K48:L48"/>
    <mergeCell ref="M48:R48"/>
    <mergeCell ref="S48:X48"/>
    <mergeCell ref="R57:AD57"/>
    <mergeCell ref="D58:P58"/>
    <mergeCell ref="S58:AD58"/>
    <mergeCell ref="D59:P59"/>
    <mergeCell ref="S59:AD59"/>
    <mergeCell ref="C51:F51"/>
    <mergeCell ref="C53:F53"/>
    <mergeCell ref="D81:R81"/>
    <mergeCell ref="S81:X81"/>
    <mergeCell ref="Y81:AD81"/>
    <mergeCell ref="D82:R82"/>
    <mergeCell ref="S82:X82"/>
    <mergeCell ref="C90:AD90"/>
    <mergeCell ref="C91:AD91"/>
    <mergeCell ref="D273:L273"/>
    <mergeCell ref="D274:L274"/>
    <mergeCell ref="D275:L275"/>
    <mergeCell ref="D276:L276"/>
    <mergeCell ref="D277:L277"/>
    <mergeCell ref="C35:AD35"/>
    <mergeCell ref="C36:AD36"/>
    <mergeCell ref="AA39:AD39"/>
    <mergeCell ref="C41:J41"/>
    <mergeCell ref="K41:L41"/>
    <mergeCell ref="M41:R41"/>
    <mergeCell ref="S41:X41"/>
    <mergeCell ref="Y41:AD41"/>
    <mergeCell ref="D45:J45"/>
    <mergeCell ref="D30:AD30"/>
    <mergeCell ref="B32:AD32"/>
    <mergeCell ref="C34:AD34"/>
    <mergeCell ref="D42:J42"/>
    <mergeCell ref="K42:L42"/>
    <mergeCell ref="M42:R42"/>
    <mergeCell ref="S42:X42"/>
    <mergeCell ref="Y42:AD42"/>
    <mergeCell ref="C33:AD33"/>
    <mergeCell ref="K45:L45"/>
    <mergeCell ref="M45:R45"/>
    <mergeCell ref="S45:X45"/>
    <mergeCell ref="Y45:AD45"/>
    <mergeCell ref="D44:J44"/>
    <mergeCell ref="K44:L44"/>
    <mergeCell ref="M44:R44"/>
    <mergeCell ref="Y44:AD44"/>
    <mergeCell ref="D43:J43"/>
    <mergeCell ref="C37:AD37"/>
    <mergeCell ref="K43:L43"/>
    <mergeCell ref="M43:R43"/>
    <mergeCell ref="S43:X43"/>
    <mergeCell ref="Y43:AD43"/>
    <mergeCell ref="B1:AD1"/>
    <mergeCell ref="B3:AD3"/>
    <mergeCell ref="B5:AD5"/>
    <mergeCell ref="AA7:AD7"/>
    <mergeCell ref="B8:L8"/>
    <mergeCell ref="N8:O8"/>
    <mergeCell ref="C25:AD25"/>
    <mergeCell ref="C26:AD26"/>
    <mergeCell ref="D27:AD27"/>
    <mergeCell ref="D28:AD28"/>
    <mergeCell ref="D29:AD29"/>
    <mergeCell ref="B23:AD23"/>
    <mergeCell ref="B22:AD22"/>
    <mergeCell ref="C24:AD24"/>
    <mergeCell ref="C15:AD15"/>
    <mergeCell ref="C16:AD16"/>
    <mergeCell ref="C17:AD17"/>
    <mergeCell ref="B10:AD10"/>
    <mergeCell ref="C11:AD11"/>
    <mergeCell ref="C12:AD12"/>
    <mergeCell ref="C13:AD13"/>
    <mergeCell ref="C14:AD14"/>
    <mergeCell ref="C18:AD18"/>
    <mergeCell ref="S44:X44"/>
    <mergeCell ref="S60:AD60"/>
    <mergeCell ref="D61:P61"/>
    <mergeCell ref="S61:AD61"/>
    <mergeCell ref="D46:J46"/>
    <mergeCell ref="K46:L46"/>
    <mergeCell ref="M46:R46"/>
    <mergeCell ref="S46:X46"/>
    <mergeCell ref="Y46:AD46"/>
    <mergeCell ref="B123:AD123"/>
    <mergeCell ref="B124:AD124"/>
    <mergeCell ref="C125:AD125"/>
    <mergeCell ref="C126:AD126"/>
    <mergeCell ref="B128:AD128"/>
    <mergeCell ref="D110:N110"/>
    <mergeCell ref="B98:AD98"/>
    <mergeCell ref="D111:N111"/>
    <mergeCell ref="D112:N112"/>
    <mergeCell ref="C115:AD115"/>
    <mergeCell ref="C116:AD116"/>
    <mergeCell ref="D105:N105"/>
    <mergeCell ref="D106:N106"/>
    <mergeCell ref="D107:N107"/>
    <mergeCell ref="D108:N108"/>
    <mergeCell ref="D109:N109"/>
    <mergeCell ref="C102:N104"/>
    <mergeCell ref="O102:AD102"/>
    <mergeCell ref="O103:O104"/>
    <mergeCell ref="P103:P104"/>
    <mergeCell ref="Q103:Q104"/>
    <mergeCell ref="R103:R104"/>
    <mergeCell ref="S103:V103"/>
    <mergeCell ref="W103:Z103"/>
    <mergeCell ref="AA103:AD103"/>
    <mergeCell ref="C99:AD99"/>
    <mergeCell ref="C100:AD100"/>
    <mergeCell ref="D139:K139"/>
    <mergeCell ref="L139:Q139"/>
    <mergeCell ref="D140:K140"/>
    <mergeCell ref="L140:Q140"/>
    <mergeCell ref="D141:K141"/>
    <mergeCell ref="L141:Q141"/>
    <mergeCell ref="D136:K136"/>
    <mergeCell ref="L136:Q136"/>
    <mergeCell ref="D137:K137"/>
    <mergeCell ref="L137:Q137"/>
    <mergeCell ref="D138:K138"/>
    <mergeCell ref="L138:Q138"/>
    <mergeCell ref="C129:AD129"/>
    <mergeCell ref="C130:AD130"/>
    <mergeCell ref="C131:AD131"/>
    <mergeCell ref="AA133:AD133"/>
    <mergeCell ref="C134:K135"/>
    <mergeCell ref="L134:Q135"/>
    <mergeCell ref="R134:AD134"/>
    <mergeCell ref="C157:F157"/>
    <mergeCell ref="G157:AD157"/>
    <mergeCell ref="C159:AD159"/>
    <mergeCell ref="D160:P160"/>
    <mergeCell ref="R160:AD160"/>
    <mergeCell ref="D151:Q151"/>
    <mergeCell ref="D152:Q152"/>
    <mergeCell ref="D153:Q153"/>
    <mergeCell ref="D154:Q154"/>
    <mergeCell ref="D155:Q155"/>
    <mergeCell ref="C146:Q147"/>
    <mergeCell ref="R146:AD146"/>
    <mergeCell ref="D148:Q148"/>
    <mergeCell ref="D149:Q149"/>
    <mergeCell ref="D150:Q150"/>
    <mergeCell ref="D142:K142"/>
    <mergeCell ref="L142:Q142"/>
    <mergeCell ref="D143:K143"/>
    <mergeCell ref="L143:Q143"/>
    <mergeCell ref="AA145:AD145"/>
    <mergeCell ref="D167:P167"/>
    <mergeCell ref="R167:AD167"/>
    <mergeCell ref="D168:P168"/>
    <mergeCell ref="R168:AD168"/>
    <mergeCell ref="D169:P169"/>
    <mergeCell ref="R169:AD169"/>
    <mergeCell ref="D164:P164"/>
    <mergeCell ref="R164:AD164"/>
    <mergeCell ref="D165:P165"/>
    <mergeCell ref="R165:AD165"/>
    <mergeCell ref="D166:P166"/>
    <mergeCell ref="R166:AD166"/>
    <mergeCell ref="D161:P161"/>
    <mergeCell ref="R161:AD161"/>
    <mergeCell ref="D162:P162"/>
    <mergeCell ref="R162:AD162"/>
    <mergeCell ref="D163:P163"/>
    <mergeCell ref="R163:AD163"/>
    <mergeCell ref="C185:AD185"/>
    <mergeCell ref="C186:AD186"/>
    <mergeCell ref="C187:AD187"/>
    <mergeCell ref="C189:N190"/>
    <mergeCell ref="O189:AD189"/>
    <mergeCell ref="O190:R190"/>
    <mergeCell ref="S190:V190"/>
    <mergeCell ref="W190:Z190"/>
    <mergeCell ref="AA190:AD190"/>
    <mergeCell ref="C174:AD174"/>
    <mergeCell ref="C175:AD175"/>
    <mergeCell ref="B182:AD182"/>
    <mergeCell ref="C183:AD183"/>
    <mergeCell ref="C184:AD184"/>
    <mergeCell ref="D170:P170"/>
    <mergeCell ref="R170:AD170"/>
    <mergeCell ref="D171:P171"/>
    <mergeCell ref="R171:AD171"/>
    <mergeCell ref="D172:P172"/>
    <mergeCell ref="R172:AD172"/>
    <mergeCell ref="D194:N194"/>
    <mergeCell ref="O194:R194"/>
    <mergeCell ref="S194:V194"/>
    <mergeCell ref="W194:Z194"/>
    <mergeCell ref="AA194:AD194"/>
    <mergeCell ref="D193:N193"/>
    <mergeCell ref="O193:R193"/>
    <mergeCell ref="S193:V193"/>
    <mergeCell ref="W193:Z193"/>
    <mergeCell ref="AA193:AD193"/>
    <mergeCell ref="D192:N192"/>
    <mergeCell ref="O192:R192"/>
    <mergeCell ref="S192:V192"/>
    <mergeCell ref="W192:Z192"/>
    <mergeCell ref="AA192:AD192"/>
    <mergeCell ref="D191:N191"/>
    <mergeCell ref="O191:R191"/>
    <mergeCell ref="S191:V191"/>
    <mergeCell ref="W191:Z191"/>
    <mergeCell ref="AA191:AD191"/>
    <mergeCell ref="D198:N198"/>
    <mergeCell ref="O198:R198"/>
    <mergeCell ref="S198:V198"/>
    <mergeCell ref="W198:Z198"/>
    <mergeCell ref="AA198:AD198"/>
    <mergeCell ref="D197:N197"/>
    <mergeCell ref="O197:R197"/>
    <mergeCell ref="S197:V197"/>
    <mergeCell ref="W197:Z197"/>
    <mergeCell ref="AA197:AD197"/>
    <mergeCell ref="D196:N196"/>
    <mergeCell ref="O196:R196"/>
    <mergeCell ref="S196:V196"/>
    <mergeCell ref="W196:Z196"/>
    <mergeCell ref="AA196:AD196"/>
    <mergeCell ref="D195:N195"/>
    <mergeCell ref="O195:R195"/>
    <mergeCell ref="S195:V195"/>
    <mergeCell ref="W195:Z195"/>
    <mergeCell ref="AA195:AD195"/>
    <mergeCell ref="D218:N218"/>
    <mergeCell ref="O218:T218"/>
    <mergeCell ref="D219:N219"/>
    <mergeCell ref="O219:T219"/>
    <mergeCell ref="D220:N220"/>
    <mergeCell ref="O220:T220"/>
    <mergeCell ref="C213:AD213"/>
    <mergeCell ref="C214:AD214"/>
    <mergeCell ref="C216:N217"/>
    <mergeCell ref="O216:T217"/>
    <mergeCell ref="U216:AD216"/>
    <mergeCell ref="C202:AD202"/>
    <mergeCell ref="B209:AD209"/>
    <mergeCell ref="C210:AD210"/>
    <mergeCell ref="C211:AD211"/>
    <mergeCell ref="C212:AD212"/>
    <mergeCell ref="O199:R199"/>
    <mergeCell ref="S199:V199"/>
    <mergeCell ref="W199:Z199"/>
    <mergeCell ref="AA199:AD199"/>
    <mergeCell ref="C201:AD201"/>
    <mergeCell ref="C229:AD229"/>
    <mergeCell ref="D230:P230"/>
    <mergeCell ref="R230:AD230"/>
    <mergeCell ref="D231:P231"/>
    <mergeCell ref="R231:AD231"/>
    <mergeCell ref="D224:N224"/>
    <mergeCell ref="O224:T224"/>
    <mergeCell ref="D225:N225"/>
    <mergeCell ref="O225:T225"/>
    <mergeCell ref="C227:F227"/>
    <mergeCell ref="G227:AD227"/>
    <mergeCell ref="C236:AD236"/>
    <mergeCell ref="C237:AD237"/>
    <mergeCell ref="D221:N221"/>
    <mergeCell ref="O221:T221"/>
    <mergeCell ref="D222:N222"/>
    <mergeCell ref="O222:T222"/>
    <mergeCell ref="D223:N223"/>
    <mergeCell ref="O223:T223"/>
    <mergeCell ref="S253:U253"/>
    <mergeCell ref="V253:X253"/>
    <mergeCell ref="Y253:AA253"/>
    <mergeCell ref="AB253:AD253"/>
    <mergeCell ref="Y297:Z297"/>
    <mergeCell ref="B244:AD244"/>
    <mergeCell ref="D232:P232"/>
    <mergeCell ref="R232:AD232"/>
    <mergeCell ref="D233:P233"/>
    <mergeCell ref="R233:AD233"/>
    <mergeCell ref="D234:P234"/>
    <mergeCell ref="R234:AD234"/>
    <mergeCell ref="AC296:AD296"/>
    <mergeCell ref="W297:X297"/>
    <mergeCell ref="AC299:AD299"/>
    <mergeCell ref="Y299:Z299"/>
    <mergeCell ref="B290:AD290"/>
    <mergeCell ref="C291:AD291"/>
    <mergeCell ref="C292:AD292"/>
    <mergeCell ref="C293:AD293"/>
    <mergeCell ref="C246:AD246"/>
    <mergeCell ref="C247:AD247"/>
    <mergeCell ref="C248:AD248"/>
    <mergeCell ref="S252:AD252"/>
    <mergeCell ref="P251:AD251"/>
    <mergeCell ref="P252:P254"/>
    <mergeCell ref="Q252:Q254"/>
    <mergeCell ref="R252:R254"/>
    <mergeCell ref="C251:O254"/>
    <mergeCell ref="D255:O255"/>
    <mergeCell ref="C295:L296"/>
    <mergeCell ref="M295:R296"/>
    <mergeCell ref="M300:R300"/>
    <mergeCell ref="S300:T300"/>
    <mergeCell ref="U300:V300"/>
    <mergeCell ref="W300:X300"/>
    <mergeCell ref="Y300:Z300"/>
    <mergeCell ref="AA300:AB300"/>
    <mergeCell ref="AC300:AD300"/>
    <mergeCell ref="C347:AD347"/>
    <mergeCell ref="C348:E348"/>
    <mergeCell ref="F348:AD348"/>
    <mergeCell ref="F349:AD349"/>
    <mergeCell ref="F350:AD350"/>
    <mergeCell ref="F359:AD359"/>
    <mergeCell ref="C351:E351"/>
    <mergeCell ref="C352:D353"/>
    <mergeCell ref="C349:E349"/>
    <mergeCell ref="C350:E350"/>
    <mergeCell ref="AC302:AD302"/>
    <mergeCell ref="D301:L301"/>
    <mergeCell ref="M301:R301"/>
    <mergeCell ref="S301:T301"/>
    <mergeCell ref="U301:V301"/>
    <mergeCell ref="W301:X301"/>
    <mergeCell ref="C326:AD326"/>
    <mergeCell ref="Y303:Z303"/>
    <mergeCell ref="AA303:AB303"/>
    <mergeCell ref="AC303:AD303"/>
    <mergeCell ref="D304:L304"/>
    <mergeCell ref="M304:R304"/>
    <mergeCell ref="S304:T304"/>
    <mergeCell ref="U304:V304"/>
    <mergeCell ref="W304:X304"/>
    <mergeCell ref="U379:V379"/>
    <mergeCell ref="W379:X379"/>
    <mergeCell ref="Y379:Z379"/>
    <mergeCell ref="AA379:AB379"/>
    <mergeCell ref="AC379:AD379"/>
    <mergeCell ref="D379:H379"/>
    <mergeCell ref="I379:N379"/>
    <mergeCell ref="O379:P379"/>
    <mergeCell ref="Q379:R379"/>
    <mergeCell ref="S379:T379"/>
    <mergeCell ref="C328:AD328"/>
    <mergeCell ref="H306:AD306"/>
    <mergeCell ref="C308:AD308"/>
    <mergeCell ref="C309:AD309"/>
    <mergeCell ref="B316:AD316"/>
    <mergeCell ref="B372:AD372"/>
    <mergeCell ref="C373:AD373"/>
    <mergeCell ref="C374:AD374"/>
    <mergeCell ref="C375:AD375"/>
    <mergeCell ref="C377:H378"/>
    <mergeCell ref="I377:N378"/>
    <mergeCell ref="O377:AD377"/>
    <mergeCell ref="O378:P378"/>
    <mergeCell ref="Q378:R378"/>
    <mergeCell ref="S378:T378"/>
    <mergeCell ref="U378:V378"/>
    <mergeCell ref="W378:X378"/>
    <mergeCell ref="Y378:Z378"/>
    <mergeCell ref="AA378:AB378"/>
    <mergeCell ref="AC378:AD378"/>
    <mergeCell ref="C364:AD364"/>
    <mergeCell ref="C365:AD365"/>
    <mergeCell ref="F351:AD351"/>
    <mergeCell ref="U382:V382"/>
    <mergeCell ref="W382:X382"/>
    <mergeCell ref="Y382:Z382"/>
    <mergeCell ref="AA382:AB382"/>
    <mergeCell ref="AC382:AD382"/>
    <mergeCell ref="D382:H382"/>
    <mergeCell ref="I382:N382"/>
    <mergeCell ref="O382:P382"/>
    <mergeCell ref="Q382:R382"/>
    <mergeCell ref="S382:T382"/>
    <mergeCell ref="U381:V381"/>
    <mergeCell ref="W381:X381"/>
    <mergeCell ref="Y381:Z381"/>
    <mergeCell ref="AA381:AB381"/>
    <mergeCell ref="AC381:AD381"/>
    <mergeCell ref="D381:H381"/>
    <mergeCell ref="I381:N381"/>
    <mergeCell ref="O381:P381"/>
    <mergeCell ref="Q381:R381"/>
    <mergeCell ref="S381:T381"/>
    <mergeCell ref="F352:AD352"/>
    <mergeCell ref="U380:V380"/>
    <mergeCell ref="W380:X380"/>
    <mergeCell ref="Y380:Z380"/>
    <mergeCell ref="AA380:AB380"/>
    <mergeCell ref="AC380:AD380"/>
    <mergeCell ref="D380:H380"/>
    <mergeCell ref="I380:N380"/>
    <mergeCell ref="O380:P380"/>
    <mergeCell ref="Q380:R380"/>
    <mergeCell ref="S380:T380"/>
    <mergeCell ref="U384:V384"/>
    <mergeCell ref="W384:X384"/>
    <mergeCell ref="Y384:Z384"/>
    <mergeCell ref="AA384:AB384"/>
    <mergeCell ref="AC384:AD384"/>
    <mergeCell ref="D384:H384"/>
    <mergeCell ref="I384:N384"/>
    <mergeCell ref="O384:P384"/>
    <mergeCell ref="Q384:R384"/>
    <mergeCell ref="S384:T384"/>
    <mergeCell ref="U383:V383"/>
    <mergeCell ref="W383:X383"/>
    <mergeCell ref="Y383:Z383"/>
    <mergeCell ref="AA383:AB383"/>
    <mergeCell ref="AC383:AD383"/>
    <mergeCell ref="D383:H383"/>
    <mergeCell ref="I383:N383"/>
    <mergeCell ref="O383:P383"/>
    <mergeCell ref="Q383:R383"/>
    <mergeCell ref="S383:T383"/>
    <mergeCell ref="AA410:AD410"/>
    <mergeCell ref="B399:AD399"/>
    <mergeCell ref="C400:AD400"/>
    <mergeCell ref="C390:AD390"/>
    <mergeCell ref="C391:AD391"/>
    <mergeCell ref="B398:AD398"/>
    <mergeCell ref="U386:V386"/>
    <mergeCell ref="W386:X386"/>
    <mergeCell ref="Y386:Z386"/>
    <mergeCell ref="AA386:AB386"/>
    <mergeCell ref="AC386:AD386"/>
    <mergeCell ref="D386:H386"/>
    <mergeCell ref="I386:N386"/>
    <mergeCell ref="O386:P386"/>
    <mergeCell ref="Q386:R386"/>
    <mergeCell ref="S386:T386"/>
    <mergeCell ref="U385:V385"/>
    <mergeCell ref="W385:X385"/>
    <mergeCell ref="Y385:Z385"/>
    <mergeCell ref="AA385:AB385"/>
    <mergeCell ref="AC385:AD385"/>
    <mergeCell ref="D385:H385"/>
    <mergeCell ref="I385:N385"/>
    <mergeCell ref="O385:P385"/>
    <mergeCell ref="Q385:R385"/>
    <mergeCell ref="S385:T385"/>
    <mergeCell ref="B402:AD402"/>
    <mergeCell ref="C403:AD403"/>
    <mergeCell ref="C404:AD404"/>
    <mergeCell ref="C405:AD405"/>
    <mergeCell ref="C406:AD406"/>
    <mergeCell ref="C407:AD407"/>
    <mergeCell ref="D426:F426"/>
    <mergeCell ref="D427:F427"/>
    <mergeCell ref="D428:F428"/>
    <mergeCell ref="D429:F429"/>
    <mergeCell ref="D430:F430"/>
    <mergeCell ref="E420:F420"/>
    <mergeCell ref="AA422:AD422"/>
    <mergeCell ref="C423:F424"/>
    <mergeCell ref="G423:AD423"/>
    <mergeCell ref="D425:F425"/>
    <mergeCell ref="E415:F415"/>
    <mergeCell ref="E416:F416"/>
    <mergeCell ref="E417:F417"/>
    <mergeCell ref="E418:F418"/>
    <mergeCell ref="E419:F419"/>
    <mergeCell ref="C411:D412"/>
    <mergeCell ref="E411:F412"/>
    <mergeCell ref="G411:AD411"/>
    <mergeCell ref="E413:F413"/>
    <mergeCell ref="E414:F414"/>
    <mergeCell ref="D440:L440"/>
    <mergeCell ref="O440:AD440"/>
    <mergeCell ref="D441:L441"/>
    <mergeCell ref="O441:AD441"/>
    <mergeCell ref="D442:L442"/>
    <mergeCell ref="O442:AD442"/>
    <mergeCell ref="D437:L437"/>
    <mergeCell ref="O437:AD437"/>
    <mergeCell ref="D438:L438"/>
    <mergeCell ref="O438:AD438"/>
    <mergeCell ref="D439:L439"/>
    <mergeCell ref="O439:AD439"/>
    <mergeCell ref="D431:F431"/>
    <mergeCell ref="D432:F432"/>
    <mergeCell ref="C434:E434"/>
    <mergeCell ref="F434:AD434"/>
    <mergeCell ref="C436:L436"/>
    <mergeCell ref="N436:AD436"/>
    <mergeCell ref="D449:L449"/>
    <mergeCell ref="D450:L450"/>
    <mergeCell ref="D451:L451"/>
    <mergeCell ref="D452:L452"/>
    <mergeCell ref="D453:L453"/>
    <mergeCell ref="D446:L446"/>
    <mergeCell ref="O446:AD446"/>
    <mergeCell ref="D447:L447"/>
    <mergeCell ref="O447:AD447"/>
    <mergeCell ref="D448:L448"/>
    <mergeCell ref="O448:AD448"/>
    <mergeCell ref="D443:L443"/>
    <mergeCell ref="O443:AD443"/>
    <mergeCell ref="D444:L444"/>
    <mergeCell ref="O444:AD444"/>
    <mergeCell ref="D445:L445"/>
    <mergeCell ref="O445:AD445"/>
    <mergeCell ref="C476:N477"/>
    <mergeCell ref="O476:V476"/>
    <mergeCell ref="W476:AD476"/>
    <mergeCell ref="O477:R477"/>
    <mergeCell ref="S477:V477"/>
    <mergeCell ref="W477:Z477"/>
    <mergeCell ref="AA477:AD477"/>
    <mergeCell ref="D459:L459"/>
    <mergeCell ref="D460:L460"/>
    <mergeCell ref="C462:AD462"/>
    <mergeCell ref="C463:AD463"/>
    <mergeCell ref="B470:AD470"/>
    <mergeCell ref="C471:AD471"/>
    <mergeCell ref="C472:AD472"/>
    <mergeCell ref="C473:AD473"/>
    <mergeCell ref="C474:AD474"/>
    <mergeCell ref="D454:L454"/>
    <mergeCell ref="D455:L455"/>
    <mergeCell ref="D456:L456"/>
    <mergeCell ref="D457:L457"/>
    <mergeCell ref="D458:L458"/>
    <mergeCell ref="D481:N481"/>
    <mergeCell ref="O481:R481"/>
    <mergeCell ref="S481:V481"/>
    <mergeCell ref="W481:Z481"/>
    <mergeCell ref="AA481:AD481"/>
    <mergeCell ref="S479:V479"/>
    <mergeCell ref="W479:Z479"/>
    <mergeCell ref="AA479:AD479"/>
    <mergeCell ref="D480:N480"/>
    <mergeCell ref="O480:R480"/>
    <mergeCell ref="S480:V480"/>
    <mergeCell ref="W480:Z480"/>
    <mergeCell ref="AA480:AD480"/>
    <mergeCell ref="D479:N479"/>
    <mergeCell ref="O479:R479"/>
    <mergeCell ref="D478:N478"/>
    <mergeCell ref="O478:R478"/>
    <mergeCell ref="S478:V478"/>
    <mergeCell ref="W478:Z478"/>
    <mergeCell ref="AA478:AD478"/>
    <mergeCell ref="D485:N485"/>
    <mergeCell ref="O485:R485"/>
    <mergeCell ref="S485:V485"/>
    <mergeCell ref="W485:Z485"/>
    <mergeCell ref="AA485:AD485"/>
    <mergeCell ref="D483:N483"/>
    <mergeCell ref="O483:R483"/>
    <mergeCell ref="S483:V483"/>
    <mergeCell ref="W483:Z483"/>
    <mergeCell ref="AA483:AD483"/>
    <mergeCell ref="D482:N482"/>
    <mergeCell ref="O482:R482"/>
    <mergeCell ref="S482:V482"/>
    <mergeCell ref="W482:Z482"/>
    <mergeCell ref="AA482:AD482"/>
    <mergeCell ref="D484:N484"/>
    <mergeCell ref="O484:R484"/>
    <mergeCell ref="S484:V484"/>
    <mergeCell ref="W484:Z484"/>
    <mergeCell ref="AA484:AD484"/>
    <mergeCell ref="C515:AD515"/>
    <mergeCell ref="C517:H518"/>
    <mergeCell ref="I517:L518"/>
    <mergeCell ref="M517:AD517"/>
    <mergeCell ref="D519:H519"/>
    <mergeCell ref="I519:L519"/>
    <mergeCell ref="D496:AD496"/>
    <mergeCell ref="C487:E487"/>
    <mergeCell ref="F487:AD487"/>
    <mergeCell ref="C489:AD489"/>
    <mergeCell ref="D490:AD490"/>
    <mergeCell ref="D491:AD491"/>
    <mergeCell ref="C508:AD508"/>
    <mergeCell ref="C514:AD514"/>
    <mergeCell ref="C498:AD498"/>
    <mergeCell ref="C499:AD499"/>
    <mergeCell ref="B506:AD506"/>
    <mergeCell ref="B507:AD507"/>
    <mergeCell ref="D492:AD492"/>
    <mergeCell ref="D493:AD493"/>
    <mergeCell ref="D494:AD494"/>
    <mergeCell ref="D495:AD495"/>
    <mergeCell ref="R536:AD536"/>
    <mergeCell ref="D531:P531"/>
    <mergeCell ref="R531:AD531"/>
    <mergeCell ref="D532:P532"/>
    <mergeCell ref="R532:AD532"/>
    <mergeCell ref="D533:P533"/>
    <mergeCell ref="R533:AD533"/>
    <mergeCell ref="D526:H526"/>
    <mergeCell ref="I526:L526"/>
    <mergeCell ref="C528:E528"/>
    <mergeCell ref="F528:AD528"/>
    <mergeCell ref="C530:AD530"/>
    <mergeCell ref="D520:H520"/>
    <mergeCell ref="I520:L520"/>
    <mergeCell ref="D521:H521"/>
    <mergeCell ref="I521:L521"/>
    <mergeCell ref="D522:H522"/>
    <mergeCell ref="I522:L522"/>
    <mergeCell ref="D523:H523"/>
    <mergeCell ref="I523:L523"/>
    <mergeCell ref="D524:H524"/>
    <mergeCell ref="I524:L524"/>
    <mergeCell ref="D525:H525"/>
    <mergeCell ref="I525:L525"/>
    <mergeCell ref="D534:P534"/>
    <mergeCell ref="R534:AD534"/>
    <mergeCell ref="D535:P535"/>
    <mergeCell ref="R535:AD535"/>
    <mergeCell ref="D536:P536"/>
    <mergeCell ref="C554:H555"/>
    <mergeCell ref="I554:L555"/>
    <mergeCell ref="M554:AD554"/>
    <mergeCell ref="M555:O555"/>
    <mergeCell ref="P555:R555"/>
    <mergeCell ref="S555:U555"/>
    <mergeCell ref="V555:X555"/>
    <mergeCell ref="Y555:AA555"/>
    <mergeCell ref="AB555:AD555"/>
    <mergeCell ref="C541:AD541"/>
    <mergeCell ref="C542:AD542"/>
    <mergeCell ref="D537:P537"/>
    <mergeCell ref="R537:AD537"/>
    <mergeCell ref="D538:P538"/>
    <mergeCell ref="R538:AD538"/>
    <mergeCell ref="D539:P539"/>
    <mergeCell ref="R539:AD539"/>
    <mergeCell ref="B549:AD549"/>
    <mergeCell ref="C550:AD550"/>
    <mergeCell ref="C551:AD551"/>
    <mergeCell ref="C552:AD552"/>
    <mergeCell ref="B543:AD543"/>
    <mergeCell ref="B544:AE544"/>
    <mergeCell ref="V558:X558"/>
    <mergeCell ref="Y558:AA558"/>
    <mergeCell ref="AB558:AD558"/>
    <mergeCell ref="D559:H559"/>
    <mergeCell ref="I559:L559"/>
    <mergeCell ref="M559:O559"/>
    <mergeCell ref="P559:R559"/>
    <mergeCell ref="S559:U559"/>
    <mergeCell ref="V559:X559"/>
    <mergeCell ref="Y559:AA559"/>
    <mergeCell ref="AB559:AD559"/>
    <mergeCell ref="D558:H558"/>
    <mergeCell ref="I558:L558"/>
    <mergeCell ref="M558:O558"/>
    <mergeCell ref="P558:R558"/>
    <mergeCell ref="S558:U558"/>
    <mergeCell ref="V556:X556"/>
    <mergeCell ref="Y556:AA556"/>
    <mergeCell ref="AB556:AD556"/>
    <mergeCell ref="D557:H557"/>
    <mergeCell ref="I557:L557"/>
    <mergeCell ref="M557:O557"/>
    <mergeCell ref="P557:R557"/>
    <mergeCell ref="S557:U557"/>
    <mergeCell ref="V557:X557"/>
    <mergeCell ref="Y557:AA557"/>
    <mergeCell ref="AB557:AD557"/>
    <mergeCell ref="D556:H556"/>
    <mergeCell ref="I556:L556"/>
    <mergeCell ref="M556:O556"/>
    <mergeCell ref="P556:R556"/>
    <mergeCell ref="S556:U556"/>
    <mergeCell ref="V562:X562"/>
    <mergeCell ref="Y562:AA562"/>
    <mergeCell ref="AB562:AD562"/>
    <mergeCell ref="D563:H563"/>
    <mergeCell ref="I563:L563"/>
    <mergeCell ref="M563:O563"/>
    <mergeCell ref="P563:R563"/>
    <mergeCell ref="S563:U563"/>
    <mergeCell ref="V563:X563"/>
    <mergeCell ref="Y563:AA563"/>
    <mergeCell ref="AB563:AD563"/>
    <mergeCell ref="D562:H562"/>
    <mergeCell ref="I562:L562"/>
    <mergeCell ref="M562:O562"/>
    <mergeCell ref="P562:R562"/>
    <mergeCell ref="S562:U562"/>
    <mergeCell ref="V560:X560"/>
    <mergeCell ref="Y560:AA560"/>
    <mergeCell ref="AB560:AD560"/>
    <mergeCell ref="D561:H561"/>
    <mergeCell ref="I561:L561"/>
    <mergeCell ref="M561:O561"/>
    <mergeCell ref="P561:R561"/>
    <mergeCell ref="S561:U561"/>
    <mergeCell ref="V561:X561"/>
    <mergeCell ref="Y561:AA561"/>
    <mergeCell ref="AB561:AD561"/>
    <mergeCell ref="D560:H560"/>
    <mergeCell ref="I560:L560"/>
    <mergeCell ref="M560:O560"/>
    <mergeCell ref="P560:R560"/>
    <mergeCell ref="S560:U560"/>
    <mergeCell ref="S584:U584"/>
    <mergeCell ref="V584:X584"/>
    <mergeCell ref="Y584:AA584"/>
    <mergeCell ref="AB584:AD584"/>
    <mergeCell ref="D583:N583"/>
    <mergeCell ref="O583:R583"/>
    <mergeCell ref="S583:U583"/>
    <mergeCell ref="V583:X583"/>
    <mergeCell ref="Y583:AA583"/>
    <mergeCell ref="C581:N582"/>
    <mergeCell ref="O581:R582"/>
    <mergeCell ref="S581:AD581"/>
    <mergeCell ref="S582:U582"/>
    <mergeCell ref="V582:X582"/>
    <mergeCell ref="Y582:AA582"/>
    <mergeCell ref="AB582:AD582"/>
    <mergeCell ref="C565:E565"/>
    <mergeCell ref="F565:AD565"/>
    <mergeCell ref="C567:AD567"/>
    <mergeCell ref="C568:AD568"/>
    <mergeCell ref="B566:AE566"/>
    <mergeCell ref="B569:AD569"/>
    <mergeCell ref="V585:X585"/>
    <mergeCell ref="Y585:AA585"/>
    <mergeCell ref="AB583:AD583"/>
    <mergeCell ref="C592:E592"/>
    <mergeCell ref="F592:AD592"/>
    <mergeCell ref="C594:AD594"/>
    <mergeCell ref="C595:AD595"/>
    <mergeCell ref="B19:AD19"/>
    <mergeCell ref="C20:AD20"/>
    <mergeCell ref="AB589:AD589"/>
    <mergeCell ref="D590:N590"/>
    <mergeCell ref="O590:R590"/>
    <mergeCell ref="S590:U590"/>
    <mergeCell ref="V590:X590"/>
    <mergeCell ref="Y590:AA590"/>
    <mergeCell ref="AB590:AD590"/>
    <mergeCell ref="D589:N589"/>
    <mergeCell ref="O589:R589"/>
    <mergeCell ref="S589:U589"/>
    <mergeCell ref="V589:X589"/>
    <mergeCell ref="Y589:AA589"/>
    <mergeCell ref="AB587:AD587"/>
    <mergeCell ref="D588:N588"/>
    <mergeCell ref="O588:R588"/>
    <mergeCell ref="S588:U588"/>
    <mergeCell ref="V588:X588"/>
    <mergeCell ref="C359:E359"/>
    <mergeCell ref="V587:X587"/>
    <mergeCell ref="Y587:AA587"/>
    <mergeCell ref="AB585:AD585"/>
    <mergeCell ref="D584:N584"/>
    <mergeCell ref="D336:I336"/>
    <mergeCell ref="U613:V613"/>
    <mergeCell ref="W613:X613"/>
    <mergeCell ref="Y613:Z613"/>
    <mergeCell ref="AA613:AD613"/>
    <mergeCell ref="D614:H614"/>
    <mergeCell ref="I614:J614"/>
    <mergeCell ref="K614:L614"/>
    <mergeCell ref="M614:N614"/>
    <mergeCell ref="O614:P614"/>
    <mergeCell ref="Q614:R614"/>
    <mergeCell ref="S614:T614"/>
    <mergeCell ref="U614:V614"/>
    <mergeCell ref="W614:X614"/>
    <mergeCell ref="Y614:Z614"/>
    <mergeCell ref="AA614:AD614"/>
    <mergeCell ref="F353:AD353"/>
    <mergeCell ref="C354:D357"/>
    <mergeCell ref="F354:AD354"/>
    <mergeCell ref="F355:AD355"/>
    <mergeCell ref="F356:AD356"/>
    <mergeCell ref="F357:AD357"/>
    <mergeCell ref="C358:E358"/>
    <mergeCell ref="F358:AD358"/>
    <mergeCell ref="M611:N612"/>
    <mergeCell ref="O611:T611"/>
    <mergeCell ref="U611:Z611"/>
    <mergeCell ref="AA611:AD612"/>
    <mergeCell ref="O585:R585"/>
    <mergeCell ref="Y588:AA588"/>
    <mergeCell ref="AB588:AD588"/>
    <mergeCell ref="S587:U587"/>
    <mergeCell ref="O584:R584"/>
    <mergeCell ref="B602:AD602"/>
    <mergeCell ref="B603:AD603"/>
    <mergeCell ref="C604:AD604"/>
    <mergeCell ref="B605:AD605"/>
    <mergeCell ref="C606:AD606"/>
    <mergeCell ref="C607:AD607"/>
    <mergeCell ref="B609:AD609"/>
    <mergeCell ref="O615:P615"/>
    <mergeCell ref="Q615:R615"/>
    <mergeCell ref="S615:T615"/>
    <mergeCell ref="U615:V615"/>
    <mergeCell ref="W615:X615"/>
    <mergeCell ref="Y615:Z615"/>
    <mergeCell ref="AA615:AD615"/>
    <mergeCell ref="D616:H616"/>
    <mergeCell ref="I616:J616"/>
    <mergeCell ref="K616:L616"/>
    <mergeCell ref="M616:N616"/>
    <mergeCell ref="O616:P616"/>
    <mergeCell ref="Q616:R616"/>
    <mergeCell ref="S616:T616"/>
    <mergeCell ref="U616:V616"/>
    <mergeCell ref="W616:X616"/>
    <mergeCell ref="Y616:Z616"/>
    <mergeCell ref="AA616:AD616"/>
    <mergeCell ref="D613:H613"/>
    <mergeCell ref="I613:J613"/>
    <mergeCell ref="K613:L613"/>
    <mergeCell ref="M613:N613"/>
    <mergeCell ref="O613:P613"/>
    <mergeCell ref="Q613:R613"/>
    <mergeCell ref="S613:T613"/>
    <mergeCell ref="D617:H617"/>
    <mergeCell ref="I617:J617"/>
    <mergeCell ref="K617:L617"/>
    <mergeCell ref="M617:N617"/>
    <mergeCell ref="O617:P617"/>
    <mergeCell ref="Q617:R617"/>
    <mergeCell ref="S617:T617"/>
    <mergeCell ref="U617:V617"/>
    <mergeCell ref="W617:X617"/>
    <mergeCell ref="Y617:Z617"/>
    <mergeCell ref="AA617:AD617"/>
    <mergeCell ref="B510:AD510"/>
    <mergeCell ref="C511:AD511"/>
    <mergeCell ref="C512:AD512"/>
    <mergeCell ref="C513:AD513"/>
    <mergeCell ref="B73:AD73"/>
    <mergeCell ref="C343:F343"/>
    <mergeCell ref="G343:AD343"/>
    <mergeCell ref="C345:F345"/>
    <mergeCell ref="G345:AD345"/>
    <mergeCell ref="C388:F388"/>
    <mergeCell ref="G388:AD388"/>
    <mergeCell ref="C360:E360"/>
    <mergeCell ref="F360:AD360"/>
    <mergeCell ref="C361:E361"/>
    <mergeCell ref="F361:AD361"/>
    <mergeCell ref="C362:E362"/>
    <mergeCell ref="F362:AD362"/>
    <mergeCell ref="D615:H615"/>
    <mergeCell ref="I615:J615"/>
    <mergeCell ref="K615:L615"/>
    <mergeCell ref="M615:N615"/>
    <mergeCell ref="J331:O333"/>
    <mergeCell ref="P331:AD331"/>
    <mergeCell ref="P332:P333"/>
    <mergeCell ref="Q332:Q333"/>
    <mergeCell ref="R332:R333"/>
    <mergeCell ref="S332:S333"/>
    <mergeCell ref="T332:U332"/>
    <mergeCell ref="V332:Y332"/>
    <mergeCell ref="Z332:Z333"/>
    <mergeCell ref="AA332:AA333"/>
    <mergeCell ref="AB332:AB333"/>
    <mergeCell ref="AC332:AC333"/>
    <mergeCell ref="AD332:AD333"/>
    <mergeCell ref="D334:I334"/>
    <mergeCell ref="J334:O334"/>
    <mergeCell ref="D335:I335"/>
    <mergeCell ref="J335:O335"/>
    <mergeCell ref="D256:O256"/>
    <mergeCell ref="D257:O257"/>
    <mergeCell ref="D258:O258"/>
    <mergeCell ref="D259:O259"/>
    <mergeCell ref="D260:O260"/>
    <mergeCell ref="D261:O261"/>
    <mergeCell ref="D262:O262"/>
    <mergeCell ref="J336:O336"/>
    <mergeCell ref="D337:I337"/>
    <mergeCell ref="J337:O337"/>
    <mergeCell ref="W303:X303"/>
    <mergeCell ref="AA297:AB297"/>
    <mergeCell ref="AC297:AD297"/>
    <mergeCell ref="D298:L298"/>
    <mergeCell ref="M298:R298"/>
    <mergeCell ref="S298:T298"/>
    <mergeCell ref="U298:V298"/>
    <mergeCell ref="W298:X298"/>
    <mergeCell ref="Y298:Z298"/>
    <mergeCell ref="AA298:AB298"/>
    <mergeCell ref="AC298:AD298"/>
    <mergeCell ref="D297:L297"/>
    <mergeCell ref="M297:R297"/>
    <mergeCell ref="S297:T297"/>
    <mergeCell ref="U297:V297"/>
    <mergeCell ref="Y304:Z304"/>
    <mergeCell ref="AA304:AB304"/>
    <mergeCell ref="AC304:AD304"/>
    <mergeCell ref="D303:L303"/>
    <mergeCell ref="M303:R303"/>
    <mergeCell ref="S303:T303"/>
    <mergeCell ref="U303:V303"/>
    <mergeCell ref="AG268:AI268"/>
    <mergeCell ref="AK267:BN267"/>
    <mergeCell ref="AK268:AM268"/>
    <mergeCell ref="AN268:AP268"/>
    <mergeCell ref="AQ268:AS268"/>
    <mergeCell ref="AT268:AV268"/>
    <mergeCell ref="AW268:AY268"/>
    <mergeCell ref="AZ268:BB268"/>
    <mergeCell ref="BC268:BE268"/>
    <mergeCell ref="BF268:BH268"/>
    <mergeCell ref="BI268:BK268"/>
    <mergeCell ref="BL268:BN268"/>
    <mergeCell ref="B281:AE281"/>
    <mergeCell ref="B284:AD284"/>
    <mergeCell ref="B285:AD285"/>
    <mergeCell ref="B286:AD286"/>
    <mergeCell ref="B287:AE287"/>
    <mergeCell ref="C282:AD282"/>
    <mergeCell ref="C283:AD283"/>
    <mergeCell ref="AG581:AG582"/>
    <mergeCell ref="AH581:AH582"/>
    <mergeCell ref="B593:AE593"/>
    <mergeCell ref="B596:AD596"/>
    <mergeCell ref="B625:AD625"/>
    <mergeCell ref="B626:AD626"/>
    <mergeCell ref="B627:AD627"/>
    <mergeCell ref="B288:AE288"/>
    <mergeCell ref="B307:AE307"/>
    <mergeCell ref="B310:AD310"/>
    <mergeCell ref="B344:AE344"/>
    <mergeCell ref="B346:AE346"/>
    <mergeCell ref="B366:AD366"/>
    <mergeCell ref="B389:AE389"/>
    <mergeCell ref="B392:AD392"/>
    <mergeCell ref="B435:AE435"/>
    <mergeCell ref="B464:AD464"/>
    <mergeCell ref="B465:AE465"/>
    <mergeCell ref="B488:AE488"/>
    <mergeCell ref="B500:AD500"/>
    <mergeCell ref="AG517:AG518"/>
    <mergeCell ref="AH517:AH518"/>
    <mergeCell ref="B529:AE529"/>
    <mergeCell ref="D338:I338"/>
    <mergeCell ref="J338:O338"/>
    <mergeCell ref="D339:I339"/>
    <mergeCell ref="J339:O339"/>
    <mergeCell ref="D340:I340"/>
    <mergeCell ref="J340:O340"/>
    <mergeCell ref="D341:I341"/>
    <mergeCell ref="J341:O341"/>
    <mergeCell ref="C331:I333"/>
  </mergeCells>
  <conditionalFormatting sqref="C34:AD34">
    <cfRule type="expression" dxfId="1157" priority="130">
      <formula>$AM$50&gt;0</formula>
    </cfRule>
  </conditionalFormatting>
  <conditionalFormatting sqref="C35:AD35">
    <cfRule type="expression" dxfId="1156" priority="135">
      <formula>AND(AP42&gt;0,G53="")</formula>
    </cfRule>
  </conditionalFormatting>
  <conditionalFormatting sqref="C36:AD36">
    <cfRule type="expression" dxfId="1155" priority="132">
      <formula>AND(AP43&gt;0,G55="")</formula>
    </cfRule>
  </conditionalFormatting>
  <conditionalFormatting sqref="C75:AD75">
    <cfRule type="expression" dxfId="1154" priority="128">
      <formula>$AI$89&gt;0</formula>
    </cfRule>
  </conditionalFormatting>
  <conditionalFormatting sqref="C129:AD129">
    <cfRule type="expression" dxfId="1153" priority="123">
      <formula>$AH$144&gt;0</formula>
    </cfRule>
  </conditionalFormatting>
  <conditionalFormatting sqref="C131:AD131">
    <cfRule type="expression" dxfId="1152" priority="124">
      <formula>AND(AJ136&gt;0,G157="")</formula>
    </cfRule>
  </conditionalFormatting>
  <conditionalFormatting sqref="C183:AD183">
    <cfRule type="expression" dxfId="1151" priority="116">
      <formula>$AR$199&gt;0</formula>
    </cfRule>
  </conditionalFormatting>
  <conditionalFormatting sqref="C184:AD184">
    <cfRule type="expression" dxfId="1150" priority="115">
      <formula>$AN$199&gt;0</formula>
    </cfRule>
  </conditionalFormatting>
  <conditionalFormatting sqref="C185:AD185">
    <cfRule type="expression" dxfId="1149" priority="114">
      <formula>$AO$199&gt;0</formula>
    </cfRule>
  </conditionalFormatting>
  <conditionalFormatting sqref="C186:AD186">
    <cfRule type="expression" dxfId="1148" priority="113">
      <formula>$AP$199&gt;0</formula>
    </cfRule>
  </conditionalFormatting>
  <conditionalFormatting sqref="C187:AD187">
    <cfRule type="expression" dxfId="1147" priority="112">
      <formula>$AQ$199&gt;0</formula>
    </cfRule>
  </conditionalFormatting>
  <conditionalFormatting sqref="C210:AD210">
    <cfRule type="expression" dxfId="1146" priority="110">
      <formula>$AH$226&gt;0</formula>
    </cfRule>
  </conditionalFormatting>
  <conditionalFormatting sqref="C214:AD214">
    <cfRule type="expression" dxfId="1145" priority="108">
      <formula>AND(AI218&gt;0,G227="")</formula>
    </cfRule>
  </conditionalFormatting>
  <conditionalFormatting sqref="C246:AD246">
    <cfRule type="expression" dxfId="1144" priority="106">
      <formula>$AI$279&gt;0</formula>
    </cfRule>
  </conditionalFormatting>
  <conditionalFormatting sqref="C247:AD247">
    <cfRule type="expression" dxfId="1143" priority="105">
      <formula>AND($BN$279&gt;0,$C$283="")</formula>
    </cfRule>
  </conditionalFormatting>
  <conditionalFormatting sqref="C248:AD248">
    <cfRule type="expression" dxfId="1142" priority="103">
      <formula>AND(SUM(AB278:AD278)&gt;0,F280="")</formula>
    </cfRule>
  </conditionalFormatting>
  <conditionalFormatting sqref="C291:AD291">
    <cfRule type="expression" dxfId="1141" priority="97">
      <formula>$AI$305&gt;0</formula>
    </cfRule>
  </conditionalFormatting>
  <conditionalFormatting sqref="C293:AD293">
    <cfRule type="expression" dxfId="1140" priority="99">
      <formula>AND(AH297&gt;0,H306="")</formula>
    </cfRule>
  </conditionalFormatting>
  <conditionalFormatting sqref="C321:AD321">
    <cfRule type="expression" dxfId="1139" priority="95">
      <formula>$AJ$342&gt;0</formula>
    </cfRule>
  </conditionalFormatting>
  <conditionalFormatting sqref="C328:AD328">
    <cfRule type="expression" dxfId="1138" priority="93">
      <formula>AND(AH334&gt;0,G343="")</formula>
    </cfRule>
  </conditionalFormatting>
  <conditionalFormatting sqref="C329:AD329">
    <cfRule type="expression" dxfId="1137" priority="90">
      <formula>AND(AI334&gt;0,G345="")</formula>
    </cfRule>
  </conditionalFormatting>
  <conditionalFormatting sqref="C373:AD373">
    <cfRule type="expression" dxfId="1136" priority="87">
      <formula>$AI$387&gt;0</formula>
    </cfRule>
  </conditionalFormatting>
  <conditionalFormatting sqref="C375:AD375">
    <cfRule type="expression" dxfId="1135" priority="85">
      <formula>AND(AH379&gt;0,G388="")</formula>
    </cfRule>
  </conditionalFormatting>
  <conditionalFormatting sqref="C404:AD404">
    <cfRule type="expression" dxfId="1134" priority="28">
      <formula>$AI$421&gt;0</formula>
    </cfRule>
  </conditionalFormatting>
  <conditionalFormatting sqref="C408:AD408">
    <cfRule type="expression" dxfId="1133" priority="30">
      <formula>AND(AH413&gt;0,F434="")</formula>
    </cfRule>
  </conditionalFormatting>
  <conditionalFormatting sqref="C471:AD471">
    <cfRule type="expression" dxfId="1132" priority="25">
      <formula>$AK$486&gt;0</formula>
    </cfRule>
  </conditionalFormatting>
  <conditionalFormatting sqref="C472:AD472">
    <cfRule type="expression" dxfId="1131" priority="24">
      <formula>$AL$486&gt;0</formula>
    </cfRule>
  </conditionalFormatting>
  <conditionalFormatting sqref="C474:AD474">
    <cfRule type="expression" dxfId="1130" priority="22">
      <formula>AND(AJ478&gt;0,F487="")</formula>
    </cfRule>
  </conditionalFormatting>
  <conditionalFormatting sqref="C511:AD511">
    <cfRule type="expression" dxfId="1129" priority="17">
      <formula>$AI$527&gt;0</formula>
    </cfRule>
  </conditionalFormatting>
  <conditionalFormatting sqref="C515:AD515">
    <cfRule type="expression" dxfId="1128" priority="18">
      <formula>AND(AH519&gt;0,F528="")</formula>
    </cfRule>
  </conditionalFormatting>
  <conditionalFormatting sqref="C550:AD550">
    <cfRule type="expression" dxfId="1127" priority="11">
      <formula>$AI$564&gt;0</formula>
    </cfRule>
  </conditionalFormatting>
  <conditionalFormatting sqref="C552:AD552">
    <cfRule type="expression" dxfId="1126" priority="13">
      <formula>AND(AH556&gt;0,F565="")</formula>
    </cfRule>
  </conditionalFormatting>
  <conditionalFormatting sqref="C576:AD576">
    <cfRule type="expression" dxfId="1125" priority="4">
      <formula>$AJ$591&gt;0</formula>
    </cfRule>
  </conditionalFormatting>
  <conditionalFormatting sqref="C577:AD577">
    <cfRule type="expression" dxfId="1124" priority="3">
      <formula>$AI$591&gt;0</formula>
    </cfRule>
  </conditionalFormatting>
  <conditionalFormatting sqref="C579:AD579">
    <cfRule type="expression" dxfId="1123" priority="6">
      <formula>AND(AH583&gt;0,F592="")</formula>
    </cfRule>
  </conditionalFormatting>
  <conditionalFormatting sqref="F280:AD280">
    <cfRule type="expression" dxfId="1122" priority="102">
      <formula>AND(SUM(AB278:AD278)=0,F280="")</formula>
    </cfRule>
    <cfRule type="expression" dxfId="1121" priority="104">
      <formula>AND(SUM(AB278:AD278)&gt;0,F280="")</formula>
    </cfRule>
  </conditionalFormatting>
  <conditionalFormatting sqref="F434:AD434">
    <cfRule type="expression" dxfId="1120" priority="31">
      <formula>AND(AH413&gt;0,F434="")</formula>
    </cfRule>
    <cfRule type="expression" dxfId="1119" priority="29">
      <formula>AND(AH413=0,F434="")</formula>
    </cfRule>
  </conditionalFormatting>
  <conditionalFormatting sqref="F487:AD487">
    <cfRule type="expression" dxfId="1118" priority="23">
      <formula>AND(AJ478&gt;0,F487="")</formula>
    </cfRule>
    <cfRule type="expression" dxfId="1117" priority="21">
      <formula>AND(AJ478=0,F487="")</formula>
    </cfRule>
  </conditionalFormatting>
  <conditionalFormatting sqref="F528:AD528">
    <cfRule type="expression" dxfId="1116" priority="16">
      <formula>AND(AH519=0,F528="")</formula>
    </cfRule>
    <cfRule type="expression" dxfId="1115" priority="19">
      <formula>AND(AH519&gt;0,F528="")</formula>
    </cfRule>
  </conditionalFormatting>
  <conditionalFormatting sqref="F565:AD565">
    <cfRule type="expression" dxfId="1114" priority="14">
      <formula>AND(AH556&gt;0,F565="")</formula>
    </cfRule>
    <cfRule type="expression" dxfId="1113" priority="12">
      <formula>AND(AH556=0,F565="")</formula>
    </cfRule>
  </conditionalFormatting>
  <conditionalFormatting sqref="F592:AD592">
    <cfRule type="expression" dxfId="1112" priority="7">
      <formula>AND(AH583&gt;0,F592="")</formula>
    </cfRule>
    <cfRule type="expression" dxfId="1111" priority="5">
      <formula>AND(AH583=0,F592="")</formula>
    </cfRule>
  </conditionalFormatting>
  <conditionalFormatting sqref="G425:G432">
    <cfRule type="expression" dxfId="1110" priority="81">
      <formula>AND($G413="X",$G425="")</formula>
    </cfRule>
    <cfRule type="expression" dxfId="1109" priority="80">
      <formula>$G413=""</formula>
    </cfRule>
  </conditionalFormatting>
  <conditionalFormatting sqref="G425:J432 L425:AD432">
    <cfRule type="expression" dxfId="1108" priority="82">
      <formula>AND($E413&lt;&gt;"",$E413&lt;&gt;1)</formula>
    </cfRule>
  </conditionalFormatting>
  <conditionalFormatting sqref="G53:AD53">
    <cfRule type="expression" dxfId="1107" priority="136">
      <formula>AND(AP42&gt;0,G53="")</formula>
    </cfRule>
    <cfRule type="expression" dxfId="1106" priority="134">
      <formula>AND(AP42=0,G53="")</formula>
    </cfRule>
  </conditionalFormatting>
  <conditionalFormatting sqref="G55:AD55">
    <cfRule type="expression" dxfId="1105" priority="133">
      <formula>AND(AP43&gt;0,G55="")</formula>
    </cfRule>
    <cfRule type="expression" dxfId="1104" priority="131">
      <formula>AND(AP43=0,G55="")</formula>
    </cfRule>
  </conditionalFormatting>
  <conditionalFormatting sqref="G157:AD157">
    <cfRule type="expression" dxfId="1103" priority="122">
      <formula>AND(AJ136=0,G157="")</formula>
    </cfRule>
    <cfRule type="expression" dxfId="1102" priority="125">
      <formula>AND(AJ136&gt;0,G157="")</formula>
    </cfRule>
  </conditionalFormatting>
  <conditionalFormatting sqref="G227:AD227">
    <cfRule type="expression" dxfId="1101" priority="109">
      <formula>AND(AI218&gt;0,G227="")</formula>
    </cfRule>
    <cfRule type="expression" dxfId="1100" priority="107">
      <formula>AND(AI218=0,G227="")</formula>
    </cfRule>
  </conditionalFormatting>
  <conditionalFormatting sqref="G343:AD343">
    <cfRule type="expression" dxfId="1099" priority="94">
      <formula>AND(AH334&gt;0,G343="")</formula>
    </cfRule>
    <cfRule type="expression" dxfId="1098" priority="92">
      <formula>AND(AH334=0,G343="")</formula>
    </cfRule>
  </conditionalFormatting>
  <conditionalFormatting sqref="G345:AD345">
    <cfRule type="expression" dxfId="1097" priority="91">
      <formula>AND(AI334&gt;0,G345="")</formula>
    </cfRule>
    <cfRule type="expression" dxfId="1096" priority="89">
      <formula>AND(AI334=0,G345="")</formula>
    </cfRule>
  </conditionalFormatting>
  <conditionalFormatting sqref="G388:AD388">
    <cfRule type="expression" dxfId="1095" priority="86">
      <formula>AND(AH379&gt;0,G388="")</formula>
    </cfRule>
    <cfRule type="expression" dxfId="1094" priority="84">
      <formula>AND(AH379=0,G388="")</formula>
    </cfRule>
  </conditionalFormatting>
  <conditionalFormatting sqref="G413:AD420">
    <cfRule type="expression" dxfId="1093" priority="83">
      <formula>AND($E413&lt;&gt;"",$E413&lt;&gt;1)</formula>
    </cfRule>
  </conditionalFormatting>
  <conditionalFormatting sqref="H425:H432">
    <cfRule type="expression" dxfId="1092" priority="79">
      <formula>AND($H413="X",$H425="")</formula>
    </cfRule>
    <cfRule type="expression" dxfId="1091" priority="78">
      <formula>$H413=""</formula>
    </cfRule>
  </conditionalFormatting>
  <conditionalFormatting sqref="H306:AD306">
    <cfRule type="expression" dxfId="1090" priority="100">
      <formula>AND(AH297&gt;0,H306="")</formula>
    </cfRule>
    <cfRule type="expression" dxfId="1089" priority="98">
      <formula>AND(AH297=0,H306="")</formula>
    </cfRule>
  </conditionalFormatting>
  <conditionalFormatting sqref="I425:I432">
    <cfRule type="expression" dxfId="1088" priority="77">
      <formula>AND($I413="X",$I425="")</formula>
    </cfRule>
    <cfRule type="expression" dxfId="1087" priority="76">
      <formula>$I413=""</formula>
    </cfRule>
  </conditionalFormatting>
  <conditionalFormatting sqref="J425:J432">
    <cfRule type="expression" dxfId="1086" priority="74">
      <formula>$J413=""</formula>
    </cfRule>
    <cfRule type="expression" dxfId="1085" priority="75">
      <formula>AND($J413="X",$J425="")</formula>
    </cfRule>
  </conditionalFormatting>
  <conditionalFormatting sqref="K425:K432">
    <cfRule type="expression" dxfId="1084" priority="71">
      <formula>AND($K413="X",$K425="")</formula>
    </cfRule>
    <cfRule type="expression" dxfId="1083" priority="70">
      <formula>$K413=""</formula>
    </cfRule>
  </conditionalFormatting>
  <conditionalFormatting sqref="L425:L432">
    <cfRule type="expression" dxfId="1082" priority="68">
      <formula>$L413=""</formula>
    </cfRule>
    <cfRule type="expression" dxfId="1081" priority="69">
      <formula>AND($L413="X",$L425="")</formula>
    </cfRule>
  </conditionalFormatting>
  <conditionalFormatting sqref="M425:M432">
    <cfRule type="expression" dxfId="1080" priority="67">
      <formula>AND($M413="X",$M425="")</formula>
    </cfRule>
    <cfRule type="expression" dxfId="1079" priority="66">
      <formula>$M413=""</formula>
    </cfRule>
  </conditionalFormatting>
  <conditionalFormatting sqref="M519:AD526">
    <cfRule type="expression" dxfId="1078" priority="20">
      <formula>AND($I519&lt;&gt;"",$I519&lt;&gt;1)</formula>
    </cfRule>
  </conditionalFormatting>
  <conditionalFormatting sqref="M556:AD563">
    <cfRule type="expression" dxfId="1077" priority="15">
      <formula>AND($I556&lt;&gt;"",$I556&lt;&gt;1)</formula>
    </cfRule>
  </conditionalFormatting>
  <conditionalFormatting sqref="N425:N432">
    <cfRule type="expression" dxfId="1076" priority="65">
      <formula>AND($N413="X",$N425="")</formula>
    </cfRule>
    <cfRule type="expression" dxfId="1075" priority="64">
      <formula>$N413=""</formula>
    </cfRule>
  </conditionalFormatting>
  <conditionalFormatting sqref="O425:O432">
    <cfRule type="expression" dxfId="1074" priority="63">
      <formula>AND($O413="X",$O425="")</formula>
    </cfRule>
    <cfRule type="expression" dxfId="1073" priority="62">
      <formula>$O413=""</formula>
    </cfRule>
  </conditionalFormatting>
  <conditionalFormatting sqref="O191:R198">
    <cfRule type="expression" dxfId="1072" priority="120">
      <formula>$AH191=0</formula>
    </cfRule>
  </conditionalFormatting>
  <conditionalFormatting sqref="O191:AD198">
    <cfRule type="expression" dxfId="1071" priority="121">
      <formula>$AL191&gt;0</formula>
    </cfRule>
  </conditionalFormatting>
  <conditionalFormatting sqref="O379:AD386">
    <cfRule type="expression" dxfId="1070" priority="88">
      <formula>AND($I379&lt;&gt;"",$I379&lt;&gt;1)</formula>
    </cfRule>
  </conditionalFormatting>
  <conditionalFormatting sqref="O583:AD590">
    <cfRule type="expression" dxfId="1069" priority="9">
      <formula>AND($I556&lt;&gt;"",$I556&lt;&gt;1)</formula>
    </cfRule>
  </conditionalFormatting>
  <conditionalFormatting sqref="P425:P432">
    <cfRule type="expression" dxfId="1068" priority="60">
      <formula>$P413=""</formula>
    </cfRule>
    <cfRule type="expression" dxfId="1067" priority="61">
      <formula>AND($P413="X",$P425="")</formula>
    </cfRule>
  </conditionalFormatting>
  <conditionalFormatting sqref="P334:AD341">
    <cfRule type="expression" dxfId="1066" priority="96">
      <formula>AND($J334&lt;&gt;"",$J334&lt;&gt;1)</formula>
    </cfRule>
  </conditionalFormatting>
  <conditionalFormatting sqref="Q425:Q432">
    <cfRule type="expression" dxfId="1065" priority="59">
      <formula>AND($Q413="X",$Q425="")</formula>
    </cfRule>
    <cfRule type="expression" dxfId="1064" priority="58">
      <formula>$Q413=""</formula>
    </cfRule>
  </conditionalFormatting>
  <conditionalFormatting sqref="R425:R432">
    <cfRule type="expression" dxfId="1063" priority="57">
      <formula>AND($R413="X",$R425="")</formula>
    </cfRule>
    <cfRule type="expression" dxfId="1062" priority="56">
      <formula>$R413=""</formula>
    </cfRule>
  </conditionalFormatting>
  <conditionalFormatting sqref="R136:AD143">
    <cfRule type="expression" dxfId="1061" priority="127">
      <formula>AND($L136&lt;&gt;"",$L136&lt;&gt;1)</formula>
    </cfRule>
  </conditionalFormatting>
  <conditionalFormatting sqref="R148:AD155">
    <cfRule type="expression" dxfId="1060" priority="126">
      <formula>AND($L136&lt;&gt;"",$L136&lt;&gt;1)</formula>
    </cfRule>
  </conditionalFormatting>
  <conditionalFormatting sqref="S425:S432">
    <cfRule type="expression" dxfId="1059" priority="55">
      <formula>AND($S413="X",$S425="")</formula>
    </cfRule>
    <cfRule type="expression" dxfId="1058" priority="54">
      <formula>$S413=""</formula>
    </cfRule>
  </conditionalFormatting>
  <conditionalFormatting sqref="S191:V198">
    <cfRule type="expression" dxfId="1057" priority="119">
      <formula>$AI191=0</formula>
    </cfRule>
  </conditionalFormatting>
  <conditionalFormatting sqref="S478:V485">
    <cfRule type="expression" dxfId="1056" priority="27">
      <formula>AND($O478&lt;&gt;"",$O478&lt;&gt;1)</formula>
    </cfRule>
  </conditionalFormatting>
  <conditionalFormatting sqref="S297:AD304">
    <cfRule type="expression" dxfId="1055" priority="101">
      <formula>AND($M297&lt;&gt;"",$M297&lt;&gt;1)</formula>
    </cfRule>
  </conditionalFormatting>
  <conditionalFormatting sqref="S583:AD590">
    <cfRule type="expression" dxfId="1054" priority="8">
      <formula>AND($O583&lt;&gt;"",$O583&lt;&gt;1)</formula>
    </cfRule>
    <cfRule type="expression" priority="10">
      <formula>"X"</formula>
    </cfRule>
  </conditionalFormatting>
  <conditionalFormatting sqref="T425:T432">
    <cfRule type="expression" dxfId="1053" priority="53">
      <formula>AND($T413="X",$T425="")</formula>
    </cfRule>
    <cfRule type="expression" dxfId="1052" priority="52">
      <formula>$T413=""</formula>
    </cfRule>
  </conditionalFormatting>
  <conditionalFormatting sqref="U425:U432">
    <cfRule type="expression" dxfId="1051" priority="51">
      <formula>AND($U413="X",$U425="")</formula>
    </cfRule>
    <cfRule type="expression" dxfId="1050" priority="50">
      <formula>$U413=""</formula>
    </cfRule>
  </conditionalFormatting>
  <conditionalFormatting sqref="U218:AD225">
    <cfRule type="expression" dxfId="1049" priority="111">
      <formula>AND($O218&lt;&gt;"",$O218&lt;&gt;1)</formula>
    </cfRule>
  </conditionalFormatting>
  <conditionalFormatting sqref="V425:V432">
    <cfRule type="expression" dxfId="1048" priority="49">
      <formula>AND($V413="X",$V425="")</formula>
    </cfRule>
    <cfRule type="expression" dxfId="1047" priority="48">
      <formula>$V413=""</formula>
    </cfRule>
  </conditionalFormatting>
  <conditionalFormatting sqref="W425:W432">
    <cfRule type="expression" dxfId="1046" priority="46">
      <formula>$W413=""</formula>
    </cfRule>
    <cfRule type="expression" dxfId="1045" priority="47">
      <formula>AND($W413="X",$W425="")</formula>
    </cfRule>
  </conditionalFormatting>
  <conditionalFormatting sqref="W191:Z198">
    <cfRule type="expression" dxfId="1044" priority="118">
      <formula>$AJ191=0</formula>
    </cfRule>
  </conditionalFormatting>
  <conditionalFormatting sqref="X425:X432">
    <cfRule type="expression" dxfId="1043" priority="45">
      <formula>AND($X413="X",$X425="")</formula>
    </cfRule>
    <cfRule type="expression" dxfId="1042" priority="44">
      <formula>$X413=""</formula>
    </cfRule>
  </conditionalFormatting>
  <conditionalFormatting sqref="Y425:Y432">
    <cfRule type="expression" dxfId="1041" priority="43">
      <formula>AND($Y413="X",$Y425="")</formula>
    </cfRule>
    <cfRule type="expression" dxfId="1040" priority="42">
      <formula>$Y413=""</formula>
    </cfRule>
  </conditionalFormatting>
  <conditionalFormatting sqref="Y81:AD88">
    <cfRule type="expression" dxfId="1039" priority="129">
      <formula>AND($S81&lt;&gt;"",$S81&lt;&gt;1)</formula>
    </cfRule>
  </conditionalFormatting>
  <conditionalFormatting sqref="Z425:Z432">
    <cfRule type="expression" dxfId="1038" priority="40">
      <formula>$Z413=""</formula>
    </cfRule>
    <cfRule type="expression" dxfId="1037" priority="41">
      <formula>AND($Z413="X",$Z425="")</formula>
    </cfRule>
  </conditionalFormatting>
  <conditionalFormatting sqref="AA425:AA432">
    <cfRule type="expression" dxfId="1036" priority="39">
      <formula>AND($AA413="X",$AA425="")</formula>
    </cfRule>
    <cfRule type="expression" dxfId="1035" priority="38">
      <formula>$AA413=""</formula>
    </cfRule>
  </conditionalFormatting>
  <conditionalFormatting sqref="AA191:AD198">
    <cfRule type="expression" dxfId="1034" priority="117">
      <formula>$AK191=0</formula>
    </cfRule>
  </conditionalFormatting>
  <conditionalFormatting sqref="AA478:AD485">
    <cfRule type="expression" dxfId="1033" priority="26">
      <formula>AND($W478&lt;&gt;"",$W478&lt;&gt;1)</formula>
    </cfRule>
  </conditionalFormatting>
  <conditionalFormatting sqref="AB425:AB432">
    <cfRule type="expression" dxfId="1032" priority="36">
      <formula>$AB413=""</formula>
    </cfRule>
    <cfRule type="expression" dxfId="1031" priority="37">
      <formula>AND($AB413="X",$AB425="")</formula>
    </cfRule>
  </conditionalFormatting>
  <conditionalFormatting sqref="AC425:AC432">
    <cfRule type="expression" dxfId="1030" priority="34">
      <formula>$AC413=""</formula>
    </cfRule>
    <cfRule type="expression" dxfId="1029" priority="35">
      <formula>AND($AC413="X",$AC425="")</formula>
    </cfRule>
  </conditionalFormatting>
  <conditionalFormatting sqref="AD425:AD432">
    <cfRule type="expression" dxfId="1028" priority="33">
      <formula>AND($AD413="X",$AD425="")</formula>
    </cfRule>
    <cfRule type="expression" dxfId="1027" priority="32">
      <formula>$AD413=""</formula>
    </cfRule>
  </conditionalFormatting>
  <dataValidations count="6">
    <dataValidation type="list" allowBlank="1" showInputMessage="1" showErrorMessage="1" sqref="M42:X49" xr:uid="{06ECE522-E37E-4A6C-98A5-EEAA156B15E1}">
      <formula1>"1,2,3,4,5,9"</formula1>
    </dataValidation>
    <dataValidation type="list" allowBlank="1" showInputMessage="1" showErrorMessage="1" sqref="S81:X88" xr:uid="{ACB6743E-F505-4B8B-B99F-203531F19C6B}">
      <formula1>"1,2,3,9"</formula1>
    </dataValidation>
    <dataValidation type="list" allowBlank="1" showInputMessage="1" showErrorMessage="1" sqref="L136:Q143 O218:T225 M297:R304 J334:O341 I379:N386 E413:F420 O478:R485 W478:Z485 I519:L526 I556:L563 O583:R590 AA613:AD620" xr:uid="{D0D634F1-57D1-41BD-B732-64827D97461C}">
      <formula1>"1,2,9"</formula1>
    </dataValidation>
    <dataValidation type="list" allowBlank="1" showInputMessage="1" showErrorMessage="1" sqref="R136:AD143 R148:AD155 U218:AD225 S297:AD304 P334:AD341 O379:AD386 G413:AD420 M519:AD526 M556:AD563 S583:AD590" xr:uid="{E96A5324-6018-4932-A115-2C4C34C0E681}">
      <formula1>"X"</formula1>
    </dataValidation>
    <dataValidation type="list" allowBlank="1" showInputMessage="1" showErrorMessage="1" sqref="G425:AD432" xr:uid="{071CC25B-F19E-4C89-BDC6-FCB9A7EA44D5}">
      <formula1>"1,2,3,4,5,6,7,8,9,10,11,99"</formula1>
    </dataValidation>
    <dataValidation type="list" allowBlank="1" showInputMessage="1" showErrorMessage="1" sqref="S478:V485 AA478:AD485" xr:uid="{A78F81C2-38B4-47F7-BA7E-4C3F9B0F5582}">
      <formula1>"1,2,3,4,5,6,9"</formula1>
    </dataValidation>
  </dataValidations>
  <hyperlinks>
    <hyperlink ref="AA7:AD7" location="Índice!F15C2" display="Índice" xr:uid="{739678BD-BC11-497D-9EC0-E52B05F0A527}"/>
    <hyperlink ref="AA39" location="'Complemento AMP'!AA10" display="Complemento AMP" xr:uid="{0931E15C-C13C-429B-AD7E-9DF6839D99AC}"/>
    <hyperlink ref="AA39:AD39" location="'Complemento 1'!AI10" display="Complemento 1" xr:uid="{DD74F4BA-0970-422C-9D1D-D36EB508B582}"/>
    <hyperlink ref="AA78" location="'Complemento AMP'!AA10" display="Complemento AMP" xr:uid="{7D246153-8C1F-4280-81E0-486533C87A88}"/>
    <hyperlink ref="AA78:AD78" location="'Complemento 2'!CP10" display="Complemento 2" xr:uid="{0729BA4F-3975-4AEC-8512-BB837719EC84}"/>
  </hyperlinks>
  <printOptions horizontalCentered="1"/>
  <pageMargins left="0.70866141732283472" right="0.70866141732283472" top="0.74803149606299213" bottom="0.74803149606299213" header="0.31496062992125984" footer="0.31496062992125984"/>
  <pageSetup scale="75" orientation="portrait" r:id="rId1"/>
  <headerFooter>
    <oddHeader>&amp;CMódulo 2 Sección I
Cuestionario</oddHeader>
    <oddFooter>&amp;LCenso Nacional de Sistemas Penitenciarios Estatales 2024&amp;R&amp;P de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CE4E7-BFD5-43FA-A65F-084B432B43E4}">
  <dimension ref="A1:CZ1847"/>
  <sheetViews>
    <sheetView showGridLines="0" zoomScaleNormal="100" workbookViewId="0"/>
  </sheetViews>
  <sheetFormatPr baseColWidth="10" defaultColWidth="0" defaultRowHeight="0" customHeight="1" zeroHeight="1"/>
  <cols>
    <col min="1" max="1" width="5.7109375" style="3" customWidth="1"/>
    <col min="2" max="30" width="3.7109375" style="3" customWidth="1"/>
    <col min="31" max="31" width="5.7109375" style="3" customWidth="1"/>
    <col min="32" max="34" width="9.28515625" style="3" hidden="1" customWidth="1"/>
    <col min="35" max="35" width="11.85546875" style="3" hidden="1" customWidth="1"/>
    <col min="36" max="49" width="9.28515625" style="3" hidden="1" customWidth="1"/>
    <col min="50" max="50" width="11.85546875" style="3" hidden="1" customWidth="1"/>
    <col min="51" max="16384" width="9.28515625" style="3" hidden="1"/>
  </cols>
  <sheetData>
    <row r="1" spans="1:30" ht="173.25" customHeight="1">
      <c r="A1" s="91"/>
      <c r="B1" s="718" t="s">
        <v>0</v>
      </c>
      <c r="C1" s="719"/>
      <c r="D1" s="719"/>
      <c r="E1" s="719"/>
      <c r="F1" s="719"/>
      <c r="G1" s="719"/>
      <c r="H1" s="719"/>
      <c r="I1" s="719"/>
      <c r="J1" s="719"/>
      <c r="K1" s="719"/>
      <c r="L1" s="719"/>
      <c r="M1" s="719"/>
      <c r="N1" s="719"/>
      <c r="O1" s="719"/>
      <c r="P1" s="719"/>
      <c r="Q1" s="719"/>
      <c r="R1" s="719"/>
      <c r="S1" s="719"/>
      <c r="T1" s="719"/>
      <c r="U1" s="719"/>
      <c r="V1" s="719"/>
      <c r="W1" s="719"/>
      <c r="X1" s="719"/>
      <c r="Y1" s="719"/>
      <c r="Z1" s="719"/>
      <c r="AA1" s="719"/>
      <c r="AB1" s="719"/>
      <c r="AC1" s="719"/>
      <c r="AD1" s="719"/>
    </row>
    <row r="2" spans="1:30" ht="15" customHeight="1">
      <c r="A2" s="91"/>
    </row>
    <row r="3" spans="1:30" ht="45" customHeight="1">
      <c r="A3" s="91"/>
      <c r="B3" s="720" t="s">
        <v>1</v>
      </c>
      <c r="C3" s="721"/>
      <c r="D3" s="721"/>
      <c r="E3" s="721"/>
      <c r="F3" s="721"/>
      <c r="G3" s="721"/>
      <c r="H3" s="721"/>
      <c r="I3" s="721"/>
      <c r="J3" s="721"/>
      <c r="K3" s="721"/>
      <c r="L3" s="721"/>
      <c r="M3" s="721"/>
      <c r="N3" s="721"/>
      <c r="O3" s="721"/>
      <c r="P3" s="721"/>
      <c r="Q3" s="721"/>
      <c r="R3" s="721"/>
      <c r="S3" s="721"/>
      <c r="T3" s="721"/>
      <c r="U3" s="721"/>
      <c r="V3" s="721"/>
      <c r="W3" s="721"/>
      <c r="X3" s="721"/>
      <c r="Y3" s="721"/>
      <c r="Z3" s="721"/>
      <c r="AA3" s="721"/>
      <c r="AB3" s="721"/>
      <c r="AC3" s="721"/>
      <c r="AD3" s="721"/>
    </row>
    <row r="4" spans="1:30" ht="15" customHeight="1">
      <c r="A4" s="91"/>
    </row>
    <row r="5" spans="1:30" ht="45" customHeight="1">
      <c r="A5" s="91"/>
      <c r="B5" s="720" t="s">
        <v>10</v>
      </c>
      <c r="C5" s="721"/>
      <c r="D5" s="721"/>
      <c r="E5" s="721"/>
      <c r="F5" s="721"/>
      <c r="G5" s="721"/>
      <c r="H5" s="721"/>
      <c r="I5" s="721"/>
      <c r="J5" s="721"/>
      <c r="K5" s="721"/>
      <c r="L5" s="721"/>
      <c r="M5" s="721"/>
      <c r="N5" s="721"/>
      <c r="O5" s="721"/>
      <c r="P5" s="721"/>
      <c r="Q5" s="721"/>
      <c r="R5" s="721"/>
      <c r="S5" s="721"/>
      <c r="T5" s="721"/>
      <c r="U5" s="721"/>
      <c r="V5" s="721"/>
      <c r="W5" s="721"/>
      <c r="X5" s="721"/>
      <c r="Y5" s="721"/>
      <c r="Z5" s="721"/>
      <c r="AA5" s="721"/>
      <c r="AB5" s="721"/>
      <c r="AC5" s="721"/>
      <c r="AD5" s="721"/>
    </row>
    <row r="6" spans="1:30" ht="15" customHeight="1">
      <c r="A6" s="91"/>
    </row>
    <row r="7" spans="1:30" ht="15" customHeight="1" thickBot="1">
      <c r="A7" s="91"/>
      <c r="B7" s="23" t="s">
        <v>3</v>
      </c>
      <c r="N7" s="23" t="s">
        <v>4</v>
      </c>
      <c r="P7" s="24"/>
      <c r="Q7" s="24"/>
      <c r="R7" s="24"/>
      <c r="S7" s="24"/>
      <c r="T7" s="24"/>
      <c r="U7" s="24"/>
      <c r="V7" s="24"/>
      <c r="W7" s="24"/>
      <c r="X7" s="24"/>
      <c r="Y7" s="24"/>
      <c r="Z7" s="24"/>
      <c r="AA7" s="758" t="s">
        <v>2</v>
      </c>
      <c r="AB7" s="758"/>
      <c r="AC7" s="758"/>
      <c r="AD7" s="758"/>
    </row>
    <row r="8" spans="1:30" ht="15" customHeight="1" thickBot="1">
      <c r="A8" s="108"/>
      <c r="B8" s="722" t="str">
        <f>IF(Presentación!B8="","",Presentación!B8)</f>
        <v>Puebla</v>
      </c>
      <c r="C8" s="723"/>
      <c r="D8" s="723"/>
      <c r="E8" s="723"/>
      <c r="F8" s="723"/>
      <c r="G8" s="723"/>
      <c r="H8" s="723"/>
      <c r="I8" s="723"/>
      <c r="J8" s="723"/>
      <c r="K8" s="723"/>
      <c r="L8" s="724"/>
      <c r="M8" s="25"/>
      <c r="N8" s="722">
        <f>IF(Presentación!N8="","",Presentación!N8)</f>
        <v>221</v>
      </c>
      <c r="O8" s="724"/>
      <c r="P8" s="107"/>
      <c r="Q8" s="107"/>
      <c r="R8" s="107"/>
      <c r="S8" s="109"/>
      <c r="T8" s="107"/>
      <c r="U8" s="107"/>
      <c r="V8" s="107"/>
      <c r="W8" s="107"/>
      <c r="X8" s="107"/>
      <c r="Y8" s="107"/>
      <c r="Z8" s="107"/>
      <c r="AA8" s="107"/>
      <c r="AB8" s="107"/>
      <c r="AC8" s="107"/>
      <c r="AD8" s="107"/>
    </row>
    <row r="9" spans="1:30" ht="15" customHeight="1">
      <c r="A9" s="91"/>
      <c r="C9" s="24"/>
      <c r="D9" s="24"/>
      <c r="E9" s="24"/>
      <c r="F9" s="24"/>
      <c r="G9" s="24"/>
      <c r="H9" s="24"/>
      <c r="I9" s="24"/>
      <c r="J9" s="24"/>
      <c r="K9" s="24"/>
      <c r="L9" s="24"/>
      <c r="M9" s="24"/>
      <c r="N9" s="24"/>
      <c r="O9" s="24"/>
      <c r="P9" s="24"/>
      <c r="Q9" s="24"/>
      <c r="R9" s="24"/>
      <c r="S9" s="24"/>
      <c r="T9" s="24"/>
      <c r="U9" s="24"/>
      <c r="V9" s="24"/>
      <c r="W9" s="24"/>
      <c r="X9" s="24"/>
      <c r="Y9" s="24"/>
      <c r="Z9" s="24"/>
      <c r="AA9" s="24"/>
      <c r="AB9" s="24"/>
      <c r="AC9" s="24"/>
    </row>
    <row r="10" spans="1:30" ht="15" customHeight="1">
      <c r="A10" s="94"/>
      <c r="B10" s="892" t="s">
        <v>2552</v>
      </c>
      <c r="C10" s="893"/>
      <c r="D10" s="893"/>
      <c r="E10" s="893"/>
      <c r="F10" s="893"/>
      <c r="G10" s="893"/>
      <c r="H10" s="893"/>
      <c r="I10" s="893"/>
      <c r="J10" s="893"/>
      <c r="K10" s="893"/>
      <c r="L10" s="893"/>
      <c r="M10" s="893"/>
      <c r="N10" s="893"/>
      <c r="O10" s="893"/>
      <c r="P10" s="893"/>
      <c r="Q10" s="893"/>
      <c r="R10" s="893"/>
      <c r="S10" s="893"/>
      <c r="T10" s="893"/>
      <c r="U10" s="893"/>
      <c r="V10" s="893"/>
      <c r="W10" s="893"/>
      <c r="X10" s="893"/>
      <c r="Y10" s="893"/>
      <c r="Z10" s="893"/>
      <c r="AA10" s="893"/>
      <c r="AB10" s="893"/>
      <c r="AC10" s="893"/>
      <c r="AD10" s="894"/>
    </row>
    <row r="11" spans="1:30" ht="36" customHeight="1">
      <c r="A11" s="94"/>
      <c r="B11" s="654"/>
      <c r="C11" s="754" t="s">
        <v>2553</v>
      </c>
      <c r="D11" s="830"/>
      <c r="E11" s="830"/>
      <c r="F11" s="830"/>
      <c r="G11" s="830"/>
      <c r="H11" s="830"/>
      <c r="I11" s="830"/>
      <c r="J11" s="830"/>
      <c r="K11" s="830"/>
      <c r="L11" s="830"/>
      <c r="M11" s="830"/>
      <c r="N11" s="830"/>
      <c r="O11" s="830"/>
      <c r="P11" s="830"/>
      <c r="Q11" s="830"/>
      <c r="R11" s="830"/>
      <c r="S11" s="830"/>
      <c r="T11" s="830"/>
      <c r="U11" s="830"/>
      <c r="V11" s="830"/>
      <c r="W11" s="830"/>
      <c r="X11" s="830"/>
      <c r="Y11" s="830"/>
      <c r="Z11" s="830"/>
      <c r="AA11" s="830"/>
      <c r="AB11" s="830"/>
      <c r="AC11" s="830"/>
      <c r="AD11" s="895"/>
    </row>
    <row r="12" spans="1:30" ht="24" customHeight="1">
      <c r="A12" s="94"/>
      <c r="B12" s="654"/>
      <c r="C12" s="754" t="s">
        <v>2554</v>
      </c>
      <c r="D12" s="830"/>
      <c r="E12" s="830"/>
      <c r="F12" s="830"/>
      <c r="G12" s="830"/>
      <c r="H12" s="830"/>
      <c r="I12" s="830"/>
      <c r="J12" s="830"/>
      <c r="K12" s="830"/>
      <c r="L12" s="830"/>
      <c r="M12" s="830"/>
      <c r="N12" s="830"/>
      <c r="O12" s="830"/>
      <c r="P12" s="830"/>
      <c r="Q12" s="830"/>
      <c r="R12" s="830"/>
      <c r="S12" s="830"/>
      <c r="T12" s="830"/>
      <c r="U12" s="830"/>
      <c r="V12" s="830"/>
      <c r="W12" s="830"/>
      <c r="X12" s="830"/>
      <c r="Y12" s="830"/>
      <c r="Z12" s="830"/>
      <c r="AA12" s="830"/>
      <c r="AB12" s="830"/>
      <c r="AC12" s="830"/>
      <c r="AD12" s="895"/>
    </row>
    <row r="13" spans="1:30" ht="60" customHeight="1">
      <c r="A13" s="146"/>
      <c r="B13" s="654"/>
      <c r="C13" s="754" t="s">
        <v>2555</v>
      </c>
      <c r="D13" s="830"/>
      <c r="E13" s="830"/>
      <c r="F13" s="830"/>
      <c r="G13" s="830"/>
      <c r="H13" s="830"/>
      <c r="I13" s="830"/>
      <c r="J13" s="830"/>
      <c r="K13" s="830"/>
      <c r="L13" s="830"/>
      <c r="M13" s="830"/>
      <c r="N13" s="830"/>
      <c r="O13" s="830"/>
      <c r="P13" s="830"/>
      <c r="Q13" s="830"/>
      <c r="R13" s="830"/>
      <c r="S13" s="830"/>
      <c r="T13" s="830"/>
      <c r="U13" s="830"/>
      <c r="V13" s="830"/>
      <c r="W13" s="830"/>
      <c r="X13" s="830"/>
      <c r="Y13" s="830"/>
      <c r="Z13" s="830"/>
      <c r="AA13" s="830"/>
      <c r="AB13" s="830"/>
      <c r="AC13" s="830"/>
      <c r="AD13" s="895"/>
    </row>
    <row r="14" spans="1:30" ht="15" customHeight="1">
      <c r="A14" s="147"/>
      <c r="B14" s="654"/>
      <c r="C14" s="754" t="s">
        <v>3021</v>
      </c>
      <c r="D14" s="830"/>
      <c r="E14" s="830"/>
      <c r="F14" s="830"/>
      <c r="G14" s="830"/>
      <c r="H14" s="830"/>
      <c r="I14" s="830"/>
      <c r="J14" s="830"/>
      <c r="K14" s="830"/>
      <c r="L14" s="830"/>
      <c r="M14" s="830"/>
      <c r="N14" s="830"/>
      <c r="O14" s="830"/>
      <c r="P14" s="830"/>
      <c r="Q14" s="830"/>
      <c r="R14" s="830"/>
      <c r="S14" s="830"/>
      <c r="T14" s="830"/>
      <c r="U14" s="830"/>
      <c r="V14" s="830"/>
      <c r="W14" s="830"/>
      <c r="X14" s="830"/>
      <c r="Y14" s="830"/>
      <c r="Z14" s="830"/>
      <c r="AA14" s="830"/>
      <c r="AB14" s="830"/>
      <c r="AC14" s="830"/>
      <c r="AD14" s="886"/>
    </row>
    <row r="15" spans="1:30" ht="24" customHeight="1">
      <c r="A15" s="147"/>
      <c r="B15" s="654"/>
      <c r="C15" s="754" t="s">
        <v>3022</v>
      </c>
      <c r="D15" s="754"/>
      <c r="E15" s="754"/>
      <c r="F15" s="754"/>
      <c r="G15" s="754"/>
      <c r="H15" s="754"/>
      <c r="I15" s="754"/>
      <c r="J15" s="754"/>
      <c r="K15" s="754"/>
      <c r="L15" s="754"/>
      <c r="M15" s="754"/>
      <c r="N15" s="754"/>
      <c r="O15" s="754"/>
      <c r="P15" s="754"/>
      <c r="Q15" s="754"/>
      <c r="R15" s="754"/>
      <c r="S15" s="754"/>
      <c r="T15" s="754"/>
      <c r="U15" s="754"/>
      <c r="V15" s="754"/>
      <c r="W15" s="754"/>
      <c r="X15" s="754"/>
      <c r="Y15" s="754"/>
      <c r="Z15" s="754"/>
      <c r="AA15" s="754"/>
      <c r="AB15" s="754"/>
      <c r="AC15" s="754"/>
      <c r="AD15" s="891"/>
    </row>
    <row r="16" spans="1:30" ht="36" customHeight="1">
      <c r="A16" s="110"/>
      <c r="B16" s="111"/>
      <c r="C16" s="754" t="s">
        <v>2558</v>
      </c>
      <c r="D16" s="754"/>
      <c r="E16" s="754"/>
      <c r="F16" s="754"/>
      <c r="G16" s="754"/>
      <c r="H16" s="754"/>
      <c r="I16" s="754"/>
      <c r="J16" s="754"/>
      <c r="K16" s="754"/>
      <c r="L16" s="754"/>
      <c r="M16" s="754"/>
      <c r="N16" s="754"/>
      <c r="O16" s="754"/>
      <c r="P16" s="754"/>
      <c r="Q16" s="754"/>
      <c r="R16" s="754"/>
      <c r="S16" s="754"/>
      <c r="T16" s="754"/>
      <c r="U16" s="754"/>
      <c r="V16" s="754"/>
      <c r="W16" s="754"/>
      <c r="X16" s="754"/>
      <c r="Y16" s="754"/>
      <c r="Z16" s="754"/>
      <c r="AA16" s="754"/>
      <c r="AB16" s="754"/>
      <c r="AC16" s="754"/>
      <c r="AD16" s="755"/>
    </row>
    <row r="17" spans="1:31" ht="48" customHeight="1">
      <c r="A17" s="146"/>
      <c r="B17" s="654"/>
      <c r="C17" s="754" t="s">
        <v>2559</v>
      </c>
      <c r="D17" s="754"/>
      <c r="E17" s="754"/>
      <c r="F17" s="754"/>
      <c r="G17" s="754"/>
      <c r="H17" s="754"/>
      <c r="I17" s="754"/>
      <c r="J17" s="754"/>
      <c r="K17" s="754"/>
      <c r="L17" s="754"/>
      <c r="M17" s="754"/>
      <c r="N17" s="754"/>
      <c r="O17" s="754"/>
      <c r="P17" s="754"/>
      <c r="Q17" s="754"/>
      <c r="R17" s="754"/>
      <c r="S17" s="754"/>
      <c r="T17" s="754"/>
      <c r="U17" s="754"/>
      <c r="V17" s="754"/>
      <c r="W17" s="754"/>
      <c r="X17" s="754"/>
      <c r="Y17" s="754"/>
      <c r="Z17" s="754"/>
      <c r="AA17" s="754"/>
      <c r="AB17" s="754"/>
      <c r="AC17" s="754"/>
      <c r="AD17" s="755"/>
    </row>
    <row r="18" spans="1:31" ht="15" customHeight="1">
      <c r="A18" s="94"/>
      <c r="B18" s="209"/>
      <c r="C18" s="764" t="s">
        <v>2560</v>
      </c>
      <c r="D18" s="764"/>
      <c r="E18" s="764"/>
      <c r="F18" s="764"/>
      <c r="G18" s="764"/>
      <c r="H18" s="764"/>
      <c r="I18" s="764"/>
      <c r="J18" s="764"/>
      <c r="K18" s="764"/>
      <c r="L18" s="764"/>
      <c r="M18" s="764"/>
      <c r="N18" s="764"/>
      <c r="O18" s="764"/>
      <c r="P18" s="764"/>
      <c r="Q18" s="764"/>
      <c r="R18" s="764"/>
      <c r="S18" s="764"/>
      <c r="T18" s="764"/>
      <c r="U18" s="764"/>
      <c r="V18" s="764"/>
      <c r="W18" s="764"/>
      <c r="X18" s="764"/>
      <c r="Y18" s="764"/>
      <c r="Z18" s="764"/>
      <c r="AA18" s="764"/>
      <c r="AB18" s="764"/>
      <c r="AC18" s="764"/>
      <c r="AD18" s="765"/>
    </row>
    <row r="19" spans="1:31" ht="15" customHeight="1">
      <c r="A19" s="94"/>
      <c r="B19" s="852" t="s">
        <v>2561</v>
      </c>
      <c r="C19" s="853"/>
      <c r="D19" s="853"/>
      <c r="E19" s="853"/>
      <c r="F19" s="853"/>
      <c r="G19" s="853"/>
      <c r="H19" s="853"/>
      <c r="I19" s="853"/>
      <c r="J19" s="853"/>
      <c r="K19" s="853"/>
      <c r="L19" s="853"/>
      <c r="M19" s="853"/>
      <c r="N19" s="853"/>
      <c r="O19" s="853"/>
      <c r="P19" s="853"/>
      <c r="Q19" s="853"/>
      <c r="R19" s="853"/>
      <c r="S19" s="853"/>
      <c r="T19" s="853"/>
      <c r="U19" s="853"/>
      <c r="V19" s="853"/>
      <c r="W19" s="853"/>
      <c r="X19" s="853"/>
      <c r="Y19" s="853"/>
      <c r="Z19" s="853"/>
      <c r="AA19" s="853"/>
      <c r="AB19" s="853"/>
      <c r="AC19" s="853"/>
      <c r="AD19" s="854"/>
    </row>
    <row r="20" spans="1:31" ht="24" customHeight="1">
      <c r="A20" s="147"/>
      <c r="B20" s="150"/>
      <c r="C20" s="754" t="s">
        <v>3023</v>
      </c>
      <c r="D20" s="830"/>
      <c r="E20" s="830"/>
      <c r="F20" s="830"/>
      <c r="G20" s="830"/>
      <c r="H20" s="830"/>
      <c r="I20" s="830"/>
      <c r="J20" s="830"/>
      <c r="K20" s="830"/>
      <c r="L20" s="830"/>
      <c r="M20" s="830"/>
      <c r="N20" s="830"/>
      <c r="O20" s="830"/>
      <c r="P20" s="830"/>
      <c r="Q20" s="830"/>
      <c r="R20" s="830"/>
      <c r="S20" s="830"/>
      <c r="T20" s="830"/>
      <c r="U20" s="830"/>
      <c r="V20" s="830"/>
      <c r="W20" s="830"/>
      <c r="X20" s="830"/>
      <c r="Y20" s="830"/>
      <c r="Z20" s="830"/>
      <c r="AA20" s="830"/>
      <c r="AB20" s="830"/>
      <c r="AC20" s="830"/>
      <c r="AD20" s="895"/>
    </row>
    <row r="21" spans="1:31" ht="48" customHeight="1">
      <c r="A21" s="147"/>
      <c r="B21" s="150"/>
      <c r="C21" s="754" t="s">
        <v>3024</v>
      </c>
      <c r="D21" s="830"/>
      <c r="E21" s="830"/>
      <c r="F21" s="830"/>
      <c r="G21" s="830"/>
      <c r="H21" s="830"/>
      <c r="I21" s="830"/>
      <c r="J21" s="830"/>
      <c r="K21" s="830"/>
      <c r="L21" s="830"/>
      <c r="M21" s="830"/>
      <c r="N21" s="830"/>
      <c r="O21" s="830"/>
      <c r="P21" s="830"/>
      <c r="Q21" s="830"/>
      <c r="R21" s="830"/>
      <c r="S21" s="830"/>
      <c r="T21" s="830"/>
      <c r="U21" s="830"/>
      <c r="V21" s="830"/>
      <c r="W21" s="830"/>
      <c r="X21" s="830"/>
      <c r="Y21" s="830"/>
      <c r="Z21" s="830"/>
      <c r="AA21" s="830"/>
      <c r="AB21" s="830"/>
      <c r="AC21" s="830"/>
      <c r="AD21" s="895"/>
    </row>
    <row r="22" spans="1:31" ht="48" customHeight="1">
      <c r="A22" s="50"/>
      <c r="B22" s="654"/>
      <c r="C22" s="754" t="s">
        <v>3025</v>
      </c>
      <c r="D22" s="830"/>
      <c r="E22" s="830"/>
      <c r="F22" s="830"/>
      <c r="G22" s="830"/>
      <c r="H22" s="830"/>
      <c r="I22" s="830"/>
      <c r="J22" s="830"/>
      <c r="K22" s="830"/>
      <c r="L22" s="830"/>
      <c r="M22" s="830"/>
      <c r="N22" s="830"/>
      <c r="O22" s="830"/>
      <c r="P22" s="830"/>
      <c r="Q22" s="830"/>
      <c r="R22" s="830"/>
      <c r="S22" s="830"/>
      <c r="T22" s="830"/>
      <c r="U22" s="830"/>
      <c r="V22" s="830"/>
      <c r="W22" s="830"/>
      <c r="X22" s="830"/>
      <c r="Y22" s="830"/>
      <c r="Z22" s="830"/>
      <c r="AA22" s="830"/>
      <c r="AB22" s="830"/>
      <c r="AC22" s="830"/>
      <c r="AD22" s="895"/>
    </row>
    <row r="23" spans="1:31" ht="36" customHeight="1">
      <c r="A23" s="50"/>
      <c r="B23" s="209"/>
      <c r="C23" s="855" t="s">
        <v>3026</v>
      </c>
      <c r="D23" s="1004"/>
      <c r="E23" s="1004"/>
      <c r="F23" s="1004"/>
      <c r="G23" s="1004"/>
      <c r="H23" s="1004"/>
      <c r="I23" s="1004"/>
      <c r="J23" s="1004"/>
      <c r="K23" s="1004"/>
      <c r="L23" s="1004"/>
      <c r="M23" s="1004"/>
      <c r="N23" s="1004"/>
      <c r="O23" s="1004"/>
      <c r="P23" s="1004"/>
      <c r="Q23" s="1004"/>
      <c r="R23" s="1004"/>
      <c r="S23" s="1004"/>
      <c r="T23" s="1004"/>
      <c r="U23" s="1004"/>
      <c r="V23" s="1004"/>
      <c r="W23" s="1004"/>
      <c r="X23" s="1004"/>
      <c r="Y23" s="1004"/>
      <c r="Z23" s="1004"/>
      <c r="AA23" s="1004"/>
      <c r="AB23" s="1004"/>
      <c r="AC23" s="1004"/>
      <c r="AD23" s="1005"/>
    </row>
    <row r="24" spans="1:31" ht="15.75" thickBot="1">
      <c r="A24" s="94"/>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row>
    <row r="25" spans="1:31" customFormat="1" ht="15" customHeight="1" thickBot="1">
      <c r="A25" s="153" t="s">
        <v>2563</v>
      </c>
      <c r="B25" s="831" t="s">
        <v>3027</v>
      </c>
      <c r="C25" s="832"/>
      <c r="D25" s="832"/>
      <c r="E25" s="832"/>
      <c r="F25" s="832"/>
      <c r="G25" s="832"/>
      <c r="H25" s="832"/>
      <c r="I25" s="832"/>
      <c r="J25" s="832"/>
      <c r="K25" s="832"/>
      <c r="L25" s="832"/>
      <c r="M25" s="832"/>
      <c r="N25" s="832"/>
      <c r="O25" s="832"/>
      <c r="P25" s="832"/>
      <c r="Q25" s="832"/>
      <c r="R25" s="832"/>
      <c r="S25" s="832"/>
      <c r="T25" s="832"/>
      <c r="U25" s="832"/>
      <c r="V25" s="832"/>
      <c r="W25" s="832"/>
      <c r="X25" s="832"/>
      <c r="Y25" s="832"/>
      <c r="Z25" s="832"/>
      <c r="AA25" s="832"/>
      <c r="AB25" s="832"/>
      <c r="AC25" s="832"/>
      <c r="AD25" s="833"/>
      <c r="AE25" s="3"/>
    </row>
    <row r="26" spans="1:31" ht="15">
      <c r="A26" s="94"/>
    </row>
    <row r="27" spans="1:31" ht="24" customHeight="1">
      <c r="A27" s="49" t="s">
        <v>3028</v>
      </c>
      <c r="B27" s="960" t="s">
        <v>3029</v>
      </c>
      <c r="C27" s="960"/>
      <c r="D27" s="960"/>
      <c r="E27" s="960"/>
      <c r="F27" s="960"/>
      <c r="G27" s="960"/>
      <c r="H27" s="960"/>
      <c r="I27" s="960"/>
      <c r="J27" s="960"/>
      <c r="K27" s="960"/>
      <c r="L27" s="960"/>
      <c r="M27" s="960"/>
      <c r="N27" s="960"/>
      <c r="O27" s="960"/>
      <c r="P27" s="960"/>
      <c r="Q27" s="960"/>
      <c r="R27" s="960"/>
      <c r="S27" s="960"/>
      <c r="T27" s="960"/>
      <c r="U27" s="960"/>
      <c r="V27" s="960"/>
      <c r="W27" s="960"/>
      <c r="X27" s="960"/>
      <c r="Y27" s="960"/>
      <c r="Z27" s="960"/>
      <c r="AA27" s="960"/>
      <c r="AB27" s="960"/>
      <c r="AC27" s="960"/>
      <c r="AD27" s="960"/>
    </row>
    <row r="28" spans="1:31" ht="24" customHeight="1">
      <c r="A28" s="146"/>
      <c r="C28" s="830" t="s">
        <v>3030</v>
      </c>
      <c r="D28" s="830"/>
      <c r="E28" s="830"/>
      <c r="F28" s="830"/>
      <c r="G28" s="830"/>
      <c r="H28" s="830"/>
      <c r="I28" s="830"/>
      <c r="J28" s="830"/>
      <c r="K28" s="830"/>
      <c r="L28" s="830"/>
      <c r="M28" s="830"/>
      <c r="N28" s="830"/>
      <c r="O28" s="830"/>
      <c r="P28" s="830"/>
      <c r="Q28" s="830"/>
      <c r="R28" s="830"/>
      <c r="S28" s="830"/>
      <c r="T28" s="830"/>
      <c r="U28" s="830"/>
      <c r="V28" s="830"/>
      <c r="W28" s="830"/>
      <c r="X28" s="830"/>
      <c r="Y28" s="830"/>
      <c r="Z28" s="830"/>
      <c r="AA28" s="830"/>
      <c r="AB28" s="830"/>
      <c r="AC28" s="830"/>
      <c r="AD28" s="830"/>
    </row>
    <row r="29" spans="1:31" ht="24" customHeight="1">
      <c r="A29" s="146"/>
      <c r="C29" s="754" t="s">
        <v>3031</v>
      </c>
      <c r="D29" s="754"/>
      <c r="E29" s="754"/>
      <c r="F29" s="754"/>
      <c r="G29" s="754"/>
      <c r="H29" s="754"/>
      <c r="I29" s="754"/>
      <c r="J29" s="754"/>
      <c r="K29" s="754"/>
      <c r="L29" s="754"/>
      <c r="M29" s="754"/>
      <c r="N29" s="754"/>
      <c r="O29" s="754"/>
      <c r="P29" s="754"/>
      <c r="Q29" s="754"/>
      <c r="R29" s="754"/>
      <c r="S29" s="754"/>
      <c r="T29" s="754"/>
      <c r="U29" s="754"/>
      <c r="V29" s="754"/>
      <c r="W29" s="754"/>
      <c r="X29" s="754"/>
      <c r="Y29" s="754"/>
      <c r="Z29" s="754"/>
      <c r="AA29" s="754"/>
      <c r="AB29" s="754"/>
      <c r="AC29" s="754"/>
      <c r="AD29" s="754"/>
    </row>
    <row r="30" spans="1:31" ht="15" customHeight="1">
      <c r="A30" s="94"/>
      <c r="C30" s="754" t="s">
        <v>3032</v>
      </c>
      <c r="D30" s="754"/>
      <c r="E30" s="754"/>
      <c r="F30" s="754"/>
      <c r="G30" s="754"/>
      <c r="H30" s="754"/>
      <c r="I30" s="754"/>
      <c r="J30" s="754"/>
      <c r="K30" s="754"/>
      <c r="L30" s="754"/>
      <c r="M30" s="754"/>
      <c r="N30" s="754"/>
      <c r="O30" s="754"/>
      <c r="P30" s="754"/>
      <c r="Q30" s="754"/>
      <c r="R30" s="754"/>
      <c r="S30" s="754"/>
      <c r="T30" s="754"/>
      <c r="U30" s="754"/>
      <c r="V30" s="754"/>
      <c r="W30" s="754"/>
      <c r="X30" s="754"/>
      <c r="Y30" s="754"/>
      <c r="Z30" s="754"/>
      <c r="AA30" s="754"/>
      <c r="AB30" s="754"/>
      <c r="AC30" s="754"/>
      <c r="AD30" s="754"/>
    </row>
    <row r="31" spans="1:31" ht="36" customHeight="1">
      <c r="A31" s="147"/>
      <c r="C31" s="830" t="s">
        <v>3033</v>
      </c>
      <c r="D31" s="830"/>
      <c r="E31" s="830"/>
      <c r="F31" s="830"/>
      <c r="G31" s="830"/>
      <c r="H31" s="830"/>
      <c r="I31" s="830"/>
      <c r="J31" s="830"/>
      <c r="K31" s="830"/>
      <c r="L31" s="830"/>
      <c r="M31" s="830"/>
      <c r="N31" s="830"/>
      <c r="O31" s="830"/>
      <c r="P31" s="830"/>
      <c r="Q31" s="830"/>
      <c r="R31" s="830"/>
      <c r="S31" s="830"/>
      <c r="T31" s="830"/>
      <c r="U31" s="830"/>
      <c r="V31" s="830"/>
      <c r="W31" s="830"/>
      <c r="X31" s="830"/>
      <c r="Y31" s="830"/>
      <c r="Z31" s="830"/>
      <c r="AA31" s="830"/>
      <c r="AB31" s="830"/>
      <c r="AC31" s="830"/>
      <c r="AD31" s="830"/>
    </row>
    <row r="32" spans="1:31" ht="36" customHeight="1">
      <c r="A32" s="146"/>
      <c r="C32" s="830" t="s">
        <v>3034</v>
      </c>
      <c r="D32" s="830"/>
      <c r="E32" s="830"/>
      <c r="F32" s="830"/>
      <c r="G32" s="830"/>
      <c r="H32" s="830"/>
      <c r="I32" s="830"/>
      <c r="J32" s="830"/>
      <c r="K32" s="830"/>
      <c r="L32" s="830"/>
      <c r="M32" s="830"/>
      <c r="N32" s="830"/>
      <c r="O32" s="830"/>
      <c r="P32" s="830"/>
      <c r="Q32" s="830"/>
      <c r="R32" s="830"/>
      <c r="S32" s="830"/>
      <c r="T32" s="830"/>
      <c r="U32" s="830"/>
      <c r="V32" s="830"/>
      <c r="W32" s="830"/>
      <c r="X32" s="830"/>
      <c r="Y32" s="830"/>
      <c r="Z32" s="830"/>
      <c r="AA32" s="830"/>
      <c r="AB32" s="830"/>
      <c r="AC32" s="830"/>
      <c r="AD32" s="830"/>
    </row>
    <row r="33" spans="1:30" ht="36" customHeight="1">
      <c r="A33" s="94"/>
      <c r="C33" s="754" t="s">
        <v>3035</v>
      </c>
      <c r="D33" s="754"/>
      <c r="E33" s="754"/>
      <c r="F33" s="754"/>
      <c r="G33" s="754"/>
      <c r="H33" s="754"/>
      <c r="I33" s="754"/>
      <c r="J33" s="754"/>
      <c r="K33" s="754"/>
      <c r="L33" s="754"/>
      <c r="M33" s="754"/>
      <c r="N33" s="754"/>
      <c r="O33" s="754"/>
      <c r="P33" s="754"/>
      <c r="Q33" s="754"/>
      <c r="R33" s="754"/>
      <c r="S33" s="754"/>
      <c r="T33" s="754"/>
      <c r="U33" s="754"/>
      <c r="V33" s="754"/>
      <c r="W33" s="754"/>
      <c r="X33" s="754"/>
      <c r="Y33" s="754"/>
      <c r="Z33" s="754"/>
      <c r="AA33" s="754"/>
      <c r="AB33" s="754"/>
      <c r="AC33" s="754"/>
      <c r="AD33" s="754"/>
    </row>
    <row r="34" spans="1:30" ht="24" customHeight="1">
      <c r="A34" s="94"/>
      <c r="C34" s="754" t="s">
        <v>3036</v>
      </c>
      <c r="D34" s="754"/>
      <c r="E34" s="754"/>
      <c r="F34" s="754"/>
      <c r="G34" s="754"/>
      <c r="H34" s="754"/>
      <c r="I34" s="754"/>
      <c r="J34" s="754"/>
      <c r="K34" s="754"/>
      <c r="L34" s="754"/>
      <c r="M34" s="754"/>
      <c r="N34" s="754"/>
      <c r="O34" s="754"/>
      <c r="P34" s="754"/>
      <c r="Q34" s="754"/>
      <c r="R34" s="754"/>
      <c r="S34" s="754"/>
      <c r="T34" s="754"/>
      <c r="U34" s="754"/>
      <c r="V34" s="754"/>
      <c r="W34" s="754"/>
      <c r="X34" s="754"/>
      <c r="Y34" s="754"/>
      <c r="Z34" s="754"/>
      <c r="AA34" s="754"/>
      <c r="AB34" s="754"/>
      <c r="AC34" s="754"/>
      <c r="AD34" s="754"/>
    </row>
    <row r="35" spans="1:30" ht="24" customHeight="1">
      <c r="A35" s="94"/>
      <c r="C35" s="754" t="s">
        <v>3037</v>
      </c>
      <c r="D35" s="754"/>
      <c r="E35" s="754"/>
      <c r="F35" s="754"/>
      <c r="G35" s="754"/>
      <c r="H35" s="754"/>
      <c r="I35" s="754"/>
      <c r="J35" s="754"/>
      <c r="K35" s="754"/>
      <c r="L35" s="754"/>
      <c r="M35" s="754"/>
      <c r="N35" s="754"/>
      <c r="O35" s="754"/>
      <c r="P35" s="754"/>
      <c r="Q35" s="754"/>
      <c r="R35" s="754"/>
      <c r="S35" s="754"/>
      <c r="T35" s="754"/>
      <c r="U35" s="754"/>
      <c r="V35" s="754"/>
      <c r="W35" s="754"/>
      <c r="X35" s="754"/>
      <c r="Y35" s="754"/>
      <c r="Z35" s="754"/>
      <c r="AA35" s="754"/>
      <c r="AB35" s="754"/>
      <c r="AC35" s="754"/>
      <c r="AD35" s="754"/>
    </row>
    <row r="36" spans="1:30" ht="24" customHeight="1">
      <c r="A36" s="94"/>
      <c r="C36" s="754" t="s">
        <v>3038</v>
      </c>
      <c r="D36" s="754"/>
      <c r="E36" s="754"/>
      <c r="F36" s="754"/>
      <c r="G36" s="754"/>
      <c r="H36" s="754"/>
      <c r="I36" s="754"/>
      <c r="J36" s="754"/>
      <c r="K36" s="754"/>
      <c r="L36" s="754"/>
      <c r="M36" s="754"/>
      <c r="N36" s="754"/>
      <c r="O36" s="754"/>
      <c r="P36" s="754"/>
      <c r="Q36" s="754"/>
      <c r="R36" s="754"/>
      <c r="S36" s="754"/>
      <c r="T36" s="754"/>
      <c r="U36" s="754"/>
      <c r="V36" s="754"/>
      <c r="W36" s="754"/>
      <c r="X36" s="754"/>
      <c r="Y36" s="754"/>
      <c r="Z36" s="754"/>
      <c r="AA36" s="754"/>
      <c r="AB36" s="754"/>
      <c r="AC36" s="754"/>
      <c r="AD36" s="754"/>
    </row>
    <row r="37" spans="1:30" ht="24" customHeight="1">
      <c r="A37" s="146"/>
      <c r="C37" s="754" t="s">
        <v>3039</v>
      </c>
      <c r="D37" s="754"/>
      <c r="E37" s="754"/>
      <c r="F37" s="754"/>
      <c r="G37" s="754"/>
      <c r="H37" s="754"/>
      <c r="I37" s="754"/>
      <c r="J37" s="754"/>
      <c r="K37" s="754"/>
      <c r="L37" s="754"/>
      <c r="M37" s="754"/>
      <c r="N37" s="754"/>
      <c r="O37" s="754"/>
      <c r="P37" s="754"/>
      <c r="Q37" s="754"/>
      <c r="R37" s="754"/>
      <c r="S37" s="754"/>
      <c r="T37" s="754"/>
      <c r="U37" s="754"/>
      <c r="V37" s="754"/>
      <c r="W37" s="754"/>
      <c r="X37" s="754"/>
      <c r="Y37" s="754"/>
      <c r="Z37" s="754"/>
      <c r="AA37" s="754"/>
      <c r="AB37" s="754"/>
      <c r="AC37" s="754"/>
      <c r="AD37" s="754"/>
    </row>
    <row r="38" spans="1:30" ht="24" customHeight="1">
      <c r="A38" s="94"/>
      <c r="C38" s="754" t="s">
        <v>3040</v>
      </c>
      <c r="D38" s="754"/>
      <c r="E38" s="754"/>
      <c r="F38" s="754"/>
      <c r="G38" s="754"/>
      <c r="H38" s="754"/>
      <c r="I38" s="754"/>
      <c r="J38" s="754"/>
      <c r="K38" s="754"/>
      <c r="L38" s="754"/>
      <c r="M38" s="754"/>
      <c r="N38" s="754"/>
      <c r="O38" s="754"/>
      <c r="P38" s="754"/>
      <c r="Q38" s="754"/>
      <c r="R38" s="754"/>
      <c r="S38" s="754"/>
      <c r="T38" s="754"/>
      <c r="U38" s="754"/>
      <c r="V38" s="754"/>
      <c r="W38" s="754"/>
      <c r="X38" s="754"/>
      <c r="Y38" s="754"/>
      <c r="Z38" s="754"/>
      <c r="AA38" s="754"/>
      <c r="AB38" s="754"/>
      <c r="AC38" s="754"/>
      <c r="AD38" s="754"/>
    </row>
    <row r="39" spans="1:30" ht="36" customHeight="1">
      <c r="A39" s="94"/>
      <c r="C39" s="754" t="s">
        <v>3041</v>
      </c>
      <c r="D39" s="754"/>
      <c r="E39" s="754"/>
      <c r="F39" s="754"/>
      <c r="G39" s="754"/>
      <c r="H39" s="754"/>
      <c r="I39" s="754"/>
      <c r="J39" s="754"/>
      <c r="K39" s="754"/>
      <c r="L39" s="754"/>
      <c r="M39" s="754"/>
      <c r="N39" s="754"/>
      <c r="O39" s="754"/>
      <c r="P39" s="754"/>
      <c r="Q39" s="754"/>
      <c r="R39" s="754"/>
      <c r="S39" s="754"/>
      <c r="T39" s="754"/>
      <c r="U39" s="754"/>
      <c r="V39" s="754"/>
      <c r="W39" s="754"/>
      <c r="X39" s="754"/>
      <c r="Y39" s="754"/>
      <c r="Z39" s="754"/>
      <c r="AA39" s="754"/>
      <c r="AB39" s="754"/>
      <c r="AC39" s="754"/>
      <c r="AD39" s="754"/>
    </row>
    <row r="40" spans="1:30" ht="36" customHeight="1">
      <c r="A40" s="94"/>
      <c r="C40" s="754" t="s">
        <v>3042</v>
      </c>
      <c r="D40" s="754"/>
      <c r="E40" s="754"/>
      <c r="F40" s="754"/>
      <c r="G40" s="754"/>
      <c r="H40" s="754"/>
      <c r="I40" s="754"/>
      <c r="J40" s="754"/>
      <c r="K40" s="754"/>
      <c r="L40" s="754"/>
      <c r="M40" s="754"/>
      <c r="N40" s="754"/>
      <c r="O40" s="754"/>
      <c r="P40" s="754"/>
      <c r="Q40" s="754"/>
      <c r="R40" s="754"/>
      <c r="S40" s="754"/>
      <c r="T40" s="754"/>
      <c r="U40" s="754"/>
      <c r="V40" s="754"/>
      <c r="W40" s="754"/>
      <c r="X40" s="754"/>
      <c r="Y40" s="754"/>
      <c r="Z40" s="754"/>
      <c r="AA40" s="754"/>
      <c r="AB40" s="754"/>
      <c r="AC40" s="754"/>
      <c r="AD40" s="754"/>
    </row>
    <row r="41" spans="1:30" ht="15" customHeight="1">
      <c r="A41" s="94"/>
      <c r="C41" s="754" t="s">
        <v>3043</v>
      </c>
      <c r="D41" s="754"/>
      <c r="E41" s="754"/>
      <c r="F41" s="754"/>
      <c r="G41" s="754"/>
      <c r="H41" s="754"/>
      <c r="I41" s="754"/>
      <c r="J41" s="754"/>
      <c r="K41" s="754"/>
      <c r="L41" s="754"/>
      <c r="M41" s="754"/>
      <c r="N41" s="754"/>
      <c r="O41" s="754"/>
      <c r="P41" s="754"/>
      <c r="Q41" s="754"/>
      <c r="R41" s="754"/>
      <c r="S41" s="754"/>
      <c r="T41" s="754"/>
      <c r="U41" s="754"/>
      <c r="V41" s="754"/>
      <c r="W41" s="754"/>
      <c r="X41" s="754"/>
      <c r="Y41" s="754"/>
      <c r="Z41" s="754"/>
      <c r="AA41" s="754"/>
      <c r="AB41" s="754"/>
      <c r="AC41" s="754"/>
      <c r="AD41" s="754"/>
    </row>
    <row r="42" spans="1:30" ht="15" customHeight="1">
      <c r="A42" s="146"/>
      <c r="C42" s="754" t="s">
        <v>3044</v>
      </c>
      <c r="D42" s="754"/>
      <c r="E42" s="754"/>
      <c r="F42" s="754"/>
      <c r="G42" s="754"/>
      <c r="H42" s="754"/>
      <c r="I42" s="754"/>
      <c r="J42" s="754"/>
      <c r="K42" s="754"/>
      <c r="L42" s="754"/>
      <c r="M42" s="754"/>
      <c r="N42" s="754"/>
      <c r="O42" s="754"/>
      <c r="P42" s="754"/>
      <c r="Q42" s="754"/>
      <c r="R42" s="754"/>
      <c r="S42" s="754"/>
      <c r="T42" s="754"/>
      <c r="U42" s="754"/>
      <c r="V42" s="754"/>
      <c r="W42" s="754"/>
      <c r="X42" s="754"/>
      <c r="Y42" s="754"/>
      <c r="Z42" s="754"/>
      <c r="AA42" s="754"/>
      <c r="AB42" s="754"/>
      <c r="AC42" s="754"/>
      <c r="AD42" s="754"/>
    </row>
    <row r="43" spans="1:30" ht="24" customHeight="1">
      <c r="A43" s="146"/>
      <c r="C43" s="754" t="s">
        <v>3045</v>
      </c>
      <c r="D43" s="754"/>
      <c r="E43" s="754"/>
      <c r="F43" s="754"/>
      <c r="G43" s="754"/>
      <c r="H43" s="754"/>
      <c r="I43" s="754"/>
      <c r="J43" s="754"/>
      <c r="K43" s="754"/>
      <c r="L43" s="754"/>
      <c r="M43" s="754"/>
      <c r="N43" s="754"/>
      <c r="O43" s="754"/>
      <c r="P43" s="754"/>
      <c r="Q43" s="754"/>
      <c r="R43" s="754"/>
      <c r="S43" s="754"/>
      <c r="T43" s="754"/>
      <c r="U43" s="754"/>
      <c r="V43" s="754"/>
      <c r="W43" s="754"/>
      <c r="X43" s="754"/>
      <c r="Y43" s="754"/>
      <c r="Z43" s="754"/>
      <c r="AA43" s="754"/>
      <c r="AB43" s="754"/>
      <c r="AC43" s="754"/>
      <c r="AD43" s="754"/>
    </row>
    <row r="44" spans="1:30" ht="48" customHeight="1">
      <c r="A44" s="147"/>
      <c r="C44" s="754" t="s">
        <v>3046</v>
      </c>
      <c r="D44" s="754"/>
      <c r="E44" s="754"/>
      <c r="F44" s="754"/>
      <c r="G44" s="754"/>
      <c r="H44" s="754"/>
      <c r="I44" s="754"/>
      <c r="J44" s="754"/>
      <c r="K44" s="754"/>
      <c r="L44" s="754"/>
      <c r="M44" s="754"/>
      <c r="N44" s="754"/>
      <c r="O44" s="754"/>
      <c r="P44" s="754"/>
      <c r="Q44" s="754"/>
      <c r="R44" s="754"/>
      <c r="S44" s="754"/>
      <c r="T44" s="754"/>
      <c r="U44" s="754"/>
      <c r="V44" s="754"/>
      <c r="W44" s="754"/>
      <c r="X44" s="754"/>
      <c r="Y44" s="754"/>
      <c r="Z44" s="754"/>
      <c r="AA44" s="754"/>
      <c r="AB44" s="754"/>
      <c r="AC44" s="754"/>
      <c r="AD44" s="754"/>
    </row>
    <row r="45" spans="1:30" ht="36" customHeight="1">
      <c r="A45" s="147"/>
      <c r="C45" s="754" t="s">
        <v>3047</v>
      </c>
      <c r="D45" s="754"/>
      <c r="E45" s="754"/>
      <c r="F45" s="754"/>
      <c r="G45" s="754"/>
      <c r="H45" s="754"/>
      <c r="I45" s="754"/>
      <c r="J45" s="754"/>
      <c r="K45" s="754"/>
      <c r="L45" s="754"/>
      <c r="M45" s="754"/>
      <c r="N45" s="754"/>
      <c r="O45" s="754"/>
      <c r="P45" s="754"/>
      <c r="Q45" s="754"/>
      <c r="R45" s="754"/>
      <c r="S45" s="754"/>
      <c r="T45" s="754"/>
      <c r="U45" s="754"/>
      <c r="V45" s="754"/>
      <c r="W45" s="754"/>
      <c r="X45" s="754"/>
      <c r="Y45" s="754"/>
      <c r="Z45" s="754"/>
      <c r="AA45" s="754"/>
      <c r="AB45" s="754"/>
      <c r="AC45" s="754"/>
      <c r="AD45" s="754"/>
    </row>
    <row r="46" spans="1:30" ht="24" customHeight="1">
      <c r="A46" s="146"/>
      <c r="C46" s="754" t="s">
        <v>3048</v>
      </c>
      <c r="D46" s="754"/>
      <c r="E46" s="754"/>
      <c r="F46" s="754"/>
      <c r="G46" s="754"/>
      <c r="H46" s="754"/>
      <c r="I46" s="754"/>
      <c r="J46" s="754"/>
      <c r="K46" s="754"/>
      <c r="L46" s="754"/>
      <c r="M46" s="754"/>
      <c r="N46" s="754"/>
      <c r="O46" s="754"/>
      <c r="P46" s="754"/>
      <c r="Q46" s="754"/>
      <c r="R46" s="754"/>
      <c r="S46" s="754"/>
      <c r="T46" s="754"/>
      <c r="U46" s="754"/>
      <c r="V46" s="754"/>
      <c r="W46" s="754"/>
      <c r="X46" s="754"/>
      <c r="Y46" s="754"/>
      <c r="Z46" s="754"/>
      <c r="AA46" s="754"/>
      <c r="AB46" s="754"/>
      <c r="AC46" s="754"/>
      <c r="AD46" s="754"/>
    </row>
    <row r="47" spans="1:30" ht="15">
      <c r="A47" s="94"/>
    </row>
    <row r="48" spans="1:30" ht="15" customHeight="1">
      <c r="A48" s="94"/>
      <c r="C48" s="732" t="s">
        <v>2581</v>
      </c>
      <c r="D48" s="732"/>
      <c r="E48" s="732"/>
      <c r="F48" s="732"/>
      <c r="G48" s="732"/>
      <c r="H48" s="732"/>
      <c r="I48" s="732" t="s">
        <v>3049</v>
      </c>
      <c r="J48" s="732"/>
      <c r="K48" s="732"/>
      <c r="L48" s="732"/>
      <c r="M48" s="732"/>
      <c r="N48" s="732"/>
      <c r="O48" s="732"/>
      <c r="P48" s="732"/>
      <c r="Q48" s="732"/>
      <c r="R48" s="732"/>
      <c r="S48" s="732"/>
      <c r="T48" s="732"/>
      <c r="U48" s="732"/>
      <c r="V48" s="732"/>
      <c r="W48" s="732"/>
      <c r="X48" s="732"/>
      <c r="Y48" s="732"/>
      <c r="Z48" s="732"/>
      <c r="AA48" s="732"/>
      <c r="AB48" s="732"/>
      <c r="AC48" s="857" t="s">
        <v>3050</v>
      </c>
      <c r="AD48" s="857"/>
    </row>
    <row r="49" spans="1:50" ht="24" customHeight="1">
      <c r="A49" s="94"/>
      <c r="C49" s="732"/>
      <c r="D49" s="732"/>
      <c r="E49" s="732"/>
      <c r="F49" s="732"/>
      <c r="G49" s="732"/>
      <c r="H49" s="732"/>
      <c r="I49" s="857" t="s">
        <v>3051</v>
      </c>
      <c r="J49" s="857"/>
      <c r="K49" s="857" t="s">
        <v>3052</v>
      </c>
      <c r="L49" s="857"/>
      <c r="M49" s="857" t="s">
        <v>3053</v>
      </c>
      <c r="N49" s="857"/>
      <c r="O49" s="736" t="s">
        <v>3054</v>
      </c>
      <c r="P49" s="736"/>
      <c r="Q49" s="736"/>
      <c r="R49" s="736"/>
      <c r="S49" s="857" t="s">
        <v>3055</v>
      </c>
      <c r="T49" s="857"/>
      <c r="U49" s="857" t="s">
        <v>3056</v>
      </c>
      <c r="V49" s="857"/>
      <c r="W49" s="857" t="s">
        <v>3057</v>
      </c>
      <c r="X49" s="857"/>
      <c r="Y49" s="841" t="s">
        <v>3058</v>
      </c>
      <c r="Z49" s="842"/>
      <c r="AA49" s="857" t="s">
        <v>3059</v>
      </c>
      <c r="AB49" s="857"/>
      <c r="AC49" s="857"/>
      <c r="AD49" s="857"/>
    </row>
    <row r="50" spans="1:50" ht="168" customHeight="1">
      <c r="A50" s="146"/>
      <c r="C50" s="732"/>
      <c r="D50" s="732"/>
      <c r="E50" s="732"/>
      <c r="F50" s="732"/>
      <c r="G50" s="732"/>
      <c r="H50" s="732"/>
      <c r="I50" s="857"/>
      <c r="J50" s="857"/>
      <c r="K50" s="857"/>
      <c r="L50" s="857"/>
      <c r="M50" s="857"/>
      <c r="N50" s="857"/>
      <c r="O50" s="857" t="s">
        <v>3060</v>
      </c>
      <c r="P50" s="857"/>
      <c r="Q50" s="857" t="s">
        <v>3061</v>
      </c>
      <c r="R50" s="857"/>
      <c r="S50" s="857"/>
      <c r="T50" s="857"/>
      <c r="U50" s="857"/>
      <c r="V50" s="857"/>
      <c r="W50" s="857"/>
      <c r="X50" s="857"/>
      <c r="Y50" s="845"/>
      <c r="Z50" s="846"/>
      <c r="AA50" s="857"/>
      <c r="AB50" s="857"/>
      <c r="AC50" s="857"/>
      <c r="AD50" s="857"/>
      <c r="AG50" s="311" t="s">
        <v>2586</v>
      </c>
      <c r="AH50" s="312" t="s">
        <v>2590</v>
      </c>
      <c r="AI50" s="313" t="s">
        <v>3062</v>
      </c>
      <c r="AJ50" s="314" t="s">
        <v>3063</v>
      </c>
      <c r="AK50" s="315" t="s">
        <v>3064</v>
      </c>
      <c r="AL50" s="316" t="s">
        <v>3065</v>
      </c>
      <c r="AM50" s="317" t="s">
        <v>3066</v>
      </c>
      <c r="AN50" s="318" t="s">
        <v>3067</v>
      </c>
      <c r="AO50" s="319" t="s">
        <v>3068</v>
      </c>
      <c r="AP50" s="320" t="s">
        <v>3069</v>
      </c>
      <c r="AQ50" s="321" t="s">
        <v>3070</v>
      </c>
      <c r="AR50" s="322" t="s">
        <v>3071</v>
      </c>
      <c r="AS50" s="323" t="s">
        <v>3072</v>
      </c>
      <c r="AT50" s="347" t="s">
        <v>3073</v>
      </c>
      <c r="AU50" s="348" t="s">
        <v>3074</v>
      </c>
      <c r="AW50" s="341" t="s">
        <v>3075</v>
      </c>
      <c r="AX50" s="346" t="s">
        <v>3076</v>
      </c>
    </row>
    <row r="51" spans="1:50" ht="60" customHeight="1">
      <c r="A51" s="94"/>
      <c r="C51" s="98" t="s">
        <v>3077</v>
      </c>
      <c r="D51" s="869" t="s">
        <v>3078</v>
      </c>
      <c r="E51" s="870"/>
      <c r="F51" s="870"/>
      <c r="G51" s="870"/>
      <c r="H51" s="871"/>
      <c r="I51" s="749"/>
      <c r="J51" s="749"/>
      <c r="K51" s="749"/>
      <c r="L51" s="749"/>
      <c r="M51" s="749"/>
      <c r="N51" s="749"/>
      <c r="O51" s="749"/>
      <c r="P51" s="749"/>
      <c r="Q51" s="749"/>
      <c r="R51" s="749"/>
      <c r="S51" s="749"/>
      <c r="T51" s="749"/>
      <c r="U51" s="749"/>
      <c r="V51" s="749"/>
      <c r="W51" s="749"/>
      <c r="X51" s="749"/>
      <c r="Y51" s="749"/>
      <c r="Z51" s="749"/>
      <c r="AA51" s="749"/>
      <c r="AB51" s="749"/>
      <c r="AC51" s="736"/>
      <c r="AD51" s="736"/>
      <c r="AG51" s="324">
        <f>IF(AND(I51&lt;&gt;8,COUNTA(K51:AB51)=9,AC51=""),0,IF(AND(I51=8,COUNTA(K51:AB51)=0,AC51=""),0,IF(AND(I51="",COUNTA(K51:AD51)=0),0,1)))</f>
        <v>0</v>
      </c>
      <c r="AH51" s="325">
        <f>COUNTIF(K51,"NS")+COUNTIF(M51,"NS")+COUNTIF(U51,"NS")+COUNTIF(W51,"NS")</f>
        <v>0</v>
      </c>
      <c r="AI51" s="326">
        <f>IF(ISNUMBER(M51),0,IF(OR(M51="",M51="NA",M51="NS"),0,1))</f>
        <v>0</v>
      </c>
      <c r="AJ51" s="324">
        <f>COUNTIF(M51,"NA")</f>
        <v>0</v>
      </c>
      <c r="AK51" s="327">
        <f>IF(AND(O51=1,Q51&lt;&gt;8),1,0)</f>
        <v>0</v>
      </c>
      <c r="AL51" s="327">
        <f>IF(AND(OR(O51=2,O51=3,O51=4),Q51=4),1,0)</f>
        <v>0</v>
      </c>
      <c r="AM51" s="327">
        <f>IF(AND(O51=9,Q51&lt;&gt;9),1,0)</f>
        <v>0</v>
      </c>
      <c r="AN51" s="327">
        <f>IF(W51&lt;=U51,0,1)</f>
        <v>0</v>
      </c>
      <c r="AO51" s="283" cm="1">
        <f t="array" ref="AO51">IF(AND(OR(S51={22,23,24,99}),U51=0),1,0)</f>
        <v>0</v>
      </c>
      <c r="AP51" s="327">
        <f>IF(AND(K51&lt;&gt;"",U51&lt;&gt;"",AQ51&gt;=18),0,IF(AND(K51="",U51=""),0,IF(AND(K51="NS",U51="NS"),0,1)))</f>
        <v>0</v>
      </c>
      <c r="AQ51" s="327">
        <f>SUM(K51)-SUM(U51)</f>
        <v>0</v>
      </c>
      <c r="AR51" s="327">
        <f>IF(AA51=5,1,0)</f>
        <v>0</v>
      </c>
      <c r="AS51" s="327">
        <f>IF(AA51=3,1,0)</f>
        <v>0</v>
      </c>
      <c r="AT51" s="327">
        <f>IF(OR(M51="NS",M51="NA"),0,LEN(M51)-LEN(INT(M51)-1))</f>
        <v>-2</v>
      </c>
      <c r="AU51" s="327">
        <f>IF(AT51&lt;=0,0,1)</f>
        <v>0</v>
      </c>
      <c r="AW51" s="343">
        <f>IF(AND($I51&lt;&gt;"",$I51=8,COUNTA(K51:AD51)&gt;0),1,0)</f>
        <v>0</v>
      </c>
      <c r="AX51" s="343">
        <f>IF(AND($AC51&lt;&gt;"",COUNTA(I51:AB51)&gt;0),1,0)</f>
        <v>0</v>
      </c>
    </row>
    <row r="52" spans="1:50" ht="15">
      <c r="A52" s="94"/>
      <c r="C52" s="98" t="s">
        <v>2516</v>
      </c>
      <c r="D52" s="813" t="str">
        <f>IF(CNSIPEE_2024_M2_Secc1!D42="","",CNSIPEE_2024_M2_Secc1!D42)</f>
        <v/>
      </c>
      <c r="E52" s="814"/>
      <c r="F52" s="814"/>
      <c r="G52" s="814"/>
      <c r="H52" s="815"/>
      <c r="I52" s="749"/>
      <c r="J52" s="749"/>
      <c r="K52" s="749"/>
      <c r="L52" s="749"/>
      <c r="M52" s="749"/>
      <c r="N52" s="749"/>
      <c r="O52" s="749"/>
      <c r="P52" s="749"/>
      <c r="Q52" s="749"/>
      <c r="R52" s="749"/>
      <c r="S52" s="749"/>
      <c r="T52" s="749"/>
      <c r="U52" s="749"/>
      <c r="V52" s="749"/>
      <c r="W52" s="749"/>
      <c r="X52" s="749"/>
      <c r="Y52" s="749"/>
      <c r="Z52" s="749"/>
      <c r="AA52" s="749"/>
      <c r="AB52" s="749"/>
      <c r="AC52" s="749"/>
      <c r="AD52" s="749"/>
      <c r="AG52" s="324">
        <f>IF(AND(COUNTBLANK(D52)=0,I52&lt;&gt;8,COUNTA(K52:AB52)=9,AC52=""),0,IF(AND(COUNTBLANK(D52)=0,I52=8,COUNTA(K52:AB52)=0,AC52=""),0,IF(AND(COUNTBLANK(D52)=0,COUNTA(I52:AB52)=0,AC52&lt;&gt;""),0,IF(AND(COUNTBLANK(D52)=1,I52="",COUNTA(K52:AD52)=0),0,1))))</f>
        <v>0</v>
      </c>
      <c r="AH52" s="325">
        <f t="shared" ref="AH52:AH59" si="0">COUNTIF(K52,"NS")+COUNTIF(M52,"NS")+COUNTIF(U52,"NS")+COUNTIF(W52,"NS")</f>
        <v>0</v>
      </c>
      <c r="AI52" s="326">
        <f t="shared" ref="AI52:AI59" si="1">IF(ISNUMBER(M52),0,IF(OR(M52="",M52="NA",M52="NS"),0,1))</f>
        <v>0</v>
      </c>
      <c r="AJ52" s="324">
        <f t="shared" ref="AJ52:AJ59" si="2">COUNTIF(M52,"NA")</f>
        <v>0</v>
      </c>
      <c r="AK52" s="327">
        <f t="shared" ref="AK52:AK59" si="3">IF(AND(O52=1,Q52&lt;&gt;8),1,0)</f>
        <v>0</v>
      </c>
      <c r="AL52" s="327">
        <f t="shared" ref="AL52:AL59" si="4">IF(AND(OR(O52=2,O52=3,O52=4),Q52=4),1,0)</f>
        <v>0</v>
      </c>
      <c r="AM52" s="327">
        <f t="shared" ref="AM52:AM59" si="5">IF(AND(O52=9,Q52&lt;&gt;9),1,0)</f>
        <v>0</v>
      </c>
      <c r="AN52" s="327">
        <f t="shared" ref="AN52:AN59" si="6">IF(W52&lt;=U52,0,1)</f>
        <v>0</v>
      </c>
      <c r="AO52" s="283" cm="1">
        <f t="array" ref="AO52">IF(AND(OR(S52={22,23,24,99}),U52=0),1,0)</f>
        <v>0</v>
      </c>
      <c r="AP52" s="327">
        <f t="shared" ref="AP52:AP59" si="7">IF(AND(K52&lt;&gt;"",U52&lt;&gt;"",AQ52&gt;=18),0,IF(AND(K52="",U52=""),0,IF(AND(K52="NS",U52="NS"),0,1)))</f>
        <v>0</v>
      </c>
      <c r="AQ52" s="327">
        <f t="shared" ref="AQ52:AQ59" si="8">SUM(K52)-SUM(U52)</f>
        <v>0</v>
      </c>
      <c r="AR52" s="327">
        <f t="shared" ref="AR52:AR59" si="9">IF(AA52=5,1,0)</f>
        <v>0</v>
      </c>
      <c r="AS52" s="327"/>
      <c r="AT52" s="327">
        <f t="shared" ref="AT52:AT59" si="10">IF(OR(M52="NS",M52="NA"),0,LEN(M52)-LEN(INT(M52)-1))</f>
        <v>-2</v>
      </c>
      <c r="AU52" s="327">
        <f t="shared" ref="AU52:AU59" si="11">IF(AT52&lt;=0,0,1)</f>
        <v>0</v>
      </c>
      <c r="AW52" s="343">
        <f t="shared" ref="AW52:AW59" si="12">IF(AND($I52&lt;&gt;"",$I52=8,COUNTA(K52:AD52)&gt;0),1,0)</f>
        <v>0</v>
      </c>
      <c r="AX52" s="343">
        <f t="shared" ref="AX52:AX59" si="13">IF(AND($AC52&lt;&gt;"",COUNTA(I52:AB52)&gt;0),1,0)</f>
        <v>0</v>
      </c>
    </row>
    <row r="53" spans="1:50" ht="15">
      <c r="A53" s="94"/>
      <c r="C53" s="98" t="s">
        <v>2517</v>
      </c>
      <c r="D53" s="813" t="str">
        <f>IF(CNSIPEE_2024_M2_Secc1!D43="","",CNSIPEE_2024_M2_Secc1!D43)</f>
        <v/>
      </c>
      <c r="E53" s="814"/>
      <c r="F53" s="814"/>
      <c r="G53" s="814"/>
      <c r="H53" s="815"/>
      <c r="I53" s="749"/>
      <c r="J53" s="749"/>
      <c r="K53" s="749"/>
      <c r="L53" s="749"/>
      <c r="M53" s="749"/>
      <c r="N53" s="749"/>
      <c r="O53" s="749"/>
      <c r="P53" s="749"/>
      <c r="Q53" s="749"/>
      <c r="R53" s="749"/>
      <c r="S53" s="749"/>
      <c r="T53" s="749"/>
      <c r="U53" s="749"/>
      <c r="V53" s="749"/>
      <c r="W53" s="749"/>
      <c r="X53" s="749"/>
      <c r="Y53" s="749"/>
      <c r="Z53" s="749"/>
      <c r="AA53" s="749"/>
      <c r="AB53" s="749"/>
      <c r="AC53" s="749"/>
      <c r="AD53" s="749"/>
      <c r="AG53" s="324">
        <f t="shared" ref="AG53:AG59" si="14">IF(AND(COUNTBLANK(D53)=0,I53&lt;&gt;8,COUNTA(K53:AB53)=9,AC53=""),0,IF(AND(COUNTBLANK(D53)=0,I53=8,COUNTA(K53:AB53)=0,AC53=""),0,IF(AND(COUNTBLANK(D53)=0,COUNTA(I53:AB53)=0,AC53&lt;&gt;""),0,IF(AND(COUNTBLANK(D53)=1,I53="",COUNTA(K53:AD53)=0),0,1))))</f>
        <v>0</v>
      </c>
      <c r="AH53" s="325">
        <f t="shared" si="0"/>
        <v>0</v>
      </c>
      <c r="AI53" s="326">
        <f t="shared" si="1"/>
        <v>0</v>
      </c>
      <c r="AJ53" s="324">
        <f t="shared" si="2"/>
        <v>0</v>
      </c>
      <c r="AK53" s="327">
        <f t="shared" si="3"/>
        <v>0</v>
      </c>
      <c r="AL53" s="327">
        <f t="shared" si="4"/>
        <v>0</v>
      </c>
      <c r="AM53" s="327">
        <f t="shared" si="5"/>
        <v>0</v>
      </c>
      <c r="AN53" s="327">
        <f t="shared" si="6"/>
        <v>0</v>
      </c>
      <c r="AO53" s="283" cm="1">
        <f t="array" ref="AO53">IF(AND(OR(S53={22,23,24,99}),U53=0),1,0)</f>
        <v>0</v>
      </c>
      <c r="AP53" s="327">
        <f t="shared" si="7"/>
        <v>0</v>
      </c>
      <c r="AQ53" s="327">
        <f t="shared" si="8"/>
        <v>0</v>
      </c>
      <c r="AR53" s="327">
        <f t="shared" si="9"/>
        <v>0</v>
      </c>
      <c r="AS53" s="327"/>
      <c r="AT53" s="327">
        <f t="shared" si="10"/>
        <v>-2</v>
      </c>
      <c r="AU53" s="327">
        <f t="shared" si="11"/>
        <v>0</v>
      </c>
      <c r="AW53" s="343">
        <f t="shared" si="12"/>
        <v>0</v>
      </c>
      <c r="AX53" s="343">
        <f t="shared" si="13"/>
        <v>0</v>
      </c>
    </row>
    <row r="54" spans="1:50" ht="15">
      <c r="A54" s="94"/>
      <c r="C54" s="98" t="s">
        <v>2518</v>
      </c>
      <c r="D54" s="813" t="str">
        <f>IF(CNSIPEE_2024_M2_Secc1!D44="","",CNSIPEE_2024_M2_Secc1!D44)</f>
        <v/>
      </c>
      <c r="E54" s="814"/>
      <c r="F54" s="814"/>
      <c r="G54" s="814"/>
      <c r="H54" s="815"/>
      <c r="I54" s="749"/>
      <c r="J54" s="749"/>
      <c r="K54" s="749"/>
      <c r="L54" s="749"/>
      <c r="M54" s="749"/>
      <c r="N54" s="749"/>
      <c r="O54" s="749"/>
      <c r="P54" s="749"/>
      <c r="Q54" s="749"/>
      <c r="R54" s="749"/>
      <c r="S54" s="749"/>
      <c r="T54" s="749"/>
      <c r="U54" s="749"/>
      <c r="V54" s="749"/>
      <c r="W54" s="749"/>
      <c r="X54" s="749"/>
      <c r="Y54" s="749"/>
      <c r="Z54" s="749"/>
      <c r="AA54" s="749"/>
      <c r="AB54" s="749"/>
      <c r="AC54" s="749"/>
      <c r="AD54" s="749"/>
      <c r="AG54" s="324">
        <f t="shared" si="14"/>
        <v>0</v>
      </c>
      <c r="AH54" s="325">
        <f t="shared" si="0"/>
        <v>0</v>
      </c>
      <c r="AI54" s="326">
        <f t="shared" si="1"/>
        <v>0</v>
      </c>
      <c r="AJ54" s="324">
        <f t="shared" si="2"/>
        <v>0</v>
      </c>
      <c r="AK54" s="327">
        <f t="shared" si="3"/>
        <v>0</v>
      </c>
      <c r="AL54" s="327">
        <f t="shared" si="4"/>
        <v>0</v>
      </c>
      <c r="AM54" s="327">
        <f t="shared" si="5"/>
        <v>0</v>
      </c>
      <c r="AN54" s="327">
        <f t="shared" si="6"/>
        <v>0</v>
      </c>
      <c r="AO54" s="283" cm="1">
        <f t="array" ref="AO54">IF(AND(OR(S54={22,23,24,99}),U54=0),1,0)</f>
        <v>0</v>
      </c>
      <c r="AP54" s="327">
        <f t="shared" si="7"/>
        <v>0</v>
      </c>
      <c r="AQ54" s="327">
        <f t="shared" si="8"/>
        <v>0</v>
      </c>
      <c r="AR54" s="327">
        <f t="shared" si="9"/>
        <v>0</v>
      </c>
      <c r="AS54" s="327"/>
      <c r="AT54" s="327">
        <f t="shared" si="10"/>
        <v>-2</v>
      </c>
      <c r="AU54" s="327">
        <f t="shared" si="11"/>
        <v>0</v>
      </c>
      <c r="AW54" s="343">
        <f t="shared" si="12"/>
        <v>0</v>
      </c>
      <c r="AX54" s="343">
        <f t="shared" si="13"/>
        <v>0</v>
      </c>
    </row>
    <row r="55" spans="1:50" ht="15">
      <c r="A55" s="94"/>
      <c r="C55" s="98" t="s">
        <v>2519</v>
      </c>
      <c r="D55" s="813" t="str">
        <f>IF(CNSIPEE_2024_M2_Secc1!D45="","",CNSIPEE_2024_M2_Secc1!D45)</f>
        <v/>
      </c>
      <c r="E55" s="814"/>
      <c r="F55" s="814"/>
      <c r="G55" s="814"/>
      <c r="H55" s="815"/>
      <c r="I55" s="749"/>
      <c r="J55" s="749"/>
      <c r="K55" s="749"/>
      <c r="L55" s="749"/>
      <c r="M55" s="749"/>
      <c r="N55" s="749"/>
      <c r="O55" s="749"/>
      <c r="P55" s="749"/>
      <c r="Q55" s="749"/>
      <c r="R55" s="749"/>
      <c r="S55" s="749"/>
      <c r="T55" s="749"/>
      <c r="U55" s="749"/>
      <c r="V55" s="749"/>
      <c r="W55" s="749"/>
      <c r="X55" s="749"/>
      <c r="Y55" s="749"/>
      <c r="Z55" s="749"/>
      <c r="AA55" s="749"/>
      <c r="AB55" s="749"/>
      <c r="AC55" s="749"/>
      <c r="AD55" s="749"/>
      <c r="AG55" s="324">
        <f t="shared" si="14"/>
        <v>0</v>
      </c>
      <c r="AH55" s="325">
        <f t="shared" si="0"/>
        <v>0</v>
      </c>
      <c r="AI55" s="326">
        <f t="shared" si="1"/>
        <v>0</v>
      </c>
      <c r="AJ55" s="324">
        <f t="shared" si="2"/>
        <v>0</v>
      </c>
      <c r="AK55" s="327">
        <f t="shared" si="3"/>
        <v>0</v>
      </c>
      <c r="AL55" s="327">
        <f t="shared" si="4"/>
        <v>0</v>
      </c>
      <c r="AM55" s="327">
        <f t="shared" si="5"/>
        <v>0</v>
      </c>
      <c r="AN55" s="327">
        <f t="shared" si="6"/>
        <v>0</v>
      </c>
      <c r="AO55" s="283" cm="1">
        <f t="array" ref="AO55">IF(AND(OR(S55={22,23,24,99}),U55=0),1,0)</f>
        <v>0</v>
      </c>
      <c r="AP55" s="327">
        <f t="shared" si="7"/>
        <v>0</v>
      </c>
      <c r="AQ55" s="327">
        <f t="shared" si="8"/>
        <v>0</v>
      </c>
      <c r="AR55" s="327">
        <f t="shared" si="9"/>
        <v>0</v>
      </c>
      <c r="AS55" s="327"/>
      <c r="AT55" s="327">
        <f t="shared" si="10"/>
        <v>-2</v>
      </c>
      <c r="AU55" s="327">
        <f t="shared" si="11"/>
        <v>0</v>
      </c>
      <c r="AW55" s="343">
        <f t="shared" si="12"/>
        <v>0</v>
      </c>
      <c r="AX55" s="343">
        <f t="shared" si="13"/>
        <v>0</v>
      </c>
    </row>
    <row r="56" spans="1:50" ht="15">
      <c r="A56" s="94"/>
      <c r="C56" s="98" t="s">
        <v>2520</v>
      </c>
      <c r="D56" s="813" t="str">
        <f>IF(CNSIPEE_2024_M2_Secc1!D46="","",CNSIPEE_2024_M2_Secc1!D46)</f>
        <v/>
      </c>
      <c r="E56" s="814"/>
      <c r="F56" s="814"/>
      <c r="G56" s="814"/>
      <c r="H56" s="815"/>
      <c r="I56" s="749"/>
      <c r="J56" s="749"/>
      <c r="K56" s="749"/>
      <c r="L56" s="749"/>
      <c r="M56" s="749"/>
      <c r="N56" s="749"/>
      <c r="O56" s="749"/>
      <c r="P56" s="749"/>
      <c r="Q56" s="749"/>
      <c r="R56" s="749"/>
      <c r="S56" s="749"/>
      <c r="T56" s="749"/>
      <c r="U56" s="749"/>
      <c r="V56" s="749"/>
      <c r="W56" s="749"/>
      <c r="X56" s="749"/>
      <c r="Y56" s="749"/>
      <c r="Z56" s="749"/>
      <c r="AA56" s="749"/>
      <c r="AB56" s="749"/>
      <c r="AC56" s="749"/>
      <c r="AD56" s="749"/>
      <c r="AG56" s="324">
        <f t="shared" si="14"/>
        <v>0</v>
      </c>
      <c r="AH56" s="325">
        <f t="shared" si="0"/>
        <v>0</v>
      </c>
      <c r="AI56" s="326">
        <f t="shared" si="1"/>
        <v>0</v>
      </c>
      <c r="AJ56" s="324">
        <f t="shared" si="2"/>
        <v>0</v>
      </c>
      <c r="AK56" s="327">
        <f t="shared" si="3"/>
        <v>0</v>
      </c>
      <c r="AL56" s="327">
        <f t="shared" si="4"/>
        <v>0</v>
      </c>
      <c r="AM56" s="327">
        <f t="shared" si="5"/>
        <v>0</v>
      </c>
      <c r="AN56" s="327">
        <f t="shared" si="6"/>
        <v>0</v>
      </c>
      <c r="AO56" s="283" cm="1">
        <f t="array" ref="AO56">IF(AND(OR(S56={22,23,24,99}),U56=0),1,0)</f>
        <v>0</v>
      </c>
      <c r="AP56" s="327">
        <f t="shared" si="7"/>
        <v>0</v>
      </c>
      <c r="AQ56" s="327">
        <f t="shared" si="8"/>
        <v>0</v>
      </c>
      <c r="AR56" s="327">
        <f t="shared" si="9"/>
        <v>0</v>
      </c>
      <c r="AS56" s="327"/>
      <c r="AT56" s="327">
        <f t="shared" si="10"/>
        <v>-2</v>
      </c>
      <c r="AU56" s="327">
        <f t="shared" si="11"/>
        <v>0</v>
      </c>
      <c r="AW56" s="343">
        <f t="shared" si="12"/>
        <v>0</v>
      </c>
      <c r="AX56" s="343">
        <f t="shared" si="13"/>
        <v>0</v>
      </c>
    </row>
    <row r="57" spans="1:50" ht="15">
      <c r="A57" s="94"/>
      <c r="C57" s="98" t="s">
        <v>2521</v>
      </c>
      <c r="D57" s="813" t="str">
        <f>IF(CNSIPEE_2024_M2_Secc1!D47="","",CNSIPEE_2024_M2_Secc1!D47)</f>
        <v/>
      </c>
      <c r="E57" s="814"/>
      <c r="F57" s="814"/>
      <c r="G57" s="814"/>
      <c r="H57" s="815"/>
      <c r="I57" s="749"/>
      <c r="J57" s="749"/>
      <c r="K57" s="749"/>
      <c r="L57" s="749"/>
      <c r="M57" s="749"/>
      <c r="N57" s="749"/>
      <c r="O57" s="749"/>
      <c r="P57" s="749"/>
      <c r="Q57" s="749"/>
      <c r="R57" s="749"/>
      <c r="S57" s="749"/>
      <c r="T57" s="749"/>
      <c r="U57" s="749"/>
      <c r="V57" s="749"/>
      <c r="W57" s="749"/>
      <c r="X57" s="749"/>
      <c r="Y57" s="749"/>
      <c r="Z57" s="749"/>
      <c r="AA57" s="749"/>
      <c r="AB57" s="749"/>
      <c r="AC57" s="749"/>
      <c r="AD57" s="749"/>
      <c r="AG57" s="324">
        <f t="shared" si="14"/>
        <v>0</v>
      </c>
      <c r="AH57" s="325">
        <f t="shared" si="0"/>
        <v>0</v>
      </c>
      <c r="AI57" s="326">
        <f t="shared" si="1"/>
        <v>0</v>
      </c>
      <c r="AJ57" s="324">
        <f t="shared" si="2"/>
        <v>0</v>
      </c>
      <c r="AK57" s="327">
        <f t="shared" si="3"/>
        <v>0</v>
      </c>
      <c r="AL57" s="327">
        <f t="shared" si="4"/>
        <v>0</v>
      </c>
      <c r="AM57" s="327">
        <f t="shared" si="5"/>
        <v>0</v>
      </c>
      <c r="AN57" s="327">
        <f t="shared" si="6"/>
        <v>0</v>
      </c>
      <c r="AO57" s="283" cm="1">
        <f t="array" ref="AO57">IF(AND(OR(S57={22,23,24,99}),U57=0),1,0)</f>
        <v>0</v>
      </c>
      <c r="AP57" s="327">
        <f t="shared" si="7"/>
        <v>0</v>
      </c>
      <c r="AQ57" s="327">
        <f t="shared" si="8"/>
        <v>0</v>
      </c>
      <c r="AR57" s="327">
        <f t="shared" si="9"/>
        <v>0</v>
      </c>
      <c r="AS57" s="327"/>
      <c r="AT57" s="327">
        <f t="shared" si="10"/>
        <v>-2</v>
      </c>
      <c r="AU57" s="327">
        <f t="shared" si="11"/>
        <v>0</v>
      </c>
      <c r="AW57" s="343">
        <f t="shared" si="12"/>
        <v>0</v>
      </c>
      <c r="AX57" s="343">
        <f t="shared" si="13"/>
        <v>0</v>
      </c>
    </row>
    <row r="58" spans="1:50" ht="15">
      <c r="A58" s="94"/>
      <c r="C58" s="98" t="s">
        <v>2522</v>
      </c>
      <c r="D58" s="813" t="str">
        <f>IF(CNSIPEE_2024_M2_Secc1!D48="","",CNSIPEE_2024_M2_Secc1!D48)</f>
        <v/>
      </c>
      <c r="E58" s="814"/>
      <c r="F58" s="814"/>
      <c r="G58" s="814"/>
      <c r="H58" s="815"/>
      <c r="I58" s="749"/>
      <c r="J58" s="749"/>
      <c r="K58" s="749"/>
      <c r="L58" s="749"/>
      <c r="M58" s="749"/>
      <c r="N58" s="749"/>
      <c r="O58" s="749"/>
      <c r="P58" s="749"/>
      <c r="Q58" s="749"/>
      <c r="R58" s="749"/>
      <c r="S58" s="749"/>
      <c r="T58" s="749"/>
      <c r="U58" s="749"/>
      <c r="V58" s="749"/>
      <c r="W58" s="749"/>
      <c r="X58" s="749"/>
      <c r="Y58" s="749"/>
      <c r="Z58" s="749"/>
      <c r="AA58" s="749"/>
      <c r="AB58" s="749"/>
      <c r="AC58" s="749"/>
      <c r="AD58" s="749"/>
      <c r="AG58" s="324">
        <f t="shared" si="14"/>
        <v>0</v>
      </c>
      <c r="AH58" s="325">
        <f t="shared" si="0"/>
        <v>0</v>
      </c>
      <c r="AI58" s="326">
        <f t="shared" si="1"/>
        <v>0</v>
      </c>
      <c r="AJ58" s="324">
        <f t="shared" si="2"/>
        <v>0</v>
      </c>
      <c r="AK58" s="327">
        <f t="shared" si="3"/>
        <v>0</v>
      </c>
      <c r="AL58" s="327">
        <f t="shared" si="4"/>
        <v>0</v>
      </c>
      <c r="AM58" s="327">
        <f t="shared" si="5"/>
        <v>0</v>
      </c>
      <c r="AN58" s="327">
        <f t="shared" si="6"/>
        <v>0</v>
      </c>
      <c r="AO58" s="283" cm="1">
        <f t="array" ref="AO58">IF(AND(OR(S58={22,23,24,99}),U58=0),1,0)</f>
        <v>0</v>
      </c>
      <c r="AP58" s="327">
        <f t="shared" si="7"/>
        <v>0</v>
      </c>
      <c r="AQ58" s="327">
        <f t="shared" si="8"/>
        <v>0</v>
      </c>
      <c r="AR58" s="327">
        <f t="shared" si="9"/>
        <v>0</v>
      </c>
      <c r="AS58" s="327"/>
      <c r="AT58" s="327">
        <f t="shared" si="10"/>
        <v>-2</v>
      </c>
      <c r="AU58" s="327">
        <f t="shared" si="11"/>
        <v>0</v>
      </c>
      <c r="AW58" s="343">
        <f t="shared" si="12"/>
        <v>0</v>
      </c>
      <c r="AX58" s="343">
        <f t="shared" si="13"/>
        <v>0</v>
      </c>
    </row>
    <row r="59" spans="1:50" ht="15">
      <c r="A59" s="94"/>
      <c r="C59" s="98" t="s">
        <v>2523</v>
      </c>
      <c r="D59" s="813" t="str">
        <f>IF(CNSIPEE_2024_M2_Secc1!D49="","",CNSIPEE_2024_M2_Secc1!D49)</f>
        <v/>
      </c>
      <c r="E59" s="814"/>
      <c r="F59" s="814"/>
      <c r="G59" s="814"/>
      <c r="H59" s="815"/>
      <c r="I59" s="749"/>
      <c r="J59" s="749"/>
      <c r="K59" s="749"/>
      <c r="L59" s="749"/>
      <c r="M59" s="749"/>
      <c r="N59" s="749"/>
      <c r="O59" s="749"/>
      <c r="P59" s="749"/>
      <c r="Q59" s="749"/>
      <c r="R59" s="749"/>
      <c r="S59" s="749"/>
      <c r="T59" s="749"/>
      <c r="U59" s="749"/>
      <c r="V59" s="749"/>
      <c r="W59" s="749"/>
      <c r="X59" s="749"/>
      <c r="Y59" s="749"/>
      <c r="Z59" s="749"/>
      <c r="AA59" s="749"/>
      <c r="AB59" s="749"/>
      <c r="AC59" s="749"/>
      <c r="AD59" s="749"/>
      <c r="AG59" s="324">
        <f t="shared" si="14"/>
        <v>0</v>
      </c>
      <c r="AH59" s="325">
        <f t="shared" si="0"/>
        <v>0</v>
      </c>
      <c r="AI59" s="326">
        <f t="shared" si="1"/>
        <v>0</v>
      </c>
      <c r="AJ59" s="324">
        <f t="shared" si="2"/>
        <v>0</v>
      </c>
      <c r="AK59" s="327">
        <f t="shared" si="3"/>
        <v>0</v>
      </c>
      <c r="AL59" s="327">
        <f t="shared" si="4"/>
        <v>0</v>
      </c>
      <c r="AM59" s="327">
        <f t="shared" si="5"/>
        <v>0</v>
      </c>
      <c r="AN59" s="327">
        <f t="shared" si="6"/>
        <v>0</v>
      </c>
      <c r="AO59" s="283" cm="1">
        <f t="array" ref="AO59">IF(AND(OR(S59={22,23,24,99}),U59=0),1,0)</f>
        <v>0</v>
      </c>
      <c r="AP59" s="327">
        <f t="shared" si="7"/>
        <v>0</v>
      </c>
      <c r="AQ59" s="327">
        <f t="shared" si="8"/>
        <v>0</v>
      </c>
      <c r="AR59" s="327">
        <f t="shared" si="9"/>
        <v>0</v>
      </c>
      <c r="AS59" s="327"/>
      <c r="AT59" s="327">
        <f t="shared" si="10"/>
        <v>-2</v>
      </c>
      <c r="AU59" s="327">
        <f t="shared" si="11"/>
        <v>0</v>
      </c>
      <c r="AW59" s="343">
        <f t="shared" si="12"/>
        <v>0</v>
      </c>
      <c r="AX59" s="343">
        <f t="shared" si="13"/>
        <v>0</v>
      </c>
    </row>
    <row r="60" spans="1:50" ht="15.75">
      <c r="A60" s="94"/>
      <c r="B60" s="1003" t="str">
        <f>IF(AP60&gt;0,"Favor de revisar lo registrado en el apartado de Edad debido a que tiene inconsistencias con la Antigüedad en el servicio ","")</f>
        <v/>
      </c>
      <c r="C60" s="1003"/>
      <c r="D60" s="1003"/>
      <c r="E60" s="1003"/>
      <c r="F60" s="1003"/>
      <c r="G60" s="1003"/>
      <c r="H60" s="1003"/>
      <c r="I60" s="1003"/>
      <c r="J60" s="1003"/>
      <c r="K60" s="1003"/>
      <c r="L60" s="1003"/>
      <c r="M60" s="1003"/>
      <c r="N60" s="1003"/>
      <c r="O60" s="1003"/>
      <c r="P60" s="1003"/>
      <c r="Q60" s="1003"/>
      <c r="R60" s="1003"/>
      <c r="S60" s="1003"/>
      <c r="T60" s="1003"/>
      <c r="U60" s="1003"/>
      <c r="V60" s="1003"/>
      <c r="W60" s="1003"/>
      <c r="X60" s="1003"/>
      <c r="Y60" s="1003"/>
      <c r="Z60" s="1003"/>
      <c r="AA60" s="1003"/>
      <c r="AB60" s="1003"/>
      <c r="AC60" s="1003"/>
      <c r="AD60" s="1003"/>
      <c r="AG60" s="328">
        <f t="shared" ref="AG60:AP60" si="15">SUM(AG51:AG59)</f>
        <v>0</v>
      </c>
      <c r="AH60" s="340">
        <f t="shared" si="15"/>
        <v>0</v>
      </c>
      <c r="AI60" s="329">
        <f t="shared" si="15"/>
        <v>0</v>
      </c>
      <c r="AJ60" s="330">
        <f t="shared" si="15"/>
        <v>0</v>
      </c>
      <c r="AK60" s="331">
        <f t="shared" si="15"/>
        <v>0</v>
      </c>
      <c r="AL60" s="332">
        <f t="shared" si="15"/>
        <v>0</v>
      </c>
      <c r="AM60" s="333">
        <f t="shared" si="15"/>
        <v>0</v>
      </c>
      <c r="AN60" s="334">
        <f t="shared" si="15"/>
        <v>0</v>
      </c>
      <c r="AO60" s="335">
        <f t="shared" si="15"/>
        <v>0</v>
      </c>
      <c r="AP60" s="336">
        <f t="shared" si="15"/>
        <v>0</v>
      </c>
      <c r="AQ60"/>
      <c r="AR60" s="337">
        <f>SUM(AR51:AR59)</f>
        <v>0</v>
      </c>
      <c r="AS60" s="338"/>
      <c r="AT60"/>
      <c r="AU60" s="339">
        <f>SUM(AU51:AU59)</f>
        <v>0</v>
      </c>
      <c r="AW60" s="344">
        <f>SUM(AW51:AW59)</f>
        <v>0</v>
      </c>
      <c r="AX60" s="345">
        <f>SUM(AX51:AX59)</f>
        <v>0</v>
      </c>
    </row>
    <row r="61" spans="1:50" ht="45" customHeight="1">
      <c r="A61" s="94"/>
      <c r="C61" s="822" t="s">
        <v>3079</v>
      </c>
      <c r="D61" s="822"/>
      <c r="E61" s="822"/>
      <c r="F61" s="816"/>
      <c r="G61" s="738"/>
      <c r="H61" s="738"/>
      <c r="I61" s="738"/>
      <c r="J61" s="738"/>
      <c r="K61" s="738"/>
      <c r="L61" s="738"/>
      <c r="M61" s="738"/>
      <c r="N61" s="738"/>
      <c r="O61" s="738"/>
      <c r="P61" s="738"/>
      <c r="Q61" s="738"/>
      <c r="R61" s="738"/>
      <c r="S61" s="738"/>
      <c r="T61" s="738"/>
      <c r="U61" s="738"/>
      <c r="V61" s="738"/>
      <c r="W61" s="738"/>
      <c r="X61" s="738"/>
      <c r="Y61" s="738"/>
      <c r="Z61" s="738"/>
      <c r="AA61" s="738"/>
      <c r="AB61" s="738"/>
      <c r="AC61" s="738"/>
      <c r="AD61" s="817"/>
    </row>
    <row r="62" spans="1:50" ht="15">
      <c r="A62" s="94"/>
      <c r="B62" s="794" t="str">
        <f>IF(AND(AR60&gt;0,F61=""),"Debido a que seleccionó el código 5 en la col. Forma de designación debe anotar el nombre de dicha forma de designación","")</f>
        <v/>
      </c>
      <c r="C62" s="794"/>
      <c r="D62" s="794"/>
      <c r="E62" s="794"/>
      <c r="F62" s="794"/>
      <c r="G62" s="794"/>
      <c r="H62" s="794"/>
      <c r="I62" s="794"/>
      <c r="J62" s="794"/>
      <c r="K62" s="794"/>
      <c r="L62" s="794"/>
      <c r="M62" s="794"/>
      <c r="N62" s="794"/>
      <c r="O62" s="794"/>
      <c r="P62" s="794"/>
      <c r="Q62" s="794"/>
      <c r="R62" s="794"/>
      <c r="S62" s="794"/>
      <c r="T62" s="794"/>
      <c r="U62" s="794"/>
      <c r="V62" s="794"/>
      <c r="W62" s="794"/>
      <c r="X62" s="794"/>
      <c r="Y62" s="794"/>
      <c r="Z62" s="794"/>
      <c r="AA62" s="794"/>
      <c r="AB62" s="794"/>
      <c r="AC62" s="794"/>
      <c r="AD62" s="794"/>
    </row>
    <row r="63" spans="1:50" ht="24" customHeight="1">
      <c r="A63" s="146"/>
      <c r="C63" s="732" t="s">
        <v>3080</v>
      </c>
      <c r="D63" s="732"/>
      <c r="E63" s="732"/>
      <c r="F63" s="732"/>
      <c r="G63" s="732"/>
      <c r="H63" s="732"/>
      <c r="I63" s="732"/>
      <c r="J63" s="732"/>
      <c r="K63" s="45"/>
      <c r="L63" s="732" t="s">
        <v>3081</v>
      </c>
      <c r="M63" s="732"/>
      <c r="N63" s="732"/>
      <c r="O63" s="732"/>
      <c r="P63" s="732"/>
      <c r="Q63" s="732"/>
      <c r="R63" s="732"/>
      <c r="S63" s="732"/>
      <c r="T63" s="732"/>
      <c r="U63" s="732"/>
      <c r="V63" s="131"/>
      <c r="W63" s="739" t="s">
        <v>3082</v>
      </c>
      <c r="X63" s="740"/>
      <c r="Y63" s="740"/>
      <c r="Z63" s="740"/>
      <c r="AA63" s="740"/>
      <c r="AB63" s="740"/>
      <c r="AC63" s="740"/>
      <c r="AD63" s="741"/>
    </row>
    <row r="64" spans="1:50" ht="15" customHeight="1">
      <c r="A64" s="146"/>
      <c r="C64" s="44" t="s">
        <v>2516</v>
      </c>
      <c r="D64" s="872" t="s">
        <v>3083</v>
      </c>
      <c r="E64" s="872"/>
      <c r="F64" s="872"/>
      <c r="G64" s="872"/>
      <c r="H64" s="872"/>
      <c r="I64" s="872"/>
      <c r="J64" s="872"/>
      <c r="K64" s="51"/>
      <c r="L64" s="92" t="s">
        <v>2516</v>
      </c>
      <c r="M64" s="869" t="s">
        <v>3084</v>
      </c>
      <c r="N64" s="870"/>
      <c r="O64" s="870"/>
      <c r="P64" s="870"/>
      <c r="Q64" s="870"/>
      <c r="R64" s="870"/>
      <c r="S64" s="870"/>
      <c r="T64" s="870"/>
      <c r="U64" s="871"/>
      <c r="V64" s="51"/>
      <c r="W64" s="92" t="s">
        <v>2516</v>
      </c>
      <c r="X64" s="872" t="s">
        <v>3085</v>
      </c>
      <c r="Y64" s="872"/>
      <c r="Z64" s="872"/>
      <c r="AA64" s="872"/>
      <c r="AB64" s="872"/>
      <c r="AC64" s="872"/>
      <c r="AD64" s="872"/>
    </row>
    <row r="65" spans="1:30" ht="15" customHeight="1">
      <c r="A65" s="146"/>
      <c r="C65" s="44" t="s">
        <v>2517</v>
      </c>
      <c r="D65" s="872" t="s">
        <v>3086</v>
      </c>
      <c r="E65" s="872"/>
      <c r="F65" s="872"/>
      <c r="G65" s="872"/>
      <c r="H65" s="872"/>
      <c r="I65" s="872"/>
      <c r="J65" s="872"/>
      <c r="K65" s="51"/>
      <c r="L65" s="44" t="s">
        <v>2517</v>
      </c>
      <c r="M65" s="869" t="s">
        <v>3087</v>
      </c>
      <c r="N65" s="870"/>
      <c r="O65" s="870"/>
      <c r="P65" s="870"/>
      <c r="Q65" s="870"/>
      <c r="R65" s="870"/>
      <c r="S65" s="870"/>
      <c r="T65" s="870"/>
      <c r="U65" s="871"/>
      <c r="V65" s="51"/>
      <c r="W65" s="44" t="s">
        <v>2517</v>
      </c>
      <c r="X65" s="872" t="s">
        <v>3088</v>
      </c>
      <c r="Y65" s="872"/>
      <c r="Z65" s="872"/>
      <c r="AA65" s="872"/>
      <c r="AB65" s="872"/>
      <c r="AC65" s="872"/>
      <c r="AD65" s="872"/>
    </row>
    <row r="66" spans="1:30" ht="15" customHeight="1">
      <c r="A66" s="146"/>
      <c r="C66" s="44" t="s">
        <v>2523</v>
      </c>
      <c r="D66" s="872" t="s">
        <v>3089</v>
      </c>
      <c r="E66" s="872"/>
      <c r="F66" s="872"/>
      <c r="G66" s="872"/>
      <c r="H66" s="872"/>
      <c r="I66" s="872"/>
      <c r="J66" s="872"/>
      <c r="K66" s="51"/>
      <c r="L66" s="44" t="s">
        <v>2518</v>
      </c>
      <c r="M66" s="869" t="s">
        <v>3090</v>
      </c>
      <c r="N66" s="870"/>
      <c r="O66" s="870"/>
      <c r="P66" s="870"/>
      <c r="Q66" s="870"/>
      <c r="R66" s="870"/>
      <c r="S66" s="870"/>
      <c r="T66" s="870"/>
      <c r="U66" s="871"/>
      <c r="V66" s="51"/>
      <c r="W66" s="44" t="s">
        <v>2518</v>
      </c>
      <c r="X66" s="872" t="s">
        <v>3091</v>
      </c>
      <c r="Y66" s="872"/>
      <c r="Z66" s="872"/>
      <c r="AA66" s="872"/>
      <c r="AB66" s="872"/>
      <c r="AC66" s="872"/>
      <c r="AD66" s="872"/>
    </row>
    <row r="67" spans="1:30" ht="24" customHeight="1">
      <c r="A67" s="146"/>
      <c r="C67" s="44" t="s">
        <v>2524</v>
      </c>
      <c r="D67" s="872" t="s">
        <v>201</v>
      </c>
      <c r="E67" s="872"/>
      <c r="F67" s="872"/>
      <c r="G67" s="872"/>
      <c r="H67" s="872"/>
      <c r="I67" s="872"/>
      <c r="J67" s="872"/>
      <c r="K67" s="51"/>
      <c r="L67" s="44" t="s">
        <v>2519</v>
      </c>
      <c r="M67" s="869" t="s">
        <v>3092</v>
      </c>
      <c r="N67" s="870"/>
      <c r="O67" s="870"/>
      <c r="P67" s="870"/>
      <c r="Q67" s="870"/>
      <c r="R67" s="870"/>
      <c r="S67" s="870"/>
      <c r="T67" s="870"/>
      <c r="U67" s="871"/>
      <c r="V67" s="51"/>
      <c r="W67" s="44" t="s">
        <v>2519</v>
      </c>
      <c r="X67" s="872" t="s">
        <v>3093</v>
      </c>
      <c r="Y67" s="872"/>
      <c r="Z67" s="872"/>
      <c r="AA67" s="872"/>
      <c r="AB67" s="872"/>
      <c r="AC67" s="872"/>
      <c r="AD67" s="872"/>
    </row>
    <row r="68" spans="1:30" ht="60" customHeight="1">
      <c r="A68" s="146"/>
      <c r="C68" s="57"/>
      <c r="D68" s="57"/>
      <c r="E68" s="57"/>
      <c r="F68" s="57"/>
      <c r="G68" s="57"/>
      <c r="H68" s="84"/>
      <c r="I68" s="51"/>
      <c r="J68" s="51"/>
      <c r="K68" s="51"/>
      <c r="L68" s="44" t="s">
        <v>2520</v>
      </c>
      <c r="M68" s="869" t="s">
        <v>3094</v>
      </c>
      <c r="N68" s="870"/>
      <c r="O68" s="870"/>
      <c r="P68" s="870"/>
      <c r="Q68" s="870"/>
      <c r="R68" s="870"/>
      <c r="S68" s="870"/>
      <c r="T68" s="870"/>
      <c r="U68" s="871"/>
      <c r="V68" s="51"/>
      <c r="W68" s="44" t="s">
        <v>2520</v>
      </c>
      <c r="X68" s="872" t="s">
        <v>3095</v>
      </c>
      <c r="Y68" s="872"/>
      <c r="Z68" s="872"/>
      <c r="AA68" s="872"/>
      <c r="AB68" s="872"/>
      <c r="AC68" s="872"/>
      <c r="AD68" s="872"/>
    </row>
    <row r="69" spans="1:30" ht="48" customHeight="1">
      <c r="A69" s="146"/>
      <c r="C69" s="739" t="s">
        <v>3096</v>
      </c>
      <c r="D69" s="740"/>
      <c r="E69" s="740"/>
      <c r="F69" s="740"/>
      <c r="G69" s="740"/>
      <c r="H69" s="740"/>
      <c r="I69" s="740"/>
      <c r="J69" s="741"/>
      <c r="K69" s="51"/>
      <c r="L69" s="44" t="s">
        <v>2521</v>
      </c>
      <c r="M69" s="869" t="s">
        <v>3097</v>
      </c>
      <c r="N69" s="870"/>
      <c r="O69" s="870"/>
      <c r="P69" s="870"/>
      <c r="Q69" s="870"/>
      <c r="R69" s="870"/>
      <c r="S69" s="870"/>
      <c r="T69" s="870"/>
      <c r="U69" s="871"/>
      <c r="V69" s="51"/>
      <c r="W69" s="44" t="s">
        <v>2521</v>
      </c>
      <c r="X69" s="872" t="s">
        <v>3098</v>
      </c>
      <c r="Y69" s="872"/>
      <c r="Z69" s="872"/>
      <c r="AA69" s="872"/>
      <c r="AB69" s="872"/>
      <c r="AC69" s="872"/>
      <c r="AD69" s="872"/>
    </row>
    <row r="70" spans="1:30" ht="15" customHeight="1">
      <c r="A70" s="146"/>
      <c r="C70" s="44" t="s">
        <v>2516</v>
      </c>
      <c r="D70" s="869" t="s">
        <v>3099</v>
      </c>
      <c r="E70" s="870"/>
      <c r="F70" s="870"/>
      <c r="G70" s="870"/>
      <c r="H70" s="870"/>
      <c r="I70" s="870"/>
      <c r="J70" s="871"/>
      <c r="K70" s="51"/>
      <c r="L70" s="44" t="s">
        <v>2522</v>
      </c>
      <c r="M70" s="869" t="s">
        <v>3100</v>
      </c>
      <c r="N70" s="870"/>
      <c r="O70" s="870"/>
      <c r="P70" s="870"/>
      <c r="Q70" s="870"/>
      <c r="R70" s="870"/>
      <c r="S70" s="870"/>
      <c r="T70" s="870"/>
      <c r="U70" s="871"/>
      <c r="V70" s="51"/>
      <c r="W70" s="44" t="s">
        <v>2522</v>
      </c>
      <c r="X70" s="872" t="s">
        <v>3101</v>
      </c>
      <c r="Y70" s="872"/>
      <c r="Z70" s="872"/>
      <c r="AA70" s="872"/>
      <c r="AB70" s="872"/>
      <c r="AC70" s="872"/>
      <c r="AD70" s="872"/>
    </row>
    <row r="71" spans="1:30" ht="15" customHeight="1">
      <c r="A71" s="146"/>
      <c r="C71" s="92" t="s">
        <v>2517</v>
      </c>
      <c r="D71" s="813" t="s">
        <v>3102</v>
      </c>
      <c r="E71" s="814"/>
      <c r="F71" s="814"/>
      <c r="G71" s="814"/>
      <c r="H71" s="814"/>
      <c r="I71" s="814"/>
      <c r="J71" s="815"/>
      <c r="K71" s="51"/>
      <c r="L71" s="44" t="s">
        <v>2523</v>
      </c>
      <c r="M71" s="869" t="s">
        <v>3103</v>
      </c>
      <c r="N71" s="870"/>
      <c r="O71" s="870"/>
      <c r="P71" s="870"/>
      <c r="Q71" s="870"/>
      <c r="R71" s="870"/>
      <c r="S71" s="870"/>
      <c r="T71" s="870"/>
      <c r="U71" s="871"/>
      <c r="V71" s="51"/>
      <c r="W71" s="44" t="s">
        <v>2523</v>
      </c>
      <c r="X71" s="872" t="s">
        <v>3104</v>
      </c>
      <c r="Y71" s="872"/>
      <c r="Z71" s="872"/>
      <c r="AA71" s="872"/>
      <c r="AB71" s="872"/>
      <c r="AC71" s="872"/>
      <c r="AD71" s="872"/>
    </row>
    <row r="72" spans="1:30" ht="48" customHeight="1">
      <c r="A72" s="146"/>
      <c r="C72" s="44" t="s">
        <v>2518</v>
      </c>
      <c r="D72" s="869" t="s">
        <v>3105</v>
      </c>
      <c r="E72" s="870"/>
      <c r="F72" s="870"/>
      <c r="G72" s="870"/>
      <c r="H72" s="870"/>
      <c r="I72" s="870"/>
      <c r="J72" s="871"/>
      <c r="K72" s="51"/>
      <c r="L72" s="44" t="s">
        <v>2524</v>
      </c>
      <c r="M72" s="869" t="s">
        <v>3106</v>
      </c>
      <c r="N72" s="870"/>
      <c r="O72" s="870"/>
      <c r="P72" s="870"/>
      <c r="Q72" s="870"/>
      <c r="R72" s="870"/>
      <c r="S72" s="870"/>
      <c r="T72" s="870"/>
      <c r="U72" s="871"/>
      <c r="V72" s="51"/>
      <c r="W72" s="44" t="s">
        <v>2524</v>
      </c>
      <c r="X72" s="872" t="s">
        <v>3107</v>
      </c>
      <c r="Y72" s="872"/>
      <c r="Z72" s="872"/>
      <c r="AA72" s="872"/>
      <c r="AB72" s="872"/>
      <c r="AC72" s="872"/>
      <c r="AD72" s="872"/>
    </row>
    <row r="73" spans="1:30" ht="48" customHeight="1">
      <c r="A73" s="146"/>
      <c r="C73" s="44" t="s">
        <v>2519</v>
      </c>
      <c r="D73" s="869" t="s">
        <v>3108</v>
      </c>
      <c r="E73" s="870"/>
      <c r="F73" s="870"/>
      <c r="G73" s="870"/>
      <c r="H73" s="870"/>
      <c r="I73" s="870"/>
      <c r="J73" s="871"/>
      <c r="K73" s="51"/>
      <c r="L73" s="44" t="s">
        <v>2525</v>
      </c>
      <c r="M73" s="869" t="s">
        <v>3109</v>
      </c>
      <c r="N73" s="870"/>
      <c r="O73" s="870"/>
      <c r="P73" s="870"/>
      <c r="Q73" s="870"/>
      <c r="R73" s="870"/>
      <c r="S73" s="870"/>
      <c r="T73" s="870"/>
      <c r="U73" s="871"/>
      <c r="V73" s="51"/>
      <c r="W73" s="44" t="s">
        <v>2525</v>
      </c>
      <c r="X73" s="872" t="s">
        <v>3110</v>
      </c>
      <c r="Y73" s="872"/>
      <c r="Z73" s="872"/>
      <c r="AA73" s="872"/>
      <c r="AB73" s="872"/>
      <c r="AC73" s="872"/>
      <c r="AD73" s="872"/>
    </row>
    <row r="74" spans="1:30" ht="48" customHeight="1">
      <c r="A74" s="146"/>
      <c r="C74" s="44" t="s">
        <v>2520</v>
      </c>
      <c r="D74" s="813" t="s">
        <v>3111</v>
      </c>
      <c r="E74" s="814"/>
      <c r="F74" s="814"/>
      <c r="G74" s="814"/>
      <c r="H74" s="814"/>
      <c r="I74" s="814"/>
      <c r="J74" s="815"/>
      <c r="K74" s="51"/>
      <c r="L74" s="44" t="s">
        <v>2526</v>
      </c>
      <c r="M74" s="869" t="s">
        <v>3112</v>
      </c>
      <c r="N74" s="870"/>
      <c r="O74" s="870"/>
      <c r="P74" s="870"/>
      <c r="Q74" s="870"/>
      <c r="R74" s="870"/>
      <c r="S74" s="870"/>
      <c r="T74" s="870"/>
      <c r="U74" s="871"/>
      <c r="V74" s="51"/>
      <c r="W74" s="44" t="s">
        <v>2526</v>
      </c>
      <c r="X74" s="872" t="s">
        <v>3113</v>
      </c>
      <c r="Y74" s="872"/>
      <c r="Z74" s="872"/>
      <c r="AA74" s="872"/>
      <c r="AB74" s="872"/>
      <c r="AC74" s="872"/>
      <c r="AD74" s="872"/>
    </row>
    <row r="75" spans="1:30" ht="48" customHeight="1">
      <c r="A75" s="146"/>
      <c r="C75" s="44" t="s">
        <v>2521</v>
      </c>
      <c r="D75" s="869" t="s">
        <v>3114</v>
      </c>
      <c r="E75" s="870"/>
      <c r="F75" s="870"/>
      <c r="G75" s="870"/>
      <c r="H75" s="870"/>
      <c r="I75" s="870"/>
      <c r="J75" s="871"/>
      <c r="K75" s="51"/>
      <c r="L75" s="44" t="s">
        <v>2527</v>
      </c>
      <c r="M75" s="869" t="s">
        <v>3115</v>
      </c>
      <c r="N75" s="870"/>
      <c r="O75" s="870"/>
      <c r="P75" s="870"/>
      <c r="Q75" s="870"/>
      <c r="R75" s="870"/>
      <c r="S75" s="870"/>
      <c r="T75" s="870"/>
      <c r="U75" s="871"/>
      <c r="V75" s="51"/>
      <c r="W75" s="44" t="s">
        <v>2527</v>
      </c>
      <c r="X75" s="872" t="s">
        <v>3116</v>
      </c>
      <c r="Y75" s="872"/>
      <c r="Z75" s="872"/>
      <c r="AA75" s="872"/>
      <c r="AB75" s="872"/>
      <c r="AC75" s="872"/>
      <c r="AD75" s="872"/>
    </row>
    <row r="76" spans="1:30" ht="24" customHeight="1">
      <c r="A76" s="146"/>
      <c r="C76" s="44" t="s">
        <v>2522</v>
      </c>
      <c r="D76" s="869" t="s">
        <v>3117</v>
      </c>
      <c r="E76" s="870"/>
      <c r="F76" s="870"/>
      <c r="G76" s="870"/>
      <c r="H76" s="870"/>
      <c r="I76" s="870"/>
      <c r="J76" s="871"/>
      <c r="K76" s="51"/>
      <c r="L76" s="44" t="s">
        <v>2528</v>
      </c>
      <c r="M76" s="869" t="s">
        <v>3118</v>
      </c>
      <c r="N76" s="870"/>
      <c r="O76" s="870"/>
      <c r="P76" s="870"/>
      <c r="Q76" s="870"/>
      <c r="R76" s="870"/>
      <c r="S76" s="870"/>
      <c r="T76" s="870"/>
      <c r="U76" s="871"/>
      <c r="V76" s="54"/>
      <c r="W76" s="44" t="s">
        <v>2528</v>
      </c>
      <c r="X76" s="872" t="s">
        <v>3119</v>
      </c>
      <c r="Y76" s="872"/>
      <c r="Z76" s="872"/>
      <c r="AA76" s="872"/>
      <c r="AB76" s="872"/>
      <c r="AC76" s="872"/>
      <c r="AD76" s="872"/>
    </row>
    <row r="77" spans="1:30" ht="24" customHeight="1">
      <c r="A77" s="146"/>
      <c r="C77" s="44" t="s">
        <v>2523</v>
      </c>
      <c r="D77" s="869" t="s">
        <v>3120</v>
      </c>
      <c r="E77" s="870"/>
      <c r="F77" s="870"/>
      <c r="G77" s="870"/>
      <c r="H77" s="870"/>
      <c r="I77" s="870"/>
      <c r="J77" s="871"/>
      <c r="K77" s="51"/>
      <c r="L77" s="44" t="s">
        <v>2529</v>
      </c>
      <c r="M77" s="869" t="s">
        <v>3121</v>
      </c>
      <c r="N77" s="870"/>
      <c r="O77" s="870"/>
      <c r="P77" s="870"/>
      <c r="Q77" s="870"/>
      <c r="R77" s="870"/>
      <c r="S77" s="870"/>
      <c r="T77" s="870"/>
      <c r="U77" s="871"/>
      <c r="V77" s="51"/>
      <c r="W77" s="44" t="s">
        <v>2529</v>
      </c>
      <c r="X77" s="796" t="s">
        <v>3122</v>
      </c>
      <c r="Y77" s="796"/>
      <c r="Z77" s="796"/>
      <c r="AA77" s="796"/>
      <c r="AB77" s="796"/>
      <c r="AC77" s="796"/>
      <c r="AD77" s="796"/>
    </row>
    <row r="78" spans="1:30" ht="24" customHeight="1">
      <c r="A78" s="146"/>
      <c r="C78" s="44" t="s">
        <v>2524</v>
      </c>
      <c r="D78" s="869" t="s">
        <v>201</v>
      </c>
      <c r="E78" s="870"/>
      <c r="F78" s="870"/>
      <c r="G78" s="870"/>
      <c r="H78" s="870"/>
      <c r="I78" s="870"/>
      <c r="J78" s="871"/>
      <c r="K78" s="51"/>
      <c r="L78" s="44" t="s">
        <v>2530</v>
      </c>
      <c r="M78" s="869" t="s">
        <v>3123</v>
      </c>
      <c r="N78" s="870"/>
      <c r="O78" s="870"/>
      <c r="P78" s="870"/>
      <c r="Q78" s="870"/>
      <c r="R78" s="870"/>
      <c r="S78" s="870"/>
      <c r="T78" s="870"/>
      <c r="U78" s="871"/>
      <c r="V78" s="131"/>
      <c r="W78" s="44" t="s">
        <v>2530</v>
      </c>
      <c r="X78" s="872" t="s">
        <v>3124</v>
      </c>
      <c r="Y78" s="872"/>
      <c r="Z78" s="872"/>
      <c r="AA78" s="872"/>
      <c r="AB78" s="872"/>
      <c r="AC78" s="872"/>
      <c r="AD78" s="872"/>
    </row>
    <row r="79" spans="1:30" ht="24" customHeight="1">
      <c r="A79" s="146"/>
      <c r="K79" s="51"/>
      <c r="L79" s="44" t="s">
        <v>2531</v>
      </c>
      <c r="M79" s="869" t="s">
        <v>3125</v>
      </c>
      <c r="N79" s="870"/>
      <c r="O79" s="870"/>
      <c r="P79" s="870"/>
      <c r="Q79" s="870"/>
      <c r="R79" s="870"/>
      <c r="S79" s="870"/>
      <c r="T79" s="870"/>
      <c r="U79" s="871"/>
      <c r="V79" s="54"/>
      <c r="W79" s="44" t="s">
        <v>2531</v>
      </c>
      <c r="X79" s="872" t="s">
        <v>3126</v>
      </c>
      <c r="Y79" s="872"/>
      <c r="Z79" s="872"/>
      <c r="AA79" s="872"/>
      <c r="AB79" s="872"/>
      <c r="AC79" s="872"/>
      <c r="AD79" s="872"/>
    </row>
    <row r="80" spans="1:30" ht="24" customHeight="1">
      <c r="A80" s="146"/>
      <c r="C80" s="732" t="s">
        <v>3127</v>
      </c>
      <c r="D80" s="732"/>
      <c r="E80" s="732"/>
      <c r="F80" s="732"/>
      <c r="G80" s="732"/>
      <c r="H80" s="732"/>
      <c r="I80" s="732"/>
      <c r="J80" s="732"/>
      <c r="K80" s="51"/>
      <c r="L80" s="44" t="s">
        <v>2532</v>
      </c>
      <c r="M80" s="869" t="s">
        <v>3128</v>
      </c>
      <c r="N80" s="870"/>
      <c r="O80" s="870"/>
      <c r="P80" s="870"/>
      <c r="Q80" s="870"/>
      <c r="R80" s="870"/>
      <c r="S80" s="870"/>
      <c r="T80" s="870"/>
      <c r="U80" s="871"/>
      <c r="V80" s="51"/>
      <c r="W80" s="44" t="s">
        <v>2532</v>
      </c>
      <c r="X80" s="872" t="s">
        <v>3129</v>
      </c>
      <c r="Y80" s="872"/>
      <c r="Z80" s="872"/>
      <c r="AA80" s="872"/>
      <c r="AB80" s="872"/>
      <c r="AC80" s="872"/>
      <c r="AD80" s="872"/>
    </row>
    <row r="81" spans="1:30" ht="15" customHeight="1">
      <c r="A81" s="146"/>
      <c r="C81" s="44" t="s">
        <v>2516</v>
      </c>
      <c r="D81" s="796" t="s">
        <v>3130</v>
      </c>
      <c r="E81" s="796"/>
      <c r="F81" s="796"/>
      <c r="G81" s="796"/>
      <c r="H81" s="796"/>
      <c r="I81" s="796"/>
      <c r="J81" s="796"/>
      <c r="K81" s="51"/>
      <c r="L81" s="44" t="s">
        <v>2533</v>
      </c>
      <c r="M81" s="869" t="s">
        <v>3131</v>
      </c>
      <c r="N81" s="870"/>
      <c r="O81" s="870"/>
      <c r="P81" s="870"/>
      <c r="Q81" s="870"/>
      <c r="R81" s="870"/>
      <c r="S81" s="870"/>
      <c r="T81" s="870"/>
      <c r="U81" s="871"/>
      <c r="V81" s="54"/>
      <c r="W81" s="44" t="s">
        <v>2533</v>
      </c>
      <c r="X81" s="872" t="s">
        <v>3132</v>
      </c>
      <c r="Y81" s="872"/>
      <c r="Z81" s="872"/>
      <c r="AA81" s="872"/>
      <c r="AB81" s="872"/>
      <c r="AC81" s="872"/>
      <c r="AD81" s="872"/>
    </row>
    <row r="82" spans="1:30" ht="48" customHeight="1">
      <c r="A82" s="146"/>
      <c r="C82" s="44" t="s">
        <v>2517</v>
      </c>
      <c r="D82" s="796" t="s">
        <v>3133</v>
      </c>
      <c r="E82" s="796"/>
      <c r="F82" s="796"/>
      <c r="G82" s="796"/>
      <c r="H82" s="796"/>
      <c r="I82" s="796"/>
      <c r="J82" s="796"/>
      <c r="K82" s="36"/>
      <c r="L82" s="44" t="s">
        <v>2534</v>
      </c>
      <c r="M82" s="869" t="s">
        <v>3134</v>
      </c>
      <c r="N82" s="870"/>
      <c r="O82" s="870"/>
      <c r="P82" s="870"/>
      <c r="Q82" s="870"/>
      <c r="R82" s="870"/>
      <c r="S82" s="870"/>
      <c r="T82" s="870"/>
      <c r="U82" s="871"/>
      <c r="V82" s="51"/>
      <c r="W82" s="44" t="s">
        <v>2534</v>
      </c>
      <c r="X82" s="872" t="s">
        <v>3135</v>
      </c>
      <c r="Y82" s="872"/>
      <c r="Z82" s="872"/>
      <c r="AA82" s="872"/>
      <c r="AB82" s="872"/>
      <c r="AC82" s="872"/>
      <c r="AD82" s="872"/>
    </row>
    <row r="83" spans="1:30" ht="48" customHeight="1">
      <c r="A83" s="146"/>
      <c r="C83" s="44" t="s">
        <v>2518</v>
      </c>
      <c r="D83" s="796" t="s">
        <v>3136</v>
      </c>
      <c r="E83" s="796"/>
      <c r="F83" s="796"/>
      <c r="G83" s="796"/>
      <c r="H83" s="796"/>
      <c r="I83" s="796"/>
      <c r="J83" s="796"/>
      <c r="L83" s="44" t="s">
        <v>2535</v>
      </c>
      <c r="M83" s="869" t="s">
        <v>3137</v>
      </c>
      <c r="N83" s="870"/>
      <c r="O83" s="870"/>
      <c r="P83" s="870"/>
      <c r="Q83" s="870"/>
      <c r="R83" s="870"/>
      <c r="S83" s="870"/>
      <c r="T83" s="870"/>
      <c r="U83" s="871"/>
      <c r="V83" s="54"/>
      <c r="W83" s="44" t="s">
        <v>2535</v>
      </c>
      <c r="X83" s="872" t="s">
        <v>3138</v>
      </c>
      <c r="Y83" s="872"/>
      <c r="Z83" s="872"/>
      <c r="AA83" s="872"/>
      <c r="AB83" s="872"/>
      <c r="AC83" s="872"/>
      <c r="AD83" s="872"/>
    </row>
    <row r="84" spans="1:30" ht="15" customHeight="1">
      <c r="A84" s="146"/>
      <c r="C84" s="44" t="s">
        <v>2519</v>
      </c>
      <c r="D84" s="796" t="s">
        <v>3139</v>
      </c>
      <c r="E84" s="796"/>
      <c r="F84" s="796"/>
      <c r="G84" s="796"/>
      <c r="H84" s="796"/>
      <c r="I84" s="796"/>
      <c r="J84" s="796"/>
      <c r="L84" s="44" t="s">
        <v>2536</v>
      </c>
      <c r="M84" s="869" t="s">
        <v>3140</v>
      </c>
      <c r="N84" s="870"/>
      <c r="O84" s="870"/>
      <c r="P84" s="870"/>
      <c r="Q84" s="870"/>
      <c r="R84" s="870"/>
      <c r="S84" s="870"/>
      <c r="T84" s="870"/>
      <c r="U84" s="871"/>
      <c r="V84" s="54"/>
      <c r="W84" s="44" t="s">
        <v>2536</v>
      </c>
      <c r="X84" s="872" t="s">
        <v>3141</v>
      </c>
      <c r="Y84" s="872"/>
      <c r="Z84" s="872"/>
      <c r="AA84" s="872"/>
      <c r="AB84" s="872"/>
      <c r="AC84" s="872"/>
      <c r="AD84" s="872"/>
    </row>
    <row r="85" spans="1:30" ht="15" customHeight="1">
      <c r="A85" s="146"/>
      <c r="C85" s="44" t="s">
        <v>2523</v>
      </c>
      <c r="D85" s="796" t="s">
        <v>3142</v>
      </c>
      <c r="E85" s="796"/>
      <c r="F85" s="796"/>
      <c r="G85" s="796"/>
      <c r="H85" s="796"/>
      <c r="I85" s="796"/>
      <c r="J85" s="796"/>
      <c r="L85" s="44" t="s">
        <v>2537</v>
      </c>
      <c r="M85" s="869" t="s">
        <v>3143</v>
      </c>
      <c r="N85" s="870"/>
      <c r="O85" s="870"/>
      <c r="P85" s="870"/>
      <c r="Q85" s="870"/>
      <c r="R85" s="870"/>
      <c r="S85" s="870"/>
      <c r="T85" s="870"/>
      <c r="U85" s="871"/>
      <c r="W85" s="44" t="s">
        <v>2537</v>
      </c>
      <c r="X85" s="872" t="s">
        <v>3144</v>
      </c>
      <c r="Y85" s="872"/>
      <c r="Z85" s="872"/>
      <c r="AA85" s="872"/>
      <c r="AB85" s="872"/>
      <c r="AC85" s="872"/>
      <c r="AD85" s="872"/>
    </row>
    <row r="86" spans="1:30" ht="15" customHeight="1">
      <c r="A86" s="146"/>
      <c r="C86" s="44" t="s">
        <v>2524</v>
      </c>
      <c r="D86" s="872" t="s">
        <v>201</v>
      </c>
      <c r="E86" s="872"/>
      <c r="F86" s="872"/>
      <c r="G86" s="872"/>
      <c r="H86" s="872"/>
      <c r="I86" s="872"/>
      <c r="J86" s="872"/>
      <c r="L86" s="44" t="s">
        <v>2538</v>
      </c>
      <c r="M86" s="869" t="s">
        <v>3145</v>
      </c>
      <c r="N86" s="870"/>
      <c r="O86" s="870"/>
      <c r="P86" s="870"/>
      <c r="Q86" s="870"/>
      <c r="R86" s="870"/>
      <c r="S86" s="870"/>
      <c r="T86" s="870"/>
      <c r="U86" s="871"/>
      <c r="W86" s="44" t="s">
        <v>2538</v>
      </c>
      <c r="X86" s="872" t="s">
        <v>3146</v>
      </c>
      <c r="Y86" s="872"/>
      <c r="Z86" s="872"/>
      <c r="AA86" s="872"/>
      <c r="AB86" s="872"/>
      <c r="AC86" s="872"/>
      <c r="AD86" s="872"/>
    </row>
    <row r="87" spans="1:30" ht="15" customHeight="1">
      <c r="A87" s="146"/>
      <c r="L87" s="44" t="s">
        <v>2539</v>
      </c>
      <c r="M87" s="869" t="s">
        <v>3147</v>
      </c>
      <c r="N87" s="870"/>
      <c r="O87" s="870"/>
      <c r="P87" s="870"/>
      <c r="Q87" s="870"/>
      <c r="R87" s="870"/>
      <c r="S87" s="870"/>
      <c r="T87" s="870"/>
      <c r="U87" s="871"/>
      <c r="W87" s="44" t="s">
        <v>2539</v>
      </c>
      <c r="X87" s="872" t="s">
        <v>3148</v>
      </c>
      <c r="Y87" s="872"/>
      <c r="Z87" s="872"/>
      <c r="AA87" s="872"/>
      <c r="AB87" s="872"/>
      <c r="AC87" s="872"/>
      <c r="AD87" s="872"/>
    </row>
    <row r="88" spans="1:30" ht="15" customHeight="1">
      <c r="A88" s="146"/>
      <c r="C88" s="732" t="s">
        <v>3149</v>
      </c>
      <c r="D88" s="732"/>
      <c r="E88" s="732"/>
      <c r="F88" s="732"/>
      <c r="G88" s="732"/>
      <c r="H88" s="732"/>
      <c r="I88" s="732"/>
      <c r="J88" s="732"/>
      <c r="L88" s="44" t="s">
        <v>2912</v>
      </c>
      <c r="M88" s="872" t="s">
        <v>201</v>
      </c>
      <c r="N88" s="872"/>
      <c r="O88" s="872"/>
      <c r="P88" s="872"/>
      <c r="Q88" s="872"/>
      <c r="R88" s="872"/>
      <c r="S88" s="872"/>
      <c r="T88" s="872"/>
      <c r="U88" s="872"/>
      <c r="W88" s="44" t="s">
        <v>2540</v>
      </c>
      <c r="X88" s="872" t="s">
        <v>3150</v>
      </c>
      <c r="Y88" s="872"/>
      <c r="Z88" s="872"/>
      <c r="AA88" s="872"/>
      <c r="AB88" s="872"/>
      <c r="AC88" s="872"/>
      <c r="AD88" s="872"/>
    </row>
    <row r="89" spans="1:30" ht="24" customHeight="1">
      <c r="A89" s="146"/>
      <c r="C89" s="44" t="s">
        <v>2516</v>
      </c>
      <c r="D89" s="813" t="s">
        <v>3151</v>
      </c>
      <c r="E89" s="814"/>
      <c r="F89" s="814"/>
      <c r="G89" s="814"/>
      <c r="H89" s="814"/>
      <c r="I89" s="814"/>
      <c r="J89" s="815"/>
      <c r="L89" s="84"/>
      <c r="M89" s="51"/>
      <c r="N89" s="51"/>
      <c r="O89" s="51"/>
      <c r="P89" s="51"/>
      <c r="Q89" s="51"/>
      <c r="R89" s="51"/>
      <c r="S89" s="51"/>
      <c r="T89" s="51"/>
      <c r="U89" s="51"/>
      <c r="W89" s="44" t="s">
        <v>2541</v>
      </c>
      <c r="X89" s="872" t="s">
        <v>3099</v>
      </c>
      <c r="Y89" s="872"/>
      <c r="Z89" s="872"/>
      <c r="AA89" s="872"/>
      <c r="AB89" s="872"/>
      <c r="AC89" s="872"/>
      <c r="AD89" s="872"/>
    </row>
    <row r="90" spans="1:30" ht="48" customHeight="1">
      <c r="A90" s="146"/>
      <c r="C90" s="44" t="s">
        <v>2517</v>
      </c>
      <c r="D90" s="813" t="s">
        <v>3152</v>
      </c>
      <c r="E90" s="814"/>
      <c r="F90" s="814"/>
      <c r="G90" s="814"/>
      <c r="H90" s="814"/>
      <c r="I90" s="814"/>
      <c r="J90" s="815"/>
      <c r="L90" s="139"/>
      <c r="M90" s="139"/>
      <c r="N90" s="139"/>
      <c r="O90" s="139"/>
      <c r="P90" s="139"/>
      <c r="Q90" s="139"/>
      <c r="R90" s="139"/>
      <c r="S90" s="139"/>
      <c r="T90" s="139"/>
      <c r="U90" s="139"/>
      <c r="W90" s="44" t="s">
        <v>2912</v>
      </c>
      <c r="X90" s="872" t="s">
        <v>201</v>
      </c>
      <c r="Y90" s="872"/>
      <c r="Z90" s="872"/>
      <c r="AA90" s="872"/>
      <c r="AB90" s="872"/>
      <c r="AC90" s="872"/>
      <c r="AD90" s="872"/>
    </row>
    <row r="91" spans="1:30" ht="48" customHeight="1">
      <c r="A91" s="146"/>
      <c r="C91" s="44" t="s">
        <v>2518</v>
      </c>
      <c r="D91" s="813" t="s">
        <v>3153</v>
      </c>
      <c r="E91" s="814"/>
      <c r="F91" s="814"/>
      <c r="G91" s="814"/>
      <c r="H91" s="814"/>
      <c r="I91" s="814"/>
      <c r="J91" s="815"/>
      <c r="L91" s="139"/>
      <c r="M91" s="139"/>
      <c r="N91" s="139"/>
      <c r="O91" s="139"/>
      <c r="P91" s="139"/>
      <c r="Q91" s="139"/>
      <c r="R91" s="139"/>
      <c r="S91" s="139"/>
      <c r="T91" s="139"/>
      <c r="U91" s="139"/>
      <c r="W91" s="70"/>
      <c r="X91" s="54"/>
      <c r="Y91" s="54"/>
      <c r="Z91" s="54"/>
      <c r="AA91" s="54"/>
      <c r="AB91" s="54"/>
      <c r="AC91" s="54"/>
      <c r="AD91" s="54"/>
    </row>
    <row r="92" spans="1:30" ht="24" customHeight="1">
      <c r="A92" s="146"/>
      <c r="C92" s="44" t="s">
        <v>2519</v>
      </c>
      <c r="D92" s="813" t="s">
        <v>3154</v>
      </c>
      <c r="E92" s="814"/>
      <c r="F92" s="814"/>
      <c r="G92" s="814"/>
      <c r="H92" s="814"/>
      <c r="I92" s="814"/>
      <c r="J92" s="815"/>
      <c r="L92" s="139"/>
      <c r="M92" s="139"/>
      <c r="N92" s="139"/>
      <c r="O92" s="139"/>
      <c r="P92" s="139"/>
      <c r="Q92" s="139"/>
      <c r="R92" s="139"/>
      <c r="S92" s="139"/>
      <c r="T92" s="139"/>
      <c r="U92" s="139"/>
      <c r="W92" s="70"/>
      <c r="X92" s="139"/>
      <c r="Y92" s="139"/>
      <c r="Z92" s="139"/>
      <c r="AA92" s="139"/>
      <c r="AB92" s="139"/>
      <c r="AC92" s="139"/>
      <c r="AD92" s="139"/>
    </row>
    <row r="93" spans="1:30" ht="24" customHeight="1">
      <c r="A93" s="146"/>
      <c r="C93" s="44" t="s">
        <v>2520</v>
      </c>
      <c r="D93" s="813" t="s">
        <v>3155</v>
      </c>
      <c r="E93" s="814"/>
      <c r="F93" s="814"/>
      <c r="G93" s="814"/>
      <c r="H93" s="814"/>
      <c r="I93" s="814"/>
      <c r="J93" s="815"/>
      <c r="L93" s="139"/>
      <c r="M93" s="139"/>
      <c r="N93" s="139"/>
      <c r="O93" s="139"/>
      <c r="P93" s="139"/>
      <c r="Q93" s="139"/>
      <c r="R93" s="139"/>
      <c r="S93" s="139"/>
      <c r="T93" s="139"/>
      <c r="U93" s="139"/>
    </row>
    <row r="94" spans="1:30" ht="15" customHeight="1">
      <c r="A94" s="146"/>
      <c r="C94" s="44" t="s">
        <v>2524</v>
      </c>
      <c r="D94" s="813" t="s">
        <v>201</v>
      </c>
      <c r="E94" s="814"/>
      <c r="F94" s="814"/>
      <c r="G94" s="814"/>
      <c r="H94" s="814"/>
      <c r="I94" s="814"/>
      <c r="J94" s="815"/>
      <c r="L94" s="139"/>
      <c r="M94" s="139"/>
      <c r="N94" s="139"/>
      <c r="O94" s="139"/>
      <c r="P94" s="139"/>
      <c r="Q94" s="139"/>
      <c r="R94" s="139"/>
      <c r="S94" s="139"/>
      <c r="T94" s="139"/>
      <c r="U94" s="139"/>
    </row>
    <row r="95" spans="1:30" ht="15" customHeight="1">
      <c r="A95" s="146"/>
      <c r="L95" s="139"/>
      <c r="M95" s="139"/>
      <c r="N95" s="139"/>
      <c r="O95" s="139"/>
      <c r="P95" s="139"/>
      <c r="Q95" s="139"/>
      <c r="R95" s="139"/>
      <c r="S95" s="139"/>
      <c r="T95" s="139"/>
      <c r="U95" s="139"/>
    </row>
    <row r="96" spans="1:30" ht="24" customHeight="1">
      <c r="A96" s="94"/>
      <c r="C96" s="754" t="s">
        <v>2611</v>
      </c>
      <c r="D96" s="754"/>
      <c r="E96" s="754"/>
      <c r="F96" s="754"/>
      <c r="G96" s="754"/>
      <c r="H96" s="754"/>
      <c r="I96" s="754"/>
      <c r="J96" s="754"/>
      <c r="K96" s="754"/>
      <c r="L96" s="754"/>
      <c r="M96" s="754"/>
      <c r="N96" s="754"/>
      <c r="O96" s="754"/>
      <c r="P96" s="754"/>
      <c r="Q96" s="754"/>
      <c r="R96" s="754"/>
      <c r="S96" s="754"/>
      <c r="T96" s="754"/>
      <c r="U96" s="754"/>
      <c r="V96" s="754"/>
      <c r="W96" s="754"/>
      <c r="X96" s="754"/>
      <c r="Y96" s="754"/>
      <c r="Z96" s="754"/>
      <c r="AA96" s="754"/>
      <c r="AB96" s="754"/>
      <c r="AC96" s="754"/>
      <c r="AD96" s="754"/>
    </row>
    <row r="97" spans="1:36" ht="60" customHeight="1">
      <c r="A97" s="94"/>
      <c r="C97" s="851"/>
      <c r="D97" s="851"/>
      <c r="E97" s="851"/>
      <c r="F97" s="851"/>
      <c r="G97" s="851"/>
      <c r="H97" s="851"/>
      <c r="I97" s="851"/>
      <c r="J97" s="851"/>
      <c r="K97" s="851"/>
      <c r="L97" s="851"/>
      <c r="M97" s="851"/>
      <c r="N97" s="851"/>
      <c r="O97" s="851"/>
      <c r="P97" s="851"/>
      <c r="Q97" s="851"/>
      <c r="R97" s="851"/>
      <c r="S97" s="851"/>
      <c r="T97" s="851"/>
      <c r="U97" s="851"/>
      <c r="V97" s="851"/>
      <c r="W97" s="851"/>
      <c r="X97" s="851"/>
      <c r="Y97" s="851"/>
      <c r="Z97" s="851"/>
      <c r="AA97" s="851"/>
      <c r="AB97" s="851"/>
      <c r="AC97" s="851"/>
      <c r="AD97" s="851"/>
    </row>
    <row r="98" spans="1:36" ht="15" customHeight="1">
      <c r="A98" s="94"/>
      <c r="B98" s="924" t="str">
        <f>IF(AG60&gt;0,"Favor de ingresar toda la información requerida en la pregunta y/o verifique que no tenga información en celdas sombreadas","")</f>
        <v/>
      </c>
      <c r="C98" s="924"/>
      <c r="D98" s="924"/>
      <c r="E98" s="924"/>
      <c r="F98" s="924"/>
      <c r="G98" s="924"/>
      <c r="H98" s="924"/>
      <c r="I98" s="924"/>
      <c r="J98" s="924"/>
      <c r="K98" s="924"/>
      <c r="L98" s="924"/>
      <c r="M98" s="924"/>
      <c r="N98" s="924"/>
      <c r="O98" s="924"/>
      <c r="P98" s="924"/>
      <c r="Q98" s="924"/>
      <c r="R98" s="924"/>
      <c r="S98" s="924"/>
      <c r="T98" s="924"/>
      <c r="U98" s="924"/>
      <c r="V98" s="924"/>
      <c r="W98" s="924"/>
      <c r="X98" s="924"/>
      <c r="Y98" s="924"/>
      <c r="Z98" s="924"/>
      <c r="AA98" s="924"/>
      <c r="AB98" s="924"/>
      <c r="AC98" s="924"/>
      <c r="AD98" s="924"/>
    </row>
    <row r="99" spans="1:36" ht="15">
      <c r="A99" s="94"/>
      <c r="B99" s="933" t="str">
        <f>IF(AH60&gt;0,"Alerta: debido a que cuenta con registros NS, debe proporcionar una justificación en el area de comentarios al final de la pregunta",IF(AJ60&gt;0,"Alerta: debido a que cuenta con registros NA, debe proporcionar una justificación en el area de comentarios al final de la pregunta",""))</f>
        <v/>
      </c>
      <c r="C99" s="933"/>
      <c r="D99" s="933"/>
      <c r="E99" s="933"/>
      <c r="F99" s="933"/>
      <c r="G99" s="933"/>
      <c r="H99" s="933"/>
      <c r="I99" s="933"/>
      <c r="J99" s="933"/>
      <c r="K99" s="933"/>
      <c r="L99" s="933"/>
      <c r="M99" s="933"/>
      <c r="N99" s="933"/>
      <c r="O99" s="933"/>
      <c r="P99" s="933"/>
      <c r="Q99" s="933"/>
      <c r="R99" s="933"/>
      <c r="S99" s="933"/>
      <c r="T99" s="933"/>
      <c r="U99" s="933"/>
      <c r="V99" s="933"/>
      <c r="W99" s="933"/>
      <c r="X99" s="933"/>
      <c r="Y99" s="933"/>
      <c r="Z99" s="933"/>
      <c r="AA99" s="933"/>
      <c r="AB99" s="933"/>
      <c r="AC99" s="933"/>
      <c r="AD99" s="933"/>
    </row>
    <row r="100" spans="1:36" ht="15">
      <c r="A100" s="94"/>
      <c r="B100" s="794" t="str">
        <f>IF(AI60&gt;0,"Los ingresos brutos mensuales deben anotarse en pesos mexicanos (no debe agregar la frase “miles o millones de pesos”)",IF(AU60&gt;0,"Los ingresos brutos mensuales no deben llevar decimales",IF(AS51&gt;0,"Para el numeral 0 no puede seleccionar el código 3 en la col. Forma de designación","")))</f>
        <v/>
      </c>
      <c r="C100" s="794"/>
      <c r="D100" s="794"/>
      <c r="E100" s="794"/>
      <c r="F100" s="794"/>
      <c r="G100" s="794"/>
      <c r="H100" s="794"/>
      <c r="I100" s="794"/>
      <c r="J100" s="794"/>
      <c r="K100" s="794"/>
      <c r="L100" s="794"/>
      <c r="M100" s="794"/>
      <c r="N100" s="794"/>
      <c r="O100" s="794"/>
      <c r="P100" s="794"/>
      <c r="Q100" s="794"/>
      <c r="R100" s="794"/>
      <c r="S100" s="794"/>
      <c r="T100" s="794"/>
      <c r="U100" s="794"/>
      <c r="V100" s="794"/>
      <c r="W100" s="794"/>
      <c r="X100" s="794"/>
      <c r="Y100" s="794"/>
      <c r="Z100" s="794"/>
      <c r="AA100" s="794"/>
      <c r="AB100" s="794"/>
      <c r="AC100" s="794"/>
      <c r="AD100" s="794"/>
    </row>
    <row r="101" spans="1:36" ht="15">
      <c r="A101" s="94"/>
      <c r="B101" s="924" t="str">
        <f>IF(AK60&gt;0,"Registró el código 1 en la col. Nivel de Escolaridad debe de seleccionar el código 8 en la col. Estatus.",IF(AL60&gt;0,"Registró el código 2, 3 o 4 en la col. Nivel de Escolaridad no puede seleccionar el código 4 en la col. Estatus.",IF(AM60&gt;0,"Registró el código 9 en la col. Nivel de Escolaridad debe de seleccionar el código 9 en la col. Estatus.","")))</f>
        <v/>
      </c>
      <c r="C101" s="924"/>
      <c r="D101" s="924"/>
      <c r="E101" s="924"/>
      <c r="F101" s="924"/>
      <c r="G101" s="924"/>
      <c r="H101" s="924"/>
      <c r="I101" s="924"/>
      <c r="J101" s="924"/>
      <c r="K101" s="924"/>
      <c r="L101" s="924"/>
      <c r="M101" s="924"/>
      <c r="N101" s="924"/>
      <c r="O101" s="924"/>
      <c r="P101" s="924"/>
      <c r="Q101" s="924"/>
      <c r="R101" s="924"/>
      <c r="S101" s="924"/>
      <c r="T101" s="924"/>
      <c r="U101" s="924"/>
      <c r="V101" s="924"/>
      <c r="W101" s="924"/>
      <c r="X101" s="924"/>
      <c r="Y101" s="924"/>
      <c r="Z101" s="924"/>
      <c r="AA101" s="924"/>
      <c r="AB101" s="924"/>
      <c r="AC101" s="924"/>
      <c r="AD101" s="924"/>
    </row>
    <row r="102" spans="1:36" ht="15">
      <c r="A102" s="94"/>
      <c r="B102" s="794" t="str">
        <f>IF(AN60&gt;0,"Verifique la información registrada ya que la antigüedad en el cargo debe de ser menor a la antigüedad en el servicio público","")</f>
        <v/>
      </c>
      <c r="C102" s="794"/>
      <c r="D102" s="794"/>
      <c r="E102" s="794"/>
      <c r="F102" s="794"/>
      <c r="G102" s="794"/>
      <c r="H102" s="794"/>
      <c r="I102" s="794"/>
      <c r="J102" s="794"/>
      <c r="K102" s="794"/>
      <c r="L102" s="794"/>
      <c r="M102" s="794"/>
      <c r="N102" s="794"/>
      <c r="O102" s="794"/>
      <c r="P102" s="794"/>
      <c r="Q102" s="794"/>
      <c r="R102" s="794"/>
      <c r="S102" s="794"/>
      <c r="T102" s="794"/>
      <c r="U102" s="794"/>
      <c r="V102" s="794"/>
      <c r="W102" s="794"/>
      <c r="X102" s="794"/>
      <c r="Y102" s="794"/>
      <c r="Z102" s="794"/>
      <c r="AA102" s="794"/>
      <c r="AB102" s="794"/>
      <c r="AC102" s="794"/>
      <c r="AD102" s="794"/>
    </row>
    <row r="103" spans="1:36" ht="15.75" thickBot="1">
      <c r="A103" s="94"/>
      <c r="B103" s="933" t="str">
        <f>IF(AO60&gt;0,"Alerta: debe de proporcionar una justificación de acuerdo a lo establecido en la instrucción 12","")</f>
        <v/>
      </c>
      <c r="C103" s="933"/>
      <c r="D103" s="933"/>
      <c r="E103" s="933"/>
      <c r="F103" s="933"/>
      <c r="G103" s="933"/>
      <c r="H103" s="933"/>
      <c r="I103" s="933"/>
      <c r="J103" s="933"/>
      <c r="K103" s="933"/>
      <c r="L103" s="933"/>
      <c r="M103" s="933"/>
      <c r="N103" s="933"/>
      <c r="O103" s="933"/>
      <c r="P103" s="933"/>
      <c r="Q103" s="933"/>
      <c r="R103" s="933"/>
      <c r="S103" s="933"/>
      <c r="T103" s="933"/>
      <c r="U103" s="933"/>
      <c r="V103" s="933"/>
      <c r="W103" s="933"/>
      <c r="X103" s="933"/>
      <c r="Y103" s="933"/>
      <c r="Z103" s="933"/>
      <c r="AA103" s="933"/>
      <c r="AB103" s="933"/>
      <c r="AC103" s="933"/>
      <c r="AD103" s="933"/>
    </row>
    <row r="104" spans="1:36" customFormat="1" ht="15" customHeight="1" thickBot="1">
      <c r="A104" s="153" t="s">
        <v>2563</v>
      </c>
      <c r="B104" s="831" t="s">
        <v>3156</v>
      </c>
      <c r="C104" s="832"/>
      <c r="D104" s="832"/>
      <c r="E104" s="832"/>
      <c r="F104" s="832"/>
      <c r="G104" s="832"/>
      <c r="H104" s="832"/>
      <c r="I104" s="832"/>
      <c r="J104" s="832"/>
      <c r="K104" s="832"/>
      <c r="L104" s="832"/>
      <c r="M104" s="832"/>
      <c r="N104" s="832"/>
      <c r="O104" s="832"/>
      <c r="P104" s="832"/>
      <c r="Q104" s="832"/>
      <c r="R104" s="832"/>
      <c r="S104" s="832"/>
      <c r="T104" s="832"/>
      <c r="U104" s="832"/>
      <c r="V104" s="832"/>
      <c r="W104" s="832"/>
      <c r="X104" s="832"/>
      <c r="Y104" s="832"/>
      <c r="Z104" s="832"/>
      <c r="AA104" s="832"/>
      <c r="AB104" s="832"/>
      <c r="AC104" s="832"/>
      <c r="AD104" s="833"/>
      <c r="AE104" s="3"/>
    </row>
    <row r="105" spans="1:36" ht="15" customHeight="1">
      <c r="A105" s="94"/>
      <c r="B105" s="946" t="s">
        <v>3157</v>
      </c>
      <c r="C105" s="867"/>
      <c r="D105" s="867"/>
      <c r="E105" s="867"/>
      <c r="F105" s="867"/>
      <c r="G105" s="867"/>
      <c r="H105" s="867"/>
      <c r="I105" s="867"/>
      <c r="J105" s="867"/>
      <c r="K105" s="867"/>
      <c r="L105" s="867"/>
      <c r="M105" s="867"/>
      <c r="N105" s="867"/>
      <c r="O105" s="867"/>
      <c r="P105" s="867"/>
      <c r="Q105" s="867"/>
      <c r="R105" s="867"/>
      <c r="S105" s="867"/>
      <c r="T105" s="867"/>
      <c r="U105" s="867"/>
      <c r="V105" s="867"/>
      <c r="W105" s="867"/>
      <c r="X105" s="867"/>
      <c r="Y105" s="867"/>
      <c r="Z105" s="867"/>
      <c r="AA105" s="867"/>
      <c r="AB105" s="867"/>
      <c r="AC105" s="867"/>
      <c r="AD105" s="947"/>
    </row>
    <row r="106" spans="1:36" ht="36" customHeight="1">
      <c r="A106" s="146"/>
      <c r="B106" s="101"/>
      <c r="C106" s="754" t="s">
        <v>3158</v>
      </c>
      <c r="D106" s="754"/>
      <c r="E106" s="754"/>
      <c r="F106" s="754"/>
      <c r="G106" s="754"/>
      <c r="H106" s="754"/>
      <c r="I106" s="754"/>
      <c r="J106" s="754"/>
      <c r="K106" s="754"/>
      <c r="L106" s="754"/>
      <c r="M106" s="754"/>
      <c r="N106" s="754"/>
      <c r="O106" s="754"/>
      <c r="P106" s="754"/>
      <c r="Q106" s="754"/>
      <c r="R106" s="754"/>
      <c r="S106" s="754"/>
      <c r="T106" s="754"/>
      <c r="U106" s="754"/>
      <c r="V106" s="754"/>
      <c r="W106" s="754"/>
      <c r="X106" s="754"/>
      <c r="Y106" s="754"/>
      <c r="Z106" s="754"/>
      <c r="AA106" s="754"/>
      <c r="AB106" s="754"/>
      <c r="AC106" s="754"/>
      <c r="AD106" s="755"/>
    </row>
    <row r="107" spans="1:36" ht="24" customHeight="1">
      <c r="A107" s="146"/>
      <c r="B107" s="85"/>
      <c r="C107" s="764" t="s">
        <v>3159</v>
      </c>
      <c r="D107" s="876"/>
      <c r="E107" s="876"/>
      <c r="F107" s="876"/>
      <c r="G107" s="876"/>
      <c r="H107" s="876"/>
      <c r="I107" s="876"/>
      <c r="J107" s="876"/>
      <c r="K107" s="876"/>
      <c r="L107" s="876"/>
      <c r="M107" s="876"/>
      <c r="N107" s="876"/>
      <c r="O107" s="876"/>
      <c r="P107" s="876"/>
      <c r="Q107" s="876"/>
      <c r="R107" s="876"/>
      <c r="S107" s="876"/>
      <c r="T107" s="876"/>
      <c r="U107" s="876"/>
      <c r="V107" s="876"/>
      <c r="W107" s="876"/>
      <c r="X107" s="876"/>
      <c r="Y107" s="876"/>
      <c r="Z107" s="876"/>
      <c r="AA107" s="876"/>
      <c r="AB107" s="876"/>
      <c r="AC107" s="876"/>
      <c r="AD107" s="1002"/>
    </row>
    <row r="108" spans="1:36" ht="15">
      <c r="A108" s="94"/>
    </row>
    <row r="109" spans="1:36" ht="24" customHeight="1">
      <c r="A109" s="49" t="s">
        <v>3160</v>
      </c>
      <c r="B109" s="829" t="s">
        <v>3161</v>
      </c>
      <c r="C109" s="829"/>
      <c r="D109" s="829"/>
      <c r="E109" s="829"/>
      <c r="F109" s="829"/>
      <c r="G109" s="829"/>
      <c r="H109" s="829"/>
      <c r="I109" s="829"/>
      <c r="J109" s="829"/>
      <c r="K109" s="829"/>
      <c r="L109" s="829"/>
      <c r="M109" s="829"/>
      <c r="N109" s="829"/>
      <c r="O109" s="829"/>
      <c r="P109" s="829"/>
      <c r="Q109" s="829"/>
      <c r="R109" s="829"/>
      <c r="S109" s="829"/>
      <c r="T109" s="829"/>
      <c r="U109" s="829"/>
      <c r="V109" s="829"/>
      <c r="W109" s="829"/>
      <c r="X109" s="829"/>
      <c r="Y109" s="829"/>
      <c r="Z109" s="829"/>
      <c r="AA109" s="829"/>
      <c r="AB109" s="829"/>
      <c r="AC109" s="829"/>
      <c r="AD109" s="829"/>
    </row>
    <row r="110" spans="1:36" ht="15" customHeight="1">
      <c r="A110" s="49"/>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row>
    <row r="111" spans="1:36" ht="15" customHeight="1">
      <c r="A111" s="49"/>
      <c r="B111" s="38"/>
      <c r="C111" s="732" t="s">
        <v>2581</v>
      </c>
      <c r="D111" s="732"/>
      <c r="E111" s="732"/>
      <c r="F111" s="732"/>
      <c r="G111" s="732"/>
      <c r="H111" s="732"/>
      <c r="I111" s="732"/>
      <c r="J111" s="732"/>
      <c r="K111" s="732"/>
      <c r="L111" s="732"/>
      <c r="M111" s="739" t="s">
        <v>3162</v>
      </c>
      <c r="N111" s="740"/>
      <c r="O111" s="740"/>
      <c r="P111" s="740"/>
      <c r="Q111" s="740"/>
      <c r="R111" s="740"/>
      <c r="S111" s="740"/>
      <c r="T111" s="740"/>
      <c r="U111" s="740"/>
      <c r="V111" s="740"/>
      <c r="W111" s="740"/>
      <c r="X111" s="740"/>
      <c r="Y111" s="740"/>
      <c r="Z111" s="740"/>
      <c r="AA111" s="740"/>
      <c r="AB111" s="740"/>
      <c r="AC111" s="740"/>
      <c r="AD111" s="741"/>
    </row>
    <row r="112" spans="1:36" ht="15" customHeight="1">
      <c r="A112" s="49"/>
      <c r="B112" s="38"/>
      <c r="C112" s="732"/>
      <c r="D112" s="732"/>
      <c r="E112" s="732"/>
      <c r="F112" s="732"/>
      <c r="G112" s="732"/>
      <c r="H112" s="732"/>
      <c r="I112" s="732"/>
      <c r="J112" s="732"/>
      <c r="K112" s="732"/>
      <c r="L112" s="732"/>
      <c r="M112" s="739" t="s">
        <v>2628</v>
      </c>
      <c r="N112" s="740"/>
      <c r="O112" s="740"/>
      <c r="P112" s="740"/>
      <c r="Q112" s="740"/>
      <c r="R112" s="741"/>
      <c r="S112" s="733" t="s">
        <v>2629</v>
      </c>
      <c r="T112" s="734"/>
      <c r="U112" s="734"/>
      <c r="V112" s="734"/>
      <c r="W112" s="734"/>
      <c r="X112" s="735"/>
      <c r="Y112" s="733" t="s">
        <v>2630</v>
      </c>
      <c r="Z112" s="734"/>
      <c r="AA112" s="734"/>
      <c r="AB112" s="734"/>
      <c r="AC112" s="734"/>
      <c r="AD112" s="735"/>
      <c r="AG112" s="349" t="s">
        <v>2586</v>
      </c>
      <c r="AH112" s="350" t="s">
        <v>2590</v>
      </c>
      <c r="AI112" s="351" t="s">
        <v>3163</v>
      </c>
      <c r="AJ112" s="352" t="s">
        <v>3164</v>
      </c>
    </row>
    <row r="113" spans="1:36" ht="15" customHeight="1">
      <c r="A113" s="49"/>
      <c r="B113" s="38"/>
      <c r="C113" s="97" t="s">
        <v>2516</v>
      </c>
      <c r="D113" s="813" t="str">
        <f>IF(CNSIPEE_2024_M2_Secc1!D42="","",CNSIPEE_2024_M2_Secc1!D42)</f>
        <v/>
      </c>
      <c r="E113" s="814"/>
      <c r="F113" s="814"/>
      <c r="G113" s="814"/>
      <c r="H113" s="814"/>
      <c r="I113" s="814"/>
      <c r="J113" s="814"/>
      <c r="K113" s="814"/>
      <c r="L113" s="815"/>
      <c r="M113" s="816"/>
      <c r="N113" s="738"/>
      <c r="O113" s="738"/>
      <c r="P113" s="738"/>
      <c r="Q113" s="738"/>
      <c r="R113" s="817"/>
      <c r="S113" s="816"/>
      <c r="T113" s="738"/>
      <c r="U113" s="738"/>
      <c r="V113" s="738"/>
      <c r="W113" s="738"/>
      <c r="X113" s="817"/>
      <c r="Y113" s="816"/>
      <c r="Z113" s="738"/>
      <c r="AA113" s="738"/>
      <c r="AB113" s="738"/>
      <c r="AC113" s="738"/>
      <c r="AD113" s="817"/>
      <c r="AG113" s="283">
        <f>IF(AND(COUNTBLANK(D113)=0,COUNTA(M113:AD113)=3),0,IF(AND(COUNTBLANK(D113)=1,COUNTA(M113:AD113)=0),0,1))</f>
        <v>0</v>
      </c>
      <c r="AH113" s="353">
        <f>COUNTIF(S113:AD113,"NS")</f>
        <v>0</v>
      </c>
      <c r="AI113" s="353">
        <f>SUM(S113:AD113)</f>
        <v>0</v>
      </c>
      <c r="AJ113" s="353">
        <f>IF(COUNTIF(M113:AD113,"NA")=3,0,IF(OR(AND(M113=0,AH113&gt;0),AND(M113="ns",AI113&gt;0),AND(M113="ns",AH113=0,AI113=0)),1,IF(OR(AND(M113&gt;0,AH113=2),AND(M113="ns",AH113=2),AND(M113="ns",AI113=0,AH113&gt;0),M113=AI113),0,1)))</f>
        <v>0</v>
      </c>
    </row>
    <row r="114" spans="1:36" ht="15" customHeight="1">
      <c r="A114" s="49"/>
      <c r="B114" s="38"/>
      <c r="C114" s="98" t="s">
        <v>2517</v>
      </c>
      <c r="D114" s="813" t="str">
        <f>IF(CNSIPEE_2024_M2_Secc1!D43="","",CNSIPEE_2024_M2_Secc1!D43)</f>
        <v/>
      </c>
      <c r="E114" s="814"/>
      <c r="F114" s="814"/>
      <c r="G114" s="814"/>
      <c r="H114" s="814"/>
      <c r="I114" s="814"/>
      <c r="J114" s="814"/>
      <c r="K114" s="814"/>
      <c r="L114" s="815"/>
      <c r="M114" s="816"/>
      <c r="N114" s="738"/>
      <c r="O114" s="738"/>
      <c r="P114" s="738"/>
      <c r="Q114" s="738"/>
      <c r="R114" s="817"/>
      <c r="S114" s="816"/>
      <c r="T114" s="738"/>
      <c r="U114" s="738"/>
      <c r="V114" s="738"/>
      <c r="W114" s="738"/>
      <c r="X114" s="817"/>
      <c r="Y114" s="816"/>
      <c r="Z114" s="738"/>
      <c r="AA114" s="738"/>
      <c r="AB114" s="738"/>
      <c r="AC114" s="738"/>
      <c r="AD114" s="817"/>
      <c r="AG114" s="283">
        <f t="shared" ref="AG114:AG120" si="16">IF(AND(COUNTBLANK(D114)=0,COUNTA(M114:AD114)=3),0,IF(AND(COUNTBLANK(D114)=1,COUNTA(M114:AD114)=0),0,1))</f>
        <v>0</v>
      </c>
      <c r="AH114" s="353">
        <f t="shared" ref="AH114:AH120" si="17">COUNTIF(S114:AD114,"NS")</f>
        <v>0</v>
      </c>
      <c r="AI114" s="353">
        <f t="shared" ref="AI114:AI120" si="18">SUM(S114:AD114)</f>
        <v>0</v>
      </c>
      <c r="AJ114" s="353">
        <f t="shared" ref="AJ114:AJ120" si="19">IF(COUNTIF(M114:AD114,"NA")=3,0,IF(OR(AND(M114=0,AH114&gt;0),AND(M114="ns",AI114&gt;0),AND(M114="ns",AH114=0,AI114=0)),1,IF(OR(AND(M114&gt;0,AH114=2),AND(M114="ns",AH114=2),AND(M114="ns",AI114=0,AH114&gt;0),M114=AI114),0,1)))</f>
        <v>0</v>
      </c>
    </row>
    <row r="115" spans="1:36" ht="15" customHeight="1">
      <c r="A115" s="49"/>
      <c r="B115" s="38"/>
      <c r="C115" s="98" t="s">
        <v>2518</v>
      </c>
      <c r="D115" s="813" t="str">
        <f>IF(CNSIPEE_2024_M2_Secc1!D44="","",CNSIPEE_2024_M2_Secc1!D44)</f>
        <v/>
      </c>
      <c r="E115" s="814"/>
      <c r="F115" s="814"/>
      <c r="G115" s="814"/>
      <c r="H115" s="814"/>
      <c r="I115" s="814"/>
      <c r="J115" s="814"/>
      <c r="K115" s="814"/>
      <c r="L115" s="815"/>
      <c r="M115" s="816"/>
      <c r="N115" s="738"/>
      <c r="O115" s="738"/>
      <c r="P115" s="738"/>
      <c r="Q115" s="738"/>
      <c r="R115" s="817"/>
      <c r="S115" s="816"/>
      <c r="T115" s="738"/>
      <c r="U115" s="738"/>
      <c r="V115" s="738"/>
      <c r="W115" s="738"/>
      <c r="X115" s="817"/>
      <c r="Y115" s="816"/>
      <c r="Z115" s="738"/>
      <c r="AA115" s="738"/>
      <c r="AB115" s="738"/>
      <c r="AC115" s="738"/>
      <c r="AD115" s="817"/>
      <c r="AG115" s="283">
        <f t="shared" si="16"/>
        <v>0</v>
      </c>
      <c r="AH115" s="353">
        <f t="shared" si="17"/>
        <v>0</v>
      </c>
      <c r="AI115" s="353">
        <f t="shared" si="18"/>
        <v>0</v>
      </c>
      <c r="AJ115" s="353">
        <f t="shared" si="19"/>
        <v>0</v>
      </c>
    </row>
    <row r="116" spans="1:36" ht="15" customHeight="1">
      <c r="A116" s="49"/>
      <c r="B116" s="38"/>
      <c r="C116" s="98" t="s">
        <v>2519</v>
      </c>
      <c r="D116" s="813" t="str">
        <f>IF(CNSIPEE_2024_M2_Secc1!D45="","",CNSIPEE_2024_M2_Secc1!D45)</f>
        <v/>
      </c>
      <c r="E116" s="814"/>
      <c r="F116" s="814"/>
      <c r="G116" s="814"/>
      <c r="H116" s="814"/>
      <c r="I116" s="814"/>
      <c r="J116" s="814"/>
      <c r="K116" s="814"/>
      <c r="L116" s="815"/>
      <c r="M116" s="816"/>
      <c r="N116" s="738"/>
      <c r="O116" s="738"/>
      <c r="P116" s="738"/>
      <c r="Q116" s="738"/>
      <c r="R116" s="817"/>
      <c r="S116" s="816"/>
      <c r="T116" s="738"/>
      <c r="U116" s="738"/>
      <c r="V116" s="738"/>
      <c r="W116" s="738"/>
      <c r="X116" s="817"/>
      <c r="Y116" s="816"/>
      <c r="Z116" s="738"/>
      <c r="AA116" s="738"/>
      <c r="AB116" s="738"/>
      <c r="AC116" s="738"/>
      <c r="AD116" s="817"/>
      <c r="AG116" s="283">
        <f t="shared" si="16"/>
        <v>0</v>
      </c>
      <c r="AH116" s="353">
        <f t="shared" si="17"/>
        <v>0</v>
      </c>
      <c r="AI116" s="353">
        <f t="shared" si="18"/>
        <v>0</v>
      </c>
      <c r="AJ116" s="353">
        <f t="shared" si="19"/>
        <v>0</v>
      </c>
    </row>
    <row r="117" spans="1:36" ht="15" customHeight="1">
      <c r="A117" s="49"/>
      <c r="B117" s="38"/>
      <c r="C117" s="98" t="s">
        <v>2520</v>
      </c>
      <c r="D117" s="813" t="str">
        <f>IF(CNSIPEE_2024_M2_Secc1!D46="","",CNSIPEE_2024_M2_Secc1!D46)</f>
        <v/>
      </c>
      <c r="E117" s="814"/>
      <c r="F117" s="814"/>
      <c r="G117" s="814"/>
      <c r="H117" s="814"/>
      <c r="I117" s="814"/>
      <c r="J117" s="814"/>
      <c r="K117" s="814"/>
      <c r="L117" s="815"/>
      <c r="M117" s="816"/>
      <c r="N117" s="738"/>
      <c r="O117" s="738"/>
      <c r="P117" s="738"/>
      <c r="Q117" s="738"/>
      <c r="R117" s="817"/>
      <c r="S117" s="816"/>
      <c r="T117" s="738"/>
      <c r="U117" s="738"/>
      <c r="V117" s="738"/>
      <c r="W117" s="738"/>
      <c r="X117" s="817"/>
      <c r="Y117" s="816"/>
      <c r="Z117" s="738"/>
      <c r="AA117" s="738"/>
      <c r="AB117" s="738"/>
      <c r="AC117" s="738"/>
      <c r="AD117" s="817"/>
      <c r="AG117" s="283">
        <f t="shared" si="16"/>
        <v>0</v>
      </c>
      <c r="AH117" s="353">
        <f t="shared" si="17"/>
        <v>0</v>
      </c>
      <c r="AI117" s="353">
        <f t="shared" si="18"/>
        <v>0</v>
      </c>
      <c r="AJ117" s="353">
        <f t="shared" si="19"/>
        <v>0</v>
      </c>
    </row>
    <row r="118" spans="1:36" ht="15" customHeight="1">
      <c r="A118" s="49"/>
      <c r="B118" s="38"/>
      <c r="C118" s="98" t="s">
        <v>2521</v>
      </c>
      <c r="D118" s="813" t="str">
        <f>IF(CNSIPEE_2024_M2_Secc1!D47="","",CNSIPEE_2024_M2_Secc1!D47)</f>
        <v/>
      </c>
      <c r="E118" s="814"/>
      <c r="F118" s="814"/>
      <c r="G118" s="814"/>
      <c r="H118" s="814"/>
      <c r="I118" s="814"/>
      <c r="J118" s="814"/>
      <c r="K118" s="814"/>
      <c r="L118" s="815"/>
      <c r="M118" s="816"/>
      <c r="N118" s="738"/>
      <c r="O118" s="738"/>
      <c r="P118" s="738"/>
      <c r="Q118" s="738"/>
      <c r="R118" s="817"/>
      <c r="S118" s="816"/>
      <c r="T118" s="738"/>
      <c r="U118" s="738"/>
      <c r="V118" s="738"/>
      <c r="W118" s="738"/>
      <c r="X118" s="817"/>
      <c r="Y118" s="816"/>
      <c r="Z118" s="738"/>
      <c r="AA118" s="738"/>
      <c r="AB118" s="738"/>
      <c r="AC118" s="738"/>
      <c r="AD118" s="817"/>
      <c r="AG118" s="283">
        <f t="shared" si="16"/>
        <v>0</v>
      </c>
      <c r="AH118" s="353">
        <f t="shared" si="17"/>
        <v>0</v>
      </c>
      <c r="AI118" s="353">
        <f t="shared" si="18"/>
        <v>0</v>
      </c>
      <c r="AJ118" s="353">
        <f t="shared" si="19"/>
        <v>0</v>
      </c>
    </row>
    <row r="119" spans="1:36" ht="15" customHeight="1">
      <c r="A119" s="49"/>
      <c r="B119" s="38"/>
      <c r="C119" s="98" t="s">
        <v>2522</v>
      </c>
      <c r="D119" s="813" t="str">
        <f>IF(CNSIPEE_2024_M2_Secc1!D48="","",CNSIPEE_2024_M2_Secc1!D48)</f>
        <v/>
      </c>
      <c r="E119" s="814"/>
      <c r="F119" s="814"/>
      <c r="G119" s="814"/>
      <c r="H119" s="814"/>
      <c r="I119" s="814"/>
      <c r="J119" s="814"/>
      <c r="K119" s="814"/>
      <c r="L119" s="815"/>
      <c r="M119" s="816"/>
      <c r="N119" s="738"/>
      <c r="O119" s="738"/>
      <c r="P119" s="738"/>
      <c r="Q119" s="738"/>
      <c r="R119" s="817"/>
      <c r="S119" s="816"/>
      <c r="T119" s="738"/>
      <c r="U119" s="738"/>
      <c r="V119" s="738"/>
      <c r="W119" s="738"/>
      <c r="X119" s="817"/>
      <c r="Y119" s="816"/>
      <c r="Z119" s="738"/>
      <c r="AA119" s="738"/>
      <c r="AB119" s="738"/>
      <c r="AC119" s="738"/>
      <c r="AD119" s="817"/>
      <c r="AG119" s="283">
        <f t="shared" si="16"/>
        <v>0</v>
      </c>
      <c r="AH119" s="353">
        <f t="shared" si="17"/>
        <v>0</v>
      </c>
      <c r="AI119" s="353">
        <f t="shared" si="18"/>
        <v>0</v>
      </c>
      <c r="AJ119" s="353">
        <f t="shared" si="19"/>
        <v>0</v>
      </c>
    </row>
    <row r="120" spans="1:36" ht="15" customHeight="1">
      <c r="A120" s="49"/>
      <c r="B120" s="38"/>
      <c r="C120" s="98" t="s">
        <v>2523</v>
      </c>
      <c r="D120" s="813" t="str">
        <f>IF(CNSIPEE_2024_M2_Secc1!D49="","",CNSIPEE_2024_M2_Secc1!D49)</f>
        <v/>
      </c>
      <c r="E120" s="814"/>
      <c r="F120" s="814"/>
      <c r="G120" s="814"/>
      <c r="H120" s="814"/>
      <c r="I120" s="814"/>
      <c r="J120" s="814"/>
      <c r="K120" s="814"/>
      <c r="L120" s="815"/>
      <c r="M120" s="816"/>
      <c r="N120" s="738"/>
      <c r="O120" s="738"/>
      <c r="P120" s="738"/>
      <c r="Q120" s="738"/>
      <c r="R120" s="817"/>
      <c r="S120" s="816"/>
      <c r="T120" s="738"/>
      <c r="U120" s="738"/>
      <c r="V120" s="738"/>
      <c r="W120" s="738"/>
      <c r="X120" s="817"/>
      <c r="Y120" s="816"/>
      <c r="Z120" s="738"/>
      <c r="AA120" s="738"/>
      <c r="AB120" s="738"/>
      <c r="AC120" s="738"/>
      <c r="AD120" s="817"/>
      <c r="AG120" s="283">
        <f t="shared" si="16"/>
        <v>0</v>
      </c>
      <c r="AH120" s="353">
        <f t="shared" si="17"/>
        <v>0</v>
      </c>
      <c r="AI120" s="353">
        <f t="shared" si="18"/>
        <v>0</v>
      </c>
      <c r="AJ120" s="353">
        <f t="shared" si="19"/>
        <v>0</v>
      </c>
    </row>
    <row r="121" spans="1:36" ht="15" customHeight="1">
      <c r="A121" s="49"/>
      <c r="B121" s="38"/>
      <c r="C121" s="38"/>
      <c r="D121" s="93"/>
      <c r="E121" s="93"/>
      <c r="F121" s="93"/>
      <c r="G121" s="93"/>
      <c r="H121" s="93"/>
      <c r="I121" s="93"/>
      <c r="J121" s="93"/>
      <c r="K121" s="93"/>
      <c r="L121" s="99" t="s">
        <v>2649</v>
      </c>
      <c r="M121" s="733">
        <f>IF(AND(SUM(M113:R120)=0,COUNTIF(M113:R120,"NS")&gt;0),"NS",
IF(AND(SUM(M113:R120)=0,COUNTIF(M113:R120,0)&gt;0),0,
IF(AND(SUM(M113:R120)=0,COUNTIF(M113:R120,"NA")&gt;0),"NA",
SUM(M113:R120))))</f>
        <v>0</v>
      </c>
      <c r="N121" s="734"/>
      <c r="O121" s="734"/>
      <c r="P121" s="734"/>
      <c r="Q121" s="734"/>
      <c r="R121" s="735"/>
      <c r="S121" s="733">
        <f t="shared" ref="S121" si="20">IF(AND(SUM(S113:X120)=0,COUNTIF(S113:X120,"NS")&gt;0),"NS",
IF(AND(SUM(S113:X120)=0,COUNTIF(S113:X120,0)&gt;0),0,
IF(AND(SUM(S113:X120)=0,COUNTIF(S113:X120,"NA")&gt;0),"NA",
SUM(S113:X120))))</f>
        <v>0</v>
      </c>
      <c r="T121" s="734"/>
      <c r="U121" s="734"/>
      <c r="V121" s="734"/>
      <c r="W121" s="734"/>
      <c r="X121" s="735"/>
      <c r="Y121" s="733">
        <f t="shared" ref="Y121" si="21">IF(AND(SUM(Y113:AD120)=0,COUNTIF(Y113:AD120,"NS")&gt;0),"NS",
IF(AND(SUM(Y113:AD120)=0,COUNTIF(Y113:AD120,0)&gt;0),0,
IF(AND(SUM(Y113:AD120)=0,COUNTIF(Y113:AD120,"NA")&gt;0),"NA",
SUM(Y113:AD120))))</f>
        <v>0</v>
      </c>
      <c r="Z121" s="734"/>
      <c r="AA121" s="734"/>
      <c r="AB121" s="734"/>
      <c r="AC121" s="734"/>
      <c r="AD121" s="735"/>
      <c r="AG121" s="349">
        <f>SUM(AG113:AG120)</f>
        <v>0</v>
      </c>
      <c r="AH121" s="350">
        <f>SUM(AH113:AH120)</f>
        <v>0</v>
      </c>
      <c r="AI121" s="351">
        <f>SUM(AI113:AI120)</f>
        <v>0</v>
      </c>
      <c r="AJ121" s="352">
        <f>SUM(AJ113:AJ120)</f>
        <v>0</v>
      </c>
    </row>
    <row r="122" spans="1:36" ht="15" customHeight="1">
      <c r="A122" s="49"/>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row>
    <row r="123" spans="1:36" ht="24" customHeight="1">
      <c r="A123" s="49"/>
      <c r="B123" s="38"/>
      <c r="C123" s="754" t="s">
        <v>2611</v>
      </c>
      <c r="D123" s="754"/>
      <c r="E123" s="754"/>
      <c r="F123" s="754"/>
      <c r="G123" s="754"/>
      <c r="H123" s="754"/>
      <c r="I123" s="754"/>
      <c r="J123" s="754"/>
      <c r="K123" s="754"/>
      <c r="L123" s="754"/>
      <c r="M123" s="754"/>
      <c r="N123" s="754"/>
      <c r="O123" s="754"/>
      <c r="P123" s="754"/>
      <c r="Q123" s="754"/>
      <c r="R123" s="754"/>
      <c r="S123" s="754"/>
      <c r="T123" s="754"/>
      <c r="U123" s="754"/>
      <c r="V123" s="754"/>
      <c r="W123" s="754"/>
      <c r="X123" s="754"/>
      <c r="Y123" s="754"/>
      <c r="Z123" s="754"/>
      <c r="AA123" s="754"/>
      <c r="AB123" s="754"/>
      <c r="AC123" s="754"/>
      <c r="AD123" s="754"/>
    </row>
    <row r="124" spans="1:36" ht="60" customHeight="1">
      <c r="A124" s="49"/>
      <c r="B124" s="38"/>
      <c r="C124" s="851"/>
      <c r="D124" s="851"/>
      <c r="E124" s="851"/>
      <c r="F124" s="851"/>
      <c r="G124" s="851"/>
      <c r="H124" s="851"/>
      <c r="I124" s="851"/>
      <c r="J124" s="851"/>
      <c r="K124" s="851"/>
      <c r="L124" s="851"/>
      <c r="M124" s="851"/>
      <c r="N124" s="851"/>
      <c r="O124" s="851"/>
      <c r="P124" s="851"/>
      <c r="Q124" s="851"/>
      <c r="R124" s="851"/>
      <c r="S124" s="851"/>
      <c r="T124" s="851"/>
      <c r="U124" s="851"/>
      <c r="V124" s="851"/>
      <c r="W124" s="851"/>
      <c r="X124" s="851"/>
      <c r="Y124" s="851"/>
      <c r="Z124" s="851"/>
      <c r="AA124" s="851"/>
      <c r="AB124" s="851"/>
      <c r="AC124" s="851"/>
      <c r="AD124" s="851"/>
    </row>
    <row r="125" spans="1:36" ht="15" customHeight="1">
      <c r="A125" s="49"/>
      <c r="B125" s="794" t="str">
        <f>IF(AG121&gt;0,"Favor de ingresar toda la información requerida en la pregunta ","")</f>
        <v/>
      </c>
      <c r="C125" s="794"/>
      <c r="D125" s="794"/>
      <c r="E125" s="794"/>
      <c r="F125" s="794"/>
      <c r="G125" s="794"/>
      <c r="H125" s="794"/>
      <c r="I125" s="794"/>
      <c r="J125" s="794"/>
      <c r="K125" s="794"/>
      <c r="L125" s="794"/>
      <c r="M125" s="794"/>
      <c r="N125" s="794"/>
      <c r="O125" s="794"/>
      <c r="P125" s="794"/>
      <c r="Q125" s="794"/>
      <c r="R125" s="794"/>
      <c r="S125" s="794"/>
      <c r="T125" s="794"/>
      <c r="U125" s="794"/>
      <c r="V125" s="794"/>
      <c r="W125" s="794"/>
      <c r="X125" s="794"/>
      <c r="Y125" s="794"/>
      <c r="Z125" s="794"/>
      <c r="AA125" s="794"/>
      <c r="AB125" s="794"/>
      <c r="AC125" s="794"/>
      <c r="AD125" s="794"/>
    </row>
    <row r="126" spans="1:36" ht="15" customHeight="1">
      <c r="A126" s="49"/>
      <c r="B126" s="795" t="str">
        <f>IF(AH121&gt;0,"Alerta: debido a que cuenta con registros NS, debe proporcionar una justificación en el area de comentarios al final de la pregunta","")</f>
        <v/>
      </c>
      <c r="C126" s="795"/>
      <c r="D126" s="795"/>
      <c r="E126" s="795"/>
      <c r="F126" s="795"/>
      <c r="G126" s="795"/>
      <c r="H126" s="795"/>
      <c r="I126" s="795"/>
      <c r="J126" s="795"/>
      <c r="K126" s="795"/>
      <c r="L126" s="795"/>
      <c r="M126" s="795"/>
      <c r="N126" s="795"/>
      <c r="O126" s="795"/>
      <c r="P126" s="795"/>
      <c r="Q126" s="795"/>
      <c r="R126" s="795"/>
      <c r="S126" s="795"/>
      <c r="T126" s="795"/>
      <c r="U126" s="795"/>
      <c r="V126" s="795"/>
      <c r="W126" s="795"/>
      <c r="X126" s="795"/>
      <c r="Y126" s="795"/>
      <c r="Z126" s="795"/>
      <c r="AA126" s="795"/>
      <c r="AB126" s="795"/>
      <c r="AC126" s="795"/>
      <c r="AD126" s="795"/>
    </row>
    <row r="127" spans="1:36" ht="15" customHeight="1">
      <c r="A127" s="49"/>
      <c r="B127" s="794" t="str">
        <f>IF(AJ121&gt;0,"Favor de revisar la suma y consistencia de totales y/o subtotales por filas (numéricos y NS)","")</f>
        <v/>
      </c>
      <c r="C127" s="794"/>
      <c r="D127" s="794"/>
      <c r="E127" s="794"/>
      <c r="F127" s="794"/>
      <c r="G127" s="794"/>
      <c r="H127" s="794"/>
      <c r="I127" s="794"/>
      <c r="J127" s="794"/>
      <c r="K127" s="794"/>
      <c r="L127" s="794"/>
      <c r="M127" s="794"/>
      <c r="N127" s="794"/>
      <c r="O127" s="794"/>
      <c r="P127" s="794"/>
      <c r="Q127" s="794"/>
      <c r="R127" s="794"/>
      <c r="S127" s="794"/>
      <c r="T127" s="794"/>
      <c r="U127" s="794"/>
      <c r="V127" s="794"/>
      <c r="W127" s="794"/>
      <c r="X127" s="794"/>
      <c r="Y127" s="794"/>
      <c r="Z127" s="794"/>
      <c r="AA127" s="794"/>
      <c r="AB127" s="794"/>
      <c r="AC127" s="794"/>
      <c r="AD127" s="794"/>
    </row>
    <row r="128" spans="1:36" ht="15" customHeight="1">
      <c r="A128" s="49"/>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row>
    <row r="129" spans="1:58" ht="15" customHeight="1">
      <c r="A129" s="49"/>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row>
    <row r="130" spans="1:58" ht="15" customHeight="1">
      <c r="A130" s="49"/>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row>
    <row r="131" spans="1:58" ht="24" customHeight="1">
      <c r="A131" s="49" t="s">
        <v>3165</v>
      </c>
      <c r="B131" s="829" t="s">
        <v>3166</v>
      </c>
      <c r="C131" s="829"/>
      <c r="D131" s="829"/>
      <c r="E131" s="829"/>
      <c r="F131" s="829"/>
      <c r="G131" s="829"/>
      <c r="H131" s="829"/>
      <c r="I131" s="829"/>
      <c r="J131" s="829"/>
      <c r="K131" s="829"/>
      <c r="L131" s="829"/>
      <c r="M131" s="829"/>
      <c r="N131" s="829"/>
      <c r="O131" s="829"/>
      <c r="P131" s="829"/>
      <c r="Q131" s="829"/>
      <c r="R131" s="829"/>
      <c r="S131" s="829"/>
      <c r="T131" s="829"/>
      <c r="U131" s="829"/>
      <c r="V131" s="829"/>
      <c r="W131" s="829"/>
      <c r="X131" s="829"/>
      <c r="Y131" s="829"/>
      <c r="Z131" s="829"/>
      <c r="AA131" s="829"/>
      <c r="AB131" s="829"/>
      <c r="AC131" s="829"/>
      <c r="AD131" s="829"/>
    </row>
    <row r="132" spans="1:58" ht="24" customHeight="1">
      <c r="A132" s="49"/>
      <c r="B132" s="38"/>
      <c r="C132" s="754" t="s">
        <v>3167</v>
      </c>
      <c r="D132" s="754"/>
      <c r="E132" s="754"/>
      <c r="F132" s="754"/>
      <c r="G132" s="754"/>
      <c r="H132" s="754"/>
      <c r="I132" s="754"/>
      <c r="J132" s="754"/>
      <c r="K132" s="754"/>
      <c r="L132" s="754"/>
      <c r="M132" s="754"/>
      <c r="N132" s="754"/>
      <c r="O132" s="754"/>
      <c r="P132" s="754"/>
      <c r="Q132" s="754"/>
      <c r="R132" s="754"/>
      <c r="S132" s="754"/>
      <c r="T132" s="754"/>
      <c r="U132" s="754"/>
      <c r="V132" s="754"/>
      <c r="W132" s="754"/>
      <c r="X132" s="754"/>
      <c r="Y132" s="754"/>
      <c r="Z132" s="754"/>
      <c r="AA132" s="754"/>
      <c r="AB132" s="754"/>
      <c r="AC132" s="754"/>
      <c r="AD132" s="754"/>
    </row>
    <row r="133" spans="1:58" ht="15" customHeight="1">
      <c r="A133" s="49"/>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row>
    <row r="134" spans="1:58" ht="15">
      <c r="A134" s="49"/>
      <c r="B134" s="38"/>
      <c r="C134" s="797" t="s">
        <v>2581</v>
      </c>
      <c r="D134" s="798"/>
      <c r="E134" s="798"/>
      <c r="F134" s="798"/>
      <c r="G134" s="798"/>
      <c r="H134" s="798"/>
      <c r="I134" s="799"/>
      <c r="J134" s="739" t="s">
        <v>3168</v>
      </c>
      <c r="K134" s="740"/>
      <c r="L134" s="740"/>
      <c r="M134" s="740"/>
      <c r="N134" s="740"/>
      <c r="O134" s="740"/>
      <c r="P134" s="740"/>
      <c r="Q134" s="740"/>
      <c r="R134" s="740"/>
      <c r="S134" s="740"/>
      <c r="T134" s="740"/>
      <c r="U134" s="740"/>
      <c r="V134" s="740"/>
      <c r="W134" s="740"/>
      <c r="X134" s="740"/>
      <c r="Y134" s="740"/>
      <c r="Z134" s="740"/>
      <c r="AA134" s="740"/>
      <c r="AB134" s="740"/>
      <c r="AC134" s="740"/>
      <c r="AD134" s="741"/>
    </row>
    <row r="135" spans="1:58" ht="84" customHeight="1">
      <c r="A135" s="49"/>
      <c r="B135" s="38"/>
      <c r="C135" s="800"/>
      <c r="D135" s="801"/>
      <c r="E135" s="801"/>
      <c r="F135" s="801"/>
      <c r="G135" s="801"/>
      <c r="H135" s="801"/>
      <c r="I135" s="802"/>
      <c r="J135" s="888" t="s">
        <v>2628</v>
      </c>
      <c r="K135" s="890" t="s">
        <v>2629</v>
      </c>
      <c r="L135" s="890" t="s">
        <v>2630</v>
      </c>
      <c r="M135" s="890" t="s">
        <v>3169</v>
      </c>
      <c r="N135" s="890"/>
      <c r="O135" s="890"/>
      <c r="P135" s="890" t="s">
        <v>3170</v>
      </c>
      <c r="Q135" s="890"/>
      <c r="R135" s="890"/>
      <c r="S135" s="890" t="s">
        <v>3171</v>
      </c>
      <c r="T135" s="890"/>
      <c r="U135" s="890"/>
      <c r="V135" s="890" t="s">
        <v>3172</v>
      </c>
      <c r="W135" s="890"/>
      <c r="X135" s="890"/>
      <c r="Y135" s="890" t="s">
        <v>3173</v>
      </c>
      <c r="Z135" s="890"/>
      <c r="AA135" s="890"/>
      <c r="AB135" s="890" t="s">
        <v>201</v>
      </c>
      <c r="AC135" s="890"/>
      <c r="AD135" s="890"/>
      <c r="BC135" s="940" t="s">
        <v>3174</v>
      </c>
      <c r="BD135" s="919" t="s">
        <v>3175</v>
      </c>
      <c r="BE135" s="919"/>
      <c r="BF135" s="919"/>
    </row>
    <row r="136" spans="1:58" ht="48" customHeight="1">
      <c r="A136" s="49"/>
      <c r="B136" s="38"/>
      <c r="C136" s="803"/>
      <c r="D136" s="804"/>
      <c r="E136" s="804"/>
      <c r="F136" s="804"/>
      <c r="G136" s="804"/>
      <c r="H136" s="804"/>
      <c r="I136" s="805"/>
      <c r="J136" s="874"/>
      <c r="K136" s="857"/>
      <c r="L136" s="857"/>
      <c r="M136" s="127" t="s">
        <v>2635</v>
      </c>
      <c r="N136" s="128" t="s">
        <v>3176</v>
      </c>
      <c r="O136" s="128" t="s">
        <v>2630</v>
      </c>
      <c r="P136" s="127" t="s">
        <v>2635</v>
      </c>
      <c r="Q136" s="128" t="s">
        <v>3176</v>
      </c>
      <c r="R136" s="128" t="s">
        <v>2630</v>
      </c>
      <c r="S136" s="127" t="s">
        <v>2635</v>
      </c>
      <c r="T136" s="128" t="s">
        <v>3176</v>
      </c>
      <c r="U136" s="128" t="s">
        <v>2630</v>
      </c>
      <c r="V136" s="127" t="s">
        <v>2635</v>
      </c>
      <c r="W136" s="128" t="s">
        <v>3176</v>
      </c>
      <c r="X136" s="128" t="s">
        <v>2630</v>
      </c>
      <c r="Y136" s="127" t="s">
        <v>2635</v>
      </c>
      <c r="Z136" s="128" t="s">
        <v>3176</v>
      </c>
      <c r="AA136" s="128" t="s">
        <v>2630</v>
      </c>
      <c r="AB136" s="127" t="s">
        <v>2635</v>
      </c>
      <c r="AC136" s="128" t="s">
        <v>3176</v>
      </c>
      <c r="AD136" s="128" t="s">
        <v>2630</v>
      </c>
      <c r="AG136" s="354" t="s">
        <v>2586</v>
      </c>
      <c r="AH136" s="282" t="s">
        <v>2637</v>
      </c>
      <c r="AI136" s="280" t="s">
        <v>2638</v>
      </c>
      <c r="AJ136" s="281" t="s">
        <v>2639</v>
      </c>
      <c r="AK136" s="282" t="s">
        <v>2640</v>
      </c>
      <c r="AL136" s="280" t="s">
        <v>2641</v>
      </c>
      <c r="AM136" s="281" t="s">
        <v>2642</v>
      </c>
      <c r="AN136" s="282" t="s">
        <v>2643</v>
      </c>
      <c r="AO136" s="280" t="s">
        <v>2644</v>
      </c>
      <c r="AP136" s="281" t="s">
        <v>2645</v>
      </c>
      <c r="AQ136" s="282" t="s">
        <v>2646</v>
      </c>
      <c r="AR136" s="280" t="s">
        <v>2647</v>
      </c>
      <c r="AS136" s="281" t="s">
        <v>2648</v>
      </c>
      <c r="AT136" s="282" t="s">
        <v>2756</v>
      </c>
      <c r="AU136" s="280" t="s">
        <v>2757</v>
      </c>
      <c r="AV136" s="281" t="s">
        <v>2758</v>
      </c>
      <c r="AW136" s="282" t="s">
        <v>2759</v>
      </c>
      <c r="AX136" s="280" t="s">
        <v>2760</v>
      </c>
      <c r="AY136" s="281" t="s">
        <v>2761</v>
      </c>
      <c r="AZ136" s="282" t="s">
        <v>2762</v>
      </c>
      <c r="BA136" s="280" t="s">
        <v>2763</v>
      </c>
      <c r="BB136" s="281" t="s">
        <v>2764</v>
      </c>
      <c r="BC136" s="940"/>
      <c r="BD136" s="359" t="s">
        <v>2795</v>
      </c>
      <c r="BE136" s="360" t="s">
        <v>3177</v>
      </c>
      <c r="BF136" s="361" t="s">
        <v>3178</v>
      </c>
    </row>
    <row r="137" spans="1:58" ht="15" customHeight="1">
      <c r="A137" s="49"/>
      <c r="B137" s="38"/>
      <c r="C137" s="44" t="s">
        <v>2516</v>
      </c>
      <c r="D137" s="813" t="str">
        <f>IF(CNSIPEE_2024_M2_Secc1!D42="","",CNSIPEE_2024_M2_Secc1!D42)</f>
        <v/>
      </c>
      <c r="E137" s="814"/>
      <c r="F137" s="814"/>
      <c r="G137" s="814"/>
      <c r="H137" s="814"/>
      <c r="I137" s="815"/>
      <c r="J137" s="100"/>
      <c r="K137" s="100"/>
      <c r="L137" s="100"/>
      <c r="M137" s="100"/>
      <c r="N137" s="100"/>
      <c r="O137" s="100"/>
      <c r="P137" s="100"/>
      <c r="Q137" s="100"/>
      <c r="R137" s="100"/>
      <c r="S137" s="100"/>
      <c r="T137" s="100"/>
      <c r="U137" s="100"/>
      <c r="V137" s="100"/>
      <c r="W137" s="100"/>
      <c r="X137" s="100"/>
      <c r="Y137" s="100"/>
      <c r="Z137" s="100"/>
      <c r="AA137" s="100"/>
      <c r="AB137" s="100"/>
      <c r="AC137" s="100"/>
      <c r="AD137" s="100"/>
      <c r="AG137" s="326">
        <f>IF(AND(COUNTBLANK(D137)=0,COUNTA(J137:AD137)=21),0,IF(AND(COUNTBLANK(D137)=1,COUNTA(J137:AD137)=0),0,1))</f>
        <v>0</v>
      </c>
      <c r="AH137" s="283">
        <f>COUNTIF(K137:L137,"NS")</f>
        <v>0</v>
      </c>
      <c r="AI137" s="283">
        <f>SUM(K137:L137)</f>
        <v>0</v>
      </c>
      <c r="AJ137" s="283">
        <f>IF(COUNTIF(J137:L137,"NA")=3,0,IF(COUNTA(J137:L137)=0,0,IF(OR(AND(J137=0,AH137&gt;0),AND(J137="ns",AI137&gt;0),AND(J137="ns",AH137=0,AI137=0)),1,IF(OR(AND(J137&gt;0,AH137=2),AND(J137="ns",AH137=2),AND(J137="ns",AI137=0,AH137&gt;0),J137=AI137),0,1))))</f>
        <v>0</v>
      </c>
      <c r="AK137" s="283">
        <f>COUNTIF(N137:O137,"NS")</f>
        <v>0</v>
      </c>
      <c r="AL137" s="283">
        <f>SUM(N137:O137)</f>
        <v>0</v>
      </c>
      <c r="AM137" s="283">
        <f>IF(COUNTIF(M137:O137,"NA")=3,0,IF(COUNTA(M137:O137)=0,0,IF(OR(AND(M137=0,AK137&gt;0),AND(M137="ns",AL137&gt;0),AND(M137="ns",AK137=0,AL137=0)),1,IF(OR(AND(M137&gt;0,AK137=2),AND(M137="ns",AK137=2),AND(M137="ns",AL137=0,AK137&gt;0),M137=AL137),0,1))))</f>
        <v>0</v>
      </c>
      <c r="AN137" s="283">
        <f>COUNTIF(Q137:R137,"NS")</f>
        <v>0</v>
      </c>
      <c r="AO137" s="283">
        <f>SUM(Q137:R137)</f>
        <v>0</v>
      </c>
      <c r="AP137" s="283">
        <f>IF(COUNTIF(P137:R137,"NA")=3,0,IF(COUNTA(P137:R137)=0,0,IF(OR(AND(P137=0,AN137&gt;0),AND(P137="ns",AO137&gt;0),AND(P137="ns",AN137=0,AO137=0)),1,IF(OR(AND(P137&gt;0,AN137=2),AND(P137="ns",AN137=2),AND(P137="ns",AO137=0,AN137&gt;0),P137=AO137),0,1))))</f>
        <v>0</v>
      </c>
      <c r="AQ137" s="283">
        <f>COUNTIF(T137:U137,"NS")</f>
        <v>0</v>
      </c>
      <c r="AR137" s="283">
        <f>SUM(T137:U137)</f>
        <v>0</v>
      </c>
      <c r="AS137" s="283">
        <f>IF(COUNTIF(S137:U137,"NA")=3,0,IF(COUNTA(S137:U137)=0,0,IF(OR(AND(S137=0,AQ137&gt;0),AND(S137="ns",AR137&gt;0),AND(S137="ns",AQ137=0,AR137=0)),1,IF(OR(AND(S137&gt;0,AQ137=2),AND(S137="ns",AQ137=2),AND(S137="ns",AR137=0,AQ137&gt;0),S137=AR137),0,1))))</f>
        <v>0</v>
      </c>
      <c r="AT137" s="283">
        <f>COUNTIF(W137:X137,"NS")</f>
        <v>0</v>
      </c>
      <c r="AU137" s="283">
        <f>SUM(W137:X137)</f>
        <v>0</v>
      </c>
      <c r="AV137" s="283">
        <f>IF(COUNTIF(V137:X137,"NA")=3,0,IF(COUNTA(V137:X137)=0,0,IF(OR(AND(V137=0,AT137&gt;0),AND(V137="ns",AU137&gt;0),AND(V137="ns",AT137=0,AU137=0)),1,IF(OR(AND(V137&gt;0,AT137=2),AND(V137="ns",AT137=2),AND(V137="ns",AU137=0,AT137&gt;0),V137=AU137),0,1))))</f>
        <v>0</v>
      </c>
      <c r="AW137" s="283">
        <f>COUNTIF(Z137:AA137,"NS")</f>
        <v>0</v>
      </c>
      <c r="AX137" s="283">
        <f>SUM(Z137:AA137)</f>
        <v>0</v>
      </c>
      <c r="AY137" s="283">
        <f>IF(COUNTIF(Y137:AA137,"NA")=3,0,IF(COUNTA(Y137:AA137)=0,0,IF(OR(AND(Y137=0,AW137&gt;0),AND(Y137="ns",AX137&gt;0),AND(Y137="ns",AW137=0,AX137=0)),1,IF(OR(AND(Y137&gt;0,AW137=2),AND(Y137="ns",AW137=2),AND(Y137="ns",AX137=0,AW137&gt;0),Y137=AX137),0,1))))</f>
        <v>0</v>
      </c>
      <c r="AZ137" s="283">
        <f>COUNTIF(AC137:AD137,"NS")</f>
        <v>0</v>
      </c>
      <c r="BA137" s="283">
        <f>SUM(AC137:AD137)</f>
        <v>0</v>
      </c>
      <c r="BB137" s="283">
        <f>IF(COUNTIF(AB137:AD137,"NA")=3,0,IF(COUNTA(AB137:AD137)=0,0,IF(OR(AND(AB137=0,AZ137&gt;0),AND(AB137="ns",BA137&gt;0),AND(AB137="ns",AZ137=0,BA137=0)),1,IF(OR(AND(AB137&gt;0,AZ137=2),AND(AB137="ns",AZ137=2),AND(AB137="ns",BA137=0,AZ137&gt;0),AB137=BA137),0,1))))</f>
        <v>0</v>
      </c>
      <c r="BC137">
        <f>IF(SUM(Y145:AA145)&gt;0,1,0)</f>
        <v>0</v>
      </c>
      <c r="BD137">
        <f>IF(AND(J137="NS",$M113="NS"),0,IF(AND(J137="NA",$M113="NA"),0,IF(J137=$M113,0,1)))</f>
        <v>0</v>
      </c>
      <c r="BE137">
        <f>IF(AND(K137="NS",$S113="NS"),0,IF(AND(K137="NA",$S113="NA"),0,IF(K137=$S113,0,1)))</f>
        <v>0</v>
      </c>
      <c r="BF137">
        <f>IF(AND(L137="NS",$Y113="NS"),0,IF(AND(L137="NA",$Y113="NA"),0,IF(L137=$Y113,0,1)))</f>
        <v>0</v>
      </c>
    </row>
    <row r="138" spans="1:58" ht="15" customHeight="1">
      <c r="A138" s="49"/>
      <c r="B138" s="38"/>
      <c r="C138" s="97" t="s">
        <v>2517</v>
      </c>
      <c r="D138" s="813" t="str">
        <f>IF(CNSIPEE_2024_M2_Secc1!D43="","",CNSIPEE_2024_M2_Secc1!D43)</f>
        <v/>
      </c>
      <c r="E138" s="814"/>
      <c r="F138" s="814"/>
      <c r="G138" s="814"/>
      <c r="H138" s="814"/>
      <c r="I138" s="815"/>
      <c r="J138" s="100"/>
      <c r="K138" s="100"/>
      <c r="L138" s="100"/>
      <c r="M138" s="100"/>
      <c r="N138" s="100"/>
      <c r="O138" s="100"/>
      <c r="P138" s="100"/>
      <c r="Q138" s="100"/>
      <c r="R138" s="100"/>
      <c r="S138" s="100"/>
      <c r="T138" s="100"/>
      <c r="U138" s="100"/>
      <c r="V138" s="100"/>
      <c r="W138" s="100"/>
      <c r="X138" s="100"/>
      <c r="Y138" s="100"/>
      <c r="Z138" s="100"/>
      <c r="AA138" s="100"/>
      <c r="AB138" s="100"/>
      <c r="AC138" s="100"/>
      <c r="AD138" s="100"/>
      <c r="AG138" s="326">
        <f t="shared" ref="AG138:AG144" si="22">IF(AND(COUNTBLANK(D138)=0,COUNTA(J138:AD138)=21),0,IF(AND(COUNTBLANK(D138)=1,COUNTA(J138:AD138)=0),0,1))</f>
        <v>0</v>
      </c>
      <c r="AH138" s="283">
        <f t="shared" ref="AH138:AH144" si="23">COUNTIF(K138:L138,"NS")</f>
        <v>0</v>
      </c>
      <c r="AI138" s="283">
        <f t="shared" ref="AI138:AI144" si="24">SUM(K138:L138)</f>
        <v>0</v>
      </c>
      <c r="AJ138" s="283">
        <f t="shared" ref="AJ138:AJ144" si="25">IF(COUNTIF(J138:L138,"NA")=3,0,IF(COUNTA(J138:L138)=0,0,IF(OR(AND(J138=0,AH138&gt;0),AND(J138="ns",AI138&gt;0),AND(J138="ns",AH138=0,AI138=0)),1,IF(OR(AND(J138&gt;0,AH138=2),AND(J138="ns",AH138=2),AND(J138="ns",AI138=0,AH138&gt;0),J138=AI138),0,1))))</f>
        <v>0</v>
      </c>
      <c r="AK138" s="283">
        <f t="shared" ref="AK138:AK144" si="26">COUNTIF(N138:O138,"NS")</f>
        <v>0</v>
      </c>
      <c r="AL138" s="283">
        <f t="shared" ref="AL138:AL144" si="27">SUM(N138:O138)</f>
        <v>0</v>
      </c>
      <c r="AM138" s="283">
        <f t="shared" ref="AM138:AM144" si="28">IF(COUNTIF(M138:O138,"NA")=3,0,IF(COUNTA(M138:O138)=0,0,IF(OR(AND(M138=0,AK138&gt;0),AND(M138="ns",AL138&gt;0),AND(M138="ns",AK138=0,AL138=0)),1,IF(OR(AND(M138&gt;0,AK138=2),AND(M138="ns",AK138=2),AND(M138="ns",AL138=0,AK138&gt;0),M138=AL138),0,1))))</f>
        <v>0</v>
      </c>
      <c r="AN138" s="283">
        <f t="shared" ref="AN138:AN144" si="29">COUNTIF(Q138:R138,"NS")</f>
        <v>0</v>
      </c>
      <c r="AO138" s="283">
        <f t="shared" ref="AO138:AO144" si="30">SUM(Q138:R138)</f>
        <v>0</v>
      </c>
      <c r="AP138" s="283">
        <f t="shared" ref="AP138:AP144" si="31">IF(COUNTIF(P138:R138,"NA")=3,0,IF(COUNTA(P138:R138)=0,0,IF(OR(AND(P138=0,AN138&gt;0),AND(P138="ns",AO138&gt;0),AND(P138="ns",AN138=0,AO138=0)),1,IF(OR(AND(P138&gt;0,AN138=2),AND(P138="ns",AN138=2),AND(P138="ns",AO138=0,AN138&gt;0),P138=AO138),0,1))))</f>
        <v>0</v>
      </c>
      <c r="AQ138" s="283">
        <f t="shared" ref="AQ138:AQ144" si="32">COUNTIF(T138:U138,"NS")</f>
        <v>0</v>
      </c>
      <c r="AR138" s="283">
        <f t="shared" ref="AR138:AR144" si="33">SUM(T138:U138)</f>
        <v>0</v>
      </c>
      <c r="AS138" s="283">
        <f t="shared" ref="AS138:AS144" si="34">IF(COUNTIF(S138:U138,"NA")=3,0,IF(COUNTA(S138:U138)=0,0,IF(OR(AND(S138=0,AQ138&gt;0),AND(S138="ns",AR138&gt;0),AND(S138="ns",AQ138=0,AR138=0)),1,IF(OR(AND(S138&gt;0,AQ138=2),AND(S138="ns",AQ138=2),AND(S138="ns",AR138=0,AQ138&gt;0),S138=AR138),0,1))))</f>
        <v>0</v>
      </c>
      <c r="AT138" s="283">
        <f t="shared" ref="AT138:AT144" si="35">COUNTIF(W138:X138,"NS")</f>
        <v>0</v>
      </c>
      <c r="AU138" s="283">
        <f t="shared" ref="AU138:AU144" si="36">SUM(W138:X138)</f>
        <v>0</v>
      </c>
      <c r="AV138" s="283">
        <f t="shared" ref="AV138:AV144" si="37">IF(COUNTIF(V138:X138,"NA")=3,0,IF(COUNTA(V138:X138)=0,0,IF(OR(AND(V138=0,AT138&gt;0),AND(V138="ns",AU138&gt;0),AND(V138="ns",AT138=0,AU138=0)),1,IF(OR(AND(V138&gt;0,AT138=2),AND(V138="ns",AT138=2),AND(V138="ns",AU138=0,AT138&gt;0),V138=AU138),0,1))))</f>
        <v>0</v>
      </c>
      <c r="AW138" s="283">
        <f t="shared" ref="AW138:AW144" si="38">COUNTIF(Z138:AA138,"NS")</f>
        <v>0</v>
      </c>
      <c r="AX138" s="283">
        <f t="shared" ref="AX138:AX144" si="39">SUM(Z138:AA138)</f>
        <v>0</v>
      </c>
      <c r="AY138" s="283">
        <f t="shared" ref="AY138:AY144" si="40">IF(COUNTIF(Y138:AA138,"NA")=3,0,IF(COUNTA(Y138:AA138)=0,0,IF(OR(AND(Y138=0,AW138&gt;0),AND(Y138="ns",AX138&gt;0),AND(Y138="ns",AW138=0,AX138=0)),1,IF(OR(AND(Y138&gt;0,AW138=2),AND(Y138="ns",AW138=2),AND(Y138="ns",AX138=0,AW138&gt;0),Y138=AX138),0,1))))</f>
        <v>0</v>
      </c>
      <c r="AZ138" s="283">
        <f t="shared" ref="AZ138:AZ144" si="41">COUNTIF(AC138:AD138,"NS")</f>
        <v>0</v>
      </c>
      <c r="BA138" s="283">
        <f t="shared" ref="BA138:BA144" si="42">SUM(AC138:AD138)</f>
        <v>0</v>
      </c>
      <c r="BB138" s="283">
        <f t="shared" ref="BB138:BB144" si="43">IF(COUNTIF(AB138:AD138,"NA")=3,0,IF(COUNTA(AB138:AD138)=0,0,IF(OR(AND(AB138=0,AZ138&gt;0),AND(AB138="ns",BA138&gt;0),AND(AB138="ns",AZ138=0,BA138=0)),1,IF(OR(AND(AB138&gt;0,AZ138=2),AND(AB138="ns",AZ138=2),AND(AB138="ns",BA138=0,AZ138&gt;0),AB138=BA138),0,1))))</f>
        <v>0</v>
      </c>
      <c r="BD138">
        <f t="shared" ref="BD138:BD144" si="44">IF(AND(J138="NS",$M114="NS"),0,IF(AND(J138="NA",$M114="NA"),0,IF(J138=$M114,0,1)))</f>
        <v>0</v>
      </c>
      <c r="BE138">
        <f t="shared" ref="BE138:BE144" si="45">IF(AND(K138="NS",$S114="NS"),0,IF(AND(K138="NA",$S114="NA"),0,IF(K138=$S114,0,1)))</f>
        <v>0</v>
      </c>
      <c r="BF138">
        <f t="shared" ref="BF138:BF144" si="46">IF(AND(L138="NS",$Y114="NS"),0,IF(AND(L138="NA",$Y114="NA"),0,IF(L138=$Y114,0,1)))</f>
        <v>0</v>
      </c>
    </row>
    <row r="139" spans="1:58" ht="15" customHeight="1">
      <c r="A139" s="49"/>
      <c r="B139" s="38"/>
      <c r="C139" s="98" t="s">
        <v>2518</v>
      </c>
      <c r="D139" s="813" t="str">
        <f>IF(CNSIPEE_2024_M2_Secc1!D44="","",CNSIPEE_2024_M2_Secc1!D44)</f>
        <v/>
      </c>
      <c r="E139" s="814"/>
      <c r="F139" s="814"/>
      <c r="G139" s="814"/>
      <c r="H139" s="814"/>
      <c r="I139" s="815"/>
      <c r="J139" s="100"/>
      <c r="K139" s="100"/>
      <c r="L139" s="100"/>
      <c r="M139" s="100"/>
      <c r="N139" s="100"/>
      <c r="O139" s="100"/>
      <c r="P139" s="100"/>
      <c r="Q139" s="100"/>
      <c r="R139" s="100"/>
      <c r="S139" s="100"/>
      <c r="T139" s="100"/>
      <c r="U139" s="100"/>
      <c r="V139" s="100"/>
      <c r="W139" s="100"/>
      <c r="X139" s="100"/>
      <c r="Y139" s="100"/>
      <c r="Z139" s="100"/>
      <c r="AA139" s="100"/>
      <c r="AB139" s="100"/>
      <c r="AC139" s="100"/>
      <c r="AD139" s="100"/>
      <c r="AG139" s="326">
        <f t="shared" si="22"/>
        <v>0</v>
      </c>
      <c r="AH139" s="283">
        <f t="shared" si="23"/>
        <v>0</v>
      </c>
      <c r="AI139" s="283">
        <f t="shared" si="24"/>
        <v>0</v>
      </c>
      <c r="AJ139" s="283">
        <f t="shared" si="25"/>
        <v>0</v>
      </c>
      <c r="AK139" s="283">
        <f t="shared" si="26"/>
        <v>0</v>
      </c>
      <c r="AL139" s="283">
        <f t="shared" si="27"/>
        <v>0</v>
      </c>
      <c r="AM139" s="283">
        <f t="shared" si="28"/>
        <v>0</v>
      </c>
      <c r="AN139" s="283">
        <f t="shared" si="29"/>
        <v>0</v>
      </c>
      <c r="AO139" s="283">
        <f t="shared" si="30"/>
        <v>0</v>
      </c>
      <c r="AP139" s="283">
        <f t="shared" si="31"/>
        <v>0</v>
      </c>
      <c r="AQ139" s="283">
        <f t="shared" si="32"/>
        <v>0</v>
      </c>
      <c r="AR139" s="283">
        <f t="shared" si="33"/>
        <v>0</v>
      </c>
      <c r="AS139" s="283">
        <f t="shared" si="34"/>
        <v>0</v>
      </c>
      <c r="AT139" s="283">
        <f t="shared" si="35"/>
        <v>0</v>
      </c>
      <c r="AU139" s="283">
        <f t="shared" si="36"/>
        <v>0</v>
      </c>
      <c r="AV139" s="283">
        <f t="shared" si="37"/>
        <v>0</v>
      </c>
      <c r="AW139" s="283">
        <f t="shared" si="38"/>
        <v>0</v>
      </c>
      <c r="AX139" s="283">
        <f t="shared" si="39"/>
        <v>0</v>
      </c>
      <c r="AY139" s="283">
        <f t="shared" si="40"/>
        <v>0</v>
      </c>
      <c r="AZ139" s="283">
        <f t="shared" si="41"/>
        <v>0</v>
      </c>
      <c r="BA139" s="283">
        <f t="shared" si="42"/>
        <v>0</v>
      </c>
      <c r="BB139" s="283">
        <f t="shared" si="43"/>
        <v>0</v>
      </c>
      <c r="BD139">
        <f t="shared" si="44"/>
        <v>0</v>
      </c>
      <c r="BE139">
        <f t="shared" si="45"/>
        <v>0</v>
      </c>
      <c r="BF139">
        <f t="shared" si="46"/>
        <v>0</v>
      </c>
    </row>
    <row r="140" spans="1:58" ht="15" customHeight="1">
      <c r="A140" s="49"/>
      <c r="B140" s="38"/>
      <c r="C140" s="98" t="s">
        <v>2519</v>
      </c>
      <c r="D140" s="813" t="str">
        <f>IF(CNSIPEE_2024_M2_Secc1!D45="","",CNSIPEE_2024_M2_Secc1!D45)</f>
        <v/>
      </c>
      <c r="E140" s="814"/>
      <c r="F140" s="814"/>
      <c r="G140" s="814"/>
      <c r="H140" s="814"/>
      <c r="I140" s="815"/>
      <c r="J140" s="100"/>
      <c r="K140" s="100"/>
      <c r="L140" s="100"/>
      <c r="M140" s="100"/>
      <c r="N140" s="100"/>
      <c r="O140" s="100"/>
      <c r="P140" s="100"/>
      <c r="Q140" s="100"/>
      <c r="R140" s="100"/>
      <c r="S140" s="100"/>
      <c r="T140" s="100"/>
      <c r="U140" s="100"/>
      <c r="V140" s="100"/>
      <c r="W140" s="100"/>
      <c r="X140" s="100"/>
      <c r="Y140" s="100"/>
      <c r="Z140" s="100"/>
      <c r="AA140" s="100"/>
      <c r="AB140" s="100"/>
      <c r="AC140" s="100"/>
      <c r="AD140" s="100"/>
      <c r="AG140" s="326">
        <f t="shared" si="22"/>
        <v>0</v>
      </c>
      <c r="AH140" s="283">
        <f t="shared" si="23"/>
        <v>0</v>
      </c>
      <c r="AI140" s="283">
        <f t="shared" si="24"/>
        <v>0</v>
      </c>
      <c r="AJ140" s="283">
        <f t="shared" si="25"/>
        <v>0</v>
      </c>
      <c r="AK140" s="283">
        <f t="shared" si="26"/>
        <v>0</v>
      </c>
      <c r="AL140" s="283">
        <f t="shared" si="27"/>
        <v>0</v>
      </c>
      <c r="AM140" s="283">
        <f t="shared" si="28"/>
        <v>0</v>
      </c>
      <c r="AN140" s="283">
        <f t="shared" si="29"/>
        <v>0</v>
      </c>
      <c r="AO140" s="283">
        <f t="shared" si="30"/>
        <v>0</v>
      </c>
      <c r="AP140" s="283">
        <f t="shared" si="31"/>
        <v>0</v>
      </c>
      <c r="AQ140" s="283">
        <f t="shared" si="32"/>
        <v>0</v>
      </c>
      <c r="AR140" s="283">
        <f t="shared" si="33"/>
        <v>0</v>
      </c>
      <c r="AS140" s="283">
        <f t="shared" si="34"/>
        <v>0</v>
      </c>
      <c r="AT140" s="283">
        <f t="shared" si="35"/>
        <v>0</v>
      </c>
      <c r="AU140" s="283">
        <f t="shared" si="36"/>
        <v>0</v>
      </c>
      <c r="AV140" s="283">
        <f t="shared" si="37"/>
        <v>0</v>
      </c>
      <c r="AW140" s="283">
        <f t="shared" si="38"/>
        <v>0</v>
      </c>
      <c r="AX140" s="283">
        <f t="shared" si="39"/>
        <v>0</v>
      </c>
      <c r="AY140" s="283">
        <f t="shared" si="40"/>
        <v>0</v>
      </c>
      <c r="AZ140" s="283">
        <f t="shared" si="41"/>
        <v>0</v>
      </c>
      <c r="BA140" s="283">
        <f t="shared" si="42"/>
        <v>0</v>
      </c>
      <c r="BB140" s="283">
        <f t="shared" si="43"/>
        <v>0</v>
      </c>
      <c r="BD140">
        <f t="shared" si="44"/>
        <v>0</v>
      </c>
      <c r="BE140">
        <f t="shared" si="45"/>
        <v>0</v>
      </c>
      <c r="BF140">
        <f t="shared" si="46"/>
        <v>0</v>
      </c>
    </row>
    <row r="141" spans="1:58" ht="15" customHeight="1">
      <c r="A141" s="49"/>
      <c r="B141" s="38"/>
      <c r="C141" s="98" t="s">
        <v>2520</v>
      </c>
      <c r="D141" s="813" t="str">
        <f>IF(CNSIPEE_2024_M2_Secc1!D46="","",CNSIPEE_2024_M2_Secc1!D46)</f>
        <v/>
      </c>
      <c r="E141" s="814"/>
      <c r="F141" s="814"/>
      <c r="G141" s="814"/>
      <c r="H141" s="814"/>
      <c r="I141" s="815"/>
      <c r="J141" s="100"/>
      <c r="K141" s="100"/>
      <c r="L141" s="100"/>
      <c r="M141" s="100"/>
      <c r="N141" s="100"/>
      <c r="O141" s="100"/>
      <c r="P141" s="100"/>
      <c r="Q141" s="100"/>
      <c r="R141" s="100"/>
      <c r="S141" s="100"/>
      <c r="T141" s="100"/>
      <c r="U141" s="100"/>
      <c r="V141" s="100"/>
      <c r="W141" s="100"/>
      <c r="X141" s="100"/>
      <c r="Y141" s="100"/>
      <c r="Z141" s="100"/>
      <c r="AA141" s="100"/>
      <c r="AB141" s="100"/>
      <c r="AC141" s="100"/>
      <c r="AD141" s="100"/>
      <c r="AG141" s="326">
        <f t="shared" si="22"/>
        <v>0</v>
      </c>
      <c r="AH141" s="283">
        <f t="shared" si="23"/>
        <v>0</v>
      </c>
      <c r="AI141" s="283">
        <f t="shared" si="24"/>
        <v>0</v>
      </c>
      <c r="AJ141" s="283">
        <f t="shared" si="25"/>
        <v>0</v>
      </c>
      <c r="AK141" s="283">
        <f t="shared" si="26"/>
        <v>0</v>
      </c>
      <c r="AL141" s="283">
        <f t="shared" si="27"/>
        <v>0</v>
      </c>
      <c r="AM141" s="283">
        <f t="shared" si="28"/>
        <v>0</v>
      </c>
      <c r="AN141" s="283">
        <f t="shared" si="29"/>
        <v>0</v>
      </c>
      <c r="AO141" s="283">
        <f t="shared" si="30"/>
        <v>0</v>
      </c>
      <c r="AP141" s="283">
        <f t="shared" si="31"/>
        <v>0</v>
      </c>
      <c r="AQ141" s="283">
        <f t="shared" si="32"/>
        <v>0</v>
      </c>
      <c r="AR141" s="283">
        <f t="shared" si="33"/>
        <v>0</v>
      </c>
      <c r="AS141" s="283">
        <f t="shared" si="34"/>
        <v>0</v>
      </c>
      <c r="AT141" s="283">
        <f t="shared" si="35"/>
        <v>0</v>
      </c>
      <c r="AU141" s="283">
        <f t="shared" si="36"/>
        <v>0</v>
      </c>
      <c r="AV141" s="283">
        <f t="shared" si="37"/>
        <v>0</v>
      </c>
      <c r="AW141" s="283">
        <f t="shared" si="38"/>
        <v>0</v>
      </c>
      <c r="AX141" s="283">
        <f t="shared" si="39"/>
        <v>0</v>
      </c>
      <c r="AY141" s="283">
        <f t="shared" si="40"/>
        <v>0</v>
      </c>
      <c r="AZ141" s="283">
        <f t="shared" si="41"/>
        <v>0</v>
      </c>
      <c r="BA141" s="283">
        <f t="shared" si="42"/>
        <v>0</v>
      </c>
      <c r="BB141" s="283">
        <f t="shared" si="43"/>
        <v>0</v>
      </c>
      <c r="BD141">
        <f t="shared" si="44"/>
        <v>0</v>
      </c>
      <c r="BE141">
        <f t="shared" si="45"/>
        <v>0</v>
      </c>
      <c r="BF141">
        <f t="shared" si="46"/>
        <v>0</v>
      </c>
    </row>
    <row r="142" spans="1:58" ht="15" customHeight="1">
      <c r="A142" s="49"/>
      <c r="B142" s="38"/>
      <c r="C142" s="98" t="s">
        <v>2521</v>
      </c>
      <c r="D142" s="813" t="str">
        <f>IF(CNSIPEE_2024_M2_Secc1!D47="","",CNSIPEE_2024_M2_Secc1!D47)</f>
        <v/>
      </c>
      <c r="E142" s="814"/>
      <c r="F142" s="814"/>
      <c r="G142" s="814"/>
      <c r="H142" s="814"/>
      <c r="I142" s="815"/>
      <c r="J142" s="100"/>
      <c r="K142" s="100"/>
      <c r="L142" s="100"/>
      <c r="M142" s="100"/>
      <c r="N142" s="100"/>
      <c r="O142" s="100"/>
      <c r="P142" s="100"/>
      <c r="Q142" s="100"/>
      <c r="R142" s="100"/>
      <c r="S142" s="100"/>
      <c r="T142" s="100"/>
      <c r="U142" s="100"/>
      <c r="V142" s="100"/>
      <c r="W142" s="100"/>
      <c r="X142" s="100"/>
      <c r="Y142" s="100"/>
      <c r="Z142" s="100"/>
      <c r="AA142" s="100"/>
      <c r="AB142" s="100"/>
      <c r="AC142" s="100"/>
      <c r="AD142" s="100"/>
      <c r="AG142" s="326">
        <f t="shared" si="22"/>
        <v>0</v>
      </c>
      <c r="AH142" s="283">
        <f t="shared" si="23"/>
        <v>0</v>
      </c>
      <c r="AI142" s="283">
        <f t="shared" si="24"/>
        <v>0</v>
      </c>
      <c r="AJ142" s="283">
        <f t="shared" si="25"/>
        <v>0</v>
      </c>
      <c r="AK142" s="283">
        <f t="shared" si="26"/>
        <v>0</v>
      </c>
      <c r="AL142" s="283">
        <f t="shared" si="27"/>
        <v>0</v>
      </c>
      <c r="AM142" s="283">
        <f t="shared" si="28"/>
        <v>0</v>
      </c>
      <c r="AN142" s="283">
        <f t="shared" si="29"/>
        <v>0</v>
      </c>
      <c r="AO142" s="283">
        <f t="shared" si="30"/>
        <v>0</v>
      </c>
      <c r="AP142" s="283">
        <f t="shared" si="31"/>
        <v>0</v>
      </c>
      <c r="AQ142" s="283">
        <f t="shared" si="32"/>
        <v>0</v>
      </c>
      <c r="AR142" s="283">
        <f t="shared" si="33"/>
        <v>0</v>
      </c>
      <c r="AS142" s="283">
        <f t="shared" si="34"/>
        <v>0</v>
      </c>
      <c r="AT142" s="283">
        <f t="shared" si="35"/>
        <v>0</v>
      </c>
      <c r="AU142" s="283">
        <f t="shared" si="36"/>
        <v>0</v>
      </c>
      <c r="AV142" s="283">
        <f t="shared" si="37"/>
        <v>0</v>
      </c>
      <c r="AW142" s="283">
        <f t="shared" si="38"/>
        <v>0</v>
      </c>
      <c r="AX142" s="283">
        <f t="shared" si="39"/>
        <v>0</v>
      </c>
      <c r="AY142" s="283">
        <f t="shared" si="40"/>
        <v>0</v>
      </c>
      <c r="AZ142" s="283">
        <f t="shared" si="41"/>
        <v>0</v>
      </c>
      <c r="BA142" s="283">
        <f t="shared" si="42"/>
        <v>0</v>
      </c>
      <c r="BB142" s="283">
        <f t="shared" si="43"/>
        <v>0</v>
      </c>
      <c r="BD142">
        <f t="shared" si="44"/>
        <v>0</v>
      </c>
      <c r="BE142">
        <f t="shared" si="45"/>
        <v>0</v>
      </c>
      <c r="BF142">
        <f t="shared" si="46"/>
        <v>0</v>
      </c>
    </row>
    <row r="143" spans="1:58" ht="15" customHeight="1">
      <c r="A143" s="49"/>
      <c r="B143" s="38"/>
      <c r="C143" s="98" t="s">
        <v>2522</v>
      </c>
      <c r="D143" s="813" t="str">
        <f>IF(CNSIPEE_2024_M2_Secc1!D48="","",CNSIPEE_2024_M2_Secc1!D48)</f>
        <v/>
      </c>
      <c r="E143" s="814"/>
      <c r="F143" s="814"/>
      <c r="G143" s="814"/>
      <c r="H143" s="814"/>
      <c r="I143" s="815"/>
      <c r="J143" s="100"/>
      <c r="K143" s="100"/>
      <c r="L143" s="100"/>
      <c r="M143" s="100"/>
      <c r="N143" s="100"/>
      <c r="O143" s="100"/>
      <c r="P143" s="100"/>
      <c r="Q143" s="100"/>
      <c r="R143" s="100"/>
      <c r="S143" s="100"/>
      <c r="T143" s="100"/>
      <c r="U143" s="100"/>
      <c r="V143" s="100"/>
      <c r="W143" s="100"/>
      <c r="X143" s="100"/>
      <c r="Y143" s="100"/>
      <c r="Z143" s="100"/>
      <c r="AA143" s="100"/>
      <c r="AB143" s="100"/>
      <c r="AC143" s="100"/>
      <c r="AD143" s="100"/>
      <c r="AG143" s="326">
        <f t="shared" si="22"/>
        <v>0</v>
      </c>
      <c r="AH143" s="283">
        <f t="shared" si="23"/>
        <v>0</v>
      </c>
      <c r="AI143" s="283">
        <f t="shared" si="24"/>
        <v>0</v>
      </c>
      <c r="AJ143" s="283">
        <f t="shared" si="25"/>
        <v>0</v>
      </c>
      <c r="AK143" s="283">
        <f t="shared" si="26"/>
        <v>0</v>
      </c>
      <c r="AL143" s="283">
        <f t="shared" si="27"/>
        <v>0</v>
      </c>
      <c r="AM143" s="283">
        <f t="shared" si="28"/>
        <v>0</v>
      </c>
      <c r="AN143" s="283">
        <f t="shared" si="29"/>
        <v>0</v>
      </c>
      <c r="AO143" s="283">
        <f t="shared" si="30"/>
        <v>0</v>
      </c>
      <c r="AP143" s="283">
        <f t="shared" si="31"/>
        <v>0</v>
      </c>
      <c r="AQ143" s="283">
        <f t="shared" si="32"/>
        <v>0</v>
      </c>
      <c r="AR143" s="283">
        <f t="shared" si="33"/>
        <v>0</v>
      </c>
      <c r="AS143" s="283">
        <f t="shared" si="34"/>
        <v>0</v>
      </c>
      <c r="AT143" s="283">
        <f t="shared" si="35"/>
        <v>0</v>
      </c>
      <c r="AU143" s="283">
        <f t="shared" si="36"/>
        <v>0</v>
      </c>
      <c r="AV143" s="283">
        <f t="shared" si="37"/>
        <v>0</v>
      </c>
      <c r="AW143" s="283">
        <f t="shared" si="38"/>
        <v>0</v>
      </c>
      <c r="AX143" s="283">
        <f t="shared" si="39"/>
        <v>0</v>
      </c>
      <c r="AY143" s="283">
        <f t="shared" si="40"/>
        <v>0</v>
      </c>
      <c r="AZ143" s="283">
        <f t="shared" si="41"/>
        <v>0</v>
      </c>
      <c r="BA143" s="283">
        <f t="shared" si="42"/>
        <v>0</v>
      </c>
      <c r="BB143" s="283">
        <f t="shared" si="43"/>
        <v>0</v>
      </c>
      <c r="BD143">
        <f t="shared" si="44"/>
        <v>0</v>
      </c>
      <c r="BE143">
        <f t="shared" si="45"/>
        <v>0</v>
      </c>
      <c r="BF143">
        <f t="shared" si="46"/>
        <v>0</v>
      </c>
    </row>
    <row r="144" spans="1:58" ht="15" customHeight="1">
      <c r="A144" s="49"/>
      <c r="B144" s="38"/>
      <c r="C144" s="98" t="s">
        <v>2523</v>
      </c>
      <c r="D144" s="813" t="str">
        <f>IF(CNSIPEE_2024_M2_Secc1!D49="","",CNSIPEE_2024_M2_Secc1!D49)</f>
        <v/>
      </c>
      <c r="E144" s="814"/>
      <c r="F144" s="814"/>
      <c r="G144" s="814"/>
      <c r="H144" s="814"/>
      <c r="I144" s="815"/>
      <c r="J144" s="100"/>
      <c r="K144" s="100"/>
      <c r="L144" s="100"/>
      <c r="M144" s="100"/>
      <c r="N144" s="100"/>
      <c r="O144" s="100"/>
      <c r="P144" s="100"/>
      <c r="Q144" s="100"/>
      <c r="R144" s="100"/>
      <c r="S144" s="100"/>
      <c r="T144" s="100"/>
      <c r="U144" s="100"/>
      <c r="V144" s="100"/>
      <c r="W144" s="100"/>
      <c r="X144" s="100"/>
      <c r="Y144" s="100"/>
      <c r="Z144" s="100"/>
      <c r="AA144" s="100"/>
      <c r="AB144" s="100"/>
      <c r="AC144" s="100"/>
      <c r="AD144" s="100"/>
      <c r="AG144" s="326">
        <f t="shared" si="22"/>
        <v>0</v>
      </c>
      <c r="AH144" s="283">
        <f t="shared" si="23"/>
        <v>0</v>
      </c>
      <c r="AI144" s="283">
        <f t="shared" si="24"/>
        <v>0</v>
      </c>
      <c r="AJ144" s="283">
        <f t="shared" si="25"/>
        <v>0</v>
      </c>
      <c r="AK144" s="283">
        <f t="shared" si="26"/>
        <v>0</v>
      </c>
      <c r="AL144" s="283">
        <f t="shared" si="27"/>
        <v>0</v>
      </c>
      <c r="AM144" s="283">
        <f t="shared" si="28"/>
        <v>0</v>
      </c>
      <c r="AN144" s="283">
        <f t="shared" si="29"/>
        <v>0</v>
      </c>
      <c r="AO144" s="283">
        <f t="shared" si="30"/>
        <v>0</v>
      </c>
      <c r="AP144" s="283">
        <f t="shared" si="31"/>
        <v>0</v>
      </c>
      <c r="AQ144" s="283">
        <f t="shared" si="32"/>
        <v>0</v>
      </c>
      <c r="AR144" s="283">
        <f t="shared" si="33"/>
        <v>0</v>
      </c>
      <c r="AS144" s="283">
        <f t="shared" si="34"/>
        <v>0</v>
      </c>
      <c r="AT144" s="283">
        <f t="shared" si="35"/>
        <v>0</v>
      </c>
      <c r="AU144" s="283">
        <f t="shared" si="36"/>
        <v>0</v>
      </c>
      <c r="AV144" s="283">
        <f t="shared" si="37"/>
        <v>0</v>
      </c>
      <c r="AW144" s="283">
        <f t="shared" si="38"/>
        <v>0</v>
      </c>
      <c r="AX144" s="283">
        <f t="shared" si="39"/>
        <v>0</v>
      </c>
      <c r="AY144" s="283">
        <f t="shared" si="40"/>
        <v>0</v>
      </c>
      <c r="AZ144" s="283">
        <f t="shared" si="41"/>
        <v>0</v>
      </c>
      <c r="BA144" s="283">
        <f t="shared" si="42"/>
        <v>0</v>
      </c>
      <c r="BB144" s="283">
        <f t="shared" si="43"/>
        <v>0</v>
      </c>
      <c r="BD144">
        <f t="shared" si="44"/>
        <v>0</v>
      </c>
      <c r="BE144">
        <f t="shared" si="45"/>
        <v>0</v>
      </c>
      <c r="BF144">
        <f t="shared" si="46"/>
        <v>0</v>
      </c>
    </row>
    <row r="145" spans="1:58" ht="15" customHeight="1">
      <c r="A145" s="49"/>
      <c r="B145" s="38"/>
      <c r="C145" s="38"/>
      <c r="D145" s="38"/>
      <c r="E145" s="38"/>
      <c r="F145" s="38"/>
      <c r="G145" s="38"/>
      <c r="H145" s="38"/>
      <c r="I145" s="99" t="s">
        <v>2649</v>
      </c>
      <c r="J145" s="124">
        <f>IF(AND(SUM(J137:J144)=0,COUNTIF(J137:J144,"NS")&gt;0),"NS",
IF(AND(SUM(J137:J144)=0,COUNTIF(J137:J144,0)&gt;0),0,
IF(AND(SUM(J137:J144)=0,COUNTIF(J137:J144,"NA")&gt;0),"NA",
SUM(J137:J144))))</f>
        <v>0</v>
      </c>
      <c r="K145" s="124">
        <f t="shared" ref="K145:AD145" si="47">IF(AND(SUM(K137:K144)=0,COUNTIF(K137:K144,"NS")&gt;0),"NS",
IF(AND(SUM(K137:K144)=0,COUNTIF(K137:K144,0)&gt;0),0,
IF(AND(SUM(K137:K144)=0,COUNTIF(K137:K144,"NA")&gt;0),"NA",
SUM(K137:K144))))</f>
        <v>0</v>
      </c>
      <c r="L145" s="124">
        <f t="shared" si="47"/>
        <v>0</v>
      </c>
      <c r="M145" s="124">
        <f t="shared" si="47"/>
        <v>0</v>
      </c>
      <c r="N145" s="124">
        <f t="shared" si="47"/>
        <v>0</v>
      </c>
      <c r="O145" s="124">
        <f t="shared" si="47"/>
        <v>0</v>
      </c>
      <c r="P145" s="124">
        <f t="shared" si="47"/>
        <v>0</v>
      </c>
      <c r="Q145" s="124">
        <f t="shared" si="47"/>
        <v>0</v>
      </c>
      <c r="R145" s="124">
        <f t="shared" si="47"/>
        <v>0</v>
      </c>
      <c r="S145" s="124">
        <f t="shared" si="47"/>
        <v>0</v>
      </c>
      <c r="T145" s="124">
        <f t="shared" si="47"/>
        <v>0</v>
      </c>
      <c r="U145" s="124">
        <f t="shared" si="47"/>
        <v>0</v>
      </c>
      <c r="V145" s="124">
        <f t="shared" si="47"/>
        <v>0</v>
      </c>
      <c r="W145" s="124">
        <f t="shared" si="47"/>
        <v>0</v>
      </c>
      <c r="X145" s="124">
        <f t="shared" si="47"/>
        <v>0</v>
      </c>
      <c r="Y145" s="124">
        <f t="shared" si="47"/>
        <v>0</v>
      </c>
      <c r="Z145" s="124">
        <f t="shared" si="47"/>
        <v>0</v>
      </c>
      <c r="AA145" s="124">
        <f t="shared" si="47"/>
        <v>0</v>
      </c>
      <c r="AB145" s="124">
        <f t="shared" si="47"/>
        <v>0</v>
      </c>
      <c r="AC145" s="124">
        <f t="shared" si="47"/>
        <v>0</v>
      </c>
      <c r="AD145" s="124">
        <f t="shared" si="47"/>
        <v>0</v>
      </c>
      <c r="AG145" s="349">
        <f>SUM(AG137:AG144)</f>
        <v>0</v>
      </c>
      <c r="AH145" s="350">
        <f>SUM(AH137:AH144)</f>
        <v>0</v>
      </c>
      <c r="AI145" s="351">
        <f>SUM(AI137:AI144)</f>
        <v>0</v>
      </c>
      <c r="AJ145" s="352">
        <f>SUM(AJ137:AJ144)</f>
        <v>0</v>
      </c>
      <c r="AK145" s="350">
        <f t="shared" ref="AK145:BB145" si="48">SUM(AK137:AK144)</f>
        <v>0</v>
      </c>
      <c r="AL145" s="351">
        <f t="shared" si="48"/>
        <v>0</v>
      </c>
      <c r="AM145" s="352">
        <f t="shared" si="48"/>
        <v>0</v>
      </c>
      <c r="AN145" s="350">
        <f t="shared" si="48"/>
        <v>0</v>
      </c>
      <c r="AO145" s="351">
        <f t="shared" si="48"/>
        <v>0</v>
      </c>
      <c r="AP145" s="352">
        <f t="shared" si="48"/>
        <v>0</v>
      </c>
      <c r="AQ145" s="350">
        <f t="shared" si="48"/>
        <v>0</v>
      </c>
      <c r="AR145" s="351">
        <f t="shared" si="48"/>
        <v>0</v>
      </c>
      <c r="AS145" s="352">
        <f t="shared" si="48"/>
        <v>0</v>
      </c>
      <c r="AT145" s="350">
        <f t="shared" si="48"/>
        <v>0</v>
      </c>
      <c r="AU145" s="351">
        <f t="shared" si="48"/>
        <v>0</v>
      </c>
      <c r="AV145" s="352">
        <f t="shared" si="48"/>
        <v>0</v>
      </c>
      <c r="AW145" s="350">
        <f t="shared" si="48"/>
        <v>0</v>
      </c>
      <c r="AX145" s="351">
        <f t="shared" si="48"/>
        <v>0</v>
      </c>
      <c r="AY145" s="352">
        <f t="shared" si="48"/>
        <v>0</v>
      </c>
      <c r="AZ145" s="350">
        <f t="shared" si="48"/>
        <v>0</v>
      </c>
      <c r="BA145" s="351">
        <f t="shared" si="48"/>
        <v>0</v>
      </c>
      <c r="BB145" s="352">
        <f t="shared" si="48"/>
        <v>0</v>
      </c>
      <c r="BD145" s="359">
        <f>SUM(BD137:BD144)</f>
        <v>0</v>
      </c>
      <c r="BE145" s="360">
        <f>SUM(BE137:BE144)</f>
        <v>0</v>
      </c>
      <c r="BF145" s="361">
        <f>SUM(BF137:BF144)</f>
        <v>0</v>
      </c>
    </row>
    <row r="146" spans="1:58" ht="15" customHeight="1">
      <c r="A146" s="49"/>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BD146"/>
      <c r="BE146"/>
      <c r="BF146" s="362">
        <f>SUM(BD145:BF145)</f>
        <v>0</v>
      </c>
    </row>
    <row r="147" spans="1:58" ht="45" customHeight="1">
      <c r="A147" s="94"/>
      <c r="C147" s="1000" t="s">
        <v>3179</v>
      </c>
      <c r="D147" s="1000"/>
      <c r="E147" s="1001"/>
      <c r="F147" s="749"/>
      <c r="G147" s="749"/>
      <c r="H147" s="749"/>
      <c r="I147" s="749"/>
      <c r="J147" s="749"/>
      <c r="K147" s="749"/>
      <c r="L147" s="749"/>
      <c r="M147" s="749"/>
      <c r="N147" s="749"/>
      <c r="O147" s="749"/>
      <c r="P147" s="749"/>
      <c r="Q147" s="749"/>
      <c r="R147" s="749"/>
      <c r="S147" s="749"/>
      <c r="T147" s="749"/>
      <c r="U147" s="749"/>
      <c r="V147" s="749"/>
      <c r="W147" s="749"/>
      <c r="X147" s="749"/>
      <c r="Y147" s="749"/>
      <c r="Z147" s="749"/>
      <c r="AA147" s="749"/>
      <c r="AB147" s="749"/>
      <c r="AC147" s="749"/>
      <c r="AD147" s="749"/>
      <c r="AI147" s="355" t="s">
        <v>2650</v>
      </c>
      <c r="AJ147" s="283">
        <f>SUM(AJ145,AM145,AP145,AS145,AV145,AY145,BB145)</f>
        <v>0</v>
      </c>
      <c r="AK147" s="355" t="s">
        <v>2651</v>
      </c>
      <c r="AL147" s="283">
        <f>SUM(AH145,AK145,AN145,AQ145,AT145,AW145,AZ145)</f>
        <v>0</v>
      </c>
      <c r="AM147" s="283"/>
      <c r="AN147" s="283"/>
    </row>
    <row r="148" spans="1:58" ht="15">
      <c r="A148" s="94"/>
      <c r="B148" s="794" t="str">
        <f>IF(AND(BC137&gt;0,F147=""),"Ha registrado un valor mayor a cero en la col. Otro régimen de contratación debe anotar el nombre de dicho(s) régimen(s) de contratación","")</f>
        <v/>
      </c>
      <c r="C148" s="794"/>
      <c r="D148" s="794"/>
      <c r="E148" s="794"/>
      <c r="F148" s="794"/>
      <c r="G148" s="794"/>
      <c r="H148" s="794"/>
      <c r="I148" s="794"/>
      <c r="J148" s="794"/>
      <c r="K148" s="794"/>
      <c r="L148" s="794"/>
      <c r="M148" s="794"/>
      <c r="N148" s="794"/>
      <c r="O148" s="794"/>
      <c r="P148" s="794"/>
      <c r="Q148" s="794"/>
      <c r="R148" s="794"/>
      <c r="S148" s="794"/>
      <c r="T148" s="794"/>
      <c r="U148" s="794"/>
      <c r="V148" s="794"/>
      <c r="W148" s="794"/>
      <c r="X148" s="794"/>
      <c r="Y148" s="794"/>
      <c r="Z148" s="794"/>
      <c r="AA148" s="794"/>
      <c r="AB148" s="794"/>
      <c r="AC148" s="794"/>
      <c r="AD148" s="794"/>
      <c r="AE148" s="794"/>
      <c r="AI148" s="357" t="s">
        <v>2652</v>
      </c>
      <c r="AJ148" s="283">
        <f>IF(AL147&gt;0,IF(SUM(J145)&gt;=SUM(M145,P145,S145,V145,Y145,AB145),0,1),IF(SUM(J145)&lt;&gt;SUM(M145,P145,S145,V145,Y145,AB145),1,0))</f>
        <v>0</v>
      </c>
      <c r="AK148" s="357" t="s">
        <v>2653</v>
      </c>
      <c r="AL148" s="283">
        <f>IF(AL147&gt;0,IF(SUM(K145)&gt;=SUM(N145,Q145,T145,W145,Z145,AC145),0,1),IF(SUM(K145)&lt;&gt;SUM(N145,Q145,T145,W145,Z145,AC145),1,0))</f>
        <v>0</v>
      </c>
      <c r="AM148" s="357" t="s">
        <v>2654</v>
      </c>
      <c r="AN148" s="283">
        <f>IF(AL147&gt;0,IF(SUM(L145)&gt;=SUM(O145,R145,U145,X145,AA145,AD145),0,1),IF(SUM(L145)&lt;&gt;SUM(O145,R145,U145,X145,AA145,AD145),1,0))</f>
        <v>0</v>
      </c>
      <c r="AO148" s="358"/>
    </row>
    <row r="149" spans="1:58" ht="24" customHeight="1">
      <c r="A149" s="96"/>
      <c r="B149" s="90"/>
      <c r="C149" s="754" t="s">
        <v>2611</v>
      </c>
      <c r="D149" s="754"/>
      <c r="E149" s="754"/>
      <c r="F149" s="754"/>
      <c r="G149" s="754"/>
      <c r="H149" s="754"/>
      <c r="I149" s="754"/>
      <c r="J149" s="754"/>
      <c r="K149" s="754"/>
      <c r="L149" s="754"/>
      <c r="M149" s="754"/>
      <c r="N149" s="754"/>
      <c r="O149" s="754"/>
      <c r="P149" s="754"/>
      <c r="Q149" s="754"/>
      <c r="R149" s="754"/>
      <c r="S149" s="754"/>
      <c r="T149" s="754"/>
      <c r="U149" s="754"/>
      <c r="V149" s="754"/>
      <c r="W149" s="754"/>
      <c r="X149" s="754"/>
      <c r="Y149" s="754"/>
      <c r="Z149" s="754"/>
      <c r="AA149" s="754"/>
      <c r="AB149" s="754"/>
      <c r="AC149" s="754"/>
      <c r="AD149" s="754"/>
    </row>
    <row r="150" spans="1:58" ht="60" customHeight="1">
      <c r="A150" s="96"/>
      <c r="B150" s="90"/>
      <c r="C150" s="851"/>
      <c r="D150" s="851"/>
      <c r="E150" s="851"/>
      <c r="F150" s="851"/>
      <c r="G150" s="851"/>
      <c r="H150" s="851"/>
      <c r="I150" s="851"/>
      <c r="J150" s="851"/>
      <c r="K150" s="851"/>
      <c r="L150" s="851"/>
      <c r="M150" s="851"/>
      <c r="N150" s="851"/>
      <c r="O150" s="851"/>
      <c r="P150" s="851"/>
      <c r="Q150" s="851"/>
      <c r="R150" s="851"/>
      <c r="S150" s="851"/>
      <c r="T150" s="851"/>
      <c r="U150" s="851"/>
      <c r="V150" s="851"/>
      <c r="W150" s="851"/>
      <c r="X150" s="851"/>
      <c r="Y150" s="851"/>
      <c r="Z150" s="851"/>
      <c r="AA150" s="851"/>
      <c r="AB150" s="851"/>
      <c r="AC150" s="851"/>
      <c r="AD150" s="851"/>
    </row>
    <row r="151" spans="1:58" ht="15" customHeight="1">
      <c r="A151" s="96"/>
      <c r="B151" s="794" t="str">
        <f>IF(AG145&gt;0,"Favor de ingresar toda la información requerida en la pregunta ","")</f>
        <v/>
      </c>
      <c r="C151" s="794"/>
      <c r="D151" s="794"/>
      <c r="E151" s="794"/>
      <c r="F151" s="794"/>
      <c r="G151" s="794"/>
      <c r="H151" s="794"/>
      <c r="I151" s="794"/>
      <c r="J151" s="794"/>
      <c r="K151" s="794"/>
      <c r="L151" s="794"/>
      <c r="M151" s="794"/>
      <c r="N151" s="794"/>
      <c r="O151" s="794"/>
      <c r="P151" s="794"/>
      <c r="Q151" s="794"/>
      <c r="R151" s="794"/>
      <c r="S151" s="794"/>
      <c r="T151" s="794"/>
      <c r="U151" s="794"/>
      <c r="V151" s="794"/>
      <c r="W151" s="794"/>
      <c r="X151" s="794"/>
      <c r="Y151" s="794"/>
      <c r="Z151" s="794"/>
      <c r="AA151" s="794"/>
      <c r="AB151" s="794"/>
      <c r="AC151" s="794"/>
      <c r="AD151" s="794"/>
    </row>
    <row r="152" spans="1:58" ht="15" customHeight="1">
      <c r="A152" s="96"/>
      <c r="B152" s="795" t="str">
        <f>IF(AL147&gt;0,"Alerta: debido a que cuenta con registros NS, debe proporcionar una justificación en el area de comentarios al final de la pregunta","")</f>
        <v/>
      </c>
      <c r="C152" s="795"/>
      <c r="D152" s="795"/>
      <c r="E152" s="795"/>
      <c r="F152" s="795"/>
      <c r="G152" s="795"/>
      <c r="H152" s="795"/>
      <c r="I152" s="795"/>
      <c r="J152" s="795"/>
      <c r="K152" s="795"/>
      <c r="L152" s="795"/>
      <c r="M152" s="795"/>
      <c r="N152" s="795"/>
      <c r="O152" s="795"/>
      <c r="P152" s="795"/>
      <c r="Q152" s="795"/>
      <c r="R152" s="795"/>
      <c r="S152" s="795"/>
      <c r="T152" s="795"/>
      <c r="U152" s="795"/>
      <c r="V152" s="795"/>
      <c r="W152" s="795"/>
      <c r="X152" s="795"/>
      <c r="Y152" s="795"/>
      <c r="Z152" s="795"/>
      <c r="AA152" s="795"/>
      <c r="AB152" s="795"/>
      <c r="AC152" s="795"/>
      <c r="AD152" s="795"/>
    </row>
    <row r="153" spans="1:58" ht="15" customHeight="1">
      <c r="A153" s="96"/>
      <c r="B153" s="794" t="str">
        <f>IF(OR(AJ147&gt;0,AJ148&gt;0,AL148&gt;0,AN148&gt;0),"Favor de revisar la suma y consistencia de totales y/o subtotales por filas (numéricos y NS)","")</f>
        <v/>
      </c>
      <c r="C153" s="794"/>
      <c r="D153" s="794"/>
      <c r="E153" s="794"/>
      <c r="F153" s="794"/>
      <c r="G153" s="794"/>
      <c r="H153" s="794"/>
      <c r="I153" s="794"/>
      <c r="J153" s="794"/>
      <c r="K153" s="794"/>
      <c r="L153" s="794"/>
      <c r="M153" s="794"/>
      <c r="N153" s="794"/>
      <c r="O153" s="794"/>
      <c r="P153" s="794"/>
      <c r="Q153" s="794"/>
      <c r="R153" s="794"/>
      <c r="S153" s="794"/>
      <c r="T153" s="794"/>
      <c r="U153" s="794"/>
      <c r="V153" s="794"/>
      <c r="W153" s="794"/>
      <c r="X153" s="794"/>
      <c r="Y153" s="794"/>
      <c r="Z153" s="794"/>
      <c r="AA153" s="794"/>
      <c r="AB153" s="794"/>
      <c r="AC153" s="794"/>
      <c r="AD153" s="794"/>
    </row>
    <row r="154" spans="1:58" ht="15" customHeight="1">
      <c r="A154" s="96"/>
      <c r="B154" s="794" t="str">
        <f>IF(BF146&gt;0,"Favor de revisar la instrucción general 2 del apartado II.2, ya que no se cumplen los criterios establecidos","")</f>
        <v/>
      </c>
      <c r="C154" s="794"/>
      <c r="D154" s="794"/>
      <c r="E154" s="794"/>
      <c r="F154" s="794"/>
      <c r="G154" s="794"/>
      <c r="H154" s="794"/>
      <c r="I154" s="794"/>
      <c r="J154" s="794"/>
      <c r="K154" s="794"/>
      <c r="L154" s="794"/>
      <c r="M154" s="794"/>
      <c r="N154" s="794"/>
      <c r="O154" s="794"/>
      <c r="P154" s="794"/>
      <c r="Q154" s="794"/>
      <c r="R154" s="794"/>
      <c r="S154" s="794"/>
      <c r="T154" s="794"/>
      <c r="U154" s="794"/>
      <c r="V154" s="794"/>
      <c r="W154" s="794"/>
      <c r="X154" s="794"/>
      <c r="Y154" s="794"/>
      <c r="Z154" s="794"/>
      <c r="AA154" s="794"/>
      <c r="AB154" s="794"/>
      <c r="AC154" s="794"/>
      <c r="AD154" s="794"/>
    </row>
    <row r="155" spans="1:58" ht="15" customHeight="1">
      <c r="A155" s="96"/>
      <c r="B155" s="90"/>
      <c r="C155" s="90"/>
      <c r="D155" s="90"/>
      <c r="E155" s="90"/>
      <c r="F155" s="90"/>
      <c r="G155" s="363"/>
      <c r="H155" s="84"/>
      <c r="I155" s="84"/>
      <c r="J155" s="84"/>
      <c r="K155" s="84"/>
      <c r="L155" s="84"/>
      <c r="M155" s="84"/>
      <c r="N155" s="84"/>
      <c r="O155" s="84"/>
      <c r="P155" s="84"/>
      <c r="Q155" s="84"/>
      <c r="R155" s="84"/>
      <c r="S155" s="84"/>
      <c r="T155" s="84"/>
      <c r="U155" s="84"/>
      <c r="V155" s="84"/>
      <c r="W155" s="84"/>
      <c r="X155" s="84"/>
      <c r="Y155" s="84"/>
      <c r="Z155" s="84"/>
      <c r="AA155" s="84"/>
      <c r="AB155" s="84"/>
      <c r="AC155" s="84"/>
      <c r="AD155" s="84"/>
    </row>
    <row r="156" spans="1:58" ht="15" customHeight="1">
      <c r="A156" s="96"/>
      <c r="B156" s="90"/>
      <c r="C156" s="90"/>
      <c r="D156" s="90"/>
      <c r="E156" s="90"/>
      <c r="F156" s="90"/>
      <c r="G156" s="363"/>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row>
    <row r="157" spans="1:58" ht="36" customHeight="1">
      <c r="A157" s="49" t="s">
        <v>3180</v>
      </c>
      <c r="B157" s="829" t="s">
        <v>3181</v>
      </c>
      <c r="C157" s="829"/>
      <c r="D157" s="829"/>
      <c r="E157" s="829"/>
      <c r="F157" s="829"/>
      <c r="G157" s="829"/>
      <c r="H157" s="829"/>
      <c r="I157" s="829"/>
      <c r="J157" s="829"/>
      <c r="K157" s="829"/>
      <c r="L157" s="829"/>
      <c r="M157" s="829"/>
      <c r="N157" s="829"/>
      <c r="O157" s="829"/>
      <c r="P157" s="829"/>
      <c r="Q157" s="829"/>
      <c r="R157" s="829"/>
      <c r="S157" s="829"/>
      <c r="T157" s="829"/>
      <c r="U157" s="829"/>
      <c r="V157" s="829"/>
      <c r="W157" s="829"/>
      <c r="X157" s="829"/>
      <c r="Y157" s="829"/>
      <c r="Z157" s="829"/>
      <c r="AA157" s="829"/>
      <c r="AB157" s="829"/>
      <c r="AC157" s="829"/>
      <c r="AD157" s="829"/>
    </row>
    <row r="158" spans="1:58" ht="15" customHeight="1">
      <c r="A158" s="96"/>
      <c r="B158" s="90"/>
      <c r="C158" s="90"/>
      <c r="D158" s="90"/>
      <c r="E158" s="90"/>
      <c r="F158" s="90"/>
      <c r="G158" s="363"/>
      <c r="H158" s="84"/>
      <c r="I158" s="84"/>
      <c r="J158" s="84"/>
      <c r="K158" s="84"/>
      <c r="L158" s="84"/>
      <c r="M158" s="84"/>
      <c r="N158" s="84"/>
      <c r="O158" s="84"/>
      <c r="P158" s="84"/>
      <c r="Q158" s="84"/>
      <c r="R158" s="84"/>
      <c r="S158" s="84"/>
      <c r="T158" s="84"/>
      <c r="U158" s="84"/>
      <c r="V158" s="84"/>
      <c r="W158" s="84"/>
      <c r="X158" s="84"/>
      <c r="Y158" s="84"/>
      <c r="Z158" s="84"/>
      <c r="AA158" s="84"/>
      <c r="AB158" s="84"/>
      <c r="AC158" s="84"/>
      <c r="AD158" s="84"/>
    </row>
    <row r="159" spans="1:58" ht="15" customHeight="1">
      <c r="A159" s="49"/>
      <c r="B159" s="38"/>
      <c r="C159" s="797" t="s">
        <v>2581</v>
      </c>
      <c r="D159" s="798"/>
      <c r="E159" s="798"/>
      <c r="F159" s="798"/>
      <c r="G159" s="798"/>
      <c r="H159" s="798"/>
      <c r="I159" s="799"/>
      <c r="J159" s="739" t="s">
        <v>3182</v>
      </c>
      <c r="K159" s="740"/>
      <c r="L159" s="740"/>
      <c r="M159" s="740"/>
      <c r="N159" s="740"/>
      <c r="O159" s="740"/>
      <c r="P159" s="740"/>
      <c r="Q159" s="740"/>
      <c r="R159" s="740"/>
      <c r="S159" s="740"/>
      <c r="T159" s="740"/>
      <c r="U159" s="740"/>
      <c r="V159" s="740"/>
      <c r="W159" s="740"/>
      <c r="X159" s="740"/>
      <c r="Y159" s="740"/>
      <c r="Z159" s="740"/>
      <c r="AA159" s="740"/>
      <c r="AB159" s="740"/>
      <c r="AC159" s="740"/>
      <c r="AD159" s="741"/>
    </row>
    <row r="160" spans="1:58" ht="120" customHeight="1">
      <c r="A160" s="49"/>
      <c r="B160" s="38"/>
      <c r="C160" s="800"/>
      <c r="D160" s="801"/>
      <c r="E160" s="801"/>
      <c r="F160" s="801"/>
      <c r="G160" s="801"/>
      <c r="H160" s="801"/>
      <c r="I160" s="802"/>
      <c r="J160" s="888" t="s">
        <v>2628</v>
      </c>
      <c r="K160" s="890" t="s">
        <v>2629</v>
      </c>
      <c r="L160" s="890" t="s">
        <v>2630</v>
      </c>
      <c r="M160" s="890" t="s">
        <v>3183</v>
      </c>
      <c r="N160" s="890"/>
      <c r="O160" s="890"/>
      <c r="P160" s="890" t="s">
        <v>3184</v>
      </c>
      <c r="Q160" s="890"/>
      <c r="R160" s="890"/>
      <c r="S160" s="890" t="s">
        <v>3185</v>
      </c>
      <c r="T160" s="890"/>
      <c r="U160" s="890"/>
      <c r="V160" s="890" t="s">
        <v>3186</v>
      </c>
      <c r="W160" s="890"/>
      <c r="X160" s="890"/>
      <c r="Y160" s="890" t="s">
        <v>3187</v>
      </c>
      <c r="Z160" s="890"/>
      <c r="AA160" s="890"/>
      <c r="AB160" s="890" t="s">
        <v>201</v>
      </c>
      <c r="AC160" s="890"/>
      <c r="AD160" s="890"/>
      <c r="BD160" s="919" t="s">
        <v>3175</v>
      </c>
      <c r="BE160" s="919"/>
      <c r="BF160" s="919"/>
    </row>
    <row r="161" spans="1:58" ht="48" customHeight="1">
      <c r="A161" s="49"/>
      <c r="B161" s="38"/>
      <c r="C161" s="803"/>
      <c r="D161" s="804"/>
      <c r="E161" s="804"/>
      <c r="F161" s="804"/>
      <c r="G161" s="804"/>
      <c r="H161" s="804"/>
      <c r="I161" s="805"/>
      <c r="J161" s="874"/>
      <c r="K161" s="857"/>
      <c r="L161" s="857"/>
      <c r="M161" s="127" t="s">
        <v>2635</v>
      </c>
      <c r="N161" s="128" t="s">
        <v>3176</v>
      </c>
      <c r="O161" s="128" t="s">
        <v>2630</v>
      </c>
      <c r="P161" s="127" t="s">
        <v>2635</v>
      </c>
      <c r="Q161" s="128" t="s">
        <v>3176</v>
      </c>
      <c r="R161" s="128" t="s">
        <v>2630</v>
      </c>
      <c r="S161" s="127" t="s">
        <v>2635</v>
      </c>
      <c r="T161" s="128" t="s">
        <v>3176</v>
      </c>
      <c r="U161" s="128" t="s">
        <v>2630</v>
      </c>
      <c r="V161" s="127" t="s">
        <v>2635</v>
      </c>
      <c r="W161" s="128" t="s">
        <v>3176</v>
      </c>
      <c r="X161" s="128" t="s">
        <v>2630</v>
      </c>
      <c r="Y161" s="127" t="s">
        <v>2635</v>
      </c>
      <c r="Z161" s="128" t="s">
        <v>3176</v>
      </c>
      <c r="AA161" s="128" t="s">
        <v>2630</v>
      </c>
      <c r="AB161" s="127" t="s">
        <v>2635</v>
      </c>
      <c r="AC161" s="128" t="s">
        <v>3176</v>
      </c>
      <c r="AD161" s="128" t="s">
        <v>2630</v>
      </c>
      <c r="AG161" s="354" t="s">
        <v>2586</v>
      </c>
      <c r="AH161" s="282" t="s">
        <v>2637</v>
      </c>
      <c r="AI161" s="280" t="s">
        <v>2638</v>
      </c>
      <c r="AJ161" s="281" t="s">
        <v>2639</v>
      </c>
      <c r="AK161" s="282" t="s">
        <v>2640</v>
      </c>
      <c r="AL161" s="280" t="s">
        <v>2641</v>
      </c>
      <c r="AM161" s="281" t="s">
        <v>2642</v>
      </c>
      <c r="AN161" s="282" t="s">
        <v>2643</v>
      </c>
      <c r="AO161" s="280" t="s">
        <v>2644</v>
      </c>
      <c r="AP161" s="281" t="s">
        <v>2645</v>
      </c>
      <c r="AQ161" s="282" t="s">
        <v>2646</v>
      </c>
      <c r="AR161" s="280" t="s">
        <v>2647</v>
      </c>
      <c r="AS161" s="281" t="s">
        <v>2648</v>
      </c>
      <c r="AT161" s="282" t="s">
        <v>2756</v>
      </c>
      <c r="AU161" s="280" t="s">
        <v>2757</v>
      </c>
      <c r="AV161" s="281" t="s">
        <v>2758</v>
      </c>
      <c r="AW161" s="282" t="s">
        <v>2759</v>
      </c>
      <c r="AX161" s="280" t="s">
        <v>2760</v>
      </c>
      <c r="AY161" s="281" t="s">
        <v>2761</v>
      </c>
      <c r="AZ161" s="282" t="s">
        <v>2762</v>
      </c>
      <c r="BA161" s="280" t="s">
        <v>2763</v>
      </c>
      <c r="BB161" s="281" t="s">
        <v>2764</v>
      </c>
      <c r="BD161" s="359" t="s">
        <v>2795</v>
      </c>
      <c r="BE161" s="360" t="s">
        <v>3177</v>
      </c>
      <c r="BF161" s="361" t="s">
        <v>3178</v>
      </c>
    </row>
    <row r="162" spans="1:58" ht="15" customHeight="1">
      <c r="A162" s="49"/>
      <c r="B162" s="38"/>
      <c r="C162" s="44" t="s">
        <v>2516</v>
      </c>
      <c r="D162" s="813" t="str">
        <f>IF(CNSIPEE_2024_M2_Secc1!D42="","",CNSIPEE_2024_M2_Secc1!D42)</f>
        <v/>
      </c>
      <c r="E162" s="814"/>
      <c r="F162" s="814"/>
      <c r="G162" s="814"/>
      <c r="H162" s="814"/>
      <c r="I162" s="815"/>
      <c r="J162" s="100"/>
      <c r="K162" s="100"/>
      <c r="L162" s="100"/>
      <c r="M162" s="100"/>
      <c r="N162" s="100"/>
      <c r="O162" s="100"/>
      <c r="P162" s="100"/>
      <c r="Q162" s="100"/>
      <c r="R162" s="100"/>
      <c r="S162" s="100"/>
      <c r="T162" s="100"/>
      <c r="U162" s="100"/>
      <c r="V162" s="100"/>
      <c r="W162" s="100"/>
      <c r="X162" s="100"/>
      <c r="Y162" s="100"/>
      <c r="Z162" s="100"/>
      <c r="AA162" s="100"/>
      <c r="AB162" s="100"/>
      <c r="AC162" s="100"/>
      <c r="AD162" s="100"/>
      <c r="AG162" s="326">
        <f>IF(AND(COUNTBLANK(D162)=0,COUNTA(J162:AD162)=21),0,IF(AND(COUNTBLANK(D162)=1,COUNTA(J162:AD162)=0),0,1))</f>
        <v>0</v>
      </c>
      <c r="AH162" s="283">
        <f>COUNTIF(K162:L162,"NS")</f>
        <v>0</v>
      </c>
      <c r="AI162" s="283">
        <f>SUM(K162:L162)</f>
        <v>0</v>
      </c>
      <c r="AJ162" s="283">
        <f>IF(COUNTIF(J162:L162,"NA")=3,0,IF(COUNTA(J162:L162)=0,0,IF(OR(AND(J162=0,AH162&gt;0),AND(J162="ns",AI162&gt;0),AND(J162="ns",AH162=0,AI162=0)),1,IF(OR(AND(J162&gt;0,AH162=2),AND(J162="ns",AH162=2),AND(J162="ns",AI162=0,AH162&gt;0),J162=AI162),0,1))))</f>
        <v>0</v>
      </c>
      <c r="AK162" s="283">
        <f>COUNTIF(N162:O162,"NS")</f>
        <v>0</v>
      </c>
      <c r="AL162" s="283">
        <f>SUM(N162:O162)</f>
        <v>0</v>
      </c>
      <c r="AM162" s="283">
        <f>IF(COUNTIF(M162:O162,"NA")=3,0,IF(COUNTA(M162:O162)=0,0,IF(OR(AND(M162=0,AK162&gt;0),AND(M162="ns",AL162&gt;0),AND(M162="ns",AK162=0,AL162=0)),1,IF(OR(AND(M162&gt;0,AK162=2),AND(M162="ns",AK162=2),AND(M162="ns",AL162=0,AK162&gt;0),M162=AL162),0,1))))</f>
        <v>0</v>
      </c>
      <c r="AN162" s="283">
        <f>COUNTIF(Q162:R162,"NS")</f>
        <v>0</v>
      </c>
      <c r="AO162" s="283">
        <f>SUM(Q162:R162)</f>
        <v>0</v>
      </c>
      <c r="AP162" s="283">
        <f>IF(COUNTIF(P162:R162,"NA")=3,0,IF(COUNTA(P162:R162)=0,0,IF(OR(AND(P162=0,AN162&gt;0),AND(P162="ns",AO162&gt;0),AND(P162="ns",AN162=0,AO162=0)),1,IF(OR(AND(P162&gt;0,AN162=2),AND(P162="ns",AN162=2),AND(P162="ns",AO162=0,AN162&gt;0),P162=AO162),0,1))))</f>
        <v>0</v>
      </c>
      <c r="AQ162" s="283">
        <f>COUNTIF(T162:U162,"NS")</f>
        <v>0</v>
      </c>
      <c r="AR162" s="283">
        <f>SUM(T162:U162)</f>
        <v>0</v>
      </c>
      <c r="AS162" s="283">
        <f>IF(COUNTIF(S162:U162,"NA")=3,0,IF(COUNTA(S162:U162)=0,0,IF(OR(AND(S162=0,AQ162&gt;0),AND(S162="ns",AR162&gt;0),AND(S162="ns",AQ162=0,AR162=0)),1,IF(OR(AND(S162&gt;0,AQ162=2),AND(S162="ns",AQ162=2),AND(S162="ns",AR162=0,AQ162&gt;0),S162=AR162),0,1))))</f>
        <v>0</v>
      </c>
      <c r="AT162" s="283">
        <f>COUNTIF(W162:X162,"NS")</f>
        <v>0</v>
      </c>
      <c r="AU162" s="283">
        <f>SUM(W162:X162)</f>
        <v>0</v>
      </c>
      <c r="AV162" s="283">
        <f>IF(COUNTIF(V162:X162,"NA")=3,0,IF(COUNTA(V162:X162)=0,0,IF(OR(AND(V162=0,AT162&gt;0),AND(V162="ns",AU162&gt;0),AND(V162="ns",AT162=0,AU162=0)),1,IF(OR(AND(V162&gt;0,AT162=2),AND(V162="ns",AT162=2),AND(V162="ns",AU162=0,AT162&gt;0),V162=AU162),0,1))))</f>
        <v>0</v>
      </c>
      <c r="AW162" s="283">
        <f>COUNTIF(Z162:AA162,"NS")</f>
        <v>0</v>
      </c>
      <c r="AX162" s="283">
        <f>SUM(Z162:AA162)</f>
        <v>0</v>
      </c>
      <c r="AY162" s="283">
        <f>IF(COUNTIF(Y162:AA162,"NA")=3,0,IF(COUNTA(Y162:AA162)=0,0,IF(OR(AND(Y162=0,AW162&gt;0),AND(Y162="ns",AX162&gt;0),AND(Y162="ns",AW162=0,AX162=0)),1,IF(OR(AND(Y162&gt;0,AW162=2),AND(Y162="ns",AW162=2),AND(Y162="ns",AX162=0,AW162&gt;0),Y162=AX162),0,1))))</f>
        <v>0</v>
      </c>
      <c r="AZ162" s="283">
        <f>COUNTIF(AC162:AD162,"NS")</f>
        <v>0</v>
      </c>
      <c r="BA162" s="283">
        <f>SUM(AC162:AD162)</f>
        <v>0</v>
      </c>
      <c r="BB162" s="283">
        <f>IF(COUNTIF(AB162:AD162,"NA")=3,0,IF(COUNTA(AB162:AD162)=0,0,IF(OR(AND(AB162=0,AZ162&gt;0),AND(AB162="ns",BA162&gt;0),AND(AB162="ns",AZ162=0,BA162=0)),1,IF(OR(AND(AB162&gt;0,AZ162=2),AND(AB162="ns",AZ162=2),AND(AB162="ns",BA162=0,AZ162&gt;0),AB162=BA162),0,1))))</f>
        <v>0</v>
      </c>
      <c r="BD162">
        <f>IF(AND(J162="NS",$M113="NS"),0,IF(AND(J162="NA",$M113="NA"),0,IF(J162=$M113,0,1)))</f>
        <v>0</v>
      </c>
      <c r="BE162">
        <f>IF(AND(K162="NS",$S113="NS"),0,IF(AND(K162="NA",$S113="NA"),0,IF(K162=$S113,0,1)))</f>
        <v>0</v>
      </c>
      <c r="BF162">
        <f>IF(AND(L162="NS",$Y113="NS"),0,IF(AND(L162="NA",$Y113="NA"),0,IF(L162=$Y113,0,1)))</f>
        <v>0</v>
      </c>
    </row>
    <row r="163" spans="1:58" ht="15" customHeight="1">
      <c r="A163" s="49"/>
      <c r="B163" s="38"/>
      <c r="C163" s="97" t="s">
        <v>2517</v>
      </c>
      <c r="D163" s="813" t="str">
        <f>IF(CNSIPEE_2024_M2_Secc1!D43="","",CNSIPEE_2024_M2_Secc1!D43)</f>
        <v/>
      </c>
      <c r="E163" s="814"/>
      <c r="F163" s="814"/>
      <c r="G163" s="814"/>
      <c r="H163" s="814"/>
      <c r="I163" s="815"/>
      <c r="J163" s="100"/>
      <c r="K163" s="100"/>
      <c r="L163" s="100"/>
      <c r="M163" s="100"/>
      <c r="N163" s="100"/>
      <c r="O163" s="100"/>
      <c r="P163" s="100"/>
      <c r="Q163" s="100"/>
      <c r="R163" s="100"/>
      <c r="S163" s="100"/>
      <c r="T163" s="100"/>
      <c r="U163" s="100"/>
      <c r="V163" s="100"/>
      <c r="W163" s="100"/>
      <c r="X163" s="100"/>
      <c r="Y163" s="100"/>
      <c r="Z163" s="100"/>
      <c r="AA163" s="100"/>
      <c r="AB163" s="100"/>
      <c r="AC163" s="100"/>
      <c r="AD163" s="100"/>
      <c r="AG163" s="326">
        <f t="shared" ref="AG163:AG169" si="49">IF(AND(COUNTBLANK(D163)=0,COUNTA(J163:AD163)=21),0,IF(AND(COUNTBLANK(D163)=1,COUNTA(J163:AD163)=0),0,1))</f>
        <v>0</v>
      </c>
      <c r="AH163" s="283">
        <f t="shared" ref="AH163:AH169" si="50">COUNTIF(K163:L163,"NS")</f>
        <v>0</v>
      </c>
      <c r="AI163" s="283">
        <f t="shared" ref="AI163:AI169" si="51">SUM(K163:L163)</f>
        <v>0</v>
      </c>
      <c r="AJ163" s="283">
        <f t="shared" ref="AJ163:AJ169" si="52">IF(COUNTIF(J163:L163,"NA")=3,0,IF(COUNTA(J163:L163)=0,0,IF(OR(AND(J163=0,AH163&gt;0),AND(J163="ns",AI163&gt;0),AND(J163="ns",AH163=0,AI163=0)),1,IF(OR(AND(J163&gt;0,AH163=2),AND(J163="ns",AH163=2),AND(J163="ns",AI163=0,AH163&gt;0),J163=AI163),0,1))))</f>
        <v>0</v>
      </c>
      <c r="AK163" s="283">
        <f t="shared" ref="AK163:AK169" si="53">COUNTIF(N163:O163,"NS")</f>
        <v>0</v>
      </c>
      <c r="AL163" s="283">
        <f t="shared" ref="AL163:AL169" si="54">SUM(N163:O163)</f>
        <v>0</v>
      </c>
      <c r="AM163" s="283">
        <f t="shared" ref="AM163:AM169" si="55">IF(COUNTIF(M163:O163,"NA")=3,0,IF(COUNTA(M163:O163)=0,0,IF(OR(AND(M163=0,AK163&gt;0),AND(M163="ns",AL163&gt;0),AND(M163="ns",AK163=0,AL163=0)),1,IF(OR(AND(M163&gt;0,AK163=2),AND(M163="ns",AK163=2),AND(M163="ns",AL163=0,AK163&gt;0),M163=AL163),0,1))))</f>
        <v>0</v>
      </c>
      <c r="AN163" s="283">
        <f t="shared" ref="AN163:AN169" si="56">COUNTIF(Q163:R163,"NS")</f>
        <v>0</v>
      </c>
      <c r="AO163" s="283">
        <f t="shared" ref="AO163:AO169" si="57">SUM(Q163:R163)</f>
        <v>0</v>
      </c>
      <c r="AP163" s="283">
        <f t="shared" ref="AP163:AP169" si="58">IF(COUNTIF(P163:R163,"NA")=3,0,IF(COUNTA(P163:R163)=0,0,IF(OR(AND(P163=0,AN163&gt;0),AND(P163="ns",AO163&gt;0),AND(P163="ns",AN163=0,AO163=0)),1,IF(OR(AND(P163&gt;0,AN163=2),AND(P163="ns",AN163=2),AND(P163="ns",AO163=0,AN163&gt;0),P163=AO163),0,1))))</f>
        <v>0</v>
      </c>
      <c r="AQ163" s="283">
        <f t="shared" ref="AQ163:AQ169" si="59">COUNTIF(T163:U163,"NS")</f>
        <v>0</v>
      </c>
      <c r="AR163" s="283">
        <f t="shared" ref="AR163:AR169" si="60">SUM(T163:U163)</f>
        <v>0</v>
      </c>
      <c r="AS163" s="283">
        <f t="shared" ref="AS163:AS169" si="61">IF(COUNTIF(S163:U163,"NA")=3,0,IF(COUNTA(S163:U163)=0,0,IF(OR(AND(S163=0,AQ163&gt;0),AND(S163="ns",AR163&gt;0),AND(S163="ns",AQ163=0,AR163=0)),1,IF(OR(AND(S163&gt;0,AQ163=2),AND(S163="ns",AQ163=2),AND(S163="ns",AR163=0,AQ163&gt;0),S163=AR163),0,1))))</f>
        <v>0</v>
      </c>
      <c r="AT163" s="283">
        <f t="shared" ref="AT163:AT169" si="62">COUNTIF(W163:X163,"NS")</f>
        <v>0</v>
      </c>
      <c r="AU163" s="283">
        <f t="shared" ref="AU163:AU169" si="63">SUM(W163:X163)</f>
        <v>0</v>
      </c>
      <c r="AV163" s="283">
        <f t="shared" ref="AV163:AV169" si="64">IF(COUNTIF(V163:X163,"NA")=3,0,IF(COUNTA(V163:X163)=0,0,IF(OR(AND(V163=0,AT163&gt;0),AND(V163="ns",AU163&gt;0),AND(V163="ns",AT163=0,AU163=0)),1,IF(OR(AND(V163&gt;0,AT163=2),AND(V163="ns",AT163=2),AND(V163="ns",AU163=0,AT163&gt;0),V163=AU163),0,1))))</f>
        <v>0</v>
      </c>
      <c r="AW163" s="283">
        <f t="shared" ref="AW163:AW169" si="65">COUNTIF(Z163:AA163,"NS")</f>
        <v>0</v>
      </c>
      <c r="AX163" s="283">
        <f t="shared" ref="AX163:AX169" si="66">SUM(Z163:AA163)</f>
        <v>0</v>
      </c>
      <c r="AY163" s="283">
        <f t="shared" ref="AY163:AY169" si="67">IF(COUNTIF(Y163:AA163,"NA")=3,0,IF(COUNTA(Y163:AA163)=0,0,IF(OR(AND(Y163=0,AW163&gt;0),AND(Y163="ns",AX163&gt;0),AND(Y163="ns",AW163=0,AX163=0)),1,IF(OR(AND(Y163&gt;0,AW163=2),AND(Y163="ns",AW163=2),AND(Y163="ns",AX163=0,AW163&gt;0),Y163=AX163),0,1))))</f>
        <v>0</v>
      </c>
      <c r="AZ163" s="283">
        <f t="shared" ref="AZ163:AZ169" si="68">COUNTIF(AC163:AD163,"NS")</f>
        <v>0</v>
      </c>
      <c r="BA163" s="283">
        <f t="shared" ref="BA163:BA169" si="69">SUM(AC163:AD163)</f>
        <v>0</v>
      </c>
      <c r="BB163" s="283">
        <f t="shared" ref="BB163:BB169" si="70">IF(COUNTIF(AB163:AD163,"NA")=3,0,IF(COUNTA(AB163:AD163)=0,0,IF(OR(AND(AB163=0,AZ163&gt;0),AND(AB163="ns",BA163&gt;0),AND(AB163="ns",AZ163=0,BA163=0)),1,IF(OR(AND(AB163&gt;0,AZ163=2),AND(AB163="ns",AZ163=2),AND(AB163="ns",BA163=0,AZ163&gt;0),AB163=BA163),0,1))))</f>
        <v>0</v>
      </c>
      <c r="BD163">
        <f t="shared" ref="BD163:BD169" si="71">IF(AND(J163="NS",$M114="NS"),0,IF(AND(J163="NA",$M114="NA"),0,IF(J163=$M114,0,1)))</f>
        <v>0</v>
      </c>
      <c r="BE163">
        <f t="shared" ref="BE163:BE169" si="72">IF(AND(K163="NS",$S114="NS"),0,IF(AND(K163="NA",$S114="NA"),0,IF(K163=$S114,0,1)))</f>
        <v>0</v>
      </c>
      <c r="BF163">
        <f t="shared" ref="BF163:BF169" si="73">IF(AND(L163="NS",$Y114="NS"),0,IF(AND(L163="NA",$Y114="NA"),0,IF(L163=$Y114,0,1)))</f>
        <v>0</v>
      </c>
    </row>
    <row r="164" spans="1:58" ht="15" customHeight="1">
      <c r="A164" s="49"/>
      <c r="B164" s="38"/>
      <c r="C164" s="98" t="s">
        <v>2518</v>
      </c>
      <c r="D164" s="813" t="str">
        <f>IF(CNSIPEE_2024_M2_Secc1!D44="","",CNSIPEE_2024_M2_Secc1!D44)</f>
        <v/>
      </c>
      <c r="E164" s="814"/>
      <c r="F164" s="814"/>
      <c r="G164" s="814"/>
      <c r="H164" s="814"/>
      <c r="I164" s="815"/>
      <c r="J164" s="100"/>
      <c r="K164" s="100"/>
      <c r="L164" s="100"/>
      <c r="M164" s="100"/>
      <c r="N164" s="100"/>
      <c r="O164" s="100"/>
      <c r="P164" s="100"/>
      <c r="Q164" s="100"/>
      <c r="R164" s="100"/>
      <c r="S164" s="100"/>
      <c r="T164" s="100"/>
      <c r="U164" s="100"/>
      <c r="V164" s="100"/>
      <c r="W164" s="100"/>
      <c r="X164" s="100"/>
      <c r="Y164" s="100"/>
      <c r="Z164" s="100"/>
      <c r="AA164" s="100"/>
      <c r="AB164" s="100"/>
      <c r="AC164" s="100"/>
      <c r="AD164" s="100"/>
      <c r="AG164" s="326">
        <f t="shared" si="49"/>
        <v>0</v>
      </c>
      <c r="AH164" s="283">
        <f t="shared" si="50"/>
        <v>0</v>
      </c>
      <c r="AI164" s="283">
        <f t="shared" si="51"/>
        <v>0</v>
      </c>
      <c r="AJ164" s="283">
        <f t="shared" si="52"/>
        <v>0</v>
      </c>
      <c r="AK164" s="283">
        <f t="shared" si="53"/>
        <v>0</v>
      </c>
      <c r="AL164" s="283">
        <f t="shared" si="54"/>
        <v>0</v>
      </c>
      <c r="AM164" s="283">
        <f t="shared" si="55"/>
        <v>0</v>
      </c>
      <c r="AN164" s="283">
        <f t="shared" si="56"/>
        <v>0</v>
      </c>
      <c r="AO164" s="283">
        <f t="shared" si="57"/>
        <v>0</v>
      </c>
      <c r="AP164" s="283">
        <f t="shared" si="58"/>
        <v>0</v>
      </c>
      <c r="AQ164" s="283">
        <f t="shared" si="59"/>
        <v>0</v>
      </c>
      <c r="AR164" s="283">
        <f t="shared" si="60"/>
        <v>0</v>
      </c>
      <c r="AS164" s="283">
        <f t="shared" si="61"/>
        <v>0</v>
      </c>
      <c r="AT164" s="283">
        <f t="shared" si="62"/>
        <v>0</v>
      </c>
      <c r="AU164" s="283">
        <f t="shared" si="63"/>
        <v>0</v>
      </c>
      <c r="AV164" s="283">
        <f t="shared" si="64"/>
        <v>0</v>
      </c>
      <c r="AW164" s="283">
        <f t="shared" si="65"/>
        <v>0</v>
      </c>
      <c r="AX164" s="283">
        <f t="shared" si="66"/>
        <v>0</v>
      </c>
      <c r="AY164" s="283">
        <f t="shared" si="67"/>
        <v>0</v>
      </c>
      <c r="AZ164" s="283">
        <f t="shared" si="68"/>
        <v>0</v>
      </c>
      <c r="BA164" s="283">
        <f t="shared" si="69"/>
        <v>0</v>
      </c>
      <c r="BB164" s="283">
        <f t="shared" si="70"/>
        <v>0</v>
      </c>
      <c r="BD164">
        <f t="shared" si="71"/>
        <v>0</v>
      </c>
      <c r="BE164">
        <f t="shared" si="72"/>
        <v>0</v>
      </c>
      <c r="BF164">
        <f t="shared" si="73"/>
        <v>0</v>
      </c>
    </row>
    <row r="165" spans="1:58" ht="15" customHeight="1">
      <c r="A165" s="49"/>
      <c r="B165" s="38"/>
      <c r="C165" s="98" t="s">
        <v>2519</v>
      </c>
      <c r="D165" s="813" t="str">
        <f>IF(CNSIPEE_2024_M2_Secc1!D45="","",CNSIPEE_2024_M2_Secc1!D45)</f>
        <v/>
      </c>
      <c r="E165" s="814"/>
      <c r="F165" s="814"/>
      <c r="G165" s="814"/>
      <c r="H165" s="814"/>
      <c r="I165" s="815"/>
      <c r="J165" s="100"/>
      <c r="K165" s="100"/>
      <c r="L165" s="100"/>
      <c r="M165" s="100"/>
      <c r="N165" s="100"/>
      <c r="O165" s="100"/>
      <c r="P165" s="100"/>
      <c r="Q165" s="100"/>
      <c r="R165" s="100"/>
      <c r="S165" s="100"/>
      <c r="T165" s="100"/>
      <c r="U165" s="100"/>
      <c r="V165" s="100"/>
      <c r="W165" s="100"/>
      <c r="X165" s="100"/>
      <c r="Y165" s="100"/>
      <c r="Z165" s="100"/>
      <c r="AA165" s="100"/>
      <c r="AB165" s="100"/>
      <c r="AC165" s="100"/>
      <c r="AD165" s="100"/>
      <c r="AG165" s="326">
        <f t="shared" si="49"/>
        <v>0</v>
      </c>
      <c r="AH165" s="283">
        <f t="shared" si="50"/>
        <v>0</v>
      </c>
      <c r="AI165" s="283">
        <f t="shared" si="51"/>
        <v>0</v>
      </c>
      <c r="AJ165" s="283">
        <f t="shared" si="52"/>
        <v>0</v>
      </c>
      <c r="AK165" s="283">
        <f t="shared" si="53"/>
        <v>0</v>
      </c>
      <c r="AL165" s="283">
        <f t="shared" si="54"/>
        <v>0</v>
      </c>
      <c r="AM165" s="283">
        <f t="shared" si="55"/>
        <v>0</v>
      </c>
      <c r="AN165" s="283">
        <f t="shared" si="56"/>
        <v>0</v>
      </c>
      <c r="AO165" s="283">
        <f t="shared" si="57"/>
        <v>0</v>
      </c>
      <c r="AP165" s="283">
        <f t="shared" si="58"/>
        <v>0</v>
      </c>
      <c r="AQ165" s="283">
        <f t="shared" si="59"/>
        <v>0</v>
      </c>
      <c r="AR165" s="283">
        <f t="shared" si="60"/>
        <v>0</v>
      </c>
      <c r="AS165" s="283">
        <f t="shared" si="61"/>
        <v>0</v>
      </c>
      <c r="AT165" s="283">
        <f t="shared" si="62"/>
        <v>0</v>
      </c>
      <c r="AU165" s="283">
        <f t="shared" si="63"/>
        <v>0</v>
      </c>
      <c r="AV165" s="283">
        <f t="shared" si="64"/>
        <v>0</v>
      </c>
      <c r="AW165" s="283">
        <f t="shared" si="65"/>
        <v>0</v>
      </c>
      <c r="AX165" s="283">
        <f t="shared" si="66"/>
        <v>0</v>
      </c>
      <c r="AY165" s="283">
        <f t="shared" si="67"/>
        <v>0</v>
      </c>
      <c r="AZ165" s="283">
        <f t="shared" si="68"/>
        <v>0</v>
      </c>
      <c r="BA165" s="283">
        <f t="shared" si="69"/>
        <v>0</v>
      </c>
      <c r="BB165" s="283">
        <f t="shared" si="70"/>
        <v>0</v>
      </c>
      <c r="BD165">
        <f t="shared" si="71"/>
        <v>0</v>
      </c>
      <c r="BE165">
        <f t="shared" si="72"/>
        <v>0</v>
      </c>
      <c r="BF165">
        <f t="shared" si="73"/>
        <v>0</v>
      </c>
    </row>
    <row r="166" spans="1:58" ht="15" customHeight="1">
      <c r="A166" s="49"/>
      <c r="B166" s="38"/>
      <c r="C166" s="98" t="s">
        <v>2520</v>
      </c>
      <c r="D166" s="813" t="str">
        <f>IF(CNSIPEE_2024_M2_Secc1!D46="","",CNSIPEE_2024_M2_Secc1!D46)</f>
        <v/>
      </c>
      <c r="E166" s="814"/>
      <c r="F166" s="814"/>
      <c r="G166" s="814"/>
      <c r="H166" s="814"/>
      <c r="I166" s="815"/>
      <c r="J166" s="100"/>
      <c r="K166" s="100"/>
      <c r="L166" s="100"/>
      <c r="M166" s="100"/>
      <c r="N166" s="100"/>
      <c r="O166" s="100"/>
      <c r="P166" s="100"/>
      <c r="Q166" s="100"/>
      <c r="R166" s="100"/>
      <c r="S166" s="100"/>
      <c r="T166" s="100"/>
      <c r="U166" s="100"/>
      <c r="V166" s="100"/>
      <c r="W166" s="100"/>
      <c r="X166" s="100"/>
      <c r="Y166" s="100"/>
      <c r="Z166" s="100"/>
      <c r="AA166" s="100"/>
      <c r="AB166" s="100"/>
      <c r="AC166" s="100"/>
      <c r="AD166" s="100"/>
      <c r="AG166" s="326">
        <f t="shared" si="49"/>
        <v>0</v>
      </c>
      <c r="AH166" s="283">
        <f t="shared" si="50"/>
        <v>0</v>
      </c>
      <c r="AI166" s="283">
        <f t="shared" si="51"/>
        <v>0</v>
      </c>
      <c r="AJ166" s="283">
        <f t="shared" si="52"/>
        <v>0</v>
      </c>
      <c r="AK166" s="283">
        <f t="shared" si="53"/>
        <v>0</v>
      </c>
      <c r="AL166" s="283">
        <f t="shared" si="54"/>
        <v>0</v>
      </c>
      <c r="AM166" s="283">
        <f t="shared" si="55"/>
        <v>0</v>
      </c>
      <c r="AN166" s="283">
        <f t="shared" si="56"/>
        <v>0</v>
      </c>
      <c r="AO166" s="283">
        <f t="shared" si="57"/>
        <v>0</v>
      </c>
      <c r="AP166" s="283">
        <f t="shared" si="58"/>
        <v>0</v>
      </c>
      <c r="AQ166" s="283">
        <f t="shared" si="59"/>
        <v>0</v>
      </c>
      <c r="AR166" s="283">
        <f t="shared" si="60"/>
        <v>0</v>
      </c>
      <c r="AS166" s="283">
        <f t="shared" si="61"/>
        <v>0</v>
      </c>
      <c r="AT166" s="283">
        <f t="shared" si="62"/>
        <v>0</v>
      </c>
      <c r="AU166" s="283">
        <f t="shared" si="63"/>
        <v>0</v>
      </c>
      <c r="AV166" s="283">
        <f t="shared" si="64"/>
        <v>0</v>
      </c>
      <c r="AW166" s="283">
        <f t="shared" si="65"/>
        <v>0</v>
      </c>
      <c r="AX166" s="283">
        <f t="shared" si="66"/>
        <v>0</v>
      </c>
      <c r="AY166" s="283">
        <f t="shared" si="67"/>
        <v>0</v>
      </c>
      <c r="AZ166" s="283">
        <f t="shared" si="68"/>
        <v>0</v>
      </c>
      <c r="BA166" s="283">
        <f t="shared" si="69"/>
        <v>0</v>
      </c>
      <c r="BB166" s="283">
        <f t="shared" si="70"/>
        <v>0</v>
      </c>
      <c r="BD166">
        <f t="shared" si="71"/>
        <v>0</v>
      </c>
      <c r="BE166">
        <f t="shared" si="72"/>
        <v>0</v>
      </c>
      <c r="BF166">
        <f t="shared" si="73"/>
        <v>0</v>
      </c>
    </row>
    <row r="167" spans="1:58" ht="15" customHeight="1">
      <c r="A167" s="49"/>
      <c r="B167" s="38"/>
      <c r="C167" s="98" t="s">
        <v>2521</v>
      </c>
      <c r="D167" s="813" t="str">
        <f>IF(CNSIPEE_2024_M2_Secc1!D47="","",CNSIPEE_2024_M2_Secc1!D47)</f>
        <v/>
      </c>
      <c r="E167" s="814"/>
      <c r="F167" s="814"/>
      <c r="G167" s="814"/>
      <c r="H167" s="814"/>
      <c r="I167" s="815"/>
      <c r="J167" s="100"/>
      <c r="K167" s="100"/>
      <c r="L167" s="100"/>
      <c r="M167" s="100"/>
      <c r="N167" s="100"/>
      <c r="O167" s="100"/>
      <c r="P167" s="100"/>
      <c r="Q167" s="100"/>
      <c r="R167" s="100"/>
      <c r="S167" s="100"/>
      <c r="T167" s="100"/>
      <c r="U167" s="100"/>
      <c r="V167" s="100"/>
      <c r="W167" s="100"/>
      <c r="X167" s="100"/>
      <c r="Y167" s="100"/>
      <c r="Z167" s="100"/>
      <c r="AA167" s="100"/>
      <c r="AB167" s="100"/>
      <c r="AC167" s="100"/>
      <c r="AD167" s="100"/>
      <c r="AG167" s="326">
        <f t="shared" si="49"/>
        <v>0</v>
      </c>
      <c r="AH167" s="283">
        <f t="shared" si="50"/>
        <v>0</v>
      </c>
      <c r="AI167" s="283">
        <f t="shared" si="51"/>
        <v>0</v>
      </c>
      <c r="AJ167" s="283">
        <f t="shared" si="52"/>
        <v>0</v>
      </c>
      <c r="AK167" s="283">
        <f t="shared" si="53"/>
        <v>0</v>
      </c>
      <c r="AL167" s="283">
        <f t="shared" si="54"/>
        <v>0</v>
      </c>
      <c r="AM167" s="283">
        <f t="shared" si="55"/>
        <v>0</v>
      </c>
      <c r="AN167" s="283">
        <f t="shared" si="56"/>
        <v>0</v>
      </c>
      <c r="AO167" s="283">
        <f t="shared" si="57"/>
        <v>0</v>
      </c>
      <c r="AP167" s="283">
        <f t="shared" si="58"/>
        <v>0</v>
      </c>
      <c r="AQ167" s="283">
        <f t="shared" si="59"/>
        <v>0</v>
      </c>
      <c r="AR167" s="283">
        <f t="shared" si="60"/>
        <v>0</v>
      </c>
      <c r="AS167" s="283">
        <f t="shared" si="61"/>
        <v>0</v>
      </c>
      <c r="AT167" s="283">
        <f t="shared" si="62"/>
        <v>0</v>
      </c>
      <c r="AU167" s="283">
        <f t="shared" si="63"/>
        <v>0</v>
      </c>
      <c r="AV167" s="283">
        <f t="shared" si="64"/>
        <v>0</v>
      </c>
      <c r="AW167" s="283">
        <f t="shared" si="65"/>
        <v>0</v>
      </c>
      <c r="AX167" s="283">
        <f t="shared" si="66"/>
        <v>0</v>
      </c>
      <c r="AY167" s="283">
        <f t="shared" si="67"/>
        <v>0</v>
      </c>
      <c r="AZ167" s="283">
        <f t="shared" si="68"/>
        <v>0</v>
      </c>
      <c r="BA167" s="283">
        <f t="shared" si="69"/>
        <v>0</v>
      </c>
      <c r="BB167" s="283">
        <f t="shared" si="70"/>
        <v>0</v>
      </c>
      <c r="BD167">
        <f t="shared" si="71"/>
        <v>0</v>
      </c>
      <c r="BE167">
        <f t="shared" si="72"/>
        <v>0</v>
      </c>
      <c r="BF167">
        <f t="shared" si="73"/>
        <v>0</v>
      </c>
    </row>
    <row r="168" spans="1:58" ht="15" customHeight="1">
      <c r="A168" s="49"/>
      <c r="B168" s="38"/>
      <c r="C168" s="98" t="s">
        <v>2522</v>
      </c>
      <c r="D168" s="813" t="str">
        <f>IF(CNSIPEE_2024_M2_Secc1!D48="","",CNSIPEE_2024_M2_Secc1!D48)</f>
        <v/>
      </c>
      <c r="E168" s="814"/>
      <c r="F168" s="814"/>
      <c r="G168" s="814"/>
      <c r="H168" s="814"/>
      <c r="I168" s="815"/>
      <c r="J168" s="100"/>
      <c r="K168" s="100"/>
      <c r="L168" s="100"/>
      <c r="M168" s="100"/>
      <c r="N168" s="100"/>
      <c r="O168" s="100"/>
      <c r="P168" s="100"/>
      <c r="Q168" s="100"/>
      <c r="R168" s="100"/>
      <c r="S168" s="100"/>
      <c r="T168" s="100"/>
      <c r="U168" s="100"/>
      <c r="V168" s="100"/>
      <c r="W168" s="100"/>
      <c r="X168" s="100"/>
      <c r="Y168" s="100"/>
      <c r="Z168" s="100"/>
      <c r="AA168" s="100"/>
      <c r="AB168" s="100"/>
      <c r="AC168" s="100"/>
      <c r="AD168" s="100"/>
      <c r="AG168" s="326">
        <f t="shared" si="49"/>
        <v>0</v>
      </c>
      <c r="AH168" s="283">
        <f t="shared" si="50"/>
        <v>0</v>
      </c>
      <c r="AI168" s="283">
        <f t="shared" si="51"/>
        <v>0</v>
      </c>
      <c r="AJ168" s="283">
        <f t="shared" si="52"/>
        <v>0</v>
      </c>
      <c r="AK168" s="283">
        <f t="shared" si="53"/>
        <v>0</v>
      </c>
      <c r="AL168" s="283">
        <f t="shared" si="54"/>
        <v>0</v>
      </c>
      <c r="AM168" s="283">
        <f t="shared" si="55"/>
        <v>0</v>
      </c>
      <c r="AN168" s="283">
        <f t="shared" si="56"/>
        <v>0</v>
      </c>
      <c r="AO168" s="283">
        <f t="shared" si="57"/>
        <v>0</v>
      </c>
      <c r="AP168" s="283">
        <f t="shared" si="58"/>
        <v>0</v>
      </c>
      <c r="AQ168" s="283">
        <f t="shared" si="59"/>
        <v>0</v>
      </c>
      <c r="AR168" s="283">
        <f t="shared" si="60"/>
        <v>0</v>
      </c>
      <c r="AS168" s="283">
        <f t="shared" si="61"/>
        <v>0</v>
      </c>
      <c r="AT168" s="283">
        <f t="shared" si="62"/>
        <v>0</v>
      </c>
      <c r="AU168" s="283">
        <f t="shared" si="63"/>
        <v>0</v>
      </c>
      <c r="AV168" s="283">
        <f t="shared" si="64"/>
        <v>0</v>
      </c>
      <c r="AW168" s="283">
        <f t="shared" si="65"/>
        <v>0</v>
      </c>
      <c r="AX168" s="283">
        <f t="shared" si="66"/>
        <v>0</v>
      </c>
      <c r="AY168" s="283">
        <f t="shared" si="67"/>
        <v>0</v>
      </c>
      <c r="AZ168" s="283">
        <f t="shared" si="68"/>
        <v>0</v>
      </c>
      <c r="BA168" s="283">
        <f t="shared" si="69"/>
        <v>0</v>
      </c>
      <c r="BB168" s="283">
        <f t="shared" si="70"/>
        <v>0</v>
      </c>
      <c r="BD168">
        <f t="shared" si="71"/>
        <v>0</v>
      </c>
      <c r="BE168">
        <f t="shared" si="72"/>
        <v>0</v>
      </c>
      <c r="BF168">
        <f t="shared" si="73"/>
        <v>0</v>
      </c>
    </row>
    <row r="169" spans="1:58" ht="15" customHeight="1">
      <c r="A169" s="49"/>
      <c r="B169" s="38"/>
      <c r="C169" s="98" t="s">
        <v>2523</v>
      </c>
      <c r="D169" s="813" t="str">
        <f>IF(CNSIPEE_2024_M2_Secc1!D49="","",CNSIPEE_2024_M2_Secc1!D49)</f>
        <v/>
      </c>
      <c r="E169" s="814"/>
      <c r="F169" s="814"/>
      <c r="G169" s="814"/>
      <c r="H169" s="814"/>
      <c r="I169" s="815"/>
      <c r="J169" s="100"/>
      <c r="K169" s="100"/>
      <c r="L169" s="100"/>
      <c r="M169" s="100"/>
      <c r="N169" s="100"/>
      <c r="O169" s="100"/>
      <c r="P169" s="100"/>
      <c r="Q169" s="100"/>
      <c r="R169" s="100"/>
      <c r="S169" s="100"/>
      <c r="T169" s="100"/>
      <c r="U169" s="100"/>
      <c r="V169" s="100"/>
      <c r="W169" s="100"/>
      <c r="X169" s="100"/>
      <c r="Y169" s="100"/>
      <c r="Z169" s="100"/>
      <c r="AA169" s="100"/>
      <c r="AB169" s="100"/>
      <c r="AC169" s="100"/>
      <c r="AD169" s="100"/>
      <c r="AG169" s="326">
        <f t="shared" si="49"/>
        <v>0</v>
      </c>
      <c r="AH169" s="283">
        <f t="shared" si="50"/>
        <v>0</v>
      </c>
      <c r="AI169" s="283">
        <f t="shared" si="51"/>
        <v>0</v>
      </c>
      <c r="AJ169" s="283">
        <f t="shared" si="52"/>
        <v>0</v>
      </c>
      <c r="AK169" s="283">
        <f t="shared" si="53"/>
        <v>0</v>
      </c>
      <c r="AL169" s="283">
        <f t="shared" si="54"/>
        <v>0</v>
      </c>
      <c r="AM169" s="283">
        <f t="shared" si="55"/>
        <v>0</v>
      </c>
      <c r="AN169" s="283">
        <f t="shared" si="56"/>
        <v>0</v>
      </c>
      <c r="AO169" s="283">
        <f t="shared" si="57"/>
        <v>0</v>
      </c>
      <c r="AP169" s="283">
        <f t="shared" si="58"/>
        <v>0</v>
      </c>
      <c r="AQ169" s="283">
        <f t="shared" si="59"/>
        <v>0</v>
      </c>
      <c r="AR169" s="283">
        <f t="shared" si="60"/>
        <v>0</v>
      </c>
      <c r="AS169" s="283">
        <f t="shared" si="61"/>
        <v>0</v>
      </c>
      <c r="AT169" s="283">
        <f t="shared" si="62"/>
        <v>0</v>
      </c>
      <c r="AU169" s="283">
        <f t="shared" si="63"/>
        <v>0</v>
      </c>
      <c r="AV169" s="283">
        <f t="shared" si="64"/>
        <v>0</v>
      </c>
      <c r="AW169" s="283">
        <f t="shared" si="65"/>
        <v>0</v>
      </c>
      <c r="AX169" s="283">
        <f t="shared" si="66"/>
        <v>0</v>
      </c>
      <c r="AY169" s="283">
        <f t="shared" si="67"/>
        <v>0</v>
      </c>
      <c r="AZ169" s="283">
        <f t="shared" si="68"/>
        <v>0</v>
      </c>
      <c r="BA169" s="283">
        <f t="shared" si="69"/>
        <v>0</v>
      </c>
      <c r="BB169" s="283">
        <f t="shared" si="70"/>
        <v>0</v>
      </c>
      <c r="BD169">
        <f t="shared" si="71"/>
        <v>0</v>
      </c>
      <c r="BE169">
        <f t="shared" si="72"/>
        <v>0</v>
      </c>
      <c r="BF169">
        <f t="shared" si="73"/>
        <v>0</v>
      </c>
    </row>
    <row r="170" spans="1:58" ht="15" customHeight="1">
      <c r="A170" s="96"/>
      <c r="B170" s="90"/>
      <c r="C170" s="90"/>
      <c r="D170" s="90"/>
      <c r="E170" s="90"/>
      <c r="F170" s="90"/>
      <c r="G170" s="363"/>
      <c r="H170" s="84"/>
      <c r="I170" s="99" t="s">
        <v>2649</v>
      </c>
      <c r="J170" s="124">
        <f>IF(AND(SUM(J162:J169)=0,COUNTIF(J162:J169,"NS")&gt;0),"NS",
IF(AND(SUM(J162:J169)=0,COUNTIF(J162:J169,0)&gt;0),0,
IF(AND(SUM(J162:J169)=0,COUNTIF(J162:J169,"NA")&gt;0),"NA",
SUM(J162:J169))))</f>
        <v>0</v>
      </c>
      <c r="K170" s="124">
        <f t="shared" ref="K170:AD170" si="74">IF(AND(SUM(K162:K169)=0,COUNTIF(K162:K169,"NS")&gt;0),"NS",
IF(AND(SUM(K162:K169)=0,COUNTIF(K162:K169,0)&gt;0),0,
IF(AND(SUM(K162:K169)=0,COUNTIF(K162:K169,"NA")&gt;0),"NA",
SUM(K162:K169))))</f>
        <v>0</v>
      </c>
      <c r="L170" s="124">
        <f t="shared" si="74"/>
        <v>0</v>
      </c>
      <c r="M170" s="124">
        <f t="shared" si="74"/>
        <v>0</v>
      </c>
      <c r="N170" s="124">
        <f t="shared" si="74"/>
        <v>0</v>
      </c>
      <c r="O170" s="124">
        <f t="shared" si="74"/>
        <v>0</v>
      </c>
      <c r="P170" s="124">
        <f t="shared" si="74"/>
        <v>0</v>
      </c>
      <c r="Q170" s="124">
        <f t="shared" si="74"/>
        <v>0</v>
      </c>
      <c r="R170" s="124">
        <f t="shared" si="74"/>
        <v>0</v>
      </c>
      <c r="S170" s="124">
        <f t="shared" si="74"/>
        <v>0</v>
      </c>
      <c r="T170" s="124">
        <f t="shared" si="74"/>
        <v>0</v>
      </c>
      <c r="U170" s="124">
        <f t="shared" si="74"/>
        <v>0</v>
      </c>
      <c r="V170" s="124">
        <f t="shared" si="74"/>
        <v>0</v>
      </c>
      <c r="W170" s="124">
        <f t="shared" si="74"/>
        <v>0</v>
      </c>
      <c r="X170" s="124">
        <f t="shared" si="74"/>
        <v>0</v>
      </c>
      <c r="Y170" s="124">
        <f t="shared" si="74"/>
        <v>0</v>
      </c>
      <c r="Z170" s="124">
        <f t="shared" si="74"/>
        <v>0</v>
      </c>
      <c r="AA170" s="124">
        <f t="shared" si="74"/>
        <v>0</v>
      </c>
      <c r="AB170" s="124">
        <f t="shared" si="74"/>
        <v>0</v>
      </c>
      <c r="AC170" s="124">
        <f t="shared" si="74"/>
        <v>0</v>
      </c>
      <c r="AD170" s="124">
        <f t="shared" si="74"/>
        <v>0</v>
      </c>
      <c r="AG170" s="349">
        <f>SUM(AG162:AG169)</f>
        <v>0</v>
      </c>
      <c r="AH170" s="350">
        <f>SUM(AH162:AH169)</f>
        <v>0</v>
      </c>
      <c r="AI170" s="326"/>
      <c r="AJ170" s="352">
        <f>SUM(AJ162:AJ169)</f>
        <v>0</v>
      </c>
      <c r="AK170" s="350">
        <f t="shared" ref="AK170" si="75">SUM(AK162:AK169)</f>
        <v>0</v>
      </c>
      <c r="AL170" s="326"/>
      <c r="AM170" s="352">
        <f t="shared" ref="AM170:AN170" si="76">SUM(AM162:AM169)</f>
        <v>0</v>
      </c>
      <c r="AN170" s="350">
        <f t="shared" si="76"/>
        <v>0</v>
      </c>
      <c r="AO170" s="326"/>
      <c r="AP170" s="352">
        <f t="shared" ref="AP170:AQ170" si="77">SUM(AP162:AP169)</f>
        <v>0</v>
      </c>
      <c r="AQ170" s="350">
        <f t="shared" si="77"/>
        <v>0</v>
      </c>
      <c r="AR170" s="326"/>
      <c r="AS170" s="352">
        <f t="shared" ref="AS170:AT170" si="78">SUM(AS162:AS169)</f>
        <v>0</v>
      </c>
      <c r="AT170" s="350">
        <f t="shared" si="78"/>
        <v>0</v>
      </c>
      <c r="AU170" s="326"/>
      <c r="AV170" s="352">
        <f t="shared" ref="AV170:AW170" si="79">SUM(AV162:AV169)</f>
        <v>0</v>
      </c>
      <c r="AW170" s="350">
        <f t="shared" si="79"/>
        <v>0</v>
      </c>
      <c r="AX170" s="326"/>
      <c r="AY170" s="352">
        <f t="shared" ref="AY170:AZ170" si="80">SUM(AY162:AY169)</f>
        <v>0</v>
      </c>
      <c r="AZ170" s="350">
        <f t="shared" si="80"/>
        <v>0</v>
      </c>
      <c r="BA170" s="326"/>
      <c r="BB170" s="352">
        <f t="shared" ref="BB170" si="81">SUM(BB162:BB169)</f>
        <v>0</v>
      </c>
      <c r="BD170" s="359">
        <f>SUM(BD162:BD169)</f>
        <v>0</v>
      </c>
      <c r="BE170" s="360">
        <f>SUM(BE162:BE169)</f>
        <v>0</v>
      </c>
      <c r="BF170" s="361">
        <f>SUM(BF162:BF169)</f>
        <v>0</v>
      </c>
    </row>
    <row r="171" spans="1:58" ht="15" customHeight="1">
      <c r="A171" s="96"/>
      <c r="B171" s="90"/>
      <c r="C171" s="90"/>
      <c r="D171" s="90"/>
      <c r="E171" s="90"/>
      <c r="F171" s="90"/>
      <c r="G171" s="363"/>
      <c r="H171" s="84"/>
      <c r="I171" s="84"/>
      <c r="J171" s="84"/>
      <c r="K171" s="84"/>
      <c r="L171" s="84"/>
      <c r="M171" s="84"/>
      <c r="N171" s="84"/>
      <c r="O171" s="84"/>
      <c r="P171" s="84"/>
      <c r="Q171" s="84"/>
      <c r="R171" s="84"/>
      <c r="S171" s="84"/>
      <c r="T171" s="84"/>
      <c r="U171" s="84"/>
      <c r="V171" s="84"/>
      <c r="W171" s="84"/>
      <c r="X171" s="84"/>
      <c r="Y171" s="84"/>
      <c r="Z171" s="84"/>
      <c r="AA171" s="84"/>
      <c r="AB171" s="84"/>
      <c r="AC171" s="84"/>
      <c r="AD171" s="84"/>
      <c r="BD171"/>
      <c r="BE171"/>
      <c r="BF171" s="362">
        <f>SUM(BD170:BF170)</f>
        <v>0</v>
      </c>
    </row>
    <row r="172" spans="1:58" ht="24" customHeight="1">
      <c r="A172" s="96"/>
      <c r="B172" s="90"/>
      <c r="C172" s="754" t="s">
        <v>2611</v>
      </c>
      <c r="D172" s="754"/>
      <c r="E172" s="754"/>
      <c r="F172" s="754"/>
      <c r="G172" s="754"/>
      <c r="H172" s="754"/>
      <c r="I172" s="754"/>
      <c r="J172" s="754"/>
      <c r="K172" s="754"/>
      <c r="L172" s="754"/>
      <c r="M172" s="754"/>
      <c r="N172" s="754"/>
      <c r="O172" s="754"/>
      <c r="P172" s="754"/>
      <c r="Q172" s="754"/>
      <c r="R172" s="754"/>
      <c r="S172" s="754"/>
      <c r="T172" s="754"/>
      <c r="U172" s="754"/>
      <c r="V172" s="754"/>
      <c r="W172" s="754"/>
      <c r="X172" s="754"/>
      <c r="Y172" s="754"/>
      <c r="Z172" s="754"/>
      <c r="AA172" s="754"/>
      <c r="AB172" s="754"/>
      <c r="AC172" s="754"/>
      <c r="AD172" s="754"/>
      <c r="AI172" s="355" t="s">
        <v>2650</v>
      </c>
      <c r="AJ172" s="283">
        <f>SUM(AJ170,AM170,AP170,AS170,AV170,AY170,BB170)</f>
        <v>0</v>
      </c>
      <c r="AK172" s="355" t="s">
        <v>2651</v>
      </c>
      <c r="AL172" s="283">
        <f>SUM(AH170,AK170,AN170,AQ170,AT170,AW170,AZ170)</f>
        <v>0</v>
      </c>
      <c r="AM172" s="283"/>
      <c r="AN172" s="283"/>
    </row>
    <row r="173" spans="1:58" ht="60" customHeight="1">
      <c r="A173" s="96"/>
      <c r="B173" s="90"/>
      <c r="C173" s="851"/>
      <c r="D173" s="851"/>
      <c r="E173" s="851"/>
      <c r="F173" s="851"/>
      <c r="G173" s="851"/>
      <c r="H173" s="851"/>
      <c r="I173" s="851"/>
      <c r="J173" s="851"/>
      <c r="K173" s="851"/>
      <c r="L173" s="851"/>
      <c r="M173" s="851"/>
      <c r="N173" s="851"/>
      <c r="O173" s="851"/>
      <c r="P173" s="851"/>
      <c r="Q173" s="851"/>
      <c r="R173" s="851"/>
      <c r="S173" s="851"/>
      <c r="T173" s="851"/>
      <c r="U173" s="851"/>
      <c r="V173" s="851"/>
      <c r="W173" s="851"/>
      <c r="X173" s="851"/>
      <c r="Y173" s="851"/>
      <c r="Z173" s="851"/>
      <c r="AA173" s="851"/>
      <c r="AB173" s="851"/>
      <c r="AC173" s="851"/>
      <c r="AD173" s="851"/>
      <c r="AI173" s="357" t="s">
        <v>2652</v>
      </c>
      <c r="AJ173" s="283">
        <f>IF(AL172&gt;0,IF(SUM(J170)&gt;=SUM(M170,P170,S170,V170,Y170,AB170),0,1),IF(SUM(J170)&lt;&gt;SUM(M170,P170,S170,V170,Y170,AB170),1,0))</f>
        <v>0</v>
      </c>
      <c r="AK173" s="357" t="s">
        <v>2653</v>
      </c>
      <c r="AL173" s="283">
        <f>IF(AL172&gt;0,IF(SUM(K170)&gt;=SUM(N170,Q170,T170,W170,Z170,AC170),0,1),IF(SUM(K170)&lt;&gt;SUM(N170,Q170,T170,W170,Z170,AC170),1,0))</f>
        <v>0</v>
      </c>
      <c r="AM173" s="357" t="s">
        <v>2654</v>
      </c>
      <c r="AN173" s="283">
        <f>IF(AL172&gt;0,IF(SUM(L170)&gt;=SUM(O170,R170,U170,X170,AA170,AD170),0,1),IF(SUM(L170)&lt;&gt;SUM(O170,R170,U170,X170,AA170,AD170),1,0))</f>
        <v>0</v>
      </c>
    </row>
    <row r="174" spans="1:58" ht="15" customHeight="1">
      <c r="A174" s="96"/>
      <c r="B174" s="794" t="str">
        <f>IF(AG170&gt;0,"Favor de ingresar toda la información requerida en la pregunta ","")</f>
        <v/>
      </c>
      <c r="C174" s="794"/>
      <c r="D174" s="794"/>
      <c r="E174" s="794"/>
      <c r="F174" s="794"/>
      <c r="G174" s="794"/>
      <c r="H174" s="794"/>
      <c r="I174" s="794"/>
      <c r="J174" s="794"/>
      <c r="K174" s="794"/>
      <c r="L174" s="794"/>
      <c r="M174" s="794"/>
      <c r="N174" s="794"/>
      <c r="O174" s="794"/>
      <c r="P174" s="794"/>
      <c r="Q174" s="794"/>
      <c r="R174" s="794"/>
      <c r="S174" s="794"/>
      <c r="T174" s="794"/>
      <c r="U174" s="794"/>
      <c r="V174" s="794"/>
      <c r="W174" s="794"/>
      <c r="X174" s="794"/>
      <c r="Y174" s="794"/>
      <c r="Z174" s="794"/>
      <c r="AA174" s="794"/>
      <c r="AB174" s="794"/>
      <c r="AC174" s="794"/>
      <c r="AD174" s="794"/>
    </row>
    <row r="175" spans="1:58" ht="15" customHeight="1">
      <c r="A175" s="96"/>
      <c r="B175" s="795" t="str">
        <f>IF(AL172&gt;0,"Alerta: debido a que cuenta con registros NS, debe proporcionar una justificación en el area de comentarios al final de la pregunta","")</f>
        <v/>
      </c>
      <c r="C175" s="795"/>
      <c r="D175" s="795"/>
      <c r="E175" s="795"/>
      <c r="F175" s="795"/>
      <c r="G175" s="795"/>
      <c r="H175" s="795"/>
      <c r="I175" s="795"/>
      <c r="J175" s="795"/>
      <c r="K175" s="795"/>
      <c r="L175" s="795"/>
      <c r="M175" s="795"/>
      <c r="N175" s="795"/>
      <c r="O175" s="795"/>
      <c r="P175" s="795"/>
      <c r="Q175" s="795"/>
      <c r="R175" s="795"/>
      <c r="S175" s="795"/>
      <c r="T175" s="795"/>
      <c r="U175" s="795"/>
      <c r="V175" s="795"/>
      <c r="W175" s="795"/>
      <c r="X175" s="795"/>
      <c r="Y175" s="795"/>
      <c r="Z175" s="795"/>
      <c r="AA175" s="795"/>
      <c r="AB175" s="795"/>
      <c r="AC175" s="795"/>
      <c r="AD175" s="795"/>
    </row>
    <row r="176" spans="1:58" ht="15" customHeight="1">
      <c r="A176" s="96"/>
      <c r="B176" s="794" t="str">
        <f>IF(OR(AJ172&gt;0,AJ173&gt;0,AL173&gt;0,AN173&gt;0),"Favor de revisar la suma y consistencia de totales y/o subtotales por filas (numéricos y NS)","")</f>
        <v/>
      </c>
      <c r="C176" s="794"/>
      <c r="D176" s="794"/>
      <c r="E176" s="794"/>
      <c r="F176" s="794"/>
      <c r="G176" s="794"/>
      <c r="H176" s="794"/>
      <c r="I176" s="794"/>
      <c r="J176" s="794"/>
      <c r="K176" s="794"/>
      <c r="L176" s="794"/>
      <c r="M176" s="794"/>
      <c r="N176" s="794"/>
      <c r="O176" s="794"/>
      <c r="P176" s="794"/>
      <c r="Q176" s="794"/>
      <c r="R176" s="794"/>
      <c r="S176" s="794"/>
      <c r="T176" s="794"/>
      <c r="U176" s="794"/>
      <c r="V176" s="794"/>
      <c r="W176" s="794"/>
      <c r="X176" s="794"/>
      <c r="Y176" s="794"/>
      <c r="Z176" s="794"/>
      <c r="AA176" s="794"/>
      <c r="AB176" s="794"/>
      <c r="AC176" s="794"/>
      <c r="AD176" s="794"/>
    </row>
    <row r="177" spans="1:66" ht="15" customHeight="1">
      <c r="A177" s="96"/>
      <c r="B177" s="794" t="str">
        <f>IF(BF171&gt;0,"Favor de revisar la instrucción general 2 del apartado II.2, ya que no se cumplen los criterios establecidos","")</f>
        <v/>
      </c>
      <c r="C177" s="794"/>
      <c r="D177" s="794"/>
      <c r="E177" s="794"/>
      <c r="F177" s="794"/>
      <c r="G177" s="794"/>
      <c r="H177" s="794"/>
      <c r="I177" s="794"/>
      <c r="J177" s="794"/>
      <c r="K177" s="794"/>
      <c r="L177" s="794"/>
      <c r="M177" s="794"/>
      <c r="N177" s="794"/>
      <c r="O177" s="794"/>
      <c r="P177" s="794"/>
      <c r="Q177" s="794"/>
      <c r="R177" s="794"/>
      <c r="S177" s="794"/>
      <c r="T177" s="794"/>
      <c r="U177" s="794"/>
      <c r="V177" s="794"/>
      <c r="W177" s="794"/>
      <c r="X177" s="794"/>
      <c r="Y177" s="794"/>
      <c r="Z177" s="794"/>
      <c r="AA177" s="794"/>
      <c r="AB177" s="794"/>
      <c r="AC177" s="794"/>
      <c r="AD177" s="794"/>
    </row>
    <row r="178" spans="1:66" ht="15" customHeight="1">
      <c r="A178" s="96"/>
      <c r="B178" s="90"/>
      <c r="C178" s="90"/>
      <c r="D178" s="90"/>
      <c r="E178" s="90"/>
      <c r="F178" s="90"/>
      <c r="G178" s="90"/>
      <c r="H178" s="90"/>
      <c r="I178" s="90"/>
      <c r="J178" s="90"/>
      <c r="K178" s="90"/>
      <c r="L178" s="90"/>
      <c r="M178" s="90"/>
      <c r="N178" s="90"/>
      <c r="O178" s="90"/>
      <c r="P178" s="90"/>
      <c r="Q178" s="90"/>
      <c r="R178" s="90"/>
      <c r="S178" s="90"/>
      <c r="T178" s="90"/>
      <c r="U178" s="90"/>
      <c r="V178" s="90"/>
      <c r="W178" s="90"/>
      <c r="X178" s="90"/>
      <c r="Y178" s="90"/>
      <c r="Z178" s="90"/>
      <c r="AA178" s="90"/>
      <c r="AB178" s="90"/>
      <c r="AC178" s="90"/>
      <c r="AD178" s="90"/>
    </row>
    <row r="179" spans="1:66" ht="15" customHeight="1">
      <c r="A179" s="49"/>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row>
    <row r="180" spans="1:66" ht="24" customHeight="1">
      <c r="A180" s="49" t="s">
        <v>3188</v>
      </c>
      <c r="B180" s="829" t="s">
        <v>3189</v>
      </c>
      <c r="C180" s="829"/>
      <c r="D180" s="829"/>
      <c r="E180" s="829"/>
      <c r="F180" s="829"/>
      <c r="G180" s="829"/>
      <c r="H180" s="829"/>
      <c r="I180" s="829"/>
      <c r="J180" s="829"/>
      <c r="K180" s="829"/>
      <c r="L180" s="829"/>
      <c r="M180" s="829"/>
      <c r="N180" s="829"/>
      <c r="O180" s="829"/>
      <c r="P180" s="829"/>
      <c r="Q180" s="829"/>
      <c r="R180" s="829"/>
      <c r="S180" s="829"/>
      <c r="T180" s="829"/>
      <c r="U180" s="829"/>
      <c r="V180" s="829"/>
      <c r="W180" s="829"/>
      <c r="X180" s="829"/>
      <c r="Y180" s="829"/>
      <c r="Z180" s="829"/>
      <c r="AA180" s="829"/>
      <c r="AB180" s="829"/>
      <c r="AC180" s="829"/>
      <c r="AD180" s="829"/>
    </row>
    <row r="181" spans="1:66" ht="15" customHeight="1">
      <c r="A181" s="50"/>
      <c r="B181" s="57"/>
      <c r="C181" s="830" t="s">
        <v>3190</v>
      </c>
      <c r="D181" s="830"/>
      <c r="E181" s="830"/>
      <c r="F181" s="830"/>
      <c r="G181" s="830"/>
      <c r="H181" s="830"/>
      <c r="I181" s="830"/>
      <c r="J181" s="830"/>
      <c r="K181" s="830"/>
      <c r="L181" s="830"/>
      <c r="M181" s="830"/>
      <c r="N181" s="830"/>
      <c r="O181" s="830"/>
      <c r="P181" s="830"/>
      <c r="Q181" s="830"/>
      <c r="R181" s="830"/>
      <c r="S181" s="830"/>
      <c r="T181" s="830"/>
      <c r="U181" s="830"/>
      <c r="V181" s="830"/>
      <c r="W181" s="830"/>
      <c r="X181" s="830"/>
      <c r="Y181" s="830"/>
      <c r="Z181" s="830"/>
      <c r="AA181" s="830"/>
      <c r="AB181" s="830"/>
      <c r="AC181" s="830"/>
      <c r="AD181" s="830"/>
    </row>
    <row r="182" spans="1:66" ht="15" customHeight="1">
      <c r="A182" s="103"/>
      <c r="B182" s="57"/>
      <c r="C182" s="86"/>
      <c r="D182" s="86"/>
      <c r="E182" s="86"/>
      <c r="F182" s="86"/>
      <c r="G182" s="86"/>
      <c r="H182" s="86"/>
      <c r="I182" s="86"/>
      <c r="J182" s="86"/>
      <c r="K182" s="86"/>
      <c r="L182" s="86"/>
      <c r="M182" s="86"/>
      <c r="N182" s="86"/>
      <c r="O182" s="86"/>
      <c r="P182" s="86"/>
      <c r="Q182" s="86"/>
      <c r="R182" s="86"/>
      <c r="S182" s="86"/>
      <c r="T182" s="86"/>
      <c r="U182" s="86"/>
      <c r="V182" s="86"/>
      <c r="W182" s="86"/>
      <c r="X182" s="86"/>
      <c r="Y182" s="86"/>
      <c r="Z182" s="86"/>
      <c r="AA182" s="86"/>
      <c r="AB182" s="86"/>
      <c r="AC182" s="86"/>
      <c r="AD182" s="86"/>
    </row>
    <row r="183" spans="1:66" ht="15">
      <c r="A183" s="94"/>
      <c r="AA183" s="875" t="s">
        <v>2664</v>
      </c>
      <c r="AB183" s="875"/>
      <c r="AC183" s="875"/>
      <c r="AD183" s="875"/>
    </row>
    <row r="184" spans="1:66" ht="24" customHeight="1">
      <c r="A184" s="103"/>
      <c r="B184" s="113"/>
      <c r="C184" s="732" t="s">
        <v>2581</v>
      </c>
      <c r="D184" s="732"/>
      <c r="E184" s="732"/>
      <c r="F184" s="732"/>
      <c r="G184" s="732"/>
      <c r="H184" s="732"/>
      <c r="I184" s="732"/>
      <c r="J184" s="732"/>
      <c r="K184" s="732"/>
      <c r="L184" s="732"/>
      <c r="M184" s="732"/>
      <c r="N184" s="732"/>
      <c r="O184" s="732"/>
      <c r="P184" s="732" t="s">
        <v>3191</v>
      </c>
      <c r="Q184" s="732"/>
      <c r="R184" s="732"/>
      <c r="S184" s="732"/>
      <c r="T184" s="732"/>
      <c r="U184" s="732"/>
      <c r="V184" s="732"/>
      <c r="W184" s="732"/>
      <c r="X184" s="732"/>
      <c r="Y184" s="732"/>
      <c r="Z184" s="732"/>
      <c r="AA184" s="732"/>
      <c r="AB184" s="732"/>
      <c r="AC184" s="732"/>
      <c r="AD184" s="732"/>
    </row>
    <row r="185" spans="1:66" ht="24" customHeight="1">
      <c r="A185" s="103"/>
      <c r="B185" s="113"/>
      <c r="C185" s="732"/>
      <c r="D185" s="732"/>
      <c r="E185" s="732"/>
      <c r="F185" s="732"/>
      <c r="G185" s="732"/>
      <c r="H185" s="732"/>
      <c r="I185" s="732"/>
      <c r="J185" s="732"/>
      <c r="K185" s="732"/>
      <c r="L185" s="732"/>
      <c r="M185" s="732"/>
      <c r="N185" s="732"/>
      <c r="O185" s="732"/>
      <c r="P185" s="874" t="s">
        <v>2628</v>
      </c>
      <c r="Q185" s="857" t="s">
        <v>2629</v>
      </c>
      <c r="R185" s="857" t="s">
        <v>2630</v>
      </c>
      <c r="S185" s="736" t="s">
        <v>3192</v>
      </c>
      <c r="T185" s="736"/>
      <c r="U185" s="736"/>
      <c r="V185" s="736" t="s">
        <v>3193</v>
      </c>
      <c r="W185" s="736"/>
      <c r="X185" s="736"/>
      <c r="Y185" s="736" t="s">
        <v>3194</v>
      </c>
      <c r="Z185" s="736"/>
      <c r="AA185" s="736"/>
      <c r="AB185" s="736" t="s">
        <v>3195</v>
      </c>
      <c r="AC185" s="736"/>
      <c r="AD185" s="736"/>
    </row>
    <row r="186" spans="1:66" ht="48" customHeight="1">
      <c r="A186" s="103"/>
      <c r="B186" s="113"/>
      <c r="C186" s="732"/>
      <c r="D186" s="732"/>
      <c r="E186" s="732"/>
      <c r="F186" s="732"/>
      <c r="G186" s="732"/>
      <c r="H186" s="732"/>
      <c r="I186" s="732"/>
      <c r="J186" s="732"/>
      <c r="K186" s="732"/>
      <c r="L186" s="732"/>
      <c r="M186" s="732"/>
      <c r="N186" s="732"/>
      <c r="O186" s="732"/>
      <c r="P186" s="874"/>
      <c r="Q186" s="857"/>
      <c r="R186" s="857"/>
      <c r="S186" s="127" t="s">
        <v>2635</v>
      </c>
      <c r="T186" s="128" t="s">
        <v>2629</v>
      </c>
      <c r="U186" s="128" t="s">
        <v>2630</v>
      </c>
      <c r="V186" s="127" t="s">
        <v>2635</v>
      </c>
      <c r="W186" s="128" t="s">
        <v>2629</v>
      </c>
      <c r="X186" s="128" t="s">
        <v>2630</v>
      </c>
      <c r="Y186" s="127" t="s">
        <v>2635</v>
      </c>
      <c r="Z186" s="128" t="s">
        <v>2629</v>
      </c>
      <c r="AA186" s="128" t="s">
        <v>2630</v>
      </c>
      <c r="AB186" s="127" t="s">
        <v>2635</v>
      </c>
      <c r="AC186" s="128" t="s">
        <v>2629</v>
      </c>
      <c r="AD186" s="128" t="s">
        <v>2630</v>
      </c>
      <c r="AG186" s="354" t="s">
        <v>2586</v>
      </c>
      <c r="AH186" s="282" t="s">
        <v>2637</v>
      </c>
      <c r="AI186" s="280" t="s">
        <v>2638</v>
      </c>
      <c r="AJ186" s="281" t="s">
        <v>2639</v>
      </c>
      <c r="AK186" s="282" t="s">
        <v>2640</v>
      </c>
      <c r="AL186" s="280" t="s">
        <v>2641</v>
      </c>
      <c r="AM186" s="281" t="s">
        <v>2642</v>
      </c>
      <c r="AN186" s="282" t="s">
        <v>2643</v>
      </c>
      <c r="AO186" s="280" t="s">
        <v>2644</v>
      </c>
      <c r="AP186" s="281" t="s">
        <v>2645</v>
      </c>
      <c r="AQ186" s="282" t="s">
        <v>2646</v>
      </c>
      <c r="AR186" s="280" t="s">
        <v>2647</v>
      </c>
      <c r="AS186" s="281" t="s">
        <v>2648</v>
      </c>
      <c r="AT186" s="282" t="s">
        <v>2756</v>
      </c>
      <c r="AU186" s="280" t="s">
        <v>2757</v>
      </c>
      <c r="AV186" s="281" t="s">
        <v>2758</v>
      </c>
      <c r="AW186" s="282" t="s">
        <v>2759</v>
      </c>
      <c r="AX186" s="280" t="s">
        <v>2760</v>
      </c>
      <c r="AY186" s="281" t="s">
        <v>2761</v>
      </c>
      <c r="AZ186" s="282" t="s">
        <v>2762</v>
      </c>
      <c r="BA186" s="280" t="s">
        <v>2763</v>
      </c>
      <c r="BB186" s="281" t="s">
        <v>2764</v>
      </c>
      <c r="BC186" s="282" t="s">
        <v>2765</v>
      </c>
      <c r="BD186" s="280" t="s">
        <v>2766</v>
      </c>
      <c r="BE186" s="281" t="s">
        <v>2767</v>
      </c>
      <c r="BF186" s="282" t="s">
        <v>2768</v>
      </c>
      <c r="BG186" s="280" t="s">
        <v>2769</v>
      </c>
      <c r="BH186" s="281" t="s">
        <v>2770</v>
      </c>
      <c r="BI186" s="282" t="s">
        <v>2771</v>
      </c>
      <c r="BJ186" s="280" t="s">
        <v>2772</v>
      </c>
      <c r="BK186" s="281" t="s">
        <v>2773</v>
      </c>
      <c r="BL186" s="282" t="s">
        <v>2774</v>
      </c>
      <c r="BM186" s="280" t="s">
        <v>2775</v>
      </c>
      <c r="BN186" s="281" t="s">
        <v>2776</v>
      </c>
    </row>
    <row r="187" spans="1:66" ht="15" customHeight="1">
      <c r="A187" s="103"/>
      <c r="B187" s="113"/>
      <c r="C187" s="44" t="s">
        <v>2516</v>
      </c>
      <c r="D187" s="813" t="str">
        <f>IF(CNSIPEE_2024_M2_Secc1!D42="","",CNSIPEE_2024_M2_Secc1!D42)</f>
        <v/>
      </c>
      <c r="E187" s="814"/>
      <c r="F187" s="814"/>
      <c r="G187" s="814"/>
      <c r="H187" s="814"/>
      <c r="I187" s="814"/>
      <c r="J187" s="814"/>
      <c r="K187" s="814"/>
      <c r="L187" s="814"/>
      <c r="M187" s="814"/>
      <c r="N187" s="814"/>
      <c r="O187" s="815"/>
      <c r="P187" s="100"/>
      <c r="Q187" s="100"/>
      <c r="R187" s="100"/>
      <c r="S187" s="100"/>
      <c r="T187" s="100"/>
      <c r="U187" s="100"/>
      <c r="V187" s="100"/>
      <c r="W187" s="100"/>
      <c r="X187" s="100"/>
      <c r="Y187" s="100"/>
      <c r="Z187" s="100"/>
      <c r="AA187" s="100"/>
      <c r="AB187" s="100"/>
      <c r="AC187" s="100"/>
      <c r="AD187" s="100"/>
      <c r="AG187" s="326">
        <f>IF(AND(COUNTBLANK(D187)=0,COUNTA(P187:AD187,M201:AD201)=33),0,IF(AND(COUNTBLANK(D187)=1,COUNTA(P187:AD187,M201:AD201)=0),0,1))</f>
        <v>0</v>
      </c>
      <c r="AH187" s="283">
        <f>COUNTIF(Q187:R187,"NS")</f>
        <v>0</v>
      </c>
      <c r="AI187" s="283">
        <f>SUM(Q187:R187)</f>
        <v>0</v>
      </c>
      <c r="AJ187" s="283">
        <f>IF(COUNTIF(P187:R187,"NA")=3,0,IF(COUNTA(P187:R187)=0,0,IF(OR(AND(P187=0,AH187&gt;0),AND(P187="ns",AI187&gt;0),AND(P187="ns",AH187=0,AI187=0)),1,IF(OR(AND(P187&gt;0,AH187=2),AND(P187="ns",AH187=2),AND(P187="ns",AI187=0,AH187&gt;0),P187=AI187),0,1))))</f>
        <v>0</v>
      </c>
      <c r="AK187" s="283">
        <f>COUNTIF(T187:U187,"NS")</f>
        <v>0</v>
      </c>
      <c r="AL187" s="283">
        <f t="shared" ref="AL187" si="82">SUM(T187:U187)</f>
        <v>0</v>
      </c>
      <c r="AM187" s="283">
        <f t="shared" ref="AM187" si="83">IF(COUNTIF(S187:U187,"NA")=3,0,IF(COUNTA(S187:U187)=0,0,IF(OR(AND(S187=0,AK187&gt;0),AND(S187="ns",AL187&gt;0),AND(S187="ns",AK187=0,AL187=0)),1,IF(OR(AND(S187&gt;0,AK187=2),AND(S187="ns",AK187=2),AND(S187="ns",AL187=0,AK187&gt;0),S187=AL187),0,1))))</f>
        <v>0</v>
      </c>
      <c r="AN187" s="283">
        <f>COUNTIF(W187:X187,"NS")</f>
        <v>0</v>
      </c>
      <c r="AO187" s="283">
        <f t="shared" ref="AO187" si="84">SUM(W187:X187)</f>
        <v>0</v>
      </c>
      <c r="AP187" s="283">
        <f>IF(COUNTIF(V187:X187,"NA")=3,0,IF(COUNTA(V187:X187)=0,0,IF(OR(AND(V187=0,AN187&gt;0),AND(V187="ns",AO187&gt;0),AND(V187="ns",AN187=0,AO187=0)),1,IF(OR(AND(V187&gt;0,AN187=2),AND(V187="ns",AN187=2),AND(V187="ns",AO187=0,AN187&gt;0),V187=AO187),0,1))))</f>
        <v>0</v>
      </c>
      <c r="AQ187" s="283">
        <f t="shared" ref="AQ187" si="85">COUNTIF(Z187:AA187,"NS")</f>
        <v>0</v>
      </c>
      <c r="AR187" s="283">
        <f>SUM(Z187:AA187)</f>
        <v>0</v>
      </c>
      <c r="AS187" s="283">
        <f>IF(COUNTIF(Y187:AA187,"NA")=3,0,IF(COUNTA(Y187:AA187)=0,0,IF(OR(AND(Y187=0,AQ187&gt;0),AND(Y187="ns",AR187&gt;0),AND(Y187="ns",AQ187=0,AR187=0)),1,IF(OR(AND(Y187&gt;0,AQ187=2),AND(Y187="ns",AQ187=2),AND(Y187="ns",AR187=0,AQ187&gt;0),Y187=AR187),0,1))))</f>
        <v>0</v>
      </c>
      <c r="AT187" s="283">
        <f>COUNTIF(AC187:AD187,"NS")</f>
        <v>0</v>
      </c>
      <c r="AU187" s="283">
        <f>SUM(AC187:AD187)</f>
        <v>0</v>
      </c>
      <c r="AV187" s="283">
        <f>IF(COUNTIF(AB187:AD187,"NA")=3,0,IF(COUNTA(AB187:AD187)=0,0,IF(OR(AND(AB187=0,AT187&gt;0),AND(AB187="ns",AU187&gt;0),AND(AB187="ns",AT187=0,AU187=0)),1,IF(OR(AND(AB187&gt;0,AT187=2),AND(AB187="ns",AT187=2),AND(AB187="ns",AU187=0,AT187&gt;0),AB187=AU187),0,1))))</f>
        <v>0</v>
      </c>
      <c r="AW187" s="283">
        <f>COUNTIF(N201:O201,"NS")</f>
        <v>0</v>
      </c>
      <c r="AX187" s="283">
        <f>SUM(N201:O201)</f>
        <v>0</v>
      </c>
      <c r="AY187" s="283">
        <f>IF(COUNTIF(M201:O201,"NA")=3,0,IF(COUNTA(M201:O201)=0,0,IF(OR(AND(M201=0,AW187&gt;0),AND(M201="ns",AX187&gt;0),AND(M201="ns",AW187=0,AX187=0)),1,IF(OR(AND(M201&gt;0,AW187=2),AND(M201="ns",AW187=2),AND(M201="ns",AX187=0,AW187&gt;0),M201=AX187),0,1))))</f>
        <v>0</v>
      </c>
      <c r="AZ187" s="283">
        <f>COUNTIF(Q201:R201,"NS")</f>
        <v>0</v>
      </c>
      <c r="BA187" s="283">
        <f>SUM(Q201:R201)</f>
        <v>0</v>
      </c>
      <c r="BB187" s="283">
        <f>IF(COUNTIF(P201:R201,"NA")=3,0,IF(COUNTA(P201:R201)=0,0,IF(OR(AND(P201=0,AZ187&gt;0),AND(P201="ns",BA187&gt;0),AND(P201="ns",AZ187=0,BA187=0)),1,IF(OR(AND(P201&gt;0,AZ187=2),AND(P201="ns",AZ187=2),AND(P201="ns",BA187=0,AZ187&gt;0),P201=BA187),0,1))))</f>
        <v>0</v>
      </c>
      <c r="BC187" s="283">
        <f>COUNTIF(T201:U201,"NS")</f>
        <v>0</v>
      </c>
      <c r="BD187" s="283">
        <f>SUM(T201:U201)</f>
        <v>0</v>
      </c>
      <c r="BE187" s="283">
        <f>IF(COUNTIF(S201:U201,"NA")=3,0,IF(COUNTA(S201:U201)=0,0,IF(OR(AND(S201=0,BC187&gt;0),AND(S201="ns",BD187&gt;0),AND(S201="ns",BC187=0,BD187=0)),1,IF(OR(AND(S201&gt;0,BC187=2),AND(S201="ns",BC187=2),AND(S201="ns",BD187=0,BC187&gt;0),S201=BD187),0,1))))</f>
        <v>0</v>
      </c>
      <c r="BF187" s="283">
        <f>COUNTIF(W201:X201,"NS")</f>
        <v>0</v>
      </c>
      <c r="BG187" s="283">
        <f>SUM(W201:X201)</f>
        <v>0</v>
      </c>
      <c r="BH187" s="283">
        <f>IF(COUNTIF(V201:X201,"NA")=3,0,IF(COUNTA(V201:X201)=0,0,IF(OR(AND(V201=0,BF187&gt;0),AND(V201="ns",BG187&gt;0),AND(V201="ns",BF187=0,BG187=0)),1,IF(OR(AND(V201&gt;0,BF187=2),AND(V201="ns",BF187=2),AND(V201="ns",BG187=0,BF187&gt;0),V201=BG187),0,1))))</f>
        <v>0</v>
      </c>
      <c r="BI187" s="283">
        <f>COUNTIF(Z201:AA201,"NS")</f>
        <v>0</v>
      </c>
      <c r="BJ187" s="283">
        <f>SUM(Z201:AA201)</f>
        <v>0</v>
      </c>
      <c r="BK187" s="283">
        <f>IF(COUNTIF(Y201:AA201,"NA")=3,0,IF(COUNTA(Y201:AA201)=0,0,IF(OR(AND(Y201=0,BI187&gt;0),AND(Y201="ns",BJ187&gt;0),AND(Y201="ns",BI187=0,BJ187=0)),1,IF(OR(AND(Y201&gt;0,BI187=2),AND(Y201="ns",BI187=2),AND(Y201="ns",BJ187=0,BI187&gt;0),Y201=BJ187),0,1))))</f>
        <v>0</v>
      </c>
      <c r="BL187" s="283">
        <f>COUNTIF(AC201:AD201,"NS")</f>
        <v>0</v>
      </c>
      <c r="BM187" s="283">
        <f>SUM(AC201:AD201)</f>
        <v>0</v>
      </c>
      <c r="BN187" s="283">
        <f>IF(COUNTIF(AB201:AD201,"NA")=3,0,IF(COUNTA(AB201:AD201)=0,0,IF(OR(AND(AB201=0,BL187&gt;0),AND(AB201="ns",BM187&gt;0),AND(AB201="ns",BL187=0,BM187=0)),1,IF(OR(AND(AB201&gt;0,BL187=2),AND(AB201="ns",BL187=2),AND(AB201="ns",BM187=0,BL187&gt;0),AB201=BM187),0,1))))</f>
        <v>0</v>
      </c>
    </row>
    <row r="188" spans="1:66" ht="15" customHeight="1">
      <c r="A188" s="103"/>
      <c r="B188" s="113"/>
      <c r="C188" s="97" t="s">
        <v>2517</v>
      </c>
      <c r="D188" s="813" t="str">
        <f>IF(CNSIPEE_2024_M2_Secc1!D43="","",CNSIPEE_2024_M2_Secc1!D43)</f>
        <v/>
      </c>
      <c r="E188" s="814"/>
      <c r="F188" s="814"/>
      <c r="G188" s="814"/>
      <c r="H188" s="814"/>
      <c r="I188" s="814"/>
      <c r="J188" s="814"/>
      <c r="K188" s="814"/>
      <c r="L188" s="814"/>
      <c r="M188" s="814"/>
      <c r="N188" s="814"/>
      <c r="O188" s="815"/>
      <c r="P188" s="100"/>
      <c r="Q188" s="100"/>
      <c r="R188" s="100"/>
      <c r="S188" s="100"/>
      <c r="T188" s="100"/>
      <c r="U188" s="100"/>
      <c r="V188" s="100"/>
      <c r="W188" s="100"/>
      <c r="X188" s="100"/>
      <c r="Y188" s="100"/>
      <c r="Z188" s="100"/>
      <c r="AA188" s="100"/>
      <c r="AB188" s="100"/>
      <c r="AC188" s="100"/>
      <c r="AD188" s="100"/>
      <c r="AG188" s="326">
        <f t="shared" ref="AG188:AG194" si="86">IF(AND(COUNTBLANK(D188)=0,COUNTA(P188:AD188,M202:AD202)=33),0,IF(AND(COUNTBLANK(D188)=1,COUNTA(P188:AD188,M202:AD202)=0),0,1))</f>
        <v>0</v>
      </c>
      <c r="AH188" s="283">
        <f t="shared" ref="AH188:AH194" si="87">COUNTIF(Q188:R188,"NS")</f>
        <v>0</v>
      </c>
      <c r="AI188" s="283">
        <f t="shared" ref="AI188:AI194" si="88">SUM(Q188:R188)</f>
        <v>0</v>
      </c>
      <c r="AJ188" s="283">
        <f t="shared" ref="AJ188:AJ194" si="89">IF(COUNTIF(P188:R188,"NA")=3,0,IF(COUNTA(P188:R188)=0,0,IF(OR(AND(P188=0,AH188&gt;0),AND(P188="ns",AI188&gt;0),AND(P188="ns",AH188=0,AI188=0)),1,IF(OR(AND(P188&gt;0,AH188=2),AND(P188="ns",AH188=2),AND(P188="ns",AI188=0,AH188&gt;0),P188=AI188),0,1))))</f>
        <v>0</v>
      </c>
      <c r="AK188" s="283">
        <f t="shared" ref="AK188:AK194" si="90">COUNTIF(T188:U188,"NS")</f>
        <v>0</v>
      </c>
      <c r="AL188" s="283">
        <f t="shared" ref="AL188:AL194" si="91">SUM(T188:U188)</f>
        <v>0</v>
      </c>
      <c r="AM188" s="283">
        <f t="shared" ref="AM188:AM194" si="92">IF(COUNTIF(S188:U188,"NA")=3,0,IF(COUNTA(S188:U188)=0,0,IF(OR(AND(S188=0,AK188&gt;0),AND(S188="ns",AL188&gt;0),AND(S188="ns",AK188=0,AL188=0)),1,IF(OR(AND(S188&gt;0,AK188=2),AND(S188="ns",AK188=2),AND(S188="ns",AL188=0,AK188&gt;0),S188=AL188),0,1))))</f>
        <v>0</v>
      </c>
      <c r="AN188" s="283">
        <f t="shared" ref="AN188:AN194" si="93">COUNTIF(W188:X188,"NS")</f>
        <v>0</v>
      </c>
      <c r="AO188" s="283">
        <f t="shared" ref="AO188:AO194" si="94">SUM(W188:X188)</f>
        <v>0</v>
      </c>
      <c r="AP188" s="283">
        <f t="shared" ref="AP188:AP194" si="95">IF(COUNTIF(V188:X188,"NA")=3,0,IF(COUNTA(V188:X188)=0,0,IF(OR(AND(V188=0,AN188&gt;0),AND(V188="ns",AO188&gt;0),AND(V188="ns",AN188=0,AO188=0)),1,IF(OR(AND(V188&gt;0,AN188=2),AND(V188="ns",AN188=2),AND(V188="ns",AO188=0,AN188&gt;0),V188=AO188),0,1))))</f>
        <v>0</v>
      </c>
      <c r="AQ188" s="283">
        <f t="shared" ref="AQ188:AQ194" si="96">COUNTIF(Z188:AA188,"NS")</f>
        <v>0</v>
      </c>
      <c r="AR188" s="283">
        <f t="shared" ref="AR188:AR194" si="97">SUM(Z188:AA188)</f>
        <v>0</v>
      </c>
      <c r="AS188" s="283">
        <f t="shared" ref="AS188:AS194" si="98">IF(COUNTIF(Y188:AA188,"NA")=3,0,IF(COUNTA(Y188:AA188)=0,0,IF(OR(AND(Y188=0,AQ188&gt;0),AND(Y188="ns",AR188&gt;0),AND(Y188="ns",AQ188=0,AR188=0)),1,IF(OR(AND(Y188&gt;0,AQ188=2),AND(Y188="ns",AQ188=2),AND(Y188="ns",AR188=0,AQ188&gt;0),Y188=AR188),0,1))))</f>
        <v>0</v>
      </c>
      <c r="AT188" s="283">
        <f t="shared" ref="AT188:AT194" si="99">COUNTIF(AC188:AD188,"NS")</f>
        <v>0</v>
      </c>
      <c r="AU188" s="283">
        <f t="shared" ref="AU188:AU194" si="100">SUM(AC188:AD188)</f>
        <v>0</v>
      </c>
      <c r="AV188" s="283">
        <f t="shared" ref="AV188:AV194" si="101">IF(COUNTIF(AB188:AD188,"NA")=3,0,IF(COUNTA(AB188:AD188)=0,0,IF(OR(AND(AB188=0,AT188&gt;0),AND(AB188="ns",AU188&gt;0),AND(AB188="ns",AT188=0,AU188=0)),1,IF(OR(AND(AB188&gt;0,AT188=2),AND(AB188="ns",AT188=2),AND(AB188="ns",AU188=0,AT188&gt;0),AB188=AU188),0,1))))</f>
        <v>0</v>
      </c>
      <c r="AW188" s="283">
        <f t="shared" ref="AW188:AW194" si="102">COUNTIF(N202:O202,"NS")</f>
        <v>0</v>
      </c>
      <c r="AX188" s="283">
        <f t="shared" ref="AX188:AX194" si="103">SUM(N202:O202)</f>
        <v>0</v>
      </c>
      <c r="AY188" s="283">
        <f t="shared" ref="AY188:AY194" si="104">IF(COUNTIF(M202:O202,"NA")=3,0,IF(COUNTA(M202:O202)=0,0,IF(OR(AND(M202=0,AW188&gt;0),AND(M202="ns",AX188&gt;0),AND(M202="ns",AW188=0,AX188=0)),1,IF(OR(AND(M202&gt;0,AW188=2),AND(M202="ns",AW188=2),AND(M202="ns",AX188=0,AW188&gt;0),M202=AX188),0,1))))</f>
        <v>0</v>
      </c>
      <c r="AZ188" s="283">
        <f t="shared" ref="AZ188:AZ194" si="105">COUNTIF(Q202:R202,"NS")</f>
        <v>0</v>
      </c>
      <c r="BA188" s="283">
        <f t="shared" ref="BA188:BA194" si="106">SUM(Q202:R202)</f>
        <v>0</v>
      </c>
      <c r="BB188" s="283">
        <f t="shared" ref="BB188:BB194" si="107">IF(COUNTIF(P202:R202,"NA")=3,0,IF(COUNTA(P202:R202)=0,0,IF(OR(AND(P202=0,AZ188&gt;0),AND(P202="ns",BA188&gt;0),AND(P202="ns",AZ188=0,BA188=0)),1,IF(OR(AND(P202&gt;0,AZ188=2),AND(P202="ns",AZ188=2),AND(P202="ns",BA188=0,AZ188&gt;0),P202=BA188),0,1))))</f>
        <v>0</v>
      </c>
      <c r="BC188" s="283">
        <f t="shared" ref="BC188:BC194" si="108">COUNTIF(T202:U202,"NS")</f>
        <v>0</v>
      </c>
      <c r="BD188" s="283">
        <f t="shared" ref="BD188:BD194" si="109">SUM(T202:U202)</f>
        <v>0</v>
      </c>
      <c r="BE188" s="283">
        <f t="shared" ref="BE188:BE194" si="110">IF(COUNTIF(S202:U202,"NA")=3,0,IF(COUNTA(S202:U202)=0,0,IF(OR(AND(S202=0,BC188&gt;0),AND(S202="ns",BD188&gt;0),AND(S202="ns",BC188=0,BD188=0)),1,IF(OR(AND(S202&gt;0,BC188=2),AND(S202="ns",BC188=2),AND(S202="ns",BD188=0,BC188&gt;0),S202=BD188),0,1))))</f>
        <v>0</v>
      </c>
      <c r="BF188" s="283">
        <f t="shared" ref="BF188:BF194" si="111">COUNTIF(W202:X202,"NS")</f>
        <v>0</v>
      </c>
      <c r="BG188" s="283">
        <f t="shared" ref="BG188:BG194" si="112">SUM(W202:X202)</f>
        <v>0</v>
      </c>
      <c r="BH188" s="283">
        <f t="shared" ref="BH188:BH194" si="113">IF(COUNTIF(V202:X202,"NA")=3,0,IF(COUNTA(V202:X202)=0,0,IF(OR(AND(V202=0,BF188&gt;0),AND(V202="ns",BG188&gt;0),AND(V202="ns",BF188=0,BG188=0)),1,IF(OR(AND(V202&gt;0,BF188=2),AND(V202="ns",BF188=2),AND(V202="ns",BG188=0,BF188&gt;0),V202=BG188),0,1))))</f>
        <v>0</v>
      </c>
      <c r="BI188" s="283">
        <f t="shared" ref="BI188:BI194" si="114">COUNTIF(Z202:AA202,"NS")</f>
        <v>0</v>
      </c>
      <c r="BJ188" s="283">
        <f t="shared" ref="BJ188:BJ194" si="115">SUM(Z202:AA202)</f>
        <v>0</v>
      </c>
      <c r="BK188" s="283">
        <f t="shared" ref="BK188:BK194" si="116">IF(COUNTIF(Y202:AA202,"NA")=3,0,IF(COUNTA(Y202:AA202)=0,0,IF(OR(AND(Y202=0,BI188&gt;0),AND(Y202="ns",BJ188&gt;0),AND(Y202="ns",BI188=0,BJ188=0)),1,IF(OR(AND(Y202&gt;0,BI188=2),AND(Y202="ns",BI188=2),AND(Y202="ns",BJ188=0,BI188&gt;0),Y202=BJ188),0,1))))</f>
        <v>0</v>
      </c>
      <c r="BL188" s="283">
        <f t="shared" ref="BL188:BL194" si="117">COUNTIF(AC202:AD202,"NS")</f>
        <v>0</v>
      </c>
      <c r="BM188" s="283">
        <f t="shared" ref="BM188:BM194" si="118">SUM(AC202:AD202)</f>
        <v>0</v>
      </c>
      <c r="BN188" s="283">
        <f t="shared" ref="BN188:BN194" si="119">IF(COUNTIF(AB202:AD202,"NA")=3,0,IF(COUNTA(AB202:AD202)=0,0,IF(OR(AND(AB202=0,BL188&gt;0),AND(AB202="ns",BM188&gt;0),AND(AB202="ns",BL188=0,BM188=0)),1,IF(OR(AND(AB202&gt;0,BL188=2),AND(AB202="ns",BL188=2),AND(AB202="ns",BM188=0,BL188&gt;0),AB202=BM188),0,1))))</f>
        <v>0</v>
      </c>
    </row>
    <row r="189" spans="1:66" ht="15" customHeight="1">
      <c r="A189" s="103"/>
      <c r="B189" s="113"/>
      <c r="C189" s="98" t="s">
        <v>2518</v>
      </c>
      <c r="D189" s="813" t="str">
        <f>IF(CNSIPEE_2024_M2_Secc1!D44="","",CNSIPEE_2024_M2_Secc1!D44)</f>
        <v/>
      </c>
      <c r="E189" s="814"/>
      <c r="F189" s="814"/>
      <c r="G189" s="814"/>
      <c r="H189" s="814"/>
      <c r="I189" s="814"/>
      <c r="J189" s="814"/>
      <c r="K189" s="814"/>
      <c r="L189" s="814"/>
      <c r="M189" s="814"/>
      <c r="N189" s="814"/>
      <c r="O189" s="815"/>
      <c r="P189" s="100"/>
      <c r="Q189" s="100"/>
      <c r="R189" s="100"/>
      <c r="S189" s="100"/>
      <c r="T189" s="100"/>
      <c r="U189" s="100"/>
      <c r="V189" s="100"/>
      <c r="W189" s="100"/>
      <c r="X189" s="100"/>
      <c r="Y189" s="100"/>
      <c r="Z189" s="100"/>
      <c r="AA189" s="100"/>
      <c r="AB189" s="100"/>
      <c r="AC189" s="100"/>
      <c r="AD189" s="100"/>
      <c r="AG189" s="326">
        <f t="shared" si="86"/>
        <v>0</v>
      </c>
      <c r="AH189" s="283">
        <f t="shared" si="87"/>
        <v>0</v>
      </c>
      <c r="AI189" s="283">
        <f t="shared" si="88"/>
        <v>0</v>
      </c>
      <c r="AJ189" s="283">
        <f t="shared" si="89"/>
        <v>0</v>
      </c>
      <c r="AK189" s="283">
        <f t="shared" si="90"/>
        <v>0</v>
      </c>
      <c r="AL189" s="283">
        <f t="shared" si="91"/>
        <v>0</v>
      </c>
      <c r="AM189" s="283">
        <f t="shared" si="92"/>
        <v>0</v>
      </c>
      <c r="AN189" s="283">
        <f t="shared" si="93"/>
        <v>0</v>
      </c>
      <c r="AO189" s="283">
        <f t="shared" si="94"/>
        <v>0</v>
      </c>
      <c r="AP189" s="283">
        <f t="shared" si="95"/>
        <v>0</v>
      </c>
      <c r="AQ189" s="283">
        <f t="shared" si="96"/>
        <v>0</v>
      </c>
      <c r="AR189" s="283">
        <f t="shared" si="97"/>
        <v>0</v>
      </c>
      <c r="AS189" s="283">
        <f t="shared" si="98"/>
        <v>0</v>
      </c>
      <c r="AT189" s="283">
        <f t="shared" si="99"/>
        <v>0</v>
      </c>
      <c r="AU189" s="283">
        <f t="shared" si="100"/>
        <v>0</v>
      </c>
      <c r="AV189" s="283">
        <f t="shared" si="101"/>
        <v>0</v>
      </c>
      <c r="AW189" s="283">
        <f t="shared" si="102"/>
        <v>0</v>
      </c>
      <c r="AX189" s="283">
        <f t="shared" si="103"/>
        <v>0</v>
      </c>
      <c r="AY189" s="283">
        <f t="shared" si="104"/>
        <v>0</v>
      </c>
      <c r="AZ189" s="283">
        <f t="shared" si="105"/>
        <v>0</v>
      </c>
      <c r="BA189" s="283">
        <f t="shared" si="106"/>
        <v>0</v>
      </c>
      <c r="BB189" s="283">
        <f t="shared" si="107"/>
        <v>0</v>
      </c>
      <c r="BC189" s="283">
        <f t="shared" si="108"/>
        <v>0</v>
      </c>
      <c r="BD189" s="283">
        <f t="shared" si="109"/>
        <v>0</v>
      </c>
      <c r="BE189" s="283">
        <f t="shared" si="110"/>
        <v>0</v>
      </c>
      <c r="BF189" s="283">
        <f t="shared" si="111"/>
        <v>0</v>
      </c>
      <c r="BG189" s="283">
        <f t="shared" si="112"/>
        <v>0</v>
      </c>
      <c r="BH189" s="283">
        <f t="shared" si="113"/>
        <v>0</v>
      </c>
      <c r="BI189" s="283">
        <f t="shared" si="114"/>
        <v>0</v>
      </c>
      <c r="BJ189" s="283">
        <f t="shared" si="115"/>
        <v>0</v>
      </c>
      <c r="BK189" s="283">
        <f t="shared" si="116"/>
        <v>0</v>
      </c>
      <c r="BL189" s="283">
        <f t="shared" si="117"/>
        <v>0</v>
      </c>
      <c r="BM189" s="283">
        <f t="shared" si="118"/>
        <v>0</v>
      </c>
      <c r="BN189" s="283">
        <f t="shared" si="119"/>
        <v>0</v>
      </c>
    </row>
    <row r="190" spans="1:66" ht="15" customHeight="1">
      <c r="A190" s="103"/>
      <c r="B190" s="113"/>
      <c r="C190" s="98" t="s">
        <v>2519</v>
      </c>
      <c r="D190" s="813" t="str">
        <f>IF(CNSIPEE_2024_M2_Secc1!D45="","",CNSIPEE_2024_M2_Secc1!D45)</f>
        <v/>
      </c>
      <c r="E190" s="814"/>
      <c r="F190" s="814"/>
      <c r="G190" s="814"/>
      <c r="H190" s="814"/>
      <c r="I190" s="814"/>
      <c r="J190" s="814"/>
      <c r="K190" s="814"/>
      <c r="L190" s="814"/>
      <c r="M190" s="814"/>
      <c r="N190" s="814"/>
      <c r="O190" s="815"/>
      <c r="P190" s="100"/>
      <c r="Q190" s="100"/>
      <c r="R190" s="100"/>
      <c r="S190" s="100"/>
      <c r="T190" s="100"/>
      <c r="U190" s="100"/>
      <c r="V190" s="100"/>
      <c r="W190" s="100"/>
      <c r="X190" s="100"/>
      <c r="Y190" s="100"/>
      <c r="Z190" s="100"/>
      <c r="AA190" s="100"/>
      <c r="AB190" s="100"/>
      <c r="AC190" s="100"/>
      <c r="AD190" s="100"/>
      <c r="AG190" s="326">
        <f t="shared" si="86"/>
        <v>0</v>
      </c>
      <c r="AH190" s="283">
        <f t="shared" si="87"/>
        <v>0</v>
      </c>
      <c r="AI190" s="283">
        <f t="shared" si="88"/>
        <v>0</v>
      </c>
      <c r="AJ190" s="283">
        <f t="shared" si="89"/>
        <v>0</v>
      </c>
      <c r="AK190" s="283">
        <f t="shared" si="90"/>
        <v>0</v>
      </c>
      <c r="AL190" s="283">
        <f t="shared" si="91"/>
        <v>0</v>
      </c>
      <c r="AM190" s="283">
        <f t="shared" si="92"/>
        <v>0</v>
      </c>
      <c r="AN190" s="283">
        <f t="shared" si="93"/>
        <v>0</v>
      </c>
      <c r="AO190" s="283">
        <f t="shared" si="94"/>
        <v>0</v>
      </c>
      <c r="AP190" s="283">
        <f t="shared" si="95"/>
        <v>0</v>
      </c>
      <c r="AQ190" s="283">
        <f t="shared" si="96"/>
        <v>0</v>
      </c>
      <c r="AR190" s="283">
        <f t="shared" si="97"/>
        <v>0</v>
      </c>
      <c r="AS190" s="283">
        <f t="shared" si="98"/>
        <v>0</v>
      </c>
      <c r="AT190" s="283">
        <f t="shared" si="99"/>
        <v>0</v>
      </c>
      <c r="AU190" s="283">
        <f t="shared" si="100"/>
        <v>0</v>
      </c>
      <c r="AV190" s="283">
        <f t="shared" si="101"/>
        <v>0</v>
      </c>
      <c r="AW190" s="283">
        <f t="shared" si="102"/>
        <v>0</v>
      </c>
      <c r="AX190" s="283">
        <f t="shared" si="103"/>
        <v>0</v>
      </c>
      <c r="AY190" s="283">
        <f t="shared" si="104"/>
        <v>0</v>
      </c>
      <c r="AZ190" s="283">
        <f t="shared" si="105"/>
        <v>0</v>
      </c>
      <c r="BA190" s="283">
        <f t="shared" si="106"/>
        <v>0</v>
      </c>
      <c r="BB190" s="283">
        <f t="shared" si="107"/>
        <v>0</v>
      </c>
      <c r="BC190" s="283">
        <f t="shared" si="108"/>
        <v>0</v>
      </c>
      <c r="BD190" s="283">
        <f t="shared" si="109"/>
        <v>0</v>
      </c>
      <c r="BE190" s="283">
        <f t="shared" si="110"/>
        <v>0</v>
      </c>
      <c r="BF190" s="283">
        <f t="shared" si="111"/>
        <v>0</v>
      </c>
      <c r="BG190" s="283">
        <f t="shared" si="112"/>
        <v>0</v>
      </c>
      <c r="BH190" s="283">
        <f t="shared" si="113"/>
        <v>0</v>
      </c>
      <c r="BI190" s="283">
        <f t="shared" si="114"/>
        <v>0</v>
      </c>
      <c r="BJ190" s="283">
        <f t="shared" si="115"/>
        <v>0</v>
      </c>
      <c r="BK190" s="283">
        <f t="shared" si="116"/>
        <v>0</v>
      </c>
      <c r="BL190" s="283">
        <f t="shared" si="117"/>
        <v>0</v>
      </c>
      <c r="BM190" s="283">
        <f t="shared" si="118"/>
        <v>0</v>
      </c>
      <c r="BN190" s="283">
        <f t="shared" si="119"/>
        <v>0</v>
      </c>
    </row>
    <row r="191" spans="1:66" ht="15" customHeight="1">
      <c r="A191" s="103"/>
      <c r="B191" s="113"/>
      <c r="C191" s="98" t="s">
        <v>2520</v>
      </c>
      <c r="D191" s="813" t="str">
        <f>IF(CNSIPEE_2024_M2_Secc1!D46="","",CNSIPEE_2024_M2_Secc1!D46)</f>
        <v/>
      </c>
      <c r="E191" s="814"/>
      <c r="F191" s="814"/>
      <c r="G191" s="814"/>
      <c r="H191" s="814"/>
      <c r="I191" s="814"/>
      <c r="J191" s="814"/>
      <c r="K191" s="814"/>
      <c r="L191" s="814"/>
      <c r="M191" s="814"/>
      <c r="N191" s="814"/>
      <c r="O191" s="815"/>
      <c r="P191" s="100"/>
      <c r="Q191" s="100"/>
      <c r="R191" s="100"/>
      <c r="S191" s="100"/>
      <c r="T191" s="100"/>
      <c r="U191" s="100"/>
      <c r="V191" s="100"/>
      <c r="W191" s="100"/>
      <c r="X191" s="100"/>
      <c r="Y191" s="100"/>
      <c r="Z191" s="100"/>
      <c r="AA191" s="100"/>
      <c r="AB191" s="100"/>
      <c r="AC191" s="100"/>
      <c r="AD191" s="100"/>
      <c r="AG191" s="326">
        <f t="shared" si="86"/>
        <v>0</v>
      </c>
      <c r="AH191" s="283">
        <f t="shared" si="87"/>
        <v>0</v>
      </c>
      <c r="AI191" s="283">
        <f t="shared" si="88"/>
        <v>0</v>
      </c>
      <c r="AJ191" s="283">
        <f t="shared" si="89"/>
        <v>0</v>
      </c>
      <c r="AK191" s="283">
        <f t="shared" si="90"/>
        <v>0</v>
      </c>
      <c r="AL191" s="283">
        <f t="shared" si="91"/>
        <v>0</v>
      </c>
      <c r="AM191" s="283">
        <f t="shared" si="92"/>
        <v>0</v>
      </c>
      <c r="AN191" s="283">
        <f t="shared" si="93"/>
        <v>0</v>
      </c>
      <c r="AO191" s="283">
        <f t="shared" si="94"/>
        <v>0</v>
      </c>
      <c r="AP191" s="283">
        <f t="shared" si="95"/>
        <v>0</v>
      </c>
      <c r="AQ191" s="283">
        <f t="shared" si="96"/>
        <v>0</v>
      </c>
      <c r="AR191" s="283">
        <f t="shared" si="97"/>
        <v>0</v>
      </c>
      <c r="AS191" s="283">
        <f t="shared" si="98"/>
        <v>0</v>
      </c>
      <c r="AT191" s="283">
        <f t="shared" si="99"/>
        <v>0</v>
      </c>
      <c r="AU191" s="283">
        <f t="shared" si="100"/>
        <v>0</v>
      </c>
      <c r="AV191" s="283">
        <f t="shared" si="101"/>
        <v>0</v>
      </c>
      <c r="AW191" s="283">
        <f t="shared" si="102"/>
        <v>0</v>
      </c>
      <c r="AX191" s="283">
        <f t="shared" si="103"/>
        <v>0</v>
      </c>
      <c r="AY191" s="283">
        <f t="shared" si="104"/>
        <v>0</v>
      </c>
      <c r="AZ191" s="283">
        <f t="shared" si="105"/>
        <v>0</v>
      </c>
      <c r="BA191" s="283">
        <f t="shared" si="106"/>
        <v>0</v>
      </c>
      <c r="BB191" s="283">
        <f t="shared" si="107"/>
        <v>0</v>
      </c>
      <c r="BC191" s="283">
        <f t="shared" si="108"/>
        <v>0</v>
      </c>
      <c r="BD191" s="283">
        <f t="shared" si="109"/>
        <v>0</v>
      </c>
      <c r="BE191" s="283">
        <f t="shared" si="110"/>
        <v>0</v>
      </c>
      <c r="BF191" s="283">
        <f t="shared" si="111"/>
        <v>0</v>
      </c>
      <c r="BG191" s="283">
        <f t="shared" si="112"/>
        <v>0</v>
      </c>
      <c r="BH191" s="283">
        <f t="shared" si="113"/>
        <v>0</v>
      </c>
      <c r="BI191" s="283">
        <f t="shared" si="114"/>
        <v>0</v>
      </c>
      <c r="BJ191" s="283">
        <f t="shared" si="115"/>
        <v>0</v>
      </c>
      <c r="BK191" s="283">
        <f t="shared" si="116"/>
        <v>0</v>
      </c>
      <c r="BL191" s="283">
        <f t="shared" si="117"/>
        <v>0</v>
      </c>
      <c r="BM191" s="283">
        <f t="shared" si="118"/>
        <v>0</v>
      </c>
      <c r="BN191" s="283">
        <f t="shared" si="119"/>
        <v>0</v>
      </c>
    </row>
    <row r="192" spans="1:66" ht="15" customHeight="1">
      <c r="A192" s="103"/>
      <c r="B192" s="113"/>
      <c r="C192" s="98" t="s">
        <v>2521</v>
      </c>
      <c r="D192" s="813" t="str">
        <f>IF(CNSIPEE_2024_M2_Secc1!D47="","",CNSIPEE_2024_M2_Secc1!D47)</f>
        <v/>
      </c>
      <c r="E192" s="814"/>
      <c r="F192" s="814"/>
      <c r="G192" s="814"/>
      <c r="H192" s="814"/>
      <c r="I192" s="814"/>
      <c r="J192" s="814"/>
      <c r="K192" s="814"/>
      <c r="L192" s="814"/>
      <c r="M192" s="814"/>
      <c r="N192" s="814"/>
      <c r="O192" s="815"/>
      <c r="P192" s="100"/>
      <c r="Q192" s="100"/>
      <c r="R192" s="100"/>
      <c r="S192" s="100"/>
      <c r="T192" s="100"/>
      <c r="U192" s="100"/>
      <c r="V192" s="100"/>
      <c r="W192" s="100"/>
      <c r="X192" s="100"/>
      <c r="Y192" s="100"/>
      <c r="Z192" s="100"/>
      <c r="AA192" s="100"/>
      <c r="AB192" s="100"/>
      <c r="AC192" s="100"/>
      <c r="AD192" s="100"/>
      <c r="AG192" s="326">
        <f t="shared" si="86"/>
        <v>0</v>
      </c>
      <c r="AH192" s="283">
        <f t="shared" si="87"/>
        <v>0</v>
      </c>
      <c r="AI192" s="283">
        <f t="shared" si="88"/>
        <v>0</v>
      </c>
      <c r="AJ192" s="283">
        <f t="shared" si="89"/>
        <v>0</v>
      </c>
      <c r="AK192" s="283">
        <f t="shared" si="90"/>
        <v>0</v>
      </c>
      <c r="AL192" s="283">
        <f t="shared" si="91"/>
        <v>0</v>
      </c>
      <c r="AM192" s="283">
        <f t="shared" si="92"/>
        <v>0</v>
      </c>
      <c r="AN192" s="283">
        <f t="shared" si="93"/>
        <v>0</v>
      </c>
      <c r="AO192" s="283">
        <f t="shared" si="94"/>
        <v>0</v>
      </c>
      <c r="AP192" s="283">
        <f t="shared" si="95"/>
        <v>0</v>
      </c>
      <c r="AQ192" s="283">
        <f t="shared" si="96"/>
        <v>0</v>
      </c>
      <c r="AR192" s="283">
        <f t="shared" si="97"/>
        <v>0</v>
      </c>
      <c r="AS192" s="283">
        <f t="shared" si="98"/>
        <v>0</v>
      </c>
      <c r="AT192" s="283">
        <f t="shared" si="99"/>
        <v>0</v>
      </c>
      <c r="AU192" s="283">
        <f t="shared" si="100"/>
        <v>0</v>
      </c>
      <c r="AV192" s="283">
        <f t="shared" si="101"/>
        <v>0</v>
      </c>
      <c r="AW192" s="283">
        <f t="shared" si="102"/>
        <v>0</v>
      </c>
      <c r="AX192" s="283">
        <f t="shared" si="103"/>
        <v>0</v>
      </c>
      <c r="AY192" s="283">
        <f t="shared" si="104"/>
        <v>0</v>
      </c>
      <c r="AZ192" s="283">
        <f t="shared" si="105"/>
        <v>0</v>
      </c>
      <c r="BA192" s="283">
        <f t="shared" si="106"/>
        <v>0</v>
      </c>
      <c r="BB192" s="283">
        <f t="shared" si="107"/>
        <v>0</v>
      </c>
      <c r="BC192" s="283">
        <f t="shared" si="108"/>
        <v>0</v>
      </c>
      <c r="BD192" s="283">
        <f t="shared" si="109"/>
        <v>0</v>
      </c>
      <c r="BE192" s="283">
        <f t="shared" si="110"/>
        <v>0</v>
      </c>
      <c r="BF192" s="283">
        <f t="shared" si="111"/>
        <v>0</v>
      </c>
      <c r="BG192" s="283">
        <f t="shared" si="112"/>
        <v>0</v>
      </c>
      <c r="BH192" s="283">
        <f t="shared" si="113"/>
        <v>0</v>
      </c>
      <c r="BI192" s="283">
        <f t="shared" si="114"/>
        <v>0</v>
      </c>
      <c r="BJ192" s="283">
        <f t="shared" si="115"/>
        <v>0</v>
      </c>
      <c r="BK192" s="283">
        <f t="shared" si="116"/>
        <v>0</v>
      </c>
      <c r="BL192" s="283">
        <f t="shared" si="117"/>
        <v>0</v>
      </c>
      <c r="BM192" s="283">
        <f t="shared" si="118"/>
        <v>0</v>
      </c>
      <c r="BN192" s="283">
        <f t="shared" si="119"/>
        <v>0</v>
      </c>
    </row>
    <row r="193" spans="1:66" ht="15" customHeight="1">
      <c r="A193" s="103"/>
      <c r="B193" s="113"/>
      <c r="C193" s="98" t="s">
        <v>2522</v>
      </c>
      <c r="D193" s="813" t="str">
        <f>IF(CNSIPEE_2024_M2_Secc1!D48="","",CNSIPEE_2024_M2_Secc1!D48)</f>
        <v/>
      </c>
      <c r="E193" s="814"/>
      <c r="F193" s="814"/>
      <c r="G193" s="814"/>
      <c r="H193" s="814"/>
      <c r="I193" s="814"/>
      <c r="J193" s="814"/>
      <c r="K193" s="814"/>
      <c r="L193" s="814"/>
      <c r="M193" s="814"/>
      <c r="N193" s="814"/>
      <c r="O193" s="815"/>
      <c r="P193" s="100"/>
      <c r="Q193" s="100"/>
      <c r="R193" s="100"/>
      <c r="S193" s="100"/>
      <c r="T193" s="100"/>
      <c r="U193" s="100"/>
      <c r="V193" s="100"/>
      <c r="W193" s="100"/>
      <c r="X193" s="100"/>
      <c r="Y193" s="100"/>
      <c r="Z193" s="100"/>
      <c r="AA193" s="100"/>
      <c r="AB193" s="100"/>
      <c r="AC193" s="100"/>
      <c r="AD193" s="100"/>
      <c r="AG193" s="326">
        <f t="shared" si="86"/>
        <v>0</v>
      </c>
      <c r="AH193" s="283">
        <f t="shared" si="87"/>
        <v>0</v>
      </c>
      <c r="AI193" s="283">
        <f t="shared" si="88"/>
        <v>0</v>
      </c>
      <c r="AJ193" s="283">
        <f t="shared" si="89"/>
        <v>0</v>
      </c>
      <c r="AK193" s="283">
        <f t="shared" si="90"/>
        <v>0</v>
      </c>
      <c r="AL193" s="283">
        <f t="shared" si="91"/>
        <v>0</v>
      </c>
      <c r="AM193" s="283">
        <f t="shared" si="92"/>
        <v>0</v>
      </c>
      <c r="AN193" s="283">
        <f t="shared" si="93"/>
        <v>0</v>
      </c>
      <c r="AO193" s="283">
        <f t="shared" si="94"/>
        <v>0</v>
      </c>
      <c r="AP193" s="283">
        <f t="shared" si="95"/>
        <v>0</v>
      </c>
      <c r="AQ193" s="283">
        <f t="shared" si="96"/>
        <v>0</v>
      </c>
      <c r="AR193" s="283">
        <f t="shared" si="97"/>
        <v>0</v>
      </c>
      <c r="AS193" s="283">
        <f t="shared" si="98"/>
        <v>0</v>
      </c>
      <c r="AT193" s="283">
        <f t="shared" si="99"/>
        <v>0</v>
      </c>
      <c r="AU193" s="283">
        <f t="shared" si="100"/>
        <v>0</v>
      </c>
      <c r="AV193" s="283">
        <f t="shared" si="101"/>
        <v>0</v>
      </c>
      <c r="AW193" s="283">
        <f t="shared" si="102"/>
        <v>0</v>
      </c>
      <c r="AX193" s="283">
        <f t="shared" si="103"/>
        <v>0</v>
      </c>
      <c r="AY193" s="283">
        <f t="shared" si="104"/>
        <v>0</v>
      </c>
      <c r="AZ193" s="283">
        <f t="shared" si="105"/>
        <v>0</v>
      </c>
      <c r="BA193" s="283">
        <f t="shared" si="106"/>
        <v>0</v>
      </c>
      <c r="BB193" s="283">
        <f t="shared" si="107"/>
        <v>0</v>
      </c>
      <c r="BC193" s="283">
        <f t="shared" si="108"/>
        <v>0</v>
      </c>
      <c r="BD193" s="283">
        <f t="shared" si="109"/>
        <v>0</v>
      </c>
      <c r="BE193" s="283">
        <f t="shared" si="110"/>
        <v>0</v>
      </c>
      <c r="BF193" s="283">
        <f t="shared" si="111"/>
        <v>0</v>
      </c>
      <c r="BG193" s="283">
        <f t="shared" si="112"/>
        <v>0</v>
      </c>
      <c r="BH193" s="283">
        <f t="shared" si="113"/>
        <v>0</v>
      </c>
      <c r="BI193" s="283">
        <f t="shared" si="114"/>
        <v>0</v>
      </c>
      <c r="BJ193" s="283">
        <f t="shared" si="115"/>
        <v>0</v>
      </c>
      <c r="BK193" s="283">
        <f t="shared" si="116"/>
        <v>0</v>
      </c>
      <c r="BL193" s="283">
        <f t="shared" si="117"/>
        <v>0</v>
      </c>
      <c r="BM193" s="283">
        <f t="shared" si="118"/>
        <v>0</v>
      </c>
      <c r="BN193" s="283">
        <f t="shared" si="119"/>
        <v>0</v>
      </c>
    </row>
    <row r="194" spans="1:66" ht="15" customHeight="1">
      <c r="A194" s="103"/>
      <c r="B194" s="113"/>
      <c r="C194" s="98" t="s">
        <v>2523</v>
      </c>
      <c r="D194" s="813" t="str">
        <f>IF(CNSIPEE_2024_M2_Secc1!D49="","",CNSIPEE_2024_M2_Secc1!D49)</f>
        <v/>
      </c>
      <c r="E194" s="814"/>
      <c r="F194" s="814"/>
      <c r="G194" s="814"/>
      <c r="H194" s="814"/>
      <c r="I194" s="814"/>
      <c r="J194" s="814"/>
      <c r="K194" s="814"/>
      <c r="L194" s="814"/>
      <c r="M194" s="814"/>
      <c r="N194" s="814"/>
      <c r="O194" s="815"/>
      <c r="P194" s="100"/>
      <c r="Q194" s="100"/>
      <c r="R194" s="100"/>
      <c r="S194" s="100"/>
      <c r="T194" s="100"/>
      <c r="U194" s="100"/>
      <c r="V194" s="100"/>
      <c r="W194" s="100"/>
      <c r="X194" s="100"/>
      <c r="Y194" s="100"/>
      <c r="Z194" s="100"/>
      <c r="AA194" s="100"/>
      <c r="AB194" s="100"/>
      <c r="AC194" s="100"/>
      <c r="AD194" s="100"/>
      <c r="AG194" s="326">
        <f t="shared" si="86"/>
        <v>0</v>
      </c>
      <c r="AH194" s="283">
        <f t="shared" si="87"/>
        <v>0</v>
      </c>
      <c r="AI194" s="283">
        <f t="shared" si="88"/>
        <v>0</v>
      </c>
      <c r="AJ194" s="283">
        <f t="shared" si="89"/>
        <v>0</v>
      </c>
      <c r="AK194" s="283">
        <f t="shared" si="90"/>
        <v>0</v>
      </c>
      <c r="AL194" s="283">
        <f t="shared" si="91"/>
        <v>0</v>
      </c>
      <c r="AM194" s="283">
        <f t="shared" si="92"/>
        <v>0</v>
      </c>
      <c r="AN194" s="283">
        <f t="shared" si="93"/>
        <v>0</v>
      </c>
      <c r="AO194" s="283">
        <f t="shared" si="94"/>
        <v>0</v>
      </c>
      <c r="AP194" s="283">
        <f t="shared" si="95"/>
        <v>0</v>
      </c>
      <c r="AQ194" s="283">
        <f t="shared" si="96"/>
        <v>0</v>
      </c>
      <c r="AR194" s="283">
        <f t="shared" si="97"/>
        <v>0</v>
      </c>
      <c r="AS194" s="283">
        <f t="shared" si="98"/>
        <v>0</v>
      </c>
      <c r="AT194" s="283">
        <f t="shared" si="99"/>
        <v>0</v>
      </c>
      <c r="AU194" s="283">
        <f t="shared" si="100"/>
        <v>0</v>
      </c>
      <c r="AV194" s="283">
        <f t="shared" si="101"/>
        <v>0</v>
      </c>
      <c r="AW194" s="283">
        <f t="shared" si="102"/>
        <v>0</v>
      </c>
      <c r="AX194" s="283">
        <f t="shared" si="103"/>
        <v>0</v>
      </c>
      <c r="AY194" s="283">
        <f t="shared" si="104"/>
        <v>0</v>
      </c>
      <c r="AZ194" s="283">
        <f t="shared" si="105"/>
        <v>0</v>
      </c>
      <c r="BA194" s="283">
        <f t="shared" si="106"/>
        <v>0</v>
      </c>
      <c r="BB194" s="283">
        <f t="shared" si="107"/>
        <v>0</v>
      </c>
      <c r="BC194" s="283">
        <f t="shared" si="108"/>
        <v>0</v>
      </c>
      <c r="BD194" s="283">
        <f t="shared" si="109"/>
        <v>0</v>
      </c>
      <c r="BE194" s="283">
        <f t="shared" si="110"/>
        <v>0</v>
      </c>
      <c r="BF194" s="283">
        <f t="shared" si="111"/>
        <v>0</v>
      </c>
      <c r="BG194" s="283">
        <f t="shared" si="112"/>
        <v>0</v>
      </c>
      <c r="BH194" s="283">
        <f t="shared" si="113"/>
        <v>0</v>
      </c>
      <c r="BI194" s="283">
        <f t="shared" si="114"/>
        <v>0</v>
      </c>
      <c r="BJ194" s="283">
        <f t="shared" si="115"/>
        <v>0</v>
      </c>
      <c r="BK194" s="283">
        <f t="shared" si="116"/>
        <v>0</v>
      </c>
      <c r="BL194" s="283">
        <f t="shared" si="117"/>
        <v>0</v>
      </c>
      <c r="BM194" s="283">
        <f t="shared" si="118"/>
        <v>0</v>
      </c>
      <c r="BN194" s="283">
        <f t="shared" si="119"/>
        <v>0</v>
      </c>
    </row>
    <row r="195" spans="1:66" ht="15" customHeight="1">
      <c r="A195" s="49"/>
      <c r="B195" s="123"/>
      <c r="C195" s="123"/>
      <c r="D195" s="123"/>
      <c r="E195" s="123"/>
      <c r="G195" s="123"/>
      <c r="H195" s="123"/>
      <c r="I195" s="123"/>
      <c r="J195" s="123"/>
      <c r="K195" s="123"/>
      <c r="L195" s="123"/>
      <c r="M195" s="123"/>
      <c r="N195" s="123"/>
      <c r="O195" s="117" t="s">
        <v>2649</v>
      </c>
      <c r="P195" s="124">
        <f>IF(AND(SUM(P187:P194)=0,COUNTIF(P187:P194,"NS")&gt;0),"NS",
IF(AND(SUM(P187:P194)=0,COUNTIF(P187:P194,0)&gt;0),0,
IF(AND(SUM(P187:P194)=0,COUNTIF(P187:P194,"NA")&gt;0),"NA",
SUM(P187:P194))))</f>
        <v>0</v>
      </c>
      <c r="Q195" s="124">
        <f t="shared" ref="Q195:AD195" si="120">IF(AND(SUM(Q187:Q194)=0,COUNTIF(Q187:Q194,"NS")&gt;0),"NS",
IF(AND(SUM(Q187:Q194)=0,COUNTIF(Q187:Q194,0)&gt;0),0,
IF(AND(SUM(Q187:Q194)=0,COUNTIF(Q187:Q194,"NA")&gt;0),"NA",
SUM(Q187:Q194))))</f>
        <v>0</v>
      </c>
      <c r="R195" s="124">
        <f t="shared" si="120"/>
        <v>0</v>
      </c>
      <c r="S195" s="124">
        <f t="shared" si="120"/>
        <v>0</v>
      </c>
      <c r="T195" s="124">
        <f t="shared" si="120"/>
        <v>0</v>
      </c>
      <c r="U195" s="124">
        <f t="shared" si="120"/>
        <v>0</v>
      </c>
      <c r="V195" s="124">
        <f t="shared" si="120"/>
        <v>0</v>
      </c>
      <c r="W195" s="124">
        <f t="shared" si="120"/>
        <v>0</v>
      </c>
      <c r="X195" s="124">
        <f t="shared" si="120"/>
        <v>0</v>
      </c>
      <c r="Y195" s="124">
        <f t="shared" si="120"/>
        <v>0</v>
      </c>
      <c r="Z195" s="124">
        <f t="shared" si="120"/>
        <v>0</v>
      </c>
      <c r="AA195" s="124">
        <f t="shared" si="120"/>
        <v>0</v>
      </c>
      <c r="AB195" s="124">
        <f t="shared" si="120"/>
        <v>0</v>
      </c>
      <c r="AC195" s="124">
        <f t="shared" si="120"/>
        <v>0</v>
      </c>
      <c r="AD195" s="124">
        <f t="shared" si="120"/>
        <v>0</v>
      </c>
      <c r="AG195" s="349">
        <f>SUM(AG187:AG194)</f>
        <v>0</v>
      </c>
      <c r="AH195" s="350">
        <f>SUM(AH187:AH194)</f>
        <v>0</v>
      </c>
      <c r="AI195" s="326"/>
      <c r="AJ195" s="352">
        <f>SUM(AJ187:AJ194)</f>
        <v>0</v>
      </c>
      <c r="AK195" s="350">
        <f t="shared" ref="AK195" si="121">SUM(AK187:AK194)</f>
        <v>0</v>
      </c>
      <c r="AL195" s="326"/>
      <c r="AM195" s="352">
        <f t="shared" ref="AM195:AN195" si="122">SUM(AM187:AM194)</f>
        <v>0</v>
      </c>
      <c r="AN195" s="350">
        <f t="shared" si="122"/>
        <v>0</v>
      </c>
      <c r="AO195" s="326"/>
      <c r="AP195" s="352">
        <f t="shared" ref="AP195:AQ195" si="123">SUM(AP187:AP194)</f>
        <v>0</v>
      </c>
      <c r="AQ195" s="350">
        <f t="shared" si="123"/>
        <v>0</v>
      </c>
      <c r="AR195" s="326"/>
      <c r="AS195" s="352">
        <f t="shared" ref="AS195:AT195" si="124">SUM(AS187:AS194)</f>
        <v>0</v>
      </c>
      <c r="AT195" s="350">
        <f t="shared" si="124"/>
        <v>0</v>
      </c>
      <c r="AU195" s="326"/>
      <c r="AV195" s="352">
        <f t="shared" ref="AV195:AW195" si="125">SUM(AV187:AV194)</f>
        <v>0</v>
      </c>
      <c r="AW195" s="350">
        <f t="shared" si="125"/>
        <v>0</v>
      </c>
      <c r="AX195" s="326"/>
      <c r="AY195" s="352">
        <f t="shared" ref="AY195:AZ195" si="126">SUM(AY187:AY194)</f>
        <v>0</v>
      </c>
      <c r="AZ195" s="350">
        <f t="shared" si="126"/>
        <v>0</v>
      </c>
      <c r="BA195" s="326"/>
      <c r="BB195" s="352">
        <f t="shared" ref="BB195:BC195" si="127">SUM(BB187:BB194)</f>
        <v>0</v>
      </c>
      <c r="BC195" s="350">
        <f t="shared" si="127"/>
        <v>0</v>
      </c>
      <c r="BD195" s="326"/>
      <c r="BE195" s="352">
        <f t="shared" ref="BE195:BF195" si="128">SUM(BE187:BE194)</f>
        <v>0</v>
      </c>
      <c r="BF195" s="350">
        <f t="shared" si="128"/>
        <v>0</v>
      </c>
      <c r="BG195" s="326"/>
      <c r="BH195" s="352">
        <f t="shared" ref="BH195:BI195" si="129">SUM(BH187:BH194)</f>
        <v>0</v>
      </c>
      <c r="BI195" s="350">
        <f t="shared" si="129"/>
        <v>0</v>
      </c>
      <c r="BJ195" s="326"/>
      <c r="BK195" s="352">
        <f t="shared" ref="BK195:BL195" si="130">SUM(BK187:BK194)</f>
        <v>0</v>
      </c>
      <c r="BL195" s="350">
        <f t="shared" si="130"/>
        <v>0</v>
      </c>
      <c r="BM195" s="326"/>
      <c r="BN195" s="352">
        <f t="shared" ref="BN195" si="131">SUM(BN187:BN194)</f>
        <v>0</v>
      </c>
    </row>
    <row r="196" spans="1:66" ht="15" customHeight="1">
      <c r="A196" s="49"/>
      <c r="B196" s="123"/>
      <c r="C196" s="123"/>
      <c r="D196" s="123"/>
      <c r="E196" s="123"/>
      <c r="G196" s="123"/>
      <c r="H196" s="123"/>
      <c r="I196" s="123"/>
      <c r="J196" s="123"/>
      <c r="K196" s="123"/>
      <c r="L196" s="123"/>
      <c r="M196" s="123"/>
      <c r="N196" s="123"/>
      <c r="O196" s="117"/>
      <c r="P196" s="104"/>
      <c r="Q196" s="104"/>
      <c r="R196" s="104"/>
      <c r="S196" s="104"/>
      <c r="T196" s="104"/>
      <c r="U196" s="104"/>
      <c r="V196" s="104"/>
      <c r="W196" s="104"/>
      <c r="X196" s="104"/>
      <c r="Y196" s="104"/>
      <c r="Z196" s="104"/>
      <c r="AA196" s="104"/>
      <c r="AB196" s="104"/>
      <c r="AC196" s="104"/>
      <c r="AD196" s="104"/>
    </row>
    <row r="197" spans="1:66" ht="15" customHeight="1">
      <c r="A197" s="94"/>
      <c r="AA197" s="875" t="s">
        <v>2668</v>
      </c>
      <c r="AB197" s="875"/>
      <c r="AC197" s="875"/>
      <c r="AD197" s="875"/>
      <c r="AI197" s="356" t="s">
        <v>2650</v>
      </c>
      <c r="AJ197" s="283">
        <f>SUM(AJ195,AM195,AP195,AS195,AV195,AY195,BB195,BE195,BH195,BK195,BN195)</f>
        <v>0</v>
      </c>
      <c r="AK197" s="355" t="s">
        <v>2651</v>
      </c>
      <c r="AL197" s="283">
        <f>SUM(AH195,AK195,AN195,AQ195,AT195,AW195,AZ195,BC195,BF195,BI195,BL195)</f>
        <v>0</v>
      </c>
      <c r="AM197" s="283"/>
      <c r="AN197" s="283"/>
    </row>
    <row r="198" spans="1:66" ht="24" customHeight="1">
      <c r="A198" s="103"/>
      <c r="B198" s="113"/>
      <c r="C198" s="797" t="s">
        <v>2581</v>
      </c>
      <c r="D198" s="798"/>
      <c r="E198" s="798"/>
      <c r="F198" s="798"/>
      <c r="G198" s="798"/>
      <c r="H198" s="798"/>
      <c r="I198" s="798"/>
      <c r="J198" s="798"/>
      <c r="K198" s="798"/>
      <c r="L198" s="799"/>
      <c r="M198" s="739" t="s">
        <v>3191</v>
      </c>
      <c r="N198" s="740"/>
      <c r="O198" s="740"/>
      <c r="P198" s="740"/>
      <c r="Q198" s="740"/>
      <c r="R198" s="740"/>
      <c r="S198" s="740"/>
      <c r="T198" s="740"/>
      <c r="U198" s="740"/>
      <c r="V198" s="740"/>
      <c r="W198" s="740"/>
      <c r="X198" s="740"/>
      <c r="Y198" s="740"/>
      <c r="Z198" s="740"/>
      <c r="AA198" s="740"/>
      <c r="AB198" s="740"/>
      <c r="AC198" s="740"/>
      <c r="AD198" s="741"/>
      <c r="AI198" s="357" t="s">
        <v>2652</v>
      </c>
      <c r="AJ198" s="283">
        <f>IF(AL197&gt;0,IF(SUM(P195)&gt;=SUM(S195,V195,Y195,AB195,M209,P209,S209,V209,Y209,AB209),0,1),IF(SUM(P195)&lt;&gt;SUM(S195,V195,Y195,AB195,M209,P209,S209,V209,Y209,AB209),1,0))</f>
        <v>0</v>
      </c>
      <c r="AK198" s="357" t="s">
        <v>2653</v>
      </c>
      <c r="AL198" s="283">
        <f>IF(AL197&gt;0,IF(SUM(Q195)&gt;=SUM(T195,W195,Z195,AC195,N209,Q209,T209,W209,Z209,AC209),0,1),IF(SUM(Q195)&lt;&gt;SUM(T195,W195,Z195,AC195,N209,Q209,T209,W209,Z209,AC209),1,0))</f>
        <v>0</v>
      </c>
      <c r="AM198" s="357" t="s">
        <v>2654</v>
      </c>
      <c r="AN198" s="283">
        <f>IF(AL197&gt;0,IF(SUM(R195)&gt;=SUM(U195,X195,AA195,AD195,O209,R209,U209,X209,AA209,AD209),0,1),IF(SUM(R195)&lt;&gt;SUM(U195,X195,AA195,AD195,O209,R209,U209,X209,AA209,AD209),1,0))</f>
        <v>0</v>
      </c>
    </row>
    <row r="199" spans="1:66" ht="24" customHeight="1">
      <c r="A199" s="103"/>
      <c r="C199" s="800"/>
      <c r="D199" s="801"/>
      <c r="E199" s="801"/>
      <c r="F199" s="801"/>
      <c r="G199" s="801"/>
      <c r="H199" s="801"/>
      <c r="I199" s="801"/>
      <c r="J199" s="801"/>
      <c r="K199" s="801"/>
      <c r="L199" s="802"/>
      <c r="M199" s="824" t="s">
        <v>3196</v>
      </c>
      <c r="N199" s="825"/>
      <c r="O199" s="826"/>
      <c r="P199" s="824" t="s">
        <v>3197</v>
      </c>
      <c r="Q199" s="825"/>
      <c r="R199" s="826"/>
      <c r="S199" s="824" t="s">
        <v>3198</v>
      </c>
      <c r="T199" s="825"/>
      <c r="U199" s="826"/>
      <c r="V199" s="824" t="s">
        <v>3199</v>
      </c>
      <c r="W199" s="825"/>
      <c r="X199" s="826"/>
      <c r="Y199" s="824" t="s">
        <v>3200</v>
      </c>
      <c r="Z199" s="825"/>
      <c r="AA199" s="826"/>
      <c r="AB199" s="824" t="s">
        <v>3201</v>
      </c>
      <c r="AC199" s="825"/>
      <c r="AD199" s="826"/>
      <c r="AG199" s="919" t="s">
        <v>3175</v>
      </c>
      <c r="AH199" s="919"/>
      <c r="AI199" s="919"/>
    </row>
    <row r="200" spans="1:66" ht="48" customHeight="1">
      <c r="A200" s="103"/>
      <c r="C200" s="803"/>
      <c r="D200" s="804"/>
      <c r="E200" s="804"/>
      <c r="F200" s="804"/>
      <c r="G200" s="804"/>
      <c r="H200" s="804"/>
      <c r="I200" s="804"/>
      <c r="J200" s="804"/>
      <c r="K200" s="804"/>
      <c r="L200" s="805"/>
      <c r="M200" s="127" t="s">
        <v>2635</v>
      </c>
      <c r="N200" s="128" t="s">
        <v>2629</v>
      </c>
      <c r="O200" s="128" t="s">
        <v>2630</v>
      </c>
      <c r="P200" s="127" t="s">
        <v>2635</v>
      </c>
      <c r="Q200" s="128" t="s">
        <v>2629</v>
      </c>
      <c r="R200" s="128" t="s">
        <v>2630</v>
      </c>
      <c r="S200" s="127" t="s">
        <v>2635</v>
      </c>
      <c r="T200" s="128" t="s">
        <v>2629</v>
      </c>
      <c r="U200" s="128" t="s">
        <v>2630</v>
      </c>
      <c r="V200" s="127" t="s">
        <v>2635</v>
      </c>
      <c r="W200" s="128" t="s">
        <v>2629</v>
      </c>
      <c r="X200" s="128" t="s">
        <v>2630</v>
      </c>
      <c r="Y200" s="127" t="s">
        <v>2635</v>
      </c>
      <c r="Z200" s="128" t="s">
        <v>2629</v>
      </c>
      <c r="AA200" s="128" t="s">
        <v>2630</v>
      </c>
      <c r="AB200" s="127" t="s">
        <v>2635</v>
      </c>
      <c r="AC200" s="128" t="s">
        <v>2629</v>
      </c>
      <c r="AD200" s="128" t="s">
        <v>2630</v>
      </c>
      <c r="AG200" s="359" t="s">
        <v>2795</v>
      </c>
      <c r="AH200" s="360" t="s">
        <v>3177</v>
      </c>
      <c r="AI200" s="361" t="s">
        <v>3178</v>
      </c>
    </row>
    <row r="201" spans="1:66" ht="15" customHeight="1">
      <c r="A201" s="94"/>
      <c r="C201" s="44" t="s">
        <v>2516</v>
      </c>
      <c r="D201" s="813" t="str">
        <f>IF(CNSIPEE_2024_M2_Secc1!D42="","",CNSIPEE_2024_M2_Secc1!D42)</f>
        <v/>
      </c>
      <c r="E201" s="814"/>
      <c r="F201" s="814"/>
      <c r="G201" s="814"/>
      <c r="H201" s="814"/>
      <c r="I201" s="814"/>
      <c r="J201" s="814"/>
      <c r="K201" s="814"/>
      <c r="L201" s="815"/>
      <c r="M201" s="100"/>
      <c r="N201" s="100"/>
      <c r="O201" s="100"/>
      <c r="P201" s="100"/>
      <c r="Q201" s="100"/>
      <c r="R201" s="100"/>
      <c r="S201" s="100"/>
      <c r="T201" s="100"/>
      <c r="U201" s="100"/>
      <c r="V201" s="100"/>
      <c r="W201" s="100"/>
      <c r="X201" s="100"/>
      <c r="Y201" s="100"/>
      <c r="Z201" s="100"/>
      <c r="AA201" s="100"/>
      <c r="AB201" s="100"/>
      <c r="AC201" s="100"/>
      <c r="AD201" s="100"/>
      <c r="AG201">
        <f>IF(AND(P187="NS",$M113="NS"),0,IF(AND(P187="NA",$M113="NA"),0,IF(P187=$M113,0,1)))</f>
        <v>0</v>
      </c>
      <c r="AH201">
        <f>IF(AND(Q187="NS",$S113="NS"),0,IF(AND(Q187="NA",$S113="NA"),0,IF(Q187=$S113,0,1)))</f>
        <v>0</v>
      </c>
      <c r="AI201">
        <f>IF(AND(R187="NS",$Y113="NS"),0,IF(AND(R187="NA",$Y113="NA"),0,IF(R187=$Y113,0,1)))</f>
        <v>0</v>
      </c>
    </row>
    <row r="202" spans="1:66" ht="15" customHeight="1">
      <c r="A202" s="94"/>
      <c r="C202" s="97" t="s">
        <v>2517</v>
      </c>
      <c r="D202" s="813" t="str">
        <f>IF(CNSIPEE_2024_M2_Secc1!D43="","",CNSIPEE_2024_M2_Secc1!D43)</f>
        <v/>
      </c>
      <c r="E202" s="814"/>
      <c r="F202" s="814"/>
      <c r="G202" s="814"/>
      <c r="H202" s="814"/>
      <c r="I202" s="814"/>
      <c r="J202" s="814"/>
      <c r="K202" s="814"/>
      <c r="L202" s="815"/>
      <c r="M202" s="100"/>
      <c r="N202" s="100"/>
      <c r="O202" s="100"/>
      <c r="P202" s="100"/>
      <c r="Q202" s="100"/>
      <c r="R202" s="100"/>
      <c r="S202" s="100"/>
      <c r="T202" s="100"/>
      <c r="U202" s="100"/>
      <c r="V202" s="100"/>
      <c r="W202" s="100"/>
      <c r="X202" s="100"/>
      <c r="Y202" s="100"/>
      <c r="Z202" s="100"/>
      <c r="AA202" s="100"/>
      <c r="AB202" s="100"/>
      <c r="AC202" s="100"/>
      <c r="AD202" s="100"/>
      <c r="AG202">
        <f t="shared" ref="AG202:AG208" si="132">IF(AND(P188="NS",$M114="NS"),0,IF(AND(P188="NA",$M114="NA"),0,IF(P188=$M114,0,1)))</f>
        <v>0</v>
      </c>
      <c r="AH202">
        <f t="shared" ref="AH202:AH208" si="133">IF(AND(Q188="NS",$S114="NS"),0,IF(AND(Q188="NA",$S114="NA"),0,IF(Q188=$S114,0,1)))</f>
        <v>0</v>
      </c>
      <c r="AI202">
        <f t="shared" ref="AI202:AI208" si="134">IF(AND(R188="NS",$Y114="NS"),0,IF(AND(R188="NA",$Y114="NA"),0,IF(R188=$Y114,0,1)))</f>
        <v>0</v>
      </c>
    </row>
    <row r="203" spans="1:66" ht="15" customHeight="1">
      <c r="A203" s="94"/>
      <c r="C203" s="98" t="s">
        <v>2518</v>
      </c>
      <c r="D203" s="813" t="str">
        <f>IF(CNSIPEE_2024_M2_Secc1!D44="","",CNSIPEE_2024_M2_Secc1!D44)</f>
        <v/>
      </c>
      <c r="E203" s="814"/>
      <c r="F203" s="814"/>
      <c r="G203" s="814"/>
      <c r="H203" s="814"/>
      <c r="I203" s="814"/>
      <c r="J203" s="814"/>
      <c r="K203" s="814"/>
      <c r="L203" s="815"/>
      <c r="M203" s="100"/>
      <c r="N203" s="100"/>
      <c r="O203" s="100"/>
      <c r="P203" s="100"/>
      <c r="Q203" s="100"/>
      <c r="R203" s="100"/>
      <c r="S203" s="100"/>
      <c r="T203" s="100"/>
      <c r="U203" s="100"/>
      <c r="V203" s="100"/>
      <c r="W203" s="100"/>
      <c r="X203" s="100"/>
      <c r="Y203" s="100"/>
      <c r="Z203" s="100"/>
      <c r="AA203" s="100"/>
      <c r="AB203" s="100"/>
      <c r="AC203" s="100"/>
      <c r="AD203" s="100"/>
      <c r="AG203">
        <f t="shared" si="132"/>
        <v>0</v>
      </c>
      <c r="AH203">
        <f t="shared" si="133"/>
        <v>0</v>
      </c>
      <c r="AI203">
        <f t="shared" si="134"/>
        <v>0</v>
      </c>
    </row>
    <row r="204" spans="1:66" ht="15" customHeight="1">
      <c r="A204" s="94"/>
      <c r="C204" s="98" t="s">
        <v>2519</v>
      </c>
      <c r="D204" s="813" t="str">
        <f>IF(CNSIPEE_2024_M2_Secc1!D45="","",CNSIPEE_2024_M2_Secc1!D45)</f>
        <v/>
      </c>
      <c r="E204" s="814"/>
      <c r="F204" s="814"/>
      <c r="G204" s="814"/>
      <c r="H204" s="814"/>
      <c r="I204" s="814"/>
      <c r="J204" s="814"/>
      <c r="K204" s="814"/>
      <c r="L204" s="815"/>
      <c r="M204" s="100"/>
      <c r="N204" s="100"/>
      <c r="O204" s="100"/>
      <c r="P204" s="100"/>
      <c r="Q204" s="100"/>
      <c r="R204" s="100"/>
      <c r="S204" s="100"/>
      <c r="T204" s="100"/>
      <c r="U204" s="100"/>
      <c r="V204" s="100"/>
      <c r="W204" s="100"/>
      <c r="X204" s="100"/>
      <c r="Y204" s="100"/>
      <c r="Z204" s="100"/>
      <c r="AA204" s="100"/>
      <c r="AB204" s="100"/>
      <c r="AC204" s="100"/>
      <c r="AD204" s="100"/>
      <c r="AG204">
        <f t="shared" si="132"/>
        <v>0</v>
      </c>
      <c r="AH204">
        <f t="shared" si="133"/>
        <v>0</v>
      </c>
      <c r="AI204">
        <f t="shared" si="134"/>
        <v>0</v>
      </c>
    </row>
    <row r="205" spans="1:66" ht="15" customHeight="1">
      <c r="A205" s="94"/>
      <c r="C205" s="98" t="s">
        <v>2520</v>
      </c>
      <c r="D205" s="813" t="str">
        <f>IF(CNSIPEE_2024_M2_Secc1!D46="","",CNSIPEE_2024_M2_Secc1!D46)</f>
        <v/>
      </c>
      <c r="E205" s="814"/>
      <c r="F205" s="814"/>
      <c r="G205" s="814"/>
      <c r="H205" s="814"/>
      <c r="I205" s="814"/>
      <c r="J205" s="814"/>
      <c r="K205" s="814"/>
      <c r="L205" s="815"/>
      <c r="M205" s="100"/>
      <c r="N205" s="100"/>
      <c r="O205" s="100"/>
      <c r="P205" s="100"/>
      <c r="Q205" s="100"/>
      <c r="R205" s="100"/>
      <c r="S205" s="100"/>
      <c r="T205" s="100"/>
      <c r="U205" s="100"/>
      <c r="V205" s="100"/>
      <c r="W205" s="100"/>
      <c r="X205" s="100"/>
      <c r="Y205" s="100"/>
      <c r="Z205" s="100"/>
      <c r="AA205" s="100"/>
      <c r="AB205" s="100"/>
      <c r="AC205" s="100"/>
      <c r="AD205" s="100"/>
      <c r="AG205">
        <f t="shared" si="132"/>
        <v>0</v>
      </c>
      <c r="AH205">
        <f t="shared" si="133"/>
        <v>0</v>
      </c>
      <c r="AI205">
        <f t="shared" si="134"/>
        <v>0</v>
      </c>
    </row>
    <row r="206" spans="1:66" ht="15" customHeight="1">
      <c r="A206" s="94"/>
      <c r="C206" s="98" t="s">
        <v>2521</v>
      </c>
      <c r="D206" s="813" t="str">
        <f>IF(CNSIPEE_2024_M2_Secc1!D47="","",CNSIPEE_2024_M2_Secc1!D47)</f>
        <v/>
      </c>
      <c r="E206" s="814"/>
      <c r="F206" s="814"/>
      <c r="G206" s="814"/>
      <c r="H206" s="814"/>
      <c r="I206" s="814"/>
      <c r="J206" s="814"/>
      <c r="K206" s="814"/>
      <c r="L206" s="815"/>
      <c r="M206" s="100"/>
      <c r="N206" s="100"/>
      <c r="O206" s="100"/>
      <c r="P206" s="100"/>
      <c r="Q206" s="100"/>
      <c r="R206" s="100"/>
      <c r="S206" s="100"/>
      <c r="T206" s="100"/>
      <c r="U206" s="100"/>
      <c r="V206" s="100"/>
      <c r="W206" s="100"/>
      <c r="X206" s="100"/>
      <c r="Y206" s="100"/>
      <c r="Z206" s="100"/>
      <c r="AA206" s="100"/>
      <c r="AB206" s="100"/>
      <c r="AC206" s="100"/>
      <c r="AD206" s="100"/>
      <c r="AG206">
        <f t="shared" si="132"/>
        <v>0</v>
      </c>
      <c r="AH206">
        <f t="shared" si="133"/>
        <v>0</v>
      </c>
      <c r="AI206">
        <f t="shared" si="134"/>
        <v>0</v>
      </c>
    </row>
    <row r="207" spans="1:66" ht="15" customHeight="1">
      <c r="A207" s="94"/>
      <c r="C207" s="98" t="s">
        <v>2522</v>
      </c>
      <c r="D207" s="813" t="str">
        <f>IF(CNSIPEE_2024_M2_Secc1!D48="","",CNSIPEE_2024_M2_Secc1!D48)</f>
        <v/>
      </c>
      <c r="E207" s="814"/>
      <c r="F207" s="814"/>
      <c r="G207" s="814"/>
      <c r="H207" s="814"/>
      <c r="I207" s="814"/>
      <c r="J207" s="814"/>
      <c r="K207" s="814"/>
      <c r="L207" s="815"/>
      <c r="M207" s="100"/>
      <c r="N207" s="100"/>
      <c r="O207" s="100"/>
      <c r="P207" s="100"/>
      <c r="Q207" s="100"/>
      <c r="R207" s="100"/>
      <c r="S207" s="100"/>
      <c r="T207" s="100"/>
      <c r="U207" s="100"/>
      <c r="V207" s="100"/>
      <c r="W207" s="100"/>
      <c r="X207" s="100"/>
      <c r="Y207" s="100"/>
      <c r="Z207" s="100"/>
      <c r="AA207" s="100"/>
      <c r="AB207" s="100"/>
      <c r="AC207" s="100"/>
      <c r="AD207" s="100"/>
      <c r="AG207">
        <f t="shared" si="132"/>
        <v>0</v>
      </c>
      <c r="AH207">
        <f t="shared" si="133"/>
        <v>0</v>
      </c>
      <c r="AI207">
        <f t="shared" si="134"/>
        <v>0</v>
      </c>
    </row>
    <row r="208" spans="1:66" ht="15" customHeight="1">
      <c r="A208" s="94"/>
      <c r="C208" s="98" t="s">
        <v>2523</v>
      </c>
      <c r="D208" s="813" t="str">
        <f>IF(CNSIPEE_2024_M2_Secc1!D49="","",CNSIPEE_2024_M2_Secc1!D49)</f>
        <v/>
      </c>
      <c r="E208" s="814"/>
      <c r="F208" s="814"/>
      <c r="G208" s="814"/>
      <c r="H208" s="814"/>
      <c r="I208" s="814"/>
      <c r="J208" s="814"/>
      <c r="K208" s="814"/>
      <c r="L208" s="815"/>
      <c r="M208" s="100"/>
      <c r="N208" s="100"/>
      <c r="O208" s="100"/>
      <c r="P208" s="100"/>
      <c r="Q208" s="100"/>
      <c r="R208" s="100"/>
      <c r="S208" s="100"/>
      <c r="T208" s="100"/>
      <c r="U208" s="100"/>
      <c r="V208" s="100"/>
      <c r="W208" s="100"/>
      <c r="X208" s="100"/>
      <c r="Y208" s="100"/>
      <c r="Z208" s="100"/>
      <c r="AA208" s="100"/>
      <c r="AB208" s="100"/>
      <c r="AC208" s="100"/>
      <c r="AD208" s="100"/>
      <c r="AG208">
        <f t="shared" si="132"/>
        <v>0</v>
      </c>
      <c r="AH208">
        <f t="shared" si="133"/>
        <v>0</v>
      </c>
      <c r="AI208">
        <f t="shared" si="134"/>
        <v>0</v>
      </c>
    </row>
    <row r="209" spans="1:35" ht="15" customHeight="1">
      <c r="A209" s="94"/>
      <c r="M209" s="124">
        <f>IF(AND(SUM(M201:M208)=0,COUNTIF(M201:M208,"NS")&gt;0),"NS",
IF(AND(SUM(M201:M208)=0,COUNTIF(M201:M208,0)&gt;0),0,
IF(AND(SUM(M201:M208)=0,COUNTIF(M201:M208,"NA")&gt;0),"NA",
SUM(M201:M208))))</f>
        <v>0</v>
      </c>
      <c r="N209" s="124">
        <f t="shared" ref="N209:AD209" si="135">IF(AND(SUM(N201:N208)=0,COUNTIF(N201:N208,"NS")&gt;0),"NS",
IF(AND(SUM(N201:N208)=0,COUNTIF(N201:N208,0)&gt;0),0,
IF(AND(SUM(N201:N208)=0,COUNTIF(N201:N208,"NA")&gt;0),"NA",
SUM(N201:N208))))</f>
        <v>0</v>
      </c>
      <c r="O209" s="124">
        <f t="shared" si="135"/>
        <v>0</v>
      </c>
      <c r="P209" s="124">
        <f t="shared" si="135"/>
        <v>0</v>
      </c>
      <c r="Q209" s="124">
        <f t="shared" si="135"/>
        <v>0</v>
      </c>
      <c r="R209" s="124">
        <f t="shared" si="135"/>
        <v>0</v>
      </c>
      <c r="S209" s="124">
        <f t="shared" si="135"/>
        <v>0</v>
      </c>
      <c r="T209" s="124">
        <f t="shared" si="135"/>
        <v>0</v>
      </c>
      <c r="U209" s="124">
        <f t="shared" si="135"/>
        <v>0</v>
      </c>
      <c r="V209" s="124">
        <f t="shared" si="135"/>
        <v>0</v>
      </c>
      <c r="W209" s="124">
        <f t="shared" si="135"/>
        <v>0</v>
      </c>
      <c r="X209" s="124">
        <f t="shared" si="135"/>
        <v>0</v>
      </c>
      <c r="Y209" s="124">
        <f t="shared" si="135"/>
        <v>0</v>
      </c>
      <c r="Z209" s="124">
        <f t="shared" si="135"/>
        <v>0</v>
      </c>
      <c r="AA209" s="124">
        <f t="shared" si="135"/>
        <v>0</v>
      </c>
      <c r="AB209" s="124">
        <f t="shared" si="135"/>
        <v>0</v>
      </c>
      <c r="AC209" s="124">
        <f t="shared" si="135"/>
        <v>0</v>
      </c>
      <c r="AD209" s="124">
        <f t="shared" si="135"/>
        <v>0</v>
      </c>
      <c r="AG209" s="359">
        <f>SUM(AG201:AG208)</f>
        <v>0</v>
      </c>
      <c r="AH209" s="360">
        <f>SUM(AH201:AH208)</f>
        <v>0</v>
      </c>
      <c r="AI209" s="361">
        <f>SUM(AI201:AI208)</f>
        <v>0</v>
      </c>
    </row>
    <row r="210" spans="1:35" ht="15" customHeight="1">
      <c r="A210" s="103"/>
      <c r="B210" s="57"/>
      <c r="C210" s="86"/>
      <c r="D210" s="86"/>
      <c r="E210" s="86"/>
      <c r="F210" s="86"/>
      <c r="G210" s="86"/>
      <c r="H210" s="86"/>
      <c r="I210" s="86"/>
      <c r="J210" s="86"/>
      <c r="K210" s="86"/>
      <c r="L210" s="86"/>
      <c r="M210" s="86"/>
      <c r="N210" s="86"/>
      <c r="O210" s="86"/>
      <c r="P210" s="86"/>
      <c r="Q210" s="86"/>
      <c r="R210" s="86"/>
      <c r="S210" s="86"/>
      <c r="T210" s="86"/>
      <c r="U210" s="86"/>
      <c r="V210" s="86"/>
      <c r="W210" s="86"/>
      <c r="X210" s="86"/>
      <c r="Y210" s="86"/>
      <c r="Z210" s="86"/>
      <c r="AA210" s="86"/>
      <c r="AB210" s="86"/>
      <c r="AC210" s="86"/>
      <c r="AD210" s="86"/>
      <c r="AG210"/>
      <c r="AH210"/>
      <c r="AI210" s="362">
        <f>SUM(AG209:AI209)</f>
        <v>0</v>
      </c>
    </row>
    <row r="211" spans="1:35" ht="24" customHeight="1">
      <c r="A211" s="96"/>
      <c r="B211" s="90"/>
      <c r="C211" s="754" t="s">
        <v>2611</v>
      </c>
      <c r="D211" s="754"/>
      <c r="E211" s="754"/>
      <c r="F211" s="754"/>
      <c r="G211" s="754"/>
      <c r="H211" s="754"/>
      <c r="I211" s="754"/>
      <c r="J211" s="754"/>
      <c r="K211" s="754"/>
      <c r="L211" s="754"/>
      <c r="M211" s="754"/>
      <c r="N211" s="754"/>
      <c r="O211" s="754"/>
      <c r="P211" s="754"/>
      <c r="Q211" s="754"/>
      <c r="R211" s="754"/>
      <c r="S211" s="754"/>
      <c r="T211" s="754"/>
      <c r="U211" s="754"/>
      <c r="V211" s="754"/>
      <c r="W211" s="754"/>
      <c r="X211" s="754"/>
      <c r="Y211" s="754"/>
      <c r="Z211" s="754"/>
      <c r="AA211" s="754"/>
      <c r="AB211" s="754"/>
      <c r="AC211" s="754"/>
      <c r="AD211" s="754"/>
    </row>
    <row r="212" spans="1:35" ht="60" customHeight="1">
      <c r="A212" s="96"/>
      <c r="B212" s="90"/>
      <c r="C212" s="851"/>
      <c r="D212" s="851"/>
      <c r="E212" s="851"/>
      <c r="F212" s="851"/>
      <c r="G212" s="851"/>
      <c r="H212" s="851"/>
      <c r="I212" s="851"/>
      <c r="J212" s="851"/>
      <c r="K212" s="851"/>
      <c r="L212" s="851"/>
      <c r="M212" s="851"/>
      <c r="N212" s="851"/>
      <c r="O212" s="851"/>
      <c r="P212" s="851"/>
      <c r="Q212" s="851"/>
      <c r="R212" s="851"/>
      <c r="S212" s="851"/>
      <c r="T212" s="851"/>
      <c r="U212" s="851"/>
      <c r="V212" s="851"/>
      <c r="W212" s="851"/>
      <c r="X212" s="851"/>
      <c r="Y212" s="851"/>
      <c r="Z212" s="851"/>
      <c r="AA212" s="851"/>
      <c r="AB212" s="851"/>
      <c r="AC212" s="851"/>
      <c r="AD212" s="851"/>
    </row>
    <row r="213" spans="1:35" ht="15" customHeight="1">
      <c r="A213" s="96"/>
      <c r="B213" s="794" t="str">
        <f>IF(AG195&gt;0,"Favor de ingresar toda la información requerida en la pregunta ","")</f>
        <v/>
      </c>
      <c r="C213" s="794"/>
      <c r="D213" s="794"/>
      <c r="E213" s="794"/>
      <c r="F213" s="794"/>
      <c r="G213" s="794"/>
      <c r="H213" s="794"/>
      <c r="I213" s="794"/>
      <c r="J213" s="794"/>
      <c r="K213" s="794"/>
      <c r="L213" s="794"/>
      <c r="M213" s="794"/>
      <c r="N213" s="794"/>
      <c r="O213" s="794"/>
      <c r="P213" s="794"/>
      <c r="Q213" s="794"/>
      <c r="R213" s="794"/>
      <c r="S213" s="794"/>
      <c r="T213" s="794"/>
      <c r="U213" s="794"/>
      <c r="V213" s="794"/>
      <c r="W213" s="794"/>
      <c r="X213" s="794"/>
      <c r="Y213" s="794"/>
      <c r="Z213" s="794"/>
      <c r="AA213" s="794"/>
      <c r="AB213" s="794"/>
      <c r="AC213" s="794"/>
      <c r="AD213" s="794"/>
    </row>
    <row r="214" spans="1:35" ht="15" customHeight="1">
      <c r="A214" s="96"/>
      <c r="B214" s="795" t="str">
        <f>IF(AL197&gt;0,"Alerta: debido a que cuenta con registros NS, debe proporcionar una justificación en el area de comentarios al final de la pregunta","")</f>
        <v/>
      </c>
      <c r="C214" s="795"/>
      <c r="D214" s="795"/>
      <c r="E214" s="795"/>
      <c r="F214" s="795"/>
      <c r="G214" s="795"/>
      <c r="H214" s="795"/>
      <c r="I214" s="795"/>
      <c r="J214" s="795"/>
      <c r="K214" s="795"/>
      <c r="L214" s="795"/>
      <c r="M214" s="795"/>
      <c r="N214" s="795"/>
      <c r="O214" s="795"/>
      <c r="P214" s="795"/>
      <c r="Q214" s="795"/>
      <c r="R214" s="795"/>
      <c r="S214" s="795"/>
      <c r="T214" s="795"/>
      <c r="U214" s="795"/>
      <c r="V214" s="795"/>
      <c r="W214" s="795"/>
      <c r="X214" s="795"/>
      <c r="Y214" s="795"/>
      <c r="Z214" s="795"/>
      <c r="AA214" s="795"/>
      <c r="AB214" s="795"/>
      <c r="AC214" s="795"/>
      <c r="AD214" s="795"/>
    </row>
    <row r="215" spans="1:35" ht="15" customHeight="1">
      <c r="A215" s="96"/>
      <c r="B215" s="794" t="str">
        <f>IF(OR(AJ197&gt;0,AJ198&gt;0,AL198&gt;0,AN198&gt;0),"Favor de revisar la suma y consistencia de totales y/o subtotales por filas (numéricos y NS)","")</f>
        <v/>
      </c>
      <c r="C215" s="794"/>
      <c r="D215" s="794"/>
      <c r="E215" s="794"/>
      <c r="F215" s="794"/>
      <c r="G215" s="794"/>
      <c r="H215" s="794"/>
      <c r="I215" s="794"/>
      <c r="J215" s="794"/>
      <c r="K215" s="794"/>
      <c r="L215" s="794"/>
      <c r="M215" s="794"/>
      <c r="N215" s="794"/>
      <c r="O215" s="794"/>
      <c r="P215" s="794"/>
      <c r="Q215" s="794"/>
      <c r="R215" s="794"/>
      <c r="S215" s="794"/>
      <c r="T215" s="794"/>
      <c r="U215" s="794"/>
      <c r="V215" s="794"/>
      <c r="W215" s="794"/>
      <c r="X215" s="794"/>
      <c r="Y215" s="794"/>
      <c r="Z215" s="794"/>
      <c r="AA215" s="794"/>
      <c r="AB215" s="794"/>
      <c r="AC215" s="794"/>
      <c r="AD215" s="794"/>
    </row>
    <row r="216" spans="1:35" ht="15" customHeight="1">
      <c r="A216" s="96"/>
      <c r="B216" s="794" t="str">
        <f>IF(AI210&gt;0,"Favor de revisar la instrucción general 2 del apartado II.2, ya que no se cumplen los criterios establecidos","")</f>
        <v/>
      </c>
      <c r="C216" s="794"/>
      <c r="D216" s="794"/>
      <c r="E216" s="794"/>
      <c r="F216" s="794"/>
      <c r="G216" s="794"/>
      <c r="H216" s="794"/>
      <c r="I216" s="794"/>
      <c r="J216" s="794"/>
      <c r="K216" s="794"/>
      <c r="L216" s="794"/>
      <c r="M216" s="794"/>
      <c r="N216" s="794"/>
      <c r="O216" s="794"/>
      <c r="P216" s="794"/>
      <c r="Q216" s="794"/>
      <c r="R216" s="794"/>
      <c r="S216" s="794"/>
      <c r="T216" s="794"/>
      <c r="U216" s="794"/>
      <c r="V216" s="794"/>
      <c r="W216" s="794"/>
      <c r="X216" s="794"/>
      <c r="Y216" s="794"/>
      <c r="Z216" s="794"/>
      <c r="AA216" s="794"/>
      <c r="AB216" s="794"/>
      <c r="AC216" s="794"/>
      <c r="AD216" s="794"/>
    </row>
    <row r="217" spans="1:35" ht="15" customHeight="1">
      <c r="A217" s="96"/>
      <c r="B217" s="90"/>
      <c r="C217" s="90"/>
      <c r="D217" s="90"/>
      <c r="E217" s="90"/>
      <c r="F217" s="90"/>
      <c r="G217" s="90"/>
      <c r="H217" s="90"/>
      <c r="I217" s="90"/>
      <c r="J217" s="90"/>
      <c r="K217" s="90"/>
      <c r="L217" s="90"/>
      <c r="M217" s="90"/>
      <c r="N217" s="90"/>
      <c r="O217" s="90"/>
      <c r="P217" s="90"/>
      <c r="Q217" s="90"/>
      <c r="R217" s="90"/>
      <c r="S217" s="90"/>
      <c r="T217" s="90"/>
      <c r="U217" s="90"/>
      <c r="V217" s="90"/>
      <c r="W217" s="90"/>
      <c r="X217" s="90"/>
      <c r="Y217" s="90"/>
      <c r="Z217" s="90"/>
      <c r="AA217" s="90"/>
      <c r="AB217" s="90"/>
      <c r="AC217" s="90"/>
      <c r="AD217" s="90"/>
    </row>
    <row r="218" spans="1:35" ht="15" customHeight="1">
      <c r="A218" s="49"/>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38"/>
      <c r="AC218" s="38"/>
      <c r="AD218" s="38"/>
    </row>
    <row r="219" spans="1:35" ht="24" customHeight="1">
      <c r="A219" s="49" t="s">
        <v>3202</v>
      </c>
      <c r="B219" s="829" t="s">
        <v>3203</v>
      </c>
      <c r="C219" s="829"/>
      <c r="D219" s="829"/>
      <c r="E219" s="829"/>
      <c r="F219" s="829"/>
      <c r="G219" s="829"/>
      <c r="H219" s="829"/>
      <c r="I219" s="829"/>
      <c r="J219" s="829"/>
      <c r="K219" s="829"/>
      <c r="L219" s="829"/>
      <c r="M219" s="829"/>
      <c r="N219" s="829"/>
      <c r="O219" s="829"/>
      <c r="P219" s="829"/>
      <c r="Q219" s="829"/>
      <c r="R219" s="829"/>
      <c r="S219" s="829"/>
      <c r="T219" s="829"/>
      <c r="U219" s="829"/>
      <c r="V219" s="829"/>
      <c r="W219" s="829"/>
      <c r="X219" s="829"/>
      <c r="Y219" s="829"/>
      <c r="Z219" s="829"/>
      <c r="AA219" s="829"/>
      <c r="AB219" s="829"/>
      <c r="AC219" s="829"/>
      <c r="AD219" s="829"/>
    </row>
    <row r="220" spans="1:35" ht="15" customHeight="1">
      <c r="A220" s="49"/>
      <c r="B220" s="38"/>
      <c r="C220" s="830" t="s">
        <v>3204</v>
      </c>
      <c r="D220" s="830"/>
      <c r="E220" s="830"/>
      <c r="F220" s="830"/>
      <c r="G220" s="830"/>
      <c r="H220" s="830"/>
      <c r="I220" s="830"/>
      <c r="J220" s="830"/>
      <c r="K220" s="830"/>
      <c r="L220" s="830"/>
      <c r="M220" s="830"/>
      <c r="N220" s="830"/>
      <c r="O220" s="830"/>
      <c r="P220" s="830"/>
      <c r="Q220" s="830"/>
      <c r="R220" s="830"/>
      <c r="S220" s="830"/>
      <c r="T220" s="830"/>
      <c r="U220" s="830"/>
      <c r="V220" s="830"/>
      <c r="W220" s="830"/>
      <c r="X220" s="830"/>
      <c r="Y220" s="830"/>
      <c r="Z220" s="830"/>
      <c r="AA220" s="830"/>
      <c r="AB220" s="830"/>
      <c r="AC220" s="830"/>
      <c r="AD220" s="830"/>
    </row>
    <row r="221" spans="1:35" ht="15" customHeight="1">
      <c r="A221" s="49"/>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c r="AA221" s="38"/>
      <c r="AB221" s="38"/>
      <c r="AC221" s="38"/>
      <c r="AD221" s="38"/>
    </row>
    <row r="222" spans="1:35" ht="15" customHeight="1">
      <c r="A222" s="94"/>
      <c r="AA222" s="875" t="s">
        <v>3205</v>
      </c>
      <c r="AB222" s="875"/>
      <c r="AC222" s="875"/>
      <c r="AD222" s="875"/>
    </row>
    <row r="223" spans="1:35" ht="15" customHeight="1">
      <c r="A223" s="103"/>
      <c r="B223" s="113"/>
      <c r="C223" s="991" t="s">
        <v>2581</v>
      </c>
      <c r="D223" s="992"/>
      <c r="E223" s="992"/>
      <c r="F223" s="992"/>
      <c r="G223" s="992"/>
      <c r="H223" s="992"/>
      <c r="I223" s="992"/>
      <c r="J223" s="992"/>
      <c r="K223" s="992"/>
      <c r="L223" s="993"/>
      <c r="M223" s="739" t="s">
        <v>3206</v>
      </c>
      <c r="N223" s="740"/>
      <c r="O223" s="740"/>
      <c r="P223" s="740"/>
      <c r="Q223" s="740"/>
      <c r="R223" s="740"/>
      <c r="S223" s="740"/>
      <c r="T223" s="740"/>
      <c r="U223" s="740"/>
      <c r="V223" s="740"/>
      <c r="W223" s="740"/>
      <c r="X223" s="740"/>
      <c r="Y223" s="740"/>
      <c r="Z223" s="740"/>
      <c r="AA223" s="740"/>
      <c r="AB223" s="740"/>
      <c r="AC223" s="740"/>
      <c r="AD223" s="741"/>
    </row>
    <row r="224" spans="1:35" ht="36" customHeight="1">
      <c r="A224" s="103"/>
      <c r="C224" s="994"/>
      <c r="D224" s="995"/>
      <c r="E224" s="995"/>
      <c r="F224" s="995"/>
      <c r="G224" s="995"/>
      <c r="H224" s="995"/>
      <c r="I224" s="995"/>
      <c r="J224" s="995"/>
      <c r="K224" s="995"/>
      <c r="L224" s="996"/>
      <c r="M224" s="874" t="s">
        <v>2628</v>
      </c>
      <c r="N224" s="857" t="s">
        <v>2629</v>
      </c>
      <c r="O224" s="857" t="s">
        <v>2630</v>
      </c>
      <c r="P224" s="733" t="s">
        <v>3207</v>
      </c>
      <c r="Q224" s="734"/>
      <c r="R224" s="735"/>
      <c r="S224" s="733" t="s">
        <v>3208</v>
      </c>
      <c r="T224" s="734"/>
      <c r="U224" s="735"/>
      <c r="V224" s="733" t="s">
        <v>3209</v>
      </c>
      <c r="W224" s="734"/>
      <c r="X224" s="735"/>
      <c r="Y224" s="733" t="s">
        <v>3210</v>
      </c>
      <c r="Z224" s="734"/>
      <c r="AA224" s="735"/>
      <c r="AB224" s="733" t="s">
        <v>3211</v>
      </c>
      <c r="AC224" s="734"/>
      <c r="AD224" s="735"/>
    </row>
    <row r="225" spans="1:87" ht="48" customHeight="1">
      <c r="A225" s="103"/>
      <c r="C225" s="997"/>
      <c r="D225" s="998"/>
      <c r="E225" s="998"/>
      <c r="F225" s="998"/>
      <c r="G225" s="998"/>
      <c r="H225" s="998"/>
      <c r="I225" s="998"/>
      <c r="J225" s="998"/>
      <c r="K225" s="998"/>
      <c r="L225" s="999"/>
      <c r="M225" s="874"/>
      <c r="N225" s="857"/>
      <c r="O225" s="857"/>
      <c r="P225" s="127" t="s">
        <v>2635</v>
      </c>
      <c r="Q225" s="128" t="s">
        <v>2629</v>
      </c>
      <c r="R225" s="128" t="s">
        <v>2630</v>
      </c>
      <c r="S225" s="127" t="s">
        <v>2635</v>
      </c>
      <c r="T225" s="128" t="s">
        <v>2629</v>
      </c>
      <c r="U225" s="128" t="s">
        <v>2630</v>
      </c>
      <c r="V225" s="127" t="s">
        <v>2635</v>
      </c>
      <c r="W225" s="128" t="s">
        <v>2629</v>
      </c>
      <c r="X225" s="128" t="s">
        <v>2630</v>
      </c>
      <c r="Y225" s="127" t="s">
        <v>2635</v>
      </c>
      <c r="Z225" s="128" t="s">
        <v>2629</v>
      </c>
      <c r="AA225" s="128" t="s">
        <v>2630</v>
      </c>
      <c r="AB225" s="127" t="s">
        <v>2635</v>
      </c>
      <c r="AC225" s="128" t="s">
        <v>2629</v>
      </c>
      <c r="AD225" s="128" t="s">
        <v>2630</v>
      </c>
      <c r="AG225" s="354" t="s">
        <v>2586</v>
      </c>
      <c r="AH225" s="282" t="s">
        <v>2637</v>
      </c>
      <c r="AI225" s="280" t="s">
        <v>2638</v>
      </c>
      <c r="AJ225" s="281" t="s">
        <v>2639</v>
      </c>
      <c r="AK225" s="282" t="s">
        <v>2640</v>
      </c>
      <c r="AL225" s="280" t="s">
        <v>2641</v>
      </c>
      <c r="AM225" s="281" t="s">
        <v>2642</v>
      </c>
      <c r="AN225" s="282" t="s">
        <v>2643</v>
      </c>
      <c r="AO225" s="280" t="s">
        <v>2644</v>
      </c>
      <c r="AP225" s="281" t="s">
        <v>2645</v>
      </c>
      <c r="AQ225" s="282" t="s">
        <v>2646</v>
      </c>
      <c r="AR225" s="280" t="s">
        <v>2647</v>
      </c>
      <c r="AS225" s="281" t="s">
        <v>2648</v>
      </c>
      <c r="AT225" s="282" t="s">
        <v>2756</v>
      </c>
      <c r="AU225" s="280" t="s">
        <v>2757</v>
      </c>
      <c r="AV225" s="281" t="s">
        <v>2758</v>
      </c>
      <c r="AW225" s="282" t="s">
        <v>2759</v>
      </c>
      <c r="AX225" s="280" t="s">
        <v>2760</v>
      </c>
      <c r="AY225" s="281" t="s">
        <v>2761</v>
      </c>
      <c r="AZ225" s="282" t="s">
        <v>2762</v>
      </c>
      <c r="BA225" s="280" t="s">
        <v>2763</v>
      </c>
      <c r="BB225" s="281" t="s">
        <v>2764</v>
      </c>
      <c r="BC225" s="282" t="s">
        <v>2765</v>
      </c>
      <c r="BD225" s="280" t="s">
        <v>2766</v>
      </c>
      <c r="BE225" s="281" t="s">
        <v>2767</v>
      </c>
      <c r="BF225" s="282" t="s">
        <v>2768</v>
      </c>
      <c r="BG225" s="280" t="s">
        <v>2769</v>
      </c>
      <c r="BH225" s="281" t="s">
        <v>2770</v>
      </c>
      <c r="BI225" s="282" t="s">
        <v>2771</v>
      </c>
      <c r="BJ225" s="280" t="s">
        <v>2772</v>
      </c>
      <c r="BK225" s="281" t="s">
        <v>2773</v>
      </c>
      <c r="BL225" s="282" t="s">
        <v>2774</v>
      </c>
      <c r="BM225" s="280" t="s">
        <v>2775</v>
      </c>
      <c r="BN225" s="281" t="s">
        <v>2776</v>
      </c>
      <c r="BO225" s="282" t="s">
        <v>3212</v>
      </c>
      <c r="BP225" s="280" t="s">
        <v>3213</v>
      </c>
      <c r="BQ225" s="281" t="s">
        <v>3214</v>
      </c>
      <c r="BR225" s="282" t="s">
        <v>3215</v>
      </c>
      <c r="BS225" s="280" t="s">
        <v>3216</v>
      </c>
      <c r="BT225" s="281" t="s">
        <v>3217</v>
      </c>
      <c r="BU225" s="282" t="s">
        <v>3218</v>
      </c>
      <c r="BV225" s="280" t="s">
        <v>3219</v>
      </c>
      <c r="BW225" s="281" t="s">
        <v>3220</v>
      </c>
      <c r="BX225" s="282" t="s">
        <v>3221</v>
      </c>
      <c r="BY225" s="280" t="s">
        <v>3222</v>
      </c>
      <c r="BZ225" s="281" t="s">
        <v>3223</v>
      </c>
      <c r="CA225" s="282" t="s">
        <v>3224</v>
      </c>
      <c r="CB225" s="280" t="s">
        <v>3225</v>
      </c>
      <c r="CC225" s="281" t="s">
        <v>3226</v>
      </c>
      <c r="CD225" s="282" t="s">
        <v>3227</v>
      </c>
      <c r="CE225" s="280" t="s">
        <v>3228</v>
      </c>
      <c r="CF225" s="281" t="s">
        <v>3229</v>
      </c>
      <c r="CG225" s="282" t="s">
        <v>3230</v>
      </c>
      <c r="CH225" s="280" t="s">
        <v>3231</v>
      </c>
      <c r="CI225" s="281" t="s">
        <v>3232</v>
      </c>
    </row>
    <row r="226" spans="1:87" ht="15" customHeight="1">
      <c r="A226" s="49"/>
      <c r="B226" s="38"/>
      <c r="C226" s="44" t="s">
        <v>2516</v>
      </c>
      <c r="D226" s="813" t="str">
        <f>IF(CNSIPEE_2024_M2_Secc1!D42="","",CNSIPEE_2024_M2_Secc1!D42)</f>
        <v/>
      </c>
      <c r="E226" s="814"/>
      <c r="F226" s="814"/>
      <c r="G226" s="814"/>
      <c r="H226" s="814"/>
      <c r="I226" s="814"/>
      <c r="J226" s="814"/>
      <c r="K226" s="814"/>
      <c r="L226" s="815"/>
      <c r="M226" s="100"/>
      <c r="N226" s="100"/>
      <c r="O226" s="100"/>
      <c r="P226" s="100"/>
      <c r="Q226" s="100"/>
      <c r="R226" s="100"/>
      <c r="S226" s="100"/>
      <c r="T226" s="100"/>
      <c r="U226" s="100"/>
      <c r="V226" s="100"/>
      <c r="W226" s="100"/>
      <c r="X226" s="100"/>
      <c r="Y226" s="100"/>
      <c r="Z226" s="100"/>
      <c r="AA226" s="100"/>
      <c r="AB226" s="100"/>
      <c r="AC226" s="100"/>
      <c r="AD226" s="100"/>
      <c r="AG226" s="326">
        <f>IF(AND(COUNTBLANK(D226)=0,COUNTA(M226:AD226,M240:AD240,M254:AD254)=54),0,IF(AND(COUNTBLANK(D226)=1,COUNTA(M226:AD226,M240:AD240,M254:AD254)=0),0,1))</f>
        <v>0</v>
      </c>
      <c r="AH226" s="283">
        <f>COUNTIF(N226:O226,"NS")</f>
        <v>0</v>
      </c>
      <c r="AI226" s="283">
        <f>SUM(N226:O226)</f>
        <v>0</v>
      </c>
      <c r="AJ226" s="283">
        <f>IF(COUNTIF(M226:O226,"NA")=3,0,IF(COUNTA(M226:O226)=0,0,IF(OR(AND(M226=0,AH226&gt;0),AND(M226="ns",AI226&gt;0),AND(M226="ns",AH226=0,AI226=0)),1,IF(OR(AND(M226&gt;0,AH226=2),AND(M226="ns",AH226=2),AND(M226="ns",AI226=0,AH226&gt;0),M226=AI226),0,1))))</f>
        <v>0</v>
      </c>
      <c r="AK226" s="283">
        <f>COUNTIF(Q226:R226,"NS")</f>
        <v>0</v>
      </c>
      <c r="AL226" s="283">
        <f>SUM(Q226:R226)</f>
        <v>0</v>
      </c>
      <c r="AM226" s="283">
        <f>IF(COUNTIF(P226:R226,"NA")=3,0,IF(COUNTA(P226:R226)=0,0,IF(OR(AND(P226=0,AK226&gt;0),AND(P226="ns",AL226&gt;0),AND(P226="ns",AK226=0,AL226=0)),1,IF(OR(AND(P226&gt;0,AK226=2),AND(P226="ns",AK226=2),AND(P226="ns",AL226=0,AK226&gt;0),P226=AL226),0,1))))</f>
        <v>0</v>
      </c>
      <c r="AN226" s="283">
        <f>COUNTIF(T226:U226,"NS")</f>
        <v>0</v>
      </c>
      <c r="AO226" s="283">
        <f>SUM(T226:U226)</f>
        <v>0</v>
      </c>
      <c r="AP226" s="283">
        <f>IF(COUNTIF(S226:U226,"NA")=3,0,IF(COUNTA(S226:U226)=0,0,IF(OR(AND(S226=0,AN226&gt;0),AND(S226="ns",AO226&gt;0),AND(S226="ns",AN226=0,AO226=0)),1,IF(OR(AND(S226&gt;0,AN226=2),AND(S226="ns",AN226=2),AND(S226="ns",AO226=0,AN226&gt;0),S226=AO226),0,1))))</f>
        <v>0</v>
      </c>
      <c r="AQ226" s="283">
        <f>COUNTIF(W226:X226,"NS")</f>
        <v>0</v>
      </c>
      <c r="AR226" s="283">
        <f>SUM(W226:X226)</f>
        <v>0</v>
      </c>
      <c r="AS226" s="283">
        <f>IF(COUNTIF(V226:X226,"NA")=3,0,IF(COUNTA(V226:X226)=0,0,IF(OR(AND(V226=0,AQ226&gt;0),AND(V226="ns",AR226&gt;0),AND(V226="ns",AQ226=0,AR226=0)),1,IF(OR(AND(V226&gt;0,AQ226=2),AND(V226="ns",AQ226=2),AND(V226="ns",AR226=0,AQ226&gt;0),V226=AR226),0,1))))</f>
        <v>0</v>
      </c>
      <c r="AT226" s="283">
        <f>COUNTIF(Z226:AA226,"NS")</f>
        <v>0</v>
      </c>
      <c r="AU226" s="283">
        <f>SUM(Z226:AA226)</f>
        <v>0</v>
      </c>
      <c r="AV226" s="283">
        <f>IF(COUNTIF(Y226:AA226,"NA")=3,0,IF(COUNTA(Y226:AA226)=0,0,IF(OR(AND(Y226=0,AT226&gt;0),AND(Y226="ns",AU226&gt;0),AND(Y226="ns",AT226=0,AU226=0)),1,IF(OR(AND(Y226&gt;0,AT226=2),AND(Y226="ns",AT226=2),AND(Y226="ns",AU226=0,AT226&gt;0),Y226=AU226),0,1))))</f>
        <v>0</v>
      </c>
      <c r="AW226" s="283">
        <f>COUNTIF(AC226:AD226,"NS")</f>
        <v>0</v>
      </c>
      <c r="AX226" s="283">
        <f>SUM(AC226:AD226)</f>
        <v>0</v>
      </c>
      <c r="AY226" s="283">
        <f>IF(COUNTIF(AB226:AD226,"NA")=3,0,IF(COUNTA(AB226:AD226)=0,0,IF(OR(AND(AB226=0,AW226&gt;0),AND(AB226="ns",AX226&gt;0),AND(AB226="ns",AW226=0,AX226=0)),1,IF(OR(AND(AB226&gt;0,AW226=2),AND(AB226="ns",AW226=2),AND(AB226="ns",AX226=0,AW226&gt;0),AB226=AX226),0,1))))</f>
        <v>0</v>
      </c>
      <c r="AZ226" s="283">
        <f>COUNTIF(N240:O240,"NS")</f>
        <v>0</v>
      </c>
      <c r="BA226" s="283">
        <f>SUM(N240:O240)</f>
        <v>0</v>
      </c>
      <c r="BB226" s="283">
        <f>IF(COUNTIF(M240:O240,"NA")=3,0,IF(COUNTA(M240:O240)=0,0,IF(OR(AND(M240=0,AZ226&gt;0),AND(M240="ns",BA226&gt;0),AND(M240="ns",AZ226=0,BA226=0)),1,IF(OR(AND(M240&gt;0,AZ226=2),AND(M240="ns",AZ226=2),AND(M240="ns",BA226=0,AZ226&gt;0),M240=BA226),0,1))))</f>
        <v>0</v>
      </c>
      <c r="BC226" s="283">
        <f>COUNTIF(Q240:R240,"NS")</f>
        <v>0</v>
      </c>
      <c r="BD226" s="283">
        <f>SUM(Q240:R240)</f>
        <v>0</v>
      </c>
      <c r="BE226" s="283">
        <f>IF(COUNTIF(P240:R240,"NA")=3,0,IF(COUNTA(P240:R240)=0,0,IF(OR(AND(P240=0,BC226&gt;0),AND(P240="ns",BD226&gt;0),AND(P240="ns",BC226=0,BD226=0)),1,IF(OR(AND(P240&gt;0,BC226=2),AND(P240="ns",BC226=2),AND(P240="ns",BD226=0,BC226&gt;0),P240=BD226),0,1))))</f>
        <v>0</v>
      </c>
      <c r="BF226" s="283">
        <f>COUNTIF(T240:U240,"NS")</f>
        <v>0</v>
      </c>
      <c r="BG226" s="283">
        <f>SUM(T240:U240)</f>
        <v>0</v>
      </c>
      <c r="BH226" s="283">
        <f>IF(COUNTIF(S240:U240,"NA")=3,0,IF(COUNTA(S240:U240)=0,0,IF(OR(AND(S240=0,BF226&gt;0),AND(S240="ns",BG226&gt;0),AND(S240="ns",BF226=0,BG226=0)),1,IF(OR(AND(S240&gt;0,BF226=2),AND(S240="ns",BF226=2),AND(S240="ns",BG226=0,BF226&gt;0),S240=BG226),0,1))))</f>
        <v>0</v>
      </c>
      <c r="BI226" s="283">
        <f>COUNTIF(W240:X240,"NS")</f>
        <v>0</v>
      </c>
      <c r="BJ226" s="283">
        <f>SUM(W240:X240)</f>
        <v>0</v>
      </c>
      <c r="BK226" s="283">
        <f>IF(COUNTIF(V240:X240,"NA")=3,0,IF(COUNTA(V240:X240)=0,0,IF(OR(AND(V240=0,BI226&gt;0),AND(V240="ns",BJ226&gt;0),AND(V240="ns",BI226=0,BJ226=0)),1,IF(OR(AND(V240&gt;0,BI226=2),AND(V240="ns",BI226=2),AND(V240="ns",BJ226=0,BI226&gt;0),V240=BJ226),0,1))))</f>
        <v>0</v>
      </c>
      <c r="BL226" s="283">
        <f>COUNTIF(Z240:AA240,"NS")</f>
        <v>0</v>
      </c>
      <c r="BM226" s="283">
        <f>SUM(Z240:AA240)</f>
        <v>0</v>
      </c>
      <c r="BN226" s="283">
        <f>IF(COUNTIF(Y240:AA240,"NA")=3,0,IF(COUNTA(Y240:AA240)=0,0,IF(OR(AND(Y240=0,BL226&gt;0),AND(Y240="ns",BM226&gt;0),AND(Y240="ns",BL226=0,BM226=0)),1,IF(OR(AND(Y240&gt;0,BL226=2),AND(Y240="ns",BL226=2),AND(Y240="ns",BM226=0,BL226&gt;0),Y240=BM226),0,1))))</f>
        <v>0</v>
      </c>
      <c r="BO226" s="283">
        <f>COUNTIF(AC240:AD240,"NS")</f>
        <v>0</v>
      </c>
      <c r="BP226" s="283">
        <f>SUM(AC240:AD240)</f>
        <v>0</v>
      </c>
      <c r="BQ226" s="283">
        <f>IF(COUNTIF(AB240:AD240,"NA")=3,0,IF(COUNTA(AB240:AD240)=0,0,IF(OR(AND(AB240=0,BO226&gt;0),AND(AB240="ns",BP226&gt;0),AND(AB240="ns",BO226=0,BP226=0)),1,IF(OR(AND(AB240&gt;0,BO226=2),AND(AB240="ns",BO226=2),AND(AB240="ns",BP226=0,BO226&gt;0),AB240=BP226),0,1))))</f>
        <v>0</v>
      </c>
      <c r="BR226" s="283">
        <f>COUNTIF(N254:O254,"NS")</f>
        <v>0</v>
      </c>
      <c r="BS226" s="283">
        <f>SUM(N254:O254)</f>
        <v>0</v>
      </c>
      <c r="BT226" s="283">
        <f>IF(COUNTIF(M254:O254,"NA")=3,0,IF(COUNTA(M254:O254)=0,0,IF(OR(AND(M254=0,BR226&gt;0),AND(M254="ns",BS226&gt;0),AND(M254="ns",BR226=0,BS226=0)),1,IF(OR(AND(M254&gt;0,BR226=2),AND(M254="ns",BR226=2),AND(M254="ns",BS226=0,BR226&gt;0),M254=BS226),0,1))))</f>
        <v>0</v>
      </c>
      <c r="BU226" s="283">
        <f>COUNTIF(Q254:R254,"NS")</f>
        <v>0</v>
      </c>
      <c r="BV226" s="283">
        <f>SUM(Q254:R254)</f>
        <v>0</v>
      </c>
      <c r="BW226" s="283">
        <f>IF(COUNTIF(P254:R254,"NA")=3,0,IF(COUNTA(P254:R254)=0,0,IF(OR(AND(P254=0,BU226&gt;0),AND(P254="ns",BV226&gt;0),AND(P254="ns",BU226=0,BV226=0)),1,IF(OR(AND(P254&gt;0,BU226=2),AND(P254="ns",BU226=2),AND(P254="ns",BV226=0,BU226&gt;0),P254=BV226),0,1))))</f>
        <v>0</v>
      </c>
      <c r="BX226" s="283">
        <f>COUNTIF(T254:U254,"NS")</f>
        <v>0</v>
      </c>
      <c r="BY226" s="283">
        <f>SUM(T254:U254)</f>
        <v>0</v>
      </c>
      <c r="BZ226" s="283">
        <f>IF(COUNTIF(S254:U254,"NA")=3,0,IF(COUNTA(S254:U254)=0,0,IF(OR(AND(S254=0,BX226&gt;0),AND(S254="ns",BY226&gt;0),AND(S254="ns",BX226=0,BY226=0)),1,IF(OR(AND(S254&gt;0,BX226=2),AND(S254="ns",BX226=2),AND(S254="ns",BY226=0,BX226&gt;0),S254=BY226),0,1))))</f>
        <v>0</v>
      </c>
      <c r="CA226" s="283">
        <f>COUNTIF(W254:X254,"NS")</f>
        <v>0</v>
      </c>
      <c r="CB226" s="283">
        <f>SUM(W254:X254)</f>
        <v>0</v>
      </c>
      <c r="CC226" s="283">
        <f>IF(COUNTIF(V254:X254,"NA")=3,0,IF(COUNTA(V254:X254)=0,0,IF(OR(AND(V254=0,CA226&gt;0),AND(V254="ns",CB226&gt;0),AND(V254="ns",CA226=0,CB226=0)),1,IF(OR(AND(V254&gt;0,CA226=2),AND(V254="ns",CA226=2),AND(V254="ns",CB226=0,CA226&gt;0),V254=CB226),0,1))))</f>
        <v>0</v>
      </c>
      <c r="CD226" s="283">
        <f>COUNTIF(Z254:AA254,"NS")</f>
        <v>0</v>
      </c>
      <c r="CE226" s="283">
        <f>SUM(Z254:AA254)</f>
        <v>0</v>
      </c>
      <c r="CF226" s="283">
        <f>IF(COUNTIF(Y254:AA254,"NA")=3,0,IF(COUNTA(Y254:AA254)=0,0,IF(OR(AND(Y254=0,CD226&gt;0),AND(Y254="ns",CE226&gt;0),AND(Y254="ns",CD226=0,CE226=0)),1,IF(OR(AND(Y254&gt;0,CD226=2),AND(Y254="ns",CD226=2),AND(Y254="ns",CE226=0,CD226&gt;0),Y254=CE226),0,1))))</f>
        <v>0</v>
      </c>
      <c r="CG226" s="283">
        <f>COUNTIF(AC254:AD254,"NS")</f>
        <v>0</v>
      </c>
      <c r="CH226" s="283">
        <f>SUM(AC254:AD254)</f>
        <v>0</v>
      </c>
      <c r="CI226" s="283">
        <f>IF(COUNTIF(AB254:AD254,"NA")=3,0,IF(COUNTA(AB254:AD254)=0,0,IF(OR(AND(AB254=0,CG226&gt;0),AND(AB254="ns",CH226&gt;0),AND(AB254="ns",CG226=0,CH226=0)),1,IF(OR(AND(AB254&gt;0,CG226=2),AND(AB254="ns",CG226=2),AND(AB254="ns",CH226=0,CG226&gt;0),AB254=CH226),0,1))))</f>
        <v>0</v>
      </c>
    </row>
    <row r="227" spans="1:87" ht="15" customHeight="1">
      <c r="A227" s="49"/>
      <c r="B227" s="38"/>
      <c r="C227" s="44" t="s">
        <v>2517</v>
      </c>
      <c r="D227" s="813" t="str">
        <f>IF(CNSIPEE_2024_M2_Secc1!D43="","",CNSIPEE_2024_M2_Secc1!D43)</f>
        <v/>
      </c>
      <c r="E227" s="814"/>
      <c r="F227" s="814"/>
      <c r="G227" s="814"/>
      <c r="H227" s="814"/>
      <c r="I227" s="814"/>
      <c r="J227" s="814"/>
      <c r="K227" s="814"/>
      <c r="L227" s="815"/>
      <c r="M227" s="100"/>
      <c r="N227" s="100"/>
      <c r="O227" s="100"/>
      <c r="P227" s="100"/>
      <c r="Q227" s="100"/>
      <c r="R227" s="100"/>
      <c r="S227" s="100"/>
      <c r="T227" s="100"/>
      <c r="U227" s="100"/>
      <c r="V227" s="100"/>
      <c r="W227" s="100"/>
      <c r="X227" s="100"/>
      <c r="Y227" s="100"/>
      <c r="Z227" s="100"/>
      <c r="AA227" s="100"/>
      <c r="AB227" s="100"/>
      <c r="AC227" s="100"/>
      <c r="AD227" s="100"/>
      <c r="AG227" s="326">
        <f t="shared" ref="AG227:AG233" si="136">IF(AND(COUNTBLANK(D227)=0,COUNTA(M227:AD227,M241:AD241,M255:AD255)=54),0,IF(AND(COUNTBLANK(D227)=1,COUNTA(M227:AD227,M241:AD241,M255:AD255)=0),0,1))</f>
        <v>0</v>
      </c>
      <c r="AH227" s="283">
        <f t="shared" ref="AH227:AH233" si="137">COUNTIF(N227:O227,"NS")</f>
        <v>0</v>
      </c>
      <c r="AI227" s="283">
        <f t="shared" ref="AI227:AI233" si="138">SUM(N227:O227)</f>
        <v>0</v>
      </c>
      <c r="AJ227" s="283">
        <f t="shared" ref="AJ227:AJ233" si="139">IF(COUNTIF(M227:O227,"NA")=3,0,IF(COUNTA(M227:O227)=0,0,IF(OR(AND(M227=0,AH227&gt;0),AND(M227="ns",AI227&gt;0),AND(M227="ns",AH227=0,AI227=0)),1,IF(OR(AND(M227&gt;0,AH227=2),AND(M227="ns",AH227=2),AND(M227="ns",AI227=0,AH227&gt;0),M227=AI227),0,1))))</f>
        <v>0</v>
      </c>
      <c r="AK227" s="283">
        <f t="shared" ref="AK227:AK233" si="140">COUNTIF(Q227:R227,"NS")</f>
        <v>0</v>
      </c>
      <c r="AL227" s="283">
        <f t="shared" ref="AL227:AL233" si="141">SUM(Q227:R227)</f>
        <v>0</v>
      </c>
      <c r="AM227" s="283">
        <f t="shared" ref="AM227:AM233" si="142">IF(COUNTIF(P227:R227,"NA")=3,0,IF(COUNTA(P227:R227)=0,0,IF(OR(AND(P227=0,AK227&gt;0),AND(P227="ns",AL227&gt;0),AND(P227="ns",AK227=0,AL227=0)),1,IF(OR(AND(P227&gt;0,AK227=2),AND(P227="ns",AK227=2),AND(P227="ns",AL227=0,AK227&gt;0),P227=AL227),0,1))))</f>
        <v>0</v>
      </c>
      <c r="AN227" s="283">
        <f t="shared" ref="AN227:AN233" si="143">COUNTIF(T227:U227,"NS")</f>
        <v>0</v>
      </c>
      <c r="AO227" s="283">
        <f t="shared" ref="AO227:AO233" si="144">SUM(T227:U227)</f>
        <v>0</v>
      </c>
      <c r="AP227" s="283">
        <f t="shared" ref="AP227:AP233" si="145">IF(COUNTIF(S227:U227,"NA")=3,0,IF(COUNTA(S227:U227)=0,0,IF(OR(AND(S227=0,AN227&gt;0),AND(S227="ns",AO227&gt;0),AND(S227="ns",AN227=0,AO227=0)),1,IF(OR(AND(S227&gt;0,AN227=2),AND(S227="ns",AN227=2),AND(S227="ns",AO227=0,AN227&gt;0),S227=AO227),0,1))))</f>
        <v>0</v>
      </c>
      <c r="AQ227" s="283">
        <f t="shared" ref="AQ227:AQ233" si="146">COUNTIF(W227:X227,"NS")</f>
        <v>0</v>
      </c>
      <c r="AR227" s="283">
        <f t="shared" ref="AR227:AR233" si="147">SUM(W227:X227)</f>
        <v>0</v>
      </c>
      <c r="AS227" s="283">
        <f t="shared" ref="AS227:AS233" si="148">IF(COUNTIF(V227:X227,"NA")=3,0,IF(COUNTA(V227:X227)=0,0,IF(OR(AND(V227=0,AQ227&gt;0),AND(V227="ns",AR227&gt;0),AND(V227="ns",AQ227=0,AR227=0)),1,IF(OR(AND(V227&gt;0,AQ227=2),AND(V227="ns",AQ227=2),AND(V227="ns",AR227=0,AQ227&gt;0),V227=AR227),0,1))))</f>
        <v>0</v>
      </c>
      <c r="AT227" s="283">
        <f t="shared" ref="AT227:AT233" si="149">COUNTIF(Z227:AA227,"NS")</f>
        <v>0</v>
      </c>
      <c r="AU227" s="283">
        <f t="shared" ref="AU227:AU233" si="150">SUM(Z227:AA227)</f>
        <v>0</v>
      </c>
      <c r="AV227" s="283">
        <f t="shared" ref="AV227:AV233" si="151">IF(COUNTIF(Y227:AA227,"NA")=3,0,IF(COUNTA(Y227:AA227)=0,0,IF(OR(AND(Y227=0,AT227&gt;0),AND(Y227="ns",AU227&gt;0),AND(Y227="ns",AT227=0,AU227=0)),1,IF(OR(AND(Y227&gt;0,AT227=2),AND(Y227="ns",AT227=2),AND(Y227="ns",AU227=0,AT227&gt;0),Y227=AU227),0,1))))</f>
        <v>0</v>
      </c>
      <c r="AW227" s="283">
        <f t="shared" ref="AW227:AW233" si="152">COUNTIF(AC227:AD227,"NS")</f>
        <v>0</v>
      </c>
      <c r="AX227" s="283">
        <f t="shared" ref="AX227:AX233" si="153">SUM(AC227:AD227)</f>
        <v>0</v>
      </c>
      <c r="AY227" s="283">
        <f t="shared" ref="AY227:AY233" si="154">IF(COUNTIF(AB227:AD227,"NA")=3,0,IF(COUNTA(AB227:AD227)=0,0,IF(OR(AND(AB227=0,AW227&gt;0),AND(AB227="ns",AX227&gt;0),AND(AB227="ns",AW227=0,AX227=0)),1,IF(OR(AND(AB227&gt;0,AW227=2),AND(AB227="ns",AW227=2),AND(AB227="ns",AX227=0,AW227&gt;0),AB227=AX227),0,1))))</f>
        <v>0</v>
      </c>
      <c r="AZ227" s="283">
        <f t="shared" ref="AZ227:AZ233" si="155">COUNTIF(N241:O241,"NS")</f>
        <v>0</v>
      </c>
      <c r="BA227" s="283">
        <f t="shared" ref="BA227:BA233" si="156">SUM(N241:O241)</f>
        <v>0</v>
      </c>
      <c r="BB227" s="283">
        <f t="shared" ref="BB227:BB233" si="157">IF(COUNTIF(M241:O241,"NA")=3,0,IF(COUNTA(M241:O241)=0,0,IF(OR(AND(M241=0,AZ227&gt;0),AND(M241="ns",BA227&gt;0),AND(M241="ns",AZ227=0,BA227=0)),1,IF(OR(AND(M241&gt;0,AZ227=2),AND(M241="ns",AZ227=2),AND(M241="ns",BA227=0,AZ227&gt;0),M241=BA227),0,1))))</f>
        <v>0</v>
      </c>
      <c r="BC227" s="283">
        <f t="shared" ref="BC227:BC233" si="158">COUNTIF(Q241:R241,"NS")</f>
        <v>0</v>
      </c>
      <c r="BD227" s="283">
        <f t="shared" ref="BD227:BD233" si="159">SUM(Q241:R241)</f>
        <v>0</v>
      </c>
      <c r="BE227" s="283">
        <f t="shared" ref="BE227:BE233" si="160">IF(COUNTIF(P241:R241,"NA")=3,0,IF(COUNTA(P241:R241)=0,0,IF(OR(AND(P241=0,BC227&gt;0),AND(P241="ns",BD227&gt;0),AND(P241="ns",BC227=0,BD227=0)),1,IF(OR(AND(P241&gt;0,BC227=2),AND(P241="ns",BC227=2),AND(P241="ns",BD227=0,BC227&gt;0),P241=BD227),0,1))))</f>
        <v>0</v>
      </c>
      <c r="BF227" s="283">
        <f t="shared" ref="BF227:BF233" si="161">COUNTIF(T241:U241,"NS")</f>
        <v>0</v>
      </c>
      <c r="BG227" s="283">
        <f t="shared" ref="BG227:BG233" si="162">SUM(T241:U241)</f>
        <v>0</v>
      </c>
      <c r="BH227" s="283">
        <f t="shared" ref="BH227:BH233" si="163">IF(COUNTIF(S241:U241,"NA")=3,0,IF(COUNTA(S241:U241)=0,0,IF(OR(AND(S241=0,BF227&gt;0),AND(S241="ns",BG227&gt;0),AND(S241="ns",BF227=0,BG227=0)),1,IF(OR(AND(S241&gt;0,BF227=2),AND(S241="ns",BF227=2),AND(S241="ns",BG227=0,BF227&gt;0),S241=BG227),0,1))))</f>
        <v>0</v>
      </c>
      <c r="BI227" s="283">
        <f t="shared" ref="BI227:BI233" si="164">COUNTIF(W241:X241,"NS")</f>
        <v>0</v>
      </c>
      <c r="BJ227" s="283">
        <f t="shared" ref="BJ227:BJ233" si="165">SUM(W241:X241)</f>
        <v>0</v>
      </c>
      <c r="BK227" s="283">
        <f t="shared" ref="BK227:BK233" si="166">IF(COUNTIF(V241:X241,"NA")=3,0,IF(COUNTA(V241:X241)=0,0,IF(OR(AND(V241=0,BI227&gt;0),AND(V241="ns",BJ227&gt;0),AND(V241="ns",BI227=0,BJ227=0)),1,IF(OR(AND(V241&gt;0,BI227=2),AND(V241="ns",BI227=2),AND(V241="ns",BJ227=0,BI227&gt;0),V241=BJ227),0,1))))</f>
        <v>0</v>
      </c>
      <c r="BL227" s="283">
        <f t="shared" ref="BL227:BL233" si="167">COUNTIF(Z241:AA241,"NS")</f>
        <v>0</v>
      </c>
      <c r="BM227" s="283">
        <f t="shared" ref="BM227:BM233" si="168">SUM(Z241:AA241)</f>
        <v>0</v>
      </c>
      <c r="BN227" s="283">
        <f t="shared" ref="BN227:BN233" si="169">IF(COUNTIF(Y241:AA241,"NA")=3,0,IF(COUNTA(Y241:AA241)=0,0,IF(OR(AND(Y241=0,BL227&gt;0),AND(Y241="ns",BM227&gt;0),AND(Y241="ns",BL227=0,BM227=0)),1,IF(OR(AND(Y241&gt;0,BL227=2),AND(Y241="ns",BL227=2),AND(Y241="ns",BM227=0,BL227&gt;0),Y241=BM227),0,1))))</f>
        <v>0</v>
      </c>
      <c r="BO227" s="283">
        <f t="shared" ref="BO227:BO233" si="170">COUNTIF(AC241:AD241,"NS")</f>
        <v>0</v>
      </c>
      <c r="BP227" s="283">
        <f t="shared" ref="BP227:BP233" si="171">SUM(AC241:AD241)</f>
        <v>0</v>
      </c>
      <c r="BQ227" s="283">
        <f t="shared" ref="BQ227:BQ233" si="172">IF(COUNTIF(AB241:AD241,"NA")=3,0,IF(COUNTA(AB241:AD241)=0,0,IF(OR(AND(AB241=0,BO227&gt;0),AND(AB241="ns",BP227&gt;0),AND(AB241="ns",BO227=0,BP227=0)),1,IF(OR(AND(AB241&gt;0,BO227=2),AND(AB241="ns",BO227=2),AND(AB241="ns",BP227=0,BO227&gt;0),AB241=BP227),0,1))))</f>
        <v>0</v>
      </c>
      <c r="BR227" s="283">
        <f t="shared" ref="BR227:BR233" si="173">COUNTIF(N255:O255,"NS")</f>
        <v>0</v>
      </c>
      <c r="BS227" s="283">
        <f t="shared" ref="BS227:BS233" si="174">SUM(N255:O255)</f>
        <v>0</v>
      </c>
      <c r="BT227" s="283">
        <f t="shared" ref="BT227:BT233" si="175">IF(COUNTIF(M255:O255,"NA")=3,0,IF(COUNTA(M255:O255)=0,0,IF(OR(AND(M255=0,BR227&gt;0),AND(M255="ns",BS227&gt;0),AND(M255="ns",BR227=0,BS227=0)),1,IF(OR(AND(M255&gt;0,BR227=2),AND(M255="ns",BR227=2),AND(M255="ns",BS227=0,BR227&gt;0),M255=BS227),0,1))))</f>
        <v>0</v>
      </c>
      <c r="BU227" s="283">
        <f t="shared" ref="BU227:BU233" si="176">COUNTIF(Q255:R255,"NS")</f>
        <v>0</v>
      </c>
      <c r="BV227" s="283">
        <f t="shared" ref="BV227:BV233" si="177">SUM(Q255:R255)</f>
        <v>0</v>
      </c>
      <c r="BW227" s="283">
        <f t="shared" ref="BW227:BW233" si="178">IF(COUNTIF(P255:R255,"NA")=3,0,IF(COUNTA(P255:R255)=0,0,IF(OR(AND(P255=0,BU227&gt;0),AND(P255="ns",BV227&gt;0),AND(P255="ns",BU227=0,BV227=0)),1,IF(OR(AND(P255&gt;0,BU227=2),AND(P255="ns",BU227=2),AND(P255="ns",BV227=0,BU227&gt;0),P255=BV227),0,1))))</f>
        <v>0</v>
      </c>
      <c r="BX227" s="283">
        <f t="shared" ref="BX227:BX233" si="179">COUNTIF(T255:U255,"NS")</f>
        <v>0</v>
      </c>
      <c r="BY227" s="283">
        <f t="shared" ref="BY227:BY233" si="180">SUM(T255:U255)</f>
        <v>0</v>
      </c>
      <c r="BZ227" s="283">
        <f t="shared" ref="BZ227:BZ233" si="181">IF(COUNTIF(S255:U255,"NA")=3,0,IF(COUNTA(S255:U255)=0,0,IF(OR(AND(S255=0,BX227&gt;0),AND(S255="ns",BY227&gt;0),AND(S255="ns",BX227=0,BY227=0)),1,IF(OR(AND(S255&gt;0,BX227=2),AND(S255="ns",BX227=2),AND(S255="ns",BY227=0,BX227&gt;0),S255=BY227),0,1))))</f>
        <v>0</v>
      </c>
      <c r="CA227" s="283">
        <f t="shared" ref="CA227:CA233" si="182">COUNTIF(W255:X255,"NS")</f>
        <v>0</v>
      </c>
      <c r="CB227" s="283">
        <f t="shared" ref="CB227:CB233" si="183">SUM(W255:X255)</f>
        <v>0</v>
      </c>
      <c r="CC227" s="283">
        <f t="shared" ref="CC227:CC233" si="184">IF(COUNTIF(V255:X255,"NA")=3,0,IF(COUNTA(V255:X255)=0,0,IF(OR(AND(V255=0,CA227&gt;0),AND(V255="ns",CB227&gt;0),AND(V255="ns",CA227=0,CB227=0)),1,IF(OR(AND(V255&gt;0,CA227=2),AND(V255="ns",CA227=2),AND(V255="ns",CB227=0,CA227&gt;0),V255=CB227),0,1))))</f>
        <v>0</v>
      </c>
      <c r="CD227" s="283">
        <f t="shared" ref="CD227:CD233" si="185">COUNTIF(Z255:AA255,"NS")</f>
        <v>0</v>
      </c>
      <c r="CE227" s="283">
        <f t="shared" ref="CE227:CE233" si="186">SUM(Z255:AA255)</f>
        <v>0</v>
      </c>
      <c r="CF227" s="283">
        <f t="shared" ref="CF227:CF233" si="187">IF(COUNTIF(Y255:AA255,"NA")=3,0,IF(COUNTA(Y255:AA255)=0,0,IF(OR(AND(Y255=0,CD227&gt;0),AND(Y255="ns",CE227&gt;0),AND(Y255="ns",CD227=0,CE227=0)),1,IF(OR(AND(Y255&gt;0,CD227=2),AND(Y255="ns",CD227=2),AND(Y255="ns",CE227=0,CD227&gt;0),Y255=CE227),0,1))))</f>
        <v>0</v>
      </c>
      <c r="CG227" s="283">
        <f t="shared" ref="CG227:CG233" si="188">COUNTIF(AC255:AD255,"NS")</f>
        <v>0</v>
      </c>
      <c r="CH227" s="283">
        <f t="shared" ref="CH227:CH233" si="189">SUM(AC255:AD255)</f>
        <v>0</v>
      </c>
      <c r="CI227" s="283">
        <f t="shared" ref="CI227:CI233" si="190">IF(COUNTIF(AB255:AD255,"NA")=3,0,IF(COUNTA(AB255:AD255)=0,0,IF(OR(AND(AB255=0,CG227&gt;0),AND(AB255="ns",CH227&gt;0),AND(AB255="ns",CG227=0,CH227=0)),1,IF(OR(AND(AB255&gt;0,CG227=2),AND(AB255="ns",CG227=2),AND(AB255="ns",CH227=0,CG227&gt;0),AB255=CH227),0,1))))</f>
        <v>0</v>
      </c>
    </row>
    <row r="228" spans="1:87" ht="15" customHeight="1">
      <c r="A228" s="49"/>
      <c r="B228" s="38"/>
      <c r="C228" s="44" t="s">
        <v>2518</v>
      </c>
      <c r="D228" s="813" t="str">
        <f>IF(CNSIPEE_2024_M2_Secc1!D44="","",CNSIPEE_2024_M2_Secc1!D44)</f>
        <v/>
      </c>
      <c r="E228" s="814"/>
      <c r="F228" s="814"/>
      <c r="G228" s="814"/>
      <c r="H228" s="814"/>
      <c r="I228" s="814"/>
      <c r="J228" s="814"/>
      <c r="K228" s="814"/>
      <c r="L228" s="815"/>
      <c r="M228" s="100"/>
      <c r="N228" s="100"/>
      <c r="O228" s="100"/>
      <c r="P228" s="100"/>
      <c r="Q228" s="100"/>
      <c r="R228" s="100"/>
      <c r="S228" s="100"/>
      <c r="T228" s="100"/>
      <c r="U228" s="100"/>
      <c r="V228" s="100"/>
      <c r="W228" s="100"/>
      <c r="X228" s="100"/>
      <c r="Y228" s="100"/>
      <c r="Z228" s="100"/>
      <c r="AA228" s="100"/>
      <c r="AB228" s="100"/>
      <c r="AC228" s="100"/>
      <c r="AD228" s="100"/>
      <c r="AG228" s="326">
        <f t="shared" si="136"/>
        <v>0</v>
      </c>
      <c r="AH228" s="283">
        <f t="shared" si="137"/>
        <v>0</v>
      </c>
      <c r="AI228" s="283">
        <f t="shared" si="138"/>
        <v>0</v>
      </c>
      <c r="AJ228" s="283">
        <f t="shared" si="139"/>
        <v>0</v>
      </c>
      <c r="AK228" s="283">
        <f t="shared" si="140"/>
        <v>0</v>
      </c>
      <c r="AL228" s="283">
        <f t="shared" si="141"/>
        <v>0</v>
      </c>
      <c r="AM228" s="283">
        <f t="shared" si="142"/>
        <v>0</v>
      </c>
      <c r="AN228" s="283">
        <f t="shared" si="143"/>
        <v>0</v>
      </c>
      <c r="AO228" s="283">
        <f t="shared" si="144"/>
        <v>0</v>
      </c>
      <c r="AP228" s="283">
        <f t="shared" si="145"/>
        <v>0</v>
      </c>
      <c r="AQ228" s="283">
        <f t="shared" si="146"/>
        <v>0</v>
      </c>
      <c r="AR228" s="283">
        <f t="shared" si="147"/>
        <v>0</v>
      </c>
      <c r="AS228" s="283">
        <f t="shared" si="148"/>
        <v>0</v>
      </c>
      <c r="AT228" s="283">
        <f t="shared" si="149"/>
        <v>0</v>
      </c>
      <c r="AU228" s="283">
        <f t="shared" si="150"/>
        <v>0</v>
      </c>
      <c r="AV228" s="283">
        <f t="shared" si="151"/>
        <v>0</v>
      </c>
      <c r="AW228" s="283">
        <f t="shared" si="152"/>
        <v>0</v>
      </c>
      <c r="AX228" s="283">
        <f t="shared" si="153"/>
        <v>0</v>
      </c>
      <c r="AY228" s="283">
        <f t="shared" si="154"/>
        <v>0</v>
      </c>
      <c r="AZ228" s="283">
        <f t="shared" si="155"/>
        <v>0</v>
      </c>
      <c r="BA228" s="283">
        <f t="shared" si="156"/>
        <v>0</v>
      </c>
      <c r="BB228" s="283">
        <f t="shared" si="157"/>
        <v>0</v>
      </c>
      <c r="BC228" s="283">
        <f t="shared" si="158"/>
        <v>0</v>
      </c>
      <c r="BD228" s="283">
        <f t="shared" si="159"/>
        <v>0</v>
      </c>
      <c r="BE228" s="283">
        <f t="shared" si="160"/>
        <v>0</v>
      </c>
      <c r="BF228" s="283">
        <f t="shared" si="161"/>
        <v>0</v>
      </c>
      <c r="BG228" s="283">
        <f t="shared" si="162"/>
        <v>0</v>
      </c>
      <c r="BH228" s="283">
        <f t="shared" si="163"/>
        <v>0</v>
      </c>
      <c r="BI228" s="283">
        <f t="shared" si="164"/>
        <v>0</v>
      </c>
      <c r="BJ228" s="283">
        <f t="shared" si="165"/>
        <v>0</v>
      </c>
      <c r="BK228" s="283">
        <f t="shared" si="166"/>
        <v>0</v>
      </c>
      <c r="BL228" s="283">
        <f t="shared" si="167"/>
        <v>0</v>
      </c>
      <c r="BM228" s="283">
        <f t="shared" si="168"/>
        <v>0</v>
      </c>
      <c r="BN228" s="283">
        <f t="shared" si="169"/>
        <v>0</v>
      </c>
      <c r="BO228" s="283">
        <f t="shared" si="170"/>
        <v>0</v>
      </c>
      <c r="BP228" s="283">
        <f t="shared" si="171"/>
        <v>0</v>
      </c>
      <c r="BQ228" s="283">
        <f t="shared" si="172"/>
        <v>0</v>
      </c>
      <c r="BR228" s="283">
        <f t="shared" si="173"/>
        <v>0</v>
      </c>
      <c r="BS228" s="283">
        <f t="shared" si="174"/>
        <v>0</v>
      </c>
      <c r="BT228" s="283">
        <f t="shared" si="175"/>
        <v>0</v>
      </c>
      <c r="BU228" s="283">
        <f t="shared" si="176"/>
        <v>0</v>
      </c>
      <c r="BV228" s="283">
        <f t="shared" si="177"/>
        <v>0</v>
      </c>
      <c r="BW228" s="283">
        <f t="shared" si="178"/>
        <v>0</v>
      </c>
      <c r="BX228" s="283">
        <f t="shared" si="179"/>
        <v>0</v>
      </c>
      <c r="BY228" s="283">
        <f t="shared" si="180"/>
        <v>0</v>
      </c>
      <c r="BZ228" s="283">
        <f t="shared" si="181"/>
        <v>0</v>
      </c>
      <c r="CA228" s="283">
        <f t="shared" si="182"/>
        <v>0</v>
      </c>
      <c r="CB228" s="283">
        <f t="shared" si="183"/>
        <v>0</v>
      </c>
      <c r="CC228" s="283">
        <f t="shared" si="184"/>
        <v>0</v>
      </c>
      <c r="CD228" s="283">
        <f t="shared" si="185"/>
        <v>0</v>
      </c>
      <c r="CE228" s="283">
        <f t="shared" si="186"/>
        <v>0</v>
      </c>
      <c r="CF228" s="283">
        <f t="shared" si="187"/>
        <v>0</v>
      </c>
      <c r="CG228" s="283">
        <f t="shared" si="188"/>
        <v>0</v>
      </c>
      <c r="CH228" s="283">
        <f t="shared" si="189"/>
        <v>0</v>
      </c>
      <c r="CI228" s="283">
        <f t="shared" si="190"/>
        <v>0</v>
      </c>
    </row>
    <row r="229" spans="1:87" ht="15" customHeight="1">
      <c r="A229" s="49"/>
      <c r="B229" s="38"/>
      <c r="C229" s="44" t="s">
        <v>2519</v>
      </c>
      <c r="D229" s="813" t="str">
        <f>IF(CNSIPEE_2024_M2_Secc1!D45="","",CNSIPEE_2024_M2_Secc1!D45)</f>
        <v/>
      </c>
      <c r="E229" s="814"/>
      <c r="F229" s="814"/>
      <c r="G229" s="814"/>
      <c r="H229" s="814"/>
      <c r="I229" s="814"/>
      <c r="J229" s="814"/>
      <c r="K229" s="814"/>
      <c r="L229" s="815"/>
      <c r="M229" s="100"/>
      <c r="N229" s="100"/>
      <c r="O229" s="100"/>
      <c r="P229" s="100"/>
      <c r="Q229" s="100"/>
      <c r="R229" s="100"/>
      <c r="S229" s="100"/>
      <c r="T229" s="100"/>
      <c r="U229" s="100"/>
      <c r="V229" s="100"/>
      <c r="W229" s="100"/>
      <c r="X229" s="100"/>
      <c r="Y229" s="100"/>
      <c r="Z229" s="100"/>
      <c r="AA229" s="100"/>
      <c r="AB229" s="100"/>
      <c r="AC229" s="100"/>
      <c r="AD229" s="100"/>
      <c r="AG229" s="326">
        <f t="shared" si="136"/>
        <v>0</v>
      </c>
      <c r="AH229" s="283">
        <f t="shared" si="137"/>
        <v>0</v>
      </c>
      <c r="AI229" s="283">
        <f t="shared" si="138"/>
        <v>0</v>
      </c>
      <c r="AJ229" s="283">
        <f t="shared" si="139"/>
        <v>0</v>
      </c>
      <c r="AK229" s="283">
        <f t="shared" si="140"/>
        <v>0</v>
      </c>
      <c r="AL229" s="283">
        <f t="shared" si="141"/>
        <v>0</v>
      </c>
      <c r="AM229" s="283">
        <f t="shared" si="142"/>
        <v>0</v>
      </c>
      <c r="AN229" s="283">
        <f t="shared" si="143"/>
        <v>0</v>
      </c>
      <c r="AO229" s="283">
        <f t="shared" si="144"/>
        <v>0</v>
      </c>
      <c r="AP229" s="283">
        <f t="shared" si="145"/>
        <v>0</v>
      </c>
      <c r="AQ229" s="283">
        <f t="shared" si="146"/>
        <v>0</v>
      </c>
      <c r="AR229" s="283">
        <f t="shared" si="147"/>
        <v>0</v>
      </c>
      <c r="AS229" s="283">
        <f t="shared" si="148"/>
        <v>0</v>
      </c>
      <c r="AT229" s="283">
        <f t="shared" si="149"/>
        <v>0</v>
      </c>
      <c r="AU229" s="283">
        <f t="shared" si="150"/>
        <v>0</v>
      </c>
      <c r="AV229" s="283">
        <f t="shared" si="151"/>
        <v>0</v>
      </c>
      <c r="AW229" s="283">
        <f t="shared" si="152"/>
        <v>0</v>
      </c>
      <c r="AX229" s="283">
        <f t="shared" si="153"/>
        <v>0</v>
      </c>
      <c r="AY229" s="283">
        <f t="shared" si="154"/>
        <v>0</v>
      </c>
      <c r="AZ229" s="283">
        <f t="shared" si="155"/>
        <v>0</v>
      </c>
      <c r="BA229" s="283">
        <f t="shared" si="156"/>
        <v>0</v>
      </c>
      <c r="BB229" s="283">
        <f t="shared" si="157"/>
        <v>0</v>
      </c>
      <c r="BC229" s="283">
        <f t="shared" si="158"/>
        <v>0</v>
      </c>
      <c r="BD229" s="283">
        <f t="shared" si="159"/>
        <v>0</v>
      </c>
      <c r="BE229" s="283">
        <f t="shared" si="160"/>
        <v>0</v>
      </c>
      <c r="BF229" s="283">
        <f t="shared" si="161"/>
        <v>0</v>
      </c>
      <c r="BG229" s="283">
        <f t="shared" si="162"/>
        <v>0</v>
      </c>
      <c r="BH229" s="283">
        <f t="shared" si="163"/>
        <v>0</v>
      </c>
      <c r="BI229" s="283">
        <f t="shared" si="164"/>
        <v>0</v>
      </c>
      <c r="BJ229" s="283">
        <f t="shared" si="165"/>
        <v>0</v>
      </c>
      <c r="BK229" s="283">
        <f t="shared" si="166"/>
        <v>0</v>
      </c>
      <c r="BL229" s="283">
        <f t="shared" si="167"/>
        <v>0</v>
      </c>
      <c r="BM229" s="283">
        <f t="shared" si="168"/>
        <v>0</v>
      </c>
      <c r="BN229" s="283">
        <f t="shared" si="169"/>
        <v>0</v>
      </c>
      <c r="BO229" s="283">
        <f t="shared" si="170"/>
        <v>0</v>
      </c>
      <c r="BP229" s="283">
        <f t="shared" si="171"/>
        <v>0</v>
      </c>
      <c r="BQ229" s="283">
        <f t="shared" si="172"/>
        <v>0</v>
      </c>
      <c r="BR229" s="283">
        <f t="shared" si="173"/>
        <v>0</v>
      </c>
      <c r="BS229" s="283">
        <f t="shared" si="174"/>
        <v>0</v>
      </c>
      <c r="BT229" s="283">
        <f t="shared" si="175"/>
        <v>0</v>
      </c>
      <c r="BU229" s="283">
        <f t="shared" si="176"/>
        <v>0</v>
      </c>
      <c r="BV229" s="283">
        <f t="shared" si="177"/>
        <v>0</v>
      </c>
      <c r="BW229" s="283">
        <f t="shared" si="178"/>
        <v>0</v>
      </c>
      <c r="BX229" s="283">
        <f t="shared" si="179"/>
        <v>0</v>
      </c>
      <c r="BY229" s="283">
        <f t="shared" si="180"/>
        <v>0</v>
      </c>
      <c r="BZ229" s="283">
        <f t="shared" si="181"/>
        <v>0</v>
      </c>
      <c r="CA229" s="283">
        <f t="shared" si="182"/>
        <v>0</v>
      </c>
      <c r="CB229" s="283">
        <f t="shared" si="183"/>
        <v>0</v>
      </c>
      <c r="CC229" s="283">
        <f t="shared" si="184"/>
        <v>0</v>
      </c>
      <c r="CD229" s="283">
        <f t="shared" si="185"/>
        <v>0</v>
      </c>
      <c r="CE229" s="283">
        <f t="shared" si="186"/>
        <v>0</v>
      </c>
      <c r="CF229" s="283">
        <f t="shared" si="187"/>
        <v>0</v>
      </c>
      <c r="CG229" s="283">
        <f t="shared" si="188"/>
        <v>0</v>
      </c>
      <c r="CH229" s="283">
        <f t="shared" si="189"/>
        <v>0</v>
      </c>
      <c r="CI229" s="283">
        <f t="shared" si="190"/>
        <v>0</v>
      </c>
    </row>
    <row r="230" spans="1:87" ht="15" customHeight="1">
      <c r="A230" s="49"/>
      <c r="B230" s="38"/>
      <c r="C230" s="44" t="s">
        <v>2520</v>
      </c>
      <c r="D230" s="813" t="str">
        <f>IF(CNSIPEE_2024_M2_Secc1!D46="","",CNSIPEE_2024_M2_Secc1!D46)</f>
        <v/>
      </c>
      <c r="E230" s="814"/>
      <c r="F230" s="814"/>
      <c r="G230" s="814"/>
      <c r="H230" s="814"/>
      <c r="I230" s="814"/>
      <c r="J230" s="814"/>
      <c r="K230" s="814"/>
      <c r="L230" s="815"/>
      <c r="M230" s="100"/>
      <c r="N230" s="100"/>
      <c r="O230" s="100"/>
      <c r="P230" s="100"/>
      <c r="Q230" s="100"/>
      <c r="R230" s="100"/>
      <c r="S230" s="100"/>
      <c r="T230" s="100"/>
      <c r="U230" s="100"/>
      <c r="V230" s="100"/>
      <c r="W230" s="100"/>
      <c r="X230" s="100"/>
      <c r="Y230" s="100"/>
      <c r="Z230" s="100"/>
      <c r="AA230" s="100"/>
      <c r="AB230" s="100"/>
      <c r="AC230" s="100"/>
      <c r="AD230" s="100"/>
      <c r="AG230" s="326">
        <f t="shared" si="136"/>
        <v>0</v>
      </c>
      <c r="AH230" s="283">
        <f t="shared" si="137"/>
        <v>0</v>
      </c>
      <c r="AI230" s="283">
        <f t="shared" si="138"/>
        <v>0</v>
      </c>
      <c r="AJ230" s="283">
        <f t="shared" si="139"/>
        <v>0</v>
      </c>
      <c r="AK230" s="283">
        <f t="shared" si="140"/>
        <v>0</v>
      </c>
      <c r="AL230" s="283">
        <f t="shared" si="141"/>
        <v>0</v>
      </c>
      <c r="AM230" s="283">
        <f t="shared" si="142"/>
        <v>0</v>
      </c>
      <c r="AN230" s="283">
        <f t="shared" si="143"/>
        <v>0</v>
      </c>
      <c r="AO230" s="283">
        <f t="shared" si="144"/>
        <v>0</v>
      </c>
      <c r="AP230" s="283">
        <f t="shared" si="145"/>
        <v>0</v>
      </c>
      <c r="AQ230" s="283">
        <f t="shared" si="146"/>
        <v>0</v>
      </c>
      <c r="AR230" s="283">
        <f t="shared" si="147"/>
        <v>0</v>
      </c>
      <c r="AS230" s="283">
        <f t="shared" si="148"/>
        <v>0</v>
      </c>
      <c r="AT230" s="283">
        <f t="shared" si="149"/>
        <v>0</v>
      </c>
      <c r="AU230" s="283">
        <f t="shared" si="150"/>
        <v>0</v>
      </c>
      <c r="AV230" s="283">
        <f t="shared" si="151"/>
        <v>0</v>
      </c>
      <c r="AW230" s="283">
        <f t="shared" si="152"/>
        <v>0</v>
      </c>
      <c r="AX230" s="283">
        <f t="shared" si="153"/>
        <v>0</v>
      </c>
      <c r="AY230" s="283">
        <f t="shared" si="154"/>
        <v>0</v>
      </c>
      <c r="AZ230" s="283">
        <f t="shared" si="155"/>
        <v>0</v>
      </c>
      <c r="BA230" s="283">
        <f t="shared" si="156"/>
        <v>0</v>
      </c>
      <c r="BB230" s="283">
        <f t="shared" si="157"/>
        <v>0</v>
      </c>
      <c r="BC230" s="283">
        <f t="shared" si="158"/>
        <v>0</v>
      </c>
      <c r="BD230" s="283">
        <f t="shared" si="159"/>
        <v>0</v>
      </c>
      <c r="BE230" s="283">
        <f t="shared" si="160"/>
        <v>0</v>
      </c>
      <c r="BF230" s="283">
        <f t="shared" si="161"/>
        <v>0</v>
      </c>
      <c r="BG230" s="283">
        <f t="shared" si="162"/>
        <v>0</v>
      </c>
      <c r="BH230" s="283">
        <f t="shared" si="163"/>
        <v>0</v>
      </c>
      <c r="BI230" s="283">
        <f t="shared" si="164"/>
        <v>0</v>
      </c>
      <c r="BJ230" s="283">
        <f t="shared" si="165"/>
        <v>0</v>
      </c>
      <c r="BK230" s="283">
        <f t="shared" si="166"/>
        <v>0</v>
      </c>
      <c r="BL230" s="283">
        <f t="shared" si="167"/>
        <v>0</v>
      </c>
      <c r="BM230" s="283">
        <f t="shared" si="168"/>
        <v>0</v>
      </c>
      <c r="BN230" s="283">
        <f t="shared" si="169"/>
        <v>0</v>
      </c>
      <c r="BO230" s="283">
        <f t="shared" si="170"/>
        <v>0</v>
      </c>
      <c r="BP230" s="283">
        <f t="shared" si="171"/>
        <v>0</v>
      </c>
      <c r="BQ230" s="283">
        <f t="shared" si="172"/>
        <v>0</v>
      </c>
      <c r="BR230" s="283">
        <f t="shared" si="173"/>
        <v>0</v>
      </c>
      <c r="BS230" s="283">
        <f t="shared" si="174"/>
        <v>0</v>
      </c>
      <c r="BT230" s="283">
        <f t="shared" si="175"/>
        <v>0</v>
      </c>
      <c r="BU230" s="283">
        <f t="shared" si="176"/>
        <v>0</v>
      </c>
      <c r="BV230" s="283">
        <f t="shared" si="177"/>
        <v>0</v>
      </c>
      <c r="BW230" s="283">
        <f t="shared" si="178"/>
        <v>0</v>
      </c>
      <c r="BX230" s="283">
        <f t="shared" si="179"/>
        <v>0</v>
      </c>
      <c r="BY230" s="283">
        <f t="shared" si="180"/>
        <v>0</v>
      </c>
      <c r="BZ230" s="283">
        <f t="shared" si="181"/>
        <v>0</v>
      </c>
      <c r="CA230" s="283">
        <f t="shared" si="182"/>
        <v>0</v>
      </c>
      <c r="CB230" s="283">
        <f t="shared" si="183"/>
        <v>0</v>
      </c>
      <c r="CC230" s="283">
        <f t="shared" si="184"/>
        <v>0</v>
      </c>
      <c r="CD230" s="283">
        <f t="shared" si="185"/>
        <v>0</v>
      </c>
      <c r="CE230" s="283">
        <f t="shared" si="186"/>
        <v>0</v>
      </c>
      <c r="CF230" s="283">
        <f t="shared" si="187"/>
        <v>0</v>
      </c>
      <c r="CG230" s="283">
        <f t="shared" si="188"/>
        <v>0</v>
      </c>
      <c r="CH230" s="283">
        <f t="shared" si="189"/>
        <v>0</v>
      </c>
      <c r="CI230" s="283">
        <f t="shared" si="190"/>
        <v>0</v>
      </c>
    </row>
    <row r="231" spans="1:87" ht="15" customHeight="1">
      <c r="A231" s="49"/>
      <c r="B231" s="38"/>
      <c r="C231" s="44" t="s">
        <v>2521</v>
      </c>
      <c r="D231" s="813" t="str">
        <f>IF(CNSIPEE_2024_M2_Secc1!D47="","",CNSIPEE_2024_M2_Secc1!D47)</f>
        <v/>
      </c>
      <c r="E231" s="814"/>
      <c r="F231" s="814"/>
      <c r="G231" s="814"/>
      <c r="H231" s="814"/>
      <c r="I231" s="814"/>
      <c r="J231" s="814"/>
      <c r="K231" s="814"/>
      <c r="L231" s="815"/>
      <c r="M231" s="100"/>
      <c r="N231" s="100"/>
      <c r="O231" s="100"/>
      <c r="P231" s="100"/>
      <c r="Q231" s="100"/>
      <c r="R231" s="100"/>
      <c r="S231" s="100"/>
      <c r="T231" s="100"/>
      <c r="U231" s="100"/>
      <c r="V231" s="100"/>
      <c r="W231" s="100"/>
      <c r="X231" s="100"/>
      <c r="Y231" s="100"/>
      <c r="Z231" s="100"/>
      <c r="AA231" s="100"/>
      <c r="AB231" s="100"/>
      <c r="AC231" s="100"/>
      <c r="AD231" s="100"/>
      <c r="AG231" s="326">
        <f t="shared" si="136"/>
        <v>0</v>
      </c>
      <c r="AH231" s="283">
        <f t="shared" si="137"/>
        <v>0</v>
      </c>
      <c r="AI231" s="283">
        <f t="shared" si="138"/>
        <v>0</v>
      </c>
      <c r="AJ231" s="283">
        <f t="shared" si="139"/>
        <v>0</v>
      </c>
      <c r="AK231" s="283">
        <f t="shared" si="140"/>
        <v>0</v>
      </c>
      <c r="AL231" s="283">
        <f t="shared" si="141"/>
        <v>0</v>
      </c>
      <c r="AM231" s="283">
        <f t="shared" si="142"/>
        <v>0</v>
      </c>
      <c r="AN231" s="283">
        <f t="shared" si="143"/>
        <v>0</v>
      </c>
      <c r="AO231" s="283">
        <f t="shared" si="144"/>
        <v>0</v>
      </c>
      <c r="AP231" s="283">
        <f t="shared" si="145"/>
        <v>0</v>
      </c>
      <c r="AQ231" s="283">
        <f t="shared" si="146"/>
        <v>0</v>
      </c>
      <c r="AR231" s="283">
        <f t="shared" si="147"/>
        <v>0</v>
      </c>
      <c r="AS231" s="283">
        <f t="shared" si="148"/>
        <v>0</v>
      </c>
      <c r="AT231" s="283">
        <f t="shared" si="149"/>
        <v>0</v>
      </c>
      <c r="AU231" s="283">
        <f t="shared" si="150"/>
        <v>0</v>
      </c>
      <c r="AV231" s="283">
        <f t="shared" si="151"/>
        <v>0</v>
      </c>
      <c r="AW231" s="283">
        <f t="shared" si="152"/>
        <v>0</v>
      </c>
      <c r="AX231" s="283">
        <f t="shared" si="153"/>
        <v>0</v>
      </c>
      <c r="AY231" s="283">
        <f t="shared" si="154"/>
        <v>0</v>
      </c>
      <c r="AZ231" s="283">
        <f t="shared" si="155"/>
        <v>0</v>
      </c>
      <c r="BA231" s="283">
        <f t="shared" si="156"/>
        <v>0</v>
      </c>
      <c r="BB231" s="283">
        <f t="shared" si="157"/>
        <v>0</v>
      </c>
      <c r="BC231" s="283">
        <f t="shared" si="158"/>
        <v>0</v>
      </c>
      <c r="BD231" s="283">
        <f t="shared" si="159"/>
        <v>0</v>
      </c>
      <c r="BE231" s="283">
        <f t="shared" si="160"/>
        <v>0</v>
      </c>
      <c r="BF231" s="283">
        <f t="shared" si="161"/>
        <v>0</v>
      </c>
      <c r="BG231" s="283">
        <f t="shared" si="162"/>
        <v>0</v>
      </c>
      <c r="BH231" s="283">
        <f t="shared" si="163"/>
        <v>0</v>
      </c>
      <c r="BI231" s="283">
        <f t="shared" si="164"/>
        <v>0</v>
      </c>
      <c r="BJ231" s="283">
        <f t="shared" si="165"/>
        <v>0</v>
      </c>
      <c r="BK231" s="283">
        <f t="shared" si="166"/>
        <v>0</v>
      </c>
      <c r="BL231" s="283">
        <f t="shared" si="167"/>
        <v>0</v>
      </c>
      <c r="BM231" s="283">
        <f t="shared" si="168"/>
        <v>0</v>
      </c>
      <c r="BN231" s="283">
        <f t="shared" si="169"/>
        <v>0</v>
      </c>
      <c r="BO231" s="283">
        <f t="shared" si="170"/>
        <v>0</v>
      </c>
      <c r="BP231" s="283">
        <f t="shared" si="171"/>
        <v>0</v>
      </c>
      <c r="BQ231" s="283">
        <f t="shared" si="172"/>
        <v>0</v>
      </c>
      <c r="BR231" s="283">
        <f t="shared" si="173"/>
        <v>0</v>
      </c>
      <c r="BS231" s="283">
        <f t="shared" si="174"/>
        <v>0</v>
      </c>
      <c r="BT231" s="283">
        <f t="shared" si="175"/>
        <v>0</v>
      </c>
      <c r="BU231" s="283">
        <f t="shared" si="176"/>
        <v>0</v>
      </c>
      <c r="BV231" s="283">
        <f t="shared" si="177"/>
        <v>0</v>
      </c>
      <c r="BW231" s="283">
        <f t="shared" si="178"/>
        <v>0</v>
      </c>
      <c r="BX231" s="283">
        <f t="shared" si="179"/>
        <v>0</v>
      </c>
      <c r="BY231" s="283">
        <f t="shared" si="180"/>
        <v>0</v>
      </c>
      <c r="BZ231" s="283">
        <f t="shared" si="181"/>
        <v>0</v>
      </c>
      <c r="CA231" s="283">
        <f t="shared" si="182"/>
        <v>0</v>
      </c>
      <c r="CB231" s="283">
        <f t="shared" si="183"/>
        <v>0</v>
      </c>
      <c r="CC231" s="283">
        <f t="shared" si="184"/>
        <v>0</v>
      </c>
      <c r="CD231" s="283">
        <f t="shared" si="185"/>
        <v>0</v>
      </c>
      <c r="CE231" s="283">
        <f t="shared" si="186"/>
        <v>0</v>
      </c>
      <c r="CF231" s="283">
        <f t="shared" si="187"/>
        <v>0</v>
      </c>
      <c r="CG231" s="283">
        <f t="shared" si="188"/>
        <v>0</v>
      </c>
      <c r="CH231" s="283">
        <f t="shared" si="189"/>
        <v>0</v>
      </c>
      <c r="CI231" s="283">
        <f t="shared" si="190"/>
        <v>0</v>
      </c>
    </row>
    <row r="232" spans="1:87" ht="15" customHeight="1">
      <c r="A232" s="49"/>
      <c r="B232" s="38"/>
      <c r="C232" s="44" t="s">
        <v>2522</v>
      </c>
      <c r="D232" s="813" t="str">
        <f>IF(CNSIPEE_2024_M2_Secc1!D48="","",CNSIPEE_2024_M2_Secc1!D48)</f>
        <v/>
      </c>
      <c r="E232" s="814"/>
      <c r="F232" s="814"/>
      <c r="G232" s="814"/>
      <c r="H232" s="814"/>
      <c r="I232" s="814"/>
      <c r="J232" s="814"/>
      <c r="K232" s="814"/>
      <c r="L232" s="815"/>
      <c r="M232" s="100"/>
      <c r="N232" s="100"/>
      <c r="O232" s="100"/>
      <c r="P232" s="100"/>
      <c r="Q232" s="100"/>
      <c r="R232" s="100"/>
      <c r="S232" s="100"/>
      <c r="T232" s="100"/>
      <c r="U232" s="100"/>
      <c r="V232" s="100"/>
      <c r="W232" s="100"/>
      <c r="X232" s="100"/>
      <c r="Y232" s="100"/>
      <c r="Z232" s="100"/>
      <c r="AA232" s="100"/>
      <c r="AB232" s="100"/>
      <c r="AC232" s="100"/>
      <c r="AD232" s="100"/>
      <c r="AG232" s="326">
        <f t="shared" si="136"/>
        <v>0</v>
      </c>
      <c r="AH232" s="283">
        <f t="shared" si="137"/>
        <v>0</v>
      </c>
      <c r="AI232" s="283">
        <f t="shared" si="138"/>
        <v>0</v>
      </c>
      <c r="AJ232" s="283">
        <f t="shared" si="139"/>
        <v>0</v>
      </c>
      <c r="AK232" s="283">
        <f t="shared" si="140"/>
        <v>0</v>
      </c>
      <c r="AL232" s="283">
        <f t="shared" si="141"/>
        <v>0</v>
      </c>
      <c r="AM232" s="283">
        <f t="shared" si="142"/>
        <v>0</v>
      </c>
      <c r="AN232" s="283">
        <f t="shared" si="143"/>
        <v>0</v>
      </c>
      <c r="AO232" s="283">
        <f t="shared" si="144"/>
        <v>0</v>
      </c>
      <c r="AP232" s="283">
        <f t="shared" si="145"/>
        <v>0</v>
      </c>
      <c r="AQ232" s="283">
        <f t="shared" si="146"/>
        <v>0</v>
      </c>
      <c r="AR232" s="283">
        <f t="shared" si="147"/>
        <v>0</v>
      </c>
      <c r="AS232" s="283">
        <f t="shared" si="148"/>
        <v>0</v>
      </c>
      <c r="AT232" s="283">
        <f t="shared" si="149"/>
        <v>0</v>
      </c>
      <c r="AU232" s="283">
        <f t="shared" si="150"/>
        <v>0</v>
      </c>
      <c r="AV232" s="283">
        <f t="shared" si="151"/>
        <v>0</v>
      </c>
      <c r="AW232" s="283">
        <f t="shared" si="152"/>
        <v>0</v>
      </c>
      <c r="AX232" s="283">
        <f t="shared" si="153"/>
        <v>0</v>
      </c>
      <c r="AY232" s="283">
        <f t="shared" si="154"/>
        <v>0</v>
      </c>
      <c r="AZ232" s="283">
        <f t="shared" si="155"/>
        <v>0</v>
      </c>
      <c r="BA232" s="283">
        <f t="shared" si="156"/>
        <v>0</v>
      </c>
      <c r="BB232" s="283">
        <f t="shared" si="157"/>
        <v>0</v>
      </c>
      <c r="BC232" s="283">
        <f t="shared" si="158"/>
        <v>0</v>
      </c>
      <c r="BD232" s="283">
        <f t="shared" si="159"/>
        <v>0</v>
      </c>
      <c r="BE232" s="283">
        <f t="shared" si="160"/>
        <v>0</v>
      </c>
      <c r="BF232" s="283">
        <f t="shared" si="161"/>
        <v>0</v>
      </c>
      <c r="BG232" s="283">
        <f t="shared" si="162"/>
        <v>0</v>
      </c>
      <c r="BH232" s="283">
        <f t="shared" si="163"/>
        <v>0</v>
      </c>
      <c r="BI232" s="283">
        <f t="shared" si="164"/>
        <v>0</v>
      </c>
      <c r="BJ232" s="283">
        <f t="shared" si="165"/>
        <v>0</v>
      </c>
      <c r="BK232" s="283">
        <f t="shared" si="166"/>
        <v>0</v>
      </c>
      <c r="BL232" s="283">
        <f t="shared" si="167"/>
        <v>0</v>
      </c>
      <c r="BM232" s="283">
        <f t="shared" si="168"/>
        <v>0</v>
      </c>
      <c r="BN232" s="283">
        <f t="shared" si="169"/>
        <v>0</v>
      </c>
      <c r="BO232" s="283">
        <f t="shared" si="170"/>
        <v>0</v>
      </c>
      <c r="BP232" s="283">
        <f t="shared" si="171"/>
        <v>0</v>
      </c>
      <c r="BQ232" s="283">
        <f t="shared" si="172"/>
        <v>0</v>
      </c>
      <c r="BR232" s="283">
        <f t="shared" si="173"/>
        <v>0</v>
      </c>
      <c r="BS232" s="283">
        <f t="shared" si="174"/>
        <v>0</v>
      </c>
      <c r="BT232" s="283">
        <f t="shared" si="175"/>
        <v>0</v>
      </c>
      <c r="BU232" s="283">
        <f t="shared" si="176"/>
        <v>0</v>
      </c>
      <c r="BV232" s="283">
        <f t="shared" si="177"/>
        <v>0</v>
      </c>
      <c r="BW232" s="283">
        <f t="shared" si="178"/>
        <v>0</v>
      </c>
      <c r="BX232" s="283">
        <f t="shared" si="179"/>
        <v>0</v>
      </c>
      <c r="BY232" s="283">
        <f t="shared" si="180"/>
        <v>0</v>
      </c>
      <c r="BZ232" s="283">
        <f t="shared" si="181"/>
        <v>0</v>
      </c>
      <c r="CA232" s="283">
        <f t="shared" si="182"/>
        <v>0</v>
      </c>
      <c r="CB232" s="283">
        <f t="shared" si="183"/>
        <v>0</v>
      </c>
      <c r="CC232" s="283">
        <f t="shared" si="184"/>
        <v>0</v>
      </c>
      <c r="CD232" s="283">
        <f t="shared" si="185"/>
        <v>0</v>
      </c>
      <c r="CE232" s="283">
        <f t="shared" si="186"/>
        <v>0</v>
      </c>
      <c r="CF232" s="283">
        <f t="shared" si="187"/>
        <v>0</v>
      </c>
      <c r="CG232" s="283">
        <f t="shared" si="188"/>
        <v>0</v>
      </c>
      <c r="CH232" s="283">
        <f t="shared" si="189"/>
        <v>0</v>
      </c>
      <c r="CI232" s="283">
        <f t="shared" si="190"/>
        <v>0</v>
      </c>
    </row>
    <row r="233" spans="1:87" ht="15" customHeight="1">
      <c r="A233" s="49"/>
      <c r="B233" s="38"/>
      <c r="C233" s="44" t="s">
        <v>2523</v>
      </c>
      <c r="D233" s="813" t="str">
        <f>IF(CNSIPEE_2024_M2_Secc1!D49="","",CNSIPEE_2024_M2_Secc1!D49)</f>
        <v/>
      </c>
      <c r="E233" s="814"/>
      <c r="F233" s="814"/>
      <c r="G233" s="814"/>
      <c r="H233" s="814"/>
      <c r="I233" s="814"/>
      <c r="J233" s="814"/>
      <c r="K233" s="814"/>
      <c r="L233" s="815"/>
      <c r="M233" s="100"/>
      <c r="N233" s="100"/>
      <c r="O233" s="100"/>
      <c r="P233" s="100"/>
      <c r="Q233" s="100"/>
      <c r="R233" s="100"/>
      <c r="S233" s="100"/>
      <c r="T233" s="100"/>
      <c r="U233" s="100"/>
      <c r="V233" s="100"/>
      <c r="W233" s="100"/>
      <c r="X233" s="100"/>
      <c r="Y233" s="100"/>
      <c r="Z233" s="100"/>
      <c r="AA233" s="100"/>
      <c r="AB233" s="100"/>
      <c r="AC233" s="100"/>
      <c r="AD233" s="100"/>
      <c r="AG233" s="326">
        <f t="shared" si="136"/>
        <v>0</v>
      </c>
      <c r="AH233" s="283">
        <f t="shared" si="137"/>
        <v>0</v>
      </c>
      <c r="AI233" s="283">
        <f t="shared" si="138"/>
        <v>0</v>
      </c>
      <c r="AJ233" s="283">
        <f t="shared" si="139"/>
        <v>0</v>
      </c>
      <c r="AK233" s="283">
        <f t="shared" si="140"/>
        <v>0</v>
      </c>
      <c r="AL233" s="283">
        <f t="shared" si="141"/>
        <v>0</v>
      </c>
      <c r="AM233" s="283">
        <f t="shared" si="142"/>
        <v>0</v>
      </c>
      <c r="AN233" s="283">
        <f t="shared" si="143"/>
        <v>0</v>
      </c>
      <c r="AO233" s="283">
        <f t="shared" si="144"/>
        <v>0</v>
      </c>
      <c r="AP233" s="283">
        <f t="shared" si="145"/>
        <v>0</v>
      </c>
      <c r="AQ233" s="283">
        <f t="shared" si="146"/>
        <v>0</v>
      </c>
      <c r="AR233" s="283">
        <f t="shared" si="147"/>
        <v>0</v>
      </c>
      <c r="AS233" s="283">
        <f t="shared" si="148"/>
        <v>0</v>
      </c>
      <c r="AT233" s="283">
        <f t="shared" si="149"/>
        <v>0</v>
      </c>
      <c r="AU233" s="283">
        <f t="shared" si="150"/>
        <v>0</v>
      </c>
      <c r="AV233" s="283">
        <f t="shared" si="151"/>
        <v>0</v>
      </c>
      <c r="AW233" s="283">
        <f t="shared" si="152"/>
        <v>0</v>
      </c>
      <c r="AX233" s="283">
        <f t="shared" si="153"/>
        <v>0</v>
      </c>
      <c r="AY233" s="283">
        <f t="shared" si="154"/>
        <v>0</v>
      </c>
      <c r="AZ233" s="283">
        <f t="shared" si="155"/>
        <v>0</v>
      </c>
      <c r="BA233" s="283">
        <f t="shared" si="156"/>
        <v>0</v>
      </c>
      <c r="BB233" s="283">
        <f t="shared" si="157"/>
        <v>0</v>
      </c>
      <c r="BC233" s="283">
        <f t="shared" si="158"/>
        <v>0</v>
      </c>
      <c r="BD233" s="283">
        <f t="shared" si="159"/>
        <v>0</v>
      </c>
      <c r="BE233" s="283">
        <f t="shared" si="160"/>
        <v>0</v>
      </c>
      <c r="BF233" s="283">
        <f t="shared" si="161"/>
        <v>0</v>
      </c>
      <c r="BG233" s="283">
        <f t="shared" si="162"/>
        <v>0</v>
      </c>
      <c r="BH233" s="283">
        <f t="shared" si="163"/>
        <v>0</v>
      </c>
      <c r="BI233" s="283">
        <f t="shared" si="164"/>
        <v>0</v>
      </c>
      <c r="BJ233" s="283">
        <f t="shared" si="165"/>
        <v>0</v>
      </c>
      <c r="BK233" s="283">
        <f t="shared" si="166"/>
        <v>0</v>
      </c>
      <c r="BL233" s="283">
        <f t="shared" si="167"/>
        <v>0</v>
      </c>
      <c r="BM233" s="283">
        <f t="shared" si="168"/>
        <v>0</v>
      </c>
      <c r="BN233" s="283">
        <f t="shared" si="169"/>
        <v>0</v>
      </c>
      <c r="BO233" s="283">
        <f t="shared" si="170"/>
        <v>0</v>
      </c>
      <c r="BP233" s="283">
        <f t="shared" si="171"/>
        <v>0</v>
      </c>
      <c r="BQ233" s="283">
        <f t="shared" si="172"/>
        <v>0</v>
      </c>
      <c r="BR233" s="283">
        <f t="shared" si="173"/>
        <v>0</v>
      </c>
      <c r="BS233" s="283">
        <f t="shared" si="174"/>
        <v>0</v>
      </c>
      <c r="BT233" s="283">
        <f t="shared" si="175"/>
        <v>0</v>
      </c>
      <c r="BU233" s="283">
        <f t="shared" si="176"/>
        <v>0</v>
      </c>
      <c r="BV233" s="283">
        <f t="shared" si="177"/>
        <v>0</v>
      </c>
      <c r="BW233" s="283">
        <f t="shared" si="178"/>
        <v>0</v>
      </c>
      <c r="BX233" s="283">
        <f t="shared" si="179"/>
        <v>0</v>
      </c>
      <c r="BY233" s="283">
        <f t="shared" si="180"/>
        <v>0</v>
      </c>
      <c r="BZ233" s="283">
        <f t="shared" si="181"/>
        <v>0</v>
      </c>
      <c r="CA233" s="283">
        <f t="shared" si="182"/>
        <v>0</v>
      </c>
      <c r="CB233" s="283">
        <f t="shared" si="183"/>
        <v>0</v>
      </c>
      <c r="CC233" s="283">
        <f t="shared" si="184"/>
        <v>0</v>
      </c>
      <c r="CD233" s="283">
        <f t="shared" si="185"/>
        <v>0</v>
      </c>
      <c r="CE233" s="283">
        <f t="shared" si="186"/>
        <v>0</v>
      </c>
      <c r="CF233" s="283">
        <f t="shared" si="187"/>
        <v>0</v>
      </c>
      <c r="CG233" s="283">
        <f t="shared" si="188"/>
        <v>0</v>
      </c>
      <c r="CH233" s="283">
        <f t="shared" si="189"/>
        <v>0</v>
      </c>
      <c r="CI233" s="283">
        <f t="shared" si="190"/>
        <v>0</v>
      </c>
    </row>
    <row r="234" spans="1:87" ht="15" customHeight="1">
      <c r="A234" s="49"/>
      <c r="B234" s="38"/>
      <c r="C234" s="38"/>
      <c r="D234" s="38"/>
      <c r="E234" s="38"/>
      <c r="F234" s="117"/>
      <c r="G234" s="131"/>
      <c r="I234" s="38"/>
      <c r="J234" s="38"/>
      <c r="K234" s="38"/>
      <c r="L234" s="117" t="s">
        <v>2649</v>
      </c>
      <c r="M234" s="124">
        <f>IF(AND(SUM(M226:M233)=0,COUNTIF(M226:M233,"NS")&gt;0),"NS",
IF(AND(SUM(M226:M233)=0,COUNTIF(M226:M233,0)&gt;0),0,
IF(AND(SUM(M226:M233)=0,COUNTIF(M226:M233,"NA")&gt;0),"NA",
SUM(M226:M233))))</f>
        <v>0</v>
      </c>
      <c r="N234" s="124">
        <f t="shared" ref="N234:AD234" si="191">IF(AND(SUM(N226:N233)=0,COUNTIF(N226:N233,"NS")&gt;0),"NS",
IF(AND(SUM(N226:N233)=0,COUNTIF(N226:N233,0)&gt;0),0,
IF(AND(SUM(N226:N233)=0,COUNTIF(N226:N233,"NA")&gt;0),"NA",
SUM(N226:N233))))</f>
        <v>0</v>
      </c>
      <c r="O234" s="124">
        <f t="shared" si="191"/>
        <v>0</v>
      </c>
      <c r="P234" s="124">
        <f t="shared" si="191"/>
        <v>0</v>
      </c>
      <c r="Q234" s="124">
        <f t="shared" si="191"/>
        <v>0</v>
      </c>
      <c r="R234" s="124">
        <f t="shared" si="191"/>
        <v>0</v>
      </c>
      <c r="S234" s="124">
        <f t="shared" si="191"/>
        <v>0</v>
      </c>
      <c r="T234" s="124">
        <f t="shared" si="191"/>
        <v>0</v>
      </c>
      <c r="U234" s="124">
        <f t="shared" si="191"/>
        <v>0</v>
      </c>
      <c r="V234" s="124">
        <f t="shared" si="191"/>
        <v>0</v>
      </c>
      <c r="W234" s="124">
        <f t="shared" si="191"/>
        <v>0</v>
      </c>
      <c r="X234" s="124">
        <f t="shared" si="191"/>
        <v>0</v>
      </c>
      <c r="Y234" s="124">
        <f t="shared" si="191"/>
        <v>0</v>
      </c>
      <c r="Z234" s="124">
        <f t="shared" si="191"/>
        <v>0</v>
      </c>
      <c r="AA234" s="124">
        <f t="shared" si="191"/>
        <v>0</v>
      </c>
      <c r="AB234" s="124">
        <f t="shared" si="191"/>
        <v>0</v>
      </c>
      <c r="AC234" s="124">
        <f t="shared" si="191"/>
        <v>0</v>
      </c>
      <c r="AD234" s="124">
        <f t="shared" si="191"/>
        <v>0</v>
      </c>
      <c r="AG234" s="349">
        <f>SUM(AG226:AG233)</f>
        <v>0</v>
      </c>
      <c r="AH234" s="350">
        <f>SUM(AH226:AH233)</f>
        <v>0</v>
      </c>
      <c r="AI234" s="326"/>
      <c r="AJ234" s="352">
        <f>SUM(AJ226:AJ233)</f>
        <v>0</v>
      </c>
      <c r="AK234" s="350">
        <f t="shared" ref="AK234" si="192">SUM(AK226:AK233)</f>
        <v>0</v>
      </c>
      <c r="AL234" s="326"/>
      <c r="AM234" s="352">
        <f t="shared" ref="AM234:AN234" si="193">SUM(AM226:AM233)</f>
        <v>0</v>
      </c>
      <c r="AN234" s="350">
        <f t="shared" si="193"/>
        <v>0</v>
      </c>
      <c r="AO234" s="326"/>
      <c r="AP234" s="352">
        <f t="shared" ref="AP234:AQ234" si="194">SUM(AP226:AP233)</f>
        <v>0</v>
      </c>
      <c r="AQ234" s="350">
        <f t="shared" si="194"/>
        <v>0</v>
      </c>
      <c r="AR234" s="326"/>
      <c r="AS234" s="352">
        <f t="shared" ref="AS234:AT234" si="195">SUM(AS226:AS233)</f>
        <v>0</v>
      </c>
      <c r="AT234" s="350">
        <f t="shared" si="195"/>
        <v>0</v>
      </c>
      <c r="AU234" s="326"/>
      <c r="AV234" s="352">
        <f t="shared" ref="AV234:AW234" si="196">SUM(AV226:AV233)</f>
        <v>0</v>
      </c>
      <c r="AW234" s="350">
        <f t="shared" si="196"/>
        <v>0</v>
      </c>
      <c r="AX234" s="326"/>
      <c r="AY234" s="352">
        <f t="shared" ref="AY234:AZ234" si="197">SUM(AY226:AY233)</f>
        <v>0</v>
      </c>
      <c r="AZ234" s="350">
        <f t="shared" si="197"/>
        <v>0</v>
      </c>
      <c r="BA234" s="326"/>
      <c r="BB234" s="352">
        <f t="shared" ref="BB234:BC234" si="198">SUM(BB226:BB233)</f>
        <v>0</v>
      </c>
      <c r="BC234" s="350">
        <f t="shared" si="198"/>
        <v>0</v>
      </c>
      <c r="BD234" s="326"/>
      <c r="BE234" s="352">
        <f t="shared" ref="BE234:BF234" si="199">SUM(BE226:BE233)</f>
        <v>0</v>
      </c>
      <c r="BF234" s="350">
        <f t="shared" si="199"/>
        <v>0</v>
      </c>
      <c r="BG234" s="326"/>
      <c r="BH234" s="352">
        <f t="shared" ref="BH234:BI234" si="200">SUM(BH226:BH233)</f>
        <v>0</v>
      </c>
      <c r="BI234" s="350">
        <f t="shared" si="200"/>
        <v>0</v>
      </c>
      <c r="BJ234" s="326"/>
      <c r="BK234" s="352">
        <f t="shared" ref="BK234:BL234" si="201">SUM(BK226:BK233)</f>
        <v>0</v>
      </c>
      <c r="BL234" s="350">
        <f t="shared" si="201"/>
        <v>0</v>
      </c>
      <c r="BM234" s="326"/>
      <c r="BN234" s="352">
        <f t="shared" ref="BN234:BO234" si="202">SUM(BN226:BN233)</f>
        <v>0</v>
      </c>
      <c r="BO234" s="350">
        <f t="shared" si="202"/>
        <v>0</v>
      </c>
      <c r="BP234" s="326"/>
      <c r="BQ234" s="352">
        <f t="shared" ref="BQ234:BR234" si="203">SUM(BQ226:BQ233)</f>
        <v>0</v>
      </c>
      <c r="BR234" s="350">
        <f t="shared" si="203"/>
        <v>0</v>
      </c>
      <c r="BS234" s="326"/>
      <c r="BT234" s="352">
        <f t="shared" ref="BT234:BU234" si="204">SUM(BT226:BT233)</f>
        <v>0</v>
      </c>
      <c r="BU234" s="350">
        <f t="shared" si="204"/>
        <v>0</v>
      </c>
      <c r="BV234" s="326"/>
      <c r="BW234" s="352">
        <f t="shared" ref="BW234:BX234" si="205">SUM(BW226:BW233)</f>
        <v>0</v>
      </c>
      <c r="BX234" s="350">
        <f t="shared" si="205"/>
        <v>0</v>
      </c>
      <c r="BY234" s="326"/>
      <c r="BZ234" s="352">
        <f t="shared" ref="BZ234:CA234" si="206">SUM(BZ226:BZ233)</f>
        <v>0</v>
      </c>
      <c r="CA234" s="350">
        <f t="shared" si="206"/>
        <v>0</v>
      </c>
      <c r="CB234" s="326"/>
      <c r="CC234" s="352">
        <f t="shared" ref="CC234:CD234" si="207">SUM(CC226:CC233)</f>
        <v>0</v>
      </c>
      <c r="CD234" s="350">
        <f t="shared" si="207"/>
        <v>0</v>
      </c>
      <c r="CE234" s="326"/>
      <c r="CF234" s="352">
        <f t="shared" ref="CF234:CG234" si="208">SUM(CF226:CF233)</f>
        <v>0</v>
      </c>
      <c r="CG234" s="350">
        <f t="shared" si="208"/>
        <v>0</v>
      </c>
      <c r="CH234" s="326"/>
      <c r="CI234" s="352">
        <f t="shared" ref="CI234" si="209">SUM(CI226:CI233)</f>
        <v>0</v>
      </c>
    </row>
    <row r="235" spans="1:87" ht="15" customHeight="1">
      <c r="A235" s="49"/>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c r="AA235" s="38"/>
      <c r="AB235" s="38"/>
      <c r="AC235" s="38"/>
      <c r="AD235" s="38"/>
    </row>
    <row r="236" spans="1:87" ht="15" customHeight="1">
      <c r="A236" s="94"/>
      <c r="AA236" s="875" t="s">
        <v>3233</v>
      </c>
      <c r="AB236" s="875"/>
      <c r="AC236" s="875"/>
      <c r="AD236" s="875"/>
      <c r="AI236" s="356" t="s">
        <v>2650</v>
      </c>
      <c r="AJ236" s="283">
        <f>SUM(AJ234,AM234,AP234,AS234,AV234,AY234,BB234,BE234,BH234,BK234,BN234,BQ234,BT234,BW234,BZ234,CC234,CF234,CI234)</f>
        <v>0</v>
      </c>
      <c r="AK236" s="355" t="s">
        <v>2651</v>
      </c>
      <c r="AL236" s="283">
        <f>SUM(AH234,AK234,AN234,AQ234,AT234,AW234,AZ234,BC234,BF234,BI234,BL234,BO234,BR234,BU234,BX234,CA234,CD234,CG234)</f>
        <v>0</v>
      </c>
      <c r="AM236" s="283"/>
      <c r="AN236" s="283"/>
    </row>
    <row r="237" spans="1:87" ht="15" customHeight="1">
      <c r="A237" s="103"/>
      <c r="B237" s="113"/>
      <c r="C237" s="797" t="s">
        <v>2581</v>
      </c>
      <c r="D237" s="798"/>
      <c r="E237" s="798"/>
      <c r="F237" s="798"/>
      <c r="G237" s="798"/>
      <c r="H237" s="798"/>
      <c r="I237" s="798"/>
      <c r="J237" s="798"/>
      <c r="K237" s="798"/>
      <c r="L237" s="799"/>
      <c r="M237" s="739" t="s">
        <v>3206</v>
      </c>
      <c r="N237" s="740"/>
      <c r="O237" s="740"/>
      <c r="P237" s="740"/>
      <c r="Q237" s="740"/>
      <c r="R237" s="740"/>
      <c r="S237" s="740"/>
      <c r="T237" s="740"/>
      <c r="U237" s="740"/>
      <c r="V237" s="740"/>
      <c r="W237" s="740"/>
      <c r="X237" s="740"/>
      <c r="Y237" s="740"/>
      <c r="Z237" s="740"/>
      <c r="AA237" s="740"/>
      <c r="AB237" s="740"/>
      <c r="AC237" s="740"/>
      <c r="AD237" s="741"/>
      <c r="AI237" s="357" t="s">
        <v>2652</v>
      </c>
      <c r="AJ237" s="283">
        <f>IF(AL236&gt;0,IF(SUM(M234)&gt;=SUM(P234,S234,V234,Y234,AB234,M248,P248,S248,V248,Y248,AB248,M262,P262,S262,V262,Y262,AB262),0,1),IF(SUM(M234)&lt;&gt;SUM(P234,S234,V234,Y234,AB234,M248,P248,S248,V248,Y248,AB248,M262,P262,S262,V262,Y262,AB262),1,0))</f>
        <v>0</v>
      </c>
      <c r="AK237" s="357" t="s">
        <v>2653</v>
      </c>
      <c r="AL237" s="283">
        <f>IF(AL236&gt;0,IF(SUM(N234)&gt;=SUM(Q234,T234,W234,Z234,AC234,N248,Q248,T248,W248,Z248,AC248,N262,Q262,T262,W262,Z262,AC262),0,1),IF(SUM(N234)&lt;&gt;SUM(Q234,T234,W234,Z234,AC234,N248,Q248,T248,W248,Z248,AC248,N262,Q262,T262,W262,Z262,AC262),1,0))</f>
        <v>0</v>
      </c>
      <c r="AM237" s="357" t="s">
        <v>2654</v>
      </c>
      <c r="AN237" s="283">
        <f>IF(AL236&gt;0,IF(SUM(O234)&gt;=SUM(R234,U234,X234,AA234,AD234,O248,R248,U248,X248,AA248,AD248,O262,R262,U262,X262,AA262,AD262),0,1),IF(SUM(O234)&lt;&gt;SUM(R234,U234,X234,AA234,AD234,O248,R248,U248,X248,AA248,AD248,O262,R262,U262,X262,AA262,AD262),1,0))</f>
        <v>0</v>
      </c>
    </row>
    <row r="238" spans="1:87" ht="36" customHeight="1">
      <c r="A238" s="103"/>
      <c r="C238" s="800"/>
      <c r="D238" s="801"/>
      <c r="E238" s="801"/>
      <c r="F238" s="801"/>
      <c r="G238" s="801"/>
      <c r="H238" s="801"/>
      <c r="I238" s="801"/>
      <c r="J238" s="801"/>
      <c r="K238" s="801"/>
      <c r="L238" s="802"/>
      <c r="M238" s="733" t="s">
        <v>3234</v>
      </c>
      <c r="N238" s="734"/>
      <c r="O238" s="735"/>
      <c r="P238" s="733" t="s">
        <v>3235</v>
      </c>
      <c r="Q238" s="734"/>
      <c r="R238" s="735"/>
      <c r="S238" s="733" t="s">
        <v>3236</v>
      </c>
      <c r="T238" s="734"/>
      <c r="U238" s="735"/>
      <c r="V238" s="733" t="s">
        <v>3237</v>
      </c>
      <c r="W238" s="734"/>
      <c r="X238" s="735"/>
      <c r="Y238" s="733" t="s">
        <v>3238</v>
      </c>
      <c r="Z238" s="734"/>
      <c r="AA238" s="735"/>
      <c r="AB238" s="733" t="s">
        <v>3239</v>
      </c>
      <c r="AC238" s="734"/>
      <c r="AD238" s="735"/>
      <c r="AG238" s="919" t="s">
        <v>3175</v>
      </c>
      <c r="AH238" s="919"/>
      <c r="AI238" s="919"/>
    </row>
    <row r="239" spans="1:87" ht="48" customHeight="1">
      <c r="A239" s="103"/>
      <c r="C239" s="803"/>
      <c r="D239" s="804"/>
      <c r="E239" s="804"/>
      <c r="F239" s="804"/>
      <c r="G239" s="804"/>
      <c r="H239" s="804"/>
      <c r="I239" s="804"/>
      <c r="J239" s="804"/>
      <c r="K239" s="804"/>
      <c r="L239" s="805"/>
      <c r="M239" s="127" t="s">
        <v>2635</v>
      </c>
      <c r="N239" s="128" t="s">
        <v>2629</v>
      </c>
      <c r="O239" s="128" t="s">
        <v>2630</v>
      </c>
      <c r="P239" s="127" t="s">
        <v>2635</v>
      </c>
      <c r="Q239" s="128" t="s">
        <v>2629</v>
      </c>
      <c r="R239" s="128" t="s">
        <v>2630</v>
      </c>
      <c r="S239" s="127" t="s">
        <v>2635</v>
      </c>
      <c r="T239" s="128" t="s">
        <v>2629</v>
      </c>
      <c r="U239" s="128" t="s">
        <v>2630</v>
      </c>
      <c r="V239" s="127" t="s">
        <v>2635</v>
      </c>
      <c r="W239" s="128" t="s">
        <v>2629</v>
      </c>
      <c r="X239" s="128" t="s">
        <v>2630</v>
      </c>
      <c r="Y239" s="127" t="s">
        <v>2635</v>
      </c>
      <c r="Z239" s="128" t="s">
        <v>2629</v>
      </c>
      <c r="AA239" s="128" t="s">
        <v>2630</v>
      </c>
      <c r="AB239" s="127" t="s">
        <v>2635</v>
      </c>
      <c r="AC239" s="128" t="s">
        <v>2629</v>
      </c>
      <c r="AD239" s="128" t="s">
        <v>2630</v>
      </c>
      <c r="AG239" s="359" t="s">
        <v>2795</v>
      </c>
      <c r="AH239" s="360" t="s">
        <v>3177</v>
      </c>
      <c r="AI239" s="361" t="s">
        <v>3178</v>
      </c>
    </row>
    <row r="240" spans="1:87" ht="15" customHeight="1">
      <c r="A240" s="49"/>
      <c r="B240" s="38"/>
      <c r="C240" s="44" t="s">
        <v>2516</v>
      </c>
      <c r="D240" s="813" t="str">
        <f>IF(CNSIPEE_2024_M2_Secc1!D42="","",CNSIPEE_2024_M2_Secc1!D42)</f>
        <v/>
      </c>
      <c r="E240" s="814"/>
      <c r="F240" s="814"/>
      <c r="G240" s="814"/>
      <c r="H240" s="814"/>
      <c r="I240" s="814"/>
      <c r="J240" s="814"/>
      <c r="K240" s="814"/>
      <c r="L240" s="815"/>
      <c r="M240" s="100"/>
      <c r="N240" s="100"/>
      <c r="O240" s="100"/>
      <c r="P240" s="100"/>
      <c r="Q240" s="100"/>
      <c r="R240" s="100"/>
      <c r="S240" s="100"/>
      <c r="T240" s="100"/>
      <c r="U240" s="100"/>
      <c r="V240" s="100"/>
      <c r="W240" s="100"/>
      <c r="X240" s="100"/>
      <c r="Y240" s="100"/>
      <c r="Z240" s="100"/>
      <c r="AA240" s="100"/>
      <c r="AB240" s="100"/>
      <c r="AC240" s="100"/>
      <c r="AD240" s="100"/>
      <c r="AG240">
        <f>IF(AND(M226="NS",$M113="NS"),0,IF(AND(M226="NA",$M113="NA"),0,IF(M226=$M113,0,1)))</f>
        <v>0</v>
      </c>
      <c r="AH240">
        <f>IF(AND(N226="NS",$S113="NS"),0,IF(AND(N226="NA",$S113="NA"),0,IF(N226=$S113,0,1)))</f>
        <v>0</v>
      </c>
      <c r="AI240">
        <f>IF(AND(O226="NS",$Y113="NS"),0,IF(AND(O226="NA",$Y113="NA"),0,IF(O226=$Y113,0,1)))</f>
        <v>0</v>
      </c>
    </row>
    <row r="241" spans="1:35" ht="15" customHeight="1">
      <c r="A241" s="49"/>
      <c r="B241" s="38"/>
      <c r="C241" s="44" t="s">
        <v>2517</v>
      </c>
      <c r="D241" s="813" t="str">
        <f>IF(CNSIPEE_2024_M2_Secc1!D43="","",CNSIPEE_2024_M2_Secc1!D43)</f>
        <v/>
      </c>
      <c r="E241" s="814"/>
      <c r="F241" s="814"/>
      <c r="G241" s="814"/>
      <c r="H241" s="814"/>
      <c r="I241" s="814"/>
      <c r="J241" s="814"/>
      <c r="K241" s="814"/>
      <c r="L241" s="815"/>
      <c r="M241" s="100"/>
      <c r="N241" s="100"/>
      <c r="O241" s="100"/>
      <c r="P241" s="100"/>
      <c r="Q241" s="100"/>
      <c r="R241" s="100"/>
      <c r="S241" s="100"/>
      <c r="T241" s="100"/>
      <c r="U241" s="100"/>
      <c r="V241" s="100"/>
      <c r="W241" s="100"/>
      <c r="X241" s="100"/>
      <c r="Y241" s="100"/>
      <c r="Z241" s="100"/>
      <c r="AA241" s="100"/>
      <c r="AB241" s="100"/>
      <c r="AC241" s="100"/>
      <c r="AD241" s="100"/>
      <c r="AG241">
        <f t="shared" ref="AG241:AG247" si="210">IF(AND(M227="NS",$M114="NS"),0,IF(AND(M227="NA",$M114="NA"),0,IF(M227=$M114,0,1)))</f>
        <v>0</v>
      </c>
      <c r="AH241">
        <f t="shared" ref="AH241:AH247" si="211">IF(AND(N227="NS",$S114="NS"),0,IF(AND(N227="NA",$S114="NA"),0,IF(N227=$S114,0,1)))</f>
        <v>0</v>
      </c>
      <c r="AI241">
        <f t="shared" ref="AI241:AI247" si="212">IF(AND(O227="NS",$Y114="NS"),0,IF(AND(O227="NA",$Y114="NA"),0,IF(O227=$Y114,0,1)))</f>
        <v>0</v>
      </c>
    </row>
    <row r="242" spans="1:35" ht="15" customHeight="1">
      <c r="A242" s="49"/>
      <c r="B242" s="38"/>
      <c r="C242" s="44" t="s">
        <v>2518</v>
      </c>
      <c r="D242" s="813" t="str">
        <f>IF(CNSIPEE_2024_M2_Secc1!D44="","",CNSIPEE_2024_M2_Secc1!D44)</f>
        <v/>
      </c>
      <c r="E242" s="814"/>
      <c r="F242" s="814"/>
      <c r="G242" s="814"/>
      <c r="H242" s="814"/>
      <c r="I242" s="814"/>
      <c r="J242" s="814"/>
      <c r="K242" s="814"/>
      <c r="L242" s="815"/>
      <c r="M242" s="100"/>
      <c r="N242" s="100"/>
      <c r="O242" s="100"/>
      <c r="P242" s="100"/>
      <c r="Q242" s="100"/>
      <c r="R242" s="100"/>
      <c r="S242" s="100"/>
      <c r="T242" s="100"/>
      <c r="U242" s="100"/>
      <c r="V242" s="100"/>
      <c r="W242" s="100"/>
      <c r="X242" s="100"/>
      <c r="Y242" s="100"/>
      <c r="Z242" s="100"/>
      <c r="AA242" s="100"/>
      <c r="AB242" s="100"/>
      <c r="AC242" s="100"/>
      <c r="AD242" s="100"/>
      <c r="AG242">
        <f t="shared" si="210"/>
        <v>0</v>
      </c>
      <c r="AH242">
        <f t="shared" si="211"/>
        <v>0</v>
      </c>
      <c r="AI242">
        <f t="shared" si="212"/>
        <v>0</v>
      </c>
    </row>
    <row r="243" spans="1:35" ht="15" customHeight="1">
      <c r="A243" s="49"/>
      <c r="B243" s="38"/>
      <c r="C243" s="44" t="s">
        <v>2519</v>
      </c>
      <c r="D243" s="813" t="str">
        <f>IF(CNSIPEE_2024_M2_Secc1!D45="","",CNSIPEE_2024_M2_Secc1!D45)</f>
        <v/>
      </c>
      <c r="E243" s="814"/>
      <c r="F243" s="814"/>
      <c r="G243" s="814"/>
      <c r="H243" s="814"/>
      <c r="I243" s="814"/>
      <c r="J243" s="814"/>
      <c r="K243" s="814"/>
      <c r="L243" s="815"/>
      <c r="M243" s="100"/>
      <c r="N243" s="100"/>
      <c r="O243" s="100"/>
      <c r="P243" s="100"/>
      <c r="Q243" s="100"/>
      <c r="R243" s="100"/>
      <c r="S243" s="100"/>
      <c r="T243" s="100"/>
      <c r="U243" s="100"/>
      <c r="V243" s="100"/>
      <c r="W243" s="100"/>
      <c r="X243" s="100"/>
      <c r="Y243" s="100"/>
      <c r="Z243" s="100"/>
      <c r="AA243" s="100"/>
      <c r="AB243" s="100"/>
      <c r="AC243" s="100"/>
      <c r="AD243" s="100"/>
      <c r="AG243">
        <f t="shared" si="210"/>
        <v>0</v>
      </c>
      <c r="AH243">
        <f t="shared" si="211"/>
        <v>0</v>
      </c>
      <c r="AI243">
        <f t="shared" si="212"/>
        <v>0</v>
      </c>
    </row>
    <row r="244" spans="1:35" ht="15" customHeight="1">
      <c r="A244" s="49"/>
      <c r="B244" s="38"/>
      <c r="C244" s="44" t="s">
        <v>2520</v>
      </c>
      <c r="D244" s="813" t="str">
        <f>IF(CNSIPEE_2024_M2_Secc1!D46="","",CNSIPEE_2024_M2_Secc1!D46)</f>
        <v/>
      </c>
      <c r="E244" s="814"/>
      <c r="F244" s="814"/>
      <c r="G244" s="814"/>
      <c r="H244" s="814"/>
      <c r="I244" s="814"/>
      <c r="J244" s="814"/>
      <c r="K244" s="814"/>
      <c r="L244" s="815"/>
      <c r="M244" s="100"/>
      <c r="N244" s="100"/>
      <c r="O244" s="100"/>
      <c r="P244" s="100"/>
      <c r="Q244" s="100"/>
      <c r="R244" s="100"/>
      <c r="S244" s="100"/>
      <c r="T244" s="100"/>
      <c r="U244" s="100"/>
      <c r="V244" s="100"/>
      <c r="W244" s="100"/>
      <c r="X244" s="100"/>
      <c r="Y244" s="100"/>
      <c r="Z244" s="100"/>
      <c r="AA244" s="100"/>
      <c r="AB244" s="100"/>
      <c r="AC244" s="100"/>
      <c r="AD244" s="100"/>
      <c r="AG244">
        <f t="shared" si="210"/>
        <v>0</v>
      </c>
      <c r="AH244">
        <f t="shared" si="211"/>
        <v>0</v>
      </c>
      <c r="AI244">
        <f t="shared" si="212"/>
        <v>0</v>
      </c>
    </row>
    <row r="245" spans="1:35" ht="15" customHeight="1">
      <c r="A245" s="49"/>
      <c r="B245" s="38"/>
      <c r="C245" s="44" t="s">
        <v>2521</v>
      </c>
      <c r="D245" s="813" t="str">
        <f>IF(CNSIPEE_2024_M2_Secc1!D47="","",CNSIPEE_2024_M2_Secc1!D47)</f>
        <v/>
      </c>
      <c r="E245" s="814"/>
      <c r="F245" s="814"/>
      <c r="G245" s="814"/>
      <c r="H245" s="814"/>
      <c r="I245" s="814"/>
      <c r="J245" s="814"/>
      <c r="K245" s="814"/>
      <c r="L245" s="815"/>
      <c r="M245" s="100"/>
      <c r="N245" s="100"/>
      <c r="O245" s="100"/>
      <c r="P245" s="100"/>
      <c r="Q245" s="100"/>
      <c r="R245" s="100"/>
      <c r="S245" s="100"/>
      <c r="T245" s="100"/>
      <c r="U245" s="100"/>
      <c r="V245" s="100"/>
      <c r="W245" s="100"/>
      <c r="X245" s="100"/>
      <c r="Y245" s="100"/>
      <c r="Z245" s="100"/>
      <c r="AA245" s="100"/>
      <c r="AB245" s="100"/>
      <c r="AC245" s="100"/>
      <c r="AD245" s="100"/>
      <c r="AG245">
        <f t="shared" si="210"/>
        <v>0</v>
      </c>
      <c r="AH245">
        <f t="shared" si="211"/>
        <v>0</v>
      </c>
      <c r="AI245">
        <f t="shared" si="212"/>
        <v>0</v>
      </c>
    </row>
    <row r="246" spans="1:35" ht="15" customHeight="1">
      <c r="A246" s="49"/>
      <c r="B246" s="38"/>
      <c r="C246" s="44" t="s">
        <v>2522</v>
      </c>
      <c r="D246" s="813" t="str">
        <f>IF(CNSIPEE_2024_M2_Secc1!D48="","",CNSIPEE_2024_M2_Secc1!D48)</f>
        <v/>
      </c>
      <c r="E246" s="814"/>
      <c r="F246" s="814"/>
      <c r="G246" s="814"/>
      <c r="H246" s="814"/>
      <c r="I246" s="814"/>
      <c r="J246" s="814"/>
      <c r="K246" s="814"/>
      <c r="L246" s="815"/>
      <c r="M246" s="100"/>
      <c r="N246" s="100"/>
      <c r="O246" s="100"/>
      <c r="P246" s="100"/>
      <c r="Q246" s="100"/>
      <c r="R246" s="100"/>
      <c r="S246" s="100"/>
      <c r="T246" s="100"/>
      <c r="U246" s="100"/>
      <c r="V246" s="100"/>
      <c r="W246" s="100"/>
      <c r="X246" s="100"/>
      <c r="Y246" s="100"/>
      <c r="Z246" s="100"/>
      <c r="AA246" s="100"/>
      <c r="AB246" s="100"/>
      <c r="AC246" s="100"/>
      <c r="AD246" s="100"/>
      <c r="AG246">
        <f t="shared" si="210"/>
        <v>0</v>
      </c>
      <c r="AH246">
        <f t="shared" si="211"/>
        <v>0</v>
      </c>
      <c r="AI246">
        <f t="shared" si="212"/>
        <v>0</v>
      </c>
    </row>
    <row r="247" spans="1:35" ht="15" customHeight="1">
      <c r="A247" s="49"/>
      <c r="B247" s="38"/>
      <c r="C247" s="44" t="s">
        <v>2523</v>
      </c>
      <c r="D247" s="813" t="str">
        <f>IF(CNSIPEE_2024_M2_Secc1!D49="","",CNSIPEE_2024_M2_Secc1!D49)</f>
        <v/>
      </c>
      <c r="E247" s="814"/>
      <c r="F247" s="814"/>
      <c r="G247" s="814"/>
      <c r="H247" s="814"/>
      <c r="I247" s="814"/>
      <c r="J247" s="814"/>
      <c r="K247" s="814"/>
      <c r="L247" s="815"/>
      <c r="M247" s="100"/>
      <c r="N247" s="100"/>
      <c r="O247" s="100"/>
      <c r="P247" s="100"/>
      <c r="Q247" s="100"/>
      <c r="R247" s="100"/>
      <c r="S247" s="100"/>
      <c r="T247" s="100"/>
      <c r="U247" s="100"/>
      <c r="V247" s="100"/>
      <c r="W247" s="100"/>
      <c r="X247" s="100"/>
      <c r="Y247" s="100"/>
      <c r="Z247" s="100"/>
      <c r="AA247" s="100"/>
      <c r="AB247" s="100"/>
      <c r="AC247" s="100"/>
      <c r="AD247" s="100"/>
      <c r="AG247">
        <f t="shared" si="210"/>
        <v>0</v>
      </c>
      <c r="AH247">
        <f t="shared" si="211"/>
        <v>0</v>
      </c>
      <c r="AI247">
        <f t="shared" si="212"/>
        <v>0</v>
      </c>
    </row>
    <row r="248" spans="1:35" ht="15" customHeight="1">
      <c r="A248" s="49"/>
      <c r="B248" s="38"/>
      <c r="C248" s="38"/>
      <c r="D248" s="38"/>
      <c r="E248" s="38"/>
      <c r="F248" s="117"/>
      <c r="G248" s="131"/>
      <c r="I248" s="38"/>
      <c r="J248" s="38"/>
      <c r="K248" s="38"/>
      <c r="L248" s="117"/>
      <c r="M248" s="124">
        <f>IF(AND(SUM(M240:M247)=0,COUNTIF(M240:M247,"NS")&gt;0),"NS",
IF(AND(SUM(M240:M247)=0,COUNTIF(M240:M247,0)&gt;0),0,
IF(AND(SUM(M240:M247)=0,COUNTIF(M240:M247,"NA")&gt;0),"NA",
SUM(M240:M247))))</f>
        <v>0</v>
      </c>
      <c r="N248" s="124">
        <f t="shared" ref="N248:AD248" si="213">IF(AND(SUM(N240:N247)=0,COUNTIF(N240:N247,"NS")&gt;0),"NS",
IF(AND(SUM(N240:N247)=0,COUNTIF(N240:N247,0)&gt;0),0,
IF(AND(SUM(N240:N247)=0,COUNTIF(N240:N247,"NA")&gt;0),"NA",
SUM(N240:N247))))</f>
        <v>0</v>
      </c>
      <c r="O248" s="124">
        <f t="shared" si="213"/>
        <v>0</v>
      </c>
      <c r="P248" s="124">
        <f t="shared" si="213"/>
        <v>0</v>
      </c>
      <c r="Q248" s="124">
        <f t="shared" si="213"/>
        <v>0</v>
      </c>
      <c r="R248" s="124">
        <f t="shared" si="213"/>
        <v>0</v>
      </c>
      <c r="S248" s="124">
        <f t="shared" si="213"/>
        <v>0</v>
      </c>
      <c r="T248" s="124">
        <f t="shared" si="213"/>
        <v>0</v>
      </c>
      <c r="U248" s="124">
        <f t="shared" si="213"/>
        <v>0</v>
      </c>
      <c r="V248" s="124">
        <f t="shared" si="213"/>
        <v>0</v>
      </c>
      <c r="W248" s="124">
        <f t="shared" si="213"/>
        <v>0</v>
      </c>
      <c r="X248" s="124">
        <f t="shared" si="213"/>
        <v>0</v>
      </c>
      <c r="Y248" s="124">
        <f t="shared" si="213"/>
        <v>0</v>
      </c>
      <c r="Z248" s="124">
        <f t="shared" si="213"/>
        <v>0</v>
      </c>
      <c r="AA248" s="124">
        <f t="shared" si="213"/>
        <v>0</v>
      </c>
      <c r="AB248" s="124">
        <f t="shared" si="213"/>
        <v>0</v>
      </c>
      <c r="AC248" s="124">
        <f t="shared" si="213"/>
        <v>0</v>
      </c>
      <c r="AD248" s="124">
        <f t="shared" si="213"/>
        <v>0</v>
      </c>
      <c r="AG248" s="359">
        <f>SUM(AG240:AG247)</f>
        <v>0</v>
      </c>
      <c r="AH248" s="360">
        <f>SUM(AH240:AH247)</f>
        <v>0</v>
      </c>
      <c r="AI248" s="361">
        <f>SUM(AI240:AI247)</f>
        <v>0</v>
      </c>
    </row>
    <row r="249" spans="1:35" ht="15" customHeight="1">
      <c r="A249" s="49"/>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c r="AC249" s="38"/>
      <c r="AD249" s="38"/>
      <c r="AG249"/>
      <c r="AH249"/>
      <c r="AI249" s="362">
        <f>SUM(AG248:AI248)</f>
        <v>0</v>
      </c>
    </row>
    <row r="250" spans="1:35" ht="15" customHeight="1">
      <c r="A250" s="94"/>
      <c r="AA250" s="875" t="s">
        <v>3240</v>
      </c>
      <c r="AB250" s="875"/>
      <c r="AC250" s="875"/>
      <c r="AD250" s="875"/>
    </row>
    <row r="251" spans="1:35" ht="15" customHeight="1">
      <c r="A251" s="103"/>
      <c r="B251" s="113"/>
      <c r="C251" s="797" t="s">
        <v>2581</v>
      </c>
      <c r="D251" s="798"/>
      <c r="E251" s="798"/>
      <c r="F251" s="798"/>
      <c r="G251" s="798"/>
      <c r="H251" s="798"/>
      <c r="I251" s="798"/>
      <c r="J251" s="798"/>
      <c r="K251" s="798"/>
      <c r="L251" s="799"/>
      <c r="M251" s="739" t="s">
        <v>3206</v>
      </c>
      <c r="N251" s="740"/>
      <c r="O251" s="740"/>
      <c r="P251" s="740"/>
      <c r="Q251" s="740"/>
      <c r="R251" s="740"/>
      <c r="S251" s="740"/>
      <c r="T251" s="740"/>
      <c r="U251" s="740"/>
      <c r="V251" s="740"/>
      <c r="W251" s="740"/>
      <c r="X251" s="740"/>
      <c r="Y251" s="740"/>
      <c r="Z251" s="740"/>
      <c r="AA251" s="740"/>
      <c r="AB251" s="740"/>
      <c r="AC251" s="740"/>
      <c r="AD251" s="741"/>
    </row>
    <row r="252" spans="1:35" ht="36" customHeight="1">
      <c r="A252" s="103"/>
      <c r="C252" s="800"/>
      <c r="D252" s="801"/>
      <c r="E252" s="801"/>
      <c r="F252" s="801"/>
      <c r="G252" s="801"/>
      <c r="H252" s="801"/>
      <c r="I252" s="801"/>
      <c r="J252" s="801"/>
      <c r="K252" s="801"/>
      <c r="L252" s="802"/>
      <c r="M252" s="733" t="s">
        <v>3241</v>
      </c>
      <c r="N252" s="734"/>
      <c r="O252" s="735"/>
      <c r="P252" s="733" t="s">
        <v>3242</v>
      </c>
      <c r="Q252" s="734"/>
      <c r="R252" s="735"/>
      <c r="S252" s="733" t="s">
        <v>3243</v>
      </c>
      <c r="T252" s="734"/>
      <c r="U252" s="735"/>
      <c r="V252" s="733" t="s">
        <v>3244</v>
      </c>
      <c r="W252" s="734"/>
      <c r="X252" s="735"/>
      <c r="Y252" s="733" t="s">
        <v>3245</v>
      </c>
      <c r="Z252" s="734"/>
      <c r="AA252" s="735"/>
      <c r="AB252" s="733" t="s">
        <v>201</v>
      </c>
      <c r="AC252" s="734"/>
      <c r="AD252" s="735"/>
    </row>
    <row r="253" spans="1:35" ht="48" customHeight="1">
      <c r="A253" s="103"/>
      <c r="C253" s="803"/>
      <c r="D253" s="804"/>
      <c r="E253" s="804"/>
      <c r="F253" s="804"/>
      <c r="G253" s="804"/>
      <c r="H253" s="804"/>
      <c r="I253" s="804"/>
      <c r="J253" s="804"/>
      <c r="K253" s="804"/>
      <c r="L253" s="805"/>
      <c r="M253" s="127" t="s">
        <v>2635</v>
      </c>
      <c r="N253" s="128" t="s">
        <v>2629</v>
      </c>
      <c r="O253" s="128" t="s">
        <v>2630</v>
      </c>
      <c r="P253" s="127" t="s">
        <v>2635</v>
      </c>
      <c r="Q253" s="128" t="s">
        <v>2629</v>
      </c>
      <c r="R253" s="128" t="s">
        <v>2630</v>
      </c>
      <c r="S253" s="127" t="s">
        <v>2635</v>
      </c>
      <c r="T253" s="128" t="s">
        <v>2629</v>
      </c>
      <c r="U253" s="128" t="s">
        <v>2630</v>
      </c>
      <c r="V253" s="127" t="s">
        <v>2635</v>
      </c>
      <c r="W253" s="128" t="s">
        <v>2629</v>
      </c>
      <c r="X253" s="128" t="s">
        <v>2630</v>
      </c>
      <c r="Y253" s="127" t="s">
        <v>2635</v>
      </c>
      <c r="Z253" s="128" t="s">
        <v>2629</v>
      </c>
      <c r="AA253" s="128" t="s">
        <v>2630</v>
      </c>
      <c r="AB253" s="127" t="s">
        <v>2635</v>
      </c>
      <c r="AC253" s="128" t="s">
        <v>2629</v>
      </c>
      <c r="AD253" s="128" t="s">
        <v>2630</v>
      </c>
    </row>
    <row r="254" spans="1:35" ht="15" customHeight="1">
      <c r="A254" s="49"/>
      <c r="B254" s="38"/>
      <c r="C254" s="44" t="s">
        <v>2516</v>
      </c>
      <c r="D254" s="813" t="str">
        <f>IF(CNSIPEE_2024_M2_Secc1!D42="","",CNSIPEE_2024_M2_Secc1!D42)</f>
        <v/>
      </c>
      <c r="E254" s="814"/>
      <c r="F254" s="814"/>
      <c r="G254" s="814"/>
      <c r="H254" s="814"/>
      <c r="I254" s="814"/>
      <c r="J254" s="814"/>
      <c r="K254" s="814"/>
      <c r="L254" s="815"/>
      <c r="M254" s="100"/>
      <c r="N254" s="100"/>
      <c r="O254" s="100"/>
      <c r="P254" s="100"/>
      <c r="Q254" s="100"/>
      <c r="R254" s="100"/>
      <c r="S254" s="100"/>
      <c r="T254" s="100"/>
      <c r="U254" s="100"/>
      <c r="V254" s="100"/>
      <c r="W254" s="100"/>
      <c r="X254" s="100"/>
      <c r="Y254" s="100"/>
      <c r="Z254" s="100"/>
      <c r="AA254" s="100"/>
      <c r="AB254" s="100"/>
      <c r="AC254" s="100"/>
      <c r="AD254" s="100"/>
    </row>
    <row r="255" spans="1:35" ht="15" customHeight="1">
      <c r="A255" s="49"/>
      <c r="B255" s="38"/>
      <c r="C255" s="44" t="s">
        <v>2517</v>
      </c>
      <c r="D255" s="813" t="str">
        <f>IF(CNSIPEE_2024_M2_Secc1!D43="","",CNSIPEE_2024_M2_Secc1!D43)</f>
        <v/>
      </c>
      <c r="E255" s="814"/>
      <c r="F255" s="814"/>
      <c r="G255" s="814"/>
      <c r="H255" s="814"/>
      <c r="I255" s="814"/>
      <c r="J255" s="814"/>
      <c r="K255" s="814"/>
      <c r="L255" s="815"/>
      <c r="M255" s="100"/>
      <c r="N255" s="100"/>
      <c r="O255" s="100"/>
      <c r="P255" s="100"/>
      <c r="Q255" s="100"/>
      <c r="R255" s="100"/>
      <c r="S255" s="100"/>
      <c r="T255" s="100"/>
      <c r="U255" s="100"/>
      <c r="V255" s="100"/>
      <c r="W255" s="100"/>
      <c r="X255" s="100"/>
      <c r="Y255" s="100"/>
      <c r="Z255" s="100"/>
      <c r="AA255" s="100"/>
      <c r="AB255" s="100"/>
      <c r="AC255" s="100"/>
      <c r="AD255" s="100"/>
    </row>
    <row r="256" spans="1:35" ht="15" customHeight="1">
      <c r="A256" s="49"/>
      <c r="B256" s="38"/>
      <c r="C256" s="44" t="s">
        <v>2518</v>
      </c>
      <c r="D256" s="813" t="str">
        <f>IF(CNSIPEE_2024_M2_Secc1!D44="","",CNSIPEE_2024_M2_Secc1!D44)</f>
        <v/>
      </c>
      <c r="E256" s="814"/>
      <c r="F256" s="814"/>
      <c r="G256" s="814"/>
      <c r="H256" s="814"/>
      <c r="I256" s="814"/>
      <c r="J256" s="814"/>
      <c r="K256" s="814"/>
      <c r="L256" s="815"/>
      <c r="M256" s="100"/>
      <c r="N256" s="100"/>
      <c r="O256" s="100"/>
      <c r="P256" s="100"/>
      <c r="Q256" s="100"/>
      <c r="R256" s="100"/>
      <c r="S256" s="100"/>
      <c r="T256" s="100"/>
      <c r="U256" s="100"/>
      <c r="V256" s="100"/>
      <c r="W256" s="100"/>
      <c r="X256" s="100"/>
      <c r="Y256" s="100"/>
      <c r="Z256" s="100"/>
      <c r="AA256" s="100"/>
      <c r="AB256" s="100"/>
      <c r="AC256" s="100"/>
      <c r="AD256" s="100"/>
    </row>
    <row r="257" spans="1:30" ht="15" customHeight="1">
      <c r="A257" s="49"/>
      <c r="B257" s="38"/>
      <c r="C257" s="44" t="s">
        <v>2519</v>
      </c>
      <c r="D257" s="813" t="str">
        <f>IF(CNSIPEE_2024_M2_Secc1!D45="","",CNSIPEE_2024_M2_Secc1!D45)</f>
        <v/>
      </c>
      <c r="E257" s="814"/>
      <c r="F257" s="814"/>
      <c r="G257" s="814"/>
      <c r="H257" s="814"/>
      <c r="I257" s="814"/>
      <c r="J257" s="814"/>
      <c r="K257" s="814"/>
      <c r="L257" s="815"/>
      <c r="M257" s="100"/>
      <c r="N257" s="100"/>
      <c r="O257" s="100"/>
      <c r="P257" s="100"/>
      <c r="Q257" s="100"/>
      <c r="R257" s="100"/>
      <c r="S257" s="100"/>
      <c r="T257" s="100"/>
      <c r="U257" s="100"/>
      <c r="V257" s="100"/>
      <c r="W257" s="100"/>
      <c r="X257" s="100"/>
      <c r="Y257" s="100"/>
      <c r="Z257" s="100"/>
      <c r="AA257" s="100"/>
      <c r="AB257" s="100"/>
      <c r="AC257" s="100"/>
      <c r="AD257" s="100"/>
    </row>
    <row r="258" spans="1:30" ht="15" customHeight="1">
      <c r="A258" s="49"/>
      <c r="B258" s="38"/>
      <c r="C258" s="44" t="s">
        <v>2520</v>
      </c>
      <c r="D258" s="813" t="str">
        <f>IF(CNSIPEE_2024_M2_Secc1!D46="","",CNSIPEE_2024_M2_Secc1!D46)</f>
        <v/>
      </c>
      <c r="E258" s="814"/>
      <c r="F258" s="814"/>
      <c r="G258" s="814"/>
      <c r="H258" s="814"/>
      <c r="I258" s="814"/>
      <c r="J258" s="814"/>
      <c r="K258" s="814"/>
      <c r="L258" s="815"/>
      <c r="M258" s="100"/>
      <c r="N258" s="100"/>
      <c r="O258" s="100"/>
      <c r="P258" s="100"/>
      <c r="Q258" s="100"/>
      <c r="R258" s="100"/>
      <c r="S258" s="100"/>
      <c r="T258" s="100"/>
      <c r="U258" s="100"/>
      <c r="V258" s="100"/>
      <c r="W258" s="100"/>
      <c r="X258" s="100"/>
      <c r="Y258" s="100"/>
      <c r="Z258" s="100"/>
      <c r="AA258" s="100"/>
      <c r="AB258" s="100"/>
      <c r="AC258" s="100"/>
      <c r="AD258" s="100"/>
    </row>
    <row r="259" spans="1:30" ht="15" customHeight="1">
      <c r="A259" s="49"/>
      <c r="B259" s="38"/>
      <c r="C259" s="44" t="s">
        <v>2521</v>
      </c>
      <c r="D259" s="813" t="str">
        <f>IF(CNSIPEE_2024_M2_Secc1!D47="","",CNSIPEE_2024_M2_Secc1!D47)</f>
        <v/>
      </c>
      <c r="E259" s="814"/>
      <c r="F259" s="814"/>
      <c r="G259" s="814"/>
      <c r="H259" s="814"/>
      <c r="I259" s="814"/>
      <c r="J259" s="814"/>
      <c r="K259" s="814"/>
      <c r="L259" s="815"/>
      <c r="M259" s="100"/>
      <c r="N259" s="100"/>
      <c r="O259" s="100"/>
      <c r="P259" s="100"/>
      <c r="Q259" s="100"/>
      <c r="R259" s="100"/>
      <c r="S259" s="100"/>
      <c r="T259" s="100"/>
      <c r="U259" s="100"/>
      <c r="V259" s="100"/>
      <c r="W259" s="100"/>
      <c r="X259" s="100"/>
      <c r="Y259" s="100"/>
      <c r="Z259" s="100"/>
      <c r="AA259" s="100"/>
      <c r="AB259" s="100"/>
      <c r="AC259" s="100"/>
      <c r="AD259" s="100"/>
    </row>
    <row r="260" spans="1:30" ht="15" customHeight="1">
      <c r="A260" s="49"/>
      <c r="B260" s="38"/>
      <c r="C260" s="44" t="s">
        <v>2522</v>
      </c>
      <c r="D260" s="813" t="str">
        <f>IF(CNSIPEE_2024_M2_Secc1!D48="","",CNSIPEE_2024_M2_Secc1!D48)</f>
        <v/>
      </c>
      <c r="E260" s="814"/>
      <c r="F260" s="814"/>
      <c r="G260" s="814"/>
      <c r="H260" s="814"/>
      <c r="I260" s="814"/>
      <c r="J260" s="814"/>
      <c r="K260" s="814"/>
      <c r="L260" s="815"/>
      <c r="M260" s="100"/>
      <c r="N260" s="100"/>
      <c r="O260" s="100"/>
      <c r="P260" s="100"/>
      <c r="Q260" s="100"/>
      <c r="R260" s="100"/>
      <c r="S260" s="100"/>
      <c r="T260" s="100"/>
      <c r="U260" s="100"/>
      <c r="V260" s="100"/>
      <c r="W260" s="100"/>
      <c r="X260" s="100"/>
      <c r="Y260" s="100"/>
      <c r="Z260" s="100"/>
      <c r="AA260" s="100"/>
      <c r="AB260" s="100"/>
      <c r="AC260" s="100"/>
      <c r="AD260" s="100"/>
    </row>
    <row r="261" spans="1:30" ht="15" customHeight="1">
      <c r="A261" s="49"/>
      <c r="B261" s="38"/>
      <c r="C261" s="44" t="s">
        <v>2523</v>
      </c>
      <c r="D261" s="813" t="str">
        <f>IF(CNSIPEE_2024_M2_Secc1!D49="","",CNSIPEE_2024_M2_Secc1!D49)</f>
        <v/>
      </c>
      <c r="E261" s="814"/>
      <c r="F261" s="814"/>
      <c r="G261" s="814"/>
      <c r="H261" s="814"/>
      <c r="I261" s="814"/>
      <c r="J261" s="814"/>
      <c r="K261" s="814"/>
      <c r="L261" s="815"/>
      <c r="M261" s="100"/>
      <c r="N261" s="100"/>
      <c r="O261" s="100"/>
      <c r="P261" s="100"/>
      <c r="Q261" s="100"/>
      <c r="R261" s="100"/>
      <c r="S261" s="100"/>
      <c r="T261" s="100"/>
      <c r="U261" s="100"/>
      <c r="V261" s="100"/>
      <c r="W261" s="100"/>
      <c r="X261" s="100"/>
      <c r="Y261" s="100"/>
      <c r="Z261" s="100"/>
      <c r="AA261" s="100"/>
      <c r="AB261" s="100"/>
      <c r="AC261" s="100"/>
      <c r="AD261" s="100"/>
    </row>
    <row r="262" spans="1:30" ht="15" customHeight="1">
      <c r="A262" s="49"/>
      <c r="B262" s="38"/>
      <c r="C262" s="38"/>
      <c r="D262" s="38"/>
      <c r="E262" s="38"/>
      <c r="F262" s="117"/>
      <c r="G262" s="131"/>
      <c r="I262" s="38"/>
      <c r="J262" s="38"/>
      <c r="K262" s="38"/>
      <c r="L262" s="117"/>
      <c r="M262" s="124">
        <f>IF(AND(SUM(M254:M261)=0,COUNTIF(M254:M261,"NS")&gt;0),"NS",
IF(AND(SUM(M254:M261)=0,COUNTIF(M254:M261,0)&gt;0),0,
IF(AND(SUM(M254:M261)=0,COUNTIF(M254:M261,"NA")&gt;0),"NA",
SUM(M254:M261))))</f>
        <v>0</v>
      </c>
      <c r="N262" s="124">
        <f t="shared" ref="N262:AD262" si="214">IF(AND(SUM(N254:N261)=0,COUNTIF(N254:N261,"NS")&gt;0),"NS",
IF(AND(SUM(N254:N261)=0,COUNTIF(N254:N261,0)&gt;0),0,
IF(AND(SUM(N254:N261)=0,COUNTIF(N254:N261,"NA")&gt;0),"NA",
SUM(N254:N261))))</f>
        <v>0</v>
      </c>
      <c r="O262" s="124">
        <f t="shared" si="214"/>
        <v>0</v>
      </c>
      <c r="P262" s="124">
        <f t="shared" si="214"/>
        <v>0</v>
      </c>
      <c r="Q262" s="124">
        <f t="shared" si="214"/>
        <v>0</v>
      </c>
      <c r="R262" s="124">
        <f t="shared" si="214"/>
        <v>0</v>
      </c>
      <c r="S262" s="124">
        <f t="shared" si="214"/>
        <v>0</v>
      </c>
      <c r="T262" s="124">
        <f t="shared" si="214"/>
        <v>0</v>
      </c>
      <c r="U262" s="124">
        <f t="shared" si="214"/>
        <v>0</v>
      </c>
      <c r="V262" s="124">
        <f t="shared" si="214"/>
        <v>0</v>
      </c>
      <c r="W262" s="124">
        <f t="shared" si="214"/>
        <v>0</v>
      </c>
      <c r="X262" s="124">
        <f t="shared" si="214"/>
        <v>0</v>
      </c>
      <c r="Y262" s="124">
        <f t="shared" si="214"/>
        <v>0</v>
      </c>
      <c r="Z262" s="124">
        <f t="shared" si="214"/>
        <v>0</v>
      </c>
      <c r="AA262" s="124">
        <f t="shared" si="214"/>
        <v>0</v>
      </c>
      <c r="AB262" s="124">
        <f t="shared" si="214"/>
        <v>0</v>
      </c>
      <c r="AC262" s="124">
        <f t="shared" si="214"/>
        <v>0</v>
      </c>
      <c r="AD262" s="124">
        <f t="shared" si="214"/>
        <v>0</v>
      </c>
    </row>
    <row r="263" spans="1:30" ht="15" customHeight="1">
      <c r="A263" s="49"/>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c r="AA263" s="38"/>
      <c r="AB263" s="38"/>
      <c r="AC263" s="38"/>
      <c r="AD263" s="38"/>
    </row>
    <row r="264" spans="1:30" ht="24" customHeight="1">
      <c r="A264" s="96"/>
      <c r="B264" s="90"/>
      <c r="C264" s="754" t="s">
        <v>2611</v>
      </c>
      <c r="D264" s="754"/>
      <c r="E264" s="754"/>
      <c r="F264" s="754"/>
      <c r="G264" s="754"/>
      <c r="H264" s="754"/>
      <c r="I264" s="754"/>
      <c r="J264" s="754"/>
      <c r="K264" s="754"/>
      <c r="L264" s="754"/>
      <c r="M264" s="754"/>
      <c r="N264" s="754"/>
      <c r="O264" s="754"/>
      <c r="P264" s="754"/>
      <c r="Q264" s="754"/>
      <c r="R264" s="754"/>
      <c r="S264" s="754"/>
      <c r="T264" s="754"/>
      <c r="U264" s="754"/>
      <c r="V264" s="754"/>
      <c r="W264" s="754"/>
      <c r="X264" s="754"/>
      <c r="Y264" s="754"/>
      <c r="Z264" s="754"/>
      <c r="AA264" s="754"/>
      <c r="AB264" s="754"/>
      <c r="AC264" s="754"/>
      <c r="AD264" s="754"/>
    </row>
    <row r="265" spans="1:30" ht="60" customHeight="1">
      <c r="A265" s="96"/>
      <c r="B265" s="90"/>
      <c r="C265" s="851"/>
      <c r="D265" s="851"/>
      <c r="E265" s="851"/>
      <c r="F265" s="851"/>
      <c r="G265" s="851"/>
      <c r="H265" s="851"/>
      <c r="I265" s="851"/>
      <c r="J265" s="851"/>
      <c r="K265" s="851"/>
      <c r="L265" s="851"/>
      <c r="M265" s="851"/>
      <c r="N265" s="851"/>
      <c r="O265" s="851"/>
      <c r="P265" s="851"/>
      <c r="Q265" s="851"/>
      <c r="R265" s="851"/>
      <c r="S265" s="851"/>
      <c r="T265" s="851"/>
      <c r="U265" s="851"/>
      <c r="V265" s="851"/>
      <c r="W265" s="851"/>
      <c r="X265" s="851"/>
      <c r="Y265" s="851"/>
      <c r="Z265" s="851"/>
      <c r="AA265" s="851"/>
      <c r="AB265" s="851"/>
      <c r="AC265" s="851"/>
      <c r="AD265" s="851"/>
    </row>
    <row r="266" spans="1:30" ht="15" customHeight="1">
      <c r="A266" s="96"/>
      <c r="B266" s="794" t="str">
        <f>IF(AG234&gt;0,"Favor de ingresar toda la información requerida en la pregunta ","")</f>
        <v/>
      </c>
      <c r="C266" s="794"/>
      <c r="D266" s="794"/>
      <c r="E266" s="794"/>
      <c r="F266" s="794"/>
      <c r="G266" s="794"/>
      <c r="H266" s="794"/>
      <c r="I266" s="794"/>
      <c r="J266" s="794"/>
      <c r="K266" s="794"/>
      <c r="L266" s="794"/>
      <c r="M266" s="794"/>
      <c r="N266" s="794"/>
      <c r="O266" s="794"/>
      <c r="P266" s="794"/>
      <c r="Q266" s="794"/>
      <c r="R266" s="794"/>
      <c r="S266" s="794"/>
      <c r="T266" s="794"/>
      <c r="U266" s="794"/>
      <c r="V266" s="794"/>
      <c r="W266" s="794"/>
      <c r="X266" s="794"/>
      <c r="Y266" s="794"/>
      <c r="Z266" s="794"/>
      <c r="AA266" s="794"/>
      <c r="AB266" s="794"/>
      <c r="AC266" s="794"/>
      <c r="AD266" s="794"/>
    </row>
    <row r="267" spans="1:30" ht="15" customHeight="1">
      <c r="A267" s="96"/>
      <c r="B267" s="795" t="str">
        <f>IF(AL236&gt;0,"Alerta: debido a que cuenta con registros NS, debe proporcionar una justificación en el area de comentarios al final de la pregunta","")</f>
        <v/>
      </c>
      <c r="C267" s="795"/>
      <c r="D267" s="795"/>
      <c r="E267" s="795"/>
      <c r="F267" s="795"/>
      <c r="G267" s="795"/>
      <c r="H267" s="795"/>
      <c r="I267" s="795"/>
      <c r="J267" s="795"/>
      <c r="K267" s="795"/>
      <c r="L267" s="795"/>
      <c r="M267" s="795"/>
      <c r="N267" s="795"/>
      <c r="O267" s="795"/>
      <c r="P267" s="795"/>
      <c r="Q267" s="795"/>
      <c r="R267" s="795"/>
      <c r="S267" s="795"/>
      <c r="T267" s="795"/>
      <c r="U267" s="795"/>
      <c r="V267" s="795"/>
      <c r="W267" s="795"/>
      <c r="X267" s="795"/>
      <c r="Y267" s="795"/>
      <c r="Z267" s="795"/>
      <c r="AA267" s="795"/>
      <c r="AB267" s="795"/>
      <c r="AC267" s="795"/>
      <c r="AD267" s="795"/>
    </row>
    <row r="268" spans="1:30" ht="15" customHeight="1">
      <c r="A268" s="96"/>
      <c r="B268" s="794" t="str">
        <f>IF(OR(AJ236&gt;0,AJ237&gt;0,AL237&gt;0,AN237&gt;0),"Favor de revisar la suma y consistencia de totales y/o subtotales por filas (numéricos y NS)","")</f>
        <v/>
      </c>
      <c r="C268" s="794"/>
      <c r="D268" s="794"/>
      <c r="E268" s="794"/>
      <c r="F268" s="794"/>
      <c r="G268" s="794"/>
      <c r="H268" s="794"/>
      <c r="I268" s="794"/>
      <c r="J268" s="794"/>
      <c r="K268" s="794"/>
      <c r="L268" s="794"/>
      <c r="M268" s="794"/>
      <c r="N268" s="794"/>
      <c r="O268" s="794"/>
      <c r="P268" s="794"/>
      <c r="Q268" s="794"/>
      <c r="R268" s="794"/>
      <c r="S268" s="794"/>
      <c r="T268" s="794"/>
      <c r="U268" s="794"/>
      <c r="V268" s="794"/>
      <c r="W268" s="794"/>
      <c r="X268" s="794"/>
      <c r="Y268" s="794"/>
      <c r="Z268" s="794"/>
      <c r="AA268" s="794"/>
      <c r="AB268" s="794"/>
      <c r="AC268" s="794"/>
      <c r="AD268" s="794"/>
    </row>
    <row r="269" spans="1:30" ht="15" customHeight="1">
      <c r="A269" s="96"/>
      <c r="B269" s="794" t="str">
        <f>IF(AI249&gt;0,"Favor de revisar la instrucción general 2 del apartado II.2, ya que no se cumplen los criterios establecidos","")</f>
        <v/>
      </c>
      <c r="C269" s="794"/>
      <c r="D269" s="794"/>
      <c r="E269" s="794"/>
      <c r="F269" s="794"/>
      <c r="G269" s="794"/>
      <c r="H269" s="794"/>
      <c r="I269" s="794"/>
      <c r="J269" s="794"/>
      <c r="K269" s="794"/>
      <c r="L269" s="794"/>
      <c r="M269" s="794"/>
      <c r="N269" s="794"/>
      <c r="O269" s="794"/>
      <c r="P269" s="794"/>
      <c r="Q269" s="794"/>
      <c r="R269" s="794"/>
      <c r="S269" s="794"/>
      <c r="T269" s="794"/>
      <c r="U269" s="794"/>
      <c r="V269" s="794"/>
      <c r="W269" s="794"/>
      <c r="X269" s="794"/>
      <c r="Y269" s="794"/>
      <c r="Z269" s="794"/>
      <c r="AA269" s="794"/>
      <c r="AB269" s="794"/>
      <c r="AC269" s="794"/>
      <c r="AD269" s="794"/>
    </row>
    <row r="270" spans="1:30" ht="15" customHeight="1">
      <c r="A270" s="96"/>
      <c r="B270" s="90"/>
      <c r="C270" s="90"/>
      <c r="D270" s="90"/>
      <c r="E270" s="90"/>
      <c r="F270" s="90"/>
      <c r="G270" s="90"/>
      <c r="H270" s="90"/>
      <c r="I270" s="90"/>
      <c r="J270" s="90"/>
      <c r="K270" s="90"/>
      <c r="L270" s="90"/>
      <c r="M270" s="90"/>
      <c r="N270" s="90"/>
      <c r="O270" s="90"/>
      <c r="P270" s="90"/>
      <c r="Q270" s="90"/>
      <c r="R270" s="90"/>
      <c r="S270" s="90"/>
      <c r="T270" s="90"/>
      <c r="U270" s="90"/>
      <c r="V270" s="90"/>
      <c r="W270" s="90"/>
      <c r="X270" s="90"/>
      <c r="Y270" s="90"/>
      <c r="Z270" s="90"/>
      <c r="AA270" s="90"/>
      <c r="AB270" s="90"/>
      <c r="AC270" s="90"/>
      <c r="AD270" s="90"/>
    </row>
    <row r="271" spans="1:30" ht="15" customHeight="1">
      <c r="A271" s="96"/>
      <c r="B271" s="90"/>
      <c r="C271" s="90"/>
      <c r="D271" s="90"/>
      <c r="E271" s="90"/>
      <c r="F271" s="90"/>
      <c r="G271" s="90"/>
      <c r="H271" s="90"/>
      <c r="I271" s="90"/>
      <c r="J271" s="90"/>
      <c r="K271" s="90"/>
      <c r="L271" s="90"/>
      <c r="M271" s="90"/>
      <c r="N271" s="90"/>
      <c r="O271" s="90"/>
      <c r="P271" s="90"/>
      <c r="Q271" s="90"/>
      <c r="R271" s="90"/>
      <c r="S271" s="90"/>
      <c r="T271" s="90"/>
      <c r="U271" s="90"/>
      <c r="V271" s="90"/>
      <c r="W271" s="90"/>
      <c r="X271" s="90"/>
      <c r="Y271" s="90"/>
      <c r="Z271" s="90"/>
      <c r="AA271" s="90"/>
      <c r="AB271" s="90"/>
      <c r="AC271" s="90"/>
      <c r="AD271" s="90"/>
    </row>
    <row r="272" spans="1:30" ht="24" customHeight="1">
      <c r="A272" s="49" t="s">
        <v>3246</v>
      </c>
      <c r="B272" s="829" t="s">
        <v>3247</v>
      </c>
      <c r="C272" s="829"/>
      <c r="D272" s="829"/>
      <c r="E272" s="829"/>
      <c r="F272" s="829"/>
      <c r="G272" s="829"/>
      <c r="H272" s="829"/>
      <c r="I272" s="829"/>
      <c r="J272" s="829"/>
      <c r="K272" s="829"/>
      <c r="L272" s="829"/>
      <c r="M272" s="829"/>
      <c r="N272" s="829"/>
      <c r="O272" s="829"/>
      <c r="P272" s="829"/>
      <c r="Q272" s="829"/>
      <c r="R272" s="829"/>
      <c r="S272" s="829"/>
      <c r="T272" s="829"/>
      <c r="U272" s="829"/>
      <c r="V272" s="829"/>
      <c r="W272" s="829"/>
      <c r="X272" s="829"/>
      <c r="Y272" s="829"/>
      <c r="Z272" s="829"/>
      <c r="AA272" s="829"/>
      <c r="AB272" s="829"/>
      <c r="AC272" s="829"/>
      <c r="AD272" s="829"/>
    </row>
    <row r="273" spans="1:63" ht="24" customHeight="1">
      <c r="A273" s="103"/>
      <c r="B273" s="57"/>
      <c r="C273" s="830" t="s">
        <v>3248</v>
      </c>
      <c r="D273" s="830"/>
      <c r="E273" s="830"/>
      <c r="F273" s="830"/>
      <c r="G273" s="830"/>
      <c r="H273" s="830"/>
      <c r="I273" s="830"/>
      <c r="J273" s="830"/>
      <c r="K273" s="830"/>
      <c r="L273" s="830"/>
      <c r="M273" s="830"/>
      <c r="N273" s="830"/>
      <c r="O273" s="830"/>
      <c r="P273" s="830"/>
      <c r="Q273" s="830"/>
      <c r="R273" s="830"/>
      <c r="S273" s="830"/>
      <c r="T273" s="830"/>
      <c r="U273" s="830"/>
      <c r="V273" s="830"/>
      <c r="W273" s="830"/>
      <c r="X273" s="830"/>
      <c r="Y273" s="830"/>
      <c r="Z273" s="830"/>
      <c r="AA273" s="830"/>
      <c r="AB273" s="830"/>
      <c r="AC273" s="830"/>
      <c r="AD273" s="830"/>
    </row>
    <row r="274" spans="1:63" ht="15" customHeight="1">
      <c r="A274" s="49"/>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c r="AA274" s="38"/>
      <c r="AB274" s="38"/>
      <c r="AC274" s="38"/>
      <c r="AD274" s="38"/>
    </row>
    <row r="275" spans="1:63" ht="15">
      <c r="A275" s="94"/>
      <c r="AA275" s="875" t="s">
        <v>2664</v>
      </c>
      <c r="AB275" s="875"/>
      <c r="AC275" s="875"/>
      <c r="AD275" s="875"/>
    </row>
    <row r="276" spans="1:63" ht="24" customHeight="1">
      <c r="A276" s="103"/>
      <c r="B276" s="113"/>
      <c r="C276" s="797" t="s">
        <v>2581</v>
      </c>
      <c r="D276" s="798"/>
      <c r="E276" s="798"/>
      <c r="F276" s="798"/>
      <c r="G276" s="798"/>
      <c r="H276" s="798"/>
      <c r="I276" s="798"/>
      <c r="J276" s="798"/>
      <c r="K276" s="798"/>
      <c r="L276" s="798"/>
      <c r="M276" s="798"/>
      <c r="N276" s="798"/>
      <c r="O276" s="799"/>
      <c r="P276" s="732" t="s">
        <v>3249</v>
      </c>
      <c r="Q276" s="732"/>
      <c r="R276" s="732"/>
      <c r="S276" s="732"/>
      <c r="T276" s="732"/>
      <c r="U276" s="732"/>
      <c r="V276" s="732"/>
      <c r="W276" s="732"/>
      <c r="X276" s="732"/>
      <c r="Y276" s="732"/>
      <c r="Z276" s="732"/>
      <c r="AA276" s="732"/>
      <c r="AB276" s="732"/>
      <c r="AC276" s="732"/>
      <c r="AD276" s="732"/>
    </row>
    <row r="277" spans="1:63" ht="48" customHeight="1">
      <c r="A277" s="103"/>
      <c r="B277" s="211"/>
      <c r="C277" s="800"/>
      <c r="D277" s="801"/>
      <c r="E277" s="801"/>
      <c r="F277" s="801"/>
      <c r="G277" s="801"/>
      <c r="H277" s="801"/>
      <c r="I277" s="801"/>
      <c r="J277" s="801"/>
      <c r="K277" s="801"/>
      <c r="L277" s="801"/>
      <c r="M277" s="801"/>
      <c r="N277" s="801"/>
      <c r="O277" s="802"/>
      <c r="P277" s="874" t="s">
        <v>2628</v>
      </c>
      <c r="Q277" s="857" t="s">
        <v>2629</v>
      </c>
      <c r="R277" s="857" t="s">
        <v>2630</v>
      </c>
      <c r="S277" s="736" t="s">
        <v>3099</v>
      </c>
      <c r="T277" s="736"/>
      <c r="U277" s="736"/>
      <c r="V277" s="736" t="s">
        <v>3102</v>
      </c>
      <c r="W277" s="736"/>
      <c r="X277" s="736"/>
      <c r="Y277" s="736" t="s">
        <v>3105</v>
      </c>
      <c r="Z277" s="736"/>
      <c r="AA277" s="736"/>
      <c r="AB277" s="736" t="s">
        <v>3108</v>
      </c>
      <c r="AC277" s="736"/>
      <c r="AD277" s="736"/>
    </row>
    <row r="278" spans="1:63" ht="48" customHeight="1">
      <c r="A278" s="103"/>
      <c r="B278" s="113"/>
      <c r="C278" s="803"/>
      <c r="D278" s="804"/>
      <c r="E278" s="804"/>
      <c r="F278" s="804"/>
      <c r="G278" s="804"/>
      <c r="H278" s="804"/>
      <c r="I278" s="804"/>
      <c r="J278" s="804"/>
      <c r="K278" s="804"/>
      <c r="L278" s="804"/>
      <c r="M278" s="804"/>
      <c r="N278" s="804"/>
      <c r="O278" s="805"/>
      <c r="P278" s="874"/>
      <c r="Q278" s="857"/>
      <c r="R278" s="857"/>
      <c r="S278" s="127" t="s">
        <v>2635</v>
      </c>
      <c r="T278" s="128" t="s">
        <v>2629</v>
      </c>
      <c r="U278" s="128" t="s">
        <v>2630</v>
      </c>
      <c r="V278" s="127" t="s">
        <v>2635</v>
      </c>
      <c r="W278" s="128" t="s">
        <v>2629</v>
      </c>
      <c r="X278" s="128" t="s">
        <v>2630</v>
      </c>
      <c r="Y278" s="127" t="s">
        <v>2635</v>
      </c>
      <c r="Z278" s="128" t="s">
        <v>2629</v>
      </c>
      <c r="AA278" s="128" t="s">
        <v>2630</v>
      </c>
      <c r="AB278" s="127" t="s">
        <v>2635</v>
      </c>
      <c r="AC278" s="128" t="s">
        <v>2629</v>
      </c>
      <c r="AD278" s="128" t="s">
        <v>2630</v>
      </c>
      <c r="AG278" s="354" t="s">
        <v>2586</v>
      </c>
      <c r="AH278" s="282" t="s">
        <v>2637</v>
      </c>
      <c r="AI278" s="280" t="s">
        <v>2638</v>
      </c>
      <c r="AJ278" s="281" t="s">
        <v>2639</v>
      </c>
      <c r="AK278" s="282" t="s">
        <v>2640</v>
      </c>
      <c r="AL278" s="280" t="s">
        <v>2641</v>
      </c>
      <c r="AM278" s="281" t="s">
        <v>2642</v>
      </c>
      <c r="AN278" s="282" t="s">
        <v>2643</v>
      </c>
      <c r="AO278" s="280" t="s">
        <v>2644</v>
      </c>
      <c r="AP278" s="281" t="s">
        <v>2645</v>
      </c>
      <c r="AQ278" s="282" t="s">
        <v>2646</v>
      </c>
      <c r="AR278" s="280" t="s">
        <v>2647</v>
      </c>
      <c r="AS278" s="281" t="s">
        <v>2648</v>
      </c>
      <c r="AT278" s="282" t="s">
        <v>2756</v>
      </c>
      <c r="AU278" s="280" t="s">
        <v>2757</v>
      </c>
      <c r="AV278" s="281" t="s">
        <v>2758</v>
      </c>
      <c r="AW278" s="282" t="s">
        <v>2759</v>
      </c>
      <c r="AX278" s="280" t="s">
        <v>2760</v>
      </c>
      <c r="AY278" s="281" t="s">
        <v>2761</v>
      </c>
      <c r="AZ278" s="282" t="s">
        <v>2762</v>
      </c>
      <c r="BA278" s="280" t="s">
        <v>2763</v>
      </c>
      <c r="BB278" s="281" t="s">
        <v>2764</v>
      </c>
      <c r="BC278" s="282" t="s">
        <v>2765</v>
      </c>
      <c r="BD278" s="280" t="s">
        <v>2766</v>
      </c>
      <c r="BE278" s="281" t="s">
        <v>2767</v>
      </c>
      <c r="BF278" s="282" t="s">
        <v>2768</v>
      </c>
      <c r="BG278" s="280" t="s">
        <v>2769</v>
      </c>
      <c r="BH278" s="281" t="s">
        <v>2770</v>
      </c>
      <c r="BI278" s="282" t="s">
        <v>2771</v>
      </c>
      <c r="BJ278" s="280" t="s">
        <v>2772</v>
      </c>
      <c r="BK278" s="281" t="s">
        <v>2773</v>
      </c>
    </row>
    <row r="279" spans="1:63" ht="15" customHeight="1">
      <c r="A279" s="103"/>
      <c r="B279" s="113"/>
      <c r="C279" s="44" t="s">
        <v>2516</v>
      </c>
      <c r="D279" s="813" t="str">
        <f>IF(CNSIPEE_2024_M2_Secc1!D42="","",CNSIPEE_2024_M2_Secc1!D42)</f>
        <v/>
      </c>
      <c r="E279" s="814"/>
      <c r="F279" s="814"/>
      <c r="G279" s="814"/>
      <c r="H279" s="814"/>
      <c r="I279" s="814"/>
      <c r="J279" s="814"/>
      <c r="K279" s="814"/>
      <c r="L279" s="814"/>
      <c r="M279" s="814"/>
      <c r="N279" s="814"/>
      <c r="O279" s="815"/>
      <c r="P279" s="100"/>
      <c r="Q279" s="100"/>
      <c r="R279" s="100"/>
      <c r="S279" s="100"/>
      <c r="T279" s="100"/>
      <c r="U279" s="100"/>
      <c r="V279" s="100"/>
      <c r="W279" s="100"/>
      <c r="X279" s="100"/>
      <c r="Y279" s="100"/>
      <c r="Z279" s="100"/>
      <c r="AA279" s="100"/>
      <c r="AB279" s="100"/>
      <c r="AC279" s="100"/>
      <c r="AD279" s="100"/>
      <c r="AG279" s="326">
        <f>IF(AND(COUNTBLANK(D279)=0,COUNTA(P279:AD279,P293:AD293)=30),0,IF(AND(COUNTBLANK(D279)=1,COUNTA(P279:AD279,P293:AD293)=0),0,1))</f>
        <v>0</v>
      </c>
      <c r="AH279" s="283">
        <f>COUNTIF(Q279:R279,"NS")</f>
        <v>0</v>
      </c>
      <c r="AI279" s="283">
        <f>SUM(Q279:R279)</f>
        <v>0</v>
      </c>
      <c r="AJ279" s="283">
        <f>IF(COUNTIF(P279:R279,"NA")=3,0,IF(COUNTA(P279:R279)=0,0,IF(OR(AND(P279=0,AH279&gt;0),AND(P279="ns",AI279&gt;0),AND(P279="ns",AH279=0,AI279=0)),1,IF(OR(AND(P279&gt;0,AH279=2),AND(P279="ns",AH279=2),AND(P279="ns",AI279=0,AH279&gt;0),P279=AI279),0,1))))</f>
        <v>0</v>
      </c>
      <c r="AK279" s="283">
        <f>COUNTIF(T279:U279,"NS")</f>
        <v>0</v>
      </c>
      <c r="AL279" s="283">
        <f t="shared" ref="AL279" si="215">SUM(T279:U279)</f>
        <v>0</v>
      </c>
      <c r="AM279" s="283">
        <f t="shared" ref="AM279" si="216">IF(COUNTIF(S279:U279,"NA")=3,0,IF(COUNTA(S279:U279)=0,0,IF(OR(AND(S279=0,AK279&gt;0),AND(S279="ns",AL279&gt;0),AND(S279="ns",AK279=0,AL279=0)),1,IF(OR(AND(S279&gt;0,AK279=2),AND(S279="ns",AK279=2),AND(S279="ns",AL279=0,AK279&gt;0),S279=AL279),0,1))))</f>
        <v>0</v>
      </c>
      <c r="AN279" s="283">
        <f t="shared" ref="AN279" si="217">COUNTIF(W279:X279,"NS")</f>
        <v>0</v>
      </c>
      <c r="AO279" s="283">
        <f t="shared" ref="AO279" si="218">SUM(W279:X279)</f>
        <v>0</v>
      </c>
      <c r="AP279" s="283">
        <f t="shared" ref="AP279" si="219">IF(COUNTIF(V279:X279,"NA")=3,0,IF(COUNTA(V279:X279)=0,0,IF(OR(AND(V279=0,AN279&gt;0),AND(V279="ns",AO279&gt;0),AND(V279="ns",AN279=0,AO279=0)),1,IF(OR(AND(V279&gt;0,AN279=2),AND(V279="ns",AN279=2),AND(V279="ns",AO279=0,AN279&gt;0),V279=AO279),0,1))))</f>
        <v>0</v>
      </c>
      <c r="AQ279" s="283">
        <f t="shared" ref="AQ279" si="220">COUNTIF(Z279:AA279,"NS")</f>
        <v>0</v>
      </c>
      <c r="AR279" s="283">
        <f t="shared" ref="AR279" si="221">SUM(Z279:AA279)</f>
        <v>0</v>
      </c>
      <c r="AS279" s="283">
        <f t="shared" ref="AS279" si="222">IF(COUNTIF(Y279:AA279,"NA")=3,0,IF(COUNTA(Y279:AA279)=0,0,IF(OR(AND(Y279=0,AQ279&gt;0),AND(Y279="ns",AR279&gt;0),AND(Y279="ns",AQ279=0,AR279=0)),1,IF(OR(AND(Y279&gt;0,AQ279=2),AND(Y279="ns",AQ279=2),AND(Y279="ns",AR279=0,AQ279&gt;0),Y279=AR279),0,1))))</f>
        <v>0</v>
      </c>
      <c r="AT279" s="283">
        <f t="shared" ref="AT279" si="223">COUNTIF(AC279:AD279,"NS")</f>
        <v>0</v>
      </c>
      <c r="AU279" s="283">
        <f t="shared" ref="AU279" si="224">SUM(AC279:AD279)</f>
        <v>0</v>
      </c>
      <c r="AV279" s="283">
        <f>IF(COUNTIF(AB279:AD279,"NA")=3,0,IF(COUNTA(AB279:AD279)=0,0,IF(OR(AND(AB279=0,AT279&gt;0),AND(AB279="ns",AU279&gt;0),AND(AB279="ns",AT279=0,AU279=0)),1,IF(OR(AND(AB279&gt;0,AT279=2),AND(AB279="ns",AT279=2),AND(AB279="ns",AU279=0,AT279&gt;0),AB279=AU279),0,1))))</f>
        <v>0</v>
      </c>
      <c r="AW279" s="283">
        <f>COUNTIF(Q293:R293,"NS")</f>
        <v>0</v>
      </c>
      <c r="AX279" s="283">
        <f>SUM(Q293:R293)</f>
        <v>0</v>
      </c>
      <c r="AY279" s="283">
        <f>IF(COUNTIF(P293:R293,"NA")=3,0,IF(COUNTA(P293:R293)=0,0,IF(OR(AND(P293=0,AW279&gt;0),AND(P293="ns",AX279&gt;0),AND(P293="ns",AW279=0,AX279=0)),1,IF(OR(AND(P293&gt;0,AW279=2),AND(P293="ns",AW279=2),AND(P293="ns",AX279=0,AW279&gt;0),P293=AX279),0,1))))</f>
        <v>0</v>
      </c>
      <c r="AZ279" s="283">
        <f>COUNTIF(T293:U293,"NS")</f>
        <v>0</v>
      </c>
      <c r="BA279" s="283">
        <f>SUM(T293:U293)</f>
        <v>0</v>
      </c>
      <c r="BB279" s="283">
        <f>IF(COUNTIF(S293:U293,"NA")=3,0,IF(COUNTA(S293:U293)=0,0,IF(OR(AND(S293=0,AZ279&gt;0),AND(S293="ns",BA279&gt;0),AND(S293="ns",AZ279=0,BA279=0)),1,IF(OR(AND(S293&gt;0,AZ279=2),AND(S293="ns",AZ279=2),AND(S293="ns",BA279=0,AZ279&gt;0),S293=BA279),0,1))))</f>
        <v>0</v>
      </c>
      <c r="BC279" s="283">
        <f>COUNTIF(W293:X293,"NS")</f>
        <v>0</v>
      </c>
      <c r="BD279" s="283">
        <f>SUM(W293:X293)</f>
        <v>0</v>
      </c>
      <c r="BE279" s="283">
        <f>IF(COUNTIF(V293:X293,"NA")=3,0,IF(COUNTA(V293:X293)=0,0,IF(OR(AND(V293=0,BC279&gt;0),AND(V293="ns",BD279&gt;0),AND(V293="ns",BC279=0,BD279=0)),1,IF(OR(AND(V293&gt;0,BC279=2),AND(V293="ns",BC279=2),AND(V293="ns",BD279=0,BC279&gt;0),V293=BD279),0,1))))</f>
        <v>0</v>
      </c>
      <c r="BF279" s="283">
        <f>COUNTIF(Z293:AA293,"NS")</f>
        <v>0</v>
      </c>
      <c r="BG279" s="283">
        <f>SUM(Z293:AA293)</f>
        <v>0</v>
      </c>
      <c r="BH279" s="283">
        <f>IF(COUNTIF(Y293:AA293,"NA")=3,0,IF(COUNTA(Y293:AA293)=0,0,IF(OR(AND(Y293=0,BF279&gt;0),AND(Y293="ns",BG279&gt;0),AND(Y293="ns",BF279=0,BG279=0)),1,IF(OR(AND(Y293&gt;0,BF279=2),AND(Y293="ns",BF279=2),AND(Y293="ns",BG279=0,BF279&gt;0),Y293=BG279),0,1))))</f>
        <v>0</v>
      </c>
      <c r="BI279" s="283">
        <f>COUNTIF(AC293:AD293,"NS")</f>
        <v>0</v>
      </c>
      <c r="BJ279" s="283">
        <f>SUM(AC293:AD293)</f>
        <v>0</v>
      </c>
      <c r="BK279" s="283">
        <f>IF(COUNTIF(AB293:AD293,"NA")=3,0,IF(COUNTA(AB293:AD293)=0,0,IF(OR(AND(AB293=0,BI279&gt;0),AND(AB293="ns",BJ279&gt;0),AND(AB293="ns",BI279=0,BJ279=0)),1,IF(OR(AND(AB293&gt;0,BI279=2),AND(AB293="ns",BI279=2),AND(AB293="ns",BJ279=0,BI279&gt;0),AB293=BJ279),0,1))))</f>
        <v>0</v>
      </c>
    </row>
    <row r="280" spans="1:63" ht="15" customHeight="1">
      <c r="A280" s="103"/>
      <c r="B280" s="113"/>
      <c r="C280" s="97" t="s">
        <v>2517</v>
      </c>
      <c r="D280" s="813" t="str">
        <f>IF(CNSIPEE_2024_M2_Secc1!D43="","",CNSIPEE_2024_M2_Secc1!D43)</f>
        <v/>
      </c>
      <c r="E280" s="814"/>
      <c r="F280" s="814"/>
      <c r="G280" s="814"/>
      <c r="H280" s="814"/>
      <c r="I280" s="814"/>
      <c r="J280" s="814"/>
      <c r="K280" s="814"/>
      <c r="L280" s="814"/>
      <c r="M280" s="814"/>
      <c r="N280" s="814"/>
      <c r="O280" s="815"/>
      <c r="P280" s="100"/>
      <c r="Q280" s="100"/>
      <c r="R280" s="100"/>
      <c r="S280" s="100"/>
      <c r="T280" s="100"/>
      <c r="U280" s="100"/>
      <c r="V280" s="100"/>
      <c r="W280" s="100"/>
      <c r="X280" s="100"/>
      <c r="Y280" s="100"/>
      <c r="Z280" s="100"/>
      <c r="AA280" s="100"/>
      <c r="AB280" s="100"/>
      <c r="AC280" s="100"/>
      <c r="AD280" s="100"/>
      <c r="AG280" s="326">
        <f t="shared" ref="AG280:AG286" si="225">IF(AND(COUNTBLANK(D280)=0,COUNTA(P280:AD280,P294:AD294)=30),0,IF(AND(COUNTBLANK(D280)=1,COUNTA(P280:AD280,P294:AD294)=0),0,1))</f>
        <v>0</v>
      </c>
      <c r="AH280" s="283">
        <f t="shared" ref="AH280:AH286" si="226">COUNTIF(Q280:R280,"NS")</f>
        <v>0</v>
      </c>
      <c r="AI280" s="283">
        <f t="shared" ref="AI280:AI286" si="227">SUM(Q280:R280)</f>
        <v>0</v>
      </c>
      <c r="AJ280" s="283">
        <f t="shared" ref="AJ280:AJ286" si="228">IF(COUNTIF(P280:R280,"NA")=3,0,IF(COUNTA(P280:R280)=0,0,IF(OR(AND(P280=0,AH280&gt;0),AND(P280="ns",AI280&gt;0),AND(P280="ns",AH280=0,AI280=0)),1,IF(OR(AND(P280&gt;0,AH280=2),AND(P280="ns",AH280=2),AND(P280="ns",AI280=0,AH280&gt;0),P280=AI280),0,1))))</f>
        <v>0</v>
      </c>
      <c r="AK280" s="283">
        <f t="shared" ref="AK280:AK286" si="229">COUNTIF(T280:U280,"NS")</f>
        <v>0</v>
      </c>
      <c r="AL280" s="283">
        <f t="shared" ref="AL280:AL286" si="230">SUM(T280:U280)</f>
        <v>0</v>
      </c>
      <c r="AM280" s="283">
        <f t="shared" ref="AM280:AM286" si="231">IF(COUNTIF(S280:U280,"NA")=3,0,IF(COUNTA(S280:U280)=0,0,IF(OR(AND(S280=0,AK280&gt;0),AND(S280="ns",AL280&gt;0),AND(S280="ns",AK280=0,AL280=0)),1,IF(OR(AND(S280&gt;0,AK280=2),AND(S280="ns",AK280=2),AND(S280="ns",AL280=0,AK280&gt;0),S280=AL280),0,1))))</f>
        <v>0</v>
      </c>
      <c r="AN280" s="283">
        <f t="shared" ref="AN280:AN286" si="232">COUNTIF(W280:X280,"NS")</f>
        <v>0</v>
      </c>
      <c r="AO280" s="283">
        <f t="shared" ref="AO280:AO286" si="233">SUM(W280:X280)</f>
        <v>0</v>
      </c>
      <c r="AP280" s="283">
        <f t="shared" ref="AP280:AP286" si="234">IF(COUNTIF(V280:X280,"NA")=3,0,IF(COUNTA(V280:X280)=0,0,IF(OR(AND(V280=0,AN280&gt;0),AND(V280="ns",AO280&gt;0),AND(V280="ns",AN280=0,AO280=0)),1,IF(OR(AND(V280&gt;0,AN280=2),AND(V280="ns",AN280=2),AND(V280="ns",AO280=0,AN280&gt;0),V280=AO280),0,1))))</f>
        <v>0</v>
      </c>
      <c r="AQ280" s="283">
        <f t="shared" ref="AQ280:AQ286" si="235">COUNTIF(Z280:AA280,"NS")</f>
        <v>0</v>
      </c>
      <c r="AR280" s="283">
        <f t="shared" ref="AR280:AR286" si="236">SUM(Z280:AA280)</f>
        <v>0</v>
      </c>
      <c r="AS280" s="283">
        <f t="shared" ref="AS280:AS286" si="237">IF(COUNTIF(Y280:AA280,"NA")=3,0,IF(COUNTA(Y280:AA280)=0,0,IF(OR(AND(Y280=0,AQ280&gt;0),AND(Y280="ns",AR280&gt;0),AND(Y280="ns",AQ280=0,AR280=0)),1,IF(OR(AND(Y280&gt;0,AQ280=2),AND(Y280="ns",AQ280=2),AND(Y280="ns",AR280=0,AQ280&gt;0),Y280=AR280),0,1))))</f>
        <v>0</v>
      </c>
      <c r="AT280" s="283">
        <f t="shared" ref="AT280:AT286" si="238">COUNTIF(AC280:AD280,"NS")</f>
        <v>0</v>
      </c>
      <c r="AU280" s="283">
        <f t="shared" ref="AU280:AU286" si="239">SUM(AC280:AD280)</f>
        <v>0</v>
      </c>
      <c r="AV280" s="283">
        <f t="shared" ref="AV280:AV286" si="240">IF(COUNTIF(AB280:AD280,"NA")=3,0,IF(COUNTA(AB280:AD280)=0,0,IF(OR(AND(AB280=0,AT280&gt;0),AND(AB280="ns",AU280&gt;0),AND(AB280="ns",AT280=0,AU280=0)),1,IF(OR(AND(AB280&gt;0,AT280=2),AND(AB280="ns",AT280=2),AND(AB280="ns",AU280=0,AT280&gt;0),AB280=AU280),0,1))))</f>
        <v>0</v>
      </c>
      <c r="AW280" s="283">
        <f t="shared" ref="AW280:AW286" si="241">COUNTIF(Q294:R294,"NS")</f>
        <v>0</v>
      </c>
      <c r="AX280" s="283">
        <f t="shared" ref="AX280:AX286" si="242">SUM(Q294:R294)</f>
        <v>0</v>
      </c>
      <c r="AY280" s="283">
        <f t="shared" ref="AY280:AY286" si="243">IF(COUNTIF(P294:R294,"NA")=3,0,IF(COUNTA(P294:R294)=0,0,IF(OR(AND(P294=0,AW280&gt;0),AND(P294="ns",AX280&gt;0),AND(P294="ns",AW280=0,AX280=0)),1,IF(OR(AND(P294&gt;0,AW280=2),AND(P294="ns",AW280=2),AND(P294="ns",AX280=0,AW280&gt;0),P294=AX280),0,1))))</f>
        <v>0</v>
      </c>
      <c r="AZ280" s="283">
        <f t="shared" ref="AZ280:AZ286" si="244">COUNTIF(T294:U294,"NS")</f>
        <v>0</v>
      </c>
      <c r="BA280" s="283">
        <f t="shared" ref="BA280:BA286" si="245">SUM(T294:U294)</f>
        <v>0</v>
      </c>
      <c r="BB280" s="283">
        <f t="shared" ref="BB280:BB286" si="246">IF(COUNTIF(S294:U294,"NA")=3,0,IF(COUNTA(S294:U294)=0,0,IF(OR(AND(S294=0,AZ280&gt;0),AND(S294="ns",BA280&gt;0),AND(S294="ns",AZ280=0,BA280=0)),1,IF(OR(AND(S294&gt;0,AZ280=2),AND(S294="ns",AZ280=2),AND(S294="ns",BA280=0,AZ280&gt;0),S294=BA280),0,1))))</f>
        <v>0</v>
      </c>
      <c r="BC280" s="283">
        <f t="shared" ref="BC280:BC286" si="247">COUNTIF(W294:X294,"NS")</f>
        <v>0</v>
      </c>
      <c r="BD280" s="283">
        <f t="shared" ref="BD280:BD286" si="248">SUM(W294:X294)</f>
        <v>0</v>
      </c>
      <c r="BE280" s="283">
        <f t="shared" ref="BE280:BE286" si="249">IF(COUNTIF(V294:X294,"NA")=3,0,IF(COUNTA(V294:X294)=0,0,IF(OR(AND(V294=0,BC280&gt;0),AND(V294="ns",BD280&gt;0),AND(V294="ns",BC280=0,BD280=0)),1,IF(OR(AND(V294&gt;0,BC280=2),AND(V294="ns",BC280=2),AND(V294="ns",BD280=0,BC280&gt;0),V294=BD280),0,1))))</f>
        <v>0</v>
      </c>
      <c r="BF280" s="283">
        <f t="shared" ref="BF280:BF286" si="250">COUNTIF(Z294:AA294,"NS")</f>
        <v>0</v>
      </c>
      <c r="BG280" s="283">
        <f t="shared" ref="BG280:BG286" si="251">SUM(Z294:AA294)</f>
        <v>0</v>
      </c>
      <c r="BH280" s="283">
        <f t="shared" ref="BH280:BH286" si="252">IF(COUNTIF(Y294:AA294,"NA")=3,0,IF(COUNTA(Y294:AA294)=0,0,IF(OR(AND(Y294=0,BF280&gt;0),AND(Y294="ns",BG280&gt;0),AND(Y294="ns",BF280=0,BG280=0)),1,IF(OR(AND(Y294&gt;0,BF280=2),AND(Y294="ns",BF280=2),AND(Y294="ns",BG280=0,BF280&gt;0),Y294=BG280),0,1))))</f>
        <v>0</v>
      </c>
      <c r="BI280" s="283">
        <f t="shared" ref="BI280:BI286" si="253">COUNTIF(AC294:AD294,"NS")</f>
        <v>0</v>
      </c>
      <c r="BJ280" s="283">
        <f t="shared" ref="BJ280:BJ286" si="254">SUM(AC294:AD294)</f>
        <v>0</v>
      </c>
      <c r="BK280" s="283">
        <f t="shared" ref="BK280:BK286" si="255">IF(COUNTIF(AB294:AD294,"NA")=3,0,IF(COUNTA(AB294:AD294)=0,0,IF(OR(AND(AB294=0,BI280&gt;0),AND(AB294="ns",BJ280&gt;0),AND(AB294="ns",BI280=0,BJ280=0)),1,IF(OR(AND(AB294&gt;0,BI280=2),AND(AB294="ns",BI280=2),AND(AB294="ns",BJ280=0,BI280&gt;0),AB294=BJ280),0,1))))</f>
        <v>0</v>
      </c>
    </row>
    <row r="281" spans="1:63" ht="15" customHeight="1">
      <c r="A281" s="103"/>
      <c r="B281" s="113"/>
      <c r="C281" s="98" t="s">
        <v>2518</v>
      </c>
      <c r="D281" s="813" t="str">
        <f>IF(CNSIPEE_2024_M2_Secc1!D44="","",CNSIPEE_2024_M2_Secc1!D44)</f>
        <v/>
      </c>
      <c r="E281" s="814"/>
      <c r="F281" s="814"/>
      <c r="G281" s="814"/>
      <c r="H281" s="814"/>
      <c r="I281" s="814"/>
      <c r="J281" s="814"/>
      <c r="K281" s="814"/>
      <c r="L281" s="814"/>
      <c r="M281" s="814"/>
      <c r="N281" s="814"/>
      <c r="O281" s="815"/>
      <c r="P281" s="100"/>
      <c r="Q281" s="100"/>
      <c r="R281" s="100"/>
      <c r="S281" s="100"/>
      <c r="T281" s="100"/>
      <c r="U281" s="100"/>
      <c r="V281" s="100"/>
      <c r="W281" s="100"/>
      <c r="X281" s="100"/>
      <c r="Y281" s="100"/>
      <c r="Z281" s="100"/>
      <c r="AA281" s="100"/>
      <c r="AB281" s="100"/>
      <c r="AC281" s="100"/>
      <c r="AD281" s="100"/>
      <c r="AG281" s="326">
        <f t="shared" si="225"/>
        <v>0</v>
      </c>
      <c r="AH281" s="283">
        <f t="shared" si="226"/>
        <v>0</v>
      </c>
      <c r="AI281" s="283">
        <f t="shared" si="227"/>
        <v>0</v>
      </c>
      <c r="AJ281" s="283">
        <f t="shared" si="228"/>
        <v>0</v>
      </c>
      <c r="AK281" s="283">
        <f t="shared" si="229"/>
        <v>0</v>
      </c>
      <c r="AL281" s="283">
        <f t="shared" si="230"/>
        <v>0</v>
      </c>
      <c r="AM281" s="283">
        <f t="shared" si="231"/>
        <v>0</v>
      </c>
      <c r="AN281" s="283">
        <f t="shared" si="232"/>
        <v>0</v>
      </c>
      <c r="AO281" s="283">
        <f t="shared" si="233"/>
        <v>0</v>
      </c>
      <c r="AP281" s="283">
        <f t="shared" si="234"/>
        <v>0</v>
      </c>
      <c r="AQ281" s="283">
        <f t="shared" si="235"/>
        <v>0</v>
      </c>
      <c r="AR281" s="283">
        <f t="shared" si="236"/>
        <v>0</v>
      </c>
      <c r="AS281" s="283">
        <f t="shared" si="237"/>
        <v>0</v>
      </c>
      <c r="AT281" s="283">
        <f t="shared" si="238"/>
        <v>0</v>
      </c>
      <c r="AU281" s="283">
        <f t="shared" si="239"/>
        <v>0</v>
      </c>
      <c r="AV281" s="283">
        <f t="shared" si="240"/>
        <v>0</v>
      </c>
      <c r="AW281" s="283">
        <f t="shared" si="241"/>
        <v>0</v>
      </c>
      <c r="AX281" s="283">
        <f t="shared" si="242"/>
        <v>0</v>
      </c>
      <c r="AY281" s="283">
        <f t="shared" si="243"/>
        <v>0</v>
      </c>
      <c r="AZ281" s="283">
        <f t="shared" si="244"/>
        <v>0</v>
      </c>
      <c r="BA281" s="283">
        <f t="shared" si="245"/>
        <v>0</v>
      </c>
      <c r="BB281" s="283">
        <f t="shared" si="246"/>
        <v>0</v>
      </c>
      <c r="BC281" s="283">
        <f t="shared" si="247"/>
        <v>0</v>
      </c>
      <c r="BD281" s="283">
        <f t="shared" si="248"/>
        <v>0</v>
      </c>
      <c r="BE281" s="283">
        <f t="shared" si="249"/>
        <v>0</v>
      </c>
      <c r="BF281" s="283">
        <f t="shared" si="250"/>
        <v>0</v>
      </c>
      <c r="BG281" s="283">
        <f t="shared" si="251"/>
        <v>0</v>
      </c>
      <c r="BH281" s="283">
        <f t="shared" si="252"/>
        <v>0</v>
      </c>
      <c r="BI281" s="283">
        <f t="shared" si="253"/>
        <v>0</v>
      </c>
      <c r="BJ281" s="283">
        <f t="shared" si="254"/>
        <v>0</v>
      </c>
      <c r="BK281" s="283">
        <f t="shared" si="255"/>
        <v>0</v>
      </c>
    </row>
    <row r="282" spans="1:63" ht="15" customHeight="1">
      <c r="A282" s="103"/>
      <c r="B282" s="113"/>
      <c r="C282" s="98" t="s">
        <v>2519</v>
      </c>
      <c r="D282" s="813" t="str">
        <f>IF(CNSIPEE_2024_M2_Secc1!D45="","",CNSIPEE_2024_M2_Secc1!D45)</f>
        <v/>
      </c>
      <c r="E282" s="814"/>
      <c r="F282" s="814"/>
      <c r="G282" s="814"/>
      <c r="H282" s="814"/>
      <c r="I282" s="814"/>
      <c r="J282" s="814"/>
      <c r="K282" s="814"/>
      <c r="L282" s="814"/>
      <c r="M282" s="814"/>
      <c r="N282" s="814"/>
      <c r="O282" s="815"/>
      <c r="P282" s="100"/>
      <c r="Q282" s="100"/>
      <c r="R282" s="100"/>
      <c r="S282" s="100"/>
      <c r="T282" s="100"/>
      <c r="U282" s="100"/>
      <c r="V282" s="100"/>
      <c r="W282" s="100"/>
      <c r="X282" s="100"/>
      <c r="Y282" s="100"/>
      <c r="Z282" s="100"/>
      <c r="AA282" s="100"/>
      <c r="AB282" s="100"/>
      <c r="AC282" s="100"/>
      <c r="AD282" s="100"/>
      <c r="AG282" s="326">
        <f t="shared" si="225"/>
        <v>0</v>
      </c>
      <c r="AH282" s="283">
        <f t="shared" si="226"/>
        <v>0</v>
      </c>
      <c r="AI282" s="283">
        <f t="shared" si="227"/>
        <v>0</v>
      </c>
      <c r="AJ282" s="283">
        <f t="shared" si="228"/>
        <v>0</v>
      </c>
      <c r="AK282" s="283">
        <f t="shared" si="229"/>
        <v>0</v>
      </c>
      <c r="AL282" s="283">
        <f t="shared" si="230"/>
        <v>0</v>
      </c>
      <c r="AM282" s="283">
        <f t="shared" si="231"/>
        <v>0</v>
      </c>
      <c r="AN282" s="283">
        <f t="shared" si="232"/>
        <v>0</v>
      </c>
      <c r="AO282" s="283">
        <f t="shared" si="233"/>
        <v>0</v>
      </c>
      <c r="AP282" s="283">
        <f t="shared" si="234"/>
        <v>0</v>
      </c>
      <c r="AQ282" s="283">
        <f t="shared" si="235"/>
        <v>0</v>
      </c>
      <c r="AR282" s="283">
        <f t="shared" si="236"/>
        <v>0</v>
      </c>
      <c r="AS282" s="283">
        <f t="shared" si="237"/>
        <v>0</v>
      </c>
      <c r="AT282" s="283">
        <f t="shared" si="238"/>
        <v>0</v>
      </c>
      <c r="AU282" s="283">
        <f t="shared" si="239"/>
        <v>0</v>
      </c>
      <c r="AV282" s="283">
        <f t="shared" si="240"/>
        <v>0</v>
      </c>
      <c r="AW282" s="283">
        <f t="shared" si="241"/>
        <v>0</v>
      </c>
      <c r="AX282" s="283">
        <f t="shared" si="242"/>
        <v>0</v>
      </c>
      <c r="AY282" s="283">
        <f t="shared" si="243"/>
        <v>0</v>
      </c>
      <c r="AZ282" s="283">
        <f t="shared" si="244"/>
        <v>0</v>
      </c>
      <c r="BA282" s="283">
        <f t="shared" si="245"/>
        <v>0</v>
      </c>
      <c r="BB282" s="283">
        <f t="shared" si="246"/>
        <v>0</v>
      </c>
      <c r="BC282" s="283">
        <f t="shared" si="247"/>
        <v>0</v>
      </c>
      <c r="BD282" s="283">
        <f t="shared" si="248"/>
        <v>0</v>
      </c>
      <c r="BE282" s="283">
        <f t="shared" si="249"/>
        <v>0</v>
      </c>
      <c r="BF282" s="283">
        <f t="shared" si="250"/>
        <v>0</v>
      </c>
      <c r="BG282" s="283">
        <f t="shared" si="251"/>
        <v>0</v>
      </c>
      <c r="BH282" s="283">
        <f t="shared" si="252"/>
        <v>0</v>
      </c>
      <c r="BI282" s="283">
        <f t="shared" si="253"/>
        <v>0</v>
      </c>
      <c r="BJ282" s="283">
        <f t="shared" si="254"/>
        <v>0</v>
      </c>
      <c r="BK282" s="283">
        <f t="shared" si="255"/>
        <v>0</v>
      </c>
    </row>
    <row r="283" spans="1:63" ht="15" customHeight="1">
      <c r="A283" s="103"/>
      <c r="B283" s="113"/>
      <c r="C283" s="98" t="s">
        <v>2520</v>
      </c>
      <c r="D283" s="813" t="str">
        <f>IF(CNSIPEE_2024_M2_Secc1!D46="","",CNSIPEE_2024_M2_Secc1!D46)</f>
        <v/>
      </c>
      <c r="E283" s="814"/>
      <c r="F283" s="814"/>
      <c r="G283" s="814"/>
      <c r="H283" s="814"/>
      <c r="I283" s="814"/>
      <c r="J283" s="814"/>
      <c r="K283" s="814"/>
      <c r="L283" s="814"/>
      <c r="M283" s="814"/>
      <c r="N283" s="814"/>
      <c r="O283" s="815"/>
      <c r="P283" s="100"/>
      <c r="Q283" s="100"/>
      <c r="R283" s="100"/>
      <c r="S283" s="100"/>
      <c r="T283" s="100"/>
      <c r="U283" s="100"/>
      <c r="V283" s="100"/>
      <c r="W283" s="100"/>
      <c r="X283" s="100"/>
      <c r="Y283" s="100"/>
      <c r="Z283" s="100"/>
      <c r="AA283" s="100"/>
      <c r="AB283" s="100"/>
      <c r="AC283" s="100"/>
      <c r="AD283" s="100"/>
      <c r="AG283" s="326">
        <f t="shared" si="225"/>
        <v>0</v>
      </c>
      <c r="AH283" s="283">
        <f t="shared" si="226"/>
        <v>0</v>
      </c>
      <c r="AI283" s="283">
        <f t="shared" si="227"/>
        <v>0</v>
      </c>
      <c r="AJ283" s="283">
        <f t="shared" si="228"/>
        <v>0</v>
      </c>
      <c r="AK283" s="283">
        <f t="shared" si="229"/>
        <v>0</v>
      </c>
      <c r="AL283" s="283">
        <f t="shared" si="230"/>
        <v>0</v>
      </c>
      <c r="AM283" s="283">
        <f t="shared" si="231"/>
        <v>0</v>
      </c>
      <c r="AN283" s="283">
        <f t="shared" si="232"/>
        <v>0</v>
      </c>
      <c r="AO283" s="283">
        <f t="shared" si="233"/>
        <v>0</v>
      </c>
      <c r="AP283" s="283">
        <f t="shared" si="234"/>
        <v>0</v>
      </c>
      <c r="AQ283" s="283">
        <f t="shared" si="235"/>
        <v>0</v>
      </c>
      <c r="AR283" s="283">
        <f t="shared" si="236"/>
        <v>0</v>
      </c>
      <c r="AS283" s="283">
        <f t="shared" si="237"/>
        <v>0</v>
      </c>
      <c r="AT283" s="283">
        <f t="shared" si="238"/>
        <v>0</v>
      </c>
      <c r="AU283" s="283">
        <f t="shared" si="239"/>
        <v>0</v>
      </c>
      <c r="AV283" s="283">
        <f t="shared" si="240"/>
        <v>0</v>
      </c>
      <c r="AW283" s="283">
        <f t="shared" si="241"/>
        <v>0</v>
      </c>
      <c r="AX283" s="283">
        <f t="shared" si="242"/>
        <v>0</v>
      </c>
      <c r="AY283" s="283">
        <f t="shared" si="243"/>
        <v>0</v>
      </c>
      <c r="AZ283" s="283">
        <f t="shared" si="244"/>
        <v>0</v>
      </c>
      <c r="BA283" s="283">
        <f t="shared" si="245"/>
        <v>0</v>
      </c>
      <c r="BB283" s="283">
        <f t="shared" si="246"/>
        <v>0</v>
      </c>
      <c r="BC283" s="283">
        <f t="shared" si="247"/>
        <v>0</v>
      </c>
      <c r="BD283" s="283">
        <f t="shared" si="248"/>
        <v>0</v>
      </c>
      <c r="BE283" s="283">
        <f t="shared" si="249"/>
        <v>0</v>
      </c>
      <c r="BF283" s="283">
        <f t="shared" si="250"/>
        <v>0</v>
      </c>
      <c r="BG283" s="283">
        <f t="shared" si="251"/>
        <v>0</v>
      </c>
      <c r="BH283" s="283">
        <f t="shared" si="252"/>
        <v>0</v>
      </c>
      <c r="BI283" s="283">
        <f t="shared" si="253"/>
        <v>0</v>
      </c>
      <c r="BJ283" s="283">
        <f t="shared" si="254"/>
        <v>0</v>
      </c>
      <c r="BK283" s="283">
        <f t="shared" si="255"/>
        <v>0</v>
      </c>
    </row>
    <row r="284" spans="1:63" ht="15" customHeight="1">
      <c r="A284" s="103"/>
      <c r="B284" s="113"/>
      <c r="C284" s="98" t="s">
        <v>2521</v>
      </c>
      <c r="D284" s="813" t="str">
        <f>IF(CNSIPEE_2024_M2_Secc1!D47="","",CNSIPEE_2024_M2_Secc1!D47)</f>
        <v/>
      </c>
      <c r="E284" s="814"/>
      <c r="F284" s="814"/>
      <c r="G284" s="814"/>
      <c r="H284" s="814"/>
      <c r="I284" s="814"/>
      <c r="J284" s="814"/>
      <c r="K284" s="814"/>
      <c r="L284" s="814"/>
      <c r="M284" s="814"/>
      <c r="N284" s="814"/>
      <c r="O284" s="815"/>
      <c r="P284" s="100"/>
      <c r="Q284" s="100"/>
      <c r="R284" s="100"/>
      <c r="S284" s="100"/>
      <c r="T284" s="100"/>
      <c r="U284" s="100"/>
      <c r="V284" s="100"/>
      <c r="W284" s="100"/>
      <c r="X284" s="100"/>
      <c r="Y284" s="100"/>
      <c r="Z284" s="100"/>
      <c r="AA284" s="100"/>
      <c r="AB284" s="100"/>
      <c r="AC284" s="100"/>
      <c r="AD284" s="100"/>
      <c r="AG284" s="326">
        <f t="shared" si="225"/>
        <v>0</v>
      </c>
      <c r="AH284" s="283">
        <f t="shared" si="226"/>
        <v>0</v>
      </c>
      <c r="AI284" s="283">
        <f t="shared" si="227"/>
        <v>0</v>
      </c>
      <c r="AJ284" s="283">
        <f t="shared" si="228"/>
        <v>0</v>
      </c>
      <c r="AK284" s="283">
        <f t="shared" si="229"/>
        <v>0</v>
      </c>
      <c r="AL284" s="283">
        <f t="shared" si="230"/>
        <v>0</v>
      </c>
      <c r="AM284" s="283">
        <f t="shared" si="231"/>
        <v>0</v>
      </c>
      <c r="AN284" s="283">
        <f t="shared" si="232"/>
        <v>0</v>
      </c>
      <c r="AO284" s="283">
        <f t="shared" si="233"/>
        <v>0</v>
      </c>
      <c r="AP284" s="283">
        <f t="shared" si="234"/>
        <v>0</v>
      </c>
      <c r="AQ284" s="283">
        <f t="shared" si="235"/>
        <v>0</v>
      </c>
      <c r="AR284" s="283">
        <f t="shared" si="236"/>
        <v>0</v>
      </c>
      <c r="AS284" s="283">
        <f t="shared" si="237"/>
        <v>0</v>
      </c>
      <c r="AT284" s="283">
        <f t="shared" si="238"/>
        <v>0</v>
      </c>
      <c r="AU284" s="283">
        <f t="shared" si="239"/>
        <v>0</v>
      </c>
      <c r="AV284" s="283">
        <f t="shared" si="240"/>
        <v>0</v>
      </c>
      <c r="AW284" s="283">
        <f t="shared" si="241"/>
        <v>0</v>
      </c>
      <c r="AX284" s="283">
        <f t="shared" si="242"/>
        <v>0</v>
      </c>
      <c r="AY284" s="283">
        <f t="shared" si="243"/>
        <v>0</v>
      </c>
      <c r="AZ284" s="283">
        <f t="shared" si="244"/>
        <v>0</v>
      </c>
      <c r="BA284" s="283">
        <f t="shared" si="245"/>
        <v>0</v>
      </c>
      <c r="BB284" s="283">
        <f t="shared" si="246"/>
        <v>0</v>
      </c>
      <c r="BC284" s="283">
        <f t="shared" si="247"/>
        <v>0</v>
      </c>
      <c r="BD284" s="283">
        <f t="shared" si="248"/>
        <v>0</v>
      </c>
      <c r="BE284" s="283">
        <f t="shared" si="249"/>
        <v>0</v>
      </c>
      <c r="BF284" s="283">
        <f t="shared" si="250"/>
        <v>0</v>
      </c>
      <c r="BG284" s="283">
        <f t="shared" si="251"/>
        <v>0</v>
      </c>
      <c r="BH284" s="283">
        <f t="shared" si="252"/>
        <v>0</v>
      </c>
      <c r="BI284" s="283">
        <f t="shared" si="253"/>
        <v>0</v>
      </c>
      <c r="BJ284" s="283">
        <f t="shared" si="254"/>
        <v>0</v>
      </c>
      <c r="BK284" s="283">
        <f t="shared" si="255"/>
        <v>0</v>
      </c>
    </row>
    <row r="285" spans="1:63" ht="15" customHeight="1">
      <c r="A285" s="103"/>
      <c r="B285" s="113"/>
      <c r="C285" s="98" t="s">
        <v>2522</v>
      </c>
      <c r="D285" s="813" t="str">
        <f>IF(CNSIPEE_2024_M2_Secc1!D48="","",CNSIPEE_2024_M2_Secc1!D48)</f>
        <v/>
      </c>
      <c r="E285" s="814"/>
      <c r="F285" s="814"/>
      <c r="G285" s="814"/>
      <c r="H285" s="814"/>
      <c r="I285" s="814"/>
      <c r="J285" s="814"/>
      <c r="K285" s="814"/>
      <c r="L285" s="814"/>
      <c r="M285" s="814"/>
      <c r="N285" s="814"/>
      <c r="O285" s="815"/>
      <c r="P285" s="100"/>
      <c r="Q285" s="100"/>
      <c r="R285" s="100"/>
      <c r="S285" s="100"/>
      <c r="T285" s="100"/>
      <c r="U285" s="100"/>
      <c r="V285" s="100"/>
      <c r="W285" s="100"/>
      <c r="X285" s="100"/>
      <c r="Y285" s="100"/>
      <c r="Z285" s="100"/>
      <c r="AA285" s="100"/>
      <c r="AB285" s="100"/>
      <c r="AC285" s="100"/>
      <c r="AD285" s="100"/>
      <c r="AG285" s="326">
        <f t="shared" si="225"/>
        <v>0</v>
      </c>
      <c r="AH285" s="283">
        <f t="shared" si="226"/>
        <v>0</v>
      </c>
      <c r="AI285" s="283">
        <f t="shared" si="227"/>
        <v>0</v>
      </c>
      <c r="AJ285" s="283">
        <f t="shared" si="228"/>
        <v>0</v>
      </c>
      <c r="AK285" s="283">
        <f t="shared" si="229"/>
        <v>0</v>
      </c>
      <c r="AL285" s="283">
        <f t="shared" si="230"/>
        <v>0</v>
      </c>
      <c r="AM285" s="283">
        <f t="shared" si="231"/>
        <v>0</v>
      </c>
      <c r="AN285" s="283">
        <f t="shared" si="232"/>
        <v>0</v>
      </c>
      <c r="AO285" s="283">
        <f t="shared" si="233"/>
        <v>0</v>
      </c>
      <c r="AP285" s="283">
        <f t="shared" si="234"/>
        <v>0</v>
      </c>
      <c r="AQ285" s="283">
        <f t="shared" si="235"/>
        <v>0</v>
      </c>
      <c r="AR285" s="283">
        <f t="shared" si="236"/>
        <v>0</v>
      </c>
      <c r="AS285" s="283">
        <f t="shared" si="237"/>
        <v>0</v>
      </c>
      <c r="AT285" s="283">
        <f t="shared" si="238"/>
        <v>0</v>
      </c>
      <c r="AU285" s="283">
        <f t="shared" si="239"/>
        <v>0</v>
      </c>
      <c r="AV285" s="283">
        <f t="shared" si="240"/>
        <v>0</v>
      </c>
      <c r="AW285" s="283">
        <f t="shared" si="241"/>
        <v>0</v>
      </c>
      <c r="AX285" s="283">
        <f t="shared" si="242"/>
        <v>0</v>
      </c>
      <c r="AY285" s="283">
        <f t="shared" si="243"/>
        <v>0</v>
      </c>
      <c r="AZ285" s="283">
        <f t="shared" si="244"/>
        <v>0</v>
      </c>
      <c r="BA285" s="283">
        <f t="shared" si="245"/>
        <v>0</v>
      </c>
      <c r="BB285" s="283">
        <f t="shared" si="246"/>
        <v>0</v>
      </c>
      <c r="BC285" s="283">
        <f t="shared" si="247"/>
        <v>0</v>
      </c>
      <c r="BD285" s="283">
        <f t="shared" si="248"/>
        <v>0</v>
      </c>
      <c r="BE285" s="283">
        <f t="shared" si="249"/>
        <v>0</v>
      </c>
      <c r="BF285" s="283">
        <f t="shared" si="250"/>
        <v>0</v>
      </c>
      <c r="BG285" s="283">
        <f t="shared" si="251"/>
        <v>0</v>
      </c>
      <c r="BH285" s="283">
        <f t="shared" si="252"/>
        <v>0</v>
      </c>
      <c r="BI285" s="283">
        <f t="shared" si="253"/>
        <v>0</v>
      </c>
      <c r="BJ285" s="283">
        <f t="shared" si="254"/>
        <v>0</v>
      </c>
      <c r="BK285" s="283">
        <f t="shared" si="255"/>
        <v>0</v>
      </c>
    </row>
    <row r="286" spans="1:63" ht="15" customHeight="1">
      <c r="A286" s="103"/>
      <c r="B286" s="113"/>
      <c r="C286" s="98" t="s">
        <v>2523</v>
      </c>
      <c r="D286" s="813" t="str">
        <f>IF(CNSIPEE_2024_M2_Secc1!D49="","",CNSIPEE_2024_M2_Secc1!D49)</f>
        <v/>
      </c>
      <c r="E286" s="814"/>
      <c r="F286" s="814"/>
      <c r="G286" s="814"/>
      <c r="H286" s="814"/>
      <c r="I286" s="814"/>
      <c r="J286" s="814"/>
      <c r="K286" s="814"/>
      <c r="L286" s="814"/>
      <c r="M286" s="814"/>
      <c r="N286" s="814"/>
      <c r="O286" s="815"/>
      <c r="P286" s="100"/>
      <c r="Q286" s="100"/>
      <c r="R286" s="100"/>
      <c r="S286" s="100"/>
      <c r="T286" s="100"/>
      <c r="U286" s="100"/>
      <c r="V286" s="100"/>
      <c r="W286" s="100"/>
      <c r="X286" s="100"/>
      <c r="Y286" s="100"/>
      <c r="Z286" s="100"/>
      <c r="AA286" s="100"/>
      <c r="AB286" s="100"/>
      <c r="AC286" s="100"/>
      <c r="AD286" s="100"/>
      <c r="AG286" s="326">
        <f t="shared" si="225"/>
        <v>0</v>
      </c>
      <c r="AH286" s="283">
        <f t="shared" si="226"/>
        <v>0</v>
      </c>
      <c r="AI286" s="283">
        <f t="shared" si="227"/>
        <v>0</v>
      </c>
      <c r="AJ286" s="283">
        <f t="shared" si="228"/>
        <v>0</v>
      </c>
      <c r="AK286" s="283">
        <f t="shared" si="229"/>
        <v>0</v>
      </c>
      <c r="AL286" s="283">
        <f t="shared" si="230"/>
        <v>0</v>
      </c>
      <c r="AM286" s="283">
        <f t="shared" si="231"/>
        <v>0</v>
      </c>
      <c r="AN286" s="283">
        <f t="shared" si="232"/>
        <v>0</v>
      </c>
      <c r="AO286" s="283">
        <f t="shared" si="233"/>
        <v>0</v>
      </c>
      <c r="AP286" s="283">
        <f t="shared" si="234"/>
        <v>0</v>
      </c>
      <c r="AQ286" s="283">
        <f t="shared" si="235"/>
        <v>0</v>
      </c>
      <c r="AR286" s="283">
        <f t="shared" si="236"/>
        <v>0</v>
      </c>
      <c r="AS286" s="283">
        <f t="shared" si="237"/>
        <v>0</v>
      </c>
      <c r="AT286" s="283">
        <f t="shared" si="238"/>
        <v>0</v>
      </c>
      <c r="AU286" s="283">
        <f t="shared" si="239"/>
        <v>0</v>
      </c>
      <c r="AV286" s="283">
        <f t="shared" si="240"/>
        <v>0</v>
      </c>
      <c r="AW286" s="283">
        <f t="shared" si="241"/>
        <v>0</v>
      </c>
      <c r="AX286" s="283">
        <f t="shared" si="242"/>
        <v>0</v>
      </c>
      <c r="AY286" s="283">
        <f t="shared" si="243"/>
        <v>0</v>
      </c>
      <c r="AZ286" s="283">
        <f t="shared" si="244"/>
        <v>0</v>
      </c>
      <c r="BA286" s="283">
        <f t="shared" si="245"/>
        <v>0</v>
      </c>
      <c r="BB286" s="283">
        <f t="shared" si="246"/>
        <v>0</v>
      </c>
      <c r="BC286" s="283">
        <f t="shared" si="247"/>
        <v>0</v>
      </c>
      <c r="BD286" s="283">
        <f t="shared" si="248"/>
        <v>0</v>
      </c>
      <c r="BE286" s="283">
        <f t="shared" si="249"/>
        <v>0</v>
      </c>
      <c r="BF286" s="283">
        <f t="shared" si="250"/>
        <v>0</v>
      </c>
      <c r="BG286" s="283">
        <f t="shared" si="251"/>
        <v>0</v>
      </c>
      <c r="BH286" s="283">
        <f t="shared" si="252"/>
        <v>0</v>
      </c>
      <c r="BI286" s="283">
        <f t="shared" si="253"/>
        <v>0</v>
      </c>
      <c r="BJ286" s="283">
        <f t="shared" si="254"/>
        <v>0</v>
      </c>
      <c r="BK286" s="283">
        <f t="shared" si="255"/>
        <v>0</v>
      </c>
    </row>
    <row r="287" spans="1:63" ht="15" customHeight="1">
      <c r="A287" s="49"/>
      <c r="B287" s="123"/>
      <c r="C287" s="123"/>
      <c r="D287" s="123"/>
      <c r="E287" s="123"/>
      <c r="G287" s="123"/>
      <c r="H287" s="123"/>
      <c r="I287" s="123"/>
      <c r="J287" s="123"/>
      <c r="K287" s="123"/>
      <c r="L287" s="123"/>
      <c r="M287" s="123"/>
      <c r="N287" s="123"/>
      <c r="O287" s="117" t="s">
        <v>2649</v>
      </c>
      <c r="P287" s="124">
        <f>IF(AND(SUM(P279:P286)=0,COUNTIF(P279:P286,"NS")&gt;0),"NS",
IF(AND(SUM(P279:P286)=0,COUNTIF(P279:P286,0)&gt;0),0,
IF(AND(SUM(P279:P286)=0,COUNTIF(P279:P286,"NA")&gt;0),"NA",
SUM(P279:P286))))</f>
        <v>0</v>
      </c>
      <c r="Q287" s="124">
        <f t="shared" ref="Q287:AC287" si="256">IF(AND(SUM(Q279:Q286)=0,COUNTIF(Q279:Q286,"NS")&gt;0),"NS",
IF(AND(SUM(Q279:Q286)=0,COUNTIF(Q279:Q286,0)&gt;0),0,
IF(AND(SUM(Q279:Q286)=0,COUNTIF(Q279:Q286,"NA")&gt;0),"NA",
SUM(Q279:Q286))))</f>
        <v>0</v>
      </c>
      <c r="R287" s="124">
        <f t="shared" si="256"/>
        <v>0</v>
      </c>
      <c r="S287" s="124">
        <f t="shared" si="256"/>
        <v>0</v>
      </c>
      <c r="T287" s="124">
        <f t="shared" si="256"/>
        <v>0</v>
      </c>
      <c r="U287" s="124">
        <f t="shared" si="256"/>
        <v>0</v>
      </c>
      <c r="V287" s="124">
        <f t="shared" si="256"/>
        <v>0</v>
      </c>
      <c r="W287" s="124">
        <f t="shared" si="256"/>
        <v>0</v>
      </c>
      <c r="X287" s="124">
        <f t="shared" si="256"/>
        <v>0</v>
      </c>
      <c r="Y287" s="124">
        <f t="shared" si="256"/>
        <v>0</v>
      </c>
      <c r="Z287" s="124">
        <f t="shared" si="256"/>
        <v>0</v>
      </c>
      <c r="AA287" s="124">
        <f t="shared" si="256"/>
        <v>0</v>
      </c>
      <c r="AB287" s="124">
        <f t="shared" si="256"/>
        <v>0</v>
      </c>
      <c r="AC287" s="124">
        <f t="shared" si="256"/>
        <v>0</v>
      </c>
      <c r="AD287" s="124">
        <f>IF(AND(SUM(AD279:AD286)=0,COUNTIF(AD279:AD286,"NS")&gt;0),"NS",
IF(AND(SUM(AD279:AD286)=0,COUNTIF(AD279:AD286,0)&gt;0),0,
IF(AND(SUM(AD279:AD286)=0,COUNTIF(AD279:AD286,"NA")&gt;0),"NA",
SUM(AD279:AD286))))</f>
        <v>0</v>
      </c>
      <c r="AG287" s="349">
        <f>SUM(AG279:AG286)</f>
        <v>0</v>
      </c>
      <c r="AH287" s="350">
        <f>SUM(AH279:AH286)</f>
        <v>0</v>
      </c>
      <c r="AI287" s="326"/>
      <c r="AJ287" s="352">
        <f>SUM(AJ279:AJ286)</f>
        <v>0</v>
      </c>
      <c r="AK287" s="350">
        <f t="shared" ref="AK287" si="257">SUM(AK279:AK286)</f>
        <v>0</v>
      </c>
      <c r="AL287" s="326"/>
      <c r="AM287" s="352">
        <f t="shared" ref="AM287:AN287" si="258">SUM(AM279:AM286)</f>
        <v>0</v>
      </c>
      <c r="AN287" s="350">
        <f t="shared" si="258"/>
        <v>0</v>
      </c>
      <c r="AO287" s="326"/>
      <c r="AP287" s="352">
        <f t="shared" ref="AP287:AQ287" si="259">SUM(AP279:AP286)</f>
        <v>0</v>
      </c>
      <c r="AQ287" s="350">
        <f t="shared" si="259"/>
        <v>0</v>
      </c>
      <c r="AR287" s="326"/>
      <c r="AS287" s="352">
        <f t="shared" ref="AS287:AT287" si="260">SUM(AS279:AS286)</f>
        <v>0</v>
      </c>
      <c r="AT287" s="350">
        <f t="shared" si="260"/>
        <v>0</v>
      </c>
      <c r="AU287" s="326"/>
      <c r="AV287" s="352">
        <f t="shared" ref="AV287:AW287" si="261">SUM(AV279:AV286)</f>
        <v>0</v>
      </c>
      <c r="AW287" s="350">
        <f t="shared" si="261"/>
        <v>0</v>
      </c>
      <c r="AX287" s="326"/>
      <c r="AY287" s="352">
        <f t="shared" ref="AY287:AZ287" si="262">SUM(AY279:AY286)</f>
        <v>0</v>
      </c>
      <c r="AZ287" s="350">
        <f t="shared" si="262"/>
        <v>0</v>
      </c>
      <c r="BA287" s="326"/>
      <c r="BB287" s="352">
        <f t="shared" ref="BB287:BC287" si="263">SUM(BB279:BB286)</f>
        <v>0</v>
      </c>
      <c r="BC287" s="350">
        <f t="shared" si="263"/>
        <v>0</v>
      </c>
      <c r="BD287" s="326"/>
      <c r="BE287" s="352">
        <f t="shared" ref="BE287:BF287" si="264">SUM(BE279:BE286)</f>
        <v>0</v>
      </c>
      <c r="BF287" s="350">
        <f t="shared" si="264"/>
        <v>0</v>
      </c>
      <c r="BG287" s="326"/>
      <c r="BH287" s="352">
        <f t="shared" ref="BH287:BI287" si="265">SUM(BH279:BH286)</f>
        <v>0</v>
      </c>
      <c r="BI287" s="350">
        <f t="shared" si="265"/>
        <v>0</v>
      </c>
      <c r="BJ287" s="326"/>
      <c r="BK287" s="352">
        <f t="shared" ref="BK287" si="266">SUM(BK279:BK286)</f>
        <v>0</v>
      </c>
    </row>
    <row r="288" spans="1:63" ht="15" customHeight="1">
      <c r="A288" s="49"/>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c r="AA288" s="38"/>
      <c r="AB288" s="38"/>
      <c r="AC288" s="38"/>
      <c r="AD288" s="38"/>
    </row>
    <row r="289" spans="1:40" ht="15" customHeight="1">
      <c r="A289" s="94"/>
      <c r="AA289" s="875" t="s">
        <v>2668</v>
      </c>
      <c r="AB289" s="875"/>
      <c r="AC289" s="875"/>
      <c r="AD289" s="875"/>
      <c r="AI289" s="356" t="s">
        <v>2650</v>
      </c>
      <c r="AJ289" s="283">
        <f>SUM(AJ287,AM287,AP287,AS287,AV287,AY287,BB287,BE287,BH287,BK287)</f>
        <v>0</v>
      </c>
      <c r="AK289" s="355" t="s">
        <v>2651</v>
      </c>
      <c r="AL289" s="283">
        <f>SUM(AH287,AK287,AN287,AQ287,AT287,AW287,AZ287,BC287,BF287,BI287)</f>
        <v>0</v>
      </c>
      <c r="AM289" s="283"/>
      <c r="AN289" s="283"/>
    </row>
    <row r="290" spans="1:40" ht="24" customHeight="1">
      <c r="A290" s="103"/>
      <c r="B290" s="113"/>
      <c r="C290" s="797" t="s">
        <v>2581</v>
      </c>
      <c r="D290" s="798"/>
      <c r="E290" s="798"/>
      <c r="F290" s="798"/>
      <c r="G290" s="798"/>
      <c r="H290" s="798"/>
      <c r="I290" s="798"/>
      <c r="J290" s="798"/>
      <c r="K290" s="798"/>
      <c r="L290" s="798"/>
      <c r="M290" s="798"/>
      <c r="N290" s="798"/>
      <c r="O290" s="799"/>
      <c r="P290" s="739" t="s">
        <v>3249</v>
      </c>
      <c r="Q290" s="740"/>
      <c r="R290" s="740"/>
      <c r="S290" s="740"/>
      <c r="T290" s="740"/>
      <c r="U290" s="740"/>
      <c r="V290" s="740"/>
      <c r="W290" s="740"/>
      <c r="X290" s="740"/>
      <c r="Y290" s="740"/>
      <c r="Z290" s="740"/>
      <c r="AA290" s="740"/>
      <c r="AB290" s="740"/>
      <c r="AC290" s="740"/>
      <c r="AD290" s="741"/>
      <c r="AI290" s="357" t="s">
        <v>2652</v>
      </c>
      <c r="AJ290" s="283">
        <f>IF(AL289&gt;0,IF(SUM(P287)&gt;=SUM(S287,V287,Y287,AB287,P301,S301,V301,Y301,AB301),0,1),IF(SUM(P287)&lt;&gt;SUM(S287,V287,Y287,AB287,P301,S301,V301,Y301,AB301),1,0))</f>
        <v>0</v>
      </c>
      <c r="AK290" s="357" t="s">
        <v>2653</v>
      </c>
      <c r="AL290" s="283">
        <f>IF(AL289&gt;0,IF(SUM(Q287)&gt;=SUM(T287,W287,Z287,AC287,Q301,T301,W301,Z301,AC301),0,1),IF(SUM(Q287)&lt;&gt;SUM(T287,W287,Z287,AC287,Q301,T301,W301,Z301,AC301),1,0))</f>
        <v>0</v>
      </c>
      <c r="AM290" s="357" t="s">
        <v>2654</v>
      </c>
      <c r="AN290" s="283">
        <f>IF(AL289&gt;0,IF(SUM(R287)&gt;=SUM(U287,X287,AA287,AD287,R301,U301,X301,AA301,AD301),0,1),IF(SUM(R287)&lt;&gt;SUM(U287,X287,AA287,AD287,R301,U301,X301,AA301,AD301),1,0))</f>
        <v>0</v>
      </c>
    </row>
    <row r="291" spans="1:40" ht="48" customHeight="1">
      <c r="A291" s="103"/>
      <c r="C291" s="800"/>
      <c r="D291" s="801"/>
      <c r="E291" s="801"/>
      <c r="F291" s="801"/>
      <c r="G291" s="801"/>
      <c r="H291" s="801"/>
      <c r="I291" s="801"/>
      <c r="J291" s="801"/>
      <c r="K291" s="801"/>
      <c r="L291" s="801"/>
      <c r="M291" s="801"/>
      <c r="N291" s="801"/>
      <c r="O291" s="802"/>
      <c r="P291" s="736" t="s">
        <v>3111</v>
      </c>
      <c r="Q291" s="736"/>
      <c r="R291" s="736"/>
      <c r="S291" s="736" t="s">
        <v>3114</v>
      </c>
      <c r="T291" s="736"/>
      <c r="U291" s="736"/>
      <c r="V291" s="736" t="s">
        <v>3117</v>
      </c>
      <c r="W291" s="736"/>
      <c r="X291" s="736"/>
      <c r="Y291" s="736" t="s">
        <v>3120</v>
      </c>
      <c r="Z291" s="736"/>
      <c r="AA291" s="736"/>
      <c r="AB291" s="733" t="s">
        <v>201</v>
      </c>
      <c r="AC291" s="734"/>
      <c r="AD291" s="735"/>
      <c r="AG291" s="919" t="s">
        <v>3175</v>
      </c>
      <c r="AH291" s="919"/>
      <c r="AI291" s="919"/>
    </row>
    <row r="292" spans="1:40" ht="48" customHeight="1">
      <c r="A292" s="103"/>
      <c r="C292" s="803"/>
      <c r="D292" s="804"/>
      <c r="E292" s="804"/>
      <c r="F292" s="804"/>
      <c r="G292" s="804"/>
      <c r="H292" s="804"/>
      <c r="I292" s="804"/>
      <c r="J292" s="804"/>
      <c r="K292" s="804"/>
      <c r="L292" s="804"/>
      <c r="M292" s="804"/>
      <c r="N292" s="804"/>
      <c r="O292" s="805"/>
      <c r="P292" s="127" t="s">
        <v>2635</v>
      </c>
      <c r="Q292" s="128" t="s">
        <v>2629</v>
      </c>
      <c r="R292" s="128" t="s">
        <v>2630</v>
      </c>
      <c r="S292" s="127" t="s">
        <v>2635</v>
      </c>
      <c r="T292" s="128" t="s">
        <v>2629</v>
      </c>
      <c r="U292" s="128" t="s">
        <v>2630</v>
      </c>
      <c r="V292" s="127" t="s">
        <v>2635</v>
      </c>
      <c r="W292" s="128" t="s">
        <v>2629</v>
      </c>
      <c r="X292" s="128" t="s">
        <v>2630</v>
      </c>
      <c r="Y292" s="127" t="s">
        <v>2635</v>
      </c>
      <c r="Z292" s="128" t="s">
        <v>2629</v>
      </c>
      <c r="AA292" s="128" t="s">
        <v>2630</v>
      </c>
      <c r="AB292" s="127" t="s">
        <v>2635</v>
      </c>
      <c r="AC292" s="128" t="s">
        <v>2629</v>
      </c>
      <c r="AD292" s="128" t="s">
        <v>2630</v>
      </c>
      <c r="AG292" s="359" t="s">
        <v>2795</v>
      </c>
      <c r="AH292" s="360" t="s">
        <v>3177</v>
      </c>
      <c r="AI292" s="361" t="s">
        <v>3178</v>
      </c>
    </row>
    <row r="293" spans="1:40" ht="15" customHeight="1">
      <c r="A293" s="103"/>
      <c r="B293" s="113"/>
      <c r="C293" s="44" t="s">
        <v>2516</v>
      </c>
      <c r="D293" s="813" t="str">
        <f>IF(CNSIPEE_2024_M2_Secc1!D42="","",CNSIPEE_2024_M2_Secc1!D42)</f>
        <v/>
      </c>
      <c r="E293" s="814"/>
      <c r="F293" s="814"/>
      <c r="G293" s="814"/>
      <c r="H293" s="814"/>
      <c r="I293" s="814"/>
      <c r="J293" s="814"/>
      <c r="K293" s="814"/>
      <c r="L293" s="814"/>
      <c r="M293" s="814"/>
      <c r="N293" s="814"/>
      <c r="O293" s="815"/>
      <c r="P293" s="100"/>
      <c r="Q293" s="100"/>
      <c r="R293" s="100"/>
      <c r="S293" s="100"/>
      <c r="T293" s="100"/>
      <c r="U293" s="100"/>
      <c r="V293" s="100"/>
      <c r="W293" s="100"/>
      <c r="X293" s="100"/>
      <c r="Y293" s="100"/>
      <c r="Z293" s="100"/>
      <c r="AA293" s="100"/>
      <c r="AB293" s="100"/>
      <c r="AC293" s="100"/>
      <c r="AD293" s="100"/>
      <c r="AG293">
        <f>IF(AND(P279="NS",$M113="NS"),0,IF(AND(P279="NA",$M113="NA"),0,IF(P279=$M113,0,1)))</f>
        <v>0</v>
      </c>
      <c r="AH293">
        <f>IF(AND(Q279="NS",$S113="NS"),0,IF(AND(Q279="NA",$S113="NA"),0,IF(Q279=$S113,0,1)))</f>
        <v>0</v>
      </c>
      <c r="AI293">
        <f>IF(AND(R279="NS",$Y113="NS"),0,IF(AND(R279="NA",$Y113="NA"),0,IF(R279=$Y113,0,1)))</f>
        <v>0</v>
      </c>
    </row>
    <row r="294" spans="1:40" ht="15" customHeight="1">
      <c r="A294" s="103"/>
      <c r="B294" s="113"/>
      <c r="C294" s="97" t="s">
        <v>2517</v>
      </c>
      <c r="D294" s="813" t="str">
        <f>IF(CNSIPEE_2024_M2_Secc1!D43="","",CNSIPEE_2024_M2_Secc1!D43)</f>
        <v/>
      </c>
      <c r="E294" s="814"/>
      <c r="F294" s="814"/>
      <c r="G294" s="814"/>
      <c r="H294" s="814"/>
      <c r="I294" s="814"/>
      <c r="J294" s="814"/>
      <c r="K294" s="814"/>
      <c r="L294" s="814"/>
      <c r="M294" s="814"/>
      <c r="N294" s="814"/>
      <c r="O294" s="815"/>
      <c r="P294" s="100"/>
      <c r="Q294" s="100"/>
      <c r="R294" s="100"/>
      <c r="S294" s="100"/>
      <c r="T294" s="100"/>
      <c r="U294" s="100"/>
      <c r="V294" s="100"/>
      <c r="W294" s="100"/>
      <c r="X294" s="100"/>
      <c r="Y294" s="100"/>
      <c r="Z294" s="100"/>
      <c r="AA294" s="100"/>
      <c r="AB294" s="100"/>
      <c r="AC294" s="100"/>
      <c r="AD294" s="100"/>
      <c r="AG294">
        <f t="shared" ref="AG294:AG300" si="267">IF(AND(P280="NS",$M114="NS"),0,IF(AND(P280="NA",$M114="NA"),0,IF(P280=$M114,0,1)))</f>
        <v>0</v>
      </c>
      <c r="AH294">
        <f t="shared" ref="AH294:AH300" si="268">IF(AND(Q280="NS",$S114="NS"),0,IF(AND(Q280="NA",$S114="NA"),0,IF(Q280=$S114,0,1)))</f>
        <v>0</v>
      </c>
      <c r="AI294">
        <f t="shared" ref="AI294:AI300" si="269">IF(AND(R280="NS",$Y114="NS"),0,IF(AND(R280="NA",$Y114="NA"),0,IF(R280=$Y114,0,1)))</f>
        <v>0</v>
      </c>
    </row>
    <row r="295" spans="1:40" ht="15" customHeight="1">
      <c r="A295" s="103"/>
      <c r="B295" s="113"/>
      <c r="C295" s="98" t="s">
        <v>2518</v>
      </c>
      <c r="D295" s="813" t="str">
        <f>IF(CNSIPEE_2024_M2_Secc1!D44="","",CNSIPEE_2024_M2_Secc1!D44)</f>
        <v/>
      </c>
      <c r="E295" s="814"/>
      <c r="F295" s="814"/>
      <c r="G295" s="814"/>
      <c r="H295" s="814"/>
      <c r="I295" s="814"/>
      <c r="J295" s="814"/>
      <c r="K295" s="814"/>
      <c r="L295" s="814"/>
      <c r="M295" s="814"/>
      <c r="N295" s="814"/>
      <c r="O295" s="815"/>
      <c r="P295" s="100"/>
      <c r="Q295" s="100"/>
      <c r="R295" s="100"/>
      <c r="S295" s="100"/>
      <c r="T295" s="100"/>
      <c r="U295" s="100"/>
      <c r="V295" s="100"/>
      <c r="W295" s="100"/>
      <c r="X295" s="100"/>
      <c r="Y295" s="100"/>
      <c r="Z295" s="100"/>
      <c r="AA295" s="100"/>
      <c r="AB295" s="100"/>
      <c r="AC295" s="100"/>
      <c r="AD295" s="100"/>
      <c r="AG295">
        <f t="shared" si="267"/>
        <v>0</v>
      </c>
      <c r="AH295">
        <f t="shared" si="268"/>
        <v>0</v>
      </c>
      <c r="AI295">
        <f t="shared" si="269"/>
        <v>0</v>
      </c>
    </row>
    <row r="296" spans="1:40" ht="15" customHeight="1">
      <c r="A296" s="103"/>
      <c r="B296" s="113"/>
      <c r="C296" s="98" t="s">
        <v>2519</v>
      </c>
      <c r="D296" s="813" t="str">
        <f>IF(CNSIPEE_2024_M2_Secc1!D45="","",CNSIPEE_2024_M2_Secc1!D45)</f>
        <v/>
      </c>
      <c r="E296" s="814"/>
      <c r="F296" s="814"/>
      <c r="G296" s="814"/>
      <c r="H296" s="814"/>
      <c r="I296" s="814"/>
      <c r="J296" s="814"/>
      <c r="K296" s="814"/>
      <c r="L296" s="814"/>
      <c r="M296" s="814"/>
      <c r="N296" s="814"/>
      <c r="O296" s="815"/>
      <c r="P296" s="100"/>
      <c r="Q296" s="100"/>
      <c r="R296" s="100"/>
      <c r="S296" s="100"/>
      <c r="T296" s="100"/>
      <c r="U296" s="100"/>
      <c r="V296" s="100"/>
      <c r="W296" s="100"/>
      <c r="X296" s="100"/>
      <c r="Y296" s="100"/>
      <c r="Z296" s="100"/>
      <c r="AA296" s="100"/>
      <c r="AB296" s="100"/>
      <c r="AC296" s="100"/>
      <c r="AD296" s="100"/>
      <c r="AG296">
        <f t="shared" si="267"/>
        <v>0</v>
      </c>
      <c r="AH296">
        <f t="shared" si="268"/>
        <v>0</v>
      </c>
      <c r="AI296">
        <f t="shared" si="269"/>
        <v>0</v>
      </c>
    </row>
    <row r="297" spans="1:40" ht="15" customHeight="1">
      <c r="A297" s="103"/>
      <c r="B297" s="113"/>
      <c r="C297" s="98" t="s">
        <v>2520</v>
      </c>
      <c r="D297" s="813" t="str">
        <f>IF(CNSIPEE_2024_M2_Secc1!D46="","",CNSIPEE_2024_M2_Secc1!D46)</f>
        <v/>
      </c>
      <c r="E297" s="814"/>
      <c r="F297" s="814"/>
      <c r="G297" s="814"/>
      <c r="H297" s="814"/>
      <c r="I297" s="814"/>
      <c r="J297" s="814"/>
      <c r="K297" s="814"/>
      <c r="L297" s="814"/>
      <c r="M297" s="814"/>
      <c r="N297" s="814"/>
      <c r="O297" s="815"/>
      <c r="P297" s="100"/>
      <c r="Q297" s="100"/>
      <c r="R297" s="100"/>
      <c r="S297" s="100"/>
      <c r="T297" s="100"/>
      <c r="U297" s="100"/>
      <c r="V297" s="100"/>
      <c r="W297" s="100"/>
      <c r="X297" s="100"/>
      <c r="Y297" s="100"/>
      <c r="Z297" s="100"/>
      <c r="AA297" s="100"/>
      <c r="AB297" s="100"/>
      <c r="AC297" s="100"/>
      <c r="AD297" s="100"/>
      <c r="AG297">
        <f t="shared" si="267"/>
        <v>0</v>
      </c>
      <c r="AH297">
        <f t="shared" si="268"/>
        <v>0</v>
      </c>
      <c r="AI297">
        <f t="shared" si="269"/>
        <v>0</v>
      </c>
    </row>
    <row r="298" spans="1:40" ht="15" customHeight="1">
      <c r="A298" s="103"/>
      <c r="B298" s="113"/>
      <c r="C298" s="98" t="s">
        <v>2521</v>
      </c>
      <c r="D298" s="813" t="str">
        <f>IF(CNSIPEE_2024_M2_Secc1!D47="","",CNSIPEE_2024_M2_Secc1!D47)</f>
        <v/>
      </c>
      <c r="E298" s="814"/>
      <c r="F298" s="814"/>
      <c r="G298" s="814"/>
      <c r="H298" s="814"/>
      <c r="I298" s="814"/>
      <c r="J298" s="814"/>
      <c r="K298" s="814"/>
      <c r="L298" s="814"/>
      <c r="M298" s="814"/>
      <c r="N298" s="814"/>
      <c r="O298" s="815"/>
      <c r="P298" s="100"/>
      <c r="Q298" s="100"/>
      <c r="R298" s="100"/>
      <c r="S298" s="100"/>
      <c r="T298" s="100"/>
      <c r="U298" s="100"/>
      <c r="V298" s="100"/>
      <c r="W298" s="100"/>
      <c r="X298" s="100"/>
      <c r="Y298" s="100"/>
      <c r="Z298" s="100"/>
      <c r="AA298" s="100"/>
      <c r="AB298" s="100"/>
      <c r="AC298" s="100"/>
      <c r="AD298" s="100"/>
      <c r="AG298">
        <f t="shared" si="267"/>
        <v>0</v>
      </c>
      <c r="AH298">
        <f t="shared" si="268"/>
        <v>0</v>
      </c>
      <c r="AI298">
        <f t="shared" si="269"/>
        <v>0</v>
      </c>
    </row>
    <row r="299" spans="1:40" ht="15" customHeight="1">
      <c r="A299" s="103"/>
      <c r="B299" s="113"/>
      <c r="C299" s="98" t="s">
        <v>2522</v>
      </c>
      <c r="D299" s="813" t="str">
        <f>IF(CNSIPEE_2024_M2_Secc1!D48="","",CNSIPEE_2024_M2_Secc1!D48)</f>
        <v/>
      </c>
      <c r="E299" s="814"/>
      <c r="F299" s="814"/>
      <c r="G299" s="814"/>
      <c r="H299" s="814"/>
      <c r="I299" s="814"/>
      <c r="J299" s="814"/>
      <c r="K299" s="814"/>
      <c r="L299" s="814"/>
      <c r="M299" s="814"/>
      <c r="N299" s="814"/>
      <c r="O299" s="815"/>
      <c r="P299" s="100"/>
      <c r="Q299" s="100"/>
      <c r="R299" s="100"/>
      <c r="S299" s="100"/>
      <c r="T299" s="100"/>
      <c r="U299" s="100"/>
      <c r="V299" s="100"/>
      <c r="W299" s="100"/>
      <c r="X299" s="100"/>
      <c r="Y299" s="100"/>
      <c r="Z299" s="100"/>
      <c r="AA299" s="100"/>
      <c r="AB299" s="100"/>
      <c r="AC299" s="100"/>
      <c r="AD299" s="100"/>
      <c r="AG299">
        <f t="shared" si="267"/>
        <v>0</v>
      </c>
      <c r="AH299">
        <f t="shared" si="268"/>
        <v>0</v>
      </c>
      <c r="AI299">
        <f t="shared" si="269"/>
        <v>0</v>
      </c>
    </row>
    <row r="300" spans="1:40" ht="15" customHeight="1">
      <c r="A300" s="103"/>
      <c r="B300" s="113"/>
      <c r="C300" s="98" t="s">
        <v>2523</v>
      </c>
      <c r="D300" s="813" t="str">
        <f>IF(CNSIPEE_2024_M2_Secc1!D49="","",CNSIPEE_2024_M2_Secc1!D49)</f>
        <v/>
      </c>
      <c r="E300" s="814"/>
      <c r="F300" s="814"/>
      <c r="G300" s="814"/>
      <c r="H300" s="814"/>
      <c r="I300" s="814"/>
      <c r="J300" s="814"/>
      <c r="K300" s="814"/>
      <c r="L300" s="814"/>
      <c r="M300" s="814"/>
      <c r="N300" s="814"/>
      <c r="O300" s="815"/>
      <c r="P300" s="100"/>
      <c r="Q300" s="100"/>
      <c r="R300" s="100"/>
      <c r="S300" s="100"/>
      <c r="T300" s="100"/>
      <c r="U300" s="100"/>
      <c r="V300" s="100"/>
      <c r="W300" s="100"/>
      <c r="X300" s="100"/>
      <c r="Y300" s="100"/>
      <c r="Z300" s="100"/>
      <c r="AA300" s="100"/>
      <c r="AB300" s="100"/>
      <c r="AC300" s="100"/>
      <c r="AD300" s="100"/>
      <c r="AG300">
        <f t="shared" si="267"/>
        <v>0</v>
      </c>
      <c r="AH300">
        <f t="shared" si="268"/>
        <v>0</v>
      </c>
      <c r="AI300">
        <f t="shared" si="269"/>
        <v>0</v>
      </c>
    </row>
    <row r="301" spans="1:40" ht="15" customHeight="1">
      <c r="A301" s="49"/>
      <c r="B301" s="123"/>
      <c r="C301" s="123"/>
      <c r="D301" s="123"/>
      <c r="E301" s="123"/>
      <c r="G301" s="123"/>
      <c r="H301" s="123"/>
      <c r="I301" s="123"/>
      <c r="J301" s="123"/>
      <c r="K301" s="123"/>
      <c r="L301" s="123"/>
      <c r="M301" s="123"/>
      <c r="N301" s="123"/>
      <c r="O301" s="117"/>
      <c r="P301" s="124">
        <f>IF(AND(SUM(P293:P300)=0,COUNTIF(P293:P300,"NS")&gt;0),"NS",
IF(AND(SUM(P293:P300)=0,COUNTIF(P293:P300,0)&gt;0),0,
IF(AND(SUM(P293:P300)=0,COUNTIF(P293:P300,"NA")&gt;0),"NA",
SUM(P293:P300))))</f>
        <v>0</v>
      </c>
      <c r="Q301" s="124">
        <f t="shared" ref="Q301:AD301" si="270">IF(AND(SUM(Q293:Q300)=0,COUNTIF(Q293:Q300,"NS")&gt;0),"NS",
IF(AND(SUM(Q293:Q300)=0,COUNTIF(Q293:Q300,0)&gt;0),0,
IF(AND(SUM(Q293:Q300)=0,COUNTIF(Q293:Q300,"NA")&gt;0),"NA",
SUM(Q293:Q300))))</f>
        <v>0</v>
      </c>
      <c r="R301" s="124">
        <f t="shared" si="270"/>
        <v>0</v>
      </c>
      <c r="S301" s="124">
        <f t="shared" si="270"/>
        <v>0</v>
      </c>
      <c r="T301" s="124">
        <f t="shared" si="270"/>
        <v>0</v>
      </c>
      <c r="U301" s="124">
        <f t="shared" si="270"/>
        <v>0</v>
      </c>
      <c r="V301" s="124">
        <f t="shared" si="270"/>
        <v>0</v>
      </c>
      <c r="W301" s="124">
        <f t="shared" si="270"/>
        <v>0</v>
      </c>
      <c r="X301" s="124">
        <f t="shared" si="270"/>
        <v>0</v>
      </c>
      <c r="Y301" s="124">
        <f t="shared" si="270"/>
        <v>0</v>
      </c>
      <c r="Z301" s="124">
        <f t="shared" si="270"/>
        <v>0</v>
      </c>
      <c r="AA301" s="124">
        <f t="shared" si="270"/>
        <v>0</v>
      </c>
      <c r="AB301" s="124">
        <f t="shared" si="270"/>
        <v>0</v>
      </c>
      <c r="AC301" s="124">
        <f t="shared" si="270"/>
        <v>0</v>
      </c>
      <c r="AD301" s="124">
        <f t="shared" si="270"/>
        <v>0</v>
      </c>
      <c r="AG301" s="359">
        <f>SUM(AG293:AG300)</f>
        <v>0</v>
      </c>
      <c r="AH301" s="360">
        <f>SUM(AH293:AH300)</f>
        <v>0</v>
      </c>
      <c r="AI301" s="361">
        <f>SUM(AI293:AI300)</f>
        <v>0</v>
      </c>
    </row>
    <row r="302" spans="1:40" ht="15" customHeight="1">
      <c r="A302" s="49"/>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c r="AA302" s="38"/>
      <c r="AB302" s="38"/>
      <c r="AC302" s="38"/>
      <c r="AD302" s="38"/>
      <c r="AG302"/>
      <c r="AH302"/>
      <c r="AI302" s="362">
        <f>SUM(AG301:AI301)</f>
        <v>0</v>
      </c>
    </row>
    <row r="303" spans="1:40" ht="24" customHeight="1">
      <c r="A303" s="96"/>
      <c r="B303" s="90"/>
      <c r="C303" s="754" t="s">
        <v>2611</v>
      </c>
      <c r="D303" s="754"/>
      <c r="E303" s="754"/>
      <c r="F303" s="754"/>
      <c r="G303" s="754"/>
      <c r="H303" s="754"/>
      <c r="I303" s="754"/>
      <c r="J303" s="754"/>
      <c r="K303" s="754"/>
      <c r="L303" s="754"/>
      <c r="M303" s="754"/>
      <c r="N303" s="754"/>
      <c r="O303" s="754"/>
      <c r="P303" s="754"/>
      <c r="Q303" s="754"/>
      <c r="R303" s="754"/>
      <c r="S303" s="754"/>
      <c r="T303" s="754"/>
      <c r="U303" s="754"/>
      <c r="V303" s="754"/>
      <c r="W303" s="754"/>
      <c r="X303" s="754"/>
      <c r="Y303" s="754"/>
      <c r="Z303" s="754"/>
      <c r="AA303" s="754"/>
      <c r="AB303" s="754"/>
      <c r="AC303" s="754"/>
      <c r="AD303" s="754"/>
    </row>
    <row r="304" spans="1:40" ht="60" customHeight="1">
      <c r="A304" s="96"/>
      <c r="B304" s="90"/>
      <c r="C304" s="851"/>
      <c r="D304" s="851"/>
      <c r="E304" s="851"/>
      <c r="F304" s="851"/>
      <c r="G304" s="851"/>
      <c r="H304" s="851"/>
      <c r="I304" s="851"/>
      <c r="J304" s="851"/>
      <c r="K304" s="851"/>
      <c r="L304" s="851"/>
      <c r="M304" s="851"/>
      <c r="N304" s="851"/>
      <c r="O304" s="851"/>
      <c r="P304" s="851"/>
      <c r="Q304" s="851"/>
      <c r="R304" s="851"/>
      <c r="S304" s="851"/>
      <c r="T304" s="851"/>
      <c r="U304" s="851"/>
      <c r="V304" s="851"/>
      <c r="W304" s="851"/>
      <c r="X304" s="851"/>
      <c r="Y304" s="851"/>
      <c r="Z304" s="851"/>
      <c r="AA304" s="851"/>
      <c r="AB304" s="851"/>
      <c r="AC304" s="851"/>
      <c r="AD304" s="851"/>
    </row>
    <row r="305" spans="1:49" ht="15" customHeight="1">
      <c r="A305" s="96"/>
      <c r="B305" s="794" t="str">
        <f>IF(AG287&gt;0,"Favor de ingresar toda la información requerida en la pregunta ","")</f>
        <v/>
      </c>
      <c r="C305" s="794"/>
      <c r="D305" s="794"/>
      <c r="E305" s="794"/>
      <c r="F305" s="794"/>
      <c r="G305" s="794"/>
      <c r="H305" s="794"/>
      <c r="I305" s="794"/>
      <c r="J305" s="794"/>
      <c r="K305" s="794"/>
      <c r="L305" s="794"/>
      <c r="M305" s="794"/>
      <c r="N305" s="794"/>
      <c r="O305" s="794"/>
      <c r="P305" s="794"/>
      <c r="Q305" s="794"/>
      <c r="R305" s="794"/>
      <c r="S305" s="794"/>
      <c r="T305" s="794"/>
      <c r="U305" s="794"/>
      <c r="V305" s="794"/>
      <c r="W305" s="794"/>
      <c r="X305" s="794"/>
      <c r="Y305" s="794"/>
      <c r="Z305" s="794"/>
      <c r="AA305" s="794"/>
      <c r="AB305" s="794"/>
      <c r="AC305" s="794"/>
      <c r="AD305" s="794"/>
    </row>
    <row r="306" spans="1:49" ht="15" customHeight="1">
      <c r="A306" s="96"/>
      <c r="B306" s="795" t="str">
        <f>IF(AL289&gt;0,"Alerta: debido a que cuenta con registros NS, debe proporcionar una justificación en el area de comentarios al final de la pregunta","")</f>
        <v/>
      </c>
      <c r="C306" s="795"/>
      <c r="D306" s="795"/>
      <c r="E306" s="795"/>
      <c r="F306" s="795"/>
      <c r="G306" s="795"/>
      <c r="H306" s="795"/>
      <c r="I306" s="795"/>
      <c r="J306" s="795"/>
      <c r="K306" s="795"/>
      <c r="L306" s="795"/>
      <c r="M306" s="795"/>
      <c r="N306" s="795"/>
      <c r="O306" s="795"/>
      <c r="P306" s="795"/>
      <c r="Q306" s="795"/>
      <c r="R306" s="795"/>
      <c r="S306" s="795"/>
      <c r="T306" s="795"/>
      <c r="U306" s="795"/>
      <c r="V306" s="795"/>
      <c r="W306" s="795"/>
      <c r="X306" s="795"/>
      <c r="Y306" s="795"/>
      <c r="Z306" s="795"/>
      <c r="AA306" s="795"/>
      <c r="AB306" s="795"/>
      <c r="AC306" s="795"/>
      <c r="AD306" s="795"/>
    </row>
    <row r="307" spans="1:49" ht="15" customHeight="1">
      <c r="A307" s="96"/>
      <c r="B307" s="794" t="str">
        <f>IF(OR(AJ289&gt;0,AJ290&gt;0,AL290&gt;0,AN290&gt;0),"Favor de revisar la suma y consistencia de totales y/o subtotales por filas (numéricos y NS)","")</f>
        <v/>
      </c>
      <c r="C307" s="794"/>
      <c r="D307" s="794"/>
      <c r="E307" s="794"/>
      <c r="F307" s="794"/>
      <c r="G307" s="794"/>
      <c r="H307" s="794"/>
      <c r="I307" s="794"/>
      <c r="J307" s="794"/>
      <c r="K307" s="794"/>
      <c r="L307" s="794"/>
      <c r="M307" s="794"/>
      <c r="N307" s="794"/>
      <c r="O307" s="794"/>
      <c r="P307" s="794"/>
      <c r="Q307" s="794"/>
      <c r="R307" s="794"/>
      <c r="S307" s="794"/>
      <c r="T307" s="794"/>
      <c r="U307" s="794"/>
      <c r="V307" s="794"/>
      <c r="W307" s="794"/>
      <c r="X307" s="794"/>
      <c r="Y307" s="794"/>
      <c r="Z307" s="794"/>
      <c r="AA307" s="794"/>
      <c r="AB307" s="794"/>
      <c r="AC307" s="794"/>
      <c r="AD307" s="794"/>
    </row>
    <row r="308" spans="1:49" ht="15" customHeight="1">
      <c r="A308" s="96"/>
      <c r="B308" s="794" t="str">
        <f>IF(AI302&gt;0,"Favor de revisar la instrucción general 2 del apartado II.2, ya que no se cumplen los criterios establecidos","")</f>
        <v/>
      </c>
      <c r="C308" s="794"/>
      <c r="D308" s="794"/>
      <c r="E308" s="794"/>
      <c r="F308" s="794"/>
      <c r="G308" s="794"/>
      <c r="H308" s="794"/>
      <c r="I308" s="794"/>
      <c r="J308" s="794"/>
      <c r="K308" s="794"/>
      <c r="L308" s="794"/>
      <c r="M308" s="794"/>
      <c r="N308" s="794"/>
      <c r="O308" s="794"/>
      <c r="P308" s="794"/>
      <c r="Q308" s="794"/>
      <c r="R308" s="794"/>
      <c r="S308" s="794"/>
      <c r="T308" s="794"/>
      <c r="U308" s="794"/>
      <c r="V308" s="794"/>
      <c r="W308" s="794"/>
      <c r="X308" s="794"/>
      <c r="Y308" s="794"/>
      <c r="Z308" s="794"/>
      <c r="AA308" s="794"/>
      <c r="AB308" s="794"/>
      <c r="AC308" s="794"/>
      <c r="AD308" s="794"/>
    </row>
    <row r="309" spans="1:49" ht="15" customHeight="1">
      <c r="A309" s="96"/>
      <c r="B309" s="90"/>
      <c r="C309" s="90"/>
      <c r="D309" s="90"/>
      <c r="E309" s="90"/>
      <c r="F309" s="90"/>
      <c r="G309" s="90"/>
      <c r="H309" s="90"/>
      <c r="I309" s="90"/>
      <c r="J309" s="90"/>
      <c r="K309" s="90"/>
      <c r="L309" s="90"/>
      <c r="M309" s="90"/>
      <c r="N309" s="90"/>
      <c r="O309" s="90"/>
      <c r="P309" s="90"/>
      <c r="Q309" s="90"/>
      <c r="R309" s="90"/>
      <c r="S309" s="90"/>
      <c r="T309" s="90"/>
      <c r="U309" s="90"/>
      <c r="V309" s="90"/>
      <c r="W309" s="90"/>
      <c r="X309" s="90"/>
      <c r="Y309" s="90"/>
      <c r="Z309" s="90"/>
      <c r="AA309" s="90"/>
      <c r="AB309" s="90"/>
      <c r="AC309" s="90"/>
      <c r="AD309" s="90"/>
    </row>
    <row r="310" spans="1:49" ht="15" customHeight="1">
      <c r="A310" s="49"/>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c r="AA310" s="38"/>
      <c r="AB310" s="38"/>
      <c r="AC310" s="38"/>
      <c r="AD310" s="38"/>
    </row>
    <row r="311" spans="1:49" ht="24" customHeight="1">
      <c r="A311" s="49" t="s">
        <v>3250</v>
      </c>
      <c r="B311" s="829" t="s">
        <v>3251</v>
      </c>
      <c r="C311" s="829"/>
      <c r="D311" s="829"/>
      <c r="E311" s="829"/>
      <c r="F311" s="829"/>
      <c r="G311" s="829"/>
      <c r="H311" s="829"/>
      <c r="I311" s="829"/>
      <c r="J311" s="829"/>
      <c r="K311" s="829"/>
      <c r="L311" s="829"/>
      <c r="M311" s="829"/>
      <c r="N311" s="829"/>
      <c r="O311" s="829"/>
      <c r="P311" s="829"/>
      <c r="Q311" s="829"/>
      <c r="R311" s="829"/>
      <c r="S311" s="829"/>
      <c r="T311" s="829"/>
      <c r="U311" s="829"/>
      <c r="V311" s="829"/>
      <c r="W311" s="829"/>
      <c r="X311" s="829"/>
      <c r="Y311" s="829"/>
      <c r="Z311" s="829"/>
      <c r="AA311" s="829"/>
      <c r="AB311" s="829"/>
      <c r="AC311" s="829"/>
      <c r="AD311" s="829"/>
    </row>
    <row r="312" spans="1:49" ht="15" customHeight="1">
      <c r="A312" s="96"/>
      <c r="B312" s="90"/>
      <c r="C312" s="90"/>
      <c r="D312" s="90"/>
      <c r="E312" s="90"/>
      <c r="F312" s="90"/>
      <c r="G312" s="90"/>
      <c r="H312" s="90"/>
      <c r="I312" s="90"/>
      <c r="J312" s="90"/>
      <c r="K312" s="90"/>
      <c r="L312" s="90"/>
      <c r="M312" s="90"/>
      <c r="N312" s="90"/>
      <c r="O312" s="90"/>
      <c r="P312" s="90"/>
      <c r="Q312" s="90"/>
      <c r="R312" s="90"/>
      <c r="S312" s="90"/>
      <c r="T312" s="90"/>
      <c r="U312" s="90"/>
      <c r="V312" s="90"/>
      <c r="W312" s="90"/>
      <c r="X312" s="90"/>
      <c r="Y312" s="90"/>
      <c r="Z312" s="90"/>
      <c r="AA312" s="90"/>
      <c r="AB312" s="90"/>
      <c r="AC312" s="90"/>
      <c r="AD312" s="90"/>
    </row>
    <row r="313" spans="1:49" ht="24" customHeight="1">
      <c r="A313" s="49"/>
      <c r="B313" s="90"/>
      <c r="C313" s="797" t="s">
        <v>2581</v>
      </c>
      <c r="D313" s="798"/>
      <c r="E313" s="798"/>
      <c r="F313" s="798"/>
      <c r="G313" s="798"/>
      <c r="H313" s="798"/>
      <c r="I313" s="798"/>
      <c r="J313" s="798"/>
      <c r="K313" s="798"/>
      <c r="L313" s="798"/>
      <c r="M313" s="798"/>
      <c r="N313" s="798"/>
      <c r="O313" s="798"/>
      <c r="P313" s="798"/>
      <c r="Q313" s="798"/>
      <c r="R313" s="799"/>
      <c r="S313" s="739" t="s">
        <v>3252</v>
      </c>
      <c r="T313" s="740"/>
      <c r="U313" s="740"/>
      <c r="V313" s="740"/>
      <c r="W313" s="740"/>
      <c r="X313" s="740"/>
      <c r="Y313" s="740"/>
      <c r="Z313" s="740"/>
      <c r="AA313" s="740"/>
      <c r="AB313" s="740"/>
      <c r="AC313" s="740"/>
      <c r="AD313" s="741"/>
    </row>
    <row r="314" spans="1:49" ht="48" customHeight="1">
      <c r="A314" s="49"/>
      <c r="B314" s="90"/>
      <c r="C314" s="800"/>
      <c r="D314" s="801"/>
      <c r="E314" s="801"/>
      <c r="F314" s="801"/>
      <c r="G314" s="801"/>
      <c r="H314" s="801"/>
      <c r="I314" s="801"/>
      <c r="J314" s="801"/>
      <c r="K314" s="801"/>
      <c r="L314" s="801"/>
      <c r="M314" s="801"/>
      <c r="N314" s="801"/>
      <c r="O314" s="801"/>
      <c r="P314" s="801"/>
      <c r="Q314" s="801"/>
      <c r="R314" s="802"/>
      <c r="S314" s="874" t="s">
        <v>2628</v>
      </c>
      <c r="T314" s="857" t="s">
        <v>2629</v>
      </c>
      <c r="U314" s="857" t="s">
        <v>2630</v>
      </c>
      <c r="V314" s="733" t="s">
        <v>3253</v>
      </c>
      <c r="W314" s="734"/>
      <c r="X314" s="735"/>
      <c r="Y314" s="733" t="s">
        <v>3254</v>
      </c>
      <c r="Z314" s="734"/>
      <c r="AA314" s="735"/>
      <c r="AB314" s="733" t="s">
        <v>201</v>
      </c>
      <c r="AC314" s="734"/>
      <c r="AD314" s="735"/>
      <c r="AU314" s="919" t="s">
        <v>3175</v>
      </c>
      <c r="AV314" s="919"/>
      <c r="AW314" s="919"/>
    </row>
    <row r="315" spans="1:49" ht="48" customHeight="1">
      <c r="A315" s="49"/>
      <c r="B315" s="90"/>
      <c r="C315" s="803"/>
      <c r="D315" s="804"/>
      <c r="E315" s="804"/>
      <c r="F315" s="804"/>
      <c r="G315" s="804"/>
      <c r="H315" s="804"/>
      <c r="I315" s="804"/>
      <c r="J315" s="804"/>
      <c r="K315" s="804"/>
      <c r="L315" s="804"/>
      <c r="M315" s="804"/>
      <c r="N315" s="804"/>
      <c r="O315" s="804"/>
      <c r="P315" s="804"/>
      <c r="Q315" s="804"/>
      <c r="R315" s="805"/>
      <c r="S315" s="874"/>
      <c r="T315" s="857"/>
      <c r="U315" s="857"/>
      <c r="V315" s="127" t="s">
        <v>2635</v>
      </c>
      <c r="W315" s="128" t="s">
        <v>2629</v>
      </c>
      <c r="X315" s="128" t="s">
        <v>2630</v>
      </c>
      <c r="Y315" s="127" t="s">
        <v>2635</v>
      </c>
      <c r="Z315" s="128" t="s">
        <v>2629</v>
      </c>
      <c r="AA315" s="128" t="s">
        <v>2630</v>
      </c>
      <c r="AB315" s="127" t="s">
        <v>2635</v>
      </c>
      <c r="AC315" s="128" t="s">
        <v>2629</v>
      </c>
      <c r="AD315" s="128" t="s">
        <v>2630</v>
      </c>
      <c r="AG315" s="354" t="s">
        <v>2586</v>
      </c>
      <c r="AH315" s="282" t="s">
        <v>2637</v>
      </c>
      <c r="AI315" s="280" t="s">
        <v>2638</v>
      </c>
      <c r="AJ315" s="281" t="s">
        <v>2639</v>
      </c>
      <c r="AK315" s="282" t="s">
        <v>2640</v>
      </c>
      <c r="AL315" s="280" t="s">
        <v>2641</v>
      </c>
      <c r="AM315" s="281" t="s">
        <v>2642</v>
      </c>
      <c r="AN315" s="282" t="s">
        <v>2643</v>
      </c>
      <c r="AO315" s="280" t="s">
        <v>2644</v>
      </c>
      <c r="AP315" s="281" t="s">
        <v>2645</v>
      </c>
      <c r="AQ315" s="282" t="s">
        <v>2646</v>
      </c>
      <c r="AR315" s="280" t="s">
        <v>2647</v>
      </c>
      <c r="AS315" s="281" t="s">
        <v>2648</v>
      </c>
      <c r="AU315" s="359" t="s">
        <v>2795</v>
      </c>
      <c r="AV315" s="360" t="s">
        <v>3177</v>
      </c>
      <c r="AW315" s="361" t="s">
        <v>3178</v>
      </c>
    </row>
    <row r="316" spans="1:49" ht="15" customHeight="1">
      <c r="A316" s="49"/>
      <c r="B316" s="90"/>
      <c r="C316" s="97" t="s">
        <v>2516</v>
      </c>
      <c r="D316" s="813" t="str">
        <f>IF(CNSIPEE_2024_M2_Secc1!D42="","",CNSIPEE_2024_M2_Secc1!D42)</f>
        <v/>
      </c>
      <c r="E316" s="814"/>
      <c r="F316" s="814"/>
      <c r="G316" s="814"/>
      <c r="H316" s="814"/>
      <c r="I316" s="814"/>
      <c r="J316" s="814"/>
      <c r="K316" s="814"/>
      <c r="L316" s="814"/>
      <c r="M316" s="814"/>
      <c r="N316" s="814"/>
      <c r="O316" s="814"/>
      <c r="P316" s="814"/>
      <c r="Q316" s="814"/>
      <c r="R316" s="815"/>
      <c r="S316" s="100"/>
      <c r="T316" s="100"/>
      <c r="U316" s="100"/>
      <c r="V316" s="100"/>
      <c r="W316" s="100"/>
      <c r="X316" s="100"/>
      <c r="Y316" s="100"/>
      <c r="Z316" s="100"/>
      <c r="AA316" s="100"/>
      <c r="AB316" s="100"/>
      <c r="AC316" s="100"/>
      <c r="AD316" s="100"/>
      <c r="AG316" s="326">
        <f>IF(AND(COUNTBLANK(D316)=0,COUNTA(S316:AD316)=12),0,IF(AND(COUNTBLANK(D316)=1,COUNTA(S316:AD316)=0),0,1))</f>
        <v>0</v>
      </c>
      <c r="AH316" s="283">
        <f>COUNTIF(T316:U316,"NS")</f>
        <v>0</v>
      </c>
      <c r="AI316" s="283">
        <f>SUM(T316:U316)</f>
        <v>0</v>
      </c>
      <c r="AJ316" s="283">
        <f>IF(COUNTIF(S316:U316,"NA")=3,0,IF(COUNTA(S316:U316)=0,0,IF(OR(AND(S316=0,AH316&gt;0),AND(S316="ns",AI316&gt;0),AND(S316="ns",AH316=0,AI316=0)),1,IF(OR(AND(S316&gt;0,AH316=2),AND(S316="ns",AH316=2),AND(S316="ns",AI316=0,AH316&gt;0),S316=AI316),0,1))))</f>
        <v>0</v>
      </c>
      <c r="AK316" s="283">
        <f>COUNTIF(W316:X316,"NS")</f>
        <v>0</v>
      </c>
      <c r="AL316" s="283">
        <f>SUM(W316:X316)</f>
        <v>0</v>
      </c>
      <c r="AM316" s="283">
        <f>IF(COUNTIF(V316:X316,"NA")=3,0,IF(COUNTA(V316:X316)=0,0,IF(OR(AND(V316=0,AK316&gt;0),AND(V316="ns",AL316&gt;0),AND(V316="ns",AK316=0,AL316=0)),1,IF(OR(AND(V316&gt;0,AK316=2),AND(V316="ns",AK316=2),AND(V316="ns",AL316=0,AK316&gt;0),V316=AL316),0,1))))</f>
        <v>0</v>
      </c>
      <c r="AN316" s="283">
        <f>COUNTIF(Z316:AA316,"NS")</f>
        <v>0</v>
      </c>
      <c r="AO316" s="283">
        <f>SUM(Z316:AA316)</f>
        <v>0</v>
      </c>
      <c r="AP316" s="283">
        <f>IF(COUNTIF(Y316:AA316,"NA")=3,0,IF(COUNTA(Y316:AA316)=0,0,IF(OR(AND(Y316=0,AN316&gt;0),AND(Y316="ns",AO316&gt;0),AND(Y316="ns",AN316=0,AO316=0)),1,IF(OR(AND(Y316&gt;0,AN316=2),AND(Y316="ns",AN316=2),AND(Y316="ns",AO316=0,AN316&gt;0),Y316=AO316),0,1))))</f>
        <v>0</v>
      </c>
      <c r="AQ316" s="283">
        <f>COUNTIF(AC316:AD316,"NS")</f>
        <v>0</v>
      </c>
      <c r="AR316" s="283">
        <f>SUM(AC316:AD316)</f>
        <v>0</v>
      </c>
      <c r="AS316" s="283">
        <f>IF(COUNTIF(AB316:AD316,"NA")=3,0,IF(COUNTA(AB316:AD316)=0,0,IF(OR(AND(AB316=0,AQ316&gt;0),AND(AB316="ns",AR316&gt;0),AND(AB316="ns",AQ316=0,AR316=0)),1,IF(OR(AND(AB316&gt;0,AQ316=2),AND(AB316="ns",AQ316=2),AND(AB316="ns",AR316=0,AQ316&gt;0),AB316=AR316),0,1))))</f>
        <v>0</v>
      </c>
      <c r="AU316">
        <f>IF(AND(S316="NS",$M113="NS"),0,IF(AND(S316="NA",$M113="NA"),0,IF(S316=$M113,0,1)))</f>
        <v>0</v>
      </c>
      <c r="AV316">
        <f>IF(AND(T316="NS",$S113="NS"),0,IF(AND(T316="NA",$S113="NA"),0,IF(T316=$S113,0,1)))</f>
        <v>0</v>
      </c>
      <c r="AW316">
        <f>IF(AND(U316="NS",$Y113="NS"),0,IF(AND(U316="NA",$Y113="NA"),0,IF(U316=$Y113,0,1)))</f>
        <v>0</v>
      </c>
    </row>
    <row r="317" spans="1:49" ht="15" customHeight="1">
      <c r="A317" s="49"/>
      <c r="B317" s="90"/>
      <c r="C317" s="143" t="s">
        <v>2517</v>
      </c>
      <c r="D317" s="813" t="str">
        <f>IF(CNSIPEE_2024_M2_Secc1!D43="","",CNSIPEE_2024_M2_Secc1!D43)</f>
        <v/>
      </c>
      <c r="E317" s="814"/>
      <c r="F317" s="814"/>
      <c r="G317" s="814"/>
      <c r="H317" s="814"/>
      <c r="I317" s="814"/>
      <c r="J317" s="814"/>
      <c r="K317" s="814"/>
      <c r="L317" s="814"/>
      <c r="M317" s="814"/>
      <c r="N317" s="814"/>
      <c r="O317" s="814"/>
      <c r="P317" s="814"/>
      <c r="Q317" s="814"/>
      <c r="R317" s="815"/>
      <c r="S317" s="100"/>
      <c r="T317" s="100"/>
      <c r="U317" s="100"/>
      <c r="V317" s="100"/>
      <c r="W317" s="100"/>
      <c r="X317" s="100"/>
      <c r="Y317" s="100"/>
      <c r="Z317" s="100"/>
      <c r="AA317" s="100"/>
      <c r="AB317" s="100"/>
      <c r="AC317" s="100"/>
      <c r="AD317" s="100"/>
      <c r="AG317" s="326">
        <f t="shared" ref="AG317:AG323" si="271">IF(AND(COUNTBLANK(D317)=0,COUNTA(S317:AD317)=12),0,IF(AND(COUNTBLANK(D317)=1,COUNTA(S317:AD317)=0),0,1))</f>
        <v>0</v>
      </c>
      <c r="AH317" s="283">
        <f t="shared" ref="AH317:AH323" si="272">COUNTIF(T317:U317,"NS")</f>
        <v>0</v>
      </c>
      <c r="AI317" s="283">
        <f t="shared" ref="AI317:AI323" si="273">SUM(T317:U317)</f>
        <v>0</v>
      </c>
      <c r="AJ317" s="283">
        <f t="shared" ref="AJ317:AJ323" si="274">IF(COUNTIF(S317:U317,"NA")=3,0,IF(COUNTA(S317:U317)=0,0,IF(OR(AND(S317=0,AH317&gt;0),AND(S317="ns",AI317&gt;0),AND(S317="ns",AH317=0,AI317=0)),1,IF(OR(AND(S317&gt;0,AH317=2),AND(S317="ns",AH317=2),AND(S317="ns",AI317=0,AH317&gt;0),S317=AI317),0,1))))</f>
        <v>0</v>
      </c>
      <c r="AK317" s="283">
        <f t="shared" ref="AK317:AK323" si="275">COUNTIF(W317:X317,"NS")</f>
        <v>0</v>
      </c>
      <c r="AL317" s="283">
        <f t="shared" ref="AL317:AL323" si="276">SUM(W317:X317)</f>
        <v>0</v>
      </c>
      <c r="AM317" s="283">
        <f t="shared" ref="AM317:AM323" si="277">IF(COUNTIF(V317:X317,"NA")=3,0,IF(COUNTA(V317:X317)=0,0,IF(OR(AND(V317=0,AK317&gt;0),AND(V317="ns",AL317&gt;0),AND(V317="ns",AK317=0,AL317=0)),1,IF(OR(AND(V317&gt;0,AK317=2),AND(V317="ns",AK317=2),AND(V317="ns",AL317=0,AK317&gt;0),V317=AL317),0,1))))</f>
        <v>0</v>
      </c>
      <c r="AN317" s="283">
        <f t="shared" ref="AN317:AN323" si="278">COUNTIF(Z317:AA317,"NS")</f>
        <v>0</v>
      </c>
      <c r="AO317" s="283">
        <f t="shared" ref="AO317:AO323" si="279">SUM(Z317:AA317)</f>
        <v>0</v>
      </c>
      <c r="AP317" s="283">
        <f t="shared" ref="AP317:AP323" si="280">IF(COUNTIF(Y317:AA317,"NA")=3,0,IF(COUNTA(Y317:AA317)=0,0,IF(OR(AND(Y317=0,AN317&gt;0),AND(Y317="ns",AO317&gt;0),AND(Y317="ns",AN317=0,AO317=0)),1,IF(OR(AND(Y317&gt;0,AN317=2),AND(Y317="ns",AN317=2),AND(Y317="ns",AO317=0,AN317&gt;0),Y317=AO317),0,1))))</f>
        <v>0</v>
      </c>
      <c r="AQ317" s="283">
        <f t="shared" ref="AQ317:AQ323" si="281">COUNTIF(AC317:AD317,"NS")</f>
        <v>0</v>
      </c>
      <c r="AR317" s="283">
        <f t="shared" ref="AR317:AR323" si="282">SUM(AC317:AD317)</f>
        <v>0</v>
      </c>
      <c r="AS317" s="283">
        <f t="shared" ref="AS317:AS323" si="283">IF(COUNTIF(AB317:AD317,"NA")=3,0,IF(COUNTA(AB317:AD317)=0,0,IF(OR(AND(AB317=0,AQ317&gt;0),AND(AB317="ns",AR317&gt;0),AND(AB317="ns",AQ317=0,AR317=0)),1,IF(OR(AND(AB317&gt;0,AQ317=2),AND(AB317="ns",AQ317=2),AND(AB317="ns",AR317=0,AQ317&gt;0),AB317=AR317),0,1))))</f>
        <v>0</v>
      </c>
      <c r="AU317">
        <f t="shared" ref="AU317:AU323" si="284">IF(AND(S317="NS",$M114="NS"),0,IF(AND(S317="NA",$M114="NA"),0,IF(S317=$M114,0,1)))</f>
        <v>0</v>
      </c>
      <c r="AV317">
        <f t="shared" ref="AV317:AV323" si="285">IF(AND(T317="NS",$S114="NS"),0,IF(AND(T317="NA",$S114="NA"),0,IF(T317=$S114,0,1)))</f>
        <v>0</v>
      </c>
      <c r="AW317">
        <f t="shared" ref="AW317:AW323" si="286">IF(AND(U317="NS",$Y114="NS"),0,IF(AND(U317="NA",$Y114="NA"),0,IF(U317=$Y114,0,1)))</f>
        <v>0</v>
      </c>
    </row>
    <row r="318" spans="1:49" ht="15" customHeight="1">
      <c r="A318" s="49"/>
      <c r="B318" s="90"/>
      <c r="C318" s="143" t="s">
        <v>2518</v>
      </c>
      <c r="D318" s="813" t="str">
        <f>IF(CNSIPEE_2024_M2_Secc1!D44="","",CNSIPEE_2024_M2_Secc1!D44)</f>
        <v/>
      </c>
      <c r="E318" s="814"/>
      <c r="F318" s="814"/>
      <c r="G318" s="814"/>
      <c r="H318" s="814"/>
      <c r="I318" s="814"/>
      <c r="J318" s="814"/>
      <c r="K318" s="814"/>
      <c r="L318" s="814"/>
      <c r="M318" s="814"/>
      <c r="N318" s="814"/>
      <c r="O318" s="814"/>
      <c r="P318" s="814"/>
      <c r="Q318" s="814"/>
      <c r="R318" s="815"/>
      <c r="S318" s="100"/>
      <c r="T318" s="100"/>
      <c r="U318" s="100"/>
      <c r="V318" s="100"/>
      <c r="W318" s="100"/>
      <c r="X318" s="100"/>
      <c r="Y318" s="100"/>
      <c r="Z318" s="100"/>
      <c r="AA318" s="100"/>
      <c r="AB318" s="100"/>
      <c r="AC318" s="100"/>
      <c r="AD318" s="100"/>
      <c r="AG318" s="326">
        <f t="shared" si="271"/>
        <v>0</v>
      </c>
      <c r="AH318" s="283">
        <f t="shared" si="272"/>
        <v>0</v>
      </c>
      <c r="AI318" s="283">
        <f t="shared" si="273"/>
        <v>0</v>
      </c>
      <c r="AJ318" s="283">
        <f t="shared" si="274"/>
        <v>0</v>
      </c>
      <c r="AK318" s="283">
        <f t="shared" si="275"/>
        <v>0</v>
      </c>
      <c r="AL318" s="283">
        <f t="shared" si="276"/>
        <v>0</v>
      </c>
      <c r="AM318" s="283">
        <f t="shared" si="277"/>
        <v>0</v>
      </c>
      <c r="AN318" s="283">
        <f t="shared" si="278"/>
        <v>0</v>
      </c>
      <c r="AO318" s="283">
        <f t="shared" si="279"/>
        <v>0</v>
      </c>
      <c r="AP318" s="283">
        <f t="shared" si="280"/>
        <v>0</v>
      </c>
      <c r="AQ318" s="283">
        <f t="shared" si="281"/>
        <v>0</v>
      </c>
      <c r="AR318" s="283">
        <f t="shared" si="282"/>
        <v>0</v>
      </c>
      <c r="AS318" s="283">
        <f t="shared" si="283"/>
        <v>0</v>
      </c>
      <c r="AU318">
        <f t="shared" si="284"/>
        <v>0</v>
      </c>
      <c r="AV318">
        <f t="shared" si="285"/>
        <v>0</v>
      </c>
      <c r="AW318">
        <f t="shared" si="286"/>
        <v>0</v>
      </c>
    </row>
    <row r="319" spans="1:49" ht="15" customHeight="1">
      <c r="A319" s="49"/>
      <c r="B319" s="90"/>
      <c r="C319" s="143" t="s">
        <v>2519</v>
      </c>
      <c r="D319" s="813" t="str">
        <f>IF(CNSIPEE_2024_M2_Secc1!D45="","",CNSIPEE_2024_M2_Secc1!D45)</f>
        <v/>
      </c>
      <c r="E319" s="814"/>
      <c r="F319" s="814"/>
      <c r="G319" s="814"/>
      <c r="H319" s="814"/>
      <c r="I319" s="814"/>
      <c r="J319" s="814"/>
      <c r="K319" s="814"/>
      <c r="L319" s="814"/>
      <c r="M319" s="814"/>
      <c r="N319" s="814"/>
      <c r="O319" s="814"/>
      <c r="P319" s="814"/>
      <c r="Q319" s="814"/>
      <c r="R319" s="815"/>
      <c r="S319" s="100"/>
      <c r="T319" s="100"/>
      <c r="U319" s="100"/>
      <c r="V319" s="100"/>
      <c r="W319" s="100"/>
      <c r="X319" s="100"/>
      <c r="Y319" s="100"/>
      <c r="Z319" s="100"/>
      <c r="AA319" s="100"/>
      <c r="AB319" s="100"/>
      <c r="AC319" s="100"/>
      <c r="AD319" s="100"/>
      <c r="AG319" s="326">
        <f t="shared" si="271"/>
        <v>0</v>
      </c>
      <c r="AH319" s="283">
        <f t="shared" si="272"/>
        <v>0</v>
      </c>
      <c r="AI319" s="283">
        <f t="shared" si="273"/>
        <v>0</v>
      </c>
      <c r="AJ319" s="283">
        <f t="shared" si="274"/>
        <v>0</v>
      </c>
      <c r="AK319" s="283">
        <f t="shared" si="275"/>
        <v>0</v>
      </c>
      <c r="AL319" s="283">
        <f t="shared" si="276"/>
        <v>0</v>
      </c>
      <c r="AM319" s="283">
        <f t="shared" si="277"/>
        <v>0</v>
      </c>
      <c r="AN319" s="283">
        <f t="shared" si="278"/>
        <v>0</v>
      </c>
      <c r="AO319" s="283">
        <f t="shared" si="279"/>
        <v>0</v>
      </c>
      <c r="AP319" s="283">
        <f t="shared" si="280"/>
        <v>0</v>
      </c>
      <c r="AQ319" s="283">
        <f t="shared" si="281"/>
        <v>0</v>
      </c>
      <c r="AR319" s="283">
        <f t="shared" si="282"/>
        <v>0</v>
      </c>
      <c r="AS319" s="283">
        <f t="shared" si="283"/>
        <v>0</v>
      </c>
      <c r="AU319">
        <f t="shared" si="284"/>
        <v>0</v>
      </c>
      <c r="AV319">
        <f t="shared" si="285"/>
        <v>0</v>
      </c>
      <c r="AW319">
        <f t="shared" si="286"/>
        <v>0</v>
      </c>
    </row>
    <row r="320" spans="1:49" ht="15" customHeight="1">
      <c r="A320" s="49"/>
      <c r="B320" s="90"/>
      <c r="C320" s="143" t="s">
        <v>2520</v>
      </c>
      <c r="D320" s="813" t="str">
        <f>IF(CNSIPEE_2024_M2_Secc1!D46="","",CNSIPEE_2024_M2_Secc1!D46)</f>
        <v/>
      </c>
      <c r="E320" s="814"/>
      <c r="F320" s="814"/>
      <c r="G320" s="814"/>
      <c r="H320" s="814"/>
      <c r="I320" s="814"/>
      <c r="J320" s="814"/>
      <c r="K320" s="814"/>
      <c r="L320" s="814"/>
      <c r="M320" s="814"/>
      <c r="N320" s="814"/>
      <c r="O320" s="814"/>
      <c r="P320" s="814"/>
      <c r="Q320" s="814"/>
      <c r="R320" s="815"/>
      <c r="S320" s="100"/>
      <c r="T320" s="100"/>
      <c r="U320" s="100"/>
      <c r="V320" s="100"/>
      <c r="W320" s="100"/>
      <c r="X320" s="100"/>
      <c r="Y320" s="100"/>
      <c r="Z320" s="100"/>
      <c r="AA320" s="100"/>
      <c r="AB320" s="100"/>
      <c r="AC320" s="100"/>
      <c r="AD320" s="100"/>
      <c r="AG320" s="326">
        <f t="shared" si="271"/>
        <v>0</v>
      </c>
      <c r="AH320" s="283">
        <f t="shared" si="272"/>
        <v>0</v>
      </c>
      <c r="AI320" s="283">
        <f t="shared" si="273"/>
        <v>0</v>
      </c>
      <c r="AJ320" s="283">
        <f t="shared" si="274"/>
        <v>0</v>
      </c>
      <c r="AK320" s="283">
        <f t="shared" si="275"/>
        <v>0</v>
      </c>
      <c r="AL320" s="283">
        <f t="shared" si="276"/>
        <v>0</v>
      </c>
      <c r="AM320" s="283">
        <f t="shared" si="277"/>
        <v>0</v>
      </c>
      <c r="AN320" s="283">
        <f t="shared" si="278"/>
        <v>0</v>
      </c>
      <c r="AO320" s="283">
        <f t="shared" si="279"/>
        <v>0</v>
      </c>
      <c r="AP320" s="283">
        <f t="shared" si="280"/>
        <v>0</v>
      </c>
      <c r="AQ320" s="283">
        <f t="shared" si="281"/>
        <v>0</v>
      </c>
      <c r="AR320" s="283">
        <f t="shared" si="282"/>
        <v>0</v>
      </c>
      <c r="AS320" s="283">
        <f t="shared" si="283"/>
        <v>0</v>
      </c>
      <c r="AU320">
        <f t="shared" si="284"/>
        <v>0</v>
      </c>
      <c r="AV320">
        <f t="shared" si="285"/>
        <v>0</v>
      </c>
      <c r="AW320">
        <f t="shared" si="286"/>
        <v>0</v>
      </c>
    </row>
    <row r="321" spans="1:49" ht="15" customHeight="1">
      <c r="A321" s="49"/>
      <c r="B321" s="90"/>
      <c r="C321" s="143" t="s">
        <v>2521</v>
      </c>
      <c r="D321" s="813" t="str">
        <f>IF(CNSIPEE_2024_M2_Secc1!D47="","",CNSIPEE_2024_M2_Secc1!D47)</f>
        <v/>
      </c>
      <c r="E321" s="814"/>
      <c r="F321" s="814"/>
      <c r="G321" s="814"/>
      <c r="H321" s="814"/>
      <c r="I321" s="814"/>
      <c r="J321" s="814"/>
      <c r="K321" s="814"/>
      <c r="L321" s="814"/>
      <c r="M321" s="814"/>
      <c r="N321" s="814"/>
      <c r="O321" s="814"/>
      <c r="P321" s="814"/>
      <c r="Q321" s="814"/>
      <c r="R321" s="815"/>
      <c r="S321" s="100"/>
      <c r="T321" s="100"/>
      <c r="U321" s="100"/>
      <c r="V321" s="100"/>
      <c r="W321" s="100"/>
      <c r="X321" s="100"/>
      <c r="Y321" s="100"/>
      <c r="Z321" s="100"/>
      <c r="AA321" s="100"/>
      <c r="AB321" s="100"/>
      <c r="AC321" s="100"/>
      <c r="AD321" s="100"/>
      <c r="AG321" s="326">
        <f t="shared" si="271"/>
        <v>0</v>
      </c>
      <c r="AH321" s="283">
        <f t="shared" si="272"/>
        <v>0</v>
      </c>
      <c r="AI321" s="283">
        <f t="shared" si="273"/>
        <v>0</v>
      </c>
      <c r="AJ321" s="283">
        <f t="shared" si="274"/>
        <v>0</v>
      </c>
      <c r="AK321" s="283">
        <f t="shared" si="275"/>
        <v>0</v>
      </c>
      <c r="AL321" s="283">
        <f t="shared" si="276"/>
        <v>0</v>
      </c>
      <c r="AM321" s="283">
        <f t="shared" si="277"/>
        <v>0</v>
      </c>
      <c r="AN321" s="283">
        <f t="shared" si="278"/>
        <v>0</v>
      </c>
      <c r="AO321" s="283">
        <f t="shared" si="279"/>
        <v>0</v>
      </c>
      <c r="AP321" s="283">
        <f t="shared" si="280"/>
        <v>0</v>
      </c>
      <c r="AQ321" s="283">
        <f t="shared" si="281"/>
        <v>0</v>
      </c>
      <c r="AR321" s="283">
        <f t="shared" si="282"/>
        <v>0</v>
      </c>
      <c r="AS321" s="283">
        <f t="shared" si="283"/>
        <v>0</v>
      </c>
      <c r="AU321">
        <f t="shared" si="284"/>
        <v>0</v>
      </c>
      <c r="AV321">
        <f t="shared" si="285"/>
        <v>0</v>
      </c>
      <c r="AW321">
        <f t="shared" si="286"/>
        <v>0</v>
      </c>
    </row>
    <row r="322" spans="1:49" ht="15" customHeight="1">
      <c r="A322" s="49"/>
      <c r="B322" s="90"/>
      <c r="C322" s="143" t="s">
        <v>2522</v>
      </c>
      <c r="D322" s="813" t="str">
        <f>IF(CNSIPEE_2024_M2_Secc1!D48="","",CNSIPEE_2024_M2_Secc1!D48)</f>
        <v/>
      </c>
      <c r="E322" s="814"/>
      <c r="F322" s="814"/>
      <c r="G322" s="814"/>
      <c r="H322" s="814"/>
      <c r="I322" s="814"/>
      <c r="J322" s="814"/>
      <c r="K322" s="814"/>
      <c r="L322" s="814"/>
      <c r="M322" s="814"/>
      <c r="N322" s="814"/>
      <c r="O322" s="814"/>
      <c r="P322" s="814"/>
      <c r="Q322" s="814"/>
      <c r="R322" s="815"/>
      <c r="S322" s="100"/>
      <c r="T322" s="100"/>
      <c r="U322" s="100"/>
      <c r="V322" s="100"/>
      <c r="W322" s="100"/>
      <c r="X322" s="100"/>
      <c r="Y322" s="100"/>
      <c r="Z322" s="100"/>
      <c r="AA322" s="100"/>
      <c r="AB322" s="100"/>
      <c r="AC322" s="100"/>
      <c r="AD322" s="100"/>
      <c r="AG322" s="326">
        <f t="shared" si="271"/>
        <v>0</v>
      </c>
      <c r="AH322" s="283">
        <f t="shared" si="272"/>
        <v>0</v>
      </c>
      <c r="AI322" s="283">
        <f t="shared" si="273"/>
        <v>0</v>
      </c>
      <c r="AJ322" s="283">
        <f t="shared" si="274"/>
        <v>0</v>
      </c>
      <c r="AK322" s="283">
        <f t="shared" si="275"/>
        <v>0</v>
      </c>
      <c r="AL322" s="283">
        <f t="shared" si="276"/>
        <v>0</v>
      </c>
      <c r="AM322" s="283">
        <f t="shared" si="277"/>
        <v>0</v>
      </c>
      <c r="AN322" s="283">
        <f t="shared" si="278"/>
        <v>0</v>
      </c>
      <c r="AO322" s="283">
        <f t="shared" si="279"/>
        <v>0</v>
      </c>
      <c r="AP322" s="283">
        <f t="shared" si="280"/>
        <v>0</v>
      </c>
      <c r="AQ322" s="283">
        <f t="shared" si="281"/>
        <v>0</v>
      </c>
      <c r="AR322" s="283">
        <f t="shared" si="282"/>
        <v>0</v>
      </c>
      <c r="AS322" s="283">
        <f t="shared" si="283"/>
        <v>0</v>
      </c>
      <c r="AU322">
        <f t="shared" si="284"/>
        <v>0</v>
      </c>
      <c r="AV322">
        <f t="shared" si="285"/>
        <v>0</v>
      </c>
      <c r="AW322">
        <f t="shared" si="286"/>
        <v>0</v>
      </c>
    </row>
    <row r="323" spans="1:49" ht="15" customHeight="1">
      <c r="A323" s="49"/>
      <c r="B323" s="90"/>
      <c r="C323" s="143" t="s">
        <v>2523</v>
      </c>
      <c r="D323" s="813" t="str">
        <f>IF(CNSIPEE_2024_M2_Secc1!D49="","",CNSIPEE_2024_M2_Secc1!D49)</f>
        <v/>
      </c>
      <c r="E323" s="814"/>
      <c r="F323" s="814"/>
      <c r="G323" s="814"/>
      <c r="H323" s="814"/>
      <c r="I323" s="814"/>
      <c r="J323" s="814"/>
      <c r="K323" s="814"/>
      <c r="L323" s="814"/>
      <c r="M323" s="814"/>
      <c r="N323" s="814"/>
      <c r="O323" s="814"/>
      <c r="P323" s="814"/>
      <c r="Q323" s="814"/>
      <c r="R323" s="815"/>
      <c r="S323" s="100"/>
      <c r="T323" s="100"/>
      <c r="U323" s="100"/>
      <c r="V323" s="100"/>
      <c r="W323" s="100"/>
      <c r="X323" s="100"/>
      <c r="Y323" s="100"/>
      <c r="Z323" s="100"/>
      <c r="AA323" s="100"/>
      <c r="AB323" s="100"/>
      <c r="AC323" s="100"/>
      <c r="AD323" s="100"/>
      <c r="AG323" s="326">
        <f t="shared" si="271"/>
        <v>0</v>
      </c>
      <c r="AH323" s="283">
        <f t="shared" si="272"/>
        <v>0</v>
      </c>
      <c r="AI323" s="283">
        <f t="shared" si="273"/>
        <v>0</v>
      </c>
      <c r="AJ323" s="283">
        <f t="shared" si="274"/>
        <v>0</v>
      </c>
      <c r="AK323" s="283">
        <f t="shared" si="275"/>
        <v>0</v>
      </c>
      <c r="AL323" s="283">
        <f t="shared" si="276"/>
        <v>0</v>
      </c>
      <c r="AM323" s="283">
        <f t="shared" si="277"/>
        <v>0</v>
      </c>
      <c r="AN323" s="283">
        <f t="shared" si="278"/>
        <v>0</v>
      </c>
      <c r="AO323" s="283">
        <f t="shared" si="279"/>
        <v>0</v>
      </c>
      <c r="AP323" s="283">
        <f t="shared" si="280"/>
        <v>0</v>
      </c>
      <c r="AQ323" s="283">
        <f t="shared" si="281"/>
        <v>0</v>
      </c>
      <c r="AR323" s="283">
        <f t="shared" si="282"/>
        <v>0</v>
      </c>
      <c r="AS323" s="283">
        <f t="shared" si="283"/>
        <v>0</v>
      </c>
      <c r="AU323">
        <f t="shared" si="284"/>
        <v>0</v>
      </c>
      <c r="AV323">
        <f t="shared" si="285"/>
        <v>0</v>
      </c>
      <c r="AW323">
        <f t="shared" si="286"/>
        <v>0</v>
      </c>
    </row>
    <row r="324" spans="1:49" ht="15" customHeight="1">
      <c r="A324" s="49"/>
      <c r="B324" s="90"/>
      <c r="C324" s="70"/>
      <c r="D324" s="84"/>
      <c r="E324" s="84"/>
      <c r="F324" s="84"/>
      <c r="G324" s="84"/>
      <c r="H324" s="84"/>
      <c r="I324" s="84"/>
      <c r="J324" s="84"/>
      <c r="K324" s="84"/>
      <c r="L324" s="84"/>
      <c r="M324" s="84"/>
      <c r="N324" s="84"/>
      <c r="O324" s="84"/>
      <c r="P324" s="84"/>
      <c r="Q324" s="84"/>
      <c r="R324" s="117" t="s">
        <v>2649</v>
      </c>
      <c r="S324" s="124">
        <f>IF(AND(SUM(S316:S323)=0,COUNTIF(S316:S323,"NS")&gt;0),"NS",
IF(AND(SUM(S316:S323)=0,COUNTIF(S316:S323,0)&gt;0),0,
IF(AND(SUM(S316:S323)=0,COUNTIF(S316:S323,"NA")&gt;0),"NA",
SUM(S316:S323))))</f>
        <v>0</v>
      </c>
      <c r="T324" s="124">
        <f t="shared" ref="T324:AD324" si="287">IF(AND(SUM(T316:T323)=0,COUNTIF(T316:T323,"NS")&gt;0),"NS",
IF(AND(SUM(T316:T323)=0,COUNTIF(T316:T323,0)&gt;0),0,
IF(AND(SUM(T316:T323)=0,COUNTIF(T316:T323,"NA")&gt;0),"NA",
SUM(T316:T323))))</f>
        <v>0</v>
      </c>
      <c r="U324" s="124">
        <f t="shared" si="287"/>
        <v>0</v>
      </c>
      <c r="V324" s="124">
        <f t="shared" si="287"/>
        <v>0</v>
      </c>
      <c r="W324" s="124">
        <f t="shared" si="287"/>
        <v>0</v>
      </c>
      <c r="X324" s="124">
        <f t="shared" si="287"/>
        <v>0</v>
      </c>
      <c r="Y324" s="124">
        <f t="shared" si="287"/>
        <v>0</v>
      </c>
      <c r="Z324" s="124">
        <f t="shared" si="287"/>
        <v>0</v>
      </c>
      <c r="AA324" s="124">
        <f t="shared" si="287"/>
        <v>0</v>
      </c>
      <c r="AB324" s="124">
        <f t="shared" si="287"/>
        <v>0</v>
      </c>
      <c r="AC324" s="124">
        <f t="shared" si="287"/>
        <v>0</v>
      </c>
      <c r="AD324" s="124">
        <f t="shared" si="287"/>
        <v>0</v>
      </c>
      <c r="AG324" s="349">
        <f>SUM(AG316:AG323)</f>
        <v>0</v>
      </c>
      <c r="AH324" s="350">
        <f>SUM(AH316:AH323)</f>
        <v>0</v>
      </c>
      <c r="AI324" s="326"/>
      <c r="AJ324" s="352">
        <f>SUM(AJ316:AJ323)</f>
        <v>0</v>
      </c>
      <c r="AK324" s="350">
        <f t="shared" ref="AK324" si="288">SUM(AK316:AK323)</f>
        <v>0</v>
      </c>
      <c r="AL324" s="326"/>
      <c r="AM324" s="352">
        <f t="shared" ref="AM324:AN324" si="289">SUM(AM316:AM323)</f>
        <v>0</v>
      </c>
      <c r="AN324" s="350">
        <f t="shared" si="289"/>
        <v>0</v>
      </c>
      <c r="AO324" s="326"/>
      <c r="AP324" s="352">
        <f t="shared" ref="AP324:AQ324" si="290">SUM(AP316:AP323)</f>
        <v>0</v>
      </c>
      <c r="AQ324" s="350">
        <f t="shared" si="290"/>
        <v>0</v>
      </c>
      <c r="AR324" s="326"/>
      <c r="AS324" s="352">
        <f t="shared" ref="AS324" si="291">SUM(AS316:AS323)</f>
        <v>0</v>
      </c>
      <c r="AU324" s="359">
        <f>SUM(AU316:AU323)</f>
        <v>0</v>
      </c>
      <c r="AV324" s="360">
        <f>SUM(AV316:AV323)</f>
        <v>0</v>
      </c>
      <c r="AW324" s="361">
        <f>SUM(AW316:AW323)</f>
        <v>0</v>
      </c>
    </row>
    <row r="325" spans="1:49" ht="15" customHeight="1">
      <c r="A325" s="96"/>
      <c r="B325" s="90"/>
      <c r="C325" s="90"/>
      <c r="D325" s="90"/>
      <c r="E325" s="90"/>
      <c r="F325" s="90"/>
      <c r="G325" s="90"/>
      <c r="H325" s="90"/>
      <c r="I325" s="90"/>
      <c r="J325" s="90"/>
      <c r="K325" s="90"/>
      <c r="L325" s="90"/>
      <c r="M325" s="90"/>
      <c r="N325" s="90"/>
      <c r="O325" s="90"/>
      <c r="P325" s="90"/>
      <c r="Q325" s="90"/>
      <c r="R325" s="90"/>
      <c r="S325" s="90"/>
      <c r="T325" s="90"/>
      <c r="U325" s="90"/>
      <c r="V325" s="90"/>
      <c r="W325" s="90"/>
      <c r="X325" s="90"/>
      <c r="Y325" s="90"/>
      <c r="Z325" s="90"/>
      <c r="AA325" s="90"/>
      <c r="AB325" s="90"/>
      <c r="AC325" s="90"/>
      <c r="AD325" s="90"/>
      <c r="AU325"/>
      <c r="AV325"/>
      <c r="AW325" s="362">
        <f>SUM(AU324:AW324)</f>
        <v>0</v>
      </c>
    </row>
    <row r="326" spans="1:49" ht="24" customHeight="1">
      <c r="A326" s="96"/>
      <c r="B326" s="90"/>
      <c r="C326" s="754" t="s">
        <v>2611</v>
      </c>
      <c r="D326" s="754"/>
      <c r="E326" s="754"/>
      <c r="F326" s="754"/>
      <c r="G326" s="754"/>
      <c r="H326" s="754"/>
      <c r="I326" s="754"/>
      <c r="J326" s="754"/>
      <c r="K326" s="754"/>
      <c r="L326" s="754"/>
      <c r="M326" s="754"/>
      <c r="N326" s="754"/>
      <c r="O326" s="754"/>
      <c r="P326" s="754"/>
      <c r="Q326" s="754"/>
      <c r="R326" s="754"/>
      <c r="S326" s="754"/>
      <c r="T326" s="754"/>
      <c r="U326" s="754"/>
      <c r="V326" s="754"/>
      <c r="W326" s="754"/>
      <c r="X326" s="754"/>
      <c r="Y326" s="754"/>
      <c r="Z326" s="754"/>
      <c r="AA326" s="754"/>
      <c r="AB326" s="754"/>
      <c r="AC326" s="754"/>
      <c r="AD326" s="754"/>
      <c r="AI326" s="356" t="s">
        <v>2650</v>
      </c>
      <c r="AJ326" s="283">
        <f>SUM(AJ324,AM324,AP324,AS324)</f>
        <v>0</v>
      </c>
      <c r="AK326" s="355" t="s">
        <v>2651</v>
      </c>
      <c r="AL326" s="283">
        <f>SUM(AH324,AK324,AN324,AQ324)</f>
        <v>0</v>
      </c>
      <c r="AM326" s="283"/>
      <c r="AN326" s="283"/>
    </row>
    <row r="327" spans="1:49" ht="60" customHeight="1">
      <c r="A327" s="96"/>
      <c r="B327" s="90"/>
      <c r="C327" s="851"/>
      <c r="D327" s="851"/>
      <c r="E327" s="851"/>
      <c r="F327" s="851"/>
      <c r="G327" s="851"/>
      <c r="H327" s="851"/>
      <c r="I327" s="851"/>
      <c r="J327" s="851"/>
      <c r="K327" s="851"/>
      <c r="L327" s="851"/>
      <c r="M327" s="851"/>
      <c r="N327" s="851"/>
      <c r="O327" s="851"/>
      <c r="P327" s="851"/>
      <c r="Q327" s="851"/>
      <c r="R327" s="851"/>
      <c r="S327" s="851"/>
      <c r="T327" s="851"/>
      <c r="U327" s="851"/>
      <c r="V327" s="851"/>
      <c r="W327" s="851"/>
      <c r="X327" s="851"/>
      <c r="Y327" s="851"/>
      <c r="Z327" s="851"/>
      <c r="AA327" s="851"/>
      <c r="AB327" s="851"/>
      <c r="AC327" s="851"/>
      <c r="AD327" s="851"/>
      <c r="AI327" s="357" t="s">
        <v>2652</v>
      </c>
      <c r="AJ327" s="283">
        <f>IF(AL326&gt;0,IF(SUM(S324)&gt;=SUM(V324,Y324,AB324),0,1),IF(SUM(S324)&lt;&gt;SUM(V324,Y324,AB324),1,0))</f>
        <v>0</v>
      </c>
      <c r="AK327" s="357" t="s">
        <v>2653</v>
      </c>
      <c r="AL327" s="283">
        <f>IF(AL326&gt;0,IF(SUM(T324)&gt;=SUM(W324,Z324,AC324),0,1),IF(SUM(T324)&lt;&gt;SUM(W324,Z324,AC324),1,0))</f>
        <v>0</v>
      </c>
      <c r="AM327" s="357" t="s">
        <v>2654</v>
      </c>
      <c r="AN327" s="283">
        <f>IF(AL326&gt;0,IF(SUM(U324)&gt;=SUM(X324,AA324,AD324),0,1),IF(SUM(U324)&lt;&gt;SUM(X324,AA324,AD324),1,0))</f>
        <v>0</v>
      </c>
    </row>
    <row r="328" spans="1:49" ht="15" customHeight="1">
      <c r="A328" s="96"/>
      <c r="B328" s="794" t="str">
        <f>IF(AG324&gt;0,"Favor de ingresar toda la información requerida en la pregunta ","")</f>
        <v/>
      </c>
      <c r="C328" s="794"/>
      <c r="D328" s="794"/>
      <c r="E328" s="794"/>
      <c r="F328" s="794"/>
      <c r="G328" s="794"/>
      <c r="H328" s="794"/>
      <c r="I328" s="794"/>
      <c r="J328" s="794"/>
      <c r="K328" s="794"/>
      <c r="L328" s="794"/>
      <c r="M328" s="794"/>
      <c r="N328" s="794"/>
      <c r="O328" s="794"/>
      <c r="P328" s="794"/>
      <c r="Q328" s="794"/>
      <c r="R328" s="794"/>
      <c r="S328" s="794"/>
      <c r="T328" s="794"/>
      <c r="U328" s="794"/>
      <c r="V328" s="794"/>
      <c r="W328" s="794"/>
      <c r="X328" s="794"/>
      <c r="Y328" s="794"/>
      <c r="Z328" s="794"/>
      <c r="AA328" s="794"/>
      <c r="AB328" s="794"/>
      <c r="AC328" s="794"/>
      <c r="AD328" s="794"/>
    </row>
    <row r="329" spans="1:49" ht="15" customHeight="1">
      <c r="A329" s="96"/>
      <c r="B329" s="795" t="str">
        <f>IF(AL326&gt;0,"Alerta: debido a que cuenta con registros NS, debe proporcionar una justificación en el area de comentarios al final de la pregunta","")</f>
        <v/>
      </c>
      <c r="C329" s="795"/>
      <c r="D329" s="795"/>
      <c r="E329" s="795"/>
      <c r="F329" s="795"/>
      <c r="G329" s="795"/>
      <c r="H329" s="795"/>
      <c r="I329" s="795"/>
      <c r="J329" s="795"/>
      <c r="K329" s="795"/>
      <c r="L329" s="795"/>
      <c r="M329" s="795"/>
      <c r="N329" s="795"/>
      <c r="O329" s="795"/>
      <c r="P329" s="795"/>
      <c r="Q329" s="795"/>
      <c r="R329" s="795"/>
      <c r="S329" s="795"/>
      <c r="T329" s="795"/>
      <c r="U329" s="795"/>
      <c r="V329" s="795"/>
      <c r="W329" s="795"/>
      <c r="X329" s="795"/>
      <c r="Y329" s="795"/>
      <c r="Z329" s="795"/>
      <c r="AA329" s="795"/>
      <c r="AB329" s="795"/>
      <c r="AC329" s="795"/>
      <c r="AD329" s="795"/>
    </row>
    <row r="330" spans="1:49" ht="15" customHeight="1">
      <c r="A330" s="96"/>
      <c r="B330" s="794" t="str">
        <f>IF(OR(AJ326&gt;0,AJ327&gt;0,AL327&gt;0,AN327&gt;0),"Favor de revisar la suma y consistencia de totales y/o subtotales por filas (numéricos y NS)","")</f>
        <v/>
      </c>
      <c r="C330" s="794"/>
      <c r="D330" s="794"/>
      <c r="E330" s="794"/>
      <c r="F330" s="794"/>
      <c r="G330" s="794"/>
      <c r="H330" s="794"/>
      <c r="I330" s="794"/>
      <c r="J330" s="794"/>
      <c r="K330" s="794"/>
      <c r="L330" s="794"/>
      <c r="M330" s="794"/>
      <c r="N330" s="794"/>
      <c r="O330" s="794"/>
      <c r="P330" s="794"/>
      <c r="Q330" s="794"/>
      <c r="R330" s="794"/>
      <c r="S330" s="794"/>
      <c r="T330" s="794"/>
      <c r="U330" s="794"/>
      <c r="V330" s="794"/>
      <c r="W330" s="794"/>
      <c r="X330" s="794"/>
      <c r="Y330" s="794"/>
      <c r="Z330" s="794"/>
      <c r="AA330" s="794"/>
      <c r="AB330" s="794"/>
      <c r="AC330" s="794"/>
      <c r="AD330" s="794"/>
    </row>
    <row r="331" spans="1:49" ht="15" customHeight="1">
      <c r="A331" s="96"/>
      <c r="B331" s="794" t="str">
        <f>IF(AW325&gt;0,"Favor de revisar la instrucción general 2 del apartado II.2, ya que no se cumplen los criterios establecidos","")</f>
        <v/>
      </c>
      <c r="C331" s="794"/>
      <c r="D331" s="794"/>
      <c r="E331" s="794"/>
      <c r="F331" s="794"/>
      <c r="G331" s="794"/>
      <c r="H331" s="794"/>
      <c r="I331" s="794"/>
      <c r="J331" s="794"/>
      <c r="K331" s="794"/>
      <c r="L331" s="794"/>
      <c r="M331" s="794"/>
      <c r="N331" s="794"/>
      <c r="O331" s="794"/>
      <c r="P331" s="794"/>
      <c r="Q331" s="794"/>
      <c r="R331" s="794"/>
      <c r="S331" s="794"/>
      <c r="T331" s="794"/>
      <c r="U331" s="794"/>
      <c r="V331" s="794"/>
      <c r="W331" s="794"/>
      <c r="X331" s="794"/>
      <c r="Y331" s="794"/>
      <c r="Z331" s="794"/>
      <c r="AA331" s="794"/>
      <c r="AB331" s="794"/>
      <c r="AC331" s="794"/>
      <c r="AD331" s="794"/>
    </row>
    <row r="332" spans="1:49" ht="15" customHeight="1">
      <c r="A332" s="96"/>
      <c r="B332" s="90"/>
      <c r="C332" s="90"/>
      <c r="D332" s="90"/>
      <c r="E332" s="90"/>
      <c r="F332" s="90"/>
      <c r="G332" s="90"/>
      <c r="H332" s="90"/>
      <c r="I332" s="90"/>
      <c r="J332" s="90"/>
      <c r="K332" s="90"/>
      <c r="L332" s="90"/>
      <c r="M332" s="90"/>
      <c r="N332" s="90"/>
      <c r="O332" s="90"/>
      <c r="P332" s="90"/>
      <c r="Q332" s="90"/>
      <c r="R332" s="90"/>
      <c r="S332" s="90"/>
      <c r="T332" s="90"/>
      <c r="U332" s="90"/>
      <c r="V332" s="90"/>
      <c r="W332" s="90"/>
      <c r="X332" s="90"/>
      <c r="Y332" s="90"/>
      <c r="Z332" s="90"/>
      <c r="AA332" s="90"/>
      <c r="AB332" s="90"/>
      <c r="AC332" s="90"/>
      <c r="AD332" s="90"/>
    </row>
    <row r="333" spans="1:49" ht="15" customHeight="1">
      <c r="A333" s="96"/>
      <c r="B333" s="90"/>
      <c r="C333" s="90"/>
      <c r="D333" s="90"/>
      <c r="E333" s="90"/>
      <c r="F333" s="90"/>
      <c r="G333" s="90"/>
      <c r="H333" s="90"/>
      <c r="I333" s="90"/>
      <c r="J333" s="90"/>
      <c r="K333" s="90"/>
      <c r="L333" s="90"/>
      <c r="M333" s="90"/>
      <c r="N333" s="90"/>
      <c r="O333" s="90"/>
      <c r="P333" s="90"/>
      <c r="Q333" s="90"/>
      <c r="R333" s="90"/>
      <c r="S333" s="90"/>
      <c r="T333" s="90"/>
      <c r="U333" s="90"/>
      <c r="V333" s="90"/>
      <c r="W333" s="90"/>
      <c r="X333" s="90"/>
      <c r="Y333" s="90"/>
      <c r="Z333" s="90"/>
      <c r="AA333" s="90"/>
      <c r="AB333" s="90"/>
      <c r="AC333" s="90"/>
      <c r="AD333" s="90"/>
    </row>
    <row r="334" spans="1:49" ht="24" customHeight="1">
      <c r="A334" s="49" t="s">
        <v>3255</v>
      </c>
      <c r="B334" s="829" t="s">
        <v>3256</v>
      </c>
      <c r="C334" s="829"/>
      <c r="D334" s="829"/>
      <c r="E334" s="829"/>
      <c r="F334" s="829"/>
      <c r="G334" s="829"/>
      <c r="H334" s="829"/>
      <c r="I334" s="829"/>
      <c r="J334" s="829"/>
      <c r="K334" s="829"/>
      <c r="L334" s="829"/>
      <c r="M334" s="829"/>
      <c r="N334" s="829"/>
      <c r="O334" s="829"/>
      <c r="P334" s="829"/>
      <c r="Q334" s="829"/>
      <c r="R334" s="829"/>
      <c r="S334" s="829"/>
      <c r="T334" s="829"/>
      <c r="U334" s="829"/>
      <c r="V334" s="829"/>
      <c r="W334" s="829"/>
      <c r="X334" s="829"/>
      <c r="Y334" s="829"/>
      <c r="Z334" s="829"/>
      <c r="AA334" s="829"/>
      <c r="AB334" s="829"/>
      <c r="AC334" s="829"/>
      <c r="AD334" s="829"/>
    </row>
    <row r="335" spans="1:49" ht="24" customHeight="1">
      <c r="A335" s="49"/>
      <c r="B335" s="49"/>
      <c r="C335" s="754" t="s">
        <v>3257</v>
      </c>
      <c r="D335" s="754"/>
      <c r="E335" s="754"/>
      <c r="F335" s="754"/>
      <c r="G335" s="754"/>
      <c r="H335" s="754"/>
      <c r="I335" s="754"/>
      <c r="J335" s="754"/>
      <c r="K335" s="754"/>
      <c r="L335" s="754"/>
      <c r="M335" s="754"/>
      <c r="N335" s="754"/>
      <c r="O335" s="754"/>
      <c r="P335" s="754"/>
      <c r="Q335" s="754"/>
      <c r="R335" s="754"/>
      <c r="S335" s="754"/>
      <c r="T335" s="754"/>
      <c r="U335" s="754"/>
      <c r="V335" s="754"/>
      <c r="W335" s="754"/>
      <c r="X335" s="754"/>
      <c r="Y335" s="754"/>
      <c r="Z335" s="754"/>
      <c r="AA335" s="754"/>
      <c r="AB335" s="754"/>
      <c r="AC335" s="754"/>
      <c r="AD335" s="754"/>
    </row>
    <row r="336" spans="1:49" ht="24" customHeight="1">
      <c r="A336" s="49"/>
      <c r="B336" s="38"/>
      <c r="C336" s="754" t="s">
        <v>3258</v>
      </c>
      <c r="D336" s="754"/>
      <c r="E336" s="754"/>
      <c r="F336" s="754"/>
      <c r="G336" s="754"/>
      <c r="H336" s="754"/>
      <c r="I336" s="754"/>
      <c r="J336" s="754"/>
      <c r="K336" s="754"/>
      <c r="L336" s="754"/>
      <c r="M336" s="754"/>
      <c r="N336" s="754"/>
      <c r="O336" s="754"/>
      <c r="P336" s="754"/>
      <c r="Q336" s="754"/>
      <c r="R336" s="754"/>
      <c r="S336" s="754"/>
      <c r="T336" s="754"/>
      <c r="U336" s="754"/>
      <c r="V336" s="754"/>
      <c r="W336" s="754"/>
      <c r="X336" s="754"/>
      <c r="Y336" s="754"/>
      <c r="Z336" s="754"/>
      <c r="AA336" s="754"/>
      <c r="AB336" s="754"/>
      <c r="AC336" s="754"/>
      <c r="AD336" s="754"/>
    </row>
    <row r="337" spans="1:40" ht="15">
      <c r="A337" s="96"/>
      <c r="B337" s="90"/>
      <c r="C337" s="90"/>
      <c r="D337" s="90"/>
      <c r="E337" s="90"/>
      <c r="F337" s="90"/>
      <c r="G337" s="90"/>
      <c r="H337" s="90"/>
      <c r="I337" s="90"/>
      <c r="J337" s="90"/>
      <c r="K337" s="90"/>
      <c r="L337" s="90"/>
      <c r="M337" s="90"/>
      <c r="N337" s="90"/>
      <c r="O337" s="90"/>
      <c r="P337" s="90"/>
      <c r="Q337" s="90"/>
      <c r="R337" s="90"/>
      <c r="S337" s="90"/>
      <c r="T337" s="90"/>
      <c r="U337" s="90"/>
      <c r="V337" s="90"/>
      <c r="W337" s="90"/>
      <c r="X337" s="90"/>
      <c r="Y337" s="90"/>
      <c r="Z337" s="90"/>
      <c r="AA337" s="90"/>
      <c r="AB337" s="90"/>
      <c r="AC337" s="90"/>
      <c r="AD337" s="90"/>
    </row>
    <row r="338" spans="1:40" ht="24" customHeight="1">
      <c r="A338" s="96"/>
      <c r="B338" s="90"/>
      <c r="C338" s="732" t="s">
        <v>3259</v>
      </c>
      <c r="D338" s="880"/>
      <c r="E338" s="880"/>
      <c r="F338" s="880"/>
      <c r="G338" s="880"/>
      <c r="H338" s="880"/>
      <c r="I338" s="880"/>
      <c r="J338" s="880"/>
      <c r="K338" s="880"/>
      <c r="L338" s="880"/>
      <c r="M338" s="739" t="s">
        <v>3260</v>
      </c>
      <c r="N338" s="740"/>
      <c r="O338" s="740"/>
      <c r="P338" s="740"/>
      <c r="Q338" s="740"/>
      <c r="R338" s="740"/>
      <c r="S338" s="740"/>
      <c r="T338" s="740"/>
      <c r="U338" s="740"/>
      <c r="V338" s="740"/>
      <c r="W338" s="740"/>
      <c r="X338" s="740"/>
      <c r="Y338" s="740"/>
      <c r="Z338" s="740"/>
      <c r="AA338" s="740"/>
      <c r="AB338" s="740"/>
      <c r="AC338" s="740"/>
      <c r="AD338" s="741"/>
      <c r="AG338"/>
      <c r="AH338"/>
      <c r="AI338"/>
      <c r="AJ338"/>
      <c r="AK338"/>
      <c r="AL338" s="948" t="s">
        <v>3261</v>
      </c>
      <c r="AM338" s="948"/>
      <c r="AN338" s="948"/>
    </row>
    <row r="339" spans="1:40" ht="15">
      <c r="A339" s="96"/>
      <c r="B339" s="90"/>
      <c r="C339" s="880"/>
      <c r="D339" s="880"/>
      <c r="E339" s="880"/>
      <c r="F339" s="880"/>
      <c r="G339" s="880"/>
      <c r="H339" s="880"/>
      <c r="I339" s="880"/>
      <c r="J339" s="880"/>
      <c r="K339" s="880"/>
      <c r="L339" s="880"/>
      <c r="M339" s="987" t="s">
        <v>2628</v>
      </c>
      <c r="N339" s="988"/>
      <c r="O339" s="988"/>
      <c r="P339" s="988"/>
      <c r="Q339" s="988"/>
      <c r="R339" s="988"/>
      <c r="S339" s="989" t="s">
        <v>2629</v>
      </c>
      <c r="T339" s="990"/>
      <c r="U339" s="990"/>
      <c r="V339" s="990"/>
      <c r="W339" s="990"/>
      <c r="X339" s="990"/>
      <c r="Y339" s="989" t="s">
        <v>2630</v>
      </c>
      <c r="Z339" s="990"/>
      <c r="AA339" s="990"/>
      <c r="AB339" s="990"/>
      <c r="AC339" s="990"/>
      <c r="AD339" s="990"/>
      <c r="AG339" s="354" t="s">
        <v>2586</v>
      </c>
      <c r="AH339" s="282" t="s">
        <v>2590</v>
      </c>
      <c r="AI339" s="280" t="s">
        <v>3262</v>
      </c>
      <c r="AJ339" s="281" t="s">
        <v>3263</v>
      </c>
      <c r="AK339" s="365" t="s">
        <v>2620</v>
      </c>
      <c r="AL339" s="366" t="s">
        <v>2795</v>
      </c>
      <c r="AM339" s="367" t="s">
        <v>3177</v>
      </c>
      <c r="AN339" s="368" t="s">
        <v>3178</v>
      </c>
    </row>
    <row r="340" spans="1:40" ht="15">
      <c r="A340" s="96"/>
      <c r="B340" s="90"/>
      <c r="C340" s="97" t="s">
        <v>2516</v>
      </c>
      <c r="D340" s="796" t="s">
        <v>3085</v>
      </c>
      <c r="E340" s="796"/>
      <c r="F340" s="796"/>
      <c r="G340" s="796"/>
      <c r="H340" s="796"/>
      <c r="I340" s="796"/>
      <c r="J340" s="796"/>
      <c r="K340" s="796"/>
      <c r="L340" s="796"/>
      <c r="M340" s="749"/>
      <c r="N340" s="749"/>
      <c r="O340" s="749"/>
      <c r="P340" s="749"/>
      <c r="Q340" s="749"/>
      <c r="R340" s="749"/>
      <c r="S340" s="749"/>
      <c r="T340" s="749"/>
      <c r="U340" s="749"/>
      <c r="V340" s="749"/>
      <c r="W340" s="749"/>
      <c r="X340" s="749"/>
      <c r="Y340" s="749"/>
      <c r="Z340" s="749"/>
      <c r="AA340" s="749"/>
      <c r="AB340" s="749"/>
      <c r="AC340" s="749"/>
      <c r="AD340" s="749"/>
      <c r="AG340" s="326">
        <f>IF(AND(SUM(V324)=0,COUNTA(M340:AD364)=0),0,IF(AND(SUM(V324)&gt;0,COUNTA(M340:AD364)=75),0,1))</f>
        <v>0</v>
      </c>
      <c r="AH340" s="283">
        <f>COUNTIF(S340:AD340,"NS")</f>
        <v>0</v>
      </c>
      <c r="AI340" s="283">
        <f>SUM(S340:AD340)</f>
        <v>0</v>
      </c>
      <c r="AJ340" s="283">
        <f>IF(COUNTIF(M340:AD340,"NA")=3,0,IF(COUNTA(M340:AD340)=0,0,IF(OR(AND(M340=0,AH340&gt;0),AND(M340="ns",AI340&gt;0),AND(M340="ns",AH340=0,AI340=0)),1,IF(OR(AND(M340&gt;0,AH340=2),AND(M340="ns",AH340=2),AND(M340="ns",AI340=0,AH340&gt;0),M340=AI340),0,1))))</f>
        <v>0</v>
      </c>
      <c r="AK340" s="342">
        <f>IF(AND(SUM($V$324)=0,COUNTA(M340:AD364)&gt;0),1,0)</f>
        <v>0</v>
      </c>
      <c r="AL340">
        <f>IF(AND(M365="NS",V324="NS"),0,IF(AND(M365="NA",V324="NA"),0,IF(M365=V324,0,1)))</f>
        <v>0</v>
      </c>
      <c r="AM340">
        <f>IF(AND(S365="NS",W324="NS"),0,IF(AND(S365="NA",W324="NA"),0,IF(S365=W324,0,1)))</f>
        <v>0</v>
      </c>
      <c r="AN340">
        <f>IF(AND(Y365="NS",X324="NS"),0,IF(AND(Y365="NA",X324="NA"),0,IF(Y365=X324,0,1)))</f>
        <v>0</v>
      </c>
    </row>
    <row r="341" spans="1:40" ht="15" customHeight="1">
      <c r="A341" s="96"/>
      <c r="B341" s="90"/>
      <c r="C341" s="98" t="s">
        <v>2517</v>
      </c>
      <c r="D341" s="796" t="s">
        <v>3088</v>
      </c>
      <c r="E341" s="796"/>
      <c r="F341" s="796"/>
      <c r="G341" s="796"/>
      <c r="H341" s="796"/>
      <c r="I341" s="796"/>
      <c r="J341" s="796"/>
      <c r="K341" s="796"/>
      <c r="L341" s="796"/>
      <c r="M341" s="749"/>
      <c r="N341" s="749"/>
      <c r="O341" s="749"/>
      <c r="P341" s="749"/>
      <c r="Q341" s="749"/>
      <c r="R341" s="749"/>
      <c r="S341" s="749"/>
      <c r="T341" s="749"/>
      <c r="U341" s="749"/>
      <c r="V341" s="749"/>
      <c r="W341" s="749"/>
      <c r="X341" s="749"/>
      <c r="Y341" s="749"/>
      <c r="Z341" s="749"/>
      <c r="AA341" s="749"/>
      <c r="AB341" s="749"/>
      <c r="AC341" s="749"/>
      <c r="AD341" s="749"/>
      <c r="AG341"/>
      <c r="AH341" s="283">
        <f t="shared" ref="AH341" si="292">COUNTIF(S341:AD341,"NS")</f>
        <v>0</v>
      </c>
      <c r="AI341" s="283">
        <f t="shared" ref="AI341" si="293">SUM(S341:AD341)</f>
        <v>0</v>
      </c>
      <c r="AJ341" s="283">
        <f t="shared" ref="AJ341" si="294">IF(COUNTIF(M341:AD341,"NA")=3,0,IF(COUNTA(M341:AD341)=0,0,IF(OR(AND(M341=0,AH341&gt;0),AND(M341="ns",AI341&gt;0),AND(M341="ns",AH341=0,AI341=0)),1,IF(OR(AND(M341&gt;0,AH341=2),AND(M341="ns",AH341=2),AND(M341="ns",AI341=0,AH341&gt;0),M341=AI341),0,1))))</f>
        <v>0</v>
      </c>
      <c r="AK341"/>
      <c r="AL341"/>
      <c r="AM341"/>
      <c r="AN341" s="369">
        <f>SUM(AL340:AN340)</f>
        <v>0</v>
      </c>
    </row>
    <row r="342" spans="1:40" ht="15" customHeight="1">
      <c r="A342" s="96"/>
      <c r="B342" s="90"/>
      <c r="C342" s="98" t="s">
        <v>2518</v>
      </c>
      <c r="D342" s="796" t="s">
        <v>3091</v>
      </c>
      <c r="E342" s="796"/>
      <c r="F342" s="796"/>
      <c r="G342" s="796"/>
      <c r="H342" s="796"/>
      <c r="I342" s="796"/>
      <c r="J342" s="796"/>
      <c r="K342" s="796"/>
      <c r="L342" s="796"/>
      <c r="M342" s="749"/>
      <c r="N342" s="749"/>
      <c r="O342" s="749"/>
      <c r="P342" s="749"/>
      <c r="Q342" s="749"/>
      <c r="R342" s="749"/>
      <c r="S342" s="749"/>
      <c r="T342" s="749"/>
      <c r="U342" s="749"/>
      <c r="V342" s="749"/>
      <c r="W342" s="749"/>
      <c r="X342" s="749"/>
      <c r="Y342" s="749"/>
      <c r="Z342" s="749"/>
      <c r="AA342" s="749"/>
      <c r="AB342" s="749"/>
      <c r="AC342" s="749"/>
      <c r="AD342" s="749"/>
      <c r="AH342" s="283">
        <f t="shared" ref="AH342:AH364" si="295">COUNTIF(S342:AD342,"NS")</f>
        <v>0</v>
      </c>
      <c r="AI342" s="283">
        <f t="shared" ref="AI342:AI364" si="296">SUM(S342:AD342)</f>
        <v>0</v>
      </c>
      <c r="AJ342" s="283">
        <f t="shared" ref="AJ342:AJ364" si="297">IF(COUNTIF(M342:AD342,"NA")=3,0,IF(COUNTA(M342:AD342)=0,0,IF(OR(AND(M342=0,AH342&gt;0),AND(M342="ns",AI342&gt;0),AND(M342="ns",AH342=0,AI342=0)),1,IF(OR(AND(M342&gt;0,AH342=2),AND(M342="ns",AH342=2),AND(M342="ns",AI342=0,AH342&gt;0),M342=AI342),0,1))))</f>
        <v>0</v>
      </c>
    </row>
    <row r="343" spans="1:40" ht="15" customHeight="1">
      <c r="A343" s="96"/>
      <c r="B343" s="90"/>
      <c r="C343" s="98" t="s">
        <v>2519</v>
      </c>
      <c r="D343" s="796" t="s">
        <v>3093</v>
      </c>
      <c r="E343" s="796"/>
      <c r="F343" s="796"/>
      <c r="G343" s="796"/>
      <c r="H343" s="796"/>
      <c r="I343" s="796"/>
      <c r="J343" s="796"/>
      <c r="K343" s="796"/>
      <c r="L343" s="796"/>
      <c r="M343" s="749"/>
      <c r="N343" s="749"/>
      <c r="O343" s="749"/>
      <c r="P343" s="749"/>
      <c r="Q343" s="749"/>
      <c r="R343" s="749"/>
      <c r="S343" s="749"/>
      <c r="T343" s="749"/>
      <c r="U343" s="749"/>
      <c r="V343" s="749"/>
      <c r="W343" s="749"/>
      <c r="X343" s="749"/>
      <c r="Y343" s="749"/>
      <c r="Z343" s="749"/>
      <c r="AA343" s="749"/>
      <c r="AB343" s="749"/>
      <c r="AC343" s="749"/>
      <c r="AD343" s="749"/>
      <c r="AH343" s="283">
        <f t="shared" si="295"/>
        <v>0</v>
      </c>
      <c r="AI343" s="283">
        <f t="shared" si="296"/>
        <v>0</v>
      </c>
      <c r="AJ343" s="283">
        <f t="shared" si="297"/>
        <v>0</v>
      </c>
    </row>
    <row r="344" spans="1:40" ht="15" customHeight="1">
      <c r="A344" s="96"/>
      <c r="B344" s="90"/>
      <c r="C344" s="98" t="s">
        <v>2520</v>
      </c>
      <c r="D344" s="796" t="s">
        <v>3095</v>
      </c>
      <c r="E344" s="796"/>
      <c r="F344" s="796"/>
      <c r="G344" s="796"/>
      <c r="H344" s="796"/>
      <c r="I344" s="796"/>
      <c r="J344" s="796"/>
      <c r="K344" s="796"/>
      <c r="L344" s="796"/>
      <c r="M344" s="749"/>
      <c r="N344" s="749"/>
      <c r="O344" s="749"/>
      <c r="P344" s="749"/>
      <c r="Q344" s="749"/>
      <c r="R344" s="749"/>
      <c r="S344" s="749"/>
      <c r="T344" s="749"/>
      <c r="U344" s="749"/>
      <c r="V344" s="749"/>
      <c r="W344" s="749"/>
      <c r="X344" s="749"/>
      <c r="Y344" s="749"/>
      <c r="Z344" s="749"/>
      <c r="AA344" s="749"/>
      <c r="AB344" s="749"/>
      <c r="AC344" s="749"/>
      <c r="AD344" s="749"/>
      <c r="AH344" s="283">
        <f t="shared" si="295"/>
        <v>0</v>
      </c>
      <c r="AI344" s="283">
        <f t="shared" si="296"/>
        <v>0</v>
      </c>
      <c r="AJ344" s="283">
        <f t="shared" si="297"/>
        <v>0</v>
      </c>
    </row>
    <row r="345" spans="1:40" ht="15" customHeight="1">
      <c r="A345" s="96"/>
      <c r="B345" s="90"/>
      <c r="C345" s="98" t="s">
        <v>2521</v>
      </c>
      <c r="D345" s="796" t="s">
        <v>3098</v>
      </c>
      <c r="E345" s="796"/>
      <c r="F345" s="796"/>
      <c r="G345" s="796"/>
      <c r="H345" s="796"/>
      <c r="I345" s="796"/>
      <c r="J345" s="796"/>
      <c r="K345" s="796"/>
      <c r="L345" s="796"/>
      <c r="M345" s="749"/>
      <c r="N345" s="749"/>
      <c r="O345" s="749"/>
      <c r="P345" s="749"/>
      <c r="Q345" s="749"/>
      <c r="R345" s="749"/>
      <c r="S345" s="749"/>
      <c r="T345" s="749"/>
      <c r="U345" s="749"/>
      <c r="V345" s="749"/>
      <c r="W345" s="749"/>
      <c r="X345" s="749"/>
      <c r="Y345" s="749"/>
      <c r="Z345" s="749"/>
      <c r="AA345" s="749"/>
      <c r="AB345" s="749"/>
      <c r="AC345" s="749"/>
      <c r="AD345" s="749"/>
      <c r="AH345" s="283">
        <f t="shared" si="295"/>
        <v>0</v>
      </c>
      <c r="AI345" s="283">
        <f t="shared" si="296"/>
        <v>0</v>
      </c>
      <c r="AJ345" s="283">
        <f t="shared" si="297"/>
        <v>0</v>
      </c>
    </row>
    <row r="346" spans="1:40" ht="15" customHeight="1">
      <c r="A346" s="96"/>
      <c r="B346" s="90"/>
      <c r="C346" s="98" t="s">
        <v>2522</v>
      </c>
      <c r="D346" s="796" t="s">
        <v>3101</v>
      </c>
      <c r="E346" s="796"/>
      <c r="F346" s="796"/>
      <c r="G346" s="796"/>
      <c r="H346" s="796"/>
      <c r="I346" s="796"/>
      <c r="J346" s="796"/>
      <c r="K346" s="796"/>
      <c r="L346" s="796"/>
      <c r="M346" s="749"/>
      <c r="N346" s="749"/>
      <c r="O346" s="749"/>
      <c r="P346" s="749"/>
      <c r="Q346" s="749"/>
      <c r="R346" s="749"/>
      <c r="S346" s="749"/>
      <c r="T346" s="749"/>
      <c r="U346" s="749"/>
      <c r="V346" s="749"/>
      <c r="W346" s="749"/>
      <c r="X346" s="749"/>
      <c r="Y346" s="749"/>
      <c r="Z346" s="749"/>
      <c r="AA346" s="749"/>
      <c r="AB346" s="749"/>
      <c r="AC346" s="749"/>
      <c r="AD346" s="749"/>
      <c r="AH346" s="283">
        <f t="shared" si="295"/>
        <v>0</v>
      </c>
      <c r="AI346" s="283">
        <f t="shared" si="296"/>
        <v>0</v>
      </c>
      <c r="AJ346" s="283">
        <f t="shared" si="297"/>
        <v>0</v>
      </c>
    </row>
    <row r="347" spans="1:40" ht="15" customHeight="1">
      <c r="A347" s="96"/>
      <c r="B347" s="90"/>
      <c r="C347" s="98" t="s">
        <v>2523</v>
      </c>
      <c r="D347" s="796" t="s">
        <v>3104</v>
      </c>
      <c r="E347" s="796"/>
      <c r="F347" s="796"/>
      <c r="G347" s="796"/>
      <c r="H347" s="796"/>
      <c r="I347" s="796"/>
      <c r="J347" s="796"/>
      <c r="K347" s="796"/>
      <c r="L347" s="796"/>
      <c r="M347" s="749"/>
      <c r="N347" s="749"/>
      <c r="O347" s="749"/>
      <c r="P347" s="749"/>
      <c r="Q347" s="749"/>
      <c r="R347" s="749"/>
      <c r="S347" s="749"/>
      <c r="T347" s="749"/>
      <c r="U347" s="749"/>
      <c r="V347" s="749"/>
      <c r="W347" s="749"/>
      <c r="X347" s="749"/>
      <c r="Y347" s="749"/>
      <c r="Z347" s="749"/>
      <c r="AA347" s="749"/>
      <c r="AB347" s="749"/>
      <c r="AC347" s="749"/>
      <c r="AD347" s="749"/>
      <c r="AH347" s="283">
        <f t="shared" si="295"/>
        <v>0</v>
      </c>
      <c r="AI347" s="283">
        <f t="shared" si="296"/>
        <v>0</v>
      </c>
      <c r="AJ347" s="283">
        <f t="shared" si="297"/>
        <v>0</v>
      </c>
    </row>
    <row r="348" spans="1:40" ht="15" customHeight="1">
      <c r="A348" s="96"/>
      <c r="B348" s="90"/>
      <c r="C348" s="98" t="s">
        <v>2524</v>
      </c>
      <c r="D348" s="796" t="s">
        <v>3107</v>
      </c>
      <c r="E348" s="796"/>
      <c r="F348" s="796"/>
      <c r="G348" s="796"/>
      <c r="H348" s="796"/>
      <c r="I348" s="796"/>
      <c r="J348" s="796"/>
      <c r="K348" s="796"/>
      <c r="L348" s="796"/>
      <c r="M348" s="749"/>
      <c r="N348" s="749"/>
      <c r="O348" s="749"/>
      <c r="P348" s="749"/>
      <c r="Q348" s="749"/>
      <c r="R348" s="749"/>
      <c r="S348" s="749"/>
      <c r="T348" s="749"/>
      <c r="U348" s="749"/>
      <c r="V348" s="749"/>
      <c r="W348" s="749"/>
      <c r="X348" s="749"/>
      <c r="Y348" s="749"/>
      <c r="Z348" s="749"/>
      <c r="AA348" s="749"/>
      <c r="AB348" s="749"/>
      <c r="AC348" s="749"/>
      <c r="AD348" s="749"/>
      <c r="AH348" s="283">
        <f t="shared" si="295"/>
        <v>0</v>
      </c>
      <c r="AI348" s="283">
        <f t="shared" si="296"/>
        <v>0</v>
      </c>
      <c r="AJ348" s="283">
        <f t="shared" si="297"/>
        <v>0</v>
      </c>
    </row>
    <row r="349" spans="1:40" ht="15" customHeight="1">
      <c r="A349" s="96"/>
      <c r="B349" s="90"/>
      <c r="C349" s="98" t="s">
        <v>2525</v>
      </c>
      <c r="D349" s="796" t="s">
        <v>3110</v>
      </c>
      <c r="E349" s="796"/>
      <c r="F349" s="796"/>
      <c r="G349" s="796"/>
      <c r="H349" s="796"/>
      <c r="I349" s="796"/>
      <c r="J349" s="796"/>
      <c r="K349" s="796"/>
      <c r="L349" s="796"/>
      <c r="M349" s="749"/>
      <c r="N349" s="749"/>
      <c r="O349" s="749"/>
      <c r="P349" s="749"/>
      <c r="Q349" s="749"/>
      <c r="R349" s="749"/>
      <c r="S349" s="749"/>
      <c r="T349" s="749"/>
      <c r="U349" s="749"/>
      <c r="V349" s="749"/>
      <c r="W349" s="749"/>
      <c r="X349" s="749"/>
      <c r="Y349" s="749"/>
      <c r="Z349" s="749"/>
      <c r="AA349" s="749"/>
      <c r="AB349" s="749"/>
      <c r="AC349" s="749"/>
      <c r="AD349" s="749"/>
      <c r="AH349" s="283">
        <f t="shared" si="295"/>
        <v>0</v>
      </c>
      <c r="AI349" s="283">
        <f t="shared" si="296"/>
        <v>0</v>
      </c>
      <c r="AJ349" s="283">
        <f t="shared" si="297"/>
        <v>0</v>
      </c>
    </row>
    <row r="350" spans="1:40" ht="15" customHeight="1">
      <c r="A350" s="96"/>
      <c r="B350" s="90"/>
      <c r="C350" s="98" t="s">
        <v>2526</v>
      </c>
      <c r="D350" s="796" t="s">
        <v>3113</v>
      </c>
      <c r="E350" s="796"/>
      <c r="F350" s="796"/>
      <c r="G350" s="796"/>
      <c r="H350" s="796"/>
      <c r="I350" s="796"/>
      <c r="J350" s="796"/>
      <c r="K350" s="796"/>
      <c r="L350" s="796"/>
      <c r="M350" s="749"/>
      <c r="N350" s="749"/>
      <c r="O350" s="749"/>
      <c r="P350" s="749"/>
      <c r="Q350" s="749"/>
      <c r="R350" s="749"/>
      <c r="S350" s="749"/>
      <c r="T350" s="749"/>
      <c r="U350" s="749"/>
      <c r="V350" s="749"/>
      <c r="W350" s="749"/>
      <c r="X350" s="749"/>
      <c r="Y350" s="749"/>
      <c r="Z350" s="749"/>
      <c r="AA350" s="749"/>
      <c r="AB350" s="749"/>
      <c r="AC350" s="749"/>
      <c r="AD350" s="749"/>
      <c r="AH350" s="283">
        <f t="shared" si="295"/>
        <v>0</v>
      </c>
      <c r="AI350" s="283">
        <f t="shared" si="296"/>
        <v>0</v>
      </c>
      <c r="AJ350" s="283">
        <f t="shared" si="297"/>
        <v>0</v>
      </c>
    </row>
    <row r="351" spans="1:40" ht="15" customHeight="1">
      <c r="A351" s="96"/>
      <c r="B351" s="90"/>
      <c r="C351" s="98" t="s">
        <v>2527</v>
      </c>
      <c r="D351" s="796" t="s">
        <v>3116</v>
      </c>
      <c r="E351" s="796"/>
      <c r="F351" s="796"/>
      <c r="G351" s="796"/>
      <c r="H351" s="796"/>
      <c r="I351" s="796"/>
      <c r="J351" s="796"/>
      <c r="K351" s="796"/>
      <c r="L351" s="796"/>
      <c r="M351" s="749"/>
      <c r="N351" s="749"/>
      <c r="O351" s="749"/>
      <c r="P351" s="749"/>
      <c r="Q351" s="749"/>
      <c r="R351" s="749"/>
      <c r="S351" s="749"/>
      <c r="T351" s="749"/>
      <c r="U351" s="749"/>
      <c r="V351" s="749"/>
      <c r="W351" s="749"/>
      <c r="X351" s="749"/>
      <c r="Y351" s="749"/>
      <c r="Z351" s="749"/>
      <c r="AA351" s="749"/>
      <c r="AB351" s="749"/>
      <c r="AC351" s="749"/>
      <c r="AD351" s="749"/>
      <c r="AH351" s="283">
        <f t="shared" si="295"/>
        <v>0</v>
      </c>
      <c r="AI351" s="283">
        <f t="shared" si="296"/>
        <v>0</v>
      </c>
      <c r="AJ351" s="283">
        <f t="shared" si="297"/>
        <v>0</v>
      </c>
    </row>
    <row r="352" spans="1:40" ht="15" customHeight="1">
      <c r="A352" s="96"/>
      <c r="B352" s="90"/>
      <c r="C352" s="98" t="s">
        <v>2528</v>
      </c>
      <c r="D352" s="796" t="s">
        <v>3119</v>
      </c>
      <c r="E352" s="796"/>
      <c r="F352" s="796"/>
      <c r="G352" s="796"/>
      <c r="H352" s="796"/>
      <c r="I352" s="796"/>
      <c r="J352" s="796"/>
      <c r="K352" s="796"/>
      <c r="L352" s="796"/>
      <c r="M352" s="749"/>
      <c r="N352" s="749"/>
      <c r="O352" s="749"/>
      <c r="P352" s="749"/>
      <c r="Q352" s="749"/>
      <c r="R352" s="749"/>
      <c r="S352" s="749"/>
      <c r="T352" s="749"/>
      <c r="U352" s="749"/>
      <c r="V352" s="749"/>
      <c r="W352" s="749"/>
      <c r="X352" s="749"/>
      <c r="Y352" s="749"/>
      <c r="Z352" s="749"/>
      <c r="AA352" s="749"/>
      <c r="AB352" s="749"/>
      <c r="AC352" s="749"/>
      <c r="AD352" s="749"/>
      <c r="AH352" s="283">
        <f t="shared" si="295"/>
        <v>0</v>
      </c>
      <c r="AI352" s="283">
        <f t="shared" si="296"/>
        <v>0</v>
      </c>
      <c r="AJ352" s="283">
        <f t="shared" si="297"/>
        <v>0</v>
      </c>
    </row>
    <row r="353" spans="1:36" ht="15" customHeight="1">
      <c r="A353" s="96"/>
      <c r="B353" s="90"/>
      <c r="C353" s="98" t="s">
        <v>2529</v>
      </c>
      <c r="D353" s="796" t="s">
        <v>3122</v>
      </c>
      <c r="E353" s="796"/>
      <c r="F353" s="796"/>
      <c r="G353" s="796"/>
      <c r="H353" s="796"/>
      <c r="I353" s="796"/>
      <c r="J353" s="796"/>
      <c r="K353" s="796"/>
      <c r="L353" s="796"/>
      <c r="M353" s="749"/>
      <c r="N353" s="749"/>
      <c r="O353" s="749"/>
      <c r="P353" s="749"/>
      <c r="Q353" s="749"/>
      <c r="R353" s="749"/>
      <c r="S353" s="749"/>
      <c r="T353" s="749"/>
      <c r="U353" s="749"/>
      <c r="V353" s="749"/>
      <c r="W353" s="749"/>
      <c r="X353" s="749"/>
      <c r="Y353" s="749"/>
      <c r="Z353" s="749"/>
      <c r="AA353" s="749"/>
      <c r="AB353" s="749"/>
      <c r="AC353" s="749"/>
      <c r="AD353" s="749"/>
      <c r="AH353" s="283">
        <f t="shared" si="295"/>
        <v>0</v>
      </c>
      <c r="AI353" s="283">
        <f t="shared" si="296"/>
        <v>0</v>
      </c>
      <c r="AJ353" s="283">
        <f t="shared" si="297"/>
        <v>0</v>
      </c>
    </row>
    <row r="354" spans="1:36" ht="15" customHeight="1">
      <c r="A354" s="96"/>
      <c r="B354" s="90"/>
      <c r="C354" s="98" t="s">
        <v>2530</v>
      </c>
      <c r="D354" s="796" t="s">
        <v>3124</v>
      </c>
      <c r="E354" s="796"/>
      <c r="F354" s="796"/>
      <c r="G354" s="796"/>
      <c r="H354" s="796"/>
      <c r="I354" s="796"/>
      <c r="J354" s="796"/>
      <c r="K354" s="796"/>
      <c r="L354" s="796"/>
      <c r="M354" s="749"/>
      <c r="N354" s="749"/>
      <c r="O354" s="749"/>
      <c r="P354" s="749"/>
      <c r="Q354" s="749"/>
      <c r="R354" s="749"/>
      <c r="S354" s="749"/>
      <c r="T354" s="749"/>
      <c r="U354" s="749"/>
      <c r="V354" s="749"/>
      <c r="W354" s="749"/>
      <c r="X354" s="749"/>
      <c r="Y354" s="749"/>
      <c r="Z354" s="749"/>
      <c r="AA354" s="749"/>
      <c r="AB354" s="749"/>
      <c r="AC354" s="749"/>
      <c r="AD354" s="749"/>
      <c r="AH354" s="283">
        <f t="shared" si="295"/>
        <v>0</v>
      </c>
      <c r="AI354" s="283">
        <f t="shared" si="296"/>
        <v>0</v>
      </c>
      <c r="AJ354" s="283">
        <f t="shared" si="297"/>
        <v>0</v>
      </c>
    </row>
    <row r="355" spans="1:36" ht="15" customHeight="1">
      <c r="A355" s="96"/>
      <c r="B355" s="90"/>
      <c r="C355" s="98" t="s">
        <v>2531</v>
      </c>
      <c r="D355" s="796" t="s">
        <v>3126</v>
      </c>
      <c r="E355" s="796"/>
      <c r="F355" s="796"/>
      <c r="G355" s="796"/>
      <c r="H355" s="796"/>
      <c r="I355" s="796"/>
      <c r="J355" s="796"/>
      <c r="K355" s="796"/>
      <c r="L355" s="796"/>
      <c r="M355" s="749"/>
      <c r="N355" s="749"/>
      <c r="O355" s="749"/>
      <c r="P355" s="749"/>
      <c r="Q355" s="749"/>
      <c r="R355" s="749"/>
      <c r="S355" s="749"/>
      <c r="T355" s="749"/>
      <c r="U355" s="749"/>
      <c r="V355" s="749"/>
      <c r="W355" s="749"/>
      <c r="X355" s="749"/>
      <c r="Y355" s="749"/>
      <c r="Z355" s="749"/>
      <c r="AA355" s="749"/>
      <c r="AB355" s="749"/>
      <c r="AC355" s="749"/>
      <c r="AD355" s="749"/>
      <c r="AH355" s="283">
        <f t="shared" si="295"/>
        <v>0</v>
      </c>
      <c r="AI355" s="283">
        <f t="shared" si="296"/>
        <v>0</v>
      </c>
      <c r="AJ355" s="283">
        <f t="shared" si="297"/>
        <v>0</v>
      </c>
    </row>
    <row r="356" spans="1:36" ht="15" customHeight="1">
      <c r="A356" s="96"/>
      <c r="B356" s="90"/>
      <c r="C356" s="98" t="s">
        <v>2532</v>
      </c>
      <c r="D356" s="796" t="s">
        <v>3129</v>
      </c>
      <c r="E356" s="796"/>
      <c r="F356" s="796"/>
      <c r="G356" s="796"/>
      <c r="H356" s="796"/>
      <c r="I356" s="796"/>
      <c r="J356" s="796"/>
      <c r="K356" s="796"/>
      <c r="L356" s="796"/>
      <c r="M356" s="749"/>
      <c r="N356" s="749"/>
      <c r="O356" s="749"/>
      <c r="P356" s="749"/>
      <c r="Q356" s="749"/>
      <c r="R356" s="749"/>
      <c r="S356" s="749"/>
      <c r="T356" s="749"/>
      <c r="U356" s="749"/>
      <c r="V356" s="749"/>
      <c r="W356" s="749"/>
      <c r="X356" s="749"/>
      <c r="Y356" s="749"/>
      <c r="Z356" s="749"/>
      <c r="AA356" s="749"/>
      <c r="AB356" s="749"/>
      <c r="AC356" s="749"/>
      <c r="AD356" s="749"/>
      <c r="AH356" s="283">
        <f t="shared" si="295"/>
        <v>0</v>
      </c>
      <c r="AI356" s="283">
        <f t="shared" si="296"/>
        <v>0</v>
      </c>
      <c r="AJ356" s="283">
        <f t="shared" si="297"/>
        <v>0</v>
      </c>
    </row>
    <row r="357" spans="1:36" ht="15" customHeight="1">
      <c r="A357" s="96"/>
      <c r="B357" s="90"/>
      <c r="C357" s="98" t="s">
        <v>2533</v>
      </c>
      <c r="D357" s="796" t="s">
        <v>3132</v>
      </c>
      <c r="E357" s="796"/>
      <c r="F357" s="796"/>
      <c r="G357" s="796"/>
      <c r="H357" s="796"/>
      <c r="I357" s="796"/>
      <c r="J357" s="796"/>
      <c r="K357" s="796"/>
      <c r="L357" s="796"/>
      <c r="M357" s="749"/>
      <c r="N357" s="749"/>
      <c r="O357" s="749"/>
      <c r="P357" s="749"/>
      <c r="Q357" s="749"/>
      <c r="R357" s="749"/>
      <c r="S357" s="749"/>
      <c r="T357" s="749"/>
      <c r="U357" s="749"/>
      <c r="V357" s="749"/>
      <c r="W357" s="749"/>
      <c r="X357" s="749"/>
      <c r="Y357" s="749"/>
      <c r="Z357" s="749"/>
      <c r="AA357" s="749"/>
      <c r="AB357" s="749"/>
      <c r="AC357" s="749"/>
      <c r="AD357" s="749"/>
      <c r="AH357" s="283">
        <f t="shared" si="295"/>
        <v>0</v>
      </c>
      <c r="AI357" s="283">
        <f t="shared" si="296"/>
        <v>0</v>
      </c>
      <c r="AJ357" s="283">
        <f t="shared" si="297"/>
        <v>0</v>
      </c>
    </row>
    <row r="358" spans="1:36" ht="15" customHeight="1">
      <c r="A358" s="96"/>
      <c r="B358" s="90"/>
      <c r="C358" s="98" t="s">
        <v>2534</v>
      </c>
      <c r="D358" s="796" t="s">
        <v>3135</v>
      </c>
      <c r="E358" s="796"/>
      <c r="F358" s="796"/>
      <c r="G358" s="796"/>
      <c r="H358" s="796"/>
      <c r="I358" s="796"/>
      <c r="J358" s="796"/>
      <c r="K358" s="796"/>
      <c r="L358" s="796"/>
      <c r="M358" s="749"/>
      <c r="N358" s="749"/>
      <c r="O358" s="749"/>
      <c r="P358" s="749"/>
      <c r="Q358" s="749"/>
      <c r="R358" s="749"/>
      <c r="S358" s="749"/>
      <c r="T358" s="749"/>
      <c r="U358" s="749"/>
      <c r="V358" s="749"/>
      <c r="W358" s="749"/>
      <c r="X358" s="749"/>
      <c r="Y358" s="749"/>
      <c r="Z358" s="749"/>
      <c r="AA358" s="749"/>
      <c r="AB358" s="749"/>
      <c r="AC358" s="749"/>
      <c r="AD358" s="749"/>
      <c r="AH358" s="283">
        <f t="shared" si="295"/>
        <v>0</v>
      </c>
      <c r="AI358" s="283">
        <f t="shared" si="296"/>
        <v>0</v>
      </c>
      <c r="AJ358" s="283">
        <f t="shared" si="297"/>
        <v>0</v>
      </c>
    </row>
    <row r="359" spans="1:36" ht="15" customHeight="1">
      <c r="A359" s="96"/>
      <c r="B359" s="90"/>
      <c r="C359" s="98" t="s">
        <v>2535</v>
      </c>
      <c r="D359" s="796" t="s">
        <v>3138</v>
      </c>
      <c r="E359" s="796"/>
      <c r="F359" s="796"/>
      <c r="G359" s="796"/>
      <c r="H359" s="796"/>
      <c r="I359" s="796"/>
      <c r="J359" s="796"/>
      <c r="K359" s="796"/>
      <c r="L359" s="796"/>
      <c r="M359" s="749"/>
      <c r="N359" s="749"/>
      <c r="O359" s="749"/>
      <c r="P359" s="749"/>
      <c r="Q359" s="749"/>
      <c r="R359" s="749"/>
      <c r="S359" s="749"/>
      <c r="T359" s="749"/>
      <c r="U359" s="749"/>
      <c r="V359" s="749"/>
      <c r="W359" s="749"/>
      <c r="X359" s="749"/>
      <c r="Y359" s="749"/>
      <c r="Z359" s="749"/>
      <c r="AA359" s="749"/>
      <c r="AB359" s="749"/>
      <c r="AC359" s="749"/>
      <c r="AD359" s="749"/>
      <c r="AH359" s="283">
        <f t="shared" si="295"/>
        <v>0</v>
      </c>
      <c r="AI359" s="283">
        <f t="shared" si="296"/>
        <v>0</v>
      </c>
      <c r="AJ359" s="283">
        <f t="shared" si="297"/>
        <v>0</v>
      </c>
    </row>
    <row r="360" spans="1:36" ht="15" customHeight="1">
      <c r="A360" s="96"/>
      <c r="B360" s="90"/>
      <c r="C360" s="98" t="s">
        <v>2536</v>
      </c>
      <c r="D360" s="796" t="s">
        <v>3141</v>
      </c>
      <c r="E360" s="796"/>
      <c r="F360" s="796"/>
      <c r="G360" s="796"/>
      <c r="H360" s="796"/>
      <c r="I360" s="796"/>
      <c r="J360" s="796"/>
      <c r="K360" s="796"/>
      <c r="L360" s="796"/>
      <c r="M360" s="749"/>
      <c r="N360" s="749"/>
      <c r="O360" s="749"/>
      <c r="P360" s="749"/>
      <c r="Q360" s="749"/>
      <c r="R360" s="749"/>
      <c r="S360" s="749"/>
      <c r="T360" s="749"/>
      <c r="U360" s="749"/>
      <c r="V360" s="749"/>
      <c r="W360" s="749"/>
      <c r="X360" s="749"/>
      <c r="Y360" s="749"/>
      <c r="Z360" s="749"/>
      <c r="AA360" s="749"/>
      <c r="AB360" s="749"/>
      <c r="AC360" s="749"/>
      <c r="AD360" s="749"/>
      <c r="AH360" s="283">
        <f t="shared" si="295"/>
        <v>0</v>
      </c>
      <c r="AI360" s="283">
        <f t="shared" si="296"/>
        <v>0</v>
      </c>
      <c r="AJ360" s="283">
        <f t="shared" si="297"/>
        <v>0</v>
      </c>
    </row>
    <row r="361" spans="1:36" ht="15" customHeight="1">
      <c r="A361" s="96"/>
      <c r="B361" s="90"/>
      <c r="C361" s="98" t="s">
        <v>2537</v>
      </c>
      <c r="D361" s="796" t="s">
        <v>3144</v>
      </c>
      <c r="E361" s="796"/>
      <c r="F361" s="796"/>
      <c r="G361" s="796"/>
      <c r="H361" s="796"/>
      <c r="I361" s="796"/>
      <c r="J361" s="796"/>
      <c r="K361" s="796"/>
      <c r="L361" s="796"/>
      <c r="M361" s="749"/>
      <c r="N361" s="749"/>
      <c r="O361" s="749"/>
      <c r="P361" s="749"/>
      <c r="Q361" s="749"/>
      <c r="R361" s="749"/>
      <c r="S361" s="749"/>
      <c r="T361" s="749"/>
      <c r="U361" s="749"/>
      <c r="V361" s="749"/>
      <c r="W361" s="749"/>
      <c r="X361" s="749"/>
      <c r="Y361" s="749"/>
      <c r="Z361" s="749"/>
      <c r="AA361" s="749"/>
      <c r="AB361" s="749"/>
      <c r="AC361" s="749"/>
      <c r="AD361" s="749"/>
      <c r="AH361" s="283">
        <f t="shared" si="295"/>
        <v>0</v>
      </c>
      <c r="AI361" s="283">
        <f t="shared" si="296"/>
        <v>0</v>
      </c>
      <c r="AJ361" s="283">
        <f t="shared" si="297"/>
        <v>0</v>
      </c>
    </row>
    <row r="362" spans="1:36" ht="15" customHeight="1">
      <c r="A362" s="96"/>
      <c r="B362" s="90"/>
      <c r="C362" s="98" t="s">
        <v>2538</v>
      </c>
      <c r="D362" s="796" t="s">
        <v>3146</v>
      </c>
      <c r="E362" s="796"/>
      <c r="F362" s="796"/>
      <c r="G362" s="796"/>
      <c r="H362" s="796"/>
      <c r="I362" s="796"/>
      <c r="J362" s="796"/>
      <c r="K362" s="796"/>
      <c r="L362" s="796"/>
      <c r="M362" s="749"/>
      <c r="N362" s="749"/>
      <c r="O362" s="749"/>
      <c r="P362" s="749"/>
      <c r="Q362" s="749"/>
      <c r="R362" s="749"/>
      <c r="S362" s="749"/>
      <c r="T362" s="749"/>
      <c r="U362" s="749"/>
      <c r="V362" s="749"/>
      <c r="W362" s="749"/>
      <c r="X362" s="749"/>
      <c r="Y362" s="749"/>
      <c r="Z362" s="749"/>
      <c r="AA362" s="749"/>
      <c r="AB362" s="749"/>
      <c r="AC362" s="749"/>
      <c r="AD362" s="749"/>
      <c r="AH362" s="283">
        <f t="shared" si="295"/>
        <v>0</v>
      </c>
      <c r="AI362" s="283">
        <f t="shared" si="296"/>
        <v>0</v>
      </c>
      <c r="AJ362" s="283">
        <f t="shared" si="297"/>
        <v>0</v>
      </c>
    </row>
    <row r="363" spans="1:36" ht="15" customHeight="1">
      <c r="A363" s="96"/>
      <c r="B363" s="90"/>
      <c r="C363" s="98" t="s">
        <v>2539</v>
      </c>
      <c r="D363" s="796" t="s">
        <v>3148</v>
      </c>
      <c r="E363" s="796"/>
      <c r="F363" s="796"/>
      <c r="G363" s="796"/>
      <c r="H363" s="796"/>
      <c r="I363" s="796"/>
      <c r="J363" s="796"/>
      <c r="K363" s="796"/>
      <c r="L363" s="796"/>
      <c r="M363" s="749"/>
      <c r="N363" s="749"/>
      <c r="O363" s="749"/>
      <c r="P363" s="749"/>
      <c r="Q363" s="749"/>
      <c r="R363" s="749"/>
      <c r="S363" s="749"/>
      <c r="T363" s="749"/>
      <c r="U363" s="749"/>
      <c r="V363" s="749"/>
      <c r="W363" s="749"/>
      <c r="X363" s="749"/>
      <c r="Y363" s="749"/>
      <c r="Z363" s="749"/>
      <c r="AA363" s="749"/>
      <c r="AB363" s="749"/>
      <c r="AC363" s="749"/>
      <c r="AD363" s="749"/>
      <c r="AH363" s="283">
        <f t="shared" si="295"/>
        <v>0</v>
      </c>
      <c r="AI363" s="283">
        <f t="shared" si="296"/>
        <v>0</v>
      </c>
      <c r="AJ363" s="283">
        <f t="shared" si="297"/>
        <v>0</v>
      </c>
    </row>
    <row r="364" spans="1:36" ht="15" customHeight="1">
      <c r="A364" s="96"/>
      <c r="B364" s="90"/>
      <c r="C364" s="98" t="s">
        <v>2540</v>
      </c>
      <c r="D364" s="796" t="s">
        <v>201</v>
      </c>
      <c r="E364" s="796"/>
      <c r="F364" s="796"/>
      <c r="G364" s="796"/>
      <c r="H364" s="796"/>
      <c r="I364" s="796"/>
      <c r="J364" s="796"/>
      <c r="K364" s="796"/>
      <c r="L364" s="796"/>
      <c r="M364" s="749"/>
      <c r="N364" s="749"/>
      <c r="O364" s="749"/>
      <c r="P364" s="749"/>
      <c r="Q364" s="749"/>
      <c r="R364" s="749"/>
      <c r="S364" s="749"/>
      <c r="T364" s="749"/>
      <c r="U364" s="749"/>
      <c r="V364" s="749"/>
      <c r="W364" s="749"/>
      <c r="X364" s="749"/>
      <c r="Y364" s="749"/>
      <c r="Z364" s="749"/>
      <c r="AA364" s="749"/>
      <c r="AB364" s="749"/>
      <c r="AC364" s="749"/>
      <c r="AD364" s="749"/>
      <c r="AH364" s="283">
        <f t="shared" si="295"/>
        <v>0</v>
      </c>
      <c r="AI364" s="283">
        <f t="shared" si="296"/>
        <v>0</v>
      </c>
      <c r="AJ364" s="283">
        <f t="shared" si="297"/>
        <v>0</v>
      </c>
    </row>
    <row r="365" spans="1:36" ht="15" customHeight="1">
      <c r="A365" s="96"/>
      <c r="B365" s="90"/>
      <c r="C365" s="45"/>
      <c r="D365" s="45"/>
      <c r="E365" s="45"/>
      <c r="F365" s="45"/>
      <c r="G365" s="45"/>
      <c r="H365" s="45"/>
      <c r="I365" s="152"/>
      <c r="J365" s="152"/>
      <c r="K365" s="152"/>
      <c r="L365" s="117" t="s">
        <v>2649</v>
      </c>
      <c r="M365" s="736">
        <f>IF(AND(SUM(M340:R364)=0,COUNTIF(M340:R364,"NS")&gt;0),"NS",
IF(AND(SUM(M340:R364)=0,COUNTIF(M340:R364,0)&gt;0),0,
IF(AND(SUM(M340:R364)=0,COUNTIF(M340:R364,"NA")&gt;0),"NA",
SUM(M340:R364))))</f>
        <v>0</v>
      </c>
      <c r="N365" s="736"/>
      <c r="O365" s="736"/>
      <c r="P365" s="736"/>
      <c r="Q365" s="736"/>
      <c r="R365" s="736"/>
      <c r="S365" s="736">
        <f t="shared" ref="S365" si="298">IF(AND(SUM(S340:X364)=0,COUNTIF(S340:X364,"NS")&gt;0),"NS",
IF(AND(SUM(S340:X364)=0,COUNTIF(S340:X364,0)&gt;0),0,
IF(AND(SUM(S340:X364)=0,COUNTIF(S340:X364,"NA")&gt;0),"NA",
SUM(S340:X364))))</f>
        <v>0</v>
      </c>
      <c r="T365" s="736"/>
      <c r="U365" s="736"/>
      <c r="V365" s="736"/>
      <c r="W365" s="736"/>
      <c r="X365" s="736"/>
      <c r="Y365" s="736">
        <f t="shared" ref="Y365" si="299">IF(AND(SUM(Y340:AD364)=0,COUNTIF(Y340:AD364,"NS")&gt;0),"NS",
IF(AND(SUM(Y340:AD364)=0,COUNTIF(Y340:AD364,0)&gt;0),0,
IF(AND(SUM(Y340:AD364)=0,COUNTIF(Y340:AD364,"NA")&gt;0),"NA",
SUM(Y340:AD364))))</f>
        <v>0</v>
      </c>
      <c r="Z365" s="736"/>
      <c r="AA365" s="736"/>
      <c r="AB365" s="736"/>
      <c r="AC365" s="736"/>
      <c r="AD365" s="736"/>
      <c r="AH365" s="350">
        <f>SUM(AH340:AH364)</f>
        <v>0</v>
      </c>
      <c r="AI365" s="351">
        <f>SUM(AI340:AI364)</f>
        <v>0</v>
      </c>
      <c r="AJ365" s="352">
        <f>SUM(AJ340:AJ364)</f>
        <v>0</v>
      </c>
    </row>
    <row r="366" spans="1:36" ht="15" customHeight="1">
      <c r="A366" s="96"/>
      <c r="B366" s="90"/>
      <c r="C366" s="90"/>
      <c r="D366" s="90"/>
      <c r="E366" s="90"/>
      <c r="F366" s="90"/>
      <c r="G366" s="90"/>
      <c r="H366" s="90"/>
      <c r="I366" s="90"/>
      <c r="J366" s="90"/>
      <c r="K366" s="90"/>
      <c r="L366" s="90"/>
      <c r="M366" s="90"/>
      <c r="N366" s="90"/>
      <c r="O366" s="90"/>
      <c r="P366" s="90"/>
      <c r="Q366" s="90"/>
      <c r="R366" s="90"/>
      <c r="S366" s="90"/>
      <c r="T366" s="90"/>
      <c r="U366" s="90"/>
      <c r="V366" s="90"/>
      <c r="W366" s="90"/>
      <c r="X366" s="90"/>
      <c r="Y366" s="90"/>
      <c r="Z366" s="90"/>
      <c r="AA366" s="90"/>
      <c r="AB366" s="90"/>
      <c r="AC366" s="90"/>
      <c r="AD366" s="90"/>
    </row>
    <row r="367" spans="1:36" ht="24" customHeight="1">
      <c r="A367" s="96"/>
      <c r="B367" s="90"/>
      <c r="C367" s="754" t="s">
        <v>2611</v>
      </c>
      <c r="D367" s="754"/>
      <c r="E367" s="754"/>
      <c r="F367" s="754"/>
      <c r="G367" s="754"/>
      <c r="H367" s="754"/>
      <c r="I367" s="754"/>
      <c r="J367" s="754"/>
      <c r="K367" s="754"/>
      <c r="L367" s="754"/>
      <c r="M367" s="754"/>
      <c r="N367" s="754"/>
      <c r="O367" s="754"/>
      <c r="P367" s="754"/>
      <c r="Q367" s="754"/>
      <c r="R367" s="754"/>
      <c r="S367" s="754"/>
      <c r="T367" s="754"/>
      <c r="U367" s="754"/>
      <c r="V367" s="754"/>
      <c r="W367" s="754"/>
      <c r="X367" s="754"/>
      <c r="Y367" s="754"/>
      <c r="Z367" s="754"/>
      <c r="AA367" s="754"/>
      <c r="AB367" s="754"/>
      <c r="AC367" s="754"/>
      <c r="AD367" s="754"/>
    </row>
    <row r="368" spans="1:36" ht="60" customHeight="1">
      <c r="A368" s="96"/>
      <c r="B368" s="90"/>
      <c r="C368" s="851"/>
      <c r="D368" s="851"/>
      <c r="E368" s="851"/>
      <c r="F368" s="851"/>
      <c r="G368" s="851"/>
      <c r="H368" s="851"/>
      <c r="I368" s="851"/>
      <c r="J368" s="851"/>
      <c r="K368" s="851"/>
      <c r="L368" s="851"/>
      <c r="M368" s="851"/>
      <c r="N368" s="851"/>
      <c r="O368" s="851"/>
      <c r="P368" s="851"/>
      <c r="Q368" s="851"/>
      <c r="R368" s="851"/>
      <c r="S368" s="851"/>
      <c r="T368" s="851"/>
      <c r="U368" s="851"/>
      <c r="V368" s="851"/>
      <c r="W368" s="851"/>
      <c r="X368" s="851"/>
      <c r="Y368" s="851"/>
      <c r="Z368" s="851"/>
      <c r="AA368" s="851"/>
      <c r="AB368" s="851"/>
      <c r="AC368" s="851"/>
      <c r="AD368" s="851"/>
    </row>
    <row r="369" spans="1:102" ht="15" customHeight="1">
      <c r="A369" s="96"/>
      <c r="B369" s="794" t="str">
        <f>IF(AG340&gt;0,"Favor de ingresar toda la información requerida en la pregunta y/o verifique que no tenga información en celdas sombreadas","")</f>
        <v/>
      </c>
      <c r="C369" s="794"/>
      <c r="D369" s="794"/>
      <c r="E369" s="794"/>
      <c r="F369" s="794"/>
      <c r="G369" s="794"/>
      <c r="H369" s="794"/>
      <c r="I369" s="794"/>
      <c r="J369" s="794"/>
      <c r="K369" s="794"/>
      <c r="L369" s="794"/>
      <c r="M369" s="794"/>
      <c r="N369" s="794"/>
      <c r="O369" s="794"/>
      <c r="P369" s="794"/>
      <c r="Q369" s="794"/>
      <c r="R369" s="794"/>
      <c r="S369" s="794"/>
      <c r="T369" s="794"/>
      <c r="U369" s="794"/>
      <c r="V369" s="794"/>
      <c r="W369" s="794"/>
      <c r="X369" s="794"/>
      <c r="Y369" s="794"/>
      <c r="Z369" s="794"/>
      <c r="AA369" s="794"/>
      <c r="AB369" s="794"/>
      <c r="AC369" s="794"/>
      <c r="AD369" s="794"/>
      <c r="AE369"/>
    </row>
    <row r="370" spans="1:102" ht="15" customHeight="1">
      <c r="A370" s="96"/>
      <c r="B370" s="795" t="str">
        <f>IF(AH365&gt;0,"Alerta: debido a que cuenta con registros NS, debe proporcionar una justificación en el area de comentarios al final de la pregunta","")</f>
        <v/>
      </c>
      <c r="C370" s="795"/>
      <c r="D370" s="795"/>
      <c r="E370" s="795"/>
      <c r="F370" s="795"/>
      <c r="G370" s="795"/>
      <c r="H370" s="795"/>
      <c r="I370" s="795"/>
      <c r="J370" s="795"/>
      <c r="K370" s="795"/>
      <c r="L370" s="795"/>
      <c r="M370" s="795"/>
      <c r="N370" s="795"/>
      <c r="O370" s="795"/>
      <c r="P370" s="795"/>
      <c r="Q370" s="795"/>
      <c r="R370" s="795"/>
      <c r="S370" s="795"/>
      <c r="T370" s="795"/>
      <c r="U370" s="795"/>
      <c r="V370" s="795"/>
      <c r="W370" s="795"/>
      <c r="X370" s="795"/>
      <c r="Y370" s="795"/>
      <c r="Z370" s="795"/>
      <c r="AA370" s="795"/>
      <c r="AB370" s="795"/>
      <c r="AC370" s="795"/>
      <c r="AD370" s="795"/>
      <c r="AE370"/>
    </row>
    <row r="371" spans="1:102" ht="15" customHeight="1">
      <c r="A371" s="96"/>
      <c r="B371" s="794" t="str">
        <f>IF(AJ365&gt;0,"Favor de revisar la suma y consistencia de totales y/o subtotales por filas (numéricos y NS)","")</f>
        <v/>
      </c>
      <c r="C371" s="794"/>
      <c r="D371" s="794"/>
      <c r="E371" s="794"/>
      <c r="F371" s="794"/>
      <c r="G371" s="794"/>
      <c r="H371" s="794"/>
      <c r="I371" s="794"/>
      <c r="J371" s="794"/>
      <c r="K371" s="794"/>
      <c r="L371" s="794"/>
      <c r="M371" s="794"/>
      <c r="N371" s="794"/>
      <c r="O371" s="794"/>
      <c r="P371" s="794"/>
      <c r="Q371" s="794"/>
      <c r="R371" s="794"/>
      <c r="S371" s="794"/>
      <c r="T371" s="794"/>
      <c r="U371" s="794"/>
      <c r="V371" s="794"/>
      <c r="W371" s="794"/>
      <c r="X371" s="794"/>
      <c r="Y371" s="794"/>
      <c r="Z371" s="794"/>
      <c r="AA371" s="794"/>
      <c r="AB371" s="794"/>
      <c r="AC371" s="794"/>
      <c r="AD371" s="794"/>
      <c r="AE371"/>
    </row>
    <row r="372" spans="1:102" ht="15" customHeight="1">
      <c r="A372" s="96"/>
      <c r="B372" s="794" t="str">
        <f>IF(AN341&gt;0,"Favor de revisar la instrucción 2 y verifique que se cumplan con los criterios establecidos","")</f>
        <v/>
      </c>
      <c r="C372" s="794"/>
      <c r="D372" s="794"/>
      <c r="E372" s="794"/>
      <c r="F372" s="794"/>
      <c r="G372" s="794"/>
      <c r="H372" s="794"/>
      <c r="I372" s="794"/>
      <c r="J372" s="794"/>
      <c r="K372" s="794"/>
      <c r="L372" s="794"/>
      <c r="M372" s="794"/>
      <c r="N372" s="794"/>
      <c r="O372" s="794"/>
      <c r="P372" s="794"/>
      <c r="Q372" s="794"/>
      <c r="R372" s="794"/>
      <c r="S372" s="794"/>
      <c r="T372" s="794"/>
      <c r="U372" s="794"/>
      <c r="V372" s="794"/>
      <c r="W372" s="794"/>
      <c r="X372" s="794"/>
      <c r="Y372" s="794"/>
      <c r="Z372" s="794"/>
      <c r="AA372" s="794"/>
      <c r="AB372" s="794"/>
      <c r="AC372" s="794"/>
      <c r="AD372" s="794"/>
      <c r="AE372" s="794"/>
    </row>
    <row r="373" spans="1:102" ht="15" customHeight="1">
      <c r="A373" s="96"/>
      <c r="B373" s="90"/>
      <c r="C373" s="90"/>
      <c r="D373" s="90"/>
      <c r="E373" s="90"/>
      <c r="F373" s="90"/>
      <c r="G373" s="90"/>
      <c r="H373" s="90"/>
      <c r="I373" s="90"/>
      <c r="J373" s="90"/>
      <c r="K373" s="90"/>
      <c r="L373" s="90"/>
      <c r="M373" s="90"/>
      <c r="N373" s="90"/>
      <c r="O373" s="90"/>
      <c r="P373" s="90"/>
      <c r="Q373" s="90"/>
      <c r="R373" s="90"/>
      <c r="S373" s="90"/>
      <c r="T373" s="90"/>
      <c r="U373" s="90"/>
      <c r="V373" s="90"/>
      <c r="W373" s="90"/>
      <c r="X373" s="90"/>
      <c r="Y373" s="90"/>
      <c r="Z373" s="90"/>
      <c r="AA373" s="90"/>
      <c r="AB373" s="90"/>
      <c r="AC373" s="90"/>
      <c r="AD373" s="90"/>
      <c r="AE373"/>
    </row>
    <row r="374" spans="1:102" ht="15" customHeight="1">
      <c r="A374" s="96"/>
      <c r="B374" s="90"/>
      <c r="C374" s="90"/>
      <c r="D374" s="90"/>
      <c r="E374" s="90"/>
      <c r="F374" s="90"/>
      <c r="G374" s="90"/>
      <c r="H374" s="90"/>
      <c r="I374" s="90"/>
      <c r="J374" s="90"/>
      <c r="K374" s="90"/>
      <c r="L374" s="90"/>
      <c r="M374" s="90"/>
      <c r="N374" s="90"/>
      <c r="O374" s="90"/>
      <c r="P374" s="90"/>
      <c r="Q374" s="90"/>
      <c r="R374" s="90"/>
      <c r="S374" s="90"/>
      <c r="T374" s="90"/>
      <c r="U374" s="90"/>
      <c r="V374" s="90"/>
      <c r="W374" s="90"/>
      <c r="X374" s="90"/>
      <c r="Y374" s="90"/>
      <c r="Z374" s="90"/>
      <c r="AA374" s="90"/>
      <c r="AB374" s="90"/>
      <c r="AC374" s="90"/>
      <c r="AD374" s="90"/>
      <c r="AE374"/>
    </row>
    <row r="375" spans="1:102" ht="24" customHeight="1">
      <c r="A375" s="49" t="s">
        <v>3264</v>
      </c>
      <c r="B375" s="829" t="s">
        <v>3265</v>
      </c>
      <c r="C375" s="829"/>
      <c r="D375" s="829"/>
      <c r="E375" s="829"/>
      <c r="F375" s="829"/>
      <c r="G375" s="829"/>
      <c r="H375" s="829"/>
      <c r="I375" s="829"/>
      <c r="J375" s="829"/>
      <c r="K375" s="829"/>
      <c r="L375" s="829"/>
      <c r="M375" s="829"/>
      <c r="N375" s="829"/>
      <c r="O375" s="829"/>
      <c r="P375" s="829"/>
      <c r="Q375" s="829"/>
      <c r="R375" s="829"/>
      <c r="S375" s="829"/>
      <c r="T375" s="829"/>
      <c r="U375" s="829"/>
      <c r="V375" s="829"/>
      <c r="W375" s="829"/>
      <c r="X375" s="829"/>
      <c r="Y375" s="829"/>
      <c r="Z375" s="829"/>
      <c r="AA375" s="829"/>
      <c r="AB375" s="829"/>
      <c r="AC375" s="829"/>
      <c r="AD375" s="829"/>
    </row>
    <row r="376" spans="1:102" ht="15" customHeight="1">
      <c r="A376" s="49"/>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c r="AA376" s="38"/>
      <c r="AB376" s="38"/>
      <c r="AC376" s="38"/>
      <c r="AD376" s="38"/>
    </row>
    <row r="377" spans="1:102" ht="15" customHeight="1">
      <c r="A377" s="103"/>
      <c r="B377" s="57"/>
      <c r="C377" s="86"/>
      <c r="D377" s="86"/>
      <c r="E377" s="86"/>
      <c r="F377" s="86"/>
      <c r="G377" s="86"/>
      <c r="H377" s="86"/>
      <c r="I377" s="86"/>
      <c r="J377" s="86"/>
      <c r="K377" s="86"/>
      <c r="L377" s="86"/>
      <c r="M377" s="86"/>
      <c r="N377" s="86"/>
      <c r="O377" s="86"/>
      <c r="P377" s="86"/>
      <c r="Q377" s="86"/>
      <c r="R377" s="86"/>
      <c r="S377" s="86"/>
      <c r="T377" s="86"/>
      <c r="U377" s="86"/>
      <c r="V377" s="86"/>
      <c r="W377" s="86"/>
      <c r="X377" s="86"/>
      <c r="Y377" s="86"/>
      <c r="Z377" s="86"/>
      <c r="AA377" s="875" t="s">
        <v>3205</v>
      </c>
      <c r="AB377" s="875"/>
      <c r="AC377" s="875"/>
      <c r="AD377" s="875"/>
    </row>
    <row r="378" spans="1:102" ht="15" customHeight="1">
      <c r="A378" s="103"/>
      <c r="B378" s="113"/>
      <c r="C378" s="797" t="s">
        <v>2581</v>
      </c>
      <c r="D378" s="798"/>
      <c r="E378" s="798"/>
      <c r="F378" s="798"/>
      <c r="G378" s="798"/>
      <c r="H378" s="798"/>
      <c r="I378" s="798"/>
      <c r="J378" s="739" t="s">
        <v>3266</v>
      </c>
      <c r="K378" s="740"/>
      <c r="L378" s="740"/>
      <c r="M378" s="740"/>
      <c r="N378" s="740"/>
      <c r="O378" s="740"/>
      <c r="P378" s="740"/>
      <c r="Q378" s="740"/>
      <c r="R378" s="740"/>
      <c r="S378" s="740"/>
      <c r="T378" s="740"/>
      <c r="U378" s="740"/>
      <c r="V378" s="740"/>
      <c r="W378" s="740"/>
      <c r="X378" s="740"/>
      <c r="Y378" s="740"/>
      <c r="Z378" s="740"/>
      <c r="AA378" s="740"/>
      <c r="AB378" s="740"/>
      <c r="AC378" s="740"/>
      <c r="AD378" s="741"/>
    </row>
    <row r="379" spans="1:102" ht="15" customHeight="1">
      <c r="A379" s="103"/>
      <c r="B379" s="113"/>
      <c r="C379" s="800"/>
      <c r="D379" s="801"/>
      <c r="E379" s="801"/>
      <c r="F379" s="801"/>
      <c r="G379" s="801"/>
      <c r="H379" s="801"/>
      <c r="I379" s="801"/>
      <c r="J379" s="887" t="s">
        <v>2628</v>
      </c>
      <c r="K379" s="889" t="s">
        <v>2629</v>
      </c>
      <c r="L379" s="889" t="s">
        <v>2630</v>
      </c>
      <c r="M379" s="841" t="s">
        <v>3267</v>
      </c>
      <c r="N379" s="950"/>
      <c r="O379" s="842"/>
      <c r="P379" s="733" t="s">
        <v>3268</v>
      </c>
      <c r="Q379" s="734"/>
      <c r="R379" s="734"/>
      <c r="S379" s="734"/>
      <c r="T379" s="734"/>
      <c r="U379" s="734"/>
      <c r="V379" s="734"/>
      <c r="W379" s="734"/>
      <c r="X379" s="734"/>
      <c r="Y379" s="734"/>
      <c r="Z379" s="734"/>
      <c r="AA379" s="734"/>
      <c r="AB379" s="734"/>
      <c r="AC379" s="734"/>
      <c r="AD379" s="735"/>
    </row>
    <row r="380" spans="1:102" ht="15" customHeight="1">
      <c r="A380" s="103"/>
      <c r="B380" s="113"/>
      <c r="C380" s="800"/>
      <c r="D380" s="801"/>
      <c r="E380" s="801"/>
      <c r="F380" s="801"/>
      <c r="G380" s="801"/>
      <c r="H380" s="801"/>
      <c r="I380" s="801"/>
      <c r="J380" s="958"/>
      <c r="K380" s="959"/>
      <c r="L380" s="959"/>
      <c r="M380" s="843"/>
      <c r="N380" s="951"/>
      <c r="O380" s="844"/>
      <c r="P380" s="733" t="s">
        <v>3269</v>
      </c>
      <c r="Q380" s="734"/>
      <c r="R380" s="734"/>
      <c r="S380" s="734"/>
      <c r="T380" s="734"/>
      <c r="U380" s="734"/>
      <c r="V380" s="734"/>
      <c r="W380" s="734"/>
      <c r="X380" s="734"/>
      <c r="Y380" s="734"/>
      <c r="Z380" s="734"/>
      <c r="AA380" s="734"/>
      <c r="AB380" s="734"/>
      <c r="AC380" s="734"/>
      <c r="AD380" s="735"/>
    </row>
    <row r="381" spans="1:102" ht="84" customHeight="1">
      <c r="A381" s="103"/>
      <c r="C381" s="800"/>
      <c r="D381" s="801"/>
      <c r="E381" s="801"/>
      <c r="F381" s="801"/>
      <c r="G381" s="801"/>
      <c r="H381" s="801"/>
      <c r="I381" s="802"/>
      <c r="J381" s="958"/>
      <c r="K381" s="959"/>
      <c r="L381" s="959"/>
      <c r="M381" s="845"/>
      <c r="N381" s="952"/>
      <c r="O381" s="846"/>
      <c r="P381" s="859" t="s">
        <v>3270</v>
      </c>
      <c r="Q381" s="859"/>
      <c r="R381" s="860"/>
      <c r="S381" s="858" t="s">
        <v>3271</v>
      </c>
      <c r="T381" s="859"/>
      <c r="U381" s="860"/>
      <c r="V381" s="858" t="s">
        <v>3272</v>
      </c>
      <c r="W381" s="859"/>
      <c r="X381" s="860"/>
      <c r="Y381" s="858" t="s">
        <v>3273</v>
      </c>
      <c r="Z381" s="859"/>
      <c r="AA381" s="860"/>
      <c r="AB381" s="858" t="s">
        <v>3274</v>
      </c>
      <c r="AC381" s="859"/>
      <c r="AD381" s="860"/>
    </row>
    <row r="382" spans="1:102" ht="48" customHeight="1">
      <c r="A382" s="103"/>
      <c r="C382" s="803"/>
      <c r="D382" s="804"/>
      <c r="E382" s="804"/>
      <c r="F382" s="804"/>
      <c r="G382" s="804"/>
      <c r="H382" s="804"/>
      <c r="I382" s="805"/>
      <c r="J382" s="888"/>
      <c r="K382" s="890"/>
      <c r="L382" s="890"/>
      <c r="M382" s="127" t="s">
        <v>2635</v>
      </c>
      <c r="N382" s="128" t="s">
        <v>2629</v>
      </c>
      <c r="O382" s="128" t="s">
        <v>2630</v>
      </c>
      <c r="P382" s="127" t="s">
        <v>2635</v>
      </c>
      <c r="Q382" s="128" t="s">
        <v>2629</v>
      </c>
      <c r="R382" s="128" t="s">
        <v>2630</v>
      </c>
      <c r="S382" s="127" t="s">
        <v>2635</v>
      </c>
      <c r="T382" s="128" t="s">
        <v>2629</v>
      </c>
      <c r="U382" s="128" t="s">
        <v>2630</v>
      </c>
      <c r="V382" s="127" t="s">
        <v>2635</v>
      </c>
      <c r="W382" s="128" t="s">
        <v>2629</v>
      </c>
      <c r="X382" s="128" t="s">
        <v>2630</v>
      </c>
      <c r="Y382" s="127" t="s">
        <v>2635</v>
      </c>
      <c r="Z382" s="128" t="s">
        <v>2629</v>
      </c>
      <c r="AA382" s="128" t="s">
        <v>2630</v>
      </c>
      <c r="AB382" s="127" t="s">
        <v>2635</v>
      </c>
      <c r="AC382" s="128" t="s">
        <v>2629</v>
      </c>
      <c r="AD382" s="128" t="s">
        <v>2630</v>
      </c>
      <c r="AG382" s="354" t="s">
        <v>2586</v>
      </c>
      <c r="AH382" s="282" t="s">
        <v>2637</v>
      </c>
      <c r="AI382" s="280" t="s">
        <v>2638</v>
      </c>
      <c r="AJ382" s="281" t="s">
        <v>2639</v>
      </c>
      <c r="AK382" s="282" t="s">
        <v>2640</v>
      </c>
      <c r="AL382" s="280" t="s">
        <v>2641</v>
      </c>
      <c r="AM382" s="281" t="s">
        <v>2642</v>
      </c>
      <c r="AN382" s="282" t="s">
        <v>2643</v>
      </c>
      <c r="AO382" s="280" t="s">
        <v>2644</v>
      </c>
      <c r="AP382" s="281" t="s">
        <v>2645</v>
      </c>
      <c r="AQ382" s="282" t="s">
        <v>2646</v>
      </c>
      <c r="AR382" s="280" t="s">
        <v>2647</v>
      </c>
      <c r="AS382" s="281" t="s">
        <v>2648</v>
      </c>
      <c r="AT382" s="282" t="s">
        <v>2756</v>
      </c>
      <c r="AU382" s="280" t="s">
        <v>2757</v>
      </c>
      <c r="AV382" s="281" t="s">
        <v>2758</v>
      </c>
      <c r="AW382" s="282" t="s">
        <v>2759</v>
      </c>
      <c r="AX382" s="280" t="s">
        <v>2760</v>
      </c>
      <c r="AY382" s="281" t="s">
        <v>2761</v>
      </c>
      <c r="AZ382" s="282" t="s">
        <v>2762</v>
      </c>
      <c r="BA382" s="280" t="s">
        <v>2763</v>
      </c>
      <c r="BB382" s="281" t="s">
        <v>2764</v>
      </c>
      <c r="BC382" s="282" t="s">
        <v>2765</v>
      </c>
      <c r="BD382" s="280" t="s">
        <v>2766</v>
      </c>
      <c r="BE382" s="281" t="s">
        <v>2767</v>
      </c>
      <c r="BF382" s="282" t="s">
        <v>2768</v>
      </c>
      <c r="BG382" s="280" t="s">
        <v>2769</v>
      </c>
      <c r="BH382" s="281" t="s">
        <v>2770</v>
      </c>
      <c r="BI382" s="282" t="s">
        <v>2771</v>
      </c>
      <c r="BJ382" s="280" t="s">
        <v>2772</v>
      </c>
      <c r="BK382" s="281" t="s">
        <v>2773</v>
      </c>
      <c r="BL382" s="282" t="s">
        <v>2774</v>
      </c>
      <c r="BM382" s="280" t="s">
        <v>2775</v>
      </c>
      <c r="BN382" s="281" t="s">
        <v>2776</v>
      </c>
      <c r="BO382" s="282" t="s">
        <v>3212</v>
      </c>
      <c r="BP382" s="280" t="s">
        <v>3213</v>
      </c>
      <c r="BQ382" s="281" t="s">
        <v>3214</v>
      </c>
      <c r="BR382" s="282" t="s">
        <v>3215</v>
      </c>
      <c r="BS382" s="280" t="s">
        <v>3216</v>
      </c>
      <c r="BT382" s="281" t="s">
        <v>3217</v>
      </c>
      <c r="BU382" s="282" t="s">
        <v>3218</v>
      </c>
      <c r="BV382" s="280" t="s">
        <v>3219</v>
      </c>
      <c r="BW382" s="281" t="s">
        <v>3220</v>
      </c>
      <c r="BX382" s="282" t="s">
        <v>3221</v>
      </c>
      <c r="BY382" s="280" t="s">
        <v>3222</v>
      </c>
      <c r="BZ382" s="281" t="s">
        <v>3223</v>
      </c>
      <c r="CA382" s="282" t="s">
        <v>3224</v>
      </c>
      <c r="CB382" s="280" t="s">
        <v>3225</v>
      </c>
      <c r="CC382" s="281" t="s">
        <v>3226</v>
      </c>
      <c r="CD382" s="282" t="s">
        <v>3227</v>
      </c>
      <c r="CE382" s="280" t="s">
        <v>3228</v>
      </c>
      <c r="CF382" s="281" t="s">
        <v>3229</v>
      </c>
      <c r="CG382" s="282" t="s">
        <v>3230</v>
      </c>
      <c r="CH382" s="280" t="s">
        <v>3231</v>
      </c>
      <c r="CI382" s="281" t="s">
        <v>3232</v>
      </c>
      <c r="CJ382" s="282" t="s">
        <v>3275</v>
      </c>
      <c r="CK382" s="280" t="s">
        <v>3276</v>
      </c>
      <c r="CL382" s="281" t="s">
        <v>3277</v>
      </c>
      <c r="CM382" s="282" t="s">
        <v>3278</v>
      </c>
      <c r="CN382" s="280" t="s">
        <v>3279</v>
      </c>
      <c r="CO382" s="281" t="s">
        <v>3280</v>
      </c>
      <c r="CP382" s="282" t="s">
        <v>3281</v>
      </c>
      <c r="CQ382" s="280" t="s">
        <v>3282</v>
      </c>
      <c r="CR382" s="281" t="s">
        <v>3283</v>
      </c>
      <c r="CS382" s="282" t="s">
        <v>3284</v>
      </c>
      <c r="CT382" s="280" t="s">
        <v>3285</v>
      </c>
      <c r="CU382" s="281" t="s">
        <v>3286</v>
      </c>
      <c r="CV382" s="282" t="s">
        <v>3287</v>
      </c>
      <c r="CW382" s="280" t="s">
        <v>3288</v>
      </c>
      <c r="CX382" s="281" t="s">
        <v>3289</v>
      </c>
    </row>
    <row r="383" spans="1:102" ht="15" customHeight="1">
      <c r="A383" s="49"/>
      <c r="B383" s="90"/>
      <c r="C383" s="97" t="s">
        <v>2516</v>
      </c>
      <c r="D383" s="813" t="str">
        <f>IF(CNSIPEE_2024_M2_Secc1!D42="","",CNSIPEE_2024_M2_Secc1!D42)</f>
        <v/>
      </c>
      <c r="E383" s="814"/>
      <c r="F383" s="814"/>
      <c r="G383" s="814"/>
      <c r="H383" s="814"/>
      <c r="I383" s="815"/>
      <c r="J383" s="100"/>
      <c r="K383" s="100"/>
      <c r="L383" s="100"/>
      <c r="M383" s="100"/>
      <c r="N383" s="100"/>
      <c r="O383" s="100"/>
      <c r="P383" s="100"/>
      <c r="Q383" s="100"/>
      <c r="R383" s="100"/>
      <c r="S383" s="100"/>
      <c r="T383" s="100"/>
      <c r="U383" s="100"/>
      <c r="V383" s="100"/>
      <c r="W383" s="100"/>
      <c r="X383" s="100"/>
      <c r="Y383" s="100"/>
      <c r="Z383" s="100"/>
      <c r="AA383" s="100"/>
      <c r="AB383" s="100"/>
      <c r="AC383" s="100"/>
      <c r="AD383" s="100"/>
      <c r="AG383" s="326">
        <f>IF(AND(COUNTBLANK(D383)=0,COUNTA(J383:AD383,G399:AD399,G415:AD415)=69),0,IF(AND(COUNTBLANK(D383)=1,COUNTA(J383:AD383,G399:AD399,G415:AD415)=0),0,1))</f>
        <v>0</v>
      </c>
      <c r="AH383" s="283">
        <f>COUNTIF(K383:L383,"NS")</f>
        <v>0</v>
      </c>
      <c r="AI383" s="283">
        <f>SUM(K383:L383)</f>
        <v>0</v>
      </c>
      <c r="AJ383" s="283">
        <f>IF(COUNTIF(J383:L383,"NA")=3,0,IF(COUNTA(J383:L383)=0,0,IF(OR(AND(J383=0,AH383&gt;0),AND(J383="ns",AI383&gt;0),AND(J383="ns",AH383=0,AI383=0)),1,IF(OR(AND(J383&gt;0,AH383=2),AND(J383="ns",AH383=2),AND(J383="ns",AI383=0,AH383&gt;0),J383=AI383),0,1))))</f>
        <v>0</v>
      </c>
      <c r="AK383" s="283">
        <f>COUNTIF(N383:O383,"NS")</f>
        <v>0</v>
      </c>
      <c r="AL383" s="283">
        <f>SUM(N383:O383)</f>
        <v>0</v>
      </c>
      <c r="AM383" s="283">
        <f>IF(COUNTIF(M383:O383,"NA")=3,0,IF(COUNTA(M383:O383)=0,0,IF(OR(AND(M383=0,AK383&gt;0),AND(M383="ns",AL383&gt;0),AND(M383="ns",AK383=0,AL383=0)),1,IF(OR(AND(M383&gt;0,AK383=2),AND(M383="ns",AK383=2),AND(M383="ns",AL383=0,AK383&gt;0),M383=AL383),0,1))))</f>
        <v>0</v>
      </c>
      <c r="AN383" s="283">
        <f>COUNTIF(Q383:R383,"NS")</f>
        <v>0</v>
      </c>
      <c r="AO383" s="283">
        <f>SUM(Q383:R383)</f>
        <v>0</v>
      </c>
      <c r="AP383" s="283">
        <f>IF(COUNTIF(P383:R383,"NA")=3,0,IF(COUNTA(P383:R383)=0,0,IF(OR(AND(P383=0,AN383&gt;0),AND(P383="ns",AO383&gt;0),AND(P383="ns",AN383=0,AO383=0)),1,IF(OR(AND(P383&gt;0,AN383=2),AND(P383="ns",AN383=2),AND(P383="ns",AO383=0,AN383&gt;0),P383=AO383),0,1))))</f>
        <v>0</v>
      </c>
      <c r="AQ383" s="283">
        <f>COUNTIF(T383:U383,"NS")</f>
        <v>0</v>
      </c>
      <c r="AR383" s="283">
        <f>SUM(T383:U383)</f>
        <v>0</v>
      </c>
      <c r="AS383" s="283">
        <f>IF(COUNTIF(S383:U383,"NA")=3,0,IF(COUNTA(S383:U383)=0,0,IF(OR(AND(S383=0,AQ383&gt;0),AND(S383="ns",AR383&gt;0),AND(S383="ns",AQ383=0,AR383=0)),1,IF(OR(AND(S383&gt;0,AQ383=2),AND(S383="ns",AQ383=2),AND(S383="ns",AR383=0,AQ383&gt;0),S383=AR383),0,1))))</f>
        <v>0</v>
      </c>
      <c r="AT383" s="283">
        <f>COUNTIF(W383:X383,"NS")</f>
        <v>0</v>
      </c>
      <c r="AU383" s="283">
        <f>SUM(W383:X383)</f>
        <v>0</v>
      </c>
      <c r="AV383" s="283">
        <f>IF(COUNTIF(V383:X383,"NA")=3,0,IF(COUNTA(V383:X383)=0,0,IF(OR(AND(V383=0,AT383&gt;0),AND(V383="ns",AU383&gt;0),AND(V383="ns",AT383=0,AU383=0)),1,IF(OR(AND(V383&gt;0,AT383=2),AND(V383="ns",AT383=2),AND(V383="ns",AU383=0,AT383&gt;0),V383=AU383),0,1))))</f>
        <v>0</v>
      </c>
      <c r="AW383" s="283">
        <f>COUNTIF(Z383:AA383,"NS")</f>
        <v>0</v>
      </c>
      <c r="AX383" s="283">
        <f>SUM(Z383:AA383)</f>
        <v>0</v>
      </c>
      <c r="AY383" s="283">
        <f>IF(COUNTIF(Y383:AA383,"NA")=3,0,IF(COUNTA(Y383:AA383)=0,0,IF(OR(AND(Y383=0,AW383&gt;0),AND(Y383="ns",AX383&gt;0),AND(Y383="ns",AW383=0,AX383=0)),1,IF(OR(AND(Y383&gt;0,AW383=2),AND(Y383="ns",AW383=2),AND(Y383="ns",AX383=0,AW383&gt;0),Y383=AX383),0,1))))</f>
        <v>0</v>
      </c>
      <c r="AZ383" s="283">
        <f>COUNTIF(AC383:AD383,"NS")</f>
        <v>0</v>
      </c>
      <c r="BA383" s="283">
        <f>SUM(AC383:AD383)</f>
        <v>0</v>
      </c>
      <c r="BB383" s="283">
        <f>IF(COUNTIF(AB383:AD383,"NA")=3,0,IF(COUNTA(AB383:AD383)=0,0,IF(OR(AND(AB383=0,AZ383&gt;0),AND(AB383="ns",BA383&gt;0),AND(AB383="ns",AZ383=0,BA383=0)),1,IF(OR(AND(AB383&gt;0,AZ383=2),AND(AB383="ns",AZ383=2),AND(AB383="ns",BA383=0,AZ383&gt;0),AB383=BA383),0,1))))</f>
        <v>0</v>
      </c>
      <c r="BC383" s="283">
        <f>COUNTIF(H399:I399,"NS")</f>
        <v>0</v>
      </c>
      <c r="BD383" s="283">
        <f>SUM(H399:I399)</f>
        <v>0</v>
      </c>
      <c r="BE383" s="283">
        <f>IF(COUNTIF(G399:I399,"NA")=3,0,IF(COUNTA(G399:I399)=0,0,IF(OR(AND(G399=0,BC383&gt;0),AND(G399="ns",BD383&gt;0),AND(G399="ns",BC383=0,BD383=0)),1,IF(OR(AND(G399&gt;0,BC383=2),AND(G399="ns",BC383=2),AND(G399="ns",BD383=0,BC383&gt;0),G399=BD383),0,1))))</f>
        <v>0</v>
      </c>
      <c r="BF383" s="283">
        <f>COUNTIF(K399:L399,"NS")</f>
        <v>0</v>
      </c>
      <c r="BG383" s="283">
        <f>SUM(K399:L399)</f>
        <v>0</v>
      </c>
      <c r="BH383" s="283">
        <f>IF(COUNTIF(J399:L399,"NA")=3,0,IF(COUNTA(J399:L399)=0,0,IF(OR(AND(J399=0,BF383&gt;0),AND(J399="ns",BG383&gt;0),AND(J399="ns",BF383=0,BG383=0)),1,IF(OR(AND(J399&gt;0,BF383=2),AND(J399="ns",BF383=2),AND(J399="ns",BG383=0,BF383&gt;0),J399=BG383),0,1))))</f>
        <v>0</v>
      </c>
      <c r="BI383" s="283">
        <f>COUNTIF(N399:O399,"NS")</f>
        <v>0</v>
      </c>
      <c r="BJ383" s="283">
        <f>SUM(N399:O399)</f>
        <v>0</v>
      </c>
      <c r="BK383" s="283">
        <f>IF(COUNTIF(M399:O399,"NA")=3,0,IF(COUNTA(M399:O399)=0,0,IF(OR(AND(M399=0,BI383&gt;0),AND(M399="ns",BJ383&gt;0),AND(M399="ns",BI383=0,BJ383=0)),1,IF(OR(AND(M399&gt;0,BI383=2),AND(M399="ns",BI383=2),AND(M399="ns",BJ383=0,BI383&gt;0),M399=BJ383),0,1))))</f>
        <v>0</v>
      </c>
      <c r="BL383" s="283">
        <f>COUNTIF(Q399:R399,"NS")</f>
        <v>0</v>
      </c>
      <c r="BM383" s="283">
        <f>SUM(Q399:R399)</f>
        <v>0</v>
      </c>
      <c r="BN383" s="283">
        <f>IF(COUNTIF(P399:R399,"NA")=3,0,IF(COUNTA(P399:R399)=0,0,IF(OR(AND(P399=0,BL383&gt;0),AND(P399="ns",BM383&gt;0),AND(P399="ns",BL383=0,BM383=0)),1,IF(OR(AND(P399&gt;0,BL383=2),AND(P399="ns",BL383=2),AND(P399="ns",BM383=0,BL383&gt;0),P399=BM383),0,1))))</f>
        <v>0</v>
      </c>
      <c r="BO383" s="283">
        <f>COUNTIF(T399:U399,"NS")</f>
        <v>0</v>
      </c>
      <c r="BP383" s="283">
        <f>SUM(T399:U399)</f>
        <v>0</v>
      </c>
      <c r="BQ383" s="283">
        <f>IF(COUNTIF(S399:U399,"NA")=3,0,IF(COUNTA(S399:U399)=0,0,IF(OR(AND(S399=0,BO383&gt;0),AND(S399="ns",BP383&gt;0),AND(S399="ns",BO383=0,BP383=0)),1,IF(OR(AND(S399&gt;0,BO383=2),AND(S399="ns",BO383=2),AND(S399="ns",BP383=0,BO383&gt;0),S399=BP383),0,1))))</f>
        <v>0</v>
      </c>
      <c r="BR383" s="283">
        <f>COUNTIF(W399:X399,"NS")</f>
        <v>0</v>
      </c>
      <c r="BS383" s="283">
        <f>SUM(W399:X399)</f>
        <v>0</v>
      </c>
      <c r="BT383" s="283">
        <f>IF(COUNTIF(V399:X399,"NA")=3,0,IF(COUNTA(V399:X399)=0,0,IF(OR(AND(V399=0,BR383&gt;0),AND(V399="ns",BS383&gt;0),AND(V399="ns",BR383=0,BS383=0)),1,IF(OR(AND(V399&gt;0,BR383=2),AND(V399="ns",BR383=2),AND(V399="ns",BS383=0,BR383&gt;0),V399=BS383),0,1))))</f>
        <v>0</v>
      </c>
      <c r="BU383" s="283">
        <f>COUNTIF(Z399:AA399,"NS")</f>
        <v>0</v>
      </c>
      <c r="BV383" s="283">
        <f>SUM(Z399:AA399)</f>
        <v>0</v>
      </c>
      <c r="BW383" s="283">
        <f>IF(COUNTIF(Y399:AA399,"NA")=3,0,IF(COUNTA(Y399:AA399)=0,0,IF(OR(AND(Y399=0,BU383&gt;0),AND(Y399="ns",BV383&gt;0),AND(Y399="ns",BU383=0,BV383=0)),1,IF(OR(AND(Y399&gt;0,BU383=2),AND(Y399="ns",BU383=2),AND(Y399="ns",BV383=0,BU383&gt;0),Y399=BV383),0,1))))</f>
        <v>0</v>
      </c>
      <c r="BX383" s="283">
        <f>COUNTIF(AC399:AD399,"NS")</f>
        <v>0</v>
      </c>
      <c r="BY383" s="283">
        <f>SUM(AC399:AD399)</f>
        <v>0</v>
      </c>
      <c r="BZ383" s="283">
        <f>IF(COUNTIF(AB399:AD399,"NA")=3,0,IF(COUNTA(AB399:AD399)=0,0,IF(OR(AND(AB399=0,BX383&gt;0),AND(AB399="ns",BY383&gt;0),AND(AB399="ns",BX383=0,BY383=0)),1,IF(OR(AND(AB399&gt;0,BX383=2),AND(AB399="ns",BX383=2),AND(AB399="ns",BY383=0,BX383&gt;0),AB399=BY383),0,1))))</f>
        <v>0</v>
      </c>
      <c r="CA383" s="283">
        <f>COUNTIF(H415:I415,"NS")</f>
        <v>0</v>
      </c>
      <c r="CB383" s="283">
        <f>SUM(H415:I415)</f>
        <v>0</v>
      </c>
      <c r="CC383" s="283">
        <f>IF(COUNTIF(G415:I415,"NA")=3,0,IF(COUNTA(G415:I415)=0,0,IF(OR(AND(G415=0,CA383&gt;0),AND(G415="ns",CB383&gt;0),AND(G415="ns",CA383=0,CB383=0)),1,IF(OR(AND(G415&gt;0,CA383=2),AND(G415="ns",CA383=2),AND(G415="ns",CB383=0,CA383&gt;0),G415=CB383),0,1))))</f>
        <v>0</v>
      </c>
      <c r="CD383" s="283">
        <f>COUNTIF(K415:L415,"NS")</f>
        <v>0</v>
      </c>
      <c r="CE383" s="283">
        <f>SUM(K415:L415)</f>
        <v>0</v>
      </c>
      <c r="CF383" s="283">
        <f>IF(COUNTIF(J415:L415,"NA")=3,0,IF(COUNTA(J415:L415)=0,0,IF(OR(AND(J415=0,CD383&gt;0),AND(J415="ns",CE383&gt;0),AND(J415="ns",CD383=0,CE383=0)),1,IF(OR(AND(J415&gt;0,CD383=2),AND(J415="ns",CD383=2),AND(J415="ns",CE383=0,CD383&gt;0),J415=CE383),0,1))))</f>
        <v>0</v>
      </c>
      <c r="CG383" s="283">
        <f>COUNTIF(N415:O415,"NS")</f>
        <v>0</v>
      </c>
      <c r="CH383" s="283">
        <f>SUM(N415:O415)</f>
        <v>0</v>
      </c>
      <c r="CI383" s="283">
        <f>IF(COUNTIF(M415:O415,"NA")=3,0,IF(COUNTA(M415:O415)=0,0,IF(OR(AND(M415=0,CG383&gt;0),AND(M415="ns",CH383&gt;0),AND(M415="ns",CG383=0,CH383=0)),1,IF(OR(AND(M415&gt;0,CG383=2),AND(M415="ns",CG383=2),AND(M415="ns",CH383=0,CG383&gt;0),M415=CH383),0,1))))</f>
        <v>0</v>
      </c>
      <c r="CJ383" s="283">
        <f>COUNTIF(Q415:R415,"NS")</f>
        <v>0</v>
      </c>
      <c r="CK383" s="283">
        <f>SUM(Q415:R415)</f>
        <v>0</v>
      </c>
      <c r="CL383" s="283">
        <f>IF(COUNTIF(P415:R415,"NA")=3,0,IF(COUNTA(P415:R415)=0,0,IF(OR(AND(P415=0,CJ383&gt;0),AND(P415="ns",CK383&gt;0),AND(P415="ns",CJ383=0,CK383=0)),1,IF(OR(AND(P415&gt;0,CJ383=2),AND(P415="ns",CJ383=2),AND(P415="ns",CK383=0,CJ383&gt;0),P415=CK383),0,1))))</f>
        <v>0</v>
      </c>
      <c r="CM383" s="283">
        <f>COUNTIF(T415:U415,"NS")</f>
        <v>0</v>
      </c>
      <c r="CN383" s="283">
        <f>SUM(T415:U415)</f>
        <v>0</v>
      </c>
      <c r="CO383" s="283">
        <f>IF(COUNTIF(S415:U415,"NA")=3,0,IF(COUNTA(S415:U415)=0,0,IF(OR(AND(S415=0,CM383&gt;0),AND(S415="ns",CN383&gt;0),AND(S415="ns",CM383=0,CN383=0)),1,IF(OR(AND(S415&gt;0,CM383=2),AND(S415="ns",CM383=2),AND(S415="ns",CN383=0,CM383&gt;0),S415=CN383),0,1))))</f>
        <v>0</v>
      </c>
      <c r="CP383" s="283">
        <f>COUNTIF(W415:X415,"NS")</f>
        <v>0</v>
      </c>
      <c r="CQ383" s="283">
        <f>SUM(W415:X415)</f>
        <v>0</v>
      </c>
      <c r="CR383" s="283">
        <f>IF(COUNTIF(V415:X415,"NA")=3,0,IF(COUNTA(V415:X415)=0,0,IF(OR(AND(V415=0,CP383&gt;0),AND(V415="ns",CQ383&gt;0),AND(V415="ns",CP383=0,CQ383=0)),1,IF(OR(AND(V415&gt;0,CP383=2),AND(V415="ns",CP383=2),AND(V415="ns",CQ383=0,CP383&gt;0),V415=CQ383),0,1))))</f>
        <v>0</v>
      </c>
      <c r="CS383" s="283">
        <f>COUNTIF(Z415:AA415,"NS")</f>
        <v>0</v>
      </c>
      <c r="CT383" s="283">
        <f>SUM(Z415:AA415)</f>
        <v>0</v>
      </c>
      <c r="CU383" s="283">
        <f>IF(COUNTIF(Y415:AA415,"NA")=3,0,IF(COUNTA(Y415:AA415)=0,0,IF(OR(AND(Y415=0,CS383&gt;0),AND(Y415="ns",CT383&gt;0),AND(Y415="ns",CS383=0,CT383=0)),1,IF(OR(AND(Y415&gt;0,CS383=2),AND(Y415="ns",CS383=2),AND(Y415="ns",CT383=0,CS383&gt;0),Y415=CT383),0,1))))</f>
        <v>0</v>
      </c>
      <c r="CV383" s="283">
        <f>COUNTIF(AC415:AD415,"NS")</f>
        <v>0</v>
      </c>
      <c r="CW383" s="283">
        <f>SUM(AC415:AD415)</f>
        <v>0</v>
      </c>
      <c r="CX383" s="283">
        <f>IF(COUNTIF(AB415:AD415,"NA")=3,0,IF(COUNTA(AB415:AD415)=0,0,IF(OR(AND(AB415=0,CV383&gt;0),AND(AB415="ns",CW383&gt;0),AND(AB415="ns",CV383=0,CW383=0)),1,IF(OR(AND(AB415&gt;0,CV383=2),AND(AB415="ns",CV383=2),AND(AB415="ns",CW383=0,CV383&gt;0),AB415=CW383),0,1))))</f>
        <v>0</v>
      </c>
    </row>
    <row r="384" spans="1:102" ht="15" customHeight="1">
      <c r="A384" s="49"/>
      <c r="B384" s="90"/>
      <c r="C384" s="143" t="s">
        <v>2517</v>
      </c>
      <c r="D384" s="813" t="str">
        <f>IF(CNSIPEE_2024_M2_Secc1!D43="","",CNSIPEE_2024_M2_Secc1!D43)</f>
        <v/>
      </c>
      <c r="E384" s="814"/>
      <c r="F384" s="814"/>
      <c r="G384" s="814"/>
      <c r="H384" s="814"/>
      <c r="I384" s="815"/>
      <c r="J384" s="100"/>
      <c r="K384" s="100"/>
      <c r="L384" s="100"/>
      <c r="M384" s="100"/>
      <c r="N384" s="100"/>
      <c r="O384" s="100"/>
      <c r="P384" s="100"/>
      <c r="Q384" s="100"/>
      <c r="R384" s="100"/>
      <c r="S384" s="100"/>
      <c r="T384" s="100"/>
      <c r="U384" s="100"/>
      <c r="V384" s="100"/>
      <c r="W384" s="100"/>
      <c r="X384" s="100"/>
      <c r="Y384" s="100"/>
      <c r="Z384" s="100"/>
      <c r="AA384" s="100"/>
      <c r="AB384" s="100"/>
      <c r="AC384" s="100"/>
      <c r="AD384" s="100"/>
      <c r="AG384" s="326">
        <f t="shared" ref="AG384:AG390" si="300">IF(AND(COUNTBLANK(D384)=0,COUNTA(J384:AD384,G400:AD400,G416:AD416)=69),0,IF(AND(COUNTBLANK(D384)=1,COUNTA(J384:AD384,G400:AD400,G416:AD416)=0),0,1))</f>
        <v>0</v>
      </c>
      <c r="AH384" s="283">
        <f t="shared" ref="AH384:AH390" si="301">COUNTIF(K384:L384,"NS")</f>
        <v>0</v>
      </c>
      <c r="AI384" s="283">
        <f t="shared" ref="AI384:AI390" si="302">SUM(K384:L384)</f>
        <v>0</v>
      </c>
      <c r="AJ384" s="283">
        <f t="shared" ref="AJ384:AJ390" si="303">IF(COUNTIF(J384:L384,"NA")=3,0,IF(COUNTA(J384:L384)=0,0,IF(OR(AND(J384=0,AH384&gt;0),AND(J384="ns",AI384&gt;0),AND(J384="ns",AH384=0,AI384=0)),1,IF(OR(AND(J384&gt;0,AH384=2),AND(J384="ns",AH384=2),AND(J384="ns",AI384=0,AH384&gt;0),J384=AI384),0,1))))</f>
        <v>0</v>
      </c>
      <c r="AK384" s="283">
        <f t="shared" ref="AK384:AK390" si="304">COUNTIF(N384:O384,"NS")</f>
        <v>0</v>
      </c>
      <c r="AL384" s="283">
        <f t="shared" ref="AL384:AL390" si="305">SUM(N384:O384)</f>
        <v>0</v>
      </c>
      <c r="AM384" s="283">
        <f t="shared" ref="AM384:AM390" si="306">IF(COUNTIF(M384:O384,"NA")=3,0,IF(COUNTA(M384:O384)=0,0,IF(OR(AND(M384=0,AK384&gt;0),AND(M384="ns",AL384&gt;0),AND(M384="ns",AK384=0,AL384=0)),1,IF(OR(AND(M384&gt;0,AK384=2),AND(M384="ns",AK384=2),AND(M384="ns",AL384=0,AK384&gt;0),M384=AL384),0,1))))</f>
        <v>0</v>
      </c>
      <c r="AN384" s="283">
        <f t="shared" ref="AN384:AN390" si="307">COUNTIF(Q384:R384,"NS")</f>
        <v>0</v>
      </c>
      <c r="AO384" s="283">
        <f t="shared" ref="AO384:AO390" si="308">SUM(Q384:R384)</f>
        <v>0</v>
      </c>
      <c r="AP384" s="283">
        <f t="shared" ref="AP384:AP390" si="309">IF(COUNTIF(P384:R384,"NA")=3,0,IF(COUNTA(P384:R384)=0,0,IF(OR(AND(P384=0,AN384&gt;0),AND(P384="ns",AO384&gt;0),AND(P384="ns",AN384=0,AO384=0)),1,IF(OR(AND(P384&gt;0,AN384=2),AND(P384="ns",AN384=2),AND(P384="ns",AO384=0,AN384&gt;0),P384=AO384),0,1))))</f>
        <v>0</v>
      </c>
      <c r="AQ384" s="283">
        <f t="shared" ref="AQ384:AQ390" si="310">COUNTIF(T384:U384,"NS")</f>
        <v>0</v>
      </c>
      <c r="AR384" s="283">
        <f t="shared" ref="AR384:AR390" si="311">SUM(T384:U384)</f>
        <v>0</v>
      </c>
      <c r="AS384" s="283">
        <f t="shared" ref="AS384:AS390" si="312">IF(COUNTIF(S384:U384,"NA")=3,0,IF(COUNTA(S384:U384)=0,0,IF(OR(AND(S384=0,AQ384&gt;0),AND(S384="ns",AR384&gt;0),AND(S384="ns",AQ384=0,AR384=0)),1,IF(OR(AND(S384&gt;0,AQ384=2),AND(S384="ns",AQ384=2),AND(S384="ns",AR384=0,AQ384&gt;0),S384=AR384),0,1))))</f>
        <v>0</v>
      </c>
      <c r="AT384" s="283">
        <f t="shared" ref="AT384:AT390" si="313">COUNTIF(W384:X384,"NS")</f>
        <v>0</v>
      </c>
      <c r="AU384" s="283">
        <f t="shared" ref="AU384:AU390" si="314">SUM(W384:X384)</f>
        <v>0</v>
      </c>
      <c r="AV384" s="283">
        <f t="shared" ref="AV384:AV390" si="315">IF(COUNTIF(V384:X384,"NA")=3,0,IF(COUNTA(V384:X384)=0,0,IF(OR(AND(V384=0,AT384&gt;0),AND(V384="ns",AU384&gt;0),AND(V384="ns",AT384=0,AU384=0)),1,IF(OR(AND(V384&gt;0,AT384=2),AND(V384="ns",AT384=2),AND(V384="ns",AU384=0,AT384&gt;0),V384=AU384),0,1))))</f>
        <v>0</v>
      </c>
      <c r="AW384" s="283">
        <f t="shared" ref="AW384:AW390" si="316">COUNTIF(Z384:AA384,"NS")</f>
        <v>0</v>
      </c>
      <c r="AX384" s="283">
        <f t="shared" ref="AX384:AX390" si="317">SUM(Z384:AA384)</f>
        <v>0</v>
      </c>
      <c r="AY384" s="283">
        <f t="shared" ref="AY384:AY390" si="318">IF(COUNTIF(Y384:AA384,"NA")=3,0,IF(COUNTA(Y384:AA384)=0,0,IF(OR(AND(Y384=0,AW384&gt;0),AND(Y384="ns",AX384&gt;0),AND(Y384="ns",AW384=0,AX384=0)),1,IF(OR(AND(Y384&gt;0,AW384=2),AND(Y384="ns",AW384=2),AND(Y384="ns",AX384=0,AW384&gt;0),Y384=AX384),0,1))))</f>
        <v>0</v>
      </c>
      <c r="AZ384" s="283">
        <f t="shared" ref="AZ384:AZ390" si="319">COUNTIF(AC384:AD384,"NS")</f>
        <v>0</v>
      </c>
      <c r="BA384" s="283">
        <f t="shared" ref="BA384:BA390" si="320">SUM(AC384:AD384)</f>
        <v>0</v>
      </c>
      <c r="BB384" s="283">
        <f t="shared" ref="BB384:BB390" si="321">IF(COUNTIF(AB384:AD384,"NA")=3,0,IF(COUNTA(AB384:AD384)=0,0,IF(OR(AND(AB384=0,AZ384&gt;0),AND(AB384="ns",BA384&gt;0),AND(AB384="ns",AZ384=0,BA384=0)),1,IF(OR(AND(AB384&gt;0,AZ384=2),AND(AB384="ns",AZ384=2),AND(AB384="ns",BA384=0,AZ384&gt;0),AB384=BA384),0,1))))</f>
        <v>0</v>
      </c>
      <c r="BC384" s="283">
        <f t="shared" ref="BC384:BC390" si="322">COUNTIF(H400:I400,"NS")</f>
        <v>0</v>
      </c>
      <c r="BD384" s="283">
        <f t="shared" ref="BD384:BD390" si="323">SUM(H400:I400)</f>
        <v>0</v>
      </c>
      <c r="BE384" s="283">
        <f t="shared" ref="BE384:BE390" si="324">IF(COUNTIF(G400:I400,"NA")=3,0,IF(COUNTA(G400:I400)=0,0,IF(OR(AND(G400=0,BC384&gt;0),AND(G400="ns",BD384&gt;0),AND(G400="ns",BC384=0,BD384=0)),1,IF(OR(AND(G400&gt;0,BC384=2),AND(G400="ns",BC384=2),AND(G400="ns",BD384=0,BC384&gt;0),G400=BD384),0,1))))</f>
        <v>0</v>
      </c>
      <c r="BF384" s="283">
        <f t="shared" ref="BF384:BF390" si="325">COUNTIF(K400:L400,"NS")</f>
        <v>0</v>
      </c>
      <c r="BG384" s="283">
        <f t="shared" ref="BG384:BG390" si="326">SUM(K400:L400)</f>
        <v>0</v>
      </c>
      <c r="BH384" s="283">
        <f t="shared" ref="BH384:BH390" si="327">IF(COUNTIF(J400:L400,"NA")=3,0,IF(COUNTA(J400:L400)=0,0,IF(OR(AND(J400=0,BF384&gt;0),AND(J400="ns",BG384&gt;0),AND(J400="ns",BF384=0,BG384=0)),1,IF(OR(AND(J400&gt;0,BF384=2),AND(J400="ns",BF384=2),AND(J400="ns",BG384=0,BF384&gt;0),J400=BG384),0,1))))</f>
        <v>0</v>
      </c>
      <c r="BI384" s="283">
        <f t="shared" ref="BI384:BI390" si="328">COUNTIF(N400:O400,"NS")</f>
        <v>0</v>
      </c>
      <c r="BJ384" s="283">
        <f t="shared" ref="BJ384:BJ390" si="329">SUM(N400:O400)</f>
        <v>0</v>
      </c>
      <c r="BK384" s="283">
        <f t="shared" ref="BK384:BK390" si="330">IF(COUNTIF(M400:O400,"NA")=3,0,IF(COUNTA(M400:O400)=0,0,IF(OR(AND(M400=0,BI384&gt;0),AND(M400="ns",BJ384&gt;0),AND(M400="ns",BI384=0,BJ384=0)),1,IF(OR(AND(M400&gt;0,BI384=2),AND(M400="ns",BI384=2),AND(M400="ns",BJ384=0,BI384&gt;0),M400=BJ384),0,1))))</f>
        <v>0</v>
      </c>
      <c r="BL384" s="283">
        <f t="shared" ref="BL384:BL390" si="331">COUNTIF(Q400:R400,"NS")</f>
        <v>0</v>
      </c>
      <c r="BM384" s="283">
        <f t="shared" ref="BM384:BM390" si="332">SUM(Q400:R400)</f>
        <v>0</v>
      </c>
      <c r="BN384" s="283">
        <f t="shared" ref="BN384:BN390" si="333">IF(COUNTIF(P400:R400,"NA")=3,0,IF(COUNTA(P400:R400)=0,0,IF(OR(AND(P400=0,BL384&gt;0),AND(P400="ns",BM384&gt;0),AND(P400="ns",BL384=0,BM384=0)),1,IF(OR(AND(P400&gt;0,BL384=2),AND(P400="ns",BL384=2),AND(P400="ns",BM384=0,BL384&gt;0),P400=BM384),0,1))))</f>
        <v>0</v>
      </c>
      <c r="BO384" s="283">
        <f t="shared" ref="BO384:BO390" si="334">COUNTIF(T400:U400,"NS")</f>
        <v>0</v>
      </c>
      <c r="BP384" s="283">
        <f t="shared" ref="BP384:BP390" si="335">SUM(T400:U400)</f>
        <v>0</v>
      </c>
      <c r="BQ384" s="283">
        <f t="shared" ref="BQ384:BQ390" si="336">IF(COUNTIF(S400:U400,"NA")=3,0,IF(COUNTA(S400:U400)=0,0,IF(OR(AND(S400=0,BO384&gt;0),AND(S400="ns",BP384&gt;0),AND(S400="ns",BO384=0,BP384=0)),1,IF(OR(AND(S400&gt;0,BO384=2),AND(S400="ns",BO384=2),AND(S400="ns",BP384=0,BO384&gt;0),S400=BP384),0,1))))</f>
        <v>0</v>
      </c>
      <c r="BR384" s="283">
        <f t="shared" ref="BR384:BR390" si="337">COUNTIF(W400:X400,"NS")</f>
        <v>0</v>
      </c>
      <c r="BS384" s="283">
        <f t="shared" ref="BS384:BS390" si="338">SUM(W400:X400)</f>
        <v>0</v>
      </c>
      <c r="BT384" s="283">
        <f t="shared" ref="BT384:BT390" si="339">IF(COUNTIF(V400:X400,"NA")=3,0,IF(COUNTA(V400:X400)=0,0,IF(OR(AND(V400=0,BR384&gt;0),AND(V400="ns",BS384&gt;0),AND(V400="ns",BR384=0,BS384=0)),1,IF(OR(AND(V400&gt;0,BR384=2),AND(V400="ns",BR384=2),AND(V400="ns",BS384=0,BR384&gt;0),V400=BS384),0,1))))</f>
        <v>0</v>
      </c>
      <c r="BU384" s="283">
        <f t="shared" ref="BU384:BU390" si="340">COUNTIF(Z400:AA400,"NS")</f>
        <v>0</v>
      </c>
      <c r="BV384" s="283">
        <f t="shared" ref="BV384:BV390" si="341">SUM(Z400:AA400)</f>
        <v>0</v>
      </c>
      <c r="BW384" s="283">
        <f t="shared" ref="BW384:BW390" si="342">IF(COUNTIF(Y400:AA400,"NA")=3,0,IF(COUNTA(Y400:AA400)=0,0,IF(OR(AND(Y400=0,BU384&gt;0),AND(Y400="ns",BV384&gt;0),AND(Y400="ns",BU384=0,BV384=0)),1,IF(OR(AND(Y400&gt;0,BU384=2),AND(Y400="ns",BU384=2),AND(Y400="ns",BV384=0,BU384&gt;0),Y400=BV384),0,1))))</f>
        <v>0</v>
      </c>
      <c r="BX384" s="283">
        <f t="shared" ref="BX384:BX390" si="343">COUNTIF(AC400:AD400,"NS")</f>
        <v>0</v>
      </c>
      <c r="BY384" s="283">
        <f t="shared" ref="BY384:BY390" si="344">SUM(AC400:AD400)</f>
        <v>0</v>
      </c>
      <c r="BZ384" s="283">
        <f t="shared" ref="BZ384:BZ390" si="345">IF(COUNTIF(AB400:AD400,"NA")=3,0,IF(COUNTA(AB400:AD400)=0,0,IF(OR(AND(AB400=0,BX384&gt;0),AND(AB400="ns",BY384&gt;0),AND(AB400="ns",BX384=0,BY384=0)),1,IF(OR(AND(AB400&gt;0,BX384=2),AND(AB400="ns",BX384=2),AND(AB400="ns",BY384=0,BX384&gt;0),AB400=BY384),0,1))))</f>
        <v>0</v>
      </c>
      <c r="CA384" s="283">
        <f t="shared" ref="CA384:CA390" si="346">COUNTIF(H416:I416,"NS")</f>
        <v>0</v>
      </c>
      <c r="CB384" s="283">
        <f t="shared" ref="CB384:CB390" si="347">SUM(H416:I416)</f>
        <v>0</v>
      </c>
      <c r="CC384" s="283">
        <f t="shared" ref="CC384:CC390" si="348">IF(COUNTIF(G416:I416,"NA")=3,0,IF(COUNTA(G416:I416)=0,0,IF(OR(AND(G416=0,CA384&gt;0),AND(G416="ns",CB384&gt;0),AND(G416="ns",CA384=0,CB384=0)),1,IF(OR(AND(G416&gt;0,CA384=2),AND(G416="ns",CA384=2),AND(G416="ns",CB384=0,CA384&gt;0),G416=CB384),0,1))))</f>
        <v>0</v>
      </c>
      <c r="CD384" s="283">
        <f t="shared" ref="CD384:CD390" si="349">COUNTIF(K416:L416,"NS")</f>
        <v>0</v>
      </c>
      <c r="CE384" s="283">
        <f t="shared" ref="CE384:CE390" si="350">SUM(K416:L416)</f>
        <v>0</v>
      </c>
      <c r="CF384" s="283">
        <f t="shared" ref="CF384:CF390" si="351">IF(COUNTIF(J416:L416,"NA")=3,0,IF(COUNTA(J416:L416)=0,0,IF(OR(AND(J416=0,CD384&gt;0),AND(J416="ns",CE384&gt;0),AND(J416="ns",CD384=0,CE384=0)),1,IF(OR(AND(J416&gt;0,CD384=2),AND(J416="ns",CD384=2),AND(J416="ns",CE384=0,CD384&gt;0),J416=CE384),0,1))))</f>
        <v>0</v>
      </c>
      <c r="CG384" s="283">
        <f t="shared" ref="CG384:CG390" si="352">COUNTIF(N416:O416,"NS")</f>
        <v>0</v>
      </c>
      <c r="CH384" s="283">
        <f t="shared" ref="CH384:CH390" si="353">SUM(N416:O416)</f>
        <v>0</v>
      </c>
      <c r="CI384" s="283">
        <f t="shared" ref="CI384:CI390" si="354">IF(COUNTIF(M416:O416,"NA")=3,0,IF(COUNTA(M416:O416)=0,0,IF(OR(AND(M416=0,CG384&gt;0),AND(M416="ns",CH384&gt;0),AND(M416="ns",CG384=0,CH384=0)),1,IF(OR(AND(M416&gt;0,CG384=2),AND(M416="ns",CG384=2),AND(M416="ns",CH384=0,CG384&gt;0),M416=CH384),0,1))))</f>
        <v>0</v>
      </c>
      <c r="CJ384" s="283">
        <f t="shared" ref="CJ384:CJ390" si="355">COUNTIF(Q416:R416,"NS")</f>
        <v>0</v>
      </c>
      <c r="CK384" s="283">
        <f t="shared" ref="CK384:CK390" si="356">SUM(Q416:R416)</f>
        <v>0</v>
      </c>
      <c r="CL384" s="283">
        <f t="shared" ref="CL384:CL390" si="357">IF(COUNTIF(P416:R416,"NA")=3,0,IF(COUNTA(P416:R416)=0,0,IF(OR(AND(P416=0,CJ384&gt;0),AND(P416="ns",CK384&gt;0),AND(P416="ns",CJ384=0,CK384=0)),1,IF(OR(AND(P416&gt;0,CJ384=2),AND(P416="ns",CJ384=2),AND(P416="ns",CK384=0,CJ384&gt;0),P416=CK384),0,1))))</f>
        <v>0</v>
      </c>
      <c r="CM384" s="283">
        <f t="shared" ref="CM384:CM390" si="358">COUNTIF(T416:U416,"NS")</f>
        <v>0</v>
      </c>
      <c r="CN384" s="283">
        <f t="shared" ref="CN384:CN390" si="359">SUM(T416:U416)</f>
        <v>0</v>
      </c>
      <c r="CO384" s="283">
        <f t="shared" ref="CO384:CO390" si="360">IF(COUNTIF(S416:U416,"NA")=3,0,IF(COUNTA(S416:U416)=0,0,IF(OR(AND(S416=0,CM384&gt;0),AND(S416="ns",CN384&gt;0),AND(S416="ns",CM384=0,CN384=0)),1,IF(OR(AND(S416&gt;0,CM384=2),AND(S416="ns",CM384=2),AND(S416="ns",CN384=0,CM384&gt;0),S416=CN384),0,1))))</f>
        <v>0</v>
      </c>
      <c r="CP384" s="283">
        <f t="shared" ref="CP384:CP390" si="361">COUNTIF(W416:X416,"NS")</f>
        <v>0</v>
      </c>
      <c r="CQ384" s="283">
        <f t="shared" ref="CQ384:CQ390" si="362">SUM(W416:X416)</f>
        <v>0</v>
      </c>
      <c r="CR384" s="283">
        <f t="shared" ref="CR384:CR390" si="363">IF(COUNTIF(V416:X416,"NA")=3,0,IF(COUNTA(V416:X416)=0,0,IF(OR(AND(V416=0,CP384&gt;0),AND(V416="ns",CQ384&gt;0),AND(V416="ns",CP384=0,CQ384=0)),1,IF(OR(AND(V416&gt;0,CP384=2),AND(V416="ns",CP384=2),AND(V416="ns",CQ384=0,CP384&gt;0),V416=CQ384),0,1))))</f>
        <v>0</v>
      </c>
      <c r="CS384" s="283">
        <f t="shared" ref="CS384:CS390" si="364">COUNTIF(Z416:AA416,"NS")</f>
        <v>0</v>
      </c>
      <c r="CT384" s="283">
        <f t="shared" ref="CT384:CT390" si="365">SUM(Z416:AA416)</f>
        <v>0</v>
      </c>
      <c r="CU384" s="283">
        <f t="shared" ref="CU384:CU390" si="366">IF(COUNTIF(Y416:AA416,"NA")=3,0,IF(COUNTA(Y416:AA416)=0,0,IF(OR(AND(Y416=0,CS384&gt;0),AND(Y416="ns",CT384&gt;0),AND(Y416="ns",CS384=0,CT384=0)),1,IF(OR(AND(Y416&gt;0,CS384=2),AND(Y416="ns",CS384=2),AND(Y416="ns",CT384=0,CS384&gt;0),Y416=CT384),0,1))))</f>
        <v>0</v>
      </c>
      <c r="CV384" s="283">
        <f t="shared" ref="CV384:CV390" si="367">COUNTIF(AC416:AD416,"NS")</f>
        <v>0</v>
      </c>
      <c r="CW384" s="283">
        <f t="shared" ref="CW384:CW390" si="368">SUM(AC416:AD416)</f>
        <v>0</v>
      </c>
      <c r="CX384" s="283">
        <f t="shared" ref="CX384:CX390" si="369">IF(COUNTIF(AB416:AD416,"NA")=3,0,IF(COUNTA(AB416:AD416)=0,0,IF(OR(AND(AB416=0,CV384&gt;0),AND(AB416="ns",CW384&gt;0),AND(AB416="ns",CV384=0,CW384=0)),1,IF(OR(AND(AB416&gt;0,CV384=2),AND(AB416="ns",CV384=2),AND(AB416="ns",CW384=0,CV384&gt;0),AB416=CW384),0,1))))</f>
        <v>0</v>
      </c>
    </row>
    <row r="385" spans="1:102" ht="15" customHeight="1">
      <c r="A385" s="49"/>
      <c r="B385" s="90"/>
      <c r="C385" s="143" t="s">
        <v>2518</v>
      </c>
      <c r="D385" s="813" t="str">
        <f>IF(CNSIPEE_2024_M2_Secc1!D44="","",CNSIPEE_2024_M2_Secc1!D44)</f>
        <v/>
      </c>
      <c r="E385" s="814"/>
      <c r="F385" s="814"/>
      <c r="G385" s="814"/>
      <c r="H385" s="814"/>
      <c r="I385" s="815"/>
      <c r="J385" s="100"/>
      <c r="K385" s="100"/>
      <c r="L385" s="100"/>
      <c r="M385" s="100"/>
      <c r="N385" s="100"/>
      <c r="O385" s="100"/>
      <c r="P385" s="100"/>
      <c r="Q385" s="100"/>
      <c r="R385" s="100"/>
      <c r="S385" s="100"/>
      <c r="T385" s="100"/>
      <c r="U385" s="100"/>
      <c r="V385" s="100"/>
      <c r="W385" s="100"/>
      <c r="X385" s="100"/>
      <c r="Y385" s="100"/>
      <c r="Z385" s="100"/>
      <c r="AA385" s="100"/>
      <c r="AB385" s="100"/>
      <c r="AC385" s="100"/>
      <c r="AD385" s="100"/>
      <c r="AG385" s="326">
        <f t="shared" si="300"/>
        <v>0</v>
      </c>
      <c r="AH385" s="283">
        <f t="shared" si="301"/>
        <v>0</v>
      </c>
      <c r="AI385" s="283">
        <f t="shared" si="302"/>
        <v>0</v>
      </c>
      <c r="AJ385" s="283">
        <f t="shared" si="303"/>
        <v>0</v>
      </c>
      <c r="AK385" s="283">
        <f t="shared" si="304"/>
        <v>0</v>
      </c>
      <c r="AL385" s="283">
        <f t="shared" si="305"/>
        <v>0</v>
      </c>
      <c r="AM385" s="283">
        <f t="shared" si="306"/>
        <v>0</v>
      </c>
      <c r="AN385" s="283">
        <f t="shared" si="307"/>
        <v>0</v>
      </c>
      <c r="AO385" s="283">
        <f t="shared" si="308"/>
        <v>0</v>
      </c>
      <c r="AP385" s="283">
        <f t="shared" si="309"/>
        <v>0</v>
      </c>
      <c r="AQ385" s="283">
        <f t="shared" si="310"/>
        <v>0</v>
      </c>
      <c r="AR385" s="283">
        <f t="shared" si="311"/>
        <v>0</v>
      </c>
      <c r="AS385" s="283">
        <f t="shared" si="312"/>
        <v>0</v>
      </c>
      <c r="AT385" s="283">
        <f t="shared" si="313"/>
        <v>0</v>
      </c>
      <c r="AU385" s="283">
        <f t="shared" si="314"/>
        <v>0</v>
      </c>
      <c r="AV385" s="283">
        <f t="shared" si="315"/>
        <v>0</v>
      </c>
      <c r="AW385" s="283">
        <f t="shared" si="316"/>
        <v>0</v>
      </c>
      <c r="AX385" s="283">
        <f t="shared" si="317"/>
        <v>0</v>
      </c>
      <c r="AY385" s="283">
        <f t="shared" si="318"/>
        <v>0</v>
      </c>
      <c r="AZ385" s="283">
        <f t="shared" si="319"/>
        <v>0</v>
      </c>
      <c r="BA385" s="283">
        <f t="shared" si="320"/>
        <v>0</v>
      </c>
      <c r="BB385" s="283">
        <f t="shared" si="321"/>
        <v>0</v>
      </c>
      <c r="BC385" s="283">
        <f t="shared" si="322"/>
        <v>0</v>
      </c>
      <c r="BD385" s="283">
        <f t="shared" si="323"/>
        <v>0</v>
      </c>
      <c r="BE385" s="283">
        <f t="shared" si="324"/>
        <v>0</v>
      </c>
      <c r="BF385" s="283">
        <f t="shared" si="325"/>
        <v>0</v>
      </c>
      <c r="BG385" s="283">
        <f t="shared" si="326"/>
        <v>0</v>
      </c>
      <c r="BH385" s="283">
        <f t="shared" si="327"/>
        <v>0</v>
      </c>
      <c r="BI385" s="283">
        <f t="shared" si="328"/>
        <v>0</v>
      </c>
      <c r="BJ385" s="283">
        <f t="shared" si="329"/>
        <v>0</v>
      </c>
      <c r="BK385" s="283">
        <f t="shared" si="330"/>
        <v>0</v>
      </c>
      <c r="BL385" s="283">
        <f t="shared" si="331"/>
        <v>0</v>
      </c>
      <c r="BM385" s="283">
        <f t="shared" si="332"/>
        <v>0</v>
      </c>
      <c r="BN385" s="283">
        <f t="shared" si="333"/>
        <v>0</v>
      </c>
      <c r="BO385" s="283">
        <f t="shared" si="334"/>
        <v>0</v>
      </c>
      <c r="BP385" s="283">
        <f t="shared" si="335"/>
        <v>0</v>
      </c>
      <c r="BQ385" s="283">
        <f t="shared" si="336"/>
        <v>0</v>
      </c>
      <c r="BR385" s="283">
        <f t="shared" si="337"/>
        <v>0</v>
      </c>
      <c r="BS385" s="283">
        <f t="shared" si="338"/>
        <v>0</v>
      </c>
      <c r="BT385" s="283">
        <f t="shared" si="339"/>
        <v>0</v>
      </c>
      <c r="BU385" s="283">
        <f t="shared" si="340"/>
        <v>0</v>
      </c>
      <c r="BV385" s="283">
        <f t="shared" si="341"/>
        <v>0</v>
      </c>
      <c r="BW385" s="283">
        <f t="shared" si="342"/>
        <v>0</v>
      </c>
      <c r="BX385" s="283">
        <f t="shared" si="343"/>
        <v>0</v>
      </c>
      <c r="BY385" s="283">
        <f t="shared" si="344"/>
        <v>0</v>
      </c>
      <c r="BZ385" s="283">
        <f t="shared" si="345"/>
        <v>0</v>
      </c>
      <c r="CA385" s="283">
        <f t="shared" si="346"/>
        <v>0</v>
      </c>
      <c r="CB385" s="283">
        <f t="shared" si="347"/>
        <v>0</v>
      </c>
      <c r="CC385" s="283">
        <f t="shared" si="348"/>
        <v>0</v>
      </c>
      <c r="CD385" s="283">
        <f t="shared" si="349"/>
        <v>0</v>
      </c>
      <c r="CE385" s="283">
        <f t="shared" si="350"/>
        <v>0</v>
      </c>
      <c r="CF385" s="283">
        <f t="shared" si="351"/>
        <v>0</v>
      </c>
      <c r="CG385" s="283">
        <f t="shared" si="352"/>
        <v>0</v>
      </c>
      <c r="CH385" s="283">
        <f t="shared" si="353"/>
        <v>0</v>
      </c>
      <c r="CI385" s="283">
        <f t="shared" si="354"/>
        <v>0</v>
      </c>
      <c r="CJ385" s="283">
        <f t="shared" si="355"/>
        <v>0</v>
      </c>
      <c r="CK385" s="283">
        <f t="shared" si="356"/>
        <v>0</v>
      </c>
      <c r="CL385" s="283">
        <f t="shared" si="357"/>
        <v>0</v>
      </c>
      <c r="CM385" s="283">
        <f t="shared" si="358"/>
        <v>0</v>
      </c>
      <c r="CN385" s="283">
        <f t="shared" si="359"/>
        <v>0</v>
      </c>
      <c r="CO385" s="283">
        <f t="shared" si="360"/>
        <v>0</v>
      </c>
      <c r="CP385" s="283">
        <f t="shared" si="361"/>
        <v>0</v>
      </c>
      <c r="CQ385" s="283">
        <f t="shared" si="362"/>
        <v>0</v>
      </c>
      <c r="CR385" s="283">
        <f t="shared" si="363"/>
        <v>0</v>
      </c>
      <c r="CS385" s="283">
        <f t="shared" si="364"/>
        <v>0</v>
      </c>
      <c r="CT385" s="283">
        <f t="shared" si="365"/>
        <v>0</v>
      </c>
      <c r="CU385" s="283">
        <f t="shared" si="366"/>
        <v>0</v>
      </c>
      <c r="CV385" s="283">
        <f t="shared" si="367"/>
        <v>0</v>
      </c>
      <c r="CW385" s="283">
        <f t="shared" si="368"/>
        <v>0</v>
      </c>
      <c r="CX385" s="283">
        <f t="shared" si="369"/>
        <v>0</v>
      </c>
    </row>
    <row r="386" spans="1:102" ht="15" customHeight="1">
      <c r="A386" s="49"/>
      <c r="B386" s="90"/>
      <c r="C386" s="143" t="s">
        <v>2519</v>
      </c>
      <c r="D386" s="813" t="str">
        <f>IF(CNSIPEE_2024_M2_Secc1!D45="","",CNSIPEE_2024_M2_Secc1!D45)</f>
        <v/>
      </c>
      <c r="E386" s="814"/>
      <c r="F386" s="814"/>
      <c r="G386" s="814"/>
      <c r="H386" s="814"/>
      <c r="I386" s="815"/>
      <c r="J386" s="100"/>
      <c r="K386" s="100"/>
      <c r="L386" s="100"/>
      <c r="M386" s="100"/>
      <c r="N386" s="100"/>
      <c r="O386" s="100"/>
      <c r="P386" s="100"/>
      <c r="Q386" s="100"/>
      <c r="R386" s="100"/>
      <c r="S386" s="100"/>
      <c r="T386" s="100"/>
      <c r="U386" s="100"/>
      <c r="V386" s="100"/>
      <c r="W386" s="100"/>
      <c r="X386" s="100"/>
      <c r="Y386" s="100"/>
      <c r="Z386" s="100"/>
      <c r="AA386" s="100"/>
      <c r="AB386" s="100"/>
      <c r="AC386" s="100"/>
      <c r="AD386" s="100"/>
      <c r="AG386" s="326">
        <f t="shared" si="300"/>
        <v>0</v>
      </c>
      <c r="AH386" s="283">
        <f t="shared" si="301"/>
        <v>0</v>
      </c>
      <c r="AI386" s="283">
        <f t="shared" si="302"/>
        <v>0</v>
      </c>
      <c r="AJ386" s="283">
        <f t="shared" si="303"/>
        <v>0</v>
      </c>
      <c r="AK386" s="283">
        <f t="shared" si="304"/>
        <v>0</v>
      </c>
      <c r="AL386" s="283">
        <f t="shared" si="305"/>
        <v>0</v>
      </c>
      <c r="AM386" s="283">
        <f t="shared" si="306"/>
        <v>0</v>
      </c>
      <c r="AN386" s="283">
        <f t="shared" si="307"/>
        <v>0</v>
      </c>
      <c r="AO386" s="283">
        <f t="shared" si="308"/>
        <v>0</v>
      </c>
      <c r="AP386" s="283">
        <f t="shared" si="309"/>
        <v>0</v>
      </c>
      <c r="AQ386" s="283">
        <f t="shared" si="310"/>
        <v>0</v>
      </c>
      <c r="AR386" s="283">
        <f t="shared" si="311"/>
        <v>0</v>
      </c>
      <c r="AS386" s="283">
        <f t="shared" si="312"/>
        <v>0</v>
      </c>
      <c r="AT386" s="283">
        <f t="shared" si="313"/>
        <v>0</v>
      </c>
      <c r="AU386" s="283">
        <f t="shared" si="314"/>
        <v>0</v>
      </c>
      <c r="AV386" s="283">
        <f t="shared" si="315"/>
        <v>0</v>
      </c>
      <c r="AW386" s="283">
        <f t="shared" si="316"/>
        <v>0</v>
      </c>
      <c r="AX386" s="283">
        <f t="shared" si="317"/>
        <v>0</v>
      </c>
      <c r="AY386" s="283">
        <f t="shared" si="318"/>
        <v>0</v>
      </c>
      <c r="AZ386" s="283">
        <f t="shared" si="319"/>
        <v>0</v>
      </c>
      <c r="BA386" s="283">
        <f t="shared" si="320"/>
        <v>0</v>
      </c>
      <c r="BB386" s="283">
        <f t="shared" si="321"/>
        <v>0</v>
      </c>
      <c r="BC386" s="283">
        <f t="shared" si="322"/>
        <v>0</v>
      </c>
      <c r="BD386" s="283">
        <f t="shared" si="323"/>
        <v>0</v>
      </c>
      <c r="BE386" s="283">
        <f t="shared" si="324"/>
        <v>0</v>
      </c>
      <c r="BF386" s="283">
        <f t="shared" si="325"/>
        <v>0</v>
      </c>
      <c r="BG386" s="283">
        <f t="shared" si="326"/>
        <v>0</v>
      </c>
      <c r="BH386" s="283">
        <f t="shared" si="327"/>
        <v>0</v>
      </c>
      <c r="BI386" s="283">
        <f t="shared" si="328"/>
        <v>0</v>
      </c>
      <c r="BJ386" s="283">
        <f t="shared" si="329"/>
        <v>0</v>
      </c>
      <c r="BK386" s="283">
        <f t="shared" si="330"/>
        <v>0</v>
      </c>
      <c r="BL386" s="283">
        <f t="shared" si="331"/>
        <v>0</v>
      </c>
      <c r="BM386" s="283">
        <f t="shared" si="332"/>
        <v>0</v>
      </c>
      <c r="BN386" s="283">
        <f t="shared" si="333"/>
        <v>0</v>
      </c>
      <c r="BO386" s="283">
        <f t="shared" si="334"/>
        <v>0</v>
      </c>
      <c r="BP386" s="283">
        <f t="shared" si="335"/>
        <v>0</v>
      </c>
      <c r="BQ386" s="283">
        <f t="shared" si="336"/>
        <v>0</v>
      </c>
      <c r="BR386" s="283">
        <f t="shared" si="337"/>
        <v>0</v>
      </c>
      <c r="BS386" s="283">
        <f t="shared" si="338"/>
        <v>0</v>
      </c>
      <c r="BT386" s="283">
        <f t="shared" si="339"/>
        <v>0</v>
      </c>
      <c r="BU386" s="283">
        <f t="shared" si="340"/>
        <v>0</v>
      </c>
      <c r="BV386" s="283">
        <f t="shared" si="341"/>
        <v>0</v>
      </c>
      <c r="BW386" s="283">
        <f t="shared" si="342"/>
        <v>0</v>
      </c>
      <c r="BX386" s="283">
        <f t="shared" si="343"/>
        <v>0</v>
      </c>
      <c r="BY386" s="283">
        <f t="shared" si="344"/>
        <v>0</v>
      </c>
      <c r="BZ386" s="283">
        <f t="shared" si="345"/>
        <v>0</v>
      </c>
      <c r="CA386" s="283">
        <f t="shared" si="346"/>
        <v>0</v>
      </c>
      <c r="CB386" s="283">
        <f t="shared" si="347"/>
        <v>0</v>
      </c>
      <c r="CC386" s="283">
        <f t="shared" si="348"/>
        <v>0</v>
      </c>
      <c r="CD386" s="283">
        <f t="shared" si="349"/>
        <v>0</v>
      </c>
      <c r="CE386" s="283">
        <f t="shared" si="350"/>
        <v>0</v>
      </c>
      <c r="CF386" s="283">
        <f t="shared" si="351"/>
        <v>0</v>
      </c>
      <c r="CG386" s="283">
        <f t="shared" si="352"/>
        <v>0</v>
      </c>
      <c r="CH386" s="283">
        <f t="shared" si="353"/>
        <v>0</v>
      </c>
      <c r="CI386" s="283">
        <f t="shared" si="354"/>
        <v>0</v>
      </c>
      <c r="CJ386" s="283">
        <f t="shared" si="355"/>
        <v>0</v>
      </c>
      <c r="CK386" s="283">
        <f t="shared" si="356"/>
        <v>0</v>
      </c>
      <c r="CL386" s="283">
        <f t="shared" si="357"/>
        <v>0</v>
      </c>
      <c r="CM386" s="283">
        <f t="shared" si="358"/>
        <v>0</v>
      </c>
      <c r="CN386" s="283">
        <f t="shared" si="359"/>
        <v>0</v>
      </c>
      <c r="CO386" s="283">
        <f t="shared" si="360"/>
        <v>0</v>
      </c>
      <c r="CP386" s="283">
        <f t="shared" si="361"/>
        <v>0</v>
      </c>
      <c r="CQ386" s="283">
        <f t="shared" si="362"/>
        <v>0</v>
      </c>
      <c r="CR386" s="283">
        <f t="shared" si="363"/>
        <v>0</v>
      </c>
      <c r="CS386" s="283">
        <f t="shared" si="364"/>
        <v>0</v>
      </c>
      <c r="CT386" s="283">
        <f t="shared" si="365"/>
        <v>0</v>
      </c>
      <c r="CU386" s="283">
        <f t="shared" si="366"/>
        <v>0</v>
      </c>
      <c r="CV386" s="283">
        <f t="shared" si="367"/>
        <v>0</v>
      </c>
      <c r="CW386" s="283">
        <f t="shared" si="368"/>
        <v>0</v>
      </c>
      <c r="CX386" s="283">
        <f t="shared" si="369"/>
        <v>0</v>
      </c>
    </row>
    <row r="387" spans="1:102" ht="15" customHeight="1">
      <c r="A387" s="49"/>
      <c r="B387" s="90"/>
      <c r="C387" s="143" t="s">
        <v>2520</v>
      </c>
      <c r="D387" s="813" t="str">
        <f>IF(CNSIPEE_2024_M2_Secc1!D46="","",CNSIPEE_2024_M2_Secc1!D46)</f>
        <v/>
      </c>
      <c r="E387" s="814"/>
      <c r="F387" s="814"/>
      <c r="G387" s="814"/>
      <c r="H387" s="814"/>
      <c r="I387" s="815"/>
      <c r="J387" s="100"/>
      <c r="K387" s="100"/>
      <c r="L387" s="100"/>
      <c r="M387" s="100"/>
      <c r="N387" s="100"/>
      <c r="O387" s="100"/>
      <c r="P387" s="100"/>
      <c r="Q387" s="100"/>
      <c r="R387" s="100"/>
      <c r="S387" s="100"/>
      <c r="T387" s="100"/>
      <c r="U387" s="100"/>
      <c r="V387" s="100"/>
      <c r="W387" s="100"/>
      <c r="X387" s="100"/>
      <c r="Y387" s="100"/>
      <c r="Z387" s="100"/>
      <c r="AA387" s="100"/>
      <c r="AB387" s="100"/>
      <c r="AC387" s="100"/>
      <c r="AD387" s="100"/>
      <c r="AG387" s="326">
        <f t="shared" si="300"/>
        <v>0</v>
      </c>
      <c r="AH387" s="283">
        <f t="shared" si="301"/>
        <v>0</v>
      </c>
      <c r="AI387" s="283">
        <f t="shared" si="302"/>
        <v>0</v>
      </c>
      <c r="AJ387" s="283">
        <f t="shared" si="303"/>
        <v>0</v>
      </c>
      <c r="AK387" s="283">
        <f t="shared" si="304"/>
        <v>0</v>
      </c>
      <c r="AL387" s="283">
        <f t="shared" si="305"/>
        <v>0</v>
      </c>
      <c r="AM387" s="283">
        <f t="shared" si="306"/>
        <v>0</v>
      </c>
      <c r="AN387" s="283">
        <f t="shared" si="307"/>
        <v>0</v>
      </c>
      <c r="AO387" s="283">
        <f t="shared" si="308"/>
        <v>0</v>
      </c>
      <c r="AP387" s="283">
        <f t="shared" si="309"/>
        <v>0</v>
      </c>
      <c r="AQ387" s="283">
        <f t="shared" si="310"/>
        <v>0</v>
      </c>
      <c r="AR387" s="283">
        <f t="shared" si="311"/>
        <v>0</v>
      </c>
      <c r="AS387" s="283">
        <f t="shared" si="312"/>
        <v>0</v>
      </c>
      <c r="AT387" s="283">
        <f t="shared" si="313"/>
        <v>0</v>
      </c>
      <c r="AU387" s="283">
        <f t="shared" si="314"/>
        <v>0</v>
      </c>
      <c r="AV387" s="283">
        <f t="shared" si="315"/>
        <v>0</v>
      </c>
      <c r="AW387" s="283">
        <f t="shared" si="316"/>
        <v>0</v>
      </c>
      <c r="AX387" s="283">
        <f t="shared" si="317"/>
        <v>0</v>
      </c>
      <c r="AY387" s="283">
        <f t="shared" si="318"/>
        <v>0</v>
      </c>
      <c r="AZ387" s="283">
        <f t="shared" si="319"/>
        <v>0</v>
      </c>
      <c r="BA387" s="283">
        <f t="shared" si="320"/>
        <v>0</v>
      </c>
      <c r="BB387" s="283">
        <f t="shared" si="321"/>
        <v>0</v>
      </c>
      <c r="BC387" s="283">
        <f t="shared" si="322"/>
        <v>0</v>
      </c>
      <c r="BD387" s="283">
        <f t="shared" si="323"/>
        <v>0</v>
      </c>
      <c r="BE387" s="283">
        <f t="shared" si="324"/>
        <v>0</v>
      </c>
      <c r="BF387" s="283">
        <f t="shared" si="325"/>
        <v>0</v>
      </c>
      <c r="BG387" s="283">
        <f t="shared" si="326"/>
        <v>0</v>
      </c>
      <c r="BH387" s="283">
        <f t="shared" si="327"/>
        <v>0</v>
      </c>
      <c r="BI387" s="283">
        <f t="shared" si="328"/>
        <v>0</v>
      </c>
      <c r="BJ387" s="283">
        <f t="shared" si="329"/>
        <v>0</v>
      </c>
      <c r="BK387" s="283">
        <f t="shared" si="330"/>
        <v>0</v>
      </c>
      <c r="BL387" s="283">
        <f t="shared" si="331"/>
        <v>0</v>
      </c>
      <c r="BM387" s="283">
        <f t="shared" si="332"/>
        <v>0</v>
      </c>
      <c r="BN387" s="283">
        <f t="shared" si="333"/>
        <v>0</v>
      </c>
      <c r="BO387" s="283">
        <f t="shared" si="334"/>
        <v>0</v>
      </c>
      <c r="BP387" s="283">
        <f t="shared" si="335"/>
        <v>0</v>
      </c>
      <c r="BQ387" s="283">
        <f t="shared" si="336"/>
        <v>0</v>
      </c>
      <c r="BR387" s="283">
        <f t="shared" si="337"/>
        <v>0</v>
      </c>
      <c r="BS387" s="283">
        <f t="shared" si="338"/>
        <v>0</v>
      </c>
      <c r="BT387" s="283">
        <f t="shared" si="339"/>
        <v>0</v>
      </c>
      <c r="BU387" s="283">
        <f t="shared" si="340"/>
        <v>0</v>
      </c>
      <c r="BV387" s="283">
        <f t="shared" si="341"/>
        <v>0</v>
      </c>
      <c r="BW387" s="283">
        <f t="shared" si="342"/>
        <v>0</v>
      </c>
      <c r="BX387" s="283">
        <f t="shared" si="343"/>
        <v>0</v>
      </c>
      <c r="BY387" s="283">
        <f t="shared" si="344"/>
        <v>0</v>
      </c>
      <c r="BZ387" s="283">
        <f t="shared" si="345"/>
        <v>0</v>
      </c>
      <c r="CA387" s="283">
        <f t="shared" si="346"/>
        <v>0</v>
      </c>
      <c r="CB387" s="283">
        <f t="shared" si="347"/>
        <v>0</v>
      </c>
      <c r="CC387" s="283">
        <f t="shared" si="348"/>
        <v>0</v>
      </c>
      <c r="CD387" s="283">
        <f t="shared" si="349"/>
        <v>0</v>
      </c>
      <c r="CE387" s="283">
        <f t="shared" si="350"/>
        <v>0</v>
      </c>
      <c r="CF387" s="283">
        <f t="shared" si="351"/>
        <v>0</v>
      </c>
      <c r="CG387" s="283">
        <f t="shared" si="352"/>
        <v>0</v>
      </c>
      <c r="CH387" s="283">
        <f t="shared" si="353"/>
        <v>0</v>
      </c>
      <c r="CI387" s="283">
        <f t="shared" si="354"/>
        <v>0</v>
      </c>
      <c r="CJ387" s="283">
        <f t="shared" si="355"/>
        <v>0</v>
      </c>
      <c r="CK387" s="283">
        <f t="shared" si="356"/>
        <v>0</v>
      </c>
      <c r="CL387" s="283">
        <f t="shared" si="357"/>
        <v>0</v>
      </c>
      <c r="CM387" s="283">
        <f t="shared" si="358"/>
        <v>0</v>
      </c>
      <c r="CN387" s="283">
        <f t="shared" si="359"/>
        <v>0</v>
      </c>
      <c r="CO387" s="283">
        <f t="shared" si="360"/>
        <v>0</v>
      </c>
      <c r="CP387" s="283">
        <f t="shared" si="361"/>
        <v>0</v>
      </c>
      <c r="CQ387" s="283">
        <f t="shared" si="362"/>
        <v>0</v>
      </c>
      <c r="CR387" s="283">
        <f t="shared" si="363"/>
        <v>0</v>
      </c>
      <c r="CS387" s="283">
        <f t="shared" si="364"/>
        <v>0</v>
      </c>
      <c r="CT387" s="283">
        <f t="shared" si="365"/>
        <v>0</v>
      </c>
      <c r="CU387" s="283">
        <f t="shared" si="366"/>
        <v>0</v>
      </c>
      <c r="CV387" s="283">
        <f t="shared" si="367"/>
        <v>0</v>
      </c>
      <c r="CW387" s="283">
        <f t="shared" si="368"/>
        <v>0</v>
      </c>
      <c r="CX387" s="283">
        <f t="shared" si="369"/>
        <v>0</v>
      </c>
    </row>
    <row r="388" spans="1:102" ht="15" customHeight="1">
      <c r="A388" s="49"/>
      <c r="B388" s="90"/>
      <c r="C388" s="143" t="s">
        <v>2521</v>
      </c>
      <c r="D388" s="813" t="str">
        <f>IF(CNSIPEE_2024_M2_Secc1!D47="","",CNSIPEE_2024_M2_Secc1!D47)</f>
        <v/>
      </c>
      <c r="E388" s="814"/>
      <c r="F388" s="814"/>
      <c r="G388" s="814"/>
      <c r="H388" s="814"/>
      <c r="I388" s="815"/>
      <c r="J388" s="100"/>
      <c r="K388" s="100"/>
      <c r="L388" s="100"/>
      <c r="M388" s="100"/>
      <c r="N388" s="100"/>
      <c r="O388" s="100"/>
      <c r="P388" s="100"/>
      <c r="Q388" s="100"/>
      <c r="R388" s="100"/>
      <c r="S388" s="100"/>
      <c r="T388" s="100"/>
      <c r="U388" s="100"/>
      <c r="V388" s="100"/>
      <c r="W388" s="100"/>
      <c r="X388" s="100"/>
      <c r="Y388" s="100"/>
      <c r="Z388" s="100"/>
      <c r="AA388" s="100"/>
      <c r="AB388" s="100"/>
      <c r="AC388" s="100"/>
      <c r="AD388" s="100"/>
      <c r="AG388" s="326">
        <f t="shared" si="300"/>
        <v>0</v>
      </c>
      <c r="AH388" s="283">
        <f t="shared" si="301"/>
        <v>0</v>
      </c>
      <c r="AI388" s="283">
        <f t="shared" si="302"/>
        <v>0</v>
      </c>
      <c r="AJ388" s="283">
        <f t="shared" si="303"/>
        <v>0</v>
      </c>
      <c r="AK388" s="283">
        <f t="shared" si="304"/>
        <v>0</v>
      </c>
      <c r="AL388" s="283">
        <f t="shared" si="305"/>
        <v>0</v>
      </c>
      <c r="AM388" s="283">
        <f t="shared" si="306"/>
        <v>0</v>
      </c>
      <c r="AN388" s="283">
        <f t="shared" si="307"/>
        <v>0</v>
      </c>
      <c r="AO388" s="283">
        <f t="shared" si="308"/>
        <v>0</v>
      </c>
      <c r="AP388" s="283">
        <f t="shared" si="309"/>
        <v>0</v>
      </c>
      <c r="AQ388" s="283">
        <f t="shared" si="310"/>
        <v>0</v>
      </c>
      <c r="AR388" s="283">
        <f t="shared" si="311"/>
        <v>0</v>
      </c>
      <c r="AS388" s="283">
        <f t="shared" si="312"/>
        <v>0</v>
      </c>
      <c r="AT388" s="283">
        <f t="shared" si="313"/>
        <v>0</v>
      </c>
      <c r="AU388" s="283">
        <f t="shared" si="314"/>
        <v>0</v>
      </c>
      <c r="AV388" s="283">
        <f t="shared" si="315"/>
        <v>0</v>
      </c>
      <c r="AW388" s="283">
        <f t="shared" si="316"/>
        <v>0</v>
      </c>
      <c r="AX388" s="283">
        <f t="shared" si="317"/>
        <v>0</v>
      </c>
      <c r="AY388" s="283">
        <f t="shared" si="318"/>
        <v>0</v>
      </c>
      <c r="AZ388" s="283">
        <f t="shared" si="319"/>
        <v>0</v>
      </c>
      <c r="BA388" s="283">
        <f t="shared" si="320"/>
        <v>0</v>
      </c>
      <c r="BB388" s="283">
        <f t="shared" si="321"/>
        <v>0</v>
      </c>
      <c r="BC388" s="283">
        <f t="shared" si="322"/>
        <v>0</v>
      </c>
      <c r="BD388" s="283">
        <f t="shared" si="323"/>
        <v>0</v>
      </c>
      <c r="BE388" s="283">
        <f t="shared" si="324"/>
        <v>0</v>
      </c>
      <c r="BF388" s="283">
        <f t="shared" si="325"/>
        <v>0</v>
      </c>
      <c r="BG388" s="283">
        <f t="shared" si="326"/>
        <v>0</v>
      </c>
      <c r="BH388" s="283">
        <f t="shared" si="327"/>
        <v>0</v>
      </c>
      <c r="BI388" s="283">
        <f t="shared" si="328"/>
        <v>0</v>
      </c>
      <c r="BJ388" s="283">
        <f t="shared" si="329"/>
        <v>0</v>
      </c>
      <c r="BK388" s="283">
        <f t="shared" si="330"/>
        <v>0</v>
      </c>
      <c r="BL388" s="283">
        <f t="shared" si="331"/>
        <v>0</v>
      </c>
      <c r="BM388" s="283">
        <f t="shared" si="332"/>
        <v>0</v>
      </c>
      <c r="BN388" s="283">
        <f t="shared" si="333"/>
        <v>0</v>
      </c>
      <c r="BO388" s="283">
        <f t="shared" si="334"/>
        <v>0</v>
      </c>
      <c r="BP388" s="283">
        <f t="shared" si="335"/>
        <v>0</v>
      </c>
      <c r="BQ388" s="283">
        <f t="shared" si="336"/>
        <v>0</v>
      </c>
      <c r="BR388" s="283">
        <f t="shared" si="337"/>
        <v>0</v>
      </c>
      <c r="BS388" s="283">
        <f t="shared" si="338"/>
        <v>0</v>
      </c>
      <c r="BT388" s="283">
        <f t="shared" si="339"/>
        <v>0</v>
      </c>
      <c r="BU388" s="283">
        <f t="shared" si="340"/>
        <v>0</v>
      </c>
      <c r="BV388" s="283">
        <f t="shared" si="341"/>
        <v>0</v>
      </c>
      <c r="BW388" s="283">
        <f t="shared" si="342"/>
        <v>0</v>
      </c>
      <c r="BX388" s="283">
        <f t="shared" si="343"/>
        <v>0</v>
      </c>
      <c r="BY388" s="283">
        <f t="shared" si="344"/>
        <v>0</v>
      </c>
      <c r="BZ388" s="283">
        <f t="shared" si="345"/>
        <v>0</v>
      </c>
      <c r="CA388" s="283">
        <f t="shared" si="346"/>
        <v>0</v>
      </c>
      <c r="CB388" s="283">
        <f t="shared" si="347"/>
        <v>0</v>
      </c>
      <c r="CC388" s="283">
        <f t="shared" si="348"/>
        <v>0</v>
      </c>
      <c r="CD388" s="283">
        <f t="shared" si="349"/>
        <v>0</v>
      </c>
      <c r="CE388" s="283">
        <f t="shared" si="350"/>
        <v>0</v>
      </c>
      <c r="CF388" s="283">
        <f t="shared" si="351"/>
        <v>0</v>
      </c>
      <c r="CG388" s="283">
        <f t="shared" si="352"/>
        <v>0</v>
      </c>
      <c r="CH388" s="283">
        <f t="shared" si="353"/>
        <v>0</v>
      </c>
      <c r="CI388" s="283">
        <f t="shared" si="354"/>
        <v>0</v>
      </c>
      <c r="CJ388" s="283">
        <f t="shared" si="355"/>
        <v>0</v>
      </c>
      <c r="CK388" s="283">
        <f t="shared" si="356"/>
        <v>0</v>
      </c>
      <c r="CL388" s="283">
        <f t="shared" si="357"/>
        <v>0</v>
      </c>
      <c r="CM388" s="283">
        <f t="shared" si="358"/>
        <v>0</v>
      </c>
      <c r="CN388" s="283">
        <f t="shared" si="359"/>
        <v>0</v>
      </c>
      <c r="CO388" s="283">
        <f t="shared" si="360"/>
        <v>0</v>
      </c>
      <c r="CP388" s="283">
        <f t="shared" si="361"/>
        <v>0</v>
      </c>
      <c r="CQ388" s="283">
        <f t="shared" si="362"/>
        <v>0</v>
      </c>
      <c r="CR388" s="283">
        <f t="shared" si="363"/>
        <v>0</v>
      </c>
      <c r="CS388" s="283">
        <f t="shared" si="364"/>
        <v>0</v>
      </c>
      <c r="CT388" s="283">
        <f t="shared" si="365"/>
        <v>0</v>
      </c>
      <c r="CU388" s="283">
        <f t="shared" si="366"/>
        <v>0</v>
      </c>
      <c r="CV388" s="283">
        <f t="shared" si="367"/>
        <v>0</v>
      </c>
      <c r="CW388" s="283">
        <f t="shared" si="368"/>
        <v>0</v>
      </c>
      <c r="CX388" s="283">
        <f t="shared" si="369"/>
        <v>0</v>
      </c>
    </row>
    <row r="389" spans="1:102" ht="15" customHeight="1">
      <c r="A389" s="49"/>
      <c r="B389" s="90"/>
      <c r="C389" s="143" t="s">
        <v>2522</v>
      </c>
      <c r="D389" s="813" t="str">
        <f>IF(CNSIPEE_2024_M2_Secc1!D48="","",CNSIPEE_2024_M2_Secc1!D48)</f>
        <v/>
      </c>
      <c r="E389" s="814"/>
      <c r="F389" s="814"/>
      <c r="G389" s="814"/>
      <c r="H389" s="814"/>
      <c r="I389" s="815"/>
      <c r="J389" s="100"/>
      <c r="K389" s="100"/>
      <c r="L389" s="100"/>
      <c r="M389" s="100"/>
      <c r="N389" s="100"/>
      <c r="O389" s="100"/>
      <c r="P389" s="100"/>
      <c r="Q389" s="100"/>
      <c r="R389" s="100"/>
      <c r="S389" s="100"/>
      <c r="T389" s="100"/>
      <c r="U389" s="100"/>
      <c r="V389" s="100"/>
      <c r="W389" s="100"/>
      <c r="X389" s="100"/>
      <c r="Y389" s="100"/>
      <c r="Z389" s="100"/>
      <c r="AA389" s="100"/>
      <c r="AB389" s="100"/>
      <c r="AC389" s="100"/>
      <c r="AD389" s="100"/>
      <c r="AG389" s="326">
        <f t="shared" si="300"/>
        <v>0</v>
      </c>
      <c r="AH389" s="283">
        <f t="shared" si="301"/>
        <v>0</v>
      </c>
      <c r="AI389" s="283">
        <f t="shared" si="302"/>
        <v>0</v>
      </c>
      <c r="AJ389" s="283">
        <f t="shared" si="303"/>
        <v>0</v>
      </c>
      <c r="AK389" s="283">
        <f t="shared" si="304"/>
        <v>0</v>
      </c>
      <c r="AL389" s="283">
        <f t="shared" si="305"/>
        <v>0</v>
      </c>
      <c r="AM389" s="283">
        <f t="shared" si="306"/>
        <v>0</v>
      </c>
      <c r="AN389" s="283">
        <f t="shared" si="307"/>
        <v>0</v>
      </c>
      <c r="AO389" s="283">
        <f t="shared" si="308"/>
        <v>0</v>
      </c>
      <c r="AP389" s="283">
        <f t="shared" si="309"/>
        <v>0</v>
      </c>
      <c r="AQ389" s="283">
        <f t="shared" si="310"/>
        <v>0</v>
      </c>
      <c r="AR389" s="283">
        <f t="shared" si="311"/>
        <v>0</v>
      </c>
      <c r="AS389" s="283">
        <f t="shared" si="312"/>
        <v>0</v>
      </c>
      <c r="AT389" s="283">
        <f t="shared" si="313"/>
        <v>0</v>
      </c>
      <c r="AU389" s="283">
        <f t="shared" si="314"/>
        <v>0</v>
      </c>
      <c r="AV389" s="283">
        <f t="shared" si="315"/>
        <v>0</v>
      </c>
      <c r="AW389" s="283">
        <f t="shared" si="316"/>
        <v>0</v>
      </c>
      <c r="AX389" s="283">
        <f t="shared" si="317"/>
        <v>0</v>
      </c>
      <c r="AY389" s="283">
        <f t="shared" si="318"/>
        <v>0</v>
      </c>
      <c r="AZ389" s="283">
        <f t="shared" si="319"/>
        <v>0</v>
      </c>
      <c r="BA389" s="283">
        <f t="shared" si="320"/>
        <v>0</v>
      </c>
      <c r="BB389" s="283">
        <f t="shared" si="321"/>
        <v>0</v>
      </c>
      <c r="BC389" s="283">
        <f t="shared" si="322"/>
        <v>0</v>
      </c>
      <c r="BD389" s="283">
        <f t="shared" si="323"/>
        <v>0</v>
      </c>
      <c r="BE389" s="283">
        <f t="shared" si="324"/>
        <v>0</v>
      </c>
      <c r="BF389" s="283">
        <f t="shared" si="325"/>
        <v>0</v>
      </c>
      <c r="BG389" s="283">
        <f t="shared" si="326"/>
        <v>0</v>
      </c>
      <c r="BH389" s="283">
        <f t="shared" si="327"/>
        <v>0</v>
      </c>
      <c r="BI389" s="283">
        <f t="shared" si="328"/>
        <v>0</v>
      </c>
      <c r="BJ389" s="283">
        <f t="shared" si="329"/>
        <v>0</v>
      </c>
      <c r="BK389" s="283">
        <f t="shared" si="330"/>
        <v>0</v>
      </c>
      <c r="BL389" s="283">
        <f t="shared" si="331"/>
        <v>0</v>
      </c>
      <c r="BM389" s="283">
        <f t="shared" si="332"/>
        <v>0</v>
      </c>
      <c r="BN389" s="283">
        <f t="shared" si="333"/>
        <v>0</v>
      </c>
      <c r="BO389" s="283">
        <f t="shared" si="334"/>
        <v>0</v>
      </c>
      <c r="BP389" s="283">
        <f t="shared" si="335"/>
        <v>0</v>
      </c>
      <c r="BQ389" s="283">
        <f t="shared" si="336"/>
        <v>0</v>
      </c>
      <c r="BR389" s="283">
        <f t="shared" si="337"/>
        <v>0</v>
      </c>
      <c r="BS389" s="283">
        <f t="shared" si="338"/>
        <v>0</v>
      </c>
      <c r="BT389" s="283">
        <f t="shared" si="339"/>
        <v>0</v>
      </c>
      <c r="BU389" s="283">
        <f t="shared" si="340"/>
        <v>0</v>
      </c>
      <c r="BV389" s="283">
        <f t="shared" si="341"/>
        <v>0</v>
      </c>
      <c r="BW389" s="283">
        <f t="shared" si="342"/>
        <v>0</v>
      </c>
      <c r="BX389" s="283">
        <f t="shared" si="343"/>
        <v>0</v>
      </c>
      <c r="BY389" s="283">
        <f t="shared" si="344"/>
        <v>0</v>
      </c>
      <c r="BZ389" s="283">
        <f t="shared" si="345"/>
        <v>0</v>
      </c>
      <c r="CA389" s="283">
        <f t="shared" si="346"/>
        <v>0</v>
      </c>
      <c r="CB389" s="283">
        <f t="shared" si="347"/>
        <v>0</v>
      </c>
      <c r="CC389" s="283">
        <f t="shared" si="348"/>
        <v>0</v>
      </c>
      <c r="CD389" s="283">
        <f t="shared" si="349"/>
        <v>0</v>
      </c>
      <c r="CE389" s="283">
        <f t="shared" si="350"/>
        <v>0</v>
      </c>
      <c r="CF389" s="283">
        <f t="shared" si="351"/>
        <v>0</v>
      </c>
      <c r="CG389" s="283">
        <f t="shared" si="352"/>
        <v>0</v>
      </c>
      <c r="CH389" s="283">
        <f t="shared" si="353"/>
        <v>0</v>
      </c>
      <c r="CI389" s="283">
        <f t="shared" si="354"/>
        <v>0</v>
      </c>
      <c r="CJ389" s="283">
        <f t="shared" si="355"/>
        <v>0</v>
      </c>
      <c r="CK389" s="283">
        <f t="shared" si="356"/>
        <v>0</v>
      </c>
      <c r="CL389" s="283">
        <f t="shared" si="357"/>
        <v>0</v>
      </c>
      <c r="CM389" s="283">
        <f t="shared" si="358"/>
        <v>0</v>
      </c>
      <c r="CN389" s="283">
        <f t="shared" si="359"/>
        <v>0</v>
      </c>
      <c r="CO389" s="283">
        <f t="shared" si="360"/>
        <v>0</v>
      </c>
      <c r="CP389" s="283">
        <f t="shared" si="361"/>
        <v>0</v>
      </c>
      <c r="CQ389" s="283">
        <f t="shared" si="362"/>
        <v>0</v>
      </c>
      <c r="CR389" s="283">
        <f t="shared" si="363"/>
        <v>0</v>
      </c>
      <c r="CS389" s="283">
        <f t="shared" si="364"/>
        <v>0</v>
      </c>
      <c r="CT389" s="283">
        <f t="shared" si="365"/>
        <v>0</v>
      </c>
      <c r="CU389" s="283">
        <f t="shared" si="366"/>
        <v>0</v>
      </c>
      <c r="CV389" s="283">
        <f t="shared" si="367"/>
        <v>0</v>
      </c>
      <c r="CW389" s="283">
        <f t="shared" si="368"/>
        <v>0</v>
      </c>
      <c r="CX389" s="283">
        <f t="shared" si="369"/>
        <v>0</v>
      </c>
    </row>
    <row r="390" spans="1:102" ht="15" customHeight="1">
      <c r="A390" s="49"/>
      <c r="B390" s="90"/>
      <c r="C390" s="143" t="s">
        <v>2523</v>
      </c>
      <c r="D390" s="813" t="str">
        <f>IF(CNSIPEE_2024_M2_Secc1!D49="","",CNSIPEE_2024_M2_Secc1!D49)</f>
        <v/>
      </c>
      <c r="E390" s="814"/>
      <c r="F390" s="814"/>
      <c r="G390" s="814"/>
      <c r="H390" s="814"/>
      <c r="I390" s="815"/>
      <c r="J390" s="100"/>
      <c r="K390" s="100"/>
      <c r="L390" s="100"/>
      <c r="M390" s="100"/>
      <c r="N390" s="100"/>
      <c r="O390" s="100"/>
      <c r="P390" s="100"/>
      <c r="Q390" s="100"/>
      <c r="R390" s="100"/>
      <c r="S390" s="100"/>
      <c r="T390" s="100"/>
      <c r="U390" s="100"/>
      <c r="V390" s="100"/>
      <c r="W390" s="100"/>
      <c r="X390" s="100"/>
      <c r="Y390" s="100"/>
      <c r="Z390" s="100"/>
      <c r="AA390" s="100"/>
      <c r="AB390" s="100"/>
      <c r="AC390" s="100"/>
      <c r="AD390" s="100"/>
      <c r="AG390" s="326">
        <f t="shared" si="300"/>
        <v>0</v>
      </c>
      <c r="AH390" s="283">
        <f t="shared" si="301"/>
        <v>0</v>
      </c>
      <c r="AI390" s="283">
        <f t="shared" si="302"/>
        <v>0</v>
      </c>
      <c r="AJ390" s="283">
        <f t="shared" si="303"/>
        <v>0</v>
      </c>
      <c r="AK390" s="283">
        <f t="shared" si="304"/>
        <v>0</v>
      </c>
      <c r="AL390" s="283">
        <f t="shared" si="305"/>
        <v>0</v>
      </c>
      <c r="AM390" s="283">
        <f t="shared" si="306"/>
        <v>0</v>
      </c>
      <c r="AN390" s="283">
        <f t="shared" si="307"/>
        <v>0</v>
      </c>
      <c r="AO390" s="283">
        <f t="shared" si="308"/>
        <v>0</v>
      </c>
      <c r="AP390" s="283">
        <f t="shared" si="309"/>
        <v>0</v>
      </c>
      <c r="AQ390" s="283">
        <f t="shared" si="310"/>
        <v>0</v>
      </c>
      <c r="AR390" s="283">
        <f t="shared" si="311"/>
        <v>0</v>
      </c>
      <c r="AS390" s="283">
        <f t="shared" si="312"/>
        <v>0</v>
      </c>
      <c r="AT390" s="283">
        <f t="shared" si="313"/>
        <v>0</v>
      </c>
      <c r="AU390" s="283">
        <f t="shared" si="314"/>
        <v>0</v>
      </c>
      <c r="AV390" s="283">
        <f t="shared" si="315"/>
        <v>0</v>
      </c>
      <c r="AW390" s="283">
        <f t="shared" si="316"/>
        <v>0</v>
      </c>
      <c r="AX390" s="283">
        <f t="shared" si="317"/>
        <v>0</v>
      </c>
      <c r="AY390" s="283">
        <f t="shared" si="318"/>
        <v>0</v>
      </c>
      <c r="AZ390" s="283">
        <f t="shared" si="319"/>
        <v>0</v>
      </c>
      <c r="BA390" s="283">
        <f t="shared" si="320"/>
        <v>0</v>
      </c>
      <c r="BB390" s="283">
        <f t="shared" si="321"/>
        <v>0</v>
      </c>
      <c r="BC390" s="283">
        <f t="shared" si="322"/>
        <v>0</v>
      </c>
      <c r="BD390" s="283">
        <f t="shared" si="323"/>
        <v>0</v>
      </c>
      <c r="BE390" s="283">
        <f t="shared" si="324"/>
        <v>0</v>
      </c>
      <c r="BF390" s="283">
        <f t="shared" si="325"/>
        <v>0</v>
      </c>
      <c r="BG390" s="283">
        <f t="shared" si="326"/>
        <v>0</v>
      </c>
      <c r="BH390" s="283">
        <f t="shared" si="327"/>
        <v>0</v>
      </c>
      <c r="BI390" s="283">
        <f t="shared" si="328"/>
        <v>0</v>
      </c>
      <c r="BJ390" s="283">
        <f t="shared" si="329"/>
        <v>0</v>
      </c>
      <c r="BK390" s="283">
        <f t="shared" si="330"/>
        <v>0</v>
      </c>
      <c r="BL390" s="283">
        <f t="shared" si="331"/>
        <v>0</v>
      </c>
      <c r="BM390" s="283">
        <f t="shared" si="332"/>
        <v>0</v>
      </c>
      <c r="BN390" s="283">
        <f t="shared" si="333"/>
        <v>0</v>
      </c>
      <c r="BO390" s="283">
        <f t="shared" si="334"/>
        <v>0</v>
      </c>
      <c r="BP390" s="283">
        <f t="shared" si="335"/>
        <v>0</v>
      </c>
      <c r="BQ390" s="283">
        <f t="shared" si="336"/>
        <v>0</v>
      </c>
      <c r="BR390" s="283">
        <f t="shared" si="337"/>
        <v>0</v>
      </c>
      <c r="BS390" s="283">
        <f t="shared" si="338"/>
        <v>0</v>
      </c>
      <c r="BT390" s="283">
        <f t="shared" si="339"/>
        <v>0</v>
      </c>
      <c r="BU390" s="283">
        <f t="shared" si="340"/>
        <v>0</v>
      </c>
      <c r="BV390" s="283">
        <f t="shared" si="341"/>
        <v>0</v>
      </c>
      <c r="BW390" s="283">
        <f t="shared" si="342"/>
        <v>0</v>
      </c>
      <c r="BX390" s="283">
        <f t="shared" si="343"/>
        <v>0</v>
      </c>
      <c r="BY390" s="283">
        <f t="shared" si="344"/>
        <v>0</v>
      </c>
      <c r="BZ390" s="283">
        <f t="shared" si="345"/>
        <v>0</v>
      </c>
      <c r="CA390" s="283">
        <f t="shared" si="346"/>
        <v>0</v>
      </c>
      <c r="CB390" s="283">
        <f t="shared" si="347"/>
        <v>0</v>
      </c>
      <c r="CC390" s="283">
        <f t="shared" si="348"/>
        <v>0</v>
      </c>
      <c r="CD390" s="283">
        <f t="shared" si="349"/>
        <v>0</v>
      </c>
      <c r="CE390" s="283">
        <f t="shared" si="350"/>
        <v>0</v>
      </c>
      <c r="CF390" s="283">
        <f t="shared" si="351"/>
        <v>0</v>
      </c>
      <c r="CG390" s="283">
        <f t="shared" si="352"/>
        <v>0</v>
      </c>
      <c r="CH390" s="283">
        <f t="shared" si="353"/>
        <v>0</v>
      </c>
      <c r="CI390" s="283">
        <f t="shared" si="354"/>
        <v>0</v>
      </c>
      <c r="CJ390" s="283">
        <f t="shared" si="355"/>
        <v>0</v>
      </c>
      <c r="CK390" s="283">
        <f t="shared" si="356"/>
        <v>0</v>
      </c>
      <c r="CL390" s="283">
        <f t="shared" si="357"/>
        <v>0</v>
      </c>
      <c r="CM390" s="283">
        <f t="shared" si="358"/>
        <v>0</v>
      </c>
      <c r="CN390" s="283">
        <f t="shared" si="359"/>
        <v>0</v>
      </c>
      <c r="CO390" s="283">
        <f t="shared" si="360"/>
        <v>0</v>
      </c>
      <c r="CP390" s="283">
        <f t="shared" si="361"/>
        <v>0</v>
      </c>
      <c r="CQ390" s="283">
        <f t="shared" si="362"/>
        <v>0</v>
      </c>
      <c r="CR390" s="283">
        <f t="shared" si="363"/>
        <v>0</v>
      </c>
      <c r="CS390" s="283">
        <f t="shared" si="364"/>
        <v>0</v>
      </c>
      <c r="CT390" s="283">
        <f t="shared" si="365"/>
        <v>0</v>
      </c>
      <c r="CU390" s="283">
        <f t="shared" si="366"/>
        <v>0</v>
      </c>
      <c r="CV390" s="283">
        <f t="shared" si="367"/>
        <v>0</v>
      </c>
      <c r="CW390" s="283">
        <f t="shared" si="368"/>
        <v>0</v>
      </c>
      <c r="CX390" s="283">
        <f t="shared" si="369"/>
        <v>0</v>
      </c>
    </row>
    <row r="391" spans="1:102" ht="15" customHeight="1">
      <c r="A391" s="49"/>
      <c r="B391" s="90"/>
      <c r="C391" s="90"/>
      <c r="D391" s="90"/>
      <c r="E391" s="90"/>
      <c r="F391" s="90"/>
      <c r="G391" s="90"/>
      <c r="H391" s="90"/>
      <c r="I391" s="117" t="s">
        <v>2649</v>
      </c>
      <c r="J391" s="124">
        <f>IF(AND(SUM(J383:J390)=0,COUNTIF(J383:J390,"NS")&gt;0),"NS",
IF(AND(SUM(J383:J390)=0,COUNTIF(J383:J390,0)&gt;0),0,
IF(AND(SUM(J383:J390)=0,COUNTIF(J383:J390,"NA")&gt;0),"NA",
SUM(J383:J390))))</f>
        <v>0</v>
      </c>
      <c r="K391" s="124">
        <f t="shared" ref="K391:AD391" si="370">IF(AND(SUM(K383:K390)=0,COUNTIF(K383:K390,"NS")&gt;0),"NS",
IF(AND(SUM(K383:K390)=0,COUNTIF(K383:K390,0)&gt;0),0,
IF(AND(SUM(K383:K390)=0,COUNTIF(K383:K390,"NA")&gt;0),"NA",
SUM(K383:K390))))</f>
        <v>0</v>
      </c>
      <c r="L391" s="124">
        <f t="shared" si="370"/>
        <v>0</v>
      </c>
      <c r="M391" s="124">
        <f t="shared" si="370"/>
        <v>0</v>
      </c>
      <c r="N391" s="124">
        <f t="shared" si="370"/>
        <v>0</v>
      </c>
      <c r="O391" s="124">
        <f t="shared" si="370"/>
        <v>0</v>
      </c>
      <c r="P391" s="124">
        <f t="shared" si="370"/>
        <v>0</v>
      </c>
      <c r="Q391" s="124">
        <f t="shared" si="370"/>
        <v>0</v>
      </c>
      <c r="R391" s="124">
        <f t="shared" si="370"/>
        <v>0</v>
      </c>
      <c r="S391" s="124">
        <f t="shared" si="370"/>
        <v>0</v>
      </c>
      <c r="T391" s="124">
        <f t="shared" si="370"/>
        <v>0</v>
      </c>
      <c r="U391" s="124">
        <f t="shared" si="370"/>
        <v>0</v>
      </c>
      <c r="V391" s="124">
        <f t="shared" si="370"/>
        <v>0</v>
      </c>
      <c r="W391" s="124">
        <f t="shared" si="370"/>
        <v>0</v>
      </c>
      <c r="X391" s="124">
        <f t="shared" si="370"/>
        <v>0</v>
      </c>
      <c r="Y391" s="124">
        <f t="shared" si="370"/>
        <v>0</v>
      </c>
      <c r="Z391" s="124">
        <f t="shared" si="370"/>
        <v>0</v>
      </c>
      <c r="AA391" s="124">
        <f t="shared" si="370"/>
        <v>0</v>
      </c>
      <c r="AB391" s="124">
        <f t="shared" si="370"/>
        <v>0</v>
      </c>
      <c r="AC391" s="124">
        <f t="shared" si="370"/>
        <v>0</v>
      </c>
      <c r="AD391" s="124">
        <f t="shared" si="370"/>
        <v>0</v>
      </c>
      <c r="AG391" s="349">
        <f>SUM(AG383:AG390)</f>
        <v>0</v>
      </c>
      <c r="AH391" s="350">
        <f>SUM(AH383:AH390)</f>
        <v>0</v>
      </c>
      <c r="AI391" s="326"/>
      <c r="AJ391" s="352">
        <f>SUM(AJ383:AJ390)</f>
        <v>0</v>
      </c>
      <c r="AK391" s="350">
        <f t="shared" ref="AK391" si="371">SUM(AK383:AK390)</f>
        <v>0</v>
      </c>
      <c r="AL391" s="326"/>
      <c r="AM391" s="352">
        <f t="shared" ref="AM391:AN391" si="372">SUM(AM383:AM390)</f>
        <v>0</v>
      </c>
      <c r="AN391" s="350">
        <f t="shared" si="372"/>
        <v>0</v>
      </c>
      <c r="AO391" s="326"/>
      <c r="AP391" s="352">
        <f t="shared" ref="AP391:AQ391" si="373">SUM(AP383:AP390)</f>
        <v>0</v>
      </c>
      <c r="AQ391" s="350">
        <f t="shared" si="373"/>
        <v>0</v>
      </c>
      <c r="AR391" s="326"/>
      <c r="AS391" s="352">
        <f t="shared" ref="AS391:AT391" si="374">SUM(AS383:AS390)</f>
        <v>0</v>
      </c>
      <c r="AT391" s="350">
        <f t="shared" si="374"/>
        <v>0</v>
      </c>
      <c r="AU391" s="326"/>
      <c r="AV391" s="352">
        <f t="shared" ref="AV391:AW391" si="375">SUM(AV383:AV390)</f>
        <v>0</v>
      </c>
      <c r="AW391" s="350">
        <f t="shared" si="375"/>
        <v>0</v>
      </c>
      <c r="AX391" s="326"/>
      <c r="AY391" s="352">
        <f t="shared" ref="AY391:AZ391" si="376">SUM(AY383:AY390)</f>
        <v>0</v>
      </c>
      <c r="AZ391" s="350">
        <f t="shared" si="376"/>
        <v>0</v>
      </c>
      <c r="BA391" s="326"/>
      <c r="BB391" s="352">
        <f t="shared" ref="BB391:BC391" si="377">SUM(BB383:BB390)</f>
        <v>0</v>
      </c>
      <c r="BC391" s="350">
        <f t="shared" si="377"/>
        <v>0</v>
      </c>
      <c r="BD391" s="326"/>
      <c r="BE391" s="352">
        <f t="shared" ref="BE391:BF391" si="378">SUM(BE383:BE390)</f>
        <v>0</v>
      </c>
      <c r="BF391" s="350">
        <f t="shared" si="378"/>
        <v>0</v>
      </c>
      <c r="BG391" s="326"/>
      <c r="BH391" s="352">
        <f t="shared" ref="BH391:BI391" si="379">SUM(BH383:BH390)</f>
        <v>0</v>
      </c>
      <c r="BI391" s="350">
        <f t="shared" si="379"/>
        <v>0</v>
      </c>
      <c r="BJ391" s="326"/>
      <c r="BK391" s="352">
        <f t="shared" ref="BK391:BL391" si="380">SUM(BK383:BK390)</f>
        <v>0</v>
      </c>
      <c r="BL391" s="350">
        <f t="shared" si="380"/>
        <v>0</v>
      </c>
      <c r="BM391" s="326"/>
      <c r="BN391" s="352">
        <f t="shared" ref="BN391:BO391" si="381">SUM(BN383:BN390)</f>
        <v>0</v>
      </c>
      <c r="BO391" s="350">
        <f t="shared" si="381"/>
        <v>0</v>
      </c>
      <c r="BP391" s="326"/>
      <c r="BQ391" s="352">
        <f t="shared" ref="BQ391:BR391" si="382">SUM(BQ383:BQ390)</f>
        <v>0</v>
      </c>
      <c r="BR391" s="350">
        <f t="shared" si="382"/>
        <v>0</v>
      </c>
      <c r="BS391" s="326"/>
      <c r="BT391" s="352">
        <f t="shared" ref="BT391:BU391" si="383">SUM(BT383:BT390)</f>
        <v>0</v>
      </c>
      <c r="BU391" s="350">
        <f t="shared" si="383"/>
        <v>0</v>
      </c>
      <c r="BV391" s="326"/>
      <c r="BW391" s="352">
        <f t="shared" ref="BW391:BX391" si="384">SUM(BW383:BW390)</f>
        <v>0</v>
      </c>
      <c r="BX391" s="350">
        <f t="shared" si="384"/>
        <v>0</v>
      </c>
      <c r="BY391" s="326"/>
      <c r="BZ391" s="352">
        <f t="shared" ref="BZ391:CA391" si="385">SUM(BZ383:BZ390)</f>
        <v>0</v>
      </c>
      <c r="CA391" s="350">
        <f t="shared" si="385"/>
        <v>0</v>
      </c>
      <c r="CB391" s="326"/>
      <c r="CC391" s="352">
        <f t="shared" ref="CC391:CD391" si="386">SUM(CC383:CC390)</f>
        <v>0</v>
      </c>
      <c r="CD391" s="350">
        <f t="shared" si="386"/>
        <v>0</v>
      </c>
      <c r="CE391" s="326"/>
      <c r="CF391" s="352">
        <f t="shared" ref="CF391:CG391" si="387">SUM(CF383:CF390)</f>
        <v>0</v>
      </c>
      <c r="CG391" s="350">
        <f t="shared" si="387"/>
        <v>0</v>
      </c>
      <c r="CH391" s="326"/>
      <c r="CI391" s="352">
        <f t="shared" ref="CI391:CJ391" si="388">SUM(CI383:CI390)</f>
        <v>0</v>
      </c>
      <c r="CJ391" s="350">
        <f t="shared" si="388"/>
        <v>0</v>
      </c>
      <c r="CK391" s="326"/>
      <c r="CL391" s="352">
        <f t="shared" ref="CL391:CM391" si="389">SUM(CL383:CL390)</f>
        <v>0</v>
      </c>
      <c r="CM391" s="350">
        <f t="shared" si="389"/>
        <v>0</v>
      </c>
      <c r="CN391" s="326"/>
      <c r="CO391" s="352">
        <f t="shared" ref="CO391:CP391" si="390">SUM(CO383:CO390)</f>
        <v>0</v>
      </c>
      <c r="CP391" s="350">
        <f t="shared" si="390"/>
        <v>0</v>
      </c>
      <c r="CQ391" s="326"/>
      <c r="CR391" s="352">
        <f t="shared" ref="CR391:CS391" si="391">SUM(CR383:CR390)</f>
        <v>0</v>
      </c>
      <c r="CS391" s="350">
        <f t="shared" si="391"/>
        <v>0</v>
      </c>
      <c r="CT391" s="326"/>
      <c r="CU391" s="352">
        <f t="shared" ref="CU391:CV391" si="392">SUM(CU383:CU390)</f>
        <v>0</v>
      </c>
      <c r="CV391" s="350">
        <f t="shared" si="392"/>
        <v>0</v>
      </c>
      <c r="CW391" s="326"/>
      <c r="CX391" s="352">
        <f t="shared" ref="CX391" si="393">SUM(CX383:CX390)</f>
        <v>0</v>
      </c>
    </row>
    <row r="392" spans="1:102" ht="15" customHeight="1">
      <c r="A392" s="49"/>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c r="AA392" s="38"/>
      <c r="AB392" s="38"/>
      <c r="AC392" s="38"/>
      <c r="AD392" s="38"/>
    </row>
    <row r="393" spans="1:102" ht="15">
      <c r="A393" s="94"/>
      <c r="AA393" s="875" t="s">
        <v>3233</v>
      </c>
      <c r="AB393" s="875"/>
      <c r="AC393" s="875"/>
      <c r="AD393" s="875"/>
      <c r="AI393" s="356" t="s">
        <v>2650</v>
      </c>
      <c r="AJ393" s="283">
        <f>SUM(AJ391,AM391,AP391,AS391,AV391,AY391,BB391,BE391,BH391,BK391,BN391,BQ391,BT391,BW391,BZ391,CC391,CF391,CI391,CL391,CO391,CR391,CU391,CX391)</f>
        <v>0</v>
      </c>
      <c r="AK393" s="355" t="s">
        <v>2651</v>
      </c>
      <c r="AL393" s="283">
        <f>SUM(AH391,AK391,AN391,AQ391,AT391,AW391,AZ391,BC391,BF391,BI391,BL391,BO391,BR391,BU391,BX391,CA391,CD391,CG391,CJ391,CM391,CP391,CS391,CV391)</f>
        <v>0</v>
      </c>
      <c r="AM393" s="283"/>
      <c r="AN393" s="283"/>
    </row>
    <row r="394" spans="1:102" ht="15" customHeight="1">
      <c r="A394" s="103"/>
      <c r="B394" s="113"/>
      <c r="C394" s="797" t="s">
        <v>2581</v>
      </c>
      <c r="D394" s="798"/>
      <c r="E394" s="798"/>
      <c r="F394" s="799"/>
      <c r="G394" s="740" t="s">
        <v>3266</v>
      </c>
      <c r="H394" s="740"/>
      <c r="I394" s="740"/>
      <c r="J394" s="740"/>
      <c r="K394" s="740"/>
      <c r="L394" s="740"/>
      <c r="M394" s="740"/>
      <c r="N394" s="740"/>
      <c r="O394" s="740"/>
      <c r="P394" s="740"/>
      <c r="Q394" s="740"/>
      <c r="R394" s="740"/>
      <c r="S394" s="740"/>
      <c r="T394" s="740"/>
      <c r="U394" s="740"/>
      <c r="V394" s="740"/>
      <c r="W394" s="740"/>
      <c r="X394" s="740"/>
      <c r="Y394" s="740"/>
      <c r="Z394" s="740"/>
      <c r="AA394" s="740"/>
      <c r="AB394" s="740"/>
      <c r="AC394" s="740"/>
      <c r="AD394" s="741"/>
      <c r="AI394" s="357" t="s">
        <v>2652</v>
      </c>
      <c r="AJ394" s="283">
        <f>IF(AL393&gt;0,IF(SUM(J391)&gt;=SUM(M391,P391,S391,V391,Y391,AB391,G407,J407,M407,P407,S407,V407,Y407,AB407,G423,J423,M423,P423,S423,V423,Y423,AB423),0,1),IF(SUM(J391)&lt;&gt;SUM(M391,P391,S391,V391,Y391,AB391,G407,J407,M407,P407,S407,V407,Y407,AB407,G423,J423,M423,P423,S423,V423,Y423,AB423),1,0))</f>
        <v>0</v>
      </c>
      <c r="AK394" s="357" t="s">
        <v>2653</v>
      </c>
      <c r="AL394" s="283">
        <f>IF(AL393&gt;0,IF(SUM(K391)&gt;=SUM(N391,Q391,T391,W391,Z391,AC391,H407,K407,N407,Q407,T407,W407,Z407,AC407,H423,K423,N423,Q423,T423,W423,Z423,AC423),0,1),IF(SUM(K391)&lt;&gt;SUM(N391,Q391,T391,W391,Z391,AC391,H407,K407,N407,Q407,T407,W407,Z407,AC407,H423,K423,N423,Q423,T423,W423,Z423,AC423),1,0))</f>
        <v>0</v>
      </c>
      <c r="AM394" s="357" t="s">
        <v>2654</v>
      </c>
      <c r="AN394" s="283">
        <f>IF(AL393&gt;0,IF(SUM(L391)&gt;=SUM(O391,R391,U391,X391,AA391,AD391,I407,L407,O407,R407,U407,X407,AA407,AD407,I423,L423,O423,R423,U423,X423,AA423,AD423),0,1),IF(SUM(L391)&lt;&gt;SUM(O391,R391,U391,X391,AA391,AD391,I407,L407,O407,R407,U407,X407,AA407,AD407,I423,L423,O423,R423,U423,X423,AA423,AD423),1,0))</f>
        <v>0</v>
      </c>
    </row>
    <row r="395" spans="1:102" ht="15" customHeight="1">
      <c r="A395" s="103"/>
      <c r="B395" s="113"/>
      <c r="C395" s="800"/>
      <c r="D395" s="801"/>
      <c r="E395" s="801"/>
      <c r="F395" s="802"/>
      <c r="G395" s="733" t="s">
        <v>3268</v>
      </c>
      <c r="H395" s="734"/>
      <c r="I395" s="734"/>
      <c r="J395" s="734"/>
      <c r="K395" s="734"/>
      <c r="L395" s="734"/>
      <c r="M395" s="734"/>
      <c r="N395" s="734"/>
      <c r="O395" s="734"/>
      <c r="P395" s="734"/>
      <c r="Q395" s="734"/>
      <c r="R395" s="734"/>
      <c r="S395" s="734"/>
      <c r="T395" s="734"/>
      <c r="U395" s="734"/>
      <c r="V395" s="734"/>
      <c r="W395" s="734"/>
      <c r="X395" s="734"/>
      <c r="Y395" s="734"/>
      <c r="Z395" s="734"/>
      <c r="AA395" s="734"/>
      <c r="AB395" s="734"/>
      <c r="AC395" s="734"/>
      <c r="AD395" s="735"/>
    </row>
    <row r="396" spans="1:102" ht="15">
      <c r="A396" s="103"/>
      <c r="B396" s="113"/>
      <c r="C396" s="800"/>
      <c r="D396" s="801"/>
      <c r="E396" s="801"/>
      <c r="F396" s="802"/>
      <c r="G396" s="733" t="s">
        <v>3269</v>
      </c>
      <c r="H396" s="734"/>
      <c r="I396" s="734"/>
      <c r="J396" s="734"/>
      <c r="K396" s="734"/>
      <c r="L396" s="734"/>
      <c r="M396" s="734"/>
      <c r="N396" s="734"/>
      <c r="O396" s="734"/>
      <c r="P396" s="734"/>
      <c r="Q396" s="734"/>
      <c r="R396" s="735"/>
      <c r="S396" s="841" t="s">
        <v>3290</v>
      </c>
      <c r="T396" s="950"/>
      <c r="U396" s="842"/>
      <c r="V396" s="841" t="s">
        <v>3291</v>
      </c>
      <c r="W396" s="950"/>
      <c r="X396" s="842"/>
      <c r="Y396" s="841" t="s">
        <v>3292</v>
      </c>
      <c r="Z396" s="950"/>
      <c r="AA396" s="842"/>
      <c r="AB396" s="841" t="s">
        <v>3293</v>
      </c>
      <c r="AC396" s="950"/>
      <c r="AD396" s="842"/>
    </row>
    <row r="397" spans="1:102" ht="84" customHeight="1">
      <c r="A397" s="103"/>
      <c r="C397" s="800"/>
      <c r="D397" s="801"/>
      <c r="E397" s="801"/>
      <c r="F397" s="802"/>
      <c r="G397" s="845" t="s">
        <v>3294</v>
      </c>
      <c r="H397" s="952"/>
      <c r="I397" s="846"/>
      <c r="J397" s="845" t="s">
        <v>3295</v>
      </c>
      <c r="K397" s="952"/>
      <c r="L397" s="846"/>
      <c r="M397" s="845" t="s">
        <v>3296</v>
      </c>
      <c r="N397" s="952"/>
      <c r="O397" s="846"/>
      <c r="P397" s="845" t="s">
        <v>3297</v>
      </c>
      <c r="Q397" s="952"/>
      <c r="R397" s="846"/>
      <c r="S397" s="843"/>
      <c r="T397" s="951"/>
      <c r="U397" s="844"/>
      <c r="V397" s="843"/>
      <c r="W397" s="951"/>
      <c r="X397" s="844"/>
      <c r="Y397" s="843"/>
      <c r="Z397" s="951"/>
      <c r="AA397" s="844"/>
      <c r="AB397" s="843"/>
      <c r="AC397" s="951"/>
      <c r="AD397" s="844"/>
      <c r="AG397" s="919" t="s">
        <v>3175</v>
      </c>
      <c r="AH397" s="919"/>
      <c r="AI397" s="919"/>
    </row>
    <row r="398" spans="1:102" ht="48" customHeight="1">
      <c r="A398" s="103"/>
      <c r="C398" s="803"/>
      <c r="D398" s="804"/>
      <c r="E398" s="804"/>
      <c r="F398" s="805"/>
      <c r="G398" s="127" t="s">
        <v>2635</v>
      </c>
      <c r="H398" s="128" t="s">
        <v>2629</v>
      </c>
      <c r="I398" s="128" t="s">
        <v>2630</v>
      </c>
      <c r="J398" s="127" t="s">
        <v>2635</v>
      </c>
      <c r="K398" s="128" t="s">
        <v>2629</v>
      </c>
      <c r="L398" s="128" t="s">
        <v>2630</v>
      </c>
      <c r="M398" s="127" t="s">
        <v>2635</v>
      </c>
      <c r="N398" s="128" t="s">
        <v>2629</v>
      </c>
      <c r="O398" s="128" t="s">
        <v>2630</v>
      </c>
      <c r="P398" s="127" t="s">
        <v>2635</v>
      </c>
      <c r="Q398" s="128" t="s">
        <v>2629</v>
      </c>
      <c r="R398" s="128" t="s">
        <v>2630</v>
      </c>
      <c r="S398" s="127" t="s">
        <v>2635</v>
      </c>
      <c r="T398" s="128" t="s">
        <v>2629</v>
      </c>
      <c r="U398" s="128" t="s">
        <v>2630</v>
      </c>
      <c r="V398" s="127" t="s">
        <v>2635</v>
      </c>
      <c r="W398" s="128" t="s">
        <v>2629</v>
      </c>
      <c r="X398" s="128" t="s">
        <v>2630</v>
      </c>
      <c r="Y398" s="127" t="s">
        <v>2635</v>
      </c>
      <c r="Z398" s="128" t="s">
        <v>2629</v>
      </c>
      <c r="AA398" s="128" t="s">
        <v>2630</v>
      </c>
      <c r="AB398" s="127" t="s">
        <v>2635</v>
      </c>
      <c r="AC398" s="128" t="s">
        <v>2629</v>
      </c>
      <c r="AD398" s="128" t="s">
        <v>2630</v>
      </c>
      <c r="AG398" s="359" t="s">
        <v>2795</v>
      </c>
      <c r="AH398" s="360" t="s">
        <v>3177</v>
      </c>
      <c r="AI398" s="361" t="s">
        <v>3178</v>
      </c>
    </row>
    <row r="399" spans="1:102" ht="15" customHeight="1">
      <c r="A399" s="49"/>
      <c r="B399" s="90"/>
      <c r="C399" s="97" t="s">
        <v>2516</v>
      </c>
      <c r="D399" s="813" t="str">
        <f>IF(CNSIPEE_2024_M2_Secc1!D42="","",CNSIPEE_2024_M2_Secc1!D42)</f>
        <v/>
      </c>
      <c r="E399" s="814"/>
      <c r="F399" s="815"/>
      <c r="G399" s="100"/>
      <c r="H399" s="100"/>
      <c r="I399" s="100"/>
      <c r="J399" s="100"/>
      <c r="K399" s="100"/>
      <c r="L399" s="100"/>
      <c r="M399" s="100"/>
      <c r="N399" s="100"/>
      <c r="O399" s="100"/>
      <c r="P399" s="100"/>
      <c r="Q399" s="100"/>
      <c r="R399" s="100"/>
      <c r="S399" s="100"/>
      <c r="T399" s="100"/>
      <c r="U399" s="100"/>
      <c r="V399" s="100"/>
      <c r="W399" s="100"/>
      <c r="X399" s="100"/>
      <c r="Y399" s="100"/>
      <c r="Z399" s="100"/>
      <c r="AA399" s="100"/>
      <c r="AB399" s="100"/>
      <c r="AC399" s="100"/>
      <c r="AD399" s="100"/>
      <c r="AG399">
        <f>IF(AND(J383="NS",$M113="NS"),0,IF(AND(J383="NA",$M113="NA"),0,IF(J383=$M113,0,1)))</f>
        <v>0</v>
      </c>
      <c r="AH399">
        <f>IF(AND(K383="NS",$S113="NS"),0,IF(AND(K383="NA",$S113="NA"),0,IF(K383=$S113,0,1)))</f>
        <v>0</v>
      </c>
      <c r="AI399">
        <f>IF(AND(L383="NS",$Y113="NS"),0,IF(AND(L383="NA",$Y113="NA"),0,IF(L383=$Y113,0,1)))</f>
        <v>0</v>
      </c>
    </row>
    <row r="400" spans="1:102" ht="15" customHeight="1">
      <c r="A400" s="49"/>
      <c r="B400" s="90"/>
      <c r="C400" s="143" t="s">
        <v>2517</v>
      </c>
      <c r="D400" s="813" t="str">
        <f>IF(CNSIPEE_2024_M2_Secc1!D43="","",CNSIPEE_2024_M2_Secc1!D43)</f>
        <v/>
      </c>
      <c r="E400" s="814"/>
      <c r="F400" s="815"/>
      <c r="G400" s="100"/>
      <c r="H400" s="100"/>
      <c r="I400" s="100"/>
      <c r="J400" s="100"/>
      <c r="K400" s="100"/>
      <c r="L400" s="100"/>
      <c r="M400" s="100"/>
      <c r="N400" s="100"/>
      <c r="O400" s="100"/>
      <c r="P400" s="100"/>
      <c r="Q400" s="100"/>
      <c r="R400" s="100"/>
      <c r="S400" s="100"/>
      <c r="T400" s="100"/>
      <c r="U400" s="100"/>
      <c r="V400" s="100"/>
      <c r="W400" s="100"/>
      <c r="X400" s="100"/>
      <c r="Y400" s="100"/>
      <c r="Z400" s="100"/>
      <c r="AA400" s="100"/>
      <c r="AB400" s="100"/>
      <c r="AC400" s="100"/>
      <c r="AD400" s="100"/>
      <c r="AG400">
        <f t="shared" ref="AG400:AG406" si="394">IF(AND(J384="NS",$M114="NS"),0,IF(AND(J384="NA",$M114="NA"),0,IF(J384=$M114,0,1)))</f>
        <v>0</v>
      </c>
      <c r="AH400">
        <f t="shared" ref="AH400:AH406" si="395">IF(AND(K384="NS",$S114="NS"),0,IF(AND(K384="NA",$S114="NA"),0,IF(K384=$S114,0,1)))</f>
        <v>0</v>
      </c>
      <c r="AI400">
        <f t="shared" ref="AI400:AI406" si="396">IF(AND(L384="NS",$Y114="NS"),0,IF(AND(L384="NA",$Y114="NA"),0,IF(L384=$Y114,0,1)))</f>
        <v>0</v>
      </c>
    </row>
    <row r="401" spans="1:35" ht="15" customHeight="1">
      <c r="A401" s="49"/>
      <c r="B401" s="90"/>
      <c r="C401" s="143" t="s">
        <v>2518</v>
      </c>
      <c r="D401" s="813" t="str">
        <f>IF(CNSIPEE_2024_M2_Secc1!D44="","",CNSIPEE_2024_M2_Secc1!D44)</f>
        <v/>
      </c>
      <c r="E401" s="814"/>
      <c r="F401" s="815"/>
      <c r="G401" s="100"/>
      <c r="H401" s="100"/>
      <c r="I401" s="100"/>
      <c r="J401" s="100"/>
      <c r="K401" s="100"/>
      <c r="L401" s="100"/>
      <c r="M401" s="100"/>
      <c r="N401" s="100"/>
      <c r="O401" s="100"/>
      <c r="P401" s="100"/>
      <c r="Q401" s="100"/>
      <c r="R401" s="100"/>
      <c r="S401" s="100"/>
      <c r="T401" s="100"/>
      <c r="U401" s="100"/>
      <c r="V401" s="100"/>
      <c r="W401" s="100"/>
      <c r="X401" s="100"/>
      <c r="Y401" s="100"/>
      <c r="Z401" s="100"/>
      <c r="AA401" s="100"/>
      <c r="AB401" s="100"/>
      <c r="AC401" s="100"/>
      <c r="AD401" s="100"/>
      <c r="AG401">
        <f t="shared" si="394"/>
        <v>0</v>
      </c>
      <c r="AH401">
        <f t="shared" si="395"/>
        <v>0</v>
      </c>
      <c r="AI401">
        <f t="shared" si="396"/>
        <v>0</v>
      </c>
    </row>
    <row r="402" spans="1:35" ht="15" customHeight="1">
      <c r="A402" s="49"/>
      <c r="B402" s="90"/>
      <c r="C402" s="143" t="s">
        <v>2519</v>
      </c>
      <c r="D402" s="813" t="str">
        <f>IF(CNSIPEE_2024_M2_Secc1!D45="","",CNSIPEE_2024_M2_Secc1!D45)</f>
        <v/>
      </c>
      <c r="E402" s="814"/>
      <c r="F402" s="815"/>
      <c r="G402" s="100"/>
      <c r="H402" s="100"/>
      <c r="I402" s="100"/>
      <c r="J402" s="100"/>
      <c r="K402" s="100"/>
      <c r="L402" s="100"/>
      <c r="M402" s="100"/>
      <c r="N402" s="100"/>
      <c r="O402" s="100"/>
      <c r="P402" s="100"/>
      <c r="Q402" s="100"/>
      <c r="R402" s="100"/>
      <c r="S402" s="100"/>
      <c r="T402" s="100"/>
      <c r="U402" s="100"/>
      <c r="V402" s="100"/>
      <c r="W402" s="100"/>
      <c r="X402" s="100"/>
      <c r="Y402" s="100"/>
      <c r="Z402" s="100"/>
      <c r="AA402" s="100"/>
      <c r="AB402" s="100"/>
      <c r="AC402" s="100"/>
      <c r="AD402" s="100"/>
      <c r="AG402">
        <f t="shared" si="394"/>
        <v>0</v>
      </c>
      <c r="AH402">
        <f t="shared" si="395"/>
        <v>0</v>
      </c>
      <c r="AI402">
        <f t="shared" si="396"/>
        <v>0</v>
      </c>
    </row>
    <row r="403" spans="1:35" ht="15" customHeight="1">
      <c r="A403" s="49"/>
      <c r="B403" s="90"/>
      <c r="C403" s="143" t="s">
        <v>2520</v>
      </c>
      <c r="D403" s="813" t="str">
        <f>IF(CNSIPEE_2024_M2_Secc1!D46="","",CNSIPEE_2024_M2_Secc1!D46)</f>
        <v/>
      </c>
      <c r="E403" s="814"/>
      <c r="F403" s="815"/>
      <c r="G403" s="100"/>
      <c r="H403" s="100"/>
      <c r="I403" s="100"/>
      <c r="J403" s="100"/>
      <c r="K403" s="100"/>
      <c r="L403" s="100"/>
      <c r="M403" s="100"/>
      <c r="N403" s="100"/>
      <c r="O403" s="100"/>
      <c r="P403" s="100"/>
      <c r="Q403" s="100"/>
      <c r="R403" s="100"/>
      <c r="S403" s="100"/>
      <c r="T403" s="100"/>
      <c r="U403" s="100"/>
      <c r="V403" s="100"/>
      <c r="W403" s="100"/>
      <c r="X403" s="100"/>
      <c r="Y403" s="100"/>
      <c r="Z403" s="100"/>
      <c r="AA403" s="100"/>
      <c r="AB403" s="100"/>
      <c r="AC403" s="100"/>
      <c r="AD403" s="100"/>
      <c r="AG403">
        <f t="shared" si="394"/>
        <v>0</v>
      </c>
      <c r="AH403">
        <f t="shared" si="395"/>
        <v>0</v>
      </c>
      <c r="AI403">
        <f t="shared" si="396"/>
        <v>0</v>
      </c>
    </row>
    <row r="404" spans="1:35" ht="15" customHeight="1">
      <c r="A404" s="49"/>
      <c r="B404" s="90"/>
      <c r="C404" s="143" t="s">
        <v>2521</v>
      </c>
      <c r="D404" s="813" t="str">
        <f>IF(CNSIPEE_2024_M2_Secc1!D47="","",CNSIPEE_2024_M2_Secc1!D47)</f>
        <v/>
      </c>
      <c r="E404" s="814"/>
      <c r="F404" s="815"/>
      <c r="G404" s="100"/>
      <c r="H404" s="100"/>
      <c r="I404" s="100"/>
      <c r="J404" s="100"/>
      <c r="K404" s="100"/>
      <c r="L404" s="100"/>
      <c r="M404" s="100"/>
      <c r="N404" s="100"/>
      <c r="O404" s="100"/>
      <c r="P404" s="100"/>
      <c r="Q404" s="100"/>
      <c r="R404" s="100"/>
      <c r="S404" s="100"/>
      <c r="T404" s="100"/>
      <c r="U404" s="100"/>
      <c r="V404" s="100"/>
      <c r="W404" s="100"/>
      <c r="X404" s="100"/>
      <c r="Y404" s="100"/>
      <c r="Z404" s="100"/>
      <c r="AA404" s="100"/>
      <c r="AB404" s="100"/>
      <c r="AC404" s="100"/>
      <c r="AD404" s="100"/>
      <c r="AG404">
        <f t="shared" si="394"/>
        <v>0</v>
      </c>
      <c r="AH404">
        <f t="shared" si="395"/>
        <v>0</v>
      </c>
      <c r="AI404">
        <f t="shared" si="396"/>
        <v>0</v>
      </c>
    </row>
    <row r="405" spans="1:35" ht="15" customHeight="1">
      <c r="A405" s="49"/>
      <c r="B405" s="90"/>
      <c r="C405" s="143" t="s">
        <v>2522</v>
      </c>
      <c r="D405" s="813" t="str">
        <f>IF(CNSIPEE_2024_M2_Secc1!D48="","",CNSIPEE_2024_M2_Secc1!D48)</f>
        <v/>
      </c>
      <c r="E405" s="814"/>
      <c r="F405" s="815"/>
      <c r="G405" s="100"/>
      <c r="H405" s="100"/>
      <c r="I405" s="100"/>
      <c r="J405" s="100"/>
      <c r="K405" s="100"/>
      <c r="L405" s="100"/>
      <c r="M405" s="100"/>
      <c r="N405" s="100"/>
      <c r="O405" s="100"/>
      <c r="P405" s="100"/>
      <c r="Q405" s="100"/>
      <c r="R405" s="100"/>
      <c r="S405" s="100"/>
      <c r="T405" s="100"/>
      <c r="U405" s="100"/>
      <c r="V405" s="100"/>
      <c r="W405" s="100"/>
      <c r="X405" s="100"/>
      <c r="Y405" s="100"/>
      <c r="Z405" s="100"/>
      <c r="AA405" s="100"/>
      <c r="AB405" s="100"/>
      <c r="AC405" s="100"/>
      <c r="AD405" s="100"/>
      <c r="AG405">
        <f t="shared" si="394"/>
        <v>0</v>
      </c>
      <c r="AH405">
        <f t="shared" si="395"/>
        <v>0</v>
      </c>
      <c r="AI405">
        <f t="shared" si="396"/>
        <v>0</v>
      </c>
    </row>
    <row r="406" spans="1:35" ht="15" customHeight="1">
      <c r="A406" s="49"/>
      <c r="B406" s="90"/>
      <c r="C406" s="143" t="s">
        <v>2523</v>
      </c>
      <c r="D406" s="813" t="str">
        <f>IF(CNSIPEE_2024_M2_Secc1!D49="","",CNSIPEE_2024_M2_Secc1!D49)</f>
        <v/>
      </c>
      <c r="E406" s="814"/>
      <c r="F406" s="815"/>
      <c r="G406" s="100"/>
      <c r="H406" s="100"/>
      <c r="I406" s="100"/>
      <c r="J406" s="100"/>
      <c r="K406" s="100"/>
      <c r="L406" s="100"/>
      <c r="M406" s="100"/>
      <c r="N406" s="100"/>
      <c r="O406" s="100"/>
      <c r="P406" s="100"/>
      <c r="Q406" s="100"/>
      <c r="R406" s="100"/>
      <c r="S406" s="100"/>
      <c r="T406" s="100"/>
      <c r="U406" s="100"/>
      <c r="V406" s="100"/>
      <c r="W406" s="100"/>
      <c r="X406" s="100"/>
      <c r="Y406" s="100"/>
      <c r="Z406" s="100"/>
      <c r="AA406" s="100"/>
      <c r="AB406" s="100"/>
      <c r="AC406" s="100"/>
      <c r="AD406" s="100"/>
      <c r="AG406">
        <f t="shared" si="394"/>
        <v>0</v>
      </c>
      <c r="AH406">
        <f t="shared" si="395"/>
        <v>0</v>
      </c>
      <c r="AI406">
        <f t="shared" si="396"/>
        <v>0</v>
      </c>
    </row>
    <row r="407" spans="1:35" ht="15" customHeight="1">
      <c r="A407" s="49"/>
      <c r="B407" s="90"/>
      <c r="C407" s="90"/>
      <c r="D407" s="90"/>
      <c r="E407" s="90"/>
      <c r="F407" s="117"/>
      <c r="G407" s="124">
        <f>IF(AND(SUM(G399:G406)=0,COUNTIF(G399:G406,"NS")&gt;0),"NS",
IF(AND(SUM(G399:G406)=0,COUNTIF(G399:G406,0)&gt;0),0,
IF(AND(SUM(G399:G406)=0,COUNTIF(G399:G406,"NA")&gt;0),"NA",
SUM(G399:G406))))</f>
        <v>0</v>
      </c>
      <c r="H407" s="124">
        <f t="shared" ref="H407:AD407" si="397">IF(AND(SUM(H399:H406)=0,COUNTIF(H399:H406,"NS")&gt;0),"NS",
IF(AND(SUM(H399:H406)=0,COUNTIF(H399:H406,0)&gt;0),0,
IF(AND(SUM(H399:H406)=0,COUNTIF(H399:H406,"NA")&gt;0),"NA",
SUM(H399:H406))))</f>
        <v>0</v>
      </c>
      <c r="I407" s="124">
        <f t="shared" si="397"/>
        <v>0</v>
      </c>
      <c r="J407" s="124">
        <f t="shared" si="397"/>
        <v>0</v>
      </c>
      <c r="K407" s="124">
        <f t="shared" si="397"/>
        <v>0</v>
      </c>
      <c r="L407" s="124">
        <f t="shared" si="397"/>
        <v>0</v>
      </c>
      <c r="M407" s="124">
        <f t="shared" si="397"/>
        <v>0</v>
      </c>
      <c r="N407" s="124">
        <f t="shared" si="397"/>
        <v>0</v>
      </c>
      <c r="O407" s="124">
        <f t="shared" si="397"/>
        <v>0</v>
      </c>
      <c r="P407" s="124">
        <f t="shared" si="397"/>
        <v>0</v>
      </c>
      <c r="Q407" s="124">
        <f t="shared" si="397"/>
        <v>0</v>
      </c>
      <c r="R407" s="124">
        <f t="shared" si="397"/>
        <v>0</v>
      </c>
      <c r="S407" s="124">
        <f t="shared" si="397"/>
        <v>0</v>
      </c>
      <c r="T407" s="124">
        <f t="shared" si="397"/>
        <v>0</v>
      </c>
      <c r="U407" s="124">
        <f t="shared" si="397"/>
        <v>0</v>
      </c>
      <c r="V407" s="124">
        <f t="shared" si="397"/>
        <v>0</v>
      </c>
      <c r="W407" s="124">
        <f t="shared" si="397"/>
        <v>0</v>
      </c>
      <c r="X407" s="124">
        <f t="shared" si="397"/>
        <v>0</v>
      </c>
      <c r="Y407" s="124">
        <f t="shared" si="397"/>
        <v>0</v>
      </c>
      <c r="Z407" s="124">
        <f t="shared" si="397"/>
        <v>0</v>
      </c>
      <c r="AA407" s="124">
        <f t="shared" si="397"/>
        <v>0</v>
      </c>
      <c r="AB407" s="124">
        <f t="shared" si="397"/>
        <v>0</v>
      </c>
      <c r="AC407" s="124">
        <f t="shared" si="397"/>
        <v>0</v>
      </c>
      <c r="AD407" s="124">
        <f t="shared" si="397"/>
        <v>0</v>
      </c>
      <c r="AG407" s="359">
        <f>SUM(AG399:AG406)</f>
        <v>0</v>
      </c>
      <c r="AH407" s="360">
        <f>SUM(AH399:AH406)</f>
        <v>0</v>
      </c>
      <c r="AI407" s="361">
        <f>SUM(AI399:AI406)</f>
        <v>0</v>
      </c>
    </row>
    <row r="408" spans="1:35" ht="15" customHeight="1">
      <c r="A408" s="49"/>
      <c r="B408" s="90"/>
      <c r="C408" s="90"/>
      <c r="D408" s="90"/>
      <c r="E408" s="90"/>
      <c r="F408" s="90"/>
      <c r="G408" s="90"/>
      <c r="H408" s="90"/>
      <c r="I408" s="90"/>
      <c r="J408" s="90"/>
      <c r="K408" s="90"/>
      <c r="L408" s="90"/>
      <c r="M408" s="90"/>
      <c r="N408" s="90"/>
      <c r="O408" s="90"/>
      <c r="P408" s="90"/>
      <c r="Q408" s="90"/>
      <c r="R408" s="90"/>
      <c r="S408" s="90"/>
      <c r="T408" s="90"/>
      <c r="U408" s="90"/>
      <c r="V408" s="90"/>
      <c r="W408" s="90"/>
      <c r="X408" s="90"/>
      <c r="Y408" s="90"/>
      <c r="Z408" s="90"/>
      <c r="AA408" s="90"/>
      <c r="AB408" s="90"/>
      <c r="AC408" s="90"/>
      <c r="AD408" s="90"/>
      <c r="AG408"/>
      <c r="AH408"/>
      <c r="AI408" s="362">
        <f>SUM(AG407:AI407)</f>
        <v>0</v>
      </c>
    </row>
    <row r="409" spans="1:35" ht="15" customHeight="1">
      <c r="A409" s="94"/>
      <c r="AA409" s="875" t="s">
        <v>3240</v>
      </c>
      <c r="AB409" s="875"/>
      <c r="AC409" s="875"/>
      <c r="AD409" s="875"/>
    </row>
    <row r="410" spans="1:35" ht="15" customHeight="1">
      <c r="A410" s="103"/>
      <c r="B410" s="113"/>
      <c r="C410" s="797" t="s">
        <v>2581</v>
      </c>
      <c r="D410" s="798"/>
      <c r="E410" s="798"/>
      <c r="F410" s="799"/>
      <c r="G410" s="740" t="s">
        <v>3266</v>
      </c>
      <c r="H410" s="740"/>
      <c r="I410" s="740"/>
      <c r="J410" s="740"/>
      <c r="K410" s="740"/>
      <c r="L410" s="740"/>
      <c r="M410" s="740"/>
      <c r="N410" s="740"/>
      <c r="O410" s="740"/>
      <c r="P410" s="740"/>
      <c r="Q410" s="740"/>
      <c r="R410" s="740"/>
      <c r="S410" s="740"/>
      <c r="T410" s="740"/>
      <c r="U410" s="740"/>
      <c r="V410" s="740"/>
      <c r="W410" s="740"/>
      <c r="X410" s="740"/>
      <c r="Y410" s="740"/>
      <c r="Z410" s="740"/>
      <c r="AA410" s="740"/>
      <c r="AB410" s="740"/>
      <c r="AC410" s="740"/>
      <c r="AD410" s="741"/>
    </row>
    <row r="411" spans="1:35" ht="15" customHeight="1">
      <c r="A411" s="103"/>
      <c r="B411" s="113"/>
      <c r="C411" s="800"/>
      <c r="D411" s="801"/>
      <c r="E411" s="801"/>
      <c r="F411" s="802"/>
      <c r="G411" s="733" t="s">
        <v>3268</v>
      </c>
      <c r="H411" s="734"/>
      <c r="I411" s="734"/>
      <c r="J411" s="734"/>
      <c r="K411" s="734"/>
      <c r="L411" s="734"/>
      <c r="M411" s="734"/>
      <c r="N411" s="734"/>
      <c r="O411" s="735"/>
      <c r="P411" s="733" t="s">
        <v>3298</v>
      </c>
      <c r="Q411" s="734"/>
      <c r="R411" s="734"/>
      <c r="S411" s="734"/>
      <c r="T411" s="734"/>
      <c r="U411" s="734"/>
      <c r="V411" s="734"/>
      <c r="W411" s="734"/>
      <c r="X411" s="735"/>
      <c r="Y411" s="841" t="s">
        <v>3299</v>
      </c>
      <c r="Z411" s="950"/>
      <c r="AA411" s="842"/>
      <c r="AB411" s="841" t="s">
        <v>201</v>
      </c>
      <c r="AC411" s="950"/>
      <c r="AD411" s="842"/>
    </row>
    <row r="412" spans="1:35" ht="15" customHeight="1">
      <c r="A412" s="103"/>
      <c r="B412" s="113"/>
      <c r="C412" s="800"/>
      <c r="D412" s="801"/>
      <c r="E412" s="801"/>
      <c r="F412" s="802"/>
      <c r="G412" s="841" t="s">
        <v>3300</v>
      </c>
      <c r="H412" s="950"/>
      <c r="I412" s="842"/>
      <c r="J412" s="841" t="s">
        <v>3301</v>
      </c>
      <c r="K412" s="950"/>
      <c r="L412" s="842"/>
      <c r="M412" s="841" t="s">
        <v>3302</v>
      </c>
      <c r="N412" s="950"/>
      <c r="O412" s="842"/>
      <c r="P412" s="841" t="s">
        <v>3303</v>
      </c>
      <c r="Q412" s="950"/>
      <c r="R412" s="842"/>
      <c r="S412" s="841" t="s">
        <v>3304</v>
      </c>
      <c r="T412" s="950"/>
      <c r="U412" s="842"/>
      <c r="V412" s="841" t="s">
        <v>3305</v>
      </c>
      <c r="W412" s="950"/>
      <c r="X412" s="842"/>
      <c r="Y412" s="843"/>
      <c r="Z412" s="951"/>
      <c r="AA412" s="844"/>
      <c r="AB412" s="843"/>
      <c r="AC412" s="951"/>
      <c r="AD412" s="844"/>
    </row>
    <row r="413" spans="1:35" ht="84" customHeight="1">
      <c r="A413" s="103"/>
      <c r="C413" s="800"/>
      <c r="D413" s="801"/>
      <c r="E413" s="801"/>
      <c r="F413" s="802"/>
      <c r="G413" s="843"/>
      <c r="H413" s="951"/>
      <c r="I413" s="844"/>
      <c r="J413" s="843"/>
      <c r="K413" s="951"/>
      <c r="L413" s="844"/>
      <c r="M413" s="843"/>
      <c r="N413" s="951"/>
      <c r="O413" s="844"/>
      <c r="P413" s="843"/>
      <c r="Q413" s="951"/>
      <c r="R413" s="844"/>
      <c r="S413" s="843"/>
      <c r="T413" s="951"/>
      <c r="U413" s="844"/>
      <c r="V413" s="843"/>
      <c r="W413" s="951"/>
      <c r="X413" s="844"/>
      <c r="Y413" s="845"/>
      <c r="Z413" s="952"/>
      <c r="AA413" s="846"/>
      <c r="AB413" s="845"/>
      <c r="AC413" s="952"/>
      <c r="AD413" s="846"/>
    </row>
    <row r="414" spans="1:35" ht="48" customHeight="1">
      <c r="A414" s="103"/>
      <c r="C414" s="803"/>
      <c r="D414" s="804"/>
      <c r="E414" s="804"/>
      <c r="F414" s="805"/>
      <c r="G414" s="127" t="s">
        <v>2635</v>
      </c>
      <c r="H414" s="128" t="s">
        <v>2629</v>
      </c>
      <c r="I414" s="128" t="s">
        <v>2630</v>
      </c>
      <c r="J414" s="127" t="s">
        <v>2635</v>
      </c>
      <c r="K414" s="128" t="s">
        <v>2629</v>
      </c>
      <c r="L414" s="128" t="s">
        <v>2630</v>
      </c>
      <c r="M414" s="127" t="s">
        <v>2635</v>
      </c>
      <c r="N414" s="128" t="s">
        <v>2629</v>
      </c>
      <c r="O414" s="128" t="s">
        <v>2630</v>
      </c>
      <c r="P414" s="127" t="s">
        <v>2635</v>
      </c>
      <c r="Q414" s="128" t="s">
        <v>2629</v>
      </c>
      <c r="R414" s="128" t="s">
        <v>2630</v>
      </c>
      <c r="S414" s="127" t="s">
        <v>2635</v>
      </c>
      <c r="T414" s="128" t="s">
        <v>2629</v>
      </c>
      <c r="U414" s="128" t="s">
        <v>2630</v>
      </c>
      <c r="V414" s="127" t="s">
        <v>2635</v>
      </c>
      <c r="W414" s="128" t="s">
        <v>2629</v>
      </c>
      <c r="X414" s="128" t="s">
        <v>2630</v>
      </c>
      <c r="Y414" s="127" t="s">
        <v>2635</v>
      </c>
      <c r="Z414" s="128" t="s">
        <v>2629</v>
      </c>
      <c r="AA414" s="128" t="s">
        <v>2630</v>
      </c>
      <c r="AB414" s="127" t="s">
        <v>2635</v>
      </c>
      <c r="AC414" s="128" t="s">
        <v>2629</v>
      </c>
      <c r="AD414" s="128" t="s">
        <v>2630</v>
      </c>
    </row>
    <row r="415" spans="1:35" ht="15" customHeight="1">
      <c r="A415" s="49"/>
      <c r="B415" s="90"/>
      <c r="C415" s="97" t="s">
        <v>2516</v>
      </c>
      <c r="D415" s="813" t="str">
        <f>IF(CNSIPEE_2024_M2_Secc1!D42="","",CNSIPEE_2024_M2_Secc1!D42)</f>
        <v/>
      </c>
      <c r="E415" s="814"/>
      <c r="F415" s="815"/>
      <c r="G415" s="100"/>
      <c r="H415" s="100"/>
      <c r="I415" s="100"/>
      <c r="J415" s="100"/>
      <c r="K415" s="100"/>
      <c r="L415" s="100"/>
      <c r="M415" s="100"/>
      <c r="N415" s="100"/>
      <c r="O415" s="100"/>
      <c r="P415" s="100"/>
      <c r="Q415" s="100"/>
      <c r="R415" s="100"/>
      <c r="S415" s="100"/>
      <c r="T415" s="100"/>
      <c r="U415" s="100"/>
      <c r="V415" s="100"/>
      <c r="W415" s="100"/>
      <c r="X415" s="100"/>
      <c r="Y415" s="100"/>
      <c r="Z415" s="100"/>
      <c r="AA415" s="100"/>
      <c r="AB415" s="100"/>
      <c r="AC415" s="100"/>
      <c r="AD415" s="100"/>
    </row>
    <row r="416" spans="1:35" ht="15" customHeight="1">
      <c r="A416" s="49"/>
      <c r="B416" s="90"/>
      <c r="C416" s="143" t="s">
        <v>2517</v>
      </c>
      <c r="D416" s="813" t="str">
        <f>IF(CNSIPEE_2024_M2_Secc1!D43="","",CNSIPEE_2024_M2_Secc1!D43)</f>
        <v/>
      </c>
      <c r="E416" s="814"/>
      <c r="F416" s="815"/>
      <c r="G416" s="100"/>
      <c r="H416" s="100"/>
      <c r="I416" s="100"/>
      <c r="J416" s="100"/>
      <c r="K416" s="100"/>
      <c r="L416" s="100"/>
      <c r="M416" s="100"/>
      <c r="N416" s="100"/>
      <c r="O416" s="100"/>
      <c r="P416" s="100"/>
      <c r="Q416" s="100"/>
      <c r="R416" s="100"/>
      <c r="S416" s="100"/>
      <c r="T416" s="100"/>
      <c r="U416" s="100"/>
      <c r="V416" s="100"/>
      <c r="W416" s="100"/>
      <c r="X416" s="100"/>
      <c r="Y416" s="100"/>
      <c r="Z416" s="100"/>
      <c r="AA416" s="100"/>
      <c r="AB416" s="100"/>
      <c r="AC416" s="100"/>
      <c r="AD416" s="100"/>
    </row>
    <row r="417" spans="1:30" ht="15" customHeight="1">
      <c r="A417" s="49"/>
      <c r="B417" s="90"/>
      <c r="C417" s="143" t="s">
        <v>2518</v>
      </c>
      <c r="D417" s="813" t="str">
        <f>IF(CNSIPEE_2024_M2_Secc1!D44="","",CNSIPEE_2024_M2_Secc1!D44)</f>
        <v/>
      </c>
      <c r="E417" s="814"/>
      <c r="F417" s="815"/>
      <c r="G417" s="100"/>
      <c r="H417" s="100"/>
      <c r="I417" s="100"/>
      <c r="J417" s="100"/>
      <c r="K417" s="100"/>
      <c r="L417" s="100"/>
      <c r="M417" s="100"/>
      <c r="N417" s="100"/>
      <c r="O417" s="100"/>
      <c r="P417" s="100"/>
      <c r="Q417" s="100"/>
      <c r="R417" s="100"/>
      <c r="S417" s="100"/>
      <c r="T417" s="100"/>
      <c r="U417" s="100"/>
      <c r="V417" s="100"/>
      <c r="W417" s="100"/>
      <c r="X417" s="100"/>
      <c r="Y417" s="100"/>
      <c r="Z417" s="100"/>
      <c r="AA417" s="100"/>
      <c r="AB417" s="100"/>
      <c r="AC417" s="100"/>
      <c r="AD417" s="100"/>
    </row>
    <row r="418" spans="1:30" ht="15" customHeight="1">
      <c r="A418" s="49"/>
      <c r="B418" s="90"/>
      <c r="C418" s="143" t="s">
        <v>2519</v>
      </c>
      <c r="D418" s="813" t="str">
        <f>IF(CNSIPEE_2024_M2_Secc1!D45="","",CNSIPEE_2024_M2_Secc1!D45)</f>
        <v/>
      </c>
      <c r="E418" s="814"/>
      <c r="F418" s="815"/>
      <c r="G418" s="100"/>
      <c r="H418" s="100"/>
      <c r="I418" s="100"/>
      <c r="J418" s="100"/>
      <c r="K418" s="100"/>
      <c r="L418" s="100"/>
      <c r="M418" s="100"/>
      <c r="N418" s="100"/>
      <c r="O418" s="100"/>
      <c r="P418" s="100"/>
      <c r="Q418" s="100"/>
      <c r="R418" s="100"/>
      <c r="S418" s="100"/>
      <c r="T418" s="100"/>
      <c r="U418" s="100"/>
      <c r="V418" s="100"/>
      <c r="W418" s="100"/>
      <c r="X418" s="100"/>
      <c r="Y418" s="100"/>
      <c r="Z418" s="100"/>
      <c r="AA418" s="100"/>
      <c r="AB418" s="100"/>
      <c r="AC418" s="100"/>
      <c r="AD418" s="100"/>
    </row>
    <row r="419" spans="1:30" ht="15" customHeight="1">
      <c r="A419" s="49"/>
      <c r="B419" s="90"/>
      <c r="C419" s="143" t="s">
        <v>2520</v>
      </c>
      <c r="D419" s="813" t="str">
        <f>IF(CNSIPEE_2024_M2_Secc1!D46="","",CNSIPEE_2024_M2_Secc1!D46)</f>
        <v/>
      </c>
      <c r="E419" s="814"/>
      <c r="F419" s="815"/>
      <c r="G419" s="100"/>
      <c r="H419" s="100"/>
      <c r="I419" s="100"/>
      <c r="J419" s="100"/>
      <c r="K419" s="100"/>
      <c r="L419" s="100"/>
      <c r="M419" s="100"/>
      <c r="N419" s="100"/>
      <c r="O419" s="100"/>
      <c r="P419" s="100"/>
      <c r="Q419" s="100"/>
      <c r="R419" s="100"/>
      <c r="S419" s="100"/>
      <c r="T419" s="100"/>
      <c r="U419" s="100"/>
      <c r="V419" s="100"/>
      <c r="W419" s="100"/>
      <c r="X419" s="100"/>
      <c r="Y419" s="100"/>
      <c r="Z419" s="100"/>
      <c r="AA419" s="100"/>
      <c r="AB419" s="100"/>
      <c r="AC419" s="100"/>
      <c r="AD419" s="100"/>
    </row>
    <row r="420" spans="1:30" ht="15" customHeight="1">
      <c r="A420" s="49"/>
      <c r="B420" s="90"/>
      <c r="C420" s="143" t="s">
        <v>2521</v>
      </c>
      <c r="D420" s="813" t="str">
        <f>IF(CNSIPEE_2024_M2_Secc1!D47="","",CNSIPEE_2024_M2_Secc1!D47)</f>
        <v/>
      </c>
      <c r="E420" s="814"/>
      <c r="F420" s="815"/>
      <c r="G420" s="100"/>
      <c r="H420" s="100"/>
      <c r="I420" s="100"/>
      <c r="J420" s="100"/>
      <c r="K420" s="100"/>
      <c r="L420" s="100"/>
      <c r="M420" s="100"/>
      <c r="N420" s="100"/>
      <c r="O420" s="100"/>
      <c r="P420" s="100"/>
      <c r="Q420" s="100"/>
      <c r="R420" s="100"/>
      <c r="S420" s="100"/>
      <c r="T420" s="100"/>
      <c r="U420" s="100"/>
      <c r="V420" s="100"/>
      <c r="W420" s="100"/>
      <c r="X420" s="100"/>
      <c r="Y420" s="100"/>
      <c r="Z420" s="100"/>
      <c r="AA420" s="100"/>
      <c r="AB420" s="100"/>
      <c r="AC420" s="100"/>
      <c r="AD420" s="100"/>
    </row>
    <row r="421" spans="1:30" ht="15" customHeight="1">
      <c r="A421" s="49"/>
      <c r="B421" s="90"/>
      <c r="C421" s="143" t="s">
        <v>2522</v>
      </c>
      <c r="D421" s="813" t="str">
        <f>IF(CNSIPEE_2024_M2_Secc1!D48="","",CNSIPEE_2024_M2_Secc1!D48)</f>
        <v/>
      </c>
      <c r="E421" s="814"/>
      <c r="F421" s="815"/>
      <c r="G421" s="100"/>
      <c r="H421" s="100"/>
      <c r="I421" s="100"/>
      <c r="J421" s="100"/>
      <c r="K421" s="100"/>
      <c r="L421" s="100"/>
      <c r="M421" s="100"/>
      <c r="N421" s="100"/>
      <c r="O421" s="100"/>
      <c r="P421" s="100"/>
      <c r="Q421" s="100"/>
      <c r="R421" s="100"/>
      <c r="S421" s="100"/>
      <c r="T421" s="100"/>
      <c r="U421" s="100"/>
      <c r="V421" s="100"/>
      <c r="W421" s="100"/>
      <c r="X421" s="100"/>
      <c r="Y421" s="100"/>
      <c r="Z421" s="100"/>
      <c r="AA421" s="100"/>
      <c r="AB421" s="100"/>
      <c r="AC421" s="100"/>
      <c r="AD421" s="100"/>
    </row>
    <row r="422" spans="1:30" ht="15" customHeight="1">
      <c r="A422" s="49"/>
      <c r="B422" s="90"/>
      <c r="C422" s="143" t="s">
        <v>2523</v>
      </c>
      <c r="D422" s="813" t="str">
        <f>IF(CNSIPEE_2024_M2_Secc1!D49="","",CNSIPEE_2024_M2_Secc1!D49)</f>
        <v/>
      </c>
      <c r="E422" s="814"/>
      <c r="F422" s="815"/>
      <c r="G422" s="100"/>
      <c r="H422" s="100"/>
      <c r="I422" s="100"/>
      <c r="J422" s="100"/>
      <c r="K422" s="100"/>
      <c r="L422" s="100"/>
      <c r="M422" s="100"/>
      <c r="N422" s="100"/>
      <c r="O422" s="100"/>
      <c r="P422" s="100"/>
      <c r="Q422" s="100"/>
      <c r="R422" s="100"/>
      <c r="S422" s="100"/>
      <c r="T422" s="100"/>
      <c r="U422" s="100"/>
      <c r="V422" s="100"/>
      <c r="W422" s="100"/>
      <c r="X422" s="100"/>
      <c r="Y422" s="100"/>
      <c r="Z422" s="100"/>
      <c r="AA422" s="100"/>
      <c r="AB422" s="100"/>
      <c r="AC422" s="100"/>
      <c r="AD422" s="100"/>
    </row>
    <row r="423" spans="1:30" ht="15" customHeight="1">
      <c r="A423" s="49"/>
      <c r="B423" s="90"/>
      <c r="C423" s="90"/>
      <c r="D423" s="90"/>
      <c r="E423" s="90"/>
      <c r="F423" s="117"/>
      <c r="G423" s="124">
        <f>IF(AND(SUM(G415:G422)=0,COUNTIF(G415:G422,"NS")&gt;0),"NS",
IF(AND(SUM(G415:G422)=0,COUNTIF(G415:G422,0)&gt;0),0,
IF(AND(SUM(G415:G422)=0,COUNTIF(G415:G422,"NA")&gt;0),"NA",
SUM(G415:G422))))</f>
        <v>0</v>
      </c>
      <c r="H423" s="124">
        <f t="shared" ref="H423:AD423" si="398">IF(AND(SUM(H415:H422)=0,COUNTIF(H415:H422,"NS")&gt;0),"NS",
IF(AND(SUM(H415:H422)=0,COUNTIF(H415:H422,0)&gt;0),0,
IF(AND(SUM(H415:H422)=0,COUNTIF(H415:H422,"NA")&gt;0),"NA",
SUM(H415:H422))))</f>
        <v>0</v>
      </c>
      <c r="I423" s="124">
        <f t="shared" si="398"/>
        <v>0</v>
      </c>
      <c r="J423" s="124">
        <f t="shared" si="398"/>
        <v>0</v>
      </c>
      <c r="K423" s="124">
        <f t="shared" si="398"/>
        <v>0</v>
      </c>
      <c r="L423" s="124">
        <f t="shared" si="398"/>
        <v>0</v>
      </c>
      <c r="M423" s="124">
        <f t="shared" si="398"/>
        <v>0</v>
      </c>
      <c r="N423" s="124">
        <f t="shared" si="398"/>
        <v>0</v>
      </c>
      <c r="O423" s="124">
        <f t="shared" si="398"/>
        <v>0</v>
      </c>
      <c r="P423" s="124">
        <f t="shared" si="398"/>
        <v>0</v>
      </c>
      <c r="Q423" s="124">
        <f t="shared" si="398"/>
        <v>0</v>
      </c>
      <c r="R423" s="124">
        <f t="shared" si="398"/>
        <v>0</v>
      </c>
      <c r="S423" s="124">
        <f t="shared" si="398"/>
        <v>0</v>
      </c>
      <c r="T423" s="124">
        <f t="shared" si="398"/>
        <v>0</v>
      </c>
      <c r="U423" s="124">
        <f t="shared" si="398"/>
        <v>0</v>
      </c>
      <c r="V423" s="124">
        <f t="shared" si="398"/>
        <v>0</v>
      </c>
      <c r="W423" s="124">
        <f t="shared" si="398"/>
        <v>0</v>
      </c>
      <c r="X423" s="124">
        <f t="shared" si="398"/>
        <v>0</v>
      </c>
      <c r="Y423" s="124">
        <f t="shared" si="398"/>
        <v>0</v>
      </c>
      <c r="Z423" s="124">
        <f t="shared" si="398"/>
        <v>0</v>
      </c>
      <c r="AA423" s="124">
        <f t="shared" si="398"/>
        <v>0</v>
      </c>
      <c r="AB423" s="124">
        <f t="shared" si="398"/>
        <v>0</v>
      </c>
      <c r="AC423" s="124">
        <f t="shared" si="398"/>
        <v>0</v>
      </c>
      <c r="AD423" s="124">
        <f t="shared" si="398"/>
        <v>0</v>
      </c>
    </row>
    <row r="424" spans="1:30" ht="15" customHeight="1">
      <c r="A424" s="49"/>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c r="AA424" s="38"/>
      <c r="AB424" s="38"/>
      <c r="AC424" s="38"/>
      <c r="AD424" s="38"/>
    </row>
    <row r="425" spans="1:30" ht="24" customHeight="1">
      <c r="A425" s="96"/>
      <c r="B425" s="90"/>
      <c r="C425" s="754" t="s">
        <v>2611</v>
      </c>
      <c r="D425" s="754"/>
      <c r="E425" s="754"/>
      <c r="F425" s="754"/>
      <c r="G425" s="754"/>
      <c r="H425" s="754"/>
      <c r="I425" s="754"/>
      <c r="J425" s="754"/>
      <c r="K425" s="754"/>
      <c r="L425" s="754"/>
      <c r="M425" s="754"/>
      <c r="N425" s="754"/>
      <c r="O425" s="754"/>
      <c r="P425" s="754"/>
      <c r="Q425" s="754"/>
      <c r="R425" s="754"/>
      <c r="S425" s="754"/>
      <c r="T425" s="754"/>
      <c r="U425" s="754"/>
      <c r="V425" s="754"/>
      <c r="W425" s="754"/>
      <c r="X425" s="754"/>
      <c r="Y425" s="754"/>
      <c r="Z425" s="754"/>
      <c r="AA425" s="754"/>
      <c r="AB425" s="754"/>
      <c r="AC425" s="754"/>
      <c r="AD425" s="754"/>
    </row>
    <row r="426" spans="1:30" ht="60" customHeight="1">
      <c r="A426" s="96"/>
      <c r="B426" s="90"/>
      <c r="C426" s="851"/>
      <c r="D426" s="851"/>
      <c r="E426" s="851"/>
      <c r="F426" s="851"/>
      <c r="G426" s="851"/>
      <c r="H426" s="851"/>
      <c r="I426" s="851"/>
      <c r="J426" s="851"/>
      <c r="K426" s="851"/>
      <c r="L426" s="851"/>
      <c r="M426" s="851"/>
      <c r="N426" s="851"/>
      <c r="O426" s="851"/>
      <c r="P426" s="851"/>
      <c r="Q426" s="851"/>
      <c r="R426" s="851"/>
      <c r="S426" s="851"/>
      <c r="T426" s="851"/>
      <c r="U426" s="851"/>
      <c r="V426" s="851"/>
      <c r="W426" s="851"/>
      <c r="X426" s="851"/>
      <c r="Y426" s="851"/>
      <c r="Z426" s="851"/>
      <c r="AA426" s="851"/>
      <c r="AB426" s="851"/>
      <c r="AC426" s="851"/>
      <c r="AD426" s="851"/>
    </row>
    <row r="427" spans="1:30" ht="15" customHeight="1">
      <c r="A427" s="96"/>
      <c r="B427" s="794" t="str">
        <f>IF(AG391&gt;0,"Favor de ingresar toda la información requerida en la pregunta ","")</f>
        <v/>
      </c>
      <c r="C427" s="794"/>
      <c r="D427" s="794"/>
      <c r="E427" s="794"/>
      <c r="F427" s="794"/>
      <c r="G427" s="794"/>
      <c r="H427" s="794"/>
      <c r="I427" s="794"/>
      <c r="J427" s="794"/>
      <c r="K427" s="794"/>
      <c r="L427" s="794"/>
      <c r="M427" s="794"/>
      <c r="N427" s="794"/>
      <c r="O427" s="794"/>
      <c r="P427" s="794"/>
      <c r="Q427" s="794"/>
      <c r="R427" s="794"/>
      <c r="S427" s="794"/>
      <c r="T427" s="794"/>
      <c r="U427" s="794"/>
      <c r="V427" s="794"/>
      <c r="W427" s="794"/>
      <c r="X427" s="794"/>
      <c r="Y427" s="794"/>
      <c r="Z427" s="794"/>
      <c r="AA427" s="794"/>
      <c r="AB427" s="794"/>
      <c r="AC427" s="794"/>
      <c r="AD427" s="794"/>
    </row>
    <row r="428" spans="1:30" ht="15" customHeight="1">
      <c r="A428" s="96"/>
      <c r="B428" s="795" t="str">
        <f>IF(AL393&gt;0,"Alerta: debido a que cuenta con registros NS, debe proporcionar una justificación en el area de comentarios al final de la pregunta","")</f>
        <v/>
      </c>
      <c r="C428" s="795"/>
      <c r="D428" s="795"/>
      <c r="E428" s="795"/>
      <c r="F428" s="795"/>
      <c r="G428" s="795"/>
      <c r="H428" s="795"/>
      <c r="I428" s="795"/>
      <c r="J428" s="795"/>
      <c r="K428" s="795"/>
      <c r="L428" s="795"/>
      <c r="M428" s="795"/>
      <c r="N428" s="795"/>
      <c r="O428" s="795"/>
      <c r="P428" s="795"/>
      <c r="Q428" s="795"/>
      <c r="R428" s="795"/>
      <c r="S428" s="795"/>
      <c r="T428" s="795"/>
      <c r="U428" s="795"/>
      <c r="V428" s="795"/>
      <c r="W428" s="795"/>
      <c r="X428" s="795"/>
      <c r="Y428" s="795"/>
      <c r="Z428" s="795"/>
      <c r="AA428" s="795"/>
      <c r="AB428" s="795"/>
      <c r="AC428" s="795"/>
      <c r="AD428" s="795"/>
    </row>
    <row r="429" spans="1:30" ht="15" customHeight="1">
      <c r="A429" s="96"/>
      <c r="B429" s="794" t="str">
        <f>IF(OR(AJ393&gt;0,AJ394&gt;0,AL394&gt;0,AN394&gt;0),"Favor de revisar la suma y consistencia de totales y/o subtotales por filas (numéricos y NS)","")</f>
        <v/>
      </c>
      <c r="C429" s="794"/>
      <c r="D429" s="794"/>
      <c r="E429" s="794"/>
      <c r="F429" s="794"/>
      <c r="G429" s="794"/>
      <c r="H429" s="794"/>
      <c r="I429" s="794"/>
      <c r="J429" s="794"/>
      <c r="K429" s="794"/>
      <c r="L429" s="794"/>
      <c r="M429" s="794"/>
      <c r="N429" s="794"/>
      <c r="O429" s="794"/>
      <c r="P429" s="794"/>
      <c r="Q429" s="794"/>
      <c r="R429" s="794"/>
      <c r="S429" s="794"/>
      <c r="T429" s="794"/>
      <c r="U429" s="794"/>
      <c r="V429" s="794"/>
      <c r="W429" s="794"/>
      <c r="X429" s="794"/>
      <c r="Y429" s="794"/>
      <c r="Z429" s="794"/>
      <c r="AA429" s="794"/>
      <c r="AB429" s="794"/>
      <c r="AC429" s="794"/>
      <c r="AD429" s="794"/>
    </row>
    <row r="430" spans="1:30" ht="15" customHeight="1">
      <c r="A430" s="96"/>
      <c r="B430" s="794" t="str">
        <f>IF(AI408&gt;0,"Favor de revisar la instrucción general 2 del apartado II.2, ya que no se cumplen los criterios establecidos","")</f>
        <v/>
      </c>
      <c r="C430" s="794"/>
      <c r="D430" s="794"/>
      <c r="E430" s="794"/>
      <c r="F430" s="794"/>
      <c r="G430" s="794"/>
      <c r="H430" s="794"/>
      <c r="I430" s="794"/>
      <c r="J430" s="794"/>
      <c r="K430" s="794"/>
      <c r="L430" s="794"/>
      <c r="M430" s="794"/>
      <c r="N430" s="794"/>
      <c r="O430" s="794"/>
      <c r="P430" s="794"/>
      <c r="Q430" s="794"/>
      <c r="R430" s="794"/>
      <c r="S430" s="794"/>
      <c r="T430" s="794"/>
      <c r="U430" s="794"/>
      <c r="V430" s="794"/>
      <c r="W430" s="794"/>
      <c r="X430" s="794"/>
      <c r="Y430" s="794"/>
      <c r="Z430" s="794"/>
      <c r="AA430" s="794"/>
      <c r="AB430" s="794"/>
      <c r="AC430" s="794"/>
      <c r="AD430" s="794"/>
    </row>
    <row r="431" spans="1:30" ht="15" customHeight="1">
      <c r="A431" s="96"/>
      <c r="B431" s="90"/>
      <c r="C431" s="90"/>
      <c r="D431" s="90"/>
      <c r="E431" s="90"/>
      <c r="F431" s="90"/>
      <c r="G431" s="90"/>
      <c r="H431" s="90"/>
      <c r="I431" s="90"/>
      <c r="J431" s="90"/>
      <c r="K431" s="90"/>
      <c r="L431" s="90"/>
      <c r="M431" s="90"/>
      <c r="N431" s="90"/>
      <c r="O431" s="90"/>
      <c r="P431" s="90"/>
      <c r="Q431" s="90"/>
      <c r="R431" s="90"/>
      <c r="S431" s="90"/>
      <c r="T431" s="90"/>
      <c r="U431" s="90"/>
      <c r="V431" s="90"/>
      <c r="W431" s="90"/>
      <c r="X431" s="90"/>
      <c r="Y431" s="90"/>
      <c r="Z431" s="90"/>
      <c r="AA431" s="90"/>
      <c r="AB431" s="90"/>
      <c r="AC431" s="90"/>
      <c r="AD431" s="90"/>
    </row>
    <row r="432" spans="1:30" ht="15" customHeight="1">
      <c r="A432" s="96"/>
      <c r="B432" s="90"/>
      <c r="C432" s="90"/>
      <c r="D432" s="90"/>
      <c r="E432" s="90"/>
      <c r="F432" s="90"/>
      <c r="G432" s="90"/>
      <c r="H432" s="90"/>
      <c r="I432" s="90"/>
      <c r="J432" s="90"/>
      <c r="K432" s="90"/>
      <c r="L432" s="90"/>
      <c r="M432" s="90"/>
      <c r="N432" s="90"/>
      <c r="O432" s="90"/>
      <c r="P432" s="90"/>
      <c r="Q432" s="90"/>
      <c r="R432" s="90"/>
      <c r="S432" s="90"/>
      <c r="T432" s="90"/>
      <c r="U432" s="90"/>
      <c r="V432" s="90"/>
      <c r="W432" s="90"/>
      <c r="X432" s="90"/>
      <c r="Y432" s="90"/>
      <c r="Z432" s="90"/>
      <c r="AA432" s="90"/>
      <c r="AB432" s="90"/>
      <c r="AC432" s="90"/>
      <c r="AD432" s="90"/>
    </row>
    <row r="433" spans="1:58" ht="36" customHeight="1">
      <c r="A433" s="49" t="s">
        <v>3306</v>
      </c>
      <c r="B433" s="829" t="s">
        <v>3307</v>
      </c>
      <c r="C433" s="829"/>
      <c r="D433" s="829"/>
      <c r="E433" s="829"/>
      <c r="F433" s="829"/>
      <c r="G433" s="829"/>
      <c r="H433" s="829"/>
      <c r="I433" s="829"/>
      <c r="J433" s="829"/>
      <c r="K433" s="829"/>
      <c r="L433" s="829"/>
      <c r="M433" s="829"/>
      <c r="N433" s="829"/>
      <c r="O433" s="829"/>
      <c r="P433" s="829"/>
      <c r="Q433" s="829"/>
      <c r="R433" s="829"/>
      <c r="S433" s="829"/>
      <c r="T433" s="829"/>
      <c r="U433" s="829"/>
      <c r="V433" s="829"/>
      <c r="W433" s="829"/>
      <c r="X433" s="829"/>
      <c r="Y433" s="829"/>
      <c r="Z433" s="829"/>
      <c r="AA433" s="829"/>
      <c r="AB433" s="829"/>
      <c r="AC433" s="829"/>
      <c r="AD433" s="829"/>
    </row>
    <row r="434" spans="1:58" ht="36" customHeight="1">
      <c r="A434" s="49"/>
      <c r="B434" s="57"/>
      <c r="C434" s="754" t="s">
        <v>3308</v>
      </c>
      <c r="D434" s="830"/>
      <c r="E434" s="830"/>
      <c r="F434" s="830"/>
      <c r="G434" s="830"/>
      <c r="H434" s="830"/>
      <c r="I434" s="830"/>
      <c r="J434" s="830"/>
      <c r="K434" s="830"/>
      <c r="L434" s="830"/>
      <c r="M434" s="830"/>
      <c r="N434" s="830"/>
      <c r="O434" s="830"/>
      <c r="P434" s="830"/>
      <c r="Q434" s="830"/>
      <c r="R434" s="830"/>
      <c r="S434" s="830"/>
      <c r="T434" s="830"/>
      <c r="U434" s="830"/>
      <c r="V434" s="830"/>
      <c r="W434" s="830"/>
      <c r="X434" s="830"/>
      <c r="Y434" s="830"/>
      <c r="Z434" s="830"/>
      <c r="AA434" s="830"/>
      <c r="AB434" s="830"/>
      <c r="AC434" s="830"/>
      <c r="AD434" s="830"/>
    </row>
    <row r="435" spans="1:58" ht="15" customHeight="1">
      <c r="A435" s="49"/>
      <c r="B435" s="90"/>
      <c r="C435" s="90"/>
      <c r="D435" s="90"/>
      <c r="E435" s="90"/>
      <c r="F435" s="90"/>
      <c r="G435" s="90"/>
      <c r="H435" s="90"/>
      <c r="I435" s="90"/>
      <c r="J435" s="90"/>
      <c r="K435" s="90"/>
      <c r="L435" s="90"/>
      <c r="M435" s="90"/>
      <c r="N435" s="90"/>
      <c r="O435" s="90"/>
      <c r="P435" s="90"/>
      <c r="Q435" s="90"/>
      <c r="R435" s="90"/>
      <c r="S435" s="90"/>
      <c r="T435" s="90"/>
      <c r="U435" s="90"/>
      <c r="V435" s="90"/>
      <c r="W435" s="90"/>
      <c r="X435" s="90"/>
      <c r="Y435" s="90"/>
      <c r="Z435" s="90"/>
      <c r="AA435" s="90"/>
      <c r="AB435" s="90"/>
      <c r="AC435" s="90"/>
      <c r="AD435" s="90"/>
    </row>
    <row r="436" spans="1:58" ht="24" customHeight="1">
      <c r="A436" s="49"/>
      <c r="B436" s="38"/>
      <c r="C436" s="797" t="s">
        <v>2581</v>
      </c>
      <c r="D436" s="798"/>
      <c r="E436" s="798"/>
      <c r="F436" s="798"/>
      <c r="G436" s="798"/>
      <c r="H436" s="798"/>
      <c r="I436" s="799"/>
      <c r="J436" s="739" t="s">
        <v>3309</v>
      </c>
      <c r="K436" s="740"/>
      <c r="L436" s="740"/>
      <c r="M436" s="740"/>
      <c r="N436" s="740"/>
      <c r="O436" s="740"/>
      <c r="P436" s="740"/>
      <c r="Q436" s="740"/>
      <c r="R436" s="740"/>
      <c r="S436" s="740"/>
      <c r="T436" s="740"/>
      <c r="U436" s="740"/>
      <c r="V436" s="740"/>
      <c r="W436" s="740"/>
      <c r="X436" s="740"/>
      <c r="Y436" s="740"/>
      <c r="Z436" s="740"/>
      <c r="AA436" s="740"/>
      <c r="AB436" s="740"/>
      <c r="AC436" s="740"/>
      <c r="AD436" s="741"/>
    </row>
    <row r="437" spans="1:58" ht="24" customHeight="1">
      <c r="A437" s="49"/>
      <c r="B437" s="38"/>
      <c r="C437" s="800"/>
      <c r="D437" s="801"/>
      <c r="E437" s="801"/>
      <c r="F437" s="801"/>
      <c r="G437" s="801"/>
      <c r="H437" s="801"/>
      <c r="I437" s="802"/>
      <c r="J437" s="888" t="s">
        <v>2628</v>
      </c>
      <c r="K437" s="890" t="s">
        <v>2629</v>
      </c>
      <c r="L437" s="890" t="s">
        <v>2630</v>
      </c>
      <c r="M437" s="828" t="s">
        <v>3310</v>
      </c>
      <c r="N437" s="828"/>
      <c r="O437" s="828"/>
      <c r="P437" s="828" t="s">
        <v>3311</v>
      </c>
      <c r="Q437" s="828"/>
      <c r="R437" s="828"/>
      <c r="S437" s="828" t="s">
        <v>3312</v>
      </c>
      <c r="T437" s="828"/>
      <c r="U437" s="828"/>
      <c r="V437" s="828" t="s">
        <v>3313</v>
      </c>
      <c r="W437" s="828"/>
      <c r="X437" s="828"/>
      <c r="Y437" s="828" t="s">
        <v>3314</v>
      </c>
      <c r="Z437" s="828"/>
      <c r="AA437" s="828"/>
      <c r="AB437" s="828" t="s">
        <v>201</v>
      </c>
      <c r="AC437" s="828"/>
      <c r="AD437" s="828"/>
      <c r="BD437" s="916" t="s">
        <v>3315</v>
      </c>
      <c r="BE437" s="916"/>
      <c r="BF437" s="916"/>
    </row>
    <row r="438" spans="1:58" ht="48" customHeight="1">
      <c r="A438" s="49"/>
      <c r="B438" s="38"/>
      <c r="C438" s="803"/>
      <c r="D438" s="804"/>
      <c r="E438" s="804"/>
      <c r="F438" s="804"/>
      <c r="G438" s="804"/>
      <c r="H438" s="804"/>
      <c r="I438" s="805"/>
      <c r="J438" s="874"/>
      <c r="K438" s="857"/>
      <c r="L438" s="857"/>
      <c r="M438" s="127" t="s">
        <v>2635</v>
      </c>
      <c r="N438" s="128" t="s">
        <v>3176</v>
      </c>
      <c r="O438" s="128" t="s">
        <v>2630</v>
      </c>
      <c r="P438" s="127" t="s">
        <v>2635</v>
      </c>
      <c r="Q438" s="128" t="s">
        <v>3176</v>
      </c>
      <c r="R438" s="128" t="s">
        <v>2630</v>
      </c>
      <c r="S438" s="127" t="s">
        <v>2635</v>
      </c>
      <c r="T438" s="128" t="s">
        <v>3176</v>
      </c>
      <c r="U438" s="128" t="s">
        <v>2630</v>
      </c>
      <c r="V438" s="127" t="s">
        <v>2635</v>
      </c>
      <c r="W438" s="128" t="s">
        <v>3176</v>
      </c>
      <c r="X438" s="128" t="s">
        <v>2630</v>
      </c>
      <c r="Y438" s="127" t="s">
        <v>2635</v>
      </c>
      <c r="Z438" s="128" t="s">
        <v>3176</v>
      </c>
      <c r="AA438" s="128" t="s">
        <v>2630</v>
      </c>
      <c r="AB438" s="127" t="s">
        <v>2635</v>
      </c>
      <c r="AC438" s="128" t="s">
        <v>3176</v>
      </c>
      <c r="AD438" s="128" t="s">
        <v>2630</v>
      </c>
      <c r="AG438" s="354" t="s">
        <v>2586</v>
      </c>
      <c r="AH438" s="282" t="s">
        <v>2637</v>
      </c>
      <c r="AI438" s="280" t="s">
        <v>2638</v>
      </c>
      <c r="AJ438" s="281" t="s">
        <v>2639</v>
      </c>
      <c r="AK438" s="282" t="s">
        <v>2640</v>
      </c>
      <c r="AL438" s="280" t="s">
        <v>2641</v>
      </c>
      <c r="AM438" s="281" t="s">
        <v>2642</v>
      </c>
      <c r="AN438" s="282" t="s">
        <v>2643</v>
      </c>
      <c r="AO438" s="280" t="s">
        <v>2644</v>
      </c>
      <c r="AP438" s="281" t="s">
        <v>2645</v>
      </c>
      <c r="AQ438" s="282" t="s">
        <v>2646</v>
      </c>
      <c r="AR438" s="280" t="s">
        <v>2647</v>
      </c>
      <c r="AS438" s="281" t="s">
        <v>2648</v>
      </c>
      <c r="AT438" s="282" t="s">
        <v>2756</v>
      </c>
      <c r="AU438" s="280" t="s">
        <v>2757</v>
      </c>
      <c r="AV438" s="281" t="s">
        <v>2758</v>
      </c>
      <c r="AW438" s="282" t="s">
        <v>2759</v>
      </c>
      <c r="AX438" s="280" t="s">
        <v>2760</v>
      </c>
      <c r="AY438" s="281" t="s">
        <v>2761</v>
      </c>
      <c r="AZ438" s="282" t="s">
        <v>2762</v>
      </c>
      <c r="BA438" s="280" t="s">
        <v>2763</v>
      </c>
      <c r="BB438" s="281" t="s">
        <v>2764</v>
      </c>
      <c r="BD438" s="370" t="s">
        <v>2795</v>
      </c>
      <c r="BE438" s="371" t="s">
        <v>3177</v>
      </c>
      <c r="BF438" s="372" t="s">
        <v>3178</v>
      </c>
    </row>
    <row r="439" spans="1:58" ht="15" customHeight="1">
      <c r="A439" s="49"/>
      <c r="B439" s="38"/>
      <c r="C439" s="44" t="s">
        <v>2516</v>
      </c>
      <c r="D439" s="813" t="str">
        <f>IF(CNSIPEE_2024_M2_Secc1!D42="","",CNSIPEE_2024_M2_Secc1!D42)</f>
        <v/>
      </c>
      <c r="E439" s="814"/>
      <c r="F439" s="814"/>
      <c r="G439" s="814"/>
      <c r="H439" s="814"/>
      <c r="I439" s="815"/>
      <c r="J439" s="100"/>
      <c r="K439" s="100"/>
      <c r="L439" s="100"/>
      <c r="M439" s="100"/>
      <c r="N439" s="100"/>
      <c r="O439" s="100"/>
      <c r="P439" s="100"/>
      <c r="Q439" s="100"/>
      <c r="R439" s="100"/>
      <c r="S439" s="100"/>
      <c r="T439" s="100"/>
      <c r="U439" s="100"/>
      <c r="V439" s="100"/>
      <c r="W439" s="100"/>
      <c r="X439" s="100"/>
      <c r="Y439" s="100"/>
      <c r="Z439" s="100"/>
      <c r="AA439" s="100"/>
      <c r="AB439" s="100"/>
      <c r="AC439" s="100"/>
      <c r="AD439" s="100"/>
      <c r="AG439" s="326">
        <f>IF(AND(COUNTBLANK(D439)=0,COUNTA(J439:AD439)=21),0,IF(AND(COUNTBLANK(D439)=1,COUNTA(J439:AD439)=0),0,1))</f>
        <v>0</v>
      </c>
      <c r="AH439" s="283">
        <f>COUNTIF(K439:L439,"NS")</f>
        <v>0</v>
      </c>
      <c r="AI439" s="283">
        <f>SUM(K439:L439)</f>
        <v>0</v>
      </c>
      <c r="AJ439" s="283">
        <f>IF(COUNTIF(J439:L439,"NA")=3,0,IF(COUNTA(J439:L439)=0,0,IF(OR(AND(J439=0,AH439&gt;0),AND(J439="ns",AI439&gt;0),AND(J439="ns",AH439=0,AI439=0)),1,IF(OR(AND(J439&gt;0,AH439=2),AND(J439="ns",AH439=2),AND(J439="ns",AI439=0,AH439&gt;0),J439=AI439),0,1))))</f>
        <v>0</v>
      </c>
      <c r="AK439" s="283">
        <f>COUNTIF(N439:O439,"NS")</f>
        <v>0</v>
      </c>
      <c r="AL439" s="283">
        <f>SUM(N439:O439)</f>
        <v>0</v>
      </c>
      <c r="AM439" s="283">
        <f>IF(COUNTIF(M439:O439,"NA")=3,0,IF(COUNTA(M439:O439)=0,0,IF(OR(AND(M439=0,AK439&gt;0),AND(M439="ns",AL439&gt;0),AND(M439="ns",AK439=0,AL439=0)),1,IF(OR(AND(M439&gt;0,AK439=2),AND(M439="ns",AK439=2),AND(M439="ns",AL439=0,AK439&gt;0),M439=AL439),0,1))))</f>
        <v>0</v>
      </c>
      <c r="AN439" s="283">
        <f>COUNTIF(Q439:R439,"NS")</f>
        <v>0</v>
      </c>
      <c r="AO439" s="283">
        <f>SUM(Q439:R439)</f>
        <v>0</v>
      </c>
      <c r="AP439" s="283">
        <f>IF(COUNTIF(P439:R439,"NA")=3,0,IF(COUNTA(P439:R439)=0,0,IF(OR(AND(P439=0,AN439&gt;0),AND(P439="ns",AO439&gt;0),AND(P439="ns",AN439=0,AO439=0)),1,IF(OR(AND(P439&gt;0,AN439=2),AND(P439="ns",AN439=2),AND(P439="ns",AO439=0,AN439&gt;0),P439=AO439),0,1))))</f>
        <v>0</v>
      </c>
      <c r="AQ439" s="283">
        <f>COUNTIF(T439:U439,"NS")</f>
        <v>0</v>
      </c>
      <c r="AR439" s="283">
        <f>SUM(T439:U439)</f>
        <v>0</v>
      </c>
      <c r="AS439" s="283">
        <f>IF(COUNTIF(S439:U439,"NA")=3,0,IF(COUNTA(S439:U439)=0,0,IF(OR(AND(S439=0,AQ439&gt;0),AND(S439="ns",AR439&gt;0),AND(S439="ns",AQ439=0,AR439=0)),1,IF(OR(AND(S439&gt;0,AQ439=2),AND(S439="ns",AQ439=2),AND(S439="ns",AR439=0,AQ439&gt;0),S439=AR439),0,1))))</f>
        <v>0</v>
      </c>
      <c r="AT439" s="283">
        <f>COUNTIF(W439:X439,"NS")</f>
        <v>0</v>
      </c>
      <c r="AU439" s="283">
        <f>SUM(W439:X439)</f>
        <v>0</v>
      </c>
      <c r="AV439" s="283">
        <f>IF(COUNTIF(V439:X439,"NA")=3,0,IF(COUNTA(V439:X439)=0,0,IF(OR(AND(V439=0,AT439&gt;0),AND(V439="ns",AU439&gt;0),AND(V439="ns",AT439=0,AU439=0)),1,IF(OR(AND(V439&gt;0,AT439=2),AND(V439="ns",AT439=2),AND(V439="ns",AU439=0,AT439&gt;0),V439=AU439),0,1))))</f>
        <v>0</v>
      </c>
      <c r="AW439" s="283">
        <f>COUNTIF(Z439:AA439,"NS")</f>
        <v>0</v>
      </c>
      <c r="AX439" s="283">
        <f>SUM(Z439:AA439)</f>
        <v>0</v>
      </c>
      <c r="AY439" s="283">
        <f>IF(COUNTIF(Y439:AA439,"NA")=3,0,IF(COUNTA(Y439:AA439)=0,0,IF(OR(AND(Y439=0,AW439&gt;0),AND(Y439="ns",AX439&gt;0),AND(Y439="ns",AW439=0,AX439=0)),1,IF(OR(AND(Y439&gt;0,AW439=2),AND(Y439="ns",AW439=2),AND(Y439="ns",AX439=0,AW439&gt;0),Y439=AX439),0,1))))</f>
        <v>0</v>
      </c>
      <c r="AZ439" s="283">
        <f>COUNTIF(AC439:AD439,"NS")</f>
        <v>0</v>
      </c>
      <c r="BA439" s="283">
        <f>SUM(AC439:AD439)</f>
        <v>0</v>
      </c>
      <c r="BB439" s="283">
        <f>IF(COUNTIF(AB439:AD439,"NA")=3,0,IF(COUNTA(AB439:AD439)=0,0,IF(OR(AND(AB439=0,AZ439&gt;0),AND(AB439="ns",BA439&gt;0),AND(AB439="ns",AZ439=0,BA439=0)),1,IF(OR(AND(AB439&gt;0,AZ439=2),AND(AB439="ns",AZ439=2),AND(AB439="ns",BA439=0,AZ439&gt;0),AB439=BA439),0,1))))</f>
        <v>0</v>
      </c>
      <c r="BD439">
        <f>IF(AND(J439="NS",P415="NS",S415="NS",V415="NS"),0,IF(AND(J439="NA",P415="NA",S415="NA",V415="NA"),0,IF(J439=SUM(P415,S415,V415),0,1)))</f>
        <v>0</v>
      </c>
      <c r="BE439">
        <f>IF(AND(K439="NS",Q415="NS",T415="NS",W415="NS"),0,IF(AND(K439="NA",Q415="NA",T415="NA",W415="NA"),0,IF(K439=SUM(Q415,T415,W415),0,1)))</f>
        <v>0</v>
      </c>
      <c r="BF439">
        <f>IF(AND(L439="NS",R415="NS",U415="NS",X415="NS"),0,IF(AND(L439="NA",R415="NA",U415="NA",X415="NA"),0,IF(L439=SUM(R415,U415,X415),0,1)))</f>
        <v>0</v>
      </c>
    </row>
    <row r="440" spans="1:58" ht="15" customHeight="1">
      <c r="A440" s="49"/>
      <c r="B440" s="38"/>
      <c r="C440" s="97" t="s">
        <v>2517</v>
      </c>
      <c r="D440" s="813" t="str">
        <f>IF(CNSIPEE_2024_M2_Secc1!D43="","",CNSIPEE_2024_M2_Secc1!D43)</f>
        <v/>
      </c>
      <c r="E440" s="814"/>
      <c r="F440" s="814"/>
      <c r="G440" s="814"/>
      <c r="H440" s="814"/>
      <c r="I440" s="815"/>
      <c r="J440" s="100"/>
      <c r="K440" s="100"/>
      <c r="L440" s="100"/>
      <c r="M440" s="100"/>
      <c r="N440" s="100"/>
      <c r="O440" s="100"/>
      <c r="P440" s="100"/>
      <c r="Q440" s="100"/>
      <c r="R440" s="100"/>
      <c r="S440" s="100"/>
      <c r="T440" s="100"/>
      <c r="U440" s="100"/>
      <c r="V440" s="100"/>
      <c r="W440" s="100"/>
      <c r="X440" s="100"/>
      <c r="Y440" s="100"/>
      <c r="Z440" s="100"/>
      <c r="AA440" s="100"/>
      <c r="AB440" s="100"/>
      <c r="AC440" s="100"/>
      <c r="AD440" s="100"/>
      <c r="AG440" s="326">
        <f t="shared" ref="AG440:AG446" si="399">IF(AND(COUNTBLANK(D440)=0,COUNTA(J440:AD440)=21),0,IF(AND(COUNTBLANK(D440)=1,COUNTA(J440:AD440)=0),0,1))</f>
        <v>0</v>
      </c>
      <c r="AH440" s="283">
        <f t="shared" ref="AH440:AH446" si="400">COUNTIF(K440:L440,"NS")</f>
        <v>0</v>
      </c>
      <c r="AI440" s="283">
        <f t="shared" ref="AI440:AI446" si="401">SUM(K440:L440)</f>
        <v>0</v>
      </c>
      <c r="AJ440" s="283">
        <f t="shared" ref="AJ440:AJ446" si="402">IF(COUNTIF(J440:L440,"NA")=3,0,IF(COUNTA(J440:L440)=0,0,IF(OR(AND(J440=0,AH440&gt;0),AND(J440="ns",AI440&gt;0),AND(J440="ns",AH440=0,AI440=0)),1,IF(OR(AND(J440&gt;0,AH440=2),AND(J440="ns",AH440=2),AND(J440="ns",AI440=0,AH440&gt;0),J440=AI440),0,1))))</f>
        <v>0</v>
      </c>
      <c r="AK440" s="283">
        <f t="shared" ref="AK440:AK446" si="403">COUNTIF(N440:O440,"NS")</f>
        <v>0</v>
      </c>
      <c r="AL440" s="283">
        <f t="shared" ref="AL440:AL446" si="404">SUM(N440:O440)</f>
        <v>0</v>
      </c>
      <c r="AM440" s="283">
        <f t="shared" ref="AM440:AM446" si="405">IF(COUNTIF(M440:O440,"NA")=3,0,IF(COUNTA(M440:O440)=0,0,IF(OR(AND(M440=0,AK440&gt;0),AND(M440="ns",AL440&gt;0),AND(M440="ns",AK440=0,AL440=0)),1,IF(OR(AND(M440&gt;0,AK440=2),AND(M440="ns",AK440=2),AND(M440="ns",AL440=0,AK440&gt;0),M440=AL440),0,1))))</f>
        <v>0</v>
      </c>
      <c r="AN440" s="283">
        <f t="shared" ref="AN440:AN446" si="406">COUNTIF(Q440:R440,"NS")</f>
        <v>0</v>
      </c>
      <c r="AO440" s="283">
        <f t="shared" ref="AO440:AO446" si="407">SUM(Q440:R440)</f>
        <v>0</v>
      </c>
      <c r="AP440" s="283">
        <f t="shared" ref="AP440:AP446" si="408">IF(COUNTIF(P440:R440,"NA")=3,0,IF(COUNTA(P440:R440)=0,0,IF(OR(AND(P440=0,AN440&gt;0),AND(P440="ns",AO440&gt;0),AND(P440="ns",AN440=0,AO440=0)),1,IF(OR(AND(P440&gt;0,AN440=2),AND(P440="ns",AN440=2),AND(P440="ns",AO440=0,AN440&gt;0),P440=AO440),0,1))))</f>
        <v>0</v>
      </c>
      <c r="AQ440" s="283">
        <f t="shared" ref="AQ440:AQ446" si="409">COUNTIF(T440:U440,"NS")</f>
        <v>0</v>
      </c>
      <c r="AR440" s="283">
        <f t="shared" ref="AR440:AR446" si="410">SUM(T440:U440)</f>
        <v>0</v>
      </c>
      <c r="AS440" s="283">
        <f t="shared" ref="AS440:AS446" si="411">IF(COUNTIF(S440:U440,"NA")=3,0,IF(COUNTA(S440:U440)=0,0,IF(OR(AND(S440=0,AQ440&gt;0),AND(S440="ns",AR440&gt;0),AND(S440="ns",AQ440=0,AR440=0)),1,IF(OR(AND(S440&gt;0,AQ440=2),AND(S440="ns",AQ440=2),AND(S440="ns",AR440=0,AQ440&gt;0),S440=AR440),0,1))))</f>
        <v>0</v>
      </c>
      <c r="AT440" s="283">
        <f t="shared" ref="AT440:AT446" si="412">COUNTIF(W440:X440,"NS")</f>
        <v>0</v>
      </c>
      <c r="AU440" s="283">
        <f t="shared" ref="AU440:AU446" si="413">SUM(W440:X440)</f>
        <v>0</v>
      </c>
      <c r="AV440" s="283">
        <f t="shared" ref="AV440:AV446" si="414">IF(COUNTIF(V440:X440,"NA")=3,0,IF(COUNTA(V440:X440)=0,0,IF(OR(AND(V440=0,AT440&gt;0),AND(V440="ns",AU440&gt;0),AND(V440="ns",AT440=0,AU440=0)),1,IF(OR(AND(V440&gt;0,AT440=2),AND(V440="ns",AT440=2),AND(V440="ns",AU440=0,AT440&gt;0),V440=AU440),0,1))))</f>
        <v>0</v>
      </c>
      <c r="AW440" s="283">
        <f t="shared" ref="AW440:AW446" si="415">COUNTIF(Z440:AA440,"NS")</f>
        <v>0</v>
      </c>
      <c r="AX440" s="283">
        <f t="shared" ref="AX440:AX446" si="416">SUM(Z440:AA440)</f>
        <v>0</v>
      </c>
      <c r="AY440" s="283">
        <f t="shared" ref="AY440:AY446" si="417">IF(COUNTIF(Y440:AA440,"NA")=3,0,IF(COUNTA(Y440:AA440)=0,0,IF(OR(AND(Y440=0,AW440&gt;0),AND(Y440="ns",AX440&gt;0),AND(Y440="ns",AW440=0,AX440=0)),1,IF(OR(AND(Y440&gt;0,AW440=2),AND(Y440="ns",AW440=2),AND(Y440="ns",AX440=0,AW440&gt;0),Y440=AX440),0,1))))</f>
        <v>0</v>
      </c>
      <c r="AZ440" s="283">
        <f t="shared" ref="AZ440:AZ446" si="418">COUNTIF(AC440:AD440,"NS")</f>
        <v>0</v>
      </c>
      <c r="BA440" s="283">
        <f t="shared" ref="BA440:BA446" si="419">SUM(AC440:AD440)</f>
        <v>0</v>
      </c>
      <c r="BB440" s="283">
        <f t="shared" ref="BB440:BB446" si="420">IF(COUNTIF(AB440:AD440,"NA")=3,0,IF(COUNTA(AB440:AD440)=0,0,IF(OR(AND(AB440=0,AZ440&gt;0),AND(AB440="ns",BA440&gt;0),AND(AB440="ns",AZ440=0,BA440=0)),1,IF(OR(AND(AB440&gt;0,AZ440=2),AND(AB440="ns",AZ440=2),AND(AB440="ns",BA440=0,AZ440&gt;0),AB440=BA440),0,1))))</f>
        <v>0</v>
      </c>
      <c r="BD440">
        <f t="shared" ref="BD440:BF440" si="421">IF(AND(J440="NS",P416="NS",S416="NS",V416="NS"),0,IF(AND(J440="NA",P416="NA",S416="NA",V416="NA"),0,IF(J440=SUM(P416,S416,V416),0,1)))</f>
        <v>0</v>
      </c>
      <c r="BE440">
        <f t="shared" si="421"/>
        <v>0</v>
      </c>
      <c r="BF440">
        <f t="shared" si="421"/>
        <v>0</v>
      </c>
    </row>
    <row r="441" spans="1:58" ht="15" customHeight="1">
      <c r="A441" s="49"/>
      <c r="B441" s="38"/>
      <c r="C441" s="98" t="s">
        <v>2518</v>
      </c>
      <c r="D441" s="813" t="str">
        <f>IF(CNSIPEE_2024_M2_Secc1!D44="","",CNSIPEE_2024_M2_Secc1!D44)</f>
        <v/>
      </c>
      <c r="E441" s="814"/>
      <c r="F441" s="814"/>
      <c r="G441" s="814"/>
      <c r="H441" s="814"/>
      <c r="I441" s="815"/>
      <c r="J441" s="100"/>
      <c r="K441" s="100"/>
      <c r="L441" s="100"/>
      <c r="M441" s="100"/>
      <c r="N441" s="100"/>
      <c r="O441" s="100"/>
      <c r="P441" s="100"/>
      <c r="Q441" s="100"/>
      <c r="R441" s="100"/>
      <c r="S441" s="100"/>
      <c r="T441" s="100"/>
      <c r="U441" s="100"/>
      <c r="V441" s="100"/>
      <c r="W441" s="100"/>
      <c r="X441" s="100"/>
      <c r="Y441" s="100"/>
      <c r="Z441" s="100"/>
      <c r="AA441" s="100"/>
      <c r="AB441" s="100"/>
      <c r="AC441" s="100"/>
      <c r="AD441" s="100"/>
      <c r="AG441" s="326">
        <f t="shared" si="399"/>
        <v>0</v>
      </c>
      <c r="AH441" s="283">
        <f t="shared" si="400"/>
        <v>0</v>
      </c>
      <c r="AI441" s="283">
        <f t="shared" si="401"/>
        <v>0</v>
      </c>
      <c r="AJ441" s="283">
        <f t="shared" si="402"/>
        <v>0</v>
      </c>
      <c r="AK441" s="283">
        <f t="shared" si="403"/>
        <v>0</v>
      </c>
      <c r="AL441" s="283">
        <f t="shared" si="404"/>
        <v>0</v>
      </c>
      <c r="AM441" s="283">
        <f t="shared" si="405"/>
        <v>0</v>
      </c>
      <c r="AN441" s="283">
        <f t="shared" si="406"/>
        <v>0</v>
      </c>
      <c r="AO441" s="283">
        <f t="shared" si="407"/>
        <v>0</v>
      </c>
      <c r="AP441" s="283">
        <f t="shared" si="408"/>
        <v>0</v>
      </c>
      <c r="AQ441" s="283">
        <f t="shared" si="409"/>
        <v>0</v>
      </c>
      <c r="AR441" s="283">
        <f t="shared" si="410"/>
        <v>0</v>
      </c>
      <c r="AS441" s="283">
        <f t="shared" si="411"/>
        <v>0</v>
      </c>
      <c r="AT441" s="283">
        <f t="shared" si="412"/>
        <v>0</v>
      </c>
      <c r="AU441" s="283">
        <f t="shared" si="413"/>
        <v>0</v>
      </c>
      <c r="AV441" s="283">
        <f t="shared" si="414"/>
        <v>0</v>
      </c>
      <c r="AW441" s="283">
        <f t="shared" si="415"/>
        <v>0</v>
      </c>
      <c r="AX441" s="283">
        <f t="shared" si="416"/>
        <v>0</v>
      </c>
      <c r="AY441" s="283">
        <f t="shared" si="417"/>
        <v>0</v>
      </c>
      <c r="AZ441" s="283">
        <f t="shared" si="418"/>
        <v>0</v>
      </c>
      <c r="BA441" s="283">
        <f t="shared" si="419"/>
        <v>0</v>
      </c>
      <c r="BB441" s="283">
        <f t="shared" si="420"/>
        <v>0</v>
      </c>
      <c r="BD441">
        <f t="shared" ref="BD441:BF441" si="422">IF(AND(J441="NS",P417="NS",S417="NS",V417="NS"),0,IF(AND(J441="NA",P417="NA",S417="NA",V417="NA"),0,IF(J441=SUM(P417,S417,V417),0,1)))</f>
        <v>0</v>
      </c>
      <c r="BE441">
        <f t="shared" si="422"/>
        <v>0</v>
      </c>
      <c r="BF441">
        <f t="shared" si="422"/>
        <v>0</v>
      </c>
    </row>
    <row r="442" spans="1:58" ht="15" customHeight="1">
      <c r="A442" s="49"/>
      <c r="B442" s="38"/>
      <c r="C442" s="98" t="s">
        <v>2519</v>
      </c>
      <c r="D442" s="813" t="str">
        <f>IF(CNSIPEE_2024_M2_Secc1!D45="","",CNSIPEE_2024_M2_Secc1!D45)</f>
        <v/>
      </c>
      <c r="E442" s="814"/>
      <c r="F442" s="814"/>
      <c r="G442" s="814"/>
      <c r="H442" s="814"/>
      <c r="I442" s="815"/>
      <c r="J442" s="100"/>
      <c r="K442" s="100"/>
      <c r="L442" s="100"/>
      <c r="M442" s="100"/>
      <c r="N442" s="100"/>
      <c r="O442" s="100"/>
      <c r="P442" s="100"/>
      <c r="Q442" s="100"/>
      <c r="R442" s="100"/>
      <c r="S442" s="100"/>
      <c r="T442" s="100"/>
      <c r="U442" s="100"/>
      <c r="V442" s="100"/>
      <c r="W442" s="100"/>
      <c r="X442" s="100"/>
      <c r="Y442" s="100"/>
      <c r="Z442" s="100"/>
      <c r="AA442" s="100"/>
      <c r="AB442" s="100"/>
      <c r="AC442" s="100"/>
      <c r="AD442" s="100"/>
      <c r="AG442" s="326">
        <f t="shared" si="399"/>
        <v>0</v>
      </c>
      <c r="AH442" s="283">
        <f t="shared" si="400"/>
        <v>0</v>
      </c>
      <c r="AI442" s="283">
        <f t="shared" si="401"/>
        <v>0</v>
      </c>
      <c r="AJ442" s="283">
        <f t="shared" si="402"/>
        <v>0</v>
      </c>
      <c r="AK442" s="283">
        <f t="shared" si="403"/>
        <v>0</v>
      </c>
      <c r="AL442" s="283">
        <f t="shared" si="404"/>
        <v>0</v>
      </c>
      <c r="AM442" s="283">
        <f t="shared" si="405"/>
        <v>0</v>
      </c>
      <c r="AN442" s="283">
        <f t="shared" si="406"/>
        <v>0</v>
      </c>
      <c r="AO442" s="283">
        <f t="shared" si="407"/>
        <v>0</v>
      </c>
      <c r="AP442" s="283">
        <f t="shared" si="408"/>
        <v>0</v>
      </c>
      <c r="AQ442" s="283">
        <f t="shared" si="409"/>
        <v>0</v>
      </c>
      <c r="AR442" s="283">
        <f t="shared" si="410"/>
        <v>0</v>
      </c>
      <c r="AS442" s="283">
        <f t="shared" si="411"/>
        <v>0</v>
      </c>
      <c r="AT442" s="283">
        <f t="shared" si="412"/>
        <v>0</v>
      </c>
      <c r="AU442" s="283">
        <f t="shared" si="413"/>
        <v>0</v>
      </c>
      <c r="AV442" s="283">
        <f t="shared" si="414"/>
        <v>0</v>
      </c>
      <c r="AW442" s="283">
        <f t="shared" si="415"/>
        <v>0</v>
      </c>
      <c r="AX442" s="283">
        <f t="shared" si="416"/>
        <v>0</v>
      </c>
      <c r="AY442" s="283">
        <f t="shared" si="417"/>
        <v>0</v>
      </c>
      <c r="AZ442" s="283">
        <f t="shared" si="418"/>
        <v>0</v>
      </c>
      <c r="BA442" s="283">
        <f t="shared" si="419"/>
        <v>0</v>
      </c>
      <c r="BB442" s="283">
        <f t="shared" si="420"/>
        <v>0</v>
      </c>
      <c r="BD442">
        <f t="shared" ref="BD442:BF442" si="423">IF(AND(J442="NS",P418="NS",S418="NS",V418="NS"),0,IF(AND(J442="NA",P418="NA",S418="NA",V418="NA"),0,IF(J442=SUM(P418,S418,V418),0,1)))</f>
        <v>0</v>
      </c>
      <c r="BE442">
        <f t="shared" si="423"/>
        <v>0</v>
      </c>
      <c r="BF442">
        <f t="shared" si="423"/>
        <v>0</v>
      </c>
    </row>
    <row r="443" spans="1:58" ht="15" customHeight="1">
      <c r="A443" s="49"/>
      <c r="B443" s="38"/>
      <c r="C443" s="98" t="s">
        <v>2520</v>
      </c>
      <c r="D443" s="813" t="str">
        <f>IF(CNSIPEE_2024_M2_Secc1!D46="","",CNSIPEE_2024_M2_Secc1!D46)</f>
        <v/>
      </c>
      <c r="E443" s="814"/>
      <c r="F443" s="814"/>
      <c r="G443" s="814"/>
      <c r="H443" s="814"/>
      <c r="I443" s="815"/>
      <c r="J443" s="100"/>
      <c r="K443" s="100"/>
      <c r="L443" s="100"/>
      <c r="M443" s="100"/>
      <c r="N443" s="100"/>
      <c r="O443" s="100"/>
      <c r="P443" s="100"/>
      <c r="Q443" s="100"/>
      <c r="R443" s="100"/>
      <c r="S443" s="100"/>
      <c r="T443" s="100"/>
      <c r="U443" s="100"/>
      <c r="V443" s="100"/>
      <c r="W443" s="100"/>
      <c r="X443" s="100"/>
      <c r="Y443" s="100"/>
      <c r="Z443" s="100"/>
      <c r="AA443" s="100"/>
      <c r="AB443" s="100"/>
      <c r="AC443" s="100"/>
      <c r="AD443" s="100"/>
      <c r="AG443" s="326">
        <f t="shared" si="399"/>
        <v>0</v>
      </c>
      <c r="AH443" s="283">
        <f t="shared" si="400"/>
        <v>0</v>
      </c>
      <c r="AI443" s="283">
        <f t="shared" si="401"/>
        <v>0</v>
      </c>
      <c r="AJ443" s="283">
        <f t="shared" si="402"/>
        <v>0</v>
      </c>
      <c r="AK443" s="283">
        <f t="shared" si="403"/>
        <v>0</v>
      </c>
      <c r="AL443" s="283">
        <f t="shared" si="404"/>
        <v>0</v>
      </c>
      <c r="AM443" s="283">
        <f t="shared" si="405"/>
        <v>0</v>
      </c>
      <c r="AN443" s="283">
        <f t="shared" si="406"/>
        <v>0</v>
      </c>
      <c r="AO443" s="283">
        <f t="shared" si="407"/>
        <v>0</v>
      </c>
      <c r="AP443" s="283">
        <f t="shared" si="408"/>
        <v>0</v>
      </c>
      <c r="AQ443" s="283">
        <f t="shared" si="409"/>
        <v>0</v>
      </c>
      <c r="AR443" s="283">
        <f t="shared" si="410"/>
        <v>0</v>
      </c>
      <c r="AS443" s="283">
        <f t="shared" si="411"/>
        <v>0</v>
      </c>
      <c r="AT443" s="283">
        <f t="shared" si="412"/>
        <v>0</v>
      </c>
      <c r="AU443" s="283">
        <f t="shared" si="413"/>
        <v>0</v>
      </c>
      <c r="AV443" s="283">
        <f t="shared" si="414"/>
        <v>0</v>
      </c>
      <c r="AW443" s="283">
        <f t="shared" si="415"/>
        <v>0</v>
      </c>
      <c r="AX443" s="283">
        <f t="shared" si="416"/>
        <v>0</v>
      </c>
      <c r="AY443" s="283">
        <f t="shared" si="417"/>
        <v>0</v>
      </c>
      <c r="AZ443" s="283">
        <f t="shared" si="418"/>
        <v>0</v>
      </c>
      <c r="BA443" s="283">
        <f t="shared" si="419"/>
        <v>0</v>
      </c>
      <c r="BB443" s="283">
        <f t="shared" si="420"/>
        <v>0</v>
      </c>
      <c r="BD443">
        <f t="shared" ref="BD443:BF443" si="424">IF(AND(J443="NS",P419="NS",S419="NS",V419="NS"),0,IF(AND(J443="NA",P419="NA",S419="NA",V419="NA"),0,IF(J443=SUM(P419,S419,V419),0,1)))</f>
        <v>0</v>
      </c>
      <c r="BE443">
        <f t="shared" si="424"/>
        <v>0</v>
      </c>
      <c r="BF443">
        <f t="shared" si="424"/>
        <v>0</v>
      </c>
    </row>
    <row r="444" spans="1:58" ht="15" customHeight="1">
      <c r="A444" s="49"/>
      <c r="B444" s="38"/>
      <c r="C444" s="98" t="s">
        <v>2521</v>
      </c>
      <c r="D444" s="813" t="str">
        <f>IF(CNSIPEE_2024_M2_Secc1!D47="","",CNSIPEE_2024_M2_Secc1!D47)</f>
        <v/>
      </c>
      <c r="E444" s="814"/>
      <c r="F444" s="814"/>
      <c r="G444" s="814"/>
      <c r="H444" s="814"/>
      <c r="I444" s="815"/>
      <c r="J444" s="100"/>
      <c r="K444" s="100"/>
      <c r="L444" s="100"/>
      <c r="M444" s="100"/>
      <c r="N444" s="100"/>
      <c r="O444" s="100"/>
      <c r="P444" s="100"/>
      <c r="Q444" s="100"/>
      <c r="R444" s="100"/>
      <c r="S444" s="100"/>
      <c r="T444" s="100"/>
      <c r="U444" s="100"/>
      <c r="V444" s="100"/>
      <c r="W444" s="100"/>
      <c r="X444" s="100"/>
      <c r="Y444" s="100"/>
      <c r="Z444" s="100"/>
      <c r="AA444" s="100"/>
      <c r="AB444" s="100"/>
      <c r="AC444" s="100"/>
      <c r="AD444" s="100"/>
      <c r="AG444" s="326">
        <f t="shared" si="399"/>
        <v>0</v>
      </c>
      <c r="AH444" s="283">
        <f t="shared" si="400"/>
        <v>0</v>
      </c>
      <c r="AI444" s="283">
        <f t="shared" si="401"/>
        <v>0</v>
      </c>
      <c r="AJ444" s="283">
        <f t="shared" si="402"/>
        <v>0</v>
      </c>
      <c r="AK444" s="283">
        <f t="shared" si="403"/>
        <v>0</v>
      </c>
      <c r="AL444" s="283">
        <f t="shared" si="404"/>
        <v>0</v>
      </c>
      <c r="AM444" s="283">
        <f t="shared" si="405"/>
        <v>0</v>
      </c>
      <c r="AN444" s="283">
        <f t="shared" si="406"/>
        <v>0</v>
      </c>
      <c r="AO444" s="283">
        <f t="shared" si="407"/>
        <v>0</v>
      </c>
      <c r="AP444" s="283">
        <f t="shared" si="408"/>
        <v>0</v>
      </c>
      <c r="AQ444" s="283">
        <f t="shared" si="409"/>
        <v>0</v>
      </c>
      <c r="AR444" s="283">
        <f t="shared" si="410"/>
        <v>0</v>
      </c>
      <c r="AS444" s="283">
        <f t="shared" si="411"/>
        <v>0</v>
      </c>
      <c r="AT444" s="283">
        <f t="shared" si="412"/>
        <v>0</v>
      </c>
      <c r="AU444" s="283">
        <f t="shared" si="413"/>
        <v>0</v>
      </c>
      <c r="AV444" s="283">
        <f t="shared" si="414"/>
        <v>0</v>
      </c>
      <c r="AW444" s="283">
        <f t="shared" si="415"/>
        <v>0</v>
      </c>
      <c r="AX444" s="283">
        <f t="shared" si="416"/>
        <v>0</v>
      </c>
      <c r="AY444" s="283">
        <f t="shared" si="417"/>
        <v>0</v>
      </c>
      <c r="AZ444" s="283">
        <f t="shared" si="418"/>
        <v>0</v>
      </c>
      <c r="BA444" s="283">
        <f t="shared" si="419"/>
        <v>0</v>
      </c>
      <c r="BB444" s="283">
        <f t="shared" si="420"/>
        <v>0</v>
      </c>
      <c r="BD444">
        <f t="shared" ref="BD444:BF444" si="425">IF(AND(J444="NS",P420="NS",S420="NS",V420="NS"),0,IF(AND(J444="NA",P420="NA",S420="NA",V420="NA"),0,IF(J444=SUM(P420,S420,V420),0,1)))</f>
        <v>0</v>
      </c>
      <c r="BE444">
        <f t="shared" si="425"/>
        <v>0</v>
      </c>
      <c r="BF444">
        <f t="shared" si="425"/>
        <v>0</v>
      </c>
    </row>
    <row r="445" spans="1:58" ht="15" customHeight="1">
      <c r="A445" s="49"/>
      <c r="B445" s="38"/>
      <c r="C445" s="98" t="s">
        <v>2522</v>
      </c>
      <c r="D445" s="813" t="str">
        <f>IF(CNSIPEE_2024_M2_Secc1!D48="","",CNSIPEE_2024_M2_Secc1!D48)</f>
        <v/>
      </c>
      <c r="E445" s="814"/>
      <c r="F445" s="814"/>
      <c r="G445" s="814"/>
      <c r="H445" s="814"/>
      <c r="I445" s="815"/>
      <c r="J445" s="100"/>
      <c r="K445" s="100"/>
      <c r="L445" s="100"/>
      <c r="M445" s="100"/>
      <c r="N445" s="100"/>
      <c r="O445" s="100"/>
      <c r="P445" s="100"/>
      <c r="Q445" s="100"/>
      <c r="R445" s="100"/>
      <c r="S445" s="100"/>
      <c r="T445" s="100"/>
      <c r="U445" s="100"/>
      <c r="V445" s="100"/>
      <c r="W445" s="100"/>
      <c r="X445" s="100"/>
      <c r="Y445" s="100"/>
      <c r="Z445" s="100"/>
      <c r="AA445" s="100"/>
      <c r="AB445" s="100"/>
      <c r="AC445" s="100"/>
      <c r="AD445" s="100"/>
      <c r="AG445" s="326">
        <f t="shared" si="399"/>
        <v>0</v>
      </c>
      <c r="AH445" s="283">
        <f t="shared" si="400"/>
        <v>0</v>
      </c>
      <c r="AI445" s="283">
        <f t="shared" si="401"/>
        <v>0</v>
      </c>
      <c r="AJ445" s="283">
        <f t="shared" si="402"/>
        <v>0</v>
      </c>
      <c r="AK445" s="283">
        <f t="shared" si="403"/>
        <v>0</v>
      </c>
      <c r="AL445" s="283">
        <f t="shared" si="404"/>
        <v>0</v>
      </c>
      <c r="AM445" s="283">
        <f t="shared" si="405"/>
        <v>0</v>
      </c>
      <c r="AN445" s="283">
        <f t="shared" si="406"/>
        <v>0</v>
      </c>
      <c r="AO445" s="283">
        <f t="shared" si="407"/>
        <v>0</v>
      </c>
      <c r="AP445" s="283">
        <f t="shared" si="408"/>
        <v>0</v>
      </c>
      <c r="AQ445" s="283">
        <f t="shared" si="409"/>
        <v>0</v>
      </c>
      <c r="AR445" s="283">
        <f t="shared" si="410"/>
        <v>0</v>
      </c>
      <c r="AS445" s="283">
        <f t="shared" si="411"/>
        <v>0</v>
      </c>
      <c r="AT445" s="283">
        <f t="shared" si="412"/>
        <v>0</v>
      </c>
      <c r="AU445" s="283">
        <f t="shared" si="413"/>
        <v>0</v>
      </c>
      <c r="AV445" s="283">
        <f t="shared" si="414"/>
        <v>0</v>
      </c>
      <c r="AW445" s="283">
        <f t="shared" si="415"/>
        <v>0</v>
      </c>
      <c r="AX445" s="283">
        <f t="shared" si="416"/>
        <v>0</v>
      </c>
      <c r="AY445" s="283">
        <f t="shared" si="417"/>
        <v>0</v>
      </c>
      <c r="AZ445" s="283">
        <f t="shared" si="418"/>
        <v>0</v>
      </c>
      <c r="BA445" s="283">
        <f t="shared" si="419"/>
        <v>0</v>
      </c>
      <c r="BB445" s="283">
        <f t="shared" si="420"/>
        <v>0</v>
      </c>
      <c r="BD445">
        <f t="shared" ref="BD445:BF445" si="426">IF(AND(J445="NS",P421="NS",S421="NS",V421="NS"),0,IF(AND(J445="NA",P421="NA",S421="NA",V421="NA"),0,IF(J445=SUM(P421,S421,V421),0,1)))</f>
        <v>0</v>
      </c>
      <c r="BE445">
        <f t="shared" si="426"/>
        <v>0</v>
      </c>
      <c r="BF445">
        <f t="shared" si="426"/>
        <v>0</v>
      </c>
    </row>
    <row r="446" spans="1:58" ht="15" customHeight="1">
      <c r="A446" s="49"/>
      <c r="B446" s="38"/>
      <c r="C446" s="98" t="s">
        <v>2523</v>
      </c>
      <c r="D446" s="813" t="str">
        <f>IF(CNSIPEE_2024_M2_Secc1!D49="","",CNSIPEE_2024_M2_Secc1!D49)</f>
        <v/>
      </c>
      <c r="E446" s="814"/>
      <c r="F446" s="814"/>
      <c r="G446" s="814"/>
      <c r="H446" s="814"/>
      <c r="I446" s="815"/>
      <c r="J446" s="100"/>
      <c r="K446" s="100"/>
      <c r="L446" s="100"/>
      <c r="M446" s="100"/>
      <c r="N446" s="100"/>
      <c r="O446" s="100"/>
      <c r="P446" s="100"/>
      <c r="Q446" s="100"/>
      <c r="R446" s="100"/>
      <c r="S446" s="100"/>
      <c r="T446" s="100"/>
      <c r="U446" s="100"/>
      <c r="V446" s="100"/>
      <c r="W446" s="100"/>
      <c r="X446" s="100"/>
      <c r="Y446" s="100"/>
      <c r="Z446" s="100"/>
      <c r="AA446" s="100"/>
      <c r="AB446" s="100"/>
      <c r="AC446" s="100"/>
      <c r="AD446" s="100"/>
      <c r="AG446" s="326">
        <f t="shared" si="399"/>
        <v>0</v>
      </c>
      <c r="AH446" s="283">
        <f t="shared" si="400"/>
        <v>0</v>
      </c>
      <c r="AI446" s="283">
        <f t="shared" si="401"/>
        <v>0</v>
      </c>
      <c r="AJ446" s="283">
        <f t="shared" si="402"/>
        <v>0</v>
      </c>
      <c r="AK446" s="283">
        <f t="shared" si="403"/>
        <v>0</v>
      </c>
      <c r="AL446" s="283">
        <f t="shared" si="404"/>
        <v>0</v>
      </c>
      <c r="AM446" s="283">
        <f t="shared" si="405"/>
        <v>0</v>
      </c>
      <c r="AN446" s="283">
        <f t="shared" si="406"/>
        <v>0</v>
      </c>
      <c r="AO446" s="283">
        <f t="shared" si="407"/>
        <v>0</v>
      </c>
      <c r="AP446" s="283">
        <f t="shared" si="408"/>
        <v>0</v>
      </c>
      <c r="AQ446" s="283">
        <f t="shared" si="409"/>
        <v>0</v>
      </c>
      <c r="AR446" s="283">
        <f t="shared" si="410"/>
        <v>0</v>
      </c>
      <c r="AS446" s="283">
        <f t="shared" si="411"/>
        <v>0</v>
      </c>
      <c r="AT446" s="283">
        <f t="shared" si="412"/>
        <v>0</v>
      </c>
      <c r="AU446" s="283">
        <f t="shared" si="413"/>
        <v>0</v>
      </c>
      <c r="AV446" s="283">
        <f t="shared" si="414"/>
        <v>0</v>
      </c>
      <c r="AW446" s="283">
        <f t="shared" si="415"/>
        <v>0</v>
      </c>
      <c r="AX446" s="283">
        <f t="shared" si="416"/>
        <v>0</v>
      </c>
      <c r="AY446" s="283">
        <f t="shared" si="417"/>
        <v>0</v>
      </c>
      <c r="AZ446" s="283">
        <f t="shared" si="418"/>
        <v>0</v>
      </c>
      <c r="BA446" s="283">
        <f t="shared" si="419"/>
        <v>0</v>
      </c>
      <c r="BB446" s="283">
        <f t="shared" si="420"/>
        <v>0</v>
      </c>
      <c r="BD446">
        <f t="shared" ref="BD446:BF446" si="427">IF(AND(J446="NS",P422="NS",S422="NS",V422="NS"),0,IF(AND(J446="NA",P422="NA",S422="NA",V422="NA"),0,IF(J446=SUM(P422,S422,V422),0,1)))</f>
        <v>0</v>
      </c>
      <c r="BE446">
        <f t="shared" si="427"/>
        <v>0</v>
      </c>
      <c r="BF446">
        <f t="shared" si="427"/>
        <v>0</v>
      </c>
    </row>
    <row r="447" spans="1:58" ht="15" customHeight="1">
      <c r="A447" s="49"/>
      <c r="B447" s="38"/>
      <c r="C447" s="38"/>
      <c r="D447" s="38"/>
      <c r="E447" s="38"/>
      <c r="F447" s="38"/>
      <c r="G447" s="38"/>
      <c r="H447" s="38"/>
      <c r="I447" s="99" t="s">
        <v>2649</v>
      </c>
      <c r="J447" s="124">
        <f>IF(AND(SUM(J439:J446)=0,COUNTIF(J439:J446,"NS")&gt;0),"NS",
IF(AND(SUM(J439:J446)=0,COUNTIF(J439:J446,0)&gt;0),0,
IF(AND(SUM(J439:J446)=0,COUNTIF(J439:J446,"NA")&gt;0),"NA",
SUM(J439:J446))))</f>
        <v>0</v>
      </c>
      <c r="K447" s="124">
        <f t="shared" ref="K447:AD447" si="428">IF(AND(SUM(K439:K446)=0,COUNTIF(K439:K446,"NS")&gt;0),"NS",
IF(AND(SUM(K439:K446)=0,COUNTIF(K439:K446,0)&gt;0),0,
IF(AND(SUM(K439:K446)=0,COUNTIF(K439:K446,"NA")&gt;0),"NA",
SUM(K439:K446))))</f>
        <v>0</v>
      </c>
      <c r="L447" s="124">
        <f t="shared" si="428"/>
        <v>0</v>
      </c>
      <c r="M447" s="124">
        <f t="shared" si="428"/>
        <v>0</v>
      </c>
      <c r="N447" s="124">
        <f t="shared" si="428"/>
        <v>0</v>
      </c>
      <c r="O447" s="124">
        <f t="shared" si="428"/>
        <v>0</v>
      </c>
      <c r="P447" s="124">
        <f t="shared" si="428"/>
        <v>0</v>
      </c>
      <c r="Q447" s="124">
        <f t="shared" si="428"/>
        <v>0</v>
      </c>
      <c r="R447" s="124">
        <f t="shared" si="428"/>
        <v>0</v>
      </c>
      <c r="S447" s="124">
        <f t="shared" si="428"/>
        <v>0</v>
      </c>
      <c r="T447" s="124">
        <f t="shared" si="428"/>
        <v>0</v>
      </c>
      <c r="U447" s="124">
        <f t="shared" si="428"/>
        <v>0</v>
      </c>
      <c r="V447" s="124">
        <f t="shared" si="428"/>
        <v>0</v>
      </c>
      <c r="W447" s="124">
        <f t="shared" si="428"/>
        <v>0</v>
      </c>
      <c r="X447" s="124">
        <f t="shared" si="428"/>
        <v>0</v>
      </c>
      <c r="Y447" s="124">
        <f t="shared" si="428"/>
        <v>0</v>
      </c>
      <c r="Z447" s="124">
        <f t="shared" si="428"/>
        <v>0</v>
      </c>
      <c r="AA447" s="124">
        <f t="shared" si="428"/>
        <v>0</v>
      </c>
      <c r="AB447" s="124">
        <f t="shared" si="428"/>
        <v>0</v>
      </c>
      <c r="AC447" s="124">
        <f t="shared" si="428"/>
        <v>0</v>
      </c>
      <c r="AD447" s="124">
        <f t="shared" si="428"/>
        <v>0</v>
      </c>
      <c r="AG447" s="349">
        <f>SUM(AG439:AG446)</f>
        <v>0</v>
      </c>
      <c r="AH447" s="350">
        <f>SUM(AH439:AH446)</f>
        <v>0</v>
      </c>
      <c r="AI447" s="326"/>
      <c r="AJ447" s="352">
        <f>SUM(AJ439:AJ446)</f>
        <v>0</v>
      </c>
      <c r="AK447" s="350">
        <f t="shared" ref="AK447" si="429">SUM(AK439:AK446)</f>
        <v>0</v>
      </c>
      <c r="AL447" s="326"/>
      <c r="AM447" s="352">
        <f t="shared" ref="AM447:AN447" si="430">SUM(AM439:AM446)</f>
        <v>0</v>
      </c>
      <c r="AN447" s="350">
        <f t="shared" si="430"/>
        <v>0</v>
      </c>
      <c r="AO447" s="326"/>
      <c r="AP447" s="352">
        <f t="shared" ref="AP447:AQ447" si="431">SUM(AP439:AP446)</f>
        <v>0</v>
      </c>
      <c r="AQ447" s="350">
        <f t="shared" si="431"/>
        <v>0</v>
      </c>
      <c r="AR447" s="326"/>
      <c r="AS447" s="352">
        <f t="shared" ref="AS447:AT447" si="432">SUM(AS439:AS446)</f>
        <v>0</v>
      </c>
      <c r="AT447" s="350">
        <f t="shared" si="432"/>
        <v>0</v>
      </c>
      <c r="AU447" s="326"/>
      <c r="AV447" s="352">
        <f t="shared" ref="AV447:AW447" si="433">SUM(AV439:AV446)</f>
        <v>0</v>
      </c>
      <c r="AW447" s="350">
        <f t="shared" si="433"/>
        <v>0</v>
      </c>
      <c r="AX447" s="326"/>
      <c r="AY447" s="352">
        <f t="shared" ref="AY447:AZ447" si="434">SUM(AY439:AY446)</f>
        <v>0</v>
      </c>
      <c r="AZ447" s="350">
        <f t="shared" si="434"/>
        <v>0</v>
      </c>
      <c r="BA447" s="326"/>
      <c r="BB447" s="352">
        <f t="shared" ref="BB447" si="435">SUM(BB439:BB446)</f>
        <v>0</v>
      </c>
      <c r="BD447" s="370">
        <f>SUM(BD439:BD446)</f>
        <v>0</v>
      </c>
      <c r="BE447" s="371">
        <f>SUM(BE439:BE446)</f>
        <v>0</v>
      </c>
      <c r="BF447" s="372">
        <f>SUM(BF439:BF446)</f>
        <v>0</v>
      </c>
    </row>
    <row r="448" spans="1:58" ht="15" customHeight="1">
      <c r="A448" s="49"/>
      <c r="B448" s="90"/>
      <c r="C448" s="90"/>
      <c r="D448" s="90"/>
      <c r="E448" s="90"/>
      <c r="F448" s="90"/>
      <c r="G448" s="90"/>
      <c r="H448" s="90"/>
      <c r="I448" s="90"/>
      <c r="J448" s="90"/>
      <c r="K448" s="90"/>
      <c r="L448" s="90"/>
      <c r="M448" s="90"/>
      <c r="N448" s="90"/>
      <c r="O448" s="90"/>
      <c r="P448" s="90"/>
      <c r="Q448" s="90"/>
      <c r="R448" s="90"/>
      <c r="S448" s="90"/>
      <c r="T448" s="90"/>
      <c r="U448" s="90"/>
      <c r="V448" s="90"/>
      <c r="W448" s="90"/>
      <c r="X448" s="90"/>
      <c r="Y448" s="90"/>
      <c r="Z448" s="90"/>
      <c r="AA448" s="90"/>
      <c r="AB448" s="90"/>
      <c r="AC448" s="90"/>
      <c r="AD448" s="90"/>
      <c r="BD448"/>
      <c r="BE448"/>
      <c r="BF448" s="373">
        <f>SUM(BD447:BF447)</f>
        <v>0</v>
      </c>
    </row>
    <row r="449" spans="1:49" ht="24" customHeight="1">
      <c r="A449" s="49"/>
      <c r="B449" s="90"/>
      <c r="C449" s="754" t="s">
        <v>2611</v>
      </c>
      <c r="D449" s="754"/>
      <c r="E449" s="754"/>
      <c r="F449" s="754"/>
      <c r="G449" s="754"/>
      <c r="H449" s="754"/>
      <c r="I449" s="754"/>
      <c r="J449" s="754"/>
      <c r="K449" s="754"/>
      <c r="L449" s="754"/>
      <c r="M449" s="754"/>
      <c r="N449" s="754"/>
      <c r="O449" s="754"/>
      <c r="P449" s="754"/>
      <c r="Q449" s="754"/>
      <c r="R449" s="754"/>
      <c r="S449" s="754"/>
      <c r="T449" s="754"/>
      <c r="U449" s="754"/>
      <c r="V449" s="754"/>
      <c r="W449" s="754"/>
      <c r="X449" s="754"/>
      <c r="Y449" s="754"/>
      <c r="Z449" s="754"/>
      <c r="AA449" s="754"/>
      <c r="AB449" s="754"/>
      <c r="AC449" s="754"/>
      <c r="AD449" s="754"/>
      <c r="AI449" s="356" t="s">
        <v>2650</v>
      </c>
      <c r="AJ449" s="283">
        <f>SUM(AJ447,AM447,AP447,AS447,AV447,AY447,BB447)</f>
        <v>0</v>
      </c>
      <c r="AK449" s="355" t="s">
        <v>2651</v>
      </c>
      <c r="AL449" s="283">
        <f>SUM(AH447,AK447,AN447,AQ447,AT447,AW447,AZ447)</f>
        <v>0</v>
      </c>
      <c r="AM449" s="283"/>
      <c r="AN449" s="283"/>
    </row>
    <row r="450" spans="1:49" ht="60" customHeight="1">
      <c r="A450" s="49"/>
      <c r="B450" s="90"/>
      <c r="C450" s="851"/>
      <c r="D450" s="851"/>
      <c r="E450" s="851"/>
      <c r="F450" s="851"/>
      <c r="G450" s="851"/>
      <c r="H450" s="851"/>
      <c r="I450" s="851"/>
      <c r="J450" s="851"/>
      <c r="K450" s="851"/>
      <c r="L450" s="851"/>
      <c r="M450" s="851"/>
      <c r="N450" s="851"/>
      <c r="O450" s="851"/>
      <c r="P450" s="851"/>
      <c r="Q450" s="851"/>
      <c r="R450" s="851"/>
      <c r="S450" s="851"/>
      <c r="T450" s="851"/>
      <c r="U450" s="851"/>
      <c r="V450" s="851"/>
      <c r="W450" s="851"/>
      <c r="X450" s="851"/>
      <c r="Y450" s="851"/>
      <c r="Z450" s="851"/>
      <c r="AA450" s="851"/>
      <c r="AB450" s="851"/>
      <c r="AC450" s="851"/>
      <c r="AD450" s="851"/>
      <c r="AI450" s="357" t="s">
        <v>2652</v>
      </c>
      <c r="AJ450" s="283">
        <f>IF(AL449&gt;0,IF(SUM(J447)&gt;=SUM(M447,P447,S447,V447,Y447,AB447),0,1),IF(SUM(J447)&lt;&gt;SUM(M447,P447,S447,V447,Y447,AB447),1,0))</f>
        <v>0</v>
      </c>
      <c r="AK450" s="357" t="s">
        <v>2653</v>
      </c>
      <c r="AL450" s="283">
        <f>IF(AL449&gt;0,IF(SUM(K447)&gt;=SUM(N447,Q447,T447,W447,Z447,AC447),0,1),IF(SUM(K447)&lt;&gt;SUM(N447,Q447,T447,W447,Z447,AC447),1,0))</f>
        <v>0</v>
      </c>
      <c r="AM450" s="357" t="s">
        <v>2654</v>
      </c>
      <c r="AN450" s="283">
        <f>IF(AL449&gt;0,IF(SUM(L447)&gt;=SUM(O447,R447,U447,X447,AA447,AD447),0,1),IF(SUM(L447)&lt;&gt;SUM(O447,R447,U447,X447,AA447,AD447),1,0))</f>
        <v>0</v>
      </c>
    </row>
    <row r="451" spans="1:49" ht="15" customHeight="1">
      <c r="A451" s="49"/>
      <c r="B451" s="794" t="str">
        <f>IF(AG447&gt;0,"Favor de ingresar toda la información requerida en la pregunta ","")</f>
        <v/>
      </c>
      <c r="C451" s="794"/>
      <c r="D451" s="794"/>
      <c r="E451" s="794"/>
      <c r="F451" s="794"/>
      <c r="G451" s="794"/>
      <c r="H451" s="794"/>
      <c r="I451" s="794"/>
      <c r="J451" s="794"/>
      <c r="K451" s="794"/>
      <c r="L451" s="794"/>
      <c r="M451" s="794"/>
      <c r="N451" s="794"/>
      <c r="O451" s="794"/>
      <c r="P451" s="794"/>
      <c r="Q451" s="794"/>
      <c r="R451" s="794"/>
      <c r="S451" s="794"/>
      <c r="T451" s="794"/>
      <c r="U451" s="794"/>
      <c r="V451" s="794"/>
      <c r="W451" s="794"/>
      <c r="X451" s="794"/>
      <c r="Y451" s="794"/>
      <c r="Z451" s="794"/>
      <c r="AA451" s="794"/>
      <c r="AB451" s="794"/>
      <c r="AC451" s="794"/>
      <c r="AD451" s="794"/>
      <c r="AE451"/>
    </row>
    <row r="452" spans="1:49" ht="15" customHeight="1">
      <c r="A452" s="49"/>
      <c r="B452" s="795" t="str">
        <f>IF(AL449&gt;0,"Alerta: debido a que cuenta con registros NS, debe proporcionar una justificación en el area de comentarios al final de la pregunta","")</f>
        <v/>
      </c>
      <c r="C452" s="795"/>
      <c r="D452" s="795"/>
      <c r="E452" s="795"/>
      <c r="F452" s="795"/>
      <c r="G452" s="795"/>
      <c r="H452" s="795"/>
      <c r="I452" s="795"/>
      <c r="J452" s="795"/>
      <c r="K452" s="795"/>
      <c r="L452" s="795"/>
      <c r="M452" s="795"/>
      <c r="N452" s="795"/>
      <c r="O452" s="795"/>
      <c r="P452" s="795"/>
      <c r="Q452" s="795"/>
      <c r="R452" s="795"/>
      <c r="S452" s="795"/>
      <c r="T452" s="795"/>
      <c r="U452" s="795"/>
      <c r="V452" s="795"/>
      <c r="W452" s="795"/>
      <c r="X452" s="795"/>
      <c r="Y452" s="795"/>
      <c r="Z452" s="795"/>
      <c r="AA452" s="795"/>
      <c r="AB452" s="795"/>
      <c r="AC452" s="795"/>
      <c r="AD452" s="795"/>
      <c r="AE452"/>
    </row>
    <row r="453" spans="1:49" ht="15" customHeight="1">
      <c r="A453" s="49"/>
      <c r="B453" s="794" t="str">
        <f>IF(OR(AJ449&gt;0,AJ450&gt;0,AL450&gt;0,AN450&gt;0),"Favor de revisar la suma y consistencia de totales y/o subtotales por filas (numéricos y NS)","")</f>
        <v/>
      </c>
      <c r="C453" s="794"/>
      <c r="D453" s="794"/>
      <c r="E453" s="794"/>
      <c r="F453" s="794"/>
      <c r="G453" s="794"/>
      <c r="H453" s="794"/>
      <c r="I453" s="794"/>
      <c r="J453" s="794"/>
      <c r="K453" s="794"/>
      <c r="L453" s="794"/>
      <c r="M453" s="794"/>
      <c r="N453" s="794"/>
      <c r="O453" s="794"/>
      <c r="P453" s="794"/>
      <c r="Q453" s="794"/>
      <c r="R453" s="794"/>
      <c r="S453" s="794"/>
      <c r="T453" s="794"/>
      <c r="U453" s="794"/>
      <c r="V453" s="794"/>
      <c r="W453" s="794"/>
      <c r="X453" s="794"/>
      <c r="Y453" s="794"/>
      <c r="Z453" s="794"/>
      <c r="AA453" s="794"/>
      <c r="AB453" s="794"/>
      <c r="AC453" s="794"/>
      <c r="AD453" s="794"/>
      <c r="AE453"/>
    </row>
    <row r="454" spans="1:49" ht="15" customHeight="1">
      <c r="A454" s="49"/>
      <c r="B454" s="794" t="str">
        <f>IF(BF448&gt;0,"Favor de revisar la instrucción 1 y verifique que se cumplan con los criterios establecidos","")</f>
        <v/>
      </c>
      <c r="C454" s="794"/>
      <c r="D454" s="794"/>
      <c r="E454" s="794"/>
      <c r="F454" s="794"/>
      <c r="G454" s="794"/>
      <c r="H454" s="794"/>
      <c r="I454" s="794"/>
      <c r="J454" s="794"/>
      <c r="K454" s="794"/>
      <c r="L454" s="794"/>
      <c r="M454" s="794"/>
      <c r="N454" s="794"/>
      <c r="O454" s="794"/>
      <c r="P454" s="794"/>
      <c r="Q454" s="794"/>
      <c r="R454" s="794"/>
      <c r="S454" s="794"/>
      <c r="T454" s="794"/>
      <c r="U454" s="794"/>
      <c r="V454" s="794"/>
      <c r="W454" s="794"/>
      <c r="X454" s="794"/>
      <c r="Y454" s="794"/>
      <c r="Z454" s="794"/>
      <c r="AA454" s="794"/>
      <c r="AB454" s="794"/>
      <c r="AC454" s="794"/>
      <c r="AD454" s="794"/>
      <c r="AE454" s="794"/>
    </row>
    <row r="455" spans="1:49" ht="15" customHeight="1">
      <c r="A455" s="49"/>
      <c r="B455" s="90"/>
      <c r="C455" s="90"/>
      <c r="D455" s="90"/>
      <c r="E455" s="90"/>
      <c r="F455" s="90"/>
      <c r="G455" s="90"/>
      <c r="H455" s="90"/>
      <c r="I455" s="90"/>
      <c r="J455" s="90"/>
      <c r="K455" s="90"/>
      <c r="L455" s="90"/>
      <c r="M455" s="90"/>
      <c r="N455" s="90"/>
      <c r="O455" s="90"/>
      <c r="P455" s="90"/>
      <c r="Q455" s="90"/>
      <c r="R455" s="90"/>
      <c r="S455" s="90"/>
      <c r="T455" s="90"/>
      <c r="U455" s="90"/>
      <c r="V455" s="90"/>
      <c r="W455" s="90"/>
      <c r="X455" s="90"/>
      <c r="Y455" s="90"/>
      <c r="Z455" s="90"/>
      <c r="AA455" s="90"/>
      <c r="AB455" s="90"/>
      <c r="AC455" s="90"/>
      <c r="AD455" s="90"/>
      <c r="AE455"/>
    </row>
    <row r="456" spans="1:49" ht="15" customHeight="1">
      <c r="A456" s="49"/>
      <c r="B456" s="90"/>
      <c r="C456" s="90"/>
      <c r="D456" s="90"/>
      <c r="E456" s="90"/>
      <c r="F456" s="90"/>
      <c r="G456" s="90"/>
      <c r="H456" s="90"/>
      <c r="I456" s="90"/>
      <c r="J456" s="90"/>
      <c r="K456" s="90"/>
      <c r="L456" s="90"/>
      <c r="M456" s="90"/>
      <c r="N456" s="90"/>
      <c r="O456" s="90"/>
      <c r="P456" s="90"/>
      <c r="Q456" s="90"/>
      <c r="R456" s="90"/>
      <c r="S456" s="90"/>
      <c r="T456" s="90"/>
      <c r="U456" s="90"/>
      <c r="V456" s="90"/>
      <c r="W456" s="90"/>
      <c r="X456" s="90"/>
      <c r="Y456" s="90"/>
      <c r="Z456" s="90"/>
      <c r="AA456" s="90"/>
      <c r="AB456" s="90"/>
      <c r="AC456" s="90"/>
      <c r="AD456" s="90"/>
      <c r="AE456"/>
    </row>
    <row r="457" spans="1:49" ht="36" customHeight="1">
      <c r="A457" s="49" t="s">
        <v>3316</v>
      </c>
      <c r="B457" s="829" t="s">
        <v>3317</v>
      </c>
      <c r="C457" s="829"/>
      <c r="D457" s="829"/>
      <c r="E457" s="829"/>
      <c r="F457" s="829"/>
      <c r="G457" s="829"/>
      <c r="H457" s="829"/>
      <c r="I457" s="829"/>
      <c r="J457" s="829"/>
      <c r="K457" s="829"/>
      <c r="L457" s="829"/>
      <c r="M457" s="829"/>
      <c r="N457" s="829"/>
      <c r="O457" s="829"/>
      <c r="P457" s="829"/>
      <c r="Q457" s="829"/>
      <c r="R457" s="829"/>
      <c r="S457" s="829"/>
      <c r="T457" s="829"/>
      <c r="U457" s="829"/>
      <c r="V457" s="829"/>
      <c r="W457" s="829"/>
      <c r="X457" s="829"/>
      <c r="Y457" s="829"/>
      <c r="Z457" s="829"/>
      <c r="AA457" s="829"/>
      <c r="AB457" s="829"/>
      <c r="AC457" s="829"/>
      <c r="AD457" s="829"/>
    </row>
    <row r="458" spans="1:49" ht="36" customHeight="1">
      <c r="A458" s="49"/>
      <c r="B458" s="57"/>
      <c r="C458" s="754" t="s">
        <v>3318</v>
      </c>
      <c r="D458" s="830"/>
      <c r="E458" s="830"/>
      <c r="F458" s="830"/>
      <c r="G458" s="830"/>
      <c r="H458" s="830"/>
      <c r="I458" s="830"/>
      <c r="J458" s="830"/>
      <c r="K458" s="830"/>
      <c r="L458" s="830"/>
      <c r="M458" s="830"/>
      <c r="N458" s="830"/>
      <c r="O458" s="830"/>
      <c r="P458" s="830"/>
      <c r="Q458" s="830"/>
      <c r="R458" s="830"/>
      <c r="S458" s="830"/>
      <c r="T458" s="830"/>
      <c r="U458" s="830"/>
      <c r="V458" s="830"/>
      <c r="W458" s="830"/>
      <c r="X458" s="830"/>
      <c r="Y458" s="830"/>
      <c r="Z458" s="830"/>
      <c r="AA458" s="830"/>
      <c r="AB458" s="830"/>
      <c r="AC458" s="830"/>
      <c r="AD458" s="830"/>
    </row>
    <row r="459" spans="1:49" ht="15" customHeight="1">
      <c r="A459" s="49"/>
      <c r="B459" s="90"/>
      <c r="C459" s="90"/>
      <c r="D459" s="90"/>
      <c r="E459" s="90"/>
      <c r="F459" s="90"/>
      <c r="G459" s="90"/>
      <c r="H459" s="90"/>
      <c r="I459" s="90"/>
      <c r="J459" s="90"/>
      <c r="K459" s="90"/>
      <c r="L459" s="90"/>
      <c r="M459" s="90"/>
      <c r="N459" s="90"/>
      <c r="O459" s="90"/>
      <c r="P459" s="90"/>
      <c r="Q459" s="90"/>
      <c r="R459" s="90"/>
      <c r="S459" s="90"/>
      <c r="T459" s="90"/>
      <c r="U459" s="90"/>
      <c r="V459" s="90"/>
      <c r="W459" s="90"/>
      <c r="X459" s="90"/>
      <c r="Y459" s="90"/>
      <c r="Z459" s="90"/>
      <c r="AA459" s="90"/>
      <c r="AB459" s="90"/>
      <c r="AC459" s="90"/>
      <c r="AD459" s="90"/>
    </row>
    <row r="460" spans="1:49" ht="36" customHeight="1">
      <c r="A460" s="49"/>
      <c r="B460" s="90"/>
      <c r="C460" s="797" t="s">
        <v>2581</v>
      </c>
      <c r="D460" s="798"/>
      <c r="E460" s="798"/>
      <c r="F460" s="798"/>
      <c r="G460" s="798"/>
      <c r="H460" s="798"/>
      <c r="I460" s="798"/>
      <c r="J460" s="798"/>
      <c r="K460" s="798"/>
      <c r="L460" s="798"/>
      <c r="M460" s="798"/>
      <c r="N460" s="798"/>
      <c r="O460" s="798"/>
      <c r="P460" s="798"/>
      <c r="Q460" s="798"/>
      <c r="R460" s="799"/>
      <c r="S460" s="739" t="s">
        <v>3319</v>
      </c>
      <c r="T460" s="740"/>
      <c r="U460" s="740"/>
      <c r="V460" s="740"/>
      <c r="W460" s="740"/>
      <c r="X460" s="740"/>
      <c r="Y460" s="740"/>
      <c r="Z460" s="740"/>
      <c r="AA460" s="740"/>
      <c r="AB460" s="740"/>
      <c r="AC460" s="740"/>
      <c r="AD460" s="741"/>
    </row>
    <row r="461" spans="1:49" ht="24" customHeight="1">
      <c r="A461" s="49"/>
      <c r="B461" s="90"/>
      <c r="C461" s="800"/>
      <c r="D461" s="801"/>
      <c r="E461" s="801"/>
      <c r="F461" s="801"/>
      <c r="G461" s="801"/>
      <c r="H461" s="801"/>
      <c r="I461" s="801"/>
      <c r="J461" s="801"/>
      <c r="K461" s="801"/>
      <c r="L461" s="801"/>
      <c r="M461" s="801"/>
      <c r="N461" s="801"/>
      <c r="O461" s="801"/>
      <c r="P461" s="801"/>
      <c r="Q461" s="801"/>
      <c r="R461" s="802"/>
      <c r="S461" s="874" t="s">
        <v>2628</v>
      </c>
      <c r="T461" s="857" t="s">
        <v>2629</v>
      </c>
      <c r="U461" s="857" t="s">
        <v>2630</v>
      </c>
      <c r="V461" s="733" t="s">
        <v>3320</v>
      </c>
      <c r="W461" s="734"/>
      <c r="X461" s="735"/>
      <c r="Y461" s="733" t="s">
        <v>3321</v>
      </c>
      <c r="Z461" s="734"/>
      <c r="AA461" s="735"/>
      <c r="AB461" s="733" t="s">
        <v>201</v>
      </c>
      <c r="AC461" s="734"/>
      <c r="AD461" s="735"/>
      <c r="AU461" s="916" t="s">
        <v>3315</v>
      </c>
      <c r="AV461" s="916"/>
      <c r="AW461" s="916"/>
    </row>
    <row r="462" spans="1:49" ht="48" customHeight="1">
      <c r="A462" s="49"/>
      <c r="B462" s="90"/>
      <c r="C462" s="803"/>
      <c r="D462" s="804"/>
      <c r="E462" s="804"/>
      <c r="F462" s="804"/>
      <c r="G462" s="804"/>
      <c r="H462" s="804"/>
      <c r="I462" s="804"/>
      <c r="J462" s="804"/>
      <c r="K462" s="804"/>
      <c r="L462" s="804"/>
      <c r="M462" s="804"/>
      <c r="N462" s="804"/>
      <c r="O462" s="804"/>
      <c r="P462" s="804"/>
      <c r="Q462" s="804"/>
      <c r="R462" s="805"/>
      <c r="S462" s="874"/>
      <c r="T462" s="857"/>
      <c r="U462" s="857"/>
      <c r="V462" s="127" t="s">
        <v>2635</v>
      </c>
      <c r="W462" s="128" t="s">
        <v>2629</v>
      </c>
      <c r="X462" s="128" t="s">
        <v>2630</v>
      </c>
      <c r="Y462" s="127" t="s">
        <v>2635</v>
      </c>
      <c r="Z462" s="128" t="s">
        <v>2629</v>
      </c>
      <c r="AA462" s="128" t="s">
        <v>2630</v>
      </c>
      <c r="AB462" s="127" t="s">
        <v>2635</v>
      </c>
      <c r="AC462" s="128" t="s">
        <v>2629</v>
      </c>
      <c r="AD462" s="128" t="s">
        <v>2630</v>
      </c>
      <c r="AG462" s="354" t="s">
        <v>2586</v>
      </c>
      <c r="AH462" s="282" t="s">
        <v>2637</v>
      </c>
      <c r="AI462" s="280" t="s">
        <v>2638</v>
      </c>
      <c r="AJ462" s="281" t="s">
        <v>2639</v>
      </c>
      <c r="AK462" s="282" t="s">
        <v>2640</v>
      </c>
      <c r="AL462" s="280" t="s">
        <v>2641</v>
      </c>
      <c r="AM462" s="281" t="s">
        <v>2642</v>
      </c>
      <c r="AN462" s="282" t="s">
        <v>2643</v>
      </c>
      <c r="AO462" s="280" t="s">
        <v>2644</v>
      </c>
      <c r="AP462" s="281" t="s">
        <v>2645</v>
      </c>
      <c r="AQ462" s="282" t="s">
        <v>2646</v>
      </c>
      <c r="AR462" s="280" t="s">
        <v>2647</v>
      </c>
      <c r="AS462" s="281" t="s">
        <v>2648</v>
      </c>
      <c r="AU462" s="370" t="s">
        <v>2795</v>
      </c>
      <c r="AV462" s="371" t="s">
        <v>3177</v>
      </c>
      <c r="AW462" s="372" t="s">
        <v>3178</v>
      </c>
    </row>
    <row r="463" spans="1:49" ht="15" customHeight="1">
      <c r="A463" s="49"/>
      <c r="B463" s="90"/>
      <c r="C463" s="97" t="s">
        <v>2516</v>
      </c>
      <c r="D463" s="813" t="str">
        <f>IF(CNSIPEE_2024_M2_Secc1!D42="","",CNSIPEE_2024_M2_Secc1!D42)</f>
        <v/>
      </c>
      <c r="E463" s="814"/>
      <c r="F463" s="814"/>
      <c r="G463" s="814"/>
      <c r="H463" s="814"/>
      <c r="I463" s="814"/>
      <c r="J463" s="814"/>
      <c r="K463" s="814"/>
      <c r="L463" s="814"/>
      <c r="M463" s="814"/>
      <c r="N463" s="814"/>
      <c r="O463" s="814"/>
      <c r="P463" s="814"/>
      <c r="Q463" s="814"/>
      <c r="R463" s="815"/>
      <c r="S463" s="100"/>
      <c r="T463" s="100"/>
      <c r="U463" s="100"/>
      <c r="V463" s="100"/>
      <c r="W463" s="100"/>
      <c r="X463" s="100"/>
      <c r="Y463" s="100"/>
      <c r="Z463" s="100"/>
      <c r="AA463" s="100"/>
      <c r="AB463" s="100"/>
      <c r="AC463" s="100"/>
      <c r="AD463" s="100"/>
      <c r="AG463" s="326">
        <f>IF(AND(COUNTBLANK(D463)=0,COUNTA(S463:AD463)=12),0,IF(AND(COUNTBLANK(D463)=1,COUNTA(S463:AD463)=0),0,1))</f>
        <v>0</v>
      </c>
      <c r="AH463" s="283">
        <f>COUNTIF(T463:U463,"NS")</f>
        <v>0</v>
      </c>
      <c r="AI463" s="283">
        <f>SUM(T463:U463)</f>
        <v>0</v>
      </c>
      <c r="AJ463" s="283">
        <f>IF(COUNTIF(S463:U463,"NA")=3,0,IF(COUNTA(S463:U463)=0,0,IF(OR(AND(S463=0,AH463&gt;0),AND(S463="ns",AI463&gt;0),AND(S463="ns",AH463=0,AI463=0)),1,IF(OR(AND(S463&gt;0,AH463=2),AND(S463="ns",AH463=2),AND(S463="ns",AI463=0,AH463&gt;0),S463=AI463),0,1))))</f>
        <v>0</v>
      </c>
      <c r="AK463" s="283">
        <f>COUNTIF(W463:X463,"NS")</f>
        <v>0</v>
      </c>
      <c r="AL463" s="283">
        <f>SUM(W463:X463)</f>
        <v>0</v>
      </c>
      <c r="AM463" s="283">
        <f>IF(COUNTIF(V463:X463,"NA")=3,0,IF(COUNTA(V463:X463)=0,0,IF(OR(AND(V463=0,AK463&gt;0),AND(V463="ns",AL463&gt;0),AND(V463="ns",AK463=0,AL463=0)),1,IF(OR(AND(V463&gt;0,AK463=2),AND(V463="ns",AK463=2),AND(V463="ns",AL463=0,AK463&gt;0),V463=AL463),0,1))))</f>
        <v>0</v>
      </c>
      <c r="AN463" s="283">
        <f>COUNTIF(Z463:AA463,"NS")</f>
        <v>0</v>
      </c>
      <c r="AO463" s="283">
        <f>SUM(Z463:AA463)</f>
        <v>0</v>
      </c>
      <c r="AP463" s="283">
        <f>IF(COUNTIF(Y463:AA463,"NA")=3,0,IF(COUNTA(Y463:AA463)=0,0,IF(OR(AND(Y463=0,AN463&gt;0),AND(Y463="ns",AO463&gt;0),AND(Y463="ns",AN463=0,AO463=0)),1,IF(OR(AND(Y463&gt;0,AN463=2),AND(Y463="ns",AN463=2),AND(Y463="ns",AO463=0,AN463&gt;0),Y463=AO463),0,1))))</f>
        <v>0</v>
      </c>
      <c r="AQ463" s="283">
        <f>COUNTIF(AC463:AD463,"NS")</f>
        <v>0</v>
      </c>
      <c r="AR463" s="283">
        <f>SUM(AC463:AD463)</f>
        <v>0</v>
      </c>
      <c r="AS463" s="283">
        <f>IF(COUNTIF(AB463:AD463,"NA")=3,0,IF(COUNTA(AB463:AD463)=0,0,IF(OR(AND(AB463=0,AQ463&gt;0),AND(AB463="ns",AR463&gt;0),AND(AB463="ns",AQ463=0,AR463=0)),1,IF(OR(AND(AB463&gt;0,AQ463=2),AND(AB463="ns",AQ463=2),AND(AB463="ns",AR463=0,AQ463&gt;0),AB463=AR463),0,1))))</f>
        <v>0</v>
      </c>
      <c r="AU463">
        <f>IF(AND(S463="NS",P415="NS",S415="NS",V415="NS"),0,IF(AND(S463="NA",P415="NA",S415="NA",V415="NA"),0,IF(S463=SUM(P415,S415,V415),0,1)))</f>
        <v>0</v>
      </c>
      <c r="AV463">
        <f>IF(AND(T463="NS",Q415="NS",T415="NS",W415="NS"),0,IF(AND(T463="NA",Q415="NA",T415="NA",W415="NA"),0,IF(T463=SUM(Q415,T415,W415),0,1)))</f>
        <v>0</v>
      </c>
      <c r="AW463">
        <f>IF(AND(U463="NS",R415="NS",U415="NS",X415="NS"),0,IF(AND(U463="NA",R415="NA",U415="NA",X415="NA"),0,IF(U463=SUM(R415,U415,X415),0,1)))</f>
        <v>0</v>
      </c>
    </row>
    <row r="464" spans="1:49" ht="15" customHeight="1">
      <c r="A464" s="49"/>
      <c r="B464" s="90"/>
      <c r="C464" s="143" t="s">
        <v>2517</v>
      </c>
      <c r="D464" s="813" t="str">
        <f>IF(CNSIPEE_2024_M2_Secc1!D43="","",CNSIPEE_2024_M2_Secc1!D43)</f>
        <v/>
      </c>
      <c r="E464" s="814"/>
      <c r="F464" s="814"/>
      <c r="G464" s="814"/>
      <c r="H464" s="814"/>
      <c r="I464" s="814"/>
      <c r="J464" s="814"/>
      <c r="K464" s="814"/>
      <c r="L464" s="814"/>
      <c r="M464" s="814"/>
      <c r="N464" s="814"/>
      <c r="O464" s="814"/>
      <c r="P464" s="814"/>
      <c r="Q464" s="814"/>
      <c r="R464" s="815"/>
      <c r="S464" s="100"/>
      <c r="T464" s="100"/>
      <c r="U464" s="100"/>
      <c r="V464" s="100"/>
      <c r="W464" s="100"/>
      <c r="X464" s="100"/>
      <c r="Y464" s="100"/>
      <c r="Z464" s="100"/>
      <c r="AA464" s="100"/>
      <c r="AB464" s="100"/>
      <c r="AC464" s="100"/>
      <c r="AD464" s="100"/>
      <c r="AG464" s="326">
        <f t="shared" ref="AG464:AG470" si="436">IF(AND(COUNTBLANK(D464)=0,COUNTA(S464:AD464)=12),0,IF(AND(COUNTBLANK(D464)=1,COUNTA(S464:AD464)=0),0,1))</f>
        <v>0</v>
      </c>
      <c r="AH464" s="283">
        <f t="shared" ref="AH464:AH470" si="437">COUNTIF(T464:U464,"NS")</f>
        <v>0</v>
      </c>
      <c r="AI464" s="283">
        <f t="shared" ref="AI464:AI470" si="438">SUM(T464:U464)</f>
        <v>0</v>
      </c>
      <c r="AJ464" s="283">
        <f t="shared" ref="AJ464:AJ470" si="439">IF(COUNTIF(S464:U464,"NA")=3,0,IF(COUNTA(S464:U464)=0,0,IF(OR(AND(S464=0,AH464&gt;0),AND(S464="ns",AI464&gt;0),AND(S464="ns",AH464=0,AI464=0)),1,IF(OR(AND(S464&gt;0,AH464=2),AND(S464="ns",AH464=2),AND(S464="ns",AI464=0,AH464&gt;0),S464=AI464),0,1))))</f>
        <v>0</v>
      </c>
      <c r="AK464" s="283">
        <f t="shared" ref="AK464:AK470" si="440">COUNTIF(W464:X464,"NS")</f>
        <v>0</v>
      </c>
      <c r="AL464" s="283">
        <f t="shared" ref="AL464:AL470" si="441">SUM(W464:X464)</f>
        <v>0</v>
      </c>
      <c r="AM464" s="283">
        <f t="shared" ref="AM464:AM470" si="442">IF(COUNTIF(V464:X464,"NA")=3,0,IF(COUNTA(V464:X464)=0,0,IF(OR(AND(V464=0,AK464&gt;0),AND(V464="ns",AL464&gt;0),AND(V464="ns",AK464=0,AL464=0)),1,IF(OR(AND(V464&gt;0,AK464=2),AND(V464="ns",AK464=2),AND(V464="ns",AL464=0,AK464&gt;0),V464=AL464),0,1))))</f>
        <v>0</v>
      </c>
      <c r="AN464" s="283">
        <f t="shared" ref="AN464:AN470" si="443">COUNTIF(Z464:AA464,"NS")</f>
        <v>0</v>
      </c>
      <c r="AO464" s="283">
        <f t="shared" ref="AO464:AO470" si="444">SUM(Z464:AA464)</f>
        <v>0</v>
      </c>
      <c r="AP464" s="283">
        <f t="shared" ref="AP464:AP470" si="445">IF(COUNTIF(Y464:AA464,"NA")=3,0,IF(COUNTA(Y464:AA464)=0,0,IF(OR(AND(Y464=0,AN464&gt;0),AND(Y464="ns",AO464&gt;0),AND(Y464="ns",AN464=0,AO464=0)),1,IF(OR(AND(Y464&gt;0,AN464=2),AND(Y464="ns",AN464=2),AND(Y464="ns",AO464=0,AN464&gt;0),Y464=AO464),0,1))))</f>
        <v>0</v>
      </c>
      <c r="AQ464" s="283">
        <f t="shared" ref="AQ464:AQ470" si="446">COUNTIF(AC464:AD464,"NS")</f>
        <v>0</v>
      </c>
      <c r="AR464" s="283">
        <f t="shared" ref="AR464:AR470" si="447">SUM(AC464:AD464)</f>
        <v>0</v>
      </c>
      <c r="AS464" s="283">
        <f t="shared" ref="AS464:AS470" si="448">IF(COUNTIF(AB464:AD464,"NA")=3,0,IF(COUNTA(AB464:AD464)=0,0,IF(OR(AND(AB464=0,AQ464&gt;0),AND(AB464="ns",AR464&gt;0),AND(AB464="ns",AQ464=0,AR464=0)),1,IF(OR(AND(AB464&gt;0,AQ464=2),AND(AB464="ns",AQ464=2),AND(AB464="ns",AR464=0,AQ464&gt;0),AB464=AR464),0,1))))</f>
        <v>0</v>
      </c>
      <c r="AU464">
        <f t="shared" ref="AU464:AW464" si="449">IF(AND(S464="NS",P416="NS",S416="NS",V416="NS"),0,IF(AND(S464="NA",P416="NA",S416="NA",V416="NA"),0,IF(S464=SUM(P416,S416,V416),0,1)))</f>
        <v>0</v>
      </c>
      <c r="AV464">
        <f t="shared" si="449"/>
        <v>0</v>
      </c>
      <c r="AW464">
        <f t="shared" si="449"/>
        <v>0</v>
      </c>
    </row>
    <row r="465" spans="1:49" ht="15" customHeight="1">
      <c r="A465" s="49"/>
      <c r="B465" s="90"/>
      <c r="C465" s="143" t="s">
        <v>2518</v>
      </c>
      <c r="D465" s="813" t="str">
        <f>IF(CNSIPEE_2024_M2_Secc1!D44="","",CNSIPEE_2024_M2_Secc1!D44)</f>
        <v/>
      </c>
      <c r="E465" s="814"/>
      <c r="F465" s="814"/>
      <c r="G465" s="814"/>
      <c r="H465" s="814"/>
      <c r="I465" s="814"/>
      <c r="J465" s="814"/>
      <c r="K465" s="814"/>
      <c r="L465" s="814"/>
      <c r="M465" s="814"/>
      <c r="N465" s="814"/>
      <c r="O465" s="814"/>
      <c r="P465" s="814"/>
      <c r="Q465" s="814"/>
      <c r="R465" s="815"/>
      <c r="S465" s="100"/>
      <c r="T465" s="100"/>
      <c r="U465" s="100"/>
      <c r="V465" s="100"/>
      <c r="W465" s="100"/>
      <c r="X465" s="100"/>
      <c r="Y465" s="100"/>
      <c r="Z465" s="100"/>
      <c r="AA465" s="100"/>
      <c r="AB465" s="100"/>
      <c r="AC465" s="100"/>
      <c r="AD465" s="100"/>
      <c r="AG465" s="326">
        <f t="shared" si="436"/>
        <v>0</v>
      </c>
      <c r="AH465" s="283">
        <f t="shared" si="437"/>
        <v>0</v>
      </c>
      <c r="AI465" s="283">
        <f t="shared" si="438"/>
        <v>0</v>
      </c>
      <c r="AJ465" s="283">
        <f t="shared" si="439"/>
        <v>0</v>
      </c>
      <c r="AK465" s="283">
        <f t="shared" si="440"/>
        <v>0</v>
      </c>
      <c r="AL465" s="283">
        <f t="shared" si="441"/>
        <v>0</v>
      </c>
      <c r="AM465" s="283">
        <f t="shared" si="442"/>
        <v>0</v>
      </c>
      <c r="AN465" s="283">
        <f t="shared" si="443"/>
        <v>0</v>
      </c>
      <c r="AO465" s="283">
        <f t="shared" si="444"/>
        <v>0</v>
      </c>
      <c r="AP465" s="283">
        <f t="shared" si="445"/>
        <v>0</v>
      </c>
      <c r="AQ465" s="283">
        <f t="shared" si="446"/>
        <v>0</v>
      </c>
      <c r="AR465" s="283">
        <f t="shared" si="447"/>
        <v>0</v>
      </c>
      <c r="AS465" s="283">
        <f t="shared" si="448"/>
        <v>0</v>
      </c>
      <c r="AU465">
        <f t="shared" ref="AU465:AW465" si="450">IF(AND(S465="NS",P417="NS",S417="NS",V417="NS"),0,IF(AND(S465="NA",P417="NA",S417="NA",V417="NA"),0,IF(S465=SUM(P417,S417,V417),0,1)))</f>
        <v>0</v>
      </c>
      <c r="AV465">
        <f t="shared" si="450"/>
        <v>0</v>
      </c>
      <c r="AW465">
        <f t="shared" si="450"/>
        <v>0</v>
      </c>
    </row>
    <row r="466" spans="1:49" ht="15" customHeight="1">
      <c r="A466" s="49"/>
      <c r="B466" s="90"/>
      <c r="C466" s="143" t="s">
        <v>2519</v>
      </c>
      <c r="D466" s="813" t="str">
        <f>IF(CNSIPEE_2024_M2_Secc1!D45="","",CNSIPEE_2024_M2_Secc1!D45)</f>
        <v/>
      </c>
      <c r="E466" s="814"/>
      <c r="F466" s="814"/>
      <c r="G466" s="814"/>
      <c r="H466" s="814"/>
      <c r="I466" s="814"/>
      <c r="J466" s="814"/>
      <c r="K466" s="814"/>
      <c r="L466" s="814"/>
      <c r="M466" s="814"/>
      <c r="N466" s="814"/>
      <c r="O466" s="814"/>
      <c r="P466" s="814"/>
      <c r="Q466" s="814"/>
      <c r="R466" s="815"/>
      <c r="S466" s="100"/>
      <c r="T466" s="100"/>
      <c r="U466" s="100"/>
      <c r="V466" s="100"/>
      <c r="W466" s="100"/>
      <c r="X466" s="100"/>
      <c r="Y466" s="100"/>
      <c r="Z466" s="100"/>
      <c r="AA466" s="100"/>
      <c r="AB466" s="100"/>
      <c r="AC466" s="100"/>
      <c r="AD466" s="100"/>
      <c r="AG466" s="326">
        <f t="shared" si="436"/>
        <v>0</v>
      </c>
      <c r="AH466" s="283">
        <f t="shared" si="437"/>
        <v>0</v>
      </c>
      <c r="AI466" s="283">
        <f t="shared" si="438"/>
        <v>0</v>
      </c>
      <c r="AJ466" s="283">
        <f t="shared" si="439"/>
        <v>0</v>
      </c>
      <c r="AK466" s="283">
        <f t="shared" si="440"/>
        <v>0</v>
      </c>
      <c r="AL466" s="283">
        <f t="shared" si="441"/>
        <v>0</v>
      </c>
      <c r="AM466" s="283">
        <f t="shared" si="442"/>
        <v>0</v>
      </c>
      <c r="AN466" s="283">
        <f t="shared" si="443"/>
        <v>0</v>
      </c>
      <c r="AO466" s="283">
        <f t="shared" si="444"/>
        <v>0</v>
      </c>
      <c r="AP466" s="283">
        <f t="shared" si="445"/>
        <v>0</v>
      </c>
      <c r="AQ466" s="283">
        <f t="shared" si="446"/>
        <v>0</v>
      </c>
      <c r="AR466" s="283">
        <f t="shared" si="447"/>
        <v>0</v>
      </c>
      <c r="AS466" s="283">
        <f t="shared" si="448"/>
        <v>0</v>
      </c>
      <c r="AU466">
        <f t="shared" ref="AU466:AW466" si="451">IF(AND(S466="NS",P418="NS",S418="NS",V418="NS"),0,IF(AND(S466="NA",P418="NA",S418="NA",V418="NA"),0,IF(S466=SUM(P418,S418,V418),0,1)))</f>
        <v>0</v>
      </c>
      <c r="AV466">
        <f t="shared" si="451"/>
        <v>0</v>
      </c>
      <c r="AW466">
        <f t="shared" si="451"/>
        <v>0</v>
      </c>
    </row>
    <row r="467" spans="1:49" ht="15" customHeight="1">
      <c r="A467" s="49"/>
      <c r="B467" s="90"/>
      <c r="C467" s="143" t="s">
        <v>2520</v>
      </c>
      <c r="D467" s="813" t="str">
        <f>IF(CNSIPEE_2024_M2_Secc1!D46="","",CNSIPEE_2024_M2_Secc1!D46)</f>
        <v/>
      </c>
      <c r="E467" s="814"/>
      <c r="F467" s="814"/>
      <c r="G467" s="814"/>
      <c r="H467" s="814"/>
      <c r="I467" s="814"/>
      <c r="J467" s="814"/>
      <c r="K467" s="814"/>
      <c r="L467" s="814"/>
      <c r="M467" s="814"/>
      <c r="N467" s="814"/>
      <c r="O467" s="814"/>
      <c r="P467" s="814"/>
      <c r="Q467" s="814"/>
      <c r="R467" s="815"/>
      <c r="S467" s="100"/>
      <c r="T467" s="100"/>
      <c r="U467" s="100"/>
      <c r="V467" s="100"/>
      <c r="W467" s="100"/>
      <c r="X467" s="100"/>
      <c r="Y467" s="100"/>
      <c r="Z467" s="100"/>
      <c r="AA467" s="100"/>
      <c r="AB467" s="100"/>
      <c r="AC467" s="100"/>
      <c r="AD467" s="100"/>
      <c r="AG467" s="326">
        <f t="shared" si="436"/>
        <v>0</v>
      </c>
      <c r="AH467" s="283">
        <f t="shared" si="437"/>
        <v>0</v>
      </c>
      <c r="AI467" s="283">
        <f t="shared" si="438"/>
        <v>0</v>
      </c>
      <c r="AJ467" s="283">
        <f t="shared" si="439"/>
        <v>0</v>
      </c>
      <c r="AK467" s="283">
        <f t="shared" si="440"/>
        <v>0</v>
      </c>
      <c r="AL467" s="283">
        <f t="shared" si="441"/>
        <v>0</v>
      </c>
      <c r="AM467" s="283">
        <f t="shared" si="442"/>
        <v>0</v>
      </c>
      <c r="AN467" s="283">
        <f t="shared" si="443"/>
        <v>0</v>
      </c>
      <c r="AO467" s="283">
        <f t="shared" si="444"/>
        <v>0</v>
      </c>
      <c r="AP467" s="283">
        <f t="shared" si="445"/>
        <v>0</v>
      </c>
      <c r="AQ467" s="283">
        <f t="shared" si="446"/>
        <v>0</v>
      </c>
      <c r="AR467" s="283">
        <f t="shared" si="447"/>
        <v>0</v>
      </c>
      <c r="AS467" s="283">
        <f t="shared" si="448"/>
        <v>0</v>
      </c>
      <c r="AU467">
        <f t="shared" ref="AU467:AW467" si="452">IF(AND(S467="NS",P419="NS",S419="NS",V419="NS"),0,IF(AND(S467="NA",P419="NA",S419="NA",V419="NA"),0,IF(S467=SUM(P419,S419,V419),0,1)))</f>
        <v>0</v>
      </c>
      <c r="AV467">
        <f t="shared" si="452"/>
        <v>0</v>
      </c>
      <c r="AW467">
        <f t="shared" si="452"/>
        <v>0</v>
      </c>
    </row>
    <row r="468" spans="1:49" ht="15" customHeight="1">
      <c r="A468" s="49"/>
      <c r="B468" s="90"/>
      <c r="C468" s="143" t="s">
        <v>2521</v>
      </c>
      <c r="D468" s="813" t="str">
        <f>IF(CNSIPEE_2024_M2_Secc1!D47="","",CNSIPEE_2024_M2_Secc1!D47)</f>
        <v/>
      </c>
      <c r="E468" s="814"/>
      <c r="F468" s="814"/>
      <c r="G468" s="814"/>
      <c r="H468" s="814"/>
      <c r="I468" s="814"/>
      <c r="J468" s="814"/>
      <c r="K468" s="814"/>
      <c r="L468" s="814"/>
      <c r="M468" s="814"/>
      <c r="N468" s="814"/>
      <c r="O468" s="814"/>
      <c r="P468" s="814"/>
      <c r="Q468" s="814"/>
      <c r="R468" s="815"/>
      <c r="S468" s="100"/>
      <c r="T468" s="100"/>
      <c r="U468" s="100"/>
      <c r="V468" s="100"/>
      <c r="W468" s="100"/>
      <c r="X468" s="100"/>
      <c r="Y468" s="100"/>
      <c r="Z468" s="100"/>
      <c r="AA468" s="100"/>
      <c r="AB468" s="100"/>
      <c r="AC468" s="100"/>
      <c r="AD468" s="100"/>
      <c r="AG468" s="326">
        <f t="shared" si="436"/>
        <v>0</v>
      </c>
      <c r="AH468" s="283">
        <f t="shared" si="437"/>
        <v>0</v>
      </c>
      <c r="AI468" s="283">
        <f t="shared" si="438"/>
        <v>0</v>
      </c>
      <c r="AJ468" s="283">
        <f t="shared" si="439"/>
        <v>0</v>
      </c>
      <c r="AK468" s="283">
        <f t="shared" si="440"/>
        <v>0</v>
      </c>
      <c r="AL468" s="283">
        <f t="shared" si="441"/>
        <v>0</v>
      </c>
      <c r="AM468" s="283">
        <f t="shared" si="442"/>
        <v>0</v>
      </c>
      <c r="AN468" s="283">
        <f t="shared" si="443"/>
        <v>0</v>
      </c>
      <c r="AO468" s="283">
        <f t="shared" si="444"/>
        <v>0</v>
      </c>
      <c r="AP468" s="283">
        <f t="shared" si="445"/>
        <v>0</v>
      </c>
      <c r="AQ468" s="283">
        <f t="shared" si="446"/>
        <v>0</v>
      </c>
      <c r="AR468" s="283">
        <f t="shared" si="447"/>
        <v>0</v>
      </c>
      <c r="AS468" s="283">
        <f t="shared" si="448"/>
        <v>0</v>
      </c>
      <c r="AU468">
        <f t="shared" ref="AU468:AW468" si="453">IF(AND(S468="NS",P420="NS",S420="NS",V420="NS"),0,IF(AND(S468="NA",P420="NA",S420="NA",V420="NA"),0,IF(S468=SUM(P420,S420,V420),0,1)))</f>
        <v>0</v>
      </c>
      <c r="AV468">
        <f t="shared" si="453"/>
        <v>0</v>
      </c>
      <c r="AW468">
        <f t="shared" si="453"/>
        <v>0</v>
      </c>
    </row>
    <row r="469" spans="1:49" ht="15" customHeight="1">
      <c r="A469" s="49"/>
      <c r="B469" s="90"/>
      <c r="C469" s="143" t="s">
        <v>2522</v>
      </c>
      <c r="D469" s="813" t="str">
        <f>IF(CNSIPEE_2024_M2_Secc1!D48="","",CNSIPEE_2024_M2_Secc1!D48)</f>
        <v/>
      </c>
      <c r="E469" s="814"/>
      <c r="F469" s="814"/>
      <c r="G469" s="814"/>
      <c r="H469" s="814"/>
      <c r="I469" s="814"/>
      <c r="J469" s="814"/>
      <c r="K469" s="814"/>
      <c r="L469" s="814"/>
      <c r="M469" s="814"/>
      <c r="N469" s="814"/>
      <c r="O469" s="814"/>
      <c r="P469" s="814"/>
      <c r="Q469" s="814"/>
      <c r="R469" s="815"/>
      <c r="S469" s="100"/>
      <c r="T469" s="100"/>
      <c r="U469" s="100"/>
      <c r="V469" s="100"/>
      <c r="W469" s="100"/>
      <c r="X469" s="100"/>
      <c r="Y469" s="100"/>
      <c r="Z469" s="100"/>
      <c r="AA469" s="100"/>
      <c r="AB469" s="100"/>
      <c r="AC469" s="100"/>
      <c r="AD469" s="100"/>
      <c r="AG469" s="326">
        <f t="shared" si="436"/>
        <v>0</v>
      </c>
      <c r="AH469" s="283">
        <f t="shared" si="437"/>
        <v>0</v>
      </c>
      <c r="AI469" s="283">
        <f t="shared" si="438"/>
        <v>0</v>
      </c>
      <c r="AJ469" s="283">
        <f t="shared" si="439"/>
        <v>0</v>
      </c>
      <c r="AK469" s="283">
        <f t="shared" si="440"/>
        <v>0</v>
      </c>
      <c r="AL469" s="283">
        <f t="shared" si="441"/>
        <v>0</v>
      </c>
      <c r="AM469" s="283">
        <f t="shared" si="442"/>
        <v>0</v>
      </c>
      <c r="AN469" s="283">
        <f t="shared" si="443"/>
        <v>0</v>
      </c>
      <c r="AO469" s="283">
        <f t="shared" si="444"/>
        <v>0</v>
      </c>
      <c r="AP469" s="283">
        <f t="shared" si="445"/>
        <v>0</v>
      </c>
      <c r="AQ469" s="283">
        <f t="shared" si="446"/>
        <v>0</v>
      </c>
      <c r="AR469" s="283">
        <f t="shared" si="447"/>
        <v>0</v>
      </c>
      <c r="AS469" s="283">
        <f t="shared" si="448"/>
        <v>0</v>
      </c>
      <c r="AU469">
        <f t="shared" ref="AU469:AW469" si="454">IF(AND(S469="NS",P421="NS",S421="NS",V421="NS"),0,IF(AND(S469="NA",P421="NA",S421="NA",V421="NA"),0,IF(S469=SUM(P421,S421,V421),0,1)))</f>
        <v>0</v>
      </c>
      <c r="AV469">
        <f t="shared" si="454"/>
        <v>0</v>
      </c>
      <c r="AW469">
        <f t="shared" si="454"/>
        <v>0</v>
      </c>
    </row>
    <row r="470" spans="1:49" ht="15" customHeight="1">
      <c r="A470" s="49"/>
      <c r="B470" s="90"/>
      <c r="C470" s="143" t="s">
        <v>2523</v>
      </c>
      <c r="D470" s="813" t="str">
        <f>IF(CNSIPEE_2024_M2_Secc1!D49="","",CNSIPEE_2024_M2_Secc1!D49)</f>
        <v/>
      </c>
      <c r="E470" s="814"/>
      <c r="F470" s="814"/>
      <c r="G470" s="814"/>
      <c r="H470" s="814"/>
      <c r="I470" s="814"/>
      <c r="J470" s="814"/>
      <c r="K470" s="814"/>
      <c r="L470" s="814"/>
      <c r="M470" s="814"/>
      <c r="N470" s="814"/>
      <c r="O470" s="814"/>
      <c r="P470" s="814"/>
      <c r="Q470" s="814"/>
      <c r="R470" s="815"/>
      <c r="S470" s="100"/>
      <c r="T470" s="100"/>
      <c r="U470" s="100"/>
      <c r="V470" s="100"/>
      <c r="W470" s="100"/>
      <c r="X470" s="100"/>
      <c r="Y470" s="100"/>
      <c r="Z470" s="100"/>
      <c r="AA470" s="100"/>
      <c r="AB470" s="100"/>
      <c r="AC470" s="100"/>
      <c r="AD470" s="100"/>
      <c r="AG470" s="326">
        <f t="shared" si="436"/>
        <v>0</v>
      </c>
      <c r="AH470" s="283">
        <f t="shared" si="437"/>
        <v>0</v>
      </c>
      <c r="AI470" s="283">
        <f t="shared" si="438"/>
        <v>0</v>
      </c>
      <c r="AJ470" s="283">
        <f t="shared" si="439"/>
        <v>0</v>
      </c>
      <c r="AK470" s="283">
        <f t="shared" si="440"/>
        <v>0</v>
      </c>
      <c r="AL470" s="283">
        <f t="shared" si="441"/>
        <v>0</v>
      </c>
      <c r="AM470" s="283">
        <f t="shared" si="442"/>
        <v>0</v>
      </c>
      <c r="AN470" s="283">
        <f t="shared" si="443"/>
        <v>0</v>
      </c>
      <c r="AO470" s="283">
        <f t="shared" si="444"/>
        <v>0</v>
      </c>
      <c r="AP470" s="283">
        <f t="shared" si="445"/>
        <v>0</v>
      </c>
      <c r="AQ470" s="283">
        <f t="shared" si="446"/>
        <v>0</v>
      </c>
      <c r="AR470" s="283">
        <f t="shared" si="447"/>
        <v>0</v>
      </c>
      <c r="AS470" s="283">
        <f t="shared" si="448"/>
        <v>0</v>
      </c>
      <c r="AU470">
        <f t="shared" ref="AU470:AW470" si="455">IF(AND(S470="NS",P422="NS",S422="NS",V422="NS"),0,IF(AND(S470="NA",P422="NA",S422="NA",V422="NA"),0,IF(S470=SUM(P422,S422,V422),0,1)))</f>
        <v>0</v>
      </c>
      <c r="AV470">
        <f t="shared" si="455"/>
        <v>0</v>
      </c>
      <c r="AW470">
        <f t="shared" si="455"/>
        <v>0</v>
      </c>
    </row>
    <row r="471" spans="1:49" ht="15" customHeight="1">
      <c r="A471" s="49"/>
      <c r="B471" s="90"/>
      <c r="C471" s="90"/>
      <c r="D471" s="90"/>
      <c r="E471" s="90"/>
      <c r="F471" s="90"/>
      <c r="G471" s="90"/>
      <c r="H471" s="90"/>
      <c r="I471" s="90"/>
      <c r="J471" s="90"/>
      <c r="K471" s="90"/>
      <c r="L471" s="90"/>
      <c r="M471" s="90"/>
      <c r="N471" s="90"/>
      <c r="O471" s="90"/>
      <c r="P471" s="90"/>
      <c r="Q471" s="90"/>
      <c r="R471" s="117" t="s">
        <v>2649</v>
      </c>
      <c r="S471" s="124">
        <f>IF(AND(SUM(S463:S470)=0,COUNTIF(S463:S470,"NS")&gt;0),"NS",
IF(AND(SUM(S463:S470)=0,COUNTIF(S463:S470,0)&gt;0),0,
IF(AND(SUM(S463:S470)=0,COUNTIF(S463:S470,"NA")&gt;0),"NA",
SUM(S463:S470))))</f>
        <v>0</v>
      </c>
      <c r="T471" s="124">
        <f t="shared" ref="T471:AD471" si="456">IF(AND(SUM(T463:T470)=0,COUNTIF(T463:T470,"NS")&gt;0),"NS",
IF(AND(SUM(T463:T470)=0,COUNTIF(T463:T470,0)&gt;0),0,
IF(AND(SUM(T463:T470)=0,COUNTIF(T463:T470,"NA")&gt;0),"NA",
SUM(T463:T470))))</f>
        <v>0</v>
      </c>
      <c r="U471" s="124">
        <f t="shared" si="456"/>
        <v>0</v>
      </c>
      <c r="V471" s="124">
        <f t="shared" si="456"/>
        <v>0</v>
      </c>
      <c r="W471" s="124">
        <f t="shared" si="456"/>
        <v>0</v>
      </c>
      <c r="X471" s="124">
        <f t="shared" si="456"/>
        <v>0</v>
      </c>
      <c r="Y471" s="124">
        <f t="shared" si="456"/>
        <v>0</v>
      </c>
      <c r="Z471" s="124">
        <f t="shared" si="456"/>
        <v>0</v>
      </c>
      <c r="AA471" s="124">
        <f t="shared" si="456"/>
        <v>0</v>
      </c>
      <c r="AB471" s="124">
        <f t="shared" si="456"/>
        <v>0</v>
      </c>
      <c r="AC471" s="124">
        <f t="shared" si="456"/>
        <v>0</v>
      </c>
      <c r="AD471" s="124">
        <f t="shared" si="456"/>
        <v>0</v>
      </c>
      <c r="AG471" s="349">
        <f>SUM(AG463:AG470)</f>
        <v>0</v>
      </c>
      <c r="AH471" s="350">
        <f>SUM(AH463:AH470)</f>
        <v>0</v>
      </c>
      <c r="AI471" s="326"/>
      <c r="AJ471" s="352">
        <f>SUM(AJ463:AJ470)</f>
        <v>0</v>
      </c>
      <c r="AK471" s="350">
        <f t="shared" ref="AK471" si="457">SUM(AK463:AK470)</f>
        <v>0</v>
      </c>
      <c r="AL471" s="326"/>
      <c r="AM471" s="352">
        <f t="shared" ref="AM471:AN471" si="458">SUM(AM463:AM470)</f>
        <v>0</v>
      </c>
      <c r="AN471" s="350">
        <f t="shared" si="458"/>
        <v>0</v>
      </c>
      <c r="AO471" s="326"/>
      <c r="AP471" s="352">
        <f t="shared" ref="AP471:AQ471" si="459">SUM(AP463:AP470)</f>
        <v>0</v>
      </c>
      <c r="AQ471" s="350">
        <f t="shared" si="459"/>
        <v>0</v>
      </c>
      <c r="AR471" s="326"/>
      <c r="AS471" s="352">
        <f t="shared" ref="AS471" si="460">SUM(AS463:AS470)</f>
        <v>0</v>
      </c>
      <c r="AU471" s="370">
        <f>SUM(AU463:AU470)</f>
        <v>0</v>
      </c>
      <c r="AV471" s="371">
        <f>SUM(AV463:AV470)</f>
        <v>0</v>
      </c>
      <c r="AW471" s="372">
        <f>SUM(AW463:AW470)</f>
        <v>0</v>
      </c>
    </row>
    <row r="472" spans="1:49" ht="15" customHeight="1">
      <c r="A472" s="49"/>
      <c r="B472" s="90"/>
      <c r="C472" s="90"/>
      <c r="D472" s="90"/>
      <c r="E472" s="90"/>
      <c r="F472" s="90"/>
      <c r="G472" s="90"/>
      <c r="H472" s="90"/>
      <c r="I472" s="90"/>
      <c r="J472" s="90"/>
      <c r="K472" s="90"/>
      <c r="L472" s="90"/>
      <c r="M472" s="90"/>
      <c r="N472" s="90"/>
      <c r="O472" s="90"/>
      <c r="P472" s="90"/>
      <c r="Q472" s="90"/>
      <c r="R472" s="90"/>
      <c r="S472" s="90"/>
      <c r="T472" s="90"/>
      <c r="U472" s="90"/>
      <c r="V472" s="90"/>
      <c r="W472" s="90"/>
      <c r="X472" s="90"/>
      <c r="Y472" s="90"/>
      <c r="Z472" s="90"/>
      <c r="AA472" s="90"/>
      <c r="AB472" s="90"/>
      <c r="AC472" s="90"/>
      <c r="AD472" s="90"/>
      <c r="AU472"/>
      <c r="AV472"/>
      <c r="AW472" s="373">
        <f>SUM(AU471:AW471)</f>
        <v>0</v>
      </c>
    </row>
    <row r="473" spans="1:49" ht="24" customHeight="1">
      <c r="A473" s="49"/>
      <c r="B473" s="90"/>
      <c r="C473" s="754" t="s">
        <v>2611</v>
      </c>
      <c r="D473" s="754"/>
      <c r="E473" s="754"/>
      <c r="F473" s="754"/>
      <c r="G473" s="754"/>
      <c r="H473" s="754"/>
      <c r="I473" s="754"/>
      <c r="J473" s="754"/>
      <c r="K473" s="754"/>
      <c r="L473" s="754"/>
      <c r="M473" s="754"/>
      <c r="N473" s="754"/>
      <c r="O473" s="754"/>
      <c r="P473" s="754"/>
      <c r="Q473" s="754"/>
      <c r="R473" s="754"/>
      <c r="S473" s="754"/>
      <c r="T473" s="754"/>
      <c r="U473" s="754"/>
      <c r="V473" s="754"/>
      <c r="W473" s="754"/>
      <c r="X473" s="754"/>
      <c r="Y473" s="754"/>
      <c r="Z473" s="754"/>
      <c r="AA473" s="754"/>
      <c r="AB473" s="754"/>
      <c r="AC473" s="754"/>
      <c r="AD473" s="754"/>
      <c r="AI473" s="356" t="s">
        <v>2650</v>
      </c>
      <c r="AJ473" s="283">
        <f>SUM(AJ471,AM471,AP471,AS471)</f>
        <v>0</v>
      </c>
      <c r="AK473" s="355" t="s">
        <v>2651</v>
      </c>
      <c r="AL473" s="283">
        <f>SUM(AH471,AK471,AN471,AQ471)</f>
        <v>0</v>
      </c>
      <c r="AM473" s="283"/>
      <c r="AN473" s="283"/>
    </row>
    <row r="474" spans="1:49" ht="60" customHeight="1">
      <c r="A474" s="49"/>
      <c r="B474" s="90"/>
      <c r="C474" s="851"/>
      <c r="D474" s="851"/>
      <c r="E474" s="851"/>
      <c r="F474" s="851"/>
      <c r="G474" s="851"/>
      <c r="H474" s="851"/>
      <c r="I474" s="851"/>
      <c r="J474" s="851"/>
      <c r="K474" s="851"/>
      <c r="L474" s="851"/>
      <c r="M474" s="851"/>
      <c r="N474" s="851"/>
      <c r="O474" s="851"/>
      <c r="P474" s="851"/>
      <c r="Q474" s="851"/>
      <c r="R474" s="851"/>
      <c r="S474" s="851"/>
      <c r="T474" s="851"/>
      <c r="U474" s="851"/>
      <c r="V474" s="851"/>
      <c r="W474" s="851"/>
      <c r="X474" s="851"/>
      <c r="Y474" s="851"/>
      <c r="Z474" s="851"/>
      <c r="AA474" s="851"/>
      <c r="AB474" s="851"/>
      <c r="AC474" s="851"/>
      <c r="AD474" s="851"/>
      <c r="AI474" s="357" t="s">
        <v>2652</v>
      </c>
      <c r="AJ474" s="283">
        <f>IF(AL473&gt;0,IF(SUM(S471)&gt;=SUM(V471,Y471,AB471),0,1),IF(SUM(S471)&lt;&gt;SUM(V471,Y471,AB471),1,0))</f>
        <v>0</v>
      </c>
      <c r="AK474" s="357" t="s">
        <v>2653</v>
      </c>
      <c r="AL474" s="283">
        <f>IF(AL473&gt;0,IF(SUM(T471)&gt;=SUM(W471,Z471,AC471),0,1),IF(SUM(T471)&lt;&gt;SUM(W471,Z471,AC471),1,0))</f>
        <v>0</v>
      </c>
      <c r="AM474" s="357" t="s">
        <v>2654</v>
      </c>
      <c r="AN474" s="283">
        <f>IF(AL473&gt;0,IF(SUM(U471)&gt;=SUM(X471,AA471,AD471),0,1),IF(SUM(U471)&lt;&gt;SUM(X471,AA471,AD471),1,0))</f>
        <v>0</v>
      </c>
    </row>
    <row r="475" spans="1:49" ht="15" customHeight="1">
      <c r="A475" s="49"/>
      <c r="B475" s="794" t="str">
        <f>IF(AG471&gt;0,"Favor de ingresar toda la información requerida en la pregunta ","")</f>
        <v/>
      </c>
      <c r="C475" s="794"/>
      <c r="D475" s="794"/>
      <c r="E475" s="794"/>
      <c r="F475" s="794"/>
      <c r="G475" s="794"/>
      <c r="H475" s="794"/>
      <c r="I475" s="794"/>
      <c r="J475" s="794"/>
      <c r="K475" s="794"/>
      <c r="L475" s="794"/>
      <c r="M475" s="794"/>
      <c r="N475" s="794"/>
      <c r="O475" s="794"/>
      <c r="P475" s="794"/>
      <c r="Q475" s="794"/>
      <c r="R475" s="794"/>
      <c r="S475" s="794"/>
      <c r="T475" s="794"/>
      <c r="U475" s="794"/>
      <c r="V475" s="794"/>
      <c r="W475" s="794"/>
      <c r="X475" s="794"/>
      <c r="Y475" s="794"/>
      <c r="Z475" s="794"/>
      <c r="AA475" s="794"/>
      <c r="AB475" s="794"/>
      <c r="AC475" s="794"/>
      <c r="AD475" s="794"/>
      <c r="AE475"/>
    </row>
    <row r="476" spans="1:49" ht="15" customHeight="1">
      <c r="A476" s="49"/>
      <c r="B476" s="795" t="str">
        <f>IF(AL473&gt;0,"Alerta: debido a que cuenta con registros NS, debe proporcionar una justificación en el area de comentarios al final de la pregunta","")</f>
        <v/>
      </c>
      <c r="C476" s="795"/>
      <c r="D476" s="795"/>
      <c r="E476" s="795"/>
      <c r="F476" s="795"/>
      <c r="G476" s="795"/>
      <c r="H476" s="795"/>
      <c r="I476" s="795"/>
      <c r="J476" s="795"/>
      <c r="K476" s="795"/>
      <c r="L476" s="795"/>
      <c r="M476" s="795"/>
      <c r="N476" s="795"/>
      <c r="O476" s="795"/>
      <c r="P476" s="795"/>
      <c r="Q476" s="795"/>
      <c r="R476" s="795"/>
      <c r="S476" s="795"/>
      <c r="T476" s="795"/>
      <c r="U476" s="795"/>
      <c r="V476" s="795"/>
      <c r="W476" s="795"/>
      <c r="X476" s="795"/>
      <c r="Y476" s="795"/>
      <c r="Z476" s="795"/>
      <c r="AA476" s="795"/>
      <c r="AB476" s="795"/>
      <c r="AC476" s="795"/>
      <c r="AD476" s="795"/>
      <c r="AE476"/>
    </row>
    <row r="477" spans="1:49" ht="15" customHeight="1">
      <c r="A477" s="49"/>
      <c r="B477" s="794" t="str">
        <f>IF(OR(AJ473&gt;0,AJ474&gt;0,AL474&gt;0,AN474&gt;0),"Favor de revisar la suma y consistencia de totales y/o subtotales por filas (numéricos y NS)","")</f>
        <v/>
      </c>
      <c r="C477" s="794"/>
      <c r="D477" s="794"/>
      <c r="E477" s="794"/>
      <c r="F477" s="794"/>
      <c r="G477" s="794"/>
      <c r="H477" s="794"/>
      <c r="I477" s="794"/>
      <c r="J477" s="794"/>
      <c r="K477" s="794"/>
      <c r="L477" s="794"/>
      <c r="M477" s="794"/>
      <c r="N477" s="794"/>
      <c r="O477" s="794"/>
      <c r="P477" s="794"/>
      <c r="Q477" s="794"/>
      <c r="R477" s="794"/>
      <c r="S477" s="794"/>
      <c r="T477" s="794"/>
      <c r="U477" s="794"/>
      <c r="V477" s="794"/>
      <c r="W477" s="794"/>
      <c r="X477" s="794"/>
      <c r="Y477" s="794"/>
      <c r="Z477" s="794"/>
      <c r="AA477" s="794"/>
      <c r="AB477" s="794"/>
      <c r="AC477" s="794"/>
      <c r="AD477" s="794"/>
      <c r="AE477"/>
    </row>
    <row r="478" spans="1:49" ht="15" customHeight="1">
      <c r="A478" s="49"/>
      <c r="B478" s="794" t="str">
        <f>IF(AW472&gt;0,"Favor de revisar la instrucción 1 y verifique que se cumplan con los criterios establecidos","")</f>
        <v/>
      </c>
      <c r="C478" s="794"/>
      <c r="D478" s="794"/>
      <c r="E478" s="794"/>
      <c r="F478" s="794"/>
      <c r="G478" s="794"/>
      <c r="H478" s="794"/>
      <c r="I478" s="794"/>
      <c r="J478" s="794"/>
      <c r="K478" s="794"/>
      <c r="L478" s="794"/>
      <c r="M478" s="794"/>
      <c r="N478" s="794"/>
      <c r="O478" s="794"/>
      <c r="P478" s="794"/>
      <c r="Q478" s="794"/>
      <c r="R478" s="794"/>
      <c r="S478" s="794"/>
      <c r="T478" s="794"/>
      <c r="U478" s="794"/>
      <c r="V478" s="794"/>
      <c r="W478" s="794"/>
      <c r="X478" s="794"/>
      <c r="Y478" s="794"/>
      <c r="Z478" s="794"/>
      <c r="AA478" s="794"/>
      <c r="AB478" s="794"/>
      <c r="AC478" s="794"/>
      <c r="AD478" s="794"/>
      <c r="AE478" s="794"/>
    </row>
    <row r="479" spans="1:49" ht="15" customHeight="1">
      <c r="A479" s="49"/>
      <c r="B479" s="90"/>
      <c r="C479" s="90"/>
      <c r="D479" s="90"/>
      <c r="E479" s="90"/>
      <c r="F479" s="90"/>
      <c r="G479" s="90"/>
      <c r="H479" s="90"/>
      <c r="I479" s="90"/>
      <c r="J479" s="90"/>
      <c r="K479" s="90"/>
      <c r="L479" s="90"/>
      <c r="M479" s="90"/>
      <c r="N479" s="90"/>
      <c r="O479" s="90"/>
      <c r="P479" s="90"/>
      <c r="Q479" s="90"/>
      <c r="R479" s="90"/>
      <c r="S479" s="90"/>
      <c r="T479" s="90"/>
      <c r="U479" s="90"/>
      <c r="V479" s="90"/>
      <c r="W479" s="90"/>
      <c r="X479" s="90"/>
      <c r="Y479" s="90"/>
      <c r="Z479" s="90"/>
      <c r="AA479" s="90"/>
      <c r="AB479" s="90"/>
      <c r="AC479" s="90"/>
      <c r="AD479" s="90"/>
      <c r="AE479"/>
    </row>
    <row r="480" spans="1:49" ht="15" customHeight="1" thickBot="1">
      <c r="A480" s="49"/>
      <c r="B480" s="90"/>
      <c r="C480" s="90"/>
      <c r="D480" s="90"/>
      <c r="E480" s="90"/>
      <c r="F480" s="90"/>
      <c r="G480" s="90"/>
      <c r="H480" s="90"/>
      <c r="I480" s="90"/>
      <c r="J480" s="90"/>
      <c r="K480" s="90"/>
      <c r="L480" s="90"/>
      <c r="M480" s="90"/>
      <c r="N480" s="90"/>
      <c r="O480" s="90"/>
      <c r="P480" s="90"/>
      <c r="Q480" s="90"/>
      <c r="R480" s="90"/>
      <c r="S480" s="90"/>
      <c r="T480" s="90"/>
      <c r="U480" s="90"/>
      <c r="V480" s="90"/>
      <c r="W480" s="90"/>
      <c r="X480" s="90"/>
      <c r="Y480" s="90"/>
      <c r="Z480" s="90"/>
      <c r="AA480" s="90"/>
      <c r="AB480" s="90"/>
      <c r="AC480" s="90"/>
      <c r="AD480" s="90"/>
      <c r="AE480"/>
    </row>
    <row r="481" spans="1:31" customFormat="1" ht="15" customHeight="1" thickBot="1">
      <c r="A481" s="153" t="s">
        <v>2563</v>
      </c>
      <c r="B481" s="831" t="s">
        <v>3322</v>
      </c>
      <c r="C481" s="832"/>
      <c r="D481" s="832"/>
      <c r="E481" s="832"/>
      <c r="F481" s="832"/>
      <c r="G481" s="832"/>
      <c r="H481" s="832"/>
      <c r="I481" s="832"/>
      <c r="J481" s="832"/>
      <c r="K481" s="832"/>
      <c r="L481" s="832"/>
      <c r="M481" s="832"/>
      <c r="N481" s="832"/>
      <c r="O481" s="832"/>
      <c r="P481" s="832"/>
      <c r="Q481" s="832"/>
      <c r="R481" s="832"/>
      <c r="S481" s="832"/>
      <c r="T481" s="832"/>
      <c r="U481" s="832"/>
      <c r="V481" s="832"/>
      <c r="W481" s="832"/>
      <c r="X481" s="832"/>
      <c r="Y481" s="832"/>
      <c r="Z481" s="832"/>
      <c r="AA481" s="832"/>
      <c r="AB481" s="832"/>
      <c r="AC481" s="832"/>
      <c r="AD481" s="833"/>
      <c r="AE481" s="3"/>
    </row>
    <row r="482" spans="1:31" ht="15" customHeight="1">
      <c r="A482" s="120"/>
      <c r="B482" s="941" t="s">
        <v>2948</v>
      </c>
      <c r="C482" s="839"/>
      <c r="D482" s="839"/>
      <c r="E482" s="839"/>
      <c r="F482" s="839"/>
      <c r="G482" s="839"/>
      <c r="H482" s="839"/>
      <c r="I482" s="839"/>
      <c r="J482" s="839"/>
      <c r="K482" s="839"/>
      <c r="L482" s="839"/>
      <c r="M482" s="839"/>
      <c r="N482" s="839"/>
      <c r="O482" s="839"/>
      <c r="P482" s="839"/>
      <c r="Q482" s="839"/>
      <c r="R482" s="839"/>
      <c r="S482" s="839"/>
      <c r="T482" s="839"/>
      <c r="U482" s="839"/>
      <c r="V482" s="839"/>
      <c r="W482" s="839"/>
      <c r="X482" s="839"/>
      <c r="Y482" s="839"/>
      <c r="Z482" s="839"/>
      <c r="AA482" s="839"/>
      <c r="AB482" s="839"/>
      <c r="AC482" s="839"/>
      <c r="AD482" s="942"/>
    </row>
    <row r="483" spans="1:31" ht="24" customHeight="1">
      <c r="A483" s="120"/>
      <c r="B483" s="151"/>
      <c r="C483" s="764" t="s">
        <v>3323</v>
      </c>
      <c r="D483" s="764"/>
      <c r="E483" s="764"/>
      <c r="F483" s="764"/>
      <c r="G483" s="764"/>
      <c r="H483" s="764"/>
      <c r="I483" s="764"/>
      <c r="J483" s="764"/>
      <c r="K483" s="764"/>
      <c r="L483" s="764"/>
      <c r="M483" s="764"/>
      <c r="N483" s="764"/>
      <c r="O483" s="764"/>
      <c r="P483" s="764"/>
      <c r="Q483" s="764"/>
      <c r="R483" s="764"/>
      <c r="S483" s="764"/>
      <c r="T483" s="764"/>
      <c r="U483" s="764"/>
      <c r="V483" s="764"/>
      <c r="W483" s="764"/>
      <c r="X483" s="764"/>
      <c r="Y483" s="764"/>
      <c r="Z483" s="764"/>
      <c r="AA483" s="764"/>
      <c r="AB483" s="764"/>
      <c r="AC483" s="764"/>
      <c r="AD483" s="765"/>
    </row>
    <row r="484" spans="1:31" ht="15" customHeight="1" thickBot="1">
      <c r="A484" s="96"/>
      <c r="B484" s="90"/>
      <c r="C484" s="90"/>
      <c r="D484" s="90"/>
      <c r="E484" s="90"/>
      <c r="F484" s="90"/>
      <c r="G484" s="90"/>
      <c r="H484" s="90"/>
      <c r="I484" s="90"/>
      <c r="J484" s="90"/>
      <c r="K484" s="90"/>
      <c r="L484" s="90"/>
      <c r="M484" s="90"/>
      <c r="N484" s="90"/>
      <c r="O484" s="90"/>
      <c r="P484" s="90"/>
      <c r="Q484" s="90"/>
      <c r="R484" s="90"/>
      <c r="S484" s="90"/>
      <c r="T484" s="90"/>
      <c r="U484" s="90"/>
      <c r="V484" s="90"/>
      <c r="W484" s="90"/>
      <c r="X484" s="90"/>
      <c r="Y484" s="90"/>
      <c r="Z484" s="90"/>
      <c r="AA484" s="90"/>
      <c r="AB484" s="90"/>
      <c r="AC484" s="90"/>
      <c r="AD484" s="90"/>
    </row>
    <row r="485" spans="1:31" customFormat="1" ht="15" customHeight="1" thickBot="1">
      <c r="A485" s="153" t="s">
        <v>2563</v>
      </c>
      <c r="B485" s="943" t="s">
        <v>3324</v>
      </c>
      <c r="C485" s="944"/>
      <c r="D485" s="944"/>
      <c r="E485" s="944"/>
      <c r="F485" s="944"/>
      <c r="G485" s="944"/>
      <c r="H485" s="944"/>
      <c r="I485" s="944"/>
      <c r="J485" s="944"/>
      <c r="K485" s="944"/>
      <c r="L485" s="944"/>
      <c r="M485" s="944"/>
      <c r="N485" s="944"/>
      <c r="O485" s="944"/>
      <c r="P485" s="944"/>
      <c r="Q485" s="944"/>
      <c r="R485" s="944"/>
      <c r="S485" s="944"/>
      <c r="T485" s="944"/>
      <c r="U485" s="944"/>
      <c r="V485" s="944"/>
      <c r="W485" s="944"/>
      <c r="X485" s="944"/>
      <c r="Y485" s="944"/>
      <c r="Z485" s="944"/>
      <c r="AA485" s="944"/>
      <c r="AB485" s="944"/>
      <c r="AC485" s="944"/>
      <c r="AD485" s="945"/>
      <c r="AE485" s="3"/>
    </row>
    <row r="486" spans="1:31" ht="15" customHeight="1">
      <c r="A486" s="120"/>
      <c r="B486" s="946" t="s">
        <v>3325</v>
      </c>
      <c r="C486" s="867"/>
      <c r="D486" s="867"/>
      <c r="E486" s="867"/>
      <c r="F486" s="867"/>
      <c r="G486" s="867"/>
      <c r="H486" s="867"/>
      <c r="I486" s="867"/>
      <c r="J486" s="867"/>
      <c r="K486" s="867"/>
      <c r="L486" s="867"/>
      <c r="M486" s="867"/>
      <c r="N486" s="867"/>
      <c r="O486" s="867"/>
      <c r="P486" s="867"/>
      <c r="Q486" s="867"/>
      <c r="R486" s="867"/>
      <c r="S486" s="867"/>
      <c r="T486" s="867"/>
      <c r="U486" s="867"/>
      <c r="V486" s="867"/>
      <c r="W486" s="867"/>
      <c r="X486" s="867"/>
      <c r="Y486" s="867"/>
      <c r="Z486" s="867"/>
      <c r="AA486" s="867"/>
      <c r="AB486" s="867"/>
      <c r="AC486" s="867"/>
      <c r="AD486" s="947"/>
    </row>
    <row r="487" spans="1:31" ht="24" customHeight="1">
      <c r="A487" s="120"/>
      <c r="B487" s="149"/>
      <c r="C487" s="754" t="s">
        <v>3326</v>
      </c>
      <c r="D487" s="754"/>
      <c r="E487" s="754"/>
      <c r="F487" s="754"/>
      <c r="G487" s="754"/>
      <c r="H487" s="754"/>
      <c r="I487" s="754"/>
      <c r="J487" s="754"/>
      <c r="K487" s="754"/>
      <c r="L487" s="754"/>
      <c r="M487" s="754"/>
      <c r="N487" s="754"/>
      <c r="O487" s="754"/>
      <c r="P487" s="754"/>
      <c r="Q487" s="754"/>
      <c r="R487" s="754"/>
      <c r="S487" s="754"/>
      <c r="T487" s="754"/>
      <c r="U487" s="754"/>
      <c r="V487" s="754"/>
      <c r="W487" s="754"/>
      <c r="X487" s="754"/>
      <c r="Y487" s="754"/>
      <c r="Z487" s="754"/>
      <c r="AA487" s="754"/>
      <c r="AB487" s="754"/>
      <c r="AC487" s="754"/>
      <c r="AD487" s="891"/>
    </row>
    <row r="488" spans="1:31" ht="24" customHeight="1">
      <c r="A488" s="120"/>
      <c r="B488" s="149"/>
      <c r="C488" s="754" t="s">
        <v>3327</v>
      </c>
      <c r="D488" s="754"/>
      <c r="E488" s="754"/>
      <c r="F488" s="754"/>
      <c r="G488" s="754"/>
      <c r="H488" s="754"/>
      <c r="I488" s="754"/>
      <c r="J488" s="754"/>
      <c r="K488" s="754"/>
      <c r="L488" s="754"/>
      <c r="M488" s="754"/>
      <c r="N488" s="754"/>
      <c r="O488" s="754"/>
      <c r="P488" s="754"/>
      <c r="Q488" s="754"/>
      <c r="R488" s="754"/>
      <c r="S488" s="754"/>
      <c r="T488" s="754"/>
      <c r="U488" s="754"/>
      <c r="V488" s="754"/>
      <c r="W488" s="754"/>
      <c r="X488" s="754"/>
      <c r="Y488" s="754"/>
      <c r="Z488" s="754"/>
      <c r="AA488" s="754"/>
      <c r="AB488" s="754"/>
      <c r="AC488" s="754"/>
      <c r="AD488" s="891"/>
    </row>
    <row r="489" spans="1:31" ht="36" customHeight="1">
      <c r="A489" s="120"/>
      <c r="B489" s="149"/>
      <c r="C489" s="754" t="s">
        <v>3328</v>
      </c>
      <c r="D489" s="754"/>
      <c r="E489" s="754"/>
      <c r="F489" s="754"/>
      <c r="G489" s="754"/>
      <c r="H489" s="754"/>
      <c r="I489" s="754"/>
      <c r="J489" s="754"/>
      <c r="K489" s="754"/>
      <c r="L489" s="754"/>
      <c r="M489" s="754"/>
      <c r="N489" s="754"/>
      <c r="O489" s="754"/>
      <c r="P489" s="754"/>
      <c r="Q489" s="754"/>
      <c r="R489" s="754"/>
      <c r="S489" s="754"/>
      <c r="T489" s="754"/>
      <c r="U489" s="754"/>
      <c r="V489" s="754"/>
      <c r="W489" s="754"/>
      <c r="X489" s="754"/>
      <c r="Y489" s="754"/>
      <c r="Z489" s="754"/>
      <c r="AA489" s="754"/>
      <c r="AB489" s="754"/>
      <c r="AC489" s="754"/>
      <c r="AD489" s="891"/>
    </row>
    <row r="490" spans="1:31" ht="36" customHeight="1">
      <c r="A490" s="120"/>
      <c r="B490" s="149"/>
      <c r="C490" s="754" t="s">
        <v>3329</v>
      </c>
      <c r="D490" s="754"/>
      <c r="E490" s="754"/>
      <c r="F490" s="754"/>
      <c r="G490" s="754"/>
      <c r="H490" s="754"/>
      <c r="I490" s="754"/>
      <c r="J490" s="754"/>
      <c r="K490" s="754"/>
      <c r="L490" s="754"/>
      <c r="M490" s="754"/>
      <c r="N490" s="754"/>
      <c r="O490" s="754"/>
      <c r="P490" s="754"/>
      <c r="Q490" s="754"/>
      <c r="R490" s="754"/>
      <c r="S490" s="754"/>
      <c r="T490" s="754"/>
      <c r="U490" s="754"/>
      <c r="V490" s="754"/>
      <c r="W490" s="754"/>
      <c r="X490" s="754"/>
      <c r="Y490" s="754"/>
      <c r="Z490" s="754"/>
      <c r="AA490" s="754"/>
      <c r="AB490" s="754"/>
      <c r="AC490" s="754"/>
      <c r="AD490" s="891"/>
    </row>
    <row r="491" spans="1:31" ht="24" customHeight="1">
      <c r="A491" s="120"/>
      <c r="B491" s="149"/>
      <c r="C491" s="754" t="s">
        <v>3330</v>
      </c>
      <c r="D491" s="754"/>
      <c r="E491" s="754"/>
      <c r="F491" s="754"/>
      <c r="G491" s="754"/>
      <c r="H491" s="754"/>
      <c r="I491" s="754"/>
      <c r="J491" s="754"/>
      <c r="K491" s="754"/>
      <c r="L491" s="754"/>
      <c r="M491" s="754"/>
      <c r="N491" s="754"/>
      <c r="O491" s="754"/>
      <c r="P491" s="754"/>
      <c r="Q491" s="754"/>
      <c r="R491" s="754"/>
      <c r="S491" s="754"/>
      <c r="T491" s="754"/>
      <c r="U491" s="754"/>
      <c r="V491" s="754"/>
      <c r="W491" s="754"/>
      <c r="X491" s="754"/>
      <c r="Y491" s="754"/>
      <c r="Z491" s="754"/>
      <c r="AA491" s="754"/>
      <c r="AB491" s="754"/>
      <c r="AC491" s="754"/>
      <c r="AD491" s="891"/>
    </row>
    <row r="492" spans="1:31" ht="24" customHeight="1">
      <c r="A492" s="120"/>
      <c r="B492" s="114"/>
      <c r="C492" s="764" t="s">
        <v>3331</v>
      </c>
      <c r="D492" s="764"/>
      <c r="E492" s="764"/>
      <c r="F492" s="764"/>
      <c r="G492" s="764"/>
      <c r="H492" s="764"/>
      <c r="I492" s="764"/>
      <c r="J492" s="764"/>
      <c r="K492" s="764"/>
      <c r="L492" s="764"/>
      <c r="M492" s="764"/>
      <c r="N492" s="764"/>
      <c r="O492" s="764"/>
      <c r="P492" s="764"/>
      <c r="Q492" s="764"/>
      <c r="R492" s="764"/>
      <c r="S492" s="764"/>
      <c r="T492" s="764"/>
      <c r="U492" s="764"/>
      <c r="V492" s="764"/>
      <c r="W492" s="764"/>
      <c r="X492" s="764"/>
      <c r="Y492" s="764"/>
      <c r="Z492" s="764"/>
      <c r="AA492" s="764"/>
      <c r="AB492" s="764"/>
      <c r="AC492" s="764"/>
      <c r="AD492" s="765"/>
    </row>
    <row r="493" spans="1:31" ht="15" customHeight="1">
      <c r="A493" s="94"/>
      <c r="B493" s="941" t="s">
        <v>3332</v>
      </c>
      <c r="C493" s="839"/>
      <c r="D493" s="839"/>
      <c r="E493" s="839"/>
      <c r="F493" s="839"/>
      <c r="G493" s="839"/>
      <c r="H493" s="839"/>
      <c r="I493" s="839"/>
      <c r="J493" s="839"/>
      <c r="K493" s="839"/>
      <c r="L493" s="839"/>
      <c r="M493" s="839"/>
      <c r="N493" s="839"/>
      <c r="O493" s="839"/>
      <c r="P493" s="839"/>
      <c r="Q493" s="839"/>
      <c r="R493" s="839"/>
      <c r="S493" s="839"/>
      <c r="T493" s="839"/>
      <c r="U493" s="839"/>
      <c r="V493" s="839"/>
      <c r="W493" s="839"/>
      <c r="X493" s="839"/>
      <c r="Y493" s="839"/>
      <c r="Z493" s="839"/>
      <c r="AA493" s="839"/>
      <c r="AB493" s="839"/>
      <c r="AC493" s="839"/>
      <c r="AD493" s="942"/>
    </row>
    <row r="494" spans="1:31" ht="36" customHeight="1">
      <c r="A494" s="147"/>
      <c r="B494" s="149"/>
      <c r="C494" s="756" t="s">
        <v>3333</v>
      </c>
      <c r="D494" s="756"/>
      <c r="E494" s="756"/>
      <c r="F494" s="756"/>
      <c r="G494" s="756"/>
      <c r="H494" s="756"/>
      <c r="I494" s="756"/>
      <c r="J494" s="756"/>
      <c r="K494" s="756"/>
      <c r="L494" s="756"/>
      <c r="M494" s="756"/>
      <c r="N494" s="756"/>
      <c r="O494" s="756"/>
      <c r="P494" s="756"/>
      <c r="Q494" s="756"/>
      <c r="R494" s="756"/>
      <c r="S494" s="756"/>
      <c r="T494" s="756"/>
      <c r="U494" s="756"/>
      <c r="V494" s="756"/>
      <c r="W494" s="756"/>
      <c r="X494" s="756"/>
      <c r="Y494" s="756"/>
      <c r="Z494" s="756"/>
      <c r="AA494" s="756"/>
      <c r="AB494" s="756"/>
      <c r="AC494" s="756"/>
      <c r="AD494" s="984"/>
    </row>
    <row r="495" spans="1:31" ht="48" customHeight="1">
      <c r="A495" s="147"/>
      <c r="B495" s="149"/>
      <c r="C495" s="756" t="s">
        <v>3334</v>
      </c>
      <c r="D495" s="756"/>
      <c r="E495" s="756"/>
      <c r="F495" s="756"/>
      <c r="G495" s="756"/>
      <c r="H495" s="756"/>
      <c r="I495" s="756"/>
      <c r="J495" s="756"/>
      <c r="K495" s="756"/>
      <c r="L495" s="756"/>
      <c r="M495" s="756"/>
      <c r="N495" s="756"/>
      <c r="O495" s="756"/>
      <c r="P495" s="756"/>
      <c r="Q495" s="756"/>
      <c r="R495" s="756"/>
      <c r="S495" s="756"/>
      <c r="T495" s="756"/>
      <c r="U495" s="756"/>
      <c r="V495" s="756"/>
      <c r="W495" s="756"/>
      <c r="X495" s="756"/>
      <c r="Y495" s="756"/>
      <c r="Z495" s="756"/>
      <c r="AA495" s="756"/>
      <c r="AB495" s="756"/>
      <c r="AC495" s="756"/>
      <c r="AD495" s="984"/>
    </row>
    <row r="496" spans="1:31" ht="48" customHeight="1">
      <c r="A496" s="147"/>
      <c r="B496" s="196"/>
      <c r="C496" s="985" t="s">
        <v>3335</v>
      </c>
      <c r="D496" s="985"/>
      <c r="E496" s="985"/>
      <c r="F496" s="985"/>
      <c r="G496" s="985"/>
      <c r="H496" s="985"/>
      <c r="I496" s="985"/>
      <c r="J496" s="985"/>
      <c r="K496" s="985"/>
      <c r="L496" s="985"/>
      <c r="M496" s="985"/>
      <c r="N496" s="985"/>
      <c r="O496" s="985"/>
      <c r="P496" s="985"/>
      <c r="Q496" s="985"/>
      <c r="R496" s="985"/>
      <c r="S496" s="985"/>
      <c r="T496" s="985"/>
      <c r="U496" s="985"/>
      <c r="V496" s="985"/>
      <c r="W496" s="985"/>
      <c r="X496" s="985"/>
      <c r="Y496" s="985"/>
      <c r="Z496" s="985"/>
      <c r="AA496" s="985"/>
      <c r="AB496" s="985"/>
      <c r="AC496" s="985"/>
      <c r="AD496" s="986"/>
    </row>
    <row r="497" spans="1:61" ht="15" customHeight="1">
      <c r="A497" s="96"/>
      <c r="B497" s="90"/>
      <c r="C497" s="90"/>
      <c r="D497" s="90"/>
      <c r="E497" s="90"/>
      <c r="F497" s="90"/>
      <c r="G497" s="90"/>
      <c r="H497" s="90"/>
      <c r="I497" s="90"/>
      <c r="J497" s="90"/>
      <c r="K497" s="90"/>
      <c r="L497" s="90"/>
      <c r="M497" s="90"/>
      <c r="N497" s="90"/>
      <c r="O497" s="90"/>
      <c r="P497" s="90"/>
      <c r="Q497" s="90"/>
      <c r="R497" s="90"/>
      <c r="S497" s="90"/>
      <c r="T497" s="90"/>
      <c r="U497" s="90"/>
      <c r="V497" s="90"/>
      <c r="W497" s="90"/>
      <c r="X497" s="90"/>
      <c r="Y497" s="90"/>
      <c r="Z497" s="90"/>
      <c r="AA497" s="90"/>
      <c r="AB497" s="90"/>
      <c r="AC497" s="90"/>
      <c r="AD497" s="90"/>
    </row>
    <row r="498" spans="1:61" ht="24" customHeight="1">
      <c r="A498" s="49" t="s">
        <v>3336</v>
      </c>
      <c r="B498" s="829" t="s">
        <v>3337</v>
      </c>
      <c r="C498" s="829"/>
      <c r="D498" s="829"/>
      <c r="E498" s="829"/>
      <c r="F498" s="829"/>
      <c r="G498" s="829"/>
      <c r="H498" s="829"/>
      <c r="I498" s="829"/>
      <c r="J498" s="829"/>
      <c r="K498" s="829"/>
      <c r="L498" s="829"/>
      <c r="M498" s="829"/>
      <c r="N498" s="829"/>
      <c r="O498" s="829"/>
      <c r="P498" s="829"/>
      <c r="Q498" s="829"/>
      <c r="R498" s="829"/>
      <c r="S498" s="829"/>
      <c r="T498" s="829"/>
      <c r="U498" s="829"/>
      <c r="V498" s="829"/>
      <c r="W498" s="829"/>
      <c r="X498" s="829"/>
      <c r="Y498" s="829"/>
      <c r="Z498" s="829"/>
      <c r="AA498" s="829"/>
      <c r="AB498" s="829"/>
      <c r="AC498" s="829"/>
      <c r="AD498" s="829"/>
    </row>
    <row r="499" spans="1:61" ht="48" customHeight="1">
      <c r="A499" s="49"/>
      <c r="B499" s="57"/>
      <c r="C499" s="754" t="s">
        <v>3338</v>
      </c>
      <c r="D499" s="830"/>
      <c r="E499" s="830"/>
      <c r="F499" s="830"/>
      <c r="G499" s="830"/>
      <c r="H499" s="830"/>
      <c r="I499" s="830"/>
      <c r="J499" s="830"/>
      <c r="K499" s="830"/>
      <c r="L499" s="830"/>
      <c r="M499" s="830"/>
      <c r="N499" s="830"/>
      <c r="O499" s="830"/>
      <c r="P499" s="830"/>
      <c r="Q499" s="830"/>
      <c r="R499" s="830"/>
      <c r="S499" s="830"/>
      <c r="T499" s="830"/>
      <c r="U499" s="830"/>
      <c r="V499" s="830"/>
      <c r="W499" s="830"/>
      <c r="X499" s="830"/>
      <c r="Y499" s="830"/>
      <c r="Z499" s="830"/>
      <c r="AA499" s="830"/>
      <c r="AB499" s="830"/>
      <c r="AC499" s="830"/>
      <c r="AD499" s="830"/>
    </row>
    <row r="500" spans="1:61" ht="24" customHeight="1">
      <c r="A500" s="50"/>
      <c r="B500" s="57"/>
      <c r="C500" s="754" t="s">
        <v>3339</v>
      </c>
      <c r="D500" s="754"/>
      <c r="E500" s="754"/>
      <c r="F500" s="754"/>
      <c r="G500" s="754"/>
      <c r="H500" s="754"/>
      <c r="I500" s="754"/>
      <c r="J500" s="754"/>
      <c r="K500" s="754"/>
      <c r="L500" s="754"/>
      <c r="M500" s="754"/>
      <c r="N500" s="754"/>
      <c r="O500" s="754"/>
      <c r="P500" s="754"/>
      <c r="Q500" s="754"/>
      <c r="R500" s="754"/>
      <c r="S500" s="754"/>
      <c r="T500" s="754"/>
      <c r="U500" s="754"/>
      <c r="V500" s="754"/>
      <c r="W500" s="754"/>
      <c r="X500" s="754"/>
      <c r="Y500" s="754"/>
      <c r="Z500" s="754"/>
      <c r="AA500" s="754"/>
      <c r="AB500" s="754"/>
      <c r="AC500" s="754"/>
      <c r="AD500" s="754"/>
    </row>
    <row r="501" spans="1:61" ht="15" customHeight="1">
      <c r="A501" s="96"/>
      <c r="B501" s="57"/>
      <c r="C501" s="86"/>
      <c r="D501" s="86"/>
      <c r="E501" s="86"/>
      <c r="F501" s="86"/>
      <c r="G501" s="86"/>
      <c r="H501" s="86"/>
      <c r="I501" s="86"/>
      <c r="J501" s="86"/>
      <c r="K501" s="86"/>
      <c r="L501" s="86"/>
      <c r="M501" s="86"/>
      <c r="N501" s="86"/>
      <c r="O501" s="86"/>
      <c r="P501" s="86"/>
      <c r="Q501" s="86"/>
      <c r="R501" s="86"/>
      <c r="S501" s="86"/>
      <c r="T501" s="86"/>
      <c r="U501" s="86"/>
      <c r="V501" s="86"/>
      <c r="W501" s="86"/>
      <c r="X501" s="86"/>
      <c r="Y501" s="86"/>
      <c r="Z501" s="86"/>
      <c r="AA501" s="86"/>
      <c r="AB501" s="86"/>
      <c r="AC501" s="86"/>
      <c r="AD501" s="86"/>
    </row>
    <row r="502" spans="1:61" ht="15" customHeight="1">
      <c r="A502" s="50"/>
      <c r="B502" s="57"/>
      <c r="C502" s="45" t="s">
        <v>3340</v>
      </c>
      <c r="D502" s="86"/>
      <c r="E502" s="86"/>
      <c r="F502" s="86"/>
      <c r="G502" s="86"/>
      <c r="H502" s="86"/>
      <c r="I502" s="86"/>
      <c r="J502" s="86"/>
      <c r="K502" s="86"/>
      <c r="L502" s="86"/>
      <c r="M502" s="86"/>
      <c r="N502" s="86"/>
      <c r="O502" s="86"/>
      <c r="P502" s="86"/>
      <c r="Q502" s="86"/>
      <c r="R502" s="86"/>
      <c r="S502" s="86"/>
      <c r="T502" s="86"/>
      <c r="U502" s="86"/>
      <c r="V502" s="86"/>
      <c r="W502" s="86"/>
      <c r="X502" s="86"/>
      <c r="Y502" s="86"/>
      <c r="Z502" s="86"/>
      <c r="AA502" s="86"/>
      <c r="AB502" s="86"/>
      <c r="AC502" s="86"/>
      <c r="AD502" s="86"/>
    </row>
    <row r="503" spans="1:61" ht="15" customHeight="1">
      <c r="A503" s="50"/>
      <c r="B503" s="166"/>
      <c r="C503" s="75"/>
      <c r="D503" s="75"/>
      <c r="E503" s="75"/>
      <c r="F503" s="75"/>
      <c r="G503" s="75"/>
      <c r="H503" s="75"/>
      <c r="I503" s="75"/>
      <c r="J503" s="75"/>
      <c r="K503" s="75"/>
      <c r="L503" s="75"/>
      <c r="M503" s="75"/>
      <c r="N503" s="75"/>
      <c r="O503" s="75"/>
      <c r="P503" s="75"/>
      <c r="Q503" s="75"/>
      <c r="R503" s="75"/>
      <c r="S503" s="75"/>
      <c r="T503" s="75"/>
      <c r="U503" s="75"/>
      <c r="V503" s="75"/>
      <c r="W503" s="75"/>
      <c r="X503" s="75"/>
      <c r="Y503" s="75"/>
      <c r="Z503" s="75"/>
      <c r="AA503" s="86"/>
      <c r="AB503" s="86"/>
      <c r="AC503" s="86"/>
      <c r="AD503" s="86"/>
    </row>
    <row r="504" spans="1:61" ht="24" customHeight="1">
      <c r="A504" s="50"/>
      <c r="B504" s="90"/>
      <c r="C504" s="797" t="s">
        <v>2581</v>
      </c>
      <c r="D504" s="798"/>
      <c r="E504" s="798"/>
      <c r="F504" s="799"/>
      <c r="G504" s="739" t="s">
        <v>3341</v>
      </c>
      <c r="H504" s="740"/>
      <c r="I504" s="740"/>
      <c r="J504" s="740"/>
      <c r="K504" s="740"/>
      <c r="L504" s="740"/>
      <c r="M504" s="740"/>
      <c r="N504" s="740"/>
      <c r="O504" s="740"/>
      <c r="P504" s="740"/>
      <c r="Q504" s="740"/>
      <c r="R504" s="740"/>
      <c r="S504" s="740"/>
      <c r="T504" s="740"/>
      <c r="U504" s="740"/>
      <c r="V504" s="740"/>
      <c r="W504" s="740"/>
      <c r="X504" s="740"/>
      <c r="Y504" s="740"/>
      <c r="Z504" s="740"/>
      <c r="AA504" s="740"/>
      <c r="AB504" s="740"/>
      <c r="AC504" s="740"/>
      <c r="AD504" s="741"/>
    </row>
    <row r="505" spans="1:61" ht="108" customHeight="1">
      <c r="A505" s="50"/>
      <c r="B505" s="90"/>
      <c r="C505" s="800"/>
      <c r="D505" s="801"/>
      <c r="E505" s="801"/>
      <c r="F505" s="802"/>
      <c r="G505" s="874" t="s">
        <v>2628</v>
      </c>
      <c r="H505" s="857" t="s">
        <v>2629</v>
      </c>
      <c r="I505" s="857" t="s">
        <v>2630</v>
      </c>
      <c r="J505" s="857" t="s">
        <v>3342</v>
      </c>
      <c r="K505" s="857"/>
      <c r="L505" s="857"/>
      <c r="M505" s="857" t="s">
        <v>3343</v>
      </c>
      <c r="N505" s="857"/>
      <c r="O505" s="857"/>
      <c r="P505" s="857" t="s">
        <v>3344</v>
      </c>
      <c r="Q505" s="857"/>
      <c r="R505" s="857"/>
      <c r="S505" s="857" t="s">
        <v>3345</v>
      </c>
      <c r="T505" s="857"/>
      <c r="U505" s="857"/>
      <c r="V505" s="857" t="s">
        <v>3346</v>
      </c>
      <c r="W505" s="857"/>
      <c r="X505" s="857"/>
      <c r="Y505" s="857" t="s">
        <v>3347</v>
      </c>
      <c r="Z505" s="857"/>
      <c r="AA505" s="857"/>
      <c r="AB505" s="857" t="s">
        <v>3348</v>
      </c>
      <c r="AC505" s="857"/>
      <c r="AD505" s="857"/>
      <c r="BF505" s="940" t="s">
        <v>3349</v>
      </c>
      <c r="BG505" s="916" t="s">
        <v>3315</v>
      </c>
      <c r="BH505" s="916"/>
      <c r="BI505" s="916"/>
    </row>
    <row r="506" spans="1:61" ht="48" customHeight="1">
      <c r="A506" s="50"/>
      <c r="B506" s="90"/>
      <c r="C506" s="803"/>
      <c r="D506" s="804"/>
      <c r="E506" s="804"/>
      <c r="F506" s="805"/>
      <c r="G506" s="874"/>
      <c r="H506" s="857"/>
      <c r="I506" s="857"/>
      <c r="J506" s="127" t="s">
        <v>2635</v>
      </c>
      <c r="K506" s="128" t="s">
        <v>2629</v>
      </c>
      <c r="L506" s="128" t="s">
        <v>2630</v>
      </c>
      <c r="M506" s="127" t="s">
        <v>2635</v>
      </c>
      <c r="N506" s="128" t="s">
        <v>2629</v>
      </c>
      <c r="O506" s="128" t="s">
        <v>2630</v>
      </c>
      <c r="P506" s="127" t="s">
        <v>2635</v>
      </c>
      <c r="Q506" s="128" t="s">
        <v>2629</v>
      </c>
      <c r="R506" s="128" t="s">
        <v>2630</v>
      </c>
      <c r="S506" s="127" t="s">
        <v>2635</v>
      </c>
      <c r="T506" s="128" t="s">
        <v>2629</v>
      </c>
      <c r="U506" s="128" t="s">
        <v>2630</v>
      </c>
      <c r="V506" s="127" t="s">
        <v>2635</v>
      </c>
      <c r="W506" s="128" t="s">
        <v>2629</v>
      </c>
      <c r="X506" s="128" t="s">
        <v>2630</v>
      </c>
      <c r="Y506" s="127" t="s">
        <v>2635</v>
      </c>
      <c r="Z506" s="128" t="s">
        <v>2629</v>
      </c>
      <c r="AA506" s="128" t="s">
        <v>2630</v>
      </c>
      <c r="AB506" s="127" t="s">
        <v>2635</v>
      </c>
      <c r="AC506" s="128" t="s">
        <v>2629</v>
      </c>
      <c r="AD506" s="128" t="s">
        <v>2630</v>
      </c>
      <c r="AG506" s="354" t="s">
        <v>2586</v>
      </c>
      <c r="AH506" s="282" t="s">
        <v>2637</v>
      </c>
      <c r="AI506" s="280" t="s">
        <v>2638</v>
      </c>
      <c r="AJ506" s="281" t="s">
        <v>2639</v>
      </c>
      <c r="AK506" s="282" t="s">
        <v>2640</v>
      </c>
      <c r="AL506" s="280" t="s">
        <v>2641</v>
      </c>
      <c r="AM506" s="281" t="s">
        <v>2642</v>
      </c>
      <c r="AN506" s="282" t="s">
        <v>2643</v>
      </c>
      <c r="AO506" s="280" t="s">
        <v>2644</v>
      </c>
      <c r="AP506" s="281" t="s">
        <v>2645</v>
      </c>
      <c r="AQ506" s="282" t="s">
        <v>2646</v>
      </c>
      <c r="AR506" s="280" t="s">
        <v>2647</v>
      </c>
      <c r="AS506" s="281" t="s">
        <v>2648</v>
      </c>
      <c r="AT506" s="282" t="s">
        <v>2756</v>
      </c>
      <c r="AU506" s="280" t="s">
        <v>2757</v>
      </c>
      <c r="AV506" s="281" t="s">
        <v>2758</v>
      </c>
      <c r="AW506" s="282" t="s">
        <v>2759</v>
      </c>
      <c r="AX506" s="280" t="s">
        <v>2760</v>
      </c>
      <c r="AY506" s="281" t="s">
        <v>2761</v>
      </c>
      <c r="AZ506" s="282" t="s">
        <v>2762</v>
      </c>
      <c r="BA506" s="280" t="s">
        <v>2763</v>
      </c>
      <c r="BB506" s="281" t="s">
        <v>2764</v>
      </c>
      <c r="BC506" s="282" t="s">
        <v>2765</v>
      </c>
      <c r="BD506" s="280" t="s">
        <v>2766</v>
      </c>
      <c r="BE506" s="281" t="s">
        <v>2767</v>
      </c>
      <c r="BF506" s="940"/>
      <c r="BG506" s="370" t="s">
        <v>2795</v>
      </c>
      <c r="BH506" s="371" t="s">
        <v>3177</v>
      </c>
      <c r="BI506" s="372" t="s">
        <v>3178</v>
      </c>
    </row>
    <row r="507" spans="1:61" ht="15" customHeight="1">
      <c r="A507" s="50"/>
      <c r="B507" s="90"/>
      <c r="C507" s="97" t="s">
        <v>2516</v>
      </c>
      <c r="D507" s="796" t="str">
        <f>IF(CNSIPEE_2024_M2_Secc1!D42="","",CNSIPEE_2024_M2_Secc1!D42)</f>
        <v/>
      </c>
      <c r="E507" s="796"/>
      <c r="F507" s="796"/>
      <c r="G507" s="100"/>
      <c r="H507" s="100"/>
      <c r="I507" s="100"/>
      <c r="J507" s="100"/>
      <c r="K507" s="100"/>
      <c r="L507" s="100"/>
      <c r="M507" s="100"/>
      <c r="N507" s="100"/>
      <c r="O507" s="100"/>
      <c r="P507" s="100"/>
      <c r="Q507" s="100"/>
      <c r="R507" s="100"/>
      <c r="S507" s="100"/>
      <c r="T507" s="100"/>
      <c r="U507" s="100"/>
      <c r="V507" s="100"/>
      <c r="W507" s="100"/>
      <c r="X507" s="100"/>
      <c r="Y507" s="100"/>
      <c r="Z507" s="100"/>
      <c r="AA507" s="100"/>
      <c r="AB507" s="100"/>
      <c r="AC507" s="100"/>
      <c r="AD507" s="100"/>
      <c r="AG507" s="326">
        <f>IF(AND(COUNTBLANK(D507)=0,COUNTA(G507:AD507)=24),0,IF(AND(COUNTBLANK(D507)=1,COUNTA(G507:AD507)=0),0,1))</f>
        <v>0</v>
      </c>
      <c r="AH507" s="283">
        <f>COUNTIF(H507:I507,"NS")</f>
        <v>0</v>
      </c>
      <c r="AI507" s="283">
        <f>SUM(H507:I507)</f>
        <v>0</v>
      </c>
      <c r="AJ507" s="283">
        <f>IF(COUNTIF(G507:I507,"NA")=3,0,IF(COUNTA(G507:I507)=0,0,IF(OR(AND(G507=0,AH507&gt;0),AND(G507="ns",AI507&gt;0),AND(G507="ns",AH507=0,AI507=0)),1,IF(OR(AND(G507&gt;0,AH507=2),AND(G507="ns",AH507=2),AND(G507="ns",AI507=0,AH507&gt;0),G507=AI507),0,1))))</f>
        <v>0</v>
      </c>
      <c r="AK507" s="283">
        <f>COUNTIF(K507:L507,"NS")</f>
        <v>0</v>
      </c>
      <c r="AL507" s="283">
        <f>SUM(K507:L507)</f>
        <v>0</v>
      </c>
      <c r="AM507" s="283">
        <f>IF(COUNTIF(J507:L507,"NA")=3,0,IF(COUNTA(J507:L507)=0,0,IF(OR(AND(J507=0,AK507&gt;0),AND(J507="ns",AL507&gt;0),AND(J507="ns",AK507=0,AL507=0)),1,IF(OR(AND(J507&gt;0,AK507=2),AND(J507="ns",AK507=2),AND(J507="ns",AL507=0,AK507&gt;0),J507=AL507),0,1))))</f>
        <v>0</v>
      </c>
      <c r="AN507" s="283">
        <f>COUNTIF(N507:O507,"NS")</f>
        <v>0</v>
      </c>
      <c r="AO507" s="283">
        <f>SUM(N507:O507)</f>
        <v>0</v>
      </c>
      <c r="AP507" s="283">
        <f>IF(COUNTIF(M507:O507,"NA")=3,0,IF(COUNTA(M507:O507)=0,0,IF(OR(AND(M507=0,AN507&gt;0),AND(M507="ns",AO507&gt;0),AND(M507="ns",AN507=0,AO507=0)),1,IF(OR(AND(M507&gt;0,AN507=2),AND(M507="ns",AN507=2),AND(M507="ns",AO507=0,AN507&gt;0),M507=AO507),0,1))))</f>
        <v>0</v>
      </c>
      <c r="AQ507" s="283">
        <f>COUNTIF(Q507:R507,"NS")</f>
        <v>0</v>
      </c>
      <c r="AR507" s="283">
        <f>SUM(Q507:R507)</f>
        <v>0</v>
      </c>
      <c r="AS507" s="283">
        <f>IF(COUNTIF(P507:R507,"NA")=3,0,IF(COUNTA(P507:R507)=0,0,IF(OR(AND(P507=0,AQ507&gt;0),AND(P507="ns",AR507&gt;0),AND(P507="ns",AQ507=0,AR507=0)),1,IF(OR(AND(P507&gt;0,AQ507=2),AND(P507="ns",AQ507=2),AND(P507="ns",AR507=0,AQ507&gt;0),P507=AR507),0,1))))</f>
        <v>0</v>
      </c>
      <c r="AT507" s="283">
        <f>COUNTIF(T507:U507,"NS")</f>
        <v>0</v>
      </c>
      <c r="AU507" s="283">
        <f>SUM(T507:U507)</f>
        <v>0</v>
      </c>
      <c r="AV507" s="283">
        <f>IF(COUNTIF(S507:U507,"NA")=3,0,IF(COUNTA(S507:U507)=0,0,IF(OR(AND(S507=0,AT507&gt;0),AND(S507="ns",AU507&gt;0),AND(S507="ns",AT507=0,AU507=0)),1,IF(OR(AND(S507&gt;0,AT507=2),AND(S507="ns",AT507=2),AND(S507="ns",AU507=0,AT507&gt;0),S507=AU507),0,1))))</f>
        <v>0</v>
      </c>
      <c r="AW507" s="283">
        <f>COUNTIF(W507:X507,"NS")</f>
        <v>0</v>
      </c>
      <c r="AX507" s="283">
        <f>SUM(W507:X507)</f>
        <v>0</v>
      </c>
      <c r="AY507" s="283">
        <f>IF(COUNTIF(V507:X507,"NA")=3,0,IF(COUNTA(V507:X507)=0,0,IF(OR(AND(V507=0,AW507&gt;0),AND(V507="ns",AX507&gt;0),AND(V507="ns",AW507=0,AX507=0)),1,IF(OR(AND(V507&gt;0,AW507=2),AND(V507="ns",AW507=2),AND(V507="ns",AX507=0,AW507&gt;0),V507=AX507),0,1))))</f>
        <v>0</v>
      </c>
      <c r="AZ507" s="283">
        <f>COUNTIF(Z507:AA507,"NS")</f>
        <v>0</v>
      </c>
      <c r="BA507" s="283">
        <f>SUM(Z507:AA507)</f>
        <v>0</v>
      </c>
      <c r="BB507" s="283">
        <f>IF(COUNTIF(Y507:AA507,"NA")=3,0,IF(COUNTA(Y507:AA507)=0,0,IF(OR(AND(Y507=0,AZ507&gt;0),AND(Y507="ns",BA507&gt;0),AND(Y507="ns",AZ507=0,BA507=0)),1,IF(OR(AND(Y507&gt;0,AZ507=2),AND(Y507="ns",AZ507=2),AND(Y507="ns",BA507=0,AZ507&gt;0),Y507=BA507),0,1))))</f>
        <v>0</v>
      </c>
      <c r="BC507" s="283">
        <f>COUNTIF(AC507:AD507,"NS")</f>
        <v>0</v>
      </c>
      <c r="BD507" s="283">
        <f>SUM(AC507:AD507)</f>
        <v>0</v>
      </c>
      <c r="BE507" s="283">
        <f>IF(COUNTIF(AB507:AD507,"NA")=3,0,IF(COUNTA(AB507:AD507)=0,0,IF(OR(AND(AB507=0,BC507&gt;0),AND(AB507="ns",BD507&gt;0),AND(AB507="ns",BC507=0,BD507=0)),1,IF(OR(AND(AB507&gt;0,BC507=2),AND(AB507="ns",BC507=2),AND(AB507="ns",BD507=0,BC507&gt;0),AB507=BD507),0,1))))</f>
        <v>0</v>
      </c>
      <c r="BF507">
        <f>IF(SUM(AB515:AD515)&gt;0,1,0)</f>
        <v>0</v>
      </c>
      <c r="BG507">
        <f t="shared" ref="BG507:BI514" si="461">IF(AND(G507="NS",P415="NS",S415="NS",V415="NS"),0,IF(AND(G507="NA",P415="NA",S415="NA",V415="NA"),0,IF(G507=SUM(P415,S415,V415),0,1)))</f>
        <v>0</v>
      </c>
      <c r="BH507">
        <f t="shared" si="461"/>
        <v>0</v>
      </c>
      <c r="BI507">
        <f t="shared" si="461"/>
        <v>0</v>
      </c>
    </row>
    <row r="508" spans="1:61" ht="15" customHeight="1">
      <c r="A508" s="50"/>
      <c r="B508" s="90"/>
      <c r="C508" s="98" t="s">
        <v>2517</v>
      </c>
      <c r="D508" s="796" t="str">
        <f>IF(CNSIPEE_2024_M2_Secc1!D43="","",CNSIPEE_2024_M2_Secc1!D43)</f>
        <v/>
      </c>
      <c r="E508" s="796"/>
      <c r="F508" s="796"/>
      <c r="G508" s="100"/>
      <c r="H508" s="100"/>
      <c r="I508" s="100"/>
      <c r="J508" s="100"/>
      <c r="K508" s="100"/>
      <c r="L508" s="100"/>
      <c r="M508" s="100"/>
      <c r="N508" s="100"/>
      <c r="O508" s="100"/>
      <c r="P508" s="100"/>
      <c r="Q508" s="100"/>
      <c r="R508" s="100"/>
      <c r="S508" s="100"/>
      <c r="T508" s="100"/>
      <c r="U508" s="100"/>
      <c r="V508" s="100"/>
      <c r="W508" s="100"/>
      <c r="X508" s="100"/>
      <c r="Y508" s="100"/>
      <c r="Z508" s="100"/>
      <c r="AA508" s="100"/>
      <c r="AB508" s="100"/>
      <c r="AC508" s="100"/>
      <c r="AD508" s="100"/>
      <c r="AG508" s="326">
        <f t="shared" ref="AG508:AG514" si="462">IF(AND(COUNTBLANK(D508)=0,COUNTA(G508:AD508)=24),0,IF(AND(COUNTBLANK(D508)=1,COUNTA(G508:AD508)=0),0,1))</f>
        <v>0</v>
      </c>
      <c r="AH508" s="283">
        <f t="shared" ref="AH508:AH514" si="463">COUNTIF(H508:I508,"NS")</f>
        <v>0</v>
      </c>
      <c r="AI508" s="283">
        <f t="shared" ref="AI508:AI514" si="464">SUM(H508:I508)</f>
        <v>0</v>
      </c>
      <c r="AJ508" s="283">
        <f t="shared" ref="AJ508:AJ514" si="465">IF(COUNTIF(G508:I508,"NA")=3,0,IF(COUNTA(G508:I508)=0,0,IF(OR(AND(G508=0,AH508&gt;0),AND(G508="ns",AI508&gt;0),AND(G508="ns",AH508=0,AI508=0)),1,IF(OR(AND(G508&gt;0,AH508=2),AND(G508="ns",AH508=2),AND(G508="ns",AI508=0,AH508&gt;0),G508=AI508),0,1))))</f>
        <v>0</v>
      </c>
      <c r="AK508" s="283">
        <f t="shared" ref="AK508:AK514" si="466">COUNTIF(K508:L508,"NS")</f>
        <v>0</v>
      </c>
      <c r="AL508" s="283">
        <f t="shared" ref="AL508:AL514" si="467">SUM(K508:L508)</f>
        <v>0</v>
      </c>
      <c r="AM508" s="283">
        <f t="shared" ref="AM508:AM514" si="468">IF(COUNTIF(J508:L508,"NA")=3,0,IF(COUNTA(J508:L508)=0,0,IF(OR(AND(J508=0,AK508&gt;0),AND(J508="ns",AL508&gt;0),AND(J508="ns",AK508=0,AL508=0)),1,IF(OR(AND(J508&gt;0,AK508=2),AND(J508="ns",AK508=2),AND(J508="ns",AL508=0,AK508&gt;0),J508=AL508),0,1))))</f>
        <v>0</v>
      </c>
      <c r="AN508" s="283">
        <f t="shared" ref="AN508:AN514" si="469">COUNTIF(N508:O508,"NS")</f>
        <v>0</v>
      </c>
      <c r="AO508" s="283">
        <f t="shared" ref="AO508:AO514" si="470">SUM(N508:O508)</f>
        <v>0</v>
      </c>
      <c r="AP508" s="283">
        <f t="shared" ref="AP508:AP514" si="471">IF(COUNTIF(M508:O508,"NA")=3,0,IF(COUNTA(M508:O508)=0,0,IF(OR(AND(M508=0,AN508&gt;0),AND(M508="ns",AO508&gt;0),AND(M508="ns",AN508=0,AO508=0)),1,IF(OR(AND(M508&gt;0,AN508=2),AND(M508="ns",AN508=2),AND(M508="ns",AO508=0,AN508&gt;0),M508=AO508),0,1))))</f>
        <v>0</v>
      </c>
      <c r="AQ508" s="283">
        <f t="shared" ref="AQ508:AQ514" si="472">COUNTIF(Q508:R508,"NS")</f>
        <v>0</v>
      </c>
      <c r="AR508" s="283">
        <f t="shared" ref="AR508:AR514" si="473">SUM(Q508:R508)</f>
        <v>0</v>
      </c>
      <c r="AS508" s="283">
        <f t="shared" ref="AS508:AS514" si="474">IF(COUNTIF(P508:R508,"NA")=3,0,IF(COUNTA(P508:R508)=0,0,IF(OR(AND(P508=0,AQ508&gt;0),AND(P508="ns",AR508&gt;0),AND(P508="ns",AQ508=0,AR508=0)),1,IF(OR(AND(P508&gt;0,AQ508=2),AND(P508="ns",AQ508=2),AND(P508="ns",AR508=0,AQ508&gt;0),P508=AR508),0,1))))</f>
        <v>0</v>
      </c>
      <c r="AT508" s="283">
        <f t="shared" ref="AT508:AT514" si="475">COUNTIF(T508:U508,"NS")</f>
        <v>0</v>
      </c>
      <c r="AU508" s="283">
        <f t="shared" ref="AU508:AU514" si="476">SUM(T508:U508)</f>
        <v>0</v>
      </c>
      <c r="AV508" s="283">
        <f t="shared" ref="AV508:AV514" si="477">IF(COUNTIF(S508:U508,"NA")=3,0,IF(COUNTA(S508:U508)=0,0,IF(OR(AND(S508=0,AT508&gt;0),AND(S508="ns",AU508&gt;0),AND(S508="ns",AT508=0,AU508=0)),1,IF(OR(AND(S508&gt;0,AT508=2),AND(S508="ns",AT508=2),AND(S508="ns",AU508=0,AT508&gt;0),S508=AU508),0,1))))</f>
        <v>0</v>
      </c>
      <c r="AW508" s="283">
        <f t="shared" ref="AW508:AW514" si="478">COUNTIF(W508:X508,"NS")</f>
        <v>0</v>
      </c>
      <c r="AX508" s="283">
        <f t="shared" ref="AX508:AX514" si="479">SUM(W508:X508)</f>
        <v>0</v>
      </c>
      <c r="AY508" s="283">
        <f t="shared" ref="AY508:AY514" si="480">IF(COUNTIF(V508:X508,"NA")=3,0,IF(COUNTA(V508:X508)=0,0,IF(OR(AND(V508=0,AW508&gt;0),AND(V508="ns",AX508&gt;0),AND(V508="ns",AW508=0,AX508=0)),1,IF(OR(AND(V508&gt;0,AW508=2),AND(V508="ns",AW508=2),AND(V508="ns",AX508=0,AW508&gt;0),V508=AX508),0,1))))</f>
        <v>0</v>
      </c>
      <c r="AZ508" s="283">
        <f t="shared" ref="AZ508:AZ514" si="481">COUNTIF(Z508:AA508,"NS")</f>
        <v>0</v>
      </c>
      <c r="BA508" s="283">
        <f t="shared" ref="BA508:BA514" si="482">SUM(Z508:AA508)</f>
        <v>0</v>
      </c>
      <c r="BB508" s="283">
        <f t="shared" ref="BB508:BB514" si="483">IF(COUNTIF(Y508:AA508,"NA")=3,0,IF(COUNTA(Y508:AA508)=0,0,IF(OR(AND(Y508=0,AZ508&gt;0),AND(Y508="ns",BA508&gt;0),AND(Y508="ns",AZ508=0,BA508=0)),1,IF(OR(AND(Y508&gt;0,AZ508=2),AND(Y508="ns",AZ508=2),AND(Y508="ns",BA508=0,AZ508&gt;0),Y508=BA508),0,1))))</f>
        <v>0</v>
      </c>
      <c r="BC508" s="283">
        <f t="shared" ref="BC508:BC514" si="484">COUNTIF(AC508:AD508,"NS")</f>
        <v>0</v>
      </c>
      <c r="BD508" s="283">
        <f t="shared" ref="BD508:BD514" si="485">SUM(AC508:AD508)</f>
        <v>0</v>
      </c>
      <c r="BE508" s="283">
        <f t="shared" ref="BE508:BE514" si="486">IF(COUNTIF(AB508:AD508,"NA")=3,0,IF(COUNTA(AB508:AD508)=0,0,IF(OR(AND(AB508=0,BC508&gt;0),AND(AB508="ns",BD508&gt;0),AND(AB508="ns",BC508=0,BD508=0)),1,IF(OR(AND(AB508&gt;0,BC508=2),AND(AB508="ns",BC508=2),AND(AB508="ns",BD508=0,BC508&gt;0),AB508=BD508),0,1))))</f>
        <v>0</v>
      </c>
      <c r="BG508">
        <f t="shared" si="461"/>
        <v>0</v>
      </c>
      <c r="BH508">
        <f t="shared" si="461"/>
        <v>0</v>
      </c>
      <c r="BI508">
        <f t="shared" si="461"/>
        <v>0</v>
      </c>
    </row>
    <row r="509" spans="1:61" ht="15" customHeight="1">
      <c r="A509" s="50"/>
      <c r="B509" s="90"/>
      <c r="C509" s="98" t="s">
        <v>2518</v>
      </c>
      <c r="D509" s="796" t="str">
        <f>IF(CNSIPEE_2024_M2_Secc1!D44="","",CNSIPEE_2024_M2_Secc1!D44)</f>
        <v/>
      </c>
      <c r="E509" s="796"/>
      <c r="F509" s="796"/>
      <c r="G509" s="100"/>
      <c r="H509" s="100"/>
      <c r="I509" s="100"/>
      <c r="J509" s="100"/>
      <c r="K509" s="100"/>
      <c r="L509" s="100"/>
      <c r="M509" s="100"/>
      <c r="N509" s="100"/>
      <c r="O509" s="100"/>
      <c r="P509" s="100"/>
      <c r="Q509" s="100"/>
      <c r="R509" s="100"/>
      <c r="S509" s="100"/>
      <c r="T509" s="100"/>
      <c r="U509" s="100"/>
      <c r="V509" s="100"/>
      <c r="W509" s="100"/>
      <c r="X509" s="100"/>
      <c r="Y509" s="100"/>
      <c r="Z509" s="100"/>
      <c r="AA509" s="100"/>
      <c r="AB509" s="100"/>
      <c r="AC509" s="100"/>
      <c r="AD509" s="100"/>
      <c r="AG509" s="326">
        <f t="shared" si="462"/>
        <v>0</v>
      </c>
      <c r="AH509" s="283">
        <f t="shared" si="463"/>
        <v>0</v>
      </c>
      <c r="AI509" s="283">
        <f t="shared" si="464"/>
        <v>0</v>
      </c>
      <c r="AJ509" s="283">
        <f t="shared" si="465"/>
        <v>0</v>
      </c>
      <c r="AK509" s="283">
        <f t="shared" si="466"/>
        <v>0</v>
      </c>
      <c r="AL509" s="283">
        <f t="shared" si="467"/>
        <v>0</v>
      </c>
      <c r="AM509" s="283">
        <f t="shared" si="468"/>
        <v>0</v>
      </c>
      <c r="AN509" s="283">
        <f t="shared" si="469"/>
        <v>0</v>
      </c>
      <c r="AO509" s="283">
        <f t="shared" si="470"/>
        <v>0</v>
      </c>
      <c r="AP509" s="283">
        <f t="shared" si="471"/>
        <v>0</v>
      </c>
      <c r="AQ509" s="283">
        <f t="shared" si="472"/>
        <v>0</v>
      </c>
      <c r="AR509" s="283">
        <f t="shared" si="473"/>
        <v>0</v>
      </c>
      <c r="AS509" s="283">
        <f t="shared" si="474"/>
        <v>0</v>
      </c>
      <c r="AT509" s="283">
        <f t="shared" si="475"/>
        <v>0</v>
      </c>
      <c r="AU509" s="283">
        <f t="shared" si="476"/>
        <v>0</v>
      </c>
      <c r="AV509" s="283">
        <f t="shared" si="477"/>
        <v>0</v>
      </c>
      <c r="AW509" s="283">
        <f t="shared" si="478"/>
        <v>0</v>
      </c>
      <c r="AX509" s="283">
        <f t="shared" si="479"/>
        <v>0</v>
      </c>
      <c r="AY509" s="283">
        <f t="shared" si="480"/>
        <v>0</v>
      </c>
      <c r="AZ509" s="283">
        <f t="shared" si="481"/>
        <v>0</v>
      </c>
      <c r="BA509" s="283">
        <f t="shared" si="482"/>
        <v>0</v>
      </c>
      <c r="BB509" s="283">
        <f t="shared" si="483"/>
        <v>0</v>
      </c>
      <c r="BC509" s="283">
        <f t="shared" si="484"/>
        <v>0</v>
      </c>
      <c r="BD509" s="283">
        <f t="shared" si="485"/>
        <v>0</v>
      </c>
      <c r="BE509" s="283">
        <f t="shared" si="486"/>
        <v>0</v>
      </c>
      <c r="BG509">
        <f t="shared" si="461"/>
        <v>0</v>
      </c>
      <c r="BH509">
        <f t="shared" si="461"/>
        <v>0</v>
      </c>
      <c r="BI509">
        <f t="shared" si="461"/>
        <v>0</v>
      </c>
    </row>
    <row r="510" spans="1:61" ht="15" customHeight="1">
      <c r="A510" s="50"/>
      <c r="B510" s="90"/>
      <c r="C510" s="98" t="s">
        <v>2519</v>
      </c>
      <c r="D510" s="796" t="str">
        <f>IF(CNSIPEE_2024_M2_Secc1!D45="","",CNSIPEE_2024_M2_Secc1!D45)</f>
        <v/>
      </c>
      <c r="E510" s="796"/>
      <c r="F510" s="796"/>
      <c r="G510" s="100"/>
      <c r="H510" s="100"/>
      <c r="I510" s="100"/>
      <c r="J510" s="100"/>
      <c r="K510" s="100"/>
      <c r="L510" s="100"/>
      <c r="M510" s="100"/>
      <c r="N510" s="100"/>
      <c r="O510" s="100"/>
      <c r="P510" s="100"/>
      <c r="Q510" s="100"/>
      <c r="R510" s="100"/>
      <c r="S510" s="100"/>
      <c r="T510" s="100"/>
      <c r="U510" s="100"/>
      <c r="V510" s="100"/>
      <c r="W510" s="100"/>
      <c r="X510" s="100"/>
      <c r="Y510" s="100"/>
      <c r="Z510" s="100"/>
      <c r="AA510" s="100"/>
      <c r="AB510" s="100"/>
      <c r="AC510" s="100"/>
      <c r="AD510" s="100"/>
      <c r="AG510" s="326">
        <f t="shared" si="462"/>
        <v>0</v>
      </c>
      <c r="AH510" s="283">
        <f t="shared" si="463"/>
        <v>0</v>
      </c>
      <c r="AI510" s="283">
        <f t="shared" si="464"/>
        <v>0</v>
      </c>
      <c r="AJ510" s="283">
        <f t="shared" si="465"/>
        <v>0</v>
      </c>
      <c r="AK510" s="283">
        <f t="shared" si="466"/>
        <v>0</v>
      </c>
      <c r="AL510" s="283">
        <f t="shared" si="467"/>
        <v>0</v>
      </c>
      <c r="AM510" s="283">
        <f t="shared" si="468"/>
        <v>0</v>
      </c>
      <c r="AN510" s="283">
        <f t="shared" si="469"/>
        <v>0</v>
      </c>
      <c r="AO510" s="283">
        <f t="shared" si="470"/>
        <v>0</v>
      </c>
      <c r="AP510" s="283">
        <f t="shared" si="471"/>
        <v>0</v>
      </c>
      <c r="AQ510" s="283">
        <f t="shared" si="472"/>
        <v>0</v>
      </c>
      <c r="AR510" s="283">
        <f t="shared" si="473"/>
        <v>0</v>
      </c>
      <c r="AS510" s="283">
        <f t="shared" si="474"/>
        <v>0</v>
      </c>
      <c r="AT510" s="283">
        <f t="shared" si="475"/>
        <v>0</v>
      </c>
      <c r="AU510" s="283">
        <f t="shared" si="476"/>
        <v>0</v>
      </c>
      <c r="AV510" s="283">
        <f t="shared" si="477"/>
        <v>0</v>
      </c>
      <c r="AW510" s="283">
        <f t="shared" si="478"/>
        <v>0</v>
      </c>
      <c r="AX510" s="283">
        <f t="shared" si="479"/>
        <v>0</v>
      </c>
      <c r="AY510" s="283">
        <f t="shared" si="480"/>
        <v>0</v>
      </c>
      <c r="AZ510" s="283">
        <f t="shared" si="481"/>
        <v>0</v>
      </c>
      <c r="BA510" s="283">
        <f t="shared" si="482"/>
        <v>0</v>
      </c>
      <c r="BB510" s="283">
        <f t="shared" si="483"/>
        <v>0</v>
      </c>
      <c r="BC510" s="283">
        <f t="shared" si="484"/>
        <v>0</v>
      </c>
      <c r="BD510" s="283">
        <f t="shared" si="485"/>
        <v>0</v>
      </c>
      <c r="BE510" s="283">
        <f t="shared" si="486"/>
        <v>0</v>
      </c>
      <c r="BG510">
        <f t="shared" si="461"/>
        <v>0</v>
      </c>
      <c r="BH510">
        <f t="shared" si="461"/>
        <v>0</v>
      </c>
      <c r="BI510">
        <f t="shared" si="461"/>
        <v>0</v>
      </c>
    </row>
    <row r="511" spans="1:61" ht="15" customHeight="1">
      <c r="A511" s="50"/>
      <c r="B511" s="90"/>
      <c r="C511" s="98" t="s">
        <v>2520</v>
      </c>
      <c r="D511" s="796" t="str">
        <f>IF(CNSIPEE_2024_M2_Secc1!D46="","",CNSIPEE_2024_M2_Secc1!D46)</f>
        <v/>
      </c>
      <c r="E511" s="796"/>
      <c r="F511" s="796"/>
      <c r="G511" s="100"/>
      <c r="H511" s="100"/>
      <c r="I511" s="100"/>
      <c r="J511" s="100"/>
      <c r="K511" s="100"/>
      <c r="L511" s="100"/>
      <c r="M511" s="100"/>
      <c r="N511" s="100"/>
      <c r="O511" s="100"/>
      <c r="P511" s="100"/>
      <c r="Q511" s="100"/>
      <c r="R511" s="100"/>
      <c r="S511" s="100"/>
      <c r="T511" s="100"/>
      <c r="U511" s="100"/>
      <c r="V511" s="100"/>
      <c r="W511" s="100"/>
      <c r="X511" s="100"/>
      <c r="Y511" s="100"/>
      <c r="Z511" s="100"/>
      <c r="AA511" s="100"/>
      <c r="AB511" s="100"/>
      <c r="AC511" s="100"/>
      <c r="AD511" s="100"/>
      <c r="AG511" s="326">
        <f t="shared" si="462"/>
        <v>0</v>
      </c>
      <c r="AH511" s="283">
        <f t="shared" si="463"/>
        <v>0</v>
      </c>
      <c r="AI511" s="283">
        <f t="shared" si="464"/>
        <v>0</v>
      </c>
      <c r="AJ511" s="283">
        <f t="shared" si="465"/>
        <v>0</v>
      </c>
      <c r="AK511" s="283">
        <f t="shared" si="466"/>
        <v>0</v>
      </c>
      <c r="AL511" s="283">
        <f t="shared" si="467"/>
        <v>0</v>
      </c>
      <c r="AM511" s="283">
        <f t="shared" si="468"/>
        <v>0</v>
      </c>
      <c r="AN511" s="283">
        <f t="shared" si="469"/>
        <v>0</v>
      </c>
      <c r="AO511" s="283">
        <f t="shared" si="470"/>
        <v>0</v>
      </c>
      <c r="AP511" s="283">
        <f t="shared" si="471"/>
        <v>0</v>
      </c>
      <c r="AQ511" s="283">
        <f t="shared" si="472"/>
        <v>0</v>
      </c>
      <c r="AR511" s="283">
        <f t="shared" si="473"/>
        <v>0</v>
      </c>
      <c r="AS511" s="283">
        <f t="shared" si="474"/>
        <v>0</v>
      </c>
      <c r="AT511" s="283">
        <f t="shared" si="475"/>
        <v>0</v>
      </c>
      <c r="AU511" s="283">
        <f t="shared" si="476"/>
        <v>0</v>
      </c>
      <c r="AV511" s="283">
        <f t="shared" si="477"/>
        <v>0</v>
      </c>
      <c r="AW511" s="283">
        <f t="shared" si="478"/>
        <v>0</v>
      </c>
      <c r="AX511" s="283">
        <f t="shared" si="479"/>
        <v>0</v>
      </c>
      <c r="AY511" s="283">
        <f t="shared" si="480"/>
        <v>0</v>
      </c>
      <c r="AZ511" s="283">
        <f t="shared" si="481"/>
        <v>0</v>
      </c>
      <c r="BA511" s="283">
        <f t="shared" si="482"/>
        <v>0</v>
      </c>
      <c r="BB511" s="283">
        <f t="shared" si="483"/>
        <v>0</v>
      </c>
      <c r="BC511" s="283">
        <f t="shared" si="484"/>
        <v>0</v>
      </c>
      <c r="BD511" s="283">
        <f t="shared" si="485"/>
        <v>0</v>
      </c>
      <c r="BE511" s="283">
        <f t="shared" si="486"/>
        <v>0</v>
      </c>
      <c r="BG511">
        <f t="shared" si="461"/>
        <v>0</v>
      </c>
      <c r="BH511">
        <f t="shared" si="461"/>
        <v>0</v>
      </c>
      <c r="BI511">
        <f t="shared" si="461"/>
        <v>0</v>
      </c>
    </row>
    <row r="512" spans="1:61" ht="15" customHeight="1">
      <c r="A512" s="50"/>
      <c r="B512" s="90"/>
      <c r="C512" s="98" t="s">
        <v>2521</v>
      </c>
      <c r="D512" s="796" t="str">
        <f>IF(CNSIPEE_2024_M2_Secc1!D47="","",CNSIPEE_2024_M2_Secc1!D47)</f>
        <v/>
      </c>
      <c r="E512" s="796"/>
      <c r="F512" s="796"/>
      <c r="G512" s="100"/>
      <c r="H512" s="100"/>
      <c r="I512" s="100"/>
      <c r="J512" s="100"/>
      <c r="K512" s="100"/>
      <c r="L512" s="100"/>
      <c r="M512" s="100"/>
      <c r="N512" s="100"/>
      <c r="O512" s="100"/>
      <c r="P512" s="100"/>
      <c r="Q512" s="100"/>
      <c r="R512" s="100"/>
      <c r="S512" s="100"/>
      <c r="T512" s="100"/>
      <c r="U512" s="100"/>
      <c r="V512" s="100"/>
      <c r="W512" s="100"/>
      <c r="X512" s="100"/>
      <c r="Y512" s="100"/>
      <c r="Z512" s="100"/>
      <c r="AA512" s="100"/>
      <c r="AB512" s="100"/>
      <c r="AC512" s="100"/>
      <c r="AD512" s="100"/>
      <c r="AG512" s="326">
        <f t="shared" si="462"/>
        <v>0</v>
      </c>
      <c r="AH512" s="283">
        <f t="shared" si="463"/>
        <v>0</v>
      </c>
      <c r="AI512" s="283">
        <f t="shared" si="464"/>
        <v>0</v>
      </c>
      <c r="AJ512" s="283">
        <f t="shared" si="465"/>
        <v>0</v>
      </c>
      <c r="AK512" s="283">
        <f t="shared" si="466"/>
        <v>0</v>
      </c>
      <c r="AL512" s="283">
        <f t="shared" si="467"/>
        <v>0</v>
      </c>
      <c r="AM512" s="283">
        <f t="shared" si="468"/>
        <v>0</v>
      </c>
      <c r="AN512" s="283">
        <f t="shared" si="469"/>
        <v>0</v>
      </c>
      <c r="AO512" s="283">
        <f t="shared" si="470"/>
        <v>0</v>
      </c>
      <c r="AP512" s="283">
        <f t="shared" si="471"/>
        <v>0</v>
      </c>
      <c r="AQ512" s="283">
        <f t="shared" si="472"/>
        <v>0</v>
      </c>
      <c r="AR512" s="283">
        <f t="shared" si="473"/>
        <v>0</v>
      </c>
      <c r="AS512" s="283">
        <f t="shared" si="474"/>
        <v>0</v>
      </c>
      <c r="AT512" s="283">
        <f t="shared" si="475"/>
        <v>0</v>
      </c>
      <c r="AU512" s="283">
        <f t="shared" si="476"/>
        <v>0</v>
      </c>
      <c r="AV512" s="283">
        <f t="shared" si="477"/>
        <v>0</v>
      </c>
      <c r="AW512" s="283">
        <f t="shared" si="478"/>
        <v>0</v>
      </c>
      <c r="AX512" s="283">
        <f t="shared" si="479"/>
        <v>0</v>
      </c>
      <c r="AY512" s="283">
        <f t="shared" si="480"/>
        <v>0</v>
      </c>
      <c r="AZ512" s="283">
        <f t="shared" si="481"/>
        <v>0</v>
      </c>
      <c r="BA512" s="283">
        <f t="shared" si="482"/>
        <v>0</v>
      </c>
      <c r="BB512" s="283">
        <f t="shared" si="483"/>
        <v>0</v>
      </c>
      <c r="BC512" s="283">
        <f t="shared" si="484"/>
        <v>0</v>
      </c>
      <c r="BD512" s="283">
        <f t="shared" si="485"/>
        <v>0</v>
      </c>
      <c r="BE512" s="283">
        <f t="shared" si="486"/>
        <v>0</v>
      </c>
      <c r="BG512">
        <f t="shared" si="461"/>
        <v>0</v>
      </c>
      <c r="BH512">
        <f t="shared" si="461"/>
        <v>0</v>
      </c>
      <c r="BI512">
        <f t="shared" si="461"/>
        <v>0</v>
      </c>
    </row>
    <row r="513" spans="1:61" ht="15" customHeight="1">
      <c r="A513" s="50"/>
      <c r="B513" s="90"/>
      <c r="C513" s="98" t="s">
        <v>2522</v>
      </c>
      <c r="D513" s="796" t="str">
        <f>IF(CNSIPEE_2024_M2_Secc1!D48="","",CNSIPEE_2024_M2_Secc1!D48)</f>
        <v/>
      </c>
      <c r="E513" s="796"/>
      <c r="F513" s="796"/>
      <c r="G513" s="100"/>
      <c r="H513" s="100"/>
      <c r="I513" s="100"/>
      <c r="J513" s="100"/>
      <c r="K513" s="100"/>
      <c r="L513" s="100"/>
      <c r="M513" s="100"/>
      <c r="N513" s="100"/>
      <c r="O513" s="100"/>
      <c r="P513" s="100"/>
      <c r="Q513" s="100"/>
      <c r="R513" s="100"/>
      <c r="S513" s="100"/>
      <c r="T513" s="100"/>
      <c r="U513" s="100"/>
      <c r="V513" s="100"/>
      <c r="W513" s="100"/>
      <c r="X513" s="100"/>
      <c r="Y513" s="100"/>
      <c r="Z513" s="100"/>
      <c r="AA513" s="100"/>
      <c r="AB513" s="100"/>
      <c r="AC513" s="100"/>
      <c r="AD513" s="100"/>
      <c r="AG513" s="326">
        <f t="shared" si="462"/>
        <v>0</v>
      </c>
      <c r="AH513" s="283">
        <f t="shared" si="463"/>
        <v>0</v>
      </c>
      <c r="AI513" s="283">
        <f t="shared" si="464"/>
        <v>0</v>
      </c>
      <c r="AJ513" s="283">
        <f t="shared" si="465"/>
        <v>0</v>
      </c>
      <c r="AK513" s="283">
        <f t="shared" si="466"/>
        <v>0</v>
      </c>
      <c r="AL513" s="283">
        <f t="shared" si="467"/>
        <v>0</v>
      </c>
      <c r="AM513" s="283">
        <f t="shared" si="468"/>
        <v>0</v>
      </c>
      <c r="AN513" s="283">
        <f t="shared" si="469"/>
        <v>0</v>
      </c>
      <c r="AO513" s="283">
        <f t="shared" si="470"/>
        <v>0</v>
      </c>
      <c r="AP513" s="283">
        <f t="shared" si="471"/>
        <v>0</v>
      </c>
      <c r="AQ513" s="283">
        <f t="shared" si="472"/>
        <v>0</v>
      </c>
      <c r="AR513" s="283">
        <f t="shared" si="473"/>
        <v>0</v>
      </c>
      <c r="AS513" s="283">
        <f t="shared" si="474"/>
        <v>0</v>
      </c>
      <c r="AT513" s="283">
        <f t="shared" si="475"/>
        <v>0</v>
      </c>
      <c r="AU513" s="283">
        <f t="shared" si="476"/>
        <v>0</v>
      </c>
      <c r="AV513" s="283">
        <f t="shared" si="477"/>
        <v>0</v>
      </c>
      <c r="AW513" s="283">
        <f t="shared" si="478"/>
        <v>0</v>
      </c>
      <c r="AX513" s="283">
        <f t="shared" si="479"/>
        <v>0</v>
      </c>
      <c r="AY513" s="283">
        <f t="shared" si="480"/>
        <v>0</v>
      </c>
      <c r="AZ513" s="283">
        <f t="shared" si="481"/>
        <v>0</v>
      </c>
      <c r="BA513" s="283">
        <f t="shared" si="482"/>
        <v>0</v>
      </c>
      <c r="BB513" s="283">
        <f t="shared" si="483"/>
        <v>0</v>
      </c>
      <c r="BC513" s="283">
        <f t="shared" si="484"/>
        <v>0</v>
      </c>
      <c r="BD513" s="283">
        <f t="shared" si="485"/>
        <v>0</v>
      </c>
      <c r="BE513" s="283">
        <f t="shared" si="486"/>
        <v>0</v>
      </c>
      <c r="BG513">
        <f t="shared" si="461"/>
        <v>0</v>
      </c>
      <c r="BH513">
        <f t="shared" si="461"/>
        <v>0</v>
      </c>
      <c r="BI513">
        <f t="shared" si="461"/>
        <v>0</v>
      </c>
    </row>
    <row r="514" spans="1:61" ht="15" customHeight="1">
      <c r="A514" s="50"/>
      <c r="B514" s="90"/>
      <c r="C514" s="98" t="s">
        <v>2523</v>
      </c>
      <c r="D514" s="796" t="str">
        <f>IF(CNSIPEE_2024_M2_Secc1!D49="","",CNSIPEE_2024_M2_Secc1!D49)</f>
        <v/>
      </c>
      <c r="E514" s="796"/>
      <c r="F514" s="796"/>
      <c r="G514" s="100"/>
      <c r="H514" s="100"/>
      <c r="I514" s="100"/>
      <c r="J514" s="100"/>
      <c r="K514" s="100"/>
      <c r="L514" s="100"/>
      <c r="M514" s="100"/>
      <c r="N514" s="100"/>
      <c r="O514" s="100"/>
      <c r="P514" s="100"/>
      <c r="Q514" s="100"/>
      <c r="R514" s="100"/>
      <c r="S514" s="100"/>
      <c r="T514" s="100"/>
      <c r="U514" s="100"/>
      <c r="V514" s="100"/>
      <c r="W514" s="100"/>
      <c r="X514" s="100"/>
      <c r="Y514" s="100"/>
      <c r="Z514" s="100"/>
      <c r="AA514" s="100"/>
      <c r="AB514" s="100"/>
      <c r="AC514" s="100"/>
      <c r="AD514" s="100"/>
      <c r="AG514" s="326">
        <f t="shared" si="462"/>
        <v>0</v>
      </c>
      <c r="AH514" s="283">
        <f t="shared" si="463"/>
        <v>0</v>
      </c>
      <c r="AI514" s="283">
        <f t="shared" si="464"/>
        <v>0</v>
      </c>
      <c r="AJ514" s="283">
        <f t="shared" si="465"/>
        <v>0</v>
      </c>
      <c r="AK514" s="283">
        <f t="shared" si="466"/>
        <v>0</v>
      </c>
      <c r="AL514" s="283">
        <f t="shared" si="467"/>
        <v>0</v>
      </c>
      <c r="AM514" s="283">
        <f t="shared" si="468"/>
        <v>0</v>
      </c>
      <c r="AN514" s="283">
        <f t="shared" si="469"/>
        <v>0</v>
      </c>
      <c r="AO514" s="283">
        <f t="shared" si="470"/>
        <v>0</v>
      </c>
      <c r="AP514" s="283">
        <f t="shared" si="471"/>
        <v>0</v>
      </c>
      <c r="AQ514" s="283">
        <f t="shared" si="472"/>
        <v>0</v>
      </c>
      <c r="AR514" s="283">
        <f t="shared" si="473"/>
        <v>0</v>
      </c>
      <c r="AS514" s="283">
        <f t="shared" si="474"/>
        <v>0</v>
      </c>
      <c r="AT514" s="283">
        <f t="shared" si="475"/>
        <v>0</v>
      </c>
      <c r="AU514" s="283">
        <f t="shared" si="476"/>
        <v>0</v>
      </c>
      <c r="AV514" s="283">
        <f t="shared" si="477"/>
        <v>0</v>
      </c>
      <c r="AW514" s="283">
        <f t="shared" si="478"/>
        <v>0</v>
      </c>
      <c r="AX514" s="283">
        <f t="shared" si="479"/>
        <v>0</v>
      </c>
      <c r="AY514" s="283">
        <f t="shared" si="480"/>
        <v>0</v>
      </c>
      <c r="AZ514" s="283">
        <f t="shared" si="481"/>
        <v>0</v>
      </c>
      <c r="BA514" s="283">
        <f t="shared" si="482"/>
        <v>0</v>
      </c>
      <c r="BB514" s="283">
        <f t="shared" si="483"/>
        <v>0</v>
      </c>
      <c r="BC514" s="283">
        <f t="shared" si="484"/>
        <v>0</v>
      </c>
      <c r="BD514" s="283">
        <f t="shared" si="485"/>
        <v>0</v>
      </c>
      <c r="BE514" s="283">
        <f t="shared" si="486"/>
        <v>0</v>
      </c>
      <c r="BG514">
        <f t="shared" si="461"/>
        <v>0</v>
      </c>
      <c r="BH514">
        <f t="shared" si="461"/>
        <v>0</v>
      </c>
      <c r="BI514">
        <f t="shared" si="461"/>
        <v>0</v>
      </c>
    </row>
    <row r="515" spans="1:61" ht="15" customHeight="1">
      <c r="A515" s="50"/>
      <c r="B515" s="90"/>
      <c r="C515" s="70"/>
      <c r="D515" s="36"/>
      <c r="E515" s="36"/>
      <c r="F515" s="99" t="s">
        <v>2649</v>
      </c>
      <c r="G515" s="124">
        <f>IF(AND(SUM(G507:G514)=0,COUNTIF(G507:G514,"NS")&gt;0),"NS",
IF(AND(SUM(G507:G514)=0,COUNTIF(G507:G514,0)&gt;0),0,
IF(AND(SUM(G507:G514)=0,COUNTIF(G507:G514,"NA")&gt;0),"NA",
SUM(G507:G514))))</f>
        <v>0</v>
      </c>
      <c r="H515" s="124">
        <f t="shared" ref="H515:AD515" si="487">IF(AND(SUM(H507:H514)=0,COUNTIF(H507:H514,"NS")&gt;0),"NS",
IF(AND(SUM(H507:H514)=0,COUNTIF(H507:H514,0)&gt;0),0,
IF(AND(SUM(H507:H514)=0,COUNTIF(H507:H514,"NA")&gt;0),"NA",
SUM(H507:H514))))</f>
        <v>0</v>
      </c>
      <c r="I515" s="124">
        <f t="shared" si="487"/>
        <v>0</v>
      </c>
      <c r="J515" s="124">
        <f t="shared" si="487"/>
        <v>0</v>
      </c>
      <c r="K515" s="124">
        <f t="shared" si="487"/>
        <v>0</v>
      </c>
      <c r="L515" s="124">
        <f t="shared" si="487"/>
        <v>0</v>
      </c>
      <c r="M515" s="124">
        <f t="shared" si="487"/>
        <v>0</v>
      </c>
      <c r="N515" s="124">
        <f t="shared" si="487"/>
        <v>0</v>
      </c>
      <c r="O515" s="124">
        <f t="shared" si="487"/>
        <v>0</v>
      </c>
      <c r="P515" s="124">
        <f t="shared" si="487"/>
        <v>0</v>
      </c>
      <c r="Q515" s="124">
        <f t="shared" si="487"/>
        <v>0</v>
      </c>
      <c r="R515" s="124">
        <f t="shared" si="487"/>
        <v>0</v>
      </c>
      <c r="S515" s="124">
        <f t="shared" si="487"/>
        <v>0</v>
      </c>
      <c r="T515" s="124">
        <f t="shared" si="487"/>
        <v>0</v>
      </c>
      <c r="U515" s="124">
        <f t="shared" si="487"/>
        <v>0</v>
      </c>
      <c r="V515" s="124">
        <f t="shared" si="487"/>
        <v>0</v>
      </c>
      <c r="W515" s="124">
        <f t="shared" si="487"/>
        <v>0</v>
      </c>
      <c r="X515" s="124">
        <f t="shared" si="487"/>
        <v>0</v>
      </c>
      <c r="Y515" s="124">
        <f t="shared" si="487"/>
        <v>0</v>
      </c>
      <c r="Z515" s="124">
        <f t="shared" si="487"/>
        <v>0</v>
      </c>
      <c r="AA515" s="124">
        <f t="shared" si="487"/>
        <v>0</v>
      </c>
      <c r="AB515" s="124">
        <f t="shared" si="487"/>
        <v>0</v>
      </c>
      <c r="AC515" s="124">
        <f t="shared" si="487"/>
        <v>0</v>
      </c>
      <c r="AD515" s="124">
        <f t="shared" si="487"/>
        <v>0</v>
      </c>
      <c r="AG515" s="349">
        <f>SUM(AG507:AG514)</f>
        <v>0</v>
      </c>
      <c r="AH515" s="350">
        <f>SUM(AH507:AH514)</f>
        <v>0</v>
      </c>
      <c r="AI515" s="326"/>
      <c r="AJ515" s="352">
        <f>SUM(AJ507:AJ514)</f>
        <v>0</v>
      </c>
      <c r="AK515" s="350">
        <f t="shared" ref="AK515" si="488">SUM(AK507:AK514)</f>
        <v>0</v>
      </c>
      <c r="AL515" s="326"/>
      <c r="AM515" s="352">
        <f t="shared" ref="AM515:AN515" si="489">SUM(AM507:AM514)</f>
        <v>0</v>
      </c>
      <c r="AN515" s="350">
        <f t="shared" si="489"/>
        <v>0</v>
      </c>
      <c r="AO515" s="326"/>
      <c r="AP515" s="352">
        <f t="shared" ref="AP515:AQ515" si="490">SUM(AP507:AP514)</f>
        <v>0</v>
      </c>
      <c r="AQ515" s="350">
        <f t="shared" si="490"/>
        <v>0</v>
      </c>
      <c r="AR515" s="326"/>
      <c r="AS515" s="352">
        <f t="shared" ref="AS515:AT515" si="491">SUM(AS507:AS514)</f>
        <v>0</v>
      </c>
      <c r="AT515" s="350">
        <f t="shared" si="491"/>
        <v>0</v>
      </c>
      <c r="AU515" s="326"/>
      <c r="AV515" s="352">
        <f t="shared" ref="AV515:AW515" si="492">SUM(AV507:AV514)</f>
        <v>0</v>
      </c>
      <c r="AW515" s="350">
        <f t="shared" si="492"/>
        <v>0</v>
      </c>
      <c r="AX515" s="326"/>
      <c r="AY515" s="352">
        <f t="shared" ref="AY515:AZ515" si="493">SUM(AY507:AY514)</f>
        <v>0</v>
      </c>
      <c r="AZ515" s="350">
        <f t="shared" si="493"/>
        <v>0</v>
      </c>
      <c r="BA515" s="326"/>
      <c r="BB515" s="352">
        <f t="shared" ref="BB515:BC515" si="494">SUM(BB507:BB514)</f>
        <v>0</v>
      </c>
      <c r="BC515" s="350">
        <f t="shared" si="494"/>
        <v>0</v>
      </c>
      <c r="BD515" s="326"/>
      <c r="BE515" s="352">
        <f t="shared" ref="BE515" si="495">SUM(BE507:BE514)</f>
        <v>0</v>
      </c>
      <c r="BG515" s="370">
        <f>SUM(BG507:BG514)</f>
        <v>0</v>
      </c>
      <c r="BH515" s="371">
        <f>SUM(BH507:BH514)</f>
        <v>0</v>
      </c>
      <c r="BI515" s="372">
        <f>SUM(BI507:BI514)</f>
        <v>0</v>
      </c>
    </row>
    <row r="516" spans="1:61" ht="15" customHeight="1">
      <c r="A516" s="50"/>
      <c r="B516" s="90"/>
      <c r="C516" s="90"/>
      <c r="D516" s="90"/>
      <c r="E516" s="90"/>
      <c r="F516" s="90"/>
      <c r="G516" s="90"/>
      <c r="H516" s="90"/>
      <c r="I516" s="90"/>
      <c r="J516" s="90"/>
      <c r="K516" s="90"/>
      <c r="L516" s="90"/>
      <c r="M516" s="90"/>
      <c r="N516" s="90"/>
      <c r="O516" s="90"/>
      <c r="P516" s="90"/>
      <c r="Q516" s="90"/>
      <c r="R516" s="90"/>
      <c r="S516" s="90"/>
      <c r="T516" s="90"/>
      <c r="U516" s="90"/>
      <c r="V516" s="90"/>
      <c r="W516" s="90"/>
      <c r="X516" s="90"/>
      <c r="Y516" s="90"/>
      <c r="Z516" s="90"/>
      <c r="AA516" s="90"/>
      <c r="AB516" s="90"/>
      <c r="AC516" s="90"/>
      <c r="AD516" s="90"/>
      <c r="BG516"/>
      <c r="BH516"/>
      <c r="BI516" s="373">
        <f>SUM(BG515:BI515)</f>
        <v>0</v>
      </c>
    </row>
    <row r="517" spans="1:61" ht="45" customHeight="1">
      <c r="A517" s="50"/>
      <c r="B517" s="90"/>
      <c r="C517" s="822" t="s">
        <v>3350</v>
      </c>
      <c r="D517" s="822"/>
      <c r="E517" s="822"/>
      <c r="F517" s="749"/>
      <c r="G517" s="749"/>
      <c r="H517" s="749"/>
      <c r="I517" s="749"/>
      <c r="J517" s="749"/>
      <c r="K517" s="749"/>
      <c r="L517" s="749"/>
      <c r="M517" s="749"/>
      <c r="N517" s="749"/>
      <c r="O517" s="749"/>
      <c r="P517" s="749"/>
      <c r="Q517" s="749"/>
      <c r="R517" s="749"/>
      <c r="S517" s="749"/>
      <c r="T517" s="749"/>
      <c r="U517" s="749"/>
      <c r="V517" s="749"/>
      <c r="W517" s="749"/>
      <c r="X517" s="749"/>
      <c r="Y517" s="749"/>
      <c r="Z517" s="749"/>
      <c r="AA517" s="749"/>
      <c r="AB517" s="749"/>
      <c r="AC517" s="749"/>
      <c r="AD517" s="749"/>
      <c r="AI517" s="356" t="s">
        <v>2650</v>
      </c>
      <c r="AJ517" s="283">
        <f>SUM(AJ515,AM515,AP515,AS515,AV515,AY515,BB515,BE515)</f>
        <v>0</v>
      </c>
      <c r="AK517" s="355" t="s">
        <v>2651</v>
      </c>
      <c r="AL517" s="283">
        <f>SUM(AH515,AK515,AN515,AQ515,AT515,AW515,AZ515,BC515)</f>
        <v>0</v>
      </c>
      <c r="AM517" s="283"/>
      <c r="AN517" s="283"/>
    </row>
    <row r="518" spans="1:61" ht="15" customHeight="1">
      <c r="A518" s="50"/>
      <c r="B518" s="794" t="str">
        <f>IF(AND(BF507&gt;0,F517=""),"Ha registrado un valor mayor a cero en la col. Otro estatus debe anotar el nombre de dicho(s) estatus","")</f>
        <v/>
      </c>
      <c r="C518" s="794"/>
      <c r="D518" s="794"/>
      <c r="E518" s="794"/>
      <c r="F518" s="794"/>
      <c r="G518" s="794"/>
      <c r="H518" s="794"/>
      <c r="I518" s="794"/>
      <c r="J518" s="794"/>
      <c r="K518" s="794"/>
      <c r="L518" s="794"/>
      <c r="M518" s="794"/>
      <c r="N518" s="794"/>
      <c r="O518" s="794"/>
      <c r="P518" s="794"/>
      <c r="Q518" s="794"/>
      <c r="R518" s="794"/>
      <c r="S518" s="794"/>
      <c r="T518" s="794"/>
      <c r="U518" s="794"/>
      <c r="V518" s="794"/>
      <c r="W518" s="794"/>
      <c r="X518" s="794"/>
      <c r="Y518" s="794"/>
      <c r="Z518" s="794"/>
      <c r="AA518" s="794"/>
      <c r="AB518" s="794"/>
      <c r="AC518" s="794"/>
      <c r="AD518" s="794"/>
      <c r="AE518" s="794"/>
      <c r="AI518" s="357" t="s">
        <v>2652</v>
      </c>
      <c r="AJ518" s="283">
        <f>IF(AL517&gt;0,IF(SUM(G515)&gt;=SUM(J515,M515,P515,S515,V515,Y515,AB515),0,1),IF(SUM(G515)&lt;&gt;SUM(J515,M515,P515,S515,V515,Y515,AB515),1,0))</f>
        <v>0</v>
      </c>
      <c r="AK518" s="357" t="s">
        <v>2653</v>
      </c>
      <c r="AL518" s="283">
        <f>IF(AL517&gt;0,IF(SUM(H515)&gt;=SUM(K515,N515,Q515,T515,W515,Z515,AC515),0,1),IF(SUM(H515)&lt;&gt;SUM(K515,N515,Q515,T515,W515,Z515,AC515),1,0))</f>
        <v>0</v>
      </c>
      <c r="AM518" s="357" t="s">
        <v>2654</v>
      </c>
      <c r="AN518" s="283">
        <f>IF(AL517&gt;0,IF(SUM(I515)&gt;=SUM(L515,O515,R515,U515,X515,AA515,AD515),0,1),IF(SUM(I515)&lt;&gt;SUM(L515,O515,R515,U515,X515,AA515,AD515),1,0))</f>
        <v>0</v>
      </c>
    </row>
    <row r="519" spans="1:61" ht="24" customHeight="1">
      <c r="A519" s="50"/>
      <c r="B519" s="90"/>
      <c r="C519" s="754" t="s">
        <v>2611</v>
      </c>
      <c r="D519" s="754"/>
      <c r="E519" s="754"/>
      <c r="F519" s="754"/>
      <c r="G519" s="754"/>
      <c r="H519" s="754"/>
      <c r="I519" s="754"/>
      <c r="J519" s="754"/>
      <c r="K519" s="754"/>
      <c r="L519" s="754"/>
      <c r="M519" s="754"/>
      <c r="N519" s="754"/>
      <c r="O519" s="754"/>
      <c r="P519" s="754"/>
      <c r="Q519" s="754"/>
      <c r="R519" s="754"/>
      <c r="S519" s="754"/>
      <c r="T519" s="754"/>
      <c r="U519" s="754"/>
      <c r="V519" s="754"/>
      <c r="W519" s="754"/>
      <c r="X519" s="754"/>
      <c r="Y519" s="754"/>
      <c r="Z519" s="754"/>
      <c r="AA519" s="754"/>
      <c r="AB519" s="754"/>
      <c r="AC519" s="754"/>
      <c r="AD519" s="754"/>
    </row>
    <row r="520" spans="1:61" ht="60" customHeight="1">
      <c r="A520" s="50"/>
      <c r="B520" s="90"/>
      <c r="C520" s="851"/>
      <c r="D520" s="851"/>
      <c r="E520" s="851"/>
      <c r="F520" s="851"/>
      <c r="G520" s="851"/>
      <c r="H520" s="851"/>
      <c r="I520" s="851"/>
      <c r="J520" s="851"/>
      <c r="K520" s="851"/>
      <c r="L520" s="851"/>
      <c r="M520" s="851"/>
      <c r="N520" s="851"/>
      <c r="O520" s="851"/>
      <c r="P520" s="851"/>
      <c r="Q520" s="851"/>
      <c r="R520" s="851"/>
      <c r="S520" s="851"/>
      <c r="T520" s="851"/>
      <c r="U520" s="851"/>
      <c r="V520" s="851"/>
      <c r="W520" s="851"/>
      <c r="X520" s="851"/>
      <c r="Y520" s="851"/>
      <c r="Z520" s="851"/>
      <c r="AA520" s="851"/>
      <c r="AB520" s="851"/>
      <c r="AC520" s="851"/>
      <c r="AD520" s="851"/>
    </row>
    <row r="521" spans="1:61" ht="15" customHeight="1">
      <c r="A521" s="50"/>
      <c r="B521" s="794" t="str">
        <f>IF(AG515&gt;0,"Favor de ingresar toda la información requerida en la pregunta ","")</f>
        <v/>
      </c>
      <c r="C521" s="794"/>
      <c r="D521" s="794"/>
      <c r="E521" s="794"/>
      <c r="F521" s="794"/>
      <c r="G521" s="794"/>
      <c r="H521" s="794"/>
      <c r="I521" s="794"/>
      <c r="J521" s="794"/>
      <c r="K521" s="794"/>
      <c r="L521" s="794"/>
      <c r="M521" s="794"/>
      <c r="N521" s="794"/>
      <c r="O521" s="794"/>
      <c r="P521" s="794"/>
      <c r="Q521" s="794"/>
      <c r="R521" s="794"/>
      <c r="S521" s="794"/>
      <c r="T521" s="794"/>
      <c r="U521" s="794"/>
      <c r="V521" s="794"/>
      <c r="W521" s="794"/>
      <c r="X521" s="794"/>
      <c r="Y521" s="794"/>
      <c r="Z521" s="794"/>
      <c r="AA521" s="794"/>
      <c r="AB521" s="794"/>
      <c r="AC521" s="794"/>
      <c r="AD521" s="794"/>
      <c r="AE521"/>
    </row>
    <row r="522" spans="1:61" ht="15" customHeight="1">
      <c r="A522" s="50"/>
      <c r="B522" s="795" t="str">
        <f>IF(AL517&gt;0,"Alerta: debido a que cuenta con registros NS, debe proporcionar una justificación en el area de comentarios al final de la pregunta","")</f>
        <v/>
      </c>
      <c r="C522" s="795"/>
      <c r="D522" s="795"/>
      <c r="E522" s="795"/>
      <c r="F522" s="795"/>
      <c r="G522" s="795"/>
      <c r="H522" s="795"/>
      <c r="I522" s="795"/>
      <c r="J522" s="795"/>
      <c r="K522" s="795"/>
      <c r="L522" s="795"/>
      <c r="M522" s="795"/>
      <c r="N522" s="795"/>
      <c r="O522" s="795"/>
      <c r="P522" s="795"/>
      <c r="Q522" s="795"/>
      <c r="R522" s="795"/>
      <c r="S522" s="795"/>
      <c r="T522" s="795"/>
      <c r="U522" s="795"/>
      <c r="V522" s="795"/>
      <c r="W522" s="795"/>
      <c r="X522" s="795"/>
      <c r="Y522" s="795"/>
      <c r="Z522" s="795"/>
      <c r="AA522" s="795"/>
      <c r="AB522" s="795"/>
      <c r="AC522" s="795"/>
      <c r="AD522" s="795"/>
      <c r="AE522"/>
    </row>
    <row r="523" spans="1:61" ht="15" customHeight="1">
      <c r="A523" s="50"/>
      <c r="B523" s="794" t="str">
        <f>IF(OR(AJ517&gt;0,AJ518&gt;0,AL518&gt;0,AN518&gt;0),"Favor de revisar la suma y consistencia de totales y/o subtotales por filas (numéricos y NS)","")</f>
        <v/>
      </c>
      <c r="C523" s="794"/>
      <c r="D523" s="794"/>
      <c r="E523" s="794"/>
      <c r="F523" s="794"/>
      <c r="G523" s="794"/>
      <c r="H523" s="794"/>
      <c r="I523" s="794"/>
      <c r="J523" s="794"/>
      <c r="K523" s="794"/>
      <c r="L523" s="794"/>
      <c r="M523" s="794"/>
      <c r="N523" s="794"/>
      <c r="O523" s="794"/>
      <c r="P523" s="794"/>
      <c r="Q523" s="794"/>
      <c r="R523" s="794"/>
      <c r="S523" s="794"/>
      <c r="T523" s="794"/>
      <c r="U523" s="794"/>
      <c r="V523" s="794"/>
      <c r="W523" s="794"/>
      <c r="X523" s="794"/>
      <c r="Y523" s="794"/>
      <c r="Z523" s="794"/>
      <c r="AA523" s="794"/>
      <c r="AB523" s="794"/>
      <c r="AC523" s="794"/>
      <c r="AD523" s="794"/>
      <c r="AE523"/>
    </row>
    <row r="524" spans="1:61" ht="15" customHeight="1">
      <c r="A524" s="50"/>
      <c r="B524" s="795" t="str">
        <f>IF(BI516&gt;0,"Alerta: debe de proporcionar una justificación de acuerdo a lo establecido en la instrucción 1","")</f>
        <v/>
      </c>
      <c r="C524" s="795"/>
      <c r="D524" s="795"/>
      <c r="E524" s="795"/>
      <c r="F524" s="795"/>
      <c r="G524" s="795"/>
      <c r="H524" s="795"/>
      <c r="I524" s="795"/>
      <c r="J524" s="795"/>
      <c r="K524" s="795"/>
      <c r="L524" s="795"/>
      <c r="M524" s="795"/>
      <c r="N524" s="795"/>
      <c r="O524" s="795"/>
      <c r="P524" s="795"/>
      <c r="Q524" s="795"/>
      <c r="R524" s="795"/>
      <c r="S524" s="795"/>
      <c r="T524" s="795"/>
      <c r="U524" s="795"/>
      <c r="V524" s="795"/>
      <c r="W524" s="795"/>
      <c r="X524" s="795"/>
      <c r="Y524" s="795"/>
      <c r="Z524" s="795"/>
      <c r="AA524" s="795"/>
      <c r="AB524" s="795"/>
      <c r="AC524" s="795"/>
      <c r="AD524" s="795"/>
      <c r="AE524" s="795"/>
    </row>
    <row r="525" spans="1:61" ht="15" customHeight="1">
      <c r="A525" s="50"/>
      <c r="B525" s="90"/>
      <c r="C525" s="90"/>
      <c r="D525" s="90"/>
      <c r="E525" s="90"/>
      <c r="F525" s="90"/>
      <c r="G525" s="90"/>
      <c r="H525" s="90"/>
      <c r="I525" s="90"/>
      <c r="J525" s="90"/>
      <c r="K525" s="90"/>
      <c r="L525" s="90"/>
      <c r="M525" s="90"/>
      <c r="N525" s="90"/>
      <c r="O525" s="90"/>
      <c r="P525" s="90"/>
      <c r="Q525" s="90"/>
      <c r="R525" s="90"/>
      <c r="S525" s="90"/>
      <c r="T525" s="90"/>
      <c r="U525" s="90"/>
      <c r="V525" s="90"/>
      <c r="W525" s="90"/>
      <c r="X525" s="90"/>
      <c r="Y525" s="90"/>
      <c r="Z525" s="90"/>
      <c r="AA525" s="90"/>
      <c r="AB525" s="90"/>
      <c r="AC525" s="90"/>
      <c r="AD525" s="90"/>
      <c r="AE525"/>
    </row>
    <row r="526" spans="1:61" ht="15" customHeight="1">
      <c r="A526" s="50"/>
      <c r="B526" s="90"/>
      <c r="C526" s="90"/>
      <c r="D526" s="90"/>
      <c r="E526" s="90"/>
      <c r="F526" s="90"/>
      <c r="G526" s="90"/>
      <c r="H526" s="90"/>
      <c r="I526" s="90"/>
      <c r="J526" s="90"/>
      <c r="K526" s="90"/>
      <c r="L526" s="90"/>
      <c r="M526" s="90"/>
      <c r="N526" s="90"/>
      <c r="O526" s="90"/>
      <c r="P526" s="90"/>
      <c r="Q526" s="90"/>
      <c r="R526" s="90"/>
      <c r="S526" s="90"/>
      <c r="T526" s="90"/>
      <c r="U526" s="90"/>
      <c r="V526" s="90"/>
      <c r="W526" s="90"/>
      <c r="X526" s="90"/>
      <c r="Y526" s="90"/>
      <c r="Z526" s="90"/>
      <c r="AA526" s="90"/>
      <c r="AB526" s="90"/>
      <c r="AC526" s="90"/>
      <c r="AD526" s="90"/>
      <c r="AE526"/>
    </row>
    <row r="527" spans="1:61" ht="15" customHeight="1">
      <c r="A527" s="50"/>
      <c r="B527" s="90"/>
      <c r="C527" s="45" t="s">
        <v>3351</v>
      </c>
      <c r="D527" s="90"/>
      <c r="E527" s="90"/>
      <c r="F527" s="90"/>
      <c r="G527" s="90"/>
      <c r="H527" s="90"/>
      <c r="I527" s="90"/>
      <c r="J527" s="90"/>
      <c r="K527" s="90"/>
      <c r="L527" s="90"/>
      <c r="M527" s="90"/>
      <c r="N527" s="90"/>
      <c r="O527" s="90"/>
      <c r="P527" s="90"/>
      <c r="Q527" s="90"/>
      <c r="R527" s="90"/>
      <c r="S527" s="90"/>
      <c r="T527" s="90"/>
      <c r="U527" s="90"/>
      <c r="V527" s="90"/>
      <c r="W527" s="90"/>
      <c r="X527" s="90"/>
      <c r="Y527" s="90"/>
      <c r="Z527" s="90"/>
      <c r="AA527" s="90"/>
      <c r="AB527" s="90"/>
      <c r="AC527" s="90"/>
      <c r="AD527" s="90"/>
    </row>
    <row r="528" spans="1:61" ht="15" customHeight="1">
      <c r="A528" s="50"/>
      <c r="B528" s="57"/>
      <c r="C528" s="57"/>
      <c r="D528" s="57"/>
      <c r="E528" s="57"/>
      <c r="F528" s="57"/>
      <c r="G528" s="57"/>
      <c r="H528" s="57"/>
      <c r="I528" s="57"/>
      <c r="J528" s="57"/>
      <c r="K528" s="57"/>
      <c r="L528" s="57"/>
      <c r="M528" s="57"/>
      <c r="N528" s="57"/>
      <c r="O528" s="57"/>
      <c r="P528" s="57"/>
      <c r="Q528" s="57"/>
      <c r="R528" s="57"/>
      <c r="S528" s="57"/>
      <c r="T528" s="57"/>
      <c r="U528" s="57"/>
      <c r="V528" s="57"/>
      <c r="W528" s="57"/>
      <c r="X528" s="57"/>
      <c r="Y528" s="57"/>
      <c r="Z528" s="57"/>
      <c r="AA528" s="57"/>
      <c r="AB528" s="57"/>
      <c r="AC528" s="57"/>
      <c r="AD528" s="57"/>
    </row>
    <row r="529" spans="1:61" ht="24" customHeight="1">
      <c r="A529" s="50"/>
      <c r="B529" s="90"/>
      <c r="C529" s="797" t="s">
        <v>2581</v>
      </c>
      <c r="D529" s="798"/>
      <c r="E529" s="798"/>
      <c r="F529" s="799"/>
      <c r="G529" s="739" t="s">
        <v>3341</v>
      </c>
      <c r="H529" s="740"/>
      <c r="I529" s="740"/>
      <c r="J529" s="740"/>
      <c r="K529" s="740"/>
      <c r="L529" s="740"/>
      <c r="M529" s="740"/>
      <c r="N529" s="740"/>
      <c r="O529" s="740"/>
      <c r="P529" s="740"/>
      <c r="Q529" s="740"/>
      <c r="R529" s="740"/>
      <c r="S529" s="740"/>
      <c r="T529" s="740"/>
      <c r="U529" s="740"/>
      <c r="V529" s="740"/>
      <c r="W529" s="740"/>
      <c r="X529" s="740"/>
      <c r="Y529" s="740"/>
      <c r="Z529" s="740"/>
      <c r="AA529" s="740"/>
      <c r="AB529" s="740"/>
      <c r="AC529" s="740"/>
      <c r="AD529" s="741"/>
    </row>
    <row r="530" spans="1:61" ht="108" customHeight="1">
      <c r="A530" s="50"/>
      <c r="B530" s="90"/>
      <c r="C530" s="800"/>
      <c r="D530" s="801"/>
      <c r="E530" s="801"/>
      <c r="F530" s="802"/>
      <c r="G530" s="874" t="s">
        <v>2628</v>
      </c>
      <c r="H530" s="857" t="s">
        <v>2629</v>
      </c>
      <c r="I530" s="857" t="s">
        <v>2630</v>
      </c>
      <c r="J530" s="857" t="s">
        <v>3342</v>
      </c>
      <c r="K530" s="857"/>
      <c r="L530" s="857"/>
      <c r="M530" s="857" t="s">
        <v>3343</v>
      </c>
      <c r="N530" s="857"/>
      <c r="O530" s="857"/>
      <c r="P530" s="857" t="s">
        <v>3344</v>
      </c>
      <c r="Q530" s="857"/>
      <c r="R530" s="857"/>
      <c r="S530" s="857" t="s">
        <v>3345</v>
      </c>
      <c r="T530" s="857"/>
      <c r="U530" s="857"/>
      <c r="V530" s="857" t="s">
        <v>3346</v>
      </c>
      <c r="W530" s="857"/>
      <c r="X530" s="857"/>
      <c r="Y530" s="857" t="s">
        <v>3347</v>
      </c>
      <c r="Z530" s="857"/>
      <c r="AA530" s="857"/>
      <c r="AB530" s="857" t="s">
        <v>3348</v>
      </c>
      <c r="AC530" s="857"/>
      <c r="AD530" s="857"/>
      <c r="BF530" s="940" t="s">
        <v>3349</v>
      </c>
      <c r="BG530" s="916" t="s">
        <v>3315</v>
      </c>
      <c r="BH530" s="916"/>
      <c r="BI530" s="916"/>
    </row>
    <row r="531" spans="1:61" ht="48" customHeight="1">
      <c r="A531" s="50"/>
      <c r="B531" s="90"/>
      <c r="C531" s="803"/>
      <c r="D531" s="804"/>
      <c r="E531" s="804"/>
      <c r="F531" s="805"/>
      <c r="G531" s="874"/>
      <c r="H531" s="857"/>
      <c r="I531" s="857"/>
      <c r="J531" s="127" t="s">
        <v>2635</v>
      </c>
      <c r="K531" s="128" t="s">
        <v>2629</v>
      </c>
      <c r="L531" s="128" t="s">
        <v>2630</v>
      </c>
      <c r="M531" s="127" t="s">
        <v>2635</v>
      </c>
      <c r="N531" s="128" t="s">
        <v>2629</v>
      </c>
      <c r="O531" s="128" t="s">
        <v>2630</v>
      </c>
      <c r="P531" s="127" t="s">
        <v>2635</v>
      </c>
      <c r="Q531" s="128" t="s">
        <v>2629</v>
      </c>
      <c r="R531" s="128" t="s">
        <v>2630</v>
      </c>
      <c r="S531" s="127" t="s">
        <v>2635</v>
      </c>
      <c r="T531" s="128" t="s">
        <v>2629</v>
      </c>
      <c r="U531" s="128" t="s">
        <v>2630</v>
      </c>
      <c r="V531" s="127" t="s">
        <v>2635</v>
      </c>
      <c r="W531" s="128" t="s">
        <v>2629</v>
      </c>
      <c r="X531" s="128" t="s">
        <v>2630</v>
      </c>
      <c r="Y531" s="127" t="s">
        <v>2635</v>
      </c>
      <c r="Z531" s="128" t="s">
        <v>2629</v>
      </c>
      <c r="AA531" s="128" t="s">
        <v>2630</v>
      </c>
      <c r="AB531" s="127" t="s">
        <v>2635</v>
      </c>
      <c r="AC531" s="128" t="s">
        <v>2629</v>
      </c>
      <c r="AD531" s="128" t="s">
        <v>2630</v>
      </c>
      <c r="AG531" s="354" t="s">
        <v>2586</v>
      </c>
      <c r="AH531" s="282" t="s">
        <v>2637</v>
      </c>
      <c r="AI531" s="280" t="s">
        <v>2638</v>
      </c>
      <c r="AJ531" s="281" t="s">
        <v>2639</v>
      </c>
      <c r="AK531" s="282" t="s">
        <v>2640</v>
      </c>
      <c r="AL531" s="280" t="s">
        <v>2641</v>
      </c>
      <c r="AM531" s="281" t="s">
        <v>2642</v>
      </c>
      <c r="AN531" s="282" t="s">
        <v>2643</v>
      </c>
      <c r="AO531" s="280" t="s">
        <v>2644</v>
      </c>
      <c r="AP531" s="281" t="s">
        <v>2645</v>
      </c>
      <c r="AQ531" s="282" t="s">
        <v>2646</v>
      </c>
      <c r="AR531" s="280" t="s">
        <v>2647</v>
      </c>
      <c r="AS531" s="281" t="s">
        <v>2648</v>
      </c>
      <c r="AT531" s="282" t="s">
        <v>2756</v>
      </c>
      <c r="AU531" s="280" t="s">
        <v>2757</v>
      </c>
      <c r="AV531" s="281" t="s">
        <v>2758</v>
      </c>
      <c r="AW531" s="282" t="s">
        <v>2759</v>
      </c>
      <c r="AX531" s="280" t="s">
        <v>2760</v>
      </c>
      <c r="AY531" s="281" t="s">
        <v>2761</v>
      </c>
      <c r="AZ531" s="282" t="s">
        <v>2762</v>
      </c>
      <c r="BA531" s="280" t="s">
        <v>2763</v>
      </c>
      <c r="BB531" s="281" t="s">
        <v>2764</v>
      </c>
      <c r="BC531" s="282" t="s">
        <v>2765</v>
      </c>
      <c r="BD531" s="280" t="s">
        <v>2766</v>
      </c>
      <c r="BE531" s="281" t="s">
        <v>2767</v>
      </c>
      <c r="BF531" s="940"/>
      <c r="BG531" s="370" t="s">
        <v>2795</v>
      </c>
      <c r="BH531" s="371" t="s">
        <v>3177</v>
      </c>
      <c r="BI531" s="372" t="s">
        <v>3178</v>
      </c>
    </row>
    <row r="532" spans="1:61" ht="15" customHeight="1">
      <c r="A532" s="50"/>
      <c r="B532" s="90"/>
      <c r="C532" s="97" t="s">
        <v>2516</v>
      </c>
      <c r="D532" s="796" t="str">
        <f>IF(CNSIPEE_2024_M2_Secc1!D42="","",CNSIPEE_2024_M2_Secc1!D42)</f>
        <v/>
      </c>
      <c r="E532" s="796"/>
      <c r="F532" s="796"/>
      <c r="G532" s="100"/>
      <c r="H532" s="100"/>
      <c r="I532" s="100"/>
      <c r="J532" s="100"/>
      <c r="K532" s="100"/>
      <c r="L532" s="100"/>
      <c r="M532" s="100"/>
      <c r="N532" s="100"/>
      <c r="O532" s="100"/>
      <c r="P532" s="100"/>
      <c r="Q532" s="100"/>
      <c r="R532" s="100"/>
      <c r="S532" s="100"/>
      <c r="T532" s="100"/>
      <c r="U532" s="100"/>
      <c r="V532" s="100"/>
      <c r="W532" s="100"/>
      <c r="X532" s="100"/>
      <c r="Y532" s="100"/>
      <c r="Z532" s="100"/>
      <c r="AA532" s="100"/>
      <c r="AB532" s="100"/>
      <c r="AC532" s="100"/>
      <c r="AD532" s="100"/>
      <c r="AG532" s="326">
        <f>IF(AND(COUNTBLANK(D532)=0,COUNTA(G532:AD532)=24),0,IF(AND(COUNTBLANK(D532)=1,COUNTA(G532:AD532)=0),0,1))</f>
        <v>0</v>
      </c>
      <c r="AH532" s="283">
        <f>COUNTIF(H532:I532,"NS")</f>
        <v>0</v>
      </c>
      <c r="AI532" s="283">
        <f>SUM(H532:I532)</f>
        <v>0</v>
      </c>
      <c r="AJ532" s="283">
        <f>IF(COUNTIF(G532:I532,"NA")=3,0,IF(COUNTA(G532:I532)=0,0,IF(OR(AND(G532=0,AH532&gt;0),AND(G532="ns",AI532&gt;0),AND(G532="ns",AH532=0,AI532=0)),1,IF(OR(AND(G532&gt;0,AH532=2),AND(G532="ns",AH532=2),AND(G532="ns",AI532=0,AH532&gt;0),G532=AI532),0,1))))</f>
        <v>0</v>
      </c>
      <c r="AK532" s="283">
        <f>COUNTIF(K532:L532,"NS")</f>
        <v>0</v>
      </c>
      <c r="AL532" s="283">
        <f>SUM(K532:L532)</f>
        <v>0</v>
      </c>
      <c r="AM532" s="283">
        <f>IF(COUNTIF(J532:L532,"NA")=3,0,IF(COUNTA(J532:L532)=0,0,IF(OR(AND(J532=0,AK532&gt;0),AND(J532="ns",AL532&gt;0),AND(J532="ns",AK532=0,AL532=0)),1,IF(OR(AND(J532&gt;0,AK532=2),AND(J532="ns",AK532=2),AND(J532="ns",AL532=0,AK532&gt;0),J532=AL532),0,1))))</f>
        <v>0</v>
      </c>
      <c r="AN532" s="283">
        <f>COUNTIF(N532:O532,"NS")</f>
        <v>0</v>
      </c>
      <c r="AO532" s="283">
        <f>SUM(N532:O532)</f>
        <v>0</v>
      </c>
      <c r="AP532" s="283">
        <f>IF(COUNTIF(M532:O532,"NA")=3,0,IF(COUNTA(M532:O532)=0,0,IF(OR(AND(M532=0,AN532&gt;0),AND(M532="ns",AO532&gt;0),AND(M532="ns",AN532=0,AO532=0)),1,IF(OR(AND(M532&gt;0,AN532=2),AND(M532="ns",AN532=2),AND(M532="ns",AO532=0,AN532&gt;0),M532=AO532),0,1))))</f>
        <v>0</v>
      </c>
      <c r="AQ532" s="283">
        <f>COUNTIF(Q532:R532,"NS")</f>
        <v>0</v>
      </c>
      <c r="AR532" s="283">
        <f>SUM(Q532:R532)</f>
        <v>0</v>
      </c>
      <c r="AS532" s="283">
        <f>IF(COUNTIF(P532:R532,"NA")=3,0,IF(COUNTA(P532:R532)=0,0,IF(OR(AND(P532=0,AQ532&gt;0),AND(P532="ns",AR532&gt;0),AND(P532="ns",AQ532=0,AR532=0)),1,IF(OR(AND(P532&gt;0,AQ532=2),AND(P532="ns",AQ532=2),AND(P532="ns",AR532=0,AQ532&gt;0),P532=AR532),0,1))))</f>
        <v>0</v>
      </c>
      <c r="AT532" s="283">
        <f>COUNTIF(T532:U532,"NS")</f>
        <v>0</v>
      </c>
      <c r="AU532" s="283">
        <f>SUM(T532:U532)</f>
        <v>0</v>
      </c>
      <c r="AV532" s="283">
        <f>IF(COUNTIF(S532:U532,"NA")=3,0,IF(COUNTA(S532:U532)=0,0,IF(OR(AND(S532=0,AT532&gt;0),AND(S532="ns",AU532&gt;0),AND(S532="ns",AT532=0,AU532=0)),1,IF(OR(AND(S532&gt;0,AT532=2),AND(S532="ns",AT532=2),AND(S532="ns",AU532=0,AT532&gt;0),S532=AU532),0,1))))</f>
        <v>0</v>
      </c>
      <c r="AW532" s="283">
        <f>COUNTIF(W532:X532,"NS")</f>
        <v>0</v>
      </c>
      <c r="AX532" s="283">
        <f>SUM(W532:X532)</f>
        <v>0</v>
      </c>
      <c r="AY532" s="283">
        <f>IF(COUNTIF(V532:X532,"NA")=3,0,IF(COUNTA(V532:X532)=0,0,IF(OR(AND(V532=0,AW532&gt;0),AND(V532="ns",AX532&gt;0),AND(V532="ns",AW532=0,AX532=0)),1,IF(OR(AND(V532&gt;0,AW532=2),AND(V532="ns",AW532=2),AND(V532="ns",AX532=0,AW532&gt;0),V532=AX532),0,1))))</f>
        <v>0</v>
      </c>
      <c r="AZ532" s="283">
        <f>COUNTIF(Z532:AA532,"NS")</f>
        <v>0</v>
      </c>
      <c r="BA532" s="283">
        <f>SUM(Z532:AA532)</f>
        <v>0</v>
      </c>
      <c r="BB532" s="283">
        <f>IF(COUNTIF(Y532:AA532,"NA")=3,0,IF(COUNTA(Y532:AA532)=0,0,IF(OR(AND(Y532=0,AZ532&gt;0),AND(Y532="ns",BA532&gt;0),AND(Y532="ns",AZ532=0,BA532=0)),1,IF(OR(AND(Y532&gt;0,AZ532=2),AND(Y532="ns",AZ532=2),AND(Y532="ns",BA532=0,AZ532&gt;0),Y532=BA532),0,1))))</f>
        <v>0</v>
      </c>
      <c r="BC532" s="283">
        <f>COUNTIF(AC532:AD532,"NS")</f>
        <v>0</v>
      </c>
      <c r="BD532" s="283">
        <f>SUM(AC532:AD532)</f>
        <v>0</v>
      </c>
      <c r="BE532" s="283">
        <f>IF(COUNTIF(AB532:AD532,"NA")=3,0,IF(COUNTA(AB532:AD532)=0,0,IF(OR(AND(AB532=0,BC532&gt;0),AND(AB532="ns",BD532&gt;0),AND(AB532="ns",BC532=0,BD532=0)),1,IF(OR(AND(AB532&gt;0,BC532=2),AND(AB532="ns",BC532=2),AND(AB532="ns",BD532=0,BC532&gt;0),AB532=BD532),0,1))))</f>
        <v>0</v>
      </c>
      <c r="BF532">
        <f>IF(SUM(AB540:AD540)&gt;0,1,0)</f>
        <v>0</v>
      </c>
      <c r="BG532">
        <f t="shared" ref="BG532:BI539" si="496">IF(AND(G532="NS",P415="NS",S415="NS",V415="NS"),0,IF(AND(G532="NA",P415="NA",S415="NA",V415="NA"),0,IF(G532=SUM(P415,S415,V415),0,1)))</f>
        <v>0</v>
      </c>
      <c r="BH532">
        <f t="shared" si="496"/>
        <v>0</v>
      </c>
      <c r="BI532">
        <f t="shared" si="496"/>
        <v>0</v>
      </c>
    </row>
    <row r="533" spans="1:61" ht="15" customHeight="1">
      <c r="A533" s="50"/>
      <c r="B533" s="90"/>
      <c r="C533" s="98" t="s">
        <v>2517</v>
      </c>
      <c r="D533" s="796" t="str">
        <f>IF(CNSIPEE_2024_M2_Secc1!D43="","",CNSIPEE_2024_M2_Secc1!D43)</f>
        <v/>
      </c>
      <c r="E533" s="796"/>
      <c r="F533" s="796"/>
      <c r="G533" s="100"/>
      <c r="H533" s="100"/>
      <c r="I533" s="100"/>
      <c r="J533" s="100"/>
      <c r="K533" s="100"/>
      <c r="L533" s="100"/>
      <c r="M533" s="100"/>
      <c r="N533" s="100"/>
      <c r="O533" s="100"/>
      <c r="P533" s="100"/>
      <c r="Q533" s="100"/>
      <c r="R533" s="100"/>
      <c r="S533" s="100"/>
      <c r="T533" s="100"/>
      <c r="U533" s="100"/>
      <c r="V533" s="100"/>
      <c r="W533" s="100"/>
      <c r="X533" s="100"/>
      <c r="Y533" s="100"/>
      <c r="Z533" s="100"/>
      <c r="AA533" s="100"/>
      <c r="AB533" s="100"/>
      <c r="AC533" s="100"/>
      <c r="AD533" s="100"/>
      <c r="AG533" s="326">
        <f t="shared" ref="AG533:AG539" si="497">IF(AND(COUNTBLANK(D533)=0,COUNTA(G533:AD533)=24),0,IF(AND(COUNTBLANK(D533)=1,COUNTA(G533:AD533)=0),0,1))</f>
        <v>0</v>
      </c>
      <c r="AH533" s="283">
        <f t="shared" ref="AH533:AH539" si="498">COUNTIF(H533:I533,"NS")</f>
        <v>0</v>
      </c>
      <c r="AI533" s="283">
        <f t="shared" ref="AI533:AI539" si="499">SUM(H533:I533)</f>
        <v>0</v>
      </c>
      <c r="AJ533" s="283">
        <f t="shared" ref="AJ533:AJ539" si="500">IF(COUNTIF(G533:I533,"NA")=3,0,IF(COUNTA(G533:I533)=0,0,IF(OR(AND(G533=0,AH533&gt;0),AND(G533="ns",AI533&gt;0),AND(G533="ns",AH533=0,AI533=0)),1,IF(OR(AND(G533&gt;0,AH533=2),AND(G533="ns",AH533=2),AND(G533="ns",AI533=0,AH533&gt;0),G533=AI533),0,1))))</f>
        <v>0</v>
      </c>
      <c r="AK533" s="283">
        <f t="shared" ref="AK533:AK539" si="501">COUNTIF(K533:L533,"NS")</f>
        <v>0</v>
      </c>
      <c r="AL533" s="283">
        <f t="shared" ref="AL533:AL539" si="502">SUM(K533:L533)</f>
        <v>0</v>
      </c>
      <c r="AM533" s="283">
        <f t="shared" ref="AM533:AM539" si="503">IF(COUNTIF(J533:L533,"NA")=3,0,IF(COUNTA(J533:L533)=0,0,IF(OR(AND(J533=0,AK533&gt;0),AND(J533="ns",AL533&gt;0),AND(J533="ns",AK533=0,AL533=0)),1,IF(OR(AND(J533&gt;0,AK533=2),AND(J533="ns",AK533=2),AND(J533="ns",AL533=0,AK533&gt;0),J533=AL533),0,1))))</f>
        <v>0</v>
      </c>
      <c r="AN533" s="283">
        <f t="shared" ref="AN533:AN539" si="504">COUNTIF(N533:O533,"NS")</f>
        <v>0</v>
      </c>
      <c r="AO533" s="283">
        <f t="shared" ref="AO533:AO539" si="505">SUM(N533:O533)</f>
        <v>0</v>
      </c>
      <c r="AP533" s="283">
        <f t="shared" ref="AP533:AP539" si="506">IF(COUNTIF(M533:O533,"NA")=3,0,IF(COUNTA(M533:O533)=0,0,IF(OR(AND(M533=0,AN533&gt;0),AND(M533="ns",AO533&gt;0),AND(M533="ns",AN533=0,AO533=0)),1,IF(OR(AND(M533&gt;0,AN533=2),AND(M533="ns",AN533=2),AND(M533="ns",AO533=0,AN533&gt;0),M533=AO533),0,1))))</f>
        <v>0</v>
      </c>
      <c r="AQ533" s="283">
        <f t="shared" ref="AQ533:AQ539" si="507">COUNTIF(Q533:R533,"NS")</f>
        <v>0</v>
      </c>
      <c r="AR533" s="283">
        <f t="shared" ref="AR533:AR539" si="508">SUM(Q533:R533)</f>
        <v>0</v>
      </c>
      <c r="AS533" s="283">
        <f t="shared" ref="AS533:AS539" si="509">IF(COUNTIF(P533:R533,"NA")=3,0,IF(COUNTA(P533:R533)=0,0,IF(OR(AND(P533=0,AQ533&gt;0),AND(P533="ns",AR533&gt;0),AND(P533="ns",AQ533=0,AR533=0)),1,IF(OR(AND(P533&gt;0,AQ533=2),AND(P533="ns",AQ533=2),AND(P533="ns",AR533=0,AQ533&gt;0),P533=AR533),0,1))))</f>
        <v>0</v>
      </c>
      <c r="AT533" s="283">
        <f t="shared" ref="AT533:AT539" si="510">COUNTIF(T533:U533,"NS")</f>
        <v>0</v>
      </c>
      <c r="AU533" s="283">
        <f t="shared" ref="AU533:AU539" si="511">SUM(T533:U533)</f>
        <v>0</v>
      </c>
      <c r="AV533" s="283">
        <f t="shared" ref="AV533:AV539" si="512">IF(COUNTIF(S533:U533,"NA")=3,0,IF(COUNTA(S533:U533)=0,0,IF(OR(AND(S533=0,AT533&gt;0),AND(S533="ns",AU533&gt;0),AND(S533="ns",AT533=0,AU533=0)),1,IF(OR(AND(S533&gt;0,AT533=2),AND(S533="ns",AT533=2),AND(S533="ns",AU533=0,AT533&gt;0),S533=AU533),0,1))))</f>
        <v>0</v>
      </c>
      <c r="AW533" s="283">
        <f t="shared" ref="AW533:AW539" si="513">COUNTIF(W533:X533,"NS")</f>
        <v>0</v>
      </c>
      <c r="AX533" s="283">
        <f t="shared" ref="AX533:AX539" si="514">SUM(W533:X533)</f>
        <v>0</v>
      </c>
      <c r="AY533" s="283">
        <f t="shared" ref="AY533:AY539" si="515">IF(COUNTIF(V533:X533,"NA")=3,0,IF(COUNTA(V533:X533)=0,0,IF(OR(AND(V533=0,AW533&gt;0),AND(V533="ns",AX533&gt;0),AND(V533="ns",AW533=0,AX533=0)),1,IF(OR(AND(V533&gt;0,AW533=2),AND(V533="ns",AW533=2),AND(V533="ns",AX533=0,AW533&gt;0),V533=AX533),0,1))))</f>
        <v>0</v>
      </c>
      <c r="AZ533" s="283">
        <f t="shared" ref="AZ533:AZ539" si="516">COUNTIF(Z533:AA533,"NS")</f>
        <v>0</v>
      </c>
      <c r="BA533" s="283">
        <f t="shared" ref="BA533:BA539" si="517">SUM(Z533:AA533)</f>
        <v>0</v>
      </c>
      <c r="BB533" s="283">
        <f t="shared" ref="BB533:BB539" si="518">IF(COUNTIF(Y533:AA533,"NA")=3,0,IF(COUNTA(Y533:AA533)=0,0,IF(OR(AND(Y533=0,AZ533&gt;0),AND(Y533="ns",BA533&gt;0),AND(Y533="ns",AZ533=0,BA533=0)),1,IF(OR(AND(Y533&gt;0,AZ533=2),AND(Y533="ns",AZ533=2),AND(Y533="ns",BA533=0,AZ533&gt;0),Y533=BA533),0,1))))</f>
        <v>0</v>
      </c>
      <c r="BC533" s="283">
        <f t="shared" ref="BC533:BC539" si="519">COUNTIF(AC533:AD533,"NS")</f>
        <v>0</v>
      </c>
      <c r="BD533" s="283">
        <f t="shared" ref="BD533:BD539" si="520">SUM(AC533:AD533)</f>
        <v>0</v>
      </c>
      <c r="BE533" s="283">
        <f t="shared" ref="BE533:BE539" si="521">IF(COUNTIF(AB533:AD533,"NA")=3,0,IF(COUNTA(AB533:AD533)=0,0,IF(OR(AND(AB533=0,BC533&gt;0),AND(AB533="ns",BD533&gt;0),AND(AB533="ns",BC533=0,BD533=0)),1,IF(OR(AND(AB533&gt;0,BC533=2),AND(AB533="ns",BC533=2),AND(AB533="ns",BD533=0,BC533&gt;0),AB533=BD533),0,1))))</f>
        <v>0</v>
      </c>
      <c r="BG533">
        <f t="shared" si="496"/>
        <v>0</v>
      </c>
      <c r="BH533">
        <f t="shared" si="496"/>
        <v>0</v>
      </c>
      <c r="BI533">
        <f t="shared" si="496"/>
        <v>0</v>
      </c>
    </row>
    <row r="534" spans="1:61" ht="15" customHeight="1">
      <c r="A534" s="50"/>
      <c r="B534" s="90"/>
      <c r="C534" s="98" t="s">
        <v>2518</v>
      </c>
      <c r="D534" s="796" t="str">
        <f>IF(CNSIPEE_2024_M2_Secc1!D44="","",CNSIPEE_2024_M2_Secc1!D44)</f>
        <v/>
      </c>
      <c r="E534" s="796"/>
      <c r="F534" s="796"/>
      <c r="G534" s="100"/>
      <c r="H534" s="100"/>
      <c r="I534" s="100"/>
      <c r="J534" s="100"/>
      <c r="K534" s="100"/>
      <c r="L534" s="100"/>
      <c r="M534" s="100"/>
      <c r="N534" s="100"/>
      <c r="O534" s="100"/>
      <c r="P534" s="100"/>
      <c r="Q534" s="100"/>
      <c r="R534" s="100"/>
      <c r="S534" s="100"/>
      <c r="T534" s="100"/>
      <c r="U534" s="100"/>
      <c r="V534" s="100"/>
      <c r="W534" s="100"/>
      <c r="X534" s="100"/>
      <c r="Y534" s="100"/>
      <c r="Z534" s="100"/>
      <c r="AA534" s="100"/>
      <c r="AB534" s="100"/>
      <c r="AC534" s="100"/>
      <c r="AD534" s="100"/>
      <c r="AG534" s="326">
        <f t="shared" si="497"/>
        <v>0</v>
      </c>
      <c r="AH534" s="283">
        <f t="shared" si="498"/>
        <v>0</v>
      </c>
      <c r="AI534" s="283">
        <f t="shared" si="499"/>
        <v>0</v>
      </c>
      <c r="AJ534" s="283">
        <f t="shared" si="500"/>
        <v>0</v>
      </c>
      <c r="AK534" s="283">
        <f t="shared" si="501"/>
        <v>0</v>
      </c>
      <c r="AL534" s="283">
        <f t="shared" si="502"/>
        <v>0</v>
      </c>
      <c r="AM534" s="283">
        <f t="shared" si="503"/>
        <v>0</v>
      </c>
      <c r="AN534" s="283">
        <f t="shared" si="504"/>
        <v>0</v>
      </c>
      <c r="AO534" s="283">
        <f t="shared" si="505"/>
        <v>0</v>
      </c>
      <c r="AP534" s="283">
        <f t="shared" si="506"/>
        <v>0</v>
      </c>
      <c r="AQ534" s="283">
        <f t="shared" si="507"/>
        <v>0</v>
      </c>
      <c r="AR534" s="283">
        <f t="shared" si="508"/>
        <v>0</v>
      </c>
      <c r="AS534" s="283">
        <f t="shared" si="509"/>
        <v>0</v>
      </c>
      <c r="AT534" s="283">
        <f t="shared" si="510"/>
        <v>0</v>
      </c>
      <c r="AU534" s="283">
        <f t="shared" si="511"/>
        <v>0</v>
      </c>
      <c r="AV534" s="283">
        <f t="shared" si="512"/>
        <v>0</v>
      </c>
      <c r="AW534" s="283">
        <f t="shared" si="513"/>
        <v>0</v>
      </c>
      <c r="AX534" s="283">
        <f t="shared" si="514"/>
        <v>0</v>
      </c>
      <c r="AY534" s="283">
        <f t="shared" si="515"/>
        <v>0</v>
      </c>
      <c r="AZ534" s="283">
        <f t="shared" si="516"/>
        <v>0</v>
      </c>
      <c r="BA534" s="283">
        <f t="shared" si="517"/>
        <v>0</v>
      </c>
      <c r="BB534" s="283">
        <f t="shared" si="518"/>
        <v>0</v>
      </c>
      <c r="BC534" s="283">
        <f t="shared" si="519"/>
        <v>0</v>
      </c>
      <c r="BD534" s="283">
        <f t="shared" si="520"/>
        <v>0</v>
      </c>
      <c r="BE534" s="283">
        <f t="shared" si="521"/>
        <v>0</v>
      </c>
      <c r="BG534">
        <f t="shared" si="496"/>
        <v>0</v>
      </c>
      <c r="BH534">
        <f t="shared" si="496"/>
        <v>0</v>
      </c>
      <c r="BI534">
        <f t="shared" si="496"/>
        <v>0</v>
      </c>
    </row>
    <row r="535" spans="1:61" ht="15" customHeight="1">
      <c r="A535" s="50"/>
      <c r="B535" s="90"/>
      <c r="C535" s="98" t="s">
        <v>2519</v>
      </c>
      <c r="D535" s="796" t="str">
        <f>IF(CNSIPEE_2024_M2_Secc1!D45="","",CNSIPEE_2024_M2_Secc1!D45)</f>
        <v/>
      </c>
      <c r="E535" s="796"/>
      <c r="F535" s="796"/>
      <c r="G535" s="100"/>
      <c r="H535" s="100"/>
      <c r="I535" s="100"/>
      <c r="J535" s="100"/>
      <c r="K535" s="100"/>
      <c r="L535" s="100"/>
      <c r="M535" s="100"/>
      <c r="N535" s="100"/>
      <c r="O535" s="100"/>
      <c r="P535" s="100"/>
      <c r="Q535" s="100"/>
      <c r="R535" s="100"/>
      <c r="S535" s="100"/>
      <c r="T535" s="100"/>
      <c r="U535" s="100"/>
      <c r="V535" s="100"/>
      <c r="W535" s="100"/>
      <c r="X535" s="100"/>
      <c r="Y535" s="100"/>
      <c r="Z535" s="100"/>
      <c r="AA535" s="100"/>
      <c r="AB535" s="100"/>
      <c r="AC535" s="100"/>
      <c r="AD535" s="100"/>
      <c r="AG535" s="326">
        <f t="shared" si="497"/>
        <v>0</v>
      </c>
      <c r="AH535" s="283">
        <f t="shared" si="498"/>
        <v>0</v>
      </c>
      <c r="AI535" s="283">
        <f t="shared" si="499"/>
        <v>0</v>
      </c>
      <c r="AJ535" s="283">
        <f t="shared" si="500"/>
        <v>0</v>
      </c>
      <c r="AK535" s="283">
        <f t="shared" si="501"/>
        <v>0</v>
      </c>
      <c r="AL535" s="283">
        <f t="shared" si="502"/>
        <v>0</v>
      </c>
      <c r="AM535" s="283">
        <f t="shared" si="503"/>
        <v>0</v>
      </c>
      <c r="AN535" s="283">
        <f t="shared" si="504"/>
        <v>0</v>
      </c>
      <c r="AO535" s="283">
        <f t="shared" si="505"/>
        <v>0</v>
      </c>
      <c r="AP535" s="283">
        <f t="shared" si="506"/>
        <v>0</v>
      </c>
      <c r="AQ535" s="283">
        <f t="shared" si="507"/>
        <v>0</v>
      </c>
      <c r="AR535" s="283">
        <f t="shared" si="508"/>
        <v>0</v>
      </c>
      <c r="AS535" s="283">
        <f t="shared" si="509"/>
        <v>0</v>
      </c>
      <c r="AT535" s="283">
        <f t="shared" si="510"/>
        <v>0</v>
      </c>
      <c r="AU535" s="283">
        <f t="shared" si="511"/>
        <v>0</v>
      </c>
      <c r="AV535" s="283">
        <f t="shared" si="512"/>
        <v>0</v>
      </c>
      <c r="AW535" s="283">
        <f t="shared" si="513"/>
        <v>0</v>
      </c>
      <c r="AX535" s="283">
        <f t="shared" si="514"/>
        <v>0</v>
      </c>
      <c r="AY535" s="283">
        <f t="shared" si="515"/>
        <v>0</v>
      </c>
      <c r="AZ535" s="283">
        <f t="shared" si="516"/>
        <v>0</v>
      </c>
      <c r="BA535" s="283">
        <f t="shared" si="517"/>
        <v>0</v>
      </c>
      <c r="BB535" s="283">
        <f t="shared" si="518"/>
        <v>0</v>
      </c>
      <c r="BC535" s="283">
        <f t="shared" si="519"/>
        <v>0</v>
      </c>
      <c r="BD535" s="283">
        <f t="shared" si="520"/>
        <v>0</v>
      </c>
      <c r="BE535" s="283">
        <f t="shared" si="521"/>
        <v>0</v>
      </c>
      <c r="BG535">
        <f t="shared" si="496"/>
        <v>0</v>
      </c>
      <c r="BH535">
        <f t="shared" si="496"/>
        <v>0</v>
      </c>
      <c r="BI535">
        <f t="shared" si="496"/>
        <v>0</v>
      </c>
    </row>
    <row r="536" spans="1:61" ht="15" customHeight="1">
      <c r="A536" s="50"/>
      <c r="B536" s="90"/>
      <c r="C536" s="98" t="s">
        <v>2520</v>
      </c>
      <c r="D536" s="796" t="str">
        <f>IF(CNSIPEE_2024_M2_Secc1!D46="","",CNSIPEE_2024_M2_Secc1!D46)</f>
        <v/>
      </c>
      <c r="E536" s="796"/>
      <c r="F536" s="796"/>
      <c r="G536" s="100"/>
      <c r="H536" s="100"/>
      <c r="I536" s="100"/>
      <c r="J536" s="100"/>
      <c r="K536" s="100"/>
      <c r="L536" s="100"/>
      <c r="M536" s="100"/>
      <c r="N536" s="100"/>
      <c r="O536" s="100"/>
      <c r="P536" s="100"/>
      <c r="Q536" s="100"/>
      <c r="R536" s="100"/>
      <c r="S536" s="100"/>
      <c r="T536" s="100"/>
      <c r="U536" s="100"/>
      <c r="V536" s="100"/>
      <c r="W536" s="100"/>
      <c r="X536" s="100"/>
      <c r="Y536" s="100"/>
      <c r="Z536" s="100"/>
      <c r="AA536" s="100"/>
      <c r="AB536" s="100"/>
      <c r="AC536" s="100"/>
      <c r="AD536" s="100"/>
      <c r="AG536" s="326">
        <f t="shared" si="497"/>
        <v>0</v>
      </c>
      <c r="AH536" s="283">
        <f t="shared" si="498"/>
        <v>0</v>
      </c>
      <c r="AI536" s="283">
        <f t="shared" si="499"/>
        <v>0</v>
      </c>
      <c r="AJ536" s="283">
        <f t="shared" si="500"/>
        <v>0</v>
      </c>
      <c r="AK536" s="283">
        <f t="shared" si="501"/>
        <v>0</v>
      </c>
      <c r="AL536" s="283">
        <f t="shared" si="502"/>
        <v>0</v>
      </c>
      <c r="AM536" s="283">
        <f t="shared" si="503"/>
        <v>0</v>
      </c>
      <c r="AN536" s="283">
        <f t="shared" si="504"/>
        <v>0</v>
      </c>
      <c r="AO536" s="283">
        <f t="shared" si="505"/>
        <v>0</v>
      </c>
      <c r="AP536" s="283">
        <f t="shared" si="506"/>
        <v>0</v>
      </c>
      <c r="AQ536" s="283">
        <f t="shared" si="507"/>
        <v>0</v>
      </c>
      <c r="AR536" s="283">
        <f t="shared" si="508"/>
        <v>0</v>
      </c>
      <c r="AS536" s="283">
        <f t="shared" si="509"/>
        <v>0</v>
      </c>
      <c r="AT536" s="283">
        <f t="shared" si="510"/>
        <v>0</v>
      </c>
      <c r="AU536" s="283">
        <f t="shared" si="511"/>
        <v>0</v>
      </c>
      <c r="AV536" s="283">
        <f t="shared" si="512"/>
        <v>0</v>
      </c>
      <c r="AW536" s="283">
        <f t="shared" si="513"/>
        <v>0</v>
      </c>
      <c r="AX536" s="283">
        <f t="shared" si="514"/>
        <v>0</v>
      </c>
      <c r="AY536" s="283">
        <f t="shared" si="515"/>
        <v>0</v>
      </c>
      <c r="AZ536" s="283">
        <f t="shared" si="516"/>
        <v>0</v>
      </c>
      <c r="BA536" s="283">
        <f t="shared" si="517"/>
        <v>0</v>
      </c>
      <c r="BB536" s="283">
        <f t="shared" si="518"/>
        <v>0</v>
      </c>
      <c r="BC536" s="283">
        <f t="shared" si="519"/>
        <v>0</v>
      </c>
      <c r="BD536" s="283">
        <f t="shared" si="520"/>
        <v>0</v>
      </c>
      <c r="BE536" s="283">
        <f t="shared" si="521"/>
        <v>0</v>
      </c>
      <c r="BG536">
        <f t="shared" si="496"/>
        <v>0</v>
      </c>
      <c r="BH536">
        <f t="shared" si="496"/>
        <v>0</v>
      </c>
      <c r="BI536">
        <f t="shared" si="496"/>
        <v>0</v>
      </c>
    </row>
    <row r="537" spans="1:61" ht="15" customHeight="1">
      <c r="A537" s="50"/>
      <c r="B537" s="90"/>
      <c r="C537" s="98" t="s">
        <v>2521</v>
      </c>
      <c r="D537" s="796" t="str">
        <f>IF(CNSIPEE_2024_M2_Secc1!D47="","",CNSIPEE_2024_M2_Secc1!D47)</f>
        <v/>
      </c>
      <c r="E537" s="796"/>
      <c r="F537" s="796"/>
      <c r="G537" s="100"/>
      <c r="H537" s="100"/>
      <c r="I537" s="100"/>
      <c r="J537" s="100"/>
      <c r="K537" s="100"/>
      <c r="L537" s="100"/>
      <c r="M537" s="100"/>
      <c r="N537" s="100"/>
      <c r="O537" s="100"/>
      <c r="P537" s="100"/>
      <c r="Q537" s="100"/>
      <c r="R537" s="100"/>
      <c r="S537" s="100"/>
      <c r="T537" s="100"/>
      <c r="U537" s="100"/>
      <c r="V537" s="100"/>
      <c r="W537" s="100"/>
      <c r="X537" s="100"/>
      <c r="Y537" s="100"/>
      <c r="Z537" s="100"/>
      <c r="AA537" s="100"/>
      <c r="AB537" s="100"/>
      <c r="AC537" s="100"/>
      <c r="AD537" s="100"/>
      <c r="AG537" s="326">
        <f t="shared" si="497"/>
        <v>0</v>
      </c>
      <c r="AH537" s="283">
        <f t="shared" si="498"/>
        <v>0</v>
      </c>
      <c r="AI537" s="283">
        <f t="shared" si="499"/>
        <v>0</v>
      </c>
      <c r="AJ537" s="283">
        <f t="shared" si="500"/>
        <v>0</v>
      </c>
      <c r="AK537" s="283">
        <f t="shared" si="501"/>
        <v>0</v>
      </c>
      <c r="AL537" s="283">
        <f t="shared" si="502"/>
        <v>0</v>
      </c>
      <c r="AM537" s="283">
        <f t="shared" si="503"/>
        <v>0</v>
      </c>
      <c r="AN537" s="283">
        <f t="shared" si="504"/>
        <v>0</v>
      </c>
      <c r="AO537" s="283">
        <f t="shared" si="505"/>
        <v>0</v>
      </c>
      <c r="AP537" s="283">
        <f t="shared" si="506"/>
        <v>0</v>
      </c>
      <c r="AQ537" s="283">
        <f t="shared" si="507"/>
        <v>0</v>
      </c>
      <c r="AR537" s="283">
        <f t="shared" si="508"/>
        <v>0</v>
      </c>
      <c r="AS537" s="283">
        <f t="shared" si="509"/>
        <v>0</v>
      </c>
      <c r="AT537" s="283">
        <f t="shared" si="510"/>
        <v>0</v>
      </c>
      <c r="AU537" s="283">
        <f t="shared" si="511"/>
        <v>0</v>
      </c>
      <c r="AV537" s="283">
        <f t="shared" si="512"/>
        <v>0</v>
      </c>
      <c r="AW537" s="283">
        <f t="shared" si="513"/>
        <v>0</v>
      </c>
      <c r="AX537" s="283">
        <f t="shared" si="514"/>
        <v>0</v>
      </c>
      <c r="AY537" s="283">
        <f t="shared" si="515"/>
        <v>0</v>
      </c>
      <c r="AZ537" s="283">
        <f t="shared" si="516"/>
        <v>0</v>
      </c>
      <c r="BA537" s="283">
        <f t="shared" si="517"/>
        <v>0</v>
      </c>
      <c r="BB537" s="283">
        <f t="shared" si="518"/>
        <v>0</v>
      </c>
      <c r="BC537" s="283">
        <f t="shared" si="519"/>
        <v>0</v>
      </c>
      <c r="BD537" s="283">
        <f t="shared" si="520"/>
        <v>0</v>
      </c>
      <c r="BE537" s="283">
        <f t="shared" si="521"/>
        <v>0</v>
      </c>
      <c r="BG537">
        <f t="shared" si="496"/>
        <v>0</v>
      </c>
      <c r="BH537">
        <f t="shared" si="496"/>
        <v>0</v>
      </c>
      <c r="BI537">
        <f t="shared" si="496"/>
        <v>0</v>
      </c>
    </row>
    <row r="538" spans="1:61" ht="15" customHeight="1">
      <c r="A538" s="50"/>
      <c r="B538" s="90"/>
      <c r="C538" s="98" t="s">
        <v>2522</v>
      </c>
      <c r="D538" s="796" t="str">
        <f>IF(CNSIPEE_2024_M2_Secc1!D48="","",CNSIPEE_2024_M2_Secc1!D48)</f>
        <v/>
      </c>
      <c r="E538" s="796"/>
      <c r="F538" s="796"/>
      <c r="G538" s="100"/>
      <c r="H538" s="100"/>
      <c r="I538" s="100"/>
      <c r="J538" s="100"/>
      <c r="K538" s="100"/>
      <c r="L538" s="100"/>
      <c r="M538" s="100"/>
      <c r="N538" s="100"/>
      <c r="O538" s="100"/>
      <c r="P538" s="100"/>
      <c r="Q538" s="100"/>
      <c r="R538" s="100"/>
      <c r="S538" s="100"/>
      <c r="T538" s="100"/>
      <c r="U538" s="100"/>
      <c r="V538" s="100"/>
      <c r="W538" s="100"/>
      <c r="X538" s="100"/>
      <c r="Y538" s="100"/>
      <c r="Z538" s="100"/>
      <c r="AA538" s="100"/>
      <c r="AB538" s="100"/>
      <c r="AC538" s="100"/>
      <c r="AD538" s="100"/>
      <c r="AG538" s="326">
        <f t="shared" si="497"/>
        <v>0</v>
      </c>
      <c r="AH538" s="283">
        <f t="shared" si="498"/>
        <v>0</v>
      </c>
      <c r="AI538" s="283">
        <f t="shared" si="499"/>
        <v>0</v>
      </c>
      <c r="AJ538" s="283">
        <f t="shared" si="500"/>
        <v>0</v>
      </c>
      <c r="AK538" s="283">
        <f t="shared" si="501"/>
        <v>0</v>
      </c>
      <c r="AL538" s="283">
        <f t="shared" si="502"/>
        <v>0</v>
      </c>
      <c r="AM538" s="283">
        <f t="shared" si="503"/>
        <v>0</v>
      </c>
      <c r="AN538" s="283">
        <f t="shared" si="504"/>
        <v>0</v>
      </c>
      <c r="AO538" s="283">
        <f t="shared" si="505"/>
        <v>0</v>
      </c>
      <c r="AP538" s="283">
        <f t="shared" si="506"/>
        <v>0</v>
      </c>
      <c r="AQ538" s="283">
        <f t="shared" si="507"/>
        <v>0</v>
      </c>
      <c r="AR538" s="283">
        <f t="shared" si="508"/>
        <v>0</v>
      </c>
      <c r="AS538" s="283">
        <f t="shared" si="509"/>
        <v>0</v>
      </c>
      <c r="AT538" s="283">
        <f t="shared" si="510"/>
        <v>0</v>
      </c>
      <c r="AU538" s="283">
        <f t="shared" si="511"/>
        <v>0</v>
      </c>
      <c r="AV538" s="283">
        <f t="shared" si="512"/>
        <v>0</v>
      </c>
      <c r="AW538" s="283">
        <f t="shared" si="513"/>
        <v>0</v>
      </c>
      <c r="AX538" s="283">
        <f t="shared" si="514"/>
        <v>0</v>
      </c>
      <c r="AY538" s="283">
        <f t="shared" si="515"/>
        <v>0</v>
      </c>
      <c r="AZ538" s="283">
        <f t="shared" si="516"/>
        <v>0</v>
      </c>
      <c r="BA538" s="283">
        <f t="shared" si="517"/>
        <v>0</v>
      </c>
      <c r="BB538" s="283">
        <f t="shared" si="518"/>
        <v>0</v>
      </c>
      <c r="BC538" s="283">
        <f t="shared" si="519"/>
        <v>0</v>
      </c>
      <c r="BD538" s="283">
        <f t="shared" si="520"/>
        <v>0</v>
      </c>
      <c r="BE538" s="283">
        <f t="shared" si="521"/>
        <v>0</v>
      </c>
      <c r="BG538">
        <f t="shared" si="496"/>
        <v>0</v>
      </c>
      <c r="BH538">
        <f t="shared" si="496"/>
        <v>0</v>
      </c>
      <c r="BI538">
        <f t="shared" si="496"/>
        <v>0</v>
      </c>
    </row>
    <row r="539" spans="1:61" ht="15" customHeight="1">
      <c r="A539" s="50"/>
      <c r="B539" s="90"/>
      <c r="C539" s="98" t="s">
        <v>2523</v>
      </c>
      <c r="D539" s="796" t="str">
        <f>IF(CNSIPEE_2024_M2_Secc1!D49="","",CNSIPEE_2024_M2_Secc1!D49)</f>
        <v/>
      </c>
      <c r="E539" s="796"/>
      <c r="F539" s="796"/>
      <c r="G539" s="100"/>
      <c r="H539" s="100"/>
      <c r="I539" s="100"/>
      <c r="J539" s="100"/>
      <c r="K539" s="100"/>
      <c r="L539" s="100"/>
      <c r="M539" s="100"/>
      <c r="N539" s="100"/>
      <c r="O539" s="100"/>
      <c r="P539" s="100"/>
      <c r="Q539" s="100"/>
      <c r="R539" s="100"/>
      <c r="S539" s="100"/>
      <c r="T539" s="100"/>
      <c r="U539" s="100"/>
      <c r="V539" s="100"/>
      <c r="W539" s="100"/>
      <c r="X539" s="100"/>
      <c r="Y539" s="100"/>
      <c r="Z539" s="100"/>
      <c r="AA539" s="100"/>
      <c r="AB539" s="100"/>
      <c r="AC539" s="100"/>
      <c r="AD539" s="100"/>
      <c r="AG539" s="326">
        <f t="shared" si="497"/>
        <v>0</v>
      </c>
      <c r="AH539" s="283">
        <f t="shared" si="498"/>
        <v>0</v>
      </c>
      <c r="AI539" s="283">
        <f t="shared" si="499"/>
        <v>0</v>
      </c>
      <c r="AJ539" s="283">
        <f t="shared" si="500"/>
        <v>0</v>
      </c>
      <c r="AK539" s="283">
        <f t="shared" si="501"/>
        <v>0</v>
      </c>
      <c r="AL539" s="283">
        <f t="shared" si="502"/>
        <v>0</v>
      </c>
      <c r="AM539" s="283">
        <f t="shared" si="503"/>
        <v>0</v>
      </c>
      <c r="AN539" s="283">
        <f t="shared" si="504"/>
        <v>0</v>
      </c>
      <c r="AO539" s="283">
        <f t="shared" si="505"/>
        <v>0</v>
      </c>
      <c r="AP539" s="283">
        <f t="shared" si="506"/>
        <v>0</v>
      </c>
      <c r="AQ539" s="283">
        <f t="shared" si="507"/>
        <v>0</v>
      </c>
      <c r="AR539" s="283">
        <f t="shared" si="508"/>
        <v>0</v>
      </c>
      <c r="AS539" s="283">
        <f t="shared" si="509"/>
        <v>0</v>
      </c>
      <c r="AT539" s="283">
        <f t="shared" si="510"/>
        <v>0</v>
      </c>
      <c r="AU539" s="283">
        <f t="shared" si="511"/>
        <v>0</v>
      </c>
      <c r="AV539" s="283">
        <f t="shared" si="512"/>
        <v>0</v>
      </c>
      <c r="AW539" s="283">
        <f t="shared" si="513"/>
        <v>0</v>
      </c>
      <c r="AX539" s="283">
        <f t="shared" si="514"/>
        <v>0</v>
      </c>
      <c r="AY539" s="283">
        <f t="shared" si="515"/>
        <v>0</v>
      </c>
      <c r="AZ539" s="283">
        <f t="shared" si="516"/>
        <v>0</v>
      </c>
      <c r="BA539" s="283">
        <f t="shared" si="517"/>
        <v>0</v>
      </c>
      <c r="BB539" s="283">
        <f t="shared" si="518"/>
        <v>0</v>
      </c>
      <c r="BC539" s="283">
        <f t="shared" si="519"/>
        <v>0</v>
      </c>
      <c r="BD539" s="283">
        <f t="shared" si="520"/>
        <v>0</v>
      </c>
      <c r="BE539" s="283">
        <f t="shared" si="521"/>
        <v>0</v>
      </c>
      <c r="BG539">
        <f t="shared" si="496"/>
        <v>0</v>
      </c>
      <c r="BH539">
        <f t="shared" si="496"/>
        <v>0</v>
      </c>
      <c r="BI539">
        <f t="shared" si="496"/>
        <v>0</v>
      </c>
    </row>
    <row r="540" spans="1:61" ht="15" customHeight="1">
      <c r="A540" s="50"/>
      <c r="B540" s="90"/>
      <c r="C540" s="70"/>
      <c r="D540" s="36"/>
      <c r="E540" s="36"/>
      <c r="F540" s="99" t="s">
        <v>2649</v>
      </c>
      <c r="G540" s="124">
        <f>IF(AND(SUM(G532:G539)=0,COUNTIF(G532:G539,"NS")&gt;0),"NS",
IF(AND(SUM(G532:G539)=0,COUNTIF(G532:G539,0)&gt;0),0,
IF(AND(SUM(G532:G539)=0,COUNTIF(G532:G539,"NA")&gt;0),"NA",
SUM(G532:G539))))</f>
        <v>0</v>
      </c>
      <c r="H540" s="124">
        <f t="shared" ref="H540:AD540" si="522">IF(AND(SUM(H532:H539)=0,COUNTIF(H532:H539,"NS")&gt;0),"NS",
IF(AND(SUM(H532:H539)=0,COUNTIF(H532:H539,0)&gt;0),0,
IF(AND(SUM(H532:H539)=0,COUNTIF(H532:H539,"NA")&gt;0),"NA",
SUM(H532:H539))))</f>
        <v>0</v>
      </c>
      <c r="I540" s="124">
        <f t="shared" si="522"/>
        <v>0</v>
      </c>
      <c r="J540" s="124">
        <f t="shared" si="522"/>
        <v>0</v>
      </c>
      <c r="K540" s="124">
        <f t="shared" si="522"/>
        <v>0</v>
      </c>
      <c r="L540" s="124">
        <f t="shared" si="522"/>
        <v>0</v>
      </c>
      <c r="M540" s="124">
        <f t="shared" si="522"/>
        <v>0</v>
      </c>
      <c r="N540" s="124">
        <f t="shared" si="522"/>
        <v>0</v>
      </c>
      <c r="O540" s="124">
        <f t="shared" si="522"/>
        <v>0</v>
      </c>
      <c r="P540" s="124">
        <f t="shared" si="522"/>
        <v>0</v>
      </c>
      <c r="Q540" s="124">
        <f t="shared" si="522"/>
        <v>0</v>
      </c>
      <c r="R540" s="124">
        <f t="shared" si="522"/>
        <v>0</v>
      </c>
      <c r="S540" s="124">
        <f t="shared" si="522"/>
        <v>0</v>
      </c>
      <c r="T540" s="124">
        <f t="shared" si="522"/>
        <v>0</v>
      </c>
      <c r="U540" s="124">
        <f t="shared" si="522"/>
        <v>0</v>
      </c>
      <c r="V540" s="124">
        <f t="shared" si="522"/>
        <v>0</v>
      </c>
      <c r="W540" s="124">
        <f t="shared" si="522"/>
        <v>0</v>
      </c>
      <c r="X540" s="124">
        <f t="shared" si="522"/>
        <v>0</v>
      </c>
      <c r="Y540" s="124">
        <f t="shared" si="522"/>
        <v>0</v>
      </c>
      <c r="Z540" s="124">
        <f t="shared" si="522"/>
        <v>0</v>
      </c>
      <c r="AA540" s="124">
        <f t="shared" si="522"/>
        <v>0</v>
      </c>
      <c r="AB540" s="124">
        <f t="shared" si="522"/>
        <v>0</v>
      </c>
      <c r="AC540" s="124">
        <f t="shared" si="522"/>
        <v>0</v>
      </c>
      <c r="AD540" s="124">
        <f t="shared" si="522"/>
        <v>0</v>
      </c>
      <c r="AG540" s="349">
        <f>SUM(AG532:AG539)</f>
        <v>0</v>
      </c>
      <c r="AH540" s="350">
        <f>SUM(AH532:AH539)</f>
        <v>0</v>
      </c>
      <c r="AI540" s="326"/>
      <c r="AJ540" s="352">
        <f>SUM(AJ532:AJ539)</f>
        <v>0</v>
      </c>
      <c r="AK540" s="350">
        <f t="shared" ref="AK540" si="523">SUM(AK532:AK539)</f>
        <v>0</v>
      </c>
      <c r="AL540" s="326"/>
      <c r="AM540" s="352">
        <f t="shared" ref="AM540:AN540" si="524">SUM(AM532:AM539)</f>
        <v>0</v>
      </c>
      <c r="AN540" s="350">
        <f t="shared" si="524"/>
        <v>0</v>
      </c>
      <c r="AO540" s="326"/>
      <c r="AP540" s="352">
        <f t="shared" ref="AP540:AQ540" si="525">SUM(AP532:AP539)</f>
        <v>0</v>
      </c>
      <c r="AQ540" s="350">
        <f t="shared" si="525"/>
        <v>0</v>
      </c>
      <c r="AR540" s="326"/>
      <c r="AS540" s="352">
        <f t="shared" ref="AS540:AT540" si="526">SUM(AS532:AS539)</f>
        <v>0</v>
      </c>
      <c r="AT540" s="350">
        <f t="shared" si="526"/>
        <v>0</v>
      </c>
      <c r="AU540" s="326"/>
      <c r="AV540" s="352">
        <f t="shared" ref="AV540:AW540" si="527">SUM(AV532:AV539)</f>
        <v>0</v>
      </c>
      <c r="AW540" s="350">
        <f t="shared" si="527"/>
        <v>0</v>
      </c>
      <c r="AX540" s="326"/>
      <c r="AY540" s="352">
        <f t="shared" ref="AY540:AZ540" si="528">SUM(AY532:AY539)</f>
        <v>0</v>
      </c>
      <c r="AZ540" s="350">
        <f t="shared" si="528"/>
        <v>0</v>
      </c>
      <c r="BA540" s="326"/>
      <c r="BB540" s="352">
        <f t="shared" ref="BB540:BC540" si="529">SUM(BB532:BB539)</f>
        <v>0</v>
      </c>
      <c r="BC540" s="350">
        <f t="shared" si="529"/>
        <v>0</v>
      </c>
      <c r="BD540" s="326"/>
      <c r="BE540" s="352">
        <f t="shared" ref="BE540" si="530">SUM(BE532:BE539)</f>
        <v>0</v>
      </c>
      <c r="BG540" s="370">
        <f>SUM(BG532:BG539)</f>
        <v>0</v>
      </c>
      <c r="BH540" s="371">
        <f>SUM(BH532:BH539)</f>
        <v>0</v>
      </c>
      <c r="BI540" s="372">
        <f>SUM(BI532:BI539)</f>
        <v>0</v>
      </c>
    </row>
    <row r="541" spans="1:61" ht="15" customHeight="1">
      <c r="A541" s="50"/>
      <c r="B541" s="90"/>
      <c r="C541" s="90"/>
      <c r="D541" s="90"/>
      <c r="E541" s="90"/>
      <c r="F541" s="90"/>
      <c r="G541" s="90"/>
      <c r="H541" s="90"/>
      <c r="I541" s="90"/>
      <c r="J541" s="90"/>
      <c r="K541" s="90"/>
      <c r="L541" s="90"/>
      <c r="M541" s="90"/>
      <c r="N541" s="90"/>
      <c r="O541" s="90"/>
      <c r="P541" s="90"/>
      <c r="Q541" s="90"/>
      <c r="R541" s="90"/>
      <c r="S541" s="90"/>
      <c r="T541" s="90"/>
      <c r="U541" s="90"/>
      <c r="V541" s="90"/>
      <c r="W541" s="90"/>
      <c r="X541" s="90"/>
      <c r="Y541" s="90"/>
      <c r="Z541" s="90"/>
      <c r="AA541" s="90"/>
      <c r="AB541" s="90"/>
      <c r="AC541" s="90"/>
      <c r="AD541" s="90"/>
      <c r="BG541"/>
      <c r="BH541"/>
      <c r="BI541" s="373">
        <f>SUM(BG540:BI540)</f>
        <v>0</v>
      </c>
    </row>
    <row r="542" spans="1:61" ht="45" customHeight="1">
      <c r="A542" s="50"/>
      <c r="B542" s="90"/>
      <c r="C542" s="822" t="s">
        <v>3350</v>
      </c>
      <c r="D542" s="822"/>
      <c r="E542" s="822"/>
      <c r="F542" s="749"/>
      <c r="G542" s="749"/>
      <c r="H542" s="749"/>
      <c r="I542" s="749"/>
      <c r="J542" s="749"/>
      <c r="K542" s="749"/>
      <c r="L542" s="749"/>
      <c r="M542" s="749"/>
      <c r="N542" s="749"/>
      <c r="O542" s="749"/>
      <c r="P542" s="749"/>
      <c r="Q542" s="749"/>
      <c r="R542" s="749"/>
      <c r="S542" s="749"/>
      <c r="T542" s="749"/>
      <c r="U542" s="749"/>
      <c r="V542" s="749"/>
      <c r="W542" s="749"/>
      <c r="X542" s="749"/>
      <c r="Y542" s="749"/>
      <c r="Z542" s="749"/>
      <c r="AA542" s="749"/>
      <c r="AB542" s="749"/>
      <c r="AC542" s="749"/>
      <c r="AD542" s="749"/>
      <c r="AI542" s="356" t="s">
        <v>2650</v>
      </c>
      <c r="AJ542" s="283">
        <f>SUM(AJ540,AM540,AP540,AS540,AV540,AY540,BB540,BE540)</f>
        <v>0</v>
      </c>
      <c r="AK542" s="355" t="s">
        <v>2651</v>
      </c>
      <c r="AL542" s="283">
        <f>SUM(AH540,AK540,AN540,AQ540,AT540,AW540,AZ540,BC540)</f>
        <v>0</v>
      </c>
      <c r="AM542" s="283"/>
      <c r="AN542" s="283"/>
    </row>
    <row r="543" spans="1:61" ht="15" customHeight="1">
      <c r="A543" s="50"/>
      <c r="B543" s="794" t="str">
        <f>IF(AND(BF532&gt;0,F542=""),"Ha registrado un valor mayor a cero en la col. Otro estatus debe anotar el nombre de dicho(s) estatus","")</f>
        <v/>
      </c>
      <c r="C543" s="794"/>
      <c r="D543" s="794"/>
      <c r="E543" s="794"/>
      <c r="F543" s="794"/>
      <c r="G543" s="794"/>
      <c r="H543" s="794"/>
      <c r="I543" s="794"/>
      <c r="J543" s="794"/>
      <c r="K543" s="794"/>
      <c r="L543" s="794"/>
      <c r="M543" s="794"/>
      <c r="N543" s="794"/>
      <c r="O543" s="794"/>
      <c r="P543" s="794"/>
      <c r="Q543" s="794"/>
      <c r="R543" s="794"/>
      <c r="S543" s="794"/>
      <c r="T543" s="794"/>
      <c r="U543" s="794"/>
      <c r="V543" s="794"/>
      <c r="W543" s="794"/>
      <c r="X543" s="794"/>
      <c r="Y543" s="794"/>
      <c r="Z543" s="794"/>
      <c r="AA543" s="794"/>
      <c r="AB543" s="794"/>
      <c r="AC543" s="794"/>
      <c r="AD543" s="794"/>
      <c r="AE543" s="794"/>
      <c r="AI543" s="357" t="s">
        <v>2652</v>
      </c>
      <c r="AJ543" s="283">
        <f>IF(AL542&gt;0,IF(SUM(G540)&gt;=SUM(J540,M540,P540,S540,V540,Y540,AB540),0,1),IF(SUM(G540)&lt;&gt;SUM(J540,M540,P540,S540,V540,Y540,AB540),1,0))</f>
        <v>0</v>
      </c>
      <c r="AK543" s="357" t="s">
        <v>2653</v>
      </c>
      <c r="AL543" s="283">
        <f>IF(AL542&gt;0,IF(SUM(H540)&gt;=SUM(K540,N540,Q540,T540,W540,Z540,AC540),0,1),IF(SUM(H540)&lt;&gt;SUM(K540,N540,Q540,T540,W540,Z540,AC540),1,0))</f>
        <v>0</v>
      </c>
      <c r="AM543" s="357" t="s">
        <v>2654</v>
      </c>
      <c r="AN543" s="283">
        <f>IF(AL542&gt;0,IF(SUM(I540)&gt;=SUM(L540,O540,R540,U540,X540,AA540,AD540),0,1),IF(SUM(I540)&lt;&gt;SUM(L540,O540,R540,U540,X540,AA540,AD540),1,0))</f>
        <v>0</v>
      </c>
    </row>
    <row r="544" spans="1:61" ht="24" customHeight="1">
      <c r="A544" s="50"/>
      <c r="B544" s="90"/>
      <c r="C544" s="754" t="s">
        <v>2611</v>
      </c>
      <c r="D544" s="754"/>
      <c r="E544" s="754"/>
      <c r="F544" s="754"/>
      <c r="G544" s="754"/>
      <c r="H544" s="754"/>
      <c r="I544" s="754"/>
      <c r="J544" s="754"/>
      <c r="K544" s="754"/>
      <c r="L544" s="754"/>
      <c r="M544" s="754"/>
      <c r="N544" s="754"/>
      <c r="O544" s="754"/>
      <c r="P544" s="754"/>
      <c r="Q544" s="754"/>
      <c r="R544" s="754"/>
      <c r="S544" s="754"/>
      <c r="T544" s="754"/>
      <c r="U544" s="754"/>
      <c r="V544" s="754"/>
      <c r="W544" s="754"/>
      <c r="X544" s="754"/>
      <c r="Y544" s="754"/>
      <c r="Z544" s="754"/>
      <c r="AA544" s="754"/>
      <c r="AB544" s="754"/>
      <c r="AC544" s="754"/>
      <c r="AD544" s="754"/>
    </row>
    <row r="545" spans="1:61" ht="60" customHeight="1">
      <c r="A545" s="50"/>
      <c r="B545" s="90"/>
      <c r="C545" s="851"/>
      <c r="D545" s="851"/>
      <c r="E545" s="851"/>
      <c r="F545" s="851"/>
      <c r="G545" s="851"/>
      <c r="H545" s="851"/>
      <c r="I545" s="851"/>
      <c r="J545" s="851"/>
      <c r="K545" s="851"/>
      <c r="L545" s="851"/>
      <c r="M545" s="851"/>
      <c r="N545" s="851"/>
      <c r="O545" s="851"/>
      <c r="P545" s="851"/>
      <c r="Q545" s="851"/>
      <c r="R545" s="851"/>
      <c r="S545" s="851"/>
      <c r="T545" s="851"/>
      <c r="U545" s="851"/>
      <c r="V545" s="851"/>
      <c r="W545" s="851"/>
      <c r="X545" s="851"/>
      <c r="Y545" s="851"/>
      <c r="Z545" s="851"/>
      <c r="AA545" s="851"/>
      <c r="AB545" s="851"/>
      <c r="AC545" s="851"/>
      <c r="AD545" s="851"/>
    </row>
    <row r="546" spans="1:61" ht="15" customHeight="1">
      <c r="A546" s="50"/>
      <c r="B546" s="794" t="str">
        <f>IF(AG540&gt;0,"Favor de ingresar toda la información requerida en la pregunta ","")</f>
        <v/>
      </c>
      <c r="C546" s="794"/>
      <c r="D546" s="794"/>
      <c r="E546" s="794"/>
      <c r="F546" s="794"/>
      <c r="G546" s="794"/>
      <c r="H546" s="794"/>
      <c r="I546" s="794"/>
      <c r="J546" s="794"/>
      <c r="K546" s="794"/>
      <c r="L546" s="794"/>
      <c r="M546" s="794"/>
      <c r="N546" s="794"/>
      <c r="O546" s="794"/>
      <c r="P546" s="794"/>
      <c r="Q546" s="794"/>
      <c r="R546" s="794"/>
      <c r="S546" s="794"/>
      <c r="T546" s="794"/>
      <c r="U546" s="794"/>
      <c r="V546" s="794"/>
      <c r="W546" s="794"/>
      <c r="X546" s="794"/>
      <c r="Y546" s="794"/>
      <c r="Z546" s="794"/>
      <c r="AA546" s="794"/>
      <c r="AB546" s="794"/>
      <c r="AC546" s="794"/>
      <c r="AD546" s="794"/>
      <c r="AE546"/>
    </row>
    <row r="547" spans="1:61" ht="15" customHeight="1">
      <c r="A547" s="50"/>
      <c r="B547" s="795" t="str">
        <f>IF(AL542&gt;0,"Alerta: debido a que cuenta con registros NS, debe proporcionar una justificación en el area de comentarios al final de la pregunta","")</f>
        <v/>
      </c>
      <c r="C547" s="795"/>
      <c r="D547" s="795"/>
      <c r="E547" s="795"/>
      <c r="F547" s="795"/>
      <c r="G547" s="795"/>
      <c r="H547" s="795"/>
      <c r="I547" s="795"/>
      <c r="J547" s="795"/>
      <c r="K547" s="795"/>
      <c r="L547" s="795"/>
      <c r="M547" s="795"/>
      <c r="N547" s="795"/>
      <c r="O547" s="795"/>
      <c r="P547" s="795"/>
      <c r="Q547" s="795"/>
      <c r="R547" s="795"/>
      <c r="S547" s="795"/>
      <c r="T547" s="795"/>
      <c r="U547" s="795"/>
      <c r="V547" s="795"/>
      <c r="W547" s="795"/>
      <c r="X547" s="795"/>
      <c r="Y547" s="795"/>
      <c r="Z547" s="795"/>
      <c r="AA547" s="795"/>
      <c r="AB547" s="795"/>
      <c r="AC547" s="795"/>
      <c r="AD547" s="795"/>
      <c r="AE547"/>
    </row>
    <row r="548" spans="1:61" ht="15" customHeight="1">
      <c r="A548" s="50"/>
      <c r="B548" s="794" t="str">
        <f>IF(OR(AJ542&gt;0,AJ543&gt;0,AL543&gt;0,AN543&gt;0),"Favor de revisar la suma y consistencia de totales y/o subtotales por filas (numéricos y NS)","")</f>
        <v/>
      </c>
      <c r="C548" s="794"/>
      <c r="D548" s="794"/>
      <c r="E548" s="794"/>
      <c r="F548" s="794"/>
      <c r="G548" s="794"/>
      <c r="H548" s="794"/>
      <c r="I548" s="794"/>
      <c r="J548" s="794"/>
      <c r="K548" s="794"/>
      <c r="L548" s="794"/>
      <c r="M548" s="794"/>
      <c r="N548" s="794"/>
      <c r="O548" s="794"/>
      <c r="P548" s="794"/>
      <c r="Q548" s="794"/>
      <c r="R548" s="794"/>
      <c r="S548" s="794"/>
      <c r="T548" s="794"/>
      <c r="U548" s="794"/>
      <c r="V548" s="794"/>
      <c r="W548" s="794"/>
      <c r="X548" s="794"/>
      <c r="Y548" s="794"/>
      <c r="Z548" s="794"/>
      <c r="AA548" s="794"/>
      <c r="AB548" s="794"/>
      <c r="AC548" s="794"/>
      <c r="AD548" s="794"/>
      <c r="AE548"/>
    </row>
    <row r="549" spans="1:61" ht="15" customHeight="1">
      <c r="A549" s="50"/>
      <c r="B549" s="795" t="str">
        <f>IF(BI541&gt;0,"Alerta: debe de proporcionar una justificación de acuerdo a lo establecido en la instrucción 1","")</f>
        <v/>
      </c>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row>
    <row r="550" spans="1:61" ht="15" customHeight="1">
      <c r="A550" s="50"/>
      <c r="B550" s="90"/>
      <c r="C550" s="90"/>
      <c r="D550" s="90"/>
      <c r="E550" s="90"/>
      <c r="F550" s="90"/>
      <c r="G550" s="90"/>
      <c r="H550" s="90"/>
      <c r="I550" s="90"/>
      <c r="J550" s="90"/>
      <c r="K550" s="90"/>
      <c r="L550" s="90"/>
      <c r="M550" s="90"/>
      <c r="N550" s="90"/>
      <c r="O550" s="90"/>
      <c r="P550" s="90"/>
      <c r="Q550" s="90"/>
      <c r="R550" s="90"/>
      <c r="S550" s="90"/>
      <c r="T550" s="90"/>
      <c r="U550" s="90"/>
      <c r="V550" s="90"/>
      <c r="W550" s="90"/>
      <c r="X550" s="90"/>
      <c r="Y550" s="90"/>
      <c r="Z550" s="90"/>
      <c r="AA550" s="90"/>
      <c r="AB550" s="90"/>
      <c r="AC550" s="90"/>
      <c r="AD550" s="90"/>
    </row>
    <row r="551" spans="1:61" ht="15" customHeight="1">
      <c r="A551" s="50"/>
      <c r="B551" s="90"/>
      <c r="C551" s="90"/>
      <c r="D551" s="90"/>
      <c r="E551" s="90"/>
      <c r="F551" s="90"/>
      <c r="G551" s="90"/>
      <c r="H551" s="90"/>
      <c r="I551" s="90"/>
      <c r="J551" s="90"/>
      <c r="K551" s="90"/>
      <c r="L551" s="90"/>
      <c r="M551" s="90"/>
      <c r="N551" s="90"/>
      <c r="O551" s="90"/>
      <c r="P551" s="90"/>
      <c r="Q551" s="90"/>
      <c r="R551" s="90"/>
      <c r="S551" s="90"/>
      <c r="T551" s="90"/>
      <c r="U551" s="90"/>
      <c r="V551" s="90"/>
      <c r="W551" s="90"/>
      <c r="X551" s="90"/>
      <c r="Y551" s="90"/>
      <c r="Z551" s="90"/>
      <c r="AA551" s="90"/>
      <c r="AB551" s="90"/>
      <c r="AC551" s="90"/>
      <c r="AD551" s="90"/>
    </row>
    <row r="552" spans="1:61" ht="15" customHeight="1">
      <c r="A552" s="50"/>
      <c r="B552" s="90"/>
      <c r="C552" s="45" t="s">
        <v>3352</v>
      </c>
      <c r="D552" s="90"/>
      <c r="E552" s="90"/>
      <c r="F552" s="90"/>
      <c r="G552" s="90"/>
      <c r="H552" s="90"/>
      <c r="I552" s="90"/>
      <c r="J552" s="90"/>
      <c r="K552" s="90"/>
      <c r="L552" s="90"/>
      <c r="M552" s="90"/>
      <c r="N552" s="90"/>
      <c r="O552" s="90"/>
      <c r="P552" s="90"/>
      <c r="Q552" s="90"/>
      <c r="R552" s="90"/>
      <c r="S552" s="90"/>
      <c r="T552" s="90"/>
      <c r="U552" s="90"/>
      <c r="V552" s="90"/>
      <c r="W552" s="90"/>
      <c r="X552" s="90"/>
      <c r="Y552" s="90"/>
      <c r="Z552" s="90"/>
      <c r="AA552" s="90"/>
      <c r="AB552" s="90"/>
      <c r="AC552" s="90"/>
      <c r="AD552" s="90"/>
    </row>
    <row r="553" spans="1:61" ht="15" customHeight="1">
      <c r="A553" s="50"/>
      <c r="B553" s="90"/>
      <c r="C553" s="90"/>
      <c r="D553" s="90"/>
      <c r="E553" s="90"/>
      <c r="F553" s="90"/>
      <c r="G553" s="90"/>
      <c r="H553" s="90"/>
      <c r="I553" s="90"/>
      <c r="J553" s="90"/>
      <c r="K553" s="90"/>
      <c r="L553" s="90"/>
      <c r="M553" s="90"/>
      <c r="N553" s="90"/>
      <c r="O553" s="90"/>
      <c r="P553" s="90"/>
      <c r="Q553" s="90"/>
      <c r="R553" s="90"/>
      <c r="S553" s="90"/>
      <c r="T553" s="90"/>
      <c r="U553" s="90"/>
      <c r="V553" s="90"/>
      <c r="W553" s="90"/>
      <c r="X553" s="90"/>
      <c r="Y553" s="90"/>
      <c r="Z553" s="90"/>
      <c r="AA553" s="90"/>
      <c r="AB553" s="90"/>
      <c r="AC553" s="90"/>
      <c r="AD553" s="90"/>
    </row>
    <row r="554" spans="1:61" ht="24" customHeight="1">
      <c r="A554" s="50"/>
      <c r="B554" s="90"/>
      <c r="C554" s="797" t="s">
        <v>2581</v>
      </c>
      <c r="D554" s="798"/>
      <c r="E554" s="798"/>
      <c r="F554" s="799"/>
      <c r="G554" s="739" t="s">
        <v>3341</v>
      </c>
      <c r="H554" s="740"/>
      <c r="I554" s="740"/>
      <c r="J554" s="740"/>
      <c r="K554" s="740"/>
      <c r="L554" s="740"/>
      <c r="M554" s="740"/>
      <c r="N554" s="740"/>
      <c r="O554" s="740"/>
      <c r="P554" s="740"/>
      <c r="Q554" s="740"/>
      <c r="R554" s="740"/>
      <c r="S554" s="740"/>
      <c r="T554" s="740"/>
      <c r="U554" s="740"/>
      <c r="V554" s="740"/>
      <c r="W554" s="740"/>
      <c r="X554" s="740"/>
      <c r="Y554" s="740"/>
      <c r="Z554" s="740"/>
      <c r="AA554" s="740"/>
      <c r="AB554" s="740"/>
      <c r="AC554" s="740"/>
      <c r="AD554" s="741"/>
    </row>
    <row r="555" spans="1:61" ht="108" customHeight="1">
      <c r="A555" s="50"/>
      <c r="B555" s="90"/>
      <c r="C555" s="800"/>
      <c r="D555" s="801"/>
      <c r="E555" s="801"/>
      <c r="F555" s="802"/>
      <c r="G555" s="874" t="s">
        <v>2628</v>
      </c>
      <c r="H555" s="857" t="s">
        <v>2629</v>
      </c>
      <c r="I555" s="857" t="s">
        <v>2630</v>
      </c>
      <c r="J555" s="857" t="s">
        <v>3342</v>
      </c>
      <c r="K555" s="857"/>
      <c r="L555" s="857"/>
      <c r="M555" s="857" t="s">
        <v>3343</v>
      </c>
      <c r="N555" s="857"/>
      <c r="O555" s="857"/>
      <c r="P555" s="857" t="s">
        <v>3344</v>
      </c>
      <c r="Q555" s="857"/>
      <c r="R555" s="857"/>
      <c r="S555" s="857" t="s">
        <v>3345</v>
      </c>
      <c r="T555" s="857"/>
      <c r="U555" s="857"/>
      <c r="V555" s="857" t="s">
        <v>3346</v>
      </c>
      <c r="W555" s="857"/>
      <c r="X555" s="857"/>
      <c r="Y555" s="857" t="s">
        <v>3347</v>
      </c>
      <c r="Z555" s="857"/>
      <c r="AA555" s="857"/>
      <c r="AB555" s="857" t="s">
        <v>3348</v>
      </c>
      <c r="AC555" s="857"/>
      <c r="AD555" s="857"/>
      <c r="BF555" s="940" t="s">
        <v>3349</v>
      </c>
      <c r="BG555" s="916" t="s">
        <v>3315</v>
      </c>
      <c r="BH555" s="916"/>
      <c r="BI555" s="916"/>
    </row>
    <row r="556" spans="1:61" ht="48" customHeight="1">
      <c r="A556" s="50"/>
      <c r="B556" s="90"/>
      <c r="C556" s="803"/>
      <c r="D556" s="804"/>
      <c r="E556" s="804"/>
      <c r="F556" s="805"/>
      <c r="G556" s="874"/>
      <c r="H556" s="857"/>
      <c r="I556" s="857"/>
      <c r="J556" s="127" t="s">
        <v>2635</v>
      </c>
      <c r="K556" s="128" t="s">
        <v>2629</v>
      </c>
      <c r="L556" s="128" t="s">
        <v>2630</v>
      </c>
      <c r="M556" s="127" t="s">
        <v>2635</v>
      </c>
      <c r="N556" s="128" t="s">
        <v>2629</v>
      </c>
      <c r="O556" s="128" t="s">
        <v>2630</v>
      </c>
      <c r="P556" s="127" t="s">
        <v>2635</v>
      </c>
      <c r="Q556" s="128" t="s">
        <v>2629</v>
      </c>
      <c r="R556" s="128" t="s">
        <v>2630</v>
      </c>
      <c r="S556" s="127" t="s">
        <v>2635</v>
      </c>
      <c r="T556" s="128" t="s">
        <v>2629</v>
      </c>
      <c r="U556" s="128" t="s">
        <v>2630</v>
      </c>
      <c r="V556" s="127" t="s">
        <v>2635</v>
      </c>
      <c r="W556" s="128" t="s">
        <v>2629</v>
      </c>
      <c r="X556" s="128" t="s">
        <v>2630</v>
      </c>
      <c r="Y556" s="127" t="s">
        <v>2635</v>
      </c>
      <c r="Z556" s="128" t="s">
        <v>2629</v>
      </c>
      <c r="AA556" s="128" t="s">
        <v>2630</v>
      </c>
      <c r="AB556" s="127" t="s">
        <v>2635</v>
      </c>
      <c r="AC556" s="128" t="s">
        <v>2629</v>
      </c>
      <c r="AD556" s="128" t="s">
        <v>2630</v>
      </c>
      <c r="AG556" s="354" t="s">
        <v>2586</v>
      </c>
      <c r="AH556" s="282" t="s">
        <v>2637</v>
      </c>
      <c r="AI556" s="280" t="s">
        <v>2638</v>
      </c>
      <c r="AJ556" s="281" t="s">
        <v>2639</v>
      </c>
      <c r="AK556" s="282" t="s">
        <v>2640</v>
      </c>
      <c r="AL556" s="280" t="s">
        <v>2641</v>
      </c>
      <c r="AM556" s="281" t="s">
        <v>2642</v>
      </c>
      <c r="AN556" s="282" t="s">
        <v>2643</v>
      </c>
      <c r="AO556" s="280" t="s">
        <v>2644</v>
      </c>
      <c r="AP556" s="281" t="s">
        <v>2645</v>
      </c>
      <c r="AQ556" s="282" t="s">
        <v>2646</v>
      </c>
      <c r="AR556" s="280" t="s">
        <v>2647</v>
      </c>
      <c r="AS556" s="281" t="s">
        <v>2648</v>
      </c>
      <c r="AT556" s="282" t="s">
        <v>2756</v>
      </c>
      <c r="AU556" s="280" t="s">
        <v>2757</v>
      </c>
      <c r="AV556" s="281" t="s">
        <v>2758</v>
      </c>
      <c r="AW556" s="282" t="s">
        <v>2759</v>
      </c>
      <c r="AX556" s="280" t="s">
        <v>2760</v>
      </c>
      <c r="AY556" s="281" t="s">
        <v>2761</v>
      </c>
      <c r="AZ556" s="282" t="s">
        <v>2762</v>
      </c>
      <c r="BA556" s="280" t="s">
        <v>2763</v>
      </c>
      <c r="BB556" s="281" t="s">
        <v>2764</v>
      </c>
      <c r="BC556" s="282" t="s">
        <v>2765</v>
      </c>
      <c r="BD556" s="280" t="s">
        <v>2766</v>
      </c>
      <c r="BE556" s="281" t="s">
        <v>2767</v>
      </c>
      <c r="BF556" s="940"/>
      <c r="BG556" s="370" t="s">
        <v>2795</v>
      </c>
      <c r="BH556" s="371" t="s">
        <v>3177</v>
      </c>
      <c r="BI556" s="372" t="s">
        <v>3178</v>
      </c>
    </row>
    <row r="557" spans="1:61" ht="15" customHeight="1">
      <c r="A557" s="50"/>
      <c r="B557" s="90"/>
      <c r="C557" s="97" t="s">
        <v>2516</v>
      </c>
      <c r="D557" s="796" t="str">
        <f>IF(CNSIPEE_2024_M2_Secc1!D42="","",CNSIPEE_2024_M2_Secc1!D42)</f>
        <v/>
      </c>
      <c r="E557" s="796"/>
      <c r="F557" s="796"/>
      <c r="G557" s="100"/>
      <c r="H557" s="100"/>
      <c r="I557" s="100"/>
      <c r="J557" s="100"/>
      <c r="K557" s="100"/>
      <c r="L557" s="100"/>
      <c r="M557" s="100"/>
      <c r="N557" s="100"/>
      <c r="O557" s="100"/>
      <c r="P557" s="100"/>
      <c r="Q557" s="100"/>
      <c r="R557" s="100"/>
      <c r="S557" s="100"/>
      <c r="T557" s="100"/>
      <c r="U557" s="100"/>
      <c r="V557" s="100"/>
      <c r="W557" s="100"/>
      <c r="X557" s="100"/>
      <c r="Y557" s="100"/>
      <c r="Z557" s="100"/>
      <c r="AA557" s="100"/>
      <c r="AB557" s="100"/>
      <c r="AC557" s="100"/>
      <c r="AD557" s="100"/>
      <c r="AG557" s="326">
        <f>IF(AND(COUNTBLANK(D557)=0,COUNTA(G557:AD557)=24),0,IF(AND(COUNTBLANK(D557)=1,COUNTA(G557:AD557)=0),0,1))</f>
        <v>0</v>
      </c>
      <c r="AH557" s="283">
        <f>COUNTIF(H557:I557,"NS")</f>
        <v>0</v>
      </c>
      <c r="AI557" s="283">
        <f>SUM(H557:I557)</f>
        <v>0</v>
      </c>
      <c r="AJ557" s="283">
        <f>IF(COUNTIF(G557:I557,"NA")=3,0,IF(COUNTA(G557:I557)=0,0,IF(OR(AND(G557=0,AH557&gt;0),AND(G557="ns",AI557&gt;0),AND(G557="ns",AH557=0,AI557=0)),1,IF(OR(AND(G557&gt;0,AH557=2),AND(G557="ns",AH557=2),AND(G557="ns",AI557=0,AH557&gt;0),G557=AI557),0,1))))</f>
        <v>0</v>
      </c>
      <c r="AK557" s="283">
        <f>COUNTIF(K557:L557,"NS")</f>
        <v>0</v>
      </c>
      <c r="AL557" s="283">
        <f>SUM(K557:L557)</f>
        <v>0</v>
      </c>
      <c r="AM557" s="283">
        <f>IF(COUNTIF(J557:L557,"NA")=3,0,IF(COUNTA(J557:L557)=0,0,IF(OR(AND(J557=0,AK557&gt;0),AND(J557="ns",AL557&gt;0),AND(J557="ns",AK557=0,AL557=0)),1,IF(OR(AND(J557&gt;0,AK557=2),AND(J557="ns",AK557=2),AND(J557="ns",AL557=0,AK557&gt;0),J557=AL557),0,1))))</f>
        <v>0</v>
      </c>
      <c r="AN557" s="283">
        <f>COUNTIF(N557:O557,"NS")</f>
        <v>0</v>
      </c>
      <c r="AO557" s="283">
        <f>SUM(N557:O557)</f>
        <v>0</v>
      </c>
      <c r="AP557" s="283">
        <f>IF(COUNTIF(M557:O557,"NA")=3,0,IF(COUNTA(M557:O557)=0,0,IF(OR(AND(M557=0,AN557&gt;0),AND(M557="ns",AO557&gt;0),AND(M557="ns",AN557=0,AO557=0)),1,IF(OR(AND(M557&gt;0,AN557=2),AND(M557="ns",AN557=2),AND(M557="ns",AO557=0,AN557&gt;0),M557=AO557),0,1))))</f>
        <v>0</v>
      </c>
      <c r="AQ557" s="283">
        <f>COUNTIF(Q557:R557,"NS")</f>
        <v>0</v>
      </c>
      <c r="AR557" s="283">
        <f>SUM(Q557:R557)</f>
        <v>0</v>
      </c>
      <c r="AS557" s="283">
        <f>IF(COUNTIF(P557:R557,"NA")=3,0,IF(COUNTA(P557:R557)=0,0,IF(OR(AND(P557=0,AQ557&gt;0),AND(P557="ns",AR557&gt;0),AND(P557="ns",AQ557=0,AR557=0)),1,IF(OR(AND(P557&gt;0,AQ557=2),AND(P557="ns",AQ557=2),AND(P557="ns",AR557=0,AQ557&gt;0),P557=AR557),0,1))))</f>
        <v>0</v>
      </c>
      <c r="AT557" s="283">
        <f>COUNTIF(T557:U557,"NS")</f>
        <v>0</v>
      </c>
      <c r="AU557" s="283">
        <f>SUM(T557:U557)</f>
        <v>0</v>
      </c>
      <c r="AV557" s="283">
        <f>IF(COUNTIF(S557:U557,"NA")=3,0,IF(COUNTA(S557:U557)=0,0,IF(OR(AND(S557=0,AT557&gt;0),AND(S557="ns",AU557&gt;0),AND(S557="ns",AT557=0,AU557=0)),1,IF(OR(AND(S557&gt;0,AT557=2),AND(S557="ns",AT557=2),AND(S557="ns",AU557=0,AT557&gt;0),S557=AU557),0,1))))</f>
        <v>0</v>
      </c>
      <c r="AW557" s="283">
        <f>COUNTIF(W557:X557,"NS")</f>
        <v>0</v>
      </c>
      <c r="AX557" s="283">
        <f>SUM(W557:X557)</f>
        <v>0</v>
      </c>
      <c r="AY557" s="283">
        <f>IF(COUNTIF(V557:X557,"NA")=3,0,IF(COUNTA(V557:X557)=0,0,IF(OR(AND(V557=0,AW557&gt;0),AND(V557="ns",AX557&gt;0),AND(V557="ns",AW557=0,AX557=0)),1,IF(OR(AND(V557&gt;0,AW557=2),AND(V557="ns",AW557=2),AND(V557="ns",AX557=0,AW557&gt;0),V557=AX557),0,1))))</f>
        <v>0</v>
      </c>
      <c r="AZ557" s="283">
        <f>COUNTIF(Z557:AA557,"NS")</f>
        <v>0</v>
      </c>
      <c r="BA557" s="283">
        <f>SUM(Z557:AA557)</f>
        <v>0</v>
      </c>
      <c r="BB557" s="283">
        <f>IF(COUNTIF(Y557:AA557,"NA")=3,0,IF(COUNTA(Y557:AA557)=0,0,IF(OR(AND(Y557=0,AZ557&gt;0),AND(Y557="ns",BA557&gt;0),AND(Y557="ns",AZ557=0,BA557=0)),1,IF(OR(AND(Y557&gt;0,AZ557=2),AND(Y557="ns",AZ557=2),AND(Y557="ns",BA557=0,AZ557&gt;0),Y557=BA557),0,1))))</f>
        <v>0</v>
      </c>
      <c r="BC557" s="283">
        <f>COUNTIF(AC557:AD557,"NS")</f>
        <v>0</v>
      </c>
      <c r="BD557" s="283">
        <f>SUM(AC557:AD557)</f>
        <v>0</v>
      </c>
      <c r="BE557" s="283">
        <f>IF(COUNTIF(AB557:AD557,"NA")=3,0,IF(COUNTA(AB557:AD557)=0,0,IF(OR(AND(AB557=0,BC557&gt;0),AND(AB557="ns",BD557&gt;0),AND(AB557="ns",BC557=0,BD557=0)),1,IF(OR(AND(AB557&gt;0,BC557=2),AND(AB557="ns",BC557=2),AND(AB557="ns",BD557=0,BC557&gt;0),AB557=BD557),0,1))))</f>
        <v>0</v>
      </c>
      <c r="BF557">
        <f>IF(SUM(AB565:AD565)&gt;0,1,0)</f>
        <v>0</v>
      </c>
      <c r="BG557">
        <f t="shared" ref="BG557:BI564" si="531">IF(AND(G557="NS",P415="NS",S415="NS",V415="NS"),0,IF(AND(G557="NA",P415="NA",S415="NA",V415="NA"),0,IF(G557=SUM(P415,S415,V415),0,1)))</f>
        <v>0</v>
      </c>
      <c r="BH557">
        <f t="shared" si="531"/>
        <v>0</v>
      </c>
      <c r="BI557">
        <f t="shared" si="531"/>
        <v>0</v>
      </c>
    </row>
    <row r="558" spans="1:61" ht="15" customHeight="1">
      <c r="A558" s="50"/>
      <c r="B558" s="90"/>
      <c r="C558" s="98" t="s">
        <v>2517</v>
      </c>
      <c r="D558" s="796" t="str">
        <f>IF(CNSIPEE_2024_M2_Secc1!D43="","",CNSIPEE_2024_M2_Secc1!D43)</f>
        <v/>
      </c>
      <c r="E558" s="796"/>
      <c r="F558" s="796"/>
      <c r="G558" s="100"/>
      <c r="H558" s="100"/>
      <c r="I558" s="100"/>
      <c r="J558" s="100"/>
      <c r="K558" s="100"/>
      <c r="L558" s="100"/>
      <c r="M558" s="100"/>
      <c r="N558" s="100"/>
      <c r="O558" s="100"/>
      <c r="P558" s="100"/>
      <c r="Q558" s="100"/>
      <c r="R558" s="100"/>
      <c r="S558" s="100"/>
      <c r="T558" s="100"/>
      <c r="U558" s="100"/>
      <c r="V558" s="100"/>
      <c r="W558" s="100"/>
      <c r="X558" s="100"/>
      <c r="Y558" s="100"/>
      <c r="Z558" s="100"/>
      <c r="AA558" s="100"/>
      <c r="AB558" s="100"/>
      <c r="AC558" s="100"/>
      <c r="AD558" s="100"/>
      <c r="AG558" s="326">
        <f t="shared" ref="AG558:AG564" si="532">IF(AND(COUNTBLANK(D558)=0,COUNTA(G558:AD558)=24),0,IF(AND(COUNTBLANK(D558)=1,COUNTA(G558:AD558)=0),0,1))</f>
        <v>0</v>
      </c>
      <c r="AH558" s="283">
        <f t="shared" ref="AH558:AH564" si="533">COUNTIF(H558:I558,"NS")</f>
        <v>0</v>
      </c>
      <c r="AI558" s="283">
        <f t="shared" ref="AI558:AI564" si="534">SUM(H558:I558)</f>
        <v>0</v>
      </c>
      <c r="AJ558" s="283">
        <f t="shared" ref="AJ558:AJ564" si="535">IF(COUNTIF(G558:I558,"NA")=3,0,IF(COUNTA(G558:I558)=0,0,IF(OR(AND(G558=0,AH558&gt;0),AND(G558="ns",AI558&gt;0),AND(G558="ns",AH558=0,AI558=0)),1,IF(OR(AND(G558&gt;0,AH558=2),AND(G558="ns",AH558=2),AND(G558="ns",AI558=0,AH558&gt;0),G558=AI558),0,1))))</f>
        <v>0</v>
      </c>
      <c r="AK558" s="283">
        <f t="shared" ref="AK558:AK564" si="536">COUNTIF(K558:L558,"NS")</f>
        <v>0</v>
      </c>
      <c r="AL558" s="283">
        <f t="shared" ref="AL558:AL564" si="537">SUM(K558:L558)</f>
        <v>0</v>
      </c>
      <c r="AM558" s="283">
        <f t="shared" ref="AM558:AM564" si="538">IF(COUNTIF(J558:L558,"NA")=3,0,IF(COUNTA(J558:L558)=0,0,IF(OR(AND(J558=0,AK558&gt;0),AND(J558="ns",AL558&gt;0),AND(J558="ns",AK558=0,AL558=0)),1,IF(OR(AND(J558&gt;0,AK558=2),AND(J558="ns",AK558=2),AND(J558="ns",AL558=0,AK558&gt;0),J558=AL558),0,1))))</f>
        <v>0</v>
      </c>
      <c r="AN558" s="283">
        <f t="shared" ref="AN558:AN564" si="539">COUNTIF(N558:O558,"NS")</f>
        <v>0</v>
      </c>
      <c r="AO558" s="283">
        <f t="shared" ref="AO558:AO564" si="540">SUM(N558:O558)</f>
        <v>0</v>
      </c>
      <c r="AP558" s="283">
        <f t="shared" ref="AP558:AP564" si="541">IF(COUNTIF(M558:O558,"NA")=3,0,IF(COUNTA(M558:O558)=0,0,IF(OR(AND(M558=0,AN558&gt;0),AND(M558="ns",AO558&gt;0),AND(M558="ns",AN558=0,AO558=0)),1,IF(OR(AND(M558&gt;0,AN558=2),AND(M558="ns",AN558=2),AND(M558="ns",AO558=0,AN558&gt;0),M558=AO558),0,1))))</f>
        <v>0</v>
      </c>
      <c r="AQ558" s="283">
        <f t="shared" ref="AQ558:AQ564" si="542">COUNTIF(Q558:R558,"NS")</f>
        <v>0</v>
      </c>
      <c r="AR558" s="283">
        <f t="shared" ref="AR558:AR564" si="543">SUM(Q558:R558)</f>
        <v>0</v>
      </c>
      <c r="AS558" s="283">
        <f t="shared" ref="AS558:AS564" si="544">IF(COUNTIF(P558:R558,"NA")=3,0,IF(COUNTA(P558:R558)=0,0,IF(OR(AND(P558=0,AQ558&gt;0),AND(P558="ns",AR558&gt;0),AND(P558="ns",AQ558=0,AR558=0)),1,IF(OR(AND(P558&gt;0,AQ558=2),AND(P558="ns",AQ558=2),AND(P558="ns",AR558=0,AQ558&gt;0),P558=AR558),0,1))))</f>
        <v>0</v>
      </c>
      <c r="AT558" s="283">
        <f t="shared" ref="AT558:AT564" si="545">COUNTIF(T558:U558,"NS")</f>
        <v>0</v>
      </c>
      <c r="AU558" s="283">
        <f t="shared" ref="AU558:AU564" si="546">SUM(T558:U558)</f>
        <v>0</v>
      </c>
      <c r="AV558" s="283">
        <f t="shared" ref="AV558:AV564" si="547">IF(COUNTIF(S558:U558,"NA")=3,0,IF(COUNTA(S558:U558)=0,0,IF(OR(AND(S558=0,AT558&gt;0),AND(S558="ns",AU558&gt;0),AND(S558="ns",AT558=0,AU558=0)),1,IF(OR(AND(S558&gt;0,AT558=2),AND(S558="ns",AT558=2),AND(S558="ns",AU558=0,AT558&gt;0),S558=AU558),0,1))))</f>
        <v>0</v>
      </c>
      <c r="AW558" s="283">
        <f t="shared" ref="AW558:AW564" si="548">COUNTIF(W558:X558,"NS")</f>
        <v>0</v>
      </c>
      <c r="AX558" s="283">
        <f t="shared" ref="AX558:AX564" si="549">SUM(W558:X558)</f>
        <v>0</v>
      </c>
      <c r="AY558" s="283">
        <f t="shared" ref="AY558:AY564" si="550">IF(COUNTIF(V558:X558,"NA")=3,0,IF(COUNTA(V558:X558)=0,0,IF(OR(AND(V558=0,AW558&gt;0),AND(V558="ns",AX558&gt;0),AND(V558="ns",AW558=0,AX558=0)),1,IF(OR(AND(V558&gt;0,AW558=2),AND(V558="ns",AW558=2),AND(V558="ns",AX558=0,AW558&gt;0),V558=AX558),0,1))))</f>
        <v>0</v>
      </c>
      <c r="AZ558" s="283">
        <f t="shared" ref="AZ558:AZ564" si="551">COUNTIF(Z558:AA558,"NS")</f>
        <v>0</v>
      </c>
      <c r="BA558" s="283">
        <f t="shared" ref="BA558:BA564" si="552">SUM(Z558:AA558)</f>
        <v>0</v>
      </c>
      <c r="BB558" s="283">
        <f t="shared" ref="BB558:BB564" si="553">IF(COUNTIF(Y558:AA558,"NA")=3,0,IF(COUNTA(Y558:AA558)=0,0,IF(OR(AND(Y558=0,AZ558&gt;0),AND(Y558="ns",BA558&gt;0),AND(Y558="ns",AZ558=0,BA558=0)),1,IF(OR(AND(Y558&gt;0,AZ558=2),AND(Y558="ns",AZ558=2),AND(Y558="ns",BA558=0,AZ558&gt;0),Y558=BA558),0,1))))</f>
        <v>0</v>
      </c>
      <c r="BC558" s="283">
        <f t="shared" ref="BC558:BC564" si="554">COUNTIF(AC558:AD558,"NS")</f>
        <v>0</v>
      </c>
      <c r="BD558" s="283">
        <f t="shared" ref="BD558:BD564" si="555">SUM(AC558:AD558)</f>
        <v>0</v>
      </c>
      <c r="BE558" s="283">
        <f t="shared" ref="BE558:BE564" si="556">IF(COUNTIF(AB558:AD558,"NA")=3,0,IF(COUNTA(AB558:AD558)=0,0,IF(OR(AND(AB558=0,BC558&gt;0),AND(AB558="ns",BD558&gt;0),AND(AB558="ns",BC558=0,BD558=0)),1,IF(OR(AND(AB558&gt;0,BC558=2),AND(AB558="ns",BC558=2),AND(AB558="ns",BD558=0,BC558&gt;0),AB558=BD558),0,1))))</f>
        <v>0</v>
      </c>
      <c r="BG558">
        <f t="shared" si="531"/>
        <v>0</v>
      </c>
      <c r="BH558">
        <f t="shared" si="531"/>
        <v>0</v>
      </c>
      <c r="BI558">
        <f t="shared" si="531"/>
        <v>0</v>
      </c>
    </row>
    <row r="559" spans="1:61" ht="15" customHeight="1">
      <c r="A559" s="50"/>
      <c r="B559" s="90"/>
      <c r="C559" s="98" t="s">
        <v>2518</v>
      </c>
      <c r="D559" s="796" t="str">
        <f>IF(CNSIPEE_2024_M2_Secc1!D44="","",CNSIPEE_2024_M2_Secc1!D44)</f>
        <v/>
      </c>
      <c r="E559" s="796"/>
      <c r="F559" s="796"/>
      <c r="G559" s="100"/>
      <c r="H559" s="100"/>
      <c r="I559" s="100"/>
      <c r="J559" s="100"/>
      <c r="K559" s="100"/>
      <c r="L559" s="100"/>
      <c r="M559" s="100"/>
      <c r="N559" s="100"/>
      <c r="O559" s="100"/>
      <c r="P559" s="100"/>
      <c r="Q559" s="100"/>
      <c r="R559" s="100"/>
      <c r="S559" s="100"/>
      <c r="T559" s="100"/>
      <c r="U559" s="100"/>
      <c r="V559" s="100"/>
      <c r="W559" s="100"/>
      <c r="X559" s="100"/>
      <c r="Y559" s="100"/>
      <c r="Z559" s="100"/>
      <c r="AA559" s="100"/>
      <c r="AB559" s="100"/>
      <c r="AC559" s="100"/>
      <c r="AD559" s="100"/>
      <c r="AG559" s="326">
        <f t="shared" si="532"/>
        <v>0</v>
      </c>
      <c r="AH559" s="283">
        <f t="shared" si="533"/>
        <v>0</v>
      </c>
      <c r="AI559" s="283">
        <f t="shared" si="534"/>
        <v>0</v>
      </c>
      <c r="AJ559" s="283">
        <f t="shared" si="535"/>
        <v>0</v>
      </c>
      <c r="AK559" s="283">
        <f t="shared" si="536"/>
        <v>0</v>
      </c>
      <c r="AL559" s="283">
        <f t="shared" si="537"/>
        <v>0</v>
      </c>
      <c r="AM559" s="283">
        <f t="shared" si="538"/>
        <v>0</v>
      </c>
      <c r="AN559" s="283">
        <f t="shared" si="539"/>
        <v>0</v>
      </c>
      <c r="AO559" s="283">
        <f t="shared" si="540"/>
        <v>0</v>
      </c>
      <c r="AP559" s="283">
        <f t="shared" si="541"/>
        <v>0</v>
      </c>
      <c r="AQ559" s="283">
        <f t="shared" si="542"/>
        <v>0</v>
      </c>
      <c r="AR559" s="283">
        <f t="shared" si="543"/>
        <v>0</v>
      </c>
      <c r="AS559" s="283">
        <f t="shared" si="544"/>
        <v>0</v>
      </c>
      <c r="AT559" s="283">
        <f t="shared" si="545"/>
        <v>0</v>
      </c>
      <c r="AU559" s="283">
        <f t="shared" si="546"/>
        <v>0</v>
      </c>
      <c r="AV559" s="283">
        <f t="shared" si="547"/>
        <v>0</v>
      </c>
      <c r="AW559" s="283">
        <f t="shared" si="548"/>
        <v>0</v>
      </c>
      <c r="AX559" s="283">
        <f t="shared" si="549"/>
        <v>0</v>
      </c>
      <c r="AY559" s="283">
        <f t="shared" si="550"/>
        <v>0</v>
      </c>
      <c r="AZ559" s="283">
        <f t="shared" si="551"/>
        <v>0</v>
      </c>
      <c r="BA559" s="283">
        <f t="shared" si="552"/>
        <v>0</v>
      </c>
      <c r="BB559" s="283">
        <f t="shared" si="553"/>
        <v>0</v>
      </c>
      <c r="BC559" s="283">
        <f t="shared" si="554"/>
        <v>0</v>
      </c>
      <c r="BD559" s="283">
        <f t="shared" si="555"/>
        <v>0</v>
      </c>
      <c r="BE559" s="283">
        <f t="shared" si="556"/>
        <v>0</v>
      </c>
      <c r="BG559">
        <f t="shared" si="531"/>
        <v>0</v>
      </c>
      <c r="BH559">
        <f t="shared" si="531"/>
        <v>0</v>
      </c>
      <c r="BI559">
        <f t="shared" si="531"/>
        <v>0</v>
      </c>
    </row>
    <row r="560" spans="1:61" ht="15" customHeight="1">
      <c r="A560" s="50"/>
      <c r="B560" s="90"/>
      <c r="C560" s="98" t="s">
        <v>2519</v>
      </c>
      <c r="D560" s="796" t="str">
        <f>IF(CNSIPEE_2024_M2_Secc1!D45="","",CNSIPEE_2024_M2_Secc1!D45)</f>
        <v/>
      </c>
      <c r="E560" s="796"/>
      <c r="F560" s="796"/>
      <c r="G560" s="100"/>
      <c r="H560" s="100"/>
      <c r="I560" s="100"/>
      <c r="J560" s="100"/>
      <c r="K560" s="100"/>
      <c r="L560" s="100"/>
      <c r="M560" s="100"/>
      <c r="N560" s="100"/>
      <c r="O560" s="100"/>
      <c r="P560" s="100"/>
      <c r="Q560" s="100"/>
      <c r="R560" s="100"/>
      <c r="S560" s="100"/>
      <c r="T560" s="100"/>
      <c r="U560" s="100"/>
      <c r="V560" s="100"/>
      <c r="W560" s="100"/>
      <c r="X560" s="100"/>
      <c r="Y560" s="100"/>
      <c r="Z560" s="100"/>
      <c r="AA560" s="100"/>
      <c r="AB560" s="100"/>
      <c r="AC560" s="100"/>
      <c r="AD560" s="100"/>
      <c r="AG560" s="326">
        <f t="shared" si="532"/>
        <v>0</v>
      </c>
      <c r="AH560" s="283">
        <f t="shared" si="533"/>
        <v>0</v>
      </c>
      <c r="AI560" s="283">
        <f t="shared" si="534"/>
        <v>0</v>
      </c>
      <c r="AJ560" s="283">
        <f t="shared" si="535"/>
        <v>0</v>
      </c>
      <c r="AK560" s="283">
        <f t="shared" si="536"/>
        <v>0</v>
      </c>
      <c r="AL560" s="283">
        <f t="shared" si="537"/>
        <v>0</v>
      </c>
      <c r="AM560" s="283">
        <f t="shared" si="538"/>
        <v>0</v>
      </c>
      <c r="AN560" s="283">
        <f t="shared" si="539"/>
        <v>0</v>
      </c>
      <c r="AO560" s="283">
        <f t="shared" si="540"/>
        <v>0</v>
      </c>
      <c r="AP560" s="283">
        <f t="shared" si="541"/>
        <v>0</v>
      </c>
      <c r="AQ560" s="283">
        <f t="shared" si="542"/>
        <v>0</v>
      </c>
      <c r="AR560" s="283">
        <f t="shared" si="543"/>
        <v>0</v>
      </c>
      <c r="AS560" s="283">
        <f t="shared" si="544"/>
        <v>0</v>
      </c>
      <c r="AT560" s="283">
        <f t="shared" si="545"/>
        <v>0</v>
      </c>
      <c r="AU560" s="283">
        <f t="shared" si="546"/>
        <v>0</v>
      </c>
      <c r="AV560" s="283">
        <f t="shared" si="547"/>
        <v>0</v>
      </c>
      <c r="AW560" s="283">
        <f t="shared" si="548"/>
        <v>0</v>
      </c>
      <c r="AX560" s="283">
        <f t="shared" si="549"/>
        <v>0</v>
      </c>
      <c r="AY560" s="283">
        <f t="shared" si="550"/>
        <v>0</v>
      </c>
      <c r="AZ560" s="283">
        <f t="shared" si="551"/>
        <v>0</v>
      </c>
      <c r="BA560" s="283">
        <f t="shared" si="552"/>
        <v>0</v>
      </c>
      <c r="BB560" s="283">
        <f t="shared" si="553"/>
        <v>0</v>
      </c>
      <c r="BC560" s="283">
        <f t="shared" si="554"/>
        <v>0</v>
      </c>
      <c r="BD560" s="283">
        <f t="shared" si="555"/>
        <v>0</v>
      </c>
      <c r="BE560" s="283">
        <f t="shared" si="556"/>
        <v>0</v>
      </c>
      <c r="BG560">
        <f t="shared" si="531"/>
        <v>0</v>
      </c>
      <c r="BH560">
        <f t="shared" si="531"/>
        <v>0</v>
      </c>
      <c r="BI560">
        <f t="shared" si="531"/>
        <v>0</v>
      </c>
    </row>
    <row r="561" spans="1:61" ht="15" customHeight="1">
      <c r="A561" s="50"/>
      <c r="B561" s="90"/>
      <c r="C561" s="98" t="s">
        <v>2520</v>
      </c>
      <c r="D561" s="796" t="str">
        <f>IF(CNSIPEE_2024_M2_Secc1!D46="","",CNSIPEE_2024_M2_Secc1!D46)</f>
        <v/>
      </c>
      <c r="E561" s="796"/>
      <c r="F561" s="796"/>
      <c r="G561" s="100"/>
      <c r="H561" s="100"/>
      <c r="I561" s="100"/>
      <c r="J561" s="100"/>
      <c r="K561" s="100"/>
      <c r="L561" s="100"/>
      <c r="M561" s="100"/>
      <c r="N561" s="100"/>
      <c r="O561" s="100"/>
      <c r="P561" s="100"/>
      <c r="Q561" s="100"/>
      <c r="R561" s="100"/>
      <c r="S561" s="100"/>
      <c r="T561" s="100"/>
      <c r="U561" s="100"/>
      <c r="V561" s="100"/>
      <c r="W561" s="100"/>
      <c r="X561" s="100"/>
      <c r="Y561" s="100"/>
      <c r="Z561" s="100"/>
      <c r="AA561" s="100"/>
      <c r="AB561" s="100"/>
      <c r="AC561" s="100"/>
      <c r="AD561" s="100"/>
      <c r="AG561" s="326">
        <f t="shared" si="532"/>
        <v>0</v>
      </c>
      <c r="AH561" s="283">
        <f t="shared" si="533"/>
        <v>0</v>
      </c>
      <c r="AI561" s="283">
        <f t="shared" si="534"/>
        <v>0</v>
      </c>
      <c r="AJ561" s="283">
        <f t="shared" si="535"/>
        <v>0</v>
      </c>
      <c r="AK561" s="283">
        <f t="shared" si="536"/>
        <v>0</v>
      </c>
      <c r="AL561" s="283">
        <f t="shared" si="537"/>
        <v>0</v>
      </c>
      <c r="AM561" s="283">
        <f t="shared" si="538"/>
        <v>0</v>
      </c>
      <c r="AN561" s="283">
        <f t="shared" si="539"/>
        <v>0</v>
      </c>
      <c r="AO561" s="283">
        <f t="shared" si="540"/>
        <v>0</v>
      </c>
      <c r="AP561" s="283">
        <f t="shared" si="541"/>
        <v>0</v>
      </c>
      <c r="AQ561" s="283">
        <f t="shared" si="542"/>
        <v>0</v>
      </c>
      <c r="AR561" s="283">
        <f t="shared" si="543"/>
        <v>0</v>
      </c>
      <c r="AS561" s="283">
        <f t="shared" si="544"/>
        <v>0</v>
      </c>
      <c r="AT561" s="283">
        <f t="shared" si="545"/>
        <v>0</v>
      </c>
      <c r="AU561" s="283">
        <f t="shared" si="546"/>
        <v>0</v>
      </c>
      <c r="AV561" s="283">
        <f t="shared" si="547"/>
        <v>0</v>
      </c>
      <c r="AW561" s="283">
        <f t="shared" si="548"/>
        <v>0</v>
      </c>
      <c r="AX561" s="283">
        <f t="shared" si="549"/>
        <v>0</v>
      </c>
      <c r="AY561" s="283">
        <f t="shared" si="550"/>
        <v>0</v>
      </c>
      <c r="AZ561" s="283">
        <f t="shared" si="551"/>
        <v>0</v>
      </c>
      <c r="BA561" s="283">
        <f t="shared" si="552"/>
        <v>0</v>
      </c>
      <c r="BB561" s="283">
        <f t="shared" si="553"/>
        <v>0</v>
      </c>
      <c r="BC561" s="283">
        <f t="shared" si="554"/>
        <v>0</v>
      </c>
      <c r="BD561" s="283">
        <f t="shared" si="555"/>
        <v>0</v>
      </c>
      <c r="BE561" s="283">
        <f t="shared" si="556"/>
        <v>0</v>
      </c>
      <c r="BG561">
        <f t="shared" si="531"/>
        <v>0</v>
      </c>
      <c r="BH561">
        <f t="shared" si="531"/>
        <v>0</v>
      </c>
      <c r="BI561">
        <f t="shared" si="531"/>
        <v>0</v>
      </c>
    </row>
    <row r="562" spans="1:61" ht="15" customHeight="1">
      <c r="A562" s="50"/>
      <c r="B562" s="90"/>
      <c r="C562" s="98" t="s">
        <v>2521</v>
      </c>
      <c r="D562" s="796" t="str">
        <f>IF(CNSIPEE_2024_M2_Secc1!D47="","",CNSIPEE_2024_M2_Secc1!D47)</f>
        <v/>
      </c>
      <c r="E562" s="796"/>
      <c r="F562" s="796"/>
      <c r="G562" s="100"/>
      <c r="H562" s="100"/>
      <c r="I562" s="100"/>
      <c r="J562" s="100"/>
      <c r="K562" s="100"/>
      <c r="L562" s="100"/>
      <c r="M562" s="100"/>
      <c r="N562" s="100"/>
      <c r="O562" s="100"/>
      <c r="P562" s="100"/>
      <c r="Q562" s="100"/>
      <c r="R562" s="100"/>
      <c r="S562" s="100"/>
      <c r="T562" s="100"/>
      <c r="U562" s="100"/>
      <c r="V562" s="100"/>
      <c r="W562" s="100"/>
      <c r="X562" s="100"/>
      <c r="Y562" s="100"/>
      <c r="Z562" s="100"/>
      <c r="AA562" s="100"/>
      <c r="AB562" s="100"/>
      <c r="AC562" s="100"/>
      <c r="AD562" s="100"/>
      <c r="AG562" s="326">
        <f t="shared" si="532"/>
        <v>0</v>
      </c>
      <c r="AH562" s="283">
        <f t="shared" si="533"/>
        <v>0</v>
      </c>
      <c r="AI562" s="283">
        <f t="shared" si="534"/>
        <v>0</v>
      </c>
      <c r="AJ562" s="283">
        <f t="shared" si="535"/>
        <v>0</v>
      </c>
      <c r="AK562" s="283">
        <f t="shared" si="536"/>
        <v>0</v>
      </c>
      <c r="AL562" s="283">
        <f t="shared" si="537"/>
        <v>0</v>
      </c>
      <c r="AM562" s="283">
        <f t="shared" si="538"/>
        <v>0</v>
      </c>
      <c r="AN562" s="283">
        <f t="shared" si="539"/>
        <v>0</v>
      </c>
      <c r="AO562" s="283">
        <f t="shared" si="540"/>
        <v>0</v>
      </c>
      <c r="AP562" s="283">
        <f t="shared" si="541"/>
        <v>0</v>
      </c>
      <c r="AQ562" s="283">
        <f t="shared" si="542"/>
        <v>0</v>
      </c>
      <c r="AR562" s="283">
        <f t="shared" si="543"/>
        <v>0</v>
      </c>
      <c r="AS562" s="283">
        <f t="shared" si="544"/>
        <v>0</v>
      </c>
      <c r="AT562" s="283">
        <f t="shared" si="545"/>
        <v>0</v>
      </c>
      <c r="AU562" s="283">
        <f t="shared" si="546"/>
        <v>0</v>
      </c>
      <c r="AV562" s="283">
        <f t="shared" si="547"/>
        <v>0</v>
      </c>
      <c r="AW562" s="283">
        <f t="shared" si="548"/>
        <v>0</v>
      </c>
      <c r="AX562" s="283">
        <f t="shared" si="549"/>
        <v>0</v>
      </c>
      <c r="AY562" s="283">
        <f t="shared" si="550"/>
        <v>0</v>
      </c>
      <c r="AZ562" s="283">
        <f t="shared" si="551"/>
        <v>0</v>
      </c>
      <c r="BA562" s="283">
        <f t="shared" si="552"/>
        <v>0</v>
      </c>
      <c r="BB562" s="283">
        <f t="shared" si="553"/>
        <v>0</v>
      </c>
      <c r="BC562" s="283">
        <f t="shared" si="554"/>
        <v>0</v>
      </c>
      <c r="BD562" s="283">
        <f t="shared" si="555"/>
        <v>0</v>
      </c>
      <c r="BE562" s="283">
        <f t="shared" si="556"/>
        <v>0</v>
      </c>
      <c r="BG562">
        <f t="shared" si="531"/>
        <v>0</v>
      </c>
      <c r="BH562">
        <f t="shared" si="531"/>
        <v>0</v>
      </c>
      <c r="BI562">
        <f t="shared" si="531"/>
        <v>0</v>
      </c>
    </row>
    <row r="563" spans="1:61" ht="15" customHeight="1">
      <c r="A563" s="50"/>
      <c r="B563" s="90"/>
      <c r="C563" s="98" t="s">
        <v>2522</v>
      </c>
      <c r="D563" s="796" t="str">
        <f>IF(CNSIPEE_2024_M2_Secc1!D48="","",CNSIPEE_2024_M2_Secc1!D48)</f>
        <v/>
      </c>
      <c r="E563" s="796"/>
      <c r="F563" s="796"/>
      <c r="G563" s="100"/>
      <c r="H563" s="100"/>
      <c r="I563" s="100"/>
      <c r="J563" s="100"/>
      <c r="K563" s="100"/>
      <c r="L563" s="100"/>
      <c r="M563" s="100"/>
      <c r="N563" s="100"/>
      <c r="O563" s="100"/>
      <c r="P563" s="100"/>
      <c r="Q563" s="100"/>
      <c r="R563" s="100"/>
      <c r="S563" s="100"/>
      <c r="T563" s="100"/>
      <c r="U563" s="100"/>
      <c r="V563" s="100"/>
      <c r="W563" s="100"/>
      <c r="X563" s="100"/>
      <c r="Y563" s="100"/>
      <c r="Z563" s="100"/>
      <c r="AA563" s="100"/>
      <c r="AB563" s="100"/>
      <c r="AC563" s="100"/>
      <c r="AD563" s="100"/>
      <c r="AG563" s="326">
        <f t="shared" si="532"/>
        <v>0</v>
      </c>
      <c r="AH563" s="283">
        <f t="shared" si="533"/>
        <v>0</v>
      </c>
      <c r="AI563" s="283">
        <f t="shared" si="534"/>
        <v>0</v>
      </c>
      <c r="AJ563" s="283">
        <f t="shared" si="535"/>
        <v>0</v>
      </c>
      <c r="AK563" s="283">
        <f t="shared" si="536"/>
        <v>0</v>
      </c>
      <c r="AL563" s="283">
        <f t="shared" si="537"/>
        <v>0</v>
      </c>
      <c r="AM563" s="283">
        <f t="shared" si="538"/>
        <v>0</v>
      </c>
      <c r="AN563" s="283">
        <f t="shared" si="539"/>
        <v>0</v>
      </c>
      <c r="AO563" s="283">
        <f t="shared" si="540"/>
        <v>0</v>
      </c>
      <c r="AP563" s="283">
        <f t="shared" si="541"/>
        <v>0</v>
      </c>
      <c r="AQ563" s="283">
        <f t="shared" si="542"/>
        <v>0</v>
      </c>
      <c r="AR563" s="283">
        <f t="shared" si="543"/>
        <v>0</v>
      </c>
      <c r="AS563" s="283">
        <f t="shared" si="544"/>
        <v>0</v>
      </c>
      <c r="AT563" s="283">
        <f t="shared" si="545"/>
        <v>0</v>
      </c>
      <c r="AU563" s="283">
        <f t="shared" si="546"/>
        <v>0</v>
      </c>
      <c r="AV563" s="283">
        <f t="shared" si="547"/>
        <v>0</v>
      </c>
      <c r="AW563" s="283">
        <f t="shared" si="548"/>
        <v>0</v>
      </c>
      <c r="AX563" s="283">
        <f t="shared" si="549"/>
        <v>0</v>
      </c>
      <c r="AY563" s="283">
        <f t="shared" si="550"/>
        <v>0</v>
      </c>
      <c r="AZ563" s="283">
        <f t="shared" si="551"/>
        <v>0</v>
      </c>
      <c r="BA563" s="283">
        <f t="shared" si="552"/>
        <v>0</v>
      </c>
      <c r="BB563" s="283">
        <f t="shared" si="553"/>
        <v>0</v>
      </c>
      <c r="BC563" s="283">
        <f t="shared" si="554"/>
        <v>0</v>
      </c>
      <c r="BD563" s="283">
        <f t="shared" si="555"/>
        <v>0</v>
      </c>
      <c r="BE563" s="283">
        <f t="shared" si="556"/>
        <v>0</v>
      </c>
      <c r="BG563">
        <f t="shared" si="531"/>
        <v>0</v>
      </c>
      <c r="BH563">
        <f t="shared" si="531"/>
        <v>0</v>
      </c>
      <c r="BI563">
        <f t="shared" si="531"/>
        <v>0</v>
      </c>
    </row>
    <row r="564" spans="1:61" ht="15" customHeight="1">
      <c r="A564" s="50"/>
      <c r="B564" s="90"/>
      <c r="C564" s="98" t="s">
        <v>2523</v>
      </c>
      <c r="D564" s="796" t="str">
        <f>IF(CNSIPEE_2024_M2_Secc1!D49="","",CNSIPEE_2024_M2_Secc1!D49)</f>
        <v/>
      </c>
      <c r="E564" s="796"/>
      <c r="F564" s="796"/>
      <c r="G564" s="100"/>
      <c r="H564" s="100"/>
      <c r="I564" s="100"/>
      <c r="J564" s="100"/>
      <c r="K564" s="100"/>
      <c r="L564" s="100"/>
      <c r="M564" s="100"/>
      <c r="N564" s="100"/>
      <c r="O564" s="100"/>
      <c r="P564" s="100"/>
      <c r="Q564" s="100"/>
      <c r="R564" s="100"/>
      <c r="S564" s="100"/>
      <c r="T564" s="100"/>
      <c r="U564" s="100"/>
      <c r="V564" s="100"/>
      <c r="W564" s="100"/>
      <c r="X564" s="100"/>
      <c r="Y564" s="100"/>
      <c r="Z564" s="100"/>
      <c r="AA564" s="100"/>
      <c r="AB564" s="100"/>
      <c r="AC564" s="100"/>
      <c r="AD564" s="100"/>
      <c r="AG564" s="326">
        <f t="shared" si="532"/>
        <v>0</v>
      </c>
      <c r="AH564" s="283">
        <f t="shared" si="533"/>
        <v>0</v>
      </c>
      <c r="AI564" s="283">
        <f t="shared" si="534"/>
        <v>0</v>
      </c>
      <c r="AJ564" s="283">
        <f t="shared" si="535"/>
        <v>0</v>
      </c>
      <c r="AK564" s="283">
        <f t="shared" si="536"/>
        <v>0</v>
      </c>
      <c r="AL564" s="283">
        <f t="shared" si="537"/>
        <v>0</v>
      </c>
      <c r="AM564" s="283">
        <f t="shared" si="538"/>
        <v>0</v>
      </c>
      <c r="AN564" s="283">
        <f t="shared" si="539"/>
        <v>0</v>
      </c>
      <c r="AO564" s="283">
        <f t="shared" si="540"/>
        <v>0</v>
      </c>
      <c r="AP564" s="283">
        <f t="shared" si="541"/>
        <v>0</v>
      </c>
      <c r="AQ564" s="283">
        <f t="shared" si="542"/>
        <v>0</v>
      </c>
      <c r="AR564" s="283">
        <f t="shared" si="543"/>
        <v>0</v>
      </c>
      <c r="AS564" s="283">
        <f t="shared" si="544"/>
        <v>0</v>
      </c>
      <c r="AT564" s="283">
        <f t="shared" si="545"/>
        <v>0</v>
      </c>
      <c r="AU564" s="283">
        <f t="shared" si="546"/>
        <v>0</v>
      </c>
      <c r="AV564" s="283">
        <f t="shared" si="547"/>
        <v>0</v>
      </c>
      <c r="AW564" s="283">
        <f t="shared" si="548"/>
        <v>0</v>
      </c>
      <c r="AX564" s="283">
        <f t="shared" si="549"/>
        <v>0</v>
      </c>
      <c r="AY564" s="283">
        <f t="shared" si="550"/>
        <v>0</v>
      </c>
      <c r="AZ564" s="283">
        <f t="shared" si="551"/>
        <v>0</v>
      </c>
      <c r="BA564" s="283">
        <f t="shared" si="552"/>
        <v>0</v>
      </c>
      <c r="BB564" s="283">
        <f t="shared" si="553"/>
        <v>0</v>
      </c>
      <c r="BC564" s="283">
        <f t="shared" si="554"/>
        <v>0</v>
      </c>
      <c r="BD564" s="283">
        <f t="shared" si="555"/>
        <v>0</v>
      </c>
      <c r="BE564" s="283">
        <f t="shared" si="556"/>
        <v>0</v>
      </c>
      <c r="BG564">
        <f t="shared" si="531"/>
        <v>0</v>
      </c>
      <c r="BH564">
        <f t="shared" si="531"/>
        <v>0</v>
      </c>
      <c r="BI564">
        <f t="shared" si="531"/>
        <v>0</v>
      </c>
    </row>
    <row r="565" spans="1:61" ht="15" customHeight="1">
      <c r="A565" s="50"/>
      <c r="B565" s="90"/>
      <c r="C565" s="70"/>
      <c r="D565" s="36"/>
      <c r="E565" s="36"/>
      <c r="F565" s="99" t="s">
        <v>2649</v>
      </c>
      <c r="G565" s="124">
        <f>IF(AND(SUM(G557:G564)=0,COUNTIF(G557:G564,"NS")&gt;0),"NS",
IF(AND(SUM(G557:G564)=0,COUNTIF(G557:G564,0)&gt;0),0,
IF(AND(SUM(G557:G564)=0,COUNTIF(G557:G564,"NA")&gt;0),"NA",
SUM(G557:G564))))</f>
        <v>0</v>
      </c>
      <c r="H565" s="124">
        <f t="shared" ref="H565:AD565" si="557">IF(AND(SUM(H557:H564)=0,COUNTIF(H557:H564,"NS")&gt;0),"NS",
IF(AND(SUM(H557:H564)=0,COUNTIF(H557:H564,0)&gt;0),0,
IF(AND(SUM(H557:H564)=0,COUNTIF(H557:H564,"NA")&gt;0),"NA",
SUM(H557:H564))))</f>
        <v>0</v>
      </c>
      <c r="I565" s="124">
        <f t="shared" si="557"/>
        <v>0</v>
      </c>
      <c r="J565" s="124">
        <f t="shared" si="557"/>
        <v>0</v>
      </c>
      <c r="K565" s="124">
        <f t="shared" si="557"/>
        <v>0</v>
      </c>
      <c r="L565" s="124">
        <f t="shared" si="557"/>
        <v>0</v>
      </c>
      <c r="M565" s="124">
        <f t="shared" si="557"/>
        <v>0</v>
      </c>
      <c r="N565" s="124">
        <f t="shared" si="557"/>
        <v>0</v>
      </c>
      <c r="O565" s="124">
        <f t="shared" si="557"/>
        <v>0</v>
      </c>
      <c r="P565" s="124">
        <f t="shared" si="557"/>
        <v>0</v>
      </c>
      <c r="Q565" s="124">
        <f t="shared" si="557"/>
        <v>0</v>
      </c>
      <c r="R565" s="124">
        <f t="shared" si="557"/>
        <v>0</v>
      </c>
      <c r="S565" s="124">
        <f t="shared" si="557"/>
        <v>0</v>
      </c>
      <c r="T565" s="124">
        <f t="shared" si="557"/>
        <v>0</v>
      </c>
      <c r="U565" s="124">
        <f t="shared" si="557"/>
        <v>0</v>
      </c>
      <c r="V565" s="124">
        <f t="shared" si="557"/>
        <v>0</v>
      </c>
      <c r="W565" s="124">
        <f t="shared" si="557"/>
        <v>0</v>
      </c>
      <c r="X565" s="124">
        <f t="shared" si="557"/>
        <v>0</v>
      </c>
      <c r="Y565" s="124">
        <f t="shared" si="557"/>
        <v>0</v>
      </c>
      <c r="Z565" s="124">
        <f t="shared" si="557"/>
        <v>0</v>
      </c>
      <c r="AA565" s="124">
        <f t="shared" si="557"/>
        <v>0</v>
      </c>
      <c r="AB565" s="124">
        <f t="shared" si="557"/>
        <v>0</v>
      </c>
      <c r="AC565" s="124">
        <f t="shared" si="557"/>
        <v>0</v>
      </c>
      <c r="AD565" s="124">
        <f t="shared" si="557"/>
        <v>0</v>
      </c>
      <c r="AG565" s="349">
        <f>SUM(AG557:AG564)</f>
        <v>0</v>
      </c>
      <c r="AH565" s="350">
        <f>SUM(AH557:AH564)</f>
        <v>0</v>
      </c>
      <c r="AI565" s="326"/>
      <c r="AJ565" s="352">
        <f>SUM(AJ557:AJ564)</f>
        <v>0</v>
      </c>
      <c r="AK565" s="350">
        <f t="shared" ref="AK565" si="558">SUM(AK557:AK564)</f>
        <v>0</v>
      </c>
      <c r="AL565" s="326"/>
      <c r="AM565" s="352">
        <f t="shared" ref="AM565:AN565" si="559">SUM(AM557:AM564)</f>
        <v>0</v>
      </c>
      <c r="AN565" s="350">
        <f t="shared" si="559"/>
        <v>0</v>
      </c>
      <c r="AO565" s="326"/>
      <c r="AP565" s="352">
        <f t="shared" ref="AP565:AQ565" si="560">SUM(AP557:AP564)</f>
        <v>0</v>
      </c>
      <c r="AQ565" s="350">
        <f t="shared" si="560"/>
        <v>0</v>
      </c>
      <c r="AR565" s="326"/>
      <c r="AS565" s="352">
        <f t="shared" ref="AS565:AT565" si="561">SUM(AS557:AS564)</f>
        <v>0</v>
      </c>
      <c r="AT565" s="350">
        <f t="shared" si="561"/>
        <v>0</v>
      </c>
      <c r="AU565" s="326"/>
      <c r="AV565" s="352">
        <f t="shared" ref="AV565:AW565" si="562">SUM(AV557:AV564)</f>
        <v>0</v>
      </c>
      <c r="AW565" s="350">
        <f t="shared" si="562"/>
        <v>0</v>
      </c>
      <c r="AX565" s="326"/>
      <c r="AY565" s="352">
        <f t="shared" ref="AY565:AZ565" si="563">SUM(AY557:AY564)</f>
        <v>0</v>
      </c>
      <c r="AZ565" s="350">
        <f t="shared" si="563"/>
        <v>0</v>
      </c>
      <c r="BA565" s="326"/>
      <c r="BB565" s="352">
        <f t="shared" ref="BB565:BC565" si="564">SUM(BB557:BB564)</f>
        <v>0</v>
      </c>
      <c r="BC565" s="350">
        <f t="shared" si="564"/>
        <v>0</v>
      </c>
      <c r="BD565" s="326"/>
      <c r="BE565" s="352">
        <f t="shared" ref="BE565" si="565">SUM(BE557:BE564)</f>
        <v>0</v>
      </c>
      <c r="BG565" s="370">
        <f>SUM(BG557:BG564)</f>
        <v>0</v>
      </c>
      <c r="BH565" s="371">
        <f>SUM(BH557:BH564)</f>
        <v>0</v>
      </c>
      <c r="BI565" s="372">
        <f>SUM(BI557:BI564)</f>
        <v>0</v>
      </c>
    </row>
    <row r="566" spans="1:61" ht="15" customHeight="1">
      <c r="A566" s="50"/>
      <c r="B566" s="90"/>
      <c r="C566" s="90"/>
      <c r="D566" s="90"/>
      <c r="E566" s="90"/>
      <c r="F566" s="90"/>
      <c r="G566" s="90"/>
      <c r="H566" s="90"/>
      <c r="I566" s="90"/>
      <c r="J566" s="90"/>
      <c r="K566" s="90"/>
      <c r="L566" s="90"/>
      <c r="M566" s="90"/>
      <c r="N566" s="90"/>
      <c r="O566" s="90"/>
      <c r="P566" s="90"/>
      <c r="Q566" s="90"/>
      <c r="R566" s="90"/>
      <c r="S566" s="90"/>
      <c r="T566" s="90"/>
      <c r="U566" s="90"/>
      <c r="V566" s="90"/>
      <c r="W566" s="90"/>
      <c r="X566" s="90"/>
      <c r="Y566" s="90"/>
      <c r="Z566" s="90"/>
      <c r="AA566" s="90"/>
      <c r="AB566" s="90"/>
      <c r="AC566" s="90"/>
      <c r="AD566" s="90"/>
      <c r="BG566"/>
      <c r="BH566"/>
      <c r="BI566" s="373">
        <f>SUM(BG565:BI565)</f>
        <v>0</v>
      </c>
    </row>
    <row r="567" spans="1:61" ht="45" customHeight="1">
      <c r="A567" s="50"/>
      <c r="B567" s="90"/>
      <c r="C567" s="822" t="s">
        <v>3350</v>
      </c>
      <c r="D567" s="822"/>
      <c r="E567" s="822"/>
      <c r="F567" s="749"/>
      <c r="G567" s="749"/>
      <c r="H567" s="749"/>
      <c r="I567" s="749"/>
      <c r="J567" s="749"/>
      <c r="K567" s="749"/>
      <c r="L567" s="749"/>
      <c r="M567" s="749"/>
      <c r="N567" s="749"/>
      <c r="O567" s="749"/>
      <c r="P567" s="749"/>
      <c r="Q567" s="749"/>
      <c r="R567" s="749"/>
      <c r="S567" s="749"/>
      <c r="T567" s="749"/>
      <c r="U567" s="749"/>
      <c r="V567" s="749"/>
      <c r="W567" s="749"/>
      <c r="X567" s="749"/>
      <c r="Y567" s="749"/>
      <c r="Z567" s="749"/>
      <c r="AA567" s="749"/>
      <c r="AB567" s="749"/>
      <c r="AC567" s="749"/>
      <c r="AD567" s="749"/>
      <c r="AI567" s="356" t="s">
        <v>2650</v>
      </c>
      <c r="AJ567" s="283">
        <f>SUM(AJ565,AM565,AP565,AS565,AV565,AY565,BB565,BE565)</f>
        <v>0</v>
      </c>
      <c r="AK567" s="355" t="s">
        <v>2651</v>
      </c>
      <c r="AL567" s="283">
        <f>SUM(AH565,AK565,AN565,AQ565,AT565,AW565,AZ565,BC565)</f>
        <v>0</v>
      </c>
      <c r="AM567" s="283"/>
      <c r="AN567" s="283"/>
    </row>
    <row r="568" spans="1:61" ht="15" customHeight="1">
      <c r="A568" s="50"/>
      <c r="B568" s="794" t="str">
        <f>IF(AND(BF557&gt;0,F567=""),"Ha registrado un valor mayor a cero en la col. Otro estatus debe anotar el nombre de dicho(s) estatus","")</f>
        <v/>
      </c>
      <c r="C568" s="794"/>
      <c r="D568" s="794"/>
      <c r="E568" s="794"/>
      <c r="F568" s="794"/>
      <c r="G568" s="794"/>
      <c r="H568" s="794"/>
      <c r="I568" s="794"/>
      <c r="J568" s="794"/>
      <c r="K568" s="794"/>
      <c r="L568" s="794"/>
      <c r="M568" s="794"/>
      <c r="N568" s="794"/>
      <c r="O568" s="794"/>
      <c r="P568" s="794"/>
      <c r="Q568" s="794"/>
      <c r="R568" s="794"/>
      <c r="S568" s="794"/>
      <c r="T568" s="794"/>
      <c r="U568" s="794"/>
      <c r="V568" s="794"/>
      <c r="W568" s="794"/>
      <c r="X568" s="794"/>
      <c r="Y568" s="794"/>
      <c r="Z568" s="794"/>
      <c r="AA568" s="794"/>
      <c r="AB568" s="794"/>
      <c r="AC568" s="794"/>
      <c r="AD568" s="794"/>
      <c r="AE568" s="794"/>
      <c r="AI568" s="357" t="s">
        <v>2652</v>
      </c>
      <c r="AJ568" s="283">
        <f>IF(AL567&gt;0,IF(SUM(G565)&gt;=SUM(J565,M565,P565,S565,V565,Y565,AB565),0,1),IF(SUM(G565)&lt;&gt;SUM(J565,M565,P565,S565,V565,Y565,AB565),1,0))</f>
        <v>0</v>
      </c>
      <c r="AK568" s="357" t="s">
        <v>2653</v>
      </c>
      <c r="AL568" s="283">
        <f>IF(AL567&gt;0,IF(SUM(H565)&gt;=SUM(K565,N565,Q565,T565,W565,Z565,AC565),0,1),IF(SUM(H565)&lt;&gt;SUM(K565,N565,Q565,T565,W565,Z565,AC565),1,0))</f>
        <v>0</v>
      </c>
      <c r="AM568" s="357" t="s">
        <v>2654</v>
      </c>
      <c r="AN568" s="283">
        <f>IF(AL567&gt;0,IF(SUM(I565)&gt;=SUM(L565,O565,R565,U565,X565,AA565,AD565),0,1),IF(SUM(I565)&lt;&gt;SUM(L565,O565,R565,U565,X565,AA565,AD565),1,0))</f>
        <v>0</v>
      </c>
    </row>
    <row r="569" spans="1:61" ht="24" customHeight="1">
      <c r="A569" s="50"/>
      <c r="B569" s="90"/>
      <c r="C569" s="754" t="s">
        <v>2611</v>
      </c>
      <c r="D569" s="754"/>
      <c r="E569" s="754"/>
      <c r="F569" s="754"/>
      <c r="G569" s="754"/>
      <c r="H569" s="754"/>
      <c r="I569" s="754"/>
      <c r="J569" s="754"/>
      <c r="K569" s="754"/>
      <c r="L569" s="754"/>
      <c r="M569" s="754"/>
      <c r="N569" s="754"/>
      <c r="O569" s="754"/>
      <c r="P569" s="754"/>
      <c r="Q569" s="754"/>
      <c r="R569" s="754"/>
      <c r="S569" s="754"/>
      <c r="T569" s="754"/>
      <c r="U569" s="754"/>
      <c r="V569" s="754"/>
      <c r="W569" s="754"/>
      <c r="X569" s="754"/>
      <c r="Y569" s="754"/>
      <c r="Z569" s="754"/>
      <c r="AA569" s="754"/>
      <c r="AB569" s="754"/>
      <c r="AC569" s="754"/>
      <c r="AD569" s="754"/>
    </row>
    <row r="570" spans="1:61" ht="60" customHeight="1">
      <c r="A570" s="50"/>
      <c r="B570" s="90"/>
      <c r="C570" s="851"/>
      <c r="D570" s="851"/>
      <c r="E570" s="851"/>
      <c r="F570" s="851"/>
      <c r="G570" s="851"/>
      <c r="H570" s="851"/>
      <c r="I570" s="851"/>
      <c r="J570" s="851"/>
      <c r="K570" s="851"/>
      <c r="L570" s="851"/>
      <c r="M570" s="851"/>
      <c r="N570" s="851"/>
      <c r="O570" s="851"/>
      <c r="P570" s="851"/>
      <c r="Q570" s="851"/>
      <c r="R570" s="851"/>
      <c r="S570" s="851"/>
      <c r="T570" s="851"/>
      <c r="U570" s="851"/>
      <c r="V570" s="851"/>
      <c r="W570" s="851"/>
      <c r="X570" s="851"/>
      <c r="Y570" s="851"/>
      <c r="Z570" s="851"/>
      <c r="AA570" s="851"/>
      <c r="AB570" s="851"/>
      <c r="AC570" s="851"/>
      <c r="AD570" s="851"/>
    </row>
    <row r="571" spans="1:61" ht="15" customHeight="1">
      <c r="A571" s="50"/>
      <c r="B571" s="794" t="str">
        <f>IF(AG565&gt;0,"Favor de ingresar toda la información requerida en la pregunta ","")</f>
        <v/>
      </c>
      <c r="C571" s="794"/>
      <c r="D571" s="794"/>
      <c r="E571" s="794"/>
      <c r="F571" s="794"/>
      <c r="G571" s="794"/>
      <c r="H571" s="794"/>
      <c r="I571" s="794"/>
      <c r="J571" s="794"/>
      <c r="K571" s="794"/>
      <c r="L571" s="794"/>
      <c r="M571" s="794"/>
      <c r="N571" s="794"/>
      <c r="O571" s="794"/>
      <c r="P571" s="794"/>
      <c r="Q571" s="794"/>
      <c r="R571" s="794"/>
      <c r="S571" s="794"/>
      <c r="T571" s="794"/>
      <c r="U571" s="794"/>
      <c r="V571" s="794"/>
      <c r="W571" s="794"/>
      <c r="X571" s="794"/>
      <c r="Y571" s="794"/>
      <c r="Z571" s="794"/>
      <c r="AA571" s="794"/>
      <c r="AB571" s="794"/>
      <c r="AC571" s="794"/>
      <c r="AD571" s="794"/>
      <c r="AE571"/>
    </row>
    <row r="572" spans="1:61" ht="15" customHeight="1">
      <c r="A572" s="50"/>
      <c r="B572" s="795" t="str">
        <f>IF(AL567&gt;0,"Alerta: debido a que cuenta con registros NS, debe proporcionar una justificación en el area de comentarios al final de la pregunta","")</f>
        <v/>
      </c>
      <c r="C572" s="795"/>
      <c r="D572" s="795"/>
      <c r="E572" s="795"/>
      <c r="F572" s="795"/>
      <c r="G572" s="795"/>
      <c r="H572" s="795"/>
      <c r="I572" s="795"/>
      <c r="J572" s="795"/>
      <c r="K572" s="795"/>
      <c r="L572" s="795"/>
      <c r="M572" s="795"/>
      <c r="N572" s="795"/>
      <c r="O572" s="795"/>
      <c r="P572" s="795"/>
      <c r="Q572" s="795"/>
      <c r="R572" s="795"/>
      <c r="S572" s="795"/>
      <c r="T572" s="795"/>
      <c r="U572" s="795"/>
      <c r="V572" s="795"/>
      <c r="W572" s="795"/>
      <c r="X572" s="795"/>
      <c r="Y572" s="795"/>
      <c r="Z572" s="795"/>
      <c r="AA572" s="795"/>
      <c r="AB572" s="795"/>
      <c r="AC572" s="795"/>
      <c r="AD572" s="795"/>
      <c r="AE572"/>
    </row>
    <row r="573" spans="1:61" ht="15" customHeight="1">
      <c r="A573" s="50"/>
      <c r="B573" s="794" t="str">
        <f>IF(OR(AJ567&gt;0,AJ568&gt;0,AL568&gt;0,AN568&gt;0),"Favor de revisar la suma y consistencia de totales y/o subtotales por filas (numéricos y NS)","")</f>
        <v/>
      </c>
      <c r="C573" s="794"/>
      <c r="D573" s="794"/>
      <c r="E573" s="794"/>
      <c r="F573" s="794"/>
      <c r="G573" s="794"/>
      <c r="H573" s="794"/>
      <c r="I573" s="794"/>
      <c r="J573" s="794"/>
      <c r="K573" s="794"/>
      <c r="L573" s="794"/>
      <c r="M573" s="794"/>
      <c r="N573" s="794"/>
      <c r="O573" s="794"/>
      <c r="P573" s="794"/>
      <c r="Q573" s="794"/>
      <c r="R573" s="794"/>
      <c r="S573" s="794"/>
      <c r="T573" s="794"/>
      <c r="U573" s="794"/>
      <c r="V573" s="794"/>
      <c r="W573" s="794"/>
      <c r="X573" s="794"/>
      <c r="Y573" s="794"/>
      <c r="Z573" s="794"/>
      <c r="AA573" s="794"/>
      <c r="AB573" s="794"/>
      <c r="AC573" s="794"/>
      <c r="AD573" s="794"/>
      <c r="AE573"/>
    </row>
    <row r="574" spans="1:61" ht="15" customHeight="1">
      <c r="A574" s="50"/>
      <c r="B574" s="795" t="str">
        <f>IF(BI566&gt;0,"Alerta: debe de proporcionar una justificación de acuerdo a lo establecido en la instrucción 1","")</f>
        <v/>
      </c>
      <c r="C574" s="795"/>
      <c r="D574" s="795"/>
      <c r="E574" s="795"/>
      <c r="F574" s="795"/>
      <c r="G574" s="795"/>
      <c r="H574" s="795"/>
      <c r="I574" s="795"/>
      <c r="J574" s="795"/>
      <c r="K574" s="795"/>
      <c r="L574" s="795"/>
      <c r="M574" s="795"/>
      <c r="N574" s="795"/>
      <c r="O574" s="795"/>
      <c r="P574" s="795"/>
      <c r="Q574" s="795"/>
      <c r="R574" s="795"/>
      <c r="S574" s="795"/>
      <c r="T574" s="795"/>
      <c r="U574" s="795"/>
      <c r="V574" s="795"/>
      <c r="W574" s="795"/>
      <c r="X574" s="795"/>
      <c r="Y574" s="795"/>
      <c r="Z574" s="795"/>
      <c r="AA574" s="795"/>
      <c r="AB574" s="795"/>
      <c r="AC574" s="795"/>
      <c r="AD574" s="795"/>
      <c r="AE574" s="795"/>
    </row>
    <row r="575" spans="1:61" ht="15" customHeight="1">
      <c r="A575" s="50"/>
      <c r="B575" s="90"/>
      <c r="C575" s="90"/>
      <c r="D575" s="90"/>
      <c r="E575" s="90"/>
      <c r="F575" s="90"/>
      <c r="G575" s="363"/>
      <c r="H575" s="84"/>
      <c r="I575" s="84"/>
      <c r="J575" s="84"/>
      <c r="K575" s="84"/>
      <c r="L575" s="84"/>
      <c r="M575" s="84"/>
      <c r="N575" s="84"/>
      <c r="O575" s="84"/>
      <c r="P575" s="84"/>
      <c r="Q575" s="84"/>
      <c r="R575" s="84"/>
      <c r="S575" s="84"/>
      <c r="T575" s="84"/>
      <c r="U575" s="84"/>
      <c r="V575" s="84"/>
      <c r="W575" s="84"/>
      <c r="X575" s="84"/>
      <c r="Y575" s="84"/>
      <c r="Z575" s="84"/>
      <c r="AA575" s="84"/>
      <c r="AB575" s="84"/>
      <c r="AC575" s="84"/>
      <c r="AD575" s="84"/>
    </row>
    <row r="576" spans="1:61" ht="15" customHeight="1" thickBot="1">
      <c r="A576" s="50"/>
      <c r="B576" s="90"/>
      <c r="C576" s="90"/>
      <c r="D576" s="90"/>
      <c r="E576" s="90"/>
      <c r="F576" s="90"/>
      <c r="G576" s="363"/>
      <c r="H576" s="84"/>
      <c r="I576" s="84"/>
      <c r="J576" s="84"/>
      <c r="K576" s="84"/>
      <c r="L576" s="84"/>
      <c r="M576" s="84"/>
      <c r="N576" s="84"/>
      <c r="O576" s="84"/>
      <c r="P576" s="84"/>
      <c r="Q576" s="84"/>
      <c r="R576" s="84"/>
      <c r="S576" s="84"/>
      <c r="T576" s="84"/>
      <c r="U576" s="84"/>
      <c r="V576" s="84"/>
      <c r="W576" s="84"/>
      <c r="X576" s="84"/>
      <c r="Y576" s="84"/>
      <c r="Z576" s="84"/>
      <c r="AA576" s="84"/>
      <c r="AB576" s="84"/>
      <c r="AC576" s="84"/>
      <c r="AD576" s="84"/>
    </row>
    <row r="577" spans="1:69" customFormat="1" ht="15" customHeight="1" thickBot="1">
      <c r="A577" s="153" t="s">
        <v>2563</v>
      </c>
      <c r="B577" s="943" t="s">
        <v>3353</v>
      </c>
      <c r="C577" s="944"/>
      <c r="D577" s="944"/>
      <c r="E577" s="944"/>
      <c r="F577" s="944"/>
      <c r="G577" s="944"/>
      <c r="H577" s="944"/>
      <c r="I577" s="944"/>
      <c r="J577" s="944"/>
      <c r="K577" s="944"/>
      <c r="L577" s="944"/>
      <c r="M577" s="944"/>
      <c r="N577" s="944"/>
      <c r="O577" s="944"/>
      <c r="P577" s="944"/>
      <c r="Q577" s="944"/>
      <c r="R577" s="944"/>
      <c r="S577" s="944"/>
      <c r="T577" s="944"/>
      <c r="U577" s="944"/>
      <c r="V577" s="944"/>
      <c r="W577" s="944"/>
      <c r="X577" s="944"/>
      <c r="Y577" s="944"/>
      <c r="Z577" s="944"/>
      <c r="AA577" s="944"/>
      <c r="AB577" s="944"/>
      <c r="AC577" s="944"/>
      <c r="AD577" s="945"/>
      <c r="AE577" s="3"/>
    </row>
    <row r="578" spans="1:69" ht="15" customHeight="1">
      <c r="A578" s="94"/>
      <c r="B578" s="946" t="s">
        <v>3332</v>
      </c>
      <c r="C578" s="867"/>
      <c r="D578" s="867"/>
      <c r="E578" s="867"/>
      <c r="F578" s="867"/>
      <c r="G578" s="867"/>
      <c r="H578" s="867"/>
      <c r="I578" s="867"/>
      <c r="J578" s="867"/>
      <c r="K578" s="867"/>
      <c r="L578" s="867"/>
      <c r="M578" s="867"/>
      <c r="N578" s="867"/>
      <c r="O578" s="867"/>
      <c r="P578" s="867"/>
      <c r="Q578" s="867"/>
      <c r="R578" s="867"/>
      <c r="S578" s="867"/>
      <c r="T578" s="867"/>
      <c r="U578" s="867"/>
      <c r="V578" s="867"/>
      <c r="W578" s="867"/>
      <c r="X578" s="867"/>
      <c r="Y578" s="867"/>
      <c r="Z578" s="867"/>
      <c r="AA578" s="867"/>
      <c r="AB578" s="867"/>
      <c r="AC578" s="867"/>
      <c r="AD578" s="947"/>
    </row>
    <row r="579" spans="1:69" ht="36" customHeight="1">
      <c r="A579" s="147"/>
      <c r="B579" s="149"/>
      <c r="C579" s="754" t="s">
        <v>3354</v>
      </c>
      <c r="D579" s="754"/>
      <c r="E579" s="754"/>
      <c r="F579" s="754"/>
      <c r="G579" s="754"/>
      <c r="H579" s="754"/>
      <c r="I579" s="754"/>
      <c r="J579" s="754"/>
      <c r="K579" s="754"/>
      <c r="L579" s="754"/>
      <c r="M579" s="754"/>
      <c r="N579" s="754"/>
      <c r="O579" s="754"/>
      <c r="P579" s="754"/>
      <c r="Q579" s="754"/>
      <c r="R579" s="754"/>
      <c r="S579" s="754"/>
      <c r="T579" s="754"/>
      <c r="U579" s="754"/>
      <c r="V579" s="754"/>
      <c r="W579" s="754"/>
      <c r="X579" s="754"/>
      <c r="Y579" s="754"/>
      <c r="Z579" s="754"/>
      <c r="AA579" s="754"/>
      <c r="AB579" s="754"/>
      <c r="AC579" s="754"/>
      <c r="AD579" s="891"/>
    </row>
    <row r="580" spans="1:69" ht="24" customHeight="1">
      <c r="A580" s="147"/>
      <c r="B580" s="209"/>
      <c r="C580" s="855" t="s">
        <v>3355</v>
      </c>
      <c r="D580" s="855"/>
      <c r="E580" s="855"/>
      <c r="F580" s="855"/>
      <c r="G580" s="855"/>
      <c r="H580" s="855"/>
      <c r="I580" s="855"/>
      <c r="J580" s="855"/>
      <c r="K580" s="855"/>
      <c r="L580" s="855"/>
      <c r="M580" s="855"/>
      <c r="N580" s="855"/>
      <c r="O580" s="855"/>
      <c r="P580" s="855"/>
      <c r="Q580" s="855"/>
      <c r="R580" s="855"/>
      <c r="S580" s="855"/>
      <c r="T580" s="855"/>
      <c r="U580" s="855"/>
      <c r="V580" s="855"/>
      <c r="W580" s="855"/>
      <c r="X580" s="855"/>
      <c r="Y580" s="855"/>
      <c r="Z580" s="855"/>
      <c r="AA580" s="855"/>
      <c r="AB580" s="855"/>
      <c r="AC580" s="855"/>
      <c r="AD580" s="856"/>
    </row>
    <row r="581" spans="1:69" ht="15">
      <c r="A581" s="94"/>
    </row>
    <row r="582" spans="1:69" ht="36" customHeight="1">
      <c r="A582" s="49" t="s">
        <v>3356</v>
      </c>
      <c r="B582" s="829" t="s">
        <v>3357</v>
      </c>
      <c r="C582" s="829"/>
      <c r="D582" s="829"/>
      <c r="E582" s="829"/>
      <c r="F582" s="829"/>
      <c r="G582" s="829"/>
      <c r="H582" s="829"/>
      <c r="I582" s="829"/>
      <c r="J582" s="829"/>
      <c r="K582" s="829"/>
      <c r="L582" s="829"/>
      <c r="M582" s="829"/>
      <c r="N582" s="829"/>
      <c r="O582" s="829"/>
      <c r="P582" s="829"/>
      <c r="Q582" s="829"/>
      <c r="R582" s="829"/>
      <c r="S582" s="829"/>
      <c r="T582" s="829"/>
      <c r="U582" s="829"/>
      <c r="V582" s="829"/>
      <c r="W582" s="829"/>
      <c r="X582" s="829"/>
      <c r="Y582" s="829"/>
      <c r="Z582" s="829"/>
      <c r="AA582" s="829"/>
      <c r="AB582" s="829"/>
      <c r="AC582" s="829"/>
      <c r="AD582" s="829"/>
    </row>
    <row r="583" spans="1:69" ht="24" customHeight="1">
      <c r="A583" s="49"/>
      <c r="B583" s="203"/>
      <c r="C583" s="754" t="s">
        <v>3358</v>
      </c>
      <c r="D583" s="754"/>
      <c r="E583" s="754"/>
      <c r="F583" s="754"/>
      <c r="G583" s="754"/>
      <c r="H583" s="754"/>
      <c r="I583" s="754"/>
      <c r="J583" s="754"/>
      <c r="K583" s="754"/>
      <c r="L583" s="754"/>
      <c r="M583" s="754"/>
      <c r="N583" s="754"/>
      <c r="O583" s="754"/>
      <c r="P583" s="754"/>
      <c r="Q583" s="754"/>
      <c r="R583" s="754"/>
      <c r="S583" s="754"/>
      <c r="T583" s="754"/>
      <c r="U583" s="754"/>
      <c r="V583" s="754"/>
      <c r="W583" s="754"/>
      <c r="X583" s="754"/>
      <c r="Y583" s="754"/>
      <c r="Z583" s="754"/>
      <c r="AA583" s="754"/>
      <c r="AB583" s="754"/>
      <c r="AC583" s="754"/>
      <c r="AD583" s="754"/>
    </row>
    <row r="584" spans="1:69" ht="24" customHeight="1">
      <c r="A584" s="49"/>
      <c r="B584" s="57"/>
      <c r="C584" s="754" t="s">
        <v>3359</v>
      </c>
      <c r="D584" s="754"/>
      <c r="E584" s="754"/>
      <c r="F584" s="754"/>
      <c r="G584" s="754"/>
      <c r="H584" s="754"/>
      <c r="I584" s="754"/>
      <c r="J584" s="754"/>
      <c r="K584" s="754"/>
      <c r="L584" s="754"/>
      <c r="M584" s="754"/>
      <c r="N584" s="754"/>
      <c r="O584" s="754"/>
      <c r="P584" s="754"/>
      <c r="Q584" s="754"/>
      <c r="R584" s="754"/>
      <c r="S584" s="754"/>
      <c r="T584" s="754"/>
      <c r="U584" s="754"/>
      <c r="V584" s="754"/>
      <c r="W584" s="754"/>
      <c r="X584" s="754"/>
      <c r="Y584" s="754"/>
      <c r="Z584" s="754"/>
      <c r="AA584" s="754"/>
      <c r="AB584" s="754"/>
      <c r="AC584" s="754"/>
      <c r="AD584" s="754"/>
    </row>
    <row r="585" spans="1:69" ht="36" customHeight="1">
      <c r="A585" s="49"/>
      <c r="B585" s="57"/>
      <c r="C585" s="830" t="s">
        <v>3360</v>
      </c>
      <c r="D585" s="830"/>
      <c r="E585" s="830"/>
      <c r="F585" s="830"/>
      <c r="G585" s="830"/>
      <c r="H585" s="830"/>
      <c r="I585" s="830"/>
      <c r="J585" s="830"/>
      <c r="K585" s="830"/>
      <c r="L585" s="830"/>
      <c r="M585" s="830"/>
      <c r="N585" s="830"/>
      <c r="O585" s="830"/>
      <c r="P585" s="830"/>
      <c r="Q585" s="830"/>
      <c r="R585" s="830"/>
      <c r="S585" s="830"/>
      <c r="T585" s="830"/>
      <c r="U585" s="830"/>
      <c r="V585" s="830"/>
      <c r="W585" s="830"/>
      <c r="X585" s="830"/>
      <c r="Y585" s="830"/>
      <c r="Z585" s="830"/>
      <c r="AA585" s="830"/>
      <c r="AB585" s="830"/>
      <c r="AC585" s="830"/>
      <c r="AD585" s="830"/>
    </row>
    <row r="586" spans="1:69" ht="15" customHeight="1">
      <c r="A586" s="103"/>
      <c r="B586" s="57"/>
      <c r="C586" s="86"/>
      <c r="D586" s="86"/>
      <c r="E586" s="86"/>
      <c r="F586" s="86"/>
      <c r="G586" s="86"/>
      <c r="H586" s="86"/>
      <c r="I586" s="86"/>
      <c r="J586" s="86"/>
      <c r="K586" s="86"/>
      <c r="L586" s="86"/>
      <c r="M586" s="86"/>
      <c r="N586" s="86"/>
      <c r="O586" s="86"/>
      <c r="P586" s="86"/>
      <c r="Q586" s="86"/>
      <c r="R586" s="86"/>
      <c r="S586" s="86"/>
      <c r="T586" s="86"/>
      <c r="U586" s="86"/>
      <c r="V586" s="86"/>
      <c r="W586" s="86"/>
      <c r="X586" s="86"/>
      <c r="Y586" s="86"/>
      <c r="Z586" s="86"/>
      <c r="AA586" s="86"/>
      <c r="AB586" s="86"/>
      <c r="AC586" s="86"/>
      <c r="AD586" s="86"/>
    </row>
    <row r="587" spans="1:69" ht="15" customHeight="1">
      <c r="A587" s="49"/>
      <c r="B587" s="57"/>
      <c r="C587" s="86"/>
      <c r="D587" s="86"/>
      <c r="E587" s="86"/>
      <c r="F587" s="86"/>
      <c r="G587" s="86"/>
      <c r="H587" s="86"/>
      <c r="I587" s="86"/>
      <c r="J587" s="86"/>
      <c r="K587" s="86"/>
      <c r="L587" s="86"/>
      <c r="M587" s="86"/>
      <c r="N587" s="86"/>
      <c r="O587" s="86"/>
      <c r="P587" s="86"/>
      <c r="Q587" s="86"/>
      <c r="R587" s="86"/>
      <c r="S587" s="86"/>
      <c r="T587" s="86"/>
      <c r="U587" s="86"/>
      <c r="V587" s="86"/>
      <c r="W587" s="86"/>
      <c r="X587" s="86"/>
      <c r="Y587" s="86"/>
      <c r="Z587" s="86"/>
      <c r="AA587" s="873" t="s">
        <v>2664</v>
      </c>
      <c r="AB587" s="873"/>
      <c r="AC587" s="873"/>
      <c r="AD587" s="873"/>
    </row>
    <row r="588" spans="1:69" ht="48" customHeight="1">
      <c r="A588" s="49"/>
      <c r="B588" s="57"/>
      <c r="C588" s="797" t="s">
        <v>2581</v>
      </c>
      <c r="D588" s="798"/>
      <c r="E588" s="798"/>
      <c r="F588" s="798"/>
      <c r="G588" s="798"/>
      <c r="H588" s="798"/>
      <c r="I588" s="799"/>
      <c r="J588" s="739" t="s">
        <v>3361</v>
      </c>
      <c r="K588" s="740"/>
      <c r="L588" s="740"/>
      <c r="M588" s="740"/>
      <c r="N588" s="740"/>
      <c r="O588" s="740"/>
      <c r="P588" s="740"/>
      <c r="Q588" s="740"/>
      <c r="R588" s="740"/>
      <c r="S588" s="740"/>
      <c r="T588" s="740"/>
      <c r="U588" s="740"/>
      <c r="V588" s="740"/>
      <c r="W588" s="740"/>
      <c r="X588" s="740"/>
      <c r="Y588" s="740"/>
      <c r="Z588" s="740"/>
      <c r="AA588" s="740"/>
      <c r="AB588" s="740"/>
      <c r="AC588" s="740"/>
      <c r="AD588" s="741"/>
    </row>
    <row r="589" spans="1:69" ht="24" customHeight="1">
      <c r="A589" s="49"/>
      <c r="B589" s="57"/>
      <c r="C589" s="800"/>
      <c r="D589" s="801"/>
      <c r="E589" s="801"/>
      <c r="F589" s="801"/>
      <c r="G589" s="801"/>
      <c r="H589" s="801"/>
      <c r="I589" s="802"/>
      <c r="J589" s="887" t="s">
        <v>2628</v>
      </c>
      <c r="K589" s="889" t="s">
        <v>2629</v>
      </c>
      <c r="L589" s="889" t="s">
        <v>2630</v>
      </c>
      <c r="M589" s="736" t="s">
        <v>3362</v>
      </c>
      <c r="N589" s="736"/>
      <c r="O589" s="736"/>
      <c r="P589" s="736"/>
      <c r="Q589" s="736"/>
      <c r="R589" s="736"/>
      <c r="S589" s="736"/>
      <c r="T589" s="736"/>
      <c r="U589" s="736"/>
      <c r="V589" s="736"/>
      <c r="W589" s="736"/>
      <c r="X589" s="736"/>
      <c r="Y589" s="736"/>
      <c r="Z589" s="736"/>
      <c r="AA589" s="736"/>
      <c r="AB589" s="736"/>
      <c r="AC589" s="736"/>
      <c r="AD589" s="736"/>
    </row>
    <row r="590" spans="1:69" ht="120" customHeight="1">
      <c r="A590" s="49"/>
      <c r="B590" s="57"/>
      <c r="C590" s="800"/>
      <c r="D590" s="801"/>
      <c r="E590" s="801"/>
      <c r="F590" s="801"/>
      <c r="G590" s="801"/>
      <c r="H590" s="801"/>
      <c r="I590" s="802"/>
      <c r="J590" s="958"/>
      <c r="K590" s="959"/>
      <c r="L590" s="959"/>
      <c r="M590" s="845" t="s">
        <v>3363</v>
      </c>
      <c r="N590" s="952"/>
      <c r="O590" s="952"/>
      <c r="P590" s="845" t="s">
        <v>3364</v>
      </c>
      <c r="Q590" s="952"/>
      <c r="R590" s="952"/>
      <c r="S590" s="845" t="s">
        <v>3365</v>
      </c>
      <c r="T590" s="952"/>
      <c r="U590" s="952"/>
      <c r="V590" s="845" t="s">
        <v>3366</v>
      </c>
      <c r="W590" s="952"/>
      <c r="X590" s="846"/>
      <c r="Y590" s="845" t="s">
        <v>3367</v>
      </c>
      <c r="Z590" s="952"/>
      <c r="AA590" s="846"/>
      <c r="AB590" s="845" t="s">
        <v>3368</v>
      </c>
      <c r="AC590" s="952"/>
      <c r="AD590" s="846"/>
    </row>
    <row r="591" spans="1:69" ht="48" customHeight="1">
      <c r="A591" s="49"/>
      <c r="B591" s="57"/>
      <c r="C591" s="803"/>
      <c r="D591" s="804"/>
      <c r="E591" s="804"/>
      <c r="F591" s="804"/>
      <c r="G591" s="804"/>
      <c r="H591" s="804"/>
      <c r="I591" s="805"/>
      <c r="J591" s="888"/>
      <c r="K591" s="890"/>
      <c r="L591" s="890"/>
      <c r="M591" s="171" t="s">
        <v>2635</v>
      </c>
      <c r="N591" s="121" t="s">
        <v>2629</v>
      </c>
      <c r="O591" s="128" t="s">
        <v>2630</v>
      </c>
      <c r="P591" s="171" t="s">
        <v>2635</v>
      </c>
      <c r="Q591" s="121" t="s">
        <v>2629</v>
      </c>
      <c r="R591" s="128" t="s">
        <v>2630</v>
      </c>
      <c r="S591" s="171" t="s">
        <v>2635</v>
      </c>
      <c r="T591" s="121" t="s">
        <v>2629</v>
      </c>
      <c r="U591" s="128" t="s">
        <v>2630</v>
      </c>
      <c r="V591" s="171" t="s">
        <v>2635</v>
      </c>
      <c r="W591" s="121" t="s">
        <v>2629</v>
      </c>
      <c r="X591" s="128" t="s">
        <v>2630</v>
      </c>
      <c r="Y591" s="171" t="s">
        <v>2635</v>
      </c>
      <c r="Z591" s="121" t="s">
        <v>2629</v>
      </c>
      <c r="AA591" s="128" t="s">
        <v>2630</v>
      </c>
      <c r="AB591" s="171" t="s">
        <v>2635</v>
      </c>
      <c r="AC591" s="121" t="s">
        <v>2629</v>
      </c>
      <c r="AD591" s="128" t="s">
        <v>2630</v>
      </c>
      <c r="AG591" s="354" t="s">
        <v>2586</v>
      </c>
      <c r="AH591" s="282" t="s">
        <v>2637</v>
      </c>
      <c r="AI591" s="280" t="s">
        <v>2638</v>
      </c>
      <c r="AJ591" s="281" t="s">
        <v>2639</v>
      </c>
      <c r="AK591" s="282" t="s">
        <v>2640</v>
      </c>
      <c r="AL591" s="280" t="s">
        <v>2641</v>
      </c>
      <c r="AM591" s="281" t="s">
        <v>2642</v>
      </c>
      <c r="AN591" s="282" t="s">
        <v>2643</v>
      </c>
      <c r="AO591" s="280" t="s">
        <v>2644</v>
      </c>
      <c r="AP591" s="281" t="s">
        <v>2645</v>
      </c>
      <c r="AQ591" s="282" t="s">
        <v>2646</v>
      </c>
      <c r="AR591" s="280" t="s">
        <v>2647</v>
      </c>
      <c r="AS591" s="281" t="s">
        <v>2648</v>
      </c>
      <c r="AT591" s="282" t="s">
        <v>2756</v>
      </c>
      <c r="AU591" s="280" t="s">
        <v>2757</v>
      </c>
      <c r="AV591" s="281" t="s">
        <v>2758</v>
      </c>
      <c r="AW591" s="282" t="s">
        <v>2759</v>
      </c>
      <c r="AX591" s="280" t="s">
        <v>2760</v>
      </c>
      <c r="AY591" s="281" t="s">
        <v>2761</v>
      </c>
      <c r="AZ591" s="282" t="s">
        <v>2762</v>
      </c>
      <c r="BA591" s="280" t="s">
        <v>2763</v>
      </c>
      <c r="BB591" s="281" t="s">
        <v>2764</v>
      </c>
      <c r="BC591" s="282" t="s">
        <v>2765</v>
      </c>
      <c r="BD591" s="280" t="s">
        <v>2766</v>
      </c>
      <c r="BE591" s="281" t="s">
        <v>2767</v>
      </c>
      <c r="BF591" s="282" t="s">
        <v>2768</v>
      </c>
      <c r="BG591" s="280" t="s">
        <v>2769</v>
      </c>
      <c r="BH591" s="281" t="s">
        <v>2770</v>
      </c>
      <c r="BI591" s="282" t="s">
        <v>2771</v>
      </c>
      <c r="BJ591" s="280" t="s">
        <v>2772</v>
      </c>
      <c r="BK591" s="281" t="s">
        <v>2773</v>
      </c>
      <c r="BL591" s="282" t="s">
        <v>2774</v>
      </c>
      <c r="BM591" s="280" t="s">
        <v>2775</v>
      </c>
      <c r="BN591" s="281" t="s">
        <v>2776</v>
      </c>
      <c r="BO591" s="282" t="s">
        <v>3212</v>
      </c>
      <c r="BP591" s="280" t="s">
        <v>3213</v>
      </c>
      <c r="BQ591" s="281" t="s">
        <v>3214</v>
      </c>
    </row>
    <row r="592" spans="1:69" ht="15" customHeight="1">
      <c r="A592" s="49"/>
      <c r="B592" s="57"/>
      <c r="C592" s="97" t="s">
        <v>2516</v>
      </c>
      <c r="D592" s="796" t="str">
        <f>IF(CNSIPEE_2024_M2_Secc1!D42="","",CNSIPEE_2024_M2_Secc1!D42)</f>
        <v/>
      </c>
      <c r="E592" s="796"/>
      <c r="F592" s="796"/>
      <c r="G592" s="796"/>
      <c r="H592" s="796"/>
      <c r="I592" s="796"/>
      <c r="J592" s="100"/>
      <c r="K592" s="100"/>
      <c r="L592" s="100"/>
      <c r="M592" s="100"/>
      <c r="N592" s="100"/>
      <c r="O592" s="100"/>
      <c r="P592" s="100"/>
      <c r="Q592" s="100"/>
      <c r="R592" s="100"/>
      <c r="S592" s="100"/>
      <c r="T592" s="100"/>
      <c r="U592" s="100"/>
      <c r="V592" s="100"/>
      <c r="W592" s="100"/>
      <c r="X592" s="100"/>
      <c r="Y592" s="100"/>
      <c r="Z592" s="100"/>
      <c r="AA592" s="100"/>
      <c r="AB592" s="100"/>
      <c r="AC592" s="100"/>
      <c r="AD592" s="100"/>
      <c r="AG592" s="326">
        <f>IF(AND(COUNTBLANK(D592)=0,COUNTA(J592:AD592,P607:AD607)=36),0,IF(AND(COUNTBLANK(D592)=1,COUNTA(J592:AD592,P607:AD607)=0),0,1))</f>
        <v>0</v>
      </c>
      <c r="AH592" s="283">
        <f>COUNTIF(K592:L592,"NS")</f>
        <v>0</v>
      </c>
      <c r="AI592" s="283">
        <f>SUM(K592:L592)</f>
        <v>0</v>
      </c>
      <c r="AJ592" s="283">
        <f>IF(COUNTIF(J592:L592,"NA")=3,0,IF(COUNTA(J592:L592)=0,0,IF(OR(AND(J592=0,AH592&gt;0),AND(J592="ns",AI592&gt;0),AND(J592="ns",AH592=0,AI592=0)),1,IF(OR(AND(J592&gt;0,AH592=2),AND(J592="ns",AH592=2),AND(J592="ns",AI592=0,AH592&gt;0),J592=AI592),0,1))))</f>
        <v>0</v>
      </c>
      <c r="AK592" s="283">
        <f>COUNTIF(N592:O592,"NS")</f>
        <v>0</v>
      </c>
      <c r="AL592" s="283">
        <f>SUM(N592:O592)</f>
        <v>0</v>
      </c>
      <c r="AM592" s="283">
        <f>IF(COUNTIF(M592:O592,"NA")=3,0,IF(COUNTA(M592:O592)=0,0,IF(OR(AND(M592=0,AK592&gt;0),AND(M592="ns",AL592&gt;0),AND(M592="ns",AK592=0,AL592=0)),1,IF(OR(AND(M592&gt;0,AK592=2),AND(M592="ns",AK592=2),AND(M592="ns",AL592=0,AK592&gt;0),M592=AL592),0,1))))</f>
        <v>0</v>
      </c>
      <c r="AN592" s="283">
        <f>COUNTIF(Q592:R592,"NS")</f>
        <v>0</v>
      </c>
      <c r="AO592" s="283">
        <f>SUM(Q592:R592)</f>
        <v>0</v>
      </c>
      <c r="AP592" s="283">
        <f>IF(COUNTIF(P592:R592,"NA")=3,0,IF(COUNTA(P592:R592)=0,0,IF(OR(AND(P592=0,AN592&gt;0),AND(P592="ns",AO592&gt;0),AND(P592="ns",AN592=0,AO592=0)),1,IF(OR(AND(P592&gt;0,AN592=2),AND(P592="ns",AN592=2),AND(P592="ns",AO592=0,AN592&gt;0),P592=AO592),0,1))))</f>
        <v>0</v>
      </c>
      <c r="AQ592" s="283">
        <f>COUNTIF(T592:U592,"NS")</f>
        <v>0</v>
      </c>
      <c r="AR592" s="283">
        <f>SUM(T592:U592)</f>
        <v>0</v>
      </c>
      <c r="AS592" s="283">
        <f>IF(COUNTIF(S592:U592,"NA")=3,0,IF(COUNTA(S592:U592)=0,0,IF(OR(AND(S592=0,AQ592&gt;0),AND(S592="ns",AR592&gt;0),AND(S592="ns",AQ592=0,AR592=0)),1,IF(OR(AND(S592&gt;0,AQ592=2),AND(S592="ns",AQ592=2),AND(S592="ns",AR592=0,AQ592&gt;0),S592=AR592),0,1))))</f>
        <v>0</v>
      </c>
      <c r="AT592" s="283">
        <f>COUNTIF(W592:X592,"NS")</f>
        <v>0</v>
      </c>
      <c r="AU592" s="283">
        <f>SUM(W592:X592)</f>
        <v>0</v>
      </c>
      <c r="AV592" s="283">
        <f>IF(COUNTIF(V592:X592,"NA")=3,0,IF(COUNTA(V592:X592)=0,0,IF(OR(AND(V592=0,AT592&gt;0),AND(V592="ns",AU592&gt;0),AND(V592="ns",AT592=0,AU592=0)),1,IF(OR(AND(V592&gt;0,AT592=2),AND(V592="ns",AT592=2),AND(V592="ns",AU592=0,AT592&gt;0),V592=AU592),0,1))))</f>
        <v>0</v>
      </c>
      <c r="AW592" s="283">
        <f>COUNTIF(Z592:AA592,"NS")</f>
        <v>0</v>
      </c>
      <c r="AX592" s="283">
        <f>SUM(Z592:AA592)</f>
        <v>0</v>
      </c>
      <c r="AY592" s="283">
        <f>IF(COUNTIF(Y592:AA592,"NA")=3,0,IF(COUNTA(Y592:AA592)=0,0,IF(OR(AND(Y592=0,AW592&gt;0),AND(Y592="ns",AX592&gt;0),AND(Y592="ns",AW592=0,AX592=0)),1,IF(OR(AND(Y592&gt;0,AW592=2),AND(Y592="ns",AW592=2),AND(Y592="ns",AX592=0,AW592&gt;0),Y592=AX592),0,1))))</f>
        <v>0</v>
      </c>
      <c r="AZ592" s="283">
        <f>COUNTIF(AC592:AD592,"NS")</f>
        <v>0</v>
      </c>
      <c r="BA592" s="283">
        <f>SUM(AC592:AD592)</f>
        <v>0</v>
      </c>
      <c r="BB592" s="283">
        <f>IF(COUNTIF(AB592:AD592,"NA")=3,0,IF(COUNTA(AB592:AD592)=0,0,IF(OR(AND(AB592=0,AZ592&gt;0),AND(AB592="ns",BA592&gt;0),AND(AB592="ns",AZ592=0,BA592=0)),1,IF(OR(AND(AB592&gt;0,AZ592=2),AND(AB592="ns",AZ592=2),AND(AB592="ns",BA592=0,AZ592&gt;0),AB592=BA592),0,1))))</f>
        <v>0</v>
      </c>
      <c r="BC592" s="283">
        <f>COUNTIF(Q607:R607,"NS")</f>
        <v>0</v>
      </c>
      <c r="BD592" s="283">
        <f>SUM(Q607:R607)</f>
        <v>0</v>
      </c>
      <c r="BE592" s="283">
        <f>IF(COUNTIF(P607:R607,"NA")=3,0,IF(COUNTA(P607:R607)=0,0,IF(OR(AND(P607=0,BC592&gt;0),AND(P607="ns",BD592&gt;0),AND(P607="ns",BC592=0,BD592=0)),1,IF(OR(AND(P607&gt;0,BC592=2),AND(P607="ns",BC592=2),AND(P607="ns",BD592=0,BC592&gt;0),P607=BD592),0,1))))</f>
        <v>0</v>
      </c>
      <c r="BF592" s="283">
        <f>COUNTIF(T607:U607,"NS")</f>
        <v>0</v>
      </c>
      <c r="BG592" s="283">
        <f>SUM(T607:U607)</f>
        <v>0</v>
      </c>
      <c r="BH592" s="283">
        <f>IF(COUNTIF(S607:U607,"NA")=3,0,IF(COUNTA(S607:U607)=0,0,IF(OR(AND(S607=0,BF592&gt;0),AND(S607="ns",BG592&gt;0),AND(S607="ns",BF592=0,BG592=0)),1,IF(OR(AND(S607&gt;0,BF592=2),AND(S607="ns",BF592=2),AND(S607="ns",BG592=0,BF592&gt;0),S607=BG592),0,1))))</f>
        <v>0</v>
      </c>
      <c r="BI592" s="283">
        <f>COUNTIF(W607:X607,"NS")</f>
        <v>0</v>
      </c>
      <c r="BJ592" s="283">
        <f>SUM(W607:X607)</f>
        <v>0</v>
      </c>
      <c r="BK592" s="283">
        <f>IF(COUNTIF(V607:X607,"NA")=3,0,IF(COUNTA(V607:X607)=0,0,IF(OR(AND(V607=0,BI592&gt;0),AND(V607="ns",BJ592&gt;0),AND(V607="ns",BI592=0,BJ592=0)),1,IF(OR(AND(V607&gt;0,BI592=2),AND(V607="ns",BI592=2),AND(V607="ns",BJ592=0,BI592&gt;0),V607=BJ592),0,1))))</f>
        <v>0</v>
      </c>
      <c r="BL592" s="283">
        <f>COUNTIF(Z607:AA607,"NS")</f>
        <v>0</v>
      </c>
      <c r="BM592" s="283">
        <f>SUM(Z607:AA607)</f>
        <v>0</v>
      </c>
      <c r="BN592" s="283">
        <f>IF(COUNTIF(Y607:AA607,"NA")=3,0,IF(COUNTA(Y607:AA607)=0,0,IF(OR(AND(Y607=0,BL592&gt;0),AND(Y607="ns",BM592&gt;0),AND(Y607="ns",BL592=0,BM592=0)),1,IF(OR(AND(Y607&gt;0,BL592=2),AND(Y607="ns",BL592=2),AND(Y607="ns",BM592=0,BL592&gt;0),Y607=BM592),0,1))))</f>
        <v>0</v>
      </c>
      <c r="BO592" s="283">
        <f>COUNTIF(AC607:AD607,"NS")</f>
        <v>0</v>
      </c>
      <c r="BP592" s="283">
        <f>SUM(AC607:AD607)</f>
        <v>0</v>
      </c>
      <c r="BQ592" s="283">
        <f>IF(COUNTIF(AB607:AD607,"NA")=3,0,IF(COUNTA(AB607:AD607)=0,0,IF(OR(AND(AB607=0,BO592&gt;0),AND(AB607="ns",BP592&gt;0),AND(AB607="ns",BO592=0,BP592=0)),1,IF(OR(AND(AB607&gt;0,BO592=2),AND(AB607="ns",BO592=2),AND(AB607="ns",BP592=0,BO592&gt;0),AB607=BP592),0,1))))</f>
        <v>0</v>
      </c>
    </row>
    <row r="593" spans="1:69" ht="15" customHeight="1">
      <c r="A593" s="49"/>
      <c r="B593" s="57"/>
      <c r="C593" s="98" t="s">
        <v>2517</v>
      </c>
      <c r="D593" s="796" t="str">
        <f>IF(CNSIPEE_2024_M2_Secc1!D43="","",CNSIPEE_2024_M2_Secc1!D43)</f>
        <v/>
      </c>
      <c r="E593" s="796"/>
      <c r="F593" s="796"/>
      <c r="G593" s="796"/>
      <c r="H593" s="796"/>
      <c r="I593" s="796"/>
      <c r="J593" s="100"/>
      <c r="K593" s="100"/>
      <c r="L593" s="100"/>
      <c r="M593" s="100"/>
      <c r="N593" s="100"/>
      <c r="O593" s="100"/>
      <c r="P593" s="100"/>
      <c r="Q593" s="100"/>
      <c r="R593" s="100"/>
      <c r="S593" s="100"/>
      <c r="T593" s="100"/>
      <c r="U593" s="100"/>
      <c r="V593" s="100"/>
      <c r="W593" s="100"/>
      <c r="X593" s="100"/>
      <c r="Y593" s="100"/>
      <c r="Z593" s="100"/>
      <c r="AA593" s="100"/>
      <c r="AB593" s="100"/>
      <c r="AC593" s="100"/>
      <c r="AD593" s="100"/>
      <c r="AG593" s="326">
        <f t="shared" ref="AG593:AG599" si="566">IF(AND(COUNTBLANK(D593)=0,COUNTA(J593:AD593,P608:AD608)=36),0,IF(AND(COUNTBLANK(D593)=1,COUNTA(J593:AD593,P608:AD608)=0),0,1))</f>
        <v>0</v>
      </c>
      <c r="AH593" s="283">
        <f t="shared" ref="AH593:AH599" si="567">COUNTIF(K593:L593,"NS")</f>
        <v>0</v>
      </c>
      <c r="AI593" s="283">
        <f t="shared" ref="AI593:AI599" si="568">SUM(K593:L593)</f>
        <v>0</v>
      </c>
      <c r="AJ593" s="283">
        <f t="shared" ref="AJ593:AJ599" si="569">IF(COUNTIF(J593:L593,"NA")=3,0,IF(COUNTA(J593:L593)=0,0,IF(OR(AND(J593=0,AH593&gt;0),AND(J593="ns",AI593&gt;0),AND(J593="ns",AH593=0,AI593=0)),1,IF(OR(AND(J593&gt;0,AH593=2),AND(J593="ns",AH593=2),AND(J593="ns",AI593=0,AH593&gt;0),J593=AI593),0,1))))</f>
        <v>0</v>
      </c>
      <c r="AK593" s="283">
        <f t="shared" ref="AK593:AK599" si="570">COUNTIF(N593:O593,"NS")</f>
        <v>0</v>
      </c>
      <c r="AL593" s="283">
        <f t="shared" ref="AL593:AL599" si="571">SUM(N593:O593)</f>
        <v>0</v>
      </c>
      <c r="AM593" s="283">
        <f t="shared" ref="AM593:AM599" si="572">IF(COUNTIF(M593:O593,"NA")=3,0,IF(COUNTA(M593:O593)=0,0,IF(OR(AND(M593=0,AK593&gt;0),AND(M593="ns",AL593&gt;0),AND(M593="ns",AK593=0,AL593=0)),1,IF(OR(AND(M593&gt;0,AK593=2),AND(M593="ns",AK593=2),AND(M593="ns",AL593=0,AK593&gt;0),M593=AL593),0,1))))</f>
        <v>0</v>
      </c>
      <c r="AN593" s="283">
        <f t="shared" ref="AN593:AN599" si="573">COUNTIF(Q593:R593,"NS")</f>
        <v>0</v>
      </c>
      <c r="AO593" s="283">
        <f t="shared" ref="AO593:AO599" si="574">SUM(Q593:R593)</f>
        <v>0</v>
      </c>
      <c r="AP593" s="283">
        <f t="shared" ref="AP593:AP599" si="575">IF(COUNTIF(P593:R593,"NA")=3,0,IF(COUNTA(P593:R593)=0,0,IF(OR(AND(P593=0,AN593&gt;0),AND(P593="ns",AO593&gt;0),AND(P593="ns",AN593=0,AO593=0)),1,IF(OR(AND(P593&gt;0,AN593=2),AND(P593="ns",AN593=2),AND(P593="ns",AO593=0,AN593&gt;0),P593=AO593),0,1))))</f>
        <v>0</v>
      </c>
      <c r="AQ593" s="283">
        <f t="shared" ref="AQ593:AQ599" si="576">COUNTIF(T593:U593,"NS")</f>
        <v>0</v>
      </c>
      <c r="AR593" s="283">
        <f t="shared" ref="AR593:AR599" si="577">SUM(T593:U593)</f>
        <v>0</v>
      </c>
      <c r="AS593" s="283">
        <f t="shared" ref="AS593:AS599" si="578">IF(COUNTIF(S593:U593,"NA")=3,0,IF(COUNTA(S593:U593)=0,0,IF(OR(AND(S593=0,AQ593&gt;0),AND(S593="ns",AR593&gt;0),AND(S593="ns",AQ593=0,AR593=0)),1,IF(OR(AND(S593&gt;0,AQ593=2),AND(S593="ns",AQ593=2),AND(S593="ns",AR593=0,AQ593&gt;0),S593=AR593),0,1))))</f>
        <v>0</v>
      </c>
      <c r="AT593" s="283">
        <f t="shared" ref="AT593:AT599" si="579">COUNTIF(W593:X593,"NS")</f>
        <v>0</v>
      </c>
      <c r="AU593" s="283">
        <f t="shared" ref="AU593:AU599" si="580">SUM(W593:X593)</f>
        <v>0</v>
      </c>
      <c r="AV593" s="283">
        <f t="shared" ref="AV593:AV599" si="581">IF(COUNTIF(V593:X593,"NA")=3,0,IF(COUNTA(V593:X593)=0,0,IF(OR(AND(V593=0,AT593&gt;0),AND(V593="ns",AU593&gt;0),AND(V593="ns",AT593=0,AU593=0)),1,IF(OR(AND(V593&gt;0,AT593=2),AND(V593="ns",AT593=2),AND(V593="ns",AU593=0,AT593&gt;0),V593=AU593),0,1))))</f>
        <v>0</v>
      </c>
      <c r="AW593" s="283">
        <f t="shared" ref="AW593:AW599" si="582">COUNTIF(Z593:AA593,"NS")</f>
        <v>0</v>
      </c>
      <c r="AX593" s="283">
        <f t="shared" ref="AX593:AX599" si="583">SUM(Z593:AA593)</f>
        <v>0</v>
      </c>
      <c r="AY593" s="283">
        <f t="shared" ref="AY593:AY599" si="584">IF(COUNTIF(Y593:AA593,"NA")=3,0,IF(COUNTA(Y593:AA593)=0,0,IF(OR(AND(Y593=0,AW593&gt;0),AND(Y593="ns",AX593&gt;0),AND(Y593="ns",AW593=0,AX593=0)),1,IF(OR(AND(Y593&gt;0,AW593=2),AND(Y593="ns",AW593=2),AND(Y593="ns",AX593=0,AW593&gt;0),Y593=AX593),0,1))))</f>
        <v>0</v>
      </c>
      <c r="AZ593" s="283">
        <f t="shared" ref="AZ593:AZ599" si="585">COUNTIF(AC593:AD593,"NS")</f>
        <v>0</v>
      </c>
      <c r="BA593" s="283">
        <f t="shared" ref="BA593:BA599" si="586">SUM(AC593:AD593)</f>
        <v>0</v>
      </c>
      <c r="BB593" s="283">
        <f t="shared" ref="BB593:BB599" si="587">IF(COUNTIF(AB593:AD593,"NA")=3,0,IF(COUNTA(AB593:AD593)=0,0,IF(OR(AND(AB593=0,AZ593&gt;0),AND(AB593="ns",BA593&gt;0),AND(AB593="ns",AZ593=0,BA593=0)),1,IF(OR(AND(AB593&gt;0,AZ593=2),AND(AB593="ns",AZ593=2),AND(AB593="ns",BA593=0,AZ593&gt;0),AB593=BA593),0,1))))</f>
        <v>0</v>
      </c>
      <c r="BC593" s="283">
        <f t="shared" ref="BC593:BC599" si="588">COUNTIF(Q608:R608,"NS")</f>
        <v>0</v>
      </c>
      <c r="BD593" s="283">
        <f t="shared" ref="BD593:BD599" si="589">SUM(Q608:R608)</f>
        <v>0</v>
      </c>
      <c r="BE593" s="283">
        <f t="shared" ref="BE593:BE599" si="590">IF(COUNTIF(P608:R608,"NA")=3,0,IF(COUNTA(P608:R608)=0,0,IF(OR(AND(P608=0,BC593&gt;0),AND(P608="ns",BD593&gt;0),AND(P608="ns",BC593=0,BD593=0)),1,IF(OR(AND(P608&gt;0,BC593=2),AND(P608="ns",BC593=2),AND(P608="ns",BD593=0,BC593&gt;0),P608=BD593),0,1))))</f>
        <v>0</v>
      </c>
      <c r="BF593" s="283">
        <f t="shared" ref="BF593:BF599" si="591">COUNTIF(T608:U608,"NS")</f>
        <v>0</v>
      </c>
      <c r="BG593" s="283">
        <f t="shared" ref="BG593:BG599" si="592">SUM(T608:U608)</f>
        <v>0</v>
      </c>
      <c r="BH593" s="283">
        <f t="shared" ref="BH593:BH599" si="593">IF(COUNTIF(S608:U608,"NA")=3,0,IF(COUNTA(S608:U608)=0,0,IF(OR(AND(S608=0,BF593&gt;0),AND(S608="ns",BG593&gt;0),AND(S608="ns",BF593=0,BG593=0)),1,IF(OR(AND(S608&gt;0,BF593=2),AND(S608="ns",BF593=2),AND(S608="ns",BG593=0,BF593&gt;0),S608=BG593),0,1))))</f>
        <v>0</v>
      </c>
      <c r="BI593" s="283">
        <f t="shared" ref="BI593:BI599" si="594">COUNTIF(W608:X608,"NS")</f>
        <v>0</v>
      </c>
      <c r="BJ593" s="283">
        <f t="shared" ref="BJ593:BJ599" si="595">SUM(W608:X608)</f>
        <v>0</v>
      </c>
      <c r="BK593" s="283">
        <f t="shared" ref="BK593:BK599" si="596">IF(COUNTIF(V608:X608,"NA")=3,0,IF(COUNTA(V608:X608)=0,0,IF(OR(AND(V608=0,BI593&gt;0),AND(V608="ns",BJ593&gt;0),AND(V608="ns",BI593=0,BJ593=0)),1,IF(OR(AND(V608&gt;0,BI593=2),AND(V608="ns",BI593=2),AND(V608="ns",BJ593=0,BI593&gt;0),V608=BJ593),0,1))))</f>
        <v>0</v>
      </c>
      <c r="BL593" s="283">
        <f t="shared" ref="BL593:BL599" si="597">COUNTIF(Z608:AA608,"NS")</f>
        <v>0</v>
      </c>
      <c r="BM593" s="283">
        <f t="shared" ref="BM593:BM599" si="598">SUM(Z608:AA608)</f>
        <v>0</v>
      </c>
      <c r="BN593" s="283">
        <f t="shared" ref="BN593:BN599" si="599">IF(COUNTIF(Y608:AA608,"NA")=3,0,IF(COUNTA(Y608:AA608)=0,0,IF(OR(AND(Y608=0,BL593&gt;0),AND(Y608="ns",BM593&gt;0),AND(Y608="ns",BL593=0,BM593=0)),1,IF(OR(AND(Y608&gt;0,BL593=2),AND(Y608="ns",BL593=2),AND(Y608="ns",BM593=0,BL593&gt;0),Y608=BM593),0,1))))</f>
        <v>0</v>
      </c>
      <c r="BO593" s="283">
        <f t="shared" ref="BO593:BO599" si="600">COUNTIF(AC608:AD608,"NS")</f>
        <v>0</v>
      </c>
      <c r="BP593" s="283">
        <f t="shared" ref="BP593:BP599" si="601">SUM(AC608:AD608)</f>
        <v>0</v>
      </c>
      <c r="BQ593" s="283">
        <f t="shared" ref="BQ593:BQ599" si="602">IF(COUNTIF(AB608:AD608,"NA")=3,0,IF(COUNTA(AB608:AD608)=0,0,IF(OR(AND(AB608=0,BO593&gt;0),AND(AB608="ns",BP593&gt;0),AND(AB608="ns",BO593=0,BP593=0)),1,IF(OR(AND(AB608&gt;0,BO593=2),AND(AB608="ns",BO593=2),AND(AB608="ns",BP593=0,BO593&gt;0),AB608=BP593),0,1))))</f>
        <v>0</v>
      </c>
    </row>
    <row r="594" spans="1:69" ht="15" customHeight="1">
      <c r="A594" s="49"/>
      <c r="B594" s="57"/>
      <c r="C594" s="98" t="s">
        <v>2518</v>
      </c>
      <c r="D594" s="796" t="str">
        <f>IF(CNSIPEE_2024_M2_Secc1!D44="","",CNSIPEE_2024_M2_Secc1!D44)</f>
        <v/>
      </c>
      <c r="E594" s="796"/>
      <c r="F594" s="796"/>
      <c r="G594" s="796"/>
      <c r="H594" s="796"/>
      <c r="I594" s="796"/>
      <c r="J594" s="100"/>
      <c r="K594" s="100"/>
      <c r="L594" s="100"/>
      <c r="M594" s="100"/>
      <c r="N594" s="100"/>
      <c r="O594" s="100"/>
      <c r="P594" s="100"/>
      <c r="Q594" s="100"/>
      <c r="R594" s="100"/>
      <c r="S594" s="100"/>
      <c r="T594" s="100"/>
      <c r="U594" s="100"/>
      <c r="V594" s="100"/>
      <c r="W594" s="100"/>
      <c r="X594" s="100"/>
      <c r="Y594" s="100"/>
      <c r="Z594" s="100"/>
      <c r="AA594" s="100"/>
      <c r="AB594" s="100"/>
      <c r="AC594" s="100"/>
      <c r="AD594" s="100"/>
      <c r="AG594" s="326">
        <f t="shared" si="566"/>
        <v>0</v>
      </c>
      <c r="AH594" s="283">
        <f t="shared" si="567"/>
        <v>0</v>
      </c>
      <c r="AI594" s="283">
        <f t="shared" si="568"/>
        <v>0</v>
      </c>
      <c r="AJ594" s="283">
        <f t="shared" si="569"/>
        <v>0</v>
      </c>
      <c r="AK594" s="283">
        <f t="shared" si="570"/>
        <v>0</v>
      </c>
      <c r="AL594" s="283">
        <f t="shared" si="571"/>
        <v>0</v>
      </c>
      <c r="AM594" s="283">
        <f t="shared" si="572"/>
        <v>0</v>
      </c>
      <c r="AN594" s="283">
        <f t="shared" si="573"/>
        <v>0</v>
      </c>
      <c r="AO594" s="283">
        <f t="shared" si="574"/>
        <v>0</v>
      </c>
      <c r="AP594" s="283">
        <f t="shared" si="575"/>
        <v>0</v>
      </c>
      <c r="AQ594" s="283">
        <f t="shared" si="576"/>
        <v>0</v>
      </c>
      <c r="AR594" s="283">
        <f t="shared" si="577"/>
        <v>0</v>
      </c>
      <c r="AS594" s="283">
        <f t="shared" si="578"/>
        <v>0</v>
      </c>
      <c r="AT594" s="283">
        <f t="shared" si="579"/>
        <v>0</v>
      </c>
      <c r="AU594" s="283">
        <f t="shared" si="580"/>
        <v>0</v>
      </c>
      <c r="AV594" s="283">
        <f t="shared" si="581"/>
        <v>0</v>
      </c>
      <c r="AW594" s="283">
        <f t="shared" si="582"/>
        <v>0</v>
      </c>
      <c r="AX594" s="283">
        <f t="shared" si="583"/>
        <v>0</v>
      </c>
      <c r="AY594" s="283">
        <f t="shared" si="584"/>
        <v>0</v>
      </c>
      <c r="AZ594" s="283">
        <f t="shared" si="585"/>
        <v>0</v>
      </c>
      <c r="BA594" s="283">
        <f t="shared" si="586"/>
        <v>0</v>
      </c>
      <c r="BB594" s="283">
        <f t="shared" si="587"/>
        <v>0</v>
      </c>
      <c r="BC594" s="283">
        <f t="shared" si="588"/>
        <v>0</v>
      </c>
      <c r="BD594" s="283">
        <f t="shared" si="589"/>
        <v>0</v>
      </c>
      <c r="BE594" s="283">
        <f t="shared" si="590"/>
        <v>0</v>
      </c>
      <c r="BF594" s="283">
        <f t="shared" si="591"/>
        <v>0</v>
      </c>
      <c r="BG594" s="283">
        <f t="shared" si="592"/>
        <v>0</v>
      </c>
      <c r="BH594" s="283">
        <f t="shared" si="593"/>
        <v>0</v>
      </c>
      <c r="BI594" s="283">
        <f t="shared" si="594"/>
        <v>0</v>
      </c>
      <c r="BJ594" s="283">
        <f t="shared" si="595"/>
        <v>0</v>
      </c>
      <c r="BK594" s="283">
        <f t="shared" si="596"/>
        <v>0</v>
      </c>
      <c r="BL594" s="283">
        <f t="shared" si="597"/>
        <v>0</v>
      </c>
      <c r="BM594" s="283">
        <f t="shared" si="598"/>
        <v>0</v>
      </c>
      <c r="BN594" s="283">
        <f t="shared" si="599"/>
        <v>0</v>
      </c>
      <c r="BO594" s="283">
        <f t="shared" si="600"/>
        <v>0</v>
      </c>
      <c r="BP594" s="283">
        <f t="shared" si="601"/>
        <v>0</v>
      </c>
      <c r="BQ594" s="283">
        <f t="shared" si="602"/>
        <v>0</v>
      </c>
    </row>
    <row r="595" spans="1:69" ht="15" customHeight="1">
      <c r="A595" s="49"/>
      <c r="B595" s="57"/>
      <c r="C595" s="98" t="s">
        <v>2519</v>
      </c>
      <c r="D595" s="796" t="str">
        <f>IF(CNSIPEE_2024_M2_Secc1!D45="","",CNSIPEE_2024_M2_Secc1!D45)</f>
        <v/>
      </c>
      <c r="E595" s="796"/>
      <c r="F595" s="796"/>
      <c r="G595" s="796"/>
      <c r="H595" s="796"/>
      <c r="I595" s="796"/>
      <c r="J595" s="100"/>
      <c r="K595" s="100"/>
      <c r="L595" s="100"/>
      <c r="M595" s="100"/>
      <c r="N595" s="100"/>
      <c r="O595" s="100"/>
      <c r="P595" s="100"/>
      <c r="Q595" s="100"/>
      <c r="R595" s="100"/>
      <c r="S595" s="100"/>
      <c r="T595" s="100"/>
      <c r="U595" s="100"/>
      <c r="V595" s="100"/>
      <c r="W595" s="100"/>
      <c r="X595" s="100"/>
      <c r="Y595" s="100"/>
      <c r="Z595" s="100"/>
      <c r="AA595" s="100"/>
      <c r="AB595" s="100"/>
      <c r="AC595" s="100"/>
      <c r="AD595" s="100"/>
      <c r="AG595" s="326">
        <f t="shared" si="566"/>
        <v>0</v>
      </c>
      <c r="AH595" s="283">
        <f t="shared" si="567"/>
        <v>0</v>
      </c>
      <c r="AI595" s="283">
        <f t="shared" si="568"/>
        <v>0</v>
      </c>
      <c r="AJ595" s="283">
        <f t="shared" si="569"/>
        <v>0</v>
      </c>
      <c r="AK595" s="283">
        <f t="shared" si="570"/>
        <v>0</v>
      </c>
      <c r="AL595" s="283">
        <f t="shared" si="571"/>
        <v>0</v>
      </c>
      <c r="AM595" s="283">
        <f t="shared" si="572"/>
        <v>0</v>
      </c>
      <c r="AN595" s="283">
        <f t="shared" si="573"/>
        <v>0</v>
      </c>
      <c r="AO595" s="283">
        <f t="shared" si="574"/>
        <v>0</v>
      </c>
      <c r="AP595" s="283">
        <f t="shared" si="575"/>
        <v>0</v>
      </c>
      <c r="AQ595" s="283">
        <f t="shared" si="576"/>
        <v>0</v>
      </c>
      <c r="AR595" s="283">
        <f t="shared" si="577"/>
        <v>0</v>
      </c>
      <c r="AS595" s="283">
        <f t="shared" si="578"/>
        <v>0</v>
      </c>
      <c r="AT595" s="283">
        <f t="shared" si="579"/>
        <v>0</v>
      </c>
      <c r="AU595" s="283">
        <f t="shared" si="580"/>
        <v>0</v>
      </c>
      <c r="AV595" s="283">
        <f t="shared" si="581"/>
        <v>0</v>
      </c>
      <c r="AW595" s="283">
        <f t="shared" si="582"/>
        <v>0</v>
      </c>
      <c r="AX595" s="283">
        <f t="shared" si="583"/>
        <v>0</v>
      </c>
      <c r="AY595" s="283">
        <f t="shared" si="584"/>
        <v>0</v>
      </c>
      <c r="AZ595" s="283">
        <f t="shared" si="585"/>
        <v>0</v>
      </c>
      <c r="BA595" s="283">
        <f t="shared" si="586"/>
        <v>0</v>
      </c>
      <c r="BB595" s="283">
        <f t="shared" si="587"/>
        <v>0</v>
      </c>
      <c r="BC595" s="283">
        <f t="shared" si="588"/>
        <v>0</v>
      </c>
      <c r="BD595" s="283">
        <f t="shared" si="589"/>
        <v>0</v>
      </c>
      <c r="BE595" s="283">
        <f t="shared" si="590"/>
        <v>0</v>
      </c>
      <c r="BF595" s="283">
        <f t="shared" si="591"/>
        <v>0</v>
      </c>
      <c r="BG595" s="283">
        <f t="shared" si="592"/>
        <v>0</v>
      </c>
      <c r="BH595" s="283">
        <f t="shared" si="593"/>
        <v>0</v>
      </c>
      <c r="BI595" s="283">
        <f t="shared" si="594"/>
        <v>0</v>
      </c>
      <c r="BJ595" s="283">
        <f t="shared" si="595"/>
        <v>0</v>
      </c>
      <c r="BK595" s="283">
        <f t="shared" si="596"/>
        <v>0</v>
      </c>
      <c r="BL595" s="283">
        <f t="shared" si="597"/>
        <v>0</v>
      </c>
      <c r="BM595" s="283">
        <f t="shared" si="598"/>
        <v>0</v>
      </c>
      <c r="BN595" s="283">
        <f t="shared" si="599"/>
        <v>0</v>
      </c>
      <c r="BO595" s="283">
        <f t="shared" si="600"/>
        <v>0</v>
      </c>
      <c r="BP595" s="283">
        <f t="shared" si="601"/>
        <v>0</v>
      </c>
      <c r="BQ595" s="283">
        <f t="shared" si="602"/>
        <v>0</v>
      </c>
    </row>
    <row r="596" spans="1:69" ht="15" customHeight="1">
      <c r="A596" s="49"/>
      <c r="B596" s="57"/>
      <c r="C596" s="98" t="s">
        <v>2520</v>
      </c>
      <c r="D596" s="796" t="str">
        <f>IF(CNSIPEE_2024_M2_Secc1!D46="","",CNSIPEE_2024_M2_Secc1!D46)</f>
        <v/>
      </c>
      <c r="E596" s="796"/>
      <c r="F596" s="796"/>
      <c r="G596" s="796"/>
      <c r="H596" s="796"/>
      <c r="I596" s="796"/>
      <c r="J596" s="100"/>
      <c r="K596" s="100"/>
      <c r="L596" s="100"/>
      <c r="M596" s="100"/>
      <c r="N596" s="100"/>
      <c r="O596" s="100"/>
      <c r="P596" s="100"/>
      <c r="Q596" s="100"/>
      <c r="R596" s="100"/>
      <c r="S596" s="100"/>
      <c r="T596" s="100"/>
      <c r="U596" s="100"/>
      <c r="V596" s="100"/>
      <c r="W596" s="100"/>
      <c r="X596" s="100"/>
      <c r="Y596" s="100"/>
      <c r="Z596" s="100"/>
      <c r="AA596" s="100"/>
      <c r="AB596" s="100"/>
      <c r="AC596" s="100"/>
      <c r="AD596" s="100"/>
      <c r="AG596" s="326">
        <f t="shared" si="566"/>
        <v>0</v>
      </c>
      <c r="AH596" s="283">
        <f t="shared" si="567"/>
        <v>0</v>
      </c>
      <c r="AI596" s="283">
        <f t="shared" si="568"/>
        <v>0</v>
      </c>
      <c r="AJ596" s="283">
        <f t="shared" si="569"/>
        <v>0</v>
      </c>
      <c r="AK596" s="283">
        <f t="shared" si="570"/>
        <v>0</v>
      </c>
      <c r="AL596" s="283">
        <f t="shared" si="571"/>
        <v>0</v>
      </c>
      <c r="AM596" s="283">
        <f t="shared" si="572"/>
        <v>0</v>
      </c>
      <c r="AN596" s="283">
        <f t="shared" si="573"/>
        <v>0</v>
      </c>
      <c r="AO596" s="283">
        <f t="shared" si="574"/>
        <v>0</v>
      </c>
      <c r="AP596" s="283">
        <f t="shared" si="575"/>
        <v>0</v>
      </c>
      <c r="AQ596" s="283">
        <f t="shared" si="576"/>
        <v>0</v>
      </c>
      <c r="AR596" s="283">
        <f t="shared" si="577"/>
        <v>0</v>
      </c>
      <c r="AS596" s="283">
        <f t="shared" si="578"/>
        <v>0</v>
      </c>
      <c r="AT596" s="283">
        <f t="shared" si="579"/>
        <v>0</v>
      </c>
      <c r="AU596" s="283">
        <f t="shared" si="580"/>
        <v>0</v>
      </c>
      <c r="AV596" s="283">
        <f t="shared" si="581"/>
        <v>0</v>
      </c>
      <c r="AW596" s="283">
        <f t="shared" si="582"/>
        <v>0</v>
      </c>
      <c r="AX596" s="283">
        <f t="shared" si="583"/>
        <v>0</v>
      </c>
      <c r="AY596" s="283">
        <f t="shared" si="584"/>
        <v>0</v>
      </c>
      <c r="AZ596" s="283">
        <f t="shared" si="585"/>
        <v>0</v>
      </c>
      <c r="BA596" s="283">
        <f t="shared" si="586"/>
        <v>0</v>
      </c>
      <c r="BB596" s="283">
        <f t="shared" si="587"/>
        <v>0</v>
      </c>
      <c r="BC596" s="283">
        <f t="shared" si="588"/>
        <v>0</v>
      </c>
      <c r="BD596" s="283">
        <f t="shared" si="589"/>
        <v>0</v>
      </c>
      <c r="BE596" s="283">
        <f t="shared" si="590"/>
        <v>0</v>
      </c>
      <c r="BF596" s="283">
        <f t="shared" si="591"/>
        <v>0</v>
      </c>
      <c r="BG596" s="283">
        <f t="shared" si="592"/>
        <v>0</v>
      </c>
      <c r="BH596" s="283">
        <f t="shared" si="593"/>
        <v>0</v>
      </c>
      <c r="BI596" s="283">
        <f t="shared" si="594"/>
        <v>0</v>
      </c>
      <c r="BJ596" s="283">
        <f t="shared" si="595"/>
        <v>0</v>
      </c>
      <c r="BK596" s="283">
        <f t="shared" si="596"/>
        <v>0</v>
      </c>
      <c r="BL596" s="283">
        <f t="shared" si="597"/>
        <v>0</v>
      </c>
      <c r="BM596" s="283">
        <f t="shared" si="598"/>
        <v>0</v>
      </c>
      <c r="BN596" s="283">
        <f t="shared" si="599"/>
        <v>0</v>
      </c>
      <c r="BO596" s="283">
        <f t="shared" si="600"/>
        <v>0</v>
      </c>
      <c r="BP596" s="283">
        <f t="shared" si="601"/>
        <v>0</v>
      </c>
      <c r="BQ596" s="283">
        <f t="shared" si="602"/>
        <v>0</v>
      </c>
    </row>
    <row r="597" spans="1:69" ht="15" customHeight="1">
      <c r="A597" s="49"/>
      <c r="B597" s="57"/>
      <c r="C597" s="98" t="s">
        <v>2521</v>
      </c>
      <c r="D597" s="796" t="str">
        <f>IF(CNSIPEE_2024_M2_Secc1!D47="","",CNSIPEE_2024_M2_Secc1!D47)</f>
        <v/>
      </c>
      <c r="E597" s="796"/>
      <c r="F597" s="796"/>
      <c r="G597" s="796"/>
      <c r="H597" s="796"/>
      <c r="I597" s="796"/>
      <c r="J597" s="100"/>
      <c r="K597" s="100"/>
      <c r="L597" s="100"/>
      <c r="M597" s="100"/>
      <c r="N597" s="100"/>
      <c r="O597" s="100"/>
      <c r="P597" s="100"/>
      <c r="Q597" s="100"/>
      <c r="R597" s="100"/>
      <c r="S597" s="100"/>
      <c r="T597" s="100"/>
      <c r="U597" s="100"/>
      <c r="V597" s="100"/>
      <c r="W597" s="100"/>
      <c r="X597" s="100"/>
      <c r="Y597" s="100"/>
      <c r="Z597" s="100"/>
      <c r="AA597" s="100"/>
      <c r="AB597" s="100"/>
      <c r="AC597" s="100"/>
      <c r="AD597" s="100"/>
      <c r="AG597" s="326">
        <f t="shared" si="566"/>
        <v>0</v>
      </c>
      <c r="AH597" s="283">
        <f t="shared" si="567"/>
        <v>0</v>
      </c>
      <c r="AI597" s="283">
        <f t="shared" si="568"/>
        <v>0</v>
      </c>
      <c r="AJ597" s="283">
        <f t="shared" si="569"/>
        <v>0</v>
      </c>
      <c r="AK597" s="283">
        <f t="shared" si="570"/>
        <v>0</v>
      </c>
      <c r="AL597" s="283">
        <f t="shared" si="571"/>
        <v>0</v>
      </c>
      <c r="AM597" s="283">
        <f t="shared" si="572"/>
        <v>0</v>
      </c>
      <c r="AN597" s="283">
        <f t="shared" si="573"/>
        <v>0</v>
      </c>
      <c r="AO597" s="283">
        <f t="shared" si="574"/>
        <v>0</v>
      </c>
      <c r="AP597" s="283">
        <f t="shared" si="575"/>
        <v>0</v>
      </c>
      <c r="AQ597" s="283">
        <f t="shared" si="576"/>
        <v>0</v>
      </c>
      <c r="AR597" s="283">
        <f t="shared" si="577"/>
        <v>0</v>
      </c>
      <c r="AS597" s="283">
        <f t="shared" si="578"/>
        <v>0</v>
      </c>
      <c r="AT597" s="283">
        <f t="shared" si="579"/>
        <v>0</v>
      </c>
      <c r="AU597" s="283">
        <f t="shared" si="580"/>
        <v>0</v>
      </c>
      <c r="AV597" s="283">
        <f t="shared" si="581"/>
        <v>0</v>
      </c>
      <c r="AW597" s="283">
        <f t="shared" si="582"/>
        <v>0</v>
      </c>
      <c r="AX597" s="283">
        <f t="shared" si="583"/>
        <v>0</v>
      </c>
      <c r="AY597" s="283">
        <f t="shared" si="584"/>
        <v>0</v>
      </c>
      <c r="AZ597" s="283">
        <f t="shared" si="585"/>
        <v>0</v>
      </c>
      <c r="BA597" s="283">
        <f t="shared" si="586"/>
        <v>0</v>
      </c>
      <c r="BB597" s="283">
        <f t="shared" si="587"/>
        <v>0</v>
      </c>
      <c r="BC597" s="283">
        <f t="shared" si="588"/>
        <v>0</v>
      </c>
      <c r="BD597" s="283">
        <f t="shared" si="589"/>
        <v>0</v>
      </c>
      <c r="BE597" s="283">
        <f t="shared" si="590"/>
        <v>0</v>
      </c>
      <c r="BF597" s="283">
        <f t="shared" si="591"/>
        <v>0</v>
      </c>
      <c r="BG597" s="283">
        <f t="shared" si="592"/>
        <v>0</v>
      </c>
      <c r="BH597" s="283">
        <f t="shared" si="593"/>
        <v>0</v>
      </c>
      <c r="BI597" s="283">
        <f t="shared" si="594"/>
        <v>0</v>
      </c>
      <c r="BJ597" s="283">
        <f t="shared" si="595"/>
        <v>0</v>
      </c>
      <c r="BK597" s="283">
        <f t="shared" si="596"/>
        <v>0</v>
      </c>
      <c r="BL597" s="283">
        <f t="shared" si="597"/>
        <v>0</v>
      </c>
      <c r="BM597" s="283">
        <f t="shared" si="598"/>
        <v>0</v>
      </c>
      <c r="BN597" s="283">
        <f t="shared" si="599"/>
        <v>0</v>
      </c>
      <c r="BO597" s="283">
        <f t="shared" si="600"/>
        <v>0</v>
      </c>
      <c r="BP597" s="283">
        <f t="shared" si="601"/>
        <v>0</v>
      </c>
      <c r="BQ597" s="283">
        <f t="shared" si="602"/>
        <v>0</v>
      </c>
    </row>
    <row r="598" spans="1:69" ht="15" customHeight="1">
      <c r="A598" s="49"/>
      <c r="B598" s="57"/>
      <c r="C598" s="98" t="s">
        <v>2522</v>
      </c>
      <c r="D598" s="796" t="str">
        <f>IF(CNSIPEE_2024_M2_Secc1!D48="","",CNSIPEE_2024_M2_Secc1!D48)</f>
        <v/>
      </c>
      <c r="E598" s="796"/>
      <c r="F598" s="796"/>
      <c r="G598" s="796"/>
      <c r="H598" s="796"/>
      <c r="I598" s="796"/>
      <c r="J598" s="100"/>
      <c r="K598" s="100"/>
      <c r="L598" s="100"/>
      <c r="M598" s="100"/>
      <c r="N598" s="100"/>
      <c r="O598" s="100"/>
      <c r="P598" s="100"/>
      <c r="Q598" s="100"/>
      <c r="R598" s="100"/>
      <c r="S598" s="100"/>
      <c r="T598" s="100"/>
      <c r="U598" s="100"/>
      <c r="V598" s="100"/>
      <c r="W598" s="100"/>
      <c r="X598" s="100"/>
      <c r="Y598" s="100"/>
      <c r="Z598" s="100"/>
      <c r="AA598" s="100"/>
      <c r="AB598" s="100"/>
      <c r="AC598" s="100"/>
      <c r="AD598" s="100"/>
      <c r="AG598" s="326">
        <f t="shared" si="566"/>
        <v>0</v>
      </c>
      <c r="AH598" s="283">
        <f t="shared" si="567"/>
        <v>0</v>
      </c>
      <c r="AI598" s="283">
        <f t="shared" si="568"/>
        <v>0</v>
      </c>
      <c r="AJ598" s="283">
        <f t="shared" si="569"/>
        <v>0</v>
      </c>
      <c r="AK598" s="283">
        <f t="shared" si="570"/>
        <v>0</v>
      </c>
      <c r="AL598" s="283">
        <f t="shared" si="571"/>
        <v>0</v>
      </c>
      <c r="AM598" s="283">
        <f t="shared" si="572"/>
        <v>0</v>
      </c>
      <c r="AN598" s="283">
        <f t="shared" si="573"/>
        <v>0</v>
      </c>
      <c r="AO598" s="283">
        <f t="shared" si="574"/>
        <v>0</v>
      </c>
      <c r="AP598" s="283">
        <f t="shared" si="575"/>
        <v>0</v>
      </c>
      <c r="AQ598" s="283">
        <f t="shared" si="576"/>
        <v>0</v>
      </c>
      <c r="AR598" s="283">
        <f t="shared" si="577"/>
        <v>0</v>
      </c>
      <c r="AS598" s="283">
        <f t="shared" si="578"/>
        <v>0</v>
      </c>
      <c r="AT598" s="283">
        <f t="shared" si="579"/>
        <v>0</v>
      </c>
      <c r="AU598" s="283">
        <f t="shared" si="580"/>
        <v>0</v>
      </c>
      <c r="AV598" s="283">
        <f t="shared" si="581"/>
        <v>0</v>
      </c>
      <c r="AW598" s="283">
        <f t="shared" si="582"/>
        <v>0</v>
      </c>
      <c r="AX598" s="283">
        <f t="shared" si="583"/>
        <v>0</v>
      </c>
      <c r="AY598" s="283">
        <f t="shared" si="584"/>
        <v>0</v>
      </c>
      <c r="AZ598" s="283">
        <f t="shared" si="585"/>
        <v>0</v>
      </c>
      <c r="BA598" s="283">
        <f t="shared" si="586"/>
        <v>0</v>
      </c>
      <c r="BB598" s="283">
        <f t="shared" si="587"/>
        <v>0</v>
      </c>
      <c r="BC598" s="283">
        <f t="shared" si="588"/>
        <v>0</v>
      </c>
      <c r="BD598" s="283">
        <f t="shared" si="589"/>
        <v>0</v>
      </c>
      <c r="BE598" s="283">
        <f t="shared" si="590"/>
        <v>0</v>
      </c>
      <c r="BF598" s="283">
        <f t="shared" si="591"/>
        <v>0</v>
      </c>
      <c r="BG598" s="283">
        <f t="shared" si="592"/>
        <v>0</v>
      </c>
      <c r="BH598" s="283">
        <f t="shared" si="593"/>
        <v>0</v>
      </c>
      <c r="BI598" s="283">
        <f t="shared" si="594"/>
        <v>0</v>
      </c>
      <c r="BJ598" s="283">
        <f t="shared" si="595"/>
        <v>0</v>
      </c>
      <c r="BK598" s="283">
        <f t="shared" si="596"/>
        <v>0</v>
      </c>
      <c r="BL598" s="283">
        <f t="shared" si="597"/>
        <v>0</v>
      </c>
      <c r="BM598" s="283">
        <f t="shared" si="598"/>
        <v>0</v>
      </c>
      <c r="BN598" s="283">
        <f t="shared" si="599"/>
        <v>0</v>
      </c>
      <c r="BO598" s="283">
        <f t="shared" si="600"/>
        <v>0</v>
      </c>
      <c r="BP598" s="283">
        <f t="shared" si="601"/>
        <v>0</v>
      </c>
      <c r="BQ598" s="283">
        <f t="shared" si="602"/>
        <v>0</v>
      </c>
    </row>
    <row r="599" spans="1:69" ht="15" customHeight="1">
      <c r="A599" s="49"/>
      <c r="B599" s="57"/>
      <c r="C599" s="98" t="s">
        <v>2523</v>
      </c>
      <c r="D599" s="796" t="str">
        <f>IF(CNSIPEE_2024_M2_Secc1!D49="","",CNSIPEE_2024_M2_Secc1!D49)</f>
        <v/>
      </c>
      <c r="E599" s="796"/>
      <c r="F599" s="796"/>
      <c r="G599" s="796"/>
      <c r="H599" s="796"/>
      <c r="I599" s="796"/>
      <c r="J599" s="100"/>
      <c r="K599" s="100"/>
      <c r="L599" s="100"/>
      <c r="M599" s="100"/>
      <c r="N599" s="100"/>
      <c r="O599" s="100"/>
      <c r="P599" s="100"/>
      <c r="Q599" s="100"/>
      <c r="R599" s="100"/>
      <c r="S599" s="100"/>
      <c r="T599" s="100"/>
      <c r="U599" s="100"/>
      <c r="V599" s="100"/>
      <c r="W599" s="100"/>
      <c r="X599" s="100"/>
      <c r="Y599" s="100"/>
      <c r="Z599" s="100"/>
      <c r="AA599" s="100"/>
      <c r="AB599" s="100"/>
      <c r="AC599" s="100"/>
      <c r="AD599" s="100"/>
      <c r="AG599" s="326">
        <f t="shared" si="566"/>
        <v>0</v>
      </c>
      <c r="AH599" s="283">
        <f t="shared" si="567"/>
        <v>0</v>
      </c>
      <c r="AI599" s="283">
        <f t="shared" si="568"/>
        <v>0</v>
      </c>
      <c r="AJ599" s="283">
        <f t="shared" si="569"/>
        <v>0</v>
      </c>
      <c r="AK599" s="283">
        <f t="shared" si="570"/>
        <v>0</v>
      </c>
      <c r="AL599" s="283">
        <f t="shared" si="571"/>
        <v>0</v>
      </c>
      <c r="AM599" s="283">
        <f t="shared" si="572"/>
        <v>0</v>
      </c>
      <c r="AN599" s="283">
        <f t="shared" si="573"/>
        <v>0</v>
      </c>
      <c r="AO599" s="283">
        <f t="shared" si="574"/>
        <v>0</v>
      </c>
      <c r="AP599" s="283">
        <f t="shared" si="575"/>
        <v>0</v>
      </c>
      <c r="AQ599" s="283">
        <f t="shared" si="576"/>
        <v>0</v>
      </c>
      <c r="AR599" s="283">
        <f t="shared" si="577"/>
        <v>0</v>
      </c>
      <c r="AS599" s="283">
        <f t="shared" si="578"/>
        <v>0</v>
      </c>
      <c r="AT599" s="283">
        <f t="shared" si="579"/>
        <v>0</v>
      </c>
      <c r="AU599" s="283">
        <f t="shared" si="580"/>
        <v>0</v>
      </c>
      <c r="AV599" s="283">
        <f t="shared" si="581"/>
        <v>0</v>
      </c>
      <c r="AW599" s="283">
        <f t="shared" si="582"/>
        <v>0</v>
      </c>
      <c r="AX599" s="283">
        <f t="shared" si="583"/>
        <v>0</v>
      </c>
      <c r="AY599" s="283">
        <f t="shared" si="584"/>
        <v>0</v>
      </c>
      <c r="AZ599" s="283">
        <f t="shared" si="585"/>
        <v>0</v>
      </c>
      <c r="BA599" s="283">
        <f t="shared" si="586"/>
        <v>0</v>
      </c>
      <c r="BB599" s="283">
        <f t="shared" si="587"/>
        <v>0</v>
      </c>
      <c r="BC599" s="283">
        <f t="shared" si="588"/>
        <v>0</v>
      </c>
      <c r="BD599" s="283">
        <f t="shared" si="589"/>
        <v>0</v>
      </c>
      <c r="BE599" s="283">
        <f t="shared" si="590"/>
        <v>0</v>
      </c>
      <c r="BF599" s="283">
        <f t="shared" si="591"/>
        <v>0</v>
      </c>
      <c r="BG599" s="283">
        <f t="shared" si="592"/>
        <v>0</v>
      </c>
      <c r="BH599" s="283">
        <f t="shared" si="593"/>
        <v>0</v>
      </c>
      <c r="BI599" s="283">
        <f t="shared" si="594"/>
        <v>0</v>
      </c>
      <c r="BJ599" s="283">
        <f t="shared" si="595"/>
        <v>0</v>
      </c>
      <c r="BK599" s="283">
        <f t="shared" si="596"/>
        <v>0</v>
      </c>
      <c r="BL599" s="283">
        <f t="shared" si="597"/>
        <v>0</v>
      </c>
      <c r="BM599" s="283">
        <f t="shared" si="598"/>
        <v>0</v>
      </c>
      <c r="BN599" s="283">
        <f t="shared" si="599"/>
        <v>0</v>
      </c>
      <c r="BO599" s="283">
        <f t="shared" si="600"/>
        <v>0</v>
      </c>
      <c r="BP599" s="283">
        <f t="shared" si="601"/>
        <v>0</v>
      </c>
      <c r="BQ599" s="283">
        <f t="shared" si="602"/>
        <v>0</v>
      </c>
    </row>
    <row r="600" spans="1:69" ht="15" customHeight="1">
      <c r="A600" s="49"/>
      <c r="B600" s="57"/>
      <c r="C600" s="90"/>
      <c r="D600" s="90"/>
      <c r="E600" s="90"/>
      <c r="F600" s="90"/>
      <c r="G600" s="90"/>
      <c r="H600" s="90"/>
      <c r="I600" s="117" t="s">
        <v>2649</v>
      </c>
      <c r="J600" s="124">
        <f>IF(AND(SUM(J592:J599)=0,COUNTIF(J592:J599,"NS")&gt;0),"NS",
IF(AND(SUM(J592:J599)=0,COUNTIF(J592:J599,0)&gt;0),0,
IF(AND(SUM(J592:J599)=0,COUNTIF(J592:J599,"NA")&gt;0),"NA",
SUM(J592:J599))))</f>
        <v>0</v>
      </c>
      <c r="K600" s="124">
        <f t="shared" ref="K600:AD600" si="603">IF(AND(SUM(K592:K599)=0,COUNTIF(K592:K599,"NS")&gt;0),"NS",
IF(AND(SUM(K592:K599)=0,COUNTIF(K592:K599,0)&gt;0),0,
IF(AND(SUM(K592:K599)=0,COUNTIF(K592:K599,"NA")&gt;0),"NA",
SUM(K592:K599))))</f>
        <v>0</v>
      </c>
      <c r="L600" s="124">
        <f t="shared" si="603"/>
        <v>0</v>
      </c>
      <c r="M600" s="124">
        <f t="shared" si="603"/>
        <v>0</v>
      </c>
      <c r="N600" s="124">
        <f t="shared" si="603"/>
        <v>0</v>
      </c>
      <c r="O600" s="124">
        <f t="shared" si="603"/>
        <v>0</v>
      </c>
      <c r="P600" s="124">
        <f t="shared" si="603"/>
        <v>0</v>
      </c>
      <c r="Q600" s="124">
        <f t="shared" si="603"/>
        <v>0</v>
      </c>
      <c r="R600" s="124">
        <f t="shared" si="603"/>
        <v>0</v>
      </c>
      <c r="S600" s="124">
        <f t="shared" si="603"/>
        <v>0</v>
      </c>
      <c r="T600" s="124">
        <f t="shared" si="603"/>
        <v>0</v>
      </c>
      <c r="U600" s="124">
        <f t="shared" si="603"/>
        <v>0</v>
      </c>
      <c r="V600" s="124">
        <f t="shared" si="603"/>
        <v>0</v>
      </c>
      <c r="W600" s="124">
        <f t="shared" si="603"/>
        <v>0</v>
      </c>
      <c r="X600" s="124">
        <f t="shared" si="603"/>
        <v>0</v>
      </c>
      <c r="Y600" s="124">
        <f t="shared" si="603"/>
        <v>0</v>
      </c>
      <c r="Z600" s="124">
        <f t="shared" si="603"/>
        <v>0</v>
      </c>
      <c r="AA600" s="124">
        <f t="shared" si="603"/>
        <v>0</v>
      </c>
      <c r="AB600" s="124">
        <f t="shared" si="603"/>
        <v>0</v>
      </c>
      <c r="AC600" s="124">
        <f t="shared" si="603"/>
        <v>0</v>
      </c>
      <c r="AD600" s="124">
        <f t="shared" si="603"/>
        <v>0</v>
      </c>
      <c r="AG600" s="349">
        <f>SUM(AG592:AG599)</f>
        <v>0</v>
      </c>
      <c r="AH600" s="350">
        <f>SUM(AH592:AH599)</f>
        <v>0</v>
      </c>
      <c r="AI600" s="326"/>
      <c r="AJ600" s="352">
        <f>SUM(AJ592:AJ599)</f>
        <v>0</v>
      </c>
      <c r="AK600" s="350">
        <f t="shared" ref="AK600" si="604">SUM(AK592:AK599)</f>
        <v>0</v>
      </c>
      <c r="AL600" s="326"/>
      <c r="AM600" s="352">
        <f t="shared" ref="AM600:AN600" si="605">SUM(AM592:AM599)</f>
        <v>0</v>
      </c>
      <c r="AN600" s="350">
        <f t="shared" si="605"/>
        <v>0</v>
      </c>
      <c r="AO600" s="326"/>
      <c r="AP600" s="352">
        <f t="shared" ref="AP600:AQ600" si="606">SUM(AP592:AP599)</f>
        <v>0</v>
      </c>
      <c r="AQ600" s="350">
        <f t="shared" si="606"/>
        <v>0</v>
      </c>
      <c r="AR600" s="326"/>
      <c r="AS600" s="352">
        <f t="shared" ref="AS600:AT600" si="607">SUM(AS592:AS599)</f>
        <v>0</v>
      </c>
      <c r="AT600" s="350">
        <f t="shared" si="607"/>
        <v>0</v>
      </c>
      <c r="AU600" s="326"/>
      <c r="AV600" s="352">
        <f t="shared" ref="AV600:AW600" si="608">SUM(AV592:AV599)</f>
        <v>0</v>
      </c>
      <c r="AW600" s="350">
        <f t="shared" si="608"/>
        <v>0</v>
      </c>
      <c r="AX600" s="326"/>
      <c r="AY600" s="352">
        <f t="shared" ref="AY600:AZ600" si="609">SUM(AY592:AY599)</f>
        <v>0</v>
      </c>
      <c r="AZ600" s="350">
        <f t="shared" si="609"/>
        <v>0</v>
      </c>
      <c r="BA600" s="326"/>
      <c r="BB600" s="352">
        <f t="shared" ref="BB600:BC600" si="610">SUM(BB592:BB599)</f>
        <v>0</v>
      </c>
      <c r="BC600" s="350">
        <f t="shared" si="610"/>
        <v>0</v>
      </c>
      <c r="BD600" s="326"/>
      <c r="BE600" s="352">
        <f t="shared" ref="BE600:BF600" si="611">SUM(BE592:BE599)</f>
        <v>0</v>
      </c>
      <c r="BF600" s="350">
        <f t="shared" si="611"/>
        <v>0</v>
      </c>
      <c r="BG600" s="326"/>
      <c r="BH600" s="352">
        <f t="shared" ref="BH600:BI600" si="612">SUM(BH592:BH599)</f>
        <v>0</v>
      </c>
      <c r="BI600" s="350">
        <f t="shared" si="612"/>
        <v>0</v>
      </c>
      <c r="BJ600" s="326"/>
      <c r="BK600" s="352">
        <f t="shared" ref="BK600:BL600" si="613">SUM(BK592:BK599)</f>
        <v>0</v>
      </c>
      <c r="BL600" s="350">
        <f t="shared" si="613"/>
        <v>0</v>
      </c>
      <c r="BM600" s="326"/>
      <c r="BN600" s="352">
        <f t="shared" ref="BN600:BO600" si="614">SUM(BN592:BN599)</f>
        <v>0</v>
      </c>
      <c r="BO600" s="350">
        <f t="shared" si="614"/>
        <v>0</v>
      </c>
      <c r="BP600" s="326"/>
      <c r="BQ600" s="352">
        <f t="shared" ref="BQ600" si="615">SUM(BQ592:BQ599)</f>
        <v>0</v>
      </c>
    </row>
    <row r="601" spans="1:69" ht="15" customHeight="1">
      <c r="A601" s="49"/>
      <c r="B601" s="57"/>
      <c r="C601" s="86"/>
      <c r="D601" s="86"/>
      <c r="E601" s="86"/>
      <c r="F601" s="86"/>
      <c r="G601" s="86"/>
      <c r="H601" s="86"/>
      <c r="I601" s="86"/>
      <c r="J601" s="86"/>
      <c r="K601" s="86"/>
      <c r="L601" s="86"/>
      <c r="M601" s="86"/>
      <c r="N601" s="86"/>
      <c r="O601" s="86"/>
      <c r="P601" s="86"/>
      <c r="Q601" s="86"/>
      <c r="R601" s="86"/>
      <c r="S601" s="86"/>
      <c r="T601" s="86"/>
      <c r="U601" s="86"/>
      <c r="V601" s="86"/>
      <c r="W601" s="86"/>
      <c r="X601" s="86"/>
      <c r="Y601" s="86"/>
      <c r="Z601" s="86"/>
      <c r="AA601" s="86"/>
      <c r="AB601" s="86"/>
      <c r="AC601" s="86"/>
      <c r="AD601" s="86"/>
    </row>
    <row r="602" spans="1:69" ht="15" customHeight="1">
      <c r="A602" s="49"/>
      <c r="B602" s="57"/>
      <c r="C602" s="86"/>
      <c r="D602" s="86"/>
      <c r="E602" s="86"/>
      <c r="F602" s="86"/>
      <c r="G602" s="86"/>
      <c r="H602" s="86"/>
      <c r="I602" s="86"/>
      <c r="J602" s="86"/>
      <c r="K602" s="86"/>
      <c r="L602" s="86"/>
      <c r="M602" s="86"/>
      <c r="N602" s="86"/>
      <c r="O602" s="86"/>
      <c r="P602" s="86"/>
      <c r="Q602" s="86"/>
      <c r="R602" s="86"/>
      <c r="S602" s="86"/>
      <c r="T602" s="86"/>
      <c r="U602" s="86"/>
      <c r="V602" s="86"/>
      <c r="W602" s="86"/>
      <c r="X602" s="86"/>
      <c r="Y602" s="86"/>
      <c r="Z602" s="86"/>
      <c r="AA602" s="875" t="s">
        <v>2668</v>
      </c>
      <c r="AB602" s="875"/>
      <c r="AC602" s="875"/>
      <c r="AD602" s="875"/>
      <c r="AI602" s="356" t="s">
        <v>2650</v>
      </c>
      <c r="AJ602" s="283">
        <f>SUM(AJ600,AM600,AP600,AS600,AV600,AY600,BB600,BE600,BH600,BK600,BN600,BQ600)</f>
        <v>0</v>
      </c>
      <c r="AK602" s="355" t="s">
        <v>2651</v>
      </c>
      <c r="AL602" s="283">
        <f>SUM(AH600,AK600,AN600,AQ600,AT600,AW600,AZ600,BC600,BF600,BI600,BL600,BO600)</f>
        <v>0</v>
      </c>
      <c r="AM602" s="283"/>
      <c r="AN602" s="283"/>
    </row>
    <row r="603" spans="1:69" ht="48" customHeight="1">
      <c r="A603" s="49"/>
      <c r="B603" s="57"/>
      <c r="C603" s="797" t="s">
        <v>2581</v>
      </c>
      <c r="D603" s="798"/>
      <c r="E603" s="798"/>
      <c r="F603" s="798"/>
      <c r="G603" s="798"/>
      <c r="H603" s="798"/>
      <c r="I603" s="798"/>
      <c r="J603" s="798"/>
      <c r="K603" s="798"/>
      <c r="L603" s="798"/>
      <c r="M603" s="798"/>
      <c r="N603" s="798"/>
      <c r="O603" s="799"/>
      <c r="P603" s="739" t="s">
        <v>3361</v>
      </c>
      <c r="Q603" s="740"/>
      <c r="R603" s="740"/>
      <c r="S603" s="740"/>
      <c r="T603" s="740"/>
      <c r="U603" s="740"/>
      <c r="V603" s="740"/>
      <c r="W603" s="740"/>
      <c r="X603" s="740"/>
      <c r="Y603" s="740"/>
      <c r="Z603" s="740"/>
      <c r="AA603" s="740"/>
      <c r="AB603" s="740"/>
      <c r="AC603" s="740"/>
      <c r="AD603" s="741"/>
      <c r="AI603" s="357" t="s">
        <v>2652</v>
      </c>
      <c r="AJ603" s="283">
        <f>IF(AL602&gt;0,IF(SUM(J600)&gt;=SUM(M600,P600,S600,V600,Y600,AB600,P615,S615,V615,Y615,AB615),0,1),IF(SUM(J600)&lt;&gt;SUM(M600,P600,S600,V600,Y600,AB600,P615,S615,V615,Y615,AB615),1,0))</f>
        <v>0</v>
      </c>
      <c r="AK603" s="357" t="s">
        <v>2653</v>
      </c>
      <c r="AL603" s="283">
        <f>IF(AL602&gt;0,IF(SUM(K600)&gt;=SUM(N600,Q600,T600,W600,Z600,AC600,Q615,T615,W615,Z615,AC615),0,1),IF(SUM(K600)&lt;&gt;SUM(N600,Q600,T600,W600,Z600,AC600,Q615,T615,W615,Z615,AC615),1,0))</f>
        <v>0</v>
      </c>
      <c r="AM603" s="357" t="s">
        <v>2654</v>
      </c>
      <c r="AN603" s="283">
        <f>IF(AL602&gt;0,IF(SUM(L600)&gt;=SUM(O600,R600,U600,X600,AA600,AD600,R615,U615,X615,AA615,AD615),0,1),IF(SUM(L600)&lt;&gt;SUM(O600,R600,U600,X600,AA600,AD600,R615,U615,X615,AA615,AD615),1,0))</f>
        <v>0</v>
      </c>
    </row>
    <row r="604" spans="1:69" ht="24" customHeight="1">
      <c r="A604" s="49"/>
      <c r="B604" s="57"/>
      <c r="C604" s="800"/>
      <c r="D604" s="801"/>
      <c r="E604" s="801"/>
      <c r="F604" s="801"/>
      <c r="G604" s="801"/>
      <c r="H604" s="801"/>
      <c r="I604" s="801"/>
      <c r="J604" s="801"/>
      <c r="K604" s="801"/>
      <c r="L604" s="801"/>
      <c r="M604" s="801"/>
      <c r="N604" s="801"/>
      <c r="O604" s="802"/>
      <c r="P604" s="733" t="s">
        <v>3369</v>
      </c>
      <c r="Q604" s="734"/>
      <c r="R604" s="734"/>
      <c r="S604" s="734"/>
      <c r="T604" s="734"/>
      <c r="U604" s="734"/>
      <c r="V604" s="734"/>
      <c r="W604" s="734"/>
      <c r="X604" s="735"/>
      <c r="Y604" s="841" t="s">
        <v>3370</v>
      </c>
      <c r="Z604" s="950"/>
      <c r="AA604" s="842"/>
      <c r="AB604" s="857" t="s">
        <v>3371</v>
      </c>
      <c r="AC604" s="857"/>
      <c r="AD604" s="857"/>
    </row>
    <row r="605" spans="1:69" ht="120" customHeight="1">
      <c r="A605" s="49"/>
      <c r="B605" s="57"/>
      <c r="C605" s="800"/>
      <c r="D605" s="801"/>
      <c r="E605" s="801"/>
      <c r="F605" s="801"/>
      <c r="G605" s="801"/>
      <c r="H605" s="801"/>
      <c r="I605" s="801"/>
      <c r="J605" s="801"/>
      <c r="K605" s="801"/>
      <c r="L605" s="801"/>
      <c r="M605" s="801"/>
      <c r="N605" s="801"/>
      <c r="O605" s="802"/>
      <c r="P605" s="858" t="s">
        <v>3372</v>
      </c>
      <c r="Q605" s="859"/>
      <c r="R605" s="859"/>
      <c r="S605" s="858" t="s">
        <v>3373</v>
      </c>
      <c r="T605" s="859"/>
      <c r="U605" s="859"/>
      <c r="V605" s="858" t="s">
        <v>3374</v>
      </c>
      <c r="W605" s="859"/>
      <c r="X605" s="859"/>
      <c r="Y605" s="845"/>
      <c r="Z605" s="952"/>
      <c r="AA605" s="846"/>
      <c r="AB605" s="857"/>
      <c r="AC605" s="857"/>
      <c r="AD605" s="857"/>
      <c r="AG605" s="919" t="s">
        <v>3175</v>
      </c>
      <c r="AH605" s="919"/>
      <c r="AI605" s="919"/>
    </row>
    <row r="606" spans="1:69" ht="48" customHeight="1">
      <c r="A606" s="49"/>
      <c r="B606" s="57"/>
      <c r="C606" s="803"/>
      <c r="D606" s="804"/>
      <c r="E606" s="804"/>
      <c r="F606" s="804"/>
      <c r="G606" s="804"/>
      <c r="H606" s="804"/>
      <c r="I606" s="804"/>
      <c r="J606" s="804"/>
      <c r="K606" s="804"/>
      <c r="L606" s="804"/>
      <c r="M606" s="804"/>
      <c r="N606" s="804"/>
      <c r="O606" s="805"/>
      <c r="P606" s="171" t="s">
        <v>2635</v>
      </c>
      <c r="Q606" s="121" t="s">
        <v>2629</v>
      </c>
      <c r="R606" s="128" t="s">
        <v>2630</v>
      </c>
      <c r="S606" s="171" t="s">
        <v>2635</v>
      </c>
      <c r="T606" s="121" t="s">
        <v>2629</v>
      </c>
      <c r="U606" s="128" t="s">
        <v>2630</v>
      </c>
      <c r="V606" s="171" t="s">
        <v>2635</v>
      </c>
      <c r="W606" s="121" t="s">
        <v>2629</v>
      </c>
      <c r="X606" s="128" t="s">
        <v>2630</v>
      </c>
      <c r="Y606" s="661" t="s">
        <v>2635</v>
      </c>
      <c r="Z606" s="664" t="s">
        <v>2629</v>
      </c>
      <c r="AA606" s="663" t="s">
        <v>2630</v>
      </c>
      <c r="AB606" s="171" t="s">
        <v>2635</v>
      </c>
      <c r="AC606" s="121" t="s">
        <v>2629</v>
      </c>
      <c r="AD606" s="128" t="s">
        <v>2630</v>
      </c>
      <c r="AG606" s="359" t="s">
        <v>2795</v>
      </c>
      <c r="AH606" s="360" t="s">
        <v>3177</v>
      </c>
      <c r="AI606" s="361" t="s">
        <v>3178</v>
      </c>
    </row>
    <row r="607" spans="1:69" ht="15" customHeight="1">
      <c r="A607" s="49"/>
      <c r="B607" s="57"/>
      <c r="C607" s="97" t="s">
        <v>2516</v>
      </c>
      <c r="D607" s="813" t="str">
        <f>IF(CNSIPEE_2024_M2_Secc1!D42="","",CNSIPEE_2024_M2_Secc1!D42)</f>
        <v/>
      </c>
      <c r="E607" s="814"/>
      <c r="F607" s="814"/>
      <c r="G607" s="814"/>
      <c r="H607" s="814"/>
      <c r="I607" s="814"/>
      <c r="J607" s="814"/>
      <c r="K607" s="814"/>
      <c r="L607" s="814"/>
      <c r="M607" s="814"/>
      <c r="N607" s="814"/>
      <c r="O607" s="815"/>
      <c r="P607" s="100"/>
      <c r="Q607" s="100"/>
      <c r="R607" s="100"/>
      <c r="S607" s="100"/>
      <c r="T607" s="100"/>
      <c r="U607" s="100"/>
      <c r="V607" s="100"/>
      <c r="W607" s="100"/>
      <c r="X607" s="100"/>
      <c r="Y607" s="100"/>
      <c r="Z607" s="100"/>
      <c r="AA607" s="100"/>
      <c r="AB607" s="100"/>
      <c r="AC607" s="100"/>
      <c r="AD607" s="100"/>
      <c r="AG607">
        <f>IF(OR(J592="NS",M113="NS"),0,IF(AND(J592="NA",M113="NA"),0,IF(J592&lt;=M113,0,1)))</f>
        <v>0</v>
      </c>
      <c r="AH607">
        <f>IF(OR(K592="NS",S113="NS"),0,IF(AND(K592="NA",S113="NA"),0,IF(K592&lt;=S113,0,1)))</f>
        <v>0</v>
      </c>
      <c r="AI607">
        <f>IF(OR(L592="NS",Y113="NS"),0,IF(AND(L592="NA",Y113="NA"),0,IF(L592&lt;=Y113,0,1)))</f>
        <v>0</v>
      </c>
    </row>
    <row r="608" spans="1:69" ht="15" customHeight="1">
      <c r="A608" s="49"/>
      <c r="B608" s="57"/>
      <c r="C608" s="98" t="s">
        <v>2517</v>
      </c>
      <c r="D608" s="813" t="str">
        <f>IF(CNSIPEE_2024_M2_Secc1!D43="","",CNSIPEE_2024_M2_Secc1!D43)</f>
        <v/>
      </c>
      <c r="E608" s="814"/>
      <c r="F608" s="814"/>
      <c r="G608" s="814"/>
      <c r="H608" s="814"/>
      <c r="I608" s="814"/>
      <c r="J608" s="814"/>
      <c r="K608" s="814"/>
      <c r="L608" s="814"/>
      <c r="M608" s="814"/>
      <c r="N608" s="814"/>
      <c r="O608" s="815"/>
      <c r="P608" s="100"/>
      <c r="Q608" s="100"/>
      <c r="R608" s="100"/>
      <c r="S608" s="100"/>
      <c r="T608" s="100"/>
      <c r="U608" s="100"/>
      <c r="V608" s="100"/>
      <c r="W608" s="100"/>
      <c r="X608" s="100"/>
      <c r="Y608" s="100"/>
      <c r="Z608" s="100"/>
      <c r="AA608" s="100"/>
      <c r="AB608" s="100"/>
      <c r="AC608" s="100"/>
      <c r="AD608" s="100"/>
      <c r="AG608">
        <f t="shared" ref="AG608:AG614" si="616">IF(OR(J593="NS",M114="NS"),0,IF(AND(J593="NA",M114="NA"),0,IF(J593&lt;=M114,0,1)))</f>
        <v>0</v>
      </c>
      <c r="AH608">
        <f t="shared" ref="AH608:AH614" si="617">IF(OR(K593="NS",S114="NS"),0,IF(AND(K593="NA",S114="NA"),0,IF(K593&lt;=S114,0,1)))</f>
        <v>0</v>
      </c>
      <c r="AI608">
        <f t="shared" ref="AI608:AI614" si="618">IF(OR(L593="NS",Y114="NS"),0,IF(AND(L593="NA",Y114="NA"),0,IF(L593&lt;=Y114,0,1)))</f>
        <v>0</v>
      </c>
    </row>
    <row r="609" spans="1:35" ht="15" customHeight="1">
      <c r="A609" s="49"/>
      <c r="B609" s="57"/>
      <c r="C609" s="98" t="s">
        <v>2518</v>
      </c>
      <c r="D609" s="813" t="str">
        <f>IF(CNSIPEE_2024_M2_Secc1!D44="","",CNSIPEE_2024_M2_Secc1!D44)</f>
        <v/>
      </c>
      <c r="E609" s="814"/>
      <c r="F609" s="814"/>
      <c r="G609" s="814"/>
      <c r="H609" s="814"/>
      <c r="I609" s="814"/>
      <c r="J609" s="814"/>
      <c r="K609" s="814"/>
      <c r="L609" s="814"/>
      <c r="M609" s="814"/>
      <c r="N609" s="814"/>
      <c r="O609" s="815"/>
      <c r="P609" s="100"/>
      <c r="Q609" s="100"/>
      <c r="R609" s="100"/>
      <c r="S609" s="100"/>
      <c r="T609" s="100"/>
      <c r="U609" s="100"/>
      <c r="V609" s="100"/>
      <c r="W609" s="100"/>
      <c r="X609" s="100"/>
      <c r="Y609" s="100"/>
      <c r="Z609" s="100"/>
      <c r="AA609" s="100"/>
      <c r="AB609" s="100"/>
      <c r="AC609" s="100"/>
      <c r="AD609" s="100"/>
      <c r="AG609">
        <f t="shared" si="616"/>
        <v>0</v>
      </c>
      <c r="AH609">
        <f t="shared" si="617"/>
        <v>0</v>
      </c>
      <c r="AI609">
        <f t="shared" si="618"/>
        <v>0</v>
      </c>
    </row>
    <row r="610" spans="1:35" ht="15" customHeight="1">
      <c r="A610" s="49"/>
      <c r="B610" s="57"/>
      <c r="C610" s="98" t="s">
        <v>2519</v>
      </c>
      <c r="D610" s="813" t="str">
        <f>IF(CNSIPEE_2024_M2_Secc1!D45="","",CNSIPEE_2024_M2_Secc1!D45)</f>
        <v/>
      </c>
      <c r="E610" s="814"/>
      <c r="F610" s="814"/>
      <c r="G610" s="814"/>
      <c r="H610" s="814"/>
      <c r="I610" s="814"/>
      <c r="J610" s="814"/>
      <c r="K610" s="814"/>
      <c r="L610" s="814"/>
      <c r="M610" s="814"/>
      <c r="N610" s="814"/>
      <c r="O610" s="815"/>
      <c r="P610" s="100"/>
      <c r="Q610" s="100"/>
      <c r="R610" s="100"/>
      <c r="S610" s="100"/>
      <c r="T610" s="100"/>
      <c r="U610" s="100"/>
      <c r="V610" s="100"/>
      <c r="W610" s="100"/>
      <c r="X610" s="100"/>
      <c r="Y610" s="100"/>
      <c r="Z610" s="100"/>
      <c r="AA610" s="100"/>
      <c r="AB610" s="100"/>
      <c r="AC610" s="100"/>
      <c r="AD610" s="100"/>
      <c r="AG610">
        <f t="shared" si="616"/>
        <v>0</v>
      </c>
      <c r="AH610">
        <f t="shared" si="617"/>
        <v>0</v>
      </c>
      <c r="AI610">
        <f t="shared" si="618"/>
        <v>0</v>
      </c>
    </row>
    <row r="611" spans="1:35" ht="15" customHeight="1">
      <c r="A611" s="49"/>
      <c r="B611" s="57"/>
      <c r="C611" s="98" t="s">
        <v>2520</v>
      </c>
      <c r="D611" s="813" t="str">
        <f>IF(CNSIPEE_2024_M2_Secc1!D46="","",CNSIPEE_2024_M2_Secc1!D46)</f>
        <v/>
      </c>
      <c r="E611" s="814"/>
      <c r="F611" s="814"/>
      <c r="G611" s="814"/>
      <c r="H611" s="814"/>
      <c r="I611" s="814"/>
      <c r="J611" s="814"/>
      <c r="K611" s="814"/>
      <c r="L611" s="814"/>
      <c r="M611" s="814"/>
      <c r="N611" s="814"/>
      <c r="O611" s="815"/>
      <c r="P611" s="100"/>
      <c r="Q611" s="100"/>
      <c r="R611" s="100"/>
      <c r="S611" s="100"/>
      <c r="T611" s="100"/>
      <c r="U611" s="100"/>
      <c r="V611" s="100"/>
      <c r="W611" s="100"/>
      <c r="X611" s="100"/>
      <c r="Y611" s="100"/>
      <c r="Z611" s="100"/>
      <c r="AA611" s="100"/>
      <c r="AB611" s="100"/>
      <c r="AC611" s="100"/>
      <c r="AD611" s="100"/>
      <c r="AG611">
        <f t="shared" si="616"/>
        <v>0</v>
      </c>
      <c r="AH611">
        <f t="shared" si="617"/>
        <v>0</v>
      </c>
      <c r="AI611">
        <f t="shared" si="618"/>
        <v>0</v>
      </c>
    </row>
    <row r="612" spans="1:35" ht="15" customHeight="1">
      <c r="A612" s="49"/>
      <c r="B612" s="57"/>
      <c r="C612" s="98" t="s">
        <v>2521</v>
      </c>
      <c r="D612" s="813" t="str">
        <f>IF(CNSIPEE_2024_M2_Secc1!D47="","",CNSIPEE_2024_M2_Secc1!D47)</f>
        <v/>
      </c>
      <c r="E612" s="814"/>
      <c r="F612" s="814"/>
      <c r="G612" s="814"/>
      <c r="H612" s="814"/>
      <c r="I612" s="814"/>
      <c r="J612" s="814"/>
      <c r="K612" s="814"/>
      <c r="L612" s="814"/>
      <c r="M612" s="814"/>
      <c r="N612" s="814"/>
      <c r="O612" s="815"/>
      <c r="P612" s="100"/>
      <c r="Q612" s="100"/>
      <c r="R612" s="100"/>
      <c r="S612" s="100"/>
      <c r="T612" s="100"/>
      <c r="U612" s="100"/>
      <c r="V612" s="100"/>
      <c r="W612" s="100"/>
      <c r="X612" s="100"/>
      <c r="Y612" s="100"/>
      <c r="Z612" s="100"/>
      <c r="AA612" s="100"/>
      <c r="AB612" s="100"/>
      <c r="AC612" s="100"/>
      <c r="AD612" s="100"/>
      <c r="AG612">
        <f t="shared" si="616"/>
        <v>0</v>
      </c>
      <c r="AH612">
        <f t="shared" si="617"/>
        <v>0</v>
      </c>
      <c r="AI612">
        <f t="shared" si="618"/>
        <v>0</v>
      </c>
    </row>
    <row r="613" spans="1:35" ht="15" customHeight="1">
      <c r="A613" s="49"/>
      <c r="B613" s="57"/>
      <c r="C613" s="98" t="s">
        <v>2522</v>
      </c>
      <c r="D613" s="813" t="str">
        <f>IF(CNSIPEE_2024_M2_Secc1!D48="","",CNSIPEE_2024_M2_Secc1!D48)</f>
        <v/>
      </c>
      <c r="E613" s="814"/>
      <c r="F613" s="814"/>
      <c r="G613" s="814"/>
      <c r="H613" s="814"/>
      <c r="I613" s="814"/>
      <c r="J613" s="814"/>
      <c r="K613" s="814"/>
      <c r="L613" s="814"/>
      <c r="M613" s="814"/>
      <c r="N613" s="814"/>
      <c r="O613" s="815"/>
      <c r="P613" s="100"/>
      <c r="Q613" s="100"/>
      <c r="R613" s="100"/>
      <c r="S613" s="100"/>
      <c r="T613" s="100"/>
      <c r="U613" s="100"/>
      <c r="V613" s="100"/>
      <c r="W613" s="100"/>
      <c r="X613" s="100"/>
      <c r="Y613" s="100"/>
      <c r="Z613" s="100"/>
      <c r="AA613" s="100"/>
      <c r="AB613" s="100"/>
      <c r="AC613" s="100"/>
      <c r="AD613" s="100"/>
      <c r="AG613">
        <f t="shared" si="616"/>
        <v>0</v>
      </c>
      <c r="AH613">
        <f t="shared" si="617"/>
        <v>0</v>
      </c>
      <c r="AI613">
        <f t="shared" si="618"/>
        <v>0</v>
      </c>
    </row>
    <row r="614" spans="1:35" ht="15" customHeight="1">
      <c r="A614" s="49"/>
      <c r="B614" s="57"/>
      <c r="C614" s="98" t="s">
        <v>2523</v>
      </c>
      <c r="D614" s="813" t="str">
        <f>IF(CNSIPEE_2024_M2_Secc1!D49="","",CNSIPEE_2024_M2_Secc1!D49)</f>
        <v/>
      </c>
      <c r="E614" s="814"/>
      <c r="F614" s="814"/>
      <c r="G614" s="814"/>
      <c r="H614" s="814"/>
      <c r="I614" s="814"/>
      <c r="J614" s="814"/>
      <c r="K614" s="814"/>
      <c r="L614" s="814"/>
      <c r="M614" s="814"/>
      <c r="N614" s="814"/>
      <c r="O614" s="815"/>
      <c r="P614" s="100"/>
      <c r="Q614" s="100"/>
      <c r="R614" s="100"/>
      <c r="S614" s="100"/>
      <c r="T614" s="100"/>
      <c r="U614" s="100"/>
      <c r="V614" s="100"/>
      <c r="W614" s="100"/>
      <c r="X614" s="100"/>
      <c r="Y614" s="100"/>
      <c r="Z614" s="100"/>
      <c r="AA614" s="100"/>
      <c r="AB614" s="100"/>
      <c r="AC614" s="100"/>
      <c r="AD614" s="100"/>
      <c r="AG614">
        <f t="shared" si="616"/>
        <v>0</v>
      </c>
      <c r="AH614">
        <f t="shared" si="617"/>
        <v>0</v>
      </c>
      <c r="AI614">
        <f t="shared" si="618"/>
        <v>0</v>
      </c>
    </row>
    <row r="615" spans="1:35" ht="15" customHeight="1">
      <c r="A615" s="49"/>
      <c r="B615" s="57"/>
      <c r="C615" s="90"/>
      <c r="M615" s="104"/>
      <c r="N615" s="104"/>
      <c r="O615" s="104"/>
      <c r="P615" s="124">
        <f>IF(AND(SUM(P607:P614)=0,COUNTIF(P607:P614,"NS")&gt;0),"NS",
IF(AND(SUM(P607:P614)=0,COUNTIF(P607:P614,0)&gt;0),0,
IF(AND(SUM(P607:P614)=0,COUNTIF(P607:P614,"NA")&gt;0),"NA",
SUM(P607:P614))))</f>
        <v>0</v>
      </c>
      <c r="Q615" s="124">
        <f t="shared" ref="Q615:AD615" si="619">IF(AND(SUM(Q607:Q614)=0,COUNTIF(Q607:Q614,"NS")&gt;0),"NS",
IF(AND(SUM(Q607:Q614)=0,COUNTIF(Q607:Q614,0)&gt;0),0,
IF(AND(SUM(Q607:Q614)=0,COUNTIF(Q607:Q614,"NA")&gt;0),"NA",
SUM(Q607:Q614))))</f>
        <v>0</v>
      </c>
      <c r="R615" s="124">
        <f t="shared" si="619"/>
        <v>0</v>
      </c>
      <c r="S615" s="124">
        <f t="shared" si="619"/>
        <v>0</v>
      </c>
      <c r="T615" s="124">
        <f t="shared" si="619"/>
        <v>0</v>
      </c>
      <c r="U615" s="124">
        <f t="shared" si="619"/>
        <v>0</v>
      </c>
      <c r="V615" s="124">
        <f t="shared" si="619"/>
        <v>0</v>
      </c>
      <c r="W615" s="124">
        <f t="shared" si="619"/>
        <v>0</v>
      </c>
      <c r="X615" s="124">
        <f t="shared" si="619"/>
        <v>0</v>
      </c>
      <c r="Y615" s="124">
        <f t="shared" si="619"/>
        <v>0</v>
      </c>
      <c r="Z615" s="124">
        <f t="shared" si="619"/>
        <v>0</v>
      </c>
      <c r="AA615" s="124">
        <f t="shared" si="619"/>
        <v>0</v>
      </c>
      <c r="AB615" s="124">
        <f t="shared" si="619"/>
        <v>0</v>
      </c>
      <c r="AC615" s="124">
        <f t="shared" si="619"/>
        <v>0</v>
      </c>
      <c r="AD615" s="124">
        <f t="shared" si="619"/>
        <v>0</v>
      </c>
      <c r="AG615" s="359">
        <f>SUM(AG607:AG614)</f>
        <v>0</v>
      </c>
      <c r="AH615" s="360">
        <f>SUM(AH607:AH614)</f>
        <v>0</v>
      </c>
      <c r="AI615" s="361">
        <f>SUM(AI607:AI614)</f>
        <v>0</v>
      </c>
    </row>
    <row r="616" spans="1:35" ht="15" customHeight="1">
      <c r="A616" s="49"/>
      <c r="B616" s="57"/>
      <c r="C616" s="86"/>
      <c r="S616" s="86"/>
      <c r="T616" s="86"/>
      <c r="U616" s="86"/>
      <c r="V616" s="86"/>
      <c r="W616" s="86"/>
      <c r="X616" s="86"/>
      <c r="Y616" s="86"/>
      <c r="Z616" s="86"/>
      <c r="AA616" s="86"/>
      <c r="AB616" s="86"/>
      <c r="AC616" s="86"/>
      <c r="AD616" s="86"/>
      <c r="AG616"/>
      <c r="AH616"/>
      <c r="AI616" s="362">
        <f>SUM(AG615:AI615)</f>
        <v>0</v>
      </c>
    </row>
    <row r="617" spans="1:35" ht="24" customHeight="1">
      <c r="A617" s="49"/>
      <c r="B617" s="38"/>
      <c r="C617" s="754" t="s">
        <v>2611</v>
      </c>
      <c r="D617" s="754"/>
      <c r="E617" s="754"/>
      <c r="F617" s="754"/>
      <c r="G617" s="754"/>
      <c r="H617" s="754"/>
      <c r="I617" s="754"/>
      <c r="J617" s="754"/>
      <c r="K617" s="754"/>
      <c r="L617" s="754"/>
      <c r="M617" s="754"/>
      <c r="N617" s="754"/>
      <c r="O617" s="754"/>
      <c r="P617" s="754"/>
      <c r="Q617" s="754"/>
      <c r="R617" s="754"/>
      <c r="S617" s="754"/>
      <c r="T617" s="754"/>
      <c r="U617" s="754"/>
      <c r="V617" s="754"/>
      <c r="W617" s="754"/>
      <c r="X617" s="754"/>
      <c r="Y617" s="754"/>
      <c r="Z617" s="754"/>
      <c r="AA617" s="754"/>
      <c r="AB617" s="754"/>
      <c r="AC617" s="754"/>
      <c r="AD617" s="754"/>
      <c r="AG617"/>
      <c r="AH617"/>
      <c r="AI617"/>
    </row>
    <row r="618" spans="1:35" ht="60" customHeight="1">
      <c r="A618" s="49"/>
      <c r="B618" s="38"/>
      <c r="C618" s="851"/>
      <c r="D618" s="851"/>
      <c r="E618" s="851"/>
      <c r="F618" s="851"/>
      <c r="G618" s="851"/>
      <c r="H618" s="851"/>
      <c r="I618" s="851"/>
      <c r="J618" s="851"/>
      <c r="K618" s="851"/>
      <c r="L618" s="851"/>
      <c r="M618" s="851"/>
      <c r="N618" s="851"/>
      <c r="O618" s="851"/>
      <c r="P618" s="851"/>
      <c r="Q618" s="851"/>
      <c r="R618" s="851"/>
      <c r="S618" s="851"/>
      <c r="T618" s="851"/>
      <c r="U618" s="851"/>
      <c r="V618" s="851"/>
      <c r="W618" s="851"/>
      <c r="X618" s="851"/>
      <c r="Y618" s="851"/>
      <c r="Z618" s="851"/>
      <c r="AA618" s="851"/>
      <c r="AB618" s="851"/>
      <c r="AC618" s="851"/>
      <c r="AD618" s="851"/>
    </row>
    <row r="619" spans="1:35" ht="15">
      <c r="A619" s="94"/>
      <c r="B619" s="794" t="str">
        <f>IF(AG600&gt;0,"Favor de ingresar toda la información requerida en la pregunta ","")</f>
        <v/>
      </c>
      <c r="C619" s="794"/>
      <c r="D619" s="794"/>
      <c r="E619" s="794"/>
      <c r="F619" s="794"/>
      <c r="G619" s="794"/>
      <c r="H619" s="794"/>
      <c r="I619" s="794"/>
      <c r="J619" s="794"/>
      <c r="K619" s="794"/>
      <c r="L619" s="794"/>
      <c r="M619" s="794"/>
      <c r="N619" s="794"/>
      <c r="O619" s="794"/>
      <c r="P619" s="794"/>
      <c r="Q619" s="794"/>
      <c r="R619" s="794"/>
      <c r="S619" s="794"/>
      <c r="T619" s="794"/>
      <c r="U619" s="794"/>
      <c r="V619" s="794"/>
      <c r="W619" s="794"/>
      <c r="X619" s="794"/>
      <c r="Y619" s="794"/>
      <c r="Z619" s="794"/>
      <c r="AA619" s="794"/>
      <c r="AB619" s="794"/>
      <c r="AC619" s="794"/>
      <c r="AD619" s="794"/>
      <c r="AE619"/>
    </row>
    <row r="620" spans="1:35" ht="15">
      <c r="A620" s="94"/>
      <c r="B620" s="795" t="str">
        <f>IF(AL602&gt;0,"Alerta: debido a que cuenta con registros NS, debe proporcionar una justificación en el area de comentarios al final de la pregunta","")</f>
        <v/>
      </c>
      <c r="C620" s="795"/>
      <c r="D620" s="795"/>
      <c r="E620" s="795"/>
      <c r="F620" s="795"/>
      <c r="G620" s="795"/>
      <c r="H620" s="795"/>
      <c r="I620" s="795"/>
      <c r="J620" s="795"/>
      <c r="K620" s="795"/>
      <c r="L620" s="795"/>
      <c r="M620" s="795"/>
      <c r="N620" s="795"/>
      <c r="O620" s="795"/>
      <c r="P620" s="795"/>
      <c r="Q620" s="795"/>
      <c r="R620" s="795"/>
      <c r="S620" s="795"/>
      <c r="T620" s="795"/>
      <c r="U620" s="795"/>
      <c r="V620" s="795"/>
      <c r="W620" s="795"/>
      <c r="X620" s="795"/>
      <c r="Y620" s="795"/>
      <c r="Z620" s="795"/>
      <c r="AA620" s="795"/>
      <c r="AB620" s="795"/>
      <c r="AC620" s="795"/>
      <c r="AD620" s="795"/>
      <c r="AE620"/>
    </row>
    <row r="621" spans="1:35" ht="15">
      <c r="A621" s="94"/>
      <c r="B621" s="794" t="str">
        <f>IF(OR(AJ602&gt;0,AJ603&gt;0,AL603&gt;0,AN603&gt;0),"Favor de revisar la suma y consistencia de totales y/o subtotales por filas (numéricos y NS)","")</f>
        <v/>
      </c>
      <c r="C621" s="794"/>
      <c r="D621" s="794"/>
      <c r="E621" s="794"/>
      <c r="F621" s="794"/>
      <c r="G621" s="794"/>
      <c r="H621" s="794"/>
      <c r="I621" s="794"/>
      <c r="J621" s="794"/>
      <c r="K621" s="794"/>
      <c r="L621" s="794"/>
      <c r="M621" s="794"/>
      <c r="N621" s="794"/>
      <c r="O621" s="794"/>
      <c r="P621" s="794"/>
      <c r="Q621" s="794"/>
      <c r="R621" s="794"/>
      <c r="S621" s="794"/>
      <c r="T621" s="794"/>
      <c r="U621" s="794"/>
      <c r="V621" s="794"/>
      <c r="W621" s="794"/>
      <c r="X621" s="794"/>
      <c r="Y621" s="794"/>
      <c r="Z621" s="794"/>
      <c r="AA621" s="794"/>
      <c r="AB621" s="794"/>
      <c r="AC621" s="794"/>
      <c r="AD621" s="794"/>
      <c r="AE621"/>
    </row>
    <row r="622" spans="1:35" ht="15">
      <c r="A622" s="94"/>
      <c r="B622" s="795" t="str">
        <f>IF(AI616&gt;0,"Alerta: debe de proporcionar una justificación de acuerdo a lo establecido en la instrucción 3","")</f>
        <v/>
      </c>
      <c r="C622" s="795"/>
      <c r="D622" s="795"/>
      <c r="E622" s="795"/>
      <c r="F622" s="795"/>
      <c r="G622" s="795"/>
      <c r="H622" s="795"/>
      <c r="I622" s="795"/>
      <c r="J622" s="795"/>
      <c r="K622" s="795"/>
      <c r="L622" s="795"/>
      <c r="M622" s="795"/>
      <c r="N622" s="795"/>
      <c r="O622" s="795"/>
      <c r="P622" s="795"/>
      <c r="Q622" s="795"/>
      <c r="R622" s="795"/>
      <c r="S622" s="795"/>
      <c r="T622" s="795"/>
      <c r="U622" s="795"/>
      <c r="V622" s="795"/>
      <c r="W622" s="795"/>
      <c r="X622" s="795"/>
      <c r="Y622" s="795"/>
      <c r="Z622" s="795"/>
      <c r="AA622" s="795"/>
      <c r="AB622" s="795"/>
      <c r="AC622" s="795"/>
      <c r="AD622" s="795"/>
      <c r="AE622" s="795"/>
    </row>
    <row r="623" spans="1:35" ht="15">
      <c r="A623" s="94"/>
      <c r="AE623"/>
    </row>
    <row r="624" spans="1:35" ht="15.75" thickBot="1">
      <c r="A624" s="94"/>
      <c r="AE624"/>
    </row>
    <row r="625" spans="1:58" customFormat="1" ht="15" customHeight="1" thickBot="1">
      <c r="A625" s="153" t="s">
        <v>2563</v>
      </c>
      <c r="B625" s="943" t="s">
        <v>3375</v>
      </c>
      <c r="C625" s="944"/>
      <c r="D625" s="944"/>
      <c r="E625" s="944"/>
      <c r="F625" s="944"/>
      <c r="G625" s="944"/>
      <c r="H625" s="944"/>
      <c r="I625" s="944"/>
      <c r="J625" s="944"/>
      <c r="K625" s="944"/>
      <c r="L625" s="944"/>
      <c r="M625" s="944"/>
      <c r="N625" s="944"/>
      <c r="O625" s="944"/>
      <c r="P625" s="944"/>
      <c r="Q625" s="944"/>
      <c r="R625" s="944"/>
      <c r="S625" s="944"/>
      <c r="T625" s="944"/>
      <c r="U625" s="944"/>
      <c r="V625" s="944"/>
      <c r="W625" s="944"/>
      <c r="X625" s="944"/>
      <c r="Y625" s="944"/>
      <c r="Z625" s="944"/>
      <c r="AA625" s="944"/>
      <c r="AB625" s="944"/>
      <c r="AC625" s="944"/>
      <c r="AD625" s="945"/>
      <c r="AE625" s="3"/>
    </row>
    <row r="626" spans="1:58" ht="15" customHeight="1">
      <c r="A626" s="50"/>
      <c r="B626" s="866" t="s">
        <v>3332</v>
      </c>
      <c r="C626" s="867"/>
      <c r="D626" s="867"/>
      <c r="E626" s="867"/>
      <c r="F626" s="867"/>
      <c r="G626" s="867"/>
      <c r="H626" s="867"/>
      <c r="I626" s="867"/>
      <c r="J626" s="867"/>
      <c r="K626" s="867"/>
      <c r="L626" s="867"/>
      <c r="M626" s="867"/>
      <c r="N626" s="867"/>
      <c r="O626" s="867"/>
      <c r="P626" s="867"/>
      <c r="Q626" s="867"/>
      <c r="R626" s="867"/>
      <c r="S626" s="867"/>
      <c r="T626" s="867"/>
      <c r="U626" s="867"/>
      <c r="V626" s="867"/>
      <c r="W626" s="867"/>
      <c r="X626" s="867"/>
      <c r="Y626" s="867"/>
      <c r="Z626" s="867"/>
      <c r="AA626" s="867"/>
      <c r="AB626" s="867"/>
      <c r="AC626" s="867"/>
      <c r="AD626" s="868"/>
    </row>
    <row r="627" spans="1:58" ht="36" customHeight="1">
      <c r="A627" s="50"/>
      <c r="B627" s="95"/>
      <c r="C627" s="764" t="s">
        <v>3376</v>
      </c>
      <c r="D627" s="764"/>
      <c r="E627" s="764"/>
      <c r="F627" s="764"/>
      <c r="G627" s="764"/>
      <c r="H627" s="764"/>
      <c r="I627" s="764"/>
      <c r="J627" s="764"/>
      <c r="K627" s="764"/>
      <c r="L627" s="764"/>
      <c r="M627" s="764"/>
      <c r="N627" s="764"/>
      <c r="O627" s="764"/>
      <c r="P627" s="764"/>
      <c r="Q627" s="764"/>
      <c r="R627" s="764"/>
      <c r="S627" s="764"/>
      <c r="T627" s="764"/>
      <c r="U627" s="764"/>
      <c r="V627" s="764"/>
      <c r="W627" s="764"/>
      <c r="X627" s="764"/>
      <c r="Y627" s="764"/>
      <c r="Z627" s="764"/>
      <c r="AA627" s="764"/>
      <c r="AB627" s="764"/>
      <c r="AC627" s="764"/>
      <c r="AD627" s="765"/>
    </row>
    <row r="628" spans="1:58" ht="15" customHeight="1">
      <c r="A628" s="103"/>
      <c r="B628" s="57"/>
      <c r="C628" s="57"/>
      <c r="D628" s="57"/>
      <c r="E628" s="57"/>
      <c r="F628" s="57"/>
      <c r="G628" s="57"/>
      <c r="H628" s="57"/>
      <c r="I628" s="57"/>
      <c r="J628" s="57"/>
      <c r="K628" s="57"/>
      <c r="L628" s="57"/>
      <c r="M628" s="57"/>
      <c r="N628" s="57"/>
      <c r="O628" s="57"/>
      <c r="P628" s="57"/>
      <c r="Q628" s="57"/>
      <c r="R628" s="57"/>
      <c r="S628" s="57"/>
      <c r="T628" s="57"/>
      <c r="U628" s="57"/>
      <c r="V628" s="57"/>
      <c r="W628" s="57"/>
      <c r="X628" s="57"/>
      <c r="Y628" s="57"/>
      <c r="Z628" s="57"/>
      <c r="AA628" s="57"/>
      <c r="AB628" s="57"/>
      <c r="AC628" s="57"/>
      <c r="AD628" s="57"/>
    </row>
    <row r="629" spans="1:58" ht="24" customHeight="1">
      <c r="A629" s="49" t="s">
        <v>3377</v>
      </c>
      <c r="B629" s="829" t="s">
        <v>3378</v>
      </c>
      <c r="C629" s="829"/>
      <c r="D629" s="829"/>
      <c r="E629" s="829"/>
      <c r="F629" s="829"/>
      <c r="G629" s="829"/>
      <c r="H629" s="829"/>
      <c r="I629" s="829"/>
      <c r="J629" s="829"/>
      <c r="K629" s="829"/>
      <c r="L629" s="829"/>
      <c r="M629" s="829"/>
      <c r="N629" s="829"/>
      <c r="O629" s="829"/>
      <c r="P629" s="829"/>
      <c r="Q629" s="829"/>
      <c r="R629" s="829"/>
      <c r="S629" s="829"/>
      <c r="T629" s="829"/>
      <c r="U629" s="829"/>
      <c r="V629" s="829"/>
      <c r="W629" s="829"/>
      <c r="X629" s="829"/>
      <c r="Y629" s="829"/>
      <c r="Z629" s="829"/>
      <c r="AA629" s="829"/>
      <c r="AB629" s="829"/>
      <c r="AC629" s="829"/>
      <c r="AD629" s="829"/>
    </row>
    <row r="630" spans="1:58" ht="48" customHeight="1">
      <c r="A630" s="49"/>
      <c r="B630" s="57"/>
      <c r="C630" s="830" t="s">
        <v>3379</v>
      </c>
      <c r="D630" s="830"/>
      <c r="E630" s="830"/>
      <c r="F630" s="830"/>
      <c r="G630" s="830"/>
      <c r="H630" s="830"/>
      <c r="I630" s="830"/>
      <c r="J630" s="830"/>
      <c r="K630" s="830"/>
      <c r="L630" s="830"/>
      <c r="M630" s="830"/>
      <c r="N630" s="830"/>
      <c r="O630" s="830"/>
      <c r="P630" s="830"/>
      <c r="Q630" s="830"/>
      <c r="R630" s="830"/>
      <c r="S630" s="830"/>
      <c r="T630" s="830"/>
      <c r="U630" s="830"/>
      <c r="V630" s="830"/>
      <c r="W630" s="830"/>
      <c r="X630" s="830"/>
      <c r="Y630" s="830"/>
      <c r="Z630" s="830"/>
      <c r="AA630" s="830"/>
      <c r="AB630" s="830"/>
      <c r="AC630" s="830"/>
      <c r="AD630" s="830"/>
    </row>
    <row r="631" spans="1:58" ht="15" customHeight="1">
      <c r="A631" s="103"/>
      <c r="B631" s="57"/>
      <c r="C631" s="57"/>
      <c r="D631" s="57"/>
      <c r="E631" s="57"/>
      <c r="F631" s="57"/>
      <c r="G631" s="57"/>
      <c r="H631" s="57"/>
      <c r="I631" s="57"/>
      <c r="J631" s="57"/>
      <c r="K631" s="57"/>
      <c r="L631" s="57"/>
      <c r="M631" s="57"/>
      <c r="N631" s="57"/>
      <c r="O631" s="57"/>
      <c r="P631" s="57"/>
      <c r="Q631" s="57"/>
      <c r="R631" s="57"/>
      <c r="S631" s="57"/>
      <c r="T631" s="57"/>
      <c r="U631" s="57"/>
      <c r="V631" s="57"/>
      <c r="W631" s="57"/>
      <c r="X631" s="57"/>
      <c r="Y631" s="57"/>
      <c r="Z631" s="57"/>
      <c r="AA631" s="57"/>
      <c r="AB631" s="57"/>
      <c r="AC631" s="57"/>
      <c r="AD631" s="57"/>
    </row>
    <row r="632" spans="1:58" ht="36" customHeight="1">
      <c r="A632" s="49"/>
      <c r="B632" s="57"/>
      <c r="C632" s="797" t="s">
        <v>2581</v>
      </c>
      <c r="D632" s="798"/>
      <c r="E632" s="798"/>
      <c r="F632" s="798"/>
      <c r="G632" s="798"/>
      <c r="H632" s="798"/>
      <c r="I632" s="798"/>
      <c r="J632" s="798"/>
      <c r="K632" s="798"/>
      <c r="L632" s="798"/>
      <c r="M632" s="798"/>
      <c r="N632" s="798"/>
      <c r="O632" s="798"/>
      <c r="P632" s="798"/>
      <c r="Q632" s="798"/>
      <c r="R632" s="799"/>
      <c r="S632" s="739" t="s">
        <v>3380</v>
      </c>
      <c r="T632" s="740"/>
      <c r="U632" s="740"/>
      <c r="V632" s="740"/>
      <c r="W632" s="740"/>
      <c r="X632" s="740"/>
      <c r="Y632" s="740"/>
      <c r="Z632" s="740"/>
      <c r="AA632" s="740"/>
      <c r="AB632" s="740"/>
      <c r="AC632" s="740"/>
      <c r="AD632" s="741"/>
      <c r="AU632" s="935" t="s">
        <v>3381</v>
      </c>
      <c r="AV632" s="935"/>
      <c r="AW632" s="935"/>
      <c r="AX632" s="935"/>
      <c r="AY632" s="935"/>
      <c r="AZ632" s="935"/>
      <c r="BA632" s="935"/>
      <c r="BB632" s="935"/>
      <c r="BC632" s="935"/>
      <c r="BD632" s="935"/>
      <c r="BE632" s="935"/>
      <c r="BF632" s="935"/>
    </row>
    <row r="633" spans="1:58" ht="24" customHeight="1">
      <c r="A633" s="49"/>
      <c r="B633" s="57"/>
      <c r="C633" s="800"/>
      <c r="D633" s="801"/>
      <c r="E633" s="801"/>
      <c r="F633" s="801"/>
      <c r="G633" s="801"/>
      <c r="H633" s="801"/>
      <c r="I633" s="801"/>
      <c r="J633" s="801"/>
      <c r="K633" s="801"/>
      <c r="L633" s="801"/>
      <c r="M633" s="801"/>
      <c r="N633" s="801"/>
      <c r="O633" s="801"/>
      <c r="P633" s="801"/>
      <c r="Q633" s="801"/>
      <c r="R633" s="802"/>
      <c r="S633" s="887" t="s">
        <v>2628</v>
      </c>
      <c r="T633" s="889" t="s">
        <v>2629</v>
      </c>
      <c r="U633" s="889" t="s">
        <v>2630</v>
      </c>
      <c r="V633" s="733" t="s">
        <v>3303</v>
      </c>
      <c r="W633" s="734"/>
      <c r="X633" s="735"/>
      <c r="Y633" s="733" t="s">
        <v>3304</v>
      </c>
      <c r="Z633" s="734"/>
      <c r="AA633" s="735"/>
      <c r="AB633" s="733" t="s">
        <v>3305</v>
      </c>
      <c r="AC633" s="734"/>
      <c r="AD633" s="735"/>
      <c r="AU633" s="936" t="s">
        <v>3382</v>
      </c>
      <c r="AV633" s="936"/>
      <c r="AW633" s="936"/>
      <c r="AX633" s="937" t="s">
        <v>3383</v>
      </c>
      <c r="AY633" s="937"/>
      <c r="AZ633" s="937"/>
      <c r="BA633" s="938" t="s">
        <v>3384</v>
      </c>
      <c r="BB633" s="938"/>
      <c r="BC633" s="938"/>
      <c r="BD633" s="939" t="s">
        <v>3385</v>
      </c>
      <c r="BE633" s="939"/>
      <c r="BF633" s="939"/>
    </row>
    <row r="634" spans="1:58" ht="48" customHeight="1">
      <c r="A634" s="49"/>
      <c r="B634" s="57"/>
      <c r="C634" s="803"/>
      <c r="D634" s="804"/>
      <c r="E634" s="804"/>
      <c r="F634" s="804"/>
      <c r="G634" s="804"/>
      <c r="H634" s="804"/>
      <c r="I634" s="804"/>
      <c r="J634" s="804"/>
      <c r="K634" s="804"/>
      <c r="L634" s="804"/>
      <c r="M634" s="804"/>
      <c r="N634" s="804"/>
      <c r="O634" s="804"/>
      <c r="P634" s="804"/>
      <c r="Q634" s="804"/>
      <c r="R634" s="805"/>
      <c r="S634" s="888"/>
      <c r="T634" s="890"/>
      <c r="U634" s="890"/>
      <c r="V634" s="171" t="s">
        <v>2635</v>
      </c>
      <c r="W634" s="128" t="s">
        <v>2629</v>
      </c>
      <c r="X634" s="128" t="s">
        <v>2630</v>
      </c>
      <c r="Y634" s="171" t="s">
        <v>2635</v>
      </c>
      <c r="Z634" s="128" t="s">
        <v>2629</v>
      </c>
      <c r="AA634" s="128" t="s">
        <v>2630</v>
      </c>
      <c r="AB634" s="171" t="s">
        <v>2635</v>
      </c>
      <c r="AC634" s="128" t="s">
        <v>2629</v>
      </c>
      <c r="AD634" s="128" t="s">
        <v>2630</v>
      </c>
      <c r="AG634" s="354" t="s">
        <v>2586</v>
      </c>
      <c r="AH634" s="282" t="s">
        <v>2637</v>
      </c>
      <c r="AI634" s="280" t="s">
        <v>2638</v>
      </c>
      <c r="AJ634" s="281" t="s">
        <v>2639</v>
      </c>
      <c r="AK634" s="282" t="s">
        <v>2640</v>
      </c>
      <c r="AL634" s="280" t="s">
        <v>2641</v>
      </c>
      <c r="AM634" s="281" t="s">
        <v>2642</v>
      </c>
      <c r="AN634" s="282" t="s">
        <v>2643</v>
      </c>
      <c r="AO634" s="280" t="s">
        <v>2644</v>
      </c>
      <c r="AP634" s="281" t="s">
        <v>2645</v>
      </c>
      <c r="AQ634" s="282" t="s">
        <v>2646</v>
      </c>
      <c r="AR634" s="280" t="s">
        <v>2647</v>
      </c>
      <c r="AS634" s="281" t="s">
        <v>2648</v>
      </c>
      <c r="AU634" s="374" t="s">
        <v>3386</v>
      </c>
      <c r="AV634" s="375" t="s">
        <v>3177</v>
      </c>
      <c r="AW634" s="376" t="s">
        <v>3178</v>
      </c>
      <c r="AX634" s="374" t="s">
        <v>3386</v>
      </c>
      <c r="AY634" s="375" t="s">
        <v>3177</v>
      </c>
      <c r="AZ634" s="376" t="s">
        <v>3178</v>
      </c>
      <c r="BA634" s="374" t="s">
        <v>3386</v>
      </c>
      <c r="BB634" s="375" t="s">
        <v>3177</v>
      </c>
      <c r="BC634" s="376" t="s">
        <v>3178</v>
      </c>
      <c r="BD634" s="377" t="s">
        <v>2795</v>
      </c>
      <c r="BE634" s="378" t="s">
        <v>3177</v>
      </c>
      <c r="BF634" s="379" t="s">
        <v>3178</v>
      </c>
    </row>
    <row r="635" spans="1:58" ht="15" customHeight="1">
      <c r="A635" s="49"/>
      <c r="B635" s="57"/>
      <c r="C635" s="97" t="s">
        <v>2516</v>
      </c>
      <c r="D635" s="813" t="str">
        <f>IF(CNSIPEE_2024_M2_Secc1!D42="","",CNSIPEE_2024_M2_Secc1!D42)</f>
        <v/>
      </c>
      <c r="E635" s="814"/>
      <c r="F635" s="814"/>
      <c r="G635" s="814"/>
      <c r="H635" s="814"/>
      <c r="I635" s="814"/>
      <c r="J635" s="814"/>
      <c r="K635" s="814"/>
      <c r="L635" s="814"/>
      <c r="M635" s="814"/>
      <c r="N635" s="814"/>
      <c r="O635" s="814"/>
      <c r="P635" s="814"/>
      <c r="Q635" s="814"/>
      <c r="R635" s="815"/>
      <c r="S635" s="100"/>
      <c r="T635" s="100"/>
      <c r="U635" s="100"/>
      <c r="V635" s="100"/>
      <c r="W635" s="100"/>
      <c r="X635" s="100"/>
      <c r="Y635" s="100"/>
      <c r="Z635" s="100"/>
      <c r="AA635" s="100"/>
      <c r="AB635" s="100"/>
      <c r="AC635" s="100"/>
      <c r="AD635" s="100"/>
      <c r="AG635" s="326">
        <f>IF(AND(COUNTBLANK(D635)=0,COUNTA(S635:AD635)=12),0,IF(AND(COUNTBLANK(D635)=1,COUNTA(S635:AD635)=0),0,1))</f>
        <v>0</v>
      </c>
      <c r="AH635" s="283">
        <f>COUNTIF(T635:U635,"NS")</f>
        <v>0</v>
      </c>
      <c r="AI635" s="283">
        <f>SUM(T635:U635)</f>
        <v>0</v>
      </c>
      <c r="AJ635" s="283">
        <f>IF(COUNTIF(S635:U635,"NA")=3,0,IF(COUNTA(S635:U635)=0,0,IF(OR(AND(S635=0,AH635&gt;0),AND(S635="ns",AI635&gt;0),AND(S635="ns",AH635=0,AI635=0)),1,IF(OR(AND(S635&gt;0,AH635=2),AND(S635="ns",AH635=2),AND(S635="ns",AI635=0,AH635&gt;0),S635=AI635),0,1))))</f>
        <v>0</v>
      </c>
      <c r="AK635" s="283">
        <f>COUNTIF(W635:X635,"NS")</f>
        <v>0</v>
      </c>
      <c r="AL635" s="283">
        <f>SUM(W635:X635)</f>
        <v>0</v>
      </c>
      <c r="AM635" s="283">
        <f>IF(COUNTIF(V635:X635,"NA")=3,0,IF(COUNTA(V635:X635)=0,0,IF(OR(AND(V635=0,AK635&gt;0),AND(V635="ns",AL635&gt;0),AND(V635="ns",AK635=0,AL635=0)),1,IF(OR(AND(V635&gt;0,AK635=2),AND(V635="ns",AK635=2),AND(V635="ns",AL635=0,AK635&gt;0),V635=AL635),0,1))))</f>
        <v>0</v>
      </c>
      <c r="AN635" s="283">
        <f>COUNTIF(Z635:AA635,"NS")</f>
        <v>0</v>
      </c>
      <c r="AO635" s="283">
        <f>SUM(Z635:AA635)</f>
        <v>0</v>
      </c>
      <c r="AP635" s="283">
        <f>IF(COUNTIF(Y635:AA635,"NA")=3,0,IF(COUNTA(Y635:AA635)=0,0,IF(OR(AND(Y635=0,AN635&gt;0),AND(Y635="ns",AO635&gt;0),AND(Y635="ns",AN635=0,AO635=0)),1,IF(OR(AND(Y635&gt;0,AN635=2),AND(Y635="ns",AN635=2),AND(Y635="ns",AO635=0,AN635&gt;0),Y635=AO635),0,1))))</f>
        <v>0</v>
      </c>
      <c r="AQ635" s="283">
        <f>COUNTIF(AC635:AD635,"NS")</f>
        <v>0</v>
      </c>
      <c r="AR635" s="283">
        <f>SUM(AC635:AD635)</f>
        <v>0</v>
      </c>
      <c r="AS635" s="283">
        <f>IF(COUNTIF(AB635:AD635,"NA")=3,0,IF(COUNTA(AB635:AD635)=0,0,IF(OR(AND(AB635=0,AQ635&gt;0),AND(AB635="ns",AR635&gt;0),AND(AB635="ns",AQ635=0,AR635=0)),1,IF(OR(AND(AB635&gt;0,AQ635=2),AND(AB635="ns",AQ635=2),AND(AB635="ns",AR635=0,AQ635&gt;0),AB635=AR635),0,1))))</f>
        <v>0</v>
      </c>
      <c r="AU635">
        <f>IF(AND(V635="NS",P415="NS"),0,IF(AND(V635="NA",P415="NA"),0,IF(V635&lt;=P415,0,1)))</f>
        <v>0</v>
      </c>
      <c r="AV635">
        <f>IF(AND(W635="NS",Q415="NS"),0,IF(AND(W635="NA",Q415="NA",K408="NA"),0,IF(W635&lt;=Q415,0,1)))</f>
        <v>0</v>
      </c>
      <c r="AW635">
        <f>IF(AND(X635="NS",R415="NS"),0,IF(AND(X635="NA",R415="NA",L408="NA"),0,IF(X635&lt;=R415,0,1)))</f>
        <v>0</v>
      </c>
      <c r="AX635">
        <f t="shared" ref="AX635:BC635" si="620">IF(AND(Y635="NS",S415="NS"),0,IF(AND(Y635="NA",S415="NA"),0,IF(Y635&lt;=S415,0,1)))</f>
        <v>0</v>
      </c>
      <c r="AY635">
        <f t="shared" si="620"/>
        <v>0</v>
      </c>
      <c r="AZ635">
        <f t="shared" si="620"/>
        <v>0</v>
      </c>
      <c r="BA635">
        <f t="shared" si="620"/>
        <v>0</v>
      </c>
      <c r="BB635">
        <f t="shared" si="620"/>
        <v>0</v>
      </c>
      <c r="BC635">
        <f t="shared" si="620"/>
        <v>0</v>
      </c>
      <c r="BD635">
        <f>IF(OR(S635="NS",P415="NS",S415="NS",V415="NS"),0,IF(AND(S635="NA",P415="NA",S415="NA",V415="NA"),0,IF(S635&lt;=SUM(P415,S415,V415),0,1)))</f>
        <v>0</v>
      </c>
      <c r="BE635">
        <f>IF(OR(T635="NS",Q415="NS",T415="NS",W415="NS"),0,IF(AND(T635="NA",Q415="NA",T415="NA",W415="NA"),0,IF(T635&lt;=SUM(Q415,T415,W415),0,1)))</f>
        <v>0</v>
      </c>
      <c r="BF635">
        <f>IF(OR(U635="NS",R415="NS",U415="NS",X415="NS"),0,IF(AND(U635="NA",R415="NA",U415="NA",X415="NA"),0,IF(U635&lt;=SUM(R415,U415,X415),0,1)))</f>
        <v>0</v>
      </c>
    </row>
    <row r="636" spans="1:58" ht="15">
      <c r="A636" s="49"/>
      <c r="B636" s="57"/>
      <c r="C636" s="98" t="s">
        <v>2517</v>
      </c>
      <c r="D636" s="813" t="str">
        <f>IF(CNSIPEE_2024_M2_Secc1!D43="","",CNSIPEE_2024_M2_Secc1!D43)</f>
        <v/>
      </c>
      <c r="E636" s="814"/>
      <c r="F636" s="814"/>
      <c r="G636" s="814"/>
      <c r="H636" s="814"/>
      <c r="I636" s="814"/>
      <c r="J636" s="814"/>
      <c r="K636" s="814"/>
      <c r="L636" s="814"/>
      <c r="M636" s="814"/>
      <c r="N636" s="814"/>
      <c r="O636" s="814"/>
      <c r="P636" s="814"/>
      <c r="Q636" s="814"/>
      <c r="R636" s="815"/>
      <c r="S636" s="100"/>
      <c r="T636" s="100"/>
      <c r="U636" s="100"/>
      <c r="V636" s="100"/>
      <c r="W636" s="100"/>
      <c r="X636" s="100"/>
      <c r="Y636" s="100"/>
      <c r="Z636" s="100"/>
      <c r="AA636" s="100"/>
      <c r="AB636" s="100"/>
      <c r="AC636" s="100"/>
      <c r="AD636" s="100"/>
      <c r="AG636" s="326">
        <f t="shared" ref="AG636:AG642" si="621">IF(AND(COUNTBLANK(D636)=0,COUNTA(S636:AD636)=12),0,IF(AND(COUNTBLANK(D636)=1,COUNTA(S636:AD636)=0),0,1))</f>
        <v>0</v>
      </c>
      <c r="AH636" s="283">
        <f t="shared" ref="AH636:AH642" si="622">COUNTIF(T636:U636,"NS")</f>
        <v>0</v>
      </c>
      <c r="AI636" s="283">
        <f t="shared" ref="AI636:AI642" si="623">SUM(T636:U636)</f>
        <v>0</v>
      </c>
      <c r="AJ636" s="283">
        <f t="shared" ref="AJ636:AJ642" si="624">IF(COUNTIF(S636:U636,"NA")=3,0,IF(COUNTA(S636:U636)=0,0,IF(OR(AND(S636=0,AH636&gt;0),AND(S636="ns",AI636&gt;0),AND(S636="ns",AH636=0,AI636=0)),1,IF(OR(AND(S636&gt;0,AH636=2),AND(S636="ns",AH636=2),AND(S636="ns",AI636=0,AH636&gt;0),S636=AI636),0,1))))</f>
        <v>0</v>
      </c>
      <c r="AK636" s="283">
        <f t="shared" ref="AK636:AK642" si="625">COUNTIF(W636:X636,"NS")</f>
        <v>0</v>
      </c>
      <c r="AL636" s="283">
        <f t="shared" ref="AL636:AL642" si="626">SUM(W636:X636)</f>
        <v>0</v>
      </c>
      <c r="AM636" s="283">
        <f t="shared" ref="AM636:AM642" si="627">IF(COUNTIF(V636:X636,"NA")=3,0,IF(COUNTA(V636:X636)=0,0,IF(OR(AND(V636=0,AK636&gt;0),AND(V636="ns",AL636&gt;0),AND(V636="ns",AK636=0,AL636=0)),1,IF(OR(AND(V636&gt;0,AK636=2),AND(V636="ns",AK636=2),AND(V636="ns",AL636=0,AK636&gt;0),V636=AL636),0,1))))</f>
        <v>0</v>
      </c>
      <c r="AN636" s="283">
        <f t="shared" ref="AN636:AN642" si="628">COUNTIF(Z636:AA636,"NS")</f>
        <v>0</v>
      </c>
      <c r="AO636" s="283">
        <f t="shared" ref="AO636:AO642" si="629">SUM(Z636:AA636)</f>
        <v>0</v>
      </c>
      <c r="AP636" s="283">
        <f t="shared" ref="AP636:AP642" si="630">IF(COUNTIF(Y636:AA636,"NA")=3,0,IF(COUNTA(Y636:AA636)=0,0,IF(OR(AND(Y636=0,AN636&gt;0),AND(Y636="ns",AO636&gt;0),AND(Y636="ns",AN636=0,AO636=0)),1,IF(OR(AND(Y636&gt;0,AN636=2),AND(Y636="ns",AN636=2),AND(Y636="ns",AO636=0,AN636&gt;0),Y636=AO636),0,1))))</f>
        <v>0</v>
      </c>
      <c r="AQ636" s="283">
        <f t="shared" ref="AQ636:AQ642" si="631">COUNTIF(AC636:AD636,"NS")</f>
        <v>0</v>
      </c>
      <c r="AR636" s="283">
        <f t="shared" ref="AR636:AR642" si="632">SUM(AC636:AD636)</f>
        <v>0</v>
      </c>
      <c r="AS636" s="283">
        <f t="shared" ref="AS636:AS642" si="633">IF(COUNTIF(AB636:AD636,"NA")=3,0,IF(COUNTA(AB636:AD636)=0,0,IF(OR(AND(AB636=0,AQ636&gt;0),AND(AB636="ns",AR636&gt;0),AND(AB636="ns",AQ636=0,AR636=0)),1,IF(OR(AND(AB636&gt;0,AQ636=2),AND(AB636="ns",AQ636=2),AND(AB636="ns",AR636=0,AQ636&gt;0),AB636=AR636),0,1))))</f>
        <v>0</v>
      </c>
      <c r="AU636">
        <f t="shared" ref="AU636:AU642" si="634">IF(AND(V636="NS",P416="NS"),0,IF(AND(V636="NA",P416="NA"),0,IF(V636&lt;=P416,0,1)))</f>
        <v>0</v>
      </c>
      <c r="AV636">
        <f t="shared" ref="AV636:AW636" si="635">IF(AND(W636="NS",Q416="NS"),0,IF(AND(W636="NA",Q416="NA",K409="NA"),0,IF(W636&lt;=Q416,0,1)))</f>
        <v>0</v>
      </c>
      <c r="AW636">
        <f t="shared" si="635"/>
        <v>0</v>
      </c>
      <c r="AX636">
        <f t="shared" ref="AX636:BC636" si="636">IF(AND(Y636="NS",S416="NS"),0,IF(AND(Y636="NA",S416="NA"),0,IF(Y636&lt;=S416,0,1)))</f>
        <v>0</v>
      </c>
      <c r="AY636">
        <f t="shared" si="636"/>
        <v>0</v>
      </c>
      <c r="AZ636">
        <f t="shared" si="636"/>
        <v>0</v>
      </c>
      <c r="BA636">
        <f t="shared" si="636"/>
        <v>0</v>
      </c>
      <c r="BB636">
        <f t="shared" si="636"/>
        <v>0</v>
      </c>
      <c r="BC636">
        <f t="shared" si="636"/>
        <v>0</v>
      </c>
      <c r="BD636">
        <f t="shared" ref="BD636:BF636" si="637">IF(OR(S636="NS",P416="NS",S416="NS",V416="NS"),0,IF(AND(S636="NA",P416="NA",S416="NA",V416="NA"),0,IF(S636&lt;=SUM(P416,S416,V416),0,1)))</f>
        <v>0</v>
      </c>
      <c r="BE636">
        <f t="shared" si="637"/>
        <v>0</v>
      </c>
      <c r="BF636">
        <f t="shared" si="637"/>
        <v>0</v>
      </c>
    </row>
    <row r="637" spans="1:58" ht="15" customHeight="1">
      <c r="A637" s="49"/>
      <c r="B637" s="57"/>
      <c r="C637" s="98" t="s">
        <v>2518</v>
      </c>
      <c r="D637" s="813" t="str">
        <f>IF(CNSIPEE_2024_M2_Secc1!D44="","",CNSIPEE_2024_M2_Secc1!D44)</f>
        <v/>
      </c>
      <c r="E637" s="814"/>
      <c r="F637" s="814"/>
      <c r="G637" s="814"/>
      <c r="H637" s="814"/>
      <c r="I637" s="814"/>
      <c r="J637" s="814"/>
      <c r="K637" s="814"/>
      <c r="L637" s="814"/>
      <c r="M637" s="814"/>
      <c r="N637" s="814"/>
      <c r="O637" s="814"/>
      <c r="P637" s="814"/>
      <c r="Q637" s="814"/>
      <c r="R637" s="815"/>
      <c r="S637" s="100"/>
      <c r="T637" s="100"/>
      <c r="U637" s="100"/>
      <c r="V637" s="100"/>
      <c r="W637" s="100"/>
      <c r="X637" s="100"/>
      <c r="Y637" s="100"/>
      <c r="Z637" s="100"/>
      <c r="AA637" s="100"/>
      <c r="AB637" s="100"/>
      <c r="AC637" s="100"/>
      <c r="AD637" s="100"/>
      <c r="AG637" s="326">
        <f t="shared" si="621"/>
        <v>0</v>
      </c>
      <c r="AH637" s="283">
        <f t="shared" si="622"/>
        <v>0</v>
      </c>
      <c r="AI637" s="283">
        <f t="shared" si="623"/>
        <v>0</v>
      </c>
      <c r="AJ637" s="283">
        <f t="shared" si="624"/>
        <v>0</v>
      </c>
      <c r="AK637" s="283">
        <f t="shared" si="625"/>
        <v>0</v>
      </c>
      <c r="AL637" s="283">
        <f t="shared" si="626"/>
        <v>0</v>
      </c>
      <c r="AM637" s="283">
        <f t="shared" si="627"/>
        <v>0</v>
      </c>
      <c r="AN637" s="283">
        <f t="shared" si="628"/>
        <v>0</v>
      </c>
      <c r="AO637" s="283">
        <f t="shared" si="629"/>
        <v>0</v>
      </c>
      <c r="AP637" s="283">
        <f t="shared" si="630"/>
        <v>0</v>
      </c>
      <c r="AQ637" s="283">
        <f t="shared" si="631"/>
        <v>0</v>
      </c>
      <c r="AR637" s="283">
        <f t="shared" si="632"/>
        <v>0</v>
      </c>
      <c r="AS637" s="283">
        <f t="shared" si="633"/>
        <v>0</v>
      </c>
      <c r="AU637">
        <f t="shared" si="634"/>
        <v>0</v>
      </c>
      <c r="AV637">
        <f t="shared" ref="AV637:AW637" si="638">IF(AND(W637="NS",Q417="NS"),0,IF(AND(W637="NA",Q417="NA",K410="NA"),0,IF(W637&lt;=Q417,0,1)))</f>
        <v>0</v>
      </c>
      <c r="AW637">
        <f t="shared" si="638"/>
        <v>0</v>
      </c>
      <c r="AX637">
        <f t="shared" ref="AX637:BC637" si="639">IF(AND(Y637="NS",S417="NS"),0,IF(AND(Y637="NA",S417="NA"),0,IF(Y637&lt;=S417,0,1)))</f>
        <v>0</v>
      </c>
      <c r="AY637">
        <f t="shared" si="639"/>
        <v>0</v>
      </c>
      <c r="AZ637">
        <f t="shared" si="639"/>
        <v>0</v>
      </c>
      <c r="BA637">
        <f t="shared" si="639"/>
        <v>0</v>
      </c>
      <c r="BB637">
        <f t="shared" si="639"/>
        <v>0</v>
      </c>
      <c r="BC637">
        <f t="shared" si="639"/>
        <v>0</v>
      </c>
      <c r="BD637">
        <f t="shared" ref="BD637:BF637" si="640">IF(OR(S637="NS",P417="NS",S417="NS",V417="NS"),0,IF(AND(S637="NA",P417="NA",S417="NA",V417="NA"),0,IF(S637&lt;=SUM(P417,S417,V417),0,1)))</f>
        <v>0</v>
      </c>
      <c r="BE637">
        <f t="shared" si="640"/>
        <v>0</v>
      </c>
      <c r="BF637">
        <f t="shared" si="640"/>
        <v>0</v>
      </c>
    </row>
    <row r="638" spans="1:58" ht="15" customHeight="1">
      <c r="A638" s="49"/>
      <c r="B638" s="57"/>
      <c r="C638" s="98" t="s">
        <v>2519</v>
      </c>
      <c r="D638" s="813" t="str">
        <f>IF(CNSIPEE_2024_M2_Secc1!D45="","",CNSIPEE_2024_M2_Secc1!D45)</f>
        <v/>
      </c>
      <c r="E638" s="814"/>
      <c r="F638" s="814"/>
      <c r="G638" s="814"/>
      <c r="H638" s="814"/>
      <c r="I638" s="814"/>
      <c r="J638" s="814"/>
      <c r="K638" s="814"/>
      <c r="L638" s="814"/>
      <c r="M638" s="814"/>
      <c r="N638" s="814"/>
      <c r="O638" s="814"/>
      <c r="P638" s="814"/>
      <c r="Q638" s="814"/>
      <c r="R638" s="815"/>
      <c r="S638" s="100"/>
      <c r="T638" s="100"/>
      <c r="U638" s="100"/>
      <c r="V638" s="100"/>
      <c r="W638" s="100"/>
      <c r="X638" s="100"/>
      <c r="Y638" s="100"/>
      <c r="Z638" s="100"/>
      <c r="AA638" s="100"/>
      <c r="AB638" s="100"/>
      <c r="AC638" s="100"/>
      <c r="AD638" s="100"/>
      <c r="AG638" s="326">
        <f t="shared" si="621"/>
        <v>0</v>
      </c>
      <c r="AH638" s="283">
        <f t="shared" si="622"/>
        <v>0</v>
      </c>
      <c r="AI638" s="283">
        <f t="shared" si="623"/>
        <v>0</v>
      </c>
      <c r="AJ638" s="283">
        <f t="shared" si="624"/>
        <v>0</v>
      </c>
      <c r="AK638" s="283">
        <f t="shared" si="625"/>
        <v>0</v>
      </c>
      <c r="AL638" s="283">
        <f t="shared" si="626"/>
        <v>0</v>
      </c>
      <c r="AM638" s="283">
        <f t="shared" si="627"/>
        <v>0</v>
      </c>
      <c r="AN638" s="283">
        <f t="shared" si="628"/>
        <v>0</v>
      </c>
      <c r="AO638" s="283">
        <f t="shared" si="629"/>
        <v>0</v>
      </c>
      <c r="AP638" s="283">
        <f t="shared" si="630"/>
        <v>0</v>
      </c>
      <c r="AQ638" s="283">
        <f t="shared" si="631"/>
        <v>0</v>
      </c>
      <c r="AR638" s="283">
        <f t="shared" si="632"/>
        <v>0</v>
      </c>
      <c r="AS638" s="283">
        <f t="shared" si="633"/>
        <v>0</v>
      </c>
      <c r="AU638">
        <f t="shared" si="634"/>
        <v>0</v>
      </c>
      <c r="AV638">
        <f t="shared" ref="AV638:AW638" si="641">IF(AND(W638="NS",Q418="NS"),0,IF(AND(W638="NA",Q418="NA",K411="NA"),0,IF(W638&lt;=Q418,0,1)))</f>
        <v>0</v>
      </c>
      <c r="AW638">
        <f t="shared" si="641"/>
        <v>0</v>
      </c>
      <c r="AX638">
        <f t="shared" ref="AX638:BC638" si="642">IF(AND(Y638="NS",S418="NS"),0,IF(AND(Y638="NA",S418="NA"),0,IF(Y638&lt;=S418,0,1)))</f>
        <v>0</v>
      </c>
      <c r="AY638">
        <f t="shared" si="642"/>
        <v>0</v>
      </c>
      <c r="AZ638">
        <f t="shared" si="642"/>
        <v>0</v>
      </c>
      <c r="BA638">
        <f t="shared" si="642"/>
        <v>0</v>
      </c>
      <c r="BB638">
        <f t="shared" si="642"/>
        <v>0</v>
      </c>
      <c r="BC638">
        <f t="shared" si="642"/>
        <v>0</v>
      </c>
      <c r="BD638">
        <f t="shared" ref="BD638:BF638" si="643">IF(OR(S638="NS",P418="NS",S418="NS",V418="NS"),0,IF(AND(S638="NA",P418="NA",S418="NA",V418="NA"),0,IF(S638&lt;=SUM(P418,S418,V418),0,1)))</f>
        <v>0</v>
      </c>
      <c r="BE638">
        <f t="shared" si="643"/>
        <v>0</v>
      </c>
      <c r="BF638">
        <f t="shared" si="643"/>
        <v>0</v>
      </c>
    </row>
    <row r="639" spans="1:58" ht="15" customHeight="1">
      <c r="A639" s="49"/>
      <c r="B639" s="57"/>
      <c r="C639" s="98" t="s">
        <v>2520</v>
      </c>
      <c r="D639" s="813" t="str">
        <f>IF(CNSIPEE_2024_M2_Secc1!D46="","",CNSIPEE_2024_M2_Secc1!D46)</f>
        <v/>
      </c>
      <c r="E639" s="814"/>
      <c r="F639" s="814"/>
      <c r="G639" s="814"/>
      <c r="H639" s="814"/>
      <c r="I639" s="814"/>
      <c r="J639" s="814"/>
      <c r="K639" s="814"/>
      <c r="L639" s="814"/>
      <c r="M639" s="814"/>
      <c r="N639" s="814"/>
      <c r="O639" s="814"/>
      <c r="P639" s="814"/>
      <c r="Q639" s="814"/>
      <c r="R639" s="815"/>
      <c r="S639" s="100"/>
      <c r="T639" s="100"/>
      <c r="U639" s="100"/>
      <c r="V639" s="100"/>
      <c r="W639" s="100"/>
      <c r="X639" s="100"/>
      <c r="Y639" s="100"/>
      <c r="Z639" s="100"/>
      <c r="AA639" s="100"/>
      <c r="AB639" s="100"/>
      <c r="AC639" s="100"/>
      <c r="AD639" s="100"/>
      <c r="AG639" s="326">
        <f t="shared" si="621"/>
        <v>0</v>
      </c>
      <c r="AH639" s="283">
        <f t="shared" si="622"/>
        <v>0</v>
      </c>
      <c r="AI639" s="283">
        <f t="shared" si="623"/>
        <v>0</v>
      </c>
      <c r="AJ639" s="283">
        <f t="shared" si="624"/>
        <v>0</v>
      </c>
      <c r="AK639" s="283">
        <f t="shared" si="625"/>
        <v>0</v>
      </c>
      <c r="AL639" s="283">
        <f t="shared" si="626"/>
        <v>0</v>
      </c>
      <c r="AM639" s="283">
        <f t="shared" si="627"/>
        <v>0</v>
      </c>
      <c r="AN639" s="283">
        <f t="shared" si="628"/>
        <v>0</v>
      </c>
      <c r="AO639" s="283">
        <f t="shared" si="629"/>
        <v>0</v>
      </c>
      <c r="AP639" s="283">
        <f t="shared" si="630"/>
        <v>0</v>
      </c>
      <c r="AQ639" s="283">
        <f t="shared" si="631"/>
        <v>0</v>
      </c>
      <c r="AR639" s="283">
        <f t="shared" si="632"/>
        <v>0</v>
      </c>
      <c r="AS639" s="283">
        <f t="shared" si="633"/>
        <v>0</v>
      </c>
      <c r="AU639">
        <f t="shared" si="634"/>
        <v>0</v>
      </c>
      <c r="AV639">
        <f t="shared" ref="AV639:AW639" si="644">IF(AND(W639="NS",Q419="NS"),0,IF(AND(W639="NA",Q419="NA",K412="NA"),0,IF(W639&lt;=Q419,0,1)))</f>
        <v>0</v>
      </c>
      <c r="AW639">
        <f t="shared" si="644"/>
        <v>0</v>
      </c>
      <c r="AX639">
        <f t="shared" ref="AX639:BC639" si="645">IF(AND(Y639="NS",S419="NS"),0,IF(AND(Y639="NA",S419="NA"),0,IF(Y639&lt;=S419,0,1)))</f>
        <v>0</v>
      </c>
      <c r="AY639">
        <f t="shared" si="645"/>
        <v>0</v>
      </c>
      <c r="AZ639">
        <f t="shared" si="645"/>
        <v>0</v>
      </c>
      <c r="BA639">
        <f t="shared" si="645"/>
        <v>0</v>
      </c>
      <c r="BB639">
        <f t="shared" si="645"/>
        <v>0</v>
      </c>
      <c r="BC639">
        <f t="shared" si="645"/>
        <v>0</v>
      </c>
      <c r="BD639">
        <f t="shared" ref="BD639:BF639" si="646">IF(OR(S639="NS",P419="NS",S419="NS",V419="NS"),0,IF(AND(S639="NA",P419="NA",S419="NA",V419="NA"),0,IF(S639&lt;=SUM(P419,S419,V419),0,1)))</f>
        <v>0</v>
      </c>
      <c r="BE639">
        <f t="shared" si="646"/>
        <v>0</v>
      </c>
      <c r="BF639">
        <f t="shared" si="646"/>
        <v>0</v>
      </c>
    </row>
    <row r="640" spans="1:58" ht="15" customHeight="1">
      <c r="A640" s="49"/>
      <c r="B640" s="57"/>
      <c r="C640" s="98" t="s">
        <v>2521</v>
      </c>
      <c r="D640" s="813" t="str">
        <f>IF(CNSIPEE_2024_M2_Secc1!D47="","",CNSIPEE_2024_M2_Secc1!D47)</f>
        <v/>
      </c>
      <c r="E640" s="814"/>
      <c r="F640" s="814"/>
      <c r="G640" s="814"/>
      <c r="H640" s="814"/>
      <c r="I640" s="814"/>
      <c r="J640" s="814"/>
      <c r="K640" s="814"/>
      <c r="L640" s="814"/>
      <c r="M640" s="814"/>
      <c r="N640" s="814"/>
      <c r="O640" s="814"/>
      <c r="P640" s="814"/>
      <c r="Q640" s="814"/>
      <c r="R640" s="815"/>
      <c r="S640" s="100"/>
      <c r="T640" s="100"/>
      <c r="U640" s="100"/>
      <c r="V640" s="100"/>
      <c r="W640" s="100"/>
      <c r="X640" s="100"/>
      <c r="Y640" s="100"/>
      <c r="Z640" s="100"/>
      <c r="AA640" s="100"/>
      <c r="AB640" s="100"/>
      <c r="AC640" s="100"/>
      <c r="AD640" s="100"/>
      <c r="AG640" s="326">
        <f t="shared" si="621"/>
        <v>0</v>
      </c>
      <c r="AH640" s="283">
        <f t="shared" si="622"/>
        <v>0</v>
      </c>
      <c r="AI640" s="283">
        <f t="shared" si="623"/>
        <v>0</v>
      </c>
      <c r="AJ640" s="283">
        <f t="shared" si="624"/>
        <v>0</v>
      </c>
      <c r="AK640" s="283">
        <f t="shared" si="625"/>
        <v>0</v>
      </c>
      <c r="AL640" s="283">
        <f t="shared" si="626"/>
        <v>0</v>
      </c>
      <c r="AM640" s="283">
        <f t="shared" si="627"/>
        <v>0</v>
      </c>
      <c r="AN640" s="283">
        <f t="shared" si="628"/>
        <v>0</v>
      </c>
      <c r="AO640" s="283">
        <f t="shared" si="629"/>
        <v>0</v>
      </c>
      <c r="AP640" s="283">
        <f t="shared" si="630"/>
        <v>0</v>
      </c>
      <c r="AQ640" s="283">
        <f t="shared" si="631"/>
        <v>0</v>
      </c>
      <c r="AR640" s="283">
        <f t="shared" si="632"/>
        <v>0</v>
      </c>
      <c r="AS640" s="283">
        <f t="shared" si="633"/>
        <v>0</v>
      </c>
      <c r="AU640">
        <f t="shared" si="634"/>
        <v>0</v>
      </c>
      <c r="AV640">
        <f t="shared" ref="AV640:AW640" si="647">IF(AND(W640="NS",Q420="NS"),0,IF(AND(W640="NA",Q420="NA",K413="NA"),0,IF(W640&lt;=Q420,0,1)))</f>
        <v>0</v>
      </c>
      <c r="AW640">
        <f t="shared" si="647"/>
        <v>0</v>
      </c>
      <c r="AX640">
        <f t="shared" ref="AX640:BC640" si="648">IF(AND(Y640="NS",S420="NS"),0,IF(AND(Y640="NA",S420="NA"),0,IF(Y640&lt;=S420,0,1)))</f>
        <v>0</v>
      </c>
      <c r="AY640">
        <f t="shared" si="648"/>
        <v>0</v>
      </c>
      <c r="AZ640">
        <f t="shared" si="648"/>
        <v>0</v>
      </c>
      <c r="BA640">
        <f t="shared" si="648"/>
        <v>0</v>
      </c>
      <c r="BB640">
        <f t="shared" si="648"/>
        <v>0</v>
      </c>
      <c r="BC640">
        <f t="shared" si="648"/>
        <v>0</v>
      </c>
      <c r="BD640">
        <f t="shared" ref="BD640:BF640" si="649">IF(OR(S640="NS",P420="NS",S420="NS",V420="NS"),0,IF(AND(S640="NA",P420="NA",S420="NA",V420="NA"),0,IF(S640&lt;=SUM(P420,S420,V420),0,1)))</f>
        <v>0</v>
      </c>
      <c r="BE640">
        <f t="shared" si="649"/>
        <v>0</v>
      </c>
      <c r="BF640">
        <f t="shared" si="649"/>
        <v>0</v>
      </c>
    </row>
    <row r="641" spans="1:58" ht="15" customHeight="1">
      <c r="A641" s="49"/>
      <c r="B641" s="57"/>
      <c r="C641" s="98" t="s">
        <v>2522</v>
      </c>
      <c r="D641" s="813" t="str">
        <f>IF(CNSIPEE_2024_M2_Secc1!D48="","",CNSIPEE_2024_M2_Secc1!D48)</f>
        <v/>
      </c>
      <c r="E641" s="814"/>
      <c r="F641" s="814"/>
      <c r="G641" s="814"/>
      <c r="H641" s="814"/>
      <c r="I641" s="814"/>
      <c r="J641" s="814"/>
      <c r="K641" s="814"/>
      <c r="L641" s="814"/>
      <c r="M641" s="814"/>
      <c r="N641" s="814"/>
      <c r="O641" s="814"/>
      <c r="P641" s="814"/>
      <c r="Q641" s="814"/>
      <c r="R641" s="815"/>
      <c r="S641" s="100"/>
      <c r="T641" s="100"/>
      <c r="U641" s="100"/>
      <c r="V641" s="100"/>
      <c r="W641" s="100"/>
      <c r="X641" s="100"/>
      <c r="Y641" s="100"/>
      <c r="Z641" s="100"/>
      <c r="AA641" s="100"/>
      <c r="AB641" s="100"/>
      <c r="AC641" s="100"/>
      <c r="AD641" s="100"/>
      <c r="AG641" s="326">
        <f t="shared" si="621"/>
        <v>0</v>
      </c>
      <c r="AH641" s="283">
        <f t="shared" si="622"/>
        <v>0</v>
      </c>
      <c r="AI641" s="283">
        <f t="shared" si="623"/>
        <v>0</v>
      </c>
      <c r="AJ641" s="283">
        <f t="shared" si="624"/>
        <v>0</v>
      </c>
      <c r="AK641" s="283">
        <f t="shared" si="625"/>
        <v>0</v>
      </c>
      <c r="AL641" s="283">
        <f t="shared" si="626"/>
        <v>0</v>
      </c>
      <c r="AM641" s="283">
        <f t="shared" si="627"/>
        <v>0</v>
      </c>
      <c r="AN641" s="283">
        <f t="shared" si="628"/>
        <v>0</v>
      </c>
      <c r="AO641" s="283">
        <f t="shared" si="629"/>
        <v>0</v>
      </c>
      <c r="AP641" s="283">
        <f t="shared" si="630"/>
        <v>0</v>
      </c>
      <c r="AQ641" s="283">
        <f t="shared" si="631"/>
        <v>0</v>
      </c>
      <c r="AR641" s="283">
        <f t="shared" si="632"/>
        <v>0</v>
      </c>
      <c r="AS641" s="283">
        <f t="shared" si="633"/>
        <v>0</v>
      </c>
      <c r="AU641">
        <f t="shared" si="634"/>
        <v>0</v>
      </c>
      <c r="AV641">
        <f t="shared" ref="AV641:AW641" si="650">IF(AND(W641="NS",Q421="NS"),0,IF(AND(W641="NA",Q421="NA",K414="NA"),0,IF(W641&lt;=Q421,0,1)))</f>
        <v>0</v>
      </c>
      <c r="AW641">
        <f t="shared" si="650"/>
        <v>0</v>
      </c>
      <c r="AX641">
        <f t="shared" ref="AX641:BC641" si="651">IF(AND(Y641="NS",S421="NS"),0,IF(AND(Y641="NA",S421="NA"),0,IF(Y641&lt;=S421,0,1)))</f>
        <v>0</v>
      </c>
      <c r="AY641">
        <f t="shared" si="651"/>
        <v>0</v>
      </c>
      <c r="AZ641">
        <f t="shared" si="651"/>
        <v>0</v>
      </c>
      <c r="BA641">
        <f t="shared" si="651"/>
        <v>0</v>
      </c>
      <c r="BB641">
        <f t="shared" si="651"/>
        <v>0</v>
      </c>
      <c r="BC641">
        <f t="shared" si="651"/>
        <v>0</v>
      </c>
      <c r="BD641">
        <f t="shared" ref="BD641:BF641" si="652">IF(OR(S641="NS",P421="NS",S421="NS",V421="NS"),0,IF(AND(S641="NA",P421="NA",S421="NA",V421="NA"),0,IF(S641&lt;=SUM(P421,S421,V421),0,1)))</f>
        <v>0</v>
      </c>
      <c r="BE641">
        <f t="shared" si="652"/>
        <v>0</v>
      </c>
      <c r="BF641">
        <f t="shared" si="652"/>
        <v>0</v>
      </c>
    </row>
    <row r="642" spans="1:58" ht="15" customHeight="1">
      <c r="A642" s="49"/>
      <c r="B642" s="57"/>
      <c r="C642" s="98" t="s">
        <v>2523</v>
      </c>
      <c r="D642" s="813" t="str">
        <f>IF(CNSIPEE_2024_M2_Secc1!D49="","",CNSIPEE_2024_M2_Secc1!D49)</f>
        <v/>
      </c>
      <c r="E642" s="814"/>
      <c r="F642" s="814"/>
      <c r="G642" s="814"/>
      <c r="H642" s="814"/>
      <c r="I642" s="814"/>
      <c r="J642" s="814"/>
      <c r="K642" s="814"/>
      <c r="L642" s="814"/>
      <c r="M642" s="814"/>
      <c r="N642" s="814"/>
      <c r="O642" s="814"/>
      <c r="P642" s="814"/>
      <c r="Q642" s="814"/>
      <c r="R642" s="815"/>
      <c r="S642" s="100"/>
      <c r="T642" s="100"/>
      <c r="U642" s="100"/>
      <c r="V642" s="100"/>
      <c r="W642" s="100"/>
      <c r="X642" s="100"/>
      <c r="Y642" s="100"/>
      <c r="Z642" s="100"/>
      <c r="AA642" s="100"/>
      <c r="AB642" s="100"/>
      <c r="AC642" s="100"/>
      <c r="AD642" s="100"/>
      <c r="AG642" s="326">
        <f t="shared" si="621"/>
        <v>0</v>
      </c>
      <c r="AH642" s="283">
        <f t="shared" si="622"/>
        <v>0</v>
      </c>
      <c r="AI642" s="283">
        <f t="shared" si="623"/>
        <v>0</v>
      </c>
      <c r="AJ642" s="283">
        <f t="shared" si="624"/>
        <v>0</v>
      </c>
      <c r="AK642" s="283">
        <f t="shared" si="625"/>
        <v>0</v>
      </c>
      <c r="AL642" s="283">
        <f t="shared" si="626"/>
        <v>0</v>
      </c>
      <c r="AM642" s="283">
        <f t="shared" si="627"/>
        <v>0</v>
      </c>
      <c r="AN642" s="283">
        <f t="shared" si="628"/>
        <v>0</v>
      </c>
      <c r="AO642" s="283">
        <f t="shared" si="629"/>
        <v>0</v>
      </c>
      <c r="AP642" s="283">
        <f t="shared" si="630"/>
        <v>0</v>
      </c>
      <c r="AQ642" s="283">
        <f t="shared" si="631"/>
        <v>0</v>
      </c>
      <c r="AR642" s="283">
        <f t="shared" si="632"/>
        <v>0</v>
      </c>
      <c r="AS642" s="283">
        <f t="shared" si="633"/>
        <v>0</v>
      </c>
      <c r="AU642">
        <f t="shared" si="634"/>
        <v>0</v>
      </c>
      <c r="AV642">
        <f t="shared" ref="AV642:AW642" si="653">IF(AND(W642="NS",Q422="NS"),0,IF(AND(W642="NA",Q422="NA",K415="NA"),0,IF(W642&lt;=Q422,0,1)))</f>
        <v>0</v>
      </c>
      <c r="AW642">
        <f t="shared" si="653"/>
        <v>0</v>
      </c>
      <c r="AX642">
        <f t="shared" ref="AX642:BC642" si="654">IF(AND(Y642="NS",S422="NS"),0,IF(AND(Y642="NA",S422="NA"),0,IF(Y642&lt;=S422,0,1)))</f>
        <v>0</v>
      </c>
      <c r="AY642">
        <f t="shared" si="654"/>
        <v>0</v>
      </c>
      <c r="AZ642">
        <f t="shared" si="654"/>
        <v>0</v>
      </c>
      <c r="BA642">
        <f t="shared" si="654"/>
        <v>0</v>
      </c>
      <c r="BB642">
        <f t="shared" si="654"/>
        <v>0</v>
      </c>
      <c r="BC642">
        <f t="shared" si="654"/>
        <v>0</v>
      </c>
      <c r="BD642">
        <f t="shared" ref="BD642:BF642" si="655">IF(OR(S642="NS",P422="NS",S422="NS",V422="NS"),0,IF(AND(S642="NA",P422="NA",S422="NA",V422="NA"),0,IF(S642&lt;=SUM(P422,S422,V422),0,1)))</f>
        <v>0</v>
      </c>
      <c r="BE642">
        <f t="shared" si="655"/>
        <v>0</v>
      </c>
      <c r="BF642">
        <f t="shared" si="655"/>
        <v>0</v>
      </c>
    </row>
    <row r="643" spans="1:58" ht="15" customHeight="1">
      <c r="A643" s="96"/>
      <c r="B643" s="90"/>
      <c r="C643" s="90"/>
      <c r="D643" s="90"/>
      <c r="E643" s="90"/>
      <c r="F643" s="90"/>
      <c r="G643" s="90"/>
      <c r="H643" s="90"/>
      <c r="I643" s="90"/>
      <c r="J643" s="90"/>
      <c r="K643" s="90"/>
      <c r="L643" s="90"/>
      <c r="M643" s="90"/>
      <c r="N643" s="90"/>
      <c r="O643" s="90"/>
      <c r="P643" s="90"/>
      <c r="Q643" s="90"/>
      <c r="R643" s="99" t="s">
        <v>2649</v>
      </c>
      <c r="S643" s="124">
        <f>IF(AND(SUM(S635:S642)=0,COUNTIF(S635:S642,"NS")&gt;0),"NS",
IF(AND(SUM(S635:S642)=0,COUNTIF(S635:S642,0)&gt;0),0,
IF(AND(SUM(S635:S642)=0,COUNTIF(S635:S642,"NA")&gt;0),"NA",
SUM(S635:S642))))</f>
        <v>0</v>
      </c>
      <c r="T643" s="124">
        <f t="shared" ref="T643:AD643" si="656">IF(AND(SUM(T635:T642)=0,COUNTIF(T635:T642,"NS")&gt;0),"NS",
IF(AND(SUM(T635:T642)=0,COUNTIF(T635:T642,0)&gt;0),0,
IF(AND(SUM(T635:T642)=0,COUNTIF(T635:T642,"NA")&gt;0),"NA",
SUM(T635:T642))))</f>
        <v>0</v>
      </c>
      <c r="U643" s="124">
        <f t="shared" si="656"/>
        <v>0</v>
      </c>
      <c r="V643" s="124">
        <f t="shared" si="656"/>
        <v>0</v>
      </c>
      <c r="W643" s="124">
        <f t="shared" si="656"/>
        <v>0</v>
      </c>
      <c r="X643" s="124">
        <f t="shared" si="656"/>
        <v>0</v>
      </c>
      <c r="Y643" s="124">
        <f t="shared" si="656"/>
        <v>0</v>
      </c>
      <c r="Z643" s="124">
        <f t="shared" si="656"/>
        <v>0</v>
      </c>
      <c r="AA643" s="124">
        <f t="shared" si="656"/>
        <v>0</v>
      </c>
      <c r="AB643" s="124">
        <f t="shared" si="656"/>
        <v>0</v>
      </c>
      <c r="AC643" s="124">
        <f t="shared" si="656"/>
        <v>0</v>
      </c>
      <c r="AD643" s="124">
        <f t="shared" si="656"/>
        <v>0</v>
      </c>
      <c r="AG643" s="349">
        <f>SUM(AG635:AG642)</f>
        <v>0</v>
      </c>
      <c r="AH643" s="350">
        <f>SUM(AH635:AH642)</f>
        <v>0</v>
      </c>
      <c r="AI643" s="326"/>
      <c r="AJ643" s="352">
        <f>SUM(AJ635:AJ642)</f>
        <v>0</v>
      </c>
      <c r="AK643" s="350">
        <f t="shared" ref="AK643" si="657">SUM(AK635:AK642)</f>
        <v>0</v>
      </c>
      <c r="AL643" s="326"/>
      <c r="AM643" s="352">
        <f t="shared" ref="AM643:AN643" si="658">SUM(AM635:AM642)</f>
        <v>0</v>
      </c>
      <c r="AN643" s="350">
        <f t="shared" si="658"/>
        <v>0</v>
      </c>
      <c r="AO643" s="326"/>
      <c r="AP643" s="352">
        <f t="shared" ref="AP643:AQ643" si="659">SUM(AP635:AP642)</f>
        <v>0</v>
      </c>
      <c r="AQ643" s="350">
        <f t="shared" si="659"/>
        <v>0</v>
      </c>
      <c r="AR643" s="326"/>
      <c r="AS643" s="352">
        <f t="shared" ref="AS643" si="660">SUM(AS635:AS642)</f>
        <v>0</v>
      </c>
      <c r="AU643" s="380">
        <f t="shared" ref="AU643:BF643" si="661">SUM(AU635:AU642)</f>
        <v>0</v>
      </c>
      <c r="AV643" s="381">
        <f t="shared" si="661"/>
        <v>0</v>
      </c>
      <c r="AW643" s="382">
        <f t="shared" si="661"/>
        <v>0</v>
      </c>
      <c r="AX643" s="380">
        <f t="shared" si="661"/>
        <v>0</v>
      </c>
      <c r="AY643" s="381">
        <f t="shared" si="661"/>
        <v>0</v>
      </c>
      <c r="AZ643" s="382">
        <f t="shared" si="661"/>
        <v>0</v>
      </c>
      <c r="BA643" s="380">
        <f t="shared" si="661"/>
        <v>0</v>
      </c>
      <c r="BB643" s="381">
        <f t="shared" si="661"/>
        <v>0</v>
      </c>
      <c r="BC643" s="382">
        <f t="shared" si="661"/>
        <v>0</v>
      </c>
      <c r="BD643" s="383">
        <f t="shared" si="661"/>
        <v>0</v>
      </c>
      <c r="BE643" s="384">
        <f t="shared" si="661"/>
        <v>0</v>
      </c>
      <c r="BF643" s="385">
        <f t="shared" si="661"/>
        <v>0</v>
      </c>
    </row>
    <row r="644" spans="1:58" ht="15" customHeight="1">
      <c r="A644" s="96"/>
      <c r="B644" s="90"/>
      <c r="C644" s="90"/>
      <c r="D644" s="90"/>
      <c r="E644" s="90"/>
      <c r="F644" s="90"/>
      <c r="G644" s="90"/>
      <c r="H644" s="90"/>
      <c r="I644" s="90"/>
      <c r="J644" s="90"/>
      <c r="K644" s="90"/>
      <c r="L644" s="90"/>
      <c r="M644" s="90"/>
      <c r="N644" s="90"/>
      <c r="O644" s="90"/>
      <c r="P644" s="90"/>
      <c r="Q644" s="90"/>
      <c r="R644" s="90"/>
      <c r="S644" s="90"/>
      <c r="T644" s="90"/>
      <c r="U644" s="90"/>
      <c r="V644" s="90"/>
      <c r="W644" s="90"/>
      <c r="X644" s="90"/>
      <c r="Y644" s="90"/>
      <c r="Z644" s="90"/>
      <c r="AA644" s="90"/>
      <c r="AB644" s="90"/>
      <c r="AC644" s="90"/>
      <c r="AD644" s="90"/>
      <c r="AU644"/>
      <c r="AV644"/>
      <c r="AW644"/>
      <c r="AX644"/>
      <c r="AY644"/>
      <c r="AZ644"/>
      <c r="BA644"/>
      <c r="BB644"/>
      <c r="BC644"/>
      <c r="BD644"/>
      <c r="BE644"/>
      <c r="BF644" s="386">
        <f>SUM(AU643:BF643)</f>
        <v>0</v>
      </c>
    </row>
    <row r="645" spans="1:58" ht="24" customHeight="1">
      <c r="A645" s="49"/>
      <c r="B645" s="38"/>
      <c r="C645" s="754" t="s">
        <v>2611</v>
      </c>
      <c r="D645" s="754"/>
      <c r="E645" s="754"/>
      <c r="F645" s="754"/>
      <c r="G645" s="754"/>
      <c r="H645" s="754"/>
      <c r="I645" s="754"/>
      <c r="J645" s="754"/>
      <c r="K645" s="754"/>
      <c r="L645" s="754"/>
      <c r="M645" s="754"/>
      <c r="N645" s="754"/>
      <c r="O645" s="754"/>
      <c r="P645" s="754"/>
      <c r="Q645" s="754"/>
      <c r="R645" s="754"/>
      <c r="S645" s="754"/>
      <c r="T645" s="754"/>
      <c r="U645" s="754"/>
      <c r="V645" s="754"/>
      <c r="W645" s="754"/>
      <c r="X645" s="754"/>
      <c r="Y645" s="754"/>
      <c r="Z645" s="754"/>
      <c r="AA645" s="754"/>
      <c r="AB645" s="754"/>
      <c r="AC645" s="754"/>
      <c r="AD645" s="754"/>
      <c r="AI645" s="356" t="s">
        <v>2650</v>
      </c>
      <c r="AJ645" s="283">
        <f>SUM(AJ643,AM643,AP643,AS643)</f>
        <v>0</v>
      </c>
      <c r="AK645" s="355" t="s">
        <v>2651</v>
      </c>
      <c r="AL645" s="283">
        <f>SUM(AH643,AK643,AN643,AQ643)</f>
        <v>0</v>
      </c>
      <c r="AM645" s="283"/>
      <c r="AN645" s="283"/>
    </row>
    <row r="646" spans="1:58" ht="60" customHeight="1">
      <c r="A646" s="49"/>
      <c r="B646" s="38"/>
      <c r="C646" s="851"/>
      <c r="D646" s="851"/>
      <c r="E646" s="851"/>
      <c r="F646" s="851"/>
      <c r="G646" s="851"/>
      <c r="H646" s="851"/>
      <c r="I646" s="851"/>
      <c r="J646" s="851"/>
      <c r="K646" s="851"/>
      <c r="L646" s="851"/>
      <c r="M646" s="851"/>
      <c r="N646" s="851"/>
      <c r="O646" s="851"/>
      <c r="P646" s="851"/>
      <c r="Q646" s="851"/>
      <c r="R646" s="851"/>
      <c r="S646" s="851"/>
      <c r="T646" s="851"/>
      <c r="U646" s="851"/>
      <c r="V646" s="851"/>
      <c r="W646" s="851"/>
      <c r="X646" s="851"/>
      <c r="Y646" s="851"/>
      <c r="Z646" s="851"/>
      <c r="AA646" s="851"/>
      <c r="AB646" s="851"/>
      <c r="AC646" s="851"/>
      <c r="AD646" s="851"/>
      <c r="AI646" s="357" t="s">
        <v>2652</v>
      </c>
      <c r="AJ646" s="283">
        <f>IF(AL645&gt;0,IF(SUM(S643)&gt;=SUM(V643,Y643,AB643),0,1),IF(SUM(S643)&lt;&gt;SUM(V643,Y643,AB643),1,0))</f>
        <v>0</v>
      </c>
      <c r="AK646" s="357" t="s">
        <v>2653</v>
      </c>
      <c r="AL646" s="283">
        <f>IF(AL645&gt;0,IF(SUM(T643)&gt;=SUM(W643,Z643,AC643),0,1),IF(SUM(T643)&lt;&gt;SUM(W643,Z643,AC643),1,0))</f>
        <v>0</v>
      </c>
      <c r="AM646" s="357" t="s">
        <v>2654</v>
      </c>
      <c r="AN646" s="283">
        <f>IF(AL645&gt;0,IF(SUM(U643)&gt;=SUM(X643,AA643,AD643),0,1),IF(SUM(U643)&lt;&gt;SUM(X643,AA643,AD643),1,0))</f>
        <v>0</v>
      </c>
    </row>
    <row r="647" spans="1:58" ht="15" customHeight="1">
      <c r="A647" s="49"/>
      <c r="B647" s="794" t="str">
        <f>IF(AG643&gt;0,"Favor de ingresar toda la información requerida en la pregunta ","")</f>
        <v/>
      </c>
      <c r="C647" s="794"/>
      <c r="D647" s="794"/>
      <c r="E647" s="794"/>
      <c r="F647" s="794"/>
      <c r="G647" s="794"/>
      <c r="H647" s="794"/>
      <c r="I647" s="794"/>
      <c r="J647" s="794"/>
      <c r="K647" s="794"/>
      <c r="L647" s="794"/>
      <c r="M647" s="794"/>
      <c r="N647" s="794"/>
      <c r="O647" s="794"/>
      <c r="P647" s="794"/>
      <c r="Q647" s="794"/>
      <c r="R647" s="794"/>
      <c r="S647" s="794"/>
      <c r="T647" s="794"/>
      <c r="U647" s="794"/>
      <c r="V647" s="794"/>
      <c r="W647" s="794"/>
      <c r="X647" s="794"/>
      <c r="Y647" s="794"/>
      <c r="Z647" s="794"/>
      <c r="AA647" s="794"/>
      <c r="AB647" s="794"/>
      <c r="AC647" s="794"/>
      <c r="AD647" s="794"/>
      <c r="AE647"/>
    </row>
    <row r="648" spans="1:58" ht="15" customHeight="1">
      <c r="A648" s="49"/>
      <c r="B648" s="795" t="str">
        <f>IF(AL645&gt;0,"Alerta: debido a que cuenta con registros NS, debe proporcionar una justificación en el area de comentarios al final de la pregunta","")</f>
        <v/>
      </c>
      <c r="C648" s="795"/>
      <c r="D648" s="795"/>
      <c r="E648" s="795"/>
      <c r="F648" s="795"/>
      <c r="G648" s="795"/>
      <c r="H648" s="795"/>
      <c r="I648" s="795"/>
      <c r="J648" s="795"/>
      <c r="K648" s="795"/>
      <c r="L648" s="795"/>
      <c r="M648" s="795"/>
      <c r="N648" s="795"/>
      <c r="O648" s="795"/>
      <c r="P648" s="795"/>
      <c r="Q648" s="795"/>
      <c r="R648" s="795"/>
      <c r="S648" s="795"/>
      <c r="T648" s="795"/>
      <c r="U648" s="795"/>
      <c r="V648" s="795"/>
      <c r="W648" s="795"/>
      <c r="X648" s="795"/>
      <c r="Y648" s="795"/>
      <c r="Z648" s="795"/>
      <c r="AA648" s="795"/>
      <c r="AB648" s="795"/>
      <c r="AC648" s="795"/>
      <c r="AD648" s="795"/>
      <c r="AE648"/>
    </row>
    <row r="649" spans="1:58" ht="15" customHeight="1">
      <c r="A649" s="49"/>
      <c r="B649" s="794" t="str">
        <f>IF(OR(AJ645&gt;0,AJ646&gt;0,AL646&gt;0,AN646&gt;0),"Favor de revisar la suma y consistencia de totales y/o subtotales por filas (numéricos y NS)","")</f>
        <v/>
      </c>
      <c r="C649" s="794"/>
      <c r="D649" s="794"/>
      <c r="E649" s="794"/>
      <c r="F649" s="794"/>
      <c r="G649" s="794"/>
      <c r="H649" s="794"/>
      <c r="I649" s="794"/>
      <c r="J649" s="794"/>
      <c r="K649" s="794"/>
      <c r="L649" s="794"/>
      <c r="M649" s="794"/>
      <c r="N649" s="794"/>
      <c r="O649" s="794"/>
      <c r="P649" s="794"/>
      <c r="Q649" s="794"/>
      <c r="R649" s="794"/>
      <c r="S649" s="794"/>
      <c r="T649" s="794"/>
      <c r="U649" s="794"/>
      <c r="V649" s="794"/>
      <c r="W649" s="794"/>
      <c r="X649" s="794"/>
      <c r="Y649" s="794"/>
      <c r="Z649" s="794"/>
      <c r="AA649" s="794"/>
      <c r="AB649" s="794"/>
      <c r="AC649" s="794"/>
      <c r="AD649" s="794"/>
      <c r="AE649"/>
    </row>
    <row r="650" spans="1:58" ht="15" customHeight="1">
      <c r="A650" s="49"/>
      <c r="B650" s="795" t="str">
        <f>IF(BF644&gt;0,"Alerta: debe de proporcionar una justificación de acuerdo a lo establecido en la instrucción 1","")</f>
        <v/>
      </c>
      <c r="C650" s="795"/>
      <c r="D650" s="795"/>
      <c r="E650" s="795"/>
      <c r="F650" s="795"/>
      <c r="G650" s="795"/>
      <c r="H650" s="795"/>
      <c r="I650" s="795"/>
      <c r="J650" s="795"/>
      <c r="K650" s="795"/>
      <c r="L650" s="795"/>
      <c r="M650" s="795"/>
      <c r="N650" s="795"/>
      <c r="O650" s="795"/>
      <c r="P650" s="795"/>
      <c r="Q650" s="795"/>
      <c r="R650" s="795"/>
      <c r="S650" s="795"/>
      <c r="T650" s="795"/>
      <c r="U650" s="795"/>
      <c r="V650" s="795"/>
      <c r="W650" s="795"/>
      <c r="X650" s="795"/>
      <c r="Y650" s="795"/>
      <c r="Z650" s="795"/>
      <c r="AA650" s="795"/>
      <c r="AB650" s="795"/>
      <c r="AC650" s="795"/>
      <c r="AD650" s="795"/>
      <c r="AE650" s="795"/>
    </row>
    <row r="651" spans="1:58" ht="15" customHeight="1">
      <c r="A651" s="49"/>
      <c r="B651" s="246"/>
      <c r="C651" s="208"/>
      <c r="D651" s="246"/>
      <c r="E651" s="246"/>
      <c r="F651" s="246"/>
      <c r="G651" s="218"/>
      <c r="H651" s="51"/>
      <c r="I651" s="51"/>
      <c r="J651" s="54"/>
      <c r="K651" s="54"/>
      <c r="L651" s="54"/>
      <c r="M651" s="54"/>
      <c r="N651" s="51"/>
      <c r="O651" s="51"/>
      <c r="P651" s="51"/>
      <c r="Q651" s="51"/>
      <c r="R651" s="51"/>
      <c r="S651" s="51"/>
      <c r="T651" s="51"/>
      <c r="U651" s="51"/>
      <c r="V651" s="51"/>
      <c r="W651" s="51"/>
      <c r="X651" s="54"/>
      <c r="Y651" s="54"/>
      <c r="Z651" s="54"/>
      <c r="AA651" s="54"/>
      <c r="AB651" s="54"/>
      <c r="AC651" s="54"/>
      <c r="AD651" s="57"/>
      <c r="AE651"/>
    </row>
    <row r="652" spans="1:58" ht="15" customHeight="1" thickBot="1">
      <c r="A652" s="49"/>
      <c r="B652" s="246"/>
      <c r="C652" s="208"/>
      <c r="D652" s="246"/>
      <c r="E652" s="246"/>
      <c r="F652" s="246"/>
      <c r="G652" s="218"/>
      <c r="H652" s="51"/>
      <c r="I652" s="51"/>
      <c r="J652" s="54"/>
      <c r="K652" s="54"/>
      <c r="L652" s="54"/>
      <c r="M652" s="54"/>
      <c r="N652" s="51"/>
      <c r="O652" s="51"/>
      <c r="P652" s="51"/>
      <c r="Q652" s="51"/>
      <c r="R652" s="51"/>
      <c r="S652" s="51"/>
      <c r="T652" s="51"/>
      <c r="U652" s="51"/>
      <c r="V652" s="51"/>
      <c r="W652" s="51"/>
      <c r="X652" s="54"/>
      <c r="Y652" s="54"/>
      <c r="Z652" s="54"/>
      <c r="AA652" s="54"/>
      <c r="AB652" s="54"/>
      <c r="AC652" s="54"/>
      <c r="AD652" s="57"/>
      <c r="AE652"/>
    </row>
    <row r="653" spans="1:58" customFormat="1" ht="15" customHeight="1" thickBot="1">
      <c r="A653" s="153" t="s">
        <v>2563</v>
      </c>
      <c r="B653" s="943" t="s">
        <v>3387</v>
      </c>
      <c r="C653" s="944"/>
      <c r="D653" s="944"/>
      <c r="E653" s="944"/>
      <c r="F653" s="944"/>
      <c r="G653" s="944"/>
      <c r="H653" s="944"/>
      <c r="I653" s="944"/>
      <c r="J653" s="944"/>
      <c r="K653" s="944"/>
      <c r="L653" s="944"/>
      <c r="M653" s="944"/>
      <c r="N653" s="944"/>
      <c r="O653" s="944"/>
      <c r="P653" s="944"/>
      <c r="Q653" s="944"/>
      <c r="R653" s="944"/>
      <c r="S653" s="944"/>
      <c r="T653" s="944"/>
      <c r="U653" s="944"/>
      <c r="V653" s="944"/>
      <c r="W653" s="944"/>
      <c r="X653" s="944"/>
      <c r="Y653" s="944"/>
      <c r="Z653" s="944"/>
      <c r="AA653" s="944"/>
      <c r="AB653" s="944"/>
      <c r="AC653" s="944"/>
      <c r="AD653" s="945"/>
      <c r="AE653" s="3"/>
    </row>
    <row r="654" spans="1:58" ht="15" customHeight="1">
      <c r="A654" s="50"/>
      <c r="B654" s="976" t="s">
        <v>3388</v>
      </c>
      <c r="C654" s="977"/>
      <c r="D654" s="977"/>
      <c r="E654" s="977"/>
      <c r="F654" s="977"/>
      <c r="G654" s="977"/>
      <c r="H654" s="977"/>
      <c r="I654" s="977"/>
      <c r="J654" s="977"/>
      <c r="K654" s="977"/>
      <c r="L654" s="977"/>
      <c r="M654" s="977"/>
      <c r="N654" s="977"/>
      <c r="O654" s="977"/>
      <c r="P654" s="977"/>
      <c r="Q654" s="977"/>
      <c r="R654" s="977"/>
      <c r="S654" s="977"/>
      <c r="T654" s="977"/>
      <c r="U654" s="977"/>
      <c r="V654" s="977"/>
      <c r="W654" s="977"/>
      <c r="X654" s="977"/>
      <c r="Y654" s="977"/>
      <c r="Z654" s="977"/>
      <c r="AA654" s="977"/>
      <c r="AB654" s="977"/>
      <c r="AC654" s="977"/>
      <c r="AD654" s="978"/>
    </row>
    <row r="655" spans="1:58" ht="24" customHeight="1">
      <c r="A655" s="115"/>
      <c r="B655" s="149"/>
      <c r="C655" s="754" t="s">
        <v>3389</v>
      </c>
      <c r="D655" s="830"/>
      <c r="E655" s="830"/>
      <c r="F655" s="830"/>
      <c r="G655" s="830"/>
      <c r="H655" s="830"/>
      <c r="I655" s="830"/>
      <c r="J655" s="830"/>
      <c r="K655" s="830"/>
      <c r="L655" s="830"/>
      <c r="M655" s="830"/>
      <c r="N655" s="830"/>
      <c r="O655" s="830"/>
      <c r="P655" s="830"/>
      <c r="Q655" s="830"/>
      <c r="R655" s="830"/>
      <c r="S655" s="830"/>
      <c r="T655" s="830"/>
      <c r="U655" s="830"/>
      <c r="V655" s="830"/>
      <c r="W655" s="830"/>
      <c r="X655" s="830"/>
      <c r="Y655" s="830"/>
      <c r="Z655" s="830"/>
      <c r="AA655" s="830"/>
      <c r="AB655" s="830"/>
      <c r="AC655" s="830"/>
      <c r="AD655" s="886"/>
    </row>
    <row r="656" spans="1:58" ht="24" customHeight="1">
      <c r="A656" s="103"/>
      <c r="B656" s="667"/>
      <c r="C656" s="754" t="s">
        <v>3390</v>
      </c>
      <c r="D656" s="754"/>
      <c r="E656" s="754"/>
      <c r="F656" s="754"/>
      <c r="G656" s="754"/>
      <c r="H656" s="754"/>
      <c r="I656" s="754"/>
      <c r="J656" s="754"/>
      <c r="K656" s="754"/>
      <c r="L656" s="754"/>
      <c r="M656" s="754"/>
      <c r="N656" s="754"/>
      <c r="O656" s="754"/>
      <c r="P656" s="754"/>
      <c r="Q656" s="754"/>
      <c r="R656" s="754"/>
      <c r="S656" s="754"/>
      <c r="T656" s="754"/>
      <c r="U656" s="754"/>
      <c r="V656" s="754"/>
      <c r="W656" s="754"/>
      <c r="X656" s="754"/>
      <c r="Y656" s="754"/>
      <c r="Z656" s="754"/>
      <c r="AA656" s="754"/>
      <c r="AB656" s="754"/>
      <c r="AC656" s="754"/>
      <c r="AD656" s="755"/>
    </row>
    <row r="657" spans="1:30" ht="36" customHeight="1">
      <c r="A657" s="103"/>
      <c r="B657" s="668"/>
      <c r="C657" s="864" t="s">
        <v>3391</v>
      </c>
      <c r="D657" s="979"/>
      <c r="E657" s="979"/>
      <c r="F657" s="979"/>
      <c r="G657" s="979"/>
      <c r="H657" s="979"/>
      <c r="I657" s="979"/>
      <c r="J657" s="979"/>
      <c r="K657" s="979"/>
      <c r="L657" s="979"/>
      <c r="M657" s="979"/>
      <c r="N657" s="979"/>
      <c r="O657" s="979"/>
      <c r="P657" s="979"/>
      <c r="Q657" s="979"/>
      <c r="R657" s="979"/>
      <c r="S657" s="979"/>
      <c r="T657" s="979"/>
      <c r="U657" s="979"/>
      <c r="V657" s="979"/>
      <c r="W657" s="979"/>
      <c r="X657" s="979"/>
      <c r="Y657" s="979"/>
      <c r="Z657" s="979"/>
      <c r="AA657" s="979"/>
      <c r="AB657" s="979"/>
      <c r="AC657" s="979"/>
      <c r="AD657" s="980"/>
    </row>
    <row r="658" spans="1:30" ht="15" customHeight="1">
      <c r="A658" s="103"/>
      <c r="B658" s="981" t="s">
        <v>3332</v>
      </c>
      <c r="C658" s="982"/>
      <c r="D658" s="982"/>
      <c r="E658" s="982"/>
      <c r="F658" s="982"/>
      <c r="G658" s="982"/>
      <c r="H658" s="982"/>
      <c r="I658" s="982"/>
      <c r="J658" s="982"/>
      <c r="K658" s="982"/>
      <c r="L658" s="982"/>
      <c r="M658" s="982"/>
      <c r="N658" s="982"/>
      <c r="O658" s="982"/>
      <c r="P658" s="982"/>
      <c r="Q658" s="982"/>
      <c r="R658" s="982"/>
      <c r="S658" s="982"/>
      <c r="T658" s="982"/>
      <c r="U658" s="982"/>
      <c r="V658" s="982"/>
      <c r="W658" s="982"/>
      <c r="X658" s="982"/>
      <c r="Y658" s="982"/>
      <c r="Z658" s="982"/>
      <c r="AA658" s="982"/>
      <c r="AB658" s="982"/>
      <c r="AC658" s="982"/>
      <c r="AD658" s="983"/>
    </row>
    <row r="659" spans="1:30" ht="36" customHeight="1">
      <c r="A659" s="146"/>
      <c r="B659" s="101"/>
      <c r="C659" s="754" t="s">
        <v>3392</v>
      </c>
      <c r="D659" s="754"/>
      <c r="E659" s="754"/>
      <c r="F659" s="754"/>
      <c r="G659" s="754"/>
      <c r="H659" s="754"/>
      <c r="I659" s="754"/>
      <c r="J659" s="754"/>
      <c r="K659" s="754"/>
      <c r="L659" s="754"/>
      <c r="M659" s="754"/>
      <c r="N659" s="754"/>
      <c r="O659" s="754"/>
      <c r="P659" s="754"/>
      <c r="Q659" s="754"/>
      <c r="R659" s="754"/>
      <c r="S659" s="754"/>
      <c r="T659" s="754"/>
      <c r="U659" s="754"/>
      <c r="V659" s="754"/>
      <c r="W659" s="754"/>
      <c r="X659" s="754"/>
      <c r="Y659" s="754"/>
      <c r="Z659" s="754"/>
      <c r="AA659" s="754"/>
      <c r="AB659" s="754"/>
      <c r="AC659" s="754"/>
      <c r="AD659" s="755"/>
    </row>
    <row r="660" spans="1:30" ht="15" customHeight="1">
      <c r="A660" s="147"/>
      <c r="B660" s="101"/>
      <c r="C660" s="75"/>
      <c r="D660" s="754" t="s">
        <v>3393</v>
      </c>
      <c r="E660" s="754"/>
      <c r="F660" s="754"/>
      <c r="G660" s="754"/>
      <c r="H660" s="754"/>
      <c r="I660" s="754"/>
      <c r="J660" s="754"/>
      <c r="K660" s="754"/>
      <c r="L660" s="754"/>
      <c r="M660" s="754"/>
      <c r="N660" s="754"/>
      <c r="O660" s="754"/>
      <c r="P660" s="754"/>
      <c r="Q660" s="754"/>
      <c r="R660" s="754"/>
      <c r="S660" s="754"/>
      <c r="T660" s="754"/>
      <c r="U660" s="754"/>
      <c r="V660" s="754"/>
      <c r="W660" s="754"/>
      <c r="X660" s="754"/>
      <c r="Y660" s="754"/>
      <c r="Z660" s="754"/>
      <c r="AA660" s="754"/>
      <c r="AB660" s="754"/>
      <c r="AC660" s="754"/>
      <c r="AD660" s="755"/>
    </row>
    <row r="661" spans="1:30" ht="36" customHeight="1">
      <c r="A661" s="147"/>
      <c r="B661" s="101"/>
      <c r="C661" s="75"/>
      <c r="D661" s="754" t="s">
        <v>3394</v>
      </c>
      <c r="E661" s="754"/>
      <c r="F661" s="754"/>
      <c r="G661" s="754"/>
      <c r="H661" s="754"/>
      <c r="I661" s="754"/>
      <c r="J661" s="754"/>
      <c r="K661" s="754"/>
      <c r="L661" s="754"/>
      <c r="M661" s="754"/>
      <c r="N661" s="754"/>
      <c r="O661" s="754"/>
      <c r="P661" s="754"/>
      <c r="Q661" s="754"/>
      <c r="R661" s="754"/>
      <c r="S661" s="754"/>
      <c r="T661" s="754"/>
      <c r="U661" s="754"/>
      <c r="V661" s="754"/>
      <c r="W661" s="754"/>
      <c r="X661" s="754"/>
      <c r="Y661" s="754"/>
      <c r="Z661" s="754"/>
      <c r="AA661" s="754"/>
      <c r="AB661" s="754"/>
      <c r="AC661" s="754"/>
      <c r="AD661" s="755"/>
    </row>
    <row r="662" spans="1:30" ht="24" customHeight="1">
      <c r="A662" s="147"/>
      <c r="B662" s="95"/>
      <c r="C662" s="82"/>
      <c r="D662" s="764" t="s">
        <v>3395</v>
      </c>
      <c r="E662" s="764"/>
      <c r="F662" s="764"/>
      <c r="G662" s="764"/>
      <c r="H662" s="764"/>
      <c r="I662" s="764"/>
      <c r="J662" s="764"/>
      <c r="K662" s="764"/>
      <c r="L662" s="764"/>
      <c r="M662" s="764"/>
      <c r="N662" s="764"/>
      <c r="O662" s="764"/>
      <c r="P662" s="764"/>
      <c r="Q662" s="764"/>
      <c r="R662" s="764"/>
      <c r="S662" s="764"/>
      <c r="T662" s="764"/>
      <c r="U662" s="764"/>
      <c r="V662" s="764"/>
      <c r="W662" s="764"/>
      <c r="X662" s="764"/>
      <c r="Y662" s="764"/>
      <c r="Z662" s="764"/>
      <c r="AA662" s="764"/>
      <c r="AB662" s="764"/>
      <c r="AC662" s="764"/>
      <c r="AD662" s="765"/>
    </row>
    <row r="663" spans="1:30" ht="15">
      <c r="A663" s="94"/>
    </row>
    <row r="664" spans="1:30" ht="36" customHeight="1">
      <c r="A664" s="49" t="s">
        <v>3396</v>
      </c>
      <c r="B664" s="960" t="s">
        <v>3397</v>
      </c>
      <c r="C664" s="960"/>
      <c r="D664" s="960"/>
      <c r="E664" s="960"/>
      <c r="F664" s="960"/>
      <c r="G664" s="960"/>
      <c r="H664" s="960"/>
      <c r="I664" s="960"/>
      <c r="J664" s="960"/>
      <c r="K664" s="960"/>
      <c r="L664" s="960"/>
      <c r="M664" s="960"/>
      <c r="N664" s="960"/>
      <c r="O664" s="960"/>
      <c r="P664" s="960"/>
      <c r="Q664" s="960"/>
      <c r="R664" s="960"/>
      <c r="S664" s="960"/>
      <c r="T664" s="960"/>
      <c r="U664" s="960"/>
      <c r="V664" s="960"/>
      <c r="W664" s="960"/>
      <c r="X664" s="960"/>
      <c r="Y664" s="960"/>
      <c r="Z664" s="960"/>
      <c r="AA664" s="960"/>
      <c r="AB664" s="960"/>
      <c r="AC664" s="960"/>
      <c r="AD664" s="960"/>
    </row>
    <row r="665" spans="1:30" ht="24" customHeight="1">
      <c r="A665" s="50"/>
      <c r="B665" s="57"/>
      <c r="C665" s="754" t="s">
        <v>3398</v>
      </c>
      <c r="D665" s="754"/>
      <c r="E665" s="754"/>
      <c r="F665" s="754"/>
      <c r="G665" s="754"/>
      <c r="H665" s="754"/>
      <c r="I665" s="754"/>
      <c r="J665" s="754"/>
      <c r="K665" s="754"/>
      <c r="L665" s="754"/>
      <c r="M665" s="754"/>
      <c r="N665" s="754"/>
      <c r="O665" s="754"/>
      <c r="P665" s="754"/>
      <c r="Q665" s="754"/>
      <c r="R665" s="754"/>
      <c r="S665" s="754"/>
      <c r="T665" s="754"/>
      <c r="U665" s="754"/>
      <c r="V665" s="754"/>
      <c r="W665" s="754"/>
      <c r="X665" s="754"/>
      <c r="Y665" s="754"/>
      <c r="Z665" s="754"/>
      <c r="AA665" s="754"/>
      <c r="AB665" s="754"/>
      <c r="AC665" s="754"/>
      <c r="AD665" s="754"/>
    </row>
    <row r="666" spans="1:30" ht="24" customHeight="1">
      <c r="A666" s="50"/>
      <c r="B666" s="57"/>
      <c r="C666" s="830" t="s">
        <v>3399</v>
      </c>
      <c r="D666" s="830"/>
      <c r="E666" s="830"/>
      <c r="F666" s="830"/>
      <c r="G666" s="830"/>
      <c r="H666" s="830"/>
      <c r="I666" s="830"/>
      <c r="J666" s="830"/>
      <c r="K666" s="830"/>
      <c r="L666" s="830"/>
      <c r="M666" s="830"/>
      <c r="N666" s="830"/>
      <c r="O666" s="830"/>
      <c r="P666" s="830"/>
      <c r="Q666" s="830"/>
      <c r="R666" s="830"/>
      <c r="S666" s="830"/>
      <c r="T666" s="830"/>
      <c r="U666" s="830"/>
      <c r="V666" s="830"/>
      <c r="W666" s="830"/>
      <c r="X666" s="830"/>
      <c r="Y666" s="830"/>
      <c r="Z666" s="830"/>
      <c r="AA666" s="830"/>
      <c r="AB666" s="830"/>
      <c r="AC666" s="830"/>
      <c r="AD666" s="830"/>
    </row>
    <row r="667" spans="1:30" ht="24" customHeight="1">
      <c r="A667" s="50"/>
      <c r="B667" s="57"/>
      <c r="C667" s="830" t="s">
        <v>3400</v>
      </c>
      <c r="D667" s="830"/>
      <c r="E667" s="830"/>
      <c r="F667" s="830"/>
      <c r="G667" s="830"/>
      <c r="H667" s="830"/>
      <c r="I667" s="830"/>
      <c r="J667" s="830"/>
      <c r="K667" s="830"/>
      <c r="L667" s="830"/>
      <c r="M667" s="830"/>
      <c r="N667" s="830"/>
      <c r="O667" s="830"/>
      <c r="P667" s="830"/>
      <c r="Q667" s="830"/>
      <c r="R667" s="830"/>
      <c r="S667" s="830"/>
      <c r="T667" s="830"/>
      <c r="U667" s="830"/>
      <c r="V667" s="830"/>
      <c r="W667" s="830"/>
      <c r="X667" s="830"/>
      <c r="Y667" s="830"/>
      <c r="Z667" s="830"/>
      <c r="AA667" s="830"/>
      <c r="AB667" s="830"/>
      <c r="AC667" s="830"/>
      <c r="AD667" s="830"/>
    </row>
    <row r="668" spans="1:30" ht="36" customHeight="1">
      <c r="A668" s="50"/>
      <c r="B668" s="57"/>
      <c r="C668" s="830" t="s">
        <v>3401</v>
      </c>
      <c r="D668" s="830"/>
      <c r="E668" s="830"/>
      <c r="F668" s="830"/>
      <c r="G668" s="830"/>
      <c r="H668" s="830"/>
      <c r="I668" s="830"/>
      <c r="J668" s="830"/>
      <c r="K668" s="830"/>
      <c r="L668" s="830"/>
      <c r="M668" s="830"/>
      <c r="N668" s="830"/>
      <c r="O668" s="830"/>
      <c r="P668" s="830"/>
      <c r="Q668" s="830"/>
      <c r="R668" s="830"/>
      <c r="S668" s="830"/>
      <c r="T668" s="830"/>
      <c r="U668" s="830"/>
      <c r="V668" s="830"/>
      <c r="W668" s="830"/>
      <c r="X668" s="830"/>
      <c r="Y668" s="830"/>
      <c r="Z668" s="830"/>
      <c r="AA668" s="830"/>
      <c r="AB668" s="830"/>
      <c r="AC668" s="830"/>
      <c r="AD668" s="830"/>
    </row>
    <row r="669" spans="1:30" ht="36" customHeight="1">
      <c r="A669" s="50"/>
      <c r="B669" s="57"/>
      <c r="C669" s="830" t="s">
        <v>3402</v>
      </c>
      <c r="D669" s="830"/>
      <c r="E669" s="830"/>
      <c r="F669" s="830"/>
      <c r="G669" s="830"/>
      <c r="H669" s="830"/>
      <c r="I669" s="830"/>
      <c r="J669" s="830"/>
      <c r="K669" s="830"/>
      <c r="L669" s="830"/>
      <c r="M669" s="830"/>
      <c r="N669" s="830"/>
      <c r="O669" s="830"/>
      <c r="P669" s="830"/>
      <c r="Q669" s="830"/>
      <c r="R669" s="830"/>
      <c r="S669" s="830"/>
      <c r="T669" s="830"/>
      <c r="U669" s="830"/>
      <c r="V669" s="830"/>
      <c r="W669" s="830"/>
      <c r="X669" s="830"/>
      <c r="Y669" s="830"/>
      <c r="Z669" s="830"/>
      <c r="AA669" s="830"/>
      <c r="AB669" s="830"/>
      <c r="AC669" s="830"/>
      <c r="AD669" s="830"/>
    </row>
    <row r="670" spans="1:30" ht="36" customHeight="1">
      <c r="A670" s="50"/>
      <c r="B670" s="57"/>
      <c r="C670" s="830" t="s">
        <v>3403</v>
      </c>
      <c r="D670" s="830"/>
      <c r="E670" s="830"/>
      <c r="F670" s="830"/>
      <c r="G670" s="830"/>
      <c r="H670" s="830"/>
      <c r="I670" s="830"/>
      <c r="J670" s="830"/>
      <c r="K670" s="830"/>
      <c r="L670" s="830"/>
      <c r="M670" s="830"/>
      <c r="N670" s="830"/>
      <c r="O670" s="830"/>
      <c r="P670" s="830"/>
      <c r="Q670" s="830"/>
      <c r="R670" s="830"/>
      <c r="S670" s="830"/>
      <c r="T670" s="830"/>
      <c r="U670" s="830"/>
      <c r="V670" s="830"/>
      <c r="W670" s="830"/>
      <c r="X670" s="830"/>
      <c r="Y670" s="830"/>
      <c r="Z670" s="830"/>
      <c r="AA670" s="830"/>
      <c r="AB670" s="830"/>
      <c r="AC670" s="830"/>
      <c r="AD670" s="830"/>
    </row>
    <row r="671" spans="1:30" ht="24" customHeight="1">
      <c r="A671" s="50"/>
      <c r="B671" s="57"/>
      <c r="C671" s="754" t="s">
        <v>3404</v>
      </c>
      <c r="D671" s="754"/>
      <c r="E671" s="754"/>
      <c r="F671" s="754"/>
      <c r="G671" s="754"/>
      <c r="H671" s="754"/>
      <c r="I671" s="754"/>
      <c r="J671" s="754"/>
      <c r="K671" s="754"/>
      <c r="L671" s="754"/>
      <c r="M671" s="754"/>
      <c r="N671" s="754"/>
      <c r="O671" s="754"/>
      <c r="P671" s="754"/>
      <c r="Q671" s="754"/>
      <c r="R671" s="754"/>
      <c r="S671" s="754"/>
      <c r="T671" s="754"/>
      <c r="U671" s="754"/>
      <c r="V671" s="754"/>
      <c r="W671" s="754"/>
      <c r="X671" s="754"/>
      <c r="Y671" s="754"/>
      <c r="Z671" s="754"/>
      <c r="AA671" s="754"/>
      <c r="AB671" s="754"/>
      <c r="AC671" s="754"/>
      <c r="AD671" s="754"/>
    </row>
    <row r="672" spans="1:30" ht="15" customHeight="1">
      <c r="A672" s="103"/>
      <c r="B672" s="57"/>
      <c r="C672" s="57"/>
      <c r="D672" s="57"/>
      <c r="E672" s="57"/>
      <c r="F672" s="57"/>
      <c r="G672" s="57"/>
      <c r="H672" s="57"/>
      <c r="I672" s="57"/>
      <c r="J672" s="57"/>
      <c r="K672" s="57"/>
      <c r="L672" s="57"/>
      <c r="M672" s="57"/>
      <c r="N672" s="57"/>
      <c r="O672" s="57"/>
      <c r="P672" s="57"/>
      <c r="Q672" s="57"/>
      <c r="R672" s="57"/>
      <c r="S672" s="57"/>
      <c r="T672" s="57"/>
      <c r="U672" s="57"/>
      <c r="V672" s="57"/>
      <c r="W672" s="57"/>
      <c r="X672" s="57"/>
      <c r="Y672" s="57"/>
      <c r="Z672" s="57"/>
      <c r="AA672" s="57"/>
      <c r="AB672" s="57"/>
      <c r="AC672" s="57"/>
      <c r="AD672" s="57"/>
    </row>
    <row r="673" spans="1:50" ht="36" customHeight="1">
      <c r="A673" s="148"/>
      <c r="C673" s="732" t="s">
        <v>3405</v>
      </c>
      <c r="D673" s="732"/>
      <c r="E673" s="732"/>
      <c r="F673" s="732"/>
      <c r="G673" s="732"/>
      <c r="H673" s="732"/>
      <c r="I673" s="732" t="s">
        <v>3406</v>
      </c>
      <c r="J673" s="732"/>
      <c r="K673" s="732"/>
      <c r="L673" s="732"/>
      <c r="M673" s="732"/>
      <c r="N673" s="732"/>
      <c r="O673" s="732"/>
      <c r="P673" s="732"/>
      <c r="Q673" s="732" t="s">
        <v>3407</v>
      </c>
      <c r="R673" s="732"/>
      <c r="S673" s="732"/>
      <c r="T673" s="732"/>
      <c r="U673" s="732"/>
      <c r="V673" s="732"/>
      <c r="W673" s="732"/>
      <c r="X673" s="732"/>
      <c r="Y673" s="732" t="s">
        <v>3408</v>
      </c>
      <c r="Z673" s="732"/>
      <c r="AA673" s="732"/>
      <c r="AB673" s="732"/>
      <c r="AC673" s="732"/>
      <c r="AD673" s="732"/>
    </row>
    <row r="674" spans="1:50" ht="60" customHeight="1">
      <c r="A674" s="148"/>
      <c r="C674" s="732"/>
      <c r="D674" s="732"/>
      <c r="E674" s="732"/>
      <c r="F674" s="732"/>
      <c r="G674" s="732"/>
      <c r="H674" s="732"/>
      <c r="I674" s="739" t="s">
        <v>2628</v>
      </c>
      <c r="J674" s="741"/>
      <c r="K674" s="857" t="s">
        <v>3409</v>
      </c>
      <c r="L674" s="857"/>
      <c r="M674" s="857" t="s">
        <v>3410</v>
      </c>
      <c r="N674" s="857"/>
      <c r="O674" s="857" t="s">
        <v>3411</v>
      </c>
      <c r="P674" s="857"/>
      <c r="Q674" s="739" t="s">
        <v>2628</v>
      </c>
      <c r="R674" s="741"/>
      <c r="S674" s="857" t="s">
        <v>3409</v>
      </c>
      <c r="T674" s="857"/>
      <c r="U674" s="857" t="s">
        <v>3410</v>
      </c>
      <c r="V674" s="857"/>
      <c r="W674" s="857" t="s">
        <v>3411</v>
      </c>
      <c r="X674" s="857"/>
      <c r="Y674" s="974" t="s">
        <v>2628</v>
      </c>
      <c r="Z674" s="975"/>
      <c r="AA674" s="858" t="s">
        <v>2629</v>
      </c>
      <c r="AB674" s="860"/>
      <c r="AC674" s="858" t="s">
        <v>2630</v>
      </c>
      <c r="AD674" s="860"/>
      <c r="AG674" s="354" t="s">
        <v>2586</v>
      </c>
      <c r="AH674" s="350" t="s">
        <v>2637</v>
      </c>
      <c r="AI674" s="351" t="s">
        <v>3412</v>
      </c>
      <c r="AJ674" s="352" t="s">
        <v>3413</v>
      </c>
      <c r="AK674" s="350" t="s">
        <v>2640</v>
      </c>
      <c r="AL674" s="351" t="s">
        <v>3414</v>
      </c>
      <c r="AM674" s="352" t="s">
        <v>3415</v>
      </c>
      <c r="AN674" s="350" t="s">
        <v>2643</v>
      </c>
      <c r="AO674" s="351" t="s">
        <v>3416</v>
      </c>
      <c r="AP674" s="352" t="s">
        <v>3417</v>
      </c>
      <c r="AR674" s="389" t="s">
        <v>2795</v>
      </c>
      <c r="AS674" s="390" t="s">
        <v>3418</v>
      </c>
      <c r="AT674" s="391" t="s">
        <v>3419</v>
      </c>
      <c r="AU674" s="393" t="s">
        <v>3420</v>
      </c>
      <c r="AV674" s="365" t="s">
        <v>2620</v>
      </c>
      <c r="AW674" s="365" t="s">
        <v>2620</v>
      </c>
      <c r="AX674" s="394" t="s">
        <v>2622</v>
      </c>
    </row>
    <row r="675" spans="1:50" ht="15" customHeight="1">
      <c r="A675" s="148"/>
      <c r="C675" s="816"/>
      <c r="D675" s="738"/>
      <c r="E675" s="738"/>
      <c r="F675" s="738"/>
      <c r="G675" s="738"/>
      <c r="H675" s="817"/>
      <c r="I675" s="816"/>
      <c r="J675" s="817"/>
      <c r="K675" s="816"/>
      <c r="L675" s="817"/>
      <c r="M675" s="816"/>
      <c r="N675" s="817"/>
      <c r="O675" s="816"/>
      <c r="P675" s="817"/>
      <c r="Q675" s="816"/>
      <c r="R675" s="817"/>
      <c r="S675" s="816"/>
      <c r="T675" s="817"/>
      <c r="U675" s="816"/>
      <c r="V675" s="817"/>
      <c r="W675" s="816"/>
      <c r="X675" s="817"/>
      <c r="Y675" s="816"/>
      <c r="Z675" s="817"/>
      <c r="AA675" s="816"/>
      <c r="AB675" s="817"/>
      <c r="AC675" s="816"/>
      <c r="AD675" s="817"/>
      <c r="AG675" s="326">
        <f>IF(AND(C675="",COUNTA(I675:AD675)=0),0,IF(AND(C675&lt;&gt;1,C675&lt;&gt;"",COUNTA(I675:AD675)=0),0,IF(AND(C675=1,C675&lt;&gt;"",COUNTA(I675:AD675)=8,SUM(Q675)=0),0,IF(AND(C675=1,C675&lt;&gt;"",COUNTA(I675:AD675)=11,SUM(Q675)&gt;0),0,1))))</f>
        <v>0</v>
      </c>
      <c r="AH675" s="326">
        <f>COUNTIF(K675:P675,"NS")</f>
        <v>0</v>
      </c>
      <c r="AI675" s="326">
        <f>SUM(K675:P675)</f>
        <v>0</v>
      </c>
      <c r="AJ675" s="326">
        <f>IF(COUNTIF(I675:P675,"NA")=4,0,IF(COUNTA(I675:P675)=0,0,IF(OR(AND(#REF!=0,AH675&gt;0),AND(#REF!="ns",AI675&gt;0),AND(#REF!="ns",AH675=0,AI675=0)),1,IF(OR(AND(AH675&gt;=2,#REF!&gt;AI675),AND(#REF!="ns",AI675=0,AH675&gt;0),#REF!=AI675),0,1))))</f>
        <v>0</v>
      </c>
      <c r="AK675" s="326">
        <f>COUNTIF(S675:X675,"NS")</f>
        <v>0</v>
      </c>
      <c r="AL675" s="326">
        <f>SUM(S675:X675)</f>
        <v>0</v>
      </c>
      <c r="AM675" s="326">
        <f>IF(COUNTIF(Q675:X675,"NA")=4,0,IF(COUNTA(Q675:X675)=0,0,IF(OR(AND(Q675=0,AK675&gt;0),AND(Q675="ns",AL675&gt;0),AND(Q675="ns",AK675=0,AL675=0)),1,IF(OR(AND(AK675&gt;=2,Q675&gt;AL675),AND(Q675="ns",AL675=0,AK675&gt;0),Q675=AL675),0,1))))</f>
        <v>0</v>
      </c>
      <c r="AN675" s="326">
        <f>COUNTIF(AA675:AD675,"NS")</f>
        <v>0</v>
      </c>
      <c r="AO675" s="326">
        <f>SUM(AA675:AD675)</f>
        <v>0</v>
      </c>
      <c r="AP675" s="326">
        <f>IF(COUNTIF(J675:AD675,"NA")=3,0,IF(OR(AND(Y675=0,AN675&gt;0),AND(Y675="ns",AO675&gt;0),AND(Y675="ns",AN675=0,AO675=0)),1,IF(OR(AND(Y675&gt;0,AN675=2),AND(Y675="ns",AN675=2),AND(Y675="ns",AO675=0,AN675&gt;0),Y675=AO675),0,1)))</f>
        <v>0</v>
      </c>
      <c r="AR675" s="326">
        <f>IF(OR(Q675="NS",I675="NS"),0,IF(AND(Q675="NA",I675="NA"),0,IF(Q675&lt;=I675,0,1)))</f>
        <v>0</v>
      </c>
      <c r="AS675" s="326">
        <f>IF(OR(S675="NS",K675="NS"),0,IF(AND(S675="NA",K675="NA"),0,IF(S675&lt;=K675,0,1)))</f>
        <v>0</v>
      </c>
      <c r="AT675" s="326">
        <f>IF(OR(U675="NS",M675="NS"),0,IF(AND(U675="NA",M675="NA"),0,IF(U675&lt;=M675,0,1)))</f>
        <v>0</v>
      </c>
      <c r="AU675" s="326">
        <f>IF(OR(W675="NS",O675="NS"),0,IF(AND(W675="NA",O675="NA"),0,IF(W675&lt;=O675,0,1)))</f>
        <v>0</v>
      </c>
      <c r="AV675" s="342">
        <f>IF(AND($C$675&lt;&gt;"",$C$675&lt;&gt;1,COUNTA(J675:AD675)&gt;0),1,0)</f>
        <v>0</v>
      </c>
      <c r="AW675" s="342">
        <f>IF(AND(SUM(Q675)=0,COUNTA(J675:AD675)&gt;0),1,0)</f>
        <v>0</v>
      </c>
      <c r="AX675" s="253">
        <f>IF(AND($C$675&lt;&gt;"",$C$675=1,I675&lt;&gt;"",K675&lt;&gt;"",M675&lt;&gt;"",O675&lt;&gt;"",Q675&lt;&gt;"",S675&lt;&gt;"",U675&lt;&gt;"",W675&lt;&gt;"",Y675&lt;&gt;"",AA675&lt;&gt;"",AC675&lt;&gt;"",SUM(I675:AD675)=0),1,0)</f>
        <v>0</v>
      </c>
    </row>
    <row r="676" spans="1:50" ht="15" customHeight="1">
      <c r="A676" s="103"/>
      <c r="B676" s="57"/>
      <c r="C676" s="57"/>
      <c r="D676" s="57"/>
      <c r="E676" s="57"/>
      <c r="F676" s="57"/>
      <c r="G676" s="57"/>
      <c r="H676" s="57"/>
      <c r="I676" s="57"/>
      <c r="J676" s="57"/>
      <c r="K676" s="57"/>
      <c r="L676" s="57"/>
      <c r="M676" s="57"/>
      <c r="N676" s="57"/>
      <c r="O676" s="57"/>
      <c r="P676" s="57"/>
      <c r="Q676" s="57"/>
      <c r="R676" s="57"/>
      <c r="S676" s="57"/>
      <c r="T676" s="57"/>
      <c r="U676" s="57"/>
      <c r="V676" s="57"/>
      <c r="W676" s="57"/>
      <c r="X676" s="57"/>
      <c r="Y676" s="57"/>
      <c r="Z676" s="57"/>
      <c r="AA676" s="57"/>
      <c r="AB676" s="57"/>
      <c r="AC676" s="57"/>
      <c r="AD676" s="57"/>
      <c r="AR676" s="392">
        <f>SUM(AR675,AS675,AT675,AU675)</f>
        <v>0</v>
      </c>
      <c r="AS676" s="283"/>
      <c r="AT676" s="283"/>
    </row>
    <row r="677" spans="1:50" ht="24" customHeight="1">
      <c r="A677" s="94"/>
      <c r="C677" s="754" t="s">
        <v>2611</v>
      </c>
      <c r="D677" s="754"/>
      <c r="E677" s="754"/>
      <c r="F677" s="754"/>
      <c r="G677" s="754"/>
      <c r="H677" s="754"/>
      <c r="I677" s="754"/>
      <c r="J677" s="754"/>
      <c r="K677" s="754"/>
      <c r="L677" s="754"/>
      <c r="M677" s="754"/>
      <c r="N677" s="754"/>
      <c r="O677" s="754"/>
      <c r="P677" s="754"/>
      <c r="Q677" s="754"/>
      <c r="R677" s="754"/>
      <c r="S677" s="754"/>
      <c r="T677" s="754"/>
      <c r="U677" s="754"/>
      <c r="V677" s="754"/>
      <c r="W677" s="754"/>
      <c r="X677" s="754"/>
      <c r="Y677" s="754"/>
      <c r="Z677" s="754"/>
      <c r="AA677" s="754"/>
      <c r="AB677" s="754"/>
      <c r="AC677" s="754"/>
      <c r="AD677" s="754"/>
      <c r="AI677" s="387" t="s">
        <v>3421</v>
      </c>
      <c r="AJ677" s="283">
        <f>SUM(AH675,AK675,AN675)</f>
        <v>0</v>
      </c>
    </row>
    <row r="678" spans="1:50" ht="60" customHeight="1">
      <c r="A678" s="94"/>
      <c r="C678" s="851"/>
      <c r="D678" s="851"/>
      <c r="E678" s="851"/>
      <c r="F678" s="851"/>
      <c r="G678" s="851"/>
      <c r="H678" s="851"/>
      <c r="I678" s="851"/>
      <c r="J678" s="851"/>
      <c r="K678" s="851"/>
      <c r="L678" s="851"/>
      <c r="M678" s="851"/>
      <c r="N678" s="851"/>
      <c r="O678" s="851"/>
      <c r="P678" s="851"/>
      <c r="Q678" s="851"/>
      <c r="R678" s="851"/>
      <c r="S678" s="851"/>
      <c r="T678" s="851"/>
      <c r="U678" s="851"/>
      <c r="V678" s="851"/>
      <c r="W678" s="851"/>
      <c r="X678" s="851"/>
      <c r="Y678" s="851"/>
      <c r="Z678" s="851"/>
      <c r="AA678" s="851"/>
      <c r="AB678" s="851"/>
      <c r="AC678" s="851"/>
      <c r="AD678" s="851"/>
      <c r="AI678" s="388" t="s">
        <v>3422</v>
      </c>
      <c r="AJ678" s="283">
        <f>SUM(AJ675,AM675,AP675)</f>
        <v>0</v>
      </c>
    </row>
    <row r="679" spans="1:50" ht="15" customHeight="1">
      <c r="A679" s="103"/>
      <c r="B679" s="924" t="str">
        <f>IF(AG675&gt;0,"Favor de ingresar toda la información requerida en la pregunta y/o verifique que no tenga información en celdas sombreadas","")</f>
        <v/>
      </c>
      <c r="C679" s="924"/>
      <c r="D679" s="924"/>
      <c r="E679" s="924"/>
      <c r="F679" s="924"/>
      <c r="G679" s="924"/>
      <c r="H679" s="924"/>
      <c r="I679" s="924"/>
      <c r="J679" s="924"/>
      <c r="K679" s="924"/>
      <c r="L679" s="924"/>
      <c r="M679" s="924"/>
      <c r="N679" s="924"/>
      <c r="O679" s="924"/>
      <c r="P679" s="924"/>
      <c r="Q679" s="924"/>
      <c r="R679" s="924"/>
      <c r="S679" s="924"/>
      <c r="T679" s="924"/>
      <c r="U679" s="924"/>
      <c r="V679" s="924"/>
      <c r="W679" s="924"/>
      <c r="X679" s="924"/>
      <c r="Y679" s="924"/>
      <c r="Z679" s="924"/>
      <c r="AA679" s="924"/>
      <c r="AB679" s="924"/>
      <c r="AC679" s="924"/>
      <c r="AD679" s="924"/>
      <c r="AE679"/>
    </row>
    <row r="680" spans="1:50" ht="15" customHeight="1">
      <c r="A680" s="103"/>
      <c r="B680" s="933" t="str">
        <f>IF(AJ677&gt;0,"Alerta: debido a que cuenta con registros NS, debe proporcionar una justificación en el area de comentarios al final de la pregunta","")</f>
        <v/>
      </c>
      <c r="C680" s="933"/>
      <c r="D680" s="933"/>
      <c r="E680" s="933"/>
      <c r="F680" s="933"/>
      <c r="G680" s="933"/>
      <c r="H680" s="933"/>
      <c r="I680" s="933"/>
      <c r="J680" s="933"/>
      <c r="K680" s="933"/>
      <c r="L680" s="933"/>
      <c r="M680" s="933"/>
      <c r="N680" s="933"/>
      <c r="O680" s="933"/>
      <c r="P680" s="933"/>
      <c r="Q680" s="933"/>
      <c r="R680" s="933"/>
      <c r="S680" s="933"/>
      <c r="T680" s="933"/>
      <c r="U680" s="933"/>
      <c r="V680" s="933"/>
      <c r="W680" s="933"/>
      <c r="X680" s="933"/>
      <c r="Y680" s="933"/>
      <c r="Z680" s="933"/>
      <c r="AA680" s="933"/>
      <c r="AB680" s="933"/>
      <c r="AC680" s="933"/>
      <c r="AD680" s="933"/>
      <c r="AE680"/>
    </row>
    <row r="681" spans="1:50" ht="15" customHeight="1">
      <c r="A681" s="103"/>
      <c r="B681" s="794" t="str">
        <f>IF(AJ678&gt;0,"Favor de revisar la suma y consistencia de totales y/o subtotales por filas (numéricos y NS)","")</f>
        <v/>
      </c>
      <c r="C681" s="794"/>
      <c r="D681" s="794"/>
      <c r="E681" s="794"/>
      <c r="F681" s="794"/>
      <c r="G681" s="794"/>
      <c r="H681" s="794"/>
      <c r="I681" s="794"/>
      <c r="J681" s="794"/>
      <c r="K681" s="794"/>
      <c r="L681" s="794"/>
      <c r="M681" s="794"/>
      <c r="N681" s="794"/>
      <c r="O681" s="794"/>
      <c r="P681" s="794"/>
      <c r="Q681" s="794"/>
      <c r="R681" s="794"/>
      <c r="S681" s="794"/>
      <c r="T681" s="794"/>
      <c r="U681" s="794"/>
      <c r="V681" s="794"/>
      <c r="W681" s="794"/>
      <c r="X681" s="794"/>
      <c r="Y681" s="794"/>
      <c r="Z681" s="794"/>
      <c r="AA681" s="794"/>
      <c r="AB681" s="794"/>
      <c r="AC681" s="794"/>
      <c r="AD681" s="794"/>
      <c r="AE681"/>
    </row>
    <row r="682" spans="1:50" ht="15" customHeight="1">
      <c r="A682" s="103"/>
      <c r="B682" s="924" t="str">
        <f>IF(AR676&gt;0,"Favor de revisar la instrucción 4, debido a que no se cumple con los criterios mencionados","")</f>
        <v/>
      </c>
      <c r="C682" s="924"/>
      <c r="D682" s="924"/>
      <c r="E682" s="924"/>
      <c r="F682" s="924"/>
      <c r="G682" s="924"/>
      <c r="H682" s="924"/>
      <c r="I682" s="924"/>
      <c r="J682" s="924"/>
      <c r="K682" s="924"/>
      <c r="L682" s="924"/>
      <c r="M682" s="924"/>
      <c r="N682" s="924"/>
      <c r="O682" s="924"/>
      <c r="P682" s="924"/>
      <c r="Q682" s="924"/>
      <c r="R682" s="924"/>
      <c r="S682" s="924"/>
      <c r="T682" s="924"/>
      <c r="U682" s="924"/>
      <c r="V682" s="924"/>
      <c r="W682" s="924"/>
      <c r="X682" s="924"/>
      <c r="Y682" s="924"/>
      <c r="Z682" s="924"/>
      <c r="AA682" s="924"/>
      <c r="AB682" s="924"/>
      <c r="AC682" s="924"/>
      <c r="AD682" s="924"/>
      <c r="AE682"/>
    </row>
    <row r="683" spans="1:50" ht="15" customHeight="1">
      <c r="A683" s="103"/>
      <c r="B683" s="794" t="str">
        <f>IF(AX675&gt;0,"No puede ingresar cero en las diferentes acciones y personal debido a que registró el código 1 en la col. ¿Se impartieron acciones...?","")</f>
        <v/>
      </c>
      <c r="C683" s="794"/>
      <c r="D683" s="794"/>
      <c r="E683" s="794"/>
      <c r="F683" s="794"/>
      <c r="G683" s="794"/>
      <c r="H683" s="794"/>
      <c r="I683" s="794"/>
      <c r="J683" s="794"/>
      <c r="K683" s="794"/>
      <c r="L683" s="794"/>
      <c r="M683" s="794"/>
      <c r="N683" s="794"/>
      <c r="O683" s="794"/>
      <c r="P683" s="794"/>
      <c r="Q683" s="794"/>
      <c r="R683" s="794"/>
      <c r="S683" s="794"/>
      <c r="T683" s="794"/>
      <c r="U683" s="794"/>
      <c r="V683" s="794"/>
      <c r="W683" s="794"/>
      <c r="X683" s="794"/>
      <c r="Y683" s="794"/>
      <c r="Z683" s="794"/>
      <c r="AA683" s="794"/>
      <c r="AB683" s="794"/>
      <c r="AC683" s="794"/>
      <c r="AD683" s="794"/>
      <c r="AE683" s="794"/>
    </row>
    <row r="684" spans="1:50" ht="15" customHeight="1">
      <c r="A684" s="103"/>
      <c r="B684" s="395"/>
      <c r="C684" s="395"/>
      <c r="D684" s="395"/>
      <c r="E684" s="395"/>
      <c r="F684" s="395"/>
      <c r="G684" s="395"/>
      <c r="H684" s="395"/>
      <c r="I684" s="395"/>
      <c r="J684" s="395"/>
      <c r="K684" s="395"/>
      <c r="L684" s="395"/>
      <c r="M684" s="395"/>
      <c r="N684" s="395"/>
      <c r="O684" s="395"/>
      <c r="P684" s="395"/>
      <c r="Q684" s="395"/>
      <c r="R684" s="395"/>
      <c r="S684" s="395"/>
      <c r="T684" s="395"/>
      <c r="U684" s="395"/>
      <c r="V684" s="395"/>
      <c r="W684" s="395"/>
      <c r="X684" s="395"/>
      <c r="Y684" s="395"/>
      <c r="Z684" s="395"/>
      <c r="AA684" s="395"/>
      <c r="AB684" s="395"/>
      <c r="AC684" s="395"/>
      <c r="AD684" s="395"/>
      <c r="AE684"/>
    </row>
    <row r="685" spans="1:50" ht="24" customHeight="1">
      <c r="A685" s="49" t="s">
        <v>3423</v>
      </c>
      <c r="B685" s="960" t="s">
        <v>3424</v>
      </c>
      <c r="C685" s="960"/>
      <c r="D685" s="960"/>
      <c r="E685" s="960"/>
      <c r="F685" s="960"/>
      <c r="G685" s="960"/>
      <c r="H685" s="960"/>
      <c r="I685" s="960"/>
      <c r="J685" s="960"/>
      <c r="K685" s="960"/>
      <c r="L685" s="960"/>
      <c r="M685" s="960"/>
      <c r="N685" s="960"/>
      <c r="O685" s="960"/>
      <c r="P685" s="960"/>
      <c r="Q685" s="960"/>
      <c r="R685" s="960"/>
      <c r="S685" s="960"/>
      <c r="T685" s="960"/>
      <c r="U685" s="960"/>
      <c r="V685" s="960"/>
      <c r="W685" s="960"/>
      <c r="X685" s="960"/>
      <c r="Y685" s="960"/>
      <c r="Z685" s="960"/>
      <c r="AA685" s="960"/>
      <c r="AB685" s="960"/>
      <c r="AC685" s="960"/>
      <c r="AD685" s="960"/>
    </row>
    <row r="686" spans="1:50" ht="24" customHeight="1">
      <c r="A686" s="49"/>
      <c r="B686" s="105"/>
      <c r="C686" s="830" t="s">
        <v>3425</v>
      </c>
      <c r="D686" s="830"/>
      <c r="E686" s="830"/>
      <c r="F686" s="830"/>
      <c r="G686" s="830"/>
      <c r="H686" s="830"/>
      <c r="I686" s="830"/>
      <c r="J686" s="830"/>
      <c r="K686" s="830"/>
      <c r="L686" s="830"/>
      <c r="M686" s="830"/>
      <c r="N686" s="830"/>
      <c r="O686" s="830"/>
      <c r="P686" s="830"/>
      <c r="Q686" s="830"/>
      <c r="R686" s="830"/>
      <c r="S686" s="830"/>
      <c r="T686" s="830"/>
      <c r="U686" s="830"/>
      <c r="V686" s="830"/>
      <c r="W686" s="830"/>
      <c r="X686" s="830"/>
      <c r="Y686" s="830"/>
      <c r="Z686" s="830"/>
      <c r="AA686" s="830"/>
      <c r="AB686" s="830"/>
      <c r="AC686" s="830"/>
      <c r="AD686" s="830"/>
    </row>
    <row r="687" spans="1:50" ht="24" customHeight="1">
      <c r="A687" s="50"/>
      <c r="B687" s="57"/>
      <c r="C687" s="830" t="s">
        <v>3426</v>
      </c>
      <c r="D687" s="830"/>
      <c r="E687" s="830"/>
      <c r="F687" s="830"/>
      <c r="G687" s="830"/>
      <c r="H687" s="830"/>
      <c r="I687" s="830"/>
      <c r="J687" s="830"/>
      <c r="K687" s="830"/>
      <c r="L687" s="830"/>
      <c r="M687" s="830"/>
      <c r="N687" s="830"/>
      <c r="O687" s="830"/>
      <c r="P687" s="830"/>
      <c r="Q687" s="830"/>
      <c r="R687" s="830"/>
      <c r="S687" s="830"/>
      <c r="T687" s="830"/>
      <c r="U687" s="830"/>
      <c r="V687" s="830"/>
      <c r="W687" s="830"/>
      <c r="X687" s="830"/>
      <c r="Y687" s="830"/>
      <c r="Z687" s="830"/>
      <c r="AA687" s="830"/>
      <c r="AB687" s="830"/>
      <c r="AC687" s="830"/>
      <c r="AD687" s="830"/>
    </row>
    <row r="688" spans="1:50" ht="36" customHeight="1">
      <c r="A688" s="50"/>
      <c r="B688" s="57"/>
      <c r="C688" s="830" t="s">
        <v>3427</v>
      </c>
      <c r="D688" s="830"/>
      <c r="E688" s="830"/>
      <c r="F688" s="830"/>
      <c r="G688" s="830"/>
      <c r="H688" s="830"/>
      <c r="I688" s="830"/>
      <c r="J688" s="830"/>
      <c r="K688" s="830"/>
      <c r="L688" s="830"/>
      <c r="M688" s="830"/>
      <c r="N688" s="830"/>
      <c r="O688" s="830"/>
      <c r="P688" s="830"/>
      <c r="Q688" s="830"/>
      <c r="R688" s="830"/>
      <c r="S688" s="830"/>
      <c r="T688" s="830"/>
      <c r="U688" s="830"/>
      <c r="V688" s="830"/>
      <c r="W688" s="830"/>
      <c r="X688" s="830"/>
      <c r="Y688" s="830"/>
      <c r="Z688" s="830"/>
      <c r="AA688" s="830"/>
      <c r="AB688" s="830"/>
      <c r="AC688" s="830"/>
      <c r="AD688" s="830"/>
    </row>
    <row r="689" spans="1:52" ht="36" customHeight="1">
      <c r="A689" s="115"/>
      <c r="C689" s="754" t="s">
        <v>3428</v>
      </c>
      <c r="D689" s="754"/>
      <c r="E689" s="754"/>
      <c r="F689" s="754"/>
      <c r="G689" s="754"/>
      <c r="H689" s="754"/>
      <c r="I689" s="754"/>
      <c r="J689" s="754"/>
      <c r="K689" s="754"/>
      <c r="L689" s="754"/>
      <c r="M689" s="754"/>
      <c r="N689" s="754"/>
      <c r="O689" s="754"/>
      <c r="P689" s="754"/>
      <c r="Q689" s="754"/>
      <c r="R689" s="754"/>
      <c r="S689" s="754"/>
      <c r="T689" s="754"/>
      <c r="U689" s="754"/>
      <c r="V689" s="754"/>
      <c r="W689" s="754"/>
      <c r="X689" s="754"/>
      <c r="Y689" s="754"/>
      <c r="Z689" s="754"/>
      <c r="AA689" s="754"/>
      <c r="AB689" s="754"/>
      <c r="AC689" s="754"/>
      <c r="AD689" s="754"/>
    </row>
    <row r="690" spans="1:52" ht="36" customHeight="1">
      <c r="A690" s="50"/>
      <c r="B690" s="57"/>
      <c r="C690" s="830" t="s">
        <v>3429</v>
      </c>
      <c r="D690" s="830"/>
      <c r="E690" s="830"/>
      <c r="F690" s="830"/>
      <c r="G690" s="830"/>
      <c r="H690" s="830"/>
      <c r="I690" s="830"/>
      <c r="J690" s="830"/>
      <c r="K690" s="830"/>
      <c r="L690" s="830"/>
      <c r="M690" s="830"/>
      <c r="N690" s="830"/>
      <c r="O690" s="830"/>
      <c r="P690" s="830"/>
      <c r="Q690" s="830"/>
      <c r="R690" s="830"/>
      <c r="S690" s="830"/>
      <c r="T690" s="830"/>
      <c r="U690" s="830"/>
      <c r="V690" s="830"/>
      <c r="W690" s="830"/>
      <c r="X690" s="830"/>
      <c r="Y690" s="830"/>
      <c r="Z690" s="830"/>
      <c r="AA690" s="830"/>
      <c r="AB690" s="830"/>
      <c r="AC690" s="830"/>
      <c r="AD690" s="830"/>
    </row>
    <row r="691" spans="1:52" ht="36" customHeight="1">
      <c r="A691" s="115"/>
      <c r="C691" s="754" t="s">
        <v>3430</v>
      </c>
      <c r="D691" s="754"/>
      <c r="E691" s="754"/>
      <c r="F691" s="754"/>
      <c r="G691" s="754"/>
      <c r="H691" s="754"/>
      <c r="I691" s="754"/>
      <c r="J691" s="754"/>
      <c r="K691" s="754"/>
      <c r="L691" s="754"/>
      <c r="M691" s="754"/>
      <c r="N691" s="754"/>
      <c r="O691" s="754"/>
      <c r="P691" s="754"/>
      <c r="Q691" s="754"/>
      <c r="R691" s="754"/>
      <c r="S691" s="754"/>
      <c r="T691" s="754"/>
      <c r="U691" s="754"/>
      <c r="V691" s="754"/>
      <c r="W691" s="754"/>
      <c r="X691" s="754"/>
      <c r="Y691" s="754"/>
      <c r="Z691" s="754"/>
      <c r="AA691" s="754"/>
      <c r="AB691" s="754"/>
      <c r="AC691" s="754"/>
      <c r="AD691" s="754"/>
    </row>
    <row r="692" spans="1:52" ht="24" customHeight="1">
      <c r="A692" s="115"/>
      <c r="C692" s="754" t="s">
        <v>3431</v>
      </c>
      <c r="D692" s="754"/>
      <c r="E692" s="754"/>
      <c r="F692" s="754"/>
      <c r="G692" s="754"/>
      <c r="H692" s="754"/>
      <c r="I692" s="754"/>
      <c r="J692" s="754"/>
      <c r="K692" s="754"/>
      <c r="L692" s="754"/>
      <c r="M692" s="754"/>
      <c r="N692" s="754"/>
      <c r="O692" s="754"/>
      <c r="P692" s="754"/>
      <c r="Q692" s="754"/>
      <c r="R692" s="754"/>
      <c r="S692" s="754"/>
      <c r="T692" s="754"/>
      <c r="U692" s="754"/>
      <c r="V692" s="754"/>
      <c r="W692" s="754"/>
      <c r="X692" s="754"/>
      <c r="Y692" s="754"/>
      <c r="Z692" s="754"/>
      <c r="AA692" s="754"/>
      <c r="AB692" s="754"/>
      <c r="AC692" s="754"/>
      <c r="AD692" s="754"/>
    </row>
    <row r="693" spans="1:52" ht="36" customHeight="1">
      <c r="A693" s="115"/>
      <c r="C693" s="830" t="s">
        <v>3432</v>
      </c>
      <c r="D693" s="830"/>
      <c r="E693" s="830"/>
      <c r="F693" s="830"/>
      <c r="G693" s="830"/>
      <c r="H693" s="830"/>
      <c r="I693" s="830"/>
      <c r="J693" s="830"/>
      <c r="K693" s="830"/>
      <c r="L693" s="830"/>
      <c r="M693" s="830"/>
      <c r="N693" s="830"/>
      <c r="O693" s="830"/>
      <c r="P693" s="830"/>
      <c r="Q693" s="830"/>
      <c r="R693" s="830"/>
      <c r="S693" s="830"/>
      <c r="T693" s="830"/>
      <c r="U693" s="830"/>
      <c r="V693" s="830"/>
      <c r="W693" s="830"/>
      <c r="X693" s="830"/>
      <c r="Y693" s="830"/>
      <c r="Z693" s="830"/>
      <c r="AA693" s="830"/>
      <c r="AB693" s="830"/>
      <c r="AC693" s="830"/>
      <c r="AD693" s="830"/>
    </row>
    <row r="694" spans="1:52" ht="48" customHeight="1">
      <c r="A694" s="50"/>
      <c r="B694" s="57"/>
      <c r="C694" s="830" t="s">
        <v>3433</v>
      </c>
      <c r="D694" s="830"/>
      <c r="E694" s="830"/>
      <c r="F694" s="830"/>
      <c r="G694" s="830"/>
      <c r="H694" s="830"/>
      <c r="I694" s="830"/>
      <c r="J694" s="830"/>
      <c r="K694" s="830"/>
      <c r="L694" s="830"/>
      <c r="M694" s="830"/>
      <c r="N694" s="830"/>
      <c r="O694" s="830"/>
      <c r="P694" s="830"/>
      <c r="Q694" s="830"/>
      <c r="R694" s="830"/>
      <c r="S694" s="830"/>
      <c r="T694" s="830"/>
      <c r="U694" s="830"/>
      <c r="V694" s="830"/>
      <c r="W694" s="830"/>
      <c r="X694" s="830"/>
      <c r="Y694" s="830"/>
      <c r="Z694" s="830"/>
      <c r="AA694" s="830"/>
      <c r="AB694" s="830"/>
      <c r="AC694" s="830"/>
      <c r="AD694" s="830"/>
    </row>
    <row r="695" spans="1:52" ht="48" customHeight="1">
      <c r="A695" s="115"/>
      <c r="C695" s="830" t="s">
        <v>3434</v>
      </c>
      <c r="D695" s="830"/>
      <c r="E695" s="830"/>
      <c r="F695" s="830"/>
      <c r="G695" s="830"/>
      <c r="H695" s="830"/>
      <c r="I695" s="830"/>
      <c r="J695" s="830"/>
      <c r="K695" s="830"/>
      <c r="L695" s="830"/>
      <c r="M695" s="830"/>
      <c r="N695" s="830"/>
      <c r="O695" s="830"/>
      <c r="P695" s="830"/>
      <c r="Q695" s="830"/>
      <c r="R695" s="830"/>
      <c r="S695" s="830"/>
      <c r="T695" s="830"/>
      <c r="U695" s="830"/>
      <c r="V695" s="830"/>
      <c r="W695" s="830"/>
      <c r="X695" s="830"/>
      <c r="Y695" s="830"/>
      <c r="Z695" s="830"/>
      <c r="AA695" s="830"/>
      <c r="AB695" s="830"/>
      <c r="AC695" s="830"/>
      <c r="AD695" s="830"/>
      <c r="AG695"/>
      <c r="AH695"/>
      <c r="AI695"/>
      <c r="AJ695"/>
      <c r="AK695" s="925" t="s">
        <v>3435</v>
      </c>
      <c r="AL695" s="926" t="s">
        <v>3436</v>
      </c>
      <c r="AM695" s="927" t="s">
        <v>3437</v>
      </c>
      <c r="AN695" s="928" t="s">
        <v>3438</v>
      </c>
      <c r="AO695"/>
      <c r="AP695"/>
      <c r="AQ695"/>
      <c r="AR695"/>
      <c r="AS695"/>
      <c r="AT695"/>
      <c r="AU695"/>
      <c r="AV695"/>
      <c r="AW695"/>
      <c r="AX695"/>
      <c r="AY695"/>
      <c r="AZ695"/>
    </row>
    <row r="696" spans="1:52" ht="24" customHeight="1">
      <c r="A696" s="50"/>
      <c r="B696" s="57"/>
      <c r="C696" s="754" t="s">
        <v>3439</v>
      </c>
      <c r="D696" s="754"/>
      <c r="E696" s="754"/>
      <c r="F696" s="754"/>
      <c r="G696" s="754"/>
      <c r="H696" s="754"/>
      <c r="I696" s="754"/>
      <c r="J696" s="754"/>
      <c r="K696" s="754"/>
      <c r="L696" s="754"/>
      <c r="M696" s="754"/>
      <c r="N696" s="754"/>
      <c r="O696" s="754"/>
      <c r="P696" s="754"/>
      <c r="Q696" s="754"/>
      <c r="R696" s="754"/>
      <c r="S696" s="754"/>
      <c r="T696" s="754"/>
      <c r="U696" s="754"/>
      <c r="V696" s="754"/>
      <c r="W696" s="754"/>
      <c r="X696" s="754"/>
      <c r="Y696" s="754"/>
      <c r="Z696" s="754"/>
      <c r="AA696" s="754"/>
      <c r="AB696" s="754"/>
      <c r="AC696" s="754"/>
      <c r="AD696" s="754"/>
      <c r="AG696"/>
      <c r="AH696"/>
      <c r="AI696"/>
      <c r="AJ696"/>
      <c r="AK696" s="925"/>
      <c r="AL696" s="926"/>
      <c r="AM696" s="927"/>
      <c r="AN696" s="928"/>
      <c r="AO696" s="929" t="s">
        <v>3440</v>
      </c>
      <c r="AP696"/>
      <c r="AQ696"/>
      <c r="AR696"/>
      <c r="AS696"/>
      <c r="AT696"/>
      <c r="AU696"/>
      <c r="AV696"/>
      <c r="AW696"/>
      <c r="AX696"/>
      <c r="AY696"/>
      <c r="AZ696"/>
    </row>
    <row r="697" spans="1:52" ht="15" customHeight="1">
      <c r="A697" s="103"/>
      <c r="B697" s="57"/>
      <c r="C697" s="77"/>
      <c r="D697" s="77"/>
      <c r="E697" s="77"/>
      <c r="F697" s="77"/>
      <c r="G697" s="77"/>
      <c r="H697" s="77"/>
      <c r="I697" s="77"/>
      <c r="J697" s="77"/>
      <c r="K697" s="77"/>
      <c r="L697" s="77"/>
      <c r="M697" s="77"/>
      <c r="N697" s="77"/>
      <c r="O697" s="77"/>
      <c r="P697" s="77"/>
      <c r="Q697" s="77"/>
      <c r="R697" s="77"/>
      <c r="S697" s="77"/>
      <c r="T697" s="77"/>
      <c r="U697" s="77"/>
      <c r="V697" s="77"/>
      <c r="W697" s="77"/>
      <c r="X697" s="77"/>
      <c r="Y697" s="77"/>
      <c r="Z697" s="77"/>
      <c r="AA697" s="77"/>
      <c r="AB697" s="77"/>
      <c r="AC697" s="77"/>
      <c r="AD697" s="77"/>
      <c r="AG697"/>
      <c r="AH697"/>
      <c r="AI697"/>
      <c r="AJ697"/>
      <c r="AK697" s="925"/>
      <c r="AL697" s="926"/>
      <c r="AM697" s="927"/>
      <c r="AN697" s="928"/>
      <c r="AO697" s="929"/>
      <c r="AP697" s="930" t="s">
        <v>3441</v>
      </c>
      <c r="AQ697" s="930"/>
      <c r="AR697" s="930"/>
      <c r="AS697" s="931" t="s">
        <v>3441</v>
      </c>
      <c r="AT697" s="931"/>
      <c r="AU697" s="931"/>
      <c r="AV697"/>
      <c r="AW697"/>
      <c r="AX697"/>
      <c r="AY697"/>
      <c r="AZ697"/>
    </row>
    <row r="698" spans="1:52" ht="36" customHeight="1">
      <c r="A698" s="148"/>
      <c r="C698" s="968" t="s">
        <v>3442</v>
      </c>
      <c r="D698" s="969"/>
      <c r="E698" s="969"/>
      <c r="F698" s="969"/>
      <c r="G698" s="969"/>
      <c r="H698" s="969"/>
      <c r="I698" s="969"/>
      <c r="J698" s="969"/>
      <c r="K698" s="969"/>
      <c r="L698" s="970"/>
      <c r="M698" s="732" t="s">
        <v>3443</v>
      </c>
      <c r="N698" s="732"/>
      <c r="O698" s="732"/>
      <c r="P698" s="732" t="s">
        <v>3444</v>
      </c>
      <c r="Q698" s="732"/>
      <c r="R698" s="732"/>
      <c r="S698" s="732" t="s">
        <v>3445</v>
      </c>
      <c r="T698" s="732"/>
      <c r="U698" s="732"/>
      <c r="V698" s="732" t="s">
        <v>3408</v>
      </c>
      <c r="W698" s="732"/>
      <c r="X698" s="732"/>
      <c r="Y698" s="732"/>
      <c r="Z698" s="732"/>
      <c r="AA698" s="732"/>
      <c r="AB698" s="732"/>
      <c r="AC698" s="732"/>
      <c r="AD698" s="732"/>
      <c r="AG698"/>
      <c r="AH698"/>
      <c r="AI698"/>
      <c r="AJ698"/>
      <c r="AK698" s="925"/>
      <c r="AL698" s="926"/>
      <c r="AM698" s="927"/>
      <c r="AN698" s="928"/>
      <c r="AO698" s="929"/>
      <c r="AP698" s="930"/>
      <c r="AQ698" s="930"/>
      <c r="AR698" s="930"/>
      <c r="AS698" s="931"/>
      <c r="AT698" s="931"/>
      <c r="AU698" s="931"/>
      <c r="AV698"/>
      <c r="AW698"/>
      <c r="AX698"/>
      <c r="AY698"/>
      <c r="AZ698" s="932" t="s">
        <v>3446</v>
      </c>
    </row>
    <row r="699" spans="1:52" ht="15" customHeight="1">
      <c r="A699" s="148"/>
      <c r="C699" s="971"/>
      <c r="D699" s="972"/>
      <c r="E699" s="972"/>
      <c r="F699" s="972"/>
      <c r="G699" s="972"/>
      <c r="H699" s="972"/>
      <c r="I699" s="972"/>
      <c r="J699" s="972"/>
      <c r="K699" s="972"/>
      <c r="L699" s="973"/>
      <c r="M699" s="732"/>
      <c r="N699" s="732"/>
      <c r="O699" s="732"/>
      <c r="P699" s="732"/>
      <c r="Q699" s="732"/>
      <c r="R699" s="732"/>
      <c r="S699" s="732"/>
      <c r="T699" s="732"/>
      <c r="U699" s="732"/>
      <c r="V699" s="732" t="s">
        <v>2628</v>
      </c>
      <c r="W699" s="732"/>
      <c r="X699" s="732"/>
      <c r="Y699" s="736" t="s">
        <v>2629</v>
      </c>
      <c r="Z699" s="736"/>
      <c r="AA699" s="736"/>
      <c r="AB699" s="736" t="s">
        <v>2630</v>
      </c>
      <c r="AC699" s="736"/>
      <c r="AD699" s="736"/>
      <c r="AG699" s="354" t="s">
        <v>2586</v>
      </c>
      <c r="AH699" s="350" t="s">
        <v>2590</v>
      </c>
      <c r="AI699" s="351" t="s">
        <v>3163</v>
      </c>
      <c r="AJ699" s="352" t="s">
        <v>3164</v>
      </c>
      <c r="AK699" s="925"/>
      <c r="AL699" s="926"/>
      <c r="AM699" s="927"/>
      <c r="AN699" s="928"/>
      <c r="AO699" s="929"/>
      <c r="AP699" s="396" t="s">
        <v>2795</v>
      </c>
      <c r="AQ699" s="397" t="s">
        <v>3447</v>
      </c>
      <c r="AR699" s="398" t="s">
        <v>3178</v>
      </c>
      <c r="AS699" s="399" t="s">
        <v>2795</v>
      </c>
      <c r="AT699" s="400" t="s">
        <v>3177</v>
      </c>
      <c r="AU699" s="401" t="s">
        <v>3178</v>
      </c>
      <c r="AV699" s="402" t="s">
        <v>3448</v>
      </c>
      <c r="AW699" s="403" t="s">
        <v>2590</v>
      </c>
      <c r="AX699" s="365" t="s">
        <v>2620</v>
      </c>
      <c r="AY699" s="404" t="s">
        <v>3449</v>
      </c>
      <c r="AZ699" s="932"/>
    </row>
    <row r="700" spans="1:52" ht="24" customHeight="1">
      <c r="A700" s="131"/>
      <c r="B700" s="84"/>
      <c r="C700" s="97" t="s">
        <v>2516</v>
      </c>
      <c r="D700" s="813" t="s">
        <v>3450</v>
      </c>
      <c r="E700" s="814"/>
      <c r="F700" s="814"/>
      <c r="G700" s="814"/>
      <c r="H700" s="814"/>
      <c r="I700" s="814"/>
      <c r="J700" s="814"/>
      <c r="K700" s="814"/>
      <c r="L700" s="815"/>
      <c r="M700" s="816"/>
      <c r="N700" s="738"/>
      <c r="O700" s="817"/>
      <c r="P700" s="816"/>
      <c r="Q700" s="738"/>
      <c r="R700" s="817"/>
      <c r="S700" s="816"/>
      <c r="T700" s="738"/>
      <c r="U700" s="817"/>
      <c r="V700" s="816"/>
      <c r="W700" s="738"/>
      <c r="X700" s="817"/>
      <c r="Y700" s="816"/>
      <c r="Z700" s="738"/>
      <c r="AA700" s="817"/>
      <c r="AB700" s="816"/>
      <c r="AC700" s="738"/>
      <c r="AD700" s="817"/>
      <c r="AG700" s="353">
        <f t="shared" ref="AG700:AG710" si="662">IF(AND($C$675&lt;&gt;1,COUNTA(M700:AD700)=0),0,IF(AND($C$675=1,$M700="X",COUNTA(P700:AD700)=0),0,IF(AND($C$675=1,$M700="",SUM(S700)=0,COUNTA(P700:AD700)=2),0,IF(AND($C$675=1,$M700="",SUM(S700)&gt;0,COUNTA(P700:AD700)=5),0,1))))</f>
        <v>0</v>
      </c>
      <c r="AH700" s="326">
        <f>COUNTIF(Y700:AD700,"NS")</f>
        <v>0</v>
      </c>
      <c r="AI700" s="326">
        <f>SUM(Y700:AD700)</f>
        <v>0</v>
      </c>
      <c r="AJ700" s="326">
        <f>IF(COUNTIF(V700:AD700,"NA")=3,0,IF(OR(AND(V700=0,AH700&gt;0),AND(V700="ns",AI700&gt;0),AND(V700="ns",AH700=0,AI700=0)),1,IF(OR(AND(V700&gt;0,AH700=2),AND(V700="ns",AH700=2),AND(V700="ns",AI700=0,AH700&gt;0),V700=AI700),0,1)))</f>
        <v>0</v>
      </c>
      <c r="AK700" s="353">
        <f>IF(OR(P711="NS",$I$675="NS"),0,IF(AND(P711="NA",$I$675="NA"),0,IF(P711&gt;=$I$675,0,1)))</f>
        <v>0</v>
      </c>
      <c r="AL700" s="353">
        <f>IF(OR(P700="NS",$I$675="NS"),0,IF(AND(P700="NA",$I$675="NA"),0,IF(P700&lt;=$I$675,0,1)))</f>
        <v>0</v>
      </c>
      <c r="AM700" s="353">
        <f>IF(OR(S711="NS",Q675="NS"),0,IF(AND(S711="NA",Q675="NA"),0,IF(S711&gt;=Q675,0,1)))</f>
        <v>0</v>
      </c>
      <c r="AN700" s="353">
        <f>IF(OR(S700="NS",$Q$675="NS"),0,IF(AND(S700="NA",$Q$675="NA"),0,IF(S700&lt;=$Q$675,0,1)))</f>
        <v>0</v>
      </c>
      <c r="AO700" s="353">
        <f>IF(OR(S700="NS",P700="NS"),0,IF(AND(S700="NA",P700="NA"),0,IF(S700&lt;=P700,0,1)))</f>
        <v>0</v>
      </c>
      <c r="AP700" s="353">
        <f>IF(OR(V711="NS",Y675="NS"),0,IF(AND(V711="NA",Y675="NA"),0,IF(V711&gt;=Y675,0,1)))</f>
        <v>0</v>
      </c>
      <c r="AQ700" s="353">
        <f>IF(OR(Y711="NS",AA675="NS"),0,IF(AND(Y711="NA",AA675="NA"),0,IF(Y711&gt;=AA675,0,1)))</f>
        <v>0</v>
      </c>
      <c r="AR700" s="353">
        <f>IF(OR(AB711="NS",AC675="NS"),0,IF(AND(AB711="NA",AC675="NA"),0,IF(AB711&gt;=AC675,0,1)))</f>
        <v>0</v>
      </c>
      <c r="AS700" s="353">
        <f t="shared" ref="AS700:AS710" si="663">IF(OR(V700="NS",$Y$675="NS"),0,IF(AND(V700="NA",$Y$675="NA"),0,IF(V700&lt;=$Y$675,0,1)))</f>
        <v>0</v>
      </c>
      <c r="AT700" s="353">
        <f>IF(OR(Y700="NS",$AA$675="NS"),0,IF(AND(Y700="NA",$AA$675="NA"),0,IF(Y700&lt;=$AA$675,0,1)))</f>
        <v>0</v>
      </c>
      <c r="AU700" s="353">
        <f>IF(OR(AB700="NS",$AC$675="NS"),0,IF(AND(AB700="NA",$AC$675="NA"),0,IF(AB700&lt;=$AC$675,0,1)))</f>
        <v>0</v>
      </c>
      <c r="AV700" s="353">
        <f>IF(SUM(P710:AD710)&gt;0,1,0)</f>
        <v>0</v>
      </c>
      <c r="AW700" s="353">
        <f>COUNTIF(P700:U700,"NS")</f>
        <v>0</v>
      </c>
      <c r="AX700" s="342">
        <f>IF(AND($C$675&lt;&gt;"",$C$675&lt;&gt;1,COUNTA(M700:AD710)&gt;0),1,0)</f>
        <v>0</v>
      </c>
      <c r="AY700">
        <f>IF(AND($M700="X",COUNTA(P700:AD700)&gt;0),1,0)</f>
        <v>0</v>
      </c>
      <c r="AZ700">
        <f>IF(AND(SUM(S700)=0,COUNTA(V700:AD700)&gt;0),1,0)</f>
        <v>0</v>
      </c>
    </row>
    <row r="701" spans="1:52" ht="36" customHeight="1">
      <c r="A701" s="131"/>
      <c r="B701" s="51"/>
      <c r="C701" s="98" t="s">
        <v>2517</v>
      </c>
      <c r="D701" s="961" t="s">
        <v>3451</v>
      </c>
      <c r="E701" s="814"/>
      <c r="F701" s="814"/>
      <c r="G701" s="814"/>
      <c r="H701" s="814"/>
      <c r="I701" s="814"/>
      <c r="J701" s="814"/>
      <c r="K701" s="814"/>
      <c r="L701" s="815"/>
      <c r="M701" s="816"/>
      <c r="N701" s="738"/>
      <c r="O701" s="817"/>
      <c r="P701" s="816"/>
      <c r="Q701" s="738"/>
      <c r="R701" s="817"/>
      <c r="S701" s="816"/>
      <c r="T701" s="738"/>
      <c r="U701" s="817"/>
      <c r="V701" s="816"/>
      <c r="W701" s="738"/>
      <c r="X701" s="817"/>
      <c r="Y701" s="816"/>
      <c r="Z701" s="738"/>
      <c r="AA701" s="817"/>
      <c r="AB701" s="816"/>
      <c r="AC701" s="738"/>
      <c r="AD701" s="817"/>
      <c r="AG701" s="353">
        <f t="shared" si="662"/>
        <v>0</v>
      </c>
      <c r="AH701" s="326">
        <f>COUNTIF(Y701:AD701,"NS")</f>
        <v>0</v>
      </c>
      <c r="AI701" s="326">
        <f>SUM(Y701:AD701)</f>
        <v>0</v>
      </c>
      <c r="AJ701" s="326">
        <f>IF(COUNTIF(V701:AD701,"NA")=3,0,IF(OR(AND(V701=0,AH701&gt;0),AND(V701="ns",AI701&gt;0),AND(V701="ns",AH701=0,AI701=0)),1,IF(OR(AND(V701&gt;0,AH701=2),AND(V701="ns",AH701=2),AND(V701="ns",AI701=0,AH701&gt;0),V701=AI701),0,1)))</f>
        <v>0</v>
      </c>
      <c r="AK701"/>
      <c r="AL701" s="353">
        <f t="shared" ref="AL701:AL709" si="664">IF(OR(P701="NS",$I$675="NS"),0,IF(AND(P701="NA",$I$675="NA"),0,IF(P701&lt;=$I$675,0,1)))</f>
        <v>0</v>
      </c>
      <c r="AM701"/>
      <c r="AN701" s="353">
        <f t="shared" ref="AN701:AN710" si="665">IF(OR(S701="NS",$Q$675="NS"),0,IF(AND(S701="NA",$Q$675="NA"),0,IF(S701&lt;=$Q$675,0,1)))</f>
        <v>0</v>
      </c>
      <c r="AO701" s="353">
        <f t="shared" ref="AO701:AO709" si="666">IF(OR(S701="NS",P701="NS"),0,IF(AND(S701="NA",P701="NA"),0,IF(S701&lt;=P701,0,1)))</f>
        <v>0</v>
      </c>
      <c r="AP701"/>
      <c r="AQ701"/>
      <c r="AR701" s="405">
        <f>SUM(AP700:AR700)</f>
        <v>0</v>
      </c>
      <c r="AS701" s="353">
        <f t="shared" si="663"/>
        <v>0</v>
      </c>
      <c r="AT701" s="353">
        <f t="shared" ref="AT701:AT710" si="667">IF(OR(Y701="NS",$AA$675="NS"),0,IF(AND(Y701="NA",$AA$675="NA"),0,IF(Y701&lt;=$AA$675,0,1)))</f>
        <v>0</v>
      </c>
      <c r="AU701" s="353">
        <f t="shared" ref="AU701:AU710" si="668">IF(OR(AB701="NS",$AC$675="NS"),0,IF(AND(AB701="NA",$AC$675="NA"),0,IF(AB701&lt;=$AC$675,0,1)))</f>
        <v>0</v>
      </c>
      <c r="AV701"/>
      <c r="AW701" s="353">
        <f t="shared" ref="AW701:AW710" si="669">COUNTIF(P701:U701,"NS")</f>
        <v>0</v>
      </c>
      <c r="AX701"/>
      <c r="AY701">
        <f t="shared" ref="AY701:AY709" si="670">IF(AND($M701="X",COUNTA(P701:AD701)&gt;0),1,0)</f>
        <v>0</v>
      </c>
      <c r="AZ701">
        <f t="shared" ref="AZ701:AZ710" si="671">IF(AND(SUM(S701)=0,COUNTA(V701:AD701)&gt;0),1,0)</f>
        <v>0</v>
      </c>
    </row>
    <row r="702" spans="1:52" ht="36" customHeight="1">
      <c r="A702" s="131"/>
      <c r="B702" s="51"/>
      <c r="C702" s="143" t="s">
        <v>2518</v>
      </c>
      <c r="D702" s="961" t="s">
        <v>3452</v>
      </c>
      <c r="E702" s="814"/>
      <c r="F702" s="814"/>
      <c r="G702" s="814"/>
      <c r="H702" s="814"/>
      <c r="I702" s="814"/>
      <c r="J702" s="814"/>
      <c r="K702" s="814"/>
      <c r="L702" s="815"/>
      <c r="M702" s="816"/>
      <c r="N702" s="738"/>
      <c r="O702" s="817"/>
      <c r="P702" s="816"/>
      <c r="Q702" s="738"/>
      <c r="R702" s="817"/>
      <c r="S702" s="816"/>
      <c r="T702" s="738"/>
      <c r="U702" s="817"/>
      <c r="V702" s="816"/>
      <c r="W702" s="738"/>
      <c r="X702" s="817"/>
      <c r="Y702" s="816"/>
      <c r="Z702" s="738"/>
      <c r="AA702" s="817"/>
      <c r="AB702" s="816"/>
      <c r="AC702" s="738"/>
      <c r="AD702" s="817"/>
      <c r="AG702" s="353">
        <f t="shared" si="662"/>
        <v>0</v>
      </c>
      <c r="AH702" s="326">
        <f t="shared" ref="AH702:AH710" si="672">COUNTIF(Y702:AD702,"NS")</f>
        <v>0</v>
      </c>
      <c r="AI702" s="326">
        <f t="shared" ref="AI702:AI710" si="673">SUM(Y702:AD702)</f>
        <v>0</v>
      </c>
      <c r="AJ702" s="326">
        <f t="shared" ref="AJ702:AJ710" si="674">IF(COUNTIF(V702:AD702,"NA")=3,0,IF(OR(AND(V702=0,AH702&gt;0),AND(V702="ns",AI702&gt;0),AND(V702="ns",AH702=0,AI702=0)),1,IF(OR(AND(V702&gt;0,AH702=2),AND(V702="ns",AH702=2),AND(V702="ns",AI702=0,AH702&gt;0),V702=AI702),0,1)))</f>
        <v>0</v>
      </c>
      <c r="AL702" s="353">
        <f t="shared" si="664"/>
        <v>0</v>
      </c>
      <c r="AN702" s="353">
        <f t="shared" si="665"/>
        <v>0</v>
      </c>
      <c r="AO702" s="353">
        <f t="shared" si="666"/>
        <v>0</v>
      </c>
      <c r="AS702" s="353">
        <f t="shared" si="663"/>
        <v>0</v>
      </c>
      <c r="AT702" s="353">
        <f t="shared" si="667"/>
        <v>0</v>
      </c>
      <c r="AU702" s="353">
        <f t="shared" si="668"/>
        <v>0</v>
      </c>
      <c r="AW702" s="353">
        <f t="shared" si="669"/>
        <v>0</v>
      </c>
      <c r="AY702">
        <f t="shared" si="670"/>
        <v>0</v>
      </c>
      <c r="AZ702">
        <f t="shared" si="671"/>
        <v>0</v>
      </c>
    </row>
    <row r="703" spans="1:52" ht="15" customHeight="1">
      <c r="A703" s="131"/>
      <c r="B703" s="51"/>
      <c r="C703" s="143" t="s">
        <v>2519</v>
      </c>
      <c r="D703" s="961" t="s">
        <v>3453</v>
      </c>
      <c r="E703" s="814"/>
      <c r="F703" s="814"/>
      <c r="G703" s="814"/>
      <c r="H703" s="814"/>
      <c r="I703" s="814"/>
      <c r="J703" s="814"/>
      <c r="K703" s="814"/>
      <c r="L703" s="815"/>
      <c r="M703" s="816"/>
      <c r="N703" s="738"/>
      <c r="O703" s="817"/>
      <c r="P703" s="816"/>
      <c r="Q703" s="738"/>
      <c r="R703" s="817"/>
      <c r="S703" s="816"/>
      <c r="T703" s="738"/>
      <c r="U703" s="817"/>
      <c r="V703" s="816"/>
      <c r="W703" s="738"/>
      <c r="X703" s="817"/>
      <c r="Y703" s="816"/>
      <c r="Z703" s="738"/>
      <c r="AA703" s="817"/>
      <c r="AB703" s="816"/>
      <c r="AC703" s="738"/>
      <c r="AD703" s="817"/>
      <c r="AG703" s="353">
        <f t="shared" si="662"/>
        <v>0</v>
      </c>
      <c r="AH703" s="326">
        <f t="shared" si="672"/>
        <v>0</v>
      </c>
      <c r="AI703" s="326">
        <f t="shared" si="673"/>
        <v>0</v>
      </c>
      <c r="AJ703" s="326">
        <f t="shared" si="674"/>
        <v>0</v>
      </c>
      <c r="AL703" s="353">
        <f t="shared" si="664"/>
        <v>0</v>
      </c>
      <c r="AN703" s="353">
        <f t="shared" si="665"/>
        <v>0</v>
      </c>
      <c r="AO703" s="353">
        <f t="shared" si="666"/>
        <v>0</v>
      </c>
      <c r="AS703" s="353">
        <f t="shared" si="663"/>
        <v>0</v>
      </c>
      <c r="AT703" s="353">
        <f t="shared" si="667"/>
        <v>0</v>
      </c>
      <c r="AU703" s="353">
        <f t="shared" si="668"/>
        <v>0</v>
      </c>
      <c r="AW703" s="353">
        <f t="shared" si="669"/>
        <v>0</v>
      </c>
      <c r="AY703">
        <f t="shared" si="670"/>
        <v>0</v>
      </c>
      <c r="AZ703">
        <f t="shared" si="671"/>
        <v>0</v>
      </c>
    </row>
    <row r="704" spans="1:52" ht="15" customHeight="1">
      <c r="A704" s="49"/>
      <c r="B704" s="57"/>
      <c r="C704" s="143" t="s">
        <v>2520</v>
      </c>
      <c r="D704" s="961" t="s">
        <v>3454</v>
      </c>
      <c r="E704" s="814"/>
      <c r="F704" s="814"/>
      <c r="G704" s="814"/>
      <c r="H704" s="814"/>
      <c r="I704" s="814"/>
      <c r="J704" s="814"/>
      <c r="K704" s="814"/>
      <c r="L704" s="815"/>
      <c r="M704" s="816"/>
      <c r="N704" s="738"/>
      <c r="O704" s="817"/>
      <c r="P704" s="816"/>
      <c r="Q704" s="738"/>
      <c r="R704" s="817"/>
      <c r="S704" s="816"/>
      <c r="T704" s="738"/>
      <c r="U704" s="817"/>
      <c r="V704" s="816"/>
      <c r="W704" s="738"/>
      <c r="X704" s="817"/>
      <c r="Y704" s="816"/>
      <c r="Z704" s="738"/>
      <c r="AA704" s="817"/>
      <c r="AB704" s="816"/>
      <c r="AC704" s="738"/>
      <c r="AD704" s="817"/>
      <c r="AG704" s="353">
        <f t="shared" si="662"/>
        <v>0</v>
      </c>
      <c r="AH704" s="326">
        <f t="shared" si="672"/>
        <v>0</v>
      </c>
      <c r="AI704" s="326">
        <f t="shared" si="673"/>
        <v>0</v>
      </c>
      <c r="AJ704" s="326">
        <f t="shared" si="674"/>
        <v>0</v>
      </c>
      <c r="AL704" s="353">
        <f t="shared" si="664"/>
        <v>0</v>
      </c>
      <c r="AN704" s="353">
        <f t="shared" si="665"/>
        <v>0</v>
      </c>
      <c r="AO704" s="353">
        <f t="shared" si="666"/>
        <v>0</v>
      </c>
      <c r="AS704" s="353">
        <f t="shared" si="663"/>
        <v>0</v>
      </c>
      <c r="AT704" s="353">
        <f t="shared" si="667"/>
        <v>0</v>
      </c>
      <c r="AU704" s="353">
        <f t="shared" si="668"/>
        <v>0</v>
      </c>
      <c r="AW704" s="353">
        <f t="shared" si="669"/>
        <v>0</v>
      </c>
      <c r="AY704">
        <f t="shared" si="670"/>
        <v>0</v>
      </c>
      <c r="AZ704">
        <f t="shared" si="671"/>
        <v>0</v>
      </c>
    </row>
    <row r="705" spans="1:52" ht="36" customHeight="1">
      <c r="A705" s="49"/>
      <c r="B705" s="57"/>
      <c r="C705" s="143" t="s">
        <v>2521</v>
      </c>
      <c r="D705" s="961" t="s">
        <v>3455</v>
      </c>
      <c r="E705" s="814"/>
      <c r="F705" s="814"/>
      <c r="G705" s="814"/>
      <c r="H705" s="814"/>
      <c r="I705" s="814"/>
      <c r="J705" s="814"/>
      <c r="K705" s="814"/>
      <c r="L705" s="815"/>
      <c r="M705" s="816"/>
      <c r="N705" s="738"/>
      <c r="O705" s="817"/>
      <c r="P705" s="816"/>
      <c r="Q705" s="738"/>
      <c r="R705" s="817"/>
      <c r="S705" s="816"/>
      <c r="T705" s="738"/>
      <c r="U705" s="817"/>
      <c r="V705" s="816"/>
      <c r="W705" s="738"/>
      <c r="X705" s="817"/>
      <c r="Y705" s="816"/>
      <c r="Z705" s="738"/>
      <c r="AA705" s="817"/>
      <c r="AB705" s="816"/>
      <c r="AC705" s="738"/>
      <c r="AD705" s="817"/>
      <c r="AG705" s="353">
        <f t="shared" si="662"/>
        <v>0</v>
      </c>
      <c r="AH705" s="326">
        <f t="shared" si="672"/>
        <v>0</v>
      </c>
      <c r="AI705" s="326">
        <f t="shared" si="673"/>
        <v>0</v>
      </c>
      <c r="AJ705" s="326">
        <f t="shared" si="674"/>
        <v>0</v>
      </c>
      <c r="AL705" s="353">
        <f t="shared" si="664"/>
        <v>0</v>
      </c>
      <c r="AN705" s="353">
        <f t="shared" si="665"/>
        <v>0</v>
      </c>
      <c r="AO705" s="353">
        <f t="shared" si="666"/>
        <v>0</v>
      </c>
      <c r="AS705" s="353">
        <f t="shared" si="663"/>
        <v>0</v>
      </c>
      <c r="AT705" s="353">
        <f t="shared" si="667"/>
        <v>0</v>
      </c>
      <c r="AU705" s="353">
        <f t="shared" si="668"/>
        <v>0</v>
      </c>
      <c r="AW705" s="353">
        <f t="shared" si="669"/>
        <v>0</v>
      </c>
      <c r="AY705">
        <f t="shared" si="670"/>
        <v>0</v>
      </c>
      <c r="AZ705">
        <f t="shared" si="671"/>
        <v>0</v>
      </c>
    </row>
    <row r="706" spans="1:52" ht="15" customHeight="1">
      <c r="A706" s="49"/>
      <c r="B706" s="57"/>
      <c r="C706" s="143" t="s">
        <v>2522</v>
      </c>
      <c r="D706" s="961" t="s">
        <v>3456</v>
      </c>
      <c r="E706" s="814"/>
      <c r="F706" s="814"/>
      <c r="G706" s="814"/>
      <c r="H706" s="814"/>
      <c r="I706" s="814"/>
      <c r="J706" s="814"/>
      <c r="K706" s="814"/>
      <c r="L706" s="815"/>
      <c r="M706" s="816"/>
      <c r="N706" s="738"/>
      <c r="O706" s="817"/>
      <c r="P706" s="816"/>
      <c r="Q706" s="738"/>
      <c r="R706" s="817"/>
      <c r="S706" s="816"/>
      <c r="T706" s="738"/>
      <c r="U706" s="817"/>
      <c r="V706" s="816"/>
      <c r="W706" s="738"/>
      <c r="X706" s="817"/>
      <c r="Y706" s="816"/>
      <c r="Z706" s="738"/>
      <c r="AA706" s="817"/>
      <c r="AB706" s="816"/>
      <c r="AC706" s="738"/>
      <c r="AD706" s="817"/>
      <c r="AG706" s="353">
        <f t="shared" si="662"/>
        <v>0</v>
      </c>
      <c r="AH706" s="326">
        <f t="shared" si="672"/>
        <v>0</v>
      </c>
      <c r="AI706" s="326">
        <f t="shared" si="673"/>
        <v>0</v>
      </c>
      <c r="AJ706" s="326">
        <f t="shared" si="674"/>
        <v>0</v>
      </c>
      <c r="AL706" s="353">
        <f t="shared" si="664"/>
        <v>0</v>
      </c>
      <c r="AN706" s="353">
        <f t="shared" si="665"/>
        <v>0</v>
      </c>
      <c r="AO706" s="353">
        <f t="shared" si="666"/>
        <v>0</v>
      </c>
      <c r="AS706" s="353">
        <f t="shared" si="663"/>
        <v>0</v>
      </c>
      <c r="AT706" s="353">
        <f t="shared" si="667"/>
        <v>0</v>
      </c>
      <c r="AU706" s="353">
        <f t="shared" si="668"/>
        <v>0</v>
      </c>
      <c r="AW706" s="353">
        <f t="shared" si="669"/>
        <v>0</v>
      </c>
      <c r="AY706">
        <f t="shared" si="670"/>
        <v>0</v>
      </c>
      <c r="AZ706">
        <f t="shared" si="671"/>
        <v>0</v>
      </c>
    </row>
    <row r="707" spans="1:52" ht="24" customHeight="1">
      <c r="A707" s="49"/>
      <c r="B707" s="57"/>
      <c r="C707" s="143" t="s">
        <v>2523</v>
      </c>
      <c r="D707" s="961" t="s">
        <v>3457</v>
      </c>
      <c r="E707" s="814"/>
      <c r="F707" s="814"/>
      <c r="G707" s="814"/>
      <c r="H707" s="814"/>
      <c r="I707" s="814"/>
      <c r="J707" s="814"/>
      <c r="K707" s="814"/>
      <c r="L707" s="815"/>
      <c r="M707" s="816"/>
      <c r="N707" s="738"/>
      <c r="O707" s="817"/>
      <c r="P707" s="816"/>
      <c r="Q707" s="738"/>
      <c r="R707" s="817"/>
      <c r="S707" s="816"/>
      <c r="T707" s="738"/>
      <c r="U707" s="817"/>
      <c r="V707" s="816"/>
      <c r="W707" s="738"/>
      <c r="X707" s="817"/>
      <c r="Y707" s="816"/>
      <c r="Z707" s="738"/>
      <c r="AA707" s="817"/>
      <c r="AB707" s="816"/>
      <c r="AC707" s="738"/>
      <c r="AD707" s="817"/>
      <c r="AG707" s="353">
        <f t="shared" si="662"/>
        <v>0</v>
      </c>
      <c r="AH707" s="326">
        <f t="shared" si="672"/>
        <v>0</v>
      </c>
      <c r="AI707" s="326">
        <f t="shared" si="673"/>
        <v>0</v>
      </c>
      <c r="AJ707" s="326">
        <f t="shared" si="674"/>
        <v>0</v>
      </c>
      <c r="AL707" s="353">
        <f t="shared" si="664"/>
        <v>0</v>
      </c>
      <c r="AN707" s="353">
        <f t="shared" si="665"/>
        <v>0</v>
      </c>
      <c r="AO707" s="353">
        <f t="shared" si="666"/>
        <v>0</v>
      </c>
      <c r="AS707" s="353">
        <f t="shared" si="663"/>
        <v>0</v>
      </c>
      <c r="AT707" s="353">
        <f t="shared" si="667"/>
        <v>0</v>
      </c>
      <c r="AU707" s="353">
        <f t="shared" si="668"/>
        <v>0</v>
      </c>
      <c r="AW707" s="353">
        <f t="shared" si="669"/>
        <v>0</v>
      </c>
      <c r="AY707">
        <f t="shared" si="670"/>
        <v>0</v>
      </c>
      <c r="AZ707">
        <f t="shared" si="671"/>
        <v>0</v>
      </c>
    </row>
    <row r="708" spans="1:52" ht="24" customHeight="1">
      <c r="A708" s="49"/>
      <c r="B708" s="57"/>
      <c r="C708" s="143" t="s">
        <v>2524</v>
      </c>
      <c r="D708" s="961" t="s">
        <v>3458</v>
      </c>
      <c r="E708" s="814"/>
      <c r="F708" s="814"/>
      <c r="G708" s="814"/>
      <c r="H708" s="814"/>
      <c r="I708" s="814"/>
      <c r="J708" s="814"/>
      <c r="K708" s="814"/>
      <c r="L708" s="815"/>
      <c r="M708" s="816"/>
      <c r="N708" s="738"/>
      <c r="O708" s="817"/>
      <c r="P708" s="816"/>
      <c r="Q708" s="738"/>
      <c r="R708" s="817"/>
      <c r="S708" s="816"/>
      <c r="T708" s="738"/>
      <c r="U708" s="817"/>
      <c r="V708" s="816"/>
      <c r="W708" s="738"/>
      <c r="X708" s="817"/>
      <c r="Y708" s="816"/>
      <c r="Z708" s="738"/>
      <c r="AA708" s="817"/>
      <c r="AB708" s="816"/>
      <c r="AC708" s="738"/>
      <c r="AD708" s="817"/>
      <c r="AG708" s="353">
        <f t="shared" si="662"/>
        <v>0</v>
      </c>
      <c r="AH708" s="326">
        <f t="shared" si="672"/>
        <v>0</v>
      </c>
      <c r="AI708" s="326">
        <f t="shared" si="673"/>
        <v>0</v>
      </c>
      <c r="AJ708" s="326">
        <f t="shared" si="674"/>
        <v>0</v>
      </c>
      <c r="AL708" s="353">
        <f t="shared" si="664"/>
        <v>0</v>
      </c>
      <c r="AN708" s="353">
        <f t="shared" si="665"/>
        <v>0</v>
      </c>
      <c r="AO708" s="353">
        <f t="shared" si="666"/>
        <v>0</v>
      </c>
      <c r="AS708" s="353">
        <f t="shared" si="663"/>
        <v>0</v>
      </c>
      <c r="AT708" s="353">
        <f t="shared" si="667"/>
        <v>0</v>
      </c>
      <c r="AU708" s="353">
        <f t="shared" si="668"/>
        <v>0</v>
      </c>
      <c r="AW708" s="353">
        <f t="shared" si="669"/>
        <v>0</v>
      </c>
      <c r="AY708">
        <f t="shared" si="670"/>
        <v>0</v>
      </c>
      <c r="AZ708">
        <f t="shared" si="671"/>
        <v>0</v>
      </c>
    </row>
    <row r="709" spans="1:52" ht="15" customHeight="1">
      <c r="A709" s="49"/>
      <c r="B709" s="57"/>
      <c r="C709" s="143" t="s">
        <v>2525</v>
      </c>
      <c r="D709" s="961" t="s">
        <v>3459</v>
      </c>
      <c r="E709" s="814"/>
      <c r="F709" s="814"/>
      <c r="G709" s="814"/>
      <c r="H709" s="814"/>
      <c r="I709" s="814"/>
      <c r="J709" s="814"/>
      <c r="K709" s="814"/>
      <c r="L709" s="815"/>
      <c r="M709" s="816"/>
      <c r="N709" s="738"/>
      <c r="O709" s="817"/>
      <c r="P709" s="816"/>
      <c r="Q709" s="738"/>
      <c r="R709" s="817"/>
      <c r="S709" s="816"/>
      <c r="T709" s="738"/>
      <c r="U709" s="817"/>
      <c r="V709" s="816"/>
      <c r="W709" s="738"/>
      <c r="X709" s="817"/>
      <c r="Y709" s="816"/>
      <c r="Z709" s="738"/>
      <c r="AA709" s="817"/>
      <c r="AB709" s="816"/>
      <c r="AC709" s="738"/>
      <c r="AD709" s="817"/>
      <c r="AG709" s="353">
        <f t="shared" si="662"/>
        <v>0</v>
      </c>
      <c r="AH709" s="326">
        <f t="shared" si="672"/>
        <v>0</v>
      </c>
      <c r="AI709" s="326">
        <f t="shared" si="673"/>
        <v>0</v>
      </c>
      <c r="AJ709" s="326">
        <f t="shared" si="674"/>
        <v>0</v>
      </c>
      <c r="AL709" s="353">
        <f t="shared" si="664"/>
        <v>0</v>
      </c>
      <c r="AN709" s="353">
        <f t="shared" si="665"/>
        <v>0</v>
      </c>
      <c r="AO709" s="353">
        <f t="shared" si="666"/>
        <v>0</v>
      </c>
      <c r="AS709" s="353">
        <f t="shared" si="663"/>
        <v>0</v>
      </c>
      <c r="AT709" s="353">
        <f t="shared" si="667"/>
        <v>0</v>
      </c>
      <c r="AU709" s="353">
        <f t="shared" si="668"/>
        <v>0</v>
      </c>
      <c r="AW709" s="353">
        <f t="shared" si="669"/>
        <v>0</v>
      </c>
      <c r="AY709">
        <f t="shared" si="670"/>
        <v>0</v>
      </c>
      <c r="AZ709">
        <f t="shared" si="671"/>
        <v>0</v>
      </c>
    </row>
    <row r="710" spans="1:52" ht="15" customHeight="1">
      <c r="A710" s="131"/>
      <c r="B710" s="57"/>
      <c r="C710" s="143" t="s">
        <v>2526</v>
      </c>
      <c r="D710" s="961" t="s">
        <v>3460</v>
      </c>
      <c r="E710" s="814"/>
      <c r="F710" s="814"/>
      <c r="G710" s="814"/>
      <c r="H710" s="814"/>
      <c r="I710" s="814"/>
      <c r="J710" s="814"/>
      <c r="K710" s="814"/>
      <c r="L710" s="815"/>
      <c r="M710" s="749"/>
      <c r="N710" s="749"/>
      <c r="O710" s="749"/>
      <c r="P710" s="749"/>
      <c r="Q710" s="749"/>
      <c r="R710" s="749"/>
      <c r="S710" s="749"/>
      <c r="T710" s="749"/>
      <c r="U710" s="749"/>
      <c r="V710" s="749"/>
      <c r="W710" s="749"/>
      <c r="X710" s="749"/>
      <c r="Y710" s="749"/>
      <c r="Z710" s="749"/>
      <c r="AA710" s="749"/>
      <c r="AB710" s="749"/>
      <c r="AC710" s="749"/>
      <c r="AD710" s="749"/>
      <c r="AG710" s="353">
        <f t="shared" si="662"/>
        <v>0</v>
      </c>
      <c r="AH710" s="326">
        <f t="shared" si="672"/>
        <v>0</v>
      </c>
      <c r="AI710" s="326">
        <f t="shared" si="673"/>
        <v>0</v>
      </c>
      <c r="AJ710" s="326">
        <f t="shared" si="674"/>
        <v>0</v>
      </c>
      <c r="AL710" s="353">
        <f>IF(OR(P710="NS",$I$675="NS"),0,IF(AND(P710="NA",$I$675="NA"),0,IF(P710&lt;=$I$675,0,1)))</f>
        <v>0</v>
      </c>
      <c r="AN710" s="353">
        <f t="shared" si="665"/>
        <v>0</v>
      </c>
      <c r="AO710" s="353">
        <f>IF(OR(S710="NS",P710="NS"),0,IF(AND(S710="NA",P710="NA"),0,IF(S710&lt;=P710,0,1)))</f>
        <v>0</v>
      </c>
      <c r="AS710" s="353">
        <f t="shared" si="663"/>
        <v>0</v>
      </c>
      <c r="AT710" s="353">
        <f t="shared" si="667"/>
        <v>0</v>
      </c>
      <c r="AU710" s="353">
        <f t="shared" si="668"/>
        <v>0</v>
      </c>
      <c r="AW710" s="353">
        <f t="shared" si="669"/>
        <v>0</v>
      </c>
      <c r="AY710">
        <f>IF(AND($M710="X",COUNTA(P710:AD710)&gt;0),1,0)</f>
        <v>0</v>
      </c>
      <c r="AZ710">
        <f t="shared" si="671"/>
        <v>0</v>
      </c>
    </row>
    <row r="711" spans="1:52" ht="15" customHeight="1">
      <c r="A711" s="131"/>
      <c r="B711" s="57"/>
      <c r="C711" s="84"/>
      <c r="D711" s="84"/>
      <c r="E711" s="84"/>
      <c r="F711" s="84"/>
      <c r="G711" s="84"/>
      <c r="H711" s="84"/>
      <c r="I711" s="84"/>
      <c r="J711" s="84"/>
      <c r="K711" s="84"/>
      <c r="L711" s="125"/>
      <c r="M711" s="84"/>
      <c r="N711" s="84"/>
      <c r="O711" s="117" t="s">
        <v>2649</v>
      </c>
      <c r="P711" s="736">
        <f>IF(AND(SUM(P700:R710)=0,COUNTIF(P700:R710,"NS")&gt;0),"NS",
IF(AND(SUM(P700:R710)=0,COUNTIF(P700:R710,0)&gt;0),0,
IF(AND(SUM(P700:R710)=0,COUNTIF(P700:R710,"NA")&gt;0),"NA",
SUM(P700:R710))))</f>
        <v>0</v>
      </c>
      <c r="Q711" s="736"/>
      <c r="R711" s="736"/>
      <c r="S711" s="736">
        <f t="shared" ref="S711" si="675">IF(AND(SUM(S700:U710)=0,COUNTIF(S700:U710,"NS")&gt;0),"NS",
IF(AND(SUM(S700:U710)=0,COUNTIF(S700:U710,0)&gt;0),0,
IF(AND(SUM(S700:U710)=0,COUNTIF(S700:U710,"NA")&gt;0),"NA",
SUM(S700:U710))))</f>
        <v>0</v>
      </c>
      <c r="T711" s="736"/>
      <c r="U711" s="736"/>
      <c r="V711" s="736">
        <f t="shared" ref="V711" si="676">IF(AND(SUM(V700:X710)=0,COUNTIF(V700:X710,"NS")&gt;0),"NS",
IF(AND(SUM(V700:X710)=0,COUNTIF(V700:X710,0)&gt;0),0,
IF(AND(SUM(V700:X710)=0,COUNTIF(V700:X710,"NA")&gt;0),"NA",
SUM(V700:X710))))</f>
        <v>0</v>
      </c>
      <c r="W711" s="736"/>
      <c r="X711" s="736"/>
      <c r="Y711" s="736">
        <f t="shared" ref="Y711" si="677">IF(AND(SUM(Y700:AA710)=0,COUNTIF(Y700:AA710,"NS")&gt;0),"NS",
IF(AND(SUM(Y700:AA710)=0,COUNTIF(Y700:AA710,0)&gt;0),0,
IF(AND(SUM(Y700:AA710)=0,COUNTIF(Y700:AA710,"NA")&gt;0),"NA",
SUM(Y700:AA710))))</f>
        <v>0</v>
      </c>
      <c r="Z711" s="736"/>
      <c r="AA711" s="736"/>
      <c r="AB711" s="736">
        <f t="shared" ref="AB711" si="678">IF(AND(SUM(AB700:AD710)=0,COUNTIF(AB700:AD710,"NS")&gt;0),"NS",
IF(AND(SUM(AB700:AD710)=0,COUNTIF(AB700:AD710,0)&gt;0),0,
IF(AND(SUM(AB700:AD710)=0,COUNTIF(AB700:AD710,"NA")&gt;0),"NA",
SUM(AB700:AD710))))</f>
        <v>0</v>
      </c>
      <c r="AC711" s="736"/>
      <c r="AD711" s="736"/>
      <c r="AG711" s="354">
        <f>SUM(AG700:AG710)</f>
        <v>0</v>
      </c>
      <c r="AH711" s="406">
        <f>SUM(AH700:AH710)</f>
        <v>0</v>
      </c>
      <c r="AI711" s="351">
        <f>SUM(AI700:AI710)</f>
        <v>0</v>
      </c>
      <c r="AJ711" s="352">
        <f>SUM(AJ700:AJ710)</f>
        <v>0</v>
      </c>
      <c r="AK711"/>
      <c r="AL711" s="407">
        <f>SUM(AL700:AL710)</f>
        <v>0</v>
      </c>
      <c r="AM711"/>
      <c r="AN711" s="408">
        <f>SUM(AN700:AN710)</f>
        <v>0</v>
      </c>
      <c r="AO711" s="409">
        <f>SUM(AO700:AO710)</f>
        <v>0</v>
      </c>
      <c r="AP711"/>
      <c r="AQ711"/>
      <c r="AR711"/>
      <c r="AS711" s="410">
        <f>SUM(AS700:AS710)</f>
        <v>0</v>
      </c>
      <c r="AT711" s="411">
        <f>SUM(AT700:AT710)</f>
        <v>0</v>
      </c>
      <c r="AU711" s="412">
        <f>SUM(AU700:AU710)</f>
        <v>0</v>
      </c>
      <c r="AV711"/>
      <c r="AW711" s="413">
        <f>SUM(AW700:AW710)</f>
        <v>0</v>
      </c>
      <c r="AX711"/>
      <c r="AY711" s="414">
        <f>SUM(AY700:AY710)</f>
        <v>0</v>
      </c>
      <c r="AZ711" s="414">
        <f>SUM(AZ700:AZ710)</f>
        <v>0</v>
      </c>
    </row>
    <row r="712" spans="1:52" ht="15" customHeight="1">
      <c r="A712" s="103"/>
      <c r="B712" s="57"/>
      <c r="C712" s="57"/>
      <c r="D712" s="57"/>
      <c r="E712" s="57"/>
      <c r="F712" s="57"/>
      <c r="G712" s="57"/>
      <c r="H712" s="57"/>
      <c r="I712" s="57"/>
      <c r="J712" s="57"/>
      <c r="K712" s="57"/>
      <c r="L712" s="57"/>
      <c r="M712" s="57"/>
      <c r="N712" s="57"/>
      <c r="O712" s="57"/>
      <c r="P712" s="57"/>
      <c r="Q712" s="57"/>
      <c r="R712" s="57"/>
      <c r="S712" s="57"/>
      <c r="T712" s="57"/>
      <c r="U712" s="57"/>
      <c r="V712" s="57"/>
      <c r="W712" s="57"/>
      <c r="X712" s="57"/>
      <c r="Y712" s="57"/>
      <c r="Z712" s="57"/>
      <c r="AA712" s="57"/>
      <c r="AB712" s="57"/>
      <c r="AC712" s="57"/>
      <c r="AD712" s="57"/>
      <c r="AG712"/>
      <c r="AH712"/>
      <c r="AI712"/>
      <c r="AJ712"/>
      <c r="AK712"/>
      <c r="AL712"/>
      <c r="AM712"/>
      <c r="AN712"/>
      <c r="AO712" s="415"/>
      <c r="AP712"/>
      <c r="AQ712"/>
      <c r="AR712"/>
      <c r="AS712" s="283"/>
      <c r="AT712" s="283"/>
      <c r="AU712" s="416">
        <f>SUM(AS711,AT711,AU711)</f>
        <v>0</v>
      </c>
      <c r="AV712"/>
      <c r="AW712"/>
      <c r="AX712"/>
      <c r="AY712"/>
      <c r="AZ712"/>
    </row>
    <row r="713" spans="1:52" ht="45" customHeight="1">
      <c r="A713" s="103"/>
      <c r="B713" s="57"/>
      <c r="C713" s="822" t="s">
        <v>3461</v>
      </c>
      <c r="D713" s="967"/>
      <c r="E713" s="967"/>
      <c r="F713" s="749"/>
      <c r="G713" s="749"/>
      <c r="H713" s="749"/>
      <c r="I713" s="749"/>
      <c r="J713" s="749"/>
      <c r="K713" s="749"/>
      <c r="L713" s="749"/>
      <c r="M713" s="749"/>
      <c r="N713" s="749"/>
      <c r="O713" s="749"/>
      <c r="P713" s="749"/>
      <c r="Q713" s="749"/>
      <c r="R713" s="749"/>
      <c r="S713" s="749"/>
      <c r="T713" s="749"/>
      <c r="U713" s="749"/>
      <c r="V713" s="749"/>
      <c r="W713" s="749"/>
      <c r="X713" s="749"/>
      <c r="Y713" s="749"/>
      <c r="Z713" s="749"/>
      <c r="AA713" s="749"/>
      <c r="AB713" s="749"/>
      <c r="AC713" s="749"/>
      <c r="AD713" s="749"/>
    </row>
    <row r="714" spans="1:52" ht="15" customHeight="1">
      <c r="A714" s="103"/>
      <c r="B714" s="794" t="str">
        <f>IF(AND(AV700&gt;0,F713=""),"Ha registrado un valor mayor a cero en el numeral 11, debe anotar el nombre de dicho(s) tema(s)","")</f>
        <v/>
      </c>
      <c r="C714" s="794"/>
      <c r="D714" s="794"/>
      <c r="E714" s="794"/>
      <c r="F714" s="794"/>
      <c r="G714" s="794"/>
      <c r="H714" s="794"/>
      <c r="I714" s="794"/>
      <c r="J714" s="794"/>
      <c r="K714" s="794"/>
      <c r="L714" s="794"/>
      <c r="M714" s="794"/>
      <c r="N714" s="794"/>
      <c r="O714" s="794"/>
      <c r="P714" s="794"/>
      <c r="Q714" s="794"/>
      <c r="R714" s="794"/>
      <c r="S714" s="794"/>
      <c r="T714" s="794"/>
      <c r="U714" s="794"/>
      <c r="V714" s="794"/>
      <c r="W714" s="794"/>
      <c r="X714" s="794"/>
      <c r="Y714" s="794"/>
      <c r="Z714" s="794"/>
      <c r="AA714" s="794"/>
      <c r="AB714" s="794"/>
      <c r="AC714" s="794"/>
      <c r="AD714" s="794"/>
      <c r="AE714" s="794"/>
    </row>
    <row r="715" spans="1:52" ht="24" customHeight="1">
      <c r="A715" s="96"/>
      <c r="B715" s="90"/>
      <c r="C715" s="754" t="s">
        <v>2611</v>
      </c>
      <c r="D715" s="754"/>
      <c r="E715" s="754"/>
      <c r="F715" s="754"/>
      <c r="G715" s="754"/>
      <c r="H715" s="754"/>
      <c r="I715" s="754"/>
      <c r="J715" s="754"/>
      <c r="K715" s="754"/>
      <c r="L715" s="754"/>
      <c r="M715" s="754"/>
      <c r="N715" s="754"/>
      <c r="O715" s="754"/>
      <c r="P715" s="754"/>
      <c r="Q715" s="754"/>
      <c r="R715" s="754"/>
      <c r="S715" s="754"/>
      <c r="T715" s="754"/>
      <c r="U715" s="754"/>
      <c r="V715" s="754"/>
      <c r="W715" s="754"/>
      <c r="X715" s="754"/>
      <c r="Y715" s="754"/>
      <c r="Z715" s="754"/>
      <c r="AA715" s="754"/>
      <c r="AB715" s="754"/>
      <c r="AC715" s="754"/>
      <c r="AD715" s="754"/>
    </row>
    <row r="716" spans="1:52" ht="60" customHeight="1">
      <c r="A716" s="96"/>
      <c r="B716" s="90"/>
      <c r="C716" s="851"/>
      <c r="D716" s="851"/>
      <c r="E716" s="851"/>
      <c r="F716" s="851"/>
      <c r="G716" s="851"/>
      <c r="H716" s="851"/>
      <c r="I716" s="851"/>
      <c r="J716" s="851"/>
      <c r="K716" s="851"/>
      <c r="L716" s="851"/>
      <c r="M716" s="851"/>
      <c r="N716" s="851"/>
      <c r="O716" s="851"/>
      <c r="P716" s="851"/>
      <c r="Q716" s="851"/>
      <c r="R716" s="851"/>
      <c r="S716" s="851"/>
      <c r="T716" s="851"/>
      <c r="U716" s="851"/>
      <c r="V716" s="851"/>
      <c r="W716" s="851"/>
      <c r="X716" s="851"/>
      <c r="Y716" s="851"/>
      <c r="Z716" s="851"/>
      <c r="AA716" s="851"/>
      <c r="AB716" s="851"/>
      <c r="AC716" s="851"/>
      <c r="AD716" s="851"/>
    </row>
    <row r="717" spans="1:52" ht="15" customHeight="1">
      <c r="A717" s="96"/>
      <c r="B717" s="924" t="str">
        <f>IF(AG711&gt;0,"Favor de ingresar toda la información requerida en la pregunta y/o verifique que no tenga información en celdas sombreadas","")</f>
        <v/>
      </c>
      <c r="C717" s="924"/>
      <c r="D717" s="924"/>
      <c r="E717" s="924"/>
      <c r="F717" s="924"/>
      <c r="G717" s="924"/>
      <c r="H717" s="924"/>
      <c r="I717" s="924"/>
      <c r="J717" s="924"/>
      <c r="K717" s="924"/>
      <c r="L717" s="924"/>
      <c r="M717" s="924"/>
      <c r="N717" s="924"/>
      <c r="O717" s="924"/>
      <c r="P717" s="924"/>
      <c r="Q717" s="924"/>
      <c r="R717" s="924"/>
      <c r="S717" s="924"/>
      <c r="T717" s="924"/>
      <c r="U717" s="924"/>
      <c r="V717" s="924"/>
      <c r="W717" s="924"/>
      <c r="X717" s="924"/>
      <c r="Y717" s="924"/>
      <c r="Z717" s="924"/>
      <c r="AA717" s="924"/>
      <c r="AB717" s="924"/>
      <c r="AC717" s="924"/>
      <c r="AD717" s="924"/>
    </row>
    <row r="718" spans="1:52" ht="15" customHeight="1">
      <c r="A718" s="96"/>
      <c r="B718" s="933" t="str">
        <f>IF(OR(AH711&gt;0,AW711&gt;0),"Alerta: debido a que cuenta con registros NS, debe proporcionar una justificación en el area de comentarios al final de la pregunta","")</f>
        <v/>
      </c>
      <c r="C718" s="933"/>
      <c r="D718" s="933"/>
      <c r="E718" s="933"/>
      <c r="F718" s="933"/>
      <c r="G718" s="933"/>
      <c r="H718" s="933"/>
      <c r="I718" s="933"/>
      <c r="J718" s="933"/>
      <c r="K718" s="933"/>
      <c r="L718" s="933"/>
      <c r="M718" s="933"/>
      <c r="N718" s="933"/>
      <c r="O718" s="933"/>
      <c r="P718" s="933"/>
      <c r="Q718" s="933"/>
      <c r="R718" s="933"/>
      <c r="S718" s="933"/>
      <c r="T718" s="933"/>
      <c r="U718" s="933"/>
      <c r="V718" s="933"/>
      <c r="W718" s="933"/>
      <c r="X718" s="933"/>
      <c r="Y718" s="933"/>
      <c r="Z718" s="933"/>
      <c r="AA718" s="933"/>
      <c r="AB718" s="933"/>
      <c r="AC718" s="933"/>
      <c r="AD718" s="933"/>
    </row>
    <row r="719" spans="1:52" ht="15" customHeight="1">
      <c r="A719" s="96"/>
      <c r="B719" s="794" t="str">
        <f>IF(AJ711&gt;0,"Favor de revisar la suma y consistencia de totales y/o subtotales por filas (numéricos y NS)","")</f>
        <v/>
      </c>
      <c r="C719" s="794"/>
      <c r="D719" s="794"/>
      <c r="E719" s="794"/>
      <c r="F719" s="794"/>
      <c r="G719" s="794"/>
      <c r="H719" s="794"/>
      <c r="I719" s="794"/>
      <c r="J719" s="794"/>
      <c r="K719" s="794"/>
      <c r="L719" s="794"/>
      <c r="M719" s="794"/>
      <c r="N719" s="794"/>
      <c r="O719" s="794"/>
      <c r="P719" s="794"/>
      <c r="Q719" s="794"/>
      <c r="R719" s="794"/>
      <c r="S719" s="794"/>
      <c r="T719" s="794"/>
      <c r="U719" s="794"/>
      <c r="V719" s="794"/>
      <c r="W719" s="794"/>
      <c r="X719" s="794"/>
      <c r="Y719" s="794"/>
      <c r="Z719" s="794"/>
      <c r="AA719" s="794"/>
      <c r="AB719" s="794"/>
      <c r="AC719" s="794"/>
      <c r="AD719" s="794"/>
    </row>
    <row r="720" spans="1:52" ht="15" customHeight="1">
      <c r="A720" s="103"/>
      <c r="B720" s="924" t="str">
        <f>IF(AK700&gt;0,"Favor de revisar la instrucción 3, debido a que no se cumplen con los criterios mencionados",IF(AM700&gt;0,"Favor de revisar la instrucción 5, debido a que no se cumplen con los criterios mencionados",IF(AO711&gt;0,"Favor de revisar la instrucción 7, debido a que no se cumplen con los criterios mencionados",IF(AR701&gt;0,"Favor de revisar la instrucción 9, debido a que no se cumplen con los criterios mencionados",""))))</f>
        <v/>
      </c>
      <c r="C720" s="924"/>
      <c r="D720" s="924"/>
      <c r="E720" s="924"/>
      <c r="F720" s="924"/>
      <c r="G720" s="924"/>
      <c r="H720" s="924"/>
      <c r="I720" s="924"/>
      <c r="J720" s="924"/>
      <c r="K720" s="924"/>
      <c r="L720" s="924"/>
      <c r="M720" s="924"/>
      <c r="N720" s="924"/>
      <c r="O720" s="924"/>
      <c r="P720" s="924"/>
      <c r="Q720" s="924"/>
      <c r="R720" s="924"/>
      <c r="S720" s="924"/>
      <c r="T720" s="924"/>
      <c r="U720" s="924"/>
      <c r="V720" s="924"/>
      <c r="W720" s="924"/>
      <c r="X720" s="924"/>
      <c r="Y720" s="924"/>
      <c r="Z720" s="924"/>
      <c r="AA720" s="924"/>
      <c r="AB720" s="924"/>
      <c r="AC720" s="924"/>
      <c r="AD720" s="924"/>
    </row>
    <row r="721" spans="1:43" ht="15" customHeight="1">
      <c r="A721" s="103"/>
      <c r="B721" s="933" t="str">
        <f>IF(AL711&gt;0,"Alerta: debe de proporcionar una justificación de acuerdo a lo establecido en la instrucción 4",IF(AN711&gt;0,"Alerta: debe de proporcionar una justificación de acuerdo a lo establecido en la instrucción 6",IF(AU712&gt;0,"Alerta: debe de proporcionar una justificación de acuerdo a lo establecido en la instrucción 10","")))</f>
        <v/>
      </c>
      <c r="C721" s="933"/>
      <c r="D721" s="933"/>
      <c r="E721" s="933"/>
      <c r="F721" s="933"/>
      <c r="G721" s="933"/>
      <c r="H721" s="933"/>
      <c r="I721" s="933"/>
      <c r="J721" s="933"/>
      <c r="K721" s="933"/>
      <c r="L721" s="933"/>
      <c r="M721" s="933"/>
      <c r="N721" s="933"/>
      <c r="O721" s="933"/>
      <c r="P721" s="933"/>
      <c r="Q721" s="933"/>
      <c r="R721" s="933"/>
      <c r="S721" s="933"/>
      <c r="T721" s="933"/>
      <c r="U721" s="933"/>
      <c r="V721" s="933"/>
      <c r="W721" s="933"/>
      <c r="X721" s="933"/>
      <c r="Y721" s="933"/>
      <c r="Z721" s="933"/>
      <c r="AA721" s="933"/>
      <c r="AB721" s="933"/>
      <c r="AC721" s="933"/>
      <c r="AD721" s="933"/>
    </row>
    <row r="722" spans="1:43" ht="15" customHeight="1" thickBot="1">
      <c r="A722" s="103"/>
      <c r="B722" s="933" t="s">
        <v>3462</v>
      </c>
      <c r="C722" s="933"/>
      <c r="D722" s="933"/>
      <c r="E722" s="933"/>
      <c r="F722" s="933"/>
      <c r="G722" s="933"/>
      <c r="H722" s="933"/>
      <c r="I722" s="933"/>
      <c r="J722" s="933"/>
      <c r="K722" s="933"/>
      <c r="L722" s="933"/>
      <c r="M722" s="933"/>
      <c r="N722" s="933"/>
      <c r="O722" s="933"/>
      <c r="P722" s="933"/>
      <c r="Q722" s="933"/>
      <c r="R722" s="933"/>
      <c r="S722" s="933"/>
      <c r="T722" s="933"/>
      <c r="U722" s="933"/>
      <c r="V722" s="933"/>
      <c r="W722" s="933"/>
      <c r="X722" s="933"/>
      <c r="Y722" s="933"/>
      <c r="Z722" s="933"/>
      <c r="AA722" s="933"/>
      <c r="AB722" s="933"/>
      <c r="AC722" s="933"/>
      <c r="AD722" s="933"/>
    </row>
    <row r="723" spans="1:43" customFormat="1" ht="15" customHeight="1" thickBot="1">
      <c r="A723" s="153" t="s">
        <v>2563</v>
      </c>
      <c r="B723" s="831" t="s">
        <v>3463</v>
      </c>
      <c r="C723" s="832"/>
      <c r="D723" s="832"/>
      <c r="E723" s="832"/>
      <c r="F723" s="832"/>
      <c r="G723" s="832"/>
      <c r="H723" s="832"/>
      <c r="I723" s="832"/>
      <c r="J723" s="832"/>
      <c r="K723" s="832"/>
      <c r="L723" s="832"/>
      <c r="M723" s="832"/>
      <c r="N723" s="832"/>
      <c r="O723" s="832"/>
      <c r="P723" s="832"/>
      <c r="Q723" s="832"/>
      <c r="R723" s="832"/>
      <c r="S723" s="832"/>
      <c r="T723" s="832"/>
      <c r="U723" s="832"/>
      <c r="V723" s="832"/>
      <c r="W723" s="832"/>
      <c r="X723" s="832"/>
      <c r="Y723" s="832"/>
      <c r="Z723" s="832"/>
      <c r="AA723" s="832"/>
      <c r="AB723" s="832"/>
      <c r="AC723" s="832"/>
      <c r="AD723" s="833"/>
      <c r="AE723" s="3"/>
    </row>
    <row r="724" spans="1:43" ht="15" customHeight="1">
      <c r="A724" s="142"/>
      <c r="B724" s="838" t="s">
        <v>2565</v>
      </c>
      <c r="C724" s="839"/>
      <c r="D724" s="839"/>
      <c r="E724" s="839"/>
      <c r="F724" s="839"/>
      <c r="G724" s="839"/>
      <c r="H724" s="839"/>
      <c r="I724" s="839"/>
      <c r="J724" s="839"/>
      <c r="K724" s="839"/>
      <c r="L724" s="839"/>
      <c r="M724" s="839"/>
      <c r="N724" s="839"/>
      <c r="O724" s="839"/>
      <c r="P724" s="839"/>
      <c r="Q724" s="839"/>
      <c r="R724" s="839"/>
      <c r="S724" s="839"/>
      <c r="T724" s="839"/>
      <c r="U724" s="839"/>
      <c r="V724" s="839"/>
      <c r="W724" s="839"/>
      <c r="X724" s="839"/>
      <c r="Y724" s="839"/>
      <c r="Z724" s="839"/>
      <c r="AA724" s="839"/>
      <c r="AB724" s="839"/>
      <c r="AC724" s="839"/>
      <c r="AD724" s="840"/>
    </row>
    <row r="725" spans="1:43" ht="24" customHeight="1">
      <c r="A725" s="115"/>
      <c r="B725" s="654"/>
      <c r="C725" s="830" t="s">
        <v>3464</v>
      </c>
      <c r="D725" s="830"/>
      <c r="E725" s="830"/>
      <c r="F725" s="830"/>
      <c r="G725" s="830"/>
      <c r="H725" s="830"/>
      <c r="I725" s="830"/>
      <c r="J725" s="830"/>
      <c r="K725" s="830"/>
      <c r="L725" s="830"/>
      <c r="M725" s="830"/>
      <c r="N725" s="830"/>
      <c r="O725" s="830"/>
      <c r="P725" s="830"/>
      <c r="Q725" s="830"/>
      <c r="R725" s="830"/>
      <c r="S725" s="830"/>
      <c r="T725" s="830"/>
      <c r="U725" s="830"/>
      <c r="V725" s="830"/>
      <c r="W725" s="830"/>
      <c r="X725" s="830"/>
      <c r="Y725" s="830"/>
      <c r="Z725" s="830"/>
      <c r="AA725" s="830"/>
      <c r="AB725" s="830"/>
      <c r="AC725" s="830"/>
      <c r="AD725" s="886"/>
    </row>
    <row r="726" spans="1:43" ht="24" customHeight="1">
      <c r="A726" s="115"/>
      <c r="B726" s="654"/>
      <c r="C726" s="830" t="s">
        <v>3465</v>
      </c>
      <c r="D726" s="830"/>
      <c r="E726" s="830"/>
      <c r="F726" s="830"/>
      <c r="G726" s="830"/>
      <c r="H726" s="830"/>
      <c r="I726" s="830"/>
      <c r="J726" s="830"/>
      <c r="K726" s="830"/>
      <c r="L726" s="830"/>
      <c r="M726" s="830"/>
      <c r="N726" s="830"/>
      <c r="O726" s="830"/>
      <c r="P726" s="830"/>
      <c r="Q726" s="830"/>
      <c r="R726" s="830"/>
      <c r="S726" s="830"/>
      <c r="T726" s="830"/>
      <c r="U726" s="830"/>
      <c r="V726" s="830"/>
      <c r="W726" s="830"/>
      <c r="X726" s="830"/>
      <c r="Y726" s="830"/>
      <c r="Z726" s="830"/>
      <c r="AA726" s="830"/>
      <c r="AB726" s="830"/>
      <c r="AC726" s="830"/>
      <c r="AD726" s="886"/>
    </row>
    <row r="727" spans="1:43" ht="24" customHeight="1">
      <c r="A727" s="49"/>
      <c r="B727" s="114"/>
      <c r="C727" s="876" t="s">
        <v>3466</v>
      </c>
      <c r="D727" s="876"/>
      <c r="E727" s="876"/>
      <c r="F727" s="876"/>
      <c r="G727" s="876"/>
      <c r="H727" s="876"/>
      <c r="I727" s="876"/>
      <c r="J727" s="876"/>
      <c r="K727" s="876"/>
      <c r="L727" s="876"/>
      <c r="M727" s="876"/>
      <c r="N727" s="876"/>
      <c r="O727" s="876"/>
      <c r="P727" s="876"/>
      <c r="Q727" s="876"/>
      <c r="R727" s="876"/>
      <c r="S727" s="876"/>
      <c r="T727" s="876"/>
      <c r="U727" s="876"/>
      <c r="V727" s="876"/>
      <c r="W727" s="876"/>
      <c r="X727" s="876"/>
      <c r="Y727" s="876"/>
      <c r="Z727" s="876"/>
      <c r="AA727" s="876"/>
      <c r="AB727" s="876"/>
      <c r="AC727" s="876"/>
      <c r="AD727" s="877"/>
    </row>
    <row r="728" spans="1:43" ht="15" customHeight="1">
      <c r="A728" s="103"/>
      <c r="B728" s="57"/>
      <c r="C728" s="57"/>
      <c r="D728" s="57"/>
      <c r="E728" s="57"/>
      <c r="F728" s="57"/>
      <c r="G728" s="57"/>
      <c r="H728" s="57"/>
      <c r="I728" s="57"/>
      <c r="J728" s="57"/>
      <c r="K728" s="57"/>
      <c r="L728" s="57"/>
      <c r="M728" s="57"/>
      <c r="N728" s="57"/>
      <c r="O728" s="57"/>
      <c r="P728" s="57"/>
      <c r="Q728" s="57"/>
      <c r="R728" s="57"/>
      <c r="S728" s="57"/>
      <c r="T728" s="57"/>
      <c r="U728" s="57"/>
      <c r="V728" s="57"/>
      <c r="W728" s="57"/>
      <c r="X728" s="57"/>
      <c r="Y728" s="57"/>
      <c r="Z728" s="57"/>
      <c r="AA728" s="57"/>
      <c r="AB728" s="57"/>
      <c r="AC728" s="57"/>
      <c r="AD728" s="57"/>
    </row>
    <row r="729" spans="1:43" ht="36" customHeight="1">
      <c r="A729" s="49" t="s">
        <v>3467</v>
      </c>
      <c r="B729" s="829" t="s">
        <v>3468</v>
      </c>
      <c r="C729" s="829"/>
      <c r="D729" s="829"/>
      <c r="E729" s="829"/>
      <c r="F729" s="829"/>
      <c r="G729" s="829"/>
      <c r="H729" s="829"/>
      <c r="I729" s="829"/>
      <c r="J729" s="829"/>
      <c r="K729" s="829"/>
      <c r="L729" s="829"/>
      <c r="M729" s="829"/>
      <c r="N729" s="829"/>
      <c r="O729" s="829"/>
      <c r="P729" s="829"/>
      <c r="Q729" s="829"/>
      <c r="R729" s="829"/>
      <c r="S729" s="829"/>
      <c r="T729" s="829"/>
      <c r="U729" s="829"/>
      <c r="V729" s="829"/>
      <c r="W729" s="829"/>
      <c r="X729" s="829"/>
      <c r="Y729" s="829"/>
      <c r="Z729" s="829"/>
      <c r="AA729" s="829"/>
      <c r="AB729" s="829"/>
      <c r="AC729" s="829"/>
      <c r="AD729" s="829"/>
    </row>
    <row r="730" spans="1:43" ht="15" customHeight="1">
      <c r="A730" s="49"/>
      <c r="B730" s="105"/>
      <c r="C730" s="830" t="s">
        <v>3469</v>
      </c>
      <c r="D730" s="830"/>
      <c r="E730" s="830"/>
      <c r="F730" s="830"/>
      <c r="G730" s="830"/>
      <c r="H730" s="830"/>
      <c r="I730" s="830"/>
      <c r="J730" s="830"/>
      <c r="K730" s="830"/>
      <c r="L730" s="830"/>
      <c r="M730" s="830"/>
      <c r="N730" s="830"/>
      <c r="O730" s="830"/>
      <c r="P730" s="830"/>
      <c r="Q730" s="830"/>
      <c r="R730" s="830"/>
      <c r="S730" s="830"/>
      <c r="T730" s="830"/>
      <c r="U730" s="830"/>
      <c r="V730" s="830"/>
      <c r="W730" s="830"/>
      <c r="X730" s="830"/>
      <c r="Y730" s="830"/>
      <c r="Z730" s="830"/>
      <c r="AA730" s="830"/>
      <c r="AB730" s="830"/>
      <c r="AC730" s="830"/>
      <c r="AD730" s="830"/>
    </row>
    <row r="731" spans="1:43" ht="36" customHeight="1">
      <c r="A731" s="49"/>
      <c r="B731" s="105"/>
      <c r="C731" s="830" t="s">
        <v>3470</v>
      </c>
      <c r="D731" s="830"/>
      <c r="E731" s="830"/>
      <c r="F731" s="830"/>
      <c r="G731" s="830"/>
      <c r="H731" s="830"/>
      <c r="I731" s="830"/>
      <c r="J731" s="830"/>
      <c r="K731" s="830"/>
      <c r="L731" s="830"/>
      <c r="M731" s="830"/>
      <c r="N731" s="830"/>
      <c r="O731" s="830"/>
      <c r="P731" s="830"/>
      <c r="Q731" s="830"/>
      <c r="R731" s="830"/>
      <c r="S731" s="830"/>
      <c r="T731" s="830"/>
      <c r="U731" s="830"/>
      <c r="V731" s="830"/>
      <c r="W731" s="830"/>
      <c r="X731" s="830"/>
      <c r="Y731" s="830"/>
      <c r="Z731" s="830"/>
      <c r="AA731" s="830"/>
      <c r="AB731" s="830"/>
      <c r="AC731" s="830"/>
      <c r="AD731" s="830"/>
    </row>
    <row r="732" spans="1:43" ht="15" customHeight="1">
      <c r="A732" s="49"/>
      <c r="B732" s="105"/>
      <c r="C732" s="830" t="s">
        <v>3471</v>
      </c>
      <c r="D732" s="830"/>
      <c r="E732" s="830"/>
      <c r="F732" s="830"/>
      <c r="G732" s="830"/>
      <c r="H732" s="830"/>
      <c r="I732" s="830"/>
      <c r="J732" s="830"/>
      <c r="K732" s="830"/>
      <c r="L732" s="830"/>
      <c r="M732" s="830"/>
      <c r="N732" s="830"/>
      <c r="O732" s="830"/>
      <c r="P732" s="830"/>
      <c r="Q732" s="830"/>
      <c r="R732" s="830"/>
      <c r="S732" s="830"/>
      <c r="T732" s="830"/>
      <c r="U732" s="830"/>
      <c r="V732" s="830"/>
      <c r="W732" s="830"/>
      <c r="X732" s="830"/>
      <c r="Y732" s="830"/>
      <c r="Z732" s="830"/>
      <c r="AA732" s="830"/>
      <c r="AB732" s="830"/>
      <c r="AC732" s="830"/>
      <c r="AD732" s="830"/>
    </row>
    <row r="733" spans="1:43" ht="24" customHeight="1">
      <c r="A733" s="103"/>
      <c r="B733" s="57"/>
      <c r="C733" s="830" t="s">
        <v>3472</v>
      </c>
      <c r="D733" s="830"/>
      <c r="E733" s="830"/>
      <c r="F733" s="830"/>
      <c r="G733" s="830"/>
      <c r="H733" s="830"/>
      <c r="I733" s="830"/>
      <c r="J733" s="830"/>
      <c r="K733" s="830"/>
      <c r="L733" s="830"/>
      <c r="M733" s="830"/>
      <c r="N733" s="830"/>
      <c r="O733" s="830"/>
      <c r="P733" s="830"/>
      <c r="Q733" s="830"/>
      <c r="R733" s="830"/>
      <c r="S733" s="830"/>
      <c r="T733" s="830"/>
      <c r="U733" s="830"/>
      <c r="V733" s="830"/>
      <c r="W733" s="830"/>
      <c r="X733" s="830"/>
      <c r="Y733" s="830"/>
      <c r="Z733" s="830"/>
      <c r="AA733" s="830"/>
      <c r="AB733" s="830"/>
      <c r="AC733" s="830"/>
      <c r="AD733" s="830"/>
    </row>
    <row r="734" spans="1:43" ht="24" customHeight="1">
      <c r="A734" s="103"/>
      <c r="B734" s="57"/>
      <c r="C734" s="830" t="s">
        <v>3473</v>
      </c>
      <c r="D734" s="830"/>
      <c r="E734" s="830"/>
      <c r="F734" s="830"/>
      <c r="G734" s="830"/>
      <c r="H734" s="830"/>
      <c r="I734" s="830"/>
      <c r="J734" s="830"/>
      <c r="K734" s="830"/>
      <c r="L734" s="830"/>
      <c r="M734" s="830"/>
      <c r="N734" s="830"/>
      <c r="O734" s="830"/>
      <c r="P734" s="830"/>
      <c r="Q734" s="830"/>
      <c r="R734" s="830"/>
      <c r="S734" s="830"/>
      <c r="T734" s="830"/>
      <c r="U734" s="830"/>
      <c r="V734" s="830"/>
      <c r="W734" s="830"/>
      <c r="X734" s="830"/>
      <c r="Y734" s="830"/>
      <c r="Z734" s="830"/>
      <c r="AA734" s="830"/>
      <c r="AB734" s="830"/>
      <c r="AC734" s="830"/>
      <c r="AD734" s="830"/>
    </row>
    <row r="735" spans="1:43" ht="15" customHeight="1">
      <c r="A735" s="103"/>
      <c r="B735" s="57"/>
      <c r="C735" s="86"/>
      <c r="D735" s="86"/>
      <c r="E735" s="86"/>
      <c r="F735" s="86"/>
      <c r="G735" s="86"/>
      <c r="H735" s="86"/>
      <c r="I735" s="86"/>
      <c r="J735" s="86"/>
      <c r="K735" s="86"/>
      <c r="L735" s="131"/>
      <c r="M735" s="86"/>
      <c r="N735" s="86"/>
      <c r="O735" s="86"/>
      <c r="P735" s="86"/>
      <c r="Q735" s="86"/>
      <c r="R735" s="86"/>
      <c r="S735" s="86"/>
      <c r="T735" s="86"/>
      <c r="U735" s="86"/>
      <c r="V735" s="86"/>
      <c r="W735" s="86"/>
      <c r="X735" s="86"/>
      <c r="Y735" s="86"/>
      <c r="Z735" s="86"/>
      <c r="AA735" s="86"/>
      <c r="AB735" s="86"/>
      <c r="AC735" s="86"/>
      <c r="AD735" s="86"/>
    </row>
    <row r="736" spans="1:43" ht="36" customHeight="1">
      <c r="A736" s="115"/>
      <c r="C736" s="732" t="s">
        <v>3474</v>
      </c>
      <c r="D736" s="732"/>
      <c r="E736" s="732"/>
      <c r="F736" s="732"/>
      <c r="G736" s="732"/>
      <c r="H736" s="732"/>
      <c r="I736" s="732"/>
      <c r="J736" s="732"/>
      <c r="K736" s="732"/>
      <c r="L736" s="732"/>
      <c r="M736" s="732" t="s">
        <v>3475</v>
      </c>
      <c r="N736" s="732"/>
      <c r="O736" s="732"/>
      <c r="P736" s="732"/>
      <c r="Q736" s="732"/>
      <c r="R736" s="732"/>
      <c r="S736" s="732" t="s">
        <v>3476</v>
      </c>
      <c r="T736" s="732"/>
      <c r="U736" s="732"/>
      <c r="V736" s="732"/>
      <c r="W736" s="732"/>
      <c r="X736" s="732"/>
      <c r="Y736" s="732"/>
      <c r="Z736" s="732"/>
      <c r="AA736" s="732"/>
      <c r="AB736" s="732"/>
      <c r="AC736" s="732"/>
      <c r="AD736" s="732"/>
      <c r="AG736"/>
      <c r="AH736"/>
      <c r="AI736"/>
      <c r="AJ736"/>
      <c r="AK736"/>
      <c r="AL736" s="919" t="s">
        <v>3175</v>
      </c>
      <c r="AM736" s="919"/>
      <c r="AN736" s="919"/>
      <c r="AO736"/>
      <c r="AP736" s="920" t="s">
        <v>3477</v>
      </c>
      <c r="AQ736" s="921" t="s">
        <v>3478</v>
      </c>
    </row>
    <row r="737" spans="1:43" ht="15">
      <c r="A737" s="115"/>
      <c r="C737" s="732"/>
      <c r="D737" s="732"/>
      <c r="E737" s="732"/>
      <c r="F737" s="732"/>
      <c r="G737" s="732"/>
      <c r="H737" s="732"/>
      <c r="I737" s="732"/>
      <c r="J737" s="732"/>
      <c r="K737" s="732"/>
      <c r="L737" s="732"/>
      <c r="M737" s="732"/>
      <c r="N737" s="732"/>
      <c r="O737" s="732"/>
      <c r="P737" s="732"/>
      <c r="Q737" s="732"/>
      <c r="R737" s="732"/>
      <c r="S737" s="732" t="s">
        <v>2628</v>
      </c>
      <c r="T737" s="732"/>
      <c r="U737" s="732"/>
      <c r="V737" s="732"/>
      <c r="W737" s="736" t="s">
        <v>2629</v>
      </c>
      <c r="X737" s="736"/>
      <c r="Y737" s="736"/>
      <c r="Z737" s="736"/>
      <c r="AA737" s="736" t="s">
        <v>2630</v>
      </c>
      <c r="AB737" s="736"/>
      <c r="AC737" s="736"/>
      <c r="AD737" s="736"/>
      <c r="AG737" s="354" t="s">
        <v>2586</v>
      </c>
      <c r="AH737" s="350" t="s">
        <v>2590</v>
      </c>
      <c r="AI737" s="351" t="s">
        <v>3163</v>
      </c>
      <c r="AJ737" s="352" t="s">
        <v>3164</v>
      </c>
      <c r="AK737" s="418" t="s">
        <v>3479</v>
      </c>
      <c r="AL737" s="359" t="s">
        <v>2795</v>
      </c>
      <c r="AM737" s="360" t="s">
        <v>3177</v>
      </c>
      <c r="AN737" s="361" t="s">
        <v>3178</v>
      </c>
      <c r="AO737" s="365" t="s">
        <v>2620</v>
      </c>
      <c r="AP737" s="920"/>
      <c r="AQ737" s="921"/>
    </row>
    <row r="738" spans="1:43" ht="15" customHeight="1">
      <c r="A738" s="115"/>
      <c r="C738" s="97" t="s">
        <v>2516</v>
      </c>
      <c r="D738" s="796" t="s">
        <v>3480</v>
      </c>
      <c r="E738" s="796"/>
      <c r="F738" s="796"/>
      <c r="G738" s="796"/>
      <c r="H738" s="796"/>
      <c r="I738" s="796"/>
      <c r="J738" s="796"/>
      <c r="K738" s="796"/>
      <c r="L738" s="796"/>
      <c r="M738" s="816"/>
      <c r="N738" s="738"/>
      <c r="O738" s="738"/>
      <c r="P738" s="738"/>
      <c r="Q738" s="738"/>
      <c r="R738" s="817"/>
      <c r="S738" s="749"/>
      <c r="T738" s="749"/>
      <c r="U738" s="749"/>
      <c r="V738" s="749"/>
      <c r="W738" s="749"/>
      <c r="X738" s="749"/>
      <c r="Y738" s="749"/>
      <c r="Z738" s="749"/>
      <c r="AA738" s="749"/>
      <c r="AB738" s="749"/>
      <c r="AC738" s="749"/>
      <c r="AD738" s="749"/>
      <c r="AG738" s="353">
        <f>IF(AND($M738&lt;&gt;1,$M738&lt;&gt;"",COUNTA(S738:AD738)=0),0,IF(AND($M738=1,$M738&lt;&gt;"",COUNTA(S738:AD738)=3),0,IF(AND(M738="",COUNTA(S738:AD738)=0),0,1)))</f>
        <v>0</v>
      </c>
      <c r="AH738" s="326">
        <f>COUNTIF(W738:AD738,"NS")</f>
        <v>0</v>
      </c>
      <c r="AI738" s="326">
        <f>SUM(W738:AD738)</f>
        <v>0</v>
      </c>
      <c r="AJ738" s="326">
        <f>IF(COUNTIF(S738:AD738,"NA")=3,0,IF(OR(AND(S738=0,AH738&gt;0),AND(S738="ns",AI738&gt;0),AND(S738="ns",AH738=0,AI738=0)),1,IF(OR(AND(S738&gt;0,AH738=2),AND(S738="ns",AH738=2),AND(S738="ns",AI738=0,AH738&gt;0),S738=AI738),0,1)))</f>
        <v>0</v>
      </c>
      <c r="AK738">
        <f>IF(M771=1,1,0)</f>
        <v>0</v>
      </c>
      <c r="AL738">
        <f>IF(OR(S738="NS",$M$121="NS"),0,IF(AND(S738="NA",$M$121="NA"),0,IF(S738&lt;=$M$121,0,1)))</f>
        <v>0</v>
      </c>
      <c r="AM738">
        <f>IF(OR(W738="NS",$S$121="NS"),0,IF(AND(W738="NA",$S$121="NA"),0,IF(W738&lt;=$S$121,0,1)))</f>
        <v>0</v>
      </c>
      <c r="AN738">
        <f>IF(OR(AA738="NS",$Y$121="NS"),0,IF(AND(AA738="NA",$Y$121="NA"),0,IF(AA738&lt;=$Y$121,0,1)))</f>
        <v>0</v>
      </c>
      <c r="AO738" s="342">
        <f>IF(AND($M738&lt;&gt;"",$M738&lt;&gt;1,COUNTA(S738:AD738)&gt;0),1,0)</f>
        <v>0</v>
      </c>
      <c r="AP738" s="342">
        <f>IF(W746&lt;&gt;"",1,0)</f>
        <v>0</v>
      </c>
      <c r="AQ738" s="253">
        <f>IF(AND($M738&lt;&gt;"",$M738=1,S738&lt;&gt;"",W738&lt;&gt;"",AA738&lt;&gt;"",SUM(S738:AD738)=0),1,0)</f>
        <v>0</v>
      </c>
    </row>
    <row r="739" spans="1:43" ht="15" customHeight="1">
      <c r="A739" s="115"/>
      <c r="C739" s="143" t="s">
        <v>2517</v>
      </c>
      <c r="D739" s="796" t="s">
        <v>3481</v>
      </c>
      <c r="E739" s="796"/>
      <c r="F739" s="796"/>
      <c r="G739" s="796"/>
      <c r="H739" s="796"/>
      <c r="I739" s="796"/>
      <c r="J739" s="796"/>
      <c r="K739" s="796"/>
      <c r="L739" s="796"/>
      <c r="M739" s="816"/>
      <c r="N739" s="738"/>
      <c r="O739" s="738"/>
      <c r="P739" s="738"/>
      <c r="Q739" s="738"/>
      <c r="R739" s="817"/>
      <c r="S739" s="749"/>
      <c r="T739" s="749"/>
      <c r="U739" s="749"/>
      <c r="V739" s="749"/>
      <c r="W739" s="749"/>
      <c r="X739" s="749"/>
      <c r="Y739" s="749"/>
      <c r="Z739" s="749"/>
      <c r="AA739" s="749"/>
      <c r="AB739" s="749"/>
      <c r="AC739" s="749"/>
      <c r="AD739" s="749"/>
      <c r="AG739" s="353">
        <f t="shared" ref="AG739:AG771" si="679">IF(AND($M739&lt;&gt;1,$M739&lt;&gt;"",COUNTA(S739:AD739)=0),0,IF(AND($M739=1,$M739&lt;&gt;"",COUNTA(S739:AD739)=3),0,IF(AND(M739="",COUNTA(S739:AD739)=0),0,1)))</f>
        <v>0</v>
      </c>
      <c r="AH739" s="326">
        <f t="shared" ref="AH739:AH771" si="680">COUNTIF(W739:AD739,"NS")</f>
        <v>0</v>
      </c>
      <c r="AI739" s="326">
        <f t="shared" ref="AI739:AI771" si="681">SUM(W739:AD739)</f>
        <v>0</v>
      </c>
      <c r="AJ739" s="326">
        <f t="shared" ref="AJ739:AJ771" si="682">IF(COUNTIF(S739:AD739,"NA")=3,0,IF(OR(AND(S739=0,AH739&gt;0),AND(S739="ns",AI739&gt;0),AND(S739="ns",AH739=0,AI739=0)),1,IF(OR(AND(S739&gt;0,AH739=2),AND(S739="ns",AH739=2),AND(S739="ns",AI739=0,AH739&gt;0),S739=AI739),0,1)))</f>
        <v>0</v>
      </c>
      <c r="AL739">
        <f t="shared" ref="AL739:AL771" si="683">IF(OR(S739="NS",$M$121="NS"),0,IF(AND(S739="NA",$M$121="NA"),0,IF(S739&lt;=$M$121,0,1)))</f>
        <v>0</v>
      </c>
      <c r="AM739">
        <f t="shared" ref="AM739:AM771" si="684">IF(OR(W739="NS",$S$121="NS"),0,IF(AND(W739="NA",$S$121="NA"),0,IF(W739&lt;=$S$121,0,1)))</f>
        <v>0</v>
      </c>
      <c r="AN739">
        <f t="shared" ref="AN739:AN771" si="685">IF(OR(AA739="NS",$Y$121="NS"),0,IF(AND(AA739="NA",$Y$121="NA"),0,IF(AA739&lt;=$Y$121,0,1)))</f>
        <v>0</v>
      </c>
      <c r="AO739" s="342">
        <f t="shared" ref="AO739:AO771" si="686">IF(AND($M739&lt;&gt;"",$M739&lt;&gt;1,COUNTA(S739:AD739)&gt;0),1,0)</f>
        <v>0</v>
      </c>
      <c r="AQ739" s="253">
        <f t="shared" ref="AQ739:AQ771" si="687">IF(AND($M739&lt;&gt;"",$M739=1,S739&lt;&gt;"",W739&lt;&gt;"",AA739&lt;&gt;"",SUM(S739:AD739)=0),1,0)</f>
        <v>0</v>
      </c>
    </row>
    <row r="740" spans="1:43" ht="24" customHeight="1">
      <c r="A740" s="115"/>
      <c r="C740" s="143" t="s">
        <v>2518</v>
      </c>
      <c r="D740" s="796" t="s">
        <v>3482</v>
      </c>
      <c r="E740" s="796"/>
      <c r="F740" s="796"/>
      <c r="G740" s="796"/>
      <c r="H740" s="796"/>
      <c r="I740" s="796"/>
      <c r="J740" s="796"/>
      <c r="K740" s="796"/>
      <c r="L740" s="796"/>
      <c r="M740" s="816"/>
      <c r="N740" s="738"/>
      <c r="O740" s="738"/>
      <c r="P740" s="738"/>
      <c r="Q740" s="738"/>
      <c r="R740" s="817"/>
      <c r="S740" s="749"/>
      <c r="T740" s="749"/>
      <c r="U740" s="749"/>
      <c r="V740" s="749"/>
      <c r="W740" s="749"/>
      <c r="X740" s="749"/>
      <c r="Y740" s="749"/>
      <c r="Z740" s="749"/>
      <c r="AA740" s="749"/>
      <c r="AB740" s="749"/>
      <c r="AC740" s="749"/>
      <c r="AD740" s="749"/>
      <c r="AG740" s="353">
        <f t="shared" si="679"/>
        <v>0</v>
      </c>
      <c r="AH740" s="326">
        <f t="shared" si="680"/>
        <v>0</v>
      </c>
      <c r="AI740" s="326">
        <f t="shared" si="681"/>
        <v>0</v>
      </c>
      <c r="AJ740" s="326">
        <f t="shared" si="682"/>
        <v>0</v>
      </c>
      <c r="AL740">
        <f t="shared" si="683"/>
        <v>0</v>
      </c>
      <c r="AM740">
        <f t="shared" si="684"/>
        <v>0</v>
      </c>
      <c r="AN740">
        <f t="shared" si="685"/>
        <v>0</v>
      </c>
      <c r="AO740" s="342">
        <f t="shared" si="686"/>
        <v>0</v>
      </c>
      <c r="AQ740" s="253">
        <f t="shared" si="687"/>
        <v>0</v>
      </c>
    </row>
    <row r="741" spans="1:43" ht="24" customHeight="1">
      <c r="A741" s="115"/>
      <c r="C741" s="143" t="s">
        <v>2519</v>
      </c>
      <c r="D741" s="796" t="s">
        <v>3483</v>
      </c>
      <c r="E741" s="796"/>
      <c r="F741" s="796"/>
      <c r="G741" s="796"/>
      <c r="H741" s="796"/>
      <c r="I741" s="796"/>
      <c r="J741" s="796"/>
      <c r="K741" s="796"/>
      <c r="L741" s="796"/>
      <c r="M741" s="816"/>
      <c r="N741" s="738"/>
      <c r="O741" s="738"/>
      <c r="P741" s="738"/>
      <c r="Q741" s="738"/>
      <c r="R741" s="817"/>
      <c r="S741" s="749"/>
      <c r="T741" s="749"/>
      <c r="U741" s="749"/>
      <c r="V741" s="749"/>
      <c r="W741" s="749"/>
      <c r="X741" s="749"/>
      <c r="Y741" s="749"/>
      <c r="Z741" s="749"/>
      <c r="AA741" s="749"/>
      <c r="AB741" s="749"/>
      <c r="AC741" s="749"/>
      <c r="AD741" s="749"/>
      <c r="AG741" s="353">
        <f t="shared" si="679"/>
        <v>0</v>
      </c>
      <c r="AH741" s="326">
        <f t="shared" si="680"/>
        <v>0</v>
      </c>
      <c r="AI741" s="326">
        <f t="shared" si="681"/>
        <v>0</v>
      </c>
      <c r="AJ741" s="326">
        <f t="shared" si="682"/>
        <v>0</v>
      </c>
      <c r="AL741">
        <f t="shared" si="683"/>
        <v>0</v>
      </c>
      <c r="AM741">
        <f t="shared" si="684"/>
        <v>0</v>
      </c>
      <c r="AN741">
        <f t="shared" si="685"/>
        <v>0</v>
      </c>
      <c r="AO741" s="342">
        <f t="shared" si="686"/>
        <v>0</v>
      </c>
      <c r="AQ741" s="253">
        <f t="shared" si="687"/>
        <v>0</v>
      </c>
    </row>
    <row r="742" spans="1:43" ht="24" customHeight="1">
      <c r="A742" s="115"/>
      <c r="C742" s="143" t="s">
        <v>2520</v>
      </c>
      <c r="D742" s="796" t="s">
        <v>3484</v>
      </c>
      <c r="E742" s="796"/>
      <c r="F742" s="796"/>
      <c r="G742" s="796"/>
      <c r="H742" s="796"/>
      <c r="I742" s="796"/>
      <c r="J742" s="796"/>
      <c r="K742" s="796"/>
      <c r="L742" s="796"/>
      <c r="M742" s="816"/>
      <c r="N742" s="738"/>
      <c r="O742" s="738"/>
      <c r="P742" s="738"/>
      <c r="Q742" s="738"/>
      <c r="R742" s="817"/>
      <c r="S742" s="749"/>
      <c r="T742" s="749"/>
      <c r="U742" s="749"/>
      <c r="V742" s="749"/>
      <c r="W742" s="749"/>
      <c r="X742" s="749"/>
      <c r="Y742" s="749"/>
      <c r="Z742" s="749"/>
      <c r="AA742" s="749"/>
      <c r="AB742" s="749"/>
      <c r="AC742" s="749"/>
      <c r="AD742" s="749"/>
      <c r="AG742" s="353">
        <f t="shared" si="679"/>
        <v>0</v>
      </c>
      <c r="AH742" s="326">
        <f t="shared" si="680"/>
        <v>0</v>
      </c>
      <c r="AI742" s="326">
        <f t="shared" si="681"/>
        <v>0</v>
      </c>
      <c r="AJ742" s="326">
        <f t="shared" si="682"/>
        <v>0</v>
      </c>
      <c r="AL742">
        <f t="shared" si="683"/>
        <v>0</v>
      </c>
      <c r="AM742">
        <f t="shared" si="684"/>
        <v>0</v>
      </c>
      <c r="AN742">
        <f t="shared" si="685"/>
        <v>0</v>
      </c>
      <c r="AO742" s="342">
        <f t="shared" si="686"/>
        <v>0</v>
      </c>
      <c r="AQ742" s="253">
        <f t="shared" si="687"/>
        <v>0</v>
      </c>
    </row>
    <row r="743" spans="1:43" ht="36" customHeight="1">
      <c r="A743" s="115"/>
      <c r="C743" s="143" t="s">
        <v>2521</v>
      </c>
      <c r="D743" s="796" t="s">
        <v>3485</v>
      </c>
      <c r="E743" s="796"/>
      <c r="F743" s="796"/>
      <c r="G743" s="796"/>
      <c r="H743" s="796"/>
      <c r="I743" s="796"/>
      <c r="J743" s="796"/>
      <c r="K743" s="796"/>
      <c r="L743" s="796"/>
      <c r="M743" s="816"/>
      <c r="N743" s="738"/>
      <c r="O743" s="738"/>
      <c r="P743" s="738"/>
      <c r="Q743" s="738"/>
      <c r="R743" s="817"/>
      <c r="S743" s="749"/>
      <c r="T743" s="749"/>
      <c r="U743" s="749"/>
      <c r="V743" s="749"/>
      <c r="W743" s="749"/>
      <c r="X743" s="749"/>
      <c r="Y743" s="749"/>
      <c r="Z743" s="749"/>
      <c r="AA743" s="749"/>
      <c r="AB743" s="749"/>
      <c r="AC743" s="749"/>
      <c r="AD743" s="749"/>
      <c r="AG743" s="353">
        <f t="shared" si="679"/>
        <v>0</v>
      </c>
      <c r="AH743" s="326">
        <f t="shared" si="680"/>
        <v>0</v>
      </c>
      <c r="AI743" s="326">
        <f t="shared" si="681"/>
        <v>0</v>
      </c>
      <c r="AJ743" s="326">
        <f t="shared" si="682"/>
        <v>0</v>
      </c>
      <c r="AL743">
        <f t="shared" si="683"/>
        <v>0</v>
      </c>
      <c r="AM743">
        <f t="shared" si="684"/>
        <v>0</v>
      </c>
      <c r="AN743">
        <f t="shared" si="685"/>
        <v>0</v>
      </c>
      <c r="AO743" s="342">
        <f t="shared" si="686"/>
        <v>0</v>
      </c>
      <c r="AQ743" s="253">
        <f t="shared" si="687"/>
        <v>0</v>
      </c>
    </row>
    <row r="744" spans="1:43" ht="24" customHeight="1">
      <c r="A744" s="115"/>
      <c r="C744" s="143" t="s">
        <v>2522</v>
      </c>
      <c r="D744" s="796" t="s">
        <v>3486</v>
      </c>
      <c r="E744" s="796"/>
      <c r="F744" s="796"/>
      <c r="G744" s="796"/>
      <c r="H744" s="796"/>
      <c r="I744" s="796"/>
      <c r="J744" s="796"/>
      <c r="K744" s="796"/>
      <c r="L744" s="796"/>
      <c r="M744" s="816"/>
      <c r="N744" s="738"/>
      <c r="O744" s="738"/>
      <c r="P744" s="738"/>
      <c r="Q744" s="738"/>
      <c r="R744" s="817"/>
      <c r="S744" s="749"/>
      <c r="T744" s="749"/>
      <c r="U744" s="749"/>
      <c r="V744" s="749"/>
      <c r="W744" s="749"/>
      <c r="X744" s="749"/>
      <c r="Y744" s="749"/>
      <c r="Z744" s="749"/>
      <c r="AA744" s="749"/>
      <c r="AB744" s="749"/>
      <c r="AC744" s="749"/>
      <c r="AD744" s="749"/>
      <c r="AG744" s="353">
        <f t="shared" si="679"/>
        <v>0</v>
      </c>
      <c r="AH744" s="326">
        <f t="shared" si="680"/>
        <v>0</v>
      </c>
      <c r="AI744" s="326">
        <f t="shared" si="681"/>
        <v>0</v>
      </c>
      <c r="AJ744" s="326">
        <f t="shared" si="682"/>
        <v>0</v>
      </c>
      <c r="AL744">
        <f t="shared" si="683"/>
        <v>0</v>
      </c>
      <c r="AM744">
        <f t="shared" si="684"/>
        <v>0</v>
      </c>
      <c r="AN744">
        <f t="shared" si="685"/>
        <v>0</v>
      </c>
      <c r="AO744" s="342">
        <f t="shared" si="686"/>
        <v>0</v>
      </c>
      <c r="AQ744" s="253">
        <f t="shared" si="687"/>
        <v>0</v>
      </c>
    </row>
    <row r="745" spans="1:43" ht="24" customHeight="1">
      <c r="A745" s="115"/>
      <c r="C745" s="143" t="s">
        <v>2523</v>
      </c>
      <c r="D745" s="796" t="s">
        <v>3487</v>
      </c>
      <c r="E745" s="796"/>
      <c r="F745" s="796"/>
      <c r="G745" s="796"/>
      <c r="H745" s="796"/>
      <c r="I745" s="796"/>
      <c r="J745" s="796"/>
      <c r="K745" s="796"/>
      <c r="L745" s="796"/>
      <c r="M745" s="816"/>
      <c r="N745" s="738"/>
      <c r="O745" s="738"/>
      <c r="P745" s="738"/>
      <c r="Q745" s="738"/>
      <c r="R745" s="817"/>
      <c r="S745" s="749"/>
      <c r="T745" s="749"/>
      <c r="U745" s="749"/>
      <c r="V745" s="749"/>
      <c r="W745" s="749"/>
      <c r="X745" s="749"/>
      <c r="Y745" s="749"/>
      <c r="Z745" s="749"/>
      <c r="AA745" s="749"/>
      <c r="AB745" s="749"/>
      <c r="AC745" s="749"/>
      <c r="AD745" s="749"/>
      <c r="AG745" s="353">
        <f t="shared" si="679"/>
        <v>0</v>
      </c>
      <c r="AH745" s="326">
        <f t="shared" si="680"/>
        <v>0</v>
      </c>
      <c r="AI745" s="326">
        <f t="shared" si="681"/>
        <v>0</v>
      </c>
      <c r="AJ745" s="326">
        <f t="shared" si="682"/>
        <v>0</v>
      </c>
      <c r="AL745">
        <f t="shared" si="683"/>
        <v>0</v>
      </c>
      <c r="AM745">
        <f t="shared" si="684"/>
        <v>0</v>
      </c>
      <c r="AN745">
        <f t="shared" si="685"/>
        <v>0</v>
      </c>
      <c r="AO745" s="342">
        <f t="shared" si="686"/>
        <v>0</v>
      </c>
      <c r="AQ745" s="253">
        <f t="shared" si="687"/>
        <v>0</v>
      </c>
    </row>
    <row r="746" spans="1:43" ht="15" customHeight="1">
      <c r="A746" s="115"/>
      <c r="C746" s="143" t="s">
        <v>2524</v>
      </c>
      <c r="D746" s="796" t="s">
        <v>3488</v>
      </c>
      <c r="E746" s="796"/>
      <c r="F746" s="796"/>
      <c r="G746" s="796"/>
      <c r="H746" s="796"/>
      <c r="I746" s="796"/>
      <c r="J746" s="796"/>
      <c r="K746" s="796"/>
      <c r="L746" s="796"/>
      <c r="M746" s="816"/>
      <c r="N746" s="738"/>
      <c r="O746" s="738"/>
      <c r="P746" s="738"/>
      <c r="Q746" s="738"/>
      <c r="R746" s="817"/>
      <c r="S746" s="749"/>
      <c r="T746" s="749"/>
      <c r="U746" s="749"/>
      <c r="V746" s="749"/>
      <c r="W746" s="736"/>
      <c r="X746" s="736"/>
      <c r="Y746" s="736"/>
      <c r="Z746" s="736"/>
      <c r="AA746" s="749"/>
      <c r="AB746" s="749"/>
      <c r="AC746" s="749"/>
      <c r="AD746" s="749"/>
      <c r="AG746" s="353">
        <f>IF(AND($M746&lt;&gt;1,$M746&lt;&gt;"",COUNTA(S746:AD746)=0),0,IF(AND($M746=1,$M746&lt;&gt;"",COUNTA(S746:AD746)=2),0,IF(AND(M746="",COUNTA(S746:AD746)=0),0,1)))</f>
        <v>0</v>
      </c>
      <c r="AH746" s="326">
        <f t="shared" si="680"/>
        <v>0</v>
      </c>
      <c r="AI746" s="326">
        <f t="shared" si="681"/>
        <v>0</v>
      </c>
      <c r="AJ746" s="326">
        <f t="shared" si="682"/>
        <v>0</v>
      </c>
      <c r="AL746">
        <f t="shared" si="683"/>
        <v>0</v>
      </c>
      <c r="AM746">
        <f t="shared" si="684"/>
        <v>0</v>
      </c>
      <c r="AN746">
        <f t="shared" si="685"/>
        <v>0</v>
      </c>
      <c r="AO746" s="342">
        <f t="shared" si="686"/>
        <v>0</v>
      </c>
      <c r="AQ746" s="253">
        <f t="shared" si="687"/>
        <v>0</v>
      </c>
    </row>
    <row r="747" spans="1:43" ht="24" customHeight="1">
      <c r="A747" s="115"/>
      <c r="C747" s="143" t="s">
        <v>2525</v>
      </c>
      <c r="D747" s="796" t="s">
        <v>3489</v>
      </c>
      <c r="E747" s="796"/>
      <c r="F747" s="796"/>
      <c r="G747" s="796"/>
      <c r="H747" s="796"/>
      <c r="I747" s="796"/>
      <c r="J747" s="796"/>
      <c r="K747" s="796"/>
      <c r="L747" s="796"/>
      <c r="M747" s="816"/>
      <c r="N747" s="738"/>
      <c r="O747" s="738"/>
      <c r="P747" s="738"/>
      <c r="Q747" s="738"/>
      <c r="R747" s="817"/>
      <c r="S747" s="749"/>
      <c r="T747" s="749"/>
      <c r="U747" s="749"/>
      <c r="V747" s="749"/>
      <c r="W747" s="749"/>
      <c r="X747" s="749"/>
      <c r="Y747" s="749"/>
      <c r="Z747" s="749"/>
      <c r="AA747" s="749"/>
      <c r="AB747" s="749"/>
      <c r="AC747" s="749"/>
      <c r="AD747" s="749"/>
      <c r="AG747" s="353">
        <f t="shared" si="679"/>
        <v>0</v>
      </c>
      <c r="AH747" s="326">
        <f t="shared" si="680"/>
        <v>0</v>
      </c>
      <c r="AI747" s="326">
        <f t="shared" si="681"/>
        <v>0</v>
      </c>
      <c r="AJ747" s="326">
        <f t="shared" si="682"/>
        <v>0</v>
      </c>
      <c r="AL747">
        <f t="shared" si="683"/>
        <v>0</v>
      </c>
      <c r="AM747">
        <f t="shared" si="684"/>
        <v>0</v>
      </c>
      <c r="AN747">
        <f t="shared" si="685"/>
        <v>0</v>
      </c>
      <c r="AO747" s="342">
        <f t="shared" si="686"/>
        <v>0</v>
      </c>
      <c r="AQ747" s="253">
        <f t="shared" si="687"/>
        <v>0</v>
      </c>
    </row>
    <row r="748" spans="1:43" ht="15" customHeight="1">
      <c r="A748" s="115"/>
      <c r="C748" s="143" t="s">
        <v>2526</v>
      </c>
      <c r="D748" s="796" t="s">
        <v>3490</v>
      </c>
      <c r="E748" s="796"/>
      <c r="F748" s="796"/>
      <c r="G748" s="796"/>
      <c r="H748" s="796"/>
      <c r="I748" s="796"/>
      <c r="J748" s="796"/>
      <c r="K748" s="796"/>
      <c r="L748" s="796"/>
      <c r="M748" s="816"/>
      <c r="N748" s="738"/>
      <c r="O748" s="738"/>
      <c r="P748" s="738"/>
      <c r="Q748" s="738"/>
      <c r="R748" s="817"/>
      <c r="S748" s="749"/>
      <c r="T748" s="749"/>
      <c r="U748" s="749"/>
      <c r="V748" s="749"/>
      <c r="W748" s="749"/>
      <c r="X748" s="749"/>
      <c r="Y748" s="749"/>
      <c r="Z748" s="749"/>
      <c r="AA748" s="749"/>
      <c r="AB748" s="749"/>
      <c r="AC748" s="749"/>
      <c r="AD748" s="749"/>
      <c r="AG748" s="353">
        <f t="shared" si="679"/>
        <v>0</v>
      </c>
      <c r="AH748" s="326">
        <f t="shared" si="680"/>
        <v>0</v>
      </c>
      <c r="AI748" s="326">
        <f t="shared" si="681"/>
        <v>0</v>
      </c>
      <c r="AJ748" s="326">
        <f t="shared" si="682"/>
        <v>0</v>
      </c>
      <c r="AL748">
        <f t="shared" si="683"/>
        <v>0</v>
      </c>
      <c r="AM748">
        <f t="shared" si="684"/>
        <v>0</v>
      </c>
      <c r="AN748">
        <f t="shared" si="685"/>
        <v>0</v>
      </c>
      <c r="AO748" s="342">
        <f t="shared" si="686"/>
        <v>0</v>
      </c>
      <c r="AQ748" s="253">
        <f t="shared" si="687"/>
        <v>0</v>
      </c>
    </row>
    <row r="749" spans="1:43" ht="15" customHeight="1">
      <c r="A749" s="115"/>
      <c r="C749" s="143" t="s">
        <v>2527</v>
      </c>
      <c r="D749" s="796" t="s">
        <v>3491</v>
      </c>
      <c r="E749" s="796"/>
      <c r="F749" s="796"/>
      <c r="G749" s="796"/>
      <c r="H749" s="796"/>
      <c r="I749" s="796"/>
      <c r="J749" s="796"/>
      <c r="K749" s="796"/>
      <c r="L749" s="796"/>
      <c r="M749" s="816"/>
      <c r="N749" s="738"/>
      <c r="O749" s="738"/>
      <c r="P749" s="738"/>
      <c r="Q749" s="738"/>
      <c r="R749" s="817"/>
      <c r="S749" s="749"/>
      <c r="T749" s="749"/>
      <c r="U749" s="749"/>
      <c r="V749" s="749"/>
      <c r="W749" s="749"/>
      <c r="X749" s="749"/>
      <c r="Y749" s="749"/>
      <c r="Z749" s="749"/>
      <c r="AA749" s="749"/>
      <c r="AB749" s="749"/>
      <c r="AC749" s="749"/>
      <c r="AD749" s="749"/>
      <c r="AG749" s="353">
        <f t="shared" si="679"/>
        <v>0</v>
      </c>
      <c r="AH749" s="326">
        <f t="shared" si="680"/>
        <v>0</v>
      </c>
      <c r="AI749" s="326">
        <f t="shared" si="681"/>
        <v>0</v>
      </c>
      <c r="AJ749" s="326">
        <f t="shared" si="682"/>
        <v>0</v>
      </c>
      <c r="AL749">
        <f t="shared" si="683"/>
        <v>0</v>
      </c>
      <c r="AM749">
        <f t="shared" si="684"/>
        <v>0</v>
      </c>
      <c r="AN749">
        <f t="shared" si="685"/>
        <v>0</v>
      </c>
      <c r="AO749" s="342">
        <f t="shared" si="686"/>
        <v>0</v>
      </c>
      <c r="AQ749" s="253">
        <f t="shared" si="687"/>
        <v>0</v>
      </c>
    </row>
    <row r="750" spans="1:43" ht="15" customHeight="1">
      <c r="A750" s="115"/>
      <c r="C750" s="143" t="s">
        <v>2528</v>
      </c>
      <c r="D750" s="796" t="s">
        <v>3492</v>
      </c>
      <c r="E750" s="796"/>
      <c r="F750" s="796"/>
      <c r="G750" s="796"/>
      <c r="H750" s="796"/>
      <c r="I750" s="796"/>
      <c r="J750" s="796"/>
      <c r="K750" s="796"/>
      <c r="L750" s="796"/>
      <c r="M750" s="816"/>
      <c r="N750" s="738"/>
      <c r="O750" s="738"/>
      <c r="P750" s="738"/>
      <c r="Q750" s="738"/>
      <c r="R750" s="817"/>
      <c r="S750" s="749"/>
      <c r="T750" s="749"/>
      <c r="U750" s="749"/>
      <c r="V750" s="749"/>
      <c r="W750" s="749"/>
      <c r="X750" s="749"/>
      <c r="Y750" s="749"/>
      <c r="Z750" s="749"/>
      <c r="AA750" s="749"/>
      <c r="AB750" s="749"/>
      <c r="AC750" s="749"/>
      <c r="AD750" s="749"/>
      <c r="AG750" s="353">
        <f t="shared" si="679"/>
        <v>0</v>
      </c>
      <c r="AH750" s="326">
        <f t="shared" si="680"/>
        <v>0</v>
      </c>
      <c r="AI750" s="326">
        <f t="shared" si="681"/>
        <v>0</v>
      </c>
      <c r="AJ750" s="326">
        <f t="shared" si="682"/>
        <v>0</v>
      </c>
      <c r="AL750">
        <f t="shared" si="683"/>
        <v>0</v>
      </c>
      <c r="AM750">
        <f t="shared" si="684"/>
        <v>0</v>
      </c>
      <c r="AN750">
        <f t="shared" si="685"/>
        <v>0</v>
      </c>
      <c r="AO750" s="342">
        <f t="shared" si="686"/>
        <v>0</v>
      </c>
      <c r="AQ750" s="253">
        <f t="shared" si="687"/>
        <v>0</v>
      </c>
    </row>
    <row r="751" spans="1:43" ht="15" customHeight="1">
      <c r="A751" s="115"/>
      <c r="C751" s="143" t="s">
        <v>2529</v>
      </c>
      <c r="D751" s="796" t="s">
        <v>3493</v>
      </c>
      <c r="E751" s="796"/>
      <c r="F751" s="796"/>
      <c r="G751" s="796"/>
      <c r="H751" s="796"/>
      <c r="I751" s="796"/>
      <c r="J751" s="796"/>
      <c r="K751" s="796"/>
      <c r="L751" s="796"/>
      <c r="M751" s="816"/>
      <c r="N751" s="738"/>
      <c r="O751" s="738"/>
      <c r="P751" s="738"/>
      <c r="Q751" s="738"/>
      <c r="R751" s="817"/>
      <c r="S751" s="749"/>
      <c r="T751" s="749"/>
      <c r="U751" s="749"/>
      <c r="V751" s="749"/>
      <c r="W751" s="749"/>
      <c r="X751" s="749"/>
      <c r="Y751" s="749"/>
      <c r="Z751" s="749"/>
      <c r="AA751" s="749"/>
      <c r="AB751" s="749"/>
      <c r="AC751" s="749"/>
      <c r="AD751" s="749"/>
      <c r="AG751" s="353">
        <f t="shared" si="679"/>
        <v>0</v>
      </c>
      <c r="AH751" s="326">
        <f t="shared" si="680"/>
        <v>0</v>
      </c>
      <c r="AI751" s="326">
        <f t="shared" si="681"/>
        <v>0</v>
      </c>
      <c r="AJ751" s="326">
        <f t="shared" si="682"/>
        <v>0</v>
      </c>
      <c r="AL751">
        <f t="shared" si="683"/>
        <v>0</v>
      </c>
      <c r="AM751">
        <f t="shared" si="684"/>
        <v>0</v>
      </c>
      <c r="AN751">
        <f t="shared" si="685"/>
        <v>0</v>
      </c>
      <c r="AO751" s="342">
        <f t="shared" si="686"/>
        <v>0</v>
      </c>
      <c r="AQ751" s="253">
        <f t="shared" si="687"/>
        <v>0</v>
      </c>
    </row>
    <row r="752" spans="1:43" ht="15" customHeight="1">
      <c r="A752" s="115"/>
      <c r="C752" s="143" t="s">
        <v>2530</v>
      </c>
      <c r="D752" s="796" t="s">
        <v>3494</v>
      </c>
      <c r="E752" s="796"/>
      <c r="F752" s="796"/>
      <c r="G752" s="796"/>
      <c r="H752" s="796"/>
      <c r="I752" s="796"/>
      <c r="J752" s="796"/>
      <c r="K752" s="796"/>
      <c r="L752" s="796"/>
      <c r="M752" s="816"/>
      <c r="N752" s="738"/>
      <c r="O752" s="738"/>
      <c r="P752" s="738"/>
      <c r="Q752" s="738"/>
      <c r="R752" s="817"/>
      <c r="S752" s="749"/>
      <c r="T752" s="749"/>
      <c r="U752" s="749"/>
      <c r="V752" s="749"/>
      <c r="W752" s="749"/>
      <c r="X752" s="749"/>
      <c r="Y752" s="749"/>
      <c r="Z752" s="749"/>
      <c r="AA752" s="749"/>
      <c r="AB752" s="749"/>
      <c r="AC752" s="749"/>
      <c r="AD752" s="749"/>
      <c r="AG752" s="353">
        <f t="shared" si="679"/>
        <v>0</v>
      </c>
      <c r="AH752" s="326">
        <f t="shared" si="680"/>
        <v>0</v>
      </c>
      <c r="AI752" s="326">
        <f t="shared" si="681"/>
        <v>0</v>
      </c>
      <c r="AJ752" s="326">
        <f t="shared" si="682"/>
        <v>0</v>
      </c>
      <c r="AL752">
        <f t="shared" si="683"/>
        <v>0</v>
      </c>
      <c r="AM752">
        <f t="shared" si="684"/>
        <v>0</v>
      </c>
      <c r="AN752">
        <f t="shared" si="685"/>
        <v>0</v>
      </c>
      <c r="AO752" s="342">
        <f t="shared" si="686"/>
        <v>0</v>
      </c>
      <c r="AQ752" s="253">
        <f t="shared" si="687"/>
        <v>0</v>
      </c>
    </row>
    <row r="753" spans="1:43" ht="15" customHeight="1">
      <c r="A753" s="115"/>
      <c r="C753" s="143" t="s">
        <v>2531</v>
      </c>
      <c r="D753" s="796" t="s">
        <v>3495</v>
      </c>
      <c r="E753" s="796"/>
      <c r="F753" s="796"/>
      <c r="G753" s="796"/>
      <c r="H753" s="796"/>
      <c r="I753" s="796"/>
      <c r="J753" s="796"/>
      <c r="K753" s="796"/>
      <c r="L753" s="796"/>
      <c r="M753" s="816"/>
      <c r="N753" s="738"/>
      <c r="O753" s="738"/>
      <c r="P753" s="738"/>
      <c r="Q753" s="738"/>
      <c r="R753" s="817"/>
      <c r="S753" s="749"/>
      <c r="T753" s="749"/>
      <c r="U753" s="749"/>
      <c r="V753" s="749"/>
      <c r="W753" s="749"/>
      <c r="X753" s="749"/>
      <c r="Y753" s="749"/>
      <c r="Z753" s="749"/>
      <c r="AA753" s="749"/>
      <c r="AB753" s="749"/>
      <c r="AC753" s="749"/>
      <c r="AD753" s="749"/>
      <c r="AG753" s="353">
        <f t="shared" si="679"/>
        <v>0</v>
      </c>
      <c r="AH753" s="326">
        <f t="shared" si="680"/>
        <v>0</v>
      </c>
      <c r="AI753" s="326">
        <f t="shared" si="681"/>
        <v>0</v>
      </c>
      <c r="AJ753" s="326">
        <f t="shared" si="682"/>
        <v>0</v>
      </c>
      <c r="AL753">
        <f t="shared" si="683"/>
        <v>0</v>
      </c>
      <c r="AM753">
        <f t="shared" si="684"/>
        <v>0</v>
      </c>
      <c r="AN753">
        <f t="shared" si="685"/>
        <v>0</v>
      </c>
      <c r="AO753" s="342">
        <f t="shared" si="686"/>
        <v>0</v>
      </c>
      <c r="AQ753" s="253">
        <f t="shared" si="687"/>
        <v>0</v>
      </c>
    </row>
    <row r="754" spans="1:43" ht="15" customHeight="1">
      <c r="A754" s="115"/>
      <c r="C754" s="143" t="s">
        <v>2532</v>
      </c>
      <c r="D754" s="796" t="s">
        <v>3496</v>
      </c>
      <c r="E754" s="796"/>
      <c r="F754" s="796"/>
      <c r="G754" s="796"/>
      <c r="H754" s="796"/>
      <c r="I754" s="796"/>
      <c r="J754" s="796"/>
      <c r="K754" s="796"/>
      <c r="L754" s="796"/>
      <c r="M754" s="816"/>
      <c r="N754" s="738"/>
      <c r="O754" s="738"/>
      <c r="P754" s="738"/>
      <c r="Q754" s="738"/>
      <c r="R754" s="817"/>
      <c r="S754" s="749"/>
      <c r="T754" s="749"/>
      <c r="U754" s="749"/>
      <c r="V754" s="749"/>
      <c r="W754" s="749"/>
      <c r="X754" s="749"/>
      <c r="Y754" s="749"/>
      <c r="Z754" s="749"/>
      <c r="AA754" s="749"/>
      <c r="AB754" s="749"/>
      <c r="AC754" s="749"/>
      <c r="AD754" s="749"/>
      <c r="AG754" s="353">
        <f t="shared" si="679"/>
        <v>0</v>
      </c>
      <c r="AH754" s="326">
        <f t="shared" si="680"/>
        <v>0</v>
      </c>
      <c r="AI754" s="326">
        <f t="shared" si="681"/>
        <v>0</v>
      </c>
      <c r="AJ754" s="326">
        <f t="shared" si="682"/>
        <v>0</v>
      </c>
      <c r="AL754">
        <f t="shared" si="683"/>
        <v>0</v>
      </c>
      <c r="AM754">
        <f t="shared" si="684"/>
        <v>0</v>
      </c>
      <c r="AN754">
        <f t="shared" si="685"/>
        <v>0</v>
      </c>
      <c r="AO754" s="342">
        <f t="shared" si="686"/>
        <v>0</v>
      </c>
      <c r="AQ754" s="253">
        <f t="shared" si="687"/>
        <v>0</v>
      </c>
    </row>
    <row r="755" spans="1:43" ht="24" customHeight="1">
      <c r="A755" s="115"/>
      <c r="C755" s="143" t="s">
        <v>2533</v>
      </c>
      <c r="D755" s="796" t="s">
        <v>3497</v>
      </c>
      <c r="E755" s="796"/>
      <c r="F755" s="796"/>
      <c r="G755" s="796"/>
      <c r="H755" s="796"/>
      <c r="I755" s="796"/>
      <c r="J755" s="796"/>
      <c r="K755" s="796"/>
      <c r="L755" s="796"/>
      <c r="M755" s="816"/>
      <c r="N755" s="738"/>
      <c r="O755" s="738"/>
      <c r="P755" s="738"/>
      <c r="Q755" s="738"/>
      <c r="R755" s="817"/>
      <c r="S755" s="749"/>
      <c r="T755" s="749"/>
      <c r="U755" s="749"/>
      <c r="V755" s="749"/>
      <c r="W755" s="749"/>
      <c r="X755" s="749"/>
      <c r="Y755" s="749"/>
      <c r="Z755" s="749"/>
      <c r="AA755" s="749"/>
      <c r="AB755" s="749"/>
      <c r="AC755" s="749"/>
      <c r="AD755" s="749"/>
      <c r="AG755" s="353">
        <f t="shared" si="679"/>
        <v>0</v>
      </c>
      <c r="AH755" s="326">
        <f t="shared" si="680"/>
        <v>0</v>
      </c>
      <c r="AI755" s="326">
        <f t="shared" si="681"/>
        <v>0</v>
      </c>
      <c r="AJ755" s="326">
        <f t="shared" si="682"/>
        <v>0</v>
      </c>
      <c r="AL755">
        <f t="shared" si="683"/>
        <v>0</v>
      </c>
      <c r="AM755">
        <f t="shared" si="684"/>
        <v>0</v>
      </c>
      <c r="AN755">
        <f t="shared" si="685"/>
        <v>0</v>
      </c>
      <c r="AO755" s="342">
        <f t="shared" si="686"/>
        <v>0</v>
      </c>
      <c r="AQ755" s="253">
        <f t="shared" si="687"/>
        <v>0</v>
      </c>
    </row>
    <row r="756" spans="1:43" ht="15" customHeight="1">
      <c r="A756" s="115"/>
      <c r="C756" s="143" t="s">
        <v>2534</v>
      </c>
      <c r="D756" s="796" t="s">
        <v>3498</v>
      </c>
      <c r="E756" s="796"/>
      <c r="F756" s="796"/>
      <c r="G756" s="796"/>
      <c r="H756" s="796"/>
      <c r="I756" s="796"/>
      <c r="J756" s="796"/>
      <c r="K756" s="796"/>
      <c r="L756" s="796"/>
      <c r="M756" s="816"/>
      <c r="N756" s="738"/>
      <c r="O756" s="738"/>
      <c r="P756" s="738"/>
      <c r="Q756" s="738"/>
      <c r="R756" s="817"/>
      <c r="S756" s="749"/>
      <c r="T756" s="749"/>
      <c r="U756" s="749"/>
      <c r="V756" s="749"/>
      <c r="W756" s="749"/>
      <c r="X756" s="749"/>
      <c r="Y756" s="749"/>
      <c r="Z756" s="749"/>
      <c r="AA756" s="749"/>
      <c r="AB756" s="749"/>
      <c r="AC756" s="749"/>
      <c r="AD756" s="749"/>
      <c r="AG756" s="353">
        <f t="shared" si="679"/>
        <v>0</v>
      </c>
      <c r="AH756" s="326">
        <f t="shared" si="680"/>
        <v>0</v>
      </c>
      <c r="AI756" s="326">
        <f t="shared" si="681"/>
        <v>0</v>
      </c>
      <c r="AJ756" s="326">
        <f t="shared" si="682"/>
        <v>0</v>
      </c>
      <c r="AL756">
        <f t="shared" si="683"/>
        <v>0</v>
      </c>
      <c r="AM756">
        <f t="shared" si="684"/>
        <v>0</v>
      </c>
      <c r="AN756">
        <f t="shared" si="685"/>
        <v>0</v>
      </c>
      <c r="AO756" s="342">
        <f t="shared" si="686"/>
        <v>0</v>
      </c>
      <c r="AQ756" s="253">
        <f t="shared" si="687"/>
        <v>0</v>
      </c>
    </row>
    <row r="757" spans="1:43" ht="15" customHeight="1">
      <c r="A757" s="115"/>
      <c r="C757" s="143" t="s">
        <v>2535</v>
      </c>
      <c r="D757" s="796" t="s">
        <v>3499</v>
      </c>
      <c r="E757" s="796"/>
      <c r="F757" s="796"/>
      <c r="G757" s="796"/>
      <c r="H757" s="796"/>
      <c r="I757" s="796"/>
      <c r="J757" s="796"/>
      <c r="K757" s="796"/>
      <c r="L757" s="796"/>
      <c r="M757" s="816"/>
      <c r="N757" s="738"/>
      <c r="O757" s="738"/>
      <c r="P757" s="738"/>
      <c r="Q757" s="738"/>
      <c r="R757" s="817"/>
      <c r="S757" s="749"/>
      <c r="T757" s="749"/>
      <c r="U757" s="749"/>
      <c r="V757" s="749"/>
      <c r="W757" s="749"/>
      <c r="X757" s="749"/>
      <c r="Y757" s="749"/>
      <c r="Z757" s="749"/>
      <c r="AA757" s="749"/>
      <c r="AB757" s="749"/>
      <c r="AC757" s="749"/>
      <c r="AD757" s="749"/>
      <c r="AG757" s="353">
        <f t="shared" si="679"/>
        <v>0</v>
      </c>
      <c r="AH757" s="326">
        <f t="shared" si="680"/>
        <v>0</v>
      </c>
      <c r="AI757" s="326">
        <f t="shared" si="681"/>
        <v>0</v>
      </c>
      <c r="AJ757" s="326">
        <f t="shared" si="682"/>
        <v>0</v>
      </c>
      <c r="AL757">
        <f t="shared" si="683"/>
        <v>0</v>
      </c>
      <c r="AM757">
        <f t="shared" si="684"/>
        <v>0</v>
      </c>
      <c r="AN757">
        <f t="shared" si="685"/>
        <v>0</v>
      </c>
      <c r="AO757" s="342">
        <f t="shared" si="686"/>
        <v>0</v>
      </c>
      <c r="AQ757" s="253">
        <f t="shared" si="687"/>
        <v>0</v>
      </c>
    </row>
    <row r="758" spans="1:43" ht="15" customHeight="1">
      <c r="A758" s="115"/>
      <c r="C758" s="143" t="s">
        <v>2536</v>
      </c>
      <c r="D758" s="796" t="s">
        <v>3500</v>
      </c>
      <c r="E758" s="796"/>
      <c r="F758" s="796"/>
      <c r="G758" s="796"/>
      <c r="H758" s="796"/>
      <c r="I758" s="796"/>
      <c r="J758" s="796"/>
      <c r="K758" s="796"/>
      <c r="L758" s="796"/>
      <c r="M758" s="816"/>
      <c r="N758" s="738"/>
      <c r="O758" s="738"/>
      <c r="P758" s="738"/>
      <c r="Q758" s="738"/>
      <c r="R758" s="817"/>
      <c r="S758" s="749"/>
      <c r="T758" s="749"/>
      <c r="U758" s="749"/>
      <c r="V758" s="749"/>
      <c r="W758" s="749"/>
      <c r="X758" s="749"/>
      <c r="Y758" s="749"/>
      <c r="Z758" s="749"/>
      <c r="AA758" s="749"/>
      <c r="AB758" s="749"/>
      <c r="AC758" s="749"/>
      <c r="AD758" s="749"/>
      <c r="AG758" s="353">
        <f t="shared" si="679"/>
        <v>0</v>
      </c>
      <c r="AH758" s="326">
        <f t="shared" si="680"/>
        <v>0</v>
      </c>
      <c r="AI758" s="326">
        <f t="shared" si="681"/>
        <v>0</v>
      </c>
      <c r="AJ758" s="326">
        <f t="shared" si="682"/>
        <v>0</v>
      </c>
      <c r="AL758">
        <f t="shared" si="683"/>
        <v>0</v>
      </c>
      <c r="AM758">
        <f t="shared" si="684"/>
        <v>0</v>
      </c>
      <c r="AN758">
        <f t="shared" si="685"/>
        <v>0</v>
      </c>
      <c r="AO758" s="342">
        <f t="shared" si="686"/>
        <v>0</v>
      </c>
      <c r="AQ758" s="253">
        <f t="shared" si="687"/>
        <v>0</v>
      </c>
    </row>
    <row r="759" spans="1:43" ht="15" customHeight="1">
      <c r="A759" s="115"/>
      <c r="C759" s="143" t="s">
        <v>2537</v>
      </c>
      <c r="D759" s="796" t="s">
        <v>3501</v>
      </c>
      <c r="E759" s="796"/>
      <c r="F759" s="796"/>
      <c r="G759" s="796"/>
      <c r="H759" s="796"/>
      <c r="I759" s="796"/>
      <c r="J759" s="796"/>
      <c r="K759" s="796"/>
      <c r="L759" s="796"/>
      <c r="M759" s="816"/>
      <c r="N759" s="738"/>
      <c r="O759" s="738"/>
      <c r="P759" s="738"/>
      <c r="Q759" s="738"/>
      <c r="R759" s="817"/>
      <c r="S759" s="749"/>
      <c r="T759" s="749"/>
      <c r="U759" s="749"/>
      <c r="V759" s="749"/>
      <c r="W759" s="749"/>
      <c r="X759" s="749"/>
      <c r="Y759" s="749"/>
      <c r="Z759" s="749"/>
      <c r="AA759" s="749"/>
      <c r="AB759" s="749"/>
      <c r="AC759" s="749"/>
      <c r="AD759" s="749"/>
      <c r="AG759" s="353">
        <f t="shared" si="679"/>
        <v>0</v>
      </c>
      <c r="AH759" s="326">
        <f t="shared" si="680"/>
        <v>0</v>
      </c>
      <c r="AI759" s="326">
        <f t="shared" si="681"/>
        <v>0</v>
      </c>
      <c r="AJ759" s="326">
        <f t="shared" si="682"/>
        <v>0</v>
      </c>
      <c r="AL759">
        <f t="shared" si="683"/>
        <v>0</v>
      </c>
      <c r="AM759">
        <f t="shared" si="684"/>
        <v>0</v>
      </c>
      <c r="AN759">
        <f t="shared" si="685"/>
        <v>0</v>
      </c>
      <c r="AO759" s="342">
        <f t="shared" si="686"/>
        <v>0</v>
      </c>
      <c r="AQ759" s="253">
        <f t="shared" si="687"/>
        <v>0</v>
      </c>
    </row>
    <row r="760" spans="1:43" ht="15" customHeight="1">
      <c r="A760" s="115"/>
      <c r="C760" s="143" t="s">
        <v>2538</v>
      </c>
      <c r="D760" s="796" t="s">
        <v>3502</v>
      </c>
      <c r="E760" s="796"/>
      <c r="F760" s="796"/>
      <c r="G760" s="796"/>
      <c r="H760" s="796"/>
      <c r="I760" s="796"/>
      <c r="J760" s="796"/>
      <c r="K760" s="796"/>
      <c r="L760" s="796"/>
      <c r="M760" s="816"/>
      <c r="N760" s="738"/>
      <c r="O760" s="738"/>
      <c r="P760" s="738"/>
      <c r="Q760" s="738"/>
      <c r="R760" s="817"/>
      <c r="S760" s="749"/>
      <c r="T760" s="749"/>
      <c r="U760" s="749"/>
      <c r="V760" s="749"/>
      <c r="W760" s="749"/>
      <c r="X760" s="749"/>
      <c r="Y760" s="749"/>
      <c r="Z760" s="749"/>
      <c r="AA760" s="749"/>
      <c r="AB760" s="749"/>
      <c r="AC760" s="749"/>
      <c r="AD760" s="749"/>
      <c r="AG760" s="353">
        <f t="shared" si="679"/>
        <v>0</v>
      </c>
      <c r="AH760" s="326">
        <f t="shared" si="680"/>
        <v>0</v>
      </c>
      <c r="AI760" s="326">
        <f t="shared" si="681"/>
        <v>0</v>
      </c>
      <c r="AJ760" s="326">
        <f t="shared" si="682"/>
        <v>0</v>
      </c>
      <c r="AL760">
        <f t="shared" si="683"/>
        <v>0</v>
      </c>
      <c r="AM760">
        <f t="shared" si="684"/>
        <v>0</v>
      </c>
      <c r="AN760">
        <f t="shared" si="685"/>
        <v>0</v>
      </c>
      <c r="AO760" s="342">
        <f t="shared" si="686"/>
        <v>0</v>
      </c>
      <c r="AQ760" s="253">
        <f t="shared" si="687"/>
        <v>0</v>
      </c>
    </row>
    <row r="761" spans="1:43" ht="15" customHeight="1">
      <c r="A761" s="115"/>
      <c r="C761" s="143" t="s">
        <v>2539</v>
      </c>
      <c r="D761" s="796" t="s">
        <v>3503</v>
      </c>
      <c r="E761" s="796"/>
      <c r="F761" s="796"/>
      <c r="G761" s="796"/>
      <c r="H761" s="796"/>
      <c r="I761" s="796"/>
      <c r="J761" s="796"/>
      <c r="K761" s="796"/>
      <c r="L761" s="796"/>
      <c r="M761" s="816"/>
      <c r="N761" s="738"/>
      <c r="O761" s="738"/>
      <c r="P761" s="738"/>
      <c r="Q761" s="738"/>
      <c r="R761" s="817"/>
      <c r="S761" s="749"/>
      <c r="T761" s="749"/>
      <c r="U761" s="749"/>
      <c r="V761" s="749"/>
      <c r="W761" s="749"/>
      <c r="X761" s="749"/>
      <c r="Y761" s="749"/>
      <c r="Z761" s="749"/>
      <c r="AA761" s="749"/>
      <c r="AB761" s="749"/>
      <c r="AC761" s="749"/>
      <c r="AD761" s="749"/>
      <c r="AG761" s="353">
        <f t="shared" si="679"/>
        <v>0</v>
      </c>
      <c r="AH761" s="326">
        <f t="shared" si="680"/>
        <v>0</v>
      </c>
      <c r="AI761" s="326">
        <f t="shared" si="681"/>
        <v>0</v>
      </c>
      <c r="AJ761" s="326">
        <f t="shared" si="682"/>
        <v>0</v>
      </c>
      <c r="AL761">
        <f t="shared" si="683"/>
        <v>0</v>
      </c>
      <c r="AM761">
        <f t="shared" si="684"/>
        <v>0</v>
      </c>
      <c r="AN761">
        <f t="shared" si="685"/>
        <v>0</v>
      </c>
      <c r="AO761" s="342">
        <f t="shared" si="686"/>
        <v>0</v>
      </c>
      <c r="AQ761" s="253">
        <f t="shared" si="687"/>
        <v>0</v>
      </c>
    </row>
    <row r="762" spans="1:43" ht="15" customHeight="1">
      <c r="A762" s="115"/>
      <c r="C762" s="143" t="s">
        <v>2540</v>
      </c>
      <c r="D762" s="796" t="s">
        <v>3504</v>
      </c>
      <c r="E762" s="796"/>
      <c r="F762" s="796"/>
      <c r="G762" s="796"/>
      <c r="H762" s="796"/>
      <c r="I762" s="796"/>
      <c r="J762" s="796"/>
      <c r="K762" s="796"/>
      <c r="L762" s="796"/>
      <c r="M762" s="816"/>
      <c r="N762" s="738"/>
      <c r="O762" s="738"/>
      <c r="P762" s="738"/>
      <c r="Q762" s="738"/>
      <c r="R762" s="817"/>
      <c r="S762" s="749"/>
      <c r="T762" s="749"/>
      <c r="U762" s="749"/>
      <c r="V762" s="749"/>
      <c r="W762" s="749"/>
      <c r="X762" s="749"/>
      <c r="Y762" s="749"/>
      <c r="Z762" s="749"/>
      <c r="AA762" s="749"/>
      <c r="AB762" s="749"/>
      <c r="AC762" s="749"/>
      <c r="AD762" s="749"/>
      <c r="AG762" s="353">
        <f t="shared" si="679"/>
        <v>0</v>
      </c>
      <c r="AH762" s="326">
        <f t="shared" si="680"/>
        <v>0</v>
      </c>
      <c r="AI762" s="326">
        <f t="shared" si="681"/>
        <v>0</v>
      </c>
      <c r="AJ762" s="326">
        <f t="shared" si="682"/>
        <v>0</v>
      </c>
      <c r="AL762">
        <f t="shared" si="683"/>
        <v>0</v>
      </c>
      <c r="AM762">
        <f t="shared" si="684"/>
        <v>0</v>
      </c>
      <c r="AN762">
        <f t="shared" si="685"/>
        <v>0</v>
      </c>
      <c r="AO762" s="342">
        <f t="shared" si="686"/>
        <v>0</v>
      </c>
      <c r="AQ762" s="253">
        <f t="shared" si="687"/>
        <v>0</v>
      </c>
    </row>
    <row r="763" spans="1:43" ht="15" customHeight="1">
      <c r="A763" s="115"/>
      <c r="C763" s="143" t="s">
        <v>2541</v>
      </c>
      <c r="D763" s="796" t="s">
        <v>3505</v>
      </c>
      <c r="E763" s="796"/>
      <c r="F763" s="796"/>
      <c r="G763" s="796"/>
      <c r="H763" s="796"/>
      <c r="I763" s="796"/>
      <c r="J763" s="796"/>
      <c r="K763" s="796"/>
      <c r="L763" s="796"/>
      <c r="M763" s="816"/>
      <c r="N763" s="738"/>
      <c r="O763" s="738"/>
      <c r="P763" s="738"/>
      <c r="Q763" s="738"/>
      <c r="R763" s="817"/>
      <c r="S763" s="749"/>
      <c r="T763" s="749"/>
      <c r="U763" s="749"/>
      <c r="V763" s="749"/>
      <c r="W763" s="749"/>
      <c r="X763" s="749"/>
      <c r="Y763" s="749"/>
      <c r="Z763" s="749"/>
      <c r="AA763" s="749"/>
      <c r="AB763" s="749"/>
      <c r="AC763" s="749"/>
      <c r="AD763" s="749"/>
      <c r="AG763" s="353">
        <f t="shared" si="679"/>
        <v>0</v>
      </c>
      <c r="AH763" s="326">
        <f t="shared" si="680"/>
        <v>0</v>
      </c>
      <c r="AI763" s="326">
        <f t="shared" si="681"/>
        <v>0</v>
      </c>
      <c r="AJ763" s="326">
        <f t="shared" si="682"/>
        <v>0</v>
      </c>
      <c r="AL763">
        <f t="shared" si="683"/>
        <v>0</v>
      </c>
      <c r="AM763">
        <f t="shared" si="684"/>
        <v>0</v>
      </c>
      <c r="AN763">
        <f t="shared" si="685"/>
        <v>0</v>
      </c>
      <c r="AO763" s="342">
        <f t="shared" si="686"/>
        <v>0</v>
      </c>
      <c r="AQ763" s="253">
        <f t="shared" si="687"/>
        <v>0</v>
      </c>
    </row>
    <row r="764" spans="1:43" ht="24" customHeight="1">
      <c r="A764" s="115"/>
      <c r="C764" s="143" t="s">
        <v>2542</v>
      </c>
      <c r="D764" s="796" t="s">
        <v>3506</v>
      </c>
      <c r="E764" s="796"/>
      <c r="F764" s="796"/>
      <c r="G764" s="796"/>
      <c r="H764" s="796"/>
      <c r="I764" s="796"/>
      <c r="J764" s="796"/>
      <c r="K764" s="796"/>
      <c r="L764" s="796"/>
      <c r="M764" s="816"/>
      <c r="N764" s="738"/>
      <c r="O764" s="738"/>
      <c r="P764" s="738"/>
      <c r="Q764" s="738"/>
      <c r="R764" s="817"/>
      <c r="S764" s="749"/>
      <c r="T764" s="749"/>
      <c r="U764" s="749"/>
      <c r="V764" s="749"/>
      <c r="W764" s="749"/>
      <c r="X764" s="749"/>
      <c r="Y764" s="749"/>
      <c r="Z764" s="749"/>
      <c r="AA764" s="749"/>
      <c r="AB764" s="749"/>
      <c r="AC764" s="749"/>
      <c r="AD764" s="749"/>
      <c r="AG764" s="353">
        <f t="shared" si="679"/>
        <v>0</v>
      </c>
      <c r="AH764" s="326">
        <f t="shared" si="680"/>
        <v>0</v>
      </c>
      <c r="AI764" s="326">
        <f t="shared" si="681"/>
        <v>0</v>
      </c>
      <c r="AJ764" s="326">
        <f t="shared" si="682"/>
        <v>0</v>
      </c>
      <c r="AL764">
        <f t="shared" si="683"/>
        <v>0</v>
      </c>
      <c r="AM764">
        <f t="shared" si="684"/>
        <v>0</v>
      </c>
      <c r="AN764">
        <f t="shared" si="685"/>
        <v>0</v>
      </c>
      <c r="AO764" s="342">
        <f t="shared" si="686"/>
        <v>0</v>
      </c>
      <c r="AQ764" s="253">
        <f t="shared" si="687"/>
        <v>0</v>
      </c>
    </row>
    <row r="765" spans="1:43" ht="24" customHeight="1">
      <c r="A765" s="115"/>
      <c r="C765" s="143" t="s">
        <v>2543</v>
      </c>
      <c r="D765" s="796" t="s">
        <v>3507</v>
      </c>
      <c r="E765" s="796"/>
      <c r="F765" s="796"/>
      <c r="G765" s="796"/>
      <c r="H765" s="796"/>
      <c r="I765" s="796"/>
      <c r="J765" s="796"/>
      <c r="K765" s="796"/>
      <c r="L765" s="796"/>
      <c r="M765" s="816"/>
      <c r="N765" s="738"/>
      <c r="O765" s="738"/>
      <c r="P765" s="738"/>
      <c r="Q765" s="738"/>
      <c r="R765" s="817"/>
      <c r="S765" s="749"/>
      <c r="T765" s="749"/>
      <c r="U765" s="749"/>
      <c r="V765" s="749"/>
      <c r="W765" s="749"/>
      <c r="X765" s="749"/>
      <c r="Y765" s="749"/>
      <c r="Z765" s="749"/>
      <c r="AA765" s="749"/>
      <c r="AB765" s="749"/>
      <c r="AC765" s="749"/>
      <c r="AD765" s="749"/>
      <c r="AG765" s="353">
        <f t="shared" si="679"/>
        <v>0</v>
      </c>
      <c r="AH765" s="326">
        <f t="shared" si="680"/>
        <v>0</v>
      </c>
      <c r="AI765" s="326">
        <f t="shared" si="681"/>
        <v>0</v>
      </c>
      <c r="AJ765" s="326">
        <f t="shared" si="682"/>
        <v>0</v>
      </c>
      <c r="AL765">
        <f t="shared" si="683"/>
        <v>0</v>
      </c>
      <c r="AM765">
        <f t="shared" si="684"/>
        <v>0</v>
      </c>
      <c r="AN765">
        <f t="shared" si="685"/>
        <v>0</v>
      </c>
      <c r="AO765" s="342">
        <f t="shared" si="686"/>
        <v>0</v>
      </c>
      <c r="AQ765" s="253">
        <f t="shared" si="687"/>
        <v>0</v>
      </c>
    </row>
    <row r="766" spans="1:43" ht="15" customHeight="1">
      <c r="A766" s="115"/>
      <c r="C766" s="143" t="s">
        <v>2544</v>
      </c>
      <c r="D766" s="796" t="s">
        <v>3508</v>
      </c>
      <c r="E766" s="796"/>
      <c r="F766" s="796"/>
      <c r="G766" s="796"/>
      <c r="H766" s="796"/>
      <c r="I766" s="796"/>
      <c r="J766" s="796"/>
      <c r="K766" s="796"/>
      <c r="L766" s="796"/>
      <c r="M766" s="816"/>
      <c r="N766" s="738"/>
      <c r="O766" s="738"/>
      <c r="P766" s="738"/>
      <c r="Q766" s="738"/>
      <c r="R766" s="817"/>
      <c r="S766" s="749"/>
      <c r="T766" s="749"/>
      <c r="U766" s="749"/>
      <c r="V766" s="749"/>
      <c r="W766" s="749"/>
      <c r="X766" s="749"/>
      <c r="Y766" s="749"/>
      <c r="Z766" s="749"/>
      <c r="AA766" s="749"/>
      <c r="AB766" s="749"/>
      <c r="AC766" s="749"/>
      <c r="AD766" s="749"/>
      <c r="AG766" s="353">
        <f t="shared" si="679"/>
        <v>0</v>
      </c>
      <c r="AH766" s="326">
        <f t="shared" si="680"/>
        <v>0</v>
      </c>
      <c r="AI766" s="326">
        <f t="shared" si="681"/>
        <v>0</v>
      </c>
      <c r="AJ766" s="326">
        <f t="shared" si="682"/>
        <v>0</v>
      </c>
      <c r="AL766">
        <f t="shared" si="683"/>
        <v>0</v>
      </c>
      <c r="AM766">
        <f t="shared" si="684"/>
        <v>0</v>
      </c>
      <c r="AN766">
        <f t="shared" si="685"/>
        <v>0</v>
      </c>
      <c r="AO766" s="342">
        <f t="shared" si="686"/>
        <v>0</v>
      </c>
      <c r="AQ766" s="253">
        <f t="shared" si="687"/>
        <v>0</v>
      </c>
    </row>
    <row r="767" spans="1:43" ht="15" customHeight="1">
      <c r="A767" s="115"/>
      <c r="C767" s="143" t="s">
        <v>2545</v>
      </c>
      <c r="D767" s="796" t="s">
        <v>3509</v>
      </c>
      <c r="E767" s="796"/>
      <c r="F767" s="796"/>
      <c r="G767" s="796"/>
      <c r="H767" s="796"/>
      <c r="I767" s="796"/>
      <c r="J767" s="796"/>
      <c r="K767" s="796"/>
      <c r="L767" s="796"/>
      <c r="M767" s="816"/>
      <c r="N767" s="738"/>
      <c r="O767" s="738"/>
      <c r="P767" s="738"/>
      <c r="Q767" s="738"/>
      <c r="R767" s="817"/>
      <c r="S767" s="749"/>
      <c r="T767" s="749"/>
      <c r="U767" s="749"/>
      <c r="V767" s="749"/>
      <c r="W767" s="749"/>
      <c r="X767" s="749"/>
      <c r="Y767" s="749"/>
      <c r="Z767" s="749"/>
      <c r="AA767" s="749"/>
      <c r="AB767" s="749"/>
      <c r="AC767" s="749"/>
      <c r="AD767" s="749"/>
      <c r="AG767" s="353">
        <f t="shared" si="679"/>
        <v>0</v>
      </c>
      <c r="AH767" s="326">
        <f t="shared" si="680"/>
        <v>0</v>
      </c>
      <c r="AI767" s="326">
        <f t="shared" si="681"/>
        <v>0</v>
      </c>
      <c r="AJ767" s="326">
        <f t="shared" si="682"/>
        <v>0</v>
      </c>
      <c r="AL767">
        <f t="shared" si="683"/>
        <v>0</v>
      </c>
      <c r="AM767">
        <f t="shared" si="684"/>
        <v>0</v>
      </c>
      <c r="AN767">
        <f t="shared" si="685"/>
        <v>0</v>
      </c>
      <c r="AO767" s="342">
        <f t="shared" si="686"/>
        <v>0</v>
      </c>
      <c r="AQ767" s="253">
        <f t="shared" si="687"/>
        <v>0</v>
      </c>
    </row>
    <row r="768" spans="1:43" ht="15" customHeight="1">
      <c r="A768" s="115"/>
      <c r="C768" s="143" t="s">
        <v>2546</v>
      </c>
      <c r="D768" s="796" t="s">
        <v>3510</v>
      </c>
      <c r="E768" s="796"/>
      <c r="F768" s="796"/>
      <c r="G768" s="796"/>
      <c r="H768" s="796"/>
      <c r="I768" s="796"/>
      <c r="J768" s="796"/>
      <c r="K768" s="796"/>
      <c r="L768" s="796"/>
      <c r="M768" s="816"/>
      <c r="N768" s="738"/>
      <c r="O768" s="738"/>
      <c r="P768" s="738"/>
      <c r="Q768" s="738"/>
      <c r="R768" s="817"/>
      <c r="S768" s="749"/>
      <c r="T768" s="749"/>
      <c r="U768" s="749"/>
      <c r="V768" s="749"/>
      <c r="W768" s="749"/>
      <c r="X768" s="749"/>
      <c r="Y768" s="749"/>
      <c r="Z768" s="749"/>
      <c r="AA768" s="749"/>
      <c r="AB768" s="749"/>
      <c r="AC768" s="749"/>
      <c r="AD768" s="749"/>
      <c r="AG768" s="353">
        <f t="shared" si="679"/>
        <v>0</v>
      </c>
      <c r="AH768" s="326">
        <f t="shared" si="680"/>
        <v>0</v>
      </c>
      <c r="AI768" s="326">
        <f t="shared" si="681"/>
        <v>0</v>
      </c>
      <c r="AJ768" s="326">
        <f t="shared" si="682"/>
        <v>0</v>
      </c>
      <c r="AL768">
        <f t="shared" si="683"/>
        <v>0</v>
      </c>
      <c r="AM768">
        <f t="shared" si="684"/>
        <v>0</v>
      </c>
      <c r="AN768">
        <f t="shared" si="685"/>
        <v>0</v>
      </c>
      <c r="AO768" s="342">
        <f t="shared" si="686"/>
        <v>0</v>
      </c>
      <c r="AQ768" s="253">
        <f t="shared" si="687"/>
        <v>0</v>
      </c>
    </row>
    <row r="769" spans="1:43" ht="15" customHeight="1">
      <c r="A769" s="115"/>
      <c r="C769" s="143" t="s">
        <v>2547</v>
      </c>
      <c r="D769" s="796" t="s">
        <v>3511</v>
      </c>
      <c r="E769" s="796"/>
      <c r="F769" s="796"/>
      <c r="G769" s="796"/>
      <c r="H769" s="796"/>
      <c r="I769" s="796"/>
      <c r="J769" s="796"/>
      <c r="K769" s="796"/>
      <c r="L769" s="796"/>
      <c r="M769" s="816"/>
      <c r="N769" s="738"/>
      <c r="O769" s="738"/>
      <c r="P769" s="738"/>
      <c r="Q769" s="738"/>
      <c r="R769" s="817"/>
      <c r="S769" s="749"/>
      <c r="T769" s="749"/>
      <c r="U769" s="749"/>
      <c r="V769" s="749"/>
      <c r="W769" s="749"/>
      <c r="X769" s="749"/>
      <c r="Y769" s="749"/>
      <c r="Z769" s="749"/>
      <c r="AA769" s="749"/>
      <c r="AB769" s="749"/>
      <c r="AC769" s="749"/>
      <c r="AD769" s="749"/>
      <c r="AG769" s="353">
        <f t="shared" si="679"/>
        <v>0</v>
      </c>
      <c r="AH769" s="326">
        <f t="shared" si="680"/>
        <v>0</v>
      </c>
      <c r="AI769" s="326">
        <f t="shared" si="681"/>
        <v>0</v>
      </c>
      <c r="AJ769" s="326">
        <f t="shared" si="682"/>
        <v>0</v>
      </c>
      <c r="AL769">
        <f t="shared" si="683"/>
        <v>0</v>
      </c>
      <c r="AM769">
        <f t="shared" si="684"/>
        <v>0</v>
      </c>
      <c r="AN769">
        <f t="shared" si="685"/>
        <v>0</v>
      </c>
      <c r="AO769" s="342">
        <f t="shared" si="686"/>
        <v>0</v>
      </c>
      <c r="AQ769" s="253">
        <f t="shared" si="687"/>
        <v>0</v>
      </c>
    </row>
    <row r="770" spans="1:43" ht="15" customHeight="1">
      <c r="A770" s="115"/>
      <c r="C770" s="143" t="s">
        <v>2548</v>
      </c>
      <c r="D770" s="796" t="s">
        <v>3512</v>
      </c>
      <c r="E770" s="796"/>
      <c r="F770" s="796"/>
      <c r="G770" s="796"/>
      <c r="H770" s="796"/>
      <c r="I770" s="796"/>
      <c r="J770" s="796"/>
      <c r="K770" s="796"/>
      <c r="L770" s="796"/>
      <c r="M770" s="816"/>
      <c r="N770" s="738"/>
      <c r="O770" s="738"/>
      <c r="P770" s="738"/>
      <c r="Q770" s="738"/>
      <c r="R770" s="817"/>
      <c r="S770" s="749"/>
      <c r="T770" s="749"/>
      <c r="U770" s="749"/>
      <c r="V770" s="749"/>
      <c r="W770" s="749"/>
      <c r="X770" s="749"/>
      <c r="Y770" s="749"/>
      <c r="Z770" s="749"/>
      <c r="AA770" s="749"/>
      <c r="AB770" s="749"/>
      <c r="AC770" s="749"/>
      <c r="AD770" s="749"/>
      <c r="AG770" s="353">
        <f t="shared" si="679"/>
        <v>0</v>
      </c>
      <c r="AH770" s="326">
        <f t="shared" si="680"/>
        <v>0</v>
      </c>
      <c r="AI770" s="326">
        <f t="shared" si="681"/>
        <v>0</v>
      </c>
      <c r="AJ770" s="326">
        <f t="shared" si="682"/>
        <v>0</v>
      </c>
      <c r="AL770">
        <f t="shared" si="683"/>
        <v>0</v>
      </c>
      <c r="AM770">
        <f t="shared" si="684"/>
        <v>0</v>
      </c>
      <c r="AN770">
        <f t="shared" si="685"/>
        <v>0</v>
      </c>
      <c r="AO770" s="342">
        <f t="shared" si="686"/>
        <v>0</v>
      </c>
      <c r="AQ770" s="253">
        <f t="shared" si="687"/>
        <v>0</v>
      </c>
    </row>
    <row r="771" spans="1:43" ht="15" customHeight="1">
      <c r="A771" s="115"/>
      <c r="C771" s="143" t="s">
        <v>2549</v>
      </c>
      <c r="D771" s="796" t="s">
        <v>3513</v>
      </c>
      <c r="E771" s="796"/>
      <c r="F771" s="796"/>
      <c r="G771" s="796"/>
      <c r="H771" s="796"/>
      <c r="I771" s="796"/>
      <c r="J771" s="796"/>
      <c r="K771" s="796"/>
      <c r="L771" s="796"/>
      <c r="M771" s="816"/>
      <c r="N771" s="738"/>
      <c r="O771" s="738"/>
      <c r="P771" s="738"/>
      <c r="Q771" s="738"/>
      <c r="R771" s="817"/>
      <c r="S771" s="749"/>
      <c r="T771" s="749"/>
      <c r="U771" s="749"/>
      <c r="V771" s="749"/>
      <c r="W771" s="749"/>
      <c r="X771" s="749"/>
      <c r="Y771" s="749"/>
      <c r="Z771" s="749"/>
      <c r="AA771" s="749"/>
      <c r="AB771" s="749"/>
      <c r="AC771" s="749"/>
      <c r="AD771" s="749"/>
      <c r="AG771" s="353">
        <f t="shared" si="679"/>
        <v>0</v>
      </c>
      <c r="AH771" s="326">
        <f t="shared" si="680"/>
        <v>0</v>
      </c>
      <c r="AI771" s="326">
        <f t="shared" si="681"/>
        <v>0</v>
      </c>
      <c r="AJ771" s="326">
        <f t="shared" si="682"/>
        <v>0</v>
      </c>
      <c r="AL771">
        <f t="shared" si="683"/>
        <v>0</v>
      </c>
      <c r="AM771">
        <f t="shared" si="684"/>
        <v>0</v>
      </c>
      <c r="AN771">
        <f t="shared" si="685"/>
        <v>0</v>
      </c>
      <c r="AO771" s="342">
        <f t="shared" si="686"/>
        <v>0</v>
      </c>
      <c r="AQ771" s="253">
        <f t="shared" si="687"/>
        <v>0</v>
      </c>
    </row>
    <row r="772" spans="1:43" ht="15" customHeight="1">
      <c r="A772" s="103"/>
      <c r="B772" s="57"/>
      <c r="C772" s="86"/>
      <c r="D772" s="86"/>
      <c r="E772" s="86"/>
      <c r="F772" s="86"/>
      <c r="G772" s="86"/>
      <c r="H772" s="86"/>
      <c r="I772" s="86"/>
      <c r="J772" s="86"/>
      <c r="K772" s="86"/>
      <c r="L772" s="86"/>
      <c r="M772" s="86"/>
      <c r="N772" s="86"/>
      <c r="O772" s="86"/>
      <c r="P772" s="86"/>
      <c r="Q772" s="86"/>
      <c r="R772" s="86"/>
      <c r="S772" s="86"/>
      <c r="T772" s="86"/>
      <c r="U772" s="86"/>
      <c r="V772" s="86"/>
      <c r="W772" s="86"/>
      <c r="X772" s="86"/>
      <c r="Y772" s="86"/>
      <c r="Z772" s="86"/>
      <c r="AA772" s="86"/>
      <c r="AB772" s="86"/>
      <c r="AC772" s="86"/>
      <c r="AD772" s="86"/>
      <c r="AG772" s="354">
        <f>SUM(AG738:AG771)</f>
        <v>0</v>
      </c>
      <c r="AH772" s="406">
        <f>SUM(AH738:AH771)</f>
        <v>0</v>
      </c>
      <c r="AI772" s="351">
        <f>SUM(AI738:AI771)</f>
        <v>0</v>
      </c>
      <c r="AJ772" s="352">
        <f>SUM(AJ738:AJ771)</f>
        <v>0</v>
      </c>
      <c r="AK772"/>
      <c r="AL772" s="359">
        <f>SUM(AL738:AL771)</f>
        <v>0</v>
      </c>
      <c r="AM772" s="360">
        <f>SUM(AM738:AM771)</f>
        <v>0</v>
      </c>
      <c r="AN772" s="361">
        <f>SUM(AN738:AN771)</f>
        <v>0</v>
      </c>
      <c r="AO772" s="419">
        <f>SUM(AO738:AO771)</f>
        <v>0</v>
      </c>
      <c r="AP772"/>
      <c r="AQ772" s="420">
        <f>SUM(AQ738:AQ771)</f>
        <v>0</v>
      </c>
    </row>
    <row r="773" spans="1:43" ht="45" customHeight="1">
      <c r="A773" s="103"/>
      <c r="B773" s="57"/>
      <c r="C773" s="822" t="s">
        <v>3514</v>
      </c>
      <c r="D773" s="822"/>
      <c r="E773" s="822"/>
      <c r="F773" s="816"/>
      <c r="G773" s="738"/>
      <c r="H773" s="738"/>
      <c r="I773" s="738"/>
      <c r="J773" s="738"/>
      <c r="K773" s="738"/>
      <c r="L773" s="738"/>
      <c r="M773" s="738"/>
      <c r="N773" s="738"/>
      <c r="O773" s="738"/>
      <c r="P773" s="738"/>
      <c r="Q773" s="738"/>
      <c r="R773" s="738"/>
      <c r="S773" s="738"/>
      <c r="T773" s="738"/>
      <c r="U773" s="738"/>
      <c r="V773" s="738"/>
      <c r="W773" s="738"/>
      <c r="X773" s="738"/>
      <c r="Y773" s="738"/>
      <c r="Z773" s="738"/>
      <c r="AA773" s="738"/>
      <c r="AB773" s="738"/>
      <c r="AC773" s="738"/>
      <c r="AD773" s="817"/>
      <c r="AG773"/>
      <c r="AH773"/>
      <c r="AI773"/>
      <c r="AJ773"/>
      <c r="AK773"/>
      <c r="AL773"/>
      <c r="AM773"/>
      <c r="AN773" s="362">
        <f>SUM(AL772:AN772)</f>
        <v>0</v>
      </c>
      <c r="AO773"/>
      <c r="AP773"/>
      <c r="AQ773"/>
    </row>
    <row r="774" spans="1:43" ht="15" customHeight="1">
      <c r="A774" s="103"/>
      <c r="B774" s="794" t="str">
        <f>IF(AND(AK738&gt;0,F773=""),"Ha seleccionado el código 1 en el numeral 34, debe anotar el nombre de dicha(s) prestación(es) laboral(es)","")</f>
        <v/>
      </c>
      <c r="C774" s="794"/>
      <c r="D774" s="794"/>
      <c r="E774" s="794"/>
      <c r="F774" s="794"/>
      <c r="G774" s="794"/>
      <c r="H774" s="794"/>
      <c r="I774" s="794"/>
      <c r="J774" s="794"/>
      <c r="K774" s="794"/>
      <c r="L774" s="794"/>
      <c r="M774" s="794"/>
      <c r="N774" s="794"/>
      <c r="O774" s="794"/>
      <c r="P774" s="794"/>
      <c r="Q774" s="794"/>
      <c r="R774" s="794"/>
      <c r="S774" s="794"/>
      <c r="T774" s="794"/>
      <c r="U774" s="794"/>
      <c r="V774" s="794"/>
      <c r="W774" s="794"/>
      <c r="X774" s="794"/>
      <c r="Y774" s="794"/>
      <c r="Z774" s="794"/>
      <c r="AA774" s="794"/>
      <c r="AB774" s="794"/>
      <c r="AC774" s="794"/>
      <c r="AD774" s="794"/>
      <c r="AE774" s="794"/>
    </row>
    <row r="775" spans="1:43" ht="24" customHeight="1">
      <c r="A775" s="94"/>
      <c r="C775" s="754" t="s">
        <v>2611</v>
      </c>
      <c r="D775" s="754"/>
      <c r="E775" s="754"/>
      <c r="F775" s="754"/>
      <c r="G775" s="754"/>
      <c r="H775" s="754"/>
      <c r="I775" s="754"/>
      <c r="J775" s="754"/>
      <c r="K775" s="754"/>
      <c r="L775" s="754"/>
      <c r="M775" s="754"/>
      <c r="N775" s="754"/>
      <c r="O775" s="754"/>
      <c r="P775" s="754"/>
      <c r="Q775" s="754"/>
      <c r="R775" s="754"/>
      <c r="S775" s="754"/>
      <c r="T775" s="754"/>
      <c r="U775" s="754"/>
      <c r="V775" s="754"/>
      <c r="W775" s="754"/>
      <c r="X775" s="754"/>
      <c r="Y775" s="754"/>
      <c r="Z775" s="754"/>
      <c r="AA775" s="754"/>
      <c r="AB775" s="754"/>
      <c r="AC775" s="754"/>
      <c r="AD775" s="754"/>
    </row>
    <row r="776" spans="1:43" ht="60" customHeight="1">
      <c r="A776" s="94"/>
      <c r="C776" s="851"/>
      <c r="D776" s="851"/>
      <c r="E776" s="851"/>
      <c r="F776" s="851"/>
      <c r="G776" s="851"/>
      <c r="H776" s="851"/>
      <c r="I776" s="851"/>
      <c r="J776" s="851"/>
      <c r="K776" s="851"/>
      <c r="L776" s="851"/>
      <c r="M776" s="851"/>
      <c r="N776" s="851"/>
      <c r="O776" s="851"/>
      <c r="P776" s="851"/>
      <c r="Q776" s="851"/>
      <c r="R776" s="851"/>
      <c r="S776" s="851"/>
      <c r="T776" s="851"/>
      <c r="U776" s="851"/>
      <c r="V776" s="851"/>
      <c r="W776" s="851"/>
      <c r="X776" s="851"/>
      <c r="Y776" s="851"/>
      <c r="Z776" s="851"/>
      <c r="AA776" s="851"/>
      <c r="AB776" s="851"/>
      <c r="AC776" s="851"/>
      <c r="AD776" s="851"/>
    </row>
    <row r="777" spans="1:43" ht="15" customHeight="1">
      <c r="A777" s="103"/>
      <c r="B777" s="794" t="str">
        <f>IF(AG772&gt;0,"Favor de ingresar toda la información requerida en la pregunta y/o verifique que no tenga información en celdas sombreadas","")</f>
        <v/>
      </c>
      <c r="C777" s="794"/>
      <c r="D777" s="794"/>
      <c r="E777" s="794"/>
      <c r="F777" s="794"/>
      <c r="G777" s="794"/>
      <c r="H777" s="794"/>
      <c r="I777" s="794"/>
      <c r="J777" s="794"/>
      <c r="K777" s="794"/>
      <c r="L777" s="794"/>
      <c r="M777" s="794"/>
      <c r="N777" s="794"/>
      <c r="O777" s="794"/>
      <c r="P777" s="794"/>
      <c r="Q777" s="794"/>
      <c r="R777" s="794"/>
      <c r="S777" s="794"/>
      <c r="T777" s="794"/>
      <c r="U777" s="794"/>
      <c r="V777" s="794"/>
      <c r="W777" s="794"/>
      <c r="X777" s="794"/>
      <c r="Y777" s="794"/>
      <c r="Z777" s="794"/>
      <c r="AA777" s="794"/>
      <c r="AB777" s="794"/>
      <c r="AC777" s="794"/>
      <c r="AD777" s="794"/>
      <c r="AE777"/>
    </row>
    <row r="778" spans="1:43" ht="15" customHeight="1">
      <c r="A778" s="103"/>
      <c r="B778" s="795" t="str">
        <f>IF(AH772&gt;0,"Alerta: debido a que cuenta con registros NS, debe proporcionar una justificación en el area de comentarios al final de la pregunta","")</f>
        <v/>
      </c>
      <c r="C778" s="795"/>
      <c r="D778" s="795"/>
      <c r="E778" s="795"/>
      <c r="F778" s="795"/>
      <c r="G778" s="795"/>
      <c r="H778" s="795"/>
      <c r="I778" s="795"/>
      <c r="J778" s="795"/>
      <c r="K778" s="795"/>
      <c r="L778" s="795"/>
      <c r="M778" s="795"/>
      <c r="N778" s="795"/>
      <c r="O778" s="795"/>
      <c r="P778" s="795"/>
      <c r="Q778" s="795"/>
      <c r="R778" s="795"/>
      <c r="S778" s="795"/>
      <c r="T778" s="795"/>
      <c r="U778" s="795"/>
      <c r="V778" s="795"/>
      <c r="W778" s="795"/>
      <c r="X778" s="795"/>
      <c r="Y778" s="795"/>
      <c r="Z778" s="795"/>
      <c r="AA778" s="795"/>
      <c r="AB778" s="795"/>
      <c r="AC778" s="795"/>
      <c r="AD778" s="795"/>
      <c r="AE778"/>
    </row>
    <row r="779" spans="1:43" ht="15" customHeight="1">
      <c r="A779" s="103"/>
      <c r="B779" s="794" t="str">
        <f>IF(AJ772&gt;0,"Favor de revisar la suma y consistencia de totales y/o subtotales por filas (numéricos y NS)","")</f>
        <v/>
      </c>
      <c r="C779" s="794"/>
      <c r="D779" s="794"/>
      <c r="E779" s="794"/>
      <c r="F779" s="794"/>
      <c r="G779" s="794"/>
      <c r="H779" s="794"/>
      <c r="I779" s="794"/>
      <c r="J779" s="794"/>
      <c r="K779" s="794"/>
      <c r="L779" s="794"/>
      <c r="M779" s="794"/>
      <c r="N779" s="794"/>
      <c r="O779" s="794"/>
      <c r="P779" s="794"/>
      <c r="Q779" s="794"/>
      <c r="R779" s="794"/>
      <c r="S779" s="794"/>
      <c r="T779" s="794"/>
      <c r="U779" s="794"/>
      <c r="V779" s="794"/>
      <c r="W779" s="794"/>
      <c r="X779" s="794"/>
      <c r="Y779" s="794"/>
      <c r="Z779" s="794"/>
      <c r="AA779" s="794"/>
      <c r="AB779" s="794"/>
      <c r="AC779" s="794"/>
      <c r="AD779" s="794"/>
      <c r="AE779"/>
    </row>
    <row r="780" spans="1:43" ht="15" customHeight="1">
      <c r="A780" s="103"/>
      <c r="B780" s="794" t="str">
        <f>IF(AN773&gt;0,"Favor de revisar la instrucción 4, debido a que no se cumplen con los criterios mencionados","")</f>
        <v/>
      </c>
      <c r="C780" s="794"/>
      <c r="D780" s="794"/>
      <c r="E780" s="794"/>
      <c r="F780" s="794"/>
      <c r="G780" s="794"/>
      <c r="H780" s="794"/>
      <c r="I780" s="794"/>
      <c r="J780" s="794"/>
      <c r="K780" s="794"/>
      <c r="L780" s="794"/>
      <c r="M780" s="794"/>
      <c r="N780" s="794"/>
      <c r="O780" s="794"/>
      <c r="P780" s="794"/>
      <c r="Q780" s="794"/>
      <c r="R780" s="794"/>
      <c r="S780" s="794"/>
      <c r="T780" s="794"/>
      <c r="U780" s="794"/>
      <c r="V780" s="794"/>
      <c r="W780" s="794"/>
      <c r="X780" s="794"/>
      <c r="Y780" s="794"/>
      <c r="Z780" s="794"/>
      <c r="AA780" s="794"/>
      <c r="AB780" s="794"/>
      <c r="AC780" s="794"/>
      <c r="AD780" s="794"/>
      <c r="AE780" s="794"/>
    </row>
    <row r="781" spans="1:43" ht="15" customHeight="1">
      <c r="A781" s="103"/>
      <c r="B781" s="794" t="str">
        <f>IF(AQ772&gt;0,"No puede ingresar cero en la col. Personal adscrito debido a que registró el código 1 en la col. ¿El personal contó con la prestación?","")</f>
        <v/>
      </c>
      <c r="C781" s="794"/>
      <c r="D781" s="794"/>
      <c r="E781" s="794"/>
      <c r="F781" s="794"/>
      <c r="G781" s="794"/>
      <c r="H781" s="794"/>
      <c r="I781" s="794"/>
      <c r="J781" s="794"/>
      <c r="K781" s="794"/>
      <c r="L781" s="794"/>
      <c r="M781" s="794"/>
      <c r="N781" s="794"/>
      <c r="O781" s="794"/>
      <c r="P781" s="794"/>
      <c r="Q781" s="794"/>
      <c r="R781" s="794"/>
      <c r="S781" s="794"/>
      <c r="T781" s="794"/>
      <c r="U781" s="794"/>
      <c r="V781" s="794"/>
      <c r="W781" s="794"/>
      <c r="X781" s="794"/>
      <c r="Y781" s="794"/>
      <c r="Z781" s="794"/>
      <c r="AA781" s="794"/>
      <c r="AB781" s="794"/>
      <c r="AC781" s="794"/>
      <c r="AD781" s="794"/>
      <c r="AE781" s="794"/>
    </row>
    <row r="782" spans="1:43" ht="15" customHeight="1">
      <c r="A782" s="103"/>
      <c r="B782" s="57"/>
      <c r="C782" s="57"/>
      <c r="D782" s="57"/>
      <c r="E782" s="57"/>
      <c r="F782" s="57"/>
      <c r="G782" s="57"/>
      <c r="H782" s="57"/>
      <c r="I782" s="57"/>
      <c r="J782" s="57"/>
      <c r="K782" s="57"/>
      <c r="L782" s="57"/>
      <c r="M782" s="57"/>
      <c r="N782" s="57"/>
      <c r="O782" s="57"/>
      <c r="P782" s="57"/>
      <c r="Q782" s="57"/>
      <c r="R782" s="57"/>
      <c r="S782" s="57"/>
      <c r="T782" s="57"/>
      <c r="U782" s="57"/>
      <c r="V782" s="57"/>
      <c r="W782" s="57"/>
      <c r="X782" s="57"/>
      <c r="Y782" s="57"/>
      <c r="Z782" s="57"/>
      <c r="AA782" s="57"/>
      <c r="AB782" s="57"/>
      <c r="AC782" s="57"/>
      <c r="AD782" s="57"/>
      <c r="AE782"/>
    </row>
    <row r="783" spans="1:43" ht="48" customHeight="1">
      <c r="A783" s="49" t="s">
        <v>3515</v>
      </c>
      <c r="B783" s="829" t="s">
        <v>3516</v>
      </c>
      <c r="C783" s="829"/>
      <c r="D783" s="829"/>
      <c r="E783" s="829"/>
      <c r="F783" s="829"/>
      <c r="G783" s="829"/>
      <c r="H783" s="829"/>
      <c r="I783" s="829"/>
      <c r="J783" s="829"/>
      <c r="K783" s="829"/>
      <c r="L783" s="829"/>
      <c r="M783" s="829"/>
      <c r="N783" s="829"/>
      <c r="O783" s="829"/>
      <c r="P783" s="829"/>
      <c r="Q783" s="829"/>
      <c r="R783" s="829"/>
      <c r="S783" s="829"/>
      <c r="T783" s="829"/>
      <c r="U783" s="829"/>
      <c r="V783" s="829"/>
      <c r="W783" s="829"/>
      <c r="X783" s="829"/>
      <c r="Y783" s="829"/>
      <c r="Z783" s="829"/>
      <c r="AA783" s="829"/>
      <c r="AB783" s="829"/>
      <c r="AC783" s="829"/>
      <c r="AD783" s="829"/>
    </row>
    <row r="784" spans="1:43" ht="24" customHeight="1">
      <c r="A784" s="49"/>
      <c r="B784" s="105"/>
      <c r="C784" s="754" t="s">
        <v>3517</v>
      </c>
      <c r="D784" s="754"/>
      <c r="E784" s="754"/>
      <c r="F784" s="754"/>
      <c r="G784" s="754"/>
      <c r="H784" s="754"/>
      <c r="I784" s="754"/>
      <c r="J784" s="754"/>
      <c r="K784" s="754"/>
      <c r="L784" s="754"/>
      <c r="M784" s="754"/>
      <c r="N784" s="754"/>
      <c r="O784" s="754"/>
      <c r="P784" s="754"/>
      <c r="Q784" s="754"/>
      <c r="R784" s="754"/>
      <c r="S784" s="754"/>
      <c r="T784" s="754"/>
      <c r="U784" s="754"/>
      <c r="V784" s="754"/>
      <c r="W784" s="754"/>
      <c r="X784" s="754"/>
      <c r="Y784" s="754"/>
      <c r="Z784" s="754"/>
      <c r="AA784" s="754"/>
      <c r="AB784" s="754"/>
      <c r="AC784" s="754"/>
      <c r="AD784" s="754"/>
    </row>
    <row r="785" spans="1:50" ht="24" customHeight="1">
      <c r="A785" s="49"/>
      <c r="B785" s="105"/>
      <c r="C785" s="830" t="s">
        <v>3518</v>
      </c>
      <c r="D785" s="830"/>
      <c r="E785" s="830"/>
      <c r="F785" s="830"/>
      <c r="G785" s="830"/>
      <c r="H785" s="830"/>
      <c r="I785" s="830"/>
      <c r="J785" s="830"/>
      <c r="K785" s="830"/>
      <c r="L785" s="830"/>
      <c r="M785" s="830"/>
      <c r="N785" s="830"/>
      <c r="O785" s="830"/>
      <c r="P785" s="830"/>
      <c r="Q785" s="830"/>
      <c r="R785" s="830"/>
      <c r="S785" s="830"/>
      <c r="T785" s="830"/>
      <c r="U785" s="830"/>
      <c r="V785" s="830"/>
      <c r="W785" s="830"/>
      <c r="X785" s="830"/>
      <c r="Y785" s="830"/>
      <c r="Z785" s="830"/>
      <c r="AA785" s="830"/>
      <c r="AB785" s="830"/>
      <c r="AC785" s="830"/>
      <c r="AD785" s="830"/>
    </row>
    <row r="786" spans="1:50" ht="36" customHeight="1">
      <c r="A786" s="49"/>
      <c r="B786" s="105"/>
      <c r="C786" s="754" t="s">
        <v>3519</v>
      </c>
      <c r="D786" s="754"/>
      <c r="E786" s="754"/>
      <c r="F786" s="754"/>
      <c r="G786" s="754"/>
      <c r="H786" s="754"/>
      <c r="I786" s="754"/>
      <c r="J786" s="754"/>
      <c r="K786" s="754"/>
      <c r="L786" s="754"/>
      <c r="M786" s="754"/>
      <c r="N786" s="754"/>
      <c r="O786" s="754"/>
      <c r="P786" s="754"/>
      <c r="Q786" s="754"/>
      <c r="R786" s="754"/>
      <c r="S786" s="754"/>
      <c r="T786" s="754"/>
      <c r="U786" s="754"/>
      <c r="V786" s="754"/>
      <c r="W786" s="754"/>
      <c r="X786" s="754"/>
      <c r="Y786" s="754"/>
      <c r="Z786" s="754"/>
      <c r="AA786" s="754"/>
      <c r="AB786" s="754"/>
      <c r="AC786" s="754"/>
      <c r="AD786" s="754"/>
    </row>
    <row r="787" spans="1:50" ht="24" customHeight="1">
      <c r="A787" s="49"/>
      <c r="B787" s="105"/>
      <c r="C787" s="754" t="s">
        <v>3520</v>
      </c>
      <c r="D787" s="754"/>
      <c r="E787" s="754"/>
      <c r="F787" s="754"/>
      <c r="G787" s="754"/>
      <c r="H787" s="754"/>
      <c r="I787" s="754"/>
      <c r="J787" s="754"/>
      <c r="K787" s="754"/>
      <c r="L787" s="754"/>
      <c r="M787" s="754"/>
      <c r="N787" s="754"/>
      <c r="O787" s="754"/>
      <c r="P787" s="754"/>
      <c r="Q787" s="754"/>
      <c r="R787" s="754"/>
      <c r="S787" s="754"/>
      <c r="T787" s="754"/>
      <c r="U787" s="754"/>
      <c r="V787" s="754"/>
      <c r="W787" s="754"/>
      <c r="X787" s="754"/>
      <c r="Y787" s="754"/>
      <c r="Z787" s="754"/>
      <c r="AA787" s="754"/>
      <c r="AB787" s="754"/>
      <c r="AC787" s="754"/>
      <c r="AD787" s="754"/>
    </row>
    <row r="788" spans="1:50" ht="15">
      <c r="A788" s="94"/>
    </row>
    <row r="789" spans="1:50" ht="36" customHeight="1">
      <c r="A789" s="115"/>
      <c r="C789" s="797" t="s">
        <v>3521</v>
      </c>
      <c r="D789" s="798"/>
      <c r="E789" s="798"/>
      <c r="F789" s="798"/>
      <c r="G789" s="798"/>
      <c r="H789" s="798"/>
      <c r="I789" s="798"/>
      <c r="J789" s="798"/>
      <c r="K789" s="799"/>
      <c r="L789" s="797" t="s">
        <v>3522</v>
      </c>
      <c r="M789" s="798"/>
      <c r="N789" s="798"/>
      <c r="O789" s="798"/>
      <c r="P789" s="798"/>
      <c r="Q789" s="799"/>
      <c r="R789" s="739" t="s">
        <v>3523</v>
      </c>
      <c r="S789" s="740"/>
      <c r="T789" s="740"/>
      <c r="U789" s="740"/>
      <c r="V789" s="740"/>
      <c r="W789" s="740"/>
      <c r="X789" s="740"/>
      <c r="Y789" s="740"/>
      <c r="Z789" s="740"/>
      <c r="AA789" s="740"/>
      <c r="AB789" s="740"/>
      <c r="AC789" s="740"/>
      <c r="AD789" s="741"/>
      <c r="AG789"/>
      <c r="AH789" s="922" t="s">
        <v>2784</v>
      </c>
      <c r="AI789"/>
      <c r="AJ789"/>
      <c r="AK789"/>
      <c r="AL789"/>
      <c r="AM789"/>
      <c r="AN789"/>
      <c r="AO789"/>
      <c r="AP789"/>
      <c r="AQ789"/>
      <c r="AR789"/>
      <c r="AS789"/>
      <c r="AT789"/>
      <c r="AU789"/>
      <c r="AV789"/>
      <c r="AW789"/>
      <c r="AX789"/>
    </row>
    <row r="790" spans="1:50" ht="15" customHeight="1">
      <c r="A790" s="115"/>
      <c r="C790" s="800"/>
      <c r="D790" s="801"/>
      <c r="E790" s="801"/>
      <c r="F790" s="801"/>
      <c r="G790" s="801"/>
      <c r="H790" s="801"/>
      <c r="I790" s="801"/>
      <c r="J790" s="801"/>
      <c r="K790" s="802"/>
      <c r="L790" s="800"/>
      <c r="M790" s="801"/>
      <c r="N790" s="801"/>
      <c r="O790" s="801"/>
      <c r="P790" s="801"/>
      <c r="Q790" s="802"/>
      <c r="R790" s="887" t="s">
        <v>2628</v>
      </c>
      <c r="S790" s="733" t="s">
        <v>3524</v>
      </c>
      <c r="T790" s="734"/>
      <c r="U790" s="734"/>
      <c r="V790" s="734"/>
      <c r="W790" s="734"/>
      <c r="X790" s="734"/>
      <c r="Y790" s="734"/>
      <c r="Z790" s="734"/>
      <c r="AA790" s="734"/>
      <c r="AB790" s="734"/>
      <c r="AC790" s="734"/>
      <c r="AD790" s="735"/>
      <c r="AG790"/>
      <c r="AH790" s="922"/>
      <c r="AI790" s="923" t="s">
        <v>3525</v>
      </c>
      <c r="AJ790" s="923"/>
      <c r="AK790" s="923"/>
      <c r="AL790" s="923"/>
      <c r="AM790" s="923"/>
      <c r="AN790" s="923"/>
      <c r="AO790" s="923"/>
      <c r="AP790" s="923"/>
      <c r="AQ790" s="923"/>
      <c r="AR790" s="923"/>
      <c r="AS790" s="923"/>
      <c r="AT790" s="923"/>
      <c r="AU790"/>
      <c r="AV790"/>
      <c r="AW790"/>
      <c r="AX790" s="921" t="s">
        <v>3478</v>
      </c>
    </row>
    <row r="791" spans="1:50" ht="15" customHeight="1">
      <c r="A791" s="115"/>
      <c r="C791" s="803"/>
      <c r="D791" s="804"/>
      <c r="E791" s="804"/>
      <c r="F791" s="804"/>
      <c r="G791" s="804"/>
      <c r="H791" s="804"/>
      <c r="I791" s="804"/>
      <c r="J791" s="804"/>
      <c r="K791" s="805"/>
      <c r="L791" s="803"/>
      <c r="M791" s="804"/>
      <c r="N791" s="804"/>
      <c r="O791" s="804"/>
      <c r="P791" s="804"/>
      <c r="Q791" s="805"/>
      <c r="R791" s="888"/>
      <c r="S791" s="44" t="s">
        <v>2516</v>
      </c>
      <c r="T791" s="44" t="s">
        <v>2517</v>
      </c>
      <c r="U791" s="44" t="s">
        <v>2518</v>
      </c>
      <c r="V791" s="44" t="s">
        <v>2519</v>
      </c>
      <c r="W791" s="44" t="s">
        <v>2520</v>
      </c>
      <c r="X791" s="44" t="s">
        <v>2521</v>
      </c>
      <c r="Y791" s="44" t="s">
        <v>2522</v>
      </c>
      <c r="Z791" s="44" t="s">
        <v>2523</v>
      </c>
      <c r="AA791" s="44" t="s">
        <v>2524</v>
      </c>
      <c r="AB791" s="44" t="s">
        <v>2525</v>
      </c>
      <c r="AC791" s="44" t="s">
        <v>2526</v>
      </c>
      <c r="AD791" s="143" t="s">
        <v>2527</v>
      </c>
      <c r="AG791" s="354" t="s">
        <v>2586</v>
      </c>
      <c r="AH791" s="922"/>
      <c r="AI791" s="334">
        <v>1</v>
      </c>
      <c r="AJ791" s="421">
        <v>2</v>
      </c>
      <c r="AK791" s="334">
        <v>3</v>
      </c>
      <c r="AL791" s="421">
        <v>4</v>
      </c>
      <c r="AM791" s="334">
        <v>5</v>
      </c>
      <c r="AN791" s="421">
        <v>6</v>
      </c>
      <c r="AO791" s="334">
        <v>7</v>
      </c>
      <c r="AP791" s="421">
        <v>8</v>
      </c>
      <c r="AQ791" s="334">
        <v>9</v>
      </c>
      <c r="AR791" s="421">
        <v>10</v>
      </c>
      <c r="AS791" s="334">
        <v>11</v>
      </c>
      <c r="AT791" s="421">
        <v>12</v>
      </c>
      <c r="AU791" s="422" t="s">
        <v>3526</v>
      </c>
      <c r="AV791" s="350" t="s">
        <v>2590</v>
      </c>
      <c r="AW791" s="365" t="s">
        <v>2620</v>
      </c>
      <c r="AX791" s="921"/>
    </row>
    <row r="792" spans="1:50" ht="15" customHeight="1">
      <c r="A792" s="115"/>
      <c r="C792" s="44" t="s">
        <v>2516</v>
      </c>
      <c r="D792" s="869" t="s">
        <v>3527</v>
      </c>
      <c r="E792" s="870"/>
      <c r="F792" s="870"/>
      <c r="G792" s="870"/>
      <c r="H792" s="870"/>
      <c r="I792" s="870"/>
      <c r="J792" s="870"/>
      <c r="K792" s="871"/>
      <c r="L792" s="816"/>
      <c r="M792" s="738"/>
      <c r="N792" s="738"/>
      <c r="O792" s="738"/>
      <c r="P792" s="738"/>
      <c r="Q792" s="738"/>
      <c r="R792" s="100"/>
      <c r="S792" s="100"/>
      <c r="T792" s="100"/>
      <c r="U792" s="100"/>
      <c r="V792" s="100"/>
      <c r="W792" s="100"/>
      <c r="X792" s="100"/>
      <c r="Y792" s="100"/>
      <c r="Z792" s="100"/>
      <c r="AA792" s="100"/>
      <c r="AB792" s="100"/>
      <c r="AC792" s="100"/>
      <c r="AD792" s="100"/>
      <c r="AG792" s="353">
        <f>IF(AND($L792&lt;&gt;1,$L792&lt;&gt;"",COUNTA(R792:AD792)=0),0,IF(AND($L792=1,$L792&lt;&gt;"",COUNTA(R792:AD792)=13),0,IF(AND($L792="",COUNTA(R792:AD792)=0),0,1)))</f>
        <v>0</v>
      </c>
      <c r="AH792">
        <f>IF(OR(R792="NS",S792="NS",T792="NS",U792="NS",V792="NS",W792="NS",X792="NS",Y792="NS",Z792="NS",AA792="NS",AB792="NS",AC792="NS",AD792="NS"),0,IF(AND(R792="NA",S792="NA",T792="NA",U792="NA",V792="NA",W792="NA",X792="NA",Y792="NA",Z792="NA",AA792="NA",AB792="NA",AC792="NA",AD792="NA"),0,IF(R792&lt;=SUM(S792:AD792),0,1)))</f>
        <v>0</v>
      </c>
      <c r="AI792">
        <f t="shared" ref="AI792:AT792" si="688">IF(OR(S792="NS",$R792="NS"),0,IF(AND(S792="NA",$R792="NA"),0,IF(S792&lt;=$R792,0,1)))</f>
        <v>0</v>
      </c>
      <c r="AJ792">
        <f t="shared" si="688"/>
        <v>0</v>
      </c>
      <c r="AK792">
        <f t="shared" si="688"/>
        <v>0</v>
      </c>
      <c r="AL792">
        <f t="shared" si="688"/>
        <v>0</v>
      </c>
      <c r="AM792">
        <f t="shared" si="688"/>
        <v>0</v>
      </c>
      <c r="AN792">
        <f t="shared" si="688"/>
        <v>0</v>
      </c>
      <c r="AO792">
        <f t="shared" si="688"/>
        <v>0</v>
      </c>
      <c r="AP792">
        <f t="shared" si="688"/>
        <v>0</v>
      </c>
      <c r="AQ792">
        <f t="shared" si="688"/>
        <v>0</v>
      </c>
      <c r="AR792">
        <f t="shared" si="688"/>
        <v>0</v>
      </c>
      <c r="AS792">
        <f t="shared" si="688"/>
        <v>0</v>
      </c>
      <c r="AT792">
        <f t="shared" si="688"/>
        <v>0</v>
      </c>
      <c r="AU792">
        <f>IF(SUM(AC795)&gt;0,1,0)</f>
        <v>0</v>
      </c>
      <c r="AV792" s="326">
        <f>COUNTIF(R792:AD792,"NS")</f>
        <v>0</v>
      </c>
      <c r="AW792" s="342">
        <f>IF(AND($L792&lt;&gt;"",$L792&lt;&gt;1,COUNTA(R792:AD792)&gt;0),1,0)</f>
        <v>0</v>
      </c>
      <c r="AX792" s="253">
        <f>IF(AND($L792&lt;&gt;"",$L792=1,R792&lt;&gt;"",SUM(R792)=0),1,0)</f>
        <v>0</v>
      </c>
    </row>
    <row r="793" spans="1:50" ht="15" customHeight="1">
      <c r="A793" s="115"/>
      <c r="C793" s="44" t="s">
        <v>2517</v>
      </c>
      <c r="D793" s="869" t="s">
        <v>3528</v>
      </c>
      <c r="E793" s="870"/>
      <c r="F793" s="870"/>
      <c r="G793" s="870"/>
      <c r="H793" s="870"/>
      <c r="I793" s="870"/>
      <c r="J793" s="870"/>
      <c r="K793" s="871"/>
      <c r="L793" s="816"/>
      <c r="M793" s="738"/>
      <c r="N793" s="738"/>
      <c r="O793" s="738"/>
      <c r="P793" s="738"/>
      <c r="Q793" s="738"/>
      <c r="R793" s="100"/>
      <c r="S793" s="100"/>
      <c r="T793" s="100"/>
      <c r="U793" s="100"/>
      <c r="V793" s="100"/>
      <c r="W793" s="100"/>
      <c r="X793" s="100"/>
      <c r="Y793" s="100"/>
      <c r="Z793" s="100"/>
      <c r="AA793" s="100"/>
      <c r="AB793" s="100"/>
      <c r="AC793" s="100"/>
      <c r="AD793" s="100"/>
      <c r="AG793" s="353">
        <f t="shared" ref="AG793:AG794" si="689">IF(AND($L793&lt;&gt;1,$L793&lt;&gt;"",COUNTA(R793:AD793)=0),0,IF(AND($L793=1,$L793&lt;&gt;"",COUNTA(R793:AD793)=13),0,IF(AND($L793="",COUNTA(R793:AD793)=0),0,1)))</f>
        <v>0</v>
      </c>
      <c r="AH793">
        <f t="shared" ref="AH793:AH794" si="690">IF(OR(R793="NS",S793="NS",T793="NS",U793="NS",V793="NS",W793="NS",X793="NS",Y793="NS",Z793="NS",AA793="NS",AB793="NS",AC793="NS",AD793="NS"),0,IF(AND(R793="NA",S793="NA",T793="NA",U793="NA",V793="NA",W793="NA",X793="NA",Y793="NA",Z793="NA",AA793="NA",AB793="NA",AC793="NA",AD793="NA"),0,IF(R793&lt;=SUM(S793:AD793),0,1)))</f>
        <v>0</v>
      </c>
      <c r="AI793">
        <f t="shared" ref="AI793:AL794" si="691">IF(OR(S793="NS",$R793="NS"),0,IF(AND(S793="NA",$R793="NA"),0,IF(S793&lt;=$R793,0,1)))</f>
        <v>0</v>
      </c>
      <c r="AJ793">
        <f t="shared" si="691"/>
        <v>0</v>
      </c>
      <c r="AK793">
        <f t="shared" si="691"/>
        <v>0</v>
      </c>
      <c r="AL793">
        <f t="shared" si="691"/>
        <v>0</v>
      </c>
      <c r="AM793">
        <f t="shared" ref="AM793:AT794" si="692">IF(OR(W793="NS",$R793="NS"),0,IF(AND(W793="NA",$R793="NA"),0,IF(W793&lt;=$R793,0,1)))</f>
        <v>0</v>
      </c>
      <c r="AN793">
        <f t="shared" si="692"/>
        <v>0</v>
      </c>
      <c r="AO793">
        <f t="shared" si="692"/>
        <v>0</v>
      </c>
      <c r="AP793">
        <f t="shared" si="692"/>
        <v>0</v>
      </c>
      <c r="AQ793">
        <f t="shared" si="692"/>
        <v>0</v>
      </c>
      <c r="AR793">
        <f t="shared" si="692"/>
        <v>0</v>
      </c>
      <c r="AS793">
        <f t="shared" si="692"/>
        <v>0</v>
      </c>
      <c r="AT793">
        <f t="shared" si="692"/>
        <v>0</v>
      </c>
      <c r="AU793"/>
      <c r="AV793" s="326">
        <f t="shared" ref="AV793:AV794" si="693">COUNTIF(R793:AD793,"NS")</f>
        <v>0</v>
      </c>
      <c r="AW793" s="342">
        <f t="shared" ref="AW793:AW794" si="694">IF(AND($L793&lt;&gt;"",$L793&lt;&gt;1,COUNTA(R793:AD793)&gt;0),1,0)</f>
        <v>0</v>
      </c>
      <c r="AX793" s="253">
        <f>IF(AND($L793&lt;&gt;"",$L793=1,R793&lt;&gt;"",SUM(R793)=0),1,0)</f>
        <v>0</v>
      </c>
    </row>
    <row r="794" spans="1:50" ht="15" customHeight="1">
      <c r="A794" s="115"/>
      <c r="C794" s="44" t="s">
        <v>2518</v>
      </c>
      <c r="D794" s="869" t="s">
        <v>3529</v>
      </c>
      <c r="E794" s="870"/>
      <c r="F794" s="870"/>
      <c r="G794" s="870"/>
      <c r="H794" s="870"/>
      <c r="I794" s="870"/>
      <c r="J794" s="870"/>
      <c r="K794" s="871"/>
      <c r="L794" s="816"/>
      <c r="M794" s="738"/>
      <c r="N794" s="738"/>
      <c r="O794" s="738"/>
      <c r="P794" s="738"/>
      <c r="Q794" s="738"/>
      <c r="R794" s="100"/>
      <c r="S794" s="100"/>
      <c r="T794" s="100"/>
      <c r="U794" s="100"/>
      <c r="V794" s="100"/>
      <c r="W794" s="100"/>
      <c r="X794" s="100"/>
      <c r="Y794" s="100"/>
      <c r="Z794" s="100"/>
      <c r="AA794" s="100"/>
      <c r="AB794" s="100"/>
      <c r="AC794" s="100"/>
      <c r="AD794" s="100"/>
      <c r="AG794" s="353">
        <f t="shared" si="689"/>
        <v>0</v>
      </c>
      <c r="AH794">
        <f t="shared" si="690"/>
        <v>0</v>
      </c>
      <c r="AI794">
        <f t="shared" si="691"/>
        <v>0</v>
      </c>
      <c r="AJ794">
        <f t="shared" si="691"/>
        <v>0</v>
      </c>
      <c r="AK794">
        <f t="shared" si="691"/>
        <v>0</v>
      </c>
      <c r="AL794">
        <f t="shared" si="691"/>
        <v>0</v>
      </c>
      <c r="AM794">
        <f t="shared" si="692"/>
        <v>0</v>
      </c>
      <c r="AN794">
        <f t="shared" si="692"/>
        <v>0</v>
      </c>
      <c r="AO794">
        <f t="shared" si="692"/>
        <v>0</v>
      </c>
      <c r="AP794">
        <f t="shared" si="692"/>
        <v>0</v>
      </c>
      <c r="AQ794">
        <f t="shared" si="692"/>
        <v>0</v>
      </c>
      <c r="AR794">
        <f t="shared" si="692"/>
        <v>0</v>
      </c>
      <c r="AS794">
        <f t="shared" si="692"/>
        <v>0</v>
      </c>
      <c r="AT794">
        <f t="shared" si="692"/>
        <v>0</v>
      </c>
      <c r="AU794"/>
      <c r="AV794" s="326">
        <f t="shared" si="693"/>
        <v>0</v>
      </c>
      <c r="AW794" s="342">
        <f t="shared" si="694"/>
        <v>0</v>
      </c>
      <c r="AX794" s="253">
        <f>IF(AND($L794&lt;&gt;"",$L794=1,R794&lt;&gt;"",SUM(R794)=0),1,0)</f>
        <v>0</v>
      </c>
    </row>
    <row r="795" spans="1:50" ht="15" customHeight="1">
      <c r="A795" s="115"/>
      <c r="C795" s="70"/>
      <c r="D795" s="139"/>
      <c r="E795" s="139"/>
      <c r="F795" s="139"/>
      <c r="G795" s="139"/>
      <c r="H795" s="139"/>
      <c r="I795" s="139"/>
      <c r="J795" s="139"/>
      <c r="K795" s="139"/>
      <c r="L795" s="84"/>
      <c r="M795" s="84"/>
      <c r="N795" s="84"/>
      <c r="O795" s="84"/>
      <c r="P795" s="84"/>
      <c r="Q795" s="99" t="s">
        <v>2649</v>
      </c>
      <c r="R795" s="124">
        <f>IF(AND(SUM(R792:R794)=0,COUNTIF(R792:R794,"NS")&gt;0),"NS",
IF(AND(SUM(R792:R794)=0,COUNTIF(R792:R794,0)&gt;0),0,
IF(AND(SUM(R792:R794)=0,COUNTIF(R792:R794,"NA")&gt;0),"NA",
SUM(R792:R794))))</f>
        <v>0</v>
      </c>
      <c r="S795" s="124">
        <f t="shared" ref="S795:AD795" si="695">IF(AND(SUM(S792:S794)=0,COUNTIF(S792:S794,"NS")&gt;0),"NS",
IF(AND(SUM(S792:S794)=0,COUNTIF(S792:S794,0)&gt;0),0,
IF(AND(SUM(S792:S794)=0,COUNTIF(S792:S794,"NA")&gt;0),"NA",
SUM(S792:S794))))</f>
        <v>0</v>
      </c>
      <c r="T795" s="124">
        <f t="shared" si="695"/>
        <v>0</v>
      </c>
      <c r="U795" s="124">
        <f t="shared" si="695"/>
        <v>0</v>
      </c>
      <c r="V795" s="124">
        <f t="shared" si="695"/>
        <v>0</v>
      </c>
      <c r="W795" s="124">
        <f t="shared" si="695"/>
        <v>0</v>
      </c>
      <c r="X795" s="124">
        <f t="shared" si="695"/>
        <v>0</v>
      </c>
      <c r="Y795" s="124">
        <f t="shared" si="695"/>
        <v>0</v>
      </c>
      <c r="Z795" s="124">
        <f t="shared" si="695"/>
        <v>0</v>
      </c>
      <c r="AA795" s="124">
        <f t="shared" si="695"/>
        <v>0</v>
      </c>
      <c r="AB795" s="124">
        <f t="shared" si="695"/>
        <v>0</v>
      </c>
      <c r="AC795" s="124">
        <f t="shared" si="695"/>
        <v>0</v>
      </c>
      <c r="AD795" s="124">
        <f t="shared" si="695"/>
        <v>0</v>
      </c>
      <c r="AG795" s="354">
        <f>SUM(AG792:AG794)</f>
        <v>0</v>
      </c>
      <c r="AH795" s="423">
        <f>SUM(AH792:AH794)</f>
        <v>0</v>
      </c>
      <c r="AI795"/>
      <c r="AJ795"/>
      <c r="AK795"/>
      <c r="AL795"/>
      <c r="AM795"/>
      <c r="AN795"/>
      <c r="AO795"/>
      <c r="AP795"/>
      <c r="AQ795"/>
      <c r="AR795"/>
      <c r="AS795"/>
      <c r="AT795" s="424">
        <f>SUM(AI792:AT794)</f>
        <v>0</v>
      </c>
      <c r="AU795"/>
      <c r="AV795" s="406">
        <f>SUM(AV792:AV794)</f>
        <v>0</v>
      </c>
      <c r="AW795" s="419">
        <f>SUM(AW792:AW794)</f>
        <v>0</v>
      </c>
      <c r="AX795" s="420">
        <f>SUM(AX792:AX794)</f>
        <v>0</v>
      </c>
    </row>
    <row r="796" spans="1:50" ht="15">
      <c r="A796" s="94"/>
    </row>
    <row r="797" spans="1:50" ht="45" customHeight="1">
      <c r="A797" s="94"/>
      <c r="C797" s="934" t="s">
        <v>3530</v>
      </c>
      <c r="D797" s="934"/>
      <c r="E797" s="934"/>
      <c r="F797" s="749"/>
      <c r="G797" s="749"/>
      <c r="H797" s="749"/>
      <c r="I797" s="749"/>
      <c r="J797" s="749"/>
      <c r="K797" s="749"/>
      <c r="L797" s="749"/>
      <c r="M797" s="749"/>
      <c r="N797" s="749"/>
      <c r="O797" s="749"/>
      <c r="P797" s="749"/>
      <c r="Q797" s="749"/>
      <c r="R797" s="749"/>
      <c r="S797" s="749"/>
      <c r="T797" s="749"/>
      <c r="U797" s="749"/>
      <c r="V797" s="749"/>
      <c r="W797" s="749"/>
      <c r="X797" s="749"/>
      <c r="Y797" s="749"/>
      <c r="Z797" s="749"/>
      <c r="AA797" s="749"/>
      <c r="AB797" s="749"/>
      <c r="AC797" s="749"/>
      <c r="AD797" s="749"/>
    </row>
    <row r="798" spans="1:50" ht="15">
      <c r="A798" s="94"/>
      <c r="B798" s="794" t="str">
        <f>IF(AND(AU792&gt;0,F797=""),"Ha registrado un valor numérico mayor a cero en el numeral 11 del apartado Motivo, debe anotar el nombre de dicho(s) motivo(s)","")</f>
        <v/>
      </c>
      <c r="C798" s="794"/>
      <c r="D798" s="794"/>
      <c r="E798" s="794"/>
      <c r="F798" s="794"/>
      <c r="G798" s="794"/>
      <c r="H798" s="794"/>
      <c r="I798" s="794"/>
      <c r="J798" s="794"/>
      <c r="K798" s="794"/>
      <c r="L798" s="794"/>
      <c r="M798" s="794"/>
      <c r="N798" s="794"/>
      <c r="O798" s="794"/>
      <c r="P798" s="794"/>
      <c r="Q798" s="794"/>
      <c r="R798" s="794"/>
      <c r="S798" s="794"/>
      <c r="T798" s="794"/>
      <c r="U798" s="794"/>
      <c r="V798" s="794"/>
      <c r="W798" s="794"/>
      <c r="X798" s="794"/>
      <c r="Y798" s="794"/>
      <c r="Z798" s="794"/>
      <c r="AA798" s="794"/>
      <c r="AB798" s="794"/>
      <c r="AC798" s="794"/>
      <c r="AD798" s="794"/>
      <c r="AE798" s="794"/>
    </row>
    <row r="799" spans="1:50" ht="15" customHeight="1">
      <c r="A799" s="94"/>
      <c r="C799" s="739" t="s">
        <v>3531</v>
      </c>
      <c r="D799" s="740"/>
      <c r="E799" s="740"/>
      <c r="F799" s="740"/>
      <c r="G799" s="740"/>
      <c r="H799" s="740"/>
      <c r="I799" s="740"/>
      <c r="J799" s="740"/>
      <c r="K799" s="740"/>
      <c r="L799" s="740"/>
      <c r="M799" s="740"/>
      <c r="N799" s="740"/>
      <c r="O799" s="740"/>
      <c r="P799" s="740"/>
      <c r="Q799" s="740"/>
      <c r="R799" s="740"/>
      <c r="S799" s="740"/>
      <c r="T799" s="740"/>
      <c r="U799" s="740"/>
      <c r="V799" s="740"/>
      <c r="W799" s="740"/>
      <c r="X799" s="740"/>
      <c r="Y799" s="740"/>
      <c r="Z799" s="740"/>
      <c r="AA799" s="740"/>
      <c r="AB799" s="740"/>
      <c r="AC799" s="740"/>
      <c r="AD799" s="741"/>
    </row>
    <row r="800" spans="1:50" ht="15" customHeight="1">
      <c r="A800" s="94"/>
      <c r="C800" s="44" t="s">
        <v>2516</v>
      </c>
      <c r="D800" s="872" t="s">
        <v>3532</v>
      </c>
      <c r="E800" s="872"/>
      <c r="F800" s="872"/>
      <c r="G800" s="872"/>
      <c r="H800" s="872"/>
      <c r="I800" s="872"/>
      <c r="J800" s="872"/>
      <c r="K800" s="872"/>
      <c r="L800" s="872"/>
      <c r="M800" s="872"/>
      <c r="N800" s="872"/>
      <c r="O800" s="872"/>
      <c r="P800" s="872"/>
      <c r="Q800" s="44" t="s">
        <v>2522</v>
      </c>
      <c r="R800" s="872" t="s">
        <v>3533</v>
      </c>
      <c r="S800" s="872"/>
      <c r="T800" s="872"/>
      <c r="U800" s="872"/>
      <c r="V800" s="872"/>
      <c r="W800" s="872"/>
      <c r="X800" s="872"/>
      <c r="Y800" s="872"/>
      <c r="Z800" s="872"/>
      <c r="AA800" s="872"/>
      <c r="AB800" s="872"/>
      <c r="AC800" s="872"/>
      <c r="AD800" s="872"/>
    </row>
    <row r="801" spans="1:31" ht="15" customHeight="1">
      <c r="A801" s="94"/>
      <c r="C801" s="44" t="s">
        <v>2517</v>
      </c>
      <c r="D801" s="872" t="s">
        <v>3534</v>
      </c>
      <c r="E801" s="872"/>
      <c r="F801" s="872"/>
      <c r="G801" s="872"/>
      <c r="H801" s="872"/>
      <c r="I801" s="872"/>
      <c r="J801" s="872"/>
      <c r="K801" s="872"/>
      <c r="L801" s="872"/>
      <c r="M801" s="872"/>
      <c r="N801" s="872"/>
      <c r="O801" s="872"/>
      <c r="P801" s="872"/>
      <c r="Q801" s="44" t="s">
        <v>2523</v>
      </c>
      <c r="R801" s="872" t="s">
        <v>3535</v>
      </c>
      <c r="S801" s="872"/>
      <c r="T801" s="872"/>
      <c r="U801" s="872"/>
      <c r="V801" s="872"/>
      <c r="W801" s="872"/>
      <c r="X801" s="872"/>
      <c r="Y801" s="872"/>
      <c r="Z801" s="872"/>
      <c r="AA801" s="872"/>
      <c r="AB801" s="872"/>
      <c r="AC801" s="872"/>
      <c r="AD801" s="872"/>
    </row>
    <row r="802" spans="1:31" ht="15" customHeight="1">
      <c r="A802" s="94"/>
      <c r="C802" s="44" t="s">
        <v>2518</v>
      </c>
      <c r="D802" s="872" t="s">
        <v>3536</v>
      </c>
      <c r="E802" s="872"/>
      <c r="F802" s="872"/>
      <c r="G802" s="872"/>
      <c r="H802" s="872"/>
      <c r="I802" s="872"/>
      <c r="J802" s="872"/>
      <c r="K802" s="872"/>
      <c r="L802" s="872"/>
      <c r="M802" s="872"/>
      <c r="N802" s="872"/>
      <c r="O802" s="872"/>
      <c r="P802" s="872"/>
      <c r="Q802" s="44" t="s">
        <v>2524</v>
      </c>
      <c r="R802" s="872" t="s">
        <v>3537</v>
      </c>
      <c r="S802" s="872"/>
      <c r="T802" s="872"/>
      <c r="U802" s="872"/>
      <c r="V802" s="872"/>
      <c r="W802" s="872"/>
      <c r="X802" s="872"/>
      <c r="Y802" s="872"/>
      <c r="Z802" s="872"/>
      <c r="AA802" s="872"/>
      <c r="AB802" s="872"/>
      <c r="AC802" s="872"/>
      <c r="AD802" s="872"/>
    </row>
    <row r="803" spans="1:31" ht="24" customHeight="1">
      <c r="A803" s="94"/>
      <c r="C803" s="44" t="s">
        <v>2519</v>
      </c>
      <c r="D803" s="872" t="s">
        <v>3538</v>
      </c>
      <c r="E803" s="872"/>
      <c r="F803" s="872"/>
      <c r="G803" s="872"/>
      <c r="H803" s="872"/>
      <c r="I803" s="872"/>
      <c r="J803" s="872"/>
      <c r="K803" s="872"/>
      <c r="L803" s="872"/>
      <c r="M803" s="872"/>
      <c r="N803" s="872"/>
      <c r="O803" s="872"/>
      <c r="P803" s="872"/>
      <c r="Q803" s="44" t="s">
        <v>2525</v>
      </c>
      <c r="R803" s="872" t="s">
        <v>3539</v>
      </c>
      <c r="S803" s="872"/>
      <c r="T803" s="872"/>
      <c r="U803" s="872"/>
      <c r="V803" s="872"/>
      <c r="W803" s="872"/>
      <c r="X803" s="872"/>
      <c r="Y803" s="872"/>
      <c r="Z803" s="872"/>
      <c r="AA803" s="872"/>
      <c r="AB803" s="872"/>
      <c r="AC803" s="872"/>
      <c r="AD803" s="872"/>
    </row>
    <row r="804" spans="1:31" ht="15" customHeight="1">
      <c r="A804" s="94"/>
      <c r="C804" s="44" t="s">
        <v>2520</v>
      </c>
      <c r="D804" s="872" t="s">
        <v>3540</v>
      </c>
      <c r="E804" s="872"/>
      <c r="F804" s="872"/>
      <c r="G804" s="872"/>
      <c r="H804" s="872"/>
      <c r="I804" s="872"/>
      <c r="J804" s="872"/>
      <c r="K804" s="872"/>
      <c r="L804" s="872"/>
      <c r="M804" s="872"/>
      <c r="N804" s="872"/>
      <c r="O804" s="872"/>
      <c r="P804" s="872"/>
      <c r="Q804" s="44" t="s">
        <v>2526</v>
      </c>
      <c r="R804" s="872" t="s">
        <v>3541</v>
      </c>
      <c r="S804" s="872"/>
      <c r="T804" s="872"/>
      <c r="U804" s="872"/>
      <c r="V804" s="872"/>
      <c r="W804" s="872"/>
      <c r="X804" s="872"/>
      <c r="Y804" s="872"/>
      <c r="Z804" s="872"/>
      <c r="AA804" s="872"/>
      <c r="AB804" s="872"/>
      <c r="AC804" s="872"/>
      <c r="AD804" s="872"/>
    </row>
    <row r="805" spans="1:31" ht="15" customHeight="1">
      <c r="A805" s="94"/>
      <c r="C805" s="44" t="s">
        <v>2521</v>
      </c>
      <c r="D805" s="872" t="s">
        <v>3542</v>
      </c>
      <c r="E805" s="872"/>
      <c r="F805" s="872"/>
      <c r="G805" s="872"/>
      <c r="H805" s="872"/>
      <c r="I805" s="872"/>
      <c r="J805" s="872"/>
      <c r="K805" s="872"/>
      <c r="L805" s="872"/>
      <c r="M805" s="872"/>
      <c r="N805" s="872"/>
      <c r="O805" s="872"/>
      <c r="P805" s="872"/>
      <c r="Q805" s="44" t="s">
        <v>2527</v>
      </c>
      <c r="R805" s="872" t="s">
        <v>201</v>
      </c>
      <c r="S805" s="872"/>
      <c r="T805" s="872"/>
      <c r="U805" s="872"/>
      <c r="V805" s="872"/>
      <c r="W805" s="872"/>
      <c r="X805" s="872"/>
      <c r="Y805" s="872"/>
      <c r="Z805" s="872"/>
      <c r="AA805" s="872"/>
      <c r="AB805" s="872"/>
      <c r="AC805" s="872"/>
      <c r="AD805" s="872"/>
    </row>
    <row r="806" spans="1:31" ht="15">
      <c r="A806" s="94"/>
    </row>
    <row r="807" spans="1:31" ht="24" customHeight="1">
      <c r="A807" s="94"/>
      <c r="C807" s="754" t="s">
        <v>2611</v>
      </c>
      <c r="D807" s="754"/>
      <c r="E807" s="754"/>
      <c r="F807" s="754"/>
      <c r="G807" s="754"/>
      <c r="H807" s="754"/>
      <c r="I807" s="754"/>
      <c r="J807" s="754"/>
      <c r="K807" s="754"/>
      <c r="L807" s="754"/>
      <c r="M807" s="754"/>
      <c r="N807" s="754"/>
      <c r="O807" s="754"/>
      <c r="P807" s="754"/>
      <c r="Q807" s="754"/>
      <c r="R807" s="754"/>
      <c r="S807" s="754"/>
      <c r="T807" s="754"/>
      <c r="U807" s="754"/>
      <c r="V807" s="754"/>
      <c r="W807" s="754"/>
      <c r="X807" s="754"/>
      <c r="Y807" s="754"/>
      <c r="Z807" s="754"/>
      <c r="AA807" s="754"/>
      <c r="AB807" s="754"/>
      <c r="AC807" s="754"/>
      <c r="AD807" s="754"/>
    </row>
    <row r="808" spans="1:31" ht="60" customHeight="1">
      <c r="A808" s="94"/>
      <c r="C808" s="851"/>
      <c r="D808" s="851"/>
      <c r="E808" s="851"/>
      <c r="F808" s="851"/>
      <c r="G808" s="851"/>
      <c r="H808" s="851"/>
      <c r="I808" s="851"/>
      <c r="J808" s="851"/>
      <c r="K808" s="851"/>
      <c r="L808" s="851"/>
      <c r="M808" s="851"/>
      <c r="N808" s="851"/>
      <c r="O808" s="851"/>
      <c r="P808" s="851"/>
      <c r="Q808" s="851"/>
      <c r="R808" s="851"/>
      <c r="S808" s="851"/>
      <c r="T808" s="851"/>
      <c r="U808" s="851"/>
      <c r="V808" s="851"/>
      <c r="W808" s="851"/>
      <c r="X808" s="851"/>
      <c r="Y808" s="851"/>
      <c r="Z808" s="851"/>
      <c r="AA808" s="851"/>
      <c r="AB808" s="851"/>
      <c r="AC808" s="851"/>
      <c r="AD808" s="851"/>
    </row>
    <row r="809" spans="1:31" ht="15">
      <c r="A809" s="94"/>
      <c r="B809" s="794" t="str">
        <f>IF(AG795&gt;0,"Favor de ingresar toda la información requerida en la pregunta y/o verifique que no tenga información en celdas sombreadas","")</f>
        <v/>
      </c>
      <c r="C809" s="794"/>
      <c r="D809" s="794"/>
      <c r="E809" s="794"/>
      <c r="F809" s="794"/>
      <c r="G809" s="794"/>
      <c r="H809" s="794"/>
      <c r="I809" s="794"/>
      <c r="J809" s="794"/>
      <c r="K809" s="794"/>
      <c r="L809" s="794"/>
      <c r="M809" s="794"/>
      <c r="N809" s="794"/>
      <c r="O809" s="794"/>
      <c r="P809" s="794"/>
      <c r="Q809" s="794"/>
      <c r="R809" s="794"/>
      <c r="S809" s="794"/>
      <c r="T809" s="794"/>
      <c r="U809" s="794"/>
      <c r="V809" s="794"/>
      <c r="W809" s="794"/>
      <c r="X809" s="794"/>
      <c r="Y809" s="794"/>
      <c r="Z809" s="794"/>
      <c r="AA809" s="794"/>
      <c r="AB809" s="794"/>
      <c r="AC809" s="794"/>
      <c r="AD809" s="794"/>
      <c r="AE809"/>
    </row>
    <row r="810" spans="1:31" ht="15">
      <c r="A810" s="94"/>
      <c r="B810" s="795" t="str">
        <f>IF(AV795&gt;0,"Alerta: debido a que cuenta con registros NS, debe proporcionar una justificación en el area de comentarios al final de la pregunta","")</f>
        <v/>
      </c>
      <c r="C810" s="795"/>
      <c r="D810" s="795"/>
      <c r="E810" s="795"/>
      <c r="F810" s="795"/>
      <c r="G810" s="795"/>
      <c r="H810" s="795"/>
      <c r="I810" s="795"/>
      <c r="J810" s="795"/>
      <c r="K810" s="795"/>
      <c r="L810" s="795"/>
      <c r="M810" s="795"/>
      <c r="N810" s="795"/>
      <c r="O810" s="795"/>
      <c r="P810" s="795"/>
      <c r="Q810" s="795"/>
      <c r="R810" s="795"/>
      <c r="S810" s="795"/>
      <c r="T810" s="795"/>
      <c r="U810" s="795"/>
      <c r="V810" s="795"/>
      <c r="W810" s="795"/>
      <c r="X810" s="795"/>
      <c r="Y810" s="795"/>
      <c r="Z810" s="795"/>
      <c r="AA810" s="795"/>
      <c r="AB810" s="795"/>
      <c r="AC810" s="795"/>
      <c r="AD810" s="795"/>
      <c r="AE810"/>
    </row>
    <row r="811" spans="1:31" ht="15">
      <c r="A811" s="94"/>
      <c r="B811" s="794" t="str">
        <f>IF(AH795&gt;0,"Favor de revisar la instrucción 2, debido a que no se cumplen con los criterios mencionados","")</f>
        <v/>
      </c>
      <c r="C811" s="794"/>
      <c r="D811" s="794"/>
      <c r="E811" s="794"/>
      <c r="F811" s="794"/>
      <c r="G811" s="794"/>
      <c r="H811" s="794"/>
      <c r="I811" s="794"/>
      <c r="J811" s="794"/>
      <c r="K811" s="794"/>
      <c r="L811" s="794"/>
      <c r="M811" s="794"/>
      <c r="N811" s="794"/>
      <c r="O811" s="794"/>
      <c r="P811" s="794"/>
      <c r="Q811" s="794"/>
      <c r="R811" s="794"/>
      <c r="S811" s="794"/>
      <c r="T811" s="794"/>
      <c r="U811" s="794"/>
      <c r="V811" s="794"/>
      <c r="W811" s="794"/>
      <c r="X811" s="794"/>
      <c r="Y811" s="794"/>
      <c r="Z811" s="794"/>
      <c r="AA811" s="794"/>
      <c r="AB811" s="794"/>
      <c r="AC811" s="794"/>
      <c r="AD811" s="794"/>
      <c r="AE811" s="794"/>
    </row>
    <row r="812" spans="1:31" ht="15">
      <c r="A812" s="94"/>
      <c r="B812" s="795" t="str">
        <f>IF(AT795&gt;0,"Alerta: debe de proporcionar una justificación de acuerdo a lo establecido en la instrucción 3","")</f>
        <v/>
      </c>
      <c r="C812" s="795"/>
      <c r="D812" s="795"/>
      <c r="E812" s="795"/>
      <c r="F812" s="795"/>
      <c r="G812" s="795"/>
      <c r="H812" s="795"/>
      <c r="I812" s="795"/>
      <c r="J812" s="795"/>
      <c r="K812" s="795"/>
      <c r="L812" s="795"/>
      <c r="M812" s="795"/>
      <c r="N812" s="795"/>
      <c r="O812" s="795"/>
      <c r="P812" s="795"/>
      <c r="Q812" s="795"/>
      <c r="R812" s="795"/>
      <c r="S812" s="795"/>
      <c r="T812" s="795"/>
      <c r="U812" s="795"/>
      <c r="V812" s="795"/>
      <c r="W812" s="795"/>
      <c r="X812" s="795"/>
      <c r="Y812" s="795"/>
      <c r="Z812" s="795"/>
      <c r="AA812" s="795"/>
      <c r="AB812" s="795"/>
      <c r="AC812" s="795"/>
      <c r="AD812" s="795"/>
      <c r="AE812" s="795"/>
    </row>
    <row r="813" spans="1:31" ht="15">
      <c r="A813" s="94"/>
      <c r="B813" s="794" t="str">
        <f>IF(AX795&gt;0,"No puede ingresar cero en la col. Protestas realizadas debido a que registró el código 1 en la col. ¿Tuvo registro de protestas realizadas… ?","")</f>
        <v/>
      </c>
      <c r="C813" s="794"/>
      <c r="D813" s="794"/>
      <c r="E813" s="794"/>
      <c r="F813" s="794"/>
      <c r="G813" s="794"/>
      <c r="H813" s="794"/>
      <c r="I813" s="794"/>
      <c r="J813" s="794"/>
      <c r="K813" s="794"/>
      <c r="L813" s="794"/>
      <c r="M813" s="794"/>
      <c r="N813" s="794"/>
      <c r="O813" s="794"/>
      <c r="P813" s="794"/>
      <c r="Q813" s="794"/>
      <c r="R813" s="794"/>
      <c r="S813" s="794"/>
      <c r="T813" s="794"/>
      <c r="U813" s="794"/>
      <c r="V813" s="794"/>
      <c r="W813" s="794"/>
      <c r="X813" s="794"/>
      <c r="Y813" s="794"/>
      <c r="Z813" s="794"/>
      <c r="AA813" s="794"/>
      <c r="AB813" s="794"/>
      <c r="AC813" s="794"/>
      <c r="AD813" s="794"/>
      <c r="AE813" s="794"/>
    </row>
    <row r="814" spans="1:31" ht="15">
      <c r="A814" s="94"/>
      <c r="AE814"/>
    </row>
    <row r="815" spans="1:31" ht="24" customHeight="1">
      <c r="A815" s="49" t="s">
        <v>3543</v>
      </c>
      <c r="B815" s="829" t="s">
        <v>3544</v>
      </c>
      <c r="C815" s="829"/>
      <c r="D815" s="829"/>
      <c r="E815" s="829"/>
      <c r="F815" s="829"/>
      <c r="G815" s="829"/>
      <c r="H815" s="829"/>
      <c r="I815" s="829"/>
      <c r="J815" s="829"/>
      <c r="K815" s="829"/>
      <c r="L815" s="829"/>
      <c r="M815" s="829"/>
      <c r="N815" s="829"/>
      <c r="O815" s="829"/>
      <c r="P815" s="829"/>
      <c r="Q815" s="829"/>
      <c r="R815" s="829"/>
      <c r="S815" s="829"/>
      <c r="T815" s="829"/>
      <c r="U815" s="829"/>
      <c r="V815" s="829"/>
      <c r="W815" s="829"/>
      <c r="X815" s="829"/>
      <c r="Y815" s="829"/>
      <c r="Z815" s="829"/>
      <c r="AA815" s="829"/>
      <c r="AB815" s="829"/>
      <c r="AC815" s="829"/>
      <c r="AD815" s="829"/>
    </row>
    <row r="816" spans="1:31" ht="15" customHeight="1">
      <c r="A816" s="103"/>
      <c r="B816" s="57"/>
      <c r="C816" s="57"/>
      <c r="D816" s="57"/>
      <c r="E816" s="57"/>
      <c r="F816" s="57"/>
      <c r="G816" s="57"/>
      <c r="H816" s="57"/>
      <c r="I816" s="57"/>
      <c r="J816" s="57"/>
      <c r="K816" s="57"/>
      <c r="L816" s="57"/>
      <c r="M816" s="57"/>
      <c r="N816" s="57"/>
      <c r="O816" s="57"/>
      <c r="P816" s="57"/>
      <c r="Q816" s="57"/>
      <c r="R816" s="57"/>
      <c r="S816" s="57"/>
      <c r="T816" s="57"/>
      <c r="U816" s="57"/>
      <c r="V816" s="57"/>
      <c r="W816" s="57"/>
      <c r="X816" s="57"/>
      <c r="Y816" s="57"/>
      <c r="Z816" s="57"/>
      <c r="AA816" s="57"/>
      <c r="AB816" s="57"/>
      <c r="AC816" s="57"/>
      <c r="AD816" s="57"/>
    </row>
    <row r="817" spans="1:36" ht="15" customHeight="1">
      <c r="A817" s="49"/>
      <c r="B817" s="57"/>
      <c r="C817" s="732" t="s">
        <v>3545</v>
      </c>
      <c r="D817" s="732"/>
      <c r="E817" s="732"/>
      <c r="F817" s="732"/>
      <c r="G817" s="732"/>
      <c r="H817" s="732"/>
      <c r="I817" s="732"/>
      <c r="J817" s="732"/>
      <c r="K817" s="732"/>
      <c r="L817" s="732"/>
      <c r="M817" s="732" t="s">
        <v>3546</v>
      </c>
      <c r="N817" s="732"/>
      <c r="O817" s="732"/>
      <c r="P817" s="732"/>
      <c r="Q817" s="732"/>
      <c r="R817" s="732"/>
      <c r="S817" s="732"/>
      <c r="T817" s="732"/>
      <c r="U817" s="732"/>
      <c r="V817" s="732"/>
      <c r="W817" s="732"/>
      <c r="X817" s="732"/>
      <c r="Y817" s="732"/>
      <c r="Z817" s="732"/>
      <c r="AA817" s="732"/>
      <c r="AB817" s="732"/>
      <c r="AC817" s="732"/>
      <c r="AD817" s="732"/>
    </row>
    <row r="818" spans="1:36" ht="15">
      <c r="A818" s="49"/>
      <c r="B818" s="57"/>
      <c r="C818" s="732"/>
      <c r="D818" s="732"/>
      <c r="E818" s="732"/>
      <c r="F818" s="732"/>
      <c r="G818" s="732"/>
      <c r="H818" s="732"/>
      <c r="I818" s="732"/>
      <c r="J818" s="732"/>
      <c r="K818" s="732"/>
      <c r="L818" s="732"/>
      <c r="M818" s="880" t="s">
        <v>2628</v>
      </c>
      <c r="N818" s="880"/>
      <c r="O818" s="880"/>
      <c r="P818" s="880"/>
      <c r="Q818" s="880"/>
      <c r="R818" s="880"/>
      <c r="S818" s="966" t="s">
        <v>2629</v>
      </c>
      <c r="T818" s="966"/>
      <c r="U818" s="966"/>
      <c r="V818" s="966"/>
      <c r="W818" s="966"/>
      <c r="X818" s="966"/>
      <c r="Y818" s="736" t="s">
        <v>2630</v>
      </c>
      <c r="Z818" s="736"/>
      <c r="AA818" s="736"/>
      <c r="AB818" s="736"/>
      <c r="AC818" s="736"/>
      <c r="AD818" s="736"/>
      <c r="AG818" s="354" t="s">
        <v>2586</v>
      </c>
      <c r="AH818" s="350" t="s">
        <v>2590</v>
      </c>
      <c r="AI818" s="351" t="s">
        <v>3163</v>
      </c>
      <c r="AJ818" s="352" t="s">
        <v>3164</v>
      </c>
    </row>
    <row r="819" spans="1:36" ht="15">
      <c r="A819" s="49"/>
      <c r="B819" s="57"/>
      <c r="C819" s="98" t="s">
        <v>2516</v>
      </c>
      <c r="D819" s="872" t="s">
        <v>3547</v>
      </c>
      <c r="E819" s="872"/>
      <c r="F819" s="872"/>
      <c r="G819" s="872"/>
      <c r="H819" s="872"/>
      <c r="I819" s="872"/>
      <c r="J819" s="872"/>
      <c r="K819" s="872"/>
      <c r="L819" s="872"/>
      <c r="M819" s="749"/>
      <c r="N819" s="749"/>
      <c r="O819" s="749"/>
      <c r="P819" s="749"/>
      <c r="Q819" s="749"/>
      <c r="R819" s="749"/>
      <c r="S819" s="749"/>
      <c r="T819" s="749"/>
      <c r="U819" s="749"/>
      <c r="V819" s="749"/>
      <c r="W819" s="749"/>
      <c r="X819" s="749"/>
      <c r="Y819" s="749"/>
      <c r="Z819" s="749"/>
      <c r="AA819" s="749"/>
      <c r="AB819" s="749"/>
      <c r="AC819" s="749"/>
      <c r="AD819" s="749"/>
      <c r="AG819" s="353">
        <f>IF(AND(COUNTA(M819:AD820)=0),0,IF(AND(COUNTA(M819:AD820)=6),0,1))</f>
        <v>0</v>
      </c>
      <c r="AH819" s="326">
        <f>COUNTIF(S819:AD819,"NS")</f>
        <v>0</v>
      </c>
      <c r="AI819" s="326">
        <f>SUM(S819:AD819)</f>
        <v>0</v>
      </c>
      <c r="AJ819" s="326">
        <f>IF(COUNTIF(M819:AD819,"NA")=3,0,IF(OR(AND(M819=0,AH819&gt;0),AND(M819="ns",AI819&gt;0),AND(M819="ns",AH819=0,AI819=0)),1,IF(OR(AND(M819&gt;0,AH819=2),AND(M819="ns",AH819=2),AND(M819="ns",AI819=0,AH819&gt;0),M819=AI819),0,1)))</f>
        <v>0</v>
      </c>
    </row>
    <row r="820" spans="1:36" ht="15">
      <c r="A820" s="49"/>
      <c r="B820" s="57"/>
      <c r="C820" s="98" t="s">
        <v>2517</v>
      </c>
      <c r="D820" s="872" t="s">
        <v>3548</v>
      </c>
      <c r="E820" s="872"/>
      <c r="F820" s="872"/>
      <c r="G820" s="872"/>
      <c r="H820" s="872"/>
      <c r="I820" s="872"/>
      <c r="J820" s="872"/>
      <c r="K820" s="872"/>
      <c r="L820" s="872"/>
      <c r="M820" s="749"/>
      <c r="N820" s="749"/>
      <c r="O820" s="749"/>
      <c r="P820" s="749"/>
      <c r="Q820" s="749"/>
      <c r="R820" s="749"/>
      <c r="S820" s="749"/>
      <c r="T820" s="749"/>
      <c r="U820" s="749"/>
      <c r="V820" s="749"/>
      <c r="W820" s="749"/>
      <c r="X820" s="749"/>
      <c r="Y820" s="749"/>
      <c r="Z820" s="749"/>
      <c r="AA820" s="749"/>
      <c r="AB820" s="749"/>
      <c r="AC820" s="749"/>
      <c r="AD820" s="749"/>
      <c r="AG820" s="353"/>
      <c r="AH820" s="326">
        <f>COUNTIF(S820:AD820,"NS")</f>
        <v>0</v>
      </c>
      <c r="AI820" s="326">
        <f>SUM(S820:AD820)</f>
        <v>0</v>
      </c>
      <c r="AJ820" s="326">
        <f>IF(COUNTIF(M820:AD820,"NA")=3,0,IF(OR(AND(M820=0,AH820&gt;0),AND(M820="ns",AI820&gt;0),AND(M820="ns",AH820=0,AI820=0)),1,IF(OR(AND(M820&gt;0,AH820=2),AND(M820="ns",AH820=2),AND(M820="ns",AI820=0,AH820&gt;0),M820=AI820),0,1)))</f>
        <v>0</v>
      </c>
    </row>
    <row r="821" spans="1:36" ht="15" customHeight="1">
      <c r="A821" s="103"/>
      <c r="B821" s="57"/>
      <c r="C821" s="77"/>
      <c r="D821" s="77"/>
      <c r="E821" s="77"/>
      <c r="F821" s="77"/>
      <c r="G821" s="77"/>
      <c r="H821" s="77"/>
      <c r="I821" s="77"/>
      <c r="J821" s="77"/>
      <c r="K821" s="77"/>
      <c r="L821" s="77"/>
      <c r="M821" s="77"/>
      <c r="N821" s="77"/>
      <c r="O821" s="77"/>
      <c r="P821" s="77"/>
      <c r="Q821" s="77"/>
      <c r="R821" s="77"/>
      <c r="S821" s="77"/>
      <c r="T821" s="77"/>
      <c r="U821" s="77"/>
      <c r="V821" s="77"/>
      <c r="W821" s="77"/>
      <c r="X821" s="77"/>
      <c r="Y821" s="77"/>
      <c r="Z821" s="77"/>
      <c r="AA821" s="77"/>
      <c r="AB821" s="77"/>
      <c r="AC821" s="77"/>
      <c r="AD821" s="77"/>
      <c r="AG821" s="283"/>
      <c r="AH821" s="406">
        <f>SUM(AH819:AH820)</f>
        <v>0</v>
      </c>
      <c r="AI821" s="351">
        <f>SUM(AI819:AI820)</f>
        <v>0</v>
      </c>
      <c r="AJ821" s="352">
        <f>SUM(AJ819:AJ820)</f>
        <v>0</v>
      </c>
    </row>
    <row r="822" spans="1:36" ht="24" customHeight="1">
      <c r="A822" s="103"/>
      <c r="B822" s="57"/>
      <c r="C822" s="754" t="s">
        <v>2611</v>
      </c>
      <c r="D822" s="754"/>
      <c r="E822" s="754"/>
      <c r="F822" s="754"/>
      <c r="G822" s="754"/>
      <c r="H822" s="754"/>
      <c r="I822" s="754"/>
      <c r="J822" s="754"/>
      <c r="K822" s="754"/>
      <c r="L822" s="754"/>
      <c r="M822" s="754"/>
      <c r="N822" s="754"/>
      <c r="O822" s="754"/>
      <c r="P822" s="754"/>
      <c r="Q822" s="754"/>
      <c r="R822" s="754"/>
      <c r="S822" s="754"/>
      <c r="T822" s="754"/>
      <c r="U822" s="754"/>
      <c r="V822" s="754"/>
      <c r="W822" s="754"/>
      <c r="X822" s="754"/>
      <c r="Y822" s="754"/>
      <c r="Z822" s="754"/>
      <c r="AA822" s="754"/>
      <c r="AB822" s="754"/>
      <c r="AC822" s="754"/>
      <c r="AD822" s="754"/>
    </row>
    <row r="823" spans="1:36" ht="60" customHeight="1">
      <c r="A823" s="103"/>
      <c r="B823" s="57"/>
      <c r="C823" s="851"/>
      <c r="D823" s="851"/>
      <c r="E823" s="851"/>
      <c r="F823" s="851"/>
      <c r="G823" s="851"/>
      <c r="H823" s="851"/>
      <c r="I823" s="851"/>
      <c r="J823" s="851"/>
      <c r="K823" s="851"/>
      <c r="L823" s="851"/>
      <c r="M823" s="851"/>
      <c r="N823" s="851"/>
      <c r="O823" s="851"/>
      <c r="P823" s="851"/>
      <c r="Q823" s="851"/>
      <c r="R823" s="851"/>
      <c r="S823" s="851"/>
      <c r="T823" s="851"/>
      <c r="U823" s="851"/>
      <c r="V823" s="851"/>
      <c r="W823" s="851"/>
      <c r="X823" s="851"/>
      <c r="Y823" s="851"/>
      <c r="Z823" s="851"/>
      <c r="AA823" s="851"/>
      <c r="AB823" s="851"/>
      <c r="AC823" s="851"/>
      <c r="AD823" s="851"/>
    </row>
    <row r="824" spans="1:36" ht="15" customHeight="1">
      <c r="A824" s="103"/>
      <c r="B824" s="794" t="str">
        <f>IF(AG819&gt;0,"Favor de ingresar toda la información requerida en la pregunta ","")</f>
        <v/>
      </c>
      <c r="C824" s="794"/>
      <c r="D824" s="794"/>
      <c r="E824" s="794"/>
      <c r="F824" s="794"/>
      <c r="G824" s="794"/>
      <c r="H824" s="794"/>
      <c r="I824" s="794"/>
      <c r="J824" s="794"/>
      <c r="K824" s="794"/>
      <c r="L824" s="794"/>
      <c r="M824" s="794"/>
      <c r="N824" s="794"/>
      <c r="O824" s="794"/>
      <c r="P824" s="794"/>
      <c r="Q824" s="794"/>
      <c r="R824" s="794"/>
      <c r="S824" s="794"/>
      <c r="T824" s="794"/>
      <c r="U824" s="794"/>
      <c r="V824" s="794"/>
      <c r="W824" s="794"/>
      <c r="X824" s="794"/>
      <c r="Y824" s="794"/>
      <c r="Z824" s="794"/>
      <c r="AA824" s="794"/>
      <c r="AB824" s="794"/>
      <c r="AC824" s="794"/>
      <c r="AD824" s="794"/>
    </row>
    <row r="825" spans="1:36" ht="15" customHeight="1">
      <c r="A825" s="103"/>
      <c r="B825" s="795" t="str">
        <f>IF(AH821&gt;0,"Alerta: debido a que cuenta con registros NS, debe proporcionar una justificación en el area de comentarios al final de la pregunta","")</f>
        <v/>
      </c>
      <c r="C825" s="795"/>
      <c r="D825" s="795"/>
      <c r="E825" s="795"/>
      <c r="F825" s="795"/>
      <c r="G825" s="795"/>
      <c r="H825" s="795"/>
      <c r="I825" s="795"/>
      <c r="J825" s="795"/>
      <c r="K825" s="795"/>
      <c r="L825" s="795"/>
      <c r="M825" s="795"/>
      <c r="N825" s="795"/>
      <c r="O825" s="795"/>
      <c r="P825" s="795"/>
      <c r="Q825" s="795"/>
      <c r="R825" s="795"/>
      <c r="S825" s="795"/>
      <c r="T825" s="795"/>
      <c r="U825" s="795"/>
      <c r="V825" s="795"/>
      <c r="W825" s="795"/>
      <c r="X825" s="795"/>
      <c r="Y825" s="795"/>
      <c r="Z825" s="795"/>
      <c r="AA825" s="795"/>
      <c r="AB825" s="795"/>
      <c r="AC825" s="795"/>
      <c r="AD825" s="795"/>
    </row>
    <row r="826" spans="1:36" ht="15" customHeight="1">
      <c r="A826" s="103"/>
      <c r="B826" s="794" t="str">
        <f>IF(AJ821&gt;0,"Favor de revisar la suma y consistencia de totales y/o subtotales por filas (numéricos y NS)","")</f>
        <v/>
      </c>
      <c r="C826" s="794"/>
      <c r="D826" s="794"/>
      <c r="E826" s="794"/>
      <c r="F826" s="794"/>
      <c r="G826" s="794"/>
      <c r="H826" s="794"/>
      <c r="I826" s="794"/>
      <c r="J826" s="794"/>
      <c r="K826" s="794"/>
      <c r="L826" s="794"/>
      <c r="M826" s="794"/>
      <c r="N826" s="794"/>
      <c r="O826" s="794"/>
      <c r="P826" s="794"/>
      <c r="Q826" s="794"/>
      <c r="R826" s="794"/>
      <c r="S826" s="794"/>
      <c r="T826" s="794"/>
      <c r="U826" s="794"/>
      <c r="V826" s="794"/>
      <c r="W826" s="794"/>
      <c r="X826" s="794"/>
      <c r="Y826" s="794"/>
      <c r="Z826" s="794"/>
      <c r="AA826" s="794"/>
      <c r="AB826" s="794"/>
      <c r="AC826" s="794"/>
      <c r="AD826" s="794"/>
    </row>
    <row r="827" spans="1:36" ht="15" customHeight="1">
      <c r="A827" s="103"/>
      <c r="B827" s="57"/>
      <c r="C827" s="57"/>
      <c r="D827" s="57"/>
      <c r="E827" s="57"/>
      <c r="F827" s="57"/>
      <c r="G827" s="57"/>
      <c r="H827" s="57"/>
      <c r="I827" s="57"/>
      <c r="J827" s="57"/>
      <c r="K827" s="57"/>
      <c r="L827" s="57"/>
      <c r="M827" s="57"/>
      <c r="N827" s="57"/>
      <c r="O827" s="57"/>
      <c r="P827" s="57"/>
      <c r="Q827" s="57"/>
      <c r="R827" s="57"/>
      <c r="S827" s="57"/>
      <c r="T827" s="57"/>
      <c r="U827" s="57"/>
      <c r="V827" s="57"/>
      <c r="W827" s="57"/>
      <c r="X827" s="57"/>
      <c r="Y827" s="57"/>
      <c r="Z827" s="57"/>
      <c r="AA827" s="57"/>
      <c r="AB827" s="57"/>
      <c r="AC827" s="57"/>
      <c r="AD827" s="57"/>
    </row>
    <row r="828" spans="1:36" ht="15" customHeight="1">
      <c r="A828" s="103"/>
      <c r="B828" s="57"/>
      <c r="C828" s="57"/>
      <c r="D828" s="57"/>
      <c r="E828" s="57"/>
      <c r="F828" s="57"/>
      <c r="G828" s="57"/>
      <c r="H828" s="57"/>
      <c r="I828" s="57"/>
      <c r="J828" s="57"/>
      <c r="K828" s="57"/>
      <c r="L828" s="57"/>
      <c r="M828" s="57"/>
      <c r="N828" s="57"/>
      <c r="O828" s="57"/>
      <c r="P828" s="57"/>
      <c r="Q828" s="57"/>
      <c r="R828" s="57"/>
      <c r="S828" s="57"/>
      <c r="T828" s="57"/>
      <c r="U828" s="57"/>
      <c r="V828" s="57"/>
      <c r="W828" s="57"/>
      <c r="X828" s="57"/>
      <c r="Y828" s="57"/>
      <c r="Z828" s="57"/>
      <c r="AA828" s="57"/>
      <c r="AB828" s="57"/>
      <c r="AC828" s="57"/>
      <c r="AD828" s="57"/>
    </row>
    <row r="829" spans="1:36" ht="15" customHeight="1">
      <c r="A829" s="103"/>
      <c r="B829" s="57"/>
      <c r="C829" s="57"/>
      <c r="D829" s="57"/>
      <c r="E829" s="57"/>
      <c r="F829" s="57"/>
      <c r="G829" s="57"/>
      <c r="H829" s="57"/>
      <c r="I829" s="57"/>
      <c r="J829" s="57"/>
      <c r="K829" s="57"/>
      <c r="L829" s="57"/>
      <c r="M829" s="57"/>
      <c r="N829" s="57"/>
      <c r="O829" s="57"/>
      <c r="P829" s="57"/>
      <c r="Q829" s="57"/>
      <c r="R829" s="57"/>
      <c r="S829" s="57"/>
      <c r="T829" s="57"/>
      <c r="U829" s="57"/>
      <c r="V829" s="57"/>
      <c r="W829" s="57"/>
      <c r="X829" s="57"/>
      <c r="Y829" s="57"/>
      <c r="Z829" s="57"/>
      <c r="AA829" s="57"/>
      <c r="AB829" s="57"/>
      <c r="AC829" s="57"/>
      <c r="AD829" s="57"/>
    </row>
    <row r="830" spans="1:36" ht="24" customHeight="1">
      <c r="A830" s="49" t="s">
        <v>3549</v>
      </c>
      <c r="B830" s="829" t="s">
        <v>3550</v>
      </c>
      <c r="C830" s="829"/>
      <c r="D830" s="829"/>
      <c r="E830" s="829"/>
      <c r="F830" s="829"/>
      <c r="G830" s="829"/>
      <c r="H830" s="829"/>
      <c r="I830" s="829"/>
      <c r="J830" s="829"/>
      <c r="K830" s="829"/>
      <c r="L830" s="829"/>
      <c r="M830" s="829"/>
      <c r="N830" s="829"/>
      <c r="O830" s="829"/>
      <c r="P830" s="829"/>
      <c r="Q830" s="829"/>
      <c r="R830" s="829"/>
      <c r="S830" s="829"/>
      <c r="T830" s="829"/>
      <c r="U830" s="829"/>
      <c r="V830" s="829"/>
      <c r="W830" s="829"/>
      <c r="X830" s="829"/>
      <c r="Y830" s="829"/>
      <c r="Z830" s="829"/>
      <c r="AA830" s="829"/>
      <c r="AB830" s="829"/>
      <c r="AC830" s="829"/>
      <c r="AD830" s="829"/>
    </row>
    <row r="831" spans="1:36" ht="36" customHeight="1">
      <c r="A831" s="49"/>
      <c r="B831" s="57"/>
      <c r="C831" s="830" t="s">
        <v>3551</v>
      </c>
      <c r="D831" s="830"/>
      <c r="E831" s="830"/>
      <c r="F831" s="830"/>
      <c r="G831" s="830"/>
      <c r="H831" s="830"/>
      <c r="I831" s="830"/>
      <c r="J831" s="830"/>
      <c r="K831" s="830"/>
      <c r="L831" s="830"/>
      <c r="M831" s="830"/>
      <c r="N831" s="830"/>
      <c r="O831" s="830"/>
      <c r="P831" s="830"/>
      <c r="Q831" s="830"/>
      <c r="R831" s="830"/>
      <c r="S831" s="830"/>
      <c r="T831" s="830"/>
      <c r="U831" s="830"/>
      <c r="V831" s="830"/>
      <c r="W831" s="830"/>
      <c r="X831" s="830"/>
      <c r="Y831" s="830"/>
      <c r="Z831" s="830"/>
      <c r="AA831" s="830"/>
      <c r="AB831" s="830"/>
      <c r="AC831" s="830"/>
      <c r="AD831" s="830"/>
    </row>
    <row r="832" spans="1:36" ht="48" customHeight="1">
      <c r="A832" s="49"/>
      <c r="B832" s="57"/>
      <c r="C832" s="754" t="s">
        <v>3552</v>
      </c>
      <c r="D832" s="754"/>
      <c r="E832" s="754"/>
      <c r="F832" s="754"/>
      <c r="G832" s="754"/>
      <c r="H832" s="754"/>
      <c r="I832" s="754"/>
      <c r="J832" s="754"/>
      <c r="K832" s="754"/>
      <c r="L832" s="754"/>
      <c r="M832" s="754"/>
      <c r="N832" s="754"/>
      <c r="O832" s="754"/>
      <c r="P832" s="754"/>
      <c r="Q832" s="754"/>
      <c r="R832" s="754"/>
      <c r="S832" s="754"/>
      <c r="T832" s="754"/>
      <c r="U832" s="754"/>
      <c r="V832" s="754"/>
      <c r="W832" s="754"/>
      <c r="X832" s="754"/>
      <c r="Y832" s="754"/>
      <c r="Z832" s="754"/>
      <c r="AA832" s="754"/>
      <c r="AB832" s="754"/>
      <c r="AC832" s="754"/>
      <c r="AD832" s="754"/>
    </row>
    <row r="833" spans="1:43" ht="24" customHeight="1">
      <c r="A833" s="103"/>
      <c r="B833" s="57"/>
      <c r="C833" s="754" t="s">
        <v>3553</v>
      </c>
      <c r="D833" s="754"/>
      <c r="E833" s="754"/>
      <c r="F833" s="754"/>
      <c r="G833" s="754"/>
      <c r="H833" s="754"/>
      <c r="I833" s="754"/>
      <c r="J833" s="754"/>
      <c r="K833" s="754"/>
      <c r="L833" s="754"/>
      <c r="M833" s="754"/>
      <c r="N833" s="754"/>
      <c r="O833" s="754"/>
      <c r="P833" s="754"/>
      <c r="Q833" s="754"/>
      <c r="R833" s="754"/>
      <c r="S833" s="754"/>
      <c r="T833" s="754"/>
      <c r="U833" s="754"/>
      <c r="V833" s="754"/>
      <c r="W833" s="754"/>
      <c r="X833" s="754"/>
      <c r="Y833" s="754"/>
      <c r="Z833" s="754"/>
      <c r="AA833" s="754"/>
      <c r="AB833" s="754"/>
      <c r="AC833" s="754"/>
      <c r="AD833" s="754"/>
    </row>
    <row r="834" spans="1:43" ht="15" customHeight="1">
      <c r="A834" s="103"/>
      <c r="B834" s="57"/>
      <c r="C834" s="57"/>
      <c r="D834" s="57"/>
      <c r="E834" s="57"/>
      <c r="F834" s="57"/>
      <c r="G834" s="57"/>
      <c r="H834" s="57"/>
      <c r="I834" s="57"/>
      <c r="J834" s="57"/>
      <c r="K834" s="57"/>
      <c r="L834" s="57"/>
      <c r="M834" s="57"/>
      <c r="N834" s="57"/>
      <c r="O834" s="57"/>
      <c r="P834" s="57"/>
      <c r="Q834" s="57"/>
      <c r="R834" s="57"/>
      <c r="S834" s="57"/>
      <c r="T834" s="57"/>
      <c r="U834" s="57"/>
      <c r="V834" s="57"/>
      <c r="W834" s="57"/>
      <c r="X834" s="57"/>
      <c r="Y834" s="57"/>
      <c r="Z834" s="57"/>
      <c r="AA834" s="57"/>
      <c r="AB834" s="57"/>
      <c r="AC834" s="57"/>
      <c r="AD834" s="57"/>
    </row>
    <row r="835" spans="1:43" ht="24" customHeight="1">
      <c r="A835" s="49"/>
      <c r="B835" s="57"/>
      <c r="C835" s="732" t="s">
        <v>3554</v>
      </c>
      <c r="D835" s="732"/>
      <c r="E835" s="732"/>
      <c r="F835" s="732"/>
      <c r="G835" s="732"/>
      <c r="H835" s="732"/>
      <c r="I835" s="732"/>
      <c r="J835" s="732"/>
      <c r="K835" s="732"/>
      <c r="L835" s="732"/>
      <c r="M835" s="732" t="s">
        <v>3555</v>
      </c>
      <c r="N835" s="732"/>
      <c r="O835" s="732"/>
      <c r="P835" s="732"/>
      <c r="Q835" s="732"/>
      <c r="R835" s="732"/>
      <c r="S835" s="732"/>
      <c r="T835" s="732"/>
      <c r="U835" s="732"/>
      <c r="V835" s="732"/>
      <c r="W835" s="732"/>
      <c r="X835" s="732"/>
      <c r="Y835" s="732"/>
      <c r="Z835" s="732"/>
      <c r="AA835" s="732"/>
      <c r="AB835" s="732"/>
      <c r="AC835" s="732"/>
      <c r="AD835" s="732"/>
      <c r="AG835"/>
      <c r="AH835"/>
      <c r="AI835"/>
      <c r="AJ835"/>
      <c r="AK835" s="916" t="s">
        <v>3556</v>
      </c>
      <c r="AL835" s="916"/>
      <c r="AM835" s="916"/>
      <c r="AN835" s="917" t="s">
        <v>3557</v>
      </c>
      <c r="AO835" s="918" t="s">
        <v>3558</v>
      </c>
      <c r="AP835" s="918"/>
      <c r="AQ835" s="918"/>
    </row>
    <row r="836" spans="1:43" ht="15" customHeight="1">
      <c r="A836" s="49"/>
      <c r="B836" s="57"/>
      <c r="C836" s="732"/>
      <c r="D836" s="732"/>
      <c r="E836" s="732"/>
      <c r="F836" s="732"/>
      <c r="G836" s="732"/>
      <c r="H836" s="732"/>
      <c r="I836" s="732"/>
      <c r="J836" s="732"/>
      <c r="K836" s="732"/>
      <c r="L836" s="732"/>
      <c r="M836" s="880" t="s">
        <v>2628</v>
      </c>
      <c r="N836" s="880"/>
      <c r="O836" s="880"/>
      <c r="P836" s="880"/>
      <c r="Q836" s="880"/>
      <c r="R836" s="880"/>
      <c r="S836" s="966" t="s">
        <v>2629</v>
      </c>
      <c r="T836" s="966"/>
      <c r="U836" s="966"/>
      <c r="V836" s="966"/>
      <c r="W836" s="966"/>
      <c r="X836" s="966"/>
      <c r="Y836" s="966" t="s">
        <v>2630</v>
      </c>
      <c r="Z836" s="966"/>
      <c r="AA836" s="966"/>
      <c r="AB836" s="966"/>
      <c r="AC836" s="966"/>
      <c r="AD836" s="966"/>
      <c r="AG836" s="354" t="s">
        <v>2586</v>
      </c>
      <c r="AH836" s="350" t="s">
        <v>2590</v>
      </c>
      <c r="AI836" s="351" t="s">
        <v>3163</v>
      </c>
      <c r="AJ836" s="352" t="s">
        <v>3164</v>
      </c>
      <c r="AK836" s="370" t="s">
        <v>2795</v>
      </c>
      <c r="AL836" s="371" t="s">
        <v>3177</v>
      </c>
      <c r="AM836" s="372" t="s">
        <v>3178</v>
      </c>
      <c r="AN836" s="917"/>
      <c r="AO836" s="427" t="s">
        <v>2795</v>
      </c>
      <c r="AP836" s="428" t="s">
        <v>3177</v>
      </c>
      <c r="AQ836" s="429" t="s">
        <v>3178</v>
      </c>
    </row>
    <row r="837" spans="1:43" ht="15" customHeight="1">
      <c r="A837" s="49"/>
      <c r="B837" s="57"/>
      <c r="C837" s="44" t="s">
        <v>2516</v>
      </c>
      <c r="D837" s="796" t="s">
        <v>3559</v>
      </c>
      <c r="E837" s="796"/>
      <c r="F837" s="796"/>
      <c r="G837" s="796"/>
      <c r="H837" s="796"/>
      <c r="I837" s="796"/>
      <c r="J837" s="796"/>
      <c r="K837" s="796"/>
      <c r="L837" s="796"/>
      <c r="M837" s="817"/>
      <c r="N837" s="749"/>
      <c r="O837" s="749"/>
      <c r="P837" s="749"/>
      <c r="Q837" s="749"/>
      <c r="R837" s="749"/>
      <c r="S837" s="749"/>
      <c r="T837" s="749"/>
      <c r="U837" s="749"/>
      <c r="V837" s="749"/>
      <c r="W837" s="749"/>
      <c r="X837" s="749"/>
      <c r="Y837" s="749"/>
      <c r="Z837" s="749"/>
      <c r="AA837" s="749"/>
      <c r="AB837" s="749"/>
      <c r="AC837" s="749"/>
      <c r="AD837" s="749"/>
      <c r="AG837" s="353">
        <f>IF(AND(COUNTA(M837:AD850)=0),0,IF(AND(COUNTA(M837:AD850)=42),0,1))</f>
        <v>0</v>
      </c>
      <c r="AH837" s="326">
        <f>COUNTIF(S837:AD837,"NS")</f>
        <v>0</v>
      </c>
      <c r="AI837" s="326">
        <f>SUM(S837:AD837)</f>
        <v>0</v>
      </c>
      <c r="AJ837" s="326">
        <f>IF(COUNTIF(M837:AD837,"NA")=3,0,IF(OR(AND(M837=0,AH837&gt;0),AND(M837="ns",AI837&gt;0),AND(M837="ns",AH837=0,AI837=0)),1,IF(OR(AND(M837&gt;0,AH837=2),AND(M837="ns",AH837=2),AND(M837="ns",AI837=0,AH837&gt;0),M837=AI837),0,1)))</f>
        <v>0</v>
      </c>
      <c r="AK837">
        <f>IF(OR(M851="NS",P423="NS",S423="NS",V423="NS"),0,IF(AND(M851="NA",P423="NA",S423="NA",V423="NA"),0,IF(M851&gt;=SUM(P423,S423,V423),0,1)))</f>
        <v>0</v>
      </c>
      <c r="AL837">
        <f>IF(OR(S851="NS",Q423="NS",T423="NS",W423="NS"),0,IF(AND(S851="NA",Q423="NA",T423="NA",W423="NA"),0,IF(S851&gt;=SUM(Q423,T423,W423),0,1)))</f>
        <v>0</v>
      </c>
      <c r="AM837">
        <f>IF(OR(Y851="NS",R423="NS",U423="NS",X423="NS"),0,IF(AND(Y851="NA",R423="NA",U423="NA",X423="NA"),0,IF(Y851&gt;=SUM(R423,U423,X423),0,1)))</f>
        <v>0</v>
      </c>
      <c r="AN837">
        <f>IF(SUM(M850:AD850)&gt;0,1,0)</f>
        <v>0</v>
      </c>
      <c r="AO837">
        <f>IF(OR(M837="NS",$P$423="NS",$S$423="NS",$V$423="NS"),0,IF(AND(M837="NA",$P$423="NA",$S$423="NA",$V$423="NA"),0,IF(M837&lt;=SUM($P$423,$S$423,$V$423),0,1)))</f>
        <v>0</v>
      </c>
      <c r="AP837">
        <f>IF(OR(S837="NS",$Q$423="NS",$T$423="NS",$W$423="NS"),0,IF(AND(S837="NA",$Q$423="NA",$T$423="NA",$W$423="NA"),0,IF(S837&lt;=SUM($Q$423,$T$423,$W$423),0,1)))</f>
        <v>0</v>
      </c>
      <c r="AQ837">
        <f>IF(OR(Y837="NS",$R$423="NS",$U$423="NS",$X$423="NS"),0,IF(AND(Y837="NA",$R$423="NA",$U$423="NA",$X$423="NA"),0,IF(Y837&lt;=SUM($R$423,$U$423,$X$423),0,1)))</f>
        <v>0</v>
      </c>
    </row>
    <row r="838" spans="1:43" ht="15" customHeight="1">
      <c r="A838" s="49"/>
      <c r="B838" s="57"/>
      <c r="C838" s="44" t="s">
        <v>2517</v>
      </c>
      <c r="D838" s="796" t="s">
        <v>3560</v>
      </c>
      <c r="E838" s="796"/>
      <c r="F838" s="796"/>
      <c r="G838" s="796"/>
      <c r="H838" s="796"/>
      <c r="I838" s="796"/>
      <c r="J838" s="796"/>
      <c r="K838" s="796"/>
      <c r="L838" s="796"/>
      <c r="M838" s="817"/>
      <c r="N838" s="749"/>
      <c r="O838" s="749"/>
      <c r="P838" s="749"/>
      <c r="Q838" s="749"/>
      <c r="R838" s="749"/>
      <c r="S838" s="749"/>
      <c r="T838" s="749"/>
      <c r="U838" s="749"/>
      <c r="V838" s="749"/>
      <c r="W838" s="749"/>
      <c r="X838" s="749"/>
      <c r="Y838" s="749"/>
      <c r="Z838" s="749"/>
      <c r="AA838" s="749"/>
      <c r="AB838" s="749"/>
      <c r="AC838" s="749"/>
      <c r="AD838" s="749"/>
      <c r="AG838" s="353"/>
      <c r="AH838" s="326">
        <f t="shared" ref="AH838:AH850" si="696">COUNTIF(S838:AD838,"NS")</f>
        <v>0</v>
      </c>
      <c r="AI838" s="326">
        <f t="shared" ref="AI838:AI850" si="697">SUM(S838:AD838)</f>
        <v>0</v>
      </c>
      <c r="AJ838" s="326">
        <f t="shared" ref="AJ838:AJ850" si="698">IF(COUNTIF(M838:AD838,"NA")=3,0,IF(OR(AND(M838=0,AH838&gt;0),AND(M838="ns",AI838&gt;0),AND(M838="ns",AH838=0,AI838=0)),1,IF(OR(AND(M838&gt;0,AH838=2),AND(M838="ns",AH838=2),AND(M838="ns",AI838=0,AH838&gt;0),M838=AI838),0,1)))</f>
        <v>0</v>
      </c>
      <c r="AM838" s="430">
        <f>SUM(AK837:AM837)</f>
        <v>0</v>
      </c>
      <c r="AO838">
        <f t="shared" ref="AO838:AO850" si="699">IF(OR(M838="NS",$P$423="NS",$S$423="NS",$V$423="NS"),0,IF(AND(M838="NA",$P$423="NA",$S$423="NA",$V$423="NA"),0,IF(M838&lt;=SUM($P$423,$S$423,$V$423),0,1)))</f>
        <v>0</v>
      </c>
      <c r="AP838">
        <f t="shared" ref="AP838:AP850" si="700">IF(OR(S838="NS",$Q$423="NS",$T$423="NS",$W$423="NS"),0,IF(AND(S838="NA",$Q$423="NA",$T$423="NA",$W$423="NA"),0,IF(S838&lt;=SUM($Q$423,$T$423,$W$423),0,1)))</f>
        <v>0</v>
      </c>
      <c r="AQ838">
        <f t="shared" ref="AQ838:AQ850" si="701">IF(OR(Y838="NS",$R$423="NS",$U$423="NS",$X$423="NS"),0,IF(AND(Y838="NA",$R$423="NA",$U$423="NA",$X$423="NA"),0,IF(Y838&lt;=SUM($R$423,$U$423,$X$423),0,1)))</f>
        <v>0</v>
      </c>
    </row>
    <row r="839" spans="1:43" ht="15" customHeight="1">
      <c r="A839" s="49"/>
      <c r="B839" s="57"/>
      <c r="C839" s="44" t="s">
        <v>2518</v>
      </c>
      <c r="D839" s="796" t="s">
        <v>3561</v>
      </c>
      <c r="E839" s="796"/>
      <c r="F839" s="796"/>
      <c r="G839" s="796"/>
      <c r="H839" s="796"/>
      <c r="I839" s="796"/>
      <c r="J839" s="796"/>
      <c r="K839" s="796"/>
      <c r="L839" s="796"/>
      <c r="M839" s="817"/>
      <c r="N839" s="749"/>
      <c r="O839" s="749"/>
      <c r="P839" s="749"/>
      <c r="Q839" s="749"/>
      <c r="R839" s="749"/>
      <c r="S839" s="749"/>
      <c r="T839" s="749"/>
      <c r="U839" s="749"/>
      <c r="V839" s="749"/>
      <c r="W839" s="749"/>
      <c r="X839" s="749"/>
      <c r="Y839" s="749"/>
      <c r="Z839" s="749"/>
      <c r="AA839" s="749"/>
      <c r="AB839" s="749"/>
      <c r="AC839" s="749"/>
      <c r="AD839" s="749"/>
      <c r="AG839" s="353"/>
      <c r="AH839" s="326">
        <f t="shared" si="696"/>
        <v>0</v>
      </c>
      <c r="AI839" s="326">
        <f t="shared" si="697"/>
        <v>0</v>
      </c>
      <c r="AJ839" s="326">
        <f t="shared" si="698"/>
        <v>0</v>
      </c>
      <c r="AO839">
        <f t="shared" si="699"/>
        <v>0</v>
      </c>
      <c r="AP839">
        <f t="shared" si="700"/>
        <v>0</v>
      </c>
      <c r="AQ839">
        <f t="shared" si="701"/>
        <v>0</v>
      </c>
    </row>
    <row r="840" spans="1:43" ht="15" customHeight="1">
      <c r="A840" s="49"/>
      <c r="B840" s="57"/>
      <c r="C840" s="44" t="s">
        <v>2519</v>
      </c>
      <c r="D840" s="796" t="s">
        <v>3562</v>
      </c>
      <c r="E840" s="796"/>
      <c r="F840" s="796"/>
      <c r="G840" s="796"/>
      <c r="H840" s="796"/>
      <c r="I840" s="796"/>
      <c r="J840" s="796"/>
      <c r="K840" s="796"/>
      <c r="L840" s="796"/>
      <c r="M840" s="817"/>
      <c r="N840" s="749"/>
      <c r="O840" s="749"/>
      <c r="P840" s="749"/>
      <c r="Q840" s="749"/>
      <c r="R840" s="749"/>
      <c r="S840" s="749"/>
      <c r="T840" s="749"/>
      <c r="U840" s="749"/>
      <c r="V840" s="749"/>
      <c r="W840" s="749"/>
      <c r="X840" s="749"/>
      <c r="Y840" s="749"/>
      <c r="Z840" s="749"/>
      <c r="AA840" s="749"/>
      <c r="AB840" s="749"/>
      <c r="AC840" s="749"/>
      <c r="AD840" s="749"/>
      <c r="AG840" s="353"/>
      <c r="AH840" s="326">
        <f t="shared" si="696"/>
        <v>0</v>
      </c>
      <c r="AI840" s="326">
        <f t="shared" si="697"/>
        <v>0</v>
      </c>
      <c r="AJ840" s="326">
        <f t="shared" si="698"/>
        <v>0</v>
      </c>
      <c r="AO840">
        <f t="shared" si="699"/>
        <v>0</v>
      </c>
      <c r="AP840">
        <f t="shared" si="700"/>
        <v>0</v>
      </c>
      <c r="AQ840">
        <f t="shared" si="701"/>
        <v>0</v>
      </c>
    </row>
    <row r="841" spans="1:43" ht="15" customHeight="1">
      <c r="A841" s="49"/>
      <c r="B841" s="57"/>
      <c r="C841" s="44" t="s">
        <v>2520</v>
      </c>
      <c r="D841" s="796" t="s">
        <v>3563</v>
      </c>
      <c r="E841" s="796"/>
      <c r="F841" s="796"/>
      <c r="G841" s="796"/>
      <c r="H841" s="796"/>
      <c r="I841" s="796"/>
      <c r="J841" s="796"/>
      <c r="K841" s="796"/>
      <c r="L841" s="796"/>
      <c r="M841" s="817"/>
      <c r="N841" s="749"/>
      <c r="O841" s="749"/>
      <c r="P841" s="749"/>
      <c r="Q841" s="749"/>
      <c r="R841" s="749"/>
      <c r="S841" s="749"/>
      <c r="T841" s="749"/>
      <c r="U841" s="749"/>
      <c r="V841" s="749"/>
      <c r="W841" s="749"/>
      <c r="X841" s="749"/>
      <c r="Y841" s="749"/>
      <c r="Z841" s="749"/>
      <c r="AA841" s="749"/>
      <c r="AB841" s="749"/>
      <c r="AC841" s="749"/>
      <c r="AD841" s="749"/>
      <c r="AG841" s="353"/>
      <c r="AH841" s="326">
        <f t="shared" si="696"/>
        <v>0</v>
      </c>
      <c r="AI841" s="326">
        <f t="shared" si="697"/>
        <v>0</v>
      </c>
      <c r="AJ841" s="326">
        <f t="shared" si="698"/>
        <v>0</v>
      </c>
      <c r="AO841">
        <f t="shared" si="699"/>
        <v>0</v>
      </c>
      <c r="AP841">
        <f t="shared" si="700"/>
        <v>0</v>
      </c>
      <c r="AQ841">
        <f t="shared" si="701"/>
        <v>0</v>
      </c>
    </row>
    <row r="842" spans="1:43" ht="15" customHeight="1">
      <c r="A842" s="49"/>
      <c r="B842" s="57"/>
      <c r="C842" s="44" t="s">
        <v>2521</v>
      </c>
      <c r="D842" s="796" t="s">
        <v>3564</v>
      </c>
      <c r="E842" s="796"/>
      <c r="F842" s="796"/>
      <c r="G842" s="796"/>
      <c r="H842" s="796"/>
      <c r="I842" s="796"/>
      <c r="J842" s="796"/>
      <c r="K842" s="796"/>
      <c r="L842" s="796"/>
      <c r="M842" s="817"/>
      <c r="N842" s="749"/>
      <c r="O842" s="749"/>
      <c r="P842" s="749"/>
      <c r="Q842" s="749"/>
      <c r="R842" s="749"/>
      <c r="S842" s="749"/>
      <c r="T842" s="749"/>
      <c r="U842" s="749"/>
      <c r="V842" s="749"/>
      <c r="W842" s="749"/>
      <c r="X842" s="749"/>
      <c r="Y842" s="749"/>
      <c r="Z842" s="749"/>
      <c r="AA842" s="749"/>
      <c r="AB842" s="749"/>
      <c r="AC842" s="749"/>
      <c r="AD842" s="749"/>
      <c r="AG842" s="353"/>
      <c r="AH842" s="326">
        <f t="shared" si="696"/>
        <v>0</v>
      </c>
      <c r="AI842" s="326">
        <f t="shared" si="697"/>
        <v>0</v>
      </c>
      <c r="AJ842" s="326">
        <f t="shared" si="698"/>
        <v>0</v>
      </c>
      <c r="AO842">
        <f t="shared" si="699"/>
        <v>0</v>
      </c>
      <c r="AP842">
        <f t="shared" si="700"/>
        <v>0</v>
      </c>
      <c r="AQ842">
        <f t="shared" si="701"/>
        <v>0</v>
      </c>
    </row>
    <row r="843" spans="1:43" ht="15" customHeight="1">
      <c r="A843" s="49"/>
      <c r="B843" s="57"/>
      <c r="C843" s="44" t="s">
        <v>2522</v>
      </c>
      <c r="D843" s="796" t="s">
        <v>3565</v>
      </c>
      <c r="E843" s="796"/>
      <c r="F843" s="796"/>
      <c r="G843" s="796"/>
      <c r="H843" s="796"/>
      <c r="I843" s="796"/>
      <c r="J843" s="796"/>
      <c r="K843" s="796"/>
      <c r="L843" s="796"/>
      <c r="M843" s="817"/>
      <c r="N843" s="749"/>
      <c r="O843" s="749"/>
      <c r="P843" s="749"/>
      <c r="Q843" s="749"/>
      <c r="R843" s="749"/>
      <c r="S843" s="749"/>
      <c r="T843" s="749"/>
      <c r="U843" s="749"/>
      <c r="V843" s="749"/>
      <c r="W843" s="749"/>
      <c r="X843" s="749"/>
      <c r="Y843" s="749"/>
      <c r="Z843" s="749"/>
      <c r="AA843" s="749"/>
      <c r="AB843" s="749"/>
      <c r="AC843" s="749"/>
      <c r="AD843" s="749"/>
      <c r="AG843" s="353"/>
      <c r="AH843" s="326">
        <f t="shared" si="696"/>
        <v>0</v>
      </c>
      <c r="AI843" s="326">
        <f t="shared" si="697"/>
        <v>0</v>
      </c>
      <c r="AJ843" s="326">
        <f t="shared" si="698"/>
        <v>0</v>
      </c>
      <c r="AO843">
        <f t="shared" si="699"/>
        <v>0</v>
      </c>
      <c r="AP843">
        <f t="shared" si="700"/>
        <v>0</v>
      </c>
      <c r="AQ843">
        <f t="shared" si="701"/>
        <v>0</v>
      </c>
    </row>
    <row r="844" spans="1:43" ht="15" customHeight="1">
      <c r="A844" s="49"/>
      <c r="B844" s="57"/>
      <c r="C844" s="44" t="s">
        <v>2523</v>
      </c>
      <c r="D844" s="796" t="s">
        <v>3566</v>
      </c>
      <c r="E844" s="796"/>
      <c r="F844" s="796"/>
      <c r="G844" s="796"/>
      <c r="H844" s="796"/>
      <c r="I844" s="796"/>
      <c r="J844" s="796"/>
      <c r="K844" s="796"/>
      <c r="L844" s="796"/>
      <c r="M844" s="817"/>
      <c r="N844" s="749"/>
      <c r="O844" s="749"/>
      <c r="P844" s="749"/>
      <c r="Q844" s="749"/>
      <c r="R844" s="749"/>
      <c r="S844" s="749"/>
      <c r="T844" s="749"/>
      <c r="U844" s="749"/>
      <c r="V844" s="749"/>
      <c r="W844" s="749"/>
      <c r="X844" s="749"/>
      <c r="Y844" s="749"/>
      <c r="Z844" s="749"/>
      <c r="AA844" s="749"/>
      <c r="AB844" s="749"/>
      <c r="AC844" s="749"/>
      <c r="AD844" s="749"/>
      <c r="AG844" s="353"/>
      <c r="AH844" s="326">
        <f t="shared" si="696"/>
        <v>0</v>
      </c>
      <c r="AI844" s="326">
        <f t="shared" si="697"/>
        <v>0</v>
      </c>
      <c r="AJ844" s="326">
        <f t="shared" si="698"/>
        <v>0</v>
      </c>
      <c r="AO844">
        <f t="shared" si="699"/>
        <v>0</v>
      </c>
      <c r="AP844">
        <f t="shared" si="700"/>
        <v>0</v>
      </c>
      <c r="AQ844">
        <f t="shared" si="701"/>
        <v>0</v>
      </c>
    </row>
    <row r="845" spans="1:43" ht="15" customHeight="1">
      <c r="A845" s="49"/>
      <c r="B845" s="57"/>
      <c r="C845" s="44" t="s">
        <v>2524</v>
      </c>
      <c r="D845" s="796" t="s">
        <v>3567</v>
      </c>
      <c r="E845" s="796"/>
      <c r="F845" s="796"/>
      <c r="G845" s="796"/>
      <c r="H845" s="796"/>
      <c r="I845" s="796"/>
      <c r="J845" s="796"/>
      <c r="K845" s="796"/>
      <c r="L845" s="796"/>
      <c r="M845" s="817"/>
      <c r="N845" s="749"/>
      <c r="O845" s="749"/>
      <c r="P845" s="749"/>
      <c r="Q845" s="749"/>
      <c r="R845" s="749"/>
      <c r="S845" s="749"/>
      <c r="T845" s="749"/>
      <c r="U845" s="749"/>
      <c r="V845" s="749"/>
      <c r="W845" s="749"/>
      <c r="X845" s="749"/>
      <c r="Y845" s="749"/>
      <c r="Z845" s="749"/>
      <c r="AA845" s="749"/>
      <c r="AB845" s="749"/>
      <c r="AC845" s="749"/>
      <c r="AD845" s="749"/>
      <c r="AG845" s="353"/>
      <c r="AH845" s="326">
        <f t="shared" si="696"/>
        <v>0</v>
      </c>
      <c r="AI845" s="326">
        <f t="shared" si="697"/>
        <v>0</v>
      </c>
      <c r="AJ845" s="326">
        <f t="shared" si="698"/>
        <v>0</v>
      </c>
      <c r="AO845">
        <f t="shared" si="699"/>
        <v>0</v>
      </c>
      <c r="AP845">
        <f t="shared" si="700"/>
        <v>0</v>
      </c>
      <c r="AQ845">
        <f t="shared" si="701"/>
        <v>0</v>
      </c>
    </row>
    <row r="846" spans="1:43" ht="15" customHeight="1">
      <c r="A846" s="49"/>
      <c r="B846" s="57"/>
      <c r="C846" s="44" t="s">
        <v>2525</v>
      </c>
      <c r="D846" s="796" t="s">
        <v>3568</v>
      </c>
      <c r="E846" s="796"/>
      <c r="F846" s="796"/>
      <c r="G846" s="796"/>
      <c r="H846" s="796"/>
      <c r="I846" s="796"/>
      <c r="J846" s="796"/>
      <c r="K846" s="796"/>
      <c r="L846" s="796"/>
      <c r="M846" s="817"/>
      <c r="N846" s="749"/>
      <c r="O846" s="749"/>
      <c r="P846" s="749"/>
      <c r="Q846" s="749"/>
      <c r="R846" s="749"/>
      <c r="S846" s="749"/>
      <c r="T846" s="749"/>
      <c r="U846" s="749"/>
      <c r="V846" s="749"/>
      <c r="W846" s="749"/>
      <c r="X846" s="749"/>
      <c r="Y846" s="749"/>
      <c r="Z846" s="749"/>
      <c r="AA846" s="749"/>
      <c r="AB846" s="749"/>
      <c r="AC846" s="749"/>
      <c r="AD846" s="749"/>
      <c r="AG846" s="353"/>
      <c r="AH846" s="326">
        <f t="shared" si="696"/>
        <v>0</v>
      </c>
      <c r="AI846" s="326">
        <f t="shared" si="697"/>
        <v>0</v>
      </c>
      <c r="AJ846" s="326">
        <f t="shared" si="698"/>
        <v>0</v>
      </c>
      <c r="AO846">
        <f t="shared" si="699"/>
        <v>0</v>
      </c>
      <c r="AP846">
        <f t="shared" si="700"/>
        <v>0</v>
      </c>
      <c r="AQ846">
        <f t="shared" si="701"/>
        <v>0</v>
      </c>
    </row>
    <row r="847" spans="1:43" ht="15" customHeight="1">
      <c r="A847" s="49"/>
      <c r="B847" s="57"/>
      <c r="C847" s="44" t="s">
        <v>2526</v>
      </c>
      <c r="D847" s="796" t="s">
        <v>3569</v>
      </c>
      <c r="E847" s="796"/>
      <c r="F847" s="796"/>
      <c r="G847" s="796"/>
      <c r="H847" s="796"/>
      <c r="I847" s="796"/>
      <c r="J847" s="796"/>
      <c r="K847" s="796"/>
      <c r="L847" s="796"/>
      <c r="M847" s="817"/>
      <c r="N847" s="749"/>
      <c r="O847" s="749"/>
      <c r="P847" s="749"/>
      <c r="Q847" s="749"/>
      <c r="R847" s="749"/>
      <c r="S847" s="749"/>
      <c r="T847" s="749"/>
      <c r="U847" s="749"/>
      <c r="V847" s="749"/>
      <c r="W847" s="749"/>
      <c r="X847" s="749"/>
      <c r="Y847" s="749"/>
      <c r="Z847" s="749"/>
      <c r="AA847" s="749"/>
      <c r="AB847" s="749"/>
      <c r="AC847" s="749"/>
      <c r="AD847" s="749"/>
      <c r="AG847" s="353"/>
      <c r="AH847" s="326">
        <f t="shared" si="696"/>
        <v>0</v>
      </c>
      <c r="AI847" s="326">
        <f t="shared" si="697"/>
        <v>0</v>
      </c>
      <c r="AJ847" s="326">
        <f t="shared" si="698"/>
        <v>0</v>
      </c>
      <c r="AO847">
        <f t="shared" si="699"/>
        <v>0</v>
      </c>
      <c r="AP847">
        <f t="shared" si="700"/>
        <v>0</v>
      </c>
      <c r="AQ847">
        <f t="shared" si="701"/>
        <v>0</v>
      </c>
    </row>
    <row r="848" spans="1:43" ht="15" customHeight="1">
      <c r="A848" s="49"/>
      <c r="B848" s="57"/>
      <c r="C848" s="143" t="s">
        <v>2527</v>
      </c>
      <c r="D848" s="796" t="s">
        <v>3570</v>
      </c>
      <c r="E848" s="796"/>
      <c r="F848" s="796"/>
      <c r="G848" s="796"/>
      <c r="H848" s="796"/>
      <c r="I848" s="796"/>
      <c r="J848" s="796"/>
      <c r="K848" s="796"/>
      <c r="L848" s="796"/>
      <c r="M848" s="817"/>
      <c r="N848" s="749"/>
      <c r="O848" s="749"/>
      <c r="P848" s="749"/>
      <c r="Q848" s="749"/>
      <c r="R848" s="749"/>
      <c r="S848" s="749"/>
      <c r="T848" s="749"/>
      <c r="U848" s="749"/>
      <c r="V848" s="749"/>
      <c r="W848" s="749"/>
      <c r="X848" s="749"/>
      <c r="Y848" s="749"/>
      <c r="Z848" s="749"/>
      <c r="AA848" s="749"/>
      <c r="AB848" s="749"/>
      <c r="AC848" s="749"/>
      <c r="AD848" s="749"/>
      <c r="AG848" s="353"/>
      <c r="AH848" s="326">
        <f t="shared" si="696"/>
        <v>0</v>
      </c>
      <c r="AI848" s="326">
        <f t="shared" si="697"/>
        <v>0</v>
      </c>
      <c r="AJ848" s="326">
        <f t="shared" si="698"/>
        <v>0</v>
      </c>
      <c r="AO848">
        <f t="shared" si="699"/>
        <v>0</v>
      </c>
      <c r="AP848">
        <f t="shared" si="700"/>
        <v>0</v>
      </c>
      <c r="AQ848">
        <f t="shared" si="701"/>
        <v>0</v>
      </c>
    </row>
    <row r="849" spans="1:43" ht="24" customHeight="1">
      <c r="A849" s="49"/>
      <c r="B849" s="57"/>
      <c r="C849" s="143" t="s">
        <v>2528</v>
      </c>
      <c r="D849" s="796" t="s">
        <v>3571</v>
      </c>
      <c r="E849" s="796"/>
      <c r="F849" s="796"/>
      <c r="G849" s="796"/>
      <c r="H849" s="796"/>
      <c r="I849" s="796"/>
      <c r="J849" s="796"/>
      <c r="K849" s="796"/>
      <c r="L849" s="796"/>
      <c r="M849" s="817"/>
      <c r="N849" s="749"/>
      <c r="O849" s="749"/>
      <c r="P849" s="749"/>
      <c r="Q849" s="749"/>
      <c r="R849" s="749"/>
      <c r="S849" s="749"/>
      <c r="T849" s="749"/>
      <c r="U849" s="749"/>
      <c r="V849" s="749"/>
      <c r="W849" s="749"/>
      <c r="X849" s="749"/>
      <c r="Y849" s="749"/>
      <c r="Z849" s="749"/>
      <c r="AA849" s="749"/>
      <c r="AB849" s="749"/>
      <c r="AC849" s="749"/>
      <c r="AD849" s="749"/>
      <c r="AG849" s="353"/>
      <c r="AH849" s="326">
        <f t="shared" si="696"/>
        <v>0</v>
      </c>
      <c r="AI849" s="326">
        <f t="shared" si="697"/>
        <v>0</v>
      </c>
      <c r="AJ849" s="326">
        <f t="shared" si="698"/>
        <v>0</v>
      </c>
      <c r="AO849">
        <f t="shared" si="699"/>
        <v>0</v>
      </c>
      <c r="AP849">
        <f t="shared" si="700"/>
        <v>0</v>
      </c>
      <c r="AQ849">
        <f t="shared" si="701"/>
        <v>0</v>
      </c>
    </row>
    <row r="850" spans="1:43" ht="24" customHeight="1">
      <c r="A850" s="49"/>
      <c r="B850" s="57"/>
      <c r="C850" s="143" t="s">
        <v>2529</v>
      </c>
      <c r="D850" s="796" t="s">
        <v>3572</v>
      </c>
      <c r="E850" s="796"/>
      <c r="F850" s="796"/>
      <c r="G850" s="796"/>
      <c r="H850" s="796"/>
      <c r="I850" s="796"/>
      <c r="J850" s="796"/>
      <c r="K850" s="796"/>
      <c r="L850" s="796"/>
      <c r="M850" s="817"/>
      <c r="N850" s="749"/>
      <c r="O850" s="749"/>
      <c r="P850" s="749"/>
      <c r="Q850" s="749"/>
      <c r="R850" s="749"/>
      <c r="S850" s="749"/>
      <c r="T850" s="749"/>
      <c r="U850" s="749"/>
      <c r="V850" s="749"/>
      <c r="W850" s="749"/>
      <c r="X850" s="749"/>
      <c r="Y850" s="749"/>
      <c r="Z850" s="749"/>
      <c r="AA850" s="749"/>
      <c r="AB850" s="749"/>
      <c r="AC850" s="749"/>
      <c r="AD850" s="749"/>
      <c r="AG850" s="353"/>
      <c r="AH850" s="326">
        <f t="shared" si="696"/>
        <v>0</v>
      </c>
      <c r="AI850" s="326">
        <f t="shared" si="697"/>
        <v>0</v>
      </c>
      <c r="AJ850" s="326">
        <f t="shared" si="698"/>
        <v>0</v>
      </c>
      <c r="AO850">
        <f t="shared" si="699"/>
        <v>0</v>
      </c>
      <c r="AP850">
        <f t="shared" si="700"/>
        <v>0</v>
      </c>
      <c r="AQ850">
        <f t="shared" si="701"/>
        <v>0</v>
      </c>
    </row>
    <row r="851" spans="1:43" ht="15" customHeight="1">
      <c r="A851" s="49"/>
      <c r="B851" s="57"/>
      <c r="C851" s="38"/>
      <c r="D851" s="38"/>
      <c r="E851" s="38"/>
      <c r="F851" s="38"/>
      <c r="G851" s="38"/>
      <c r="H851" s="38"/>
      <c r="I851" s="38"/>
      <c r="L851" s="117" t="s">
        <v>2649</v>
      </c>
      <c r="M851" s="736">
        <f>IF(AND(SUM(M837:R850)=0,COUNTIF(M837:R850,"NS")&gt;0),"NS",
IF(AND(SUM(M837:R850)=0,COUNTIF(M837:R850,0)&gt;0),0,
IF(AND(SUM(M837:R850)=0,COUNTIF(M837:R850,"NA")&gt;0),"NA",
SUM(M837:R850))))</f>
        <v>0</v>
      </c>
      <c r="N851" s="736"/>
      <c r="O851" s="736"/>
      <c r="P851" s="736"/>
      <c r="Q851" s="736"/>
      <c r="R851" s="736"/>
      <c r="S851" s="736">
        <f t="shared" ref="S851" si="702">IF(AND(SUM(S837:X850)=0,COUNTIF(S837:X850,"NS")&gt;0),"NS",
IF(AND(SUM(S837:X850)=0,COUNTIF(S837:X850,0)&gt;0),0,
IF(AND(SUM(S837:X850)=0,COUNTIF(S837:X850,"NA")&gt;0),"NA",
SUM(S837:X850))))</f>
        <v>0</v>
      </c>
      <c r="T851" s="736"/>
      <c r="U851" s="736"/>
      <c r="V851" s="736"/>
      <c r="W851" s="736"/>
      <c r="X851" s="736"/>
      <c r="Y851" s="736">
        <f t="shared" ref="Y851" si="703">IF(AND(SUM(Y837:AD850)=0,COUNTIF(Y837:AD850,"NS")&gt;0),"NS",
IF(AND(SUM(Y837:AD850)=0,COUNTIF(Y837:AD850,0)&gt;0),0,
IF(AND(SUM(Y837:AD850)=0,COUNTIF(Y837:AD850,"NA")&gt;0),"NA",
SUM(Y837:AD850))))</f>
        <v>0</v>
      </c>
      <c r="Z851" s="736"/>
      <c r="AA851" s="736"/>
      <c r="AB851" s="736"/>
      <c r="AC851" s="736"/>
      <c r="AD851" s="736"/>
      <c r="AH851" s="406">
        <f>SUM(AH837:AH850)</f>
        <v>0</v>
      </c>
      <c r="AI851" s="351">
        <f>SUM(AI837:AI850)</f>
        <v>0</v>
      </c>
      <c r="AJ851" s="352">
        <f>SUM(AJ837:AJ850)</f>
        <v>0</v>
      </c>
      <c r="AK851"/>
      <c r="AL851"/>
      <c r="AM851"/>
      <c r="AN851"/>
      <c r="AO851" s="431">
        <f>SUM(AO837:AO850)</f>
        <v>0</v>
      </c>
      <c r="AP851" s="432">
        <f>SUM(AP837:AP850)</f>
        <v>0</v>
      </c>
      <c r="AQ851" s="433">
        <f>SUM(AQ837:AQ850)</f>
        <v>0</v>
      </c>
    </row>
    <row r="852" spans="1:43" ht="15" customHeight="1">
      <c r="A852" s="103"/>
      <c r="B852" s="57"/>
      <c r="C852" s="57"/>
      <c r="D852" s="57"/>
      <c r="E852" s="57"/>
      <c r="F852" s="57"/>
      <c r="G852" s="57"/>
      <c r="H852" s="57"/>
      <c r="I852" s="57"/>
      <c r="J852" s="57"/>
      <c r="K852" s="57"/>
      <c r="L852" s="57"/>
      <c r="M852" s="57"/>
      <c r="N852" s="57"/>
      <c r="O852" s="57"/>
      <c r="P852" s="57"/>
      <c r="Q852" s="57"/>
      <c r="R852" s="57"/>
      <c r="S852" s="57"/>
      <c r="T852" s="57"/>
      <c r="U852" s="57"/>
      <c r="V852" s="57"/>
      <c r="W852" s="57"/>
      <c r="X852" s="57"/>
      <c r="Y852" s="57"/>
      <c r="Z852" s="57"/>
      <c r="AA852" s="57"/>
      <c r="AB852" s="57"/>
      <c r="AC852" s="57"/>
      <c r="AD852" s="57"/>
      <c r="AH852"/>
      <c r="AI852"/>
      <c r="AJ852"/>
      <c r="AK852"/>
      <c r="AL852"/>
      <c r="AM852"/>
      <c r="AN852"/>
      <c r="AO852"/>
      <c r="AP852"/>
      <c r="AQ852" s="434">
        <f>SUM(AO851:AQ851)</f>
        <v>0</v>
      </c>
    </row>
    <row r="853" spans="1:43" ht="45" customHeight="1">
      <c r="A853" s="103"/>
      <c r="B853" s="57"/>
      <c r="C853" s="822" t="s">
        <v>3573</v>
      </c>
      <c r="D853" s="822"/>
      <c r="E853" s="822"/>
      <c r="F853" s="823"/>
      <c r="G853" s="749"/>
      <c r="H853" s="749"/>
      <c r="I853" s="749"/>
      <c r="J853" s="749"/>
      <c r="K853" s="749"/>
      <c r="L853" s="749"/>
      <c r="M853" s="749"/>
      <c r="N853" s="749"/>
      <c r="O853" s="749"/>
      <c r="P853" s="749"/>
      <c r="Q853" s="749"/>
      <c r="R853" s="749"/>
      <c r="S853" s="749"/>
      <c r="T853" s="749"/>
      <c r="U853" s="749"/>
      <c r="V853" s="749"/>
      <c r="W853" s="749"/>
      <c r="X853" s="749"/>
      <c r="Y853" s="749"/>
      <c r="Z853" s="749"/>
      <c r="AA853" s="749"/>
      <c r="AB853" s="749"/>
      <c r="AC853" s="749"/>
      <c r="AD853" s="749"/>
    </row>
    <row r="854" spans="1:43" ht="15" customHeight="1">
      <c r="A854" s="103"/>
      <c r="B854" s="794" t="str">
        <f>IF(AND(AN837&gt;0,G853=""),"Ha registrado un valor numérico mayor a cero en el numeral 14, debe anotar el nombre de dicho(s) esquema(s) de jornada laboral","")</f>
        <v/>
      </c>
      <c r="C854" s="794"/>
      <c r="D854" s="794"/>
      <c r="E854" s="794"/>
      <c r="F854" s="794"/>
      <c r="G854" s="794"/>
      <c r="H854" s="794"/>
      <c r="I854" s="794"/>
      <c r="J854" s="794"/>
      <c r="K854" s="794"/>
      <c r="L854" s="794"/>
      <c r="M854" s="794"/>
      <c r="N854" s="794"/>
      <c r="O854" s="794"/>
      <c r="P854" s="794"/>
      <c r="Q854" s="794"/>
      <c r="R854" s="794"/>
      <c r="S854" s="794"/>
      <c r="T854" s="794"/>
      <c r="U854" s="794"/>
      <c r="V854" s="794"/>
      <c r="W854" s="794"/>
      <c r="X854" s="794"/>
      <c r="Y854" s="794"/>
      <c r="Z854" s="794"/>
      <c r="AA854" s="794"/>
      <c r="AB854" s="794"/>
      <c r="AC854" s="794"/>
      <c r="AD854" s="794"/>
      <c r="AE854" s="794"/>
    </row>
    <row r="855" spans="1:43" ht="24" customHeight="1">
      <c r="A855" s="103"/>
      <c r="B855" s="57"/>
      <c r="C855" s="754" t="s">
        <v>2611</v>
      </c>
      <c r="D855" s="754"/>
      <c r="E855" s="754"/>
      <c r="F855" s="754"/>
      <c r="G855" s="754"/>
      <c r="H855" s="754"/>
      <c r="I855" s="754"/>
      <c r="J855" s="754"/>
      <c r="K855" s="754"/>
      <c r="L855" s="754"/>
      <c r="M855" s="754"/>
      <c r="N855" s="754"/>
      <c r="O855" s="754"/>
      <c r="P855" s="754"/>
      <c r="Q855" s="754"/>
      <c r="R855" s="754"/>
      <c r="S855" s="754"/>
      <c r="T855" s="754"/>
      <c r="U855" s="754"/>
      <c r="V855" s="754"/>
      <c r="W855" s="754"/>
      <c r="X855" s="754"/>
      <c r="Y855" s="754"/>
      <c r="Z855" s="754"/>
      <c r="AA855" s="754"/>
      <c r="AB855" s="754"/>
      <c r="AC855" s="754"/>
      <c r="AD855" s="754"/>
    </row>
    <row r="856" spans="1:43" ht="60" customHeight="1">
      <c r="A856" s="103"/>
      <c r="B856" s="57"/>
      <c r="C856" s="851"/>
      <c r="D856" s="851"/>
      <c r="E856" s="851"/>
      <c r="F856" s="851"/>
      <c r="G856" s="851"/>
      <c r="H856" s="851"/>
      <c r="I856" s="851"/>
      <c r="J856" s="851"/>
      <c r="K856" s="851"/>
      <c r="L856" s="851"/>
      <c r="M856" s="851"/>
      <c r="N856" s="851"/>
      <c r="O856" s="851"/>
      <c r="P856" s="851"/>
      <c r="Q856" s="851"/>
      <c r="R856" s="851"/>
      <c r="S856" s="851"/>
      <c r="T856" s="851"/>
      <c r="U856" s="851"/>
      <c r="V856" s="851"/>
      <c r="W856" s="851"/>
      <c r="X856" s="851"/>
      <c r="Y856" s="851"/>
      <c r="Z856" s="851"/>
      <c r="AA856" s="851"/>
      <c r="AB856" s="851"/>
      <c r="AC856" s="851"/>
      <c r="AD856" s="851"/>
    </row>
    <row r="857" spans="1:43" ht="15" customHeight="1">
      <c r="A857" s="103"/>
      <c r="B857" s="794" t="str">
        <f>IF(AG837&gt;0,"Favor de ingresar toda la información requerida en la pregunta ","")</f>
        <v/>
      </c>
      <c r="C857" s="794"/>
      <c r="D857" s="794"/>
      <c r="E857" s="794"/>
      <c r="F857" s="794"/>
      <c r="G857" s="794"/>
      <c r="H857" s="794"/>
      <c r="I857" s="794"/>
      <c r="J857" s="794"/>
      <c r="K857" s="794"/>
      <c r="L857" s="794"/>
      <c r="M857" s="794"/>
      <c r="N857" s="794"/>
      <c r="O857" s="794"/>
      <c r="P857" s="794"/>
      <c r="Q857" s="794"/>
      <c r="R857" s="794"/>
      <c r="S857" s="794"/>
      <c r="T857" s="794"/>
      <c r="U857" s="794"/>
      <c r="V857" s="794"/>
      <c r="W857" s="794"/>
      <c r="X857" s="794"/>
      <c r="Y857" s="794"/>
      <c r="Z857" s="794"/>
      <c r="AA857" s="794"/>
      <c r="AB857" s="794"/>
      <c r="AC857" s="794"/>
      <c r="AD857" s="794"/>
      <c r="AE857"/>
    </row>
    <row r="858" spans="1:43" ht="15" customHeight="1">
      <c r="A858" s="103"/>
      <c r="B858" s="795" t="str">
        <f>IF(AH851&gt;0,"Alerta: debido a que cuenta con registros NS, debe proporcionar una justificación en el area de comentarios al final de la pregunta","")</f>
        <v/>
      </c>
      <c r="C858" s="795"/>
      <c r="D858" s="795"/>
      <c r="E858" s="795"/>
      <c r="F858" s="795"/>
      <c r="G858" s="795"/>
      <c r="H858" s="795"/>
      <c r="I858" s="795"/>
      <c r="J858" s="795"/>
      <c r="K858" s="795"/>
      <c r="L858" s="795"/>
      <c r="M858" s="795"/>
      <c r="N858" s="795"/>
      <c r="O858" s="795"/>
      <c r="P858" s="795"/>
      <c r="Q858" s="795"/>
      <c r="R858" s="795"/>
      <c r="S858" s="795"/>
      <c r="T858" s="795"/>
      <c r="U858" s="795"/>
      <c r="V858" s="795"/>
      <c r="W858" s="795"/>
      <c r="X858" s="795"/>
      <c r="Y858" s="795"/>
      <c r="Z858" s="795"/>
      <c r="AA858" s="795"/>
      <c r="AB858" s="795"/>
      <c r="AC858" s="795"/>
      <c r="AD858" s="795"/>
      <c r="AE858"/>
    </row>
    <row r="859" spans="1:43" ht="15" customHeight="1">
      <c r="A859" s="103"/>
      <c r="B859" s="794" t="str">
        <f>IF(AJ851&gt;0,"Favor de revisar la suma y consistencia de totales y/o subtotales por filas (numéricos y NS)","")</f>
        <v/>
      </c>
      <c r="C859" s="794"/>
      <c r="D859" s="794"/>
      <c r="E859" s="794"/>
      <c r="F859" s="794"/>
      <c r="G859" s="794"/>
      <c r="H859" s="794"/>
      <c r="I859" s="794"/>
      <c r="J859" s="794"/>
      <c r="K859" s="794"/>
      <c r="L859" s="794"/>
      <c r="M859" s="794"/>
      <c r="N859" s="794"/>
      <c r="O859" s="794"/>
      <c r="P859" s="794"/>
      <c r="Q859" s="794"/>
      <c r="R859" s="794"/>
      <c r="S859" s="794"/>
      <c r="T859" s="794"/>
      <c r="U859" s="794"/>
      <c r="V859" s="794"/>
      <c r="W859" s="794"/>
      <c r="X859" s="794"/>
      <c r="Y859" s="794"/>
      <c r="Z859" s="794"/>
      <c r="AA859" s="794"/>
      <c r="AB859" s="794"/>
      <c r="AC859" s="794"/>
      <c r="AD859" s="794"/>
      <c r="AE859"/>
    </row>
    <row r="860" spans="1:43" ht="15" customHeight="1">
      <c r="A860" s="103"/>
      <c r="B860" s="794" t="str">
        <f>IF(AM838&gt;0,"Favor de revisar la instrucción 1, debido a que no se cumplen con los criterios mencionados","")</f>
        <v/>
      </c>
      <c r="C860" s="794"/>
      <c r="D860" s="794"/>
      <c r="E860" s="794"/>
      <c r="F860" s="794"/>
      <c r="G860" s="794"/>
      <c r="H860" s="794"/>
      <c r="I860" s="794"/>
      <c r="J860" s="794"/>
      <c r="K860" s="794"/>
      <c r="L860" s="794"/>
      <c r="M860" s="794"/>
      <c r="N860" s="794"/>
      <c r="O860" s="794"/>
      <c r="P860" s="794"/>
      <c r="Q860" s="794"/>
      <c r="R860" s="794"/>
      <c r="S860" s="794"/>
      <c r="T860" s="794"/>
      <c r="U860" s="794"/>
      <c r="V860" s="794"/>
      <c r="W860" s="794"/>
      <c r="X860" s="794"/>
      <c r="Y860" s="794"/>
      <c r="Z860" s="794"/>
      <c r="AA860" s="794"/>
      <c r="AB860" s="794"/>
      <c r="AC860" s="794"/>
      <c r="AD860" s="794"/>
      <c r="AE860" s="794"/>
    </row>
    <row r="861" spans="1:43" ht="15" customHeight="1">
      <c r="A861" s="103"/>
      <c r="B861" s="795" t="str">
        <f>IF(AQ852&gt;0,"Alerta: debe de proporcionar una justificación de acuerdo a lo establecido en la instrucción 2","")</f>
        <v/>
      </c>
      <c r="C861" s="795"/>
      <c r="D861" s="795"/>
      <c r="E861" s="795"/>
      <c r="F861" s="795"/>
      <c r="G861" s="795"/>
      <c r="H861" s="795"/>
      <c r="I861" s="795"/>
      <c r="J861" s="795"/>
      <c r="K861" s="795"/>
      <c r="L861" s="795"/>
      <c r="M861" s="795"/>
      <c r="N861" s="795"/>
      <c r="O861" s="795"/>
      <c r="P861" s="795"/>
      <c r="Q861" s="795"/>
      <c r="R861" s="795"/>
      <c r="S861" s="795"/>
      <c r="T861" s="795"/>
      <c r="U861" s="795"/>
      <c r="V861" s="795"/>
      <c r="W861" s="795"/>
      <c r="X861" s="795"/>
      <c r="Y861" s="795"/>
      <c r="Z861" s="795"/>
      <c r="AA861" s="795"/>
      <c r="AB861" s="795"/>
      <c r="AC861" s="795"/>
      <c r="AD861" s="795"/>
      <c r="AE861" s="795"/>
    </row>
    <row r="862" spans="1:43" ht="15" customHeight="1">
      <c r="A862" s="103"/>
      <c r="B862" s="57"/>
      <c r="C862" s="57"/>
      <c r="D862" s="57"/>
      <c r="E862" s="57"/>
      <c r="F862" s="57"/>
      <c r="G862" s="57"/>
      <c r="H862" s="57"/>
      <c r="I862" s="57"/>
      <c r="J862" s="57"/>
      <c r="K862" s="57"/>
      <c r="L862" s="57"/>
      <c r="M862" s="57"/>
      <c r="N862" s="57"/>
      <c r="O862" s="57"/>
      <c r="P862" s="57"/>
      <c r="Q862" s="57"/>
      <c r="R862" s="57"/>
      <c r="S862" s="57"/>
      <c r="T862" s="57"/>
      <c r="U862" s="57"/>
      <c r="V862" s="57"/>
      <c r="W862" s="57"/>
      <c r="X862" s="57"/>
      <c r="Y862" s="57"/>
      <c r="Z862" s="57"/>
      <c r="AA862" s="57"/>
      <c r="AB862" s="57"/>
      <c r="AC862" s="57"/>
      <c r="AD862" s="57"/>
      <c r="AE862"/>
    </row>
    <row r="863" spans="1:43" ht="48" customHeight="1">
      <c r="A863" s="49" t="s">
        <v>3574</v>
      </c>
      <c r="B863" s="829" t="s">
        <v>3575</v>
      </c>
      <c r="C863" s="829"/>
      <c r="D863" s="829"/>
      <c r="E863" s="829"/>
      <c r="F863" s="829"/>
      <c r="G863" s="829"/>
      <c r="H863" s="829"/>
      <c r="I863" s="829"/>
      <c r="J863" s="829"/>
      <c r="K863" s="829"/>
      <c r="L863" s="829"/>
      <c r="M863" s="829"/>
      <c r="N863" s="829"/>
      <c r="O863" s="829"/>
      <c r="P863" s="829"/>
      <c r="Q863" s="829"/>
      <c r="R863" s="829"/>
      <c r="S863" s="829"/>
      <c r="T863" s="829"/>
      <c r="U863" s="829"/>
      <c r="V863" s="829"/>
      <c r="W863" s="829"/>
      <c r="X863" s="829"/>
      <c r="Y863" s="829"/>
      <c r="Z863" s="829"/>
      <c r="AA863" s="829"/>
      <c r="AB863" s="829"/>
      <c r="AC863" s="829"/>
      <c r="AD863" s="829"/>
    </row>
    <row r="864" spans="1:43" ht="24" customHeight="1">
      <c r="A864" s="49"/>
      <c r="B864" s="57"/>
      <c r="C864" s="881" t="s">
        <v>3576</v>
      </c>
      <c r="D864" s="881"/>
      <c r="E864" s="881"/>
      <c r="F864" s="881"/>
      <c r="G864" s="881"/>
      <c r="H864" s="881"/>
      <c r="I864" s="881"/>
      <c r="J864" s="881"/>
      <c r="K864" s="881"/>
      <c r="L864" s="881"/>
      <c r="M864" s="881"/>
      <c r="N864" s="881"/>
      <c r="O864" s="881"/>
      <c r="P864" s="881"/>
      <c r="Q864" s="881"/>
      <c r="R864" s="881"/>
      <c r="S864" s="881"/>
      <c r="T864" s="881"/>
      <c r="U864" s="881"/>
      <c r="V864" s="881"/>
      <c r="W864" s="881"/>
      <c r="X864" s="881"/>
      <c r="Y864" s="881"/>
      <c r="Z864" s="881"/>
      <c r="AA864" s="881"/>
      <c r="AB864" s="881"/>
      <c r="AC864" s="881"/>
      <c r="AD864" s="881"/>
    </row>
    <row r="865" spans="1:38" ht="24" customHeight="1">
      <c r="A865" s="50"/>
      <c r="B865" s="57"/>
      <c r="C865" s="830" t="s">
        <v>3577</v>
      </c>
      <c r="D865" s="830"/>
      <c r="E865" s="830"/>
      <c r="F865" s="830"/>
      <c r="G865" s="830"/>
      <c r="H865" s="830"/>
      <c r="I865" s="830"/>
      <c r="J865" s="830"/>
      <c r="K865" s="830"/>
      <c r="L865" s="830"/>
      <c r="M865" s="830"/>
      <c r="N865" s="830"/>
      <c r="O865" s="830"/>
      <c r="P865" s="830"/>
      <c r="Q865" s="830"/>
      <c r="R865" s="830"/>
      <c r="S865" s="830"/>
      <c r="T865" s="830"/>
      <c r="U865" s="830"/>
      <c r="V865" s="830"/>
      <c r="W865" s="830"/>
      <c r="X865" s="830"/>
      <c r="Y865" s="830"/>
      <c r="Z865" s="830"/>
      <c r="AA865" s="830"/>
      <c r="AB865" s="830"/>
      <c r="AC865" s="830"/>
      <c r="AD865" s="830"/>
    </row>
    <row r="866" spans="1:38" ht="48" customHeight="1">
      <c r="A866" s="49"/>
      <c r="B866" s="57"/>
      <c r="C866" s="754" t="s">
        <v>3578</v>
      </c>
      <c r="D866" s="754"/>
      <c r="E866" s="754"/>
      <c r="F866" s="754"/>
      <c r="G866" s="754"/>
      <c r="H866" s="754"/>
      <c r="I866" s="754"/>
      <c r="J866" s="754"/>
      <c r="K866" s="754"/>
      <c r="L866" s="754"/>
      <c r="M866" s="754"/>
      <c r="N866" s="754"/>
      <c r="O866" s="754"/>
      <c r="P866" s="754"/>
      <c r="Q866" s="754"/>
      <c r="R866" s="754"/>
      <c r="S866" s="754"/>
      <c r="T866" s="754"/>
      <c r="U866" s="754"/>
      <c r="V866" s="754"/>
      <c r="W866" s="754"/>
      <c r="X866" s="754"/>
      <c r="Y866" s="754"/>
      <c r="Z866" s="754"/>
      <c r="AA866" s="754"/>
      <c r="AB866" s="754"/>
      <c r="AC866" s="754"/>
      <c r="AD866" s="754"/>
    </row>
    <row r="867" spans="1:38" ht="24" customHeight="1">
      <c r="A867" s="50"/>
      <c r="B867" s="57"/>
      <c r="C867" s="754" t="s">
        <v>3579</v>
      </c>
      <c r="D867" s="754"/>
      <c r="E867" s="754"/>
      <c r="F867" s="754"/>
      <c r="G867" s="754"/>
      <c r="H867" s="754"/>
      <c r="I867" s="754"/>
      <c r="J867" s="754"/>
      <c r="K867" s="754"/>
      <c r="L867" s="754"/>
      <c r="M867" s="754"/>
      <c r="N867" s="754"/>
      <c r="O867" s="754"/>
      <c r="P867" s="754"/>
      <c r="Q867" s="754"/>
      <c r="R867" s="754"/>
      <c r="S867" s="754"/>
      <c r="T867" s="754"/>
      <c r="U867" s="754"/>
      <c r="V867" s="754"/>
      <c r="W867" s="754"/>
      <c r="X867" s="754"/>
      <c r="Y867" s="754"/>
      <c r="Z867" s="754"/>
      <c r="AA867" s="754"/>
      <c r="AB867" s="754"/>
      <c r="AC867" s="754"/>
      <c r="AD867" s="754"/>
    </row>
    <row r="868" spans="1:38" ht="24" customHeight="1">
      <c r="A868" s="50"/>
      <c r="B868" s="57"/>
      <c r="C868" s="830" t="s">
        <v>3580</v>
      </c>
      <c r="D868" s="830"/>
      <c r="E868" s="830"/>
      <c r="F868" s="830"/>
      <c r="G868" s="830"/>
      <c r="H868" s="830"/>
      <c r="I868" s="830"/>
      <c r="J868" s="830"/>
      <c r="K868" s="830"/>
      <c r="L868" s="830"/>
      <c r="M868" s="830"/>
      <c r="N868" s="830"/>
      <c r="O868" s="830"/>
      <c r="P868" s="830"/>
      <c r="Q868" s="830"/>
      <c r="R868" s="830"/>
      <c r="S868" s="830"/>
      <c r="T868" s="830"/>
      <c r="U868" s="830"/>
      <c r="V868" s="830"/>
      <c r="W868" s="830"/>
      <c r="X868" s="830"/>
      <c r="Y868" s="830"/>
      <c r="Z868" s="830"/>
      <c r="AA868" s="830"/>
      <c r="AB868" s="830"/>
      <c r="AC868" s="830"/>
      <c r="AD868" s="830"/>
    </row>
    <row r="869" spans="1:38" ht="15" customHeight="1">
      <c r="A869" s="103"/>
      <c r="B869" s="57"/>
      <c r="C869" s="57"/>
      <c r="D869" s="57"/>
      <c r="E869" s="57"/>
      <c r="F869" s="57"/>
      <c r="G869" s="57"/>
      <c r="H869" s="57"/>
      <c r="I869" s="57"/>
      <c r="J869" s="57"/>
      <c r="K869" s="57"/>
      <c r="L869" s="57"/>
      <c r="M869" s="57"/>
      <c r="N869" s="57"/>
      <c r="O869" s="57"/>
      <c r="P869" s="57"/>
      <c r="Q869" s="57"/>
      <c r="R869" s="57"/>
      <c r="S869" s="57"/>
      <c r="T869" s="57"/>
      <c r="U869" s="57"/>
      <c r="V869" s="57"/>
      <c r="W869" s="57"/>
      <c r="X869" s="57"/>
      <c r="Y869" s="57"/>
      <c r="Z869" s="57"/>
      <c r="AA869" s="57"/>
      <c r="AB869" s="57"/>
      <c r="AC869" s="57"/>
      <c r="AD869" s="57"/>
      <c r="AG869"/>
      <c r="AH869"/>
      <c r="AI869"/>
      <c r="AJ869"/>
      <c r="AK869"/>
      <c r="AL869" s="921" t="s">
        <v>3478</v>
      </c>
    </row>
    <row r="870" spans="1:38" ht="48" customHeight="1">
      <c r="A870" s="49"/>
      <c r="B870" s="57"/>
      <c r="C870" s="739" t="s">
        <v>3581</v>
      </c>
      <c r="D870" s="740"/>
      <c r="E870" s="740"/>
      <c r="F870" s="740"/>
      <c r="G870" s="740"/>
      <c r="H870" s="740"/>
      <c r="I870" s="740"/>
      <c r="J870" s="740"/>
      <c r="K870" s="740"/>
      <c r="L870" s="741"/>
      <c r="M870" s="797" t="s">
        <v>3582</v>
      </c>
      <c r="N870" s="798"/>
      <c r="O870" s="798"/>
      <c r="P870" s="798"/>
      <c r="Q870" s="798"/>
      <c r="R870" s="798"/>
      <c r="S870" s="797" t="s">
        <v>3583</v>
      </c>
      <c r="T870" s="798"/>
      <c r="U870" s="798"/>
      <c r="V870" s="798"/>
      <c r="W870" s="798"/>
      <c r="X870" s="798"/>
      <c r="Y870" s="739" t="s">
        <v>3584</v>
      </c>
      <c r="Z870" s="740"/>
      <c r="AA870" s="740"/>
      <c r="AB870" s="740"/>
      <c r="AC870" s="740"/>
      <c r="AD870" s="741"/>
      <c r="AG870" s="354" t="s">
        <v>2586</v>
      </c>
      <c r="AH870" s="350" t="s">
        <v>2590</v>
      </c>
      <c r="AI870" s="426" t="s">
        <v>3585</v>
      </c>
      <c r="AJ870" s="425" t="s">
        <v>3586</v>
      </c>
      <c r="AK870" s="365" t="s">
        <v>2620</v>
      </c>
      <c r="AL870" s="921"/>
    </row>
    <row r="871" spans="1:38" ht="15" customHeight="1">
      <c r="A871" s="49"/>
      <c r="B871" s="57"/>
      <c r="C871" s="97" t="s">
        <v>2516</v>
      </c>
      <c r="D871" s="872" t="s">
        <v>3587</v>
      </c>
      <c r="E871" s="872"/>
      <c r="F871" s="872"/>
      <c r="G871" s="872"/>
      <c r="H871" s="872"/>
      <c r="I871" s="872"/>
      <c r="J871" s="872"/>
      <c r="K871" s="872"/>
      <c r="L871" s="872"/>
      <c r="M871" s="816"/>
      <c r="N871" s="738"/>
      <c r="O871" s="738"/>
      <c r="P871" s="738"/>
      <c r="Q871" s="738"/>
      <c r="R871" s="738"/>
      <c r="S871" s="816"/>
      <c r="T871" s="738"/>
      <c r="U871" s="738"/>
      <c r="V871" s="738"/>
      <c r="W871" s="738"/>
      <c r="X871" s="738"/>
      <c r="Y871" s="749"/>
      <c r="Z871" s="749"/>
      <c r="AA871" s="749"/>
      <c r="AB871" s="749"/>
      <c r="AC871" s="749"/>
      <c r="AD871" s="749"/>
      <c r="AG871" s="353">
        <f>IF(AND($M871&lt;&gt;1,$M871&lt;&gt;"",COUNTA(S871:AD871)=0),0,IF(AND($M871=1,$M871&lt;&gt;"",COUNTA(S871:AD871)=2),0,IF(AND(M871="",COUNTA(S871:AD871)=0),0,1)))</f>
        <v>0</v>
      </c>
      <c r="AH871" s="326">
        <f>COUNTIF(S871,"NS")</f>
        <v>0</v>
      </c>
      <c r="AI871">
        <f>IF(M886=1,1,0)</f>
        <v>0</v>
      </c>
      <c r="AJ871">
        <f>IF(COUNTIF(Y871:AD886,9)&gt;0,1,0)</f>
        <v>0</v>
      </c>
      <c r="AK871" s="342">
        <f>IF(AND($M871&lt;&gt;"",$M871&lt;&gt;1,COUNTA(S871:AD871)&gt;0),1,0)</f>
        <v>0</v>
      </c>
      <c r="AL871" s="253">
        <f>IF(AND($M871&lt;&gt;"",$M871=1,S871&lt;&gt;"",SUM(S871)=0),1,0)</f>
        <v>0</v>
      </c>
    </row>
    <row r="872" spans="1:38" ht="15" customHeight="1">
      <c r="A872" s="49"/>
      <c r="B872" s="57"/>
      <c r="C872" s="98" t="s">
        <v>2517</v>
      </c>
      <c r="D872" s="872" t="s">
        <v>3588</v>
      </c>
      <c r="E872" s="872"/>
      <c r="F872" s="872"/>
      <c r="G872" s="872"/>
      <c r="H872" s="872"/>
      <c r="I872" s="872"/>
      <c r="J872" s="872"/>
      <c r="K872" s="872"/>
      <c r="L872" s="872"/>
      <c r="M872" s="816"/>
      <c r="N872" s="738"/>
      <c r="O872" s="738"/>
      <c r="P872" s="738"/>
      <c r="Q872" s="738"/>
      <c r="R872" s="738"/>
      <c r="S872" s="816"/>
      <c r="T872" s="738"/>
      <c r="U872" s="738"/>
      <c r="V872" s="738"/>
      <c r="W872" s="738"/>
      <c r="X872" s="738"/>
      <c r="Y872" s="749"/>
      <c r="Z872" s="749"/>
      <c r="AA872" s="749"/>
      <c r="AB872" s="749"/>
      <c r="AC872" s="749"/>
      <c r="AD872" s="749"/>
      <c r="AG872" s="353">
        <f t="shared" ref="AG872:AG886" si="704">IF(AND($M872&lt;&gt;1,$M872&lt;&gt;"",COUNTA(S872:AD872)=0),0,IF(AND($M872=1,$M872&lt;&gt;"",COUNTA(S872:AD872)=2),0,IF(AND(M872="",COUNTA(S872:AD872)=0),0,1)))</f>
        <v>0</v>
      </c>
      <c r="AH872" s="326">
        <f t="shared" ref="AH872:AH886" si="705">COUNTIF(S872,"NS")</f>
        <v>0</v>
      </c>
      <c r="AJ872"/>
      <c r="AK872" s="342">
        <f t="shared" ref="AK872:AK886" si="706">IF(AND($M872&lt;&gt;"",$M872&lt;&gt;1,COUNTA(S872:AD872)&gt;0),1,0)</f>
        <v>0</v>
      </c>
      <c r="AL872" s="253">
        <f t="shared" ref="AL872:AL886" si="707">IF(AND($M872&lt;&gt;"",$M872=1,S872&lt;&gt;"",SUM(S872)=0),1,0)</f>
        <v>0</v>
      </c>
    </row>
    <row r="873" spans="1:38" ht="15" customHeight="1">
      <c r="A873" s="49"/>
      <c r="B873" s="57"/>
      <c r="C873" s="98" t="s">
        <v>2518</v>
      </c>
      <c r="D873" s="872" t="s">
        <v>3589</v>
      </c>
      <c r="E873" s="872"/>
      <c r="F873" s="872"/>
      <c r="G873" s="872"/>
      <c r="H873" s="872"/>
      <c r="I873" s="872"/>
      <c r="J873" s="872"/>
      <c r="K873" s="872"/>
      <c r="L873" s="872"/>
      <c r="M873" s="816"/>
      <c r="N873" s="738"/>
      <c r="O873" s="738"/>
      <c r="P873" s="738"/>
      <c r="Q873" s="738"/>
      <c r="R873" s="738"/>
      <c r="S873" s="816"/>
      <c r="T873" s="738"/>
      <c r="U873" s="738"/>
      <c r="V873" s="738"/>
      <c r="W873" s="738"/>
      <c r="X873" s="738"/>
      <c r="Y873" s="749"/>
      <c r="Z873" s="749"/>
      <c r="AA873" s="749"/>
      <c r="AB873" s="749"/>
      <c r="AC873" s="749"/>
      <c r="AD873" s="749"/>
      <c r="AG873" s="353">
        <f t="shared" si="704"/>
        <v>0</v>
      </c>
      <c r="AH873" s="326">
        <f t="shared" si="705"/>
        <v>0</v>
      </c>
      <c r="AJ873"/>
      <c r="AK873" s="342">
        <f t="shared" si="706"/>
        <v>0</v>
      </c>
      <c r="AL873" s="253">
        <f t="shared" si="707"/>
        <v>0</v>
      </c>
    </row>
    <row r="874" spans="1:38" ht="15" customHeight="1">
      <c r="A874" s="49"/>
      <c r="B874" s="57"/>
      <c r="C874" s="98" t="s">
        <v>2519</v>
      </c>
      <c r="D874" s="872" t="s">
        <v>3590</v>
      </c>
      <c r="E874" s="872"/>
      <c r="F874" s="872"/>
      <c r="G874" s="872"/>
      <c r="H874" s="872"/>
      <c r="I874" s="872"/>
      <c r="J874" s="872"/>
      <c r="K874" s="872"/>
      <c r="L874" s="872"/>
      <c r="M874" s="816"/>
      <c r="N874" s="738"/>
      <c r="O874" s="738"/>
      <c r="P874" s="738"/>
      <c r="Q874" s="738"/>
      <c r="R874" s="738"/>
      <c r="S874" s="816"/>
      <c r="T874" s="738"/>
      <c r="U874" s="738"/>
      <c r="V874" s="738"/>
      <c r="W874" s="738"/>
      <c r="X874" s="738"/>
      <c r="Y874" s="749"/>
      <c r="Z874" s="749"/>
      <c r="AA874" s="749"/>
      <c r="AB874" s="749"/>
      <c r="AC874" s="749"/>
      <c r="AD874" s="749"/>
      <c r="AG874" s="353">
        <f t="shared" si="704"/>
        <v>0</v>
      </c>
      <c r="AH874" s="326">
        <f t="shared" si="705"/>
        <v>0</v>
      </c>
      <c r="AJ874"/>
      <c r="AK874" s="342">
        <f t="shared" si="706"/>
        <v>0</v>
      </c>
      <c r="AL874" s="253">
        <f t="shared" si="707"/>
        <v>0</v>
      </c>
    </row>
    <row r="875" spans="1:38" ht="15" customHeight="1">
      <c r="A875" s="49"/>
      <c r="B875" s="57"/>
      <c r="C875" s="98" t="s">
        <v>2520</v>
      </c>
      <c r="D875" s="872" t="s">
        <v>3591</v>
      </c>
      <c r="E875" s="872"/>
      <c r="F875" s="872"/>
      <c r="G875" s="872"/>
      <c r="H875" s="872"/>
      <c r="I875" s="872"/>
      <c r="J875" s="872"/>
      <c r="K875" s="872"/>
      <c r="L875" s="872"/>
      <c r="M875" s="816"/>
      <c r="N875" s="738"/>
      <c r="O875" s="738"/>
      <c r="P875" s="738"/>
      <c r="Q875" s="738"/>
      <c r="R875" s="738"/>
      <c r="S875" s="816"/>
      <c r="T875" s="738"/>
      <c r="U875" s="738"/>
      <c r="V875" s="738"/>
      <c r="W875" s="738"/>
      <c r="X875" s="738"/>
      <c r="Y875" s="749"/>
      <c r="Z875" s="749"/>
      <c r="AA875" s="749"/>
      <c r="AB875" s="749"/>
      <c r="AC875" s="749"/>
      <c r="AD875" s="749"/>
      <c r="AG875" s="353">
        <f t="shared" si="704"/>
        <v>0</v>
      </c>
      <c r="AH875" s="326">
        <f t="shared" si="705"/>
        <v>0</v>
      </c>
      <c r="AJ875"/>
      <c r="AK875" s="342">
        <f t="shared" si="706"/>
        <v>0</v>
      </c>
      <c r="AL875" s="253">
        <f t="shared" si="707"/>
        <v>0</v>
      </c>
    </row>
    <row r="876" spans="1:38" ht="15" customHeight="1">
      <c r="A876" s="49"/>
      <c r="B876" s="57"/>
      <c r="C876" s="98" t="s">
        <v>2521</v>
      </c>
      <c r="D876" s="872" t="s">
        <v>3592</v>
      </c>
      <c r="E876" s="872"/>
      <c r="F876" s="872"/>
      <c r="G876" s="872"/>
      <c r="H876" s="872"/>
      <c r="I876" s="872"/>
      <c r="J876" s="872"/>
      <c r="K876" s="872"/>
      <c r="L876" s="872"/>
      <c r="M876" s="816"/>
      <c r="N876" s="738"/>
      <c r="O876" s="738"/>
      <c r="P876" s="738"/>
      <c r="Q876" s="738"/>
      <c r="R876" s="738"/>
      <c r="S876" s="816"/>
      <c r="T876" s="738"/>
      <c r="U876" s="738"/>
      <c r="V876" s="738"/>
      <c r="W876" s="738"/>
      <c r="X876" s="738"/>
      <c r="Y876" s="749"/>
      <c r="Z876" s="749"/>
      <c r="AA876" s="749"/>
      <c r="AB876" s="749"/>
      <c r="AC876" s="749"/>
      <c r="AD876" s="749"/>
      <c r="AG876" s="353">
        <f t="shared" si="704"/>
        <v>0</v>
      </c>
      <c r="AH876" s="326">
        <f t="shared" si="705"/>
        <v>0</v>
      </c>
      <c r="AJ876"/>
      <c r="AK876" s="342">
        <f t="shared" si="706"/>
        <v>0</v>
      </c>
      <c r="AL876" s="253">
        <f t="shared" si="707"/>
        <v>0</v>
      </c>
    </row>
    <row r="877" spans="1:38" ht="15" customHeight="1">
      <c r="A877" s="49"/>
      <c r="B877" s="57"/>
      <c r="C877" s="98" t="s">
        <v>2522</v>
      </c>
      <c r="D877" s="872" t="s">
        <v>3593</v>
      </c>
      <c r="E877" s="872"/>
      <c r="F877" s="872"/>
      <c r="G877" s="872"/>
      <c r="H877" s="872"/>
      <c r="I877" s="872"/>
      <c r="J877" s="872"/>
      <c r="K877" s="872"/>
      <c r="L877" s="872"/>
      <c r="M877" s="816"/>
      <c r="N877" s="738"/>
      <c r="O877" s="738"/>
      <c r="P877" s="738"/>
      <c r="Q877" s="738"/>
      <c r="R877" s="738"/>
      <c r="S877" s="816"/>
      <c r="T877" s="738"/>
      <c r="U877" s="738"/>
      <c r="V877" s="738"/>
      <c r="W877" s="738"/>
      <c r="X877" s="738"/>
      <c r="Y877" s="749"/>
      <c r="Z877" s="749"/>
      <c r="AA877" s="749"/>
      <c r="AB877" s="749"/>
      <c r="AC877" s="749"/>
      <c r="AD877" s="749"/>
      <c r="AG877" s="353">
        <f t="shared" si="704"/>
        <v>0</v>
      </c>
      <c r="AH877" s="326">
        <f t="shared" si="705"/>
        <v>0</v>
      </c>
      <c r="AJ877"/>
      <c r="AK877" s="342">
        <f t="shared" si="706"/>
        <v>0</v>
      </c>
      <c r="AL877" s="253">
        <f t="shared" si="707"/>
        <v>0</v>
      </c>
    </row>
    <row r="878" spans="1:38" ht="15" customHeight="1">
      <c r="A878" s="49"/>
      <c r="B878" s="57"/>
      <c r="C878" s="98" t="s">
        <v>2523</v>
      </c>
      <c r="D878" s="872" t="s">
        <v>3594</v>
      </c>
      <c r="E878" s="872"/>
      <c r="F878" s="872"/>
      <c r="G878" s="872"/>
      <c r="H878" s="872"/>
      <c r="I878" s="872"/>
      <c r="J878" s="872"/>
      <c r="K878" s="872"/>
      <c r="L878" s="872"/>
      <c r="M878" s="816"/>
      <c r="N878" s="738"/>
      <c r="O878" s="738"/>
      <c r="P878" s="738"/>
      <c r="Q878" s="738"/>
      <c r="R878" s="738"/>
      <c r="S878" s="816"/>
      <c r="T878" s="738"/>
      <c r="U878" s="738"/>
      <c r="V878" s="738"/>
      <c r="W878" s="738"/>
      <c r="X878" s="738"/>
      <c r="Y878" s="749"/>
      <c r="Z878" s="749"/>
      <c r="AA878" s="749"/>
      <c r="AB878" s="749"/>
      <c r="AC878" s="749"/>
      <c r="AD878" s="749"/>
      <c r="AG878" s="353">
        <f t="shared" si="704"/>
        <v>0</v>
      </c>
      <c r="AH878" s="326">
        <f t="shared" si="705"/>
        <v>0</v>
      </c>
      <c r="AJ878"/>
      <c r="AK878" s="342">
        <f t="shared" si="706"/>
        <v>0</v>
      </c>
      <c r="AL878" s="253">
        <f t="shared" si="707"/>
        <v>0</v>
      </c>
    </row>
    <row r="879" spans="1:38" ht="15" customHeight="1">
      <c r="A879" s="49"/>
      <c r="B879" s="57"/>
      <c r="C879" s="98" t="s">
        <v>2524</v>
      </c>
      <c r="D879" s="872" t="s">
        <v>3595</v>
      </c>
      <c r="E879" s="872"/>
      <c r="F879" s="872"/>
      <c r="G879" s="872"/>
      <c r="H879" s="872"/>
      <c r="I879" s="872"/>
      <c r="J879" s="872"/>
      <c r="K879" s="872"/>
      <c r="L879" s="872"/>
      <c r="M879" s="816"/>
      <c r="N879" s="738"/>
      <c r="O879" s="738"/>
      <c r="P879" s="738"/>
      <c r="Q879" s="738"/>
      <c r="R879" s="738"/>
      <c r="S879" s="816"/>
      <c r="T879" s="738"/>
      <c r="U879" s="738"/>
      <c r="V879" s="738"/>
      <c r="W879" s="738"/>
      <c r="X879" s="738"/>
      <c r="Y879" s="749"/>
      <c r="Z879" s="749"/>
      <c r="AA879" s="749"/>
      <c r="AB879" s="749"/>
      <c r="AC879" s="749"/>
      <c r="AD879" s="749"/>
      <c r="AG879" s="353">
        <f t="shared" si="704"/>
        <v>0</v>
      </c>
      <c r="AH879" s="326">
        <f t="shared" si="705"/>
        <v>0</v>
      </c>
      <c r="AJ879"/>
      <c r="AK879" s="342">
        <f t="shared" si="706"/>
        <v>0</v>
      </c>
      <c r="AL879" s="253">
        <f t="shared" si="707"/>
        <v>0</v>
      </c>
    </row>
    <row r="880" spans="1:38" ht="15" customHeight="1">
      <c r="A880" s="49"/>
      <c r="B880" s="57"/>
      <c r="C880" s="98" t="s">
        <v>2525</v>
      </c>
      <c r="D880" s="872" t="s">
        <v>3596</v>
      </c>
      <c r="E880" s="872"/>
      <c r="F880" s="872"/>
      <c r="G880" s="872"/>
      <c r="H880" s="872"/>
      <c r="I880" s="872"/>
      <c r="J880" s="872"/>
      <c r="K880" s="872"/>
      <c r="L880" s="872"/>
      <c r="M880" s="816"/>
      <c r="N880" s="738"/>
      <c r="O880" s="738"/>
      <c r="P880" s="738"/>
      <c r="Q880" s="738"/>
      <c r="R880" s="738"/>
      <c r="S880" s="816"/>
      <c r="T880" s="738"/>
      <c r="U880" s="738"/>
      <c r="V880" s="738"/>
      <c r="W880" s="738"/>
      <c r="X880" s="738"/>
      <c r="Y880" s="749"/>
      <c r="Z880" s="749"/>
      <c r="AA880" s="749"/>
      <c r="AB880" s="749"/>
      <c r="AC880" s="749"/>
      <c r="AD880" s="749"/>
      <c r="AG880" s="353">
        <f t="shared" si="704"/>
        <v>0</v>
      </c>
      <c r="AH880" s="326">
        <f t="shared" si="705"/>
        <v>0</v>
      </c>
      <c r="AJ880"/>
      <c r="AK880" s="342">
        <f t="shared" si="706"/>
        <v>0</v>
      </c>
      <c r="AL880" s="253">
        <f t="shared" si="707"/>
        <v>0</v>
      </c>
    </row>
    <row r="881" spans="1:38" ht="24" customHeight="1">
      <c r="A881" s="49"/>
      <c r="B881" s="57"/>
      <c r="C881" s="98" t="s">
        <v>2526</v>
      </c>
      <c r="D881" s="872" t="s">
        <v>3597</v>
      </c>
      <c r="E881" s="872"/>
      <c r="F881" s="872"/>
      <c r="G881" s="872"/>
      <c r="H881" s="872"/>
      <c r="I881" s="872"/>
      <c r="J881" s="872"/>
      <c r="K881" s="872"/>
      <c r="L881" s="872"/>
      <c r="M881" s="816"/>
      <c r="N881" s="738"/>
      <c r="O881" s="738"/>
      <c r="P881" s="738"/>
      <c r="Q881" s="738"/>
      <c r="R881" s="738"/>
      <c r="S881" s="816"/>
      <c r="T881" s="738"/>
      <c r="U881" s="738"/>
      <c r="V881" s="738"/>
      <c r="W881" s="738"/>
      <c r="X881" s="738"/>
      <c r="Y881" s="749"/>
      <c r="Z881" s="749"/>
      <c r="AA881" s="749"/>
      <c r="AB881" s="749"/>
      <c r="AC881" s="749"/>
      <c r="AD881" s="749"/>
      <c r="AG881" s="353">
        <f t="shared" si="704"/>
        <v>0</v>
      </c>
      <c r="AH881" s="326">
        <f t="shared" si="705"/>
        <v>0</v>
      </c>
      <c r="AJ881"/>
      <c r="AK881" s="342">
        <f t="shared" si="706"/>
        <v>0</v>
      </c>
      <c r="AL881" s="253">
        <f t="shared" si="707"/>
        <v>0</v>
      </c>
    </row>
    <row r="882" spans="1:38" ht="24" customHeight="1">
      <c r="A882" s="49"/>
      <c r="B882" s="57"/>
      <c r="C882" s="98" t="s">
        <v>2527</v>
      </c>
      <c r="D882" s="872" t="s">
        <v>3598</v>
      </c>
      <c r="E882" s="872"/>
      <c r="F882" s="872"/>
      <c r="G882" s="872"/>
      <c r="H882" s="872"/>
      <c r="I882" s="872"/>
      <c r="J882" s="872"/>
      <c r="K882" s="872"/>
      <c r="L882" s="872"/>
      <c r="M882" s="816"/>
      <c r="N882" s="738"/>
      <c r="O882" s="738"/>
      <c r="P882" s="738"/>
      <c r="Q882" s="738"/>
      <c r="R882" s="738"/>
      <c r="S882" s="816"/>
      <c r="T882" s="738"/>
      <c r="U882" s="738"/>
      <c r="V882" s="738"/>
      <c r="W882" s="738"/>
      <c r="X882" s="738"/>
      <c r="Y882" s="749"/>
      <c r="Z882" s="749"/>
      <c r="AA882" s="749"/>
      <c r="AB882" s="749"/>
      <c r="AC882" s="749"/>
      <c r="AD882" s="749"/>
      <c r="AG882" s="353">
        <f t="shared" si="704"/>
        <v>0</v>
      </c>
      <c r="AH882" s="326">
        <f t="shared" si="705"/>
        <v>0</v>
      </c>
      <c r="AJ882"/>
      <c r="AK882" s="342">
        <f t="shared" si="706"/>
        <v>0</v>
      </c>
      <c r="AL882" s="253">
        <f t="shared" si="707"/>
        <v>0</v>
      </c>
    </row>
    <row r="883" spans="1:38" ht="24" customHeight="1">
      <c r="A883" s="49"/>
      <c r="B883" s="57"/>
      <c r="C883" s="98" t="s">
        <v>2528</v>
      </c>
      <c r="D883" s="872" t="s">
        <v>3599</v>
      </c>
      <c r="E883" s="872"/>
      <c r="F883" s="872"/>
      <c r="G883" s="872"/>
      <c r="H883" s="872"/>
      <c r="I883" s="872"/>
      <c r="J883" s="872"/>
      <c r="K883" s="872"/>
      <c r="L883" s="872"/>
      <c r="M883" s="816"/>
      <c r="N883" s="738"/>
      <c r="O883" s="738"/>
      <c r="P883" s="738"/>
      <c r="Q883" s="738"/>
      <c r="R883" s="738"/>
      <c r="S883" s="816"/>
      <c r="T883" s="738"/>
      <c r="U883" s="738"/>
      <c r="V883" s="738"/>
      <c r="W883" s="738"/>
      <c r="X883" s="738"/>
      <c r="Y883" s="749"/>
      <c r="Z883" s="749"/>
      <c r="AA883" s="749"/>
      <c r="AB883" s="749"/>
      <c r="AC883" s="749"/>
      <c r="AD883" s="749"/>
      <c r="AG883" s="353">
        <f t="shared" si="704"/>
        <v>0</v>
      </c>
      <c r="AH883" s="326">
        <f t="shared" si="705"/>
        <v>0</v>
      </c>
      <c r="AJ883"/>
      <c r="AK883" s="342">
        <f t="shared" si="706"/>
        <v>0</v>
      </c>
      <c r="AL883" s="253">
        <f t="shared" si="707"/>
        <v>0</v>
      </c>
    </row>
    <row r="884" spans="1:38" ht="15" customHeight="1">
      <c r="A884" s="49"/>
      <c r="B884" s="57"/>
      <c r="C884" s="98" t="s">
        <v>2529</v>
      </c>
      <c r="D884" s="872" t="s">
        <v>3600</v>
      </c>
      <c r="E884" s="872"/>
      <c r="F884" s="872"/>
      <c r="G884" s="872"/>
      <c r="H884" s="872"/>
      <c r="I884" s="872"/>
      <c r="J884" s="872"/>
      <c r="K884" s="872"/>
      <c r="L884" s="872"/>
      <c r="M884" s="816"/>
      <c r="N884" s="738"/>
      <c r="O884" s="738"/>
      <c r="P884" s="738"/>
      <c r="Q884" s="738"/>
      <c r="R884" s="738"/>
      <c r="S884" s="816"/>
      <c r="T884" s="738"/>
      <c r="U884" s="738"/>
      <c r="V884" s="738"/>
      <c r="W884" s="738"/>
      <c r="X884" s="738"/>
      <c r="Y884" s="749"/>
      <c r="Z884" s="749"/>
      <c r="AA884" s="749"/>
      <c r="AB884" s="749"/>
      <c r="AC884" s="749"/>
      <c r="AD884" s="749"/>
      <c r="AG884" s="353">
        <f t="shared" si="704"/>
        <v>0</v>
      </c>
      <c r="AH884" s="326">
        <f t="shared" si="705"/>
        <v>0</v>
      </c>
      <c r="AJ884"/>
      <c r="AK884" s="342">
        <f t="shared" si="706"/>
        <v>0</v>
      </c>
      <c r="AL884" s="253">
        <f t="shared" si="707"/>
        <v>0</v>
      </c>
    </row>
    <row r="885" spans="1:38" ht="15" customHeight="1">
      <c r="A885" s="49"/>
      <c r="B885" s="57"/>
      <c r="C885" s="98" t="s">
        <v>2530</v>
      </c>
      <c r="D885" s="872" t="s">
        <v>3601</v>
      </c>
      <c r="E885" s="872"/>
      <c r="F885" s="872"/>
      <c r="G885" s="872"/>
      <c r="H885" s="872"/>
      <c r="I885" s="872"/>
      <c r="J885" s="872"/>
      <c r="K885" s="872"/>
      <c r="L885" s="872"/>
      <c r="M885" s="816"/>
      <c r="N885" s="738"/>
      <c r="O885" s="738"/>
      <c r="P885" s="738"/>
      <c r="Q885" s="738"/>
      <c r="R885" s="738"/>
      <c r="S885" s="816"/>
      <c r="T885" s="738"/>
      <c r="U885" s="738"/>
      <c r="V885" s="738"/>
      <c r="W885" s="738"/>
      <c r="X885" s="738"/>
      <c r="Y885" s="749"/>
      <c r="Z885" s="749"/>
      <c r="AA885" s="749"/>
      <c r="AB885" s="749"/>
      <c r="AC885" s="749"/>
      <c r="AD885" s="749"/>
      <c r="AG885" s="353">
        <f t="shared" si="704"/>
        <v>0</v>
      </c>
      <c r="AH885" s="326">
        <f t="shared" si="705"/>
        <v>0</v>
      </c>
      <c r="AJ885"/>
      <c r="AK885" s="342">
        <f t="shared" si="706"/>
        <v>0</v>
      </c>
      <c r="AL885" s="253">
        <f t="shared" si="707"/>
        <v>0</v>
      </c>
    </row>
    <row r="886" spans="1:38" ht="24" customHeight="1">
      <c r="A886" s="49"/>
      <c r="B886" s="57"/>
      <c r="C886" s="98" t="s">
        <v>2531</v>
      </c>
      <c r="D886" s="813" t="s">
        <v>3602</v>
      </c>
      <c r="E886" s="814"/>
      <c r="F886" s="814"/>
      <c r="G886" s="814"/>
      <c r="H886" s="814"/>
      <c r="I886" s="814"/>
      <c r="J886" s="814"/>
      <c r="K886" s="814"/>
      <c r="L886" s="815"/>
      <c r="M886" s="816"/>
      <c r="N886" s="738"/>
      <c r="O886" s="738"/>
      <c r="P886" s="738"/>
      <c r="Q886" s="738"/>
      <c r="R886" s="738"/>
      <c r="S886" s="816"/>
      <c r="T886" s="738"/>
      <c r="U886" s="738"/>
      <c r="V886" s="738"/>
      <c r="W886" s="738"/>
      <c r="X886" s="738"/>
      <c r="Y886" s="749"/>
      <c r="Z886" s="749"/>
      <c r="AA886" s="749"/>
      <c r="AB886" s="749"/>
      <c r="AC886" s="749"/>
      <c r="AD886" s="749"/>
      <c r="AG886" s="353">
        <f t="shared" si="704"/>
        <v>0</v>
      </c>
      <c r="AH886" s="326">
        <f t="shared" si="705"/>
        <v>0</v>
      </c>
      <c r="AJ886"/>
      <c r="AK886" s="342">
        <f t="shared" si="706"/>
        <v>0</v>
      </c>
      <c r="AL886" s="253">
        <f t="shared" si="707"/>
        <v>0</v>
      </c>
    </row>
    <row r="887" spans="1:38" ht="15" customHeight="1">
      <c r="A887" s="103"/>
      <c r="B887" s="57"/>
      <c r="C887" s="57"/>
      <c r="D887" s="57"/>
      <c r="E887" s="57"/>
      <c r="F887" s="57"/>
      <c r="G887" s="57"/>
      <c r="H887" s="57"/>
      <c r="I887" s="57"/>
      <c r="J887" s="57"/>
      <c r="K887" s="57"/>
      <c r="L887" s="57"/>
      <c r="M887" s="57"/>
      <c r="N887" s="57"/>
      <c r="O887" s="57"/>
      <c r="P887" s="57"/>
      <c r="Q887" s="57"/>
      <c r="R887" s="57"/>
      <c r="S887" s="57"/>
      <c r="T887" s="57"/>
      <c r="U887" s="57"/>
      <c r="V887" s="57"/>
      <c r="W887" s="57"/>
      <c r="X887" s="57"/>
      <c r="Y887" s="57"/>
      <c r="Z887" s="57"/>
      <c r="AA887" s="57"/>
      <c r="AB887" s="57"/>
      <c r="AC887" s="57"/>
      <c r="AD887" s="57"/>
      <c r="AG887" s="354">
        <f>SUM(AG871:AG886)</f>
        <v>0</v>
      </c>
      <c r="AH887" s="406">
        <f>SUM(AH871:AH886)</f>
        <v>0</v>
      </c>
      <c r="AI887"/>
      <c r="AJ887"/>
      <c r="AK887" s="419">
        <f>SUM(AK871:AK886)</f>
        <v>0</v>
      </c>
      <c r="AL887" s="420">
        <f>SUM(AL871:AL886)</f>
        <v>0</v>
      </c>
    </row>
    <row r="888" spans="1:38" ht="45" customHeight="1">
      <c r="A888" s="103"/>
      <c r="B888" s="57"/>
      <c r="C888" s="822" t="s">
        <v>3603</v>
      </c>
      <c r="D888" s="822"/>
      <c r="E888" s="822"/>
      <c r="F888" s="823"/>
      <c r="G888" s="816"/>
      <c r="H888" s="738"/>
      <c r="I888" s="738"/>
      <c r="J888" s="738"/>
      <c r="K888" s="738"/>
      <c r="L888" s="738"/>
      <c r="M888" s="738"/>
      <c r="N888" s="738"/>
      <c r="O888" s="738"/>
      <c r="P888" s="738"/>
      <c r="Q888" s="738"/>
      <c r="R888" s="738"/>
      <c r="S888" s="738"/>
      <c r="T888" s="738"/>
      <c r="U888" s="738"/>
      <c r="V888" s="738"/>
      <c r="W888" s="738"/>
      <c r="X888" s="738"/>
      <c r="Y888" s="738"/>
      <c r="Z888" s="738"/>
      <c r="AA888" s="738"/>
      <c r="AB888" s="738"/>
      <c r="AC888" s="738"/>
      <c r="AD888" s="817"/>
    </row>
    <row r="889" spans="1:38" ht="15" customHeight="1">
      <c r="A889" s="103"/>
      <c r="B889" s="794" t="str">
        <f>IF(AND(AI871&gt;0,G888=""),"Ha seleccionado el código 1 en el numeral 16, debe anotar el nombre de dicho(s) elemento(s) de uniforme policial","")</f>
        <v/>
      </c>
      <c r="C889" s="794"/>
      <c r="D889" s="794"/>
      <c r="E889" s="794"/>
      <c r="F889" s="794"/>
      <c r="G889" s="794"/>
      <c r="H889" s="794"/>
      <c r="I889" s="794"/>
      <c r="J889" s="794"/>
      <c r="K889" s="794"/>
      <c r="L889" s="794"/>
      <c r="M889" s="794"/>
      <c r="N889" s="794"/>
      <c r="O889" s="794"/>
      <c r="P889" s="794"/>
      <c r="Q889" s="794"/>
      <c r="R889" s="794"/>
      <c r="S889" s="794"/>
      <c r="T889" s="794"/>
      <c r="U889" s="794"/>
      <c r="V889" s="794"/>
      <c r="W889" s="794"/>
      <c r="X889" s="794"/>
      <c r="Y889" s="794"/>
      <c r="Z889" s="794"/>
      <c r="AA889" s="794"/>
      <c r="AB889" s="794"/>
      <c r="AC889" s="794"/>
      <c r="AD889" s="794"/>
      <c r="AE889" s="794"/>
    </row>
    <row r="890" spans="1:38" ht="45" customHeight="1">
      <c r="A890" s="103"/>
      <c r="B890" s="57"/>
      <c r="C890" s="822" t="s">
        <v>2939</v>
      </c>
      <c r="D890" s="822"/>
      <c r="E890" s="822"/>
      <c r="F890" s="823"/>
      <c r="G890" s="816"/>
      <c r="H890" s="738"/>
      <c r="I890" s="738"/>
      <c r="J890" s="738"/>
      <c r="K890" s="738"/>
      <c r="L890" s="738"/>
      <c r="M890" s="738"/>
      <c r="N890" s="738"/>
      <c r="O890" s="738"/>
      <c r="P890" s="738"/>
      <c r="Q890" s="738"/>
      <c r="R890" s="738"/>
      <c r="S890" s="738"/>
      <c r="T890" s="738"/>
      <c r="U890" s="738"/>
      <c r="V890" s="738"/>
      <c r="W890" s="738"/>
      <c r="X890" s="738"/>
      <c r="Y890" s="738"/>
      <c r="Z890" s="738"/>
      <c r="AA890" s="738"/>
      <c r="AB890" s="738"/>
      <c r="AC890" s="738"/>
      <c r="AD890" s="817"/>
    </row>
    <row r="891" spans="1:38" ht="15" customHeight="1">
      <c r="A891" s="103"/>
      <c r="B891" s="794" t="str">
        <f>IF(AND(AJ871&gt;0,G890=""),"Ha seleccionado el código 9 en la col. Frecuencia en la que se otorgaron, debe anotar el nombre de dicha(s) frecuencia(s)","")</f>
        <v/>
      </c>
      <c r="C891" s="794"/>
      <c r="D891" s="794"/>
      <c r="E891" s="794"/>
      <c r="F891" s="794"/>
      <c r="G891" s="794"/>
      <c r="H891" s="794"/>
      <c r="I891" s="794"/>
      <c r="J891" s="794"/>
      <c r="K891" s="794"/>
      <c r="L891" s="794"/>
      <c r="M891" s="794"/>
      <c r="N891" s="794"/>
      <c r="O891" s="794"/>
      <c r="P891" s="794"/>
      <c r="Q891" s="794"/>
      <c r="R891" s="794"/>
      <c r="S891" s="794"/>
      <c r="T891" s="794"/>
      <c r="U891" s="794"/>
      <c r="V891" s="794"/>
      <c r="W891" s="794"/>
      <c r="X891" s="794"/>
      <c r="Y891" s="794"/>
      <c r="Z891" s="794"/>
      <c r="AA891" s="794"/>
      <c r="AB891" s="794"/>
      <c r="AC891" s="794"/>
      <c r="AD891" s="794"/>
      <c r="AE891" s="794"/>
    </row>
    <row r="892" spans="1:38" ht="15" customHeight="1">
      <c r="A892" s="103"/>
      <c r="B892" s="57"/>
      <c r="C892" s="739" t="s">
        <v>3604</v>
      </c>
      <c r="D892" s="740"/>
      <c r="E892" s="740"/>
      <c r="F892" s="740"/>
      <c r="G892" s="740"/>
      <c r="H892" s="740"/>
      <c r="I892" s="740"/>
      <c r="J892" s="740"/>
      <c r="K892" s="740"/>
      <c r="L892" s="740"/>
      <c r="M892" s="740"/>
      <c r="N892" s="740"/>
      <c r="O892" s="740"/>
      <c r="P892" s="740"/>
      <c r="Q892" s="740"/>
      <c r="R892" s="740"/>
      <c r="S892" s="740"/>
      <c r="T892" s="740"/>
      <c r="U892" s="740"/>
      <c r="V892" s="740"/>
      <c r="W892" s="740"/>
      <c r="X892" s="740"/>
      <c r="Y892" s="740"/>
      <c r="Z892" s="740"/>
      <c r="AA892" s="740"/>
      <c r="AB892" s="740"/>
      <c r="AC892" s="740"/>
      <c r="AD892" s="741"/>
    </row>
    <row r="893" spans="1:38" ht="15" customHeight="1">
      <c r="A893" s="103"/>
      <c r="B893" s="57"/>
      <c r="C893" s="92" t="s">
        <v>2516</v>
      </c>
      <c r="D893" s="813" t="s">
        <v>3605</v>
      </c>
      <c r="E893" s="814"/>
      <c r="F893" s="814"/>
      <c r="G893" s="814"/>
      <c r="H893" s="814"/>
      <c r="I893" s="814"/>
      <c r="J893" s="814"/>
      <c r="K893" s="814"/>
      <c r="L893" s="814"/>
      <c r="M893" s="814"/>
      <c r="N893" s="814"/>
      <c r="O893" s="814"/>
      <c r="P893" s="815"/>
      <c r="Q893" s="44" t="s">
        <v>2521</v>
      </c>
      <c r="R893" s="813" t="s">
        <v>3606</v>
      </c>
      <c r="S893" s="814"/>
      <c r="T893" s="814"/>
      <c r="U893" s="814"/>
      <c r="V893" s="814"/>
      <c r="W893" s="814"/>
      <c r="X893" s="814"/>
      <c r="Y893" s="814"/>
      <c r="Z893" s="814"/>
      <c r="AA893" s="814"/>
      <c r="AB893" s="814"/>
      <c r="AC893" s="814"/>
      <c r="AD893" s="815"/>
    </row>
    <row r="894" spans="1:38" ht="15" customHeight="1">
      <c r="A894" s="103"/>
      <c r="B894" s="57"/>
      <c r="C894" s="44" t="s">
        <v>2517</v>
      </c>
      <c r="D894" s="813" t="s">
        <v>2904</v>
      </c>
      <c r="E894" s="814"/>
      <c r="F894" s="814"/>
      <c r="G894" s="814"/>
      <c r="H894" s="814"/>
      <c r="I894" s="814"/>
      <c r="J894" s="814"/>
      <c r="K894" s="814"/>
      <c r="L894" s="814"/>
      <c r="M894" s="814"/>
      <c r="N894" s="814"/>
      <c r="O894" s="814"/>
      <c r="P894" s="815"/>
      <c r="Q894" s="44" t="s">
        <v>2522</v>
      </c>
      <c r="R894" s="813" t="s">
        <v>3607</v>
      </c>
      <c r="S894" s="814"/>
      <c r="T894" s="814"/>
      <c r="U894" s="814"/>
      <c r="V894" s="814"/>
      <c r="W894" s="814"/>
      <c r="X894" s="814"/>
      <c r="Y894" s="814"/>
      <c r="Z894" s="814"/>
      <c r="AA894" s="814"/>
      <c r="AB894" s="814"/>
      <c r="AC894" s="814"/>
      <c r="AD894" s="815"/>
    </row>
    <row r="895" spans="1:38" ht="15" customHeight="1">
      <c r="A895" s="103"/>
      <c r="B895" s="57"/>
      <c r="C895" s="44" t="s">
        <v>2518</v>
      </c>
      <c r="D895" s="813" t="s">
        <v>2906</v>
      </c>
      <c r="E895" s="814"/>
      <c r="F895" s="814"/>
      <c r="G895" s="814"/>
      <c r="H895" s="814"/>
      <c r="I895" s="814"/>
      <c r="J895" s="814"/>
      <c r="K895" s="814"/>
      <c r="L895" s="814"/>
      <c r="M895" s="814"/>
      <c r="N895" s="814"/>
      <c r="O895" s="814"/>
      <c r="P895" s="815"/>
      <c r="Q895" s="44" t="s">
        <v>2523</v>
      </c>
      <c r="R895" s="813" t="s">
        <v>3608</v>
      </c>
      <c r="S895" s="814"/>
      <c r="T895" s="814"/>
      <c r="U895" s="814"/>
      <c r="V895" s="814"/>
      <c r="W895" s="814"/>
      <c r="X895" s="814"/>
      <c r="Y895" s="814"/>
      <c r="Z895" s="814"/>
      <c r="AA895" s="814"/>
      <c r="AB895" s="814"/>
      <c r="AC895" s="814"/>
      <c r="AD895" s="815"/>
    </row>
    <row r="896" spans="1:38" ht="15" customHeight="1">
      <c r="A896" s="103"/>
      <c r="B896" s="57"/>
      <c r="C896" s="44" t="s">
        <v>2519</v>
      </c>
      <c r="D896" s="813" t="s">
        <v>3609</v>
      </c>
      <c r="E896" s="814"/>
      <c r="F896" s="814"/>
      <c r="G896" s="814"/>
      <c r="H896" s="814"/>
      <c r="I896" s="814"/>
      <c r="J896" s="814"/>
      <c r="K896" s="814"/>
      <c r="L896" s="814"/>
      <c r="M896" s="814"/>
      <c r="N896" s="814"/>
      <c r="O896" s="814"/>
      <c r="P896" s="815"/>
      <c r="Q896" s="44" t="s">
        <v>2524</v>
      </c>
      <c r="R896" s="813" t="s">
        <v>2946</v>
      </c>
      <c r="S896" s="814"/>
      <c r="T896" s="814"/>
      <c r="U896" s="814"/>
      <c r="V896" s="814"/>
      <c r="W896" s="814"/>
      <c r="X896" s="814"/>
      <c r="Y896" s="814"/>
      <c r="Z896" s="814"/>
      <c r="AA896" s="814"/>
      <c r="AB896" s="814"/>
      <c r="AC896" s="814"/>
      <c r="AD896" s="815"/>
    </row>
    <row r="897" spans="1:31" ht="15" customHeight="1">
      <c r="A897" s="103"/>
      <c r="B897" s="57"/>
      <c r="C897" s="44" t="s">
        <v>2520</v>
      </c>
      <c r="D897" s="813" t="s">
        <v>3610</v>
      </c>
      <c r="E897" s="814"/>
      <c r="F897" s="814"/>
      <c r="G897" s="814"/>
      <c r="H897" s="814"/>
      <c r="I897" s="814"/>
      <c r="J897" s="814"/>
      <c r="K897" s="814"/>
      <c r="L897" s="814"/>
      <c r="M897" s="814"/>
      <c r="N897" s="814"/>
      <c r="O897" s="814"/>
      <c r="P897" s="815"/>
      <c r="Q897" s="44" t="s">
        <v>2912</v>
      </c>
      <c r="R897" s="813" t="s">
        <v>201</v>
      </c>
      <c r="S897" s="814"/>
      <c r="T897" s="814"/>
      <c r="U897" s="814"/>
      <c r="V897" s="814"/>
      <c r="W897" s="814"/>
      <c r="X897" s="814"/>
      <c r="Y897" s="814"/>
      <c r="Z897" s="814"/>
      <c r="AA897" s="814"/>
      <c r="AB897" s="814"/>
      <c r="AC897" s="814"/>
      <c r="AD897" s="815"/>
    </row>
    <row r="898" spans="1:31" ht="15" customHeight="1">
      <c r="A898" s="103"/>
      <c r="B898" s="57"/>
      <c r="C898" s="57"/>
      <c r="D898" s="57"/>
      <c r="E898" s="57"/>
      <c r="F898" s="57"/>
      <c r="G898" s="57"/>
      <c r="H898" s="57"/>
      <c r="I898" s="57"/>
      <c r="J898" s="57"/>
      <c r="K898" s="57"/>
      <c r="L898" s="57"/>
      <c r="M898" s="57"/>
      <c r="N898" s="57"/>
      <c r="O898" s="57"/>
      <c r="P898" s="57"/>
      <c r="Q898" s="57"/>
      <c r="R898" s="57"/>
      <c r="S898" s="57"/>
      <c r="T898" s="57"/>
      <c r="U898" s="57"/>
      <c r="V898" s="57"/>
      <c r="W898" s="57"/>
      <c r="X898" s="57"/>
      <c r="Y898" s="57"/>
      <c r="Z898" s="57"/>
      <c r="AA898" s="57"/>
      <c r="AB898" s="57"/>
      <c r="AC898" s="57"/>
      <c r="AD898" s="57"/>
    </row>
    <row r="899" spans="1:31" ht="24" customHeight="1">
      <c r="A899" s="103"/>
      <c r="B899" s="57"/>
      <c r="C899" s="754" t="s">
        <v>2611</v>
      </c>
      <c r="D899" s="754"/>
      <c r="E899" s="754"/>
      <c r="F899" s="754"/>
      <c r="G899" s="754"/>
      <c r="H899" s="754"/>
      <c r="I899" s="754"/>
      <c r="J899" s="754"/>
      <c r="K899" s="754"/>
      <c r="L899" s="754"/>
      <c r="M899" s="754"/>
      <c r="N899" s="754"/>
      <c r="O899" s="754"/>
      <c r="P899" s="754"/>
      <c r="Q899" s="754"/>
      <c r="R899" s="754"/>
      <c r="S899" s="754"/>
      <c r="T899" s="754"/>
      <c r="U899" s="754"/>
      <c r="V899" s="754"/>
      <c r="W899" s="754"/>
      <c r="X899" s="754"/>
      <c r="Y899" s="754"/>
      <c r="Z899" s="754"/>
      <c r="AA899" s="754"/>
      <c r="AB899" s="754"/>
      <c r="AC899" s="754"/>
      <c r="AD899" s="754"/>
    </row>
    <row r="900" spans="1:31" ht="60" customHeight="1">
      <c r="A900" s="103"/>
      <c r="B900" s="57"/>
      <c r="C900" s="851"/>
      <c r="D900" s="851"/>
      <c r="E900" s="851"/>
      <c r="F900" s="851"/>
      <c r="G900" s="851"/>
      <c r="H900" s="851"/>
      <c r="I900" s="851"/>
      <c r="J900" s="851"/>
      <c r="K900" s="851"/>
      <c r="L900" s="851"/>
      <c r="M900" s="851"/>
      <c r="N900" s="851"/>
      <c r="O900" s="851"/>
      <c r="P900" s="851"/>
      <c r="Q900" s="851"/>
      <c r="R900" s="851"/>
      <c r="S900" s="851"/>
      <c r="T900" s="851"/>
      <c r="U900" s="851"/>
      <c r="V900" s="851"/>
      <c r="W900" s="851"/>
      <c r="X900" s="851"/>
      <c r="Y900" s="851"/>
      <c r="Z900" s="851"/>
      <c r="AA900" s="851"/>
      <c r="AB900" s="851"/>
      <c r="AC900" s="851"/>
      <c r="AD900" s="851"/>
    </row>
    <row r="901" spans="1:31" ht="15" customHeight="1">
      <c r="A901" s="103"/>
      <c r="B901" s="794" t="str">
        <f>IF(AG887&gt;0,"Favor de ingresar toda la información requerida en la pregunta y/o verifique que no tenga información en celdas sombreadas","")</f>
        <v/>
      </c>
      <c r="C901" s="794"/>
      <c r="D901" s="794"/>
      <c r="E901" s="794"/>
      <c r="F901" s="794"/>
      <c r="G901" s="794"/>
      <c r="H901" s="794"/>
      <c r="I901" s="794"/>
      <c r="J901" s="794"/>
      <c r="K901" s="794"/>
      <c r="L901" s="794"/>
      <c r="M901" s="794"/>
      <c r="N901" s="794"/>
      <c r="O901" s="794"/>
      <c r="P901" s="794"/>
      <c r="Q901" s="794"/>
      <c r="R901" s="794"/>
      <c r="S901" s="794"/>
      <c r="T901" s="794"/>
      <c r="U901" s="794"/>
      <c r="V901" s="794"/>
      <c r="W901" s="794"/>
      <c r="X901" s="794"/>
      <c r="Y901" s="794"/>
      <c r="Z901" s="794"/>
      <c r="AA901" s="794"/>
      <c r="AB901" s="794"/>
      <c r="AC901" s="794"/>
      <c r="AD901" s="794"/>
      <c r="AE901"/>
    </row>
    <row r="902" spans="1:31" ht="15" customHeight="1">
      <c r="A902" s="103"/>
      <c r="B902" s="795" t="str">
        <f>IF(AH887&gt;0,"Alerta: debido a que cuenta con registros NS, debe proporcionar una justificación en el area de comentarios al final de la pregunta","")</f>
        <v/>
      </c>
      <c r="C902" s="795"/>
      <c r="D902" s="795"/>
      <c r="E902" s="795"/>
      <c r="F902" s="795"/>
      <c r="G902" s="795"/>
      <c r="H902" s="795"/>
      <c r="I902" s="795"/>
      <c r="J902" s="795"/>
      <c r="K902" s="795"/>
      <c r="L902" s="795"/>
      <c r="M902" s="795"/>
      <c r="N902" s="795"/>
      <c r="O902" s="795"/>
      <c r="P902" s="795"/>
      <c r="Q902" s="795"/>
      <c r="R902" s="795"/>
      <c r="S902" s="795"/>
      <c r="T902" s="795"/>
      <c r="U902" s="795"/>
      <c r="V902" s="795"/>
      <c r="W902" s="795"/>
      <c r="X902" s="795"/>
      <c r="Y902" s="795"/>
      <c r="Z902" s="795"/>
      <c r="AA902" s="795"/>
      <c r="AB902" s="795"/>
      <c r="AC902" s="795"/>
      <c r="AD902" s="795"/>
      <c r="AE902"/>
    </row>
    <row r="903" spans="1:31" ht="15" customHeight="1">
      <c r="A903" s="103"/>
      <c r="B903" s="794" t="str">
        <f>IF(AL887&gt;0,"No puede ingresar cero en la col. Elementos de uniforme debido a que registró el código 1 en la col. ¿Se otorgó al personal de custodia...?","")</f>
        <v/>
      </c>
      <c r="C903" s="794"/>
      <c r="D903" s="794"/>
      <c r="E903" s="794"/>
      <c r="F903" s="794"/>
      <c r="G903" s="794"/>
      <c r="H903" s="794"/>
      <c r="I903" s="794"/>
      <c r="J903" s="794"/>
      <c r="K903" s="794"/>
      <c r="L903" s="794"/>
      <c r="M903" s="794"/>
      <c r="N903" s="794"/>
      <c r="O903" s="794"/>
      <c r="P903" s="794"/>
      <c r="Q903" s="794"/>
      <c r="R903" s="794"/>
      <c r="S903" s="794"/>
      <c r="T903" s="794"/>
      <c r="U903" s="794"/>
      <c r="V903" s="794"/>
      <c r="W903" s="794"/>
      <c r="X903" s="794"/>
      <c r="Y903" s="794"/>
      <c r="Z903" s="794"/>
      <c r="AA903" s="794"/>
      <c r="AB903" s="794"/>
      <c r="AC903" s="794"/>
      <c r="AD903" s="794"/>
      <c r="AE903" s="794"/>
    </row>
    <row r="904" spans="1:31" ht="15" customHeight="1">
      <c r="A904" s="103"/>
      <c r="B904" s="57"/>
      <c r="C904" s="57"/>
      <c r="D904" s="57"/>
      <c r="E904" s="57"/>
      <c r="F904" s="57"/>
      <c r="G904" s="57"/>
      <c r="H904" s="57"/>
      <c r="I904" s="57"/>
      <c r="J904" s="57"/>
      <c r="K904" s="57"/>
      <c r="L904" s="57"/>
      <c r="M904" s="57"/>
      <c r="N904" s="57"/>
      <c r="O904" s="57"/>
      <c r="P904" s="57"/>
      <c r="Q904" s="57"/>
      <c r="R904" s="57"/>
      <c r="S904" s="57"/>
      <c r="T904" s="57"/>
      <c r="U904" s="57"/>
      <c r="V904" s="57"/>
      <c r="W904" s="57"/>
      <c r="X904" s="57"/>
      <c r="Y904" s="57"/>
      <c r="Z904" s="57"/>
      <c r="AA904" s="57"/>
      <c r="AB904" s="57"/>
      <c r="AC904" s="57"/>
      <c r="AD904" s="57"/>
      <c r="AE904"/>
    </row>
    <row r="905" spans="1:31" ht="15" customHeight="1">
      <c r="A905" s="103"/>
      <c r="B905" s="57"/>
      <c r="C905" s="57"/>
      <c r="D905" s="57"/>
      <c r="E905" s="57"/>
      <c r="F905" s="57"/>
      <c r="G905" s="57"/>
      <c r="H905" s="57"/>
      <c r="I905" s="57"/>
      <c r="J905" s="57"/>
      <c r="K905" s="57"/>
      <c r="L905" s="57"/>
      <c r="M905" s="57"/>
      <c r="N905" s="57"/>
      <c r="O905" s="57"/>
      <c r="P905" s="57"/>
      <c r="Q905" s="57"/>
      <c r="R905" s="57"/>
      <c r="S905" s="57"/>
      <c r="T905" s="57"/>
      <c r="U905" s="57"/>
      <c r="V905" s="57"/>
      <c r="W905" s="57"/>
      <c r="X905" s="57"/>
      <c r="Y905" s="57"/>
      <c r="Z905" s="57"/>
      <c r="AA905" s="57"/>
      <c r="AB905" s="57"/>
      <c r="AC905" s="57"/>
      <c r="AD905" s="57"/>
      <c r="AE905"/>
    </row>
    <row r="906" spans="1:31" ht="15" customHeight="1">
      <c r="A906" s="103"/>
      <c r="B906" s="57"/>
      <c r="C906" s="57"/>
      <c r="D906" s="57"/>
      <c r="E906" s="57"/>
      <c r="F906" s="57"/>
      <c r="G906" s="57"/>
      <c r="H906" s="57"/>
      <c r="I906" s="57"/>
      <c r="J906" s="57"/>
      <c r="K906" s="57"/>
      <c r="L906" s="57"/>
      <c r="M906" s="57"/>
      <c r="N906" s="57"/>
      <c r="O906" s="57"/>
      <c r="P906" s="57"/>
      <c r="Q906" s="57"/>
      <c r="R906" s="57"/>
      <c r="S906" s="57"/>
      <c r="T906" s="57"/>
      <c r="U906" s="57"/>
      <c r="V906" s="57"/>
      <c r="W906" s="57"/>
      <c r="X906" s="57"/>
      <c r="Y906" s="57"/>
      <c r="Z906" s="57"/>
      <c r="AA906" s="57"/>
      <c r="AB906" s="57"/>
      <c r="AC906" s="57"/>
      <c r="AD906" s="57"/>
      <c r="AE906"/>
    </row>
    <row r="907" spans="1:31" ht="48" customHeight="1">
      <c r="A907" s="49" t="s">
        <v>3611</v>
      </c>
      <c r="B907" s="829" t="s">
        <v>3612</v>
      </c>
      <c r="C907" s="829"/>
      <c r="D907" s="829"/>
      <c r="E907" s="829"/>
      <c r="F907" s="829"/>
      <c r="G907" s="829"/>
      <c r="H907" s="829"/>
      <c r="I907" s="829"/>
      <c r="J907" s="829"/>
      <c r="K907" s="829"/>
      <c r="L907" s="829"/>
      <c r="M907" s="829"/>
      <c r="N907" s="829"/>
      <c r="O907" s="829"/>
      <c r="P907" s="829"/>
      <c r="Q907" s="829"/>
      <c r="R907" s="829"/>
      <c r="S907" s="829"/>
      <c r="T907" s="829"/>
      <c r="U907" s="829"/>
      <c r="V907" s="829"/>
      <c r="W907" s="829"/>
      <c r="X907" s="829"/>
      <c r="Y907" s="829"/>
      <c r="Z907" s="829"/>
      <c r="AA907" s="829"/>
      <c r="AB907" s="829"/>
      <c r="AC907" s="829"/>
      <c r="AD907" s="829"/>
    </row>
    <row r="908" spans="1:31" ht="23.1" customHeight="1">
      <c r="A908" s="49"/>
      <c r="B908" s="105"/>
      <c r="C908" s="878" t="s">
        <v>3613</v>
      </c>
      <c r="D908" s="878"/>
      <c r="E908" s="878"/>
      <c r="F908" s="878"/>
      <c r="G908" s="878"/>
      <c r="H908" s="878"/>
      <c r="I908" s="878"/>
      <c r="J908" s="878"/>
      <c r="K908" s="878"/>
      <c r="L908" s="878"/>
      <c r="M908" s="878"/>
      <c r="N908" s="878"/>
      <c r="O908" s="878"/>
      <c r="P908" s="878"/>
      <c r="Q908" s="878"/>
      <c r="R908" s="878"/>
      <c r="S908" s="878"/>
      <c r="T908" s="878"/>
      <c r="U908" s="878"/>
      <c r="V908" s="878"/>
      <c r="W908" s="878"/>
      <c r="X908" s="878"/>
      <c r="Y908" s="878"/>
      <c r="Z908" s="878"/>
      <c r="AA908" s="878"/>
      <c r="AB908" s="878"/>
      <c r="AC908" s="878"/>
      <c r="AD908" s="878"/>
    </row>
    <row r="909" spans="1:31" ht="36" customHeight="1">
      <c r="A909" s="50"/>
      <c r="B909" s="57"/>
      <c r="C909" s="830" t="s">
        <v>3614</v>
      </c>
      <c r="D909" s="830"/>
      <c r="E909" s="830"/>
      <c r="F909" s="830"/>
      <c r="G909" s="830"/>
      <c r="H909" s="830"/>
      <c r="I909" s="830"/>
      <c r="J909" s="830"/>
      <c r="K909" s="830"/>
      <c r="L909" s="830"/>
      <c r="M909" s="830"/>
      <c r="N909" s="830"/>
      <c r="O909" s="830"/>
      <c r="P909" s="830"/>
      <c r="Q909" s="830"/>
      <c r="R909" s="830"/>
      <c r="S909" s="830"/>
      <c r="T909" s="830"/>
      <c r="U909" s="830"/>
      <c r="V909" s="830"/>
      <c r="W909" s="830"/>
      <c r="X909" s="830"/>
      <c r="Y909" s="830"/>
      <c r="Z909" s="830"/>
      <c r="AA909" s="830"/>
      <c r="AB909" s="830"/>
      <c r="AC909" s="830"/>
      <c r="AD909" s="830"/>
    </row>
    <row r="910" spans="1:31" ht="15" customHeight="1">
      <c r="A910" s="50"/>
      <c r="B910" s="57"/>
      <c r="C910" s="754" t="s">
        <v>3615</v>
      </c>
      <c r="D910" s="754"/>
      <c r="E910" s="754"/>
      <c r="F910" s="754"/>
      <c r="G910" s="754"/>
      <c r="H910" s="754"/>
      <c r="I910" s="754"/>
      <c r="J910" s="754"/>
      <c r="K910" s="754"/>
      <c r="L910" s="754"/>
      <c r="M910" s="754"/>
      <c r="N910" s="754"/>
      <c r="O910" s="754"/>
      <c r="P910" s="754"/>
      <c r="Q910" s="754"/>
      <c r="R910" s="754"/>
      <c r="S910" s="754"/>
      <c r="T910" s="754"/>
      <c r="U910" s="754"/>
      <c r="V910" s="754"/>
      <c r="W910" s="754"/>
      <c r="X910" s="754"/>
      <c r="Y910" s="754"/>
      <c r="Z910" s="754"/>
      <c r="AA910" s="754"/>
      <c r="AB910" s="754"/>
      <c r="AC910" s="754"/>
      <c r="AD910" s="754"/>
    </row>
    <row r="911" spans="1:31" ht="36" customHeight="1">
      <c r="A911" s="50"/>
      <c r="B911" s="57"/>
      <c r="C911" s="830" t="s">
        <v>3616</v>
      </c>
      <c r="D911" s="830"/>
      <c r="E911" s="830"/>
      <c r="F911" s="830"/>
      <c r="G911" s="830"/>
      <c r="H911" s="830"/>
      <c r="I911" s="830"/>
      <c r="J911" s="830"/>
      <c r="K911" s="830"/>
      <c r="L911" s="830"/>
      <c r="M911" s="830"/>
      <c r="N911" s="830"/>
      <c r="O911" s="830"/>
      <c r="P911" s="830"/>
      <c r="Q911" s="830"/>
      <c r="R911" s="830"/>
      <c r="S911" s="830"/>
      <c r="T911" s="830"/>
      <c r="U911" s="830"/>
      <c r="V911" s="830"/>
      <c r="W911" s="830"/>
      <c r="X911" s="830"/>
      <c r="Y911" s="830"/>
      <c r="Z911" s="830"/>
      <c r="AA911" s="830"/>
      <c r="AB911" s="830"/>
      <c r="AC911" s="830"/>
      <c r="AD911" s="830"/>
    </row>
    <row r="912" spans="1:31" ht="36" customHeight="1">
      <c r="A912" s="50"/>
      <c r="B912" s="57"/>
      <c r="C912" s="830" t="s">
        <v>3617</v>
      </c>
      <c r="D912" s="830"/>
      <c r="E912" s="830"/>
      <c r="F912" s="830"/>
      <c r="G912" s="830"/>
      <c r="H912" s="830"/>
      <c r="I912" s="830"/>
      <c r="J912" s="830"/>
      <c r="K912" s="830"/>
      <c r="L912" s="830"/>
      <c r="M912" s="830"/>
      <c r="N912" s="830"/>
      <c r="O912" s="830"/>
      <c r="P912" s="830"/>
      <c r="Q912" s="830"/>
      <c r="R912" s="830"/>
      <c r="S912" s="830"/>
      <c r="T912" s="830"/>
      <c r="U912" s="830"/>
      <c r="V912" s="830"/>
      <c r="W912" s="830"/>
      <c r="X912" s="830"/>
      <c r="Y912" s="830"/>
      <c r="Z912" s="830"/>
      <c r="AA912" s="830"/>
      <c r="AB912" s="830"/>
      <c r="AC912" s="830"/>
      <c r="AD912" s="830"/>
    </row>
    <row r="913" spans="1:44" ht="36" customHeight="1">
      <c r="A913" s="50"/>
      <c r="B913" s="57"/>
      <c r="C913" s="754" t="s">
        <v>3618</v>
      </c>
      <c r="D913" s="754"/>
      <c r="E913" s="754"/>
      <c r="F913" s="754"/>
      <c r="G913" s="754"/>
      <c r="H913" s="754"/>
      <c r="I913" s="754"/>
      <c r="J913" s="754"/>
      <c r="K913" s="754"/>
      <c r="L913" s="754"/>
      <c r="M913" s="754"/>
      <c r="N913" s="754"/>
      <c r="O913" s="754"/>
      <c r="P913" s="754"/>
      <c r="Q913" s="754"/>
      <c r="R913" s="754"/>
      <c r="S913" s="754"/>
      <c r="T913" s="754"/>
      <c r="U913" s="754"/>
      <c r="V913" s="754"/>
      <c r="W913" s="754"/>
      <c r="X913" s="754"/>
      <c r="Y913" s="754"/>
      <c r="Z913" s="754"/>
      <c r="AA913" s="754"/>
      <c r="AB913" s="754"/>
      <c r="AC913" s="754"/>
      <c r="AD913" s="754"/>
    </row>
    <row r="914" spans="1:44" ht="15" customHeight="1">
      <c r="A914" s="50"/>
      <c r="B914" s="57"/>
      <c r="C914" s="57"/>
      <c r="D914" s="57"/>
      <c r="E914" s="57"/>
      <c r="F914" s="57"/>
      <c r="G914" s="57"/>
      <c r="H914" s="57"/>
      <c r="I914" s="57"/>
      <c r="J914" s="57"/>
      <c r="K914" s="57"/>
      <c r="L914" s="57"/>
      <c r="M914" s="57"/>
      <c r="N914" s="57"/>
      <c r="O914" s="57"/>
      <c r="P914" s="57"/>
      <c r="Q914" s="57"/>
      <c r="R914" s="57"/>
      <c r="S914" s="57"/>
      <c r="T914" s="57"/>
      <c r="U914" s="57"/>
      <c r="V914" s="57"/>
      <c r="W914" s="57"/>
      <c r="X914" s="57"/>
      <c r="Y914" s="57"/>
      <c r="Z914" s="57"/>
      <c r="AA914" s="57"/>
      <c r="AB914" s="57"/>
      <c r="AC914" s="57"/>
      <c r="AD914" s="57"/>
    </row>
    <row r="915" spans="1:44" ht="60" customHeight="1">
      <c r="A915" s="50"/>
      <c r="B915" s="57"/>
      <c r="C915" s="797" t="s">
        <v>3619</v>
      </c>
      <c r="D915" s="798"/>
      <c r="E915" s="798"/>
      <c r="F915" s="798"/>
      <c r="G915" s="798"/>
      <c r="H915" s="798"/>
      <c r="I915" s="798"/>
      <c r="J915" s="798"/>
      <c r="K915" s="798"/>
      <c r="L915" s="798"/>
      <c r="M915" s="732" t="s">
        <v>3620</v>
      </c>
      <c r="N915" s="732"/>
      <c r="O915" s="732"/>
      <c r="P915" s="732"/>
      <c r="Q915" s="732"/>
      <c r="R915" s="732"/>
      <c r="S915" s="732" t="s">
        <v>3621</v>
      </c>
      <c r="T915" s="732"/>
      <c r="U915" s="732"/>
      <c r="V915" s="732"/>
      <c r="W915" s="732"/>
      <c r="X915" s="732"/>
      <c r="Y915" s="739" t="s">
        <v>3622</v>
      </c>
      <c r="Z915" s="740"/>
      <c r="AA915" s="740"/>
      <c r="AB915" s="740"/>
      <c r="AC915" s="740"/>
      <c r="AD915" s="741"/>
      <c r="AG915"/>
      <c r="AH915"/>
      <c r="AI915"/>
      <c r="AJ915"/>
      <c r="AK915" s="916" t="s">
        <v>3315</v>
      </c>
      <c r="AL915" s="916"/>
      <c r="AM915" s="916"/>
      <c r="AN915" s="1016" t="s">
        <v>3623</v>
      </c>
      <c r="AO915"/>
      <c r="AP915"/>
      <c r="AQ915" s="920" t="s">
        <v>3477</v>
      </c>
      <c r="AR915" s="921" t="s">
        <v>3478</v>
      </c>
    </row>
    <row r="916" spans="1:44" ht="48" customHeight="1">
      <c r="A916" s="50"/>
      <c r="B916" s="57"/>
      <c r="C916" s="803"/>
      <c r="D916" s="804"/>
      <c r="E916" s="804"/>
      <c r="F916" s="804"/>
      <c r="G916" s="804"/>
      <c r="H916" s="804"/>
      <c r="I916" s="804"/>
      <c r="J916" s="804"/>
      <c r="K916" s="804"/>
      <c r="L916" s="804"/>
      <c r="M916" s="732"/>
      <c r="N916" s="732"/>
      <c r="O916" s="732"/>
      <c r="P916" s="732"/>
      <c r="Q916" s="732"/>
      <c r="R916" s="732"/>
      <c r="S916" s="732"/>
      <c r="T916" s="732"/>
      <c r="U916" s="732"/>
      <c r="V916" s="732"/>
      <c r="W916" s="732"/>
      <c r="X916" s="732"/>
      <c r="Y916" s="740" t="s">
        <v>2628</v>
      </c>
      <c r="Z916" s="741"/>
      <c r="AA916" s="858" t="s">
        <v>2629</v>
      </c>
      <c r="AB916" s="860"/>
      <c r="AC916" s="1008" t="s">
        <v>2630</v>
      </c>
      <c r="AD916" s="1009"/>
      <c r="AG916" s="354" t="s">
        <v>2586</v>
      </c>
      <c r="AH916" s="350" t="s">
        <v>2590</v>
      </c>
      <c r="AI916" s="351" t="s">
        <v>3163</v>
      </c>
      <c r="AJ916" s="352" t="s">
        <v>3164</v>
      </c>
      <c r="AK916" s="370" t="s">
        <v>2795</v>
      </c>
      <c r="AL916" s="371" t="s">
        <v>3177</v>
      </c>
      <c r="AM916" s="372" t="s">
        <v>3178</v>
      </c>
      <c r="AN916" s="1016"/>
      <c r="AO916" s="435" t="s">
        <v>3624</v>
      </c>
      <c r="AP916" s="365" t="s">
        <v>2620</v>
      </c>
      <c r="AQ916" s="920"/>
      <c r="AR916" s="921"/>
    </row>
    <row r="917" spans="1:44" ht="15" customHeight="1">
      <c r="A917" s="50"/>
      <c r="B917" s="57"/>
      <c r="C917" s="857" t="s">
        <v>3625</v>
      </c>
      <c r="D917" s="857"/>
      <c r="E917" s="44" t="s">
        <v>3626</v>
      </c>
      <c r="F917" s="869" t="s">
        <v>3627</v>
      </c>
      <c r="G917" s="870"/>
      <c r="H917" s="870"/>
      <c r="I917" s="870"/>
      <c r="J917" s="870"/>
      <c r="K917" s="870"/>
      <c r="L917" s="871"/>
      <c r="M917" s="749"/>
      <c r="N917" s="749"/>
      <c r="O917" s="749"/>
      <c r="P917" s="749"/>
      <c r="Q917" s="749"/>
      <c r="R917" s="749"/>
      <c r="S917" s="749"/>
      <c r="T917" s="749"/>
      <c r="U917" s="749"/>
      <c r="V917" s="749"/>
      <c r="W917" s="749"/>
      <c r="X917" s="749"/>
      <c r="Y917" s="749"/>
      <c r="Z917" s="749"/>
      <c r="AA917" s="749"/>
      <c r="AB917" s="749"/>
      <c r="AC917" s="749"/>
      <c r="AD917" s="749"/>
      <c r="AG917" s="353">
        <f>IF(AND($M917&lt;&gt;1,$M917&lt;&gt;"",COUNTA(S917:AD917)=0),0,IF(AND($M917=1,$M917&lt;&gt;"",COUNTA(S917:AD917)=4),0,IF(AND(M917="",COUNTA(S917:AD917)=0),0,1)))</f>
        <v>0</v>
      </c>
      <c r="AH917" s="326">
        <f>COUNTIF(AA917:AD917,"NS")</f>
        <v>0</v>
      </c>
      <c r="AI917" s="326">
        <f>SUM(AA917:AD917)</f>
        <v>0</v>
      </c>
      <c r="AJ917" s="326">
        <f>IF(COUNTIF(Y917:AD917,"NA")=3,0,IF(OR(AND(Y917=0,AH917&gt;0),AND(Y917="ns",AI917&gt;0),AND(Y917="ns",AH917=0,AI917=0)),1,IF(OR(AND(Y917&gt;0,AH917=2),AND(Y917="ns",AH917=2),AND(Y917="ns",AI917=0,AH917&gt;0),Y917=AI917),0,1)))</f>
        <v>0</v>
      </c>
      <c r="AK917">
        <f>IF(OR(Y917="NS",$P$423="NS",$S$423="NS",$V$423="NS"),0,IF(AND(Y917="NA",$P$423="NA",$S$423="NA",$V$423="NA"),0,IF(Y917&lt;=SUM($P$423,$S$423,$V$423),0,1)))</f>
        <v>0</v>
      </c>
      <c r="AL917">
        <f>IF(OR(AA917="NS",$Q$423="NS",$T$423="NS",$W$423="NS"),0,IF(AND(AA917="NA",$Q$423="NA",$T$423="NA",$W$423="NA"),0,IF(AA917&lt;=SUM($Q$423,$T$423,$W$423),0,1)))</f>
        <v>0</v>
      </c>
      <c r="AM917">
        <f>IF(OR(AC917="NS",$R$423="NS",$U$423="NS",$X$423="NS"),0,IF(AND(AC917="NA",$R$423="NA",$U$423="NA",$X$423="NA"),0,IF(AC917&lt;=SUM($R$423,$U$423,$X$423),0,1)))</f>
        <v>0</v>
      </c>
      <c r="AN917">
        <f>IF(OR(Y917="NS",S917="NS"),0,IF(AND(Y917="NA",S917="NA"),0,IF(Y917&lt;=S917,0,1)))</f>
        <v>0</v>
      </c>
      <c r="AO917">
        <f>IF(M932=1,1,0)</f>
        <v>0</v>
      </c>
      <c r="AP917" s="342">
        <f>IF(AND($M917&lt;&gt;"",$M917&lt;&gt;1,COUNTA(S917:AD917)&gt;0),1,0)</f>
        <v>0</v>
      </c>
      <c r="AQ917" s="342">
        <f>IF(AA918&lt;&gt;"",1,0)</f>
        <v>0</v>
      </c>
      <c r="AR917" s="253">
        <f>IF(AND($M917&lt;&gt;"",$M917=1,S917&lt;&gt;"",Y917&lt;&gt;"",AA917&lt;&gt;"",AC917&lt;&gt;"",SUM(S917:AD917)=0),1,0)</f>
        <v>0</v>
      </c>
    </row>
    <row r="918" spans="1:44" ht="24" customHeight="1">
      <c r="A918" s="50"/>
      <c r="B918" s="57"/>
      <c r="C918" s="857"/>
      <c r="D918" s="857"/>
      <c r="E918" s="44" t="s">
        <v>3628</v>
      </c>
      <c r="F918" s="869" t="s">
        <v>3629</v>
      </c>
      <c r="G918" s="870"/>
      <c r="H918" s="870"/>
      <c r="I918" s="870"/>
      <c r="J918" s="870"/>
      <c r="K918" s="870"/>
      <c r="L918" s="871"/>
      <c r="M918" s="749"/>
      <c r="N918" s="749"/>
      <c r="O918" s="749"/>
      <c r="P918" s="749"/>
      <c r="Q918" s="749"/>
      <c r="R918" s="749"/>
      <c r="S918" s="749"/>
      <c r="T918" s="749"/>
      <c r="U918" s="749"/>
      <c r="V918" s="749"/>
      <c r="W918" s="749"/>
      <c r="X918" s="749"/>
      <c r="Y918" s="749"/>
      <c r="Z918" s="749"/>
      <c r="AA918" s="736"/>
      <c r="AB918" s="736"/>
      <c r="AC918" s="749"/>
      <c r="AD918" s="749"/>
      <c r="AG918" s="353">
        <f t="shared" ref="AG918:AG932" si="708">IF(AND($M918&lt;&gt;1,$M918&lt;&gt;"",COUNTA(S918:AD918)=0),0,IF(AND($M918=1,$M918&lt;&gt;"",COUNTA(S918:AD918)=4),0,IF(AND(M918="",COUNTA(S918:AD918)=0),0,1)))</f>
        <v>0</v>
      </c>
      <c r="AH918" s="326">
        <f t="shared" ref="AH918:AH932" si="709">COUNTIF(AA918:AD918,"NS")</f>
        <v>0</v>
      </c>
      <c r="AI918" s="326">
        <f t="shared" ref="AI918:AI932" si="710">SUM(AA918:AD918)</f>
        <v>0</v>
      </c>
      <c r="AJ918" s="326">
        <f t="shared" ref="AJ918:AJ932" si="711">IF(COUNTIF(Y918:AD918,"NA")=3,0,IF(OR(AND(Y918=0,AH918&gt;0),AND(Y918="ns",AI918&gt;0),AND(Y918="ns",AH918=0,AI918=0)),1,IF(OR(AND(Y918&gt;0,AH918=2),AND(Y918="ns",AH918=2),AND(Y918="ns",AI918=0,AH918&gt;0),Y918=AI918),0,1)))</f>
        <v>0</v>
      </c>
      <c r="AK918">
        <f t="shared" ref="AK918:AK932" si="712">IF(OR(Y918="NS",$P$423="NS",$S$423="NS",$V$423="NS"),0,IF(AND(Y918="NA",$P$423="NA",$S$423="NA",$V$423="NA"),0,IF(Y918&lt;=SUM($P$423,$S$423,$V$423),0,1)))</f>
        <v>0</v>
      </c>
      <c r="AL918">
        <f t="shared" ref="AL918:AL932" si="713">IF(OR(AA918="NS",$Q$423="NS",$T$423="NS",$W$423="NS"),0,IF(AND(AA918="NA",$Q$423="NA",$T$423="NA",$W$423="NA"),0,IF(AA918&lt;=SUM($Q$423,$T$423,$W$423),0,1)))</f>
        <v>0</v>
      </c>
      <c r="AM918">
        <f t="shared" ref="AM918:AM932" si="714">IF(OR(AC918="NS",$R$423="NS",$U$423="NS",$X$423="NS"),0,IF(AND(AC918="NA",$R$423="NA",$U$423="NA",$X$423="NA"),0,IF(AC918&lt;=SUM($R$423,$U$423,$X$423),0,1)))</f>
        <v>0</v>
      </c>
      <c r="AN918">
        <f t="shared" ref="AN918:AN932" si="715">IF(OR(Y918="NS",S918="NS"),0,IF(AND(Y918="NA",S918="NA"),0,IF(Y918&lt;=S918,0,1)))</f>
        <v>0</v>
      </c>
      <c r="AP918" s="342">
        <f t="shared" ref="AP918:AP932" si="716">IF(AND($M918&lt;&gt;"",$M918&lt;&gt;1,COUNTA(S918:AD918)&gt;0),1,0)</f>
        <v>0</v>
      </c>
      <c r="AQ918" s="342"/>
      <c r="AR918" s="253">
        <f t="shared" ref="AR918:AR932" si="717">IF(AND($M918&lt;&gt;"",$M918=1,S918&lt;&gt;"",Y918&lt;&gt;"",AA918&lt;&gt;"",AC918&lt;&gt;"",SUM(S918:AD918)=0),1,0)</f>
        <v>0</v>
      </c>
    </row>
    <row r="919" spans="1:44" ht="15" customHeight="1">
      <c r="A919" s="50"/>
      <c r="B919" s="57"/>
      <c r="C919" s="857"/>
      <c r="D919" s="857"/>
      <c r="E919" s="44" t="s">
        <v>3630</v>
      </c>
      <c r="F919" s="869" t="s">
        <v>3631</v>
      </c>
      <c r="G919" s="870"/>
      <c r="H919" s="870"/>
      <c r="I919" s="870"/>
      <c r="J919" s="870"/>
      <c r="K919" s="870"/>
      <c r="L919" s="871"/>
      <c r="M919" s="749"/>
      <c r="N919" s="749"/>
      <c r="O919" s="749"/>
      <c r="P919" s="749"/>
      <c r="Q919" s="749"/>
      <c r="R919" s="749"/>
      <c r="S919" s="749"/>
      <c r="T919" s="749"/>
      <c r="U919" s="749"/>
      <c r="V919" s="749"/>
      <c r="W919" s="749"/>
      <c r="X919" s="749"/>
      <c r="Y919" s="749"/>
      <c r="Z919" s="749"/>
      <c r="AA919" s="749"/>
      <c r="AB919" s="749"/>
      <c r="AC919" s="749"/>
      <c r="AD919" s="749"/>
      <c r="AG919" s="353">
        <f t="shared" si="708"/>
        <v>0</v>
      </c>
      <c r="AH919" s="326">
        <f t="shared" si="709"/>
        <v>0</v>
      </c>
      <c r="AI919" s="326">
        <f t="shared" si="710"/>
        <v>0</v>
      </c>
      <c r="AJ919" s="326">
        <f t="shared" si="711"/>
        <v>0</v>
      </c>
      <c r="AK919">
        <f t="shared" si="712"/>
        <v>0</v>
      </c>
      <c r="AL919">
        <f t="shared" si="713"/>
        <v>0</v>
      </c>
      <c r="AM919">
        <f t="shared" si="714"/>
        <v>0</v>
      </c>
      <c r="AN919">
        <f t="shared" si="715"/>
        <v>0</v>
      </c>
      <c r="AP919" s="342">
        <f t="shared" si="716"/>
        <v>0</v>
      </c>
      <c r="AQ919" s="342"/>
      <c r="AR919" s="253">
        <f t="shared" si="717"/>
        <v>0</v>
      </c>
    </row>
    <row r="920" spans="1:44" ht="24" customHeight="1">
      <c r="A920" s="50"/>
      <c r="B920" s="57"/>
      <c r="C920" s="857"/>
      <c r="D920" s="857"/>
      <c r="E920" s="44" t="s">
        <v>3632</v>
      </c>
      <c r="F920" s="869" t="s">
        <v>3633</v>
      </c>
      <c r="G920" s="870"/>
      <c r="H920" s="870"/>
      <c r="I920" s="870"/>
      <c r="J920" s="870"/>
      <c r="K920" s="870"/>
      <c r="L920" s="871"/>
      <c r="M920" s="749"/>
      <c r="N920" s="749"/>
      <c r="O920" s="749"/>
      <c r="P920" s="749"/>
      <c r="Q920" s="749"/>
      <c r="R920" s="749"/>
      <c r="S920" s="749"/>
      <c r="T920" s="749"/>
      <c r="U920" s="749"/>
      <c r="V920" s="749"/>
      <c r="W920" s="749"/>
      <c r="X920" s="749"/>
      <c r="Y920" s="749"/>
      <c r="Z920" s="749"/>
      <c r="AA920" s="749"/>
      <c r="AB920" s="749"/>
      <c r="AC920" s="749"/>
      <c r="AD920" s="749"/>
      <c r="AG920" s="353">
        <f t="shared" si="708"/>
        <v>0</v>
      </c>
      <c r="AH920" s="326">
        <f t="shared" si="709"/>
        <v>0</v>
      </c>
      <c r="AI920" s="326">
        <f t="shared" si="710"/>
        <v>0</v>
      </c>
      <c r="AJ920" s="326">
        <f t="shared" si="711"/>
        <v>0</v>
      </c>
      <c r="AK920">
        <f t="shared" si="712"/>
        <v>0</v>
      </c>
      <c r="AL920">
        <f t="shared" si="713"/>
        <v>0</v>
      </c>
      <c r="AM920">
        <f t="shared" si="714"/>
        <v>0</v>
      </c>
      <c r="AN920">
        <f t="shared" si="715"/>
        <v>0</v>
      </c>
      <c r="AP920" s="342">
        <f t="shared" si="716"/>
        <v>0</v>
      </c>
      <c r="AQ920" s="342"/>
      <c r="AR920" s="253">
        <f t="shared" si="717"/>
        <v>0</v>
      </c>
    </row>
    <row r="921" spans="1:44" ht="24" customHeight="1">
      <c r="A921" s="50"/>
      <c r="B921" s="57"/>
      <c r="C921" s="857"/>
      <c r="D921" s="857"/>
      <c r="E921" s="44" t="s">
        <v>3634</v>
      </c>
      <c r="F921" s="869" t="s">
        <v>3635</v>
      </c>
      <c r="G921" s="870"/>
      <c r="H921" s="870"/>
      <c r="I921" s="870"/>
      <c r="J921" s="870"/>
      <c r="K921" s="870"/>
      <c r="L921" s="871"/>
      <c r="M921" s="749"/>
      <c r="N921" s="749"/>
      <c r="O921" s="749"/>
      <c r="P921" s="749"/>
      <c r="Q921" s="749"/>
      <c r="R921" s="749"/>
      <c r="S921" s="749"/>
      <c r="T921" s="749"/>
      <c r="U921" s="749"/>
      <c r="V921" s="749"/>
      <c r="W921" s="749"/>
      <c r="X921" s="749"/>
      <c r="Y921" s="749"/>
      <c r="Z921" s="749"/>
      <c r="AA921" s="749"/>
      <c r="AB921" s="749"/>
      <c r="AC921" s="749"/>
      <c r="AD921" s="749"/>
      <c r="AG921" s="353">
        <f t="shared" si="708"/>
        <v>0</v>
      </c>
      <c r="AH921" s="326">
        <f t="shared" si="709"/>
        <v>0</v>
      </c>
      <c r="AI921" s="326">
        <f t="shared" si="710"/>
        <v>0</v>
      </c>
      <c r="AJ921" s="326">
        <f t="shared" si="711"/>
        <v>0</v>
      </c>
      <c r="AK921">
        <f t="shared" si="712"/>
        <v>0</v>
      </c>
      <c r="AL921">
        <f t="shared" si="713"/>
        <v>0</v>
      </c>
      <c r="AM921">
        <f t="shared" si="714"/>
        <v>0</v>
      </c>
      <c r="AN921">
        <f t="shared" si="715"/>
        <v>0</v>
      </c>
      <c r="AP921" s="342">
        <f t="shared" si="716"/>
        <v>0</v>
      </c>
      <c r="AQ921" s="342"/>
      <c r="AR921" s="253">
        <f t="shared" si="717"/>
        <v>0</v>
      </c>
    </row>
    <row r="922" spans="1:44" ht="15" customHeight="1">
      <c r="A922" s="50"/>
      <c r="B922" s="57"/>
      <c r="C922" s="857"/>
      <c r="D922" s="857"/>
      <c r="E922" s="44" t="s">
        <v>3636</v>
      </c>
      <c r="F922" s="869" t="s">
        <v>3637</v>
      </c>
      <c r="G922" s="870"/>
      <c r="H922" s="870"/>
      <c r="I922" s="870"/>
      <c r="J922" s="870"/>
      <c r="K922" s="870"/>
      <c r="L922" s="871"/>
      <c r="M922" s="749"/>
      <c r="N922" s="749"/>
      <c r="O922" s="749"/>
      <c r="P922" s="749"/>
      <c r="Q922" s="749"/>
      <c r="R922" s="749"/>
      <c r="S922" s="749"/>
      <c r="T922" s="749"/>
      <c r="U922" s="749"/>
      <c r="V922" s="749"/>
      <c r="W922" s="749"/>
      <c r="X922" s="749"/>
      <c r="Y922" s="749"/>
      <c r="Z922" s="749"/>
      <c r="AA922" s="749"/>
      <c r="AB922" s="749"/>
      <c r="AC922" s="749"/>
      <c r="AD922" s="749"/>
      <c r="AG922" s="353">
        <f t="shared" si="708"/>
        <v>0</v>
      </c>
      <c r="AH922" s="326">
        <f t="shared" si="709"/>
        <v>0</v>
      </c>
      <c r="AI922" s="326">
        <f t="shared" si="710"/>
        <v>0</v>
      </c>
      <c r="AJ922" s="326">
        <f t="shared" si="711"/>
        <v>0</v>
      </c>
      <c r="AK922">
        <f t="shared" si="712"/>
        <v>0</v>
      </c>
      <c r="AL922">
        <f t="shared" si="713"/>
        <v>0</v>
      </c>
      <c r="AM922">
        <f t="shared" si="714"/>
        <v>0</v>
      </c>
      <c r="AN922">
        <f t="shared" si="715"/>
        <v>0</v>
      </c>
      <c r="AP922" s="342">
        <f t="shared" si="716"/>
        <v>0</v>
      </c>
      <c r="AQ922" s="342"/>
      <c r="AR922" s="253">
        <f t="shared" si="717"/>
        <v>0</v>
      </c>
    </row>
    <row r="923" spans="1:44" ht="15" customHeight="1">
      <c r="A923" s="50"/>
      <c r="B923" s="57"/>
      <c r="C923" s="857"/>
      <c r="D923" s="857"/>
      <c r="E923" s="44" t="s">
        <v>3638</v>
      </c>
      <c r="F923" s="869" t="s">
        <v>3639</v>
      </c>
      <c r="G923" s="870"/>
      <c r="H923" s="870"/>
      <c r="I923" s="870"/>
      <c r="J923" s="870"/>
      <c r="K923" s="870"/>
      <c r="L923" s="871"/>
      <c r="M923" s="749"/>
      <c r="N923" s="749"/>
      <c r="O923" s="749"/>
      <c r="P923" s="749"/>
      <c r="Q923" s="749"/>
      <c r="R923" s="749"/>
      <c r="S923" s="749"/>
      <c r="T923" s="749"/>
      <c r="U923" s="749"/>
      <c r="V923" s="749"/>
      <c r="W923" s="749"/>
      <c r="X923" s="749"/>
      <c r="Y923" s="749"/>
      <c r="Z923" s="749"/>
      <c r="AA923" s="749"/>
      <c r="AB923" s="749"/>
      <c r="AC923" s="749"/>
      <c r="AD923" s="749"/>
      <c r="AG923" s="353">
        <f t="shared" si="708"/>
        <v>0</v>
      </c>
      <c r="AH923" s="326">
        <f t="shared" si="709"/>
        <v>0</v>
      </c>
      <c r="AI923" s="326">
        <f t="shared" si="710"/>
        <v>0</v>
      </c>
      <c r="AJ923" s="326">
        <f t="shared" si="711"/>
        <v>0</v>
      </c>
      <c r="AK923">
        <f t="shared" si="712"/>
        <v>0</v>
      </c>
      <c r="AL923">
        <f t="shared" si="713"/>
        <v>0</v>
      </c>
      <c r="AM923">
        <f t="shared" si="714"/>
        <v>0</v>
      </c>
      <c r="AN923">
        <f t="shared" si="715"/>
        <v>0</v>
      </c>
      <c r="AP923" s="342">
        <f t="shared" si="716"/>
        <v>0</v>
      </c>
      <c r="AQ923" s="342"/>
      <c r="AR923" s="253">
        <f t="shared" si="717"/>
        <v>0</v>
      </c>
    </row>
    <row r="924" spans="1:44" ht="36" customHeight="1">
      <c r="A924" s="50"/>
      <c r="B924" s="57"/>
      <c r="C924" s="857"/>
      <c r="D924" s="857"/>
      <c r="E924" s="44" t="s">
        <v>3640</v>
      </c>
      <c r="F924" s="869" t="s">
        <v>3641</v>
      </c>
      <c r="G924" s="870"/>
      <c r="H924" s="870"/>
      <c r="I924" s="870"/>
      <c r="J924" s="870"/>
      <c r="K924" s="870"/>
      <c r="L924" s="871"/>
      <c r="M924" s="749"/>
      <c r="N924" s="749"/>
      <c r="O924" s="749"/>
      <c r="P924" s="749"/>
      <c r="Q924" s="749"/>
      <c r="R924" s="749"/>
      <c r="S924" s="749"/>
      <c r="T924" s="749"/>
      <c r="U924" s="749"/>
      <c r="V924" s="749"/>
      <c r="W924" s="749"/>
      <c r="X924" s="749"/>
      <c r="Y924" s="749"/>
      <c r="Z924" s="749"/>
      <c r="AA924" s="749"/>
      <c r="AB924" s="749"/>
      <c r="AC924" s="749"/>
      <c r="AD924" s="749"/>
      <c r="AG924" s="353">
        <f t="shared" si="708"/>
        <v>0</v>
      </c>
      <c r="AH924" s="326">
        <f t="shared" si="709"/>
        <v>0</v>
      </c>
      <c r="AI924" s="326">
        <f t="shared" si="710"/>
        <v>0</v>
      </c>
      <c r="AJ924" s="326">
        <f t="shared" si="711"/>
        <v>0</v>
      </c>
      <c r="AK924">
        <f t="shared" si="712"/>
        <v>0</v>
      </c>
      <c r="AL924">
        <f t="shared" si="713"/>
        <v>0</v>
      </c>
      <c r="AM924">
        <f t="shared" si="714"/>
        <v>0</v>
      </c>
      <c r="AN924">
        <f t="shared" si="715"/>
        <v>0</v>
      </c>
      <c r="AP924" s="342">
        <f t="shared" si="716"/>
        <v>0</v>
      </c>
      <c r="AQ924" s="342"/>
      <c r="AR924" s="253">
        <f t="shared" si="717"/>
        <v>0</v>
      </c>
    </row>
    <row r="925" spans="1:44" ht="24" customHeight="1">
      <c r="A925" s="50"/>
      <c r="B925" s="57"/>
      <c r="C925" s="841" t="s">
        <v>3642</v>
      </c>
      <c r="D925" s="842"/>
      <c r="E925" s="44" t="s">
        <v>3643</v>
      </c>
      <c r="F925" s="869" t="s">
        <v>3644</v>
      </c>
      <c r="G925" s="870"/>
      <c r="H925" s="870"/>
      <c r="I925" s="870"/>
      <c r="J925" s="870"/>
      <c r="K925" s="870"/>
      <c r="L925" s="871"/>
      <c r="M925" s="749"/>
      <c r="N925" s="749"/>
      <c r="O925" s="749"/>
      <c r="P925" s="749"/>
      <c r="Q925" s="749"/>
      <c r="R925" s="749"/>
      <c r="S925" s="749"/>
      <c r="T925" s="749"/>
      <c r="U925" s="749"/>
      <c r="V925" s="749"/>
      <c r="W925" s="749"/>
      <c r="X925" s="749"/>
      <c r="Y925" s="749"/>
      <c r="Z925" s="749"/>
      <c r="AA925" s="749"/>
      <c r="AB925" s="749"/>
      <c r="AC925" s="749"/>
      <c r="AD925" s="749"/>
      <c r="AG925" s="353">
        <f t="shared" si="708"/>
        <v>0</v>
      </c>
      <c r="AH925" s="326">
        <f t="shared" si="709"/>
        <v>0</v>
      </c>
      <c r="AI925" s="326">
        <f t="shared" si="710"/>
        <v>0</v>
      </c>
      <c r="AJ925" s="326">
        <f t="shared" si="711"/>
        <v>0</v>
      </c>
      <c r="AK925">
        <f t="shared" si="712"/>
        <v>0</v>
      </c>
      <c r="AL925">
        <f t="shared" si="713"/>
        <v>0</v>
      </c>
      <c r="AM925">
        <f t="shared" si="714"/>
        <v>0</v>
      </c>
      <c r="AN925">
        <f t="shared" si="715"/>
        <v>0</v>
      </c>
      <c r="AP925" s="342">
        <f t="shared" si="716"/>
        <v>0</v>
      </c>
      <c r="AQ925" s="342"/>
      <c r="AR925" s="253">
        <f t="shared" si="717"/>
        <v>0</v>
      </c>
    </row>
    <row r="926" spans="1:44" ht="24" customHeight="1">
      <c r="A926" s="50"/>
      <c r="B926" s="57"/>
      <c r="C926" s="843"/>
      <c r="D926" s="844"/>
      <c r="E926" s="44" t="s">
        <v>3645</v>
      </c>
      <c r="F926" s="813" t="s">
        <v>3646</v>
      </c>
      <c r="G926" s="814"/>
      <c r="H926" s="814"/>
      <c r="I926" s="814"/>
      <c r="J926" s="814"/>
      <c r="K926" s="814"/>
      <c r="L926" s="815"/>
      <c r="M926" s="749"/>
      <c r="N926" s="749"/>
      <c r="O926" s="749"/>
      <c r="P926" s="749"/>
      <c r="Q926" s="749"/>
      <c r="R926" s="749"/>
      <c r="S926" s="749"/>
      <c r="T926" s="749"/>
      <c r="U926" s="749"/>
      <c r="V926" s="749"/>
      <c r="W926" s="749"/>
      <c r="X926" s="749"/>
      <c r="Y926" s="749"/>
      <c r="Z926" s="749"/>
      <c r="AA926" s="749"/>
      <c r="AB926" s="749"/>
      <c r="AC926" s="749"/>
      <c r="AD926" s="749"/>
      <c r="AG926" s="353">
        <f t="shared" si="708"/>
        <v>0</v>
      </c>
      <c r="AH926" s="326">
        <f t="shared" si="709"/>
        <v>0</v>
      </c>
      <c r="AI926" s="326">
        <f t="shared" si="710"/>
        <v>0</v>
      </c>
      <c r="AJ926" s="326">
        <f t="shared" si="711"/>
        <v>0</v>
      </c>
      <c r="AK926">
        <f t="shared" si="712"/>
        <v>0</v>
      </c>
      <c r="AL926">
        <f t="shared" si="713"/>
        <v>0</v>
      </c>
      <c r="AM926">
        <f t="shared" si="714"/>
        <v>0</v>
      </c>
      <c r="AN926">
        <f t="shared" si="715"/>
        <v>0</v>
      </c>
      <c r="AP926" s="342">
        <f t="shared" si="716"/>
        <v>0</v>
      </c>
      <c r="AQ926" s="342"/>
      <c r="AR926" s="253">
        <f t="shared" si="717"/>
        <v>0</v>
      </c>
    </row>
    <row r="927" spans="1:44" ht="15" customHeight="1">
      <c r="A927" s="50"/>
      <c r="B927" s="57"/>
      <c r="C927" s="843"/>
      <c r="D927" s="844"/>
      <c r="E927" s="44" t="s">
        <v>3647</v>
      </c>
      <c r="F927" s="813" t="s">
        <v>3648</v>
      </c>
      <c r="G927" s="814"/>
      <c r="H927" s="814"/>
      <c r="I927" s="814"/>
      <c r="J927" s="814"/>
      <c r="K927" s="814"/>
      <c r="L927" s="815"/>
      <c r="M927" s="749"/>
      <c r="N927" s="749"/>
      <c r="O927" s="749"/>
      <c r="P927" s="749"/>
      <c r="Q927" s="749"/>
      <c r="R927" s="749"/>
      <c r="S927" s="749"/>
      <c r="T927" s="749"/>
      <c r="U927" s="749"/>
      <c r="V927" s="749"/>
      <c r="W927" s="749"/>
      <c r="X927" s="749"/>
      <c r="Y927" s="749"/>
      <c r="Z927" s="749"/>
      <c r="AA927" s="749"/>
      <c r="AB927" s="749"/>
      <c r="AC927" s="749"/>
      <c r="AD927" s="749"/>
      <c r="AG927" s="353">
        <f t="shared" si="708"/>
        <v>0</v>
      </c>
      <c r="AH927" s="326">
        <f t="shared" si="709"/>
        <v>0</v>
      </c>
      <c r="AI927" s="326">
        <f t="shared" si="710"/>
        <v>0</v>
      </c>
      <c r="AJ927" s="326">
        <f t="shared" si="711"/>
        <v>0</v>
      </c>
      <c r="AK927">
        <f t="shared" si="712"/>
        <v>0</v>
      </c>
      <c r="AL927">
        <f t="shared" si="713"/>
        <v>0</v>
      </c>
      <c r="AM927">
        <f t="shared" si="714"/>
        <v>0</v>
      </c>
      <c r="AN927">
        <f t="shared" si="715"/>
        <v>0</v>
      </c>
      <c r="AP927" s="342">
        <f t="shared" si="716"/>
        <v>0</v>
      </c>
      <c r="AQ927" s="342"/>
      <c r="AR927" s="253">
        <f t="shared" si="717"/>
        <v>0</v>
      </c>
    </row>
    <row r="928" spans="1:44" ht="15" customHeight="1">
      <c r="A928" s="50"/>
      <c r="B928" s="57"/>
      <c r="C928" s="843"/>
      <c r="D928" s="844"/>
      <c r="E928" s="44" t="s">
        <v>3649</v>
      </c>
      <c r="F928" s="813" t="s">
        <v>3650</v>
      </c>
      <c r="G928" s="814"/>
      <c r="H928" s="814"/>
      <c r="I928" s="814"/>
      <c r="J928" s="814"/>
      <c r="K928" s="814"/>
      <c r="L928" s="815"/>
      <c r="M928" s="749"/>
      <c r="N928" s="749"/>
      <c r="O928" s="749"/>
      <c r="P928" s="749"/>
      <c r="Q928" s="749"/>
      <c r="R928" s="749"/>
      <c r="S928" s="749"/>
      <c r="T928" s="749"/>
      <c r="U928" s="749"/>
      <c r="V928" s="749"/>
      <c r="W928" s="749"/>
      <c r="X928" s="749"/>
      <c r="Y928" s="749"/>
      <c r="Z928" s="749"/>
      <c r="AA928" s="749"/>
      <c r="AB928" s="749"/>
      <c r="AC928" s="749"/>
      <c r="AD928" s="749"/>
      <c r="AG928" s="353">
        <f t="shared" si="708"/>
        <v>0</v>
      </c>
      <c r="AH928" s="326">
        <f t="shared" si="709"/>
        <v>0</v>
      </c>
      <c r="AI928" s="326">
        <f t="shared" si="710"/>
        <v>0</v>
      </c>
      <c r="AJ928" s="326">
        <f t="shared" si="711"/>
        <v>0</v>
      </c>
      <c r="AK928">
        <f t="shared" si="712"/>
        <v>0</v>
      </c>
      <c r="AL928">
        <f t="shared" si="713"/>
        <v>0</v>
      </c>
      <c r="AM928">
        <f t="shared" si="714"/>
        <v>0</v>
      </c>
      <c r="AN928">
        <f t="shared" si="715"/>
        <v>0</v>
      </c>
      <c r="AP928" s="342">
        <f t="shared" si="716"/>
        <v>0</v>
      </c>
      <c r="AQ928" s="342"/>
      <c r="AR928" s="253">
        <f t="shared" si="717"/>
        <v>0</v>
      </c>
    </row>
    <row r="929" spans="1:44" ht="15" customHeight="1">
      <c r="A929" s="50"/>
      <c r="B929" s="57"/>
      <c r="C929" s="845"/>
      <c r="D929" s="846"/>
      <c r="E929" s="44" t="s">
        <v>3651</v>
      </c>
      <c r="F929" s="869" t="s">
        <v>3652</v>
      </c>
      <c r="G929" s="870"/>
      <c r="H929" s="870"/>
      <c r="I929" s="870"/>
      <c r="J929" s="870"/>
      <c r="K929" s="870"/>
      <c r="L929" s="871"/>
      <c r="M929" s="749"/>
      <c r="N929" s="749"/>
      <c r="O929" s="749"/>
      <c r="P929" s="749"/>
      <c r="Q929" s="749"/>
      <c r="R929" s="749"/>
      <c r="S929" s="749"/>
      <c r="T929" s="749"/>
      <c r="U929" s="749"/>
      <c r="V929" s="749"/>
      <c r="W929" s="749"/>
      <c r="X929" s="749"/>
      <c r="Y929" s="749"/>
      <c r="Z929" s="749"/>
      <c r="AA929" s="749"/>
      <c r="AB929" s="749"/>
      <c r="AC929" s="749"/>
      <c r="AD929" s="749"/>
      <c r="AG929" s="353">
        <f t="shared" si="708"/>
        <v>0</v>
      </c>
      <c r="AH929" s="326">
        <f t="shared" si="709"/>
        <v>0</v>
      </c>
      <c r="AI929" s="326">
        <f t="shared" si="710"/>
        <v>0</v>
      </c>
      <c r="AJ929" s="326">
        <f t="shared" si="711"/>
        <v>0</v>
      </c>
      <c r="AK929">
        <f t="shared" si="712"/>
        <v>0</v>
      </c>
      <c r="AL929">
        <f t="shared" si="713"/>
        <v>0</v>
      </c>
      <c r="AM929">
        <f t="shared" si="714"/>
        <v>0</v>
      </c>
      <c r="AN929">
        <f t="shared" si="715"/>
        <v>0</v>
      </c>
      <c r="AP929" s="342">
        <f t="shared" si="716"/>
        <v>0</v>
      </c>
      <c r="AQ929" s="342"/>
      <c r="AR929" s="253">
        <f t="shared" si="717"/>
        <v>0</v>
      </c>
    </row>
    <row r="930" spans="1:44" ht="18" customHeight="1">
      <c r="A930" s="50"/>
      <c r="B930" s="57"/>
      <c r="C930" s="841" t="s">
        <v>3653</v>
      </c>
      <c r="D930" s="842"/>
      <c r="E930" s="44" t="s">
        <v>3654</v>
      </c>
      <c r="F930" s="869" t="s">
        <v>3655</v>
      </c>
      <c r="G930" s="870"/>
      <c r="H930" s="870"/>
      <c r="I930" s="870"/>
      <c r="J930" s="870"/>
      <c r="K930" s="870"/>
      <c r="L930" s="871"/>
      <c r="M930" s="749"/>
      <c r="N930" s="749"/>
      <c r="O930" s="749"/>
      <c r="P930" s="749"/>
      <c r="Q930" s="749"/>
      <c r="R930" s="749"/>
      <c r="S930" s="749"/>
      <c r="T930" s="749"/>
      <c r="U930" s="749"/>
      <c r="V930" s="749"/>
      <c r="W930" s="749"/>
      <c r="X930" s="749"/>
      <c r="Y930" s="749"/>
      <c r="Z930" s="749"/>
      <c r="AA930" s="749"/>
      <c r="AB930" s="749"/>
      <c r="AC930" s="749"/>
      <c r="AD930" s="749"/>
      <c r="AG930" s="353">
        <f t="shared" si="708"/>
        <v>0</v>
      </c>
      <c r="AH930" s="326">
        <f t="shared" si="709"/>
        <v>0</v>
      </c>
      <c r="AI930" s="326">
        <f t="shared" si="710"/>
        <v>0</v>
      </c>
      <c r="AJ930" s="326">
        <f t="shared" si="711"/>
        <v>0</v>
      </c>
      <c r="AK930">
        <f t="shared" si="712"/>
        <v>0</v>
      </c>
      <c r="AL930">
        <f t="shared" si="713"/>
        <v>0</v>
      </c>
      <c r="AM930">
        <f t="shared" si="714"/>
        <v>0</v>
      </c>
      <c r="AN930">
        <f t="shared" si="715"/>
        <v>0</v>
      </c>
      <c r="AP930" s="342">
        <f t="shared" si="716"/>
        <v>0</v>
      </c>
      <c r="AQ930" s="342"/>
      <c r="AR930" s="253">
        <f t="shared" si="717"/>
        <v>0</v>
      </c>
    </row>
    <row r="931" spans="1:44" ht="18" customHeight="1">
      <c r="A931" s="50"/>
      <c r="B931" s="57"/>
      <c r="C931" s="845"/>
      <c r="D931" s="846"/>
      <c r="E931" s="44" t="s">
        <v>3656</v>
      </c>
      <c r="F931" s="869" t="s">
        <v>3657</v>
      </c>
      <c r="G931" s="870"/>
      <c r="H931" s="870"/>
      <c r="I931" s="870"/>
      <c r="J931" s="870"/>
      <c r="K931" s="870"/>
      <c r="L931" s="871"/>
      <c r="M931" s="749"/>
      <c r="N931" s="749"/>
      <c r="O931" s="749"/>
      <c r="P931" s="749"/>
      <c r="Q931" s="749"/>
      <c r="R931" s="749"/>
      <c r="S931" s="749"/>
      <c r="T931" s="749"/>
      <c r="U931" s="749"/>
      <c r="V931" s="749"/>
      <c r="W931" s="749"/>
      <c r="X931" s="749"/>
      <c r="Y931" s="749"/>
      <c r="Z931" s="749"/>
      <c r="AA931" s="749"/>
      <c r="AB931" s="749"/>
      <c r="AC931" s="749"/>
      <c r="AD931" s="749"/>
      <c r="AG931" s="353">
        <f t="shared" si="708"/>
        <v>0</v>
      </c>
      <c r="AH931" s="326">
        <f t="shared" si="709"/>
        <v>0</v>
      </c>
      <c r="AI931" s="326">
        <f t="shared" si="710"/>
        <v>0</v>
      </c>
      <c r="AJ931" s="326">
        <f t="shared" si="711"/>
        <v>0</v>
      </c>
      <c r="AK931">
        <f t="shared" si="712"/>
        <v>0</v>
      </c>
      <c r="AL931">
        <f t="shared" si="713"/>
        <v>0</v>
      </c>
      <c r="AM931">
        <f t="shared" si="714"/>
        <v>0</v>
      </c>
      <c r="AN931">
        <f t="shared" si="715"/>
        <v>0</v>
      </c>
      <c r="AP931" s="342">
        <f t="shared" si="716"/>
        <v>0</v>
      </c>
      <c r="AQ931" s="342"/>
      <c r="AR931" s="253">
        <f t="shared" si="717"/>
        <v>0</v>
      </c>
    </row>
    <row r="932" spans="1:44" ht="15" customHeight="1">
      <c r="A932" s="50"/>
      <c r="B932" s="57"/>
      <c r="C932" s="733" t="s">
        <v>2519</v>
      </c>
      <c r="D932" s="734"/>
      <c r="E932" s="735"/>
      <c r="F932" s="869" t="s">
        <v>2609</v>
      </c>
      <c r="G932" s="870"/>
      <c r="H932" s="870"/>
      <c r="I932" s="870"/>
      <c r="J932" s="870"/>
      <c r="K932" s="870"/>
      <c r="L932" s="871"/>
      <c r="M932" s="749"/>
      <c r="N932" s="749"/>
      <c r="O932" s="749"/>
      <c r="P932" s="749"/>
      <c r="Q932" s="749"/>
      <c r="R932" s="749"/>
      <c r="S932" s="749"/>
      <c r="T932" s="749"/>
      <c r="U932" s="749"/>
      <c r="V932" s="749"/>
      <c r="W932" s="749"/>
      <c r="X932" s="749"/>
      <c r="Y932" s="749"/>
      <c r="Z932" s="749"/>
      <c r="AA932" s="749"/>
      <c r="AB932" s="749"/>
      <c r="AC932" s="749"/>
      <c r="AD932" s="749"/>
      <c r="AG932" s="353">
        <f t="shared" si="708"/>
        <v>0</v>
      </c>
      <c r="AH932" s="326">
        <f t="shared" si="709"/>
        <v>0</v>
      </c>
      <c r="AI932" s="326">
        <f t="shared" si="710"/>
        <v>0</v>
      </c>
      <c r="AJ932" s="326">
        <f t="shared" si="711"/>
        <v>0</v>
      </c>
      <c r="AK932">
        <f t="shared" si="712"/>
        <v>0</v>
      </c>
      <c r="AL932">
        <f t="shared" si="713"/>
        <v>0</v>
      </c>
      <c r="AM932">
        <f t="shared" si="714"/>
        <v>0</v>
      </c>
      <c r="AN932">
        <f t="shared" si="715"/>
        <v>0</v>
      </c>
      <c r="AP932" s="342">
        <f t="shared" si="716"/>
        <v>0</v>
      </c>
      <c r="AQ932" s="342"/>
      <c r="AR932" s="253">
        <f t="shared" si="717"/>
        <v>0</v>
      </c>
    </row>
    <row r="933" spans="1:44" ht="15" customHeight="1">
      <c r="A933" s="50"/>
      <c r="B933" s="57"/>
      <c r="C933" s="57"/>
      <c r="D933" s="57"/>
      <c r="E933" s="57"/>
      <c r="F933" s="57"/>
      <c r="G933" s="57"/>
      <c r="H933" s="57"/>
      <c r="I933" s="57"/>
      <c r="J933" s="57"/>
      <c r="K933" s="57"/>
      <c r="L933" s="57"/>
      <c r="M933" s="57"/>
      <c r="N933" s="57"/>
      <c r="O933" s="57"/>
      <c r="P933" s="57"/>
      <c r="Q933" s="57"/>
      <c r="R933" s="57"/>
      <c r="S933" s="57"/>
      <c r="T933" s="57"/>
      <c r="U933" s="57"/>
      <c r="V933" s="57"/>
      <c r="W933" s="57"/>
      <c r="X933" s="57"/>
      <c r="Y933" s="57"/>
      <c r="Z933" s="57"/>
      <c r="AA933" s="57"/>
      <c r="AB933" s="57"/>
      <c r="AC933" s="57"/>
      <c r="AD933" s="57"/>
      <c r="AG933" s="354">
        <f>SUM(AG917:AG932)</f>
        <v>0</v>
      </c>
      <c r="AH933" s="406">
        <f>SUM(AH917:AH932)</f>
        <v>0</v>
      </c>
      <c r="AI933" s="351">
        <f>SUM(AI917:AI932)</f>
        <v>0</v>
      </c>
      <c r="AJ933" s="352">
        <f>SUM(AJ917:AJ932)</f>
        <v>0</v>
      </c>
      <c r="AK933" s="380">
        <f>SUM(AK917:AK932)</f>
        <v>0</v>
      </c>
      <c r="AL933" s="381">
        <f t="shared" ref="AL933:AN933" si="718">SUM(AL917:AL932)</f>
        <v>0</v>
      </c>
      <c r="AM933" s="382">
        <f>SUM(AM917:AM932)</f>
        <v>0</v>
      </c>
      <c r="AN933" s="436">
        <f t="shared" si="718"/>
        <v>0</v>
      </c>
      <c r="AO933"/>
      <c r="AP933" s="419">
        <f>SUM(AP917:AP932)</f>
        <v>0</v>
      </c>
      <c r="AQ933"/>
      <c r="AR933" s="420">
        <f>SUM(AR917:AR932)</f>
        <v>0</v>
      </c>
    </row>
    <row r="934" spans="1:44" ht="45" customHeight="1">
      <c r="A934" s="50"/>
      <c r="B934" s="57"/>
      <c r="C934" s="822" t="s">
        <v>2798</v>
      </c>
      <c r="D934" s="822"/>
      <c r="E934" s="822"/>
      <c r="F934" s="749"/>
      <c r="G934" s="749"/>
      <c r="H934" s="749"/>
      <c r="I934" s="749"/>
      <c r="J934" s="749"/>
      <c r="K934" s="749"/>
      <c r="L934" s="749"/>
      <c r="M934" s="749"/>
      <c r="N934" s="749"/>
      <c r="O934" s="749"/>
      <c r="P934" s="749"/>
      <c r="Q934" s="749"/>
      <c r="R934" s="749"/>
      <c r="S934" s="749"/>
      <c r="T934" s="749"/>
      <c r="U934" s="749"/>
      <c r="V934" s="749"/>
      <c r="W934" s="749"/>
      <c r="X934" s="749"/>
      <c r="Y934" s="749"/>
      <c r="Z934" s="749"/>
      <c r="AA934" s="749"/>
      <c r="AB934" s="749"/>
      <c r="AC934" s="749"/>
      <c r="AD934" s="749"/>
      <c r="AG934"/>
      <c r="AH934"/>
      <c r="AI934"/>
      <c r="AJ934"/>
      <c r="AK934"/>
      <c r="AL934"/>
      <c r="AM934" s="437">
        <f>SUM(AK933:AM933)</f>
        <v>0</v>
      </c>
      <c r="AN934"/>
      <c r="AO934"/>
      <c r="AP934"/>
      <c r="AQ934"/>
      <c r="AR934"/>
    </row>
    <row r="935" spans="1:44" ht="15" customHeight="1">
      <c r="A935" s="50"/>
      <c r="B935" s="794" t="str">
        <f>IF(AND(AO917&gt;0,F934=""),"Ha seleccionado el código 1 en el numeral 4, debe anotar el nombre de dicho(s) tipo(s) de equipamientos o instrumentos ","")</f>
        <v/>
      </c>
      <c r="C935" s="794"/>
      <c r="D935" s="794"/>
      <c r="E935" s="794"/>
      <c r="F935" s="794"/>
      <c r="G935" s="794"/>
      <c r="H935" s="794"/>
      <c r="I935" s="794"/>
      <c r="J935" s="794"/>
      <c r="K935" s="794"/>
      <c r="L935" s="794"/>
      <c r="M935" s="794"/>
      <c r="N935" s="794"/>
      <c r="O935" s="794"/>
      <c r="P935" s="794"/>
      <c r="Q935" s="794"/>
      <c r="R935" s="794"/>
      <c r="S935" s="794"/>
      <c r="T935" s="794"/>
      <c r="U935" s="794"/>
      <c r="V935" s="794"/>
      <c r="W935" s="794"/>
      <c r="X935" s="794"/>
      <c r="Y935" s="794"/>
      <c r="Z935" s="794"/>
      <c r="AA935" s="794"/>
      <c r="AB935" s="794"/>
      <c r="AC935" s="794"/>
      <c r="AD935" s="794"/>
      <c r="AE935" s="794"/>
    </row>
    <row r="936" spans="1:44" ht="24" customHeight="1">
      <c r="A936" s="50"/>
      <c r="B936" s="57"/>
      <c r="C936" s="754" t="s">
        <v>2611</v>
      </c>
      <c r="D936" s="754"/>
      <c r="E936" s="754"/>
      <c r="F936" s="754"/>
      <c r="G936" s="754"/>
      <c r="H936" s="754"/>
      <c r="I936" s="754"/>
      <c r="J936" s="754"/>
      <c r="K936" s="754"/>
      <c r="L936" s="754"/>
      <c r="M936" s="754"/>
      <c r="N936" s="754"/>
      <c r="O936" s="754"/>
      <c r="P936" s="754"/>
      <c r="Q936" s="754"/>
      <c r="R936" s="754"/>
      <c r="S936" s="754"/>
      <c r="T936" s="754"/>
      <c r="U936" s="754"/>
      <c r="V936" s="754"/>
      <c r="W936" s="754"/>
      <c r="X936" s="754"/>
      <c r="Y936" s="754"/>
      <c r="Z936" s="754"/>
      <c r="AA936" s="754"/>
      <c r="AB936" s="754"/>
      <c r="AC936" s="754"/>
      <c r="AD936" s="754"/>
    </row>
    <row r="937" spans="1:44" ht="60" customHeight="1">
      <c r="A937" s="50"/>
      <c r="B937" s="57"/>
      <c r="C937" s="812"/>
      <c r="D937" s="812"/>
      <c r="E937" s="812"/>
      <c r="F937" s="812"/>
      <c r="G937" s="812"/>
      <c r="H937" s="812"/>
      <c r="I937" s="812"/>
      <c r="J937" s="812"/>
      <c r="K937" s="812"/>
      <c r="L937" s="812"/>
      <c r="M937" s="812"/>
      <c r="N937" s="812"/>
      <c r="O937" s="812"/>
      <c r="P937" s="812"/>
      <c r="Q937" s="812"/>
      <c r="R937" s="812"/>
      <c r="S937" s="812"/>
      <c r="T937" s="812"/>
      <c r="U937" s="812"/>
      <c r="V937" s="812"/>
      <c r="W937" s="812"/>
      <c r="X937" s="812"/>
      <c r="Y937" s="812"/>
      <c r="Z937" s="812"/>
      <c r="AA937" s="812"/>
      <c r="AB937" s="812"/>
      <c r="AC937" s="812"/>
      <c r="AD937" s="812"/>
    </row>
    <row r="938" spans="1:44" ht="15" customHeight="1">
      <c r="A938" s="50"/>
      <c r="B938" s="794" t="str">
        <f>IF(AG933&gt;0,"Favor de ingresar toda la información requerida en la pregunta y/o verifique que no tenga información en celdas sombreadas","")</f>
        <v/>
      </c>
      <c r="C938" s="794"/>
      <c r="D938" s="794"/>
      <c r="E938" s="794"/>
      <c r="F938" s="794"/>
      <c r="G938" s="794"/>
      <c r="H938" s="794"/>
      <c r="I938" s="794"/>
      <c r="J938" s="794"/>
      <c r="K938" s="794"/>
      <c r="L938" s="794"/>
      <c r="M938" s="794"/>
      <c r="N938" s="794"/>
      <c r="O938" s="794"/>
      <c r="P938" s="794"/>
      <c r="Q938" s="794"/>
      <c r="R938" s="794"/>
      <c r="S938" s="794"/>
      <c r="T938" s="794"/>
      <c r="U938" s="794"/>
      <c r="V938" s="794"/>
      <c r="W938" s="794"/>
      <c r="X938" s="794"/>
      <c r="Y938" s="794"/>
      <c r="Z938" s="794"/>
      <c r="AA938" s="794"/>
      <c r="AB938" s="794"/>
      <c r="AC938" s="794"/>
      <c r="AD938" s="794"/>
      <c r="AE938"/>
    </row>
    <row r="939" spans="1:44" ht="15" customHeight="1">
      <c r="A939" s="50"/>
      <c r="B939" s="795" t="str">
        <f>IF(AH933&gt;0,"Alerta: debido a que cuenta con registros NS, debe proporcionar una justificación en el area de comentarios al final de la pregunta","")</f>
        <v/>
      </c>
      <c r="C939" s="795"/>
      <c r="D939" s="795"/>
      <c r="E939" s="795"/>
      <c r="F939" s="795"/>
      <c r="G939" s="795"/>
      <c r="H939" s="795"/>
      <c r="I939" s="795"/>
      <c r="J939" s="795"/>
      <c r="K939" s="795"/>
      <c r="L939" s="795"/>
      <c r="M939" s="795"/>
      <c r="N939" s="795"/>
      <c r="O939" s="795"/>
      <c r="P939" s="795"/>
      <c r="Q939" s="795"/>
      <c r="R939" s="795"/>
      <c r="S939" s="795"/>
      <c r="T939" s="795"/>
      <c r="U939" s="795"/>
      <c r="V939" s="795"/>
      <c r="W939" s="795"/>
      <c r="X939" s="795"/>
      <c r="Y939" s="795"/>
      <c r="Z939" s="795"/>
      <c r="AA939" s="795"/>
      <c r="AB939" s="795"/>
      <c r="AC939" s="795"/>
      <c r="AD939" s="795"/>
      <c r="AE939"/>
    </row>
    <row r="940" spans="1:44" ht="15" customHeight="1">
      <c r="A940" s="50"/>
      <c r="B940" s="794" t="str">
        <f>IF(AJ933&gt;0,"Favor de revisar la suma y consistencia de totales y/o subtotales por filas (numéricos y NS)","")</f>
        <v/>
      </c>
      <c r="C940" s="794"/>
      <c r="D940" s="794"/>
      <c r="E940" s="794"/>
      <c r="F940" s="794"/>
      <c r="G940" s="794"/>
      <c r="H940" s="794"/>
      <c r="I940" s="794"/>
      <c r="J940" s="794"/>
      <c r="K940" s="794"/>
      <c r="L940" s="794"/>
      <c r="M940" s="794"/>
      <c r="N940" s="794"/>
      <c r="O940" s="794"/>
      <c r="P940" s="794"/>
      <c r="Q940" s="794"/>
      <c r="R940" s="794"/>
      <c r="S940" s="794"/>
      <c r="T940" s="794"/>
      <c r="U940" s="794"/>
      <c r="V940" s="794"/>
      <c r="W940" s="794"/>
      <c r="X940" s="794"/>
      <c r="Y940" s="794"/>
      <c r="Z940" s="794"/>
      <c r="AA940" s="794"/>
      <c r="AB940" s="794"/>
      <c r="AC940" s="794"/>
      <c r="AD940" s="794"/>
      <c r="AE940"/>
    </row>
    <row r="941" spans="1:44" ht="15" customHeight="1">
      <c r="A941" s="50"/>
      <c r="B941" s="794" t="str">
        <f>IF(AM934&gt;0,"Favor de revisar la instrucción 4, debido a que no se cumplen con los criterios mencionados","")</f>
        <v/>
      </c>
      <c r="C941" s="794"/>
      <c r="D941" s="794"/>
      <c r="E941" s="794"/>
      <c r="F941" s="794"/>
      <c r="G941" s="794"/>
      <c r="H941" s="794"/>
      <c r="I941" s="794"/>
      <c r="J941" s="794"/>
      <c r="K941" s="794"/>
      <c r="L941" s="794"/>
      <c r="M941" s="794"/>
      <c r="N941" s="794"/>
      <c r="O941" s="794"/>
      <c r="P941" s="794"/>
      <c r="Q941" s="794"/>
      <c r="R941" s="794"/>
      <c r="S941" s="794"/>
      <c r="T941" s="794"/>
      <c r="U941" s="794"/>
      <c r="V941" s="794"/>
      <c r="W941" s="794"/>
      <c r="X941" s="794"/>
      <c r="Y941" s="794"/>
      <c r="Z941" s="794"/>
      <c r="AA941" s="794"/>
      <c r="AB941" s="794"/>
      <c r="AC941" s="794"/>
      <c r="AD941" s="794"/>
      <c r="AE941" s="794"/>
    </row>
    <row r="942" spans="1:44" ht="15" customHeight="1">
      <c r="A942" s="161"/>
      <c r="B942" s="795" t="str">
        <f>IF(AN933&gt;0,"Alerta: debe de proporcionar una justificación de acuerdo a lo establecido en la instrucción 5","")</f>
        <v/>
      </c>
      <c r="C942" s="795"/>
      <c r="D942" s="795"/>
      <c r="E942" s="795"/>
      <c r="F942" s="795"/>
      <c r="G942" s="795"/>
      <c r="H942" s="795"/>
      <c r="I942" s="795"/>
      <c r="J942" s="795"/>
      <c r="K942" s="795"/>
      <c r="L942" s="795"/>
      <c r="M942" s="795"/>
      <c r="N942" s="795"/>
      <c r="O942" s="795"/>
      <c r="P942" s="795"/>
      <c r="Q942" s="795"/>
      <c r="R942" s="795"/>
      <c r="S942" s="795"/>
      <c r="T942" s="795"/>
      <c r="U942" s="795"/>
      <c r="V942" s="795"/>
      <c r="W942" s="795"/>
      <c r="X942" s="795"/>
      <c r="Y942" s="795"/>
      <c r="Z942" s="795"/>
      <c r="AA942" s="795"/>
      <c r="AB942" s="795"/>
      <c r="AC942" s="795"/>
      <c r="AD942" s="795"/>
      <c r="AE942" s="795"/>
    </row>
    <row r="943" spans="1:44" ht="15" customHeight="1" thickBot="1">
      <c r="A943" s="50"/>
      <c r="B943" s="794" t="str">
        <f>IF(AR933&gt;0,"No puede ingresar cero en las col. Equipamiento y Personal de custodia debido a que registró el código 1 en la col. ¿Se otorgó y/ o asignó...?","")</f>
        <v/>
      </c>
      <c r="C943" s="794"/>
      <c r="D943" s="794"/>
      <c r="E943" s="794"/>
      <c r="F943" s="794"/>
      <c r="G943" s="794"/>
      <c r="H943" s="794"/>
      <c r="I943" s="794"/>
      <c r="J943" s="794"/>
      <c r="K943" s="794"/>
      <c r="L943" s="794"/>
      <c r="M943" s="794"/>
      <c r="N943" s="794"/>
      <c r="O943" s="794"/>
      <c r="P943" s="794"/>
      <c r="Q943" s="794"/>
      <c r="R943" s="794"/>
      <c r="S943" s="794"/>
      <c r="T943" s="794"/>
      <c r="U943" s="794"/>
      <c r="V943" s="794"/>
      <c r="W943" s="794"/>
      <c r="X943" s="794"/>
      <c r="Y943" s="794"/>
      <c r="Z943" s="794"/>
      <c r="AA943" s="794"/>
      <c r="AB943" s="794"/>
      <c r="AC943" s="794"/>
      <c r="AD943" s="794"/>
      <c r="AE943" s="794"/>
    </row>
    <row r="944" spans="1:44" customFormat="1" ht="15" customHeight="1" thickBot="1">
      <c r="A944" s="153" t="s">
        <v>2563</v>
      </c>
      <c r="B944" s="831" t="s">
        <v>3658</v>
      </c>
      <c r="C944" s="832"/>
      <c r="D944" s="832"/>
      <c r="E944" s="832"/>
      <c r="F944" s="832"/>
      <c r="G944" s="832"/>
      <c r="H944" s="832"/>
      <c r="I944" s="832"/>
      <c r="J944" s="832"/>
      <c r="K944" s="832"/>
      <c r="L944" s="832"/>
      <c r="M944" s="832"/>
      <c r="N944" s="832"/>
      <c r="O944" s="832"/>
      <c r="P944" s="832"/>
      <c r="Q944" s="832"/>
      <c r="R944" s="832"/>
      <c r="S944" s="832"/>
      <c r="T944" s="832"/>
      <c r="U944" s="832"/>
      <c r="V944" s="832"/>
      <c r="W944" s="832"/>
      <c r="X944" s="832"/>
      <c r="Y944" s="832"/>
      <c r="Z944" s="832"/>
      <c r="AA944" s="832"/>
      <c r="AB944" s="832"/>
      <c r="AC944" s="832"/>
      <c r="AD944" s="833"/>
      <c r="AE944" s="3"/>
    </row>
    <row r="945" spans="1:34" ht="15" customHeight="1">
      <c r="A945" s="94"/>
      <c r="B945" s="866" t="s">
        <v>2565</v>
      </c>
      <c r="C945" s="867"/>
      <c r="D945" s="867"/>
      <c r="E945" s="867"/>
      <c r="F945" s="867"/>
      <c r="G945" s="867"/>
      <c r="H945" s="867"/>
      <c r="I945" s="867"/>
      <c r="J945" s="867"/>
      <c r="K945" s="867"/>
      <c r="L945" s="867"/>
      <c r="M945" s="867"/>
      <c r="N945" s="867"/>
      <c r="O945" s="867"/>
      <c r="P945" s="867"/>
      <c r="Q945" s="867"/>
      <c r="R945" s="867"/>
      <c r="S945" s="867"/>
      <c r="T945" s="867"/>
      <c r="U945" s="867"/>
      <c r="V945" s="867"/>
      <c r="W945" s="867"/>
      <c r="X945" s="867"/>
      <c r="Y945" s="867"/>
      <c r="Z945" s="867"/>
      <c r="AA945" s="867"/>
      <c r="AB945" s="867"/>
      <c r="AC945" s="867"/>
      <c r="AD945" s="868"/>
    </row>
    <row r="946" spans="1:34" ht="72" customHeight="1">
      <c r="A946" s="147"/>
      <c r="B946" s="669"/>
      <c r="C946" s="764" t="s">
        <v>3659</v>
      </c>
      <c r="D946" s="764"/>
      <c r="E946" s="764"/>
      <c r="F946" s="764"/>
      <c r="G946" s="764"/>
      <c r="H946" s="764"/>
      <c r="I946" s="764"/>
      <c r="J946" s="764"/>
      <c r="K946" s="764"/>
      <c r="L946" s="764"/>
      <c r="M946" s="764"/>
      <c r="N946" s="764"/>
      <c r="O946" s="764"/>
      <c r="P946" s="764"/>
      <c r="Q946" s="764"/>
      <c r="R946" s="764"/>
      <c r="S946" s="764"/>
      <c r="T946" s="764"/>
      <c r="U946" s="764"/>
      <c r="V946" s="764"/>
      <c r="W946" s="764"/>
      <c r="X946" s="764"/>
      <c r="Y946" s="764"/>
      <c r="Z946" s="764"/>
      <c r="AA946" s="764"/>
      <c r="AB946" s="764"/>
      <c r="AC946" s="764"/>
      <c r="AD946" s="765"/>
    </row>
    <row r="947" spans="1:34" ht="15.75" thickBot="1">
      <c r="A947" s="94"/>
      <c r="B947" s="141"/>
      <c r="C947" s="141"/>
      <c r="D947" s="141"/>
      <c r="E947" s="141"/>
      <c r="F947" s="141"/>
      <c r="G947" s="141"/>
      <c r="H947" s="141"/>
      <c r="I947" s="141"/>
      <c r="J947" s="141"/>
      <c r="K947" s="141"/>
      <c r="L947" s="141"/>
      <c r="M947" s="141"/>
      <c r="N947" s="141"/>
      <c r="O947" s="141"/>
      <c r="P947" s="141"/>
      <c r="Q947" s="141"/>
      <c r="R947" s="141"/>
      <c r="S947" s="141"/>
      <c r="T947" s="141"/>
      <c r="U947" s="141"/>
      <c r="V947" s="141"/>
      <c r="W947" s="141"/>
      <c r="X947" s="141"/>
      <c r="Y947" s="141"/>
      <c r="Z947" s="141"/>
      <c r="AA947" s="141"/>
      <c r="AB947" s="141"/>
      <c r="AC947" s="141"/>
      <c r="AD947" s="141"/>
    </row>
    <row r="948" spans="1:34" customFormat="1" ht="15" customHeight="1" thickBot="1">
      <c r="A948" s="153" t="s">
        <v>2563</v>
      </c>
      <c r="B948" s="943" t="s">
        <v>3660</v>
      </c>
      <c r="C948" s="944"/>
      <c r="D948" s="944"/>
      <c r="E948" s="944"/>
      <c r="F948" s="944"/>
      <c r="G948" s="944"/>
      <c r="H948" s="944"/>
      <c r="I948" s="944"/>
      <c r="J948" s="944"/>
      <c r="K948" s="944"/>
      <c r="L948" s="944"/>
      <c r="M948" s="944"/>
      <c r="N948" s="944"/>
      <c r="O948" s="944"/>
      <c r="P948" s="944"/>
      <c r="Q948" s="944"/>
      <c r="R948" s="944"/>
      <c r="S948" s="944"/>
      <c r="T948" s="944"/>
      <c r="U948" s="944"/>
      <c r="V948" s="944"/>
      <c r="W948" s="944"/>
      <c r="X948" s="944"/>
      <c r="Y948" s="944"/>
      <c r="Z948" s="944"/>
      <c r="AA948" s="944"/>
      <c r="AB948" s="944"/>
      <c r="AC948" s="944"/>
      <c r="AD948" s="945"/>
      <c r="AE948" s="3"/>
    </row>
    <row r="949" spans="1:34" ht="15" customHeight="1">
      <c r="A949" s="94"/>
    </row>
    <row r="950" spans="1:34" ht="36" customHeight="1">
      <c r="A950" s="49" t="s">
        <v>3661</v>
      </c>
      <c r="B950" s="829" t="s">
        <v>3662</v>
      </c>
      <c r="C950" s="829"/>
      <c r="D950" s="829"/>
      <c r="E950" s="829"/>
      <c r="F950" s="829"/>
      <c r="G950" s="829"/>
      <c r="H950" s="829"/>
      <c r="I950" s="829"/>
      <c r="J950" s="829"/>
      <c r="K950" s="829"/>
      <c r="L950" s="829"/>
      <c r="M950" s="829"/>
      <c r="N950" s="829"/>
      <c r="O950" s="829"/>
      <c r="P950" s="829"/>
      <c r="Q950" s="829"/>
      <c r="R950" s="829"/>
      <c r="S950" s="829"/>
      <c r="T950" s="829"/>
      <c r="U950" s="829"/>
      <c r="V950" s="829"/>
      <c r="W950" s="829"/>
      <c r="X950" s="829"/>
      <c r="Y950" s="829"/>
      <c r="Z950" s="829"/>
      <c r="AA950" s="829"/>
      <c r="AB950" s="829"/>
      <c r="AC950" s="829"/>
      <c r="AD950" s="829"/>
    </row>
    <row r="951" spans="1:34" ht="15" customHeight="1">
      <c r="A951" s="94"/>
      <c r="C951" s="1010" t="s">
        <v>3663</v>
      </c>
      <c r="D951" s="1010"/>
      <c r="E951" s="1010"/>
      <c r="F951" s="1010"/>
      <c r="G951" s="1010"/>
      <c r="H951" s="1010"/>
      <c r="I951" s="1010"/>
      <c r="J951" s="1010"/>
      <c r="K951" s="1010"/>
      <c r="L951" s="1010"/>
      <c r="M951" s="1010"/>
      <c r="N951" s="1010"/>
      <c r="O951" s="1010"/>
      <c r="P951" s="1010"/>
      <c r="Q951" s="1010"/>
      <c r="R951" s="1010"/>
      <c r="S951" s="1010"/>
      <c r="T951" s="1010"/>
      <c r="U951" s="1010"/>
      <c r="V951" s="1010"/>
      <c r="W951" s="1010"/>
      <c r="X951" s="1010"/>
      <c r="Y951" s="1010"/>
      <c r="Z951" s="1010"/>
      <c r="AA951" s="1010"/>
      <c r="AB951" s="1010"/>
      <c r="AC951" s="1010"/>
      <c r="AD951" s="1010"/>
      <c r="AG951"/>
      <c r="AH951" s="920" t="s">
        <v>2620</v>
      </c>
    </row>
    <row r="952" spans="1:34" ht="15" customHeight="1">
      <c r="A952" s="94"/>
      <c r="C952" s="1010" t="s">
        <v>3664</v>
      </c>
      <c r="D952" s="1010"/>
      <c r="E952" s="1010"/>
      <c r="F952" s="1010"/>
      <c r="G952" s="1010"/>
      <c r="H952" s="1010"/>
      <c r="I952" s="1010"/>
      <c r="J952" s="1010"/>
      <c r="K952" s="1010"/>
      <c r="L952" s="1010"/>
      <c r="M952" s="1010"/>
      <c r="N952" s="1010"/>
      <c r="O952" s="1010"/>
      <c r="P952" s="1010"/>
      <c r="Q952" s="1010"/>
      <c r="R952" s="1010"/>
      <c r="S952" s="1010"/>
      <c r="T952" s="1010"/>
      <c r="U952" s="1010"/>
      <c r="V952" s="1010"/>
      <c r="W952" s="1010"/>
      <c r="X952" s="1010"/>
      <c r="Y952" s="1010"/>
      <c r="Z952" s="1010"/>
      <c r="AA952" s="1010"/>
      <c r="AB952" s="1010"/>
      <c r="AC952" s="1010"/>
      <c r="AD952" s="1010"/>
      <c r="AG952" s="349" t="s">
        <v>2586</v>
      </c>
      <c r="AH952" s="920"/>
    </row>
    <row r="953" spans="1:34" ht="15.75" thickBot="1">
      <c r="A953" s="94"/>
      <c r="AG953" s="283">
        <f>IF(AND(C961="X",COUNTA(C954:C960,C962)=0),0,IF(AND(C962="X",COUNTA(C954:C961)=0),0,IF(AND(COUNTA(C954:C960)&gt;0,C961="",C962=""),0,IF(COUNTA(C954:C962)=0,0,1))))</f>
        <v>0</v>
      </c>
      <c r="AH953" s="342">
        <f>IF(AND(C962="X",COUNTA(C954:C961)&gt;0),1,IF(AND(C961="X",COUNTA(C954:C960,C962)&gt;0),1,0))</f>
        <v>0</v>
      </c>
    </row>
    <row r="954" spans="1:34" ht="15" customHeight="1" thickBot="1">
      <c r="A954" s="94"/>
      <c r="C954" s="137"/>
      <c r="D954" s="54" t="s">
        <v>3665</v>
      </c>
      <c r="E954" s="136"/>
      <c r="F954" s="136"/>
      <c r="G954" s="136"/>
      <c r="H954" s="136"/>
      <c r="I954" s="136"/>
      <c r="J954" s="136"/>
      <c r="K954" s="136"/>
      <c r="L954" s="136"/>
      <c r="M954" s="136"/>
      <c r="N954" s="136"/>
      <c r="O954" s="136"/>
      <c r="P954" s="136"/>
      <c r="Q954" s="136"/>
      <c r="R954" s="136"/>
      <c r="AG954">
        <f>IF(AND(C960&lt;&gt;"",C960="X",COUNTA(L960)&gt;0),0,IF(AND(C960="",COUNTA(L960)=0),0,1))</f>
        <v>0</v>
      </c>
      <c r="AH954"/>
    </row>
    <row r="955" spans="1:34" ht="15" customHeight="1" thickBot="1">
      <c r="A955" s="94"/>
      <c r="C955" s="137"/>
      <c r="D955" s="54" t="s">
        <v>3666</v>
      </c>
      <c r="AG955" s="349">
        <f>SUM(AG953:AG954)</f>
        <v>0</v>
      </c>
      <c r="AH955"/>
    </row>
    <row r="956" spans="1:34" ht="15" customHeight="1" thickBot="1">
      <c r="A956" s="94"/>
      <c r="C956" s="137"/>
      <c r="D956" s="54" t="s">
        <v>3667</v>
      </c>
      <c r="E956" s="54"/>
      <c r="F956" s="54"/>
      <c r="G956" s="54"/>
      <c r="H956" s="54"/>
      <c r="I956" s="54"/>
      <c r="J956" s="54"/>
      <c r="K956" s="54"/>
      <c r="L956" s="54"/>
      <c r="M956" s="54"/>
      <c r="N956" s="54"/>
      <c r="O956" s="54"/>
      <c r="P956" s="54"/>
      <c r="Q956" s="54"/>
      <c r="R956" s="54"/>
      <c r="S956" s="54"/>
      <c r="T956" s="54"/>
      <c r="U956" s="54"/>
      <c r="V956" s="54"/>
      <c r="W956" s="54"/>
      <c r="X956" s="54"/>
      <c r="Y956" s="54"/>
      <c r="Z956" s="54"/>
      <c r="AA956" s="54"/>
      <c r="AB956" s="54"/>
      <c r="AC956" s="54"/>
      <c r="AD956" s="54"/>
    </row>
    <row r="957" spans="1:34" ht="15" customHeight="1" thickBot="1">
      <c r="A957" s="94"/>
      <c r="C957" s="137"/>
      <c r="D957" s="54" t="s">
        <v>3668</v>
      </c>
      <c r="E957" s="54"/>
      <c r="F957" s="54"/>
      <c r="G957" s="54"/>
      <c r="H957" s="54"/>
      <c r="I957" s="54"/>
      <c r="J957" s="54"/>
      <c r="K957" s="54"/>
      <c r="L957" s="54"/>
      <c r="M957" s="54"/>
      <c r="N957" s="54"/>
      <c r="O957" s="54"/>
      <c r="P957" s="54"/>
      <c r="Q957" s="54"/>
      <c r="R957" s="54"/>
      <c r="S957" s="54"/>
      <c r="T957" s="54"/>
      <c r="U957" s="54"/>
      <c r="V957" s="54"/>
      <c r="W957" s="54"/>
      <c r="X957" s="54"/>
      <c r="Y957" s="54"/>
      <c r="Z957" s="54"/>
      <c r="AA957" s="54"/>
      <c r="AB957" s="54"/>
      <c r="AC957" s="54"/>
      <c r="AD957" s="54"/>
    </row>
    <row r="958" spans="1:34" ht="15" customHeight="1" thickBot="1">
      <c r="A958" s="94"/>
      <c r="C958" s="137"/>
      <c r="D958" s="54" t="s">
        <v>3669</v>
      </c>
      <c r="E958" s="54"/>
      <c r="F958" s="54"/>
      <c r="G958" s="54"/>
      <c r="H958" s="54"/>
      <c r="I958" s="54"/>
      <c r="J958" s="54"/>
      <c r="K958" s="54"/>
      <c r="L958" s="54"/>
      <c r="M958" s="54"/>
      <c r="N958" s="54"/>
      <c r="O958" s="54"/>
      <c r="P958" s="54"/>
      <c r="Q958" s="54"/>
      <c r="R958" s="54"/>
      <c r="S958" s="54"/>
      <c r="T958" s="54"/>
      <c r="U958" s="54"/>
      <c r="V958" s="54"/>
      <c r="W958" s="54"/>
      <c r="X958" s="54"/>
      <c r="Y958" s="54"/>
      <c r="Z958" s="54"/>
      <c r="AA958" s="54"/>
      <c r="AB958" s="54"/>
      <c r="AC958" s="54"/>
      <c r="AD958" s="54"/>
    </row>
    <row r="959" spans="1:34" ht="24" customHeight="1" thickBot="1">
      <c r="A959" s="94"/>
      <c r="C959" s="137"/>
      <c r="D959" s="1011" t="s">
        <v>3670</v>
      </c>
      <c r="E959" s="1012"/>
      <c r="F959" s="1012"/>
      <c r="G959" s="1012"/>
      <c r="H959" s="1012"/>
      <c r="I959" s="1012"/>
      <c r="J959" s="1012"/>
      <c r="K959" s="1012"/>
      <c r="L959" s="1012"/>
      <c r="M959" s="1012"/>
      <c r="N959" s="1012"/>
      <c r="O959" s="1012"/>
      <c r="P959" s="1012"/>
      <c r="Q959" s="1012"/>
      <c r="R959" s="1012"/>
      <c r="S959" s="1012"/>
      <c r="T959" s="1012"/>
      <c r="U959" s="1012"/>
      <c r="V959" s="1012"/>
      <c r="W959" s="1012"/>
      <c r="X959" s="1012"/>
      <c r="Y959" s="1012"/>
      <c r="Z959" s="1012"/>
      <c r="AA959" s="1012"/>
      <c r="AB959" s="1012"/>
      <c r="AC959" s="1012"/>
      <c r="AD959" s="1012"/>
    </row>
    <row r="960" spans="1:34" ht="15" customHeight="1" thickBot="1">
      <c r="A960" s="94"/>
      <c r="C960" s="137"/>
      <c r="D960" s="54" t="s">
        <v>3671</v>
      </c>
      <c r="L960" s="737"/>
      <c r="M960" s="737"/>
      <c r="N960" s="737"/>
      <c r="O960" s="737"/>
      <c r="P960" s="737"/>
      <c r="Q960" s="737"/>
      <c r="R960" s="737"/>
      <c r="S960" s="737"/>
      <c r="T960" s="737"/>
      <c r="U960" s="737"/>
      <c r="V960" s="737"/>
      <c r="W960" s="737"/>
      <c r="X960" s="737"/>
      <c r="Y960" s="737"/>
      <c r="Z960" s="737"/>
      <c r="AA960" s="737"/>
      <c r="AB960" s="737"/>
      <c r="AC960" s="737"/>
      <c r="AD960" s="737"/>
    </row>
    <row r="961" spans="1:31" ht="15" customHeight="1" thickBot="1">
      <c r="A961" s="94"/>
      <c r="C961" s="137"/>
      <c r="D961" s="140" t="s">
        <v>3672</v>
      </c>
      <c r="E961" s="51"/>
      <c r="F961" s="51"/>
      <c r="G961" s="51"/>
      <c r="H961" s="51"/>
      <c r="I961" s="51"/>
      <c r="J961" s="51"/>
      <c r="K961" s="51"/>
      <c r="L961" s="51"/>
      <c r="M961" s="51"/>
      <c r="N961" s="51"/>
      <c r="O961" s="51"/>
      <c r="P961" s="51"/>
      <c r="Q961" s="51"/>
      <c r="R961" s="51"/>
      <c r="S961" s="51"/>
      <c r="T961" s="51"/>
      <c r="U961" s="51"/>
      <c r="V961" s="51"/>
      <c r="W961" s="51"/>
      <c r="X961" s="51"/>
      <c r="Y961" s="51"/>
      <c r="Z961" s="51"/>
      <c r="AA961" s="51"/>
      <c r="AB961" s="51"/>
      <c r="AC961" s="51"/>
      <c r="AD961" s="51"/>
    </row>
    <row r="962" spans="1:31" ht="15" customHeight="1" thickBot="1">
      <c r="A962" s="94"/>
      <c r="C962" s="137"/>
      <c r="D962" s="54" t="s">
        <v>3673</v>
      </c>
    </row>
    <row r="963" spans="1:31" ht="15" customHeight="1">
      <c r="A963" s="94"/>
    </row>
    <row r="964" spans="1:31" ht="24" customHeight="1">
      <c r="A964" s="94"/>
      <c r="C964" s="754" t="s">
        <v>2611</v>
      </c>
      <c r="D964" s="754"/>
      <c r="E964" s="754"/>
      <c r="F964" s="754"/>
      <c r="G964" s="754"/>
      <c r="H964" s="754"/>
      <c r="I964" s="754"/>
      <c r="J964" s="754"/>
      <c r="K964" s="754"/>
      <c r="L964" s="754"/>
      <c r="M964" s="754"/>
      <c r="N964" s="754"/>
      <c r="O964" s="754"/>
      <c r="P964" s="754"/>
      <c r="Q964" s="754"/>
      <c r="R964" s="754"/>
      <c r="S964" s="754"/>
      <c r="T964" s="754"/>
      <c r="U964" s="754"/>
      <c r="V964" s="754"/>
      <c r="W964" s="754"/>
      <c r="X964" s="754"/>
      <c r="Y964" s="754"/>
      <c r="Z964" s="754"/>
      <c r="AA964" s="754"/>
      <c r="AB964" s="754"/>
      <c r="AC964" s="754"/>
      <c r="AD964" s="754"/>
    </row>
    <row r="965" spans="1:31" ht="60" customHeight="1">
      <c r="A965" s="94"/>
      <c r="C965" s="851"/>
      <c r="D965" s="851"/>
      <c r="E965" s="851"/>
      <c r="F965" s="851"/>
      <c r="G965" s="851"/>
      <c r="H965" s="851"/>
      <c r="I965" s="851"/>
      <c r="J965" s="851"/>
      <c r="K965" s="851"/>
      <c r="L965" s="851"/>
      <c r="M965" s="851"/>
      <c r="N965" s="851"/>
      <c r="O965" s="851"/>
      <c r="P965" s="851"/>
      <c r="Q965" s="851"/>
      <c r="R965" s="851"/>
      <c r="S965" s="851"/>
      <c r="T965" s="851"/>
      <c r="U965" s="851"/>
      <c r="V965" s="851"/>
      <c r="W965" s="851"/>
      <c r="X965" s="851"/>
      <c r="Y965" s="851"/>
      <c r="Z965" s="851"/>
      <c r="AA965" s="851"/>
      <c r="AB965" s="851"/>
      <c r="AC965" s="851"/>
      <c r="AD965" s="851"/>
    </row>
    <row r="966" spans="1:31" ht="15">
      <c r="A966" s="94"/>
      <c r="B966" s="794" t="str">
        <f>IF(AG955&gt;0,"Favor de ingresar toda la información requerida en la pregunta y/o verifique que no tenga información en celdas sombreadas","")</f>
        <v/>
      </c>
      <c r="C966" s="794"/>
      <c r="D966" s="794"/>
      <c r="E966" s="794"/>
      <c r="F966" s="794"/>
      <c r="G966" s="794"/>
      <c r="H966" s="794"/>
      <c r="I966" s="794"/>
      <c r="J966" s="794"/>
      <c r="K966" s="794"/>
      <c r="L966" s="794"/>
      <c r="M966" s="794"/>
      <c r="N966" s="794"/>
      <c r="O966" s="794"/>
      <c r="P966" s="794"/>
      <c r="Q966" s="794"/>
      <c r="R966" s="794"/>
      <c r="S966" s="794"/>
      <c r="T966" s="794"/>
      <c r="U966" s="794"/>
      <c r="V966" s="794"/>
      <c r="W966" s="794"/>
      <c r="X966" s="794"/>
      <c r="Y966" s="794"/>
      <c r="Z966" s="794"/>
      <c r="AA966" s="794"/>
      <c r="AB966" s="794"/>
      <c r="AC966" s="794"/>
      <c r="AD966" s="794"/>
    </row>
    <row r="967" spans="1:31" ht="15">
      <c r="A967" s="94"/>
    </row>
    <row r="968" spans="1:31" ht="15">
      <c r="A968" s="94"/>
    </row>
    <row r="969" spans="1:31" ht="15">
      <c r="A969" s="94"/>
    </row>
    <row r="970" spans="1:31" ht="15">
      <c r="A970" s="94"/>
    </row>
    <row r="971" spans="1:31" ht="15.75" thickBot="1">
      <c r="A971" s="94"/>
    </row>
    <row r="972" spans="1:31" customFormat="1" ht="15" customHeight="1" thickBot="1">
      <c r="A972" s="153" t="s">
        <v>2563</v>
      </c>
      <c r="B972" s="943" t="s">
        <v>3674</v>
      </c>
      <c r="C972" s="944"/>
      <c r="D972" s="944"/>
      <c r="E972" s="944"/>
      <c r="F972" s="944"/>
      <c r="G972" s="944"/>
      <c r="H972" s="944"/>
      <c r="I972" s="944"/>
      <c r="J972" s="944"/>
      <c r="K972" s="944"/>
      <c r="L972" s="944"/>
      <c r="M972" s="944"/>
      <c r="N972" s="944"/>
      <c r="O972" s="944"/>
      <c r="P972" s="944"/>
      <c r="Q972" s="944"/>
      <c r="R972" s="944"/>
      <c r="S972" s="944"/>
      <c r="T972" s="944"/>
      <c r="U972" s="944"/>
      <c r="V972" s="944"/>
      <c r="W972" s="944"/>
      <c r="X972" s="944"/>
      <c r="Y972" s="944"/>
      <c r="Z972" s="944"/>
      <c r="AA972" s="944"/>
      <c r="AB972" s="944"/>
      <c r="AC972" s="944"/>
      <c r="AD972" s="945"/>
      <c r="AE972" s="3"/>
    </row>
    <row r="973" spans="1:31" ht="15" customHeight="1">
      <c r="A973" s="94"/>
      <c r="B973" s="946" t="s">
        <v>3675</v>
      </c>
      <c r="C973" s="867"/>
      <c r="D973" s="867"/>
      <c r="E973" s="867"/>
      <c r="F973" s="867"/>
      <c r="G973" s="867"/>
      <c r="H973" s="867"/>
      <c r="I973" s="867"/>
      <c r="J973" s="867"/>
      <c r="K973" s="867"/>
      <c r="L973" s="867"/>
      <c r="M973" s="867"/>
      <c r="N973" s="867"/>
      <c r="O973" s="867"/>
      <c r="P973" s="867"/>
      <c r="Q973" s="867"/>
      <c r="R973" s="867"/>
      <c r="S973" s="867"/>
      <c r="T973" s="867"/>
      <c r="U973" s="867"/>
      <c r="V973" s="867"/>
      <c r="W973" s="867"/>
      <c r="X973" s="867"/>
      <c r="Y973" s="867"/>
      <c r="Z973" s="867"/>
      <c r="AA973" s="867"/>
      <c r="AB973" s="867"/>
      <c r="AC973" s="867"/>
      <c r="AD973" s="947"/>
    </row>
    <row r="974" spans="1:31" ht="48" customHeight="1">
      <c r="A974" s="49"/>
      <c r="B974" s="133"/>
      <c r="C974" s="764" t="s">
        <v>3676</v>
      </c>
      <c r="D974" s="764"/>
      <c r="E974" s="764"/>
      <c r="F974" s="764"/>
      <c r="G974" s="764"/>
      <c r="H974" s="764"/>
      <c r="I974" s="764"/>
      <c r="J974" s="764"/>
      <c r="K974" s="764"/>
      <c r="L974" s="764"/>
      <c r="M974" s="764"/>
      <c r="N974" s="764"/>
      <c r="O974" s="764"/>
      <c r="P974" s="764"/>
      <c r="Q974" s="764"/>
      <c r="R974" s="764"/>
      <c r="S974" s="764"/>
      <c r="T974" s="764"/>
      <c r="U974" s="764"/>
      <c r="V974" s="764"/>
      <c r="W974" s="764"/>
      <c r="X974" s="764"/>
      <c r="Y974" s="764"/>
      <c r="Z974" s="764"/>
      <c r="AA974" s="764"/>
      <c r="AB974" s="764"/>
      <c r="AC974" s="764"/>
      <c r="AD974" s="765"/>
    </row>
    <row r="975" spans="1:31" ht="15">
      <c r="A975" s="94"/>
    </row>
    <row r="976" spans="1:31" ht="36" customHeight="1">
      <c r="A976" s="49" t="s">
        <v>3677</v>
      </c>
      <c r="B976" s="829" t="s">
        <v>3678</v>
      </c>
      <c r="C976" s="829"/>
      <c r="D976" s="829"/>
      <c r="E976" s="829"/>
      <c r="F976" s="829"/>
      <c r="G976" s="829"/>
      <c r="H976" s="829"/>
      <c r="I976" s="829"/>
      <c r="J976" s="829"/>
      <c r="K976" s="829"/>
      <c r="L976" s="829"/>
      <c r="M976" s="829"/>
      <c r="N976" s="829"/>
      <c r="O976" s="829"/>
      <c r="P976" s="829"/>
      <c r="Q976" s="829"/>
      <c r="R976" s="829"/>
      <c r="S976" s="829"/>
      <c r="T976" s="829"/>
      <c r="U976" s="829"/>
      <c r="V976" s="829"/>
      <c r="W976" s="829"/>
      <c r="X976" s="829"/>
      <c r="Y976" s="829"/>
      <c r="Z976" s="829"/>
      <c r="AA976" s="829"/>
      <c r="AB976" s="829"/>
      <c r="AC976" s="829"/>
      <c r="AD976" s="829"/>
    </row>
    <row r="977" spans="1:34" ht="15" customHeight="1">
      <c r="A977" s="94"/>
      <c r="C977" s="1013" t="s">
        <v>3663</v>
      </c>
      <c r="D977" s="1013"/>
      <c r="E977" s="1013"/>
      <c r="F977" s="1013"/>
      <c r="G977" s="1013"/>
      <c r="H977" s="1013"/>
      <c r="I977" s="1013"/>
      <c r="J977" s="1013"/>
      <c r="K977" s="1013"/>
      <c r="L977" s="1013"/>
      <c r="M977" s="1013"/>
      <c r="N977" s="1013"/>
      <c r="O977" s="1013"/>
      <c r="P977" s="1013"/>
      <c r="Q977" s="1013"/>
      <c r="R977" s="1013"/>
      <c r="S977" s="1013"/>
      <c r="T977" s="1013"/>
      <c r="U977" s="1013"/>
      <c r="V977" s="1013"/>
      <c r="W977" s="1013"/>
      <c r="X977" s="1013"/>
      <c r="Y977" s="1013"/>
      <c r="Z977" s="1013"/>
      <c r="AA977" s="1013"/>
      <c r="AB977" s="1013"/>
      <c r="AC977" s="1013"/>
      <c r="AD977" s="1013"/>
      <c r="AG977"/>
      <c r="AH977" s="920" t="s">
        <v>2620</v>
      </c>
    </row>
    <row r="978" spans="1:34" ht="15" customHeight="1">
      <c r="A978" s="146"/>
      <c r="C978" s="1010" t="s">
        <v>3664</v>
      </c>
      <c r="D978" s="1010"/>
      <c r="E978" s="1010"/>
      <c r="F978" s="1010"/>
      <c r="G978" s="1010"/>
      <c r="H978" s="1010"/>
      <c r="I978" s="1010"/>
      <c r="J978" s="1010"/>
      <c r="K978" s="1010"/>
      <c r="L978" s="1010"/>
      <c r="M978" s="1010"/>
      <c r="N978" s="1010"/>
      <c r="O978" s="1010"/>
      <c r="P978" s="1010"/>
      <c r="Q978" s="1010"/>
      <c r="R978" s="1010"/>
      <c r="S978" s="1010"/>
      <c r="T978" s="1010"/>
      <c r="U978" s="1010"/>
      <c r="V978" s="1010"/>
      <c r="W978" s="1010"/>
      <c r="X978" s="1010"/>
      <c r="Y978" s="1010"/>
      <c r="Z978" s="1010"/>
      <c r="AA978" s="1010"/>
      <c r="AB978" s="1010"/>
      <c r="AC978" s="1010"/>
      <c r="AD978" s="1010"/>
      <c r="AG978" s="349" t="s">
        <v>2586</v>
      </c>
      <c r="AH978" s="920"/>
    </row>
    <row r="979" spans="1:34" ht="15.75" thickBot="1">
      <c r="A979" s="94"/>
      <c r="AG979" s="283">
        <f>IF(AND(C987="X",COUNTA(C980:C986,C988)=0),0,IF(AND(C988="X",COUNTA(C980:C987)=0),0,IF(AND(COUNTA(C980:C986)&gt;0,C987="",C988=""),0,IF(COUNTA(C980:C988)=0,0,1))))</f>
        <v>0</v>
      </c>
      <c r="AH979" s="342">
        <f>IF(AND(C988="X",COUNTA(C980:C987)&gt;0),1,IF(AND(C987="X",COUNTA(C980:C986,C988)&gt;0),1,0))</f>
        <v>0</v>
      </c>
    </row>
    <row r="980" spans="1:34" ht="15.75" thickBot="1">
      <c r="A980" s="94"/>
      <c r="C980" s="135"/>
      <c r="D980" s="54" t="s">
        <v>3679</v>
      </c>
      <c r="E980" s="136"/>
      <c r="F980" s="136"/>
      <c r="G980" s="136"/>
      <c r="H980" s="136"/>
      <c r="I980" s="136"/>
      <c r="J980" s="136"/>
      <c r="K980" s="136"/>
      <c r="L980" s="136"/>
      <c r="M980" s="136"/>
      <c r="N980" s="136"/>
      <c r="O980" s="136"/>
      <c r="P980" s="136"/>
      <c r="Q980" s="136"/>
      <c r="R980" s="136"/>
      <c r="AG980">
        <f>IF(AND(C986&lt;&gt;"",C986="X",COUNTA(N986)&gt;0),0,IF(AND(C986="",COUNTA(N986)=0),0,1))</f>
        <v>0</v>
      </c>
      <c r="AH980"/>
    </row>
    <row r="981" spans="1:34" ht="15" customHeight="1" thickBot="1">
      <c r="A981" s="146"/>
      <c r="C981" s="137"/>
      <c r="D981" s="54" t="s">
        <v>3680</v>
      </c>
      <c r="AG981" s="349">
        <f>SUM(AG979:AG980)</f>
        <v>0</v>
      </c>
      <c r="AH981"/>
    </row>
    <row r="982" spans="1:34" ht="15.75" thickBot="1">
      <c r="A982" s="94"/>
      <c r="C982" s="138"/>
      <c r="D982" s="54" t="s">
        <v>3681</v>
      </c>
    </row>
    <row r="983" spans="1:34" ht="15.75" thickBot="1">
      <c r="A983" s="94"/>
      <c r="C983" s="137"/>
      <c r="D983" s="54" t="s">
        <v>3682</v>
      </c>
    </row>
    <row r="984" spans="1:34" ht="15.75" thickBot="1">
      <c r="A984" s="94"/>
      <c r="C984" s="137"/>
      <c r="D984" s="54" t="s">
        <v>3683</v>
      </c>
    </row>
    <row r="985" spans="1:34" ht="15.75" thickBot="1">
      <c r="A985" s="94"/>
      <c r="C985" s="137"/>
      <c r="D985" s="54" t="s">
        <v>3684</v>
      </c>
    </row>
    <row r="986" spans="1:34" ht="15.75" thickBot="1">
      <c r="A986" s="94"/>
      <c r="C986" s="138"/>
      <c r="D986" s="54" t="s">
        <v>3685</v>
      </c>
      <c r="N986" s="737"/>
      <c r="O986" s="737"/>
      <c r="P986" s="737"/>
      <c r="Q986" s="737"/>
      <c r="R986" s="737"/>
      <c r="S986" s="737"/>
      <c r="T986" s="737"/>
      <c r="U986" s="737"/>
      <c r="V986" s="737"/>
      <c r="W986" s="737"/>
      <c r="X986" s="737"/>
      <c r="Y986" s="737"/>
      <c r="Z986" s="737"/>
      <c r="AA986" s="737"/>
      <c r="AB986" s="737"/>
      <c r="AC986" s="737"/>
      <c r="AD986" s="737"/>
    </row>
    <row r="987" spans="1:34" ht="24" customHeight="1" thickBot="1">
      <c r="A987" s="94"/>
      <c r="C987" s="137"/>
      <c r="D987" s="965" t="s">
        <v>3686</v>
      </c>
      <c r="E987" s="731"/>
      <c r="F987" s="731"/>
      <c r="G987" s="731"/>
      <c r="H987" s="731"/>
      <c r="I987" s="731"/>
      <c r="J987" s="731"/>
      <c r="K987" s="731"/>
      <c r="L987" s="731"/>
      <c r="M987" s="731"/>
      <c r="N987" s="731"/>
      <c r="O987" s="731"/>
      <c r="P987" s="731"/>
      <c r="Q987" s="731"/>
      <c r="R987" s="731"/>
      <c r="S987" s="731"/>
      <c r="T987" s="731"/>
      <c r="U987" s="731"/>
      <c r="V987" s="731"/>
      <c r="W987" s="731"/>
      <c r="X987" s="731"/>
      <c r="Y987" s="731"/>
      <c r="Z987" s="731"/>
      <c r="AA987" s="731"/>
      <c r="AB987" s="731"/>
      <c r="AC987" s="731"/>
      <c r="AD987" s="731"/>
    </row>
    <row r="988" spans="1:34" ht="15.75" thickBot="1">
      <c r="A988" s="94"/>
      <c r="C988" s="137"/>
      <c r="D988" s="54" t="s">
        <v>3673</v>
      </c>
    </row>
    <row r="989" spans="1:34" ht="15">
      <c r="A989" s="94"/>
    </row>
    <row r="990" spans="1:34" ht="24" customHeight="1">
      <c r="A990" s="94"/>
      <c r="C990" s="754" t="s">
        <v>2611</v>
      </c>
      <c r="D990" s="754"/>
      <c r="E990" s="754"/>
      <c r="F990" s="754"/>
      <c r="G990" s="754"/>
      <c r="H990" s="754"/>
      <c r="I990" s="754"/>
      <c r="J990" s="754"/>
      <c r="K990" s="754"/>
      <c r="L990" s="754"/>
      <c r="M990" s="754"/>
      <c r="N990" s="754"/>
      <c r="O990" s="754"/>
      <c r="P990" s="754"/>
      <c r="Q990" s="754"/>
      <c r="R990" s="754"/>
      <c r="S990" s="754"/>
      <c r="T990" s="754"/>
      <c r="U990" s="754"/>
      <c r="V990" s="754"/>
      <c r="W990" s="754"/>
      <c r="X990" s="754"/>
      <c r="Y990" s="754"/>
      <c r="Z990" s="754"/>
      <c r="AA990" s="754"/>
      <c r="AB990" s="754"/>
      <c r="AC990" s="754"/>
      <c r="AD990" s="754"/>
    </row>
    <row r="991" spans="1:34" ht="60" customHeight="1">
      <c r="A991" s="94"/>
      <c r="C991" s="851"/>
      <c r="D991" s="851"/>
      <c r="E991" s="851"/>
      <c r="F991" s="851"/>
      <c r="G991" s="851"/>
      <c r="H991" s="851"/>
      <c r="I991" s="851"/>
      <c r="J991" s="851"/>
      <c r="K991" s="851"/>
      <c r="L991" s="851"/>
      <c r="M991" s="851"/>
      <c r="N991" s="851"/>
      <c r="O991" s="851"/>
      <c r="P991" s="851"/>
      <c r="Q991" s="851"/>
      <c r="R991" s="851"/>
      <c r="S991" s="851"/>
      <c r="T991" s="851"/>
      <c r="U991" s="851"/>
      <c r="V991" s="851"/>
      <c r="W991" s="851"/>
      <c r="X991" s="851"/>
      <c r="Y991" s="851"/>
      <c r="Z991" s="851"/>
      <c r="AA991" s="851"/>
      <c r="AB991" s="851"/>
      <c r="AC991" s="851"/>
      <c r="AD991" s="851"/>
    </row>
    <row r="992" spans="1:34" ht="15">
      <c r="A992" s="94"/>
      <c r="B992" s="794" t="str">
        <f>IF(AG981&gt;0,"Favor de ingresar toda la información requerida en la pregunta y/o verifique que no tenga información en celdas sombreadas","")</f>
        <v/>
      </c>
      <c r="C992" s="794"/>
      <c r="D992" s="794"/>
      <c r="E992" s="794"/>
      <c r="F992" s="794"/>
      <c r="G992" s="794"/>
      <c r="H992" s="794"/>
      <c r="I992" s="794"/>
      <c r="J992" s="794"/>
      <c r="K992" s="794"/>
      <c r="L992" s="794"/>
      <c r="M992" s="794"/>
      <c r="N992" s="794"/>
      <c r="O992" s="794"/>
      <c r="P992" s="794"/>
      <c r="Q992" s="794"/>
      <c r="R992" s="794"/>
      <c r="S992" s="794"/>
      <c r="T992" s="794"/>
      <c r="U992" s="794"/>
      <c r="V992" s="794"/>
      <c r="W992" s="794"/>
      <c r="X992" s="794"/>
      <c r="Y992" s="794"/>
      <c r="Z992" s="794"/>
      <c r="AA992" s="794"/>
      <c r="AB992" s="794"/>
      <c r="AC992" s="794"/>
      <c r="AD992" s="794"/>
    </row>
    <row r="993" spans="1:102" ht="15">
      <c r="A993" s="94"/>
    </row>
    <row r="994" spans="1:102" ht="15">
      <c r="A994" s="94"/>
    </row>
    <row r="995" spans="1:102" ht="15">
      <c r="A995" s="94"/>
    </row>
    <row r="996" spans="1:102" ht="15">
      <c r="A996" s="94"/>
    </row>
    <row r="997" spans="1:102" ht="15">
      <c r="A997" s="94"/>
    </row>
    <row r="998" spans="1:102" ht="36" customHeight="1">
      <c r="A998" s="49" t="s">
        <v>3687</v>
      </c>
      <c r="B998" s="829" t="s">
        <v>3688</v>
      </c>
      <c r="C998" s="829"/>
      <c r="D998" s="829"/>
      <c r="E998" s="829"/>
      <c r="F998" s="829"/>
      <c r="G998" s="829"/>
      <c r="H998" s="829"/>
      <c r="I998" s="829"/>
      <c r="J998" s="829"/>
      <c r="K998" s="829"/>
      <c r="L998" s="829"/>
      <c r="M998" s="829"/>
      <c r="N998" s="829"/>
      <c r="O998" s="829"/>
      <c r="P998" s="829"/>
      <c r="Q998" s="829"/>
      <c r="R998" s="829"/>
      <c r="S998" s="829"/>
      <c r="T998" s="829"/>
      <c r="U998" s="829"/>
      <c r="V998" s="829"/>
      <c r="W998" s="829"/>
      <c r="X998" s="829"/>
      <c r="Y998" s="829"/>
      <c r="Z998" s="829"/>
      <c r="AA998" s="829"/>
      <c r="AB998" s="829"/>
      <c r="AC998" s="829"/>
      <c r="AD998" s="829"/>
    </row>
    <row r="999" spans="1:102" ht="15">
      <c r="A999" s="94"/>
    </row>
    <row r="1000" spans="1:102" ht="15" customHeight="1">
      <c r="A1000" s="94"/>
      <c r="AA1000" s="875" t="s">
        <v>3205</v>
      </c>
      <c r="AB1000" s="875"/>
      <c r="AC1000" s="875"/>
      <c r="AD1000" s="875"/>
    </row>
    <row r="1001" spans="1:102" ht="24" customHeight="1">
      <c r="A1001" s="103"/>
      <c r="B1001" s="113"/>
      <c r="C1001" s="797" t="s">
        <v>2581</v>
      </c>
      <c r="D1001" s="798"/>
      <c r="E1001" s="798"/>
      <c r="F1001" s="798"/>
      <c r="G1001" s="798"/>
      <c r="H1001" s="798"/>
      <c r="I1001" s="798"/>
      <c r="J1001" s="739" t="s">
        <v>3689</v>
      </c>
      <c r="K1001" s="740"/>
      <c r="L1001" s="740"/>
      <c r="M1001" s="740"/>
      <c r="N1001" s="740"/>
      <c r="O1001" s="740"/>
      <c r="P1001" s="740"/>
      <c r="Q1001" s="740"/>
      <c r="R1001" s="740"/>
      <c r="S1001" s="740"/>
      <c r="T1001" s="740"/>
      <c r="U1001" s="740"/>
      <c r="V1001" s="740"/>
      <c r="W1001" s="740"/>
      <c r="X1001" s="740"/>
      <c r="Y1001" s="740"/>
      <c r="Z1001" s="740"/>
      <c r="AA1001" s="740"/>
      <c r="AB1001" s="740"/>
      <c r="AC1001" s="740"/>
      <c r="AD1001" s="741"/>
    </row>
    <row r="1002" spans="1:102" ht="15" customHeight="1">
      <c r="A1002" s="103"/>
      <c r="B1002" s="113"/>
      <c r="C1002" s="800"/>
      <c r="D1002" s="801"/>
      <c r="E1002" s="801"/>
      <c r="F1002" s="801"/>
      <c r="G1002" s="801"/>
      <c r="H1002" s="801"/>
      <c r="I1002" s="801"/>
      <c r="J1002" s="887" t="s">
        <v>2628</v>
      </c>
      <c r="K1002" s="889" t="s">
        <v>2629</v>
      </c>
      <c r="L1002" s="889" t="s">
        <v>2630</v>
      </c>
      <c r="M1002" s="841" t="s">
        <v>3267</v>
      </c>
      <c r="N1002" s="950"/>
      <c r="O1002" s="842"/>
      <c r="P1002" s="733" t="s">
        <v>3268</v>
      </c>
      <c r="Q1002" s="734"/>
      <c r="R1002" s="734"/>
      <c r="S1002" s="734"/>
      <c r="T1002" s="734"/>
      <c r="U1002" s="734"/>
      <c r="V1002" s="734"/>
      <c r="W1002" s="734"/>
      <c r="X1002" s="734"/>
      <c r="Y1002" s="734"/>
      <c r="Z1002" s="734"/>
      <c r="AA1002" s="734"/>
      <c r="AB1002" s="734"/>
      <c r="AC1002" s="734"/>
      <c r="AD1002" s="735"/>
    </row>
    <row r="1003" spans="1:102" ht="15" customHeight="1">
      <c r="A1003" s="103"/>
      <c r="B1003" s="113"/>
      <c r="C1003" s="800"/>
      <c r="D1003" s="801"/>
      <c r="E1003" s="801"/>
      <c r="F1003" s="801"/>
      <c r="G1003" s="801"/>
      <c r="H1003" s="801"/>
      <c r="I1003" s="801"/>
      <c r="J1003" s="958"/>
      <c r="K1003" s="959"/>
      <c r="L1003" s="959"/>
      <c r="M1003" s="843"/>
      <c r="N1003" s="951"/>
      <c r="O1003" s="844"/>
      <c r="P1003" s="733" t="s">
        <v>3269</v>
      </c>
      <c r="Q1003" s="734"/>
      <c r="R1003" s="734"/>
      <c r="S1003" s="734"/>
      <c r="T1003" s="734"/>
      <c r="U1003" s="734"/>
      <c r="V1003" s="734"/>
      <c r="W1003" s="734"/>
      <c r="X1003" s="734"/>
      <c r="Y1003" s="734"/>
      <c r="Z1003" s="734"/>
      <c r="AA1003" s="734"/>
      <c r="AB1003" s="734"/>
      <c r="AC1003" s="734"/>
      <c r="AD1003" s="735"/>
    </row>
    <row r="1004" spans="1:102" ht="84" customHeight="1">
      <c r="A1004" s="103"/>
      <c r="C1004" s="800"/>
      <c r="D1004" s="801"/>
      <c r="E1004" s="801"/>
      <c r="F1004" s="801"/>
      <c r="G1004" s="801"/>
      <c r="H1004" s="801"/>
      <c r="I1004" s="802"/>
      <c r="J1004" s="958"/>
      <c r="K1004" s="959"/>
      <c r="L1004" s="959"/>
      <c r="M1004" s="845"/>
      <c r="N1004" s="952"/>
      <c r="O1004" s="846"/>
      <c r="P1004" s="859" t="s">
        <v>3270</v>
      </c>
      <c r="Q1004" s="859"/>
      <c r="R1004" s="860"/>
      <c r="S1004" s="858" t="s">
        <v>3271</v>
      </c>
      <c r="T1004" s="859"/>
      <c r="U1004" s="860"/>
      <c r="V1004" s="858" t="s">
        <v>3272</v>
      </c>
      <c r="W1004" s="859"/>
      <c r="X1004" s="860"/>
      <c r="Y1004" s="858" t="s">
        <v>3273</v>
      </c>
      <c r="Z1004" s="859"/>
      <c r="AA1004" s="860"/>
      <c r="AB1004" s="858" t="s">
        <v>3274</v>
      </c>
      <c r="AC1004" s="859"/>
      <c r="AD1004" s="860"/>
    </row>
    <row r="1005" spans="1:102" ht="48" customHeight="1">
      <c r="A1005" s="103"/>
      <c r="C1005" s="803"/>
      <c r="D1005" s="804"/>
      <c r="E1005" s="804"/>
      <c r="F1005" s="804"/>
      <c r="G1005" s="804"/>
      <c r="H1005" s="804"/>
      <c r="I1005" s="805"/>
      <c r="J1005" s="888"/>
      <c r="K1005" s="890"/>
      <c r="L1005" s="890"/>
      <c r="M1005" s="127" t="s">
        <v>2635</v>
      </c>
      <c r="N1005" s="128" t="s">
        <v>2629</v>
      </c>
      <c r="O1005" s="128" t="s">
        <v>2630</v>
      </c>
      <c r="P1005" s="127" t="s">
        <v>2635</v>
      </c>
      <c r="Q1005" s="128" t="s">
        <v>2629</v>
      </c>
      <c r="R1005" s="128" t="s">
        <v>2630</v>
      </c>
      <c r="S1005" s="127" t="s">
        <v>2635</v>
      </c>
      <c r="T1005" s="128" t="s">
        <v>2629</v>
      </c>
      <c r="U1005" s="128" t="s">
        <v>2630</v>
      </c>
      <c r="V1005" s="127" t="s">
        <v>2635</v>
      </c>
      <c r="W1005" s="128" t="s">
        <v>2629</v>
      </c>
      <c r="X1005" s="128" t="s">
        <v>2630</v>
      </c>
      <c r="Y1005" s="127" t="s">
        <v>2635</v>
      </c>
      <c r="Z1005" s="128" t="s">
        <v>2629</v>
      </c>
      <c r="AA1005" s="128" t="s">
        <v>2630</v>
      </c>
      <c r="AB1005" s="127" t="s">
        <v>2635</v>
      </c>
      <c r="AC1005" s="128" t="s">
        <v>2629</v>
      </c>
      <c r="AD1005" s="128" t="s">
        <v>2630</v>
      </c>
      <c r="AG1005" s="354" t="s">
        <v>2586</v>
      </c>
      <c r="AH1005" s="282" t="s">
        <v>2637</v>
      </c>
      <c r="AI1005" s="280" t="s">
        <v>2638</v>
      </c>
      <c r="AJ1005" s="281" t="s">
        <v>2639</v>
      </c>
      <c r="AK1005" s="282" t="s">
        <v>2640</v>
      </c>
      <c r="AL1005" s="280" t="s">
        <v>2641</v>
      </c>
      <c r="AM1005" s="281" t="s">
        <v>2642</v>
      </c>
      <c r="AN1005" s="282" t="s">
        <v>2643</v>
      </c>
      <c r="AO1005" s="280" t="s">
        <v>2644</v>
      </c>
      <c r="AP1005" s="281" t="s">
        <v>2645</v>
      </c>
      <c r="AQ1005" s="282" t="s">
        <v>2646</v>
      </c>
      <c r="AR1005" s="280" t="s">
        <v>2647</v>
      </c>
      <c r="AS1005" s="281" t="s">
        <v>2648</v>
      </c>
      <c r="AT1005" s="282" t="s">
        <v>2756</v>
      </c>
      <c r="AU1005" s="280" t="s">
        <v>2757</v>
      </c>
      <c r="AV1005" s="281" t="s">
        <v>2758</v>
      </c>
      <c r="AW1005" s="282" t="s">
        <v>2759</v>
      </c>
      <c r="AX1005" s="280" t="s">
        <v>2760</v>
      </c>
      <c r="AY1005" s="281" t="s">
        <v>2761</v>
      </c>
      <c r="AZ1005" s="282" t="s">
        <v>2762</v>
      </c>
      <c r="BA1005" s="280" t="s">
        <v>2763</v>
      </c>
      <c r="BB1005" s="281" t="s">
        <v>2764</v>
      </c>
      <c r="BC1005" s="282" t="s">
        <v>2765</v>
      </c>
      <c r="BD1005" s="280" t="s">
        <v>2766</v>
      </c>
      <c r="BE1005" s="281" t="s">
        <v>2767</v>
      </c>
      <c r="BF1005" s="282" t="s">
        <v>2768</v>
      </c>
      <c r="BG1005" s="280" t="s">
        <v>2769</v>
      </c>
      <c r="BH1005" s="281" t="s">
        <v>2770</v>
      </c>
      <c r="BI1005" s="282" t="s">
        <v>2771</v>
      </c>
      <c r="BJ1005" s="280" t="s">
        <v>2772</v>
      </c>
      <c r="BK1005" s="281" t="s">
        <v>2773</v>
      </c>
      <c r="BL1005" s="282" t="s">
        <v>2774</v>
      </c>
      <c r="BM1005" s="280" t="s">
        <v>2775</v>
      </c>
      <c r="BN1005" s="281" t="s">
        <v>2776</v>
      </c>
      <c r="BO1005" s="282" t="s">
        <v>3212</v>
      </c>
      <c r="BP1005" s="280" t="s">
        <v>3213</v>
      </c>
      <c r="BQ1005" s="281" t="s">
        <v>3214</v>
      </c>
      <c r="BR1005" s="282" t="s">
        <v>3215</v>
      </c>
      <c r="BS1005" s="280" t="s">
        <v>3216</v>
      </c>
      <c r="BT1005" s="281" t="s">
        <v>3217</v>
      </c>
      <c r="BU1005" s="282" t="s">
        <v>3218</v>
      </c>
      <c r="BV1005" s="280" t="s">
        <v>3219</v>
      </c>
      <c r="BW1005" s="281" t="s">
        <v>3220</v>
      </c>
      <c r="BX1005" s="282" t="s">
        <v>3221</v>
      </c>
      <c r="BY1005" s="280" t="s">
        <v>3222</v>
      </c>
      <c r="BZ1005" s="281" t="s">
        <v>3223</v>
      </c>
      <c r="CA1005" s="282" t="s">
        <v>3224</v>
      </c>
      <c r="CB1005" s="280" t="s">
        <v>3225</v>
      </c>
      <c r="CC1005" s="281" t="s">
        <v>3226</v>
      </c>
      <c r="CD1005" s="282" t="s">
        <v>3227</v>
      </c>
      <c r="CE1005" s="280" t="s">
        <v>3228</v>
      </c>
      <c r="CF1005" s="281" t="s">
        <v>3229</v>
      </c>
      <c r="CG1005" s="282" t="s">
        <v>3230</v>
      </c>
      <c r="CH1005" s="280" t="s">
        <v>3231</v>
      </c>
      <c r="CI1005" s="281" t="s">
        <v>3232</v>
      </c>
      <c r="CJ1005" s="282" t="s">
        <v>3275</v>
      </c>
      <c r="CK1005" s="280" t="s">
        <v>3276</v>
      </c>
      <c r="CL1005" s="281" t="s">
        <v>3277</v>
      </c>
      <c r="CM1005" s="282" t="s">
        <v>3278</v>
      </c>
      <c r="CN1005" s="280" t="s">
        <v>3279</v>
      </c>
      <c r="CO1005" s="281" t="s">
        <v>3280</v>
      </c>
      <c r="CP1005" s="282" t="s">
        <v>3281</v>
      </c>
      <c r="CQ1005" s="280" t="s">
        <v>3282</v>
      </c>
      <c r="CR1005" s="281" t="s">
        <v>3283</v>
      </c>
      <c r="CS1005" s="282" t="s">
        <v>3284</v>
      </c>
      <c r="CT1005" s="280" t="s">
        <v>3285</v>
      </c>
      <c r="CU1005" s="281" t="s">
        <v>3286</v>
      </c>
      <c r="CV1005" s="282" t="s">
        <v>3287</v>
      </c>
      <c r="CW1005" s="280" t="s">
        <v>3288</v>
      </c>
      <c r="CX1005" s="281" t="s">
        <v>3289</v>
      </c>
    </row>
    <row r="1006" spans="1:102" ht="15" customHeight="1">
      <c r="A1006" s="49"/>
      <c r="B1006" s="90"/>
      <c r="C1006" s="97" t="s">
        <v>2516</v>
      </c>
      <c r="D1006" s="813" t="str">
        <f>IF(CNSIPEE_2024_M2_Secc1!D42="","",CNSIPEE_2024_M2_Secc1!D42)</f>
        <v/>
      </c>
      <c r="E1006" s="814"/>
      <c r="F1006" s="814"/>
      <c r="G1006" s="814"/>
      <c r="H1006" s="814"/>
      <c r="I1006" s="815"/>
      <c r="J1006" s="100"/>
      <c r="K1006" s="100"/>
      <c r="L1006" s="100"/>
      <c r="M1006" s="100"/>
      <c r="N1006" s="100"/>
      <c r="O1006" s="100"/>
      <c r="P1006" s="100"/>
      <c r="Q1006" s="100"/>
      <c r="R1006" s="100"/>
      <c r="S1006" s="100"/>
      <c r="T1006" s="100"/>
      <c r="U1006" s="100"/>
      <c r="V1006" s="100"/>
      <c r="W1006" s="100"/>
      <c r="X1006" s="100"/>
      <c r="Y1006" s="100"/>
      <c r="Z1006" s="100"/>
      <c r="AA1006" s="100"/>
      <c r="AB1006" s="100"/>
      <c r="AC1006" s="100"/>
      <c r="AD1006" s="100"/>
      <c r="AG1006" s="326">
        <f>IF(AND($C$987="X",COUNTA(J1006:AD1006,G1022:AD1022,G1038:AD1038)=0),0,IF(AND(COUNTBLANK(D1006)=0,COUNTA(J1006:AD1006,G1022:AD1022,G1038:AD1038)=69),0,IF(AND(COUNTBLANK(D1006)=1,COUNTA(J1006:AD1006,G1022:AD1022,G1038:AD1038)=0),0,1)))</f>
        <v>0</v>
      </c>
      <c r="AH1006" s="283">
        <f>COUNTIF(K1006:L1006,"NS")</f>
        <v>0</v>
      </c>
      <c r="AI1006" s="283">
        <f>SUM(K1006:L1006)</f>
        <v>0</v>
      </c>
      <c r="AJ1006" s="283">
        <f>IF(COUNTIF(J1006:L1006,"NA")=3,0,IF(COUNTA(J1006:L1006)=0,0,IF(OR(AND(J1006=0,AH1006&gt;0),AND(J1006="ns",AI1006&gt;0),AND(J1006="ns",AH1006=0,AI1006=0)),1,IF(OR(AND(J1006&gt;0,AH1006=2),AND(J1006="ns",AH1006=2),AND(J1006="ns",AI1006=0,AH1006&gt;0),J1006=AI1006),0,1))))</f>
        <v>0</v>
      </c>
      <c r="AK1006" s="283">
        <f>COUNTIF(N1006:O1006,"NS")</f>
        <v>0</v>
      </c>
      <c r="AL1006" s="283">
        <f>SUM(N1006:O1006)</f>
        <v>0</v>
      </c>
      <c r="AM1006" s="283">
        <f>IF(COUNTIF(M1006:O1006,"NA")=3,0,IF(COUNTA(M1006:O1006)=0,0,IF(OR(AND(M1006=0,AK1006&gt;0),AND(M1006="ns",AL1006&gt;0),AND(M1006="ns",AK1006=0,AL1006=0)),1,IF(OR(AND(M1006&gt;0,AK1006=2),AND(M1006="ns",AK1006=2),AND(M1006="ns",AL1006=0,AK1006&gt;0),M1006=AL1006),0,1))))</f>
        <v>0</v>
      </c>
      <c r="AN1006" s="283">
        <f t="shared" ref="AN1006" si="719">COUNTIF(Q1006:R1006,"NS")</f>
        <v>0</v>
      </c>
      <c r="AO1006" s="283">
        <f t="shared" ref="AO1006" si="720">SUM(Q1006:R1006)</f>
        <v>0</v>
      </c>
      <c r="AP1006" s="283">
        <f t="shared" ref="AP1006" si="721">IF(COUNTIF(P1006:R1006,"NA")=3,0,IF(COUNTA(P1006:R1006)=0,0,IF(OR(AND(P1006=0,AN1006&gt;0),AND(P1006="ns",AO1006&gt;0),AND(P1006="ns",AN1006=0,AO1006=0)),1,IF(OR(AND(P1006&gt;0,AN1006=2),AND(P1006="ns",AN1006=2),AND(P1006="ns",AO1006=0,AN1006&gt;0),P1006=AO1006),0,1))))</f>
        <v>0</v>
      </c>
      <c r="AQ1006" s="283">
        <f t="shared" ref="AQ1006" si="722">COUNTIF(T1006:U1006,"NS")</f>
        <v>0</v>
      </c>
      <c r="AR1006" s="283">
        <f t="shared" ref="AR1006" si="723">SUM(T1006:U1006)</f>
        <v>0</v>
      </c>
      <c r="AS1006" s="283">
        <f t="shared" ref="AS1006" si="724">IF(COUNTIF(S1006:U1006,"NA")=3,0,IF(COUNTA(S1006:U1006)=0,0,IF(OR(AND(S1006=0,AQ1006&gt;0),AND(S1006="ns",AR1006&gt;0),AND(S1006="ns",AQ1006=0,AR1006=0)),1,IF(OR(AND(S1006&gt;0,AQ1006=2),AND(S1006="ns",AQ1006=2),AND(S1006="ns",AR1006=0,AQ1006&gt;0),S1006=AR1006),0,1))))</f>
        <v>0</v>
      </c>
      <c r="AT1006" s="283">
        <f t="shared" ref="AT1006" si="725">COUNTIF(W1006:X1006,"NS")</f>
        <v>0</v>
      </c>
      <c r="AU1006" s="283">
        <f t="shared" ref="AU1006" si="726">SUM(W1006:X1006)</f>
        <v>0</v>
      </c>
      <c r="AV1006" s="283">
        <f t="shared" ref="AV1006" si="727">IF(COUNTIF(V1006:X1006,"NA")=3,0,IF(COUNTA(V1006:X1006)=0,0,IF(OR(AND(V1006=0,AT1006&gt;0),AND(V1006="ns",AU1006&gt;0),AND(V1006="ns",AT1006=0,AU1006=0)),1,IF(OR(AND(V1006&gt;0,AT1006=2),AND(V1006="ns",AT1006=2),AND(V1006="ns",AU1006=0,AT1006&gt;0),V1006=AU1006),0,1))))</f>
        <v>0</v>
      </c>
      <c r="AW1006" s="283">
        <f t="shared" ref="AW1006" si="728">COUNTIF(Z1006:AA1006,"NS")</f>
        <v>0</v>
      </c>
      <c r="AX1006" s="283">
        <f t="shared" ref="AX1006" si="729">SUM(Z1006:AA1006)</f>
        <v>0</v>
      </c>
      <c r="AY1006" s="283">
        <f t="shared" ref="AY1006" si="730">IF(COUNTIF(Y1006:AA1006,"NA")=3,0,IF(COUNTA(Y1006:AA1006)=0,0,IF(OR(AND(Y1006=0,AW1006&gt;0),AND(Y1006="ns",AX1006&gt;0),AND(Y1006="ns",AW1006=0,AX1006=0)),1,IF(OR(AND(Y1006&gt;0,AW1006=2),AND(Y1006="ns",AW1006=2),AND(Y1006="ns",AX1006=0,AW1006&gt;0),Y1006=AX1006),0,1))))</f>
        <v>0</v>
      </c>
      <c r="AZ1006" s="283">
        <f t="shared" ref="AZ1006" si="731">COUNTIF(AC1006:AD1006,"NS")</f>
        <v>0</v>
      </c>
      <c r="BA1006" s="283">
        <f t="shared" ref="BA1006" si="732">SUM(AC1006:AD1006)</f>
        <v>0</v>
      </c>
      <c r="BB1006" s="283">
        <f>IF(COUNTIF(AB1006:AD1006,"NA")=3,0,IF(COUNTA(AB1006:AD1006)=0,0,IF(OR(AND(AB1006=0,AZ1006&gt;0),AND(AB1006="ns",BA1006&gt;0),AND(AB1006="ns",AZ1006=0,BA1006=0)),1,IF(OR(AND(AB1006&gt;0,AZ1006=2),AND(AB1006="ns",AZ1006=2),AND(AB1006="ns",BA1006=0,AZ1006&gt;0),AB1006=BA1006),0,1))))</f>
        <v>0</v>
      </c>
      <c r="BC1006" s="283">
        <f>COUNTIF(H1022:I1022,"NS")</f>
        <v>0</v>
      </c>
      <c r="BD1006" s="283">
        <f>SUM(H1022:I1022)</f>
        <v>0</v>
      </c>
      <c r="BE1006" s="283">
        <f>IF(COUNTIF(G1022:I1022,"NA")=3,0,IF(COUNTA(G1022:I1022)=0,0,IF(OR(AND(G1022=0,BC1006&gt;0),AND(G1022="ns",BD1006&gt;0),AND(G1022="ns",BC1006=0,BD1006=0)),1,IF(OR(AND(G1022&gt;0,BC1006=2),AND(G1022="ns",BC1006=2),AND(G1022="ns",BD1006=0,BC1006&gt;0),G1039=BD1006),0,1))))</f>
        <v>0</v>
      </c>
      <c r="BF1006" s="283">
        <f>COUNTIF(K1022:L1022,"NS")</f>
        <v>0</v>
      </c>
      <c r="BG1006" s="283">
        <f>SUM(K1022:L1022)</f>
        <v>0</v>
      </c>
      <c r="BH1006" s="283">
        <f>IF(COUNTIF(J1022:L1022,"NA")=3,0,IF(COUNTA(J1022:L1022)=0,0,IF(OR(AND(J1022=0,BF1006&gt;0),AND(J1022="ns",BG1006&gt;0),AND(J1022="ns",BF1006=0,BG1006=0)),1,IF(OR(AND(J1022&gt;0,BF1006=2),AND(J1022="ns",BF1006=2),AND(J1022="ns",BG1006=0,BF1006&gt;0),J1039=BG1006),0,1))))</f>
        <v>0</v>
      </c>
      <c r="BI1006" s="283">
        <f>COUNTIF(N1022:O1022,"NS")</f>
        <v>0</v>
      </c>
      <c r="BJ1006" s="283">
        <f>SUM(N1022:O1022)</f>
        <v>0</v>
      </c>
      <c r="BK1006" s="283">
        <f>IF(COUNTIF(M1022:O1022,"NA")=3,0,IF(COUNTA(M1022:O1022)=0,0,IF(OR(AND(M1022=0,BI1006&gt;0),AND(M1022="ns",BJ1006&gt;0),AND(M1022="ns",BI1006=0,BJ1006=0)),1,IF(OR(AND(M1022&gt;0,BI1006=2),AND(M1022="ns",BI1006=2),AND(M1022="ns",BJ1006=0,BI1006&gt;0),M1039=BJ1006),0,1))))</f>
        <v>0</v>
      </c>
      <c r="BL1006" s="283">
        <f>COUNTIF(Q1022:R1022,"NS")</f>
        <v>0</v>
      </c>
      <c r="BM1006" s="283">
        <f>SUM(Q1022:R1022)</f>
        <v>0</v>
      </c>
      <c r="BN1006" s="283">
        <f>IF(COUNTIF(P1022:R1022,"NA")=3,0,IF(COUNTA(P1022:R1022)=0,0,IF(OR(AND(P1022=0,BL1006&gt;0),AND(P1022="ns",BM1006&gt;0),AND(P1022="ns",BL1006=0,BM1006=0)),1,IF(OR(AND(P1022&gt;0,BL1006=2),AND(P1022="ns",BL1006=2),AND(P1022="ns",BM1006=0,BL1006&gt;0),P1039=BM1006),0,1))))</f>
        <v>0</v>
      </c>
      <c r="BO1006" s="283">
        <f>COUNTIF(T1022:U1022,"NS")</f>
        <v>0</v>
      </c>
      <c r="BP1006" s="283">
        <f>SUM(T1022:U1022)</f>
        <v>0</v>
      </c>
      <c r="BQ1006" s="283">
        <f>IF(COUNTIF(S1022:U1022,"NA")=3,0,IF(COUNTA(S1022:U1022)=0,0,IF(OR(AND(S1022=0,BO1006&gt;0),AND(S1022="ns",BP1006&gt;0),AND(S1022="ns",BO1006=0,BP1006=0)),1,IF(OR(AND(S1022&gt;0,BO1006=2),AND(S1022="ns",BO1006=2),AND(S1022="ns",BP1006=0,BO1006&gt;0),S1039=BP1006),0,1))))</f>
        <v>0</v>
      </c>
      <c r="BR1006" s="283">
        <f>COUNTIF(W1022:X1022,"NS")</f>
        <v>0</v>
      </c>
      <c r="BS1006" s="283">
        <f>SUM(W1022:X1022)</f>
        <v>0</v>
      </c>
      <c r="BT1006" s="283">
        <f>IF(COUNTIF(V1022:X1022,"NA")=3,0,IF(COUNTA(V1022:X1022)=0,0,IF(OR(AND(V1022=0,BR1006&gt;0),AND(V1022="ns",BS1006&gt;0),AND(V1022="ns",BR1006=0,BS1006=0)),1,IF(OR(AND(V1022&gt;0,BR1006=2),AND(V1022="ns",BR1006=2),AND(V1022="ns",BS1006=0,BR1006&gt;0),V1039=BS1006),0,1))))</f>
        <v>0</v>
      </c>
      <c r="BU1006" s="283">
        <f>COUNTIF(Z1022:AA1022,"NS")</f>
        <v>0</v>
      </c>
      <c r="BV1006" s="283">
        <f>SUM(Z1022:AA1022)</f>
        <v>0</v>
      </c>
      <c r="BW1006" s="283">
        <f>IF(COUNTIF(Y1022:AA1022,"NA")=3,0,IF(COUNTA(Y1022:AA1022)=0,0,IF(OR(AND(Y1022=0,BU1006&gt;0),AND(Y1022="ns",BV1006&gt;0),AND(Y1022="ns",BU1006=0,BV1006=0)),1,IF(OR(AND(Y1022&gt;0,BU1006=2),AND(Y1022="ns",BU1006=2),AND(Y1022="ns",BV1006=0,BU1006&gt;0),Y1039=BV1006),0,1))))</f>
        <v>0</v>
      </c>
      <c r="BX1006" s="283">
        <f>COUNTIF(AC1022:AD1022,"NS")</f>
        <v>0</v>
      </c>
      <c r="BY1006" s="283">
        <f>SUM(AC1022:AD1022)</f>
        <v>0</v>
      </c>
      <c r="BZ1006" s="283">
        <f>IF(COUNTIF(AB1022:AD1022,"NA")=3,0,IF(COUNTA(AB1022:AD1022)=0,0,IF(OR(AND(AB1022=0,BX1006&gt;0),AND(AB1022="ns",BY1006&gt;0),AND(AB1022="ns",BX1006=0,BY1006=0)),1,IF(OR(AND(AB1022&gt;0,BX1006=2),AND(AB1022="ns",BX1006=2),AND(AB1022="ns",BY1006=0,BX1006&gt;0),AB1039=BY1006),0,1))))</f>
        <v>0</v>
      </c>
      <c r="CA1006" s="283">
        <f>COUNTIF(H1038:I1038,"NS")</f>
        <v>0</v>
      </c>
      <c r="CB1006" s="283">
        <f>SUM(H1038:I1038)</f>
        <v>0</v>
      </c>
      <c r="CC1006" s="283">
        <f>IF(COUNTIF(G1038:I1038,"NA")=3,0,IF(COUNTA(G1038:I1038)=0,0,IF(OR(AND(G1038=0,CA1006&gt;0),AND(G1038="ns",CB1006&gt;0),AND(G1038="ns",CA1006=0,CB1006=0)),1,IF(OR(AND(G1038&gt;0,CA1006=2),AND(G1038="ns",CA1006=2),AND(G1038="ns",CB1006=0,CA1006&gt;0),G1038=CB1006),0,1))))</f>
        <v>0</v>
      </c>
      <c r="CD1006" s="283">
        <f>COUNTIF(K1038:L1038,"NS")</f>
        <v>0</v>
      </c>
      <c r="CE1006" s="283">
        <f>SUM(K1038:L1038)</f>
        <v>0</v>
      </c>
      <c r="CF1006" s="283">
        <f>IF(COUNTIF(J1038:L1038,"NA")=3,0,IF(COUNTA(J1038:L1038)=0,0,IF(OR(AND(J1038=0,CD1006&gt;0),AND(J1038="ns",CE1006&gt;0),AND(J1038="ns",CD1006=0,CE1006=0)),1,IF(OR(AND(J1038&gt;0,CD1006=2),AND(J1038="ns",CD1006=2),AND(J1038="ns",CE1006=0,CD1006&gt;0),J1038=CE1006),0,1))))</f>
        <v>0</v>
      </c>
      <c r="CG1006" s="283">
        <f>COUNTIF(N1038:O1038,"NS")</f>
        <v>0</v>
      </c>
      <c r="CH1006" s="283">
        <f>SUM(N1038:O1038)</f>
        <v>0</v>
      </c>
      <c r="CI1006" s="283">
        <f>IF(COUNTIF(M1038:O1038,"NA")=3,0,IF(COUNTA(M1038:O1038)=0,0,IF(OR(AND(M1038=0,CG1006&gt;0),AND(M1038="ns",CH1006&gt;0),AND(M1038="ns",CG1006=0,CH1006=0)),1,IF(OR(AND(M1038&gt;0,CG1006=2),AND(M1038="ns",CG1006=2),AND(M1038="ns",CH1006=0,CG1006&gt;0),M1038=CH1006),0,1))))</f>
        <v>0</v>
      </c>
      <c r="CJ1006" s="283">
        <f>COUNTIF(Q1038:R1038,"NS")</f>
        <v>0</v>
      </c>
      <c r="CK1006" s="283">
        <f>SUM(Q1038:R1038)</f>
        <v>0</v>
      </c>
      <c r="CL1006" s="283">
        <f>IF(COUNTIF(P1038:R1038,"NA")=3,0,IF(COUNTA(P1038:R1038)=0,0,IF(OR(AND(P1038=0,CJ1006&gt;0),AND(P1038="ns",CK1006&gt;0),AND(P1038="ns",CJ1006=0,CK1006=0)),1,IF(OR(AND(P1038&gt;0,CJ1006=2),AND(P1038="ns",CJ1006=2),AND(P1038="ns",CK1006=0,CJ1006&gt;0),P1038=CK1006),0,1))))</f>
        <v>0</v>
      </c>
      <c r="CM1006" s="283">
        <f>COUNTIF(T1038:U1038,"NS")</f>
        <v>0</v>
      </c>
      <c r="CN1006" s="283">
        <f>SUM(T1038:U1038)</f>
        <v>0</v>
      </c>
      <c r="CO1006" s="283">
        <f>IF(COUNTIF(S1038:U1038,"NA")=3,0,IF(COUNTA(S1038:U1038)=0,0,IF(OR(AND(S1038=0,CM1006&gt;0),AND(S1038="ns",CN1006&gt;0),AND(S1038="ns",CM1006=0,CN1006=0)),1,IF(OR(AND(S1038&gt;0,CM1006=2),AND(S1038="ns",CM1006=2),AND(S1038="ns",CN1006=0,CM1006&gt;0),S1038=CN1006),0,1))))</f>
        <v>0</v>
      </c>
      <c r="CP1006" s="283">
        <f>COUNTIF(W1038:X1038,"NS")</f>
        <v>0</v>
      </c>
      <c r="CQ1006" s="283">
        <f>SUM(W1038:X1038)</f>
        <v>0</v>
      </c>
      <c r="CR1006" s="283">
        <f>IF(COUNTIF(V1038:X1038,"NA")=3,0,IF(COUNTA(V1038:X1038)=0,0,IF(OR(AND(V1038=0,CP1006&gt;0),AND(V1038="ns",CQ1006&gt;0),AND(V1038="ns",CP1006=0,CQ1006=0)),1,IF(OR(AND(V1038&gt;0,CP1006=2),AND(V1038="ns",CP1006=2),AND(V1038="ns",CQ1006=0,CP1006&gt;0),V1038=CQ1006),0,1))))</f>
        <v>0</v>
      </c>
      <c r="CS1006" s="283">
        <f>COUNTIF(Z1038:AA1038,"NS")</f>
        <v>0</v>
      </c>
      <c r="CT1006" s="283">
        <f>SUM(Z1038:AA1038)</f>
        <v>0</v>
      </c>
      <c r="CU1006" s="283">
        <f>IF(COUNTIF(Y1038:AA1038,"NA")=3,0,IF(COUNTA(Y1038:AA1038)=0,0,IF(OR(AND(Y1038=0,CS1006&gt;0),AND(Y1038="ns",CT1006&gt;0),AND(Y1038="ns",CS1006=0,CT1006=0)),1,IF(OR(AND(Y1038&gt;0,CS1006=2),AND(Y1038="ns",CS1006=2),AND(Y1038="ns",CT1006=0,CS1006&gt;0),Y1038=CT1006),0,1))))</f>
        <v>0</v>
      </c>
      <c r="CV1006" s="283">
        <f>COUNTIF(AC1038:AD1038,"NS")</f>
        <v>0</v>
      </c>
      <c r="CW1006" s="283">
        <f>SUM(AC1038:AD1038)</f>
        <v>0</v>
      </c>
      <c r="CX1006" s="283">
        <f>IF(COUNTIF(AB1038:AD1038,"NA")=3,0,IF(COUNTA(AB1038:AD1038)=0,0,IF(OR(AND(AB1038=0,CV1006&gt;0),AND(AB1038="ns",CW1006&gt;0),AND(AB1038="ns",CV1006=0,CW1006=0)),1,IF(OR(AND(AB1038&gt;0,CV1006=2),AND(AB1038="ns",CV1006=2),AND(AB1038="ns",CW1006=0,CV1006&gt;0),AB1038=CW1006),0,1))))</f>
        <v>0</v>
      </c>
    </row>
    <row r="1007" spans="1:102" ht="15" customHeight="1">
      <c r="A1007" s="49"/>
      <c r="B1007" s="90"/>
      <c r="C1007" s="143" t="s">
        <v>2517</v>
      </c>
      <c r="D1007" s="813" t="str">
        <f>IF(CNSIPEE_2024_M2_Secc1!D43="","",CNSIPEE_2024_M2_Secc1!D43)</f>
        <v/>
      </c>
      <c r="E1007" s="814"/>
      <c r="F1007" s="814"/>
      <c r="G1007" s="814"/>
      <c r="H1007" s="814"/>
      <c r="I1007" s="815"/>
      <c r="J1007" s="100"/>
      <c r="K1007" s="100"/>
      <c r="L1007" s="100"/>
      <c r="M1007" s="100"/>
      <c r="N1007" s="100"/>
      <c r="O1007" s="100"/>
      <c r="P1007" s="100"/>
      <c r="Q1007" s="100"/>
      <c r="R1007" s="100"/>
      <c r="S1007" s="100"/>
      <c r="T1007" s="100"/>
      <c r="U1007" s="100"/>
      <c r="V1007" s="100"/>
      <c r="W1007" s="100"/>
      <c r="X1007" s="100"/>
      <c r="Y1007" s="100"/>
      <c r="Z1007" s="100"/>
      <c r="AA1007" s="100"/>
      <c r="AB1007" s="100"/>
      <c r="AC1007" s="100"/>
      <c r="AD1007" s="100"/>
      <c r="AG1007" s="326">
        <f t="shared" ref="AG1007:AG1011" si="733">IF(AND($C$987="X",COUNTA(J1007:AD1007,G1023:AD1023,G1039:AD1039)=0),0,IF(AND(COUNTBLANK(D1007)=0,COUNTA(J1007:AD1007,G1023:AD1023,G1039:AD1039)=69),0,IF(AND(COUNTBLANK(D1007)=1,COUNTA(J1007:AD1007,G1023:AD1023,G1039:AD1039)=0),0,1)))</f>
        <v>0</v>
      </c>
      <c r="AH1007" s="283">
        <f t="shared" ref="AH1007:AH1013" si="734">COUNTIF(K1007:L1007,"NS")</f>
        <v>0</v>
      </c>
      <c r="AI1007" s="283">
        <f t="shared" ref="AI1007:AI1013" si="735">SUM(K1007:L1007)</f>
        <v>0</v>
      </c>
      <c r="AJ1007" s="283">
        <f t="shared" ref="AJ1007:AJ1013" si="736">IF(COUNTIF(J1007:L1007,"NA")=3,0,IF(COUNTA(J1007:L1007)=0,0,IF(OR(AND(J1007=0,AH1007&gt;0),AND(J1007="ns",AI1007&gt;0),AND(J1007="ns",AH1007=0,AI1007=0)),1,IF(OR(AND(J1007&gt;0,AH1007=2),AND(J1007="ns",AH1007=2),AND(J1007="ns",AI1007=0,AH1007&gt;0),J1007=AI1007),0,1))))</f>
        <v>0</v>
      </c>
      <c r="AK1007" s="283">
        <f t="shared" ref="AK1007:AK1013" si="737">COUNTIF(N1007:O1007,"NS")</f>
        <v>0</v>
      </c>
      <c r="AL1007" s="283">
        <f t="shared" ref="AL1007:AL1013" si="738">SUM(N1007:O1007)</f>
        <v>0</v>
      </c>
      <c r="AM1007" s="283">
        <f t="shared" ref="AM1007:AM1013" si="739">IF(COUNTIF(M1007:O1007,"NA")=3,0,IF(COUNTA(M1007:O1007)=0,0,IF(OR(AND(M1007=0,AK1007&gt;0),AND(M1007="ns",AL1007&gt;0),AND(M1007="ns",AK1007=0,AL1007=0)),1,IF(OR(AND(M1007&gt;0,AK1007=2),AND(M1007="ns",AK1007=2),AND(M1007="ns",AL1007=0,AK1007&gt;0),M1007=AL1007),0,1))))</f>
        <v>0</v>
      </c>
      <c r="AN1007" s="283">
        <f t="shared" ref="AN1007:AN1013" si="740">COUNTIF(Q1007:R1007,"NS")</f>
        <v>0</v>
      </c>
      <c r="AO1007" s="283">
        <f t="shared" ref="AO1007:AO1013" si="741">SUM(Q1007:R1007)</f>
        <v>0</v>
      </c>
      <c r="AP1007" s="283">
        <f t="shared" ref="AP1007:AP1013" si="742">IF(COUNTIF(P1007:R1007,"NA")=3,0,IF(COUNTA(P1007:R1007)=0,0,IF(OR(AND(P1007=0,AN1007&gt;0),AND(P1007="ns",AO1007&gt;0),AND(P1007="ns",AN1007=0,AO1007=0)),1,IF(OR(AND(P1007&gt;0,AN1007=2),AND(P1007="ns",AN1007=2),AND(P1007="ns",AO1007=0,AN1007&gt;0),P1007=AO1007),0,1))))</f>
        <v>0</v>
      </c>
      <c r="AQ1007" s="283">
        <f t="shared" ref="AQ1007:AQ1013" si="743">COUNTIF(T1007:U1007,"NS")</f>
        <v>0</v>
      </c>
      <c r="AR1007" s="283">
        <f t="shared" ref="AR1007:AR1013" si="744">SUM(T1007:U1007)</f>
        <v>0</v>
      </c>
      <c r="AS1007" s="283">
        <f t="shared" ref="AS1007:AS1013" si="745">IF(COUNTIF(S1007:U1007,"NA")=3,0,IF(COUNTA(S1007:U1007)=0,0,IF(OR(AND(S1007=0,AQ1007&gt;0),AND(S1007="ns",AR1007&gt;0),AND(S1007="ns",AQ1007=0,AR1007=0)),1,IF(OR(AND(S1007&gt;0,AQ1007=2),AND(S1007="ns",AQ1007=2),AND(S1007="ns",AR1007=0,AQ1007&gt;0),S1007=AR1007),0,1))))</f>
        <v>0</v>
      </c>
      <c r="AT1007" s="283">
        <f t="shared" ref="AT1007:AT1013" si="746">COUNTIF(W1007:X1007,"NS")</f>
        <v>0</v>
      </c>
      <c r="AU1007" s="283">
        <f t="shared" ref="AU1007:AU1013" si="747">SUM(W1007:X1007)</f>
        <v>0</v>
      </c>
      <c r="AV1007" s="283">
        <f t="shared" ref="AV1007:AV1013" si="748">IF(COUNTIF(V1007:X1007,"NA")=3,0,IF(COUNTA(V1007:X1007)=0,0,IF(OR(AND(V1007=0,AT1007&gt;0),AND(V1007="ns",AU1007&gt;0),AND(V1007="ns",AT1007=0,AU1007=0)),1,IF(OR(AND(V1007&gt;0,AT1007=2),AND(V1007="ns",AT1007=2),AND(V1007="ns",AU1007=0,AT1007&gt;0),V1007=AU1007),0,1))))</f>
        <v>0</v>
      </c>
      <c r="AW1007" s="283">
        <f t="shared" ref="AW1007:AW1013" si="749">COUNTIF(Z1007:AA1007,"NS")</f>
        <v>0</v>
      </c>
      <c r="AX1007" s="283">
        <f t="shared" ref="AX1007:AX1013" si="750">SUM(Z1007:AA1007)</f>
        <v>0</v>
      </c>
      <c r="AY1007" s="283">
        <f t="shared" ref="AY1007:AY1013" si="751">IF(COUNTIF(Y1007:AA1007,"NA")=3,0,IF(COUNTA(Y1007:AA1007)=0,0,IF(OR(AND(Y1007=0,AW1007&gt;0),AND(Y1007="ns",AX1007&gt;0),AND(Y1007="ns",AW1007=0,AX1007=0)),1,IF(OR(AND(Y1007&gt;0,AW1007=2),AND(Y1007="ns",AW1007=2),AND(Y1007="ns",AX1007=0,AW1007&gt;0),Y1007=AX1007),0,1))))</f>
        <v>0</v>
      </c>
      <c r="AZ1007" s="283">
        <f t="shared" ref="AZ1007:AZ1013" si="752">COUNTIF(AC1007:AD1007,"NS")</f>
        <v>0</v>
      </c>
      <c r="BA1007" s="283">
        <f t="shared" ref="BA1007:BA1013" si="753">SUM(AC1007:AD1007)</f>
        <v>0</v>
      </c>
      <c r="BB1007" s="283">
        <f t="shared" ref="BB1007:BB1013" si="754">IF(COUNTIF(AB1007:AD1007,"NA")=3,0,IF(COUNTA(AB1007:AD1007)=0,0,IF(OR(AND(AB1007=0,AZ1007&gt;0),AND(AB1007="ns",BA1007&gt;0),AND(AB1007="ns",AZ1007=0,BA1007=0)),1,IF(OR(AND(AB1007&gt;0,AZ1007=2),AND(AB1007="ns",AZ1007=2),AND(AB1007="ns",BA1007=0,AZ1007&gt;0),AB1007=BA1007),0,1))))</f>
        <v>0</v>
      </c>
      <c r="BC1007" s="283">
        <f t="shared" ref="BC1007:BC1013" si="755">COUNTIF(H1023:I1023,"NS")</f>
        <v>0</v>
      </c>
      <c r="BD1007" s="283">
        <f t="shared" ref="BD1007:BD1013" si="756">SUM(H1023:I1023)</f>
        <v>0</v>
      </c>
      <c r="BE1007" s="283">
        <f t="shared" ref="BE1007:BE1013" si="757">IF(COUNTIF(G1023:I1023,"NA")=3,0,IF(COUNTA(G1023:I1023)=0,0,IF(OR(AND(G1023=0,BC1007&gt;0),AND(G1023="ns",BD1007&gt;0),AND(G1023="ns",BC1007=0,BD1007=0)),1,IF(OR(AND(G1023&gt;0,BC1007=2),AND(G1023="ns",BC1007=2),AND(G1023="ns",BD1007=0,BC1007&gt;0),G1040=BD1007),0,1))))</f>
        <v>0</v>
      </c>
      <c r="BF1007" s="283">
        <f t="shared" ref="BF1007:BF1013" si="758">COUNTIF(K1023:L1023,"NS")</f>
        <v>0</v>
      </c>
      <c r="BG1007" s="283">
        <f t="shared" ref="BG1007:BG1013" si="759">SUM(K1023:L1023)</f>
        <v>0</v>
      </c>
      <c r="BH1007" s="283">
        <f t="shared" ref="BH1007:BH1013" si="760">IF(COUNTIF(J1023:L1023,"NA")=3,0,IF(COUNTA(J1023:L1023)=0,0,IF(OR(AND(J1023=0,BF1007&gt;0),AND(J1023="ns",BG1007&gt;0),AND(J1023="ns",BF1007=0,BG1007=0)),1,IF(OR(AND(J1023&gt;0,BF1007=2),AND(J1023="ns",BF1007=2),AND(J1023="ns",BG1007=0,BF1007&gt;0),J1040=BG1007),0,1))))</f>
        <v>0</v>
      </c>
      <c r="BI1007" s="283">
        <f t="shared" ref="BI1007:BI1013" si="761">COUNTIF(N1023:O1023,"NS")</f>
        <v>0</v>
      </c>
      <c r="BJ1007" s="283">
        <f t="shared" ref="BJ1007:BJ1013" si="762">SUM(N1023:O1023)</f>
        <v>0</v>
      </c>
      <c r="BK1007" s="283">
        <f t="shared" ref="BK1007:BK1013" si="763">IF(COUNTIF(M1023:O1023,"NA")=3,0,IF(COUNTA(M1023:O1023)=0,0,IF(OR(AND(M1023=0,BI1007&gt;0),AND(M1023="ns",BJ1007&gt;0),AND(M1023="ns",BI1007=0,BJ1007=0)),1,IF(OR(AND(M1023&gt;0,BI1007=2),AND(M1023="ns",BI1007=2),AND(M1023="ns",BJ1007=0,BI1007&gt;0),M1040=BJ1007),0,1))))</f>
        <v>0</v>
      </c>
      <c r="BL1007" s="283">
        <f t="shared" ref="BL1007:BL1013" si="764">COUNTIF(Q1023:R1023,"NS")</f>
        <v>0</v>
      </c>
      <c r="BM1007" s="283">
        <f t="shared" ref="BM1007:BM1013" si="765">SUM(Q1023:R1023)</f>
        <v>0</v>
      </c>
      <c r="BN1007" s="283">
        <f t="shared" ref="BN1007:BN1013" si="766">IF(COUNTIF(P1023:R1023,"NA")=3,0,IF(COUNTA(P1023:R1023)=0,0,IF(OR(AND(P1023=0,BL1007&gt;0),AND(P1023="ns",BM1007&gt;0),AND(P1023="ns",BL1007=0,BM1007=0)),1,IF(OR(AND(P1023&gt;0,BL1007=2),AND(P1023="ns",BL1007=2),AND(P1023="ns",BM1007=0,BL1007&gt;0),P1040=BM1007),0,1))))</f>
        <v>0</v>
      </c>
      <c r="BO1007" s="283">
        <f t="shared" ref="BO1007:BO1013" si="767">COUNTIF(T1023:U1023,"NS")</f>
        <v>0</v>
      </c>
      <c r="BP1007" s="283">
        <f t="shared" ref="BP1007:BP1013" si="768">SUM(T1023:U1023)</f>
        <v>0</v>
      </c>
      <c r="BQ1007" s="283">
        <f t="shared" ref="BQ1007:BQ1013" si="769">IF(COUNTIF(S1023:U1023,"NA")=3,0,IF(COUNTA(S1023:U1023)=0,0,IF(OR(AND(S1023=0,BO1007&gt;0),AND(S1023="ns",BP1007&gt;0),AND(S1023="ns",BO1007=0,BP1007=0)),1,IF(OR(AND(S1023&gt;0,BO1007=2),AND(S1023="ns",BO1007=2),AND(S1023="ns",BP1007=0,BO1007&gt;0),S1040=BP1007),0,1))))</f>
        <v>0</v>
      </c>
      <c r="BR1007" s="283">
        <f t="shared" ref="BR1007:BR1013" si="770">COUNTIF(W1023:X1023,"NS")</f>
        <v>0</v>
      </c>
      <c r="BS1007" s="283">
        <f t="shared" ref="BS1007:BS1013" si="771">SUM(W1023:X1023)</f>
        <v>0</v>
      </c>
      <c r="BT1007" s="283">
        <f t="shared" ref="BT1007:BT1013" si="772">IF(COUNTIF(V1023:X1023,"NA")=3,0,IF(COUNTA(V1023:X1023)=0,0,IF(OR(AND(V1023=0,BR1007&gt;0),AND(V1023="ns",BS1007&gt;0),AND(V1023="ns",BR1007=0,BS1007=0)),1,IF(OR(AND(V1023&gt;0,BR1007=2),AND(V1023="ns",BR1007=2),AND(V1023="ns",BS1007=0,BR1007&gt;0),V1040=BS1007),0,1))))</f>
        <v>0</v>
      </c>
      <c r="BU1007" s="283">
        <f t="shared" ref="BU1007:BU1013" si="773">COUNTIF(Z1023:AA1023,"NS")</f>
        <v>0</v>
      </c>
      <c r="BV1007" s="283">
        <f t="shared" ref="BV1007:BV1013" si="774">SUM(Z1023:AA1023)</f>
        <v>0</v>
      </c>
      <c r="BW1007" s="283">
        <f t="shared" ref="BW1007:BW1013" si="775">IF(COUNTIF(Y1023:AA1023,"NA")=3,0,IF(COUNTA(Y1023:AA1023)=0,0,IF(OR(AND(Y1023=0,BU1007&gt;0),AND(Y1023="ns",BV1007&gt;0),AND(Y1023="ns",BU1007=0,BV1007=0)),1,IF(OR(AND(Y1023&gt;0,BU1007=2),AND(Y1023="ns",BU1007=2),AND(Y1023="ns",BV1007=0,BU1007&gt;0),Y1040=BV1007),0,1))))</f>
        <v>0</v>
      </c>
      <c r="BX1007" s="283">
        <f t="shared" ref="BX1007:BX1013" si="776">COUNTIF(AC1023:AD1023,"NS")</f>
        <v>0</v>
      </c>
      <c r="BY1007" s="283">
        <f t="shared" ref="BY1007:BY1013" si="777">SUM(AC1023:AD1023)</f>
        <v>0</v>
      </c>
      <c r="BZ1007" s="283">
        <f t="shared" ref="BZ1007:BZ1013" si="778">IF(COUNTIF(AB1023:AD1023,"NA")=3,0,IF(COUNTA(AB1023:AD1023)=0,0,IF(OR(AND(AB1023=0,BX1007&gt;0),AND(AB1023="ns",BY1007&gt;0),AND(AB1023="ns",BX1007=0,BY1007=0)),1,IF(OR(AND(AB1023&gt;0,BX1007=2),AND(AB1023="ns",BX1007=2),AND(AB1023="ns",BY1007=0,BX1007&gt;0),AB1040=BY1007),0,1))))</f>
        <v>0</v>
      </c>
      <c r="CA1007" s="283">
        <f t="shared" ref="CA1007:CA1013" si="779">COUNTIF(H1039:I1039,"NS")</f>
        <v>0</v>
      </c>
      <c r="CB1007" s="283">
        <f t="shared" ref="CB1007:CB1013" si="780">SUM(H1039:I1039)</f>
        <v>0</v>
      </c>
      <c r="CC1007" s="283">
        <f t="shared" ref="CC1007:CC1013" si="781">IF(COUNTIF(G1039:I1039,"NA")=3,0,IF(COUNTA(G1039:I1039)=0,0,IF(OR(AND(G1039=0,CA1007&gt;0),AND(G1039="ns",CB1007&gt;0),AND(G1039="ns",CA1007=0,CB1007=0)),1,IF(OR(AND(G1039&gt;0,CA1007=2),AND(G1039="ns",CA1007=2),AND(G1039="ns",CB1007=0,CA1007&gt;0),G1039=CB1007),0,1))))</f>
        <v>0</v>
      </c>
      <c r="CD1007" s="283">
        <f t="shared" ref="CD1007:CD1013" si="782">COUNTIF(K1039:L1039,"NS")</f>
        <v>0</v>
      </c>
      <c r="CE1007" s="283">
        <f t="shared" ref="CE1007:CE1013" si="783">SUM(K1039:L1039)</f>
        <v>0</v>
      </c>
      <c r="CF1007" s="283">
        <f t="shared" ref="CF1007:CF1013" si="784">IF(COUNTIF(J1039:L1039,"NA")=3,0,IF(COUNTA(J1039:L1039)=0,0,IF(OR(AND(J1039=0,CD1007&gt;0),AND(J1039="ns",CE1007&gt;0),AND(J1039="ns",CD1007=0,CE1007=0)),1,IF(OR(AND(J1039&gt;0,CD1007=2),AND(J1039="ns",CD1007=2),AND(J1039="ns",CE1007=0,CD1007&gt;0),J1039=CE1007),0,1))))</f>
        <v>0</v>
      </c>
      <c r="CG1007" s="283">
        <f t="shared" ref="CG1007:CG1013" si="785">COUNTIF(N1039:O1039,"NS")</f>
        <v>0</v>
      </c>
      <c r="CH1007" s="283">
        <f t="shared" ref="CH1007:CH1013" si="786">SUM(N1039:O1039)</f>
        <v>0</v>
      </c>
      <c r="CI1007" s="283">
        <f t="shared" ref="CI1007:CI1013" si="787">IF(COUNTIF(M1039:O1039,"NA")=3,0,IF(COUNTA(M1039:O1039)=0,0,IF(OR(AND(M1039=0,CG1007&gt;0),AND(M1039="ns",CH1007&gt;0),AND(M1039="ns",CG1007=0,CH1007=0)),1,IF(OR(AND(M1039&gt;0,CG1007=2),AND(M1039="ns",CG1007=2),AND(M1039="ns",CH1007=0,CG1007&gt;0),M1039=CH1007),0,1))))</f>
        <v>0</v>
      </c>
      <c r="CJ1007" s="283">
        <f t="shared" ref="CJ1007:CJ1013" si="788">COUNTIF(Q1039:R1039,"NS")</f>
        <v>0</v>
      </c>
      <c r="CK1007" s="283">
        <f t="shared" ref="CK1007:CK1013" si="789">SUM(Q1039:R1039)</f>
        <v>0</v>
      </c>
      <c r="CL1007" s="283">
        <f t="shared" ref="CL1007:CL1013" si="790">IF(COUNTIF(P1039:R1039,"NA")=3,0,IF(COUNTA(P1039:R1039)=0,0,IF(OR(AND(P1039=0,CJ1007&gt;0),AND(P1039="ns",CK1007&gt;0),AND(P1039="ns",CJ1007=0,CK1007=0)),1,IF(OR(AND(P1039&gt;0,CJ1007=2),AND(P1039="ns",CJ1007=2),AND(P1039="ns",CK1007=0,CJ1007&gt;0),P1039=CK1007),0,1))))</f>
        <v>0</v>
      </c>
      <c r="CM1007" s="283">
        <f t="shared" ref="CM1007:CM1013" si="791">COUNTIF(T1039:U1039,"NS")</f>
        <v>0</v>
      </c>
      <c r="CN1007" s="283">
        <f t="shared" ref="CN1007:CN1013" si="792">SUM(T1039:U1039)</f>
        <v>0</v>
      </c>
      <c r="CO1007" s="283">
        <f t="shared" ref="CO1007:CO1013" si="793">IF(COUNTIF(S1039:U1039,"NA")=3,0,IF(COUNTA(S1039:U1039)=0,0,IF(OR(AND(S1039=0,CM1007&gt;0),AND(S1039="ns",CN1007&gt;0),AND(S1039="ns",CM1007=0,CN1007=0)),1,IF(OR(AND(S1039&gt;0,CM1007=2),AND(S1039="ns",CM1007=2),AND(S1039="ns",CN1007=0,CM1007&gt;0),S1039=CN1007),0,1))))</f>
        <v>0</v>
      </c>
      <c r="CP1007" s="283">
        <f t="shared" ref="CP1007:CP1013" si="794">COUNTIF(W1039:X1039,"NS")</f>
        <v>0</v>
      </c>
      <c r="CQ1007" s="283">
        <f t="shared" ref="CQ1007:CQ1013" si="795">SUM(W1039:X1039)</f>
        <v>0</v>
      </c>
      <c r="CR1007" s="283">
        <f t="shared" ref="CR1007:CR1013" si="796">IF(COUNTIF(V1039:X1039,"NA")=3,0,IF(COUNTA(V1039:X1039)=0,0,IF(OR(AND(V1039=0,CP1007&gt;0),AND(V1039="ns",CQ1007&gt;0),AND(V1039="ns",CP1007=0,CQ1007=0)),1,IF(OR(AND(V1039&gt;0,CP1007=2),AND(V1039="ns",CP1007=2),AND(V1039="ns",CQ1007=0,CP1007&gt;0),V1039=CQ1007),0,1))))</f>
        <v>0</v>
      </c>
      <c r="CS1007" s="283">
        <f t="shared" ref="CS1007:CS1013" si="797">COUNTIF(Z1039:AA1039,"NS")</f>
        <v>0</v>
      </c>
      <c r="CT1007" s="283">
        <f t="shared" ref="CT1007:CT1013" si="798">SUM(Z1039:AA1039)</f>
        <v>0</v>
      </c>
      <c r="CU1007" s="283">
        <f t="shared" ref="CU1007:CU1013" si="799">IF(COUNTIF(Y1039:AA1039,"NA")=3,0,IF(COUNTA(Y1039:AA1039)=0,0,IF(OR(AND(Y1039=0,CS1007&gt;0),AND(Y1039="ns",CT1007&gt;0),AND(Y1039="ns",CS1007=0,CT1007=0)),1,IF(OR(AND(Y1039&gt;0,CS1007=2),AND(Y1039="ns",CS1007=2),AND(Y1039="ns",CT1007=0,CS1007&gt;0),Y1039=CT1007),0,1))))</f>
        <v>0</v>
      </c>
      <c r="CV1007" s="283">
        <f t="shared" ref="CV1007:CV1013" si="800">COUNTIF(AC1039:AD1039,"NS")</f>
        <v>0</v>
      </c>
      <c r="CW1007" s="283">
        <f t="shared" ref="CW1007:CW1013" si="801">SUM(AC1039:AD1039)</f>
        <v>0</v>
      </c>
      <c r="CX1007" s="283">
        <f t="shared" ref="CX1007:CX1013" si="802">IF(COUNTIF(AB1039:AD1039,"NA")=3,0,IF(COUNTA(AB1039:AD1039)=0,0,IF(OR(AND(AB1039=0,CV1007&gt;0),AND(AB1039="ns",CW1007&gt;0),AND(AB1039="ns",CV1007=0,CW1007=0)),1,IF(OR(AND(AB1039&gt;0,CV1007=2),AND(AB1039="ns",CV1007=2),AND(AB1039="ns",CW1007=0,CV1007&gt;0),AB1039=CW1007),0,1))))</f>
        <v>0</v>
      </c>
    </row>
    <row r="1008" spans="1:102" ht="15" customHeight="1">
      <c r="A1008" s="49"/>
      <c r="B1008" s="90"/>
      <c r="C1008" s="143" t="s">
        <v>2518</v>
      </c>
      <c r="D1008" s="813" t="str">
        <f>IF(CNSIPEE_2024_M2_Secc1!D44="","",CNSIPEE_2024_M2_Secc1!D44)</f>
        <v/>
      </c>
      <c r="E1008" s="814"/>
      <c r="F1008" s="814"/>
      <c r="G1008" s="814"/>
      <c r="H1008" s="814"/>
      <c r="I1008" s="815"/>
      <c r="J1008" s="100"/>
      <c r="K1008" s="100"/>
      <c r="L1008" s="100"/>
      <c r="M1008" s="100"/>
      <c r="N1008" s="100"/>
      <c r="O1008" s="100"/>
      <c r="P1008" s="100"/>
      <c r="Q1008" s="100"/>
      <c r="R1008" s="100"/>
      <c r="S1008" s="100"/>
      <c r="T1008" s="100"/>
      <c r="U1008" s="100"/>
      <c r="V1008" s="100"/>
      <c r="W1008" s="100"/>
      <c r="X1008" s="100"/>
      <c r="Y1008" s="100"/>
      <c r="Z1008" s="100"/>
      <c r="AA1008" s="100"/>
      <c r="AB1008" s="100"/>
      <c r="AC1008" s="100"/>
      <c r="AD1008" s="100"/>
      <c r="AG1008" s="326">
        <f t="shared" si="733"/>
        <v>0</v>
      </c>
      <c r="AH1008" s="283">
        <f t="shared" si="734"/>
        <v>0</v>
      </c>
      <c r="AI1008" s="283">
        <f t="shared" si="735"/>
        <v>0</v>
      </c>
      <c r="AJ1008" s="283">
        <f t="shared" si="736"/>
        <v>0</v>
      </c>
      <c r="AK1008" s="283">
        <f t="shared" si="737"/>
        <v>0</v>
      </c>
      <c r="AL1008" s="283">
        <f t="shared" si="738"/>
        <v>0</v>
      </c>
      <c r="AM1008" s="283">
        <f t="shared" si="739"/>
        <v>0</v>
      </c>
      <c r="AN1008" s="283">
        <f t="shared" si="740"/>
        <v>0</v>
      </c>
      <c r="AO1008" s="283">
        <f t="shared" si="741"/>
        <v>0</v>
      </c>
      <c r="AP1008" s="283">
        <f t="shared" si="742"/>
        <v>0</v>
      </c>
      <c r="AQ1008" s="283">
        <f t="shared" si="743"/>
        <v>0</v>
      </c>
      <c r="AR1008" s="283">
        <f t="shared" si="744"/>
        <v>0</v>
      </c>
      <c r="AS1008" s="283">
        <f t="shared" si="745"/>
        <v>0</v>
      </c>
      <c r="AT1008" s="283">
        <f t="shared" si="746"/>
        <v>0</v>
      </c>
      <c r="AU1008" s="283">
        <f t="shared" si="747"/>
        <v>0</v>
      </c>
      <c r="AV1008" s="283">
        <f t="shared" si="748"/>
        <v>0</v>
      </c>
      <c r="AW1008" s="283">
        <f t="shared" si="749"/>
        <v>0</v>
      </c>
      <c r="AX1008" s="283">
        <f t="shared" si="750"/>
        <v>0</v>
      </c>
      <c r="AY1008" s="283">
        <f t="shared" si="751"/>
        <v>0</v>
      </c>
      <c r="AZ1008" s="283">
        <f t="shared" si="752"/>
        <v>0</v>
      </c>
      <c r="BA1008" s="283">
        <f t="shared" si="753"/>
        <v>0</v>
      </c>
      <c r="BB1008" s="283">
        <f t="shared" si="754"/>
        <v>0</v>
      </c>
      <c r="BC1008" s="283">
        <f t="shared" si="755"/>
        <v>0</v>
      </c>
      <c r="BD1008" s="283">
        <f t="shared" si="756"/>
        <v>0</v>
      </c>
      <c r="BE1008" s="283">
        <f t="shared" si="757"/>
        <v>0</v>
      </c>
      <c r="BF1008" s="283">
        <f t="shared" si="758"/>
        <v>0</v>
      </c>
      <c r="BG1008" s="283">
        <f t="shared" si="759"/>
        <v>0</v>
      </c>
      <c r="BH1008" s="283">
        <f t="shared" si="760"/>
        <v>0</v>
      </c>
      <c r="BI1008" s="283">
        <f t="shared" si="761"/>
        <v>0</v>
      </c>
      <c r="BJ1008" s="283">
        <f t="shared" si="762"/>
        <v>0</v>
      </c>
      <c r="BK1008" s="283">
        <f t="shared" si="763"/>
        <v>0</v>
      </c>
      <c r="BL1008" s="283">
        <f t="shared" si="764"/>
        <v>0</v>
      </c>
      <c r="BM1008" s="283">
        <f t="shared" si="765"/>
        <v>0</v>
      </c>
      <c r="BN1008" s="283">
        <f t="shared" si="766"/>
        <v>0</v>
      </c>
      <c r="BO1008" s="283">
        <f t="shared" si="767"/>
        <v>0</v>
      </c>
      <c r="BP1008" s="283">
        <f t="shared" si="768"/>
        <v>0</v>
      </c>
      <c r="BQ1008" s="283">
        <f t="shared" si="769"/>
        <v>0</v>
      </c>
      <c r="BR1008" s="283">
        <f t="shared" si="770"/>
        <v>0</v>
      </c>
      <c r="BS1008" s="283">
        <f t="shared" si="771"/>
        <v>0</v>
      </c>
      <c r="BT1008" s="283">
        <f t="shared" si="772"/>
        <v>0</v>
      </c>
      <c r="BU1008" s="283">
        <f t="shared" si="773"/>
        <v>0</v>
      </c>
      <c r="BV1008" s="283">
        <f t="shared" si="774"/>
        <v>0</v>
      </c>
      <c r="BW1008" s="283">
        <f t="shared" si="775"/>
        <v>0</v>
      </c>
      <c r="BX1008" s="283">
        <f t="shared" si="776"/>
        <v>0</v>
      </c>
      <c r="BY1008" s="283">
        <f t="shared" si="777"/>
        <v>0</v>
      </c>
      <c r="BZ1008" s="283">
        <f t="shared" si="778"/>
        <v>0</v>
      </c>
      <c r="CA1008" s="283">
        <f t="shared" si="779"/>
        <v>0</v>
      </c>
      <c r="CB1008" s="283">
        <f t="shared" si="780"/>
        <v>0</v>
      </c>
      <c r="CC1008" s="283">
        <f t="shared" si="781"/>
        <v>0</v>
      </c>
      <c r="CD1008" s="283">
        <f t="shared" si="782"/>
        <v>0</v>
      </c>
      <c r="CE1008" s="283">
        <f t="shared" si="783"/>
        <v>0</v>
      </c>
      <c r="CF1008" s="283">
        <f t="shared" si="784"/>
        <v>0</v>
      </c>
      <c r="CG1008" s="283">
        <f t="shared" si="785"/>
        <v>0</v>
      </c>
      <c r="CH1008" s="283">
        <f t="shared" si="786"/>
        <v>0</v>
      </c>
      <c r="CI1008" s="283">
        <f t="shared" si="787"/>
        <v>0</v>
      </c>
      <c r="CJ1008" s="283">
        <f t="shared" si="788"/>
        <v>0</v>
      </c>
      <c r="CK1008" s="283">
        <f t="shared" si="789"/>
        <v>0</v>
      </c>
      <c r="CL1008" s="283">
        <f t="shared" si="790"/>
        <v>0</v>
      </c>
      <c r="CM1008" s="283">
        <f t="shared" si="791"/>
        <v>0</v>
      </c>
      <c r="CN1008" s="283">
        <f t="shared" si="792"/>
        <v>0</v>
      </c>
      <c r="CO1008" s="283">
        <f t="shared" si="793"/>
        <v>0</v>
      </c>
      <c r="CP1008" s="283">
        <f t="shared" si="794"/>
        <v>0</v>
      </c>
      <c r="CQ1008" s="283">
        <f t="shared" si="795"/>
        <v>0</v>
      </c>
      <c r="CR1008" s="283">
        <f t="shared" si="796"/>
        <v>0</v>
      </c>
      <c r="CS1008" s="283">
        <f t="shared" si="797"/>
        <v>0</v>
      </c>
      <c r="CT1008" s="283">
        <f t="shared" si="798"/>
        <v>0</v>
      </c>
      <c r="CU1008" s="283">
        <f t="shared" si="799"/>
        <v>0</v>
      </c>
      <c r="CV1008" s="283">
        <f t="shared" si="800"/>
        <v>0</v>
      </c>
      <c r="CW1008" s="283">
        <f t="shared" si="801"/>
        <v>0</v>
      </c>
      <c r="CX1008" s="283">
        <f t="shared" si="802"/>
        <v>0</v>
      </c>
    </row>
    <row r="1009" spans="1:102" ht="15" customHeight="1">
      <c r="A1009" s="49"/>
      <c r="B1009" s="90"/>
      <c r="C1009" s="143" t="s">
        <v>2519</v>
      </c>
      <c r="D1009" s="813" t="str">
        <f>IF(CNSIPEE_2024_M2_Secc1!D45="","",CNSIPEE_2024_M2_Secc1!D45)</f>
        <v/>
      </c>
      <c r="E1009" s="814"/>
      <c r="F1009" s="814"/>
      <c r="G1009" s="814"/>
      <c r="H1009" s="814"/>
      <c r="I1009" s="815"/>
      <c r="J1009" s="100"/>
      <c r="K1009" s="100"/>
      <c r="L1009" s="100"/>
      <c r="M1009" s="100"/>
      <c r="N1009" s="100"/>
      <c r="O1009" s="100"/>
      <c r="P1009" s="100"/>
      <c r="Q1009" s="100"/>
      <c r="R1009" s="100"/>
      <c r="S1009" s="100"/>
      <c r="T1009" s="100"/>
      <c r="U1009" s="100"/>
      <c r="V1009" s="100"/>
      <c r="W1009" s="100"/>
      <c r="X1009" s="100"/>
      <c r="Y1009" s="100"/>
      <c r="Z1009" s="100"/>
      <c r="AA1009" s="100"/>
      <c r="AB1009" s="100"/>
      <c r="AC1009" s="100"/>
      <c r="AD1009" s="100"/>
      <c r="AG1009" s="326">
        <f t="shared" si="733"/>
        <v>0</v>
      </c>
      <c r="AH1009" s="283">
        <f t="shared" si="734"/>
        <v>0</v>
      </c>
      <c r="AI1009" s="283">
        <f t="shared" si="735"/>
        <v>0</v>
      </c>
      <c r="AJ1009" s="283">
        <f t="shared" si="736"/>
        <v>0</v>
      </c>
      <c r="AK1009" s="283">
        <f t="shared" si="737"/>
        <v>0</v>
      </c>
      <c r="AL1009" s="283">
        <f t="shared" si="738"/>
        <v>0</v>
      </c>
      <c r="AM1009" s="283">
        <f t="shared" si="739"/>
        <v>0</v>
      </c>
      <c r="AN1009" s="283">
        <f t="shared" si="740"/>
        <v>0</v>
      </c>
      <c r="AO1009" s="283">
        <f t="shared" si="741"/>
        <v>0</v>
      </c>
      <c r="AP1009" s="283">
        <f t="shared" si="742"/>
        <v>0</v>
      </c>
      <c r="AQ1009" s="283">
        <f t="shared" si="743"/>
        <v>0</v>
      </c>
      <c r="AR1009" s="283">
        <f t="shared" si="744"/>
        <v>0</v>
      </c>
      <c r="AS1009" s="283">
        <f t="shared" si="745"/>
        <v>0</v>
      </c>
      <c r="AT1009" s="283">
        <f t="shared" si="746"/>
        <v>0</v>
      </c>
      <c r="AU1009" s="283">
        <f t="shared" si="747"/>
        <v>0</v>
      </c>
      <c r="AV1009" s="283">
        <f t="shared" si="748"/>
        <v>0</v>
      </c>
      <c r="AW1009" s="283">
        <f t="shared" si="749"/>
        <v>0</v>
      </c>
      <c r="AX1009" s="283">
        <f t="shared" si="750"/>
        <v>0</v>
      </c>
      <c r="AY1009" s="283">
        <f t="shared" si="751"/>
        <v>0</v>
      </c>
      <c r="AZ1009" s="283">
        <f t="shared" si="752"/>
        <v>0</v>
      </c>
      <c r="BA1009" s="283">
        <f t="shared" si="753"/>
        <v>0</v>
      </c>
      <c r="BB1009" s="283">
        <f t="shared" si="754"/>
        <v>0</v>
      </c>
      <c r="BC1009" s="283">
        <f t="shared" si="755"/>
        <v>0</v>
      </c>
      <c r="BD1009" s="283">
        <f t="shared" si="756"/>
        <v>0</v>
      </c>
      <c r="BE1009" s="283">
        <f t="shared" si="757"/>
        <v>0</v>
      </c>
      <c r="BF1009" s="283">
        <f t="shared" si="758"/>
        <v>0</v>
      </c>
      <c r="BG1009" s="283">
        <f t="shared" si="759"/>
        <v>0</v>
      </c>
      <c r="BH1009" s="283">
        <f t="shared" si="760"/>
        <v>0</v>
      </c>
      <c r="BI1009" s="283">
        <f t="shared" si="761"/>
        <v>0</v>
      </c>
      <c r="BJ1009" s="283">
        <f t="shared" si="762"/>
        <v>0</v>
      </c>
      <c r="BK1009" s="283">
        <f t="shared" si="763"/>
        <v>0</v>
      </c>
      <c r="BL1009" s="283">
        <f t="shared" si="764"/>
        <v>0</v>
      </c>
      <c r="BM1009" s="283">
        <f t="shared" si="765"/>
        <v>0</v>
      </c>
      <c r="BN1009" s="283">
        <f t="shared" si="766"/>
        <v>0</v>
      </c>
      <c r="BO1009" s="283">
        <f t="shared" si="767"/>
        <v>0</v>
      </c>
      <c r="BP1009" s="283">
        <f t="shared" si="768"/>
        <v>0</v>
      </c>
      <c r="BQ1009" s="283">
        <f t="shared" si="769"/>
        <v>0</v>
      </c>
      <c r="BR1009" s="283">
        <f t="shared" si="770"/>
        <v>0</v>
      </c>
      <c r="BS1009" s="283">
        <f t="shared" si="771"/>
        <v>0</v>
      </c>
      <c r="BT1009" s="283">
        <f t="shared" si="772"/>
        <v>0</v>
      </c>
      <c r="BU1009" s="283">
        <f t="shared" si="773"/>
        <v>0</v>
      </c>
      <c r="BV1009" s="283">
        <f t="shared" si="774"/>
        <v>0</v>
      </c>
      <c r="BW1009" s="283">
        <f t="shared" si="775"/>
        <v>0</v>
      </c>
      <c r="BX1009" s="283">
        <f t="shared" si="776"/>
        <v>0</v>
      </c>
      <c r="BY1009" s="283">
        <f t="shared" si="777"/>
        <v>0</v>
      </c>
      <c r="BZ1009" s="283">
        <f t="shared" si="778"/>
        <v>0</v>
      </c>
      <c r="CA1009" s="283">
        <f t="shared" si="779"/>
        <v>0</v>
      </c>
      <c r="CB1009" s="283">
        <f t="shared" si="780"/>
        <v>0</v>
      </c>
      <c r="CC1009" s="283">
        <f t="shared" si="781"/>
        <v>0</v>
      </c>
      <c r="CD1009" s="283">
        <f t="shared" si="782"/>
        <v>0</v>
      </c>
      <c r="CE1009" s="283">
        <f t="shared" si="783"/>
        <v>0</v>
      </c>
      <c r="CF1009" s="283">
        <f t="shared" si="784"/>
        <v>0</v>
      </c>
      <c r="CG1009" s="283">
        <f t="shared" si="785"/>
        <v>0</v>
      </c>
      <c r="CH1009" s="283">
        <f t="shared" si="786"/>
        <v>0</v>
      </c>
      <c r="CI1009" s="283">
        <f t="shared" si="787"/>
        <v>0</v>
      </c>
      <c r="CJ1009" s="283">
        <f t="shared" si="788"/>
        <v>0</v>
      </c>
      <c r="CK1009" s="283">
        <f t="shared" si="789"/>
        <v>0</v>
      </c>
      <c r="CL1009" s="283">
        <f t="shared" si="790"/>
        <v>0</v>
      </c>
      <c r="CM1009" s="283">
        <f t="shared" si="791"/>
        <v>0</v>
      </c>
      <c r="CN1009" s="283">
        <f t="shared" si="792"/>
        <v>0</v>
      </c>
      <c r="CO1009" s="283">
        <f t="shared" si="793"/>
        <v>0</v>
      </c>
      <c r="CP1009" s="283">
        <f t="shared" si="794"/>
        <v>0</v>
      </c>
      <c r="CQ1009" s="283">
        <f t="shared" si="795"/>
        <v>0</v>
      </c>
      <c r="CR1009" s="283">
        <f t="shared" si="796"/>
        <v>0</v>
      </c>
      <c r="CS1009" s="283">
        <f t="shared" si="797"/>
        <v>0</v>
      </c>
      <c r="CT1009" s="283">
        <f t="shared" si="798"/>
        <v>0</v>
      </c>
      <c r="CU1009" s="283">
        <f t="shared" si="799"/>
        <v>0</v>
      </c>
      <c r="CV1009" s="283">
        <f t="shared" si="800"/>
        <v>0</v>
      </c>
      <c r="CW1009" s="283">
        <f t="shared" si="801"/>
        <v>0</v>
      </c>
      <c r="CX1009" s="283">
        <f t="shared" si="802"/>
        <v>0</v>
      </c>
    </row>
    <row r="1010" spans="1:102" ht="15" customHeight="1">
      <c r="A1010" s="49"/>
      <c r="B1010" s="90"/>
      <c r="C1010" s="143" t="s">
        <v>2520</v>
      </c>
      <c r="D1010" s="813" t="str">
        <f>IF(CNSIPEE_2024_M2_Secc1!D46="","",CNSIPEE_2024_M2_Secc1!D46)</f>
        <v/>
      </c>
      <c r="E1010" s="814"/>
      <c r="F1010" s="814"/>
      <c r="G1010" s="814"/>
      <c r="H1010" s="814"/>
      <c r="I1010" s="815"/>
      <c r="J1010" s="100"/>
      <c r="K1010" s="100"/>
      <c r="L1010" s="100"/>
      <c r="M1010" s="100"/>
      <c r="N1010" s="100"/>
      <c r="O1010" s="100"/>
      <c r="P1010" s="100"/>
      <c r="Q1010" s="100"/>
      <c r="R1010" s="100"/>
      <c r="S1010" s="100"/>
      <c r="T1010" s="100"/>
      <c r="U1010" s="100"/>
      <c r="V1010" s="100"/>
      <c r="W1010" s="100"/>
      <c r="X1010" s="100"/>
      <c r="Y1010" s="100"/>
      <c r="Z1010" s="100"/>
      <c r="AA1010" s="100"/>
      <c r="AB1010" s="100"/>
      <c r="AC1010" s="100"/>
      <c r="AD1010" s="100"/>
      <c r="AG1010" s="326">
        <f t="shared" si="733"/>
        <v>0</v>
      </c>
      <c r="AH1010" s="283">
        <f t="shared" si="734"/>
        <v>0</v>
      </c>
      <c r="AI1010" s="283">
        <f t="shared" si="735"/>
        <v>0</v>
      </c>
      <c r="AJ1010" s="283">
        <f t="shared" si="736"/>
        <v>0</v>
      </c>
      <c r="AK1010" s="283">
        <f t="shared" si="737"/>
        <v>0</v>
      </c>
      <c r="AL1010" s="283">
        <f t="shared" si="738"/>
        <v>0</v>
      </c>
      <c r="AM1010" s="283">
        <f t="shared" si="739"/>
        <v>0</v>
      </c>
      <c r="AN1010" s="283">
        <f t="shared" si="740"/>
        <v>0</v>
      </c>
      <c r="AO1010" s="283">
        <f t="shared" si="741"/>
        <v>0</v>
      </c>
      <c r="AP1010" s="283">
        <f t="shared" si="742"/>
        <v>0</v>
      </c>
      <c r="AQ1010" s="283">
        <f t="shared" si="743"/>
        <v>0</v>
      </c>
      <c r="AR1010" s="283">
        <f t="shared" si="744"/>
        <v>0</v>
      </c>
      <c r="AS1010" s="283">
        <f t="shared" si="745"/>
        <v>0</v>
      </c>
      <c r="AT1010" s="283">
        <f t="shared" si="746"/>
        <v>0</v>
      </c>
      <c r="AU1010" s="283">
        <f t="shared" si="747"/>
        <v>0</v>
      </c>
      <c r="AV1010" s="283">
        <f t="shared" si="748"/>
        <v>0</v>
      </c>
      <c r="AW1010" s="283">
        <f t="shared" si="749"/>
        <v>0</v>
      </c>
      <c r="AX1010" s="283">
        <f t="shared" si="750"/>
        <v>0</v>
      </c>
      <c r="AY1010" s="283">
        <f t="shared" si="751"/>
        <v>0</v>
      </c>
      <c r="AZ1010" s="283">
        <f t="shared" si="752"/>
        <v>0</v>
      </c>
      <c r="BA1010" s="283">
        <f t="shared" si="753"/>
        <v>0</v>
      </c>
      <c r="BB1010" s="283">
        <f t="shared" si="754"/>
        <v>0</v>
      </c>
      <c r="BC1010" s="283">
        <f t="shared" si="755"/>
        <v>0</v>
      </c>
      <c r="BD1010" s="283">
        <f t="shared" si="756"/>
        <v>0</v>
      </c>
      <c r="BE1010" s="283">
        <f t="shared" si="757"/>
        <v>0</v>
      </c>
      <c r="BF1010" s="283">
        <f t="shared" si="758"/>
        <v>0</v>
      </c>
      <c r="BG1010" s="283">
        <f t="shared" si="759"/>
        <v>0</v>
      </c>
      <c r="BH1010" s="283">
        <f t="shared" si="760"/>
        <v>0</v>
      </c>
      <c r="BI1010" s="283">
        <f t="shared" si="761"/>
        <v>0</v>
      </c>
      <c r="BJ1010" s="283">
        <f t="shared" si="762"/>
        <v>0</v>
      </c>
      <c r="BK1010" s="283">
        <f t="shared" si="763"/>
        <v>0</v>
      </c>
      <c r="BL1010" s="283">
        <f t="shared" si="764"/>
        <v>0</v>
      </c>
      <c r="BM1010" s="283">
        <f t="shared" si="765"/>
        <v>0</v>
      </c>
      <c r="BN1010" s="283">
        <f t="shared" si="766"/>
        <v>0</v>
      </c>
      <c r="BO1010" s="283">
        <f t="shared" si="767"/>
        <v>0</v>
      </c>
      <c r="BP1010" s="283">
        <f t="shared" si="768"/>
        <v>0</v>
      </c>
      <c r="BQ1010" s="283">
        <f t="shared" si="769"/>
        <v>0</v>
      </c>
      <c r="BR1010" s="283">
        <f t="shared" si="770"/>
        <v>0</v>
      </c>
      <c r="BS1010" s="283">
        <f t="shared" si="771"/>
        <v>0</v>
      </c>
      <c r="BT1010" s="283">
        <f t="shared" si="772"/>
        <v>0</v>
      </c>
      <c r="BU1010" s="283">
        <f t="shared" si="773"/>
        <v>0</v>
      </c>
      <c r="BV1010" s="283">
        <f t="shared" si="774"/>
        <v>0</v>
      </c>
      <c r="BW1010" s="283">
        <f t="shared" si="775"/>
        <v>0</v>
      </c>
      <c r="BX1010" s="283">
        <f t="shared" si="776"/>
        <v>0</v>
      </c>
      <c r="BY1010" s="283">
        <f t="shared" si="777"/>
        <v>0</v>
      </c>
      <c r="BZ1010" s="283">
        <f t="shared" si="778"/>
        <v>0</v>
      </c>
      <c r="CA1010" s="283">
        <f t="shared" si="779"/>
        <v>0</v>
      </c>
      <c r="CB1010" s="283">
        <f t="shared" si="780"/>
        <v>0</v>
      </c>
      <c r="CC1010" s="283">
        <f t="shared" si="781"/>
        <v>0</v>
      </c>
      <c r="CD1010" s="283">
        <f t="shared" si="782"/>
        <v>0</v>
      </c>
      <c r="CE1010" s="283">
        <f t="shared" si="783"/>
        <v>0</v>
      </c>
      <c r="CF1010" s="283">
        <f t="shared" si="784"/>
        <v>0</v>
      </c>
      <c r="CG1010" s="283">
        <f t="shared" si="785"/>
        <v>0</v>
      </c>
      <c r="CH1010" s="283">
        <f t="shared" si="786"/>
        <v>0</v>
      </c>
      <c r="CI1010" s="283">
        <f t="shared" si="787"/>
        <v>0</v>
      </c>
      <c r="CJ1010" s="283">
        <f t="shared" si="788"/>
        <v>0</v>
      </c>
      <c r="CK1010" s="283">
        <f t="shared" si="789"/>
        <v>0</v>
      </c>
      <c r="CL1010" s="283">
        <f t="shared" si="790"/>
        <v>0</v>
      </c>
      <c r="CM1010" s="283">
        <f t="shared" si="791"/>
        <v>0</v>
      </c>
      <c r="CN1010" s="283">
        <f t="shared" si="792"/>
        <v>0</v>
      </c>
      <c r="CO1010" s="283">
        <f t="shared" si="793"/>
        <v>0</v>
      </c>
      <c r="CP1010" s="283">
        <f t="shared" si="794"/>
        <v>0</v>
      </c>
      <c r="CQ1010" s="283">
        <f t="shared" si="795"/>
        <v>0</v>
      </c>
      <c r="CR1010" s="283">
        <f t="shared" si="796"/>
        <v>0</v>
      </c>
      <c r="CS1010" s="283">
        <f t="shared" si="797"/>
        <v>0</v>
      </c>
      <c r="CT1010" s="283">
        <f t="shared" si="798"/>
        <v>0</v>
      </c>
      <c r="CU1010" s="283">
        <f t="shared" si="799"/>
        <v>0</v>
      </c>
      <c r="CV1010" s="283">
        <f t="shared" si="800"/>
        <v>0</v>
      </c>
      <c r="CW1010" s="283">
        <f t="shared" si="801"/>
        <v>0</v>
      </c>
      <c r="CX1010" s="283">
        <f t="shared" si="802"/>
        <v>0</v>
      </c>
    </row>
    <row r="1011" spans="1:102" ht="15" customHeight="1">
      <c r="A1011" s="49"/>
      <c r="B1011" s="90"/>
      <c r="C1011" s="143" t="s">
        <v>2521</v>
      </c>
      <c r="D1011" s="813" t="str">
        <f>IF(CNSIPEE_2024_M2_Secc1!D47="","",CNSIPEE_2024_M2_Secc1!D47)</f>
        <v/>
      </c>
      <c r="E1011" s="814"/>
      <c r="F1011" s="814"/>
      <c r="G1011" s="814"/>
      <c r="H1011" s="814"/>
      <c r="I1011" s="815"/>
      <c r="J1011" s="100"/>
      <c r="K1011" s="100"/>
      <c r="L1011" s="100"/>
      <c r="M1011" s="100"/>
      <c r="N1011" s="100"/>
      <c r="O1011" s="100"/>
      <c r="P1011" s="100"/>
      <c r="Q1011" s="100"/>
      <c r="R1011" s="100"/>
      <c r="S1011" s="100"/>
      <c r="T1011" s="100"/>
      <c r="U1011" s="100"/>
      <c r="V1011" s="100"/>
      <c r="W1011" s="100"/>
      <c r="X1011" s="100"/>
      <c r="Y1011" s="100"/>
      <c r="Z1011" s="100"/>
      <c r="AA1011" s="100"/>
      <c r="AB1011" s="100"/>
      <c r="AC1011" s="100"/>
      <c r="AD1011" s="100"/>
      <c r="AG1011" s="326">
        <f t="shared" si="733"/>
        <v>0</v>
      </c>
      <c r="AH1011" s="283">
        <f t="shared" si="734"/>
        <v>0</v>
      </c>
      <c r="AI1011" s="283">
        <f t="shared" si="735"/>
        <v>0</v>
      </c>
      <c r="AJ1011" s="283">
        <f t="shared" si="736"/>
        <v>0</v>
      </c>
      <c r="AK1011" s="283">
        <f t="shared" si="737"/>
        <v>0</v>
      </c>
      <c r="AL1011" s="283">
        <f t="shared" si="738"/>
        <v>0</v>
      </c>
      <c r="AM1011" s="283">
        <f t="shared" si="739"/>
        <v>0</v>
      </c>
      <c r="AN1011" s="283">
        <f t="shared" si="740"/>
        <v>0</v>
      </c>
      <c r="AO1011" s="283">
        <f t="shared" si="741"/>
        <v>0</v>
      </c>
      <c r="AP1011" s="283">
        <f t="shared" si="742"/>
        <v>0</v>
      </c>
      <c r="AQ1011" s="283">
        <f t="shared" si="743"/>
        <v>0</v>
      </c>
      <c r="AR1011" s="283">
        <f t="shared" si="744"/>
        <v>0</v>
      </c>
      <c r="AS1011" s="283">
        <f t="shared" si="745"/>
        <v>0</v>
      </c>
      <c r="AT1011" s="283">
        <f t="shared" si="746"/>
        <v>0</v>
      </c>
      <c r="AU1011" s="283">
        <f t="shared" si="747"/>
        <v>0</v>
      </c>
      <c r="AV1011" s="283">
        <f t="shared" si="748"/>
        <v>0</v>
      </c>
      <c r="AW1011" s="283">
        <f t="shared" si="749"/>
        <v>0</v>
      </c>
      <c r="AX1011" s="283">
        <f t="shared" si="750"/>
        <v>0</v>
      </c>
      <c r="AY1011" s="283">
        <f t="shared" si="751"/>
        <v>0</v>
      </c>
      <c r="AZ1011" s="283">
        <f t="shared" si="752"/>
        <v>0</v>
      </c>
      <c r="BA1011" s="283">
        <f t="shared" si="753"/>
        <v>0</v>
      </c>
      <c r="BB1011" s="283">
        <f t="shared" si="754"/>
        <v>0</v>
      </c>
      <c r="BC1011" s="283">
        <f t="shared" si="755"/>
        <v>0</v>
      </c>
      <c r="BD1011" s="283">
        <f t="shared" si="756"/>
        <v>0</v>
      </c>
      <c r="BE1011" s="283">
        <f t="shared" si="757"/>
        <v>0</v>
      </c>
      <c r="BF1011" s="283">
        <f t="shared" si="758"/>
        <v>0</v>
      </c>
      <c r="BG1011" s="283">
        <f t="shared" si="759"/>
        <v>0</v>
      </c>
      <c r="BH1011" s="283">
        <f t="shared" si="760"/>
        <v>0</v>
      </c>
      <c r="BI1011" s="283">
        <f t="shared" si="761"/>
        <v>0</v>
      </c>
      <c r="BJ1011" s="283">
        <f t="shared" si="762"/>
        <v>0</v>
      </c>
      <c r="BK1011" s="283">
        <f t="shared" si="763"/>
        <v>0</v>
      </c>
      <c r="BL1011" s="283">
        <f t="shared" si="764"/>
        <v>0</v>
      </c>
      <c r="BM1011" s="283">
        <f t="shared" si="765"/>
        <v>0</v>
      </c>
      <c r="BN1011" s="283">
        <f t="shared" si="766"/>
        <v>0</v>
      </c>
      <c r="BO1011" s="283">
        <f t="shared" si="767"/>
        <v>0</v>
      </c>
      <c r="BP1011" s="283">
        <f t="shared" si="768"/>
        <v>0</v>
      </c>
      <c r="BQ1011" s="283">
        <f t="shared" si="769"/>
        <v>0</v>
      </c>
      <c r="BR1011" s="283">
        <f t="shared" si="770"/>
        <v>0</v>
      </c>
      <c r="BS1011" s="283">
        <f t="shared" si="771"/>
        <v>0</v>
      </c>
      <c r="BT1011" s="283">
        <f t="shared" si="772"/>
        <v>0</v>
      </c>
      <c r="BU1011" s="283">
        <f t="shared" si="773"/>
        <v>0</v>
      </c>
      <c r="BV1011" s="283">
        <f t="shared" si="774"/>
        <v>0</v>
      </c>
      <c r="BW1011" s="283">
        <f t="shared" si="775"/>
        <v>0</v>
      </c>
      <c r="BX1011" s="283">
        <f t="shared" si="776"/>
        <v>0</v>
      </c>
      <c r="BY1011" s="283">
        <f t="shared" si="777"/>
        <v>0</v>
      </c>
      <c r="BZ1011" s="283">
        <f t="shared" si="778"/>
        <v>0</v>
      </c>
      <c r="CA1011" s="283">
        <f t="shared" si="779"/>
        <v>0</v>
      </c>
      <c r="CB1011" s="283">
        <f t="shared" si="780"/>
        <v>0</v>
      </c>
      <c r="CC1011" s="283">
        <f t="shared" si="781"/>
        <v>0</v>
      </c>
      <c r="CD1011" s="283">
        <f t="shared" si="782"/>
        <v>0</v>
      </c>
      <c r="CE1011" s="283">
        <f t="shared" si="783"/>
        <v>0</v>
      </c>
      <c r="CF1011" s="283">
        <f t="shared" si="784"/>
        <v>0</v>
      </c>
      <c r="CG1011" s="283">
        <f t="shared" si="785"/>
        <v>0</v>
      </c>
      <c r="CH1011" s="283">
        <f t="shared" si="786"/>
        <v>0</v>
      </c>
      <c r="CI1011" s="283">
        <f t="shared" si="787"/>
        <v>0</v>
      </c>
      <c r="CJ1011" s="283">
        <f t="shared" si="788"/>
        <v>0</v>
      </c>
      <c r="CK1011" s="283">
        <f t="shared" si="789"/>
        <v>0</v>
      </c>
      <c r="CL1011" s="283">
        <f t="shared" si="790"/>
        <v>0</v>
      </c>
      <c r="CM1011" s="283">
        <f t="shared" si="791"/>
        <v>0</v>
      </c>
      <c r="CN1011" s="283">
        <f t="shared" si="792"/>
        <v>0</v>
      </c>
      <c r="CO1011" s="283">
        <f t="shared" si="793"/>
        <v>0</v>
      </c>
      <c r="CP1011" s="283">
        <f t="shared" si="794"/>
        <v>0</v>
      </c>
      <c r="CQ1011" s="283">
        <f t="shared" si="795"/>
        <v>0</v>
      </c>
      <c r="CR1011" s="283">
        <f t="shared" si="796"/>
        <v>0</v>
      </c>
      <c r="CS1011" s="283">
        <f t="shared" si="797"/>
        <v>0</v>
      </c>
      <c r="CT1011" s="283">
        <f t="shared" si="798"/>
        <v>0</v>
      </c>
      <c r="CU1011" s="283">
        <f t="shared" si="799"/>
        <v>0</v>
      </c>
      <c r="CV1011" s="283">
        <f t="shared" si="800"/>
        <v>0</v>
      </c>
      <c r="CW1011" s="283">
        <f t="shared" si="801"/>
        <v>0</v>
      </c>
      <c r="CX1011" s="283">
        <f t="shared" si="802"/>
        <v>0</v>
      </c>
    </row>
    <row r="1012" spans="1:102" ht="15" customHeight="1">
      <c r="A1012" s="49"/>
      <c r="B1012" s="90"/>
      <c r="C1012" s="143" t="s">
        <v>2522</v>
      </c>
      <c r="D1012" s="813" t="str">
        <f>IF(CNSIPEE_2024_M2_Secc1!D48="","",CNSIPEE_2024_M2_Secc1!D48)</f>
        <v/>
      </c>
      <c r="E1012" s="814"/>
      <c r="F1012" s="814"/>
      <c r="G1012" s="814"/>
      <c r="H1012" s="814"/>
      <c r="I1012" s="815"/>
      <c r="J1012" s="100"/>
      <c r="K1012" s="100"/>
      <c r="L1012" s="100"/>
      <c r="M1012" s="100"/>
      <c r="N1012" s="100"/>
      <c r="O1012" s="100"/>
      <c r="P1012" s="100"/>
      <c r="Q1012" s="100"/>
      <c r="R1012" s="100"/>
      <c r="S1012" s="100"/>
      <c r="T1012" s="100"/>
      <c r="U1012" s="100"/>
      <c r="V1012" s="100"/>
      <c r="W1012" s="100"/>
      <c r="X1012" s="100"/>
      <c r="Y1012" s="100"/>
      <c r="Z1012" s="100"/>
      <c r="AA1012" s="100"/>
      <c r="AB1012" s="100"/>
      <c r="AC1012" s="100"/>
      <c r="AD1012" s="100"/>
      <c r="AG1012" s="326">
        <f>IF(AND($C$987="X",COUNTA(J1012:AD1012,G1028:AD1028,G1044:AD1044)=0),0,IF(AND(COUNTBLANK(D1012)=0,COUNTA(J1012:AD1012,G1028:AD1028,G1044:AD1044)=69),0,IF(AND(COUNTBLANK(D1012)=1,COUNTA(J1012:AD1012,G1028:AD1028,G1044:AD1044)=0),0,1)))</f>
        <v>0</v>
      </c>
      <c r="AH1012" s="283">
        <f t="shared" si="734"/>
        <v>0</v>
      </c>
      <c r="AI1012" s="283">
        <f t="shared" si="735"/>
        <v>0</v>
      </c>
      <c r="AJ1012" s="283">
        <f t="shared" si="736"/>
        <v>0</v>
      </c>
      <c r="AK1012" s="283">
        <f t="shared" si="737"/>
        <v>0</v>
      </c>
      <c r="AL1012" s="283">
        <f t="shared" si="738"/>
        <v>0</v>
      </c>
      <c r="AM1012" s="283">
        <f t="shared" si="739"/>
        <v>0</v>
      </c>
      <c r="AN1012" s="283">
        <f t="shared" si="740"/>
        <v>0</v>
      </c>
      <c r="AO1012" s="283">
        <f t="shared" si="741"/>
        <v>0</v>
      </c>
      <c r="AP1012" s="283">
        <f t="shared" si="742"/>
        <v>0</v>
      </c>
      <c r="AQ1012" s="283">
        <f t="shared" si="743"/>
        <v>0</v>
      </c>
      <c r="AR1012" s="283">
        <f t="shared" si="744"/>
        <v>0</v>
      </c>
      <c r="AS1012" s="283">
        <f t="shared" si="745"/>
        <v>0</v>
      </c>
      <c r="AT1012" s="283">
        <f t="shared" si="746"/>
        <v>0</v>
      </c>
      <c r="AU1012" s="283">
        <f t="shared" si="747"/>
        <v>0</v>
      </c>
      <c r="AV1012" s="283">
        <f t="shared" si="748"/>
        <v>0</v>
      </c>
      <c r="AW1012" s="283">
        <f t="shared" si="749"/>
        <v>0</v>
      </c>
      <c r="AX1012" s="283">
        <f t="shared" si="750"/>
        <v>0</v>
      </c>
      <c r="AY1012" s="283">
        <f t="shared" si="751"/>
        <v>0</v>
      </c>
      <c r="AZ1012" s="283">
        <f t="shared" si="752"/>
        <v>0</v>
      </c>
      <c r="BA1012" s="283">
        <f t="shared" si="753"/>
        <v>0</v>
      </c>
      <c r="BB1012" s="283">
        <f t="shared" si="754"/>
        <v>0</v>
      </c>
      <c r="BC1012" s="283">
        <f t="shared" si="755"/>
        <v>0</v>
      </c>
      <c r="BD1012" s="283">
        <f t="shared" si="756"/>
        <v>0</v>
      </c>
      <c r="BE1012" s="283">
        <f t="shared" si="757"/>
        <v>0</v>
      </c>
      <c r="BF1012" s="283">
        <f t="shared" si="758"/>
        <v>0</v>
      </c>
      <c r="BG1012" s="283">
        <f t="shared" si="759"/>
        <v>0</v>
      </c>
      <c r="BH1012" s="283">
        <f t="shared" si="760"/>
        <v>0</v>
      </c>
      <c r="BI1012" s="283">
        <f t="shared" si="761"/>
        <v>0</v>
      </c>
      <c r="BJ1012" s="283">
        <f t="shared" si="762"/>
        <v>0</v>
      </c>
      <c r="BK1012" s="283">
        <f t="shared" si="763"/>
        <v>0</v>
      </c>
      <c r="BL1012" s="283">
        <f t="shared" si="764"/>
        <v>0</v>
      </c>
      <c r="BM1012" s="283">
        <f t="shared" si="765"/>
        <v>0</v>
      </c>
      <c r="BN1012" s="283">
        <f t="shared" si="766"/>
        <v>0</v>
      </c>
      <c r="BO1012" s="283">
        <f t="shared" si="767"/>
        <v>0</v>
      </c>
      <c r="BP1012" s="283">
        <f t="shared" si="768"/>
        <v>0</v>
      </c>
      <c r="BQ1012" s="283">
        <f t="shared" si="769"/>
        <v>0</v>
      </c>
      <c r="BR1012" s="283">
        <f t="shared" si="770"/>
        <v>0</v>
      </c>
      <c r="BS1012" s="283">
        <f t="shared" si="771"/>
        <v>0</v>
      </c>
      <c r="BT1012" s="283">
        <f t="shared" si="772"/>
        <v>0</v>
      </c>
      <c r="BU1012" s="283">
        <f t="shared" si="773"/>
        <v>0</v>
      </c>
      <c r="BV1012" s="283">
        <f t="shared" si="774"/>
        <v>0</v>
      </c>
      <c r="BW1012" s="283">
        <f t="shared" si="775"/>
        <v>0</v>
      </c>
      <c r="BX1012" s="283">
        <f t="shared" si="776"/>
        <v>0</v>
      </c>
      <c r="BY1012" s="283">
        <f t="shared" si="777"/>
        <v>0</v>
      </c>
      <c r="BZ1012" s="283">
        <f t="shared" si="778"/>
        <v>0</v>
      </c>
      <c r="CA1012" s="283">
        <f t="shared" si="779"/>
        <v>0</v>
      </c>
      <c r="CB1012" s="283">
        <f t="shared" si="780"/>
        <v>0</v>
      </c>
      <c r="CC1012" s="283">
        <f t="shared" si="781"/>
        <v>0</v>
      </c>
      <c r="CD1012" s="283">
        <f t="shared" si="782"/>
        <v>0</v>
      </c>
      <c r="CE1012" s="283">
        <f t="shared" si="783"/>
        <v>0</v>
      </c>
      <c r="CF1012" s="283">
        <f t="shared" si="784"/>
        <v>0</v>
      </c>
      <c r="CG1012" s="283">
        <f t="shared" si="785"/>
        <v>0</v>
      </c>
      <c r="CH1012" s="283">
        <f t="shared" si="786"/>
        <v>0</v>
      </c>
      <c r="CI1012" s="283">
        <f t="shared" si="787"/>
        <v>0</v>
      </c>
      <c r="CJ1012" s="283">
        <f t="shared" si="788"/>
        <v>0</v>
      </c>
      <c r="CK1012" s="283">
        <f t="shared" si="789"/>
        <v>0</v>
      </c>
      <c r="CL1012" s="283">
        <f t="shared" si="790"/>
        <v>0</v>
      </c>
      <c r="CM1012" s="283">
        <f t="shared" si="791"/>
        <v>0</v>
      </c>
      <c r="CN1012" s="283">
        <f t="shared" si="792"/>
        <v>0</v>
      </c>
      <c r="CO1012" s="283">
        <f t="shared" si="793"/>
        <v>0</v>
      </c>
      <c r="CP1012" s="283">
        <f t="shared" si="794"/>
        <v>0</v>
      </c>
      <c r="CQ1012" s="283">
        <f t="shared" si="795"/>
        <v>0</v>
      </c>
      <c r="CR1012" s="283">
        <f t="shared" si="796"/>
        <v>0</v>
      </c>
      <c r="CS1012" s="283">
        <f t="shared" si="797"/>
        <v>0</v>
      </c>
      <c r="CT1012" s="283">
        <f t="shared" si="798"/>
        <v>0</v>
      </c>
      <c r="CU1012" s="283">
        <f t="shared" si="799"/>
        <v>0</v>
      </c>
      <c r="CV1012" s="283">
        <f t="shared" si="800"/>
        <v>0</v>
      </c>
      <c r="CW1012" s="283">
        <f t="shared" si="801"/>
        <v>0</v>
      </c>
      <c r="CX1012" s="283">
        <f t="shared" si="802"/>
        <v>0</v>
      </c>
    </row>
    <row r="1013" spans="1:102" ht="15" customHeight="1">
      <c r="A1013" s="49"/>
      <c r="B1013" s="90"/>
      <c r="C1013" s="143" t="s">
        <v>2523</v>
      </c>
      <c r="D1013" s="813" t="str">
        <f>IF(CNSIPEE_2024_M2_Secc1!D49="","",CNSIPEE_2024_M2_Secc1!D49)</f>
        <v/>
      </c>
      <c r="E1013" s="814"/>
      <c r="F1013" s="814"/>
      <c r="G1013" s="814"/>
      <c r="H1013" s="814"/>
      <c r="I1013" s="815"/>
      <c r="J1013" s="100"/>
      <c r="K1013" s="100"/>
      <c r="L1013" s="100"/>
      <c r="M1013" s="100"/>
      <c r="N1013" s="100"/>
      <c r="O1013" s="100"/>
      <c r="P1013" s="100"/>
      <c r="Q1013" s="100"/>
      <c r="R1013" s="100"/>
      <c r="S1013" s="100"/>
      <c r="T1013" s="100"/>
      <c r="U1013" s="100"/>
      <c r="V1013" s="100"/>
      <c r="W1013" s="100"/>
      <c r="X1013" s="100"/>
      <c r="Y1013" s="100"/>
      <c r="Z1013" s="100"/>
      <c r="AA1013" s="100"/>
      <c r="AB1013" s="100"/>
      <c r="AC1013" s="100"/>
      <c r="AD1013" s="100"/>
      <c r="AG1013" s="326">
        <f>IF(AND($C$987="X",COUNTA(J1013:AD1013,G1029:AD1029,G1045:AD1045)=0),0,IF(AND(COUNTBLANK(D1013)=0,COUNTA(J1013:AD1013,G1029:AD1029,G1045:AD1045)=69),0,IF(AND(COUNTBLANK(D1013)=1,COUNTA(J1013:AD1013,G1029:AD1029,G1045:AD1045)=0),0,1)))</f>
        <v>0</v>
      </c>
      <c r="AH1013" s="283">
        <f t="shared" si="734"/>
        <v>0</v>
      </c>
      <c r="AI1013" s="283">
        <f t="shared" si="735"/>
        <v>0</v>
      </c>
      <c r="AJ1013" s="283">
        <f t="shared" si="736"/>
        <v>0</v>
      </c>
      <c r="AK1013" s="283">
        <f t="shared" si="737"/>
        <v>0</v>
      </c>
      <c r="AL1013" s="283">
        <f t="shared" si="738"/>
        <v>0</v>
      </c>
      <c r="AM1013" s="283">
        <f t="shared" si="739"/>
        <v>0</v>
      </c>
      <c r="AN1013" s="283">
        <f t="shared" si="740"/>
        <v>0</v>
      </c>
      <c r="AO1013" s="283">
        <f t="shared" si="741"/>
        <v>0</v>
      </c>
      <c r="AP1013" s="283">
        <f t="shared" si="742"/>
        <v>0</v>
      </c>
      <c r="AQ1013" s="283">
        <f t="shared" si="743"/>
        <v>0</v>
      </c>
      <c r="AR1013" s="283">
        <f t="shared" si="744"/>
        <v>0</v>
      </c>
      <c r="AS1013" s="283">
        <f t="shared" si="745"/>
        <v>0</v>
      </c>
      <c r="AT1013" s="283">
        <f t="shared" si="746"/>
        <v>0</v>
      </c>
      <c r="AU1013" s="283">
        <f t="shared" si="747"/>
        <v>0</v>
      </c>
      <c r="AV1013" s="283">
        <f t="shared" si="748"/>
        <v>0</v>
      </c>
      <c r="AW1013" s="283">
        <f t="shared" si="749"/>
        <v>0</v>
      </c>
      <c r="AX1013" s="283">
        <f t="shared" si="750"/>
        <v>0</v>
      </c>
      <c r="AY1013" s="283">
        <f t="shared" si="751"/>
        <v>0</v>
      </c>
      <c r="AZ1013" s="283">
        <f t="shared" si="752"/>
        <v>0</v>
      </c>
      <c r="BA1013" s="283">
        <f t="shared" si="753"/>
        <v>0</v>
      </c>
      <c r="BB1013" s="283">
        <f t="shared" si="754"/>
        <v>0</v>
      </c>
      <c r="BC1013" s="283">
        <f t="shared" si="755"/>
        <v>0</v>
      </c>
      <c r="BD1013" s="283">
        <f t="shared" si="756"/>
        <v>0</v>
      </c>
      <c r="BE1013" s="283">
        <f t="shared" si="757"/>
        <v>0</v>
      </c>
      <c r="BF1013" s="283">
        <f t="shared" si="758"/>
        <v>0</v>
      </c>
      <c r="BG1013" s="283">
        <f t="shared" si="759"/>
        <v>0</v>
      </c>
      <c r="BH1013" s="283">
        <f t="shared" si="760"/>
        <v>0</v>
      </c>
      <c r="BI1013" s="283">
        <f t="shared" si="761"/>
        <v>0</v>
      </c>
      <c r="BJ1013" s="283">
        <f t="shared" si="762"/>
        <v>0</v>
      </c>
      <c r="BK1013" s="283">
        <f t="shared" si="763"/>
        <v>0</v>
      </c>
      <c r="BL1013" s="283">
        <f t="shared" si="764"/>
        <v>0</v>
      </c>
      <c r="BM1013" s="283">
        <f t="shared" si="765"/>
        <v>0</v>
      </c>
      <c r="BN1013" s="283">
        <f t="shared" si="766"/>
        <v>0</v>
      </c>
      <c r="BO1013" s="283">
        <f t="shared" si="767"/>
        <v>0</v>
      </c>
      <c r="BP1013" s="283">
        <f t="shared" si="768"/>
        <v>0</v>
      </c>
      <c r="BQ1013" s="283">
        <f t="shared" si="769"/>
        <v>0</v>
      </c>
      <c r="BR1013" s="283">
        <f t="shared" si="770"/>
        <v>0</v>
      </c>
      <c r="BS1013" s="283">
        <f t="shared" si="771"/>
        <v>0</v>
      </c>
      <c r="BT1013" s="283">
        <f t="shared" si="772"/>
        <v>0</v>
      </c>
      <c r="BU1013" s="283">
        <f t="shared" si="773"/>
        <v>0</v>
      </c>
      <c r="BV1013" s="283">
        <f t="shared" si="774"/>
        <v>0</v>
      </c>
      <c r="BW1013" s="283">
        <f t="shared" si="775"/>
        <v>0</v>
      </c>
      <c r="BX1013" s="283">
        <f t="shared" si="776"/>
        <v>0</v>
      </c>
      <c r="BY1013" s="283">
        <f t="shared" si="777"/>
        <v>0</v>
      </c>
      <c r="BZ1013" s="283">
        <f t="shared" si="778"/>
        <v>0</v>
      </c>
      <c r="CA1013" s="283">
        <f t="shared" si="779"/>
        <v>0</v>
      </c>
      <c r="CB1013" s="283">
        <f t="shared" si="780"/>
        <v>0</v>
      </c>
      <c r="CC1013" s="283">
        <f t="shared" si="781"/>
        <v>0</v>
      </c>
      <c r="CD1013" s="283">
        <f t="shared" si="782"/>
        <v>0</v>
      </c>
      <c r="CE1013" s="283">
        <f t="shared" si="783"/>
        <v>0</v>
      </c>
      <c r="CF1013" s="283">
        <f t="shared" si="784"/>
        <v>0</v>
      </c>
      <c r="CG1013" s="283">
        <f t="shared" si="785"/>
        <v>0</v>
      </c>
      <c r="CH1013" s="283">
        <f t="shared" si="786"/>
        <v>0</v>
      </c>
      <c r="CI1013" s="283">
        <f t="shared" si="787"/>
        <v>0</v>
      </c>
      <c r="CJ1013" s="283">
        <f t="shared" si="788"/>
        <v>0</v>
      </c>
      <c r="CK1013" s="283">
        <f t="shared" si="789"/>
        <v>0</v>
      </c>
      <c r="CL1013" s="283">
        <f t="shared" si="790"/>
        <v>0</v>
      </c>
      <c r="CM1013" s="283">
        <f t="shared" si="791"/>
        <v>0</v>
      </c>
      <c r="CN1013" s="283">
        <f t="shared" si="792"/>
        <v>0</v>
      </c>
      <c r="CO1013" s="283">
        <f t="shared" si="793"/>
        <v>0</v>
      </c>
      <c r="CP1013" s="283">
        <f t="shared" si="794"/>
        <v>0</v>
      </c>
      <c r="CQ1013" s="283">
        <f t="shared" si="795"/>
        <v>0</v>
      </c>
      <c r="CR1013" s="283">
        <f t="shared" si="796"/>
        <v>0</v>
      </c>
      <c r="CS1013" s="283">
        <f t="shared" si="797"/>
        <v>0</v>
      </c>
      <c r="CT1013" s="283">
        <f t="shared" si="798"/>
        <v>0</v>
      </c>
      <c r="CU1013" s="283">
        <f t="shared" si="799"/>
        <v>0</v>
      </c>
      <c r="CV1013" s="283">
        <f t="shared" si="800"/>
        <v>0</v>
      </c>
      <c r="CW1013" s="283">
        <f t="shared" si="801"/>
        <v>0</v>
      </c>
      <c r="CX1013" s="283">
        <f t="shared" si="802"/>
        <v>0</v>
      </c>
    </row>
    <row r="1014" spans="1:102" ht="15" customHeight="1">
      <c r="A1014" s="49"/>
      <c r="B1014" s="90"/>
      <c r="C1014" s="90"/>
      <c r="D1014" s="90"/>
      <c r="E1014" s="90"/>
      <c r="F1014" s="90"/>
      <c r="G1014" s="90"/>
      <c r="H1014" s="90"/>
      <c r="I1014" s="117" t="s">
        <v>2649</v>
      </c>
      <c r="J1014" s="124">
        <f>IF(AND(SUM(J1006:J1013)=0,COUNTIF(J1006:J1013,"NS")&gt;0),"NS",
IF(AND(SUM(J1006:J1013)=0,COUNTIF(J1006:J1013,0)&gt;0),0,
IF(AND(SUM(J1006:J1013)=0,COUNTIF(J1006:J1013,"NA")&gt;0),"NA",
SUM(J1006:J1013))))</f>
        <v>0</v>
      </c>
      <c r="K1014" s="124">
        <f t="shared" ref="K1014:AD1014" si="803">IF(AND(SUM(K1006:K1013)=0,COUNTIF(K1006:K1013,"NS")&gt;0),"NS",
IF(AND(SUM(K1006:K1013)=0,COUNTIF(K1006:K1013,0)&gt;0),0,
IF(AND(SUM(K1006:K1013)=0,COUNTIF(K1006:K1013,"NA")&gt;0),"NA",
SUM(K1006:K1013))))</f>
        <v>0</v>
      </c>
      <c r="L1014" s="124">
        <f t="shared" si="803"/>
        <v>0</v>
      </c>
      <c r="M1014" s="124">
        <f t="shared" si="803"/>
        <v>0</v>
      </c>
      <c r="N1014" s="124">
        <f t="shared" si="803"/>
        <v>0</v>
      </c>
      <c r="O1014" s="124">
        <f t="shared" si="803"/>
        <v>0</v>
      </c>
      <c r="P1014" s="124">
        <f t="shared" si="803"/>
        <v>0</v>
      </c>
      <c r="Q1014" s="124">
        <f t="shared" si="803"/>
        <v>0</v>
      </c>
      <c r="R1014" s="124">
        <f t="shared" si="803"/>
        <v>0</v>
      </c>
      <c r="S1014" s="124">
        <f t="shared" si="803"/>
        <v>0</v>
      </c>
      <c r="T1014" s="124">
        <f t="shared" si="803"/>
        <v>0</v>
      </c>
      <c r="U1014" s="124">
        <f t="shared" si="803"/>
        <v>0</v>
      </c>
      <c r="V1014" s="124">
        <f t="shared" si="803"/>
        <v>0</v>
      </c>
      <c r="W1014" s="124">
        <f t="shared" si="803"/>
        <v>0</v>
      </c>
      <c r="X1014" s="124">
        <f t="shared" si="803"/>
        <v>0</v>
      </c>
      <c r="Y1014" s="124">
        <f t="shared" si="803"/>
        <v>0</v>
      </c>
      <c r="Z1014" s="124">
        <f t="shared" si="803"/>
        <v>0</v>
      </c>
      <c r="AA1014" s="124">
        <f t="shared" si="803"/>
        <v>0</v>
      </c>
      <c r="AB1014" s="124">
        <f t="shared" si="803"/>
        <v>0</v>
      </c>
      <c r="AC1014" s="124">
        <f t="shared" si="803"/>
        <v>0</v>
      </c>
      <c r="AD1014" s="124">
        <f t="shared" si="803"/>
        <v>0</v>
      </c>
      <c r="AG1014" s="354">
        <f>SUM(AG1006:AG1013)</f>
        <v>0</v>
      </c>
      <c r="AH1014" s="406">
        <f>SUM(AH1006:AH1013)</f>
        <v>0</v>
      </c>
      <c r="AI1014" s="326"/>
      <c r="AJ1014" s="352">
        <f>SUM(AJ1006:AJ1013)</f>
        <v>0</v>
      </c>
      <c r="AK1014" s="406">
        <f t="shared" ref="AK1014" si="804">SUM(AK1006:AK1013)</f>
        <v>0</v>
      </c>
      <c r="AL1014" s="326"/>
      <c r="AM1014" s="352">
        <f t="shared" ref="AM1014:AN1014" si="805">SUM(AM1006:AM1013)</f>
        <v>0</v>
      </c>
      <c r="AN1014" s="406">
        <f t="shared" si="805"/>
        <v>0</v>
      </c>
      <c r="AO1014" s="326"/>
      <c r="AP1014" s="352">
        <f t="shared" ref="AP1014:AQ1014" si="806">SUM(AP1006:AP1013)</f>
        <v>0</v>
      </c>
      <c r="AQ1014" s="406">
        <f t="shared" si="806"/>
        <v>0</v>
      </c>
      <c r="AR1014" s="326"/>
      <c r="AS1014" s="352">
        <f t="shared" ref="AS1014:AT1014" si="807">SUM(AS1006:AS1013)</f>
        <v>0</v>
      </c>
      <c r="AT1014" s="406">
        <f t="shared" si="807"/>
        <v>0</v>
      </c>
      <c r="AU1014" s="326"/>
      <c r="AV1014" s="352">
        <f t="shared" ref="AV1014:AW1014" si="808">SUM(AV1006:AV1013)</f>
        <v>0</v>
      </c>
      <c r="AW1014" s="406">
        <f t="shared" si="808"/>
        <v>0</v>
      </c>
      <c r="AX1014" s="326"/>
      <c r="AY1014" s="352">
        <f t="shared" ref="AY1014:AZ1014" si="809">SUM(AY1006:AY1013)</f>
        <v>0</v>
      </c>
      <c r="AZ1014" s="406">
        <f t="shared" si="809"/>
        <v>0</v>
      </c>
      <c r="BA1014" s="326"/>
      <c r="BB1014" s="352">
        <f t="shared" ref="BB1014:BC1014" si="810">SUM(BB1006:BB1013)</f>
        <v>0</v>
      </c>
      <c r="BC1014" s="406">
        <f t="shared" si="810"/>
        <v>0</v>
      </c>
      <c r="BD1014" s="326"/>
      <c r="BE1014" s="352">
        <f t="shared" ref="BE1014:BF1014" si="811">SUM(BE1006:BE1013)</f>
        <v>0</v>
      </c>
      <c r="BF1014" s="406">
        <f t="shared" si="811"/>
        <v>0</v>
      </c>
      <c r="BG1014" s="326"/>
      <c r="BH1014" s="352">
        <f t="shared" ref="BH1014:BI1014" si="812">SUM(BH1006:BH1013)</f>
        <v>0</v>
      </c>
      <c r="BI1014" s="406">
        <f t="shared" si="812"/>
        <v>0</v>
      </c>
      <c r="BJ1014" s="326"/>
      <c r="BK1014" s="352">
        <f t="shared" ref="BK1014:BL1014" si="813">SUM(BK1006:BK1013)</f>
        <v>0</v>
      </c>
      <c r="BL1014" s="406">
        <f t="shared" si="813"/>
        <v>0</v>
      </c>
      <c r="BM1014" s="326"/>
      <c r="BN1014" s="352">
        <f t="shared" ref="BN1014:BO1014" si="814">SUM(BN1006:BN1013)</f>
        <v>0</v>
      </c>
      <c r="BO1014" s="406">
        <f t="shared" si="814"/>
        <v>0</v>
      </c>
      <c r="BP1014" s="326"/>
      <c r="BQ1014" s="352">
        <f t="shared" ref="BQ1014:BR1014" si="815">SUM(BQ1006:BQ1013)</f>
        <v>0</v>
      </c>
      <c r="BR1014" s="406">
        <f t="shared" si="815"/>
        <v>0</v>
      </c>
      <c r="BS1014" s="326"/>
      <c r="BT1014" s="352">
        <f t="shared" ref="BT1014:BU1014" si="816">SUM(BT1006:BT1013)</f>
        <v>0</v>
      </c>
      <c r="BU1014" s="406">
        <f t="shared" si="816"/>
        <v>0</v>
      </c>
      <c r="BV1014" s="326"/>
      <c r="BW1014" s="352">
        <f t="shared" ref="BW1014:BX1014" si="817">SUM(BW1006:BW1013)</f>
        <v>0</v>
      </c>
      <c r="BX1014" s="406">
        <f t="shared" si="817"/>
        <v>0</v>
      </c>
      <c r="BY1014" s="326"/>
      <c r="BZ1014" s="352">
        <f t="shared" ref="BZ1014:CA1014" si="818">SUM(BZ1006:BZ1013)</f>
        <v>0</v>
      </c>
      <c r="CA1014" s="406">
        <f t="shared" si="818"/>
        <v>0</v>
      </c>
      <c r="CB1014" s="326"/>
      <c r="CC1014" s="352">
        <f t="shared" ref="CC1014:CD1014" si="819">SUM(CC1006:CC1013)</f>
        <v>0</v>
      </c>
      <c r="CD1014" s="406">
        <f t="shared" si="819"/>
        <v>0</v>
      </c>
      <c r="CE1014" s="326"/>
      <c r="CF1014" s="352">
        <f t="shared" ref="CF1014:CG1014" si="820">SUM(CF1006:CF1013)</f>
        <v>0</v>
      </c>
      <c r="CG1014" s="406">
        <f t="shared" si="820"/>
        <v>0</v>
      </c>
      <c r="CH1014" s="326"/>
      <c r="CI1014" s="352">
        <f t="shared" ref="CI1014:CJ1014" si="821">SUM(CI1006:CI1013)</f>
        <v>0</v>
      </c>
      <c r="CJ1014" s="406">
        <f t="shared" si="821"/>
        <v>0</v>
      </c>
      <c r="CK1014" s="326"/>
      <c r="CL1014" s="352">
        <f t="shared" ref="CL1014:CM1014" si="822">SUM(CL1006:CL1013)</f>
        <v>0</v>
      </c>
      <c r="CM1014" s="406">
        <f t="shared" si="822"/>
        <v>0</v>
      </c>
      <c r="CN1014" s="326"/>
      <c r="CO1014" s="352">
        <f t="shared" ref="CO1014:CP1014" si="823">SUM(CO1006:CO1013)</f>
        <v>0</v>
      </c>
      <c r="CP1014" s="406">
        <f t="shared" si="823"/>
        <v>0</v>
      </c>
      <c r="CQ1014" s="326"/>
      <c r="CR1014" s="352">
        <f t="shared" ref="CR1014:CS1014" si="824">SUM(CR1006:CR1013)</f>
        <v>0</v>
      </c>
      <c r="CS1014" s="406">
        <f t="shared" si="824"/>
        <v>0</v>
      </c>
      <c r="CT1014" s="326"/>
      <c r="CU1014" s="352">
        <f t="shared" ref="CU1014:CV1014" si="825">SUM(CU1006:CU1013)</f>
        <v>0</v>
      </c>
      <c r="CV1014" s="406">
        <f t="shared" si="825"/>
        <v>0</v>
      </c>
      <c r="CW1014" s="326"/>
      <c r="CX1014" s="352">
        <f t="shared" ref="CX1014" si="826">SUM(CX1006:CX1013)</f>
        <v>0</v>
      </c>
    </row>
    <row r="1015" spans="1:102" ht="15" customHeight="1">
      <c r="A1015" s="49"/>
      <c r="B1015" s="38"/>
      <c r="C1015" s="38"/>
      <c r="D1015" s="38"/>
      <c r="E1015" s="38"/>
      <c r="F1015" s="38"/>
      <c r="G1015" s="38"/>
      <c r="H1015" s="38"/>
      <c r="I1015" s="38"/>
      <c r="J1015" s="38"/>
      <c r="K1015" s="38"/>
      <c r="L1015" s="38"/>
      <c r="M1015" s="38"/>
      <c r="N1015" s="38"/>
      <c r="O1015" s="38"/>
      <c r="P1015" s="38"/>
      <c r="Q1015" s="38"/>
      <c r="R1015" s="38"/>
      <c r="S1015" s="38"/>
      <c r="T1015" s="38"/>
      <c r="U1015" s="38"/>
      <c r="V1015" s="38"/>
      <c r="W1015" s="38"/>
      <c r="X1015" s="38"/>
      <c r="Y1015" s="38"/>
      <c r="Z1015" s="38"/>
      <c r="AA1015" s="38"/>
      <c r="AB1015" s="38"/>
      <c r="AC1015" s="38"/>
      <c r="AD1015" s="38"/>
    </row>
    <row r="1016" spans="1:102" ht="15">
      <c r="A1016" s="94"/>
      <c r="AA1016" s="875" t="s">
        <v>3233</v>
      </c>
      <c r="AB1016" s="875"/>
      <c r="AC1016" s="875"/>
      <c r="AD1016" s="875"/>
      <c r="AJ1016" s="356" t="s">
        <v>2650</v>
      </c>
      <c r="AK1016" s="283">
        <f>SUM(AJ1014,AM1014,AP1014,AS1014,AV1014,AY1014,BB1014,BE1014,BH1014,BK1014,BN1014,BQ1014,BT1014,BW1014,BZ1014,CC1014,CF1014,CI1014,CL1014,CO1014,CR1014,CU1014,CX1014)</f>
        <v>0</v>
      </c>
      <c r="AL1016" s="355" t="s">
        <v>2651</v>
      </c>
      <c r="AM1016" s="283">
        <f>SUM(AH1014,AK1014,AN1014,AQ1014,AT1014,AW1014,AZ1014,BC1014,BF1014,BI1014,BL1014,BO1014,BR1014,BU1014,BX1014,CA1014,CD1014,CG1014,CJ1014,CM1014,CP1014,CS1014,CV1014)</f>
        <v>0</v>
      </c>
      <c r="AN1016" s="283"/>
      <c r="AO1016" s="283"/>
    </row>
    <row r="1017" spans="1:102" ht="24" customHeight="1">
      <c r="A1017" s="103"/>
      <c r="B1017" s="113"/>
      <c r="C1017" s="797" t="s">
        <v>2581</v>
      </c>
      <c r="D1017" s="798"/>
      <c r="E1017" s="798"/>
      <c r="F1017" s="799"/>
      <c r="G1017" s="740" t="s">
        <v>3689</v>
      </c>
      <c r="H1017" s="740"/>
      <c r="I1017" s="740"/>
      <c r="J1017" s="740"/>
      <c r="K1017" s="740"/>
      <c r="L1017" s="740"/>
      <c r="M1017" s="740"/>
      <c r="N1017" s="740"/>
      <c r="O1017" s="740"/>
      <c r="P1017" s="740"/>
      <c r="Q1017" s="740"/>
      <c r="R1017" s="740"/>
      <c r="S1017" s="740"/>
      <c r="T1017" s="740"/>
      <c r="U1017" s="740"/>
      <c r="V1017" s="740"/>
      <c r="W1017" s="740"/>
      <c r="X1017" s="740"/>
      <c r="Y1017" s="740"/>
      <c r="Z1017" s="740"/>
      <c r="AA1017" s="740"/>
      <c r="AB1017" s="740"/>
      <c r="AC1017" s="740"/>
      <c r="AD1017" s="741"/>
      <c r="AJ1017" s="356" t="s">
        <v>2652</v>
      </c>
      <c r="AK1017" s="438">
        <f>IF(AM1016&gt;0,IF(SUM(J1014)&gt;=SUM(M1014,P1014,S1014,V1014,Y1014,AB1014,G1030,J1030,M1030,P1030,S1030,V1030,Y1030,AB1030,G1046,J1046,M1046,P1046,S1046,V1046,Y1046,AB1046),0,1),IF(SUM(J1014)&lt;&gt;SUM(M1014,P1014,S1014,V1014,Y1014,AB1014,G1030,J1030,M1030,P1030,S1030,V1030,Y1030,AB1030,G1046,J1046,M1046,P1046,S1046,V1046,Y1046,AB1046),1,0))</f>
        <v>0</v>
      </c>
      <c r="AL1017" s="357" t="s">
        <v>2653</v>
      </c>
      <c r="AM1017" s="438">
        <f>IF(AM1016&gt;0,IF(SUM(K1014)&gt;=SUM(N1014,Q1014,T1014,W1014,Z1014,AC1014,H1030,K1030,N1030,Q1030,T1030,W1030,Z1030,AC1030,H1046,K1046,N1046,Q1046,T1046,W1046,Z1046,AC1046),0,1),IF(SUM(K1014)&lt;&gt;SUM(N1014,Q1014,T1014,W1014,Z1014,AC1014,H1030,K1030,N1030,Q1030,T1030,W1030,Z1030,AC1030,H1046,K1046,N1046,Q1046,T1046,W1046,Z1046,AC1046),1,0))</f>
        <v>0</v>
      </c>
      <c r="AN1017" s="357" t="s">
        <v>2654</v>
      </c>
      <c r="AO1017" s="438">
        <f>IF(AM1016&gt;0,IF(SUM(L1014)&gt;=SUM(O1014,R1014,U1014,X1014,AA1014,AD1014,I1030,L1030,O1030,R1030,U1030,X1030,AA1030,AD1030,I1046,L1046,O1046,R1046,U1046,X1046,AA1046,AD1046),0,1),IF(SUM(L1014)&lt;&gt;SUM(O1014,R1014,U1014,X1014,AA1014,AD1014,I1030,L1030,O1030,R1030,U1030,X1030,AA1030,AD1030,I1046,L1046,O1046,R1046,U1046,X1046,AA1046,AD1046),1,0))</f>
        <v>0</v>
      </c>
    </row>
    <row r="1018" spans="1:102" ht="15" customHeight="1">
      <c r="A1018" s="103"/>
      <c r="B1018" s="113"/>
      <c r="C1018" s="800"/>
      <c r="D1018" s="801"/>
      <c r="E1018" s="801"/>
      <c r="F1018" s="802"/>
      <c r="G1018" s="733" t="s">
        <v>3268</v>
      </c>
      <c r="H1018" s="734"/>
      <c r="I1018" s="734"/>
      <c r="J1018" s="734"/>
      <c r="K1018" s="734"/>
      <c r="L1018" s="734"/>
      <c r="M1018" s="734"/>
      <c r="N1018" s="734"/>
      <c r="O1018" s="734"/>
      <c r="P1018" s="734"/>
      <c r="Q1018" s="734"/>
      <c r="R1018" s="734"/>
      <c r="S1018" s="734"/>
      <c r="T1018" s="734"/>
      <c r="U1018" s="734"/>
      <c r="V1018" s="734"/>
      <c r="W1018" s="734"/>
      <c r="X1018" s="734"/>
      <c r="Y1018" s="734"/>
      <c r="Z1018" s="734"/>
      <c r="AA1018" s="734"/>
      <c r="AB1018" s="734"/>
      <c r="AC1018" s="734"/>
      <c r="AD1018" s="735"/>
    </row>
    <row r="1019" spans="1:102" ht="15" customHeight="1">
      <c r="A1019" s="103"/>
      <c r="B1019" s="113"/>
      <c r="C1019" s="800"/>
      <c r="D1019" s="801"/>
      <c r="E1019" s="801"/>
      <c r="F1019" s="802"/>
      <c r="G1019" s="733" t="s">
        <v>3269</v>
      </c>
      <c r="H1019" s="734"/>
      <c r="I1019" s="734"/>
      <c r="J1019" s="734"/>
      <c r="K1019" s="734"/>
      <c r="L1019" s="734"/>
      <c r="M1019" s="734"/>
      <c r="N1019" s="734"/>
      <c r="O1019" s="734"/>
      <c r="P1019" s="734"/>
      <c r="Q1019" s="734"/>
      <c r="R1019" s="735"/>
      <c r="S1019" s="841" t="s">
        <v>3290</v>
      </c>
      <c r="T1019" s="950"/>
      <c r="U1019" s="842"/>
      <c r="V1019" s="841" t="s">
        <v>3291</v>
      </c>
      <c r="W1019" s="950"/>
      <c r="X1019" s="842"/>
      <c r="Y1019" s="841" t="s">
        <v>3292</v>
      </c>
      <c r="Z1019" s="950"/>
      <c r="AA1019" s="842"/>
      <c r="AB1019" s="841" t="s">
        <v>3293</v>
      </c>
      <c r="AC1019" s="950"/>
      <c r="AD1019" s="842"/>
    </row>
    <row r="1020" spans="1:102" ht="84" customHeight="1">
      <c r="A1020" s="103"/>
      <c r="C1020" s="800"/>
      <c r="D1020" s="801"/>
      <c r="E1020" s="801"/>
      <c r="F1020" s="802"/>
      <c r="G1020" s="845" t="s">
        <v>3294</v>
      </c>
      <c r="H1020" s="952"/>
      <c r="I1020" s="846"/>
      <c r="J1020" s="845" t="s">
        <v>3295</v>
      </c>
      <c r="K1020" s="952"/>
      <c r="L1020" s="846"/>
      <c r="M1020" s="845" t="s">
        <v>3296</v>
      </c>
      <c r="N1020" s="952"/>
      <c r="O1020" s="846"/>
      <c r="P1020" s="845" t="s">
        <v>3297</v>
      </c>
      <c r="Q1020" s="952"/>
      <c r="R1020" s="846"/>
      <c r="S1020" s="843"/>
      <c r="T1020" s="951"/>
      <c r="U1020" s="844"/>
      <c r="V1020" s="843"/>
      <c r="W1020" s="951"/>
      <c r="X1020" s="844"/>
      <c r="Y1020" s="843"/>
      <c r="Z1020" s="951"/>
      <c r="AA1020" s="844"/>
      <c r="AB1020" s="843"/>
      <c r="AC1020" s="951"/>
      <c r="AD1020" s="844"/>
    </row>
    <row r="1021" spans="1:102" ht="48" customHeight="1">
      <c r="A1021" s="103"/>
      <c r="C1021" s="803"/>
      <c r="D1021" s="804"/>
      <c r="E1021" s="804"/>
      <c r="F1021" s="805"/>
      <c r="G1021" s="127" t="s">
        <v>2635</v>
      </c>
      <c r="H1021" s="128" t="s">
        <v>2629</v>
      </c>
      <c r="I1021" s="128" t="s">
        <v>2630</v>
      </c>
      <c r="J1021" s="127" t="s">
        <v>2635</v>
      </c>
      <c r="K1021" s="128" t="s">
        <v>2629</v>
      </c>
      <c r="L1021" s="128" t="s">
        <v>2630</v>
      </c>
      <c r="M1021" s="127" t="s">
        <v>2635</v>
      </c>
      <c r="N1021" s="128" t="s">
        <v>2629</v>
      </c>
      <c r="O1021" s="128" t="s">
        <v>2630</v>
      </c>
      <c r="P1021" s="127" t="s">
        <v>2635</v>
      </c>
      <c r="Q1021" s="128" t="s">
        <v>2629</v>
      </c>
      <c r="R1021" s="128" t="s">
        <v>2630</v>
      </c>
      <c r="S1021" s="127" t="s">
        <v>2635</v>
      </c>
      <c r="T1021" s="128" t="s">
        <v>2629</v>
      </c>
      <c r="U1021" s="128" t="s">
        <v>2630</v>
      </c>
      <c r="V1021" s="127" t="s">
        <v>2635</v>
      </c>
      <c r="W1021" s="128" t="s">
        <v>2629</v>
      </c>
      <c r="X1021" s="128" t="s">
        <v>2630</v>
      </c>
      <c r="Y1021" s="127" t="s">
        <v>2635</v>
      </c>
      <c r="Z1021" s="128" t="s">
        <v>2629</v>
      </c>
      <c r="AA1021" s="128" t="s">
        <v>2630</v>
      </c>
      <c r="AB1021" s="127" t="s">
        <v>2635</v>
      </c>
      <c r="AC1021" s="128" t="s">
        <v>2629</v>
      </c>
      <c r="AD1021" s="128" t="s">
        <v>2630</v>
      </c>
    </row>
    <row r="1022" spans="1:102" ht="15" customHeight="1">
      <c r="A1022" s="49"/>
      <c r="B1022" s="90"/>
      <c r="C1022" s="97" t="s">
        <v>2516</v>
      </c>
      <c r="D1022" s="813" t="str">
        <f>IF(CNSIPEE_2024_M2_Secc1!D42="","",CNSIPEE_2024_M2_Secc1!D42)</f>
        <v/>
      </c>
      <c r="E1022" s="814"/>
      <c r="F1022" s="815"/>
      <c r="G1022" s="100"/>
      <c r="H1022" s="100"/>
      <c r="I1022" s="100"/>
      <c r="J1022" s="100"/>
      <c r="K1022" s="100"/>
      <c r="L1022" s="100"/>
      <c r="M1022" s="100"/>
      <c r="N1022" s="100"/>
      <c r="O1022" s="100"/>
      <c r="P1022" s="100"/>
      <c r="Q1022" s="100"/>
      <c r="R1022" s="100"/>
      <c r="S1022" s="100"/>
      <c r="T1022" s="100"/>
      <c r="U1022" s="100"/>
      <c r="V1022" s="100"/>
      <c r="W1022" s="100"/>
      <c r="X1022" s="100"/>
      <c r="Y1022" s="100"/>
      <c r="Z1022" s="100"/>
      <c r="AA1022" s="100"/>
      <c r="AB1022" s="100"/>
      <c r="AC1022" s="100"/>
      <c r="AD1022" s="100"/>
    </row>
    <row r="1023" spans="1:102" ht="15" customHeight="1">
      <c r="A1023" s="49"/>
      <c r="B1023" s="90"/>
      <c r="C1023" s="143" t="s">
        <v>2517</v>
      </c>
      <c r="D1023" s="813" t="str">
        <f>IF(CNSIPEE_2024_M2_Secc1!D43="","",CNSIPEE_2024_M2_Secc1!D43)</f>
        <v/>
      </c>
      <c r="E1023" s="814"/>
      <c r="F1023" s="815"/>
      <c r="G1023" s="100"/>
      <c r="H1023" s="100"/>
      <c r="I1023" s="100"/>
      <c r="J1023" s="100"/>
      <c r="K1023" s="100"/>
      <c r="L1023" s="100"/>
      <c r="M1023" s="100"/>
      <c r="N1023" s="100"/>
      <c r="O1023" s="100"/>
      <c r="P1023" s="100"/>
      <c r="Q1023" s="100"/>
      <c r="R1023" s="100"/>
      <c r="S1023" s="100"/>
      <c r="T1023" s="100"/>
      <c r="U1023" s="100"/>
      <c r="V1023" s="100"/>
      <c r="W1023" s="100"/>
      <c r="X1023" s="100"/>
      <c r="Y1023" s="100"/>
      <c r="Z1023" s="100"/>
      <c r="AA1023" s="100"/>
      <c r="AB1023" s="100"/>
      <c r="AC1023" s="100"/>
      <c r="AD1023" s="100"/>
    </row>
    <row r="1024" spans="1:102" ht="15" customHeight="1">
      <c r="A1024" s="49"/>
      <c r="B1024" s="90"/>
      <c r="C1024" s="143" t="s">
        <v>2518</v>
      </c>
      <c r="D1024" s="813" t="str">
        <f>IF(CNSIPEE_2024_M2_Secc1!D44="","",CNSIPEE_2024_M2_Secc1!D44)</f>
        <v/>
      </c>
      <c r="E1024" s="814"/>
      <c r="F1024" s="815"/>
      <c r="G1024" s="100"/>
      <c r="H1024" s="100"/>
      <c r="I1024" s="100"/>
      <c r="J1024" s="100"/>
      <c r="K1024" s="100"/>
      <c r="L1024" s="100"/>
      <c r="M1024" s="100"/>
      <c r="N1024" s="100"/>
      <c r="O1024" s="100"/>
      <c r="P1024" s="100"/>
      <c r="Q1024" s="100"/>
      <c r="R1024" s="100"/>
      <c r="S1024" s="100"/>
      <c r="T1024" s="100"/>
      <c r="U1024" s="100"/>
      <c r="V1024" s="100"/>
      <c r="W1024" s="100"/>
      <c r="X1024" s="100"/>
      <c r="Y1024" s="100"/>
      <c r="Z1024" s="100"/>
      <c r="AA1024" s="100"/>
      <c r="AB1024" s="100"/>
      <c r="AC1024" s="100"/>
      <c r="AD1024" s="100"/>
    </row>
    <row r="1025" spans="1:30" ht="15" customHeight="1">
      <c r="A1025" s="49"/>
      <c r="B1025" s="90"/>
      <c r="C1025" s="143" t="s">
        <v>2519</v>
      </c>
      <c r="D1025" s="813" t="str">
        <f>IF(CNSIPEE_2024_M2_Secc1!D45="","",CNSIPEE_2024_M2_Secc1!D45)</f>
        <v/>
      </c>
      <c r="E1025" s="814"/>
      <c r="F1025" s="815"/>
      <c r="G1025" s="100"/>
      <c r="H1025" s="100"/>
      <c r="I1025" s="100"/>
      <c r="J1025" s="100"/>
      <c r="K1025" s="100"/>
      <c r="L1025" s="100"/>
      <c r="M1025" s="100"/>
      <c r="N1025" s="100"/>
      <c r="O1025" s="100"/>
      <c r="P1025" s="100"/>
      <c r="Q1025" s="100"/>
      <c r="R1025" s="100"/>
      <c r="S1025" s="100"/>
      <c r="T1025" s="100"/>
      <c r="U1025" s="100"/>
      <c r="V1025" s="100"/>
      <c r="W1025" s="100"/>
      <c r="X1025" s="100"/>
      <c r="Y1025" s="100"/>
      <c r="Z1025" s="100"/>
      <c r="AA1025" s="100"/>
      <c r="AB1025" s="100"/>
      <c r="AC1025" s="100"/>
      <c r="AD1025" s="100"/>
    </row>
    <row r="1026" spans="1:30" ht="15" customHeight="1">
      <c r="A1026" s="49"/>
      <c r="B1026" s="90"/>
      <c r="C1026" s="143" t="s">
        <v>2520</v>
      </c>
      <c r="D1026" s="813" t="str">
        <f>IF(CNSIPEE_2024_M2_Secc1!D46="","",CNSIPEE_2024_M2_Secc1!D46)</f>
        <v/>
      </c>
      <c r="E1026" s="814"/>
      <c r="F1026" s="815"/>
      <c r="G1026" s="100"/>
      <c r="H1026" s="100"/>
      <c r="I1026" s="100"/>
      <c r="J1026" s="100"/>
      <c r="K1026" s="100"/>
      <c r="L1026" s="100"/>
      <c r="M1026" s="100"/>
      <c r="N1026" s="100"/>
      <c r="O1026" s="100"/>
      <c r="P1026" s="100"/>
      <c r="Q1026" s="100"/>
      <c r="R1026" s="100"/>
      <c r="S1026" s="100"/>
      <c r="T1026" s="100"/>
      <c r="U1026" s="100"/>
      <c r="V1026" s="100"/>
      <c r="W1026" s="100"/>
      <c r="X1026" s="100"/>
      <c r="Y1026" s="100"/>
      <c r="Z1026" s="100"/>
      <c r="AA1026" s="100"/>
      <c r="AB1026" s="100"/>
      <c r="AC1026" s="100"/>
      <c r="AD1026" s="100"/>
    </row>
    <row r="1027" spans="1:30" ht="15" customHeight="1">
      <c r="A1027" s="49"/>
      <c r="B1027" s="90"/>
      <c r="C1027" s="143" t="s">
        <v>2521</v>
      </c>
      <c r="D1027" s="813" t="str">
        <f>IF(CNSIPEE_2024_M2_Secc1!D47="","",CNSIPEE_2024_M2_Secc1!D47)</f>
        <v/>
      </c>
      <c r="E1027" s="814"/>
      <c r="F1027" s="815"/>
      <c r="G1027" s="100"/>
      <c r="H1027" s="100"/>
      <c r="I1027" s="100"/>
      <c r="J1027" s="100"/>
      <c r="K1027" s="100"/>
      <c r="L1027" s="100"/>
      <c r="M1027" s="100"/>
      <c r="N1027" s="100"/>
      <c r="O1027" s="100"/>
      <c r="P1027" s="100"/>
      <c r="Q1027" s="100"/>
      <c r="R1027" s="100"/>
      <c r="S1027" s="100"/>
      <c r="T1027" s="100"/>
      <c r="U1027" s="100"/>
      <c r="V1027" s="100"/>
      <c r="W1027" s="100"/>
      <c r="X1027" s="100"/>
      <c r="Y1027" s="100"/>
      <c r="Z1027" s="100"/>
      <c r="AA1027" s="100"/>
      <c r="AB1027" s="100"/>
      <c r="AC1027" s="100"/>
      <c r="AD1027" s="100"/>
    </row>
    <row r="1028" spans="1:30" ht="15" customHeight="1">
      <c r="A1028" s="49"/>
      <c r="B1028" s="90"/>
      <c r="C1028" s="143" t="s">
        <v>2522</v>
      </c>
      <c r="D1028" s="813" t="str">
        <f>IF(CNSIPEE_2024_M2_Secc1!D48="","",CNSIPEE_2024_M2_Secc1!D48)</f>
        <v/>
      </c>
      <c r="E1028" s="814"/>
      <c r="F1028" s="815"/>
      <c r="G1028" s="100"/>
      <c r="H1028" s="100"/>
      <c r="I1028" s="100"/>
      <c r="J1028" s="100"/>
      <c r="K1028" s="100"/>
      <c r="L1028" s="100"/>
      <c r="M1028" s="100"/>
      <c r="N1028" s="100"/>
      <c r="O1028" s="100"/>
      <c r="P1028" s="100"/>
      <c r="Q1028" s="100"/>
      <c r="R1028" s="100"/>
      <c r="S1028" s="100"/>
      <c r="T1028" s="100"/>
      <c r="U1028" s="100"/>
      <c r="V1028" s="100"/>
      <c r="W1028" s="100"/>
      <c r="X1028" s="100"/>
      <c r="Y1028" s="100"/>
      <c r="Z1028" s="100"/>
      <c r="AA1028" s="100"/>
      <c r="AB1028" s="100"/>
      <c r="AC1028" s="100"/>
      <c r="AD1028" s="100"/>
    </row>
    <row r="1029" spans="1:30" ht="15" customHeight="1">
      <c r="A1029" s="49"/>
      <c r="B1029" s="90"/>
      <c r="C1029" s="143" t="s">
        <v>2523</v>
      </c>
      <c r="D1029" s="813" t="str">
        <f>IF(CNSIPEE_2024_M2_Secc1!D49="","",CNSIPEE_2024_M2_Secc1!D49)</f>
        <v/>
      </c>
      <c r="E1029" s="814"/>
      <c r="F1029" s="815"/>
      <c r="G1029" s="100"/>
      <c r="H1029" s="100"/>
      <c r="I1029" s="100"/>
      <c r="J1029" s="100"/>
      <c r="K1029" s="100"/>
      <c r="L1029" s="100"/>
      <c r="M1029" s="100"/>
      <c r="N1029" s="100"/>
      <c r="O1029" s="100"/>
      <c r="P1029" s="100"/>
      <c r="Q1029" s="100"/>
      <c r="R1029" s="100"/>
      <c r="S1029" s="100"/>
      <c r="T1029" s="100"/>
      <c r="U1029" s="100"/>
      <c r="V1029" s="100"/>
      <c r="W1029" s="100"/>
      <c r="X1029" s="100"/>
      <c r="Y1029" s="100"/>
      <c r="Z1029" s="100"/>
      <c r="AA1029" s="100"/>
      <c r="AB1029" s="100"/>
      <c r="AC1029" s="100"/>
      <c r="AD1029" s="100"/>
    </row>
    <row r="1030" spans="1:30" ht="15" customHeight="1">
      <c r="A1030" s="49"/>
      <c r="B1030" s="90"/>
      <c r="C1030" s="90"/>
      <c r="D1030" s="90"/>
      <c r="E1030" s="90"/>
      <c r="F1030" s="117"/>
      <c r="G1030" s="124">
        <f>IF(AND(SUM(G1022:G1029)=0,COUNTIF(G1022:G1029,"NS")&gt;0),"NS",
IF(AND(SUM(G1022:G1029)=0,COUNTIF(G1022:G1029,0)&gt;0),0,
IF(AND(SUM(G1022:G1029)=0,COUNTIF(G1022:G1029,"NA")&gt;0),"NA",
SUM(G1022:G1029))))</f>
        <v>0</v>
      </c>
      <c r="H1030" s="124">
        <f t="shared" ref="H1030:AD1030" si="827">IF(AND(SUM(H1022:H1029)=0,COUNTIF(H1022:H1029,"NS")&gt;0),"NS",
IF(AND(SUM(H1022:H1029)=0,COUNTIF(H1022:H1029,0)&gt;0),0,
IF(AND(SUM(H1022:H1029)=0,COUNTIF(H1022:H1029,"NA")&gt;0),"NA",
SUM(H1022:H1029))))</f>
        <v>0</v>
      </c>
      <c r="I1030" s="124">
        <f t="shared" si="827"/>
        <v>0</v>
      </c>
      <c r="J1030" s="124">
        <f t="shared" si="827"/>
        <v>0</v>
      </c>
      <c r="K1030" s="124">
        <f t="shared" si="827"/>
        <v>0</v>
      </c>
      <c r="L1030" s="124">
        <f t="shared" si="827"/>
        <v>0</v>
      </c>
      <c r="M1030" s="124">
        <f t="shared" si="827"/>
        <v>0</v>
      </c>
      <c r="N1030" s="124">
        <f t="shared" si="827"/>
        <v>0</v>
      </c>
      <c r="O1030" s="124">
        <f t="shared" si="827"/>
        <v>0</v>
      </c>
      <c r="P1030" s="124">
        <f t="shared" si="827"/>
        <v>0</v>
      </c>
      <c r="Q1030" s="124">
        <f t="shared" si="827"/>
        <v>0</v>
      </c>
      <c r="R1030" s="124">
        <f t="shared" si="827"/>
        <v>0</v>
      </c>
      <c r="S1030" s="124">
        <f t="shared" si="827"/>
        <v>0</v>
      </c>
      <c r="T1030" s="124">
        <f t="shared" si="827"/>
        <v>0</v>
      </c>
      <c r="U1030" s="124">
        <f t="shared" si="827"/>
        <v>0</v>
      </c>
      <c r="V1030" s="124">
        <f t="shared" si="827"/>
        <v>0</v>
      </c>
      <c r="W1030" s="124">
        <f t="shared" si="827"/>
        <v>0</v>
      </c>
      <c r="X1030" s="124">
        <f t="shared" si="827"/>
        <v>0</v>
      </c>
      <c r="Y1030" s="124">
        <f t="shared" si="827"/>
        <v>0</v>
      </c>
      <c r="Z1030" s="124">
        <f t="shared" si="827"/>
        <v>0</v>
      </c>
      <c r="AA1030" s="124">
        <f t="shared" si="827"/>
        <v>0</v>
      </c>
      <c r="AB1030" s="124">
        <f t="shared" si="827"/>
        <v>0</v>
      </c>
      <c r="AC1030" s="124">
        <f t="shared" si="827"/>
        <v>0</v>
      </c>
      <c r="AD1030" s="124">
        <f t="shared" si="827"/>
        <v>0</v>
      </c>
    </row>
    <row r="1031" spans="1:30" ht="15" customHeight="1">
      <c r="A1031" s="49"/>
      <c r="B1031" s="90"/>
      <c r="C1031" s="90"/>
      <c r="D1031" s="90"/>
      <c r="E1031" s="90"/>
      <c r="F1031" s="90"/>
      <c r="G1031" s="90"/>
      <c r="H1031" s="90"/>
      <c r="I1031" s="90"/>
      <c r="J1031" s="90"/>
      <c r="K1031" s="90"/>
      <c r="L1031" s="90"/>
      <c r="M1031" s="90"/>
      <c r="N1031" s="90"/>
      <c r="O1031" s="90"/>
      <c r="P1031" s="90"/>
      <c r="Q1031" s="90"/>
      <c r="R1031" s="90"/>
      <c r="S1031" s="90"/>
      <c r="T1031" s="90"/>
      <c r="U1031" s="90"/>
      <c r="V1031" s="90"/>
      <c r="W1031" s="90"/>
      <c r="X1031" s="90"/>
      <c r="Y1031" s="90"/>
      <c r="Z1031" s="90"/>
      <c r="AA1031" s="90"/>
      <c r="AB1031" s="90"/>
      <c r="AC1031" s="90"/>
      <c r="AD1031" s="90"/>
    </row>
    <row r="1032" spans="1:30" ht="15" customHeight="1">
      <c r="A1032" s="94"/>
      <c r="AA1032" s="875" t="s">
        <v>3240</v>
      </c>
      <c r="AB1032" s="875"/>
      <c r="AC1032" s="875"/>
      <c r="AD1032" s="875"/>
    </row>
    <row r="1033" spans="1:30" ht="24" customHeight="1">
      <c r="A1033" s="103"/>
      <c r="B1033" s="113"/>
      <c r="C1033" s="797" t="s">
        <v>2581</v>
      </c>
      <c r="D1033" s="798"/>
      <c r="E1033" s="798"/>
      <c r="F1033" s="799"/>
      <c r="G1033" s="740" t="s">
        <v>3689</v>
      </c>
      <c r="H1033" s="740"/>
      <c r="I1033" s="740"/>
      <c r="J1033" s="740"/>
      <c r="K1033" s="740"/>
      <c r="L1033" s="740"/>
      <c r="M1033" s="740"/>
      <c r="N1033" s="740"/>
      <c r="O1033" s="740"/>
      <c r="P1033" s="740"/>
      <c r="Q1033" s="740"/>
      <c r="R1033" s="740"/>
      <c r="S1033" s="740"/>
      <c r="T1033" s="740"/>
      <c r="U1033" s="740"/>
      <c r="V1033" s="740"/>
      <c r="W1033" s="740"/>
      <c r="X1033" s="740"/>
      <c r="Y1033" s="740"/>
      <c r="Z1033" s="740"/>
      <c r="AA1033" s="740"/>
      <c r="AB1033" s="740"/>
      <c r="AC1033" s="740"/>
      <c r="AD1033" s="741"/>
    </row>
    <row r="1034" spans="1:30" ht="15" customHeight="1">
      <c r="A1034" s="103"/>
      <c r="B1034" s="113"/>
      <c r="C1034" s="800"/>
      <c r="D1034" s="801"/>
      <c r="E1034" s="801"/>
      <c r="F1034" s="802"/>
      <c r="G1034" s="733" t="s">
        <v>3268</v>
      </c>
      <c r="H1034" s="734"/>
      <c r="I1034" s="734"/>
      <c r="J1034" s="734"/>
      <c r="K1034" s="734"/>
      <c r="L1034" s="734"/>
      <c r="M1034" s="734"/>
      <c r="N1034" s="734"/>
      <c r="O1034" s="735"/>
      <c r="P1034" s="733" t="s">
        <v>3298</v>
      </c>
      <c r="Q1034" s="734"/>
      <c r="R1034" s="734"/>
      <c r="S1034" s="734"/>
      <c r="T1034" s="734"/>
      <c r="U1034" s="734"/>
      <c r="V1034" s="734"/>
      <c r="W1034" s="734"/>
      <c r="X1034" s="735"/>
      <c r="Y1034" s="841" t="s">
        <v>3299</v>
      </c>
      <c r="Z1034" s="950"/>
      <c r="AA1034" s="842"/>
      <c r="AB1034" s="841" t="s">
        <v>201</v>
      </c>
      <c r="AC1034" s="950"/>
      <c r="AD1034" s="842"/>
    </row>
    <row r="1035" spans="1:30" ht="15" customHeight="1">
      <c r="A1035" s="103"/>
      <c r="B1035" s="113"/>
      <c r="C1035" s="800"/>
      <c r="D1035" s="801"/>
      <c r="E1035" s="801"/>
      <c r="F1035" s="802"/>
      <c r="G1035" s="841" t="s">
        <v>3300</v>
      </c>
      <c r="H1035" s="950"/>
      <c r="I1035" s="842"/>
      <c r="J1035" s="841" t="s">
        <v>3301</v>
      </c>
      <c r="K1035" s="950"/>
      <c r="L1035" s="842"/>
      <c r="M1035" s="841" t="s">
        <v>3302</v>
      </c>
      <c r="N1035" s="950"/>
      <c r="O1035" s="842"/>
      <c r="P1035" s="841" t="s">
        <v>3303</v>
      </c>
      <c r="Q1035" s="950"/>
      <c r="R1035" s="842"/>
      <c r="S1035" s="841" t="s">
        <v>3304</v>
      </c>
      <c r="T1035" s="950"/>
      <c r="U1035" s="842"/>
      <c r="V1035" s="841" t="s">
        <v>3305</v>
      </c>
      <c r="W1035" s="950"/>
      <c r="X1035" s="842"/>
      <c r="Y1035" s="843"/>
      <c r="Z1035" s="951"/>
      <c r="AA1035" s="844"/>
      <c r="AB1035" s="843"/>
      <c r="AC1035" s="951"/>
      <c r="AD1035" s="844"/>
    </row>
    <row r="1036" spans="1:30" ht="84" customHeight="1">
      <c r="A1036" s="103"/>
      <c r="C1036" s="800"/>
      <c r="D1036" s="801"/>
      <c r="E1036" s="801"/>
      <c r="F1036" s="802"/>
      <c r="G1036" s="843"/>
      <c r="H1036" s="951"/>
      <c r="I1036" s="844"/>
      <c r="J1036" s="843"/>
      <c r="K1036" s="951"/>
      <c r="L1036" s="844"/>
      <c r="M1036" s="843"/>
      <c r="N1036" s="951"/>
      <c r="O1036" s="844"/>
      <c r="P1036" s="843"/>
      <c r="Q1036" s="951"/>
      <c r="R1036" s="844"/>
      <c r="S1036" s="843"/>
      <c r="T1036" s="951"/>
      <c r="U1036" s="844"/>
      <c r="V1036" s="843"/>
      <c r="W1036" s="951"/>
      <c r="X1036" s="844"/>
      <c r="Y1036" s="845"/>
      <c r="Z1036" s="952"/>
      <c r="AA1036" s="846"/>
      <c r="AB1036" s="845"/>
      <c r="AC1036" s="952"/>
      <c r="AD1036" s="846"/>
    </row>
    <row r="1037" spans="1:30" ht="48" customHeight="1">
      <c r="A1037" s="103"/>
      <c r="C1037" s="803"/>
      <c r="D1037" s="804"/>
      <c r="E1037" s="804"/>
      <c r="F1037" s="805"/>
      <c r="G1037" s="127" t="s">
        <v>2635</v>
      </c>
      <c r="H1037" s="128" t="s">
        <v>2629</v>
      </c>
      <c r="I1037" s="128" t="s">
        <v>2630</v>
      </c>
      <c r="J1037" s="127" t="s">
        <v>2635</v>
      </c>
      <c r="K1037" s="128" t="s">
        <v>2629</v>
      </c>
      <c r="L1037" s="128" t="s">
        <v>2630</v>
      </c>
      <c r="M1037" s="127" t="s">
        <v>2635</v>
      </c>
      <c r="N1037" s="128" t="s">
        <v>2629</v>
      </c>
      <c r="O1037" s="128" t="s">
        <v>2630</v>
      </c>
      <c r="P1037" s="127" t="s">
        <v>2635</v>
      </c>
      <c r="Q1037" s="128" t="s">
        <v>2629</v>
      </c>
      <c r="R1037" s="128" t="s">
        <v>2630</v>
      </c>
      <c r="S1037" s="127" t="s">
        <v>2635</v>
      </c>
      <c r="T1037" s="128" t="s">
        <v>2629</v>
      </c>
      <c r="U1037" s="128" t="s">
        <v>2630</v>
      </c>
      <c r="V1037" s="127" t="s">
        <v>2635</v>
      </c>
      <c r="W1037" s="128" t="s">
        <v>2629</v>
      </c>
      <c r="X1037" s="128" t="s">
        <v>2630</v>
      </c>
      <c r="Y1037" s="127" t="s">
        <v>2635</v>
      </c>
      <c r="Z1037" s="128" t="s">
        <v>2629</v>
      </c>
      <c r="AA1037" s="128" t="s">
        <v>2630</v>
      </c>
      <c r="AB1037" s="127" t="s">
        <v>2635</v>
      </c>
      <c r="AC1037" s="128" t="s">
        <v>2629</v>
      </c>
      <c r="AD1037" s="128" t="s">
        <v>2630</v>
      </c>
    </row>
    <row r="1038" spans="1:30" ht="15" customHeight="1">
      <c r="A1038" s="49"/>
      <c r="B1038" s="90"/>
      <c r="C1038" s="97" t="s">
        <v>2516</v>
      </c>
      <c r="D1038" s="813" t="str">
        <f>IF(CNSIPEE_2024_M2_Secc1!D42="","",CNSIPEE_2024_M2_Secc1!D42)</f>
        <v/>
      </c>
      <c r="E1038" s="814"/>
      <c r="F1038" s="815"/>
      <c r="G1038" s="100"/>
      <c r="H1038" s="100"/>
      <c r="I1038" s="100"/>
      <c r="J1038" s="100"/>
      <c r="K1038" s="100"/>
      <c r="L1038" s="100"/>
      <c r="M1038" s="100"/>
      <c r="N1038" s="100"/>
      <c r="O1038" s="100"/>
      <c r="P1038" s="100"/>
      <c r="Q1038" s="100"/>
      <c r="R1038" s="100"/>
      <c r="S1038" s="100"/>
      <c r="T1038" s="100"/>
      <c r="U1038" s="100"/>
      <c r="V1038" s="100"/>
      <c r="W1038" s="100"/>
      <c r="X1038" s="100"/>
      <c r="Y1038" s="100"/>
      <c r="Z1038" s="100"/>
      <c r="AA1038" s="100"/>
      <c r="AB1038" s="100"/>
      <c r="AC1038" s="100"/>
      <c r="AD1038" s="100"/>
    </row>
    <row r="1039" spans="1:30" ht="15" customHeight="1">
      <c r="A1039" s="49"/>
      <c r="B1039" s="90"/>
      <c r="C1039" s="143" t="s">
        <v>2517</v>
      </c>
      <c r="D1039" s="813" t="str">
        <f>IF(CNSIPEE_2024_M2_Secc1!D43="","",CNSIPEE_2024_M2_Secc1!D43)</f>
        <v/>
      </c>
      <c r="E1039" s="814"/>
      <c r="F1039" s="815"/>
      <c r="G1039" s="100"/>
      <c r="H1039" s="100"/>
      <c r="I1039" s="100"/>
      <c r="J1039" s="100"/>
      <c r="K1039" s="100"/>
      <c r="L1039" s="100"/>
      <c r="M1039" s="100"/>
      <c r="N1039" s="100"/>
      <c r="O1039" s="100"/>
      <c r="P1039" s="100"/>
      <c r="Q1039" s="100"/>
      <c r="R1039" s="100"/>
      <c r="S1039" s="100"/>
      <c r="T1039" s="100"/>
      <c r="U1039" s="100"/>
      <c r="V1039" s="100"/>
      <c r="W1039" s="100"/>
      <c r="X1039" s="100"/>
      <c r="Y1039" s="100"/>
      <c r="Z1039" s="100"/>
      <c r="AA1039" s="100"/>
      <c r="AB1039" s="100"/>
      <c r="AC1039" s="100"/>
      <c r="AD1039" s="100"/>
    </row>
    <row r="1040" spans="1:30" ht="15" customHeight="1">
      <c r="A1040" s="49"/>
      <c r="B1040" s="90"/>
      <c r="C1040" s="143" t="s">
        <v>2518</v>
      </c>
      <c r="D1040" s="813" t="str">
        <f>IF(CNSIPEE_2024_M2_Secc1!D44="","",CNSIPEE_2024_M2_Secc1!D44)</f>
        <v/>
      </c>
      <c r="E1040" s="814"/>
      <c r="F1040" s="815"/>
      <c r="G1040" s="100"/>
      <c r="H1040" s="100"/>
      <c r="I1040" s="100"/>
      <c r="J1040" s="100"/>
      <c r="K1040" s="100"/>
      <c r="L1040" s="100"/>
      <c r="M1040" s="100"/>
      <c r="N1040" s="100"/>
      <c r="O1040" s="100"/>
      <c r="P1040" s="100"/>
      <c r="Q1040" s="100"/>
      <c r="R1040" s="100"/>
      <c r="S1040" s="100"/>
      <c r="T1040" s="100"/>
      <c r="U1040" s="100"/>
      <c r="V1040" s="100"/>
      <c r="W1040" s="100"/>
      <c r="X1040" s="100"/>
      <c r="Y1040" s="100"/>
      <c r="Z1040" s="100"/>
      <c r="AA1040" s="100"/>
      <c r="AB1040" s="100"/>
      <c r="AC1040" s="100"/>
      <c r="AD1040" s="100"/>
    </row>
    <row r="1041" spans="1:31" ht="15" customHeight="1">
      <c r="A1041" s="49"/>
      <c r="B1041" s="90"/>
      <c r="C1041" s="143" t="s">
        <v>2519</v>
      </c>
      <c r="D1041" s="813" t="str">
        <f>IF(CNSIPEE_2024_M2_Secc1!D45="","",CNSIPEE_2024_M2_Secc1!D45)</f>
        <v/>
      </c>
      <c r="E1041" s="814"/>
      <c r="F1041" s="815"/>
      <c r="G1041" s="100"/>
      <c r="H1041" s="100"/>
      <c r="I1041" s="100"/>
      <c r="J1041" s="100"/>
      <c r="K1041" s="100"/>
      <c r="L1041" s="100"/>
      <c r="M1041" s="100"/>
      <c r="N1041" s="100"/>
      <c r="O1041" s="100"/>
      <c r="P1041" s="100"/>
      <c r="Q1041" s="100"/>
      <c r="R1041" s="100"/>
      <c r="S1041" s="100"/>
      <c r="T1041" s="100"/>
      <c r="U1041" s="100"/>
      <c r="V1041" s="100"/>
      <c r="W1041" s="100"/>
      <c r="X1041" s="100"/>
      <c r="Y1041" s="100"/>
      <c r="Z1041" s="100"/>
      <c r="AA1041" s="100"/>
      <c r="AB1041" s="100"/>
      <c r="AC1041" s="100"/>
      <c r="AD1041" s="100"/>
    </row>
    <row r="1042" spans="1:31" ht="15" customHeight="1">
      <c r="A1042" s="49"/>
      <c r="B1042" s="90"/>
      <c r="C1042" s="143" t="s">
        <v>2520</v>
      </c>
      <c r="D1042" s="813" t="str">
        <f>IF(CNSIPEE_2024_M2_Secc1!D46="","",CNSIPEE_2024_M2_Secc1!D46)</f>
        <v/>
      </c>
      <c r="E1042" s="814"/>
      <c r="F1042" s="815"/>
      <c r="G1042" s="100"/>
      <c r="H1042" s="100"/>
      <c r="I1042" s="100"/>
      <c r="J1042" s="100"/>
      <c r="K1042" s="100"/>
      <c r="L1042" s="100"/>
      <c r="M1042" s="100"/>
      <c r="N1042" s="100"/>
      <c r="O1042" s="100"/>
      <c r="P1042" s="100"/>
      <c r="Q1042" s="100"/>
      <c r="R1042" s="100"/>
      <c r="S1042" s="100"/>
      <c r="T1042" s="100"/>
      <c r="U1042" s="100"/>
      <c r="V1042" s="100"/>
      <c r="W1042" s="100"/>
      <c r="X1042" s="100"/>
      <c r="Y1042" s="100"/>
      <c r="Z1042" s="100"/>
      <c r="AA1042" s="100"/>
      <c r="AB1042" s="100"/>
      <c r="AC1042" s="100"/>
      <c r="AD1042" s="100"/>
    </row>
    <row r="1043" spans="1:31" ht="15" customHeight="1">
      <c r="A1043" s="49"/>
      <c r="B1043" s="90"/>
      <c r="C1043" s="143" t="s">
        <v>2521</v>
      </c>
      <c r="D1043" s="813" t="str">
        <f>IF(CNSIPEE_2024_M2_Secc1!D47="","",CNSIPEE_2024_M2_Secc1!D47)</f>
        <v/>
      </c>
      <c r="E1043" s="814"/>
      <c r="F1043" s="815"/>
      <c r="G1043" s="100"/>
      <c r="H1043" s="100"/>
      <c r="I1043" s="100"/>
      <c r="J1043" s="100"/>
      <c r="K1043" s="100"/>
      <c r="L1043" s="100"/>
      <c r="M1043" s="100"/>
      <c r="N1043" s="100"/>
      <c r="O1043" s="100"/>
      <c r="P1043" s="100"/>
      <c r="Q1043" s="100"/>
      <c r="R1043" s="100"/>
      <c r="S1043" s="100"/>
      <c r="T1043" s="100"/>
      <c r="U1043" s="100"/>
      <c r="V1043" s="100"/>
      <c r="W1043" s="100"/>
      <c r="X1043" s="100"/>
      <c r="Y1043" s="100"/>
      <c r="Z1043" s="100"/>
      <c r="AA1043" s="100"/>
      <c r="AB1043" s="100"/>
      <c r="AC1043" s="100"/>
      <c r="AD1043" s="100"/>
    </row>
    <row r="1044" spans="1:31" ht="15" customHeight="1">
      <c r="A1044" s="49"/>
      <c r="B1044" s="90"/>
      <c r="C1044" s="143" t="s">
        <v>2522</v>
      </c>
      <c r="D1044" s="813" t="str">
        <f>IF(CNSIPEE_2024_M2_Secc1!D48="","",CNSIPEE_2024_M2_Secc1!D48)</f>
        <v/>
      </c>
      <c r="E1044" s="814"/>
      <c r="F1044" s="815"/>
      <c r="G1044" s="100"/>
      <c r="H1044" s="100"/>
      <c r="I1044" s="100"/>
      <c r="J1044" s="100"/>
      <c r="K1044" s="100"/>
      <c r="L1044" s="100"/>
      <c r="M1044" s="100"/>
      <c r="N1044" s="100"/>
      <c r="O1044" s="100"/>
      <c r="P1044" s="100"/>
      <c r="Q1044" s="100"/>
      <c r="R1044" s="100"/>
      <c r="S1044" s="100"/>
      <c r="T1044" s="100"/>
      <c r="U1044" s="100"/>
      <c r="V1044" s="100"/>
      <c r="W1044" s="100"/>
      <c r="X1044" s="100"/>
      <c r="Y1044" s="100"/>
      <c r="Z1044" s="100"/>
      <c r="AA1044" s="100"/>
      <c r="AB1044" s="100"/>
      <c r="AC1044" s="100"/>
      <c r="AD1044" s="100"/>
    </row>
    <row r="1045" spans="1:31" ht="15" customHeight="1">
      <c r="A1045" s="49"/>
      <c r="B1045" s="90"/>
      <c r="C1045" s="143" t="s">
        <v>2523</v>
      </c>
      <c r="D1045" s="813" t="str">
        <f>IF(CNSIPEE_2024_M2_Secc1!D49="","",CNSIPEE_2024_M2_Secc1!D49)</f>
        <v/>
      </c>
      <c r="E1045" s="814"/>
      <c r="F1045" s="815"/>
      <c r="G1045" s="100"/>
      <c r="H1045" s="100"/>
      <c r="I1045" s="100"/>
      <c r="J1045" s="100"/>
      <c r="K1045" s="100"/>
      <c r="L1045" s="100"/>
      <c r="M1045" s="100"/>
      <c r="N1045" s="100"/>
      <c r="O1045" s="100"/>
      <c r="P1045" s="100"/>
      <c r="Q1045" s="100"/>
      <c r="R1045" s="100"/>
      <c r="S1045" s="100"/>
      <c r="T1045" s="100"/>
      <c r="U1045" s="100"/>
      <c r="V1045" s="100"/>
      <c r="W1045" s="100"/>
      <c r="X1045" s="100"/>
      <c r="Y1045" s="100"/>
      <c r="Z1045" s="100"/>
      <c r="AA1045" s="100"/>
      <c r="AB1045" s="100"/>
      <c r="AC1045" s="100"/>
      <c r="AD1045" s="100"/>
    </row>
    <row r="1046" spans="1:31" ht="15" customHeight="1">
      <c r="A1046" s="49"/>
      <c r="B1046" s="90"/>
      <c r="C1046" s="90"/>
      <c r="D1046" s="90"/>
      <c r="E1046" s="90"/>
      <c r="F1046" s="117"/>
      <c r="G1046" s="124">
        <f>IF(AND(SUM(G1038:G1045)=0,COUNTIF(G1038:G1045,"NS")&gt;0),"NS",
IF(AND(SUM(G1038:G1045)=0,COUNTIF(G1038:G1045,0)&gt;0),0,
IF(AND(SUM(G1038:G1045)=0,COUNTIF(G1038:G1045,"NA")&gt;0),"NA",
SUM(G1038:G1045))))</f>
        <v>0</v>
      </c>
      <c r="H1046" s="124">
        <f t="shared" ref="H1046:AD1046" si="828">IF(AND(SUM(H1038:H1045)=0,COUNTIF(H1038:H1045,"NS")&gt;0),"NS",
IF(AND(SUM(H1038:H1045)=0,COUNTIF(H1038:H1045,0)&gt;0),0,
IF(AND(SUM(H1038:H1045)=0,COUNTIF(H1038:H1045,"NA")&gt;0),"NA",
SUM(H1038:H1045))))</f>
        <v>0</v>
      </c>
      <c r="I1046" s="124">
        <f t="shared" si="828"/>
        <v>0</v>
      </c>
      <c r="J1046" s="124">
        <f t="shared" si="828"/>
        <v>0</v>
      </c>
      <c r="K1046" s="124">
        <f t="shared" si="828"/>
        <v>0</v>
      </c>
      <c r="L1046" s="124">
        <f t="shared" si="828"/>
        <v>0</v>
      </c>
      <c r="M1046" s="124">
        <f t="shared" si="828"/>
        <v>0</v>
      </c>
      <c r="N1046" s="124">
        <f t="shared" si="828"/>
        <v>0</v>
      </c>
      <c r="O1046" s="124">
        <f t="shared" si="828"/>
        <v>0</v>
      </c>
      <c r="P1046" s="124">
        <f t="shared" si="828"/>
        <v>0</v>
      </c>
      <c r="Q1046" s="124">
        <f t="shared" si="828"/>
        <v>0</v>
      </c>
      <c r="R1046" s="124">
        <f t="shared" si="828"/>
        <v>0</v>
      </c>
      <c r="S1046" s="124">
        <f t="shared" si="828"/>
        <v>0</v>
      </c>
      <c r="T1046" s="124">
        <f t="shared" si="828"/>
        <v>0</v>
      </c>
      <c r="U1046" s="124">
        <f t="shared" si="828"/>
        <v>0</v>
      </c>
      <c r="V1046" s="124">
        <f t="shared" si="828"/>
        <v>0</v>
      </c>
      <c r="W1046" s="124">
        <f t="shared" si="828"/>
        <v>0</v>
      </c>
      <c r="X1046" s="124">
        <f t="shared" si="828"/>
        <v>0</v>
      </c>
      <c r="Y1046" s="124">
        <f t="shared" si="828"/>
        <v>0</v>
      </c>
      <c r="Z1046" s="124">
        <f t="shared" si="828"/>
        <v>0</v>
      </c>
      <c r="AA1046" s="124">
        <f t="shared" si="828"/>
        <v>0</v>
      </c>
      <c r="AB1046" s="124">
        <f t="shared" si="828"/>
        <v>0</v>
      </c>
      <c r="AC1046" s="124">
        <f t="shared" si="828"/>
        <v>0</v>
      </c>
      <c r="AD1046" s="124">
        <f t="shared" si="828"/>
        <v>0</v>
      </c>
    </row>
    <row r="1047" spans="1:31" ht="15" customHeight="1">
      <c r="A1047" s="49"/>
      <c r="B1047" s="90"/>
      <c r="C1047" s="90"/>
      <c r="D1047" s="90"/>
      <c r="E1047" s="90"/>
      <c r="F1047" s="90"/>
      <c r="G1047" s="90"/>
      <c r="H1047" s="90"/>
      <c r="I1047" s="90"/>
      <c r="J1047" s="90"/>
      <c r="K1047" s="90"/>
      <c r="L1047" s="90"/>
      <c r="M1047" s="90"/>
      <c r="N1047" s="90"/>
      <c r="O1047" s="90"/>
      <c r="P1047" s="90"/>
      <c r="Q1047" s="90"/>
      <c r="R1047" s="90"/>
      <c r="S1047" s="90"/>
      <c r="T1047" s="90"/>
      <c r="U1047" s="90"/>
      <c r="V1047" s="90"/>
      <c r="W1047" s="90"/>
      <c r="X1047" s="90"/>
      <c r="Y1047" s="90"/>
      <c r="Z1047" s="90"/>
      <c r="AA1047" s="90"/>
      <c r="AB1047" s="90"/>
      <c r="AC1047" s="90"/>
      <c r="AD1047" s="90"/>
    </row>
    <row r="1048" spans="1:31" ht="24" customHeight="1">
      <c r="A1048" s="96"/>
      <c r="B1048" s="90"/>
      <c r="C1048" s="754" t="s">
        <v>2611</v>
      </c>
      <c r="D1048" s="754"/>
      <c r="E1048" s="754"/>
      <c r="F1048" s="754"/>
      <c r="G1048" s="754"/>
      <c r="H1048" s="754"/>
      <c r="I1048" s="754"/>
      <c r="J1048" s="754"/>
      <c r="K1048" s="754"/>
      <c r="L1048" s="754"/>
      <c r="M1048" s="754"/>
      <c r="N1048" s="754"/>
      <c r="O1048" s="754"/>
      <c r="P1048" s="754"/>
      <c r="Q1048" s="754"/>
      <c r="R1048" s="754"/>
      <c r="S1048" s="754"/>
      <c r="T1048" s="754"/>
      <c r="U1048" s="754"/>
      <c r="V1048" s="754"/>
      <c r="W1048" s="754"/>
      <c r="X1048" s="754"/>
      <c r="Y1048" s="754"/>
      <c r="Z1048" s="754"/>
      <c r="AA1048" s="754"/>
      <c r="AB1048" s="754"/>
      <c r="AC1048" s="754"/>
      <c r="AD1048" s="754"/>
    </row>
    <row r="1049" spans="1:31" ht="60" customHeight="1">
      <c r="A1049" s="96"/>
      <c r="B1049" s="90"/>
      <c r="C1049" s="851"/>
      <c r="D1049" s="851"/>
      <c r="E1049" s="851"/>
      <c r="F1049" s="851"/>
      <c r="G1049" s="851"/>
      <c r="H1049" s="851"/>
      <c r="I1049" s="851"/>
      <c r="J1049" s="851"/>
      <c r="K1049" s="851"/>
      <c r="L1049" s="851"/>
      <c r="M1049" s="851"/>
      <c r="N1049" s="851"/>
      <c r="O1049" s="851"/>
      <c r="P1049" s="851"/>
      <c r="Q1049" s="851"/>
      <c r="R1049" s="851"/>
      <c r="S1049" s="851"/>
      <c r="T1049" s="851"/>
      <c r="U1049" s="851"/>
      <c r="V1049" s="851"/>
      <c r="W1049" s="851"/>
      <c r="X1049" s="851"/>
      <c r="Y1049" s="851"/>
      <c r="Z1049" s="851"/>
      <c r="AA1049" s="851"/>
      <c r="AB1049" s="851"/>
      <c r="AC1049" s="851"/>
      <c r="AD1049" s="851"/>
    </row>
    <row r="1050" spans="1:31" ht="15" customHeight="1">
      <c r="A1050" s="96"/>
      <c r="B1050" s="794" t="str">
        <f>IF(AG1014&gt;0,"Favor de ingresar toda la información requerida en la pregunta ","")</f>
        <v/>
      </c>
      <c r="C1050" s="794"/>
      <c r="D1050" s="794"/>
      <c r="E1050" s="794"/>
      <c r="F1050" s="794"/>
      <c r="G1050" s="794"/>
      <c r="H1050" s="794"/>
      <c r="I1050" s="794"/>
      <c r="J1050" s="794"/>
      <c r="K1050" s="794"/>
      <c r="L1050" s="794"/>
      <c r="M1050" s="794"/>
      <c r="N1050" s="794"/>
      <c r="O1050" s="794"/>
      <c r="P1050" s="794"/>
      <c r="Q1050" s="794"/>
      <c r="R1050" s="794"/>
      <c r="S1050" s="794"/>
      <c r="T1050" s="794"/>
      <c r="U1050" s="794"/>
      <c r="V1050" s="794"/>
      <c r="W1050" s="794"/>
      <c r="X1050" s="794"/>
      <c r="Y1050" s="794"/>
      <c r="Z1050" s="794"/>
      <c r="AA1050" s="794"/>
      <c r="AB1050" s="794"/>
      <c r="AC1050" s="794"/>
      <c r="AD1050" s="794"/>
      <c r="AE1050"/>
    </row>
    <row r="1051" spans="1:31" ht="15" customHeight="1">
      <c r="A1051" s="103"/>
      <c r="B1051" s="795" t="str">
        <f>IF(AM1016&gt;0,"Alerta: debido a que cuenta con registros NS, debe proporcionar una justificación en el area de comentarios al final de la pregunta","")</f>
        <v/>
      </c>
      <c r="C1051" s="795"/>
      <c r="D1051" s="795"/>
      <c r="E1051" s="795"/>
      <c r="F1051" s="795"/>
      <c r="G1051" s="795"/>
      <c r="H1051" s="795"/>
      <c r="I1051" s="795"/>
      <c r="J1051" s="795"/>
      <c r="K1051" s="795"/>
      <c r="L1051" s="795"/>
      <c r="M1051" s="795"/>
      <c r="N1051" s="795"/>
      <c r="O1051" s="795"/>
      <c r="P1051" s="795"/>
      <c r="Q1051" s="795"/>
      <c r="R1051" s="795"/>
      <c r="S1051" s="795"/>
      <c r="T1051" s="795"/>
      <c r="U1051" s="795"/>
      <c r="V1051" s="795"/>
      <c r="W1051" s="795"/>
      <c r="X1051" s="795"/>
      <c r="Y1051" s="795"/>
      <c r="Z1051" s="795"/>
      <c r="AA1051" s="795"/>
      <c r="AB1051" s="795"/>
      <c r="AC1051" s="795"/>
      <c r="AD1051" s="795"/>
      <c r="AE1051"/>
    </row>
    <row r="1052" spans="1:31" ht="15" customHeight="1">
      <c r="A1052" s="103"/>
      <c r="B1052" s="794" t="str">
        <f>IF(OR(AK1016&gt;0,AK1017&gt;0,AM1017&gt;0,AO1017&gt;0),"Favor de revisar la suma y consistencia de totales y/o subtotales por filas (numéricos y NS)","")</f>
        <v/>
      </c>
      <c r="C1052" s="794"/>
      <c r="D1052" s="794"/>
      <c r="E1052" s="794"/>
      <c r="F1052" s="794"/>
      <c r="G1052" s="794"/>
      <c r="H1052" s="794"/>
      <c r="I1052" s="794"/>
      <c r="J1052" s="794"/>
      <c r="K1052" s="794"/>
      <c r="L1052" s="794"/>
      <c r="M1052" s="794"/>
      <c r="N1052" s="794"/>
      <c r="O1052" s="794"/>
      <c r="P1052" s="794"/>
      <c r="Q1052" s="794"/>
      <c r="R1052" s="794"/>
      <c r="S1052" s="794"/>
      <c r="T1052" s="794"/>
      <c r="U1052" s="794"/>
      <c r="V1052" s="794"/>
      <c r="W1052" s="794"/>
      <c r="X1052" s="794"/>
      <c r="Y1052" s="794"/>
      <c r="Z1052" s="794"/>
      <c r="AA1052" s="794"/>
      <c r="AB1052" s="794"/>
      <c r="AC1052" s="794"/>
      <c r="AD1052" s="794"/>
      <c r="AE1052"/>
    </row>
    <row r="1053" spans="1:31" ht="15" customHeight="1">
      <c r="A1053" s="103"/>
      <c r="B1053" s="795"/>
      <c r="C1053" s="795"/>
      <c r="D1053" s="795"/>
      <c r="E1053" s="795"/>
      <c r="F1053" s="795"/>
      <c r="G1053" s="795"/>
      <c r="H1053" s="795"/>
      <c r="I1053" s="795"/>
      <c r="J1053" s="795"/>
      <c r="K1053" s="795"/>
      <c r="L1053" s="795"/>
      <c r="M1053" s="795"/>
      <c r="N1053" s="795"/>
      <c r="O1053" s="795"/>
      <c r="P1053" s="795"/>
      <c r="Q1053" s="795"/>
      <c r="R1053" s="795"/>
      <c r="S1053" s="795"/>
      <c r="T1053" s="795"/>
      <c r="U1053" s="795"/>
      <c r="V1053" s="795"/>
      <c r="W1053" s="795"/>
      <c r="X1053" s="795"/>
      <c r="Y1053" s="795"/>
      <c r="Z1053" s="795"/>
      <c r="AA1053" s="795"/>
      <c r="AB1053" s="795"/>
      <c r="AC1053" s="795"/>
      <c r="AD1053" s="795"/>
      <c r="AE1053" s="795"/>
    </row>
    <row r="1054" spans="1:31" ht="15" customHeight="1">
      <c r="A1054" s="103"/>
      <c r="AE1054"/>
    </row>
    <row r="1055" spans="1:31" ht="15" customHeight="1">
      <c r="A1055" s="103"/>
      <c r="AE1055"/>
    </row>
    <row r="1056" spans="1:31" ht="36" customHeight="1">
      <c r="A1056" s="49" t="s">
        <v>3690</v>
      </c>
      <c r="B1056" s="829" t="s">
        <v>3691</v>
      </c>
      <c r="C1056" s="829"/>
      <c r="D1056" s="829"/>
      <c r="E1056" s="829"/>
      <c r="F1056" s="829"/>
      <c r="G1056" s="829"/>
      <c r="H1056" s="829"/>
      <c r="I1056" s="829"/>
      <c r="J1056" s="829"/>
      <c r="K1056" s="829"/>
      <c r="L1056" s="829"/>
      <c r="M1056" s="829"/>
      <c r="N1056" s="829"/>
      <c r="O1056" s="829"/>
      <c r="P1056" s="829"/>
      <c r="Q1056" s="829"/>
      <c r="R1056" s="829"/>
      <c r="S1056" s="829"/>
      <c r="T1056" s="829"/>
      <c r="U1056" s="829"/>
      <c r="V1056" s="829"/>
      <c r="W1056" s="829"/>
      <c r="X1056" s="829"/>
      <c r="Y1056" s="829"/>
      <c r="Z1056" s="829"/>
      <c r="AA1056" s="829"/>
      <c r="AB1056" s="829"/>
      <c r="AC1056" s="829"/>
      <c r="AD1056" s="829"/>
    </row>
    <row r="1057" spans="1:66" ht="24" customHeight="1">
      <c r="A1057" s="49"/>
      <c r="B1057" s="38"/>
      <c r="C1057" s="754" t="s">
        <v>3692</v>
      </c>
      <c r="D1057" s="754"/>
      <c r="E1057" s="754"/>
      <c r="F1057" s="754"/>
      <c r="G1057" s="754"/>
      <c r="H1057" s="754"/>
      <c r="I1057" s="754"/>
      <c r="J1057" s="754"/>
      <c r="K1057" s="754"/>
      <c r="L1057" s="754"/>
      <c r="M1057" s="754"/>
      <c r="N1057" s="754"/>
      <c r="O1057" s="754"/>
      <c r="P1057" s="754"/>
      <c r="Q1057" s="754"/>
      <c r="R1057" s="754"/>
      <c r="S1057" s="754"/>
      <c r="T1057" s="754"/>
      <c r="U1057" s="754"/>
      <c r="V1057" s="754"/>
      <c r="W1057" s="754"/>
      <c r="X1057" s="754"/>
      <c r="Y1057" s="754"/>
      <c r="Z1057" s="754"/>
      <c r="AA1057" s="754"/>
      <c r="AB1057" s="754"/>
      <c r="AC1057" s="754"/>
      <c r="AD1057" s="754"/>
    </row>
    <row r="1058" spans="1:66" ht="36" customHeight="1">
      <c r="A1058" s="49"/>
      <c r="B1058" s="38"/>
      <c r="C1058" s="830" t="s">
        <v>3693</v>
      </c>
      <c r="D1058" s="830"/>
      <c r="E1058" s="830"/>
      <c r="F1058" s="830"/>
      <c r="G1058" s="830"/>
      <c r="H1058" s="830"/>
      <c r="I1058" s="830"/>
      <c r="J1058" s="830"/>
      <c r="K1058" s="830"/>
      <c r="L1058" s="830"/>
      <c r="M1058" s="830"/>
      <c r="N1058" s="830"/>
      <c r="O1058" s="830"/>
      <c r="P1058" s="830"/>
      <c r="Q1058" s="830"/>
      <c r="R1058" s="830"/>
      <c r="S1058" s="830"/>
      <c r="T1058" s="830"/>
      <c r="U1058" s="830"/>
      <c r="V1058" s="830"/>
      <c r="W1058" s="830"/>
      <c r="X1058" s="830"/>
      <c r="Y1058" s="830"/>
      <c r="Z1058" s="830"/>
      <c r="AA1058" s="830"/>
      <c r="AB1058" s="830"/>
      <c r="AC1058" s="830"/>
      <c r="AD1058" s="830"/>
    </row>
    <row r="1059" spans="1:66" ht="36" customHeight="1">
      <c r="A1059" s="49"/>
      <c r="B1059" s="38"/>
      <c r="C1059" s="754" t="s">
        <v>3694</v>
      </c>
      <c r="D1059" s="754"/>
      <c r="E1059" s="754"/>
      <c r="F1059" s="754"/>
      <c r="G1059" s="754"/>
      <c r="H1059" s="754"/>
      <c r="I1059" s="754"/>
      <c r="J1059" s="754"/>
      <c r="K1059" s="754"/>
      <c r="L1059" s="754"/>
      <c r="M1059" s="754"/>
      <c r="N1059" s="754"/>
      <c r="O1059" s="754"/>
      <c r="P1059" s="754"/>
      <c r="Q1059" s="754"/>
      <c r="R1059" s="754"/>
      <c r="S1059" s="754"/>
      <c r="T1059" s="754"/>
      <c r="U1059" s="754"/>
      <c r="V1059" s="754"/>
      <c r="W1059" s="754"/>
      <c r="X1059" s="754"/>
      <c r="Y1059" s="754"/>
      <c r="Z1059" s="754"/>
      <c r="AA1059" s="754"/>
      <c r="AB1059" s="754"/>
      <c r="AC1059" s="754"/>
      <c r="AD1059" s="754"/>
    </row>
    <row r="1060" spans="1:66" ht="24" customHeight="1">
      <c r="A1060" s="49"/>
      <c r="B1060" s="38"/>
      <c r="C1060" s="754" t="s">
        <v>3695</v>
      </c>
      <c r="D1060" s="754"/>
      <c r="E1060" s="754"/>
      <c r="F1060" s="754"/>
      <c r="G1060" s="754"/>
      <c r="H1060" s="754"/>
      <c r="I1060" s="754"/>
      <c r="J1060" s="754"/>
      <c r="K1060" s="754"/>
      <c r="L1060" s="754"/>
      <c r="M1060" s="754"/>
      <c r="N1060" s="754"/>
      <c r="O1060" s="754"/>
      <c r="P1060" s="754"/>
      <c r="Q1060" s="754"/>
      <c r="R1060" s="754"/>
      <c r="S1060" s="754"/>
      <c r="T1060" s="754"/>
      <c r="U1060" s="754"/>
      <c r="V1060" s="754"/>
      <c r="W1060" s="754"/>
      <c r="X1060" s="754"/>
      <c r="Y1060" s="754"/>
      <c r="Z1060" s="754"/>
      <c r="AA1060" s="754"/>
      <c r="AB1060" s="754"/>
      <c r="AC1060" s="754"/>
      <c r="AD1060" s="754"/>
    </row>
    <row r="1061" spans="1:66" ht="15" customHeight="1">
      <c r="A1061" s="96"/>
      <c r="B1061" s="90"/>
      <c r="C1061" s="90"/>
      <c r="D1061" s="90"/>
      <c r="E1061" s="141"/>
      <c r="F1061" s="141"/>
      <c r="G1061" s="141"/>
      <c r="H1061" s="141"/>
      <c r="I1061" s="160"/>
      <c r="J1061" s="160"/>
      <c r="K1061" s="160"/>
      <c r="L1061" s="160"/>
      <c r="M1061" s="160"/>
      <c r="N1061" s="160"/>
      <c r="O1061" s="90"/>
      <c r="P1061" s="90"/>
      <c r="Q1061" s="90"/>
      <c r="R1061" s="90"/>
      <c r="S1061" s="90"/>
      <c r="T1061" s="90"/>
      <c r="U1061" s="90"/>
      <c r="V1061" s="90"/>
      <c r="W1061" s="90"/>
      <c r="X1061" s="90"/>
      <c r="Y1061" s="90"/>
      <c r="Z1061" s="90"/>
      <c r="AA1061" s="90"/>
      <c r="AB1061" s="90"/>
      <c r="AC1061" s="90"/>
      <c r="AD1061" s="90"/>
    </row>
    <row r="1062" spans="1:66" ht="15">
      <c r="A1062" s="94"/>
      <c r="AA1062" s="875" t="s">
        <v>2664</v>
      </c>
      <c r="AB1062" s="875"/>
      <c r="AC1062" s="875"/>
      <c r="AD1062" s="875"/>
    </row>
    <row r="1063" spans="1:66" ht="24" customHeight="1">
      <c r="A1063" s="103"/>
      <c r="B1063" s="113"/>
      <c r="C1063" s="732" t="s">
        <v>2581</v>
      </c>
      <c r="D1063" s="732"/>
      <c r="E1063" s="732"/>
      <c r="F1063" s="732"/>
      <c r="G1063" s="732"/>
      <c r="H1063" s="732"/>
      <c r="I1063" s="732"/>
      <c r="J1063" s="732"/>
      <c r="K1063" s="732"/>
      <c r="L1063" s="732"/>
      <c r="M1063" s="732"/>
      <c r="N1063" s="732"/>
      <c r="O1063" s="732"/>
      <c r="P1063" s="732" t="s">
        <v>3696</v>
      </c>
      <c r="Q1063" s="732"/>
      <c r="R1063" s="732"/>
      <c r="S1063" s="732"/>
      <c r="T1063" s="732"/>
      <c r="U1063" s="732"/>
      <c r="V1063" s="732"/>
      <c r="W1063" s="732"/>
      <c r="X1063" s="732"/>
      <c r="Y1063" s="732"/>
      <c r="Z1063" s="732"/>
      <c r="AA1063" s="732"/>
      <c r="AB1063" s="732"/>
      <c r="AC1063" s="732"/>
      <c r="AD1063" s="732"/>
    </row>
    <row r="1064" spans="1:66" ht="120" customHeight="1">
      <c r="A1064" s="103"/>
      <c r="B1064" s="113"/>
      <c r="C1064" s="732"/>
      <c r="D1064" s="732"/>
      <c r="E1064" s="732"/>
      <c r="F1064" s="732"/>
      <c r="G1064" s="732"/>
      <c r="H1064" s="732"/>
      <c r="I1064" s="732"/>
      <c r="J1064" s="732"/>
      <c r="K1064" s="732"/>
      <c r="L1064" s="732"/>
      <c r="M1064" s="732"/>
      <c r="N1064" s="732"/>
      <c r="O1064" s="732"/>
      <c r="P1064" s="874" t="s">
        <v>2628</v>
      </c>
      <c r="Q1064" s="857" t="s">
        <v>2629</v>
      </c>
      <c r="R1064" s="857" t="s">
        <v>2630</v>
      </c>
      <c r="S1064" s="857" t="s">
        <v>3697</v>
      </c>
      <c r="T1064" s="857"/>
      <c r="U1064" s="857"/>
      <c r="V1064" s="857" t="s">
        <v>3698</v>
      </c>
      <c r="W1064" s="857"/>
      <c r="X1064" s="857"/>
      <c r="Y1064" s="857" t="s">
        <v>3699</v>
      </c>
      <c r="Z1064" s="857"/>
      <c r="AA1064" s="857"/>
      <c r="AB1064" s="857" t="s">
        <v>3700</v>
      </c>
      <c r="AC1064" s="857"/>
      <c r="AD1064" s="857"/>
    </row>
    <row r="1065" spans="1:66" ht="48" customHeight="1">
      <c r="A1065" s="103"/>
      <c r="B1065" s="113"/>
      <c r="C1065" s="732"/>
      <c r="D1065" s="732"/>
      <c r="E1065" s="732"/>
      <c r="F1065" s="732"/>
      <c r="G1065" s="732"/>
      <c r="H1065" s="732"/>
      <c r="I1065" s="732"/>
      <c r="J1065" s="732"/>
      <c r="K1065" s="732"/>
      <c r="L1065" s="732"/>
      <c r="M1065" s="732"/>
      <c r="N1065" s="732"/>
      <c r="O1065" s="732"/>
      <c r="P1065" s="874"/>
      <c r="Q1065" s="857"/>
      <c r="R1065" s="857"/>
      <c r="S1065" s="127" t="s">
        <v>2635</v>
      </c>
      <c r="T1065" s="128" t="s">
        <v>2629</v>
      </c>
      <c r="U1065" s="128" t="s">
        <v>2630</v>
      </c>
      <c r="V1065" s="127" t="s">
        <v>2635</v>
      </c>
      <c r="W1065" s="128" t="s">
        <v>2629</v>
      </c>
      <c r="X1065" s="128" t="s">
        <v>2630</v>
      </c>
      <c r="Y1065" s="127" t="s">
        <v>2635</v>
      </c>
      <c r="Z1065" s="128" t="s">
        <v>2629</v>
      </c>
      <c r="AA1065" s="128" t="s">
        <v>2630</v>
      </c>
      <c r="AB1065" s="127" t="s">
        <v>2635</v>
      </c>
      <c r="AC1065" s="128" t="s">
        <v>2629</v>
      </c>
      <c r="AD1065" s="128" t="s">
        <v>2630</v>
      </c>
      <c r="AG1065" s="354" t="s">
        <v>2586</v>
      </c>
      <c r="AH1065" s="282" t="s">
        <v>2637</v>
      </c>
      <c r="AI1065" s="280" t="s">
        <v>2638</v>
      </c>
      <c r="AJ1065" s="281" t="s">
        <v>2639</v>
      </c>
      <c r="AK1065" s="282" t="s">
        <v>2640</v>
      </c>
      <c r="AL1065" s="280" t="s">
        <v>2641</v>
      </c>
      <c r="AM1065" s="281" t="s">
        <v>2642</v>
      </c>
      <c r="AN1065" s="282" t="s">
        <v>2643</v>
      </c>
      <c r="AO1065" s="280" t="s">
        <v>2644</v>
      </c>
      <c r="AP1065" s="281" t="s">
        <v>2645</v>
      </c>
      <c r="AQ1065" s="282" t="s">
        <v>2646</v>
      </c>
      <c r="AR1065" s="280" t="s">
        <v>2647</v>
      </c>
      <c r="AS1065" s="281" t="s">
        <v>2648</v>
      </c>
      <c r="AT1065" s="282" t="s">
        <v>2756</v>
      </c>
      <c r="AU1065" s="280" t="s">
        <v>2757</v>
      </c>
      <c r="AV1065" s="281" t="s">
        <v>2758</v>
      </c>
      <c r="AW1065" s="282" t="s">
        <v>2759</v>
      </c>
      <c r="AX1065" s="280" t="s">
        <v>2760</v>
      </c>
      <c r="AY1065" s="281" t="s">
        <v>2761</v>
      </c>
      <c r="AZ1065" s="282" t="s">
        <v>2762</v>
      </c>
      <c r="BA1065" s="280" t="s">
        <v>2763</v>
      </c>
      <c r="BB1065" s="281" t="s">
        <v>2764</v>
      </c>
      <c r="BC1065" s="282" t="s">
        <v>2765</v>
      </c>
      <c r="BD1065" s="280" t="s">
        <v>2766</v>
      </c>
      <c r="BE1065" s="281" t="s">
        <v>2767</v>
      </c>
      <c r="BF1065" s="282" t="s">
        <v>2768</v>
      </c>
      <c r="BG1065" s="280" t="s">
        <v>2769</v>
      </c>
      <c r="BH1065" s="281" t="s">
        <v>2770</v>
      </c>
      <c r="BI1065" s="282" t="s">
        <v>2771</v>
      </c>
      <c r="BJ1065" s="280" t="s">
        <v>2772</v>
      </c>
      <c r="BK1065" s="281" t="s">
        <v>2773</v>
      </c>
      <c r="BL1065" s="282" t="s">
        <v>2774</v>
      </c>
      <c r="BM1065" s="280" t="s">
        <v>2775</v>
      </c>
      <c r="BN1065" s="281" t="s">
        <v>2776</v>
      </c>
    </row>
    <row r="1066" spans="1:66" ht="15" customHeight="1">
      <c r="A1066" s="103"/>
      <c r="B1066" s="113"/>
      <c r="C1066" s="44" t="s">
        <v>2516</v>
      </c>
      <c r="D1066" s="813" t="str">
        <f>IF(CNSIPEE_2024_M2_Secc1!D42="","",CNSIPEE_2024_M2_Secc1!D42)</f>
        <v/>
      </c>
      <c r="E1066" s="814"/>
      <c r="F1066" s="814"/>
      <c r="G1066" s="814"/>
      <c r="H1066" s="814"/>
      <c r="I1066" s="814"/>
      <c r="J1066" s="814"/>
      <c r="K1066" s="814"/>
      <c r="L1066" s="814"/>
      <c r="M1066" s="814"/>
      <c r="N1066" s="814"/>
      <c r="O1066" s="815"/>
      <c r="P1066" s="100"/>
      <c r="Q1066" s="100"/>
      <c r="R1066" s="100"/>
      <c r="S1066" s="100"/>
      <c r="T1066" s="100"/>
      <c r="U1066" s="100"/>
      <c r="V1066" s="100"/>
      <c r="W1066" s="100"/>
      <c r="X1066" s="100"/>
      <c r="Y1066" s="100"/>
      <c r="Z1066" s="100"/>
      <c r="AA1066" s="100"/>
      <c r="AB1066" s="100"/>
      <c r="AC1066" s="100"/>
      <c r="AD1066" s="100"/>
      <c r="AG1066" s="326">
        <f>IF(AND($C$987="X",COUNTA(P1066:AD1066,M1080:AD1080)=0),0,IF(AND(SUM($J1006)&gt;0,COUNTBLANK(D1066)=0,COUNTA(P1066:AD1066,M1080:AD1080)=33),0,IF(AND(SUM($J1006)=0,COUNTBLANK(D1066)=1,COUNTA(P1066:AD1066,M1080:AD1080)=0),0,1)))</f>
        <v>0</v>
      </c>
      <c r="AH1066" s="283">
        <f>COUNTIF(Q1066:R1066,"NS")</f>
        <v>0</v>
      </c>
      <c r="AI1066" s="283">
        <f>SUM(Q1066:R1066)</f>
        <v>0</v>
      </c>
      <c r="AJ1066" s="283">
        <f>IF(COUNTIF(P1066:R1066,"NA")=3,0,IF(COUNTA(P1066:R1066)=0,0,IF(OR(AND(P1066=0,AH1066&gt;0),AND(P1066="ns",AI1066&gt;0),AND(P1066="ns",AH1066=0,AI1066=0)),1,IF(OR(AND(P1066&gt;0,AH1066=2),AND(P1066="ns",AH1066=2),AND(P1066="ns",AI1066=0,AH1066&gt;0),P1066=AI1066),0,1))))</f>
        <v>0</v>
      </c>
      <c r="AK1066" s="283">
        <f>COUNTIF(T1066:U1066,"NS")</f>
        <v>0</v>
      </c>
      <c r="AL1066" s="283">
        <f>SUM(T1066:U1066)</f>
        <v>0</v>
      </c>
      <c r="AM1066" s="283">
        <f>IF(COUNTIF(S1066:U1066,"NA")=3,0,IF(COUNTA(S1066:U1066)=0,0,IF(OR(AND(S1066=0,AK1066&gt;0),AND(S1066="ns",AL1066&gt;0),AND(S1066="ns",AK1066=0,AL1066=0)),1,IF(OR(AND(S1066&gt;0,AK1066=2),AND(S1066="ns",AK1066=2),AND(S1066="ns",AL1066=0,AK1066&gt;0),S1066=AL1066),0,1))))</f>
        <v>0</v>
      </c>
      <c r="AN1066" s="283">
        <f>COUNTIF(W1066:X1066,"NS")</f>
        <v>0</v>
      </c>
      <c r="AO1066" s="283">
        <f>SUM(W1066:X1066)</f>
        <v>0</v>
      </c>
      <c r="AP1066" s="283">
        <f>IF(COUNTIF(V1066:X1066,"NA")=3,0,IF(COUNTA(V1066:X1066)=0,0,IF(OR(AND(V1066=0,AN1066&gt;0),AND(V1066="ns",AO1066&gt;0),AND(V1066="ns",AN1066=0,AO1066=0)),1,IF(OR(AND(V1066&gt;0,AN1066=2),AND(V1066="ns",AN1066=2),AND(V1066="ns",AO1066=0,AN1066&gt;0),V1066=AO1066),0,1))))</f>
        <v>0</v>
      </c>
      <c r="AQ1066" s="283">
        <f>COUNTIF(Z1066:AA1066,"NS")</f>
        <v>0</v>
      </c>
      <c r="AR1066" s="283">
        <f>SUM(Z1066:AA1066)</f>
        <v>0</v>
      </c>
      <c r="AS1066" s="283">
        <f>IF(COUNTIF(Y1066:AA1066,"NA")=3,0,IF(COUNTA(Y1066:AA1066)=0,0,IF(OR(AND(Y1066=0,AQ1066&gt;0),AND(Y1066="ns",AR1066&gt;0),AND(Y1066="ns",AQ1066=0,AR1066=0)),1,IF(OR(AND(Y1066&gt;0,AQ1066=2),AND(Y1066="ns",AQ1066=2),AND(Y1066="ns",AR1066=0,AQ1066&gt;0),Y1066=AR1066),0,1))))</f>
        <v>0</v>
      </c>
      <c r="AT1066" s="283">
        <f>COUNTIF(AC1066:AD1066,"NS")</f>
        <v>0</v>
      </c>
      <c r="AU1066" s="283">
        <f>SUM(AC1066:AD1066)</f>
        <v>0</v>
      </c>
      <c r="AV1066" s="283">
        <f>IF(COUNTIF(AB1066:AD1066,"NA")=3,0,IF(COUNTA(AB1066:AD1066)=0,0,IF(OR(AND(AB1066=0,AT1066&gt;0),AND(AB1066="ns",AU1066&gt;0),AND(AB1066="ns",AT1066=0,AU1066=0)),1,IF(OR(AND(AB1066&gt;0,AT1066=2),AND(AB1066="ns",AT1066=2),AND(AB1066="ns",AU1066=0,AT1066&gt;0),AB1066=AU1066),0,1))))</f>
        <v>0</v>
      </c>
      <c r="AW1066" s="283">
        <f>COUNTIF(N1080:O1080,"NS")</f>
        <v>0</v>
      </c>
      <c r="AX1066" s="283">
        <f>SUM(N1080:O1080)</f>
        <v>0</v>
      </c>
      <c r="AY1066" s="283">
        <f>IF(COUNTIF(M1080:O1080,"NA")=3,0,IF(COUNTA(M1080:O1080)=0,0,IF(OR(AND(M1080=0,AW1066&gt;0),AND(M1080="ns",AX1066&gt;0),AND(M1080="ns",AW1066=0,AX1066=0)),1,IF(OR(AND(M1080&gt;0,AW1066=2),AND(M1080="ns",AW1066=2),AND(M1080="ns",AX1066=0,AW1066&gt;0),M1080=AX1066),0,1))))</f>
        <v>0</v>
      </c>
      <c r="AZ1066" s="283">
        <f>COUNTIF(Q1080:R1080,"NS")</f>
        <v>0</v>
      </c>
      <c r="BA1066" s="283">
        <f>SUM(Q1080:R1080)</f>
        <v>0</v>
      </c>
      <c r="BB1066" s="283">
        <f>IF(COUNTIF(P1080:R1080,"NA")=3,0,IF(COUNTA(P1080:R1080)=0,0,IF(OR(AND(P1080=0,AZ1066&gt;0),AND(P1080="ns",BA1066&gt;0),AND(P1080="ns",AZ1066=0,BA1066=0)),1,IF(OR(AND(P1080&gt;0,AZ1066=2),AND(P1080="ns",AZ1066=2),AND(P1080="ns",BA1066=0,AZ1066&gt;0),P1080=BA1066),0,1))))</f>
        <v>0</v>
      </c>
      <c r="BC1066" s="283">
        <f>COUNTIF(T1080:U1080,"NS")</f>
        <v>0</v>
      </c>
      <c r="BD1066" s="283">
        <f>SUM(T1080:U1080)</f>
        <v>0</v>
      </c>
      <c r="BE1066" s="283">
        <f>IF(COUNTIF(S1080:U1080,"NA")=3,0,IF(COUNTA(S1080:U1080)=0,0,IF(OR(AND(S1080=0,BC1066&gt;0),AND(S1080="ns",BD1066&gt;0),AND(S1080="ns",BC1066=0,BD1066=0)),1,IF(OR(AND(S1080&gt;0,BC1066=2),AND(S1080="ns",BC1066=2),AND(S1080="ns",BD1066=0,BC1066&gt;0),S1080=BD1066),0,1))))</f>
        <v>0</v>
      </c>
      <c r="BF1066" s="283">
        <f>COUNTIF(W1080:X1080,"NS")</f>
        <v>0</v>
      </c>
      <c r="BG1066" s="283">
        <f>SUM(W1080:X1080)</f>
        <v>0</v>
      </c>
      <c r="BH1066" s="283">
        <f>IF(COUNTIF(V1080:X1080,"NA")=3,0,IF(COUNTA(V1080:X1080)=0,0,IF(OR(AND(V1080=0,BF1066&gt;0),AND(V1080="ns",BG1066&gt;0),AND(V1080="ns",BF1066=0,BG1066=0)),1,IF(OR(AND(V1080&gt;0,BF1066=2),AND(V1080="ns",BF1066=2),AND(V1080="ns",BG1066=0,BF1066&gt;0),V1080=BG1066),0,1))))</f>
        <v>0</v>
      </c>
      <c r="BI1066" s="283">
        <f>COUNTIF(Z1080:AA1080,"NS")</f>
        <v>0</v>
      </c>
      <c r="BJ1066" s="283">
        <f>SUM(Z1080:AA1080)</f>
        <v>0</v>
      </c>
      <c r="BK1066" s="283">
        <f>IF(COUNTIF(Y1080:AA1080,"NA")=3,0,IF(COUNTA(Y1080:AA1080)=0,0,IF(OR(AND(Y1080=0,BI1066&gt;0),AND(Y1080="ns",BJ1066&gt;0),AND(Y1080="ns",BI1066=0,BJ1066=0)),1,IF(OR(AND(Y1080&gt;0,BI1066=2),AND(Y1080="ns",BI1066=2),AND(Y1080="ns",BJ1066=0,BI1066&gt;0),Y1080=BJ1066),0,1))))</f>
        <v>0</v>
      </c>
      <c r="BL1066" s="283">
        <f>COUNTIF(AC1080:AD1080,"NS")</f>
        <v>0</v>
      </c>
      <c r="BM1066" s="283">
        <f>SUM(AC1080:AD1080)</f>
        <v>0</v>
      </c>
      <c r="BN1066" s="283">
        <f>IF(COUNTIF(AB1080:AD1080,"NA")=3,0,IF(COUNTA(AB1080:AD1080)=0,0,IF(OR(AND(AB1080=0,BL1066&gt;0),AND(AB1080="ns",BM1066&gt;0),AND(AB1080="ns",BL1066=0,BM1066=0)),1,IF(OR(AND(AB1080&gt;0,BL1066=2),AND(AB1080="ns",BL1066=2),AND(AB1080="ns",BM1066=0,BL1066&gt;0),AB1080=BM1066),0,1))))</f>
        <v>0</v>
      </c>
    </row>
    <row r="1067" spans="1:66" ht="15" customHeight="1">
      <c r="A1067" s="103"/>
      <c r="B1067" s="113"/>
      <c r="C1067" s="97" t="s">
        <v>2517</v>
      </c>
      <c r="D1067" s="813" t="str">
        <f>IF(CNSIPEE_2024_M2_Secc1!D43="","",CNSIPEE_2024_M2_Secc1!D43)</f>
        <v/>
      </c>
      <c r="E1067" s="814"/>
      <c r="F1067" s="814"/>
      <c r="G1067" s="814"/>
      <c r="H1067" s="814"/>
      <c r="I1067" s="814"/>
      <c r="J1067" s="814"/>
      <c r="K1067" s="814"/>
      <c r="L1067" s="814"/>
      <c r="M1067" s="814"/>
      <c r="N1067" s="814"/>
      <c r="O1067" s="815"/>
      <c r="P1067" s="100"/>
      <c r="Q1067" s="100"/>
      <c r="R1067" s="100"/>
      <c r="S1067" s="100"/>
      <c r="T1067" s="100"/>
      <c r="U1067" s="100"/>
      <c r="V1067" s="100"/>
      <c r="W1067" s="100"/>
      <c r="X1067" s="100"/>
      <c r="Y1067" s="100"/>
      <c r="Z1067" s="100"/>
      <c r="AA1067" s="100"/>
      <c r="AB1067" s="100"/>
      <c r="AC1067" s="100"/>
      <c r="AD1067" s="100"/>
      <c r="AG1067" s="326">
        <f t="shared" ref="AG1067:AG1072" si="829">IF(AND($C$987="X",COUNTA(P1067:AD1067,M1081:AD1081)=0),0,IF(AND(SUM($J1007)&gt;0,COUNTBLANK(D1067)=0,COUNTA(P1067:AD1067,M1081:AD1081)=33),0,IF(AND(SUM($J1007)=0,COUNTBLANK(D1067)=1,COUNTA(P1067:AD1067,M1081:AD1081)=0),0,1)))</f>
        <v>0</v>
      </c>
      <c r="AH1067" s="283">
        <f t="shared" ref="AH1067:AH1073" si="830">COUNTIF(Q1067:R1067,"NS")</f>
        <v>0</v>
      </c>
      <c r="AI1067" s="283">
        <f t="shared" ref="AI1067:AI1073" si="831">SUM(Q1067:R1067)</f>
        <v>0</v>
      </c>
      <c r="AJ1067" s="283">
        <f t="shared" ref="AJ1067:AJ1073" si="832">IF(COUNTIF(P1067:R1067,"NA")=3,0,IF(COUNTA(P1067:R1067)=0,0,IF(OR(AND(P1067=0,AH1067&gt;0),AND(P1067="ns",AI1067&gt;0),AND(P1067="ns",AH1067=0,AI1067=0)),1,IF(OR(AND(P1067&gt;0,AH1067=2),AND(P1067="ns",AH1067=2),AND(P1067="ns",AI1067=0,AH1067&gt;0),P1067=AI1067),0,1))))</f>
        <v>0</v>
      </c>
      <c r="AK1067" s="283">
        <f t="shared" ref="AK1067:AK1073" si="833">COUNTIF(T1067:U1067,"NS")</f>
        <v>0</v>
      </c>
      <c r="AL1067" s="283">
        <f t="shared" ref="AL1067:AL1073" si="834">SUM(T1067:U1067)</f>
        <v>0</v>
      </c>
      <c r="AM1067" s="283">
        <f t="shared" ref="AM1067:AM1073" si="835">IF(COUNTIF(S1067:U1067,"NA")=3,0,IF(COUNTA(S1067:U1067)=0,0,IF(OR(AND(S1067=0,AK1067&gt;0),AND(S1067="ns",AL1067&gt;0),AND(S1067="ns",AK1067=0,AL1067=0)),1,IF(OR(AND(S1067&gt;0,AK1067=2),AND(S1067="ns",AK1067=2),AND(S1067="ns",AL1067=0,AK1067&gt;0),S1067=AL1067),0,1))))</f>
        <v>0</v>
      </c>
      <c r="AN1067" s="283">
        <f t="shared" ref="AN1067:AN1073" si="836">COUNTIF(W1067:X1067,"NS")</f>
        <v>0</v>
      </c>
      <c r="AO1067" s="283">
        <f t="shared" ref="AO1067:AO1073" si="837">SUM(W1067:X1067)</f>
        <v>0</v>
      </c>
      <c r="AP1067" s="283">
        <f t="shared" ref="AP1067:AP1073" si="838">IF(COUNTIF(V1067:X1067,"NA")=3,0,IF(COUNTA(V1067:X1067)=0,0,IF(OR(AND(V1067=0,AN1067&gt;0),AND(V1067="ns",AO1067&gt;0),AND(V1067="ns",AN1067=0,AO1067=0)),1,IF(OR(AND(V1067&gt;0,AN1067=2),AND(V1067="ns",AN1067=2),AND(V1067="ns",AO1067=0,AN1067&gt;0),V1067=AO1067),0,1))))</f>
        <v>0</v>
      </c>
      <c r="AQ1067" s="283">
        <f t="shared" ref="AQ1067:AQ1073" si="839">COUNTIF(Z1067:AA1067,"NS")</f>
        <v>0</v>
      </c>
      <c r="AR1067" s="283">
        <f t="shared" ref="AR1067:AR1073" si="840">SUM(Z1067:AA1067)</f>
        <v>0</v>
      </c>
      <c r="AS1067" s="283">
        <f t="shared" ref="AS1067:AS1073" si="841">IF(COUNTIF(Y1067:AA1067,"NA")=3,0,IF(COUNTA(Y1067:AA1067)=0,0,IF(OR(AND(Y1067=0,AQ1067&gt;0),AND(Y1067="ns",AR1067&gt;0),AND(Y1067="ns",AQ1067=0,AR1067=0)),1,IF(OR(AND(Y1067&gt;0,AQ1067=2),AND(Y1067="ns",AQ1067=2),AND(Y1067="ns",AR1067=0,AQ1067&gt;0),Y1067=AR1067),0,1))))</f>
        <v>0</v>
      </c>
      <c r="AT1067" s="283">
        <f t="shared" ref="AT1067:AT1073" si="842">COUNTIF(AC1067:AD1067,"NS")</f>
        <v>0</v>
      </c>
      <c r="AU1067" s="283">
        <f t="shared" ref="AU1067:AU1073" si="843">SUM(AC1067:AD1067)</f>
        <v>0</v>
      </c>
      <c r="AV1067" s="283">
        <f t="shared" ref="AV1067:AV1073" si="844">IF(COUNTIF(AB1067:AD1067,"NA")=3,0,IF(COUNTA(AB1067:AD1067)=0,0,IF(OR(AND(AB1067=0,AT1067&gt;0),AND(AB1067="ns",AU1067&gt;0),AND(AB1067="ns",AT1067=0,AU1067=0)),1,IF(OR(AND(AB1067&gt;0,AT1067=2),AND(AB1067="ns",AT1067=2),AND(AB1067="ns",AU1067=0,AT1067&gt;0),AB1067=AU1067),0,1))))</f>
        <v>0</v>
      </c>
      <c r="AW1067" s="283">
        <f t="shared" ref="AW1067:AW1073" si="845">COUNTIF(N1081:O1081,"NS")</f>
        <v>0</v>
      </c>
      <c r="AX1067" s="283">
        <f t="shared" ref="AX1067:AX1073" si="846">SUM(N1081:O1081)</f>
        <v>0</v>
      </c>
      <c r="AY1067" s="283">
        <f t="shared" ref="AY1067:AY1073" si="847">IF(COUNTIF(M1081:O1081,"NA")=3,0,IF(COUNTA(M1081:O1081)=0,0,IF(OR(AND(M1081=0,AW1067&gt;0),AND(M1081="ns",AX1067&gt;0),AND(M1081="ns",AW1067=0,AX1067=0)),1,IF(OR(AND(M1081&gt;0,AW1067=2),AND(M1081="ns",AW1067=2),AND(M1081="ns",AX1067=0,AW1067&gt;0),M1081=AX1067),0,1))))</f>
        <v>0</v>
      </c>
      <c r="AZ1067" s="283">
        <f t="shared" ref="AZ1067:AZ1073" si="848">COUNTIF(Q1081:R1081,"NS")</f>
        <v>0</v>
      </c>
      <c r="BA1067" s="283">
        <f t="shared" ref="BA1067:BA1073" si="849">SUM(Q1081:R1081)</f>
        <v>0</v>
      </c>
      <c r="BB1067" s="283">
        <f t="shared" ref="BB1067:BB1073" si="850">IF(COUNTIF(P1081:R1081,"NA")=3,0,IF(COUNTA(P1081:R1081)=0,0,IF(OR(AND(P1081=0,AZ1067&gt;0),AND(P1081="ns",BA1067&gt;0),AND(P1081="ns",AZ1067=0,BA1067=0)),1,IF(OR(AND(P1081&gt;0,AZ1067=2),AND(P1081="ns",AZ1067=2),AND(P1081="ns",BA1067=0,AZ1067&gt;0),P1081=BA1067),0,1))))</f>
        <v>0</v>
      </c>
      <c r="BC1067" s="283">
        <f t="shared" ref="BC1067:BC1073" si="851">COUNTIF(T1081:U1081,"NS")</f>
        <v>0</v>
      </c>
      <c r="BD1067" s="283">
        <f t="shared" ref="BD1067:BD1073" si="852">SUM(T1081:U1081)</f>
        <v>0</v>
      </c>
      <c r="BE1067" s="283">
        <f t="shared" ref="BE1067:BE1073" si="853">IF(COUNTIF(S1081:U1081,"NA")=3,0,IF(COUNTA(S1081:U1081)=0,0,IF(OR(AND(S1081=0,BC1067&gt;0),AND(S1081="ns",BD1067&gt;0),AND(S1081="ns",BC1067=0,BD1067=0)),1,IF(OR(AND(S1081&gt;0,BC1067=2),AND(S1081="ns",BC1067=2),AND(S1081="ns",BD1067=0,BC1067&gt;0),S1081=BD1067),0,1))))</f>
        <v>0</v>
      </c>
      <c r="BF1067" s="283">
        <f t="shared" ref="BF1067:BF1073" si="854">COUNTIF(W1081:X1081,"NS")</f>
        <v>0</v>
      </c>
      <c r="BG1067" s="283">
        <f t="shared" ref="BG1067:BG1073" si="855">SUM(W1081:X1081)</f>
        <v>0</v>
      </c>
      <c r="BH1067" s="283">
        <f t="shared" ref="BH1067:BH1073" si="856">IF(COUNTIF(V1081:X1081,"NA")=3,0,IF(COUNTA(V1081:X1081)=0,0,IF(OR(AND(V1081=0,BF1067&gt;0),AND(V1081="ns",BG1067&gt;0),AND(V1081="ns",BF1067=0,BG1067=0)),1,IF(OR(AND(V1081&gt;0,BF1067=2),AND(V1081="ns",BF1067=2),AND(V1081="ns",BG1067=0,BF1067&gt;0),V1081=BG1067),0,1))))</f>
        <v>0</v>
      </c>
      <c r="BI1067" s="283">
        <f t="shared" ref="BI1067:BI1073" si="857">COUNTIF(Z1081:AA1081,"NS")</f>
        <v>0</v>
      </c>
      <c r="BJ1067" s="283">
        <f t="shared" ref="BJ1067:BJ1073" si="858">SUM(Z1081:AA1081)</f>
        <v>0</v>
      </c>
      <c r="BK1067" s="283">
        <f t="shared" ref="BK1067:BK1073" si="859">IF(COUNTIF(Y1081:AA1081,"NA")=3,0,IF(COUNTA(Y1081:AA1081)=0,0,IF(OR(AND(Y1081=0,BI1067&gt;0),AND(Y1081="ns",BJ1067&gt;0),AND(Y1081="ns",BI1067=0,BJ1067=0)),1,IF(OR(AND(Y1081&gt;0,BI1067=2),AND(Y1081="ns",BI1067=2),AND(Y1081="ns",BJ1067=0,BI1067&gt;0),Y1081=BJ1067),0,1))))</f>
        <v>0</v>
      </c>
      <c r="BL1067" s="283">
        <f t="shared" ref="BL1067:BL1073" si="860">COUNTIF(AC1081:AD1081,"NS")</f>
        <v>0</v>
      </c>
      <c r="BM1067" s="283">
        <f t="shared" ref="BM1067:BM1073" si="861">SUM(AC1081:AD1081)</f>
        <v>0</v>
      </c>
      <c r="BN1067" s="283">
        <f t="shared" ref="BN1067:BN1073" si="862">IF(COUNTIF(AB1081:AD1081,"NA")=3,0,IF(COUNTA(AB1081:AD1081)=0,0,IF(OR(AND(AB1081=0,BL1067&gt;0),AND(AB1081="ns",BM1067&gt;0),AND(AB1081="ns",BL1067=0,BM1067=0)),1,IF(OR(AND(AB1081&gt;0,BL1067=2),AND(AB1081="ns",BL1067=2),AND(AB1081="ns",BM1067=0,BL1067&gt;0),AB1081=BM1067),0,1))))</f>
        <v>0</v>
      </c>
    </row>
    <row r="1068" spans="1:66" ht="15" customHeight="1">
      <c r="A1068" s="103"/>
      <c r="B1068" s="113"/>
      <c r="C1068" s="98" t="s">
        <v>2518</v>
      </c>
      <c r="D1068" s="813" t="str">
        <f>IF(CNSIPEE_2024_M2_Secc1!D44="","",CNSIPEE_2024_M2_Secc1!D44)</f>
        <v/>
      </c>
      <c r="E1068" s="814"/>
      <c r="F1068" s="814"/>
      <c r="G1068" s="814"/>
      <c r="H1068" s="814"/>
      <c r="I1068" s="814"/>
      <c r="J1068" s="814"/>
      <c r="K1068" s="814"/>
      <c r="L1068" s="814"/>
      <c r="M1068" s="814"/>
      <c r="N1068" s="814"/>
      <c r="O1068" s="815"/>
      <c r="P1068" s="100"/>
      <c r="Q1068" s="100"/>
      <c r="R1068" s="100"/>
      <c r="S1068" s="100"/>
      <c r="T1068" s="100"/>
      <c r="U1068" s="100"/>
      <c r="V1068" s="100"/>
      <c r="W1068" s="100"/>
      <c r="X1068" s="100"/>
      <c r="Y1068" s="100"/>
      <c r="Z1068" s="100"/>
      <c r="AA1068" s="100"/>
      <c r="AB1068" s="100"/>
      <c r="AC1068" s="100"/>
      <c r="AD1068" s="100"/>
      <c r="AG1068" s="326">
        <f t="shared" si="829"/>
        <v>0</v>
      </c>
      <c r="AH1068" s="283">
        <f t="shared" si="830"/>
        <v>0</v>
      </c>
      <c r="AI1068" s="283">
        <f t="shared" si="831"/>
        <v>0</v>
      </c>
      <c r="AJ1068" s="283">
        <f t="shared" si="832"/>
        <v>0</v>
      </c>
      <c r="AK1068" s="283">
        <f t="shared" si="833"/>
        <v>0</v>
      </c>
      <c r="AL1068" s="283">
        <f t="shared" si="834"/>
        <v>0</v>
      </c>
      <c r="AM1068" s="283">
        <f t="shared" si="835"/>
        <v>0</v>
      </c>
      <c r="AN1068" s="283">
        <f t="shared" si="836"/>
        <v>0</v>
      </c>
      <c r="AO1068" s="283">
        <f t="shared" si="837"/>
        <v>0</v>
      </c>
      <c r="AP1068" s="283">
        <f t="shared" si="838"/>
        <v>0</v>
      </c>
      <c r="AQ1068" s="283">
        <f t="shared" si="839"/>
        <v>0</v>
      </c>
      <c r="AR1068" s="283">
        <f t="shared" si="840"/>
        <v>0</v>
      </c>
      <c r="AS1068" s="283">
        <f t="shared" si="841"/>
        <v>0</v>
      </c>
      <c r="AT1068" s="283">
        <f t="shared" si="842"/>
        <v>0</v>
      </c>
      <c r="AU1068" s="283">
        <f t="shared" si="843"/>
        <v>0</v>
      </c>
      <c r="AV1068" s="283">
        <f t="shared" si="844"/>
        <v>0</v>
      </c>
      <c r="AW1068" s="283">
        <f t="shared" si="845"/>
        <v>0</v>
      </c>
      <c r="AX1068" s="283">
        <f t="shared" si="846"/>
        <v>0</v>
      </c>
      <c r="AY1068" s="283">
        <f t="shared" si="847"/>
        <v>0</v>
      </c>
      <c r="AZ1068" s="283">
        <f t="shared" si="848"/>
        <v>0</v>
      </c>
      <c r="BA1068" s="283">
        <f t="shared" si="849"/>
        <v>0</v>
      </c>
      <c r="BB1068" s="283">
        <f t="shared" si="850"/>
        <v>0</v>
      </c>
      <c r="BC1068" s="283">
        <f t="shared" si="851"/>
        <v>0</v>
      </c>
      <c r="BD1068" s="283">
        <f t="shared" si="852"/>
        <v>0</v>
      </c>
      <c r="BE1068" s="283">
        <f t="shared" si="853"/>
        <v>0</v>
      </c>
      <c r="BF1068" s="283">
        <f t="shared" si="854"/>
        <v>0</v>
      </c>
      <c r="BG1068" s="283">
        <f t="shared" si="855"/>
        <v>0</v>
      </c>
      <c r="BH1068" s="283">
        <f t="shared" si="856"/>
        <v>0</v>
      </c>
      <c r="BI1068" s="283">
        <f t="shared" si="857"/>
        <v>0</v>
      </c>
      <c r="BJ1068" s="283">
        <f t="shared" si="858"/>
        <v>0</v>
      </c>
      <c r="BK1068" s="283">
        <f t="shared" si="859"/>
        <v>0</v>
      </c>
      <c r="BL1068" s="283">
        <f t="shared" si="860"/>
        <v>0</v>
      </c>
      <c r="BM1068" s="283">
        <f t="shared" si="861"/>
        <v>0</v>
      </c>
      <c r="BN1068" s="283">
        <f t="shared" si="862"/>
        <v>0</v>
      </c>
    </row>
    <row r="1069" spans="1:66" ht="15" customHeight="1">
      <c r="A1069" s="103"/>
      <c r="B1069" s="113"/>
      <c r="C1069" s="98" t="s">
        <v>2519</v>
      </c>
      <c r="D1069" s="813" t="str">
        <f>IF(CNSIPEE_2024_M2_Secc1!D45="","",CNSIPEE_2024_M2_Secc1!D45)</f>
        <v/>
      </c>
      <c r="E1069" s="814"/>
      <c r="F1069" s="814"/>
      <c r="G1069" s="814"/>
      <c r="H1069" s="814"/>
      <c r="I1069" s="814"/>
      <c r="J1069" s="814"/>
      <c r="K1069" s="814"/>
      <c r="L1069" s="814"/>
      <c r="M1069" s="814"/>
      <c r="N1069" s="814"/>
      <c r="O1069" s="815"/>
      <c r="P1069" s="100"/>
      <c r="Q1069" s="100"/>
      <c r="R1069" s="100"/>
      <c r="S1069" s="100"/>
      <c r="T1069" s="100"/>
      <c r="U1069" s="100"/>
      <c r="V1069" s="100"/>
      <c r="W1069" s="100"/>
      <c r="X1069" s="100"/>
      <c r="Y1069" s="100"/>
      <c r="Z1069" s="100"/>
      <c r="AA1069" s="100"/>
      <c r="AB1069" s="100"/>
      <c r="AC1069" s="100"/>
      <c r="AD1069" s="100"/>
      <c r="AG1069" s="326">
        <f t="shared" si="829"/>
        <v>0</v>
      </c>
      <c r="AH1069" s="283">
        <f t="shared" si="830"/>
        <v>0</v>
      </c>
      <c r="AI1069" s="283">
        <f t="shared" si="831"/>
        <v>0</v>
      </c>
      <c r="AJ1069" s="283">
        <f t="shared" si="832"/>
        <v>0</v>
      </c>
      <c r="AK1069" s="283">
        <f t="shared" si="833"/>
        <v>0</v>
      </c>
      <c r="AL1069" s="283">
        <f t="shared" si="834"/>
        <v>0</v>
      </c>
      <c r="AM1069" s="283">
        <f t="shared" si="835"/>
        <v>0</v>
      </c>
      <c r="AN1069" s="283">
        <f t="shared" si="836"/>
        <v>0</v>
      </c>
      <c r="AO1069" s="283">
        <f t="shared" si="837"/>
        <v>0</v>
      </c>
      <c r="AP1069" s="283">
        <f t="shared" si="838"/>
        <v>0</v>
      </c>
      <c r="AQ1069" s="283">
        <f t="shared" si="839"/>
        <v>0</v>
      </c>
      <c r="AR1069" s="283">
        <f t="shared" si="840"/>
        <v>0</v>
      </c>
      <c r="AS1069" s="283">
        <f t="shared" si="841"/>
        <v>0</v>
      </c>
      <c r="AT1069" s="283">
        <f t="shared" si="842"/>
        <v>0</v>
      </c>
      <c r="AU1069" s="283">
        <f t="shared" si="843"/>
        <v>0</v>
      </c>
      <c r="AV1069" s="283">
        <f t="shared" si="844"/>
        <v>0</v>
      </c>
      <c r="AW1069" s="283">
        <f t="shared" si="845"/>
        <v>0</v>
      </c>
      <c r="AX1069" s="283">
        <f t="shared" si="846"/>
        <v>0</v>
      </c>
      <c r="AY1069" s="283">
        <f t="shared" si="847"/>
        <v>0</v>
      </c>
      <c r="AZ1069" s="283">
        <f t="shared" si="848"/>
        <v>0</v>
      </c>
      <c r="BA1069" s="283">
        <f t="shared" si="849"/>
        <v>0</v>
      </c>
      <c r="BB1069" s="283">
        <f t="shared" si="850"/>
        <v>0</v>
      </c>
      <c r="BC1069" s="283">
        <f t="shared" si="851"/>
        <v>0</v>
      </c>
      <c r="BD1069" s="283">
        <f t="shared" si="852"/>
        <v>0</v>
      </c>
      <c r="BE1069" s="283">
        <f t="shared" si="853"/>
        <v>0</v>
      </c>
      <c r="BF1069" s="283">
        <f t="shared" si="854"/>
        <v>0</v>
      </c>
      <c r="BG1069" s="283">
        <f t="shared" si="855"/>
        <v>0</v>
      </c>
      <c r="BH1069" s="283">
        <f t="shared" si="856"/>
        <v>0</v>
      </c>
      <c r="BI1069" s="283">
        <f t="shared" si="857"/>
        <v>0</v>
      </c>
      <c r="BJ1069" s="283">
        <f t="shared" si="858"/>
        <v>0</v>
      </c>
      <c r="BK1069" s="283">
        <f t="shared" si="859"/>
        <v>0</v>
      </c>
      <c r="BL1069" s="283">
        <f t="shared" si="860"/>
        <v>0</v>
      </c>
      <c r="BM1069" s="283">
        <f t="shared" si="861"/>
        <v>0</v>
      </c>
      <c r="BN1069" s="283">
        <f t="shared" si="862"/>
        <v>0</v>
      </c>
    </row>
    <row r="1070" spans="1:66" ht="15" customHeight="1">
      <c r="A1070" s="103"/>
      <c r="B1070" s="113"/>
      <c r="C1070" s="98" t="s">
        <v>2520</v>
      </c>
      <c r="D1070" s="813" t="str">
        <f>IF(CNSIPEE_2024_M2_Secc1!D46="","",CNSIPEE_2024_M2_Secc1!D46)</f>
        <v/>
      </c>
      <c r="E1070" s="814"/>
      <c r="F1070" s="814"/>
      <c r="G1070" s="814"/>
      <c r="H1070" s="814"/>
      <c r="I1070" s="814"/>
      <c r="J1070" s="814"/>
      <c r="K1070" s="814"/>
      <c r="L1070" s="814"/>
      <c r="M1070" s="814"/>
      <c r="N1070" s="814"/>
      <c r="O1070" s="815"/>
      <c r="P1070" s="100"/>
      <c r="Q1070" s="100"/>
      <c r="R1070" s="100"/>
      <c r="S1070" s="100"/>
      <c r="T1070" s="100"/>
      <c r="U1070" s="100"/>
      <c r="V1070" s="100"/>
      <c r="W1070" s="100"/>
      <c r="X1070" s="100"/>
      <c r="Y1070" s="100"/>
      <c r="Z1070" s="100"/>
      <c r="AA1070" s="100"/>
      <c r="AB1070" s="100"/>
      <c r="AC1070" s="100"/>
      <c r="AD1070" s="100"/>
      <c r="AG1070" s="326">
        <f t="shared" si="829"/>
        <v>0</v>
      </c>
      <c r="AH1070" s="283">
        <f t="shared" si="830"/>
        <v>0</v>
      </c>
      <c r="AI1070" s="283">
        <f t="shared" si="831"/>
        <v>0</v>
      </c>
      <c r="AJ1070" s="283">
        <f t="shared" si="832"/>
        <v>0</v>
      </c>
      <c r="AK1070" s="283">
        <f t="shared" si="833"/>
        <v>0</v>
      </c>
      <c r="AL1070" s="283">
        <f t="shared" si="834"/>
        <v>0</v>
      </c>
      <c r="AM1070" s="283">
        <f t="shared" si="835"/>
        <v>0</v>
      </c>
      <c r="AN1070" s="283">
        <f t="shared" si="836"/>
        <v>0</v>
      </c>
      <c r="AO1070" s="283">
        <f t="shared" si="837"/>
        <v>0</v>
      </c>
      <c r="AP1070" s="283">
        <f t="shared" si="838"/>
        <v>0</v>
      </c>
      <c r="AQ1070" s="283">
        <f t="shared" si="839"/>
        <v>0</v>
      </c>
      <c r="AR1070" s="283">
        <f t="shared" si="840"/>
        <v>0</v>
      </c>
      <c r="AS1070" s="283">
        <f t="shared" si="841"/>
        <v>0</v>
      </c>
      <c r="AT1070" s="283">
        <f t="shared" si="842"/>
        <v>0</v>
      </c>
      <c r="AU1070" s="283">
        <f t="shared" si="843"/>
        <v>0</v>
      </c>
      <c r="AV1070" s="283">
        <f t="shared" si="844"/>
        <v>0</v>
      </c>
      <c r="AW1070" s="283">
        <f t="shared" si="845"/>
        <v>0</v>
      </c>
      <c r="AX1070" s="283">
        <f t="shared" si="846"/>
        <v>0</v>
      </c>
      <c r="AY1070" s="283">
        <f t="shared" si="847"/>
        <v>0</v>
      </c>
      <c r="AZ1070" s="283">
        <f t="shared" si="848"/>
        <v>0</v>
      </c>
      <c r="BA1070" s="283">
        <f t="shared" si="849"/>
        <v>0</v>
      </c>
      <c r="BB1070" s="283">
        <f t="shared" si="850"/>
        <v>0</v>
      </c>
      <c r="BC1070" s="283">
        <f t="shared" si="851"/>
        <v>0</v>
      </c>
      <c r="BD1070" s="283">
        <f t="shared" si="852"/>
        <v>0</v>
      </c>
      <c r="BE1070" s="283">
        <f t="shared" si="853"/>
        <v>0</v>
      </c>
      <c r="BF1070" s="283">
        <f t="shared" si="854"/>
        <v>0</v>
      </c>
      <c r="BG1070" s="283">
        <f t="shared" si="855"/>
        <v>0</v>
      </c>
      <c r="BH1070" s="283">
        <f t="shared" si="856"/>
        <v>0</v>
      </c>
      <c r="BI1070" s="283">
        <f t="shared" si="857"/>
        <v>0</v>
      </c>
      <c r="BJ1070" s="283">
        <f t="shared" si="858"/>
        <v>0</v>
      </c>
      <c r="BK1070" s="283">
        <f t="shared" si="859"/>
        <v>0</v>
      </c>
      <c r="BL1070" s="283">
        <f t="shared" si="860"/>
        <v>0</v>
      </c>
      <c r="BM1070" s="283">
        <f t="shared" si="861"/>
        <v>0</v>
      </c>
      <c r="BN1070" s="283">
        <f t="shared" si="862"/>
        <v>0</v>
      </c>
    </row>
    <row r="1071" spans="1:66" ht="15" customHeight="1">
      <c r="A1071" s="103"/>
      <c r="B1071" s="113"/>
      <c r="C1071" s="98" t="s">
        <v>2521</v>
      </c>
      <c r="D1071" s="813" t="str">
        <f>IF(CNSIPEE_2024_M2_Secc1!D47="","",CNSIPEE_2024_M2_Secc1!D47)</f>
        <v/>
      </c>
      <c r="E1071" s="814"/>
      <c r="F1071" s="814"/>
      <c r="G1071" s="814"/>
      <c r="H1071" s="814"/>
      <c r="I1071" s="814"/>
      <c r="J1071" s="814"/>
      <c r="K1071" s="814"/>
      <c r="L1071" s="814"/>
      <c r="M1071" s="814"/>
      <c r="N1071" s="814"/>
      <c r="O1071" s="815"/>
      <c r="P1071" s="100"/>
      <c r="Q1071" s="100"/>
      <c r="R1071" s="100"/>
      <c r="S1071" s="100"/>
      <c r="T1071" s="100"/>
      <c r="U1071" s="100"/>
      <c r="V1071" s="100"/>
      <c r="W1071" s="100"/>
      <c r="X1071" s="100"/>
      <c r="Y1071" s="100"/>
      <c r="Z1071" s="100"/>
      <c r="AA1071" s="100"/>
      <c r="AB1071" s="100"/>
      <c r="AC1071" s="100"/>
      <c r="AD1071" s="100"/>
      <c r="AG1071" s="326">
        <f t="shared" si="829"/>
        <v>0</v>
      </c>
      <c r="AH1071" s="283">
        <f t="shared" si="830"/>
        <v>0</v>
      </c>
      <c r="AI1071" s="283">
        <f t="shared" si="831"/>
        <v>0</v>
      </c>
      <c r="AJ1071" s="283">
        <f t="shared" si="832"/>
        <v>0</v>
      </c>
      <c r="AK1071" s="283">
        <f t="shared" si="833"/>
        <v>0</v>
      </c>
      <c r="AL1071" s="283">
        <f t="shared" si="834"/>
        <v>0</v>
      </c>
      <c r="AM1071" s="283">
        <f t="shared" si="835"/>
        <v>0</v>
      </c>
      <c r="AN1071" s="283">
        <f t="shared" si="836"/>
        <v>0</v>
      </c>
      <c r="AO1071" s="283">
        <f t="shared" si="837"/>
        <v>0</v>
      </c>
      <c r="AP1071" s="283">
        <f t="shared" si="838"/>
        <v>0</v>
      </c>
      <c r="AQ1071" s="283">
        <f t="shared" si="839"/>
        <v>0</v>
      </c>
      <c r="AR1071" s="283">
        <f t="shared" si="840"/>
        <v>0</v>
      </c>
      <c r="AS1071" s="283">
        <f t="shared" si="841"/>
        <v>0</v>
      </c>
      <c r="AT1071" s="283">
        <f t="shared" si="842"/>
        <v>0</v>
      </c>
      <c r="AU1071" s="283">
        <f t="shared" si="843"/>
        <v>0</v>
      </c>
      <c r="AV1071" s="283">
        <f t="shared" si="844"/>
        <v>0</v>
      </c>
      <c r="AW1071" s="283">
        <f t="shared" si="845"/>
        <v>0</v>
      </c>
      <c r="AX1071" s="283">
        <f t="shared" si="846"/>
        <v>0</v>
      </c>
      <c r="AY1071" s="283">
        <f t="shared" si="847"/>
        <v>0</v>
      </c>
      <c r="AZ1071" s="283">
        <f t="shared" si="848"/>
        <v>0</v>
      </c>
      <c r="BA1071" s="283">
        <f t="shared" si="849"/>
        <v>0</v>
      </c>
      <c r="BB1071" s="283">
        <f t="shared" si="850"/>
        <v>0</v>
      </c>
      <c r="BC1071" s="283">
        <f t="shared" si="851"/>
        <v>0</v>
      </c>
      <c r="BD1071" s="283">
        <f t="shared" si="852"/>
        <v>0</v>
      </c>
      <c r="BE1071" s="283">
        <f t="shared" si="853"/>
        <v>0</v>
      </c>
      <c r="BF1071" s="283">
        <f t="shared" si="854"/>
        <v>0</v>
      </c>
      <c r="BG1071" s="283">
        <f t="shared" si="855"/>
        <v>0</v>
      </c>
      <c r="BH1071" s="283">
        <f t="shared" si="856"/>
        <v>0</v>
      </c>
      <c r="BI1071" s="283">
        <f t="shared" si="857"/>
        <v>0</v>
      </c>
      <c r="BJ1071" s="283">
        <f t="shared" si="858"/>
        <v>0</v>
      </c>
      <c r="BK1071" s="283">
        <f t="shared" si="859"/>
        <v>0</v>
      </c>
      <c r="BL1071" s="283">
        <f t="shared" si="860"/>
        <v>0</v>
      </c>
      <c r="BM1071" s="283">
        <f t="shared" si="861"/>
        <v>0</v>
      </c>
      <c r="BN1071" s="283">
        <f t="shared" si="862"/>
        <v>0</v>
      </c>
    </row>
    <row r="1072" spans="1:66" ht="15" customHeight="1">
      <c r="A1072" s="103"/>
      <c r="B1072" s="113"/>
      <c r="C1072" s="98" t="s">
        <v>2522</v>
      </c>
      <c r="D1072" s="813" t="str">
        <f>IF(CNSIPEE_2024_M2_Secc1!D48="","",CNSIPEE_2024_M2_Secc1!D48)</f>
        <v/>
      </c>
      <c r="E1072" s="814"/>
      <c r="F1072" s="814"/>
      <c r="G1072" s="814"/>
      <c r="H1072" s="814"/>
      <c r="I1072" s="814"/>
      <c r="J1072" s="814"/>
      <c r="K1072" s="814"/>
      <c r="L1072" s="814"/>
      <c r="M1072" s="814"/>
      <c r="N1072" s="814"/>
      <c r="O1072" s="815"/>
      <c r="P1072" s="100"/>
      <c r="Q1072" s="100"/>
      <c r="R1072" s="100"/>
      <c r="S1072" s="100"/>
      <c r="T1072" s="100"/>
      <c r="U1072" s="100"/>
      <c r="V1072" s="100"/>
      <c r="W1072" s="100"/>
      <c r="X1072" s="100"/>
      <c r="Y1072" s="100"/>
      <c r="Z1072" s="100"/>
      <c r="AA1072" s="100"/>
      <c r="AB1072" s="100"/>
      <c r="AC1072" s="100"/>
      <c r="AD1072" s="100"/>
      <c r="AG1072" s="326">
        <f t="shared" si="829"/>
        <v>0</v>
      </c>
      <c r="AH1072" s="283">
        <f t="shared" si="830"/>
        <v>0</v>
      </c>
      <c r="AI1072" s="283">
        <f t="shared" si="831"/>
        <v>0</v>
      </c>
      <c r="AJ1072" s="283">
        <f t="shared" si="832"/>
        <v>0</v>
      </c>
      <c r="AK1072" s="283">
        <f t="shared" si="833"/>
        <v>0</v>
      </c>
      <c r="AL1072" s="283">
        <f t="shared" si="834"/>
        <v>0</v>
      </c>
      <c r="AM1072" s="283">
        <f t="shared" si="835"/>
        <v>0</v>
      </c>
      <c r="AN1072" s="283">
        <f t="shared" si="836"/>
        <v>0</v>
      </c>
      <c r="AO1072" s="283">
        <f t="shared" si="837"/>
        <v>0</v>
      </c>
      <c r="AP1072" s="283">
        <f t="shared" si="838"/>
        <v>0</v>
      </c>
      <c r="AQ1072" s="283">
        <f t="shared" si="839"/>
        <v>0</v>
      </c>
      <c r="AR1072" s="283">
        <f t="shared" si="840"/>
        <v>0</v>
      </c>
      <c r="AS1072" s="283">
        <f t="shared" si="841"/>
        <v>0</v>
      </c>
      <c r="AT1072" s="283">
        <f t="shared" si="842"/>
        <v>0</v>
      </c>
      <c r="AU1072" s="283">
        <f t="shared" si="843"/>
        <v>0</v>
      </c>
      <c r="AV1072" s="283">
        <f t="shared" si="844"/>
        <v>0</v>
      </c>
      <c r="AW1072" s="283">
        <f t="shared" si="845"/>
        <v>0</v>
      </c>
      <c r="AX1072" s="283">
        <f t="shared" si="846"/>
        <v>0</v>
      </c>
      <c r="AY1072" s="283">
        <f t="shared" si="847"/>
        <v>0</v>
      </c>
      <c r="AZ1072" s="283">
        <f t="shared" si="848"/>
        <v>0</v>
      </c>
      <c r="BA1072" s="283">
        <f t="shared" si="849"/>
        <v>0</v>
      </c>
      <c r="BB1072" s="283">
        <f t="shared" si="850"/>
        <v>0</v>
      </c>
      <c r="BC1072" s="283">
        <f t="shared" si="851"/>
        <v>0</v>
      </c>
      <c r="BD1072" s="283">
        <f t="shared" si="852"/>
        <v>0</v>
      </c>
      <c r="BE1072" s="283">
        <f t="shared" si="853"/>
        <v>0</v>
      </c>
      <c r="BF1072" s="283">
        <f t="shared" si="854"/>
        <v>0</v>
      </c>
      <c r="BG1072" s="283">
        <f t="shared" si="855"/>
        <v>0</v>
      </c>
      <c r="BH1072" s="283">
        <f t="shared" si="856"/>
        <v>0</v>
      </c>
      <c r="BI1072" s="283">
        <f t="shared" si="857"/>
        <v>0</v>
      </c>
      <c r="BJ1072" s="283">
        <f t="shared" si="858"/>
        <v>0</v>
      </c>
      <c r="BK1072" s="283">
        <f t="shared" si="859"/>
        <v>0</v>
      </c>
      <c r="BL1072" s="283">
        <f t="shared" si="860"/>
        <v>0</v>
      </c>
      <c r="BM1072" s="283">
        <f t="shared" si="861"/>
        <v>0</v>
      </c>
      <c r="BN1072" s="283">
        <f t="shared" si="862"/>
        <v>0</v>
      </c>
    </row>
    <row r="1073" spans="1:69" ht="15" customHeight="1">
      <c r="A1073" s="103"/>
      <c r="B1073" s="113"/>
      <c r="C1073" s="98" t="s">
        <v>2523</v>
      </c>
      <c r="D1073" s="813" t="str">
        <f>IF(CNSIPEE_2024_M2_Secc1!D49="","",CNSIPEE_2024_M2_Secc1!D49)</f>
        <v/>
      </c>
      <c r="E1073" s="814"/>
      <c r="F1073" s="814"/>
      <c r="G1073" s="814"/>
      <c r="H1073" s="814"/>
      <c r="I1073" s="814"/>
      <c r="J1073" s="814"/>
      <c r="K1073" s="814"/>
      <c r="L1073" s="814"/>
      <c r="M1073" s="814"/>
      <c r="N1073" s="814"/>
      <c r="O1073" s="815"/>
      <c r="P1073" s="100"/>
      <c r="Q1073" s="100"/>
      <c r="R1073" s="100"/>
      <c r="S1073" s="100"/>
      <c r="T1073" s="100"/>
      <c r="U1073" s="100"/>
      <c r="V1073" s="100"/>
      <c r="W1073" s="100"/>
      <c r="X1073" s="100"/>
      <c r="Y1073" s="100"/>
      <c r="Z1073" s="100"/>
      <c r="AA1073" s="100"/>
      <c r="AB1073" s="100"/>
      <c r="AC1073" s="100"/>
      <c r="AD1073" s="100"/>
      <c r="AG1073" s="326">
        <f>IF(AND($C$987="X",COUNTA(P1073:AD1073,M1087:AD1087)=0),0,IF(AND(SUM($J1013)&gt;0,COUNTBLANK(D1073)=0,COUNTA(P1073:AD1073,M1087:AD1087)=33),0,IF(AND(SUM($J1013)=0,COUNTBLANK(D1073)=1,COUNTA(P1073:AD1073,M1087:AD1087)=0),0,1)))</f>
        <v>0</v>
      </c>
      <c r="AH1073" s="283">
        <f t="shared" si="830"/>
        <v>0</v>
      </c>
      <c r="AI1073" s="283">
        <f t="shared" si="831"/>
        <v>0</v>
      </c>
      <c r="AJ1073" s="283">
        <f t="shared" si="832"/>
        <v>0</v>
      </c>
      <c r="AK1073" s="283">
        <f t="shared" si="833"/>
        <v>0</v>
      </c>
      <c r="AL1073" s="283">
        <f t="shared" si="834"/>
        <v>0</v>
      </c>
      <c r="AM1073" s="283">
        <f t="shared" si="835"/>
        <v>0</v>
      </c>
      <c r="AN1073" s="283">
        <f t="shared" si="836"/>
        <v>0</v>
      </c>
      <c r="AO1073" s="283">
        <f t="shared" si="837"/>
        <v>0</v>
      </c>
      <c r="AP1073" s="283">
        <f t="shared" si="838"/>
        <v>0</v>
      </c>
      <c r="AQ1073" s="283">
        <f t="shared" si="839"/>
        <v>0</v>
      </c>
      <c r="AR1073" s="283">
        <f t="shared" si="840"/>
        <v>0</v>
      </c>
      <c r="AS1073" s="283">
        <f t="shared" si="841"/>
        <v>0</v>
      </c>
      <c r="AT1073" s="283">
        <f t="shared" si="842"/>
        <v>0</v>
      </c>
      <c r="AU1073" s="283">
        <f t="shared" si="843"/>
        <v>0</v>
      </c>
      <c r="AV1073" s="283">
        <f t="shared" si="844"/>
        <v>0</v>
      </c>
      <c r="AW1073" s="283">
        <f t="shared" si="845"/>
        <v>0</v>
      </c>
      <c r="AX1073" s="283">
        <f t="shared" si="846"/>
        <v>0</v>
      </c>
      <c r="AY1073" s="283">
        <f t="shared" si="847"/>
        <v>0</v>
      </c>
      <c r="AZ1073" s="283">
        <f t="shared" si="848"/>
        <v>0</v>
      </c>
      <c r="BA1073" s="283">
        <f t="shared" si="849"/>
        <v>0</v>
      </c>
      <c r="BB1073" s="283">
        <f t="shared" si="850"/>
        <v>0</v>
      </c>
      <c r="BC1073" s="283">
        <f t="shared" si="851"/>
        <v>0</v>
      </c>
      <c r="BD1073" s="283">
        <f t="shared" si="852"/>
        <v>0</v>
      </c>
      <c r="BE1073" s="283">
        <f t="shared" si="853"/>
        <v>0</v>
      </c>
      <c r="BF1073" s="283">
        <f t="shared" si="854"/>
        <v>0</v>
      </c>
      <c r="BG1073" s="283">
        <f t="shared" si="855"/>
        <v>0</v>
      </c>
      <c r="BH1073" s="283">
        <f t="shared" si="856"/>
        <v>0</v>
      </c>
      <c r="BI1073" s="283">
        <f t="shared" si="857"/>
        <v>0</v>
      </c>
      <c r="BJ1073" s="283">
        <f t="shared" si="858"/>
        <v>0</v>
      </c>
      <c r="BK1073" s="283">
        <f t="shared" si="859"/>
        <v>0</v>
      </c>
      <c r="BL1073" s="283">
        <f t="shared" si="860"/>
        <v>0</v>
      </c>
      <c r="BM1073" s="283">
        <f t="shared" si="861"/>
        <v>0</v>
      </c>
      <c r="BN1073" s="283">
        <f t="shared" si="862"/>
        <v>0</v>
      </c>
    </row>
    <row r="1074" spans="1:69" ht="15" customHeight="1">
      <c r="A1074" s="49"/>
      <c r="B1074" s="123"/>
      <c r="C1074" s="123"/>
      <c r="D1074" s="123"/>
      <c r="E1074" s="123"/>
      <c r="G1074" s="123"/>
      <c r="H1074" s="123"/>
      <c r="I1074" s="123"/>
      <c r="J1074" s="123"/>
      <c r="K1074" s="123"/>
      <c r="L1074" s="123"/>
      <c r="M1074" s="123"/>
      <c r="N1074" s="123"/>
      <c r="O1074" s="117" t="s">
        <v>2649</v>
      </c>
      <c r="P1074" s="124">
        <f>IF(AND(SUM(P1066:P1073)=0,COUNTIF(P1066:P1073,"NS")&gt;0),"NS",
IF(AND(SUM(P1066:P1073)=0,COUNTIF(P1066:P1073,0)&gt;0),0,
IF(AND(SUM(P1066:P1073)=0,COUNTIF(P1066:P1073,"NA")&gt;0),"NA",
SUM(P1066:P1073))))</f>
        <v>0</v>
      </c>
      <c r="Q1074" s="124">
        <f t="shared" ref="Q1074:AD1074" si="863">IF(AND(SUM(Q1066:Q1073)=0,COUNTIF(Q1066:Q1073,"NS")&gt;0),"NS",
IF(AND(SUM(Q1066:Q1073)=0,COUNTIF(Q1066:Q1073,0)&gt;0),0,
IF(AND(SUM(Q1066:Q1073)=0,COUNTIF(Q1066:Q1073,"NA")&gt;0),"NA",
SUM(Q1066:Q1073))))</f>
        <v>0</v>
      </c>
      <c r="R1074" s="124">
        <f t="shared" si="863"/>
        <v>0</v>
      </c>
      <c r="S1074" s="124">
        <f t="shared" si="863"/>
        <v>0</v>
      </c>
      <c r="T1074" s="124">
        <f t="shared" si="863"/>
        <v>0</v>
      </c>
      <c r="U1074" s="124">
        <f t="shared" si="863"/>
        <v>0</v>
      </c>
      <c r="V1074" s="124">
        <f t="shared" si="863"/>
        <v>0</v>
      </c>
      <c r="W1074" s="124">
        <f t="shared" si="863"/>
        <v>0</v>
      </c>
      <c r="X1074" s="124">
        <f t="shared" si="863"/>
        <v>0</v>
      </c>
      <c r="Y1074" s="124">
        <f t="shared" si="863"/>
        <v>0</v>
      </c>
      <c r="Z1074" s="124">
        <f t="shared" si="863"/>
        <v>0</v>
      </c>
      <c r="AA1074" s="124">
        <f t="shared" si="863"/>
        <v>0</v>
      </c>
      <c r="AB1074" s="124">
        <f t="shared" si="863"/>
        <v>0</v>
      </c>
      <c r="AC1074" s="124">
        <f t="shared" si="863"/>
        <v>0</v>
      </c>
      <c r="AD1074" s="124">
        <f t="shared" si="863"/>
        <v>0</v>
      </c>
      <c r="AG1074" s="354">
        <f>SUM(AG1066:AG1073)</f>
        <v>0</v>
      </c>
      <c r="AH1074" s="406">
        <f>SUM(AH1066:AH1073)</f>
        <v>0</v>
      </c>
      <c r="AI1074" s="326"/>
      <c r="AJ1074" s="352">
        <f>SUM(AJ1066:AJ1073)</f>
        <v>0</v>
      </c>
      <c r="AK1074" s="406">
        <f t="shared" ref="AK1074" si="864">SUM(AK1066:AK1073)</f>
        <v>0</v>
      </c>
      <c r="AL1074" s="326"/>
      <c r="AM1074" s="352">
        <f t="shared" ref="AM1074:AN1074" si="865">SUM(AM1066:AM1073)</f>
        <v>0</v>
      </c>
      <c r="AN1074" s="406">
        <f t="shared" si="865"/>
        <v>0</v>
      </c>
      <c r="AO1074" s="326"/>
      <c r="AP1074" s="352">
        <f t="shared" ref="AP1074:AQ1074" si="866">SUM(AP1066:AP1073)</f>
        <v>0</v>
      </c>
      <c r="AQ1074" s="406">
        <f t="shared" si="866"/>
        <v>0</v>
      </c>
      <c r="AR1074" s="326"/>
      <c r="AS1074" s="352">
        <f t="shared" ref="AS1074:AT1074" si="867">SUM(AS1066:AS1073)</f>
        <v>0</v>
      </c>
      <c r="AT1074" s="406">
        <f t="shared" si="867"/>
        <v>0</v>
      </c>
      <c r="AU1074" s="326"/>
      <c r="AV1074" s="352">
        <f t="shared" ref="AV1074:AW1074" si="868">SUM(AV1066:AV1073)</f>
        <v>0</v>
      </c>
      <c r="AW1074" s="406">
        <f t="shared" si="868"/>
        <v>0</v>
      </c>
      <c r="AX1074" s="326"/>
      <c r="AY1074" s="352">
        <f t="shared" ref="AY1074:AZ1074" si="869">SUM(AY1066:AY1073)</f>
        <v>0</v>
      </c>
      <c r="AZ1074" s="406">
        <f t="shared" si="869"/>
        <v>0</v>
      </c>
      <c r="BA1074" s="326"/>
      <c r="BB1074" s="352">
        <f t="shared" ref="BB1074:BC1074" si="870">SUM(BB1066:BB1073)</f>
        <v>0</v>
      </c>
      <c r="BC1074" s="406">
        <f t="shared" si="870"/>
        <v>0</v>
      </c>
      <c r="BD1074" s="326"/>
      <c r="BE1074" s="352">
        <f t="shared" ref="BE1074:BF1074" si="871">SUM(BE1066:BE1073)</f>
        <v>0</v>
      </c>
      <c r="BF1074" s="406">
        <f t="shared" si="871"/>
        <v>0</v>
      </c>
      <c r="BG1074" s="326"/>
      <c r="BH1074" s="352">
        <f t="shared" ref="BH1074:BI1074" si="872">SUM(BH1066:BH1073)</f>
        <v>0</v>
      </c>
      <c r="BI1074" s="406">
        <f t="shared" si="872"/>
        <v>0</v>
      </c>
      <c r="BJ1074" s="326"/>
      <c r="BK1074" s="352">
        <f t="shared" ref="BK1074:BL1074" si="873">SUM(BK1066:BK1073)</f>
        <v>0</v>
      </c>
      <c r="BL1074" s="406">
        <f t="shared" si="873"/>
        <v>0</v>
      </c>
      <c r="BM1074" s="326"/>
      <c r="BN1074" s="352">
        <f t="shared" ref="BN1074" si="874">SUM(BN1066:BN1073)</f>
        <v>0</v>
      </c>
    </row>
    <row r="1075" spans="1:69" ht="15" customHeight="1">
      <c r="A1075" s="49"/>
      <c r="B1075" s="123"/>
      <c r="C1075" s="123"/>
      <c r="D1075" s="123"/>
      <c r="E1075" s="123"/>
      <c r="G1075" s="123"/>
      <c r="H1075" s="123"/>
      <c r="I1075" s="123"/>
      <c r="J1075" s="123"/>
      <c r="K1075" s="123"/>
      <c r="L1075" s="123"/>
      <c r="M1075" s="123"/>
      <c r="N1075" s="123"/>
      <c r="O1075" s="117"/>
      <c r="P1075" s="104"/>
      <c r="Q1075" s="104"/>
      <c r="R1075" s="104"/>
      <c r="S1075" s="104"/>
      <c r="T1075" s="104"/>
      <c r="U1075" s="104"/>
      <c r="V1075" s="104"/>
      <c r="W1075" s="104"/>
      <c r="X1075" s="104"/>
      <c r="Y1075" s="104"/>
      <c r="Z1075" s="104"/>
      <c r="AA1075" s="104"/>
      <c r="AB1075" s="104"/>
      <c r="AC1075" s="104"/>
      <c r="AD1075" s="104"/>
    </row>
    <row r="1076" spans="1:69" ht="15" customHeight="1">
      <c r="A1076" s="94"/>
      <c r="AA1076" s="875" t="s">
        <v>2668</v>
      </c>
      <c r="AB1076" s="875"/>
      <c r="AC1076" s="875"/>
      <c r="AD1076" s="875"/>
      <c r="AJ1076" s="356" t="s">
        <v>2650</v>
      </c>
      <c r="AK1076" s="283">
        <f>SUM(AJ1074,AM1074,AP1074,AS1074,AV1074,AY1074,BB1074,BE1074,BH1074,BK1074,BN1074)</f>
        <v>0</v>
      </c>
      <c r="AL1076" s="355" t="s">
        <v>2651</v>
      </c>
      <c r="AM1076" s="283">
        <f>SUM(AH1074,AK1074,AN1074,AQ1074,AT1074,AW1074,AZ1074,BC1074,BF1074,BI1074,BL1074)</f>
        <v>0</v>
      </c>
      <c r="AN1076" s="283"/>
      <c r="AO1076" s="283"/>
    </row>
    <row r="1077" spans="1:69" ht="24" customHeight="1">
      <c r="A1077" s="103"/>
      <c r="B1077" s="113"/>
      <c r="C1077" s="797" t="s">
        <v>2581</v>
      </c>
      <c r="D1077" s="798"/>
      <c r="E1077" s="798"/>
      <c r="F1077" s="798"/>
      <c r="G1077" s="798"/>
      <c r="H1077" s="798"/>
      <c r="I1077" s="798"/>
      <c r="J1077" s="798"/>
      <c r="K1077" s="798"/>
      <c r="L1077" s="799"/>
      <c r="M1077" s="739" t="s">
        <v>3696</v>
      </c>
      <c r="N1077" s="740"/>
      <c r="O1077" s="740"/>
      <c r="P1077" s="740"/>
      <c r="Q1077" s="740"/>
      <c r="R1077" s="740"/>
      <c r="S1077" s="740"/>
      <c r="T1077" s="740"/>
      <c r="U1077" s="740"/>
      <c r="V1077" s="740"/>
      <c r="W1077" s="740"/>
      <c r="X1077" s="740"/>
      <c r="Y1077" s="740"/>
      <c r="Z1077" s="740"/>
      <c r="AA1077" s="740"/>
      <c r="AB1077" s="740"/>
      <c r="AC1077" s="740"/>
      <c r="AD1077" s="741"/>
      <c r="AJ1077" s="356" t="s">
        <v>2652</v>
      </c>
      <c r="AK1077" s="438">
        <f>IF(AM1076&gt;0,IF(SUM(P1074)&gt;=SUM(S1074,V1074,Y1074,AB1074,M1088,P1088,S1088,V1088,Y1088,AB1088),0,1),IF(SUM(P1074)&lt;&gt;SUM(S1074,V1074,Y1074,AB1074,M1088,P1088,S1088,V1088,Y1088,AB1088),1,0))</f>
        <v>0</v>
      </c>
      <c r="AL1077" s="357" t="s">
        <v>2653</v>
      </c>
      <c r="AM1077" s="438">
        <f>IF(AM1076&gt;0,IF(SUM(Q1074)&gt;=SUM(T1074,W1074,Z1074,AC1074,N1088,Q1088,T1088,W1088,Z1088,AC1088),0,1),IF(SUM(Q1074)&lt;&gt;SUM(T1074,W1074,Z1074,AC1074,N1088,Q1088,T1088,W1088,Z1088,AC1088),1,0))</f>
        <v>0</v>
      </c>
      <c r="AN1077" s="357" t="s">
        <v>2654</v>
      </c>
      <c r="AO1077" s="438">
        <f>IF(AM1076&gt;0,IF(SUM(R1074)&gt;=SUM(U1074,X1074,AA1074,AD1074,O1088,R1088,U1088,X1088,AA1088,AD1088),0,1),IF(SUM(R1074)&lt;&gt;SUM(U1074,X1074,AA1074,AD1074,O1088,R1088,U1088,X1088,AA1088,AD1088),1,0))</f>
        <v>0</v>
      </c>
    </row>
    <row r="1078" spans="1:69" ht="120" customHeight="1">
      <c r="A1078" s="103"/>
      <c r="B1078" s="113"/>
      <c r="C1078" s="800"/>
      <c r="D1078" s="801"/>
      <c r="E1078" s="801"/>
      <c r="F1078" s="801"/>
      <c r="G1078" s="801"/>
      <c r="H1078" s="801"/>
      <c r="I1078" s="801"/>
      <c r="J1078" s="801"/>
      <c r="K1078" s="801"/>
      <c r="L1078" s="802"/>
      <c r="M1078" s="845" t="s">
        <v>3701</v>
      </c>
      <c r="N1078" s="952"/>
      <c r="O1078" s="846"/>
      <c r="P1078" s="845" t="s">
        <v>3702</v>
      </c>
      <c r="Q1078" s="952"/>
      <c r="R1078" s="846"/>
      <c r="S1078" s="845" t="s">
        <v>3703</v>
      </c>
      <c r="T1078" s="952"/>
      <c r="U1078" s="846"/>
      <c r="V1078" s="845" t="s">
        <v>3704</v>
      </c>
      <c r="W1078" s="952"/>
      <c r="X1078" s="846"/>
      <c r="Y1078" s="845" t="s">
        <v>2990</v>
      </c>
      <c r="Z1078" s="952"/>
      <c r="AA1078" s="846"/>
      <c r="AB1078" s="845" t="s">
        <v>201</v>
      </c>
      <c r="AC1078" s="952"/>
      <c r="AD1078" s="846"/>
      <c r="AG1078" s="919" t="s">
        <v>3705</v>
      </c>
      <c r="AH1078" s="919"/>
      <c r="AI1078" s="919"/>
      <c r="AJ1078"/>
      <c r="AK1078" s="1017" t="s">
        <v>3706</v>
      </c>
      <c r="AL1078" s="1017"/>
      <c r="AM1078" s="1017"/>
      <c r="AN1078" s="1018" t="s">
        <v>3707</v>
      </c>
      <c r="AO1078" s="1018"/>
      <c r="AP1078" s="1018"/>
      <c r="AQ1078" s="1017" t="s">
        <v>3708</v>
      </c>
      <c r="AR1078" s="1017"/>
      <c r="AS1078" s="1017"/>
      <c r="AT1078" s="1019" t="s">
        <v>3709</v>
      </c>
      <c r="AU1078" s="1019"/>
      <c r="AV1078" s="1019"/>
      <c r="AW1078" s="1017" t="s">
        <v>3710</v>
      </c>
      <c r="AX1078" s="1017"/>
      <c r="AY1078" s="1017"/>
      <c r="AZ1078" s="1018" t="s">
        <v>3711</v>
      </c>
      <c r="BA1078" s="1018"/>
      <c r="BB1078" s="1018"/>
      <c r="BC1078" s="1017" t="s">
        <v>3712</v>
      </c>
      <c r="BD1078" s="1017"/>
      <c r="BE1078" s="1017"/>
      <c r="BF1078" s="1018" t="s">
        <v>3713</v>
      </c>
      <c r="BG1078" s="1018"/>
      <c r="BH1078" s="1018"/>
      <c r="BI1078" s="1017" t="s">
        <v>3714</v>
      </c>
      <c r="BJ1078" s="1017"/>
      <c r="BK1078" s="1017"/>
      <c r="BL1078" s="1018" t="s">
        <v>3715</v>
      </c>
      <c r="BM1078" s="1018"/>
      <c r="BN1078" s="1018"/>
      <c r="BO1078"/>
      <c r="BP1078" s="1020" t="s">
        <v>2794</v>
      </c>
      <c r="BQ1078"/>
    </row>
    <row r="1079" spans="1:69" ht="48" customHeight="1">
      <c r="A1079" s="103"/>
      <c r="C1079" s="803"/>
      <c r="D1079" s="804"/>
      <c r="E1079" s="804"/>
      <c r="F1079" s="804"/>
      <c r="G1079" s="804"/>
      <c r="H1079" s="804"/>
      <c r="I1079" s="804"/>
      <c r="J1079" s="804"/>
      <c r="K1079" s="804"/>
      <c r="L1079" s="805"/>
      <c r="M1079" s="127" t="s">
        <v>2635</v>
      </c>
      <c r="N1079" s="128" t="s">
        <v>2629</v>
      </c>
      <c r="O1079" s="128" t="s">
        <v>2630</v>
      </c>
      <c r="P1079" s="127" t="s">
        <v>2635</v>
      </c>
      <c r="Q1079" s="128" t="s">
        <v>2629</v>
      </c>
      <c r="R1079" s="128" t="s">
        <v>2630</v>
      </c>
      <c r="S1079" s="127" t="s">
        <v>2635</v>
      </c>
      <c r="T1079" s="128" t="s">
        <v>2629</v>
      </c>
      <c r="U1079" s="128" t="s">
        <v>2630</v>
      </c>
      <c r="V1079" s="127" t="s">
        <v>2635</v>
      </c>
      <c r="W1079" s="128" t="s">
        <v>2629</v>
      </c>
      <c r="X1079" s="128" t="s">
        <v>2630</v>
      </c>
      <c r="Y1079" s="127" t="s">
        <v>2635</v>
      </c>
      <c r="Z1079" s="128" t="s">
        <v>2629</v>
      </c>
      <c r="AA1079" s="128" t="s">
        <v>2630</v>
      </c>
      <c r="AB1079" s="127" t="s">
        <v>2635</v>
      </c>
      <c r="AC1079" s="128" t="s">
        <v>2629</v>
      </c>
      <c r="AD1079" s="128" t="s">
        <v>2630</v>
      </c>
      <c r="AG1079" s="439" t="s">
        <v>2795</v>
      </c>
      <c r="AH1079" s="440" t="s">
        <v>3177</v>
      </c>
      <c r="AI1079" s="441" t="s">
        <v>3178</v>
      </c>
      <c r="AJ1079"/>
      <c r="AK1079" s="442" t="s">
        <v>3386</v>
      </c>
      <c r="AL1079" s="443" t="s">
        <v>3177</v>
      </c>
      <c r="AM1079" s="444" t="s">
        <v>3178</v>
      </c>
      <c r="AN1079" s="442" t="s">
        <v>3386</v>
      </c>
      <c r="AO1079" s="443" t="s">
        <v>3177</v>
      </c>
      <c r="AP1079" s="444" t="s">
        <v>3178</v>
      </c>
      <c r="AQ1079" s="442" t="s">
        <v>3386</v>
      </c>
      <c r="AR1079" s="443" t="s">
        <v>3177</v>
      </c>
      <c r="AS1079" s="444" t="s">
        <v>3178</v>
      </c>
      <c r="AT1079" s="442" t="s">
        <v>3386</v>
      </c>
      <c r="AU1079" s="443" t="s">
        <v>3177</v>
      </c>
      <c r="AV1079" s="444" t="s">
        <v>3178</v>
      </c>
      <c r="AW1079" s="442" t="s">
        <v>3386</v>
      </c>
      <c r="AX1079" s="443" t="s">
        <v>3177</v>
      </c>
      <c r="AY1079" s="444" t="s">
        <v>3178</v>
      </c>
      <c r="AZ1079" s="442" t="s">
        <v>3386</v>
      </c>
      <c r="BA1079" s="443" t="s">
        <v>3177</v>
      </c>
      <c r="BB1079" s="444" t="s">
        <v>3178</v>
      </c>
      <c r="BC1079" s="442" t="s">
        <v>3386</v>
      </c>
      <c r="BD1079" s="443" t="s">
        <v>3177</v>
      </c>
      <c r="BE1079" s="444" t="s">
        <v>3178</v>
      </c>
      <c r="BF1079" s="442" t="s">
        <v>3386</v>
      </c>
      <c r="BG1079" s="443" t="s">
        <v>3177</v>
      </c>
      <c r="BH1079" s="444" t="s">
        <v>3178</v>
      </c>
      <c r="BI1079" s="442" t="s">
        <v>3386</v>
      </c>
      <c r="BJ1079" s="443" t="s">
        <v>3177</v>
      </c>
      <c r="BK1079" s="444" t="s">
        <v>3178</v>
      </c>
      <c r="BL1079" s="442" t="s">
        <v>3386</v>
      </c>
      <c r="BM1079" s="443" t="s">
        <v>3177</v>
      </c>
      <c r="BN1079" s="444" t="s">
        <v>3178</v>
      </c>
      <c r="BO1079"/>
      <c r="BP1079" s="1020"/>
      <c r="BQ1079" s="365" t="s">
        <v>2620</v>
      </c>
    </row>
    <row r="1080" spans="1:69" ht="15" customHeight="1">
      <c r="A1080" s="94"/>
      <c r="C1080" s="44" t="s">
        <v>2516</v>
      </c>
      <c r="D1080" s="813" t="str">
        <f>IF(CNSIPEE_2024_M2_Secc1!D42="","",CNSIPEE_2024_M2_Secc1!D42)</f>
        <v/>
      </c>
      <c r="E1080" s="814"/>
      <c r="F1080" s="814"/>
      <c r="G1080" s="814"/>
      <c r="H1080" s="814"/>
      <c r="I1080" s="814"/>
      <c r="J1080" s="814"/>
      <c r="K1080" s="814"/>
      <c r="L1080" s="815"/>
      <c r="M1080" s="100"/>
      <c r="N1080" s="100"/>
      <c r="O1080" s="100"/>
      <c r="P1080" s="100"/>
      <c r="Q1080" s="100"/>
      <c r="R1080" s="100"/>
      <c r="S1080" s="100"/>
      <c r="T1080" s="100"/>
      <c r="U1080" s="100"/>
      <c r="V1080" s="100"/>
      <c r="W1080" s="100"/>
      <c r="X1080" s="100"/>
      <c r="Y1080" s="100"/>
      <c r="Z1080" s="100"/>
      <c r="AA1080" s="100"/>
      <c r="AB1080" s="100"/>
      <c r="AC1080" s="100"/>
      <c r="AD1080" s="100"/>
      <c r="AG1080">
        <f>IF(OR(P1066="NS",J1006="NS"),0,IF(AND(P1066="NA",J1006="NA"),0,IF(P1066&gt;=J1006,0,1)))</f>
        <v>0</v>
      </c>
      <c r="AH1080">
        <f>IF(OR(Q1066="NS",K1006="NS"),0,IF(AND(Q1066="NA",K1006="NA"),0,IF(Q1066&gt;=K1006,0,1)))</f>
        <v>0</v>
      </c>
      <c r="AI1080">
        <f>IF(OR(R1066="NS",L1006="NS"),0,IF(AND(R1066="NA",L1006="NA"),0,IF(R1066&gt;=L1006,0,1)))</f>
        <v>0</v>
      </c>
      <c r="AJ1080"/>
      <c r="AK1080">
        <f>IF(OR(S1066="NS",$J1006="NS"),0,IF(AND(S1066="NA",$J1006="NA"),0,IF(S1066&lt;=$J1006,0,1)))</f>
        <v>0</v>
      </c>
      <c r="AL1080">
        <f>IF(OR(T1066="NS",$K1006="NS"),0,IF(AND(T1066="NA",$K1006="NA"),0,IF(T1066&lt;=$K1006,0,1)))</f>
        <v>0</v>
      </c>
      <c r="AM1080">
        <f>IF(OR(U1066="NS",$L1006="NS"),0,IF(AND(U1066="NA",$L1006="NA"),0,IF(U1066&lt;=$L1006,0,1)))</f>
        <v>0</v>
      </c>
      <c r="AN1080">
        <f>IF(OR(V1066="NS",$J1006="NS"),0,IF(AND(V1066="NA",$J1006="NA"),0,IF(V1066&lt;=$J1006,0,1)))</f>
        <v>0</v>
      </c>
      <c r="AO1080">
        <f>IF(OR(W1066="NS",$K1006="NS"),0,IF(AND(W1066="NA",$K1006="NA"),0,IF(W1066&lt;=$K1006,0,1)))</f>
        <v>0</v>
      </c>
      <c r="AP1080">
        <f>IF(OR(X1066="NS",$L1006="NS"),0,IF(AND(X1066="NA",$L1006="NA"),0,IF(X1066&lt;=$L1006,0,1)))</f>
        <v>0</v>
      </c>
      <c r="AQ1080">
        <f>IF(OR(Y1066="NS",$J1006="NS"),0,IF(AND(Y1066="NA",$J1006="NA"),0,IF(Y1066&lt;=$J1006,0,1)))</f>
        <v>0</v>
      </c>
      <c r="AR1080">
        <f>IF(OR(Z1066="NS",$K1006="NS"),0,IF(AND(Z1066="NA",$K1006="NA"),0,IF(Z1066&lt;=$K1006,0,1)))</f>
        <v>0</v>
      </c>
      <c r="AS1080">
        <f>IF(OR(AA1066="NS",$L1006="NS"),0,IF(AND(AA1066="NA",$L1006="NA"),0,IF(AA1066&lt;=$L1006,0,1)))</f>
        <v>0</v>
      </c>
      <c r="AT1080">
        <f>IF(OR(AB1066="NS",$J1006="NS"),0,IF(AND(AB1066="NA",$J1006="NA"),0,IF(AB1066&lt;=$J1006,0,1)))</f>
        <v>0</v>
      </c>
      <c r="AU1080">
        <f>IF(OR(AC1066="NS",$K1006="NS"),0,IF(AND(AC1066="NA",$K1006="NA"),0,IF(AC1066&lt;=$K1006,0,1)))</f>
        <v>0</v>
      </c>
      <c r="AV1080">
        <f>IF(OR(AD1066="NS",$L1006="NS"),0,IF(AND(AD1066="NA",$L1006="NA"),0,IF(AD1066&lt;=$L1006,0,1)))</f>
        <v>0</v>
      </c>
      <c r="AW1080">
        <f>IF(OR(M1080="NS",$J1006="NS"),0,IF(AND(M1080="NA",$J1006="NA"),0,IF(M1080&lt;=$J1006,0,1)))</f>
        <v>0</v>
      </c>
      <c r="AX1080">
        <f>IF(OR(N1080="NS",$K1006="NS"),0,IF(AND(N1080="NA",$K1006="NA"),0,IF(N1080&lt;=$K1006,0,1)))</f>
        <v>0</v>
      </c>
      <c r="AY1080">
        <f>IF(OR(O1080="NS",$L1006="NS"),0,IF(AND(O1080="NA",$L1006="NA"),0,IF(O1080&lt;=$L1006,0,1)))</f>
        <v>0</v>
      </c>
      <c r="AZ1080">
        <f>IF(OR(P1080="NS",$J1006="NS"),0,IF(AND(P1080="NA",$J1006="NA"),0,IF(P1080&lt;=$J1006,0,1)))</f>
        <v>0</v>
      </c>
      <c r="BA1080">
        <f>IF(OR(Q1080="NS",$K1006="NS"),0,IF(AND(Q1080="NA",$K1006="NA"),0,IF(Q1080&lt;=$K1006,0,1)))</f>
        <v>0</v>
      </c>
      <c r="BB1080">
        <f>IF(OR(R1080="NS",$L1006="NS"),0,IF(AND(R1080="NA",$L1006="NA"),0,IF(R1080&lt;=$L1006,0,1)))</f>
        <v>0</v>
      </c>
      <c r="BC1080">
        <f>IF(OR(S1080="NS",$J1006="NS"),0,IF(AND(S1080="NA",$J1006="NA"),0,IF(S1080&lt;=$J1006,0,1)))</f>
        <v>0</v>
      </c>
      <c r="BD1080">
        <f>IF(OR(T1080="NS",$K1006="NS"),0,IF(AND(T1080="NA",$K1006="NA"),0,IF(T1080&lt;=$K1006,0,1)))</f>
        <v>0</v>
      </c>
      <c r="BE1080">
        <f>IF(OR(U1080="NS",$L1006="NS"),0,IF(AND(U1080="NA",$L1006="NA"),0,IF(U1080&lt;=$L1006,0,1)))</f>
        <v>0</v>
      </c>
      <c r="BF1080">
        <f>IF(OR(V1080="NS",$J1006="NS"),0,IF(AND(V1080="NA",$J1006="NA"),0,IF(V1080&lt;=$J1006,0,1)))</f>
        <v>0</v>
      </c>
      <c r="BG1080">
        <f>IF(OR(W1080="NS",$K1006="NS"),0,IF(AND(W1080="NA",$K1006="NA"),0,IF(W1080&lt;=$K1006,0,1)))</f>
        <v>0</v>
      </c>
      <c r="BH1080">
        <f>IF(OR(X1080="NS",$L1006="NS"),0,IF(AND(X1080="NA",$L1006="NA"),0,IF(X1080&lt;=$L1006,0,1)))</f>
        <v>0</v>
      </c>
      <c r="BI1080">
        <f>IF(OR(Y1080="NS",$J1006="NS"),0,IF(AND(Y1080="NA",$J1006="NA"),0,IF(Y1080&lt;=$J1006,0,1)))</f>
        <v>0</v>
      </c>
      <c r="BJ1080">
        <f>IF(OR(Z1080="NS",$K1006="NS"),0,IF(AND(Z1080="NA",$K1006="NA"),0,IF(Z1080&lt;=$K1006,0,1)))</f>
        <v>0</v>
      </c>
      <c r="BK1080">
        <f>IF(OR(AA1080="NS",$L1006="NS"),0,IF(AND(AA1080="NA",$L1006="NA"),0,IF(AA1080&lt;=$L1006,0,1)))</f>
        <v>0</v>
      </c>
      <c r="BL1080">
        <f>IF(OR(AB1080="NS",$J1006="NS"),0,IF(AND(AB1080="NA",$J1006="NA"),0,IF(AB1080&lt;=$J1006,0,1)))</f>
        <v>0</v>
      </c>
      <c r="BM1080">
        <f>IF(OR(AC1080="NS",$K1006="NS"),0,IF(AND(AC1080="NA",$K1006="NA"),0,IF(AC1080&lt;=$K1006,0,1)))</f>
        <v>0</v>
      </c>
      <c r="BN1080">
        <f>IF(OR(AD1080="NS",$L1006="NS"),0,IF(AND(AD1080="NA",$L1006="NA"),0,IF(AD1080&lt;=$L1006,0,1)))</f>
        <v>0</v>
      </c>
      <c r="BO1080"/>
      <c r="BP1080">
        <f>IF(SUM(Y1088:AA1088)&gt;0,1,0)</f>
        <v>0</v>
      </c>
      <c r="BQ1080" s="342">
        <f>IF(AND(SUM($J1006)=0,COUNTA(P1066:AD1066,M1080:AD1080)&gt;0),1,0)</f>
        <v>0</v>
      </c>
    </row>
    <row r="1081" spans="1:69" ht="15" customHeight="1">
      <c r="A1081" s="94"/>
      <c r="C1081" s="97" t="s">
        <v>2517</v>
      </c>
      <c r="D1081" s="813" t="str">
        <f>IF(CNSIPEE_2024_M2_Secc1!D43="","",CNSIPEE_2024_M2_Secc1!D43)</f>
        <v/>
      </c>
      <c r="E1081" s="814"/>
      <c r="F1081" s="814"/>
      <c r="G1081" s="814"/>
      <c r="H1081" s="814"/>
      <c r="I1081" s="814"/>
      <c r="J1081" s="814"/>
      <c r="K1081" s="814"/>
      <c r="L1081" s="815"/>
      <c r="M1081" s="100"/>
      <c r="N1081" s="100"/>
      <c r="O1081" s="100"/>
      <c r="P1081" s="100"/>
      <c r="Q1081" s="100"/>
      <c r="R1081" s="100"/>
      <c r="S1081" s="100"/>
      <c r="T1081" s="100"/>
      <c r="U1081" s="100"/>
      <c r="V1081" s="100"/>
      <c r="W1081" s="100"/>
      <c r="X1081" s="100"/>
      <c r="Y1081" s="100"/>
      <c r="Z1081" s="100"/>
      <c r="AA1081" s="100"/>
      <c r="AB1081" s="100"/>
      <c r="AC1081" s="100"/>
      <c r="AD1081" s="100"/>
      <c r="AG1081">
        <f t="shared" ref="AG1081:AI1081" si="875">IF(OR(P1067="NS",J1007="NS"),0,IF(AND(P1067="NA",J1007="NA"),0,IF(P1067&gt;=J1007,0,1)))</f>
        <v>0</v>
      </c>
      <c r="AH1081">
        <f t="shared" si="875"/>
        <v>0</v>
      </c>
      <c r="AI1081">
        <f t="shared" si="875"/>
        <v>0</v>
      </c>
      <c r="AK1081">
        <f t="shared" ref="AK1081:AK1087" si="876">IF(OR(S1067="NS",$J1007="NS"),0,IF(AND(S1067="NA",$J1007="NA"),0,IF(S1067&lt;=$J1007,0,1)))</f>
        <v>0</v>
      </c>
      <c r="AL1081">
        <f t="shared" ref="AL1081:AL1087" si="877">IF(OR(T1067="NS",$K1007="NS"),0,IF(AND(T1067="NA",$K1007="NA"),0,IF(T1067&lt;=$K1007,0,1)))</f>
        <v>0</v>
      </c>
      <c r="AM1081">
        <f t="shared" ref="AM1081:AM1087" si="878">IF(OR(U1067="NS",$L1007="NS"),0,IF(AND(U1067="NA",$L1007="NA"),0,IF(U1067&lt;=$L1007,0,1)))</f>
        <v>0</v>
      </c>
      <c r="AN1081">
        <f t="shared" ref="AN1081:AN1087" si="879">IF(OR(V1067="NS",$J1007="NS"),0,IF(AND(V1067="NA",$J1007="NA"),0,IF(V1067&lt;=$J1007,0,1)))</f>
        <v>0</v>
      </c>
      <c r="AO1081">
        <f t="shared" ref="AO1081:AO1087" si="880">IF(OR(W1067="NS",$K1007="NS"),0,IF(AND(W1067="NA",$K1007="NA"),0,IF(W1067&lt;=$K1007,0,1)))</f>
        <v>0</v>
      </c>
      <c r="AP1081">
        <f t="shared" ref="AP1081:AP1087" si="881">IF(OR(X1067="NS",$L1007="NS"),0,IF(AND(X1067="NA",$L1007="NA"),0,IF(X1067&lt;=$L1007,0,1)))</f>
        <v>0</v>
      </c>
      <c r="AQ1081">
        <f t="shared" ref="AQ1081:AQ1087" si="882">IF(OR(Y1067="NS",$J1007="NS"),0,IF(AND(Y1067="NA",$J1007="NA"),0,IF(Y1067&lt;=$J1007,0,1)))</f>
        <v>0</v>
      </c>
      <c r="AR1081">
        <f t="shared" ref="AR1081:AR1087" si="883">IF(OR(Z1067="NS",$K1007="NS"),0,IF(AND(Z1067="NA",$K1007="NA"),0,IF(Z1067&lt;=$K1007,0,1)))</f>
        <v>0</v>
      </c>
      <c r="AS1081">
        <f t="shared" ref="AS1081:AS1087" si="884">IF(OR(AA1067="NS",$L1007="NS"),0,IF(AND(AA1067="NA",$L1007="NA"),0,IF(AA1067&lt;=$L1007,0,1)))</f>
        <v>0</v>
      </c>
      <c r="AT1081">
        <f t="shared" ref="AT1081:AT1087" si="885">IF(OR(AB1067="NS",$J1007="NS"),0,IF(AND(AB1067="NA",$J1007="NA"),0,IF(AB1067&lt;=$J1007,0,1)))</f>
        <v>0</v>
      </c>
      <c r="AU1081">
        <f t="shared" ref="AU1081:AU1087" si="886">IF(OR(AC1067="NS",$K1007="NS"),0,IF(AND(AC1067="NA",$K1007="NA"),0,IF(AC1067&lt;=$K1007,0,1)))</f>
        <v>0</v>
      </c>
      <c r="AV1081">
        <f t="shared" ref="AV1081:AV1087" si="887">IF(OR(AD1067="NS",$L1007="NS"),0,IF(AND(AD1067="NA",$L1007="NA"),0,IF(AD1067&lt;=$L1007,0,1)))</f>
        <v>0</v>
      </c>
      <c r="AW1081">
        <f t="shared" ref="AW1081:AW1087" si="888">IF(OR(M1081="NS",$J1007="NS"),0,IF(AND(M1081="NA",$J1007="NA"),0,IF(M1081&lt;=$J1007,0,1)))</f>
        <v>0</v>
      </c>
      <c r="AX1081">
        <f t="shared" ref="AX1081:AX1087" si="889">IF(OR(N1081="NS",$K1007="NS"),0,IF(AND(N1081="NA",$K1007="NA"),0,IF(N1081&lt;=$K1007,0,1)))</f>
        <v>0</v>
      </c>
      <c r="AY1081">
        <f t="shared" ref="AY1081:AY1087" si="890">IF(OR(O1081="NS",$L1007="NS"),0,IF(AND(O1081="NA",$L1007="NA"),0,IF(O1081&lt;=$L1007,0,1)))</f>
        <v>0</v>
      </c>
      <c r="AZ1081">
        <f t="shared" ref="AZ1081:AZ1087" si="891">IF(OR(P1081="NS",$J1007="NS"),0,IF(AND(P1081="NA",$J1007="NA"),0,IF(P1081&lt;=$J1007,0,1)))</f>
        <v>0</v>
      </c>
      <c r="BA1081">
        <f t="shared" ref="BA1081:BA1087" si="892">IF(OR(Q1081="NS",$K1007="NS"),0,IF(AND(Q1081="NA",$K1007="NA"),0,IF(Q1081&lt;=$K1007,0,1)))</f>
        <v>0</v>
      </c>
      <c r="BB1081">
        <f t="shared" ref="BB1081:BB1087" si="893">IF(OR(R1081="NS",$L1007="NS"),0,IF(AND(R1081="NA",$L1007="NA"),0,IF(R1081&lt;=$L1007,0,1)))</f>
        <v>0</v>
      </c>
      <c r="BC1081">
        <f t="shared" ref="BC1081:BC1087" si="894">IF(OR(S1081="NS",$J1007="NS"),0,IF(AND(S1081="NA",$J1007="NA"),0,IF(S1081&lt;=$J1007,0,1)))</f>
        <v>0</v>
      </c>
      <c r="BD1081">
        <f t="shared" ref="BD1081:BD1087" si="895">IF(OR(T1081="NS",$K1007="NS"),0,IF(AND(T1081="NA",$K1007="NA"),0,IF(T1081&lt;=$K1007,0,1)))</f>
        <v>0</v>
      </c>
      <c r="BE1081">
        <f t="shared" ref="BE1081:BE1087" si="896">IF(OR(U1081="NS",$L1007="NS"),0,IF(AND(U1081="NA",$L1007="NA"),0,IF(U1081&lt;=$L1007,0,1)))</f>
        <v>0</v>
      </c>
      <c r="BF1081">
        <f t="shared" ref="BF1081:BF1087" si="897">IF(OR(V1081="NS",$J1007="NS"),0,IF(AND(V1081="NA",$J1007="NA"),0,IF(V1081&lt;=$J1007,0,1)))</f>
        <v>0</v>
      </c>
      <c r="BG1081">
        <f t="shared" ref="BG1081:BG1087" si="898">IF(OR(W1081="NS",$K1007="NS"),0,IF(AND(W1081="NA",$K1007="NA"),0,IF(W1081&lt;=$K1007,0,1)))</f>
        <v>0</v>
      </c>
      <c r="BH1081">
        <f t="shared" ref="BH1081:BH1087" si="899">IF(OR(X1081="NS",$L1007="NS"),0,IF(AND(X1081="NA",$L1007="NA"),0,IF(X1081&lt;=$L1007,0,1)))</f>
        <v>0</v>
      </c>
      <c r="BI1081">
        <f t="shared" ref="BI1081:BI1087" si="900">IF(OR(Y1081="NS",$J1007="NS"),0,IF(AND(Y1081="NA",$J1007="NA"),0,IF(Y1081&lt;=$J1007,0,1)))</f>
        <v>0</v>
      </c>
      <c r="BJ1081">
        <f t="shared" ref="BJ1081:BJ1087" si="901">IF(OR(Z1081="NS",$K1007="NS"),0,IF(AND(Z1081="NA",$K1007="NA"),0,IF(Z1081&lt;=$K1007,0,1)))</f>
        <v>0</v>
      </c>
      <c r="BK1081">
        <f t="shared" ref="BK1081:BK1087" si="902">IF(OR(AA1081="NS",$L1007="NS"),0,IF(AND(AA1081="NA",$L1007="NA"),0,IF(AA1081&lt;=$L1007,0,1)))</f>
        <v>0</v>
      </c>
      <c r="BL1081">
        <f t="shared" ref="BL1081:BL1087" si="903">IF(OR(AB1081="NS",$J1007="NS"),0,IF(AND(AB1081="NA",$J1007="NA"),0,IF(AB1081&lt;=$J1007,0,1)))</f>
        <v>0</v>
      </c>
      <c r="BM1081">
        <f t="shared" ref="BM1081:BM1087" si="904">IF(OR(AC1081="NS",$K1007="NS"),0,IF(AND(AC1081="NA",$K1007="NA"),0,IF(AC1081&lt;=$K1007,0,1)))</f>
        <v>0</v>
      </c>
      <c r="BN1081">
        <f t="shared" ref="BN1081:BN1087" si="905">IF(OR(AD1081="NS",$L1007="NS"),0,IF(AND(AD1081="NA",$L1007="NA"),0,IF(AD1081&lt;=$L1007,0,1)))</f>
        <v>0</v>
      </c>
      <c r="BQ1081" s="342">
        <f t="shared" ref="BQ1081:BQ1086" si="906">IF(AND(SUM($J1007)=0,COUNTA(P1067:AD1067,M1081:AD1081)&gt;0),1,0)</f>
        <v>0</v>
      </c>
    </row>
    <row r="1082" spans="1:69" ht="15" customHeight="1">
      <c r="A1082" s="94"/>
      <c r="C1082" s="98" t="s">
        <v>2518</v>
      </c>
      <c r="D1082" s="813" t="str">
        <f>IF(CNSIPEE_2024_M2_Secc1!D44="","",CNSIPEE_2024_M2_Secc1!D44)</f>
        <v/>
      </c>
      <c r="E1082" s="814"/>
      <c r="F1082" s="814"/>
      <c r="G1082" s="814"/>
      <c r="H1082" s="814"/>
      <c r="I1082" s="814"/>
      <c r="J1082" s="814"/>
      <c r="K1082" s="814"/>
      <c r="L1082" s="815"/>
      <c r="M1082" s="100"/>
      <c r="N1082" s="100"/>
      <c r="O1082" s="100"/>
      <c r="P1082" s="100"/>
      <c r="Q1082" s="100"/>
      <c r="R1082" s="100"/>
      <c r="S1082" s="100"/>
      <c r="T1082" s="100"/>
      <c r="U1082" s="100"/>
      <c r="V1082" s="100"/>
      <c r="W1082" s="100"/>
      <c r="X1082" s="100"/>
      <c r="Y1082" s="100"/>
      <c r="Z1082" s="100"/>
      <c r="AA1082" s="100"/>
      <c r="AB1082" s="100"/>
      <c r="AC1082" s="100"/>
      <c r="AD1082" s="100"/>
      <c r="AG1082">
        <f t="shared" ref="AG1082:AI1082" si="907">IF(OR(P1068="NS",J1008="NS"),0,IF(AND(P1068="NA",J1008="NA"),0,IF(P1068&gt;=J1008,0,1)))</f>
        <v>0</v>
      </c>
      <c r="AH1082">
        <f t="shared" si="907"/>
        <v>0</v>
      </c>
      <c r="AI1082">
        <f t="shared" si="907"/>
        <v>0</v>
      </c>
      <c r="AK1082">
        <f t="shared" si="876"/>
        <v>0</v>
      </c>
      <c r="AL1082">
        <f t="shared" si="877"/>
        <v>0</v>
      </c>
      <c r="AM1082">
        <f t="shared" si="878"/>
        <v>0</v>
      </c>
      <c r="AN1082">
        <f t="shared" si="879"/>
        <v>0</v>
      </c>
      <c r="AO1082">
        <f t="shared" si="880"/>
        <v>0</v>
      </c>
      <c r="AP1082">
        <f t="shared" si="881"/>
        <v>0</v>
      </c>
      <c r="AQ1082">
        <f t="shared" si="882"/>
        <v>0</v>
      </c>
      <c r="AR1082">
        <f t="shared" si="883"/>
        <v>0</v>
      </c>
      <c r="AS1082">
        <f t="shared" si="884"/>
        <v>0</v>
      </c>
      <c r="AT1082">
        <f t="shared" si="885"/>
        <v>0</v>
      </c>
      <c r="AU1082">
        <f t="shared" si="886"/>
        <v>0</v>
      </c>
      <c r="AV1082">
        <f t="shared" si="887"/>
        <v>0</v>
      </c>
      <c r="AW1082">
        <f t="shared" si="888"/>
        <v>0</v>
      </c>
      <c r="AX1082">
        <f t="shared" si="889"/>
        <v>0</v>
      </c>
      <c r="AY1082">
        <f t="shared" si="890"/>
        <v>0</v>
      </c>
      <c r="AZ1082">
        <f t="shared" si="891"/>
        <v>0</v>
      </c>
      <c r="BA1082">
        <f t="shared" si="892"/>
        <v>0</v>
      </c>
      <c r="BB1082">
        <f t="shared" si="893"/>
        <v>0</v>
      </c>
      <c r="BC1082">
        <f t="shared" si="894"/>
        <v>0</v>
      </c>
      <c r="BD1082">
        <f t="shared" si="895"/>
        <v>0</v>
      </c>
      <c r="BE1082">
        <f t="shared" si="896"/>
        <v>0</v>
      </c>
      <c r="BF1082">
        <f t="shared" si="897"/>
        <v>0</v>
      </c>
      <c r="BG1082">
        <f t="shared" si="898"/>
        <v>0</v>
      </c>
      <c r="BH1082">
        <f t="shared" si="899"/>
        <v>0</v>
      </c>
      <c r="BI1082">
        <f t="shared" si="900"/>
        <v>0</v>
      </c>
      <c r="BJ1082">
        <f t="shared" si="901"/>
        <v>0</v>
      </c>
      <c r="BK1082">
        <f t="shared" si="902"/>
        <v>0</v>
      </c>
      <c r="BL1082">
        <f t="shared" si="903"/>
        <v>0</v>
      </c>
      <c r="BM1082">
        <f t="shared" si="904"/>
        <v>0</v>
      </c>
      <c r="BN1082">
        <f t="shared" si="905"/>
        <v>0</v>
      </c>
      <c r="BQ1082" s="342">
        <f t="shared" si="906"/>
        <v>0</v>
      </c>
    </row>
    <row r="1083" spans="1:69" ht="15" customHeight="1">
      <c r="A1083" s="94"/>
      <c r="C1083" s="98" t="s">
        <v>2519</v>
      </c>
      <c r="D1083" s="813" t="str">
        <f>IF(CNSIPEE_2024_M2_Secc1!D45="","",CNSIPEE_2024_M2_Secc1!D45)</f>
        <v/>
      </c>
      <c r="E1083" s="814"/>
      <c r="F1083" s="814"/>
      <c r="G1083" s="814"/>
      <c r="H1083" s="814"/>
      <c r="I1083" s="814"/>
      <c r="J1083" s="814"/>
      <c r="K1083" s="814"/>
      <c r="L1083" s="815"/>
      <c r="M1083" s="100"/>
      <c r="N1083" s="100"/>
      <c r="O1083" s="100"/>
      <c r="P1083" s="100"/>
      <c r="Q1083" s="100"/>
      <c r="R1083" s="100"/>
      <c r="S1083" s="100"/>
      <c r="T1083" s="100"/>
      <c r="U1083" s="100"/>
      <c r="V1083" s="100"/>
      <c r="W1083" s="100"/>
      <c r="X1083" s="100"/>
      <c r="Y1083" s="100"/>
      <c r="Z1083" s="100"/>
      <c r="AA1083" s="100"/>
      <c r="AB1083" s="100"/>
      <c r="AC1083" s="100"/>
      <c r="AD1083" s="100"/>
      <c r="AG1083">
        <f t="shared" ref="AG1083:AI1083" si="908">IF(OR(P1069="NS",J1009="NS"),0,IF(AND(P1069="NA",J1009="NA"),0,IF(P1069&gt;=J1009,0,1)))</f>
        <v>0</v>
      </c>
      <c r="AH1083">
        <f t="shared" si="908"/>
        <v>0</v>
      </c>
      <c r="AI1083">
        <f t="shared" si="908"/>
        <v>0</v>
      </c>
      <c r="AK1083">
        <f t="shared" si="876"/>
        <v>0</v>
      </c>
      <c r="AL1083">
        <f t="shared" si="877"/>
        <v>0</v>
      </c>
      <c r="AM1083">
        <f t="shared" si="878"/>
        <v>0</v>
      </c>
      <c r="AN1083">
        <f t="shared" si="879"/>
        <v>0</v>
      </c>
      <c r="AO1083">
        <f t="shared" si="880"/>
        <v>0</v>
      </c>
      <c r="AP1083">
        <f t="shared" si="881"/>
        <v>0</v>
      </c>
      <c r="AQ1083">
        <f t="shared" si="882"/>
        <v>0</v>
      </c>
      <c r="AR1083">
        <f t="shared" si="883"/>
        <v>0</v>
      </c>
      <c r="AS1083">
        <f t="shared" si="884"/>
        <v>0</v>
      </c>
      <c r="AT1083">
        <f t="shared" si="885"/>
        <v>0</v>
      </c>
      <c r="AU1083">
        <f t="shared" si="886"/>
        <v>0</v>
      </c>
      <c r="AV1083">
        <f t="shared" si="887"/>
        <v>0</v>
      </c>
      <c r="AW1083">
        <f t="shared" si="888"/>
        <v>0</v>
      </c>
      <c r="AX1083">
        <f t="shared" si="889"/>
        <v>0</v>
      </c>
      <c r="AY1083">
        <f t="shared" si="890"/>
        <v>0</v>
      </c>
      <c r="AZ1083">
        <f t="shared" si="891"/>
        <v>0</v>
      </c>
      <c r="BA1083">
        <f t="shared" si="892"/>
        <v>0</v>
      </c>
      <c r="BB1083">
        <f t="shared" si="893"/>
        <v>0</v>
      </c>
      <c r="BC1083">
        <f t="shared" si="894"/>
        <v>0</v>
      </c>
      <c r="BD1083">
        <f t="shared" si="895"/>
        <v>0</v>
      </c>
      <c r="BE1083">
        <f t="shared" si="896"/>
        <v>0</v>
      </c>
      <c r="BF1083">
        <f t="shared" si="897"/>
        <v>0</v>
      </c>
      <c r="BG1083">
        <f t="shared" si="898"/>
        <v>0</v>
      </c>
      <c r="BH1083">
        <f t="shared" si="899"/>
        <v>0</v>
      </c>
      <c r="BI1083">
        <f t="shared" si="900"/>
        <v>0</v>
      </c>
      <c r="BJ1083">
        <f t="shared" si="901"/>
        <v>0</v>
      </c>
      <c r="BK1083">
        <f t="shared" si="902"/>
        <v>0</v>
      </c>
      <c r="BL1083">
        <f t="shared" si="903"/>
        <v>0</v>
      </c>
      <c r="BM1083">
        <f t="shared" si="904"/>
        <v>0</v>
      </c>
      <c r="BN1083">
        <f t="shared" si="905"/>
        <v>0</v>
      </c>
      <c r="BQ1083" s="342">
        <f t="shared" si="906"/>
        <v>0</v>
      </c>
    </row>
    <row r="1084" spans="1:69" ht="15" customHeight="1">
      <c r="A1084" s="94"/>
      <c r="C1084" s="98" t="s">
        <v>2520</v>
      </c>
      <c r="D1084" s="813" t="str">
        <f>IF(CNSIPEE_2024_M2_Secc1!D46="","",CNSIPEE_2024_M2_Secc1!D46)</f>
        <v/>
      </c>
      <c r="E1084" s="814"/>
      <c r="F1084" s="814"/>
      <c r="G1084" s="814"/>
      <c r="H1084" s="814"/>
      <c r="I1084" s="814"/>
      <c r="J1084" s="814"/>
      <c r="K1084" s="814"/>
      <c r="L1084" s="815"/>
      <c r="M1084" s="100"/>
      <c r="N1084" s="100"/>
      <c r="O1084" s="100"/>
      <c r="P1084" s="100"/>
      <c r="Q1084" s="100"/>
      <c r="R1084" s="100"/>
      <c r="S1084" s="100"/>
      <c r="T1084" s="100"/>
      <c r="U1084" s="100"/>
      <c r="V1084" s="100"/>
      <c r="W1084" s="100"/>
      <c r="X1084" s="100"/>
      <c r="Y1084" s="100"/>
      <c r="Z1084" s="100"/>
      <c r="AA1084" s="100"/>
      <c r="AB1084" s="100"/>
      <c r="AC1084" s="100"/>
      <c r="AD1084" s="100"/>
      <c r="AG1084">
        <f t="shared" ref="AG1084:AI1084" si="909">IF(OR(P1070="NS",J1010="NS"),0,IF(AND(P1070="NA",J1010="NA"),0,IF(P1070&gt;=J1010,0,1)))</f>
        <v>0</v>
      </c>
      <c r="AH1084">
        <f t="shared" si="909"/>
        <v>0</v>
      </c>
      <c r="AI1084">
        <f t="shared" si="909"/>
        <v>0</v>
      </c>
      <c r="AK1084">
        <f t="shared" si="876"/>
        <v>0</v>
      </c>
      <c r="AL1084">
        <f t="shared" si="877"/>
        <v>0</v>
      </c>
      <c r="AM1084">
        <f t="shared" si="878"/>
        <v>0</v>
      </c>
      <c r="AN1084">
        <f t="shared" si="879"/>
        <v>0</v>
      </c>
      <c r="AO1084">
        <f t="shared" si="880"/>
        <v>0</v>
      </c>
      <c r="AP1084">
        <f t="shared" si="881"/>
        <v>0</v>
      </c>
      <c r="AQ1084">
        <f t="shared" si="882"/>
        <v>0</v>
      </c>
      <c r="AR1084">
        <f t="shared" si="883"/>
        <v>0</v>
      </c>
      <c r="AS1084">
        <f t="shared" si="884"/>
        <v>0</v>
      </c>
      <c r="AT1084">
        <f t="shared" si="885"/>
        <v>0</v>
      </c>
      <c r="AU1084">
        <f t="shared" si="886"/>
        <v>0</v>
      </c>
      <c r="AV1084">
        <f t="shared" si="887"/>
        <v>0</v>
      </c>
      <c r="AW1084">
        <f t="shared" si="888"/>
        <v>0</v>
      </c>
      <c r="AX1084">
        <f t="shared" si="889"/>
        <v>0</v>
      </c>
      <c r="AY1084">
        <f t="shared" si="890"/>
        <v>0</v>
      </c>
      <c r="AZ1084">
        <f t="shared" si="891"/>
        <v>0</v>
      </c>
      <c r="BA1084">
        <f t="shared" si="892"/>
        <v>0</v>
      </c>
      <c r="BB1084">
        <f t="shared" si="893"/>
        <v>0</v>
      </c>
      <c r="BC1084">
        <f t="shared" si="894"/>
        <v>0</v>
      </c>
      <c r="BD1084">
        <f t="shared" si="895"/>
        <v>0</v>
      </c>
      <c r="BE1084">
        <f t="shared" si="896"/>
        <v>0</v>
      </c>
      <c r="BF1084">
        <f t="shared" si="897"/>
        <v>0</v>
      </c>
      <c r="BG1084">
        <f t="shared" si="898"/>
        <v>0</v>
      </c>
      <c r="BH1084">
        <f t="shared" si="899"/>
        <v>0</v>
      </c>
      <c r="BI1084">
        <f t="shared" si="900"/>
        <v>0</v>
      </c>
      <c r="BJ1084">
        <f t="shared" si="901"/>
        <v>0</v>
      </c>
      <c r="BK1084">
        <f t="shared" si="902"/>
        <v>0</v>
      </c>
      <c r="BL1084">
        <f t="shared" si="903"/>
        <v>0</v>
      </c>
      <c r="BM1084">
        <f t="shared" si="904"/>
        <v>0</v>
      </c>
      <c r="BN1084">
        <f t="shared" si="905"/>
        <v>0</v>
      </c>
      <c r="BQ1084" s="342">
        <f t="shared" si="906"/>
        <v>0</v>
      </c>
    </row>
    <row r="1085" spans="1:69" ht="15" customHeight="1">
      <c r="A1085" s="94"/>
      <c r="C1085" s="98" t="s">
        <v>2521</v>
      </c>
      <c r="D1085" s="813" t="str">
        <f>IF(CNSIPEE_2024_M2_Secc1!D47="","",CNSIPEE_2024_M2_Secc1!D47)</f>
        <v/>
      </c>
      <c r="E1085" s="814"/>
      <c r="F1085" s="814"/>
      <c r="G1085" s="814"/>
      <c r="H1085" s="814"/>
      <c r="I1085" s="814"/>
      <c r="J1085" s="814"/>
      <c r="K1085" s="814"/>
      <c r="L1085" s="815"/>
      <c r="M1085" s="100"/>
      <c r="N1085" s="100"/>
      <c r="O1085" s="100"/>
      <c r="P1085" s="100"/>
      <c r="Q1085" s="100"/>
      <c r="R1085" s="100"/>
      <c r="S1085" s="100"/>
      <c r="T1085" s="100"/>
      <c r="U1085" s="100"/>
      <c r="V1085" s="100"/>
      <c r="W1085" s="100"/>
      <c r="X1085" s="100"/>
      <c r="Y1085" s="100"/>
      <c r="Z1085" s="100"/>
      <c r="AA1085" s="100"/>
      <c r="AB1085" s="100"/>
      <c r="AC1085" s="100"/>
      <c r="AD1085" s="100"/>
      <c r="AG1085">
        <f t="shared" ref="AG1085:AI1085" si="910">IF(OR(P1071="NS",J1011="NS"),0,IF(AND(P1071="NA",J1011="NA"),0,IF(P1071&gt;=J1011,0,1)))</f>
        <v>0</v>
      </c>
      <c r="AH1085">
        <f t="shared" si="910"/>
        <v>0</v>
      </c>
      <c r="AI1085">
        <f t="shared" si="910"/>
        <v>0</v>
      </c>
      <c r="AK1085">
        <f t="shared" si="876"/>
        <v>0</v>
      </c>
      <c r="AL1085">
        <f t="shared" si="877"/>
        <v>0</v>
      </c>
      <c r="AM1085">
        <f t="shared" si="878"/>
        <v>0</v>
      </c>
      <c r="AN1085">
        <f t="shared" si="879"/>
        <v>0</v>
      </c>
      <c r="AO1085">
        <f t="shared" si="880"/>
        <v>0</v>
      </c>
      <c r="AP1085">
        <f t="shared" si="881"/>
        <v>0</v>
      </c>
      <c r="AQ1085">
        <f t="shared" si="882"/>
        <v>0</v>
      </c>
      <c r="AR1085">
        <f t="shared" si="883"/>
        <v>0</v>
      </c>
      <c r="AS1085">
        <f t="shared" si="884"/>
        <v>0</v>
      </c>
      <c r="AT1085">
        <f t="shared" si="885"/>
        <v>0</v>
      </c>
      <c r="AU1085">
        <f t="shared" si="886"/>
        <v>0</v>
      </c>
      <c r="AV1085">
        <f t="shared" si="887"/>
        <v>0</v>
      </c>
      <c r="AW1085">
        <f t="shared" si="888"/>
        <v>0</v>
      </c>
      <c r="AX1085">
        <f t="shared" si="889"/>
        <v>0</v>
      </c>
      <c r="AY1085">
        <f t="shared" si="890"/>
        <v>0</v>
      </c>
      <c r="AZ1085">
        <f t="shared" si="891"/>
        <v>0</v>
      </c>
      <c r="BA1085">
        <f t="shared" si="892"/>
        <v>0</v>
      </c>
      <c r="BB1085">
        <f t="shared" si="893"/>
        <v>0</v>
      </c>
      <c r="BC1085">
        <f t="shared" si="894"/>
        <v>0</v>
      </c>
      <c r="BD1085">
        <f t="shared" si="895"/>
        <v>0</v>
      </c>
      <c r="BE1085">
        <f t="shared" si="896"/>
        <v>0</v>
      </c>
      <c r="BF1085">
        <f t="shared" si="897"/>
        <v>0</v>
      </c>
      <c r="BG1085">
        <f t="shared" si="898"/>
        <v>0</v>
      </c>
      <c r="BH1085">
        <f t="shared" si="899"/>
        <v>0</v>
      </c>
      <c r="BI1085">
        <f t="shared" si="900"/>
        <v>0</v>
      </c>
      <c r="BJ1085">
        <f t="shared" si="901"/>
        <v>0</v>
      </c>
      <c r="BK1085">
        <f t="shared" si="902"/>
        <v>0</v>
      </c>
      <c r="BL1085">
        <f t="shared" si="903"/>
        <v>0</v>
      </c>
      <c r="BM1085">
        <f t="shared" si="904"/>
        <v>0</v>
      </c>
      <c r="BN1085">
        <f t="shared" si="905"/>
        <v>0</v>
      </c>
      <c r="BQ1085" s="342">
        <f t="shared" si="906"/>
        <v>0</v>
      </c>
    </row>
    <row r="1086" spans="1:69" ht="15" customHeight="1">
      <c r="A1086" s="94"/>
      <c r="C1086" s="98" t="s">
        <v>2522</v>
      </c>
      <c r="D1086" s="813" t="str">
        <f>IF(CNSIPEE_2024_M2_Secc1!D48="","",CNSIPEE_2024_M2_Secc1!D48)</f>
        <v/>
      </c>
      <c r="E1086" s="814"/>
      <c r="F1086" s="814"/>
      <c r="G1086" s="814"/>
      <c r="H1086" s="814"/>
      <c r="I1086" s="814"/>
      <c r="J1086" s="814"/>
      <c r="K1086" s="814"/>
      <c r="L1086" s="815"/>
      <c r="M1086" s="100"/>
      <c r="N1086" s="100"/>
      <c r="O1086" s="100"/>
      <c r="P1086" s="100"/>
      <c r="Q1086" s="100"/>
      <c r="R1086" s="100"/>
      <c r="S1086" s="100"/>
      <c r="T1086" s="100"/>
      <c r="U1086" s="100"/>
      <c r="V1086" s="100"/>
      <c r="W1086" s="100"/>
      <c r="X1086" s="100"/>
      <c r="Y1086" s="100"/>
      <c r="Z1086" s="100"/>
      <c r="AA1086" s="100"/>
      <c r="AB1086" s="100"/>
      <c r="AC1086" s="100"/>
      <c r="AD1086" s="100"/>
      <c r="AG1086">
        <f t="shared" ref="AG1086:AI1086" si="911">IF(OR(P1072="NS",J1012="NS"),0,IF(AND(P1072="NA",J1012="NA"),0,IF(P1072&gt;=J1012,0,1)))</f>
        <v>0</v>
      </c>
      <c r="AH1086">
        <f t="shared" si="911"/>
        <v>0</v>
      </c>
      <c r="AI1086">
        <f t="shared" si="911"/>
        <v>0</v>
      </c>
      <c r="AK1086">
        <f t="shared" si="876"/>
        <v>0</v>
      </c>
      <c r="AL1086">
        <f t="shared" si="877"/>
        <v>0</v>
      </c>
      <c r="AM1086">
        <f t="shared" si="878"/>
        <v>0</v>
      </c>
      <c r="AN1086">
        <f t="shared" si="879"/>
        <v>0</v>
      </c>
      <c r="AO1086">
        <f t="shared" si="880"/>
        <v>0</v>
      </c>
      <c r="AP1086">
        <f t="shared" si="881"/>
        <v>0</v>
      </c>
      <c r="AQ1086">
        <f t="shared" si="882"/>
        <v>0</v>
      </c>
      <c r="AR1086">
        <f t="shared" si="883"/>
        <v>0</v>
      </c>
      <c r="AS1086">
        <f t="shared" si="884"/>
        <v>0</v>
      </c>
      <c r="AT1086">
        <f t="shared" si="885"/>
        <v>0</v>
      </c>
      <c r="AU1086">
        <f t="shared" si="886"/>
        <v>0</v>
      </c>
      <c r="AV1086">
        <f t="shared" si="887"/>
        <v>0</v>
      </c>
      <c r="AW1086">
        <f t="shared" si="888"/>
        <v>0</v>
      </c>
      <c r="AX1086">
        <f t="shared" si="889"/>
        <v>0</v>
      </c>
      <c r="AY1086">
        <f t="shared" si="890"/>
        <v>0</v>
      </c>
      <c r="AZ1086">
        <f t="shared" si="891"/>
        <v>0</v>
      </c>
      <c r="BA1086">
        <f t="shared" si="892"/>
        <v>0</v>
      </c>
      <c r="BB1086">
        <f t="shared" si="893"/>
        <v>0</v>
      </c>
      <c r="BC1086">
        <f t="shared" si="894"/>
        <v>0</v>
      </c>
      <c r="BD1086">
        <f t="shared" si="895"/>
        <v>0</v>
      </c>
      <c r="BE1086">
        <f t="shared" si="896"/>
        <v>0</v>
      </c>
      <c r="BF1086">
        <f t="shared" si="897"/>
        <v>0</v>
      </c>
      <c r="BG1086">
        <f t="shared" si="898"/>
        <v>0</v>
      </c>
      <c r="BH1086">
        <f t="shared" si="899"/>
        <v>0</v>
      </c>
      <c r="BI1086">
        <f t="shared" si="900"/>
        <v>0</v>
      </c>
      <c r="BJ1086">
        <f t="shared" si="901"/>
        <v>0</v>
      </c>
      <c r="BK1086">
        <f t="shared" si="902"/>
        <v>0</v>
      </c>
      <c r="BL1086">
        <f t="shared" si="903"/>
        <v>0</v>
      </c>
      <c r="BM1086">
        <f t="shared" si="904"/>
        <v>0</v>
      </c>
      <c r="BN1086">
        <f t="shared" si="905"/>
        <v>0</v>
      </c>
      <c r="BQ1086" s="342">
        <f t="shared" si="906"/>
        <v>0</v>
      </c>
    </row>
    <row r="1087" spans="1:69" ht="15" customHeight="1">
      <c r="A1087" s="94"/>
      <c r="C1087" s="98" t="s">
        <v>2523</v>
      </c>
      <c r="D1087" s="813" t="str">
        <f>IF(CNSIPEE_2024_M2_Secc1!D49="","",CNSIPEE_2024_M2_Secc1!D49)</f>
        <v/>
      </c>
      <c r="E1087" s="814"/>
      <c r="F1087" s="814"/>
      <c r="G1087" s="814"/>
      <c r="H1087" s="814"/>
      <c r="I1087" s="814"/>
      <c r="J1087" s="814"/>
      <c r="K1087" s="814"/>
      <c r="L1087" s="815"/>
      <c r="M1087" s="100"/>
      <c r="N1087" s="100"/>
      <c r="O1087" s="100"/>
      <c r="P1087" s="100"/>
      <c r="Q1087" s="100"/>
      <c r="R1087" s="100"/>
      <c r="S1087" s="100"/>
      <c r="T1087" s="100"/>
      <c r="U1087" s="100"/>
      <c r="V1087" s="100"/>
      <c r="W1087" s="100"/>
      <c r="X1087" s="100"/>
      <c r="Y1087" s="100"/>
      <c r="Z1087" s="100"/>
      <c r="AA1087" s="100"/>
      <c r="AB1087" s="100"/>
      <c r="AC1087" s="100"/>
      <c r="AD1087" s="100"/>
      <c r="AG1087">
        <f t="shared" ref="AG1087:AI1087" si="912">IF(OR(P1073="NS",J1013="NS"),0,IF(AND(P1073="NA",J1013="NA"),0,IF(P1073&gt;=J1013,0,1)))</f>
        <v>0</v>
      </c>
      <c r="AH1087">
        <f>IF(OR(Q1073="NS",K1013="NS"),0,IF(AND(Q1073="NA",K1013="NA"),0,IF(Q1073&gt;=K1013,0,1)))</f>
        <v>0</v>
      </c>
      <c r="AI1087">
        <f t="shared" si="912"/>
        <v>0</v>
      </c>
      <c r="AK1087">
        <f t="shared" si="876"/>
        <v>0</v>
      </c>
      <c r="AL1087">
        <f t="shared" si="877"/>
        <v>0</v>
      </c>
      <c r="AM1087">
        <f t="shared" si="878"/>
        <v>0</v>
      </c>
      <c r="AN1087">
        <f t="shared" si="879"/>
        <v>0</v>
      </c>
      <c r="AO1087">
        <f t="shared" si="880"/>
        <v>0</v>
      </c>
      <c r="AP1087">
        <f t="shared" si="881"/>
        <v>0</v>
      </c>
      <c r="AQ1087">
        <f t="shared" si="882"/>
        <v>0</v>
      </c>
      <c r="AR1087">
        <f t="shared" si="883"/>
        <v>0</v>
      </c>
      <c r="AS1087">
        <f t="shared" si="884"/>
        <v>0</v>
      </c>
      <c r="AT1087">
        <f t="shared" si="885"/>
        <v>0</v>
      </c>
      <c r="AU1087">
        <f t="shared" si="886"/>
        <v>0</v>
      </c>
      <c r="AV1087">
        <f t="shared" si="887"/>
        <v>0</v>
      </c>
      <c r="AW1087">
        <f t="shared" si="888"/>
        <v>0</v>
      </c>
      <c r="AX1087">
        <f t="shared" si="889"/>
        <v>0</v>
      </c>
      <c r="AY1087">
        <f t="shared" si="890"/>
        <v>0</v>
      </c>
      <c r="AZ1087">
        <f t="shared" si="891"/>
        <v>0</v>
      </c>
      <c r="BA1087">
        <f t="shared" si="892"/>
        <v>0</v>
      </c>
      <c r="BB1087">
        <f t="shared" si="893"/>
        <v>0</v>
      </c>
      <c r="BC1087">
        <f t="shared" si="894"/>
        <v>0</v>
      </c>
      <c r="BD1087">
        <f t="shared" si="895"/>
        <v>0</v>
      </c>
      <c r="BE1087">
        <f t="shared" si="896"/>
        <v>0</v>
      </c>
      <c r="BF1087">
        <f t="shared" si="897"/>
        <v>0</v>
      </c>
      <c r="BG1087">
        <f t="shared" si="898"/>
        <v>0</v>
      </c>
      <c r="BH1087">
        <f t="shared" si="899"/>
        <v>0</v>
      </c>
      <c r="BI1087">
        <f t="shared" si="900"/>
        <v>0</v>
      </c>
      <c r="BJ1087">
        <f t="shared" si="901"/>
        <v>0</v>
      </c>
      <c r="BK1087">
        <f t="shared" si="902"/>
        <v>0</v>
      </c>
      <c r="BL1087">
        <f t="shared" si="903"/>
        <v>0</v>
      </c>
      <c r="BM1087">
        <f t="shared" si="904"/>
        <v>0</v>
      </c>
      <c r="BN1087">
        <f t="shared" si="905"/>
        <v>0</v>
      </c>
      <c r="BQ1087" s="342">
        <f>IF(AND(SUM($J1013)=0,COUNTA(P1073:AD1073,M1087:AD1087)&gt;0),1,0)</f>
        <v>0</v>
      </c>
    </row>
    <row r="1088" spans="1:69" ht="15" customHeight="1">
      <c r="A1088" s="94"/>
      <c r="M1088" s="124">
        <f>IF(AND(SUM(M1080:M1087)=0,COUNTIF(M1080:M1087,"NS")&gt;0),"NS",
IF(AND(SUM(M1080:M1087)=0,COUNTIF(M1080:M1087,0)&gt;0),0,
IF(AND(SUM(M1080:M1087)=0,COUNTIF(M1080:M1087,"NA")&gt;0),"NA",
SUM(M1080:M1087))))</f>
        <v>0</v>
      </c>
      <c r="N1088" s="124">
        <f t="shared" ref="N1088:AD1088" si="913">IF(AND(SUM(N1080:N1087)=0,COUNTIF(N1080:N1087,"NS")&gt;0),"NS",
IF(AND(SUM(N1080:N1087)=0,COUNTIF(N1080:N1087,0)&gt;0),0,
IF(AND(SUM(N1080:N1087)=0,COUNTIF(N1080:N1087,"NA")&gt;0),"NA",
SUM(N1080:N1087))))</f>
        <v>0</v>
      </c>
      <c r="O1088" s="124">
        <f t="shared" si="913"/>
        <v>0</v>
      </c>
      <c r="P1088" s="124">
        <f t="shared" si="913"/>
        <v>0</v>
      </c>
      <c r="Q1088" s="124">
        <f t="shared" si="913"/>
        <v>0</v>
      </c>
      <c r="R1088" s="124">
        <f t="shared" si="913"/>
        <v>0</v>
      </c>
      <c r="S1088" s="124">
        <f t="shared" si="913"/>
        <v>0</v>
      </c>
      <c r="T1088" s="124">
        <f t="shared" si="913"/>
        <v>0</v>
      </c>
      <c r="U1088" s="124">
        <f t="shared" si="913"/>
        <v>0</v>
      </c>
      <c r="V1088" s="124">
        <f t="shared" si="913"/>
        <v>0</v>
      </c>
      <c r="W1088" s="124">
        <f t="shared" si="913"/>
        <v>0</v>
      </c>
      <c r="X1088" s="124">
        <f t="shared" si="913"/>
        <v>0</v>
      </c>
      <c r="Y1088" s="124">
        <f t="shared" si="913"/>
        <v>0</v>
      </c>
      <c r="Z1088" s="124">
        <f t="shared" si="913"/>
        <v>0</v>
      </c>
      <c r="AA1088" s="124">
        <f t="shared" si="913"/>
        <v>0</v>
      </c>
      <c r="AB1088" s="124">
        <f t="shared" si="913"/>
        <v>0</v>
      </c>
      <c r="AC1088" s="124">
        <f t="shared" si="913"/>
        <v>0</v>
      </c>
      <c r="AD1088" s="124">
        <f t="shared" si="913"/>
        <v>0</v>
      </c>
      <c r="AG1088" s="439">
        <f>SUM(AG1080:AG1087)</f>
        <v>0</v>
      </c>
      <c r="AH1088" s="440">
        <f>SUM(AH1080:AH1087)</f>
        <v>0</v>
      </c>
      <c r="AI1088" s="441">
        <f>SUM(AI1080:AI1087)</f>
        <v>0</v>
      </c>
      <c r="AK1088" s="442">
        <f>SUM(AK1080:AK1087)</f>
        <v>0</v>
      </c>
      <c r="AL1088" s="443">
        <f>SUM(AL1080:AL1087)</f>
        <v>0</v>
      </c>
      <c r="AM1088" s="444">
        <f>SUM(AM1080:AM1087)</f>
        <v>0</v>
      </c>
      <c r="AN1088" s="442">
        <f t="shared" ref="AN1088:BN1088" si="914">SUM(AN1080:AN1087)</f>
        <v>0</v>
      </c>
      <c r="AO1088" s="443">
        <f t="shared" si="914"/>
        <v>0</v>
      </c>
      <c r="AP1088" s="444">
        <f t="shared" si="914"/>
        <v>0</v>
      </c>
      <c r="AQ1088" s="442">
        <f t="shared" si="914"/>
        <v>0</v>
      </c>
      <c r="AR1088" s="443">
        <f t="shared" si="914"/>
        <v>0</v>
      </c>
      <c r="AS1088" s="444">
        <f t="shared" si="914"/>
        <v>0</v>
      </c>
      <c r="AT1088" s="442">
        <f t="shared" si="914"/>
        <v>0</v>
      </c>
      <c r="AU1088" s="443">
        <f t="shared" si="914"/>
        <v>0</v>
      </c>
      <c r="AV1088" s="444">
        <f t="shared" si="914"/>
        <v>0</v>
      </c>
      <c r="AW1088" s="442">
        <f t="shared" si="914"/>
        <v>0</v>
      </c>
      <c r="AX1088" s="443">
        <f t="shared" si="914"/>
        <v>0</v>
      </c>
      <c r="AY1088" s="444">
        <f t="shared" si="914"/>
        <v>0</v>
      </c>
      <c r="AZ1088" s="442">
        <f t="shared" si="914"/>
        <v>0</v>
      </c>
      <c r="BA1088" s="443">
        <f t="shared" si="914"/>
        <v>0</v>
      </c>
      <c r="BB1088" s="444">
        <f t="shared" si="914"/>
        <v>0</v>
      </c>
      <c r="BC1088" s="442">
        <f t="shared" si="914"/>
        <v>0</v>
      </c>
      <c r="BD1088" s="443">
        <f t="shared" si="914"/>
        <v>0</v>
      </c>
      <c r="BE1088" s="444">
        <f t="shared" si="914"/>
        <v>0</v>
      </c>
      <c r="BF1088" s="442">
        <f t="shared" si="914"/>
        <v>0</v>
      </c>
      <c r="BG1088" s="443">
        <f t="shared" si="914"/>
        <v>0</v>
      </c>
      <c r="BH1088" s="444">
        <f t="shared" si="914"/>
        <v>0</v>
      </c>
      <c r="BI1088" s="442">
        <f t="shared" si="914"/>
        <v>0</v>
      </c>
      <c r="BJ1088" s="443">
        <f t="shared" si="914"/>
        <v>0</v>
      </c>
      <c r="BK1088" s="444">
        <f t="shared" si="914"/>
        <v>0</v>
      </c>
      <c r="BL1088" s="442">
        <f t="shared" si="914"/>
        <v>0</v>
      </c>
      <c r="BM1088" s="443">
        <f t="shared" si="914"/>
        <v>0</v>
      </c>
      <c r="BN1088" s="444">
        <f t="shared" si="914"/>
        <v>0</v>
      </c>
      <c r="BQ1088" s="419">
        <f>SUM(BQ1080:BQ1087)</f>
        <v>0</v>
      </c>
    </row>
    <row r="1089" spans="1:66" ht="15" customHeight="1">
      <c r="A1089" s="49"/>
      <c r="B1089" s="57"/>
      <c r="C1089" s="38"/>
      <c r="D1089" s="38"/>
      <c r="E1089" s="38"/>
      <c r="F1089" s="38"/>
      <c r="G1089" s="38"/>
      <c r="H1089" s="38"/>
      <c r="I1089" s="38"/>
      <c r="J1089" s="38"/>
      <c r="K1089" s="38"/>
      <c r="L1089" s="38"/>
      <c r="M1089" s="38"/>
      <c r="N1089" s="38"/>
      <c r="O1089" s="38"/>
      <c r="P1089" s="38"/>
      <c r="Q1089" s="38"/>
      <c r="R1089" s="38"/>
      <c r="S1089" s="38"/>
      <c r="T1089" s="38"/>
      <c r="U1089" s="38"/>
      <c r="V1089" s="38"/>
      <c r="W1089" s="38"/>
      <c r="X1089" s="38"/>
      <c r="Y1089" s="38"/>
      <c r="Z1089" s="38"/>
      <c r="AA1089" s="38"/>
      <c r="AB1089" s="38"/>
      <c r="AC1089" s="38"/>
      <c r="AD1089" s="38"/>
      <c r="AG1089"/>
      <c r="AH1089"/>
      <c r="AI1089" s="362">
        <f>SUM(AG1088:AI1088)</f>
        <v>0</v>
      </c>
      <c r="BN1089" s="445">
        <f>SUM(AK1088:BN1088)</f>
        <v>0</v>
      </c>
    </row>
    <row r="1090" spans="1:66" ht="45" customHeight="1">
      <c r="A1090" s="94"/>
      <c r="C1090" s="822" t="s">
        <v>2798</v>
      </c>
      <c r="D1090" s="822"/>
      <c r="E1090" s="822"/>
      <c r="F1090" s="749"/>
      <c r="G1090" s="749"/>
      <c r="H1090" s="749"/>
      <c r="I1090" s="749"/>
      <c r="J1090" s="749"/>
      <c r="K1090" s="749"/>
      <c r="L1090" s="749"/>
      <c r="M1090" s="749"/>
      <c r="N1090" s="749"/>
      <c r="O1090" s="749"/>
      <c r="P1090" s="749"/>
      <c r="Q1090" s="749"/>
      <c r="R1090" s="749"/>
      <c r="S1090" s="749"/>
      <c r="T1090" s="749"/>
      <c r="U1090" s="749"/>
      <c r="V1090" s="749"/>
      <c r="W1090" s="749"/>
      <c r="X1090" s="749"/>
      <c r="Y1090" s="749"/>
      <c r="Z1090" s="749"/>
      <c r="AA1090" s="749"/>
      <c r="AB1090" s="749"/>
      <c r="AC1090" s="749"/>
      <c r="AD1090" s="749"/>
    </row>
    <row r="1091" spans="1:66" ht="15" customHeight="1">
      <c r="A1091" s="49"/>
      <c r="B1091" s="794" t="str">
        <f>IF(AND(BP1080&gt;0,F1090=""),"Ha registrado un valor numérico mayor a cero en la col.Otro tipo, debe anotar el nombre de dicho(s) tipo(s) de sanción(es) o correctivo(s)","")</f>
        <v/>
      </c>
      <c r="C1091" s="794"/>
      <c r="D1091" s="794"/>
      <c r="E1091" s="794"/>
      <c r="F1091" s="794"/>
      <c r="G1091" s="794"/>
      <c r="H1091" s="794"/>
      <c r="I1091" s="794"/>
      <c r="J1091" s="794"/>
      <c r="K1091" s="794"/>
      <c r="L1091" s="794"/>
      <c r="M1091" s="794"/>
      <c r="N1091" s="794"/>
      <c r="O1091" s="794"/>
      <c r="P1091" s="794"/>
      <c r="Q1091" s="794"/>
      <c r="R1091" s="794"/>
      <c r="S1091" s="794"/>
      <c r="T1091" s="794"/>
      <c r="U1091" s="794"/>
      <c r="V1091" s="794"/>
      <c r="W1091" s="794"/>
      <c r="X1091" s="794"/>
      <c r="Y1091" s="794"/>
      <c r="Z1091" s="794"/>
      <c r="AA1091" s="794"/>
      <c r="AB1091" s="794"/>
      <c r="AC1091" s="794"/>
      <c r="AD1091" s="794"/>
      <c r="AE1091" s="794"/>
    </row>
    <row r="1092" spans="1:66" ht="24" customHeight="1">
      <c r="A1092" s="96"/>
      <c r="B1092" s="90"/>
      <c r="C1092" s="754" t="s">
        <v>2611</v>
      </c>
      <c r="D1092" s="754"/>
      <c r="E1092" s="754"/>
      <c r="F1092" s="754"/>
      <c r="G1092" s="754"/>
      <c r="H1092" s="754"/>
      <c r="I1092" s="754"/>
      <c r="J1092" s="754"/>
      <c r="K1092" s="754"/>
      <c r="L1092" s="754"/>
      <c r="M1092" s="754"/>
      <c r="N1092" s="754"/>
      <c r="O1092" s="754"/>
      <c r="P1092" s="754"/>
      <c r="Q1092" s="754"/>
      <c r="R1092" s="754"/>
      <c r="S1092" s="754"/>
      <c r="T1092" s="754"/>
      <c r="U1092" s="754"/>
      <c r="V1092" s="754"/>
      <c r="W1092" s="754"/>
      <c r="X1092" s="754"/>
      <c r="Y1092" s="754"/>
      <c r="Z1092" s="754"/>
      <c r="AA1092" s="754"/>
      <c r="AB1092" s="754"/>
      <c r="AC1092" s="754"/>
      <c r="AD1092" s="754"/>
    </row>
    <row r="1093" spans="1:66" ht="60" customHeight="1">
      <c r="A1093" s="96"/>
      <c r="B1093" s="90"/>
      <c r="C1093" s="851"/>
      <c r="D1093" s="851"/>
      <c r="E1093" s="851"/>
      <c r="F1093" s="851"/>
      <c r="G1093" s="851"/>
      <c r="H1093" s="851"/>
      <c r="I1093" s="851"/>
      <c r="J1093" s="851"/>
      <c r="K1093" s="851"/>
      <c r="L1093" s="851"/>
      <c r="M1093" s="851"/>
      <c r="N1093" s="851"/>
      <c r="O1093" s="851"/>
      <c r="P1093" s="851"/>
      <c r="Q1093" s="851"/>
      <c r="R1093" s="851"/>
      <c r="S1093" s="851"/>
      <c r="T1093" s="851"/>
      <c r="U1093" s="851"/>
      <c r="V1093" s="851"/>
      <c r="W1093" s="851"/>
      <c r="X1093" s="851"/>
      <c r="Y1093" s="851"/>
      <c r="Z1093" s="851"/>
      <c r="AA1093" s="851"/>
      <c r="AB1093" s="851"/>
      <c r="AC1093" s="851"/>
      <c r="AD1093" s="851"/>
    </row>
    <row r="1094" spans="1:66" ht="15" customHeight="1">
      <c r="A1094" s="96"/>
      <c r="B1094" s="794" t="str">
        <f>IF(AG1074&gt;0,"Favor de ingresar toda la información requerida en la pregunta y/o verifique que no tenga información en celdas sombreadas","")</f>
        <v/>
      </c>
      <c r="C1094" s="794"/>
      <c r="D1094" s="794"/>
      <c r="E1094" s="794"/>
      <c r="F1094" s="794"/>
      <c r="G1094" s="794"/>
      <c r="H1094" s="794"/>
      <c r="I1094" s="794"/>
      <c r="J1094" s="794"/>
      <c r="K1094" s="794"/>
      <c r="L1094" s="794"/>
      <c r="M1094" s="794"/>
      <c r="N1094" s="794"/>
      <c r="O1094" s="794"/>
      <c r="P1094" s="794"/>
      <c r="Q1094" s="794"/>
      <c r="R1094" s="794"/>
      <c r="S1094" s="794"/>
      <c r="T1094" s="794"/>
      <c r="U1094" s="794"/>
      <c r="V1094" s="794"/>
      <c r="W1094" s="794"/>
      <c r="X1094" s="794"/>
      <c r="Y1094" s="794"/>
      <c r="Z1094" s="794"/>
      <c r="AA1094" s="794"/>
      <c r="AB1094" s="794"/>
      <c r="AC1094" s="794"/>
      <c r="AD1094" s="794"/>
      <c r="AE1094"/>
    </row>
    <row r="1095" spans="1:66" ht="15" customHeight="1">
      <c r="A1095" s="103"/>
      <c r="B1095" s="795" t="str">
        <f>IF(AM1076&gt;0,"Alerta: debido a que cuenta con registros NS, debe proporcionar una justificación en el area de comentarios al final de la pregunta","")</f>
        <v/>
      </c>
      <c r="C1095" s="795"/>
      <c r="D1095" s="795"/>
      <c r="E1095" s="795"/>
      <c r="F1095" s="795"/>
      <c r="G1095" s="795"/>
      <c r="H1095" s="795"/>
      <c r="I1095" s="795"/>
      <c r="J1095" s="795"/>
      <c r="K1095" s="795"/>
      <c r="L1095" s="795"/>
      <c r="M1095" s="795"/>
      <c r="N1095" s="795"/>
      <c r="O1095" s="795"/>
      <c r="P1095" s="795"/>
      <c r="Q1095" s="795"/>
      <c r="R1095" s="795"/>
      <c r="S1095" s="795"/>
      <c r="T1095" s="795"/>
      <c r="U1095" s="795"/>
      <c r="V1095" s="795"/>
      <c r="W1095" s="795"/>
      <c r="X1095" s="795"/>
      <c r="Y1095" s="795"/>
      <c r="Z1095" s="795"/>
      <c r="AA1095" s="795"/>
      <c r="AB1095" s="795"/>
      <c r="AC1095" s="795"/>
      <c r="AD1095" s="795"/>
      <c r="AE1095"/>
    </row>
    <row r="1096" spans="1:66" ht="15" customHeight="1">
      <c r="A1096" s="103"/>
      <c r="B1096" s="794" t="str">
        <f>IF(OR(AK1076&gt;0,AK1077&gt;0,AM1077&gt;0,AO1077&gt;0),"Favor de revisar la suma y consistencia de totales y/o subtotales por filas (numéricos y NS)","")</f>
        <v/>
      </c>
      <c r="C1096" s="794"/>
      <c r="D1096" s="794"/>
      <c r="E1096" s="794"/>
      <c r="F1096" s="794"/>
      <c r="G1096" s="794"/>
      <c r="H1096" s="794"/>
      <c r="I1096" s="794"/>
      <c r="J1096" s="794"/>
      <c r="K1096" s="794"/>
      <c r="L1096" s="794"/>
      <c r="M1096" s="794"/>
      <c r="N1096" s="794"/>
      <c r="O1096" s="794"/>
      <c r="P1096" s="794"/>
      <c r="Q1096" s="794"/>
      <c r="R1096" s="794"/>
      <c r="S1096" s="794"/>
      <c r="T1096" s="794"/>
      <c r="U1096" s="794"/>
      <c r="V1096" s="794"/>
      <c r="W1096" s="794"/>
      <c r="X1096" s="794"/>
      <c r="Y1096" s="794"/>
      <c r="Z1096" s="794"/>
      <c r="AA1096" s="794"/>
      <c r="AB1096" s="794"/>
      <c r="AC1096" s="794"/>
      <c r="AD1096" s="794"/>
      <c r="AE1096"/>
    </row>
    <row r="1097" spans="1:66" ht="15" customHeight="1">
      <c r="A1097" s="103"/>
      <c r="B1097" s="794" t="str">
        <f>IF(AI1089&gt;0,"Favor de revisar la instrucción 2, debido a que no se cumplen con los criterios mencionados","")</f>
        <v/>
      </c>
      <c r="C1097" s="794"/>
      <c r="D1097" s="794"/>
      <c r="E1097" s="794"/>
      <c r="F1097" s="794"/>
      <c r="G1097" s="794"/>
      <c r="H1097" s="794"/>
      <c r="I1097" s="794"/>
      <c r="J1097" s="794"/>
      <c r="K1097" s="794"/>
      <c r="L1097" s="794"/>
      <c r="M1097" s="794"/>
      <c r="N1097" s="794"/>
      <c r="O1097" s="794"/>
      <c r="P1097" s="794"/>
      <c r="Q1097" s="794"/>
      <c r="R1097" s="794"/>
      <c r="S1097" s="794"/>
      <c r="T1097" s="794"/>
      <c r="U1097" s="794"/>
      <c r="V1097" s="794"/>
      <c r="W1097" s="794"/>
      <c r="X1097" s="794"/>
      <c r="Y1097" s="794"/>
      <c r="Z1097" s="794"/>
      <c r="AA1097" s="794"/>
      <c r="AB1097" s="794"/>
      <c r="AC1097" s="794"/>
      <c r="AD1097" s="794"/>
      <c r="AE1097" s="794"/>
    </row>
    <row r="1098" spans="1:66" ht="15" customHeight="1">
      <c r="A1098" s="103"/>
      <c r="B1098" s="795" t="str">
        <f>IF(BN1089&gt;0,"Alerta: debe de proporcionar una justificación de acuerdo a lo establecido en la instrucción 3","")</f>
        <v/>
      </c>
      <c r="C1098" s="795"/>
      <c r="D1098" s="795"/>
      <c r="E1098" s="795"/>
      <c r="F1098" s="795"/>
      <c r="G1098" s="795"/>
      <c r="H1098" s="795"/>
      <c r="I1098" s="795"/>
      <c r="J1098" s="795"/>
      <c r="K1098" s="795"/>
      <c r="L1098" s="795"/>
      <c r="M1098" s="795"/>
      <c r="N1098" s="795"/>
      <c r="O1098" s="795"/>
      <c r="P1098" s="795"/>
      <c r="Q1098" s="795"/>
      <c r="R1098" s="795"/>
      <c r="S1098" s="795"/>
      <c r="T1098" s="795"/>
      <c r="U1098" s="795"/>
      <c r="V1098" s="795"/>
      <c r="W1098" s="795"/>
      <c r="X1098" s="795"/>
      <c r="Y1098" s="795"/>
      <c r="Z1098" s="795"/>
      <c r="AA1098" s="795"/>
      <c r="AB1098" s="795"/>
      <c r="AC1098" s="795"/>
      <c r="AD1098" s="795"/>
      <c r="AE1098" s="795"/>
    </row>
    <row r="1099" spans="1:66" ht="15" customHeight="1">
      <c r="A1099" s="103"/>
      <c r="B1099" s="57"/>
      <c r="C1099" s="57"/>
      <c r="D1099" s="57"/>
      <c r="E1099" s="57"/>
      <c r="F1099" s="57"/>
      <c r="G1099" s="57"/>
      <c r="H1099" s="57"/>
      <c r="I1099" s="57"/>
      <c r="J1099" s="57"/>
      <c r="K1099" s="57"/>
      <c r="L1099" s="57"/>
      <c r="M1099" s="57"/>
      <c r="N1099" s="57"/>
      <c r="O1099" s="57"/>
      <c r="P1099" s="57"/>
      <c r="Q1099" s="57"/>
      <c r="R1099" s="57"/>
      <c r="S1099" s="57"/>
      <c r="T1099" s="57"/>
      <c r="U1099" s="57"/>
      <c r="V1099" s="57"/>
      <c r="W1099" s="57"/>
      <c r="X1099" s="57"/>
      <c r="Y1099" s="57"/>
      <c r="Z1099" s="57"/>
      <c r="AA1099" s="57"/>
      <c r="AB1099" s="57"/>
      <c r="AC1099" s="57"/>
      <c r="AD1099" s="57"/>
      <c r="AE1099"/>
    </row>
    <row r="1100" spans="1:66" ht="36" customHeight="1">
      <c r="A1100" s="49" t="s">
        <v>3716</v>
      </c>
      <c r="B1100" s="829" t="s">
        <v>3717</v>
      </c>
      <c r="C1100" s="829"/>
      <c r="D1100" s="829"/>
      <c r="E1100" s="829"/>
      <c r="F1100" s="829"/>
      <c r="G1100" s="829"/>
      <c r="H1100" s="829"/>
      <c r="I1100" s="829"/>
      <c r="J1100" s="829"/>
      <c r="K1100" s="829"/>
      <c r="L1100" s="829"/>
      <c r="M1100" s="829"/>
      <c r="N1100" s="829"/>
      <c r="O1100" s="829"/>
      <c r="P1100" s="829"/>
      <c r="Q1100" s="829"/>
      <c r="R1100" s="829"/>
      <c r="S1100" s="829"/>
      <c r="T1100" s="829"/>
      <c r="U1100" s="829"/>
      <c r="V1100" s="829"/>
      <c r="W1100" s="829"/>
      <c r="X1100" s="829"/>
      <c r="Y1100" s="829"/>
      <c r="Z1100" s="829"/>
      <c r="AA1100" s="829"/>
      <c r="AB1100" s="829"/>
      <c r="AC1100" s="829"/>
      <c r="AD1100" s="829"/>
    </row>
    <row r="1101" spans="1:66" ht="24" customHeight="1">
      <c r="A1101" s="49"/>
      <c r="B1101" s="49"/>
      <c r="C1101" s="754" t="s">
        <v>3718</v>
      </c>
      <c r="D1101" s="754"/>
      <c r="E1101" s="754"/>
      <c r="F1101" s="754"/>
      <c r="G1101" s="754"/>
      <c r="H1101" s="754"/>
      <c r="I1101" s="754"/>
      <c r="J1101" s="754"/>
      <c r="K1101" s="754"/>
      <c r="L1101" s="754"/>
      <c r="M1101" s="754"/>
      <c r="N1101" s="754"/>
      <c r="O1101" s="754"/>
      <c r="P1101" s="754"/>
      <c r="Q1101" s="754"/>
      <c r="R1101" s="754"/>
      <c r="S1101" s="754"/>
      <c r="T1101" s="754"/>
      <c r="U1101" s="754"/>
      <c r="V1101" s="754"/>
      <c r="W1101" s="754"/>
      <c r="X1101" s="754"/>
      <c r="Y1101" s="754"/>
      <c r="Z1101" s="754"/>
      <c r="AA1101" s="754"/>
      <c r="AB1101" s="754"/>
      <c r="AC1101" s="754"/>
      <c r="AD1101" s="754"/>
    </row>
    <row r="1102" spans="1:66" ht="36" customHeight="1">
      <c r="A1102" s="49"/>
      <c r="B1102" s="670"/>
      <c r="C1102" s="830" t="s">
        <v>3719</v>
      </c>
      <c r="D1102" s="830"/>
      <c r="E1102" s="830"/>
      <c r="F1102" s="830"/>
      <c r="G1102" s="830"/>
      <c r="H1102" s="830"/>
      <c r="I1102" s="830"/>
      <c r="J1102" s="830"/>
      <c r="K1102" s="830"/>
      <c r="L1102" s="830"/>
      <c r="M1102" s="830"/>
      <c r="N1102" s="830"/>
      <c r="O1102" s="830"/>
      <c r="P1102" s="830"/>
      <c r="Q1102" s="830"/>
      <c r="R1102" s="830"/>
      <c r="S1102" s="830"/>
      <c r="T1102" s="830"/>
      <c r="U1102" s="830"/>
      <c r="V1102" s="830"/>
      <c r="W1102" s="830"/>
      <c r="X1102" s="830"/>
      <c r="Y1102" s="830"/>
      <c r="Z1102" s="830"/>
      <c r="AA1102" s="830"/>
      <c r="AB1102" s="830"/>
      <c r="AC1102" s="830"/>
      <c r="AD1102" s="830"/>
    </row>
    <row r="1103" spans="1:66" ht="36" customHeight="1">
      <c r="A1103" s="49"/>
      <c r="B1103" s="38"/>
      <c r="C1103" s="754" t="s">
        <v>3720</v>
      </c>
      <c r="D1103" s="754"/>
      <c r="E1103" s="754"/>
      <c r="F1103" s="754"/>
      <c r="G1103" s="754"/>
      <c r="H1103" s="754"/>
      <c r="I1103" s="754"/>
      <c r="J1103" s="754"/>
      <c r="K1103" s="754"/>
      <c r="L1103" s="754"/>
      <c r="M1103" s="754"/>
      <c r="N1103" s="754"/>
      <c r="O1103" s="754"/>
      <c r="P1103" s="754"/>
      <c r="Q1103" s="754"/>
      <c r="R1103" s="754"/>
      <c r="S1103" s="754"/>
      <c r="T1103" s="754"/>
      <c r="U1103" s="754"/>
      <c r="V1103" s="754"/>
      <c r="W1103" s="754"/>
      <c r="X1103" s="754"/>
      <c r="Y1103" s="754"/>
      <c r="Z1103" s="754"/>
      <c r="AA1103" s="754"/>
      <c r="AB1103" s="754"/>
      <c r="AC1103" s="754"/>
      <c r="AD1103" s="754"/>
    </row>
    <row r="1104" spans="1:66" ht="24" customHeight="1">
      <c r="A1104" s="49"/>
      <c r="B1104" s="670"/>
      <c r="C1104" s="754" t="s">
        <v>3721</v>
      </c>
      <c r="D1104" s="754"/>
      <c r="E1104" s="754"/>
      <c r="F1104" s="754"/>
      <c r="G1104" s="754"/>
      <c r="H1104" s="754"/>
      <c r="I1104" s="754"/>
      <c r="J1104" s="754"/>
      <c r="K1104" s="754"/>
      <c r="L1104" s="754"/>
      <c r="M1104" s="754"/>
      <c r="N1104" s="754"/>
      <c r="O1104" s="754"/>
      <c r="P1104" s="754"/>
      <c r="Q1104" s="754"/>
      <c r="R1104" s="754"/>
      <c r="S1104" s="754"/>
      <c r="T1104" s="754"/>
      <c r="U1104" s="754"/>
      <c r="V1104" s="754"/>
      <c r="W1104" s="754"/>
      <c r="X1104" s="754"/>
      <c r="Y1104" s="754"/>
      <c r="Z1104" s="754"/>
      <c r="AA1104" s="754"/>
      <c r="AB1104" s="754"/>
      <c r="AC1104" s="754"/>
      <c r="AD1104" s="754"/>
    </row>
    <row r="1105" spans="1:87" ht="15" customHeight="1">
      <c r="A1105" s="103"/>
      <c r="B1105" s="57"/>
      <c r="C1105" s="57"/>
      <c r="D1105" s="57"/>
      <c r="E1105" s="57"/>
      <c r="F1105" s="57"/>
      <c r="G1105" s="57"/>
      <c r="H1105" s="57"/>
      <c r="I1105" s="57"/>
      <c r="J1105" s="57"/>
      <c r="K1105" s="57"/>
      <c r="L1105" s="57"/>
      <c r="M1105" s="57"/>
      <c r="N1105" s="57"/>
      <c r="O1105" s="57"/>
      <c r="P1105" s="57"/>
      <c r="Q1105" s="57"/>
      <c r="R1105" s="57"/>
      <c r="S1105" s="57"/>
      <c r="T1105" s="57"/>
      <c r="U1105" s="57"/>
      <c r="V1105" s="57"/>
      <c r="W1105" s="57"/>
      <c r="X1105" s="57"/>
      <c r="Y1105" s="57"/>
      <c r="Z1105" s="57"/>
      <c r="AA1105" s="57"/>
      <c r="AB1105" s="57"/>
      <c r="AC1105" s="57"/>
      <c r="AD1105" s="57"/>
    </row>
    <row r="1106" spans="1:87" ht="15">
      <c r="A1106" s="94"/>
      <c r="AA1106" s="875" t="s">
        <v>3205</v>
      </c>
      <c r="AB1106" s="875"/>
      <c r="AC1106" s="875"/>
      <c r="AD1106" s="875"/>
    </row>
    <row r="1107" spans="1:87" ht="24" customHeight="1">
      <c r="A1107" s="49"/>
      <c r="B1107" s="38"/>
      <c r="C1107" s="732" t="s">
        <v>2581</v>
      </c>
      <c r="D1107" s="732"/>
      <c r="E1107" s="732"/>
      <c r="F1107" s="732"/>
      <c r="G1107" s="732"/>
      <c r="H1107" s="732"/>
      <c r="I1107" s="732"/>
      <c r="J1107" s="732"/>
      <c r="K1107" s="732"/>
      <c r="L1107" s="732"/>
      <c r="M1107" s="739" t="s">
        <v>3722</v>
      </c>
      <c r="N1107" s="740"/>
      <c r="O1107" s="740"/>
      <c r="P1107" s="740"/>
      <c r="Q1107" s="740"/>
      <c r="R1107" s="740"/>
      <c r="S1107" s="740"/>
      <c r="T1107" s="740"/>
      <c r="U1107" s="740"/>
      <c r="V1107" s="740"/>
      <c r="W1107" s="740"/>
      <c r="X1107" s="740"/>
      <c r="Y1107" s="740"/>
      <c r="Z1107" s="740"/>
      <c r="AA1107" s="740"/>
      <c r="AB1107" s="740"/>
      <c r="AC1107" s="740"/>
      <c r="AD1107" s="741"/>
    </row>
    <row r="1108" spans="1:87" ht="216" customHeight="1">
      <c r="A1108" s="49"/>
      <c r="B1108" s="38"/>
      <c r="C1108" s="732"/>
      <c r="D1108" s="732"/>
      <c r="E1108" s="732"/>
      <c r="F1108" s="732"/>
      <c r="G1108" s="732"/>
      <c r="H1108" s="732"/>
      <c r="I1108" s="732"/>
      <c r="J1108" s="732"/>
      <c r="K1108" s="732"/>
      <c r="L1108" s="732"/>
      <c r="M1108" s="874" t="s">
        <v>2628</v>
      </c>
      <c r="N1108" s="857" t="s">
        <v>2629</v>
      </c>
      <c r="O1108" s="857" t="s">
        <v>2630</v>
      </c>
      <c r="P1108" s="857" t="s">
        <v>3723</v>
      </c>
      <c r="Q1108" s="857"/>
      <c r="R1108" s="857"/>
      <c r="S1108" s="857" t="s">
        <v>3724</v>
      </c>
      <c r="T1108" s="857"/>
      <c r="U1108" s="857"/>
      <c r="V1108" s="857" t="s">
        <v>3725</v>
      </c>
      <c r="W1108" s="857"/>
      <c r="X1108" s="857"/>
      <c r="Y1108" s="857" t="s">
        <v>3726</v>
      </c>
      <c r="Z1108" s="857"/>
      <c r="AA1108" s="857"/>
      <c r="AB1108" s="857" t="s">
        <v>3727</v>
      </c>
      <c r="AC1108" s="857"/>
      <c r="AD1108" s="857"/>
    </row>
    <row r="1109" spans="1:87" ht="48" customHeight="1">
      <c r="A1109" s="49"/>
      <c r="B1109" s="38"/>
      <c r="C1109" s="732"/>
      <c r="D1109" s="732"/>
      <c r="E1109" s="732"/>
      <c r="F1109" s="732"/>
      <c r="G1109" s="732"/>
      <c r="H1109" s="732"/>
      <c r="I1109" s="732"/>
      <c r="J1109" s="732"/>
      <c r="K1109" s="732"/>
      <c r="L1109" s="732"/>
      <c r="M1109" s="874"/>
      <c r="N1109" s="857"/>
      <c r="O1109" s="857"/>
      <c r="P1109" s="127" t="s">
        <v>2635</v>
      </c>
      <c r="Q1109" s="128" t="s">
        <v>2629</v>
      </c>
      <c r="R1109" s="128" t="s">
        <v>2630</v>
      </c>
      <c r="S1109" s="127" t="s">
        <v>2635</v>
      </c>
      <c r="T1109" s="128" t="s">
        <v>2629</v>
      </c>
      <c r="U1109" s="128" t="s">
        <v>2630</v>
      </c>
      <c r="V1109" s="127" t="s">
        <v>2635</v>
      </c>
      <c r="W1109" s="128" t="s">
        <v>2629</v>
      </c>
      <c r="X1109" s="128" t="s">
        <v>2630</v>
      </c>
      <c r="Y1109" s="127" t="s">
        <v>2635</v>
      </c>
      <c r="Z1109" s="128" t="s">
        <v>2629</v>
      </c>
      <c r="AA1109" s="128" t="s">
        <v>2630</v>
      </c>
      <c r="AB1109" s="127" t="s">
        <v>2635</v>
      </c>
      <c r="AC1109" s="128" t="s">
        <v>2629</v>
      </c>
      <c r="AD1109" s="128" t="s">
        <v>2630</v>
      </c>
      <c r="AG1109" s="354" t="s">
        <v>2586</v>
      </c>
      <c r="AH1109" s="282" t="s">
        <v>2637</v>
      </c>
      <c r="AI1109" s="280" t="s">
        <v>2638</v>
      </c>
      <c r="AJ1109" s="281" t="s">
        <v>2639</v>
      </c>
      <c r="AK1109" s="282" t="s">
        <v>2640</v>
      </c>
      <c r="AL1109" s="280" t="s">
        <v>2641</v>
      </c>
      <c r="AM1109" s="281" t="s">
        <v>2642</v>
      </c>
      <c r="AN1109" s="282" t="s">
        <v>2643</v>
      </c>
      <c r="AO1109" s="280" t="s">
        <v>2644</v>
      </c>
      <c r="AP1109" s="281" t="s">
        <v>2645</v>
      </c>
      <c r="AQ1109" s="282" t="s">
        <v>2646</v>
      </c>
      <c r="AR1109" s="280" t="s">
        <v>2647</v>
      </c>
      <c r="AS1109" s="281" t="s">
        <v>2648</v>
      </c>
      <c r="AT1109" s="282" t="s">
        <v>2756</v>
      </c>
      <c r="AU1109" s="280" t="s">
        <v>2757</v>
      </c>
      <c r="AV1109" s="281" t="s">
        <v>2758</v>
      </c>
      <c r="AW1109" s="282" t="s">
        <v>2759</v>
      </c>
      <c r="AX1109" s="280" t="s">
        <v>2760</v>
      </c>
      <c r="AY1109" s="281" t="s">
        <v>2761</v>
      </c>
      <c r="AZ1109" s="282" t="s">
        <v>2762</v>
      </c>
      <c r="BA1109" s="280" t="s">
        <v>2763</v>
      </c>
      <c r="BB1109" s="281" t="s">
        <v>2764</v>
      </c>
      <c r="BC1109" s="282" t="s">
        <v>2765</v>
      </c>
      <c r="BD1109" s="280" t="s">
        <v>2766</v>
      </c>
      <c r="BE1109" s="281" t="s">
        <v>2767</v>
      </c>
      <c r="BF1109" s="282" t="s">
        <v>2768</v>
      </c>
      <c r="BG1109" s="280" t="s">
        <v>2769</v>
      </c>
      <c r="BH1109" s="281" t="s">
        <v>2770</v>
      </c>
      <c r="BI1109" s="282" t="s">
        <v>2771</v>
      </c>
      <c r="BJ1109" s="280" t="s">
        <v>2772</v>
      </c>
      <c r="BK1109" s="281" t="s">
        <v>2773</v>
      </c>
      <c r="BL1109" s="282" t="s">
        <v>2774</v>
      </c>
      <c r="BM1109" s="280" t="s">
        <v>2775</v>
      </c>
      <c r="BN1109" s="281" t="s">
        <v>2776</v>
      </c>
      <c r="BO1109" s="282" t="s">
        <v>3212</v>
      </c>
      <c r="BP1109" s="280" t="s">
        <v>3213</v>
      </c>
      <c r="BQ1109" s="281" t="s">
        <v>3214</v>
      </c>
      <c r="BR1109" s="282" t="s">
        <v>3215</v>
      </c>
      <c r="BS1109" s="280" t="s">
        <v>3216</v>
      </c>
      <c r="BT1109" s="281" t="s">
        <v>3217</v>
      </c>
      <c r="BU1109" s="282" t="s">
        <v>3218</v>
      </c>
      <c r="BV1109" s="280" t="s">
        <v>3219</v>
      </c>
      <c r="BW1109" s="281" t="s">
        <v>3220</v>
      </c>
      <c r="BX1109" s="282" t="s">
        <v>3221</v>
      </c>
      <c r="BY1109" s="280" t="s">
        <v>3222</v>
      </c>
      <c r="BZ1109" s="281" t="s">
        <v>3223</v>
      </c>
      <c r="CA1109" s="282" t="s">
        <v>3224</v>
      </c>
      <c r="CB1109" s="280" t="s">
        <v>3225</v>
      </c>
      <c r="CC1109" s="281" t="s">
        <v>3226</v>
      </c>
      <c r="CD1109" s="282" t="s">
        <v>3227</v>
      </c>
      <c r="CE1109" s="280" t="s">
        <v>3228</v>
      </c>
      <c r="CF1109" s="281" t="s">
        <v>3229</v>
      </c>
      <c r="CG1109" s="282" t="s">
        <v>3230</v>
      </c>
      <c r="CH1109" s="280" t="s">
        <v>3231</v>
      </c>
      <c r="CI1109" s="281" t="s">
        <v>3232</v>
      </c>
    </row>
    <row r="1110" spans="1:87" ht="15" customHeight="1">
      <c r="A1110" s="49"/>
      <c r="B1110" s="38"/>
      <c r="C1110" s="97" t="s">
        <v>2516</v>
      </c>
      <c r="D1110" s="813" t="str">
        <f>IF(CNSIPEE_2024_M2_Secc1!D42="","",CNSIPEE_2024_M2_Secc1!D42)</f>
        <v/>
      </c>
      <c r="E1110" s="814"/>
      <c r="F1110" s="814"/>
      <c r="G1110" s="814"/>
      <c r="H1110" s="814"/>
      <c r="I1110" s="814"/>
      <c r="J1110" s="814"/>
      <c r="K1110" s="814"/>
      <c r="L1110" s="815"/>
      <c r="M1110" s="100"/>
      <c r="N1110" s="100"/>
      <c r="O1110" s="100"/>
      <c r="P1110" s="100"/>
      <c r="Q1110" s="100"/>
      <c r="R1110" s="100"/>
      <c r="S1110" s="100"/>
      <c r="T1110" s="100"/>
      <c r="U1110" s="100"/>
      <c r="V1110" s="100"/>
      <c r="W1110" s="100"/>
      <c r="X1110" s="100"/>
      <c r="Y1110" s="100"/>
      <c r="Z1110" s="100"/>
      <c r="AA1110" s="100"/>
      <c r="AB1110" s="100"/>
      <c r="AC1110" s="100"/>
      <c r="AD1110" s="100"/>
      <c r="AG1110" s="326">
        <f t="shared" ref="AG1110:AG1117" si="915">IF(AND($C$987="X",COUNTA(M1110:AD1110,M1124:AD1124,M1138:AD1138)=0),0,IF(AND(SUM($J1006)&gt;0,COUNTBLANK(D1110)=0,COUNTA(M1110:AD1110,M1124:AD1124,M1138:AD1138)=54),0,IF(AND(SUM($J1006)=0,COUNTBLANK(D1110)=1,COUNTA(M1110:AD1110,M1124:AD1124,M1138:AD1138)=0),0,1)))</f>
        <v>0</v>
      </c>
      <c r="AH1110" s="283">
        <f>COUNTIF(N1110:O1110,"NS")</f>
        <v>0</v>
      </c>
      <c r="AI1110" s="283">
        <f>SUM(N1110:O1110)</f>
        <v>0</v>
      </c>
      <c r="AJ1110" s="283">
        <f>IF(COUNTIF(M1110:O1110,"NA")=3,0,IF(COUNTA(M1110:O1110)=0,0,IF(OR(AND(M1110=0,AH1110&gt;0),AND(M1110="ns",AI1110&gt;0),AND(M1110="ns",AH1110=0,AI1110=0)),1,IF(OR(AND(M1110&gt;0,AH1110=2),AND(M1110="ns",AH1110=2),AND(M1110="ns",AI1110=0,AH1110&gt;0),M1110=AI1110),0,1))))</f>
        <v>0</v>
      </c>
      <c r="AK1110" s="283">
        <f>COUNTIF(Q1110:R1110,"NS")</f>
        <v>0</v>
      </c>
      <c r="AL1110" s="283">
        <f>SUM(Q1110:R1110)</f>
        <v>0</v>
      </c>
      <c r="AM1110" s="283">
        <f>IF(COUNTIF(P1110:R1110,"NA")=3,0,IF(COUNTA(P1110:R1110)=0,0,IF(OR(AND(P1110=0,AK1110&gt;0),AND(P1110="ns",AL1110&gt;0),AND(P1110="ns",AK1110=0,AL1110=0)),1,IF(OR(AND(P1110&gt;0,AK1110=2),AND(P1110="ns",AK1110=2),AND(P1110="ns",AL1110=0,AK1110&gt;0),P1110=AL1110),0,1))))</f>
        <v>0</v>
      </c>
      <c r="AN1110" s="283">
        <f>COUNTIF(T1110:U1110,"NS")</f>
        <v>0</v>
      </c>
      <c r="AO1110" s="283">
        <f>SUM(T1110:U1110)</f>
        <v>0</v>
      </c>
      <c r="AP1110" s="283">
        <f>IF(COUNTIF(S1110:U1110,"NA")=3,0,IF(COUNTA(S1110:U1110)=0,0,IF(OR(AND(S1110=0,AN1110&gt;0),AND(S1110="ns",AO1110&gt;0),AND(S1110="ns",AN1110=0,AO1110=0)),1,IF(OR(AND(S1110&gt;0,AN1110=2),AND(S1110="ns",AN1110=2),AND(S1110="ns",AO1110=0,AN1110&gt;0),S1110=AO1110),0,1))))</f>
        <v>0</v>
      </c>
      <c r="AQ1110" s="283">
        <f>COUNTIF(W1110:X1110,"NS")</f>
        <v>0</v>
      </c>
      <c r="AR1110" s="283">
        <f>SUM(W1110:X1110)</f>
        <v>0</v>
      </c>
      <c r="AS1110" s="283">
        <f>IF(COUNTIF(V1110:X1110,"NA")=3,0,IF(COUNTA(V1110:X1110)=0,0,IF(OR(AND(V1110=0,AQ1110&gt;0),AND(V1110="ns",AR1110&gt;0),AND(V1110="ns",AQ1110=0,AR1110=0)),1,IF(OR(AND(V1110&gt;0,AQ1110=2),AND(V1110="ns",AQ1110=2),AND(V1110="ns",AR1110=0,AQ1110&gt;0),V1110=AR1110),0,1))))</f>
        <v>0</v>
      </c>
      <c r="AT1110" s="283">
        <f>COUNTIF(Z1110:AA1110,"NS")</f>
        <v>0</v>
      </c>
      <c r="AU1110" s="283">
        <f>SUM(Z1110:AA1110)</f>
        <v>0</v>
      </c>
      <c r="AV1110" s="283">
        <f>IF(COUNTIF(Y1110:AA1110,"NA")=3,0,IF(COUNTA(Y1110:AA1110)=0,0,IF(OR(AND(Y1110=0,AT1110&gt;0),AND(Y1110="ns",AU1110&gt;0),AND(Y1110="ns",AT1110=0,AU1110=0)),1,IF(OR(AND(Y1110&gt;0,AT1110=2),AND(Y1110="ns",AT1110=2),AND(Y1110="ns",AU1110=0,AT1110&gt;0),Y1110=AU1110),0,1))))</f>
        <v>0</v>
      </c>
      <c r="AW1110" s="283">
        <f>COUNTIF(AC1110:AD1110,"NS")</f>
        <v>0</v>
      </c>
      <c r="AX1110" s="283">
        <f>SUM(AC1110:AD1110)</f>
        <v>0</v>
      </c>
      <c r="AY1110" s="283">
        <f>IF(COUNTIF(AB1110:AD1110,"NA")=3,0,IF(COUNTA(AB1110:AD1110)=0,0,IF(OR(AND(AB1110=0,AW1110&gt;0),AND(AB1110="ns",AX1110&gt;0),AND(AB1110="ns",AW1110=0,AX1110=0)),1,IF(OR(AND(AB1110&gt;0,AW1110=2),AND(AB1110="ns",AW1110=2),AND(AB1110="ns",AX1110=0,AW1110&gt;0),AB1110=AX1110),0,1))))</f>
        <v>0</v>
      </c>
      <c r="AZ1110" s="283">
        <f>COUNTIF(N1124:O1124,"NS")</f>
        <v>0</v>
      </c>
      <c r="BA1110" s="283">
        <f>SUM(N1124:O1124)</f>
        <v>0</v>
      </c>
      <c r="BB1110" s="283">
        <f>IF(COUNTIF(M1124:O1124,"NA")=3,0,IF(COUNTA(M1124:O1124)=0,0,IF(OR(AND(M1124=0,AZ1110&gt;0),AND(M1124="ns",BA1110&gt;0),AND(M1124="ns",AZ1110=0,BA1110=0)),1,IF(OR(AND(M1124&gt;0,AZ1110=2),AND(M1124="ns",AZ1110=2),AND(M1124="ns",BA1110=0,AZ1110&gt;0),M1124=BA1110),0,1))))</f>
        <v>0</v>
      </c>
      <c r="BC1110" s="283">
        <f>COUNTIF(Q1124:R1124,"NS")</f>
        <v>0</v>
      </c>
      <c r="BD1110" s="283">
        <f>SUM(Q1124:R1124)</f>
        <v>0</v>
      </c>
      <c r="BE1110" s="283">
        <f>IF(COUNTIF(P1124:R1124,"NA")=3,0,IF(COUNTA(P1124:R1124)=0,0,IF(OR(AND(P1124=0,BC1110&gt;0),AND(P1124="ns",BD1110&gt;0),AND(P1124="ns",BC1110=0,BD1110=0)),1,IF(OR(AND(P1124&gt;0,BC1110=2),AND(P1124="ns",BC1110=2),AND(P1124="ns",BD1110=0,BC1110&gt;0),P1124=BD1110),0,1))))</f>
        <v>0</v>
      </c>
      <c r="BF1110" s="283">
        <f>COUNTIF(T1124:U1124,"NS")</f>
        <v>0</v>
      </c>
      <c r="BG1110" s="283">
        <f>SUM(T1124:U1124)</f>
        <v>0</v>
      </c>
      <c r="BH1110" s="283">
        <f>IF(COUNTIF(S1124:U1124,"NA")=3,0,IF(COUNTA(S1124:U1124)=0,0,IF(OR(AND(S1124=0,BF1110&gt;0),AND(S1124="ns",BG1110&gt;0),AND(S1124="ns",BF1110=0,BG1110=0)),1,IF(OR(AND(S1124&gt;0,BF1110=2),AND(S1124="ns",BF1110=2),AND(S1124="ns",BG1110=0,BF1110&gt;0),S1124=BG1110),0,1))))</f>
        <v>0</v>
      </c>
      <c r="BI1110" s="283">
        <f>COUNTIF(W1124:X1124,"NS")</f>
        <v>0</v>
      </c>
      <c r="BJ1110" s="283">
        <f>SUM(W1124:X1124)</f>
        <v>0</v>
      </c>
      <c r="BK1110" s="283">
        <f>IF(COUNTIF(V1124:X1124,"NA")=3,0,IF(COUNTA(V1124:X1124)=0,0,IF(OR(AND(V1124=0,BI1110&gt;0),AND(V1124="ns",BJ1110&gt;0),AND(V1124="ns",BI1110=0,BJ1110=0)),1,IF(OR(AND(V1124&gt;0,BI1110=2),AND(V1124="ns",BI1110=2),AND(V1124="ns",BJ1110=0,BI1110&gt;0),V1124=BJ1110),0,1))))</f>
        <v>0</v>
      </c>
      <c r="BL1110" s="283">
        <f>COUNTIF(Z1124:AA1124,"NS")</f>
        <v>0</v>
      </c>
      <c r="BM1110" s="283">
        <f>SUM(Z1124:AA1124)</f>
        <v>0</v>
      </c>
      <c r="BN1110" s="283">
        <f>IF(COUNTIF(Y1124:AA1124,"NA")=3,0,IF(COUNTA(Y1124:AA1124)=0,0,IF(OR(AND(Y1124=0,BL1110&gt;0),AND(Y1124="ns",BM1110&gt;0),AND(Y1124="ns",BL1110=0,BM1110=0)),1,IF(OR(AND(Y1124&gt;0,BL1110=2),AND(Y1124="ns",BL1110=2),AND(Y1124="ns",BM1110=0,BL1110&gt;0),Y1124=BM1110),0,1))))</f>
        <v>0</v>
      </c>
      <c r="BO1110" s="283">
        <f>COUNTIF(AC1124:AD1124,"NS")</f>
        <v>0</v>
      </c>
      <c r="BP1110" s="283">
        <f>SUM(AC1124:AD1124)</f>
        <v>0</v>
      </c>
      <c r="BQ1110" s="283">
        <f>IF(COUNTIF(AB1124:AD1124,"NA")=3,0,IF(COUNTA(AB1124:AD1124)=0,0,IF(OR(AND(AB1124=0,BO1110&gt;0),AND(AB1124="ns",BP1110&gt;0),AND(AB1124="ns",BO1110=0,BP1110=0)),1,IF(OR(AND(AB1124&gt;0,BO1110=2),AND(AB1124="ns",BO1110=2),AND(AB1124="ns",BP1110=0,BO1110&gt;0),AB1124=BP1110),0,1))))</f>
        <v>0</v>
      </c>
      <c r="BR1110" s="283">
        <f>COUNTIF(N1138:O1138,"NS")</f>
        <v>0</v>
      </c>
      <c r="BS1110" s="283">
        <f>SUM(N1138:O1138)</f>
        <v>0</v>
      </c>
      <c r="BT1110" s="283">
        <f>IF(COUNTIF(M1138:O1138,"NA")=3,0,IF(COUNTA(M1138:O1138)=0,0,IF(OR(AND(M1138=0,BR1110&gt;0),AND(M1138="ns",BS1110&gt;0),AND(M1138="ns",BR1110=0,BS1110=0)),1,IF(OR(AND(M1138&gt;0,BR1110=2),AND(M1138="ns",BR1110=2),AND(M1138="ns",BS1110=0,BR1110&gt;0),M1138=BS1110),0,1))))</f>
        <v>0</v>
      </c>
      <c r="BU1110" s="283">
        <f>COUNTIF(Q1138:R1138,"NS")</f>
        <v>0</v>
      </c>
      <c r="BV1110" s="283">
        <f>SUM(Q1138:R1138)</f>
        <v>0</v>
      </c>
      <c r="BW1110" s="283">
        <f>IF(COUNTIF(P1138:R1138,"NA")=3,0,IF(COUNTA(P1138:R1138)=0,0,IF(OR(AND(P1138=0,BU1110&gt;0),AND(P1138="ns",BV1110&gt;0),AND(P1138="ns",BU1110=0,BV1110=0)),1,IF(OR(AND(P1138&gt;0,BU1110=2),AND(P1138="ns",BU1110=2),AND(P1138="ns",BV1110=0,BU1110&gt;0),P1138=BV1110),0,1))))</f>
        <v>0</v>
      </c>
      <c r="BX1110" s="283">
        <f>COUNTIF(T1138:U1138,"NS")</f>
        <v>0</v>
      </c>
      <c r="BY1110" s="283">
        <f>SUM(T1138:U1138)</f>
        <v>0</v>
      </c>
      <c r="BZ1110" s="283">
        <f>IF(COUNTIF(S1138:U1138,"NA")=3,0,IF(COUNTA(S1138:U1138)=0,0,IF(OR(AND(S1138=0,BX1110&gt;0),AND(S1138="ns",BY1110&gt;0),AND(S1138="ns",BX1110=0,BY1110=0)),1,IF(OR(AND(S1138&gt;0,BX1110=2),AND(S1138="ns",BX1110=2),AND(S1138="ns",BY1110=0,BX1110&gt;0),S1138=BY1110),0,1))))</f>
        <v>0</v>
      </c>
      <c r="CA1110" s="283">
        <f>COUNTIF(W1138:X1138,"NS")</f>
        <v>0</v>
      </c>
      <c r="CB1110" s="283">
        <f>SUM(W1138:X1138)</f>
        <v>0</v>
      </c>
      <c r="CC1110" s="283">
        <f>IF(COUNTIF(V1138:X1138,"NA")=3,0,IF(COUNTA(V1138:X1138)=0,0,IF(OR(AND(V1138=0,CA1110&gt;0),AND(V1138="ns",CB1110&gt;0),AND(V1138="ns",CA1110=0,CB1110=0)),1,IF(OR(AND(V1138&gt;0,CA1110=2),AND(V1138="ns",CA1110=2),AND(V1138="ns",CB1110=0,CA1110&gt;0),V1138=CB1110),0,1))))</f>
        <v>0</v>
      </c>
      <c r="CD1110" s="283">
        <f>COUNTIF(Z1138:AA1138,"NS")</f>
        <v>0</v>
      </c>
      <c r="CE1110" s="283">
        <f>SUM(Z1138:AA1138)</f>
        <v>0</v>
      </c>
      <c r="CF1110" s="283">
        <f>IF(COUNTIF(Y1138:AA1138,"NA")=3,0,IF(COUNTA(Y1138:AA1138)=0,0,IF(OR(AND(Y1138=0,CD1110&gt;0),AND(Y1138="ns",CE1110&gt;0),AND(Y1138="ns",CD1110=0,CE1110=0)),1,IF(OR(AND(Y1138&gt;0,CD1110=2),AND(Y1138="ns",CD1110=2),AND(Y1138="ns",CE1110=0,CD1110&gt;0),Y1138=CE1110),0,1))))</f>
        <v>0</v>
      </c>
      <c r="CG1110" s="283">
        <f>COUNTIF(AC1138:AD1138,"NS")</f>
        <v>0</v>
      </c>
      <c r="CH1110" s="283">
        <f>SUM(AC1138:AD1138)</f>
        <v>0</v>
      </c>
      <c r="CI1110" s="283">
        <f>IF(COUNTIF(AB1138:AD1138,"NA")=3,0,IF(COUNTA(AB1138:AD1138)=0,0,IF(OR(AND(AB1138=0,CG1110&gt;0),AND(AB1138="ns",CH1110&gt;0),AND(AB1138="ns",CG1110=0,CH1110=0)),1,IF(OR(AND(AB1138&gt;0,CG1110=2),AND(AB1138="ns",CG1110=2),AND(AB1138="ns",CH1110=0,CG1110&gt;0),AB1138=CH1110),0,1))))</f>
        <v>0</v>
      </c>
    </row>
    <row r="1111" spans="1:87" ht="15" customHeight="1">
      <c r="A1111" s="49"/>
      <c r="B1111" s="38"/>
      <c r="C1111" s="143" t="s">
        <v>2517</v>
      </c>
      <c r="D1111" s="813" t="str">
        <f>IF(CNSIPEE_2024_M2_Secc1!D43="","",CNSIPEE_2024_M2_Secc1!D43)</f>
        <v/>
      </c>
      <c r="E1111" s="814"/>
      <c r="F1111" s="814"/>
      <c r="G1111" s="814"/>
      <c r="H1111" s="814"/>
      <c r="I1111" s="814"/>
      <c r="J1111" s="814"/>
      <c r="K1111" s="814"/>
      <c r="L1111" s="815"/>
      <c r="M1111" s="100"/>
      <c r="N1111" s="100"/>
      <c r="O1111" s="100"/>
      <c r="P1111" s="100"/>
      <c r="Q1111" s="100"/>
      <c r="R1111" s="100"/>
      <c r="S1111" s="100"/>
      <c r="T1111" s="100"/>
      <c r="U1111" s="100"/>
      <c r="V1111" s="100"/>
      <c r="W1111" s="100"/>
      <c r="X1111" s="100"/>
      <c r="Y1111" s="100"/>
      <c r="Z1111" s="100"/>
      <c r="AA1111" s="100"/>
      <c r="AB1111" s="100"/>
      <c r="AC1111" s="100"/>
      <c r="AD1111" s="100"/>
      <c r="AG1111" s="326">
        <f t="shared" si="915"/>
        <v>0</v>
      </c>
      <c r="AH1111" s="283">
        <f t="shared" ref="AH1111:AH1117" si="916">COUNTIF(N1111:O1111,"NS")</f>
        <v>0</v>
      </c>
      <c r="AI1111" s="283">
        <f t="shared" ref="AI1111:AI1117" si="917">SUM(N1111:O1111)</f>
        <v>0</v>
      </c>
      <c r="AJ1111" s="283">
        <f t="shared" ref="AJ1111:AJ1117" si="918">IF(COUNTIF(M1111:O1111,"NA")=3,0,IF(COUNTA(M1111:O1111)=0,0,IF(OR(AND(M1111=0,AH1111&gt;0),AND(M1111="ns",AI1111&gt;0),AND(M1111="ns",AH1111=0,AI1111=0)),1,IF(OR(AND(M1111&gt;0,AH1111=2),AND(M1111="ns",AH1111=2),AND(M1111="ns",AI1111=0,AH1111&gt;0),M1111=AI1111),0,1))))</f>
        <v>0</v>
      </c>
      <c r="AK1111" s="283">
        <f t="shared" ref="AK1111:AK1117" si="919">COUNTIF(Q1111:R1111,"NS")</f>
        <v>0</v>
      </c>
      <c r="AL1111" s="283">
        <f t="shared" ref="AL1111:AL1117" si="920">SUM(Q1111:R1111)</f>
        <v>0</v>
      </c>
      <c r="AM1111" s="283">
        <f t="shared" ref="AM1111:AM1117" si="921">IF(COUNTIF(P1111:R1111,"NA")=3,0,IF(COUNTA(P1111:R1111)=0,0,IF(OR(AND(P1111=0,AK1111&gt;0),AND(P1111="ns",AL1111&gt;0),AND(P1111="ns",AK1111=0,AL1111=0)),1,IF(OR(AND(P1111&gt;0,AK1111=2),AND(P1111="ns",AK1111=2),AND(P1111="ns",AL1111=0,AK1111&gt;0),P1111=AL1111),0,1))))</f>
        <v>0</v>
      </c>
      <c r="AN1111" s="283">
        <f t="shared" ref="AN1111:AN1117" si="922">COUNTIF(T1111:U1111,"NS")</f>
        <v>0</v>
      </c>
      <c r="AO1111" s="283">
        <f t="shared" ref="AO1111:AO1117" si="923">SUM(T1111:U1111)</f>
        <v>0</v>
      </c>
      <c r="AP1111" s="283">
        <f t="shared" ref="AP1111:AP1117" si="924">IF(COUNTIF(S1111:U1111,"NA")=3,0,IF(COUNTA(S1111:U1111)=0,0,IF(OR(AND(S1111=0,AN1111&gt;0),AND(S1111="ns",AO1111&gt;0),AND(S1111="ns",AN1111=0,AO1111=0)),1,IF(OR(AND(S1111&gt;0,AN1111=2),AND(S1111="ns",AN1111=2),AND(S1111="ns",AO1111=0,AN1111&gt;0),S1111=AO1111),0,1))))</f>
        <v>0</v>
      </c>
      <c r="AQ1111" s="283">
        <f t="shared" ref="AQ1111:AQ1117" si="925">COUNTIF(W1111:X1111,"NS")</f>
        <v>0</v>
      </c>
      <c r="AR1111" s="283">
        <f t="shared" ref="AR1111:AR1117" si="926">SUM(W1111:X1111)</f>
        <v>0</v>
      </c>
      <c r="AS1111" s="283">
        <f t="shared" ref="AS1111:AS1117" si="927">IF(COUNTIF(V1111:X1111,"NA")=3,0,IF(COUNTA(V1111:X1111)=0,0,IF(OR(AND(V1111=0,AQ1111&gt;0),AND(V1111="ns",AR1111&gt;0),AND(V1111="ns",AQ1111=0,AR1111=0)),1,IF(OR(AND(V1111&gt;0,AQ1111=2),AND(V1111="ns",AQ1111=2),AND(V1111="ns",AR1111=0,AQ1111&gt;0),V1111=AR1111),0,1))))</f>
        <v>0</v>
      </c>
      <c r="AT1111" s="283">
        <f t="shared" ref="AT1111:AT1117" si="928">COUNTIF(Z1111:AA1111,"NS")</f>
        <v>0</v>
      </c>
      <c r="AU1111" s="283">
        <f t="shared" ref="AU1111:AU1117" si="929">SUM(Z1111:AA1111)</f>
        <v>0</v>
      </c>
      <c r="AV1111" s="283">
        <f t="shared" ref="AV1111:AV1117" si="930">IF(COUNTIF(Y1111:AA1111,"NA")=3,0,IF(COUNTA(Y1111:AA1111)=0,0,IF(OR(AND(Y1111=0,AT1111&gt;0),AND(Y1111="ns",AU1111&gt;0),AND(Y1111="ns",AT1111=0,AU1111=0)),1,IF(OR(AND(Y1111&gt;0,AT1111=2),AND(Y1111="ns",AT1111=2),AND(Y1111="ns",AU1111=0,AT1111&gt;0),Y1111=AU1111),0,1))))</f>
        <v>0</v>
      </c>
      <c r="AW1111" s="283">
        <f t="shared" ref="AW1111:AW1117" si="931">COUNTIF(AC1111:AD1111,"NS")</f>
        <v>0</v>
      </c>
      <c r="AX1111" s="283">
        <f t="shared" ref="AX1111:AX1117" si="932">SUM(AC1111:AD1111)</f>
        <v>0</v>
      </c>
      <c r="AY1111" s="283">
        <f t="shared" ref="AY1111:AY1117" si="933">IF(COUNTIF(AB1111:AD1111,"NA")=3,0,IF(COUNTA(AB1111:AD1111)=0,0,IF(OR(AND(AB1111=0,AW1111&gt;0),AND(AB1111="ns",AX1111&gt;0),AND(AB1111="ns",AW1111=0,AX1111=0)),1,IF(OR(AND(AB1111&gt;0,AW1111=2),AND(AB1111="ns",AW1111=2),AND(AB1111="ns",AX1111=0,AW1111&gt;0),AB1111=AX1111),0,1))))</f>
        <v>0</v>
      </c>
      <c r="AZ1111" s="283">
        <f t="shared" ref="AZ1111:AZ1117" si="934">COUNTIF(N1125:O1125,"NS")</f>
        <v>0</v>
      </c>
      <c r="BA1111" s="283">
        <f t="shared" ref="BA1111:BA1117" si="935">SUM(N1125:O1125)</f>
        <v>0</v>
      </c>
      <c r="BB1111" s="283">
        <f t="shared" ref="BB1111:BB1117" si="936">IF(COUNTIF(M1125:O1125,"NA")=3,0,IF(COUNTA(M1125:O1125)=0,0,IF(OR(AND(M1125=0,AZ1111&gt;0),AND(M1125="ns",BA1111&gt;0),AND(M1125="ns",AZ1111=0,BA1111=0)),1,IF(OR(AND(M1125&gt;0,AZ1111=2),AND(M1125="ns",AZ1111=2),AND(M1125="ns",BA1111=0,AZ1111&gt;0),M1125=BA1111),0,1))))</f>
        <v>0</v>
      </c>
      <c r="BC1111" s="283">
        <f t="shared" ref="BC1111:BC1117" si="937">COUNTIF(Q1125:R1125,"NS")</f>
        <v>0</v>
      </c>
      <c r="BD1111" s="283">
        <f t="shared" ref="BD1111:BD1117" si="938">SUM(Q1125:R1125)</f>
        <v>0</v>
      </c>
      <c r="BE1111" s="283">
        <f t="shared" ref="BE1111:BE1117" si="939">IF(COUNTIF(P1125:R1125,"NA")=3,0,IF(COUNTA(P1125:R1125)=0,0,IF(OR(AND(P1125=0,BC1111&gt;0),AND(P1125="ns",BD1111&gt;0),AND(P1125="ns",BC1111=0,BD1111=0)),1,IF(OR(AND(P1125&gt;0,BC1111=2),AND(P1125="ns",BC1111=2),AND(P1125="ns",BD1111=0,BC1111&gt;0),P1125=BD1111),0,1))))</f>
        <v>0</v>
      </c>
      <c r="BF1111" s="283">
        <f t="shared" ref="BF1111:BF1117" si="940">COUNTIF(T1125:U1125,"NS")</f>
        <v>0</v>
      </c>
      <c r="BG1111" s="283">
        <f t="shared" ref="BG1111:BG1117" si="941">SUM(T1125:U1125)</f>
        <v>0</v>
      </c>
      <c r="BH1111" s="283">
        <f t="shared" ref="BH1111:BH1117" si="942">IF(COUNTIF(S1125:U1125,"NA")=3,0,IF(COUNTA(S1125:U1125)=0,0,IF(OR(AND(S1125=0,BF1111&gt;0),AND(S1125="ns",BG1111&gt;0),AND(S1125="ns",BF1111=0,BG1111=0)),1,IF(OR(AND(S1125&gt;0,BF1111=2),AND(S1125="ns",BF1111=2),AND(S1125="ns",BG1111=0,BF1111&gt;0),S1125=BG1111),0,1))))</f>
        <v>0</v>
      </c>
      <c r="BI1111" s="283">
        <f t="shared" ref="BI1111:BI1117" si="943">COUNTIF(W1125:X1125,"NS")</f>
        <v>0</v>
      </c>
      <c r="BJ1111" s="283">
        <f t="shared" ref="BJ1111:BJ1117" si="944">SUM(W1125:X1125)</f>
        <v>0</v>
      </c>
      <c r="BK1111" s="283">
        <f t="shared" ref="BK1111:BK1117" si="945">IF(COUNTIF(V1125:X1125,"NA")=3,0,IF(COUNTA(V1125:X1125)=0,0,IF(OR(AND(V1125=0,BI1111&gt;0),AND(V1125="ns",BJ1111&gt;0),AND(V1125="ns",BI1111=0,BJ1111=0)),1,IF(OR(AND(V1125&gt;0,BI1111=2),AND(V1125="ns",BI1111=2),AND(V1125="ns",BJ1111=0,BI1111&gt;0),V1125=BJ1111),0,1))))</f>
        <v>0</v>
      </c>
      <c r="BL1111" s="283">
        <f t="shared" ref="BL1111:BL1117" si="946">COUNTIF(Z1125:AA1125,"NS")</f>
        <v>0</v>
      </c>
      <c r="BM1111" s="283">
        <f t="shared" ref="BM1111:BM1117" si="947">SUM(Z1125:AA1125)</f>
        <v>0</v>
      </c>
      <c r="BN1111" s="283">
        <f t="shared" ref="BN1111:BN1117" si="948">IF(COUNTIF(Y1125:AA1125,"NA")=3,0,IF(COUNTA(Y1125:AA1125)=0,0,IF(OR(AND(Y1125=0,BL1111&gt;0),AND(Y1125="ns",BM1111&gt;0),AND(Y1125="ns",BL1111=0,BM1111=0)),1,IF(OR(AND(Y1125&gt;0,BL1111=2),AND(Y1125="ns",BL1111=2),AND(Y1125="ns",BM1111=0,BL1111&gt;0),Y1125=BM1111),0,1))))</f>
        <v>0</v>
      </c>
      <c r="BO1111" s="283">
        <f t="shared" ref="BO1111:BO1117" si="949">COUNTIF(AC1125:AD1125,"NS")</f>
        <v>0</v>
      </c>
      <c r="BP1111" s="283">
        <f t="shared" ref="BP1111:BP1117" si="950">SUM(AC1125:AD1125)</f>
        <v>0</v>
      </c>
      <c r="BQ1111" s="283">
        <f t="shared" ref="BQ1111:BQ1117" si="951">IF(COUNTIF(AB1125:AD1125,"NA")=3,0,IF(COUNTA(AB1125:AD1125)=0,0,IF(OR(AND(AB1125=0,BO1111&gt;0),AND(AB1125="ns",BP1111&gt;0),AND(AB1125="ns",BO1111=0,BP1111=0)),1,IF(OR(AND(AB1125&gt;0,BO1111=2),AND(AB1125="ns",BO1111=2),AND(AB1125="ns",BP1111=0,BO1111&gt;0),AB1125=BP1111),0,1))))</f>
        <v>0</v>
      </c>
      <c r="BR1111" s="283">
        <f t="shared" ref="BR1111:BR1117" si="952">COUNTIF(N1139:O1139,"NS")</f>
        <v>0</v>
      </c>
      <c r="BS1111" s="283">
        <f t="shared" ref="BS1111:BS1117" si="953">SUM(N1139:O1139)</f>
        <v>0</v>
      </c>
      <c r="BT1111" s="283">
        <f t="shared" ref="BT1111:BT1117" si="954">IF(COUNTIF(M1139:O1139,"NA")=3,0,IF(COUNTA(M1139:O1139)=0,0,IF(OR(AND(M1139=0,BR1111&gt;0),AND(M1139="ns",BS1111&gt;0),AND(M1139="ns",BR1111=0,BS1111=0)),1,IF(OR(AND(M1139&gt;0,BR1111=2),AND(M1139="ns",BR1111=2),AND(M1139="ns",BS1111=0,BR1111&gt;0),M1139=BS1111),0,1))))</f>
        <v>0</v>
      </c>
      <c r="BU1111" s="283">
        <f t="shared" ref="BU1111:BU1117" si="955">COUNTIF(Q1139:R1139,"NS")</f>
        <v>0</v>
      </c>
      <c r="BV1111" s="283">
        <f t="shared" ref="BV1111:BV1117" si="956">SUM(Q1139:R1139)</f>
        <v>0</v>
      </c>
      <c r="BW1111" s="283">
        <f t="shared" ref="BW1111:BW1117" si="957">IF(COUNTIF(P1139:R1139,"NA")=3,0,IF(COUNTA(P1139:R1139)=0,0,IF(OR(AND(P1139=0,BU1111&gt;0),AND(P1139="ns",BV1111&gt;0),AND(P1139="ns",BU1111=0,BV1111=0)),1,IF(OR(AND(P1139&gt;0,BU1111=2),AND(P1139="ns",BU1111=2),AND(P1139="ns",BV1111=0,BU1111&gt;0),P1139=BV1111),0,1))))</f>
        <v>0</v>
      </c>
      <c r="BX1111" s="283">
        <f t="shared" ref="BX1111:BX1117" si="958">COUNTIF(T1139:U1139,"NS")</f>
        <v>0</v>
      </c>
      <c r="BY1111" s="283">
        <f t="shared" ref="BY1111:BY1117" si="959">SUM(T1139:U1139)</f>
        <v>0</v>
      </c>
      <c r="BZ1111" s="283">
        <f t="shared" ref="BZ1111:BZ1117" si="960">IF(COUNTIF(S1139:U1139,"NA")=3,0,IF(COUNTA(S1139:U1139)=0,0,IF(OR(AND(S1139=0,BX1111&gt;0),AND(S1139="ns",BY1111&gt;0),AND(S1139="ns",BX1111=0,BY1111=0)),1,IF(OR(AND(S1139&gt;0,BX1111=2),AND(S1139="ns",BX1111=2),AND(S1139="ns",BY1111=0,BX1111&gt;0),S1139=BY1111),0,1))))</f>
        <v>0</v>
      </c>
      <c r="CA1111" s="283">
        <f t="shared" ref="CA1111:CA1117" si="961">COUNTIF(W1139:X1139,"NS")</f>
        <v>0</v>
      </c>
      <c r="CB1111" s="283">
        <f t="shared" ref="CB1111:CB1117" si="962">SUM(W1139:X1139)</f>
        <v>0</v>
      </c>
      <c r="CC1111" s="283">
        <f t="shared" ref="CC1111:CC1117" si="963">IF(COUNTIF(V1139:X1139,"NA")=3,0,IF(COUNTA(V1139:X1139)=0,0,IF(OR(AND(V1139=0,CA1111&gt;0),AND(V1139="ns",CB1111&gt;0),AND(V1139="ns",CA1111=0,CB1111=0)),1,IF(OR(AND(V1139&gt;0,CA1111=2),AND(V1139="ns",CA1111=2),AND(V1139="ns",CB1111=0,CA1111&gt;0),V1139=CB1111),0,1))))</f>
        <v>0</v>
      </c>
      <c r="CD1111" s="283">
        <f t="shared" ref="CD1111:CD1117" si="964">COUNTIF(Z1139:AA1139,"NS")</f>
        <v>0</v>
      </c>
      <c r="CE1111" s="283">
        <f t="shared" ref="CE1111:CE1117" si="965">SUM(Z1139:AA1139)</f>
        <v>0</v>
      </c>
      <c r="CF1111" s="283">
        <f t="shared" ref="CF1111:CF1117" si="966">IF(COUNTIF(Y1139:AA1139,"NA")=3,0,IF(COUNTA(Y1139:AA1139)=0,0,IF(OR(AND(Y1139=0,CD1111&gt;0),AND(Y1139="ns",CE1111&gt;0),AND(Y1139="ns",CD1111=0,CE1111=0)),1,IF(OR(AND(Y1139&gt;0,CD1111=2),AND(Y1139="ns",CD1111=2),AND(Y1139="ns",CE1111=0,CD1111&gt;0),Y1139=CE1111),0,1))))</f>
        <v>0</v>
      </c>
      <c r="CG1111" s="283">
        <f t="shared" ref="CG1111:CG1117" si="967">COUNTIF(AC1139:AD1139,"NS")</f>
        <v>0</v>
      </c>
      <c r="CH1111" s="283">
        <f t="shared" ref="CH1111:CH1117" si="968">SUM(AC1139:AD1139)</f>
        <v>0</v>
      </c>
      <c r="CI1111" s="283">
        <f t="shared" ref="CI1111:CI1117" si="969">IF(COUNTIF(AB1139:AD1139,"NA")=3,0,IF(COUNTA(AB1139:AD1139)=0,0,IF(OR(AND(AB1139=0,CG1111&gt;0),AND(AB1139="ns",CH1111&gt;0),AND(AB1139="ns",CG1111=0,CH1111=0)),1,IF(OR(AND(AB1139&gt;0,CG1111=2),AND(AB1139="ns",CG1111=2),AND(AB1139="ns",CH1111=0,CG1111&gt;0),AB1139=CH1111),0,1))))</f>
        <v>0</v>
      </c>
    </row>
    <row r="1112" spans="1:87" ht="15" customHeight="1">
      <c r="A1112" s="49"/>
      <c r="B1112" s="38"/>
      <c r="C1112" s="143" t="s">
        <v>2518</v>
      </c>
      <c r="D1112" s="813" t="str">
        <f>IF(CNSIPEE_2024_M2_Secc1!D44="","",CNSIPEE_2024_M2_Secc1!D44)</f>
        <v/>
      </c>
      <c r="E1112" s="814"/>
      <c r="F1112" s="814"/>
      <c r="G1112" s="814"/>
      <c r="H1112" s="814"/>
      <c r="I1112" s="814"/>
      <c r="J1112" s="814"/>
      <c r="K1112" s="814"/>
      <c r="L1112" s="815"/>
      <c r="M1112" s="100"/>
      <c r="N1112" s="100"/>
      <c r="O1112" s="100"/>
      <c r="P1112" s="100"/>
      <c r="Q1112" s="100"/>
      <c r="R1112" s="100"/>
      <c r="S1112" s="100"/>
      <c r="T1112" s="100"/>
      <c r="U1112" s="100"/>
      <c r="V1112" s="100"/>
      <c r="W1112" s="100"/>
      <c r="X1112" s="100"/>
      <c r="Y1112" s="100"/>
      <c r="Z1112" s="100"/>
      <c r="AA1112" s="100"/>
      <c r="AB1112" s="100"/>
      <c r="AC1112" s="100"/>
      <c r="AD1112" s="100"/>
      <c r="AG1112" s="326">
        <f t="shared" si="915"/>
        <v>0</v>
      </c>
      <c r="AH1112" s="283">
        <f t="shared" si="916"/>
        <v>0</v>
      </c>
      <c r="AI1112" s="283">
        <f t="shared" si="917"/>
        <v>0</v>
      </c>
      <c r="AJ1112" s="283">
        <f t="shared" si="918"/>
        <v>0</v>
      </c>
      <c r="AK1112" s="283">
        <f t="shared" si="919"/>
        <v>0</v>
      </c>
      <c r="AL1112" s="283">
        <f t="shared" si="920"/>
        <v>0</v>
      </c>
      <c r="AM1112" s="283">
        <f t="shared" si="921"/>
        <v>0</v>
      </c>
      <c r="AN1112" s="283">
        <f t="shared" si="922"/>
        <v>0</v>
      </c>
      <c r="AO1112" s="283">
        <f t="shared" si="923"/>
        <v>0</v>
      </c>
      <c r="AP1112" s="283">
        <f t="shared" si="924"/>
        <v>0</v>
      </c>
      <c r="AQ1112" s="283">
        <f t="shared" si="925"/>
        <v>0</v>
      </c>
      <c r="AR1112" s="283">
        <f t="shared" si="926"/>
        <v>0</v>
      </c>
      <c r="AS1112" s="283">
        <f t="shared" si="927"/>
        <v>0</v>
      </c>
      <c r="AT1112" s="283">
        <f t="shared" si="928"/>
        <v>0</v>
      </c>
      <c r="AU1112" s="283">
        <f t="shared" si="929"/>
        <v>0</v>
      </c>
      <c r="AV1112" s="283">
        <f t="shared" si="930"/>
        <v>0</v>
      </c>
      <c r="AW1112" s="283">
        <f t="shared" si="931"/>
        <v>0</v>
      </c>
      <c r="AX1112" s="283">
        <f t="shared" si="932"/>
        <v>0</v>
      </c>
      <c r="AY1112" s="283">
        <f t="shared" si="933"/>
        <v>0</v>
      </c>
      <c r="AZ1112" s="283">
        <f t="shared" si="934"/>
        <v>0</v>
      </c>
      <c r="BA1112" s="283">
        <f t="shared" si="935"/>
        <v>0</v>
      </c>
      <c r="BB1112" s="283">
        <f t="shared" si="936"/>
        <v>0</v>
      </c>
      <c r="BC1112" s="283">
        <f t="shared" si="937"/>
        <v>0</v>
      </c>
      <c r="BD1112" s="283">
        <f t="shared" si="938"/>
        <v>0</v>
      </c>
      <c r="BE1112" s="283">
        <f t="shared" si="939"/>
        <v>0</v>
      </c>
      <c r="BF1112" s="283">
        <f t="shared" si="940"/>
        <v>0</v>
      </c>
      <c r="BG1112" s="283">
        <f t="shared" si="941"/>
        <v>0</v>
      </c>
      <c r="BH1112" s="283">
        <f t="shared" si="942"/>
        <v>0</v>
      </c>
      <c r="BI1112" s="283">
        <f t="shared" si="943"/>
        <v>0</v>
      </c>
      <c r="BJ1112" s="283">
        <f t="shared" si="944"/>
        <v>0</v>
      </c>
      <c r="BK1112" s="283">
        <f t="shared" si="945"/>
        <v>0</v>
      </c>
      <c r="BL1112" s="283">
        <f t="shared" si="946"/>
        <v>0</v>
      </c>
      <c r="BM1112" s="283">
        <f t="shared" si="947"/>
        <v>0</v>
      </c>
      <c r="BN1112" s="283">
        <f t="shared" si="948"/>
        <v>0</v>
      </c>
      <c r="BO1112" s="283">
        <f t="shared" si="949"/>
        <v>0</v>
      </c>
      <c r="BP1112" s="283">
        <f t="shared" si="950"/>
        <v>0</v>
      </c>
      <c r="BQ1112" s="283">
        <f t="shared" si="951"/>
        <v>0</v>
      </c>
      <c r="BR1112" s="283">
        <f t="shared" si="952"/>
        <v>0</v>
      </c>
      <c r="BS1112" s="283">
        <f t="shared" si="953"/>
        <v>0</v>
      </c>
      <c r="BT1112" s="283">
        <f t="shared" si="954"/>
        <v>0</v>
      </c>
      <c r="BU1112" s="283">
        <f t="shared" si="955"/>
        <v>0</v>
      </c>
      <c r="BV1112" s="283">
        <f t="shared" si="956"/>
        <v>0</v>
      </c>
      <c r="BW1112" s="283">
        <f t="shared" si="957"/>
        <v>0</v>
      </c>
      <c r="BX1112" s="283">
        <f t="shared" si="958"/>
        <v>0</v>
      </c>
      <c r="BY1112" s="283">
        <f t="shared" si="959"/>
        <v>0</v>
      </c>
      <c r="BZ1112" s="283">
        <f t="shared" si="960"/>
        <v>0</v>
      </c>
      <c r="CA1112" s="283">
        <f t="shared" si="961"/>
        <v>0</v>
      </c>
      <c r="CB1112" s="283">
        <f t="shared" si="962"/>
        <v>0</v>
      </c>
      <c r="CC1112" s="283">
        <f t="shared" si="963"/>
        <v>0</v>
      </c>
      <c r="CD1112" s="283">
        <f t="shared" si="964"/>
        <v>0</v>
      </c>
      <c r="CE1112" s="283">
        <f t="shared" si="965"/>
        <v>0</v>
      </c>
      <c r="CF1112" s="283">
        <f t="shared" si="966"/>
        <v>0</v>
      </c>
      <c r="CG1112" s="283">
        <f t="shared" si="967"/>
        <v>0</v>
      </c>
      <c r="CH1112" s="283">
        <f t="shared" si="968"/>
        <v>0</v>
      </c>
      <c r="CI1112" s="283">
        <f t="shared" si="969"/>
        <v>0</v>
      </c>
    </row>
    <row r="1113" spans="1:87" ht="15" customHeight="1">
      <c r="A1113" s="49"/>
      <c r="B1113" s="38"/>
      <c r="C1113" s="143" t="s">
        <v>2519</v>
      </c>
      <c r="D1113" s="813" t="str">
        <f>IF(CNSIPEE_2024_M2_Secc1!D45="","",CNSIPEE_2024_M2_Secc1!D45)</f>
        <v/>
      </c>
      <c r="E1113" s="814"/>
      <c r="F1113" s="814"/>
      <c r="G1113" s="814"/>
      <c r="H1113" s="814"/>
      <c r="I1113" s="814"/>
      <c r="J1113" s="814"/>
      <c r="K1113" s="814"/>
      <c r="L1113" s="815"/>
      <c r="M1113" s="100"/>
      <c r="N1113" s="100"/>
      <c r="O1113" s="100"/>
      <c r="P1113" s="100"/>
      <c r="Q1113" s="100"/>
      <c r="R1113" s="100"/>
      <c r="S1113" s="100"/>
      <c r="T1113" s="100"/>
      <c r="U1113" s="100"/>
      <c r="V1113" s="100"/>
      <c r="W1113" s="100"/>
      <c r="X1113" s="100"/>
      <c r="Y1113" s="100"/>
      <c r="Z1113" s="100"/>
      <c r="AA1113" s="100"/>
      <c r="AB1113" s="100"/>
      <c r="AC1113" s="100"/>
      <c r="AD1113" s="100"/>
      <c r="AG1113" s="326">
        <f t="shared" si="915"/>
        <v>0</v>
      </c>
      <c r="AH1113" s="283">
        <f t="shared" si="916"/>
        <v>0</v>
      </c>
      <c r="AI1113" s="283">
        <f t="shared" si="917"/>
        <v>0</v>
      </c>
      <c r="AJ1113" s="283">
        <f t="shared" si="918"/>
        <v>0</v>
      </c>
      <c r="AK1113" s="283">
        <f t="shared" si="919"/>
        <v>0</v>
      </c>
      <c r="AL1113" s="283">
        <f t="shared" si="920"/>
        <v>0</v>
      </c>
      <c r="AM1113" s="283">
        <f t="shared" si="921"/>
        <v>0</v>
      </c>
      <c r="AN1113" s="283">
        <f t="shared" si="922"/>
        <v>0</v>
      </c>
      <c r="AO1113" s="283">
        <f t="shared" si="923"/>
        <v>0</v>
      </c>
      <c r="AP1113" s="283">
        <f t="shared" si="924"/>
        <v>0</v>
      </c>
      <c r="AQ1113" s="283">
        <f t="shared" si="925"/>
        <v>0</v>
      </c>
      <c r="AR1113" s="283">
        <f t="shared" si="926"/>
        <v>0</v>
      </c>
      <c r="AS1113" s="283">
        <f t="shared" si="927"/>
        <v>0</v>
      </c>
      <c r="AT1113" s="283">
        <f t="shared" si="928"/>
        <v>0</v>
      </c>
      <c r="AU1113" s="283">
        <f t="shared" si="929"/>
        <v>0</v>
      </c>
      <c r="AV1113" s="283">
        <f t="shared" si="930"/>
        <v>0</v>
      </c>
      <c r="AW1113" s="283">
        <f t="shared" si="931"/>
        <v>0</v>
      </c>
      <c r="AX1113" s="283">
        <f t="shared" si="932"/>
        <v>0</v>
      </c>
      <c r="AY1113" s="283">
        <f t="shared" si="933"/>
        <v>0</v>
      </c>
      <c r="AZ1113" s="283">
        <f t="shared" si="934"/>
        <v>0</v>
      </c>
      <c r="BA1113" s="283">
        <f t="shared" si="935"/>
        <v>0</v>
      </c>
      <c r="BB1113" s="283">
        <f t="shared" si="936"/>
        <v>0</v>
      </c>
      <c r="BC1113" s="283">
        <f t="shared" si="937"/>
        <v>0</v>
      </c>
      <c r="BD1113" s="283">
        <f t="shared" si="938"/>
        <v>0</v>
      </c>
      <c r="BE1113" s="283">
        <f t="shared" si="939"/>
        <v>0</v>
      </c>
      <c r="BF1113" s="283">
        <f t="shared" si="940"/>
        <v>0</v>
      </c>
      <c r="BG1113" s="283">
        <f t="shared" si="941"/>
        <v>0</v>
      </c>
      <c r="BH1113" s="283">
        <f t="shared" si="942"/>
        <v>0</v>
      </c>
      <c r="BI1113" s="283">
        <f t="shared" si="943"/>
        <v>0</v>
      </c>
      <c r="BJ1113" s="283">
        <f t="shared" si="944"/>
        <v>0</v>
      </c>
      <c r="BK1113" s="283">
        <f t="shared" si="945"/>
        <v>0</v>
      </c>
      <c r="BL1113" s="283">
        <f t="shared" si="946"/>
        <v>0</v>
      </c>
      <c r="BM1113" s="283">
        <f t="shared" si="947"/>
        <v>0</v>
      </c>
      <c r="BN1113" s="283">
        <f t="shared" si="948"/>
        <v>0</v>
      </c>
      <c r="BO1113" s="283">
        <f t="shared" si="949"/>
        <v>0</v>
      </c>
      <c r="BP1113" s="283">
        <f t="shared" si="950"/>
        <v>0</v>
      </c>
      <c r="BQ1113" s="283">
        <f t="shared" si="951"/>
        <v>0</v>
      </c>
      <c r="BR1113" s="283">
        <f t="shared" si="952"/>
        <v>0</v>
      </c>
      <c r="BS1113" s="283">
        <f t="shared" si="953"/>
        <v>0</v>
      </c>
      <c r="BT1113" s="283">
        <f t="shared" si="954"/>
        <v>0</v>
      </c>
      <c r="BU1113" s="283">
        <f t="shared" si="955"/>
        <v>0</v>
      </c>
      <c r="BV1113" s="283">
        <f t="shared" si="956"/>
        <v>0</v>
      </c>
      <c r="BW1113" s="283">
        <f t="shared" si="957"/>
        <v>0</v>
      </c>
      <c r="BX1113" s="283">
        <f t="shared" si="958"/>
        <v>0</v>
      </c>
      <c r="BY1113" s="283">
        <f t="shared" si="959"/>
        <v>0</v>
      </c>
      <c r="BZ1113" s="283">
        <f t="shared" si="960"/>
        <v>0</v>
      </c>
      <c r="CA1113" s="283">
        <f t="shared" si="961"/>
        <v>0</v>
      </c>
      <c r="CB1113" s="283">
        <f t="shared" si="962"/>
        <v>0</v>
      </c>
      <c r="CC1113" s="283">
        <f t="shared" si="963"/>
        <v>0</v>
      </c>
      <c r="CD1113" s="283">
        <f t="shared" si="964"/>
        <v>0</v>
      </c>
      <c r="CE1113" s="283">
        <f t="shared" si="965"/>
        <v>0</v>
      </c>
      <c r="CF1113" s="283">
        <f t="shared" si="966"/>
        <v>0</v>
      </c>
      <c r="CG1113" s="283">
        <f t="shared" si="967"/>
        <v>0</v>
      </c>
      <c r="CH1113" s="283">
        <f t="shared" si="968"/>
        <v>0</v>
      </c>
      <c r="CI1113" s="283">
        <f t="shared" si="969"/>
        <v>0</v>
      </c>
    </row>
    <row r="1114" spans="1:87" ht="15" customHeight="1">
      <c r="A1114" s="49"/>
      <c r="B1114" s="38"/>
      <c r="C1114" s="143" t="s">
        <v>2520</v>
      </c>
      <c r="D1114" s="813" t="str">
        <f>IF(CNSIPEE_2024_M2_Secc1!D46="","",CNSIPEE_2024_M2_Secc1!D46)</f>
        <v/>
      </c>
      <c r="E1114" s="814"/>
      <c r="F1114" s="814"/>
      <c r="G1114" s="814"/>
      <c r="H1114" s="814"/>
      <c r="I1114" s="814"/>
      <c r="J1114" s="814"/>
      <c r="K1114" s="814"/>
      <c r="L1114" s="815"/>
      <c r="M1114" s="100"/>
      <c r="N1114" s="100"/>
      <c r="O1114" s="100"/>
      <c r="P1114" s="100"/>
      <c r="Q1114" s="100"/>
      <c r="R1114" s="100"/>
      <c r="S1114" s="100"/>
      <c r="T1114" s="100"/>
      <c r="U1114" s="100"/>
      <c r="V1114" s="100"/>
      <c r="W1114" s="100"/>
      <c r="X1114" s="100"/>
      <c r="Y1114" s="100"/>
      <c r="Z1114" s="100"/>
      <c r="AA1114" s="100"/>
      <c r="AB1114" s="100"/>
      <c r="AC1114" s="100"/>
      <c r="AD1114" s="100"/>
      <c r="AG1114" s="326">
        <f t="shared" si="915"/>
        <v>0</v>
      </c>
      <c r="AH1114" s="283">
        <f t="shared" si="916"/>
        <v>0</v>
      </c>
      <c r="AI1114" s="283">
        <f t="shared" si="917"/>
        <v>0</v>
      </c>
      <c r="AJ1114" s="283">
        <f t="shared" si="918"/>
        <v>0</v>
      </c>
      <c r="AK1114" s="283">
        <f t="shared" si="919"/>
        <v>0</v>
      </c>
      <c r="AL1114" s="283">
        <f t="shared" si="920"/>
        <v>0</v>
      </c>
      <c r="AM1114" s="283">
        <f t="shared" si="921"/>
        <v>0</v>
      </c>
      <c r="AN1114" s="283">
        <f t="shared" si="922"/>
        <v>0</v>
      </c>
      <c r="AO1114" s="283">
        <f t="shared" si="923"/>
        <v>0</v>
      </c>
      <c r="AP1114" s="283">
        <f t="shared" si="924"/>
        <v>0</v>
      </c>
      <c r="AQ1114" s="283">
        <f t="shared" si="925"/>
        <v>0</v>
      </c>
      <c r="AR1114" s="283">
        <f t="shared" si="926"/>
        <v>0</v>
      </c>
      <c r="AS1114" s="283">
        <f t="shared" si="927"/>
        <v>0</v>
      </c>
      <c r="AT1114" s="283">
        <f t="shared" si="928"/>
        <v>0</v>
      </c>
      <c r="AU1114" s="283">
        <f t="shared" si="929"/>
        <v>0</v>
      </c>
      <c r="AV1114" s="283">
        <f t="shared" si="930"/>
        <v>0</v>
      </c>
      <c r="AW1114" s="283">
        <f t="shared" si="931"/>
        <v>0</v>
      </c>
      <c r="AX1114" s="283">
        <f t="shared" si="932"/>
        <v>0</v>
      </c>
      <c r="AY1114" s="283">
        <f t="shared" si="933"/>
        <v>0</v>
      </c>
      <c r="AZ1114" s="283">
        <f t="shared" si="934"/>
        <v>0</v>
      </c>
      <c r="BA1114" s="283">
        <f t="shared" si="935"/>
        <v>0</v>
      </c>
      <c r="BB1114" s="283">
        <f t="shared" si="936"/>
        <v>0</v>
      </c>
      <c r="BC1114" s="283">
        <f t="shared" si="937"/>
        <v>0</v>
      </c>
      <c r="BD1114" s="283">
        <f t="shared" si="938"/>
        <v>0</v>
      </c>
      <c r="BE1114" s="283">
        <f t="shared" si="939"/>
        <v>0</v>
      </c>
      <c r="BF1114" s="283">
        <f t="shared" si="940"/>
        <v>0</v>
      </c>
      <c r="BG1114" s="283">
        <f t="shared" si="941"/>
        <v>0</v>
      </c>
      <c r="BH1114" s="283">
        <f t="shared" si="942"/>
        <v>0</v>
      </c>
      <c r="BI1114" s="283">
        <f t="shared" si="943"/>
        <v>0</v>
      </c>
      <c r="BJ1114" s="283">
        <f t="shared" si="944"/>
        <v>0</v>
      </c>
      <c r="BK1114" s="283">
        <f t="shared" si="945"/>
        <v>0</v>
      </c>
      <c r="BL1114" s="283">
        <f t="shared" si="946"/>
        <v>0</v>
      </c>
      <c r="BM1114" s="283">
        <f t="shared" si="947"/>
        <v>0</v>
      </c>
      <c r="BN1114" s="283">
        <f t="shared" si="948"/>
        <v>0</v>
      </c>
      <c r="BO1114" s="283">
        <f t="shared" si="949"/>
        <v>0</v>
      </c>
      <c r="BP1114" s="283">
        <f t="shared" si="950"/>
        <v>0</v>
      </c>
      <c r="BQ1114" s="283">
        <f t="shared" si="951"/>
        <v>0</v>
      </c>
      <c r="BR1114" s="283">
        <f t="shared" si="952"/>
        <v>0</v>
      </c>
      <c r="BS1114" s="283">
        <f t="shared" si="953"/>
        <v>0</v>
      </c>
      <c r="BT1114" s="283">
        <f t="shared" si="954"/>
        <v>0</v>
      </c>
      <c r="BU1114" s="283">
        <f t="shared" si="955"/>
        <v>0</v>
      </c>
      <c r="BV1114" s="283">
        <f t="shared" si="956"/>
        <v>0</v>
      </c>
      <c r="BW1114" s="283">
        <f t="shared" si="957"/>
        <v>0</v>
      </c>
      <c r="BX1114" s="283">
        <f t="shared" si="958"/>
        <v>0</v>
      </c>
      <c r="BY1114" s="283">
        <f t="shared" si="959"/>
        <v>0</v>
      </c>
      <c r="BZ1114" s="283">
        <f t="shared" si="960"/>
        <v>0</v>
      </c>
      <c r="CA1114" s="283">
        <f t="shared" si="961"/>
        <v>0</v>
      </c>
      <c r="CB1114" s="283">
        <f t="shared" si="962"/>
        <v>0</v>
      </c>
      <c r="CC1114" s="283">
        <f t="shared" si="963"/>
        <v>0</v>
      </c>
      <c r="CD1114" s="283">
        <f t="shared" si="964"/>
        <v>0</v>
      </c>
      <c r="CE1114" s="283">
        <f t="shared" si="965"/>
        <v>0</v>
      </c>
      <c r="CF1114" s="283">
        <f t="shared" si="966"/>
        <v>0</v>
      </c>
      <c r="CG1114" s="283">
        <f t="shared" si="967"/>
        <v>0</v>
      </c>
      <c r="CH1114" s="283">
        <f t="shared" si="968"/>
        <v>0</v>
      </c>
      <c r="CI1114" s="283">
        <f t="shared" si="969"/>
        <v>0</v>
      </c>
    </row>
    <row r="1115" spans="1:87" ht="15" customHeight="1">
      <c r="A1115" s="49"/>
      <c r="B1115" s="38"/>
      <c r="C1115" s="143" t="s">
        <v>2521</v>
      </c>
      <c r="D1115" s="813" t="str">
        <f>IF(CNSIPEE_2024_M2_Secc1!D47="","",CNSIPEE_2024_M2_Secc1!D47)</f>
        <v/>
      </c>
      <c r="E1115" s="814"/>
      <c r="F1115" s="814"/>
      <c r="G1115" s="814"/>
      <c r="H1115" s="814"/>
      <c r="I1115" s="814"/>
      <c r="J1115" s="814"/>
      <c r="K1115" s="814"/>
      <c r="L1115" s="815"/>
      <c r="M1115" s="100"/>
      <c r="N1115" s="100"/>
      <c r="O1115" s="100"/>
      <c r="P1115" s="100"/>
      <c r="Q1115" s="100"/>
      <c r="R1115" s="100"/>
      <c r="S1115" s="100"/>
      <c r="T1115" s="100"/>
      <c r="U1115" s="100"/>
      <c r="V1115" s="100"/>
      <c r="W1115" s="100"/>
      <c r="X1115" s="100"/>
      <c r="Y1115" s="100"/>
      <c r="Z1115" s="100"/>
      <c r="AA1115" s="100"/>
      <c r="AB1115" s="100"/>
      <c r="AC1115" s="100"/>
      <c r="AD1115" s="100"/>
      <c r="AG1115" s="326">
        <f t="shared" si="915"/>
        <v>0</v>
      </c>
      <c r="AH1115" s="283">
        <f t="shared" si="916"/>
        <v>0</v>
      </c>
      <c r="AI1115" s="283">
        <f t="shared" si="917"/>
        <v>0</v>
      </c>
      <c r="AJ1115" s="283">
        <f t="shared" si="918"/>
        <v>0</v>
      </c>
      <c r="AK1115" s="283">
        <f t="shared" si="919"/>
        <v>0</v>
      </c>
      <c r="AL1115" s="283">
        <f t="shared" si="920"/>
        <v>0</v>
      </c>
      <c r="AM1115" s="283">
        <f t="shared" si="921"/>
        <v>0</v>
      </c>
      <c r="AN1115" s="283">
        <f t="shared" si="922"/>
        <v>0</v>
      </c>
      <c r="AO1115" s="283">
        <f t="shared" si="923"/>
        <v>0</v>
      </c>
      <c r="AP1115" s="283">
        <f t="shared" si="924"/>
        <v>0</v>
      </c>
      <c r="AQ1115" s="283">
        <f t="shared" si="925"/>
        <v>0</v>
      </c>
      <c r="AR1115" s="283">
        <f t="shared" si="926"/>
        <v>0</v>
      </c>
      <c r="AS1115" s="283">
        <f t="shared" si="927"/>
        <v>0</v>
      </c>
      <c r="AT1115" s="283">
        <f t="shared" si="928"/>
        <v>0</v>
      </c>
      <c r="AU1115" s="283">
        <f t="shared" si="929"/>
        <v>0</v>
      </c>
      <c r="AV1115" s="283">
        <f t="shared" si="930"/>
        <v>0</v>
      </c>
      <c r="AW1115" s="283">
        <f t="shared" si="931"/>
        <v>0</v>
      </c>
      <c r="AX1115" s="283">
        <f t="shared" si="932"/>
        <v>0</v>
      </c>
      <c r="AY1115" s="283">
        <f t="shared" si="933"/>
        <v>0</v>
      </c>
      <c r="AZ1115" s="283">
        <f t="shared" si="934"/>
        <v>0</v>
      </c>
      <c r="BA1115" s="283">
        <f t="shared" si="935"/>
        <v>0</v>
      </c>
      <c r="BB1115" s="283">
        <f t="shared" si="936"/>
        <v>0</v>
      </c>
      <c r="BC1115" s="283">
        <f t="shared" si="937"/>
        <v>0</v>
      </c>
      <c r="BD1115" s="283">
        <f t="shared" si="938"/>
        <v>0</v>
      </c>
      <c r="BE1115" s="283">
        <f t="shared" si="939"/>
        <v>0</v>
      </c>
      <c r="BF1115" s="283">
        <f t="shared" si="940"/>
        <v>0</v>
      </c>
      <c r="BG1115" s="283">
        <f t="shared" si="941"/>
        <v>0</v>
      </c>
      <c r="BH1115" s="283">
        <f t="shared" si="942"/>
        <v>0</v>
      </c>
      <c r="BI1115" s="283">
        <f t="shared" si="943"/>
        <v>0</v>
      </c>
      <c r="BJ1115" s="283">
        <f t="shared" si="944"/>
        <v>0</v>
      </c>
      <c r="BK1115" s="283">
        <f t="shared" si="945"/>
        <v>0</v>
      </c>
      <c r="BL1115" s="283">
        <f t="shared" si="946"/>
        <v>0</v>
      </c>
      <c r="BM1115" s="283">
        <f t="shared" si="947"/>
        <v>0</v>
      </c>
      <c r="BN1115" s="283">
        <f t="shared" si="948"/>
        <v>0</v>
      </c>
      <c r="BO1115" s="283">
        <f t="shared" si="949"/>
        <v>0</v>
      </c>
      <c r="BP1115" s="283">
        <f t="shared" si="950"/>
        <v>0</v>
      </c>
      <c r="BQ1115" s="283">
        <f t="shared" si="951"/>
        <v>0</v>
      </c>
      <c r="BR1115" s="283">
        <f t="shared" si="952"/>
        <v>0</v>
      </c>
      <c r="BS1115" s="283">
        <f t="shared" si="953"/>
        <v>0</v>
      </c>
      <c r="BT1115" s="283">
        <f t="shared" si="954"/>
        <v>0</v>
      </c>
      <c r="BU1115" s="283">
        <f t="shared" si="955"/>
        <v>0</v>
      </c>
      <c r="BV1115" s="283">
        <f t="shared" si="956"/>
        <v>0</v>
      </c>
      <c r="BW1115" s="283">
        <f t="shared" si="957"/>
        <v>0</v>
      </c>
      <c r="BX1115" s="283">
        <f t="shared" si="958"/>
        <v>0</v>
      </c>
      <c r="BY1115" s="283">
        <f t="shared" si="959"/>
        <v>0</v>
      </c>
      <c r="BZ1115" s="283">
        <f t="shared" si="960"/>
        <v>0</v>
      </c>
      <c r="CA1115" s="283">
        <f t="shared" si="961"/>
        <v>0</v>
      </c>
      <c r="CB1115" s="283">
        <f t="shared" si="962"/>
        <v>0</v>
      </c>
      <c r="CC1115" s="283">
        <f t="shared" si="963"/>
        <v>0</v>
      </c>
      <c r="CD1115" s="283">
        <f t="shared" si="964"/>
        <v>0</v>
      </c>
      <c r="CE1115" s="283">
        <f t="shared" si="965"/>
        <v>0</v>
      </c>
      <c r="CF1115" s="283">
        <f t="shared" si="966"/>
        <v>0</v>
      </c>
      <c r="CG1115" s="283">
        <f t="shared" si="967"/>
        <v>0</v>
      </c>
      <c r="CH1115" s="283">
        <f t="shared" si="968"/>
        <v>0</v>
      </c>
      <c r="CI1115" s="283">
        <f t="shared" si="969"/>
        <v>0</v>
      </c>
    </row>
    <row r="1116" spans="1:87" ht="15" customHeight="1">
      <c r="A1116" s="49"/>
      <c r="B1116" s="38"/>
      <c r="C1116" s="143" t="s">
        <v>2522</v>
      </c>
      <c r="D1116" s="813" t="str">
        <f>IF(CNSIPEE_2024_M2_Secc1!D48="","",CNSIPEE_2024_M2_Secc1!D48)</f>
        <v/>
      </c>
      <c r="E1116" s="814"/>
      <c r="F1116" s="814"/>
      <c r="G1116" s="814"/>
      <c r="H1116" s="814"/>
      <c r="I1116" s="814"/>
      <c r="J1116" s="814"/>
      <c r="K1116" s="814"/>
      <c r="L1116" s="815"/>
      <c r="M1116" s="100"/>
      <c r="N1116" s="100"/>
      <c r="O1116" s="100"/>
      <c r="P1116" s="100"/>
      <c r="Q1116" s="100"/>
      <c r="R1116" s="100"/>
      <c r="S1116" s="100"/>
      <c r="T1116" s="100"/>
      <c r="U1116" s="100"/>
      <c r="V1116" s="100"/>
      <c r="W1116" s="100"/>
      <c r="X1116" s="100"/>
      <c r="Y1116" s="100"/>
      <c r="Z1116" s="100"/>
      <c r="AA1116" s="100"/>
      <c r="AB1116" s="100"/>
      <c r="AC1116" s="100"/>
      <c r="AD1116" s="100"/>
      <c r="AG1116" s="326">
        <f t="shared" si="915"/>
        <v>0</v>
      </c>
      <c r="AH1116" s="283">
        <f t="shared" si="916"/>
        <v>0</v>
      </c>
      <c r="AI1116" s="283">
        <f t="shared" si="917"/>
        <v>0</v>
      </c>
      <c r="AJ1116" s="283">
        <f t="shared" si="918"/>
        <v>0</v>
      </c>
      <c r="AK1116" s="283">
        <f t="shared" si="919"/>
        <v>0</v>
      </c>
      <c r="AL1116" s="283">
        <f t="shared" si="920"/>
        <v>0</v>
      </c>
      <c r="AM1116" s="283">
        <f t="shared" si="921"/>
        <v>0</v>
      </c>
      <c r="AN1116" s="283">
        <f t="shared" si="922"/>
        <v>0</v>
      </c>
      <c r="AO1116" s="283">
        <f t="shared" si="923"/>
        <v>0</v>
      </c>
      <c r="AP1116" s="283">
        <f t="shared" si="924"/>
        <v>0</v>
      </c>
      <c r="AQ1116" s="283">
        <f t="shared" si="925"/>
        <v>0</v>
      </c>
      <c r="AR1116" s="283">
        <f t="shared" si="926"/>
        <v>0</v>
      </c>
      <c r="AS1116" s="283">
        <f t="shared" si="927"/>
        <v>0</v>
      </c>
      <c r="AT1116" s="283">
        <f t="shared" si="928"/>
        <v>0</v>
      </c>
      <c r="AU1116" s="283">
        <f t="shared" si="929"/>
        <v>0</v>
      </c>
      <c r="AV1116" s="283">
        <f t="shared" si="930"/>
        <v>0</v>
      </c>
      <c r="AW1116" s="283">
        <f t="shared" si="931"/>
        <v>0</v>
      </c>
      <c r="AX1116" s="283">
        <f t="shared" si="932"/>
        <v>0</v>
      </c>
      <c r="AY1116" s="283">
        <f t="shared" si="933"/>
        <v>0</v>
      </c>
      <c r="AZ1116" s="283">
        <f t="shared" si="934"/>
        <v>0</v>
      </c>
      <c r="BA1116" s="283">
        <f t="shared" si="935"/>
        <v>0</v>
      </c>
      <c r="BB1116" s="283">
        <f t="shared" si="936"/>
        <v>0</v>
      </c>
      <c r="BC1116" s="283">
        <f t="shared" si="937"/>
        <v>0</v>
      </c>
      <c r="BD1116" s="283">
        <f t="shared" si="938"/>
        <v>0</v>
      </c>
      <c r="BE1116" s="283">
        <f t="shared" si="939"/>
        <v>0</v>
      </c>
      <c r="BF1116" s="283">
        <f t="shared" si="940"/>
        <v>0</v>
      </c>
      <c r="BG1116" s="283">
        <f t="shared" si="941"/>
        <v>0</v>
      </c>
      <c r="BH1116" s="283">
        <f t="shared" si="942"/>
        <v>0</v>
      </c>
      <c r="BI1116" s="283">
        <f t="shared" si="943"/>
        <v>0</v>
      </c>
      <c r="BJ1116" s="283">
        <f t="shared" si="944"/>
        <v>0</v>
      </c>
      <c r="BK1116" s="283">
        <f t="shared" si="945"/>
        <v>0</v>
      </c>
      <c r="BL1116" s="283">
        <f t="shared" si="946"/>
        <v>0</v>
      </c>
      <c r="BM1116" s="283">
        <f t="shared" si="947"/>
        <v>0</v>
      </c>
      <c r="BN1116" s="283">
        <f t="shared" si="948"/>
        <v>0</v>
      </c>
      <c r="BO1116" s="283">
        <f t="shared" si="949"/>
        <v>0</v>
      </c>
      <c r="BP1116" s="283">
        <f t="shared" si="950"/>
        <v>0</v>
      </c>
      <c r="BQ1116" s="283">
        <f t="shared" si="951"/>
        <v>0</v>
      </c>
      <c r="BR1116" s="283">
        <f t="shared" si="952"/>
        <v>0</v>
      </c>
      <c r="BS1116" s="283">
        <f t="shared" si="953"/>
        <v>0</v>
      </c>
      <c r="BT1116" s="283">
        <f t="shared" si="954"/>
        <v>0</v>
      </c>
      <c r="BU1116" s="283">
        <f t="shared" si="955"/>
        <v>0</v>
      </c>
      <c r="BV1116" s="283">
        <f t="shared" si="956"/>
        <v>0</v>
      </c>
      <c r="BW1116" s="283">
        <f t="shared" si="957"/>
        <v>0</v>
      </c>
      <c r="BX1116" s="283">
        <f t="shared" si="958"/>
        <v>0</v>
      </c>
      <c r="BY1116" s="283">
        <f t="shared" si="959"/>
        <v>0</v>
      </c>
      <c r="BZ1116" s="283">
        <f t="shared" si="960"/>
        <v>0</v>
      </c>
      <c r="CA1116" s="283">
        <f t="shared" si="961"/>
        <v>0</v>
      </c>
      <c r="CB1116" s="283">
        <f t="shared" si="962"/>
        <v>0</v>
      </c>
      <c r="CC1116" s="283">
        <f t="shared" si="963"/>
        <v>0</v>
      </c>
      <c r="CD1116" s="283">
        <f t="shared" si="964"/>
        <v>0</v>
      </c>
      <c r="CE1116" s="283">
        <f t="shared" si="965"/>
        <v>0</v>
      </c>
      <c r="CF1116" s="283">
        <f t="shared" si="966"/>
        <v>0</v>
      </c>
      <c r="CG1116" s="283">
        <f t="shared" si="967"/>
        <v>0</v>
      </c>
      <c r="CH1116" s="283">
        <f t="shared" si="968"/>
        <v>0</v>
      </c>
      <c r="CI1116" s="283">
        <f t="shared" si="969"/>
        <v>0</v>
      </c>
    </row>
    <row r="1117" spans="1:87" ht="15" customHeight="1">
      <c r="A1117" s="49"/>
      <c r="B1117" s="38"/>
      <c r="C1117" s="143" t="s">
        <v>2523</v>
      </c>
      <c r="D1117" s="813" t="str">
        <f>IF(CNSIPEE_2024_M2_Secc1!D49="","",CNSIPEE_2024_M2_Secc1!D49)</f>
        <v/>
      </c>
      <c r="E1117" s="814"/>
      <c r="F1117" s="814"/>
      <c r="G1117" s="814"/>
      <c r="H1117" s="814"/>
      <c r="I1117" s="814"/>
      <c r="J1117" s="814"/>
      <c r="K1117" s="814"/>
      <c r="L1117" s="815"/>
      <c r="M1117" s="100"/>
      <c r="N1117" s="100"/>
      <c r="O1117" s="100"/>
      <c r="P1117" s="100"/>
      <c r="Q1117" s="100"/>
      <c r="R1117" s="100"/>
      <c r="S1117" s="100"/>
      <c r="T1117" s="100"/>
      <c r="U1117" s="100"/>
      <c r="V1117" s="100"/>
      <c r="W1117" s="100"/>
      <c r="X1117" s="100"/>
      <c r="Y1117" s="100"/>
      <c r="Z1117" s="100"/>
      <c r="AA1117" s="100"/>
      <c r="AB1117" s="100"/>
      <c r="AC1117" s="100"/>
      <c r="AD1117" s="100"/>
      <c r="AG1117" s="326">
        <f t="shared" si="915"/>
        <v>0</v>
      </c>
      <c r="AH1117" s="283">
        <f t="shared" si="916"/>
        <v>0</v>
      </c>
      <c r="AI1117" s="283">
        <f t="shared" si="917"/>
        <v>0</v>
      </c>
      <c r="AJ1117" s="283">
        <f t="shared" si="918"/>
        <v>0</v>
      </c>
      <c r="AK1117" s="283">
        <f t="shared" si="919"/>
        <v>0</v>
      </c>
      <c r="AL1117" s="283">
        <f t="shared" si="920"/>
        <v>0</v>
      </c>
      <c r="AM1117" s="283">
        <f t="shared" si="921"/>
        <v>0</v>
      </c>
      <c r="AN1117" s="283">
        <f t="shared" si="922"/>
        <v>0</v>
      </c>
      <c r="AO1117" s="283">
        <f t="shared" si="923"/>
        <v>0</v>
      </c>
      <c r="AP1117" s="283">
        <f t="shared" si="924"/>
        <v>0</v>
      </c>
      <c r="AQ1117" s="283">
        <f t="shared" si="925"/>
        <v>0</v>
      </c>
      <c r="AR1117" s="283">
        <f t="shared" si="926"/>
        <v>0</v>
      </c>
      <c r="AS1117" s="283">
        <f t="shared" si="927"/>
        <v>0</v>
      </c>
      <c r="AT1117" s="283">
        <f t="shared" si="928"/>
        <v>0</v>
      </c>
      <c r="AU1117" s="283">
        <f t="shared" si="929"/>
        <v>0</v>
      </c>
      <c r="AV1117" s="283">
        <f t="shared" si="930"/>
        <v>0</v>
      </c>
      <c r="AW1117" s="283">
        <f t="shared" si="931"/>
        <v>0</v>
      </c>
      <c r="AX1117" s="283">
        <f t="shared" si="932"/>
        <v>0</v>
      </c>
      <c r="AY1117" s="283">
        <f t="shared" si="933"/>
        <v>0</v>
      </c>
      <c r="AZ1117" s="283">
        <f t="shared" si="934"/>
        <v>0</v>
      </c>
      <c r="BA1117" s="283">
        <f t="shared" si="935"/>
        <v>0</v>
      </c>
      <c r="BB1117" s="283">
        <f t="shared" si="936"/>
        <v>0</v>
      </c>
      <c r="BC1117" s="283">
        <f t="shared" si="937"/>
        <v>0</v>
      </c>
      <c r="BD1117" s="283">
        <f t="shared" si="938"/>
        <v>0</v>
      </c>
      <c r="BE1117" s="283">
        <f t="shared" si="939"/>
        <v>0</v>
      </c>
      <c r="BF1117" s="283">
        <f t="shared" si="940"/>
        <v>0</v>
      </c>
      <c r="BG1117" s="283">
        <f t="shared" si="941"/>
        <v>0</v>
      </c>
      <c r="BH1117" s="283">
        <f t="shared" si="942"/>
        <v>0</v>
      </c>
      <c r="BI1117" s="283">
        <f t="shared" si="943"/>
        <v>0</v>
      </c>
      <c r="BJ1117" s="283">
        <f t="shared" si="944"/>
        <v>0</v>
      </c>
      <c r="BK1117" s="283">
        <f t="shared" si="945"/>
        <v>0</v>
      </c>
      <c r="BL1117" s="283">
        <f t="shared" si="946"/>
        <v>0</v>
      </c>
      <c r="BM1117" s="283">
        <f t="shared" si="947"/>
        <v>0</v>
      </c>
      <c r="BN1117" s="283">
        <f t="shared" si="948"/>
        <v>0</v>
      </c>
      <c r="BO1117" s="283">
        <f t="shared" si="949"/>
        <v>0</v>
      </c>
      <c r="BP1117" s="283">
        <f t="shared" si="950"/>
        <v>0</v>
      </c>
      <c r="BQ1117" s="283">
        <f t="shared" si="951"/>
        <v>0</v>
      </c>
      <c r="BR1117" s="283">
        <f t="shared" si="952"/>
        <v>0</v>
      </c>
      <c r="BS1117" s="283">
        <f t="shared" si="953"/>
        <v>0</v>
      </c>
      <c r="BT1117" s="283">
        <f t="shared" si="954"/>
        <v>0</v>
      </c>
      <c r="BU1117" s="283">
        <f t="shared" si="955"/>
        <v>0</v>
      </c>
      <c r="BV1117" s="283">
        <f t="shared" si="956"/>
        <v>0</v>
      </c>
      <c r="BW1117" s="283">
        <f t="shared" si="957"/>
        <v>0</v>
      </c>
      <c r="BX1117" s="283">
        <f t="shared" si="958"/>
        <v>0</v>
      </c>
      <c r="BY1117" s="283">
        <f t="shared" si="959"/>
        <v>0</v>
      </c>
      <c r="BZ1117" s="283">
        <f t="shared" si="960"/>
        <v>0</v>
      </c>
      <c r="CA1117" s="283">
        <f t="shared" si="961"/>
        <v>0</v>
      </c>
      <c r="CB1117" s="283">
        <f t="shared" si="962"/>
        <v>0</v>
      </c>
      <c r="CC1117" s="283">
        <f t="shared" si="963"/>
        <v>0</v>
      </c>
      <c r="CD1117" s="283">
        <f t="shared" si="964"/>
        <v>0</v>
      </c>
      <c r="CE1117" s="283">
        <f t="shared" si="965"/>
        <v>0</v>
      </c>
      <c r="CF1117" s="283">
        <f t="shared" si="966"/>
        <v>0</v>
      </c>
      <c r="CG1117" s="283">
        <f t="shared" si="967"/>
        <v>0</v>
      </c>
      <c r="CH1117" s="283">
        <f t="shared" si="968"/>
        <v>0</v>
      </c>
      <c r="CI1117" s="283">
        <f t="shared" si="969"/>
        <v>0</v>
      </c>
    </row>
    <row r="1118" spans="1:87" ht="15" customHeight="1">
      <c r="A1118" s="49"/>
      <c r="B1118" s="38"/>
      <c r="C1118" s="70"/>
      <c r="D1118" s="84"/>
      <c r="E1118" s="84"/>
      <c r="F1118" s="84"/>
      <c r="G1118" s="84"/>
      <c r="H1118" s="84"/>
      <c r="I1118" s="117"/>
      <c r="J1118" s="51"/>
      <c r="K1118" s="117"/>
      <c r="L1118" s="117" t="s">
        <v>2649</v>
      </c>
      <c r="M1118" s="124">
        <f>IF(AND(SUM(M1110:M1117)=0,COUNTIF(M1110:M1117,"NS")&gt;0),"NS",
IF(AND(SUM(M1110:M1117)=0,COUNTIF(M1110:M1117,0)&gt;0),0,
IF(AND(SUM(M1110:M1117)=0,COUNTIF(M1110:M1117,"NA")&gt;0),"NA",
SUM(M1110:M1117))))</f>
        <v>0</v>
      </c>
      <c r="N1118" s="124">
        <f t="shared" ref="N1118:AD1118" si="970">IF(AND(SUM(N1110:N1117)=0,COUNTIF(N1110:N1117,"NS")&gt;0),"NS",
IF(AND(SUM(N1110:N1117)=0,COUNTIF(N1110:N1117,0)&gt;0),0,
IF(AND(SUM(N1110:N1117)=0,COUNTIF(N1110:N1117,"NA")&gt;0),"NA",
SUM(N1110:N1117))))</f>
        <v>0</v>
      </c>
      <c r="O1118" s="124">
        <f t="shared" si="970"/>
        <v>0</v>
      </c>
      <c r="P1118" s="124">
        <f t="shared" si="970"/>
        <v>0</v>
      </c>
      <c r="Q1118" s="124">
        <f t="shared" si="970"/>
        <v>0</v>
      </c>
      <c r="R1118" s="124">
        <f t="shared" si="970"/>
        <v>0</v>
      </c>
      <c r="S1118" s="124">
        <f t="shared" si="970"/>
        <v>0</v>
      </c>
      <c r="T1118" s="124">
        <f t="shared" si="970"/>
        <v>0</v>
      </c>
      <c r="U1118" s="124">
        <f t="shared" si="970"/>
        <v>0</v>
      </c>
      <c r="V1118" s="124">
        <f t="shared" si="970"/>
        <v>0</v>
      </c>
      <c r="W1118" s="124">
        <f t="shared" si="970"/>
        <v>0</v>
      </c>
      <c r="X1118" s="124">
        <f t="shared" si="970"/>
        <v>0</v>
      </c>
      <c r="Y1118" s="124">
        <f t="shared" si="970"/>
        <v>0</v>
      </c>
      <c r="Z1118" s="124">
        <f t="shared" si="970"/>
        <v>0</v>
      </c>
      <c r="AA1118" s="124">
        <f t="shared" si="970"/>
        <v>0</v>
      </c>
      <c r="AB1118" s="124">
        <f t="shared" si="970"/>
        <v>0</v>
      </c>
      <c r="AC1118" s="124">
        <f t="shared" si="970"/>
        <v>0</v>
      </c>
      <c r="AD1118" s="124">
        <f t="shared" si="970"/>
        <v>0</v>
      </c>
      <c r="AG1118" s="354">
        <f>SUM(AG1110:AG1117)</f>
        <v>0</v>
      </c>
      <c r="AH1118" s="406">
        <f>SUM(AH1110:AH1117)</f>
        <v>0</v>
      </c>
      <c r="AI1118" s="326"/>
      <c r="AJ1118" s="352">
        <f>SUM(AJ1110:AJ1117)</f>
        <v>0</v>
      </c>
      <c r="AK1118" s="406">
        <f t="shared" ref="AK1118" si="971">SUM(AK1110:AK1117)</f>
        <v>0</v>
      </c>
      <c r="AL1118" s="326"/>
      <c r="AM1118" s="352">
        <f t="shared" ref="AM1118:AN1118" si="972">SUM(AM1110:AM1117)</f>
        <v>0</v>
      </c>
      <c r="AN1118" s="406">
        <f t="shared" si="972"/>
        <v>0</v>
      </c>
      <c r="AO1118" s="326"/>
      <c r="AP1118" s="352">
        <f t="shared" ref="AP1118:AQ1118" si="973">SUM(AP1110:AP1117)</f>
        <v>0</v>
      </c>
      <c r="AQ1118" s="406">
        <f t="shared" si="973"/>
        <v>0</v>
      </c>
      <c r="AR1118" s="326"/>
      <c r="AS1118" s="352">
        <f t="shared" ref="AS1118:AT1118" si="974">SUM(AS1110:AS1117)</f>
        <v>0</v>
      </c>
      <c r="AT1118" s="406">
        <f t="shared" si="974"/>
        <v>0</v>
      </c>
      <c r="AU1118" s="326"/>
      <c r="AV1118" s="352">
        <f t="shared" ref="AV1118:AW1118" si="975">SUM(AV1110:AV1117)</f>
        <v>0</v>
      </c>
      <c r="AW1118" s="406">
        <f t="shared" si="975"/>
        <v>0</v>
      </c>
      <c r="AX1118" s="326"/>
      <c r="AY1118" s="352">
        <f t="shared" ref="AY1118:AZ1118" si="976">SUM(AY1110:AY1117)</f>
        <v>0</v>
      </c>
      <c r="AZ1118" s="406">
        <f t="shared" si="976"/>
        <v>0</v>
      </c>
      <c r="BA1118" s="326"/>
      <c r="BB1118" s="352">
        <f t="shared" ref="BB1118:BC1118" si="977">SUM(BB1110:BB1117)</f>
        <v>0</v>
      </c>
      <c r="BC1118" s="406">
        <f t="shared" si="977"/>
        <v>0</v>
      </c>
      <c r="BD1118" s="326"/>
      <c r="BE1118" s="352">
        <f t="shared" ref="BE1118:BF1118" si="978">SUM(BE1110:BE1117)</f>
        <v>0</v>
      </c>
      <c r="BF1118" s="406">
        <f t="shared" si="978"/>
        <v>0</v>
      </c>
      <c r="BG1118" s="326"/>
      <c r="BH1118" s="352">
        <f t="shared" ref="BH1118:BI1118" si="979">SUM(BH1110:BH1117)</f>
        <v>0</v>
      </c>
      <c r="BI1118" s="406">
        <f t="shared" si="979"/>
        <v>0</v>
      </c>
      <c r="BJ1118" s="326"/>
      <c r="BK1118" s="352">
        <f t="shared" ref="BK1118:BL1118" si="980">SUM(BK1110:BK1117)</f>
        <v>0</v>
      </c>
      <c r="BL1118" s="406">
        <f t="shared" si="980"/>
        <v>0</v>
      </c>
      <c r="BM1118" s="326"/>
      <c r="BN1118" s="352">
        <f t="shared" ref="BN1118:BO1118" si="981">SUM(BN1110:BN1117)</f>
        <v>0</v>
      </c>
      <c r="BO1118" s="406">
        <f t="shared" si="981"/>
        <v>0</v>
      </c>
      <c r="BP1118" s="326"/>
      <c r="BQ1118" s="352">
        <f t="shared" ref="BQ1118:BR1118" si="982">SUM(BQ1110:BQ1117)</f>
        <v>0</v>
      </c>
      <c r="BR1118" s="406">
        <f t="shared" si="982"/>
        <v>0</v>
      </c>
      <c r="BS1118" s="326"/>
      <c r="BT1118" s="352">
        <f t="shared" ref="BT1118:BU1118" si="983">SUM(BT1110:BT1117)</f>
        <v>0</v>
      </c>
      <c r="BU1118" s="406">
        <f t="shared" si="983"/>
        <v>0</v>
      </c>
      <c r="BV1118" s="326"/>
      <c r="BW1118" s="352">
        <f t="shared" ref="BW1118:BX1118" si="984">SUM(BW1110:BW1117)</f>
        <v>0</v>
      </c>
      <c r="BX1118" s="406">
        <f t="shared" si="984"/>
        <v>0</v>
      </c>
      <c r="BY1118" s="326"/>
      <c r="BZ1118" s="352">
        <f t="shared" ref="BZ1118:CA1118" si="985">SUM(BZ1110:BZ1117)</f>
        <v>0</v>
      </c>
      <c r="CA1118" s="406">
        <f t="shared" si="985"/>
        <v>0</v>
      </c>
      <c r="CB1118" s="326"/>
      <c r="CC1118" s="352">
        <f t="shared" ref="CC1118:CD1118" si="986">SUM(CC1110:CC1117)</f>
        <v>0</v>
      </c>
      <c r="CD1118" s="406">
        <f t="shared" si="986"/>
        <v>0</v>
      </c>
      <c r="CE1118" s="326"/>
      <c r="CF1118" s="352">
        <f t="shared" ref="CF1118:CG1118" si="987">SUM(CF1110:CF1117)</f>
        <v>0</v>
      </c>
      <c r="CG1118" s="406">
        <f t="shared" si="987"/>
        <v>0</v>
      </c>
      <c r="CH1118" s="326"/>
      <c r="CI1118" s="352">
        <f t="shared" ref="CI1118" si="988">SUM(CI1110:CI1117)</f>
        <v>0</v>
      </c>
    </row>
    <row r="1119" spans="1:87" ht="15" customHeight="1">
      <c r="A1119" s="49"/>
      <c r="B1119" s="38"/>
      <c r="C1119" s="70"/>
      <c r="D1119" s="84"/>
      <c r="E1119" s="84"/>
      <c r="F1119" s="84"/>
      <c r="G1119" s="84"/>
      <c r="H1119" s="84"/>
      <c r="I1119" s="117"/>
      <c r="J1119" s="84"/>
      <c r="K1119" s="84"/>
      <c r="L1119" s="84"/>
      <c r="M1119" s="70"/>
      <c r="N1119" s="70"/>
      <c r="O1119" s="70"/>
      <c r="P1119" s="70"/>
      <c r="Q1119" s="70"/>
      <c r="R1119" s="70"/>
      <c r="S1119" s="70"/>
      <c r="T1119" s="70"/>
      <c r="U1119" s="70"/>
      <c r="V1119" s="70"/>
      <c r="W1119" s="70"/>
      <c r="X1119" s="70"/>
      <c r="Y1119" s="70"/>
      <c r="Z1119" s="70"/>
      <c r="AA1119" s="70"/>
      <c r="AB1119" s="70"/>
      <c r="AC1119" s="70"/>
      <c r="AD1119" s="70"/>
    </row>
    <row r="1120" spans="1:87" ht="15">
      <c r="A1120" s="94"/>
      <c r="AA1120" s="875" t="s">
        <v>3233</v>
      </c>
      <c r="AB1120" s="875"/>
      <c r="AC1120" s="875"/>
      <c r="AD1120" s="875"/>
      <c r="AJ1120" s="356" t="s">
        <v>2650</v>
      </c>
      <c r="AK1120" s="283">
        <f>SUM(AJ1118,AM1118,AP1118,AS1118,AV1118,AY1118,BB1118,BE1118,BH1118,BK1118,BN1118,BQ1118,BT1118,BW1118,BZ1118,CC1118,CF1118,CI1118)</f>
        <v>0</v>
      </c>
      <c r="AL1120" s="355" t="s">
        <v>2651</v>
      </c>
      <c r="AM1120" s="283">
        <f>SUM(AH1118,AK1118,AN1118,AQ1118,AT1118,AW1118,AZ1118,BC1118,BF1118,BI1118,BL1118,BO1118,BR1118,BU1118,BX1118,CA1118,CD1118,CG1118)</f>
        <v>0</v>
      </c>
      <c r="AN1120" s="283"/>
      <c r="AO1120" s="283"/>
    </row>
    <row r="1121" spans="1:90" ht="24" customHeight="1">
      <c r="A1121" s="49"/>
      <c r="B1121" s="38"/>
      <c r="C1121" s="732" t="s">
        <v>2581</v>
      </c>
      <c r="D1121" s="732"/>
      <c r="E1121" s="732"/>
      <c r="F1121" s="732"/>
      <c r="G1121" s="732"/>
      <c r="H1121" s="732"/>
      <c r="I1121" s="732"/>
      <c r="J1121" s="732"/>
      <c r="K1121" s="732"/>
      <c r="L1121" s="732"/>
      <c r="M1121" s="739" t="s">
        <v>3722</v>
      </c>
      <c r="N1121" s="740"/>
      <c r="O1121" s="740"/>
      <c r="P1121" s="740"/>
      <c r="Q1121" s="740"/>
      <c r="R1121" s="740"/>
      <c r="S1121" s="740"/>
      <c r="T1121" s="740"/>
      <c r="U1121" s="740"/>
      <c r="V1121" s="740"/>
      <c r="W1121" s="740"/>
      <c r="X1121" s="740"/>
      <c r="Y1121" s="740"/>
      <c r="Z1121" s="740"/>
      <c r="AA1121" s="740"/>
      <c r="AB1121" s="740"/>
      <c r="AC1121" s="740"/>
      <c r="AD1121" s="741"/>
      <c r="AJ1121" s="356" t="s">
        <v>2652</v>
      </c>
      <c r="AK1121" s="438">
        <f>IF(AM1120&gt;0,IF(SUM(M1118)&gt;=SUM(P1118,S1118,V1118,Y1118,AB1118,M1132,P1132,S1132,V1132,Y1132,AB1132,M1146,P1146,S1146,V1146,Y1146,AB1146),0,1),IF(SUM(M1118)&lt;&gt;SUM(P1118,S1118,V1118,Y1118,AB1118,M1132,P1132,S1132,V1132,Y1132,AB1132,M1146,P1146,S1146,V1146,Y1146,AB1146),1,0))</f>
        <v>0</v>
      </c>
      <c r="AL1121" s="357" t="s">
        <v>2653</v>
      </c>
      <c r="AM1121" s="438">
        <f>IF(AM1120&gt;0,IF(SUM(N1118)&gt;=SUM(Q1118,T1118,W1118,Z1118,AC1118,N1132,Q1132,T1132,W1132,Z1132,AC1132,N1146,Q1146,T1146,W1146,Z1146,AC1146),0,1),IF(SUM(N1118)&lt;&gt;SUM(Q1118,T1118,W1118,Z1118,AC1118,N1132,Q1132,T1132,W1132,Z1132,AC1132,N1146,Q1146,T1146,W1146,Z1146,AC1146),1,0))</f>
        <v>0</v>
      </c>
      <c r="AN1121" s="357" t="s">
        <v>2654</v>
      </c>
      <c r="AO1121" s="438">
        <f>IF(AM1120&gt;0,IF(SUM(O1118)&gt;=SUM(R1118,U1118,X1118,AA1118,AD1118,O1132,R1132,U1132,X1132,AA1132,AD1132,O1146,R1146,U1146,X1146,AA1146,AD1146),0,1),IF(SUM(O1118)&lt;&gt;SUM(R1118,U1118,X1118,AA1118,AD1118,O1132,R1132,U1132,X1132,AA1132,AD1132,O1146,R1146,U1146,X1146,AA1146,AD1146),1,0))</f>
        <v>0</v>
      </c>
    </row>
    <row r="1122" spans="1:90" ht="216" customHeight="1">
      <c r="A1122" s="49"/>
      <c r="B1122" s="38"/>
      <c r="C1122" s="732"/>
      <c r="D1122" s="732"/>
      <c r="E1122" s="732"/>
      <c r="F1122" s="732"/>
      <c r="G1122" s="732"/>
      <c r="H1122" s="732"/>
      <c r="I1122" s="732"/>
      <c r="J1122" s="732"/>
      <c r="K1122" s="732"/>
      <c r="L1122" s="732"/>
      <c r="M1122" s="857" t="s">
        <v>3728</v>
      </c>
      <c r="N1122" s="857"/>
      <c r="O1122" s="857"/>
      <c r="P1122" s="857" t="s">
        <v>3729</v>
      </c>
      <c r="Q1122" s="857"/>
      <c r="R1122" s="857"/>
      <c r="S1122" s="857" t="s">
        <v>3730</v>
      </c>
      <c r="T1122" s="859"/>
      <c r="U1122" s="860"/>
      <c r="V1122" s="857" t="s">
        <v>3731</v>
      </c>
      <c r="W1122" s="857"/>
      <c r="X1122" s="857"/>
      <c r="Y1122" s="857" t="s">
        <v>3732</v>
      </c>
      <c r="Z1122" s="857"/>
      <c r="AA1122" s="857"/>
      <c r="AB1122" s="857" t="s">
        <v>3733</v>
      </c>
      <c r="AC1122" s="857"/>
      <c r="AD1122" s="857"/>
      <c r="AG1122" s="919" t="s">
        <v>3705</v>
      </c>
      <c r="AH1122" s="919"/>
      <c r="AI1122" s="919"/>
      <c r="AJ1122"/>
      <c r="AK1122" s="1021" t="s">
        <v>3734</v>
      </c>
      <c r="AL1122" s="1021"/>
      <c r="AM1122" s="1021"/>
      <c r="AN1122" s="1022" t="s">
        <v>3735</v>
      </c>
      <c r="AO1122" s="1022"/>
      <c r="AP1122" s="1022"/>
      <c r="AQ1122" s="1021" t="s">
        <v>3736</v>
      </c>
      <c r="AR1122" s="1021"/>
      <c r="AS1122" s="1021"/>
      <c r="AT1122" s="1022" t="s">
        <v>3737</v>
      </c>
      <c r="AU1122" s="1022"/>
      <c r="AV1122" s="1022"/>
      <c r="AW1122" s="1021" t="s">
        <v>3738</v>
      </c>
      <c r="AX1122" s="1021"/>
      <c r="AY1122" s="1021"/>
      <c r="AZ1122" s="1022" t="s">
        <v>3739</v>
      </c>
      <c r="BA1122" s="1022"/>
      <c r="BB1122" s="1022"/>
      <c r="BC1122" s="1021" t="s">
        <v>3729</v>
      </c>
      <c r="BD1122" s="1021"/>
      <c r="BE1122" s="1021"/>
      <c r="BF1122" s="1022" t="s">
        <v>3740</v>
      </c>
      <c r="BG1122" s="1022"/>
      <c r="BH1122" s="1022"/>
      <c r="BI1122" s="1021" t="s">
        <v>3741</v>
      </c>
      <c r="BJ1122" s="1021"/>
      <c r="BK1122" s="1021"/>
      <c r="BL1122" s="1022" t="s">
        <v>3742</v>
      </c>
      <c r="BM1122" s="1022"/>
      <c r="BN1122" s="1022"/>
      <c r="BO1122" s="1021" t="s">
        <v>3733</v>
      </c>
      <c r="BP1122" s="1021"/>
      <c r="BQ1122" s="1021"/>
      <c r="BR1122" s="1022" t="s">
        <v>3743</v>
      </c>
      <c r="BS1122" s="1022"/>
      <c r="BT1122" s="1022"/>
      <c r="BU1122" s="1021" t="s">
        <v>3744</v>
      </c>
      <c r="BV1122" s="1021"/>
      <c r="BW1122" s="1021"/>
      <c r="BX1122" s="1022" t="s">
        <v>3745</v>
      </c>
      <c r="BY1122" s="1022"/>
      <c r="BZ1122" s="1022"/>
      <c r="CA1122" s="1021" t="s">
        <v>3746</v>
      </c>
      <c r="CB1122" s="1021"/>
      <c r="CC1122" s="1021"/>
      <c r="CD1122" s="1022" t="s">
        <v>3747</v>
      </c>
      <c r="CE1122" s="1022"/>
      <c r="CF1122" s="1022"/>
      <c r="CG1122" s="1021" t="s">
        <v>201</v>
      </c>
      <c r="CH1122" s="1021"/>
      <c r="CI1122" s="1021"/>
      <c r="CJ1122"/>
      <c r="CK1122" s="1020" t="s">
        <v>2794</v>
      </c>
      <c r="CL1122"/>
    </row>
    <row r="1123" spans="1:90" ht="48" customHeight="1">
      <c r="A1123" s="49"/>
      <c r="B1123" s="38"/>
      <c r="C1123" s="732"/>
      <c r="D1123" s="732"/>
      <c r="E1123" s="732"/>
      <c r="F1123" s="732"/>
      <c r="G1123" s="732"/>
      <c r="H1123" s="732"/>
      <c r="I1123" s="732"/>
      <c r="J1123" s="732"/>
      <c r="K1123" s="732"/>
      <c r="L1123" s="732"/>
      <c r="M1123" s="127" t="s">
        <v>2635</v>
      </c>
      <c r="N1123" s="128" t="s">
        <v>2629</v>
      </c>
      <c r="O1123" s="128" t="s">
        <v>2630</v>
      </c>
      <c r="P1123" s="127" t="s">
        <v>2635</v>
      </c>
      <c r="Q1123" s="128" t="s">
        <v>2629</v>
      </c>
      <c r="R1123" s="128" t="s">
        <v>2630</v>
      </c>
      <c r="S1123" s="127" t="s">
        <v>2635</v>
      </c>
      <c r="T1123" s="128" t="s">
        <v>2629</v>
      </c>
      <c r="U1123" s="128" t="s">
        <v>2630</v>
      </c>
      <c r="V1123" s="127" t="s">
        <v>2635</v>
      </c>
      <c r="W1123" s="128" t="s">
        <v>2629</v>
      </c>
      <c r="X1123" s="128" t="s">
        <v>2630</v>
      </c>
      <c r="Y1123" s="127" t="s">
        <v>2635</v>
      </c>
      <c r="Z1123" s="128" t="s">
        <v>2629</v>
      </c>
      <c r="AA1123" s="128" t="s">
        <v>2630</v>
      </c>
      <c r="AB1123" s="127" t="s">
        <v>2635</v>
      </c>
      <c r="AC1123" s="128" t="s">
        <v>2629</v>
      </c>
      <c r="AD1123" s="128" t="s">
        <v>2630</v>
      </c>
      <c r="AG1123" s="439" t="s">
        <v>2795</v>
      </c>
      <c r="AH1123" s="440" t="s">
        <v>3177</v>
      </c>
      <c r="AI1123" s="441" t="s">
        <v>3178</v>
      </c>
      <c r="AJ1123"/>
      <c r="AK1123" s="442" t="s">
        <v>3386</v>
      </c>
      <c r="AL1123" s="443" t="s">
        <v>3177</v>
      </c>
      <c r="AM1123" s="444" t="s">
        <v>3178</v>
      </c>
      <c r="AN1123" s="442" t="s">
        <v>3386</v>
      </c>
      <c r="AO1123" s="443" t="s">
        <v>3177</v>
      </c>
      <c r="AP1123" s="444" t="s">
        <v>3178</v>
      </c>
      <c r="AQ1123" s="442" t="s">
        <v>3386</v>
      </c>
      <c r="AR1123" s="443" t="s">
        <v>3177</v>
      </c>
      <c r="AS1123" s="444" t="s">
        <v>3178</v>
      </c>
      <c r="AT1123" s="442" t="s">
        <v>3386</v>
      </c>
      <c r="AU1123" s="443" t="s">
        <v>3177</v>
      </c>
      <c r="AV1123" s="444" t="s">
        <v>3178</v>
      </c>
      <c r="AW1123" s="442" t="s">
        <v>3386</v>
      </c>
      <c r="AX1123" s="443" t="s">
        <v>3177</v>
      </c>
      <c r="AY1123" s="444" t="s">
        <v>3178</v>
      </c>
      <c r="AZ1123" s="442" t="s">
        <v>3386</v>
      </c>
      <c r="BA1123" s="443" t="s">
        <v>3177</v>
      </c>
      <c r="BB1123" s="444" t="s">
        <v>3178</v>
      </c>
      <c r="BC1123" s="442" t="s">
        <v>3386</v>
      </c>
      <c r="BD1123" s="443" t="s">
        <v>3177</v>
      </c>
      <c r="BE1123" s="444" t="s">
        <v>3178</v>
      </c>
      <c r="BF1123" s="442" t="s">
        <v>3386</v>
      </c>
      <c r="BG1123" s="443" t="s">
        <v>3177</v>
      </c>
      <c r="BH1123" s="444" t="s">
        <v>3178</v>
      </c>
      <c r="BI1123" s="442" t="s">
        <v>3386</v>
      </c>
      <c r="BJ1123" s="443" t="s">
        <v>3177</v>
      </c>
      <c r="BK1123" s="444" t="s">
        <v>3178</v>
      </c>
      <c r="BL1123" s="442" t="s">
        <v>3386</v>
      </c>
      <c r="BM1123" s="443" t="s">
        <v>3177</v>
      </c>
      <c r="BN1123" s="444" t="s">
        <v>3178</v>
      </c>
      <c r="BO1123" s="442" t="s">
        <v>3386</v>
      </c>
      <c r="BP1123" s="443" t="s">
        <v>3177</v>
      </c>
      <c r="BQ1123" s="444" t="s">
        <v>3178</v>
      </c>
      <c r="BR1123" s="442" t="s">
        <v>3386</v>
      </c>
      <c r="BS1123" s="443" t="s">
        <v>3177</v>
      </c>
      <c r="BT1123" s="444" t="s">
        <v>3178</v>
      </c>
      <c r="BU1123" s="442" t="s">
        <v>3386</v>
      </c>
      <c r="BV1123" s="443" t="s">
        <v>3177</v>
      </c>
      <c r="BW1123" s="444" t="s">
        <v>3178</v>
      </c>
      <c r="BX1123" s="442" t="s">
        <v>3386</v>
      </c>
      <c r="BY1123" s="443" t="s">
        <v>3177</v>
      </c>
      <c r="BZ1123" s="444" t="s">
        <v>3178</v>
      </c>
      <c r="CA1123" s="442" t="s">
        <v>3386</v>
      </c>
      <c r="CB1123" s="443" t="s">
        <v>3177</v>
      </c>
      <c r="CC1123" s="444" t="s">
        <v>3178</v>
      </c>
      <c r="CD1123" s="442" t="s">
        <v>3386</v>
      </c>
      <c r="CE1123" s="443" t="s">
        <v>3177</v>
      </c>
      <c r="CF1123" s="444" t="s">
        <v>3178</v>
      </c>
      <c r="CG1123" s="442" t="s">
        <v>3386</v>
      </c>
      <c r="CH1123" s="443" t="s">
        <v>3177</v>
      </c>
      <c r="CI1123" s="444" t="s">
        <v>3178</v>
      </c>
      <c r="CJ1123"/>
      <c r="CK1123" s="1020"/>
      <c r="CL1123" s="365" t="s">
        <v>2620</v>
      </c>
    </row>
    <row r="1124" spans="1:90" ht="15" customHeight="1">
      <c r="A1124" s="49"/>
      <c r="B1124" s="38"/>
      <c r="C1124" s="97" t="s">
        <v>2516</v>
      </c>
      <c r="D1124" s="962" t="str">
        <f>IF(CNSIPEE_2024_M2_Secc1!D42="","",CNSIPEE_2024_M2_Secc1!D42)</f>
        <v/>
      </c>
      <c r="E1124" s="963"/>
      <c r="F1124" s="963"/>
      <c r="G1124" s="963"/>
      <c r="H1124" s="963"/>
      <c r="I1124" s="963"/>
      <c r="J1124" s="963"/>
      <c r="K1124" s="963"/>
      <c r="L1124" s="964"/>
      <c r="M1124" s="100"/>
      <c r="N1124" s="100"/>
      <c r="O1124" s="100"/>
      <c r="P1124" s="100"/>
      <c r="Q1124" s="100"/>
      <c r="R1124" s="100"/>
      <c r="S1124" s="100"/>
      <c r="T1124" s="100"/>
      <c r="U1124" s="100"/>
      <c r="V1124" s="100"/>
      <c r="W1124" s="100"/>
      <c r="X1124" s="100"/>
      <c r="Y1124" s="100"/>
      <c r="Z1124" s="100"/>
      <c r="AA1124" s="100"/>
      <c r="AB1124" s="100"/>
      <c r="AC1124" s="100"/>
      <c r="AD1124" s="100"/>
      <c r="AG1124">
        <f>IF(OR(M1110="NS",J1006="NS"),0,IF(AND(M1110="NA",J1006="NA"),0,IF(M1110&gt;=J1006,0,1)))</f>
        <v>0</v>
      </c>
      <c r="AH1124">
        <f t="shared" ref="AH1124" si="989">IF(OR(N1110="NS",K1006="NS"),0,IF(AND(N1110="NA",K1006="NA"),0,IF(N1110&gt;=K1006,0,1)))</f>
        <v>0</v>
      </c>
      <c r="AI1124">
        <f>IF(OR(O1110="NS",L1006="NS"),0,IF(AND(O1110="NA",L1006="NA"),0,IF(O1110&gt;=L1006,0,1)))</f>
        <v>0</v>
      </c>
      <c r="AJ1124"/>
      <c r="AK1124">
        <f>IF(OR(P1110="NS",$J1006="NS"),0,IF(AND(P1110="NA",$J1006="NA"),0,IF(P1110&lt;=$J1006,0,1)))</f>
        <v>0</v>
      </c>
      <c r="AL1124">
        <f>IF(OR(Q1110="NS",$K1006="NS"),0,IF(AND(Q1110="NA",$K1006="NA"),0,IF(Q1110&lt;=$K1006,0,1)))</f>
        <v>0</v>
      </c>
      <c r="AM1124">
        <f>IF(OR(R1110="NS",$L1006="NS"),0,IF(AND(R1110="NA",$L1006="NA"),0,IF(R1110&lt;=$L1006,0,1)))</f>
        <v>0</v>
      </c>
      <c r="AN1124">
        <f>IF(OR(S1110="NS",$J1006="NS"),0,IF(AND(S1110="NA",$J1006="NA"),0,IF(S1110&lt;=$J1006,0,1)))</f>
        <v>0</v>
      </c>
      <c r="AO1124">
        <f>IF(OR(T1110="NS",$K1006="NS"),0,IF(AND(T1110="NA",$K1006="NA"),0,IF(T1110&lt;=$K1006,0,1)))</f>
        <v>0</v>
      </c>
      <c r="AP1124">
        <f>IF(OR(U1110="NS",$L1006="NS"),0,IF(AND(U1110="NA",$L1006="NA"),0,IF(U1110&lt;=$L1006,0,1)))</f>
        <v>0</v>
      </c>
      <c r="AQ1124">
        <f>IF(OR(V1110="NS",$J1006="NS"),0,IF(AND(V1110="NA",$J1006="NA"),0,IF(V1110&lt;=$J1006,0,1)))</f>
        <v>0</v>
      </c>
      <c r="AR1124">
        <f>IF(OR(W1110="NS",$K1006="NS"),0,IF(AND(W1110="NA",$K1006="NA"),0,IF(W1110&lt;=$K1006,0,1)))</f>
        <v>0</v>
      </c>
      <c r="AS1124">
        <f>IF(OR(X1110="NS",$L1006="NS"),0,IF(AND(X1110="NA",$L1006="NA"),0,IF(X1110&lt;=$L1006,0,1)))</f>
        <v>0</v>
      </c>
      <c r="AT1124">
        <f>IF(OR(Y1110="NS",$J1006="NS"),0,IF(AND(Y1110="NA",$J1006="NA"),0,IF(Y1110&lt;=$J1006,0,1)))</f>
        <v>0</v>
      </c>
      <c r="AU1124">
        <f>IF(OR(Z1110="NS",$K1006="NS"),0,IF(AND(Z1110="NA",$K1006="NA"),0,IF(Z1110&lt;=$K1006,0,1)))</f>
        <v>0</v>
      </c>
      <c r="AV1124">
        <f>IF(OR(AA1110="NS",$L1006="NS"),0,IF(AND(AA1110="NA",$L1006="NA"),0,IF(AA1110&lt;=$L1006,0,1)))</f>
        <v>0</v>
      </c>
      <c r="AW1124">
        <f>IF(OR(AB1110="NS",$J1006="NS"),0,IF(AND(AB1110="NA",$J1006="NA"),0,IF(AB1110&lt;=$J1006,0,1)))</f>
        <v>0</v>
      </c>
      <c r="AX1124">
        <f>IF(OR(AC1110="NS",$K1006="NS"),0,IF(AND(AC1110="NA",$K1006="NA"),0,IF(AC1110&lt;=$K1006,0,1)))</f>
        <v>0</v>
      </c>
      <c r="AY1124">
        <f>IF(OR(AD1110="NS",$L1006="NS"),0,IF(AND(AD1110="NA",$L1006="NA"),0,IF(AD1110&lt;=$L1006,0,1)))</f>
        <v>0</v>
      </c>
      <c r="AZ1124">
        <f>IF(OR(M1124="NS",$J1006="NS"),0,IF(AND(M1124="NA",$J1006="NA"),0,IF(M1124&lt;=$J1006,0,1)))</f>
        <v>0</v>
      </c>
      <c r="BA1124">
        <f>IF(OR(N1124="NS",$K1006="NS"),0,IF(AND(N1124="NA",$K1006="NA"),0,IF(N1124&lt;=$K1006,0,1)))</f>
        <v>0</v>
      </c>
      <c r="BB1124">
        <f>IF(OR(O1124="NS",$L1006="NS"),0,IF(AND(O1124="NA",$L1006="NA"),0,IF(O1124&lt;=$L1006,0,1)))</f>
        <v>0</v>
      </c>
      <c r="BC1124">
        <f>IF(OR(P1124="NS",$J1006="NS"),0,IF(AND(P1124="NA",$J1006="NA"),0,IF(P1124&lt;=$J1006,0,1)))</f>
        <v>0</v>
      </c>
      <c r="BD1124">
        <f>IF(OR(Q1124="NS",$K1006="NS"),0,IF(AND(Q1124="NA",$K1006="NA"),0,IF(Q1124&lt;=$K1006,0,1)))</f>
        <v>0</v>
      </c>
      <c r="BE1124">
        <f>IF(OR(R1124="NS",$L1006="NS"),0,IF(AND(R1124="NA",$L1006="NA"),0,IF(R1124&lt;=$L1006,0,1)))</f>
        <v>0</v>
      </c>
      <c r="BF1124">
        <f>IF(OR(S1124="NS",$J1006="NS"),0,IF(AND(S1124="NA",$J1006="NA"),0,IF(S1124&lt;=$J1006,0,1)))</f>
        <v>0</v>
      </c>
      <c r="BG1124">
        <f>IF(OR(T1124="NS",$K1006="NS"),0,IF(AND(T1124="NA",$K1006="NA"),0,IF(T1124&lt;=$K1006,0,1)))</f>
        <v>0</v>
      </c>
      <c r="BH1124">
        <f>IF(OR(U1124="NS",$L1006="NS"),0,IF(AND(U1124="NA",$L1006="NA"),0,IF(U1124&lt;=$L1006,0,1)))</f>
        <v>0</v>
      </c>
      <c r="BI1124">
        <f>IF(OR(V1124="NS",$J1006="NS"),0,IF(AND(V1124="NA",$J1006="NA"),0,IF(V1124&lt;=$J1006,0,1)))</f>
        <v>0</v>
      </c>
      <c r="BJ1124">
        <f>IF(OR(W1124="NS",$K1006="NS"),0,IF(AND(W1124="NA",$K1006="NA"),0,IF(W1124&lt;=$K1006,0,1)))</f>
        <v>0</v>
      </c>
      <c r="BK1124">
        <f>IF(OR(X1124="NS",$L1006="NS"),0,IF(AND(X1124="NA",$L1006="NA"),0,IF(X1124&lt;=$L1006,0,1)))</f>
        <v>0</v>
      </c>
      <c r="BL1124">
        <f>IF(OR(Y1124="NS",$J1006="NS"),0,IF(AND(Y1124="NA",$J1006="NA"),0,IF(Y1124&lt;=$J1006,0,1)))</f>
        <v>0</v>
      </c>
      <c r="BM1124">
        <f>IF(OR(Z1124="NS",$K1006="NS"),0,IF(AND(Z1124="NA",$K1006="NA"),0,IF(Z1124&lt;=$K1006,0,1)))</f>
        <v>0</v>
      </c>
      <c r="BN1124">
        <f>IF(OR(AA1124="NS",$L1006="NS"),0,IF(AND(AA1124="NA",$L1006="NA"),0,IF(AA1124&lt;=$L1006,0,1)))</f>
        <v>0</v>
      </c>
      <c r="BO1124">
        <f>IF(OR(AB1124="NS",$J1006="NS"),0,IF(AND(AB1124="NA",$J1006="NA"),0,IF(AB1124&lt;=$J1006,0,1)))</f>
        <v>0</v>
      </c>
      <c r="BP1124">
        <f>IF(OR(AC1124="NS",$K1006="NS"),0,IF(AND(AC1124="NA",$K1006="NA"),0,IF(AC1124&lt;=$K1006,0,1)))</f>
        <v>0</v>
      </c>
      <c r="BQ1124">
        <f>IF(OR(AD1124="NS",$L1006="NS"),0,IF(AND(AD1124="NA",$L1006="NA"),0,IF(AD1124&lt;=$L1006,0,1)))</f>
        <v>0</v>
      </c>
      <c r="BR1124">
        <f>IF(OR(M1138="NS",$J1006="NS"),0,IF(AND(M1138="NA",$J1006="NA"),0,IF(M1138&lt;=$J1006,0,1)))</f>
        <v>0</v>
      </c>
      <c r="BS1124">
        <f>IF(OR(N1138="NS",$K1006="NS"),0,IF(AND(N1138="NA",$K1006="NA"),0,IF(N1138&lt;=$K1006,0,1)))</f>
        <v>0</v>
      </c>
      <c r="BT1124">
        <f>IF(OR(O1138="NS",$L1006="NS"),0,IF(AND(O1138="NA",$L1006="NA"),0,IF(O1138&lt;=$L1006,0,1)))</f>
        <v>0</v>
      </c>
      <c r="BU1124">
        <f>IF(OR(P1138="NS",$J1006="NS"),0,IF(AND(P1138="NA",$J1006="NA"),0,IF(P1138&lt;=$J1006,0,1)))</f>
        <v>0</v>
      </c>
      <c r="BV1124">
        <f>IF(OR(Q1138="NS",$K1006="NS"),0,IF(AND(Q1138="NA",$K1006="NA"),0,IF(Q1138&lt;=$K1006,0,1)))</f>
        <v>0</v>
      </c>
      <c r="BW1124">
        <f>IF(OR(R1138="NS",$L1006="NS"),0,IF(AND(R1138="NA",$L1006="NA"),0,IF(R1138&lt;=$L1006,0,1)))</f>
        <v>0</v>
      </c>
      <c r="BX1124">
        <f>IF(OR(S1138="NS",$J1006="NS"),0,IF(AND(S1138="NA",$J1006="NA"),0,IF(S1138&lt;=$J1006,0,1)))</f>
        <v>0</v>
      </c>
      <c r="BY1124">
        <f>IF(OR(T1138="NS",$K1006="NS"),0,IF(AND(T1138="NA",$K1006="NA"),0,IF(T1138&lt;=$K1006,0,1)))</f>
        <v>0</v>
      </c>
      <c r="BZ1124">
        <f>IF(OR(U1138="NS",$L1006="NS"),0,IF(AND(U1138="NA",$L1006="NA"),0,IF(U1138&lt;=$L1006,0,1)))</f>
        <v>0</v>
      </c>
      <c r="CA1124">
        <f>IF(OR(V1138="NS",$J1006="NS"),0,IF(AND(V1138="NA",$J1006="NA"),0,IF(V1138&lt;=$J1006,0,1)))</f>
        <v>0</v>
      </c>
      <c r="CB1124">
        <f>IF(OR(W1138="NS",$K1006="NS"),0,IF(AND(W1138="NA",$K1006="NA"),0,IF(W1138&lt;=$K1006,0,1)))</f>
        <v>0</v>
      </c>
      <c r="CC1124">
        <f>IF(OR(X1138="NS",$L1006="NS"),0,IF(AND(X1138="NA",$L1006="NA"),0,IF(X1138&lt;=$L1006,0,1)))</f>
        <v>0</v>
      </c>
      <c r="CD1124">
        <f>IF(OR(Y1138="NS",$J1006="NS"),0,IF(AND(Y1138="NA",$J1006="NA"),0,IF(Y1138&lt;=$J1006,0,1)))</f>
        <v>0</v>
      </c>
      <c r="CE1124">
        <f>IF(OR(Z1138="NS",$K1006="NS"),0,IF(AND(Z1138="NA",$K1006="NA"),0,IF(Z1138&lt;=$K1006,0,1)))</f>
        <v>0</v>
      </c>
      <c r="CF1124">
        <f>IF(OR(AA1138="NS",$L1006="NS"),0,IF(AND(AA1138="NA",$L1006="NA"),0,IF(AA1138&lt;=$L1006,0,1)))</f>
        <v>0</v>
      </c>
      <c r="CG1124">
        <f>IF(OR(AB1138="NS",$J1006="NS"),0,IF(AND(AB1138="NA",$J1006="NA"),0,IF(AB1138&lt;=$J1006,0,1)))</f>
        <v>0</v>
      </c>
      <c r="CH1124">
        <f>IF(OR(AC1138="NS",$K1006="NS"),0,IF(AND(AC1138="NA",$K1006="NA"),0,IF(AC1138&lt;=$K1006,0,1)))</f>
        <v>0</v>
      </c>
      <c r="CI1124">
        <f>IF(OR(AD1138="NS",$L1006="NS"),0,IF(AND(AD1138="NA",$L1006="NA"),0,IF(AD1138&lt;=$L1006,0,1)))</f>
        <v>0</v>
      </c>
      <c r="CJ1124"/>
      <c r="CK1124">
        <f>IF(SUM(Y1146:AA1146)&gt;0,1,0)</f>
        <v>0</v>
      </c>
      <c r="CL1124" s="342">
        <f>IF(AND(SUM($J1006)=0,COUNTA(M1110:AD1110,M1124:AD1124,M1138:AD1138)&gt;0),1,0)</f>
        <v>0</v>
      </c>
    </row>
    <row r="1125" spans="1:90" ht="15" customHeight="1">
      <c r="A1125" s="49"/>
      <c r="B1125" s="38"/>
      <c r="C1125" s="143" t="s">
        <v>2517</v>
      </c>
      <c r="D1125" s="962" t="str">
        <f>IF(CNSIPEE_2024_M2_Secc1!D43="","",CNSIPEE_2024_M2_Secc1!D43)</f>
        <v/>
      </c>
      <c r="E1125" s="963"/>
      <c r="F1125" s="963"/>
      <c r="G1125" s="963"/>
      <c r="H1125" s="963"/>
      <c r="I1125" s="963"/>
      <c r="J1125" s="963"/>
      <c r="K1125" s="963"/>
      <c r="L1125" s="964"/>
      <c r="M1125" s="100"/>
      <c r="N1125" s="100"/>
      <c r="O1125" s="100"/>
      <c r="P1125" s="100"/>
      <c r="Q1125" s="100"/>
      <c r="R1125" s="100"/>
      <c r="S1125" s="100"/>
      <c r="T1125" s="100"/>
      <c r="U1125" s="100"/>
      <c r="V1125" s="100"/>
      <c r="W1125" s="100"/>
      <c r="X1125" s="100"/>
      <c r="Y1125" s="100"/>
      <c r="Z1125" s="100"/>
      <c r="AA1125" s="100"/>
      <c r="AB1125" s="100"/>
      <c r="AC1125" s="100"/>
      <c r="AD1125" s="100"/>
      <c r="AG1125">
        <f t="shared" ref="AG1125:AG1131" si="990">IF(OR(M1111="NS",J1007="NS"),0,IF(AND(M1111="NA",J1007="NA"),0,IF(M1111&gt;=J1007,0,1)))</f>
        <v>0</v>
      </c>
      <c r="AH1125">
        <f t="shared" ref="AH1125:AI1131" si="991">IF(OR(N1111="NS",K1007="NS"),0,IF(AND(N1111="NA",K1007="NA"),0,IF(N1111&gt;=K1007,0,1)))</f>
        <v>0</v>
      </c>
      <c r="AI1125">
        <f t="shared" si="991"/>
        <v>0</v>
      </c>
      <c r="AK1125">
        <f t="shared" ref="AK1125:AK1131" si="992">IF(OR(P1111="NS",$J1007="NS"),0,IF(AND(P1111="NA",$J1007="NA"),0,IF(P1111&lt;=$J1007,0,1)))</f>
        <v>0</v>
      </c>
      <c r="AL1125">
        <f t="shared" ref="AL1125:AL1131" si="993">IF(OR(Q1111="NS",$K1007="NS"),0,IF(AND(Q1111="NA",$K1007="NA"),0,IF(Q1111&lt;=$K1007,0,1)))</f>
        <v>0</v>
      </c>
      <c r="AM1125">
        <f t="shared" ref="AM1125:AM1131" si="994">IF(OR(R1111="NS",$L1007="NS"),0,IF(AND(R1111="NA",$L1007="NA"),0,IF(R1111&lt;=$L1007,0,1)))</f>
        <v>0</v>
      </c>
      <c r="AN1125">
        <f t="shared" ref="AN1125:AN1131" si="995">IF(OR(S1111="NS",$J1007="NS"),0,IF(AND(S1111="NA",$J1007="NA"),0,IF(S1111&lt;=$J1007,0,1)))</f>
        <v>0</v>
      </c>
      <c r="AO1125">
        <f t="shared" ref="AO1125:AO1131" si="996">IF(OR(T1111="NS",$K1007="NS"),0,IF(AND(T1111="NA",$K1007="NA"),0,IF(T1111&lt;=$K1007,0,1)))</f>
        <v>0</v>
      </c>
      <c r="AP1125">
        <f t="shared" ref="AP1125:AP1131" si="997">IF(OR(U1111="NS",$L1007="NS"),0,IF(AND(U1111="NA",$L1007="NA"),0,IF(U1111&lt;=$L1007,0,1)))</f>
        <v>0</v>
      </c>
      <c r="AQ1125">
        <f t="shared" ref="AQ1125:AQ1131" si="998">IF(OR(V1111="NS",$J1007="NS"),0,IF(AND(V1111="NA",$J1007="NA"),0,IF(V1111&lt;=$J1007,0,1)))</f>
        <v>0</v>
      </c>
      <c r="AR1125">
        <f t="shared" ref="AR1125:AR1131" si="999">IF(OR(W1111="NS",$K1007="NS"),0,IF(AND(W1111="NA",$K1007="NA"),0,IF(W1111&lt;=$K1007,0,1)))</f>
        <v>0</v>
      </c>
      <c r="AS1125">
        <f t="shared" ref="AS1125:AS1131" si="1000">IF(OR(X1111="NS",$L1007="NS"),0,IF(AND(X1111="NA",$L1007="NA"),0,IF(X1111&lt;=$L1007,0,1)))</f>
        <v>0</v>
      </c>
      <c r="AT1125">
        <f t="shared" ref="AT1125:AT1131" si="1001">IF(OR(Y1111="NS",$J1007="NS"),0,IF(AND(Y1111="NA",$J1007="NA"),0,IF(Y1111&lt;=$J1007,0,1)))</f>
        <v>0</v>
      </c>
      <c r="AU1125">
        <f t="shared" ref="AU1125:AU1131" si="1002">IF(OR(Z1111="NS",$K1007="NS"),0,IF(AND(Z1111="NA",$K1007="NA"),0,IF(Z1111&lt;=$K1007,0,1)))</f>
        <v>0</v>
      </c>
      <c r="AV1125">
        <f t="shared" ref="AV1125:AV1131" si="1003">IF(OR(AA1111="NS",$L1007="NS"),0,IF(AND(AA1111="NA",$L1007="NA"),0,IF(AA1111&lt;=$L1007,0,1)))</f>
        <v>0</v>
      </c>
      <c r="AW1125">
        <f t="shared" ref="AW1125:AW1131" si="1004">IF(OR(AB1111="NS",$J1007="NS"),0,IF(AND(AB1111="NA",$J1007="NA"),0,IF(AB1111&lt;=$J1007,0,1)))</f>
        <v>0</v>
      </c>
      <c r="AX1125">
        <f t="shared" ref="AX1125:AX1131" si="1005">IF(OR(AC1111="NS",$K1007="NS"),0,IF(AND(AC1111="NA",$K1007="NA"),0,IF(AC1111&lt;=$K1007,0,1)))</f>
        <v>0</v>
      </c>
      <c r="AY1125">
        <f t="shared" ref="AY1125:AY1131" si="1006">IF(OR(AD1111="NS",$L1007="NS"),0,IF(AND(AD1111="NA",$L1007="NA"),0,IF(AD1111&lt;=$L1007,0,1)))</f>
        <v>0</v>
      </c>
      <c r="AZ1125">
        <f t="shared" ref="AZ1125:AZ1131" si="1007">IF(OR(M1125="NS",$J1007="NS"),0,IF(AND(M1125="NA",$J1007="NA"),0,IF(M1125&lt;=$J1007,0,1)))</f>
        <v>0</v>
      </c>
      <c r="BA1125">
        <f t="shared" ref="BA1125:BA1131" si="1008">IF(OR(N1125="NS",$K1007="NS"),0,IF(AND(N1125="NA",$K1007="NA"),0,IF(N1125&lt;=$K1007,0,1)))</f>
        <v>0</v>
      </c>
      <c r="BB1125">
        <f t="shared" ref="BB1125:BB1131" si="1009">IF(OR(O1125="NS",$L1007="NS"),0,IF(AND(O1125="NA",$L1007="NA"),0,IF(O1125&lt;=$L1007,0,1)))</f>
        <v>0</v>
      </c>
      <c r="BC1125">
        <f t="shared" ref="BC1125:BC1131" si="1010">IF(OR(P1125="NS",$J1007="NS"),0,IF(AND(P1125="NA",$J1007="NA"),0,IF(P1125&lt;=$J1007,0,1)))</f>
        <v>0</v>
      </c>
      <c r="BD1125">
        <f t="shared" ref="BD1125:BD1131" si="1011">IF(OR(Q1125="NS",$K1007="NS"),0,IF(AND(Q1125="NA",$K1007="NA"),0,IF(Q1125&lt;=$K1007,0,1)))</f>
        <v>0</v>
      </c>
      <c r="BE1125">
        <f t="shared" ref="BE1125:BE1131" si="1012">IF(OR(R1125="NS",$L1007="NS"),0,IF(AND(R1125="NA",$L1007="NA"),0,IF(R1125&lt;=$L1007,0,1)))</f>
        <v>0</v>
      </c>
      <c r="BF1125">
        <f t="shared" ref="BF1125:BF1131" si="1013">IF(OR(S1125="NS",$J1007="NS"),0,IF(AND(S1125="NA",$J1007="NA"),0,IF(S1125&lt;=$J1007,0,1)))</f>
        <v>0</v>
      </c>
      <c r="BG1125">
        <f t="shared" ref="BG1125:BG1131" si="1014">IF(OR(T1125="NS",$K1007="NS"),0,IF(AND(T1125="NA",$K1007="NA"),0,IF(T1125&lt;=$K1007,0,1)))</f>
        <v>0</v>
      </c>
      <c r="BH1125">
        <f t="shared" ref="BH1125:BH1131" si="1015">IF(OR(U1125="NS",$L1007="NS"),0,IF(AND(U1125="NA",$L1007="NA"),0,IF(U1125&lt;=$L1007,0,1)))</f>
        <v>0</v>
      </c>
      <c r="BI1125">
        <f t="shared" ref="BI1125:BI1131" si="1016">IF(OR(V1125="NS",$J1007="NS"),0,IF(AND(V1125="NA",$J1007="NA"),0,IF(V1125&lt;=$J1007,0,1)))</f>
        <v>0</v>
      </c>
      <c r="BJ1125">
        <f t="shared" ref="BJ1125:BJ1131" si="1017">IF(OR(W1125="NS",$K1007="NS"),0,IF(AND(W1125="NA",$K1007="NA"),0,IF(W1125&lt;=$K1007,0,1)))</f>
        <v>0</v>
      </c>
      <c r="BK1125">
        <f t="shared" ref="BK1125:BK1131" si="1018">IF(OR(X1125="NS",$L1007="NS"),0,IF(AND(X1125="NA",$L1007="NA"),0,IF(X1125&lt;=$L1007,0,1)))</f>
        <v>0</v>
      </c>
      <c r="BL1125">
        <f t="shared" ref="BL1125:BL1131" si="1019">IF(OR(Y1125="NS",$J1007="NS"),0,IF(AND(Y1125="NA",$J1007="NA"),0,IF(Y1125&lt;=$J1007,0,1)))</f>
        <v>0</v>
      </c>
      <c r="BM1125">
        <f t="shared" ref="BM1125:BM1131" si="1020">IF(OR(Z1125="NS",$K1007="NS"),0,IF(AND(Z1125="NA",$K1007="NA"),0,IF(Z1125&lt;=$K1007,0,1)))</f>
        <v>0</v>
      </c>
      <c r="BN1125">
        <f t="shared" ref="BN1125:BN1131" si="1021">IF(OR(AA1125="NS",$L1007="NS"),0,IF(AND(AA1125="NA",$L1007="NA"),0,IF(AA1125&lt;=$L1007,0,1)))</f>
        <v>0</v>
      </c>
      <c r="BO1125">
        <f t="shared" ref="BO1125:BO1131" si="1022">IF(OR(AB1125="NS",$J1007="NS"),0,IF(AND(AB1125="NA",$J1007="NA"),0,IF(AB1125&lt;=$J1007,0,1)))</f>
        <v>0</v>
      </c>
      <c r="BP1125">
        <f t="shared" ref="BP1125:BP1131" si="1023">IF(OR(AC1125="NS",$K1007="NS"),0,IF(AND(AC1125="NA",$K1007="NA"),0,IF(AC1125&lt;=$K1007,0,1)))</f>
        <v>0</v>
      </c>
      <c r="BQ1125">
        <f t="shared" ref="BQ1125:BQ1131" si="1024">IF(OR(AD1125="NS",$L1007="NS"),0,IF(AND(AD1125="NA",$L1007="NA"),0,IF(AD1125&lt;=$L1007,0,1)))</f>
        <v>0</v>
      </c>
      <c r="BR1125">
        <f t="shared" ref="BR1125:BR1131" si="1025">IF(OR(M1139="NS",$J1007="NS"),0,IF(AND(M1139="NA",$J1007="NA"),0,IF(M1139&lt;=$J1007,0,1)))</f>
        <v>0</v>
      </c>
      <c r="BS1125">
        <f t="shared" ref="BS1125:BS1131" si="1026">IF(OR(N1139="NS",$K1007="NS"),0,IF(AND(N1139="NA",$K1007="NA"),0,IF(N1139&lt;=$K1007,0,1)))</f>
        <v>0</v>
      </c>
      <c r="BT1125">
        <f t="shared" ref="BT1125:BT1131" si="1027">IF(OR(O1139="NS",$L1007="NS"),0,IF(AND(O1139="NA",$L1007="NA"),0,IF(O1139&lt;=$L1007,0,1)))</f>
        <v>0</v>
      </c>
      <c r="BU1125">
        <f t="shared" ref="BU1125:BU1131" si="1028">IF(OR(P1139="NS",$J1007="NS"),0,IF(AND(P1139="NA",$J1007="NA"),0,IF(P1139&lt;=$J1007,0,1)))</f>
        <v>0</v>
      </c>
      <c r="BV1125">
        <f t="shared" ref="BV1125:BV1131" si="1029">IF(OR(Q1139="NS",$K1007="NS"),0,IF(AND(Q1139="NA",$K1007="NA"),0,IF(Q1139&lt;=$K1007,0,1)))</f>
        <v>0</v>
      </c>
      <c r="BW1125">
        <f t="shared" ref="BW1125:BW1131" si="1030">IF(OR(R1139="NS",$L1007="NS"),0,IF(AND(R1139="NA",$L1007="NA"),0,IF(R1139&lt;=$L1007,0,1)))</f>
        <v>0</v>
      </c>
      <c r="BX1125">
        <f t="shared" ref="BX1125:BX1131" si="1031">IF(OR(S1139="NS",$J1007="NS"),0,IF(AND(S1139="NA",$J1007="NA"),0,IF(S1139&lt;=$J1007,0,1)))</f>
        <v>0</v>
      </c>
      <c r="BY1125">
        <f t="shared" ref="BY1125:BY1131" si="1032">IF(OR(T1139="NS",$K1007="NS"),0,IF(AND(T1139="NA",$K1007="NA"),0,IF(T1139&lt;=$K1007,0,1)))</f>
        <v>0</v>
      </c>
      <c r="BZ1125">
        <f t="shared" ref="BZ1125:BZ1131" si="1033">IF(OR(U1139="NS",$L1007="NS"),0,IF(AND(U1139="NA",$L1007="NA"),0,IF(U1139&lt;=$L1007,0,1)))</f>
        <v>0</v>
      </c>
      <c r="CA1125">
        <f t="shared" ref="CA1125:CA1131" si="1034">IF(OR(V1139="NS",$J1007="NS"),0,IF(AND(V1139="NA",$J1007="NA"),0,IF(V1139&lt;=$J1007,0,1)))</f>
        <v>0</v>
      </c>
      <c r="CB1125">
        <f t="shared" ref="CB1125:CB1131" si="1035">IF(OR(W1139="NS",$K1007="NS"),0,IF(AND(W1139="NA",$K1007="NA"),0,IF(W1139&lt;=$K1007,0,1)))</f>
        <v>0</v>
      </c>
      <c r="CC1125">
        <f t="shared" ref="CC1125:CC1131" si="1036">IF(OR(X1139="NS",$L1007="NS"),0,IF(AND(X1139="NA",$L1007="NA"),0,IF(X1139&lt;=$L1007,0,1)))</f>
        <v>0</v>
      </c>
      <c r="CD1125">
        <f t="shared" ref="CD1125:CD1131" si="1037">IF(OR(Y1139="NS",$J1007="NS"),0,IF(AND(Y1139="NA",$J1007="NA"),0,IF(Y1139&lt;=$J1007,0,1)))</f>
        <v>0</v>
      </c>
      <c r="CE1125">
        <f t="shared" ref="CE1125:CE1131" si="1038">IF(OR(Z1139="NS",$K1007="NS"),0,IF(AND(Z1139="NA",$K1007="NA"),0,IF(Z1139&lt;=$K1007,0,1)))</f>
        <v>0</v>
      </c>
      <c r="CF1125">
        <f t="shared" ref="CF1125:CF1131" si="1039">IF(OR(AA1139="NS",$L1007="NS"),0,IF(AND(AA1139="NA",$L1007="NA"),0,IF(AA1139&lt;=$L1007,0,1)))</f>
        <v>0</v>
      </c>
      <c r="CG1125">
        <f t="shared" ref="CG1125:CG1131" si="1040">IF(OR(AB1139="NS",$J1007="NS"),0,IF(AND(AB1139="NA",$J1007="NA"),0,IF(AB1139&lt;=$J1007,0,1)))</f>
        <v>0</v>
      </c>
      <c r="CH1125">
        <f t="shared" ref="CH1125:CH1131" si="1041">IF(OR(AC1139="NS",$K1007="NS"),0,IF(AND(AC1139="NA",$K1007="NA"),0,IF(AC1139&lt;=$K1007,0,1)))</f>
        <v>0</v>
      </c>
      <c r="CI1125">
        <f t="shared" ref="CI1125:CI1131" si="1042">IF(OR(AD1139="NS",$L1007="NS"),0,IF(AND(AD1139="NA",$L1007="NA"),0,IF(AD1139&lt;=$L1007,0,1)))</f>
        <v>0</v>
      </c>
      <c r="CL1125" s="342">
        <f t="shared" ref="CL1125:CL1131" si="1043">IF(AND(SUM($J1007)=0,COUNTA(M1111:AD1111,M1125:AD1125,M1139:AD1139)&gt;0),1,0)</f>
        <v>0</v>
      </c>
    </row>
    <row r="1126" spans="1:90" ht="15" customHeight="1">
      <c r="A1126" s="49"/>
      <c r="B1126" s="38"/>
      <c r="C1126" s="143" t="s">
        <v>2518</v>
      </c>
      <c r="D1126" s="962" t="str">
        <f>IF(CNSIPEE_2024_M2_Secc1!D44="","",CNSIPEE_2024_M2_Secc1!D44)</f>
        <v/>
      </c>
      <c r="E1126" s="963"/>
      <c r="F1126" s="963"/>
      <c r="G1126" s="963"/>
      <c r="H1126" s="963"/>
      <c r="I1126" s="963"/>
      <c r="J1126" s="963"/>
      <c r="K1126" s="963"/>
      <c r="L1126" s="964"/>
      <c r="M1126" s="100"/>
      <c r="N1126" s="100"/>
      <c r="O1126" s="100"/>
      <c r="P1126" s="100"/>
      <c r="Q1126" s="100"/>
      <c r="R1126" s="100"/>
      <c r="S1126" s="100"/>
      <c r="T1126" s="100"/>
      <c r="U1126" s="100"/>
      <c r="V1126" s="100"/>
      <c r="W1126" s="100"/>
      <c r="X1126" s="100"/>
      <c r="Y1126" s="100"/>
      <c r="Z1126" s="100"/>
      <c r="AA1126" s="100"/>
      <c r="AB1126" s="100"/>
      <c r="AC1126" s="100"/>
      <c r="AD1126" s="100"/>
      <c r="AG1126">
        <f t="shared" si="990"/>
        <v>0</v>
      </c>
      <c r="AH1126">
        <f t="shared" si="991"/>
        <v>0</v>
      </c>
      <c r="AI1126">
        <f t="shared" ref="AI1126:AI1131" si="1044">IF(OR(O1112="NS",L1008="NS"),0,IF(AND(O1112="NA",L1008="NA"),0,IF(O1112&gt;=L1008,0,1)))</f>
        <v>0</v>
      </c>
      <c r="AK1126">
        <f t="shared" si="992"/>
        <v>0</v>
      </c>
      <c r="AL1126">
        <f t="shared" si="993"/>
        <v>0</v>
      </c>
      <c r="AM1126">
        <f t="shared" si="994"/>
        <v>0</v>
      </c>
      <c r="AN1126">
        <f t="shared" si="995"/>
        <v>0</v>
      </c>
      <c r="AO1126">
        <f t="shared" si="996"/>
        <v>0</v>
      </c>
      <c r="AP1126">
        <f t="shared" si="997"/>
        <v>0</v>
      </c>
      <c r="AQ1126">
        <f t="shared" si="998"/>
        <v>0</v>
      </c>
      <c r="AR1126">
        <f t="shared" si="999"/>
        <v>0</v>
      </c>
      <c r="AS1126">
        <f t="shared" si="1000"/>
        <v>0</v>
      </c>
      <c r="AT1126">
        <f t="shared" si="1001"/>
        <v>0</v>
      </c>
      <c r="AU1126">
        <f t="shared" si="1002"/>
        <v>0</v>
      </c>
      <c r="AV1126">
        <f t="shared" si="1003"/>
        <v>0</v>
      </c>
      <c r="AW1126">
        <f t="shared" si="1004"/>
        <v>0</v>
      </c>
      <c r="AX1126">
        <f t="shared" si="1005"/>
        <v>0</v>
      </c>
      <c r="AY1126">
        <f t="shared" si="1006"/>
        <v>0</v>
      </c>
      <c r="AZ1126">
        <f t="shared" si="1007"/>
        <v>0</v>
      </c>
      <c r="BA1126">
        <f t="shared" si="1008"/>
        <v>0</v>
      </c>
      <c r="BB1126">
        <f t="shared" si="1009"/>
        <v>0</v>
      </c>
      <c r="BC1126">
        <f t="shared" si="1010"/>
        <v>0</v>
      </c>
      <c r="BD1126">
        <f t="shared" si="1011"/>
        <v>0</v>
      </c>
      <c r="BE1126">
        <f t="shared" si="1012"/>
        <v>0</v>
      </c>
      <c r="BF1126">
        <f t="shared" si="1013"/>
        <v>0</v>
      </c>
      <c r="BG1126">
        <f t="shared" si="1014"/>
        <v>0</v>
      </c>
      <c r="BH1126">
        <f t="shared" si="1015"/>
        <v>0</v>
      </c>
      <c r="BI1126">
        <f t="shared" si="1016"/>
        <v>0</v>
      </c>
      <c r="BJ1126">
        <f t="shared" si="1017"/>
        <v>0</v>
      </c>
      <c r="BK1126">
        <f t="shared" si="1018"/>
        <v>0</v>
      </c>
      <c r="BL1126">
        <f t="shared" si="1019"/>
        <v>0</v>
      </c>
      <c r="BM1126">
        <f t="shared" si="1020"/>
        <v>0</v>
      </c>
      <c r="BN1126">
        <f t="shared" si="1021"/>
        <v>0</v>
      </c>
      <c r="BO1126">
        <f t="shared" si="1022"/>
        <v>0</v>
      </c>
      <c r="BP1126">
        <f t="shared" si="1023"/>
        <v>0</v>
      </c>
      <c r="BQ1126">
        <f t="shared" si="1024"/>
        <v>0</v>
      </c>
      <c r="BR1126">
        <f t="shared" si="1025"/>
        <v>0</v>
      </c>
      <c r="BS1126">
        <f t="shared" si="1026"/>
        <v>0</v>
      </c>
      <c r="BT1126">
        <f t="shared" si="1027"/>
        <v>0</v>
      </c>
      <c r="BU1126">
        <f t="shared" si="1028"/>
        <v>0</v>
      </c>
      <c r="BV1126">
        <f t="shared" si="1029"/>
        <v>0</v>
      </c>
      <c r="BW1126">
        <f t="shared" si="1030"/>
        <v>0</v>
      </c>
      <c r="BX1126">
        <f t="shared" si="1031"/>
        <v>0</v>
      </c>
      <c r="BY1126">
        <f t="shared" si="1032"/>
        <v>0</v>
      </c>
      <c r="BZ1126">
        <f t="shared" si="1033"/>
        <v>0</v>
      </c>
      <c r="CA1126">
        <f t="shared" si="1034"/>
        <v>0</v>
      </c>
      <c r="CB1126">
        <f t="shared" si="1035"/>
        <v>0</v>
      </c>
      <c r="CC1126">
        <f t="shared" si="1036"/>
        <v>0</v>
      </c>
      <c r="CD1126">
        <f t="shared" si="1037"/>
        <v>0</v>
      </c>
      <c r="CE1126">
        <f t="shared" si="1038"/>
        <v>0</v>
      </c>
      <c r="CF1126">
        <f t="shared" si="1039"/>
        <v>0</v>
      </c>
      <c r="CG1126">
        <f t="shared" si="1040"/>
        <v>0</v>
      </c>
      <c r="CH1126">
        <f t="shared" si="1041"/>
        <v>0</v>
      </c>
      <c r="CI1126">
        <f t="shared" si="1042"/>
        <v>0</v>
      </c>
      <c r="CL1126" s="342">
        <f t="shared" si="1043"/>
        <v>0</v>
      </c>
    </row>
    <row r="1127" spans="1:90" ht="15" customHeight="1">
      <c r="A1127" s="49"/>
      <c r="B1127" s="38"/>
      <c r="C1127" s="143" t="s">
        <v>2519</v>
      </c>
      <c r="D1127" s="962" t="str">
        <f>IF(CNSIPEE_2024_M2_Secc1!D45="","",CNSIPEE_2024_M2_Secc1!D45)</f>
        <v/>
      </c>
      <c r="E1127" s="963"/>
      <c r="F1127" s="963"/>
      <c r="G1127" s="963"/>
      <c r="H1127" s="963"/>
      <c r="I1127" s="963"/>
      <c r="J1127" s="963"/>
      <c r="K1127" s="963"/>
      <c r="L1127" s="964"/>
      <c r="M1127" s="100"/>
      <c r="N1127" s="100"/>
      <c r="O1127" s="100"/>
      <c r="P1127" s="100"/>
      <c r="Q1127" s="100"/>
      <c r="R1127" s="100"/>
      <c r="S1127" s="100"/>
      <c r="T1127" s="100"/>
      <c r="U1127" s="100"/>
      <c r="V1127" s="100"/>
      <c r="W1127" s="100"/>
      <c r="X1127" s="100"/>
      <c r="Y1127" s="100"/>
      <c r="Z1127" s="100"/>
      <c r="AA1127" s="100"/>
      <c r="AB1127" s="100"/>
      <c r="AC1127" s="100"/>
      <c r="AD1127" s="100"/>
      <c r="AG1127">
        <f t="shared" si="990"/>
        <v>0</v>
      </c>
      <c r="AH1127">
        <f t="shared" si="991"/>
        <v>0</v>
      </c>
      <c r="AI1127">
        <f t="shared" si="1044"/>
        <v>0</v>
      </c>
      <c r="AK1127">
        <f t="shared" si="992"/>
        <v>0</v>
      </c>
      <c r="AL1127">
        <f t="shared" si="993"/>
        <v>0</v>
      </c>
      <c r="AM1127">
        <f t="shared" si="994"/>
        <v>0</v>
      </c>
      <c r="AN1127">
        <f t="shared" si="995"/>
        <v>0</v>
      </c>
      <c r="AO1127">
        <f t="shared" si="996"/>
        <v>0</v>
      </c>
      <c r="AP1127">
        <f t="shared" si="997"/>
        <v>0</v>
      </c>
      <c r="AQ1127">
        <f t="shared" si="998"/>
        <v>0</v>
      </c>
      <c r="AR1127">
        <f t="shared" si="999"/>
        <v>0</v>
      </c>
      <c r="AS1127">
        <f t="shared" si="1000"/>
        <v>0</v>
      </c>
      <c r="AT1127">
        <f t="shared" si="1001"/>
        <v>0</v>
      </c>
      <c r="AU1127">
        <f t="shared" si="1002"/>
        <v>0</v>
      </c>
      <c r="AV1127">
        <f t="shared" si="1003"/>
        <v>0</v>
      </c>
      <c r="AW1127">
        <f t="shared" si="1004"/>
        <v>0</v>
      </c>
      <c r="AX1127">
        <f t="shared" si="1005"/>
        <v>0</v>
      </c>
      <c r="AY1127">
        <f t="shared" si="1006"/>
        <v>0</v>
      </c>
      <c r="AZ1127">
        <f t="shared" si="1007"/>
        <v>0</v>
      </c>
      <c r="BA1127">
        <f t="shared" si="1008"/>
        <v>0</v>
      </c>
      <c r="BB1127">
        <f t="shared" si="1009"/>
        <v>0</v>
      </c>
      <c r="BC1127">
        <f t="shared" si="1010"/>
        <v>0</v>
      </c>
      <c r="BD1127">
        <f t="shared" si="1011"/>
        <v>0</v>
      </c>
      <c r="BE1127">
        <f t="shared" si="1012"/>
        <v>0</v>
      </c>
      <c r="BF1127">
        <f t="shared" si="1013"/>
        <v>0</v>
      </c>
      <c r="BG1127">
        <f t="shared" si="1014"/>
        <v>0</v>
      </c>
      <c r="BH1127">
        <f t="shared" si="1015"/>
        <v>0</v>
      </c>
      <c r="BI1127">
        <f t="shared" si="1016"/>
        <v>0</v>
      </c>
      <c r="BJ1127">
        <f t="shared" si="1017"/>
        <v>0</v>
      </c>
      <c r="BK1127">
        <f t="shared" si="1018"/>
        <v>0</v>
      </c>
      <c r="BL1127">
        <f t="shared" si="1019"/>
        <v>0</v>
      </c>
      <c r="BM1127">
        <f t="shared" si="1020"/>
        <v>0</v>
      </c>
      <c r="BN1127">
        <f t="shared" si="1021"/>
        <v>0</v>
      </c>
      <c r="BO1127">
        <f t="shared" si="1022"/>
        <v>0</v>
      </c>
      <c r="BP1127">
        <f t="shared" si="1023"/>
        <v>0</v>
      </c>
      <c r="BQ1127">
        <f t="shared" si="1024"/>
        <v>0</v>
      </c>
      <c r="BR1127">
        <f t="shared" si="1025"/>
        <v>0</v>
      </c>
      <c r="BS1127">
        <f t="shared" si="1026"/>
        <v>0</v>
      </c>
      <c r="BT1127">
        <f t="shared" si="1027"/>
        <v>0</v>
      </c>
      <c r="BU1127">
        <f t="shared" si="1028"/>
        <v>0</v>
      </c>
      <c r="BV1127">
        <f t="shared" si="1029"/>
        <v>0</v>
      </c>
      <c r="BW1127">
        <f t="shared" si="1030"/>
        <v>0</v>
      </c>
      <c r="BX1127">
        <f t="shared" si="1031"/>
        <v>0</v>
      </c>
      <c r="BY1127">
        <f t="shared" si="1032"/>
        <v>0</v>
      </c>
      <c r="BZ1127">
        <f t="shared" si="1033"/>
        <v>0</v>
      </c>
      <c r="CA1127">
        <f t="shared" si="1034"/>
        <v>0</v>
      </c>
      <c r="CB1127">
        <f t="shared" si="1035"/>
        <v>0</v>
      </c>
      <c r="CC1127">
        <f t="shared" si="1036"/>
        <v>0</v>
      </c>
      <c r="CD1127">
        <f t="shared" si="1037"/>
        <v>0</v>
      </c>
      <c r="CE1127">
        <f t="shared" si="1038"/>
        <v>0</v>
      </c>
      <c r="CF1127">
        <f t="shared" si="1039"/>
        <v>0</v>
      </c>
      <c r="CG1127">
        <f t="shared" si="1040"/>
        <v>0</v>
      </c>
      <c r="CH1127">
        <f t="shared" si="1041"/>
        <v>0</v>
      </c>
      <c r="CI1127">
        <f t="shared" si="1042"/>
        <v>0</v>
      </c>
      <c r="CL1127" s="342">
        <f t="shared" si="1043"/>
        <v>0</v>
      </c>
    </row>
    <row r="1128" spans="1:90" ht="15" customHeight="1">
      <c r="A1128" s="49"/>
      <c r="B1128" s="38"/>
      <c r="C1128" s="143" t="s">
        <v>2520</v>
      </c>
      <c r="D1128" s="962" t="str">
        <f>IF(CNSIPEE_2024_M2_Secc1!D46="","",CNSIPEE_2024_M2_Secc1!D46)</f>
        <v/>
      </c>
      <c r="E1128" s="963"/>
      <c r="F1128" s="963"/>
      <c r="G1128" s="963"/>
      <c r="H1128" s="963"/>
      <c r="I1128" s="963"/>
      <c r="J1128" s="963"/>
      <c r="K1128" s="963"/>
      <c r="L1128" s="964"/>
      <c r="M1128" s="100"/>
      <c r="N1128" s="100"/>
      <c r="O1128" s="100"/>
      <c r="P1128" s="100"/>
      <c r="Q1128" s="100"/>
      <c r="R1128" s="100"/>
      <c r="S1128" s="100"/>
      <c r="T1128" s="100"/>
      <c r="U1128" s="100"/>
      <c r="V1128" s="100"/>
      <c r="W1128" s="100"/>
      <c r="X1128" s="100"/>
      <c r="Y1128" s="100"/>
      <c r="Z1128" s="100"/>
      <c r="AA1128" s="100"/>
      <c r="AB1128" s="100"/>
      <c r="AC1128" s="100"/>
      <c r="AD1128" s="100"/>
      <c r="AG1128">
        <f t="shared" si="990"/>
        <v>0</v>
      </c>
      <c r="AH1128">
        <f t="shared" si="991"/>
        <v>0</v>
      </c>
      <c r="AI1128">
        <f t="shared" si="1044"/>
        <v>0</v>
      </c>
      <c r="AK1128">
        <f t="shared" si="992"/>
        <v>0</v>
      </c>
      <c r="AL1128">
        <f t="shared" si="993"/>
        <v>0</v>
      </c>
      <c r="AM1128">
        <f t="shared" si="994"/>
        <v>0</v>
      </c>
      <c r="AN1128">
        <f t="shared" si="995"/>
        <v>0</v>
      </c>
      <c r="AO1128">
        <f t="shared" si="996"/>
        <v>0</v>
      </c>
      <c r="AP1128">
        <f t="shared" si="997"/>
        <v>0</v>
      </c>
      <c r="AQ1128">
        <f t="shared" si="998"/>
        <v>0</v>
      </c>
      <c r="AR1128">
        <f t="shared" si="999"/>
        <v>0</v>
      </c>
      <c r="AS1128">
        <f t="shared" si="1000"/>
        <v>0</v>
      </c>
      <c r="AT1128">
        <f t="shared" si="1001"/>
        <v>0</v>
      </c>
      <c r="AU1128">
        <f t="shared" si="1002"/>
        <v>0</v>
      </c>
      <c r="AV1128">
        <f t="shared" si="1003"/>
        <v>0</v>
      </c>
      <c r="AW1128">
        <f t="shared" si="1004"/>
        <v>0</v>
      </c>
      <c r="AX1128">
        <f t="shared" si="1005"/>
        <v>0</v>
      </c>
      <c r="AY1128">
        <f t="shared" si="1006"/>
        <v>0</v>
      </c>
      <c r="AZ1128">
        <f t="shared" si="1007"/>
        <v>0</v>
      </c>
      <c r="BA1128">
        <f t="shared" si="1008"/>
        <v>0</v>
      </c>
      <c r="BB1128">
        <f t="shared" si="1009"/>
        <v>0</v>
      </c>
      <c r="BC1128">
        <f t="shared" si="1010"/>
        <v>0</v>
      </c>
      <c r="BD1128">
        <f t="shared" si="1011"/>
        <v>0</v>
      </c>
      <c r="BE1128">
        <f t="shared" si="1012"/>
        <v>0</v>
      </c>
      <c r="BF1128">
        <f t="shared" si="1013"/>
        <v>0</v>
      </c>
      <c r="BG1128">
        <f t="shared" si="1014"/>
        <v>0</v>
      </c>
      <c r="BH1128">
        <f t="shared" si="1015"/>
        <v>0</v>
      </c>
      <c r="BI1128">
        <f t="shared" si="1016"/>
        <v>0</v>
      </c>
      <c r="BJ1128">
        <f t="shared" si="1017"/>
        <v>0</v>
      </c>
      <c r="BK1128">
        <f t="shared" si="1018"/>
        <v>0</v>
      </c>
      <c r="BL1128">
        <f t="shared" si="1019"/>
        <v>0</v>
      </c>
      <c r="BM1128">
        <f t="shared" si="1020"/>
        <v>0</v>
      </c>
      <c r="BN1128">
        <f t="shared" si="1021"/>
        <v>0</v>
      </c>
      <c r="BO1128">
        <f t="shared" si="1022"/>
        <v>0</v>
      </c>
      <c r="BP1128">
        <f t="shared" si="1023"/>
        <v>0</v>
      </c>
      <c r="BQ1128">
        <f t="shared" si="1024"/>
        <v>0</v>
      </c>
      <c r="BR1128">
        <f t="shared" si="1025"/>
        <v>0</v>
      </c>
      <c r="BS1128">
        <f t="shared" si="1026"/>
        <v>0</v>
      </c>
      <c r="BT1128">
        <f t="shared" si="1027"/>
        <v>0</v>
      </c>
      <c r="BU1128">
        <f t="shared" si="1028"/>
        <v>0</v>
      </c>
      <c r="BV1128">
        <f t="shared" si="1029"/>
        <v>0</v>
      </c>
      <c r="BW1128">
        <f t="shared" si="1030"/>
        <v>0</v>
      </c>
      <c r="BX1128">
        <f t="shared" si="1031"/>
        <v>0</v>
      </c>
      <c r="BY1128">
        <f t="shared" si="1032"/>
        <v>0</v>
      </c>
      <c r="BZ1128">
        <f t="shared" si="1033"/>
        <v>0</v>
      </c>
      <c r="CA1128">
        <f t="shared" si="1034"/>
        <v>0</v>
      </c>
      <c r="CB1128">
        <f t="shared" si="1035"/>
        <v>0</v>
      </c>
      <c r="CC1128">
        <f t="shared" si="1036"/>
        <v>0</v>
      </c>
      <c r="CD1128">
        <f t="shared" si="1037"/>
        <v>0</v>
      </c>
      <c r="CE1128">
        <f t="shared" si="1038"/>
        <v>0</v>
      </c>
      <c r="CF1128">
        <f t="shared" si="1039"/>
        <v>0</v>
      </c>
      <c r="CG1128">
        <f t="shared" si="1040"/>
        <v>0</v>
      </c>
      <c r="CH1128">
        <f t="shared" si="1041"/>
        <v>0</v>
      </c>
      <c r="CI1128">
        <f t="shared" si="1042"/>
        <v>0</v>
      </c>
      <c r="CL1128" s="342">
        <f t="shared" si="1043"/>
        <v>0</v>
      </c>
    </row>
    <row r="1129" spans="1:90" ht="15" customHeight="1">
      <c r="A1129" s="49"/>
      <c r="B1129" s="38"/>
      <c r="C1129" s="143" t="s">
        <v>2521</v>
      </c>
      <c r="D1129" s="962" t="str">
        <f>IF(CNSIPEE_2024_M2_Secc1!D47="","",CNSIPEE_2024_M2_Secc1!D47)</f>
        <v/>
      </c>
      <c r="E1129" s="963"/>
      <c r="F1129" s="963"/>
      <c r="G1129" s="963"/>
      <c r="H1129" s="963"/>
      <c r="I1129" s="963"/>
      <c r="J1129" s="963"/>
      <c r="K1129" s="963"/>
      <c r="L1129" s="964"/>
      <c r="M1129" s="100"/>
      <c r="N1129" s="100"/>
      <c r="O1129" s="100"/>
      <c r="P1129" s="100"/>
      <c r="Q1129" s="100"/>
      <c r="R1129" s="100"/>
      <c r="S1129" s="100"/>
      <c r="T1129" s="100"/>
      <c r="U1129" s="100"/>
      <c r="V1129" s="100"/>
      <c r="W1129" s="100"/>
      <c r="X1129" s="100"/>
      <c r="Y1129" s="100"/>
      <c r="Z1129" s="100"/>
      <c r="AA1129" s="100"/>
      <c r="AB1129" s="100"/>
      <c r="AC1129" s="100"/>
      <c r="AD1129" s="100"/>
      <c r="AG1129">
        <f t="shared" si="990"/>
        <v>0</v>
      </c>
      <c r="AH1129">
        <f t="shared" si="991"/>
        <v>0</v>
      </c>
      <c r="AI1129">
        <f t="shared" si="1044"/>
        <v>0</v>
      </c>
      <c r="AK1129">
        <f t="shared" si="992"/>
        <v>0</v>
      </c>
      <c r="AL1129">
        <f t="shared" si="993"/>
        <v>0</v>
      </c>
      <c r="AM1129">
        <f t="shared" si="994"/>
        <v>0</v>
      </c>
      <c r="AN1129">
        <f t="shared" si="995"/>
        <v>0</v>
      </c>
      <c r="AO1129">
        <f t="shared" si="996"/>
        <v>0</v>
      </c>
      <c r="AP1129">
        <f t="shared" si="997"/>
        <v>0</v>
      </c>
      <c r="AQ1129">
        <f t="shared" si="998"/>
        <v>0</v>
      </c>
      <c r="AR1129">
        <f t="shared" si="999"/>
        <v>0</v>
      </c>
      <c r="AS1129">
        <f t="shared" si="1000"/>
        <v>0</v>
      </c>
      <c r="AT1129">
        <f t="shared" si="1001"/>
        <v>0</v>
      </c>
      <c r="AU1129">
        <f t="shared" si="1002"/>
        <v>0</v>
      </c>
      <c r="AV1129">
        <f t="shared" si="1003"/>
        <v>0</v>
      </c>
      <c r="AW1129">
        <f t="shared" si="1004"/>
        <v>0</v>
      </c>
      <c r="AX1129">
        <f t="shared" si="1005"/>
        <v>0</v>
      </c>
      <c r="AY1129">
        <f t="shared" si="1006"/>
        <v>0</v>
      </c>
      <c r="AZ1129">
        <f t="shared" si="1007"/>
        <v>0</v>
      </c>
      <c r="BA1129">
        <f t="shared" si="1008"/>
        <v>0</v>
      </c>
      <c r="BB1129">
        <f t="shared" si="1009"/>
        <v>0</v>
      </c>
      <c r="BC1129">
        <f t="shared" si="1010"/>
        <v>0</v>
      </c>
      <c r="BD1129">
        <f t="shared" si="1011"/>
        <v>0</v>
      </c>
      <c r="BE1129">
        <f t="shared" si="1012"/>
        <v>0</v>
      </c>
      <c r="BF1129">
        <f t="shared" si="1013"/>
        <v>0</v>
      </c>
      <c r="BG1129">
        <f t="shared" si="1014"/>
        <v>0</v>
      </c>
      <c r="BH1129">
        <f t="shared" si="1015"/>
        <v>0</v>
      </c>
      <c r="BI1129">
        <f t="shared" si="1016"/>
        <v>0</v>
      </c>
      <c r="BJ1129">
        <f t="shared" si="1017"/>
        <v>0</v>
      </c>
      <c r="BK1129">
        <f t="shared" si="1018"/>
        <v>0</v>
      </c>
      <c r="BL1129">
        <f t="shared" si="1019"/>
        <v>0</v>
      </c>
      <c r="BM1129">
        <f t="shared" si="1020"/>
        <v>0</v>
      </c>
      <c r="BN1129">
        <f t="shared" si="1021"/>
        <v>0</v>
      </c>
      <c r="BO1129">
        <f t="shared" si="1022"/>
        <v>0</v>
      </c>
      <c r="BP1129">
        <f t="shared" si="1023"/>
        <v>0</v>
      </c>
      <c r="BQ1129">
        <f t="shared" si="1024"/>
        <v>0</v>
      </c>
      <c r="BR1129">
        <f t="shared" si="1025"/>
        <v>0</v>
      </c>
      <c r="BS1129">
        <f t="shared" si="1026"/>
        <v>0</v>
      </c>
      <c r="BT1129">
        <f t="shared" si="1027"/>
        <v>0</v>
      </c>
      <c r="BU1129">
        <f t="shared" si="1028"/>
        <v>0</v>
      </c>
      <c r="BV1129">
        <f t="shared" si="1029"/>
        <v>0</v>
      </c>
      <c r="BW1129">
        <f t="shared" si="1030"/>
        <v>0</v>
      </c>
      <c r="BX1129">
        <f t="shared" si="1031"/>
        <v>0</v>
      </c>
      <c r="BY1129">
        <f t="shared" si="1032"/>
        <v>0</v>
      </c>
      <c r="BZ1129">
        <f t="shared" si="1033"/>
        <v>0</v>
      </c>
      <c r="CA1129">
        <f t="shared" si="1034"/>
        <v>0</v>
      </c>
      <c r="CB1129">
        <f t="shared" si="1035"/>
        <v>0</v>
      </c>
      <c r="CC1129">
        <f t="shared" si="1036"/>
        <v>0</v>
      </c>
      <c r="CD1129">
        <f t="shared" si="1037"/>
        <v>0</v>
      </c>
      <c r="CE1129">
        <f t="shared" si="1038"/>
        <v>0</v>
      </c>
      <c r="CF1129">
        <f t="shared" si="1039"/>
        <v>0</v>
      </c>
      <c r="CG1129">
        <f t="shared" si="1040"/>
        <v>0</v>
      </c>
      <c r="CH1129">
        <f t="shared" si="1041"/>
        <v>0</v>
      </c>
      <c r="CI1129">
        <f t="shared" si="1042"/>
        <v>0</v>
      </c>
      <c r="CL1129" s="342">
        <f t="shared" si="1043"/>
        <v>0</v>
      </c>
    </row>
    <row r="1130" spans="1:90" ht="15" customHeight="1">
      <c r="A1130" s="49"/>
      <c r="B1130" s="38"/>
      <c r="C1130" s="143" t="s">
        <v>2522</v>
      </c>
      <c r="D1130" s="962" t="str">
        <f>IF(CNSIPEE_2024_M2_Secc1!D48="","",CNSIPEE_2024_M2_Secc1!D48)</f>
        <v/>
      </c>
      <c r="E1130" s="963"/>
      <c r="F1130" s="963"/>
      <c r="G1130" s="963"/>
      <c r="H1130" s="963"/>
      <c r="I1130" s="963"/>
      <c r="J1130" s="963"/>
      <c r="K1130" s="963"/>
      <c r="L1130" s="964"/>
      <c r="M1130" s="100"/>
      <c r="N1130" s="100"/>
      <c r="O1130" s="100"/>
      <c r="P1130" s="100"/>
      <c r="Q1130" s="100"/>
      <c r="R1130" s="100"/>
      <c r="S1130" s="100"/>
      <c r="T1130" s="100"/>
      <c r="U1130" s="100"/>
      <c r="V1130" s="100"/>
      <c r="W1130" s="100"/>
      <c r="X1130" s="100"/>
      <c r="Y1130" s="100"/>
      <c r="Z1130" s="100"/>
      <c r="AA1130" s="100"/>
      <c r="AB1130" s="100"/>
      <c r="AC1130" s="100"/>
      <c r="AD1130" s="100"/>
      <c r="AG1130">
        <f t="shared" si="990"/>
        <v>0</v>
      </c>
      <c r="AH1130">
        <f t="shared" si="991"/>
        <v>0</v>
      </c>
      <c r="AI1130">
        <f t="shared" si="1044"/>
        <v>0</v>
      </c>
      <c r="AK1130">
        <f t="shared" si="992"/>
        <v>0</v>
      </c>
      <c r="AL1130">
        <f t="shared" si="993"/>
        <v>0</v>
      </c>
      <c r="AM1130">
        <f t="shared" si="994"/>
        <v>0</v>
      </c>
      <c r="AN1130">
        <f t="shared" si="995"/>
        <v>0</v>
      </c>
      <c r="AO1130">
        <f t="shared" si="996"/>
        <v>0</v>
      </c>
      <c r="AP1130">
        <f t="shared" si="997"/>
        <v>0</v>
      </c>
      <c r="AQ1130">
        <f t="shared" si="998"/>
        <v>0</v>
      </c>
      <c r="AR1130">
        <f t="shared" si="999"/>
        <v>0</v>
      </c>
      <c r="AS1130">
        <f t="shared" si="1000"/>
        <v>0</v>
      </c>
      <c r="AT1130">
        <f t="shared" si="1001"/>
        <v>0</v>
      </c>
      <c r="AU1130">
        <f t="shared" si="1002"/>
        <v>0</v>
      </c>
      <c r="AV1130">
        <f t="shared" si="1003"/>
        <v>0</v>
      </c>
      <c r="AW1130">
        <f t="shared" si="1004"/>
        <v>0</v>
      </c>
      <c r="AX1130">
        <f t="shared" si="1005"/>
        <v>0</v>
      </c>
      <c r="AY1130">
        <f t="shared" si="1006"/>
        <v>0</v>
      </c>
      <c r="AZ1130">
        <f t="shared" si="1007"/>
        <v>0</v>
      </c>
      <c r="BA1130">
        <f t="shared" si="1008"/>
        <v>0</v>
      </c>
      <c r="BB1130">
        <f t="shared" si="1009"/>
        <v>0</v>
      </c>
      <c r="BC1130">
        <f t="shared" si="1010"/>
        <v>0</v>
      </c>
      <c r="BD1130">
        <f t="shared" si="1011"/>
        <v>0</v>
      </c>
      <c r="BE1130">
        <f t="shared" si="1012"/>
        <v>0</v>
      </c>
      <c r="BF1130">
        <f t="shared" si="1013"/>
        <v>0</v>
      </c>
      <c r="BG1130">
        <f t="shared" si="1014"/>
        <v>0</v>
      </c>
      <c r="BH1130">
        <f t="shared" si="1015"/>
        <v>0</v>
      </c>
      <c r="BI1130">
        <f t="shared" si="1016"/>
        <v>0</v>
      </c>
      <c r="BJ1130">
        <f t="shared" si="1017"/>
        <v>0</v>
      </c>
      <c r="BK1130">
        <f t="shared" si="1018"/>
        <v>0</v>
      </c>
      <c r="BL1130">
        <f t="shared" si="1019"/>
        <v>0</v>
      </c>
      <c r="BM1130">
        <f t="shared" si="1020"/>
        <v>0</v>
      </c>
      <c r="BN1130">
        <f t="shared" si="1021"/>
        <v>0</v>
      </c>
      <c r="BO1130">
        <f t="shared" si="1022"/>
        <v>0</v>
      </c>
      <c r="BP1130">
        <f t="shared" si="1023"/>
        <v>0</v>
      </c>
      <c r="BQ1130">
        <f t="shared" si="1024"/>
        <v>0</v>
      </c>
      <c r="BR1130">
        <f t="shared" si="1025"/>
        <v>0</v>
      </c>
      <c r="BS1130">
        <f t="shared" si="1026"/>
        <v>0</v>
      </c>
      <c r="BT1130">
        <f t="shared" si="1027"/>
        <v>0</v>
      </c>
      <c r="BU1130">
        <f t="shared" si="1028"/>
        <v>0</v>
      </c>
      <c r="BV1130">
        <f t="shared" si="1029"/>
        <v>0</v>
      </c>
      <c r="BW1130">
        <f t="shared" si="1030"/>
        <v>0</v>
      </c>
      <c r="BX1130">
        <f t="shared" si="1031"/>
        <v>0</v>
      </c>
      <c r="BY1130">
        <f t="shared" si="1032"/>
        <v>0</v>
      </c>
      <c r="BZ1130">
        <f t="shared" si="1033"/>
        <v>0</v>
      </c>
      <c r="CA1130">
        <f t="shared" si="1034"/>
        <v>0</v>
      </c>
      <c r="CB1130">
        <f t="shared" si="1035"/>
        <v>0</v>
      </c>
      <c r="CC1130">
        <f t="shared" si="1036"/>
        <v>0</v>
      </c>
      <c r="CD1130">
        <f t="shared" si="1037"/>
        <v>0</v>
      </c>
      <c r="CE1130">
        <f t="shared" si="1038"/>
        <v>0</v>
      </c>
      <c r="CF1130">
        <f t="shared" si="1039"/>
        <v>0</v>
      </c>
      <c r="CG1130">
        <f t="shared" si="1040"/>
        <v>0</v>
      </c>
      <c r="CH1130">
        <f t="shared" si="1041"/>
        <v>0</v>
      </c>
      <c r="CI1130">
        <f t="shared" si="1042"/>
        <v>0</v>
      </c>
      <c r="CL1130" s="342">
        <f t="shared" si="1043"/>
        <v>0</v>
      </c>
    </row>
    <row r="1131" spans="1:90" ht="15" customHeight="1">
      <c r="A1131" s="49"/>
      <c r="B1131" s="38"/>
      <c r="C1131" s="143" t="s">
        <v>2523</v>
      </c>
      <c r="D1131" s="962" t="str">
        <f>IF(CNSIPEE_2024_M2_Secc1!D49="","",CNSIPEE_2024_M2_Secc1!D49)</f>
        <v/>
      </c>
      <c r="E1131" s="963"/>
      <c r="F1131" s="963"/>
      <c r="G1131" s="963"/>
      <c r="H1131" s="963"/>
      <c r="I1131" s="963"/>
      <c r="J1131" s="963"/>
      <c r="K1131" s="963"/>
      <c r="L1131" s="964"/>
      <c r="M1131" s="100"/>
      <c r="N1131" s="100"/>
      <c r="O1131" s="100"/>
      <c r="P1131" s="100"/>
      <c r="Q1131" s="100"/>
      <c r="R1131" s="100"/>
      <c r="S1131" s="100"/>
      <c r="T1131" s="100"/>
      <c r="U1131" s="100"/>
      <c r="V1131" s="100"/>
      <c r="W1131" s="100"/>
      <c r="X1131" s="100"/>
      <c r="Y1131" s="100"/>
      <c r="Z1131" s="100"/>
      <c r="AA1131" s="100"/>
      <c r="AB1131" s="100"/>
      <c r="AC1131" s="100"/>
      <c r="AD1131" s="100"/>
      <c r="AG1131">
        <f t="shared" si="990"/>
        <v>0</v>
      </c>
      <c r="AH1131">
        <f t="shared" si="991"/>
        <v>0</v>
      </c>
      <c r="AI1131">
        <f t="shared" si="1044"/>
        <v>0</v>
      </c>
      <c r="AK1131">
        <f t="shared" si="992"/>
        <v>0</v>
      </c>
      <c r="AL1131">
        <f t="shared" si="993"/>
        <v>0</v>
      </c>
      <c r="AM1131">
        <f t="shared" si="994"/>
        <v>0</v>
      </c>
      <c r="AN1131">
        <f t="shared" si="995"/>
        <v>0</v>
      </c>
      <c r="AO1131">
        <f t="shared" si="996"/>
        <v>0</v>
      </c>
      <c r="AP1131">
        <f t="shared" si="997"/>
        <v>0</v>
      </c>
      <c r="AQ1131">
        <f t="shared" si="998"/>
        <v>0</v>
      </c>
      <c r="AR1131">
        <f t="shared" si="999"/>
        <v>0</v>
      </c>
      <c r="AS1131">
        <f t="shared" si="1000"/>
        <v>0</v>
      </c>
      <c r="AT1131">
        <f t="shared" si="1001"/>
        <v>0</v>
      </c>
      <c r="AU1131">
        <f t="shared" si="1002"/>
        <v>0</v>
      </c>
      <c r="AV1131">
        <f t="shared" si="1003"/>
        <v>0</v>
      </c>
      <c r="AW1131">
        <f t="shared" si="1004"/>
        <v>0</v>
      </c>
      <c r="AX1131">
        <f t="shared" si="1005"/>
        <v>0</v>
      </c>
      <c r="AY1131">
        <f t="shared" si="1006"/>
        <v>0</v>
      </c>
      <c r="AZ1131">
        <f t="shared" si="1007"/>
        <v>0</v>
      </c>
      <c r="BA1131">
        <f t="shared" si="1008"/>
        <v>0</v>
      </c>
      <c r="BB1131">
        <f t="shared" si="1009"/>
        <v>0</v>
      </c>
      <c r="BC1131">
        <f t="shared" si="1010"/>
        <v>0</v>
      </c>
      <c r="BD1131">
        <f t="shared" si="1011"/>
        <v>0</v>
      </c>
      <c r="BE1131">
        <f t="shared" si="1012"/>
        <v>0</v>
      </c>
      <c r="BF1131">
        <f t="shared" si="1013"/>
        <v>0</v>
      </c>
      <c r="BG1131">
        <f t="shared" si="1014"/>
        <v>0</v>
      </c>
      <c r="BH1131">
        <f t="shared" si="1015"/>
        <v>0</v>
      </c>
      <c r="BI1131">
        <f t="shared" si="1016"/>
        <v>0</v>
      </c>
      <c r="BJ1131">
        <f t="shared" si="1017"/>
        <v>0</v>
      </c>
      <c r="BK1131">
        <f t="shared" si="1018"/>
        <v>0</v>
      </c>
      <c r="BL1131">
        <f t="shared" si="1019"/>
        <v>0</v>
      </c>
      <c r="BM1131">
        <f t="shared" si="1020"/>
        <v>0</v>
      </c>
      <c r="BN1131">
        <f t="shared" si="1021"/>
        <v>0</v>
      </c>
      <c r="BO1131">
        <f t="shared" si="1022"/>
        <v>0</v>
      </c>
      <c r="BP1131">
        <f t="shared" si="1023"/>
        <v>0</v>
      </c>
      <c r="BQ1131">
        <f t="shared" si="1024"/>
        <v>0</v>
      </c>
      <c r="BR1131">
        <f t="shared" si="1025"/>
        <v>0</v>
      </c>
      <c r="BS1131">
        <f t="shared" si="1026"/>
        <v>0</v>
      </c>
      <c r="BT1131">
        <f t="shared" si="1027"/>
        <v>0</v>
      </c>
      <c r="BU1131">
        <f t="shared" si="1028"/>
        <v>0</v>
      </c>
      <c r="BV1131">
        <f t="shared" si="1029"/>
        <v>0</v>
      </c>
      <c r="BW1131">
        <f t="shared" si="1030"/>
        <v>0</v>
      </c>
      <c r="BX1131">
        <f t="shared" si="1031"/>
        <v>0</v>
      </c>
      <c r="BY1131">
        <f t="shared" si="1032"/>
        <v>0</v>
      </c>
      <c r="BZ1131">
        <f t="shared" si="1033"/>
        <v>0</v>
      </c>
      <c r="CA1131">
        <f t="shared" si="1034"/>
        <v>0</v>
      </c>
      <c r="CB1131">
        <f t="shared" si="1035"/>
        <v>0</v>
      </c>
      <c r="CC1131">
        <f t="shared" si="1036"/>
        <v>0</v>
      </c>
      <c r="CD1131">
        <f t="shared" si="1037"/>
        <v>0</v>
      </c>
      <c r="CE1131">
        <f t="shared" si="1038"/>
        <v>0</v>
      </c>
      <c r="CF1131">
        <f t="shared" si="1039"/>
        <v>0</v>
      </c>
      <c r="CG1131">
        <f t="shared" si="1040"/>
        <v>0</v>
      </c>
      <c r="CH1131">
        <f t="shared" si="1041"/>
        <v>0</v>
      </c>
      <c r="CI1131">
        <f t="shared" si="1042"/>
        <v>0</v>
      </c>
      <c r="CL1131" s="342">
        <f t="shared" si="1043"/>
        <v>0</v>
      </c>
    </row>
    <row r="1132" spans="1:90" ht="15" customHeight="1">
      <c r="A1132" s="49"/>
      <c r="B1132" s="38"/>
      <c r="C1132" s="70"/>
      <c r="D1132" s="84"/>
      <c r="E1132" s="84"/>
      <c r="F1132" s="84"/>
      <c r="G1132" s="84"/>
      <c r="H1132" s="84"/>
      <c r="I1132" s="117"/>
      <c r="J1132" s="51"/>
      <c r="K1132" s="117"/>
      <c r="L1132" s="117"/>
      <c r="M1132" s="124">
        <f>IF(AND(SUM(M1124:M1131)=0,COUNTIF(M1124:M1131,"NS")&gt;0),"NS",
IF(AND(SUM(M1124:M1131)=0,COUNTIF(M1124:M1131,0)&gt;0),0,
IF(AND(SUM(M1124:M1131)=0,COUNTIF(M1124:M1131,"NA")&gt;0),"NA",
SUM(M1124:M1131))))</f>
        <v>0</v>
      </c>
      <c r="N1132" s="124">
        <f t="shared" ref="N1132:AD1132" si="1045">IF(AND(SUM(N1124:N1131)=0,COUNTIF(N1124:N1131,"NS")&gt;0),"NS",
IF(AND(SUM(N1124:N1131)=0,COUNTIF(N1124:N1131,0)&gt;0),0,
IF(AND(SUM(N1124:N1131)=0,COUNTIF(N1124:N1131,"NA")&gt;0),"NA",
SUM(N1124:N1131))))</f>
        <v>0</v>
      </c>
      <c r="O1132" s="124">
        <f t="shared" si="1045"/>
        <v>0</v>
      </c>
      <c r="P1132" s="124">
        <f t="shared" si="1045"/>
        <v>0</v>
      </c>
      <c r="Q1132" s="124">
        <f t="shared" si="1045"/>
        <v>0</v>
      </c>
      <c r="R1132" s="124">
        <f t="shared" si="1045"/>
        <v>0</v>
      </c>
      <c r="S1132" s="124">
        <f t="shared" si="1045"/>
        <v>0</v>
      </c>
      <c r="T1132" s="124">
        <f t="shared" si="1045"/>
        <v>0</v>
      </c>
      <c r="U1132" s="124">
        <f t="shared" si="1045"/>
        <v>0</v>
      </c>
      <c r="V1132" s="124">
        <f t="shared" si="1045"/>
        <v>0</v>
      </c>
      <c r="W1132" s="124">
        <f t="shared" si="1045"/>
        <v>0</v>
      </c>
      <c r="X1132" s="124">
        <f t="shared" si="1045"/>
        <v>0</v>
      </c>
      <c r="Y1132" s="124">
        <f t="shared" si="1045"/>
        <v>0</v>
      </c>
      <c r="Z1132" s="124">
        <f t="shared" si="1045"/>
        <v>0</v>
      </c>
      <c r="AA1132" s="124">
        <f t="shared" si="1045"/>
        <v>0</v>
      </c>
      <c r="AB1132" s="124">
        <f t="shared" si="1045"/>
        <v>0</v>
      </c>
      <c r="AC1132" s="124">
        <f t="shared" si="1045"/>
        <v>0</v>
      </c>
      <c r="AD1132" s="124">
        <f t="shared" si="1045"/>
        <v>0</v>
      </c>
      <c r="AG1132" s="439">
        <f>SUM(AG1124:AG1131)</f>
        <v>0</v>
      </c>
      <c r="AH1132" s="440">
        <f>SUM(AH1124:AH1131)</f>
        <v>0</v>
      </c>
      <c r="AI1132" s="441">
        <f>SUM(AI1124:AI1131)</f>
        <v>0</v>
      </c>
      <c r="AK1132" s="442">
        <f>SUM(AK1124:AK1131)</f>
        <v>0</v>
      </c>
      <c r="AL1132" s="443">
        <f>SUM(AL1124:AL1131)</f>
        <v>0</v>
      </c>
      <c r="AM1132" s="444">
        <f>SUM(AM1124:AM1131)</f>
        <v>0</v>
      </c>
      <c r="AN1132" s="442">
        <f t="shared" ref="AN1132:CI1132" si="1046">SUM(AN1124:AN1131)</f>
        <v>0</v>
      </c>
      <c r="AO1132" s="443">
        <f t="shared" si="1046"/>
        <v>0</v>
      </c>
      <c r="AP1132" s="444">
        <f t="shared" si="1046"/>
        <v>0</v>
      </c>
      <c r="AQ1132" s="442">
        <f t="shared" si="1046"/>
        <v>0</v>
      </c>
      <c r="AR1132" s="443">
        <f t="shared" si="1046"/>
        <v>0</v>
      </c>
      <c r="AS1132" s="444">
        <f t="shared" si="1046"/>
        <v>0</v>
      </c>
      <c r="AT1132" s="442">
        <f t="shared" si="1046"/>
        <v>0</v>
      </c>
      <c r="AU1132" s="443">
        <f t="shared" si="1046"/>
        <v>0</v>
      </c>
      <c r="AV1132" s="444">
        <f t="shared" si="1046"/>
        <v>0</v>
      </c>
      <c r="AW1132" s="442">
        <f t="shared" si="1046"/>
        <v>0</v>
      </c>
      <c r="AX1132" s="443">
        <f t="shared" si="1046"/>
        <v>0</v>
      </c>
      <c r="AY1132" s="444">
        <f t="shared" si="1046"/>
        <v>0</v>
      </c>
      <c r="AZ1132" s="442">
        <f t="shared" si="1046"/>
        <v>0</v>
      </c>
      <c r="BA1132" s="443">
        <f t="shared" si="1046"/>
        <v>0</v>
      </c>
      <c r="BB1132" s="444">
        <f t="shared" si="1046"/>
        <v>0</v>
      </c>
      <c r="BC1132" s="442">
        <f t="shared" si="1046"/>
        <v>0</v>
      </c>
      <c r="BD1132" s="443">
        <f t="shared" si="1046"/>
        <v>0</v>
      </c>
      <c r="BE1132" s="444">
        <f t="shared" si="1046"/>
        <v>0</v>
      </c>
      <c r="BF1132" s="442">
        <f t="shared" si="1046"/>
        <v>0</v>
      </c>
      <c r="BG1132" s="443">
        <f t="shared" si="1046"/>
        <v>0</v>
      </c>
      <c r="BH1132" s="444">
        <f t="shared" si="1046"/>
        <v>0</v>
      </c>
      <c r="BI1132" s="442">
        <f t="shared" si="1046"/>
        <v>0</v>
      </c>
      <c r="BJ1132" s="443">
        <f t="shared" si="1046"/>
        <v>0</v>
      </c>
      <c r="BK1132" s="444">
        <f t="shared" si="1046"/>
        <v>0</v>
      </c>
      <c r="BL1132" s="442">
        <f t="shared" si="1046"/>
        <v>0</v>
      </c>
      <c r="BM1132" s="443">
        <f t="shared" si="1046"/>
        <v>0</v>
      </c>
      <c r="BN1132" s="444">
        <f t="shared" si="1046"/>
        <v>0</v>
      </c>
      <c r="BO1132" s="442">
        <f t="shared" si="1046"/>
        <v>0</v>
      </c>
      <c r="BP1132" s="443">
        <f t="shared" si="1046"/>
        <v>0</v>
      </c>
      <c r="BQ1132" s="444">
        <f t="shared" si="1046"/>
        <v>0</v>
      </c>
      <c r="BR1132" s="442">
        <f t="shared" si="1046"/>
        <v>0</v>
      </c>
      <c r="BS1132" s="443">
        <f t="shared" si="1046"/>
        <v>0</v>
      </c>
      <c r="BT1132" s="444">
        <f t="shared" si="1046"/>
        <v>0</v>
      </c>
      <c r="BU1132" s="442">
        <f t="shared" si="1046"/>
        <v>0</v>
      </c>
      <c r="BV1132" s="443">
        <f t="shared" si="1046"/>
        <v>0</v>
      </c>
      <c r="BW1132" s="444">
        <f t="shared" si="1046"/>
        <v>0</v>
      </c>
      <c r="BX1132" s="442">
        <f t="shared" si="1046"/>
        <v>0</v>
      </c>
      <c r="BY1132" s="443">
        <f t="shared" si="1046"/>
        <v>0</v>
      </c>
      <c r="BZ1132" s="444">
        <f t="shared" si="1046"/>
        <v>0</v>
      </c>
      <c r="CA1132" s="442">
        <f t="shared" si="1046"/>
        <v>0</v>
      </c>
      <c r="CB1132" s="443">
        <f t="shared" si="1046"/>
        <v>0</v>
      </c>
      <c r="CC1132" s="444">
        <f t="shared" si="1046"/>
        <v>0</v>
      </c>
      <c r="CD1132" s="442">
        <f t="shared" si="1046"/>
        <v>0</v>
      </c>
      <c r="CE1132" s="443">
        <f t="shared" si="1046"/>
        <v>0</v>
      </c>
      <c r="CF1132" s="444">
        <f t="shared" si="1046"/>
        <v>0</v>
      </c>
      <c r="CG1132" s="442">
        <f t="shared" si="1046"/>
        <v>0</v>
      </c>
      <c r="CH1132" s="443">
        <f t="shared" si="1046"/>
        <v>0</v>
      </c>
      <c r="CI1132" s="444">
        <f t="shared" si="1046"/>
        <v>0</v>
      </c>
      <c r="CL1132" s="419">
        <f>SUM(CL1124:CL1131)</f>
        <v>0</v>
      </c>
    </row>
    <row r="1133" spans="1:90" ht="15" customHeight="1">
      <c r="A1133" s="49"/>
      <c r="B1133" s="57"/>
      <c r="C1133" s="57"/>
      <c r="D1133" s="57"/>
      <c r="E1133" s="57"/>
      <c r="F1133" s="57"/>
      <c r="G1133" s="57"/>
      <c r="H1133" s="57"/>
      <c r="I1133" s="57"/>
      <c r="J1133" s="84"/>
      <c r="K1133" s="84"/>
      <c r="L1133" s="84"/>
      <c r="M1133" s="84"/>
      <c r="N1133" s="84"/>
      <c r="O1133" s="84"/>
      <c r="P1133" s="84"/>
      <c r="Q1133" s="84"/>
      <c r="R1133" s="84"/>
      <c r="S1133" s="84"/>
      <c r="T1133" s="84"/>
      <c r="U1133" s="84"/>
      <c r="V1133" s="84"/>
      <c r="W1133" s="84"/>
      <c r="X1133" s="84"/>
      <c r="Y1133" s="84"/>
      <c r="Z1133" s="84"/>
      <c r="AA1133" s="84"/>
      <c r="AB1133" s="84"/>
      <c r="AC1133" s="84"/>
      <c r="AD1133" s="84"/>
      <c r="AG1133"/>
      <c r="AH1133"/>
      <c r="AI1133" s="362">
        <f>SUM(AG1132:AI1132)</f>
        <v>0</v>
      </c>
      <c r="CI1133" s="445">
        <f>SUM(AK1132:CI1132)</f>
        <v>0</v>
      </c>
    </row>
    <row r="1134" spans="1:90" ht="15">
      <c r="A1134" s="94"/>
      <c r="AA1134" s="875" t="s">
        <v>3240</v>
      </c>
      <c r="AB1134" s="875"/>
      <c r="AC1134" s="875"/>
      <c r="AD1134" s="875"/>
    </row>
    <row r="1135" spans="1:90" ht="24" customHeight="1">
      <c r="A1135" s="49"/>
      <c r="B1135" s="38"/>
      <c r="C1135" s="732" t="s">
        <v>2581</v>
      </c>
      <c r="D1135" s="732"/>
      <c r="E1135" s="732"/>
      <c r="F1135" s="732"/>
      <c r="G1135" s="732"/>
      <c r="H1135" s="732"/>
      <c r="I1135" s="732"/>
      <c r="J1135" s="732"/>
      <c r="K1135" s="732"/>
      <c r="L1135" s="732"/>
      <c r="M1135" s="739" t="s">
        <v>3722</v>
      </c>
      <c r="N1135" s="740"/>
      <c r="O1135" s="740"/>
      <c r="P1135" s="740"/>
      <c r="Q1135" s="740"/>
      <c r="R1135" s="740"/>
      <c r="S1135" s="740"/>
      <c r="T1135" s="740"/>
      <c r="U1135" s="740"/>
      <c r="V1135" s="740"/>
      <c r="W1135" s="740"/>
      <c r="X1135" s="740"/>
      <c r="Y1135" s="740"/>
      <c r="Z1135" s="740"/>
      <c r="AA1135" s="740"/>
      <c r="AB1135" s="740"/>
      <c r="AC1135" s="740"/>
      <c r="AD1135" s="741"/>
    </row>
    <row r="1136" spans="1:90" ht="216" customHeight="1">
      <c r="A1136" s="49"/>
      <c r="B1136" s="38"/>
      <c r="C1136" s="732"/>
      <c r="D1136" s="732"/>
      <c r="E1136" s="732"/>
      <c r="F1136" s="732"/>
      <c r="G1136" s="732"/>
      <c r="H1136" s="732"/>
      <c r="I1136" s="732"/>
      <c r="J1136" s="732"/>
      <c r="K1136" s="732"/>
      <c r="L1136" s="732"/>
      <c r="M1136" s="857" t="s">
        <v>3743</v>
      </c>
      <c r="N1136" s="857"/>
      <c r="O1136" s="857"/>
      <c r="P1136" s="857" t="s">
        <v>3748</v>
      </c>
      <c r="Q1136" s="857"/>
      <c r="R1136" s="857"/>
      <c r="S1136" s="857" t="s">
        <v>3749</v>
      </c>
      <c r="T1136" s="857"/>
      <c r="U1136" s="857"/>
      <c r="V1136" s="857" t="s">
        <v>3750</v>
      </c>
      <c r="W1136" s="857"/>
      <c r="X1136" s="857"/>
      <c r="Y1136" s="857" t="s">
        <v>2990</v>
      </c>
      <c r="Z1136" s="857"/>
      <c r="AA1136" s="857"/>
      <c r="AB1136" s="857" t="s">
        <v>201</v>
      </c>
      <c r="AC1136" s="857"/>
      <c r="AD1136" s="857"/>
    </row>
    <row r="1137" spans="1:31" ht="48" customHeight="1">
      <c r="A1137" s="49"/>
      <c r="B1137" s="38"/>
      <c r="C1137" s="732"/>
      <c r="D1137" s="732"/>
      <c r="E1137" s="732"/>
      <c r="F1137" s="732"/>
      <c r="G1137" s="732"/>
      <c r="H1137" s="732"/>
      <c r="I1137" s="732"/>
      <c r="J1137" s="732"/>
      <c r="K1137" s="732"/>
      <c r="L1137" s="732"/>
      <c r="M1137" s="127" t="s">
        <v>2635</v>
      </c>
      <c r="N1137" s="128" t="s">
        <v>2629</v>
      </c>
      <c r="O1137" s="128" t="s">
        <v>2630</v>
      </c>
      <c r="P1137" s="127" t="s">
        <v>2635</v>
      </c>
      <c r="Q1137" s="128" t="s">
        <v>2629</v>
      </c>
      <c r="R1137" s="128" t="s">
        <v>2630</v>
      </c>
      <c r="S1137" s="127" t="s">
        <v>2635</v>
      </c>
      <c r="T1137" s="128" t="s">
        <v>2629</v>
      </c>
      <c r="U1137" s="128" t="s">
        <v>2630</v>
      </c>
      <c r="V1137" s="127" t="s">
        <v>2635</v>
      </c>
      <c r="W1137" s="128" t="s">
        <v>2629</v>
      </c>
      <c r="X1137" s="128" t="s">
        <v>2630</v>
      </c>
      <c r="Y1137" s="127" t="s">
        <v>2635</v>
      </c>
      <c r="Z1137" s="128" t="s">
        <v>2629</v>
      </c>
      <c r="AA1137" s="128" t="s">
        <v>2630</v>
      </c>
      <c r="AB1137" s="127" t="s">
        <v>2635</v>
      </c>
      <c r="AC1137" s="128" t="s">
        <v>2629</v>
      </c>
      <c r="AD1137" s="128" t="s">
        <v>2630</v>
      </c>
    </row>
    <row r="1138" spans="1:31" ht="15" customHeight="1">
      <c r="A1138" s="49"/>
      <c r="B1138" s="38"/>
      <c r="C1138" s="97" t="s">
        <v>2516</v>
      </c>
      <c r="D1138" s="962" t="str">
        <f>IF(CNSIPEE_2024_M2_Secc1!D42="","",CNSIPEE_2024_M2_Secc1!D42)</f>
        <v/>
      </c>
      <c r="E1138" s="963"/>
      <c r="F1138" s="963"/>
      <c r="G1138" s="963"/>
      <c r="H1138" s="963"/>
      <c r="I1138" s="963"/>
      <c r="J1138" s="963"/>
      <c r="K1138" s="963"/>
      <c r="L1138" s="964"/>
      <c r="M1138" s="100"/>
      <c r="N1138" s="100"/>
      <c r="O1138" s="100"/>
      <c r="P1138" s="100"/>
      <c r="Q1138" s="100"/>
      <c r="R1138" s="100"/>
      <c r="S1138" s="100"/>
      <c r="T1138" s="100"/>
      <c r="U1138" s="100"/>
      <c r="V1138" s="100"/>
      <c r="W1138" s="100"/>
      <c r="X1138" s="100"/>
      <c r="Y1138" s="100"/>
      <c r="Z1138" s="100"/>
      <c r="AA1138" s="100"/>
      <c r="AB1138" s="100"/>
      <c r="AC1138" s="100"/>
      <c r="AD1138" s="100"/>
    </row>
    <row r="1139" spans="1:31" ht="15" customHeight="1">
      <c r="A1139" s="49"/>
      <c r="B1139" s="38"/>
      <c r="C1139" s="143" t="s">
        <v>2517</v>
      </c>
      <c r="D1139" s="962" t="str">
        <f>IF(CNSIPEE_2024_M2_Secc1!D43="","",CNSIPEE_2024_M2_Secc1!D43)</f>
        <v/>
      </c>
      <c r="E1139" s="963"/>
      <c r="F1139" s="963"/>
      <c r="G1139" s="963"/>
      <c r="H1139" s="963"/>
      <c r="I1139" s="963"/>
      <c r="J1139" s="963"/>
      <c r="K1139" s="963"/>
      <c r="L1139" s="964"/>
      <c r="M1139" s="100"/>
      <c r="N1139" s="100"/>
      <c r="O1139" s="100"/>
      <c r="P1139" s="100"/>
      <c r="Q1139" s="100"/>
      <c r="R1139" s="100"/>
      <c r="S1139" s="100"/>
      <c r="T1139" s="100"/>
      <c r="U1139" s="100"/>
      <c r="V1139" s="100"/>
      <c r="W1139" s="100"/>
      <c r="X1139" s="100"/>
      <c r="Y1139" s="100"/>
      <c r="Z1139" s="100"/>
      <c r="AA1139" s="100"/>
      <c r="AB1139" s="100"/>
      <c r="AC1139" s="100"/>
      <c r="AD1139" s="100"/>
    </row>
    <row r="1140" spans="1:31" ht="15" customHeight="1">
      <c r="A1140" s="49"/>
      <c r="B1140" s="38"/>
      <c r="C1140" s="143" t="s">
        <v>2518</v>
      </c>
      <c r="D1140" s="962" t="str">
        <f>IF(CNSIPEE_2024_M2_Secc1!D44="","",CNSIPEE_2024_M2_Secc1!D44)</f>
        <v/>
      </c>
      <c r="E1140" s="963"/>
      <c r="F1140" s="963"/>
      <c r="G1140" s="963"/>
      <c r="H1140" s="963"/>
      <c r="I1140" s="963"/>
      <c r="J1140" s="963"/>
      <c r="K1140" s="963"/>
      <c r="L1140" s="964"/>
      <c r="M1140" s="100"/>
      <c r="N1140" s="100"/>
      <c r="O1140" s="100"/>
      <c r="P1140" s="100"/>
      <c r="Q1140" s="100"/>
      <c r="R1140" s="100"/>
      <c r="S1140" s="100"/>
      <c r="T1140" s="100"/>
      <c r="U1140" s="100"/>
      <c r="V1140" s="100"/>
      <c r="W1140" s="100"/>
      <c r="X1140" s="100"/>
      <c r="Y1140" s="100"/>
      <c r="Z1140" s="100"/>
      <c r="AA1140" s="100"/>
      <c r="AB1140" s="100"/>
      <c r="AC1140" s="100"/>
      <c r="AD1140" s="100"/>
    </row>
    <row r="1141" spans="1:31" ht="15" customHeight="1">
      <c r="A1141" s="49"/>
      <c r="B1141" s="38"/>
      <c r="C1141" s="143" t="s">
        <v>2519</v>
      </c>
      <c r="D1141" s="962" t="str">
        <f>IF(CNSIPEE_2024_M2_Secc1!D45="","",CNSIPEE_2024_M2_Secc1!D45)</f>
        <v/>
      </c>
      <c r="E1141" s="963"/>
      <c r="F1141" s="963"/>
      <c r="G1141" s="963"/>
      <c r="H1141" s="963"/>
      <c r="I1141" s="963"/>
      <c r="J1141" s="963"/>
      <c r="K1141" s="963"/>
      <c r="L1141" s="964"/>
      <c r="M1141" s="100"/>
      <c r="N1141" s="100"/>
      <c r="O1141" s="100"/>
      <c r="P1141" s="100"/>
      <c r="Q1141" s="100"/>
      <c r="R1141" s="100"/>
      <c r="S1141" s="100"/>
      <c r="T1141" s="100"/>
      <c r="U1141" s="100"/>
      <c r="V1141" s="100"/>
      <c r="W1141" s="100"/>
      <c r="X1141" s="100"/>
      <c r="Y1141" s="100"/>
      <c r="Z1141" s="100"/>
      <c r="AA1141" s="100"/>
      <c r="AB1141" s="100"/>
      <c r="AC1141" s="100"/>
      <c r="AD1141" s="100"/>
    </row>
    <row r="1142" spans="1:31" ht="15" customHeight="1">
      <c r="A1142" s="49"/>
      <c r="B1142" s="38"/>
      <c r="C1142" s="143" t="s">
        <v>2520</v>
      </c>
      <c r="D1142" s="962" t="str">
        <f>IF(CNSIPEE_2024_M2_Secc1!D46="","",CNSIPEE_2024_M2_Secc1!D46)</f>
        <v/>
      </c>
      <c r="E1142" s="963"/>
      <c r="F1142" s="963"/>
      <c r="G1142" s="963"/>
      <c r="H1142" s="963"/>
      <c r="I1142" s="963"/>
      <c r="J1142" s="963"/>
      <c r="K1142" s="963"/>
      <c r="L1142" s="964"/>
      <c r="M1142" s="100"/>
      <c r="N1142" s="100"/>
      <c r="O1142" s="100"/>
      <c r="P1142" s="100"/>
      <c r="Q1142" s="100"/>
      <c r="R1142" s="100"/>
      <c r="S1142" s="100"/>
      <c r="T1142" s="100"/>
      <c r="U1142" s="100"/>
      <c r="V1142" s="100"/>
      <c r="W1142" s="100"/>
      <c r="X1142" s="100"/>
      <c r="Y1142" s="100"/>
      <c r="Z1142" s="100"/>
      <c r="AA1142" s="100"/>
      <c r="AB1142" s="100"/>
      <c r="AC1142" s="100"/>
      <c r="AD1142" s="100"/>
    </row>
    <row r="1143" spans="1:31" ht="15" customHeight="1">
      <c r="A1143" s="49"/>
      <c r="B1143" s="38"/>
      <c r="C1143" s="143" t="s">
        <v>2521</v>
      </c>
      <c r="D1143" s="962" t="str">
        <f>IF(CNSIPEE_2024_M2_Secc1!D47="","",CNSIPEE_2024_M2_Secc1!D47)</f>
        <v/>
      </c>
      <c r="E1143" s="963"/>
      <c r="F1143" s="963"/>
      <c r="G1143" s="963"/>
      <c r="H1143" s="963"/>
      <c r="I1143" s="963"/>
      <c r="J1143" s="963"/>
      <c r="K1143" s="963"/>
      <c r="L1143" s="964"/>
      <c r="M1143" s="100"/>
      <c r="N1143" s="100"/>
      <c r="O1143" s="100"/>
      <c r="P1143" s="100"/>
      <c r="Q1143" s="100"/>
      <c r="R1143" s="100"/>
      <c r="S1143" s="100"/>
      <c r="T1143" s="100"/>
      <c r="U1143" s="100"/>
      <c r="V1143" s="100"/>
      <c r="W1143" s="100"/>
      <c r="X1143" s="100"/>
      <c r="Y1143" s="100"/>
      <c r="Z1143" s="100"/>
      <c r="AA1143" s="100"/>
      <c r="AB1143" s="100"/>
      <c r="AC1143" s="100"/>
      <c r="AD1143" s="100"/>
    </row>
    <row r="1144" spans="1:31" ht="15" customHeight="1">
      <c r="A1144" s="49"/>
      <c r="B1144" s="38"/>
      <c r="C1144" s="143" t="s">
        <v>2522</v>
      </c>
      <c r="D1144" s="962" t="str">
        <f>IF(CNSIPEE_2024_M2_Secc1!D48="","",CNSIPEE_2024_M2_Secc1!D48)</f>
        <v/>
      </c>
      <c r="E1144" s="963"/>
      <c r="F1144" s="963"/>
      <c r="G1144" s="963"/>
      <c r="H1144" s="963"/>
      <c r="I1144" s="963"/>
      <c r="J1144" s="963"/>
      <c r="K1144" s="963"/>
      <c r="L1144" s="964"/>
      <c r="M1144" s="100"/>
      <c r="N1144" s="100"/>
      <c r="O1144" s="100"/>
      <c r="P1144" s="100"/>
      <c r="Q1144" s="100"/>
      <c r="R1144" s="100"/>
      <c r="S1144" s="100"/>
      <c r="T1144" s="100"/>
      <c r="U1144" s="100"/>
      <c r="V1144" s="100"/>
      <c r="W1144" s="100"/>
      <c r="X1144" s="100"/>
      <c r="Y1144" s="100"/>
      <c r="Z1144" s="100"/>
      <c r="AA1144" s="100"/>
      <c r="AB1144" s="100"/>
      <c r="AC1144" s="100"/>
      <c r="AD1144" s="100"/>
    </row>
    <row r="1145" spans="1:31" ht="15" customHeight="1">
      <c r="A1145" s="49"/>
      <c r="B1145" s="38"/>
      <c r="C1145" s="143" t="s">
        <v>2523</v>
      </c>
      <c r="D1145" s="962" t="str">
        <f>IF(CNSIPEE_2024_M2_Secc1!D49="","",CNSIPEE_2024_M2_Secc1!D49)</f>
        <v/>
      </c>
      <c r="E1145" s="963"/>
      <c r="F1145" s="963"/>
      <c r="G1145" s="963"/>
      <c r="H1145" s="963"/>
      <c r="I1145" s="963"/>
      <c r="J1145" s="963"/>
      <c r="K1145" s="963"/>
      <c r="L1145" s="964"/>
      <c r="M1145" s="100"/>
      <c r="N1145" s="100"/>
      <c r="O1145" s="100"/>
      <c r="P1145" s="100"/>
      <c r="Q1145" s="100"/>
      <c r="R1145" s="100"/>
      <c r="S1145" s="100"/>
      <c r="T1145" s="100"/>
      <c r="U1145" s="100"/>
      <c r="V1145" s="100"/>
      <c r="W1145" s="100"/>
      <c r="X1145" s="100"/>
      <c r="Y1145" s="100"/>
      <c r="Z1145" s="100"/>
      <c r="AA1145" s="100"/>
      <c r="AB1145" s="100"/>
      <c r="AC1145" s="100"/>
      <c r="AD1145" s="100"/>
    </row>
    <row r="1146" spans="1:31" ht="15" customHeight="1">
      <c r="A1146" s="49"/>
      <c r="B1146" s="38"/>
      <c r="C1146" s="70"/>
      <c r="D1146" s="84"/>
      <c r="E1146" s="84"/>
      <c r="F1146" s="84"/>
      <c r="G1146" s="84"/>
      <c r="H1146" s="84"/>
      <c r="I1146" s="117"/>
      <c r="J1146" s="51"/>
      <c r="K1146" s="117"/>
      <c r="L1146" s="117"/>
      <c r="M1146" s="124">
        <f>IF(AND(SUM(M1138:M1145)=0,COUNTIF(M1138:M1145,"NS")&gt;0),"NS",
IF(AND(SUM(M1138:M1145)=0,COUNTIF(M1138:M1145,0)&gt;0),0,
IF(AND(SUM(M1138:M1145)=0,COUNTIF(M1138:M1145,"NA")&gt;0),"NA",
SUM(M1138:M1145))))</f>
        <v>0</v>
      </c>
      <c r="N1146" s="124">
        <f t="shared" ref="N1146:AD1146" si="1047">IF(AND(SUM(N1138:N1145)=0,COUNTIF(N1138:N1145,"NS")&gt;0),"NS",
IF(AND(SUM(N1138:N1145)=0,COUNTIF(N1138:N1145,0)&gt;0),0,
IF(AND(SUM(N1138:N1145)=0,COUNTIF(N1138:N1145,"NA")&gt;0),"NA",
SUM(N1138:N1145))))</f>
        <v>0</v>
      </c>
      <c r="O1146" s="124">
        <f t="shared" si="1047"/>
        <v>0</v>
      </c>
      <c r="P1146" s="124">
        <f t="shared" si="1047"/>
        <v>0</v>
      </c>
      <c r="Q1146" s="124">
        <f t="shared" si="1047"/>
        <v>0</v>
      </c>
      <c r="R1146" s="124">
        <f t="shared" si="1047"/>
        <v>0</v>
      </c>
      <c r="S1146" s="124">
        <f t="shared" si="1047"/>
        <v>0</v>
      </c>
      <c r="T1146" s="124">
        <f t="shared" si="1047"/>
        <v>0</v>
      </c>
      <c r="U1146" s="124">
        <f t="shared" si="1047"/>
        <v>0</v>
      </c>
      <c r="V1146" s="124">
        <f t="shared" si="1047"/>
        <v>0</v>
      </c>
      <c r="W1146" s="124">
        <f t="shared" si="1047"/>
        <v>0</v>
      </c>
      <c r="X1146" s="124">
        <f t="shared" si="1047"/>
        <v>0</v>
      </c>
      <c r="Y1146" s="124">
        <f t="shared" si="1047"/>
        <v>0</v>
      </c>
      <c r="Z1146" s="124">
        <f t="shared" si="1047"/>
        <v>0</v>
      </c>
      <c r="AA1146" s="124">
        <f t="shared" si="1047"/>
        <v>0</v>
      </c>
      <c r="AB1146" s="124">
        <f t="shared" si="1047"/>
        <v>0</v>
      </c>
      <c r="AC1146" s="124">
        <f t="shared" si="1047"/>
        <v>0</v>
      </c>
      <c r="AD1146" s="124">
        <f t="shared" si="1047"/>
        <v>0</v>
      </c>
    </row>
    <row r="1147" spans="1:31" ht="15" customHeight="1">
      <c r="A1147" s="49"/>
      <c r="B1147" s="57"/>
      <c r="C1147" s="57"/>
      <c r="D1147" s="57"/>
      <c r="E1147" s="57"/>
      <c r="F1147" s="57"/>
      <c r="G1147" s="57"/>
      <c r="H1147" s="57"/>
      <c r="I1147" s="57"/>
      <c r="J1147" s="84"/>
      <c r="K1147" s="84"/>
      <c r="L1147" s="84"/>
      <c r="M1147" s="84"/>
      <c r="N1147" s="84"/>
      <c r="O1147" s="84"/>
      <c r="P1147" s="84"/>
      <c r="Q1147" s="84"/>
      <c r="R1147" s="84"/>
      <c r="S1147" s="84"/>
      <c r="T1147" s="84"/>
      <c r="U1147" s="84"/>
      <c r="V1147" s="84"/>
      <c r="W1147" s="84"/>
      <c r="X1147" s="84"/>
      <c r="Y1147" s="84"/>
      <c r="Z1147" s="84"/>
      <c r="AA1147" s="84"/>
      <c r="AB1147" s="84"/>
      <c r="AC1147" s="84"/>
      <c r="AD1147" s="84"/>
    </row>
    <row r="1148" spans="1:31" ht="45" customHeight="1">
      <c r="A1148" s="94"/>
      <c r="C1148" s="822" t="s">
        <v>2798</v>
      </c>
      <c r="D1148" s="822"/>
      <c r="E1148" s="822"/>
      <c r="F1148" s="749"/>
      <c r="G1148" s="749"/>
      <c r="H1148" s="749"/>
      <c r="I1148" s="749"/>
      <c r="J1148" s="749"/>
      <c r="K1148" s="749"/>
      <c r="L1148" s="749"/>
      <c r="M1148" s="749"/>
      <c r="N1148" s="749"/>
      <c r="O1148" s="749"/>
      <c r="P1148" s="749"/>
      <c r="Q1148" s="749"/>
      <c r="R1148" s="749"/>
      <c r="S1148" s="749"/>
      <c r="T1148" s="749"/>
      <c r="U1148" s="749"/>
      <c r="V1148" s="749"/>
      <c r="W1148" s="749"/>
      <c r="X1148" s="749"/>
      <c r="Y1148" s="749"/>
      <c r="Z1148" s="749"/>
      <c r="AA1148" s="749"/>
      <c r="AB1148" s="749"/>
      <c r="AC1148" s="749"/>
      <c r="AD1148" s="749"/>
    </row>
    <row r="1149" spans="1:31" ht="15" customHeight="1">
      <c r="A1149" s="49"/>
      <c r="B1149" s="794" t="str">
        <f>IF(AND(CK1124&gt;0,F1148=""),"Ha registrado un valor numérico mayor a cero en la col.Otro tipo, debe anotar el nombre de dicho(s) tipo(s) de falta(s) o infracción(es)","")</f>
        <v/>
      </c>
      <c r="C1149" s="794"/>
      <c r="D1149" s="794"/>
      <c r="E1149" s="794"/>
      <c r="F1149" s="794"/>
      <c r="G1149" s="794"/>
      <c r="H1149" s="794"/>
      <c r="I1149" s="794"/>
      <c r="J1149" s="794"/>
      <c r="K1149" s="794"/>
      <c r="L1149" s="794"/>
      <c r="M1149" s="794"/>
      <c r="N1149" s="794"/>
      <c r="O1149" s="794"/>
      <c r="P1149" s="794"/>
      <c r="Q1149" s="794"/>
      <c r="R1149" s="794"/>
      <c r="S1149" s="794"/>
      <c r="T1149" s="794"/>
      <c r="U1149" s="794"/>
      <c r="V1149" s="794"/>
      <c r="W1149" s="794"/>
      <c r="X1149" s="794"/>
      <c r="Y1149" s="794"/>
      <c r="Z1149" s="794"/>
      <c r="AA1149" s="794"/>
      <c r="AB1149" s="794"/>
      <c r="AC1149" s="794"/>
      <c r="AD1149" s="794"/>
      <c r="AE1149" s="794"/>
    </row>
    <row r="1150" spans="1:31" ht="24" customHeight="1">
      <c r="A1150" s="49"/>
      <c r="B1150" s="90"/>
      <c r="C1150" s="754" t="s">
        <v>2611</v>
      </c>
      <c r="D1150" s="754"/>
      <c r="E1150" s="754"/>
      <c r="F1150" s="754"/>
      <c r="G1150" s="754"/>
      <c r="H1150" s="754"/>
      <c r="I1150" s="754"/>
      <c r="J1150" s="754"/>
      <c r="K1150" s="754"/>
      <c r="L1150" s="754"/>
      <c r="M1150" s="754"/>
      <c r="N1150" s="754"/>
      <c r="O1150" s="754"/>
      <c r="P1150" s="754"/>
      <c r="Q1150" s="754"/>
      <c r="R1150" s="754"/>
      <c r="S1150" s="754"/>
      <c r="T1150" s="754"/>
      <c r="U1150" s="754"/>
      <c r="V1150" s="754"/>
      <c r="W1150" s="754"/>
      <c r="X1150" s="754"/>
      <c r="Y1150" s="754"/>
      <c r="Z1150" s="754"/>
      <c r="AA1150" s="754"/>
      <c r="AB1150" s="754"/>
      <c r="AC1150" s="754"/>
      <c r="AD1150" s="754"/>
    </row>
    <row r="1151" spans="1:31" ht="60" customHeight="1">
      <c r="A1151" s="49"/>
      <c r="B1151" s="90"/>
      <c r="C1151" s="812"/>
      <c r="D1151" s="812"/>
      <c r="E1151" s="812"/>
      <c r="F1151" s="812"/>
      <c r="G1151" s="812"/>
      <c r="H1151" s="812"/>
      <c r="I1151" s="812"/>
      <c r="J1151" s="812"/>
      <c r="K1151" s="812"/>
      <c r="L1151" s="812"/>
      <c r="M1151" s="812"/>
      <c r="N1151" s="812"/>
      <c r="O1151" s="812"/>
      <c r="P1151" s="812"/>
      <c r="Q1151" s="812"/>
      <c r="R1151" s="812"/>
      <c r="S1151" s="812"/>
      <c r="T1151" s="812"/>
      <c r="U1151" s="812"/>
      <c r="V1151" s="812"/>
      <c r="W1151" s="812"/>
      <c r="X1151" s="812"/>
      <c r="Y1151" s="812"/>
      <c r="Z1151" s="812"/>
      <c r="AA1151" s="812"/>
      <c r="AB1151" s="812"/>
      <c r="AC1151" s="812"/>
      <c r="AD1151" s="812"/>
    </row>
    <row r="1152" spans="1:31" ht="15" customHeight="1">
      <c r="A1152" s="96"/>
      <c r="B1152" s="794" t="str">
        <f>IF(AG1118&gt;0,"Favor de ingresar toda la información requerida en la pregunta y/o verifique que no tenga información en celdas sombreadas","")</f>
        <v/>
      </c>
      <c r="C1152" s="794"/>
      <c r="D1152" s="794"/>
      <c r="E1152" s="794"/>
      <c r="F1152" s="794"/>
      <c r="G1152" s="794"/>
      <c r="H1152" s="794"/>
      <c r="I1152" s="794"/>
      <c r="J1152" s="794"/>
      <c r="K1152" s="794"/>
      <c r="L1152" s="794"/>
      <c r="M1152" s="794"/>
      <c r="N1152" s="794"/>
      <c r="O1152" s="794"/>
      <c r="P1152" s="794"/>
      <c r="Q1152" s="794"/>
      <c r="R1152" s="794"/>
      <c r="S1152" s="794"/>
      <c r="T1152" s="794"/>
      <c r="U1152" s="794"/>
      <c r="V1152" s="794"/>
      <c r="W1152" s="794"/>
      <c r="X1152" s="794"/>
      <c r="Y1152" s="794"/>
      <c r="Z1152" s="794"/>
      <c r="AA1152" s="794"/>
      <c r="AB1152" s="794"/>
      <c r="AC1152" s="794"/>
      <c r="AD1152" s="794"/>
      <c r="AE1152"/>
    </row>
    <row r="1153" spans="1:52" ht="15" customHeight="1">
      <c r="A1153" s="103"/>
      <c r="B1153" s="795" t="str">
        <f>IF(AM1120&gt;0,"Alerta: debido a que cuenta con registros NS, debe proporcionar una justificación en el area de comentarios al final de la pregunta","")</f>
        <v/>
      </c>
      <c r="C1153" s="795"/>
      <c r="D1153" s="795"/>
      <c r="E1153" s="795"/>
      <c r="F1153" s="795"/>
      <c r="G1153" s="795"/>
      <c r="H1153" s="795"/>
      <c r="I1153" s="795"/>
      <c r="J1153" s="795"/>
      <c r="K1153" s="795"/>
      <c r="L1153" s="795"/>
      <c r="M1153" s="795"/>
      <c r="N1153" s="795"/>
      <c r="O1153" s="795"/>
      <c r="P1153" s="795"/>
      <c r="Q1153" s="795"/>
      <c r="R1153" s="795"/>
      <c r="S1153" s="795"/>
      <c r="T1153" s="795"/>
      <c r="U1153" s="795"/>
      <c r="V1153" s="795"/>
      <c r="W1153" s="795"/>
      <c r="X1153" s="795"/>
      <c r="Y1153" s="795"/>
      <c r="Z1153" s="795"/>
      <c r="AA1153" s="795"/>
      <c r="AB1153" s="795"/>
      <c r="AC1153" s="795"/>
      <c r="AD1153" s="795"/>
      <c r="AE1153"/>
    </row>
    <row r="1154" spans="1:52" ht="15" customHeight="1">
      <c r="A1154" s="103"/>
      <c r="B1154" s="794" t="str">
        <f>IF(OR(AK1120&gt;0,AK1121&gt;0,AM1121&gt;0,AO1121&gt;0),"Favor de revisar la suma y consistencia de totales y/o subtotales por filas (numéricos y NS)","")</f>
        <v/>
      </c>
      <c r="C1154" s="794"/>
      <c r="D1154" s="794"/>
      <c r="E1154" s="794"/>
      <c r="F1154" s="794"/>
      <c r="G1154" s="794"/>
      <c r="H1154" s="794"/>
      <c r="I1154" s="794"/>
      <c r="J1154" s="794"/>
      <c r="K1154" s="794"/>
      <c r="L1154" s="794"/>
      <c r="M1154" s="794"/>
      <c r="N1154" s="794"/>
      <c r="O1154" s="794"/>
      <c r="P1154" s="794"/>
      <c r="Q1154" s="794"/>
      <c r="R1154" s="794"/>
      <c r="S1154" s="794"/>
      <c r="T1154" s="794"/>
      <c r="U1154" s="794"/>
      <c r="V1154" s="794"/>
      <c r="W1154" s="794"/>
      <c r="X1154" s="794"/>
      <c r="Y1154" s="794"/>
      <c r="Z1154" s="794"/>
      <c r="AA1154" s="794"/>
      <c r="AB1154" s="794"/>
      <c r="AC1154" s="794"/>
      <c r="AD1154" s="794"/>
      <c r="AE1154"/>
    </row>
    <row r="1155" spans="1:52" ht="15" customHeight="1">
      <c r="A1155" s="103"/>
      <c r="B1155" s="794" t="str">
        <f>IF(AI1133&gt;0,"Favor de revisar la instrucción 2, debido a que no se cumplen con los criterios mencionados","")</f>
        <v/>
      </c>
      <c r="C1155" s="794"/>
      <c r="D1155" s="794"/>
      <c r="E1155" s="794"/>
      <c r="F1155" s="794"/>
      <c r="G1155" s="794"/>
      <c r="H1155" s="794"/>
      <c r="I1155" s="794"/>
      <c r="J1155" s="794"/>
      <c r="K1155" s="794"/>
      <c r="L1155" s="794"/>
      <c r="M1155" s="794"/>
      <c r="N1155" s="794"/>
      <c r="O1155" s="794"/>
      <c r="P1155" s="794"/>
      <c r="Q1155" s="794"/>
      <c r="R1155" s="794"/>
      <c r="S1155" s="794"/>
      <c r="T1155" s="794"/>
      <c r="U1155" s="794"/>
      <c r="V1155" s="794"/>
      <c r="W1155" s="794"/>
      <c r="X1155" s="794"/>
      <c r="Y1155" s="794"/>
      <c r="Z1155" s="794"/>
      <c r="AA1155" s="794"/>
      <c r="AB1155" s="794"/>
      <c r="AC1155" s="794"/>
      <c r="AD1155" s="794"/>
      <c r="AE1155" s="794"/>
    </row>
    <row r="1156" spans="1:52" ht="15" customHeight="1">
      <c r="A1156" s="103"/>
      <c r="B1156" s="795" t="str">
        <f>IF(CI1133&gt;0,"Alerta: debe de proporcionar una justificación de acuerdo a lo establecido en la instrucción 3","")</f>
        <v/>
      </c>
      <c r="C1156" s="795"/>
      <c r="D1156" s="795"/>
      <c r="E1156" s="795"/>
      <c r="F1156" s="795"/>
      <c r="G1156" s="795"/>
      <c r="H1156" s="795"/>
      <c r="I1156" s="795"/>
      <c r="J1156" s="795"/>
      <c r="K1156" s="795"/>
      <c r="L1156" s="795"/>
      <c r="M1156" s="795"/>
      <c r="N1156" s="795"/>
      <c r="O1156" s="795"/>
      <c r="P1156" s="795"/>
      <c r="Q1156" s="795"/>
      <c r="R1156" s="795"/>
      <c r="S1156" s="795"/>
      <c r="T1156" s="795"/>
      <c r="U1156" s="795"/>
      <c r="V1156" s="795"/>
      <c r="W1156" s="795"/>
      <c r="X1156" s="795"/>
      <c r="Y1156" s="795"/>
      <c r="Z1156" s="795"/>
      <c r="AA1156" s="795"/>
      <c r="AB1156" s="795"/>
      <c r="AC1156" s="795"/>
      <c r="AD1156" s="795"/>
      <c r="AE1156" s="795"/>
    </row>
    <row r="1157" spans="1:52" ht="15" customHeight="1">
      <c r="A1157" s="103"/>
      <c r="B1157" s="57"/>
      <c r="C1157" s="57"/>
      <c r="D1157" s="57"/>
      <c r="E1157" s="57"/>
      <c r="F1157" s="57"/>
      <c r="G1157" s="57"/>
      <c r="H1157" s="57"/>
      <c r="I1157" s="57"/>
      <c r="J1157" s="57"/>
      <c r="K1157" s="57"/>
      <c r="L1157" s="57"/>
      <c r="M1157" s="57"/>
      <c r="N1157" s="57"/>
      <c r="O1157" s="57"/>
      <c r="P1157" s="57"/>
      <c r="Q1157" s="57"/>
      <c r="R1157" s="57"/>
      <c r="S1157" s="57"/>
      <c r="T1157" s="57"/>
      <c r="U1157" s="57"/>
      <c r="V1157" s="57"/>
      <c r="W1157" s="57"/>
      <c r="X1157" s="57"/>
      <c r="Y1157" s="57"/>
      <c r="Z1157" s="57"/>
      <c r="AA1157" s="57"/>
      <c r="AB1157" s="57"/>
      <c r="AC1157" s="57"/>
      <c r="AD1157" s="57"/>
      <c r="AE1157"/>
    </row>
    <row r="1158" spans="1:52" ht="36" customHeight="1">
      <c r="A1158" s="49" t="s">
        <v>3751</v>
      </c>
      <c r="B1158" s="829" t="s">
        <v>3752</v>
      </c>
      <c r="C1158" s="829"/>
      <c r="D1158" s="829"/>
      <c r="E1158" s="829"/>
      <c r="F1158" s="829"/>
      <c r="G1158" s="829"/>
      <c r="H1158" s="829"/>
      <c r="I1158" s="829"/>
      <c r="J1158" s="829"/>
      <c r="K1158" s="829"/>
      <c r="L1158" s="829"/>
      <c r="M1158" s="829"/>
      <c r="N1158" s="829"/>
      <c r="O1158" s="829"/>
      <c r="P1158" s="829"/>
      <c r="Q1158" s="829"/>
      <c r="R1158" s="829"/>
      <c r="S1158" s="829"/>
      <c r="T1158" s="829"/>
      <c r="U1158" s="829"/>
      <c r="V1158" s="829"/>
      <c r="W1158" s="829"/>
      <c r="X1158" s="829"/>
      <c r="Y1158" s="829"/>
      <c r="Z1158" s="829"/>
      <c r="AA1158" s="829"/>
      <c r="AB1158" s="829"/>
      <c r="AC1158" s="829"/>
      <c r="AD1158" s="829"/>
    </row>
    <row r="1159" spans="1:52" ht="36" customHeight="1">
      <c r="A1159" s="49"/>
      <c r="B1159" s="105"/>
      <c r="C1159" s="830" t="s">
        <v>3753</v>
      </c>
      <c r="D1159" s="830"/>
      <c r="E1159" s="830"/>
      <c r="F1159" s="830"/>
      <c r="G1159" s="830"/>
      <c r="H1159" s="830"/>
      <c r="I1159" s="830"/>
      <c r="J1159" s="830"/>
      <c r="K1159" s="830"/>
      <c r="L1159" s="830"/>
      <c r="M1159" s="830"/>
      <c r="N1159" s="830"/>
      <c r="O1159" s="830"/>
      <c r="P1159" s="830"/>
      <c r="Q1159" s="830"/>
      <c r="R1159" s="830"/>
      <c r="S1159" s="830"/>
      <c r="T1159" s="830"/>
      <c r="U1159" s="830"/>
      <c r="V1159" s="830"/>
      <c r="W1159" s="830"/>
      <c r="X1159" s="830"/>
      <c r="Y1159" s="830"/>
      <c r="Z1159" s="830"/>
      <c r="AA1159" s="830"/>
      <c r="AB1159" s="830"/>
      <c r="AC1159" s="830"/>
      <c r="AD1159" s="830"/>
    </row>
    <row r="1160" spans="1:52" ht="36" customHeight="1">
      <c r="A1160" s="49"/>
      <c r="B1160" s="105"/>
      <c r="C1160" s="754" t="s">
        <v>3754</v>
      </c>
      <c r="D1160" s="754"/>
      <c r="E1160" s="754"/>
      <c r="F1160" s="754"/>
      <c r="G1160" s="754"/>
      <c r="H1160" s="754"/>
      <c r="I1160" s="754"/>
      <c r="J1160" s="754"/>
      <c r="K1160" s="754"/>
      <c r="L1160" s="754"/>
      <c r="M1160" s="754"/>
      <c r="N1160" s="754"/>
      <c r="O1160" s="754"/>
      <c r="P1160" s="754"/>
      <c r="Q1160" s="754"/>
      <c r="R1160" s="754"/>
      <c r="S1160" s="754"/>
      <c r="T1160" s="754"/>
      <c r="U1160" s="754"/>
      <c r="V1160" s="754"/>
      <c r="W1160" s="754"/>
      <c r="X1160" s="754"/>
      <c r="Y1160" s="754"/>
      <c r="Z1160" s="754"/>
      <c r="AA1160" s="754"/>
      <c r="AB1160" s="754"/>
      <c r="AC1160" s="754"/>
      <c r="AD1160" s="754"/>
    </row>
    <row r="1161" spans="1:52" ht="36" customHeight="1">
      <c r="A1161" s="49"/>
      <c r="B1161" s="57"/>
      <c r="C1161" s="830" t="s">
        <v>3755</v>
      </c>
      <c r="D1161" s="830"/>
      <c r="E1161" s="830"/>
      <c r="F1161" s="830"/>
      <c r="G1161" s="830"/>
      <c r="H1161" s="830"/>
      <c r="I1161" s="830"/>
      <c r="J1161" s="830"/>
      <c r="K1161" s="830"/>
      <c r="L1161" s="830"/>
      <c r="M1161" s="830"/>
      <c r="N1161" s="830"/>
      <c r="O1161" s="830"/>
      <c r="P1161" s="830"/>
      <c r="Q1161" s="830"/>
      <c r="R1161" s="830"/>
      <c r="S1161" s="830"/>
      <c r="T1161" s="830"/>
      <c r="U1161" s="830"/>
      <c r="V1161" s="830"/>
      <c r="W1161" s="830"/>
      <c r="X1161" s="830"/>
      <c r="Y1161" s="830"/>
      <c r="Z1161" s="830"/>
      <c r="AA1161" s="830"/>
      <c r="AB1161" s="830"/>
      <c r="AC1161" s="830"/>
      <c r="AD1161" s="830"/>
    </row>
    <row r="1162" spans="1:52" ht="15" customHeight="1">
      <c r="A1162" s="103"/>
      <c r="B1162" s="57"/>
      <c r="C1162" s="57"/>
      <c r="D1162" s="57"/>
      <c r="E1162" s="57"/>
      <c r="F1162" s="57"/>
      <c r="G1162" s="57"/>
      <c r="H1162" s="57"/>
      <c r="I1162" s="57"/>
      <c r="J1162" s="57"/>
      <c r="K1162" s="57"/>
      <c r="L1162" s="57"/>
      <c r="M1162" s="57"/>
      <c r="N1162" s="57"/>
      <c r="O1162" s="57"/>
      <c r="P1162" s="57"/>
      <c r="Q1162" s="57"/>
      <c r="R1162" s="57"/>
      <c r="S1162" s="57"/>
      <c r="T1162" s="57"/>
      <c r="U1162" s="57"/>
      <c r="V1162" s="57"/>
      <c r="W1162" s="57"/>
      <c r="X1162" s="57"/>
      <c r="Y1162" s="57"/>
      <c r="Z1162" s="57"/>
      <c r="AA1162" s="57"/>
      <c r="AB1162" s="57"/>
      <c r="AC1162" s="57"/>
      <c r="AD1162" s="57"/>
    </row>
    <row r="1163" spans="1:52" ht="36" customHeight="1">
      <c r="A1163" s="49"/>
      <c r="B1163" s="38"/>
      <c r="C1163" s="732" t="s">
        <v>3756</v>
      </c>
      <c r="D1163" s="732"/>
      <c r="E1163" s="732"/>
      <c r="F1163" s="732"/>
      <c r="G1163" s="732"/>
      <c r="H1163" s="732"/>
      <c r="I1163" s="732"/>
      <c r="J1163" s="732"/>
      <c r="K1163" s="732"/>
      <c r="L1163" s="732"/>
      <c r="M1163" s="732"/>
      <c r="N1163" s="732"/>
      <c r="O1163" s="732"/>
      <c r="P1163" s="732"/>
      <c r="Q1163" s="732"/>
      <c r="R1163" s="732"/>
      <c r="S1163" s="732"/>
      <c r="T1163" s="739" t="s">
        <v>3757</v>
      </c>
      <c r="U1163" s="740"/>
      <c r="V1163" s="740"/>
      <c r="W1163" s="740"/>
      <c r="X1163" s="740"/>
      <c r="Y1163" s="740"/>
      <c r="Z1163" s="740"/>
      <c r="AA1163" s="740"/>
      <c r="AB1163" s="740"/>
      <c r="AC1163" s="740"/>
      <c r="AD1163" s="741"/>
    </row>
    <row r="1164" spans="1:52" ht="192" customHeight="1">
      <c r="A1164" s="49"/>
      <c r="B1164" s="38"/>
      <c r="C1164" s="732"/>
      <c r="D1164" s="732"/>
      <c r="E1164" s="732"/>
      <c r="F1164" s="732"/>
      <c r="G1164" s="732"/>
      <c r="H1164" s="732"/>
      <c r="I1164" s="732"/>
      <c r="J1164" s="732"/>
      <c r="K1164" s="732"/>
      <c r="L1164" s="732"/>
      <c r="M1164" s="732"/>
      <c r="N1164" s="732"/>
      <c r="O1164" s="732"/>
      <c r="P1164" s="732"/>
      <c r="Q1164" s="732"/>
      <c r="R1164" s="732"/>
      <c r="S1164" s="732"/>
      <c r="T1164" s="127" t="s">
        <v>2628</v>
      </c>
      <c r="U1164" s="128" t="s">
        <v>3697</v>
      </c>
      <c r="V1164" s="128" t="s">
        <v>3698</v>
      </c>
      <c r="W1164" s="128" t="s">
        <v>3699</v>
      </c>
      <c r="X1164" s="128" t="s">
        <v>3700</v>
      </c>
      <c r="Y1164" s="128" t="s">
        <v>3701</v>
      </c>
      <c r="Z1164" s="128" t="s">
        <v>3702</v>
      </c>
      <c r="AA1164" s="128" t="s">
        <v>3703</v>
      </c>
      <c r="AB1164" s="128" t="s">
        <v>3704</v>
      </c>
      <c r="AC1164" s="128" t="s">
        <v>3758</v>
      </c>
      <c r="AD1164" s="128" t="s">
        <v>201</v>
      </c>
      <c r="AG1164" s="354" t="s">
        <v>2586</v>
      </c>
      <c r="AH1164"/>
      <c r="AI1164" s="446" t="s">
        <v>3759</v>
      </c>
      <c r="AJ1164"/>
      <c r="AK1164" s="447" t="s">
        <v>3706</v>
      </c>
      <c r="AL1164" s="448" t="s">
        <v>3707</v>
      </c>
      <c r="AM1164" s="449" t="s">
        <v>3708</v>
      </c>
      <c r="AN1164" s="450" t="s">
        <v>3709</v>
      </c>
      <c r="AO1164" s="447" t="s">
        <v>3710</v>
      </c>
      <c r="AP1164" s="448" t="s">
        <v>3711</v>
      </c>
      <c r="AQ1164" s="447" t="s">
        <v>3712</v>
      </c>
      <c r="AR1164" s="448" t="s">
        <v>3713</v>
      </c>
      <c r="AS1164" s="447" t="s">
        <v>3714</v>
      </c>
      <c r="AT1164" s="448" t="s">
        <v>3715</v>
      </c>
      <c r="AU1164" s="310" t="s">
        <v>2795</v>
      </c>
      <c r="AV1164" s="343"/>
      <c r="AW1164" s="343"/>
      <c r="AX1164" s="451" t="s">
        <v>3760</v>
      </c>
      <c r="AY1164" s="343"/>
      <c r="AZ1164" s="282" t="s">
        <v>2637</v>
      </c>
    </row>
    <row r="1165" spans="1:52" ht="24" customHeight="1">
      <c r="A1165" s="49"/>
      <c r="B1165" s="38"/>
      <c r="C1165" s="97" t="s">
        <v>2516</v>
      </c>
      <c r="D1165" s="796" t="s">
        <v>3723</v>
      </c>
      <c r="E1165" s="796"/>
      <c r="F1165" s="796"/>
      <c r="G1165" s="796"/>
      <c r="H1165" s="796"/>
      <c r="I1165" s="796"/>
      <c r="J1165" s="796"/>
      <c r="K1165" s="796"/>
      <c r="L1165" s="796"/>
      <c r="M1165" s="796"/>
      <c r="N1165" s="796"/>
      <c r="O1165" s="796"/>
      <c r="P1165" s="796"/>
      <c r="Q1165" s="796"/>
      <c r="R1165" s="796"/>
      <c r="S1165" s="796"/>
      <c r="T1165" s="100"/>
      <c r="U1165" s="100"/>
      <c r="V1165" s="100"/>
      <c r="W1165" s="100"/>
      <c r="X1165" s="100"/>
      <c r="Y1165" s="100"/>
      <c r="Z1165" s="100"/>
      <c r="AA1165" s="100"/>
      <c r="AB1165" s="100"/>
      <c r="AC1165" s="100"/>
      <c r="AD1165" s="100"/>
      <c r="AG1165" s="326">
        <f>IF(AND($C$987="X",COUNTA(T1165:AD1181)=0),0,IF(COUNTA(T1165:AD1181)=187,0,IF(COUNTA(T1165:AD1181)=0,0,1)))</f>
        <v>0</v>
      </c>
      <c r="AH1165" s="452" t="s">
        <v>3706</v>
      </c>
      <c r="AI1165">
        <f>IF(OR(U1182="NS",S1074="NS"),0,IF(AND(U1182="NA",S1074="NA"),0,IF(U1182&gt;=S1074,0,1)))</f>
        <v>0</v>
      </c>
      <c r="AJ1165" s="453" t="s">
        <v>3761</v>
      </c>
      <c r="AK1165">
        <f>IF(OR(U1165="NS",$S$1074="NS"),0,IF(AND(U1165="NA",$S$1074="NA"),0,IF(U1165&lt;=$S$1074,0,1)))</f>
        <v>0</v>
      </c>
      <c r="AL1165">
        <f>IF(OR(V1165="NS",$V$1074="NS"),0,IF(AND(V1165="NA",$V$1074="NA"),0,IF(V1165&lt;=$V$1074,0,1)))</f>
        <v>0</v>
      </c>
      <c r="AM1165">
        <f>IF(OR(W1165="NS",$Y$1074="NS"),0,IF(AND(W1165="NA",$Y$1074="NA"),0,IF(W1165&lt;=$Y$1074,0,1)))</f>
        <v>0</v>
      </c>
      <c r="AN1165">
        <f>IF(OR(X1165="NS",$AB$1074="NS"),0,IF(AND(X1165="NA",$AB$1074="NA"),0,IF(X1165&lt;=$AB$1074,0,1)))</f>
        <v>0</v>
      </c>
      <c r="AO1165">
        <f>IF(OR(Y1165="NS",$M$1088="NS"),0,IF(AND(Y1165="NA",$M$1088="NA"),0,IF(Y1165&lt;=$M$1088,0,1)))</f>
        <v>0</v>
      </c>
      <c r="AP1165">
        <f>IF(OR(Z1165="NS",$P$1088="NS"),0,IF(AND(Z1165="NA",$P$1088="NA"),0,IF(Z1165&lt;=$P$1088,0,1)))</f>
        <v>0</v>
      </c>
      <c r="AQ1165">
        <f>IF(OR(AA1165="NS",$S$1088="NS"),0,IF(AND(AA1165="NA",$S$1088="NA"),0,IF(AA1165&lt;=$S$1088,0,1)))</f>
        <v>0</v>
      </c>
      <c r="AR1165">
        <f>IF(OR(AB1165="NS",$V$1088="NS"),0,IF(AND(AB1165="NA",$V$1088="NA"),0,IF(AB1165&lt;=$V$1088,0,1)))</f>
        <v>0</v>
      </c>
      <c r="AS1165">
        <f>IF(OR(AC1165="NS",$Y$1088="NS"),0,IF(AND(AC1165="NA",$Y$1088="NA"),0,IF(AC1165&lt;=$Y$1088,0,1)))</f>
        <v>0</v>
      </c>
      <c r="AT1165">
        <f>IF(OR(AD1165="NS",$AB$1088="NS"),0,IF(AND(AD1165="NA",$AB$1088="NA"),0,IF(AD1165&lt;=$AB$1088,0,1)))</f>
        <v>0</v>
      </c>
      <c r="AU1165">
        <f>IF(OR(T1165="NS",$P$1074="NS"),0,IF(AND(T1165="NA",$P$1074="NA"),0,IF(T1165&lt;=$P$1074,0,1)))</f>
        <v>0</v>
      </c>
      <c r="AV1165"/>
      <c r="AW1165" s="454" t="s">
        <v>3761</v>
      </c>
      <c r="AX1165">
        <f>IF(AND(T1165="NS",$P$1118="NS"),0,IF(AND(T1165="NA",$P$1118="NA"),0,IF(T1165=$P$1118,0,1)))</f>
        <v>0</v>
      </c>
      <c r="AY1165"/>
      <c r="AZ1165" s="283">
        <f>COUNTIF(T1165:AD1165,"NS")</f>
        <v>0</v>
      </c>
    </row>
    <row r="1166" spans="1:52" ht="36" customHeight="1">
      <c r="A1166" s="49"/>
      <c r="B1166" s="38"/>
      <c r="C1166" s="98" t="s">
        <v>2517</v>
      </c>
      <c r="D1166" s="796" t="s">
        <v>3724</v>
      </c>
      <c r="E1166" s="796"/>
      <c r="F1166" s="796"/>
      <c r="G1166" s="796"/>
      <c r="H1166" s="796"/>
      <c r="I1166" s="796"/>
      <c r="J1166" s="796"/>
      <c r="K1166" s="796"/>
      <c r="L1166" s="796"/>
      <c r="M1166" s="796"/>
      <c r="N1166" s="796"/>
      <c r="O1166" s="796"/>
      <c r="P1166" s="796"/>
      <c r="Q1166" s="796"/>
      <c r="R1166" s="796"/>
      <c r="S1166" s="796"/>
      <c r="T1166" s="100"/>
      <c r="U1166" s="100"/>
      <c r="V1166" s="100"/>
      <c r="W1166" s="100"/>
      <c r="X1166" s="100"/>
      <c r="Y1166" s="100"/>
      <c r="Z1166" s="100"/>
      <c r="AA1166" s="100"/>
      <c r="AB1166" s="100"/>
      <c r="AC1166" s="100"/>
      <c r="AD1166" s="100"/>
      <c r="AG1166" s="326"/>
      <c r="AH1166" s="455" t="s">
        <v>3707</v>
      </c>
      <c r="AI1166">
        <f>IF(OR(V1182="NS",V1074="NS"),0,IF(AND(V1182="NA",V1074="NA"),0,IF(V1182&gt;=V1074,0,1)))</f>
        <v>0</v>
      </c>
      <c r="AJ1166" s="456" t="s">
        <v>3762</v>
      </c>
      <c r="AK1166">
        <f t="shared" ref="AK1166:AK1181" si="1048">IF(OR(U1166="NS",$S$1074="NS"),0,IF(AND(U1166="NA",$S$1074="NA"),0,IF(U1166&lt;=$S$1074,0,1)))</f>
        <v>0</v>
      </c>
      <c r="AL1166">
        <f t="shared" ref="AL1166:AL1181" si="1049">IF(OR(V1166="NS",$V$1074="NS"),0,IF(AND(V1166="NA",$V$1074="NA"),0,IF(V1166&lt;=$V$1074,0,1)))</f>
        <v>0</v>
      </c>
      <c r="AM1166">
        <f t="shared" ref="AM1166:AM1181" si="1050">IF(OR(W1166="NS",$Y$1074="NS"),0,IF(AND(W1166="NA",$Y$1074="NA"),0,IF(W1166&lt;=$Y$1074,0,1)))</f>
        <v>0</v>
      </c>
      <c r="AN1166">
        <f t="shared" ref="AN1166:AN1181" si="1051">IF(OR(X1166="NS",$AB$1074="NS"),0,IF(AND(X1166="NA",$AB$1074="NA"),0,IF(X1166&lt;=$AB$1074,0,1)))</f>
        <v>0</v>
      </c>
      <c r="AO1166">
        <f t="shared" ref="AO1166:AO1181" si="1052">IF(OR(Y1166="NS",$M$1088="NS"),0,IF(AND(Y1166="NA",$M$1088="NA"),0,IF(Y1166&lt;=$M$1088,0,1)))</f>
        <v>0</v>
      </c>
      <c r="AP1166">
        <f t="shared" ref="AP1166:AP1181" si="1053">IF(OR(Z1166="NS",$P$1088="NS"),0,IF(AND(Z1166="NA",$P$1088="NA"),0,IF(Z1166&lt;=$P$1088,0,1)))</f>
        <v>0</v>
      </c>
      <c r="AQ1166">
        <f t="shared" ref="AQ1166:AQ1181" si="1054">IF(OR(AA1166="NS",$S$1088="NS"),0,IF(AND(AA1166="NA",$S$1088="NA"),0,IF(AA1166&lt;=$S$1088,0,1)))</f>
        <v>0</v>
      </c>
      <c r="AR1166">
        <f t="shared" ref="AR1166:AR1181" si="1055">IF(OR(AB1166="NS",$V$1088="NS"),0,IF(AND(AB1166="NA",$V$1088="NA"),0,IF(AB1166&lt;=$V$1088,0,1)))</f>
        <v>0</v>
      </c>
      <c r="AS1166">
        <f t="shared" ref="AS1166:AS1181" si="1056">IF(OR(AC1166="NS",$Y$1088="NS"),0,IF(AND(AC1166="NA",$Y$1088="NA"),0,IF(AC1166&lt;=$Y$1088,0,1)))</f>
        <v>0</v>
      </c>
      <c r="AT1166">
        <f t="shared" ref="AT1166:AT1181" si="1057">IF(OR(AD1166="NS",$AB$1088="NS"),0,IF(AND(AD1166="NA",$AB$1088="NA"),0,IF(AD1166&lt;=$AB$1088,0,1)))</f>
        <v>0</v>
      </c>
      <c r="AU1166">
        <f t="shared" ref="AU1166:AU1180" si="1058">IF(OR(T1166="NS",$P$1074="NS"),0,IF(AND(T1166="NA",$P$1074="NA"),0,IF(T1166&lt;=$P$1074,0,1)))</f>
        <v>0</v>
      </c>
      <c r="AV1166"/>
      <c r="AW1166" s="457" t="s">
        <v>3762</v>
      </c>
      <c r="AX1166">
        <f>IF(AND(T1166="NS",$S$1118="NS"),0,IF(AND(T1166="NA",$S$1118="NA"),0,IF(T1166=$S$1118,0,1)))</f>
        <v>0</v>
      </c>
      <c r="AY1166"/>
      <c r="AZ1166" s="283">
        <f t="shared" ref="AZ1166:AZ1181" si="1059">COUNTIF(T1166:AD1166,"NS")</f>
        <v>0</v>
      </c>
    </row>
    <row r="1167" spans="1:52" ht="24" customHeight="1">
      <c r="A1167" s="49"/>
      <c r="B1167" s="38"/>
      <c r="C1167" s="143" t="s">
        <v>2518</v>
      </c>
      <c r="D1167" s="796" t="s">
        <v>3725</v>
      </c>
      <c r="E1167" s="796"/>
      <c r="F1167" s="796"/>
      <c r="G1167" s="796"/>
      <c r="H1167" s="796"/>
      <c r="I1167" s="796"/>
      <c r="J1167" s="796"/>
      <c r="K1167" s="796"/>
      <c r="L1167" s="796"/>
      <c r="M1167" s="796"/>
      <c r="N1167" s="796"/>
      <c r="O1167" s="796"/>
      <c r="P1167" s="796"/>
      <c r="Q1167" s="796"/>
      <c r="R1167" s="796"/>
      <c r="S1167" s="796"/>
      <c r="T1167" s="100"/>
      <c r="U1167" s="100"/>
      <c r="V1167" s="100"/>
      <c r="W1167" s="100"/>
      <c r="X1167" s="100"/>
      <c r="Y1167" s="100"/>
      <c r="Z1167" s="100"/>
      <c r="AA1167" s="100"/>
      <c r="AB1167" s="100"/>
      <c r="AC1167" s="100"/>
      <c r="AD1167" s="100"/>
      <c r="AG1167" s="326"/>
      <c r="AH1167" s="452" t="s">
        <v>3763</v>
      </c>
      <c r="AI1167">
        <f>IF(OR(Y1074="NS",Y1006="NS"),0,IF(AND(Y1074="NA",Y1006="NA"),0,IF(Y1074&gt;=Y1006,0,1)))</f>
        <v>0</v>
      </c>
      <c r="AJ1167" s="453" t="s">
        <v>3764</v>
      </c>
      <c r="AK1167">
        <f t="shared" si="1048"/>
        <v>0</v>
      </c>
      <c r="AL1167">
        <f t="shared" si="1049"/>
        <v>0</v>
      </c>
      <c r="AM1167">
        <f t="shared" si="1050"/>
        <v>0</v>
      </c>
      <c r="AN1167">
        <f t="shared" si="1051"/>
        <v>0</v>
      </c>
      <c r="AO1167">
        <f t="shared" si="1052"/>
        <v>0</v>
      </c>
      <c r="AP1167">
        <f t="shared" si="1053"/>
        <v>0</v>
      </c>
      <c r="AQ1167">
        <f t="shared" si="1054"/>
        <v>0</v>
      </c>
      <c r="AR1167">
        <f t="shared" si="1055"/>
        <v>0</v>
      </c>
      <c r="AS1167">
        <f t="shared" si="1056"/>
        <v>0</v>
      </c>
      <c r="AT1167">
        <f t="shared" si="1057"/>
        <v>0</v>
      </c>
      <c r="AU1167">
        <f t="shared" si="1058"/>
        <v>0</v>
      </c>
      <c r="AV1167"/>
      <c r="AW1167" s="454" t="s">
        <v>3764</v>
      </c>
      <c r="AX1167">
        <f>IF(AND(T1167="NS",$V$1118="NS"),0,IF(AND(T1167="NA",$V$1118="NA"),0,IF(T1167=$V$1118,0,1)))</f>
        <v>0</v>
      </c>
      <c r="AY1167"/>
      <c r="AZ1167" s="283">
        <f t="shared" si="1059"/>
        <v>0</v>
      </c>
    </row>
    <row r="1168" spans="1:52" ht="24" customHeight="1">
      <c r="A1168" s="49"/>
      <c r="B1168" s="38"/>
      <c r="C1168" s="143" t="s">
        <v>2519</v>
      </c>
      <c r="D1168" s="796" t="s">
        <v>3726</v>
      </c>
      <c r="E1168" s="796"/>
      <c r="F1168" s="796"/>
      <c r="G1168" s="796"/>
      <c r="H1168" s="796"/>
      <c r="I1168" s="796"/>
      <c r="J1168" s="796"/>
      <c r="K1168" s="796"/>
      <c r="L1168" s="796"/>
      <c r="M1168" s="796"/>
      <c r="N1168" s="796"/>
      <c r="O1168" s="796"/>
      <c r="P1168" s="796"/>
      <c r="Q1168" s="796"/>
      <c r="R1168" s="796"/>
      <c r="S1168" s="796"/>
      <c r="T1168" s="100"/>
      <c r="U1168" s="100"/>
      <c r="V1168" s="100"/>
      <c r="W1168" s="100"/>
      <c r="X1168" s="100"/>
      <c r="Y1168" s="100"/>
      <c r="Z1168" s="100"/>
      <c r="AA1168" s="100"/>
      <c r="AB1168" s="100"/>
      <c r="AC1168" s="100"/>
      <c r="AD1168" s="100"/>
      <c r="AG1168" s="326"/>
      <c r="AH1168" s="455" t="s">
        <v>3765</v>
      </c>
      <c r="AI1168">
        <f>IF(OR(X1182="NS",AB1074="NS"),0,IF(AND(X1182="NA",AB1074="NA"),0,IF(X1182&gt;=AB1074,0,1)))</f>
        <v>0</v>
      </c>
      <c r="AJ1168" s="456" t="s">
        <v>3766</v>
      </c>
      <c r="AK1168">
        <f t="shared" si="1048"/>
        <v>0</v>
      </c>
      <c r="AL1168">
        <f t="shared" si="1049"/>
        <v>0</v>
      </c>
      <c r="AM1168">
        <f t="shared" si="1050"/>
        <v>0</v>
      </c>
      <c r="AN1168">
        <f t="shared" si="1051"/>
        <v>0</v>
      </c>
      <c r="AO1168">
        <f t="shared" si="1052"/>
        <v>0</v>
      </c>
      <c r="AP1168">
        <f t="shared" si="1053"/>
        <v>0</v>
      </c>
      <c r="AQ1168">
        <f t="shared" si="1054"/>
        <v>0</v>
      </c>
      <c r="AR1168">
        <f t="shared" si="1055"/>
        <v>0</v>
      </c>
      <c r="AS1168">
        <f t="shared" si="1056"/>
        <v>0</v>
      </c>
      <c r="AT1168">
        <f t="shared" si="1057"/>
        <v>0</v>
      </c>
      <c r="AU1168">
        <f t="shared" si="1058"/>
        <v>0</v>
      </c>
      <c r="AV1168"/>
      <c r="AW1168" s="457" t="s">
        <v>3766</v>
      </c>
      <c r="AX1168">
        <f>IF(AND(T1168="NS",$Y$1118="NS"),0,IF(AND(T1168="NA",$Y$1118="NA"),0,IF(T1168=$Y$1118,0,1)))</f>
        <v>0</v>
      </c>
      <c r="AY1168"/>
      <c r="AZ1168" s="283">
        <f t="shared" si="1059"/>
        <v>0</v>
      </c>
    </row>
    <row r="1169" spans="1:52" ht="24" customHeight="1">
      <c r="A1169" s="49"/>
      <c r="B1169" s="38"/>
      <c r="C1169" s="143" t="s">
        <v>2520</v>
      </c>
      <c r="D1169" s="796" t="s">
        <v>3727</v>
      </c>
      <c r="E1169" s="796"/>
      <c r="F1169" s="796"/>
      <c r="G1169" s="796"/>
      <c r="H1169" s="796"/>
      <c r="I1169" s="796"/>
      <c r="J1169" s="796"/>
      <c r="K1169" s="796"/>
      <c r="L1169" s="796"/>
      <c r="M1169" s="796"/>
      <c r="N1169" s="796"/>
      <c r="O1169" s="796"/>
      <c r="P1169" s="796"/>
      <c r="Q1169" s="796"/>
      <c r="R1169" s="796"/>
      <c r="S1169" s="796"/>
      <c r="T1169" s="100"/>
      <c r="U1169" s="100"/>
      <c r="V1169" s="100"/>
      <c r="W1169" s="100"/>
      <c r="X1169" s="100"/>
      <c r="Y1169" s="100"/>
      <c r="Z1169" s="100"/>
      <c r="AA1169" s="100"/>
      <c r="AB1169" s="100"/>
      <c r="AC1169" s="100"/>
      <c r="AD1169" s="100"/>
      <c r="AG1169" s="326"/>
      <c r="AH1169" s="452" t="s">
        <v>3767</v>
      </c>
      <c r="AI1169">
        <f>IF(OR(Y1182="NS",M1088="NS"),0,IF(AND(Y1182="NA",M1088="NA"),0,IF(Y1182&gt;=M1088,0,1)))</f>
        <v>0</v>
      </c>
      <c r="AJ1169" s="453" t="s">
        <v>3768</v>
      </c>
      <c r="AK1169">
        <f t="shared" si="1048"/>
        <v>0</v>
      </c>
      <c r="AL1169">
        <f t="shared" si="1049"/>
        <v>0</v>
      </c>
      <c r="AM1169">
        <f t="shared" si="1050"/>
        <v>0</v>
      </c>
      <c r="AN1169">
        <f t="shared" si="1051"/>
        <v>0</v>
      </c>
      <c r="AO1169">
        <f t="shared" si="1052"/>
        <v>0</v>
      </c>
      <c r="AP1169">
        <f t="shared" si="1053"/>
        <v>0</v>
      </c>
      <c r="AQ1169">
        <f t="shared" si="1054"/>
        <v>0</v>
      </c>
      <c r="AR1169">
        <f t="shared" si="1055"/>
        <v>0</v>
      </c>
      <c r="AS1169">
        <f t="shared" si="1056"/>
        <v>0</v>
      </c>
      <c r="AT1169">
        <f t="shared" si="1057"/>
        <v>0</v>
      </c>
      <c r="AU1169">
        <f t="shared" si="1058"/>
        <v>0</v>
      </c>
      <c r="AV1169"/>
      <c r="AW1169" s="454" t="s">
        <v>3768</v>
      </c>
      <c r="AX1169">
        <f>IF(AND(T1169="NS",$AB$1118="NS"),0,IF(AND(T1169="NA",$AB$1118="NA"),0,IF(T1169=$AB$1118,0,1)))</f>
        <v>0</v>
      </c>
      <c r="AY1169"/>
      <c r="AZ1169" s="283">
        <f t="shared" si="1059"/>
        <v>0</v>
      </c>
    </row>
    <row r="1170" spans="1:52" ht="36" customHeight="1">
      <c r="A1170" s="49"/>
      <c r="B1170" s="38"/>
      <c r="C1170" s="98" t="s">
        <v>2521</v>
      </c>
      <c r="D1170" s="796" t="s">
        <v>3728</v>
      </c>
      <c r="E1170" s="796"/>
      <c r="F1170" s="796"/>
      <c r="G1170" s="796"/>
      <c r="H1170" s="796"/>
      <c r="I1170" s="796"/>
      <c r="J1170" s="796"/>
      <c r="K1170" s="796"/>
      <c r="L1170" s="796"/>
      <c r="M1170" s="796"/>
      <c r="N1170" s="796"/>
      <c r="O1170" s="796"/>
      <c r="P1170" s="796"/>
      <c r="Q1170" s="796"/>
      <c r="R1170" s="796"/>
      <c r="S1170" s="796"/>
      <c r="T1170" s="100"/>
      <c r="U1170" s="100"/>
      <c r="V1170" s="100"/>
      <c r="W1170" s="100"/>
      <c r="X1170" s="100"/>
      <c r="Y1170" s="100"/>
      <c r="Z1170" s="100"/>
      <c r="AA1170" s="100"/>
      <c r="AB1170" s="100"/>
      <c r="AC1170" s="100"/>
      <c r="AD1170" s="100"/>
      <c r="AG1170" s="326"/>
      <c r="AH1170" s="455" t="s">
        <v>3769</v>
      </c>
      <c r="AI1170">
        <f>IF(OR(Z1182="NS",P1088="NS"),0,IF(AND(Z1182="NA",P1088="NA"),0,IF(Z1182&gt;=P1088,0,1)))</f>
        <v>0</v>
      </c>
      <c r="AJ1170" s="456" t="s">
        <v>3770</v>
      </c>
      <c r="AK1170">
        <f t="shared" si="1048"/>
        <v>0</v>
      </c>
      <c r="AL1170">
        <f t="shared" si="1049"/>
        <v>0</v>
      </c>
      <c r="AM1170">
        <f t="shared" si="1050"/>
        <v>0</v>
      </c>
      <c r="AN1170">
        <f t="shared" si="1051"/>
        <v>0</v>
      </c>
      <c r="AO1170">
        <f t="shared" si="1052"/>
        <v>0</v>
      </c>
      <c r="AP1170">
        <f t="shared" si="1053"/>
        <v>0</v>
      </c>
      <c r="AQ1170">
        <f t="shared" si="1054"/>
        <v>0</v>
      </c>
      <c r="AR1170">
        <f t="shared" si="1055"/>
        <v>0</v>
      </c>
      <c r="AS1170">
        <f t="shared" si="1056"/>
        <v>0</v>
      </c>
      <c r="AT1170">
        <f t="shared" si="1057"/>
        <v>0</v>
      </c>
      <c r="AU1170">
        <f t="shared" si="1058"/>
        <v>0</v>
      </c>
      <c r="AV1170"/>
      <c r="AW1170" s="457" t="s">
        <v>3770</v>
      </c>
      <c r="AX1170">
        <f>IF(AND(T1170="NS",$M$1132="NS"),0,IF(AND(T1170="NA",$M$1132="NA"),0,IF(T1170=$M$1132,0,1)))</f>
        <v>0</v>
      </c>
      <c r="AY1170"/>
      <c r="AZ1170" s="283">
        <f t="shared" si="1059"/>
        <v>0</v>
      </c>
    </row>
    <row r="1171" spans="1:52" ht="36" customHeight="1">
      <c r="A1171" s="49"/>
      <c r="B1171" s="38"/>
      <c r="C1171" s="143" t="s">
        <v>2522</v>
      </c>
      <c r="D1171" s="796" t="s">
        <v>3729</v>
      </c>
      <c r="E1171" s="796"/>
      <c r="F1171" s="796"/>
      <c r="G1171" s="796"/>
      <c r="H1171" s="796"/>
      <c r="I1171" s="796"/>
      <c r="J1171" s="796"/>
      <c r="K1171" s="796"/>
      <c r="L1171" s="796"/>
      <c r="M1171" s="796"/>
      <c r="N1171" s="796"/>
      <c r="O1171" s="796"/>
      <c r="P1171" s="796"/>
      <c r="Q1171" s="796"/>
      <c r="R1171" s="796"/>
      <c r="S1171" s="796"/>
      <c r="T1171" s="100"/>
      <c r="U1171" s="100"/>
      <c r="V1171" s="100"/>
      <c r="W1171" s="100"/>
      <c r="X1171" s="100"/>
      <c r="Y1171" s="100"/>
      <c r="Z1171" s="100"/>
      <c r="AA1171" s="100"/>
      <c r="AB1171" s="100"/>
      <c r="AC1171" s="100"/>
      <c r="AD1171" s="100"/>
      <c r="AG1171" s="326"/>
      <c r="AH1171" s="452" t="s">
        <v>3712</v>
      </c>
      <c r="AI1171">
        <f>IF(OR(AA1182="NS",S1088="NS"),0,IF(AND(AA1182="NA",S1088="NA"),0,IF(AA1182&gt;=S1088,0,1)))</f>
        <v>0</v>
      </c>
      <c r="AJ1171" s="453" t="s">
        <v>3771</v>
      </c>
      <c r="AK1171">
        <f t="shared" si="1048"/>
        <v>0</v>
      </c>
      <c r="AL1171">
        <f t="shared" si="1049"/>
        <v>0</v>
      </c>
      <c r="AM1171">
        <f t="shared" si="1050"/>
        <v>0</v>
      </c>
      <c r="AN1171">
        <f t="shared" si="1051"/>
        <v>0</v>
      </c>
      <c r="AO1171">
        <f t="shared" si="1052"/>
        <v>0</v>
      </c>
      <c r="AP1171">
        <f t="shared" si="1053"/>
        <v>0</v>
      </c>
      <c r="AQ1171">
        <f t="shared" si="1054"/>
        <v>0</v>
      </c>
      <c r="AR1171">
        <f t="shared" si="1055"/>
        <v>0</v>
      </c>
      <c r="AS1171">
        <f t="shared" si="1056"/>
        <v>0</v>
      </c>
      <c r="AT1171">
        <f t="shared" si="1057"/>
        <v>0</v>
      </c>
      <c r="AU1171">
        <f t="shared" si="1058"/>
        <v>0</v>
      </c>
      <c r="AV1171"/>
      <c r="AW1171" s="454" t="s">
        <v>3771</v>
      </c>
      <c r="AX1171">
        <f>IF(AND(T1171="NS",$P$1132="NS"),0,IF(AND(T1171="NA",$P$1132="NA"),0,IF(T1171=$P$1132,0,1)))</f>
        <v>0</v>
      </c>
      <c r="AY1171"/>
      <c r="AZ1171" s="283">
        <f t="shared" si="1059"/>
        <v>0</v>
      </c>
    </row>
    <row r="1172" spans="1:52" ht="15" customHeight="1">
      <c r="A1172" s="49"/>
      <c r="B1172" s="38"/>
      <c r="C1172" s="143" t="s">
        <v>2523</v>
      </c>
      <c r="D1172" s="961" t="s">
        <v>3730</v>
      </c>
      <c r="E1172" s="814"/>
      <c r="F1172" s="814"/>
      <c r="G1172" s="814"/>
      <c r="H1172" s="814"/>
      <c r="I1172" s="814"/>
      <c r="J1172" s="814"/>
      <c r="K1172" s="814"/>
      <c r="L1172" s="814"/>
      <c r="M1172" s="814"/>
      <c r="N1172" s="814"/>
      <c r="O1172" s="814"/>
      <c r="P1172" s="814"/>
      <c r="Q1172" s="814"/>
      <c r="R1172" s="814"/>
      <c r="S1172" s="815"/>
      <c r="T1172" s="100"/>
      <c r="U1172" s="100"/>
      <c r="V1172" s="100"/>
      <c r="W1172" s="100"/>
      <c r="X1172" s="100"/>
      <c r="Y1172" s="100"/>
      <c r="Z1172" s="100"/>
      <c r="AA1172" s="100"/>
      <c r="AB1172" s="100"/>
      <c r="AC1172" s="100"/>
      <c r="AD1172" s="100"/>
      <c r="AG1172" s="326"/>
      <c r="AH1172" s="455" t="s">
        <v>3772</v>
      </c>
      <c r="AI1172">
        <f>IF(OR(AB1182="NS",V1088="NS"),0,IF(AND(AB1182="NA",V1088="NA"),0,IF(AB1182&gt;=V1088,0,1)))</f>
        <v>0</v>
      </c>
      <c r="AJ1172" s="456" t="s">
        <v>3773</v>
      </c>
      <c r="AK1172">
        <f t="shared" si="1048"/>
        <v>0</v>
      </c>
      <c r="AL1172">
        <f t="shared" si="1049"/>
        <v>0</v>
      </c>
      <c r="AM1172">
        <f t="shared" si="1050"/>
        <v>0</v>
      </c>
      <c r="AN1172">
        <f t="shared" si="1051"/>
        <v>0</v>
      </c>
      <c r="AO1172">
        <f t="shared" si="1052"/>
        <v>0</v>
      </c>
      <c r="AP1172">
        <f t="shared" si="1053"/>
        <v>0</v>
      </c>
      <c r="AQ1172">
        <f t="shared" si="1054"/>
        <v>0</v>
      </c>
      <c r="AR1172">
        <f t="shared" si="1055"/>
        <v>0</v>
      </c>
      <c r="AS1172">
        <f t="shared" si="1056"/>
        <v>0</v>
      </c>
      <c r="AT1172">
        <f t="shared" si="1057"/>
        <v>0</v>
      </c>
      <c r="AU1172">
        <f t="shared" si="1058"/>
        <v>0</v>
      </c>
      <c r="AV1172"/>
      <c r="AW1172" s="457" t="s">
        <v>3773</v>
      </c>
      <c r="AX1172">
        <f>IF(AND(T1172="NS",$S$1132="NS"),0,IF(AND(T1172="NA",$S$1132="NA"),0,IF(T1172=$S$1132,0,1)))</f>
        <v>0</v>
      </c>
      <c r="AY1172"/>
      <c r="AZ1172" s="283">
        <f t="shared" si="1059"/>
        <v>0</v>
      </c>
    </row>
    <row r="1173" spans="1:52" ht="48" customHeight="1">
      <c r="A1173" s="49"/>
      <c r="B1173" s="38"/>
      <c r="C1173" s="143" t="s">
        <v>2524</v>
      </c>
      <c r="D1173" s="796" t="s">
        <v>3731</v>
      </c>
      <c r="E1173" s="796"/>
      <c r="F1173" s="796"/>
      <c r="G1173" s="796"/>
      <c r="H1173" s="796"/>
      <c r="I1173" s="796"/>
      <c r="J1173" s="796"/>
      <c r="K1173" s="796"/>
      <c r="L1173" s="796"/>
      <c r="M1173" s="796"/>
      <c r="N1173" s="796"/>
      <c r="O1173" s="796"/>
      <c r="P1173" s="796"/>
      <c r="Q1173" s="796"/>
      <c r="R1173" s="796"/>
      <c r="S1173" s="796"/>
      <c r="T1173" s="100"/>
      <c r="U1173" s="100"/>
      <c r="V1173" s="100"/>
      <c r="W1173" s="100"/>
      <c r="X1173" s="100"/>
      <c r="Y1173" s="100"/>
      <c r="Z1173" s="100"/>
      <c r="AA1173" s="100"/>
      <c r="AB1173" s="100"/>
      <c r="AC1173" s="100"/>
      <c r="AD1173" s="100"/>
      <c r="AG1173" s="326"/>
      <c r="AH1173" s="452" t="s">
        <v>3714</v>
      </c>
      <c r="AI1173">
        <f>IF(OR(AC1182="NS",Y1088="NS"),0,IF(AND(AC1182="NA",Y1088="NA"),0,IF(AC1182&gt;=Y1088,0,1)))</f>
        <v>0</v>
      </c>
      <c r="AJ1173" s="453" t="s">
        <v>3774</v>
      </c>
      <c r="AK1173">
        <f t="shared" si="1048"/>
        <v>0</v>
      </c>
      <c r="AL1173">
        <f t="shared" si="1049"/>
        <v>0</v>
      </c>
      <c r="AM1173">
        <f t="shared" si="1050"/>
        <v>0</v>
      </c>
      <c r="AN1173">
        <f t="shared" si="1051"/>
        <v>0</v>
      </c>
      <c r="AO1173">
        <f t="shared" si="1052"/>
        <v>0</v>
      </c>
      <c r="AP1173">
        <f t="shared" si="1053"/>
        <v>0</v>
      </c>
      <c r="AQ1173">
        <f t="shared" si="1054"/>
        <v>0</v>
      </c>
      <c r="AR1173">
        <f t="shared" si="1055"/>
        <v>0</v>
      </c>
      <c r="AS1173">
        <f t="shared" si="1056"/>
        <v>0</v>
      </c>
      <c r="AT1173">
        <f t="shared" si="1057"/>
        <v>0</v>
      </c>
      <c r="AU1173">
        <f t="shared" si="1058"/>
        <v>0</v>
      </c>
      <c r="AV1173"/>
      <c r="AW1173" s="454" t="s">
        <v>3774</v>
      </c>
      <c r="AX1173">
        <f>IF(AND(T1173="NS",$V$1132="NS"),0,IF(AND(T1173="NA",$V$1132="NA"),0,IF(T1173=$V$1132,0,1)))</f>
        <v>0</v>
      </c>
      <c r="AY1173"/>
      <c r="AZ1173" s="283">
        <f t="shared" si="1059"/>
        <v>0</v>
      </c>
    </row>
    <row r="1174" spans="1:52" ht="48" customHeight="1">
      <c r="A1174" s="49"/>
      <c r="B1174" s="38"/>
      <c r="C1174" s="143" t="s">
        <v>2525</v>
      </c>
      <c r="D1174" s="796" t="s">
        <v>3775</v>
      </c>
      <c r="E1174" s="796"/>
      <c r="F1174" s="796"/>
      <c r="G1174" s="796"/>
      <c r="H1174" s="796"/>
      <c r="I1174" s="796"/>
      <c r="J1174" s="796"/>
      <c r="K1174" s="796"/>
      <c r="L1174" s="796"/>
      <c r="M1174" s="796"/>
      <c r="N1174" s="796"/>
      <c r="O1174" s="796"/>
      <c r="P1174" s="796"/>
      <c r="Q1174" s="796"/>
      <c r="R1174" s="796"/>
      <c r="S1174" s="796"/>
      <c r="T1174" s="100"/>
      <c r="U1174" s="100"/>
      <c r="V1174" s="100"/>
      <c r="W1174" s="100"/>
      <c r="X1174" s="100"/>
      <c r="Y1174" s="100"/>
      <c r="Z1174" s="100"/>
      <c r="AA1174" s="100"/>
      <c r="AB1174" s="100"/>
      <c r="AC1174" s="100"/>
      <c r="AD1174" s="100"/>
      <c r="AG1174" s="326"/>
      <c r="AH1174" s="455" t="s">
        <v>3715</v>
      </c>
      <c r="AI1174">
        <f>IF(OR(AD1182="NS",AB1088="NS"),0,IF(AND(AD1182="NA",AB1088="NA"),0,IF(AD1182&gt;=AB1088,0,1)))</f>
        <v>0</v>
      </c>
      <c r="AJ1174" s="456" t="s">
        <v>3776</v>
      </c>
      <c r="AK1174">
        <f t="shared" si="1048"/>
        <v>0</v>
      </c>
      <c r="AL1174">
        <f t="shared" si="1049"/>
        <v>0</v>
      </c>
      <c r="AM1174">
        <f t="shared" si="1050"/>
        <v>0</v>
      </c>
      <c r="AN1174">
        <f t="shared" si="1051"/>
        <v>0</v>
      </c>
      <c r="AO1174">
        <f t="shared" si="1052"/>
        <v>0</v>
      </c>
      <c r="AP1174">
        <f t="shared" si="1053"/>
        <v>0</v>
      </c>
      <c r="AQ1174">
        <f t="shared" si="1054"/>
        <v>0</v>
      </c>
      <c r="AR1174">
        <f t="shared" si="1055"/>
        <v>0</v>
      </c>
      <c r="AS1174">
        <f t="shared" si="1056"/>
        <v>0</v>
      </c>
      <c r="AT1174">
        <f t="shared" si="1057"/>
        <v>0</v>
      </c>
      <c r="AU1174">
        <f t="shared" si="1058"/>
        <v>0</v>
      </c>
      <c r="AV1174"/>
      <c r="AW1174" s="457" t="s">
        <v>3776</v>
      </c>
      <c r="AX1174">
        <f>IF(AND(T1174="NS",Y1132="NS"),0,IF(AND(T1174="NA",Y1132="NA"),0,IF(T1174=Y1132,0,1)))</f>
        <v>0</v>
      </c>
      <c r="AY1174"/>
      <c r="AZ1174" s="283">
        <f t="shared" si="1059"/>
        <v>0</v>
      </c>
    </row>
    <row r="1175" spans="1:52" ht="15" customHeight="1">
      <c r="A1175" s="49"/>
      <c r="B1175" s="38"/>
      <c r="C1175" s="143" t="s">
        <v>2526</v>
      </c>
      <c r="D1175" s="796" t="s">
        <v>3733</v>
      </c>
      <c r="E1175" s="796"/>
      <c r="F1175" s="796"/>
      <c r="G1175" s="796"/>
      <c r="H1175" s="796"/>
      <c r="I1175" s="796"/>
      <c r="J1175" s="796"/>
      <c r="K1175" s="796"/>
      <c r="L1175" s="796"/>
      <c r="M1175" s="796"/>
      <c r="N1175" s="796"/>
      <c r="O1175" s="796"/>
      <c r="P1175" s="796"/>
      <c r="Q1175" s="796"/>
      <c r="R1175" s="796"/>
      <c r="S1175" s="796"/>
      <c r="T1175" s="100"/>
      <c r="U1175" s="100"/>
      <c r="V1175" s="100"/>
      <c r="W1175" s="100"/>
      <c r="X1175" s="100"/>
      <c r="Y1175" s="100"/>
      <c r="Z1175" s="100"/>
      <c r="AA1175" s="100"/>
      <c r="AB1175" s="100"/>
      <c r="AC1175" s="100"/>
      <c r="AD1175" s="100"/>
      <c r="AG1175" s="326"/>
      <c r="AH1175"/>
      <c r="AI1175" s="386">
        <f>SUM(AI1165:AI1174)</f>
        <v>0</v>
      </c>
      <c r="AJ1175" s="453" t="s">
        <v>3777</v>
      </c>
      <c r="AK1175">
        <f t="shared" si="1048"/>
        <v>0</v>
      </c>
      <c r="AL1175">
        <f t="shared" si="1049"/>
        <v>0</v>
      </c>
      <c r="AM1175">
        <f t="shared" si="1050"/>
        <v>0</v>
      </c>
      <c r="AN1175">
        <f t="shared" si="1051"/>
        <v>0</v>
      </c>
      <c r="AO1175">
        <f t="shared" si="1052"/>
        <v>0</v>
      </c>
      <c r="AP1175">
        <f t="shared" si="1053"/>
        <v>0</v>
      </c>
      <c r="AQ1175">
        <f t="shared" si="1054"/>
        <v>0</v>
      </c>
      <c r="AR1175">
        <f t="shared" si="1055"/>
        <v>0</v>
      </c>
      <c r="AS1175">
        <f t="shared" si="1056"/>
        <v>0</v>
      </c>
      <c r="AT1175">
        <f t="shared" si="1057"/>
        <v>0</v>
      </c>
      <c r="AU1175">
        <f t="shared" si="1058"/>
        <v>0</v>
      </c>
      <c r="AV1175"/>
      <c r="AW1175" s="454" t="s">
        <v>3777</v>
      </c>
      <c r="AX1175">
        <f>IF(AND(T1175="NS",AB1132="NS"),0,IF(AND(T1175="NA",AB1132="NA"),0,IF(T1175=AB1132,0,1)))</f>
        <v>0</v>
      </c>
      <c r="AY1175"/>
      <c r="AZ1175" s="283">
        <f t="shared" si="1059"/>
        <v>0</v>
      </c>
    </row>
    <row r="1176" spans="1:52" ht="15" customHeight="1">
      <c r="A1176" s="49"/>
      <c r="B1176" s="38"/>
      <c r="C1176" s="143" t="s">
        <v>2527</v>
      </c>
      <c r="D1176" s="796" t="s">
        <v>3743</v>
      </c>
      <c r="E1176" s="796"/>
      <c r="F1176" s="796"/>
      <c r="G1176" s="796"/>
      <c r="H1176" s="796"/>
      <c r="I1176" s="796"/>
      <c r="J1176" s="796"/>
      <c r="K1176" s="796"/>
      <c r="L1176" s="796"/>
      <c r="M1176" s="796"/>
      <c r="N1176" s="796"/>
      <c r="O1176" s="796"/>
      <c r="P1176" s="796"/>
      <c r="Q1176" s="796"/>
      <c r="R1176" s="796"/>
      <c r="S1176" s="796"/>
      <c r="T1176" s="100"/>
      <c r="U1176" s="100"/>
      <c r="V1176" s="100"/>
      <c r="W1176" s="100"/>
      <c r="X1176" s="100"/>
      <c r="Y1176" s="100"/>
      <c r="Z1176" s="100"/>
      <c r="AA1176" s="100"/>
      <c r="AB1176" s="100"/>
      <c r="AC1176" s="100"/>
      <c r="AD1176" s="100"/>
      <c r="AG1176" s="326"/>
      <c r="AH1176"/>
      <c r="AI1176"/>
      <c r="AJ1176" s="456" t="s">
        <v>3778</v>
      </c>
      <c r="AK1176">
        <f t="shared" si="1048"/>
        <v>0</v>
      </c>
      <c r="AL1176">
        <f t="shared" si="1049"/>
        <v>0</v>
      </c>
      <c r="AM1176">
        <f t="shared" si="1050"/>
        <v>0</v>
      </c>
      <c r="AN1176">
        <f t="shared" si="1051"/>
        <v>0</v>
      </c>
      <c r="AO1176">
        <f t="shared" si="1052"/>
        <v>0</v>
      </c>
      <c r="AP1176">
        <f t="shared" si="1053"/>
        <v>0</v>
      </c>
      <c r="AQ1176">
        <f t="shared" si="1054"/>
        <v>0</v>
      </c>
      <c r="AR1176">
        <f t="shared" si="1055"/>
        <v>0</v>
      </c>
      <c r="AS1176">
        <f t="shared" si="1056"/>
        <v>0</v>
      </c>
      <c r="AT1176">
        <f t="shared" si="1057"/>
        <v>0</v>
      </c>
      <c r="AU1176">
        <f t="shared" si="1058"/>
        <v>0</v>
      </c>
      <c r="AV1176"/>
      <c r="AW1176" s="457" t="s">
        <v>3778</v>
      </c>
      <c r="AX1176">
        <f>IF(AND(T1176="NS",M1146="NS"),0,IF(AND(T1176="NA",M1146="NA"),0,IF(T1176=M1146,0,1)))</f>
        <v>0</v>
      </c>
      <c r="AY1176"/>
      <c r="AZ1176" s="283">
        <f t="shared" si="1059"/>
        <v>0</v>
      </c>
    </row>
    <row r="1177" spans="1:52" ht="36" customHeight="1">
      <c r="A1177" s="49"/>
      <c r="B1177" s="38"/>
      <c r="C1177" s="143" t="s">
        <v>2528</v>
      </c>
      <c r="D1177" s="796" t="s">
        <v>3779</v>
      </c>
      <c r="E1177" s="796"/>
      <c r="F1177" s="796"/>
      <c r="G1177" s="796"/>
      <c r="H1177" s="796"/>
      <c r="I1177" s="796"/>
      <c r="J1177" s="796"/>
      <c r="K1177" s="796"/>
      <c r="L1177" s="796"/>
      <c r="M1177" s="796"/>
      <c r="N1177" s="796"/>
      <c r="O1177" s="796"/>
      <c r="P1177" s="796"/>
      <c r="Q1177" s="796"/>
      <c r="R1177" s="796"/>
      <c r="S1177" s="796"/>
      <c r="T1177" s="100"/>
      <c r="U1177" s="100"/>
      <c r="V1177" s="100"/>
      <c r="W1177" s="100"/>
      <c r="X1177" s="100"/>
      <c r="Y1177" s="100"/>
      <c r="Z1177" s="100"/>
      <c r="AA1177" s="100"/>
      <c r="AB1177" s="100"/>
      <c r="AC1177" s="100"/>
      <c r="AD1177" s="100"/>
      <c r="AG1177" s="326"/>
      <c r="AH1177"/>
      <c r="AI1177"/>
      <c r="AJ1177" s="453" t="s">
        <v>3780</v>
      </c>
      <c r="AK1177">
        <f t="shared" si="1048"/>
        <v>0</v>
      </c>
      <c r="AL1177">
        <f t="shared" si="1049"/>
        <v>0</v>
      </c>
      <c r="AM1177">
        <f t="shared" si="1050"/>
        <v>0</v>
      </c>
      <c r="AN1177">
        <f t="shared" si="1051"/>
        <v>0</v>
      </c>
      <c r="AO1177">
        <f t="shared" si="1052"/>
        <v>0</v>
      </c>
      <c r="AP1177">
        <f t="shared" si="1053"/>
        <v>0</v>
      </c>
      <c r="AQ1177">
        <f t="shared" si="1054"/>
        <v>0</v>
      </c>
      <c r="AR1177">
        <f t="shared" si="1055"/>
        <v>0</v>
      </c>
      <c r="AS1177">
        <f t="shared" si="1056"/>
        <v>0</v>
      </c>
      <c r="AT1177">
        <f t="shared" si="1057"/>
        <v>0</v>
      </c>
      <c r="AU1177">
        <f t="shared" si="1058"/>
        <v>0</v>
      </c>
      <c r="AV1177"/>
      <c r="AW1177" s="454" t="s">
        <v>3780</v>
      </c>
      <c r="AX1177">
        <f>IF(AND(T1177="NS",P1146="NS"),0,IF(AND(T1177="NA",P1146="NA"),0,IF(T1177=P1146,0,1)))</f>
        <v>0</v>
      </c>
      <c r="AY1177"/>
      <c r="AZ1177" s="283">
        <f t="shared" si="1059"/>
        <v>0</v>
      </c>
    </row>
    <row r="1178" spans="1:52" ht="24" customHeight="1">
      <c r="A1178" s="49"/>
      <c r="B1178" s="38"/>
      <c r="C1178" s="143" t="s">
        <v>2529</v>
      </c>
      <c r="D1178" s="796" t="s">
        <v>3749</v>
      </c>
      <c r="E1178" s="796"/>
      <c r="F1178" s="796"/>
      <c r="G1178" s="796"/>
      <c r="H1178" s="796"/>
      <c r="I1178" s="796"/>
      <c r="J1178" s="796"/>
      <c r="K1178" s="796"/>
      <c r="L1178" s="796"/>
      <c r="M1178" s="796"/>
      <c r="N1178" s="796"/>
      <c r="O1178" s="796"/>
      <c r="P1178" s="796"/>
      <c r="Q1178" s="796"/>
      <c r="R1178" s="796"/>
      <c r="S1178" s="796"/>
      <c r="T1178" s="100"/>
      <c r="U1178" s="100"/>
      <c r="V1178" s="100"/>
      <c r="W1178" s="100"/>
      <c r="X1178" s="100"/>
      <c r="Y1178" s="100"/>
      <c r="Z1178" s="100"/>
      <c r="AA1178" s="100"/>
      <c r="AB1178" s="100"/>
      <c r="AC1178" s="100"/>
      <c r="AD1178" s="100"/>
      <c r="AG1178" s="326"/>
      <c r="AH1178"/>
      <c r="AI1178"/>
      <c r="AJ1178" s="456" t="s">
        <v>3781</v>
      </c>
      <c r="AK1178">
        <f t="shared" si="1048"/>
        <v>0</v>
      </c>
      <c r="AL1178">
        <f t="shared" si="1049"/>
        <v>0</v>
      </c>
      <c r="AM1178">
        <f t="shared" si="1050"/>
        <v>0</v>
      </c>
      <c r="AN1178">
        <f t="shared" si="1051"/>
        <v>0</v>
      </c>
      <c r="AO1178">
        <f t="shared" si="1052"/>
        <v>0</v>
      </c>
      <c r="AP1178">
        <f t="shared" si="1053"/>
        <v>0</v>
      </c>
      <c r="AQ1178">
        <f t="shared" si="1054"/>
        <v>0</v>
      </c>
      <c r="AR1178">
        <f t="shared" si="1055"/>
        <v>0</v>
      </c>
      <c r="AS1178">
        <f t="shared" si="1056"/>
        <v>0</v>
      </c>
      <c r="AT1178">
        <f t="shared" si="1057"/>
        <v>0</v>
      </c>
      <c r="AU1178">
        <f t="shared" si="1058"/>
        <v>0</v>
      </c>
      <c r="AV1178"/>
      <c r="AW1178" s="457" t="s">
        <v>3781</v>
      </c>
      <c r="AX1178">
        <f>IF(AND(T1178="NS",S1146="NS"),0,IF(AND(T1178="NA",S1146="NA"),0,IF(T1178=S1146,0,1)))</f>
        <v>0</v>
      </c>
      <c r="AY1178"/>
      <c r="AZ1178" s="283">
        <f t="shared" si="1059"/>
        <v>0</v>
      </c>
    </row>
    <row r="1179" spans="1:52" ht="24" customHeight="1">
      <c r="A1179" s="49"/>
      <c r="B1179" s="38"/>
      <c r="C1179" s="44" t="s">
        <v>2530</v>
      </c>
      <c r="D1179" s="796" t="s">
        <v>3750</v>
      </c>
      <c r="E1179" s="796"/>
      <c r="F1179" s="796"/>
      <c r="G1179" s="796"/>
      <c r="H1179" s="796"/>
      <c r="I1179" s="796"/>
      <c r="J1179" s="796"/>
      <c r="K1179" s="796"/>
      <c r="L1179" s="796"/>
      <c r="M1179" s="796"/>
      <c r="N1179" s="796"/>
      <c r="O1179" s="796"/>
      <c r="P1179" s="796"/>
      <c r="Q1179" s="796"/>
      <c r="R1179" s="796"/>
      <c r="S1179" s="796"/>
      <c r="T1179" s="100"/>
      <c r="U1179" s="100"/>
      <c r="V1179" s="100"/>
      <c r="W1179" s="100"/>
      <c r="X1179" s="100"/>
      <c r="Y1179" s="100"/>
      <c r="Z1179" s="100"/>
      <c r="AA1179" s="100"/>
      <c r="AB1179" s="100"/>
      <c r="AC1179" s="100"/>
      <c r="AD1179" s="100"/>
      <c r="AG1179" s="326"/>
      <c r="AH1179"/>
      <c r="AI1179"/>
      <c r="AJ1179" s="453" t="s">
        <v>3782</v>
      </c>
      <c r="AK1179">
        <f t="shared" si="1048"/>
        <v>0</v>
      </c>
      <c r="AL1179">
        <f t="shared" si="1049"/>
        <v>0</v>
      </c>
      <c r="AM1179">
        <f t="shared" si="1050"/>
        <v>0</v>
      </c>
      <c r="AN1179">
        <f t="shared" si="1051"/>
        <v>0</v>
      </c>
      <c r="AO1179">
        <f t="shared" si="1052"/>
        <v>0</v>
      </c>
      <c r="AP1179">
        <f t="shared" si="1053"/>
        <v>0</v>
      </c>
      <c r="AQ1179">
        <f t="shared" si="1054"/>
        <v>0</v>
      </c>
      <c r="AR1179">
        <f t="shared" si="1055"/>
        <v>0</v>
      </c>
      <c r="AS1179">
        <f t="shared" si="1056"/>
        <v>0</v>
      </c>
      <c r="AT1179">
        <f t="shared" si="1057"/>
        <v>0</v>
      </c>
      <c r="AU1179">
        <f t="shared" si="1058"/>
        <v>0</v>
      </c>
      <c r="AV1179"/>
      <c r="AW1179" s="454" t="s">
        <v>3782</v>
      </c>
      <c r="AX1179">
        <f>IF(AND(T1179="NS",V1146="NS"),0,IF(AND(T1179="NA",V1146="NA"),0,IF(T1179=V1146,0,1)))</f>
        <v>0</v>
      </c>
      <c r="AY1179"/>
      <c r="AZ1179" s="283">
        <f t="shared" si="1059"/>
        <v>0</v>
      </c>
    </row>
    <row r="1180" spans="1:52" ht="15" customHeight="1">
      <c r="A1180" s="49"/>
      <c r="B1180" s="38"/>
      <c r="C1180" s="143" t="s">
        <v>2531</v>
      </c>
      <c r="D1180" s="796" t="s">
        <v>3758</v>
      </c>
      <c r="E1180" s="796"/>
      <c r="F1180" s="796"/>
      <c r="G1180" s="796"/>
      <c r="H1180" s="796"/>
      <c r="I1180" s="796"/>
      <c r="J1180" s="796"/>
      <c r="K1180" s="796"/>
      <c r="L1180" s="796"/>
      <c r="M1180" s="796"/>
      <c r="N1180" s="796"/>
      <c r="O1180" s="796"/>
      <c r="P1180" s="796"/>
      <c r="Q1180" s="796"/>
      <c r="R1180" s="796"/>
      <c r="S1180" s="796"/>
      <c r="T1180" s="100"/>
      <c r="U1180" s="100"/>
      <c r="V1180" s="100"/>
      <c r="W1180" s="100"/>
      <c r="X1180" s="100"/>
      <c r="Y1180" s="100"/>
      <c r="Z1180" s="100"/>
      <c r="AA1180" s="100"/>
      <c r="AB1180" s="100"/>
      <c r="AC1180" s="100"/>
      <c r="AD1180" s="100"/>
      <c r="AG1180" s="326"/>
      <c r="AH1180"/>
      <c r="AI1180"/>
      <c r="AJ1180" s="456" t="s">
        <v>3783</v>
      </c>
      <c r="AK1180">
        <f t="shared" si="1048"/>
        <v>0</v>
      </c>
      <c r="AL1180">
        <f t="shared" si="1049"/>
        <v>0</v>
      </c>
      <c r="AM1180">
        <f t="shared" si="1050"/>
        <v>0</v>
      </c>
      <c r="AN1180">
        <f t="shared" si="1051"/>
        <v>0</v>
      </c>
      <c r="AO1180">
        <f t="shared" si="1052"/>
        <v>0</v>
      </c>
      <c r="AP1180">
        <f t="shared" si="1053"/>
        <v>0</v>
      </c>
      <c r="AQ1180">
        <f t="shared" si="1054"/>
        <v>0</v>
      </c>
      <c r="AR1180">
        <f t="shared" si="1055"/>
        <v>0</v>
      </c>
      <c r="AS1180">
        <f t="shared" si="1056"/>
        <v>0</v>
      </c>
      <c r="AT1180">
        <f t="shared" si="1057"/>
        <v>0</v>
      </c>
      <c r="AU1180">
        <f t="shared" si="1058"/>
        <v>0</v>
      </c>
      <c r="AV1180"/>
      <c r="AW1180" s="457" t="s">
        <v>3783</v>
      </c>
      <c r="AX1180">
        <f>IF(AND(T1180="NS",Y1146="NS"),0,IF(AND(T1180="NA",Y1146="NA"),0,IF(T1180=Y1146,0,1)))</f>
        <v>0</v>
      </c>
      <c r="AY1180"/>
      <c r="AZ1180" s="283">
        <f t="shared" si="1059"/>
        <v>0</v>
      </c>
    </row>
    <row r="1181" spans="1:52" ht="15" customHeight="1">
      <c r="A1181" s="49"/>
      <c r="B1181" s="38"/>
      <c r="C1181" s="143" t="s">
        <v>2532</v>
      </c>
      <c r="D1181" s="796" t="s">
        <v>201</v>
      </c>
      <c r="E1181" s="796"/>
      <c r="F1181" s="796"/>
      <c r="G1181" s="796"/>
      <c r="H1181" s="796"/>
      <c r="I1181" s="796"/>
      <c r="J1181" s="796"/>
      <c r="K1181" s="796"/>
      <c r="L1181" s="796"/>
      <c r="M1181" s="796"/>
      <c r="N1181" s="796"/>
      <c r="O1181" s="796"/>
      <c r="P1181" s="796"/>
      <c r="Q1181" s="796"/>
      <c r="R1181" s="796"/>
      <c r="S1181" s="796"/>
      <c r="T1181" s="100"/>
      <c r="U1181" s="100"/>
      <c r="V1181" s="100"/>
      <c r="W1181" s="100"/>
      <c r="X1181" s="100"/>
      <c r="Y1181" s="100"/>
      <c r="Z1181" s="100"/>
      <c r="AA1181" s="100"/>
      <c r="AB1181" s="100"/>
      <c r="AC1181" s="100"/>
      <c r="AD1181" s="100"/>
      <c r="AG1181" s="326"/>
      <c r="AH1181"/>
      <c r="AI1181"/>
      <c r="AJ1181" s="453" t="s">
        <v>3784</v>
      </c>
      <c r="AK1181">
        <f t="shared" si="1048"/>
        <v>0</v>
      </c>
      <c r="AL1181">
        <f t="shared" si="1049"/>
        <v>0</v>
      </c>
      <c r="AM1181">
        <f t="shared" si="1050"/>
        <v>0</v>
      </c>
      <c r="AN1181">
        <f t="shared" si="1051"/>
        <v>0</v>
      </c>
      <c r="AO1181">
        <f t="shared" si="1052"/>
        <v>0</v>
      </c>
      <c r="AP1181">
        <f t="shared" si="1053"/>
        <v>0</v>
      </c>
      <c r="AQ1181">
        <f t="shared" si="1054"/>
        <v>0</v>
      </c>
      <c r="AR1181">
        <f t="shared" si="1055"/>
        <v>0</v>
      </c>
      <c r="AS1181">
        <f t="shared" si="1056"/>
        <v>0</v>
      </c>
      <c r="AT1181">
        <f t="shared" si="1057"/>
        <v>0</v>
      </c>
      <c r="AU1181">
        <f>IF(OR(T1181="NS",$P$1074="NS"),0,IF(AND(T1181="NA",$P$1074="NA"),0,IF(T1181&lt;=$P$1074,0,1)))</f>
        <v>0</v>
      </c>
      <c r="AV1181"/>
      <c r="AW1181" s="454" t="s">
        <v>3784</v>
      </c>
      <c r="AX1181">
        <f>IF(AND(T1181="NS",AB1146="NS"),0,IF(AND(T1181="NA",AB1146="NA"),0,IF(T1181=AB1146,0,1)))</f>
        <v>0</v>
      </c>
      <c r="AY1181"/>
      <c r="AZ1181" s="283">
        <f t="shared" si="1059"/>
        <v>0</v>
      </c>
    </row>
    <row r="1182" spans="1:52" ht="15" customHeight="1">
      <c r="A1182" s="49"/>
      <c r="B1182" s="38"/>
      <c r="C1182" s="38"/>
      <c r="D1182" s="38"/>
      <c r="E1182" s="38"/>
      <c r="F1182" s="38"/>
      <c r="G1182" s="38"/>
      <c r="H1182" s="57"/>
      <c r="S1182" s="99" t="s">
        <v>2649</v>
      </c>
      <c r="T1182" s="124">
        <f>IF(AND(SUM(T1165:T1181)=0,COUNTIF(T1165:T1181,"NS")&gt;0),"NS",
IF(AND(SUM(T1165:T1181)=0,COUNTIF(T1165:T1181,0)&gt;0),0,
IF(AND(SUM(T1165:T1181)=0,COUNTIF(T1165:T1181,"NA")&gt;0),"NA",
SUM(T1165:T1181))))</f>
        <v>0</v>
      </c>
      <c r="U1182" s="124">
        <f t="shared" ref="U1182:AD1182" si="1060">IF(AND(SUM(U1165:U1181)=0,COUNTIF(U1165:U1181,"NS")&gt;0),"NS",
IF(AND(SUM(U1165:U1181)=0,COUNTIF(U1165:U1181,0)&gt;0),0,
IF(AND(SUM(U1165:U1181)=0,COUNTIF(U1165:U1181,"NA")&gt;0),"NA",
SUM(U1165:U1181))))</f>
        <v>0</v>
      </c>
      <c r="V1182" s="124">
        <f t="shared" si="1060"/>
        <v>0</v>
      </c>
      <c r="W1182" s="124">
        <f t="shared" si="1060"/>
        <v>0</v>
      </c>
      <c r="X1182" s="124">
        <f t="shared" si="1060"/>
        <v>0</v>
      </c>
      <c r="Y1182" s="124">
        <f t="shared" si="1060"/>
        <v>0</v>
      </c>
      <c r="Z1182" s="124">
        <f t="shared" si="1060"/>
        <v>0</v>
      </c>
      <c r="AA1182" s="124">
        <f t="shared" si="1060"/>
        <v>0</v>
      </c>
      <c r="AB1182" s="124">
        <f t="shared" si="1060"/>
        <v>0</v>
      </c>
      <c r="AC1182" s="124">
        <f t="shared" si="1060"/>
        <v>0</v>
      </c>
      <c r="AD1182" s="124">
        <f t="shared" si="1060"/>
        <v>0</v>
      </c>
      <c r="AG1182" s="283"/>
      <c r="AH1182"/>
      <c r="AI1182"/>
      <c r="AJ1182"/>
      <c r="AK1182" s="458">
        <f>SUM(AK1165:AK1181)</f>
        <v>0</v>
      </c>
      <c r="AL1182" s="459">
        <f t="shared" ref="AL1182:AU1182" si="1061">SUM(AL1165:AL1181)</f>
        <v>0</v>
      </c>
      <c r="AM1182" s="460">
        <f t="shared" si="1061"/>
        <v>0</v>
      </c>
      <c r="AN1182" s="461">
        <f t="shared" si="1061"/>
        <v>0</v>
      </c>
      <c r="AO1182" s="458">
        <f t="shared" si="1061"/>
        <v>0</v>
      </c>
      <c r="AP1182" s="459">
        <f t="shared" si="1061"/>
        <v>0</v>
      </c>
      <c r="AQ1182" s="458">
        <f t="shared" si="1061"/>
        <v>0</v>
      </c>
      <c r="AR1182" s="459">
        <f t="shared" si="1061"/>
        <v>0</v>
      </c>
      <c r="AS1182" s="458">
        <f t="shared" si="1061"/>
        <v>0</v>
      </c>
      <c r="AT1182" s="459">
        <f t="shared" si="1061"/>
        <v>0</v>
      </c>
      <c r="AU1182" s="462">
        <f t="shared" si="1061"/>
        <v>0</v>
      </c>
      <c r="AV1182"/>
      <c r="AW1182"/>
      <c r="AX1182" s="463">
        <f>SUM(AX1165:AX1181)</f>
        <v>0</v>
      </c>
      <c r="AY1182"/>
      <c r="AZ1182" s="282">
        <f>SUM(AZ1165:AZ1181)</f>
        <v>0</v>
      </c>
    </row>
    <row r="1183" spans="1:52" ht="15" customHeight="1">
      <c r="A1183" s="49"/>
      <c r="B1183" s="57"/>
      <c r="C1183" s="57"/>
      <c r="D1183" s="57"/>
      <c r="E1183" s="57"/>
      <c r="F1183" s="57"/>
      <c r="G1183" s="57"/>
      <c r="H1183" s="57"/>
      <c r="I1183" s="57"/>
      <c r="J1183" s="57"/>
      <c r="K1183" s="57"/>
      <c r="L1183" s="57"/>
      <c r="M1183" s="57"/>
      <c r="N1183" s="57"/>
      <c r="O1183" s="57"/>
      <c r="P1183" s="57"/>
      <c r="Q1183" s="57"/>
      <c r="R1183" s="57"/>
      <c r="S1183" s="57"/>
      <c r="T1183" s="57"/>
      <c r="U1183" s="57"/>
      <c r="V1183" s="57"/>
      <c r="W1183" s="57"/>
      <c r="X1183" s="57"/>
      <c r="Y1183" s="57"/>
      <c r="Z1183" s="57"/>
      <c r="AA1183" s="57"/>
      <c r="AB1183" s="57"/>
      <c r="AC1183" s="57"/>
      <c r="AD1183" s="57"/>
      <c r="AG1183"/>
      <c r="AH1183"/>
      <c r="AI1183"/>
      <c r="AJ1183"/>
      <c r="AK1183"/>
      <c r="AL1183"/>
      <c r="AM1183"/>
      <c r="AN1183"/>
      <c r="AO1183"/>
      <c r="AP1183"/>
      <c r="AQ1183"/>
      <c r="AR1183"/>
      <c r="AS1183"/>
      <c r="AT1183"/>
      <c r="AU1183" s="464">
        <f>SUM(AK1182:AU1182)</f>
        <v>0</v>
      </c>
      <c r="AV1183"/>
      <c r="AW1183"/>
      <c r="AX1183"/>
      <c r="AY1183"/>
      <c r="AZ1183"/>
    </row>
    <row r="1184" spans="1:52" ht="24" customHeight="1">
      <c r="A1184" s="96"/>
      <c r="B1184" s="90"/>
      <c r="C1184" s="754" t="s">
        <v>2611</v>
      </c>
      <c r="D1184" s="754"/>
      <c r="E1184" s="754"/>
      <c r="F1184" s="754"/>
      <c r="G1184" s="754"/>
      <c r="H1184" s="754"/>
      <c r="I1184" s="754"/>
      <c r="J1184" s="754"/>
      <c r="K1184" s="754"/>
      <c r="L1184" s="754"/>
      <c r="M1184" s="754"/>
      <c r="N1184" s="754"/>
      <c r="O1184" s="754"/>
      <c r="P1184" s="754"/>
      <c r="Q1184" s="754"/>
      <c r="R1184" s="754"/>
      <c r="S1184" s="754"/>
      <c r="T1184" s="754"/>
      <c r="U1184" s="754"/>
      <c r="V1184" s="754"/>
      <c r="W1184" s="754"/>
      <c r="X1184" s="754"/>
      <c r="Y1184" s="754"/>
      <c r="Z1184" s="754"/>
      <c r="AA1184" s="754"/>
      <c r="AB1184" s="754"/>
      <c r="AC1184" s="754"/>
      <c r="AD1184" s="754"/>
    </row>
    <row r="1185" spans="1:38" ht="60" customHeight="1">
      <c r="A1185" s="96"/>
      <c r="B1185" s="90"/>
      <c r="C1185" s="851"/>
      <c r="D1185" s="851"/>
      <c r="E1185" s="851"/>
      <c r="F1185" s="851"/>
      <c r="G1185" s="851"/>
      <c r="H1185" s="851"/>
      <c r="I1185" s="851"/>
      <c r="J1185" s="851"/>
      <c r="K1185" s="851"/>
      <c r="L1185" s="851"/>
      <c r="M1185" s="851"/>
      <c r="N1185" s="851"/>
      <c r="O1185" s="851"/>
      <c r="P1185" s="851"/>
      <c r="Q1185" s="851"/>
      <c r="R1185" s="851"/>
      <c r="S1185" s="851"/>
      <c r="T1185" s="851"/>
      <c r="U1185" s="851"/>
      <c r="V1185" s="851"/>
      <c r="W1185" s="851"/>
      <c r="X1185" s="851"/>
      <c r="Y1185" s="851"/>
      <c r="Z1185" s="851"/>
      <c r="AA1185" s="851"/>
      <c r="AB1185" s="851"/>
      <c r="AC1185" s="851"/>
      <c r="AD1185" s="851"/>
    </row>
    <row r="1186" spans="1:38" ht="15" customHeight="1">
      <c r="A1186" s="96"/>
      <c r="B1186" s="794" t="str">
        <f>IF(AG1165&gt;0,"Favor de ingresar toda la información requerida en la pregunta ","")</f>
        <v/>
      </c>
      <c r="C1186" s="794"/>
      <c r="D1186" s="794"/>
      <c r="E1186" s="794"/>
      <c r="F1186" s="794"/>
      <c r="G1186" s="794"/>
      <c r="H1186" s="794"/>
      <c r="I1186" s="794"/>
      <c r="J1186" s="794"/>
      <c r="K1186" s="794"/>
      <c r="L1186" s="794"/>
      <c r="M1186" s="794"/>
      <c r="N1186" s="794"/>
      <c r="O1186" s="794"/>
      <c r="P1186" s="794"/>
      <c r="Q1186" s="794"/>
      <c r="R1186" s="794"/>
      <c r="S1186" s="794"/>
      <c r="T1186" s="794"/>
      <c r="U1186" s="794"/>
      <c r="V1186" s="794"/>
      <c r="W1186" s="794"/>
      <c r="X1186" s="794"/>
      <c r="Y1186" s="794"/>
      <c r="Z1186" s="794"/>
      <c r="AA1186" s="794"/>
      <c r="AB1186" s="794"/>
      <c r="AC1186" s="794"/>
      <c r="AD1186" s="794"/>
      <c r="AE1186"/>
    </row>
    <row r="1187" spans="1:38" ht="15" customHeight="1">
      <c r="A1187" s="103"/>
      <c r="B1187" s="795" t="str">
        <f>IF(AZ1182&gt;0,"Alerta: debido a que cuenta con registros NS, debe proporcionar una justificación en el area de comentarios al final de la pregunta","")</f>
        <v/>
      </c>
      <c r="C1187" s="795"/>
      <c r="D1187" s="795"/>
      <c r="E1187" s="795"/>
      <c r="F1187" s="795"/>
      <c r="G1187" s="795"/>
      <c r="H1187" s="795"/>
      <c r="I1187" s="795"/>
      <c r="J1187" s="795"/>
      <c r="K1187" s="795"/>
      <c r="L1187" s="795"/>
      <c r="M1187" s="795"/>
      <c r="N1187" s="795"/>
      <c r="O1187" s="795"/>
      <c r="P1187" s="795"/>
      <c r="Q1187" s="795"/>
      <c r="R1187" s="795"/>
      <c r="S1187" s="795"/>
      <c r="T1187" s="795"/>
      <c r="U1187" s="795"/>
      <c r="V1187" s="795"/>
      <c r="W1187" s="795"/>
      <c r="X1187" s="795"/>
      <c r="Y1187" s="795"/>
      <c r="Z1187" s="795"/>
      <c r="AA1187" s="795"/>
      <c r="AB1187" s="795"/>
      <c r="AC1187" s="795"/>
      <c r="AD1187" s="795"/>
      <c r="AE1187"/>
    </row>
    <row r="1188" spans="1:38" ht="15" customHeight="1">
      <c r="A1188" s="103"/>
      <c r="B1188" s="794" t="str">
        <f>IF(AI1175&gt;0,"Favor de revisar la instrucción 1, debido a que no se cumplen con los criterios mencionados","")</f>
        <v/>
      </c>
      <c r="C1188" s="794"/>
      <c r="D1188" s="794"/>
      <c r="E1188" s="794"/>
      <c r="F1188" s="794"/>
      <c r="G1188" s="794"/>
      <c r="H1188" s="794"/>
      <c r="I1188" s="794"/>
      <c r="J1188" s="794"/>
      <c r="K1188" s="794"/>
      <c r="L1188" s="794"/>
      <c r="M1188" s="794"/>
      <c r="N1188" s="794"/>
      <c r="O1188" s="794"/>
      <c r="P1188" s="794"/>
      <c r="Q1188" s="794"/>
      <c r="R1188" s="794"/>
      <c r="S1188" s="794"/>
      <c r="T1188" s="794"/>
      <c r="U1188" s="794"/>
      <c r="V1188" s="794"/>
      <c r="W1188" s="794"/>
      <c r="X1188" s="794"/>
      <c r="Y1188" s="794"/>
      <c r="Z1188" s="794"/>
      <c r="AA1188" s="794"/>
      <c r="AB1188" s="794"/>
      <c r="AC1188" s="794"/>
      <c r="AD1188" s="794"/>
      <c r="AE1188" s="794"/>
    </row>
    <row r="1189" spans="1:38" ht="15" customHeight="1">
      <c r="A1189" s="103"/>
      <c r="B1189" s="795" t="str">
        <f>IF(AU1183&gt;0,"Alerta: debe de proporcionar una justificación de acuerdo a lo establecido en la instrucción 2","")</f>
        <v/>
      </c>
      <c r="C1189" s="795"/>
      <c r="D1189" s="795"/>
      <c r="E1189" s="795"/>
      <c r="F1189" s="795"/>
      <c r="G1189" s="795"/>
      <c r="H1189" s="795"/>
      <c r="I1189" s="795"/>
      <c r="J1189" s="795"/>
      <c r="K1189" s="795"/>
      <c r="L1189" s="795"/>
      <c r="M1189" s="795"/>
      <c r="N1189" s="795"/>
      <c r="O1189" s="795"/>
      <c r="P1189" s="795"/>
      <c r="Q1189" s="795"/>
      <c r="R1189" s="795"/>
      <c r="S1189" s="795"/>
      <c r="T1189" s="795"/>
      <c r="U1189" s="795"/>
      <c r="V1189" s="795"/>
      <c r="W1189" s="795"/>
      <c r="X1189" s="795"/>
      <c r="Y1189" s="795"/>
      <c r="Z1189" s="795"/>
      <c r="AA1189" s="795"/>
      <c r="AB1189" s="795"/>
      <c r="AC1189" s="795"/>
      <c r="AD1189" s="795"/>
      <c r="AE1189" s="795"/>
    </row>
    <row r="1190" spans="1:38" ht="15" customHeight="1">
      <c r="A1190" s="103"/>
      <c r="B1190" s="795" t="str">
        <f>IF(AX1182&gt;0,"Alerta: debe de proporcionar una justificación de acuerdo a lo establecido en la instrucción 3","")</f>
        <v/>
      </c>
      <c r="C1190" s="795"/>
      <c r="D1190" s="795"/>
      <c r="E1190" s="795"/>
      <c r="F1190" s="795"/>
      <c r="G1190" s="795"/>
      <c r="H1190" s="795"/>
      <c r="I1190" s="795"/>
      <c r="J1190" s="795"/>
      <c r="K1190" s="795"/>
      <c r="L1190" s="795"/>
      <c r="M1190" s="795"/>
      <c r="N1190" s="795"/>
      <c r="O1190" s="795"/>
      <c r="P1190" s="795"/>
      <c r="Q1190" s="795"/>
      <c r="R1190" s="795"/>
      <c r="S1190" s="795"/>
      <c r="T1190" s="795"/>
      <c r="U1190" s="795"/>
      <c r="V1190" s="795"/>
      <c r="W1190" s="795"/>
      <c r="X1190" s="795"/>
      <c r="Y1190" s="795"/>
      <c r="Z1190" s="795"/>
      <c r="AA1190" s="795"/>
      <c r="AB1190" s="795"/>
      <c r="AC1190" s="795"/>
      <c r="AD1190" s="795"/>
      <c r="AE1190" s="795"/>
    </row>
    <row r="1191" spans="1:38" ht="15" customHeight="1" thickBot="1">
      <c r="A1191" s="103"/>
      <c r="B1191" s="57"/>
      <c r="C1191" s="57"/>
      <c r="D1191" s="57"/>
      <c r="E1191" s="57"/>
      <c r="F1191" s="57"/>
      <c r="G1191" s="57"/>
      <c r="H1191" s="57"/>
      <c r="I1191" s="57"/>
      <c r="J1191" s="57"/>
      <c r="K1191" s="57"/>
      <c r="L1191" s="57"/>
      <c r="M1191" s="57"/>
      <c r="N1191" s="57"/>
      <c r="O1191" s="57"/>
      <c r="P1191" s="57"/>
      <c r="Q1191" s="57"/>
      <c r="R1191" s="57"/>
      <c r="S1191" s="57"/>
      <c r="T1191" s="57"/>
      <c r="U1191" s="57"/>
      <c r="V1191" s="57"/>
      <c r="W1191" s="57"/>
      <c r="X1191" s="57"/>
      <c r="Y1191" s="57"/>
      <c r="Z1191" s="57"/>
      <c r="AA1191" s="57"/>
      <c r="AB1191" s="57"/>
      <c r="AC1191" s="57"/>
      <c r="AD1191" s="57"/>
      <c r="AE1191"/>
    </row>
    <row r="1192" spans="1:38" customFormat="1" ht="15" customHeight="1" thickBot="1">
      <c r="A1192" s="153" t="s">
        <v>2563</v>
      </c>
      <c r="B1192" s="943" t="s">
        <v>3785</v>
      </c>
      <c r="C1192" s="944"/>
      <c r="D1192" s="944"/>
      <c r="E1192" s="944"/>
      <c r="F1192" s="944"/>
      <c r="G1192" s="944"/>
      <c r="H1192" s="944"/>
      <c r="I1192" s="944"/>
      <c r="J1192" s="944"/>
      <c r="K1192" s="944"/>
      <c r="L1192" s="944"/>
      <c r="M1192" s="944"/>
      <c r="N1192" s="944"/>
      <c r="O1192" s="944"/>
      <c r="P1192" s="944"/>
      <c r="Q1192" s="944"/>
      <c r="R1192" s="944"/>
      <c r="S1192" s="944"/>
      <c r="T1192" s="944"/>
      <c r="U1192" s="944"/>
      <c r="V1192" s="944"/>
      <c r="W1192" s="944"/>
      <c r="X1192" s="944"/>
      <c r="Y1192" s="944"/>
      <c r="Z1192" s="944"/>
      <c r="AA1192" s="944"/>
      <c r="AB1192" s="944"/>
      <c r="AC1192" s="944"/>
      <c r="AD1192" s="945"/>
      <c r="AE1192" s="3"/>
    </row>
    <row r="1193" spans="1:38" ht="15" customHeight="1">
      <c r="A1193" s="49"/>
      <c r="B1193" s="1014" t="s">
        <v>3786</v>
      </c>
      <c r="C1193" s="835"/>
      <c r="D1193" s="835"/>
      <c r="E1193" s="835"/>
      <c r="F1193" s="835"/>
      <c r="G1193" s="835"/>
      <c r="H1193" s="835"/>
      <c r="I1193" s="835"/>
      <c r="J1193" s="835"/>
      <c r="K1193" s="835"/>
      <c r="L1193" s="835"/>
      <c r="M1193" s="835"/>
      <c r="N1193" s="835"/>
      <c r="O1193" s="835"/>
      <c r="P1193" s="835"/>
      <c r="Q1193" s="835"/>
      <c r="R1193" s="835"/>
      <c r="S1193" s="835"/>
      <c r="T1193" s="835"/>
      <c r="U1193" s="835"/>
      <c r="V1193" s="835"/>
      <c r="W1193" s="835"/>
      <c r="X1193" s="835"/>
      <c r="Y1193" s="835"/>
      <c r="Z1193" s="835"/>
      <c r="AA1193" s="835"/>
      <c r="AB1193" s="835"/>
      <c r="AC1193" s="835"/>
      <c r="AD1193" s="1015"/>
    </row>
    <row r="1194" spans="1:38" ht="24" customHeight="1">
      <c r="A1194" s="49"/>
      <c r="B1194" s="133"/>
      <c r="C1194" s="764" t="s">
        <v>3787</v>
      </c>
      <c r="D1194" s="764"/>
      <c r="E1194" s="764"/>
      <c r="F1194" s="764"/>
      <c r="G1194" s="764"/>
      <c r="H1194" s="764"/>
      <c r="I1194" s="764"/>
      <c r="J1194" s="764"/>
      <c r="K1194" s="764"/>
      <c r="L1194" s="764"/>
      <c r="M1194" s="764"/>
      <c r="N1194" s="764"/>
      <c r="O1194" s="764"/>
      <c r="P1194" s="764"/>
      <c r="Q1194" s="764"/>
      <c r="R1194" s="764"/>
      <c r="S1194" s="764"/>
      <c r="T1194" s="764"/>
      <c r="U1194" s="764"/>
      <c r="V1194" s="764"/>
      <c r="W1194" s="764"/>
      <c r="X1194" s="764"/>
      <c r="Y1194" s="764"/>
      <c r="Z1194" s="764"/>
      <c r="AA1194" s="764"/>
      <c r="AB1194" s="764"/>
      <c r="AC1194" s="764"/>
      <c r="AD1194" s="765"/>
    </row>
    <row r="1195" spans="1:38" ht="15" customHeight="1">
      <c r="A1195" s="103"/>
      <c r="B1195" s="57"/>
      <c r="C1195" s="57"/>
      <c r="D1195" s="57"/>
      <c r="E1195" s="57"/>
      <c r="F1195" s="57"/>
      <c r="G1195" s="57"/>
      <c r="H1195" s="57"/>
      <c r="I1195" s="57"/>
      <c r="J1195" s="57"/>
      <c r="K1195" s="57"/>
      <c r="L1195" s="57"/>
      <c r="M1195" s="57"/>
      <c r="N1195" s="57"/>
      <c r="O1195" s="57"/>
      <c r="P1195" s="57"/>
      <c r="Q1195" s="57"/>
      <c r="R1195" s="57"/>
      <c r="S1195" s="57"/>
      <c r="T1195" s="57"/>
      <c r="U1195" s="57"/>
      <c r="V1195" s="57"/>
      <c r="W1195" s="57"/>
      <c r="X1195" s="57"/>
      <c r="Y1195" s="57"/>
      <c r="Z1195" s="57"/>
      <c r="AA1195" s="57"/>
      <c r="AB1195" s="57"/>
      <c r="AC1195" s="57"/>
      <c r="AD1195" s="57"/>
    </row>
    <row r="1196" spans="1:38" ht="36" customHeight="1">
      <c r="A1196" s="49" t="s">
        <v>3788</v>
      </c>
      <c r="B1196" s="829" t="s">
        <v>3789</v>
      </c>
      <c r="C1196" s="829"/>
      <c r="D1196" s="829"/>
      <c r="E1196" s="829"/>
      <c r="F1196" s="829"/>
      <c r="G1196" s="829"/>
      <c r="H1196" s="829"/>
      <c r="I1196" s="829"/>
      <c r="J1196" s="829"/>
      <c r="K1196" s="829"/>
      <c r="L1196" s="829"/>
      <c r="M1196" s="829"/>
      <c r="N1196" s="829"/>
      <c r="O1196" s="829"/>
      <c r="P1196" s="829"/>
      <c r="Q1196" s="829"/>
      <c r="R1196" s="829"/>
      <c r="S1196" s="829"/>
      <c r="T1196" s="829"/>
      <c r="U1196" s="829"/>
      <c r="V1196" s="829"/>
      <c r="W1196" s="829"/>
      <c r="X1196" s="829"/>
      <c r="Y1196" s="829"/>
      <c r="Z1196" s="829"/>
      <c r="AA1196" s="829"/>
      <c r="AB1196" s="829"/>
      <c r="AC1196" s="829"/>
      <c r="AD1196" s="829"/>
    </row>
    <row r="1197" spans="1:38" ht="36" customHeight="1">
      <c r="A1197" s="50"/>
      <c r="B1197" s="38"/>
      <c r="C1197" s="830" t="s">
        <v>3790</v>
      </c>
      <c r="D1197" s="830"/>
      <c r="E1197" s="830"/>
      <c r="F1197" s="830"/>
      <c r="G1197" s="830"/>
      <c r="H1197" s="830"/>
      <c r="I1197" s="830"/>
      <c r="J1197" s="830"/>
      <c r="K1197" s="830"/>
      <c r="L1197" s="830"/>
      <c r="M1197" s="830"/>
      <c r="N1197" s="830"/>
      <c r="O1197" s="830"/>
      <c r="P1197" s="830"/>
      <c r="Q1197" s="830"/>
      <c r="R1197" s="830"/>
      <c r="S1197" s="830"/>
      <c r="T1197" s="830"/>
      <c r="U1197" s="830"/>
      <c r="V1197" s="830"/>
      <c r="W1197" s="830"/>
      <c r="X1197" s="830"/>
      <c r="Y1197" s="830"/>
      <c r="Z1197" s="830"/>
      <c r="AA1197" s="830"/>
      <c r="AB1197" s="830"/>
      <c r="AC1197" s="830"/>
      <c r="AD1197" s="830"/>
    </row>
    <row r="1198" spans="1:38" ht="36" customHeight="1">
      <c r="A1198" s="50"/>
      <c r="B1198" s="38"/>
      <c r="C1198" s="754" t="s">
        <v>3791</v>
      </c>
      <c r="D1198" s="754"/>
      <c r="E1198" s="754"/>
      <c r="F1198" s="754"/>
      <c r="G1198" s="754"/>
      <c r="H1198" s="754"/>
      <c r="I1198" s="754"/>
      <c r="J1198" s="754"/>
      <c r="K1198" s="754"/>
      <c r="L1198" s="754"/>
      <c r="M1198" s="754"/>
      <c r="N1198" s="754"/>
      <c r="O1198" s="754"/>
      <c r="P1198" s="754"/>
      <c r="Q1198" s="754"/>
      <c r="R1198" s="754"/>
      <c r="S1198" s="754"/>
      <c r="T1198" s="754"/>
      <c r="U1198" s="754"/>
      <c r="V1198" s="754"/>
      <c r="W1198" s="754"/>
      <c r="X1198" s="754"/>
      <c r="Y1198" s="754"/>
      <c r="Z1198" s="754"/>
      <c r="AA1198" s="754"/>
      <c r="AB1198" s="754"/>
      <c r="AC1198" s="754"/>
      <c r="AD1198" s="754"/>
    </row>
    <row r="1199" spans="1:38" ht="15" customHeight="1">
      <c r="A1199" s="103"/>
      <c r="B1199" s="57"/>
      <c r="C1199" s="57"/>
      <c r="D1199" s="57"/>
      <c r="E1199" s="57"/>
      <c r="F1199" s="57"/>
      <c r="G1199" s="57"/>
      <c r="H1199" s="57"/>
      <c r="I1199" s="57"/>
      <c r="J1199" s="57"/>
      <c r="K1199" s="57"/>
      <c r="L1199" s="57"/>
      <c r="M1199" s="57"/>
      <c r="N1199" s="57"/>
      <c r="O1199" s="57"/>
      <c r="P1199" s="57"/>
      <c r="Q1199" s="57"/>
      <c r="R1199" s="57"/>
      <c r="S1199" s="57"/>
      <c r="T1199" s="57"/>
      <c r="U1199" s="57"/>
      <c r="V1199" s="57"/>
      <c r="W1199" s="57"/>
      <c r="X1199" s="57"/>
      <c r="Y1199" s="57"/>
      <c r="Z1199" s="57"/>
      <c r="AA1199" s="57"/>
      <c r="AB1199" s="57"/>
      <c r="AC1199" s="57"/>
      <c r="AD1199" s="57"/>
    </row>
    <row r="1200" spans="1:38" ht="96" customHeight="1">
      <c r="A1200" s="49"/>
      <c r="B1200" s="38"/>
      <c r="C1200" s="732" t="s">
        <v>2581</v>
      </c>
      <c r="D1200" s="732"/>
      <c r="E1200" s="732"/>
      <c r="F1200" s="732"/>
      <c r="G1200" s="732"/>
      <c r="H1200" s="732"/>
      <c r="I1200" s="732" t="s">
        <v>3792</v>
      </c>
      <c r="J1200" s="732"/>
      <c r="K1200" s="732"/>
      <c r="L1200" s="732"/>
      <c r="M1200" s="732"/>
      <c r="N1200" s="732"/>
      <c r="O1200" s="732" t="s">
        <v>3793</v>
      </c>
      <c r="P1200" s="732"/>
      <c r="Q1200" s="732"/>
      <c r="R1200" s="732"/>
      <c r="S1200" s="732"/>
      <c r="T1200" s="732"/>
      <c r="U1200" s="732"/>
      <c r="V1200" s="732"/>
      <c r="W1200" s="732"/>
      <c r="X1200" s="732"/>
      <c r="Y1200" s="732"/>
      <c r="Z1200" s="732"/>
      <c r="AA1200" s="732"/>
      <c r="AB1200" s="732"/>
      <c r="AC1200" s="732"/>
      <c r="AD1200" s="732"/>
      <c r="AG1200"/>
      <c r="AH1200"/>
      <c r="AI1200"/>
      <c r="AJ1200"/>
      <c r="AK1200"/>
      <c r="AL1200" s="921" t="s">
        <v>3478</v>
      </c>
    </row>
    <row r="1201" spans="1:38" ht="24" customHeight="1">
      <c r="A1201" s="49"/>
      <c r="B1201" s="38"/>
      <c r="C1201" s="732"/>
      <c r="D1201" s="732"/>
      <c r="E1201" s="732"/>
      <c r="F1201" s="732"/>
      <c r="G1201" s="732"/>
      <c r="H1201" s="732"/>
      <c r="I1201" s="732"/>
      <c r="J1201" s="732"/>
      <c r="K1201" s="732"/>
      <c r="L1201" s="732"/>
      <c r="M1201" s="732"/>
      <c r="N1201" s="732"/>
      <c r="O1201" s="732" t="s">
        <v>2628</v>
      </c>
      <c r="P1201" s="732"/>
      <c r="Q1201" s="732"/>
      <c r="R1201" s="732"/>
      <c r="S1201" s="736" t="s">
        <v>2629</v>
      </c>
      <c r="T1201" s="736"/>
      <c r="U1201" s="736"/>
      <c r="V1201" s="736"/>
      <c r="W1201" s="736" t="s">
        <v>2630</v>
      </c>
      <c r="X1201" s="736"/>
      <c r="Y1201" s="736"/>
      <c r="Z1201" s="736"/>
      <c r="AA1201" s="736" t="s">
        <v>201</v>
      </c>
      <c r="AB1201" s="736"/>
      <c r="AC1201" s="736"/>
      <c r="AD1201" s="736"/>
      <c r="AG1201" s="354" t="s">
        <v>2586</v>
      </c>
      <c r="AH1201" s="350" t="s">
        <v>2590</v>
      </c>
      <c r="AI1201" s="351" t="s">
        <v>3163</v>
      </c>
      <c r="AJ1201" s="352" t="s">
        <v>3164</v>
      </c>
      <c r="AK1201" s="365" t="s">
        <v>2620</v>
      </c>
      <c r="AL1201" s="921"/>
    </row>
    <row r="1202" spans="1:38" ht="15" customHeight="1">
      <c r="A1202" s="49"/>
      <c r="B1202" s="38"/>
      <c r="C1202" s="97" t="s">
        <v>2516</v>
      </c>
      <c r="D1202" s="796" t="str">
        <f>IF(CNSIPEE_2024_M2_Secc1!D42="","",CNSIPEE_2024_M2_Secc1!D42)</f>
        <v/>
      </c>
      <c r="E1202" s="796"/>
      <c r="F1202" s="796"/>
      <c r="G1202" s="796"/>
      <c r="H1202" s="796"/>
      <c r="I1202" s="749"/>
      <c r="J1202" s="749"/>
      <c r="K1202" s="749"/>
      <c r="L1202" s="749"/>
      <c r="M1202" s="749"/>
      <c r="N1202" s="749"/>
      <c r="O1202" s="749"/>
      <c r="P1202" s="749"/>
      <c r="Q1202" s="749"/>
      <c r="R1202" s="749"/>
      <c r="S1202" s="749"/>
      <c r="T1202" s="749"/>
      <c r="U1202" s="749"/>
      <c r="V1202" s="749"/>
      <c r="W1202" s="749"/>
      <c r="X1202" s="749"/>
      <c r="Y1202" s="749"/>
      <c r="Z1202" s="749"/>
      <c r="AA1202" s="749"/>
      <c r="AB1202" s="749"/>
      <c r="AC1202" s="749"/>
      <c r="AD1202" s="749"/>
      <c r="AG1202" s="353">
        <f>IF(AND(COUNTBLANK(D1202)=0,$I1202&lt;&gt;1,$I1202&lt;&gt;"",COUNTA(O1202:AD1202)=0),0,IF(AND(COUNTBLANK(D1202)=0,$I1202=1,$I1202&lt;&gt;"",COUNTA(O1202:AD1202)=4),0,IF(AND(COUNTBLANK(D1202)=1,COUNTA(I1202:AD1202)=0),0,1)))</f>
        <v>0</v>
      </c>
      <c r="AH1202" s="326">
        <f>COUNTIF(S1202:AD1202,"NS")</f>
        <v>0</v>
      </c>
      <c r="AI1202" s="326">
        <f>SUM(S1202:AD1202)</f>
        <v>0</v>
      </c>
      <c r="AJ1202" s="326">
        <f>IF(COUNTIF(O1202:AD1202,"NA")=4,0,IF(OR(AND(O1202=0,AH1202&gt;0),AND(O1202="ns",AI1202&gt;0),AND(O1202="ns",AH1202=0,AI1202=0)),1,IF(OR(AND(O1202&gt;0,AH1202=2),AND(O1202="ns",AH1202=2),AND(O1202="ns",AI1202=0,AH1202&gt;0),O1202=AI1202),0,1)))</f>
        <v>0</v>
      </c>
      <c r="AK1202" s="342">
        <f>IF(AND($I1202&lt;&gt;"",$I1202&lt;&gt;1,COUNTA(O1202:AD1202)&gt;0),1,0)</f>
        <v>0</v>
      </c>
      <c r="AL1202" s="253">
        <f>IF(AND($I1202&lt;&gt;"",$I1202=1,O1202&lt;&gt;"",S1202&lt;&gt;"",W1202&lt;&gt;"",AA1202&lt;&gt;"",SUM(O1202:AD1202)=0),1,0)</f>
        <v>0</v>
      </c>
    </row>
    <row r="1203" spans="1:38" ht="15" customHeight="1">
      <c r="A1203" s="49"/>
      <c r="B1203" s="38"/>
      <c r="C1203" s="98" t="s">
        <v>2517</v>
      </c>
      <c r="D1203" s="796" t="str">
        <f>IF(CNSIPEE_2024_M2_Secc1!D43="","",CNSIPEE_2024_M2_Secc1!D43)</f>
        <v/>
      </c>
      <c r="E1203" s="796"/>
      <c r="F1203" s="796"/>
      <c r="G1203" s="796"/>
      <c r="H1203" s="796"/>
      <c r="I1203" s="749"/>
      <c r="J1203" s="749"/>
      <c r="K1203" s="749"/>
      <c r="L1203" s="749"/>
      <c r="M1203" s="749"/>
      <c r="N1203" s="749"/>
      <c r="O1203" s="749"/>
      <c r="P1203" s="749"/>
      <c r="Q1203" s="749"/>
      <c r="R1203" s="749"/>
      <c r="S1203" s="749"/>
      <c r="T1203" s="749"/>
      <c r="U1203" s="749"/>
      <c r="V1203" s="749"/>
      <c r="W1203" s="749"/>
      <c r="X1203" s="749"/>
      <c r="Y1203" s="749"/>
      <c r="Z1203" s="749"/>
      <c r="AA1203" s="749"/>
      <c r="AB1203" s="749"/>
      <c r="AC1203" s="749"/>
      <c r="AD1203" s="749"/>
      <c r="AG1203" s="353">
        <f t="shared" ref="AG1203:AG1209" si="1062">IF(AND(COUNTBLANK(D1203)=0,$I1203&lt;&gt;1,$I1203&lt;&gt;"",COUNTA(O1203:AD1203)=0),0,IF(AND(COUNTBLANK(D1203)=0,$I1203=1,$I1203&lt;&gt;"",COUNTA(O1203:AD1203)=4),0,IF(AND(COUNTBLANK(D1203)=1,COUNTA(I1203:AD1203)=0),0,1)))</f>
        <v>0</v>
      </c>
      <c r="AH1203" s="326">
        <f t="shared" ref="AH1203:AH1209" si="1063">COUNTIF(S1203:AD1203,"NS")</f>
        <v>0</v>
      </c>
      <c r="AI1203" s="326">
        <f t="shared" ref="AI1203:AI1209" si="1064">SUM(S1203:AD1203)</f>
        <v>0</v>
      </c>
      <c r="AJ1203" s="326">
        <f t="shared" ref="AJ1203:AJ1209" si="1065">IF(COUNTIF(O1203:AD1203,"NA")=4,0,IF(OR(AND(O1203=0,AH1203&gt;0),AND(O1203="ns",AI1203&gt;0),AND(O1203="ns",AH1203=0,AI1203=0)),1,IF(OR(AND(O1203&gt;0,AH1203=2),AND(O1203="ns",AH1203=2),AND(O1203="ns",AI1203=0,AH1203&gt;0),O1203=AI1203),0,1)))</f>
        <v>0</v>
      </c>
      <c r="AK1203" s="342">
        <f t="shared" ref="AK1203:AK1209" si="1066">IF(AND($I1203&lt;&gt;"",$I1203&lt;&gt;1,COUNTA(O1203:AD1203)&gt;0),1,0)</f>
        <v>0</v>
      </c>
      <c r="AL1203" s="253">
        <f t="shared" ref="AL1203:AL1209" si="1067">IF(AND($I1203&lt;&gt;"",$I1203=1,O1203&lt;&gt;"",S1203&lt;&gt;"",W1203&lt;&gt;"",AA1203&lt;&gt;"",SUM(O1203:AD1203)=0),1,0)</f>
        <v>0</v>
      </c>
    </row>
    <row r="1204" spans="1:38" ht="15" customHeight="1">
      <c r="A1204" s="49"/>
      <c r="B1204" s="38"/>
      <c r="C1204" s="98" t="s">
        <v>2518</v>
      </c>
      <c r="D1204" s="796" t="str">
        <f>IF(CNSIPEE_2024_M2_Secc1!D44="","",CNSIPEE_2024_M2_Secc1!D44)</f>
        <v/>
      </c>
      <c r="E1204" s="796"/>
      <c r="F1204" s="796"/>
      <c r="G1204" s="796"/>
      <c r="H1204" s="796"/>
      <c r="I1204" s="749"/>
      <c r="J1204" s="749"/>
      <c r="K1204" s="749"/>
      <c r="L1204" s="749"/>
      <c r="M1204" s="749"/>
      <c r="N1204" s="749"/>
      <c r="O1204" s="749"/>
      <c r="P1204" s="749"/>
      <c r="Q1204" s="749"/>
      <c r="R1204" s="749"/>
      <c r="S1204" s="749"/>
      <c r="T1204" s="749"/>
      <c r="U1204" s="749"/>
      <c r="V1204" s="749"/>
      <c r="W1204" s="749"/>
      <c r="X1204" s="749"/>
      <c r="Y1204" s="749"/>
      <c r="Z1204" s="749"/>
      <c r="AA1204" s="749"/>
      <c r="AB1204" s="749"/>
      <c r="AC1204" s="749"/>
      <c r="AD1204" s="749"/>
      <c r="AG1204" s="353">
        <f t="shared" si="1062"/>
        <v>0</v>
      </c>
      <c r="AH1204" s="326">
        <f t="shared" si="1063"/>
        <v>0</v>
      </c>
      <c r="AI1204" s="326">
        <f t="shared" si="1064"/>
        <v>0</v>
      </c>
      <c r="AJ1204" s="326">
        <f t="shared" si="1065"/>
        <v>0</v>
      </c>
      <c r="AK1204" s="342">
        <f t="shared" si="1066"/>
        <v>0</v>
      </c>
      <c r="AL1204" s="253">
        <f t="shared" si="1067"/>
        <v>0</v>
      </c>
    </row>
    <row r="1205" spans="1:38" ht="15" customHeight="1">
      <c r="A1205" s="49"/>
      <c r="B1205" s="38"/>
      <c r="C1205" s="98" t="s">
        <v>2519</v>
      </c>
      <c r="D1205" s="796" t="str">
        <f>IF(CNSIPEE_2024_M2_Secc1!D45="","",CNSIPEE_2024_M2_Secc1!D45)</f>
        <v/>
      </c>
      <c r="E1205" s="796"/>
      <c r="F1205" s="796"/>
      <c r="G1205" s="796"/>
      <c r="H1205" s="796"/>
      <c r="I1205" s="749"/>
      <c r="J1205" s="749"/>
      <c r="K1205" s="749"/>
      <c r="L1205" s="749"/>
      <c r="M1205" s="749"/>
      <c r="N1205" s="749"/>
      <c r="O1205" s="749"/>
      <c r="P1205" s="749"/>
      <c r="Q1205" s="749"/>
      <c r="R1205" s="749"/>
      <c r="S1205" s="749"/>
      <c r="T1205" s="749"/>
      <c r="U1205" s="749"/>
      <c r="V1205" s="749"/>
      <c r="W1205" s="749"/>
      <c r="X1205" s="749"/>
      <c r="Y1205" s="749"/>
      <c r="Z1205" s="749"/>
      <c r="AA1205" s="749"/>
      <c r="AB1205" s="749"/>
      <c r="AC1205" s="749"/>
      <c r="AD1205" s="749"/>
      <c r="AG1205" s="353">
        <f t="shared" si="1062"/>
        <v>0</v>
      </c>
      <c r="AH1205" s="326">
        <f t="shared" si="1063"/>
        <v>0</v>
      </c>
      <c r="AI1205" s="326">
        <f t="shared" si="1064"/>
        <v>0</v>
      </c>
      <c r="AJ1205" s="326">
        <f t="shared" si="1065"/>
        <v>0</v>
      </c>
      <c r="AK1205" s="342">
        <f t="shared" si="1066"/>
        <v>0</v>
      </c>
      <c r="AL1205" s="253">
        <f t="shared" si="1067"/>
        <v>0</v>
      </c>
    </row>
    <row r="1206" spans="1:38" ht="15" customHeight="1">
      <c r="A1206" s="49"/>
      <c r="B1206" s="38"/>
      <c r="C1206" s="98" t="s">
        <v>2520</v>
      </c>
      <c r="D1206" s="796" t="str">
        <f>IF(CNSIPEE_2024_M2_Secc1!D46="","",CNSIPEE_2024_M2_Secc1!D46)</f>
        <v/>
      </c>
      <c r="E1206" s="796"/>
      <c r="F1206" s="796"/>
      <c r="G1206" s="796"/>
      <c r="H1206" s="796"/>
      <c r="I1206" s="749"/>
      <c r="J1206" s="749"/>
      <c r="K1206" s="749"/>
      <c r="L1206" s="749"/>
      <c r="M1206" s="749"/>
      <c r="N1206" s="749"/>
      <c r="O1206" s="749"/>
      <c r="P1206" s="749"/>
      <c r="Q1206" s="749"/>
      <c r="R1206" s="749"/>
      <c r="S1206" s="749"/>
      <c r="T1206" s="749"/>
      <c r="U1206" s="749"/>
      <c r="V1206" s="749"/>
      <c r="W1206" s="749"/>
      <c r="X1206" s="749"/>
      <c r="Y1206" s="749"/>
      <c r="Z1206" s="749"/>
      <c r="AA1206" s="749"/>
      <c r="AB1206" s="749"/>
      <c r="AC1206" s="749"/>
      <c r="AD1206" s="749"/>
      <c r="AG1206" s="353">
        <f t="shared" si="1062"/>
        <v>0</v>
      </c>
      <c r="AH1206" s="326">
        <f t="shared" si="1063"/>
        <v>0</v>
      </c>
      <c r="AI1206" s="326">
        <f t="shared" si="1064"/>
        <v>0</v>
      </c>
      <c r="AJ1206" s="326">
        <f t="shared" si="1065"/>
        <v>0</v>
      </c>
      <c r="AK1206" s="342">
        <f t="shared" si="1066"/>
        <v>0</v>
      </c>
      <c r="AL1206" s="253">
        <f t="shared" si="1067"/>
        <v>0</v>
      </c>
    </row>
    <row r="1207" spans="1:38" ht="15" customHeight="1">
      <c r="A1207" s="49"/>
      <c r="B1207" s="38"/>
      <c r="C1207" s="98" t="s">
        <v>2521</v>
      </c>
      <c r="D1207" s="796" t="str">
        <f>IF(CNSIPEE_2024_M2_Secc1!D47="","",CNSIPEE_2024_M2_Secc1!D47)</f>
        <v/>
      </c>
      <c r="E1207" s="796"/>
      <c r="F1207" s="796"/>
      <c r="G1207" s="796"/>
      <c r="H1207" s="796"/>
      <c r="I1207" s="749"/>
      <c r="J1207" s="749"/>
      <c r="K1207" s="749"/>
      <c r="L1207" s="749"/>
      <c r="M1207" s="749"/>
      <c r="N1207" s="749"/>
      <c r="O1207" s="749"/>
      <c r="P1207" s="749"/>
      <c r="Q1207" s="749"/>
      <c r="R1207" s="749"/>
      <c r="S1207" s="749"/>
      <c r="T1207" s="749"/>
      <c r="U1207" s="749"/>
      <c r="V1207" s="749"/>
      <c r="W1207" s="749"/>
      <c r="X1207" s="749"/>
      <c r="Y1207" s="749"/>
      <c r="Z1207" s="749"/>
      <c r="AA1207" s="749"/>
      <c r="AB1207" s="749"/>
      <c r="AC1207" s="749"/>
      <c r="AD1207" s="749"/>
      <c r="AG1207" s="353">
        <f t="shared" si="1062"/>
        <v>0</v>
      </c>
      <c r="AH1207" s="326">
        <f t="shared" si="1063"/>
        <v>0</v>
      </c>
      <c r="AI1207" s="326">
        <f t="shared" si="1064"/>
        <v>0</v>
      </c>
      <c r="AJ1207" s="326">
        <f t="shared" si="1065"/>
        <v>0</v>
      </c>
      <c r="AK1207" s="342">
        <f t="shared" si="1066"/>
        <v>0</v>
      </c>
      <c r="AL1207" s="253">
        <f t="shared" si="1067"/>
        <v>0</v>
      </c>
    </row>
    <row r="1208" spans="1:38" ht="15" customHeight="1">
      <c r="A1208" s="49"/>
      <c r="B1208" s="38"/>
      <c r="C1208" s="98" t="s">
        <v>2522</v>
      </c>
      <c r="D1208" s="796" t="str">
        <f>IF(CNSIPEE_2024_M2_Secc1!D48="","",CNSIPEE_2024_M2_Secc1!D48)</f>
        <v/>
      </c>
      <c r="E1208" s="796"/>
      <c r="F1208" s="796"/>
      <c r="G1208" s="796"/>
      <c r="H1208" s="796"/>
      <c r="I1208" s="749"/>
      <c r="J1208" s="749"/>
      <c r="K1208" s="749"/>
      <c r="L1208" s="749"/>
      <c r="M1208" s="749"/>
      <c r="N1208" s="749"/>
      <c r="O1208" s="749"/>
      <c r="P1208" s="749"/>
      <c r="Q1208" s="749"/>
      <c r="R1208" s="749"/>
      <c r="S1208" s="749"/>
      <c r="T1208" s="749"/>
      <c r="U1208" s="749"/>
      <c r="V1208" s="749"/>
      <c r="W1208" s="749"/>
      <c r="X1208" s="749"/>
      <c r="Y1208" s="749"/>
      <c r="Z1208" s="749"/>
      <c r="AA1208" s="749"/>
      <c r="AB1208" s="749"/>
      <c r="AC1208" s="749"/>
      <c r="AD1208" s="749"/>
      <c r="AG1208" s="353">
        <f t="shared" si="1062"/>
        <v>0</v>
      </c>
      <c r="AH1208" s="326">
        <f t="shared" si="1063"/>
        <v>0</v>
      </c>
      <c r="AI1208" s="326">
        <f t="shared" si="1064"/>
        <v>0</v>
      </c>
      <c r="AJ1208" s="326">
        <f t="shared" si="1065"/>
        <v>0</v>
      </c>
      <c r="AK1208" s="342">
        <f t="shared" si="1066"/>
        <v>0</v>
      </c>
      <c r="AL1208" s="253">
        <f t="shared" si="1067"/>
        <v>0</v>
      </c>
    </row>
    <row r="1209" spans="1:38" ht="15" customHeight="1">
      <c r="A1209" s="49"/>
      <c r="B1209" s="38"/>
      <c r="C1209" s="98" t="s">
        <v>2523</v>
      </c>
      <c r="D1209" s="796" t="str">
        <f>IF(CNSIPEE_2024_M2_Secc1!D49="","",CNSIPEE_2024_M2_Secc1!D49)</f>
        <v/>
      </c>
      <c r="E1209" s="796"/>
      <c r="F1209" s="796"/>
      <c r="G1209" s="796"/>
      <c r="H1209" s="796"/>
      <c r="I1209" s="749"/>
      <c r="J1209" s="749"/>
      <c r="K1209" s="749"/>
      <c r="L1209" s="749"/>
      <c r="M1209" s="749"/>
      <c r="N1209" s="749"/>
      <c r="O1209" s="749"/>
      <c r="P1209" s="749"/>
      <c r="Q1209" s="749"/>
      <c r="R1209" s="749"/>
      <c r="S1209" s="749"/>
      <c r="T1209" s="749"/>
      <c r="U1209" s="749"/>
      <c r="V1209" s="749"/>
      <c r="W1209" s="749"/>
      <c r="X1209" s="749"/>
      <c r="Y1209" s="749"/>
      <c r="Z1209" s="749"/>
      <c r="AA1209" s="749"/>
      <c r="AB1209" s="749"/>
      <c r="AC1209" s="749"/>
      <c r="AD1209" s="749"/>
      <c r="AG1209" s="353">
        <f t="shared" si="1062"/>
        <v>0</v>
      </c>
      <c r="AH1209" s="326">
        <f t="shared" si="1063"/>
        <v>0</v>
      </c>
      <c r="AI1209" s="326">
        <f t="shared" si="1064"/>
        <v>0</v>
      </c>
      <c r="AJ1209" s="326">
        <f t="shared" si="1065"/>
        <v>0</v>
      </c>
      <c r="AK1209" s="342">
        <f t="shared" si="1066"/>
        <v>0</v>
      </c>
      <c r="AL1209" s="253">
        <f t="shared" si="1067"/>
        <v>0</v>
      </c>
    </row>
    <row r="1210" spans="1:38" ht="15" customHeight="1">
      <c r="A1210" s="49"/>
      <c r="B1210" s="38"/>
      <c r="C1210" s="38"/>
      <c r="D1210" s="38"/>
      <c r="E1210" s="38"/>
      <c r="F1210" s="38"/>
      <c r="G1210" s="38"/>
      <c r="H1210" s="38"/>
      <c r="I1210" s="57"/>
      <c r="J1210" s="57"/>
      <c r="K1210" s="57"/>
      <c r="L1210" s="57"/>
      <c r="M1210" s="57"/>
      <c r="N1210" s="99" t="s">
        <v>2649</v>
      </c>
      <c r="O1210" s="736">
        <f>IF(AND(SUM(O1202:R1209)=0,COUNTIF(O1202:R1209,"NS")&gt;0),"NS",
IF(AND(SUM(O1202:R1209)=0,COUNTIF(O1202:R1209,0)&gt;0),0,
IF(AND(SUM(O1202:R1209)=0,COUNTIF(O1202:R1209,"NA")&gt;0),"NA",
SUM(O1202:R1209))))</f>
        <v>0</v>
      </c>
      <c r="P1210" s="736"/>
      <c r="Q1210" s="736"/>
      <c r="R1210" s="736"/>
      <c r="S1210" s="736">
        <f t="shared" ref="S1210" si="1068">IF(AND(SUM(S1202:V1209)=0,COUNTIF(S1202:V1209,"NS")&gt;0),"NS",
IF(AND(SUM(S1202:V1209)=0,COUNTIF(S1202:V1209,0)&gt;0),0,
IF(AND(SUM(S1202:V1209)=0,COUNTIF(S1202:V1209,"NA")&gt;0),"NA",
SUM(S1202:V1209))))</f>
        <v>0</v>
      </c>
      <c r="T1210" s="736"/>
      <c r="U1210" s="736"/>
      <c r="V1210" s="736"/>
      <c r="W1210" s="736">
        <f t="shared" ref="W1210" si="1069">IF(AND(SUM(W1202:Z1209)=0,COUNTIF(W1202:Z1209,"NS")&gt;0),"NS",
IF(AND(SUM(W1202:Z1209)=0,COUNTIF(W1202:Z1209,0)&gt;0),0,
IF(AND(SUM(W1202:Z1209)=0,COUNTIF(W1202:Z1209,"NA")&gt;0),"NA",
SUM(W1202:Z1209))))</f>
        <v>0</v>
      </c>
      <c r="X1210" s="736"/>
      <c r="Y1210" s="736"/>
      <c r="Z1210" s="736"/>
      <c r="AA1210" s="736">
        <f t="shared" ref="AA1210" si="1070">IF(AND(SUM(AA1202:AD1209)=0,COUNTIF(AA1202:AD1209,"NS")&gt;0),"NS",
IF(AND(SUM(AA1202:AD1209)=0,COUNTIF(AA1202:AD1209,0)&gt;0),0,
IF(AND(SUM(AA1202:AD1209)=0,COUNTIF(AA1202:AD1209,"NA")&gt;0),"NA",
SUM(AA1202:AD1209))))</f>
        <v>0</v>
      </c>
      <c r="AB1210" s="736"/>
      <c r="AC1210" s="736"/>
      <c r="AD1210" s="736"/>
      <c r="AG1210" s="354">
        <f t="shared" ref="AG1210:AL1210" si="1071">SUM(AG1202:AG1209)</f>
        <v>0</v>
      </c>
      <c r="AH1210" s="406">
        <f t="shared" si="1071"/>
        <v>0</v>
      </c>
      <c r="AI1210" s="351">
        <f t="shared" si="1071"/>
        <v>0</v>
      </c>
      <c r="AJ1210" s="352">
        <f t="shared" si="1071"/>
        <v>0</v>
      </c>
      <c r="AK1210" s="465">
        <f t="shared" si="1071"/>
        <v>0</v>
      </c>
      <c r="AL1210" s="466">
        <f t="shared" si="1071"/>
        <v>0</v>
      </c>
    </row>
    <row r="1211" spans="1:38" ht="15" customHeight="1">
      <c r="A1211" s="103"/>
      <c r="B1211" s="57"/>
      <c r="C1211" s="57"/>
      <c r="D1211" s="57"/>
      <c r="E1211" s="57"/>
      <c r="F1211" s="57"/>
      <c r="G1211" s="57"/>
      <c r="H1211" s="57"/>
      <c r="I1211" s="57"/>
      <c r="J1211" s="57"/>
      <c r="K1211" s="57"/>
      <c r="L1211" s="57"/>
      <c r="M1211" s="57"/>
      <c r="N1211" s="57"/>
      <c r="O1211" s="57"/>
      <c r="P1211" s="57"/>
      <c r="Q1211" s="57"/>
      <c r="R1211" s="57"/>
      <c r="S1211" s="57"/>
      <c r="T1211" s="57"/>
      <c r="U1211" s="57"/>
      <c r="V1211" s="57"/>
      <c r="W1211" s="57"/>
      <c r="X1211" s="57"/>
      <c r="Y1211" s="57"/>
      <c r="Z1211" s="57"/>
      <c r="AA1211" s="57"/>
      <c r="AB1211" s="57"/>
      <c r="AC1211" s="57"/>
      <c r="AD1211" s="57"/>
    </row>
    <row r="1212" spans="1:38" ht="24" customHeight="1">
      <c r="A1212" s="49"/>
      <c r="B1212" s="38"/>
      <c r="C1212" s="754" t="s">
        <v>2611</v>
      </c>
      <c r="D1212" s="754"/>
      <c r="E1212" s="754"/>
      <c r="F1212" s="754"/>
      <c r="G1212" s="754"/>
      <c r="H1212" s="754"/>
      <c r="I1212" s="754"/>
      <c r="J1212" s="754"/>
      <c r="K1212" s="754"/>
      <c r="L1212" s="754"/>
      <c r="M1212" s="754"/>
      <c r="N1212" s="754"/>
      <c r="O1212" s="754"/>
      <c r="P1212" s="754"/>
      <c r="Q1212" s="754"/>
      <c r="R1212" s="754"/>
      <c r="S1212" s="754"/>
      <c r="T1212" s="754"/>
      <c r="U1212" s="754"/>
      <c r="V1212" s="754"/>
      <c r="W1212" s="754"/>
      <c r="X1212" s="754"/>
      <c r="Y1212" s="754"/>
      <c r="Z1212" s="754"/>
      <c r="AA1212" s="754"/>
      <c r="AB1212" s="754"/>
      <c r="AC1212" s="754"/>
      <c r="AD1212" s="754"/>
    </row>
    <row r="1213" spans="1:38" ht="60" customHeight="1">
      <c r="A1213" s="49"/>
      <c r="B1213" s="38"/>
      <c r="C1213" s="851"/>
      <c r="D1213" s="851"/>
      <c r="E1213" s="851"/>
      <c r="F1213" s="851"/>
      <c r="G1213" s="851"/>
      <c r="H1213" s="851"/>
      <c r="I1213" s="851"/>
      <c r="J1213" s="851"/>
      <c r="K1213" s="851"/>
      <c r="L1213" s="851"/>
      <c r="M1213" s="851"/>
      <c r="N1213" s="851"/>
      <c r="O1213" s="851"/>
      <c r="P1213" s="851"/>
      <c r="Q1213" s="851"/>
      <c r="R1213" s="851"/>
      <c r="S1213" s="851"/>
      <c r="T1213" s="851"/>
      <c r="U1213" s="851"/>
      <c r="V1213" s="851"/>
      <c r="W1213" s="851"/>
      <c r="X1213" s="851"/>
      <c r="Y1213" s="851"/>
      <c r="Z1213" s="851"/>
      <c r="AA1213" s="851"/>
      <c r="AB1213" s="851"/>
      <c r="AC1213" s="851"/>
      <c r="AD1213" s="851"/>
    </row>
    <row r="1214" spans="1:38" ht="15" customHeight="1">
      <c r="A1214" s="91"/>
      <c r="B1214" s="794" t="str">
        <f>IF(AG1210&gt;0,"Favor de ingresar toda la información requerida en la pregunta y/o verifique que no tenga información en celdas sombreadas","")</f>
        <v/>
      </c>
      <c r="C1214" s="794"/>
      <c r="D1214" s="794"/>
      <c r="E1214" s="794"/>
      <c r="F1214" s="794"/>
      <c r="G1214" s="794"/>
      <c r="H1214" s="794"/>
      <c r="I1214" s="794"/>
      <c r="J1214" s="794"/>
      <c r="K1214" s="794"/>
      <c r="L1214" s="794"/>
      <c r="M1214" s="794"/>
      <c r="N1214" s="794"/>
      <c r="O1214" s="794"/>
      <c r="P1214" s="794"/>
      <c r="Q1214" s="794"/>
      <c r="R1214" s="794"/>
      <c r="S1214" s="794"/>
      <c r="T1214" s="794"/>
      <c r="U1214" s="794"/>
      <c r="V1214" s="794"/>
      <c r="W1214" s="794"/>
      <c r="X1214" s="794"/>
      <c r="Y1214" s="794"/>
      <c r="Z1214" s="794"/>
      <c r="AA1214" s="794"/>
      <c r="AB1214" s="794"/>
      <c r="AC1214" s="794"/>
      <c r="AD1214" s="794"/>
      <c r="AE1214"/>
    </row>
    <row r="1215" spans="1:38" ht="15" customHeight="1">
      <c r="A1215" s="91"/>
      <c r="B1215" s="795" t="str">
        <f>IF(AH1210&gt;0,"Alerta: debido a que cuenta con registros NS, debe proporcionar una justificación en el area de comentarios al final de la pregunta","")</f>
        <v/>
      </c>
      <c r="C1215" s="795"/>
      <c r="D1215" s="795"/>
      <c r="E1215" s="795"/>
      <c r="F1215" s="795"/>
      <c r="G1215" s="795"/>
      <c r="H1215" s="795"/>
      <c r="I1215" s="795"/>
      <c r="J1215" s="795"/>
      <c r="K1215" s="795"/>
      <c r="L1215" s="795"/>
      <c r="M1215" s="795"/>
      <c r="N1215" s="795"/>
      <c r="O1215" s="795"/>
      <c r="P1215" s="795"/>
      <c r="Q1215" s="795"/>
      <c r="R1215" s="795"/>
      <c r="S1215" s="795"/>
      <c r="T1215" s="795"/>
      <c r="U1215" s="795"/>
      <c r="V1215" s="795"/>
      <c r="W1215" s="795"/>
      <c r="X1215" s="795"/>
      <c r="Y1215" s="795"/>
      <c r="Z1215" s="795"/>
      <c r="AA1215" s="795"/>
      <c r="AB1215" s="795"/>
      <c r="AC1215" s="795"/>
      <c r="AD1215" s="795"/>
      <c r="AE1215"/>
    </row>
    <row r="1216" spans="1:38" ht="15" customHeight="1">
      <c r="A1216" s="91"/>
      <c r="B1216" s="794" t="str">
        <f>IF(AJ1210&gt;0,"Favor de revisar la suma y consistencia de totales y/o subtotales por filas (numéricos y NS)","")</f>
        <v/>
      </c>
      <c r="C1216" s="794"/>
      <c r="D1216" s="794"/>
      <c r="E1216" s="794"/>
      <c r="F1216" s="794"/>
      <c r="G1216" s="794"/>
      <c r="H1216" s="794"/>
      <c r="I1216" s="794"/>
      <c r="J1216" s="794"/>
      <c r="K1216" s="794"/>
      <c r="L1216" s="794"/>
      <c r="M1216" s="794"/>
      <c r="N1216" s="794"/>
      <c r="O1216" s="794"/>
      <c r="P1216" s="794"/>
      <c r="Q1216" s="794"/>
      <c r="R1216" s="794"/>
      <c r="S1216" s="794"/>
      <c r="T1216" s="794"/>
      <c r="U1216" s="794"/>
      <c r="V1216" s="794"/>
      <c r="W1216" s="794"/>
      <c r="X1216" s="794"/>
      <c r="Y1216" s="794"/>
      <c r="Z1216" s="794"/>
      <c r="AA1216" s="794"/>
      <c r="AB1216" s="794"/>
      <c r="AC1216" s="794"/>
      <c r="AD1216" s="794"/>
      <c r="AE1216"/>
    </row>
    <row r="1217" spans="1:34" ht="15" customHeight="1">
      <c r="A1217" s="91"/>
      <c r="B1217" s="794" t="str">
        <f>IF(AL1210&gt;0,"No puede ingresar cero en la col. Personal adscrito debido a que registró el código 1 en la col. ¿Se presentaron denuncias y/ o querellas...?","")</f>
        <v/>
      </c>
      <c r="C1217" s="794"/>
      <c r="D1217" s="794"/>
      <c r="E1217" s="794"/>
      <c r="F1217" s="794"/>
      <c r="G1217" s="794"/>
      <c r="H1217" s="794"/>
      <c r="I1217" s="794"/>
      <c r="J1217" s="794"/>
      <c r="K1217" s="794"/>
      <c r="L1217" s="794"/>
      <c r="M1217" s="794"/>
      <c r="N1217" s="794"/>
      <c r="O1217" s="794"/>
      <c r="P1217" s="794"/>
      <c r="Q1217" s="794"/>
      <c r="R1217" s="794"/>
      <c r="S1217" s="794"/>
      <c r="T1217" s="794"/>
      <c r="U1217" s="794"/>
      <c r="V1217" s="794"/>
      <c r="W1217" s="794"/>
      <c r="X1217" s="794"/>
      <c r="Y1217" s="794"/>
      <c r="Z1217" s="794"/>
      <c r="AA1217" s="794"/>
      <c r="AB1217" s="794"/>
      <c r="AC1217" s="794"/>
      <c r="AD1217" s="794"/>
      <c r="AE1217" s="794"/>
    </row>
    <row r="1218" spans="1:34" ht="15" customHeight="1">
      <c r="A1218" s="91"/>
      <c r="AE1218"/>
    </row>
    <row r="1219" spans="1:34" ht="15" customHeight="1" thickBot="1">
      <c r="A1219" s="91"/>
      <c r="AE1219"/>
    </row>
    <row r="1220" spans="1:34" customFormat="1" ht="15" customHeight="1" thickBot="1">
      <c r="A1220" s="153" t="s">
        <v>2563</v>
      </c>
      <c r="B1220" s="831" t="s">
        <v>3794</v>
      </c>
      <c r="C1220" s="832"/>
      <c r="D1220" s="832"/>
      <c r="E1220" s="832"/>
      <c r="F1220" s="832"/>
      <c r="G1220" s="832"/>
      <c r="H1220" s="832"/>
      <c r="I1220" s="832"/>
      <c r="J1220" s="832"/>
      <c r="K1220" s="832"/>
      <c r="L1220" s="832"/>
      <c r="M1220" s="832"/>
      <c r="N1220" s="832"/>
      <c r="O1220" s="832"/>
      <c r="P1220" s="832"/>
      <c r="Q1220" s="832"/>
      <c r="R1220" s="832"/>
      <c r="S1220" s="832"/>
      <c r="T1220" s="832"/>
      <c r="U1220" s="832"/>
      <c r="V1220" s="832"/>
      <c r="W1220" s="832"/>
      <c r="X1220" s="832"/>
      <c r="Y1220" s="832"/>
      <c r="Z1220" s="832"/>
      <c r="AA1220" s="832"/>
      <c r="AB1220" s="832"/>
      <c r="AC1220" s="832"/>
      <c r="AD1220" s="833"/>
      <c r="AE1220" s="3"/>
    </row>
    <row r="1221" spans="1:34" customFormat="1" ht="15" customHeight="1" thickBot="1">
      <c r="A1221" s="153" t="s">
        <v>2563</v>
      </c>
      <c r="B1221" s="943" t="s">
        <v>3795</v>
      </c>
      <c r="C1221" s="944"/>
      <c r="D1221" s="944"/>
      <c r="E1221" s="944"/>
      <c r="F1221" s="944"/>
      <c r="G1221" s="944"/>
      <c r="H1221" s="944"/>
      <c r="I1221" s="944"/>
      <c r="J1221" s="944"/>
      <c r="K1221" s="944"/>
      <c r="L1221" s="944"/>
      <c r="M1221" s="944"/>
      <c r="N1221" s="944"/>
      <c r="O1221" s="944"/>
      <c r="P1221" s="944"/>
      <c r="Q1221" s="944"/>
      <c r="R1221" s="944"/>
      <c r="S1221" s="944"/>
      <c r="T1221" s="944"/>
      <c r="U1221" s="944"/>
      <c r="V1221" s="944"/>
      <c r="W1221" s="944"/>
      <c r="X1221" s="944"/>
      <c r="Y1221" s="944"/>
      <c r="Z1221" s="944"/>
      <c r="AA1221" s="944"/>
      <c r="AB1221" s="944"/>
      <c r="AC1221" s="944"/>
      <c r="AD1221" s="945"/>
      <c r="AE1221" s="3"/>
    </row>
    <row r="1222" spans="1:34" ht="15">
      <c r="A1222" s="94"/>
      <c r="B1222" s="866" t="s">
        <v>3388</v>
      </c>
      <c r="C1222" s="867"/>
      <c r="D1222" s="867"/>
      <c r="E1222" s="867"/>
      <c r="F1222" s="867"/>
      <c r="G1222" s="867"/>
      <c r="H1222" s="867"/>
      <c r="I1222" s="867"/>
      <c r="J1222" s="867"/>
      <c r="K1222" s="867"/>
      <c r="L1222" s="867"/>
      <c r="M1222" s="867"/>
      <c r="N1222" s="867"/>
      <c r="O1222" s="867"/>
      <c r="P1222" s="867"/>
      <c r="Q1222" s="867"/>
      <c r="R1222" s="867"/>
      <c r="S1222" s="867"/>
      <c r="T1222" s="867"/>
      <c r="U1222" s="867"/>
      <c r="V1222" s="867"/>
      <c r="W1222" s="867"/>
      <c r="X1222" s="867"/>
      <c r="Y1222" s="867"/>
      <c r="Z1222" s="867"/>
      <c r="AA1222" s="867"/>
      <c r="AB1222" s="867"/>
      <c r="AC1222" s="867"/>
      <c r="AD1222" s="868"/>
    </row>
    <row r="1223" spans="1:34" ht="24" customHeight="1">
      <c r="A1223" s="94"/>
      <c r="B1223" s="130"/>
      <c r="C1223" s="830" t="s">
        <v>3796</v>
      </c>
      <c r="D1223" s="830"/>
      <c r="E1223" s="830"/>
      <c r="F1223" s="830"/>
      <c r="G1223" s="830"/>
      <c r="H1223" s="830"/>
      <c r="I1223" s="830"/>
      <c r="J1223" s="830"/>
      <c r="K1223" s="830"/>
      <c r="L1223" s="830"/>
      <c r="M1223" s="830"/>
      <c r="N1223" s="830"/>
      <c r="O1223" s="830"/>
      <c r="P1223" s="830"/>
      <c r="Q1223" s="830"/>
      <c r="R1223" s="830"/>
      <c r="S1223" s="830"/>
      <c r="T1223" s="830"/>
      <c r="U1223" s="830"/>
      <c r="V1223" s="830"/>
      <c r="W1223" s="830"/>
      <c r="X1223" s="830"/>
      <c r="Y1223" s="830"/>
      <c r="Z1223" s="830"/>
      <c r="AA1223" s="830"/>
      <c r="AB1223" s="830"/>
      <c r="AC1223" s="830"/>
      <c r="AD1223" s="886"/>
    </row>
    <row r="1224" spans="1:34" ht="24" customHeight="1">
      <c r="A1224" s="119"/>
      <c r="B1224" s="130"/>
      <c r="C1224" s="754" t="s">
        <v>3797</v>
      </c>
      <c r="D1224" s="754"/>
      <c r="E1224" s="754"/>
      <c r="F1224" s="754"/>
      <c r="G1224" s="754"/>
      <c r="H1224" s="754"/>
      <c r="I1224" s="754"/>
      <c r="J1224" s="754"/>
      <c r="K1224" s="754"/>
      <c r="L1224" s="754"/>
      <c r="M1224" s="754"/>
      <c r="N1224" s="754"/>
      <c r="O1224" s="754"/>
      <c r="P1224" s="754"/>
      <c r="Q1224" s="754"/>
      <c r="R1224" s="754"/>
      <c r="S1224" s="754"/>
      <c r="T1224" s="754"/>
      <c r="U1224" s="754"/>
      <c r="V1224" s="754"/>
      <c r="W1224" s="754"/>
      <c r="X1224" s="754"/>
      <c r="Y1224" s="754"/>
      <c r="Z1224" s="754"/>
      <c r="AA1224" s="754"/>
      <c r="AB1224" s="754"/>
      <c r="AC1224" s="754"/>
      <c r="AD1224" s="755"/>
      <c r="AG1224" s="467" t="s">
        <v>3586</v>
      </c>
      <c r="AH1224">
        <f>COUNTIF(G1237:I1244,2)</f>
        <v>0</v>
      </c>
    </row>
    <row r="1225" spans="1:34" ht="24" customHeight="1">
      <c r="A1225" s="119"/>
      <c r="B1225" s="122"/>
      <c r="C1225" s="764" t="s">
        <v>3798</v>
      </c>
      <c r="D1225" s="764"/>
      <c r="E1225" s="764"/>
      <c r="F1225" s="764"/>
      <c r="G1225" s="764"/>
      <c r="H1225" s="764"/>
      <c r="I1225" s="764"/>
      <c r="J1225" s="764"/>
      <c r="K1225" s="764"/>
      <c r="L1225" s="764"/>
      <c r="M1225" s="764"/>
      <c r="N1225" s="764"/>
      <c r="O1225" s="764"/>
      <c r="P1225" s="764"/>
      <c r="Q1225" s="764"/>
      <c r="R1225" s="764"/>
      <c r="S1225" s="764"/>
      <c r="T1225" s="764"/>
      <c r="U1225" s="764"/>
      <c r="V1225" s="764"/>
      <c r="W1225" s="764"/>
      <c r="X1225" s="764"/>
      <c r="Y1225" s="764"/>
      <c r="Z1225" s="764"/>
      <c r="AA1225" s="764"/>
      <c r="AB1225" s="764"/>
      <c r="AC1225" s="764"/>
      <c r="AD1225" s="765"/>
      <c r="AG1225" s="427" t="s">
        <v>3799</v>
      </c>
      <c r="AH1225">
        <f>COUNTIF(G1237:I1244,9)</f>
        <v>0</v>
      </c>
    </row>
    <row r="1226" spans="1:34" ht="15">
      <c r="A1226" s="94"/>
      <c r="G1226" s="131"/>
      <c r="H1226" s="131"/>
      <c r="I1226" s="131"/>
      <c r="J1226" s="131"/>
      <c r="K1226" s="131"/>
      <c r="L1226" s="131"/>
      <c r="M1226" s="131"/>
      <c r="N1226" s="131"/>
      <c r="O1226" s="131"/>
      <c r="P1226" s="131"/>
      <c r="Q1226" s="131"/>
      <c r="R1226" s="131"/>
      <c r="S1226" s="131"/>
      <c r="T1226" s="131"/>
      <c r="U1226" s="131"/>
      <c r="V1226" s="131"/>
      <c r="W1226" s="131"/>
      <c r="X1226" s="131"/>
      <c r="Y1226" s="131"/>
      <c r="Z1226" s="131"/>
      <c r="AA1226" s="131"/>
      <c r="AB1226" s="131"/>
      <c r="AC1226" s="131"/>
      <c r="AD1226" s="131"/>
      <c r="AG1226" s="468" t="s">
        <v>3800</v>
      </c>
      <c r="AH1226">
        <f>COUNTA(G1237:I1244)</f>
        <v>0</v>
      </c>
    </row>
    <row r="1227" spans="1:34" ht="36" customHeight="1">
      <c r="A1227" s="49" t="s">
        <v>3801</v>
      </c>
      <c r="B1227" s="829" t="s">
        <v>3802</v>
      </c>
      <c r="C1227" s="829"/>
      <c r="D1227" s="829"/>
      <c r="E1227" s="829"/>
      <c r="F1227" s="829"/>
      <c r="G1227" s="829"/>
      <c r="H1227" s="829"/>
      <c r="I1227" s="829"/>
      <c r="J1227" s="829"/>
      <c r="K1227" s="829"/>
      <c r="L1227" s="829"/>
      <c r="M1227" s="829"/>
      <c r="N1227" s="829"/>
      <c r="O1227" s="829"/>
      <c r="P1227" s="829"/>
      <c r="Q1227" s="829"/>
      <c r="R1227" s="829"/>
      <c r="S1227" s="829"/>
      <c r="T1227" s="829"/>
      <c r="U1227" s="829"/>
      <c r="V1227" s="829"/>
      <c r="W1227" s="829"/>
      <c r="X1227" s="829"/>
      <c r="Y1227" s="829"/>
      <c r="Z1227" s="829"/>
      <c r="AA1227" s="829"/>
      <c r="AB1227" s="829"/>
      <c r="AC1227" s="829"/>
      <c r="AD1227" s="829"/>
      <c r="AG1227" s="419" t="s">
        <v>2620</v>
      </c>
      <c r="AH1227">
        <f>IF(SUM(AH1224:AH1225)=AH1226,1,0)</f>
        <v>1</v>
      </c>
    </row>
    <row r="1228" spans="1:34" ht="24" customHeight="1">
      <c r="A1228" s="112"/>
      <c r="B1228" s="113"/>
      <c r="C1228" s="830" t="s">
        <v>3803</v>
      </c>
      <c r="D1228" s="830"/>
      <c r="E1228" s="830"/>
      <c r="F1228" s="830"/>
      <c r="G1228" s="830"/>
      <c r="H1228" s="830"/>
      <c r="I1228" s="830"/>
      <c r="J1228" s="830"/>
      <c r="K1228" s="830"/>
      <c r="L1228" s="830"/>
      <c r="M1228" s="830"/>
      <c r="N1228" s="830"/>
      <c r="O1228" s="830"/>
      <c r="P1228" s="830"/>
      <c r="Q1228" s="830"/>
      <c r="R1228" s="830"/>
      <c r="S1228" s="830"/>
      <c r="T1228" s="830"/>
      <c r="U1228" s="830"/>
      <c r="V1228" s="830"/>
      <c r="W1228" s="830"/>
      <c r="X1228" s="830"/>
      <c r="Y1228" s="830"/>
      <c r="Z1228" s="830"/>
      <c r="AA1228" s="830"/>
      <c r="AB1228" s="830"/>
      <c r="AC1228" s="830"/>
      <c r="AD1228" s="830"/>
    </row>
    <row r="1229" spans="1:34" ht="24" customHeight="1">
      <c r="A1229" s="112"/>
      <c r="B1229" s="113"/>
      <c r="C1229" s="754" t="s">
        <v>3804</v>
      </c>
      <c r="D1229" s="754"/>
      <c r="E1229" s="754"/>
      <c r="F1229" s="754"/>
      <c r="G1229" s="754"/>
      <c r="H1229" s="754"/>
      <c r="I1229" s="754"/>
      <c r="J1229" s="754"/>
      <c r="K1229" s="754"/>
      <c r="L1229" s="754"/>
      <c r="M1229" s="754"/>
      <c r="N1229" s="754"/>
      <c r="O1229" s="754"/>
      <c r="P1229" s="754"/>
      <c r="Q1229" s="754"/>
      <c r="R1229" s="754"/>
      <c r="S1229" s="754"/>
      <c r="T1229" s="754"/>
      <c r="U1229" s="754"/>
      <c r="V1229" s="754"/>
      <c r="W1229" s="754"/>
      <c r="X1229" s="754"/>
      <c r="Y1229" s="754"/>
      <c r="Z1229" s="754"/>
      <c r="AA1229" s="754"/>
      <c r="AB1229" s="754"/>
      <c r="AC1229" s="754"/>
      <c r="AD1229" s="754"/>
    </row>
    <row r="1230" spans="1:34" ht="15" customHeight="1">
      <c r="A1230" s="91"/>
    </row>
    <row r="1231" spans="1:34" ht="15">
      <c r="A1231" s="115"/>
      <c r="AA1231" s="875" t="s">
        <v>3205</v>
      </c>
      <c r="AB1231" s="875"/>
      <c r="AC1231" s="875"/>
      <c r="AD1231" s="875"/>
    </row>
    <row r="1232" spans="1:34" ht="24" customHeight="1">
      <c r="A1232" s="142"/>
      <c r="B1232" s="113"/>
      <c r="C1232" s="732" t="s">
        <v>2581</v>
      </c>
      <c r="D1232" s="732"/>
      <c r="E1232" s="732"/>
      <c r="F1232" s="732"/>
      <c r="G1232" s="732" t="s">
        <v>3805</v>
      </c>
      <c r="H1232" s="732"/>
      <c r="I1232" s="732"/>
      <c r="J1232" s="739" t="s">
        <v>3806</v>
      </c>
      <c r="K1232" s="740"/>
      <c r="L1232" s="740"/>
      <c r="M1232" s="740"/>
      <c r="N1232" s="740"/>
      <c r="O1232" s="740"/>
      <c r="P1232" s="740"/>
      <c r="Q1232" s="740"/>
      <c r="R1232" s="740"/>
      <c r="S1232" s="740"/>
      <c r="T1232" s="740"/>
      <c r="U1232" s="740"/>
      <c r="V1232" s="740"/>
      <c r="W1232" s="740"/>
      <c r="X1232" s="740"/>
      <c r="Y1232" s="740"/>
      <c r="Z1232" s="740"/>
      <c r="AA1232" s="740"/>
      <c r="AB1232" s="740"/>
      <c r="AC1232" s="740"/>
      <c r="AD1232" s="741"/>
    </row>
    <row r="1233" spans="1:104" ht="15" customHeight="1">
      <c r="A1233" s="142"/>
      <c r="B1233" s="113"/>
      <c r="C1233" s="732"/>
      <c r="D1233" s="732"/>
      <c r="E1233" s="732"/>
      <c r="F1233" s="732"/>
      <c r="G1233" s="732"/>
      <c r="H1233" s="732"/>
      <c r="I1233" s="732"/>
      <c r="J1233" s="887" t="s">
        <v>2628</v>
      </c>
      <c r="K1233" s="889" t="s">
        <v>2629</v>
      </c>
      <c r="L1233" s="889" t="s">
        <v>2630</v>
      </c>
      <c r="M1233" s="841" t="s">
        <v>3267</v>
      </c>
      <c r="N1233" s="950"/>
      <c r="O1233" s="842"/>
      <c r="P1233" s="733" t="s">
        <v>3268</v>
      </c>
      <c r="Q1233" s="734"/>
      <c r="R1233" s="734"/>
      <c r="S1233" s="734"/>
      <c r="T1233" s="734"/>
      <c r="U1233" s="734"/>
      <c r="V1233" s="734"/>
      <c r="W1233" s="734"/>
      <c r="X1233" s="734"/>
      <c r="Y1233" s="734"/>
      <c r="Z1233" s="734"/>
      <c r="AA1233" s="734"/>
      <c r="AB1233" s="734"/>
      <c r="AC1233" s="734"/>
      <c r="AD1233" s="735"/>
    </row>
    <row r="1234" spans="1:104" ht="15" customHeight="1">
      <c r="A1234" s="142"/>
      <c r="B1234" s="113"/>
      <c r="C1234" s="732"/>
      <c r="D1234" s="732"/>
      <c r="E1234" s="732"/>
      <c r="F1234" s="732"/>
      <c r="G1234" s="732"/>
      <c r="H1234" s="732"/>
      <c r="I1234" s="732"/>
      <c r="J1234" s="958"/>
      <c r="K1234" s="959"/>
      <c r="L1234" s="959"/>
      <c r="M1234" s="843"/>
      <c r="N1234" s="951"/>
      <c r="O1234" s="844"/>
      <c r="P1234" s="733" t="s">
        <v>3269</v>
      </c>
      <c r="Q1234" s="734"/>
      <c r="R1234" s="734"/>
      <c r="S1234" s="734"/>
      <c r="T1234" s="734"/>
      <c r="U1234" s="734"/>
      <c r="V1234" s="734"/>
      <c r="W1234" s="734"/>
      <c r="X1234" s="734"/>
      <c r="Y1234" s="734"/>
      <c r="Z1234" s="734"/>
      <c r="AA1234" s="734"/>
      <c r="AB1234" s="734"/>
      <c r="AC1234" s="734"/>
      <c r="AD1234" s="735"/>
    </row>
    <row r="1235" spans="1:104" ht="84" customHeight="1">
      <c r="A1235" s="142"/>
      <c r="C1235" s="732"/>
      <c r="D1235" s="732"/>
      <c r="E1235" s="732"/>
      <c r="F1235" s="732"/>
      <c r="G1235" s="732"/>
      <c r="H1235" s="732"/>
      <c r="I1235" s="732"/>
      <c r="J1235" s="958"/>
      <c r="K1235" s="959"/>
      <c r="L1235" s="959"/>
      <c r="M1235" s="845"/>
      <c r="N1235" s="952"/>
      <c r="O1235" s="846"/>
      <c r="P1235" s="859" t="s">
        <v>3270</v>
      </c>
      <c r="Q1235" s="859"/>
      <c r="R1235" s="860"/>
      <c r="S1235" s="858" t="s">
        <v>3271</v>
      </c>
      <c r="T1235" s="859"/>
      <c r="U1235" s="860"/>
      <c r="V1235" s="858" t="s">
        <v>3272</v>
      </c>
      <c r="W1235" s="859"/>
      <c r="X1235" s="860"/>
      <c r="Y1235" s="858" t="s">
        <v>3273</v>
      </c>
      <c r="Z1235" s="859"/>
      <c r="AA1235" s="860"/>
      <c r="AB1235" s="858" t="s">
        <v>3274</v>
      </c>
      <c r="AC1235" s="859"/>
      <c r="AD1235" s="860"/>
      <c r="AG1235"/>
      <c r="AH1235"/>
      <c r="AI1235"/>
      <c r="AJ1235"/>
      <c r="AK1235"/>
      <c r="AL1235"/>
      <c r="AM1235"/>
      <c r="AN1235"/>
      <c r="AO1235"/>
      <c r="AP1235"/>
      <c r="AQ1235"/>
      <c r="AR1235"/>
      <c r="AS1235"/>
      <c r="AT1235"/>
      <c r="AU1235"/>
      <c r="AV1235"/>
      <c r="AW1235"/>
      <c r="AX1235"/>
      <c r="AY1235"/>
      <c r="AZ1235"/>
      <c r="BA1235"/>
      <c r="BB1235"/>
      <c r="BC1235"/>
      <c r="BD1235"/>
      <c r="BE1235"/>
      <c r="BF1235"/>
      <c r="BG1235"/>
      <c r="BH1235"/>
      <c r="BI1235"/>
      <c r="BJ1235"/>
      <c r="BK1235"/>
      <c r="BL1235"/>
      <c r="BM1235"/>
      <c r="BN1235"/>
      <c r="BO1235"/>
      <c r="BP1235"/>
      <c r="BQ1235"/>
      <c r="BR1235"/>
      <c r="BS1235"/>
      <c r="BT1235"/>
      <c r="BU1235"/>
      <c r="BV1235"/>
      <c r="BW1235"/>
      <c r="BX1235"/>
      <c r="BY1235"/>
      <c r="BZ1235"/>
      <c r="CA1235"/>
      <c r="CB1235"/>
      <c r="CC1235"/>
      <c r="CD1235"/>
      <c r="CE1235"/>
      <c r="CF1235"/>
      <c r="CG1235"/>
      <c r="CH1235"/>
      <c r="CI1235"/>
      <c r="CJ1235"/>
      <c r="CK1235"/>
      <c r="CL1235"/>
      <c r="CM1235"/>
      <c r="CN1235"/>
      <c r="CO1235"/>
      <c r="CP1235"/>
      <c r="CQ1235"/>
      <c r="CR1235"/>
      <c r="CS1235"/>
      <c r="CT1235"/>
      <c r="CU1235"/>
      <c r="CV1235"/>
      <c r="CW1235"/>
      <c r="CX1235"/>
      <c r="CY1235" s="921" t="s">
        <v>3478</v>
      </c>
    </row>
    <row r="1236" spans="1:104" ht="48" customHeight="1">
      <c r="A1236" s="142"/>
      <c r="C1236" s="732"/>
      <c r="D1236" s="732"/>
      <c r="E1236" s="732"/>
      <c r="F1236" s="732"/>
      <c r="G1236" s="732"/>
      <c r="H1236" s="732"/>
      <c r="I1236" s="732"/>
      <c r="J1236" s="888"/>
      <c r="K1236" s="890"/>
      <c r="L1236" s="890"/>
      <c r="M1236" s="127" t="s">
        <v>2635</v>
      </c>
      <c r="N1236" s="128" t="s">
        <v>2629</v>
      </c>
      <c r="O1236" s="128" t="s">
        <v>2630</v>
      </c>
      <c r="P1236" s="127" t="s">
        <v>2635</v>
      </c>
      <c r="Q1236" s="128" t="s">
        <v>2629</v>
      </c>
      <c r="R1236" s="128" t="s">
        <v>2630</v>
      </c>
      <c r="S1236" s="127" t="s">
        <v>2635</v>
      </c>
      <c r="T1236" s="128" t="s">
        <v>2629</v>
      </c>
      <c r="U1236" s="128" t="s">
        <v>2630</v>
      </c>
      <c r="V1236" s="127" t="s">
        <v>2635</v>
      </c>
      <c r="W1236" s="128" t="s">
        <v>2629</v>
      </c>
      <c r="X1236" s="128" t="s">
        <v>2630</v>
      </c>
      <c r="Y1236" s="127" t="s">
        <v>2635</v>
      </c>
      <c r="Z1236" s="128" t="s">
        <v>2629</v>
      </c>
      <c r="AA1236" s="128" t="s">
        <v>2630</v>
      </c>
      <c r="AB1236" s="127" t="s">
        <v>2635</v>
      </c>
      <c r="AC1236" s="128" t="s">
        <v>2629</v>
      </c>
      <c r="AD1236" s="128" t="s">
        <v>2630</v>
      </c>
      <c r="AG1236" s="354" t="s">
        <v>2586</v>
      </c>
      <c r="AH1236" s="282" t="s">
        <v>2637</v>
      </c>
      <c r="AI1236" s="280" t="s">
        <v>2638</v>
      </c>
      <c r="AJ1236" s="281" t="s">
        <v>2639</v>
      </c>
      <c r="AK1236" s="282" t="s">
        <v>2640</v>
      </c>
      <c r="AL1236" s="280" t="s">
        <v>2641</v>
      </c>
      <c r="AM1236" s="281" t="s">
        <v>2642</v>
      </c>
      <c r="AN1236" s="282" t="s">
        <v>2643</v>
      </c>
      <c r="AO1236" s="280" t="s">
        <v>2644</v>
      </c>
      <c r="AP1236" s="281" t="s">
        <v>2645</v>
      </c>
      <c r="AQ1236" s="282" t="s">
        <v>2646</v>
      </c>
      <c r="AR1236" s="280" t="s">
        <v>2647</v>
      </c>
      <c r="AS1236" s="281" t="s">
        <v>2648</v>
      </c>
      <c r="AT1236" s="282" t="s">
        <v>2756</v>
      </c>
      <c r="AU1236" s="280" t="s">
        <v>2757</v>
      </c>
      <c r="AV1236" s="281" t="s">
        <v>2758</v>
      </c>
      <c r="AW1236" s="282" t="s">
        <v>2759</v>
      </c>
      <c r="AX1236" s="280" t="s">
        <v>2760</v>
      </c>
      <c r="AY1236" s="281" t="s">
        <v>2761</v>
      </c>
      <c r="AZ1236" s="282" t="s">
        <v>2762</v>
      </c>
      <c r="BA1236" s="280" t="s">
        <v>2763</v>
      </c>
      <c r="BB1236" s="281" t="s">
        <v>2764</v>
      </c>
      <c r="BC1236" s="282" t="s">
        <v>2765</v>
      </c>
      <c r="BD1236" s="280" t="s">
        <v>2766</v>
      </c>
      <c r="BE1236" s="281" t="s">
        <v>2767</v>
      </c>
      <c r="BF1236" s="282" t="s">
        <v>2768</v>
      </c>
      <c r="BG1236" s="280" t="s">
        <v>2769</v>
      </c>
      <c r="BH1236" s="281" t="s">
        <v>2770</v>
      </c>
      <c r="BI1236" s="282" t="s">
        <v>2771</v>
      </c>
      <c r="BJ1236" s="280" t="s">
        <v>2772</v>
      </c>
      <c r="BK1236" s="281" t="s">
        <v>2773</v>
      </c>
      <c r="BL1236" s="282" t="s">
        <v>2774</v>
      </c>
      <c r="BM1236" s="280" t="s">
        <v>2775</v>
      </c>
      <c r="BN1236" s="281" t="s">
        <v>2776</v>
      </c>
      <c r="BO1236" s="282" t="s">
        <v>3212</v>
      </c>
      <c r="BP1236" s="280" t="s">
        <v>3213</v>
      </c>
      <c r="BQ1236" s="281" t="s">
        <v>3214</v>
      </c>
      <c r="BR1236" s="282" t="s">
        <v>3215</v>
      </c>
      <c r="BS1236" s="280" t="s">
        <v>3216</v>
      </c>
      <c r="BT1236" s="281" t="s">
        <v>3217</v>
      </c>
      <c r="BU1236" s="282" t="s">
        <v>3218</v>
      </c>
      <c r="BV1236" s="280" t="s">
        <v>3219</v>
      </c>
      <c r="BW1236" s="281" t="s">
        <v>3220</v>
      </c>
      <c r="BX1236" s="282" t="s">
        <v>3221</v>
      </c>
      <c r="BY1236" s="280" t="s">
        <v>3222</v>
      </c>
      <c r="BZ1236" s="281" t="s">
        <v>3223</v>
      </c>
      <c r="CA1236" s="282" t="s">
        <v>3224</v>
      </c>
      <c r="CB1236" s="280" t="s">
        <v>3225</v>
      </c>
      <c r="CC1236" s="281" t="s">
        <v>3226</v>
      </c>
      <c r="CD1236" s="282" t="s">
        <v>3227</v>
      </c>
      <c r="CE1236" s="280" t="s">
        <v>3228</v>
      </c>
      <c r="CF1236" s="281" t="s">
        <v>3229</v>
      </c>
      <c r="CG1236" s="282" t="s">
        <v>3230</v>
      </c>
      <c r="CH1236" s="280" t="s">
        <v>3231</v>
      </c>
      <c r="CI1236" s="281" t="s">
        <v>3232</v>
      </c>
      <c r="CJ1236" s="282" t="s">
        <v>3275</v>
      </c>
      <c r="CK1236" s="280" t="s">
        <v>3276</v>
      </c>
      <c r="CL1236" s="281" t="s">
        <v>3277</v>
      </c>
      <c r="CM1236" s="282" t="s">
        <v>3278</v>
      </c>
      <c r="CN1236" s="280" t="s">
        <v>3279</v>
      </c>
      <c r="CO1236" s="281" t="s">
        <v>3280</v>
      </c>
      <c r="CP1236" s="282" t="s">
        <v>3281</v>
      </c>
      <c r="CQ1236" s="280" t="s">
        <v>3282</v>
      </c>
      <c r="CR1236" s="281" t="s">
        <v>3283</v>
      </c>
      <c r="CS1236" s="282" t="s">
        <v>3284</v>
      </c>
      <c r="CT1236" s="280" t="s">
        <v>3285</v>
      </c>
      <c r="CU1236" s="281" t="s">
        <v>3286</v>
      </c>
      <c r="CV1236" s="282" t="s">
        <v>3287</v>
      </c>
      <c r="CW1236" s="280" t="s">
        <v>3288</v>
      </c>
      <c r="CX1236" s="281" t="s">
        <v>3289</v>
      </c>
      <c r="CY1236" s="921"/>
      <c r="CZ1236" s="365" t="s">
        <v>2620</v>
      </c>
    </row>
    <row r="1237" spans="1:104" ht="15" customHeight="1">
      <c r="A1237" s="50"/>
      <c r="B1237" s="90"/>
      <c r="C1237" s="97" t="s">
        <v>2516</v>
      </c>
      <c r="D1237" s="813" t="str">
        <f>IF(CNSIPEE_2024_M2_Secc1!D42="","",CNSIPEE_2024_M2_Secc1!D42)</f>
        <v/>
      </c>
      <c r="E1237" s="814"/>
      <c r="F1237" s="815"/>
      <c r="G1237" s="816"/>
      <c r="H1237" s="738"/>
      <c r="I1237" s="817"/>
      <c r="J1237" s="116"/>
      <c r="K1237" s="100"/>
      <c r="L1237" s="100"/>
      <c r="M1237" s="100"/>
      <c r="N1237" s="100"/>
      <c r="O1237" s="100"/>
      <c r="P1237" s="100"/>
      <c r="Q1237" s="100"/>
      <c r="R1237" s="100"/>
      <c r="S1237" s="100"/>
      <c r="T1237" s="100"/>
      <c r="U1237" s="100"/>
      <c r="V1237" s="100"/>
      <c r="W1237" s="100"/>
      <c r="X1237" s="100"/>
      <c r="Y1237" s="100"/>
      <c r="Z1237" s="100"/>
      <c r="AA1237" s="100"/>
      <c r="AB1237" s="100"/>
      <c r="AC1237" s="100"/>
      <c r="AD1237" s="100"/>
      <c r="AG1237" s="326">
        <f>IF(AND(COUNTBLANK(D1237)=0,G1237&lt;&gt;"",G1237&lt;&gt;1,COUNTA(J1237:AD1237,G1253:AD1253,G1269:AD1269)=0),0,IF(AND(COUNTBLANK(D1237)=0,G1237&lt;&gt;"",G1237=1,COUNTA(J1237:AD1237,G1253:AD1253,G1269:AD1269)=69),0,IF(AND(COUNTBLANK(D1237)=1,COUNTA(J1237:AD1237,G1253:AD1253,G1269:AD1269)=0),0,1)))</f>
        <v>0</v>
      </c>
      <c r="AH1237" s="283">
        <f>COUNTIF(K1237:L1237,"NS")</f>
        <v>0</v>
      </c>
      <c r="AI1237" s="283">
        <f>SUM(K1237:L1237)</f>
        <v>0</v>
      </c>
      <c r="AJ1237" s="283">
        <f>IF(COUNTIF(J1237:L1237,"NA")=3,0,IF(COUNTA(J1237:L1237)=0,0,IF(OR(AND(J1237=0,AH1237&gt;0),AND(J1237="ns",AI1237&gt;0),AND(J1237="ns",AH1237=0,AI1237=0)),1,IF(OR(AND(J1237&gt;0,AH1237=2),AND(J1237="ns",AH1237=2),AND(J1237="ns",AI1237=0,AH1237&gt;0),J1237=AI1237),0,1))))</f>
        <v>0</v>
      </c>
      <c r="AK1237" s="283">
        <f>COUNTIF(N1237:O1237,"NS")</f>
        <v>0</v>
      </c>
      <c r="AL1237" s="283">
        <f>SUM(N1237:O1237)</f>
        <v>0</v>
      </c>
      <c r="AM1237" s="283">
        <f>IF(COUNTIF(M1237:O1237,"NA")=3,0,IF(COUNTA(M1237:O1237)=0,0,IF(OR(AND(M1237=0,AK1237&gt;0),AND(M1237="ns",AL1237&gt;0),AND(M1237="ns",AK1237=0,AL1237=0)),1,IF(OR(AND(M1237&gt;0,AK1237=2),AND(M1237="ns",AK1237=2),AND(M1237="ns",AL1237=0,AK1237&gt;0),M1237=AL1237),0,1))))</f>
        <v>0</v>
      </c>
      <c r="AN1237" s="283">
        <f>COUNTIF(Q1237:R1237,"NS")</f>
        <v>0</v>
      </c>
      <c r="AO1237" s="283">
        <f>SUM(Q1237:R1237)</f>
        <v>0</v>
      </c>
      <c r="AP1237" s="283">
        <f>IF(COUNTIF(P1237:R1237,"NA")=3,0,IF(COUNTA(P1237:R1237)=0,0,IF(OR(AND(P1237=0,AN1237&gt;0),AND(P1237="ns",AO1237&gt;0),AND(P1237="ns",AN1237=0,AO1237=0)),1,IF(OR(AND(P1237&gt;0,AN1237=2),AND(P1237="ns",AN1237=2),AND(P1237="ns",AO1237=0,AN1237&gt;0),P1237=AO1237),0,1))))</f>
        <v>0</v>
      </c>
      <c r="AQ1237" s="283">
        <f>COUNTIF(T1237:U1237,"NS")</f>
        <v>0</v>
      </c>
      <c r="AR1237" s="283">
        <f>SUM(T1237:U1237)</f>
        <v>0</v>
      </c>
      <c r="AS1237" s="283">
        <f>IF(COUNTIF(S1237:U1237,"NA")=3,0,IF(COUNTA(S1237:U1237)=0,0,IF(OR(AND(S1237=0,AQ1237&gt;0),AND(S1237="ns",AR1237&gt;0),AND(S1237="ns",AQ1237=0,AR1237=0)),1,IF(OR(AND(S1237&gt;0,AQ1237=2),AND(S1237="ns",AQ1237=2),AND(S1237="ns",AR1237=0,AQ1237&gt;0),S1237=AR1237),0,1))))</f>
        <v>0</v>
      </c>
      <c r="AT1237" s="283">
        <f>COUNTIF(W1237:X1237,"NS")</f>
        <v>0</v>
      </c>
      <c r="AU1237" s="283">
        <f>SUM(W1237:X1237)</f>
        <v>0</v>
      </c>
      <c r="AV1237" s="283">
        <f>IF(COUNTIF(V1237:X1237,"NA")=3,0,IF(COUNTA(V1237:X1237)=0,0,IF(OR(AND(V1237=0,AT1237&gt;0),AND(V1237="ns",AU1237&gt;0),AND(V1237="ns",AT1237=0,AU1237=0)),1,IF(OR(AND(V1237&gt;0,AT1237=2),AND(V1237="ns",AT1237=2),AND(V1237="ns",AU1237=0,AT1237&gt;0),V1237=AU1237),0,1))))</f>
        <v>0</v>
      </c>
      <c r="AW1237" s="283">
        <f>COUNTIF(Z1237:AA1237,"NS")</f>
        <v>0</v>
      </c>
      <c r="AX1237" s="283">
        <f>SUM(Z1237:AA1237)</f>
        <v>0</v>
      </c>
      <c r="AY1237" s="283">
        <f>IF(COUNTIF(Y1237:AA1237,"NA")=3,0,IF(COUNTA(Y1237:AA1237)=0,0,IF(OR(AND(Y1237=0,AW1237&gt;0),AND(Y1237="ns",AX1237&gt;0),AND(Y1237="ns",AW1237=0,AX1237=0)),1,IF(OR(AND(Y1237&gt;0,AW1237=2),AND(Y1237="ns",AW1237=2),AND(Y1237="ns",AX1237=0,AW1237&gt;0),Y1237=AX1237),0,1))))</f>
        <v>0</v>
      </c>
      <c r="AZ1237" s="283">
        <f>COUNTIF(AC1237:AD1237,"NS")</f>
        <v>0</v>
      </c>
      <c r="BA1237" s="283">
        <f>SUM(AC1237:AD1237)</f>
        <v>0</v>
      </c>
      <c r="BB1237" s="283">
        <f>IF(COUNTIF(AB1237:AD1237,"NA")=3,0,IF(COUNTA(AB1237:AD1237)=0,0,IF(OR(AND(AB1237=0,AZ1237&gt;0),AND(AB1237="ns",BA1237&gt;0),AND(AB1237="ns",AZ1237=0,BA1237=0)),1,IF(OR(AND(AB1237&gt;0,AZ1237=2),AND(AB1237="ns",AZ1237=2),AND(AB1237="ns",BA1237=0,AZ1237&gt;0),AB1237=BA1237),0,1))))</f>
        <v>0</v>
      </c>
      <c r="BC1237" s="283">
        <f>COUNTIF(H1253:I1253,"NS")</f>
        <v>0</v>
      </c>
      <c r="BD1237" s="283">
        <f>SUM(H1253:I1253)</f>
        <v>0</v>
      </c>
      <c r="BE1237" s="283">
        <f>IF(COUNTIF(G1253:I1253,"NA")=3,0,IF(COUNTA(G1253:I1253)=0,0,IF(OR(AND(G1253=0,BC1237&gt;0),AND(G1253="ns",BD1237&gt;0),AND(G1253="ns",BC1237=0,BD1237=0)),1,IF(OR(AND(G1253&gt;0,BC1237=2),AND(G1253="ns",BC1237=2),AND(G1253="ns",BD1237=0,BC1237&gt;0),G1253=BD1237),0,1))))</f>
        <v>0</v>
      </c>
      <c r="BF1237" s="283">
        <f>COUNTIF(K1253:L1253,"NS")</f>
        <v>0</v>
      </c>
      <c r="BG1237" s="283">
        <f>SUM(K1253:L1253)</f>
        <v>0</v>
      </c>
      <c r="BH1237" s="283">
        <f>IF(COUNTIF(J1253:L1253,"NA")=3,0,IF(COUNTA(J1253:L1253)=0,0,IF(OR(AND(J1253=0,BF1237&gt;0),AND(J1253="ns",BG1237&gt;0),AND(J1253="ns",BF1237=0,BG1237=0)),1,IF(OR(AND(J1253&gt;0,BF1237=2),AND(J1253="ns",BF1237=2),AND(J1253="ns",BG1237=0,BF1237&gt;0),J1253=BG1237),0,1))))</f>
        <v>0</v>
      </c>
      <c r="BI1237" s="283">
        <f>COUNTIF(N1253:O1253,"NS")</f>
        <v>0</v>
      </c>
      <c r="BJ1237" s="283">
        <f>SUM(N1253:O1253)</f>
        <v>0</v>
      </c>
      <c r="BK1237" s="283">
        <f>IF(COUNTIF(M1253:O1253,"NA")=3,0,IF(COUNTA(M1253:O1253)=0,0,IF(OR(AND(M1253=0,BI1237&gt;0),AND(M1253="ns",BJ1237&gt;0),AND(M1253="ns",BI1237=0,BJ1237=0)),1,IF(OR(AND(M1253&gt;0,BI1237=2),AND(M1253="ns",BI1237=2),AND(M1253="ns",BJ1237=0,BI1237&gt;0),M1253=BJ1237),0,1))))</f>
        <v>0</v>
      </c>
      <c r="BL1237" s="283">
        <f>COUNTIF(Q1253:R1253,"NS")</f>
        <v>0</v>
      </c>
      <c r="BM1237" s="283">
        <f>SUM(Q1253:R1253)</f>
        <v>0</v>
      </c>
      <c r="BN1237" s="283">
        <f>IF(COUNTIF(P1253:R1253,"NA")=3,0,IF(COUNTA(P1253:R1253)=0,0,IF(OR(AND(P1253=0,BL1237&gt;0),AND(P1253="ns",BM1237&gt;0),AND(P1253="ns",BL1237=0,BM1237=0)),1,IF(OR(AND(P1253&gt;0,BL1237=2),AND(P1253="ns",BL1237=2),AND(P1253="ns",BM1237=0,BL1237&gt;0),P1253=BM1237),0,1))))</f>
        <v>0</v>
      </c>
      <c r="BO1237" s="283">
        <f>COUNTIF(T1253:U1253,"NS")</f>
        <v>0</v>
      </c>
      <c r="BP1237" s="283">
        <f>SUM(T1253:U1253)</f>
        <v>0</v>
      </c>
      <c r="BQ1237" s="283">
        <f>IF(COUNTIF(S1253:U1253,"NA")=3,0,IF(COUNTA(S1253:U1253)=0,0,IF(OR(AND(S1253=0,BO1237&gt;0),AND(S1253="ns",BP1237&gt;0),AND(S1253="ns",BO1237=0,BP1237=0)),1,IF(OR(AND(S1253&gt;0,BO1237=2),AND(S1253="ns",BO1237=2),AND(S1253="ns",BP1237=0,BO1237&gt;0),S1253=BP1237),0,1))))</f>
        <v>0</v>
      </c>
      <c r="BR1237" s="283">
        <f>COUNTIF(W1253:X1253,"NS")</f>
        <v>0</v>
      </c>
      <c r="BS1237" s="283">
        <f>SUM(W1253:X1253)</f>
        <v>0</v>
      </c>
      <c r="BT1237" s="283">
        <f>IF(COUNTIF(V1253:X1253,"NA")=3,0,IF(COUNTA(V1253:X1253)=0,0,IF(OR(AND(V1253=0,BR1237&gt;0),AND(V1253="ns",BS1237&gt;0),AND(V1253="ns",BR1237=0,BS1237=0)),1,IF(OR(AND(V1253&gt;0,BR1237=2),AND(V1253="ns",BR1237=2),AND(V1253="ns",BS1237=0,BR1237&gt;0),V1253=BS1237),0,1))))</f>
        <v>0</v>
      </c>
      <c r="BU1237" s="283">
        <f>COUNTIF(Z1253:AA1253,"NS")</f>
        <v>0</v>
      </c>
      <c r="BV1237" s="283">
        <f>SUM(Z1253:AA1253)</f>
        <v>0</v>
      </c>
      <c r="BW1237" s="283">
        <f>IF(COUNTIF(Y1253:AA1253,"NA")=3,0,IF(COUNTA(Y1253:AA1253)=0,0,IF(OR(AND(Y1253=0,BU1237&gt;0),AND(Y1253="ns",BV1237&gt;0),AND(Y1253="ns",BU1237=0,BV1237=0)),1,IF(OR(AND(Y1253&gt;0,BU1237=2),AND(Y1253="ns",BU1237=2),AND(Y1253="ns",BV1237=0,BU1237&gt;0),Y1253=BV1237),0,1))))</f>
        <v>0</v>
      </c>
      <c r="BX1237" s="283">
        <f>COUNTIF(AC1253:AD1253,"NS")</f>
        <v>0</v>
      </c>
      <c r="BY1237" s="283">
        <f>SUM(AC1253:AD1253)</f>
        <v>0</v>
      </c>
      <c r="BZ1237" s="283">
        <f>IF(COUNTIF(AB1253:AD1253,"NA")=3,0,IF(COUNTA(AB1253:AD1253)=0,0,IF(OR(AND(AB1253=0,BX1237&gt;0),AND(AB1253="ns",BY1237&gt;0),AND(AB1253="ns",BX1237=0,BY1237=0)),1,IF(OR(AND(AB1253&gt;0,BX1237=2),AND(AB1253="ns",BX1237=2),AND(AB1253="ns",BY1237=0,BX1237&gt;0),AB1253=BY1237),0,1))))</f>
        <v>0</v>
      </c>
      <c r="CA1237" s="283">
        <f>COUNTIF(H1269:I1269,"NS")</f>
        <v>0</v>
      </c>
      <c r="CB1237" s="283">
        <f>SUM(H1269:I1269)</f>
        <v>0</v>
      </c>
      <c r="CC1237" s="283">
        <f>IF(COUNTIF(G1269:I1269,"NA")=3,0,IF(COUNTA(G1269:I1269)=0,0,IF(OR(AND(G1269=0,CA1237&gt;0),AND(G1269="ns",CB1237&gt;0),AND(G1269="ns",CA1237=0,CB1237=0)),1,IF(OR(AND(G1269&gt;0,CA1237=2),AND(G1269="ns",CA1237=2),AND(G1269="ns",CB1237=0,CA1237&gt;0),G1269=CB1237),0,1))))</f>
        <v>0</v>
      </c>
      <c r="CD1237" s="283">
        <f>COUNTIF(K1269:L1269,"NS")</f>
        <v>0</v>
      </c>
      <c r="CE1237" s="283">
        <f>SUM(K1269:L1269)</f>
        <v>0</v>
      </c>
      <c r="CF1237" s="283">
        <f>IF(COUNTIF(J1269:L1269,"NA")=3,0,IF(COUNTA(J1269:L1269)=0,0,IF(OR(AND(J1269=0,CD1237&gt;0),AND(J1269="ns",CE1237&gt;0),AND(J1269="ns",CD1237=0,CE1237=0)),1,IF(OR(AND(J1269&gt;0,CD1237=2),AND(J1269="ns",CD1237=2),AND(J1269="ns",CE1237=0,CD1237&gt;0),J1269=CE1237),0,1))))</f>
        <v>0</v>
      </c>
      <c r="CG1237" s="283">
        <f>COUNTIF(N1269:O1269,"NS")</f>
        <v>0</v>
      </c>
      <c r="CH1237" s="283">
        <f>SUM(N1269:O1269)</f>
        <v>0</v>
      </c>
      <c r="CI1237" s="283">
        <f>IF(COUNTIF(M1269:O1269,"NA")=3,0,IF(COUNTA(M1269:O1269)=0,0,IF(OR(AND(M1269=0,CG1237&gt;0),AND(M1269="ns",CH1237&gt;0),AND(M1269="ns",CG1237=0,CH1237=0)),1,IF(OR(AND(M1269&gt;0,CG1237=2),AND(M1269="ns",CG1237=2),AND(M1269="ns",CH1237=0,CG1237&gt;0),M1269=CH1237),0,1))))</f>
        <v>0</v>
      </c>
      <c r="CJ1237" s="283">
        <f>COUNTIF(Q1269:R1269,"NS")</f>
        <v>0</v>
      </c>
      <c r="CK1237" s="283">
        <f>SUM(Q1269:R1269)</f>
        <v>0</v>
      </c>
      <c r="CL1237" s="283">
        <f>IF(COUNTIF(P1269:R1269,"NA")=3,0,IF(COUNTA(P1269:R1269)=0,0,IF(OR(AND(P1269=0,CJ1237&gt;0),AND(P1269="ns",CK1237&gt;0),AND(P1269="ns",CJ1237=0,CK1237=0)),1,IF(OR(AND(P1269&gt;0,CJ1237=2),AND(P1269="ns",CJ1237=2),AND(P1269="ns",CK1237=0,CJ1237&gt;0),P1269=CK1237),0,1))))</f>
        <v>0</v>
      </c>
      <c r="CM1237" s="283">
        <f>COUNTIF(T1269:U1269,"NS")</f>
        <v>0</v>
      </c>
      <c r="CN1237" s="283">
        <f>SUM(T1269:U1269)</f>
        <v>0</v>
      </c>
      <c r="CO1237" s="283">
        <f>IF(COUNTIF(S1269:U1269,"NA")=3,0,IF(COUNTA(S1269:U1269)=0,0,IF(OR(AND(S1269=0,CM1237&gt;0),AND(S1269="ns",CN1237&gt;0),AND(S1269="ns",CM1237=0,CN1237=0)),1,IF(OR(AND(S1269&gt;0,CM1237=2),AND(S1269="ns",CM1237=2),AND(S1269="ns",CN1237=0,CM1237&gt;0),S1269=CN1237),0,1))))</f>
        <v>0</v>
      </c>
      <c r="CP1237" s="283">
        <f>COUNTIF(W1269:X1269,"NS")</f>
        <v>0</v>
      </c>
      <c r="CQ1237" s="283">
        <f>SUM(W1269:X1269)</f>
        <v>0</v>
      </c>
      <c r="CR1237" s="283">
        <f>IF(COUNTIF(V1269:X1269,"NA")=3,0,IF(COUNTA(V1269:X1269)=0,0,IF(OR(AND(V1269=0,CP1237&gt;0),AND(V1269="ns",CQ1237&gt;0),AND(V1269="ns",CP1237=0,CQ1237=0)),1,IF(OR(AND(V1269&gt;0,CP1237=2),AND(V1269="ns",CP1237=2),AND(V1269="ns",CQ1237=0,CP1237&gt;0),V1269=CQ1237),0,1))))</f>
        <v>0</v>
      </c>
      <c r="CS1237" s="283">
        <f>COUNTIF(Z1269:AA1269,"NS")</f>
        <v>0</v>
      </c>
      <c r="CT1237" s="283">
        <f>SUM(Z1269:AA1269)</f>
        <v>0</v>
      </c>
      <c r="CU1237" s="283">
        <f>IF(COUNTIF(Y1269:AA1269,"NA")=3,0,IF(COUNTA(Y1269:AA1269)=0,0,IF(OR(AND(Y1269=0,CS1237&gt;0),AND(Y1269="ns",CT1237&gt;0),AND(Y1269="ns",CS1237=0,CT1237=0)),1,IF(OR(AND(Y1269&gt;0,CS1237=2),AND(Y1269="ns",CS1237=2),AND(Y1269="ns",CT1237=0,CS1237&gt;0),Y1269=CT1237),0,1))))</f>
        <v>0</v>
      </c>
      <c r="CV1237" s="283">
        <f>COUNTIF(AC1269:AD1269,"NS")</f>
        <v>0</v>
      </c>
      <c r="CW1237" s="283">
        <f>SUM(AC1269:AD1269)</f>
        <v>0</v>
      </c>
      <c r="CX1237" s="283">
        <f>IF(COUNTIF(AB1269:AD1269,"NA")=3,0,IF(COUNTA(AB1269:AD1269)=0,0,IF(OR(AND(AB1269=0,CV1237&gt;0),AND(AB1269="ns",CW1237&gt;0),AND(AB1269="ns",CV1237=0,CW1237=0)),1,IF(OR(AND(AB1269&gt;0,CV1237=2),AND(AB1269="ns",CV1237=2),AND(AB1269="ns",CW1237=0,CV1237&gt;0),AB1269=CW1237),0,1))))</f>
        <v>0</v>
      </c>
      <c r="CY1237" s="253">
        <f>IF(AND($G1237&lt;&gt;"",$G1237=1,J1237&lt;&gt;"",K1237&lt;&gt;"",L1237&lt;&gt;"",SUM(J1237:L1237)=0),1,0)</f>
        <v>0</v>
      </c>
      <c r="CZ1237" s="342">
        <f>IF(AND($G1237&lt;&gt;"",$G1237&lt;&gt;1,COUNTA(J1237:AD1237,G1253:AD1253,G1269:AD1269)&gt;0),1,0)</f>
        <v>0</v>
      </c>
    </row>
    <row r="1238" spans="1:104" ht="15" customHeight="1">
      <c r="A1238" s="50"/>
      <c r="B1238" s="90"/>
      <c r="C1238" s="143" t="s">
        <v>2517</v>
      </c>
      <c r="D1238" s="813" t="str">
        <f>IF(CNSIPEE_2024_M2_Secc1!D43="","",CNSIPEE_2024_M2_Secc1!D43)</f>
        <v/>
      </c>
      <c r="E1238" s="814"/>
      <c r="F1238" s="815"/>
      <c r="G1238" s="816"/>
      <c r="H1238" s="738"/>
      <c r="I1238" s="817"/>
      <c r="J1238" s="100"/>
      <c r="K1238" s="100"/>
      <c r="L1238" s="100"/>
      <c r="M1238" s="100"/>
      <c r="N1238" s="100"/>
      <c r="O1238" s="100"/>
      <c r="P1238" s="100"/>
      <c r="Q1238" s="100"/>
      <c r="R1238" s="100"/>
      <c r="S1238" s="100"/>
      <c r="T1238" s="100"/>
      <c r="U1238" s="100"/>
      <c r="V1238" s="100"/>
      <c r="W1238" s="100"/>
      <c r="X1238" s="100"/>
      <c r="Y1238" s="100"/>
      <c r="Z1238" s="100"/>
      <c r="AA1238" s="100"/>
      <c r="AB1238" s="100"/>
      <c r="AC1238" s="100"/>
      <c r="AD1238" s="100"/>
      <c r="AG1238" s="326">
        <f t="shared" ref="AG1238:AG1244" si="1072">IF(AND(COUNTBLANK(D1238)=0,G1238&lt;&gt;"",G1238&lt;&gt;1,COUNTA(J1238:AD1238,G1254:AD1254,G1270:AD1270)=0),0,IF(AND(COUNTBLANK(D1238)=0,G1238&lt;&gt;"",G1238=1,COUNTA(J1238:AD1238,G1254:AD1254,G1270:AD1270)=69),0,IF(AND(COUNTBLANK(D1238)=1,COUNTA(J1238:AD1238,G1254:AD1254,G1270:AD1270)=0),0,1)))</f>
        <v>0</v>
      </c>
      <c r="AH1238" s="283">
        <f t="shared" ref="AH1238:AH1244" si="1073">COUNTIF(K1238:L1238,"NS")</f>
        <v>0</v>
      </c>
      <c r="AI1238" s="283">
        <f t="shared" ref="AI1238:AI1244" si="1074">SUM(K1238:L1238)</f>
        <v>0</v>
      </c>
      <c r="AJ1238" s="283">
        <f t="shared" ref="AJ1238:AJ1244" si="1075">IF(COUNTIF(J1238:L1238,"NA")=3,0,IF(COUNTA(J1238:L1238)=0,0,IF(OR(AND(J1238=0,AH1238&gt;0),AND(J1238="ns",AI1238&gt;0),AND(J1238="ns",AH1238=0,AI1238=0)),1,IF(OR(AND(J1238&gt;0,AH1238=2),AND(J1238="ns",AH1238=2),AND(J1238="ns",AI1238=0,AH1238&gt;0),J1238=AI1238),0,1))))</f>
        <v>0</v>
      </c>
      <c r="AK1238" s="283">
        <f t="shared" ref="AK1238:AK1244" si="1076">COUNTIF(N1238:O1238,"NS")</f>
        <v>0</v>
      </c>
      <c r="AL1238" s="283">
        <f t="shared" ref="AL1238:AL1244" si="1077">SUM(N1238:O1238)</f>
        <v>0</v>
      </c>
      <c r="AM1238" s="283">
        <f t="shared" ref="AM1238:AM1244" si="1078">IF(COUNTIF(M1238:O1238,"NA")=3,0,IF(COUNTA(M1238:O1238)=0,0,IF(OR(AND(M1238=0,AK1238&gt;0),AND(M1238="ns",AL1238&gt;0),AND(M1238="ns",AK1238=0,AL1238=0)),1,IF(OR(AND(M1238&gt;0,AK1238=2),AND(M1238="ns",AK1238=2),AND(M1238="ns",AL1238=0,AK1238&gt;0),M1238=AL1238),0,1))))</f>
        <v>0</v>
      </c>
      <c r="AN1238" s="283">
        <f t="shared" ref="AN1238:AN1244" si="1079">COUNTIF(Q1238:R1238,"NS")</f>
        <v>0</v>
      </c>
      <c r="AO1238" s="283">
        <f t="shared" ref="AO1238:AO1244" si="1080">SUM(Q1238:R1238)</f>
        <v>0</v>
      </c>
      <c r="AP1238" s="283">
        <f t="shared" ref="AP1238:AP1244" si="1081">IF(COUNTIF(P1238:R1238,"NA")=3,0,IF(COUNTA(P1238:R1238)=0,0,IF(OR(AND(P1238=0,AN1238&gt;0),AND(P1238="ns",AO1238&gt;0),AND(P1238="ns",AN1238=0,AO1238=0)),1,IF(OR(AND(P1238&gt;0,AN1238=2),AND(P1238="ns",AN1238=2),AND(P1238="ns",AO1238=0,AN1238&gt;0),P1238=AO1238),0,1))))</f>
        <v>0</v>
      </c>
      <c r="AQ1238" s="283">
        <f t="shared" ref="AQ1238:AQ1244" si="1082">COUNTIF(T1238:U1238,"NS")</f>
        <v>0</v>
      </c>
      <c r="AR1238" s="283">
        <f t="shared" ref="AR1238:AR1244" si="1083">SUM(T1238:U1238)</f>
        <v>0</v>
      </c>
      <c r="AS1238" s="283">
        <f t="shared" ref="AS1238:AS1244" si="1084">IF(COUNTIF(S1238:U1238,"NA")=3,0,IF(COUNTA(S1238:U1238)=0,0,IF(OR(AND(S1238=0,AQ1238&gt;0),AND(S1238="ns",AR1238&gt;0),AND(S1238="ns",AQ1238=0,AR1238=0)),1,IF(OR(AND(S1238&gt;0,AQ1238=2),AND(S1238="ns",AQ1238=2),AND(S1238="ns",AR1238=0,AQ1238&gt;0),S1238=AR1238),0,1))))</f>
        <v>0</v>
      </c>
      <c r="AT1238" s="283">
        <f t="shared" ref="AT1238:AT1244" si="1085">COUNTIF(W1238:X1238,"NS")</f>
        <v>0</v>
      </c>
      <c r="AU1238" s="283">
        <f t="shared" ref="AU1238:AU1244" si="1086">SUM(W1238:X1238)</f>
        <v>0</v>
      </c>
      <c r="AV1238" s="283">
        <f t="shared" ref="AV1238:AV1244" si="1087">IF(COUNTIF(V1238:X1238,"NA")=3,0,IF(COUNTA(V1238:X1238)=0,0,IF(OR(AND(V1238=0,AT1238&gt;0),AND(V1238="ns",AU1238&gt;0),AND(V1238="ns",AT1238=0,AU1238=0)),1,IF(OR(AND(V1238&gt;0,AT1238=2),AND(V1238="ns",AT1238=2),AND(V1238="ns",AU1238=0,AT1238&gt;0),V1238=AU1238),0,1))))</f>
        <v>0</v>
      </c>
      <c r="AW1238" s="283">
        <f t="shared" ref="AW1238:AW1244" si="1088">COUNTIF(Z1238:AA1238,"NS")</f>
        <v>0</v>
      </c>
      <c r="AX1238" s="283">
        <f t="shared" ref="AX1238:AX1244" si="1089">SUM(Z1238:AA1238)</f>
        <v>0</v>
      </c>
      <c r="AY1238" s="283">
        <f t="shared" ref="AY1238:AY1244" si="1090">IF(COUNTIF(Y1238:AA1238,"NA")=3,0,IF(COUNTA(Y1238:AA1238)=0,0,IF(OR(AND(Y1238=0,AW1238&gt;0),AND(Y1238="ns",AX1238&gt;0),AND(Y1238="ns",AW1238=0,AX1238=0)),1,IF(OR(AND(Y1238&gt;0,AW1238=2),AND(Y1238="ns",AW1238=2),AND(Y1238="ns",AX1238=0,AW1238&gt;0),Y1238=AX1238),0,1))))</f>
        <v>0</v>
      </c>
      <c r="AZ1238" s="283">
        <f t="shared" ref="AZ1238:AZ1244" si="1091">COUNTIF(AC1238:AD1238,"NS")</f>
        <v>0</v>
      </c>
      <c r="BA1238" s="283">
        <f t="shared" ref="BA1238:BA1244" si="1092">SUM(AC1238:AD1238)</f>
        <v>0</v>
      </c>
      <c r="BB1238" s="283">
        <f t="shared" ref="BB1238:BB1244" si="1093">IF(COUNTIF(AB1238:AD1238,"NA")=3,0,IF(COUNTA(AB1238:AD1238)=0,0,IF(OR(AND(AB1238=0,AZ1238&gt;0),AND(AB1238="ns",BA1238&gt;0),AND(AB1238="ns",AZ1238=0,BA1238=0)),1,IF(OR(AND(AB1238&gt;0,AZ1238=2),AND(AB1238="ns",AZ1238=2),AND(AB1238="ns",BA1238=0,AZ1238&gt;0),AB1238=BA1238),0,1))))</f>
        <v>0</v>
      </c>
      <c r="BC1238" s="283">
        <f t="shared" ref="BC1238:BC1244" si="1094">COUNTIF(H1254:I1254,"NS")</f>
        <v>0</v>
      </c>
      <c r="BD1238" s="283">
        <f t="shared" ref="BD1238:BD1244" si="1095">SUM(H1254:I1254)</f>
        <v>0</v>
      </c>
      <c r="BE1238" s="283">
        <f t="shared" ref="BE1238:BE1244" si="1096">IF(COUNTIF(G1254:I1254,"NA")=3,0,IF(COUNTA(G1254:I1254)=0,0,IF(OR(AND(G1254=0,BC1238&gt;0),AND(G1254="ns",BD1238&gt;0),AND(G1254="ns",BC1238=0,BD1238=0)),1,IF(OR(AND(G1254&gt;0,BC1238=2),AND(G1254="ns",BC1238=2),AND(G1254="ns",BD1238=0,BC1238&gt;0),G1254=BD1238),0,1))))</f>
        <v>0</v>
      </c>
      <c r="BF1238" s="283">
        <f t="shared" ref="BF1238:BF1244" si="1097">COUNTIF(K1254:L1254,"NS")</f>
        <v>0</v>
      </c>
      <c r="BG1238" s="283">
        <f t="shared" ref="BG1238:BG1244" si="1098">SUM(K1254:L1254)</f>
        <v>0</v>
      </c>
      <c r="BH1238" s="283">
        <f t="shared" ref="BH1238:BH1244" si="1099">IF(COUNTIF(J1254:L1254,"NA")=3,0,IF(COUNTA(J1254:L1254)=0,0,IF(OR(AND(J1254=0,BF1238&gt;0),AND(J1254="ns",BG1238&gt;0),AND(J1254="ns",BF1238=0,BG1238=0)),1,IF(OR(AND(J1254&gt;0,BF1238=2),AND(J1254="ns",BF1238=2),AND(J1254="ns",BG1238=0,BF1238&gt;0),J1254=BG1238),0,1))))</f>
        <v>0</v>
      </c>
      <c r="BI1238" s="283">
        <f t="shared" ref="BI1238:BI1244" si="1100">COUNTIF(N1254:O1254,"NS")</f>
        <v>0</v>
      </c>
      <c r="BJ1238" s="283">
        <f t="shared" ref="BJ1238:BJ1244" si="1101">SUM(N1254:O1254)</f>
        <v>0</v>
      </c>
      <c r="BK1238" s="283">
        <f t="shared" ref="BK1238:BK1244" si="1102">IF(COUNTIF(M1254:O1254,"NA")=3,0,IF(COUNTA(M1254:O1254)=0,0,IF(OR(AND(M1254=0,BI1238&gt;0),AND(M1254="ns",BJ1238&gt;0),AND(M1254="ns",BI1238=0,BJ1238=0)),1,IF(OR(AND(M1254&gt;0,BI1238=2),AND(M1254="ns",BI1238=2),AND(M1254="ns",BJ1238=0,BI1238&gt;0),M1254=BJ1238),0,1))))</f>
        <v>0</v>
      </c>
      <c r="BL1238" s="283">
        <f t="shared" ref="BL1238:BL1244" si="1103">COUNTIF(Q1254:R1254,"NS")</f>
        <v>0</v>
      </c>
      <c r="BM1238" s="283">
        <f t="shared" ref="BM1238:BM1244" si="1104">SUM(Q1254:R1254)</f>
        <v>0</v>
      </c>
      <c r="BN1238" s="283">
        <f t="shared" ref="BN1238:BN1244" si="1105">IF(COUNTIF(P1254:R1254,"NA")=3,0,IF(COUNTA(P1254:R1254)=0,0,IF(OR(AND(P1254=0,BL1238&gt;0),AND(P1254="ns",BM1238&gt;0),AND(P1254="ns",BL1238=0,BM1238=0)),1,IF(OR(AND(P1254&gt;0,BL1238=2),AND(P1254="ns",BL1238=2),AND(P1254="ns",BM1238=0,BL1238&gt;0),P1254=BM1238),0,1))))</f>
        <v>0</v>
      </c>
      <c r="BO1238" s="283">
        <f t="shared" ref="BO1238:BO1244" si="1106">COUNTIF(T1254:U1254,"NS")</f>
        <v>0</v>
      </c>
      <c r="BP1238" s="283">
        <f t="shared" ref="BP1238:BP1244" si="1107">SUM(T1254:U1254)</f>
        <v>0</v>
      </c>
      <c r="BQ1238" s="283">
        <f t="shared" ref="BQ1238:BQ1244" si="1108">IF(COUNTIF(S1254:U1254,"NA")=3,0,IF(COUNTA(S1254:U1254)=0,0,IF(OR(AND(S1254=0,BO1238&gt;0),AND(S1254="ns",BP1238&gt;0),AND(S1254="ns",BO1238=0,BP1238=0)),1,IF(OR(AND(S1254&gt;0,BO1238=2),AND(S1254="ns",BO1238=2),AND(S1254="ns",BP1238=0,BO1238&gt;0),S1254=BP1238),0,1))))</f>
        <v>0</v>
      </c>
      <c r="BR1238" s="283">
        <f t="shared" ref="BR1238:BR1244" si="1109">COUNTIF(W1254:X1254,"NS")</f>
        <v>0</v>
      </c>
      <c r="BS1238" s="283">
        <f t="shared" ref="BS1238:BS1244" si="1110">SUM(W1254:X1254)</f>
        <v>0</v>
      </c>
      <c r="BT1238" s="283">
        <f t="shared" ref="BT1238:BT1244" si="1111">IF(COUNTIF(V1254:X1254,"NA")=3,0,IF(COUNTA(V1254:X1254)=0,0,IF(OR(AND(V1254=0,BR1238&gt;0),AND(V1254="ns",BS1238&gt;0),AND(V1254="ns",BR1238=0,BS1238=0)),1,IF(OR(AND(V1254&gt;0,BR1238=2),AND(V1254="ns",BR1238=2),AND(V1254="ns",BS1238=0,BR1238&gt;0),V1254=BS1238),0,1))))</f>
        <v>0</v>
      </c>
      <c r="BU1238" s="283">
        <f t="shared" ref="BU1238:BU1244" si="1112">COUNTIF(Z1254:AA1254,"NS")</f>
        <v>0</v>
      </c>
      <c r="BV1238" s="283">
        <f t="shared" ref="BV1238:BV1244" si="1113">SUM(Z1254:AA1254)</f>
        <v>0</v>
      </c>
      <c r="BW1238" s="283">
        <f t="shared" ref="BW1238:BW1244" si="1114">IF(COUNTIF(Y1254:AA1254,"NA")=3,0,IF(COUNTA(Y1254:AA1254)=0,0,IF(OR(AND(Y1254=0,BU1238&gt;0),AND(Y1254="ns",BV1238&gt;0),AND(Y1254="ns",BU1238=0,BV1238=0)),1,IF(OR(AND(Y1254&gt;0,BU1238=2),AND(Y1254="ns",BU1238=2),AND(Y1254="ns",BV1238=0,BU1238&gt;0),Y1254=BV1238),0,1))))</f>
        <v>0</v>
      </c>
      <c r="BX1238" s="283">
        <f t="shared" ref="BX1238:BX1244" si="1115">COUNTIF(AC1254:AD1254,"NS")</f>
        <v>0</v>
      </c>
      <c r="BY1238" s="283">
        <f t="shared" ref="BY1238:BY1244" si="1116">SUM(AC1254:AD1254)</f>
        <v>0</v>
      </c>
      <c r="BZ1238" s="283">
        <f t="shared" ref="BZ1238:BZ1244" si="1117">IF(COUNTIF(AB1254:AD1254,"NA")=3,0,IF(COUNTA(AB1254:AD1254)=0,0,IF(OR(AND(AB1254=0,BX1238&gt;0),AND(AB1254="ns",BY1238&gt;0),AND(AB1254="ns",BX1238=0,BY1238=0)),1,IF(OR(AND(AB1254&gt;0,BX1238=2),AND(AB1254="ns",BX1238=2),AND(AB1254="ns",BY1238=0,BX1238&gt;0),AB1254=BY1238),0,1))))</f>
        <v>0</v>
      </c>
      <c r="CA1238" s="283">
        <f t="shared" ref="CA1238:CA1244" si="1118">COUNTIF(H1270:I1270,"NS")</f>
        <v>0</v>
      </c>
      <c r="CB1238" s="283">
        <f t="shared" ref="CB1238:CB1244" si="1119">SUM(H1270:I1270)</f>
        <v>0</v>
      </c>
      <c r="CC1238" s="283">
        <f t="shared" ref="CC1238:CC1244" si="1120">IF(COUNTIF(G1270:I1270,"NA")=3,0,IF(COUNTA(G1270:I1270)=0,0,IF(OR(AND(G1270=0,CA1238&gt;0),AND(G1270="ns",CB1238&gt;0),AND(G1270="ns",CA1238=0,CB1238=0)),1,IF(OR(AND(G1270&gt;0,CA1238=2),AND(G1270="ns",CA1238=2),AND(G1270="ns",CB1238=0,CA1238&gt;0),G1270=CB1238),0,1))))</f>
        <v>0</v>
      </c>
      <c r="CD1238" s="283">
        <f t="shared" ref="CD1238:CD1244" si="1121">COUNTIF(K1270:L1270,"NS")</f>
        <v>0</v>
      </c>
      <c r="CE1238" s="283">
        <f t="shared" ref="CE1238:CE1244" si="1122">SUM(K1270:L1270)</f>
        <v>0</v>
      </c>
      <c r="CF1238" s="283">
        <f t="shared" ref="CF1238:CF1244" si="1123">IF(COUNTIF(J1270:L1270,"NA")=3,0,IF(COUNTA(J1270:L1270)=0,0,IF(OR(AND(J1270=0,CD1238&gt;0),AND(J1270="ns",CE1238&gt;0),AND(J1270="ns",CD1238=0,CE1238=0)),1,IF(OR(AND(J1270&gt;0,CD1238=2),AND(J1270="ns",CD1238=2),AND(J1270="ns",CE1238=0,CD1238&gt;0),J1270=CE1238),0,1))))</f>
        <v>0</v>
      </c>
      <c r="CG1238" s="283">
        <f t="shared" ref="CG1238:CG1244" si="1124">COUNTIF(N1270:O1270,"NS")</f>
        <v>0</v>
      </c>
      <c r="CH1238" s="283">
        <f t="shared" ref="CH1238:CH1244" si="1125">SUM(N1270:O1270)</f>
        <v>0</v>
      </c>
      <c r="CI1238" s="283">
        <f t="shared" ref="CI1238:CI1244" si="1126">IF(COUNTIF(M1270:O1270,"NA")=3,0,IF(COUNTA(M1270:O1270)=0,0,IF(OR(AND(M1270=0,CG1238&gt;0),AND(M1270="ns",CH1238&gt;0),AND(M1270="ns",CG1238=0,CH1238=0)),1,IF(OR(AND(M1270&gt;0,CG1238=2),AND(M1270="ns",CG1238=2),AND(M1270="ns",CH1238=0,CG1238&gt;0),M1270=CH1238),0,1))))</f>
        <v>0</v>
      </c>
      <c r="CJ1238" s="283">
        <f t="shared" ref="CJ1238:CJ1244" si="1127">COUNTIF(Q1270:R1270,"NS")</f>
        <v>0</v>
      </c>
      <c r="CK1238" s="283">
        <f t="shared" ref="CK1238:CK1244" si="1128">SUM(Q1270:R1270)</f>
        <v>0</v>
      </c>
      <c r="CL1238" s="283">
        <f t="shared" ref="CL1238:CL1244" si="1129">IF(COUNTIF(P1270:R1270,"NA")=3,0,IF(COUNTA(P1270:R1270)=0,0,IF(OR(AND(P1270=0,CJ1238&gt;0),AND(P1270="ns",CK1238&gt;0),AND(P1270="ns",CJ1238=0,CK1238=0)),1,IF(OR(AND(P1270&gt;0,CJ1238=2),AND(P1270="ns",CJ1238=2),AND(P1270="ns",CK1238=0,CJ1238&gt;0),P1270=CK1238),0,1))))</f>
        <v>0</v>
      </c>
      <c r="CM1238" s="283">
        <f t="shared" ref="CM1238:CM1244" si="1130">COUNTIF(T1270:U1270,"NS")</f>
        <v>0</v>
      </c>
      <c r="CN1238" s="283">
        <f t="shared" ref="CN1238:CN1244" si="1131">SUM(T1270:U1270)</f>
        <v>0</v>
      </c>
      <c r="CO1238" s="283">
        <f t="shared" ref="CO1238:CO1244" si="1132">IF(COUNTIF(S1270:U1270,"NA")=3,0,IF(COUNTA(S1270:U1270)=0,0,IF(OR(AND(S1270=0,CM1238&gt;0),AND(S1270="ns",CN1238&gt;0),AND(S1270="ns",CM1238=0,CN1238=0)),1,IF(OR(AND(S1270&gt;0,CM1238=2),AND(S1270="ns",CM1238=2),AND(S1270="ns",CN1238=0,CM1238&gt;0),S1270=CN1238),0,1))))</f>
        <v>0</v>
      </c>
      <c r="CP1238" s="283">
        <f t="shared" ref="CP1238:CP1244" si="1133">COUNTIF(W1270:X1270,"NS")</f>
        <v>0</v>
      </c>
      <c r="CQ1238" s="283">
        <f t="shared" ref="CQ1238:CQ1244" si="1134">SUM(W1270:X1270)</f>
        <v>0</v>
      </c>
      <c r="CR1238" s="283">
        <f t="shared" ref="CR1238:CR1244" si="1135">IF(COUNTIF(V1270:X1270,"NA")=3,0,IF(COUNTA(V1270:X1270)=0,0,IF(OR(AND(V1270=0,CP1238&gt;0),AND(V1270="ns",CQ1238&gt;0),AND(V1270="ns",CP1238=0,CQ1238=0)),1,IF(OR(AND(V1270&gt;0,CP1238=2),AND(V1270="ns",CP1238=2),AND(V1270="ns",CQ1238=0,CP1238&gt;0),V1270=CQ1238),0,1))))</f>
        <v>0</v>
      </c>
      <c r="CS1238" s="283">
        <f t="shared" ref="CS1238:CS1244" si="1136">COUNTIF(Z1270:AA1270,"NS")</f>
        <v>0</v>
      </c>
      <c r="CT1238" s="283">
        <f t="shared" ref="CT1238:CT1244" si="1137">SUM(Z1270:AA1270)</f>
        <v>0</v>
      </c>
      <c r="CU1238" s="283">
        <f t="shared" ref="CU1238:CU1244" si="1138">IF(COUNTIF(Y1270:AA1270,"NA")=3,0,IF(COUNTA(Y1270:AA1270)=0,0,IF(OR(AND(Y1270=0,CS1238&gt;0),AND(Y1270="ns",CT1238&gt;0),AND(Y1270="ns",CS1238=0,CT1238=0)),1,IF(OR(AND(Y1270&gt;0,CS1238=2),AND(Y1270="ns",CS1238=2),AND(Y1270="ns",CT1238=0,CS1238&gt;0),Y1270=CT1238),0,1))))</f>
        <v>0</v>
      </c>
      <c r="CV1238" s="283">
        <f t="shared" ref="CV1238:CV1244" si="1139">COUNTIF(AC1270:AD1270,"NS")</f>
        <v>0</v>
      </c>
      <c r="CW1238" s="283">
        <f t="shared" ref="CW1238:CW1244" si="1140">SUM(AC1270:AD1270)</f>
        <v>0</v>
      </c>
      <c r="CX1238" s="283">
        <f t="shared" ref="CX1238:CX1244" si="1141">IF(COUNTIF(AB1270:AD1270,"NA")=3,0,IF(COUNTA(AB1270:AD1270)=0,0,IF(OR(AND(AB1270=0,CV1238&gt;0),AND(AB1270="ns",CW1238&gt;0),AND(AB1270="ns",CV1238=0,CW1238=0)),1,IF(OR(AND(AB1270&gt;0,CV1238=2),AND(AB1270="ns",CV1238=2),AND(AB1270="ns",CW1238=0,CV1238&gt;0),AB1270=CW1238),0,1))))</f>
        <v>0</v>
      </c>
      <c r="CY1238" s="253">
        <f t="shared" ref="CY1238:CY1244" si="1142">IF(AND($G1238&lt;&gt;"",$G1238=1,J1238&lt;&gt;"",K1238&lt;&gt;"",L1238&lt;&gt;"",SUM(J1238:L1238)=0),1,0)</f>
        <v>0</v>
      </c>
      <c r="CZ1238" s="342">
        <f t="shared" ref="CZ1238:CZ1244" si="1143">IF(AND($G1238&lt;&gt;"",$G1238&lt;&gt;1,COUNTA(J1238:AD1238,G1254:AD1254,G1270:AD1270)&gt;0),1,0)</f>
        <v>0</v>
      </c>
    </row>
    <row r="1239" spans="1:104" ht="15" customHeight="1">
      <c r="A1239" s="50"/>
      <c r="B1239" s="90"/>
      <c r="C1239" s="143" t="s">
        <v>2518</v>
      </c>
      <c r="D1239" s="813" t="str">
        <f>IF(CNSIPEE_2024_M2_Secc1!D44="","",CNSIPEE_2024_M2_Secc1!D44)</f>
        <v/>
      </c>
      <c r="E1239" s="814"/>
      <c r="F1239" s="815"/>
      <c r="G1239" s="816"/>
      <c r="H1239" s="738"/>
      <c r="I1239" s="817"/>
      <c r="J1239" s="100"/>
      <c r="K1239" s="100"/>
      <c r="L1239" s="100"/>
      <c r="M1239" s="100"/>
      <c r="N1239" s="100"/>
      <c r="O1239" s="100"/>
      <c r="P1239" s="100"/>
      <c r="Q1239" s="100"/>
      <c r="R1239" s="100"/>
      <c r="S1239" s="100"/>
      <c r="T1239" s="100"/>
      <c r="U1239" s="100"/>
      <c r="V1239" s="100"/>
      <c r="W1239" s="100"/>
      <c r="X1239" s="100"/>
      <c r="Y1239" s="100"/>
      <c r="Z1239" s="100"/>
      <c r="AA1239" s="100"/>
      <c r="AB1239" s="100"/>
      <c r="AC1239" s="100"/>
      <c r="AD1239" s="100"/>
      <c r="AG1239" s="326">
        <f t="shared" si="1072"/>
        <v>0</v>
      </c>
      <c r="AH1239" s="283">
        <f t="shared" si="1073"/>
        <v>0</v>
      </c>
      <c r="AI1239" s="283">
        <f t="shared" si="1074"/>
        <v>0</v>
      </c>
      <c r="AJ1239" s="283">
        <f t="shared" si="1075"/>
        <v>0</v>
      </c>
      <c r="AK1239" s="283">
        <f t="shared" si="1076"/>
        <v>0</v>
      </c>
      <c r="AL1239" s="283">
        <f t="shared" si="1077"/>
        <v>0</v>
      </c>
      <c r="AM1239" s="283">
        <f t="shared" si="1078"/>
        <v>0</v>
      </c>
      <c r="AN1239" s="283">
        <f t="shared" si="1079"/>
        <v>0</v>
      </c>
      <c r="AO1239" s="283">
        <f t="shared" si="1080"/>
        <v>0</v>
      </c>
      <c r="AP1239" s="283">
        <f t="shared" si="1081"/>
        <v>0</v>
      </c>
      <c r="AQ1239" s="283">
        <f t="shared" si="1082"/>
        <v>0</v>
      </c>
      <c r="AR1239" s="283">
        <f t="shared" si="1083"/>
        <v>0</v>
      </c>
      <c r="AS1239" s="283">
        <f t="shared" si="1084"/>
        <v>0</v>
      </c>
      <c r="AT1239" s="283">
        <f t="shared" si="1085"/>
        <v>0</v>
      </c>
      <c r="AU1239" s="283">
        <f t="shared" si="1086"/>
        <v>0</v>
      </c>
      <c r="AV1239" s="283">
        <f t="shared" si="1087"/>
        <v>0</v>
      </c>
      <c r="AW1239" s="283">
        <f t="shared" si="1088"/>
        <v>0</v>
      </c>
      <c r="AX1239" s="283">
        <f t="shared" si="1089"/>
        <v>0</v>
      </c>
      <c r="AY1239" s="283">
        <f t="shared" si="1090"/>
        <v>0</v>
      </c>
      <c r="AZ1239" s="283">
        <f t="shared" si="1091"/>
        <v>0</v>
      </c>
      <c r="BA1239" s="283">
        <f t="shared" si="1092"/>
        <v>0</v>
      </c>
      <c r="BB1239" s="283">
        <f t="shared" si="1093"/>
        <v>0</v>
      </c>
      <c r="BC1239" s="283">
        <f t="shared" si="1094"/>
        <v>0</v>
      </c>
      <c r="BD1239" s="283">
        <f t="shared" si="1095"/>
        <v>0</v>
      </c>
      <c r="BE1239" s="283">
        <f t="shared" si="1096"/>
        <v>0</v>
      </c>
      <c r="BF1239" s="283">
        <f t="shared" si="1097"/>
        <v>0</v>
      </c>
      <c r="BG1239" s="283">
        <f t="shared" si="1098"/>
        <v>0</v>
      </c>
      <c r="BH1239" s="283">
        <f t="shared" si="1099"/>
        <v>0</v>
      </c>
      <c r="BI1239" s="283">
        <f t="shared" si="1100"/>
        <v>0</v>
      </c>
      <c r="BJ1239" s="283">
        <f t="shared" si="1101"/>
        <v>0</v>
      </c>
      <c r="BK1239" s="283">
        <f t="shared" si="1102"/>
        <v>0</v>
      </c>
      <c r="BL1239" s="283">
        <f t="shared" si="1103"/>
        <v>0</v>
      </c>
      <c r="BM1239" s="283">
        <f t="shared" si="1104"/>
        <v>0</v>
      </c>
      <c r="BN1239" s="283">
        <f t="shared" si="1105"/>
        <v>0</v>
      </c>
      <c r="BO1239" s="283">
        <f t="shared" si="1106"/>
        <v>0</v>
      </c>
      <c r="BP1239" s="283">
        <f t="shared" si="1107"/>
        <v>0</v>
      </c>
      <c r="BQ1239" s="283">
        <f t="shared" si="1108"/>
        <v>0</v>
      </c>
      <c r="BR1239" s="283">
        <f t="shared" si="1109"/>
        <v>0</v>
      </c>
      <c r="BS1239" s="283">
        <f t="shared" si="1110"/>
        <v>0</v>
      </c>
      <c r="BT1239" s="283">
        <f t="shared" si="1111"/>
        <v>0</v>
      </c>
      <c r="BU1239" s="283">
        <f t="shared" si="1112"/>
        <v>0</v>
      </c>
      <c r="BV1239" s="283">
        <f t="shared" si="1113"/>
        <v>0</v>
      </c>
      <c r="BW1239" s="283">
        <f t="shared" si="1114"/>
        <v>0</v>
      </c>
      <c r="BX1239" s="283">
        <f t="shared" si="1115"/>
        <v>0</v>
      </c>
      <c r="BY1239" s="283">
        <f t="shared" si="1116"/>
        <v>0</v>
      </c>
      <c r="BZ1239" s="283">
        <f t="shared" si="1117"/>
        <v>0</v>
      </c>
      <c r="CA1239" s="283">
        <f t="shared" si="1118"/>
        <v>0</v>
      </c>
      <c r="CB1239" s="283">
        <f t="shared" si="1119"/>
        <v>0</v>
      </c>
      <c r="CC1239" s="283">
        <f t="shared" si="1120"/>
        <v>0</v>
      </c>
      <c r="CD1239" s="283">
        <f t="shared" si="1121"/>
        <v>0</v>
      </c>
      <c r="CE1239" s="283">
        <f t="shared" si="1122"/>
        <v>0</v>
      </c>
      <c r="CF1239" s="283">
        <f t="shared" si="1123"/>
        <v>0</v>
      </c>
      <c r="CG1239" s="283">
        <f t="shared" si="1124"/>
        <v>0</v>
      </c>
      <c r="CH1239" s="283">
        <f t="shared" si="1125"/>
        <v>0</v>
      </c>
      <c r="CI1239" s="283">
        <f t="shared" si="1126"/>
        <v>0</v>
      </c>
      <c r="CJ1239" s="283">
        <f t="shared" si="1127"/>
        <v>0</v>
      </c>
      <c r="CK1239" s="283">
        <f t="shared" si="1128"/>
        <v>0</v>
      </c>
      <c r="CL1239" s="283">
        <f t="shared" si="1129"/>
        <v>0</v>
      </c>
      <c r="CM1239" s="283">
        <f t="shared" si="1130"/>
        <v>0</v>
      </c>
      <c r="CN1239" s="283">
        <f t="shared" si="1131"/>
        <v>0</v>
      </c>
      <c r="CO1239" s="283">
        <f t="shared" si="1132"/>
        <v>0</v>
      </c>
      <c r="CP1239" s="283">
        <f t="shared" si="1133"/>
        <v>0</v>
      </c>
      <c r="CQ1239" s="283">
        <f t="shared" si="1134"/>
        <v>0</v>
      </c>
      <c r="CR1239" s="283">
        <f t="shared" si="1135"/>
        <v>0</v>
      </c>
      <c r="CS1239" s="283">
        <f t="shared" si="1136"/>
        <v>0</v>
      </c>
      <c r="CT1239" s="283">
        <f t="shared" si="1137"/>
        <v>0</v>
      </c>
      <c r="CU1239" s="283">
        <f t="shared" si="1138"/>
        <v>0</v>
      </c>
      <c r="CV1239" s="283">
        <f t="shared" si="1139"/>
        <v>0</v>
      </c>
      <c r="CW1239" s="283">
        <f t="shared" si="1140"/>
        <v>0</v>
      </c>
      <c r="CX1239" s="283">
        <f t="shared" si="1141"/>
        <v>0</v>
      </c>
      <c r="CY1239" s="253">
        <f t="shared" si="1142"/>
        <v>0</v>
      </c>
      <c r="CZ1239" s="342">
        <f t="shared" si="1143"/>
        <v>0</v>
      </c>
    </row>
    <row r="1240" spans="1:104" ht="15" customHeight="1">
      <c r="A1240" s="50"/>
      <c r="B1240" s="90"/>
      <c r="C1240" s="143" t="s">
        <v>2519</v>
      </c>
      <c r="D1240" s="813" t="str">
        <f>IF(CNSIPEE_2024_M2_Secc1!D45="","",CNSIPEE_2024_M2_Secc1!D45)</f>
        <v/>
      </c>
      <c r="E1240" s="814"/>
      <c r="F1240" s="815"/>
      <c r="G1240" s="816"/>
      <c r="H1240" s="738"/>
      <c r="I1240" s="817"/>
      <c r="J1240" s="100"/>
      <c r="K1240" s="100"/>
      <c r="L1240" s="100"/>
      <c r="M1240" s="100"/>
      <c r="N1240" s="100"/>
      <c r="O1240" s="100"/>
      <c r="P1240" s="100"/>
      <c r="Q1240" s="100"/>
      <c r="R1240" s="100"/>
      <c r="S1240" s="100"/>
      <c r="T1240" s="100"/>
      <c r="U1240" s="100"/>
      <c r="V1240" s="100"/>
      <c r="W1240" s="100"/>
      <c r="X1240" s="100"/>
      <c r="Y1240" s="100"/>
      <c r="Z1240" s="100"/>
      <c r="AA1240" s="100"/>
      <c r="AB1240" s="100"/>
      <c r="AC1240" s="100"/>
      <c r="AD1240" s="100"/>
      <c r="AG1240" s="326">
        <f t="shared" si="1072"/>
        <v>0</v>
      </c>
      <c r="AH1240" s="283">
        <f t="shared" si="1073"/>
        <v>0</v>
      </c>
      <c r="AI1240" s="283">
        <f t="shared" si="1074"/>
        <v>0</v>
      </c>
      <c r="AJ1240" s="283">
        <f t="shared" si="1075"/>
        <v>0</v>
      </c>
      <c r="AK1240" s="283">
        <f t="shared" si="1076"/>
        <v>0</v>
      </c>
      <c r="AL1240" s="283">
        <f t="shared" si="1077"/>
        <v>0</v>
      </c>
      <c r="AM1240" s="283">
        <f t="shared" si="1078"/>
        <v>0</v>
      </c>
      <c r="AN1240" s="283">
        <f t="shared" si="1079"/>
        <v>0</v>
      </c>
      <c r="AO1240" s="283">
        <f t="shared" si="1080"/>
        <v>0</v>
      </c>
      <c r="AP1240" s="283">
        <f t="shared" si="1081"/>
        <v>0</v>
      </c>
      <c r="AQ1240" s="283">
        <f t="shared" si="1082"/>
        <v>0</v>
      </c>
      <c r="AR1240" s="283">
        <f t="shared" si="1083"/>
        <v>0</v>
      </c>
      <c r="AS1240" s="283">
        <f t="shared" si="1084"/>
        <v>0</v>
      </c>
      <c r="AT1240" s="283">
        <f t="shared" si="1085"/>
        <v>0</v>
      </c>
      <c r="AU1240" s="283">
        <f t="shared" si="1086"/>
        <v>0</v>
      </c>
      <c r="AV1240" s="283">
        <f t="shared" si="1087"/>
        <v>0</v>
      </c>
      <c r="AW1240" s="283">
        <f t="shared" si="1088"/>
        <v>0</v>
      </c>
      <c r="AX1240" s="283">
        <f t="shared" si="1089"/>
        <v>0</v>
      </c>
      <c r="AY1240" s="283">
        <f t="shared" si="1090"/>
        <v>0</v>
      </c>
      <c r="AZ1240" s="283">
        <f t="shared" si="1091"/>
        <v>0</v>
      </c>
      <c r="BA1240" s="283">
        <f t="shared" si="1092"/>
        <v>0</v>
      </c>
      <c r="BB1240" s="283">
        <f t="shared" si="1093"/>
        <v>0</v>
      </c>
      <c r="BC1240" s="283">
        <f t="shared" si="1094"/>
        <v>0</v>
      </c>
      <c r="BD1240" s="283">
        <f t="shared" si="1095"/>
        <v>0</v>
      </c>
      <c r="BE1240" s="283">
        <f t="shared" si="1096"/>
        <v>0</v>
      </c>
      <c r="BF1240" s="283">
        <f t="shared" si="1097"/>
        <v>0</v>
      </c>
      <c r="BG1240" s="283">
        <f t="shared" si="1098"/>
        <v>0</v>
      </c>
      <c r="BH1240" s="283">
        <f t="shared" si="1099"/>
        <v>0</v>
      </c>
      <c r="BI1240" s="283">
        <f t="shared" si="1100"/>
        <v>0</v>
      </c>
      <c r="BJ1240" s="283">
        <f t="shared" si="1101"/>
        <v>0</v>
      </c>
      <c r="BK1240" s="283">
        <f t="shared" si="1102"/>
        <v>0</v>
      </c>
      <c r="BL1240" s="283">
        <f t="shared" si="1103"/>
        <v>0</v>
      </c>
      <c r="BM1240" s="283">
        <f t="shared" si="1104"/>
        <v>0</v>
      </c>
      <c r="BN1240" s="283">
        <f t="shared" si="1105"/>
        <v>0</v>
      </c>
      <c r="BO1240" s="283">
        <f t="shared" si="1106"/>
        <v>0</v>
      </c>
      <c r="BP1240" s="283">
        <f t="shared" si="1107"/>
        <v>0</v>
      </c>
      <c r="BQ1240" s="283">
        <f t="shared" si="1108"/>
        <v>0</v>
      </c>
      <c r="BR1240" s="283">
        <f t="shared" si="1109"/>
        <v>0</v>
      </c>
      <c r="BS1240" s="283">
        <f t="shared" si="1110"/>
        <v>0</v>
      </c>
      <c r="BT1240" s="283">
        <f t="shared" si="1111"/>
        <v>0</v>
      </c>
      <c r="BU1240" s="283">
        <f t="shared" si="1112"/>
        <v>0</v>
      </c>
      <c r="BV1240" s="283">
        <f t="shared" si="1113"/>
        <v>0</v>
      </c>
      <c r="BW1240" s="283">
        <f t="shared" si="1114"/>
        <v>0</v>
      </c>
      <c r="BX1240" s="283">
        <f t="shared" si="1115"/>
        <v>0</v>
      </c>
      <c r="BY1240" s="283">
        <f t="shared" si="1116"/>
        <v>0</v>
      </c>
      <c r="BZ1240" s="283">
        <f t="shared" si="1117"/>
        <v>0</v>
      </c>
      <c r="CA1240" s="283">
        <f t="shared" si="1118"/>
        <v>0</v>
      </c>
      <c r="CB1240" s="283">
        <f t="shared" si="1119"/>
        <v>0</v>
      </c>
      <c r="CC1240" s="283">
        <f t="shared" si="1120"/>
        <v>0</v>
      </c>
      <c r="CD1240" s="283">
        <f t="shared" si="1121"/>
        <v>0</v>
      </c>
      <c r="CE1240" s="283">
        <f t="shared" si="1122"/>
        <v>0</v>
      </c>
      <c r="CF1240" s="283">
        <f t="shared" si="1123"/>
        <v>0</v>
      </c>
      <c r="CG1240" s="283">
        <f t="shared" si="1124"/>
        <v>0</v>
      </c>
      <c r="CH1240" s="283">
        <f t="shared" si="1125"/>
        <v>0</v>
      </c>
      <c r="CI1240" s="283">
        <f t="shared" si="1126"/>
        <v>0</v>
      </c>
      <c r="CJ1240" s="283">
        <f t="shared" si="1127"/>
        <v>0</v>
      </c>
      <c r="CK1240" s="283">
        <f t="shared" si="1128"/>
        <v>0</v>
      </c>
      <c r="CL1240" s="283">
        <f t="shared" si="1129"/>
        <v>0</v>
      </c>
      <c r="CM1240" s="283">
        <f t="shared" si="1130"/>
        <v>0</v>
      </c>
      <c r="CN1240" s="283">
        <f t="shared" si="1131"/>
        <v>0</v>
      </c>
      <c r="CO1240" s="283">
        <f t="shared" si="1132"/>
        <v>0</v>
      </c>
      <c r="CP1240" s="283">
        <f t="shared" si="1133"/>
        <v>0</v>
      </c>
      <c r="CQ1240" s="283">
        <f t="shared" si="1134"/>
        <v>0</v>
      </c>
      <c r="CR1240" s="283">
        <f t="shared" si="1135"/>
        <v>0</v>
      </c>
      <c r="CS1240" s="283">
        <f t="shared" si="1136"/>
        <v>0</v>
      </c>
      <c r="CT1240" s="283">
        <f t="shared" si="1137"/>
        <v>0</v>
      </c>
      <c r="CU1240" s="283">
        <f t="shared" si="1138"/>
        <v>0</v>
      </c>
      <c r="CV1240" s="283">
        <f t="shared" si="1139"/>
        <v>0</v>
      </c>
      <c r="CW1240" s="283">
        <f t="shared" si="1140"/>
        <v>0</v>
      </c>
      <c r="CX1240" s="283">
        <f t="shared" si="1141"/>
        <v>0</v>
      </c>
      <c r="CY1240" s="253">
        <f t="shared" si="1142"/>
        <v>0</v>
      </c>
      <c r="CZ1240" s="342">
        <f t="shared" si="1143"/>
        <v>0</v>
      </c>
    </row>
    <row r="1241" spans="1:104" ht="15" customHeight="1">
      <c r="A1241" s="50"/>
      <c r="B1241" s="90"/>
      <c r="C1241" s="143" t="s">
        <v>2520</v>
      </c>
      <c r="D1241" s="813" t="str">
        <f>IF(CNSIPEE_2024_M2_Secc1!D46="","",CNSIPEE_2024_M2_Secc1!D46)</f>
        <v/>
      </c>
      <c r="E1241" s="814"/>
      <c r="F1241" s="815"/>
      <c r="G1241" s="816"/>
      <c r="H1241" s="738"/>
      <c r="I1241" s="817"/>
      <c r="J1241" s="100"/>
      <c r="K1241" s="100"/>
      <c r="L1241" s="100"/>
      <c r="M1241" s="100"/>
      <c r="N1241" s="100"/>
      <c r="O1241" s="100"/>
      <c r="P1241" s="100"/>
      <c r="Q1241" s="100"/>
      <c r="R1241" s="100"/>
      <c r="S1241" s="100"/>
      <c r="T1241" s="100"/>
      <c r="U1241" s="100"/>
      <c r="V1241" s="100"/>
      <c r="W1241" s="100"/>
      <c r="X1241" s="100"/>
      <c r="Y1241" s="100"/>
      <c r="Z1241" s="100"/>
      <c r="AA1241" s="100"/>
      <c r="AB1241" s="100"/>
      <c r="AC1241" s="100"/>
      <c r="AD1241" s="100"/>
      <c r="AG1241" s="326">
        <f t="shared" si="1072"/>
        <v>0</v>
      </c>
      <c r="AH1241" s="283">
        <f t="shared" si="1073"/>
        <v>0</v>
      </c>
      <c r="AI1241" s="283">
        <f t="shared" si="1074"/>
        <v>0</v>
      </c>
      <c r="AJ1241" s="283">
        <f t="shared" si="1075"/>
        <v>0</v>
      </c>
      <c r="AK1241" s="283">
        <f t="shared" si="1076"/>
        <v>0</v>
      </c>
      <c r="AL1241" s="283">
        <f t="shared" si="1077"/>
        <v>0</v>
      </c>
      <c r="AM1241" s="283">
        <f t="shared" si="1078"/>
        <v>0</v>
      </c>
      <c r="AN1241" s="283">
        <f t="shared" si="1079"/>
        <v>0</v>
      </c>
      <c r="AO1241" s="283">
        <f t="shared" si="1080"/>
        <v>0</v>
      </c>
      <c r="AP1241" s="283">
        <f t="shared" si="1081"/>
        <v>0</v>
      </c>
      <c r="AQ1241" s="283">
        <f t="shared" si="1082"/>
        <v>0</v>
      </c>
      <c r="AR1241" s="283">
        <f t="shared" si="1083"/>
        <v>0</v>
      </c>
      <c r="AS1241" s="283">
        <f t="shared" si="1084"/>
        <v>0</v>
      </c>
      <c r="AT1241" s="283">
        <f t="shared" si="1085"/>
        <v>0</v>
      </c>
      <c r="AU1241" s="283">
        <f t="shared" si="1086"/>
        <v>0</v>
      </c>
      <c r="AV1241" s="283">
        <f t="shared" si="1087"/>
        <v>0</v>
      </c>
      <c r="AW1241" s="283">
        <f t="shared" si="1088"/>
        <v>0</v>
      </c>
      <c r="AX1241" s="283">
        <f t="shared" si="1089"/>
        <v>0</v>
      </c>
      <c r="AY1241" s="283">
        <f t="shared" si="1090"/>
        <v>0</v>
      </c>
      <c r="AZ1241" s="283">
        <f t="shared" si="1091"/>
        <v>0</v>
      </c>
      <c r="BA1241" s="283">
        <f t="shared" si="1092"/>
        <v>0</v>
      </c>
      <c r="BB1241" s="283">
        <f t="shared" si="1093"/>
        <v>0</v>
      </c>
      <c r="BC1241" s="283">
        <f t="shared" si="1094"/>
        <v>0</v>
      </c>
      <c r="BD1241" s="283">
        <f t="shared" si="1095"/>
        <v>0</v>
      </c>
      <c r="BE1241" s="283">
        <f t="shared" si="1096"/>
        <v>0</v>
      </c>
      <c r="BF1241" s="283">
        <f t="shared" si="1097"/>
        <v>0</v>
      </c>
      <c r="BG1241" s="283">
        <f t="shared" si="1098"/>
        <v>0</v>
      </c>
      <c r="BH1241" s="283">
        <f t="shared" si="1099"/>
        <v>0</v>
      </c>
      <c r="BI1241" s="283">
        <f t="shared" si="1100"/>
        <v>0</v>
      </c>
      <c r="BJ1241" s="283">
        <f t="shared" si="1101"/>
        <v>0</v>
      </c>
      <c r="BK1241" s="283">
        <f t="shared" si="1102"/>
        <v>0</v>
      </c>
      <c r="BL1241" s="283">
        <f t="shared" si="1103"/>
        <v>0</v>
      </c>
      <c r="BM1241" s="283">
        <f t="shared" si="1104"/>
        <v>0</v>
      </c>
      <c r="BN1241" s="283">
        <f t="shared" si="1105"/>
        <v>0</v>
      </c>
      <c r="BO1241" s="283">
        <f t="shared" si="1106"/>
        <v>0</v>
      </c>
      <c r="BP1241" s="283">
        <f t="shared" si="1107"/>
        <v>0</v>
      </c>
      <c r="BQ1241" s="283">
        <f t="shared" si="1108"/>
        <v>0</v>
      </c>
      <c r="BR1241" s="283">
        <f t="shared" si="1109"/>
        <v>0</v>
      </c>
      <c r="BS1241" s="283">
        <f t="shared" si="1110"/>
        <v>0</v>
      </c>
      <c r="BT1241" s="283">
        <f t="shared" si="1111"/>
        <v>0</v>
      </c>
      <c r="BU1241" s="283">
        <f t="shared" si="1112"/>
        <v>0</v>
      </c>
      <c r="BV1241" s="283">
        <f t="shared" si="1113"/>
        <v>0</v>
      </c>
      <c r="BW1241" s="283">
        <f t="shared" si="1114"/>
        <v>0</v>
      </c>
      <c r="BX1241" s="283">
        <f t="shared" si="1115"/>
        <v>0</v>
      </c>
      <c r="BY1241" s="283">
        <f t="shared" si="1116"/>
        <v>0</v>
      </c>
      <c r="BZ1241" s="283">
        <f t="shared" si="1117"/>
        <v>0</v>
      </c>
      <c r="CA1241" s="283">
        <f t="shared" si="1118"/>
        <v>0</v>
      </c>
      <c r="CB1241" s="283">
        <f t="shared" si="1119"/>
        <v>0</v>
      </c>
      <c r="CC1241" s="283">
        <f t="shared" si="1120"/>
        <v>0</v>
      </c>
      <c r="CD1241" s="283">
        <f t="shared" si="1121"/>
        <v>0</v>
      </c>
      <c r="CE1241" s="283">
        <f t="shared" si="1122"/>
        <v>0</v>
      </c>
      <c r="CF1241" s="283">
        <f t="shared" si="1123"/>
        <v>0</v>
      </c>
      <c r="CG1241" s="283">
        <f t="shared" si="1124"/>
        <v>0</v>
      </c>
      <c r="CH1241" s="283">
        <f t="shared" si="1125"/>
        <v>0</v>
      </c>
      <c r="CI1241" s="283">
        <f t="shared" si="1126"/>
        <v>0</v>
      </c>
      <c r="CJ1241" s="283">
        <f t="shared" si="1127"/>
        <v>0</v>
      </c>
      <c r="CK1241" s="283">
        <f t="shared" si="1128"/>
        <v>0</v>
      </c>
      <c r="CL1241" s="283">
        <f t="shared" si="1129"/>
        <v>0</v>
      </c>
      <c r="CM1241" s="283">
        <f t="shared" si="1130"/>
        <v>0</v>
      </c>
      <c r="CN1241" s="283">
        <f t="shared" si="1131"/>
        <v>0</v>
      </c>
      <c r="CO1241" s="283">
        <f t="shared" si="1132"/>
        <v>0</v>
      </c>
      <c r="CP1241" s="283">
        <f t="shared" si="1133"/>
        <v>0</v>
      </c>
      <c r="CQ1241" s="283">
        <f t="shared" si="1134"/>
        <v>0</v>
      </c>
      <c r="CR1241" s="283">
        <f t="shared" si="1135"/>
        <v>0</v>
      </c>
      <c r="CS1241" s="283">
        <f t="shared" si="1136"/>
        <v>0</v>
      </c>
      <c r="CT1241" s="283">
        <f t="shared" si="1137"/>
        <v>0</v>
      </c>
      <c r="CU1241" s="283">
        <f t="shared" si="1138"/>
        <v>0</v>
      </c>
      <c r="CV1241" s="283">
        <f t="shared" si="1139"/>
        <v>0</v>
      </c>
      <c r="CW1241" s="283">
        <f t="shared" si="1140"/>
        <v>0</v>
      </c>
      <c r="CX1241" s="283">
        <f t="shared" si="1141"/>
        <v>0</v>
      </c>
      <c r="CY1241" s="253">
        <f t="shared" si="1142"/>
        <v>0</v>
      </c>
      <c r="CZ1241" s="342">
        <f t="shared" si="1143"/>
        <v>0</v>
      </c>
    </row>
    <row r="1242" spans="1:104" ht="15" customHeight="1">
      <c r="A1242" s="50"/>
      <c r="B1242" s="90"/>
      <c r="C1242" s="143" t="s">
        <v>2521</v>
      </c>
      <c r="D1242" s="813" t="str">
        <f>IF(CNSIPEE_2024_M2_Secc1!D47="","",CNSIPEE_2024_M2_Secc1!D47)</f>
        <v/>
      </c>
      <c r="E1242" s="814"/>
      <c r="F1242" s="815"/>
      <c r="G1242" s="816"/>
      <c r="H1242" s="738"/>
      <c r="I1242" s="817"/>
      <c r="J1242" s="100"/>
      <c r="K1242" s="100"/>
      <c r="L1242" s="100"/>
      <c r="M1242" s="100"/>
      <c r="N1242" s="100"/>
      <c r="O1242" s="100"/>
      <c r="P1242" s="100"/>
      <c r="Q1242" s="100"/>
      <c r="R1242" s="100"/>
      <c r="S1242" s="100"/>
      <c r="T1242" s="100"/>
      <c r="U1242" s="100"/>
      <c r="V1242" s="100"/>
      <c r="W1242" s="100"/>
      <c r="X1242" s="100"/>
      <c r="Y1242" s="100"/>
      <c r="Z1242" s="100"/>
      <c r="AA1242" s="100"/>
      <c r="AB1242" s="100"/>
      <c r="AC1242" s="100"/>
      <c r="AD1242" s="100"/>
      <c r="AG1242" s="326">
        <f t="shared" si="1072"/>
        <v>0</v>
      </c>
      <c r="AH1242" s="283">
        <f t="shared" si="1073"/>
        <v>0</v>
      </c>
      <c r="AI1242" s="283">
        <f t="shared" si="1074"/>
        <v>0</v>
      </c>
      <c r="AJ1242" s="283">
        <f t="shared" si="1075"/>
        <v>0</v>
      </c>
      <c r="AK1242" s="283">
        <f t="shared" si="1076"/>
        <v>0</v>
      </c>
      <c r="AL1242" s="283">
        <f t="shared" si="1077"/>
        <v>0</v>
      </c>
      <c r="AM1242" s="283">
        <f t="shared" si="1078"/>
        <v>0</v>
      </c>
      <c r="AN1242" s="283">
        <f t="shared" si="1079"/>
        <v>0</v>
      </c>
      <c r="AO1242" s="283">
        <f t="shared" si="1080"/>
        <v>0</v>
      </c>
      <c r="AP1242" s="283">
        <f t="shared" si="1081"/>
        <v>0</v>
      </c>
      <c r="AQ1242" s="283">
        <f t="shared" si="1082"/>
        <v>0</v>
      </c>
      <c r="AR1242" s="283">
        <f t="shared" si="1083"/>
        <v>0</v>
      </c>
      <c r="AS1242" s="283">
        <f t="shared" si="1084"/>
        <v>0</v>
      </c>
      <c r="AT1242" s="283">
        <f t="shared" si="1085"/>
        <v>0</v>
      </c>
      <c r="AU1242" s="283">
        <f t="shared" si="1086"/>
        <v>0</v>
      </c>
      <c r="AV1242" s="283">
        <f t="shared" si="1087"/>
        <v>0</v>
      </c>
      <c r="AW1242" s="283">
        <f t="shared" si="1088"/>
        <v>0</v>
      </c>
      <c r="AX1242" s="283">
        <f t="shared" si="1089"/>
        <v>0</v>
      </c>
      <c r="AY1242" s="283">
        <f t="shared" si="1090"/>
        <v>0</v>
      </c>
      <c r="AZ1242" s="283">
        <f t="shared" si="1091"/>
        <v>0</v>
      </c>
      <c r="BA1242" s="283">
        <f t="shared" si="1092"/>
        <v>0</v>
      </c>
      <c r="BB1242" s="283">
        <f t="shared" si="1093"/>
        <v>0</v>
      </c>
      <c r="BC1242" s="283">
        <f t="shared" si="1094"/>
        <v>0</v>
      </c>
      <c r="BD1242" s="283">
        <f t="shared" si="1095"/>
        <v>0</v>
      </c>
      <c r="BE1242" s="283">
        <f t="shared" si="1096"/>
        <v>0</v>
      </c>
      <c r="BF1242" s="283">
        <f t="shared" si="1097"/>
        <v>0</v>
      </c>
      <c r="BG1242" s="283">
        <f t="shared" si="1098"/>
        <v>0</v>
      </c>
      <c r="BH1242" s="283">
        <f t="shared" si="1099"/>
        <v>0</v>
      </c>
      <c r="BI1242" s="283">
        <f t="shared" si="1100"/>
        <v>0</v>
      </c>
      <c r="BJ1242" s="283">
        <f t="shared" si="1101"/>
        <v>0</v>
      </c>
      <c r="BK1242" s="283">
        <f t="shared" si="1102"/>
        <v>0</v>
      </c>
      <c r="BL1242" s="283">
        <f t="shared" si="1103"/>
        <v>0</v>
      </c>
      <c r="BM1242" s="283">
        <f t="shared" si="1104"/>
        <v>0</v>
      </c>
      <c r="BN1242" s="283">
        <f t="shared" si="1105"/>
        <v>0</v>
      </c>
      <c r="BO1242" s="283">
        <f t="shared" si="1106"/>
        <v>0</v>
      </c>
      <c r="BP1242" s="283">
        <f t="shared" si="1107"/>
        <v>0</v>
      </c>
      <c r="BQ1242" s="283">
        <f t="shared" si="1108"/>
        <v>0</v>
      </c>
      <c r="BR1242" s="283">
        <f t="shared" si="1109"/>
        <v>0</v>
      </c>
      <c r="BS1242" s="283">
        <f t="shared" si="1110"/>
        <v>0</v>
      </c>
      <c r="BT1242" s="283">
        <f t="shared" si="1111"/>
        <v>0</v>
      </c>
      <c r="BU1242" s="283">
        <f t="shared" si="1112"/>
        <v>0</v>
      </c>
      <c r="BV1242" s="283">
        <f t="shared" si="1113"/>
        <v>0</v>
      </c>
      <c r="BW1242" s="283">
        <f t="shared" si="1114"/>
        <v>0</v>
      </c>
      <c r="BX1242" s="283">
        <f t="shared" si="1115"/>
        <v>0</v>
      </c>
      <c r="BY1242" s="283">
        <f t="shared" si="1116"/>
        <v>0</v>
      </c>
      <c r="BZ1242" s="283">
        <f t="shared" si="1117"/>
        <v>0</v>
      </c>
      <c r="CA1242" s="283">
        <f t="shared" si="1118"/>
        <v>0</v>
      </c>
      <c r="CB1242" s="283">
        <f t="shared" si="1119"/>
        <v>0</v>
      </c>
      <c r="CC1242" s="283">
        <f t="shared" si="1120"/>
        <v>0</v>
      </c>
      <c r="CD1242" s="283">
        <f t="shared" si="1121"/>
        <v>0</v>
      </c>
      <c r="CE1242" s="283">
        <f t="shared" si="1122"/>
        <v>0</v>
      </c>
      <c r="CF1242" s="283">
        <f t="shared" si="1123"/>
        <v>0</v>
      </c>
      <c r="CG1242" s="283">
        <f t="shared" si="1124"/>
        <v>0</v>
      </c>
      <c r="CH1242" s="283">
        <f t="shared" si="1125"/>
        <v>0</v>
      </c>
      <c r="CI1242" s="283">
        <f t="shared" si="1126"/>
        <v>0</v>
      </c>
      <c r="CJ1242" s="283">
        <f t="shared" si="1127"/>
        <v>0</v>
      </c>
      <c r="CK1242" s="283">
        <f t="shared" si="1128"/>
        <v>0</v>
      </c>
      <c r="CL1242" s="283">
        <f t="shared" si="1129"/>
        <v>0</v>
      </c>
      <c r="CM1242" s="283">
        <f t="shared" si="1130"/>
        <v>0</v>
      </c>
      <c r="CN1242" s="283">
        <f t="shared" si="1131"/>
        <v>0</v>
      </c>
      <c r="CO1242" s="283">
        <f t="shared" si="1132"/>
        <v>0</v>
      </c>
      <c r="CP1242" s="283">
        <f t="shared" si="1133"/>
        <v>0</v>
      </c>
      <c r="CQ1242" s="283">
        <f t="shared" si="1134"/>
        <v>0</v>
      </c>
      <c r="CR1242" s="283">
        <f t="shared" si="1135"/>
        <v>0</v>
      </c>
      <c r="CS1242" s="283">
        <f t="shared" si="1136"/>
        <v>0</v>
      </c>
      <c r="CT1242" s="283">
        <f t="shared" si="1137"/>
        <v>0</v>
      </c>
      <c r="CU1242" s="283">
        <f t="shared" si="1138"/>
        <v>0</v>
      </c>
      <c r="CV1242" s="283">
        <f t="shared" si="1139"/>
        <v>0</v>
      </c>
      <c r="CW1242" s="283">
        <f t="shared" si="1140"/>
        <v>0</v>
      </c>
      <c r="CX1242" s="283">
        <f t="shared" si="1141"/>
        <v>0</v>
      </c>
      <c r="CY1242" s="253">
        <f t="shared" si="1142"/>
        <v>0</v>
      </c>
      <c r="CZ1242" s="342">
        <f t="shared" si="1143"/>
        <v>0</v>
      </c>
    </row>
    <row r="1243" spans="1:104" ht="15" customHeight="1">
      <c r="A1243" s="50"/>
      <c r="B1243" s="90"/>
      <c r="C1243" s="143" t="s">
        <v>2522</v>
      </c>
      <c r="D1243" s="813" t="str">
        <f>IF(CNSIPEE_2024_M2_Secc1!D48="","",CNSIPEE_2024_M2_Secc1!D48)</f>
        <v/>
      </c>
      <c r="E1243" s="814"/>
      <c r="F1243" s="815"/>
      <c r="G1243" s="816"/>
      <c r="H1243" s="738"/>
      <c r="I1243" s="817"/>
      <c r="J1243" s="100"/>
      <c r="K1243" s="100"/>
      <c r="L1243" s="100"/>
      <c r="M1243" s="100"/>
      <c r="N1243" s="100"/>
      <c r="O1243" s="100"/>
      <c r="P1243" s="100"/>
      <c r="Q1243" s="100"/>
      <c r="R1243" s="100"/>
      <c r="S1243" s="100"/>
      <c r="T1243" s="100"/>
      <c r="U1243" s="100"/>
      <c r="V1243" s="100"/>
      <c r="W1243" s="100"/>
      <c r="X1243" s="100"/>
      <c r="Y1243" s="100"/>
      <c r="Z1243" s="100"/>
      <c r="AA1243" s="100"/>
      <c r="AB1243" s="100"/>
      <c r="AC1243" s="100"/>
      <c r="AD1243" s="100"/>
      <c r="AG1243" s="326">
        <f t="shared" si="1072"/>
        <v>0</v>
      </c>
      <c r="AH1243" s="283">
        <f t="shared" si="1073"/>
        <v>0</v>
      </c>
      <c r="AI1243" s="283">
        <f t="shared" si="1074"/>
        <v>0</v>
      </c>
      <c r="AJ1243" s="283">
        <f t="shared" si="1075"/>
        <v>0</v>
      </c>
      <c r="AK1243" s="283">
        <f t="shared" si="1076"/>
        <v>0</v>
      </c>
      <c r="AL1243" s="283">
        <f t="shared" si="1077"/>
        <v>0</v>
      </c>
      <c r="AM1243" s="283">
        <f t="shared" si="1078"/>
        <v>0</v>
      </c>
      <c r="AN1243" s="283">
        <f t="shared" si="1079"/>
        <v>0</v>
      </c>
      <c r="AO1243" s="283">
        <f t="shared" si="1080"/>
        <v>0</v>
      </c>
      <c r="AP1243" s="283">
        <f t="shared" si="1081"/>
        <v>0</v>
      </c>
      <c r="AQ1243" s="283">
        <f t="shared" si="1082"/>
        <v>0</v>
      </c>
      <c r="AR1243" s="283">
        <f t="shared" si="1083"/>
        <v>0</v>
      </c>
      <c r="AS1243" s="283">
        <f t="shared" si="1084"/>
        <v>0</v>
      </c>
      <c r="AT1243" s="283">
        <f t="shared" si="1085"/>
        <v>0</v>
      </c>
      <c r="AU1243" s="283">
        <f t="shared" si="1086"/>
        <v>0</v>
      </c>
      <c r="AV1243" s="283">
        <f t="shared" si="1087"/>
        <v>0</v>
      </c>
      <c r="AW1243" s="283">
        <f t="shared" si="1088"/>
        <v>0</v>
      </c>
      <c r="AX1243" s="283">
        <f t="shared" si="1089"/>
        <v>0</v>
      </c>
      <c r="AY1243" s="283">
        <f t="shared" si="1090"/>
        <v>0</v>
      </c>
      <c r="AZ1243" s="283">
        <f t="shared" si="1091"/>
        <v>0</v>
      </c>
      <c r="BA1243" s="283">
        <f t="shared" si="1092"/>
        <v>0</v>
      </c>
      <c r="BB1243" s="283">
        <f t="shared" si="1093"/>
        <v>0</v>
      </c>
      <c r="BC1243" s="283">
        <f t="shared" si="1094"/>
        <v>0</v>
      </c>
      <c r="BD1243" s="283">
        <f t="shared" si="1095"/>
        <v>0</v>
      </c>
      <c r="BE1243" s="283">
        <f t="shared" si="1096"/>
        <v>0</v>
      </c>
      <c r="BF1243" s="283">
        <f t="shared" si="1097"/>
        <v>0</v>
      </c>
      <c r="BG1243" s="283">
        <f t="shared" si="1098"/>
        <v>0</v>
      </c>
      <c r="BH1243" s="283">
        <f t="shared" si="1099"/>
        <v>0</v>
      </c>
      <c r="BI1243" s="283">
        <f t="shared" si="1100"/>
        <v>0</v>
      </c>
      <c r="BJ1243" s="283">
        <f t="shared" si="1101"/>
        <v>0</v>
      </c>
      <c r="BK1243" s="283">
        <f t="shared" si="1102"/>
        <v>0</v>
      </c>
      <c r="BL1243" s="283">
        <f t="shared" si="1103"/>
        <v>0</v>
      </c>
      <c r="BM1243" s="283">
        <f t="shared" si="1104"/>
        <v>0</v>
      </c>
      <c r="BN1243" s="283">
        <f t="shared" si="1105"/>
        <v>0</v>
      </c>
      <c r="BO1243" s="283">
        <f t="shared" si="1106"/>
        <v>0</v>
      </c>
      <c r="BP1243" s="283">
        <f t="shared" si="1107"/>
        <v>0</v>
      </c>
      <c r="BQ1243" s="283">
        <f t="shared" si="1108"/>
        <v>0</v>
      </c>
      <c r="BR1243" s="283">
        <f t="shared" si="1109"/>
        <v>0</v>
      </c>
      <c r="BS1243" s="283">
        <f t="shared" si="1110"/>
        <v>0</v>
      </c>
      <c r="BT1243" s="283">
        <f t="shared" si="1111"/>
        <v>0</v>
      </c>
      <c r="BU1243" s="283">
        <f t="shared" si="1112"/>
        <v>0</v>
      </c>
      <c r="BV1243" s="283">
        <f t="shared" si="1113"/>
        <v>0</v>
      </c>
      <c r="BW1243" s="283">
        <f t="shared" si="1114"/>
        <v>0</v>
      </c>
      <c r="BX1243" s="283">
        <f t="shared" si="1115"/>
        <v>0</v>
      </c>
      <c r="BY1243" s="283">
        <f t="shared" si="1116"/>
        <v>0</v>
      </c>
      <c r="BZ1243" s="283">
        <f t="shared" si="1117"/>
        <v>0</v>
      </c>
      <c r="CA1243" s="283">
        <f t="shared" si="1118"/>
        <v>0</v>
      </c>
      <c r="CB1243" s="283">
        <f t="shared" si="1119"/>
        <v>0</v>
      </c>
      <c r="CC1243" s="283">
        <f t="shared" si="1120"/>
        <v>0</v>
      </c>
      <c r="CD1243" s="283">
        <f t="shared" si="1121"/>
        <v>0</v>
      </c>
      <c r="CE1243" s="283">
        <f t="shared" si="1122"/>
        <v>0</v>
      </c>
      <c r="CF1243" s="283">
        <f t="shared" si="1123"/>
        <v>0</v>
      </c>
      <c r="CG1243" s="283">
        <f t="shared" si="1124"/>
        <v>0</v>
      </c>
      <c r="CH1243" s="283">
        <f t="shared" si="1125"/>
        <v>0</v>
      </c>
      <c r="CI1243" s="283">
        <f t="shared" si="1126"/>
        <v>0</v>
      </c>
      <c r="CJ1243" s="283">
        <f t="shared" si="1127"/>
        <v>0</v>
      </c>
      <c r="CK1243" s="283">
        <f t="shared" si="1128"/>
        <v>0</v>
      </c>
      <c r="CL1243" s="283">
        <f t="shared" si="1129"/>
        <v>0</v>
      </c>
      <c r="CM1243" s="283">
        <f t="shared" si="1130"/>
        <v>0</v>
      </c>
      <c r="CN1243" s="283">
        <f t="shared" si="1131"/>
        <v>0</v>
      </c>
      <c r="CO1243" s="283">
        <f t="shared" si="1132"/>
        <v>0</v>
      </c>
      <c r="CP1243" s="283">
        <f t="shared" si="1133"/>
        <v>0</v>
      </c>
      <c r="CQ1243" s="283">
        <f t="shared" si="1134"/>
        <v>0</v>
      </c>
      <c r="CR1243" s="283">
        <f t="shared" si="1135"/>
        <v>0</v>
      </c>
      <c r="CS1243" s="283">
        <f t="shared" si="1136"/>
        <v>0</v>
      </c>
      <c r="CT1243" s="283">
        <f t="shared" si="1137"/>
        <v>0</v>
      </c>
      <c r="CU1243" s="283">
        <f t="shared" si="1138"/>
        <v>0</v>
      </c>
      <c r="CV1243" s="283">
        <f t="shared" si="1139"/>
        <v>0</v>
      </c>
      <c r="CW1243" s="283">
        <f t="shared" si="1140"/>
        <v>0</v>
      </c>
      <c r="CX1243" s="283">
        <f t="shared" si="1141"/>
        <v>0</v>
      </c>
      <c r="CY1243" s="253">
        <f t="shared" si="1142"/>
        <v>0</v>
      </c>
      <c r="CZ1243" s="342">
        <f t="shared" si="1143"/>
        <v>0</v>
      </c>
    </row>
    <row r="1244" spans="1:104" ht="15" customHeight="1">
      <c r="A1244" s="50"/>
      <c r="B1244" s="90"/>
      <c r="C1244" s="143" t="s">
        <v>2523</v>
      </c>
      <c r="D1244" s="813" t="str">
        <f>IF(CNSIPEE_2024_M2_Secc1!D49="","",CNSIPEE_2024_M2_Secc1!D49)</f>
        <v/>
      </c>
      <c r="E1244" s="814"/>
      <c r="F1244" s="815"/>
      <c r="G1244" s="816"/>
      <c r="H1244" s="738"/>
      <c r="I1244" s="817"/>
      <c r="J1244" s="100"/>
      <c r="K1244" s="100"/>
      <c r="L1244" s="100"/>
      <c r="M1244" s="100"/>
      <c r="N1244" s="100"/>
      <c r="O1244" s="100"/>
      <c r="P1244" s="100"/>
      <c r="Q1244" s="100"/>
      <c r="R1244" s="100"/>
      <c r="S1244" s="100"/>
      <c r="T1244" s="100"/>
      <c r="U1244" s="100"/>
      <c r="V1244" s="100"/>
      <c r="W1244" s="100"/>
      <c r="X1244" s="100"/>
      <c r="Y1244" s="100"/>
      <c r="Z1244" s="100"/>
      <c r="AA1244" s="100"/>
      <c r="AB1244" s="100"/>
      <c r="AC1244" s="100"/>
      <c r="AD1244" s="100"/>
      <c r="AG1244" s="326">
        <f t="shared" si="1072"/>
        <v>0</v>
      </c>
      <c r="AH1244" s="283">
        <f t="shared" si="1073"/>
        <v>0</v>
      </c>
      <c r="AI1244" s="283">
        <f t="shared" si="1074"/>
        <v>0</v>
      </c>
      <c r="AJ1244" s="283">
        <f t="shared" si="1075"/>
        <v>0</v>
      </c>
      <c r="AK1244" s="283">
        <f t="shared" si="1076"/>
        <v>0</v>
      </c>
      <c r="AL1244" s="283">
        <f t="shared" si="1077"/>
        <v>0</v>
      </c>
      <c r="AM1244" s="283">
        <f t="shared" si="1078"/>
        <v>0</v>
      </c>
      <c r="AN1244" s="283">
        <f t="shared" si="1079"/>
        <v>0</v>
      </c>
      <c r="AO1244" s="283">
        <f t="shared" si="1080"/>
        <v>0</v>
      </c>
      <c r="AP1244" s="283">
        <f t="shared" si="1081"/>
        <v>0</v>
      </c>
      <c r="AQ1244" s="283">
        <f t="shared" si="1082"/>
        <v>0</v>
      </c>
      <c r="AR1244" s="283">
        <f t="shared" si="1083"/>
        <v>0</v>
      </c>
      <c r="AS1244" s="283">
        <f t="shared" si="1084"/>
        <v>0</v>
      </c>
      <c r="AT1244" s="283">
        <f t="shared" si="1085"/>
        <v>0</v>
      </c>
      <c r="AU1244" s="283">
        <f t="shared" si="1086"/>
        <v>0</v>
      </c>
      <c r="AV1244" s="283">
        <f t="shared" si="1087"/>
        <v>0</v>
      </c>
      <c r="AW1244" s="283">
        <f t="shared" si="1088"/>
        <v>0</v>
      </c>
      <c r="AX1244" s="283">
        <f t="shared" si="1089"/>
        <v>0</v>
      </c>
      <c r="AY1244" s="283">
        <f t="shared" si="1090"/>
        <v>0</v>
      </c>
      <c r="AZ1244" s="283">
        <f t="shared" si="1091"/>
        <v>0</v>
      </c>
      <c r="BA1244" s="283">
        <f t="shared" si="1092"/>
        <v>0</v>
      </c>
      <c r="BB1244" s="283">
        <f t="shared" si="1093"/>
        <v>0</v>
      </c>
      <c r="BC1244" s="283">
        <f t="shared" si="1094"/>
        <v>0</v>
      </c>
      <c r="BD1244" s="283">
        <f t="shared" si="1095"/>
        <v>0</v>
      </c>
      <c r="BE1244" s="283">
        <f t="shared" si="1096"/>
        <v>0</v>
      </c>
      <c r="BF1244" s="283">
        <f t="shared" si="1097"/>
        <v>0</v>
      </c>
      <c r="BG1244" s="283">
        <f t="shared" si="1098"/>
        <v>0</v>
      </c>
      <c r="BH1244" s="283">
        <f t="shared" si="1099"/>
        <v>0</v>
      </c>
      <c r="BI1244" s="283">
        <f t="shared" si="1100"/>
        <v>0</v>
      </c>
      <c r="BJ1244" s="283">
        <f t="shared" si="1101"/>
        <v>0</v>
      </c>
      <c r="BK1244" s="283">
        <f t="shared" si="1102"/>
        <v>0</v>
      </c>
      <c r="BL1244" s="283">
        <f t="shared" si="1103"/>
        <v>0</v>
      </c>
      <c r="BM1244" s="283">
        <f t="shared" si="1104"/>
        <v>0</v>
      </c>
      <c r="BN1244" s="283">
        <f t="shared" si="1105"/>
        <v>0</v>
      </c>
      <c r="BO1244" s="283">
        <f t="shared" si="1106"/>
        <v>0</v>
      </c>
      <c r="BP1244" s="283">
        <f t="shared" si="1107"/>
        <v>0</v>
      </c>
      <c r="BQ1244" s="283">
        <f t="shared" si="1108"/>
        <v>0</v>
      </c>
      <c r="BR1244" s="283">
        <f t="shared" si="1109"/>
        <v>0</v>
      </c>
      <c r="BS1244" s="283">
        <f t="shared" si="1110"/>
        <v>0</v>
      </c>
      <c r="BT1244" s="283">
        <f t="shared" si="1111"/>
        <v>0</v>
      </c>
      <c r="BU1244" s="283">
        <f t="shared" si="1112"/>
        <v>0</v>
      </c>
      <c r="BV1244" s="283">
        <f t="shared" si="1113"/>
        <v>0</v>
      </c>
      <c r="BW1244" s="283">
        <f t="shared" si="1114"/>
        <v>0</v>
      </c>
      <c r="BX1244" s="283">
        <f t="shared" si="1115"/>
        <v>0</v>
      </c>
      <c r="BY1244" s="283">
        <f t="shared" si="1116"/>
        <v>0</v>
      </c>
      <c r="BZ1244" s="283">
        <f t="shared" si="1117"/>
        <v>0</v>
      </c>
      <c r="CA1244" s="283">
        <f t="shared" si="1118"/>
        <v>0</v>
      </c>
      <c r="CB1244" s="283">
        <f t="shared" si="1119"/>
        <v>0</v>
      </c>
      <c r="CC1244" s="283">
        <f t="shared" si="1120"/>
        <v>0</v>
      </c>
      <c r="CD1244" s="283">
        <f t="shared" si="1121"/>
        <v>0</v>
      </c>
      <c r="CE1244" s="283">
        <f t="shared" si="1122"/>
        <v>0</v>
      </c>
      <c r="CF1244" s="283">
        <f t="shared" si="1123"/>
        <v>0</v>
      </c>
      <c r="CG1244" s="283">
        <f t="shared" si="1124"/>
        <v>0</v>
      </c>
      <c r="CH1244" s="283">
        <f t="shared" si="1125"/>
        <v>0</v>
      </c>
      <c r="CI1244" s="283">
        <f t="shared" si="1126"/>
        <v>0</v>
      </c>
      <c r="CJ1244" s="283">
        <f t="shared" si="1127"/>
        <v>0</v>
      </c>
      <c r="CK1244" s="283">
        <f t="shared" si="1128"/>
        <v>0</v>
      </c>
      <c r="CL1244" s="283">
        <f t="shared" si="1129"/>
        <v>0</v>
      </c>
      <c r="CM1244" s="283">
        <f t="shared" si="1130"/>
        <v>0</v>
      </c>
      <c r="CN1244" s="283">
        <f t="shared" si="1131"/>
        <v>0</v>
      </c>
      <c r="CO1244" s="283">
        <f t="shared" si="1132"/>
        <v>0</v>
      </c>
      <c r="CP1244" s="283">
        <f t="shared" si="1133"/>
        <v>0</v>
      </c>
      <c r="CQ1244" s="283">
        <f t="shared" si="1134"/>
        <v>0</v>
      </c>
      <c r="CR1244" s="283">
        <f t="shared" si="1135"/>
        <v>0</v>
      </c>
      <c r="CS1244" s="283">
        <f t="shared" si="1136"/>
        <v>0</v>
      </c>
      <c r="CT1244" s="283">
        <f t="shared" si="1137"/>
        <v>0</v>
      </c>
      <c r="CU1244" s="283">
        <f t="shared" si="1138"/>
        <v>0</v>
      </c>
      <c r="CV1244" s="283">
        <f t="shared" si="1139"/>
        <v>0</v>
      </c>
      <c r="CW1244" s="283">
        <f t="shared" si="1140"/>
        <v>0</v>
      </c>
      <c r="CX1244" s="283">
        <f t="shared" si="1141"/>
        <v>0</v>
      </c>
      <c r="CY1244" s="253">
        <f t="shared" si="1142"/>
        <v>0</v>
      </c>
      <c r="CZ1244" s="342">
        <f t="shared" si="1143"/>
        <v>0</v>
      </c>
    </row>
    <row r="1245" spans="1:104" ht="15" customHeight="1">
      <c r="A1245" s="50"/>
      <c r="B1245" s="90"/>
      <c r="C1245" s="90"/>
      <c r="D1245" s="90"/>
      <c r="E1245" s="90"/>
      <c r="F1245" s="90"/>
      <c r="G1245" s="90"/>
      <c r="H1245" s="90"/>
      <c r="I1245" s="99" t="s">
        <v>2649</v>
      </c>
      <c r="J1245" s="124">
        <f>IF(AND(SUM(J1237:J1244)=0,COUNTIF(J1237:J1244,"NS")&gt;0),"NS",
IF(AND(SUM(J1237:J1244)=0,COUNTIF(J1237:J1244,0)&gt;0),0,
IF(AND(SUM(J1237:J1244)=0,COUNTIF(J1237:J1244,"NA")&gt;0),"NA",
SUM(J1237:J1244))))</f>
        <v>0</v>
      </c>
      <c r="K1245" s="124">
        <f t="shared" ref="K1245:AD1245" si="1144">IF(AND(SUM(K1237:K1244)=0,COUNTIF(K1237:K1244,"NS")&gt;0),"NS",
IF(AND(SUM(K1237:K1244)=0,COUNTIF(K1237:K1244,0)&gt;0),0,
IF(AND(SUM(K1237:K1244)=0,COUNTIF(K1237:K1244,"NA")&gt;0),"NA",
SUM(K1237:K1244))))</f>
        <v>0</v>
      </c>
      <c r="L1245" s="124">
        <f t="shared" si="1144"/>
        <v>0</v>
      </c>
      <c r="M1245" s="124">
        <f t="shared" si="1144"/>
        <v>0</v>
      </c>
      <c r="N1245" s="124">
        <f t="shared" si="1144"/>
        <v>0</v>
      </c>
      <c r="O1245" s="124">
        <f t="shared" si="1144"/>
        <v>0</v>
      </c>
      <c r="P1245" s="124">
        <f t="shared" si="1144"/>
        <v>0</v>
      </c>
      <c r="Q1245" s="124">
        <f t="shared" si="1144"/>
        <v>0</v>
      </c>
      <c r="R1245" s="124">
        <f t="shared" si="1144"/>
        <v>0</v>
      </c>
      <c r="S1245" s="124">
        <f t="shared" si="1144"/>
        <v>0</v>
      </c>
      <c r="T1245" s="124">
        <f t="shared" si="1144"/>
        <v>0</v>
      </c>
      <c r="U1245" s="124">
        <f t="shared" si="1144"/>
        <v>0</v>
      </c>
      <c r="V1245" s="124">
        <f t="shared" si="1144"/>
        <v>0</v>
      </c>
      <c r="W1245" s="124">
        <f t="shared" si="1144"/>
        <v>0</v>
      </c>
      <c r="X1245" s="124">
        <f t="shared" si="1144"/>
        <v>0</v>
      </c>
      <c r="Y1245" s="124">
        <f t="shared" si="1144"/>
        <v>0</v>
      </c>
      <c r="Z1245" s="124">
        <f t="shared" si="1144"/>
        <v>0</v>
      </c>
      <c r="AA1245" s="124">
        <f t="shared" si="1144"/>
        <v>0</v>
      </c>
      <c r="AB1245" s="124">
        <f t="shared" si="1144"/>
        <v>0</v>
      </c>
      <c r="AC1245" s="124">
        <f t="shared" si="1144"/>
        <v>0</v>
      </c>
      <c r="AD1245" s="124">
        <f t="shared" si="1144"/>
        <v>0</v>
      </c>
      <c r="AG1245" s="354">
        <f>SUM(AG1237:AG1244)</f>
        <v>0</v>
      </c>
      <c r="AH1245" s="406">
        <f>SUM(AH1237:AH1244)</f>
        <v>0</v>
      </c>
      <c r="AI1245" s="326"/>
      <c r="AJ1245" s="352">
        <f>SUM(AJ1237:AJ1244)</f>
        <v>0</v>
      </c>
      <c r="AK1245" s="406">
        <f t="shared" ref="AK1245" si="1145">SUM(AK1237:AK1244)</f>
        <v>0</v>
      </c>
      <c r="AL1245" s="326"/>
      <c r="AM1245" s="352">
        <f t="shared" ref="AM1245:AN1245" si="1146">SUM(AM1237:AM1244)</f>
        <v>0</v>
      </c>
      <c r="AN1245" s="406">
        <f t="shared" si="1146"/>
        <v>0</v>
      </c>
      <c r="AO1245" s="326"/>
      <c r="AP1245" s="352">
        <f t="shared" ref="AP1245:AQ1245" si="1147">SUM(AP1237:AP1244)</f>
        <v>0</v>
      </c>
      <c r="AQ1245" s="406">
        <f t="shared" si="1147"/>
        <v>0</v>
      </c>
      <c r="AR1245" s="326"/>
      <c r="AS1245" s="352">
        <f t="shared" ref="AS1245:AT1245" si="1148">SUM(AS1237:AS1244)</f>
        <v>0</v>
      </c>
      <c r="AT1245" s="406">
        <f t="shared" si="1148"/>
        <v>0</v>
      </c>
      <c r="AU1245" s="326"/>
      <c r="AV1245" s="352">
        <f t="shared" ref="AV1245:AW1245" si="1149">SUM(AV1237:AV1244)</f>
        <v>0</v>
      </c>
      <c r="AW1245" s="406">
        <f t="shared" si="1149"/>
        <v>0</v>
      </c>
      <c r="AX1245" s="326"/>
      <c r="AY1245" s="352">
        <f t="shared" ref="AY1245:AZ1245" si="1150">SUM(AY1237:AY1244)</f>
        <v>0</v>
      </c>
      <c r="AZ1245" s="406">
        <f t="shared" si="1150"/>
        <v>0</v>
      </c>
      <c r="BA1245" s="326"/>
      <c r="BB1245" s="352">
        <f t="shared" ref="BB1245:BC1245" si="1151">SUM(BB1237:BB1244)</f>
        <v>0</v>
      </c>
      <c r="BC1245" s="406">
        <f t="shared" si="1151"/>
        <v>0</v>
      </c>
      <c r="BD1245" s="326"/>
      <c r="BE1245" s="352">
        <f t="shared" ref="BE1245:BF1245" si="1152">SUM(BE1237:BE1244)</f>
        <v>0</v>
      </c>
      <c r="BF1245" s="406">
        <f t="shared" si="1152"/>
        <v>0</v>
      </c>
      <c r="BG1245" s="326"/>
      <c r="BH1245" s="352">
        <f t="shared" ref="BH1245:BI1245" si="1153">SUM(BH1237:BH1244)</f>
        <v>0</v>
      </c>
      <c r="BI1245" s="406">
        <f t="shared" si="1153"/>
        <v>0</v>
      </c>
      <c r="BJ1245" s="326"/>
      <c r="BK1245" s="352">
        <f t="shared" ref="BK1245:BL1245" si="1154">SUM(BK1237:BK1244)</f>
        <v>0</v>
      </c>
      <c r="BL1245" s="406">
        <f t="shared" si="1154"/>
        <v>0</v>
      </c>
      <c r="BM1245" s="326"/>
      <c r="BN1245" s="352">
        <f t="shared" ref="BN1245:BO1245" si="1155">SUM(BN1237:BN1244)</f>
        <v>0</v>
      </c>
      <c r="BO1245" s="406">
        <f t="shared" si="1155"/>
        <v>0</v>
      </c>
      <c r="BP1245" s="326"/>
      <c r="BQ1245" s="352">
        <f t="shared" ref="BQ1245:BR1245" si="1156">SUM(BQ1237:BQ1244)</f>
        <v>0</v>
      </c>
      <c r="BR1245" s="406">
        <f t="shared" si="1156"/>
        <v>0</v>
      </c>
      <c r="BS1245" s="326"/>
      <c r="BT1245" s="352">
        <f t="shared" ref="BT1245:BU1245" si="1157">SUM(BT1237:BT1244)</f>
        <v>0</v>
      </c>
      <c r="BU1245" s="406">
        <f t="shared" si="1157"/>
        <v>0</v>
      </c>
      <c r="BV1245" s="326"/>
      <c r="BW1245" s="352">
        <f t="shared" ref="BW1245:BX1245" si="1158">SUM(BW1237:BW1244)</f>
        <v>0</v>
      </c>
      <c r="BX1245" s="406">
        <f t="shared" si="1158"/>
        <v>0</v>
      </c>
      <c r="BY1245" s="326"/>
      <c r="BZ1245" s="352">
        <f t="shared" ref="BZ1245:CA1245" si="1159">SUM(BZ1237:BZ1244)</f>
        <v>0</v>
      </c>
      <c r="CA1245" s="406">
        <f t="shared" si="1159"/>
        <v>0</v>
      </c>
      <c r="CB1245" s="326"/>
      <c r="CC1245" s="352">
        <f t="shared" ref="CC1245:CD1245" si="1160">SUM(CC1237:CC1244)</f>
        <v>0</v>
      </c>
      <c r="CD1245" s="406">
        <f t="shared" si="1160"/>
        <v>0</v>
      </c>
      <c r="CE1245" s="326"/>
      <c r="CF1245" s="352">
        <f t="shared" ref="CF1245:CG1245" si="1161">SUM(CF1237:CF1244)</f>
        <v>0</v>
      </c>
      <c r="CG1245" s="406">
        <f t="shared" si="1161"/>
        <v>0</v>
      </c>
      <c r="CH1245" s="326"/>
      <c r="CI1245" s="352">
        <f t="shared" ref="CI1245:CJ1245" si="1162">SUM(CI1237:CI1244)</f>
        <v>0</v>
      </c>
      <c r="CJ1245" s="406">
        <f t="shared" si="1162"/>
        <v>0</v>
      </c>
      <c r="CK1245" s="326"/>
      <c r="CL1245" s="352">
        <f t="shared" ref="CL1245:CM1245" si="1163">SUM(CL1237:CL1244)</f>
        <v>0</v>
      </c>
      <c r="CM1245" s="406">
        <f t="shared" si="1163"/>
        <v>0</v>
      </c>
      <c r="CN1245" s="326"/>
      <c r="CO1245" s="352">
        <f t="shared" ref="CO1245:CP1245" si="1164">SUM(CO1237:CO1244)</f>
        <v>0</v>
      </c>
      <c r="CP1245" s="406">
        <f t="shared" si="1164"/>
        <v>0</v>
      </c>
      <c r="CQ1245" s="326"/>
      <c r="CR1245" s="352">
        <f t="shared" ref="CR1245:CS1245" si="1165">SUM(CR1237:CR1244)</f>
        <v>0</v>
      </c>
      <c r="CS1245" s="406">
        <f t="shared" si="1165"/>
        <v>0</v>
      </c>
      <c r="CT1245" s="326"/>
      <c r="CU1245" s="352">
        <f t="shared" ref="CU1245:CV1245" si="1166">SUM(CU1237:CU1244)</f>
        <v>0</v>
      </c>
      <c r="CV1245" s="406">
        <f t="shared" si="1166"/>
        <v>0</v>
      </c>
      <c r="CW1245" s="326"/>
      <c r="CX1245" s="352">
        <f t="shared" ref="CX1245" si="1167">SUM(CX1237:CX1244)</f>
        <v>0</v>
      </c>
      <c r="CY1245" s="469">
        <f>SUM(CY1237:CY1244)</f>
        <v>0</v>
      </c>
      <c r="CZ1245" s="465">
        <f>SUM(CZ1237:CZ1244)</f>
        <v>0</v>
      </c>
    </row>
    <row r="1246" spans="1:104" ht="15" customHeight="1">
      <c r="A1246" s="91"/>
    </row>
    <row r="1247" spans="1:104" ht="15">
      <c r="A1247" s="115"/>
      <c r="AA1247" s="875" t="s">
        <v>3233</v>
      </c>
      <c r="AB1247" s="875"/>
      <c r="AC1247" s="875"/>
      <c r="AD1247" s="875"/>
      <c r="AJ1247" s="356" t="s">
        <v>2650</v>
      </c>
      <c r="AK1247" s="283">
        <f>SUM(AJ1245,AM1245,AP1245,AS1245,AV1245,AY1245,BB1245,BE1245,BH1245,BK1245,BN1245,BQ1245,BT1245,BW1245,BZ1245,CC1245,CF1245,CI1245,CL1245,CO1245,CR1245,CU1245,CX1245)</f>
        <v>0</v>
      </c>
      <c r="AL1247" s="355" t="s">
        <v>2651</v>
      </c>
      <c r="AM1247" s="283">
        <f>SUM(AH1245,AK1245,AN1245,AQ1245,AT1245,AW1245,AZ1245,BC1245,BF1245,BI1245,BL1245,BO1245,BR1245,BU1245,BX1245,CA1245,CD1245,CG1245,CJ1245,CM1245,CP1245,CS1245,CV1245)</f>
        <v>0</v>
      </c>
      <c r="AN1247" s="283"/>
      <c r="AO1247" s="283"/>
    </row>
    <row r="1248" spans="1:104" ht="24" customHeight="1">
      <c r="A1248" s="142"/>
      <c r="B1248" s="113"/>
      <c r="C1248" s="797" t="s">
        <v>2581</v>
      </c>
      <c r="D1248" s="798"/>
      <c r="E1248" s="798"/>
      <c r="F1248" s="799"/>
      <c r="G1248" s="740" t="s">
        <v>3806</v>
      </c>
      <c r="H1248" s="740"/>
      <c r="I1248" s="740"/>
      <c r="J1248" s="740"/>
      <c r="K1248" s="740"/>
      <c r="L1248" s="740"/>
      <c r="M1248" s="740"/>
      <c r="N1248" s="740"/>
      <c r="O1248" s="740"/>
      <c r="P1248" s="740"/>
      <c r="Q1248" s="740"/>
      <c r="R1248" s="740"/>
      <c r="S1248" s="740"/>
      <c r="T1248" s="740"/>
      <c r="U1248" s="740"/>
      <c r="V1248" s="740"/>
      <c r="W1248" s="740"/>
      <c r="X1248" s="740"/>
      <c r="Y1248" s="740"/>
      <c r="Z1248" s="740"/>
      <c r="AA1248" s="740"/>
      <c r="AB1248" s="740"/>
      <c r="AC1248" s="740"/>
      <c r="AD1248" s="741"/>
      <c r="AJ1248" s="356" t="s">
        <v>2652</v>
      </c>
      <c r="AK1248" s="438">
        <f>IF(AM1247&gt;0,IF(SUM(J1245)&gt;=SUM(M1245,P1245,S1245,V1245,Y1245,AB1245,G1261,J1261,M1261,P1261,S1261,V1261,Y1261,AB1261,G1277,J1277,M1277,P1277,S1277,V1277,Y1277,AB1277),0,1),IF(SUM(J1245)&lt;&gt;SUM(M1245,P1245,S1245,V1245,Y1245,AB1245,G1261,J1261,M1261,P1261,S1261,V1261,Y1261,AB1261,G1277,J1277,M1277,P1277,S1277,V1277,Y1277,AB1277),1,0))</f>
        <v>0</v>
      </c>
      <c r="AL1248" s="357" t="s">
        <v>2653</v>
      </c>
      <c r="AM1248" s="438">
        <f>IF(AM1247&gt;0,IF(SUM(K1245)&gt;=SUM(N1245,Q1245,T1245,W1245,Z1245,AC1245,H1261,K1261,N1261,Q1261,T1261,W1261,Z1261,AC1261,H1277,K1277,N1277,Q1277,T1277,W1277,Z1277,AC1277),0,1),IF(SUM(K1245)&lt;&gt;SUM(N1245,Q1245,T1245,W1245,Z1245,AC1245,H1261,K1261,N1261,Q1261,T1261,W1261,Z1261,AC1261,H1277,K1277,N1277,Q1277,T1277,W1277,Z1277,AC1277),1,0))</f>
        <v>0</v>
      </c>
      <c r="AN1248" s="357" t="s">
        <v>2654</v>
      </c>
      <c r="AO1248" s="438">
        <f>IF(AM1247&gt;0,IF(SUM(L1245)&gt;=SUM(O1245,R1245,U1245,X1245,AA1245,AD1245,I1261,L1261,O1261,R1261,U1261,X1261,AA1261,AD1261,I1277,L1277,O1277,R1277,U1277,X1277,AA1277,AD1277),0,1),IF(SUM(L1245)&lt;&gt;SUM(O1245,R1245,U1245,X1245,AA1245,AD1245,I1261,L1261,O1261,R1261,U1261,X1261,AA1261,AD1261,I1277,L1277,O1277,R1277,U1277,X1277,AA1277,AD1277),1,0))</f>
        <v>0</v>
      </c>
    </row>
    <row r="1249" spans="1:30" ht="15" customHeight="1">
      <c r="A1249" s="142"/>
      <c r="B1249" s="113"/>
      <c r="C1249" s="800"/>
      <c r="D1249" s="801"/>
      <c r="E1249" s="801"/>
      <c r="F1249" s="802"/>
      <c r="G1249" s="733" t="s">
        <v>3268</v>
      </c>
      <c r="H1249" s="734"/>
      <c r="I1249" s="734"/>
      <c r="J1249" s="734"/>
      <c r="K1249" s="734"/>
      <c r="L1249" s="734"/>
      <c r="M1249" s="734"/>
      <c r="N1249" s="734"/>
      <c r="O1249" s="734"/>
      <c r="P1249" s="734"/>
      <c r="Q1249" s="734"/>
      <c r="R1249" s="734"/>
      <c r="S1249" s="734"/>
      <c r="T1249" s="734"/>
      <c r="U1249" s="734"/>
      <c r="V1249" s="734"/>
      <c r="W1249" s="734"/>
      <c r="X1249" s="734"/>
      <c r="Y1249" s="734"/>
      <c r="Z1249" s="734"/>
      <c r="AA1249" s="734"/>
      <c r="AB1249" s="734"/>
      <c r="AC1249" s="734"/>
      <c r="AD1249" s="735"/>
    </row>
    <row r="1250" spans="1:30" ht="15" customHeight="1">
      <c r="A1250" s="142"/>
      <c r="B1250" s="113"/>
      <c r="C1250" s="800"/>
      <c r="D1250" s="801"/>
      <c r="E1250" s="801"/>
      <c r="F1250" s="802"/>
      <c r="G1250" s="733" t="s">
        <v>3269</v>
      </c>
      <c r="H1250" s="734"/>
      <c r="I1250" s="734"/>
      <c r="J1250" s="734"/>
      <c r="K1250" s="734"/>
      <c r="L1250" s="734"/>
      <c r="M1250" s="734"/>
      <c r="N1250" s="734"/>
      <c r="O1250" s="734"/>
      <c r="P1250" s="734"/>
      <c r="Q1250" s="734"/>
      <c r="R1250" s="735"/>
      <c r="S1250" s="841" t="s">
        <v>3290</v>
      </c>
      <c r="T1250" s="950"/>
      <c r="U1250" s="842"/>
      <c r="V1250" s="841" t="s">
        <v>3291</v>
      </c>
      <c r="W1250" s="950"/>
      <c r="X1250" s="842"/>
      <c r="Y1250" s="841" t="s">
        <v>3292</v>
      </c>
      <c r="Z1250" s="950"/>
      <c r="AA1250" s="842"/>
      <c r="AB1250" s="841" t="s">
        <v>3293</v>
      </c>
      <c r="AC1250" s="950"/>
      <c r="AD1250" s="842"/>
    </row>
    <row r="1251" spans="1:30" ht="84" customHeight="1">
      <c r="A1251" s="142"/>
      <c r="C1251" s="800"/>
      <c r="D1251" s="801"/>
      <c r="E1251" s="801"/>
      <c r="F1251" s="802"/>
      <c r="G1251" s="845" t="s">
        <v>3294</v>
      </c>
      <c r="H1251" s="952"/>
      <c r="I1251" s="846"/>
      <c r="J1251" s="845" t="s">
        <v>3295</v>
      </c>
      <c r="K1251" s="952"/>
      <c r="L1251" s="846"/>
      <c r="M1251" s="845" t="s">
        <v>3296</v>
      </c>
      <c r="N1251" s="952"/>
      <c r="O1251" s="846"/>
      <c r="P1251" s="845" t="s">
        <v>3297</v>
      </c>
      <c r="Q1251" s="952"/>
      <c r="R1251" s="846"/>
      <c r="S1251" s="843"/>
      <c r="T1251" s="951"/>
      <c r="U1251" s="844"/>
      <c r="V1251" s="843"/>
      <c r="W1251" s="951"/>
      <c r="X1251" s="844"/>
      <c r="Y1251" s="843"/>
      <c r="Z1251" s="951"/>
      <c r="AA1251" s="844"/>
      <c r="AB1251" s="843"/>
      <c r="AC1251" s="951"/>
      <c r="AD1251" s="844"/>
    </row>
    <row r="1252" spans="1:30" ht="48" customHeight="1">
      <c r="A1252" s="142"/>
      <c r="C1252" s="803"/>
      <c r="D1252" s="804"/>
      <c r="E1252" s="804"/>
      <c r="F1252" s="805"/>
      <c r="G1252" s="127" t="s">
        <v>2635</v>
      </c>
      <c r="H1252" s="128" t="s">
        <v>2629</v>
      </c>
      <c r="I1252" s="128" t="s">
        <v>2630</v>
      </c>
      <c r="J1252" s="127" t="s">
        <v>2635</v>
      </c>
      <c r="K1252" s="128" t="s">
        <v>2629</v>
      </c>
      <c r="L1252" s="128" t="s">
        <v>2630</v>
      </c>
      <c r="M1252" s="127" t="s">
        <v>2635</v>
      </c>
      <c r="N1252" s="128" t="s">
        <v>2629</v>
      </c>
      <c r="O1252" s="128" t="s">
        <v>2630</v>
      </c>
      <c r="P1252" s="127" t="s">
        <v>2635</v>
      </c>
      <c r="Q1252" s="128" t="s">
        <v>2629</v>
      </c>
      <c r="R1252" s="128" t="s">
        <v>2630</v>
      </c>
      <c r="S1252" s="127" t="s">
        <v>2635</v>
      </c>
      <c r="T1252" s="128" t="s">
        <v>2629</v>
      </c>
      <c r="U1252" s="128" t="s">
        <v>2630</v>
      </c>
      <c r="V1252" s="127" t="s">
        <v>2635</v>
      </c>
      <c r="W1252" s="128" t="s">
        <v>2629</v>
      </c>
      <c r="X1252" s="128" t="s">
        <v>2630</v>
      </c>
      <c r="Y1252" s="127" t="s">
        <v>2635</v>
      </c>
      <c r="Z1252" s="128" t="s">
        <v>2629</v>
      </c>
      <c r="AA1252" s="128" t="s">
        <v>2630</v>
      </c>
      <c r="AB1252" s="127" t="s">
        <v>2635</v>
      </c>
      <c r="AC1252" s="128" t="s">
        <v>2629</v>
      </c>
      <c r="AD1252" s="128" t="s">
        <v>2630</v>
      </c>
    </row>
    <row r="1253" spans="1:30" ht="15" customHeight="1">
      <c r="A1253" s="50"/>
      <c r="B1253" s="90"/>
      <c r="C1253" s="97" t="s">
        <v>2516</v>
      </c>
      <c r="D1253" s="813" t="str">
        <f>IF(CNSIPEE_2024_M2_Secc1!D42="","",CNSIPEE_2024_M2_Secc1!D42)</f>
        <v/>
      </c>
      <c r="E1253" s="814"/>
      <c r="F1253" s="815"/>
      <c r="G1253" s="100"/>
      <c r="H1253" s="100"/>
      <c r="I1253" s="100"/>
      <c r="J1253" s="100"/>
      <c r="K1253" s="100"/>
      <c r="L1253" s="100"/>
      <c r="M1253" s="100"/>
      <c r="N1253" s="100"/>
      <c r="O1253" s="100"/>
      <c r="P1253" s="100"/>
      <c r="Q1253" s="100"/>
      <c r="R1253" s="100"/>
      <c r="S1253" s="100"/>
      <c r="T1253" s="100"/>
      <c r="U1253" s="100"/>
      <c r="V1253" s="100"/>
      <c r="W1253" s="100"/>
      <c r="X1253" s="100"/>
      <c r="Y1253" s="100"/>
      <c r="Z1253" s="100"/>
      <c r="AA1253" s="100"/>
      <c r="AB1253" s="100"/>
      <c r="AC1253" s="100"/>
      <c r="AD1253" s="100"/>
    </row>
    <row r="1254" spans="1:30" ht="15" customHeight="1">
      <c r="A1254" s="50"/>
      <c r="B1254" s="90"/>
      <c r="C1254" s="143" t="s">
        <v>2517</v>
      </c>
      <c r="D1254" s="813" t="str">
        <f>IF(CNSIPEE_2024_M2_Secc1!D43="","",CNSIPEE_2024_M2_Secc1!D43)</f>
        <v/>
      </c>
      <c r="E1254" s="814"/>
      <c r="F1254" s="815"/>
      <c r="G1254" s="100"/>
      <c r="H1254" s="100"/>
      <c r="I1254" s="100"/>
      <c r="J1254" s="100"/>
      <c r="K1254" s="100"/>
      <c r="L1254" s="100"/>
      <c r="M1254" s="100"/>
      <c r="N1254" s="100"/>
      <c r="O1254" s="100"/>
      <c r="P1254" s="100"/>
      <c r="Q1254" s="100"/>
      <c r="R1254" s="100"/>
      <c r="S1254" s="100"/>
      <c r="T1254" s="100"/>
      <c r="U1254" s="100"/>
      <c r="V1254" s="100"/>
      <c r="W1254" s="100"/>
      <c r="X1254" s="100"/>
      <c r="Y1254" s="100"/>
      <c r="Z1254" s="100"/>
      <c r="AA1254" s="100"/>
      <c r="AB1254" s="100"/>
      <c r="AC1254" s="100"/>
      <c r="AD1254" s="100"/>
    </row>
    <row r="1255" spans="1:30" ht="15" customHeight="1">
      <c r="A1255" s="50"/>
      <c r="B1255" s="90"/>
      <c r="C1255" s="143" t="s">
        <v>2518</v>
      </c>
      <c r="D1255" s="813" t="str">
        <f>IF(CNSIPEE_2024_M2_Secc1!D44="","",CNSIPEE_2024_M2_Secc1!D44)</f>
        <v/>
      </c>
      <c r="E1255" s="814"/>
      <c r="F1255" s="815"/>
      <c r="G1255" s="100"/>
      <c r="H1255" s="100"/>
      <c r="I1255" s="100"/>
      <c r="J1255" s="100"/>
      <c r="K1255" s="100"/>
      <c r="L1255" s="100"/>
      <c r="M1255" s="100"/>
      <c r="N1255" s="100"/>
      <c r="O1255" s="100"/>
      <c r="P1255" s="100"/>
      <c r="Q1255" s="100"/>
      <c r="R1255" s="100"/>
      <c r="S1255" s="100"/>
      <c r="T1255" s="100"/>
      <c r="U1255" s="100"/>
      <c r="V1255" s="100"/>
      <c r="W1255" s="100"/>
      <c r="X1255" s="100"/>
      <c r="Y1255" s="100"/>
      <c r="Z1255" s="100"/>
      <c r="AA1255" s="100"/>
      <c r="AB1255" s="100"/>
      <c r="AC1255" s="100"/>
      <c r="AD1255" s="100"/>
    </row>
    <row r="1256" spans="1:30" ht="15" customHeight="1">
      <c r="A1256" s="50"/>
      <c r="B1256" s="90"/>
      <c r="C1256" s="143" t="s">
        <v>2519</v>
      </c>
      <c r="D1256" s="813" t="str">
        <f>IF(CNSIPEE_2024_M2_Secc1!D45="","",CNSIPEE_2024_M2_Secc1!D45)</f>
        <v/>
      </c>
      <c r="E1256" s="814"/>
      <c r="F1256" s="815"/>
      <c r="G1256" s="100"/>
      <c r="H1256" s="100"/>
      <c r="I1256" s="100"/>
      <c r="J1256" s="100"/>
      <c r="K1256" s="100"/>
      <c r="L1256" s="100"/>
      <c r="M1256" s="100"/>
      <c r="N1256" s="100"/>
      <c r="O1256" s="100"/>
      <c r="P1256" s="100"/>
      <c r="Q1256" s="100"/>
      <c r="R1256" s="100"/>
      <c r="S1256" s="100"/>
      <c r="T1256" s="100"/>
      <c r="U1256" s="100"/>
      <c r="V1256" s="100"/>
      <c r="W1256" s="100"/>
      <c r="X1256" s="100"/>
      <c r="Y1256" s="100"/>
      <c r="Z1256" s="100"/>
      <c r="AA1256" s="100"/>
      <c r="AB1256" s="100"/>
      <c r="AC1256" s="100"/>
      <c r="AD1256" s="100"/>
    </row>
    <row r="1257" spans="1:30" ht="15" customHeight="1">
      <c r="A1257" s="50"/>
      <c r="B1257" s="90"/>
      <c r="C1257" s="143" t="s">
        <v>2520</v>
      </c>
      <c r="D1257" s="813" t="str">
        <f>IF(CNSIPEE_2024_M2_Secc1!D46="","",CNSIPEE_2024_M2_Secc1!D46)</f>
        <v/>
      </c>
      <c r="E1257" s="814"/>
      <c r="F1257" s="815"/>
      <c r="G1257" s="100"/>
      <c r="H1257" s="100"/>
      <c r="I1257" s="100"/>
      <c r="J1257" s="100"/>
      <c r="K1257" s="100"/>
      <c r="L1257" s="100"/>
      <c r="M1257" s="100"/>
      <c r="N1257" s="100"/>
      <c r="O1257" s="100"/>
      <c r="P1257" s="100"/>
      <c r="Q1257" s="100"/>
      <c r="R1257" s="100"/>
      <c r="S1257" s="100"/>
      <c r="T1257" s="100"/>
      <c r="U1257" s="100"/>
      <c r="V1257" s="100"/>
      <c r="W1257" s="100"/>
      <c r="X1257" s="100"/>
      <c r="Y1257" s="100"/>
      <c r="Z1257" s="100"/>
      <c r="AA1257" s="100"/>
      <c r="AB1257" s="100"/>
      <c r="AC1257" s="100"/>
      <c r="AD1257" s="100"/>
    </row>
    <row r="1258" spans="1:30" ht="15" customHeight="1">
      <c r="A1258" s="50"/>
      <c r="B1258" s="90"/>
      <c r="C1258" s="143" t="s">
        <v>2521</v>
      </c>
      <c r="D1258" s="813" t="str">
        <f>IF(CNSIPEE_2024_M2_Secc1!D47="","",CNSIPEE_2024_M2_Secc1!D47)</f>
        <v/>
      </c>
      <c r="E1258" s="814"/>
      <c r="F1258" s="815"/>
      <c r="G1258" s="100"/>
      <c r="H1258" s="100"/>
      <c r="I1258" s="100"/>
      <c r="J1258" s="100"/>
      <c r="K1258" s="100"/>
      <c r="L1258" s="100"/>
      <c r="M1258" s="100"/>
      <c r="N1258" s="100"/>
      <c r="O1258" s="100"/>
      <c r="P1258" s="100"/>
      <c r="Q1258" s="100"/>
      <c r="R1258" s="100"/>
      <c r="S1258" s="100"/>
      <c r="T1258" s="100"/>
      <c r="U1258" s="100"/>
      <c r="V1258" s="100"/>
      <c r="W1258" s="100"/>
      <c r="X1258" s="100"/>
      <c r="Y1258" s="100"/>
      <c r="Z1258" s="100"/>
      <c r="AA1258" s="100"/>
      <c r="AB1258" s="100"/>
      <c r="AC1258" s="100"/>
      <c r="AD1258" s="100"/>
    </row>
    <row r="1259" spans="1:30" ht="15" customHeight="1">
      <c r="A1259" s="50"/>
      <c r="B1259" s="90"/>
      <c r="C1259" s="143" t="s">
        <v>2522</v>
      </c>
      <c r="D1259" s="813" t="str">
        <f>IF(CNSIPEE_2024_M2_Secc1!D48="","",CNSIPEE_2024_M2_Secc1!D48)</f>
        <v/>
      </c>
      <c r="E1259" s="814"/>
      <c r="F1259" s="815"/>
      <c r="G1259" s="100"/>
      <c r="H1259" s="100"/>
      <c r="I1259" s="100"/>
      <c r="J1259" s="100"/>
      <c r="K1259" s="100"/>
      <c r="L1259" s="100"/>
      <c r="M1259" s="100"/>
      <c r="N1259" s="100"/>
      <c r="O1259" s="100"/>
      <c r="P1259" s="100"/>
      <c r="Q1259" s="100"/>
      <c r="R1259" s="100"/>
      <c r="S1259" s="100"/>
      <c r="T1259" s="100"/>
      <c r="U1259" s="100"/>
      <c r="V1259" s="100"/>
      <c r="W1259" s="100"/>
      <c r="X1259" s="100"/>
      <c r="Y1259" s="100"/>
      <c r="Z1259" s="100"/>
      <c r="AA1259" s="100"/>
      <c r="AB1259" s="100"/>
      <c r="AC1259" s="100"/>
      <c r="AD1259" s="100"/>
    </row>
    <row r="1260" spans="1:30" ht="15" customHeight="1">
      <c r="A1260" s="50"/>
      <c r="B1260" s="90"/>
      <c r="C1260" s="143" t="s">
        <v>2523</v>
      </c>
      <c r="D1260" s="813" t="str">
        <f>IF(CNSIPEE_2024_M2_Secc1!D49="","",CNSIPEE_2024_M2_Secc1!D49)</f>
        <v/>
      </c>
      <c r="E1260" s="814"/>
      <c r="F1260" s="815"/>
      <c r="G1260" s="100"/>
      <c r="H1260" s="100"/>
      <c r="I1260" s="100"/>
      <c r="J1260" s="100"/>
      <c r="K1260" s="100"/>
      <c r="L1260" s="100"/>
      <c r="M1260" s="100"/>
      <c r="N1260" s="100"/>
      <c r="O1260" s="100"/>
      <c r="P1260" s="100"/>
      <c r="Q1260" s="100"/>
      <c r="R1260" s="100"/>
      <c r="S1260" s="100"/>
      <c r="T1260" s="100"/>
      <c r="U1260" s="100"/>
      <c r="V1260" s="100"/>
      <c r="W1260" s="100"/>
      <c r="X1260" s="100"/>
      <c r="Y1260" s="100"/>
      <c r="Z1260" s="100"/>
      <c r="AA1260" s="100"/>
      <c r="AB1260" s="100"/>
      <c r="AC1260" s="100"/>
      <c r="AD1260" s="100"/>
    </row>
    <row r="1261" spans="1:30" ht="15" customHeight="1">
      <c r="A1261" s="50"/>
      <c r="B1261" s="90"/>
      <c r="C1261" s="90"/>
      <c r="D1261" s="90"/>
      <c r="E1261" s="90"/>
      <c r="F1261" s="117"/>
      <c r="G1261" s="124">
        <f>IF(AND(SUM(G1253:G1260)=0,COUNTIF(G1253:G1260,"NS")&gt;0),"NS",
IF(AND(SUM(G1253:G1260)=0,COUNTIF(G1253:G1260,0)&gt;0),0,
IF(AND(SUM(G1253:G1260)=0,COUNTIF(G1253:G1260,"NA")&gt;0),"NA",
SUM(G1253:G1260))))</f>
        <v>0</v>
      </c>
      <c r="H1261" s="124">
        <f t="shared" ref="H1261:AD1261" si="1168">IF(AND(SUM(H1253:H1260)=0,COUNTIF(H1253:H1260,"NS")&gt;0),"NS",
IF(AND(SUM(H1253:H1260)=0,COUNTIF(H1253:H1260,0)&gt;0),0,
IF(AND(SUM(H1253:H1260)=0,COUNTIF(H1253:H1260,"NA")&gt;0),"NA",
SUM(H1253:H1260))))</f>
        <v>0</v>
      </c>
      <c r="I1261" s="124">
        <f t="shared" si="1168"/>
        <v>0</v>
      </c>
      <c r="J1261" s="124">
        <f t="shared" si="1168"/>
        <v>0</v>
      </c>
      <c r="K1261" s="124">
        <f t="shared" si="1168"/>
        <v>0</v>
      </c>
      <c r="L1261" s="124">
        <f t="shared" si="1168"/>
        <v>0</v>
      </c>
      <c r="M1261" s="124">
        <f t="shared" si="1168"/>
        <v>0</v>
      </c>
      <c r="N1261" s="124">
        <f t="shared" si="1168"/>
        <v>0</v>
      </c>
      <c r="O1261" s="124">
        <f t="shared" si="1168"/>
        <v>0</v>
      </c>
      <c r="P1261" s="124">
        <f t="shared" si="1168"/>
        <v>0</v>
      </c>
      <c r="Q1261" s="124">
        <f t="shared" si="1168"/>
        <v>0</v>
      </c>
      <c r="R1261" s="124">
        <f t="shared" si="1168"/>
        <v>0</v>
      </c>
      <c r="S1261" s="124">
        <f t="shared" si="1168"/>
        <v>0</v>
      </c>
      <c r="T1261" s="124">
        <f t="shared" si="1168"/>
        <v>0</v>
      </c>
      <c r="U1261" s="124">
        <f t="shared" si="1168"/>
        <v>0</v>
      </c>
      <c r="V1261" s="124">
        <f t="shared" si="1168"/>
        <v>0</v>
      </c>
      <c r="W1261" s="124">
        <f t="shared" si="1168"/>
        <v>0</v>
      </c>
      <c r="X1261" s="124">
        <f t="shared" si="1168"/>
        <v>0</v>
      </c>
      <c r="Y1261" s="124">
        <f t="shared" si="1168"/>
        <v>0</v>
      </c>
      <c r="Z1261" s="124">
        <f t="shared" si="1168"/>
        <v>0</v>
      </c>
      <c r="AA1261" s="124">
        <f t="shared" si="1168"/>
        <v>0</v>
      </c>
      <c r="AB1261" s="124">
        <f t="shared" si="1168"/>
        <v>0</v>
      </c>
      <c r="AC1261" s="124">
        <f t="shared" si="1168"/>
        <v>0</v>
      </c>
      <c r="AD1261" s="124">
        <f t="shared" si="1168"/>
        <v>0</v>
      </c>
    </row>
    <row r="1262" spans="1:30" ht="15" customHeight="1">
      <c r="A1262" s="91"/>
    </row>
    <row r="1263" spans="1:30" ht="15" customHeight="1">
      <c r="A1263" s="115"/>
      <c r="AA1263" s="875" t="s">
        <v>3240</v>
      </c>
      <c r="AB1263" s="875"/>
      <c r="AC1263" s="875"/>
      <c r="AD1263" s="875"/>
    </row>
    <row r="1264" spans="1:30" ht="24" customHeight="1">
      <c r="A1264" s="142"/>
      <c r="B1264" s="113"/>
      <c r="C1264" s="797" t="s">
        <v>2581</v>
      </c>
      <c r="D1264" s="798"/>
      <c r="E1264" s="798"/>
      <c r="F1264" s="799"/>
      <c r="G1264" s="740" t="s">
        <v>3806</v>
      </c>
      <c r="H1264" s="740"/>
      <c r="I1264" s="740"/>
      <c r="J1264" s="740"/>
      <c r="K1264" s="740"/>
      <c r="L1264" s="740"/>
      <c r="M1264" s="740"/>
      <c r="N1264" s="740"/>
      <c r="O1264" s="740"/>
      <c r="P1264" s="740"/>
      <c r="Q1264" s="740"/>
      <c r="R1264" s="740"/>
      <c r="S1264" s="740"/>
      <c r="T1264" s="740"/>
      <c r="U1264" s="740"/>
      <c r="V1264" s="740"/>
      <c r="W1264" s="740"/>
      <c r="X1264" s="740"/>
      <c r="Y1264" s="740"/>
      <c r="Z1264" s="740"/>
      <c r="AA1264" s="740"/>
      <c r="AB1264" s="740"/>
      <c r="AC1264" s="740"/>
      <c r="AD1264" s="741"/>
    </row>
    <row r="1265" spans="1:30" ht="15" customHeight="1">
      <c r="A1265" s="142"/>
      <c r="B1265" s="113"/>
      <c r="C1265" s="800"/>
      <c r="D1265" s="801"/>
      <c r="E1265" s="801"/>
      <c r="F1265" s="802"/>
      <c r="G1265" s="733" t="s">
        <v>3268</v>
      </c>
      <c r="H1265" s="734"/>
      <c r="I1265" s="734"/>
      <c r="J1265" s="734"/>
      <c r="K1265" s="734"/>
      <c r="L1265" s="734"/>
      <c r="M1265" s="734"/>
      <c r="N1265" s="734"/>
      <c r="O1265" s="735"/>
      <c r="P1265" s="733" t="s">
        <v>3298</v>
      </c>
      <c r="Q1265" s="734"/>
      <c r="R1265" s="734"/>
      <c r="S1265" s="734"/>
      <c r="T1265" s="734"/>
      <c r="U1265" s="734"/>
      <c r="V1265" s="734"/>
      <c r="W1265" s="734"/>
      <c r="X1265" s="735"/>
      <c r="Y1265" s="841" t="s">
        <v>3299</v>
      </c>
      <c r="Z1265" s="950"/>
      <c r="AA1265" s="842"/>
      <c r="AB1265" s="841" t="s">
        <v>201</v>
      </c>
      <c r="AC1265" s="950"/>
      <c r="AD1265" s="842"/>
    </row>
    <row r="1266" spans="1:30" ht="15" customHeight="1">
      <c r="A1266" s="142"/>
      <c r="B1266" s="113"/>
      <c r="C1266" s="800"/>
      <c r="D1266" s="801"/>
      <c r="E1266" s="801"/>
      <c r="F1266" s="802"/>
      <c r="G1266" s="841" t="s">
        <v>3300</v>
      </c>
      <c r="H1266" s="950"/>
      <c r="I1266" s="842"/>
      <c r="J1266" s="841" t="s">
        <v>3301</v>
      </c>
      <c r="K1266" s="950"/>
      <c r="L1266" s="842"/>
      <c r="M1266" s="841" t="s">
        <v>3302</v>
      </c>
      <c r="N1266" s="950"/>
      <c r="O1266" s="842"/>
      <c r="P1266" s="841" t="s">
        <v>3303</v>
      </c>
      <c r="Q1266" s="950"/>
      <c r="R1266" s="842"/>
      <c r="S1266" s="841" t="s">
        <v>3304</v>
      </c>
      <c r="T1266" s="950"/>
      <c r="U1266" s="842"/>
      <c r="V1266" s="841" t="s">
        <v>3305</v>
      </c>
      <c r="W1266" s="950"/>
      <c r="X1266" s="842"/>
      <c r="Y1266" s="843"/>
      <c r="Z1266" s="951"/>
      <c r="AA1266" s="844"/>
      <c r="AB1266" s="843"/>
      <c r="AC1266" s="951"/>
      <c r="AD1266" s="844"/>
    </row>
    <row r="1267" spans="1:30" ht="84" customHeight="1">
      <c r="A1267" s="142"/>
      <c r="C1267" s="800"/>
      <c r="D1267" s="801"/>
      <c r="E1267" s="801"/>
      <c r="F1267" s="802"/>
      <c r="G1267" s="843"/>
      <c r="H1267" s="951"/>
      <c r="I1267" s="844"/>
      <c r="J1267" s="843"/>
      <c r="K1267" s="951"/>
      <c r="L1267" s="844"/>
      <c r="M1267" s="843"/>
      <c r="N1267" s="951"/>
      <c r="O1267" s="844"/>
      <c r="P1267" s="843"/>
      <c r="Q1267" s="951"/>
      <c r="R1267" s="844"/>
      <c r="S1267" s="843"/>
      <c r="T1267" s="951"/>
      <c r="U1267" s="844"/>
      <c r="V1267" s="843"/>
      <c r="W1267" s="951"/>
      <c r="X1267" s="844"/>
      <c r="Y1267" s="845"/>
      <c r="Z1267" s="952"/>
      <c r="AA1267" s="846"/>
      <c r="AB1267" s="845"/>
      <c r="AC1267" s="952"/>
      <c r="AD1267" s="846"/>
    </row>
    <row r="1268" spans="1:30" ht="48" customHeight="1">
      <c r="A1268" s="142"/>
      <c r="C1268" s="803"/>
      <c r="D1268" s="804"/>
      <c r="E1268" s="804"/>
      <c r="F1268" s="805"/>
      <c r="G1268" s="127" t="s">
        <v>2635</v>
      </c>
      <c r="H1268" s="128" t="s">
        <v>2629</v>
      </c>
      <c r="I1268" s="128" t="s">
        <v>2630</v>
      </c>
      <c r="J1268" s="127" t="s">
        <v>2635</v>
      </c>
      <c r="K1268" s="128" t="s">
        <v>2629</v>
      </c>
      <c r="L1268" s="128" t="s">
        <v>2630</v>
      </c>
      <c r="M1268" s="127" t="s">
        <v>2635</v>
      </c>
      <c r="N1268" s="128" t="s">
        <v>2629</v>
      </c>
      <c r="O1268" s="128" t="s">
        <v>2630</v>
      </c>
      <c r="P1268" s="127" t="s">
        <v>2635</v>
      </c>
      <c r="Q1268" s="128" t="s">
        <v>2629</v>
      </c>
      <c r="R1268" s="128" t="s">
        <v>2630</v>
      </c>
      <c r="S1268" s="127" t="s">
        <v>2635</v>
      </c>
      <c r="T1268" s="128" t="s">
        <v>2629</v>
      </c>
      <c r="U1268" s="128" t="s">
        <v>2630</v>
      </c>
      <c r="V1268" s="127" t="s">
        <v>2635</v>
      </c>
      <c r="W1268" s="128" t="s">
        <v>2629</v>
      </c>
      <c r="X1268" s="128" t="s">
        <v>2630</v>
      </c>
      <c r="Y1268" s="127" t="s">
        <v>2635</v>
      </c>
      <c r="Z1268" s="128" t="s">
        <v>2629</v>
      </c>
      <c r="AA1268" s="128" t="s">
        <v>2630</v>
      </c>
      <c r="AB1268" s="127" t="s">
        <v>2635</v>
      </c>
      <c r="AC1268" s="128" t="s">
        <v>2629</v>
      </c>
      <c r="AD1268" s="128" t="s">
        <v>2630</v>
      </c>
    </row>
    <row r="1269" spans="1:30" ht="15" customHeight="1">
      <c r="A1269" s="50"/>
      <c r="B1269" s="90"/>
      <c r="C1269" s="97" t="s">
        <v>2516</v>
      </c>
      <c r="D1269" s="813" t="str">
        <f>IF(CNSIPEE_2024_M2_Secc1!D42="","",CNSIPEE_2024_M2_Secc1!D42)</f>
        <v/>
      </c>
      <c r="E1269" s="814"/>
      <c r="F1269" s="815"/>
      <c r="G1269" s="100"/>
      <c r="H1269" s="100"/>
      <c r="I1269" s="100"/>
      <c r="J1269" s="100"/>
      <c r="K1269" s="100"/>
      <c r="L1269" s="100"/>
      <c r="M1269" s="100"/>
      <c r="N1269" s="100"/>
      <c r="O1269" s="100"/>
      <c r="P1269" s="100"/>
      <c r="Q1269" s="100"/>
      <c r="R1269" s="100"/>
      <c r="S1269" s="100"/>
      <c r="T1269" s="100"/>
      <c r="U1269" s="100"/>
      <c r="V1269" s="100"/>
      <c r="W1269" s="100"/>
      <c r="X1269" s="100"/>
      <c r="Y1269" s="100"/>
      <c r="Z1269" s="100"/>
      <c r="AA1269" s="100"/>
      <c r="AB1269" s="100"/>
      <c r="AC1269" s="100"/>
      <c r="AD1269" s="100"/>
    </row>
    <row r="1270" spans="1:30" ht="15" customHeight="1">
      <c r="A1270" s="50"/>
      <c r="B1270" s="90"/>
      <c r="C1270" s="143" t="s">
        <v>2517</v>
      </c>
      <c r="D1270" s="813" t="str">
        <f>IF(CNSIPEE_2024_M2_Secc1!D43="","",CNSIPEE_2024_M2_Secc1!D43)</f>
        <v/>
      </c>
      <c r="E1270" s="814"/>
      <c r="F1270" s="815"/>
      <c r="G1270" s="100"/>
      <c r="H1270" s="100"/>
      <c r="I1270" s="100"/>
      <c r="J1270" s="100"/>
      <c r="K1270" s="100"/>
      <c r="L1270" s="100"/>
      <c r="M1270" s="100"/>
      <c r="N1270" s="100"/>
      <c r="O1270" s="100"/>
      <c r="P1270" s="100"/>
      <c r="Q1270" s="100"/>
      <c r="R1270" s="100"/>
      <c r="S1270" s="100"/>
      <c r="T1270" s="100"/>
      <c r="U1270" s="100"/>
      <c r="V1270" s="100"/>
      <c r="W1270" s="100"/>
      <c r="X1270" s="100"/>
      <c r="Y1270" s="100"/>
      <c r="Z1270" s="100"/>
      <c r="AA1270" s="100"/>
      <c r="AB1270" s="100"/>
      <c r="AC1270" s="100"/>
      <c r="AD1270" s="100"/>
    </row>
    <row r="1271" spans="1:30" ht="15" customHeight="1">
      <c r="A1271" s="50"/>
      <c r="B1271" s="90"/>
      <c r="C1271" s="143" t="s">
        <v>2518</v>
      </c>
      <c r="D1271" s="813" t="str">
        <f>IF(CNSIPEE_2024_M2_Secc1!D44="","",CNSIPEE_2024_M2_Secc1!D44)</f>
        <v/>
      </c>
      <c r="E1271" s="814"/>
      <c r="F1271" s="815"/>
      <c r="G1271" s="100"/>
      <c r="H1271" s="100"/>
      <c r="I1271" s="100"/>
      <c r="J1271" s="100"/>
      <c r="K1271" s="100"/>
      <c r="L1271" s="100"/>
      <c r="M1271" s="100"/>
      <c r="N1271" s="100"/>
      <c r="O1271" s="100"/>
      <c r="P1271" s="100"/>
      <c r="Q1271" s="100"/>
      <c r="R1271" s="100"/>
      <c r="S1271" s="100"/>
      <c r="T1271" s="100"/>
      <c r="U1271" s="100"/>
      <c r="V1271" s="100"/>
      <c r="W1271" s="100"/>
      <c r="X1271" s="100"/>
      <c r="Y1271" s="100"/>
      <c r="Z1271" s="100"/>
      <c r="AA1271" s="100"/>
      <c r="AB1271" s="100"/>
      <c r="AC1271" s="100"/>
      <c r="AD1271" s="100"/>
    </row>
    <row r="1272" spans="1:30" ht="15" customHeight="1">
      <c r="A1272" s="50"/>
      <c r="B1272" s="90"/>
      <c r="C1272" s="143" t="s">
        <v>2519</v>
      </c>
      <c r="D1272" s="813" t="str">
        <f>IF(CNSIPEE_2024_M2_Secc1!D45="","",CNSIPEE_2024_M2_Secc1!D45)</f>
        <v/>
      </c>
      <c r="E1272" s="814"/>
      <c r="F1272" s="815"/>
      <c r="G1272" s="100"/>
      <c r="H1272" s="100"/>
      <c r="I1272" s="100"/>
      <c r="J1272" s="100"/>
      <c r="K1272" s="100"/>
      <c r="L1272" s="100"/>
      <c r="M1272" s="100"/>
      <c r="N1272" s="100"/>
      <c r="O1272" s="100"/>
      <c r="P1272" s="100"/>
      <c r="Q1272" s="100"/>
      <c r="R1272" s="100"/>
      <c r="S1272" s="100"/>
      <c r="T1272" s="100"/>
      <c r="U1272" s="100"/>
      <c r="V1272" s="100"/>
      <c r="W1272" s="100"/>
      <c r="X1272" s="100"/>
      <c r="Y1272" s="100"/>
      <c r="Z1272" s="100"/>
      <c r="AA1272" s="100"/>
      <c r="AB1272" s="100"/>
      <c r="AC1272" s="100"/>
      <c r="AD1272" s="100"/>
    </row>
    <row r="1273" spans="1:30" ht="15" customHeight="1">
      <c r="A1273" s="50"/>
      <c r="B1273" s="90"/>
      <c r="C1273" s="143" t="s">
        <v>2520</v>
      </c>
      <c r="D1273" s="813" t="str">
        <f>IF(CNSIPEE_2024_M2_Secc1!D46="","",CNSIPEE_2024_M2_Secc1!D46)</f>
        <v/>
      </c>
      <c r="E1273" s="814"/>
      <c r="F1273" s="815"/>
      <c r="G1273" s="100"/>
      <c r="H1273" s="100"/>
      <c r="I1273" s="100"/>
      <c r="J1273" s="100"/>
      <c r="K1273" s="100"/>
      <c r="L1273" s="100"/>
      <c r="M1273" s="100"/>
      <c r="N1273" s="100"/>
      <c r="O1273" s="100"/>
      <c r="P1273" s="100"/>
      <c r="Q1273" s="100"/>
      <c r="R1273" s="100"/>
      <c r="S1273" s="100"/>
      <c r="T1273" s="100"/>
      <c r="U1273" s="100"/>
      <c r="V1273" s="100"/>
      <c r="W1273" s="100"/>
      <c r="X1273" s="100"/>
      <c r="Y1273" s="100"/>
      <c r="Z1273" s="100"/>
      <c r="AA1273" s="100"/>
      <c r="AB1273" s="100"/>
      <c r="AC1273" s="100"/>
      <c r="AD1273" s="100"/>
    </row>
    <row r="1274" spans="1:30" ht="15" customHeight="1">
      <c r="A1274" s="50"/>
      <c r="B1274" s="90"/>
      <c r="C1274" s="143" t="s">
        <v>2521</v>
      </c>
      <c r="D1274" s="813" t="str">
        <f>IF(CNSIPEE_2024_M2_Secc1!D47="","",CNSIPEE_2024_M2_Secc1!D47)</f>
        <v/>
      </c>
      <c r="E1274" s="814"/>
      <c r="F1274" s="815"/>
      <c r="G1274" s="100"/>
      <c r="H1274" s="100"/>
      <c r="I1274" s="100"/>
      <c r="J1274" s="100"/>
      <c r="K1274" s="100"/>
      <c r="L1274" s="100"/>
      <c r="M1274" s="100"/>
      <c r="N1274" s="100"/>
      <c r="O1274" s="100"/>
      <c r="P1274" s="100"/>
      <c r="Q1274" s="100"/>
      <c r="R1274" s="100"/>
      <c r="S1274" s="100"/>
      <c r="T1274" s="100"/>
      <c r="U1274" s="100"/>
      <c r="V1274" s="100"/>
      <c r="W1274" s="100"/>
      <c r="X1274" s="100"/>
      <c r="Y1274" s="100"/>
      <c r="Z1274" s="100"/>
      <c r="AA1274" s="100"/>
      <c r="AB1274" s="100"/>
      <c r="AC1274" s="100"/>
      <c r="AD1274" s="100"/>
    </row>
    <row r="1275" spans="1:30" ht="15" customHeight="1">
      <c r="A1275" s="50"/>
      <c r="B1275" s="90"/>
      <c r="C1275" s="143" t="s">
        <v>2522</v>
      </c>
      <c r="D1275" s="813" t="str">
        <f>IF(CNSIPEE_2024_M2_Secc1!D48="","",CNSIPEE_2024_M2_Secc1!D48)</f>
        <v/>
      </c>
      <c r="E1275" s="814"/>
      <c r="F1275" s="815"/>
      <c r="G1275" s="100"/>
      <c r="H1275" s="100"/>
      <c r="I1275" s="100"/>
      <c r="J1275" s="100"/>
      <c r="K1275" s="100"/>
      <c r="L1275" s="100"/>
      <c r="M1275" s="100"/>
      <c r="N1275" s="100"/>
      <c r="O1275" s="100"/>
      <c r="P1275" s="100"/>
      <c r="Q1275" s="100"/>
      <c r="R1275" s="100"/>
      <c r="S1275" s="100"/>
      <c r="T1275" s="100"/>
      <c r="U1275" s="100"/>
      <c r="V1275" s="100"/>
      <c r="W1275" s="100"/>
      <c r="X1275" s="100"/>
      <c r="Y1275" s="100"/>
      <c r="Z1275" s="100"/>
      <c r="AA1275" s="100"/>
      <c r="AB1275" s="100"/>
      <c r="AC1275" s="100"/>
      <c r="AD1275" s="100"/>
    </row>
    <row r="1276" spans="1:30" ht="15" customHeight="1">
      <c r="A1276" s="50"/>
      <c r="B1276" s="90"/>
      <c r="C1276" s="143" t="s">
        <v>2523</v>
      </c>
      <c r="D1276" s="813" t="str">
        <f>IF(CNSIPEE_2024_M2_Secc1!D49="","",CNSIPEE_2024_M2_Secc1!D49)</f>
        <v/>
      </c>
      <c r="E1276" s="814"/>
      <c r="F1276" s="815"/>
      <c r="G1276" s="100"/>
      <c r="H1276" s="100"/>
      <c r="I1276" s="100"/>
      <c r="J1276" s="100"/>
      <c r="K1276" s="100"/>
      <c r="L1276" s="100"/>
      <c r="M1276" s="100"/>
      <c r="N1276" s="100"/>
      <c r="O1276" s="100"/>
      <c r="P1276" s="100"/>
      <c r="Q1276" s="100"/>
      <c r="R1276" s="100"/>
      <c r="S1276" s="100"/>
      <c r="T1276" s="100"/>
      <c r="U1276" s="100"/>
      <c r="V1276" s="100"/>
      <c r="W1276" s="100"/>
      <c r="X1276" s="100"/>
      <c r="Y1276" s="100"/>
      <c r="Z1276" s="100"/>
      <c r="AA1276" s="100"/>
      <c r="AB1276" s="100"/>
      <c r="AC1276" s="100"/>
      <c r="AD1276" s="100"/>
    </row>
    <row r="1277" spans="1:30" ht="15" customHeight="1">
      <c r="A1277" s="50"/>
      <c r="B1277" s="90"/>
      <c r="C1277" s="90"/>
      <c r="D1277" s="90"/>
      <c r="E1277" s="90"/>
      <c r="F1277" s="117"/>
      <c r="G1277" s="124">
        <f>IF(AND(SUM(G1269:G1276)=0,COUNTIF(G1269:G1276,"NS")&gt;0),"NS",
IF(AND(SUM(G1269:G1276)=0,COUNTIF(G1269:G1276,0)&gt;0),0,
IF(AND(SUM(G1269:G1276)=0,COUNTIF(G1269:G1276,"NA")&gt;0),"NA",
SUM(G1269:G1276))))</f>
        <v>0</v>
      </c>
      <c r="H1277" s="124">
        <f t="shared" ref="H1277:AD1277" si="1169">IF(AND(SUM(H1269:H1276)=0,COUNTIF(H1269:H1276,"NS")&gt;0),"NS",
IF(AND(SUM(H1269:H1276)=0,COUNTIF(H1269:H1276,0)&gt;0),0,
IF(AND(SUM(H1269:H1276)=0,COUNTIF(H1269:H1276,"NA")&gt;0),"NA",
SUM(H1269:H1276))))</f>
        <v>0</v>
      </c>
      <c r="I1277" s="124">
        <f t="shared" si="1169"/>
        <v>0</v>
      </c>
      <c r="J1277" s="124">
        <f t="shared" si="1169"/>
        <v>0</v>
      </c>
      <c r="K1277" s="124">
        <f t="shared" si="1169"/>
        <v>0</v>
      </c>
      <c r="L1277" s="124">
        <f t="shared" si="1169"/>
        <v>0</v>
      </c>
      <c r="M1277" s="124">
        <f t="shared" si="1169"/>
        <v>0</v>
      </c>
      <c r="N1277" s="124">
        <f t="shared" si="1169"/>
        <v>0</v>
      </c>
      <c r="O1277" s="124">
        <f t="shared" si="1169"/>
        <v>0</v>
      </c>
      <c r="P1277" s="124">
        <f t="shared" si="1169"/>
        <v>0</v>
      </c>
      <c r="Q1277" s="124">
        <f t="shared" si="1169"/>
        <v>0</v>
      </c>
      <c r="R1277" s="124">
        <f t="shared" si="1169"/>
        <v>0</v>
      </c>
      <c r="S1277" s="124">
        <f t="shared" si="1169"/>
        <v>0</v>
      </c>
      <c r="T1277" s="124">
        <f t="shared" si="1169"/>
        <v>0</v>
      </c>
      <c r="U1277" s="124">
        <f t="shared" si="1169"/>
        <v>0</v>
      </c>
      <c r="V1277" s="124">
        <f t="shared" si="1169"/>
        <v>0</v>
      </c>
      <c r="W1277" s="124">
        <f t="shared" si="1169"/>
        <v>0</v>
      </c>
      <c r="X1277" s="124">
        <f t="shared" si="1169"/>
        <v>0</v>
      </c>
      <c r="Y1277" s="124">
        <f t="shared" si="1169"/>
        <v>0</v>
      </c>
      <c r="Z1277" s="124">
        <f t="shared" si="1169"/>
        <v>0</v>
      </c>
      <c r="AA1277" s="124">
        <f t="shared" si="1169"/>
        <v>0</v>
      </c>
      <c r="AB1277" s="124">
        <f t="shared" si="1169"/>
        <v>0</v>
      </c>
      <c r="AC1277" s="124">
        <f t="shared" si="1169"/>
        <v>0</v>
      </c>
      <c r="AD1277" s="124">
        <f t="shared" si="1169"/>
        <v>0</v>
      </c>
    </row>
    <row r="1278" spans="1:30" ht="15" customHeight="1">
      <c r="A1278" s="50"/>
      <c r="B1278" s="90"/>
      <c r="C1278" s="90"/>
      <c r="D1278" s="90"/>
      <c r="E1278" s="90"/>
      <c r="F1278" s="90"/>
      <c r="G1278" s="90"/>
      <c r="H1278" s="90"/>
      <c r="I1278" s="90"/>
      <c r="J1278" s="90"/>
      <c r="K1278" s="90"/>
      <c r="L1278" s="90"/>
      <c r="M1278" s="90"/>
      <c r="N1278" s="90"/>
      <c r="O1278" s="90"/>
      <c r="P1278" s="90"/>
      <c r="Q1278" s="90"/>
      <c r="R1278" s="90"/>
      <c r="S1278" s="90"/>
      <c r="T1278" s="90"/>
      <c r="U1278" s="90"/>
      <c r="V1278" s="90"/>
      <c r="W1278" s="90"/>
      <c r="X1278" s="90"/>
      <c r="Y1278" s="90"/>
      <c r="Z1278" s="90"/>
      <c r="AA1278" s="90"/>
      <c r="AB1278" s="90"/>
      <c r="AC1278" s="90"/>
      <c r="AD1278" s="90"/>
    </row>
    <row r="1279" spans="1:30" ht="24" customHeight="1">
      <c r="A1279" s="147"/>
      <c r="C1279" s="754" t="s">
        <v>2611</v>
      </c>
      <c r="D1279" s="754"/>
      <c r="E1279" s="754"/>
      <c r="F1279" s="754"/>
      <c r="G1279" s="754"/>
      <c r="H1279" s="754"/>
      <c r="I1279" s="754"/>
      <c r="J1279" s="754"/>
      <c r="K1279" s="754"/>
      <c r="L1279" s="754"/>
      <c r="M1279" s="754"/>
      <c r="N1279" s="754"/>
      <c r="O1279" s="754"/>
      <c r="P1279" s="754"/>
      <c r="Q1279" s="754"/>
      <c r="R1279" s="754"/>
      <c r="S1279" s="754"/>
      <c r="T1279" s="754"/>
      <c r="U1279" s="754"/>
      <c r="V1279" s="754"/>
      <c r="W1279" s="754"/>
      <c r="X1279" s="754"/>
      <c r="Y1279" s="754"/>
      <c r="Z1279" s="754"/>
      <c r="AA1279" s="754"/>
      <c r="AB1279" s="754"/>
      <c r="AC1279" s="754"/>
      <c r="AD1279" s="754"/>
    </row>
    <row r="1280" spans="1:30" ht="60" customHeight="1">
      <c r="A1280" s="147"/>
      <c r="C1280" s="851"/>
      <c r="D1280" s="851"/>
      <c r="E1280" s="851"/>
      <c r="F1280" s="851"/>
      <c r="G1280" s="851"/>
      <c r="H1280" s="851"/>
      <c r="I1280" s="851"/>
      <c r="J1280" s="851"/>
      <c r="K1280" s="851"/>
      <c r="L1280" s="851"/>
      <c r="M1280" s="851"/>
      <c r="N1280" s="851"/>
      <c r="O1280" s="851"/>
      <c r="P1280" s="851"/>
      <c r="Q1280" s="851"/>
      <c r="R1280" s="851"/>
      <c r="S1280" s="851"/>
      <c r="T1280" s="851"/>
      <c r="U1280" s="851"/>
      <c r="V1280" s="851"/>
      <c r="W1280" s="851"/>
      <c r="X1280" s="851"/>
      <c r="Y1280" s="851"/>
      <c r="Z1280" s="851"/>
      <c r="AA1280" s="851"/>
      <c r="AB1280" s="851"/>
      <c r="AC1280" s="851"/>
      <c r="AD1280" s="851"/>
    </row>
    <row r="1281" spans="1:66" ht="15" customHeight="1">
      <c r="A1281" s="91"/>
      <c r="B1281" s="794" t="str">
        <f>IF(AG1245&gt;0,"Favor de ingresar toda la información requerida en la pregunta y/o verifique que no tenga información en celdas sombreadas","")</f>
        <v/>
      </c>
      <c r="C1281" s="794"/>
      <c r="D1281" s="794"/>
      <c r="E1281" s="794"/>
      <c r="F1281" s="794"/>
      <c r="G1281" s="794"/>
      <c r="H1281" s="794"/>
      <c r="I1281" s="794"/>
      <c r="J1281" s="794"/>
      <c r="K1281" s="794"/>
      <c r="L1281" s="794"/>
      <c r="M1281" s="794"/>
      <c r="N1281" s="794"/>
      <c r="O1281" s="794"/>
      <c r="P1281" s="794"/>
      <c r="Q1281" s="794"/>
      <c r="R1281" s="794"/>
      <c r="S1281" s="794"/>
      <c r="T1281" s="794"/>
      <c r="U1281" s="794"/>
      <c r="V1281" s="794"/>
      <c r="W1281" s="794"/>
      <c r="X1281" s="794"/>
      <c r="Y1281" s="794"/>
      <c r="Z1281" s="794"/>
      <c r="AA1281" s="794"/>
      <c r="AB1281" s="794"/>
      <c r="AC1281" s="794"/>
      <c r="AD1281" s="794"/>
      <c r="AE1281"/>
    </row>
    <row r="1282" spans="1:66" ht="15" customHeight="1">
      <c r="A1282" s="91"/>
      <c r="B1282" s="795" t="str">
        <f>IF(AM1247&gt;0,"Alerta: debido a que cuenta con registros NS, debe proporcionar una justificación en el area de comentarios al final de la pregunta","")</f>
        <v/>
      </c>
      <c r="C1282" s="795"/>
      <c r="D1282" s="795"/>
      <c r="E1282" s="795"/>
      <c r="F1282" s="795"/>
      <c r="G1282" s="795"/>
      <c r="H1282" s="795"/>
      <c r="I1282" s="795"/>
      <c r="J1282" s="795"/>
      <c r="K1282" s="795"/>
      <c r="L1282" s="795"/>
      <c r="M1282" s="795"/>
      <c r="N1282" s="795"/>
      <c r="O1282" s="795"/>
      <c r="P1282" s="795"/>
      <c r="Q1282" s="795"/>
      <c r="R1282" s="795"/>
      <c r="S1282" s="795"/>
      <c r="T1282" s="795"/>
      <c r="U1282" s="795"/>
      <c r="V1282" s="795"/>
      <c r="W1282" s="795"/>
      <c r="X1282" s="795"/>
      <c r="Y1282" s="795"/>
      <c r="Z1282" s="795"/>
      <c r="AA1282" s="795"/>
      <c r="AB1282" s="795"/>
      <c r="AC1282" s="795"/>
      <c r="AD1282" s="795"/>
      <c r="AE1282"/>
    </row>
    <row r="1283" spans="1:66" ht="15" customHeight="1">
      <c r="A1283" s="91"/>
      <c r="B1283" s="794" t="str">
        <f>IF(OR(AK1247&gt;0,AK1248&gt;0,AM1248&gt;0,AO1248&gt;0),"Favor de revisar la suma y consistencia de totales y/o subtotales por filas (numéricos y NS)","")</f>
        <v/>
      </c>
      <c r="C1283" s="794"/>
      <c r="D1283" s="794"/>
      <c r="E1283" s="794"/>
      <c r="F1283" s="794"/>
      <c r="G1283" s="794"/>
      <c r="H1283" s="794"/>
      <c r="I1283" s="794"/>
      <c r="J1283" s="794"/>
      <c r="K1283" s="794"/>
      <c r="L1283" s="794"/>
      <c r="M1283" s="794"/>
      <c r="N1283" s="794"/>
      <c r="O1283" s="794"/>
      <c r="P1283" s="794"/>
      <c r="Q1283" s="794"/>
      <c r="R1283" s="794"/>
      <c r="S1283" s="794"/>
      <c r="T1283" s="794"/>
      <c r="U1283" s="794"/>
      <c r="V1283" s="794"/>
      <c r="W1283" s="794"/>
      <c r="X1283" s="794"/>
      <c r="Y1283" s="794"/>
      <c r="Z1283" s="794"/>
      <c r="AA1283" s="794"/>
      <c r="AB1283" s="794"/>
      <c r="AC1283" s="794"/>
      <c r="AD1283" s="794"/>
      <c r="AE1283"/>
    </row>
    <row r="1284" spans="1:66" ht="15" customHeight="1">
      <c r="A1284" s="91"/>
      <c r="B1284" s="794" t="str">
        <f>IF(CY1245&gt;0,"No puede ingresar cero en la col. Total debido a que registró el código 1 en la col. ¿Tuvo registro de la lesión de alguna persona...?","")</f>
        <v/>
      </c>
      <c r="C1284" s="794"/>
      <c r="D1284" s="794"/>
      <c r="E1284" s="794"/>
      <c r="F1284" s="794"/>
      <c r="G1284" s="794"/>
      <c r="H1284" s="794"/>
      <c r="I1284" s="794"/>
      <c r="J1284" s="794"/>
      <c r="K1284" s="794"/>
      <c r="L1284" s="794"/>
      <c r="M1284" s="794"/>
      <c r="N1284" s="794"/>
      <c r="O1284" s="794"/>
      <c r="P1284" s="794"/>
      <c r="Q1284" s="794"/>
      <c r="R1284" s="794"/>
      <c r="S1284" s="794"/>
      <c r="T1284" s="794"/>
      <c r="U1284" s="794"/>
      <c r="V1284" s="794"/>
      <c r="W1284" s="794"/>
      <c r="X1284" s="794"/>
      <c r="Y1284" s="794"/>
      <c r="Z1284" s="794"/>
      <c r="AA1284" s="794"/>
      <c r="AB1284" s="794"/>
      <c r="AC1284" s="794"/>
      <c r="AD1284" s="794"/>
      <c r="AE1284" s="794"/>
    </row>
    <row r="1285" spans="1:66" ht="15" customHeight="1">
      <c r="A1285" s="91"/>
      <c r="B1285" s="794"/>
      <c r="C1285" s="794"/>
      <c r="D1285" s="794"/>
      <c r="E1285" s="794"/>
      <c r="F1285" s="794"/>
      <c r="G1285" s="794"/>
      <c r="H1285" s="794"/>
      <c r="I1285" s="794"/>
      <c r="J1285" s="794"/>
      <c r="K1285" s="794"/>
      <c r="L1285" s="794"/>
      <c r="M1285" s="794"/>
      <c r="N1285" s="794"/>
      <c r="O1285" s="794"/>
      <c r="P1285" s="794"/>
      <c r="Q1285" s="794"/>
      <c r="R1285" s="794"/>
      <c r="S1285" s="794"/>
      <c r="T1285" s="794"/>
      <c r="U1285" s="794"/>
      <c r="V1285" s="794"/>
      <c r="W1285" s="794"/>
      <c r="X1285" s="794"/>
      <c r="Y1285" s="794"/>
      <c r="Z1285" s="794"/>
      <c r="AA1285" s="794"/>
      <c r="AB1285" s="794"/>
      <c r="AC1285" s="794"/>
      <c r="AD1285" s="794"/>
      <c r="AE1285" s="794"/>
    </row>
    <row r="1286" spans="1:66" ht="15" customHeight="1">
      <c r="A1286" s="91"/>
      <c r="AE1286"/>
    </row>
    <row r="1287" spans="1:66" ht="24" customHeight="1">
      <c r="A1287" s="49" t="s">
        <v>3807</v>
      </c>
      <c r="B1287" s="829" t="s">
        <v>3808</v>
      </c>
      <c r="C1287" s="960"/>
      <c r="D1287" s="960"/>
      <c r="E1287" s="960"/>
      <c r="F1287" s="960"/>
      <c r="G1287" s="960"/>
      <c r="H1287" s="960"/>
      <c r="I1287" s="960"/>
      <c r="J1287" s="960"/>
      <c r="K1287" s="960"/>
      <c r="L1287" s="960"/>
      <c r="M1287" s="960"/>
      <c r="N1287" s="960"/>
      <c r="O1287" s="960"/>
      <c r="P1287" s="960"/>
      <c r="Q1287" s="960"/>
      <c r="R1287" s="960"/>
      <c r="S1287" s="960"/>
      <c r="T1287" s="960"/>
      <c r="U1287" s="960"/>
      <c r="V1287" s="960"/>
      <c r="W1287" s="960"/>
      <c r="X1287" s="960"/>
      <c r="Y1287" s="960"/>
      <c r="Z1287" s="960"/>
      <c r="AA1287" s="960"/>
      <c r="AB1287" s="960"/>
      <c r="AC1287" s="960"/>
      <c r="AD1287" s="960"/>
    </row>
    <row r="1288" spans="1:66" ht="36" customHeight="1">
      <c r="A1288" s="49"/>
      <c r="B1288" s="107"/>
      <c r="C1288" s="830" t="s">
        <v>3809</v>
      </c>
      <c r="D1288" s="830"/>
      <c r="E1288" s="830"/>
      <c r="F1288" s="830"/>
      <c r="G1288" s="830"/>
      <c r="H1288" s="830"/>
      <c r="I1288" s="830"/>
      <c r="J1288" s="830"/>
      <c r="K1288" s="830"/>
      <c r="L1288" s="830"/>
      <c r="M1288" s="830"/>
      <c r="N1288" s="830"/>
      <c r="O1288" s="830"/>
      <c r="P1288" s="830"/>
      <c r="Q1288" s="830"/>
      <c r="R1288" s="830"/>
      <c r="S1288" s="830"/>
      <c r="T1288" s="830"/>
      <c r="U1288" s="830"/>
      <c r="V1288" s="830"/>
      <c r="W1288" s="830"/>
      <c r="X1288" s="830"/>
      <c r="Y1288" s="830"/>
      <c r="Z1288" s="830"/>
      <c r="AA1288" s="830"/>
      <c r="AB1288" s="830"/>
      <c r="AC1288" s="830"/>
      <c r="AD1288" s="830"/>
    </row>
    <row r="1289" spans="1:66" ht="24" customHeight="1">
      <c r="A1289" s="49"/>
      <c r="B1289" s="107"/>
      <c r="C1289" s="754" t="s">
        <v>3810</v>
      </c>
      <c r="D1289" s="830"/>
      <c r="E1289" s="830"/>
      <c r="F1289" s="830"/>
      <c r="G1289" s="830"/>
      <c r="H1289" s="830"/>
      <c r="I1289" s="830"/>
      <c r="J1289" s="830"/>
      <c r="K1289" s="830"/>
      <c r="L1289" s="830"/>
      <c r="M1289" s="830"/>
      <c r="N1289" s="830"/>
      <c r="O1289" s="830"/>
      <c r="P1289" s="830"/>
      <c r="Q1289" s="830"/>
      <c r="R1289" s="830"/>
      <c r="S1289" s="830"/>
      <c r="T1289" s="830"/>
      <c r="U1289" s="830"/>
      <c r="V1289" s="830"/>
      <c r="W1289" s="830"/>
      <c r="X1289" s="830"/>
      <c r="Y1289" s="830"/>
      <c r="Z1289" s="830"/>
      <c r="AA1289" s="830"/>
      <c r="AB1289" s="830"/>
      <c r="AC1289" s="830"/>
      <c r="AD1289" s="830"/>
    </row>
    <row r="1290" spans="1:66" ht="15" customHeight="1">
      <c r="A1290" s="49"/>
      <c r="B1290" s="107"/>
      <c r="C1290" s="132"/>
      <c r="D1290" s="132"/>
      <c r="E1290" s="132"/>
      <c r="F1290" s="132"/>
      <c r="G1290" s="132"/>
      <c r="H1290" s="132"/>
      <c r="I1290" s="132"/>
      <c r="J1290" s="132"/>
      <c r="K1290" s="132"/>
      <c r="L1290" s="132"/>
      <c r="M1290" s="132"/>
      <c r="N1290" s="132"/>
      <c r="O1290" s="132"/>
      <c r="P1290" s="132"/>
      <c r="Q1290" s="132"/>
      <c r="R1290" s="132"/>
      <c r="S1290" s="132"/>
      <c r="T1290" s="132"/>
      <c r="U1290" s="132"/>
      <c r="V1290" s="132"/>
      <c r="W1290" s="132"/>
      <c r="X1290" s="132"/>
      <c r="Y1290" s="132"/>
      <c r="Z1290" s="132"/>
      <c r="AA1290" s="132"/>
      <c r="AB1290" s="132"/>
      <c r="AC1290" s="132"/>
      <c r="AD1290" s="132"/>
    </row>
    <row r="1291" spans="1:66" ht="15" customHeight="1">
      <c r="A1291" s="115"/>
      <c r="AA1291" s="875" t="s">
        <v>2664</v>
      </c>
      <c r="AB1291" s="875"/>
      <c r="AC1291" s="875"/>
      <c r="AD1291" s="875"/>
    </row>
    <row r="1292" spans="1:66" ht="24" customHeight="1">
      <c r="A1292" s="142"/>
      <c r="B1292" s="113"/>
      <c r="C1292" s="732" t="s">
        <v>2581</v>
      </c>
      <c r="D1292" s="732"/>
      <c r="E1292" s="732"/>
      <c r="F1292" s="732"/>
      <c r="G1292" s="732"/>
      <c r="H1292" s="732"/>
      <c r="I1292" s="732"/>
      <c r="J1292" s="732"/>
      <c r="K1292" s="732"/>
      <c r="L1292" s="732"/>
      <c r="M1292" s="732"/>
      <c r="N1292" s="732"/>
      <c r="O1292" s="732"/>
      <c r="P1292" s="732" t="s">
        <v>3811</v>
      </c>
      <c r="Q1292" s="732"/>
      <c r="R1292" s="732"/>
      <c r="S1292" s="732"/>
      <c r="T1292" s="732"/>
      <c r="U1292" s="732"/>
      <c r="V1292" s="732"/>
      <c r="W1292" s="732"/>
      <c r="X1292" s="732"/>
      <c r="Y1292" s="732"/>
      <c r="Z1292" s="732"/>
      <c r="AA1292" s="732"/>
      <c r="AB1292" s="732"/>
      <c r="AC1292" s="732"/>
      <c r="AD1292" s="732"/>
    </row>
    <row r="1293" spans="1:66" ht="24" customHeight="1">
      <c r="A1293" s="142"/>
      <c r="B1293" s="113"/>
      <c r="C1293" s="732"/>
      <c r="D1293" s="732"/>
      <c r="E1293" s="732"/>
      <c r="F1293" s="732"/>
      <c r="G1293" s="732"/>
      <c r="H1293" s="732"/>
      <c r="I1293" s="732"/>
      <c r="J1293" s="732"/>
      <c r="K1293" s="732"/>
      <c r="L1293" s="732"/>
      <c r="M1293" s="732"/>
      <c r="N1293" s="732"/>
      <c r="O1293" s="732"/>
      <c r="P1293" s="874" t="s">
        <v>2628</v>
      </c>
      <c r="Q1293" s="857" t="s">
        <v>2629</v>
      </c>
      <c r="R1293" s="857" t="s">
        <v>2630</v>
      </c>
      <c r="S1293" s="736" t="s">
        <v>3192</v>
      </c>
      <c r="T1293" s="736"/>
      <c r="U1293" s="736"/>
      <c r="V1293" s="736" t="s">
        <v>3193</v>
      </c>
      <c r="W1293" s="736"/>
      <c r="X1293" s="736"/>
      <c r="Y1293" s="736" t="s">
        <v>3194</v>
      </c>
      <c r="Z1293" s="736"/>
      <c r="AA1293" s="736"/>
      <c r="AB1293" s="736" t="s">
        <v>3195</v>
      </c>
      <c r="AC1293" s="736"/>
      <c r="AD1293" s="736"/>
    </row>
    <row r="1294" spans="1:66" ht="48" customHeight="1">
      <c r="A1294" s="142"/>
      <c r="B1294" s="113"/>
      <c r="C1294" s="732"/>
      <c r="D1294" s="732"/>
      <c r="E1294" s="732"/>
      <c r="F1294" s="732"/>
      <c r="G1294" s="732"/>
      <c r="H1294" s="732"/>
      <c r="I1294" s="732"/>
      <c r="J1294" s="732"/>
      <c r="K1294" s="732"/>
      <c r="L1294" s="732"/>
      <c r="M1294" s="732"/>
      <c r="N1294" s="732"/>
      <c r="O1294" s="732"/>
      <c r="P1294" s="874"/>
      <c r="Q1294" s="857"/>
      <c r="R1294" s="857"/>
      <c r="S1294" s="127" t="s">
        <v>2635</v>
      </c>
      <c r="T1294" s="128" t="s">
        <v>2629</v>
      </c>
      <c r="U1294" s="128" t="s">
        <v>2630</v>
      </c>
      <c r="V1294" s="127" t="s">
        <v>2635</v>
      </c>
      <c r="W1294" s="128" t="s">
        <v>2629</v>
      </c>
      <c r="X1294" s="128" t="s">
        <v>2630</v>
      </c>
      <c r="Y1294" s="127" t="s">
        <v>2635</v>
      </c>
      <c r="Z1294" s="128" t="s">
        <v>2629</v>
      </c>
      <c r="AA1294" s="128" t="s">
        <v>2630</v>
      </c>
      <c r="AB1294" s="127" t="s">
        <v>2635</v>
      </c>
      <c r="AC1294" s="128" t="s">
        <v>2629</v>
      </c>
      <c r="AD1294" s="128" t="s">
        <v>2630</v>
      </c>
      <c r="AG1294" s="354" t="s">
        <v>2586</v>
      </c>
      <c r="AH1294" s="282" t="s">
        <v>2637</v>
      </c>
      <c r="AI1294" s="280" t="s">
        <v>2638</v>
      </c>
      <c r="AJ1294" s="281" t="s">
        <v>2639</v>
      </c>
      <c r="AK1294" s="282" t="s">
        <v>2640</v>
      </c>
      <c r="AL1294" s="280" t="s">
        <v>2641</v>
      </c>
      <c r="AM1294" s="281" t="s">
        <v>2642</v>
      </c>
      <c r="AN1294" s="282" t="s">
        <v>2643</v>
      </c>
      <c r="AO1294" s="280" t="s">
        <v>2644</v>
      </c>
      <c r="AP1294" s="281" t="s">
        <v>2645</v>
      </c>
      <c r="AQ1294" s="282" t="s">
        <v>2646</v>
      </c>
      <c r="AR1294" s="280" t="s">
        <v>2647</v>
      </c>
      <c r="AS1294" s="281" t="s">
        <v>2648</v>
      </c>
      <c r="AT1294" s="282" t="s">
        <v>2756</v>
      </c>
      <c r="AU1294" s="280" t="s">
        <v>2757</v>
      </c>
      <c r="AV1294" s="281" t="s">
        <v>2758</v>
      </c>
      <c r="AW1294" s="282" t="s">
        <v>2759</v>
      </c>
      <c r="AX1294" s="280" t="s">
        <v>2760</v>
      </c>
      <c r="AY1294" s="281" t="s">
        <v>2761</v>
      </c>
      <c r="AZ1294" s="282" t="s">
        <v>2762</v>
      </c>
      <c r="BA1294" s="280" t="s">
        <v>2763</v>
      </c>
      <c r="BB1294" s="281" t="s">
        <v>2764</v>
      </c>
      <c r="BC1294" s="282" t="s">
        <v>2765</v>
      </c>
      <c r="BD1294" s="280" t="s">
        <v>2766</v>
      </c>
      <c r="BE1294" s="281" t="s">
        <v>2767</v>
      </c>
      <c r="BF1294" s="282" t="s">
        <v>2768</v>
      </c>
      <c r="BG1294" s="280" t="s">
        <v>2769</v>
      </c>
      <c r="BH1294" s="281" t="s">
        <v>2770</v>
      </c>
      <c r="BI1294" s="282" t="s">
        <v>2771</v>
      </c>
      <c r="BJ1294" s="280" t="s">
        <v>2772</v>
      </c>
      <c r="BK1294" s="281" t="s">
        <v>2773</v>
      </c>
      <c r="BL1294" s="282" t="s">
        <v>2774</v>
      </c>
      <c r="BM1294" s="280" t="s">
        <v>2775</v>
      </c>
      <c r="BN1294" s="281" t="s">
        <v>2776</v>
      </c>
    </row>
    <row r="1295" spans="1:66" ht="15" customHeight="1">
      <c r="A1295" s="142"/>
      <c r="B1295" s="113"/>
      <c r="C1295" s="44" t="s">
        <v>2516</v>
      </c>
      <c r="D1295" s="813" t="str">
        <f>IF(CNSIPEE_2024_M2_Secc1!D42="","",CNSIPEE_2024_M2_Secc1!D42)</f>
        <v/>
      </c>
      <c r="E1295" s="814"/>
      <c r="F1295" s="814"/>
      <c r="G1295" s="814"/>
      <c r="H1295" s="814"/>
      <c r="I1295" s="814"/>
      <c r="J1295" s="814"/>
      <c r="K1295" s="814"/>
      <c r="L1295" s="814"/>
      <c r="M1295" s="814"/>
      <c r="N1295" s="814"/>
      <c r="O1295" s="815"/>
      <c r="P1295" s="100"/>
      <c r="Q1295" s="100"/>
      <c r="R1295" s="100"/>
      <c r="S1295" s="100"/>
      <c r="T1295" s="100"/>
      <c r="U1295" s="100"/>
      <c r="V1295" s="100"/>
      <c r="W1295" s="100"/>
      <c r="X1295" s="100"/>
      <c r="Y1295" s="100"/>
      <c r="Z1295" s="100"/>
      <c r="AA1295" s="100"/>
      <c r="AB1295" s="100"/>
      <c r="AC1295" s="100"/>
      <c r="AD1295" s="100"/>
      <c r="AG1295" s="326">
        <f t="shared" ref="AG1295:AG1302" si="1170">IF(AND($AH$1227=1,COUNTA(P1295:AD1295,M1309:AD1309)=0),0,IF(AND(COUNTBLANK(D1295)=0,$G1237&lt;&gt;"",$G1237&lt;&gt;1,COUNTA(P1295:AD1295,M1309:AD1309)=0),0,IF(AND(COUNTBLANK(D1295)=0,$G1237&lt;&gt;"",$G1237=1,COUNTA(P1295:AD1295,M1309:AD1309)=33),0,IF(AND(COUNTBLANK(D1295)=1,COUNTA(P1295:AD1295,M1309:AD1309)=0),0,1))))</f>
        <v>0</v>
      </c>
      <c r="AH1295" s="283">
        <f>COUNTIF(Q1295:R1295,"NS")</f>
        <v>0</v>
      </c>
      <c r="AI1295" s="283">
        <f>SUM(Q1295:R1295)</f>
        <v>0</v>
      </c>
      <c r="AJ1295" s="283">
        <f>IF(COUNTIF(P1295:R1295,"NA")=3,0,IF(COUNTA(P1295:R1295)=0,0,IF(OR(AND(P1295=0,AH1295&gt;0),AND(P1295="ns",AI1295&gt;0),AND(P1295="ns",AH1295=0,AI1295=0)),1,IF(OR(AND(P1295&gt;0,AH1295=2),AND(P1295="ns",AH1295=2),AND(P1295="ns",AI1295=0,AH1295&gt;0),P1295=AI1295),0,1))))</f>
        <v>0</v>
      </c>
      <c r="AK1295" s="283">
        <f>COUNTIF(T1295:U1295,"NS")</f>
        <v>0</v>
      </c>
      <c r="AL1295" s="283">
        <f>SUM(T1295:U1295)</f>
        <v>0</v>
      </c>
      <c r="AM1295" s="283">
        <f>IF(COUNTIF(S1295:U1295,"NA")=3,0,IF(COUNTA(S1295:U1295)=0,0,IF(OR(AND(S1295=0,AK1295&gt;0),AND(S1295="ns",AL1295&gt;0),AND(S1295="ns",AK1295=0,AL1295=0)),1,IF(OR(AND(S1295&gt;0,AK1295=2),AND(S1295="ns",AK1295=2),AND(S1295="ns",AL1295=0,AK1295&gt;0),S1295=AL1295),0,1))))</f>
        <v>0</v>
      </c>
      <c r="AN1295" s="283">
        <f>COUNTIF(W1295:X1295,"NS")</f>
        <v>0</v>
      </c>
      <c r="AO1295" s="283">
        <f>SUM(W1295:X1295)</f>
        <v>0</v>
      </c>
      <c r="AP1295" s="283">
        <f>IF(COUNTIF(V1295:X1295,"NA")=3,0,IF(COUNTA(V1295:X1295)=0,0,IF(OR(AND(V1295=0,AN1295&gt;0),AND(V1295="ns",AO1295&gt;0),AND(V1295="ns",AN1295=0,AO1295=0)),1,IF(OR(AND(V1295&gt;0,AN1295=2),AND(V1295="ns",AN1295=2),AND(V1295="ns",AO1295=0,AN1295&gt;0),V1295=AO1295),0,1))))</f>
        <v>0</v>
      </c>
      <c r="AQ1295" s="283">
        <f>COUNTIF(Z1295:AA1295,"NS")</f>
        <v>0</v>
      </c>
      <c r="AR1295" s="283">
        <f>SUM(Z1295:AA1295)</f>
        <v>0</v>
      </c>
      <c r="AS1295" s="283">
        <f>IF(COUNTIF(Y1295:AA1295,"NA")=3,0,IF(COUNTA(Y1295:AA1295)=0,0,IF(OR(AND(Y1295=0,AQ1295&gt;0),AND(Y1295="ns",AR1295&gt;0),AND(Y1295="ns",AQ1295=0,AR1295=0)),1,IF(OR(AND(Y1295&gt;0,AQ1295=2),AND(Y1295="ns",AQ1295=2),AND(Y1295="ns",AR1295=0,AQ1295&gt;0),Y1295=AR1295),0,1))))</f>
        <v>0</v>
      </c>
      <c r="AT1295" s="283">
        <f>COUNTIF(AC1295:AD1295,"NS")</f>
        <v>0</v>
      </c>
      <c r="AU1295" s="283">
        <f>SUM(AC1295:AD1295)</f>
        <v>0</v>
      </c>
      <c r="AV1295" s="283">
        <f>IF(COUNTIF(AB1295:AD1295,"NA")=3,0,IF(COUNTA(AB1295:AD1295)=0,0,IF(OR(AND(AB1295=0,AT1295&gt;0),AND(AB1295="ns",AU1295&gt;0),AND(AB1295="ns",AT1295=0,AU1295=0)),1,IF(OR(AND(AB1295&gt;0,AT1295=2),AND(AB1295="ns",AT1295=2),AND(AB1295="ns",AU1295=0,AT1295&gt;0),AB1295=AU1295),0,1))))</f>
        <v>0</v>
      </c>
      <c r="AW1295" s="283">
        <f>COUNTIF(N1309:O1309,"NS")</f>
        <v>0</v>
      </c>
      <c r="AX1295" s="283">
        <f>SUM(N1309:O1309)</f>
        <v>0</v>
      </c>
      <c r="AY1295" s="283">
        <f>IF(COUNTIF(M1309:O1309,"NA")=3,0,IF(COUNTA(M1309:O1309)=0,0,IF(OR(AND(M1309=0,AW1295&gt;0),AND(M1309="ns",AX1295&gt;0),AND(M1309="ns",AW1295=0,AX1295=0)),1,IF(OR(AND(M1309&gt;0,AW1295=2),AND(M1309="ns",AW1295=2),AND(M1309="ns",AX1295=0,AW1295&gt;0),M1309=AX1295),0,1))))</f>
        <v>0</v>
      </c>
      <c r="AZ1295" s="283">
        <f>COUNTIF(Q1309:R1309,"NS")</f>
        <v>0</v>
      </c>
      <c r="BA1295" s="283">
        <f>SUM(Q1309:R1309)</f>
        <v>0</v>
      </c>
      <c r="BB1295" s="283">
        <f>IF(COUNTIF(P1309:R1309,"NA")=3,0,IF(COUNTA(P1309:R1309)=0,0,IF(OR(AND(P1309=0,AZ1295&gt;0),AND(P1309="ns",BA1295&gt;0),AND(P1309="ns",AZ1295=0,BA1295=0)),1,IF(OR(AND(P1309&gt;0,AZ1295=2),AND(P1309="ns",AZ1295=2),AND(P1309="ns",BA1295=0,AZ1295&gt;0),P1309=BA1295),0,1))))</f>
        <v>0</v>
      </c>
      <c r="BC1295" s="283">
        <f>COUNTIF(T1309:U1309,"NS")</f>
        <v>0</v>
      </c>
      <c r="BD1295" s="283">
        <f>SUM(T1309:U1309)</f>
        <v>0</v>
      </c>
      <c r="BE1295" s="283">
        <f>IF(COUNTIF(S1309:U1309,"NA")=3,0,IF(COUNTA(S1309:U1309)=0,0,IF(OR(AND(S1309=0,BC1295&gt;0),AND(S1309="ns",BD1295&gt;0),AND(S1309="ns",BC1295=0,BD1295=0)),1,IF(OR(AND(S1309&gt;0,BC1295=2),AND(S1309="ns",BC1295=2),AND(S1309="ns",BD1295=0,BC1295&gt;0),S1309=BD1295),0,1))))</f>
        <v>0</v>
      </c>
      <c r="BF1295" s="283">
        <f>COUNTIF(W1309:X1309,"NS")</f>
        <v>0</v>
      </c>
      <c r="BG1295" s="283">
        <f>SUM(W1309:X1309)</f>
        <v>0</v>
      </c>
      <c r="BH1295" s="283">
        <f>IF(COUNTIF(V1309:X1309,"NA")=3,0,IF(COUNTA(V1309:X1309)=0,0,IF(OR(AND(V1309=0,BF1295&gt;0),AND(V1309="ns",BG1295&gt;0),AND(V1309="ns",BF1295=0,BG1295=0)),1,IF(OR(AND(V1309&gt;0,BF1295=2),AND(V1309="ns",BF1295=2),AND(V1309="ns",BG1295=0,BF1295&gt;0),V1309=BG1295),0,1))))</f>
        <v>0</v>
      </c>
      <c r="BI1295" s="283">
        <f>COUNTIF(Z1309:AA1309,"NS")</f>
        <v>0</v>
      </c>
      <c r="BJ1295" s="283">
        <f>SUM(Z1309:AA1309)</f>
        <v>0</v>
      </c>
      <c r="BK1295" s="283">
        <f>IF(COUNTIF(Y1309:AA1309,"NA")=3,0,IF(COUNTA(Y1309:AA1309)=0,0,IF(OR(AND(Y1309=0,BI1295&gt;0),AND(Y1309="ns",BJ1295&gt;0),AND(Y1309="ns",BI1295=0,BJ1295=0)),1,IF(OR(AND(Y1309&gt;0,BI1295=2),AND(Y1309="ns",BI1295=2),AND(Y1309="ns",BJ1295=0,BI1295&gt;0),Y1309=BJ1295),0,1))))</f>
        <v>0</v>
      </c>
      <c r="BL1295" s="283">
        <f>COUNTIF(AC1309:AD1309,"NS")</f>
        <v>0</v>
      </c>
      <c r="BM1295" s="283">
        <f>SUM(AC1309:AD1309)</f>
        <v>0</v>
      </c>
      <c r="BN1295" s="283">
        <f>IF(COUNTIF(AB1309:AD1309,"NA")=3,0,IF(COUNTA(AB1309:AD1309)=0,0,IF(OR(AND(AB1309=0,BL1295&gt;0),AND(AB1309="ns",BM1295&gt;0),AND(AB1309="ns",BL1295=0,BM1295=0)),1,IF(OR(AND(AB1309&gt;0,BL1295=2),AND(AB1309="ns",BL1295=2),AND(AB1309="ns",BM1295=0,BL1295&gt;0),AB1309=BM1295),0,1))))</f>
        <v>0</v>
      </c>
    </row>
    <row r="1296" spans="1:66" ht="15" customHeight="1">
      <c r="A1296" s="142"/>
      <c r="B1296" s="113"/>
      <c r="C1296" s="97" t="s">
        <v>2517</v>
      </c>
      <c r="D1296" s="813" t="str">
        <f>IF(CNSIPEE_2024_M2_Secc1!D43="","",CNSIPEE_2024_M2_Secc1!D43)</f>
        <v/>
      </c>
      <c r="E1296" s="814"/>
      <c r="F1296" s="814"/>
      <c r="G1296" s="814"/>
      <c r="H1296" s="814"/>
      <c r="I1296" s="814"/>
      <c r="J1296" s="814"/>
      <c r="K1296" s="814"/>
      <c r="L1296" s="814"/>
      <c r="M1296" s="814"/>
      <c r="N1296" s="814"/>
      <c r="O1296" s="815"/>
      <c r="P1296" s="100"/>
      <c r="Q1296" s="100"/>
      <c r="R1296" s="100"/>
      <c r="S1296" s="100"/>
      <c r="T1296" s="100"/>
      <c r="U1296" s="100"/>
      <c r="V1296" s="100"/>
      <c r="W1296" s="100"/>
      <c r="X1296" s="100"/>
      <c r="Y1296" s="100"/>
      <c r="Z1296" s="100"/>
      <c r="AA1296" s="100"/>
      <c r="AB1296" s="100"/>
      <c r="AC1296" s="100"/>
      <c r="AD1296" s="100"/>
      <c r="AG1296" s="326">
        <f t="shared" si="1170"/>
        <v>0</v>
      </c>
      <c r="AH1296" s="283">
        <f t="shared" ref="AH1296:AH1302" si="1171">COUNTIF(Q1296:R1296,"NS")</f>
        <v>0</v>
      </c>
      <c r="AI1296" s="283">
        <f t="shared" ref="AI1296:AI1302" si="1172">SUM(Q1296:R1296)</f>
        <v>0</v>
      </c>
      <c r="AJ1296" s="283">
        <f t="shared" ref="AJ1296:AJ1302" si="1173">IF(COUNTIF(P1296:R1296,"NA")=3,0,IF(COUNTA(P1296:R1296)=0,0,IF(OR(AND(P1296=0,AH1296&gt;0),AND(P1296="ns",AI1296&gt;0),AND(P1296="ns",AH1296=0,AI1296=0)),1,IF(OR(AND(P1296&gt;0,AH1296=2),AND(P1296="ns",AH1296=2),AND(P1296="ns",AI1296=0,AH1296&gt;0),P1296=AI1296),0,1))))</f>
        <v>0</v>
      </c>
      <c r="AK1296" s="283">
        <f t="shared" ref="AK1296:AK1302" si="1174">COUNTIF(T1296:U1296,"NS")</f>
        <v>0</v>
      </c>
      <c r="AL1296" s="283">
        <f t="shared" ref="AL1296:AL1302" si="1175">SUM(T1296:U1296)</f>
        <v>0</v>
      </c>
      <c r="AM1296" s="283">
        <f t="shared" ref="AM1296:AM1302" si="1176">IF(COUNTIF(S1296:U1296,"NA")=3,0,IF(COUNTA(S1296:U1296)=0,0,IF(OR(AND(S1296=0,AK1296&gt;0),AND(S1296="ns",AL1296&gt;0),AND(S1296="ns",AK1296=0,AL1296=0)),1,IF(OR(AND(S1296&gt;0,AK1296=2),AND(S1296="ns",AK1296=2),AND(S1296="ns",AL1296=0,AK1296&gt;0),S1296=AL1296),0,1))))</f>
        <v>0</v>
      </c>
      <c r="AN1296" s="283">
        <f t="shared" ref="AN1296:AN1302" si="1177">COUNTIF(W1296:X1296,"NS")</f>
        <v>0</v>
      </c>
      <c r="AO1296" s="283">
        <f t="shared" ref="AO1296:AO1302" si="1178">SUM(W1296:X1296)</f>
        <v>0</v>
      </c>
      <c r="AP1296" s="283">
        <f t="shared" ref="AP1296:AP1302" si="1179">IF(COUNTIF(V1296:X1296,"NA")=3,0,IF(COUNTA(V1296:X1296)=0,0,IF(OR(AND(V1296=0,AN1296&gt;0),AND(V1296="ns",AO1296&gt;0),AND(V1296="ns",AN1296=0,AO1296=0)),1,IF(OR(AND(V1296&gt;0,AN1296=2),AND(V1296="ns",AN1296=2),AND(V1296="ns",AO1296=0,AN1296&gt;0),V1296=AO1296),0,1))))</f>
        <v>0</v>
      </c>
      <c r="AQ1296" s="283">
        <f t="shared" ref="AQ1296:AQ1302" si="1180">COUNTIF(Z1296:AA1296,"NS")</f>
        <v>0</v>
      </c>
      <c r="AR1296" s="283">
        <f t="shared" ref="AR1296:AR1302" si="1181">SUM(Z1296:AA1296)</f>
        <v>0</v>
      </c>
      <c r="AS1296" s="283">
        <f t="shared" ref="AS1296:AS1302" si="1182">IF(COUNTIF(Y1296:AA1296,"NA")=3,0,IF(COUNTA(Y1296:AA1296)=0,0,IF(OR(AND(Y1296=0,AQ1296&gt;0),AND(Y1296="ns",AR1296&gt;0),AND(Y1296="ns",AQ1296=0,AR1296=0)),1,IF(OR(AND(Y1296&gt;0,AQ1296=2),AND(Y1296="ns",AQ1296=2),AND(Y1296="ns",AR1296=0,AQ1296&gt;0),Y1296=AR1296),0,1))))</f>
        <v>0</v>
      </c>
      <c r="AT1296" s="283">
        <f t="shared" ref="AT1296:AT1302" si="1183">COUNTIF(AC1296:AD1296,"NS")</f>
        <v>0</v>
      </c>
      <c r="AU1296" s="283">
        <f t="shared" ref="AU1296:AU1302" si="1184">SUM(AC1296:AD1296)</f>
        <v>0</v>
      </c>
      <c r="AV1296" s="283">
        <f t="shared" ref="AV1296:AV1302" si="1185">IF(COUNTIF(AB1296:AD1296,"NA")=3,0,IF(COUNTA(AB1296:AD1296)=0,0,IF(OR(AND(AB1296=0,AT1296&gt;0),AND(AB1296="ns",AU1296&gt;0),AND(AB1296="ns",AT1296=0,AU1296=0)),1,IF(OR(AND(AB1296&gt;0,AT1296=2),AND(AB1296="ns",AT1296=2),AND(AB1296="ns",AU1296=0,AT1296&gt;0),AB1296=AU1296),0,1))))</f>
        <v>0</v>
      </c>
      <c r="AW1296" s="283">
        <f t="shared" ref="AW1296:AW1302" si="1186">COUNTIF(N1310:O1310,"NS")</f>
        <v>0</v>
      </c>
      <c r="AX1296" s="283">
        <f t="shared" ref="AX1296:AX1302" si="1187">SUM(N1310:O1310)</f>
        <v>0</v>
      </c>
      <c r="AY1296" s="283">
        <f t="shared" ref="AY1296:AY1302" si="1188">IF(COUNTIF(M1310:O1310,"NA")=3,0,IF(COUNTA(M1310:O1310)=0,0,IF(OR(AND(M1310=0,AW1296&gt;0),AND(M1310="ns",AX1296&gt;0),AND(M1310="ns",AW1296=0,AX1296=0)),1,IF(OR(AND(M1310&gt;0,AW1296=2),AND(M1310="ns",AW1296=2),AND(M1310="ns",AX1296=0,AW1296&gt;0),M1310=AX1296),0,1))))</f>
        <v>0</v>
      </c>
      <c r="AZ1296" s="283">
        <f t="shared" ref="AZ1296:AZ1302" si="1189">COUNTIF(Q1310:R1310,"NS")</f>
        <v>0</v>
      </c>
      <c r="BA1296" s="283">
        <f t="shared" ref="BA1296:BA1302" si="1190">SUM(Q1310:R1310)</f>
        <v>0</v>
      </c>
      <c r="BB1296" s="283">
        <f t="shared" ref="BB1296:BB1302" si="1191">IF(COUNTIF(P1310:R1310,"NA")=3,0,IF(COUNTA(P1310:R1310)=0,0,IF(OR(AND(P1310=0,AZ1296&gt;0),AND(P1310="ns",BA1296&gt;0),AND(P1310="ns",AZ1296=0,BA1296=0)),1,IF(OR(AND(P1310&gt;0,AZ1296=2),AND(P1310="ns",AZ1296=2),AND(P1310="ns",BA1296=0,AZ1296&gt;0),P1310=BA1296),0,1))))</f>
        <v>0</v>
      </c>
      <c r="BC1296" s="283">
        <f t="shared" ref="BC1296:BC1302" si="1192">COUNTIF(T1310:U1310,"NS")</f>
        <v>0</v>
      </c>
      <c r="BD1296" s="283">
        <f t="shared" ref="BD1296:BD1302" si="1193">SUM(T1310:U1310)</f>
        <v>0</v>
      </c>
      <c r="BE1296" s="283">
        <f t="shared" ref="BE1296:BE1302" si="1194">IF(COUNTIF(S1310:U1310,"NA")=3,0,IF(COUNTA(S1310:U1310)=0,0,IF(OR(AND(S1310=0,BC1296&gt;0),AND(S1310="ns",BD1296&gt;0),AND(S1310="ns",BC1296=0,BD1296=0)),1,IF(OR(AND(S1310&gt;0,BC1296=2),AND(S1310="ns",BC1296=2),AND(S1310="ns",BD1296=0,BC1296&gt;0),S1310=BD1296),0,1))))</f>
        <v>0</v>
      </c>
      <c r="BF1296" s="283">
        <f t="shared" ref="BF1296:BF1302" si="1195">COUNTIF(W1310:X1310,"NS")</f>
        <v>0</v>
      </c>
      <c r="BG1296" s="283">
        <f t="shared" ref="BG1296:BG1302" si="1196">SUM(W1310:X1310)</f>
        <v>0</v>
      </c>
      <c r="BH1296" s="283">
        <f t="shared" ref="BH1296:BH1302" si="1197">IF(COUNTIF(V1310:X1310,"NA")=3,0,IF(COUNTA(V1310:X1310)=0,0,IF(OR(AND(V1310=0,BF1296&gt;0),AND(V1310="ns",BG1296&gt;0),AND(V1310="ns",BF1296=0,BG1296=0)),1,IF(OR(AND(V1310&gt;0,BF1296=2),AND(V1310="ns",BF1296=2),AND(V1310="ns",BG1296=0,BF1296&gt;0),V1310=BG1296),0,1))))</f>
        <v>0</v>
      </c>
      <c r="BI1296" s="283">
        <f t="shared" ref="BI1296:BI1302" si="1198">COUNTIF(Z1310:AA1310,"NS")</f>
        <v>0</v>
      </c>
      <c r="BJ1296" s="283">
        <f t="shared" ref="BJ1296:BJ1302" si="1199">SUM(Z1310:AA1310)</f>
        <v>0</v>
      </c>
      <c r="BK1296" s="283">
        <f t="shared" ref="BK1296:BK1302" si="1200">IF(COUNTIF(Y1310:AA1310,"NA")=3,0,IF(COUNTA(Y1310:AA1310)=0,0,IF(OR(AND(Y1310=0,BI1296&gt;0),AND(Y1310="ns",BJ1296&gt;0),AND(Y1310="ns",BI1296=0,BJ1296=0)),1,IF(OR(AND(Y1310&gt;0,BI1296=2),AND(Y1310="ns",BI1296=2),AND(Y1310="ns",BJ1296=0,BI1296&gt;0),Y1310=BJ1296),0,1))))</f>
        <v>0</v>
      </c>
      <c r="BL1296" s="283">
        <f t="shared" ref="BL1296:BL1302" si="1201">COUNTIF(AC1310:AD1310,"NS")</f>
        <v>0</v>
      </c>
      <c r="BM1296" s="283">
        <f t="shared" ref="BM1296:BM1302" si="1202">SUM(AC1310:AD1310)</f>
        <v>0</v>
      </c>
      <c r="BN1296" s="283">
        <f t="shared" ref="BN1296:BN1302" si="1203">IF(COUNTIF(AB1310:AD1310,"NA")=3,0,IF(COUNTA(AB1310:AD1310)=0,0,IF(OR(AND(AB1310=0,BL1296&gt;0),AND(AB1310="ns",BM1296&gt;0),AND(AB1310="ns",BL1296=0,BM1296=0)),1,IF(OR(AND(AB1310&gt;0,BL1296=2),AND(AB1310="ns",BL1296=2),AND(AB1310="ns",BM1296=0,BL1296&gt;0),AB1310=BM1296),0,1))))</f>
        <v>0</v>
      </c>
    </row>
    <row r="1297" spans="1:66" ht="15" customHeight="1">
      <c r="A1297" s="142"/>
      <c r="B1297" s="113"/>
      <c r="C1297" s="98" t="s">
        <v>2518</v>
      </c>
      <c r="D1297" s="813" t="str">
        <f>IF(CNSIPEE_2024_M2_Secc1!D44="","",CNSIPEE_2024_M2_Secc1!D44)</f>
        <v/>
      </c>
      <c r="E1297" s="814"/>
      <c r="F1297" s="814"/>
      <c r="G1297" s="814"/>
      <c r="H1297" s="814"/>
      <c r="I1297" s="814"/>
      <c r="J1297" s="814"/>
      <c r="K1297" s="814"/>
      <c r="L1297" s="814"/>
      <c r="M1297" s="814"/>
      <c r="N1297" s="814"/>
      <c r="O1297" s="815"/>
      <c r="P1297" s="100"/>
      <c r="Q1297" s="100"/>
      <c r="R1297" s="100"/>
      <c r="S1297" s="100"/>
      <c r="T1297" s="100"/>
      <c r="U1297" s="100"/>
      <c r="V1297" s="100"/>
      <c r="W1297" s="100"/>
      <c r="X1297" s="100"/>
      <c r="Y1297" s="100"/>
      <c r="Z1297" s="100"/>
      <c r="AA1297" s="100"/>
      <c r="AB1297" s="100"/>
      <c r="AC1297" s="100"/>
      <c r="AD1297" s="100"/>
      <c r="AG1297" s="326">
        <f t="shared" si="1170"/>
        <v>0</v>
      </c>
      <c r="AH1297" s="283">
        <f t="shared" si="1171"/>
        <v>0</v>
      </c>
      <c r="AI1297" s="283">
        <f t="shared" si="1172"/>
        <v>0</v>
      </c>
      <c r="AJ1297" s="283">
        <f t="shared" si="1173"/>
        <v>0</v>
      </c>
      <c r="AK1297" s="283">
        <f t="shared" si="1174"/>
        <v>0</v>
      </c>
      <c r="AL1297" s="283">
        <f t="shared" si="1175"/>
        <v>0</v>
      </c>
      <c r="AM1297" s="283">
        <f t="shared" si="1176"/>
        <v>0</v>
      </c>
      <c r="AN1297" s="283">
        <f t="shared" si="1177"/>
        <v>0</v>
      </c>
      <c r="AO1297" s="283">
        <f t="shared" si="1178"/>
        <v>0</v>
      </c>
      <c r="AP1297" s="283">
        <f t="shared" si="1179"/>
        <v>0</v>
      </c>
      <c r="AQ1297" s="283">
        <f t="shared" si="1180"/>
        <v>0</v>
      </c>
      <c r="AR1297" s="283">
        <f t="shared" si="1181"/>
        <v>0</v>
      </c>
      <c r="AS1297" s="283">
        <f t="shared" si="1182"/>
        <v>0</v>
      </c>
      <c r="AT1297" s="283">
        <f t="shared" si="1183"/>
        <v>0</v>
      </c>
      <c r="AU1297" s="283">
        <f t="shared" si="1184"/>
        <v>0</v>
      </c>
      <c r="AV1297" s="283">
        <f t="shared" si="1185"/>
        <v>0</v>
      </c>
      <c r="AW1297" s="283">
        <f t="shared" si="1186"/>
        <v>0</v>
      </c>
      <c r="AX1297" s="283">
        <f t="shared" si="1187"/>
        <v>0</v>
      </c>
      <c r="AY1297" s="283">
        <f t="shared" si="1188"/>
        <v>0</v>
      </c>
      <c r="AZ1297" s="283">
        <f t="shared" si="1189"/>
        <v>0</v>
      </c>
      <c r="BA1297" s="283">
        <f t="shared" si="1190"/>
        <v>0</v>
      </c>
      <c r="BB1297" s="283">
        <f t="shared" si="1191"/>
        <v>0</v>
      </c>
      <c r="BC1297" s="283">
        <f t="shared" si="1192"/>
        <v>0</v>
      </c>
      <c r="BD1297" s="283">
        <f t="shared" si="1193"/>
        <v>0</v>
      </c>
      <c r="BE1297" s="283">
        <f t="shared" si="1194"/>
        <v>0</v>
      </c>
      <c r="BF1297" s="283">
        <f t="shared" si="1195"/>
        <v>0</v>
      </c>
      <c r="BG1297" s="283">
        <f t="shared" si="1196"/>
        <v>0</v>
      </c>
      <c r="BH1297" s="283">
        <f t="shared" si="1197"/>
        <v>0</v>
      </c>
      <c r="BI1297" s="283">
        <f t="shared" si="1198"/>
        <v>0</v>
      </c>
      <c r="BJ1297" s="283">
        <f t="shared" si="1199"/>
        <v>0</v>
      </c>
      <c r="BK1297" s="283">
        <f t="shared" si="1200"/>
        <v>0</v>
      </c>
      <c r="BL1297" s="283">
        <f t="shared" si="1201"/>
        <v>0</v>
      </c>
      <c r="BM1297" s="283">
        <f t="shared" si="1202"/>
        <v>0</v>
      </c>
      <c r="BN1297" s="283">
        <f t="shared" si="1203"/>
        <v>0</v>
      </c>
    </row>
    <row r="1298" spans="1:66" ht="15" customHeight="1">
      <c r="A1298" s="142"/>
      <c r="B1298" s="113"/>
      <c r="C1298" s="98" t="s">
        <v>2519</v>
      </c>
      <c r="D1298" s="813" t="str">
        <f>IF(CNSIPEE_2024_M2_Secc1!D45="","",CNSIPEE_2024_M2_Secc1!D45)</f>
        <v/>
      </c>
      <c r="E1298" s="814"/>
      <c r="F1298" s="814"/>
      <c r="G1298" s="814"/>
      <c r="H1298" s="814"/>
      <c r="I1298" s="814"/>
      <c r="J1298" s="814"/>
      <c r="K1298" s="814"/>
      <c r="L1298" s="814"/>
      <c r="M1298" s="814"/>
      <c r="N1298" s="814"/>
      <c r="O1298" s="815"/>
      <c r="P1298" s="100"/>
      <c r="Q1298" s="100"/>
      <c r="R1298" s="100"/>
      <c r="S1298" s="100"/>
      <c r="T1298" s="100"/>
      <c r="U1298" s="100"/>
      <c r="V1298" s="100"/>
      <c r="W1298" s="100"/>
      <c r="X1298" s="100"/>
      <c r="Y1298" s="100"/>
      <c r="Z1298" s="100"/>
      <c r="AA1298" s="100"/>
      <c r="AB1298" s="100"/>
      <c r="AC1298" s="100"/>
      <c r="AD1298" s="100"/>
      <c r="AG1298" s="326">
        <f t="shared" si="1170"/>
        <v>0</v>
      </c>
      <c r="AH1298" s="283">
        <f t="shared" si="1171"/>
        <v>0</v>
      </c>
      <c r="AI1298" s="283">
        <f t="shared" si="1172"/>
        <v>0</v>
      </c>
      <c r="AJ1298" s="283">
        <f t="shared" si="1173"/>
        <v>0</v>
      </c>
      <c r="AK1298" s="283">
        <f t="shared" si="1174"/>
        <v>0</v>
      </c>
      <c r="AL1298" s="283">
        <f t="shared" si="1175"/>
        <v>0</v>
      </c>
      <c r="AM1298" s="283">
        <f t="shared" si="1176"/>
        <v>0</v>
      </c>
      <c r="AN1298" s="283">
        <f t="shared" si="1177"/>
        <v>0</v>
      </c>
      <c r="AO1298" s="283">
        <f t="shared" si="1178"/>
        <v>0</v>
      </c>
      <c r="AP1298" s="283">
        <f t="shared" si="1179"/>
        <v>0</v>
      </c>
      <c r="AQ1298" s="283">
        <f t="shared" si="1180"/>
        <v>0</v>
      </c>
      <c r="AR1298" s="283">
        <f t="shared" si="1181"/>
        <v>0</v>
      </c>
      <c r="AS1298" s="283">
        <f t="shared" si="1182"/>
        <v>0</v>
      </c>
      <c r="AT1298" s="283">
        <f t="shared" si="1183"/>
        <v>0</v>
      </c>
      <c r="AU1298" s="283">
        <f t="shared" si="1184"/>
        <v>0</v>
      </c>
      <c r="AV1298" s="283">
        <f t="shared" si="1185"/>
        <v>0</v>
      </c>
      <c r="AW1298" s="283">
        <f t="shared" si="1186"/>
        <v>0</v>
      </c>
      <c r="AX1298" s="283">
        <f t="shared" si="1187"/>
        <v>0</v>
      </c>
      <c r="AY1298" s="283">
        <f t="shared" si="1188"/>
        <v>0</v>
      </c>
      <c r="AZ1298" s="283">
        <f t="shared" si="1189"/>
        <v>0</v>
      </c>
      <c r="BA1298" s="283">
        <f t="shared" si="1190"/>
        <v>0</v>
      </c>
      <c r="BB1298" s="283">
        <f t="shared" si="1191"/>
        <v>0</v>
      </c>
      <c r="BC1298" s="283">
        <f t="shared" si="1192"/>
        <v>0</v>
      </c>
      <c r="BD1298" s="283">
        <f t="shared" si="1193"/>
        <v>0</v>
      </c>
      <c r="BE1298" s="283">
        <f t="shared" si="1194"/>
        <v>0</v>
      </c>
      <c r="BF1298" s="283">
        <f t="shared" si="1195"/>
        <v>0</v>
      </c>
      <c r="BG1298" s="283">
        <f t="shared" si="1196"/>
        <v>0</v>
      </c>
      <c r="BH1298" s="283">
        <f t="shared" si="1197"/>
        <v>0</v>
      </c>
      <c r="BI1298" s="283">
        <f t="shared" si="1198"/>
        <v>0</v>
      </c>
      <c r="BJ1298" s="283">
        <f t="shared" si="1199"/>
        <v>0</v>
      </c>
      <c r="BK1298" s="283">
        <f t="shared" si="1200"/>
        <v>0</v>
      </c>
      <c r="BL1298" s="283">
        <f t="shared" si="1201"/>
        <v>0</v>
      </c>
      <c r="BM1298" s="283">
        <f t="shared" si="1202"/>
        <v>0</v>
      </c>
      <c r="BN1298" s="283">
        <f t="shared" si="1203"/>
        <v>0</v>
      </c>
    </row>
    <row r="1299" spans="1:66" ht="15" customHeight="1">
      <c r="A1299" s="142"/>
      <c r="B1299" s="113"/>
      <c r="C1299" s="98" t="s">
        <v>2520</v>
      </c>
      <c r="D1299" s="813" t="str">
        <f>IF(CNSIPEE_2024_M2_Secc1!D46="","",CNSIPEE_2024_M2_Secc1!D46)</f>
        <v/>
      </c>
      <c r="E1299" s="814"/>
      <c r="F1299" s="814"/>
      <c r="G1299" s="814"/>
      <c r="H1299" s="814"/>
      <c r="I1299" s="814"/>
      <c r="J1299" s="814"/>
      <c r="K1299" s="814"/>
      <c r="L1299" s="814"/>
      <c r="M1299" s="814"/>
      <c r="N1299" s="814"/>
      <c r="O1299" s="815"/>
      <c r="P1299" s="100"/>
      <c r="Q1299" s="100"/>
      <c r="R1299" s="100"/>
      <c r="S1299" s="100"/>
      <c r="T1299" s="100"/>
      <c r="U1299" s="100"/>
      <c r="V1299" s="100"/>
      <c r="W1299" s="100"/>
      <c r="X1299" s="100"/>
      <c r="Y1299" s="100"/>
      <c r="Z1299" s="100"/>
      <c r="AA1299" s="100"/>
      <c r="AB1299" s="100"/>
      <c r="AC1299" s="100"/>
      <c r="AD1299" s="100"/>
      <c r="AG1299" s="326">
        <f t="shared" si="1170"/>
        <v>0</v>
      </c>
      <c r="AH1299" s="283">
        <f t="shared" si="1171"/>
        <v>0</v>
      </c>
      <c r="AI1299" s="283">
        <f t="shared" si="1172"/>
        <v>0</v>
      </c>
      <c r="AJ1299" s="283">
        <f t="shared" si="1173"/>
        <v>0</v>
      </c>
      <c r="AK1299" s="283">
        <f t="shared" si="1174"/>
        <v>0</v>
      </c>
      <c r="AL1299" s="283">
        <f t="shared" si="1175"/>
        <v>0</v>
      </c>
      <c r="AM1299" s="283">
        <f t="shared" si="1176"/>
        <v>0</v>
      </c>
      <c r="AN1299" s="283">
        <f t="shared" si="1177"/>
        <v>0</v>
      </c>
      <c r="AO1299" s="283">
        <f t="shared" si="1178"/>
        <v>0</v>
      </c>
      <c r="AP1299" s="283">
        <f t="shared" si="1179"/>
        <v>0</v>
      </c>
      <c r="AQ1299" s="283">
        <f t="shared" si="1180"/>
        <v>0</v>
      </c>
      <c r="AR1299" s="283">
        <f t="shared" si="1181"/>
        <v>0</v>
      </c>
      <c r="AS1299" s="283">
        <f t="shared" si="1182"/>
        <v>0</v>
      </c>
      <c r="AT1299" s="283">
        <f t="shared" si="1183"/>
        <v>0</v>
      </c>
      <c r="AU1299" s="283">
        <f t="shared" si="1184"/>
        <v>0</v>
      </c>
      <c r="AV1299" s="283">
        <f t="shared" si="1185"/>
        <v>0</v>
      </c>
      <c r="AW1299" s="283">
        <f t="shared" si="1186"/>
        <v>0</v>
      </c>
      <c r="AX1299" s="283">
        <f t="shared" si="1187"/>
        <v>0</v>
      </c>
      <c r="AY1299" s="283">
        <f t="shared" si="1188"/>
        <v>0</v>
      </c>
      <c r="AZ1299" s="283">
        <f t="shared" si="1189"/>
        <v>0</v>
      </c>
      <c r="BA1299" s="283">
        <f t="shared" si="1190"/>
        <v>0</v>
      </c>
      <c r="BB1299" s="283">
        <f t="shared" si="1191"/>
        <v>0</v>
      </c>
      <c r="BC1299" s="283">
        <f t="shared" si="1192"/>
        <v>0</v>
      </c>
      <c r="BD1299" s="283">
        <f t="shared" si="1193"/>
        <v>0</v>
      </c>
      <c r="BE1299" s="283">
        <f t="shared" si="1194"/>
        <v>0</v>
      </c>
      <c r="BF1299" s="283">
        <f t="shared" si="1195"/>
        <v>0</v>
      </c>
      <c r="BG1299" s="283">
        <f t="shared" si="1196"/>
        <v>0</v>
      </c>
      <c r="BH1299" s="283">
        <f t="shared" si="1197"/>
        <v>0</v>
      </c>
      <c r="BI1299" s="283">
        <f t="shared" si="1198"/>
        <v>0</v>
      </c>
      <c r="BJ1299" s="283">
        <f t="shared" si="1199"/>
        <v>0</v>
      </c>
      <c r="BK1299" s="283">
        <f t="shared" si="1200"/>
        <v>0</v>
      </c>
      <c r="BL1299" s="283">
        <f t="shared" si="1201"/>
        <v>0</v>
      </c>
      <c r="BM1299" s="283">
        <f t="shared" si="1202"/>
        <v>0</v>
      </c>
      <c r="BN1299" s="283">
        <f t="shared" si="1203"/>
        <v>0</v>
      </c>
    </row>
    <row r="1300" spans="1:66" ht="15" customHeight="1">
      <c r="A1300" s="142"/>
      <c r="B1300" s="113"/>
      <c r="C1300" s="98" t="s">
        <v>2521</v>
      </c>
      <c r="D1300" s="813" t="str">
        <f>IF(CNSIPEE_2024_M2_Secc1!D47="","",CNSIPEE_2024_M2_Secc1!D47)</f>
        <v/>
      </c>
      <c r="E1300" s="814"/>
      <c r="F1300" s="814"/>
      <c r="G1300" s="814"/>
      <c r="H1300" s="814"/>
      <c r="I1300" s="814"/>
      <c r="J1300" s="814"/>
      <c r="K1300" s="814"/>
      <c r="L1300" s="814"/>
      <c r="M1300" s="814"/>
      <c r="N1300" s="814"/>
      <c r="O1300" s="815"/>
      <c r="P1300" s="100"/>
      <c r="Q1300" s="100"/>
      <c r="R1300" s="100"/>
      <c r="S1300" s="100"/>
      <c r="T1300" s="100"/>
      <c r="U1300" s="100"/>
      <c r="V1300" s="100"/>
      <c r="W1300" s="100"/>
      <c r="X1300" s="100"/>
      <c r="Y1300" s="100"/>
      <c r="Z1300" s="100"/>
      <c r="AA1300" s="100"/>
      <c r="AB1300" s="100"/>
      <c r="AC1300" s="100"/>
      <c r="AD1300" s="100"/>
      <c r="AG1300" s="326">
        <f t="shared" si="1170"/>
        <v>0</v>
      </c>
      <c r="AH1300" s="283">
        <f t="shared" si="1171"/>
        <v>0</v>
      </c>
      <c r="AI1300" s="283">
        <f t="shared" si="1172"/>
        <v>0</v>
      </c>
      <c r="AJ1300" s="283">
        <f t="shared" si="1173"/>
        <v>0</v>
      </c>
      <c r="AK1300" s="283">
        <f t="shared" si="1174"/>
        <v>0</v>
      </c>
      <c r="AL1300" s="283">
        <f t="shared" si="1175"/>
        <v>0</v>
      </c>
      <c r="AM1300" s="283">
        <f t="shared" si="1176"/>
        <v>0</v>
      </c>
      <c r="AN1300" s="283">
        <f t="shared" si="1177"/>
        <v>0</v>
      </c>
      <c r="AO1300" s="283">
        <f t="shared" si="1178"/>
        <v>0</v>
      </c>
      <c r="AP1300" s="283">
        <f t="shared" si="1179"/>
        <v>0</v>
      </c>
      <c r="AQ1300" s="283">
        <f t="shared" si="1180"/>
        <v>0</v>
      </c>
      <c r="AR1300" s="283">
        <f t="shared" si="1181"/>
        <v>0</v>
      </c>
      <c r="AS1300" s="283">
        <f t="shared" si="1182"/>
        <v>0</v>
      </c>
      <c r="AT1300" s="283">
        <f t="shared" si="1183"/>
        <v>0</v>
      </c>
      <c r="AU1300" s="283">
        <f t="shared" si="1184"/>
        <v>0</v>
      </c>
      <c r="AV1300" s="283">
        <f t="shared" si="1185"/>
        <v>0</v>
      </c>
      <c r="AW1300" s="283">
        <f t="shared" si="1186"/>
        <v>0</v>
      </c>
      <c r="AX1300" s="283">
        <f t="shared" si="1187"/>
        <v>0</v>
      </c>
      <c r="AY1300" s="283">
        <f t="shared" si="1188"/>
        <v>0</v>
      </c>
      <c r="AZ1300" s="283">
        <f t="shared" si="1189"/>
        <v>0</v>
      </c>
      <c r="BA1300" s="283">
        <f t="shared" si="1190"/>
        <v>0</v>
      </c>
      <c r="BB1300" s="283">
        <f t="shared" si="1191"/>
        <v>0</v>
      </c>
      <c r="BC1300" s="283">
        <f t="shared" si="1192"/>
        <v>0</v>
      </c>
      <c r="BD1300" s="283">
        <f t="shared" si="1193"/>
        <v>0</v>
      </c>
      <c r="BE1300" s="283">
        <f t="shared" si="1194"/>
        <v>0</v>
      </c>
      <c r="BF1300" s="283">
        <f t="shared" si="1195"/>
        <v>0</v>
      </c>
      <c r="BG1300" s="283">
        <f t="shared" si="1196"/>
        <v>0</v>
      </c>
      <c r="BH1300" s="283">
        <f t="shared" si="1197"/>
        <v>0</v>
      </c>
      <c r="BI1300" s="283">
        <f t="shared" si="1198"/>
        <v>0</v>
      </c>
      <c r="BJ1300" s="283">
        <f t="shared" si="1199"/>
        <v>0</v>
      </c>
      <c r="BK1300" s="283">
        <f t="shared" si="1200"/>
        <v>0</v>
      </c>
      <c r="BL1300" s="283">
        <f t="shared" si="1201"/>
        <v>0</v>
      </c>
      <c r="BM1300" s="283">
        <f t="shared" si="1202"/>
        <v>0</v>
      </c>
      <c r="BN1300" s="283">
        <f t="shared" si="1203"/>
        <v>0</v>
      </c>
    </row>
    <row r="1301" spans="1:66" ht="15" customHeight="1">
      <c r="A1301" s="142"/>
      <c r="B1301" s="113"/>
      <c r="C1301" s="98" t="s">
        <v>2522</v>
      </c>
      <c r="D1301" s="813" t="str">
        <f>IF(CNSIPEE_2024_M2_Secc1!D48="","",CNSIPEE_2024_M2_Secc1!D48)</f>
        <v/>
      </c>
      <c r="E1301" s="814"/>
      <c r="F1301" s="814"/>
      <c r="G1301" s="814"/>
      <c r="H1301" s="814"/>
      <c r="I1301" s="814"/>
      <c r="J1301" s="814"/>
      <c r="K1301" s="814"/>
      <c r="L1301" s="814"/>
      <c r="M1301" s="814"/>
      <c r="N1301" s="814"/>
      <c r="O1301" s="815"/>
      <c r="P1301" s="100"/>
      <c r="Q1301" s="100"/>
      <c r="R1301" s="100"/>
      <c r="S1301" s="100"/>
      <c r="T1301" s="100"/>
      <c r="U1301" s="100"/>
      <c r="V1301" s="100"/>
      <c r="W1301" s="100"/>
      <c r="X1301" s="100"/>
      <c r="Y1301" s="100"/>
      <c r="Z1301" s="100"/>
      <c r="AA1301" s="100"/>
      <c r="AB1301" s="100"/>
      <c r="AC1301" s="100"/>
      <c r="AD1301" s="100"/>
      <c r="AG1301" s="326">
        <f t="shared" si="1170"/>
        <v>0</v>
      </c>
      <c r="AH1301" s="283">
        <f t="shared" si="1171"/>
        <v>0</v>
      </c>
      <c r="AI1301" s="283">
        <f t="shared" si="1172"/>
        <v>0</v>
      </c>
      <c r="AJ1301" s="283">
        <f t="shared" si="1173"/>
        <v>0</v>
      </c>
      <c r="AK1301" s="283">
        <f t="shared" si="1174"/>
        <v>0</v>
      </c>
      <c r="AL1301" s="283">
        <f t="shared" si="1175"/>
        <v>0</v>
      </c>
      <c r="AM1301" s="283">
        <f t="shared" si="1176"/>
        <v>0</v>
      </c>
      <c r="AN1301" s="283">
        <f t="shared" si="1177"/>
        <v>0</v>
      </c>
      <c r="AO1301" s="283">
        <f t="shared" si="1178"/>
        <v>0</v>
      </c>
      <c r="AP1301" s="283">
        <f t="shared" si="1179"/>
        <v>0</v>
      </c>
      <c r="AQ1301" s="283">
        <f t="shared" si="1180"/>
        <v>0</v>
      </c>
      <c r="AR1301" s="283">
        <f t="shared" si="1181"/>
        <v>0</v>
      </c>
      <c r="AS1301" s="283">
        <f t="shared" si="1182"/>
        <v>0</v>
      </c>
      <c r="AT1301" s="283">
        <f t="shared" si="1183"/>
        <v>0</v>
      </c>
      <c r="AU1301" s="283">
        <f t="shared" si="1184"/>
        <v>0</v>
      </c>
      <c r="AV1301" s="283">
        <f t="shared" si="1185"/>
        <v>0</v>
      </c>
      <c r="AW1301" s="283">
        <f t="shared" si="1186"/>
        <v>0</v>
      </c>
      <c r="AX1301" s="283">
        <f t="shared" si="1187"/>
        <v>0</v>
      </c>
      <c r="AY1301" s="283">
        <f t="shared" si="1188"/>
        <v>0</v>
      </c>
      <c r="AZ1301" s="283">
        <f t="shared" si="1189"/>
        <v>0</v>
      </c>
      <c r="BA1301" s="283">
        <f t="shared" si="1190"/>
        <v>0</v>
      </c>
      <c r="BB1301" s="283">
        <f t="shared" si="1191"/>
        <v>0</v>
      </c>
      <c r="BC1301" s="283">
        <f t="shared" si="1192"/>
        <v>0</v>
      </c>
      <c r="BD1301" s="283">
        <f t="shared" si="1193"/>
        <v>0</v>
      </c>
      <c r="BE1301" s="283">
        <f t="shared" si="1194"/>
        <v>0</v>
      </c>
      <c r="BF1301" s="283">
        <f t="shared" si="1195"/>
        <v>0</v>
      </c>
      <c r="BG1301" s="283">
        <f t="shared" si="1196"/>
        <v>0</v>
      </c>
      <c r="BH1301" s="283">
        <f t="shared" si="1197"/>
        <v>0</v>
      </c>
      <c r="BI1301" s="283">
        <f t="shared" si="1198"/>
        <v>0</v>
      </c>
      <c r="BJ1301" s="283">
        <f t="shared" si="1199"/>
        <v>0</v>
      </c>
      <c r="BK1301" s="283">
        <f t="shared" si="1200"/>
        <v>0</v>
      </c>
      <c r="BL1301" s="283">
        <f t="shared" si="1201"/>
        <v>0</v>
      </c>
      <c r="BM1301" s="283">
        <f t="shared" si="1202"/>
        <v>0</v>
      </c>
      <c r="BN1301" s="283">
        <f t="shared" si="1203"/>
        <v>0</v>
      </c>
    </row>
    <row r="1302" spans="1:66" ht="15" customHeight="1">
      <c r="A1302" s="142"/>
      <c r="B1302" s="113"/>
      <c r="C1302" s="98" t="s">
        <v>2523</v>
      </c>
      <c r="D1302" s="813" t="str">
        <f>IF(CNSIPEE_2024_M2_Secc1!D49="","",CNSIPEE_2024_M2_Secc1!D49)</f>
        <v/>
      </c>
      <c r="E1302" s="814"/>
      <c r="F1302" s="814"/>
      <c r="G1302" s="814"/>
      <c r="H1302" s="814"/>
      <c r="I1302" s="814"/>
      <c r="J1302" s="814"/>
      <c r="K1302" s="814"/>
      <c r="L1302" s="814"/>
      <c r="M1302" s="814"/>
      <c r="N1302" s="814"/>
      <c r="O1302" s="815"/>
      <c r="P1302" s="100"/>
      <c r="Q1302" s="100"/>
      <c r="R1302" s="100"/>
      <c r="S1302" s="100"/>
      <c r="T1302" s="100"/>
      <c r="U1302" s="100"/>
      <c r="V1302" s="100"/>
      <c r="W1302" s="100"/>
      <c r="X1302" s="100"/>
      <c r="Y1302" s="100"/>
      <c r="Z1302" s="100"/>
      <c r="AA1302" s="100"/>
      <c r="AB1302" s="100"/>
      <c r="AC1302" s="100"/>
      <c r="AD1302" s="100"/>
      <c r="AG1302" s="326">
        <f t="shared" si="1170"/>
        <v>0</v>
      </c>
      <c r="AH1302" s="283">
        <f t="shared" si="1171"/>
        <v>0</v>
      </c>
      <c r="AI1302" s="283">
        <f t="shared" si="1172"/>
        <v>0</v>
      </c>
      <c r="AJ1302" s="283">
        <f t="shared" si="1173"/>
        <v>0</v>
      </c>
      <c r="AK1302" s="283">
        <f t="shared" si="1174"/>
        <v>0</v>
      </c>
      <c r="AL1302" s="283">
        <f t="shared" si="1175"/>
        <v>0</v>
      </c>
      <c r="AM1302" s="283">
        <f t="shared" si="1176"/>
        <v>0</v>
      </c>
      <c r="AN1302" s="283">
        <f t="shared" si="1177"/>
        <v>0</v>
      </c>
      <c r="AO1302" s="283">
        <f t="shared" si="1178"/>
        <v>0</v>
      </c>
      <c r="AP1302" s="283">
        <f t="shared" si="1179"/>
        <v>0</v>
      </c>
      <c r="AQ1302" s="283">
        <f t="shared" si="1180"/>
        <v>0</v>
      </c>
      <c r="AR1302" s="283">
        <f t="shared" si="1181"/>
        <v>0</v>
      </c>
      <c r="AS1302" s="283">
        <f t="shared" si="1182"/>
        <v>0</v>
      </c>
      <c r="AT1302" s="283">
        <f t="shared" si="1183"/>
        <v>0</v>
      </c>
      <c r="AU1302" s="283">
        <f t="shared" si="1184"/>
        <v>0</v>
      </c>
      <c r="AV1302" s="283">
        <f t="shared" si="1185"/>
        <v>0</v>
      </c>
      <c r="AW1302" s="283">
        <f t="shared" si="1186"/>
        <v>0</v>
      </c>
      <c r="AX1302" s="283">
        <f t="shared" si="1187"/>
        <v>0</v>
      </c>
      <c r="AY1302" s="283">
        <f t="shared" si="1188"/>
        <v>0</v>
      </c>
      <c r="AZ1302" s="283">
        <f t="shared" si="1189"/>
        <v>0</v>
      </c>
      <c r="BA1302" s="283">
        <f t="shared" si="1190"/>
        <v>0</v>
      </c>
      <c r="BB1302" s="283">
        <f t="shared" si="1191"/>
        <v>0</v>
      </c>
      <c r="BC1302" s="283">
        <f t="shared" si="1192"/>
        <v>0</v>
      </c>
      <c r="BD1302" s="283">
        <f t="shared" si="1193"/>
        <v>0</v>
      </c>
      <c r="BE1302" s="283">
        <f t="shared" si="1194"/>
        <v>0</v>
      </c>
      <c r="BF1302" s="283">
        <f t="shared" si="1195"/>
        <v>0</v>
      </c>
      <c r="BG1302" s="283">
        <f t="shared" si="1196"/>
        <v>0</v>
      </c>
      <c r="BH1302" s="283">
        <f t="shared" si="1197"/>
        <v>0</v>
      </c>
      <c r="BI1302" s="283">
        <f t="shared" si="1198"/>
        <v>0</v>
      </c>
      <c r="BJ1302" s="283">
        <f t="shared" si="1199"/>
        <v>0</v>
      </c>
      <c r="BK1302" s="283">
        <f t="shared" si="1200"/>
        <v>0</v>
      </c>
      <c r="BL1302" s="283">
        <f t="shared" si="1201"/>
        <v>0</v>
      </c>
      <c r="BM1302" s="283">
        <f t="shared" si="1202"/>
        <v>0</v>
      </c>
      <c r="BN1302" s="283">
        <f t="shared" si="1203"/>
        <v>0</v>
      </c>
    </row>
    <row r="1303" spans="1:66" ht="15" customHeight="1">
      <c r="A1303" s="49"/>
      <c r="B1303" s="123"/>
      <c r="C1303" s="123"/>
      <c r="D1303" s="123"/>
      <c r="E1303" s="123"/>
      <c r="G1303" s="123"/>
      <c r="H1303" s="123"/>
      <c r="I1303" s="123"/>
      <c r="J1303" s="123"/>
      <c r="K1303" s="123"/>
      <c r="L1303" s="123"/>
      <c r="M1303" s="123"/>
      <c r="N1303" s="123"/>
      <c r="O1303" s="117" t="s">
        <v>2649</v>
      </c>
      <c r="P1303" s="124">
        <f>IF(AND(SUM(P1295:P1302)=0,COUNTIF(P1295:P1302,"NS")&gt;0),"NS",
IF(AND(SUM(P1295:P1302)=0,COUNTIF(P1295:P1302,0)&gt;0),0,
IF(AND(SUM(P1295:P1302)=0,COUNTIF(P1295:P1302,"NA")&gt;0),"NA",
SUM(P1295:P1302))))</f>
        <v>0</v>
      </c>
      <c r="Q1303" s="124">
        <f t="shared" ref="Q1303:AD1303" si="1204">IF(AND(SUM(Q1295:Q1302)=0,COUNTIF(Q1295:Q1302,"NS")&gt;0),"NS",
IF(AND(SUM(Q1295:Q1302)=0,COUNTIF(Q1295:Q1302,0)&gt;0),0,
IF(AND(SUM(Q1295:Q1302)=0,COUNTIF(Q1295:Q1302,"NA")&gt;0),"NA",
SUM(Q1295:Q1302))))</f>
        <v>0</v>
      </c>
      <c r="R1303" s="124">
        <f t="shared" si="1204"/>
        <v>0</v>
      </c>
      <c r="S1303" s="124">
        <f t="shared" si="1204"/>
        <v>0</v>
      </c>
      <c r="T1303" s="124">
        <f t="shared" si="1204"/>
        <v>0</v>
      </c>
      <c r="U1303" s="124">
        <f t="shared" si="1204"/>
        <v>0</v>
      </c>
      <c r="V1303" s="124">
        <f t="shared" si="1204"/>
        <v>0</v>
      </c>
      <c r="W1303" s="124">
        <f t="shared" si="1204"/>
        <v>0</v>
      </c>
      <c r="X1303" s="124">
        <f t="shared" si="1204"/>
        <v>0</v>
      </c>
      <c r="Y1303" s="124">
        <f t="shared" si="1204"/>
        <v>0</v>
      </c>
      <c r="Z1303" s="124">
        <f t="shared" si="1204"/>
        <v>0</v>
      </c>
      <c r="AA1303" s="124">
        <f t="shared" si="1204"/>
        <v>0</v>
      </c>
      <c r="AB1303" s="124">
        <f t="shared" si="1204"/>
        <v>0</v>
      </c>
      <c r="AC1303" s="124">
        <f t="shared" si="1204"/>
        <v>0</v>
      </c>
      <c r="AD1303" s="124">
        <f t="shared" si="1204"/>
        <v>0</v>
      </c>
      <c r="AG1303" s="354">
        <f>SUM(AG1295:AG1302)</f>
        <v>0</v>
      </c>
      <c r="AH1303" s="406">
        <f>SUM(AH1295:AH1302)</f>
        <v>0</v>
      </c>
      <c r="AI1303" s="326"/>
      <c r="AJ1303" s="352">
        <f>SUM(AJ1295:AJ1302)</f>
        <v>0</v>
      </c>
      <c r="AK1303" s="406">
        <f t="shared" ref="AK1303" si="1205">SUM(AK1295:AK1302)</f>
        <v>0</v>
      </c>
      <c r="AL1303" s="326"/>
      <c r="AM1303" s="352">
        <f t="shared" ref="AM1303:AN1303" si="1206">SUM(AM1295:AM1302)</f>
        <v>0</v>
      </c>
      <c r="AN1303" s="406">
        <f t="shared" si="1206"/>
        <v>0</v>
      </c>
      <c r="AO1303" s="326"/>
      <c r="AP1303" s="352">
        <f t="shared" ref="AP1303:AQ1303" si="1207">SUM(AP1295:AP1302)</f>
        <v>0</v>
      </c>
      <c r="AQ1303" s="406">
        <f t="shared" si="1207"/>
        <v>0</v>
      </c>
      <c r="AR1303" s="326"/>
      <c r="AS1303" s="352">
        <f t="shared" ref="AS1303:AT1303" si="1208">SUM(AS1295:AS1302)</f>
        <v>0</v>
      </c>
      <c r="AT1303" s="406">
        <f t="shared" si="1208"/>
        <v>0</v>
      </c>
      <c r="AU1303" s="326"/>
      <c r="AV1303" s="352">
        <f t="shared" ref="AV1303:AW1303" si="1209">SUM(AV1295:AV1302)</f>
        <v>0</v>
      </c>
      <c r="AW1303" s="406">
        <f t="shared" si="1209"/>
        <v>0</v>
      </c>
      <c r="AX1303" s="326"/>
      <c r="AY1303" s="352">
        <f t="shared" ref="AY1303:AZ1303" si="1210">SUM(AY1295:AY1302)</f>
        <v>0</v>
      </c>
      <c r="AZ1303" s="406">
        <f t="shared" si="1210"/>
        <v>0</v>
      </c>
      <c r="BA1303" s="326"/>
      <c r="BB1303" s="352">
        <f t="shared" ref="BB1303:BC1303" si="1211">SUM(BB1295:BB1302)</f>
        <v>0</v>
      </c>
      <c r="BC1303" s="406">
        <f t="shared" si="1211"/>
        <v>0</v>
      </c>
      <c r="BD1303" s="326"/>
      <c r="BE1303" s="352">
        <f t="shared" ref="BE1303:BF1303" si="1212">SUM(BE1295:BE1302)</f>
        <v>0</v>
      </c>
      <c r="BF1303" s="406">
        <f t="shared" si="1212"/>
        <v>0</v>
      </c>
      <c r="BG1303" s="326"/>
      <c r="BH1303" s="352">
        <f t="shared" ref="BH1303:BI1303" si="1213">SUM(BH1295:BH1302)</f>
        <v>0</v>
      </c>
      <c r="BI1303" s="406">
        <f t="shared" si="1213"/>
        <v>0</v>
      </c>
      <c r="BJ1303" s="326"/>
      <c r="BK1303" s="352">
        <f t="shared" ref="BK1303:BL1303" si="1214">SUM(BK1295:BK1302)</f>
        <v>0</v>
      </c>
      <c r="BL1303" s="406">
        <f t="shared" si="1214"/>
        <v>0</v>
      </c>
      <c r="BM1303" s="326"/>
      <c r="BN1303" s="352">
        <f t="shared" ref="BN1303" si="1215">SUM(BN1295:BN1302)</f>
        <v>0</v>
      </c>
    </row>
    <row r="1304" spans="1:66" ht="15" customHeight="1">
      <c r="A1304" s="91"/>
    </row>
    <row r="1305" spans="1:66" ht="15" customHeight="1">
      <c r="A1305" s="115"/>
      <c r="AA1305" s="875" t="s">
        <v>2668</v>
      </c>
      <c r="AB1305" s="875"/>
      <c r="AC1305" s="875"/>
      <c r="AD1305" s="875"/>
      <c r="AJ1305" s="356" t="s">
        <v>2650</v>
      </c>
      <c r="AK1305" s="283">
        <f>SUM(AJ1303,AM1303,AP1303,AS1303,AV1303,AY1303,BB1303,BE1303,BH1303,BK1303,BN1303)</f>
        <v>0</v>
      </c>
      <c r="AL1305" s="355" t="s">
        <v>2651</v>
      </c>
      <c r="AM1305" s="283">
        <f>SUM(AH1303,AK1303,AN1303,AQ1303,AT1303,AW1303,AZ1303,BC1303,BF1303,BI1303,BL1303)</f>
        <v>0</v>
      </c>
      <c r="AN1305" s="283"/>
      <c r="AO1305" s="283"/>
    </row>
    <row r="1306" spans="1:66" ht="24" customHeight="1">
      <c r="A1306" s="142"/>
      <c r="B1306" s="113"/>
      <c r="C1306" s="797" t="s">
        <v>2581</v>
      </c>
      <c r="D1306" s="798"/>
      <c r="E1306" s="798"/>
      <c r="F1306" s="798"/>
      <c r="G1306" s="798"/>
      <c r="H1306" s="798"/>
      <c r="I1306" s="798"/>
      <c r="J1306" s="798"/>
      <c r="K1306" s="798"/>
      <c r="L1306" s="799"/>
      <c r="M1306" s="739" t="s">
        <v>3811</v>
      </c>
      <c r="N1306" s="740"/>
      <c r="O1306" s="740"/>
      <c r="P1306" s="740"/>
      <c r="Q1306" s="740"/>
      <c r="R1306" s="740"/>
      <c r="S1306" s="740"/>
      <c r="T1306" s="740"/>
      <c r="U1306" s="740"/>
      <c r="V1306" s="740"/>
      <c r="W1306" s="740"/>
      <c r="X1306" s="740"/>
      <c r="Y1306" s="740"/>
      <c r="Z1306" s="740"/>
      <c r="AA1306" s="740"/>
      <c r="AB1306" s="740"/>
      <c r="AC1306" s="740"/>
      <c r="AD1306" s="741"/>
      <c r="AJ1306" s="356" t="s">
        <v>2652</v>
      </c>
      <c r="AK1306" s="438">
        <f>IF(AM1305&gt;0,IF(SUM(P1303)&gt;=SUM(S1303,V1303,Y1303,AB1303,M1317,P1317,S1317,V1317,Y1317,AB1317),0,1),IF(SUM(P1303)&lt;&gt;SUM(S1303,V1303,Y1303,AB1303,M1317,P1317,S1317,V1317,Y1317,AB1317),1,0))</f>
        <v>0</v>
      </c>
      <c r="AL1306" s="357" t="s">
        <v>2653</v>
      </c>
      <c r="AM1306" s="438">
        <f>IF(AM1305&gt;0,IF(SUM(Q1303)&gt;=SUM(T1303,W1303,Z1303,AC1303,N1317,Q1317,T1317,W1317,Z1317,AC1317),0,1),IF(SUM(Q1303)&lt;&gt;SUM(T1303,W1303,Z1303,AC1303,N1317,Q1317,T1317,W1317,Z1317,AC1317),1,0))</f>
        <v>0</v>
      </c>
      <c r="AN1306" s="357" t="s">
        <v>2654</v>
      </c>
      <c r="AO1306" s="438">
        <f>IF(AM1305&gt;0,IF(SUM(R1303)&gt;=SUM(U1303,X1303,AA1303,AD1303,O1317,R1317,U1317,X1317,AA1317,AD1317),0,1),IF(SUM(R1303)&lt;&gt;SUM(U1303,X1303,AA1303,AD1303,O1317,R1317,U1317,X1317,AA1317,AD1317),1,0))</f>
        <v>0</v>
      </c>
    </row>
    <row r="1307" spans="1:66" ht="24" customHeight="1">
      <c r="A1307" s="142"/>
      <c r="C1307" s="800"/>
      <c r="D1307" s="801"/>
      <c r="E1307" s="801"/>
      <c r="F1307" s="801"/>
      <c r="G1307" s="801"/>
      <c r="H1307" s="801"/>
      <c r="I1307" s="801"/>
      <c r="J1307" s="801"/>
      <c r="K1307" s="801"/>
      <c r="L1307" s="802"/>
      <c r="M1307" s="824" t="s">
        <v>3196</v>
      </c>
      <c r="N1307" s="825"/>
      <c r="O1307" s="826"/>
      <c r="P1307" s="824" t="s">
        <v>3197</v>
      </c>
      <c r="Q1307" s="825"/>
      <c r="R1307" s="826"/>
      <c r="S1307" s="824" t="s">
        <v>3198</v>
      </c>
      <c r="T1307" s="825"/>
      <c r="U1307" s="826"/>
      <c r="V1307" s="824" t="s">
        <v>3199</v>
      </c>
      <c r="W1307" s="825"/>
      <c r="X1307" s="826"/>
      <c r="Y1307" s="824" t="s">
        <v>3200</v>
      </c>
      <c r="Z1307" s="825"/>
      <c r="AA1307" s="826"/>
      <c r="AB1307" s="824" t="s">
        <v>3201</v>
      </c>
      <c r="AC1307" s="825"/>
      <c r="AD1307" s="826"/>
      <c r="AG1307" s="1025" t="s">
        <v>3812</v>
      </c>
      <c r="AH1307" s="1025"/>
      <c r="AI1307" s="1025"/>
      <c r="AJ1307"/>
      <c r="AK1307"/>
    </row>
    <row r="1308" spans="1:66" ht="48" customHeight="1">
      <c r="A1308" s="142"/>
      <c r="C1308" s="803"/>
      <c r="D1308" s="804"/>
      <c r="E1308" s="804"/>
      <c r="F1308" s="804"/>
      <c r="G1308" s="804"/>
      <c r="H1308" s="804"/>
      <c r="I1308" s="804"/>
      <c r="J1308" s="804"/>
      <c r="K1308" s="804"/>
      <c r="L1308" s="805"/>
      <c r="M1308" s="127" t="s">
        <v>2635</v>
      </c>
      <c r="N1308" s="128" t="s">
        <v>2629</v>
      </c>
      <c r="O1308" s="128" t="s">
        <v>2630</v>
      </c>
      <c r="P1308" s="127" t="s">
        <v>2635</v>
      </c>
      <c r="Q1308" s="128" t="s">
        <v>2629</v>
      </c>
      <c r="R1308" s="128" t="s">
        <v>2630</v>
      </c>
      <c r="S1308" s="127" t="s">
        <v>2635</v>
      </c>
      <c r="T1308" s="128" t="s">
        <v>2629</v>
      </c>
      <c r="U1308" s="128" t="s">
        <v>2630</v>
      </c>
      <c r="V1308" s="127" t="s">
        <v>2635</v>
      </c>
      <c r="W1308" s="128" t="s">
        <v>2629</v>
      </c>
      <c r="X1308" s="128" t="s">
        <v>2630</v>
      </c>
      <c r="Y1308" s="127" t="s">
        <v>2635</v>
      </c>
      <c r="Z1308" s="128" t="s">
        <v>2629</v>
      </c>
      <c r="AA1308" s="128" t="s">
        <v>2630</v>
      </c>
      <c r="AB1308" s="127" t="s">
        <v>2635</v>
      </c>
      <c r="AC1308" s="128" t="s">
        <v>2629</v>
      </c>
      <c r="AD1308" s="128" t="s">
        <v>2630</v>
      </c>
      <c r="AG1308" s="470" t="s">
        <v>2795</v>
      </c>
      <c r="AH1308" s="440" t="s">
        <v>3177</v>
      </c>
      <c r="AI1308" s="471" t="s">
        <v>3178</v>
      </c>
      <c r="AJ1308" s="417" t="s">
        <v>3813</v>
      </c>
      <c r="AK1308" s="365" t="s">
        <v>2620</v>
      </c>
    </row>
    <row r="1309" spans="1:66" ht="15" customHeight="1">
      <c r="A1309" s="115"/>
      <c r="C1309" s="44" t="s">
        <v>2516</v>
      </c>
      <c r="D1309" s="813" t="str">
        <f>IF(CNSIPEE_2024_M2_Secc1!D42="","",CNSIPEE_2024_M2_Secc1!D42)</f>
        <v/>
      </c>
      <c r="E1309" s="814"/>
      <c r="F1309" s="814"/>
      <c r="G1309" s="814"/>
      <c r="H1309" s="814"/>
      <c r="I1309" s="814"/>
      <c r="J1309" s="814"/>
      <c r="K1309" s="814"/>
      <c r="L1309" s="815"/>
      <c r="M1309" s="100"/>
      <c r="N1309" s="100"/>
      <c r="O1309" s="100"/>
      <c r="P1309" s="100"/>
      <c r="Q1309" s="100"/>
      <c r="R1309" s="100"/>
      <c r="S1309" s="100"/>
      <c r="T1309" s="100"/>
      <c r="U1309" s="100"/>
      <c r="V1309" s="100"/>
      <c r="W1309" s="100"/>
      <c r="X1309" s="100"/>
      <c r="Y1309" s="100"/>
      <c r="Z1309" s="100"/>
      <c r="AA1309" s="100"/>
      <c r="AB1309" s="100"/>
      <c r="AC1309" s="100"/>
      <c r="AD1309" s="100"/>
      <c r="AG1309">
        <f>IF(AND(P1295="NS",J1237="NS"),0,IF(AND(P1295="NA",J1237="NA"),0,IF(P1295=J1237,0,1)))</f>
        <v>0</v>
      </c>
      <c r="AH1309">
        <f>IF(AND(Q1295="NS",K1237="NS"),0,IF(AND(Q1295="NA",K1237="NA"),0,IF(Q1295=K1237,0,1)))</f>
        <v>0</v>
      </c>
      <c r="AI1309">
        <f>IF(AND(R1295="NS",L1237="NS"),0,IF(AND(R1295="NA",L1237="NA"),0,IF(R1295=L1237,0,1)))</f>
        <v>0</v>
      </c>
      <c r="AJ1309" s="342">
        <f>IF(AND($G1237&lt;&gt;"",$G1237&lt;&gt;1,COUNTA(P1295:AD1295,M1309:AD1309)&gt;0),1,0)</f>
        <v>0</v>
      </c>
      <c r="AK1309" s="342">
        <f>IF(AND($AH$1227=1,COUNTA(P1295:AD1302,M1309:AD1316)&gt;0),1,0)</f>
        <v>0</v>
      </c>
    </row>
    <row r="1310" spans="1:66" ht="15">
      <c r="A1310" s="115"/>
      <c r="C1310" s="97" t="s">
        <v>2517</v>
      </c>
      <c r="D1310" s="813" t="str">
        <f>IF(CNSIPEE_2024_M2_Secc1!D43="","",CNSIPEE_2024_M2_Secc1!D43)</f>
        <v/>
      </c>
      <c r="E1310" s="814"/>
      <c r="F1310" s="814"/>
      <c r="G1310" s="814"/>
      <c r="H1310" s="814"/>
      <c r="I1310" s="814"/>
      <c r="J1310" s="814"/>
      <c r="K1310" s="814"/>
      <c r="L1310" s="815"/>
      <c r="M1310" s="100"/>
      <c r="N1310" s="100"/>
      <c r="O1310" s="100"/>
      <c r="P1310" s="100"/>
      <c r="Q1310" s="100"/>
      <c r="R1310" s="100"/>
      <c r="S1310" s="100"/>
      <c r="T1310" s="100"/>
      <c r="U1310" s="100"/>
      <c r="V1310" s="100"/>
      <c r="W1310" s="100"/>
      <c r="X1310" s="100"/>
      <c r="Y1310" s="100"/>
      <c r="Z1310" s="100"/>
      <c r="AA1310" s="100"/>
      <c r="AB1310" s="100"/>
      <c r="AC1310" s="100"/>
      <c r="AD1310" s="100"/>
      <c r="AG1310">
        <f t="shared" ref="AG1310:AI1310" si="1216">IF(AND(P1296="NS",J1238="NS"),0,IF(AND(P1296="NA",J1238="NA"),0,IF(P1296=J1238,0,1)))</f>
        <v>0</v>
      </c>
      <c r="AH1310">
        <f t="shared" si="1216"/>
        <v>0</v>
      </c>
      <c r="AI1310">
        <f t="shared" si="1216"/>
        <v>0</v>
      </c>
      <c r="AJ1310" s="342">
        <f t="shared" ref="AJ1310:AJ1316" si="1217">IF(AND($G1238&lt;&gt;"",$G1238&lt;&gt;1,COUNTA(P1296:AD1296,M1310:AD1310)&gt;0),1,0)</f>
        <v>0</v>
      </c>
    </row>
    <row r="1311" spans="1:66" ht="15" customHeight="1">
      <c r="A1311" s="115"/>
      <c r="C1311" s="98" t="s">
        <v>2518</v>
      </c>
      <c r="D1311" s="813" t="str">
        <f>IF(CNSIPEE_2024_M2_Secc1!D44="","",CNSIPEE_2024_M2_Secc1!D44)</f>
        <v/>
      </c>
      <c r="E1311" s="814"/>
      <c r="F1311" s="814"/>
      <c r="G1311" s="814"/>
      <c r="H1311" s="814"/>
      <c r="I1311" s="814"/>
      <c r="J1311" s="814"/>
      <c r="K1311" s="814"/>
      <c r="L1311" s="815"/>
      <c r="M1311" s="100"/>
      <c r="N1311" s="100"/>
      <c r="O1311" s="100"/>
      <c r="P1311" s="100"/>
      <c r="Q1311" s="100"/>
      <c r="R1311" s="100"/>
      <c r="S1311" s="100"/>
      <c r="T1311" s="100"/>
      <c r="U1311" s="100"/>
      <c r="V1311" s="100"/>
      <c r="W1311" s="100"/>
      <c r="X1311" s="100"/>
      <c r="Y1311" s="100"/>
      <c r="Z1311" s="100"/>
      <c r="AA1311" s="100"/>
      <c r="AB1311" s="100"/>
      <c r="AC1311" s="100"/>
      <c r="AD1311" s="100"/>
      <c r="AG1311">
        <f t="shared" ref="AG1311:AI1311" si="1218">IF(AND(P1297="NS",J1239="NS"),0,IF(AND(P1297="NA",J1239="NA"),0,IF(P1297=J1239,0,1)))</f>
        <v>0</v>
      </c>
      <c r="AH1311">
        <f t="shared" si="1218"/>
        <v>0</v>
      </c>
      <c r="AI1311">
        <f t="shared" si="1218"/>
        <v>0</v>
      </c>
      <c r="AJ1311" s="342">
        <f t="shared" si="1217"/>
        <v>0</v>
      </c>
    </row>
    <row r="1312" spans="1:66" ht="15" customHeight="1">
      <c r="A1312" s="115"/>
      <c r="C1312" s="98" t="s">
        <v>2519</v>
      </c>
      <c r="D1312" s="813" t="str">
        <f>IF(CNSIPEE_2024_M2_Secc1!D45="","",CNSIPEE_2024_M2_Secc1!D45)</f>
        <v/>
      </c>
      <c r="E1312" s="814"/>
      <c r="F1312" s="814"/>
      <c r="G1312" s="814"/>
      <c r="H1312" s="814"/>
      <c r="I1312" s="814"/>
      <c r="J1312" s="814"/>
      <c r="K1312" s="814"/>
      <c r="L1312" s="815"/>
      <c r="M1312" s="100"/>
      <c r="N1312" s="100"/>
      <c r="O1312" s="100"/>
      <c r="P1312" s="100"/>
      <c r="Q1312" s="100"/>
      <c r="R1312" s="100"/>
      <c r="S1312" s="100"/>
      <c r="T1312" s="100"/>
      <c r="U1312" s="100"/>
      <c r="V1312" s="100"/>
      <c r="W1312" s="100"/>
      <c r="X1312" s="100"/>
      <c r="Y1312" s="100"/>
      <c r="Z1312" s="100"/>
      <c r="AA1312" s="100"/>
      <c r="AB1312" s="100"/>
      <c r="AC1312" s="100"/>
      <c r="AD1312" s="100"/>
      <c r="AG1312">
        <f t="shared" ref="AG1312:AI1312" si="1219">IF(AND(P1298="NS",J1240="NS"),0,IF(AND(P1298="NA",J1240="NA"),0,IF(P1298=J1240,0,1)))</f>
        <v>0</v>
      </c>
      <c r="AH1312">
        <f t="shared" si="1219"/>
        <v>0</v>
      </c>
      <c r="AI1312">
        <f t="shared" si="1219"/>
        <v>0</v>
      </c>
      <c r="AJ1312" s="342">
        <f t="shared" si="1217"/>
        <v>0</v>
      </c>
    </row>
    <row r="1313" spans="1:36" ht="15" customHeight="1">
      <c r="A1313" s="115"/>
      <c r="C1313" s="98" t="s">
        <v>2520</v>
      </c>
      <c r="D1313" s="813" t="str">
        <f>IF(CNSIPEE_2024_M2_Secc1!D46="","",CNSIPEE_2024_M2_Secc1!D46)</f>
        <v/>
      </c>
      <c r="E1313" s="814"/>
      <c r="F1313" s="814"/>
      <c r="G1313" s="814"/>
      <c r="H1313" s="814"/>
      <c r="I1313" s="814"/>
      <c r="J1313" s="814"/>
      <c r="K1313" s="814"/>
      <c r="L1313" s="815"/>
      <c r="M1313" s="100"/>
      <c r="N1313" s="100"/>
      <c r="O1313" s="100"/>
      <c r="P1313" s="100"/>
      <c r="Q1313" s="100"/>
      <c r="R1313" s="100"/>
      <c r="S1313" s="100"/>
      <c r="T1313" s="100"/>
      <c r="U1313" s="100"/>
      <c r="V1313" s="100"/>
      <c r="W1313" s="100"/>
      <c r="X1313" s="100"/>
      <c r="Y1313" s="100"/>
      <c r="Z1313" s="100"/>
      <c r="AA1313" s="100"/>
      <c r="AB1313" s="100"/>
      <c r="AC1313" s="100"/>
      <c r="AD1313" s="100"/>
      <c r="AG1313">
        <f t="shared" ref="AG1313:AI1313" si="1220">IF(AND(P1299="NS",J1241="NS"),0,IF(AND(P1299="NA",J1241="NA"),0,IF(P1299=J1241,0,1)))</f>
        <v>0</v>
      </c>
      <c r="AH1313">
        <f t="shared" si="1220"/>
        <v>0</v>
      </c>
      <c r="AI1313">
        <f t="shared" si="1220"/>
        <v>0</v>
      </c>
      <c r="AJ1313" s="342">
        <f t="shared" si="1217"/>
        <v>0</v>
      </c>
    </row>
    <row r="1314" spans="1:36" ht="15" customHeight="1">
      <c r="A1314" s="115"/>
      <c r="C1314" s="98" t="s">
        <v>2521</v>
      </c>
      <c r="D1314" s="813" t="str">
        <f>IF(CNSIPEE_2024_M2_Secc1!D47="","",CNSIPEE_2024_M2_Secc1!D47)</f>
        <v/>
      </c>
      <c r="E1314" s="814"/>
      <c r="F1314" s="814"/>
      <c r="G1314" s="814"/>
      <c r="H1314" s="814"/>
      <c r="I1314" s="814"/>
      <c r="J1314" s="814"/>
      <c r="K1314" s="814"/>
      <c r="L1314" s="815"/>
      <c r="M1314" s="100"/>
      <c r="N1314" s="100"/>
      <c r="O1314" s="100"/>
      <c r="P1314" s="100"/>
      <c r="Q1314" s="100"/>
      <c r="R1314" s="100"/>
      <c r="S1314" s="100"/>
      <c r="T1314" s="100"/>
      <c r="U1314" s="100"/>
      <c r="V1314" s="100"/>
      <c r="W1314" s="100"/>
      <c r="X1314" s="100"/>
      <c r="Y1314" s="100"/>
      <c r="Z1314" s="100"/>
      <c r="AA1314" s="100"/>
      <c r="AB1314" s="100"/>
      <c r="AC1314" s="100"/>
      <c r="AD1314" s="100"/>
      <c r="AG1314">
        <f t="shared" ref="AG1314:AI1314" si="1221">IF(AND(P1300="NS",J1242="NS"),0,IF(AND(P1300="NA",J1242="NA"),0,IF(P1300=J1242,0,1)))</f>
        <v>0</v>
      </c>
      <c r="AH1314">
        <f t="shared" si="1221"/>
        <v>0</v>
      </c>
      <c r="AI1314">
        <f t="shared" si="1221"/>
        <v>0</v>
      </c>
      <c r="AJ1314" s="342">
        <f t="shared" si="1217"/>
        <v>0</v>
      </c>
    </row>
    <row r="1315" spans="1:36" ht="15" customHeight="1">
      <c r="A1315" s="115"/>
      <c r="C1315" s="98" t="s">
        <v>2522</v>
      </c>
      <c r="D1315" s="813" t="str">
        <f>IF(CNSIPEE_2024_M2_Secc1!D48="","",CNSIPEE_2024_M2_Secc1!D48)</f>
        <v/>
      </c>
      <c r="E1315" s="814"/>
      <c r="F1315" s="814"/>
      <c r="G1315" s="814"/>
      <c r="H1315" s="814"/>
      <c r="I1315" s="814"/>
      <c r="J1315" s="814"/>
      <c r="K1315" s="814"/>
      <c r="L1315" s="815"/>
      <c r="M1315" s="100"/>
      <c r="N1315" s="100"/>
      <c r="O1315" s="100"/>
      <c r="P1315" s="100"/>
      <c r="Q1315" s="100"/>
      <c r="R1315" s="100"/>
      <c r="S1315" s="100"/>
      <c r="T1315" s="100"/>
      <c r="U1315" s="100"/>
      <c r="V1315" s="100"/>
      <c r="W1315" s="100"/>
      <c r="X1315" s="100"/>
      <c r="Y1315" s="100"/>
      <c r="Z1315" s="100"/>
      <c r="AA1315" s="100"/>
      <c r="AB1315" s="100"/>
      <c r="AC1315" s="100"/>
      <c r="AD1315" s="100"/>
      <c r="AG1315">
        <f t="shared" ref="AG1315:AI1315" si="1222">IF(AND(P1301="NS",J1243="NS"),0,IF(AND(P1301="NA",J1243="NA"),0,IF(P1301=J1243,0,1)))</f>
        <v>0</v>
      </c>
      <c r="AH1315">
        <f t="shared" si="1222"/>
        <v>0</v>
      </c>
      <c r="AI1315">
        <f t="shared" si="1222"/>
        <v>0</v>
      </c>
      <c r="AJ1315" s="342">
        <f t="shared" si="1217"/>
        <v>0</v>
      </c>
    </row>
    <row r="1316" spans="1:36" ht="15" customHeight="1">
      <c r="A1316" s="115"/>
      <c r="C1316" s="98" t="s">
        <v>2523</v>
      </c>
      <c r="D1316" s="813" t="str">
        <f>IF(CNSIPEE_2024_M2_Secc1!D49="","",CNSIPEE_2024_M2_Secc1!D49)</f>
        <v/>
      </c>
      <c r="E1316" s="814"/>
      <c r="F1316" s="814"/>
      <c r="G1316" s="814"/>
      <c r="H1316" s="814"/>
      <c r="I1316" s="814"/>
      <c r="J1316" s="814"/>
      <c r="K1316" s="814"/>
      <c r="L1316" s="815"/>
      <c r="M1316" s="100"/>
      <c r="N1316" s="100"/>
      <c r="O1316" s="100"/>
      <c r="P1316" s="100"/>
      <c r="Q1316" s="100"/>
      <c r="R1316" s="100"/>
      <c r="S1316" s="100"/>
      <c r="T1316" s="100"/>
      <c r="U1316" s="100"/>
      <c r="V1316" s="100"/>
      <c r="W1316" s="100"/>
      <c r="X1316" s="100"/>
      <c r="Y1316" s="100"/>
      <c r="Z1316" s="100"/>
      <c r="AA1316" s="100"/>
      <c r="AB1316" s="100"/>
      <c r="AC1316" s="100"/>
      <c r="AD1316" s="100"/>
      <c r="AG1316">
        <f t="shared" ref="AG1316:AI1316" si="1223">IF(AND(P1302="NS",J1244="NS"),0,IF(AND(P1302="NA",J1244="NA"),0,IF(P1302=J1244,0,1)))</f>
        <v>0</v>
      </c>
      <c r="AH1316">
        <f t="shared" si="1223"/>
        <v>0</v>
      </c>
      <c r="AI1316">
        <f t="shared" si="1223"/>
        <v>0</v>
      </c>
      <c r="AJ1316" s="342">
        <f t="shared" si="1217"/>
        <v>0</v>
      </c>
    </row>
    <row r="1317" spans="1:36" ht="15" customHeight="1">
      <c r="A1317" s="115"/>
      <c r="M1317" s="124">
        <f>IF(AND(SUM(M1309:M1316)=0,COUNTIF(M1309:M1316,"NS")&gt;0),"NS",
IF(AND(SUM(M1309:M1316)=0,COUNTIF(M1309:M1316,0)&gt;0),0,
IF(AND(SUM(M1309:M1316)=0,COUNTIF(M1309:M1316,"NA")&gt;0),"NA",
SUM(M1309:M1316))))</f>
        <v>0</v>
      </c>
      <c r="N1317" s="124">
        <f t="shared" ref="N1317:AD1317" si="1224">IF(AND(SUM(N1309:N1316)=0,COUNTIF(N1309:N1316,"NS")&gt;0),"NS",
IF(AND(SUM(N1309:N1316)=0,COUNTIF(N1309:N1316,0)&gt;0),0,
IF(AND(SUM(N1309:N1316)=0,COUNTIF(N1309:N1316,"NA")&gt;0),"NA",
SUM(N1309:N1316))))</f>
        <v>0</v>
      </c>
      <c r="O1317" s="124">
        <f t="shared" si="1224"/>
        <v>0</v>
      </c>
      <c r="P1317" s="124">
        <f t="shared" si="1224"/>
        <v>0</v>
      </c>
      <c r="Q1317" s="124">
        <f t="shared" si="1224"/>
        <v>0</v>
      </c>
      <c r="R1317" s="124">
        <f t="shared" si="1224"/>
        <v>0</v>
      </c>
      <c r="S1317" s="124">
        <f t="shared" si="1224"/>
        <v>0</v>
      </c>
      <c r="T1317" s="124">
        <f t="shared" si="1224"/>
        <v>0</v>
      </c>
      <c r="U1317" s="124">
        <f t="shared" si="1224"/>
        <v>0</v>
      </c>
      <c r="V1317" s="124">
        <f t="shared" si="1224"/>
        <v>0</v>
      </c>
      <c r="W1317" s="124">
        <f t="shared" si="1224"/>
        <v>0</v>
      </c>
      <c r="X1317" s="124">
        <f t="shared" si="1224"/>
        <v>0</v>
      </c>
      <c r="Y1317" s="124">
        <f t="shared" si="1224"/>
        <v>0</v>
      </c>
      <c r="Z1317" s="124">
        <f t="shared" si="1224"/>
        <v>0</v>
      </c>
      <c r="AA1317" s="124">
        <f t="shared" si="1224"/>
        <v>0</v>
      </c>
      <c r="AB1317" s="124">
        <f t="shared" si="1224"/>
        <v>0</v>
      </c>
      <c r="AC1317" s="124">
        <f t="shared" si="1224"/>
        <v>0</v>
      </c>
      <c r="AD1317" s="124">
        <f t="shared" si="1224"/>
        <v>0</v>
      </c>
      <c r="AG1317" s="470">
        <f>SUM(AG1309:AG1316)</f>
        <v>0</v>
      </c>
      <c r="AH1317" s="440">
        <f>SUM(AH1309:AH1316)</f>
        <v>0</v>
      </c>
      <c r="AI1317" s="471">
        <f>SUM(AI1309:AI1316)</f>
        <v>0</v>
      </c>
      <c r="AJ1317" s="465">
        <f>SUM(AJ1309:AJ1316)</f>
        <v>0</v>
      </c>
    </row>
    <row r="1318" spans="1:36" ht="15" customHeight="1">
      <c r="A1318" s="50"/>
      <c r="B1318" s="57"/>
      <c r="C1318" s="86"/>
      <c r="D1318" s="86"/>
      <c r="E1318" s="86"/>
      <c r="F1318" s="86"/>
      <c r="G1318" s="86"/>
      <c r="H1318" s="86"/>
      <c r="I1318" s="86"/>
      <c r="J1318" s="86"/>
      <c r="K1318" s="86"/>
      <c r="L1318" s="86"/>
      <c r="M1318" s="86"/>
      <c r="N1318" s="86"/>
      <c r="O1318" s="86"/>
      <c r="P1318" s="86"/>
      <c r="Q1318" s="86"/>
      <c r="R1318" s="86"/>
      <c r="S1318" s="86"/>
      <c r="T1318" s="86"/>
      <c r="U1318" s="86"/>
      <c r="V1318" s="86"/>
      <c r="W1318" s="86"/>
      <c r="X1318" s="86"/>
      <c r="Y1318" s="86"/>
      <c r="Z1318" s="86"/>
      <c r="AA1318" s="86"/>
      <c r="AB1318" s="86"/>
      <c r="AC1318" s="86"/>
      <c r="AD1318" s="86"/>
      <c r="AG1318"/>
      <c r="AH1318"/>
      <c r="AI1318" s="472">
        <f>SUM(AG1317:AI1317)</f>
        <v>0</v>
      </c>
      <c r="AJ1318"/>
    </row>
    <row r="1319" spans="1:36" ht="24" customHeight="1">
      <c r="A1319" s="50"/>
      <c r="B1319" s="90"/>
      <c r="C1319" s="754" t="s">
        <v>2611</v>
      </c>
      <c r="D1319" s="754"/>
      <c r="E1319" s="754"/>
      <c r="F1319" s="754"/>
      <c r="G1319" s="754"/>
      <c r="H1319" s="754"/>
      <c r="I1319" s="754"/>
      <c r="J1319" s="754"/>
      <c r="K1319" s="754"/>
      <c r="L1319" s="754"/>
      <c r="M1319" s="754"/>
      <c r="N1319" s="754"/>
      <c r="O1319" s="754"/>
      <c r="P1319" s="754"/>
      <c r="Q1319" s="754"/>
      <c r="R1319" s="754"/>
      <c r="S1319" s="754"/>
      <c r="T1319" s="754"/>
      <c r="U1319" s="754"/>
      <c r="V1319" s="754"/>
      <c r="W1319" s="754"/>
      <c r="X1319" s="754"/>
      <c r="Y1319" s="754"/>
      <c r="Z1319" s="754"/>
      <c r="AA1319" s="754"/>
      <c r="AB1319" s="754"/>
      <c r="AC1319" s="754"/>
      <c r="AD1319" s="754"/>
    </row>
    <row r="1320" spans="1:36" ht="60" customHeight="1">
      <c r="A1320" s="50"/>
      <c r="B1320" s="90"/>
      <c r="C1320" s="812"/>
      <c r="D1320" s="812"/>
      <c r="E1320" s="812"/>
      <c r="F1320" s="812"/>
      <c r="G1320" s="812"/>
      <c r="H1320" s="812"/>
      <c r="I1320" s="812"/>
      <c r="J1320" s="812"/>
      <c r="K1320" s="812"/>
      <c r="L1320" s="812"/>
      <c r="M1320" s="812"/>
      <c r="N1320" s="812"/>
      <c r="O1320" s="812"/>
      <c r="P1320" s="812"/>
      <c r="Q1320" s="812"/>
      <c r="R1320" s="812"/>
      <c r="S1320" s="812"/>
      <c r="T1320" s="812"/>
      <c r="U1320" s="812"/>
      <c r="V1320" s="812"/>
      <c r="W1320" s="812"/>
      <c r="X1320" s="812"/>
      <c r="Y1320" s="812"/>
      <c r="Z1320" s="812"/>
      <c r="AA1320" s="812"/>
      <c r="AB1320" s="812"/>
      <c r="AC1320" s="812"/>
      <c r="AD1320" s="812"/>
    </row>
    <row r="1321" spans="1:36" ht="15" customHeight="1">
      <c r="A1321" s="91"/>
      <c r="B1321" s="794" t="str">
        <f>IF(AG1303&gt;0,"Favor de ingresar toda la información requerida en la pregunta y/o verifique que no tenga información en celdas sombreadas","")</f>
        <v/>
      </c>
      <c r="C1321" s="794"/>
      <c r="D1321" s="794"/>
      <c r="E1321" s="794"/>
      <c r="F1321" s="794"/>
      <c r="G1321" s="794"/>
      <c r="H1321" s="794"/>
      <c r="I1321" s="794"/>
      <c r="J1321" s="794"/>
      <c r="K1321" s="794"/>
      <c r="L1321" s="794"/>
      <c r="M1321" s="794"/>
      <c r="N1321" s="794"/>
      <c r="O1321" s="794"/>
      <c r="P1321" s="794"/>
      <c r="Q1321" s="794"/>
      <c r="R1321" s="794"/>
      <c r="S1321" s="794"/>
      <c r="T1321" s="794"/>
      <c r="U1321" s="794"/>
      <c r="V1321" s="794"/>
      <c r="W1321" s="794"/>
      <c r="X1321" s="794"/>
      <c r="Y1321" s="794"/>
      <c r="Z1321" s="794"/>
      <c r="AA1321" s="794"/>
      <c r="AB1321" s="794"/>
      <c r="AC1321" s="794"/>
      <c r="AD1321" s="794"/>
      <c r="AE1321"/>
    </row>
    <row r="1322" spans="1:36" ht="15" customHeight="1">
      <c r="A1322" s="91"/>
      <c r="B1322" s="795" t="str">
        <f>IF(AM1305&gt;0,"Alerta: debido a que cuenta con registros NS, debe proporcionar una justificación en el area de comentarios al final de la pregunta","")</f>
        <v/>
      </c>
      <c r="C1322" s="795"/>
      <c r="D1322" s="795"/>
      <c r="E1322" s="795"/>
      <c r="F1322" s="795"/>
      <c r="G1322" s="795"/>
      <c r="H1322" s="795"/>
      <c r="I1322" s="795"/>
      <c r="J1322" s="795"/>
      <c r="K1322" s="795"/>
      <c r="L1322" s="795"/>
      <c r="M1322" s="795"/>
      <c r="N1322" s="795"/>
      <c r="O1322" s="795"/>
      <c r="P1322" s="795"/>
      <c r="Q1322" s="795"/>
      <c r="R1322" s="795"/>
      <c r="S1322" s="795"/>
      <c r="T1322" s="795"/>
      <c r="U1322" s="795"/>
      <c r="V1322" s="795"/>
      <c r="W1322" s="795"/>
      <c r="X1322" s="795"/>
      <c r="Y1322" s="795"/>
      <c r="Z1322" s="795"/>
      <c r="AA1322" s="795"/>
      <c r="AB1322" s="795"/>
      <c r="AC1322" s="795"/>
      <c r="AD1322" s="795"/>
      <c r="AE1322"/>
    </row>
    <row r="1323" spans="1:36" ht="15" customHeight="1">
      <c r="A1323" s="91"/>
      <c r="B1323" s="794" t="str">
        <f>IF(OR(AK1305&gt;0,AK1306&gt;0,AM1306&gt;0,AO1306&gt;0),"Favor de revisar la suma y consistencia de totales y/o subtotales por filas (numéricos y NS)","")</f>
        <v/>
      </c>
      <c r="C1323" s="794"/>
      <c r="D1323" s="794"/>
      <c r="E1323" s="794"/>
      <c r="F1323" s="794"/>
      <c r="G1323" s="794"/>
      <c r="H1323" s="794"/>
      <c r="I1323" s="794"/>
      <c r="J1323" s="794"/>
      <c r="K1323" s="794"/>
      <c r="L1323" s="794"/>
      <c r="M1323" s="794"/>
      <c r="N1323" s="794"/>
      <c r="O1323" s="794"/>
      <c r="P1323" s="794"/>
      <c r="Q1323" s="794"/>
      <c r="R1323" s="794"/>
      <c r="S1323" s="794"/>
      <c r="T1323" s="794"/>
      <c r="U1323" s="794"/>
      <c r="V1323" s="794"/>
      <c r="W1323" s="794"/>
      <c r="X1323" s="794"/>
      <c r="Y1323" s="794"/>
      <c r="Z1323" s="794"/>
      <c r="AA1323" s="794"/>
      <c r="AB1323" s="794"/>
      <c r="AC1323" s="794"/>
      <c r="AD1323" s="794"/>
      <c r="AE1323"/>
    </row>
    <row r="1324" spans="1:36" ht="15" customHeight="1">
      <c r="A1324" s="91"/>
      <c r="B1324" s="794" t="str">
        <f>IF(AI1318&gt;0,"Favor de revisar la instrucción 2, debido a que no se cumplen con los criterios mencionados","")</f>
        <v/>
      </c>
      <c r="C1324" s="794"/>
      <c r="D1324" s="794"/>
      <c r="E1324" s="794"/>
      <c r="F1324" s="794"/>
      <c r="G1324" s="794"/>
      <c r="H1324" s="794"/>
      <c r="I1324" s="794"/>
      <c r="J1324" s="794"/>
      <c r="K1324" s="794"/>
      <c r="L1324" s="794"/>
      <c r="M1324" s="794"/>
      <c r="N1324" s="794"/>
      <c r="O1324" s="794"/>
      <c r="P1324" s="794"/>
      <c r="Q1324" s="794"/>
      <c r="R1324" s="794"/>
      <c r="S1324" s="794"/>
      <c r="T1324" s="794"/>
      <c r="U1324" s="794"/>
      <c r="V1324" s="794"/>
      <c r="W1324" s="794"/>
      <c r="X1324" s="794"/>
      <c r="Y1324" s="794"/>
      <c r="Z1324" s="794"/>
      <c r="AA1324" s="794"/>
      <c r="AB1324" s="794"/>
      <c r="AC1324" s="794"/>
      <c r="AD1324" s="794"/>
      <c r="AE1324" s="794"/>
    </row>
    <row r="1325" spans="1:36" ht="15" customHeight="1">
      <c r="A1325" s="91"/>
      <c r="B1325" s="90"/>
      <c r="C1325" s="90"/>
      <c r="D1325" s="90"/>
      <c r="E1325" s="90"/>
      <c r="F1325" s="90"/>
      <c r="G1325" s="90"/>
      <c r="H1325" s="90"/>
      <c r="I1325" s="90"/>
      <c r="J1325" s="90"/>
      <c r="K1325" s="90"/>
      <c r="L1325" s="90"/>
      <c r="M1325" s="90"/>
      <c r="N1325" s="90"/>
      <c r="O1325" s="90"/>
      <c r="P1325" s="90"/>
      <c r="Q1325" s="90"/>
      <c r="R1325" s="90"/>
      <c r="S1325" s="90"/>
      <c r="T1325" s="90"/>
      <c r="U1325" s="90"/>
      <c r="V1325" s="90"/>
      <c r="W1325" s="90"/>
      <c r="X1325" s="90"/>
      <c r="Y1325" s="90"/>
      <c r="Z1325" s="90"/>
      <c r="AA1325" s="90"/>
      <c r="AB1325" s="90"/>
      <c r="AC1325" s="90"/>
      <c r="AD1325" s="90"/>
      <c r="AE1325"/>
    </row>
    <row r="1326" spans="1:36" ht="15" customHeight="1">
      <c r="A1326" s="91"/>
      <c r="B1326" s="38"/>
      <c r="C1326" s="38"/>
      <c r="D1326" s="38"/>
      <c r="E1326" s="38"/>
      <c r="F1326" s="38"/>
      <c r="G1326" s="38"/>
      <c r="H1326" s="38"/>
      <c r="I1326" s="38"/>
      <c r="J1326" s="38"/>
      <c r="K1326" s="38"/>
      <c r="L1326" s="38"/>
      <c r="M1326" s="38"/>
      <c r="N1326" s="38"/>
      <c r="O1326" s="38"/>
      <c r="P1326" s="38"/>
      <c r="Q1326" s="38"/>
      <c r="R1326" s="38"/>
      <c r="S1326" s="38"/>
      <c r="T1326" s="38"/>
      <c r="U1326" s="38"/>
      <c r="V1326" s="38"/>
      <c r="W1326" s="38"/>
      <c r="X1326" s="38"/>
      <c r="Y1326" s="38"/>
      <c r="Z1326" s="38"/>
      <c r="AA1326" s="38"/>
      <c r="AB1326" s="38"/>
      <c r="AC1326" s="38"/>
      <c r="AD1326" s="38"/>
      <c r="AE1326"/>
    </row>
    <row r="1327" spans="1:36" ht="24" customHeight="1">
      <c r="A1327" s="49" t="s">
        <v>3814</v>
      </c>
      <c r="B1327" s="829" t="s">
        <v>3815</v>
      </c>
      <c r="C1327" s="960"/>
      <c r="D1327" s="960"/>
      <c r="E1327" s="960"/>
      <c r="F1327" s="960"/>
      <c r="G1327" s="960"/>
      <c r="H1327" s="960"/>
      <c r="I1327" s="960"/>
      <c r="J1327" s="960"/>
      <c r="K1327" s="960"/>
      <c r="L1327" s="960"/>
      <c r="M1327" s="960"/>
      <c r="N1327" s="960"/>
      <c r="O1327" s="960"/>
      <c r="P1327" s="960"/>
      <c r="Q1327" s="960"/>
      <c r="R1327" s="960"/>
      <c r="S1327" s="960"/>
      <c r="T1327" s="960"/>
      <c r="U1327" s="960"/>
      <c r="V1327" s="960"/>
      <c r="W1327" s="960"/>
      <c r="X1327" s="960"/>
      <c r="Y1327" s="960"/>
      <c r="Z1327" s="960"/>
      <c r="AA1327" s="960"/>
      <c r="AB1327" s="960"/>
      <c r="AC1327" s="960"/>
      <c r="AD1327" s="960"/>
    </row>
    <row r="1328" spans="1:36" ht="24" customHeight="1">
      <c r="A1328" s="49"/>
      <c r="B1328" s="107"/>
      <c r="C1328" s="754" t="s">
        <v>3816</v>
      </c>
      <c r="D1328" s="830"/>
      <c r="E1328" s="830"/>
      <c r="F1328" s="830"/>
      <c r="G1328" s="830"/>
      <c r="H1328" s="830"/>
      <c r="I1328" s="830"/>
      <c r="J1328" s="830"/>
      <c r="K1328" s="830"/>
      <c r="L1328" s="830"/>
      <c r="M1328" s="830"/>
      <c r="N1328" s="830"/>
      <c r="O1328" s="830"/>
      <c r="P1328" s="830"/>
      <c r="Q1328" s="830"/>
      <c r="R1328" s="830"/>
      <c r="S1328" s="830"/>
      <c r="T1328" s="830"/>
      <c r="U1328" s="830"/>
      <c r="V1328" s="830"/>
      <c r="W1328" s="830"/>
      <c r="X1328" s="830"/>
      <c r="Y1328" s="830"/>
      <c r="Z1328" s="830"/>
      <c r="AA1328" s="830"/>
      <c r="AB1328" s="830"/>
      <c r="AC1328" s="830"/>
      <c r="AD1328" s="830"/>
    </row>
    <row r="1329" spans="1:63" ht="15" customHeight="1">
      <c r="A1329" s="49"/>
      <c r="B1329" s="105"/>
      <c r="C1329" s="86"/>
      <c r="D1329" s="86"/>
      <c r="E1329" s="86"/>
      <c r="F1329" s="86"/>
      <c r="G1329" s="86"/>
      <c r="H1329" s="86"/>
      <c r="I1329" s="86"/>
      <c r="J1329" s="86"/>
      <c r="K1329" s="86"/>
      <c r="L1329" s="86"/>
      <c r="M1329" s="86"/>
      <c r="N1329" s="86"/>
      <c r="O1329" s="86"/>
      <c r="P1329" s="86"/>
      <c r="Q1329" s="86"/>
      <c r="R1329" s="86"/>
      <c r="S1329" s="86"/>
      <c r="T1329" s="86"/>
      <c r="U1329" s="86"/>
      <c r="V1329" s="86"/>
      <c r="W1329" s="86"/>
      <c r="X1329" s="86"/>
      <c r="Y1329" s="86"/>
      <c r="Z1329" s="86"/>
      <c r="AA1329" s="86"/>
      <c r="AB1329" s="86"/>
      <c r="AC1329" s="86"/>
      <c r="AD1329" s="86"/>
    </row>
    <row r="1330" spans="1:63" ht="15" customHeight="1">
      <c r="A1330" s="142"/>
      <c r="B1330" s="113"/>
      <c r="C1330" s="797" t="s">
        <v>2581</v>
      </c>
      <c r="D1330" s="798"/>
      <c r="E1330" s="798"/>
      <c r="F1330" s="799"/>
      <c r="G1330" s="740" t="s">
        <v>3817</v>
      </c>
      <c r="H1330" s="740"/>
      <c r="I1330" s="740"/>
      <c r="J1330" s="740"/>
      <c r="K1330" s="740"/>
      <c r="L1330" s="740"/>
      <c r="M1330" s="740"/>
      <c r="N1330" s="740"/>
      <c r="O1330" s="740"/>
      <c r="P1330" s="740"/>
      <c r="Q1330" s="740"/>
      <c r="R1330" s="740"/>
      <c r="S1330" s="740"/>
      <c r="T1330" s="740"/>
      <c r="U1330" s="740"/>
      <c r="V1330" s="740"/>
      <c r="W1330" s="740"/>
      <c r="X1330" s="740"/>
      <c r="Y1330" s="740"/>
      <c r="Z1330" s="740"/>
      <c r="AA1330" s="740"/>
      <c r="AB1330" s="740"/>
      <c r="AC1330" s="740"/>
      <c r="AD1330" s="741"/>
    </row>
    <row r="1331" spans="1:63" ht="24" customHeight="1">
      <c r="A1331" s="142"/>
      <c r="C1331" s="800"/>
      <c r="D1331" s="801"/>
      <c r="E1331" s="801"/>
      <c r="F1331" s="802"/>
      <c r="G1331" s="888" t="s">
        <v>2628</v>
      </c>
      <c r="H1331" s="890" t="s">
        <v>2629</v>
      </c>
      <c r="I1331" s="890" t="s">
        <v>2630</v>
      </c>
      <c r="J1331" s="824" t="s">
        <v>3818</v>
      </c>
      <c r="K1331" s="825"/>
      <c r="L1331" s="826"/>
      <c r="M1331" s="824" t="s">
        <v>3819</v>
      </c>
      <c r="N1331" s="825"/>
      <c r="O1331" s="826"/>
      <c r="P1331" s="824" t="s">
        <v>3820</v>
      </c>
      <c r="Q1331" s="825"/>
      <c r="R1331" s="826"/>
      <c r="S1331" s="824" t="s">
        <v>3821</v>
      </c>
      <c r="T1331" s="825"/>
      <c r="U1331" s="826"/>
      <c r="V1331" s="824" t="s">
        <v>3822</v>
      </c>
      <c r="W1331" s="825"/>
      <c r="X1331" s="826"/>
      <c r="Y1331" s="824" t="s">
        <v>3823</v>
      </c>
      <c r="Z1331" s="825"/>
      <c r="AA1331" s="826"/>
      <c r="AB1331" s="824" t="s">
        <v>201</v>
      </c>
      <c r="AC1331" s="825"/>
      <c r="AD1331" s="826"/>
      <c r="BG1331" s="1025" t="s">
        <v>3812</v>
      </c>
      <c r="BH1331" s="1025"/>
      <c r="BI1331" s="1025"/>
      <c r="BJ1331"/>
      <c r="BK1331"/>
    </row>
    <row r="1332" spans="1:63" ht="48" customHeight="1">
      <c r="A1332" s="142"/>
      <c r="C1332" s="803"/>
      <c r="D1332" s="804"/>
      <c r="E1332" s="804"/>
      <c r="F1332" s="805"/>
      <c r="G1332" s="874"/>
      <c r="H1332" s="857"/>
      <c r="I1332" s="857"/>
      <c r="J1332" s="127" t="s">
        <v>2635</v>
      </c>
      <c r="K1332" s="128" t="s">
        <v>2629</v>
      </c>
      <c r="L1332" s="128" t="s">
        <v>2630</v>
      </c>
      <c r="M1332" s="127" t="s">
        <v>2635</v>
      </c>
      <c r="N1332" s="128" t="s">
        <v>2629</v>
      </c>
      <c r="O1332" s="128" t="s">
        <v>2630</v>
      </c>
      <c r="P1332" s="127" t="s">
        <v>2635</v>
      </c>
      <c r="Q1332" s="128" t="s">
        <v>2629</v>
      </c>
      <c r="R1332" s="128" t="s">
        <v>2630</v>
      </c>
      <c r="S1332" s="127" t="s">
        <v>2635</v>
      </c>
      <c r="T1332" s="128" t="s">
        <v>2629</v>
      </c>
      <c r="U1332" s="128" t="s">
        <v>2630</v>
      </c>
      <c r="V1332" s="127" t="s">
        <v>2635</v>
      </c>
      <c r="W1332" s="128" t="s">
        <v>2629</v>
      </c>
      <c r="X1332" s="128" t="s">
        <v>2630</v>
      </c>
      <c r="Y1332" s="127" t="s">
        <v>2635</v>
      </c>
      <c r="Z1332" s="128" t="s">
        <v>2629</v>
      </c>
      <c r="AA1332" s="128" t="s">
        <v>2630</v>
      </c>
      <c r="AB1332" s="127" t="s">
        <v>2635</v>
      </c>
      <c r="AC1332" s="128" t="s">
        <v>2629</v>
      </c>
      <c r="AD1332" s="128" t="s">
        <v>2630</v>
      </c>
      <c r="AG1332" s="354" t="s">
        <v>2586</v>
      </c>
      <c r="AH1332" s="282" t="s">
        <v>2637</v>
      </c>
      <c r="AI1332" s="280" t="s">
        <v>2638</v>
      </c>
      <c r="AJ1332" s="281" t="s">
        <v>2639</v>
      </c>
      <c r="AK1332" s="282" t="s">
        <v>2640</v>
      </c>
      <c r="AL1332" s="280" t="s">
        <v>2641</v>
      </c>
      <c r="AM1332" s="281" t="s">
        <v>2642</v>
      </c>
      <c r="AN1332" s="282" t="s">
        <v>2643</v>
      </c>
      <c r="AO1332" s="280" t="s">
        <v>2644</v>
      </c>
      <c r="AP1332" s="281" t="s">
        <v>2645</v>
      </c>
      <c r="AQ1332" s="282" t="s">
        <v>2646</v>
      </c>
      <c r="AR1332" s="280" t="s">
        <v>2647</v>
      </c>
      <c r="AS1332" s="281" t="s">
        <v>2648</v>
      </c>
      <c r="AT1332" s="282" t="s">
        <v>2756</v>
      </c>
      <c r="AU1332" s="280" t="s">
        <v>2757</v>
      </c>
      <c r="AV1332" s="281" t="s">
        <v>2758</v>
      </c>
      <c r="AW1332" s="282" t="s">
        <v>2759</v>
      </c>
      <c r="AX1332" s="280" t="s">
        <v>2760</v>
      </c>
      <c r="AY1332" s="281" t="s">
        <v>2761</v>
      </c>
      <c r="AZ1332" s="282" t="s">
        <v>2762</v>
      </c>
      <c r="BA1332" s="280" t="s">
        <v>2763</v>
      </c>
      <c r="BB1332" s="281" t="s">
        <v>2764</v>
      </c>
      <c r="BC1332" s="282" t="s">
        <v>2765</v>
      </c>
      <c r="BD1332" s="280" t="s">
        <v>2766</v>
      </c>
      <c r="BE1332" s="281" t="s">
        <v>2767</v>
      </c>
      <c r="BG1332" s="470" t="s">
        <v>2795</v>
      </c>
      <c r="BH1332" s="440" t="s">
        <v>3177</v>
      </c>
      <c r="BI1332" s="471" t="s">
        <v>3178</v>
      </c>
      <c r="BJ1332" s="417" t="s">
        <v>3813</v>
      </c>
      <c r="BK1332" s="365" t="s">
        <v>2620</v>
      </c>
    </row>
    <row r="1333" spans="1:63" ht="15" customHeight="1">
      <c r="A1333" s="50"/>
      <c r="B1333" s="90"/>
      <c r="C1333" s="97" t="s">
        <v>2516</v>
      </c>
      <c r="D1333" s="813" t="str">
        <f>IF(CNSIPEE_2024_M2_Secc1!D42="","",CNSIPEE_2024_M2_Secc1!D42)</f>
        <v/>
      </c>
      <c r="E1333" s="814"/>
      <c r="F1333" s="815"/>
      <c r="G1333" s="100"/>
      <c r="H1333" s="100"/>
      <c r="I1333" s="100"/>
      <c r="J1333" s="100"/>
      <c r="K1333" s="100"/>
      <c r="L1333" s="100"/>
      <c r="M1333" s="100"/>
      <c r="N1333" s="100"/>
      <c r="O1333" s="100"/>
      <c r="P1333" s="100"/>
      <c r="Q1333" s="100"/>
      <c r="R1333" s="100"/>
      <c r="S1333" s="100"/>
      <c r="T1333" s="100"/>
      <c r="U1333" s="100"/>
      <c r="V1333" s="100"/>
      <c r="W1333" s="100"/>
      <c r="X1333" s="100"/>
      <c r="Y1333" s="100"/>
      <c r="Z1333" s="100"/>
      <c r="AA1333" s="100"/>
      <c r="AB1333" s="100"/>
      <c r="AC1333" s="100"/>
      <c r="AD1333" s="100"/>
      <c r="AG1333" s="326">
        <f t="shared" ref="AG1333:AG1340" si="1225">IF(AND($AH$1227=1,COUNTA(G1333:AD1333)=0),0,IF(AND(COUNTBLANK(D1333)=0,$G1237&lt;&gt;"",$G1237&lt;&gt;1,COUNTA(G1333:AD1333)=0),0,IF(AND(COUNTBLANK(D1333)=0,$G1237&lt;&gt;"",$G1237=1,COUNTA(G1333:AD1333)=24),0,IF(AND(COUNTBLANK(D1333)=1,COUNTA(G1333:AD1333)=0),0,1))))</f>
        <v>0</v>
      </c>
      <c r="AH1333" s="283">
        <f>COUNTIF(H1333:I1333,"NS")</f>
        <v>0</v>
      </c>
      <c r="AI1333" s="283">
        <f>SUM(H1333:I1333)</f>
        <v>0</v>
      </c>
      <c r="AJ1333" s="283">
        <f>IF(COUNTIF(G1333:I1333,"NA")=3,0,IF(COUNTA(G1333:I1333)=0,0,IF(OR(AND(G1333=0,AH1333&gt;0),AND(G1333="ns",AI1333&gt;0),AND(G1333="ns",AH1333=0,AI1333=0)),1,IF(OR(AND(G1333&gt;0,AH1333=2),AND(G1333="ns",AH1333=2),AND(G1333="ns",AI1333=0,AH1333&gt;0),G1333=AI1333),0,1))))</f>
        <v>0</v>
      </c>
      <c r="AK1333" s="283">
        <f>COUNTIF(K1333:L1333,"NS")</f>
        <v>0</v>
      </c>
      <c r="AL1333" s="283">
        <f>SUM(K1333:L1333)</f>
        <v>0</v>
      </c>
      <c r="AM1333" s="283">
        <f>IF(COUNTIF(J1333:L1333,"NA")=3,0,IF(COUNTA(J1333:L1333)=0,0,IF(OR(AND(J1333=0,AK1333&gt;0),AND(J1333="ns",AL1333&gt;0),AND(J1333="ns",AK1333=0,AL1333=0)),1,IF(OR(AND(J1333&gt;0,AK1333=2),AND(J1333="ns",AK1333=2),AND(J1333="ns",AL1333=0,AK1333&gt;0),J1333=AL1333),0,1))))</f>
        <v>0</v>
      </c>
      <c r="AN1333" s="283">
        <f>COUNTIF(N1333:O1333,"NS")</f>
        <v>0</v>
      </c>
      <c r="AO1333" s="283">
        <f>SUM(N1333:O1333)</f>
        <v>0</v>
      </c>
      <c r="AP1333" s="283">
        <f>IF(COUNTIF(M1333:O1333,"NA")=3,0,IF(COUNTA(M1333:O1333)=0,0,IF(OR(AND(M1333=0,AN1333&gt;0),AND(M1333="ns",AO1333&gt;0),AND(M1333="ns",AN1333=0,AO1333=0)),1,IF(OR(AND(M1333&gt;0,AN1333=2),AND(M1333="ns",AN1333=2),AND(M1333="ns",AO1333=0,AN1333&gt;0),M1333=AO1333),0,1))))</f>
        <v>0</v>
      </c>
      <c r="AQ1333" s="283">
        <f>COUNTIF(Q1333:R1333,"NS")</f>
        <v>0</v>
      </c>
      <c r="AR1333" s="283">
        <f>SUM(Q1333:R1333)</f>
        <v>0</v>
      </c>
      <c r="AS1333" s="283">
        <f>IF(COUNTIF(P1333:R1333,"NA")=3,0,IF(COUNTA(P1333:R1333)=0,0,IF(OR(AND(P1333=0,AQ1333&gt;0),AND(P1333="ns",AR1333&gt;0),AND(P1333="ns",AQ1333=0,AR1333=0)),1,IF(OR(AND(P1333&gt;0,AQ1333=2),AND(P1333="ns",AQ1333=2),AND(P1333="ns",AR1333=0,AQ1333&gt;0),P1333=AR1333),0,1))))</f>
        <v>0</v>
      </c>
      <c r="AT1333" s="283">
        <f>COUNTIF(T1333:U1333,"NS")</f>
        <v>0</v>
      </c>
      <c r="AU1333" s="283">
        <f>SUM(T1333:U1333)</f>
        <v>0</v>
      </c>
      <c r="AV1333" s="283">
        <f>IF(COUNTIF(S1333:U1333,"NA")=3,0,IF(COUNTA(S1333:U1333)=0,0,IF(OR(AND(S1333=0,AT1333&gt;0),AND(S1333="ns",AU1333&gt;0),AND(S1333="ns",AT1333=0,AU1333=0)),1,IF(OR(AND(S1333&gt;0,AT1333=2),AND(S1333="ns",AT1333=2),AND(S1333="ns",AU1333=0,AT1333&gt;0),S1333=AU1333),0,1))))</f>
        <v>0</v>
      </c>
      <c r="AW1333" s="283">
        <f>COUNTIF(W1333:X1333,"NS")</f>
        <v>0</v>
      </c>
      <c r="AX1333" s="283">
        <f>SUM(W1333:X1333)</f>
        <v>0</v>
      </c>
      <c r="AY1333" s="283">
        <f>IF(COUNTIF(V1333:X1333,"NA")=3,0,IF(COUNTA(V1333:X1333)=0,0,IF(OR(AND(V1333=0,AW1333&gt;0),AND(V1333="ns",AX1333&gt;0),AND(V1333="ns",AW1333=0,AX1333=0)),1,IF(OR(AND(V1333&gt;0,AW1333=2),AND(V1333="ns",AW1333=2),AND(V1333="ns",AX1333=0,AW1333&gt;0),V1333=AX1333),0,1))))</f>
        <v>0</v>
      </c>
      <c r="AZ1333" s="283">
        <f>COUNTIF(Z1333:AA1333,"NS")</f>
        <v>0</v>
      </c>
      <c r="BA1333" s="283">
        <f>SUM(Z1333:AA1333)</f>
        <v>0</v>
      </c>
      <c r="BB1333" s="283">
        <f>IF(COUNTIF(Y1333:AA1333,"NA")=3,0,IF(COUNTA(Y1333:AA1333)=0,0,IF(OR(AND(Y1333=0,AZ1333&gt;0),AND(Y1333="ns",BA1333&gt;0),AND(Y1333="ns",AZ1333=0,BA1333=0)),1,IF(OR(AND(Y1333&gt;0,AZ1333=2),AND(Y1333="ns",AZ1333=2),AND(Y1333="ns",BA1333=0,AZ1333&gt;0),Y1333=BA1333),0,1))))</f>
        <v>0</v>
      </c>
      <c r="BC1333" s="283">
        <f>COUNTIF(AC1333:AD1333,"NS")</f>
        <v>0</v>
      </c>
      <c r="BD1333" s="283">
        <f>SUM(AC1333:AD1333)</f>
        <v>0</v>
      </c>
      <c r="BE1333" s="283">
        <f>IF(COUNTIF(AB1333:AD1333,"NA")=3,0,IF(COUNTA(AB1333:AD1333)=0,0,IF(OR(AND(AB1333=0,BC1333&gt;0),AND(AB1333="ns",BD1333&gt;0),AND(AB1333="ns",BC1333=0,BD1333=0)),1,IF(OR(AND(AB1333&gt;0,BC1333=2),AND(AB1333="ns",BC1333=2),AND(AB1333="ns",BD1333=0,BC1333&gt;0),AB1333=BD1333),0,1))))</f>
        <v>0</v>
      </c>
      <c r="BG1333">
        <f>IF(AND(G1333="NS",J1237="NS"),0,IF(AND(G1333="NA",J1237="NA"),0,IF(G1333=J1237,0,1)))</f>
        <v>0</v>
      </c>
      <c r="BH1333">
        <f t="shared" ref="BH1333" si="1226">IF(AND(H1333="NS",K1237="NS"),0,IF(AND(H1333="NA",K1237="NA"),0,IF(H1333=K1237,0,1)))</f>
        <v>0</v>
      </c>
      <c r="BI1333">
        <f>IF(AND(I1333="NS",L1237="NS"),0,IF(AND(I1333="NA",L1237="NA"),0,IF(I1333=L1237,0,1)))</f>
        <v>0</v>
      </c>
      <c r="BJ1333">
        <f>IF(AND($G1237&lt;&gt;"",$G1237&lt;&gt;1,COUNTA(G1333:AD1333)&gt;0),1,0)</f>
        <v>0</v>
      </c>
      <c r="BK1333">
        <f>IF(AND($AH$1227=1,COUNTA(G1333:AD1340)&gt;0),1,0)</f>
        <v>0</v>
      </c>
    </row>
    <row r="1334" spans="1:63" ht="15" customHeight="1">
      <c r="A1334" s="50"/>
      <c r="B1334" s="90"/>
      <c r="C1334" s="143" t="s">
        <v>2517</v>
      </c>
      <c r="D1334" s="813" t="str">
        <f>IF(CNSIPEE_2024_M2_Secc1!D43="","",CNSIPEE_2024_M2_Secc1!D43)</f>
        <v/>
      </c>
      <c r="E1334" s="814"/>
      <c r="F1334" s="815"/>
      <c r="G1334" s="100"/>
      <c r="H1334" s="100"/>
      <c r="I1334" s="100"/>
      <c r="J1334" s="100"/>
      <c r="K1334" s="100"/>
      <c r="L1334" s="100"/>
      <c r="M1334" s="100"/>
      <c r="N1334" s="100"/>
      <c r="O1334" s="100"/>
      <c r="P1334" s="100"/>
      <c r="Q1334" s="100"/>
      <c r="R1334" s="100"/>
      <c r="S1334" s="100"/>
      <c r="T1334" s="100"/>
      <c r="U1334" s="100"/>
      <c r="V1334" s="100"/>
      <c r="W1334" s="100"/>
      <c r="X1334" s="100"/>
      <c r="Y1334" s="100"/>
      <c r="Z1334" s="100"/>
      <c r="AA1334" s="100"/>
      <c r="AB1334" s="100"/>
      <c r="AC1334" s="100"/>
      <c r="AD1334" s="100"/>
      <c r="AG1334" s="326">
        <f t="shared" si="1225"/>
        <v>0</v>
      </c>
      <c r="AH1334" s="283">
        <f t="shared" ref="AH1334:AH1340" si="1227">COUNTIF(H1334:I1334,"NS")</f>
        <v>0</v>
      </c>
      <c r="AI1334" s="283">
        <f t="shared" ref="AI1334:AI1340" si="1228">SUM(H1334:I1334)</f>
        <v>0</v>
      </c>
      <c r="AJ1334" s="283">
        <f t="shared" ref="AJ1334:AJ1340" si="1229">IF(COUNTIF(G1334:I1334,"NA")=3,0,IF(COUNTA(G1334:I1334)=0,0,IF(OR(AND(G1334=0,AH1334&gt;0),AND(G1334="ns",AI1334&gt;0),AND(G1334="ns",AH1334=0,AI1334=0)),1,IF(OR(AND(G1334&gt;0,AH1334=2),AND(G1334="ns",AH1334=2),AND(G1334="ns",AI1334=0,AH1334&gt;0),G1334=AI1334),0,1))))</f>
        <v>0</v>
      </c>
      <c r="AK1334" s="283">
        <f t="shared" ref="AK1334:AK1340" si="1230">COUNTIF(K1334:L1334,"NS")</f>
        <v>0</v>
      </c>
      <c r="AL1334" s="283">
        <f t="shared" ref="AL1334:AL1340" si="1231">SUM(K1334:L1334)</f>
        <v>0</v>
      </c>
      <c r="AM1334" s="283">
        <f t="shared" ref="AM1334:AM1340" si="1232">IF(COUNTIF(J1334:L1334,"NA")=3,0,IF(COUNTA(J1334:L1334)=0,0,IF(OR(AND(J1334=0,AK1334&gt;0),AND(J1334="ns",AL1334&gt;0),AND(J1334="ns",AK1334=0,AL1334=0)),1,IF(OR(AND(J1334&gt;0,AK1334=2),AND(J1334="ns",AK1334=2),AND(J1334="ns",AL1334=0,AK1334&gt;0),J1334=AL1334),0,1))))</f>
        <v>0</v>
      </c>
      <c r="AN1334" s="283">
        <f t="shared" ref="AN1334:AN1340" si="1233">COUNTIF(N1334:O1334,"NS")</f>
        <v>0</v>
      </c>
      <c r="AO1334" s="283">
        <f t="shared" ref="AO1334:AO1340" si="1234">SUM(N1334:O1334)</f>
        <v>0</v>
      </c>
      <c r="AP1334" s="283">
        <f t="shared" ref="AP1334:AP1340" si="1235">IF(COUNTIF(M1334:O1334,"NA")=3,0,IF(COUNTA(M1334:O1334)=0,0,IF(OR(AND(M1334=0,AN1334&gt;0),AND(M1334="ns",AO1334&gt;0),AND(M1334="ns",AN1334=0,AO1334=0)),1,IF(OR(AND(M1334&gt;0,AN1334=2),AND(M1334="ns",AN1334=2),AND(M1334="ns",AO1334=0,AN1334&gt;0),M1334=AO1334),0,1))))</f>
        <v>0</v>
      </c>
      <c r="AQ1334" s="283">
        <f t="shared" ref="AQ1334:AQ1340" si="1236">COUNTIF(Q1334:R1334,"NS")</f>
        <v>0</v>
      </c>
      <c r="AR1334" s="283">
        <f t="shared" ref="AR1334:AR1340" si="1237">SUM(Q1334:R1334)</f>
        <v>0</v>
      </c>
      <c r="AS1334" s="283">
        <f t="shared" ref="AS1334:AS1340" si="1238">IF(COUNTIF(P1334:R1334,"NA")=3,0,IF(COUNTA(P1334:R1334)=0,0,IF(OR(AND(P1334=0,AQ1334&gt;0),AND(P1334="ns",AR1334&gt;0),AND(P1334="ns",AQ1334=0,AR1334=0)),1,IF(OR(AND(P1334&gt;0,AQ1334=2),AND(P1334="ns",AQ1334=2),AND(P1334="ns",AR1334=0,AQ1334&gt;0),P1334=AR1334),0,1))))</f>
        <v>0</v>
      </c>
      <c r="AT1334" s="283">
        <f t="shared" ref="AT1334:AT1340" si="1239">COUNTIF(T1334:U1334,"NS")</f>
        <v>0</v>
      </c>
      <c r="AU1334" s="283">
        <f t="shared" ref="AU1334:AU1340" si="1240">SUM(T1334:U1334)</f>
        <v>0</v>
      </c>
      <c r="AV1334" s="283">
        <f t="shared" ref="AV1334:AV1340" si="1241">IF(COUNTIF(S1334:U1334,"NA")=3,0,IF(COUNTA(S1334:U1334)=0,0,IF(OR(AND(S1334=0,AT1334&gt;0),AND(S1334="ns",AU1334&gt;0),AND(S1334="ns",AT1334=0,AU1334=0)),1,IF(OR(AND(S1334&gt;0,AT1334=2),AND(S1334="ns",AT1334=2),AND(S1334="ns",AU1334=0,AT1334&gt;0),S1334=AU1334),0,1))))</f>
        <v>0</v>
      </c>
      <c r="AW1334" s="283">
        <f t="shared" ref="AW1334:AW1340" si="1242">COUNTIF(W1334:X1334,"NS")</f>
        <v>0</v>
      </c>
      <c r="AX1334" s="283">
        <f t="shared" ref="AX1334:AX1340" si="1243">SUM(W1334:X1334)</f>
        <v>0</v>
      </c>
      <c r="AY1334" s="283">
        <f t="shared" ref="AY1334:AY1340" si="1244">IF(COUNTIF(V1334:X1334,"NA")=3,0,IF(COUNTA(V1334:X1334)=0,0,IF(OR(AND(V1334=0,AW1334&gt;0),AND(V1334="ns",AX1334&gt;0),AND(V1334="ns",AW1334=0,AX1334=0)),1,IF(OR(AND(V1334&gt;0,AW1334=2),AND(V1334="ns",AW1334=2),AND(V1334="ns",AX1334=0,AW1334&gt;0),V1334=AX1334),0,1))))</f>
        <v>0</v>
      </c>
      <c r="AZ1334" s="283">
        <f t="shared" ref="AZ1334:AZ1340" si="1245">COUNTIF(Z1334:AA1334,"NS")</f>
        <v>0</v>
      </c>
      <c r="BA1334" s="283">
        <f t="shared" ref="BA1334:BA1340" si="1246">SUM(Z1334:AA1334)</f>
        <v>0</v>
      </c>
      <c r="BB1334" s="283">
        <f t="shared" ref="BB1334:BB1340" si="1247">IF(COUNTIF(Y1334:AA1334,"NA")=3,0,IF(COUNTA(Y1334:AA1334)=0,0,IF(OR(AND(Y1334=0,AZ1334&gt;0),AND(Y1334="ns",BA1334&gt;0),AND(Y1334="ns",AZ1334=0,BA1334=0)),1,IF(OR(AND(Y1334&gt;0,AZ1334=2),AND(Y1334="ns",AZ1334=2),AND(Y1334="ns",BA1334=0,AZ1334&gt;0),Y1334=BA1334),0,1))))</f>
        <v>0</v>
      </c>
      <c r="BC1334" s="283">
        <f t="shared" ref="BC1334:BC1340" si="1248">COUNTIF(AC1334:AD1334,"NS")</f>
        <v>0</v>
      </c>
      <c r="BD1334" s="283">
        <f t="shared" ref="BD1334:BD1340" si="1249">SUM(AC1334:AD1334)</f>
        <v>0</v>
      </c>
      <c r="BE1334" s="283">
        <f t="shared" ref="BE1334:BE1340" si="1250">IF(COUNTIF(AB1334:AD1334,"NA")=3,0,IF(COUNTA(AB1334:AD1334)=0,0,IF(OR(AND(AB1334=0,BC1334&gt;0),AND(AB1334="ns",BD1334&gt;0),AND(AB1334="ns",BC1334=0,BD1334=0)),1,IF(OR(AND(AB1334&gt;0,BC1334=2),AND(AB1334="ns",BC1334=2),AND(AB1334="ns",BD1334=0,BC1334&gt;0),AB1334=BD1334),0,1))))</f>
        <v>0</v>
      </c>
      <c r="BG1334">
        <f t="shared" ref="BG1334:BG1340" si="1251">IF(AND(G1334="NS",J1238="NS"),0,IF(AND(G1334="NA",J1238="NA"),0,IF(G1334=J1238,0,1)))</f>
        <v>0</v>
      </c>
      <c r="BH1334">
        <f t="shared" ref="BH1334:BI1340" si="1252">IF(AND(H1334="NS",K1238="NS"),0,IF(AND(H1334="NA",K1238="NA"),0,IF(H1334=K1238,0,1)))</f>
        <v>0</v>
      </c>
      <c r="BI1334">
        <f t="shared" si="1252"/>
        <v>0</v>
      </c>
      <c r="BJ1334">
        <f t="shared" ref="BJ1334:BJ1340" si="1253">IF(AND($G1238&lt;&gt;"",$G1238&lt;&gt;1,COUNTA(G1334:AD1334)&gt;0),1,0)</f>
        <v>0</v>
      </c>
    </row>
    <row r="1335" spans="1:63" ht="15" customHeight="1">
      <c r="A1335" s="50"/>
      <c r="B1335" s="90"/>
      <c r="C1335" s="143" t="s">
        <v>2518</v>
      </c>
      <c r="D1335" s="813" t="str">
        <f>IF(CNSIPEE_2024_M2_Secc1!D44="","",CNSIPEE_2024_M2_Secc1!D44)</f>
        <v/>
      </c>
      <c r="E1335" s="814"/>
      <c r="F1335" s="815"/>
      <c r="G1335" s="100"/>
      <c r="H1335" s="100"/>
      <c r="I1335" s="100"/>
      <c r="J1335" s="100"/>
      <c r="K1335" s="100"/>
      <c r="L1335" s="100"/>
      <c r="M1335" s="100"/>
      <c r="N1335" s="100"/>
      <c r="O1335" s="100"/>
      <c r="P1335" s="100"/>
      <c r="Q1335" s="100"/>
      <c r="R1335" s="100"/>
      <c r="S1335" s="100"/>
      <c r="T1335" s="100"/>
      <c r="U1335" s="100"/>
      <c r="V1335" s="100"/>
      <c r="W1335" s="100"/>
      <c r="X1335" s="100"/>
      <c r="Y1335" s="100"/>
      <c r="Z1335" s="100"/>
      <c r="AA1335" s="100"/>
      <c r="AB1335" s="100"/>
      <c r="AC1335" s="100"/>
      <c r="AD1335" s="100"/>
      <c r="AG1335" s="326">
        <f t="shared" si="1225"/>
        <v>0</v>
      </c>
      <c r="AH1335" s="283">
        <f t="shared" si="1227"/>
        <v>0</v>
      </c>
      <c r="AI1335" s="283">
        <f t="shared" si="1228"/>
        <v>0</v>
      </c>
      <c r="AJ1335" s="283">
        <f t="shared" si="1229"/>
        <v>0</v>
      </c>
      <c r="AK1335" s="283">
        <f t="shared" si="1230"/>
        <v>0</v>
      </c>
      <c r="AL1335" s="283">
        <f t="shared" si="1231"/>
        <v>0</v>
      </c>
      <c r="AM1335" s="283">
        <f t="shared" si="1232"/>
        <v>0</v>
      </c>
      <c r="AN1335" s="283">
        <f t="shared" si="1233"/>
        <v>0</v>
      </c>
      <c r="AO1335" s="283">
        <f t="shared" si="1234"/>
        <v>0</v>
      </c>
      <c r="AP1335" s="283">
        <f t="shared" si="1235"/>
        <v>0</v>
      </c>
      <c r="AQ1335" s="283">
        <f t="shared" si="1236"/>
        <v>0</v>
      </c>
      <c r="AR1335" s="283">
        <f t="shared" si="1237"/>
        <v>0</v>
      </c>
      <c r="AS1335" s="283">
        <f t="shared" si="1238"/>
        <v>0</v>
      </c>
      <c r="AT1335" s="283">
        <f t="shared" si="1239"/>
        <v>0</v>
      </c>
      <c r="AU1335" s="283">
        <f t="shared" si="1240"/>
        <v>0</v>
      </c>
      <c r="AV1335" s="283">
        <f t="shared" si="1241"/>
        <v>0</v>
      </c>
      <c r="AW1335" s="283">
        <f t="shared" si="1242"/>
        <v>0</v>
      </c>
      <c r="AX1335" s="283">
        <f t="shared" si="1243"/>
        <v>0</v>
      </c>
      <c r="AY1335" s="283">
        <f t="shared" si="1244"/>
        <v>0</v>
      </c>
      <c r="AZ1335" s="283">
        <f t="shared" si="1245"/>
        <v>0</v>
      </c>
      <c r="BA1335" s="283">
        <f t="shared" si="1246"/>
        <v>0</v>
      </c>
      <c r="BB1335" s="283">
        <f t="shared" si="1247"/>
        <v>0</v>
      </c>
      <c r="BC1335" s="283">
        <f t="shared" si="1248"/>
        <v>0</v>
      </c>
      <c r="BD1335" s="283">
        <f t="shared" si="1249"/>
        <v>0</v>
      </c>
      <c r="BE1335" s="283">
        <f t="shared" si="1250"/>
        <v>0</v>
      </c>
      <c r="BG1335">
        <f t="shared" si="1251"/>
        <v>0</v>
      </c>
      <c r="BH1335">
        <f t="shared" si="1252"/>
        <v>0</v>
      </c>
      <c r="BI1335">
        <f t="shared" ref="BI1335:BI1340" si="1254">IF(AND(I1335="NS",L1239="NS"),0,IF(AND(I1335="NA",L1239="NA"),0,IF(I1335=L1239,0,1)))</f>
        <v>0</v>
      </c>
      <c r="BJ1335">
        <f t="shared" si="1253"/>
        <v>0</v>
      </c>
    </row>
    <row r="1336" spans="1:63" ht="15" customHeight="1">
      <c r="A1336" s="50"/>
      <c r="B1336" s="90"/>
      <c r="C1336" s="143" t="s">
        <v>2519</v>
      </c>
      <c r="D1336" s="813" t="str">
        <f>IF(CNSIPEE_2024_M2_Secc1!D45="","",CNSIPEE_2024_M2_Secc1!D45)</f>
        <v/>
      </c>
      <c r="E1336" s="814"/>
      <c r="F1336" s="815"/>
      <c r="G1336" s="100"/>
      <c r="H1336" s="100"/>
      <c r="I1336" s="100"/>
      <c r="J1336" s="100"/>
      <c r="K1336" s="100"/>
      <c r="L1336" s="100"/>
      <c r="M1336" s="100"/>
      <c r="N1336" s="100"/>
      <c r="O1336" s="100"/>
      <c r="P1336" s="100"/>
      <c r="Q1336" s="100"/>
      <c r="R1336" s="100"/>
      <c r="S1336" s="100"/>
      <c r="T1336" s="100"/>
      <c r="U1336" s="100"/>
      <c r="V1336" s="100"/>
      <c r="W1336" s="100"/>
      <c r="X1336" s="100"/>
      <c r="Y1336" s="100"/>
      <c r="Z1336" s="100"/>
      <c r="AA1336" s="100"/>
      <c r="AB1336" s="100"/>
      <c r="AC1336" s="100"/>
      <c r="AD1336" s="100"/>
      <c r="AG1336" s="326">
        <f t="shared" si="1225"/>
        <v>0</v>
      </c>
      <c r="AH1336" s="283">
        <f t="shared" si="1227"/>
        <v>0</v>
      </c>
      <c r="AI1336" s="283">
        <f t="shared" si="1228"/>
        <v>0</v>
      </c>
      <c r="AJ1336" s="283">
        <f t="shared" si="1229"/>
        <v>0</v>
      </c>
      <c r="AK1336" s="283">
        <f t="shared" si="1230"/>
        <v>0</v>
      </c>
      <c r="AL1336" s="283">
        <f t="shared" si="1231"/>
        <v>0</v>
      </c>
      <c r="AM1336" s="283">
        <f t="shared" si="1232"/>
        <v>0</v>
      </c>
      <c r="AN1336" s="283">
        <f t="shared" si="1233"/>
        <v>0</v>
      </c>
      <c r="AO1336" s="283">
        <f t="shared" si="1234"/>
        <v>0</v>
      </c>
      <c r="AP1336" s="283">
        <f t="shared" si="1235"/>
        <v>0</v>
      </c>
      <c r="AQ1336" s="283">
        <f t="shared" si="1236"/>
        <v>0</v>
      </c>
      <c r="AR1336" s="283">
        <f t="shared" si="1237"/>
        <v>0</v>
      </c>
      <c r="AS1336" s="283">
        <f t="shared" si="1238"/>
        <v>0</v>
      </c>
      <c r="AT1336" s="283">
        <f t="shared" si="1239"/>
        <v>0</v>
      </c>
      <c r="AU1336" s="283">
        <f t="shared" si="1240"/>
        <v>0</v>
      </c>
      <c r="AV1336" s="283">
        <f t="shared" si="1241"/>
        <v>0</v>
      </c>
      <c r="AW1336" s="283">
        <f t="shared" si="1242"/>
        <v>0</v>
      </c>
      <c r="AX1336" s="283">
        <f t="shared" si="1243"/>
        <v>0</v>
      </c>
      <c r="AY1336" s="283">
        <f t="shared" si="1244"/>
        <v>0</v>
      </c>
      <c r="AZ1336" s="283">
        <f t="shared" si="1245"/>
        <v>0</v>
      </c>
      <c r="BA1336" s="283">
        <f t="shared" si="1246"/>
        <v>0</v>
      </c>
      <c r="BB1336" s="283">
        <f t="shared" si="1247"/>
        <v>0</v>
      </c>
      <c r="BC1336" s="283">
        <f t="shared" si="1248"/>
        <v>0</v>
      </c>
      <c r="BD1336" s="283">
        <f t="shared" si="1249"/>
        <v>0</v>
      </c>
      <c r="BE1336" s="283">
        <f t="shared" si="1250"/>
        <v>0</v>
      </c>
      <c r="BG1336">
        <f t="shared" si="1251"/>
        <v>0</v>
      </c>
      <c r="BH1336">
        <f t="shared" si="1252"/>
        <v>0</v>
      </c>
      <c r="BI1336">
        <f t="shared" si="1254"/>
        <v>0</v>
      </c>
      <c r="BJ1336">
        <f t="shared" si="1253"/>
        <v>0</v>
      </c>
    </row>
    <row r="1337" spans="1:63" ht="15" customHeight="1">
      <c r="A1337" s="50"/>
      <c r="B1337" s="90"/>
      <c r="C1337" s="143" t="s">
        <v>2520</v>
      </c>
      <c r="D1337" s="813" t="str">
        <f>IF(CNSIPEE_2024_M2_Secc1!D46="","",CNSIPEE_2024_M2_Secc1!D46)</f>
        <v/>
      </c>
      <c r="E1337" s="814"/>
      <c r="F1337" s="815"/>
      <c r="G1337" s="100"/>
      <c r="H1337" s="100"/>
      <c r="I1337" s="100"/>
      <c r="J1337" s="100"/>
      <c r="K1337" s="100"/>
      <c r="L1337" s="100"/>
      <c r="M1337" s="100"/>
      <c r="N1337" s="100"/>
      <c r="O1337" s="100"/>
      <c r="P1337" s="100"/>
      <c r="Q1337" s="100"/>
      <c r="R1337" s="100"/>
      <c r="S1337" s="100"/>
      <c r="T1337" s="100"/>
      <c r="U1337" s="100"/>
      <c r="V1337" s="100"/>
      <c r="W1337" s="100"/>
      <c r="X1337" s="100"/>
      <c r="Y1337" s="100"/>
      <c r="Z1337" s="100"/>
      <c r="AA1337" s="100"/>
      <c r="AB1337" s="100"/>
      <c r="AC1337" s="100"/>
      <c r="AD1337" s="100"/>
      <c r="AG1337" s="326">
        <f t="shared" si="1225"/>
        <v>0</v>
      </c>
      <c r="AH1337" s="283">
        <f t="shared" si="1227"/>
        <v>0</v>
      </c>
      <c r="AI1337" s="283">
        <f t="shared" si="1228"/>
        <v>0</v>
      </c>
      <c r="AJ1337" s="283">
        <f t="shared" si="1229"/>
        <v>0</v>
      </c>
      <c r="AK1337" s="283">
        <f t="shared" si="1230"/>
        <v>0</v>
      </c>
      <c r="AL1337" s="283">
        <f t="shared" si="1231"/>
        <v>0</v>
      </c>
      <c r="AM1337" s="283">
        <f t="shared" si="1232"/>
        <v>0</v>
      </c>
      <c r="AN1337" s="283">
        <f t="shared" si="1233"/>
        <v>0</v>
      </c>
      <c r="AO1337" s="283">
        <f t="shared" si="1234"/>
        <v>0</v>
      </c>
      <c r="AP1337" s="283">
        <f t="shared" si="1235"/>
        <v>0</v>
      </c>
      <c r="AQ1337" s="283">
        <f t="shared" si="1236"/>
        <v>0</v>
      </c>
      <c r="AR1337" s="283">
        <f t="shared" si="1237"/>
        <v>0</v>
      </c>
      <c r="AS1337" s="283">
        <f t="shared" si="1238"/>
        <v>0</v>
      </c>
      <c r="AT1337" s="283">
        <f t="shared" si="1239"/>
        <v>0</v>
      </c>
      <c r="AU1337" s="283">
        <f t="shared" si="1240"/>
        <v>0</v>
      </c>
      <c r="AV1337" s="283">
        <f t="shared" si="1241"/>
        <v>0</v>
      </c>
      <c r="AW1337" s="283">
        <f t="shared" si="1242"/>
        <v>0</v>
      </c>
      <c r="AX1337" s="283">
        <f t="shared" si="1243"/>
        <v>0</v>
      </c>
      <c r="AY1337" s="283">
        <f t="shared" si="1244"/>
        <v>0</v>
      </c>
      <c r="AZ1337" s="283">
        <f t="shared" si="1245"/>
        <v>0</v>
      </c>
      <c r="BA1337" s="283">
        <f t="shared" si="1246"/>
        <v>0</v>
      </c>
      <c r="BB1337" s="283">
        <f t="shared" si="1247"/>
        <v>0</v>
      </c>
      <c r="BC1337" s="283">
        <f t="shared" si="1248"/>
        <v>0</v>
      </c>
      <c r="BD1337" s="283">
        <f t="shared" si="1249"/>
        <v>0</v>
      </c>
      <c r="BE1337" s="283">
        <f t="shared" si="1250"/>
        <v>0</v>
      </c>
      <c r="BG1337">
        <f t="shared" si="1251"/>
        <v>0</v>
      </c>
      <c r="BH1337">
        <f t="shared" si="1252"/>
        <v>0</v>
      </c>
      <c r="BI1337">
        <f t="shared" si="1254"/>
        <v>0</v>
      </c>
      <c r="BJ1337">
        <f t="shared" si="1253"/>
        <v>0</v>
      </c>
    </row>
    <row r="1338" spans="1:63" ht="15" customHeight="1">
      <c r="A1338" s="50"/>
      <c r="B1338" s="90"/>
      <c r="C1338" s="143" t="s">
        <v>2521</v>
      </c>
      <c r="D1338" s="813" t="str">
        <f>IF(CNSIPEE_2024_M2_Secc1!D47="","",CNSIPEE_2024_M2_Secc1!D47)</f>
        <v/>
      </c>
      <c r="E1338" s="814"/>
      <c r="F1338" s="815"/>
      <c r="G1338" s="100"/>
      <c r="H1338" s="100"/>
      <c r="I1338" s="100"/>
      <c r="J1338" s="100"/>
      <c r="K1338" s="100"/>
      <c r="L1338" s="100"/>
      <c r="M1338" s="100"/>
      <c r="N1338" s="100"/>
      <c r="O1338" s="100"/>
      <c r="P1338" s="100"/>
      <c r="Q1338" s="100"/>
      <c r="R1338" s="100"/>
      <c r="S1338" s="100"/>
      <c r="T1338" s="100"/>
      <c r="U1338" s="100"/>
      <c r="V1338" s="100"/>
      <c r="W1338" s="100"/>
      <c r="X1338" s="100"/>
      <c r="Y1338" s="100"/>
      <c r="Z1338" s="100"/>
      <c r="AA1338" s="100"/>
      <c r="AB1338" s="100"/>
      <c r="AC1338" s="100"/>
      <c r="AD1338" s="100"/>
      <c r="AG1338" s="326">
        <f t="shared" si="1225"/>
        <v>0</v>
      </c>
      <c r="AH1338" s="283">
        <f t="shared" si="1227"/>
        <v>0</v>
      </c>
      <c r="AI1338" s="283">
        <f t="shared" si="1228"/>
        <v>0</v>
      </c>
      <c r="AJ1338" s="283">
        <f t="shared" si="1229"/>
        <v>0</v>
      </c>
      <c r="AK1338" s="283">
        <f t="shared" si="1230"/>
        <v>0</v>
      </c>
      <c r="AL1338" s="283">
        <f t="shared" si="1231"/>
        <v>0</v>
      </c>
      <c r="AM1338" s="283">
        <f t="shared" si="1232"/>
        <v>0</v>
      </c>
      <c r="AN1338" s="283">
        <f t="shared" si="1233"/>
        <v>0</v>
      </c>
      <c r="AO1338" s="283">
        <f t="shared" si="1234"/>
        <v>0</v>
      </c>
      <c r="AP1338" s="283">
        <f t="shared" si="1235"/>
        <v>0</v>
      </c>
      <c r="AQ1338" s="283">
        <f t="shared" si="1236"/>
        <v>0</v>
      </c>
      <c r="AR1338" s="283">
        <f t="shared" si="1237"/>
        <v>0</v>
      </c>
      <c r="AS1338" s="283">
        <f t="shared" si="1238"/>
        <v>0</v>
      </c>
      <c r="AT1338" s="283">
        <f t="shared" si="1239"/>
        <v>0</v>
      </c>
      <c r="AU1338" s="283">
        <f t="shared" si="1240"/>
        <v>0</v>
      </c>
      <c r="AV1338" s="283">
        <f t="shared" si="1241"/>
        <v>0</v>
      </c>
      <c r="AW1338" s="283">
        <f t="shared" si="1242"/>
        <v>0</v>
      </c>
      <c r="AX1338" s="283">
        <f t="shared" si="1243"/>
        <v>0</v>
      </c>
      <c r="AY1338" s="283">
        <f t="shared" si="1244"/>
        <v>0</v>
      </c>
      <c r="AZ1338" s="283">
        <f t="shared" si="1245"/>
        <v>0</v>
      </c>
      <c r="BA1338" s="283">
        <f t="shared" si="1246"/>
        <v>0</v>
      </c>
      <c r="BB1338" s="283">
        <f t="shared" si="1247"/>
        <v>0</v>
      </c>
      <c r="BC1338" s="283">
        <f t="shared" si="1248"/>
        <v>0</v>
      </c>
      <c r="BD1338" s="283">
        <f t="shared" si="1249"/>
        <v>0</v>
      </c>
      <c r="BE1338" s="283">
        <f t="shared" si="1250"/>
        <v>0</v>
      </c>
      <c r="BG1338">
        <f t="shared" si="1251"/>
        <v>0</v>
      </c>
      <c r="BH1338">
        <f t="shared" si="1252"/>
        <v>0</v>
      </c>
      <c r="BI1338">
        <f t="shared" si="1254"/>
        <v>0</v>
      </c>
      <c r="BJ1338">
        <f t="shared" si="1253"/>
        <v>0</v>
      </c>
    </row>
    <row r="1339" spans="1:63" ht="15" customHeight="1">
      <c r="A1339" s="50"/>
      <c r="B1339" s="90"/>
      <c r="C1339" s="143" t="s">
        <v>2522</v>
      </c>
      <c r="D1339" s="813" t="str">
        <f>IF(CNSIPEE_2024_M2_Secc1!D48="","",CNSIPEE_2024_M2_Secc1!D48)</f>
        <v/>
      </c>
      <c r="E1339" s="814"/>
      <c r="F1339" s="815"/>
      <c r="G1339" s="100"/>
      <c r="H1339" s="100"/>
      <c r="I1339" s="100"/>
      <c r="J1339" s="100"/>
      <c r="K1339" s="100"/>
      <c r="L1339" s="100"/>
      <c r="M1339" s="100"/>
      <c r="N1339" s="100"/>
      <c r="O1339" s="100"/>
      <c r="P1339" s="100"/>
      <c r="Q1339" s="100"/>
      <c r="R1339" s="100"/>
      <c r="S1339" s="100"/>
      <c r="T1339" s="100"/>
      <c r="U1339" s="100"/>
      <c r="V1339" s="100"/>
      <c r="W1339" s="100"/>
      <c r="X1339" s="100"/>
      <c r="Y1339" s="100"/>
      <c r="Z1339" s="100"/>
      <c r="AA1339" s="100"/>
      <c r="AB1339" s="100"/>
      <c r="AC1339" s="100"/>
      <c r="AD1339" s="100"/>
      <c r="AG1339" s="326">
        <f t="shared" si="1225"/>
        <v>0</v>
      </c>
      <c r="AH1339" s="283">
        <f t="shared" si="1227"/>
        <v>0</v>
      </c>
      <c r="AI1339" s="283">
        <f t="shared" si="1228"/>
        <v>0</v>
      </c>
      <c r="AJ1339" s="283">
        <f t="shared" si="1229"/>
        <v>0</v>
      </c>
      <c r="AK1339" s="283">
        <f t="shared" si="1230"/>
        <v>0</v>
      </c>
      <c r="AL1339" s="283">
        <f t="shared" si="1231"/>
        <v>0</v>
      </c>
      <c r="AM1339" s="283">
        <f t="shared" si="1232"/>
        <v>0</v>
      </c>
      <c r="AN1339" s="283">
        <f t="shared" si="1233"/>
        <v>0</v>
      </c>
      <c r="AO1339" s="283">
        <f t="shared" si="1234"/>
        <v>0</v>
      </c>
      <c r="AP1339" s="283">
        <f t="shared" si="1235"/>
        <v>0</v>
      </c>
      <c r="AQ1339" s="283">
        <f t="shared" si="1236"/>
        <v>0</v>
      </c>
      <c r="AR1339" s="283">
        <f t="shared" si="1237"/>
        <v>0</v>
      </c>
      <c r="AS1339" s="283">
        <f t="shared" si="1238"/>
        <v>0</v>
      </c>
      <c r="AT1339" s="283">
        <f t="shared" si="1239"/>
        <v>0</v>
      </c>
      <c r="AU1339" s="283">
        <f t="shared" si="1240"/>
        <v>0</v>
      </c>
      <c r="AV1339" s="283">
        <f t="shared" si="1241"/>
        <v>0</v>
      </c>
      <c r="AW1339" s="283">
        <f t="shared" si="1242"/>
        <v>0</v>
      </c>
      <c r="AX1339" s="283">
        <f t="shared" si="1243"/>
        <v>0</v>
      </c>
      <c r="AY1339" s="283">
        <f t="shared" si="1244"/>
        <v>0</v>
      </c>
      <c r="AZ1339" s="283">
        <f t="shared" si="1245"/>
        <v>0</v>
      </c>
      <c r="BA1339" s="283">
        <f t="shared" si="1246"/>
        <v>0</v>
      </c>
      <c r="BB1339" s="283">
        <f t="shared" si="1247"/>
        <v>0</v>
      </c>
      <c r="BC1339" s="283">
        <f t="shared" si="1248"/>
        <v>0</v>
      </c>
      <c r="BD1339" s="283">
        <f t="shared" si="1249"/>
        <v>0</v>
      </c>
      <c r="BE1339" s="283">
        <f t="shared" si="1250"/>
        <v>0</v>
      </c>
      <c r="BG1339">
        <f t="shared" si="1251"/>
        <v>0</v>
      </c>
      <c r="BH1339">
        <f t="shared" si="1252"/>
        <v>0</v>
      </c>
      <c r="BI1339">
        <f t="shared" si="1254"/>
        <v>0</v>
      </c>
      <c r="BJ1339">
        <f t="shared" si="1253"/>
        <v>0</v>
      </c>
    </row>
    <row r="1340" spans="1:63" ht="15" customHeight="1">
      <c r="A1340" s="50"/>
      <c r="B1340" s="90"/>
      <c r="C1340" s="143" t="s">
        <v>2523</v>
      </c>
      <c r="D1340" s="813" t="str">
        <f>IF(CNSIPEE_2024_M2_Secc1!D49="","",CNSIPEE_2024_M2_Secc1!D49)</f>
        <v/>
      </c>
      <c r="E1340" s="814"/>
      <c r="F1340" s="815"/>
      <c r="G1340" s="100"/>
      <c r="H1340" s="100"/>
      <c r="I1340" s="100"/>
      <c r="J1340" s="100"/>
      <c r="K1340" s="100"/>
      <c r="L1340" s="100"/>
      <c r="M1340" s="100"/>
      <c r="N1340" s="100"/>
      <c r="O1340" s="100"/>
      <c r="P1340" s="100"/>
      <c r="Q1340" s="100"/>
      <c r="R1340" s="100"/>
      <c r="S1340" s="100"/>
      <c r="T1340" s="100"/>
      <c r="U1340" s="100"/>
      <c r="V1340" s="100"/>
      <c r="W1340" s="100"/>
      <c r="X1340" s="100"/>
      <c r="Y1340" s="100"/>
      <c r="Z1340" s="100"/>
      <c r="AA1340" s="100"/>
      <c r="AB1340" s="100"/>
      <c r="AC1340" s="100"/>
      <c r="AD1340" s="100"/>
      <c r="AG1340" s="326">
        <f t="shared" si="1225"/>
        <v>0</v>
      </c>
      <c r="AH1340" s="283">
        <f t="shared" si="1227"/>
        <v>0</v>
      </c>
      <c r="AI1340" s="283">
        <f t="shared" si="1228"/>
        <v>0</v>
      </c>
      <c r="AJ1340" s="283">
        <f t="shared" si="1229"/>
        <v>0</v>
      </c>
      <c r="AK1340" s="283">
        <f t="shared" si="1230"/>
        <v>0</v>
      </c>
      <c r="AL1340" s="283">
        <f t="shared" si="1231"/>
        <v>0</v>
      </c>
      <c r="AM1340" s="283">
        <f t="shared" si="1232"/>
        <v>0</v>
      </c>
      <c r="AN1340" s="283">
        <f t="shared" si="1233"/>
        <v>0</v>
      </c>
      <c r="AO1340" s="283">
        <f t="shared" si="1234"/>
        <v>0</v>
      </c>
      <c r="AP1340" s="283">
        <f t="shared" si="1235"/>
        <v>0</v>
      </c>
      <c r="AQ1340" s="283">
        <f t="shared" si="1236"/>
        <v>0</v>
      </c>
      <c r="AR1340" s="283">
        <f t="shared" si="1237"/>
        <v>0</v>
      </c>
      <c r="AS1340" s="283">
        <f t="shared" si="1238"/>
        <v>0</v>
      </c>
      <c r="AT1340" s="283">
        <f t="shared" si="1239"/>
        <v>0</v>
      </c>
      <c r="AU1340" s="283">
        <f t="shared" si="1240"/>
        <v>0</v>
      </c>
      <c r="AV1340" s="283">
        <f t="shared" si="1241"/>
        <v>0</v>
      </c>
      <c r="AW1340" s="283">
        <f t="shared" si="1242"/>
        <v>0</v>
      </c>
      <c r="AX1340" s="283">
        <f t="shared" si="1243"/>
        <v>0</v>
      </c>
      <c r="AY1340" s="283">
        <f t="shared" si="1244"/>
        <v>0</v>
      </c>
      <c r="AZ1340" s="283">
        <f t="shared" si="1245"/>
        <v>0</v>
      </c>
      <c r="BA1340" s="283">
        <f t="shared" si="1246"/>
        <v>0</v>
      </c>
      <c r="BB1340" s="283">
        <f t="shared" si="1247"/>
        <v>0</v>
      </c>
      <c r="BC1340" s="283">
        <f t="shared" si="1248"/>
        <v>0</v>
      </c>
      <c r="BD1340" s="283">
        <f t="shared" si="1249"/>
        <v>0</v>
      </c>
      <c r="BE1340" s="283">
        <f t="shared" si="1250"/>
        <v>0</v>
      </c>
      <c r="BG1340">
        <f t="shared" si="1251"/>
        <v>0</v>
      </c>
      <c r="BH1340">
        <f t="shared" si="1252"/>
        <v>0</v>
      </c>
      <c r="BI1340">
        <f t="shared" si="1254"/>
        <v>0</v>
      </c>
      <c r="BJ1340">
        <f t="shared" si="1253"/>
        <v>0</v>
      </c>
    </row>
    <row r="1341" spans="1:63" ht="15" customHeight="1">
      <c r="A1341" s="50"/>
      <c r="B1341" s="90"/>
      <c r="C1341" s="90"/>
      <c r="D1341" s="90"/>
      <c r="E1341" s="90"/>
      <c r="F1341" s="117" t="s">
        <v>2649</v>
      </c>
      <c r="G1341" s="124">
        <f>IF(AND(SUM(G1333:G1340)=0,COUNTIF(G1333:G1340,"NS")&gt;0),"NS",
IF(AND(SUM(G1333:G1340)=0,COUNTIF(G1333:G1340,0)&gt;0),0,
IF(AND(SUM(G1333:G1340)=0,COUNTIF(G1333:G1340,"NA")&gt;0),"NA",
SUM(G1333:G1340))))</f>
        <v>0</v>
      </c>
      <c r="H1341" s="124">
        <f t="shared" ref="H1341:N1341" si="1255">IF(AND(SUM(H1333:H1340)=0,COUNTIF(H1333:H1340,"NS")&gt;0),"NS",
IF(AND(SUM(H1333:H1340)=0,COUNTIF(H1333:H1340,0)&gt;0),0,
IF(AND(SUM(H1333:H1340)=0,COUNTIF(H1333:H1340,"NA")&gt;0),"NA",
SUM(H1333:H1340))))</f>
        <v>0</v>
      </c>
      <c r="I1341" s="124">
        <f t="shared" si="1255"/>
        <v>0</v>
      </c>
      <c r="J1341" s="124">
        <f t="shared" si="1255"/>
        <v>0</v>
      </c>
      <c r="K1341" s="124">
        <f t="shared" si="1255"/>
        <v>0</v>
      </c>
      <c r="L1341" s="124">
        <f t="shared" si="1255"/>
        <v>0</v>
      </c>
      <c r="M1341" s="124">
        <f t="shared" si="1255"/>
        <v>0</v>
      </c>
      <c r="N1341" s="124">
        <f t="shared" si="1255"/>
        <v>0</v>
      </c>
      <c r="O1341" s="124">
        <f t="shared" ref="O1341" si="1256">IF(AND(SUM(O1333:O1340)=0,COUNTIF(O1333:O1340,"NS")&gt;0),"NS",
IF(AND(SUM(O1333:O1340)=0,COUNTIF(O1333:O1340,0)&gt;0),0,
IF(AND(SUM(O1333:O1340)=0,COUNTIF(O1333:O1340,"NA")&gt;0),"NA",
SUM(O1333:O1340))))</f>
        <v>0</v>
      </c>
      <c r="P1341" s="124">
        <f t="shared" ref="P1341" si="1257">IF(AND(SUM(P1333:P1340)=0,COUNTIF(P1333:P1340,"NS")&gt;0),"NS",
IF(AND(SUM(P1333:P1340)=0,COUNTIF(P1333:P1340,0)&gt;0),0,
IF(AND(SUM(P1333:P1340)=0,COUNTIF(P1333:P1340,"NA")&gt;0),"NA",
SUM(P1333:P1340))))</f>
        <v>0</v>
      </c>
      <c r="Q1341" s="124">
        <f t="shared" ref="Q1341" si="1258">IF(AND(SUM(Q1333:Q1340)=0,COUNTIF(Q1333:Q1340,"NS")&gt;0),"NS",
IF(AND(SUM(Q1333:Q1340)=0,COUNTIF(Q1333:Q1340,0)&gt;0),0,
IF(AND(SUM(Q1333:Q1340)=0,COUNTIF(Q1333:Q1340,"NA")&gt;0),"NA",
SUM(Q1333:Q1340))))</f>
        <v>0</v>
      </c>
      <c r="R1341" s="124">
        <f t="shared" ref="R1341" si="1259">IF(AND(SUM(R1333:R1340)=0,COUNTIF(R1333:R1340,"NS")&gt;0),"NS",
IF(AND(SUM(R1333:R1340)=0,COUNTIF(R1333:R1340,0)&gt;0),0,
IF(AND(SUM(R1333:R1340)=0,COUNTIF(R1333:R1340,"NA")&gt;0),"NA",
SUM(R1333:R1340))))</f>
        <v>0</v>
      </c>
      <c r="S1341" s="124">
        <f t="shared" ref="S1341" si="1260">IF(AND(SUM(S1333:S1340)=0,COUNTIF(S1333:S1340,"NS")&gt;0),"NS",
IF(AND(SUM(S1333:S1340)=0,COUNTIF(S1333:S1340,0)&gt;0),0,
IF(AND(SUM(S1333:S1340)=0,COUNTIF(S1333:S1340,"NA")&gt;0),"NA",
SUM(S1333:S1340))))</f>
        <v>0</v>
      </c>
      <c r="T1341" s="124">
        <f t="shared" ref="T1341" si="1261">IF(AND(SUM(T1333:T1340)=0,COUNTIF(T1333:T1340,"NS")&gt;0),"NS",
IF(AND(SUM(T1333:T1340)=0,COUNTIF(T1333:T1340,0)&gt;0),0,
IF(AND(SUM(T1333:T1340)=0,COUNTIF(T1333:T1340,"NA")&gt;0),"NA",
SUM(T1333:T1340))))</f>
        <v>0</v>
      </c>
      <c r="U1341" s="124">
        <f t="shared" ref="U1341" si="1262">IF(AND(SUM(U1333:U1340)=0,COUNTIF(U1333:U1340,"NS")&gt;0),"NS",
IF(AND(SUM(U1333:U1340)=0,COUNTIF(U1333:U1340,0)&gt;0),0,
IF(AND(SUM(U1333:U1340)=0,COUNTIF(U1333:U1340,"NA")&gt;0),"NA",
SUM(U1333:U1340))))</f>
        <v>0</v>
      </c>
      <c r="V1341" s="124">
        <f t="shared" ref="V1341" si="1263">IF(AND(SUM(V1333:V1340)=0,COUNTIF(V1333:V1340,"NS")&gt;0),"NS",
IF(AND(SUM(V1333:V1340)=0,COUNTIF(V1333:V1340,0)&gt;0),0,
IF(AND(SUM(V1333:V1340)=0,COUNTIF(V1333:V1340,"NA")&gt;0),"NA",
SUM(V1333:V1340))))</f>
        <v>0</v>
      </c>
      <c r="W1341" s="124">
        <f t="shared" ref="W1341" si="1264">IF(AND(SUM(W1333:W1340)=0,COUNTIF(W1333:W1340,"NS")&gt;0),"NS",
IF(AND(SUM(W1333:W1340)=0,COUNTIF(W1333:W1340,0)&gt;0),0,
IF(AND(SUM(W1333:W1340)=0,COUNTIF(W1333:W1340,"NA")&gt;0),"NA",
SUM(W1333:W1340))))</f>
        <v>0</v>
      </c>
      <c r="X1341" s="124">
        <f t="shared" ref="X1341" si="1265">IF(AND(SUM(X1333:X1340)=0,COUNTIF(X1333:X1340,"NS")&gt;0),"NS",
IF(AND(SUM(X1333:X1340)=0,COUNTIF(X1333:X1340,0)&gt;0),0,
IF(AND(SUM(X1333:X1340)=0,COUNTIF(X1333:X1340,"NA")&gt;0),"NA",
SUM(X1333:X1340))))</f>
        <v>0</v>
      </c>
      <c r="Y1341" s="124">
        <f t="shared" ref="Y1341" si="1266">IF(AND(SUM(Y1333:Y1340)=0,COUNTIF(Y1333:Y1340,"NS")&gt;0),"NS",
IF(AND(SUM(Y1333:Y1340)=0,COUNTIF(Y1333:Y1340,0)&gt;0),0,
IF(AND(SUM(Y1333:Y1340)=0,COUNTIF(Y1333:Y1340,"NA")&gt;0),"NA",
SUM(Y1333:Y1340))))</f>
        <v>0</v>
      </c>
      <c r="Z1341" s="124">
        <f t="shared" ref="Z1341" si="1267">IF(AND(SUM(Z1333:Z1340)=0,COUNTIF(Z1333:Z1340,"NS")&gt;0),"NS",
IF(AND(SUM(Z1333:Z1340)=0,COUNTIF(Z1333:Z1340,0)&gt;0),0,
IF(AND(SUM(Z1333:Z1340)=0,COUNTIF(Z1333:Z1340,"NA")&gt;0),"NA",
SUM(Z1333:Z1340))))</f>
        <v>0</v>
      </c>
      <c r="AA1341" s="124">
        <f t="shared" ref="AA1341" si="1268">IF(AND(SUM(AA1333:AA1340)=0,COUNTIF(AA1333:AA1340,"NS")&gt;0),"NS",
IF(AND(SUM(AA1333:AA1340)=0,COUNTIF(AA1333:AA1340,0)&gt;0),0,
IF(AND(SUM(AA1333:AA1340)=0,COUNTIF(AA1333:AA1340,"NA")&gt;0),"NA",
SUM(AA1333:AA1340))))</f>
        <v>0</v>
      </c>
      <c r="AB1341" s="124">
        <f t="shared" ref="AB1341" si="1269">IF(AND(SUM(AB1333:AB1340)=0,COUNTIF(AB1333:AB1340,"NS")&gt;0),"NS",
IF(AND(SUM(AB1333:AB1340)=0,COUNTIF(AB1333:AB1340,0)&gt;0),0,
IF(AND(SUM(AB1333:AB1340)=0,COUNTIF(AB1333:AB1340,"NA")&gt;0),"NA",
SUM(AB1333:AB1340))))</f>
        <v>0</v>
      </c>
      <c r="AC1341" s="124">
        <f t="shared" ref="AC1341" si="1270">IF(AND(SUM(AC1333:AC1340)=0,COUNTIF(AC1333:AC1340,"NS")&gt;0),"NS",
IF(AND(SUM(AC1333:AC1340)=0,COUNTIF(AC1333:AC1340,0)&gt;0),0,
IF(AND(SUM(AC1333:AC1340)=0,COUNTIF(AC1333:AC1340,"NA")&gt;0),"NA",
SUM(AC1333:AC1340))))</f>
        <v>0</v>
      </c>
      <c r="AD1341" s="124">
        <f>IF(AND(SUM(AD1333:AD1340)=0,COUNTIF(AD1333:AD1340,"NS")&gt;0),"NS",
IF(AND(SUM(AD1333:AD1340)=0,COUNTIF(AD1333:AD1340,0)&gt;0),0,
IF(AND(SUM(AD1333:AD1340)=0,COUNTIF(AD1333:AD1340,"NA")&gt;0),"NA",
SUM(AD1333:AD1340))))</f>
        <v>0</v>
      </c>
      <c r="AG1341" s="354">
        <f>SUM(AG1333:AG1340)</f>
        <v>0</v>
      </c>
      <c r="AH1341" s="406">
        <f>SUM(AH1333:AH1340)</f>
        <v>0</v>
      </c>
      <c r="AI1341" s="326"/>
      <c r="AJ1341" s="352">
        <f>SUM(AJ1333:AJ1340)</f>
        <v>0</v>
      </c>
      <c r="AK1341" s="406">
        <f t="shared" ref="AK1341" si="1271">SUM(AK1333:AK1340)</f>
        <v>0</v>
      </c>
      <c r="AL1341" s="326"/>
      <c r="AM1341" s="352">
        <f t="shared" ref="AM1341:AN1341" si="1272">SUM(AM1333:AM1340)</f>
        <v>0</v>
      </c>
      <c r="AN1341" s="406">
        <f t="shared" si="1272"/>
        <v>0</v>
      </c>
      <c r="AO1341" s="326"/>
      <c r="AP1341" s="352">
        <f t="shared" ref="AP1341:AQ1341" si="1273">SUM(AP1333:AP1340)</f>
        <v>0</v>
      </c>
      <c r="AQ1341" s="406">
        <f t="shared" si="1273"/>
        <v>0</v>
      </c>
      <c r="AR1341" s="326"/>
      <c r="AS1341" s="352">
        <f t="shared" ref="AS1341:AT1341" si="1274">SUM(AS1333:AS1340)</f>
        <v>0</v>
      </c>
      <c r="AT1341" s="406">
        <f t="shared" si="1274"/>
        <v>0</v>
      </c>
      <c r="AU1341" s="326"/>
      <c r="AV1341" s="352">
        <f t="shared" ref="AV1341:AW1341" si="1275">SUM(AV1333:AV1340)</f>
        <v>0</v>
      </c>
      <c r="AW1341" s="406">
        <f t="shared" si="1275"/>
        <v>0</v>
      </c>
      <c r="AX1341" s="326"/>
      <c r="AY1341" s="352">
        <f t="shared" ref="AY1341:AZ1341" si="1276">SUM(AY1333:AY1340)</f>
        <v>0</v>
      </c>
      <c r="AZ1341" s="406">
        <f t="shared" si="1276"/>
        <v>0</v>
      </c>
      <c r="BA1341" s="326"/>
      <c r="BB1341" s="352">
        <f t="shared" ref="BB1341:BC1341" si="1277">SUM(BB1333:BB1340)</f>
        <v>0</v>
      </c>
      <c r="BC1341" s="406">
        <f t="shared" si="1277"/>
        <v>0</v>
      </c>
      <c r="BD1341" s="326"/>
      <c r="BE1341" s="352">
        <f t="shared" ref="BE1341" si="1278">SUM(BE1333:BE1340)</f>
        <v>0</v>
      </c>
      <c r="BG1341" s="470">
        <f>SUM(BG1333:BG1340)</f>
        <v>0</v>
      </c>
      <c r="BH1341" s="440">
        <f>SUM(BH1333:BH1340)</f>
        <v>0</v>
      </c>
      <c r="BI1341" s="471">
        <f>SUM(BI1333:BI1340)</f>
        <v>0</v>
      </c>
      <c r="BJ1341" s="465">
        <f>SUM(BJ1333:BJ1340)</f>
        <v>0</v>
      </c>
    </row>
    <row r="1342" spans="1:63" ht="15">
      <c r="A1342" s="94"/>
      <c r="BG1342"/>
      <c r="BH1342"/>
      <c r="BI1342" s="472">
        <f>SUM(BG1341:BI1341)</f>
        <v>0</v>
      </c>
      <c r="BJ1342"/>
    </row>
    <row r="1343" spans="1:63" ht="24" customHeight="1">
      <c r="A1343" s="94"/>
      <c r="C1343" s="754" t="s">
        <v>2611</v>
      </c>
      <c r="D1343" s="754"/>
      <c r="E1343" s="754"/>
      <c r="F1343" s="754"/>
      <c r="G1343" s="754"/>
      <c r="H1343" s="754"/>
      <c r="I1343" s="754"/>
      <c r="J1343" s="754"/>
      <c r="K1343" s="754"/>
      <c r="L1343" s="754"/>
      <c r="M1343" s="754"/>
      <c r="N1343" s="754"/>
      <c r="O1343" s="754"/>
      <c r="P1343" s="754"/>
      <c r="Q1343" s="754"/>
      <c r="R1343" s="754"/>
      <c r="S1343" s="754"/>
      <c r="T1343" s="754"/>
      <c r="U1343" s="754"/>
      <c r="V1343" s="754"/>
      <c r="W1343" s="754"/>
      <c r="X1343" s="754"/>
      <c r="Y1343" s="754"/>
      <c r="Z1343" s="754"/>
      <c r="AA1343" s="754"/>
      <c r="AB1343" s="754"/>
      <c r="AC1343" s="754"/>
      <c r="AD1343" s="754"/>
      <c r="AJ1343" s="356" t="s">
        <v>2650</v>
      </c>
      <c r="AK1343" s="283">
        <f>SUM(AJ1341,AM1341,AP1341,AS1341,AV1341,AY1341,BB1341,BE1341)</f>
        <v>0</v>
      </c>
      <c r="AL1343" s="355" t="s">
        <v>2651</v>
      </c>
      <c r="AM1343" s="283">
        <f>SUM(AH1341,AK1341,AN1341,AQ1341,AT1341,AW1341,AZ1341,BC1341)</f>
        <v>0</v>
      </c>
      <c r="AN1343" s="283"/>
      <c r="AO1343" s="283"/>
    </row>
    <row r="1344" spans="1:63" ht="60" customHeight="1">
      <c r="A1344" s="94"/>
      <c r="C1344" s="851"/>
      <c r="D1344" s="851"/>
      <c r="E1344" s="851"/>
      <c r="F1344" s="851"/>
      <c r="G1344" s="851"/>
      <c r="H1344" s="851"/>
      <c r="I1344" s="851"/>
      <c r="J1344" s="851"/>
      <c r="K1344" s="851"/>
      <c r="L1344" s="851"/>
      <c r="M1344" s="851"/>
      <c r="N1344" s="851"/>
      <c r="O1344" s="851"/>
      <c r="P1344" s="851"/>
      <c r="Q1344" s="851"/>
      <c r="R1344" s="851"/>
      <c r="S1344" s="851"/>
      <c r="T1344" s="851"/>
      <c r="U1344" s="851"/>
      <c r="V1344" s="851"/>
      <c r="W1344" s="851"/>
      <c r="X1344" s="851"/>
      <c r="Y1344" s="851"/>
      <c r="Z1344" s="851"/>
      <c r="AA1344" s="851"/>
      <c r="AB1344" s="851"/>
      <c r="AC1344" s="851"/>
      <c r="AD1344" s="851"/>
      <c r="AJ1344" s="356" t="s">
        <v>2652</v>
      </c>
      <c r="AK1344" s="438">
        <f>IF(AM1343&gt;0,IF(SUM(G1341)&gt;=SUM(J1341,M1341,P1341,S1341,V1341,Y1341,AB1341),0,1),IF(SUM(G1341)&lt;&gt;SUM(J1341,M1341,P1341,S1341,V1341,Y1341,AB1341),1,0))</f>
        <v>0</v>
      </c>
      <c r="AL1344" s="357" t="s">
        <v>2653</v>
      </c>
      <c r="AM1344" s="438">
        <f>IF(AM1343&gt;0,IF(SUM(H1341)&gt;=SUM(K1341,N1341,Q1341,T1341,W1341,Z1341,AC1341),0,1),IF(SUM(H1341)&lt;&gt;SUM(K1341,N1341,Q1341,T1341,W1341,Z1341,AC1341),1,0))</f>
        <v>0</v>
      </c>
      <c r="AN1344" s="357" t="s">
        <v>2654</v>
      </c>
      <c r="AO1344" s="438">
        <f>IF(AM1343&gt;0,IF(SUM(I1341)&gt;=SUM(L1341,O1341,R1341,U1341,X1341,AA1341,AD1341),0,1),IF(SUM(I1341)&lt;&gt;SUM(L1341,O1341,R1341,U1341,X1341,AA1341,AD1341),1,0))</f>
        <v>0</v>
      </c>
    </row>
    <row r="1345" spans="1:42" ht="15" customHeight="1">
      <c r="A1345" s="91"/>
      <c r="B1345" s="794" t="str">
        <f>IF(AG1341&gt;0,"Favor de ingresar toda la información requerida en la pregunta y/o verifique que no tenga información en celdas sombreadas","")</f>
        <v/>
      </c>
      <c r="C1345" s="794"/>
      <c r="D1345" s="794"/>
      <c r="E1345" s="794"/>
      <c r="F1345" s="794"/>
      <c r="G1345" s="794"/>
      <c r="H1345" s="794"/>
      <c r="I1345" s="794"/>
      <c r="J1345" s="794"/>
      <c r="K1345" s="794"/>
      <c r="L1345" s="794"/>
      <c r="M1345" s="794"/>
      <c r="N1345" s="794"/>
      <c r="O1345" s="794"/>
      <c r="P1345" s="794"/>
      <c r="Q1345" s="794"/>
      <c r="R1345" s="794"/>
      <c r="S1345" s="794"/>
      <c r="T1345" s="794"/>
      <c r="U1345" s="794"/>
      <c r="V1345" s="794"/>
      <c r="W1345" s="794"/>
      <c r="X1345" s="794"/>
      <c r="Y1345" s="794"/>
      <c r="Z1345" s="794"/>
      <c r="AA1345" s="794"/>
      <c r="AB1345" s="794"/>
      <c r="AC1345" s="794"/>
      <c r="AD1345" s="794"/>
      <c r="AE1345"/>
    </row>
    <row r="1346" spans="1:42" ht="15" customHeight="1">
      <c r="A1346" s="91"/>
      <c r="B1346" s="795" t="str">
        <f>IF(AM1343&gt;0,"Alerta: debido a que cuenta con registros NS, debe proporcionar una justificación en el area de comentarios al final de la pregunta","")</f>
        <v/>
      </c>
      <c r="C1346" s="795"/>
      <c r="D1346" s="795"/>
      <c r="E1346" s="795"/>
      <c r="F1346" s="795"/>
      <c r="G1346" s="795"/>
      <c r="H1346" s="795"/>
      <c r="I1346" s="795"/>
      <c r="J1346" s="795"/>
      <c r="K1346" s="795"/>
      <c r="L1346" s="795"/>
      <c r="M1346" s="795"/>
      <c r="N1346" s="795"/>
      <c r="O1346" s="795"/>
      <c r="P1346" s="795"/>
      <c r="Q1346" s="795"/>
      <c r="R1346" s="795"/>
      <c r="S1346" s="795"/>
      <c r="T1346" s="795"/>
      <c r="U1346" s="795"/>
      <c r="V1346" s="795"/>
      <c r="W1346" s="795"/>
      <c r="X1346" s="795"/>
      <c r="Y1346" s="795"/>
      <c r="Z1346" s="795"/>
      <c r="AA1346" s="795"/>
      <c r="AB1346" s="795"/>
      <c r="AC1346" s="795"/>
      <c r="AD1346" s="795"/>
      <c r="AE1346"/>
    </row>
    <row r="1347" spans="1:42" ht="15" customHeight="1">
      <c r="A1347" s="91"/>
      <c r="B1347" s="794" t="str">
        <f>IF(OR(AK1343&gt;0,AK1344&gt;0,AM1344&gt;0,AO1344&gt;0),"Favor de revisar la suma y consistencia de totales y/o subtotales por filas (numéricos y NS)","")</f>
        <v/>
      </c>
      <c r="C1347" s="794"/>
      <c r="D1347" s="794"/>
      <c r="E1347" s="794"/>
      <c r="F1347" s="794"/>
      <c r="G1347" s="794"/>
      <c r="H1347" s="794"/>
      <c r="I1347" s="794"/>
      <c r="J1347" s="794"/>
      <c r="K1347" s="794"/>
      <c r="L1347" s="794"/>
      <c r="M1347" s="794"/>
      <c r="N1347" s="794"/>
      <c r="O1347" s="794"/>
      <c r="P1347" s="794"/>
      <c r="Q1347" s="794"/>
      <c r="R1347" s="794"/>
      <c r="S1347" s="794"/>
      <c r="T1347" s="794"/>
      <c r="U1347" s="794"/>
      <c r="V1347" s="794"/>
      <c r="W1347" s="794"/>
      <c r="X1347" s="794"/>
      <c r="Y1347" s="794"/>
      <c r="Z1347" s="794"/>
      <c r="AA1347" s="794"/>
      <c r="AB1347" s="794"/>
      <c r="AC1347" s="794"/>
      <c r="AD1347" s="794"/>
      <c r="AE1347"/>
    </row>
    <row r="1348" spans="1:42" ht="15" customHeight="1">
      <c r="A1348" s="91"/>
      <c r="B1348" s="794" t="str">
        <f>IF(BI1342&gt;0,"Favor de revisar la instrucción 1, debido a que no se cumplen con los criterios mencionados","")</f>
        <v/>
      </c>
      <c r="C1348" s="794"/>
      <c r="D1348" s="794"/>
      <c r="E1348" s="794"/>
      <c r="F1348" s="794"/>
      <c r="G1348" s="794"/>
      <c r="H1348" s="794"/>
      <c r="I1348" s="794"/>
      <c r="J1348" s="794"/>
      <c r="K1348" s="794"/>
      <c r="L1348" s="794"/>
      <c r="M1348" s="794"/>
      <c r="N1348" s="794"/>
      <c r="O1348" s="794"/>
      <c r="P1348" s="794"/>
      <c r="Q1348" s="794"/>
      <c r="R1348" s="794"/>
      <c r="S1348" s="794"/>
      <c r="T1348" s="794"/>
      <c r="U1348" s="794"/>
      <c r="V1348" s="794"/>
      <c r="W1348" s="794"/>
      <c r="X1348" s="794"/>
      <c r="Y1348" s="794"/>
      <c r="Z1348" s="794"/>
      <c r="AA1348" s="794"/>
      <c r="AB1348" s="794"/>
      <c r="AC1348" s="794"/>
      <c r="AD1348" s="794"/>
      <c r="AE1348" s="794"/>
    </row>
    <row r="1349" spans="1:42" ht="15" customHeight="1">
      <c r="A1349" s="91"/>
      <c r="AE1349"/>
    </row>
    <row r="1350" spans="1:42" ht="15" customHeight="1">
      <c r="A1350" s="91"/>
      <c r="AE1350"/>
    </row>
    <row r="1351" spans="1:42" customFormat="1" ht="36" customHeight="1">
      <c r="A1351" s="49" t="s">
        <v>3824</v>
      </c>
      <c r="B1351" s="829" t="s">
        <v>3825</v>
      </c>
      <c r="C1351" s="960"/>
      <c r="D1351" s="960"/>
      <c r="E1351" s="960"/>
      <c r="F1351" s="960"/>
      <c r="G1351" s="960"/>
      <c r="H1351" s="960"/>
      <c r="I1351" s="960"/>
      <c r="J1351" s="960"/>
      <c r="K1351" s="960"/>
      <c r="L1351" s="960"/>
      <c r="M1351" s="960"/>
      <c r="N1351" s="960"/>
      <c r="O1351" s="960"/>
      <c r="P1351" s="960"/>
      <c r="Q1351" s="960"/>
      <c r="R1351" s="960"/>
      <c r="S1351" s="960"/>
      <c r="T1351" s="960"/>
      <c r="U1351" s="960"/>
      <c r="V1351" s="960"/>
      <c r="W1351" s="960"/>
      <c r="X1351" s="960"/>
      <c r="Y1351" s="960"/>
      <c r="Z1351" s="960"/>
      <c r="AA1351" s="960"/>
      <c r="AB1351" s="960"/>
      <c r="AC1351" s="960"/>
      <c r="AD1351" s="960"/>
    </row>
    <row r="1352" spans="1:42" customFormat="1" ht="36" customHeight="1">
      <c r="A1352" s="49"/>
      <c r="B1352" s="105"/>
      <c r="C1352" s="754" t="s">
        <v>3826</v>
      </c>
      <c r="D1352" s="830"/>
      <c r="E1352" s="830"/>
      <c r="F1352" s="830"/>
      <c r="G1352" s="830"/>
      <c r="H1352" s="830"/>
      <c r="I1352" s="830"/>
      <c r="J1352" s="830"/>
      <c r="K1352" s="830"/>
      <c r="L1352" s="830"/>
      <c r="M1352" s="830"/>
      <c r="N1352" s="830"/>
      <c r="O1352" s="830"/>
      <c r="P1352" s="830"/>
      <c r="Q1352" s="830"/>
      <c r="R1352" s="830"/>
      <c r="S1352" s="830"/>
      <c r="T1352" s="830"/>
      <c r="U1352" s="830"/>
      <c r="V1352" s="830"/>
      <c r="W1352" s="830"/>
      <c r="X1352" s="830"/>
      <c r="Y1352" s="830"/>
      <c r="Z1352" s="830"/>
      <c r="AA1352" s="830"/>
      <c r="AB1352" s="830"/>
      <c r="AC1352" s="830"/>
      <c r="AD1352" s="830"/>
    </row>
    <row r="1353" spans="1:42" customFormat="1" ht="24" customHeight="1">
      <c r="A1353" s="49"/>
      <c r="B1353" s="49"/>
      <c r="C1353" s="754" t="s">
        <v>3827</v>
      </c>
      <c r="D1353" s="754"/>
      <c r="E1353" s="754"/>
      <c r="F1353" s="754"/>
      <c r="G1353" s="754"/>
      <c r="H1353" s="754"/>
      <c r="I1353" s="754"/>
      <c r="J1353" s="754"/>
      <c r="K1353" s="754"/>
      <c r="L1353" s="754"/>
      <c r="M1353" s="754"/>
      <c r="N1353" s="754"/>
      <c r="O1353" s="754"/>
      <c r="P1353" s="754"/>
      <c r="Q1353" s="754"/>
      <c r="R1353" s="754"/>
      <c r="S1353" s="754"/>
      <c r="T1353" s="754"/>
      <c r="U1353" s="754"/>
      <c r="V1353" s="754"/>
      <c r="W1353" s="754"/>
      <c r="X1353" s="754"/>
      <c r="Y1353" s="754"/>
      <c r="Z1353" s="754"/>
      <c r="AA1353" s="754"/>
      <c r="AB1353" s="754"/>
      <c r="AC1353" s="754"/>
      <c r="AD1353" s="754"/>
    </row>
    <row r="1354" spans="1:42" ht="15" customHeight="1">
      <c r="A1354" s="50"/>
      <c r="B1354" s="38"/>
      <c r="C1354" s="38"/>
      <c r="D1354" s="38"/>
      <c r="E1354" s="38"/>
      <c r="F1354" s="38"/>
      <c r="G1354" s="38"/>
      <c r="H1354" s="38"/>
      <c r="I1354" s="38"/>
      <c r="J1354" s="38"/>
      <c r="K1354" s="38"/>
      <c r="L1354" s="38"/>
      <c r="M1354" s="38"/>
      <c r="N1354" s="38"/>
      <c r="O1354" s="38"/>
      <c r="P1354" s="38"/>
      <c r="Q1354" s="38"/>
      <c r="R1354" s="38"/>
      <c r="S1354" s="38"/>
      <c r="T1354" s="38"/>
      <c r="U1354" s="38"/>
      <c r="V1354" s="38"/>
      <c r="W1354" s="38"/>
      <c r="X1354" s="38"/>
      <c r="Y1354" s="38"/>
      <c r="Z1354" s="38"/>
      <c r="AA1354" s="38"/>
      <c r="AB1354" s="38"/>
      <c r="AC1354" s="38"/>
      <c r="AD1354" s="38"/>
    </row>
    <row r="1355" spans="1:42" ht="24" customHeight="1">
      <c r="A1355" s="50"/>
      <c r="B1355" s="38"/>
      <c r="C1355" s="732" t="s">
        <v>2581</v>
      </c>
      <c r="D1355" s="732"/>
      <c r="E1355" s="732"/>
      <c r="F1355" s="732"/>
      <c r="G1355" s="732"/>
      <c r="H1355" s="732"/>
      <c r="I1355" s="732"/>
      <c r="J1355" s="732"/>
      <c r="K1355" s="732"/>
      <c r="L1355" s="732"/>
      <c r="M1355" s="739" t="s">
        <v>3828</v>
      </c>
      <c r="N1355" s="740"/>
      <c r="O1355" s="740"/>
      <c r="P1355" s="740"/>
      <c r="Q1355" s="740"/>
      <c r="R1355" s="740"/>
      <c r="S1355" s="740"/>
      <c r="T1355" s="740"/>
      <c r="U1355" s="740"/>
      <c r="V1355" s="740"/>
      <c r="W1355" s="740"/>
      <c r="X1355" s="740"/>
      <c r="Y1355" s="740"/>
      <c r="Z1355" s="740"/>
      <c r="AA1355" s="740"/>
      <c r="AB1355" s="740"/>
      <c r="AC1355" s="740"/>
      <c r="AD1355" s="741"/>
      <c r="AL1355" s="1025" t="s">
        <v>3812</v>
      </c>
      <c r="AM1355" s="1025"/>
      <c r="AN1355" s="1025"/>
      <c r="AO1355" s="920" t="s">
        <v>3813</v>
      </c>
      <c r="AP1355"/>
    </row>
    <row r="1356" spans="1:42" ht="15">
      <c r="A1356" s="50"/>
      <c r="B1356" s="38"/>
      <c r="C1356" s="732"/>
      <c r="D1356" s="732"/>
      <c r="E1356" s="732"/>
      <c r="F1356" s="732"/>
      <c r="G1356" s="732"/>
      <c r="H1356" s="732"/>
      <c r="I1356" s="732"/>
      <c r="J1356" s="732"/>
      <c r="K1356" s="732"/>
      <c r="L1356" s="732"/>
      <c r="M1356" s="739" t="s">
        <v>2628</v>
      </c>
      <c r="N1356" s="740"/>
      <c r="O1356" s="740"/>
      <c r="P1356" s="740"/>
      <c r="Q1356" s="740"/>
      <c r="R1356" s="741"/>
      <c r="S1356" s="733" t="s">
        <v>2629</v>
      </c>
      <c r="T1356" s="734"/>
      <c r="U1356" s="734"/>
      <c r="V1356" s="734"/>
      <c r="W1356" s="734"/>
      <c r="X1356" s="735"/>
      <c r="Y1356" s="733" t="s">
        <v>2630</v>
      </c>
      <c r="Z1356" s="734"/>
      <c r="AA1356" s="734"/>
      <c r="AB1356" s="734"/>
      <c r="AC1356" s="734"/>
      <c r="AD1356" s="735"/>
      <c r="AG1356" s="354" t="s">
        <v>2586</v>
      </c>
      <c r="AH1356" s="282" t="s">
        <v>2590</v>
      </c>
      <c r="AI1356" s="280" t="s">
        <v>3262</v>
      </c>
      <c r="AJ1356" s="281" t="s">
        <v>3263</v>
      </c>
      <c r="AL1356" s="470" t="s">
        <v>2795</v>
      </c>
      <c r="AM1356" s="440" t="s">
        <v>3177</v>
      </c>
      <c r="AN1356" s="471" t="s">
        <v>3178</v>
      </c>
      <c r="AO1356" s="920"/>
      <c r="AP1356" s="365" t="s">
        <v>2620</v>
      </c>
    </row>
    <row r="1357" spans="1:42" ht="15" customHeight="1">
      <c r="A1357" s="50"/>
      <c r="B1357" s="38"/>
      <c r="C1357" s="97" t="s">
        <v>2516</v>
      </c>
      <c r="D1357" s="813" t="str">
        <f>IF(CNSIPEE_2024_M2_Secc1!D42="","",CNSIPEE_2024_M2_Secc1!D42)</f>
        <v/>
      </c>
      <c r="E1357" s="814"/>
      <c r="F1357" s="814"/>
      <c r="G1357" s="814"/>
      <c r="H1357" s="814"/>
      <c r="I1357" s="814"/>
      <c r="J1357" s="814"/>
      <c r="K1357" s="814"/>
      <c r="L1357" s="815"/>
      <c r="M1357" s="816"/>
      <c r="N1357" s="738"/>
      <c r="O1357" s="738"/>
      <c r="P1357" s="738"/>
      <c r="Q1357" s="738"/>
      <c r="R1357" s="817"/>
      <c r="S1357" s="816"/>
      <c r="T1357" s="738"/>
      <c r="U1357" s="738"/>
      <c r="V1357" s="738"/>
      <c r="W1357" s="738"/>
      <c r="X1357" s="817"/>
      <c r="Y1357" s="816"/>
      <c r="Z1357" s="738"/>
      <c r="AA1357" s="738"/>
      <c r="AB1357" s="738"/>
      <c r="AC1357" s="738"/>
      <c r="AD1357" s="817"/>
      <c r="AG1357" s="326">
        <f t="shared" ref="AG1357:AG1364" si="1279">IF(AND($AH$1227=1,COUNTA(M1357:AD1357)=0),0,IF(AND(COUNTBLANK(D1357)=0,$G1237&lt;&gt;"",$G1237&lt;&gt;1,COUNTA(M1357:AD1357)=0),0,IF(AND(COUNTBLANK(D1357)=0,$G1237&lt;&gt;"",$G1237=1,COUNTA(M1357:AD1357)=3),0,IF(AND(COUNTBLANK(D1357)=1,COUNTA(M1357:AD1357)=0),0,1))))</f>
        <v>0</v>
      </c>
      <c r="AH1357" s="283">
        <f>COUNTIF(S1357:AD1357,"NS")</f>
        <v>0</v>
      </c>
      <c r="AI1357" s="283">
        <f>SUM(S1357:AD1357)</f>
        <v>0</v>
      </c>
      <c r="AJ1357" s="283">
        <f>IF(COUNTIF(M1357:AD1357,"NA")=3,0,IF(COUNTA(M1357:AD1357)=0,0,IF(OR(AND(M1357=0,AH1357&gt;0),AND(M1357="ns",AI1357&gt;0),AND(M1357="ns",AH1357=0,AI1357=0)),1,IF(OR(AND(M1357&gt;0,AH1357=2),AND(M1357="ns",AH1357=2),AND(M1357="ns",AI1357=0,AH1357&gt;0),M1357=AI1357),0,1))))</f>
        <v>0</v>
      </c>
      <c r="AL1357">
        <f t="shared" ref="AL1357:AL1364" si="1280">IF(AND(M1357="NS",J1237="NS"),0,IF(OR(M1357="NA",J1237="NA"),0,IF(M1357&lt;=J1237,0,1)))</f>
        <v>0</v>
      </c>
      <c r="AM1357">
        <f t="shared" ref="AM1357:AM1364" si="1281">IF(AND(S1357="NS",K1237="NS"),0,IF(OR(S1357="NA",K1237="NA"),0,IF(S1357&lt;=K1237,0,1)))</f>
        <v>0</v>
      </c>
      <c r="AN1357">
        <f t="shared" ref="AN1357:AN1364" si="1282">IF(AND(Y1357="NS",L1237="NS"),0,IF(OR(Y1357="NA",L1237="NA"),0,IF(Y1357&lt;=L1237,0,1)))</f>
        <v>0</v>
      </c>
      <c r="AO1357">
        <f>IF(AND($G1237&lt;&gt;"",$G1237&lt;&gt;1,COUNTA(M1357:AD1357)&gt;0),1,0)</f>
        <v>0</v>
      </c>
      <c r="AP1357">
        <f>IF(AND($AH$1227=1,COUNTA(M1357:AD1364)&gt;0),1,0)</f>
        <v>0</v>
      </c>
    </row>
    <row r="1358" spans="1:42" ht="15" customHeight="1">
      <c r="A1358" s="50"/>
      <c r="B1358" s="38"/>
      <c r="C1358" s="98" t="s">
        <v>2517</v>
      </c>
      <c r="D1358" s="813" t="str">
        <f>IF(CNSIPEE_2024_M2_Secc1!D43="","",CNSIPEE_2024_M2_Secc1!D43)</f>
        <v/>
      </c>
      <c r="E1358" s="814"/>
      <c r="F1358" s="814"/>
      <c r="G1358" s="814"/>
      <c r="H1358" s="814"/>
      <c r="I1358" s="814"/>
      <c r="J1358" s="814"/>
      <c r="K1358" s="814"/>
      <c r="L1358" s="815"/>
      <c r="M1358" s="816"/>
      <c r="N1358" s="738"/>
      <c r="O1358" s="738"/>
      <c r="P1358" s="738"/>
      <c r="Q1358" s="738"/>
      <c r="R1358" s="817"/>
      <c r="S1358" s="816"/>
      <c r="T1358" s="738"/>
      <c r="U1358" s="738"/>
      <c r="V1358" s="738"/>
      <c r="W1358" s="738"/>
      <c r="X1358" s="817"/>
      <c r="Y1358" s="816"/>
      <c r="Z1358" s="738"/>
      <c r="AA1358" s="738"/>
      <c r="AB1358" s="738"/>
      <c r="AC1358" s="738"/>
      <c r="AD1358" s="817"/>
      <c r="AG1358" s="326">
        <f t="shared" si="1279"/>
        <v>0</v>
      </c>
      <c r="AH1358" s="283">
        <f t="shared" ref="AH1358:AH1364" si="1283">COUNTIF(S1358:AD1358,"NS")</f>
        <v>0</v>
      </c>
      <c r="AI1358" s="283">
        <f t="shared" ref="AI1358:AI1364" si="1284">SUM(S1358:AD1358)</f>
        <v>0</v>
      </c>
      <c r="AJ1358" s="283">
        <f t="shared" ref="AJ1358:AJ1364" si="1285">IF(COUNTIF(M1358:AD1358,"NA")=3,0,IF(COUNTA(M1358:AD1358)=0,0,IF(OR(AND(M1358=0,AH1358&gt;0),AND(M1358="ns",AI1358&gt;0),AND(M1358="ns",AH1358=0,AI1358=0)),1,IF(OR(AND(M1358&gt;0,AH1358=2),AND(M1358="ns",AH1358=2),AND(M1358="ns",AI1358=0,AH1358&gt;0),M1358=AI1358),0,1))))</f>
        <v>0</v>
      </c>
      <c r="AL1358">
        <f t="shared" si="1280"/>
        <v>0</v>
      </c>
      <c r="AM1358">
        <f t="shared" si="1281"/>
        <v>0</v>
      </c>
      <c r="AN1358">
        <f t="shared" si="1282"/>
        <v>0</v>
      </c>
      <c r="AO1358">
        <f t="shared" ref="AO1358:AO1364" si="1286">IF(AND($G1238&lt;&gt;"",$G1238&lt;&gt;1,COUNTA(M1358:AD1358)&gt;0),1,0)</f>
        <v>0</v>
      </c>
    </row>
    <row r="1359" spans="1:42" ht="15" customHeight="1">
      <c r="A1359" s="50"/>
      <c r="B1359" s="38"/>
      <c r="C1359" s="98" t="s">
        <v>2518</v>
      </c>
      <c r="D1359" s="813" t="str">
        <f>IF(CNSIPEE_2024_M2_Secc1!D44="","",CNSIPEE_2024_M2_Secc1!D44)</f>
        <v/>
      </c>
      <c r="E1359" s="814"/>
      <c r="F1359" s="814"/>
      <c r="G1359" s="814"/>
      <c r="H1359" s="814"/>
      <c r="I1359" s="814"/>
      <c r="J1359" s="814"/>
      <c r="K1359" s="814"/>
      <c r="L1359" s="815"/>
      <c r="M1359" s="816"/>
      <c r="N1359" s="738"/>
      <c r="O1359" s="738"/>
      <c r="P1359" s="738"/>
      <c r="Q1359" s="738"/>
      <c r="R1359" s="817"/>
      <c r="S1359" s="816"/>
      <c r="T1359" s="738"/>
      <c r="U1359" s="738"/>
      <c r="V1359" s="738"/>
      <c r="W1359" s="738"/>
      <c r="X1359" s="817"/>
      <c r="Y1359" s="816"/>
      <c r="Z1359" s="738"/>
      <c r="AA1359" s="738"/>
      <c r="AB1359" s="738"/>
      <c r="AC1359" s="738"/>
      <c r="AD1359" s="817"/>
      <c r="AG1359" s="326">
        <f t="shared" si="1279"/>
        <v>0</v>
      </c>
      <c r="AH1359" s="283">
        <f t="shared" si="1283"/>
        <v>0</v>
      </c>
      <c r="AI1359" s="283">
        <f t="shared" si="1284"/>
        <v>0</v>
      </c>
      <c r="AJ1359" s="283">
        <f t="shared" si="1285"/>
        <v>0</v>
      </c>
      <c r="AL1359">
        <f t="shared" si="1280"/>
        <v>0</v>
      </c>
      <c r="AM1359">
        <f t="shared" si="1281"/>
        <v>0</v>
      </c>
      <c r="AN1359">
        <f t="shared" si="1282"/>
        <v>0</v>
      </c>
      <c r="AO1359">
        <f t="shared" si="1286"/>
        <v>0</v>
      </c>
    </row>
    <row r="1360" spans="1:42" ht="15" customHeight="1">
      <c r="A1360" s="50"/>
      <c r="B1360" s="38"/>
      <c r="C1360" s="98" t="s">
        <v>2519</v>
      </c>
      <c r="D1360" s="813" t="str">
        <f>IF(CNSIPEE_2024_M2_Secc1!D45="","",CNSIPEE_2024_M2_Secc1!D45)</f>
        <v/>
      </c>
      <c r="E1360" s="814"/>
      <c r="F1360" s="814"/>
      <c r="G1360" s="814"/>
      <c r="H1360" s="814"/>
      <c r="I1360" s="814"/>
      <c r="J1360" s="814"/>
      <c r="K1360" s="814"/>
      <c r="L1360" s="815"/>
      <c r="M1360" s="816"/>
      <c r="N1360" s="738"/>
      <c r="O1360" s="738"/>
      <c r="P1360" s="738"/>
      <c r="Q1360" s="738"/>
      <c r="R1360" s="817"/>
      <c r="S1360" s="816"/>
      <c r="T1360" s="738"/>
      <c r="U1360" s="738"/>
      <c r="V1360" s="738"/>
      <c r="W1360" s="738"/>
      <c r="X1360" s="817"/>
      <c r="Y1360" s="816"/>
      <c r="Z1360" s="738"/>
      <c r="AA1360" s="738"/>
      <c r="AB1360" s="738"/>
      <c r="AC1360" s="738"/>
      <c r="AD1360" s="817"/>
      <c r="AG1360" s="326">
        <f t="shared" si="1279"/>
        <v>0</v>
      </c>
      <c r="AH1360" s="283">
        <f t="shared" si="1283"/>
        <v>0</v>
      </c>
      <c r="AI1360" s="283">
        <f t="shared" si="1284"/>
        <v>0</v>
      </c>
      <c r="AJ1360" s="283">
        <f t="shared" si="1285"/>
        <v>0</v>
      </c>
      <c r="AL1360">
        <f t="shared" si="1280"/>
        <v>0</v>
      </c>
      <c r="AM1360">
        <f t="shared" si="1281"/>
        <v>0</v>
      </c>
      <c r="AN1360">
        <f t="shared" si="1282"/>
        <v>0</v>
      </c>
      <c r="AO1360">
        <f t="shared" si="1286"/>
        <v>0</v>
      </c>
    </row>
    <row r="1361" spans="1:41" ht="15" customHeight="1">
      <c r="A1361" s="50"/>
      <c r="B1361" s="38"/>
      <c r="C1361" s="98" t="s">
        <v>2520</v>
      </c>
      <c r="D1361" s="813" t="str">
        <f>IF(CNSIPEE_2024_M2_Secc1!D46="","",CNSIPEE_2024_M2_Secc1!D46)</f>
        <v/>
      </c>
      <c r="E1361" s="814"/>
      <c r="F1361" s="814"/>
      <c r="G1361" s="814"/>
      <c r="H1361" s="814"/>
      <c r="I1361" s="814"/>
      <c r="J1361" s="814"/>
      <c r="K1361" s="814"/>
      <c r="L1361" s="815"/>
      <c r="M1361" s="816"/>
      <c r="N1361" s="738"/>
      <c r="O1361" s="738"/>
      <c r="P1361" s="738"/>
      <c r="Q1361" s="738"/>
      <c r="R1361" s="817"/>
      <c r="S1361" s="816"/>
      <c r="T1361" s="738"/>
      <c r="U1361" s="738"/>
      <c r="V1361" s="738"/>
      <c r="W1361" s="738"/>
      <c r="X1361" s="817"/>
      <c r="Y1361" s="816"/>
      <c r="Z1361" s="738"/>
      <c r="AA1361" s="738"/>
      <c r="AB1361" s="738"/>
      <c r="AC1361" s="738"/>
      <c r="AD1361" s="817"/>
      <c r="AG1361" s="326">
        <f t="shared" si="1279"/>
        <v>0</v>
      </c>
      <c r="AH1361" s="283">
        <f t="shared" si="1283"/>
        <v>0</v>
      </c>
      <c r="AI1361" s="283">
        <f t="shared" si="1284"/>
        <v>0</v>
      </c>
      <c r="AJ1361" s="283">
        <f t="shared" si="1285"/>
        <v>0</v>
      </c>
      <c r="AL1361">
        <f t="shared" si="1280"/>
        <v>0</v>
      </c>
      <c r="AM1361">
        <f t="shared" si="1281"/>
        <v>0</v>
      </c>
      <c r="AN1361">
        <f t="shared" si="1282"/>
        <v>0</v>
      </c>
      <c r="AO1361">
        <f t="shared" si="1286"/>
        <v>0</v>
      </c>
    </row>
    <row r="1362" spans="1:41" ht="15" customHeight="1">
      <c r="A1362" s="50"/>
      <c r="B1362" s="38"/>
      <c r="C1362" s="98" t="s">
        <v>2521</v>
      </c>
      <c r="D1362" s="813" t="str">
        <f>IF(CNSIPEE_2024_M2_Secc1!D47="","",CNSIPEE_2024_M2_Secc1!D47)</f>
        <v/>
      </c>
      <c r="E1362" s="814"/>
      <c r="F1362" s="814"/>
      <c r="G1362" s="814"/>
      <c r="H1362" s="814"/>
      <c r="I1362" s="814"/>
      <c r="J1362" s="814"/>
      <c r="K1362" s="814"/>
      <c r="L1362" s="815"/>
      <c r="M1362" s="816"/>
      <c r="N1362" s="738"/>
      <c r="O1362" s="738"/>
      <c r="P1362" s="738"/>
      <c r="Q1362" s="738"/>
      <c r="R1362" s="817"/>
      <c r="S1362" s="816"/>
      <c r="T1362" s="738"/>
      <c r="U1362" s="738"/>
      <c r="V1362" s="738"/>
      <c r="W1362" s="738"/>
      <c r="X1362" s="817"/>
      <c r="Y1362" s="816"/>
      <c r="Z1362" s="738"/>
      <c r="AA1362" s="738"/>
      <c r="AB1362" s="738"/>
      <c r="AC1362" s="738"/>
      <c r="AD1362" s="817"/>
      <c r="AG1362" s="326">
        <f t="shared" si="1279"/>
        <v>0</v>
      </c>
      <c r="AH1362" s="283">
        <f t="shared" si="1283"/>
        <v>0</v>
      </c>
      <c r="AI1362" s="283">
        <f t="shared" si="1284"/>
        <v>0</v>
      </c>
      <c r="AJ1362" s="283">
        <f t="shared" si="1285"/>
        <v>0</v>
      </c>
      <c r="AL1362">
        <f t="shared" si="1280"/>
        <v>0</v>
      </c>
      <c r="AM1362">
        <f t="shared" si="1281"/>
        <v>0</v>
      </c>
      <c r="AN1362">
        <f t="shared" si="1282"/>
        <v>0</v>
      </c>
      <c r="AO1362">
        <f t="shared" si="1286"/>
        <v>0</v>
      </c>
    </row>
    <row r="1363" spans="1:41" ht="15" customHeight="1">
      <c r="A1363" s="50"/>
      <c r="B1363" s="38"/>
      <c r="C1363" s="98" t="s">
        <v>2522</v>
      </c>
      <c r="D1363" s="813" t="str">
        <f>IF(CNSIPEE_2024_M2_Secc1!D48="","",CNSIPEE_2024_M2_Secc1!D48)</f>
        <v/>
      </c>
      <c r="E1363" s="814"/>
      <c r="F1363" s="814"/>
      <c r="G1363" s="814"/>
      <c r="H1363" s="814"/>
      <c r="I1363" s="814"/>
      <c r="J1363" s="814"/>
      <c r="K1363" s="814"/>
      <c r="L1363" s="815"/>
      <c r="M1363" s="816"/>
      <c r="N1363" s="738"/>
      <c r="O1363" s="738"/>
      <c r="P1363" s="738"/>
      <c r="Q1363" s="738"/>
      <c r="R1363" s="817"/>
      <c r="S1363" s="816"/>
      <c r="T1363" s="738"/>
      <c r="U1363" s="738"/>
      <c r="V1363" s="738"/>
      <c r="W1363" s="738"/>
      <c r="X1363" s="817"/>
      <c r="Y1363" s="816"/>
      <c r="Z1363" s="738"/>
      <c r="AA1363" s="738"/>
      <c r="AB1363" s="738"/>
      <c r="AC1363" s="738"/>
      <c r="AD1363" s="817"/>
      <c r="AG1363" s="326">
        <f t="shared" si="1279"/>
        <v>0</v>
      </c>
      <c r="AH1363" s="283">
        <f t="shared" si="1283"/>
        <v>0</v>
      </c>
      <c r="AI1363" s="283">
        <f t="shared" si="1284"/>
        <v>0</v>
      </c>
      <c r="AJ1363" s="283">
        <f t="shared" si="1285"/>
        <v>0</v>
      </c>
      <c r="AL1363">
        <f t="shared" si="1280"/>
        <v>0</v>
      </c>
      <c r="AM1363">
        <f t="shared" si="1281"/>
        <v>0</v>
      </c>
      <c r="AN1363">
        <f t="shared" si="1282"/>
        <v>0</v>
      </c>
      <c r="AO1363">
        <f t="shared" si="1286"/>
        <v>0</v>
      </c>
    </row>
    <row r="1364" spans="1:41" ht="15" customHeight="1">
      <c r="A1364" s="50"/>
      <c r="B1364" s="38"/>
      <c r="C1364" s="98" t="s">
        <v>2523</v>
      </c>
      <c r="D1364" s="813" t="str">
        <f>IF(CNSIPEE_2024_M2_Secc1!D49="","",CNSIPEE_2024_M2_Secc1!D49)</f>
        <v/>
      </c>
      <c r="E1364" s="814"/>
      <c r="F1364" s="814"/>
      <c r="G1364" s="814"/>
      <c r="H1364" s="814"/>
      <c r="I1364" s="814"/>
      <c r="J1364" s="814"/>
      <c r="K1364" s="814"/>
      <c r="L1364" s="815"/>
      <c r="M1364" s="816"/>
      <c r="N1364" s="738"/>
      <c r="O1364" s="738"/>
      <c r="P1364" s="738"/>
      <c r="Q1364" s="738"/>
      <c r="R1364" s="817"/>
      <c r="S1364" s="816"/>
      <c r="T1364" s="738"/>
      <c r="U1364" s="738"/>
      <c r="V1364" s="738"/>
      <c r="W1364" s="738"/>
      <c r="X1364" s="817"/>
      <c r="Y1364" s="816"/>
      <c r="Z1364" s="738"/>
      <c r="AA1364" s="738"/>
      <c r="AB1364" s="738"/>
      <c r="AC1364" s="738"/>
      <c r="AD1364" s="817"/>
      <c r="AG1364" s="326">
        <f t="shared" si="1279"/>
        <v>0</v>
      </c>
      <c r="AH1364" s="283">
        <f t="shared" si="1283"/>
        <v>0</v>
      </c>
      <c r="AI1364" s="283">
        <f t="shared" si="1284"/>
        <v>0</v>
      </c>
      <c r="AJ1364" s="283">
        <f t="shared" si="1285"/>
        <v>0</v>
      </c>
      <c r="AL1364">
        <f t="shared" si="1280"/>
        <v>0</v>
      </c>
      <c r="AM1364">
        <f t="shared" si="1281"/>
        <v>0</v>
      </c>
      <c r="AN1364">
        <f t="shared" si="1282"/>
        <v>0</v>
      </c>
      <c r="AO1364">
        <f t="shared" si="1286"/>
        <v>0</v>
      </c>
    </row>
    <row r="1365" spans="1:41" ht="15" customHeight="1">
      <c r="A1365" s="50"/>
      <c r="B1365" s="38"/>
      <c r="C1365" s="38"/>
      <c r="D1365" s="93"/>
      <c r="E1365" s="93"/>
      <c r="F1365" s="93"/>
      <c r="G1365" s="93"/>
      <c r="H1365" s="93"/>
      <c r="I1365" s="93"/>
      <c r="J1365" s="93"/>
      <c r="K1365" s="93"/>
      <c r="L1365" s="99" t="s">
        <v>2649</v>
      </c>
      <c r="M1365" s="733">
        <f>IF(AND(SUM(M1357:R1364)=0,COUNTIF(M1357:R1364,"NS")&gt;0),"NS",
IF(AND(SUM(M1357:R1364)=0,COUNTIF(M1357:R1364,0)&gt;0),0,
IF(AND(SUM(M1357:R1364)=0,COUNTIF(M1357:R1364,"NA")&gt;0),"NA",
SUM(M1357:R1364))))</f>
        <v>0</v>
      </c>
      <c r="N1365" s="734"/>
      <c r="O1365" s="734"/>
      <c r="P1365" s="734"/>
      <c r="Q1365" s="734"/>
      <c r="R1365" s="735"/>
      <c r="S1365" s="733">
        <f t="shared" ref="S1365" si="1287">IF(AND(SUM(S1357:X1364)=0,COUNTIF(S1357:X1364,"NS")&gt;0),"NS",
IF(AND(SUM(S1357:X1364)=0,COUNTIF(S1357:X1364,0)&gt;0),0,
IF(AND(SUM(S1357:X1364)=0,COUNTIF(S1357:X1364,"NA")&gt;0),"NA",
SUM(S1357:X1364))))</f>
        <v>0</v>
      </c>
      <c r="T1365" s="734"/>
      <c r="U1365" s="734"/>
      <c r="V1365" s="734"/>
      <c r="W1365" s="734"/>
      <c r="X1365" s="735"/>
      <c r="Y1365" s="733">
        <f t="shared" ref="Y1365" si="1288">IF(AND(SUM(Y1357:AD1364)=0,COUNTIF(Y1357:AD1364,"NS")&gt;0),"NS",
IF(AND(SUM(Y1357:AD1364)=0,COUNTIF(Y1357:AD1364,0)&gt;0),0,
IF(AND(SUM(Y1357:AD1364)=0,COUNTIF(Y1357:AD1364,"NA")&gt;0),"NA",
SUM(Y1357:AD1364))))</f>
        <v>0</v>
      </c>
      <c r="Z1365" s="734"/>
      <c r="AA1365" s="734"/>
      <c r="AB1365" s="734"/>
      <c r="AC1365" s="734"/>
      <c r="AD1365" s="735"/>
      <c r="AG1365" s="354">
        <f>SUM(AG1357:AG1364)</f>
        <v>0</v>
      </c>
      <c r="AH1365" s="406">
        <f>SUM(AH1357:AH1364)</f>
        <v>0</v>
      </c>
      <c r="AI1365" s="326"/>
      <c r="AJ1365" s="352">
        <f>SUM(AJ1357:AJ1364)</f>
        <v>0</v>
      </c>
      <c r="AL1365" s="470">
        <f>SUM(AL1357:AL1364)</f>
        <v>0</v>
      </c>
      <c r="AM1365" s="440">
        <f>SUM(AM1357:AM1364)</f>
        <v>0</v>
      </c>
      <c r="AN1365" s="471">
        <f>SUM(AN1357:AN1364)</f>
        <v>0</v>
      </c>
      <c r="AO1365" s="465">
        <f>SUM(AO1357:AO1364)</f>
        <v>0</v>
      </c>
    </row>
    <row r="1366" spans="1:41" ht="15" customHeight="1">
      <c r="A1366" s="50"/>
      <c r="B1366" s="38"/>
      <c r="C1366" s="38"/>
      <c r="D1366" s="38"/>
      <c r="E1366" s="38"/>
      <c r="F1366" s="38"/>
      <c r="G1366" s="38"/>
      <c r="H1366" s="38"/>
      <c r="I1366" s="38"/>
      <c r="J1366" s="38"/>
      <c r="K1366" s="38"/>
      <c r="L1366" s="38"/>
      <c r="M1366" s="38"/>
      <c r="N1366" s="38"/>
      <c r="O1366" s="38"/>
      <c r="P1366" s="38"/>
      <c r="Q1366" s="38"/>
      <c r="R1366" s="38"/>
      <c r="S1366" s="38"/>
      <c r="T1366" s="38"/>
      <c r="U1366" s="38"/>
      <c r="V1366" s="38"/>
      <c r="W1366" s="38"/>
      <c r="X1366" s="38"/>
      <c r="Y1366" s="38"/>
      <c r="Z1366" s="38"/>
      <c r="AA1366" s="38"/>
      <c r="AB1366" s="38"/>
      <c r="AC1366" s="38"/>
      <c r="AD1366" s="38"/>
      <c r="AL1366"/>
      <c r="AM1366"/>
      <c r="AN1366" s="472">
        <f>SUM(AL1365:AN1365)</f>
        <v>0</v>
      </c>
      <c r="AO1366"/>
    </row>
    <row r="1367" spans="1:41" ht="24" customHeight="1">
      <c r="A1367" s="50"/>
      <c r="B1367" s="38"/>
      <c r="C1367" s="754" t="s">
        <v>2611</v>
      </c>
      <c r="D1367" s="754"/>
      <c r="E1367" s="754"/>
      <c r="F1367" s="754"/>
      <c r="G1367" s="754"/>
      <c r="H1367" s="754"/>
      <c r="I1367" s="754"/>
      <c r="J1367" s="754"/>
      <c r="K1367" s="754"/>
      <c r="L1367" s="754"/>
      <c r="M1367" s="754"/>
      <c r="N1367" s="754"/>
      <c r="O1367" s="754"/>
      <c r="P1367" s="754"/>
      <c r="Q1367" s="754"/>
      <c r="R1367" s="754"/>
      <c r="S1367" s="754"/>
      <c r="T1367" s="754"/>
      <c r="U1367" s="754"/>
      <c r="V1367" s="754"/>
      <c r="W1367" s="754"/>
      <c r="X1367" s="754"/>
      <c r="Y1367" s="754"/>
      <c r="Z1367" s="754"/>
      <c r="AA1367" s="754"/>
      <c r="AB1367" s="754"/>
      <c r="AC1367" s="754"/>
      <c r="AD1367" s="754"/>
    </row>
    <row r="1368" spans="1:41" ht="60" customHeight="1">
      <c r="A1368" s="50"/>
      <c r="B1368" s="38"/>
      <c r="C1368" s="851"/>
      <c r="D1368" s="851"/>
      <c r="E1368" s="851"/>
      <c r="F1368" s="851"/>
      <c r="G1368" s="851"/>
      <c r="H1368" s="851"/>
      <c r="I1368" s="851"/>
      <c r="J1368" s="851"/>
      <c r="K1368" s="851"/>
      <c r="L1368" s="851"/>
      <c r="M1368" s="851"/>
      <c r="N1368" s="851"/>
      <c r="O1368" s="851"/>
      <c r="P1368" s="851"/>
      <c r="Q1368" s="851"/>
      <c r="R1368" s="851"/>
      <c r="S1368" s="851"/>
      <c r="T1368" s="851"/>
      <c r="U1368" s="851"/>
      <c r="V1368" s="851"/>
      <c r="W1368" s="851"/>
      <c r="X1368" s="851"/>
      <c r="Y1368" s="851"/>
      <c r="Z1368" s="851"/>
      <c r="AA1368" s="851"/>
      <c r="AB1368" s="851"/>
      <c r="AC1368" s="851"/>
      <c r="AD1368" s="851"/>
    </row>
    <row r="1369" spans="1:41" ht="15" customHeight="1">
      <c r="A1369" s="50"/>
      <c r="B1369" s="794" t="str">
        <f>IF(AG1365&gt;0,"Favor de ingresar toda la información requerida en la pregunta y/o verifique que no tenga información en celdas sombreadas","")</f>
        <v/>
      </c>
      <c r="C1369" s="794"/>
      <c r="D1369" s="794"/>
      <c r="E1369" s="794"/>
      <c r="F1369" s="794"/>
      <c r="G1369" s="794"/>
      <c r="H1369" s="794"/>
      <c r="I1369" s="794"/>
      <c r="J1369" s="794"/>
      <c r="K1369" s="794"/>
      <c r="L1369" s="794"/>
      <c r="M1369" s="794"/>
      <c r="N1369" s="794"/>
      <c r="O1369" s="794"/>
      <c r="P1369" s="794"/>
      <c r="Q1369" s="794"/>
      <c r="R1369" s="794"/>
      <c r="S1369" s="794"/>
      <c r="T1369" s="794"/>
      <c r="U1369" s="794"/>
      <c r="V1369" s="794"/>
      <c r="W1369" s="794"/>
      <c r="X1369" s="794"/>
      <c r="Y1369" s="794"/>
      <c r="Z1369" s="794"/>
      <c r="AA1369" s="794"/>
      <c r="AB1369" s="794"/>
      <c r="AC1369" s="794"/>
      <c r="AD1369" s="794"/>
      <c r="AE1369"/>
    </row>
    <row r="1370" spans="1:41" ht="15" customHeight="1">
      <c r="A1370" s="50"/>
      <c r="B1370" s="795" t="str">
        <f>IF(AH1365&gt;0,"Alerta: debido a que cuenta con registros NS, debe proporcionar una justificación en el area de comentarios al final de la pregunta","")</f>
        <v/>
      </c>
      <c r="C1370" s="795"/>
      <c r="D1370" s="795"/>
      <c r="E1370" s="795"/>
      <c r="F1370" s="795"/>
      <c r="G1370" s="795"/>
      <c r="H1370" s="795"/>
      <c r="I1370" s="795"/>
      <c r="J1370" s="795"/>
      <c r="K1370" s="795"/>
      <c r="L1370" s="795"/>
      <c r="M1370" s="795"/>
      <c r="N1370" s="795"/>
      <c r="O1370" s="795"/>
      <c r="P1370" s="795"/>
      <c r="Q1370" s="795"/>
      <c r="R1370" s="795"/>
      <c r="S1370" s="795"/>
      <c r="T1370" s="795"/>
      <c r="U1370" s="795"/>
      <c r="V1370" s="795"/>
      <c r="W1370" s="795"/>
      <c r="X1370" s="795"/>
      <c r="Y1370" s="795"/>
      <c r="Z1370" s="795"/>
      <c r="AA1370" s="795"/>
      <c r="AB1370" s="795"/>
      <c r="AC1370" s="795"/>
      <c r="AD1370" s="795"/>
      <c r="AE1370"/>
    </row>
    <row r="1371" spans="1:41" ht="15" customHeight="1">
      <c r="A1371" s="50"/>
      <c r="B1371" s="794" t="str">
        <f>IF(AJ1365&gt;0,"Favor de revisar la suma y consistencia de totales y/o subtotales por filas (numéricos y NS)","")</f>
        <v/>
      </c>
      <c r="C1371" s="794"/>
      <c r="D1371" s="794"/>
      <c r="E1371" s="794"/>
      <c r="F1371" s="794"/>
      <c r="G1371" s="794"/>
      <c r="H1371" s="794"/>
      <c r="I1371" s="794"/>
      <c r="J1371" s="794"/>
      <c r="K1371" s="794"/>
      <c r="L1371" s="794"/>
      <c r="M1371" s="794"/>
      <c r="N1371" s="794"/>
      <c r="O1371" s="794"/>
      <c r="P1371" s="794"/>
      <c r="Q1371" s="794"/>
      <c r="R1371" s="794"/>
      <c r="S1371" s="794"/>
      <c r="T1371" s="794"/>
      <c r="U1371" s="794"/>
      <c r="V1371" s="794"/>
      <c r="W1371" s="794"/>
      <c r="X1371" s="794"/>
      <c r="Y1371" s="794"/>
      <c r="Z1371" s="794"/>
      <c r="AA1371" s="794"/>
      <c r="AB1371" s="794"/>
      <c r="AC1371" s="794"/>
      <c r="AD1371" s="794"/>
      <c r="AE1371"/>
    </row>
    <row r="1372" spans="1:41" ht="15" customHeight="1">
      <c r="A1372" s="50"/>
      <c r="B1372" s="794" t="str">
        <f>IF(AN1366&gt;0,"Favor de revisar la instrucción 2, debido a que no se cumplen con los criterios mencionados","")</f>
        <v/>
      </c>
      <c r="C1372" s="794"/>
      <c r="D1372" s="794"/>
      <c r="E1372" s="794"/>
      <c r="F1372" s="794"/>
      <c r="G1372" s="794"/>
      <c r="H1372" s="794"/>
      <c r="I1372" s="794"/>
      <c r="J1372" s="794"/>
      <c r="K1372" s="794"/>
      <c r="L1372" s="794"/>
      <c r="M1372" s="794"/>
      <c r="N1372" s="794"/>
      <c r="O1372" s="794"/>
      <c r="P1372" s="794"/>
      <c r="Q1372" s="794"/>
      <c r="R1372" s="794"/>
      <c r="S1372" s="794"/>
      <c r="T1372" s="794"/>
      <c r="U1372" s="794"/>
      <c r="V1372" s="794"/>
      <c r="W1372" s="794"/>
      <c r="X1372" s="794"/>
      <c r="Y1372" s="794"/>
      <c r="Z1372" s="794"/>
      <c r="AA1372" s="794"/>
      <c r="AB1372" s="794"/>
      <c r="AC1372" s="794"/>
      <c r="AD1372" s="794"/>
      <c r="AE1372" s="794"/>
    </row>
    <row r="1373" spans="1:41" ht="15" customHeight="1">
      <c r="A1373" s="50"/>
      <c r="B1373" s="38"/>
      <c r="C1373" s="38"/>
      <c r="D1373" s="38"/>
      <c r="E1373" s="38"/>
      <c r="F1373" s="38"/>
      <c r="G1373" s="38"/>
      <c r="H1373" s="38"/>
      <c r="I1373" s="38"/>
      <c r="J1373" s="38"/>
      <c r="K1373" s="38"/>
      <c r="L1373" s="38"/>
      <c r="M1373" s="38"/>
      <c r="N1373" s="38"/>
      <c r="O1373" s="38"/>
      <c r="P1373" s="38"/>
      <c r="Q1373" s="38"/>
      <c r="R1373" s="38"/>
      <c r="S1373" s="38"/>
      <c r="T1373" s="38"/>
      <c r="U1373" s="38"/>
      <c r="V1373" s="38"/>
      <c r="W1373" s="38"/>
      <c r="X1373" s="38"/>
      <c r="Y1373" s="38"/>
      <c r="Z1373" s="38"/>
      <c r="AA1373" s="38"/>
      <c r="AB1373" s="38"/>
      <c r="AC1373" s="38"/>
      <c r="AD1373" s="38"/>
      <c r="AE1373"/>
    </row>
    <row r="1374" spans="1:41" ht="15" customHeight="1">
      <c r="A1374" s="50"/>
      <c r="B1374" s="38"/>
      <c r="C1374" s="38"/>
      <c r="D1374" s="38"/>
      <c r="E1374" s="38"/>
      <c r="F1374" s="38"/>
      <c r="G1374" s="38"/>
      <c r="H1374" s="38"/>
      <c r="I1374" s="38"/>
      <c r="J1374" s="38"/>
      <c r="K1374" s="38"/>
      <c r="L1374" s="38"/>
      <c r="M1374" s="38"/>
      <c r="N1374" s="38"/>
      <c r="O1374" s="38"/>
      <c r="P1374" s="38"/>
      <c r="Q1374" s="38"/>
      <c r="R1374" s="38"/>
      <c r="S1374" s="38"/>
      <c r="T1374" s="38"/>
      <c r="U1374" s="38"/>
      <c r="V1374" s="38"/>
      <c r="W1374" s="38"/>
      <c r="X1374" s="38"/>
      <c r="Y1374" s="38"/>
      <c r="Z1374" s="38"/>
      <c r="AA1374" s="38"/>
      <c r="AB1374" s="38"/>
      <c r="AC1374" s="38"/>
      <c r="AD1374" s="38"/>
      <c r="AE1374"/>
    </row>
    <row r="1375" spans="1:41" ht="24" customHeight="1">
      <c r="A1375" s="49" t="s">
        <v>3829</v>
      </c>
      <c r="B1375" s="829" t="s">
        <v>3830</v>
      </c>
      <c r="C1375" s="960"/>
      <c r="D1375" s="960"/>
      <c r="E1375" s="960"/>
      <c r="F1375" s="960"/>
      <c r="G1375" s="960"/>
      <c r="H1375" s="960"/>
      <c r="I1375" s="960"/>
      <c r="J1375" s="960"/>
      <c r="K1375" s="960"/>
      <c r="L1375" s="960"/>
      <c r="M1375" s="960"/>
      <c r="N1375" s="960"/>
      <c r="O1375" s="960"/>
      <c r="P1375" s="960"/>
      <c r="Q1375" s="960"/>
      <c r="R1375" s="960"/>
      <c r="S1375" s="960"/>
      <c r="T1375" s="960"/>
      <c r="U1375" s="960"/>
      <c r="V1375" s="960"/>
      <c r="W1375" s="960"/>
      <c r="X1375" s="960"/>
      <c r="Y1375" s="960"/>
      <c r="Z1375" s="960"/>
      <c r="AA1375" s="960"/>
      <c r="AB1375" s="960"/>
      <c r="AC1375" s="960"/>
      <c r="AD1375" s="960"/>
    </row>
    <row r="1376" spans="1:41" ht="36" customHeight="1">
      <c r="A1376" s="49"/>
      <c r="B1376" s="107"/>
      <c r="C1376" s="830" t="s">
        <v>3831</v>
      </c>
      <c r="D1376" s="830"/>
      <c r="E1376" s="830"/>
      <c r="F1376" s="830"/>
      <c r="G1376" s="830"/>
      <c r="H1376" s="830"/>
      <c r="I1376" s="830"/>
      <c r="J1376" s="830"/>
      <c r="K1376" s="830"/>
      <c r="L1376" s="830"/>
      <c r="M1376" s="830"/>
      <c r="N1376" s="830"/>
      <c r="O1376" s="830"/>
      <c r="P1376" s="830"/>
      <c r="Q1376" s="830"/>
      <c r="R1376" s="830"/>
      <c r="S1376" s="830"/>
      <c r="T1376" s="830"/>
      <c r="U1376" s="830"/>
      <c r="V1376" s="830"/>
      <c r="W1376" s="830"/>
      <c r="X1376" s="830"/>
      <c r="Y1376" s="830"/>
      <c r="Z1376" s="830"/>
      <c r="AA1376" s="830"/>
      <c r="AB1376" s="830"/>
      <c r="AC1376" s="830"/>
      <c r="AD1376" s="830"/>
    </row>
    <row r="1377" spans="1:60" ht="36" customHeight="1">
      <c r="A1377" s="49"/>
      <c r="B1377" s="107"/>
      <c r="C1377" s="830" t="s">
        <v>3832</v>
      </c>
      <c r="D1377" s="830"/>
      <c r="E1377" s="830"/>
      <c r="F1377" s="830"/>
      <c r="G1377" s="830"/>
      <c r="H1377" s="830"/>
      <c r="I1377" s="830"/>
      <c r="J1377" s="830"/>
      <c r="K1377" s="830"/>
      <c r="L1377" s="830"/>
      <c r="M1377" s="830"/>
      <c r="N1377" s="830"/>
      <c r="O1377" s="830"/>
      <c r="P1377" s="830"/>
      <c r="Q1377" s="830"/>
      <c r="R1377" s="830"/>
      <c r="S1377" s="830"/>
      <c r="T1377" s="830"/>
      <c r="U1377" s="830"/>
      <c r="V1377" s="830"/>
      <c r="W1377" s="830"/>
      <c r="X1377" s="830"/>
      <c r="Y1377" s="830"/>
      <c r="Z1377" s="830"/>
      <c r="AA1377" s="830"/>
      <c r="AB1377" s="830"/>
      <c r="AC1377" s="830"/>
      <c r="AD1377" s="830"/>
    </row>
    <row r="1378" spans="1:60" ht="15">
      <c r="A1378" s="49"/>
      <c r="B1378" s="107"/>
      <c r="C1378" s="86"/>
      <c r="D1378" s="86"/>
      <c r="E1378" s="86"/>
      <c r="F1378" s="86"/>
      <c r="G1378" s="86"/>
      <c r="H1378" s="86"/>
      <c r="I1378" s="86"/>
      <c r="J1378" s="86"/>
      <c r="K1378" s="86"/>
      <c r="L1378" s="86"/>
      <c r="M1378" s="86"/>
      <c r="N1378" s="86"/>
      <c r="O1378" s="86"/>
      <c r="P1378" s="86"/>
      <c r="Q1378" s="86"/>
      <c r="R1378" s="86"/>
      <c r="S1378" s="86"/>
      <c r="T1378" s="86"/>
      <c r="U1378" s="86"/>
      <c r="V1378" s="86"/>
      <c r="W1378" s="86"/>
      <c r="X1378" s="86"/>
      <c r="Y1378" s="86"/>
      <c r="Z1378" s="86"/>
      <c r="AA1378" s="86"/>
      <c r="AB1378" s="86"/>
      <c r="AC1378" s="86"/>
      <c r="AD1378" s="86"/>
    </row>
    <row r="1379" spans="1:60" ht="15" customHeight="1">
      <c r="A1379" s="115"/>
      <c r="AA1379" s="875" t="s">
        <v>2664</v>
      </c>
      <c r="AB1379" s="875"/>
      <c r="AC1379" s="875"/>
      <c r="AD1379" s="875"/>
    </row>
    <row r="1380" spans="1:60" ht="24" customHeight="1">
      <c r="A1380" s="142"/>
      <c r="B1380" s="113"/>
      <c r="C1380" s="732" t="s">
        <v>2581</v>
      </c>
      <c r="D1380" s="732"/>
      <c r="E1380" s="732"/>
      <c r="F1380" s="732"/>
      <c r="G1380" s="732"/>
      <c r="H1380" s="732"/>
      <c r="I1380" s="732"/>
      <c r="J1380" s="732"/>
      <c r="K1380" s="732"/>
      <c r="L1380" s="732"/>
      <c r="M1380" s="732"/>
      <c r="N1380" s="732"/>
      <c r="O1380" s="732"/>
      <c r="P1380" s="732"/>
      <c r="Q1380" s="732"/>
      <c r="R1380" s="732"/>
      <c r="S1380" s="739" t="s">
        <v>3833</v>
      </c>
      <c r="T1380" s="740"/>
      <c r="U1380" s="740"/>
      <c r="V1380" s="740"/>
      <c r="W1380" s="740"/>
      <c r="X1380" s="740"/>
      <c r="Y1380" s="740"/>
      <c r="Z1380" s="740"/>
      <c r="AA1380" s="740"/>
      <c r="AB1380" s="740"/>
      <c r="AC1380" s="740"/>
      <c r="AD1380" s="741"/>
    </row>
    <row r="1381" spans="1:60" ht="15" customHeight="1">
      <c r="A1381" s="142"/>
      <c r="B1381" s="113"/>
      <c r="C1381" s="732"/>
      <c r="D1381" s="732"/>
      <c r="E1381" s="732"/>
      <c r="F1381" s="732"/>
      <c r="G1381" s="732"/>
      <c r="H1381" s="732"/>
      <c r="I1381" s="732"/>
      <c r="J1381" s="732"/>
      <c r="K1381" s="732"/>
      <c r="L1381" s="732"/>
      <c r="M1381" s="732"/>
      <c r="N1381" s="732"/>
      <c r="O1381" s="732"/>
      <c r="P1381" s="732"/>
      <c r="Q1381" s="732"/>
      <c r="R1381" s="732"/>
      <c r="S1381" s="887" t="s">
        <v>2628</v>
      </c>
      <c r="T1381" s="889" t="s">
        <v>2629</v>
      </c>
      <c r="U1381" s="889" t="s">
        <v>2630</v>
      </c>
      <c r="V1381" s="733" t="s">
        <v>3834</v>
      </c>
      <c r="W1381" s="734"/>
      <c r="X1381" s="734"/>
      <c r="Y1381" s="734"/>
      <c r="Z1381" s="734"/>
      <c r="AA1381" s="734"/>
      <c r="AB1381" s="734"/>
      <c r="AC1381" s="734"/>
      <c r="AD1381" s="735"/>
    </row>
    <row r="1382" spans="1:60" ht="36" customHeight="1">
      <c r="A1382" s="142"/>
      <c r="C1382" s="732"/>
      <c r="D1382" s="732"/>
      <c r="E1382" s="732"/>
      <c r="F1382" s="732"/>
      <c r="G1382" s="732"/>
      <c r="H1382" s="732"/>
      <c r="I1382" s="732"/>
      <c r="J1382" s="732"/>
      <c r="K1382" s="732"/>
      <c r="L1382" s="732"/>
      <c r="M1382" s="732"/>
      <c r="N1382" s="732"/>
      <c r="O1382" s="732"/>
      <c r="P1382" s="732"/>
      <c r="Q1382" s="732"/>
      <c r="R1382" s="732"/>
      <c r="S1382" s="958"/>
      <c r="T1382" s="959"/>
      <c r="U1382" s="959"/>
      <c r="V1382" s="733" t="s">
        <v>3835</v>
      </c>
      <c r="W1382" s="734"/>
      <c r="X1382" s="735"/>
      <c r="Y1382" s="733" t="s">
        <v>3836</v>
      </c>
      <c r="Z1382" s="734"/>
      <c r="AA1382" s="735"/>
      <c r="AB1382" s="733" t="s">
        <v>3837</v>
      </c>
      <c r="AC1382" s="734"/>
      <c r="AD1382" s="735"/>
    </row>
    <row r="1383" spans="1:60" ht="48" customHeight="1">
      <c r="A1383" s="142"/>
      <c r="C1383" s="732"/>
      <c r="D1383" s="732"/>
      <c r="E1383" s="732"/>
      <c r="F1383" s="732"/>
      <c r="G1383" s="732"/>
      <c r="H1383" s="732"/>
      <c r="I1383" s="732"/>
      <c r="J1383" s="732"/>
      <c r="K1383" s="732"/>
      <c r="L1383" s="732"/>
      <c r="M1383" s="732"/>
      <c r="N1383" s="732"/>
      <c r="O1383" s="732"/>
      <c r="P1383" s="732"/>
      <c r="Q1383" s="732"/>
      <c r="R1383" s="732"/>
      <c r="S1383" s="888"/>
      <c r="T1383" s="890"/>
      <c r="U1383" s="890"/>
      <c r="V1383" s="127" t="s">
        <v>2635</v>
      </c>
      <c r="W1383" s="128" t="s">
        <v>2629</v>
      </c>
      <c r="X1383" s="128" t="s">
        <v>2630</v>
      </c>
      <c r="Y1383" s="127" t="s">
        <v>2635</v>
      </c>
      <c r="Z1383" s="128" t="s">
        <v>2629</v>
      </c>
      <c r="AA1383" s="128" t="s">
        <v>2630</v>
      </c>
      <c r="AB1383" s="127" t="s">
        <v>2635</v>
      </c>
      <c r="AC1383" s="128" t="s">
        <v>2629</v>
      </c>
      <c r="AD1383" s="128" t="s">
        <v>2630</v>
      </c>
      <c r="AG1383" s="354" t="s">
        <v>2586</v>
      </c>
      <c r="AH1383" s="282" t="s">
        <v>2637</v>
      </c>
      <c r="AI1383" s="280" t="s">
        <v>2638</v>
      </c>
      <c r="AJ1383" s="281" t="s">
        <v>2639</v>
      </c>
      <c r="AK1383" s="282" t="s">
        <v>2640</v>
      </c>
      <c r="AL1383" s="280" t="s">
        <v>2641</v>
      </c>
      <c r="AM1383" s="281" t="s">
        <v>2642</v>
      </c>
      <c r="AN1383" s="282" t="s">
        <v>2643</v>
      </c>
      <c r="AO1383" s="280" t="s">
        <v>2644</v>
      </c>
      <c r="AP1383" s="281" t="s">
        <v>2645</v>
      </c>
      <c r="AQ1383" s="282" t="s">
        <v>2646</v>
      </c>
      <c r="AR1383" s="280" t="s">
        <v>2647</v>
      </c>
      <c r="AS1383" s="281" t="s">
        <v>2648</v>
      </c>
      <c r="AT1383" s="282" t="s">
        <v>2756</v>
      </c>
      <c r="AU1383" s="280" t="s">
        <v>2757</v>
      </c>
      <c r="AV1383" s="281" t="s">
        <v>2758</v>
      </c>
      <c r="AW1383" s="282" t="s">
        <v>2759</v>
      </c>
      <c r="AX1383" s="280" t="s">
        <v>2760</v>
      </c>
      <c r="AY1383" s="281" t="s">
        <v>2761</v>
      </c>
      <c r="AZ1383" s="282" t="s">
        <v>2762</v>
      </c>
      <c r="BA1383" s="280" t="s">
        <v>2763</v>
      </c>
      <c r="BB1383" s="281" t="s">
        <v>2764</v>
      </c>
      <c r="BC1383" s="282" t="s">
        <v>2765</v>
      </c>
      <c r="BD1383" s="280" t="s">
        <v>2766</v>
      </c>
      <c r="BE1383" s="281" t="s">
        <v>2767</v>
      </c>
      <c r="BF1383" s="282" t="s">
        <v>2768</v>
      </c>
      <c r="BG1383" s="280" t="s">
        <v>2769</v>
      </c>
      <c r="BH1383" s="281" t="s">
        <v>2770</v>
      </c>
    </row>
    <row r="1384" spans="1:60" ht="15" customHeight="1">
      <c r="A1384" s="50"/>
      <c r="B1384" s="90"/>
      <c r="C1384" s="97" t="s">
        <v>2516</v>
      </c>
      <c r="D1384" s="813" t="str">
        <f>IF(CNSIPEE_2024_M2_Secc1!D42="","",CNSIPEE_2024_M2_Secc1!D42)</f>
        <v/>
      </c>
      <c r="E1384" s="814"/>
      <c r="F1384" s="814"/>
      <c r="G1384" s="814"/>
      <c r="H1384" s="814"/>
      <c r="I1384" s="814"/>
      <c r="J1384" s="814"/>
      <c r="K1384" s="814"/>
      <c r="L1384" s="814"/>
      <c r="M1384" s="814"/>
      <c r="N1384" s="814"/>
      <c r="O1384" s="814"/>
      <c r="P1384" s="814"/>
      <c r="Q1384" s="814"/>
      <c r="R1384" s="815"/>
      <c r="S1384" s="100"/>
      <c r="T1384" s="100"/>
      <c r="U1384" s="100"/>
      <c r="V1384" s="100"/>
      <c r="W1384" s="100"/>
      <c r="X1384" s="100"/>
      <c r="Y1384" s="100"/>
      <c r="Z1384" s="100"/>
      <c r="AA1384" s="100"/>
      <c r="AB1384" s="100"/>
      <c r="AC1384" s="100"/>
      <c r="AD1384" s="100"/>
      <c r="AG1384" s="326">
        <f t="shared" ref="AG1384:AG1391" si="1289">IF(AND($AH$1227=1,COUNTA(S1384:AD1384,P1399:AD1399)=0),0,IF(AND(COUNTBLANK(D1384)=0,$G1237&lt;&gt;"",$G1237&lt;&gt;1,COUNTA(S1384:AD1384,P1399:AD1399)=0),0,IF(AND(COUNTBLANK(D1384)=0,$G1237&lt;&gt;"",$G1237=1,COUNTA(S1384:AD1384,P1399:AD1399)=27),0,IF(AND(COUNTBLANK(D1384)=1,COUNTA(S1384:AD1384,P1399:AD1399)=0),0,1))))</f>
        <v>0</v>
      </c>
      <c r="AH1384" s="283">
        <f>COUNTIF(T1384:U1384,"NS")</f>
        <v>0</v>
      </c>
      <c r="AI1384" s="283">
        <f>SUM(T1384:U1384)</f>
        <v>0</v>
      </c>
      <c r="AJ1384" s="283">
        <f>IF(COUNTIF(S1384:U1384,"NA")=3,0,IF(COUNTA(S1384:U1384)=0,0,IF(OR(AND(S1384=0,AH1384&gt;0),AND(S1384="ns",AI1384&gt;0),AND(S1384="ns",AH1384=0,AI1384=0)),1,IF(OR(AND(S1384&gt;0,AH1384=2),AND(S1384="ns",AH1384=2),AND(S1384="ns",AI1384=0,AH1384&gt;0),S1384=AI1384),0,1))))</f>
        <v>0</v>
      </c>
      <c r="AK1384" s="283">
        <f>COUNTIF(W1384:X1384,"NS")</f>
        <v>0</v>
      </c>
      <c r="AL1384" s="283">
        <f>SUM(W1384:X1384)</f>
        <v>0</v>
      </c>
      <c r="AM1384" s="283">
        <f>IF(COUNTIF(V1384:X1384,"NA")=3,0,IF(COUNTA(V1384:X1384)=0,0,IF(OR(AND(V1384=0,AK1384&gt;0),AND(V1384="ns",AL1384&gt;0),AND(V1384="ns",AK1384=0,AL1384=0)),1,IF(OR(AND(V1384&gt;0,AK1384=2),AND(V1384="ns",AK1384=2),AND(V1384="ns",AL1384=0,AK1384&gt;0),V1384=AL1384),0,1))))</f>
        <v>0</v>
      </c>
      <c r="AN1384" s="283">
        <f>COUNTIF(Z1384:AA1384,"NS")</f>
        <v>0</v>
      </c>
      <c r="AO1384" s="283">
        <f>SUM(Z1384:AA1384)</f>
        <v>0</v>
      </c>
      <c r="AP1384" s="283">
        <f>IF(COUNTIF(Y1384:AA1384,"NA")=3,0,IF(COUNTA(Y1384:AA1384)=0,0,IF(OR(AND(Y1384=0,AN1384&gt;0),AND(Y1384="ns",AO1384&gt;0),AND(Y1384="ns",AN1384=0,AO1384=0)),1,IF(OR(AND(Y1384&gt;0,AN1384=2),AND(Y1384="ns",AN1384=2),AND(Y1384="ns",AO1384=0,AN1384&gt;0),Y1384=AO1384),0,1))))</f>
        <v>0</v>
      </c>
      <c r="AQ1384" s="283">
        <f>COUNTIF(AC1384:AD1384,"NS")</f>
        <v>0</v>
      </c>
      <c r="AR1384" s="283">
        <f>SUM(AC1384:AD1384)</f>
        <v>0</v>
      </c>
      <c r="AS1384" s="283">
        <f>IF(COUNTIF(AB1384:AD1384,"NA")=3,0,IF(COUNTA(AB1384:AD1384)=0,0,IF(OR(AND(AB1384=0,AQ1384&gt;0),AND(AB1384="ns",AR1384&gt;0),AND(AB1384="ns",AQ1384=0,AR1384=0)),1,IF(OR(AND(AB1384&gt;0,AQ1384=2),AND(AB1384="ns",AQ1384=2),AND(AB1384="ns",AR1384=0,AQ1384&gt;0),AB1384=AR1384),0,1))))</f>
        <v>0</v>
      </c>
      <c r="AT1384" s="283">
        <f>COUNTIF(Q1399:R1399,"NS")</f>
        <v>0</v>
      </c>
      <c r="AU1384" s="283">
        <f>SUM(Q1399:R1399)</f>
        <v>0</v>
      </c>
      <c r="AV1384" s="283">
        <f>IF(COUNTIF(P1399:R1399,"NA")=3,0,IF(COUNTA(P1399:R1399)=0,0,IF(OR(AND(P1399=0,AT1384&gt;0),AND(P1399="ns",AU1384&gt;0),AND(P1399="ns",AT1384=0,AU1384=0)),1,IF(OR(AND(P1399&gt;0,AT1384=2),AND(P1399="ns",AT1384=2),AND(P1399="ns",AU1384=0,AT1384&gt;0),P1399=AU1384),0,1))))</f>
        <v>0</v>
      </c>
      <c r="AW1384" s="283">
        <f>COUNTIF(T1399:U1399,"NS")</f>
        <v>0</v>
      </c>
      <c r="AX1384" s="283">
        <f>SUM(T1399:U1399)</f>
        <v>0</v>
      </c>
      <c r="AY1384" s="283">
        <f>IF(COUNTIF(S1399:U1399,"NA")=3,0,IF(COUNTA(S1399:U1399)=0,0,IF(OR(AND(S1399=0,AW1384&gt;0),AND(S1399="ns",AX1384&gt;0),AND(S1399="ns",AW1384=0,AX1384=0)),1,IF(OR(AND(S1399&gt;0,AW1384=2),AND(S1399="ns",AW1384=2),AND(S1399="ns",AX1384=0,AW1384&gt;0),S1399=AX1384),0,1))))</f>
        <v>0</v>
      </c>
      <c r="AZ1384" s="283">
        <f>COUNTIF(W1399:X1399,"NS")</f>
        <v>0</v>
      </c>
      <c r="BA1384" s="283">
        <f>SUM(W1399:X1399)</f>
        <v>0</v>
      </c>
      <c r="BB1384" s="283">
        <f>IF(COUNTIF(V1399:X1399,"NA")=3,0,IF(COUNTA(V1399:X1399)=0,0,IF(OR(AND(V1399=0,AZ1384&gt;0),AND(V1399="ns",BA1384&gt;0),AND(V1399="ns",AZ1384=0,BA1384=0)),1,IF(OR(AND(V1399&gt;0,AZ1384=2),AND(V1399="ns",AZ1384=2),AND(V1399="ns",BA1384=0,AZ1384&gt;0),V1399=BA1384),0,1))))</f>
        <v>0</v>
      </c>
      <c r="BC1384" s="283">
        <f>COUNTIF(Z1399:AA1399,"NS")</f>
        <v>0</v>
      </c>
      <c r="BD1384" s="283">
        <f>SUM(Z1399:AA1399)</f>
        <v>0</v>
      </c>
      <c r="BE1384" s="283">
        <f>IF(COUNTIF(Y1399:AA1399,"NA")=3,0,IF(COUNTA(Y1399:AA1399)=0,0,IF(OR(AND(Y1399=0,BC1384&gt;0),AND(Y1399="ns",BD1384&gt;0),AND(Y1399="ns",BC1384=0,BD1384=0)),1,IF(OR(AND(Y1399&gt;0,BC1384=2),AND(Y1399="ns",BC1384=2),AND(Y1399="ns",BD1384=0,BC1384&gt;0),Y1399=BD1384),0,1))))</f>
        <v>0</v>
      </c>
      <c r="BF1384" s="283">
        <f>COUNTIF(AC1399:AD1399,"NS")</f>
        <v>0</v>
      </c>
      <c r="BG1384" s="283">
        <f>SUM(AC1399:AD1399)</f>
        <v>0</v>
      </c>
      <c r="BH1384" s="283">
        <f>IF(COUNTIF(AB1399:AD1399,"NA")=3,0,IF(COUNTA(AB1399:AD1399)=0,0,IF(OR(AND(AB1399=0,BF1384&gt;0),AND(AB1399="ns",BG1384&gt;0),AND(AB1399="ns",BF1384=0,BG1384=0)),1,IF(OR(AND(AB1399&gt;0,BF1384=2),AND(AB1399="ns",BF1384=2),AND(AB1399="ns",BG1384=0,BF1384&gt;0),AB1399=BG1384),0,1))))</f>
        <v>0</v>
      </c>
    </row>
    <row r="1385" spans="1:60" ht="15" customHeight="1">
      <c r="A1385" s="50"/>
      <c r="B1385" s="90"/>
      <c r="C1385" s="143" t="s">
        <v>2517</v>
      </c>
      <c r="D1385" s="813" t="str">
        <f>IF(CNSIPEE_2024_M2_Secc1!D43="","",CNSIPEE_2024_M2_Secc1!D43)</f>
        <v/>
      </c>
      <c r="E1385" s="814"/>
      <c r="F1385" s="814"/>
      <c r="G1385" s="814"/>
      <c r="H1385" s="814"/>
      <c r="I1385" s="814"/>
      <c r="J1385" s="814"/>
      <c r="K1385" s="814"/>
      <c r="L1385" s="814"/>
      <c r="M1385" s="814"/>
      <c r="N1385" s="814"/>
      <c r="O1385" s="814"/>
      <c r="P1385" s="814"/>
      <c r="Q1385" s="814"/>
      <c r="R1385" s="815"/>
      <c r="S1385" s="100"/>
      <c r="T1385" s="100"/>
      <c r="U1385" s="100"/>
      <c r="V1385" s="100"/>
      <c r="W1385" s="100"/>
      <c r="X1385" s="100"/>
      <c r="Y1385" s="100"/>
      <c r="Z1385" s="100"/>
      <c r="AA1385" s="100"/>
      <c r="AB1385" s="100"/>
      <c r="AC1385" s="100"/>
      <c r="AD1385" s="100"/>
      <c r="AG1385" s="326">
        <f t="shared" si="1289"/>
        <v>0</v>
      </c>
      <c r="AH1385" s="283">
        <f t="shared" ref="AH1385:AH1391" si="1290">COUNTIF(T1385:U1385,"NS")</f>
        <v>0</v>
      </c>
      <c r="AI1385" s="283">
        <f t="shared" ref="AI1385:AI1391" si="1291">SUM(T1385:U1385)</f>
        <v>0</v>
      </c>
      <c r="AJ1385" s="283">
        <f t="shared" ref="AJ1385:AJ1391" si="1292">IF(COUNTIF(S1385:U1385,"NA")=3,0,IF(COUNTA(S1385:U1385)=0,0,IF(OR(AND(S1385=0,AH1385&gt;0),AND(S1385="ns",AI1385&gt;0),AND(S1385="ns",AH1385=0,AI1385=0)),1,IF(OR(AND(S1385&gt;0,AH1385=2),AND(S1385="ns",AH1385=2),AND(S1385="ns",AI1385=0,AH1385&gt;0),S1385=AI1385),0,1))))</f>
        <v>0</v>
      </c>
      <c r="AK1385" s="283">
        <f t="shared" ref="AK1385:AK1391" si="1293">COUNTIF(W1385:X1385,"NS")</f>
        <v>0</v>
      </c>
      <c r="AL1385" s="283">
        <f t="shared" ref="AL1385:AL1391" si="1294">SUM(W1385:X1385)</f>
        <v>0</v>
      </c>
      <c r="AM1385" s="283">
        <f t="shared" ref="AM1385:AM1391" si="1295">IF(COUNTIF(V1385:X1385,"NA")=3,0,IF(COUNTA(V1385:X1385)=0,0,IF(OR(AND(V1385=0,AK1385&gt;0),AND(V1385="ns",AL1385&gt;0),AND(V1385="ns",AK1385=0,AL1385=0)),1,IF(OR(AND(V1385&gt;0,AK1385=2),AND(V1385="ns",AK1385=2),AND(V1385="ns",AL1385=0,AK1385&gt;0),V1385=AL1385),0,1))))</f>
        <v>0</v>
      </c>
      <c r="AN1385" s="283">
        <f t="shared" ref="AN1385:AN1391" si="1296">COUNTIF(Z1385:AA1385,"NS")</f>
        <v>0</v>
      </c>
      <c r="AO1385" s="283">
        <f t="shared" ref="AO1385:AO1391" si="1297">SUM(Z1385:AA1385)</f>
        <v>0</v>
      </c>
      <c r="AP1385" s="283">
        <f t="shared" ref="AP1385:AP1391" si="1298">IF(COUNTIF(Y1385:AA1385,"NA")=3,0,IF(COUNTA(Y1385:AA1385)=0,0,IF(OR(AND(Y1385=0,AN1385&gt;0),AND(Y1385="ns",AO1385&gt;0),AND(Y1385="ns",AN1385=0,AO1385=0)),1,IF(OR(AND(Y1385&gt;0,AN1385=2),AND(Y1385="ns",AN1385=2),AND(Y1385="ns",AO1385=0,AN1385&gt;0),Y1385=AO1385),0,1))))</f>
        <v>0</v>
      </c>
      <c r="AQ1385" s="283">
        <f t="shared" ref="AQ1385:AQ1391" si="1299">COUNTIF(AC1385:AD1385,"NS")</f>
        <v>0</v>
      </c>
      <c r="AR1385" s="283">
        <f t="shared" ref="AR1385:AR1391" si="1300">SUM(AC1385:AD1385)</f>
        <v>0</v>
      </c>
      <c r="AS1385" s="283">
        <f t="shared" ref="AS1385:AS1391" si="1301">IF(COUNTIF(AB1385:AD1385,"NA")=3,0,IF(COUNTA(AB1385:AD1385)=0,0,IF(OR(AND(AB1385=0,AQ1385&gt;0),AND(AB1385="ns",AR1385&gt;0),AND(AB1385="ns",AQ1385=0,AR1385=0)),1,IF(OR(AND(AB1385&gt;0,AQ1385=2),AND(AB1385="ns",AQ1385=2),AND(AB1385="ns",AR1385=0,AQ1385&gt;0),AB1385=AR1385),0,1))))</f>
        <v>0</v>
      </c>
      <c r="AT1385" s="283">
        <f t="shared" ref="AT1385:AT1391" si="1302">COUNTIF(Q1400:R1400,"NS")</f>
        <v>0</v>
      </c>
      <c r="AU1385" s="283">
        <f t="shared" ref="AU1385:AU1391" si="1303">SUM(Q1400:R1400)</f>
        <v>0</v>
      </c>
      <c r="AV1385" s="283">
        <f t="shared" ref="AV1385:AV1391" si="1304">IF(COUNTIF(P1400:R1400,"NA")=3,0,IF(COUNTA(P1400:R1400)=0,0,IF(OR(AND(P1400=0,AT1385&gt;0),AND(P1400="ns",AU1385&gt;0),AND(P1400="ns",AT1385=0,AU1385=0)),1,IF(OR(AND(P1400&gt;0,AT1385=2),AND(P1400="ns",AT1385=2),AND(P1400="ns",AU1385=0,AT1385&gt;0),P1400=AU1385),0,1))))</f>
        <v>0</v>
      </c>
      <c r="AW1385" s="283">
        <f t="shared" ref="AW1385:AW1391" si="1305">COUNTIF(T1400:U1400,"NS")</f>
        <v>0</v>
      </c>
      <c r="AX1385" s="283">
        <f t="shared" ref="AX1385:AX1391" si="1306">SUM(T1400:U1400)</f>
        <v>0</v>
      </c>
      <c r="AY1385" s="283">
        <f t="shared" ref="AY1385:AY1391" si="1307">IF(COUNTIF(S1400:U1400,"NA")=3,0,IF(COUNTA(S1400:U1400)=0,0,IF(OR(AND(S1400=0,AW1385&gt;0),AND(S1400="ns",AX1385&gt;0),AND(S1400="ns",AW1385=0,AX1385=0)),1,IF(OR(AND(S1400&gt;0,AW1385=2),AND(S1400="ns",AW1385=2),AND(S1400="ns",AX1385=0,AW1385&gt;0),S1400=AX1385),0,1))))</f>
        <v>0</v>
      </c>
      <c r="AZ1385" s="283">
        <f t="shared" ref="AZ1385:AZ1391" si="1308">COUNTIF(W1400:X1400,"NS")</f>
        <v>0</v>
      </c>
      <c r="BA1385" s="283">
        <f t="shared" ref="BA1385:BA1391" si="1309">SUM(W1400:X1400)</f>
        <v>0</v>
      </c>
      <c r="BB1385" s="283">
        <f t="shared" ref="BB1385:BB1391" si="1310">IF(COUNTIF(V1400:X1400,"NA")=3,0,IF(COUNTA(V1400:X1400)=0,0,IF(OR(AND(V1400=0,AZ1385&gt;0),AND(V1400="ns",BA1385&gt;0),AND(V1400="ns",AZ1385=0,BA1385=0)),1,IF(OR(AND(V1400&gt;0,AZ1385=2),AND(V1400="ns",AZ1385=2),AND(V1400="ns",BA1385=0,AZ1385&gt;0),V1400=BA1385),0,1))))</f>
        <v>0</v>
      </c>
      <c r="BC1385" s="283">
        <f t="shared" ref="BC1385:BC1391" si="1311">COUNTIF(Z1400:AA1400,"NS")</f>
        <v>0</v>
      </c>
      <c r="BD1385" s="283">
        <f t="shared" ref="BD1385:BD1391" si="1312">SUM(Z1400:AA1400)</f>
        <v>0</v>
      </c>
      <c r="BE1385" s="283">
        <f t="shared" ref="BE1385:BE1391" si="1313">IF(COUNTIF(Y1400:AA1400,"NA")=3,0,IF(COUNTA(Y1400:AA1400)=0,0,IF(OR(AND(Y1400=0,BC1385&gt;0),AND(Y1400="ns",BD1385&gt;0),AND(Y1400="ns",BC1385=0,BD1385=0)),1,IF(OR(AND(Y1400&gt;0,BC1385=2),AND(Y1400="ns",BC1385=2),AND(Y1400="ns",BD1385=0,BC1385&gt;0),Y1400=BD1385),0,1))))</f>
        <v>0</v>
      </c>
      <c r="BF1385" s="283">
        <f t="shared" ref="BF1385:BF1391" si="1314">COUNTIF(AC1400:AD1400,"NS")</f>
        <v>0</v>
      </c>
      <c r="BG1385" s="283">
        <f t="shared" ref="BG1385:BG1391" si="1315">SUM(AC1400:AD1400)</f>
        <v>0</v>
      </c>
      <c r="BH1385" s="283">
        <f t="shared" ref="BH1385:BH1391" si="1316">IF(COUNTIF(AB1400:AD1400,"NA")=3,0,IF(COUNTA(AB1400:AD1400)=0,0,IF(OR(AND(AB1400=0,BF1385&gt;0),AND(AB1400="ns",BG1385&gt;0),AND(AB1400="ns",BF1385=0,BG1385=0)),1,IF(OR(AND(AB1400&gt;0,BF1385=2),AND(AB1400="ns",BF1385=2),AND(AB1400="ns",BG1385=0,BF1385&gt;0),AB1400=BG1385),0,1))))</f>
        <v>0</v>
      </c>
    </row>
    <row r="1386" spans="1:60" ht="15" customHeight="1">
      <c r="A1386" s="50"/>
      <c r="B1386" s="90"/>
      <c r="C1386" s="143" t="s">
        <v>2518</v>
      </c>
      <c r="D1386" s="813" t="str">
        <f>IF(CNSIPEE_2024_M2_Secc1!D44="","",CNSIPEE_2024_M2_Secc1!D44)</f>
        <v/>
      </c>
      <c r="E1386" s="814"/>
      <c r="F1386" s="814"/>
      <c r="G1386" s="814"/>
      <c r="H1386" s="814"/>
      <c r="I1386" s="814"/>
      <c r="J1386" s="814"/>
      <c r="K1386" s="814"/>
      <c r="L1386" s="814"/>
      <c r="M1386" s="814"/>
      <c r="N1386" s="814"/>
      <c r="O1386" s="814"/>
      <c r="P1386" s="814"/>
      <c r="Q1386" s="814"/>
      <c r="R1386" s="815"/>
      <c r="S1386" s="100"/>
      <c r="T1386" s="100"/>
      <c r="U1386" s="100"/>
      <c r="V1386" s="100"/>
      <c r="W1386" s="100"/>
      <c r="X1386" s="100"/>
      <c r="Y1386" s="100"/>
      <c r="Z1386" s="100"/>
      <c r="AA1386" s="100"/>
      <c r="AB1386" s="100"/>
      <c r="AC1386" s="100"/>
      <c r="AD1386" s="100"/>
      <c r="AG1386" s="326">
        <f t="shared" si="1289"/>
        <v>0</v>
      </c>
      <c r="AH1386" s="283">
        <f t="shared" si="1290"/>
        <v>0</v>
      </c>
      <c r="AI1386" s="283">
        <f t="shared" si="1291"/>
        <v>0</v>
      </c>
      <c r="AJ1386" s="283">
        <f t="shared" si="1292"/>
        <v>0</v>
      </c>
      <c r="AK1386" s="283">
        <f t="shared" si="1293"/>
        <v>0</v>
      </c>
      <c r="AL1386" s="283">
        <f t="shared" si="1294"/>
        <v>0</v>
      </c>
      <c r="AM1386" s="283">
        <f t="shared" si="1295"/>
        <v>0</v>
      </c>
      <c r="AN1386" s="283">
        <f t="shared" si="1296"/>
        <v>0</v>
      </c>
      <c r="AO1386" s="283">
        <f t="shared" si="1297"/>
        <v>0</v>
      </c>
      <c r="AP1386" s="283">
        <f t="shared" si="1298"/>
        <v>0</v>
      </c>
      <c r="AQ1386" s="283">
        <f t="shared" si="1299"/>
        <v>0</v>
      </c>
      <c r="AR1386" s="283">
        <f t="shared" si="1300"/>
        <v>0</v>
      </c>
      <c r="AS1386" s="283">
        <f t="shared" si="1301"/>
        <v>0</v>
      </c>
      <c r="AT1386" s="283">
        <f t="shared" si="1302"/>
        <v>0</v>
      </c>
      <c r="AU1386" s="283">
        <f t="shared" si="1303"/>
        <v>0</v>
      </c>
      <c r="AV1386" s="283">
        <f t="shared" si="1304"/>
        <v>0</v>
      </c>
      <c r="AW1386" s="283">
        <f t="shared" si="1305"/>
        <v>0</v>
      </c>
      <c r="AX1386" s="283">
        <f t="shared" si="1306"/>
        <v>0</v>
      </c>
      <c r="AY1386" s="283">
        <f t="shared" si="1307"/>
        <v>0</v>
      </c>
      <c r="AZ1386" s="283">
        <f t="shared" si="1308"/>
        <v>0</v>
      </c>
      <c r="BA1386" s="283">
        <f t="shared" si="1309"/>
        <v>0</v>
      </c>
      <c r="BB1386" s="283">
        <f t="shared" si="1310"/>
        <v>0</v>
      </c>
      <c r="BC1386" s="283">
        <f t="shared" si="1311"/>
        <v>0</v>
      </c>
      <c r="BD1386" s="283">
        <f t="shared" si="1312"/>
        <v>0</v>
      </c>
      <c r="BE1386" s="283">
        <f t="shared" si="1313"/>
        <v>0</v>
      </c>
      <c r="BF1386" s="283">
        <f t="shared" si="1314"/>
        <v>0</v>
      </c>
      <c r="BG1386" s="283">
        <f t="shared" si="1315"/>
        <v>0</v>
      </c>
      <c r="BH1386" s="283">
        <f t="shared" si="1316"/>
        <v>0</v>
      </c>
    </row>
    <row r="1387" spans="1:60" ht="15" customHeight="1">
      <c r="A1387" s="50"/>
      <c r="B1387" s="90"/>
      <c r="C1387" s="143" t="s">
        <v>2519</v>
      </c>
      <c r="D1387" s="813" t="str">
        <f>IF(CNSIPEE_2024_M2_Secc1!D45="","",CNSIPEE_2024_M2_Secc1!D45)</f>
        <v/>
      </c>
      <c r="E1387" s="814"/>
      <c r="F1387" s="814"/>
      <c r="G1387" s="814"/>
      <c r="H1387" s="814"/>
      <c r="I1387" s="814"/>
      <c r="J1387" s="814"/>
      <c r="K1387" s="814"/>
      <c r="L1387" s="814"/>
      <c r="M1387" s="814"/>
      <c r="N1387" s="814"/>
      <c r="O1387" s="814"/>
      <c r="P1387" s="814"/>
      <c r="Q1387" s="814"/>
      <c r="R1387" s="815"/>
      <c r="S1387" s="100"/>
      <c r="T1387" s="100"/>
      <c r="U1387" s="100"/>
      <c r="V1387" s="100"/>
      <c r="W1387" s="100"/>
      <c r="X1387" s="100"/>
      <c r="Y1387" s="100"/>
      <c r="Z1387" s="100"/>
      <c r="AA1387" s="100"/>
      <c r="AB1387" s="100"/>
      <c r="AC1387" s="100"/>
      <c r="AD1387" s="100"/>
      <c r="AG1387" s="326">
        <f t="shared" si="1289"/>
        <v>0</v>
      </c>
      <c r="AH1387" s="283">
        <f t="shared" si="1290"/>
        <v>0</v>
      </c>
      <c r="AI1387" s="283">
        <f t="shared" si="1291"/>
        <v>0</v>
      </c>
      <c r="AJ1387" s="283">
        <f t="shared" si="1292"/>
        <v>0</v>
      </c>
      <c r="AK1387" s="283">
        <f t="shared" si="1293"/>
        <v>0</v>
      </c>
      <c r="AL1387" s="283">
        <f t="shared" si="1294"/>
        <v>0</v>
      </c>
      <c r="AM1387" s="283">
        <f t="shared" si="1295"/>
        <v>0</v>
      </c>
      <c r="AN1387" s="283">
        <f t="shared" si="1296"/>
        <v>0</v>
      </c>
      <c r="AO1387" s="283">
        <f t="shared" si="1297"/>
        <v>0</v>
      </c>
      <c r="AP1387" s="283">
        <f t="shared" si="1298"/>
        <v>0</v>
      </c>
      <c r="AQ1387" s="283">
        <f t="shared" si="1299"/>
        <v>0</v>
      </c>
      <c r="AR1387" s="283">
        <f t="shared" si="1300"/>
        <v>0</v>
      </c>
      <c r="AS1387" s="283">
        <f t="shared" si="1301"/>
        <v>0</v>
      </c>
      <c r="AT1387" s="283">
        <f t="shared" si="1302"/>
        <v>0</v>
      </c>
      <c r="AU1387" s="283">
        <f t="shared" si="1303"/>
        <v>0</v>
      </c>
      <c r="AV1387" s="283">
        <f t="shared" si="1304"/>
        <v>0</v>
      </c>
      <c r="AW1387" s="283">
        <f t="shared" si="1305"/>
        <v>0</v>
      </c>
      <c r="AX1387" s="283">
        <f t="shared" si="1306"/>
        <v>0</v>
      </c>
      <c r="AY1387" s="283">
        <f t="shared" si="1307"/>
        <v>0</v>
      </c>
      <c r="AZ1387" s="283">
        <f t="shared" si="1308"/>
        <v>0</v>
      </c>
      <c r="BA1387" s="283">
        <f t="shared" si="1309"/>
        <v>0</v>
      </c>
      <c r="BB1387" s="283">
        <f t="shared" si="1310"/>
        <v>0</v>
      </c>
      <c r="BC1387" s="283">
        <f t="shared" si="1311"/>
        <v>0</v>
      </c>
      <c r="BD1387" s="283">
        <f t="shared" si="1312"/>
        <v>0</v>
      </c>
      <c r="BE1387" s="283">
        <f t="shared" si="1313"/>
        <v>0</v>
      </c>
      <c r="BF1387" s="283">
        <f t="shared" si="1314"/>
        <v>0</v>
      </c>
      <c r="BG1387" s="283">
        <f t="shared" si="1315"/>
        <v>0</v>
      </c>
      <c r="BH1387" s="283">
        <f t="shared" si="1316"/>
        <v>0</v>
      </c>
    </row>
    <row r="1388" spans="1:60" ht="15" customHeight="1">
      <c r="A1388" s="50"/>
      <c r="B1388" s="90"/>
      <c r="C1388" s="143" t="s">
        <v>2520</v>
      </c>
      <c r="D1388" s="813" t="str">
        <f>IF(CNSIPEE_2024_M2_Secc1!D46="","",CNSIPEE_2024_M2_Secc1!D46)</f>
        <v/>
      </c>
      <c r="E1388" s="814"/>
      <c r="F1388" s="814"/>
      <c r="G1388" s="814"/>
      <c r="H1388" s="814"/>
      <c r="I1388" s="814"/>
      <c r="J1388" s="814"/>
      <c r="K1388" s="814"/>
      <c r="L1388" s="814"/>
      <c r="M1388" s="814"/>
      <c r="N1388" s="814"/>
      <c r="O1388" s="814"/>
      <c r="P1388" s="814"/>
      <c r="Q1388" s="814"/>
      <c r="R1388" s="815"/>
      <c r="S1388" s="100"/>
      <c r="T1388" s="100"/>
      <c r="U1388" s="100"/>
      <c r="V1388" s="100"/>
      <c r="W1388" s="100"/>
      <c r="X1388" s="100"/>
      <c r="Y1388" s="100"/>
      <c r="Z1388" s="100"/>
      <c r="AA1388" s="100"/>
      <c r="AB1388" s="100"/>
      <c r="AC1388" s="100"/>
      <c r="AD1388" s="100"/>
      <c r="AG1388" s="326">
        <f t="shared" si="1289"/>
        <v>0</v>
      </c>
      <c r="AH1388" s="283">
        <f t="shared" si="1290"/>
        <v>0</v>
      </c>
      <c r="AI1388" s="283">
        <f t="shared" si="1291"/>
        <v>0</v>
      </c>
      <c r="AJ1388" s="283">
        <f t="shared" si="1292"/>
        <v>0</v>
      </c>
      <c r="AK1388" s="283">
        <f t="shared" si="1293"/>
        <v>0</v>
      </c>
      <c r="AL1388" s="283">
        <f t="shared" si="1294"/>
        <v>0</v>
      </c>
      <c r="AM1388" s="283">
        <f t="shared" si="1295"/>
        <v>0</v>
      </c>
      <c r="AN1388" s="283">
        <f t="shared" si="1296"/>
        <v>0</v>
      </c>
      <c r="AO1388" s="283">
        <f t="shared" si="1297"/>
        <v>0</v>
      </c>
      <c r="AP1388" s="283">
        <f t="shared" si="1298"/>
        <v>0</v>
      </c>
      <c r="AQ1388" s="283">
        <f t="shared" si="1299"/>
        <v>0</v>
      </c>
      <c r="AR1388" s="283">
        <f t="shared" si="1300"/>
        <v>0</v>
      </c>
      <c r="AS1388" s="283">
        <f t="shared" si="1301"/>
        <v>0</v>
      </c>
      <c r="AT1388" s="283">
        <f t="shared" si="1302"/>
        <v>0</v>
      </c>
      <c r="AU1388" s="283">
        <f t="shared" si="1303"/>
        <v>0</v>
      </c>
      <c r="AV1388" s="283">
        <f t="shared" si="1304"/>
        <v>0</v>
      </c>
      <c r="AW1388" s="283">
        <f t="shared" si="1305"/>
        <v>0</v>
      </c>
      <c r="AX1388" s="283">
        <f t="shared" si="1306"/>
        <v>0</v>
      </c>
      <c r="AY1388" s="283">
        <f t="shared" si="1307"/>
        <v>0</v>
      </c>
      <c r="AZ1388" s="283">
        <f t="shared" si="1308"/>
        <v>0</v>
      </c>
      <c r="BA1388" s="283">
        <f t="shared" si="1309"/>
        <v>0</v>
      </c>
      <c r="BB1388" s="283">
        <f t="shared" si="1310"/>
        <v>0</v>
      </c>
      <c r="BC1388" s="283">
        <f t="shared" si="1311"/>
        <v>0</v>
      </c>
      <c r="BD1388" s="283">
        <f t="shared" si="1312"/>
        <v>0</v>
      </c>
      <c r="BE1388" s="283">
        <f t="shared" si="1313"/>
        <v>0</v>
      </c>
      <c r="BF1388" s="283">
        <f t="shared" si="1314"/>
        <v>0</v>
      </c>
      <c r="BG1388" s="283">
        <f t="shared" si="1315"/>
        <v>0</v>
      </c>
      <c r="BH1388" s="283">
        <f t="shared" si="1316"/>
        <v>0</v>
      </c>
    </row>
    <row r="1389" spans="1:60" ht="15" customHeight="1">
      <c r="A1389" s="50"/>
      <c r="B1389" s="90"/>
      <c r="C1389" s="143" t="s">
        <v>2521</v>
      </c>
      <c r="D1389" s="813" t="str">
        <f>IF(CNSIPEE_2024_M2_Secc1!D47="","",CNSIPEE_2024_M2_Secc1!D47)</f>
        <v/>
      </c>
      <c r="E1389" s="814"/>
      <c r="F1389" s="814"/>
      <c r="G1389" s="814"/>
      <c r="H1389" s="814"/>
      <c r="I1389" s="814"/>
      <c r="J1389" s="814"/>
      <c r="K1389" s="814"/>
      <c r="L1389" s="814"/>
      <c r="M1389" s="814"/>
      <c r="N1389" s="814"/>
      <c r="O1389" s="814"/>
      <c r="P1389" s="814"/>
      <c r="Q1389" s="814"/>
      <c r="R1389" s="815"/>
      <c r="S1389" s="100"/>
      <c r="T1389" s="100"/>
      <c r="U1389" s="100"/>
      <c r="V1389" s="100"/>
      <c r="W1389" s="100"/>
      <c r="X1389" s="100"/>
      <c r="Y1389" s="100"/>
      <c r="Z1389" s="100"/>
      <c r="AA1389" s="100"/>
      <c r="AB1389" s="100"/>
      <c r="AC1389" s="100"/>
      <c r="AD1389" s="100"/>
      <c r="AG1389" s="326">
        <f t="shared" si="1289"/>
        <v>0</v>
      </c>
      <c r="AH1389" s="283">
        <f t="shared" si="1290"/>
        <v>0</v>
      </c>
      <c r="AI1389" s="283">
        <f t="shared" si="1291"/>
        <v>0</v>
      </c>
      <c r="AJ1389" s="283">
        <f t="shared" si="1292"/>
        <v>0</v>
      </c>
      <c r="AK1389" s="283">
        <f t="shared" si="1293"/>
        <v>0</v>
      </c>
      <c r="AL1389" s="283">
        <f t="shared" si="1294"/>
        <v>0</v>
      </c>
      <c r="AM1389" s="283">
        <f t="shared" si="1295"/>
        <v>0</v>
      </c>
      <c r="AN1389" s="283">
        <f t="shared" si="1296"/>
        <v>0</v>
      </c>
      <c r="AO1389" s="283">
        <f t="shared" si="1297"/>
        <v>0</v>
      </c>
      <c r="AP1389" s="283">
        <f t="shared" si="1298"/>
        <v>0</v>
      </c>
      <c r="AQ1389" s="283">
        <f t="shared" si="1299"/>
        <v>0</v>
      </c>
      <c r="AR1389" s="283">
        <f t="shared" si="1300"/>
        <v>0</v>
      </c>
      <c r="AS1389" s="283">
        <f t="shared" si="1301"/>
        <v>0</v>
      </c>
      <c r="AT1389" s="283">
        <f t="shared" si="1302"/>
        <v>0</v>
      </c>
      <c r="AU1389" s="283">
        <f t="shared" si="1303"/>
        <v>0</v>
      </c>
      <c r="AV1389" s="283">
        <f t="shared" si="1304"/>
        <v>0</v>
      </c>
      <c r="AW1389" s="283">
        <f t="shared" si="1305"/>
        <v>0</v>
      </c>
      <c r="AX1389" s="283">
        <f t="shared" si="1306"/>
        <v>0</v>
      </c>
      <c r="AY1389" s="283">
        <f t="shared" si="1307"/>
        <v>0</v>
      </c>
      <c r="AZ1389" s="283">
        <f t="shared" si="1308"/>
        <v>0</v>
      </c>
      <c r="BA1389" s="283">
        <f t="shared" si="1309"/>
        <v>0</v>
      </c>
      <c r="BB1389" s="283">
        <f t="shared" si="1310"/>
        <v>0</v>
      </c>
      <c r="BC1389" s="283">
        <f t="shared" si="1311"/>
        <v>0</v>
      </c>
      <c r="BD1389" s="283">
        <f t="shared" si="1312"/>
        <v>0</v>
      </c>
      <c r="BE1389" s="283">
        <f t="shared" si="1313"/>
        <v>0</v>
      </c>
      <c r="BF1389" s="283">
        <f t="shared" si="1314"/>
        <v>0</v>
      </c>
      <c r="BG1389" s="283">
        <f t="shared" si="1315"/>
        <v>0</v>
      </c>
      <c r="BH1389" s="283">
        <f t="shared" si="1316"/>
        <v>0</v>
      </c>
    </row>
    <row r="1390" spans="1:60" ht="15" customHeight="1">
      <c r="A1390" s="50"/>
      <c r="B1390" s="90"/>
      <c r="C1390" s="143" t="s">
        <v>2522</v>
      </c>
      <c r="D1390" s="813" t="str">
        <f>IF(CNSIPEE_2024_M2_Secc1!D48="","",CNSIPEE_2024_M2_Secc1!D48)</f>
        <v/>
      </c>
      <c r="E1390" s="814"/>
      <c r="F1390" s="814"/>
      <c r="G1390" s="814"/>
      <c r="H1390" s="814"/>
      <c r="I1390" s="814"/>
      <c r="J1390" s="814"/>
      <c r="K1390" s="814"/>
      <c r="L1390" s="814"/>
      <c r="M1390" s="814"/>
      <c r="N1390" s="814"/>
      <c r="O1390" s="814"/>
      <c r="P1390" s="814"/>
      <c r="Q1390" s="814"/>
      <c r="R1390" s="815"/>
      <c r="S1390" s="100"/>
      <c r="T1390" s="100"/>
      <c r="U1390" s="100"/>
      <c r="V1390" s="100"/>
      <c r="W1390" s="100"/>
      <c r="X1390" s="100"/>
      <c r="Y1390" s="100"/>
      <c r="Z1390" s="100"/>
      <c r="AA1390" s="100"/>
      <c r="AB1390" s="100"/>
      <c r="AC1390" s="100"/>
      <c r="AD1390" s="100"/>
      <c r="AG1390" s="326">
        <f t="shared" si="1289"/>
        <v>0</v>
      </c>
      <c r="AH1390" s="283">
        <f t="shared" si="1290"/>
        <v>0</v>
      </c>
      <c r="AI1390" s="283">
        <f t="shared" si="1291"/>
        <v>0</v>
      </c>
      <c r="AJ1390" s="283">
        <f t="shared" si="1292"/>
        <v>0</v>
      </c>
      <c r="AK1390" s="283">
        <f t="shared" si="1293"/>
        <v>0</v>
      </c>
      <c r="AL1390" s="283">
        <f t="shared" si="1294"/>
        <v>0</v>
      </c>
      <c r="AM1390" s="283">
        <f t="shared" si="1295"/>
        <v>0</v>
      </c>
      <c r="AN1390" s="283">
        <f t="shared" si="1296"/>
        <v>0</v>
      </c>
      <c r="AO1390" s="283">
        <f t="shared" si="1297"/>
        <v>0</v>
      </c>
      <c r="AP1390" s="283">
        <f t="shared" si="1298"/>
        <v>0</v>
      </c>
      <c r="AQ1390" s="283">
        <f t="shared" si="1299"/>
        <v>0</v>
      </c>
      <c r="AR1390" s="283">
        <f t="shared" si="1300"/>
        <v>0</v>
      </c>
      <c r="AS1390" s="283">
        <f t="shared" si="1301"/>
        <v>0</v>
      </c>
      <c r="AT1390" s="283">
        <f t="shared" si="1302"/>
        <v>0</v>
      </c>
      <c r="AU1390" s="283">
        <f t="shared" si="1303"/>
        <v>0</v>
      </c>
      <c r="AV1390" s="283">
        <f t="shared" si="1304"/>
        <v>0</v>
      </c>
      <c r="AW1390" s="283">
        <f t="shared" si="1305"/>
        <v>0</v>
      </c>
      <c r="AX1390" s="283">
        <f t="shared" si="1306"/>
        <v>0</v>
      </c>
      <c r="AY1390" s="283">
        <f t="shared" si="1307"/>
        <v>0</v>
      </c>
      <c r="AZ1390" s="283">
        <f t="shared" si="1308"/>
        <v>0</v>
      </c>
      <c r="BA1390" s="283">
        <f t="shared" si="1309"/>
        <v>0</v>
      </c>
      <c r="BB1390" s="283">
        <f t="shared" si="1310"/>
        <v>0</v>
      </c>
      <c r="BC1390" s="283">
        <f t="shared" si="1311"/>
        <v>0</v>
      </c>
      <c r="BD1390" s="283">
        <f t="shared" si="1312"/>
        <v>0</v>
      </c>
      <c r="BE1390" s="283">
        <f t="shared" si="1313"/>
        <v>0</v>
      </c>
      <c r="BF1390" s="283">
        <f t="shared" si="1314"/>
        <v>0</v>
      </c>
      <c r="BG1390" s="283">
        <f t="shared" si="1315"/>
        <v>0</v>
      </c>
      <c r="BH1390" s="283">
        <f t="shared" si="1316"/>
        <v>0</v>
      </c>
    </row>
    <row r="1391" spans="1:60" ht="15" customHeight="1">
      <c r="A1391" s="50"/>
      <c r="B1391" s="90"/>
      <c r="C1391" s="143" t="s">
        <v>2523</v>
      </c>
      <c r="D1391" s="813" t="str">
        <f>IF(CNSIPEE_2024_M2_Secc1!D49="","",CNSIPEE_2024_M2_Secc1!D49)</f>
        <v/>
      </c>
      <c r="E1391" s="814"/>
      <c r="F1391" s="814"/>
      <c r="G1391" s="814"/>
      <c r="H1391" s="814"/>
      <c r="I1391" s="814"/>
      <c r="J1391" s="814"/>
      <c r="K1391" s="814"/>
      <c r="L1391" s="814"/>
      <c r="M1391" s="814"/>
      <c r="N1391" s="814"/>
      <c r="O1391" s="814"/>
      <c r="P1391" s="814"/>
      <c r="Q1391" s="814"/>
      <c r="R1391" s="815"/>
      <c r="S1391" s="100"/>
      <c r="T1391" s="100"/>
      <c r="U1391" s="100"/>
      <c r="V1391" s="100"/>
      <c r="W1391" s="100"/>
      <c r="X1391" s="100"/>
      <c r="Y1391" s="100"/>
      <c r="Z1391" s="100"/>
      <c r="AA1391" s="100"/>
      <c r="AB1391" s="100"/>
      <c r="AC1391" s="100"/>
      <c r="AD1391" s="100"/>
      <c r="AG1391" s="326">
        <f t="shared" si="1289"/>
        <v>0</v>
      </c>
      <c r="AH1391" s="283">
        <f t="shared" si="1290"/>
        <v>0</v>
      </c>
      <c r="AI1391" s="283">
        <f t="shared" si="1291"/>
        <v>0</v>
      </c>
      <c r="AJ1391" s="283">
        <f t="shared" si="1292"/>
        <v>0</v>
      </c>
      <c r="AK1391" s="283">
        <f t="shared" si="1293"/>
        <v>0</v>
      </c>
      <c r="AL1391" s="283">
        <f t="shared" si="1294"/>
        <v>0</v>
      </c>
      <c r="AM1391" s="283">
        <f t="shared" si="1295"/>
        <v>0</v>
      </c>
      <c r="AN1391" s="283">
        <f t="shared" si="1296"/>
        <v>0</v>
      </c>
      <c r="AO1391" s="283">
        <f t="shared" si="1297"/>
        <v>0</v>
      </c>
      <c r="AP1391" s="283">
        <f t="shared" si="1298"/>
        <v>0</v>
      </c>
      <c r="AQ1391" s="283">
        <f t="shared" si="1299"/>
        <v>0</v>
      </c>
      <c r="AR1391" s="283">
        <f t="shared" si="1300"/>
        <v>0</v>
      </c>
      <c r="AS1391" s="283">
        <f t="shared" si="1301"/>
        <v>0</v>
      </c>
      <c r="AT1391" s="283">
        <f t="shared" si="1302"/>
        <v>0</v>
      </c>
      <c r="AU1391" s="283">
        <f t="shared" si="1303"/>
        <v>0</v>
      </c>
      <c r="AV1391" s="283">
        <f t="shared" si="1304"/>
        <v>0</v>
      </c>
      <c r="AW1391" s="283">
        <f t="shared" si="1305"/>
        <v>0</v>
      </c>
      <c r="AX1391" s="283">
        <f t="shared" si="1306"/>
        <v>0</v>
      </c>
      <c r="AY1391" s="283">
        <f t="shared" si="1307"/>
        <v>0</v>
      </c>
      <c r="AZ1391" s="283">
        <f t="shared" si="1308"/>
        <v>0</v>
      </c>
      <c r="BA1391" s="283">
        <f t="shared" si="1309"/>
        <v>0</v>
      </c>
      <c r="BB1391" s="283">
        <f t="shared" si="1310"/>
        <v>0</v>
      </c>
      <c r="BC1391" s="283">
        <f t="shared" si="1311"/>
        <v>0</v>
      </c>
      <c r="BD1391" s="283">
        <f t="shared" si="1312"/>
        <v>0</v>
      </c>
      <c r="BE1391" s="283">
        <f t="shared" si="1313"/>
        <v>0</v>
      </c>
      <c r="BF1391" s="283">
        <f t="shared" si="1314"/>
        <v>0</v>
      </c>
      <c r="BG1391" s="283">
        <f t="shared" si="1315"/>
        <v>0</v>
      </c>
      <c r="BH1391" s="283">
        <f t="shared" si="1316"/>
        <v>0</v>
      </c>
    </row>
    <row r="1392" spans="1:60" ht="15" customHeight="1">
      <c r="A1392" s="50"/>
      <c r="B1392" s="90"/>
      <c r="C1392" s="90"/>
      <c r="D1392" s="90"/>
      <c r="E1392" s="90"/>
      <c r="F1392" s="90"/>
      <c r="G1392" s="90"/>
      <c r="H1392" s="90"/>
      <c r="I1392" s="90"/>
      <c r="R1392" s="99" t="s">
        <v>2649</v>
      </c>
      <c r="S1392" s="124">
        <f>IF(AND(SUM(S1384:S1391)=0,COUNTIF(S1384:S1391,"NS")&gt;0),"NS",
IF(AND(SUM(S1384:S1391)=0,COUNTIF(S1384:S1391,0)&gt;0),0,
IF(AND(SUM(S1384:S1391)=0,COUNTIF(S1384:S1391,"NA")&gt;0),"NA",
SUM(S1384:S1391))))</f>
        <v>0</v>
      </c>
      <c r="T1392" s="124">
        <f t="shared" ref="T1392:AD1392" si="1317">IF(AND(SUM(T1384:T1391)=0,COUNTIF(T1384:T1391,"NS")&gt;0),"NS",
IF(AND(SUM(T1384:T1391)=0,COUNTIF(T1384:T1391,0)&gt;0),0,
IF(AND(SUM(T1384:T1391)=0,COUNTIF(T1384:T1391,"NA")&gt;0),"NA",
SUM(T1384:T1391))))</f>
        <v>0</v>
      </c>
      <c r="U1392" s="124">
        <f t="shared" si="1317"/>
        <v>0</v>
      </c>
      <c r="V1392" s="124">
        <f t="shared" si="1317"/>
        <v>0</v>
      </c>
      <c r="W1392" s="124">
        <f t="shared" si="1317"/>
        <v>0</v>
      </c>
      <c r="X1392" s="124">
        <f t="shared" si="1317"/>
        <v>0</v>
      </c>
      <c r="Y1392" s="124">
        <f t="shared" si="1317"/>
        <v>0</v>
      </c>
      <c r="Z1392" s="124">
        <f t="shared" si="1317"/>
        <v>0</v>
      </c>
      <c r="AA1392" s="124">
        <f t="shared" si="1317"/>
        <v>0</v>
      </c>
      <c r="AB1392" s="124">
        <f t="shared" si="1317"/>
        <v>0</v>
      </c>
      <c r="AC1392" s="124">
        <f t="shared" si="1317"/>
        <v>0</v>
      </c>
      <c r="AD1392" s="124">
        <f t="shared" si="1317"/>
        <v>0</v>
      </c>
      <c r="AG1392" s="354">
        <f>SUM(AG1384:AG1391)</f>
        <v>0</v>
      </c>
      <c r="AH1392" s="406">
        <f>SUM(AH1384:AH1391)</f>
        <v>0</v>
      </c>
      <c r="AI1392" s="326"/>
      <c r="AJ1392" s="352">
        <f>SUM(AJ1384:AJ1391)</f>
        <v>0</v>
      </c>
      <c r="AK1392" s="406">
        <f t="shared" ref="AK1392" si="1318">SUM(AK1384:AK1391)</f>
        <v>0</v>
      </c>
      <c r="AL1392" s="326"/>
      <c r="AM1392" s="352">
        <f t="shared" ref="AM1392:AN1392" si="1319">SUM(AM1384:AM1391)</f>
        <v>0</v>
      </c>
      <c r="AN1392" s="406">
        <f t="shared" si="1319"/>
        <v>0</v>
      </c>
      <c r="AO1392" s="326"/>
      <c r="AP1392" s="352">
        <f t="shared" ref="AP1392:AQ1392" si="1320">SUM(AP1384:AP1391)</f>
        <v>0</v>
      </c>
      <c r="AQ1392" s="406">
        <f t="shared" si="1320"/>
        <v>0</v>
      </c>
      <c r="AR1392" s="326"/>
      <c r="AS1392" s="352">
        <f t="shared" ref="AS1392:AT1392" si="1321">SUM(AS1384:AS1391)</f>
        <v>0</v>
      </c>
      <c r="AT1392" s="406">
        <f t="shared" si="1321"/>
        <v>0</v>
      </c>
      <c r="AU1392" s="326"/>
      <c r="AV1392" s="352">
        <f t="shared" ref="AV1392:AW1392" si="1322">SUM(AV1384:AV1391)</f>
        <v>0</v>
      </c>
      <c r="AW1392" s="406">
        <f t="shared" si="1322"/>
        <v>0</v>
      </c>
      <c r="AX1392" s="326"/>
      <c r="AY1392" s="352">
        <f t="shared" ref="AY1392:AZ1392" si="1323">SUM(AY1384:AY1391)</f>
        <v>0</v>
      </c>
      <c r="AZ1392" s="406">
        <f t="shared" si="1323"/>
        <v>0</v>
      </c>
      <c r="BA1392" s="326"/>
      <c r="BB1392" s="352">
        <f t="shared" ref="BB1392:BC1392" si="1324">SUM(BB1384:BB1391)</f>
        <v>0</v>
      </c>
      <c r="BC1392" s="406">
        <f t="shared" si="1324"/>
        <v>0</v>
      </c>
      <c r="BD1392" s="326"/>
      <c r="BE1392" s="352">
        <f t="shared" ref="BE1392:BF1392" si="1325">SUM(BE1384:BE1391)</f>
        <v>0</v>
      </c>
      <c r="BF1392" s="406">
        <f t="shared" si="1325"/>
        <v>0</v>
      </c>
      <c r="BG1392" s="326"/>
      <c r="BH1392" s="352">
        <f t="shared" ref="BH1392" si="1326">SUM(BH1384:BH1391)</f>
        <v>0</v>
      </c>
    </row>
    <row r="1393" spans="1:63" ht="15" customHeight="1">
      <c r="A1393" s="50"/>
      <c r="B1393" s="38"/>
      <c r="C1393" s="38"/>
      <c r="D1393" s="38"/>
      <c r="E1393" s="38"/>
      <c r="F1393" s="38"/>
      <c r="G1393" s="38"/>
      <c r="H1393" s="38"/>
      <c r="I1393" s="38"/>
      <c r="J1393" s="38"/>
      <c r="K1393" s="38"/>
      <c r="L1393" s="38"/>
      <c r="M1393" s="38"/>
      <c r="N1393" s="38"/>
      <c r="O1393" s="38"/>
      <c r="P1393" s="38"/>
      <c r="Q1393" s="38"/>
      <c r="R1393" s="38"/>
      <c r="S1393" s="38"/>
      <c r="T1393" s="38"/>
      <c r="U1393" s="38"/>
      <c r="V1393" s="38"/>
      <c r="W1393" s="38"/>
      <c r="X1393" s="38"/>
      <c r="Y1393" s="38"/>
      <c r="Z1393" s="38"/>
      <c r="AA1393" s="38"/>
      <c r="AB1393" s="38"/>
      <c r="AC1393" s="38"/>
      <c r="AD1393" s="38"/>
    </row>
    <row r="1394" spans="1:63" ht="15">
      <c r="A1394" s="115"/>
      <c r="AA1394" s="875" t="s">
        <v>2668</v>
      </c>
      <c r="AB1394" s="875"/>
      <c r="AC1394" s="875"/>
      <c r="AD1394" s="875"/>
      <c r="AJ1394" s="356" t="s">
        <v>2650</v>
      </c>
      <c r="AK1394" s="283">
        <f>SUM(AJ1392,AM1392,AP1392,AS1392,AV1392,AY1392,BB1392,BE1392,BH1392)</f>
        <v>0</v>
      </c>
      <c r="AL1394" s="355" t="s">
        <v>2651</v>
      </c>
      <c r="AM1394" s="283">
        <f>SUM(AH1392,AK1392,AN1392,AQ1392,AT1392,AW1392,AZ1392,BC1392,BF1392)</f>
        <v>0</v>
      </c>
      <c r="AN1394" s="283"/>
      <c r="AO1394" s="283"/>
    </row>
    <row r="1395" spans="1:63" ht="24" customHeight="1">
      <c r="A1395" s="142"/>
      <c r="B1395" s="113"/>
      <c r="C1395" s="732" t="s">
        <v>2581</v>
      </c>
      <c r="D1395" s="732"/>
      <c r="E1395" s="732"/>
      <c r="F1395" s="732"/>
      <c r="G1395" s="732"/>
      <c r="H1395" s="732"/>
      <c r="I1395" s="732"/>
      <c r="J1395" s="732"/>
      <c r="K1395" s="732"/>
      <c r="L1395" s="732"/>
      <c r="M1395" s="732"/>
      <c r="N1395" s="732"/>
      <c r="O1395" s="732"/>
      <c r="P1395" s="732" t="s">
        <v>3833</v>
      </c>
      <c r="Q1395" s="732"/>
      <c r="R1395" s="732"/>
      <c r="S1395" s="732"/>
      <c r="T1395" s="732"/>
      <c r="U1395" s="732"/>
      <c r="V1395" s="732"/>
      <c r="W1395" s="732"/>
      <c r="X1395" s="732"/>
      <c r="Y1395" s="732"/>
      <c r="Z1395" s="732"/>
      <c r="AA1395" s="732"/>
      <c r="AB1395" s="732"/>
      <c r="AC1395" s="732"/>
      <c r="AD1395" s="732"/>
      <c r="AJ1395" s="356" t="s">
        <v>2652</v>
      </c>
      <c r="AK1395" s="438">
        <f>IF(AM1394&gt;0,IF(SUM(S1392)&gt;=SUM(V1392,Y1392,AB1392,P1407,S1407,V1407,Y1407,AB1407),0,1),IF(SUM(S1392)&lt;&gt;SUM(V1392,Y1392,AB1392,P1407,S1407,V1407,Y1407,AB1407),1,0))</f>
        <v>0</v>
      </c>
      <c r="AL1395" s="357" t="s">
        <v>2653</v>
      </c>
      <c r="AM1395" s="438">
        <f>IF(AM1394&gt;0,IF(SUM(T1392)&gt;=SUM(W1392,Z1392,AC1392,Q1407,T1407,W1407,Z1407,AC1407),0,1),IF(SUM(T1392)&lt;&gt;SUM(W1392,Z1392,AC1392,Q1407,T1407,W1407,Z1407,AC1407),1,0))</f>
        <v>0</v>
      </c>
      <c r="AN1395" s="357" t="s">
        <v>2654</v>
      </c>
      <c r="AO1395" s="438">
        <f>IF(AM1394&gt;0,IF(SUM(U1392)&gt;=SUM(X1392,AA1392,AD1392,R1407,U1407,X1407,AA1407,AD1407),0,1),IF(SUM(U1392)&lt;&gt;SUM(X1392,AA1392,AD1392,R1407,U1407,X1407,AA1407,AD1407),1,0))</f>
        <v>0</v>
      </c>
    </row>
    <row r="1396" spans="1:63" ht="15" customHeight="1">
      <c r="A1396" s="142"/>
      <c r="B1396" s="113"/>
      <c r="C1396" s="732"/>
      <c r="D1396" s="732"/>
      <c r="E1396" s="732"/>
      <c r="F1396" s="732"/>
      <c r="G1396" s="732"/>
      <c r="H1396" s="732"/>
      <c r="I1396" s="732"/>
      <c r="J1396" s="732"/>
      <c r="K1396" s="732"/>
      <c r="L1396" s="732"/>
      <c r="M1396" s="732"/>
      <c r="N1396" s="732"/>
      <c r="O1396" s="732"/>
      <c r="P1396" s="736" t="s">
        <v>3834</v>
      </c>
      <c r="Q1396" s="736"/>
      <c r="R1396" s="736"/>
      <c r="S1396" s="736"/>
      <c r="T1396" s="736"/>
      <c r="U1396" s="736"/>
      <c r="V1396" s="736"/>
      <c r="W1396" s="736"/>
      <c r="X1396" s="736"/>
      <c r="Y1396" s="818" t="s">
        <v>3838</v>
      </c>
      <c r="Z1396" s="819"/>
      <c r="AA1396" s="820"/>
      <c r="AB1396" s="818" t="s">
        <v>201</v>
      </c>
      <c r="AC1396" s="819"/>
      <c r="AD1396" s="820"/>
    </row>
    <row r="1397" spans="1:63" ht="36" customHeight="1">
      <c r="A1397" s="142"/>
      <c r="C1397" s="732"/>
      <c r="D1397" s="732"/>
      <c r="E1397" s="732"/>
      <c r="F1397" s="732"/>
      <c r="G1397" s="732"/>
      <c r="H1397" s="732"/>
      <c r="I1397" s="732"/>
      <c r="J1397" s="732"/>
      <c r="K1397" s="732"/>
      <c r="L1397" s="732"/>
      <c r="M1397" s="732"/>
      <c r="N1397" s="732"/>
      <c r="O1397" s="732"/>
      <c r="P1397" s="733" t="s">
        <v>3839</v>
      </c>
      <c r="Q1397" s="734"/>
      <c r="R1397" s="735"/>
      <c r="S1397" s="733" t="s">
        <v>3840</v>
      </c>
      <c r="T1397" s="734"/>
      <c r="U1397" s="735"/>
      <c r="V1397" s="733" t="s">
        <v>3841</v>
      </c>
      <c r="W1397" s="734"/>
      <c r="X1397" s="735"/>
      <c r="Y1397" s="824"/>
      <c r="Z1397" s="825"/>
      <c r="AA1397" s="826"/>
      <c r="AB1397" s="824"/>
      <c r="AC1397" s="825"/>
      <c r="AD1397" s="826"/>
      <c r="AG1397" s="1025" t="s">
        <v>3812</v>
      </c>
      <c r="AH1397" s="1025"/>
      <c r="AI1397" s="1025"/>
      <c r="AK1397" s="1024" t="s">
        <v>3842</v>
      </c>
      <c r="AL1397" s="1024"/>
      <c r="AM1397" s="1024"/>
      <c r="AN1397" s="1023" t="s">
        <v>3843</v>
      </c>
      <c r="AO1397" s="1023"/>
      <c r="AP1397" s="1023"/>
      <c r="AQ1397" s="1024" t="s">
        <v>3844</v>
      </c>
      <c r="AR1397" s="1024"/>
      <c r="AS1397" s="1024"/>
      <c r="AT1397" s="1023" t="s">
        <v>3845</v>
      </c>
      <c r="AU1397" s="1023"/>
      <c r="AV1397" s="1023"/>
      <c r="AW1397" s="1024" t="s">
        <v>3846</v>
      </c>
      <c r="AX1397" s="1024"/>
      <c r="AY1397" s="1024"/>
      <c r="AZ1397" s="1023" t="s">
        <v>3847</v>
      </c>
      <c r="BA1397" s="1023"/>
      <c r="BB1397" s="1023"/>
      <c r="BC1397" s="1024" t="s">
        <v>3848</v>
      </c>
      <c r="BD1397" s="1024"/>
      <c r="BE1397" s="1024"/>
      <c r="BF1397" s="1023" t="s">
        <v>3715</v>
      </c>
      <c r="BG1397" s="1023"/>
      <c r="BH1397" s="1023"/>
      <c r="BI1397"/>
      <c r="BJ1397" s="920" t="s">
        <v>3813</v>
      </c>
      <c r="BK1397"/>
    </row>
    <row r="1398" spans="1:63" ht="48" customHeight="1">
      <c r="A1398" s="142"/>
      <c r="C1398" s="732"/>
      <c r="D1398" s="732"/>
      <c r="E1398" s="732"/>
      <c r="F1398" s="732"/>
      <c r="G1398" s="732"/>
      <c r="H1398" s="732"/>
      <c r="I1398" s="732"/>
      <c r="J1398" s="732"/>
      <c r="K1398" s="732"/>
      <c r="L1398" s="732"/>
      <c r="M1398" s="732"/>
      <c r="N1398" s="732"/>
      <c r="O1398" s="732"/>
      <c r="P1398" s="127" t="s">
        <v>2635</v>
      </c>
      <c r="Q1398" s="128" t="s">
        <v>2629</v>
      </c>
      <c r="R1398" s="128" t="s">
        <v>2630</v>
      </c>
      <c r="S1398" s="127" t="s">
        <v>2635</v>
      </c>
      <c r="T1398" s="128" t="s">
        <v>2629</v>
      </c>
      <c r="U1398" s="128" t="s">
        <v>2630</v>
      </c>
      <c r="V1398" s="127" t="s">
        <v>2635</v>
      </c>
      <c r="W1398" s="128" t="s">
        <v>2629</v>
      </c>
      <c r="X1398" s="128" t="s">
        <v>2630</v>
      </c>
      <c r="Y1398" s="127" t="s">
        <v>2635</v>
      </c>
      <c r="Z1398" s="128" t="s">
        <v>2629</v>
      </c>
      <c r="AA1398" s="128" t="s">
        <v>2630</v>
      </c>
      <c r="AB1398" s="127" t="s">
        <v>2635</v>
      </c>
      <c r="AC1398" s="128" t="s">
        <v>2629</v>
      </c>
      <c r="AD1398" s="128" t="s">
        <v>2630</v>
      </c>
      <c r="AG1398" s="470" t="s">
        <v>2795</v>
      </c>
      <c r="AH1398" s="440" t="s">
        <v>3177</v>
      </c>
      <c r="AI1398" s="471" t="s">
        <v>3178</v>
      </c>
      <c r="AK1398" s="473" t="s">
        <v>2795</v>
      </c>
      <c r="AL1398" s="474" t="s">
        <v>3177</v>
      </c>
      <c r="AM1398" s="475" t="s">
        <v>3178</v>
      </c>
      <c r="AN1398" s="473" t="s">
        <v>2795</v>
      </c>
      <c r="AO1398" s="474" t="s">
        <v>3177</v>
      </c>
      <c r="AP1398" s="475" t="s">
        <v>3178</v>
      </c>
      <c r="AQ1398" s="473" t="s">
        <v>2795</v>
      </c>
      <c r="AR1398" s="474" t="s">
        <v>3177</v>
      </c>
      <c r="AS1398" s="475" t="s">
        <v>3178</v>
      </c>
      <c r="AT1398" s="473" t="s">
        <v>2795</v>
      </c>
      <c r="AU1398" s="474" t="s">
        <v>3177</v>
      </c>
      <c r="AV1398" s="475" t="s">
        <v>3178</v>
      </c>
      <c r="AW1398" s="473" t="s">
        <v>2795</v>
      </c>
      <c r="AX1398" s="474" t="s">
        <v>3177</v>
      </c>
      <c r="AY1398" s="475" t="s">
        <v>3178</v>
      </c>
      <c r="AZ1398" s="473" t="s">
        <v>2795</v>
      </c>
      <c r="BA1398" s="474" t="s">
        <v>3177</v>
      </c>
      <c r="BB1398" s="475" t="s">
        <v>3178</v>
      </c>
      <c r="BC1398" s="473" t="s">
        <v>2795</v>
      </c>
      <c r="BD1398" s="474" t="s">
        <v>3177</v>
      </c>
      <c r="BE1398" s="475" t="s">
        <v>3178</v>
      </c>
      <c r="BF1398" s="473" t="s">
        <v>2795</v>
      </c>
      <c r="BG1398" s="474" t="s">
        <v>3177</v>
      </c>
      <c r="BH1398" s="475" t="s">
        <v>3178</v>
      </c>
      <c r="BI1398"/>
      <c r="BJ1398" s="920"/>
      <c r="BK1398" s="365" t="s">
        <v>2620</v>
      </c>
    </row>
    <row r="1399" spans="1:63" ht="15" customHeight="1">
      <c r="A1399" s="50"/>
      <c r="B1399" s="90"/>
      <c r="C1399" s="97" t="s">
        <v>2516</v>
      </c>
      <c r="D1399" s="796" t="str">
        <f>IF(CNSIPEE_2024_M2_Secc1!D42="","",CNSIPEE_2024_M2_Secc1!D42)</f>
        <v/>
      </c>
      <c r="E1399" s="796"/>
      <c r="F1399" s="796"/>
      <c r="G1399" s="796"/>
      <c r="H1399" s="796"/>
      <c r="I1399" s="796"/>
      <c r="J1399" s="796"/>
      <c r="K1399" s="796"/>
      <c r="L1399" s="796"/>
      <c r="M1399" s="796"/>
      <c r="N1399" s="796"/>
      <c r="O1399" s="796"/>
      <c r="P1399" s="100"/>
      <c r="Q1399" s="100"/>
      <c r="R1399" s="100"/>
      <c r="S1399" s="100"/>
      <c r="T1399" s="100"/>
      <c r="U1399" s="100"/>
      <c r="V1399" s="100"/>
      <c r="W1399" s="100"/>
      <c r="X1399" s="100"/>
      <c r="Y1399" s="100"/>
      <c r="Z1399" s="100"/>
      <c r="AA1399" s="100"/>
      <c r="AB1399" s="100"/>
      <c r="AC1399" s="100"/>
      <c r="AD1399" s="100"/>
      <c r="AG1399">
        <f>IF(OR(S1384="NS",J1237="NS"),0,IF(AND(S1384="NA",J1237="NA"),0,IF(S1384&gt;=J1237,0,1)))</f>
        <v>0</v>
      </c>
      <c r="AH1399">
        <f>IF(OR(T1384="NS",K1237="NS"),0,IF(AND(T1384="NA",K1237="NA"),0,IF(T1384&gt;=K1237,0,1)))</f>
        <v>0</v>
      </c>
      <c r="AI1399">
        <f>IF(OR(U1384="NS",L1237="NS"),0,IF(AND(U1384="NA",L1237="NA"),0,IF(U1384&gt;=L1237,0,1)))</f>
        <v>0</v>
      </c>
      <c r="AK1399">
        <f>IF(OR(V1384="NS",$J1237="NS"),0,IF(AND(V1384="NA",$J1237="NA"),0,IF(V1384&lt;=$J1237,0,1)))</f>
        <v>0</v>
      </c>
      <c r="AL1399">
        <f>IF(OR(W1384="NS",$K1237="NS"),0,IF(AND(W1384="NA",$K1237="NA"),0,IF(W1384&lt;=$K1237,0,1)))</f>
        <v>0</v>
      </c>
      <c r="AM1399">
        <f>IF(OR(X1384="NS",$L1237="NS"),0,IF(AND(X1384="NA",$L1237="NA"),0,IF(X1384&lt;=$L1237,0,1)))</f>
        <v>0</v>
      </c>
      <c r="AN1399">
        <f>IF(OR(Y1384="NS",$J1237="NS"),0,IF(AND(Y1384="NA",$J1237="NA"),0,IF(Y1384&lt;=$J1237,0,1)))</f>
        <v>0</v>
      </c>
      <c r="AO1399">
        <f>IF(OR(Z1384="NS",$K1237="NS"),0,IF(AND(Z1384="NA",$K1237="NA"),0,IF(Z1384&lt;=$K1237,0,1)))</f>
        <v>0</v>
      </c>
      <c r="AP1399">
        <f>IF(OR(AA1384="NS",$L1237="NS"),0,IF(AND(AA1384="NA",$L1237="NA"),0,IF(AA1384&lt;=$L1237,0,1)))</f>
        <v>0</v>
      </c>
      <c r="AQ1399">
        <f>IF(OR(AB1384="NS",$J1237="NS"),0,IF(AND(AB1384="NA",$J1237="NA"),0,IF(AB1384&lt;=$J1237,0,1)))</f>
        <v>0</v>
      </c>
      <c r="AR1399">
        <f>IF(OR(AC1384="NS",$K1237="NS"),0,IF(AND(AC1384="NA",$K1237="NA"),0,IF(AC1384&lt;=$K1237,0,1)))</f>
        <v>0</v>
      </c>
      <c r="AS1399">
        <f>IF(OR(AD1384="NS",$L1237="NS"),0,IF(AND(AD1384="NA",$L1237="NA"),0,IF(AD1384&lt;=$L1237,0,1)))</f>
        <v>0</v>
      </c>
      <c r="AT1399">
        <f>IF(OR(P1399="NS",$J1237="NS"),0,IF(AND(P1399="NA",$J1237="NA"),0,IF(P1399&lt;=$J1237,0,1)))</f>
        <v>0</v>
      </c>
      <c r="AU1399">
        <f>IF(OR(Q1399="NS",$K1237="NS"),0,IF(AND(Q1399="NA",$K1237="NA"),0,IF(Q1399&lt;=$K1237,0,1)))</f>
        <v>0</v>
      </c>
      <c r="AV1399">
        <f>IF(OR(R1399="NS",$L1237="NS"),0,IF(AND(R1399="NA",$L1237="NA"),0,IF(R1399&lt;=$L1237,0,1)))</f>
        <v>0</v>
      </c>
      <c r="AW1399">
        <f>IF(OR(S1399="NS",$J1237="NS"),0,IF(AND(S1399="NA",$J1237="NA"),0,IF(S1399&lt;=$J1237,0,1)))</f>
        <v>0</v>
      </c>
      <c r="AX1399">
        <f>IF(OR(T1399="NS",$K1237="NS"),0,IF(AND(T1399="NA",$K1237="NA"),0,IF(T1399&lt;=$K1237,0,1)))</f>
        <v>0</v>
      </c>
      <c r="AY1399">
        <f>IF(OR(U1399="NS",$L1237="NS"),0,IF(AND(U1399="NA",$L1237="NA"),0,IF(U1399&lt;=$L1237,0,1)))</f>
        <v>0</v>
      </c>
      <c r="AZ1399">
        <f>IF(OR(V1399="NS",$J1237="NS"),0,IF(AND(V1399="NA",$J1237="NA"),0,IF(V1399&lt;=$J1237,0,1)))</f>
        <v>0</v>
      </c>
      <c r="BA1399">
        <f>IF(OR(W1399="NS",$K1237="NS"),0,IF(AND(W1399="NA",$K1237="NA"),0,IF(W1399&lt;=$K1237,0,1)))</f>
        <v>0</v>
      </c>
      <c r="BB1399">
        <f>IF(OR(X1399="NS",$L1237="NS"),0,IF(AND(X1399="NA",$L1237="NA"),0,IF(X1399&lt;=$L1237,0,1)))</f>
        <v>0</v>
      </c>
      <c r="BC1399">
        <f>IF(OR(Y1399="NS",$J1237="NS"),0,IF(AND(Y1399="NA",$J1237="NA"),0,IF(Y1399&lt;=$J1237,0,1)))</f>
        <v>0</v>
      </c>
      <c r="BD1399">
        <f>IF(OR(Z1399="NS",$K1237="NS"),0,IF(AND(Z1399="NA",$K1237="NA"),0,IF(Z1399&lt;=$K1237,0,1)))</f>
        <v>0</v>
      </c>
      <c r="BE1399">
        <f>IF(OR(AA1399="NS",$L1237="NS"),0,IF(AND(AA1399="NA",$L1237="NA"),0,IF(AA1399&lt;=$L1237,0,1)))</f>
        <v>0</v>
      </c>
      <c r="BF1399">
        <f>IF(OR(AB1399="NS",$J1237="NS"),0,IF(AND(AB1399="NA",$J1237="NA"),0,IF(AB1399&lt;=$J1237,0,1)))</f>
        <v>0</v>
      </c>
      <c r="BG1399">
        <f>IF(OR(AC1399="NS",$K1237="NS"),0,IF(AND(AC1399="NA",$K1237="NA"),0,IF(AC1399&lt;=$K1237,0,1)))</f>
        <v>0</v>
      </c>
      <c r="BH1399">
        <f>IF(OR(AD1399="NS",$L1237="NS"),0,IF(AND(AD1399="NA",$L1237="NA"),0,IF(AD1399&lt;=$L1237,0,1)))</f>
        <v>0</v>
      </c>
      <c r="BI1399"/>
      <c r="BJ1399">
        <f>IF(AND($G1237&lt;&gt;"",$G1237&lt;&gt;1,COUNTA(S1384:AD1384,P1399:AD1399)&gt;0),1,0)</f>
        <v>0</v>
      </c>
      <c r="BK1399">
        <f>IF(AND($AH$1227=1,COUNTA(S1384:AD1391,P1399:AD1406)&gt;0),1,0)</f>
        <v>0</v>
      </c>
    </row>
    <row r="1400" spans="1:63" ht="15" customHeight="1">
      <c r="A1400" s="50"/>
      <c r="B1400" s="90"/>
      <c r="C1400" s="143" t="s">
        <v>2517</v>
      </c>
      <c r="D1400" s="796" t="str">
        <f>IF(CNSIPEE_2024_M2_Secc1!D43="","",CNSIPEE_2024_M2_Secc1!D43)</f>
        <v/>
      </c>
      <c r="E1400" s="796"/>
      <c r="F1400" s="796"/>
      <c r="G1400" s="796"/>
      <c r="H1400" s="796"/>
      <c r="I1400" s="796"/>
      <c r="J1400" s="796"/>
      <c r="K1400" s="796"/>
      <c r="L1400" s="796"/>
      <c r="M1400" s="796"/>
      <c r="N1400" s="796"/>
      <c r="O1400" s="796"/>
      <c r="P1400" s="100"/>
      <c r="Q1400" s="100"/>
      <c r="R1400" s="100"/>
      <c r="S1400" s="100"/>
      <c r="T1400" s="100"/>
      <c r="U1400" s="100"/>
      <c r="V1400" s="100"/>
      <c r="W1400" s="100"/>
      <c r="X1400" s="100"/>
      <c r="Y1400" s="100"/>
      <c r="Z1400" s="100"/>
      <c r="AA1400" s="100"/>
      <c r="AB1400" s="100"/>
      <c r="AC1400" s="100"/>
      <c r="AD1400" s="100"/>
      <c r="AG1400">
        <f t="shared" ref="AG1400:AG1406" si="1327">IF(OR(S1385="NS",J1238="NS"),0,IF(AND(S1385="NA",J1238="NA"),0,IF(S1385&gt;=J1238,0,1)))</f>
        <v>0</v>
      </c>
      <c r="AH1400">
        <f t="shared" ref="AH1400:AI1406" si="1328">IF(OR(T1385="NS",K1238="NS"),0,IF(AND(T1385="NA",K1238="NA"),0,IF(T1385&gt;=K1238,0,1)))</f>
        <v>0</v>
      </c>
      <c r="AI1400">
        <f t="shared" si="1328"/>
        <v>0</v>
      </c>
      <c r="AK1400">
        <f t="shared" ref="AK1400:AK1406" si="1329">IF(OR(V1385="NS",$J1238="NS"),0,IF(AND(V1385="NA",$J1238="NA"),0,IF(V1385&lt;=$J1238,0,1)))</f>
        <v>0</v>
      </c>
      <c r="AL1400">
        <f t="shared" ref="AL1400:AL1406" si="1330">IF(OR(W1385="NS",$K1238="NS"),0,IF(AND(W1385="NA",$K1238="NA"),0,IF(W1385&lt;=$K1238,0,1)))</f>
        <v>0</v>
      </c>
      <c r="AM1400">
        <f t="shared" ref="AM1400:AM1406" si="1331">IF(OR(X1385="NS",$L1238="NS"),0,IF(AND(X1385="NA",$L1238="NA"),0,IF(X1385&lt;=$L1238,0,1)))</f>
        <v>0</v>
      </c>
      <c r="AN1400">
        <f t="shared" ref="AN1400:AN1406" si="1332">IF(OR(Y1385="NS",$J1238="NS"),0,IF(AND(Y1385="NA",$J1238="NA"),0,IF(Y1385&lt;=$J1238,0,1)))</f>
        <v>0</v>
      </c>
      <c r="AO1400">
        <f t="shared" ref="AO1400:AO1406" si="1333">IF(OR(Z1385="NS",$K1238="NS"),0,IF(AND(Z1385="NA",$K1238="NA"),0,IF(Z1385&lt;=$K1238,0,1)))</f>
        <v>0</v>
      </c>
      <c r="AP1400">
        <f t="shared" ref="AP1400:AP1406" si="1334">IF(OR(AA1385="NS",$L1238="NS"),0,IF(AND(AA1385="NA",$L1238="NA"),0,IF(AA1385&lt;=$L1238,0,1)))</f>
        <v>0</v>
      </c>
      <c r="AQ1400">
        <f t="shared" ref="AQ1400:AQ1406" si="1335">IF(OR(AB1385="NS",$J1238="NS"),0,IF(AND(AB1385="NA",$J1238="NA"),0,IF(AB1385&lt;=$J1238,0,1)))</f>
        <v>0</v>
      </c>
      <c r="AR1400">
        <f t="shared" ref="AR1400:AR1406" si="1336">IF(OR(AC1385="NS",$K1238="NS"),0,IF(AND(AC1385="NA",$K1238="NA"),0,IF(AC1385&lt;=$K1238,0,1)))</f>
        <v>0</v>
      </c>
      <c r="AS1400">
        <f t="shared" ref="AS1400:AS1406" si="1337">IF(OR(AD1385="NS",$L1238="NS"),0,IF(AND(AD1385="NA",$L1238="NA"),0,IF(AD1385&lt;=$L1238,0,1)))</f>
        <v>0</v>
      </c>
      <c r="AT1400">
        <f t="shared" ref="AT1400:AT1406" si="1338">IF(OR(P1400="NS",$J1238="NS"),0,IF(AND(P1400="NA",$J1238="NA"),0,IF(P1400&lt;=$J1238,0,1)))</f>
        <v>0</v>
      </c>
      <c r="AU1400">
        <f t="shared" ref="AU1400:AU1406" si="1339">IF(OR(Q1400="NS",$K1238="NS"),0,IF(AND(Q1400="NA",$K1238="NA"),0,IF(Q1400&lt;=$K1238,0,1)))</f>
        <v>0</v>
      </c>
      <c r="AV1400">
        <f t="shared" ref="AV1400:AV1406" si="1340">IF(OR(R1400="NS",$L1238="NS"),0,IF(AND(R1400="NA",$L1238="NA"),0,IF(R1400&lt;=$L1238,0,1)))</f>
        <v>0</v>
      </c>
      <c r="AW1400">
        <f t="shared" ref="AW1400:AW1406" si="1341">IF(OR(S1400="NS",$J1238="NS"),0,IF(AND(S1400="NA",$J1238="NA"),0,IF(S1400&lt;=$J1238,0,1)))</f>
        <v>0</v>
      </c>
      <c r="AX1400">
        <f t="shared" ref="AX1400:AX1406" si="1342">IF(OR(T1400="NS",$K1238="NS"),0,IF(AND(T1400="NA",$K1238="NA"),0,IF(T1400&lt;=$K1238,0,1)))</f>
        <v>0</v>
      </c>
      <c r="AY1400">
        <f t="shared" ref="AY1400:AY1406" si="1343">IF(OR(U1400="NS",$L1238="NS"),0,IF(AND(U1400="NA",$L1238="NA"),0,IF(U1400&lt;=$L1238,0,1)))</f>
        <v>0</v>
      </c>
      <c r="AZ1400">
        <f t="shared" ref="AZ1400:AZ1406" si="1344">IF(OR(V1400="NS",$J1238="NS"),0,IF(AND(V1400="NA",$J1238="NA"),0,IF(V1400&lt;=$J1238,0,1)))</f>
        <v>0</v>
      </c>
      <c r="BA1400">
        <f t="shared" ref="BA1400:BA1406" si="1345">IF(OR(W1400="NS",$K1238="NS"),0,IF(AND(W1400="NA",$K1238="NA"),0,IF(W1400&lt;=$K1238,0,1)))</f>
        <v>0</v>
      </c>
      <c r="BB1400">
        <f t="shared" ref="BB1400:BB1406" si="1346">IF(OR(X1400="NS",$L1238="NS"),0,IF(AND(X1400="NA",$L1238="NA"),0,IF(X1400&lt;=$L1238,0,1)))</f>
        <v>0</v>
      </c>
      <c r="BC1400">
        <f t="shared" ref="BC1400:BC1406" si="1347">IF(OR(Y1400="NS",$J1238="NS"),0,IF(AND(Y1400="NA",$J1238="NA"),0,IF(Y1400&lt;=$J1238,0,1)))</f>
        <v>0</v>
      </c>
      <c r="BD1400">
        <f t="shared" ref="BD1400:BD1406" si="1348">IF(OR(Z1400="NS",$K1238="NS"),0,IF(AND(Z1400="NA",$K1238="NA"),0,IF(Z1400&lt;=$K1238,0,1)))</f>
        <v>0</v>
      </c>
      <c r="BE1400">
        <f t="shared" ref="BE1400:BE1406" si="1349">IF(OR(AA1400="NS",$L1238="NS"),0,IF(AND(AA1400="NA",$L1238="NA"),0,IF(AA1400&lt;=$L1238,0,1)))</f>
        <v>0</v>
      </c>
      <c r="BF1400">
        <f t="shared" ref="BF1400:BF1406" si="1350">IF(OR(AB1400="NS",$J1238="NS"),0,IF(AND(AB1400="NA",$J1238="NA"),0,IF(AB1400&lt;=$J1238,0,1)))</f>
        <v>0</v>
      </c>
      <c r="BG1400">
        <f t="shared" ref="BG1400:BG1406" si="1351">IF(OR(AC1400="NS",$K1238="NS"),0,IF(AND(AC1400="NA",$K1238="NA"),0,IF(AC1400&lt;=$K1238,0,1)))</f>
        <v>0</v>
      </c>
      <c r="BH1400">
        <f t="shared" ref="BH1400:BH1406" si="1352">IF(OR(AD1400="NS",$L1238="NS"),0,IF(AND(AD1400="NA",$L1238="NA"),0,IF(AD1400&lt;=$L1238,0,1)))</f>
        <v>0</v>
      </c>
      <c r="BJ1400">
        <f t="shared" ref="BJ1400:BJ1406" si="1353">IF(AND($G1238&lt;&gt;"",$G1238&lt;&gt;1,COUNTA(S1385:AD1385,P1400:AD1400)&gt;0),1,0)</f>
        <v>0</v>
      </c>
    </row>
    <row r="1401" spans="1:63" ht="15" customHeight="1">
      <c r="A1401" s="50"/>
      <c r="B1401" s="90"/>
      <c r="C1401" s="143" t="s">
        <v>2518</v>
      </c>
      <c r="D1401" s="796" t="str">
        <f>IF(CNSIPEE_2024_M2_Secc1!D44="","",CNSIPEE_2024_M2_Secc1!D44)</f>
        <v/>
      </c>
      <c r="E1401" s="796"/>
      <c r="F1401" s="796"/>
      <c r="G1401" s="796"/>
      <c r="H1401" s="796"/>
      <c r="I1401" s="796"/>
      <c r="J1401" s="796"/>
      <c r="K1401" s="796"/>
      <c r="L1401" s="796"/>
      <c r="M1401" s="796"/>
      <c r="N1401" s="796"/>
      <c r="O1401" s="796"/>
      <c r="P1401" s="100"/>
      <c r="Q1401" s="100"/>
      <c r="R1401" s="100"/>
      <c r="S1401" s="100"/>
      <c r="T1401" s="100"/>
      <c r="U1401" s="100"/>
      <c r="V1401" s="100"/>
      <c r="W1401" s="100"/>
      <c r="X1401" s="100"/>
      <c r="Y1401" s="100"/>
      <c r="Z1401" s="100"/>
      <c r="AA1401" s="100"/>
      <c r="AB1401" s="100"/>
      <c r="AC1401" s="100"/>
      <c r="AD1401" s="100"/>
      <c r="AG1401">
        <f t="shared" si="1327"/>
        <v>0</v>
      </c>
      <c r="AH1401">
        <f t="shared" si="1328"/>
        <v>0</v>
      </c>
      <c r="AI1401">
        <f t="shared" ref="AI1401:AI1406" si="1354">IF(OR(U1386="NS",L1239="NS"),0,IF(AND(U1386="NA",L1239="NA"),0,IF(U1386&gt;=L1239,0,1)))</f>
        <v>0</v>
      </c>
      <c r="AK1401">
        <f t="shared" si="1329"/>
        <v>0</v>
      </c>
      <c r="AL1401">
        <f t="shared" si="1330"/>
        <v>0</v>
      </c>
      <c r="AM1401">
        <f t="shared" si="1331"/>
        <v>0</v>
      </c>
      <c r="AN1401">
        <f t="shared" si="1332"/>
        <v>0</v>
      </c>
      <c r="AO1401">
        <f t="shared" si="1333"/>
        <v>0</v>
      </c>
      <c r="AP1401">
        <f t="shared" si="1334"/>
        <v>0</v>
      </c>
      <c r="AQ1401">
        <f t="shared" si="1335"/>
        <v>0</v>
      </c>
      <c r="AR1401">
        <f t="shared" si="1336"/>
        <v>0</v>
      </c>
      <c r="AS1401">
        <f t="shared" si="1337"/>
        <v>0</v>
      </c>
      <c r="AT1401">
        <f t="shared" si="1338"/>
        <v>0</v>
      </c>
      <c r="AU1401">
        <f t="shared" si="1339"/>
        <v>0</v>
      </c>
      <c r="AV1401">
        <f t="shared" si="1340"/>
        <v>0</v>
      </c>
      <c r="AW1401">
        <f t="shared" si="1341"/>
        <v>0</v>
      </c>
      <c r="AX1401">
        <f t="shared" si="1342"/>
        <v>0</v>
      </c>
      <c r="AY1401">
        <f t="shared" si="1343"/>
        <v>0</v>
      </c>
      <c r="AZ1401">
        <f t="shared" si="1344"/>
        <v>0</v>
      </c>
      <c r="BA1401">
        <f t="shared" si="1345"/>
        <v>0</v>
      </c>
      <c r="BB1401">
        <f t="shared" si="1346"/>
        <v>0</v>
      </c>
      <c r="BC1401">
        <f t="shared" si="1347"/>
        <v>0</v>
      </c>
      <c r="BD1401">
        <f t="shared" si="1348"/>
        <v>0</v>
      </c>
      <c r="BE1401">
        <f t="shared" si="1349"/>
        <v>0</v>
      </c>
      <c r="BF1401">
        <f t="shared" si="1350"/>
        <v>0</v>
      </c>
      <c r="BG1401">
        <f t="shared" si="1351"/>
        <v>0</v>
      </c>
      <c r="BH1401">
        <f t="shared" si="1352"/>
        <v>0</v>
      </c>
      <c r="BJ1401">
        <f t="shared" si="1353"/>
        <v>0</v>
      </c>
    </row>
    <row r="1402" spans="1:63" ht="15" customHeight="1">
      <c r="A1402" s="50"/>
      <c r="B1402" s="90"/>
      <c r="C1402" s="143" t="s">
        <v>2519</v>
      </c>
      <c r="D1402" s="796" t="str">
        <f>IF(CNSIPEE_2024_M2_Secc1!D45="","",CNSIPEE_2024_M2_Secc1!D45)</f>
        <v/>
      </c>
      <c r="E1402" s="796"/>
      <c r="F1402" s="796"/>
      <c r="G1402" s="796"/>
      <c r="H1402" s="796"/>
      <c r="I1402" s="796"/>
      <c r="J1402" s="796"/>
      <c r="K1402" s="796"/>
      <c r="L1402" s="796"/>
      <c r="M1402" s="796"/>
      <c r="N1402" s="796"/>
      <c r="O1402" s="796"/>
      <c r="P1402" s="100"/>
      <c r="Q1402" s="100"/>
      <c r="R1402" s="100"/>
      <c r="S1402" s="100"/>
      <c r="T1402" s="100"/>
      <c r="U1402" s="100"/>
      <c r="V1402" s="100"/>
      <c r="W1402" s="100"/>
      <c r="X1402" s="100"/>
      <c r="Y1402" s="100"/>
      <c r="Z1402" s="100"/>
      <c r="AA1402" s="100"/>
      <c r="AB1402" s="100"/>
      <c r="AC1402" s="100"/>
      <c r="AD1402" s="100"/>
      <c r="AG1402">
        <f t="shared" si="1327"/>
        <v>0</v>
      </c>
      <c r="AH1402">
        <f t="shared" si="1328"/>
        <v>0</v>
      </c>
      <c r="AI1402">
        <f t="shared" si="1354"/>
        <v>0</v>
      </c>
      <c r="AK1402">
        <f t="shared" si="1329"/>
        <v>0</v>
      </c>
      <c r="AL1402">
        <f t="shared" si="1330"/>
        <v>0</v>
      </c>
      <c r="AM1402">
        <f t="shared" si="1331"/>
        <v>0</v>
      </c>
      <c r="AN1402">
        <f t="shared" si="1332"/>
        <v>0</v>
      </c>
      <c r="AO1402">
        <f t="shared" si="1333"/>
        <v>0</v>
      </c>
      <c r="AP1402">
        <f t="shared" si="1334"/>
        <v>0</v>
      </c>
      <c r="AQ1402">
        <f t="shared" si="1335"/>
        <v>0</v>
      </c>
      <c r="AR1402">
        <f t="shared" si="1336"/>
        <v>0</v>
      </c>
      <c r="AS1402">
        <f t="shared" si="1337"/>
        <v>0</v>
      </c>
      <c r="AT1402">
        <f t="shared" si="1338"/>
        <v>0</v>
      </c>
      <c r="AU1402">
        <f t="shared" si="1339"/>
        <v>0</v>
      </c>
      <c r="AV1402">
        <f t="shared" si="1340"/>
        <v>0</v>
      </c>
      <c r="AW1402">
        <f t="shared" si="1341"/>
        <v>0</v>
      </c>
      <c r="AX1402">
        <f t="shared" si="1342"/>
        <v>0</v>
      </c>
      <c r="AY1402">
        <f t="shared" si="1343"/>
        <v>0</v>
      </c>
      <c r="AZ1402">
        <f t="shared" si="1344"/>
        <v>0</v>
      </c>
      <c r="BA1402">
        <f t="shared" si="1345"/>
        <v>0</v>
      </c>
      <c r="BB1402">
        <f t="shared" si="1346"/>
        <v>0</v>
      </c>
      <c r="BC1402">
        <f t="shared" si="1347"/>
        <v>0</v>
      </c>
      <c r="BD1402">
        <f t="shared" si="1348"/>
        <v>0</v>
      </c>
      <c r="BE1402">
        <f t="shared" si="1349"/>
        <v>0</v>
      </c>
      <c r="BF1402">
        <f t="shared" si="1350"/>
        <v>0</v>
      </c>
      <c r="BG1402">
        <f t="shared" si="1351"/>
        <v>0</v>
      </c>
      <c r="BH1402">
        <f t="shared" si="1352"/>
        <v>0</v>
      </c>
      <c r="BJ1402">
        <f t="shared" si="1353"/>
        <v>0</v>
      </c>
    </row>
    <row r="1403" spans="1:63" ht="15" customHeight="1">
      <c r="A1403" s="50"/>
      <c r="B1403" s="90"/>
      <c r="C1403" s="143" t="s">
        <v>2520</v>
      </c>
      <c r="D1403" s="796" t="str">
        <f>IF(CNSIPEE_2024_M2_Secc1!D46="","",CNSIPEE_2024_M2_Secc1!D46)</f>
        <v/>
      </c>
      <c r="E1403" s="796"/>
      <c r="F1403" s="796"/>
      <c r="G1403" s="796"/>
      <c r="H1403" s="796"/>
      <c r="I1403" s="796"/>
      <c r="J1403" s="796"/>
      <c r="K1403" s="796"/>
      <c r="L1403" s="796"/>
      <c r="M1403" s="796"/>
      <c r="N1403" s="796"/>
      <c r="O1403" s="796"/>
      <c r="P1403" s="100"/>
      <c r="Q1403" s="100"/>
      <c r="R1403" s="100"/>
      <c r="S1403" s="100"/>
      <c r="T1403" s="100"/>
      <c r="U1403" s="100"/>
      <c r="V1403" s="100"/>
      <c r="W1403" s="100"/>
      <c r="X1403" s="100"/>
      <c r="Y1403" s="100"/>
      <c r="Z1403" s="100"/>
      <c r="AA1403" s="100"/>
      <c r="AB1403" s="100"/>
      <c r="AC1403" s="100"/>
      <c r="AD1403" s="100"/>
      <c r="AG1403">
        <f t="shared" si="1327"/>
        <v>0</v>
      </c>
      <c r="AH1403">
        <f t="shared" si="1328"/>
        <v>0</v>
      </c>
      <c r="AI1403">
        <f t="shared" si="1354"/>
        <v>0</v>
      </c>
      <c r="AK1403">
        <f t="shared" si="1329"/>
        <v>0</v>
      </c>
      <c r="AL1403">
        <f t="shared" si="1330"/>
        <v>0</v>
      </c>
      <c r="AM1403">
        <f t="shared" si="1331"/>
        <v>0</v>
      </c>
      <c r="AN1403">
        <f t="shared" si="1332"/>
        <v>0</v>
      </c>
      <c r="AO1403">
        <f t="shared" si="1333"/>
        <v>0</v>
      </c>
      <c r="AP1403">
        <f t="shared" si="1334"/>
        <v>0</v>
      </c>
      <c r="AQ1403">
        <f t="shared" si="1335"/>
        <v>0</v>
      </c>
      <c r="AR1403">
        <f t="shared" si="1336"/>
        <v>0</v>
      </c>
      <c r="AS1403">
        <f t="shared" si="1337"/>
        <v>0</v>
      </c>
      <c r="AT1403">
        <f t="shared" si="1338"/>
        <v>0</v>
      </c>
      <c r="AU1403">
        <f t="shared" si="1339"/>
        <v>0</v>
      </c>
      <c r="AV1403">
        <f t="shared" si="1340"/>
        <v>0</v>
      </c>
      <c r="AW1403">
        <f t="shared" si="1341"/>
        <v>0</v>
      </c>
      <c r="AX1403">
        <f t="shared" si="1342"/>
        <v>0</v>
      </c>
      <c r="AY1403">
        <f t="shared" si="1343"/>
        <v>0</v>
      </c>
      <c r="AZ1403">
        <f t="shared" si="1344"/>
        <v>0</v>
      </c>
      <c r="BA1403">
        <f t="shared" si="1345"/>
        <v>0</v>
      </c>
      <c r="BB1403">
        <f t="shared" si="1346"/>
        <v>0</v>
      </c>
      <c r="BC1403">
        <f t="shared" si="1347"/>
        <v>0</v>
      </c>
      <c r="BD1403">
        <f t="shared" si="1348"/>
        <v>0</v>
      </c>
      <c r="BE1403">
        <f t="shared" si="1349"/>
        <v>0</v>
      </c>
      <c r="BF1403">
        <f t="shared" si="1350"/>
        <v>0</v>
      </c>
      <c r="BG1403">
        <f t="shared" si="1351"/>
        <v>0</v>
      </c>
      <c r="BH1403">
        <f t="shared" si="1352"/>
        <v>0</v>
      </c>
      <c r="BJ1403">
        <f t="shared" si="1353"/>
        <v>0</v>
      </c>
    </row>
    <row r="1404" spans="1:63" ht="15" customHeight="1">
      <c r="A1404" s="50"/>
      <c r="B1404" s="90"/>
      <c r="C1404" s="143" t="s">
        <v>2521</v>
      </c>
      <c r="D1404" s="796" t="str">
        <f>IF(CNSIPEE_2024_M2_Secc1!D47="","",CNSIPEE_2024_M2_Secc1!D47)</f>
        <v/>
      </c>
      <c r="E1404" s="796"/>
      <c r="F1404" s="796"/>
      <c r="G1404" s="796"/>
      <c r="H1404" s="796"/>
      <c r="I1404" s="796"/>
      <c r="J1404" s="796"/>
      <c r="K1404" s="796"/>
      <c r="L1404" s="796"/>
      <c r="M1404" s="796"/>
      <c r="N1404" s="796"/>
      <c r="O1404" s="796"/>
      <c r="P1404" s="100"/>
      <c r="Q1404" s="100"/>
      <c r="R1404" s="100"/>
      <c r="S1404" s="100"/>
      <c r="T1404" s="100"/>
      <c r="U1404" s="100"/>
      <c r="V1404" s="100"/>
      <c r="W1404" s="100"/>
      <c r="X1404" s="100"/>
      <c r="Y1404" s="100"/>
      <c r="Z1404" s="100"/>
      <c r="AA1404" s="100"/>
      <c r="AB1404" s="100"/>
      <c r="AC1404" s="100"/>
      <c r="AD1404" s="100"/>
      <c r="AG1404">
        <f t="shared" si="1327"/>
        <v>0</v>
      </c>
      <c r="AH1404">
        <f t="shared" si="1328"/>
        <v>0</v>
      </c>
      <c r="AI1404">
        <f t="shared" si="1354"/>
        <v>0</v>
      </c>
      <c r="AK1404">
        <f t="shared" si="1329"/>
        <v>0</v>
      </c>
      <c r="AL1404">
        <f t="shared" si="1330"/>
        <v>0</v>
      </c>
      <c r="AM1404">
        <f t="shared" si="1331"/>
        <v>0</v>
      </c>
      <c r="AN1404">
        <f t="shared" si="1332"/>
        <v>0</v>
      </c>
      <c r="AO1404">
        <f t="shared" si="1333"/>
        <v>0</v>
      </c>
      <c r="AP1404">
        <f t="shared" si="1334"/>
        <v>0</v>
      </c>
      <c r="AQ1404">
        <f t="shared" si="1335"/>
        <v>0</v>
      </c>
      <c r="AR1404">
        <f t="shared" si="1336"/>
        <v>0</v>
      </c>
      <c r="AS1404">
        <f t="shared" si="1337"/>
        <v>0</v>
      </c>
      <c r="AT1404">
        <f t="shared" si="1338"/>
        <v>0</v>
      </c>
      <c r="AU1404">
        <f t="shared" si="1339"/>
        <v>0</v>
      </c>
      <c r="AV1404">
        <f t="shared" si="1340"/>
        <v>0</v>
      </c>
      <c r="AW1404">
        <f t="shared" si="1341"/>
        <v>0</v>
      </c>
      <c r="AX1404">
        <f t="shared" si="1342"/>
        <v>0</v>
      </c>
      <c r="AY1404">
        <f t="shared" si="1343"/>
        <v>0</v>
      </c>
      <c r="AZ1404">
        <f t="shared" si="1344"/>
        <v>0</v>
      </c>
      <c r="BA1404">
        <f t="shared" si="1345"/>
        <v>0</v>
      </c>
      <c r="BB1404">
        <f t="shared" si="1346"/>
        <v>0</v>
      </c>
      <c r="BC1404">
        <f t="shared" si="1347"/>
        <v>0</v>
      </c>
      <c r="BD1404">
        <f t="shared" si="1348"/>
        <v>0</v>
      </c>
      <c r="BE1404">
        <f t="shared" si="1349"/>
        <v>0</v>
      </c>
      <c r="BF1404">
        <f t="shared" si="1350"/>
        <v>0</v>
      </c>
      <c r="BG1404">
        <f t="shared" si="1351"/>
        <v>0</v>
      </c>
      <c r="BH1404">
        <f t="shared" si="1352"/>
        <v>0</v>
      </c>
      <c r="BJ1404">
        <f t="shared" si="1353"/>
        <v>0</v>
      </c>
    </row>
    <row r="1405" spans="1:63" ht="15" customHeight="1">
      <c r="A1405" s="50"/>
      <c r="B1405" s="90"/>
      <c r="C1405" s="143" t="s">
        <v>2522</v>
      </c>
      <c r="D1405" s="796" t="str">
        <f>IF(CNSIPEE_2024_M2_Secc1!D48="","",CNSIPEE_2024_M2_Secc1!D48)</f>
        <v/>
      </c>
      <c r="E1405" s="796"/>
      <c r="F1405" s="796"/>
      <c r="G1405" s="796"/>
      <c r="H1405" s="796"/>
      <c r="I1405" s="796"/>
      <c r="J1405" s="796"/>
      <c r="K1405" s="796"/>
      <c r="L1405" s="796"/>
      <c r="M1405" s="796"/>
      <c r="N1405" s="796"/>
      <c r="O1405" s="796"/>
      <c r="P1405" s="100"/>
      <c r="Q1405" s="100"/>
      <c r="R1405" s="100"/>
      <c r="S1405" s="100"/>
      <c r="T1405" s="100"/>
      <c r="U1405" s="100"/>
      <c r="V1405" s="100"/>
      <c r="W1405" s="100"/>
      <c r="X1405" s="100"/>
      <c r="Y1405" s="100"/>
      <c r="Z1405" s="100"/>
      <c r="AA1405" s="100"/>
      <c r="AB1405" s="100"/>
      <c r="AC1405" s="100"/>
      <c r="AD1405" s="100"/>
      <c r="AG1405">
        <f t="shared" si="1327"/>
        <v>0</v>
      </c>
      <c r="AH1405">
        <f t="shared" si="1328"/>
        <v>0</v>
      </c>
      <c r="AI1405">
        <f t="shared" si="1354"/>
        <v>0</v>
      </c>
      <c r="AK1405">
        <f t="shared" si="1329"/>
        <v>0</v>
      </c>
      <c r="AL1405">
        <f t="shared" si="1330"/>
        <v>0</v>
      </c>
      <c r="AM1405">
        <f t="shared" si="1331"/>
        <v>0</v>
      </c>
      <c r="AN1405">
        <f t="shared" si="1332"/>
        <v>0</v>
      </c>
      <c r="AO1405">
        <f t="shared" si="1333"/>
        <v>0</v>
      </c>
      <c r="AP1405">
        <f t="shared" si="1334"/>
        <v>0</v>
      </c>
      <c r="AQ1405">
        <f t="shared" si="1335"/>
        <v>0</v>
      </c>
      <c r="AR1405">
        <f t="shared" si="1336"/>
        <v>0</v>
      </c>
      <c r="AS1405">
        <f t="shared" si="1337"/>
        <v>0</v>
      </c>
      <c r="AT1405">
        <f t="shared" si="1338"/>
        <v>0</v>
      </c>
      <c r="AU1405">
        <f t="shared" si="1339"/>
        <v>0</v>
      </c>
      <c r="AV1405">
        <f t="shared" si="1340"/>
        <v>0</v>
      </c>
      <c r="AW1405">
        <f t="shared" si="1341"/>
        <v>0</v>
      </c>
      <c r="AX1405">
        <f t="shared" si="1342"/>
        <v>0</v>
      </c>
      <c r="AY1405">
        <f t="shared" si="1343"/>
        <v>0</v>
      </c>
      <c r="AZ1405">
        <f t="shared" si="1344"/>
        <v>0</v>
      </c>
      <c r="BA1405">
        <f t="shared" si="1345"/>
        <v>0</v>
      </c>
      <c r="BB1405">
        <f t="shared" si="1346"/>
        <v>0</v>
      </c>
      <c r="BC1405">
        <f t="shared" si="1347"/>
        <v>0</v>
      </c>
      <c r="BD1405">
        <f t="shared" si="1348"/>
        <v>0</v>
      </c>
      <c r="BE1405">
        <f t="shared" si="1349"/>
        <v>0</v>
      </c>
      <c r="BF1405">
        <f t="shared" si="1350"/>
        <v>0</v>
      </c>
      <c r="BG1405">
        <f t="shared" si="1351"/>
        <v>0</v>
      </c>
      <c r="BH1405">
        <f t="shared" si="1352"/>
        <v>0</v>
      </c>
      <c r="BJ1405">
        <f t="shared" si="1353"/>
        <v>0</v>
      </c>
    </row>
    <row r="1406" spans="1:63" ht="15" customHeight="1">
      <c r="A1406" s="50"/>
      <c r="B1406" s="90"/>
      <c r="C1406" s="143" t="s">
        <v>2523</v>
      </c>
      <c r="D1406" s="796" t="str">
        <f>IF(CNSIPEE_2024_M2_Secc1!D49="","",CNSIPEE_2024_M2_Secc1!D49)</f>
        <v/>
      </c>
      <c r="E1406" s="796"/>
      <c r="F1406" s="796"/>
      <c r="G1406" s="796"/>
      <c r="H1406" s="796"/>
      <c r="I1406" s="796"/>
      <c r="J1406" s="796"/>
      <c r="K1406" s="796"/>
      <c r="L1406" s="796"/>
      <c r="M1406" s="796"/>
      <c r="N1406" s="796"/>
      <c r="O1406" s="796"/>
      <c r="P1406" s="100"/>
      <c r="Q1406" s="100"/>
      <c r="R1406" s="100"/>
      <c r="S1406" s="100"/>
      <c r="T1406" s="100"/>
      <c r="U1406" s="100"/>
      <c r="V1406" s="100"/>
      <c r="W1406" s="100"/>
      <c r="X1406" s="100"/>
      <c r="Y1406" s="100"/>
      <c r="Z1406" s="100"/>
      <c r="AA1406" s="100"/>
      <c r="AB1406" s="100"/>
      <c r="AC1406" s="100"/>
      <c r="AD1406" s="100"/>
      <c r="AG1406">
        <f t="shared" si="1327"/>
        <v>0</v>
      </c>
      <c r="AH1406">
        <f t="shared" si="1328"/>
        <v>0</v>
      </c>
      <c r="AI1406">
        <f t="shared" si="1354"/>
        <v>0</v>
      </c>
      <c r="AK1406">
        <f t="shared" si="1329"/>
        <v>0</v>
      </c>
      <c r="AL1406">
        <f t="shared" si="1330"/>
        <v>0</v>
      </c>
      <c r="AM1406">
        <f t="shared" si="1331"/>
        <v>0</v>
      </c>
      <c r="AN1406">
        <f t="shared" si="1332"/>
        <v>0</v>
      </c>
      <c r="AO1406">
        <f t="shared" si="1333"/>
        <v>0</v>
      </c>
      <c r="AP1406">
        <f t="shared" si="1334"/>
        <v>0</v>
      </c>
      <c r="AQ1406">
        <f t="shared" si="1335"/>
        <v>0</v>
      </c>
      <c r="AR1406">
        <f t="shared" si="1336"/>
        <v>0</v>
      </c>
      <c r="AS1406">
        <f t="shared" si="1337"/>
        <v>0</v>
      </c>
      <c r="AT1406">
        <f t="shared" si="1338"/>
        <v>0</v>
      </c>
      <c r="AU1406">
        <f t="shared" si="1339"/>
        <v>0</v>
      </c>
      <c r="AV1406">
        <f t="shared" si="1340"/>
        <v>0</v>
      </c>
      <c r="AW1406">
        <f t="shared" si="1341"/>
        <v>0</v>
      </c>
      <c r="AX1406">
        <f t="shared" si="1342"/>
        <v>0</v>
      </c>
      <c r="AY1406">
        <f t="shared" si="1343"/>
        <v>0</v>
      </c>
      <c r="AZ1406">
        <f t="shared" si="1344"/>
        <v>0</v>
      </c>
      <c r="BA1406">
        <f t="shared" si="1345"/>
        <v>0</v>
      </c>
      <c r="BB1406">
        <f t="shared" si="1346"/>
        <v>0</v>
      </c>
      <c r="BC1406">
        <f t="shared" si="1347"/>
        <v>0</v>
      </c>
      <c r="BD1406">
        <f t="shared" si="1348"/>
        <v>0</v>
      </c>
      <c r="BE1406">
        <f t="shared" si="1349"/>
        <v>0</v>
      </c>
      <c r="BF1406">
        <f t="shared" si="1350"/>
        <v>0</v>
      </c>
      <c r="BG1406">
        <f t="shared" si="1351"/>
        <v>0</v>
      </c>
      <c r="BH1406">
        <f t="shared" si="1352"/>
        <v>0</v>
      </c>
      <c r="BJ1406">
        <f t="shared" si="1353"/>
        <v>0</v>
      </c>
    </row>
    <row r="1407" spans="1:63" ht="15" customHeight="1">
      <c r="A1407" s="50"/>
      <c r="B1407" s="90"/>
      <c r="C1407" s="90"/>
      <c r="D1407" s="90"/>
      <c r="E1407" s="90"/>
      <c r="F1407" s="117"/>
      <c r="P1407" s="124">
        <f>IF(AND(SUM(P1399:P1406)=0,COUNTIF(P1399:P1406,"NS")&gt;0),"NS",
IF(AND(SUM(P1399:P1406)=0,COUNTIF(P1399:P1406,0)&gt;0),0,
IF(AND(SUM(P1399:P1406)=0,COUNTIF(P1399:P1406,"NA")&gt;0),"NA",
SUM(P1399:P1406))))</f>
        <v>0</v>
      </c>
      <c r="Q1407" s="124">
        <f t="shared" ref="Q1407:AD1407" si="1355">IF(AND(SUM(Q1399:Q1406)=0,COUNTIF(Q1399:Q1406,"NS")&gt;0),"NS",
IF(AND(SUM(Q1399:Q1406)=0,COUNTIF(Q1399:Q1406,0)&gt;0),0,
IF(AND(SUM(Q1399:Q1406)=0,COUNTIF(Q1399:Q1406,"NA")&gt;0),"NA",
SUM(Q1399:Q1406))))</f>
        <v>0</v>
      </c>
      <c r="R1407" s="124">
        <f t="shared" si="1355"/>
        <v>0</v>
      </c>
      <c r="S1407" s="124">
        <f t="shared" si="1355"/>
        <v>0</v>
      </c>
      <c r="T1407" s="124">
        <f t="shared" si="1355"/>
        <v>0</v>
      </c>
      <c r="U1407" s="124">
        <f t="shared" si="1355"/>
        <v>0</v>
      </c>
      <c r="V1407" s="124">
        <f t="shared" si="1355"/>
        <v>0</v>
      </c>
      <c r="W1407" s="124">
        <f t="shared" si="1355"/>
        <v>0</v>
      </c>
      <c r="X1407" s="124">
        <f t="shared" si="1355"/>
        <v>0</v>
      </c>
      <c r="Y1407" s="124">
        <f t="shared" si="1355"/>
        <v>0</v>
      </c>
      <c r="Z1407" s="124">
        <f t="shared" si="1355"/>
        <v>0</v>
      </c>
      <c r="AA1407" s="124">
        <f t="shared" si="1355"/>
        <v>0</v>
      </c>
      <c r="AB1407" s="124">
        <f t="shared" si="1355"/>
        <v>0</v>
      </c>
      <c r="AC1407" s="124">
        <f t="shared" si="1355"/>
        <v>0</v>
      </c>
      <c r="AD1407" s="124">
        <f t="shared" si="1355"/>
        <v>0</v>
      </c>
      <c r="AG1407" s="470">
        <f>SUM(AG1399:AG1406)</f>
        <v>0</v>
      </c>
      <c r="AH1407" s="440">
        <f>SUM(AH1399:AH1406)</f>
        <v>0</v>
      </c>
      <c r="AI1407" s="471">
        <f>SUM(AI1399:AI1406)</f>
        <v>0</v>
      </c>
      <c r="AK1407" s="473">
        <f>SUM(AK1399:AK1406)</f>
        <v>0</v>
      </c>
      <c r="AL1407" s="474">
        <f>SUM(AL1399:AL1406)</f>
        <v>0</v>
      </c>
      <c r="AM1407" s="475">
        <f>SUM(AM1399:AM1406)</f>
        <v>0</v>
      </c>
      <c r="AN1407" s="473">
        <f t="shared" ref="AN1407:BH1407" si="1356">SUM(AN1399:AN1406)</f>
        <v>0</v>
      </c>
      <c r="AO1407" s="474">
        <f t="shared" si="1356"/>
        <v>0</v>
      </c>
      <c r="AP1407" s="475">
        <f t="shared" si="1356"/>
        <v>0</v>
      </c>
      <c r="AQ1407" s="473">
        <f t="shared" si="1356"/>
        <v>0</v>
      </c>
      <c r="AR1407" s="474">
        <f t="shared" si="1356"/>
        <v>0</v>
      </c>
      <c r="AS1407" s="475">
        <f t="shared" si="1356"/>
        <v>0</v>
      </c>
      <c r="AT1407" s="473">
        <f t="shared" si="1356"/>
        <v>0</v>
      </c>
      <c r="AU1407" s="474">
        <f t="shared" si="1356"/>
        <v>0</v>
      </c>
      <c r="AV1407" s="475">
        <f t="shared" si="1356"/>
        <v>0</v>
      </c>
      <c r="AW1407" s="473">
        <f t="shared" si="1356"/>
        <v>0</v>
      </c>
      <c r="AX1407" s="474">
        <f t="shared" si="1356"/>
        <v>0</v>
      </c>
      <c r="AY1407" s="475">
        <f t="shared" si="1356"/>
        <v>0</v>
      </c>
      <c r="AZ1407" s="473">
        <f t="shared" si="1356"/>
        <v>0</v>
      </c>
      <c r="BA1407" s="474">
        <f t="shared" si="1356"/>
        <v>0</v>
      </c>
      <c r="BB1407" s="475">
        <f t="shared" si="1356"/>
        <v>0</v>
      </c>
      <c r="BC1407" s="473">
        <f t="shared" si="1356"/>
        <v>0</v>
      </c>
      <c r="BD1407" s="474">
        <f t="shared" si="1356"/>
        <v>0</v>
      </c>
      <c r="BE1407" s="475">
        <f t="shared" si="1356"/>
        <v>0</v>
      </c>
      <c r="BF1407" s="473">
        <f t="shared" si="1356"/>
        <v>0</v>
      </c>
      <c r="BG1407" s="474">
        <f t="shared" si="1356"/>
        <v>0</v>
      </c>
      <c r="BH1407" s="475">
        <f t="shared" si="1356"/>
        <v>0</v>
      </c>
      <c r="BJ1407" s="465">
        <f>SUM(BJ1399:BJ1406)</f>
        <v>0</v>
      </c>
    </row>
    <row r="1408" spans="1:63" ht="15">
      <c r="A1408" s="94"/>
      <c r="AG1408"/>
      <c r="AH1408"/>
      <c r="AI1408" s="472">
        <f>SUM(AG1407:AI1407)</f>
        <v>0</v>
      </c>
      <c r="BH1408" s="476">
        <f>SUM(AK1407:BH1407)</f>
        <v>0</v>
      </c>
    </row>
    <row r="1409" spans="1:34" ht="24" customHeight="1">
      <c r="A1409" s="94"/>
      <c r="C1409" s="754" t="s">
        <v>2611</v>
      </c>
      <c r="D1409" s="754"/>
      <c r="E1409" s="754"/>
      <c r="F1409" s="754"/>
      <c r="G1409" s="754"/>
      <c r="H1409" s="754"/>
      <c r="I1409" s="754"/>
      <c r="J1409" s="754"/>
      <c r="K1409" s="754"/>
      <c r="L1409" s="754"/>
      <c r="M1409" s="754"/>
      <c r="N1409" s="754"/>
      <c r="O1409" s="754"/>
      <c r="P1409" s="754"/>
      <c r="Q1409" s="754"/>
      <c r="R1409" s="754"/>
      <c r="S1409" s="754"/>
      <c r="T1409" s="754"/>
      <c r="U1409" s="754"/>
      <c r="V1409" s="754"/>
      <c r="W1409" s="754"/>
      <c r="X1409" s="754"/>
      <c r="Y1409" s="754"/>
      <c r="Z1409" s="754"/>
      <c r="AA1409" s="754"/>
      <c r="AB1409" s="754"/>
      <c r="AC1409" s="754"/>
      <c r="AD1409" s="754"/>
    </row>
    <row r="1410" spans="1:34" ht="60" customHeight="1">
      <c r="A1410" s="94"/>
      <c r="C1410" s="851"/>
      <c r="D1410" s="851"/>
      <c r="E1410" s="851"/>
      <c r="F1410" s="851"/>
      <c r="G1410" s="851"/>
      <c r="H1410" s="851"/>
      <c r="I1410" s="851"/>
      <c r="J1410" s="851"/>
      <c r="K1410" s="851"/>
      <c r="L1410" s="851"/>
      <c r="M1410" s="851"/>
      <c r="N1410" s="851"/>
      <c r="O1410" s="851"/>
      <c r="P1410" s="851"/>
      <c r="Q1410" s="851"/>
      <c r="R1410" s="851"/>
      <c r="S1410" s="851"/>
      <c r="T1410" s="851"/>
      <c r="U1410" s="851"/>
      <c r="V1410" s="851"/>
      <c r="W1410" s="851"/>
      <c r="X1410" s="851"/>
      <c r="Y1410" s="851"/>
      <c r="Z1410" s="851"/>
      <c r="AA1410" s="851"/>
      <c r="AB1410" s="851"/>
      <c r="AC1410" s="851"/>
      <c r="AD1410" s="851"/>
    </row>
    <row r="1411" spans="1:34" ht="15" customHeight="1">
      <c r="A1411" s="91"/>
      <c r="B1411" s="794" t="str">
        <f>IF(AG1392&gt;0,"Favor de ingresar toda la información requerida en la pregunta y/o verifique que no tenga información en celdas sombreadas","")</f>
        <v/>
      </c>
      <c r="C1411" s="794"/>
      <c r="D1411" s="794"/>
      <c r="E1411" s="794"/>
      <c r="F1411" s="794"/>
      <c r="G1411" s="794"/>
      <c r="H1411" s="794"/>
      <c r="I1411" s="794"/>
      <c r="J1411" s="794"/>
      <c r="K1411" s="794"/>
      <c r="L1411" s="794"/>
      <c r="M1411" s="794"/>
      <c r="N1411" s="794"/>
      <c r="O1411" s="794"/>
      <c r="P1411" s="794"/>
      <c r="Q1411" s="794"/>
      <c r="R1411" s="794"/>
      <c r="S1411" s="794"/>
      <c r="T1411" s="794"/>
      <c r="U1411" s="794"/>
      <c r="V1411" s="794"/>
      <c r="W1411" s="794"/>
      <c r="X1411" s="794"/>
      <c r="Y1411" s="794"/>
      <c r="Z1411" s="794"/>
      <c r="AA1411" s="794"/>
      <c r="AB1411" s="794"/>
      <c r="AC1411" s="794"/>
      <c r="AD1411" s="794"/>
      <c r="AE1411"/>
    </row>
    <row r="1412" spans="1:34" ht="15" customHeight="1">
      <c r="A1412" s="91"/>
      <c r="B1412" s="795" t="str">
        <f>IF(AM1394&gt;0,"Alerta: debido a que cuenta con registros NS, debe proporcionar una justificación en el area de comentarios al final de la pregunta","")</f>
        <v/>
      </c>
      <c r="C1412" s="795"/>
      <c r="D1412" s="795"/>
      <c r="E1412" s="795"/>
      <c r="F1412" s="795"/>
      <c r="G1412" s="795"/>
      <c r="H1412" s="795"/>
      <c r="I1412" s="795"/>
      <c r="J1412" s="795"/>
      <c r="K1412" s="795"/>
      <c r="L1412" s="795"/>
      <c r="M1412" s="795"/>
      <c r="N1412" s="795"/>
      <c r="O1412" s="795"/>
      <c r="P1412" s="795"/>
      <c r="Q1412" s="795"/>
      <c r="R1412" s="795"/>
      <c r="S1412" s="795"/>
      <c r="T1412" s="795"/>
      <c r="U1412" s="795"/>
      <c r="V1412" s="795"/>
      <c r="W1412" s="795"/>
      <c r="X1412" s="795"/>
      <c r="Y1412" s="795"/>
      <c r="Z1412" s="795"/>
      <c r="AA1412" s="795"/>
      <c r="AB1412" s="795"/>
      <c r="AC1412" s="795"/>
      <c r="AD1412" s="795"/>
      <c r="AE1412"/>
    </row>
    <row r="1413" spans="1:34" ht="15" customHeight="1">
      <c r="A1413" s="91"/>
      <c r="B1413" s="794" t="str">
        <f>IF(OR(AK1394&gt;0,AK1395&gt;0,AM1395&gt;0,AO1395&gt;0),"Favor de revisar la suma y consistencia de totales y/o subtotales por filas (numéricos y NS)","")</f>
        <v/>
      </c>
      <c r="C1413" s="794"/>
      <c r="D1413" s="794"/>
      <c r="E1413" s="794"/>
      <c r="F1413" s="794"/>
      <c r="G1413" s="794"/>
      <c r="H1413" s="794"/>
      <c r="I1413" s="794"/>
      <c r="J1413" s="794"/>
      <c r="K1413" s="794"/>
      <c r="L1413" s="794"/>
      <c r="M1413" s="794"/>
      <c r="N1413" s="794"/>
      <c r="O1413" s="794"/>
      <c r="P1413" s="794"/>
      <c r="Q1413" s="794"/>
      <c r="R1413" s="794"/>
      <c r="S1413" s="794"/>
      <c r="T1413" s="794"/>
      <c r="U1413" s="794"/>
      <c r="V1413" s="794"/>
      <c r="W1413" s="794"/>
      <c r="X1413" s="794"/>
      <c r="Y1413" s="794"/>
      <c r="Z1413" s="794"/>
      <c r="AA1413" s="794"/>
      <c r="AB1413" s="794"/>
      <c r="AC1413" s="794"/>
      <c r="AD1413" s="794"/>
      <c r="AE1413"/>
    </row>
    <row r="1414" spans="1:34" ht="15" customHeight="1">
      <c r="A1414" s="91"/>
      <c r="B1414" s="794" t="str">
        <f>IF(AI1408&gt;0,"Favor de revisar la instrucción 1, debido a que no se cumplen con los criterios mencionados","")</f>
        <v/>
      </c>
      <c r="C1414" s="794"/>
      <c r="D1414" s="794"/>
      <c r="E1414" s="794"/>
      <c r="F1414" s="794"/>
      <c r="G1414" s="794"/>
      <c r="H1414" s="794"/>
      <c r="I1414" s="794"/>
      <c r="J1414" s="794"/>
      <c r="K1414" s="794"/>
      <c r="L1414" s="794"/>
      <c r="M1414" s="794"/>
      <c r="N1414" s="794"/>
      <c r="O1414" s="794"/>
      <c r="P1414" s="794"/>
      <c r="Q1414" s="794"/>
      <c r="R1414" s="794"/>
      <c r="S1414" s="794"/>
      <c r="T1414" s="794"/>
      <c r="U1414" s="794"/>
      <c r="V1414" s="794"/>
      <c r="W1414" s="794"/>
      <c r="X1414" s="794"/>
      <c r="Y1414" s="794"/>
      <c r="Z1414" s="794"/>
      <c r="AA1414" s="794"/>
      <c r="AB1414" s="794"/>
      <c r="AC1414" s="794"/>
      <c r="AD1414" s="794"/>
      <c r="AE1414" s="794"/>
    </row>
    <row r="1415" spans="1:34" ht="15" customHeight="1">
      <c r="A1415" s="91"/>
      <c r="B1415" s="795" t="str">
        <f>IF(BH1408&gt;0,"Alerta: debe de proporcionar una justificación de acuerdo a lo establecido en la instrucción 2","")</f>
        <v/>
      </c>
      <c r="C1415" s="795"/>
      <c r="D1415" s="795"/>
      <c r="E1415" s="795"/>
      <c r="F1415" s="795"/>
      <c r="G1415" s="795"/>
      <c r="H1415" s="795"/>
      <c r="I1415" s="795"/>
      <c r="J1415" s="795"/>
      <c r="K1415" s="795"/>
      <c r="L1415" s="795"/>
      <c r="M1415" s="795"/>
      <c r="N1415" s="795"/>
      <c r="O1415" s="795"/>
      <c r="P1415" s="795"/>
      <c r="Q1415" s="795"/>
      <c r="R1415" s="795"/>
      <c r="S1415" s="795"/>
      <c r="T1415" s="795"/>
      <c r="U1415" s="795"/>
      <c r="V1415" s="795"/>
      <c r="W1415" s="795"/>
      <c r="X1415" s="795"/>
      <c r="Y1415" s="795"/>
      <c r="Z1415" s="795"/>
      <c r="AA1415" s="795"/>
      <c r="AB1415" s="795"/>
      <c r="AC1415" s="795"/>
      <c r="AD1415" s="795"/>
      <c r="AE1415" s="795"/>
    </row>
    <row r="1416" spans="1:34" ht="15" customHeight="1" thickBot="1">
      <c r="A1416" s="91"/>
      <c r="AE1416"/>
    </row>
    <row r="1417" spans="1:34" customFormat="1" ht="15.75" customHeight="1" thickBot="1">
      <c r="A1417" s="153" t="s">
        <v>2563</v>
      </c>
      <c r="B1417" s="943" t="s">
        <v>3849</v>
      </c>
      <c r="C1417" s="944"/>
      <c r="D1417" s="944"/>
      <c r="E1417" s="944"/>
      <c r="F1417" s="944"/>
      <c r="G1417" s="944"/>
      <c r="H1417" s="944"/>
      <c r="I1417" s="944"/>
      <c r="J1417" s="944"/>
      <c r="K1417" s="944"/>
      <c r="L1417" s="944"/>
      <c r="M1417" s="944"/>
      <c r="N1417" s="944"/>
      <c r="O1417" s="944"/>
      <c r="P1417" s="944"/>
      <c r="Q1417" s="944"/>
      <c r="R1417" s="944"/>
      <c r="S1417" s="944"/>
      <c r="T1417" s="944"/>
      <c r="U1417" s="944"/>
      <c r="V1417" s="944"/>
      <c r="W1417" s="944"/>
      <c r="X1417" s="944"/>
      <c r="Y1417" s="944"/>
      <c r="Z1417" s="944"/>
      <c r="AA1417" s="944"/>
      <c r="AB1417" s="944"/>
      <c r="AC1417" s="944"/>
      <c r="AD1417" s="945"/>
      <c r="AE1417" s="3"/>
    </row>
    <row r="1418" spans="1:34" ht="15" customHeight="1">
      <c r="A1418" s="94"/>
      <c r="B1418" s="866" t="s">
        <v>3388</v>
      </c>
      <c r="C1418" s="867"/>
      <c r="D1418" s="867"/>
      <c r="E1418" s="867"/>
      <c r="F1418" s="867"/>
      <c r="G1418" s="867"/>
      <c r="H1418" s="867"/>
      <c r="I1418" s="867"/>
      <c r="J1418" s="867"/>
      <c r="K1418" s="867"/>
      <c r="L1418" s="867"/>
      <c r="M1418" s="867"/>
      <c r="N1418" s="867"/>
      <c r="O1418" s="867"/>
      <c r="P1418" s="867"/>
      <c r="Q1418" s="867"/>
      <c r="R1418" s="867"/>
      <c r="S1418" s="867"/>
      <c r="T1418" s="867"/>
      <c r="U1418" s="867"/>
      <c r="V1418" s="867"/>
      <c r="W1418" s="867"/>
      <c r="X1418" s="867"/>
      <c r="Y1418" s="867"/>
      <c r="Z1418" s="867"/>
      <c r="AA1418" s="867"/>
      <c r="AB1418" s="867"/>
      <c r="AC1418" s="867"/>
      <c r="AD1418" s="868"/>
    </row>
    <row r="1419" spans="1:34" ht="24" customHeight="1">
      <c r="A1419" s="94"/>
      <c r="B1419" s="74"/>
      <c r="C1419" s="754" t="s">
        <v>3850</v>
      </c>
      <c r="D1419" s="754"/>
      <c r="E1419" s="754"/>
      <c r="F1419" s="754"/>
      <c r="G1419" s="754"/>
      <c r="H1419" s="754"/>
      <c r="I1419" s="754"/>
      <c r="J1419" s="754"/>
      <c r="K1419" s="754"/>
      <c r="L1419" s="754"/>
      <c r="M1419" s="754"/>
      <c r="N1419" s="754"/>
      <c r="O1419" s="754"/>
      <c r="P1419" s="754"/>
      <c r="Q1419" s="754"/>
      <c r="R1419" s="754"/>
      <c r="S1419" s="754"/>
      <c r="T1419" s="754"/>
      <c r="U1419" s="754"/>
      <c r="V1419" s="754"/>
      <c r="W1419" s="754"/>
      <c r="X1419" s="754"/>
      <c r="Y1419" s="754"/>
      <c r="Z1419" s="754"/>
      <c r="AA1419" s="754"/>
      <c r="AB1419" s="754"/>
      <c r="AC1419" s="754"/>
      <c r="AD1419" s="755"/>
    </row>
    <row r="1420" spans="1:34" customFormat="1" ht="24" customHeight="1">
      <c r="A1420" s="119"/>
      <c r="B1420" s="130"/>
      <c r="C1420" s="754" t="s">
        <v>3851</v>
      </c>
      <c r="D1420" s="754"/>
      <c r="E1420" s="754"/>
      <c r="F1420" s="754"/>
      <c r="G1420" s="754"/>
      <c r="H1420" s="754"/>
      <c r="I1420" s="754"/>
      <c r="J1420" s="754"/>
      <c r="K1420" s="754"/>
      <c r="L1420" s="754"/>
      <c r="M1420" s="754"/>
      <c r="N1420" s="754"/>
      <c r="O1420" s="754"/>
      <c r="P1420" s="754"/>
      <c r="Q1420" s="754"/>
      <c r="R1420" s="754"/>
      <c r="S1420" s="754"/>
      <c r="T1420" s="754"/>
      <c r="U1420" s="754"/>
      <c r="V1420" s="754"/>
      <c r="W1420" s="754"/>
      <c r="X1420" s="754"/>
      <c r="Y1420" s="754"/>
      <c r="Z1420" s="754"/>
      <c r="AA1420" s="754"/>
      <c r="AB1420" s="754"/>
      <c r="AC1420" s="754"/>
      <c r="AD1420" s="755"/>
      <c r="AG1420" s="467" t="s">
        <v>3586</v>
      </c>
      <c r="AH1420">
        <f>COUNTIF(G1435:I1442,2)</f>
        <v>0</v>
      </c>
    </row>
    <row r="1421" spans="1:34" customFormat="1" ht="24" customHeight="1">
      <c r="A1421" s="119"/>
      <c r="B1421" s="122"/>
      <c r="C1421" s="764" t="s">
        <v>3852</v>
      </c>
      <c r="D1421" s="764"/>
      <c r="E1421" s="764"/>
      <c r="F1421" s="764"/>
      <c r="G1421" s="764"/>
      <c r="H1421" s="764"/>
      <c r="I1421" s="764"/>
      <c r="J1421" s="764"/>
      <c r="K1421" s="764"/>
      <c r="L1421" s="764"/>
      <c r="M1421" s="764"/>
      <c r="N1421" s="764"/>
      <c r="O1421" s="764"/>
      <c r="P1421" s="764"/>
      <c r="Q1421" s="764"/>
      <c r="R1421" s="764"/>
      <c r="S1421" s="764"/>
      <c r="T1421" s="764"/>
      <c r="U1421" s="764"/>
      <c r="V1421" s="764"/>
      <c r="W1421" s="764"/>
      <c r="X1421" s="764"/>
      <c r="Y1421" s="764"/>
      <c r="Z1421" s="764"/>
      <c r="AA1421" s="764"/>
      <c r="AB1421" s="764"/>
      <c r="AC1421" s="764"/>
      <c r="AD1421" s="765"/>
      <c r="AG1421" s="427" t="s">
        <v>3799</v>
      </c>
      <c r="AH1421">
        <f>COUNTIF(G1435:I1442,9)</f>
        <v>0</v>
      </c>
    </row>
    <row r="1422" spans="1:34" ht="15">
      <c r="A1422" s="94"/>
      <c r="B1422" s="1006" t="s">
        <v>3332</v>
      </c>
      <c r="C1422" s="893"/>
      <c r="D1422" s="893"/>
      <c r="E1422" s="893"/>
      <c r="F1422" s="893"/>
      <c r="G1422" s="893"/>
      <c r="H1422" s="893"/>
      <c r="I1422" s="893"/>
      <c r="J1422" s="893"/>
      <c r="K1422" s="893"/>
      <c r="L1422" s="893"/>
      <c r="M1422" s="893"/>
      <c r="N1422" s="893"/>
      <c r="O1422" s="893"/>
      <c r="P1422" s="893"/>
      <c r="Q1422" s="893"/>
      <c r="R1422" s="893"/>
      <c r="S1422" s="893"/>
      <c r="T1422" s="893"/>
      <c r="U1422" s="893"/>
      <c r="V1422" s="893"/>
      <c r="W1422" s="893"/>
      <c r="X1422" s="893"/>
      <c r="Y1422" s="893"/>
      <c r="Z1422" s="893"/>
      <c r="AA1422" s="893"/>
      <c r="AB1422" s="893"/>
      <c r="AC1422" s="893"/>
      <c r="AD1422" s="1007"/>
      <c r="AG1422" s="468" t="s">
        <v>3800</v>
      </c>
      <c r="AH1422">
        <f>COUNTA(G1435:I1442)</f>
        <v>0</v>
      </c>
    </row>
    <row r="1423" spans="1:34" ht="24" customHeight="1">
      <c r="A1423" s="94"/>
      <c r="B1423" s="74"/>
      <c r="C1423" s="754" t="s">
        <v>3853</v>
      </c>
      <c r="D1423" s="754"/>
      <c r="E1423" s="754"/>
      <c r="F1423" s="754"/>
      <c r="G1423" s="754"/>
      <c r="H1423" s="754"/>
      <c r="I1423" s="754"/>
      <c r="J1423" s="754"/>
      <c r="K1423" s="754"/>
      <c r="L1423" s="754"/>
      <c r="M1423" s="754"/>
      <c r="N1423" s="754"/>
      <c r="O1423" s="754"/>
      <c r="P1423" s="754"/>
      <c r="Q1423" s="754"/>
      <c r="R1423" s="754"/>
      <c r="S1423" s="754"/>
      <c r="T1423" s="754"/>
      <c r="U1423" s="754"/>
      <c r="V1423" s="754"/>
      <c r="W1423" s="754"/>
      <c r="X1423" s="754"/>
      <c r="Y1423" s="754"/>
      <c r="Z1423" s="754"/>
      <c r="AA1423" s="754"/>
      <c r="AB1423" s="754"/>
      <c r="AC1423" s="754"/>
      <c r="AD1423" s="755"/>
      <c r="AG1423" s="419" t="s">
        <v>2620</v>
      </c>
      <c r="AH1423">
        <f>IF(SUM(AH1420:AH1421)=AH1422,1,0)</f>
        <v>1</v>
      </c>
    </row>
    <row r="1424" spans="1:34" ht="84" customHeight="1">
      <c r="A1424" s="94"/>
      <c r="B1424" s="80"/>
      <c r="C1424" s="764" t="s">
        <v>3854</v>
      </c>
      <c r="D1424" s="764"/>
      <c r="E1424" s="764"/>
      <c r="F1424" s="764"/>
      <c r="G1424" s="764"/>
      <c r="H1424" s="764"/>
      <c r="I1424" s="764"/>
      <c r="J1424" s="764"/>
      <c r="K1424" s="764"/>
      <c r="L1424" s="764"/>
      <c r="M1424" s="764"/>
      <c r="N1424" s="764"/>
      <c r="O1424" s="764"/>
      <c r="P1424" s="764"/>
      <c r="Q1424" s="764"/>
      <c r="R1424" s="764"/>
      <c r="S1424" s="764"/>
      <c r="T1424" s="764"/>
      <c r="U1424" s="764"/>
      <c r="V1424" s="764"/>
      <c r="W1424" s="764"/>
      <c r="X1424" s="764"/>
      <c r="Y1424" s="764"/>
      <c r="Z1424" s="764"/>
      <c r="AA1424" s="764"/>
      <c r="AB1424" s="764"/>
      <c r="AC1424" s="764"/>
      <c r="AD1424" s="765"/>
    </row>
    <row r="1425" spans="1:104" ht="15">
      <c r="A1425" s="94"/>
    </row>
    <row r="1426" spans="1:104" ht="36" customHeight="1">
      <c r="A1426" s="49" t="s">
        <v>3855</v>
      </c>
      <c r="B1426" s="829" t="s">
        <v>3856</v>
      </c>
      <c r="C1426" s="829"/>
      <c r="D1426" s="829"/>
      <c r="E1426" s="829"/>
      <c r="F1426" s="829"/>
      <c r="G1426" s="829"/>
      <c r="H1426" s="829"/>
      <c r="I1426" s="829"/>
      <c r="J1426" s="829"/>
      <c r="K1426" s="829"/>
      <c r="L1426" s="829"/>
      <c r="M1426" s="829"/>
      <c r="N1426" s="829"/>
      <c r="O1426" s="829"/>
      <c r="P1426" s="829"/>
      <c r="Q1426" s="829"/>
      <c r="R1426" s="829"/>
      <c r="S1426" s="829"/>
      <c r="T1426" s="829"/>
      <c r="U1426" s="829"/>
      <c r="V1426" s="829"/>
      <c r="W1426" s="829"/>
      <c r="X1426" s="829"/>
      <c r="Y1426" s="829"/>
      <c r="Z1426" s="829"/>
      <c r="AA1426" s="829"/>
      <c r="AB1426" s="829"/>
      <c r="AC1426" s="829"/>
      <c r="AD1426" s="829"/>
    </row>
    <row r="1427" spans="1:104" ht="24" customHeight="1">
      <c r="A1427" s="112"/>
      <c r="B1427" s="113"/>
      <c r="C1427" s="830" t="s">
        <v>3857</v>
      </c>
      <c r="D1427" s="830"/>
      <c r="E1427" s="830"/>
      <c r="F1427" s="830"/>
      <c r="G1427" s="830"/>
      <c r="H1427" s="830"/>
      <c r="I1427" s="830"/>
      <c r="J1427" s="830"/>
      <c r="K1427" s="830"/>
      <c r="L1427" s="830"/>
      <c r="M1427" s="830"/>
      <c r="N1427" s="830"/>
      <c r="O1427" s="830"/>
      <c r="P1427" s="830"/>
      <c r="Q1427" s="830"/>
      <c r="R1427" s="830"/>
      <c r="S1427" s="830"/>
      <c r="T1427" s="830"/>
      <c r="U1427" s="830"/>
      <c r="V1427" s="830"/>
      <c r="W1427" s="830"/>
      <c r="X1427" s="830"/>
      <c r="Y1427" s="830"/>
      <c r="Z1427" s="830"/>
      <c r="AA1427" s="830"/>
      <c r="AB1427" s="830"/>
      <c r="AC1427" s="830"/>
      <c r="AD1427" s="830"/>
    </row>
    <row r="1428" spans="1:104" ht="15">
      <c r="A1428" s="112"/>
      <c r="B1428" s="113"/>
    </row>
    <row r="1429" spans="1:104" ht="15">
      <c r="A1429" s="115"/>
      <c r="AA1429" s="875" t="s">
        <v>3205</v>
      </c>
      <c r="AB1429" s="875"/>
      <c r="AC1429" s="875"/>
      <c r="AD1429" s="875"/>
    </row>
    <row r="1430" spans="1:104" ht="24" customHeight="1">
      <c r="A1430" s="142"/>
      <c r="B1430" s="113"/>
      <c r="C1430" s="732" t="s">
        <v>2581</v>
      </c>
      <c r="D1430" s="732"/>
      <c r="E1430" s="732"/>
      <c r="F1430" s="732"/>
      <c r="G1430" s="732" t="s">
        <v>3858</v>
      </c>
      <c r="H1430" s="732"/>
      <c r="I1430" s="732"/>
      <c r="J1430" s="739" t="s">
        <v>3859</v>
      </c>
      <c r="K1430" s="740"/>
      <c r="L1430" s="740"/>
      <c r="M1430" s="740"/>
      <c r="N1430" s="740"/>
      <c r="O1430" s="740"/>
      <c r="P1430" s="740"/>
      <c r="Q1430" s="740"/>
      <c r="R1430" s="740"/>
      <c r="S1430" s="740"/>
      <c r="T1430" s="740"/>
      <c r="U1430" s="740"/>
      <c r="V1430" s="740"/>
      <c r="W1430" s="740"/>
      <c r="X1430" s="740"/>
      <c r="Y1430" s="740"/>
      <c r="Z1430" s="740"/>
      <c r="AA1430" s="740"/>
      <c r="AB1430" s="740"/>
      <c r="AC1430" s="740"/>
      <c r="AD1430" s="741"/>
    </row>
    <row r="1431" spans="1:104" ht="15" customHeight="1">
      <c r="A1431" s="142"/>
      <c r="B1431" s="113"/>
      <c r="C1431" s="732"/>
      <c r="D1431" s="732"/>
      <c r="E1431" s="732"/>
      <c r="F1431" s="732"/>
      <c r="G1431" s="732"/>
      <c r="H1431" s="732"/>
      <c r="I1431" s="732"/>
      <c r="J1431" s="887" t="s">
        <v>2628</v>
      </c>
      <c r="K1431" s="889" t="s">
        <v>2629</v>
      </c>
      <c r="L1431" s="889" t="s">
        <v>2630</v>
      </c>
      <c r="M1431" s="841" t="s">
        <v>3267</v>
      </c>
      <c r="N1431" s="950"/>
      <c r="O1431" s="842"/>
      <c r="P1431" s="733" t="s">
        <v>3268</v>
      </c>
      <c r="Q1431" s="734"/>
      <c r="R1431" s="734"/>
      <c r="S1431" s="734"/>
      <c r="T1431" s="734"/>
      <c r="U1431" s="734"/>
      <c r="V1431" s="734"/>
      <c r="W1431" s="734"/>
      <c r="X1431" s="734"/>
      <c r="Y1431" s="734"/>
      <c r="Z1431" s="734"/>
      <c r="AA1431" s="734"/>
      <c r="AB1431" s="734"/>
      <c r="AC1431" s="734"/>
      <c r="AD1431" s="735"/>
    </row>
    <row r="1432" spans="1:104" ht="15" customHeight="1">
      <c r="A1432" s="142"/>
      <c r="B1432" s="113"/>
      <c r="C1432" s="732"/>
      <c r="D1432" s="732"/>
      <c r="E1432" s="732"/>
      <c r="F1432" s="732"/>
      <c r="G1432" s="732"/>
      <c r="H1432" s="732"/>
      <c r="I1432" s="732"/>
      <c r="J1432" s="958"/>
      <c r="K1432" s="959"/>
      <c r="L1432" s="959"/>
      <c r="M1432" s="843"/>
      <c r="N1432" s="951"/>
      <c r="O1432" s="844"/>
      <c r="P1432" s="733" t="s">
        <v>3269</v>
      </c>
      <c r="Q1432" s="734"/>
      <c r="R1432" s="734"/>
      <c r="S1432" s="734"/>
      <c r="T1432" s="734"/>
      <c r="U1432" s="734"/>
      <c r="V1432" s="734"/>
      <c r="W1432" s="734"/>
      <c r="X1432" s="734"/>
      <c r="Y1432" s="734"/>
      <c r="Z1432" s="734"/>
      <c r="AA1432" s="734"/>
      <c r="AB1432" s="734"/>
      <c r="AC1432" s="734"/>
      <c r="AD1432" s="735"/>
    </row>
    <row r="1433" spans="1:104" ht="84" customHeight="1">
      <c r="A1433" s="142"/>
      <c r="C1433" s="732"/>
      <c r="D1433" s="732"/>
      <c r="E1433" s="732"/>
      <c r="F1433" s="732"/>
      <c r="G1433" s="732"/>
      <c r="H1433" s="732"/>
      <c r="I1433" s="732"/>
      <c r="J1433" s="958"/>
      <c r="K1433" s="959"/>
      <c r="L1433" s="959"/>
      <c r="M1433" s="845"/>
      <c r="N1433" s="952"/>
      <c r="O1433" s="846"/>
      <c r="P1433" s="859" t="s">
        <v>3270</v>
      </c>
      <c r="Q1433" s="859"/>
      <c r="R1433" s="860"/>
      <c r="S1433" s="858" t="s">
        <v>3271</v>
      </c>
      <c r="T1433" s="859"/>
      <c r="U1433" s="860"/>
      <c r="V1433" s="858" t="s">
        <v>3272</v>
      </c>
      <c r="W1433" s="859"/>
      <c r="X1433" s="860"/>
      <c r="Y1433" s="858" t="s">
        <v>3273</v>
      </c>
      <c r="Z1433" s="859"/>
      <c r="AA1433" s="860"/>
      <c r="AB1433" s="858" t="s">
        <v>3274</v>
      </c>
      <c r="AC1433" s="859"/>
      <c r="AD1433" s="860"/>
      <c r="AG1433"/>
      <c r="AH1433"/>
      <c r="AI1433"/>
      <c r="AJ1433"/>
      <c r="AK1433"/>
      <c r="AL1433"/>
      <c r="AM1433"/>
      <c r="AN1433"/>
      <c r="AO1433"/>
      <c r="AP1433"/>
      <c r="AQ1433"/>
      <c r="AR1433"/>
      <c r="AS1433"/>
      <c r="AT1433"/>
      <c r="AU1433"/>
      <c r="AV1433"/>
      <c r="AW1433"/>
      <c r="AX1433"/>
      <c r="AY1433"/>
      <c r="AZ1433"/>
      <c r="BA1433"/>
      <c r="BB1433"/>
      <c r="BC1433"/>
      <c r="BD1433"/>
      <c r="BE1433"/>
      <c r="BF1433"/>
      <c r="BG1433"/>
      <c r="BH1433"/>
      <c r="BI1433"/>
      <c r="BJ1433"/>
      <c r="BK1433"/>
      <c r="BL1433"/>
      <c r="BM1433"/>
      <c r="BN1433"/>
      <c r="BO1433"/>
      <c r="BP1433"/>
      <c r="BQ1433"/>
      <c r="BR1433"/>
      <c r="BS1433"/>
      <c r="BT1433"/>
      <c r="BU1433"/>
      <c r="BV1433"/>
      <c r="BW1433"/>
      <c r="BX1433"/>
      <c r="BY1433"/>
      <c r="BZ1433"/>
      <c r="CA1433"/>
      <c r="CB1433"/>
      <c r="CC1433"/>
      <c r="CD1433"/>
      <c r="CE1433"/>
      <c r="CF1433"/>
      <c r="CG1433"/>
      <c r="CH1433"/>
      <c r="CI1433"/>
      <c r="CJ1433"/>
      <c r="CK1433"/>
      <c r="CL1433"/>
      <c r="CM1433"/>
      <c r="CN1433"/>
      <c r="CO1433"/>
      <c r="CP1433"/>
      <c r="CQ1433"/>
      <c r="CR1433"/>
      <c r="CS1433"/>
      <c r="CT1433"/>
      <c r="CU1433"/>
      <c r="CV1433"/>
      <c r="CW1433"/>
      <c r="CX1433"/>
      <c r="CY1433" s="921" t="s">
        <v>3478</v>
      </c>
    </row>
    <row r="1434" spans="1:104" ht="48" customHeight="1">
      <c r="A1434" s="142"/>
      <c r="C1434" s="732"/>
      <c r="D1434" s="732"/>
      <c r="E1434" s="732"/>
      <c r="F1434" s="732"/>
      <c r="G1434" s="732"/>
      <c r="H1434" s="732"/>
      <c r="I1434" s="732"/>
      <c r="J1434" s="888"/>
      <c r="K1434" s="890"/>
      <c r="L1434" s="890"/>
      <c r="M1434" s="127" t="s">
        <v>2635</v>
      </c>
      <c r="N1434" s="128" t="s">
        <v>2629</v>
      </c>
      <c r="O1434" s="128" t="s">
        <v>2630</v>
      </c>
      <c r="P1434" s="127" t="s">
        <v>2635</v>
      </c>
      <c r="Q1434" s="128" t="s">
        <v>2629</v>
      </c>
      <c r="R1434" s="128" t="s">
        <v>2630</v>
      </c>
      <c r="S1434" s="127" t="s">
        <v>2635</v>
      </c>
      <c r="T1434" s="128" t="s">
        <v>2629</v>
      </c>
      <c r="U1434" s="128" t="s">
        <v>2630</v>
      </c>
      <c r="V1434" s="127" t="s">
        <v>2635</v>
      </c>
      <c r="W1434" s="128" t="s">
        <v>2629</v>
      </c>
      <c r="X1434" s="128" t="s">
        <v>2630</v>
      </c>
      <c r="Y1434" s="127" t="s">
        <v>2635</v>
      </c>
      <c r="Z1434" s="128" t="s">
        <v>2629</v>
      </c>
      <c r="AA1434" s="128" t="s">
        <v>2630</v>
      </c>
      <c r="AB1434" s="127" t="s">
        <v>2635</v>
      </c>
      <c r="AC1434" s="128" t="s">
        <v>2629</v>
      </c>
      <c r="AD1434" s="128" t="s">
        <v>2630</v>
      </c>
      <c r="AG1434" s="354" t="s">
        <v>2586</v>
      </c>
      <c r="AH1434" s="282" t="s">
        <v>2637</v>
      </c>
      <c r="AI1434" s="280" t="s">
        <v>2638</v>
      </c>
      <c r="AJ1434" s="281" t="s">
        <v>2639</v>
      </c>
      <c r="AK1434" s="282" t="s">
        <v>2640</v>
      </c>
      <c r="AL1434" s="280" t="s">
        <v>2641</v>
      </c>
      <c r="AM1434" s="281" t="s">
        <v>2642</v>
      </c>
      <c r="AN1434" s="282" t="s">
        <v>2643</v>
      </c>
      <c r="AO1434" s="280" t="s">
        <v>2644</v>
      </c>
      <c r="AP1434" s="281" t="s">
        <v>2645</v>
      </c>
      <c r="AQ1434" s="282" t="s">
        <v>2646</v>
      </c>
      <c r="AR1434" s="280" t="s">
        <v>2647</v>
      </c>
      <c r="AS1434" s="281" t="s">
        <v>2648</v>
      </c>
      <c r="AT1434" s="282" t="s">
        <v>2756</v>
      </c>
      <c r="AU1434" s="280" t="s">
        <v>2757</v>
      </c>
      <c r="AV1434" s="281" t="s">
        <v>2758</v>
      </c>
      <c r="AW1434" s="282" t="s">
        <v>2759</v>
      </c>
      <c r="AX1434" s="280" t="s">
        <v>2760</v>
      </c>
      <c r="AY1434" s="281" t="s">
        <v>2761</v>
      </c>
      <c r="AZ1434" s="282" t="s">
        <v>2762</v>
      </c>
      <c r="BA1434" s="280" t="s">
        <v>2763</v>
      </c>
      <c r="BB1434" s="281" t="s">
        <v>2764</v>
      </c>
      <c r="BC1434" s="282" t="s">
        <v>2765</v>
      </c>
      <c r="BD1434" s="280" t="s">
        <v>2766</v>
      </c>
      <c r="BE1434" s="281" t="s">
        <v>2767</v>
      </c>
      <c r="BF1434" s="282" t="s">
        <v>2768</v>
      </c>
      <c r="BG1434" s="280" t="s">
        <v>2769</v>
      </c>
      <c r="BH1434" s="281" t="s">
        <v>2770</v>
      </c>
      <c r="BI1434" s="282" t="s">
        <v>2771</v>
      </c>
      <c r="BJ1434" s="280" t="s">
        <v>2772</v>
      </c>
      <c r="BK1434" s="281" t="s">
        <v>2773</v>
      </c>
      <c r="BL1434" s="282" t="s">
        <v>2774</v>
      </c>
      <c r="BM1434" s="280" t="s">
        <v>2775</v>
      </c>
      <c r="BN1434" s="281" t="s">
        <v>2776</v>
      </c>
      <c r="BO1434" s="282" t="s">
        <v>3212</v>
      </c>
      <c r="BP1434" s="280" t="s">
        <v>3213</v>
      </c>
      <c r="BQ1434" s="281" t="s">
        <v>3214</v>
      </c>
      <c r="BR1434" s="282" t="s">
        <v>3215</v>
      </c>
      <c r="BS1434" s="280" t="s">
        <v>3216</v>
      </c>
      <c r="BT1434" s="281" t="s">
        <v>3217</v>
      </c>
      <c r="BU1434" s="282" t="s">
        <v>3218</v>
      </c>
      <c r="BV1434" s="280" t="s">
        <v>3219</v>
      </c>
      <c r="BW1434" s="281" t="s">
        <v>3220</v>
      </c>
      <c r="BX1434" s="282" t="s">
        <v>3221</v>
      </c>
      <c r="BY1434" s="280" t="s">
        <v>3222</v>
      </c>
      <c r="BZ1434" s="281" t="s">
        <v>3223</v>
      </c>
      <c r="CA1434" s="282" t="s">
        <v>3224</v>
      </c>
      <c r="CB1434" s="280" t="s">
        <v>3225</v>
      </c>
      <c r="CC1434" s="281" t="s">
        <v>3226</v>
      </c>
      <c r="CD1434" s="282" t="s">
        <v>3227</v>
      </c>
      <c r="CE1434" s="280" t="s">
        <v>3228</v>
      </c>
      <c r="CF1434" s="281" t="s">
        <v>3229</v>
      </c>
      <c r="CG1434" s="282" t="s">
        <v>3230</v>
      </c>
      <c r="CH1434" s="280" t="s">
        <v>3231</v>
      </c>
      <c r="CI1434" s="281" t="s">
        <v>3232</v>
      </c>
      <c r="CJ1434" s="282" t="s">
        <v>3275</v>
      </c>
      <c r="CK1434" s="280" t="s">
        <v>3276</v>
      </c>
      <c r="CL1434" s="281" t="s">
        <v>3277</v>
      </c>
      <c r="CM1434" s="282" t="s">
        <v>3278</v>
      </c>
      <c r="CN1434" s="280" t="s">
        <v>3279</v>
      </c>
      <c r="CO1434" s="281" t="s">
        <v>3280</v>
      </c>
      <c r="CP1434" s="282" t="s">
        <v>3281</v>
      </c>
      <c r="CQ1434" s="280" t="s">
        <v>3282</v>
      </c>
      <c r="CR1434" s="281" t="s">
        <v>3283</v>
      </c>
      <c r="CS1434" s="282" t="s">
        <v>3284</v>
      </c>
      <c r="CT1434" s="280" t="s">
        <v>3285</v>
      </c>
      <c r="CU1434" s="281" t="s">
        <v>3286</v>
      </c>
      <c r="CV1434" s="282" t="s">
        <v>3287</v>
      </c>
      <c r="CW1434" s="280" t="s">
        <v>3288</v>
      </c>
      <c r="CX1434" s="281" t="s">
        <v>3289</v>
      </c>
      <c r="CY1434" s="921"/>
      <c r="CZ1434" s="365" t="s">
        <v>2620</v>
      </c>
    </row>
    <row r="1435" spans="1:104" ht="15" customHeight="1">
      <c r="A1435" s="50"/>
      <c r="B1435" s="90"/>
      <c r="C1435" s="97" t="s">
        <v>2516</v>
      </c>
      <c r="D1435" s="813" t="str">
        <f>IF(CNSIPEE_2024_M2_Secc1!D42="","",CNSIPEE_2024_M2_Secc1!D42)</f>
        <v/>
      </c>
      <c r="E1435" s="814"/>
      <c r="F1435" s="815"/>
      <c r="G1435" s="816"/>
      <c r="H1435" s="738"/>
      <c r="I1435" s="817"/>
      <c r="J1435" s="116"/>
      <c r="K1435" s="100"/>
      <c r="L1435" s="100"/>
      <c r="M1435" s="100"/>
      <c r="N1435" s="100"/>
      <c r="O1435" s="100"/>
      <c r="P1435" s="100"/>
      <c r="Q1435" s="100"/>
      <c r="R1435" s="100"/>
      <c r="S1435" s="100"/>
      <c r="T1435" s="100"/>
      <c r="U1435" s="100"/>
      <c r="V1435" s="100"/>
      <c r="W1435" s="100"/>
      <c r="X1435" s="100"/>
      <c r="Y1435" s="100"/>
      <c r="Z1435" s="100"/>
      <c r="AA1435" s="100"/>
      <c r="AB1435" s="100"/>
      <c r="AC1435" s="100"/>
      <c r="AD1435" s="100"/>
      <c r="AG1435" s="326">
        <f>IF(AND(COUNTBLANK(D1435)=0,$G1435&lt;&gt;"",$G1435&lt;&gt;1,COUNTA(J1435:AD1435,G1451:AD1451,G1467:AD1467)=0),0,IF(AND(COUNTBLANK(D1435)=0,$G1435&lt;&gt;"",$G1435=1,COUNTA(J1435:AD1435,G1451:AD1451,G1467:AD1467)=69),0,IF(AND(COUNTBLANK(D1435)=1,COUNTA(J1435:AD1435,G1451:AD1451,G1467:AD1467)=0),0,1)))</f>
        <v>0</v>
      </c>
      <c r="AH1435" s="283">
        <f>COUNTIF(K1435:L1435,"NS")</f>
        <v>0</v>
      </c>
      <c r="AI1435" s="283">
        <f>SUM(K1435:L1435)</f>
        <v>0</v>
      </c>
      <c r="AJ1435" s="283">
        <f>IF(COUNTIF(J1435:L1435,"NA")=3,0,IF(COUNTA(J1435:L1435)=0,0,IF(OR(AND(J1435=0,AH1435&gt;0),AND(J1435="ns",AI1435&gt;0),AND(J1435="ns",AH1435=0,AI1435=0)),1,IF(OR(AND(J1435&gt;0,AH1435=2),AND(J1435="ns",AH1435=2),AND(J1435="ns",AI1435=0,AH1435&gt;0),J1435=AI1435),0,1))))</f>
        <v>0</v>
      </c>
      <c r="AK1435" s="283">
        <f>COUNTIF(N1435:O1435,"NS")</f>
        <v>0</v>
      </c>
      <c r="AL1435" s="283">
        <f>SUM(N1435:O1435)</f>
        <v>0</v>
      </c>
      <c r="AM1435" s="283">
        <f>IF(COUNTIF(M1435:O1435,"NA")=3,0,IF(COUNTA(M1435:O1435)=0,0,IF(OR(AND(M1435=0,AK1435&gt;0),AND(M1435="ns",AL1435&gt;0),AND(M1435="ns",AK1435=0,AL1435=0)),1,IF(OR(AND(M1435&gt;0,AK1435=2),AND(M1435="ns",AK1435=2),AND(M1435="ns",AL1435=0,AK1435&gt;0),M1435=AL1435),0,1))))</f>
        <v>0</v>
      </c>
      <c r="AN1435" s="283">
        <f>COUNTIF(Q1435:R1435,"NS")</f>
        <v>0</v>
      </c>
      <c r="AO1435" s="283">
        <f>SUM(Q1435:R1435)</f>
        <v>0</v>
      </c>
      <c r="AP1435" s="283">
        <f>IF(COUNTIF(P1435:R1435,"NA")=3,0,IF(COUNTA(P1435:R1435)=0,0,IF(OR(AND(P1435=0,AN1435&gt;0),AND(P1435="ns",AO1435&gt;0),AND(P1435="ns",AN1435=0,AO1435=0)),1,IF(OR(AND(P1435&gt;0,AN1435=2),AND(P1435="ns",AN1435=2),AND(P1435="ns",AO1435=0,AN1435&gt;0),P1435=AO1435),0,1))))</f>
        <v>0</v>
      </c>
      <c r="AQ1435" s="283">
        <f>COUNTIF(T1435:U1435,"NS")</f>
        <v>0</v>
      </c>
      <c r="AR1435" s="283">
        <f>SUM(T1435:U1435)</f>
        <v>0</v>
      </c>
      <c r="AS1435" s="283">
        <f>IF(COUNTIF(S1435:U1435,"NA")=3,0,IF(COUNTA(S1435:U1435)=0,0,IF(OR(AND(S1435=0,AQ1435&gt;0),AND(S1435="ns",AR1435&gt;0),AND(S1435="ns",AQ1435=0,AR1435=0)),1,IF(OR(AND(S1435&gt;0,AQ1435=2),AND(S1435="ns",AQ1435=2),AND(S1435="ns",AR1435=0,AQ1435&gt;0),S1435=AR1435),0,1))))</f>
        <v>0</v>
      </c>
      <c r="AT1435" s="283">
        <f>COUNTIF(W1435:X1435,"NS")</f>
        <v>0</v>
      </c>
      <c r="AU1435" s="283">
        <f>SUM(W1435:X1435)</f>
        <v>0</v>
      </c>
      <c r="AV1435" s="283">
        <f>IF(COUNTIF(V1435:X1435,"NA")=3,0,IF(COUNTA(V1435:X1435)=0,0,IF(OR(AND(V1435=0,AT1435&gt;0),AND(V1435="ns",AU1435&gt;0),AND(V1435="ns",AT1435=0,AU1435=0)),1,IF(OR(AND(V1435&gt;0,AT1435=2),AND(V1435="ns",AT1435=2),AND(V1435="ns",AU1435=0,AT1435&gt;0),V1435=AU1435),0,1))))</f>
        <v>0</v>
      </c>
      <c r="AW1435" s="283">
        <f>COUNTIF(Z1435:AA1435,"NS")</f>
        <v>0</v>
      </c>
      <c r="AX1435" s="283">
        <f>SUM(Z1435:AA1435)</f>
        <v>0</v>
      </c>
      <c r="AY1435" s="283">
        <f>IF(COUNTIF(Y1435:AA1435,"NA")=3,0,IF(COUNTA(Y1435:AA1435)=0,0,IF(OR(AND(Y1435=0,AW1435&gt;0),AND(Y1435="ns",AX1435&gt;0),AND(Y1435="ns",AW1435=0,AX1435=0)),1,IF(OR(AND(Y1435&gt;0,AW1435=2),AND(Y1435="ns",AW1435=2),AND(Y1435="ns",AX1435=0,AW1435&gt;0),Y1435=AX1435),0,1))))</f>
        <v>0</v>
      </c>
      <c r="AZ1435" s="283">
        <f>COUNTIF(AC1435:AD1435,"NS")</f>
        <v>0</v>
      </c>
      <c r="BA1435" s="283">
        <f>SUM(AC1435:AD1435)</f>
        <v>0</v>
      </c>
      <c r="BB1435" s="283">
        <f>IF(COUNTIF(AB1435:AD1435,"NA")=3,0,IF(COUNTA(AB1435:AD1435)=0,0,IF(OR(AND(AB1435=0,AZ1435&gt;0),AND(AB1435="ns",BA1435&gt;0),AND(AB1435="ns",AZ1435=0,BA1435=0)),1,IF(OR(AND(AB1435&gt;0,AZ1435=2),AND(AB1435="ns",AZ1435=2),AND(AB1435="ns",BA1435=0,AZ1435&gt;0),AB1435=BA1435),0,1))))</f>
        <v>0</v>
      </c>
      <c r="BC1435" s="283">
        <f>COUNTIF(H1451:I1451,"NS")</f>
        <v>0</v>
      </c>
      <c r="BD1435" s="283">
        <f>SUM(H1451:I1451)</f>
        <v>0</v>
      </c>
      <c r="BE1435" s="283">
        <f>IF(COUNTIF(G1451:I1451,"NA")=3,0,IF(COUNTA(G1451:I1451)=0,0,IF(OR(AND(G1451=0,BC1435&gt;0),AND(G1451="ns",BD1435&gt;0),AND(G1451="ns",BC1435=0,BD1435=0)),1,IF(OR(AND(G1451&gt;0,BC1435=2),AND(G1451="ns",BC1435=2),AND(G1451="ns",BD1435=0,BC1435&gt;0),G1451=BD1435),0,1))))</f>
        <v>0</v>
      </c>
      <c r="BF1435" s="283">
        <f>COUNTIF(K1451:L1451,"NS")</f>
        <v>0</v>
      </c>
      <c r="BG1435" s="283">
        <f>SUM(K1451:L1451)</f>
        <v>0</v>
      </c>
      <c r="BH1435" s="283">
        <f>IF(COUNTIF(J1451:L1451,"NA")=3,0,IF(COUNTA(J1451:L1451)=0,0,IF(OR(AND(J1451=0,BF1435&gt;0),AND(J1451="ns",BG1435&gt;0),AND(J1451="ns",BF1435=0,BG1435=0)),1,IF(OR(AND(J1451&gt;0,BF1435=2),AND(J1451="ns",BF1435=2),AND(J1451="ns",BG1435=0,BF1435&gt;0),J1451=BG1435),0,1))))</f>
        <v>0</v>
      </c>
      <c r="BI1435" s="283">
        <f>COUNTIF(N1451:O1451,"NS")</f>
        <v>0</v>
      </c>
      <c r="BJ1435" s="283">
        <f>SUM(N1451:O1451)</f>
        <v>0</v>
      </c>
      <c r="BK1435" s="283">
        <f>IF(COUNTIF(M1451:O1451,"NA")=3,0,IF(COUNTA(M1451:O1451)=0,0,IF(OR(AND(M1451=0,BI1435&gt;0),AND(M1451="ns",BJ1435&gt;0),AND(M1451="ns",BI1435=0,BJ1435=0)),1,IF(OR(AND(M1451&gt;0,BI1435=2),AND(M1451="ns",BI1435=2),AND(M1451="ns",BJ1435=0,BI1435&gt;0),M1451=BJ1435),0,1))))</f>
        <v>0</v>
      </c>
      <c r="BL1435" s="283">
        <f>COUNTIF(Q1451:R1451,"NS")</f>
        <v>0</v>
      </c>
      <c r="BM1435" s="283">
        <f>SUM(Q1451:R1451)</f>
        <v>0</v>
      </c>
      <c r="BN1435" s="283">
        <f>IF(COUNTIF(P1451:R1451,"NA")=3,0,IF(COUNTA(P1451:R1451)=0,0,IF(OR(AND(P1451=0,BL1435&gt;0),AND(P1451="ns",BM1435&gt;0),AND(P1451="ns",BL1435=0,BM1435=0)),1,IF(OR(AND(P1451&gt;0,BL1435=2),AND(P1451="ns",BL1435=2),AND(P1451="ns",BM1435=0,BL1435&gt;0),P1451=BM1435),0,1))))</f>
        <v>0</v>
      </c>
      <c r="BO1435" s="283">
        <f>COUNTIF(T1451:U1451,"NS")</f>
        <v>0</v>
      </c>
      <c r="BP1435" s="283">
        <f>SUM(T1451:U1451)</f>
        <v>0</v>
      </c>
      <c r="BQ1435" s="283">
        <f>IF(COUNTIF(S1451:U1451,"NA")=3,0,IF(COUNTA(S1451:U1451)=0,0,IF(OR(AND(S1451=0,BO1435&gt;0),AND(S1451="ns",BP1435&gt;0),AND(S1451="ns",BO1435=0,BP1435=0)),1,IF(OR(AND(S1451&gt;0,BO1435=2),AND(S1451="ns",BO1435=2),AND(S1451="ns",BP1435=0,BO1435&gt;0),S1451=BP1435),0,1))))</f>
        <v>0</v>
      </c>
      <c r="BR1435" s="283">
        <f>COUNTIF(W1451:X1451,"NS")</f>
        <v>0</v>
      </c>
      <c r="BS1435" s="283">
        <f>SUM(W1451:X1451)</f>
        <v>0</v>
      </c>
      <c r="BT1435" s="283">
        <f>IF(COUNTIF(V1451:X1451,"NA")=3,0,IF(COUNTA(V1451:X1451)=0,0,IF(OR(AND(V1451=0,BR1435&gt;0),AND(V1451="ns",BS1435&gt;0),AND(V1451="ns",BR1435=0,BS1435=0)),1,IF(OR(AND(V1451&gt;0,BR1435=2),AND(V1451="ns",BR1435=2),AND(V1451="ns",BS1435=0,BR1435&gt;0),V1451=BS1435),0,1))))</f>
        <v>0</v>
      </c>
      <c r="BU1435" s="283">
        <f>COUNTIF(Z1451:AA1451,"NS")</f>
        <v>0</v>
      </c>
      <c r="BV1435" s="283">
        <f>SUM(Z1451:AA1451)</f>
        <v>0</v>
      </c>
      <c r="BW1435" s="283">
        <f>IF(COUNTIF(Y1451:AA1451,"NA")=3,0,IF(COUNTA(Y1451:AA1451)=0,0,IF(OR(AND(Y1451=0,BU1435&gt;0),AND(Y1451="ns",BV1435&gt;0),AND(Y1451="ns",BU1435=0,BV1435=0)),1,IF(OR(AND(Y1451&gt;0,BU1435=2),AND(Y1451="ns",BU1435=2),AND(Y1451="ns",BV1435=0,BU1435&gt;0),Y1451=BV1435),0,1))))</f>
        <v>0</v>
      </c>
      <c r="BX1435" s="283">
        <f>COUNTIF(AC1451:AD1451,"NS")</f>
        <v>0</v>
      </c>
      <c r="BY1435" s="283">
        <f>SUM(AC1451:AD1451)</f>
        <v>0</v>
      </c>
      <c r="BZ1435" s="283">
        <f>IF(COUNTIF(AB1451:AD1451,"NA")=3,0,IF(COUNTA(AB1451:AD1451)=0,0,IF(OR(AND(AB1451=0,BX1435&gt;0),AND(AB1451="ns",BY1435&gt;0),AND(AB1451="ns",BX1435=0,BY1435=0)),1,IF(OR(AND(AB1451&gt;0,BX1435=2),AND(AB1451="ns",BX1435=2),AND(AB1451="ns",BY1435=0,BX1435&gt;0),AB1451=BY1435),0,1))))</f>
        <v>0</v>
      </c>
      <c r="CA1435" s="283">
        <f>COUNTIF(H1467:I1467,"NS")</f>
        <v>0</v>
      </c>
      <c r="CB1435" s="283">
        <f>SUM(H1467:I1467)</f>
        <v>0</v>
      </c>
      <c r="CC1435" s="283">
        <f>IF(COUNTIF(G1467:I1467,"NA")=3,0,IF(COUNTA(G1467:I1467)=0,0,IF(OR(AND(G1467=0,CA1435&gt;0),AND(G1467="ns",CB1435&gt;0),AND(G1467="ns",CA1435=0,CB1435=0)),1,IF(OR(AND(G1467&gt;0,CA1435=2),AND(G1467="ns",CA1435=2),AND(G1467="ns",CB1435=0,CA1435&gt;0),G1467=CB1435),0,1))))</f>
        <v>0</v>
      </c>
      <c r="CD1435" s="283">
        <f>COUNTIF(K1467:L1467,"NS")</f>
        <v>0</v>
      </c>
      <c r="CE1435" s="283">
        <f>SUM(K1467:L1467)</f>
        <v>0</v>
      </c>
      <c r="CF1435" s="283">
        <f>IF(COUNTIF(J1467:L1467,"NA")=3,0,IF(COUNTA(J1467:L1467)=0,0,IF(OR(AND(J1467=0,CD1435&gt;0),AND(J1467="ns",CE1435&gt;0),AND(J1467="ns",CD1435=0,CE1435=0)),1,IF(OR(AND(J1467&gt;0,CD1435=2),AND(J1467="ns",CD1435=2),AND(J1467="ns",CE1435=0,CD1435&gt;0),J1467=CE1435),0,1))))</f>
        <v>0</v>
      </c>
      <c r="CG1435" s="283">
        <f>COUNTIF(N1467:O1467,"NS")</f>
        <v>0</v>
      </c>
      <c r="CH1435" s="283">
        <f>SUM(N1467:O1467)</f>
        <v>0</v>
      </c>
      <c r="CI1435" s="283">
        <f>IF(COUNTIF(M1467:O1467,"NA")=3,0,IF(COUNTA(M1467:O1467)=0,0,IF(OR(AND(M1467=0,CG1435&gt;0),AND(M1467="ns",CH1435&gt;0),AND(M1467="ns",CG1435=0,CH1435=0)),1,IF(OR(AND(M1467&gt;0,CG1435=2),AND(M1467="ns",CG1435=2),AND(M1467="ns",CH1435=0,CG1435&gt;0),M1467=CH1435),0,1))))</f>
        <v>0</v>
      </c>
      <c r="CJ1435" s="283">
        <f>COUNTIF(Q1467:R1467,"NS")</f>
        <v>0</v>
      </c>
      <c r="CK1435" s="283">
        <f>SUM(Q1467:R1467)</f>
        <v>0</v>
      </c>
      <c r="CL1435" s="283">
        <f>IF(COUNTIF(P1467:R1467,"NA")=3,0,IF(COUNTA(P1467:R1467)=0,0,IF(OR(AND(P1467=0,CJ1435&gt;0),AND(P1467="ns",CK1435&gt;0),AND(P1467="ns",CJ1435=0,CK1435=0)),1,IF(OR(AND(P1467&gt;0,CJ1435=2),AND(P1467="ns",CJ1435=2),AND(P1467="ns",CK1435=0,CJ1435&gt;0),P1467=CK1435),0,1))))</f>
        <v>0</v>
      </c>
      <c r="CM1435" s="283">
        <f>COUNTIF(T1467:U1467,"NS")</f>
        <v>0</v>
      </c>
      <c r="CN1435" s="283">
        <f>SUM(T1467:U1467)</f>
        <v>0</v>
      </c>
      <c r="CO1435" s="283">
        <f>IF(COUNTIF(S1467:U1467,"NA")=3,0,IF(COUNTA(S1467:U1467)=0,0,IF(OR(AND(S1467=0,CM1435&gt;0),AND(S1467="ns",CN1435&gt;0),AND(S1467="ns",CM1435=0,CN1435=0)),1,IF(OR(AND(S1467&gt;0,CM1435=2),AND(S1467="ns",CM1435=2),AND(S1467="ns",CN1435=0,CM1435&gt;0),S1467=CN1435),0,1))))</f>
        <v>0</v>
      </c>
      <c r="CP1435" s="283">
        <f>COUNTIF(W1467:X1467,"NS")</f>
        <v>0</v>
      </c>
      <c r="CQ1435" s="283">
        <f>SUM(W1467:X1467)</f>
        <v>0</v>
      </c>
      <c r="CR1435" s="283">
        <f>IF(COUNTIF(V1467:X1467,"NA")=3,0,IF(COUNTA(V1467:X1467)=0,0,IF(OR(AND(V1467=0,CP1435&gt;0),AND(V1467="ns",CQ1435&gt;0),AND(V1467="ns",CP1435=0,CQ1435=0)),1,IF(OR(AND(V1467&gt;0,CP1435=2),AND(V1467="ns",CP1435=2),AND(V1467="ns",CQ1435=0,CP1435&gt;0),V1467=CQ1435),0,1))))</f>
        <v>0</v>
      </c>
      <c r="CS1435" s="283">
        <f>COUNTIF(Z1467:AA1467,"NS")</f>
        <v>0</v>
      </c>
      <c r="CT1435" s="283">
        <f>SUM(Z1467:AA1467)</f>
        <v>0</v>
      </c>
      <c r="CU1435" s="283">
        <f>IF(COUNTIF(Y1467:AA1467,"NA")=3,0,IF(COUNTA(Y1467:AA1467)=0,0,IF(OR(AND(Y1467=0,CS1435&gt;0),AND(Y1467="ns",CT1435&gt;0),AND(Y1467="ns",CS1435=0,CT1435=0)),1,IF(OR(AND(Y1467&gt;0,CS1435=2),AND(Y1467="ns",CS1435=2),AND(Y1467="ns",CT1435=0,CS1435&gt;0),Y1467=CT1435),0,1))))</f>
        <v>0</v>
      </c>
      <c r="CV1435" s="283">
        <f>COUNTIF(AC1467:AD1467,"NS")</f>
        <v>0</v>
      </c>
      <c r="CW1435" s="283">
        <f>SUM(AC1467:AD1467)</f>
        <v>0</v>
      </c>
      <c r="CX1435" s="283">
        <f>IF(COUNTIF(AB1467:AD1467,"NA")=3,0,IF(COUNTA(AB1467:AD1467)=0,0,IF(OR(AND(AB1467=0,CV1435&gt;0),AND(AB1467="ns",CW1435&gt;0),AND(AB1467="ns",CV1435=0,CW1435=0)),1,IF(OR(AND(AB1467&gt;0,CV1435=2),AND(AB1467="ns",CV1435=2),AND(AB1467="ns",CW1435=0,CV1435&gt;0),AB1467=CW1435),0,1))))</f>
        <v>0</v>
      </c>
      <c r="CY1435" s="253">
        <f>IF(AND($G1435&lt;&gt;"",$G1435=1,J1435&lt;&gt;"",K1435&lt;&gt;"",L1435&lt;&gt;"",SUM(J1435:L1435)=0),1,0)</f>
        <v>0</v>
      </c>
      <c r="CZ1435" s="342">
        <f>IF(AND($G1435&lt;&gt;"",$G1435&lt;&gt;1,COUNTA(J1435:AD1435,G1451:AD1451,G1467:AD1467)&gt;0),1,0)</f>
        <v>0</v>
      </c>
    </row>
    <row r="1436" spans="1:104" ht="15" customHeight="1">
      <c r="A1436" s="50"/>
      <c r="B1436" s="90"/>
      <c r="C1436" s="143" t="s">
        <v>2517</v>
      </c>
      <c r="D1436" s="813" t="str">
        <f>IF(CNSIPEE_2024_M2_Secc1!D43="","",CNSIPEE_2024_M2_Secc1!D43)</f>
        <v/>
      </c>
      <c r="E1436" s="814"/>
      <c r="F1436" s="815"/>
      <c r="G1436" s="816"/>
      <c r="H1436" s="738"/>
      <c r="I1436" s="817"/>
      <c r="J1436" s="100"/>
      <c r="K1436" s="100"/>
      <c r="L1436" s="100"/>
      <c r="M1436" s="100"/>
      <c r="N1436" s="100"/>
      <c r="O1436" s="100"/>
      <c r="P1436" s="100"/>
      <c r="Q1436" s="100"/>
      <c r="R1436" s="100"/>
      <c r="S1436" s="100"/>
      <c r="T1436" s="100"/>
      <c r="U1436" s="100"/>
      <c r="V1436" s="100"/>
      <c r="W1436" s="100"/>
      <c r="X1436" s="100"/>
      <c r="Y1436" s="100"/>
      <c r="Z1436" s="100"/>
      <c r="AA1436" s="100"/>
      <c r="AB1436" s="100"/>
      <c r="AC1436" s="100"/>
      <c r="AD1436" s="100"/>
      <c r="AG1436" s="326">
        <f t="shared" ref="AG1436:AG1442" si="1357">IF(AND(COUNTBLANK(D1436)=0,$G1436&lt;&gt;"",$G1436&lt;&gt;1,COUNTA(J1436:AD1436,G1452:AD1452,G1468:AD1468)=0),0,IF(AND(COUNTBLANK(D1436)=0,$G1436&lt;&gt;"",$G1436=1,COUNTA(J1436:AD1436,G1452:AD1452,G1468:AD1468)=69),0,IF(AND(COUNTBLANK(D1436)=1,COUNTA(J1436:AD1436,G1452:AD1452,G1468:AD1468)=0),0,1)))</f>
        <v>0</v>
      </c>
      <c r="AH1436" s="283">
        <f t="shared" ref="AH1436:AH1442" si="1358">COUNTIF(K1436:L1436,"NS")</f>
        <v>0</v>
      </c>
      <c r="AI1436" s="283">
        <f t="shared" ref="AI1436:AI1442" si="1359">SUM(K1436:L1436)</f>
        <v>0</v>
      </c>
      <c r="AJ1436" s="283">
        <f t="shared" ref="AJ1436:AJ1442" si="1360">IF(COUNTIF(J1436:L1436,"NA")=3,0,IF(COUNTA(J1436:L1436)=0,0,IF(OR(AND(J1436=0,AH1436&gt;0),AND(J1436="ns",AI1436&gt;0),AND(J1436="ns",AH1436=0,AI1436=0)),1,IF(OR(AND(J1436&gt;0,AH1436=2),AND(J1436="ns",AH1436=2),AND(J1436="ns",AI1436=0,AH1436&gt;0),J1436=AI1436),0,1))))</f>
        <v>0</v>
      </c>
      <c r="AK1436" s="283">
        <f t="shared" ref="AK1436:AK1442" si="1361">COUNTIF(N1436:O1436,"NS")</f>
        <v>0</v>
      </c>
      <c r="AL1436" s="283">
        <f t="shared" ref="AL1436:AL1442" si="1362">SUM(N1436:O1436)</f>
        <v>0</v>
      </c>
      <c r="AM1436" s="283">
        <f t="shared" ref="AM1436:AM1442" si="1363">IF(COUNTIF(M1436:O1436,"NA")=3,0,IF(COUNTA(M1436:O1436)=0,0,IF(OR(AND(M1436=0,AK1436&gt;0),AND(M1436="ns",AL1436&gt;0),AND(M1436="ns",AK1436=0,AL1436=0)),1,IF(OR(AND(M1436&gt;0,AK1436=2),AND(M1436="ns",AK1436=2),AND(M1436="ns",AL1436=0,AK1436&gt;0),M1436=AL1436),0,1))))</f>
        <v>0</v>
      </c>
      <c r="AN1436" s="283">
        <f t="shared" ref="AN1436:AN1442" si="1364">COUNTIF(Q1436:R1436,"NS")</f>
        <v>0</v>
      </c>
      <c r="AO1436" s="283">
        <f t="shared" ref="AO1436:AO1442" si="1365">SUM(Q1436:R1436)</f>
        <v>0</v>
      </c>
      <c r="AP1436" s="283">
        <f t="shared" ref="AP1436:AP1442" si="1366">IF(COUNTIF(P1436:R1436,"NA")=3,0,IF(COUNTA(P1436:R1436)=0,0,IF(OR(AND(P1436=0,AN1436&gt;0),AND(P1436="ns",AO1436&gt;0),AND(P1436="ns",AN1436=0,AO1436=0)),1,IF(OR(AND(P1436&gt;0,AN1436=2),AND(P1436="ns",AN1436=2),AND(P1436="ns",AO1436=0,AN1436&gt;0),P1436=AO1436),0,1))))</f>
        <v>0</v>
      </c>
      <c r="AQ1436" s="283">
        <f t="shared" ref="AQ1436:AQ1442" si="1367">COUNTIF(T1436:U1436,"NS")</f>
        <v>0</v>
      </c>
      <c r="AR1436" s="283">
        <f t="shared" ref="AR1436:AR1442" si="1368">SUM(T1436:U1436)</f>
        <v>0</v>
      </c>
      <c r="AS1436" s="283">
        <f t="shared" ref="AS1436:AS1442" si="1369">IF(COUNTIF(S1436:U1436,"NA")=3,0,IF(COUNTA(S1436:U1436)=0,0,IF(OR(AND(S1436=0,AQ1436&gt;0),AND(S1436="ns",AR1436&gt;0),AND(S1436="ns",AQ1436=0,AR1436=0)),1,IF(OR(AND(S1436&gt;0,AQ1436=2),AND(S1436="ns",AQ1436=2),AND(S1436="ns",AR1436=0,AQ1436&gt;0),S1436=AR1436),0,1))))</f>
        <v>0</v>
      </c>
      <c r="AT1436" s="283">
        <f t="shared" ref="AT1436:AT1442" si="1370">COUNTIF(W1436:X1436,"NS")</f>
        <v>0</v>
      </c>
      <c r="AU1436" s="283">
        <f t="shared" ref="AU1436:AU1442" si="1371">SUM(W1436:X1436)</f>
        <v>0</v>
      </c>
      <c r="AV1436" s="283">
        <f t="shared" ref="AV1436:AV1442" si="1372">IF(COUNTIF(V1436:X1436,"NA")=3,0,IF(COUNTA(V1436:X1436)=0,0,IF(OR(AND(V1436=0,AT1436&gt;0),AND(V1436="ns",AU1436&gt;0),AND(V1436="ns",AT1436=0,AU1436=0)),1,IF(OR(AND(V1436&gt;0,AT1436=2),AND(V1436="ns",AT1436=2),AND(V1436="ns",AU1436=0,AT1436&gt;0),V1436=AU1436),0,1))))</f>
        <v>0</v>
      </c>
      <c r="AW1436" s="283">
        <f t="shared" ref="AW1436:AW1442" si="1373">COUNTIF(Z1436:AA1436,"NS")</f>
        <v>0</v>
      </c>
      <c r="AX1436" s="283">
        <f t="shared" ref="AX1436:AX1442" si="1374">SUM(Z1436:AA1436)</f>
        <v>0</v>
      </c>
      <c r="AY1436" s="283">
        <f t="shared" ref="AY1436:AY1442" si="1375">IF(COUNTIF(Y1436:AA1436,"NA")=3,0,IF(COUNTA(Y1436:AA1436)=0,0,IF(OR(AND(Y1436=0,AW1436&gt;0),AND(Y1436="ns",AX1436&gt;0),AND(Y1436="ns",AW1436=0,AX1436=0)),1,IF(OR(AND(Y1436&gt;0,AW1436=2),AND(Y1436="ns",AW1436=2),AND(Y1436="ns",AX1436=0,AW1436&gt;0),Y1436=AX1436),0,1))))</f>
        <v>0</v>
      </c>
      <c r="AZ1436" s="283">
        <f t="shared" ref="AZ1436:AZ1442" si="1376">COUNTIF(AC1436:AD1436,"NS")</f>
        <v>0</v>
      </c>
      <c r="BA1436" s="283">
        <f t="shared" ref="BA1436:BA1442" si="1377">SUM(AC1436:AD1436)</f>
        <v>0</v>
      </c>
      <c r="BB1436" s="283">
        <f t="shared" ref="BB1436:BB1442" si="1378">IF(COUNTIF(AB1436:AD1436,"NA")=3,0,IF(COUNTA(AB1436:AD1436)=0,0,IF(OR(AND(AB1436=0,AZ1436&gt;0),AND(AB1436="ns",BA1436&gt;0),AND(AB1436="ns",AZ1436=0,BA1436=0)),1,IF(OR(AND(AB1436&gt;0,AZ1436=2),AND(AB1436="ns",AZ1436=2),AND(AB1436="ns",BA1436=0,AZ1436&gt;0),AB1436=BA1436),0,1))))</f>
        <v>0</v>
      </c>
      <c r="BC1436" s="283">
        <f t="shared" ref="BC1436:BC1442" si="1379">COUNTIF(H1452:I1452,"NS")</f>
        <v>0</v>
      </c>
      <c r="BD1436" s="283">
        <f t="shared" ref="BD1436:BD1442" si="1380">SUM(H1452:I1452)</f>
        <v>0</v>
      </c>
      <c r="BE1436" s="283">
        <f t="shared" ref="BE1436:BE1442" si="1381">IF(COUNTIF(G1452:I1452,"NA")=3,0,IF(COUNTA(G1452:I1452)=0,0,IF(OR(AND(G1452=0,BC1436&gt;0),AND(G1452="ns",BD1436&gt;0),AND(G1452="ns",BC1436=0,BD1436=0)),1,IF(OR(AND(G1452&gt;0,BC1436=2),AND(G1452="ns",BC1436=2),AND(G1452="ns",BD1436=0,BC1436&gt;0),G1452=BD1436),0,1))))</f>
        <v>0</v>
      </c>
      <c r="BF1436" s="283">
        <f t="shared" ref="BF1436:BF1442" si="1382">COUNTIF(K1452:L1452,"NS")</f>
        <v>0</v>
      </c>
      <c r="BG1436" s="283">
        <f t="shared" ref="BG1436:BG1442" si="1383">SUM(K1452:L1452)</f>
        <v>0</v>
      </c>
      <c r="BH1436" s="283">
        <f t="shared" ref="BH1436:BH1442" si="1384">IF(COUNTIF(J1452:L1452,"NA")=3,0,IF(COUNTA(J1452:L1452)=0,0,IF(OR(AND(J1452=0,BF1436&gt;0),AND(J1452="ns",BG1436&gt;0),AND(J1452="ns",BF1436=0,BG1436=0)),1,IF(OR(AND(J1452&gt;0,BF1436=2),AND(J1452="ns",BF1436=2),AND(J1452="ns",BG1436=0,BF1436&gt;0),J1452=BG1436),0,1))))</f>
        <v>0</v>
      </c>
      <c r="BI1436" s="283">
        <f t="shared" ref="BI1436:BI1442" si="1385">COUNTIF(N1452:O1452,"NS")</f>
        <v>0</v>
      </c>
      <c r="BJ1436" s="283">
        <f t="shared" ref="BJ1436:BJ1442" si="1386">SUM(N1452:O1452)</f>
        <v>0</v>
      </c>
      <c r="BK1436" s="283">
        <f t="shared" ref="BK1436:BK1442" si="1387">IF(COUNTIF(M1452:O1452,"NA")=3,0,IF(COUNTA(M1452:O1452)=0,0,IF(OR(AND(M1452=0,BI1436&gt;0),AND(M1452="ns",BJ1436&gt;0),AND(M1452="ns",BI1436=0,BJ1436=0)),1,IF(OR(AND(M1452&gt;0,BI1436=2),AND(M1452="ns",BI1436=2),AND(M1452="ns",BJ1436=0,BI1436&gt;0),M1452=BJ1436),0,1))))</f>
        <v>0</v>
      </c>
      <c r="BL1436" s="283">
        <f t="shared" ref="BL1436:BL1442" si="1388">COUNTIF(Q1452:R1452,"NS")</f>
        <v>0</v>
      </c>
      <c r="BM1436" s="283">
        <f t="shared" ref="BM1436:BM1442" si="1389">SUM(Q1452:R1452)</f>
        <v>0</v>
      </c>
      <c r="BN1436" s="283">
        <f t="shared" ref="BN1436:BN1442" si="1390">IF(COUNTIF(P1452:R1452,"NA")=3,0,IF(COUNTA(P1452:R1452)=0,0,IF(OR(AND(P1452=0,BL1436&gt;0),AND(P1452="ns",BM1436&gt;0),AND(P1452="ns",BL1436=0,BM1436=0)),1,IF(OR(AND(P1452&gt;0,BL1436=2),AND(P1452="ns",BL1436=2),AND(P1452="ns",BM1436=0,BL1436&gt;0),P1452=BM1436),0,1))))</f>
        <v>0</v>
      </c>
      <c r="BO1436" s="283">
        <f t="shared" ref="BO1436:BO1442" si="1391">COUNTIF(T1452:U1452,"NS")</f>
        <v>0</v>
      </c>
      <c r="BP1436" s="283">
        <f t="shared" ref="BP1436:BP1442" si="1392">SUM(T1452:U1452)</f>
        <v>0</v>
      </c>
      <c r="BQ1436" s="283">
        <f t="shared" ref="BQ1436:BQ1442" si="1393">IF(COUNTIF(S1452:U1452,"NA")=3,0,IF(COUNTA(S1452:U1452)=0,0,IF(OR(AND(S1452=0,BO1436&gt;0),AND(S1452="ns",BP1436&gt;0),AND(S1452="ns",BO1436=0,BP1436=0)),1,IF(OR(AND(S1452&gt;0,BO1436=2),AND(S1452="ns",BO1436=2),AND(S1452="ns",BP1436=0,BO1436&gt;0),S1452=BP1436),0,1))))</f>
        <v>0</v>
      </c>
      <c r="BR1436" s="283">
        <f t="shared" ref="BR1436:BR1442" si="1394">COUNTIF(W1452:X1452,"NS")</f>
        <v>0</v>
      </c>
      <c r="BS1436" s="283">
        <f t="shared" ref="BS1436:BS1442" si="1395">SUM(W1452:X1452)</f>
        <v>0</v>
      </c>
      <c r="BT1436" s="283">
        <f t="shared" ref="BT1436:BT1442" si="1396">IF(COUNTIF(V1452:X1452,"NA")=3,0,IF(COUNTA(V1452:X1452)=0,0,IF(OR(AND(V1452=0,BR1436&gt;0),AND(V1452="ns",BS1436&gt;0),AND(V1452="ns",BR1436=0,BS1436=0)),1,IF(OR(AND(V1452&gt;0,BR1436=2),AND(V1452="ns",BR1436=2),AND(V1452="ns",BS1436=0,BR1436&gt;0),V1452=BS1436),0,1))))</f>
        <v>0</v>
      </c>
      <c r="BU1436" s="283">
        <f t="shared" ref="BU1436:BU1442" si="1397">COUNTIF(Z1452:AA1452,"NS")</f>
        <v>0</v>
      </c>
      <c r="BV1436" s="283">
        <f t="shared" ref="BV1436:BV1442" si="1398">SUM(Z1452:AA1452)</f>
        <v>0</v>
      </c>
      <c r="BW1436" s="283">
        <f t="shared" ref="BW1436:BW1442" si="1399">IF(COUNTIF(Y1452:AA1452,"NA")=3,0,IF(COUNTA(Y1452:AA1452)=0,0,IF(OR(AND(Y1452=0,BU1436&gt;0),AND(Y1452="ns",BV1436&gt;0),AND(Y1452="ns",BU1436=0,BV1436=0)),1,IF(OR(AND(Y1452&gt;0,BU1436=2),AND(Y1452="ns",BU1436=2),AND(Y1452="ns",BV1436=0,BU1436&gt;0),Y1452=BV1436),0,1))))</f>
        <v>0</v>
      </c>
      <c r="BX1436" s="283">
        <f t="shared" ref="BX1436:BX1442" si="1400">COUNTIF(AC1452:AD1452,"NS")</f>
        <v>0</v>
      </c>
      <c r="BY1436" s="283">
        <f t="shared" ref="BY1436:BY1442" si="1401">SUM(AC1452:AD1452)</f>
        <v>0</v>
      </c>
      <c r="BZ1436" s="283">
        <f t="shared" ref="BZ1436:BZ1442" si="1402">IF(COUNTIF(AB1452:AD1452,"NA")=3,0,IF(COUNTA(AB1452:AD1452)=0,0,IF(OR(AND(AB1452=0,BX1436&gt;0),AND(AB1452="ns",BY1436&gt;0),AND(AB1452="ns",BX1436=0,BY1436=0)),1,IF(OR(AND(AB1452&gt;0,BX1436=2),AND(AB1452="ns",BX1436=2),AND(AB1452="ns",BY1436=0,BX1436&gt;0),AB1452=BY1436),0,1))))</f>
        <v>0</v>
      </c>
      <c r="CA1436" s="283">
        <f t="shared" ref="CA1436:CA1442" si="1403">COUNTIF(H1468:I1468,"NS")</f>
        <v>0</v>
      </c>
      <c r="CB1436" s="283">
        <f t="shared" ref="CB1436:CB1442" si="1404">SUM(H1468:I1468)</f>
        <v>0</v>
      </c>
      <c r="CC1436" s="283">
        <f t="shared" ref="CC1436:CC1442" si="1405">IF(COUNTIF(G1468:I1468,"NA")=3,0,IF(COUNTA(G1468:I1468)=0,0,IF(OR(AND(G1468=0,CA1436&gt;0),AND(G1468="ns",CB1436&gt;0),AND(G1468="ns",CA1436=0,CB1436=0)),1,IF(OR(AND(G1468&gt;0,CA1436=2),AND(G1468="ns",CA1436=2),AND(G1468="ns",CB1436=0,CA1436&gt;0),G1468=CB1436),0,1))))</f>
        <v>0</v>
      </c>
      <c r="CD1436" s="283">
        <f t="shared" ref="CD1436:CD1442" si="1406">COUNTIF(K1468:L1468,"NS")</f>
        <v>0</v>
      </c>
      <c r="CE1436" s="283">
        <f t="shared" ref="CE1436:CE1442" si="1407">SUM(K1468:L1468)</f>
        <v>0</v>
      </c>
      <c r="CF1436" s="283">
        <f t="shared" ref="CF1436:CF1442" si="1408">IF(COUNTIF(J1468:L1468,"NA")=3,0,IF(COUNTA(J1468:L1468)=0,0,IF(OR(AND(J1468=0,CD1436&gt;0),AND(J1468="ns",CE1436&gt;0),AND(J1468="ns",CD1436=0,CE1436=0)),1,IF(OR(AND(J1468&gt;0,CD1436=2),AND(J1468="ns",CD1436=2),AND(J1468="ns",CE1436=0,CD1436&gt;0),J1468=CE1436),0,1))))</f>
        <v>0</v>
      </c>
      <c r="CG1436" s="283">
        <f t="shared" ref="CG1436:CG1442" si="1409">COUNTIF(N1468:O1468,"NS")</f>
        <v>0</v>
      </c>
      <c r="CH1436" s="283">
        <f t="shared" ref="CH1436:CH1442" si="1410">SUM(N1468:O1468)</f>
        <v>0</v>
      </c>
      <c r="CI1436" s="283">
        <f t="shared" ref="CI1436:CI1442" si="1411">IF(COUNTIF(M1468:O1468,"NA")=3,0,IF(COUNTA(M1468:O1468)=0,0,IF(OR(AND(M1468=0,CG1436&gt;0),AND(M1468="ns",CH1436&gt;0),AND(M1468="ns",CG1436=0,CH1436=0)),1,IF(OR(AND(M1468&gt;0,CG1436=2),AND(M1468="ns",CG1436=2),AND(M1468="ns",CH1436=0,CG1436&gt;0),M1468=CH1436),0,1))))</f>
        <v>0</v>
      </c>
      <c r="CJ1436" s="283">
        <f t="shared" ref="CJ1436:CJ1442" si="1412">COUNTIF(Q1468:R1468,"NS")</f>
        <v>0</v>
      </c>
      <c r="CK1436" s="283">
        <f t="shared" ref="CK1436:CK1442" si="1413">SUM(Q1468:R1468)</f>
        <v>0</v>
      </c>
      <c r="CL1436" s="283">
        <f t="shared" ref="CL1436:CL1442" si="1414">IF(COUNTIF(P1468:R1468,"NA")=3,0,IF(COUNTA(P1468:R1468)=0,0,IF(OR(AND(P1468=0,CJ1436&gt;0),AND(P1468="ns",CK1436&gt;0),AND(P1468="ns",CJ1436=0,CK1436=0)),1,IF(OR(AND(P1468&gt;0,CJ1436=2),AND(P1468="ns",CJ1436=2),AND(P1468="ns",CK1436=0,CJ1436&gt;0),P1468=CK1436),0,1))))</f>
        <v>0</v>
      </c>
      <c r="CM1436" s="283">
        <f t="shared" ref="CM1436:CM1442" si="1415">COUNTIF(T1468:U1468,"NS")</f>
        <v>0</v>
      </c>
      <c r="CN1436" s="283">
        <f t="shared" ref="CN1436:CN1442" si="1416">SUM(T1468:U1468)</f>
        <v>0</v>
      </c>
      <c r="CO1436" s="283">
        <f t="shared" ref="CO1436:CO1442" si="1417">IF(COUNTIF(S1468:U1468,"NA")=3,0,IF(COUNTA(S1468:U1468)=0,0,IF(OR(AND(S1468=0,CM1436&gt;0),AND(S1468="ns",CN1436&gt;0),AND(S1468="ns",CM1436=0,CN1436=0)),1,IF(OR(AND(S1468&gt;0,CM1436=2),AND(S1468="ns",CM1436=2),AND(S1468="ns",CN1436=0,CM1436&gt;0),S1468=CN1436),0,1))))</f>
        <v>0</v>
      </c>
      <c r="CP1436" s="283">
        <f t="shared" ref="CP1436:CP1442" si="1418">COUNTIF(W1468:X1468,"NS")</f>
        <v>0</v>
      </c>
      <c r="CQ1436" s="283">
        <f t="shared" ref="CQ1436:CQ1442" si="1419">SUM(W1468:X1468)</f>
        <v>0</v>
      </c>
      <c r="CR1436" s="283">
        <f t="shared" ref="CR1436:CR1442" si="1420">IF(COUNTIF(V1468:X1468,"NA")=3,0,IF(COUNTA(V1468:X1468)=0,0,IF(OR(AND(V1468=0,CP1436&gt;0),AND(V1468="ns",CQ1436&gt;0),AND(V1468="ns",CP1436=0,CQ1436=0)),1,IF(OR(AND(V1468&gt;0,CP1436=2),AND(V1468="ns",CP1436=2),AND(V1468="ns",CQ1436=0,CP1436&gt;0),V1468=CQ1436),0,1))))</f>
        <v>0</v>
      </c>
      <c r="CS1436" s="283">
        <f t="shared" ref="CS1436:CS1442" si="1421">COUNTIF(Z1468:AA1468,"NS")</f>
        <v>0</v>
      </c>
      <c r="CT1436" s="283">
        <f t="shared" ref="CT1436:CT1442" si="1422">SUM(Z1468:AA1468)</f>
        <v>0</v>
      </c>
      <c r="CU1436" s="283">
        <f t="shared" ref="CU1436:CU1442" si="1423">IF(COUNTIF(Y1468:AA1468,"NA")=3,0,IF(COUNTA(Y1468:AA1468)=0,0,IF(OR(AND(Y1468=0,CS1436&gt;0),AND(Y1468="ns",CT1436&gt;0),AND(Y1468="ns",CS1436=0,CT1436=0)),1,IF(OR(AND(Y1468&gt;0,CS1436=2),AND(Y1468="ns",CS1436=2),AND(Y1468="ns",CT1436=0,CS1436&gt;0),Y1468=CT1436),0,1))))</f>
        <v>0</v>
      </c>
      <c r="CV1436" s="283">
        <f t="shared" ref="CV1436:CV1442" si="1424">COUNTIF(AC1468:AD1468,"NS")</f>
        <v>0</v>
      </c>
      <c r="CW1436" s="283">
        <f t="shared" ref="CW1436:CW1442" si="1425">SUM(AC1468:AD1468)</f>
        <v>0</v>
      </c>
      <c r="CX1436" s="283">
        <f t="shared" ref="CX1436:CX1442" si="1426">IF(COUNTIF(AB1468:AD1468,"NA")=3,0,IF(COUNTA(AB1468:AD1468)=0,0,IF(OR(AND(AB1468=0,CV1436&gt;0),AND(AB1468="ns",CW1436&gt;0),AND(AB1468="ns",CV1436=0,CW1436=0)),1,IF(OR(AND(AB1468&gt;0,CV1436=2),AND(AB1468="ns",CV1436=2),AND(AB1468="ns",CW1436=0,CV1436&gt;0),AB1468=CW1436),0,1))))</f>
        <v>0</v>
      </c>
      <c r="CY1436" s="253">
        <f t="shared" ref="CY1436:CY1442" si="1427">IF(AND($G1436&lt;&gt;"",$G1436=1,J1436&lt;&gt;"",K1436&lt;&gt;"",L1436&lt;&gt;"",SUM(J1436:L1436)=0),1,0)</f>
        <v>0</v>
      </c>
      <c r="CZ1436" s="342">
        <f t="shared" ref="CZ1436:CZ1442" si="1428">IF(AND($G1436&lt;&gt;"",$G1436&lt;&gt;1,COUNTA(J1436:AD1436,G1452:AD1452,G1468:AD1468)&gt;0),1,0)</f>
        <v>0</v>
      </c>
    </row>
    <row r="1437" spans="1:104" ht="15" customHeight="1">
      <c r="A1437" s="50"/>
      <c r="B1437" s="90"/>
      <c r="C1437" s="143" t="s">
        <v>2518</v>
      </c>
      <c r="D1437" s="813" t="str">
        <f>IF(CNSIPEE_2024_M2_Secc1!D44="","",CNSIPEE_2024_M2_Secc1!D44)</f>
        <v/>
      </c>
      <c r="E1437" s="814"/>
      <c r="F1437" s="815"/>
      <c r="G1437" s="816"/>
      <c r="H1437" s="738"/>
      <c r="I1437" s="817"/>
      <c r="J1437" s="100"/>
      <c r="K1437" s="100"/>
      <c r="L1437" s="100"/>
      <c r="M1437" s="100"/>
      <c r="N1437" s="100"/>
      <c r="O1437" s="100"/>
      <c r="P1437" s="100"/>
      <c r="Q1437" s="100"/>
      <c r="R1437" s="100"/>
      <c r="S1437" s="100"/>
      <c r="T1437" s="100"/>
      <c r="U1437" s="100"/>
      <c r="V1437" s="100"/>
      <c r="W1437" s="100"/>
      <c r="X1437" s="100"/>
      <c r="Y1437" s="100"/>
      <c r="Z1437" s="100"/>
      <c r="AA1437" s="100"/>
      <c r="AB1437" s="100"/>
      <c r="AC1437" s="100"/>
      <c r="AD1437" s="100"/>
      <c r="AG1437" s="326">
        <f t="shared" si="1357"/>
        <v>0</v>
      </c>
      <c r="AH1437" s="283">
        <f t="shared" si="1358"/>
        <v>0</v>
      </c>
      <c r="AI1437" s="283">
        <f t="shared" si="1359"/>
        <v>0</v>
      </c>
      <c r="AJ1437" s="283">
        <f t="shared" si="1360"/>
        <v>0</v>
      </c>
      <c r="AK1437" s="283">
        <f t="shared" si="1361"/>
        <v>0</v>
      </c>
      <c r="AL1437" s="283">
        <f t="shared" si="1362"/>
        <v>0</v>
      </c>
      <c r="AM1437" s="283">
        <f t="shared" si="1363"/>
        <v>0</v>
      </c>
      <c r="AN1437" s="283">
        <f t="shared" si="1364"/>
        <v>0</v>
      </c>
      <c r="AO1437" s="283">
        <f t="shared" si="1365"/>
        <v>0</v>
      </c>
      <c r="AP1437" s="283">
        <f t="shared" si="1366"/>
        <v>0</v>
      </c>
      <c r="AQ1437" s="283">
        <f t="shared" si="1367"/>
        <v>0</v>
      </c>
      <c r="AR1437" s="283">
        <f t="shared" si="1368"/>
        <v>0</v>
      </c>
      <c r="AS1437" s="283">
        <f t="shared" si="1369"/>
        <v>0</v>
      </c>
      <c r="AT1437" s="283">
        <f t="shared" si="1370"/>
        <v>0</v>
      </c>
      <c r="AU1437" s="283">
        <f t="shared" si="1371"/>
        <v>0</v>
      </c>
      <c r="AV1437" s="283">
        <f t="shared" si="1372"/>
        <v>0</v>
      </c>
      <c r="AW1437" s="283">
        <f t="shared" si="1373"/>
        <v>0</v>
      </c>
      <c r="AX1437" s="283">
        <f t="shared" si="1374"/>
        <v>0</v>
      </c>
      <c r="AY1437" s="283">
        <f t="shared" si="1375"/>
        <v>0</v>
      </c>
      <c r="AZ1437" s="283">
        <f t="shared" si="1376"/>
        <v>0</v>
      </c>
      <c r="BA1437" s="283">
        <f t="shared" si="1377"/>
        <v>0</v>
      </c>
      <c r="BB1437" s="283">
        <f t="shared" si="1378"/>
        <v>0</v>
      </c>
      <c r="BC1437" s="283">
        <f t="shared" si="1379"/>
        <v>0</v>
      </c>
      <c r="BD1437" s="283">
        <f t="shared" si="1380"/>
        <v>0</v>
      </c>
      <c r="BE1437" s="283">
        <f t="shared" si="1381"/>
        <v>0</v>
      </c>
      <c r="BF1437" s="283">
        <f t="shared" si="1382"/>
        <v>0</v>
      </c>
      <c r="BG1437" s="283">
        <f t="shared" si="1383"/>
        <v>0</v>
      </c>
      <c r="BH1437" s="283">
        <f t="shared" si="1384"/>
        <v>0</v>
      </c>
      <c r="BI1437" s="283">
        <f t="shared" si="1385"/>
        <v>0</v>
      </c>
      <c r="BJ1437" s="283">
        <f t="shared" si="1386"/>
        <v>0</v>
      </c>
      <c r="BK1437" s="283">
        <f t="shared" si="1387"/>
        <v>0</v>
      </c>
      <c r="BL1437" s="283">
        <f t="shared" si="1388"/>
        <v>0</v>
      </c>
      <c r="BM1437" s="283">
        <f t="shared" si="1389"/>
        <v>0</v>
      </c>
      <c r="BN1437" s="283">
        <f t="shared" si="1390"/>
        <v>0</v>
      </c>
      <c r="BO1437" s="283">
        <f t="shared" si="1391"/>
        <v>0</v>
      </c>
      <c r="BP1437" s="283">
        <f t="shared" si="1392"/>
        <v>0</v>
      </c>
      <c r="BQ1437" s="283">
        <f t="shared" si="1393"/>
        <v>0</v>
      </c>
      <c r="BR1437" s="283">
        <f t="shared" si="1394"/>
        <v>0</v>
      </c>
      <c r="BS1437" s="283">
        <f t="shared" si="1395"/>
        <v>0</v>
      </c>
      <c r="BT1437" s="283">
        <f t="shared" si="1396"/>
        <v>0</v>
      </c>
      <c r="BU1437" s="283">
        <f t="shared" si="1397"/>
        <v>0</v>
      </c>
      <c r="BV1437" s="283">
        <f t="shared" si="1398"/>
        <v>0</v>
      </c>
      <c r="BW1437" s="283">
        <f t="shared" si="1399"/>
        <v>0</v>
      </c>
      <c r="BX1437" s="283">
        <f t="shared" si="1400"/>
        <v>0</v>
      </c>
      <c r="BY1437" s="283">
        <f t="shared" si="1401"/>
        <v>0</v>
      </c>
      <c r="BZ1437" s="283">
        <f t="shared" si="1402"/>
        <v>0</v>
      </c>
      <c r="CA1437" s="283">
        <f t="shared" si="1403"/>
        <v>0</v>
      </c>
      <c r="CB1437" s="283">
        <f t="shared" si="1404"/>
        <v>0</v>
      </c>
      <c r="CC1437" s="283">
        <f t="shared" si="1405"/>
        <v>0</v>
      </c>
      <c r="CD1437" s="283">
        <f t="shared" si="1406"/>
        <v>0</v>
      </c>
      <c r="CE1437" s="283">
        <f t="shared" si="1407"/>
        <v>0</v>
      </c>
      <c r="CF1437" s="283">
        <f t="shared" si="1408"/>
        <v>0</v>
      </c>
      <c r="CG1437" s="283">
        <f t="shared" si="1409"/>
        <v>0</v>
      </c>
      <c r="CH1437" s="283">
        <f t="shared" si="1410"/>
        <v>0</v>
      </c>
      <c r="CI1437" s="283">
        <f t="shared" si="1411"/>
        <v>0</v>
      </c>
      <c r="CJ1437" s="283">
        <f t="shared" si="1412"/>
        <v>0</v>
      </c>
      <c r="CK1437" s="283">
        <f t="shared" si="1413"/>
        <v>0</v>
      </c>
      <c r="CL1437" s="283">
        <f t="shared" si="1414"/>
        <v>0</v>
      </c>
      <c r="CM1437" s="283">
        <f t="shared" si="1415"/>
        <v>0</v>
      </c>
      <c r="CN1437" s="283">
        <f t="shared" si="1416"/>
        <v>0</v>
      </c>
      <c r="CO1437" s="283">
        <f t="shared" si="1417"/>
        <v>0</v>
      </c>
      <c r="CP1437" s="283">
        <f t="shared" si="1418"/>
        <v>0</v>
      </c>
      <c r="CQ1437" s="283">
        <f t="shared" si="1419"/>
        <v>0</v>
      </c>
      <c r="CR1437" s="283">
        <f t="shared" si="1420"/>
        <v>0</v>
      </c>
      <c r="CS1437" s="283">
        <f t="shared" si="1421"/>
        <v>0</v>
      </c>
      <c r="CT1437" s="283">
        <f t="shared" si="1422"/>
        <v>0</v>
      </c>
      <c r="CU1437" s="283">
        <f t="shared" si="1423"/>
        <v>0</v>
      </c>
      <c r="CV1437" s="283">
        <f t="shared" si="1424"/>
        <v>0</v>
      </c>
      <c r="CW1437" s="283">
        <f t="shared" si="1425"/>
        <v>0</v>
      </c>
      <c r="CX1437" s="283">
        <f t="shared" si="1426"/>
        <v>0</v>
      </c>
      <c r="CY1437" s="253">
        <f t="shared" si="1427"/>
        <v>0</v>
      </c>
      <c r="CZ1437" s="342">
        <f t="shared" si="1428"/>
        <v>0</v>
      </c>
    </row>
    <row r="1438" spans="1:104" ht="15" customHeight="1">
      <c r="A1438" s="50"/>
      <c r="B1438" s="90"/>
      <c r="C1438" s="143" t="s">
        <v>2519</v>
      </c>
      <c r="D1438" s="813" t="str">
        <f>IF(CNSIPEE_2024_M2_Secc1!D45="","",CNSIPEE_2024_M2_Secc1!D45)</f>
        <v/>
      </c>
      <c r="E1438" s="814"/>
      <c r="F1438" s="815"/>
      <c r="G1438" s="816"/>
      <c r="H1438" s="738"/>
      <c r="I1438" s="817"/>
      <c r="J1438" s="100"/>
      <c r="K1438" s="100"/>
      <c r="L1438" s="100"/>
      <c r="M1438" s="100"/>
      <c r="N1438" s="100"/>
      <c r="O1438" s="100"/>
      <c r="P1438" s="100"/>
      <c r="Q1438" s="100"/>
      <c r="R1438" s="100"/>
      <c r="S1438" s="100"/>
      <c r="T1438" s="100"/>
      <c r="U1438" s="100"/>
      <c r="V1438" s="100"/>
      <c r="W1438" s="100"/>
      <c r="X1438" s="100"/>
      <c r="Y1438" s="100"/>
      <c r="Z1438" s="100"/>
      <c r="AA1438" s="100"/>
      <c r="AB1438" s="100"/>
      <c r="AC1438" s="100"/>
      <c r="AD1438" s="100"/>
      <c r="AG1438" s="326">
        <f t="shared" si="1357"/>
        <v>0</v>
      </c>
      <c r="AH1438" s="283">
        <f t="shared" si="1358"/>
        <v>0</v>
      </c>
      <c r="AI1438" s="283">
        <f t="shared" si="1359"/>
        <v>0</v>
      </c>
      <c r="AJ1438" s="283">
        <f t="shared" si="1360"/>
        <v>0</v>
      </c>
      <c r="AK1438" s="283">
        <f t="shared" si="1361"/>
        <v>0</v>
      </c>
      <c r="AL1438" s="283">
        <f t="shared" si="1362"/>
        <v>0</v>
      </c>
      <c r="AM1438" s="283">
        <f t="shared" si="1363"/>
        <v>0</v>
      </c>
      <c r="AN1438" s="283">
        <f t="shared" si="1364"/>
        <v>0</v>
      </c>
      <c r="AO1438" s="283">
        <f t="shared" si="1365"/>
        <v>0</v>
      </c>
      <c r="AP1438" s="283">
        <f t="shared" si="1366"/>
        <v>0</v>
      </c>
      <c r="AQ1438" s="283">
        <f t="shared" si="1367"/>
        <v>0</v>
      </c>
      <c r="AR1438" s="283">
        <f t="shared" si="1368"/>
        <v>0</v>
      </c>
      <c r="AS1438" s="283">
        <f t="shared" si="1369"/>
        <v>0</v>
      </c>
      <c r="AT1438" s="283">
        <f t="shared" si="1370"/>
        <v>0</v>
      </c>
      <c r="AU1438" s="283">
        <f t="shared" si="1371"/>
        <v>0</v>
      </c>
      <c r="AV1438" s="283">
        <f t="shared" si="1372"/>
        <v>0</v>
      </c>
      <c r="AW1438" s="283">
        <f t="shared" si="1373"/>
        <v>0</v>
      </c>
      <c r="AX1438" s="283">
        <f t="shared" si="1374"/>
        <v>0</v>
      </c>
      <c r="AY1438" s="283">
        <f t="shared" si="1375"/>
        <v>0</v>
      </c>
      <c r="AZ1438" s="283">
        <f t="shared" si="1376"/>
        <v>0</v>
      </c>
      <c r="BA1438" s="283">
        <f t="shared" si="1377"/>
        <v>0</v>
      </c>
      <c r="BB1438" s="283">
        <f t="shared" si="1378"/>
        <v>0</v>
      </c>
      <c r="BC1438" s="283">
        <f t="shared" si="1379"/>
        <v>0</v>
      </c>
      <c r="BD1438" s="283">
        <f t="shared" si="1380"/>
        <v>0</v>
      </c>
      <c r="BE1438" s="283">
        <f t="shared" si="1381"/>
        <v>0</v>
      </c>
      <c r="BF1438" s="283">
        <f t="shared" si="1382"/>
        <v>0</v>
      </c>
      <c r="BG1438" s="283">
        <f t="shared" si="1383"/>
        <v>0</v>
      </c>
      <c r="BH1438" s="283">
        <f t="shared" si="1384"/>
        <v>0</v>
      </c>
      <c r="BI1438" s="283">
        <f t="shared" si="1385"/>
        <v>0</v>
      </c>
      <c r="BJ1438" s="283">
        <f t="shared" si="1386"/>
        <v>0</v>
      </c>
      <c r="BK1438" s="283">
        <f t="shared" si="1387"/>
        <v>0</v>
      </c>
      <c r="BL1438" s="283">
        <f t="shared" si="1388"/>
        <v>0</v>
      </c>
      <c r="BM1438" s="283">
        <f t="shared" si="1389"/>
        <v>0</v>
      </c>
      <c r="BN1438" s="283">
        <f t="shared" si="1390"/>
        <v>0</v>
      </c>
      <c r="BO1438" s="283">
        <f t="shared" si="1391"/>
        <v>0</v>
      </c>
      <c r="BP1438" s="283">
        <f t="shared" si="1392"/>
        <v>0</v>
      </c>
      <c r="BQ1438" s="283">
        <f t="shared" si="1393"/>
        <v>0</v>
      </c>
      <c r="BR1438" s="283">
        <f t="shared" si="1394"/>
        <v>0</v>
      </c>
      <c r="BS1438" s="283">
        <f t="shared" si="1395"/>
        <v>0</v>
      </c>
      <c r="BT1438" s="283">
        <f t="shared" si="1396"/>
        <v>0</v>
      </c>
      <c r="BU1438" s="283">
        <f t="shared" si="1397"/>
        <v>0</v>
      </c>
      <c r="BV1438" s="283">
        <f t="shared" si="1398"/>
        <v>0</v>
      </c>
      <c r="BW1438" s="283">
        <f t="shared" si="1399"/>
        <v>0</v>
      </c>
      <c r="BX1438" s="283">
        <f t="shared" si="1400"/>
        <v>0</v>
      </c>
      <c r="BY1438" s="283">
        <f t="shared" si="1401"/>
        <v>0</v>
      </c>
      <c r="BZ1438" s="283">
        <f t="shared" si="1402"/>
        <v>0</v>
      </c>
      <c r="CA1438" s="283">
        <f t="shared" si="1403"/>
        <v>0</v>
      </c>
      <c r="CB1438" s="283">
        <f t="shared" si="1404"/>
        <v>0</v>
      </c>
      <c r="CC1438" s="283">
        <f t="shared" si="1405"/>
        <v>0</v>
      </c>
      <c r="CD1438" s="283">
        <f t="shared" si="1406"/>
        <v>0</v>
      </c>
      <c r="CE1438" s="283">
        <f t="shared" si="1407"/>
        <v>0</v>
      </c>
      <c r="CF1438" s="283">
        <f t="shared" si="1408"/>
        <v>0</v>
      </c>
      <c r="CG1438" s="283">
        <f t="shared" si="1409"/>
        <v>0</v>
      </c>
      <c r="CH1438" s="283">
        <f t="shared" si="1410"/>
        <v>0</v>
      </c>
      <c r="CI1438" s="283">
        <f t="shared" si="1411"/>
        <v>0</v>
      </c>
      <c r="CJ1438" s="283">
        <f t="shared" si="1412"/>
        <v>0</v>
      </c>
      <c r="CK1438" s="283">
        <f t="shared" si="1413"/>
        <v>0</v>
      </c>
      <c r="CL1438" s="283">
        <f t="shared" si="1414"/>
        <v>0</v>
      </c>
      <c r="CM1438" s="283">
        <f t="shared" si="1415"/>
        <v>0</v>
      </c>
      <c r="CN1438" s="283">
        <f t="shared" si="1416"/>
        <v>0</v>
      </c>
      <c r="CO1438" s="283">
        <f t="shared" si="1417"/>
        <v>0</v>
      </c>
      <c r="CP1438" s="283">
        <f t="shared" si="1418"/>
        <v>0</v>
      </c>
      <c r="CQ1438" s="283">
        <f t="shared" si="1419"/>
        <v>0</v>
      </c>
      <c r="CR1438" s="283">
        <f t="shared" si="1420"/>
        <v>0</v>
      </c>
      <c r="CS1438" s="283">
        <f t="shared" si="1421"/>
        <v>0</v>
      </c>
      <c r="CT1438" s="283">
        <f t="shared" si="1422"/>
        <v>0</v>
      </c>
      <c r="CU1438" s="283">
        <f t="shared" si="1423"/>
        <v>0</v>
      </c>
      <c r="CV1438" s="283">
        <f t="shared" si="1424"/>
        <v>0</v>
      </c>
      <c r="CW1438" s="283">
        <f t="shared" si="1425"/>
        <v>0</v>
      </c>
      <c r="CX1438" s="283">
        <f t="shared" si="1426"/>
        <v>0</v>
      </c>
      <c r="CY1438" s="253">
        <f t="shared" si="1427"/>
        <v>0</v>
      </c>
      <c r="CZ1438" s="342">
        <f t="shared" si="1428"/>
        <v>0</v>
      </c>
    </row>
    <row r="1439" spans="1:104" ht="15" customHeight="1">
      <c r="A1439" s="50"/>
      <c r="B1439" s="90"/>
      <c r="C1439" s="143" t="s">
        <v>2520</v>
      </c>
      <c r="D1439" s="813" t="str">
        <f>IF(CNSIPEE_2024_M2_Secc1!D46="","",CNSIPEE_2024_M2_Secc1!D46)</f>
        <v/>
      </c>
      <c r="E1439" s="814"/>
      <c r="F1439" s="815"/>
      <c r="G1439" s="816"/>
      <c r="H1439" s="738"/>
      <c r="I1439" s="817"/>
      <c r="J1439" s="100"/>
      <c r="K1439" s="100"/>
      <c r="L1439" s="100"/>
      <c r="M1439" s="100"/>
      <c r="N1439" s="100"/>
      <c r="O1439" s="100"/>
      <c r="P1439" s="100"/>
      <c r="Q1439" s="100"/>
      <c r="R1439" s="100"/>
      <c r="S1439" s="100"/>
      <c r="T1439" s="100"/>
      <c r="U1439" s="100"/>
      <c r="V1439" s="100"/>
      <c r="W1439" s="100"/>
      <c r="X1439" s="100"/>
      <c r="Y1439" s="100"/>
      <c r="Z1439" s="100"/>
      <c r="AA1439" s="100"/>
      <c r="AB1439" s="100"/>
      <c r="AC1439" s="100"/>
      <c r="AD1439" s="100"/>
      <c r="AG1439" s="326">
        <f t="shared" si="1357"/>
        <v>0</v>
      </c>
      <c r="AH1439" s="283">
        <f t="shared" si="1358"/>
        <v>0</v>
      </c>
      <c r="AI1439" s="283">
        <f t="shared" si="1359"/>
        <v>0</v>
      </c>
      <c r="AJ1439" s="283">
        <f t="shared" si="1360"/>
        <v>0</v>
      </c>
      <c r="AK1439" s="283">
        <f t="shared" si="1361"/>
        <v>0</v>
      </c>
      <c r="AL1439" s="283">
        <f t="shared" si="1362"/>
        <v>0</v>
      </c>
      <c r="AM1439" s="283">
        <f t="shared" si="1363"/>
        <v>0</v>
      </c>
      <c r="AN1439" s="283">
        <f t="shared" si="1364"/>
        <v>0</v>
      </c>
      <c r="AO1439" s="283">
        <f t="shared" si="1365"/>
        <v>0</v>
      </c>
      <c r="AP1439" s="283">
        <f t="shared" si="1366"/>
        <v>0</v>
      </c>
      <c r="AQ1439" s="283">
        <f t="shared" si="1367"/>
        <v>0</v>
      </c>
      <c r="AR1439" s="283">
        <f t="shared" si="1368"/>
        <v>0</v>
      </c>
      <c r="AS1439" s="283">
        <f t="shared" si="1369"/>
        <v>0</v>
      </c>
      <c r="AT1439" s="283">
        <f t="shared" si="1370"/>
        <v>0</v>
      </c>
      <c r="AU1439" s="283">
        <f t="shared" si="1371"/>
        <v>0</v>
      </c>
      <c r="AV1439" s="283">
        <f t="shared" si="1372"/>
        <v>0</v>
      </c>
      <c r="AW1439" s="283">
        <f t="shared" si="1373"/>
        <v>0</v>
      </c>
      <c r="AX1439" s="283">
        <f t="shared" si="1374"/>
        <v>0</v>
      </c>
      <c r="AY1439" s="283">
        <f t="shared" si="1375"/>
        <v>0</v>
      </c>
      <c r="AZ1439" s="283">
        <f t="shared" si="1376"/>
        <v>0</v>
      </c>
      <c r="BA1439" s="283">
        <f t="shared" si="1377"/>
        <v>0</v>
      </c>
      <c r="BB1439" s="283">
        <f t="shared" si="1378"/>
        <v>0</v>
      </c>
      <c r="BC1439" s="283">
        <f t="shared" si="1379"/>
        <v>0</v>
      </c>
      <c r="BD1439" s="283">
        <f t="shared" si="1380"/>
        <v>0</v>
      </c>
      <c r="BE1439" s="283">
        <f t="shared" si="1381"/>
        <v>0</v>
      </c>
      <c r="BF1439" s="283">
        <f t="shared" si="1382"/>
        <v>0</v>
      </c>
      <c r="BG1439" s="283">
        <f t="shared" si="1383"/>
        <v>0</v>
      </c>
      <c r="BH1439" s="283">
        <f t="shared" si="1384"/>
        <v>0</v>
      </c>
      <c r="BI1439" s="283">
        <f t="shared" si="1385"/>
        <v>0</v>
      </c>
      <c r="BJ1439" s="283">
        <f t="shared" si="1386"/>
        <v>0</v>
      </c>
      <c r="BK1439" s="283">
        <f t="shared" si="1387"/>
        <v>0</v>
      </c>
      <c r="BL1439" s="283">
        <f t="shared" si="1388"/>
        <v>0</v>
      </c>
      <c r="BM1439" s="283">
        <f t="shared" si="1389"/>
        <v>0</v>
      </c>
      <c r="BN1439" s="283">
        <f t="shared" si="1390"/>
        <v>0</v>
      </c>
      <c r="BO1439" s="283">
        <f t="shared" si="1391"/>
        <v>0</v>
      </c>
      <c r="BP1439" s="283">
        <f t="shared" si="1392"/>
        <v>0</v>
      </c>
      <c r="BQ1439" s="283">
        <f t="shared" si="1393"/>
        <v>0</v>
      </c>
      <c r="BR1439" s="283">
        <f t="shared" si="1394"/>
        <v>0</v>
      </c>
      <c r="BS1439" s="283">
        <f t="shared" si="1395"/>
        <v>0</v>
      </c>
      <c r="BT1439" s="283">
        <f t="shared" si="1396"/>
        <v>0</v>
      </c>
      <c r="BU1439" s="283">
        <f t="shared" si="1397"/>
        <v>0</v>
      </c>
      <c r="BV1439" s="283">
        <f t="shared" si="1398"/>
        <v>0</v>
      </c>
      <c r="BW1439" s="283">
        <f t="shared" si="1399"/>
        <v>0</v>
      </c>
      <c r="BX1439" s="283">
        <f t="shared" si="1400"/>
        <v>0</v>
      </c>
      <c r="BY1439" s="283">
        <f t="shared" si="1401"/>
        <v>0</v>
      </c>
      <c r="BZ1439" s="283">
        <f t="shared" si="1402"/>
        <v>0</v>
      </c>
      <c r="CA1439" s="283">
        <f t="shared" si="1403"/>
        <v>0</v>
      </c>
      <c r="CB1439" s="283">
        <f t="shared" si="1404"/>
        <v>0</v>
      </c>
      <c r="CC1439" s="283">
        <f t="shared" si="1405"/>
        <v>0</v>
      </c>
      <c r="CD1439" s="283">
        <f t="shared" si="1406"/>
        <v>0</v>
      </c>
      <c r="CE1439" s="283">
        <f t="shared" si="1407"/>
        <v>0</v>
      </c>
      <c r="CF1439" s="283">
        <f t="shared" si="1408"/>
        <v>0</v>
      </c>
      <c r="CG1439" s="283">
        <f t="shared" si="1409"/>
        <v>0</v>
      </c>
      <c r="CH1439" s="283">
        <f t="shared" si="1410"/>
        <v>0</v>
      </c>
      <c r="CI1439" s="283">
        <f t="shared" si="1411"/>
        <v>0</v>
      </c>
      <c r="CJ1439" s="283">
        <f t="shared" si="1412"/>
        <v>0</v>
      </c>
      <c r="CK1439" s="283">
        <f t="shared" si="1413"/>
        <v>0</v>
      </c>
      <c r="CL1439" s="283">
        <f t="shared" si="1414"/>
        <v>0</v>
      </c>
      <c r="CM1439" s="283">
        <f t="shared" si="1415"/>
        <v>0</v>
      </c>
      <c r="CN1439" s="283">
        <f t="shared" si="1416"/>
        <v>0</v>
      </c>
      <c r="CO1439" s="283">
        <f t="shared" si="1417"/>
        <v>0</v>
      </c>
      <c r="CP1439" s="283">
        <f t="shared" si="1418"/>
        <v>0</v>
      </c>
      <c r="CQ1439" s="283">
        <f t="shared" si="1419"/>
        <v>0</v>
      </c>
      <c r="CR1439" s="283">
        <f t="shared" si="1420"/>
        <v>0</v>
      </c>
      <c r="CS1439" s="283">
        <f t="shared" si="1421"/>
        <v>0</v>
      </c>
      <c r="CT1439" s="283">
        <f t="shared" si="1422"/>
        <v>0</v>
      </c>
      <c r="CU1439" s="283">
        <f t="shared" si="1423"/>
        <v>0</v>
      </c>
      <c r="CV1439" s="283">
        <f t="shared" si="1424"/>
        <v>0</v>
      </c>
      <c r="CW1439" s="283">
        <f t="shared" si="1425"/>
        <v>0</v>
      </c>
      <c r="CX1439" s="283">
        <f t="shared" si="1426"/>
        <v>0</v>
      </c>
      <c r="CY1439" s="253">
        <f t="shared" si="1427"/>
        <v>0</v>
      </c>
      <c r="CZ1439" s="342">
        <f t="shared" si="1428"/>
        <v>0</v>
      </c>
    </row>
    <row r="1440" spans="1:104" ht="15" customHeight="1">
      <c r="A1440" s="50"/>
      <c r="B1440" s="90"/>
      <c r="C1440" s="143" t="s">
        <v>2521</v>
      </c>
      <c r="D1440" s="813" t="str">
        <f>IF(CNSIPEE_2024_M2_Secc1!D47="","",CNSIPEE_2024_M2_Secc1!D47)</f>
        <v/>
      </c>
      <c r="E1440" s="814"/>
      <c r="F1440" s="815"/>
      <c r="G1440" s="816"/>
      <c r="H1440" s="738"/>
      <c r="I1440" s="817"/>
      <c r="J1440" s="100"/>
      <c r="K1440" s="100"/>
      <c r="L1440" s="100"/>
      <c r="M1440" s="100"/>
      <c r="N1440" s="100"/>
      <c r="O1440" s="100"/>
      <c r="P1440" s="100"/>
      <c r="Q1440" s="100"/>
      <c r="R1440" s="100"/>
      <c r="S1440" s="100"/>
      <c r="T1440" s="100"/>
      <c r="U1440" s="100"/>
      <c r="V1440" s="100"/>
      <c r="W1440" s="100"/>
      <c r="X1440" s="100"/>
      <c r="Y1440" s="100"/>
      <c r="Z1440" s="100"/>
      <c r="AA1440" s="100"/>
      <c r="AB1440" s="100"/>
      <c r="AC1440" s="100"/>
      <c r="AD1440" s="100"/>
      <c r="AG1440" s="326">
        <f t="shared" si="1357"/>
        <v>0</v>
      </c>
      <c r="AH1440" s="283">
        <f t="shared" si="1358"/>
        <v>0</v>
      </c>
      <c r="AI1440" s="283">
        <f t="shared" si="1359"/>
        <v>0</v>
      </c>
      <c r="AJ1440" s="283">
        <f t="shared" si="1360"/>
        <v>0</v>
      </c>
      <c r="AK1440" s="283">
        <f t="shared" si="1361"/>
        <v>0</v>
      </c>
      <c r="AL1440" s="283">
        <f t="shared" si="1362"/>
        <v>0</v>
      </c>
      <c r="AM1440" s="283">
        <f t="shared" si="1363"/>
        <v>0</v>
      </c>
      <c r="AN1440" s="283">
        <f t="shared" si="1364"/>
        <v>0</v>
      </c>
      <c r="AO1440" s="283">
        <f t="shared" si="1365"/>
        <v>0</v>
      </c>
      <c r="AP1440" s="283">
        <f t="shared" si="1366"/>
        <v>0</v>
      </c>
      <c r="AQ1440" s="283">
        <f t="shared" si="1367"/>
        <v>0</v>
      </c>
      <c r="AR1440" s="283">
        <f t="shared" si="1368"/>
        <v>0</v>
      </c>
      <c r="AS1440" s="283">
        <f t="shared" si="1369"/>
        <v>0</v>
      </c>
      <c r="AT1440" s="283">
        <f t="shared" si="1370"/>
        <v>0</v>
      </c>
      <c r="AU1440" s="283">
        <f t="shared" si="1371"/>
        <v>0</v>
      </c>
      <c r="AV1440" s="283">
        <f t="shared" si="1372"/>
        <v>0</v>
      </c>
      <c r="AW1440" s="283">
        <f t="shared" si="1373"/>
        <v>0</v>
      </c>
      <c r="AX1440" s="283">
        <f t="shared" si="1374"/>
        <v>0</v>
      </c>
      <c r="AY1440" s="283">
        <f t="shared" si="1375"/>
        <v>0</v>
      </c>
      <c r="AZ1440" s="283">
        <f t="shared" si="1376"/>
        <v>0</v>
      </c>
      <c r="BA1440" s="283">
        <f t="shared" si="1377"/>
        <v>0</v>
      </c>
      <c r="BB1440" s="283">
        <f t="shared" si="1378"/>
        <v>0</v>
      </c>
      <c r="BC1440" s="283">
        <f t="shared" si="1379"/>
        <v>0</v>
      </c>
      <c r="BD1440" s="283">
        <f t="shared" si="1380"/>
        <v>0</v>
      </c>
      <c r="BE1440" s="283">
        <f t="shared" si="1381"/>
        <v>0</v>
      </c>
      <c r="BF1440" s="283">
        <f t="shared" si="1382"/>
        <v>0</v>
      </c>
      <c r="BG1440" s="283">
        <f t="shared" si="1383"/>
        <v>0</v>
      </c>
      <c r="BH1440" s="283">
        <f t="shared" si="1384"/>
        <v>0</v>
      </c>
      <c r="BI1440" s="283">
        <f t="shared" si="1385"/>
        <v>0</v>
      </c>
      <c r="BJ1440" s="283">
        <f t="shared" si="1386"/>
        <v>0</v>
      </c>
      <c r="BK1440" s="283">
        <f t="shared" si="1387"/>
        <v>0</v>
      </c>
      <c r="BL1440" s="283">
        <f t="shared" si="1388"/>
        <v>0</v>
      </c>
      <c r="BM1440" s="283">
        <f t="shared" si="1389"/>
        <v>0</v>
      </c>
      <c r="BN1440" s="283">
        <f t="shared" si="1390"/>
        <v>0</v>
      </c>
      <c r="BO1440" s="283">
        <f t="shared" si="1391"/>
        <v>0</v>
      </c>
      <c r="BP1440" s="283">
        <f t="shared" si="1392"/>
        <v>0</v>
      </c>
      <c r="BQ1440" s="283">
        <f t="shared" si="1393"/>
        <v>0</v>
      </c>
      <c r="BR1440" s="283">
        <f t="shared" si="1394"/>
        <v>0</v>
      </c>
      <c r="BS1440" s="283">
        <f t="shared" si="1395"/>
        <v>0</v>
      </c>
      <c r="BT1440" s="283">
        <f t="shared" si="1396"/>
        <v>0</v>
      </c>
      <c r="BU1440" s="283">
        <f t="shared" si="1397"/>
        <v>0</v>
      </c>
      <c r="BV1440" s="283">
        <f t="shared" si="1398"/>
        <v>0</v>
      </c>
      <c r="BW1440" s="283">
        <f t="shared" si="1399"/>
        <v>0</v>
      </c>
      <c r="BX1440" s="283">
        <f t="shared" si="1400"/>
        <v>0</v>
      </c>
      <c r="BY1440" s="283">
        <f t="shared" si="1401"/>
        <v>0</v>
      </c>
      <c r="BZ1440" s="283">
        <f t="shared" si="1402"/>
        <v>0</v>
      </c>
      <c r="CA1440" s="283">
        <f t="shared" si="1403"/>
        <v>0</v>
      </c>
      <c r="CB1440" s="283">
        <f t="shared" si="1404"/>
        <v>0</v>
      </c>
      <c r="CC1440" s="283">
        <f t="shared" si="1405"/>
        <v>0</v>
      </c>
      <c r="CD1440" s="283">
        <f t="shared" si="1406"/>
        <v>0</v>
      </c>
      <c r="CE1440" s="283">
        <f t="shared" si="1407"/>
        <v>0</v>
      </c>
      <c r="CF1440" s="283">
        <f t="shared" si="1408"/>
        <v>0</v>
      </c>
      <c r="CG1440" s="283">
        <f t="shared" si="1409"/>
        <v>0</v>
      </c>
      <c r="CH1440" s="283">
        <f t="shared" si="1410"/>
        <v>0</v>
      </c>
      <c r="CI1440" s="283">
        <f t="shared" si="1411"/>
        <v>0</v>
      </c>
      <c r="CJ1440" s="283">
        <f t="shared" si="1412"/>
        <v>0</v>
      </c>
      <c r="CK1440" s="283">
        <f t="shared" si="1413"/>
        <v>0</v>
      </c>
      <c r="CL1440" s="283">
        <f t="shared" si="1414"/>
        <v>0</v>
      </c>
      <c r="CM1440" s="283">
        <f t="shared" si="1415"/>
        <v>0</v>
      </c>
      <c r="CN1440" s="283">
        <f t="shared" si="1416"/>
        <v>0</v>
      </c>
      <c r="CO1440" s="283">
        <f t="shared" si="1417"/>
        <v>0</v>
      </c>
      <c r="CP1440" s="283">
        <f t="shared" si="1418"/>
        <v>0</v>
      </c>
      <c r="CQ1440" s="283">
        <f t="shared" si="1419"/>
        <v>0</v>
      </c>
      <c r="CR1440" s="283">
        <f t="shared" si="1420"/>
        <v>0</v>
      </c>
      <c r="CS1440" s="283">
        <f t="shared" si="1421"/>
        <v>0</v>
      </c>
      <c r="CT1440" s="283">
        <f t="shared" si="1422"/>
        <v>0</v>
      </c>
      <c r="CU1440" s="283">
        <f t="shared" si="1423"/>
        <v>0</v>
      </c>
      <c r="CV1440" s="283">
        <f t="shared" si="1424"/>
        <v>0</v>
      </c>
      <c r="CW1440" s="283">
        <f t="shared" si="1425"/>
        <v>0</v>
      </c>
      <c r="CX1440" s="283">
        <f t="shared" si="1426"/>
        <v>0</v>
      </c>
      <c r="CY1440" s="253">
        <f t="shared" si="1427"/>
        <v>0</v>
      </c>
      <c r="CZ1440" s="342">
        <f t="shared" si="1428"/>
        <v>0</v>
      </c>
    </row>
    <row r="1441" spans="1:104" ht="15" customHeight="1">
      <c r="A1441" s="50"/>
      <c r="B1441" s="90"/>
      <c r="C1441" s="143" t="s">
        <v>2522</v>
      </c>
      <c r="D1441" s="813" t="str">
        <f>IF(CNSIPEE_2024_M2_Secc1!D48="","",CNSIPEE_2024_M2_Secc1!D48)</f>
        <v/>
      </c>
      <c r="E1441" s="814"/>
      <c r="F1441" s="815"/>
      <c r="G1441" s="816"/>
      <c r="H1441" s="738"/>
      <c r="I1441" s="817"/>
      <c r="J1441" s="100"/>
      <c r="K1441" s="100"/>
      <c r="L1441" s="100"/>
      <c r="M1441" s="100"/>
      <c r="N1441" s="100"/>
      <c r="O1441" s="100"/>
      <c r="P1441" s="100"/>
      <c r="Q1441" s="100"/>
      <c r="R1441" s="100"/>
      <c r="S1441" s="100"/>
      <c r="T1441" s="100"/>
      <c r="U1441" s="100"/>
      <c r="V1441" s="100"/>
      <c r="W1441" s="100"/>
      <c r="X1441" s="100"/>
      <c r="Y1441" s="100"/>
      <c r="Z1441" s="100"/>
      <c r="AA1441" s="100"/>
      <c r="AB1441" s="100"/>
      <c r="AC1441" s="100"/>
      <c r="AD1441" s="100"/>
      <c r="AG1441" s="326">
        <f t="shared" si="1357"/>
        <v>0</v>
      </c>
      <c r="AH1441" s="283">
        <f t="shared" si="1358"/>
        <v>0</v>
      </c>
      <c r="AI1441" s="283">
        <f t="shared" si="1359"/>
        <v>0</v>
      </c>
      <c r="AJ1441" s="283">
        <f t="shared" si="1360"/>
        <v>0</v>
      </c>
      <c r="AK1441" s="283">
        <f t="shared" si="1361"/>
        <v>0</v>
      </c>
      <c r="AL1441" s="283">
        <f t="shared" si="1362"/>
        <v>0</v>
      </c>
      <c r="AM1441" s="283">
        <f t="shared" si="1363"/>
        <v>0</v>
      </c>
      <c r="AN1441" s="283">
        <f t="shared" si="1364"/>
        <v>0</v>
      </c>
      <c r="AO1441" s="283">
        <f t="shared" si="1365"/>
        <v>0</v>
      </c>
      <c r="AP1441" s="283">
        <f t="shared" si="1366"/>
        <v>0</v>
      </c>
      <c r="AQ1441" s="283">
        <f t="shared" si="1367"/>
        <v>0</v>
      </c>
      <c r="AR1441" s="283">
        <f t="shared" si="1368"/>
        <v>0</v>
      </c>
      <c r="AS1441" s="283">
        <f t="shared" si="1369"/>
        <v>0</v>
      </c>
      <c r="AT1441" s="283">
        <f t="shared" si="1370"/>
        <v>0</v>
      </c>
      <c r="AU1441" s="283">
        <f t="shared" si="1371"/>
        <v>0</v>
      </c>
      <c r="AV1441" s="283">
        <f t="shared" si="1372"/>
        <v>0</v>
      </c>
      <c r="AW1441" s="283">
        <f t="shared" si="1373"/>
        <v>0</v>
      </c>
      <c r="AX1441" s="283">
        <f t="shared" si="1374"/>
        <v>0</v>
      </c>
      <c r="AY1441" s="283">
        <f t="shared" si="1375"/>
        <v>0</v>
      </c>
      <c r="AZ1441" s="283">
        <f t="shared" si="1376"/>
        <v>0</v>
      </c>
      <c r="BA1441" s="283">
        <f t="shared" si="1377"/>
        <v>0</v>
      </c>
      <c r="BB1441" s="283">
        <f t="shared" si="1378"/>
        <v>0</v>
      </c>
      <c r="BC1441" s="283">
        <f t="shared" si="1379"/>
        <v>0</v>
      </c>
      <c r="BD1441" s="283">
        <f t="shared" si="1380"/>
        <v>0</v>
      </c>
      <c r="BE1441" s="283">
        <f t="shared" si="1381"/>
        <v>0</v>
      </c>
      <c r="BF1441" s="283">
        <f t="shared" si="1382"/>
        <v>0</v>
      </c>
      <c r="BG1441" s="283">
        <f t="shared" si="1383"/>
        <v>0</v>
      </c>
      <c r="BH1441" s="283">
        <f t="shared" si="1384"/>
        <v>0</v>
      </c>
      <c r="BI1441" s="283">
        <f t="shared" si="1385"/>
        <v>0</v>
      </c>
      <c r="BJ1441" s="283">
        <f t="shared" si="1386"/>
        <v>0</v>
      </c>
      <c r="BK1441" s="283">
        <f t="shared" si="1387"/>
        <v>0</v>
      </c>
      <c r="BL1441" s="283">
        <f t="shared" si="1388"/>
        <v>0</v>
      </c>
      <c r="BM1441" s="283">
        <f t="shared" si="1389"/>
        <v>0</v>
      </c>
      <c r="BN1441" s="283">
        <f t="shared" si="1390"/>
        <v>0</v>
      </c>
      <c r="BO1441" s="283">
        <f t="shared" si="1391"/>
        <v>0</v>
      </c>
      <c r="BP1441" s="283">
        <f t="shared" si="1392"/>
        <v>0</v>
      </c>
      <c r="BQ1441" s="283">
        <f t="shared" si="1393"/>
        <v>0</v>
      </c>
      <c r="BR1441" s="283">
        <f t="shared" si="1394"/>
        <v>0</v>
      </c>
      <c r="BS1441" s="283">
        <f t="shared" si="1395"/>
        <v>0</v>
      </c>
      <c r="BT1441" s="283">
        <f t="shared" si="1396"/>
        <v>0</v>
      </c>
      <c r="BU1441" s="283">
        <f t="shared" si="1397"/>
        <v>0</v>
      </c>
      <c r="BV1441" s="283">
        <f t="shared" si="1398"/>
        <v>0</v>
      </c>
      <c r="BW1441" s="283">
        <f t="shared" si="1399"/>
        <v>0</v>
      </c>
      <c r="BX1441" s="283">
        <f t="shared" si="1400"/>
        <v>0</v>
      </c>
      <c r="BY1441" s="283">
        <f t="shared" si="1401"/>
        <v>0</v>
      </c>
      <c r="BZ1441" s="283">
        <f t="shared" si="1402"/>
        <v>0</v>
      </c>
      <c r="CA1441" s="283">
        <f t="shared" si="1403"/>
        <v>0</v>
      </c>
      <c r="CB1441" s="283">
        <f t="shared" si="1404"/>
        <v>0</v>
      </c>
      <c r="CC1441" s="283">
        <f t="shared" si="1405"/>
        <v>0</v>
      </c>
      <c r="CD1441" s="283">
        <f t="shared" si="1406"/>
        <v>0</v>
      </c>
      <c r="CE1441" s="283">
        <f t="shared" si="1407"/>
        <v>0</v>
      </c>
      <c r="CF1441" s="283">
        <f t="shared" si="1408"/>
        <v>0</v>
      </c>
      <c r="CG1441" s="283">
        <f t="shared" si="1409"/>
        <v>0</v>
      </c>
      <c r="CH1441" s="283">
        <f t="shared" si="1410"/>
        <v>0</v>
      </c>
      <c r="CI1441" s="283">
        <f t="shared" si="1411"/>
        <v>0</v>
      </c>
      <c r="CJ1441" s="283">
        <f t="shared" si="1412"/>
        <v>0</v>
      </c>
      <c r="CK1441" s="283">
        <f t="shared" si="1413"/>
        <v>0</v>
      </c>
      <c r="CL1441" s="283">
        <f t="shared" si="1414"/>
        <v>0</v>
      </c>
      <c r="CM1441" s="283">
        <f t="shared" si="1415"/>
        <v>0</v>
      </c>
      <c r="CN1441" s="283">
        <f t="shared" si="1416"/>
        <v>0</v>
      </c>
      <c r="CO1441" s="283">
        <f t="shared" si="1417"/>
        <v>0</v>
      </c>
      <c r="CP1441" s="283">
        <f t="shared" si="1418"/>
        <v>0</v>
      </c>
      <c r="CQ1441" s="283">
        <f t="shared" si="1419"/>
        <v>0</v>
      </c>
      <c r="CR1441" s="283">
        <f t="shared" si="1420"/>
        <v>0</v>
      </c>
      <c r="CS1441" s="283">
        <f t="shared" si="1421"/>
        <v>0</v>
      </c>
      <c r="CT1441" s="283">
        <f t="shared" si="1422"/>
        <v>0</v>
      </c>
      <c r="CU1441" s="283">
        <f t="shared" si="1423"/>
        <v>0</v>
      </c>
      <c r="CV1441" s="283">
        <f t="shared" si="1424"/>
        <v>0</v>
      </c>
      <c r="CW1441" s="283">
        <f t="shared" si="1425"/>
        <v>0</v>
      </c>
      <c r="CX1441" s="283">
        <f t="shared" si="1426"/>
        <v>0</v>
      </c>
      <c r="CY1441" s="253">
        <f t="shared" si="1427"/>
        <v>0</v>
      </c>
      <c r="CZ1441" s="342">
        <f t="shared" si="1428"/>
        <v>0</v>
      </c>
    </row>
    <row r="1442" spans="1:104" ht="15" customHeight="1">
      <c r="A1442" s="50"/>
      <c r="B1442" s="90"/>
      <c r="C1442" s="143" t="s">
        <v>2523</v>
      </c>
      <c r="D1442" s="813" t="str">
        <f>IF(CNSIPEE_2024_M2_Secc1!D49="","",CNSIPEE_2024_M2_Secc1!D49)</f>
        <v/>
      </c>
      <c r="E1442" s="814"/>
      <c r="F1442" s="815"/>
      <c r="G1442" s="816"/>
      <c r="H1442" s="738"/>
      <c r="I1442" s="817"/>
      <c r="J1442" s="100"/>
      <c r="K1442" s="100"/>
      <c r="L1442" s="100"/>
      <c r="M1442" s="100"/>
      <c r="N1442" s="100"/>
      <c r="O1442" s="100"/>
      <c r="P1442" s="100"/>
      <c r="Q1442" s="100"/>
      <c r="R1442" s="100"/>
      <c r="S1442" s="100"/>
      <c r="T1442" s="100"/>
      <c r="U1442" s="100"/>
      <c r="V1442" s="100"/>
      <c r="W1442" s="100"/>
      <c r="X1442" s="100"/>
      <c r="Y1442" s="100"/>
      <c r="Z1442" s="100"/>
      <c r="AA1442" s="100"/>
      <c r="AB1442" s="100"/>
      <c r="AC1442" s="100"/>
      <c r="AD1442" s="100"/>
      <c r="AG1442" s="326">
        <f t="shared" si="1357"/>
        <v>0</v>
      </c>
      <c r="AH1442" s="283">
        <f t="shared" si="1358"/>
        <v>0</v>
      </c>
      <c r="AI1442" s="283">
        <f t="shared" si="1359"/>
        <v>0</v>
      </c>
      <c r="AJ1442" s="283">
        <f t="shared" si="1360"/>
        <v>0</v>
      </c>
      <c r="AK1442" s="283">
        <f t="shared" si="1361"/>
        <v>0</v>
      </c>
      <c r="AL1442" s="283">
        <f t="shared" si="1362"/>
        <v>0</v>
      </c>
      <c r="AM1442" s="283">
        <f t="shared" si="1363"/>
        <v>0</v>
      </c>
      <c r="AN1442" s="283">
        <f t="shared" si="1364"/>
        <v>0</v>
      </c>
      <c r="AO1442" s="283">
        <f t="shared" si="1365"/>
        <v>0</v>
      </c>
      <c r="AP1442" s="283">
        <f t="shared" si="1366"/>
        <v>0</v>
      </c>
      <c r="AQ1442" s="283">
        <f t="shared" si="1367"/>
        <v>0</v>
      </c>
      <c r="AR1442" s="283">
        <f t="shared" si="1368"/>
        <v>0</v>
      </c>
      <c r="AS1442" s="283">
        <f t="shared" si="1369"/>
        <v>0</v>
      </c>
      <c r="AT1442" s="283">
        <f t="shared" si="1370"/>
        <v>0</v>
      </c>
      <c r="AU1442" s="283">
        <f t="shared" si="1371"/>
        <v>0</v>
      </c>
      <c r="AV1442" s="283">
        <f t="shared" si="1372"/>
        <v>0</v>
      </c>
      <c r="AW1442" s="283">
        <f t="shared" si="1373"/>
        <v>0</v>
      </c>
      <c r="AX1442" s="283">
        <f t="shared" si="1374"/>
        <v>0</v>
      </c>
      <c r="AY1442" s="283">
        <f t="shared" si="1375"/>
        <v>0</v>
      </c>
      <c r="AZ1442" s="283">
        <f t="shared" si="1376"/>
        <v>0</v>
      </c>
      <c r="BA1442" s="283">
        <f t="shared" si="1377"/>
        <v>0</v>
      </c>
      <c r="BB1442" s="283">
        <f t="shared" si="1378"/>
        <v>0</v>
      </c>
      <c r="BC1442" s="283">
        <f t="shared" si="1379"/>
        <v>0</v>
      </c>
      <c r="BD1442" s="283">
        <f t="shared" si="1380"/>
        <v>0</v>
      </c>
      <c r="BE1442" s="283">
        <f t="shared" si="1381"/>
        <v>0</v>
      </c>
      <c r="BF1442" s="283">
        <f t="shared" si="1382"/>
        <v>0</v>
      </c>
      <c r="BG1442" s="283">
        <f t="shared" si="1383"/>
        <v>0</v>
      </c>
      <c r="BH1442" s="283">
        <f t="shared" si="1384"/>
        <v>0</v>
      </c>
      <c r="BI1442" s="283">
        <f t="shared" si="1385"/>
        <v>0</v>
      </c>
      <c r="BJ1442" s="283">
        <f t="shared" si="1386"/>
        <v>0</v>
      </c>
      <c r="BK1442" s="283">
        <f t="shared" si="1387"/>
        <v>0</v>
      </c>
      <c r="BL1442" s="283">
        <f t="shared" si="1388"/>
        <v>0</v>
      </c>
      <c r="BM1442" s="283">
        <f t="shared" si="1389"/>
        <v>0</v>
      </c>
      <c r="BN1442" s="283">
        <f t="shared" si="1390"/>
        <v>0</v>
      </c>
      <c r="BO1442" s="283">
        <f t="shared" si="1391"/>
        <v>0</v>
      </c>
      <c r="BP1442" s="283">
        <f t="shared" si="1392"/>
        <v>0</v>
      </c>
      <c r="BQ1442" s="283">
        <f t="shared" si="1393"/>
        <v>0</v>
      </c>
      <c r="BR1442" s="283">
        <f t="shared" si="1394"/>
        <v>0</v>
      </c>
      <c r="BS1442" s="283">
        <f t="shared" si="1395"/>
        <v>0</v>
      </c>
      <c r="BT1442" s="283">
        <f t="shared" si="1396"/>
        <v>0</v>
      </c>
      <c r="BU1442" s="283">
        <f t="shared" si="1397"/>
        <v>0</v>
      </c>
      <c r="BV1442" s="283">
        <f t="shared" si="1398"/>
        <v>0</v>
      </c>
      <c r="BW1442" s="283">
        <f t="shared" si="1399"/>
        <v>0</v>
      </c>
      <c r="BX1442" s="283">
        <f t="shared" si="1400"/>
        <v>0</v>
      </c>
      <c r="BY1442" s="283">
        <f t="shared" si="1401"/>
        <v>0</v>
      </c>
      <c r="BZ1442" s="283">
        <f t="shared" si="1402"/>
        <v>0</v>
      </c>
      <c r="CA1442" s="283">
        <f t="shared" si="1403"/>
        <v>0</v>
      </c>
      <c r="CB1442" s="283">
        <f t="shared" si="1404"/>
        <v>0</v>
      </c>
      <c r="CC1442" s="283">
        <f t="shared" si="1405"/>
        <v>0</v>
      </c>
      <c r="CD1442" s="283">
        <f t="shared" si="1406"/>
        <v>0</v>
      </c>
      <c r="CE1442" s="283">
        <f t="shared" si="1407"/>
        <v>0</v>
      </c>
      <c r="CF1442" s="283">
        <f t="shared" si="1408"/>
        <v>0</v>
      </c>
      <c r="CG1442" s="283">
        <f t="shared" si="1409"/>
        <v>0</v>
      </c>
      <c r="CH1442" s="283">
        <f t="shared" si="1410"/>
        <v>0</v>
      </c>
      <c r="CI1442" s="283">
        <f t="shared" si="1411"/>
        <v>0</v>
      </c>
      <c r="CJ1442" s="283">
        <f t="shared" si="1412"/>
        <v>0</v>
      </c>
      <c r="CK1442" s="283">
        <f t="shared" si="1413"/>
        <v>0</v>
      </c>
      <c r="CL1442" s="283">
        <f t="shared" si="1414"/>
        <v>0</v>
      </c>
      <c r="CM1442" s="283">
        <f t="shared" si="1415"/>
        <v>0</v>
      </c>
      <c r="CN1442" s="283">
        <f t="shared" si="1416"/>
        <v>0</v>
      </c>
      <c r="CO1442" s="283">
        <f t="shared" si="1417"/>
        <v>0</v>
      </c>
      <c r="CP1442" s="283">
        <f t="shared" si="1418"/>
        <v>0</v>
      </c>
      <c r="CQ1442" s="283">
        <f t="shared" si="1419"/>
        <v>0</v>
      </c>
      <c r="CR1442" s="283">
        <f t="shared" si="1420"/>
        <v>0</v>
      </c>
      <c r="CS1442" s="283">
        <f t="shared" si="1421"/>
        <v>0</v>
      </c>
      <c r="CT1442" s="283">
        <f t="shared" si="1422"/>
        <v>0</v>
      </c>
      <c r="CU1442" s="283">
        <f t="shared" si="1423"/>
        <v>0</v>
      </c>
      <c r="CV1442" s="283">
        <f t="shared" si="1424"/>
        <v>0</v>
      </c>
      <c r="CW1442" s="283">
        <f t="shared" si="1425"/>
        <v>0</v>
      </c>
      <c r="CX1442" s="283">
        <f t="shared" si="1426"/>
        <v>0</v>
      </c>
      <c r="CY1442" s="253">
        <f t="shared" si="1427"/>
        <v>0</v>
      </c>
      <c r="CZ1442" s="342">
        <f t="shared" si="1428"/>
        <v>0</v>
      </c>
    </row>
    <row r="1443" spans="1:104" ht="15" customHeight="1">
      <c r="A1443" s="50"/>
      <c r="B1443" s="90"/>
      <c r="C1443" s="90"/>
      <c r="D1443" s="90"/>
      <c r="E1443" s="90"/>
      <c r="F1443" s="90"/>
      <c r="G1443" s="90"/>
      <c r="H1443" s="90"/>
      <c r="I1443" s="99" t="s">
        <v>2649</v>
      </c>
      <c r="J1443" s="124">
        <f>IF(AND(SUM(J1435:J1442)=0,COUNTIF(J1435:J1442,"NS")&gt;0),"NS",
IF(AND(SUM(J1435:J1442)=0,COUNTIF(J1435:J1442,0)&gt;0),0,
IF(AND(SUM(J1435:J1442)=0,COUNTIF(J1435:J1442,"NA")&gt;0),"NA",
SUM(J1435:J1442))))</f>
        <v>0</v>
      </c>
      <c r="K1443" s="124">
        <f t="shared" ref="K1443:AD1443" si="1429">IF(AND(SUM(K1435:K1442)=0,COUNTIF(K1435:K1442,"NS")&gt;0),"NS",
IF(AND(SUM(K1435:K1442)=0,COUNTIF(K1435:K1442,0)&gt;0),0,
IF(AND(SUM(K1435:K1442)=0,COUNTIF(K1435:K1442,"NA")&gt;0),"NA",
SUM(K1435:K1442))))</f>
        <v>0</v>
      </c>
      <c r="L1443" s="124">
        <f t="shared" si="1429"/>
        <v>0</v>
      </c>
      <c r="M1443" s="124">
        <f t="shared" si="1429"/>
        <v>0</v>
      </c>
      <c r="N1443" s="124">
        <f t="shared" si="1429"/>
        <v>0</v>
      </c>
      <c r="O1443" s="124">
        <f t="shared" si="1429"/>
        <v>0</v>
      </c>
      <c r="P1443" s="124">
        <f t="shared" si="1429"/>
        <v>0</v>
      </c>
      <c r="Q1443" s="124">
        <f t="shared" si="1429"/>
        <v>0</v>
      </c>
      <c r="R1443" s="124">
        <f t="shared" si="1429"/>
        <v>0</v>
      </c>
      <c r="S1443" s="124">
        <f t="shared" si="1429"/>
        <v>0</v>
      </c>
      <c r="T1443" s="124">
        <f t="shared" si="1429"/>
        <v>0</v>
      </c>
      <c r="U1443" s="124">
        <f t="shared" si="1429"/>
        <v>0</v>
      </c>
      <c r="V1443" s="124">
        <f t="shared" si="1429"/>
        <v>0</v>
      </c>
      <c r="W1443" s="124">
        <f t="shared" si="1429"/>
        <v>0</v>
      </c>
      <c r="X1443" s="124">
        <f t="shared" si="1429"/>
        <v>0</v>
      </c>
      <c r="Y1443" s="124">
        <f t="shared" si="1429"/>
        <v>0</v>
      </c>
      <c r="Z1443" s="124">
        <f t="shared" si="1429"/>
        <v>0</v>
      </c>
      <c r="AA1443" s="124">
        <f t="shared" si="1429"/>
        <v>0</v>
      </c>
      <c r="AB1443" s="124">
        <f t="shared" si="1429"/>
        <v>0</v>
      </c>
      <c r="AC1443" s="124">
        <f t="shared" si="1429"/>
        <v>0</v>
      </c>
      <c r="AD1443" s="124">
        <f t="shared" si="1429"/>
        <v>0</v>
      </c>
      <c r="AG1443" s="354">
        <f>SUM(AG1435:AG1442)</f>
        <v>0</v>
      </c>
      <c r="AH1443" s="406">
        <f>SUM(AH1435:AH1442)</f>
        <v>0</v>
      </c>
      <c r="AI1443" s="326"/>
      <c r="AJ1443" s="352">
        <f>SUM(AJ1435:AJ1442)</f>
        <v>0</v>
      </c>
      <c r="AK1443" s="406">
        <f t="shared" ref="AK1443" si="1430">SUM(AK1435:AK1442)</f>
        <v>0</v>
      </c>
      <c r="AL1443" s="326"/>
      <c r="AM1443" s="352">
        <f t="shared" ref="AM1443:AN1443" si="1431">SUM(AM1435:AM1442)</f>
        <v>0</v>
      </c>
      <c r="AN1443" s="406">
        <f t="shared" si="1431"/>
        <v>0</v>
      </c>
      <c r="AO1443" s="326"/>
      <c r="AP1443" s="352">
        <f t="shared" ref="AP1443:AQ1443" si="1432">SUM(AP1435:AP1442)</f>
        <v>0</v>
      </c>
      <c r="AQ1443" s="406">
        <f t="shared" si="1432"/>
        <v>0</v>
      </c>
      <c r="AR1443" s="326"/>
      <c r="AS1443" s="352">
        <f t="shared" ref="AS1443:AT1443" si="1433">SUM(AS1435:AS1442)</f>
        <v>0</v>
      </c>
      <c r="AT1443" s="406">
        <f t="shared" si="1433"/>
        <v>0</v>
      </c>
      <c r="AU1443" s="326"/>
      <c r="AV1443" s="352">
        <f t="shared" ref="AV1443:AW1443" si="1434">SUM(AV1435:AV1442)</f>
        <v>0</v>
      </c>
      <c r="AW1443" s="406">
        <f t="shared" si="1434"/>
        <v>0</v>
      </c>
      <c r="AX1443" s="326"/>
      <c r="AY1443" s="352">
        <f t="shared" ref="AY1443:AZ1443" si="1435">SUM(AY1435:AY1442)</f>
        <v>0</v>
      </c>
      <c r="AZ1443" s="406">
        <f t="shared" si="1435"/>
        <v>0</v>
      </c>
      <c r="BA1443" s="326"/>
      <c r="BB1443" s="352">
        <f t="shared" ref="BB1443:BC1443" si="1436">SUM(BB1435:BB1442)</f>
        <v>0</v>
      </c>
      <c r="BC1443" s="406">
        <f t="shared" si="1436"/>
        <v>0</v>
      </c>
      <c r="BD1443" s="326"/>
      <c r="BE1443" s="352">
        <f t="shared" ref="BE1443:BF1443" si="1437">SUM(BE1435:BE1442)</f>
        <v>0</v>
      </c>
      <c r="BF1443" s="406">
        <f t="shared" si="1437"/>
        <v>0</v>
      </c>
      <c r="BG1443" s="326"/>
      <c r="BH1443" s="352">
        <f t="shared" ref="BH1443:BI1443" si="1438">SUM(BH1435:BH1442)</f>
        <v>0</v>
      </c>
      <c r="BI1443" s="406">
        <f t="shared" si="1438"/>
        <v>0</v>
      </c>
      <c r="BJ1443" s="326"/>
      <c r="BK1443" s="352">
        <f t="shared" ref="BK1443:BL1443" si="1439">SUM(BK1435:BK1442)</f>
        <v>0</v>
      </c>
      <c r="BL1443" s="406">
        <f t="shared" si="1439"/>
        <v>0</v>
      </c>
      <c r="BM1443" s="326"/>
      <c r="BN1443" s="352">
        <f t="shared" ref="BN1443:BO1443" si="1440">SUM(BN1435:BN1442)</f>
        <v>0</v>
      </c>
      <c r="BO1443" s="406">
        <f t="shared" si="1440"/>
        <v>0</v>
      </c>
      <c r="BP1443" s="326"/>
      <c r="BQ1443" s="352">
        <f t="shared" ref="BQ1443:BR1443" si="1441">SUM(BQ1435:BQ1442)</f>
        <v>0</v>
      </c>
      <c r="BR1443" s="406">
        <f t="shared" si="1441"/>
        <v>0</v>
      </c>
      <c r="BS1443" s="326"/>
      <c r="BT1443" s="352">
        <f t="shared" ref="BT1443:BU1443" si="1442">SUM(BT1435:BT1442)</f>
        <v>0</v>
      </c>
      <c r="BU1443" s="406">
        <f t="shared" si="1442"/>
        <v>0</v>
      </c>
      <c r="BV1443" s="326"/>
      <c r="BW1443" s="352">
        <f t="shared" ref="BW1443:BX1443" si="1443">SUM(BW1435:BW1442)</f>
        <v>0</v>
      </c>
      <c r="BX1443" s="406">
        <f t="shared" si="1443"/>
        <v>0</v>
      </c>
      <c r="BY1443" s="326"/>
      <c r="BZ1443" s="352">
        <f t="shared" ref="BZ1443:CA1443" si="1444">SUM(BZ1435:BZ1442)</f>
        <v>0</v>
      </c>
      <c r="CA1443" s="406">
        <f t="shared" si="1444"/>
        <v>0</v>
      </c>
      <c r="CB1443" s="326"/>
      <c r="CC1443" s="352">
        <f t="shared" ref="CC1443:CD1443" si="1445">SUM(CC1435:CC1442)</f>
        <v>0</v>
      </c>
      <c r="CD1443" s="406">
        <f t="shared" si="1445"/>
        <v>0</v>
      </c>
      <c r="CE1443" s="326"/>
      <c r="CF1443" s="352">
        <f t="shared" ref="CF1443:CG1443" si="1446">SUM(CF1435:CF1442)</f>
        <v>0</v>
      </c>
      <c r="CG1443" s="406">
        <f t="shared" si="1446"/>
        <v>0</v>
      </c>
      <c r="CH1443" s="326"/>
      <c r="CI1443" s="352">
        <f t="shared" ref="CI1443:CJ1443" si="1447">SUM(CI1435:CI1442)</f>
        <v>0</v>
      </c>
      <c r="CJ1443" s="406">
        <f t="shared" si="1447"/>
        <v>0</v>
      </c>
      <c r="CK1443" s="326"/>
      <c r="CL1443" s="352">
        <f t="shared" ref="CL1443:CM1443" si="1448">SUM(CL1435:CL1442)</f>
        <v>0</v>
      </c>
      <c r="CM1443" s="406">
        <f t="shared" si="1448"/>
        <v>0</v>
      </c>
      <c r="CN1443" s="326"/>
      <c r="CO1443" s="352">
        <f t="shared" ref="CO1443:CP1443" si="1449">SUM(CO1435:CO1442)</f>
        <v>0</v>
      </c>
      <c r="CP1443" s="406">
        <f t="shared" si="1449"/>
        <v>0</v>
      </c>
      <c r="CQ1443" s="326"/>
      <c r="CR1443" s="352">
        <f t="shared" ref="CR1443:CS1443" si="1450">SUM(CR1435:CR1442)</f>
        <v>0</v>
      </c>
      <c r="CS1443" s="406">
        <f t="shared" si="1450"/>
        <v>0</v>
      </c>
      <c r="CT1443" s="326"/>
      <c r="CU1443" s="352">
        <f t="shared" ref="CU1443:CV1443" si="1451">SUM(CU1435:CU1442)</f>
        <v>0</v>
      </c>
      <c r="CV1443" s="406">
        <f t="shared" si="1451"/>
        <v>0</v>
      </c>
      <c r="CW1443" s="326"/>
      <c r="CX1443" s="352">
        <f t="shared" ref="CX1443" si="1452">SUM(CX1435:CX1442)</f>
        <v>0</v>
      </c>
      <c r="CY1443" s="469">
        <f>SUM(CY1435:CY1442)</f>
        <v>0</v>
      </c>
      <c r="CZ1443" s="465">
        <f>SUM(CZ1435:CZ1442)</f>
        <v>0</v>
      </c>
    </row>
    <row r="1444" spans="1:104" ht="15" customHeight="1">
      <c r="A1444" s="91"/>
    </row>
    <row r="1445" spans="1:104" ht="15">
      <c r="A1445" s="115"/>
      <c r="AA1445" s="875" t="s">
        <v>3233</v>
      </c>
      <c r="AB1445" s="875"/>
      <c r="AC1445" s="875"/>
      <c r="AD1445" s="875"/>
      <c r="AJ1445" s="356" t="s">
        <v>2650</v>
      </c>
      <c r="AK1445" s="283">
        <f>SUM(AJ1443,AM1443,AP1443,AS1443,AV1443,AY1443,BB1443,BE1443,BH1443,BK1443,BN1443,BQ1443,BT1443,BW1443,BZ1443,CC1443,CF1443,CI1443,CL1443,CO1443,CR1443,CU1443,CX1443)</f>
        <v>0</v>
      </c>
      <c r="AL1445" s="355" t="s">
        <v>2651</v>
      </c>
      <c r="AM1445" s="283">
        <f>SUM(AH1443,AK1443,AN1443,AQ1443,AT1443,AW1443,AZ1443,BC1443,BF1443,BI1443,BL1443,BO1443,BR1443,BU1443,BX1443,CA1443,CD1443,CG1443,CJ1443,CM1443,CP1443,CS1443,CV1443)</f>
        <v>0</v>
      </c>
      <c r="AN1445" s="283"/>
      <c r="AO1445" s="283"/>
    </row>
    <row r="1446" spans="1:104" ht="24" customHeight="1">
      <c r="A1446" s="142"/>
      <c r="B1446" s="113"/>
      <c r="C1446" s="797" t="s">
        <v>2581</v>
      </c>
      <c r="D1446" s="798"/>
      <c r="E1446" s="798"/>
      <c r="F1446" s="799"/>
      <c r="G1446" s="740" t="s">
        <v>3859</v>
      </c>
      <c r="H1446" s="740"/>
      <c r="I1446" s="740"/>
      <c r="J1446" s="740"/>
      <c r="K1446" s="740"/>
      <c r="L1446" s="740"/>
      <c r="M1446" s="740"/>
      <c r="N1446" s="740"/>
      <c r="O1446" s="740"/>
      <c r="P1446" s="740"/>
      <c r="Q1446" s="740"/>
      <c r="R1446" s="740"/>
      <c r="S1446" s="740"/>
      <c r="T1446" s="740"/>
      <c r="U1446" s="740"/>
      <c r="V1446" s="740"/>
      <c r="W1446" s="740"/>
      <c r="X1446" s="740"/>
      <c r="Y1446" s="740"/>
      <c r="Z1446" s="740"/>
      <c r="AA1446" s="740"/>
      <c r="AB1446" s="740"/>
      <c r="AC1446" s="740"/>
      <c r="AD1446" s="741"/>
      <c r="AJ1446" s="356" t="s">
        <v>2652</v>
      </c>
      <c r="AK1446" s="438">
        <f>IF(AM1445&gt;0,IF(SUM(J1443)&gt;=SUM(M1443,P1443,S1443,V1443,Y1443,AB1443,G1459,J1459,M1459,P1459,S1459,V1459,Y1459,AB1459,G1475,J1475,M1475,P1475,S1475,V1475,Y1475,AB1475),0,1),IF(SUM(J1443)&lt;&gt;SUM(M1443,P1443,S1443,V1443,Y1443,AB1443,G1459,J1459,M1459,P1459,S1459,V1459,Y1459,AB1459,G1475,J1475,M1475,P1475,S1475,V1475,Y1475,AB1475),1,0))</f>
        <v>0</v>
      </c>
      <c r="AL1446" s="357" t="s">
        <v>2653</v>
      </c>
      <c r="AM1446" s="438">
        <f>IF(AM1445&gt;0,IF(SUM(K1443)&gt;=SUM(N1443,Q1443,T1443,W1443,Z1443,AC1443,H1459,K1459,N1459,Q1459,T1459,W1459,Z1459,AC1459,H1475,K1475,N1475,Q1475,T1475,W1475,Z1475,AC1475),0,1),IF(SUM(K1443)&lt;&gt;SUM(N1443,Q1443,T1443,W1443,Z1443,AC1443,H1459,K1459,N1459,Q1459,T1459,W1459,Z1459,AC1459,H1475,K1475,N1475,Q1475,T1475,W1475,Z1475,AC1475),1,0))</f>
        <v>0</v>
      </c>
      <c r="AN1446" s="357" t="s">
        <v>2654</v>
      </c>
      <c r="AO1446" s="438">
        <f>IF(AM1445&gt;0,IF(SUM(L1443)&gt;=SUM(O1443,R1443,U1443,X1443,AA1443,AD1443,I1459,L1459,O1459,R1459,U1459,X1459,AA1459,AD1459,I1475,L1475,O1475,R1475,U1475,X1475,AA1475,AD1475),0,1),IF(SUM(L1443)&lt;&gt;SUM(O1443,R1443,U1443,X1443,AA1443,AD1443,I1459,L1459,O1459,R1459,U1459,X1459,AA1459,AD1459,I1475,L1475,O1475,R1475,U1475,X1475,AA1475,AD1475),1,0))</f>
        <v>0</v>
      </c>
    </row>
    <row r="1447" spans="1:104" ht="15" customHeight="1">
      <c r="A1447" s="142"/>
      <c r="B1447" s="113"/>
      <c r="C1447" s="800"/>
      <c r="D1447" s="801"/>
      <c r="E1447" s="801"/>
      <c r="F1447" s="802"/>
      <c r="G1447" s="733" t="s">
        <v>3268</v>
      </c>
      <c r="H1447" s="734"/>
      <c r="I1447" s="734"/>
      <c r="J1447" s="734"/>
      <c r="K1447" s="734"/>
      <c r="L1447" s="734"/>
      <c r="M1447" s="734"/>
      <c r="N1447" s="734"/>
      <c r="O1447" s="734"/>
      <c r="P1447" s="734"/>
      <c r="Q1447" s="734"/>
      <c r="R1447" s="734"/>
      <c r="S1447" s="734"/>
      <c r="T1447" s="734"/>
      <c r="U1447" s="734"/>
      <c r="V1447" s="734"/>
      <c r="W1447" s="734"/>
      <c r="X1447" s="734"/>
      <c r="Y1447" s="734"/>
      <c r="Z1447" s="734"/>
      <c r="AA1447" s="734"/>
      <c r="AB1447" s="734"/>
      <c r="AC1447" s="734"/>
      <c r="AD1447" s="735"/>
    </row>
    <row r="1448" spans="1:104" ht="15" customHeight="1">
      <c r="A1448" s="142"/>
      <c r="B1448" s="113"/>
      <c r="C1448" s="800"/>
      <c r="D1448" s="801"/>
      <c r="E1448" s="801"/>
      <c r="F1448" s="802"/>
      <c r="G1448" s="733" t="s">
        <v>3269</v>
      </c>
      <c r="H1448" s="734"/>
      <c r="I1448" s="734"/>
      <c r="J1448" s="734"/>
      <c r="K1448" s="734"/>
      <c r="L1448" s="734"/>
      <c r="M1448" s="734"/>
      <c r="N1448" s="734"/>
      <c r="O1448" s="734"/>
      <c r="P1448" s="734"/>
      <c r="Q1448" s="734"/>
      <c r="R1448" s="735"/>
      <c r="S1448" s="841" t="s">
        <v>3290</v>
      </c>
      <c r="T1448" s="950"/>
      <c r="U1448" s="842"/>
      <c r="V1448" s="841" t="s">
        <v>3291</v>
      </c>
      <c r="W1448" s="950"/>
      <c r="X1448" s="842"/>
      <c r="Y1448" s="841" t="s">
        <v>3292</v>
      </c>
      <c r="Z1448" s="950"/>
      <c r="AA1448" s="842"/>
      <c r="AB1448" s="841" t="s">
        <v>3293</v>
      </c>
      <c r="AC1448" s="950"/>
      <c r="AD1448" s="842"/>
    </row>
    <row r="1449" spans="1:104" ht="84" customHeight="1">
      <c r="A1449" s="142"/>
      <c r="C1449" s="800"/>
      <c r="D1449" s="801"/>
      <c r="E1449" s="801"/>
      <c r="F1449" s="802"/>
      <c r="G1449" s="845" t="s">
        <v>3294</v>
      </c>
      <c r="H1449" s="952"/>
      <c r="I1449" s="846"/>
      <c r="J1449" s="845" t="s">
        <v>3295</v>
      </c>
      <c r="K1449" s="952"/>
      <c r="L1449" s="846"/>
      <c r="M1449" s="845" t="s">
        <v>3296</v>
      </c>
      <c r="N1449" s="952"/>
      <c r="O1449" s="846"/>
      <c r="P1449" s="845" t="s">
        <v>3297</v>
      </c>
      <c r="Q1449" s="952"/>
      <c r="R1449" s="846"/>
      <c r="S1449" s="843"/>
      <c r="T1449" s="951"/>
      <c r="U1449" s="844"/>
      <c r="V1449" s="843"/>
      <c r="W1449" s="951"/>
      <c r="X1449" s="844"/>
      <c r="Y1449" s="843"/>
      <c r="Z1449" s="951"/>
      <c r="AA1449" s="844"/>
      <c r="AB1449" s="843"/>
      <c r="AC1449" s="951"/>
      <c r="AD1449" s="844"/>
    </row>
    <row r="1450" spans="1:104" ht="48" customHeight="1">
      <c r="A1450" s="142"/>
      <c r="C1450" s="803"/>
      <c r="D1450" s="804"/>
      <c r="E1450" s="804"/>
      <c r="F1450" s="805"/>
      <c r="G1450" s="127" t="s">
        <v>2635</v>
      </c>
      <c r="H1450" s="128" t="s">
        <v>2629</v>
      </c>
      <c r="I1450" s="128" t="s">
        <v>2630</v>
      </c>
      <c r="J1450" s="127" t="s">
        <v>2635</v>
      </c>
      <c r="K1450" s="128" t="s">
        <v>2629</v>
      </c>
      <c r="L1450" s="128" t="s">
        <v>2630</v>
      </c>
      <c r="M1450" s="127" t="s">
        <v>2635</v>
      </c>
      <c r="N1450" s="128" t="s">
        <v>2629</v>
      </c>
      <c r="O1450" s="128" t="s">
        <v>2630</v>
      </c>
      <c r="P1450" s="127" t="s">
        <v>2635</v>
      </c>
      <c r="Q1450" s="128" t="s">
        <v>2629</v>
      </c>
      <c r="R1450" s="128" t="s">
        <v>2630</v>
      </c>
      <c r="S1450" s="127" t="s">
        <v>2635</v>
      </c>
      <c r="T1450" s="128" t="s">
        <v>2629</v>
      </c>
      <c r="U1450" s="128" t="s">
        <v>2630</v>
      </c>
      <c r="V1450" s="127" t="s">
        <v>2635</v>
      </c>
      <c r="W1450" s="128" t="s">
        <v>2629</v>
      </c>
      <c r="X1450" s="128" t="s">
        <v>2630</v>
      </c>
      <c r="Y1450" s="127" t="s">
        <v>2635</v>
      </c>
      <c r="Z1450" s="128" t="s">
        <v>2629</v>
      </c>
      <c r="AA1450" s="128" t="s">
        <v>2630</v>
      </c>
      <c r="AB1450" s="127" t="s">
        <v>2635</v>
      </c>
      <c r="AC1450" s="128" t="s">
        <v>2629</v>
      </c>
      <c r="AD1450" s="128" t="s">
        <v>2630</v>
      </c>
    </row>
    <row r="1451" spans="1:104" ht="15" customHeight="1">
      <c r="A1451" s="50"/>
      <c r="B1451" s="90"/>
      <c r="C1451" s="97" t="s">
        <v>2516</v>
      </c>
      <c r="D1451" s="813" t="str">
        <f>IF(CNSIPEE_2024_M2_Secc1!D42="","",CNSIPEE_2024_M2_Secc1!D42)</f>
        <v/>
      </c>
      <c r="E1451" s="814"/>
      <c r="F1451" s="815"/>
      <c r="G1451" s="100"/>
      <c r="H1451" s="100"/>
      <c r="I1451" s="100"/>
      <c r="J1451" s="100"/>
      <c r="K1451" s="100"/>
      <c r="L1451" s="100"/>
      <c r="M1451" s="100"/>
      <c r="N1451" s="100"/>
      <c r="O1451" s="100"/>
      <c r="P1451" s="100"/>
      <c r="Q1451" s="100"/>
      <c r="R1451" s="100"/>
      <c r="S1451" s="100"/>
      <c r="T1451" s="100"/>
      <c r="U1451" s="100"/>
      <c r="V1451" s="100"/>
      <c r="W1451" s="100"/>
      <c r="X1451" s="100"/>
      <c r="Y1451" s="100"/>
      <c r="Z1451" s="100"/>
      <c r="AA1451" s="100"/>
      <c r="AB1451" s="100"/>
      <c r="AC1451" s="100"/>
      <c r="AD1451" s="100"/>
    </row>
    <row r="1452" spans="1:104" ht="15" customHeight="1">
      <c r="A1452" s="50"/>
      <c r="B1452" s="90"/>
      <c r="C1452" s="143" t="s">
        <v>2517</v>
      </c>
      <c r="D1452" s="813" t="str">
        <f>IF(CNSIPEE_2024_M2_Secc1!D43="","",CNSIPEE_2024_M2_Secc1!D43)</f>
        <v/>
      </c>
      <c r="E1452" s="814"/>
      <c r="F1452" s="815"/>
      <c r="G1452" s="100"/>
      <c r="H1452" s="100"/>
      <c r="I1452" s="100"/>
      <c r="J1452" s="100"/>
      <c r="K1452" s="100"/>
      <c r="L1452" s="100"/>
      <c r="M1452" s="100"/>
      <c r="N1452" s="100"/>
      <c r="O1452" s="100"/>
      <c r="P1452" s="100"/>
      <c r="Q1452" s="100"/>
      <c r="R1452" s="100"/>
      <c r="S1452" s="100"/>
      <c r="T1452" s="100"/>
      <c r="U1452" s="100"/>
      <c r="V1452" s="100"/>
      <c r="W1452" s="100"/>
      <c r="X1452" s="100"/>
      <c r="Y1452" s="100"/>
      <c r="Z1452" s="100"/>
      <c r="AA1452" s="100"/>
      <c r="AB1452" s="100"/>
      <c r="AC1452" s="100"/>
      <c r="AD1452" s="100"/>
    </row>
    <row r="1453" spans="1:104" ht="15" customHeight="1">
      <c r="A1453" s="50"/>
      <c r="B1453" s="90"/>
      <c r="C1453" s="143" t="s">
        <v>2518</v>
      </c>
      <c r="D1453" s="813" t="str">
        <f>IF(CNSIPEE_2024_M2_Secc1!D44="","",CNSIPEE_2024_M2_Secc1!D44)</f>
        <v/>
      </c>
      <c r="E1453" s="814"/>
      <c r="F1453" s="815"/>
      <c r="G1453" s="100"/>
      <c r="H1453" s="100"/>
      <c r="I1453" s="100"/>
      <c r="J1453" s="100"/>
      <c r="K1453" s="100"/>
      <c r="L1453" s="100"/>
      <c r="M1453" s="100"/>
      <c r="N1453" s="100"/>
      <c r="O1453" s="100"/>
      <c r="P1453" s="100"/>
      <c r="Q1453" s="100"/>
      <c r="R1453" s="100"/>
      <c r="S1453" s="100"/>
      <c r="T1453" s="100"/>
      <c r="U1453" s="100"/>
      <c r="V1453" s="100"/>
      <c r="W1453" s="100"/>
      <c r="X1453" s="100"/>
      <c r="Y1453" s="100"/>
      <c r="Z1453" s="100"/>
      <c r="AA1453" s="100"/>
      <c r="AB1453" s="100"/>
      <c r="AC1453" s="100"/>
      <c r="AD1453" s="100"/>
    </row>
    <row r="1454" spans="1:104" ht="15" customHeight="1">
      <c r="A1454" s="50"/>
      <c r="B1454" s="90"/>
      <c r="C1454" s="143" t="s">
        <v>2519</v>
      </c>
      <c r="D1454" s="813" t="str">
        <f>IF(CNSIPEE_2024_M2_Secc1!D45="","",CNSIPEE_2024_M2_Secc1!D45)</f>
        <v/>
      </c>
      <c r="E1454" s="814"/>
      <c r="F1454" s="815"/>
      <c r="G1454" s="100"/>
      <c r="H1454" s="100"/>
      <c r="I1454" s="100"/>
      <c r="J1454" s="100"/>
      <c r="K1454" s="100"/>
      <c r="L1454" s="100"/>
      <c r="M1454" s="100"/>
      <c r="N1454" s="100"/>
      <c r="O1454" s="100"/>
      <c r="P1454" s="100"/>
      <c r="Q1454" s="100"/>
      <c r="R1454" s="100"/>
      <c r="S1454" s="100"/>
      <c r="T1454" s="100"/>
      <c r="U1454" s="100"/>
      <c r="V1454" s="100"/>
      <c r="W1454" s="100"/>
      <c r="X1454" s="100"/>
      <c r="Y1454" s="100"/>
      <c r="Z1454" s="100"/>
      <c r="AA1454" s="100"/>
      <c r="AB1454" s="100"/>
      <c r="AC1454" s="100"/>
      <c r="AD1454" s="100"/>
    </row>
    <row r="1455" spans="1:104" ht="15" customHeight="1">
      <c r="A1455" s="50"/>
      <c r="B1455" s="90"/>
      <c r="C1455" s="143" t="s">
        <v>2520</v>
      </c>
      <c r="D1455" s="813" t="str">
        <f>IF(CNSIPEE_2024_M2_Secc1!D46="","",CNSIPEE_2024_M2_Secc1!D46)</f>
        <v/>
      </c>
      <c r="E1455" s="814"/>
      <c r="F1455" s="815"/>
      <c r="G1455" s="100"/>
      <c r="H1455" s="100"/>
      <c r="I1455" s="100"/>
      <c r="J1455" s="100"/>
      <c r="K1455" s="100"/>
      <c r="L1455" s="100"/>
      <c r="M1455" s="100"/>
      <c r="N1455" s="100"/>
      <c r="O1455" s="100"/>
      <c r="P1455" s="100"/>
      <c r="Q1455" s="100"/>
      <c r="R1455" s="100"/>
      <c r="S1455" s="100"/>
      <c r="T1455" s="100"/>
      <c r="U1455" s="100"/>
      <c r="V1455" s="100"/>
      <c r="W1455" s="100"/>
      <c r="X1455" s="100"/>
      <c r="Y1455" s="100"/>
      <c r="Z1455" s="100"/>
      <c r="AA1455" s="100"/>
      <c r="AB1455" s="100"/>
      <c r="AC1455" s="100"/>
      <c r="AD1455" s="100"/>
    </row>
    <row r="1456" spans="1:104" ht="15" customHeight="1">
      <c r="A1456" s="50"/>
      <c r="B1456" s="90"/>
      <c r="C1456" s="143" t="s">
        <v>2521</v>
      </c>
      <c r="D1456" s="813" t="str">
        <f>IF(CNSIPEE_2024_M2_Secc1!D47="","",CNSIPEE_2024_M2_Secc1!D47)</f>
        <v/>
      </c>
      <c r="E1456" s="814"/>
      <c r="F1456" s="815"/>
      <c r="G1456" s="100"/>
      <c r="H1456" s="100"/>
      <c r="I1456" s="100"/>
      <c r="J1456" s="100"/>
      <c r="K1456" s="100"/>
      <c r="L1456" s="100"/>
      <c r="M1456" s="100"/>
      <c r="N1456" s="100"/>
      <c r="O1456" s="100"/>
      <c r="P1456" s="100"/>
      <c r="Q1456" s="100"/>
      <c r="R1456" s="100"/>
      <c r="S1456" s="100"/>
      <c r="T1456" s="100"/>
      <c r="U1456" s="100"/>
      <c r="V1456" s="100"/>
      <c r="W1456" s="100"/>
      <c r="X1456" s="100"/>
      <c r="Y1456" s="100"/>
      <c r="Z1456" s="100"/>
      <c r="AA1456" s="100"/>
      <c r="AB1456" s="100"/>
      <c r="AC1456" s="100"/>
      <c r="AD1456" s="100"/>
    </row>
    <row r="1457" spans="1:30" ht="15" customHeight="1">
      <c r="A1457" s="50"/>
      <c r="B1457" s="90"/>
      <c r="C1457" s="143" t="s">
        <v>2522</v>
      </c>
      <c r="D1457" s="813" t="str">
        <f>IF(CNSIPEE_2024_M2_Secc1!D48="","",CNSIPEE_2024_M2_Secc1!D48)</f>
        <v/>
      </c>
      <c r="E1457" s="814"/>
      <c r="F1457" s="815"/>
      <c r="G1457" s="100"/>
      <c r="H1457" s="100"/>
      <c r="I1457" s="100"/>
      <c r="J1457" s="100"/>
      <c r="K1457" s="100"/>
      <c r="L1457" s="100"/>
      <c r="M1457" s="100"/>
      <c r="N1457" s="100"/>
      <c r="O1457" s="100"/>
      <c r="P1457" s="100"/>
      <c r="Q1457" s="100"/>
      <c r="R1457" s="100"/>
      <c r="S1457" s="100"/>
      <c r="T1457" s="100"/>
      <c r="U1457" s="100"/>
      <c r="V1457" s="100"/>
      <c r="W1457" s="100"/>
      <c r="X1457" s="100"/>
      <c r="Y1457" s="100"/>
      <c r="Z1457" s="100"/>
      <c r="AA1457" s="100"/>
      <c r="AB1457" s="100"/>
      <c r="AC1457" s="100"/>
      <c r="AD1457" s="100"/>
    </row>
    <row r="1458" spans="1:30" ht="15" customHeight="1">
      <c r="A1458" s="50"/>
      <c r="B1458" s="90"/>
      <c r="C1458" s="143" t="s">
        <v>2523</v>
      </c>
      <c r="D1458" s="813" t="str">
        <f>IF(CNSIPEE_2024_M2_Secc1!D49="","",CNSIPEE_2024_M2_Secc1!D49)</f>
        <v/>
      </c>
      <c r="E1458" s="814"/>
      <c r="F1458" s="815"/>
      <c r="G1458" s="100"/>
      <c r="H1458" s="100"/>
      <c r="I1458" s="100"/>
      <c r="J1458" s="100"/>
      <c r="K1458" s="100"/>
      <c r="L1458" s="100"/>
      <c r="M1458" s="100"/>
      <c r="N1458" s="100"/>
      <c r="O1458" s="100"/>
      <c r="P1458" s="100"/>
      <c r="Q1458" s="100"/>
      <c r="R1458" s="100"/>
      <c r="S1458" s="100"/>
      <c r="T1458" s="100"/>
      <c r="U1458" s="100"/>
      <c r="V1458" s="100"/>
      <c r="W1458" s="100"/>
      <c r="X1458" s="100"/>
      <c r="Y1458" s="100"/>
      <c r="Z1458" s="100"/>
      <c r="AA1458" s="100"/>
      <c r="AB1458" s="100"/>
      <c r="AC1458" s="100"/>
      <c r="AD1458" s="100"/>
    </row>
    <row r="1459" spans="1:30" ht="15" customHeight="1">
      <c r="A1459" s="50"/>
      <c r="B1459" s="90"/>
      <c r="C1459" s="90"/>
      <c r="D1459" s="90"/>
      <c r="E1459" s="90"/>
      <c r="F1459" s="117"/>
      <c r="G1459" s="124">
        <f>IF(AND(SUM(G1451:G1458)=0,COUNTIF(G1451:G1458,"NS")&gt;0),"NS",
IF(AND(SUM(G1451:G1458)=0,COUNTIF(G1451:G1458,0)&gt;0),0,
IF(AND(SUM(G1451:G1458)=0,COUNTIF(G1451:G1458,"NA")&gt;0),"NA",
SUM(G1451:G1458))))</f>
        <v>0</v>
      </c>
      <c r="H1459" s="124">
        <f t="shared" ref="H1459:AD1459" si="1453">IF(AND(SUM(H1451:H1458)=0,COUNTIF(H1451:H1458,"NS")&gt;0),"NS",
IF(AND(SUM(H1451:H1458)=0,COUNTIF(H1451:H1458,0)&gt;0),0,
IF(AND(SUM(H1451:H1458)=0,COUNTIF(H1451:H1458,"NA")&gt;0),"NA",
SUM(H1451:H1458))))</f>
        <v>0</v>
      </c>
      <c r="I1459" s="124">
        <f t="shared" si="1453"/>
        <v>0</v>
      </c>
      <c r="J1459" s="124">
        <f t="shared" si="1453"/>
        <v>0</v>
      </c>
      <c r="K1459" s="124">
        <f t="shared" si="1453"/>
        <v>0</v>
      </c>
      <c r="L1459" s="124">
        <f t="shared" si="1453"/>
        <v>0</v>
      </c>
      <c r="M1459" s="124">
        <f t="shared" si="1453"/>
        <v>0</v>
      </c>
      <c r="N1459" s="124">
        <f t="shared" si="1453"/>
        <v>0</v>
      </c>
      <c r="O1459" s="124">
        <f t="shared" si="1453"/>
        <v>0</v>
      </c>
      <c r="P1459" s="124">
        <f t="shared" si="1453"/>
        <v>0</v>
      </c>
      <c r="Q1459" s="124">
        <f t="shared" si="1453"/>
        <v>0</v>
      </c>
      <c r="R1459" s="124">
        <f t="shared" si="1453"/>
        <v>0</v>
      </c>
      <c r="S1459" s="124">
        <f t="shared" si="1453"/>
        <v>0</v>
      </c>
      <c r="T1459" s="124">
        <f t="shared" si="1453"/>
        <v>0</v>
      </c>
      <c r="U1459" s="124">
        <f t="shared" si="1453"/>
        <v>0</v>
      </c>
      <c r="V1459" s="124">
        <f t="shared" si="1453"/>
        <v>0</v>
      </c>
      <c r="W1459" s="124">
        <f t="shared" si="1453"/>
        <v>0</v>
      </c>
      <c r="X1459" s="124">
        <f t="shared" si="1453"/>
        <v>0</v>
      </c>
      <c r="Y1459" s="124">
        <f t="shared" si="1453"/>
        <v>0</v>
      </c>
      <c r="Z1459" s="124">
        <f t="shared" si="1453"/>
        <v>0</v>
      </c>
      <c r="AA1459" s="124">
        <f t="shared" si="1453"/>
        <v>0</v>
      </c>
      <c r="AB1459" s="124">
        <f t="shared" si="1453"/>
        <v>0</v>
      </c>
      <c r="AC1459" s="124">
        <f t="shared" si="1453"/>
        <v>0</v>
      </c>
      <c r="AD1459" s="124">
        <f t="shared" si="1453"/>
        <v>0</v>
      </c>
    </row>
    <row r="1460" spans="1:30" ht="15" customHeight="1">
      <c r="A1460" s="91"/>
    </row>
    <row r="1461" spans="1:30" ht="15" customHeight="1">
      <c r="A1461" s="115"/>
      <c r="AA1461" s="875" t="s">
        <v>3240</v>
      </c>
      <c r="AB1461" s="875"/>
      <c r="AC1461" s="875"/>
      <c r="AD1461" s="875"/>
    </row>
    <row r="1462" spans="1:30" ht="24" customHeight="1">
      <c r="A1462" s="142"/>
      <c r="B1462" s="113"/>
      <c r="C1462" s="797" t="s">
        <v>3860</v>
      </c>
      <c r="D1462" s="798"/>
      <c r="E1462" s="798"/>
      <c r="F1462" s="799"/>
      <c r="G1462" s="740" t="s">
        <v>3859</v>
      </c>
      <c r="H1462" s="740"/>
      <c r="I1462" s="740"/>
      <c r="J1462" s="740"/>
      <c r="K1462" s="740"/>
      <c r="L1462" s="740"/>
      <c r="M1462" s="740"/>
      <c r="N1462" s="740"/>
      <c r="O1462" s="740"/>
      <c r="P1462" s="740"/>
      <c r="Q1462" s="740"/>
      <c r="R1462" s="740"/>
      <c r="S1462" s="740"/>
      <c r="T1462" s="740"/>
      <c r="U1462" s="740"/>
      <c r="V1462" s="740"/>
      <c r="W1462" s="740"/>
      <c r="X1462" s="740"/>
      <c r="Y1462" s="740"/>
      <c r="Z1462" s="740"/>
      <c r="AA1462" s="740"/>
      <c r="AB1462" s="740"/>
      <c r="AC1462" s="740"/>
      <c r="AD1462" s="741"/>
    </row>
    <row r="1463" spans="1:30" ht="15" customHeight="1">
      <c r="A1463" s="142"/>
      <c r="B1463" s="113"/>
      <c r="C1463" s="800"/>
      <c r="D1463" s="801"/>
      <c r="E1463" s="801"/>
      <c r="F1463" s="802"/>
      <c r="G1463" s="733" t="s">
        <v>3268</v>
      </c>
      <c r="H1463" s="734"/>
      <c r="I1463" s="734"/>
      <c r="J1463" s="734"/>
      <c r="K1463" s="734"/>
      <c r="L1463" s="734"/>
      <c r="M1463" s="734"/>
      <c r="N1463" s="734"/>
      <c r="O1463" s="735"/>
      <c r="P1463" s="733" t="s">
        <v>3298</v>
      </c>
      <c r="Q1463" s="734"/>
      <c r="R1463" s="734"/>
      <c r="S1463" s="734"/>
      <c r="T1463" s="734"/>
      <c r="U1463" s="734"/>
      <c r="V1463" s="734"/>
      <c r="W1463" s="734"/>
      <c r="X1463" s="735"/>
      <c r="Y1463" s="841" t="s">
        <v>3299</v>
      </c>
      <c r="Z1463" s="950"/>
      <c r="AA1463" s="842"/>
      <c r="AB1463" s="841" t="s">
        <v>201</v>
      </c>
      <c r="AC1463" s="950"/>
      <c r="AD1463" s="842"/>
    </row>
    <row r="1464" spans="1:30" ht="15" customHeight="1">
      <c r="A1464" s="142"/>
      <c r="B1464" s="113"/>
      <c r="C1464" s="800"/>
      <c r="D1464" s="801"/>
      <c r="E1464" s="801"/>
      <c r="F1464" s="802"/>
      <c r="G1464" s="841" t="s">
        <v>3300</v>
      </c>
      <c r="H1464" s="950"/>
      <c r="I1464" s="842"/>
      <c r="J1464" s="841" t="s">
        <v>3301</v>
      </c>
      <c r="K1464" s="950"/>
      <c r="L1464" s="842"/>
      <c r="M1464" s="841" t="s">
        <v>3302</v>
      </c>
      <c r="N1464" s="950"/>
      <c r="O1464" s="842"/>
      <c r="P1464" s="841" t="s">
        <v>3303</v>
      </c>
      <c r="Q1464" s="950"/>
      <c r="R1464" s="842"/>
      <c r="S1464" s="841" t="s">
        <v>3304</v>
      </c>
      <c r="T1464" s="950"/>
      <c r="U1464" s="842"/>
      <c r="V1464" s="841" t="s">
        <v>3305</v>
      </c>
      <c r="W1464" s="950"/>
      <c r="X1464" s="842"/>
      <c r="Y1464" s="843"/>
      <c r="Z1464" s="951"/>
      <c r="AA1464" s="844"/>
      <c r="AB1464" s="843"/>
      <c r="AC1464" s="951"/>
      <c r="AD1464" s="844"/>
    </row>
    <row r="1465" spans="1:30" ht="84" customHeight="1">
      <c r="A1465" s="142"/>
      <c r="C1465" s="800"/>
      <c r="D1465" s="801"/>
      <c r="E1465" s="801"/>
      <c r="F1465" s="802"/>
      <c r="G1465" s="843"/>
      <c r="H1465" s="951"/>
      <c r="I1465" s="844"/>
      <c r="J1465" s="843"/>
      <c r="K1465" s="951"/>
      <c r="L1465" s="844"/>
      <c r="M1465" s="843"/>
      <c r="N1465" s="951"/>
      <c r="O1465" s="844"/>
      <c r="P1465" s="843"/>
      <c r="Q1465" s="951"/>
      <c r="R1465" s="844"/>
      <c r="S1465" s="843"/>
      <c r="T1465" s="951"/>
      <c r="U1465" s="844"/>
      <c r="V1465" s="843"/>
      <c r="W1465" s="951"/>
      <c r="X1465" s="844"/>
      <c r="Y1465" s="845"/>
      <c r="Z1465" s="952"/>
      <c r="AA1465" s="846"/>
      <c r="AB1465" s="845"/>
      <c r="AC1465" s="952"/>
      <c r="AD1465" s="846"/>
    </row>
    <row r="1466" spans="1:30" ht="48" customHeight="1">
      <c r="A1466" s="142"/>
      <c r="C1466" s="803"/>
      <c r="D1466" s="804"/>
      <c r="E1466" s="804"/>
      <c r="F1466" s="805"/>
      <c r="G1466" s="127" t="s">
        <v>2635</v>
      </c>
      <c r="H1466" s="128" t="s">
        <v>2629</v>
      </c>
      <c r="I1466" s="128" t="s">
        <v>2630</v>
      </c>
      <c r="J1466" s="127" t="s">
        <v>2635</v>
      </c>
      <c r="K1466" s="128" t="s">
        <v>2629</v>
      </c>
      <c r="L1466" s="128" t="s">
        <v>2630</v>
      </c>
      <c r="M1466" s="127" t="s">
        <v>2635</v>
      </c>
      <c r="N1466" s="128" t="s">
        <v>2629</v>
      </c>
      <c r="O1466" s="128" t="s">
        <v>2630</v>
      </c>
      <c r="P1466" s="127" t="s">
        <v>2635</v>
      </c>
      <c r="Q1466" s="128" t="s">
        <v>2629</v>
      </c>
      <c r="R1466" s="128" t="s">
        <v>2630</v>
      </c>
      <c r="S1466" s="127" t="s">
        <v>2635</v>
      </c>
      <c r="T1466" s="128" t="s">
        <v>2629</v>
      </c>
      <c r="U1466" s="128" t="s">
        <v>2630</v>
      </c>
      <c r="V1466" s="127" t="s">
        <v>2635</v>
      </c>
      <c r="W1466" s="128" t="s">
        <v>2629</v>
      </c>
      <c r="X1466" s="128" t="s">
        <v>2630</v>
      </c>
      <c r="Y1466" s="127" t="s">
        <v>2635</v>
      </c>
      <c r="Z1466" s="128" t="s">
        <v>2629</v>
      </c>
      <c r="AA1466" s="128" t="s">
        <v>2630</v>
      </c>
      <c r="AB1466" s="127" t="s">
        <v>2635</v>
      </c>
      <c r="AC1466" s="128" t="s">
        <v>2629</v>
      </c>
      <c r="AD1466" s="128" t="s">
        <v>2630</v>
      </c>
    </row>
    <row r="1467" spans="1:30" ht="15" customHeight="1">
      <c r="A1467" s="50"/>
      <c r="B1467" s="90"/>
      <c r="C1467" s="97" t="s">
        <v>2516</v>
      </c>
      <c r="D1467" s="813" t="str">
        <f>IF(CNSIPEE_2024_M2_Secc1!D42="","",CNSIPEE_2024_M2_Secc1!D42)</f>
        <v/>
      </c>
      <c r="E1467" s="814"/>
      <c r="F1467" s="815"/>
      <c r="G1467" s="100"/>
      <c r="H1467" s="100"/>
      <c r="I1467" s="100"/>
      <c r="J1467" s="100"/>
      <c r="K1467" s="100"/>
      <c r="L1467" s="100"/>
      <c r="M1467" s="100"/>
      <c r="N1467" s="100"/>
      <c r="O1467" s="100"/>
      <c r="P1467" s="100"/>
      <c r="Q1467" s="100"/>
      <c r="R1467" s="100"/>
      <c r="S1467" s="100"/>
      <c r="T1467" s="100"/>
      <c r="U1467" s="100"/>
      <c r="V1467" s="100"/>
      <c r="W1467" s="100"/>
      <c r="X1467" s="100"/>
      <c r="Y1467" s="100"/>
      <c r="Z1467" s="100"/>
      <c r="AA1467" s="100"/>
      <c r="AB1467" s="100"/>
      <c r="AC1467" s="100"/>
      <c r="AD1467" s="100"/>
    </row>
    <row r="1468" spans="1:30" ht="15" customHeight="1">
      <c r="A1468" s="50"/>
      <c r="B1468" s="90"/>
      <c r="C1468" s="143" t="s">
        <v>2517</v>
      </c>
      <c r="D1468" s="813" t="str">
        <f>IF(CNSIPEE_2024_M2_Secc1!D43="","",CNSIPEE_2024_M2_Secc1!D43)</f>
        <v/>
      </c>
      <c r="E1468" s="814"/>
      <c r="F1468" s="815"/>
      <c r="G1468" s="100"/>
      <c r="H1468" s="100"/>
      <c r="I1468" s="100"/>
      <c r="J1468" s="100"/>
      <c r="K1468" s="100"/>
      <c r="L1468" s="100"/>
      <c r="M1468" s="100"/>
      <c r="N1468" s="100"/>
      <c r="O1468" s="100"/>
      <c r="P1468" s="100"/>
      <c r="Q1468" s="100"/>
      <c r="R1468" s="100"/>
      <c r="S1468" s="100"/>
      <c r="T1468" s="100"/>
      <c r="U1468" s="100"/>
      <c r="V1468" s="100"/>
      <c r="W1468" s="100"/>
      <c r="X1468" s="100"/>
      <c r="Y1468" s="100"/>
      <c r="Z1468" s="100"/>
      <c r="AA1468" s="100"/>
      <c r="AB1468" s="100"/>
      <c r="AC1468" s="100"/>
      <c r="AD1468" s="100"/>
    </row>
    <row r="1469" spans="1:30" ht="15" customHeight="1">
      <c r="A1469" s="50"/>
      <c r="B1469" s="90"/>
      <c r="C1469" s="143" t="s">
        <v>2518</v>
      </c>
      <c r="D1469" s="813" t="str">
        <f>IF(CNSIPEE_2024_M2_Secc1!D44="","",CNSIPEE_2024_M2_Secc1!D44)</f>
        <v/>
      </c>
      <c r="E1469" s="814"/>
      <c r="F1469" s="815"/>
      <c r="G1469" s="100"/>
      <c r="H1469" s="100"/>
      <c r="I1469" s="100"/>
      <c r="J1469" s="100"/>
      <c r="K1469" s="100"/>
      <c r="L1469" s="100"/>
      <c r="M1469" s="100"/>
      <c r="N1469" s="100"/>
      <c r="O1469" s="100"/>
      <c r="P1469" s="100"/>
      <c r="Q1469" s="100"/>
      <c r="R1469" s="100"/>
      <c r="S1469" s="100"/>
      <c r="T1469" s="100"/>
      <c r="U1469" s="100"/>
      <c r="V1469" s="100"/>
      <c r="W1469" s="100"/>
      <c r="X1469" s="100"/>
      <c r="Y1469" s="100"/>
      <c r="Z1469" s="100"/>
      <c r="AA1469" s="100"/>
      <c r="AB1469" s="100"/>
      <c r="AC1469" s="100"/>
      <c r="AD1469" s="100"/>
    </row>
    <row r="1470" spans="1:30" ht="15" customHeight="1">
      <c r="A1470" s="50"/>
      <c r="B1470" s="90"/>
      <c r="C1470" s="143" t="s">
        <v>2519</v>
      </c>
      <c r="D1470" s="813" t="str">
        <f>IF(CNSIPEE_2024_M2_Secc1!D45="","",CNSIPEE_2024_M2_Secc1!D45)</f>
        <v/>
      </c>
      <c r="E1470" s="814"/>
      <c r="F1470" s="815"/>
      <c r="G1470" s="100"/>
      <c r="H1470" s="100"/>
      <c r="I1470" s="100"/>
      <c r="J1470" s="100"/>
      <c r="K1470" s="100"/>
      <c r="L1470" s="100"/>
      <c r="M1470" s="100"/>
      <c r="N1470" s="100"/>
      <c r="O1470" s="100"/>
      <c r="P1470" s="100"/>
      <c r="Q1470" s="100"/>
      <c r="R1470" s="100"/>
      <c r="S1470" s="100"/>
      <c r="T1470" s="100"/>
      <c r="U1470" s="100"/>
      <c r="V1470" s="100"/>
      <c r="W1470" s="100"/>
      <c r="X1470" s="100"/>
      <c r="Y1470" s="100"/>
      <c r="Z1470" s="100"/>
      <c r="AA1470" s="100"/>
      <c r="AB1470" s="100"/>
      <c r="AC1470" s="100"/>
      <c r="AD1470" s="100"/>
    </row>
    <row r="1471" spans="1:30" ht="15" customHeight="1">
      <c r="A1471" s="50"/>
      <c r="B1471" s="90"/>
      <c r="C1471" s="143" t="s">
        <v>2520</v>
      </c>
      <c r="D1471" s="813" t="str">
        <f>IF(CNSIPEE_2024_M2_Secc1!D46="","",CNSIPEE_2024_M2_Secc1!D46)</f>
        <v/>
      </c>
      <c r="E1471" s="814"/>
      <c r="F1471" s="815"/>
      <c r="G1471" s="100"/>
      <c r="H1471" s="100"/>
      <c r="I1471" s="100"/>
      <c r="J1471" s="100"/>
      <c r="K1471" s="100"/>
      <c r="L1471" s="100"/>
      <c r="M1471" s="100"/>
      <c r="N1471" s="100"/>
      <c r="O1471" s="100"/>
      <c r="P1471" s="100"/>
      <c r="Q1471" s="100"/>
      <c r="R1471" s="100"/>
      <c r="S1471" s="100"/>
      <c r="T1471" s="100"/>
      <c r="U1471" s="100"/>
      <c r="V1471" s="100"/>
      <c r="W1471" s="100"/>
      <c r="X1471" s="100"/>
      <c r="Y1471" s="100"/>
      <c r="Z1471" s="100"/>
      <c r="AA1471" s="100"/>
      <c r="AB1471" s="100"/>
      <c r="AC1471" s="100"/>
      <c r="AD1471" s="100"/>
    </row>
    <row r="1472" spans="1:30" ht="15" customHeight="1">
      <c r="A1472" s="50"/>
      <c r="B1472" s="90"/>
      <c r="C1472" s="143" t="s">
        <v>2521</v>
      </c>
      <c r="D1472" s="813" t="str">
        <f>IF(CNSIPEE_2024_M2_Secc1!D47="","",CNSIPEE_2024_M2_Secc1!D47)</f>
        <v/>
      </c>
      <c r="E1472" s="814"/>
      <c r="F1472" s="815"/>
      <c r="G1472" s="100"/>
      <c r="H1472" s="100"/>
      <c r="I1472" s="100"/>
      <c r="J1472" s="100"/>
      <c r="K1472" s="100"/>
      <c r="L1472" s="100"/>
      <c r="M1472" s="100"/>
      <c r="N1472" s="100"/>
      <c r="O1472" s="100"/>
      <c r="P1472" s="100"/>
      <c r="Q1472" s="100"/>
      <c r="R1472" s="100"/>
      <c r="S1472" s="100"/>
      <c r="T1472" s="100"/>
      <c r="U1472" s="100"/>
      <c r="V1472" s="100"/>
      <c r="W1472" s="100"/>
      <c r="X1472" s="100"/>
      <c r="Y1472" s="100"/>
      <c r="Z1472" s="100"/>
      <c r="AA1472" s="100"/>
      <c r="AB1472" s="100"/>
      <c r="AC1472" s="100"/>
      <c r="AD1472" s="100"/>
    </row>
    <row r="1473" spans="1:31" ht="15" customHeight="1">
      <c r="A1473" s="50"/>
      <c r="B1473" s="90"/>
      <c r="C1473" s="143" t="s">
        <v>2522</v>
      </c>
      <c r="D1473" s="813" t="str">
        <f>IF(CNSIPEE_2024_M2_Secc1!D48="","",CNSIPEE_2024_M2_Secc1!D48)</f>
        <v/>
      </c>
      <c r="E1473" s="814"/>
      <c r="F1473" s="815"/>
      <c r="G1473" s="100"/>
      <c r="H1473" s="100"/>
      <c r="I1473" s="100"/>
      <c r="J1473" s="100"/>
      <c r="K1473" s="100"/>
      <c r="L1473" s="100"/>
      <c r="M1473" s="100"/>
      <c r="N1473" s="100"/>
      <c r="O1473" s="100"/>
      <c r="P1473" s="100"/>
      <c r="Q1473" s="100"/>
      <c r="R1473" s="100"/>
      <c r="S1473" s="100"/>
      <c r="T1473" s="100"/>
      <c r="U1473" s="100"/>
      <c r="V1473" s="100"/>
      <c r="W1473" s="100"/>
      <c r="X1473" s="100"/>
      <c r="Y1473" s="100"/>
      <c r="Z1473" s="100"/>
      <c r="AA1473" s="100"/>
      <c r="AB1473" s="100"/>
      <c r="AC1473" s="100"/>
      <c r="AD1473" s="100"/>
    </row>
    <row r="1474" spans="1:31" ht="15" customHeight="1">
      <c r="A1474" s="50"/>
      <c r="B1474" s="90"/>
      <c r="C1474" s="143" t="s">
        <v>2523</v>
      </c>
      <c r="D1474" s="813" t="str">
        <f>IF(CNSIPEE_2024_M2_Secc1!D49="","",CNSIPEE_2024_M2_Secc1!D49)</f>
        <v/>
      </c>
      <c r="E1474" s="814"/>
      <c r="F1474" s="815"/>
      <c r="G1474" s="100"/>
      <c r="H1474" s="100"/>
      <c r="I1474" s="100"/>
      <c r="J1474" s="100"/>
      <c r="K1474" s="100"/>
      <c r="L1474" s="100"/>
      <c r="M1474" s="100"/>
      <c r="N1474" s="100"/>
      <c r="O1474" s="100"/>
      <c r="P1474" s="100"/>
      <c r="Q1474" s="100"/>
      <c r="R1474" s="100"/>
      <c r="S1474" s="100"/>
      <c r="T1474" s="100"/>
      <c r="U1474" s="100"/>
      <c r="V1474" s="100"/>
      <c r="W1474" s="100"/>
      <c r="X1474" s="100"/>
      <c r="Y1474" s="100"/>
      <c r="Z1474" s="100"/>
      <c r="AA1474" s="100"/>
      <c r="AB1474" s="100"/>
      <c r="AC1474" s="100"/>
      <c r="AD1474" s="100"/>
    </row>
    <row r="1475" spans="1:31" ht="15" customHeight="1">
      <c r="A1475" s="50"/>
      <c r="B1475" s="90"/>
      <c r="C1475" s="90"/>
      <c r="D1475" s="90"/>
      <c r="E1475" s="90"/>
      <c r="F1475" s="117"/>
      <c r="G1475" s="124">
        <f>IF(AND(SUM(G1467:G1474)=0,COUNTIF(G1467:G1474,"NS")&gt;0),"NS",
IF(AND(SUM(G1467:G1474)=0,COUNTIF(G1467:G1474,0)&gt;0),0,
IF(AND(SUM(G1467:G1474)=0,COUNTIF(G1467:G1474,"NA")&gt;0),"NA",
SUM(G1467:G1474))))</f>
        <v>0</v>
      </c>
      <c r="H1475" s="124">
        <f t="shared" ref="H1475:AD1475" si="1454">IF(AND(SUM(H1467:H1474)=0,COUNTIF(H1467:H1474,"NS")&gt;0),"NS",
IF(AND(SUM(H1467:H1474)=0,COUNTIF(H1467:H1474,0)&gt;0),0,
IF(AND(SUM(H1467:H1474)=0,COUNTIF(H1467:H1474,"NA")&gt;0),"NA",
SUM(H1467:H1474))))</f>
        <v>0</v>
      </c>
      <c r="I1475" s="124">
        <f t="shared" si="1454"/>
        <v>0</v>
      </c>
      <c r="J1475" s="124">
        <f t="shared" si="1454"/>
        <v>0</v>
      </c>
      <c r="K1475" s="124">
        <f t="shared" si="1454"/>
        <v>0</v>
      </c>
      <c r="L1475" s="124">
        <f t="shared" si="1454"/>
        <v>0</v>
      </c>
      <c r="M1475" s="124">
        <f t="shared" si="1454"/>
        <v>0</v>
      </c>
      <c r="N1475" s="124">
        <f t="shared" si="1454"/>
        <v>0</v>
      </c>
      <c r="O1475" s="124">
        <f t="shared" si="1454"/>
        <v>0</v>
      </c>
      <c r="P1475" s="124">
        <f t="shared" si="1454"/>
        <v>0</v>
      </c>
      <c r="Q1475" s="124">
        <f t="shared" si="1454"/>
        <v>0</v>
      </c>
      <c r="R1475" s="124">
        <f t="shared" si="1454"/>
        <v>0</v>
      </c>
      <c r="S1475" s="124">
        <f t="shared" si="1454"/>
        <v>0</v>
      </c>
      <c r="T1475" s="124">
        <f t="shared" si="1454"/>
        <v>0</v>
      </c>
      <c r="U1475" s="124">
        <f t="shared" si="1454"/>
        <v>0</v>
      </c>
      <c r="V1475" s="124">
        <f t="shared" si="1454"/>
        <v>0</v>
      </c>
      <c r="W1475" s="124">
        <f t="shared" si="1454"/>
        <v>0</v>
      </c>
      <c r="X1475" s="124">
        <f t="shared" si="1454"/>
        <v>0</v>
      </c>
      <c r="Y1475" s="124">
        <f t="shared" si="1454"/>
        <v>0</v>
      </c>
      <c r="Z1475" s="124">
        <f t="shared" si="1454"/>
        <v>0</v>
      </c>
      <c r="AA1475" s="124">
        <f t="shared" si="1454"/>
        <v>0</v>
      </c>
      <c r="AB1475" s="124">
        <f t="shared" si="1454"/>
        <v>0</v>
      </c>
      <c r="AC1475" s="124">
        <f t="shared" si="1454"/>
        <v>0</v>
      </c>
      <c r="AD1475" s="124">
        <f t="shared" si="1454"/>
        <v>0</v>
      </c>
    </row>
    <row r="1476" spans="1:31" ht="15" customHeight="1">
      <c r="A1476" s="50"/>
      <c r="B1476" s="90"/>
      <c r="C1476" s="90"/>
      <c r="D1476" s="90"/>
      <c r="E1476" s="90"/>
      <c r="F1476" s="90"/>
      <c r="G1476" s="90"/>
      <c r="H1476" s="90"/>
      <c r="I1476" s="90"/>
      <c r="J1476" s="90"/>
      <c r="K1476" s="90"/>
      <c r="L1476" s="90"/>
      <c r="M1476" s="90"/>
      <c r="N1476" s="90"/>
      <c r="O1476" s="90"/>
      <c r="P1476" s="90"/>
      <c r="Q1476" s="90"/>
      <c r="R1476" s="90"/>
      <c r="S1476" s="90"/>
      <c r="T1476" s="90"/>
      <c r="U1476" s="90"/>
      <c r="V1476" s="90"/>
      <c r="W1476" s="90"/>
      <c r="X1476" s="90"/>
      <c r="Y1476" s="90"/>
      <c r="Z1476" s="90"/>
      <c r="AA1476" s="90"/>
      <c r="AB1476" s="90"/>
      <c r="AC1476" s="90"/>
      <c r="AD1476" s="90"/>
    </row>
    <row r="1477" spans="1:31" ht="24" customHeight="1">
      <c r="A1477" s="49"/>
      <c r="B1477" s="38"/>
      <c r="C1477" s="754" t="s">
        <v>2611</v>
      </c>
      <c r="D1477" s="754"/>
      <c r="E1477" s="754"/>
      <c r="F1477" s="754"/>
      <c r="G1477" s="754"/>
      <c r="H1477" s="754"/>
      <c r="I1477" s="754"/>
      <c r="J1477" s="754"/>
      <c r="K1477" s="754"/>
      <c r="L1477" s="754"/>
      <c r="M1477" s="754"/>
      <c r="N1477" s="754"/>
      <c r="O1477" s="754"/>
      <c r="P1477" s="754"/>
      <c r="Q1477" s="754"/>
      <c r="R1477" s="754"/>
      <c r="S1477" s="754"/>
      <c r="T1477" s="754"/>
      <c r="U1477" s="754"/>
      <c r="V1477" s="754"/>
      <c r="W1477" s="754"/>
      <c r="X1477" s="754"/>
      <c r="Y1477" s="754"/>
      <c r="Z1477" s="754"/>
      <c r="AA1477" s="754"/>
      <c r="AB1477" s="754"/>
      <c r="AC1477" s="754"/>
      <c r="AD1477" s="754"/>
    </row>
    <row r="1478" spans="1:31" ht="60" customHeight="1">
      <c r="A1478" s="49"/>
      <c r="B1478" s="38"/>
      <c r="C1478" s="949"/>
      <c r="D1478" s="949"/>
      <c r="E1478" s="949"/>
      <c r="F1478" s="949"/>
      <c r="G1478" s="949"/>
      <c r="H1478" s="949"/>
      <c r="I1478" s="949"/>
      <c r="J1478" s="949"/>
      <c r="K1478" s="949"/>
      <c r="L1478" s="949"/>
      <c r="M1478" s="949"/>
      <c r="N1478" s="949"/>
      <c r="O1478" s="949"/>
      <c r="P1478" s="949"/>
      <c r="Q1478" s="949"/>
      <c r="R1478" s="949"/>
      <c r="S1478" s="949"/>
      <c r="T1478" s="949"/>
      <c r="U1478" s="949"/>
      <c r="V1478" s="949"/>
      <c r="W1478" s="949"/>
      <c r="X1478" s="949"/>
      <c r="Y1478" s="949"/>
      <c r="Z1478" s="949"/>
      <c r="AA1478" s="949"/>
      <c r="AB1478" s="949"/>
      <c r="AC1478" s="949"/>
      <c r="AD1478" s="949"/>
    </row>
    <row r="1479" spans="1:31" ht="15" customHeight="1">
      <c r="A1479" s="91"/>
      <c r="B1479" s="794" t="str">
        <f>IF(AG1443&gt;0,"Favor de ingresar toda la información requerida en la pregunta y/o verifique que no tenga información en celdas sombreadas","")</f>
        <v/>
      </c>
      <c r="C1479" s="794"/>
      <c r="D1479" s="794"/>
      <c r="E1479" s="794"/>
      <c r="F1479" s="794"/>
      <c r="G1479" s="794"/>
      <c r="H1479" s="794"/>
      <c r="I1479" s="794"/>
      <c r="J1479" s="794"/>
      <c r="K1479" s="794"/>
      <c r="L1479" s="794"/>
      <c r="M1479" s="794"/>
      <c r="N1479" s="794"/>
      <c r="O1479" s="794"/>
      <c r="P1479" s="794"/>
      <c r="Q1479" s="794"/>
      <c r="R1479" s="794"/>
      <c r="S1479" s="794"/>
      <c r="T1479" s="794"/>
      <c r="U1479" s="794"/>
      <c r="V1479" s="794"/>
      <c r="W1479" s="794"/>
      <c r="X1479" s="794"/>
      <c r="Y1479" s="794"/>
      <c r="Z1479" s="794"/>
      <c r="AA1479" s="794"/>
      <c r="AB1479" s="794"/>
      <c r="AC1479" s="794"/>
      <c r="AD1479" s="794"/>
      <c r="AE1479"/>
    </row>
    <row r="1480" spans="1:31" ht="15" customHeight="1">
      <c r="A1480" s="91"/>
      <c r="B1480" s="795" t="str">
        <f>IF(AM1445&gt;0,"Alerta: debido a que cuenta con registros NS, debe proporcionar una justificación en el area de comentarios al final de la pregunta","")</f>
        <v/>
      </c>
      <c r="C1480" s="795"/>
      <c r="D1480" s="795"/>
      <c r="E1480" s="795"/>
      <c r="F1480" s="795"/>
      <c r="G1480" s="795"/>
      <c r="H1480" s="795"/>
      <c r="I1480" s="795"/>
      <c r="J1480" s="795"/>
      <c r="K1480" s="795"/>
      <c r="L1480" s="795"/>
      <c r="M1480" s="795"/>
      <c r="N1480" s="795"/>
      <c r="O1480" s="795"/>
      <c r="P1480" s="795"/>
      <c r="Q1480" s="795"/>
      <c r="R1480" s="795"/>
      <c r="S1480" s="795"/>
      <c r="T1480" s="795"/>
      <c r="U1480" s="795"/>
      <c r="V1480" s="795"/>
      <c r="W1480" s="795"/>
      <c r="X1480" s="795"/>
      <c r="Y1480" s="795"/>
      <c r="Z1480" s="795"/>
      <c r="AA1480" s="795"/>
      <c r="AB1480" s="795"/>
      <c r="AC1480" s="795"/>
      <c r="AD1480" s="795"/>
      <c r="AE1480"/>
    </row>
    <row r="1481" spans="1:31" ht="15" customHeight="1">
      <c r="A1481" s="91"/>
      <c r="B1481" s="794" t="str">
        <f>IF(OR(AK1445&gt;0,AK1446&gt;0,AM1446&gt;0,AO1446&gt;0),"Favor de revisar la suma y consistencia de totales y/o subtotales por filas (numéricos y NS)","")</f>
        <v/>
      </c>
      <c r="C1481" s="794"/>
      <c r="D1481" s="794"/>
      <c r="E1481" s="794"/>
      <c r="F1481" s="794"/>
      <c r="G1481" s="794"/>
      <c r="H1481" s="794"/>
      <c r="I1481" s="794"/>
      <c r="J1481" s="794"/>
      <c r="K1481" s="794"/>
      <c r="L1481" s="794"/>
      <c r="M1481" s="794"/>
      <c r="N1481" s="794"/>
      <c r="O1481" s="794"/>
      <c r="P1481" s="794"/>
      <c r="Q1481" s="794"/>
      <c r="R1481" s="794"/>
      <c r="S1481" s="794"/>
      <c r="T1481" s="794"/>
      <c r="U1481" s="794"/>
      <c r="V1481" s="794"/>
      <c r="W1481" s="794"/>
      <c r="X1481" s="794"/>
      <c r="Y1481" s="794"/>
      <c r="Z1481" s="794"/>
      <c r="AA1481" s="794"/>
      <c r="AB1481" s="794"/>
      <c r="AC1481" s="794"/>
      <c r="AD1481" s="794"/>
      <c r="AE1481"/>
    </row>
    <row r="1482" spans="1:31" ht="15" customHeight="1">
      <c r="A1482" s="91"/>
      <c r="B1482" s="795" t="str">
        <f>IF(CY1443&gt;0,"No puede ingresar cero en la col. Total debido a que registró el código 1 en la col. ¿Tuvo registro del fallecimiento de alguna persona...?","")</f>
        <v/>
      </c>
      <c r="C1482" s="795"/>
      <c r="D1482" s="795"/>
      <c r="E1482" s="795"/>
      <c r="F1482" s="795"/>
      <c r="G1482" s="795"/>
      <c r="H1482" s="795"/>
      <c r="I1482" s="795"/>
      <c r="J1482" s="795"/>
      <c r="K1482" s="795"/>
      <c r="L1482" s="795"/>
      <c r="M1482" s="795"/>
      <c r="N1482" s="795"/>
      <c r="O1482" s="795"/>
      <c r="P1482" s="795"/>
      <c r="Q1482" s="795"/>
      <c r="R1482" s="795"/>
      <c r="S1482" s="795"/>
      <c r="T1482" s="795"/>
      <c r="U1482" s="795"/>
      <c r="V1482" s="795"/>
      <c r="W1482" s="795"/>
      <c r="X1482" s="795"/>
      <c r="Y1482" s="795"/>
      <c r="Z1482" s="795"/>
      <c r="AA1482" s="795"/>
      <c r="AB1482" s="795"/>
      <c r="AC1482" s="795"/>
      <c r="AD1482" s="795"/>
      <c r="AE1482" s="795"/>
    </row>
    <row r="1483" spans="1:31" ht="15" customHeight="1">
      <c r="A1483" s="91"/>
      <c r="B1483" s="794"/>
      <c r="C1483" s="794"/>
      <c r="D1483" s="794"/>
      <c r="E1483" s="794"/>
      <c r="F1483" s="794"/>
      <c r="G1483" s="794"/>
      <c r="H1483" s="794"/>
      <c r="I1483" s="794"/>
      <c r="J1483" s="794"/>
      <c r="K1483" s="794"/>
      <c r="L1483" s="794"/>
      <c r="M1483" s="794"/>
      <c r="N1483" s="794"/>
      <c r="O1483" s="794"/>
      <c r="P1483" s="794"/>
      <c r="Q1483" s="794"/>
      <c r="R1483" s="794"/>
      <c r="S1483" s="794"/>
      <c r="T1483" s="794"/>
      <c r="U1483" s="794"/>
      <c r="V1483" s="794"/>
      <c r="W1483" s="794"/>
      <c r="X1483" s="794"/>
      <c r="Y1483" s="794"/>
      <c r="Z1483" s="794"/>
      <c r="AA1483" s="794"/>
      <c r="AB1483" s="794"/>
      <c r="AC1483" s="794"/>
      <c r="AD1483" s="794"/>
      <c r="AE1483" s="794"/>
    </row>
    <row r="1484" spans="1:31" ht="15" customHeight="1">
      <c r="A1484" s="91"/>
      <c r="AE1484"/>
    </row>
    <row r="1485" spans="1:31" ht="24" customHeight="1">
      <c r="A1485" s="49" t="s">
        <v>3861</v>
      </c>
      <c r="B1485" s="829" t="s">
        <v>3862</v>
      </c>
      <c r="C1485" s="960"/>
      <c r="D1485" s="960"/>
      <c r="E1485" s="960"/>
      <c r="F1485" s="960"/>
      <c r="G1485" s="960"/>
      <c r="H1485" s="960"/>
      <c r="I1485" s="960"/>
      <c r="J1485" s="960"/>
      <c r="K1485" s="960"/>
      <c r="L1485" s="960"/>
      <c r="M1485" s="960"/>
      <c r="N1485" s="960"/>
      <c r="O1485" s="960"/>
      <c r="P1485" s="960"/>
      <c r="Q1485" s="960"/>
      <c r="R1485" s="960"/>
      <c r="S1485" s="960"/>
      <c r="T1485" s="960"/>
      <c r="U1485" s="960"/>
      <c r="V1485" s="960"/>
      <c r="W1485" s="960"/>
      <c r="X1485" s="960"/>
      <c r="Y1485" s="960"/>
      <c r="Z1485" s="960"/>
      <c r="AA1485" s="960"/>
      <c r="AB1485" s="960"/>
      <c r="AC1485" s="960"/>
      <c r="AD1485" s="960"/>
    </row>
    <row r="1486" spans="1:31" ht="15" customHeight="1">
      <c r="A1486" s="49"/>
      <c r="B1486" s="105"/>
      <c r="C1486" s="830" t="s">
        <v>3863</v>
      </c>
      <c r="D1486" s="830"/>
      <c r="E1486" s="830"/>
      <c r="F1486" s="830"/>
      <c r="G1486" s="830"/>
      <c r="H1486" s="830"/>
      <c r="I1486" s="830"/>
      <c r="J1486" s="830"/>
      <c r="K1486" s="830"/>
      <c r="L1486" s="830"/>
      <c r="M1486" s="830"/>
      <c r="N1486" s="830"/>
      <c r="O1486" s="830"/>
      <c r="P1486" s="830"/>
      <c r="Q1486" s="830"/>
      <c r="R1486" s="830"/>
      <c r="S1486" s="830"/>
      <c r="T1486" s="830"/>
      <c r="U1486" s="830"/>
      <c r="V1486" s="830"/>
      <c r="W1486" s="830"/>
      <c r="X1486" s="830"/>
      <c r="Y1486" s="830"/>
      <c r="Z1486" s="830"/>
      <c r="AA1486" s="830"/>
      <c r="AB1486" s="830"/>
      <c r="AC1486" s="830"/>
      <c r="AD1486" s="830"/>
    </row>
    <row r="1487" spans="1:31" ht="15" customHeight="1">
      <c r="A1487" s="49"/>
      <c r="B1487" s="105"/>
      <c r="C1487" s="86"/>
      <c r="D1487" s="86"/>
      <c r="E1487" s="86"/>
      <c r="F1487" s="86"/>
      <c r="G1487" s="86"/>
      <c r="H1487" s="86"/>
      <c r="I1487" s="86"/>
      <c r="J1487" s="86"/>
      <c r="K1487" s="86"/>
      <c r="L1487" s="86"/>
      <c r="M1487" s="86"/>
      <c r="N1487" s="86"/>
      <c r="O1487" s="86"/>
      <c r="P1487" s="86"/>
      <c r="Q1487" s="86"/>
      <c r="R1487" s="86"/>
      <c r="S1487" s="86"/>
      <c r="T1487" s="86"/>
      <c r="U1487" s="86"/>
      <c r="V1487" s="86"/>
      <c r="W1487" s="86"/>
      <c r="X1487" s="86"/>
      <c r="Y1487" s="86"/>
      <c r="Z1487" s="86"/>
      <c r="AA1487" s="86"/>
      <c r="AB1487" s="86"/>
      <c r="AC1487" s="86"/>
      <c r="AD1487" s="86"/>
      <c r="AE1487"/>
    </row>
    <row r="1488" spans="1:31" ht="15" customHeight="1">
      <c r="A1488" s="115"/>
      <c r="AA1488" s="875" t="s">
        <v>2664</v>
      </c>
      <c r="AB1488" s="875"/>
      <c r="AC1488" s="875"/>
      <c r="AD1488" s="875"/>
    </row>
    <row r="1489" spans="1:66" ht="24" customHeight="1">
      <c r="A1489" s="142"/>
      <c r="B1489" s="113"/>
      <c r="C1489" s="732" t="s">
        <v>3860</v>
      </c>
      <c r="D1489" s="732"/>
      <c r="E1489" s="732"/>
      <c r="F1489" s="732"/>
      <c r="G1489" s="732"/>
      <c r="H1489" s="732"/>
      <c r="I1489" s="732"/>
      <c r="J1489" s="732"/>
      <c r="K1489" s="732"/>
      <c r="L1489" s="732"/>
      <c r="M1489" s="732"/>
      <c r="N1489" s="732"/>
      <c r="O1489" s="732"/>
      <c r="P1489" s="732" t="s">
        <v>3864</v>
      </c>
      <c r="Q1489" s="732"/>
      <c r="R1489" s="732"/>
      <c r="S1489" s="732"/>
      <c r="T1489" s="732"/>
      <c r="U1489" s="732"/>
      <c r="V1489" s="732"/>
      <c r="W1489" s="732"/>
      <c r="X1489" s="732"/>
      <c r="Y1489" s="732"/>
      <c r="Z1489" s="732"/>
      <c r="AA1489" s="732"/>
      <c r="AB1489" s="732"/>
      <c r="AC1489" s="732"/>
      <c r="AD1489" s="732"/>
    </row>
    <row r="1490" spans="1:66" ht="24" customHeight="1">
      <c r="A1490" s="142"/>
      <c r="B1490" s="113"/>
      <c r="C1490" s="732"/>
      <c r="D1490" s="732"/>
      <c r="E1490" s="732"/>
      <c r="F1490" s="732"/>
      <c r="G1490" s="732"/>
      <c r="H1490" s="732"/>
      <c r="I1490" s="732"/>
      <c r="J1490" s="732"/>
      <c r="K1490" s="732"/>
      <c r="L1490" s="732"/>
      <c r="M1490" s="732"/>
      <c r="N1490" s="732"/>
      <c r="O1490" s="732"/>
      <c r="P1490" s="874" t="s">
        <v>2628</v>
      </c>
      <c r="Q1490" s="857" t="s">
        <v>2629</v>
      </c>
      <c r="R1490" s="857" t="s">
        <v>2630</v>
      </c>
      <c r="S1490" s="736" t="s">
        <v>3192</v>
      </c>
      <c r="T1490" s="736"/>
      <c r="U1490" s="736"/>
      <c r="V1490" s="736" t="s">
        <v>3193</v>
      </c>
      <c r="W1490" s="736"/>
      <c r="X1490" s="736"/>
      <c r="Y1490" s="736" t="s">
        <v>3194</v>
      </c>
      <c r="Z1490" s="736"/>
      <c r="AA1490" s="736"/>
      <c r="AB1490" s="736" t="s">
        <v>3195</v>
      </c>
      <c r="AC1490" s="736"/>
      <c r="AD1490" s="736"/>
    </row>
    <row r="1491" spans="1:66" ht="48" customHeight="1">
      <c r="A1491" s="142"/>
      <c r="B1491" s="113"/>
      <c r="C1491" s="732"/>
      <c r="D1491" s="732"/>
      <c r="E1491" s="732"/>
      <c r="F1491" s="732"/>
      <c r="G1491" s="732"/>
      <c r="H1491" s="732"/>
      <c r="I1491" s="732"/>
      <c r="J1491" s="732"/>
      <c r="K1491" s="732"/>
      <c r="L1491" s="732"/>
      <c r="M1491" s="732"/>
      <c r="N1491" s="732"/>
      <c r="O1491" s="732"/>
      <c r="P1491" s="874"/>
      <c r="Q1491" s="857"/>
      <c r="R1491" s="857"/>
      <c r="S1491" s="127" t="s">
        <v>2635</v>
      </c>
      <c r="T1491" s="128" t="s">
        <v>2629</v>
      </c>
      <c r="U1491" s="128" t="s">
        <v>2630</v>
      </c>
      <c r="V1491" s="127" t="s">
        <v>2635</v>
      </c>
      <c r="W1491" s="128" t="s">
        <v>2629</v>
      </c>
      <c r="X1491" s="128" t="s">
        <v>2630</v>
      </c>
      <c r="Y1491" s="127" t="s">
        <v>2635</v>
      </c>
      <c r="Z1491" s="128" t="s">
        <v>2629</v>
      </c>
      <c r="AA1491" s="128" t="s">
        <v>2630</v>
      </c>
      <c r="AB1491" s="127" t="s">
        <v>2635</v>
      </c>
      <c r="AC1491" s="128" t="s">
        <v>2629</v>
      </c>
      <c r="AD1491" s="128" t="s">
        <v>2630</v>
      </c>
      <c r="AG1491" s="354" t="s">
        <v>2586</v>
      </c>
      <c r="AH1491" s="282" t="s">
        <v>2637</v>
      </c>
      <c r="AI1491" s="280" t="s">
        <v>2638</v>
      </c>
      <c r="AJ1491" s="281" t="s">
        <v>2639</v>
      </c>
      <c r="AK1491" s="282" t="s">
        <v>2640</v>
      </c>
      <c r="AL1491" s="280" t="s">
        <v>2641</v>
      </c>
      <c r="AM1491" s="281" t="s">
        <v>2642</v>
      </c>
      <c r="AN1491" s="282" t="s">
        <v>2643</v>
      </c>
      <c r="AO1491" s="280" t="s">
        <v>2644</v>
      </c>
      <c r="AP1491" s="281" t="s">
        <v>2645</v>
      </c>
      <c r="AQ1491" s="282" t="s">
        <v>2646</v>
      </c>
      <c r="AR1491" s="280" t="s">
        <v>2647</v>
      </c>
      <c r="AS1491" s="281" t="s">
        <v>2648</v>
      </c>
      <c r="AT1491" s="282" t="s">
        <v>2756</v>
      </c>
      <c r="AU1491" s="280" t="s">
        <v>2757</v>
      </c>
      <c r="AV1491" s="281" t="s">
        <v>2758</v>
      </c>
      <c r="AW1491" s="282" t="s">
        <v>2759</v>
      </c>
      <c r="AX1491" s="280" t="s">
        <v>2760</v>
      </c>
      <c r="AY1491" s="281" t="s">
        <v>2761</v>
      </c>
      <c r="AZ1491" s="282" t="s">
        <v>2762</v>
      </c>
      <c r="BA1491" s="280" t="s">
        <v>2763</v>
      </c>
      <c r="BB1491" s="281" t="s">
        <v>2764</v>
      </c>
      <c r="BC1491" s="282" t="s">
        <v>2765</v>
      </c>
      <c r="BD1491" s="280" t="s">
        <v>2766</v>
      </c>
      <c r="BE1491" s="281" t="s">
        <v>2767</v>
      </c>
      <c r="BF1491" s="282" t="s">
        <v>2768</v>
      </c>
      <c r="BG1491" s="280" t="s">
        <v>2769</v>
      </c>
      <c r="BH1491" s="281" t="s">
        <v>2770</v>
      </c>
      <c r="BI1491" s="282" t="s">
        <v>2771</v>
      </c>
      <c r="BJ1491" s="280" t="s">
        <v>2772</v>
      </c>
      <c r="BK1491" s="281" t="s">
        <v>2773</v>
      </c>
      <c r="BL1491" s="282" t="s">
        <v>2774</v>
      </c>
      <c r="BM1491" s="280" t="s">
        <v>2775</v>
      </c>
      <c r="BN1491" s="281" t="s">
        <v>2776</v>
      </c>
    </row>
    <row r="1492" spans="1:66" ht="15" customHeight="1">
      <c r="A1492" s="142"/>
      <c r="B1492" s="113"/>
      <c r="C1492" s="44" t="s">
        <v>2516</v>
      </c>
      <c r="D1492" s="813" t="str">
        <f>IF(CNSIPEE_2024_M2_Secc1!D42="","",CNSIPEE_2024_M2_Secc1!D42)</f>
        <v/>
      </c>
      <c r="E1492" s="814"/>
      <c r="F1492" s="814"/>
      <c r="G1492" s="814"/>
      <c r="H1492" s="814"/>
      <c r="I1492" s="814"/>
      <c r="J1492" s="814"/>
      <c r="K1492" s="814"/>
      <c r="L1492" s="814"/>
      <c r="M1492" s="814"/>
      <c r="N1492" s="814"/>
      <c r="O1492" s="815"/>
      <c r="P1492" s="100"/>
      <c r="Q1492" s="100"/>
      <c r="R1492" s="100"/>
      <c r="S1492" s="100"/>
      <c r="T1492" s="100"/>
      <c r="U1492" s="100"/>
      <c r="V1492" s="100"/>
      <c r="W1492" s="100"/>
      <c r="X1492" s="100"/>
      <c r="Y1492" s="100"/>
      <c r="Z1492" s="100"/>
      <c r="AA1492" s="100"/>
      <c r="AB1492" s="100"/>
      <c r="AC1492" s="100"/>
      <c r="AD1492" s="100"/>
      <c r="AG1492" s="326">
        <f t="shared" ref="AG1492:AG1499" si="1455">IF(AND($AH$1423=1,COUNTA(P1492:AD1492,M1506:AD1506)=0),0,IF(AND(COUNTBLANK(D1492)=0,$G1435&lt;&gt;"",$G1435&lt;&gt;1,COUNTA(P1492:AD1492,M1506:AD1506)=0),0,IF(AND(COUNTBLANK(D1492)=0,$G1435&lt;&gt;"",$G1435=1,COUNTA(P1492:AD1492,M1506:AD1506)=33),0,IF(AND(COUNTBLANK(D1492)=1,COUNTA(P1492:AD1492,M1506:AD1506)=0),0,1))))</f>
        <v>0</v>
      </c>
      <c r="AH1492" s="283">
        <f>COUNTIF(Q1492:R1492,"NS")</f>
        <v>0</v>
      </c>
      <c r="AI1492" s="283">
        <f>SUM(Q1492:R1492)</f>
        <v>0</v>
      </c>
      <c r="AJ1492" s="283">
        <f>IF(COUNTIF(P1492:R1492,"NA")=3,0,IF(COUNTA(P1492:R1492)=0,0,IF(OR(AND(P1492=0,AH1492&gt;0),AND(P1492="ns",AI1492&gt;0),AND(P1492="ns",AH1492=0,AI1492=0)),1,IF(OR(AND(P1492&gt;0,AH1492=2),AND(P1492="ns",AH1492=2),AND(P1492="ns",AI1492=0,AH1492&gt;0),P1492=AI1492),0,1))))</f>
        <v>0</v>
      </c>
      <c r="AK1492" s="283">
        <f>COUNTIF(T1492:U1492,"NS")</f>
        <v>0</v>
      </c>
      <c r="AL1492" s="283">
        <f>SUM(T1492:U1492)</f>
        <v>0</v>
      </c>
      <c r="AM1492" s="283">
        <f>IF(COUNTIF(S1492:U1492,"NA")=3,0,IF(COUNTA(S1492:U1492)=0,0,IF(OR(AND(S1492=0,AK1492&gt;0),AND(S1492="ns",AL1492&gt;0),AND(S1492="ns",AK1492=0,AL1492=0)),1,IF(OR(AND(S1492&gt;0,AK1492=2),AND(S1492="ns",AK1492=2),AND(S1492="ns",AL1492=0,AK1492&gt;0),S1492=AL1492),0,1))))</f>
        <v>0</v>
      </c>
      <c r="AN1492" s="283">
        <f>COUNTIF(W1492:X1492,"NS")</f>
        <v>0</v>
      </c>
      <c r="AO1492" s="283">
        <f>SUM(W1492:X1492)</f>
        <v>0</v>
      </c>
      <c r="AP1492" s="283">
        <f>IF(COUNTIF(V1492:X1492,"NA")=3,0,IF(COUNTA(V1492:X1492)=0,0,IF(OR(AND(V1492=0,AN1492&gt;0),AND(V1492="ns",AO1492&gt;0),AND(V1492="ns",AN1492=0,AO1492=0)),1,IF(OR(AND(V1492&gt;0,AN1492=2),AND(V1492="ns",AN1492=2),AND(V1492="ns",AO1492=0,AN1492&gt;0),V1492=AO1492),0,1))))</f>
        <v>0</v>
      </c>
      <c r="AQ1492" s="283">
        <f>COUNTIF(Z1492:AA1492,"NS")</f>
        <v>0</v>
      </c>
      <c r="AR1492" s="283">
        <f>SUM(Z1492:AA1492)</f>
        <v>0</v>
      </c>
      <c r="AS1492" s="283">
        <f>IF(COUNTIF(Y1492:AA1492,"NA")=3,0,IF(COUNTA(Y1492:AA1492)=0,0,IF(OR(AND(Y1492=0,AQ1492&gt;0),AND(Y1492="ns",AR1492&gt;0),AND(Y1492="ns",AQ1492=0,AR1492=0)),1,IF(OR(AND(Y1492&gt;0,AQ1492=2),AND(Y1492="ns",AQ1492=2),AND(Y1492="ns",AR1492=0,AQ1492&gt;0),Y1492=AR1492),0,1))))</f>
        <v>0</v>
      </c>
      <c r="AT1492" s="283">
        <f>COUNTIF(AC1492:AD1492,"NS")</f>
        <v>0</v>
      </c>
      <c r="AU1492" s="283">
        <f>SUM(AC1492:AD1492)</f>
        <v>0</v>
      </c>
      <c r="AV1492" s="283">
        <f>IF(COUNTIF(AB1492:AD1492,"NA")=3,0,IF(COUNTA(AB1492:AD1492)=0,0,IF(OR(AND(AB1492=0,AT1492&gt;0),AND(AB1492="ns",AU1492&gt;0),AND(AB1492="ns",AT1492=0,AU1492=0)),1,IF(OR(AND(AB1492&gt;0,AT1492=2),AND(AB1492="ns",AT1492=2),AND(AB1492="ns",AU1492=0,AT1492&gt;0),AB1492=AU1492),0,1))))</f>
        <v>0</v>
      </c>
      <c r="AW1492" s="283">
        <f>COUNTIF(N1506:O1506,"NS")</f>
        <v>0</v>
      </c>
      <c r="AX1492" s="283">
        <f>SUM(N1506:O1506)</f>
        <v>0</v>
      </c>
      <c r="AY1492" s="283">
        <f>IF(COUNTIF(M1506:O1506,"NA")=3,0,IF(COUNTA(M1506:O1506)=0,0,IF(OR(AND(M1506=0,AW1492&gt;0),AND(M1506="ns",AX1492&gt;0),AND(M1506="ns",AW1492=0,AX1492=0)),1,IF(OR(AND(M1506&gt;0,AW1492=2),AND(M1506="ns",AW1492=2),AND(M1506="ns",AX1492=0,AW1492&gt;0),M1506=AX1492),0,1))))</f>
        <v>0</v>
      </c>
      <c r="AZ1492" s="283">
        <f>COUNTIF(Q1506:R1506,"NS")</f>
        <v>0</v>
      </c>
      <c r="BA1492" s="283">
        <f>SUM(Q1506:R1506)</f>
        <v>0</v>
      </c>
      <c r="BB1492" s="283">
        <f>IF(COUNTIF(P1506:R1506,"NA")=3,0,IF(COUNTA(P1506:R1506)=0,0,IF(OR(AND(P1506=0,AZ1492&gt;0),AND(P1506="ns",BA1492&gt;0),AND(P1506="ns",AZ1492=0,BA1492=0)),1,IF(OR(AND(P1506&gt;0,AZ1492=2),AND(P1506="ns",AZ1492=2),AND(P1506="ns",BA1492=0,AZ1492&gt;0),P1506=BA1492),0,1))))</f>
        <v>0</v>
      </c>
      <c r="BC1492" s="283">
        <f>COUNTIF(T1506:U1506,"NS")</f>
        <v>0</v>
      </c>
      <c r="BD1492" s="283">
        <f>SUM(T1506:U1506)</f>
        <v>0</v>
      </c>
      <c r="BE1492" s="283">
        <f>IF(COUNTIF(S1506:U1506,"NA")=3,0,IF(COUNTA(S1506:U1506)=0,0,IF(OR(AND(S1506=0,BC1492&gt;0),AND(S1506="ns",BD1492&gt;0),AND(S1506="ns",BC1492=0,BD1492=0)),1,IF(OR(AND(S1506&gt;0,BC1492=2),AND(S1506="ns",BC1492=2),AND(S1506="ns",BD1492=0,BC1492&gt;0),S1506=BD1492),0,1))))</f>
        <v>0</v>
      </c>
      <c r="BF1492" s="283">
        <f>COUNTIF(W1506:X1506,"NS")</f>
        <v>0</v>
      </c>
      <c r="BG1492" s="283">
        <f>SUM(W1506:X1506)</f>
        <v>0</v>
      </c>
      <c r="BH1492" s="283">
        <f>IF(COUNTIF(V1506:X1506,"NA")=3,0,IF(COUNTA(V1506:X1506)=0,0,IF(OR(AND(V1506=0,BF1492&gt;0),AND(V1506="ns",BG1492&gt;0),AND(V1506="ns",BF1492=0,BG1492=0)),1,IF(OR(AND(V1506&gt;0,BF1492=2),AND(V1506="ns",BF1492=2),AND(V1506="ns",BG1492=0,BF1492&gt;0),V1506=BG1492),0,1))))</f>
        <v>0</v>
      </c>
      <c r="BI1492" s="283">
        <f>COUNTIF(Z1506:AA1506,"NS")</f>
        <v>0</v>
      </c>
      <c r="BJ1492" s="283">
        <f>SUM(Z1506:AA1506)</f>
        <v>0</v>
      </c>
      <c r="BK1492" s="283">
        <f>IF(COUNTIF(Y1506:AA1506,"NA")=3,0,IF(COUNTA(Y1506:AA1506)=0,0,IF(OR(AND(Y1506=0,BI1492&gt;0),AND(Y1506="ns",BJ1492&gt;0),AND(Y1506="ns",BI1492=0,BJ1492=0)),1,IF(OR(AND(Y1506&gt;0,BI1492=2),AND(Y1506="ns",BI1492=2),AND(Y1506="ns",BJ1492=0,BI1492&gt;0),Y1506=BJ1492),0,1))))</f>
        <v>0</v>
      </c>
      <c r="BL1492" s="283">
        <f>COUNTIF(AC1506:AD1506,"NS")</f>
        <v>0</v>
      </c>
      <c r="BM1492" s="283">
        <f>SUM(AC1506:AD1506)</f>
        <v>0</v>
      </c>
      <c r="BN1492" s="283">
        <f>IF(COUNTIF(AB1506:AD1506,"NA")=3,0,IF(COUNTA(AB1506:AD1506)=0,0,IF(OR(AND(AB1506=0,BL1492&gt;0),AND(AB1506="ns",BM1492&gt;0),AND(AB1506="ns",BL1492=0,BM1492=0)),1,IF(OR(AND(AB1506&gt;0,BL1492=2),AND(AB1506="ns",BL1492=2),AND(AB1506="ns",BM1492=0,BL1492&gt;0),AB1506=BM1492),0,1))))</f>
        <v>0</v>
      </c>
    </row>
    <row r="1493" spans="1:66" ht="15" customHeight="1">
      <c r="A1493" s="142"/>
      <c r="B1493" s="113"/>
      <c r="C1493" s="97" t="s">
        <v>2517</v>
      </c>
      <c r="D1493" s="813" t="str">
        <f>IF(CNSIPEE_2024_M2_Secc1!D43="","",CNSIPEE_2024_M2_Secc1!D43)</f>
        <v/>
      </c>
      <c r="E1493" s="814"/>
      <c r="F1493" s="814"/>
      <c r="G1493" s="814"/>
      <c r="H1493" s="814"/>
      <c r="I1493" s="814"/>
      <c r="J1493" s="814"/>
      <c r="K1493" s="814"/>
      <c r="L1493" s="814"/>
      <c r="M1493" s="814"/>
      <c r="N1493" s="814"/>
      <c r="O1493" s="815"/>
      <c r="P1493" s="100"/>
      <c r="Q1493" s="100"/>
      <c r="R1493" s="100"/>
      <c r="S1493" s="100"/>
      <c r="T1493" s="100"/>
      <c r="U1493" s="100"/>
      <c r="V1493" s="100"/>
      <c r="W1493" s="100"/>
      <c r="X1493" s="100"/>
      <c r="Y1493" s="100"/>
      <c r="Z1493" s="100"/>
      <c r="AA1493" s="100"/>
      <c r="AB1493" s="100"/>
      <c r="AC1493" s="100"/>
      <c r="AD1493" s="100"/>
      <c r="AG1493" s="326">
        <f t="shared" si="1455"/>
        <v>0</v>
      </c>
      <c r="AH1493" s="283">
        <f t="shared" ref="AH1493:AH1499" si="1456">COUNTIF(Q1493:R1493,"NS")</f>
        <v>0</v>
      </c>
      <c r="AI1493" s="283">
        <f t="shared" ref="AI1493:AI1499" si="1457">SUM(Q1493:R1493)</f>
        <v>0</v>
      </c>
      <c r="AJ1493" s="283">
        <f t="shared" ref="AJ1493:AJ1499" si="1458">IF(COUNTIF(P1493:R1493,"NA")=3,0,IF(COUNTA(P1493:R1493)=0,0,IF(OR(AND(P1493=0,AH1493&gt;0),AND(P1493="ns",AI1493&gt;0),AND(P1493="ns",AH1493=0,AI1493=0)),1,IF(OR(AND(P1493&gt;0,AH1493=2),AND(P1493="ns",AH1493=2),AND(P1493="ns",AI1493=0,AH1493&gt;0),P1493=AI1493),0,1))))</f>
        <v>0</v>
      </c>
      <c r="AK1493" s="283">
        <f t="shared" ref="AK1493:AK1499" si="1459">COUNTIF(T1493:U1493,"NS")</f>
        <v>0</v>
      </c>
      <c r="AL1493" s="283">
        <f t="shared" ref="AL1493:AL1499" si="1460">SUM(T1493:U1493)</f>
        <v>0</v>
      </c>
      <c r="AM1493" s="283">
        <f t="shared" ref="AM1493:AM1499" si="1461">IF(COUNTIF(S1493:U1493,"NA")=3,0,IF(COUNTA(S1493:U1493)=0,0,IF(OR(AND(S1493=0,AK1493&gt;0),AND(S1493="ns",AL1493&gt;0),AND(S1493="ns",AK1493=0,AL1493=0)),1,IF(OR(AND(S1493&gt;0,AK1493=2),AND(S1493="ns",AK1493=2),AND(S1493="ns",AL1493=0,AK1493&gt;0),S1493=AL1493),0,1))))</f>
        <v>0</v>
      </c>
      <c r="AN1493" s="283">
        <f t="shared" ref="AN1493:AN1499" si="1462">COUNTIF(W1493:X1493,"NS")</f>
        <v>0</v>
      </c>
      <c r="AO1493" s="283">
        <f t="shared" ref="AO1493:AO1499" si="1463">SUM(W1493:X1493)</f>
        <v>0</v>
      </c>
      <c r="AP1493" s="283">
        <f t="shared" ref="AP1493:AP1499" si="1464">IF(COUNTIF(V1493:X1493,"NA")=3,0,IF(COUNTA(V1493:X1493)=0,0,IF(OR(AND(V1493=0,AN1493&gt;0),AND(V1493="ns",AO1493&gt;0),AND(V1493="ns",AN1493=0,AO1493=0)),1,IF(OR(AND(V1493&gt;0,AN1493=2),AND(V1493="ns",AN1493=2),AND(V1493="ns",AO1493=0,AN1493&gt;0),V1493=AO1493),0,1))))</f>
        <v>0</v>
      </c>
      <c r="AQ1493" s="283">
        <f t="shared" ref="AQ1493:AQ1499" si="1465">COUNTIF(Z1493:AA1493,"NS")</f>
        <v>0</v>
      </c>
      <c r="AR1493" s="283">
        <f t="shared" ref="AR1493:AR1499" si="1466">SUM(Z1493:AA1493)</f>
        <v>0</v>
      </c>
      <c r="AS1493" s="283">
        <f t="shared" ref="AS1493:AS1499" si="1467">IF(COUNTIF(Y1493:AA1493,"NA")=3,0,IF(COUNTA(Y1493:AA1493)=0,0,IF(OR(AND(Y1493=0,AQ1493&gt;0),AND(Y1493="ns",AR1493&gt;0),AND(Y1493="ns",AQ1493=0,AR1493=0)),1,IF(OR(AND(Y1493&gt;0,AQ1493=2),AND(Y1493="ns",AQ1493=2),AND(Y1493="ns",AR1493=0,AQ1493&gt;0),Y1493=AR1493),0,1))))</f>
        <v>0</v>
      </c>
      <c r="AT1493" s="283">
        <f t="shared" ref="AT1493:AT1499" si="1468">COUNTIF(AC1493:AD1493,"NS")</f>
        <v>0</v>
      </c>
      <c r="AU1493" s="283">
        <f t="shared" ref="AU1493:AU1499" si="1469">SUM(AC1493:AD1493)</f>
        <v>0</v>
      </c>
      <c r="AV1493" s="283">
        <f t="shared" ref="AV1493:AV1499" si="1470">IF(COUNTIF(AB1493:AD1493,"NA")=3,0,IF(COUNTA(AB1493:AD1493)=0,0,IF(OR(AND(AB1493=0,AT1493&gt;0),AND(AB1493="ns",AU1493&gt;0),AND(AB1493="ns",AT1493=0,AU1493=0)),1,IF(OR(AND(AB1493&gt;0,AT1493=2),AND(AB1493="ns",AT1493=2),AND(AB1493="ns",AU1493=0,AT1493&gt;0),AB1493=AU1493),0,1))))</f>
        <v>0</v>
      </c>
      <c r="AW1493" s="283">
        <f t="shared" ref="AW1493:AW1499" si="1471">COUNTIF(N1507:O1507,"NS")</f>
        <v>0</v>
      </c>
      <c r="AX1493" s="283">
        <f t="shared" ref="AX1493:AX1499" si="1472">SUM(N1507:O1507)</f>
        <v>0</v>
      </c>
      <c r="AY1493" s="283">
        <f t="shared" ref="AY1493:AY1499" si="1473">IF(COUNTIF(M1507:O1507,"NA")=3,0,IF(COUNTA(M1507:O1507)=0,0,IF(OR(AND(M1507=0,AW1493&gt;0),AND(M1507="ns",AX1493&gt;0),AND(M1507="ns",AW1493=0,AX1493=0)),1,IF(OR(AND(M1507&gt;0,AW1493=2),AND(M1507="ns",AW1493=2),AND(M1507="ns",AX1493=0,AW1493&gt;0),M1507=AX1493),0,1))))</f>
        <v>0</v>
      </c>
      <c r="AZ1493" s="283">
        <f t="shared" ref="AZ1493:AZ1499" si="1474">COUNTIF(Q1507:R1507,"NS")</f>
        <v>0</v>
      </c>
      <c r="BA1493" s="283">
        <f t="shared" ref="BA1493:BA1499" si="1475">SUM(Q1507:R1507)</f>
        <v>0</v>
      </c>
      <c r="BB1493" s="283">
        <f t="shared" ref="BB1493:BB1499" si="1476">IF(COUNTIF(P1507:R1507,"NA")=3,0,IF(COUNTA(P1507:R1507)=0,0,IF(OR(AND(P1507=0,AZ1493&gt;0),AND(P1507="ns",BA1493&gt;0),AND(P1507="ns",AZ1493=0,BA1493=0)),1,IF(OR(AND(P1507&gt;0,AZ1493=2),AND(P1507="ns",AZ1493=2),AND(P1507="ns",BA1493=0,AZ1493&gt;0),P1507=BA1493),0,1))))</f>
        <v>0</v>
      </c>
      <c r="BC1493" s="283">
        <f t="shared" ref="BC1493:BC1499" si="1477">COUNTIF(T1507:U1507,"NS")</f>
        <v>0</v>
      </c>
      <c r="BD1493" s="283">
        <f t="shared" ref="BD1493:BD1499" si="1478">SUM(T1507:U1507)</f>
        <v>0</v>
      </c>
      <c r="BE1493" s="283">
        <f t="shared" ref="BE1493:BE1499" si="1479">IF(COUNTIF(S1507:U1507,"NA")=3,0,IF(COUNTA(S1507:U1507)=0,0,IF(OR(AND(S1507=0,BC1493&gt;0),AND(S1507="ns",BD1493&gt;0),AND(S1507="ns",BC1493=0,BD1493=0)),1,IF(OR(AND(S1507&gt;0,BC1493=2),AND(S1507="ns",BC1493=2),AND(S1507="ns",BD1493=0,BC1493&gt;0),S1507=BD1493),0,1))))</f>
        <v>0</v>
      </c>
      <c r="BF1493" s="283">
        <f t="shared" ref="BF1493:BF1499" si="1480">COUNTIF(W1507:X1507,"NS")</f>
        <v>0</v>
      </c>
      <c r="BG1493" s="283">
        <f t="shared" ref="BG1493:BG1499" si="1481">SUM(W1507:X1507)</f>
        <v>0</v>
      </c>
      <c r="BH1493" s="283">
        <f t="shared" ref="BH1493:BH1499" si="1482">IF(COUNTIF(V1507:X1507,"NA")=3,0,IF(COUNTA(V1507:X1507)=0,0,IF(OR(AND(V1507=0,BF1493&gt;0),AND(V1507="ns",BG1493&gt;0),AND(V1507="ns",BF1493=0,BG1493=0)),1,IF(OR(AND(V1507&gt;0,BF1493=2),AND(V1507="ns",BF1493=2),AND(V1507="ns",BG1493=0,BF1493&gt;0),V1507=BG1493),0,1))))</f>
        <v>0</v>
      </c>
      <c r="BI1493" s="283">
        <f t="shared" ref="BI1493:BI1499" si="1483">COUNTIF(Z1507:AA1507,"NS")</f>
        <v>0</v>
      </c>
      <c r="BJ1493" s="283">
        <f t="shared" ref="BJ1493:BJ1499" si="1484">SUM(Z1507:AA1507)</f>
        <v>0</v>
      </c>
      <c r="BK1493" s="283">
        <f t="shared" ref="BK1493:BK1499" si="1485">IF(COUNTIF(Y1507:AA1507,"NA")=3,0,IF(COUNTA(Y1507:AA1507)=0,0,IF(OR(AND(Y1507=0,BI1493&gt;0),AND(Y1507="ns",BJ1493&gt;0),AND(Y1507="ns",BI1493=0,BJ1493=0)),1,IF(OR(AND(Y1507&gt;0,BI1493=2),AND(Y1507="ns",BI1493=2),AND(Y1507="ns",BJ1493=0,BI1493&gt;0),Y1507=BJ1493),0,1))))</f>
        <v>0</v>
      </c>
      <c r="BL1493" s="283">
        <f t="shared" ref="BL1493:BL1499" si="1486">COUNTIF(AC1507:AD1507,"NS")</f>
        <v>0</v>
      </c>
      <c r="BM1493" s="283">
        <f t="shared" ref="BM1493:BM1499" si="1487">SUM(AC1507:AD1507)</f>
        <v>0</v>
      </c>
      <c r="BN1493" s="283">
        <f t="shared" ref="BN1493:BN1499" si="1488">IF(COUNTIF(AB1507:AD1507,"NA")=3,0,IF(COUNTA(AB1507:AD1507)=0,0,IF(OR(AND(AB1507=0,BL1493&gt;0),AND(AB1507="ns",BM1493&gt;0),AND(AB1507="ns",BL1493=0,BM1493=0)),1,IF(OR(AND(AB1507&gt;0,BL1493=2),AND(AB1507="ns",BL1493=2),AND(AB1507="ns",BM1493=0,BL1493&gt;0),AB1507=BM1493),0,1))))</f>
        <v>0</v>
      </c>
    </row>
    <row r="1494" spans="1:66" ht="15" customHeight="1">
      <c r="A1494" s="142"/>
      <c r="B1494" s="113"/>
      <c r="C1494" s="98" t="s">
        <v>2518</v>
      </c>
      <c r="D1494" s="813" t="str">
        <f>IF(CNSIPEE_2024_M2_Secc1!D44="","",CNSIPEE_2024_M2_Secc1!D44)</f>
        <v/>
      </c>
      <c r="E1494" s="814"/>
      <c r="F1494" s="814"/>
      <c r="G1494" s="814"/>
      <c r="H1494" s="814"/>
      <c r="I1494" s="814"/>
      <c r="J1494" s="814"/>
      <c r="K1494" s="814"/>
      <c r="L1494" s="814"/>
      <c r="M1494" s="814"/>
      <c r="N1494" s="814"/>
      <c r="O1494" s="815"/>
      <c r="P1494" s="100"/>
      <c r="Q1494" s="100"/>
      <c r="R1494" s="100"/>
      <c r="S1494" s="100"/>
      <c r="T1494" s="100"/>
      <c r="U1494" s="100"/>
      <c r="V1494" s="100"/>
      <c r="W1494" s="100"/>
      <c r="X1494" s="100"/>
      <c r="Y1494" s="100"/>
      <c r="Z1494" s="100"/>
      <c r="AA1494" s="100"/>
      <c r="AB1494" s="100"/>
      <c r="AC1494" s="100"/>
      <c r="AD1494" s="100"/>
      <c r="AG1494" s="326">
        <f t="shared" si="1455"/>
        <v>0</v>
      </c>
      <c r="AH1494" s="283">
        <f t="shared" si="1456"/>
        <v>0</v>
      </c>
      <c r="AI1494" s="283">
        <f t="shared" si="1457"/>
        <v>0</v>
      </c>
      <c r="AJ1494" s="283">
        <f t="shared" si="1458"/>
        <v>0</v>
      </c>
      <c r="AK1494" s="283">
        <f t="shared" si="1459"/>
        <v>0</v>
      </c>
      <c r="AL1494" s="283">
        <f t="shared" si="1460"/>
        <v>0</v>
      </c>
      <c r="AM1494" s="283">
        <f t="shared" si="1461"/>
        <v>0</v>
      </c>
      <c r="AN1494" s="283">
        <f t="shared" si="1462"/>
        <v>0</v>
      </c>
      <c r="AO1494" s="283">
        <f t="shared" si="1463"/>
        <v>0</v>
      </c>
      <c r="AP1494" s="283">
        <f t="shared" si="1464"/>
        <v>0</v>
      </c>
      <c r="AQ1494" s="283">
        <f t="shared" si="1465"/>
        <v>0</v>
      </c>
      <c r="AR1494" s="283">
        <f t="shared" si="1466"/>
        <v>0</v>
      </c>
      <c r="AS1494" s="283">
        <f t="shared" si="1467"/>
        <v>0</v>
      </c>
      <c r="AT1494" s="283">
        <f t="shared" si="1468"/>
        <v>0</v>
      </c>
      <c r="AU1494" s="283">
        <f t="shared" si="1469"/>
        <v>0</v>
      </c>
      <c r="AV1494" s="283">
        <f t="shared" si="1470"/>
        <v>0</v>
      </c>
      <c r="AW1494" s="283">
        <f t="shared" si="1471"/>
        <v>0</v>
      </c>
      <c r="AX1494" s="283">
        <f t="shared" si="1472"/>
        <v>0</v>
      </c>
      <c r="AY1494" s="283">
        <f t="shared" si="1473"/>
        <v>0</v>
      </c>
      <c r="AZ1494" s="283">
        <f t="shared" si="1474"/>
        <v>0</v>
      </c>
      <c r="BA1494" s="283">
        <f t="shared" si="1475"/>
        <v>0</v>
      </c>
      <c r="BB1494" s="283">
        <f t="shared" si="1476"/>
        <v>0</v>
      </c>
      <c r="BC1494" s="283">
        <f t="shared" si="1477"/>
        <v>0</v>
      </c>
      <c r="BD1494" s="283">
        <f t="shared" si="1478"/>
        <v>0</v>
      </c>
      <c r="BE1494" s="283">
        <f t="shared" si="1479"/>
        <v>0</v>
      </c>
      <c r="BF1494" s="283">
        <f t="shared" si="1480"/>
        <v>0</v>
      </c>
      <c r="BG1494" s="283">
        <f t="shared" si="1481"/>
        <v>0</v>
      </c>
      <c r="BH1494" s="283">
        <f t="shared" si="1482"/>
        <v>0</v>
      </c>
      <c r="BI1494" s="283">
        <f t="shared" si="1483"/>
        <v>0</v>
      </c>
      <c r="BJ1494" s="283">
        <f t="shared" si="1484"/>
        <v>0</v>
      </c>
      <c r="BK1494" s="283">
        <f t="shared" si="1485"/>
        <v>0</v>
      </c>
      <c r="BL1494" s="283">
        <f t="shared" si="1486"/>
        <v>0</v>
      </c>
      <c r="BM1494" s="283">
        <f t="shared" si="1487"/>
        <v>0</v>
      </c>
      <c r="BN1494" s="283">
        <f t="shared" si="1488"/>
        <v>0</v>
      </c>
    </row>
    <row r="1495" spans="1:66" ht="15" customHeight="1">
      <c r="A1495" s="142"/>
      <c r="B1495" s="113"/>
      <c r="C1495" s="98" t="s">
        <v>2519</v>
      </c>
      <c r="D1495" s="813" t="str">
        <f>IF(CNSIPEE_2024_M2_Secc1!D45="","",CNSIPEE_2024_M2_Secc1!D45)</f>
        <v/>
      </c>
      <c r="E1495" s="814"/>
      <c r="F1495" s="814"/>
      <c r="G1495" s="814"/>
      <c r="H1495" s="814"/>
      <c r="I1495" s="814"/>
      <c r="J1495" s="814"/>
      <c r="K1495" s="814"/>
      <c r="L1495" s="814"/>
      <c r="M1495" s="814"/>
      <c r="N1495" s="814"/>
      <c r="O1495" s="815"/>
      <c r="P1495" s="100"/>
      <c r="Q1495" s="100"/>
      <c r="R1495" s="100"/>
      <c r="S1495" s="100"/>
      <c r="T1495" s="100"/>
      <c r="U1495" s="100"/>
      <c r="V1495" s="100"/>
      <c r="W1495" s="100"/>
      <c r="X1495" s="100"/>
      <c r="Y1495" s="100"/>
      <c r="Z1495" s="100"/>
      <c r="AA1495" s="100"/>
      <c r="AB1495" s="100"/>
      <c r="AC1495" s="100"/>
      <c r="AD1495" s="100"/>
      <c r="AG1495" s="326">
        <f t="shared" si="1455"/>
        <v>0</v>
      </c>
      <c r="AH1495" s="283">
        <f t="shared" si="1456"/>
        <v>0</v>
      </c>
      <c r="AI1495" s="283">
        <f t="shared" si="1457"/>
        <v>0</v>
      </c>
      <c r="AJ1495" s="283">
        <f t="shared" si="1458"/>
        <v>0</v>
      </c>
      <c r="AK1495" s="283">
        <f t="shared" si="1459"/>
        <v>0</v>
      </c>
      <c r="AL1495" s="283">
        <f t="shared" si="1460"/>
        <v>0</v>
      </c>
      <c r="AM1495" s="283">
        <f t="shared" si="1461"/>
        <v>0</v>
      </c>
      <c r="AN1495" s="283">
        <f t="shared" si="1462"/>
        <v>0</v>
      </c>
      <c r="AO1495" s="283">
        <f t="shared" si="1463"/>
        <v>0</v>
      </c>
      <c r="AP1495" s="283">
        <f t="shared" si="1464"/>
        <v>0</v>
      </c>
      <c r="AQ1495" s="283">
        <f t="shared" si="1465"/>
        <v>0</v>
      </c>
      <c r="AR1495" s="283">
        <f t="shared" si="1466"/>
        <v>0</v>
      </c>
      <c r="AS1495" s="283">
        <f t="shared" si="1467"/>
        <v>0</v>
      </c>
      <c r="AT1495" s="283">
        <f t="shared" si="1468"/>
        <v>0</v>
      </c>
      <c r="AU1495" s="283">
        <f t="shared" si="1469"/>
        <v>0</v>
      </c>
      <c r="AV1495" s="283">
        <f t="shared" si="1470"/>
        <v>0</v>
      </c>
      <c r="AW1495" s="283">
        <f t="shared" si="1471"/>
        <v>0</v>
      </c>
      <c r="AX1495" s="283">
        <f t="shared" si="1472"/>
        <v>0</v>
      </c>
      <c r="AY1495" s="283">
        <f t="shared" si="1473"/>
        <v>0</v>
      </c>
      <c r="AZ1495" s="283">
        <f t="shared" si="1474"/>
        <v>0</v>
      </c>
      <c r="BA1495" s="283">
        <f t="shared" si="1475"/>
        <v>0</v>
      </c>
      <c r="BB1495" s="283">
        <f t="shared" si="1476"/>
        <v>0</v>
      </c>
      <c r="BC1495" s="283">
        <f t="shared" si="1477"/>
        <v>0</v>
      </c>
      <c r="BD1495" s="283">
        <f t="shared" si="1478"/>
        <v>0</v>
      </c>
      <c r="BE1495" s="283">
        <f t="shared" si="1479"/>
        <v>0</v>
      </c>
      <c r="BF1495" s="283">
        <f t="shared" si="1480"/>
        <v>0</v>
      </c>
      <c r="BG1495" s="283">
        <f t="shared" si="1481"/>
        <v>0</v>
      </c>
      <c r="BH1495" s="283">
        <f t="shared" si="1482"/>
        <v>0</v>
      </c>
      <c r="BI1495" s="283">
        <f t="shared" si="1483"/>
        <v>0</v>
      </c>
      <c r="BJ1495" s="283">
        <f t="shared" si="1484"/>
        <v>0</v>
      </c>
      <c r="BK1495" s="283">
        <f t="shared" si="1485"/>
        <v>0</v>
      </c>
      <c r="BL1495" s="283">
        <f t="shared" si="1486"/>
        <v>0</v>
      </c>
      <c r="BM1495" s="283">
        <f t="shared" si="1487"/>
        <v>0</v>
      </c>
      <c r="BN1495" s="283">
        <f t="shared" si="1488"/>
        <v>0</v>
      </c>
    </row>
    <row r="1496" spans="1:66" ht="15" customHeight="1">
      <c r="A1496" s="142"/>
      <c r="B1496" s="113"/>
      <c r="C1496" s="98" t="s">
        <v>2520</v>
      </c>
      <c r="D1496" s="813" t="str">
        <f>IF(CNSIPEE_2024_M2_Secc1!D46="","",CNSIPEE_2024_M2_Secc1!D46)</f>
        <v/>
      </c>
      <c r="E1496" s="814"/>
      <c r="F1496" s="814"/>
      <c r="G1496" s="814"/>
      <c r="H1496" s="814"/>
      <c r="I1496" s="814"/>
      <c r="J1496" s="814"/>
      <c r="K1496" s="814"/>
      <c r="L1496" s="814"/>
      <c r="M1496" s="814"/>
      <c r="N1496" s="814"/>
      <c r="O1496" s="815"/>
      <c r="P1496" s="100"/>
      <c r="Q1496" s="100"/>
      <c r="R1496" s="100"/>
      <c r="S1496" s="100"/>
      <c r="T1496" s="100"/>
      <c r="U1496" s="100"/>
      <c r="V1496" s="100"/>
      <c r="W1496" s="100"/>
      <c r="X1496" s="100"/>
      <c r="Y1496" s="100"/>
      <c r="Z1496" s="100"/>
      <c r="AA1496" s="100"/>
      <c r="AB1496" s="100"/>
      <c r="AC1496" s="100"/>
      <c r="AD1496" s="100"/>
      <c r="AG1496" s="326">
        <f t="shared" si="1455"/>
        <v>0</v>
      </c>
      <c r="AH1496" s="283">
        <f t="shared" si="1456"/>
        <v>0</v>
      </c>
      <c r="AI1496" s="283">
        <f t="shared" si="1457"/>
        <v>0</v>
      </c>
      <c r="AJ1496" s="283">
        <f t="shared" si="1458"/>
        <v>0</v>
      </c>
      <c r="AK1496" s="283">
        <f t="shared" si="1459"/>
        <v>0</v>
      </c>
      <c r="AL1496" s="283">
        <f t="shared" si="1460"/>
        <v>0</v>
      </c>
      <c r="AM1496" s="283">
        <f t="shared" si="1461"/>
        <v>0</v>
      </c>
      <c r="AN1496" s="283">
        <f t="shared" si="1462"/>
        <v>0</v>
      </c>
      <c r="AO1496" s="283">
        <f t="shared" si="1463"/>
        <v>0</v>
      </c>
      <c r="AP1496" s="283">
        <f t="shared" si="1464"/>
        <v>0</v>
      </c>
      <c r="AQ1496" s="283">
        <f t="shared" si="1465"/>
        <v>0</v>
      </c>
      <c r="AR1496" s="283">
        <f t="shared" si="1466"/>
        <v>0</v>
      </c>
      <c r="AS1496" s="283">
        <f t="shared" si="1467"/>
        <v>0</v>
      </c>
      <c r="AT1496" s="283">
        <f t="shared" si="1468"/>
        <v>0</v>
      </c>
      <c r="AU1496" s="283">
        <f t="shared" si="1469"/>
        <v>0</v>
      </c>
      <c r="AV1496" s="283">
        <f t="shared" si="1470"/>
        <v>0</v>
      </c>
      <c r="AW1496" s="283">
        <f t="shared" si="1471"/>
        <v>0</v>
      </c>
      <c r="AX1496" s="283">
        <f t="shared" si="1472"/>
        <v>0</v>
      </c>
      <c r="AY1496" s="283">
        <f t="shared" si="1473"/>
        <v>0</v>
      </c>
      <c r="AZ1496" s="283">
        <f t="shared" si="1474"/>
        <v>0</v>
      </c>
      <c r="BA1496" s="283">
        <f t="shared" si="1475"/>
        <v>0</v>
      </c>
      <c r="BB1496" s="283">
        <f t="shared" si="1476"/>
        <v>0</v>
      </c>
      <c r="BC1496" s="283">
        <f t="shared" si="1477"/>
        <v>0</v>
      </c>
      <c r="BD1496" s="283">
        <f t="shared" si="1478"/>
        <v>0</v>
      </c>
      <c r="BE1496" s="283">
        <f t="shared" si="1479"/>
        <v>0</v>
      </c>
      <c r="BF1496" s="283">
        <f t="shared" si="1480"/>
        <v>0</v>
      </c>
      <c r="BG1496" s="283">
        <f t="shared" si="1481"/>
        <v>0</v>
      </c>
      <c r="BH1496" s="283">
        <f t="shared" si="1482"/>
        <v>0</v>
      </c>
      <c r="BI1496" s="283">
        <f t="shared" si="1483"/>
        <v>0</v>
      </c>
      <c r="BJ1496" s="283">
        <f t="shared" si="1484"/>
        <v>0</v>
      </c>
      <c r="BK1496" s="283">
        <f t="shared" si="1485"/>
        <v>0</v>
      </c>
      <c r="BL1496" s="283">
        <f t="shared" si="1486"/>
        <v>0</v>
      </c>
      <c r="BM1496" s="283">
        <f t="shared" si="1487"/>
        <v>0</v>
      </c>
      <c r="BN1496" s="283">
        <f t="shared" si="1488"/>
        <v>0</v>
      </c>
    </row>
    <row r="1497" spans="1:66" ht="15" customHeight="1">
      <c r="A1497" s="142"/>
      <c r="B1497" s="113"/>
      <c r="C1497" s="98" t="s">
        <v>2521</v>
      </c>
      <c r="D1497" s="813" t="str">
        <f>IF(CNSIPEE_2024_M2_Secc1!D47="","",CNSIPEE_2024_M2_Secc1!D47)</f>
        <v/>
      </c>
      <c r="E1497" s="814"/>
      <c r="F1497" s="814"/>
      <c r="G1497" s="814"/>
      <c r="H1497" s="814"/>
      <c r="I1497" s="814"/>
      <c r="J1497" s="814"/>
      <c r="K1497" s="814"/>
      <c r="L1497" s="814"/>
      <c r="M1497" s="814"/>
      <c r="N1497" s="814"/>
      <c r="O1497" s="815"/>
      <c r="P1497" s="100"/>
      <c r="Q1497" s="100"/>
      <c r="R1497" s="100"/>
      <c r="S1497" s="100"/>
      <c r="T1497" s="100"/>
      <c r="U1497" s="100"/>
      <c r="V1497" s="100"/>
      <c r="W1497" s="100"/>
      <c r="X1497" s="100"/>
      <c r="Y1497" s="100"/>
      <c r="Z1497" s="100"/>
      <c r="AA1497" s="100"/>
      <c r="AB1497" s="100"/>
      <c r="AC1497" s="100"/>
      <c r="AD1497" s="100"/>
      <c r="AG1497" s="326">
        <f t="shared" si="1455"/>
        <v>0</v>
      </c>
      <c r="AH1497" s="283">
        <f t="shared" si="1456"/>
        <v>0</v>
      </c>
      <c r="AI1497" s="283">
        <f t="shared" si="1457"/>
        <v>0</v>
      </c>
      <c r="AJ1497" s="283">
        <f t="shared" si="1458"/>
        <v>0</v>
      </c>
      <c r="AK1497" s="283">
        <f t="shared" si="1459"/>
        <v>0</v>
      </c>
      <c r="AL1497" s="283">
        <f t="shared" si="1460"/>
        <v>0</v>
      </c>
      <c r="AM1497" s="283">
        <f t="shared" si="1461"/>
        <v>0</v>
      </c>
      <c r="AN1497" s="283">
        <f t="shared" si="1462"/>
        <v>0</v>
      </c>
      <c r="AO1497" s="283">
        <f t="shared" si="1463"/>
        <v>0</v>
      </c>
      <c r="AP1497" s="283">
        <f t="shared" si="1464"/>
        <v>0</v>
      </c>
      <c r="AQ1497" s="283">
        <f t="shared" si="1465"/>
        <v>0</v>
      </c>
      <c r="AR1497" s="283">
        <f t="shared" si="1466"/>
        <v>0</v>
      </c>
      <c r="AS1497" s="283">
        <f t="shared" si="1467"/>
        <v>0</v>
      </c>
      <c r="AT1497" s="283">
        <f t="shared" si="1468"/>
        <v>0</v>
      </c>
      <c r="AU1497" s="283">
        <f t="shared" si="1469"/>
        <v>0</v>
      </c>
      <c r="AV1497" s="283">
        <f t="shared" si="1470"/>
        <v>0</v>
      </c>
      <c r="AW1497" s="283">
        <f t="shared" si="1471"/>
        <v>0</v>
      </c>
      <c r="AX1497" s="283">
        <f t="shared" si="1472"/>
        <v>0</v>
      </c>
      <c r="AY1497" s="283">
        <f t="shared" si="1473"/>
        <v>0</v>
      </c>
      <c r="AZ1497" s="283">
        <f t="shared" si="1474"/>
        <v>0</v>
      </c>
      <c r="BA1497" s="283">
        <f t="shared" si="1475"/>
        <v>0</v>
      </c>
      <c r="BB1497" s="283">
        <f t="shared" si="1476"/>
        <v>0</v>
      </c>
      <c r="BC1497" s="283">
        <f t="shared" si="1477"/>
        <v>0</v>
      </c>
      <c r="BD1497" s="283">
        <f t="shared" si="1478"/>
        <v>0</v>
      </c>
      <c r="BE1497" s="283">
        <f t="shared" si="1479"/>
        <v>0</v>
      </c>
      <c r="BF1497" s="283">
        <f t="shared" si="1480"/>
        <v>0</v>
      </c>
      <c r="BG1497" s="283">
        <f t="shared" si="1481"/>
        <v>0</v>
      </c>
      <c r="BH1497" s="283">
        <f t="shared" si="1482"/>
        <v>0</v>
      </c>
      <c r="BI1497" s="283">
        <f t="shared" si="1483"/>
        <v>0</v>
      </c>
      <c r="BJ1497" s="283">
        <f t="shared" si="1484"/>
        <v>0</v>
      </c>
      <c r="BK1497" s="283">
        <f t="shared" si="1485"/>
        <v>0</v>
      </c>
      <c r="BL1497" s="283">
        <f t="shared" si="1486"/>
        <v>0</v>
      </c>
      <c r="BM1497" s="283">
        <f t="shared" si="1487"/>
        <v>0</v>
      </c>
      <c r="BN1497" s="283">
        <f t="shared" si="1488"/>
        <v>0</v>
      </c>
    </row>
    <row r="1498" spans="1:66" ht="15" customHeight="1">
      <c r="A1498" s="142"/>
      <c r="B1498" s="113"/>
      <c r="C1498" s="98" t="s">
        <v>2522</v>
      </c>
      <c r="D1498" s="813" t="str">
        <f>IF(CNSIPEE_2024_M2_Secc1!D48="","",CNSIPEE_2024_M2_Secc1!D48)</f>
        <v/>
      </c>
      <c r="E1498" s="814"/>
      <c r="F1498" s="814"/>
      <c r="G1498" s="814"/>
      <c r="H1498" s="814"/>
      <c r="I1498" s="814"/>
      <c r="J1498" s="814"/>
      <c r="K1498" s="814"/>
      <c r="L1498" s="814"/>
      <c r="M1498" s="814"/>
      <c r="N1498" s="814"/>
      <c r="O1498" s="815"/>
      <c r="P1498" s="100"/>
      <c r="Q1498" s="100"/>
      <c r="R1498" s="100"/>
      <c r="S1498" s="100"/>
      <c r="T1498" s="100"/>
      <c r="U1498" s="100"/>
      <c r="V1498" s="100"/>
      <c r="W1498" s="100"/>
      <c r="X1498" s="100"/>
      <c r="Y1498" s="100"/>
      <c r="Z1498" s="100"/>
      <c r="AA1498" s="100"/>
      <c r="AB1498" s="100"/>
      <c r="AC1498" s="100"/>
      <c r="AD1498" s="100"/>
      <c r="AG1498" s="326">
        <f t="shared" si="1455"/>
        <v>0</v>
      </c>
      <c r="AH1498" s="283">
        <f t="shared" si="1456"/>
        <v>0</v>
      </c>
      <c r="AI1498" s="283">
        <f t="shared" si="1457"/>
        <v>0</v>
      </c>
      <c r="AJ1498" s="283">
        <f t="shared" si="1458"/>
        <v>0</v>
      </c>
      <c r="AK1498" s="283">
        <f t="shared" si="1459"/>
        <v>0</v>
      </c>
      <c r="AL1498" s="283">
        <f t="shared" si="1460"/>
        <v>0</v>
      </c>
      <c r="AM1498" s="283">
        <f t="shared" si="1461"/>
        <v>0</v>
      </c>
      <c r="AN1498" s="283">
        <f t="shared" si="1462"/>
        <v>0</v>
      </c>
      <c r="AO1498" s="283">
        <f t="shared" si="1463"/>
        <v>0</v>
      </c>
      <c r="AP1498" s="283">
        <f t="shared" si="1464"/>
        <v>0</v>
      </c>
      <c r="AQ1498" s="283">
        <f t="shared" si="1465"/>
        <v>0</v>
      </c>
      <c r="AR1498" s="283">
        <f t="shared" si="1466"/>
        <v>0</v>
      </c>
      <c r="AS1498" s="283">
        <f t="shared" si="1467"/>
        <v>0</v>
      </c>
      <c r="AT1498" s="283">
        <f t="shared" si="1468"/>
        <v>0</v>
      </c>
      <c r="AU1498" s="283">
        <f t="shared" si="1469"/>
        <v>0</v>
      </c>
      <c r="AV1498" s="283">
        <f t="shared" si="1470"/>
        <v>0</v>
      </c>
      <c r="AW1498" s="283">
        <f t="shared" si="1471"/>
        <v>0</v>
      </c>
      <c r="AX1498" s="283">
        <f t="shared" si="1472"/>
        <v>0</v>
      </c>
      <c r="AY1498" s="283">
        <f t="shared" si="1473"/>
        <v>0</v>
      </c>
      <c r="AZ1498" s="283">
        <f t="shared" si="1474"/>
        <v>0</v>
      </c>
      <c r="BA1498" s="283">
        <f t="shared" si="1475"/>
        <v>0</v>
      </c>
      <c r="BB1498" s="283">
        <f t="shared" si="1476"/>
        <v>0</v>
      </c>
      <c r="BC1498" s="283">
        <f t="shared" si="1477"/>
        <v>0</v>
      </c>
      <c r="BD1498" s="283">
        <f t="shared" si="1478"/>
        <v>0</v>
      </c>
      <c r="BE1498" s="283">
        <f t="shared" si="1479"/>
        <v>0</v>
      </c>
      <c r="BF1498" s="283">
        <f t="shared" si="1480"/>
        <v>0</v>
      </c>
      <c r="BG1498" s="283">
        <f t="shared" si="1481"/>
        <v>0</v>
      </c>
      <c r="BH1498" s="283">
        <f t="shared" si="1482"/>
        <v>0</v>
      </c>
      <c r="BI1498" s="283">
        <f t="shared" si="1483"/>
        <v>0</v>
      </c>
      <c r="BJ1498" s="283">
        <f t="shared" si="1484"/>
        <v>0</v>
      </c>
      <c r="BK1498" s="283">
        <f t="shared" si="1485"/>
        <v>0</v>
      </c>
      <c r="BL1498" s="283">
        <f t="shared" si="1486"/>
        <v>0</v>
      </c>
      <c r="BM1498" s="283">
        <f t="shared" si="1487"/>
        <v>0</v>
      </c>
      <c r="BN1498" s="283">
        <f t="shared" si="1488"/>
        <v>0</v>
      </c>
    </row>
    <row r="1499" spans="1:66" ht="15" customHeight="1">
      <c r="A1499" s="142"/>
      <c r="B1499" s="113"/>
      <c r="C1499" s="98" t="s">
        <v>2523</v>
      </c>
      <c r="D1499" s="813" t="str">
        <f>IF(CNSIPEE_2024_M2_Secc1!D49="","",CNSIPEE_2024_M2_Secc1!D49)</f>
        <v/>
      </c>
      <c r="E1499" s="814"/>
      <c r="F1499" s="814"/>
      <c r="G1499" s="814"/>
      <c r="H1499" s="814"/>
      <c r="I1499" s="814"/>
      <c r="J1499" s="814"/>
      <c r="K1499" s="814"/>
      <c r="L1499" s="814"/>
      <c r="M1499" s="814"/>
      <c r="N1499" s="814"/>
      <c r="O1499" s="815"/>
      <c r="P1499" s="100"/>
      <c r="Q1499" s="100"/>
      <c r="R1499" s="100"/>
      <c r="S1499" s="100"/>
      <c r="T1499" s="100"/>
      <c r="U1499" s="100"/>
      <c r="V1499" s="100"/>
      <c r="W1499" s="100"/>
      <c r="X1499" s="100"/>
      <c r="Y1499" s="100"/>
      <c r="Z1499" s="100"/>
      <c r="AA1499" s="100"/>
      <c r="AB1499" s="100"/>
      <c r="AC1499" s="100"/>
      <c r="AD1499" s="100"/>
      <c r="AG1499" s="326">
        <f t="shared" si="1455"/>
        <v>0</v>
      </c>
      <c r="AH1499" s="283">
        <f t="shared" si="1456"/>
        <v>0</v>
      </c>
      <c r="AI1499" s="283">
        <f t="shared" si="1457"/>
        <v>0</v>
      </c>
      <c r="AJ1499" s="283">
        <f t="shared" si="1458"/>
        <v>0</v>
      </c>
      <c r="AK1499" s="283">
        <f t="shared" si="1459"/>
        <v>0</v>
      </c>
      <c r="AL1499" s="283">
        <f t="shared" si="1460"/>
        <v>0</v>
      </c>
      <c r="AM1499" s="283">
        <f t="shared" si="1461"/>
        <v>0</v>
      </c>
      <c r="AN1499" s="283">
        <f t="shared" si="1462"/>
        <v>0</v>
      </c>
      <c r="AO1499" s="283">
        <f t="shared" si="1463"/>
        <v>0</v>
      </c>
      <c r="AP1499" s="283">
        <f t="shared" si="1464"/>
        <v>0</v>
      </c>
      <c r="AQ1499" s="283">
        <f t="shared" si="1465"/>
        <v>0</v>
      </c>
      <c r="AR1499" s="283">
        <f t="shared" si="1466"/>
        <v>0</v>
      </c>
      <c r="AS1499" s="283">
        <f t="shared" si="1467"/>
        <v>0</v>
      </c>
      <c r="AT1499" s="283">
        <f t="shared" si="1468"/>
        <v>0</v>
      </c>
      <c r="AU1499" s="283">
        <f t="shared" si="1469"/>
        <v>0</v>
      </c>
      <c r="AV1499" s="283">
        <f t="shared" si="1470"/>
        <v>0</v>
      </c>
      <c r="AW1499" s="283">
        <f t="shared" si="1471"/>
        <v>0</v>
      </c>
      <c r="AX1499" s="283">
        <f t="shared" si="1472"/>
        <v>0</v>
      </c>
      <c r="AY1499" s="283">
        <f t="shared" si="1473"/>
        <v>0</v>
      </c>
      <c r="AZ1499" s="283">
        <f t="shared" si="1474"/>
        <v>0</v>
      </c>
      <c r="BA1499" s="283">
        <f t="shared" si="1475"/>
        <v>0</v>
      </c>
      <c r="BB1499" s="283">
        <f t="shared" si="1476"/>
        <v>0</v>
      </c>
      <c r="BC1499" s="283">
        <f t="shared" si="1477"/>
        <v>0</v>
      </c>
      <c r="BD1499" s="283">
        <f t="shared" si="1478"/>
        <v>0</v>
      </c>
      <c r="BE1499" s="283">
        <f t="shared" si="1479"/>
        <v>0</v>
      </c>
      <c r="BF1499" s="283">
        <f t="shared" si="1480"/>
        <v>0</v>
      </c>
      <c r="BG1499" s="283">
        <f t="shared" si="1481"/>
        <v>0</v>
      </c>
      <c r="BH1499" s="283">
        <f t="shared" si="1482"/>
        <v>0</v>
      </c>
      <c r="BI1499" s="283">
        <f t="shared" si="1483"/>
        <v>0</v>
      </c>
      <c r="BJ1499" s="283">
        <f t="shared" si="1484"/>
        <v>0</v>
      </c>
      <c r="BK1499" s="283">
        <f t="shared" si="1485"/>
        <v>0</v>
      </c>
      <c r="BL1499" s="283">
        <f t="shared" si="1486"/>
        <v>0</v>
      </c>
      <c r="BM1499" s="283">
        <f t="shared" si="1487"/>
        <v>0</v>
      </c>
      <c r="BN1499" s="283">
        <f t="shared" si="1488"/>
        <v>0</v>
      </c>
    </row>
    <row r="1500" spans="1:66" ht="15" customHeight="1">
      <c r="A1500" s="49"/>
      <c r="B1500" s="123"/>
      <c r="C1500" s="123"/>
      <c r="D1500" s="123"/>
      <c r="E1500" s="123"/>
      <c r="G1500" s="123"/>
      <c r="H1500" s="123"/>
      <c r="I1500" s="123"/>
      <c r="J1500" s="123"/>
      <c r="K1500" s="123"/>
      <c r="L1500" s="123"/>
      <c r="M1500" s="123"/>
      <c r="N1500" s="123"/>
      <c r="O1500" s="117" t="s">
        <v>2649</v>
      </c>
      <c r="P1500" s="124">
        <f>IF(AND(SUM(P1492:P1499)=0,COUNTIF(P1492:P1499,"NS")&gt;0),"NS",
IF(AND(SUM(P1492:P1499)=0,COUNTIF(P1492:P1499,0)&gt;0),0,
IF(AND(SUM(P1492:P1499)=0,COUNTIF(P1492:P1499,"NA")&gt;0),"NA",
SUM(P1492:P1499))))</f>
        <v>0</v>
      </c>
      <c r="Q1500" s="124">
        <f t="shared" ref="Q1500:AD1500" si="1489">IF(AND(SUM(Q1492:Q1499)=0,COUNTIF(Q1492:Q1499,"NS")&gt;0),"NS",
IF(AND(SUM(Q1492:Q1499)=0,COUNTIF(Q1492:Q1499,0)&gt;0),0,
IF(AND(SUM(Q1492:Q1499)=0,COUNTIF(Q1492:Q1499,"NA")&gt;0),"NA",
SUM(Q1492:Q1499))))</f>
        <v>0</v>
      </c>
      <c r="R1500" s="124">
        <f t="shared" si="1489"/>
        <v>0</v>
      </c>
      <c r="S1500" s="124">
        <f t="shared" si="1489"/>
        <v>0</v>
      </c>
      <c r="T1500" s="124">
        <f t="shared" si="1489"/>
        <v>0</v>
      </c>
      <c r="U1500" s="124">
        <f t="shared" si="1489"/>
        <v>0</v>
      </c>
      <c r="V1500" s="124">
        <f t="shared" si="1489"/>
        <v>0</v>
      </c>
      <c r="W1500" s="124">
        <f t="shared" si="1489"/>
        <v>0</v>
      </c>
      <c r="X1500" s="124">
        <f t="shared" si="1489"/>
        <v>0</v>
      </c>
      <c r="Y1500" s="124">
        <f t="shared" si="1489"/>
        <v>0</v>
      </c>
      <c r="Z1500" s="124">
        <f t="shared" si="1489"/>
        <v>0</v>
      </c>
      <c r="AA1500" s="124">
        <f t="shared" si="1489"/>
        <v>0</v>
      </c>
      <c r="AB1500" s="124">
        <f t="shared" si="1489"/>
        <v>0</v>
      </c>
      <c r="AC1500" s="124">
        <f t="shared" si="1489"/>
        <v>0</v>
      </c>
      <c r="AD1500" s="124">
        <f t="shared" si="1489"/>
        <v>0</v>
      </c>
      <c r="AG1500" s="354">
        <f>SUM(AG1492:AG1499)</f>
        <v>0</v>
      </c>
      <c r="AH1500" s="406">
        <f>SUM(AH1492:AH1499)</f>
        <v>0</v>
      </c>
      <c r="AI1500" s="326"/>
      <c r="AJ1500" s="352">
        <f>SUM(AJ1492:AJ1499)</f>
        <v>0</v>
      </c>
      <c r="AK1500" s="406">
        <f t="shared" ref="AK1500" si="1490">SUM(AK1492:AK1499)</f>
        <v>0</v>
      </c>
      <c r="AL1500" s="326"/>
      <c r="AM1500" s="352">
        <f t="shared" ref="AM1500:AN1500" si="1491">SUM(AM1492:AM1499)</f>
        <v>0</v>
      </c>
      <c r="AN1500" s="406">
        <f t="shared" si="1491"/>
        <v>0</v>
      </c>
      <c r="AO1500" s="326"/>
      <c r="AP1500" s="352">
        <f t="shared" ref="AP1500:AQ1500" si="1492">SUM(AP1492:AP1499)</f>
        <v>0</v>
      </c>
      <c r="AQ1500" s="406">
        <f t="shared" si="1492"/>
        <v>0</v>
      </c>
      <c r="AR1500" s="326"/>
      <c r="AS1500" s="352">
        <f t="shared" ref="AS1500:AT1500" si="1493">SUM(AS1492:AS1499)</f>
        <v>0</v>
      </c>
      <c r="AT1500" s="406">
        <f t="shared" si="1493"/>
        <v>0</v>
      </c>
      <c r="AU1500" s="326"/>
      <c r="AV1500" s="352">
        <f t="shared" ref="AV1500:AW1500" si="1494">SUM(AV1492:AV1499)</f>
        <v>0</v>
      </c>
      <c r="AW1500" s="406">
        <f t="shared" si="1494"/>
        <v>0</v>
      </c>
      <c r="AX1500" s="326"/>
      <c r="AY1500" s="352">
        <f t="shared" ref="AY1500:AZ1500" si="1495">SUM(AY1492:AY1499)</f>
        <v>0</v>
      </c>
      <c r="AZ1500" s="406">
        <f t="shared" si="1495"/>
        <v>0</v>
      </c>
      <c r="BA1500" s="326"/>
      <c r="BB1500" s="352">
        <f t="shared" ref="BB1500:BC1500" si="1496">SUM(BB1492:BB1499)</f>
        <v>0</v>
      </c>
      <c r="BC1500" s="406">
        <f t="shared" si="1496"/>
        <v>0</v>
      </c>
      <c r="BD1500" s="326"/>
      <c r="BE1500" s="352">
        <f t="shared" ref="BE1500:BF1500" si="1497">SUM(BE1492:BE1499)</f>
        <v>0</v>
      </c>
      <c r="BF1500" s="406">
        <f t="shared" si="1497"/>
        <v>0</v>
      </c>
      <c r="BG1500" s="326"/>
      <c r="BH1500" s="352">
        <f t="shared" ref="BH1500:BI1500" si="1498">SUM(BH1492:BH1499)</f>
        <v>0</v>
      </c>
      <c r="BI1500" s="406">
        <f t="shared" si="1498"/>
        <v>0</v>
      </c>
      <c r="BJ1500" s="326"/>
      <c r="BK1500" s="352">
        <f t="shared" ref="BK1500:BL1500" si="1499">SUM(BK1492:BK1499)</f>
        <v>0</v>
      </c>
      <c r="BL1500" s="406">
        <f t="shared" si="1499"/>
        <v>0</v>
      </c>
      <c r="BM1500" s="326"/>
      <c r="BN1500" s="352">
        <f t="shared" ref="BN1500" si="1500">SUM(BN1492:BN1499)</f>
        <v>0</v>
      </c>
    </row>
    <row r="1501" spans="1:66" ht="15" customHeight="1">
      <c r="A1501" s="49"/>
      <c r="B1501" s="123"/>
      <c r="C1501" s="123"/>
      <c r="D1501" s="123"/>
      <c r="E1501" s="123"/>
      <c r="G1501" s="123"/>
      <c r="H1501" s="123"/>
      <c r="I1501" s="123"/>
      <c r="J1501" s="123"/>
      <c r="K1501" s="123"/>
      <c r="L1501" s="123"/>
      <c r="M1501" s="123"/>
      <c r="N1501" s="123"/>
      <c r="O1501" s="117"/>
      <c r="P1501" s="104"/>
      <c r="Q1501" s="104"/>
      <c r="R1501" s="104"/>
      <c r="S1501" s="104"/>
      <c r="T1501" s="104"/>
      <c r="U1501" s="104"/>
      <c r="V1501" s="104"/>
      <c r="W1501" s="104"/>
      <c r="X1501" s="104"/>
      <c r="Y1501" s="104"/>
      <c r="Z1501" s="104"/>
      <c r="AA1501" s="104"/>
      <c r="AB1501" s="104"/>
      <c r="AC1501" s="104"/>
      <c r="AD1501" s="104"/>
    </row>
    <row r="1502" spans="1:66" ht="15" customHeight="1">
      <c r="A1502" s="115"/>
      <c r="AA1502" s="875" t="s">
        <v>2668</v>
      </c>
      <c r="AB1502" s="875"/>
      <c r="AC1502" s="875"/>
      <c r="AD1502" s="875"/>
      <c r="AJ1502" s="356" t="s">
        <v>2650</v>
      </c>
      <c r="AK1502" s="283">
        <f>SUM(AJ1500,AM1500,AP1500,AS1500,AV1500,AY1500,BB1500,BE1500,BH1500,BK1500,BN1500)</f>
        <v>0</v>
      </c>
      <c r="AL1502" s="355" t="s">
        <v>2651</v>
      </c>
      <c r="AM1502" s="283">
        <f>SUM(AH1500,AK1500,AN1500,AQ1500,AT1500,AW1500,AZ1500,BC1500,BF1500,BI1500,BL1500)</f>
        <v>0</v>
      </c>
      <c r="AN1502" s="283"/>
      <c r="AO1502" s="283"/>
    </row>
    <row r="1503" spans="1:66" ht="24" customHeight="1">
      <c r="A1503" s="142"/>
      <c r="B1503" s="113"/>
      <c r="C1503" s="797" t="s">
        <v>3860</v>
      </c>
      <c r="D1503" s="798"/>
      <c r="E1503" s="798"/>
      <c r="F1503" s="798"/>
      <c r="G1503" s="798"/>
      <c r="H1503" s="798"/>
      <c r="I1503" s="798"/>
      <c r="J1503" s="798"/>
      <c r="K1503" s="798"/>
      <c r="L1503" s="799"/>
      <c r="M1503" s="739" t="s">
        <v>3864</v>
      </c>
      <c r="N1503" s="740"/>
      <c r="O1503" s="740"/>
      <c r="P1503" s="740"/>
      <c r="Q1503" s="740"/>
      <c r="R1503" s="740"/>
      <c r="S1503" s="740"/>
      <c r="T1503" s="740"/>
      <c r="U1503" s="740"/>
      <c r="V1503" s="740"/>
      <c r="W1503" s="740"/>
      <c r="X1503" s="740"/>
      <c r="Y1503" s="740"/>
      <c r="Z1503" s="740"/>
      <c r="AA1503" s="740"/>
      <c r="AB1503" s="740"/>
      <c r="AC1503" s="740"/>
      <c r="AD1503" s="741"/>
      <c r="AJ1503" s="356" t="s">
        <v>2652</v>
      </c>
      <c r="AK1503" s="438">
        <f>IF(AM1502&gt;0,IF(SUM(P1500)&gt;=SUM(S1500,V1500,Y1500,AB1500,M1514,P1514,S1514,V1514,Y1514,AB1514),0,1),IF(SUM(P1500)&lt;&gt;SUM(S1500,V1500,Y1500,AB1500,M1514,P1514,S1514,V1514,Y1514,AB1514),1,0))</f>
        <v>0</v>
      </c>
      <c r="AL1503" s="357" t="s">
        <v>2653</v>
      </c>
      <c r="AM1503" s="438">
        <f>IF(AM1502&gt;0,IF(SUM(Q1500)&gt;=SUM(T1500,W1500,Z1500,AC1500,N1514,Q1514,T1514,W1514,Z1514,AC1514),0,1),IF(SUM(Q1500)&lt;&gt;SUM(T1500,W1500,Z1500,AC1500,N1514,Q1514,T1514,W1514,Z1514,AC1514),1,0))</f>
        <v>0</v>
      </c>
      <c r="AN1503" s="357" t="s">
        <v>2654</v>
      </c>
      <c r="AO1503" s="438">
        <f>IF(AM1502&gt;0,IF(SUM(R1500)&gt;=SUM(U1500,X1500,AA1500,AD1500,O1514,R1514,U1514,X1514,AA1514,AD1514),0,1),IF(SUM(R1500)&lt;&gt;SUM(U1500,X1500,AA1500,AD1500,O1514,R1514,U1514,X1514,AA1514,AD1514),1,0))</f>
        <v>0</v>
      </c>
    </row>
    <row r="1504" spans="1:66" ht="24" customHeight="1">
      <c r="A1504" s="142"/>
      <c r="C1504" s="800"/>
      <c r="D1504" s="801"/>
      <c r="E1504" s="801"/>
      <c r="F1504" s="801"/>
      <c r="G1504" s="801"/>
      <c r="H1504" s="801"/>
      <c r="I1504" s="801"/>
      <c r="J1504" s="801"/>
      <c r="K1504" s="801"/>
      <c r="L1504" s="802"/>
      <c r="M1504" s="824" t="s">
        <v>3196</v>
      </c>
      <c r="N1504" s="825"/>
      <c r="O1504" s="826"/>
      <c r="P1504" s="824" t="s">
        <v>3197</v>
      </c>
      <c r="Q1504" s="825"/>
      <c r="R1504" s="826"/>
      <c r="S1504" s="824" t="s">
        <v>3198</v>
      </c>
      <c r="T1504" s="825"/>
      <c r="U1504" s="826"/>
      <c r="V1504" s="824" t="s">
        <v>3199</v>
      </c>
      <c r="W1504" s="825"/>
      <c r="X1504" s="826"/>
      <c r="Y1504" s="824" t="s">
        <v>3200</v>
      </c>
      <c r="Z1504" s="825"/>
      <c r="AA1504" s="826"/>
      <c r="AB1504" s="824" t="s">
        <v>3201</v>
      </c>
      <c r="AC1504" s="825"/>
      <c r="AD1504" s="826"/>
      <c r="AG1504" s="1026" t="s">
        <v>3865</v>
      </c>
      <c r="AH1504" s="1026"/>
      <c r="AI1504" s="1026"/>
      <c r="AJ1504" s="920" t="s">
        <v>3813</v>
      </c>
      <c r="AK1504"/>
    </row>
    <row r="1505" spans="1:37" ht="48" customHeight="1">
      <c r="A1505" s="142"/>
      <c r="C1505" s="803"/>
      <c r="D1505" s="804"/>
      <c r="E1505" s="804"/>
      <c r="F1505" s="804"/>
      <c r="G1505" s="804"/>
      <c r="H1505" s="804"/>
      <c r="I1505" s="804"/>
      <c r="J1505" s="804"/>
      <c r="K1505" s="804"/>
      <c r="L1505" s="805"/>
      <c r="M1505" s="127" t="s">
        <v>2635</v>
      </c>
      <c r="N1505" s="128" t="s">
        <v>2629</v>
      </c>
      <c r="O1505" s="128" t="s">
        <v>2630</v>
      </c>
      <c r="P1505" s="127" t="s">
        <v>2635</v>
      </c>
      <c r="Q1505" s="128" t="s">
        <v>2629</v>
      </c>
      <c r="R1505" s="128" t="s">
        <v>2630</v>
      </c>
      <c r="S1505" s="127" t="s">
        <v>2635</v>
      </c>
      <c r="T1505" s="128" t="s">
        <v>2629</v>
      </c>
      <c r="U1505" s="128" t="s">
        <v>2630</v>
      </c>
      <c r="V1505" s="127" t="s">
        <v>2635</v>
      </c>
      <c r="W1505" s="128" t="s">
        <v>2629</v>
      </c>
      <c r="X1505" s="128" t="s">
        <v>2630</v>
      </c>
      <c r="Y1505" s="127" t="s">
        <v>2635</v>
      </c>
      <c r="Z1505" s="128" t="s">
        <v>2629</v>
      </c>
      <c r="AA1505" s="128" t="s">
        <v>2630</v>
      </c>
      <c r="AB1505" s="127" t="s">
        <v>2635</v>
      </c>
      <c r="AC1505" s="128" t="s">
        <v>2629</v>
      </c>
      <c r="AD1505" s="128" t="s">
        <v>2630</v>
      </c>
      <c r="AG1505" s="477" t="s">
        <v>2795</v>
      </c>
      <c r="AH1505" s="478" t="s">
        <v>3177</v>
      </c>
      <c r="AI1505" s="479" t="s">
        <v>3178</v>
      </c>
      <c r="AJ1505" s="920"/>
      <c r="AK1505" s="365" t="s">
        <v>2620</v>
      </c>
    </row>
    <row r="1506" spans="1:37" ht="15">
      <c r="A1506" s="115"/>
      <c r="C1506" s="44" t="s">
        <v>2516</v>
      </c>
      <c r="D1506" s="813" t="str">
        <f>IF(CNSIPEE_2024_M2_Secc1!D42="","",CNSIPEE_2024_M2_Secc1!D42)</f>
        <v/>
      </c>
      <c r="E1506" s="814"/>
      <c r="F1506" s="814"/>
      <c r="G1506" s="814"/>
      <c r="H1506" s="814"/>
      <c r="I1506" s="814"/>
      <c r="J1506" s="814"/>
      <c r="K1506" s="814"/>
      <c r="L1506" s="815"/>
      <c r="M1506" s="100"/>
      <c r="N1506" s="100"/>
      <c r="O1506" s="100"/>
      <c r="P1506" s="100"/>
      <c r="Q1506" s="100"/>
      <c r="R1506" s="100"/>
      <c r="S1506" s="100"/>
      <c r="T1506" s="100"/>
      <c r="U1506" s="100"/>
      <c r="V1506" s="100"/>
      <c r="W1506" s="100"/>
      <c r="X1506" s="100"/>
      <c r="Y1506" s="100"/>
      <c r="Z1506" s="100"/>
      <c r="AA1506" s="100"/>
      <c r="AB1506" s="100"/>
      <c r="AC1506" s="100"/>
      <c r="AD1506" s="100"/>
      <c r="AG1506">
        <f>IF(AND(P1492="NS",J1435="NS"),0,IF(AND(P1492="NA",J1435="NA"),0,IF(P1492=J1435,0,1)))</f>
        <v>0</v>
      </c>
      <c r="AH1506">
        <f t="shared" ref="AH1506" si="1501">IF(AND(Q1492="NS",K1435="NS"),0,IF(AND(Q1492="NA",K1435="NA"),0,IF(Q1492=K1435,0,1)))</f>
        <v>0</v>
      </c>
      <c r="AI1506">
        <f>IF(AND(R1492="NS",L1435="NS"),0,IF(AND(R1492="NA",L1435="NA"),0,IF(R1492=L1435,0,1)))</f>
        <v>0</v>
      </c>
      <c r="AJ1506">
        <f>IF(AND($G1435&lt;&gt;"",$G1435&lt;&gt;1,COUNTA(P1492:AD1492,M1506:AD1506)&gt;0),1,0)</f>
        <v>0</v>
      </c>
      <c r="AK1506">
        <f>IF(AND($AH$1423=1,COUNTA(P1492:AD1499,M1506:AD1513)&gt;0),1,0)</f>
        <v>0</v>
      </c>
    </row>
    <row r="1507" spans="1:37" ht="15">
      <c r="A1507" s="115"/>
      <c r="C1507" s="97" t="s">
        <v>2517</v>
      </c>
      <c r="D1507" s="813" t="str">
        <f>IF(CNSIPEE_2024_M2_Secc1!D43="","",CNSIPEE_2024_M2_Secc1!D43)</f>
        <v/>
      </c>
      <c r="E1507" s="814"/>
      <c r="F1507" s="814"/>
      <c r="G1507" s="814"/>
      <c r="H1507" s="814"/>
      <c r="I1507" s="814"/>
      <c r="J1507" s="814"/>
      <c r="K1507" s="814"/>
      <c r="L1507" s="815"/>
      <c r="M1507" s="100"/>
      <c r="N1507" s="100"/>
      <c r="O1507" s="100"/>
      <c r="P1507" s="100"/>
      <c r="Q1507" s="100"/>
      <c r="R1507" s="100"/>
      <c r="S1507" s="100"/>
      <c r="T1507" s="100"/>
      <c r="U1507" s="100"/>
      <c r="V1507" s="100"/>
      <c r="W1507" s="100"/>
      <c r="X1507" s="100"/>
      <c r="Y1507" s="100"/>
      <c r="Z1507" s="100"/>
      <c r="AA1507" s="100"/>
      <c r="AB1507" s="100"/>
      <c r="AC1507" s="100"/>
      <c r="AD1507" s="100"/>
      <c r="AG1507">
        <f t="shared" ref="AG1507:AG1513" si="1502">IF(AND(P1493="NS",J1436="NS"),0,IF(AND(P1493="NA",J1436="NA"),0,IF(P1493=J1436,0,1)))</f>
        <v>0</v>
      </c>
      <c r="AH1507">
        <f t="shared" ref="AH1507:AI1513" si="1503">IF(AND(Q1493="NS",K1436="NS"),0,IF(AND(Q1493="NA",K1436="NA"),0,IF(Q1493=K1436,0,1)))</f>
        <v>0</v>
      </c>
      <c r="AI1507">
        <f t="shared" si="1503"/>
        <v>0</v>
      </c>
      <c r="AJ1507">
        <f t="shared" ref="AJ1507:AJ1513" si="1504">IF(AND($G1436&lt;&gt;"",$G1436&lt;&gt;1,COUNTA(P1493:AD1493,M1507:AD1507)&gt;0),1,0)</f>
        <v>0</v>
      </c>
    </row>
    <row r="1508" spans="1:37" ht="15" customHeight="1">
      <c r="A1508" s="115"/>
      <c r="C1508" s="98" t="s">
        <v>2518</v>
      </c>
      <c r="D1508" s="813" t="str">
        <f>IF(CNSIPEE_2024_M2_Secc1!D44="","",CNSIPEE_2024_M2_Secc1!D44)</f>
        <v/>
      </c>
      <c r="E1508" s="814"/>
      <c r="F1508" s="814"/>
      <c r="G1508" s="814"/>
      <c r="H1508" s="814"/>
      <c r="I1508" s="814"/>
      <c r="J1508" s="814"/>
      <c r="K1508" s="814"/>
      <c r="L1508" s="815"/>
      <c r="M1508" s="100"/>
      <c r="N1508" s="100"/>
      <c r="O1508" s="100"/>
      <c r="P1508" s="100"/>
      <c r="Q1508" s="100"/>
      <c r="R1508" s="100"/>
      <c r="S1508" s="100"/>
      <c r="T1508" s="100"/>
      <c r="U1508" s="100"/>
      <c r="V1508" s="100"/>
      <c r="W1508" s="100"/>
      <c r="X1508" s="100"/>
      <c r="Y1508" s="100"/>
      <c r="Z1508" s="100"/>
      <c r="AA1508" s="100"/>
      <c r="AB1508" s="100"/>
      <c r="AC1508" s="100"/>
      <c r="AD1508" s="100"/>
      <c r="AG1508">
        <f t="shared" si="1502"/>
        <v>0</v>
      </c>
      <c r="AH1508">
        <f t="shared" si="1503"/>
        <v>0</v>
      </c>
      <c r="AI1508">
        <f t="shared" ref="AI1508:AI1513" si="1505">IF(AND(R1494="NS",L1437="NS"),0,IF(AND(R1494="NA",L1437="NA"),0,IF(R1494=L1437,0,1)))</f>
        <v>0</v>
      </c>
      <c r="AJ1508">
        <f t="shared" si="1504"/>
        <v>0</v>
      </c>
    </row>
    <row r="1509" spans="1:37" ht="15" customHeight="1">
      <c r="A1509" s="115"/>
      <c r="C1509" s="98" t="s">
        <v>2519</v>
      </c>
      <c r="D1509" s="813" t="str">
        <f>IF(CNSIPEE_2024_M2_Secc1!D45="","",CNSIPEE_2024_M2_Secc1!D45)</f>
        <v/>
      </c>
      <c r="E1509" s="814"/>
      <c r="F1509" s="814"/>
      <c r="G1509" s="814"/>
      <c r="H1509" s="814"/>
      <c r="I1509" s="814"/>
      <c r="J1509" s="814"/>
      <c r="K1509" s="814"/>
      <c r="L1509" s="815"/>
      <c r="M1509" s="100"/>
      <c r="N1509" s="100"/>
      <c r="O1509" s="100"/>
      <c r="P1509" s="100"/>
      <c r="Q1509" s="100"/>
      <c r="R1509" s="100"/>
      <c r="S1509" s="100"/>
      <c r="T1509" s="100"/>
      <c r="U1509" s="100"/>
      <c r="V1509" s="100"/>
      <c r="W1509" s="100"/>
      <c r="X1509" s="100"/>
      <c r="Y1509" s="100"/>
      <c r="Z1509" s="100"/>
      <c r="AA1509" s="100"/>
      <c r="AB1509" s="100"/>
      <c r="AC1509" s="100"/>
      <c r="AD1509" s="100"/>
      <c r="AG1509">
        <f t="shared" si="1502"/>
        <v>0</v>
      </c>
      <c r="AH1509">
        <f t="shared" si="1503"/>
        <v>0</v>
      </c>
      <c r="AI1509">
        <f t="shared" si="1505"/>
        <v>0</v>
      </c>
      <c r="AJ1509">
        <f t="shared" si="1504"/>
        <v>0</v>
      </c>
    </row>
    <row r="1510" spans="1:37" ht="15" customHeight="1">
      <c r="A1510" s="115"/>
      <c r="C1510" s="98" t="s">
        <v>2520</v>
      </c>
      <c r="D1510" s="813" t="str">
        <f>IF(CNSIPEE_2024_M2_Secc1!D46="","",CNSIPEE_2024_M2_Secc1!D46)</f>
        <v/>
      </c>
      <c r="E1510" s="814"/>
      <c r="F1510" s="814"/>
      <c r="G1510" s="814"/>
      <c r="H1510" s="814"/>
      <c r="I1510" s="814"/>
      <c r="J1510" s="814"/>
      <c r="K1510" s="814"/>
      <c r="L1510" s="815"/>
      <c r="M1510" s="100"/>
      <c r="N1510" s="100"/>
      <c r="O1510" s="100"/>
      <c r="P1510" s="100"/>
      <c r="Q1510" s="100"/>
      <c r="R1510" s="100"/>
      <c r="S1510" s="100"/>
      <c r="T1510" s="100"/>
      <c r="U1510" s="100"/>
      <c r="V1510" s="100"/>
      <c r="W1510" s="100"/>
      <c r="X1510" s="100"/>
      <c r="Y1510" s="100"/>
      <c r="Z1510" s="100"/>
      <c r="AA1510" s="100"/>
      <c r="AB1510" s="100"/>
      <c r="AC1510" s="100"/>
      <c r="AD1510" s="100"/>
      <c r="AG1510">
        <f t="shared" si="1502"/>
        <v>0</v>
      </c>
      <c r="AH1510">
        <f t="shared" si="1503"/>
        <v>0</v>
      </c>
      <c r="AI1510">
        <f t="shared" si="1505"/>
        <v>0</v>
      </c>
      <c r="AJ1510">
        <f t="shared" si="1504"/>
        <v>0</v>
      </c>
    </row>
    <row r="1511" spans="1:37" ht="15" customHeight="1">
      <c r="A1511" s="115"/>
      <c r="C1511" s="98" t="s">
        <v>2521</v>
      </c>
      <c r="D1511" s="813" t="str">
        <f>IF(CNSIPEE_2024_M2_Secc1!D47="","",CNSIPEE_2024_M2_Secc1!D47)</f>
        <v/>
      </c>
      <c r="E1511" s="814"/>
      <c r="F1511" s="814"/>
      <c r="G1511" s="814"/>
      <c r="H1511" s="814"/>
      <c r="I1511" s="814"/>
      <c r="J1511" s="814"/>
      <c r="K1511" s="814"/>
      <c r="L1511" s="815"/>
      <c r="M1511" s="100"/>
      <c r="N1511" s="100"/>
      <c r="O1511" s="100"/>
      <c r="P1511" s="100"/>
      <c r="Q1511" s="100"/>
      <c r="R1511" s="100"/>
      <c r="S1511" s="100"/>
      <c r="T1511" s="100"/>
      <c r="U1511" s="100"/>
      <c r="V1511" s="100"/>
      <c r="W1511" s="100"/>
      <c r="X1511" s="100"/>
      <c r="Y1511" s="100"/>
      <c r="Z1511" s="100"/>
      <c r="AA1511" s="100"/>
      <c r="AB1511" s="100"/>
      <c r="AC1511" s="100"/>
      <c r="AD1511" s="100"/>
      <c r="AG1511">
        <f t="shared" si="1502"/>
        <v>0</v>
      </c>
      <c r="AH1511">
        <f t="shared" si="1503"/>
        <v>0</v>
      </c>
      <c r="AI1511">
        <f t="shared" si="1505"/>
        <v>0</v>
      </c>
      <c r="AJ1511">
        <f t="shared" si="1504"/>
        <v>0</v>
      </c>
    </row>
    <row r="1512" spans="1:37" ht="15" customHeight="1">
      <c r="A1512" s="115"/>
      <c r="C1512" s="98" t="s">
        <v>2522</v>
      </c>
      <c r="D1512" s="813" t="str">
        <f>IF(CNSIPEE_2024_M2_Secc1!D48="","",CNSIPEE_2024_M2_Secc1!D48)</f>
        <v/>
      </c>
      <c r="E1512" s="814"/>
      <c r="F1512" s="814"/>
      <c r="G1512" s="814"/>
      <c r="H1512" s="814"/>
      <c r="I1512" s="814"/>
      <c r="J1512" s="814"/>
      <c r="K1512" s="814"/>
      <c r="L1512" s="815"/>
      <c r="M1512" s="100"/>
      <c r="N1512" s="100"/>
      <c r="O1512" s="100"/>
      <c r="P1512" s="100"/>
      <c r="Q1512" s="100"/>
      <c r="R1512" s="100"/>
      <c r="S1512" s="100"/>
      <c r="T1512" s="100"/>
      <c r="U1512" s="100"/>
      <c r="V1512" s="100"/>
      <c r="W1512" s="100"/>
      <c r="X1512" s="100"/>
      <c r="Y1512" s="100"/>
      <c r="Z1512" s="100"/>
      <c r="AA1512" s="100"/>
      <c r="AB1512" s="100"/>
      <c r="AC1512" s="100"/>
      <c r="AD1512" s="100"/>
      <c r="AG1512">
        <f t="shared" si="1502"/>
        <v>0</v>
      </c>
      <c r="AH1512">
        <f t="shared" si="1503"/>
        <v>0</v>
      </c>
      <c r="AI1512">
        <f t="shared" si="1505"/>
        <v>0</v>
      </c>
      <c r="AJ1512">
        <f t="shared" si="1504"/>
        <v>0</v>
      </c>
    </row>
    <row r="1513" spans="1:37" ht="15" customHeight="1">
      <c r="A1513" s="115"/>
      <c r="C1513" s="98" t="s">
        <v>2523</v>
      </c>
      <c r="D1513" s="813" t="str">
        <f>IF(CNSIPEE_2024_M2_Secc1!D49="","",CNSIPEE_2024_M2_Secc1!D49)</f>
        <v/>
      </c>
      <c r="E1513" s="814"/>
      <c r="F1513" s="814"/>
      <c r="G1513" s="814"/>
      <c r="H1513" s="814"/>
      <c r="I1513" s="814"/>
      <c r="J1513" s="814"/>
      <c r="K1513" s="814"/>
      <c r="L1513" s="815"/>
      <c r="M1513" s="100"/>
      <c r="N1513" s="100"/>
      <c r="O1513" s="100"/>
      <c r="P1513" s="100"/>
      <c r="Q1513" s="100"/>
      <c r="R1513" s="100"/>
      <c r="S1513" s="100"/>
      <c r="T1513" s="100"/>
      <c r="U1513" s="100"/>
      <c r="V1513" s="100"/>
      <c r="W1513" s="100"/>
      <c r="X1513" s="100"/>
      <c r="Y1513" s="100"/>
      <c r="Z1513" s="100"/>
      <c r="AA1513" s="100"/>
      <c r="AB1513" s="100"/>
      <c r="AC1513" s="100"/>
      <c r="AD1513" s="100"/>
      <c r="AG1513">
        <f t="shared" si="1502"/>
        <v>0</v>
      </c>
      <c r="AH1513">
        <f t="shared" si="1503"/>
        <v>0</v>
      </c>
      <c r="AI1513">
        <f t="shared" si="1505"/>
        <v>0</v>
      </c>
      <c r="AJ1513">
        <f t="shared" si="1504"/>
        <v>0</v>
      </c>
    </row>
    <row r="1514" spans="1:37" ht="15" customHeight="1">
      <c r="A1514" s="115"/>
      <c r="M1514" s="124">
        <f>IF(AND(SUM(M1506:M1513)=0,COUNTIF(M1506:M1513,"NS")&gt;0),"NS",
IF(AND(SUM(M1506:M1513)=0,COUNTIF(M1506:M1513,0)&gt;0),0,
IF(AND(SUM(M1506:M1513)=0,COUNTIF(M1506:M1513,"NA")&gt;0),"NA",
SUM(M1506:M1513))))</f>
        <v>0</v>
      </c>
      <c r="N1514" s="124">
        <f t="shared" ref="N1514:AD1514" si="1506">IF(AND(SUM(N1506:N1513)=0,COUNTIF(N1506:N1513,"NS")&gt;0),"NS",
IF(AND(SUM(N1506:N1513)=0,COUNTIF(N1506:N1513,0)&gt;0),0,
IF(AND(SUM(N1506:N1513)=0,COUNTIF(N1506:N1513,"NA")&gt;0),"NA",
SUM(N1506:N1513))))</f>
        <v>0</v>
      </c>
      <c r="O1514" s="124">
        <f t="shared" si="1506"/>
        <v>0</v>
      </c>
      <c r="P1514" s="124">
        <f t="shared" si="1506"/>
        <v>0</v>
      </c>
      <c r="Q1514" s="124">
        <f t="shared" si="1506"/>
        <v>0</v>
      </c>
      <c r="R1514" s="124">
        <f t="shared" si="1506"/>
        <v>0</v>
      </c>
      <c r="S1514" s="124">
        <f t="shared" si="1506"/>
        <v>0</v>
      </c>
      <c r="T1514" s="124">
        <f t="shared" si="1506"/>
        <v>0</v>
      </c>
      <c r="U1514" s="124">
        <f t="shared" si="1506"/>
        <v>0</v>
      </c>
      <c r="V1514" s="124">
        <f t="shared" si="1506"/>
        <v>0</v>
      </c>
      <c r="W1514" s="124">
        <f t="shared" si="1506"/>
        <v>0</v>
      </c>
      <c r="X1514" s="124">
        <f t="shared" si="1506"/>
        <v>0</v>
      </c>
      <c r="Y1514" s="124">
        <f t="shared" si="1506"/>
        <v>0</v>
      </c>
      <c r="Z1514" s="124">
        <f t="shared" si="1506"/>
        <v>0</v>
      </c>
      <c r="AA1514" s="124">
        <f t="shared" si="1506"/>
        <v>0</v>
      </c>
      <c r="AB1514" s="124">
        <f t="shared" si="1506"/>
        <v>0</v>
      </c>
      <c r="AC1514" s="124">
        <f t="shared" si="1506"/>
        <v>0</v>
      </c>
      <c r="AD1514" s="124">
        <f t="shared" si="1506"/>
        <v>0</v>
      </c>
      <c r="AG1514" s="477">
        <f>SUM(AG1506:AG1513)</f>
        <v>0</v>
      </c>
      <c r="AH1514" s="478">
        <f>SUM(AH1506:AH1513)</f>
        <v>0</v>
      </c>
      <c r="AI1514" s="479">
        <f>SUM(AI1506:AI1513)</f>
        <v>0</v>
      </c>
      <c r="AJ1514" s="365">
        <f>SUM(AJ1506:AJ1513)</f>
        <v>0</v>
      </c>
    </row>
    <row r="1515" spans="1:37" ht="15">
      <c r="A1515" s="94"/>
      <c r="C1515" s="107"/>
      <c r="D1515" s="107"/>
      <c r="E1515" s="107"/>
      <c r="F1515" s="107"/>
      <c r="G1515" s="107"/>
      <c r="I1515" s="107"/>
      <c r="J1515" s="107"/>
      <c r="K1515" s="117"/>
      <c r="P1515" s="104"/>
      <c r="Q1515" s="104"/>
      <c r="R1515" s="104"/>
      <c r="S1515" s="104"/>
      <c r="T1515" s="104"/>
      <c r="U1515" s="104"/>
      <c r="V1515" s="104"/>
      <c r="W1515" s="104"/>
      <c r="X1515" s="104"/>
      <c r="Y1515" s="104"/>
      <c r="Z1515" s="104"/>
      <c r="AA1515" s="104"/>
      <c r="AB1515" s="104"/>
      <c r="AC1515" s="104"/>
      <c r="AD1515" s="104"/>
      <c r="AG1515"/>
      <c r="AH1515"/>
      <c r="AI1515" s="480">
        <f>SUM(AG1514:AI1514)</f>
        <v>0</v>
      </c>
      <c r="AJ1515" s="327"/>
    </row>
    <row r="1516" spans="1:37" ht="24" customHeight="1">
      <c r="A1516" s="94"/>
      <c r="C1516" s="764" t="s">
        <v>2611</v>
      </c>
      <c r="D1516" s="764"/>
      <c r="E1516" s="764"/>
      <c r="F1516" s="764"/>
      <c r="G1516" s="764"/>
      <c r="H1516" s="764"/>
      <c r="I1516" s="764"/>
      <c r="J1516" s="764"/>
      <c r="K1516" s="764"/>
      <c r="L1516" s="764"/>
      <c r="M1516" s="764"/>
      <c r="N1516" s="764"/>
      <c r="O1516" s="764"/>
      <c r="P1516" s="764"/>
      <c r="Q1516" s="764"/>
      <c r="R1516" s="764"/>
      <c r="S1516" s="764"/>
      <c r="T1516" s="764"/>
      <c r="U1516" s="764"/>
      <c r="V1516" s="764"/>
      <c r="W1516" s="764"/>
      <c r="X1516" s="764"/>
      <c r="Y1516" s="764"/>
      <c r="Z1516" s="764"/>
      <c r="AA1516" s="764"/>
      <c r="AB1516" s="764"/>
      <c r="AC1516" s="764"/>
      <c r="AD1516" s="764"/>
    </row>
    <row r="1517" spans="1:37" ht="60" customHeight="1">
      <c r="A1517" s="94"/>
      <c r="C1517" s="882"/>
      <c r="D1517" s="883"/>
      <c r="E1517" s="883"/>
      <c r="F1517" s="883"/>
      <c r="G1517" s="883"/>
      <c r="H1517" s="883"/>
      <c r="I1517" s="883"/>
      <c r="J1517" s="883"/>
      <c r="K1517" s="883"/>
      <c r="L1517" s="883"/>
      <c r="M1517" s="883"/>
      <c r="N1517" s="883"/>
      <c r="O1517" s="883"/>
      <c r="P1517" s="883"/>
      <c r="Q1517" s="883"/>
      <c r="R1517" s="883"/>
      <c r="S1517" s="883"/>
      <c r="T1517" s="883"/>
      <c r="U1517" s="883"/>
      <c r="V1517" s="883"/>
      <c r="W1517" s="883"/>
      <c r="X1517" s="883"/>
      <c r="Y1517" s="883"/>
      <c r="Z1517" s="883"/>
      <c r="AA1517" s="883"/>
      <c r="AB1517" s="883"/>
      <c r="AC1517" s="883"/>
      <c r="AD1517" s="884"/>
    </row>
    <row r="1518" spans="1:37" ht="15">
      <c r="A1518" s="94"/>
      <c r="B1518" s="794" t="str">
        <f>IF(AG1500&gt;0,"Favor de ingresar toda la información requerida en la pregunta y/o verifique que no tenga información en celdas sombreadas","")</f>
        <v/>
      </c>
      <c r="C1518" s="794"/>
      <c r="D1518" s="794"/>
      <c r="E1518" s="794"/>
      <c r="F1518" s="794"/>
      <c r="G1518" s="794"/>
      <c r="H1518" s="794"/>
      <c r="I1518" s="794"/>
      <c r="J1518" s="794"/>
      <c r="K1518" s="794"/>
      <c r="L1518" s="794"/>
      <c r="M1518" s="794"/>
      <c r="N1518" s="794"/>
      <c r="O1518" s="794"/>
      <c r="P1518" s="794"/>
      <c r="Q1518" s="794"/>
      <c r="R1518" s="794"/>
      <c r="S1518" s="794"/>
      <c r="T1518" s="794"/>
      <c r="U1518" s="794"/>
      <c r="V1518" s="794"/>
      <c r="W1518" s="794"/>
      <c r="X1518" s="794"/>
      <c r="Y1518" s="794"/>
      <c r="Z1518" s="794"/>
      <c r="AA1518" s="794"/>
      <c r="AB1518" s="794"/>
      <c r="AC1518" s="794"/>
      <c r="AD1518" s="794"/>
      <c r="AE1518"/>
    </row>
    <row r="1519" spans="1:37" ht="15">
      <c r="A1519" s="94"/>
      <c r="B1519" s="795" t="str">
        <f>IF(AM1502&gt;0,"Alerta: debido a que cuenta con registros NS, debe proporcionar una justificación en el area de comentarios al final de la pregunta","")</f>
        <v/>
      </c>
      <c r="C1519" s="795"/>
      <c r="D1519" s="795"/>
      <c r="E1519" s="795"/>
      <c r="F1519" s="795"/>
      <c r="G1519" s="795"/>
      <c r="H1519" s="795"/>
      <c r="I1519" s="795"/>
      <c r="J1519" s="795"/>
      <c r="K1519" s="795"/>
      <c r="L1519" s="795"/>
      <c r="M1519" s="795"/>
      <c r="N1519" s="795"/>
      <c r="O1519" s="795"/>
      <c r="P1519" s="795"/>
      <c r="Q1519" s="795"/>
      <c r="R1519" s="795"/>
      <c r="S1519" s="795"/>
      <c r="T1519" s="795"/>
      <c r="U1519" s="795"/>
      <c r="V1519" s="795"/>
      <c r="W1519" s="795"/>
      <c r="X1519" s="795"/>
      <c r="Y1519" s="795"/>
      <c r="Z1519" s="795"/>
      <c r="AA1519" s="795"/>
      <c r="AB1519" s="795"/>
      <c r="AC1519" s="795"/>
      <c r="AD1519" s="795"/>
      <c r="AE1519"/>
    </row>
    <row r="1520" spans="1:37" ht="15">
      <c r="A1520" s="94"/>
      <c r="B1520" s="794" t="str">
        <f>IF(OR(AK1502&gt;0,AK1503&gt;0,AM1503&gt;0,AO1503&gt;0),"Favor de revisar la suma y consistencia de totales y/o subtotales por filas (numéricos y NS)","")</f>
        <v/>
      </c>
      <c r="C1520" s="794"/>
      <c r="D1520" s="794"/>
      <c r="E1520" s="794"/>
      <c r="F1520" s="794"/>
      <c r="G1520" s="794"/>
      <c r="H1520" s="794"/>
      <c r="I1520" s="794"/>
      <c r="J1520" s="794"/>
      <c r="K1520" s="794"/>
      <c r="L1520" s="794"/>
      <c r="M1520" s="794"/>
      <c r="N1520" s="794"/>
      <c r="O1520" s="794"/>
      <c r="P1520" s="794"/>
      <c r="Q1520" s="794"/>
      <c r="R1520" s="794"/>
      <c r="S1520" s="794"/>
      <c r="T1520" s="794"/>
      <c r="U1520" s="794"/>
      <c r="V1520" s="794"/>
      <c r="W1520" s="794"/>
      <c r="X1520" s="794"/>
      <c r="Y1520" s="794"/>
      <c r="Z1520" s="794"/>
      <c r="AA1520" s="794"/>
      <c r="AB1520" s="794"/>
      <c r="AC1520" s="794"/>
      <c r="AD1520" s="794"/>
      <c r="AE1520"/>
    </row>
    <row r="1521" spans="1:51" ht="15">
      <c r="A1521" s="94"/>
      <c r="B1521" s="794" t="str">
        <f>IF(AI1515&gt;0,"Favor de revisar la instrucción 3 del apartado II.6.2 Personal fallecido , debido a que no se cumplen con los criterios mencionados","")</f>
        <v/>
      </c>
      <c r="C1521" s="794"/>
      <c r="D1521" s="794"/>
      <c r="E1521" s="794"/>
      <c r="F1521" s="794"/>
      <c r="G1521" s="794"/>
      <c r="H1521" s="794"/>
      <c r="I1521" s="794"/>
      <c r="J1521" s="794"/>
      <c r="K1521" s="794"/>
      <c r="L1521" s="794"/>
      <c r="M1521" s="794"/>
      <c r="N1521" s="794"/>
      <c r="O1521" s="794"/>
      <c r="P1521" s="794"/>
      <c r="Q1521" s="794"/>
      <c r="R1521" s="794"/>
      <c r="S1521" s="794"/>
      <c r="T1521" s="794"/>
      <c r="U1521" s="794"/>
      <c r="V1521" s="794"/>
      <c r="W1521" s="794"/>
      <c r="X1521" s="794"/>
      <c r="Y1521" s="794"/>
      <c r="Z1521" s="794"/>
      <c r="AA1521" s="794"/>
      <c r="AB1521" s="794"/>
      <c r="AC1521" s="794"/>
      <c r="AD1521" s="794"/>
      <c r="AE1521" s="794"/>
    </row>
    <row r="1522" spans="1:51" ht="15">
      <c r="A1522" s="94"/>
      <c r="AE1522"/>
    </row>
    <row r="1523" spans="1:51" ht="15">
      <c r="A1523" s="94"/>
      <c r="AE1523"/>
    </row>
    <row r="1524" spans="1:51" ht="24" customHeight="1">
      <c r="A1524" s="49" t="s">
        <v>3866</v>
      </c>
      <c r="B1524" s="829" t="s">
        <v>3867</v>
      </c>
      <c r="C1524" s="960"/>
      <c r="D1524" s="960"/>
      <c r="E1524" s="960"/>
      <c r="F1524" s="960"/>
      <c r="G1524" s="960"/>
      <c r="H1524" s="960"/>
      <c r="I1524" s="960"/>
      <c r="J1524" s="960"/>
      <c r="K1524" s="960"/>
      <c r="L1524" s="960"/>
      <c r="M1524" s="960"/>
      <c r="N1524" s="960"/>
      <c r="O1524" s="960"/>
      <c r="P1524" s="960"/>
      <c r="Q1524" s="960"/>
      <c r="R1524" s="960"/>
      <c r="S1524" s="960"/>
      <c r="T1524" s="960"/>
      <c r="U1524" s="960"/>
      <c r="V1524" s="960"/>
      <c r="W1524" s="960"/>
      <c r="X1524" s="960"/>
      <c r="Y1524" s="960"/>
      <c r="Z1524" s="960"/>
      <c r="AA1524" s="960"/>
      <c r="AB1524" s="960"/>
      <c r="AC1524" s="960"/>
      <c r="AD1524" s="960"/>
    </row>
    <row r="1525" spans="1:51" customFormat="1" ht="24" customHeight="1">
      <c r="A1525" s="49"/>
      <c r="B1525" s="105"/>
      <c r="C1525" s="754" t="s">
        <v>3868</v>
      </c>
      <c r="D1525" s="830"/>
      <c r="E1525" s="830"/>
      <c r="F1525" s="830"/>
      <c r="G1525" s="830"/>
      <c r="H1525" s="830"/>
      <c r="I1525" s="830"/>
      <c r="J1525" s="830"/>
      <c r="K1525" s="830"/>
      <c r="L1525" s="830"/>
      <c r="M1525" s="830"/>
      <c r="N1525" s="830"/>
      <c r="O1525" s="830"/>
      <c r="P1525" s="830"/>
      <c r="Q1525" s="830"/>
      <c r="R1525" s="830"/>
      <c r="S1525" s="830"/>
      <c r="T1525" s="830"/>
      <c r="U1525" s="830"/>
      <c r="V1525" s="830"/>
      <c r="W1525" s="830"/>
      <c r="X1525" s="830"/>
      <c r="Y1525" s="830"/>
      <c r="Z1525" s="830"/>
      <c r="AA1525" s="830"/>
      <c r="AB1525" s="830"/>
      <c r="AC1525" s="830"/>
      <c r="AD1525" s="830"/>
    </row>
    <row r="1526" spans="1:51" customFormat="1" ht="15">
      <c r="A1526" s="94"/>
      <c r="B1526" s="107"/>
      <c r="C1526" s="107"/>
      <c r="D1526" s="107"/>
      <c r="E1526" s="107"/>
      <c r="F1526" s="107"/>
      <c r="G1526" s="107"/>
      <c r="H1526" s="107"/>
      <c r="I1526" s="107"/>
      <c r="J1526" s="107"/>
      <c r="K1526" s="107"/>
      <c r="L1526" s="107"/>
      <c r="M1526" s="107"/>
      <c r="N1526" s="107"/>
      <c r="O1526" s="107"/>
      <c r="P1526" s="107"/>
      <c r="Q1526" s="107"/>
      <c r="R1526" s="107"/>
      <c r="S1526" s="107"/>
      <c r="T1526" s="107"/>
      <c r="U1526" s="107"/>
      <c r="V1526" s="107"/>
      <c r="W1526" s="107"/>
      <c r="X1526" s="107"/>
      <c r="Y1526" s="107"/>
      <c r="Z1526" s="107"/>
      <c r="AA1526" s="107"/>
      <c r="AB1526" s="107"/>
      <c r="AC1526" s="107"/>
      <c r="AD1526" s="107"/>
    </row>
    <row r="1527" spans="1:51" ht="24" customHeight="1">
      <c r="A1527" s="50"/>
      <c r="B1527" s="90"/>
      <c r="C1527" s="797" t="s">
        <v>3860</v>
      </c>
      <c r="D1527" s="798"/>
      <c r="E1527" s="798"/>
      <c r="F1527" s="798"/>
      <c r="G1527" s="798"/>
      <c r="H1527" s="798"/>
      <c r="I1527" s="798"/>
      <c r="J1527" s="798"/>
      <c r="K1527" s="798"/>
      <c r="L1527" s="798"/>
      <c r="M1527" s="798"/>
      <c r="N1527" s="798"/>
      <c r="O1527" s="798"/>
      <c r="P1527" s="798"/>
      <c r="Q1527" s="798"/>
      <c r="R1527" s="799"/>
      <c r="S1527" s="739" t="s">
        <v>3869</v>
      </c>
      <c r="T1527" s="740"/>
      <c r="U1527" s="740"/>
      <c r="V1527" s="740"/>
      <c r="W1527" s="740"/>
      <c r="X1527" s="740"/>
      <c r="Y1527" s="740"/>
      <c r="Z1527" s="740"/>
      <c r="AA1527" s="740"/>
      <c r="AB1527" s="740"/>
      <c r="AC1527" s="740"/>
      <c r="AD1527" s="741"/>
    </row>
    <row r="1528" spans="1:51" ht="36" customHeight="1">
      <c r="A1528" s="50"/>
      <c r="B1528" s="90"/>
      <c r="C1528" s="800"/>
      <c r="D1528" s="801"/>
      <c r="E1528" s="801"/>
      <c r="F1528" s="801"/>
      <c r="G1528" s="801"/>
      <c r="H1528" s="801"/>
      <c r="I1528" s="801"/>
      <c r="J1528" s="801"/>
      <c r="K1528" s="801"/>
      <c r="L1528" s="801"/>
      <c r="M1528" s="801"/>
      <c r="N1528" s="801"/>
      <c r="O1528" s="801"/>
      <c r="P1528" s="801"/>
      <c r="Q1528" s="801"/>
      <c r="R1528" s="802"/>
      <c r="S1528" s="874" t="s">
        <v>2628</v>
      </c>
      <c r="T1528" s="857" t="s">
        <v>2629</v>
      </c>
      <c r="U1528" s="857" t="s">
        <v>2630</v>
      </c>
      <c r="V1528" s="733" t="s">
        <v>3870</v>
      </c>
      <c r="W1528" s="734"/>
      <c r="X1528" s="735"/>
      <c r="Y1528" s="733" t="s">
        <v>3871</v>
      </c>
      <c r="Z1528" s="734"/>
      <c r="AA1528" s="735"/>
      <c r="AB1528" s="733" t="s">
        <v>201</v>
      </c>
      <c r="AC1528" s="734"/>
      <c r="AD1528" s="735"/>
      <c r="AU1528" s="1026" t="s">
        <v>3865</v>
      </c>
      <c r="AV1528" s="1026"/>
      <c r="AW1528" s="1026"/>
      <c r="AX1528" s="920" t="s">
        <v>3813</v>
      </c>
      <c r="AY1528"/>
    </row>
    <row r="1529" spans="1:51" ht="48" customHeight="1">
      <c r="A1529" s="50"/>
      <c r="B1529" s="90"/>
      <c r="C1529" s="803"/>
      <c r="D1529" s="804"/>
      <c r="E1529" s="804"/>
      <c r="F1529" s="804"/>
      <c r="G1529" s="804"/>
      <c r="H1529" s="804"/>
      <c r="I1529" s="804"/>
      <c r="J1529" s="804"/>
      <c r="K1529" s="804"/>
      <c r="L1529" s="804"/>
      <c r="M1529" s="804"/>
      <c r="N1529" s="804"/>
      <c r="O1529" s="804"/>
      <c r="P1529" s="804"/>
      <c r="Q1529" s="804"/>
      <c r="R1529" s="805"/>
      <c r="S1529" s="874"/>
      <c r="T1529" s="857"/>
      <c r="U1529" s="857"/>
      <c r="V1529" s="127" t="s">
        <v>2635</v>
      </c>
      <c r="W1529" s="128" t="s">
        <v>2629</v>
      </c>
      <c r="X1529" s="128" t="s">
        <v>2630</v>
      </c>
      <c r="Y1529" s="127" t="s">
        <v>2635</v>
      </c>
      <c r="Z1529" s="128" t="s">
        <v>2629</v>
      </c>
      <c r="AA1529" s="128" t="s">
        <v>2630</v>
      </c>
      <c r="AB1529" s="127" t="s">
        <v>2635</v>
      </c>
      <c r="AC1529" s="128" t="s">
        <v>2629</v>
      </c>
      <c r="AD1529" s="128" t="s">
        <v>2630</v>
      </c>
      <c r="AG1529" s="354" t="s">
        <v>2586</v>
      </c>
      <c r="AH1529" s="282" t="s">
        <v>2637</v>
      </c>
      <c r="AI1529" s="280" t="s">
        <v>2638</v>
      </c>
      <c r="AJ1529" s="281" t="s">
        <v>2639</v>
      </c>
      <c r="AK1529" s="282" t="s">
        <v>2640</v>
      </c>
      <c r="AL1529" s="280" t="s">
        <v>2641</v>
      </c>
      <c r="AM1529" s="281" t="s">
        <v>2642</v>
      </c>
      <c r="AN1529" s="282" t="s">
        <v>2643</v>
      </c>
      <c r="AO1529" s="280" t="s">
        <v>2644</v>
      </c>
      <c r="AP1529" s="281" t="s">
        <v>2645</v>
      </c>
      <c r="AQ1529" s="282" t="s">
        <v>2646</v>
      </c>
      <c r="AR1529" s="280" t="s">
        <v>2647</v>
      </c>
      <c r="AS1529" s="281" t="s">
        <v>2648</v>
      </c>
      <c r="AU1529" s="477" t="s">
        <v>2795</v>
      </c>
      <c r="AV1529" s="478" t="s">
        <v>3177</v>
      </c>
      <c r="AW1529" s="479" t="s">
        <v>3178</v>
      </c>
      <c r="AX1529" s="920"/>
      <c r="AY1529" s="365" t="s">
        <v>2620</v>
      </c>
    </row>
    <row r="1530" spans="1:51" ht="15" customHeight="1">
      <c r="A1530" s="50"/>
      <c r="B1530" s="90"/>
      <c r="C1530" s="97" t="s">
        <v>2516</v>
      </c>
      <c r="D1530" s="813" t="str">
        <f>IF(CNSIPEE_2024_M2_Secc1!D42="","",CNSIPEE_2024_M2_Secc1!D42)</f>
        <v/>
      </c>
      <c r="E1530" s="814"/>
      <c r="F1530" s="814"/>
      <c r="G1530" s="814"/>
      <c r="H1530" s="814"/>
      <c r="I1530" s="814"/>
      <c r="J1530" s="814"/>
      <c r="K1530" s="814"/>
      <c r="L1530" s="814"/>
      <c r="M1530" s="814"/>
      <c r="N1530" s="814"/>
      <c r="O1530" s="814"/>
      <c r="P1530" s="814"/>
      <c r="Q1530" s="814"/>
      <c r="R1530" s="815"/>
      <c r="S1530" s="100"/>
      <c r="T1530" s="100"/>
      <c r="U1530" s="100"/>
      <c r="V1530" s="100"/>
      <c r="W1530" s="100"/>
      <c r="X1530" s="100"/>
      <c r="Y1530" s="100"/>
      <c r="Z1530" s="100"/>
      <c r="AA1530" s="100"/>
      <c r="AB1530" s="100"/>
      <c r="AC1530" s="100"/>
      <c r="AD1530" s="100"/>
      <c r="AG1530" s="326">
        <f t="shared" ref="AG1530:AG1537" si="1507">IF(AND($AH$1423=1,COUNTA(S1530:AD1530)=0),0,IF(AND(COUNTBLANK(D1530)=0,$G1435&lt;&gt;"",$G1435&lt;&gt;1,COUNTA(S1530:AD1530)=0),0,IF(AND(COUNTBLANK(D1530)=0,$G1435&lt;&gt;"",$G1435=1,COUNTA(S1530:AD1530)=12),0,IF(AND(COUNTBLANK(D1530)=1,COUNTA(S1530:AD1530)=0),0,1))))</f>
        <v>0</v>
      </c>
      <c r="AH1530" s="283">
        <f>COUNTIF(T1530:U1530,"NS")</f>
        <v>0</v>
      </c>
      <c r="AI1530" s="283">
        <f>SUM(T1530:U1530)</f>
        <v>0</v>
      </c>
      <c r="AJ1530" s="283">
        <f>IF(COUNTIF(S1530:U1530,"NA")=3,0,IF(COUNTA(S1530:U1530)=0,0,IF(OR(AND(S1530=0,AH1530&gt;0),AND(S1530="ns",AI1530&gt;0),AND(S1530="ns",AH1530=0,AI1530=0)),1,IF(OR(AND(S1530&gt;0,AH1530=2),AND(S1530="ns",AH1530=2),AND(S1530="ns",AI1530=0,AH1530&gt;0),S1530=AI1530),0,1))))</f>
        <v>0</v>
      </c>
      <c r="AK1530" s="283">
        <f>COUNTIF(W1530:X1530,"NS")</f>
        <v>0</v>
      </c>
      <c r="AL1530" s="283">
        <f>SUM(W1530:X1530)</f>
        <v>0</v>
      </c>
      <c r="AM1530" s="283">
        <f>IF(COUNTIF(V1530:X1530,"NA")=3,0,IF(COUNTA(V1530:X1530)=0,0,IF(OR(AND(V1530=0,AK1530&gt;0),AND(V1530="ns",AL1530&gt;0),AND(V1530="ns",AK1530=0,AL1530=0)),1,IF(OR(AND(V1530&gt;0,AK1530=2),AND(V1530="ns",AK1530=2),AND(V1530="ns",AL1530=0,AK1530&gt;0),V1530=AL1530),0,1))))</f>
        <v>0</v>
      </c>
      <c r="AN1530" s="283">
        <f>COUNTIF(Z1530:AA1530,"NS")</f>
        <v>0</v>
      </c>
      <c r="AO1530" s="283">
        <f>SUM(Z1530:AA1530)</f>
        <v>0</v>
      </c>
      <c r="AP1530" s="283">
        <f>IF(COUNTIF(Y1530:AA1530,"NA")=3,0,IF(COUNTA(Y1530:AA1530)=0,0,IF(OR(AND(Y1530=0,AN1530&gt;0),AND(Y1530="ns",AO1530&gt;0),AND(Y1530="ns",AN1530=0,AO1530=0)),1,IF(OR(AND(Y1530&gt;0,AN1530=2),AND(Y1530="ns",AN1530=2),AND(Y1530="ns",AO1530=0,AN1530&gt;0),Y1530=AO1530),0,1))))</f>
        <v>0</v>
      </c>
      <c r="AQ1530" s="283">
        <f>COUNTIF(AC1530:AD1530,"NS")</f>
        <v>0</v>
      </c>
      <c r="AR1530" s="283">
        <f>SUM(AC1530:AD1530)</f>
        <v>0</v>
      </c>
      <c r="AS1530" s="283">
        <f>IF(COUNTIF(AB1530:AD1530,"NA")=3,0,IF(COUNTA(AB1530:AD1530)=0,0,IF(OR(AND(AB1530=0,AQ1530&gt;0),AND(AB1530="ns",AR1530&gt;0),AND(AB1530="ns",AQ1530=0,AR1530=0)),1,IF(OR(AND(AB1530&gt;0,AQ1530=2),AND(AB1530="ns",AQ1530=2),AND(AB1530="ns",AR1530=0,AQ1530&gt;0),AB1530=AR1530),0,1))))</f>
        <v>0</v>
      </c>
      <c r="AU1530">
        <f>IF(AND(S1530="NS",J1435="NS"),0,IF(AND(S1530="NA",J1435="NA"),0,IF(S1530=J1435,0,1)))</f>
        <v>0</v>
      </c>
      <c r="AV1530">
        <f t="shared" ref="AV1530" si="1508">IF(AND(T1530="NS",K1435="NS"),0,IF(AND(T1530="NA",K1435="NA"),0,IF(T1530=K1435,0,1)))</f>
        <v>0</v>
      </c>
      <c r="AW1530">
        <f>IF(AND(U1530="NS",L1435="NS"),0,IF(AND(U1530="NA",L1435="NA"),0,IF(U1530=L1435,0,1)))</f>
        <v>0</v>
      </c>
      <c r="AX1530">
        <f>IF(AND($G1435&lt;&gt;"",$G1435&lt;&gt;1,COUNTA(S1530:AD1530)&gt;0),1,0)</f>
        <v>0</v>
      </c>
      <c r="AY1530">
        <f>IF(AND($AH$1423=1,COUNTA(S1530:AD1537)&gt;0),1,0)</f>
        <v>0</v>
      </c>
    </row>
    <row r="1531" spans="1:51" ht="15" customHeight="1">
      <c r="A1531" s="50"/>
      <c r="B1531" s="90"/>
      <c r="C1531" s="143" t="s">
        <v>2517</v>
      </c>
      <c r="D1531" s="813" t="str">
        <f>IF(CNSIPEE_2024_M2_Secc1!D43="","",CNSIPEE_2024_M2_Secc1!D43)</f>
        <v/>
      </c>
      <c r="E1531" s="814"/>
      <c r="F1531" s="814"/>
      <c r="G1531" s="814"/>
      <c r="H1531" s="814"/>
      <c r="I1531" s="814"/>
      <c r="J1531" s="814"/>
      <c r="K1531" s="814"/>
      <c r="L1531" s="814"/>
      <c r="M1531" s="814"/>
      <c r="N1531" s="814"/>
      <c r="O1531" s="814"/>
      <c r="P1531" s="814"/>
      <c r="Q1531" s="814"/>
      <c r="R1531" s="815"/>
      <c r="S1531" s="100"/>
      <c r="T1531" s="100"/>
      <c r="U1531" s="100"/>
      <c r="V1531" s="100"/>
      <c r="W1531" s="100"/>
      <c r="X1531" s="100"/>
      <c r="Y1531" s="100"/>
      <c r="Z1531" s="100"/>
      <c r="AA1531" s="100"/>
      <c r="AB1531" s="100"/>
      <c r="AC1531" s="100"/>
      <c r="AD1531" s="100"/>
      <c r="AG1531" s="326">
        <f t="shared" si="1507"/>
        <v>0</v>
      </c>
      <c r="AH1531" s="283">
        <f t="shared" ref="AH1531:AH1537" si="1509">COUNTIF(T1531:U1531,"NS")</f>
        <v>0</v>
      </c>
      <c r="AI1531" s="283">
        <f t="shared" ref="AI1531:AI1537" si="1510">SUM(T1531:U1531)</f>
        <v>0</v>
      </c>
      <c r="AJ1531" s="283">
        <f t="shared" ref="AJ1531:AJ1537" si="1511">IF(COUNTIF(S1531:U1531,"NA")=3,0,IF(COUNTA(S1531:U1531)=0,0,IF(OR(AND(S1531=0,AH1531&gt;0),AND(S1531="ns",AI1531&gt;0),AND(S1531="ns",AH1531=0,AI1531=0)),1,IF(OR(AND(S1531&gt;0,AH1531=2),AND(S1531="ns",AH1531=2),AND(S1531="ns",AI1531=0,AH1531&gt;0),S1531=AI1531),0,1))))</f>
        <v>0</v>
      </c>
      <c r="AK1531" s="283">
        <f t="shared" ref="AK1531:AK1537" si="1512">COUNTIF(W1531:X1531,"NS")</f>
        <v>0</v>
      </c>
      <c r="AL1531" s="283">
        <f t="shared" ref="AL1531:AL1537" si="1513">SUM(W1531:X1531)</f>
        <v>0</v>
      </c>
      <c r="AM1531" s="283">
        <f t="shared" ref="AM1531:AM1537" si="1514">IF(COUNTIF(V1531:X1531,"NA")=3,0,IF(COUNTA(V1531:X1531)=0,0,IF(OR(AND(V1531=0,AK1531&gt;0),AND(V1531="ns",AL1531&gt;0),AND(V1531="ns",AK1531=0,AL1531=0)),1,IF(OR(AND(V1531&gt;0,AK1531=2),AND(V1531="ns",AK1531=2),AND(V1531="ns",AL1531=0,AK1531&gt;0),V1531=AL1531),0,1))))</f>
        <v>0</v>
      </c>
      <c r="AN1531" s="283">
        <f t="shared" ref="AN1531:AN1537" si="1515">COUNTIF(Z1531:AA1531,"NS")</f>
        <v>0</v>
      </c>
      <c r="AO1531" s="283">
        <f t="shared" ref="AO1531:AO1537" si="1516">SUM(Z1531:AA1531)</f>
        <v>0</v>
      </c>
      <c r="AP1531" s="283">
        <f t="shared" ref="AP1531:AP1537" si="1517">IF(COUNTIF(Y1531:AA1531,"NA")=3,0,IF(COUNTA(Y1531:AA1531)=0,0,IF(OR(AND(Y1531=0,AN1531&gt;0),AND(Y1531="ns",AO1531&gt;0),AND(Y1531="ns",AN1531=0,AO1531=0)),1,IF(OR(AND(Y1531&gt;0,AN1531=2),AND(Y1531="ns",AN1531=2),AND(Y1531="ns",AO1531=0,AN1531&gt;0),Y1531=AO1531),0,1))))</f>
        <v>0</v>
      </c>
      <c r="AQ1531" s="283">
        <f t="shared" ref="AQ1531:AQ1537" si="1518">COUNTIF(AC1531:AD1531,"NS")</f>
        <v>0</v>
      </c>
      <c r="AR1531" s="283">
        <f t="shared" ref="AR1531:AR1537" si="1519">SUM(AC1531:AD1531)</f>
        <v>0</v>
      </c>
      <c r="AS1531" s="283">
        <f t="shared" ref="AS1531:AS1537" si="1520">IF(COUNTIF(AB1531:AD1531,"NA")=3,0,IF(COUNTA(AB1531:AD1531)=0,0,IF(OR(AND(AB1531=0,AQ1531&gt;0),AND(AB1531="ns",AR1531&gt;0),AND(AB1531="ns",AQ1531=0,AR1531=0)),1,IF(OR(AND(AB1531&gt;0,AQ1531=2),AND(AB1531="ns",AQ1531=2),AND(AB1531="ns",AR1531=0,AQ1531&gt;0),AB1531=AR1531),0,1))))</f>
        <v>0</v>
      </c>
      <c r="AU1531">
        <f t="shared" ref="AU1531:AU1537" si="1521">IF(AND(S1531="NS",J1436="NS"),0,IF(AND(S1531="NA",J1436="NA"),0,IF(S1531=J1436,0,1)))</f>
        <v>0</v>
      </c>
      <c r="AV1531">
        <f t="shared" ref="AV1531:AW1537" si="1522">IF(AND(T1531="NS",K1436="NS"),0,IF(AND(T1531="NA",K1436="NA"),0,IF(T1531=K1436,0,1)))</f>
        <v>0</v>
      </c>
      <c r="AW1531">
        <f t="shared" si="1522"/>
        <v>0</v>
      </c>
      <c r="AX1531">
        <f t="shared" ref="AX1531:AX1537" si="1523">IF(AND($G1436&lt;&gt;"",$G1436&lt;&gt;1,COUNTA(S1531:AD1531)&gt;0),1,0)</f>
        <v>0</v>
      </c>
    </row>
    <row r="1532" spans="1:51" ht="15" customHeight="1">
      <c r="A1532" s="50"/>
      <c r="B1532" s="90"/>
      <c r="C1532" s="143" t="s">
        <v>2518</v>
      </c>
      <c r="D1532" s="813" t="str">
        <f>IF(CNSIPEE_2024_M2_Secc1!D44="","",CNSIPEE_2024_M2_Secc1!D44)</f>
        <v/>
      </c>
      <c r="E1532" s="814"/>
      <c r="F1532" s="814"/>
      <c r="G1532" s="814"/>
      <c r="H1532" s="814"/>
      <c r="I1532" s="814"/>
      <c r="J1532" s="814"/>
      <c r="K1532" s="814"/>
      <c r="L1532" s="814"/>
      <c r="M1532" s="814"/>
      <c r="N1532" s="814"/>
      <c r="O1532" s="814"/>
      <c r="P1532" s="814"/>
      <c r="Q1532" s="814"/>
      <c r="R1532" s="815"/>
      <c r="S1532" s="100"/>
      <c r="T1532" s="100"/>
      <c r="U1532" s="100"/>
      <c r="V1532" s="100"/>
      <c r="W1532" s="100"/>
      <c r="X1532" s="100"/>
      <c r="Y1532" s="100"/>
      <c r="Z1532" s="100"/>
      <c r="AA1532" s="100"/>
      <c r="AB1532" s="100"/>
      <c r="AC1532" s="100"/>
      <c r="AD1532" s="100"/>
      <c r="AG1532" s="326">
        <f t="shared" si="1507"/>
        <v>0</v>
      </c>
      <c r="AH1532" s="283">
        <f t="shared" si="1509"/>
        <v>0</v>
      </c>
      <c r="AI1532" s="283">
        <f t="shared" si="1510"/>
        <v>0</v>
      </c>
      <c r="AJ1532" s="283">
        <f t="shared" si="1511"/>
        <v>0</v>
      </c>
      <c r="AK1532" s="283">
        <f t="shared" si="1512"/>
        <v>0</v>
      </c>
      <c r="AL1532" s="283">
        <f t="shared" si="1513"/>
        <v>0</v>
      </c>
      <c r="AM1532" s="283">
        <f t="shared" si="1514"/>
        <v>0</v>
      </c>
      <c r="AN1532" s="283">
        <f t="shared" si="1515"/>
        <v>0</v>
      </c>
      <c r="AO1532" s="283">
        <f t="shared" si="1516"/>
        <v>0</v>
      </c>
      <c r="AP1532" s="283">
        <f t="shared" si="1517"/>
        <v>0</v>
      </c>
      <c r="AQ1532" s="283">
        <f t="shared" si="1518"/>
        <v>0</v>
      </c>
      <c r="AR1532" s="283">
        <f t="shared" si="1519"/>
        <v>0</v>
      </c>
      <c r="AS1532" s="283">
        <f t="shared" si="1520"/>
        <v>0</v>
      </c>
      <c r="AU1532">
        <f t="shared" si="1521"/>
        <v>0</v>
      </c>
      <c r="AV1532">
        <f t="shared" si="1522"/>
        <v>0</v>
      </c>
      <c r="AW1532">
        <f t="shared" ref="AW1532:AW1537" si="1524">IF(AND(U1532="NS",L1437="NS"),0,IF(AND(U1532="NA",L1437="NA"),0,IF(U1532=L1437,0,1)))</f>
        <v>0</v>
      </c>
      <c r="AX1532">
        <f t="shared" si="1523"/>
        <v>0</v>
      </c>
    </row>
    <row r="1533" spans="1:51" ht="15" customHeight="1">
      <c r="A1533" s="50"/>
      <c r="B1533" s="90"/>
      <c r="C1533" s="143" t="s">
        <v>2519</v>
      </c>
      <c r="D1533" s="813" t="str">
        <f>IF(CNSIPEE_2024_M2_Secc1!D45="","",CNSIPEE_2024_M2_Secc1!D45)</f>
        <v/>
      </c>
      <c r="E1533" s="814"/>
      <c r="F1533" s="814"/>
      <c r="G1533" s="814"/>
      <c r="H1533" s="814"/>
      <c r="I1533" s="814"/>
      <c r="J1533" s="814"/>
      <c r="K1533" s="814"/>
      <c r="L1533" s="814"/>
      <c r="M1533" s="814"/>
      <c r="N1533" s="814"/>
      <c r="O1533" s="814"/>
      <c r="P1533" s="814"/>
      <c r="Q1533" s="814"/>
      <c r="R1533" s="815"/>
      <c r="S1533" s="100"/>
      <c r="T1533" s="100"/>
      <c r="U1533" s="100"/>
      <c r="V1533" s="100"/>
      <c r="W1533" s="100"/>
      <c r="X1533" s="100"/>
      <c r="Y1533" s="100"/>
      <c r="Z1533" s="100"/>
      <c r="AA1533" s="100"/>
      <c r="AB1533" s="100"/>
      <c r="AC1533" s="100"/>
      <c r="AD1533" s="100"/>
      <c r="AG1533" s="326">
        <f t="shared" si="1507"/>
        <v>0</v>
      </c>
      <c r="AH1533" s="283">
        <f t="shared" si="1509"/>
        <v>0</v>
      </c>
      <c r="AI1533" s="283">
        <f t="shared" si="1510"/>
        <v>0</v>
      </c>
      <c r="AJ1533" s="283">
        <f t="shared" si="1511"/>
        <v>0</v>
      </c>
      <c r="AK1533" s="283">
        <f t="shared" si="1512"/>
        <v>0</v>
      </c>
      <c r="AL1533" s="283">
        <f t="shared" si="1513"/>
        <v>0</v>
      </c>
      <c r="AM1533" s="283">
        <f t="shared" si="1514"/>
        <v>0</v>
      </c>
      <c r="AN1533" s="283">
        <f t="shared" si="1515"/>
        <v>0</v>
      </c>
      <c r="AO1533" s="283">
        <f t="shared" si="1516"/>
        <v>0</v>
      </c>
      <c r="AP1533" s="283">
        <f t="shared" si="1517"/>
        <v>0</v>
      </c>
      <c r="AQ1533" s="283">
        <f t="shared" si="1518"/>
        <v>0</v>
      </c>
      <c r="AR1533" s="283">
        <f t="shared" si="1519"/>
        <v>0</v>
      </c>
      <c r="AS1533" s="283">
        <f t="shared" si="1520"/>
        <v>0</v>
      </c>
      <c r="AU1533">
        <f t="shared" si="1521"/>
        <v>0</v>
      </c>
      <c r="AV1533">
        <f t="shared" si="1522"/>
        <v>0</v>
      </c>
      <c r="AW1533">
        <f t="shared" si="1524"/>
        <v>0</v>
      </c>
      <c r="AX1533">
        <f t="shared" si="1523"/>
        <v>0</v>
      </c>
    </row>
    <row r="1534" spans="1:51" ht="15" customHeight="1">
      <c r="A1534" s="50"/>
      <c r="B1534" s="90"/>
      <c r="C1534" s="143" t="s">
        <v>2520</v>
      </c>
      <c r="D1534" s="813" t="str">
        <f>IF(CNSIPEE_2024_M2_Secc1!D46="","",CNSIPEE_2024_M2_Secc1!D46)</f>
        <v/>
      </c>
      <c r="E1534" s="814"/>
      <c r="F1534" s="814"/>
      <c r="G1534" s="814"/>
      <c r="H1534" s="814"/>
      <c r="I1534" s="814"/>
      <c r="J1534" s="814"/>
      <c r="K1534" s="814"/>
      <c r="L1534" s="814"/>
      <c r="M1534" s="814"/>
      <c r="N1534" s="814"/>
      <c r="O1534" s="814"/>
      <c r="P1534" s="814"/>
      <c r="Q1534" s="814"/>
      <c r="R1534" s="815"/>
      <c r="S1534" s="100"/>
      <c r="T1534" s="100"/>
      <c r="U1534" s="100"/>
      <c r="V1534" s="100"/>
      <c r="W1534" s="100"/>
      <c r="X1534" s="100"/>
      <c r="Y1534" s="100"/>
      <c r="Z1534" s="100"/>
      <c r="AA1534" s="100"/>
      <c r="AB1534" s="100"/>
      <c r="AC1534" s="100"/>
      <c r="AD1534" s="100"/>
      <c r="AG1534" s="326">
        <f t="shared" si="1507"/>
        <v>0</v>
      </c>
      <c r="AH1534" s="283">
        <f t="shared" si="1509"/>
        <v>0</v>
      </c>
      <c r="AI1534" s="283">
        <f t="shared" si="1510"/>
        <v>0</v>
      </c>
      <c r="AJ1534" s="283">
        <f t="shared" si="1511"/>
        <v>0</v>
      </c>
      <c r="AK1534" s="283">
        <f t="shared" si="1512"/>
        <v>0</v>
      </c>
      <c r="AL1534" s="283">
        <f t="shared" si="1513"/>
        <v>0</v>
      </c>
      <c r="AM1534" s="283">
        <f t="shared" si="1514"/>
        <v>0</v>
      </c>
      <c r="AN1534" s="283">
        <f t="shared" si="1515"/>
        <v>0</v>
      </c>
      <c r="AO1534" s="283">
        <f t="shared" si="1516"/>
        <v>0</v>
      </c>
      <c r="AP1534" s="283">
        <f t="shared" si="1517"/>
        <v>0</v>
      </c>
      <c r="AQ1534" s="283">
        <f t="shared" si="1518"/>
        <v>0</v>
      </c>
      <c r="AR1534" s="283">
        <f t="shared" si="1519"/>
        <v>0</v>
      </c>
      <c r="AS1534" s="283">
        <f t="shared" si="1520"/>
        <v>0</v>
      </c>
      <c r="AU1534">
        <f t="shared" si="1521"/>
        <v>0</v>
      </c>
      <c r="AV1534">
        <f t="shared" si="1522"/>
        <v>0</v>
      </c>
      <c r="AW1534">
        <f t="shared" si="1524"/>
        <v>0</v>
      </c>
      <c r="AX1534">
        <f t="shared" si="1523"/>
        <v>0</v>
      </c>
    </row>
    <row r="1535" spans="1:51" ht="15" customHeight="1">
      <c r="A1535" s="50"/>
      <c r="B1535" s="90"/>
      <c r="C1535" s="143" t="s">
        <v>2521</v>
      </c>
      <c r="D1535" s="813" t="str">
        <f>IF(CNSIPEE_2024_M2_Secc1!D47="","",CNSIPEE_2024_M2_Secc1!D47)</f>
        <v/>
      </c>
      <c r="E1535" s="814"/>
      <c r="F1535" s="814"/>
      <c r="G1535" s="814"/>
      <c r="H1535" s="814"/>
      <c r="I1535" s="814"/>
      <c r="J1535" s="814"/>
      <c r="K1535" s="814"/>
      <c r="L1535" s="814"/>
      <c r="M1535" s="814"/>
      <c r="N1535" s="814"/>
      <c r="O1535" s="814"/>
      <c r="P1535" s="814"/>
      <c r="Q1535" s="814"/>
      <c r="R1535" s="815"/>
      <c r="S1535" s="100"/>
      <c r="T1535" s="100"/>
      <c r="U1535" s="100"/>
      <c r="V1535" s="100"/>
      <c r="W1535" s="100"/>
      <c r="X1535" s="100"/>
      <c r="Y1535" s="100"/>
      <c r="Z1535" s="100"/>
      <c r="AA1535" s="100"/>
      <c r="AB1535" s="100"/>
      <c r="AC1535" s="100"/>
      <c r="AD1535" s="100"/>
      <c r="AG1535" s="326">
        <f t="shared" si="1507"/>
        <v>0</v>
      </c>
      <c r="AH1535" s="283">
        <f t="shared" si="1509"/>
        <v>0</v>
      </c>
      <c r="AI1535" s="283">
        <f t="shared" si="1510"/>
        <v>0</v>
      </c>
      <c r="AJ1535" s="283">
        <f t="shared" si="1511"/>
        <v>0</v>
      </c>
      <c r="AK1535" s="283">
        <f t="shared" si="1512"/>
        <v>0</v>
      </c>
      <c r="AL1535" s="283">
        <f t="shared" si="1513"/>
        <v>0</v>
      </c>
      <c r="AM1535" s="283">
        <f t="shared" si="1514"/>
        <v>0</v>
      </c>
      <c r="AN1535" s="283">
        <f t="shared" si="1515"/>
        <v>0</v>
      </c>
      <c r="AO1535" s="283">
        <f t="shared" si="1516"/>
        <v>0</v>
      </c>
      <c r="AP1535" s="283">
        <f t="shared" si="1517"/>
        <v>0</v>
      </c>
      <c r="AQ1535" s="283">
        <f t="shared" si="1518"/>
        <v>0</v>
      </c>
      <c r="AR1535" s="283">
        <f t="shared" si="1519"/>
        <v>0</v>
      </c>
      <c r="AS1535" s="283">
        <f t="shared" si="1520"/>
        <v>0</v>
      </c>
      <c r="AU1535">
        <f t="shared" si="1521"/>
        <v>0</v>
      </c>
      <c r="AV1535">
        <f t="shared" si="1522"/>
        <v>0</v>
      </c>
      <c r="AW1535">
        <f t="shared" si="1524"/>
        <v>0</v>
      </c>
      <c r="AX1535">
        <f t="shared" si="1523"/>
        <v>0</v>
      </c>
    </row>
    <row r="1536" spans="1:51" ht="15" customHeight="1">
      <c r="A1536" s="50"/>
      <c r="B1536" s="90"/>
      <c r="C1536" s="143" t="s">
        <v>2522</v>
      </c>
      <c r="D1536" s="813" t="str">
        <f>IF(CNSIPEE_2024_M2_Secc1!D48="","",CNSIPEE_2024_M2_Secc1!D48)</f>
        <v/>
      </c>
      <c r="E1536" s="814"/>
      <c r="F1536" s="814"/>
      <c r="G1536" s="814"/>
      <c r="H1536" s="814"/>
      <c r="I1536" s="814"/>
      <c r="J1536" s="814"/>
      <c r="K1536" s="814"/>
      <c r="L1536" s="814"/>
      <c r="M1536" s="814"/>
      <c r="N1536" s="814"/>
      <c r="O1536" s="814"/>
      <c r="P1536" s="814"/>
      <c r="Q1536" s="814"/>
      <c r="R1536" s="815"/>
      <c r="S1536" s="100"/>
      <c r="T1536" s="100"/>
      <c r="U1536" s="100"/>
      <c r="V1536" s="100"/>
      <c r="W1536" s="100"/>
      <c r="X1536" s="100"/>
      <c r="Y1536" s="100"/>
      <c r="Z1536" s="100"/>
      <c r="AA1536" s="100"/>
      <c r="AB1536" s="100"/>
      <c r="AC1536" s="100"/>
      <c r="AD1536" s="100"/>
      <c r="AG1536" s="326">
        <f t="shared" si="1507"/>
        <v>0</v>
      </c>
      <c r="AH1536" s="283">
        <f t="shared" si="1509"/>
        <v>0</v>
      </c>
      <c r="AI1536" s="283">
        <f t="shared" si="1510"/>
        <v>0</v>
      </c>
      <c r="AJ1536" s="283">
        <f t="shared" si="1511"/>
        <v>0</v>
      </c>
      <c r="AK1536" s="283">
        <f t="shared" si="1512"/>
        <v>0</v>
      </c>
      <c r="AL1536" s="283">
        <f t="shared" si="1513"/>
        <v>0</v>
      </c>
      <c r="AM1536" s="283">
        <f t="shared" si="1514"/>
        <v>0</v>
      </c>
      <c r="AN1536" s="283">
        <f t="shared" si="1515"/>
        <v>0</v>
      </c>
      <c r="AO1536" s="283">
        <f t="shared" si="1516"/>
        <v>0</v>
      </c>
      <c r="AP1536" s="283">
        <f t="shared" si="1517"/>
        <v>0</v>
      </c>
      <c r="AQ1536" s="283">
        <f t="shared" si="1518"/>
        <v>0</v>
      </c>
      <c r="AR1536" s="283">
        <f t="shared" si="1519"/>
        <v>0</v>
      </c>
      <c r="AS1536" s="283">
        <f t="shared" si="1520"/>
        <v>0</v>
      </c>
      <c r="AU1536">
        <f t="shared" si="1521"/>
        <v>0</v>
      </c>
      <c r="AV1536">
        <f t="shared" si="1522"/>
        <v>0</v>
      </c>
      <c r="AW1536">
        <f t="shared" si="1524"/>
        <v>0</v>
      </c>
      <c r="AX1536">
        <f t="shared" si="1523"/>
        <v>0</v>
      </c>
    </row>
    <row r="1537" spans="1:50" ht="15" customHeight="1">
      <c r="A1537" s="50"/>
      <c r="B1537" s="90"/>
      <c r="C1537" s="143" t="s">
        <v>2523</v>
      </c>
      <c r="D1537" s="813" t="str">
        <f>IF(CNSIPEE_2024_M2_Secc1!D49="","",CNSIPEE_2024_M2_Secc1!D49)</f>
        <v/>
      </c>
      <c r="E1537" s="814"/>
      <c r="F1537" s="814"/>
      <c r="G1537" s="814"/>
      <c r="H1537" s="814"/>
      <c r="I1537" s="814"/>
      <c r="J1537" s="814"/>
      <c r="K1537" s="814"/>
      <c r="L1537" s="814"/>
      <c r="M1537" s="814"/>
      <c r="N1537" s="814"/>
      <c r="O1537" s="814"/>
      <c r="P1537" s="814"/>
      <c r="Q1537" s="814"/>
      <c r="R1537" s="815"/>
      <c r="S1537" s="100"/>
      <c r="T1537" s="100"/>
      <c r="U1537" s="100"/>
      <c r="V1537" s="100"/>
      <c r="W1537" s="100"/>
      <c r="X1537" s="100"/>
      <c r="Y1537" s="100"/>
      <c r="Z1537" s="100"/>
      <c r="AA1537" s="100"/>
      <c r="AB1537" s="100"/>
      <c r="AC1537" s="100"/>
      <c r="AD1537" s="100"/>
      <c r="AG1537" s="326">
        <f t="shared" si="1507"/>
        <v>0</v>
      </c>
      <c r="AH1537" s="283">
        <f t="shared" si="1509"/>
        <v>0</v>
      </c>
      <c r="AI1537" s="283">
        <f t="shared" si="1510"/>
        <v>0</v>
      </c>
      <c r="AJ1537" s="283">
        <f t="shared" si="1511"/>
        <v>0</v>
      </c>
      <c r="AK1537" s="283">
        <f t="shared" si="1512"/>
        <v>0</v>
      </c>
      <c r="AL1537" s="283">
        <f t="shared" si="1513"/>
        <v>0</v>
      </c>
      <c r="AM1537" s="283">
        <f t="shared" si="1514"/>
        <v>0</v>
      </c>
      <c r="AN1537" s="283">
        <f t="shared" si="1515"/>
        <v>0</v>
      </c>
      <c r="AO1537" s="283">
        <f t="shared" si="1516"/>
        <v>0</v>
      </c>
      <c r="AP1537" s="283">
        <f t="shared" si="1517"/>
        <v>0</v>
      </c>
      <c r="AQ1537" s="283">
        <f t="shared" si="1518"/>
        <v>0</v>
      </c>
      <c r="AR1537" s="283">
        <f t="shared" si="1519"/>
        <v>0</v>
      </c>
      <c r="AS1537" s="283">
        <f t="shared" si="1520"/>
        <v>0</v>
      </c>
      <c r="AU1537">
        <f t="shared" si="1521"/>
        <v>0</v>
      </c>
      <c r="AV1537">
        <f t="shared" si="1522"/>
        <v>0</v>
      </c>
      <c r="AW1537">
        <f t="shared" si="1524"/>
        <v>0</v>
      </c>
      <c r="AX1537">
        <f t="shared" si="1523"/>
        <v>0</v>
      </c>
    </row>
    <row r="1538" spans="1:50" ht="15" customHeight="1">
      <c r="A1538" s="50"/>
      <c r="B1538" s="90"/>
      <c r="C1538" s="90"/>
      <c r="D1538" s="90"/>
      <c r="E1538" s="90"/>
      <c r="F1538" s="90"/>
      <c r="G1538" s="90"/>
      <c r="H1538" s="90"/>
      <c r="I1538" s="90"/>
      <c r="J1538" s="90"/>
      <c r="K1538" s="90"/>
      <c r="L1538" s="90"/>
      <c r="M1538" s="90"/>
      <c r="N1538" s="90"/>
      <c r="O1538" s="90"/>
      <c r="P1538" s="90"/>
      <c r="Q1538" s="90"/>
      <c r="R1538" s="99" t="s">
        <v>2649</v>
      </c>
      <c r="S1538" s="124">
        <f>IF(AND(SUM(S1530:S1537)=0,COUNTIF(S1530:S1537,"NS")&gt;0),"NS",
IF(AND(SUM(S1530:S1537)=0,COUNTIF(S1530:S1537,0)&gt;0),0,
IF(AND(SUM(S1530:S1537)=0,COUNTIF(S1530:S1537,"NA")&gt;0),"NA",
SUM(S1530:S1537))))</f>
        <v>0</v>
      </c>
      <c r="T1538" s="124">
        <f t="shared" ref="T1538:AD1538" si="1525">IF(AND(SUM(T1530:T1537)=0,COUNTIF(T1530:T1537,"NS")&gt;0),"NS",
IF(AND(SUM(T1530:T1537)=0,COUNTIF(T1530:T1537,0)&gt;0),0,
IF(AND(SUM(T1530:T1537)=0,COUNTIF(T1530:T1537,"NA")&gt;0),"NA",
SUM(T1530:T1537))))</f>
        <v>0</v>
      </c>
      <c r="U1538" s="124">
        <f t="shared" si="1525"/>
        <v>0</v>
      </c>
      <c r="V1538" s="124">
        <f t="shared" si="1525"/>
        <v>0</v>
      </c>
      <c r="W1538" s="124">
        <f t="shared" si="1525"/>
        <v>0</v>
      </c>
      <c r="X1538" s="124">
        <f t="shared" si="1525"/>
        <v>0</v>
      </c>
      <c r="Y1538" s="124">
        <f t="shared" si="1525"/>
        <v>0</v>
      </c>
      <c r="Z1538" s="124">
        <f t="shared" si="1525"/>
        <v>0</v>
      </c>
      <c r="AA1538" s="124">
        <f t="shared" si="1525"/>
        <v>0</v>
      </c>
      <c r="AB1538" s="124">
        <f t="shared" si="1525"/>
        <v>0</v>
      </c>
      <c r="AC1538" s="124">
        <f t="shared" si="1525"/>
        <v>0</v>
      </c>
      <c r="AD1538" s="124">
        <f t="shared" si="1525"/>
        <v>0</v>
      </c>
      <c r="AG1538" s="354">
        <f>SUM(AG1530:AG1537)</f>
        <v>0</v>
      </c>
      <c r="AH1538" s="406">
        <f>SUM(AH1530:AH1537)</f>
        <v>0</v>
      </c>
      <c r="AI1538" s="326"/>
      <c r="AJ1538" s="352">
        <f>SUM(AJ1530:AJ1537)</f>
        <v>0</v>
      </c>
      <c r="AK1538" s="406">
        <f t="shared" ref="AK1538" si="1526">SUM(AK1530:AK1537)</f>
        <v>0</v>
      </c>
      <c r="AL1538" s="326"/>
      <c r="AM1538" s="352">
        <f t="shared" ref="AM1538:AN1538" si="1527">SUM(AM1530:AM1537)</f>
        <v>0</v>
      </c>
      <c r="AN1538" s="406">
        <f t="shared" si="1527"/>
        <v>0</v>
      </c>
      <c r="AO1538" s="326"/>
      <c r="AP1538" s="352">
        <f t="shared" ref="AP1538:AQ1538" si="1528">SUM(AP1530:AP1537)</f>
        <v>0</v>
      </c>
      <c r="AQ1538" s="406">
        <f t="shared" si="1528"/>
        <v>0</v>
      </c>
      <c r="AR1538" s="326"/>
      <c r="AS1538" s="352">
        <f t="shared" ref="AS1538" si="1529">SUM(AS1530:AS1537)</f>
        <v>0</v>
      </c>
      <c r="AU1538" s="477">
        <f>SUM(AU1530:AU1537)</f>
        <v>0</v>
      </c>
      <c r="AV1538" s="478">
        <f>SUM(AV1530:AV1537)</f>
        <v>0</v>
      </c>
      <c r="AW1538" s="479">
        <f>SUM(AW1530:AW1537)</f>
        <v>0</v>
      </c>
      <c r="AX1538" s="365">
        <f>SUM(AX1530:AX1537)</f>
        <v>0</v>
      </c>
    </row>
    <row r="1539" spans="1:50" ht="15">
      <c r="A1539" s="94"/>
      <c r="AU1539"/>
      <c r="AV1539"/>
      <c r="AW1539" s="480">
        <f>SUM(AU1538:AW1538)</f>
        <v>0</v>
      </c>
      <c r="AX1539" s="327"/>
    </row>
    <row r="1540" spans="1:50" ht="24" customHeight="1">
      <c r="A1540" s="94"/>
      <c r="C1540" s="764" t="s">
        <v>2611</v>
      </c>
      <c r="D1540" s="764"/>
      <c r="E1540" s="764"/>
      <c r="F1540" s="764"/>
      <c r="G1540" s="764"/>
      <c r="H1540" s="764"/>
      <c r="I1540" s="764"/>
      <c r="J1540" s="764"/>
      <c r="K1540" s="764"/>
      <c r="L1540" s="764"/>
      <c r="M1540" s="764"/>
      <c r="N1540" s="764"/>
      <c r="O1540" s="764"/>
      <c r="P1540" s="764"/>
      <c r="Q1540" s="764"/>
      <c r="R1540" s="764"/>
      <c r="S1540" s="764"/>
      <c r="T1540" s="764"/>
      <c r="U1540" s="764"/>
      <c r="V1540" s="764"/>
      <c r="W1540" s="764"/>
      <c r="X1540" s="764"/>
      <c r="Y1540" s="764"/>
      <c r="Z1540" s="764"/>
      <c r="AA1540" s="764"/>
      <c r="AB1540" s="764"/>
      <c r="AC1540" s="764"/>
      <c r="AD1540" s="764"/>
      <c r="AJ1540" s="356" t="s">
        <v>2650</v>
      </c>
      <c r="AK1540" s="283">
        <f>SUM(AJ1538,AM1538,AP1538,AS1538)</f>
        <v>0</v>
      </c>
      <c r="AL1540" s="355" t="s">
        <v>2651</v>
      </c>
      <c r="AM1540" s="283">
        <f>SUM(AH1538,AK1538,AN1538,AQ1538)</f>
        <v>0</v>
      </c>
      <c r="AN1540" s="283"/>
      <c r="AO1540" s="283"/>
    </row>
    <row r="1541" spans="1:50" ht="60" customHeight="1">
      <c r="A1541" s="94"/>
      <c r="C1541" s="882"/>
      <c r="D1541" s="883"/>
      <c r="E1541" s="883"/>
      <c r="F1541" s="883"/>
      <c r="G1541" s="883"/>
      <c r="H1541" s="883"/>
      <c r="I1541" s="883"/>
      <c r="J1541" s="883"/>
      <c r="K1541" s="883"/>
      <c r="L1541" s="883"/>
      <c r="M1541" s="883"/>
      <c r="N1541" s="883"/>
      <c r="O1541" s="883"/>
      <c r="P1541" s="883"/>
      <c r="Q1541" s="883"/>
      <c r="R1541" s="883"/>
      <c r="S1541" s="883"/>
      <c r="T1541" s="883"/>
      <c r="U1541" s="883"/>
      <c r="V1541" s="883"/>
      <c r="W1541" s="883"/>
      <c r="X1541" s="883"/>
      <c r="Y1541" s="883"/>
      <c r="Z1541" s="883"/>
      <c r="AA1541" s="883"/>
      <c r="AB1541" s="883"/>
      <c r="AC1541" s="883"/>
      <c r="AD1541" s="884"/>
      <c r="AJ1541" s="356" t="s">
        <v>2652</v>
      </c>
      <c r="AK1541" s="438">
        <f>IF(AM1540&gt;0,IF(SUM(S1538)&gt;=SUM(V1538,Y1538,AB1538),0,1),IF(SUM(S1538)&lt;&gt;SUM(V1538,Y1538,AB1538),1,0))</f>
        <v>0</v>
      </c>
      <c r="AL1541" s="357" t="s">
        <v>2653</v>
      </c>
      <c r="AM1541" s="438">
        <f>IF(AM1540&gt;0,IF(SUM(T1538)&gt;=SUM(W1538,Z1538,AC1538),0,1),IF(SUM(T1538)&lt;&gt;SUM(W1538,Z1538,AC1538),1,0))</f>
        <v>0</v>
      </c>
      <c r="AN1541" s="357" t="s">
        <v>2654</v>
      </c>
      <c r="AO1541" s="438">
        <f>IF(AM1540&gt;0,IF(SUM(U1538)&gt;=SUM(X1538,AA1538,AD1538),0,1),IF(SUM(U1538)&lt;&gt;SUM(X1538,AA1538,AD1538),1,0))</f>
        <v>0</v>
      </c>
    </row>
    <row r="1542" spans="1:50" ht="15">
      <c r="A1542" s="94"/>
      <c r="B1542" s="794" t="str">
        <f>IF(AG1538&gt;0,"Favor de ingresar toda la información requerida en la pregunta y/o verifique que no tenga información en celdas sombreadas","")</f>
        <v/>
      </c>
      <c r="C1542" s="794"/>
      <c r="D1542" s="794"/>
      <c r="E1542" s="794"/>
      <c r="F1542" s="794"/>
      <c r="G1542" s="794"/>
      <c r="H1542" s="794"/>
      <c r="I1542" s="794"/>
      <c r="J1542" s="794"/>
      <c r="K1542" s="794"/>
      <c r="L1542" s="794"/>
      <c r="M1542" s="794"/>
      <c r="N1542" s="794"/>
      <c r="O1542" s="794"/>
      <c r="P1542" s="794"/>
      <c r="Q1542" s="794"/>
      <c r="R1542" s="794"/>
      <c r="S1542" s="794"/>
      <c r="T1542" s="794"/>
      <c r="U1542" s="794"/>
      <c r="V1542" s="794"/>
      <c r="W1542" s="794"/>
      <c r="X1542" s="794"/>
      <c r="Y1542" s="794"/>
      <c r="Z1542" s="794"/>
      <c r="AA1542" s="794"/>
      <c r="AB1542" s="794"/>
      <c r="AC1542" s="794"/>
      <c r="AD1542" s="794"/>
      <c r="AE1542"/>
    </row>
    <row r="1543" spans="1:50" ht="15">
      <c r="A1543" s="94"/>
      <c r="B1543" s="795" t="str">
        <f>IF(AM1540&gt;0,"Alerta: debido a que cuenta con registros NS, debe proporcionar una justificación en el area de comentarios al final de la pregunta","")</f>
        <v/>
      </c>
      <c r="C1543" s="795"/>
      <c r="D1543" s="795"/>
      <c r="E1543" s="795"/>
      <c r="F1543" s="795"/>
      <c r="G1543" s="795"/>
      <c r="H1543" s="795"/>
      <c r="I1543" s="795"/>
      <c r="J1543" s="795"/>
      <c r="K1543" s="795"/>
      <c r="L1543" s="795"/>
      <c r="M1543" s="795"/>
      <c r="N1543" s="795"/>
      <c r="O1543" s="795"/>
      <c r="P1543" s="795"/>
      <c r="Q1543" s="795"/>
      <c r="R1543" s="795"/>
      <c r="S1543" s="795"/>
      <c r="T1543" s="795"/>
      <c r="U1543" s="795"/>
      <c r="V1543" s="795"/>
      <c r="W1543" s="795"/>
      <c r="X1543" s="795"/>
      <c r="Y1543" s="795"/>
      <c r="Z1543" s="795"/>
      <c r="AA1543" s="795"/>
      <c r="AB1543" s="795"/>
      <c r="AC1543" s="795"/>
      <c r="AD1543" s="795"/>
      <c r="AE1543"/>
    </row>
    <row r="1544" spans="1:50" ht="15">
      <c r="A1544" s="94"/>
      <c r="B1544" s="794" t="str">
        <f>IF(OR(AK1540&gt;0,AK1541&gt;0,AM1541&gt;0,AO1541&gt;0),"Favor de revisar la suma y consistencia de totales y/o subtotales por filas (numéricos y NS)","")</f>
        <v/>
      </c>
      <c r="C1544" s="794"/>
      <c r="D1544" s="794"/>
      <c r="E1544" s="794"/>
      <c r="F1544" s="794"/>
      <c r="G1544" s="794"/>
      <c r="H1544" s="794"/>
      <c r="I1544" s="794"/>
      <c r="J1544" s="794"/>
      <c r="K1544" s="794"/>
      <c r="L1544" s="794"/>
      <c r="M1544" s="794"/>
      <c r="N1544" s="794"/>
      <c r="O1544" s="794"/>
      <c r="P1544" s="794"/>
      <c r="Q1544" s="794"/>
      <c r="R1544" s="794"/>
      <c r="S1544" s="794"/>
      <c r="T1544" s="794"/>
      <c r="U1544" s="794"/>
      <c r="V1544" s="794"/>
      <c r="W1544" s="794"/>
      <c r="X1544" s="794"/>
      <c r="Y1544" s="794"/>
      <c r="Z1544" s="794"/>
      <c r="AA1544" s="794"/>
      <c r="AB1544" s="794"/>
      <c r="AC1544" s="794"/>
      <c r="AD1544" s="794"/>
      <c r="AE1544"/>
    </row>
    <row r="1545" spans="1:50" ht="15">
      <c r="A1545" s="94"/>
      <c r="B1545" s="794" t="str">
        <f>IF(AW1539&gt;0,"Favor de revisar la instrucción 3 del apartado II.6.2 Personal fallecido , debido a que no se cumplen con los criterios mencionados","")</f>
        <v/>
      </c>
      <c r="C1545" s="794"/>
      <c r="D1545" s="794"/>
      <c r="E1545" s="794"/>
      <c r="F1545" s="794"/>
      <c r="G1545" s="794"/>
      <c r="H1545" s="794"/>
      <c r="I1545" s="794"/>
      <c r="J1545" s="794"/>
      <c r="K1545" s="794"/>
      <c r="L1545" s="794"/>
      <c r="M1545" s="794"/>
      <c r="N1545" s="794"/>
      <c r="O1545" s="794"/>
      <c r="P1545" s="794"/>
      <c r="Q1545" s="794"/>
      <c r="R1545" s="794"/>
      <c r="S1545" s="794"/>
      <c r="T1545" s="794"/>
      <c r="U1545" s="794"/>
      <c r="V1545" s="794"/>
      <c r="W1545" s="794"/>
      <c r="X1545" s="794"/>
      <c r="Y1545" s="794"/>
      <c r="Z1545" s="794"/>
      <c r="AA1545" s="794"/>
      <c r="AB1545" s="794"/>
      <c r="AC1545" s="794"/>
      <c r="AD1545" s="794"/>
      <c r="AE1545" s="794"/>
    </row>
    <row r="1546" spans="1:50" ht="15">
      <c r="A1546" s="94"/>
      <c r="AE1546"/>
    </row>
    <row r="1547" spans="1:50" ht="15">
      <c r="A1547" s="94"/>
      <c r="AE1547"/>
    </row>
    <row r="1548" spans="1:50" ht="24" customHeight="1">
      <c r="A1548" s="49" t="s">
        <v>3872</v>
      </c>
      <c r="B1548" s="829" t="s">
        <v>3873</v>
      </c>
      <c r="C1548" s="960"/>
      <c r="D1548" s="960"/>
      <c r="E1548" s="960"/>
      <c r="F1548" s="960"/>
      <c r="G1548" s="960"/>
      <c r="H1548" s="960"/>
      <c r="I1548" s="960"/>
      <c r="J1548" s="960"/>
      <c r="K1548" s="960"/>
      <c r="L1548" s="960"/>
      <c r="M1548" s="960"/>
      <c r="N1548" s="960"/>
      <c r="O1548" s="960"/>
      <c r="P1548" s="960"/>
      <c r="Q1548" s="960"/>
      <c r="R1548" s="960"/>
      <c r="S1548" s="960"/>
      <c r="T1548" s="960"/>
      <c r="U1548" s="960"/>
      <c r="V1548" s="960"/>
      <c r="W1548" s="960"/>
      <c r="X1548" s="960"/>
      <c r="Y1548" s="960"/>
      <c r="Z1548" s="960"/>
      <c r="AA1548" s="960"/>
      <c r="AB1548" s="960"/>
      <c r="AC1548" s="960"/>
      <c r="AD1548" s="960"/>
    </row>
    <row r="1549" spans="1:50" ht="15" customHeight="1">
      <c r="A1549" s="49"/>
      <c r="B1549" s="107"/>
      <c r="C1549" s="75"/>
      <c r="D1549" s="75"/>
      <c r="E1549" s="75"/>
      <c r="F1549" s="75"/>
      <c r="G1549" s="75"/>
      <c r="H1549" s="75"/>
      <c r="I1549" s="75"/>
      <c r="J1549" s="75"/>
      <c r="K1549" s="75"/>
      <c r="L1549" s="75"/>
      <c r="M1549" s="75"/>
      <c r="N1549" s="75"/>
      <c r="O1549" s="75"/>
      <c r="P1549" s="75"/>
      <c r="Q1549" s="75"/>
      <c r="R1549" s="75"/>
      <c r="S1549" s="75"/>
      <c r="T1549" s="75"/>
      <c r="U1549" s="75"/>
      <c r="V1549" s="75"/>
      <c r="W1549" s="75"/>
      <c r="X1549" s="75"/>
      <c r="Y1549" s="75"/>
      <c r="Z1549" s="75"/>
      <c r="AA1549" s="75"/>
      <c r="AB1549" s="75"/>
      <c r="AC1549" s="75"/>
      <c r="AD1549" s="75"/>
      <c r="AE1549"/>
    </row>
    <row r="1550" spans="1:50" ht="15" customHeight="1">
      <c r="A1550" s="115"/>
      <c r="AA1550" s="875" t="s">
        <v>2664</v>
      </c>
      <c r="AB1550" s="875"/>
      <c r="AC1550" s="875"/>
      <c r="AD1550" s="875"/>
    </row>
    <row r="1551" spans="1:50" ht="24" customHeight="1">
      <c r="A1551" s="142"/>
      <c r="B1551" s="113"/>
      <c r="C1551" s="732" t="s">
        <v>3860</v>
      </c>
      <c r="D1551" s="732"/>
      <c r="E1551" s="732"/>
      <c r="F1551" s="732"/>
      <c r="G1551" s="732"/>
      <c r="H1551" s="732"/>
      <c r="I1551" s="732"/>
      <c r="J1551" s="732"/>
      <c r="K1551" s="732"/>
      <c r="L1551" s="732"/>
      <c r="M1551" s="732"/>
      <c r="N1551" s="732"/>
      <c r="O1551" s="732"/>
      <c r="P1551" s="732"/>
      <c r="Q1551" s="732"/>
      <c r="R1551" s="732"/>
      <c r="S1551" s="739" t="s">
        <v>3874</v>
      </c>
      <c r="T1551" s="740"/>
      <c r="U1551" s="740"/>
      <c r="V1551" s="740"/>
      <c r="W1551" s="740"/>
      <c r="X1551" s="740"/>
      <c r="Y1551" s="740"/>
      <c r="Z1551" s="740"/>
      <c r="AA1551" s="740"/>
      <c r="AB1551" s="740"/>
      <c r="AC1551" s="740"/>
      <c r="AD1551" s="741"/>
    </row>
    <row r="1552" spans="1:50" ht="15" customHeight="1">
      <c r="A1552" s="142"/>
      <c r="B1552" s="113"/>
      <c r="C1552" s="732"/>
      <c r="D1552" s="732"/>
      <c r="E1552" s="732"/>
      <c r="F1552" s="732"/>
      <c r="G1552" s="732"/>
      <c r="H1552" s="732"/>
      <c r="I1552" s="732"/>
      <c r="J1552" s="732"/>
      <c r="K1552" s="732"/>
      <c r="L1552" s="732"/>
      <c r="M1552" s="732"/>
      <c r="N1552" s="732"/>
      <c r="O1552" s="732"/>
      <c r="P1552" s="732"/>
      <c r="Q1552" s="732"/>
      <c r="R1552" s="732"/>
      <c r="S1552" s="887" t="s">
        <v>2628</v>
      </c>
      <c r="T1552" s="889" t="s">
        <v>2629</v>
      </c>
      <c r="U1552" s="889" t="s">
        <v>2630</v>
      </c>
      <c r="V1552" s="733" t="s">
        <v>3875</v>
      </c>
      <c r="W1552" s="734"/>
      <c r="X1552" s="734"/>
      <c r="Y1552" s="734"/>
      <c r="Z1552" s="734"/>
      <c r="AA1552" s="734"/>
      <c r="AB1552" s="734"/>
      <c r="AC1552" s="734"/>
      <c r="AD1552" s="735"/>
    </row>
    <row r="1553" spans="1:60" ht="24" customHeight="1">
      <c r="A1553" s="142"/>
      <c r="C1553" s="732"/>
      <c r="D1553" s="732"/>
      <c r="E1553" s="732"/>
      <c r="F1553" s="732"/>
      <c r="G1553" s="732"/>
      <c r="H1553" s="732"/>
      <c r="I1553" s="732"/>
      <c r="J1553" s="732"/>
      <c r="K1553" s="732"/>
      <c r="L1553" s="732"/>
      <c r="M1553" s="732"/>
      <c r="N1553" s="732"/>
      <c r="O1553" s="732"/>
      <c r="P1553" s="732"/>
      <c r="Q1553" s="732"/>
      <c r="R1553" s="732"/>
      <c r="S1553" s="958"/>
      <c r="T1553" s="959"/>
      <c r="U1553" s="959"/>
      <c r="V1553" s="733" t="s">
        <v>3876</v>
      </c>
      <c r="W1553" s="734"/>
      <c r="X1553" s="735"/>
      <c r="Y1553" s="733" t="s">
        <v>3877</v>
      </c>
      <c r="Z1553" s="734"/>
      <c r="AA1553" s="735"/>
      <c r="AB1553" s="733" t="s">
        <v>3878</v>
      </c>
      <c r="AC1553" s="734"/>
      <c r="AD1553" s="735"/>
    </row>
    <row r="1554" spans="1:60" ht="48" customHeight="1">
      <c r="A1554" s="142"/>
      <c r="C1554" s="732"/>
      <c r="D1554" s="732"/>
      <c r="E1554" s="732"/>
      <c r="F1554" s="732"/>
      <c r="G1554" s="732"/>
      <c r="H1554" s="732"/>
      <c r="I1554" s="732"/>
      <c r="J1554" s="732"/>
      <c r="K1554" s="732"/>
      <c r="L1554" s="732"/>
      <c r="M1554" s="732"/>
      <c r="N1554" s="732"/>
      <c r="O1554" s="732"/>
      <c r="P1554" s="732"/>
      <c r="Q1554" s="732"/>
      <c r="R1554" s="732"/>
      <c r="S1554" s="888"/>
      <c r="T1554" s="890"/>
      <c r="U1554" s="890"/>
      <c r="V1554" s="127" t="s">
        <v>2635</v>
      </c>
      <c r="W1554" s="128" t="s">
        <v>2629</v>
      </c>
      <c r="X1554" s="128" t="s">
        <v>2630</v>
      </c>
      <c r="Y1554" s="127" t="s">
        <v>2635</v>
      </c>
      <c r="Z1554" s="128" t="s">
        <v>2629</v>
      </c>
      <c r="AA1554" s="128" t="s">
        <v>2630</v>
      </c>
      <c r="AB1554" s="127" t="s">
        <v>2635</v>
      </c>
      <c r="AC1554" s="128" t="s">
        <v>2629</v>
      </c>
      <c r="AD1554" s="128" t="s">
        <v>2630</v>
      </c>
      <c r="AG1554" s="354" t="s">
        <v>2586</v>
      </c>
      <c r="AH1554" s="282" t="s">
        <v>2637</v>
      </c>
      <c r="AI1554" s="280" t="s">
        <v>2638</v>
      </c>
      <c r="AJ1554" s="281" t="s">
        <v>2639</v>
      </c>
      <c r="AK1554" s="282" t="s">
        <v>2640</v>
      </c>
      <c r="AL1554" s="280" t="s">
        <v>2641</v>
      </c>
      <c r="AM1554" s="281" t="s">
        <v>2642</v>
      </c>
      <c r="AN1554" s="282" t="s">
        <v>2643</v>
      </c>
      <c r="AO1554" s="280" t="s">
        <v>2644</v>
      </c>
      <c r="AP1554" s="281" t="s">
        <v>2645</v>
      </c>
      <c r="AQ1554" s="282" t="s">
        <v>2646</v>
      </c>
      <c r="AR1554" s="280" t="s">
        <v>2647</v>
      </c>
      <c r="AS1554" s="281" t="s">
        <v>2648</v>
      </c>
      <c r="AT1554" s="282" t="s">
        <v>2756</v>
      </c>
      <c r="AU1554" s="280" t="s">
        <v>2757</v>
      </c>
      <c r="AV1554" s="281" t="s">
        <v>2758</v>
      </c>
      <c r="AW1554" s="282" t="s">
        <v>2759</v>
      </c>
      <c r="AX1554" s="280" t="s">
        <v>2760</v>
      </c>
      <c r="AY1554" s="281" t="s">
        <v>2761</v>
      </c>
      <c r="AZ1554" s="282" t="s">
        <v>2762</v>
      </c>
      <c r="BA1554" s="280" t="s">
        <v>2763</v>
      </c>
      <c r="BB1554" s="281" t="s">
        <v>2764</v>
      </c>
      <c r="BC1554" s="282" t="s">
        <v>2765</v>
      </c>
      <c r="BD1554" s="280" t="s">
        <v>2766</v>
      </c>
      <c r="BE1554" s="281" t="s">
        <v>2767</v>
      </c>
      <c r="BF1554" s="282" t="s">
        <v>2768</v>
      </c>
      <c r="BG1554" s="280" t="s">
        <v>2769</v>
      </c>
      <c r="BH1554" s="281" t="s">
        <v>2770</v>
      </c>
    </row>
    <row r="1555" spans="1:60" ht="15" customHeight="1">
      <c r="A1555" s="50"/>
      <c r="B1555" s="90"/>
      <c r="C1555" s="97" t="s">
        <v>2516</v>
      </c>
      <c r="D1555" s="813" t="str">
        <f>IF(CNSIPEE_2024_M2_Secc1!D42="","",CNSIPEE_2024_M2_Secc1!D42)</f>
        <v/>
      </c>
      <c r="E1555" s="814"/>
      <c r="F1555" s="814"/>
      <c r="G1555" s="814"/>
      <c r="H1555" s="814"/>
      <c r="I1555" s="814"/>
      <c r="J1555" s="814"/>
      <c r="K1555" s="814"/>
      <c r="L1555" s="814"/>
      <c r="M1555" s="814"/>
      <c r="N1555" s="814"/>
      <c r="O1555" s="814"/>
      <c r="P1555" s="814"/>
      <c r="Q1555" s="814"/>
      <c r="R1555" s="815"/>
      <c r="S1555" s="100"/>
      <c r="T1555" s="100"/>
      <c r="U1555" s="100"/>
      <c r="V1555" s="100"/>
      <c r="W1555" s="100"/>
      <c r="X1555" s="100"/>
      <c r="Y1555" s="100"/>
      <c r="Z1555" s="100"/>
      <c r="AA1555" s="100"/>
      <c r="AB1555" s="100"/>
      <c r="AC1555" s="100"/>
      <c r="AD1555" s="100"/>
      <c r="AG1555" s="326">
        <f t="shared" ref="AG1555:AG1562" si="1530">IF(AND($AH$1423=1,COUNTA(S1555:AD1555,P1570:AD1570)=0),0,IF(AND(COUNTBLANK(D1555)=0,$G1435&lt;&gt;"",$G1435&lt;&gt;1,COUNTA(S1555:AD1555,P1570:AD1570)=0),0,IF(AND(COUNTBLANK(D1555)=0,$G1435&lt;&gt;"",$G1435=1,COUNTA(S1555:AD1555,P1570:AD1570)=27),0,IF(AND(COUNTBLANK(D1555)=1,COUNTA(S1555:AD1555,P1570:AD1570)=0),0,1))))</f>
        <v>0</v>
      </c>
      <c r="AH1555" s="283">
        <f>COUNTIF(T1555:U1555,"NS")</f>
        <v>0</v>
      </c>
      <c r="AI1555" s="283">
        <f>SUM(T1555:U1555)</f>
        <v>0</v>
      </c>
      <c r="AJ1555" s="283">
        <f>IF(COUNTIF(S1555:U1555,"NA")=3,0,IF(COUNTA(S1555:U1555)=0,0,IF(OR(AND(S1555=0,AH1555&gt;0),AND(S1555="ns",AI1555&gt;0),AND(S1555="ns",AH1555=0,AI1555=0)),1,IF(OR(AND(S1555&gt;0,AH1555=2),AND(S1555="ns",AH1555=2),AND(S1555="ns",AI1555=0,AH1555&gt;0),S1555=AI1555),0,1))))</f>
        <v>0</v>
      </c>
      <c r="AK1555" s="283">
        <f>COUNTIF(W1555:X1555,"NS")</f>
        <v>0</v>
      </c>
      <c r="AL1555" s="283">
        <f>SUM(W1555:X1555)</f>
        <v>0</v>
      </c>
      <c r="AM1555" s="283">
        <f>IF(COUNTIF(V1555:X1555,"NA")=3,0,IF(COUNTA(V1555:X1555)=0,0,IF(OR(AND(V1555=0,AK1555&gt;0),AND(V1555="ns",AL1555&gt;0),AND(V1555="ns",AK1555=0,AL1555=0)),1,IF(OR(AND(V1555&gt;0,AK1555=2),AND(V1555="ns",AK1555=2),AND(V1555="ns",AL1555=0,AK1555&gt;0),V1555=AL1555),0,1))))</f>
        <v>0</v>
      </c>
      <c r="AN1555" s="283">
        <f>COUNTIF(Z1555:AA1555,"NS")</f>
        <v>0</v>
      </c>
      <c r="AO1555" s="283">
        <f>SUM(Z1555:AA1555)</f>
        <v>0</v>
      </c>
      <c r="AP1555" s="283">
        <f>IF(COUNTIF(Y1555:AA1555,"NA")=3,0,IF(COUNTA(Y1555:AA1555)=0,0,IF(OR(AND(Y1555=0,AN1555&gt;0),AND(Y1555="ns",AO1555&gt;0),AND(Y1555="ns",AN1555=0,AO1555=0)),1,IF(OR(AND(Y1555&gt;0,AN1555=2),AND(Y1555="ns",AN1555=2),AND(Y1555="ns",AO1555=0,AN1555&gt;0),Y1555=AO1555),0,1))))</f>
        <v>0</v>
      </c>
      <c r="AQ1555" s="283">
        <f>COUNTIF(AC1555:AD1555,"NS")</f>
        <v>0</v>
      </c>
      <c r="AR1555" s="283">
        <f>SUM(AC1555:AD1555)</f>
        <v>0</v>
      </c>
      <c r="AS1555" s="283">
        <f>IF(COUNTIF(AB1555:AD1555,"NA")=3,0,IF(COUNTA(AB1555:AD1555)=0,0,IF(OR(AND(AB1555=0,AQ1555&gt;0),AND(AB1555="ns",AR1555&gt;0),AND(AB1555="ns",AQ1555=0,AR1555=0)),1,IF(OR(AND(AB1555&gt;0,AQ1555=2),AND(AB1555="ns",AQ1555=2),AND(AB1555="ns",AR1555=0,AQ1555&gt;0),AB1555=AR1555),0,1))))</f>
        <v>0</v>
      </c>
      <c r="AT1555" s="283">
        <f>COUNTIF(Q1570:R1570,"NS")</f>
        <v>0</v>
      </c>
      <c r="AU1555" s="283">
        <f>SUM(Q1570:R1570)</f>
        <v>0</v>
      </c>
      <c r="AV1555" s="283">
        <f>IF(COUNTIF(P1570:R1570,"NA")=3,0,IF(COUNTA(P1570:R1570)=0,0,IF(OR(AND(P1570=0,AT1555&gt;0),AND(P1570="ns",AU1555&gt;0),AND(P1570="ns",AT1555=0,AU1555=0)),1,IF(OR(AND(P1570&gt;0,AT1555=2),AND(P1570="ns",AT1555=2),AND(P1570="ns",AU1555=0,AT1555&gt;0),P1570=AU1555),0,1))))</f>
        <v>0</v>
      </c>
      <c r="AW1555" s="283">
        <f>COUNTIF(T1570:U1570,"NS")</f>
        <v>0</v>
      </c>
      <c r="AX1555" s="283">
        <f>SUM(T1570:U1570)</f>
        <v>0</v>
      </c>
      <c r="AY1555" s="283">
        <f>IF(COUNTIF(S1570:U1570,"NA")=3,0,IF(COUNTA(S1570:U1570)=0,0,IF(OR(AND(S1570=0,AW1555&gt;0),AND(S1570="ns",AX1555&gt;0),AND(S1570="ns",AW1555=0,AX1555=0)),1,IF(OR(AND(S1570&gt;0,AW1555=2),AND(S1570="ns",AW1555=2),AND(S1570="ns",AX1555=0,AW1555&gt;0),S1570=AX1555),0,1))))</f>
        <v>0</v>
      </c>
      <c r="AZ1555" s="283">
        <f>COUNTIF(W1570:X1570,"NS")</f>
        <v>0</v>
      </c>
      <c r="BA1555" s="283">
        <f>SUM(W1570:X1570)</f>
        <v>0</v>
      </c>
      <c r="BB1555" s="283">
        <f>IF(COUNTIF(V1570:X1570,"NA")=3,0,IF(COUNTA(V1570:X1570)=0,0,IF(OR(AND(V1570=0,AZ1555&gt;0),AND(V1570="ns",BA1555&gt;0),AND(V1570="ns",AZ1555=0,BA1555=0)),1,IF(OR(AND(V1570&gt;0,AZ1555=2),AND(V1570="ns",AZ1555=2),AND(V1570="ns",BA1555=0,AZ1555&gt;0),V1570=BA1555),0,1))))</f>
        <v>0</v>
      </c>
      <c r="BC1555" s="283">
        <f>COUNTIF(Z1570:AA1570,"NS")</f>
        <v>0</v>
      </c>
      <c r="BD1555" s="283">
        <f>SUM(Z1570:AA1570)</f>
        <v>0</v>
      </c>
      <c r="BE1555" s="283">
        <f>IF(COUNTIF(Y1570:AA1570,"NA")=3,0,IF(COUNTA(Y1570:AA1570)=0,0,IF(OR(AND(Y1570=0,BC1555&gt;0),AND(Y1570="ns",BD1555&gt;0),AND(Y1570="ns",BC1555=0,BD1555=0)),1,IF(OR(AND(Y1570&gt;0,BC1555=2),AND(Y1570="ns",BC1555=2),AND(Y1570="ns",BD1555=0,BC1555&gt;0),Y1570=BD1555),0,1))))</f>
        <v>0</v>
      </c>
      <c r="BF1555" s="283">
        <f>COUNTIF(AC1570:AD1570,"NS")</f>
        <v>0</v>
      </c>
      <c r="BG1555" s="283">
        <f>SUM(AC1570:AD1570)</f>
        <v>0</v>
      </c>
      <c r="BH1555" s="283">
        <f>IF(COUNTIF(AB1570:AD1570,"NA")=3,0,IF(COUNTA(AB1570:AD1570)=0,0,IF(OR(AND(AB1570=0,BF1555&gt;0),AND(AB1570="ns",BG1555&gt;0),AND(AB1570="ns",BF1555=0,BG1555=0)),1,IF(OR(AND(AB1570&gt;0,BF1555=2),AND(AB1570="ns",BF1555=2),AND(AB1570="ns",BG1555=0,BF1555&gt;0),AB1570=BG1555),0,1))))</f>
        <v>0</v>
      </c>
    </row>
    <row r="1556" spans="1:60" ht="15" customHeight="1">
      <c r="A1556" s="50"/>
      <c r="B1556" s="90"/>
      <c r="C1556" s="143" t="s">
        <v>2517</v>
      </c>
      <c r="D1556" s="813" t="str">
        <f>IF(CNSIPEE_2024_M2_Secc1!D43="","",CNSIPEE_2024_M2_Secc1!D43)</f>
        <v/>
      </c>
      <c r="E1556" s="814"/>
      <c r="F1556" s="814"/>
      <c r="G1556" s="814"/>
      <c r="H1556" s="814"/>
      <c r="I1556" s="814"/>
      <c r="J1556" s="814"/>
      <c r="K1556" s="814"/>
      <c r="L1556" s="814"/>
      <c r="M1556" s="814"/>
      <c r="N1556" s="814"/>
      <c r="O1556" s="814"/>
      <c r="P1556" s="814"/>
      <c r="Q1556" s="814"/>
      <c r="R1556" s="815"/>
      <c r="S1556" s="100"/>
      <c r="T1556" s="100"/>
      <c r="U1556" s="100"/>
      <c r="V1556" s="100"/>
      <c r="W1556" s="100"/>
      <c r="X1556" s="100"/>
      <c r="Y1556" s="100"/>
      <c r="Z1556" s="100"/>
      <c r="AA1556" s="100"/>
      <c r="AB1556" s="100"/>
      <c r="AC1556" s="100"/>
      <c r="AD1556" s="100"/>
      <c r="AG1556" s="326">
        <f t="shared" si="1530"/>
        <v>0</v>
      </c>
      <c r="AH1556" s="283">
        <f t="shared" ref="AH1556:AH1562" si="1531">COUNTIF(T1556:U1556,"NS")</f>
        <v>0</v>
      </c>
      <c r="AI1556" s="283">
        <f t="shared" ref="AI1556:AI1562" si="1532">SUM(T1556:U1556)</f>
        <v>0</v>
      </c>
      <c r="AJ1556" s="283">
        <f t="shared" ref="AJ1556:AJ1562" si="1533">IF(COUNTIF(S1556:U1556,"NA")=3,0,IF(COUNTA(S1556:U1556)=0,0,IF(OR(AND(S1556=0,AH1556&gt;0),AND(S1556="ns",AI1556&gt;0),AND(S1556="ns",AH1556=0,AI1556=0)),1,IF(OR(AND(S1556&gt;0,AH1556=2),AND(S1556="ns",AH1556=2),AND(S1556="ns",AI1556=0,AH1556&gt;0),S1556=AI1556),0,1))))</f>
        <v>0</v>
      </c>
      <c r="AK1556" s="283">
        <f t="shared" ref="AK1556:AK1562" si="1534">COUNTIF(W1556:X1556,"NS")</f>
        <v>0</v>
      </c>
      <c r="AL1556" s="283">
        <f t="shared" ref="AL1556:AL1562" si="1535">SUM(W1556:X1556)</f>
        <v>0</v>
      </c>
      <c r="AM1556" s="283">
        <f t="shared" ref="AM1556:AM1562" si="1536">IF(COUNTIF(V1556:X1556,"NA")=3,0,IF(COUNTA(V1556:X1556)=0,0,IF(OR(AND(V1556=0,AK1556&gt;0),AND(V1556="ns",AL1556&gt;0),AND(V1556="ns",AK1556=0,AL1556=0)),1,IF(OR(AND(V1556&gt;0,AK1556=2),AND(V1556="ns",AK1556=2),AND(V1556="ns",AL1556=0,AK1556&gt;0),V1556=AL1556),0,1))))</f>
        <v>0</v>
      </c>
      <c r="AN1556" s="283">
        <f t="shared" ref="AN1556:AN1562" si="1537">COUNTIF(Z1556:AA1556,"NS")</f>
        <v>0</v>
      </c>
      <c r="AO1556" s="283">
        <f t="shared" ref="AO1556:AO1562" si="1538">SUM(Z1556:AA1556)</f>
        <v>0</v>
      </c>
      <c r="AP1556" s="283">
        <f t="shared" ref="AP1556:AP1562" si="1539">IF(COUNTIF(Y1556:AA1556,"NA")=3,0,IF(COUNTA(Y1556:AA1556)=0,0,IF(OR(AND(Y1556=0,AN1556&gt;0),AND(Y1556="ns",AO1556&gt;0),AND(Y1556="ns",AN1556=0,AO1556=0)),1,IF(OR(AND(Y1556&gt;0,AN1556=2),AND(Y1556="ns",AN1556=2),AND(Y1556="ns",AO1556=0,AN1556&gt;0),Y1556=AO1556),0,1))))</f>
        <v>0</v>
      </c>
      <c r="AQ1556" s="283">
        <f t="shared" ref="AQ1556:AQ1562" si="1540">COUNTIF(AC1556:AD1556,"NS")</f>
        <v>0</v>
      </c>
      <c r="AR1556" s="283">
        <f t="shared" ref="AR1556:AR1562" si="1541">SUM(AC1556:AD1556)</f>
        <v>0</v>
      </c>
      <c r="AS1556" s="283">
        <f t="shared" ref="AS1556:AS1562" si="1542">IF(COUNTIF(AB1556:AD1556,"NA")=3,0,IF(COUNTA(AB1556:AD1556)=0,0,IF(OR(AND(AB1556=0,AQ1556&gt;0),AND(AB1556="ns",AR1556&gt;0),AND(AB1556="ns",AQ1556=0,AR1556=0)),1,IF(OR(AND(AB1556&gt;0,AQ1556=2),AND(AB1556="ns",AQ1556=2),AND(AB1556="ns",AR1556=0,AQ1556&gt;0),AB1556=AR1556),0,1))))</f>
        <v>0</v>
      </c>
      <c r="AT1556" s="283">
        <f t="shared" ref="AT1556:AT1562" si="1543">COUNTIF(Q1571:R1571,"NS")</f>
        <v>0</v>
      </c>
      <c r="AU1556" s="283">
        <f t="shared" ref="AU1556:AU1562" si="1544">SUM(Q1571:R1571)</f>
        <v>0</v>
      </c>
      <c r="AV1556" s="283">
        <f t="shared" ref="AV1556:AV1562" si="1545">IF(COUNTIF(P1571:R1571,"NA")=3,0,IF(COUNTA(P1571:R1571)=0,0,IF(OR(AND(P1571=0,AT1556&gt;0),AND(P1571="ns",AU1556&gt;0),AND(P1571="ns",AT1556=0,AU1556=0)),1,IF(OR(AND(P1571&gt;0,AT1556=2),AND(P1571="ns",AT1556=2),AND(P1571="ns",AU1556=0,AT1556&gt;0),P1571=AU1556),0,1))))</f>
        <v>0</v>
      </c>
      <c r="AW1556" s="283">
        <f t="shared" ref="AW1556:AW1562" si="1546">COUNTIF(T1571:U1571,"NS")</f>
        <v>0</v>
      </c>
      <c r="AX1556" s="283">
        <f t="shared" ref="AX1556:AX1562" si="1547">SUM(T1571:U1571)</f>
        <v>0</v>
      </c>
      <c r="AY1556" s="283">
        <f t="shared" ref="AY1556:AY1562" si="1548">IF(COUNTIF(S1571:U1571,"NA")=3,0,IF(COUNTA(S1571:U1571)=0,0,IF(OR(AND(S1571=0,AW1556&gt;0),AND(S1571="ns",AX1556&gt;0),AND(S1571="ns",AW1556=0,AX1556=0)),1,IF(OR(AND(S1571&gt;0,AW1556=2),AND(S1571="ns",AW1556=2),AND(S1571="ns",AX1556=0,AW1556&gt;0),S1571=AX1556),0,1))))</f>
        <v>0</v>
      </c>
      <c r="AZ1556" s="283">
        <f t="shared" ref="AZ1556:AZ1562" si="1549">COUNTIF(W1571:X1571,"NS")</f>
        <v>0</v>
      </c>
      <c r="BA1556" s="283">
        <f t="shared" ref="BA1556:BA1562" si="1550">SUM(W1571:X1571)</f>
        <v>0</v>
      </c>
      <c r="BB1556" s="283">
        <f t="shared" ref="BB1556:BB1562" si="1551">IF(COUNTIF(V1571:X1571,"NA")=3,0,IF(COUNTA(V1571:X1571)=0,0,IF(OR(AND(V1571=0,AZ1556&gt;0),AND(V1571="ns",BA1556&gt;0),AND(V1571="ns",AZ1556=0,BA1556=0)),1,IF(OR(AND(V1571&gt;0,AZ1556=2),AND(V1571="ns",AZ1556=2),AND(V1571="ns",BA1556=0,AZ1556&gt;0),V1571=BA1556),0,1))))</f>
        <v>0</v>
      </c>
      <c r="BC1556" s="283">
        <f t="shared" ref="BC1556:BC1562" si="1552">COUNTIF(Z1571:AA1571,"NS")</f>
        <v>0</v>
      </c>
      <c r="BD1556" s="283">
        <f t="shared" ref="BD1556:BD1562" si="1553">SUM(Z1571:AA1571)</f>
        <v>0</v>
      </c>
      <c r="BE1556" s="283">
        <f t="shared" ref="BE1556:BE1562" si="1554">IF(COUNTIF(Y1571:AA1571,"NA")=3,0,IF(COUNTA(Y1571:AA1571)=0,0,IF(OR(AND(Y1571=0,BC1556&gt;0),AND(Y1571="ns",BD1556&gt;0),AND(Y1571="ns",BC1556=0,BD1556=0)),1,IF(OR(AND(Y1571&gt;0,BC1556=2),AND(Y1571="ns",BC1556=2),AND(Y1571="ns",BD1556=0,BC1556&gt;0),Y1571=BD1556),0,1))))</f>
        <v>0</v>
      </c>
      <c r="BF1556" s="283">
        <f t="shared" ref="BF1556:BF1562" si="1555">COUNTIF(AC1571:AD1571,"NS")</f>
        <v>0</v>
      </c>
      <c r="BG1556" s="283">
        <f t="shared" ref="BG1556:BG1562" si="1556">SUM(AC1571:AD1571)</f>
        <v>0</v>
      </c>
      <c r="BH1556" s="283">
        <f t="shared" ref="BH1556:BH1562" si="1557">IF(COUNTIF(AB1571:AD1571,"NA")=3,0,IF(COUNTA(AB1571:AD1571)=0,0,IF(OR(AND(AB1571=0,BF1556&gt;0),AND(AB1571="ns",BG1556&gt;0),AND(AB1571="ns",BF1556=0,BG1556=0)),1,IF(OR(AND(AB1571&gt;0,BF1556=2),AND(AB1571="ns",BF1556=2),AND(AB1571="ns",BG1556=0,BF1556&gt;0),AB1571=BG1556),0,1))))</f>
        <v>0</v>
      </c>
    </row>
    <row r="1557" spans="1:60" ht="15" customHeight="1">
      <c r="A1557" s="50"/>
      <c r="B1557" s="90"/>
      <c r="C1557" s="143" t="s">
        <v>2518</v>
      </c>
      <c r="D1557" s="813" t="str">
        <f>IF(CNSIPEE_2024_M2_Secc1!D44="","",CNSIPEE_2024_M2_Secc1!D44)</f>
        <v/>
      </c>
      <c r="E1557" s="814"/>
      <c r="F1557" s="814"/>
      <c r="G1557" s="814"/>
      <c r="H1557" s="814"/>
      <c r="I1557" s="814"/>
      <c r="J1557" s="814"/>
      <c r="K1557" s="814"/>
      <c r="L1557" s="814"/>
      <c r="M1557" s="814"/>
      <c r="N1557" s="814"/>
      <c r="O1557" s="814"/>
      <c r="P1557" s="814"/>
      <c r="Q1557" s="814"/>
      <c r="R1557" s="815"/>
      <c r="S1557" s="100"/>
      <c r="T1557" s="100"/>
      <c r="U1557" s="100"/>
      <c r="V1557" s="100"/>
      <c r="W1557" s="100"/>
      <c r="X1557" s="100"/>
      <c r="Y1557" s="100"/>
      <c r="Z1557" s="100"/>
      <c r="AA1557" s="100"/>
      <c r="AB1557" s="100"/>
      <c r="AC1557" s="100"/>
      <c r="AD1557" s="100"/>
      <c r="AG1557" s="326">
        <f t="shared" si="1530"/>
        <v>0</v>
      </c>
      <c r="AH1557" s="283">
        <f t="shared" si="1531"/>
        <v>0</v>
      </c>
      <c r="AI1557" s="283">
        <f t="shared" si="1532"/>
        <v>0</v>
      </c>
      <c r="AJ1557" s="283">
        <f t="shared" si="1533"/>
        <v>0</v>
      </c>
      <c r="AK1557" s="283">
        <f t="shared" si="1534"/>
        <v>0</v>
      </c>
      <c r="AL1557" s="283">
        <f t="shared" si="1535"/>
        <v>0</v>
      </c>
      <c r="AM1557" s="283">
        <f t="shared" si="1536"/>
        <v>0</v>
      </c>
      <c r="AN1557" s="283">
        <f t="shared" si="1537"/>
        <v>0</v>
      </c>
      <c r="AO1557" s="283">
        <f t="shared" si="1538"/>
        <v>0</v>
      </c>
      <c r="AP1557" s="283">
        <f t="shared" si="1539"/>
        <v>0</v>
      </c>
      <c r="AQ1557" s="283">
        <f t="shared" si="1540"/>
        <v>0</v>
      </c>
      <c r="AR1557" s="283">
        <f t="shared" si="1541"/>
        <v>0</v>
      </c>
      <c r="AS1557" s="283">
        <f t="shared" si="1542"/>
        <v>0</v>
      </c>
      <c r="AT1557" s="283">
        <f t="shared" si="1543"/>
        <v>0</v>
      </c>
      <c r="AU1557" s="283">
        <f t="shared" si="1544"/>
        <v>0</v>
      </c>
      <c r="AV1557" s="283">
        <f t="shared" si="1545"/>
        <v>0</v>
      </c>
      <c r="AW1557" s="283">
        <f t="shared" si="1546"/>
        <v>0</v>
      </c>
      <c r="AX1557" s="283">
        <f t="shared" si="1547"/>
        <v>0</v>
      </c>
      <c r="AY1557" s="283">
        <f t="shared" si="1548"/>
        <v>0</v>
      </c>
      <c r="AZ1557" s="283">
        <f t="shared" si="1549"/>
        <v>0</v>
      </c>
      <c r="BA1557" s="283">
        <f t="shared" si="1550"/>
        <v>0</v>
      </c>
      <c r="BB1557" s="283">
        <f t="shared" si="1551"/>
        <v>0</v>
      </c>
      <c r="BC1557" s="283">
        <f t="shared" si="1552"/>
        <v>0</v>
      </c>
      <c r="BD1557" s="283">
        <f t="shared" si="1553"/>
        <v>0</v>
      </c>
      <c r="BE1557" s="283">
        <f t="shared" si="1554"/>
        <v>0</v>
      </c>
      <c r="BF1557" s="283">
        <f t="shared" si="1555"/>
        <v>0</v>
      </c>
      <c r="BG1557" s="283">
        <f t="shared" si="1556"/>
        <v>0</v>
      </c>
      <c r="BH1557" s="283">
        <f t="shared" si="1557"/>
        <v>0</v>
      </c>
    </row>
    <row r="1558" spans="1:60" ht="15" customHeight="1">
      <c r="A1558" s="50"/>
      <c r="B1558" s="90"/>
      <c r="C1558" s="143" t="s">
        <v>2519</v>
      </c>
      <c r="D1558" s="813" t="str">
        <f>IF(CNSIPEE_2024_M2_Secc1!D45="","",CNSIPEE_2024_M2_Secc1!D45)</f>
        <v/>
      </c>
      <c r="E1558" s="814"/>
      <c r="F1558" s="814"/>
      <c r="G1558" s="814"/>
      <c r="H1558" s="814"/>
      <c r="I1558" s="814"/>
      <c r="J1558" s="814"/>
      <c r="K1558" s="814"/>
      <c r="L1558" s="814"/>
      <c r="M1558" s="814"/>
      <c r="N1558" s="814"/>
      <c r="O1558" s="814"/>
      <c r="P1558" s="814"/>
      <c r="Q1558" s="814"/>
      <c r="R1558" s="815"/>
      <c r="S1558" s="100"/>
      <c r="T1558" s="100"/>
      <c r="U1558" s="100"/>
      <c r="V1558" s="100"/>
      <c r="W1558" s="100"/>
      <c r="X1558" s="100"/>
      <c r="Y1558" s="100"/>
      <c r="Z1558" s="100"/>
      <c r="AA1558" s="100"/>
      <c r="AB1558" s="100"/>
      <c r="AC1558" s="100"/>
      <c r="AD1558" s="100"/>
      <c r="AG1558" s="326">
        <f t="shared" si="1530"/>
        <v>0</v>
      </c>
      <c r="AH1558" s="283">
        <f t="shared" si="1531"/>
        <v>0</v>
      </c>
      <c r="AI1558" s="283">
        <f t="shared" si="1532"/>
        <v>0</v>
      </c>
      <c r="AJ1558" s="283">
        <f t="shared" si="1533"/>
        <v>0</v>
      </c>
      <c r="AK1558" s="283">
        <f t="shared" si="1534"/>
        <v>0</v>
      </c>
      <c r="AL1558" s="283">
        <f t="shared" si="1535"/>
        <v>0</v>
      </c>
      <c r="AM1558" s="283">
        <f t="shared" si="1536"/>
        <v>0</v>
      </c>
      <c r="AN1558" s="283">
        <f t="shared" si="1537"/>
        <v>0</v>
      </c>
      <c r="AO1558" s="283">
        <f t="shared" si="1538"/>
        <v>0</v>
      </c>
      <c r="AP1558" s="283">
        <f t="shared" si="1539"/>
        <v>0</v>
      </c>
      <c r="AQ1558" s="283">
        <f t="shared" si="1540"/>
        <v>0</v>
      </c>
      <c r="AR1558" s="283">
        <f t="shared" si="1541"/>
        <v>0</v>
      </c>
      <c r="AS1558" s="283">
        <f t="shared" si="1542"/>
        <v>0</v>
      </c>
      <c r="AT1558" s="283">
        <f t="shared" si="1543"/>
        <v>0</v>
      </c>
      <c r="AU1558" s="283">
        <f t="shared" si="1544"/>
        <v>0</v>
      </c>
      <c r="AV1558" s="283">
        <f t="shared" si="1545"/>
        <v>0</v>
      </c>
      <c r="AW1558" s="283">
        <f t="shared" si="1546"/>
        <v>0</v>
      </c>
      <c r="AX1558" s="283">
        <f t="shared" si="1547"/>
        <v>0</v>
      </c>
      <c r="AY1558" s="283">
        <f t="shared" si="1548"/>
        <v>0</v>
      </c>
      <c r="AZ1558" s="283">
        <f t="shared" si="1549"/>
        <v>0</v>
      </c>
      <c r="BA1558" s="283">
        <f t="shared" si="1550"/>
        <v>0</v>
      </c>
      <c r="BB1558" s="283">
        <f t="shared" si="1551"/>
        <v>0</v>
      </c>
      <c r="BC1558" s="283">
        <f t="shared" si="1552"/>
        <v>0</v>
      </c>
      <c r="BD1558" s="283">
        <f t="shared" si="1553"/>
        <v>0</v>
      </c>
      <c r="BE1558" s="283">
        <f t="shared" si="1554"/>
        <v>0</v>
      </c>
      <c r="BF1558" s="283">
        <f t="shared" si="1555"/>
        <v>0</v>
      </c>
      <c r="BG1558" s="283">
        <f t="shared" si="1556"/>
        <v>0</v>
      </c>
      <c r="BH1558" s="283">
        <f t="shared" si="1557"/>
        <v>0</v>
      </c>
    </row>
    <row r="1559" spans="1:60" ht="15" customHeight="1">
      <c r="A1559" s="50"/>
      <c r="B1559" s="90"/>
      <c r="C1559" s="143" t="s">
        <v>2520</v>
      </c>
      <c r="D1559" s="813" t="str">
        <f>IF(CNSIPEE_2024_M2_Secc1!D46="","",CNSIPEE_2024_M2_Secc1!D46)</f>
        <v/>
      </c>
      <c r="E1559" s="814"/>
      <c r="F1559" s="814"/>
      <c r="G1559" s="814"/>
      <c r="H1559" s="814"/>
      <c r="I1559" s="814"/>
      <c r="J1559" s="814"/>
      <c r="K1559" s="814"/>
      <c r="L1559" s="814"/>
      <c r="M1559" s="814"/>
      <c r="N1559" s="814"/>
      <c r="O1559" s="814"/>
      <c r="P1559" s="814"/>
      <c r="Q1559" s="814"/>
      <c r="R1559" s="815"/>
      <c r="S1559" s="100"/>
      <c r="T1559" s="100"/>
      <c r="U1559" s="100"/>
      <c r="V1559" s="100"/>
      <c r="W1559" s="100"/>
      <c r="X1559" s="100"/>
      <c r="Y1559" s="100"/>
      <c r="Z1559" s="100"/>
      <c r="AA1559" s="100"/>
      <c r="AB1559" s="100"/>
      <c r="AC1559" s="100"/>
      <c r="AD1559" s="100"/>
      <c r="AG1559" s="326">
        <f t="shared" si="1530"/>
        <v>0</v>
      </c>
      <c r="AH1559" s="283">
        <f t="shared" si="1531"/>
        <v>0</v>
      </c>
      <c r="AI1559" s="283">
        <f t="shared" si="1532"/>
        <v>0</v>
      </c>
      <c r="AJ1559" s="283">
        <f t="shared" si="1533"/>
        <v>0</v>
      </c>
      <c r="AK1559" s="283">
        <f t="shared" si="1534"/>
        <v>0</v>
      </c>
      <c r="AL1559" s="283">
        <f t="shared" si="1535"/>
        <v>0</v>
      </c>
      <c r="AM1559" s="283">
        <f t="shared" si="1536"/>
        <v>0</v>
      </c>
      <c r="AN1559" s="283">
        <f t="shared" si="1537"/>
        <v>0</v>
      </c>
      <c r="AO1559" s="283">
        <f t="shared" si="1538"/>
        <v>0</v>
      </c>
      <c r="AP1559" s="283">
        <f t="shared" si="1539"/>
        <v>0</v>
      </c>
      <c r="AQ1559" s="283">
        <f t="shared" si="1540"/>
        <v>0</v>
      </c>
      <c r="AR1559" s="283">
        <f t="shared" si="1541"/>
        <v>0</v>
      </c>
      <c r="AS1559" s="283">
        <f t="shared" si="1542"/>
        <v>0</v>
      </c>
      <c r="AT1559" s="283">
        <f t="shared" si="1543"/>
        <v>0</v>
      </c>
      <c r="AU1559" s="283">
        <f t="shared" si="1544"/>
        <v>0</v>
      </c>
      <c r="AV1559" s="283">
        <f t="shared" si="1545"/>
        <v>0</v>
      </c>
      <c r="AW1559" s="283">
        <f t="shared" si="1546"/>
        <v>0</v>
      </c>
      <c r="AX1559" s="283">
        <f t="shared" si="1547"/>
        <v>0</v>
      </c>
      <c r="AY1559" s="283">
        <f t="shared" si="1548"/>
        <v>0</v>
      </c>
      <c r="AZ1559" s="283">
        <f t="shared" si="1549"/>
        <v>0</v>
      </c>
      <c r="BA1559" s="283">
        <f t="shared" si="1550"/>
        <v>0</v>
      </c>
      <c r="BB1559" s="283">
        <f t="shared" si="1551"/>
        <v>0</v>
      </c>
      <c r="BC1559" s="283">
        <f t="shared" si="1552"/>
        <v>0</v>
      </c>
      <c r="BD1559" s="283">
        <f t="shared" si="1553"/>
        <v>0</v>
      </c>
      <c r="BE1559" s="283">
        <f t="shared" si="1554"/>
        <v>0</v>
      </c>
      <c r="BF1559" s="283">
        <f t="shared" si="1555"/>
        <v>0</v>
      </c>
      <c r="BG1559" s="283">
        <f t="shared" si="1556"/>
        <v>0</v>
      </c>
      <c r="BH1559" s="283">
        <f t="shared" si="1557"/>
        <v>0</v>
      </c>
    </row>
    <row r="1560" spans="1:60" ht="15" customHeight="1">
      <c r="A1560" s="50"/>
      <c r="B1560" s="90"/>
      <c r="C1560" s="143" t="s">
        <v>2521</v>
      </c>
      <c r="D1560" s="813" t="str">
        <f>IF(CNSIPEE_2024_M2_Secc1!D47="","",CNSIPEE_2024_M2_Secc1!D47)</f>
        <v/>
      </c>
      <c r="E1560" s="814"/>
      <c r="F1560" s="814"/>
      <c r="G1560" s="814"/>
      <c r="H1560" s="814"/>
      <c r="I1560" s="814"/>
      <c r="J1560" s="814"/>
      <c r="K1560" s="814"/>
      <c r="L1560" s="814"/>
      <c r="M1560" s="814"/>
      <c r="N1560" s="814"/>
      <c r="O1560" s="814"/>
      <c r="P1560" s="814"/>
      <c r="Q1560" s="814"/>
      <c r="R1560" s="815"/>
      <c r="S1560" s="100"/>
      <c r="T1560" s="100"/>
      <c r="U1560" s="100"/>
      <c r="V1560" s="100"/>
      <c r="W1560" s="100"/>
      <c r="X1560" s="100"/>
      <c r="Y1560" s="100"/>
      <c r="Z1560" s="100"/>
      <c r="AA1560" s="100"/>
      <c r="AB1560" s="100"/>
      <c r="AC1560" s="100"/>
      <c r="AD1560" s="100"/>
      <c r="AG1560" s="326">
        <f t="shared" si="1530"/>
        <v>0</v>
      </c>
      <c r="AH1560" s="283">
        <f t="shared" si="1531"/>
        <v>0</v>
      </c>
      <c r="AI1560" s="283">
        <f t="shared" si="1532"/>
        <v>0</v>
      </c>
      <c r="AJ1560" s="283">
        <f t="shared" si="1533"/>
        <v>0</v>
      </c>
      <c r="AK1560" s="283">
        <f t="shared" si="1534"/>
        <v>0</v>
      </c>
      <c r="AL1560" s="283">
        <f t="shared" si="1535"/>
        <v>0</v>
      </c>
      <c r="AM1560" s="283">
        <f t="shared" si="1536"/>
        <v>0</v>
      </c>
      <c r="AN1560" s="283">
        <f t="shared" si="1537"/>
        <v>0</v>
      </c>
      <c r="AO1560" s="283">
        <f t="shared" si="1538"/>
        <v>0</v>
      </c>
      <c r="AP1560" s="283">
        <f t="shared" si="1539"/>
        <v>0</v>
      </c>
      <c r="AQ1560" s="283">
        <f t="shared" si="1540"/>
        <v>0</v>
      </c>
      <c r="AR1560" s="283">
        <f t="shared" si="1541"/>
        <v>0</v>
      </c>
      <c r="AS1560" s="283">
        <f t="shared" si="1542"/>
        <v>0</v>
      </c>
      <c r="AT1560" s="283">
        <f t="shared" si="1543"/>
        <v>0</v>
      </c>
      <c r="AU1560" s="283">
        <f t="shared" si="1544"/>
        <v>0</v>
      </c>
      <c r="AV1560" s="283">
        <f t="shared" si="1545"/>
        <v>0</v>
      </c>
      <c r="AW1560" s="283">
        <f t="shared" si="1546"/>
        <v>0</v>
      </c>
      <c r="AX1560" s="283">
        <f t="shared" si="1547"/>
        <v>0</v>
      </c>
      <c r="AY1560" s="283">
        <f t="shared" si="1548"/>
        <v>0</v>
      </c>
      <c r="AZ1560" s="283">
        <f t="shared" si="1549"/>
        <v>0</v>
      </c>
      <c r="BA1560" s="283">
        <f t="shared" si="1550"/>
        <v>0</v>
      </c>
      <c r="BB1560" s="283">
        <f t="shared" si="1551"/>
        <v>0</v>
      </c>
      <c r="BC1560" s="283">
        <f t="shared" si="1552"/>
        <v>0</v>
      </c>
      <c r="BD1560" s="283">
        <f t="shared" si="1553"/>
        <v>0</v>
      </c>
      <c r="BE1560" s="283">
        <f t="shared" si="1554"/>
        <v>0</v>
      </c>
      <c r="BF1560" s="283">
        <f t="shared" si="1555"/>
        <v>0</v>
      </c>
      <c r="BG1560" s="283">
        <f t="shared" si="1556"/>
        <v>0</v>
      </c>
      <c r="BH1560" s="283">
        <f t="shared" si="1557"/>
        <v>0</v>
      </c>
    </row>
    <row r="1561" spans="1:60" ht="15" customHeight="1">
      <c r="A1561" s="50"/>
      <c r="B1561" s="90"/>
      <c r="C1561" s="143" t="s">
        <v>2522</v>
      </c>
      <c r="D1561" s="813" t="str">
        <f>IF(CNSIPEE_2024_M2_Secc1!D48="","",CNSIPEE_2024_M2_Secc1!D48)</f>
        <v/>
      </c>
      <c r="E1561" s="814"/>
      <c r="F1561" s="814"/>
      <c r="G1561" s="814"/>
      <c r="H1561" s="814"/>
      <c r="I1561" s="814"/>
      <c r="J1561" s="814"/>
      <c r="K1561" s="814"/>
      <c r="L1561" s="814"/>
      <c r="M1561" s="814"/>
      <c r="N1561" s="814"/>
      <c r="O1561" s="814"/>
      <c r="P1561" s="814"/>
      <c r="Q1561" s="814"/>
      <c r="R1561" s="815"/>
      <c r="S1561" s="100"/>
      <c r="T1561" s="100"/>
      <c r="U1561" s="100"/>
      <c r="V1561" s="100"/>
      <c r="W1561" s="100"/>
      <c r="X1561" s="100"/>
      <c r="Y1561" s="100"/>
      <c r="Z1561" s="100"/>
      <c r="AA1561" s="100"/>
      <c r="AB1561" s="100"/>
      <c r="AC1561" s="100"/>
      <c r="AD1561" s="100"/>
      <c r="AG1561" s="326">
        <f t="shared" si="1530"/>
        <v>0</v>
      </c>
      <c r="AH1561" s="283">
        <f t="shared" si="1531"/>
        <v>0</v>
      </c>
      <c r="AI1561" s="283">
        <f t="shared" si="1532"/>
        <v>0</v>
      </c>
      <c r="AJ1561" s="283">
        <f t="shared" si="1533"/>
        <v>0</v>
      </c>
      <c r="AK1561" s="283">
        <f t="shared" si="1534"/>
        <v>0</v>
      </c>
      <c r="AL1561" s="283">
        <f t="shared" si="1535"/>
        <v>0</v>
      </c>
      <c r="AM1561" s="283">
        <f t="shared" si="1536"/>
        <v>0</v>
      </c>
      <c r="AN1561" s="283">
        <f t="shared" si="1537"/>
        <v>0</v>
      </c>
      <c r="AO1561" s="283">
        <f t="shared" si="1538"/>
        <v>0</v>
      </c>
      <c r="AP1561" s="283">
        <f t="shared" si="1539"/>
        <v>0</v>
      </c>
      <c r="AQ1561" s="283">
        <f t="shared" si="1540"/>
        <v>0</v>
      </c>
      <c r="AR1561" s="283">
        <f t="shared" si="1541"/>
        <v>0</v>
      </c>
      <c r="AS1561" s="283">
        <f t="shared" si="1542"/>
        <v>0</v>
      </c>
      <c r="AT1561" s="283">
        <f t="shared" si="1543"/>
        <v>0</v>
      </c>
      <c r="AU1561" s="283">
        <f t="shared" si="1544"/>
        <v>0</v>
      </c>
      <c r="AV1561" s="283">
        <f t="shared" si="1545"/>
        <v>0</v>
      </c>
      <c r="AW1561" s="283">
        <f t="shared" si="1546"/>
        <v>0</v>
      </c>
      <c r="AX1561" s="283">
        <f t="shared" si="1547"/>
        <v>0</v>
      </c>
      <c r="AY1561" s="283">
        <f t="shared" si="1548"/>
        <v>0</v>
      </c>
      <c r="AZ1561" s="283">
        <f t="shared" si="1549"/>
        <v>0</v>
      </c>
      <c r="BA1561" s="283">
        <f t="shared" si="1550"/>
        <v>0</v>
      </c>
      <c r="BB1561" s="283">
        <f t="shared" si="1551"/>
        <v>0</v>
      </c>
      <c r="BC1561" s="283">
        <f t="shared" si="1552"/>
        <v>0</v>
      </c>
      <c r="BD1561" s="283">
        <f t="shared" si="1553"/>
        <v>0</v>
      </c>
      <c r="BE1561" s="283">
        <f t="shared" si="1554"/>
        <v>0</v>
      </c>
      <c r="BF1561" s="283">
        <f t="shared" si="1555"/>
        <v>0</v>
      </c>
      <c r="BG1561" s="283">
        <f t="shared" si="1556"/>
        <v>0</v>
      </c>
      <c r="BH1561" s="283">
        <f t="shared" si="1557"/>
        <v>0</v>
      </c>
    </row>
    <row r="1562" spans="1:60" ht="15" customHeight="1">
      <c r="A1562" s="50"/>
      <c r="B1562" s="90"/>
      <c r="C1562" s="143" t="s">
        <v>2523</v>
      </c>
      <c r="D1562" s="813" t="str">
        <f>IF(CNSIPEE_2024_M2_Secc1!D49="","",CNSIPEE_2024_M2_Secc1!D49)</f>
        <v/>
      </c>
      <c r="E1562" s="814"/>
      <c r="F1562" s="814"/>
      <c r="G1562" s="814"/>
      <c r="H1562" s="814"/>
      <c r="I1562" s="814"/>
      <c r="J1562" s="814"/>
      <c r="K1562" s="814"/>
      <c r="L1562" s="814"/>
      <c r="M1562" s="814"/>
      <c r="N1562" s="814"/>
      <c r="O1562" s="814"/>
      <c r="P1562" s="814"/>
      <c r="Q1562" s="814"/>
      <c r="R1562" s="815"/>
      <c r="S1562" s="100"/>
      <c r="T1562" s="100"/>
      <c r="U1562" s="100"/>
      <c r="V1562" s="100"/>
      <c r="W1562" s="100"/>
      <c r="X1562" s="100"/>
      <c r="Y1562" s="100"/>
      <c r="Z1562" s="100"/>
      <c r="AA1562" s="100"/>
      <c r="AB1562" s="100"/>
      <c r="AC1562" s="100"/>
      <c r="AD1562" s="100"/>
      <c r="AG1562" s="326">
        <f t="shared" si="1530"/>
        <v>0</v>
      </c>
      <c r="AH1562" s="283">
        <f t="shared" si="1531"/>
        <v>0</v>
      </c>
      <c r="AI1562" s="283">
        <f t="shared" si="1532"/>
        <v>0</v>
      </c>
      <c r="AJ1562" s="283">
        <f t="shared" si="1533"/>
        <v>0</v>
      </c>
      <c r="AK1562" s="283">
        <f t="shared" si="1534"/>
        <v>0</v>
      </c>
      <c r="AL1562" s="283">
        <f t="shared" si="1535"/>
        <v>0</v>
      </c>
      <c r="AM1562" s="283">
        <f t="shared" si="1536"/>
        <v>0</v>
      </c>
      <c r="AN1562" s="283">
        <f t="shared" si="1537"/>
        <v>0</v>
      </c>
      <c r="AO1562" s="283">
        <f t="shared" si="1538"/>
        <v>0</v>
      </c>
      <c r="AP1562" s="283">
        <f t="shared" si="1539"/>
        <v>0</v>
      </c>
      <c r="AQ1562" s="283">
        <f t="shared" si="1540"/>
        <v>0</v>
      </c>
      <c r="AR1562" s="283">
        <f t="shared" si="1541"/>
        <v>0</v>
      </c>
      <c r="AS1562" s="283">
        <f t="shared" si="1542"/>
        <v>0</v>
      </c>
      <c r="AT1562" s="283">
        <f t="shared" si="1543"/>
        <v>0</v>
      </c>
      <c r="AU1562" s="283">
        <f t="shared" si="1544"/>
        <v>0</v>
      </c>
      <c r="AV1562" s="283">
        <f t="shared" si="1545"/>
        <v>0</v>
      </c>
      <c r="AW1562" s="283">
        <f t="shared" si="1546"/>
        <v>0</v>
      </c>
      <c r="AX1562" s="283">
        <f t="shared" si="1547"/>
        <v>0</v>
      </c>
      <c r="AY1562" s="283">
        <f t="shared" si="1548"/>
        <v>0</v>
      </c>
      <c r="AZ1562" s="283">
        <f t="shared" si="1549"/>
        <v>0</v>
      </c>
      <c r="BA1562" s="283">
        <f t="shared" si="1550"/>
        <v>0</v>
      </c>
      <c r="BB1562" s="283">
        <f t="shared" si="1551"/>
        <v>0</v>
      </c>
      <c r="BC1562" s="283">
        <f t="shared" si="1552"/>
        <v>0</v>
      </c>
      <c r="BD1562" s="283">
        <f t="shared" si="1553"/>
        <v>0</v>
      </c>
      <c r="BE1562" s="283">
        <f t="shared" si="1554"/>
        <v>0</v>
      </c>
      <c r="BF1562" s="283">
        <f t="shared" si="1555"/>
        <v>0</v>
      </c>
      <c r="BG1562" s="283">
        <f t="shared" si="1556"/>
        <v>0</v>
      </c>
      <c r="BH1562" s="283">
        <f t="shared" si="1557"/>
        <v>0</v>
      </c>
    </row>
    <row r="1563" spans="1:60" ht="15" customHeight="1">
      <c r="A1563" s="50"/>
      <c r="B1563" s="90"/>
      <c r="C1563" s="90"/>
      <c r="D1563" s="90"/>
      <c r="E1563" s="90"/>
      <c r="F1563" s="90"/>
      <c r="G1563" s="90"/>
      <c r="H1563" s="90"/>
      <c r="I1563" s="90"/>
      <c r="R1563" s="99" t="s">
        <v>2649</v>
      </c>
      <c r="S1563" s="124">
        <f>IF(AND(SUM(S1555:S1562)=0,COUNTIF(S1555:S1562,"NS")&gt;0),"NS",
IF(AND(SUM(S1555:S1562)=0,COUNTIF(S1555:S1562,0)&gt;0),0,
IF(AND(SUM(S1555:S1562)=0,COUNTIF(S1555:S1562,"NA")&gt;0),"NA",
SUM(S1555:S1562))))</f>
        <v>0</v>
      </c>
      <c r="T1563" s="124">
        <f t="shared" ref="T1563:AD1563" si="1558">IF(AND(SUM(T1555:T1562)=0,COUNTIF(T1555:T1562,"NS")&gt;0),"NS",
IF(AND(SUM(T1555:T1562)=0,COUNTIF(T1555:T1562,0)&gt;0),0,
IF(AND(SUM(T1555:T1562)=0,COUNTIF(T1555:T1562,"NA")&gt;0),"NA",
SUM(T1555:T1562))))</f>
        <v>0</v>
      </c>
      <c r="U1563" s="124">
        <f t="shared" si="1558"/>
        <v>0</v>
      </c>
      <c r="V1563" s="124">
        <f t="shared" si="1558"/>
        <v>0</v>
      </c>
      <c r="W1563" s="124">
        <f t="shared" si="1558"/>
        <v>0</v>
      </c>
      <c r="X1563" s="124">
        <f t="shared" si="1558"/>
        <v>0</v>
      </c>
      <c r="Y1563" s="124">
        <f t="shared" si="1558"/>
        <v>0</v>
      </c>
      <c r="Z1563" s="124">
        <f t="shared" si="1558"/>
        <v>0</v>
      </c>
      <c r="AA1563" s="124">
        <f t="shared" si="1558"/>
        <v>0</v>
      </c>
      <c r="AB1563" s="124">
        <f t="shared" si="1558"/>
        <v>0</v>
      </c>
      <c r="AC1563" s="124">
        <f t="shared" si="1558"/>
        <v>0</v>
      </c>
      <c r="AD1563" s="124">
        <f t="shared" si="1558"/>
        <v>0</v>
      </c>
      <c r="AG1563" s="354">
        <f>SUM(AG1555:AG1562)</f>
        <v>0</v>
      </c>
      <c r="AH1563" s="406">
        <f>SUM(AH1555:AH1562)</f>
        <v>0</v>
      </c>
      <c r="AI1563" s="326"/>
      <c r="AJ1563" s="352">
        <f>SUM(AJ1555:AJ1562)</f>
        <v>0</v>
      </c>
      <c r="AK1563" s="406">
        <f t="shared" ref="AK1563" si="1559">SUM(AK1555:AK1562)</f>
        <v>0</v>
      </c>
      <c r="AL1563" s="326"/>
      <c r="AM1563" s="352">
        <f t="shared" ref="AM1563:AN1563" si="1560">SUM(AM1555:AM1562)</f>
        <v>0</v>
      </c>
      <c r="AN1563" s="406">
        <f t="shared" si="1560"/>
        <v>0</v>
      </c>
      <c r="AO1563" s="326"/>
      <c r="AP1563" s="352">
        <f t="shared" ref="AP1563:AQ1563" si="1561">SUM(AP1555:AP1562)</f>
        <v>0</v>
      </c>
      <c r="AQ1563" s="406">
        <f t="shared" si="1561"/>
        <v>0</v>
      </c>
      <c r="AR1563" s="326"/>
      <c r="AS1563" s="352">
        <f t="shared" ref="AS1563:AT1563" si="1562">SUM(AS1555:AS1562)</f>
        <v>0</v>
      </c>
      <c r="AT1563" s="406">
        <f t="shared" si="1562"/>
        <v>0</v>
      </c>
      <c r="AU1563" s="326"/>
      <c r="AV1563" s="352">
        <f t="shared" ref="AV1563:AW1563" si="1563">SUM(AV1555:AV1562)</f>
        <v>0</v>
      </c>
      <c r="AW1563" s="406">
        <f t="shared" si="1563"/>
        <v>0</v>
      </c>
      <c r="AX1563" s="326"/>
      <c r="AY1563" s="352">
        <f t="shared" ref="AY1563:AZ1563" si="1564">SUM(AY1555:AY1562)</f>
        <v>0</v>
      </c>
      <c r="AZ1563" s="406">
        <f t="shared" si="1564"/>
        <v>0</v>
      </c>
      <c r="BA1563" s="326"/>
      <c r="BB1563" s="352">
        <f t="shared" ref="BB1563:BC1563" si="1565">SUM(BB1555:BB1562)</f>
        <v>0</v>
      </c>
      <c r="BC1563" s="406">
        <f t="shared" si="1565"/>
        <v>0</v>
      </c>
      <c r="BD1563" s="326"/>
      <c r="BE1563" s="352">
        <f t="shared" ref="BE1563:BF1563" si="1566">SUM(BE1555:BE1562)</f>
        <v>0</v>
      </c>
      <c r="BF1563" s="406">
        <f t="shared" si="1566"/>
        <v>0</v>
      </c>
      <c r="BG1563" s="326"/>
      <c r="BH1563" s="352">
        <f t="shared" ref="BH1563" si="1567">SUM(BH1555:BH1562)</f>
        <v>0</v>
      </c>
    </row>
    <row r="1564" spans="1:60" ht="15" customHeight="1">
      <c r="A1564" s="50"/>
      <c r="B1564" s="38"/>
      <c r="C1564" s="38"/>
      <c r="D1564" s="38"/>
      <c r="E1564" s="38"/>
      <c r="F1564" s="38"/>
      <c r="G1564" s="38"/>
      <c r="H1564" s="38"/>
      <c r="I1564" s="38"/>
      <c r="J1564" s="38"/>
      <c r="K1564" s="38"/>
      <c r="L1564" s="38"/>
      <c r="M1564" s="38"/>
      <c r="N1564" s="38"/>
      <c r="O1564" s="38"/>
      <c r="P1564" s="38"/>
      <c r="Q1564" s="38"/>
      <c r="R1564" s="38"/>
      <c r="S1564" s="38"/>
      <c r="T1564" s="38"/>
      <c r="U1564" s="38"/>
      <c r="V1564" s="38"/>
      <c r="W1564" s="38"/>
      <c r="X1564" s="38"/>
      <c r="Y1564" s="38"/>
      <c r="Z1564" s="38"/>
      <c r="AA1564" s="38"/>
      <c r="AB1564" s="38"/>
      <c r="AC1564" s="38"/>
      <c r="AD1564" s="38"/>
    </row>
    <row r="1565" spans="1:60" ht="15">
      <c r="A1565" s="115"/>
      <c r="AA1565" s="875" t="s">
        <v>2668</v>
      </c>
      <c r="AB1565" s="875"/>
      <c r="AC1565" s="875"/>
      <c r="AD1565" s="875"/>
      <c r="AJ1565" s="356" t="s">
        <v>2650</v>
      </c>
      <c r="AK1565" s="283">
        <f>SUM(AJ1563,AM1563,AP1563,AS1563,AV1563,AY1563,BB1563,BE1563,BH1563)</f>
        <v>0</v>
      </c>
      <c r="AL1565" s="355" t="s">
        <v>2651</v>
      </c>
      <c r="AM1565" s="283">
        <f>SUM(AH1563,AK1563,AN1563,AQ1563,AT1563,AW1563,AZ1563,BC1563,BF1563)</f>
        <v>0</v>
      </c>
      <c r="AN1565" s="283"/>
      <c r="AO1565" s="283"/>
    </row>
    <row r="1566" spans="1:60" ht="24" customHeight="1">
      <c r="A1566" s="142"/>
      <c r="B1566" s="113"/>
      <c r="C1566" s="732" t="s">
        <v>3860</v>
      </c>
      <c r="D1566" s="732"/>
      <c r="E1566" s="732"/>
      <c r="F1566" s="732"/>
      <c r="G1566" s="732"/>
      <c r="H1566" s="732"/>
      <c r="I1566" s="732"/>
      <c r="J1566" s="732"/>
      <c r="K1566" s="732"/>
      <c r="L1566" s="732"/>
      <c r="M1566" s="732"/>
      <c r="N1566" s="732"/>
      <c r="O1566" s="732"/>
      <c r="P1566" s="732" t="s">
        <v>3874</v>
      </c>
      <c r="Q1566" s="732"/>
      <c r="R1566" s="732"/>
      <c r="S1566" s="732"/>
      <c r="T1566" s="732"/>
      <c r="U1566" s="732"/>
      <c r="V1566" s="732"/>
      <c r="W1566" s="732"/>
      <c r="X1566" s="732"/>
      <c r="Y1566" s="732"/>
      <c r="Z1566" s="732"/>
      <c r="AA1566" s="732"/>
      <c r="AB1566" s="732"/>
      <c r="AC1566" s="732"/>
      <c r="AD1566" s="732"/>
      <c r="AJ1566" s="356" t="s">
        <v>2652</v>
      </c>
      <c r="AK1566" s="438">
        <f>IF(AM1565&gt;0,IF(SUM(S1563)&gt;=SUM(V1563,Y1563,AB1563,P1578,S1578,V1578,Y1578,AB1578),0,1),IF(SUM(S1563)&lt;&gt;SUM(V1563,Y1563,AB1563,P1578,S1578,V1578,Y1578,AB1578),1,0))</f>
        <v>0</v>
      </c>
      <c r="AL1566" s="357" t="s">
        <v>2653</v>
      </c>
      <c r="AM1566" s="438">
        <f>IF(AM1565&gt;0,IF(SUM(T1563)&gt;=SUM(W1563,Z1563,AC1563,Q1578,T1578,W1578,Z1578,AC1578),0,1),IF(SUM(T1563)&lt;&gt;SUM(W1563,Z1563,AC1563,Q1578,T1578,W1578,Z1578,AC1578),1,0))</f>
        <v>0</v>
      </c>
      <c r="AN1566" s="357" t="s">
        <v>2654</v>
      </c>
      <c r="AO1566" s="438">
        <f>IF(AM1565&gt;0,IF(SUM(U1563)&gt;=SUM(X1563,AA1563,AD1563,R1578,U1578,X1578,AA1578,AD1578),0,1),IF(SUM(U1563)&lt;&gt;SUM(X1563,AA1563,AD1563,R1578,U1578,X1578,AA1578,AD1578),1,0))</f>
        <v>0</v>
      </c>
    </row>
    <row r="1567" spans="1:60" ht="15" customHeight="1">
      <c r="A1567" s="142"/>
      <c r="B1567" s="113"/>
      <c r="C1567" s="732"/>
      <c r="D1567" s="732"/>
      <c r="E1567" s="732"/>
      <c r="F1567" s="732"/>
      <c r="G1567" s="732"/>
      <c r="H1567" s="732"/>
      <c r="I1567" s="732"/>
      <c r="J1567" s="732"/>
      <c r="K1567" s="732"/>
      <c r="L1567" s="732"/>
      <c r="M1567" s="732"/>
      <c r="N1567" s="732"/>
      <c r="O1567" s="732"/>
      <c r="P1567" s="818" t="s">
        <v>3879</v>
      </c>
      <c r="Q1567" s="819"/>
      <c r="R1567" s="820"/>
      <c r="S1567" s="818" t="s">
        <v>3880</v>
      </c>
      <c r="T1567" s="819"/>
      <c r="U1567" s="820"/>
      <c r="V1567" s="818" t="s">
        <v>3881</v>
      </c>
      <c r="W1567" s="819"/>
      <c r="X1567" s="820"/>
      <c r="Y1567" s="818" t="s">
        <v>3882</v>
      </c>
      <c r="Z1567" s="819"/>
      <c r="AA1567" s="820"/>
      <c r="AB1567" s="818" t="s">
        <v>201</v>
      </c>
      <c r="AC1567" s="819"/>
      <c r="AD1567" s="820"/>
    </row>
    <row r="1568" spans="1:60" ht="15">
      <c r="A1568" s="142"/>
      <c r="C1568" s="732"/>
      <c r="D1568" s="732"/>
      <c r="E1568" s="732"/>
      <c r="F1568" s="732"/>
      <c r="G1568" s="732"/>
      <c r="H1568" s="732"/>
      <c r="I1568" s="732"/>
      <c r="J1568" s="732"/>
      <c r="K1568" s="732"/>
      <c r="L1568" s="732"/>
      <c r="M1568" s="732"/>
      <c r="N1568" s="732"/>
      <c r="O1568" s="732"/>
      <c r="P1568" s="824"/>
      <c r="Q1568" s="825"/>
      <c r="R1568" s="826"/>
      <c r="S1568" s="824"/>
      <c r="T1568" s="825"/>
      <c r="U1568" s="826"/>
      <c r="V1568" s="824"/>
      <c r="W1568" s="825"/>
      <c r="X1568" s="826"/>
      <c r="Y1568" s="824"/>
      <c r="Z1568" s="825"/>
      <c r="AA1568" s="826"/>
      <c r="AB1568" s="824"/>
      <c r="AC1568" s="825"/>
      <c r="AD1568" s="826"/>
      <c r="AG1568" s="1026" t="s">
        <v>3865</v>
      </c>
      <c r="AH1568" s="1026"/>
      <c r="AI1568" s="1026"/>
      <c r="AJ1568" s="920" t="s">
        <v>3813</v>
      </c>
      <c r="AK1568"/>
    </row>
    <row r="1569" spans="1:37" ht="48" customHeight="1">
      <c r="A1569" s="142"/>
      <c r="C1569" s="732"/>
      <c r="D1569" s="732"/>
      <c r="E1569" s="732"/>
      <c r="F1569" s="732"/>
      <c r="G1569" s="732"/>
      <c r="H1569" s="732"/>
      <c r="I1569" s="732"/>
      <c r="J1569" s="732"/>
      <c r="K1569" s="732"/>
      <c r="L1569" s="732"/>
      <c r="M1569" s="732"/>
      <c r="N1569" s="732"/>
      <c r="O1569" s="732"/>
      <c r="P1569" s="127" t="s">
        <v>2635</v>
      </c>
      <c r="Q1569" s="128" t="s">
        <v>2629</v>
      </c>
      <c r="R1569" s="128" t="s">
        <v>2630</v>
      </c>
      <c r="S1569" s="127" t="s">
        <v>2635</v>
      </c>
      <c r="T1569" s="128" t="s">
        <v>2629</v>
      </c>
      <c r="U1569" s="128" t="s">
        <v>2630</v>
      </c>
      <c r="V1569" s="127" t="s">
        <v>2635</v>
      </c>
      <c r="W1569" s="128" t="s">
        <v>2629</v>
      </c>
      <c r="X1569" s="128" t="s">
        <v>2630</v>
      </c>
      <c r="Y1569" s="127" t="s">
        <v>2635</v>
      </c>
      <c r="Z1569" s="128" t="s">
        <v>2629</v>
      </c>
      <c r="AA1569" s="128" t="s">
        <v>2630</v>
      </c>
      <c r="AB1569" s="127" t="s">
        <v>2635</v>
      </c>
      <c r="AC1569" s="128" t="s">
        <v>2629</v>
      </c>
      <c r="AD1569" s="128" t="s">
        <v>2630</v>
      </c>
      <c r="AG1569" s="477" t="s">
        <v>2795</v>
      </c>
      <c r="AH1569" s="478" t="s">
        <v>3177</v>
      </c>
      <c r="AI1569" s="479" t="s">
        <v>3178</v>
      </c>
      <c r="AJ1569" s="920"/>
      <c r="AK1569" s="365" t="s">
        <v>2620</v>
      </c>
    </row>
    <row r="1570" spans="1:37" ht="15">
      <c r="A1570" s="50"/>
      <c r="B1570" s="90"/>
      <c r="C1570" s="97" t="s">
        <v>2516</v>
      </c>
      <c r="D1570" s="796" t="str">
        <f>IF(CNSIPEE_2024_M2_Secc1!D42="","",CNSIPEE_2024_M2_Secc1!D42)</f>
        <v/>
      </c>
      <c r="E1570" s="796"/>
      <c r="F1570" s="796"/>
      <c r="G1570" s="796"/>
      <c r="H1570" s="796"/>
      <c r="I1570" s="796"/>
      <c r="J1570" s="796"/>
      <c r="K1570" s="796"/>
      <c r="L1570" s="796"/>
      <c r="M1570" s="796"/>
      <c r="N1570" s="796"/>
      <c r="O1570" s="796"/>
      <c r="P1570" s="100"/>
      <c r="Q1570" s="100"/>
      <c r="R1570" s="100"/>
      <c r="S1570" s="100"/>
      <c r="T1570" s="100"/>
      <c r="U1570" s="100"/>
      <c r="V1570" s="100"/>
      <c r="W1570" s="100"/>
      <c r="X1570" s="100"/>
      <c r="Y1570" s="100"/>
      <c r="Z1570" s="100"/>
      <c r="AA1570" s="100"/>
      <c r="AB1570" s="100"/>
      <c r="AC1570" s="100"/>
      <c r="AD1570" s="100"/>
      <c r="AG1570">
        <f>IF(AND(S1555="NS",J1435="NS"),0,IF(AND(S1555="NA",J1435="NA"),0,IF(S1555=J1435,0,1)))</f>
        <v>0</v>
      </c>
      <c r="AH1570">
        <f t="shared" ref="AH1570" si="1568">IF(AND(T1555="NS",K1435="NS"),0,IF(AND(T1555="NA",K1435="NA"),0,IF(T1555=K1435,0,1)))</f>
        <v>0</v>
      </c>
      <c r="AI1570">
        <f>IF(AND(U1555="NS",L1435="NS"),0,IF(AND(U1555="NA",L1435="NA"),0,IF(U1555=L1435,0,1)))</f>
        <v>0</v>
      </c>
      <c r="AJ1570">
        <f>IF(AND($G1435&lt;&gt;"",$G1435&lt;&gt;1,COUNTA(S1555:AD1555,P1570:AD1570)&gt;0),1,0)</f>
        <v>0</v>
      </c>
      <c r="AK1570">
        <f>IF(AND($AH$1423=1,COUNTA(S1555:AD1562,P1570:AD1577)&gt;0),1,0)</f>
        <v>0</v>
      </c>
    </row>
    <row r="1571" spans="1:37" ht="15" customHeight="1">
      <c r="A1571" s="50"/>
      <c r="B1571" s="90"/>
      <c r="C1571" s="143" t="s">
        <v>2517</v>
      </c>
      <c r="D1571" s="796" t="str">
        <f>IF(CNSIPEE_2024_M2_Secc1!D43="","",CNSIPEE_2024_M2_Secc1!D43)</f>
        <v/>
      </c>
      <c r="E1571" s="796"/>
      <c r="F1571" s="796"/>
      <c r="G1571" s="796"/>
      <c r="H1571" s="796"/>
      <c r="I1571" s="796"/>
      <c r="J1571" s="796"/>
      <c r="K1571" s="796"/>
      <c r="L1571" s="796"/>
      <c r="M1571" s="796"/>
      <c r="N1571" s="796"/>
      <c r="O1571" s="796"/>
      <c r="P1571" s="100"/>
      <c r="Q1571" s="100"/>
      <c r="R1571" s="100"/>
      <c r="S1571" s="100"/>
      <c r="T1571" s="100"/>
      <c r="U1571" s="100"/>
      <c r="V1571" s="100"/>
      <c r="W1571" s="100"/>
      <c r="X1571" s="100"/>
      <c r="Y1571" s="100"/>
      <c r="Z1571" s="100"/>
      <c r="AA1571" s="100"/>
      <c r="AB1571" s="100"/>
      <c r="AC1571" s="100"/>
      <c r="AD1571" s="100"/>
      <c r="AG1571">
        <f t="shared" ref="AG1571:AG1577" si="1569">IF(AND(S1556="NS",J1436="NS"),0,IF(AND(S1556="NA",J1436="NA"),0,IF(S1556=J1436,0,1)))</f>
        <v>0</v>
      </c>
      <c r="AH1571">
        <f t="shared" ref="AH1571:AI1577" si="1570">IF(AND(T1556="NS",K1436="NS"),0,IF(AND(T1556="NA",K1436="NA"),0,IF(T1556=K1436,0,1)))</f>
        <v>0</v>
      </c>
      <c r="AI1571">
        <f t="shared" si="1570"/>
        <v>0</v>
      </c>
      <c r="AJ1571">
        <f t="shared" ref="AJ1571:AJ1577" si="1571">IF(AND($G1436&lt;&gt;"",$G1436&lt;&gt;1,COUNTA(S1556:AD1556,P1571:AD1571)&gt;0),1,0)</f>
        <v>0</v>
      </c>
    </row>
    <row r="1572" spans="1:37" ht="15" customHeight="1">
      <c r="A1572" s="50"/>
      <c r="B1572" s="90"/>
      <c r="C1572" s="143" t="s">
        <v>2518</v>
      </c>
      <c r="D1572" s="796" t="str">
        <f>IF(CNSIPEE_2024_M2_Secc1!D44="","",CNSIPEE_2024_M2_Secc1!D44)</f>
        <v/>
      </c>
      <c r="E1572" s="796"/>
      <c r="F1572" s="796"/>
      <c r="G1572" s="796"/>
      <c r="H1572" s="796"/>
      <c r="I1572" s="796"/>
      <c r="J1572" s="796"/>
      <c r="K1572" s="796"/>
      <c r="L1572" s="796"/>
      <c r="M1572" s="796"/>
      <c r="N1572" s="796"/>
      <c r="O1572" s="796"/>
      <c r="P1572" s="100"/>
      <c r="Q1572" s="100"/>
      <c r="R1572" s="100"/>
      <c r="S1572" s="100"/>
      <c r="T1572" s="100"/>
      <c r="U1572" s="100"/>
      <c r="V1572" s="100"/>
      <c r="W1572" s="100"/>
      <c r="X1572" s="100"/>
      <c r="Y1572" s="100"/>
      <c r="Z1572" s="100"/>
      <c r="AA1572" s="100"/>
      <c r="AB1572" s="100"/>
      <c r="AC1572" s="100"/>
      <c r="AD1572" s="100"/>
      <c r="AG1572">
        <f t="shared" si="1569"/>
        <v>0</v>
      </c>
      <c r="AH1572">
        <f t="shared" si="1570"/>
        <v>0</v>
      </c>
      <c r="AI1572">
        <f t="shared" ref="AI1572:AI1577" si="1572">IF(AND(U1557="NS",L1437="NS"),0,IF(AND(U1557="NA",L1437="NA"),0,IF(U1557=L1437,0,1)))</f>
        <v>0</v>
      </c>
      <c r="AJ1572">
        <f t="shared" si="1571"/>
        <v>0</v>
      </c>
    </row>
    <row r="1573" spans="1:37" ht="15" customHeight="1">
      <c r="A1573" s="50"/>
      <c r="B1573" s="90"/>
      <c r="C1573" s="143" t="s">
        <v>2519</v>
      </c>
      <c r="D1573" s="796" t="str">
        <f>IF(CNSIPEE_2024_M2_Secc1!D45="","",CNSIPEE_2024_M2_Secc1!D45)</f>
        <v/>
      </c>
      <c r="E1573" s="796"/>
      <c r="F1573" s="796"/>
      <c r="G1573" s="796"/>
      <c r="H1573" s="796"/>
      <c r="I1573" s="796"/>
      <c r="J1573" s="796"/>
      <c r="K1573" s="796"/>
      <c r="L1573" s="796"/>
      <c r="M1573" s="796"/>
      <c r="N1573" s="796"/>
      <c r="O1573" s="796"/>
      <c r="P1573" s="100"/>
      <c r="Q1573" s="100"/>
      <c r="R1573" s="100"/>
      <c r="S1573" s="100"/>
      <c r="T1573" s="100"/>
      <c r="U1573" s="100"/>
      <c r="V1573" s="100"/>
      <c r="W1573" s="100"/>
      <c r="X1573" s="100"/>
      <c r="Y1573" s="100"/>
      <c r="Z1573" s="100"/>
      <c r="AA1573" s="100"/>
      <c r="AB1573" s="100"/>
      <c r="AC1573" s="100"/>
      <c r="AD1573" s="100"/>
      <c r="AG1573">
        <f t="shared" si="1569"/>
        <v>0</v>
      </c>
      <c r="AH1573">
        <f t="shared" si="1570"/>
        <v>0</v>
      </c>
      <c r="AI1573">
        <f t="shared" si="1572"/>
        <v>0</v>
      </c>
      <c r="AJ1573">
        <f t="shared" si="1571"/>
        <v>0</v>
      </c>
    </row>
    <row r="1574" spans="1:37" ht="15" customHeight="1">
      <c r="A1574" s="50"/>
      <c r="B1574" s="90"/>
      <c r="C1574" s="143" t="s">
        <v>2520</v>
      </c>
      <c r="D1574" s="796" t="str">
        <f>IF(CNSIPEE_2024_M2_Secc1!D46="","",CNSIPEE_2024_M2_Secc1!D46)</f>
        <v/>
      </c>
      <c r="E1574" s="796"/>
      <c r="F1574" s="796"/>
      <c r="G1574" s="796"/>
      <c r="H1574" s="796"/>
      <c r="I1574" s="796"/>
      <c r="J1574" s="796"/>
      <c r="K1574" s="796"/>
      <c r="L1574" s="796"/>
      <c r="M1574" s="796"/>
      <c r="N1574" s="796"/>
      <c r="O1574" s="796"/>
      <c r="P1574" s="100"/>
      <c r="Q1574" s="100"/>
      <c r="R1574" s="100"/>
      <c r="S1574" s="100"/>
      <c r="T1574" s="100"/>
      <c r="U1574" s="100"/>
      <c r="V1574" s="100"/>
      <c r="W1574" s="100"/>
      <c r="X1574" s="100"/>
      <c r="Y1574" s="100"/>
      <c r="Z1574" s="100"/>
      <c r="AA1574" s="100"/>
      <c r="AB1574" s="100"/>
      <c r="AC1574" s="100"/>
      <c r="AD1574" s="100"/>
      <c r="AG1574">
        <f t="shared" si="1569"/>
        <v>0</v>
      </c>
      <c r="AH1574">
        <f t="shared" si="1570"/>
        <v>0</v>
      </c>
      <c r="AI1574">
        <f t="shared" si="1572"/>
        <v>0</v>
      </c>
      <c r="AJ1574">
        <f t="shared" si="1571"/>
        <v>0</v>
      </c>
    </row>
    <row r="1575" spans="1:37" ht="15" customHeight="1">
      <c r="A1575" s="50"/>
      <c r="B1575" s="90"/>
      <c r="C1575" s="143" t="s">
        <v>2521</v>
      </c>
      <c r="D1575" s="796" t="str">
        <f>IF(CNSIPEE_2024_M2_Secc1!D47="","",CNSIPEE_2024_M2_Secc1!D47)</f>
        <v/>
      </c>
      <c r="E1575" s="796"/>
      <c r="F1575" s="796"/>
      <c r="G1575" s="796"/>
      <c r="H1575" s="796"/>
      <c r="I1575" s="796"/>
      <c r="J1575" s="796"/>
      <c r="K1575" s="796"/>
      <c r="L1575" s="796"/>
      <c r="M1575" s="796"/>
      <c r="N1575" s="796"/>
      <c r="O1575" s="796"/>
      <c r="P1575" s="100"/>
      <c r="Q1575" s="100"/>
      <c r="R1575" s="100"/>
      <c r="S1575" s="100"/>
      <c r="T1575" s="100"/>
      <c r="U1575" s="100"/>
      <c r="V1575" s="100"/>
      <c r="W1575" s="100"/>
      <c r="X1575" s="100"/>
      <c r="Y1575" s="100"/>
      <c r="Z1575" s="100"/>
      <c r="AA1575" s="100"/>
      <c r="AB1575" s="100"/>
      <c r="AC1575" s="100"/>
      <c r="AD1575" s="100"/>
      <c r="AG1575">
        <f t="shared" si="1569"/>
        <v>0</v>
      </c>
      <c r="AH1575">
        <f t="shared" si="1570"/>
        <v>0</v>
      </c>
      <c r="AI1575">
        <f t="shared" si="1572"/>
        <v>0</v>
      </c>
      <c r="AJ1575">
        <f t="shared" si="1571"/>
        <v>0</v>
      </c>
    </row>
    <row r="1576" spans="1:37" ht="15" customHeight="1">
      <c r="A1576" s="50"/>
      <c r="B1576" s="90"/>
      <c r="C1576" s="143" t="s">
        <v>2522</v>
      </c>
      <c r="D1576" s="796" t="str">
        <f>IF(CNSIPEE_2024_M2_Secc1!D48="","",CNSIPEE_2024_M2_Secc1!D48)</f>
        <v/>
      </c>
      <c r="E1576" s="796"/>
      <c r="F1576" s="796"/>
      <c r="G1576" s="796"/>
      <c r="H1576" s="796"/>
      <c r="I1576" s="796"/>
      <c r="J1576" s="796"/>
      <c r="K1576" s="796"/>
      <c r="L1576" s="796"/>
      <c r="M1576" s="796"/>
      <c r="N1576" s="796"/>
      <c r="O1576" s="796"/>
      <c r="P1576" s="100"/>
      <c r="Q1576" s="100"/>
      <c r="R1576" s="100"/>
      <c r="S1576" s="100"/>
      <c r="T1576" s="100"/>
      <c r="U1576" s="100"/>
      <c r="V1576" s="100"/>
      <c r="W1576" s="100"/>
      <c r="X1576" s="100"/>
      <c r="Y1576" s="100"/>
      <c r="Z1576" s="100"/>
      <c r="AA1576" s="100"/>
      <c r="AB1576" s="100"/>
      <c r="AC1576" s="100"/>
      <c r="AD1576" s="100"/>
      <c r="AG1576">
        <f t="shared" si="1569"/>
        <v>0</v>
      </c>
      <c r="AH1576">
        <f t="shared" si="1570"/>
        <v>0</v>
      </c>
      <c r="AI1576">
        <f t="shared" si="1572"/>
        <v>0</v>
      </c>
      <c r="AJ1576">
        <f t="shared" si="1571"/>
        <v>0</v>
      </c>
    </row>
    <row r="1577" spans="1:37" ht="15" customHeight="1">
      <c r="A1577" s="50"/>
      <c r="B1577" s="90"/>
      <c r="C1577" s="143" t="s">
        <v>2523</v>
      </c>
      <c r="D1577" s="796" t="str">
        <f>IF(CNSIPEE_2024_M2_Secc1!D49="","",CNSIPEE_2024_M2_Secc1!D49)</f>
        <v/>
      </c>
      <c r="E1577" s="796"/>
      <c r="F1577" s="796"/>
      <c r="G1577" s="796"/>
      <c r="H1577" s="796"/>
      <c r="I1577" s="796"/>
      <c r="J1577" s="796"/>
      <c r="K1577" s="796"/>
      <c r="L1577" s="796"/>
      <c r="M1577" s="796"/>
      <c r="N1577" s="796"/>
      <c r="O1577" s="796"/>
      <c r="P1577" s="100"/>
      <c r="Q1577" s="100"/>
      <c r="R1577" s="100"/>
      <c r="S1577" s="100"/>
      <c r="T1577" s="100"/>
      <c r="U1577" s="100"/>
      <c r="V1577" s="100"/>
      <c r="W1577" s="100"/>
      <c r="X1577" s="100"/>
      <c r="Y1577" s="100"/>
      <c r="Z1577" s="100"/>
      <c r="AA1577" s="100"/>
      <c r="AB1577" s="100"/>
      <c r="AC1577" s="100"/>
      <c r="AD1577" s="100"/>
      <c r="AG1577">
        <f t="shared" si="1569"/>
        <v>0</v>
      </c>
      <c r="AH1577">
        <f t="shared" si="1570"/>
        <v>0</v>
      </c>
      <c r="AI1577">
        <f t="shared" si="1572"/>
        <v>0</v>
      </c>
      <c r="AJ1577">
        <f t="shared" si="1571"/>
        <v>0</v>
      </c>
    </row>
    <row r="1578" spans="1:37" ht="15" customHeight="1">
      <c r="A1578" s="50"/>
      <c r="B1578" s="90"/>
      <c r="C1578" s="90"/>
      <c r="D1578" s="90"/>
      <c r="E1578" s="90"/>
      <c r="F1578" s="117"/>
      <c r="P1578" s="124">
        <f>IF(AND(SUM(P1570:P1577)=0,COUNTIF(P1570:P1577,"NS")&gt;0),"NS",
IF(AND(SUM(P1570:P1577)=0,COUNTIF(P1570:P1577,0)&gt;0),0,
IF(AND(SUM(P1570:P1577)=0,COUNTIF(P1570:P1577,"NA")&gt;0),"NA",
SUM(P1570:P1577))))</f>
        <v>0</v>
      </c>
      <c r="Q1578" s="124">
        <f t="shared" ref="Q1578:AD1578" si="1573">IF(AND(SUM(Q1570:Q1577)=0,COUNTIF(Q1570:Q1577,"NS")&gt;0),"NS",
IF(AND(SUM(Q1570:Q1577)=0,COUNTIF(Q1570:Q1577,0)&gt;0),0,
IF(AND(SUM(Q1570:Q1577)=0,COUNTIF(Q1570:Q1577,"NA")&gt;0),"NA",
SUM(Q1570:Q1577))))</f>
        <v>0</v>
      </c>
      <c r="R1578" s="124">
        <f t="shared" si="1573"/>
        <v>0</v>
      </c>
      <c r="S1578" s="124">
        <f t="shared" si="1573"/>
        <v>0</v>
      </c>
      <c r="T1578" s="124">
        <f t="shared" si="1573"/>
        <v>0</v>
      </c>
      <c r="U1578" s="124">
        <f t="shared" si="1573"/>
        <v>0</v>
      </c>
      <c r="V1578" s="124">
        <f t="shared" si="1573"/>
        <v>0</v>
      </c>
      <c r="W1578" s="124">
        <f t="shared" si="1573"/>
        <v>0</v>
      </c>
      <c r="X1578" s="124">
        <f t="shared" si="1573"/>
        <v>0</v>
      </c>
      <c r="Y1578" s="124">
        <f t="shared" si="1573"/>
        <v>0</v>
      </c>
      <c r="Z1578" s="124">
        <f t="shared" si="1573"/>
        <v>0</v>
      </c>
      <c r="AA1578" s="124">
        <f t="shared" si="1573"/>
        <v>0</v>
      </c>
      <c r="AB1578" s="124">
        <f t="shared" si="1573"/>
        <v>0</v>
      </c>
      <c r="AC1578" s="124">
        <f t="shared" si="1573"/>
        <v>0</v>
      </c>
      <c r="AD1578" s="124">
        <f t="shared" si="1573"/>
        <v>0</v>
      </c>
      <c r="AG1578" s="477">
        <f>SUM(AG1570:AG1577)</f>
        <v>0</v>
      </c>
      <c r="AH1578" s="478">
        <f>SUM(AH1570:AH1577)</f>
        <v>0</v>
      </c>
      <c r="AI1578" s="479">
        <f>SUM(AI1570:AI1577)</f>
        <v>0</v>
      </c>
      <c r="AJ1578" s="365">
        <f>SUM(AJ1570:AJ1577)</f>
        <v>0</v>
      </c>
    </row>
    <row r="1579" spans="1:37" ht="15">
      <c r="A1579" s="94"/>
      <c r="AG1579"/>
      <c r="AH1579"/>
      <c r="AI1579" s="480">
        <f>SUM(AG1578:AI1578)</f>
        <v>0</v>
      </c>
      <c r="AJ1579" s="327"/>
    </row>
    <row r="1580" spans="1:37" ht="24" customHeight="1">
      <c r="A1580" s="94"/>
      <c r="C1580" s="764" t="s">
        <v>2611</v>
      </c>
      <c r="D1580" s="764"/>
      <c r="E1580" s="764"/>
      <c r="F1580" s="764"/>
      <c r="G1580" s="764"/>
      <c r="H1580" s="764"/>
      <c r="I1580" s="764"/>
      <c r="J1580" s="764"/>
      <c r="K1580" s="764"/>
      <c r="L1580" s="764"/>
      <c r="M1580" s="764"/>
      <c r="N1580" s="764"/>
      <c r="O1580" s="764"/>
      <c r="P1580" s="764"/>
      <c r="Q1580" s="764"/>
      <c r="R1580" s="764"/>
      <c r="S1580" s="764"/>
      <c r="T1580" s="764"/>
      <c r="U1580" s="764"/>
      <c r="V1580" s="764"/>
      <c r="W1580" s="764"/>
      <c r="X1580" s="764"/>
      <c r="Y1580" s="764"/>
      <c r="Z1580" s="764"/>
      <c r="AA1580" s="764"/>
      <c r="AB1580" s="764"/>
      <c r="AC1580" s="764"/>
      <c r="AD1580" s="764"/>
    </row>
    <row r="1581" spans="1:37" ht="60" customHeight="1">
      <c r="A1581" s="94"/>
      <c r="C1581" s="882"/>
      <c r="D1581" s="883"/>
      <c r="E1581" s="883"/>
      <c r="F1581" s="883"/>
      <c r="G1581" s="883"/>
      <c r="H1581" s="883"/>
      <c r="I1581" s="883"/>
      <c r="J1581" s="883"/>
      <c r="K1581" s="883"/>
      <c r="L1581" s="883"/>
      <c r="M1581" s="883"/>
      <c r="N1581" s="883"/>
      <c r="O1581" s="883"/>
      <c r="P1581" s="883"/>
      <c r="Q1581" s="883"/>
      <c r="R1581" s="883"/>
      <c r="S1581" s="883"/>
      <c r="T1581" s="883"/>
      <c r="U1581" s="883"/>
      <c r="V1581" s="883"/>
      <c r="W1581" s="883"/>
      <c r="X1581" s="883"/>
      <c r="Y1581" s="883"/>
      <c r="Z1581" s="883"/>
      <c r="AA1581" s="883"/>
      <c r="AB1581" s="883"/>
      <c r="AC1581" s="883"/>
      <c r="AD1581" s="884"/>
    </row>
    <row r="1582" spans="1:37" ht="15" customHeight="1">
      <c r="A1582" s="91"/>
      <c r="B1582" s="794" t="str">
        <f>IF(AG1563&gt;0,"Favor de ingresar toda la información requerida en la pregunta y/o verifique que no tenga información en celdas sombreadas","")</f>
        <v/>
      </c>
      <c r="C1582" s="794"/>
      <c r="D1582" s="794"/>
      <c r="E1582" s="794"/>
      <c r="F1582" s="794"/>
      <c r="G1582" s="794"/>
      <c r="H1582" s="794"/>
      <c r="I1582" s="794"/>
      <c r="J1582" s="794"/>
      <c r="K1582" s="794"/>
      <c r="L1582" s="794"/>
      <c r="M1582" s="794"/>
      <c r="N1582" s="794"/>
      <c r="O1582" s="794"/>
      <c r="P1582" s="794"/>
      <c r="Q1582" s="794"/>
      <c r="R1582" s="794"/>
      <c r="S1582" s="794"/>
      <c r="T1582" s="794"/>
      <c r="U1582" s="794"/>
      <c r="V1582" s="794"/>
      <c r="W1582" s="794"/>
      <c r="X1582" s="794"/>
      <c r="Y1582" s="794"/>
      <c r="Z1582" s="794"/>
      <c r="AA1582" s="794"/>
      <c r="AB1582" s="794"/>
      <c r="AC1582" s="794"/>
      <c r="AD1582" s="794"/>
      <c r="AE1582"/>
    </row>
    <row r="1583" spans="1:37" ht="15" customHeight="1">
      <c r="A1583" s="91"/>
      <c r="B1583" s="795" t="str">
        <f>IF(AM1565&gt;0,"Alerta: debido a que cuenta con registros NS, debe proporcionar una justificación en el area de comentarios al final de la pregunta","")</f>
        <v/>
      </c>
      <c r="C1583" s="795"/>
      <c r="D1583" s="795"/>
      <c r="E1583" s="795"/>
      <c r="F1583" s="795"/>
      <c r="G1583" s="795"/>
      <c r="H1583" s="795"/>
      <c r="I1583" s="795"/>
      <c r="J1583" s="795"/>
      <c r="K1583" s="795"/>
      <c r="L1583" s="795"/>
      <c r="M1583" s="795"/>
      <c r="N1583" s="795"/>
      <c r="O1583" s="795"/>
      <c r="P1583" s="795"/>
      <c r="Q1583" s="795"/>
      <c r="R1583" s="795"/>
      <c r="S1583" s="795"/>
      <c r="T1583" s="795"/>
      <c r="U1583" s="795"/>
      <c r="V1583" s="795"/>
      <c r="W1583" s="795"/>
      <c r="X1583" s="795"/>
      <c r="Y1583" s="795"/>
      <c r="Z1583" s="795"/>
      <c r="AA1583" s="795"/>
      <c r="AB1583" s="795"/>
      <c r="AC1583" s="795"/>
      <c r="AD1583" s="795"/>
      <c r="AE1583"/>
    </row>
    <row r="1584" spans="1:37" ht="15" customHeight="1">
      <c r="A1584" s="91"/>
      <c r="B1584" s="794" t="str">
        <f>IF(OR(AK1565&gt;0,AK1566&gt;0,AM1566&gt;0,AO1566&gt;0),"Favor de revisar la suma y consistencia de totales y/o subtotales por filas (numéricos y NS)","")</f>
        <v/>
      </c>
      <c r="C1584" s="794"/>
      <c r="D1584" s="794"/>
      <c r="E1584" s="794"/>
      <c r="F1584" s="794"/>
      <c r="G1584" s="794"/>
      <c r="H1584" s="794"/>
      <c r="I1584" s="794"/>
      <c r="J1584" s="794"/>
      <c r="K1584" s="794"/>
      <c r="L1584" s="794"/>
      <c r="M1584" s="794"/>
      <c r="N1584" s="794"/>
      <c r="O1584" s="794"/>
      <c r="P1584" s="794"/>
      <c r="Q1584" s="794"/>
      <c r="R1584" s="794"/>
      <c r="S1584" s="794"/>
      <c r="T1584" s="794"/>
      <c r="U1584" s="794"/>
      <c r="V1584" s="794"/>
      <c r="W1584" s="794"/>
      <c r="X1584" s="794"/>
      <c r="Y1584" s="794"/>
      <c r="Z1584" s="794"/>
      <c r="AA1584" s="794"/>
      <c r="AB1584" s="794"/>
      <c r="AC1584" s="794"/>
      <c r="AD1584" s="794"/>
      <c r="AE1584"/>
    </row>
    <row r="1585" spans="1:55" ht="15" customHeight="1">
      <c r="A1585" s="91"/>
      <c r="B1585" s="794" t="str">
        <f>IF(AI1579&gt;0,"Favor de revisar la instrucción 3 del apartado II.6.2 Personal fallecido , debido a que no se cumplen con los criterios mencionados","")</f>
        <v/>
      </c>
      <c r="C1585" s="794"/>
      <c r="D1585" s="794"/>
      <c r="E1585" s="794"/>
      <c r="F1585" s="794"/>
      <c r="G1585" s="794"/>
      <c r="H1585" s="794"/>
      <c r="I1585" s="794"/>
      <c r="J1585" s="794"/>
      <c r="K1585" s="794"/>
      <c r="L1585" s="794"/>
      <c r="M1585" s="794"/>
      <c r="N1585" s="794"/>
      <c r="O1585" s="794"/>
      <c r="P1585" s="794"/>
      <c r="Q1585" s="794"/>
      <c r="R1585" s="794"/>
      <c r="S1585" s="794"/>
      <c r="T1585" s="794"/>
      <c r="U1585" s="794"/>
      <c r="V1585" s="794"/>
      <c r="W1585" s="794"/>
      <c r="X1585" s="794"/>
      <c r="Y1585" s="794"/>
      <c r="Z1585" s="794"/>
      <c r="AA1585" s="794"/>
      <c r="AB1585" s="794"/>
      <c r="AC1585" s="794"/>
      <c r="AD1585" s="794"/>
      <c r="AE1585" s="794"/>
    </row>
    <row r="1586" spans="1:55" ht="15" customHeight="1">
      <c r="A1586" s="91"/>
      <c r="AE1586"/>
    </row>
    <row r="1587" spans="1:55" ht="15" customHeight="1">
      <c r="A1587" s="91"/>
      <c r="AE1587"/>
    </row>
    <row r="1588" spans="1:55" ht="24" customHeight="1">
      <c r="A1588" s="49" t="s">
        <v>3883</v>
      </c>
      <c r="B1588" s="829" t="s">
        <v>3884</v>
      </c>
      <c r="C1588" s="829"/>
      <c r="D1588" s="829"/>
      <c r="E1588" s="829"/>
      <c r="F1588" s="829"/>
      <c r="G1588" s="829"/>
      <c r="H1588" s="829"/>
      <c r="I1588" s="829"/>
      <c r="J1588" s="829"/>
      <c r="K1588" s="829"/>
      <c r="L1588" s="829"/>
      <c r="M1588" s="829"/>
      <c r="N1588" s="829"/>
      <c r="O1588" s="829"/>
      <c r="P1588" s="829"/>
      <c r="Q1588" s="829"/>
      <c r="R1588" s="829"/>
      <c r="S1588" s="829"/>
      <c r="T1588" s="829"/>
      <c r="U1588" s="829"/>
      <c r="V1588" s="829"/>
      <c r="W1588" s="829"/>
      <c r="X1588" s="829"/>
      <c r="Y1588" s="829"/>
      <c r="Z1588" s="829"/>
      <c r="AA1588" s="829"/>
      <c r="AB1588" s="829"/>
      <c r="AC1588" s="829"/>
      <c r="AD1588" s="829"/>
    </row>
    <row r="1589" spans="1:55" ht="24" customHeight="1">
      <c r="A1589" s="142"/>
      <c r="B1589" s="142"/>
      <c r="C1589" s="754" t="s">
        <v>3885</v>
      </c>
      <c r="D1589" s="754"/>
      <c r="E1589" s="754"/>
      <c r="F1589" s="754"/>
      <c r="G1589" s="754"/>
      <c r="H1589" s="754"/>
      <c r="I1589" s="754"/>
      <c r="J1589" s="754"/>
      <c r="K1589" s="754"/>
      <c r="L1589" s="754"/>
      <c r="M1589" s="754"/>
      <c r="N1589" s="754"/>
      <c r="O1589" s="754"/>
      <c r="P1589" s="754"/>
      <c r="Q1589" s="754"/>
      <c r="R1589" s="754"/>
      <c r="S1589" s="754"/>
      <c r="T1589" s="754"/>
      <c r="U1589" s="754"/>
      <c r="V1589" s="754"/>
      <c r="W1589" s="754"/>
      <c r="X1589" s="754"/>
      <c r="Y1589" s="754"/>
      <c r="Z1589" s="754"/>
      <c r="AA1589" s="754"/>
      <c r="AB1589" s="754"/>
      <c r="AC1589" s="754"/>
      <c r="AD1589" s="754"/>
    </row>
    <row r="1590" spans="1:55" ht="24" customHeight="1">
      <c r="A1590" s="142"/>
      <c r="B1590" s="142"/>
      <c r="C1590" s="754" t="s">
        <v>3886</v>
      </c>
      <c r="D1590" s="754"/>
      <c r="E1590" s="754"/>
      <c r="F1590" s="754"/>
      <c r="G1590" s="754"/>
      <c r="H1590" s="754"/>
      <c r="I1590" s="754"/>
      <c r="J1590" s="754"/>
      <c r="K1590" s="754"/>
      <c r="L1590" s="754"/>
      <c r="M1590" s="754"/>
      <c r="N1590" s="754"/>
      <c r="O1590" s="754"/>
      <c r="P1590" s="754"/>
      <c r="Q1590" s="754"/>
      <c r="R1590" s="754"/>
      <c r="S1590" s="754"/>
      <c r="T1590" s="754"/>
      <c r="U1590" s="754"/>
      <c r="V1590" s="754"/>
      <c r="W1590" s="754"/>
      <c r="X1590" s="754"/>
      <c r="Y1590" s="754"/>
      <c r="Z1590" s="754"/>
      <c r="AA1590" s="754"/>
      <c r="AB1590" s="754"/>
      <c r="AC1590" s="754"/>
      <c r="AD1590" s="754"/>
    </row>
    <row r="1591" spans="1:55" ht="36" customHeight="1">
      <c r="A1591" s="50"/>
      <c r="B1591" s="38"/>
      <c r="C1591" s="830" t="s">
        <v>3887</v>
      </c>
      <c r="D1591" s="830"/>
      <c r="E1591" s="830"/>
      <c r="F1591" s="830"/>
      <c r="G1591" s="830"/>
      <c r="H1591" s="830"/>
      <c r="I1591" s="830"/>
      <c r="J1591" s="830"/>
      <c r="K1591" s="830"/>
      <c r="L1591" s="830"/>
      <c r="M1591" s="830"/>
      <c r="N1591" s="830"/>
      <c r="O1591" s="830"/>
      <c r="P1591" s="830"/>
      <c r="Q1591" s="830"/>
      <c r="R1591" s="830"/>
      <c r="S1591" s="830"/>
      <c r="T1591" s="830"/>
      <c r="U1591" s="830"/>
      <c r="V1591" s="830"/>
      <c r="W1591" s="830"/>
      <c r="X1591" s="830"/>
      <c r="Y1591" s="830"/>
      <c r="Z1591" s="830"/>
      <c r="AA1591" s="830"/>
      <c r="AB1591" s="830"/>
      <c r="AC1591" s="830"/>
      <c r="AD1591" s="830"/>
    </row>
    <row r="1592" spans="1:55" ht="24" customHeight="1">
      <c r="A1592" s="50"/>
      <c r="B1592" s="38"/>
      <c r="C1592" s="830" t="s">
        <v>3888</v>
      </c>
      <c r="D1592" s="830"/>
      <c r="E1592" s="830"/>
      <c r="F1592" s="830"/>
      <c r="G1592" s="830"/>
      <c r="H1592" s="830"/>
      <c r="I1592" s="830"/>
      <c r="J1592" s="830"/>
      <c r="K1592" s="830"/>
      <c r="L1592" s="830"/>
      <c r="M1592" s="830"/>
      <c r="N1592" s="830"/>
      <c r="O1592" s="830"/>
      <c r="P1592" s="830"/>
      <c r="Q1592" s="830"/>
      <c r="R1592" s="830"/>
      <c r="S1592" s="830"/>
      <c r="T1592" s="830"/>
      <c r="U1592" s="830"/>
      <c r="V1592" s="830"/>
      <c r="W1592" s="830"/>
      <c r="X1592" s="830"/>
      <c r="Y1592" s="830"/>
      <c r="Z1592" s="830"/>
      <c r="AA1592" s="830"/>
      <c r="AB1592" s="830"/>
      <c r="AC1592" s="830"/>
      <c r="AD1592" s="830"/>
    </row>
    <row r="1593" spans="1:55" ht="15">
      <c r="A1593" s="49"/>
      <c r="B1593" s="90"/>
      <c r="C1593" s="90"/>
      <c r="D1593" s="90"/>
      <c r="E1593" s="90"/>
      <c r="F1593" s="90"/>
      <c r="G1593" s="90"/>
      <c r="H1593" s="90"/>
      <c r="I1593" s="90"/>
      <c r="J1593" s="90"/>
      <c r="K1593" s="90"/>
      <c r="L1593" s="90"/>
      <c r="M1593" s="90"/>
      <c r="N1593" s="90"/>
      <c r="O1593" s="90"/>
      <c r="P1593" s="90"/>
      <c r="Q1593" s="90"/>
      <c r="R1593" s="90"/>
      <c r="S1593" s="90"/>
      <c r="T1593" s="90"/>
      <c r="U1593" s="90"/>
      <c r="V1593" s="90"/>
      <c r="W1593" s="90"/>
      <c r="X1593" s="90"/>
      <c r="Y1593" s="90"/>
      <c r="Z1593" s="90"/>
      <c r="AA1593" s="90"/>
      <c r="AB1593" s="90"/>
      <c r="AC1593" s="90"/>
      <c r="AD1593" s="90"/>
    </row>
    <row r="1594" spans="1:55" ht="24" customHeight="1">
      <c r="A1594" s="49"/>
      <c r="B1594" s="38"/>
      <c r="C1594" s="797" t="s">
        <v>3889</v>
      </c>
      <c r="D1594" s="798"/>
      <c r="E1594" s="798"/>
      <c r="F1594" s="798"/>
      <c r="G1594" s="798"/>
      <c r="H1594" s="798"/>
      <c r="I1594" s="798"/>
      <c r="J1594" s="798"/>
      <c r="K1594" s="798"/>
      <c r="L1594" s="798"/>
      <c r="M1594" s="798"/>
      <c r="N1594" s="798"/>
      <c r="O1594" s="798"/>
      <c r="P1594" s="798"/>
      <c r="Q1594" s="798"/>
      <c r="R1594" s="799"/>
      <c r="S1594" s="739" t="s">
        <v>3890</v>
      </c>
      <c r="T1594" s="740"/>
      <c r="U1594" s="740"/>
      <c r="V1594" s="740"/>
      <c r="W1594" s="740"/>
      <c r="X1594" s="740"/>
      <c r="Y1594" s="740"/>
      <c r="Z1594" s="740"/>
      <c r="AA1594" s="740"/>
      <c r="AB1594" s="740"/>
      <c r="AC1594" s="740"/>
      <c r="AD1594" s="741"/>
    </row>
    <row r="1595" spans="1:55" ht="15" customHeight="1">
      <c r="A1595" s="49"/>
      <c r="B1595" s="38"/>
      <c r="C1595" s="800"/>
      <c r="D1595" s="801"/>
      <c r="E1595" s="801"/>
      <c r="F1595" s="801"/>
      <c r="G1595" s="801"/>
      <c r="H1595" s="801"/>
      <c r="I1595" s="801"/>
      <c r="J1595" s="801"/>
      <c r="K1595" s="801"/>
      <c r="L1595" s="801"/>
      <c r="M1595" s="801"/>
      <c r="N1595" s="801"/>
      <c r="O1595" s="801"/>
      <c r="P1595" s="801"/>
      <c r="Q1595" s="801"/>
      <c r="R1595" s="802"/>
      <c r="S1595" s="733" t="s">
        <v>3891</v>
      </c>
      <c r="T1595" s="734"/>
      <c r="U1595" s="734"/>
      <c r="V1595" s="734"/>
      <c r="W1595" s="734"/>
      <c r="X1595" s="734"/>
      <c r="Y1595" s="734"/>
      <c r="Z1595" s="734"/>
      <c r="AA1595" s="735"/>
      <c r="AB1595" s="818" t="s">
        <v>3892</v>
      </c>
      <c r="AC1595" s="819"/>
      <c r="AD1595" s="820"/>
      <c r="AG1595"/>
      <c r="AH1595"/>
      <c r="AI1595"/>
      <c r="AJ1595"/>
      <c r="AK1595"/>
      <c r="AL1595"/>
      <c r="AM1595"/>
      <c r="AN1595"/>
      <c r="AO1595"/>
      <c r="AP1595"/>
      <c r="AQ1595"/>
      <c r="AR1595"/>
      <c r="AS1595"/>
      <c r="AT1595"/>
      <c r="AU1595" s="1027" t="s">
        <v>3893</v>
      </c>
      <c r="AV1595" s="1027"/>
      <c r="AW1595" s="1027"/>
      <c r="AX1595" s="1027"/>
      <c r="AY1595" s="1027"/>
      <c r="AZ1595" s="1027"/>
      <c r="BA1595" s="1027"/>
      <c r="BB1595" s="1027"/>
      <c r="BC1595" s="1027"/>
    </row>
    <row r="1596" spans="1:55" ht="24" customHeight="1">
      <c r="A1596" s="49"/>
      <c r="B1596" s="38"/>
      <c r="C1596" s="800"/>
      <c r="D1596" s="801"/>
      <c r="E1596" s="801"/>
      <c r="F1596" s="801"/>
      <c r="G1596" s="801"/>
      <c r="H1596" s="801"/>
      <c r="I1596" s="801"/>
      <c r="J1596" s="801"/>
      <c r="K1596" s="801"/>
      <c r="L1596" s="801"/>
      <c r="M1596" s="801"/>
      <c r="N1596" s="801"/>
      <c r="O1596" s="801"/>
      <c r="P1596" s="801"/>
      <c r="Q1596" s="801"/>
      <c r="R1596" s="802"/>
      <c r="S1596" s="736" t="s">
        <v>3876</v>
      </c>
      <c r="T1596" s="736"/>
      <c r="U1596" s="736"/>
      <c r="V1596" s="736" t="s">
        <v>3877</v>
      </c>
      <c r="W1596" s="736"/>
      <c r="X1596" s="736"/>
      <c r="Y1596" s="736" t="s">
        <v>3878</v>
      </c>
      <c r="Z1596" s="736"/>
      <c r="AA1596" s="736"/>
      <c r="AB1596" s="824"/>
      <c r="AC1596" s="825"/>
      <c r="AD1596" s="826"/>
      <c r="AG1596"/>
      <c r="AH1596"/>
      <c r="AI1596"/>
      <c r="AJ1596"/>
      <c r="AK1596"/>
      <c r="AL1596"/>
      <c r="AM1596"/>
      <c r="AN1596"/>
      <c r="AO1596"/>
      <c r="AP1596"/>
      <c r="AQ1596"/>
      <c r="AR1596"/>
      <c r="AS1596"/>
      <c r="AT1596"/>
      <c r="AU1596" s="1028" t="s">
        <v>3894</v>
      </c>
      <c r="AV1596" s="1028"/>
      <c r="AW1596" s="1028"/>
      <c r="AX1596" s="1029" t="s">
        <v>3895</v>
      </c>
      <c r="AY1596" s="1029"/>
      <c r="AZ1596" s="1029"/>
      <c r="BA1596" s="1030" t="s">
        <v>3896</v>
      </c>
      <c r="BB1596" s="1030"/>
      <c r="BC1596" s="1030"/>
    </row>
    <row r="1597" spans="1:55" ht="48" customHeight="1">
      <c r="A1597" s="49"/>
      <c r="B1597" s="38"/>
      <c r="C1597" s="803"/>
      <c r="D1597" s="804"/>
      <c r="E1597" s="804"/>
      <c r="F1597" s="804"/>
      <c r="G1597" s="804"/>
      <c r="H1597" s="804"/>
      <c r="I1597" s="804"/>
      <c r="J1597" s="804"/>
      <c r="K1597" s="804"/>
      <c r="L1597" s="804"/>
      <c r="M1597" s="804"/>
      <c r="N1597" s="804"/>
      <c r="O1597" s="804"/>
      <c r="P1597" s="804"/>
      <c r="Q1597" s="804"/>
      <c r="R1597" s="805"/>
      <c r="S1597" s="127" t="s">
        <v>2628</v>
      </c>
      <c r="T1597" s="128" t="s">
        <v>2629</v>
      </c>
      <c r="U1597" s="128" t="s">
        <v>2630</v>
      </c>
      <c r="V1597" s="127" t="s">
        <v>2628</v>
      </c>
      <c r="W1597" s="128" t="s">
        <v>2629</v>
      </c>
      <c r="X1597" s="128" t="s">
        <v>2630</v>
      </c>
      <c r="Y1597" s="127" t="s">
        <v>2628</v>
      </c>
      <c r="Z1597" s="128" t="s">
        <v>2629</v>
      </c>
      <c r="AA1597" s="128" t="s">
        <v>2630</v>
      </c>
      <c r="AB1597" s="129" t="s">
        <v>2628</v>
      </c>
      <c r="AC1597" s="128" t="s">
        <v>2629</v>
      </c>
      <c r="AD1597" s="128" t="s">
        <v>2630</v>
      </c>
      <c r="AG1597" s="354" t="s">
        <v>2586</v>
      </c>
      <c r="AH1597" s="282" t="s">
        <v>2637</v>
      </c>
      <c r="AI1597" s="280" t="s">
        <v>2638</v>
      </c>
      <c r="AJ1597" s="281" t="s">
        <v>2639</v>
      </c>
      <c r="AK1597" s="282" t="s">
        <v>2640</v>
      </c>
      <c r="AL1597" s="280" t="s">
        <v>2641</v>
      </c>
      <c r="AM1597" s="281" t="s">
        <v>2642</v>
      </c>
      <c r="AN1597" s="282" t="s">
        <v>2643</v>
      </c>
      <c r="AO1597" s="280" t="s">
        <v>2644</v>
      </c>
      <c r="AP1597" s="281" t="s">
        <v>2645</v>
      </c>
      <c r="AQ1597" s="282" t="s">
        <v>2646</v>
      </c>
      <c r="AR1597" s="280" t="s">
        <v>2647</v>
      </c>
      <c r="AS1597" s="281" t="s">
        <v>2648</v>
      </c>
      <c r="AT1597" s="365" t="s">
        <v>2620</v>
      </c>
      <c r="AU1597" s="481" t="s">
        <v>2795</v>
      </c>
      <c r="AV1597" s="482" t="s">
        <v>3177</v>
      </c>
      <c r="AW1597" s="483" t="s">
        <v>3178</v>
      </c>
      <c r="AX1597" s="481" t="s">
        <v>2795</v>
      </c>
      <c r="AY1597" s="482" t="s">
        <v>3177</v>
      </c>
      <c r="AZ1597" s="483" t="s">
        <v>3178</v>
      </c>
      <c r="BA1597" s="481" t="s">
        <v>2795</v>
      </c>
      <c r="BB1597" s="482" t="s">
        <v>3177</v>
      </c>
      <c r="BC1597" s="483" t="s">
        <v>3178</v>
      </c>
    </row>
    <row r="1598" spans="1:55" ht="15" customHeight="1">
      <c r="A1598" s="49"/>
      <c r="B1598" s="38"/>
      <c r="C1598" s="92" t="s">
        <v>2516</v>
      </c>
      <c r="D1598" s="869" t="s">
        <v>3897</v>
      </c>
      <c r="E1598" s="870"/>
      <c r="F1598" s="870"/>
      <c r="G1598" s="870"/>
      <c r="H1598" s="870"/>
      <c r="I1598" s="870"/>
      <c r="J1598" s="870"/>
      <c r="K1598" s="870"/>
      <c r="L1598" s="870"/>
      <c r="M1598" s="870"/>
      <c r="N1598" s="870"/>
      <c r="O1598" s="870"/>
      <c r="P1598" s="870"/>
      <c r="Q1598" s="870"/>
      <c r="R1598" s="870"/>
      <c r="S1598" s="100"/>
      <c r="T1598" s="100"/>
      <c r="U1598" s="100"/>
      <c r="V1598" s="100"/>
      <c r="W1598" s="100"/>
      <c r="X1598" s="100"/>
      <c r="Y1598" s="100"/>
      <c r="Z1598" s="100"/>
      <c r="AA1598" s="100"/>
      <c r="AB1598" s="100"/>
      <c r="AC1598" s="100"/>
      <c r="AD1598" s="100"/>
      <c r="AG1598" s="326">
        <f>IF(AND($AH$1423=1,COUNTA(S1598:AD1603)=0),0,IF(AND($AH$1423=0,AG1601=0,AG1602=0),0,1))</f>
        <v>0</v>
      </c>
      <c r="AH1598" s="283">
        <f>COUNTIF(T1598:U1598,"NS")</f>
        <v>0</v>
      </c>
      <c r="AI1598" s="283">
        <f>SUM(T1598:U1598)</f>
        <v>0</v>
      </c>
      <c r="AJ1598" s="283">
        <f>IF(COUNTIF(S1598:U1598,"NA")=3,0,IF(COUNTA(S1598:U1598)=0,0,IF(OR(AND(S1598=0,AH1598&gt;0),AND(S1598="ns",AI1598&gt;0),AND(S1598="ns",AH1598=0,AI1598=0)),1,IF(OR(AND(S1598&gt;0,AH1598=2),AND(S1598="ns",AH1598=2),AND(S1598="ns",AI1598=0,AH1598&gt;0),S1598=AI1598),0,1))))</f>
        <v>0</v>
      </c>
      <c r="AK1598" s="283">
        <f>COUNTIF(W1598:X1598,"NS")</f>
        <v>0</v>
      </c>
      <c r="AL1598" s="283">
        <f>SUM(W1598:X1598)</f>
        <v>0</v>
      </c>
      <c r="AM1598" s="283">
        <f>IF(COUNTIF(V1598:X1598,"NA")=3,0,IF(COUNTA(V1598:X1598)=0,0,IF(OR(AND(V1598=0,AK1598&gt;0),AND(V1598="ns",AL1598&gt;0),AND(V1598="ns",AK1598=0,AL1598=0)),1,IF(OR(AND(V1598&gt;0,AK1598=2),AND(V1598="ns",AK1598=2),AND(V1598="ns",AL1598=0,AK1598&gt;0),V1598=AL1598),0,1))))</f>
        <v>0</v>
      </c>
      <c r="AN1598" s="283">
        <f>COUNTIF(Z1598:AA1598,"NS")</f>
        <v>0</v>
      </c>
      <c r="AO1598" s="283">
        <f>SUM(Z1598:AA1598)</f>
        <v>0</v>
      </c>
      <c r="AP1598" s="283">
        <f>IF(COUNTIF(Y1598:AA1598,"NA")=3,0,IF(COUNTA(Y1598:AA1598)=0,0,IF(OR(AND(Y1598=0,AN1598&gt;0),AND(Y1598="ns",AO1598&gt;0),AND(Y1598="ns",AN1598=0,AO1598=0)),1,IF(OR(AND(Y1598&gt;0,AN1598=2),AND(Y1598="ns",AN1598=2),AND(Y1598="ns",AO1598=0,AN1598&gt;0),Y1598=AO1598),0,1))))</f>
        <v>0</v>
      </c>
      <c r="AQ1598" s="283">
        <f>COUNTIF(AC1598:AD1598,"NS")</f>
        <v>0</v>
      </c>
      <c r="AR1598" s="283">
        <f>SUM(AC1598:AD1598)</f>
        <v>0</v>
      </c>
      <c r="AS1598" s="283">
        <f>IF(COUNTIF(AB1598:AD1598,"NA")=3,0,IF(COUNTA(AB1598:AD1598)=0,0,IF(OR(AND(AB1598=0,AQ1598&gt;0),AND(AB1598="ns",AR1598&gt;0),AND(AB1598="ns",AQ1598=0,AR1598=0)),1,IF(OR(AND(AB1598&gt;0,AQ1598=2),AND(AB1598="ns",AQ1598=2),AND(AB1598="ns",AR1598=0,AQ1598&gt;0),AB1598=AR1598),0,1))))</f>
        <v>0</v>
      </c>
      <c r="AT1598">
        <f>IF(AND($AH$1423=1,COUNTA(S1598:AD1603)&gt;0),1,0)</f>
        <v>0</v>
      </c>
      <c r="AU1598">
        <f>IF(OR(S1604="NS",V1563="NS"),0,IF(AND(S1604="NA",V1563="NA"),0,IF(S1604=V1563,0,1)))</f>
        <v>0</v>
      </c>
      <c r="AV1598">
        <f t="shared" ref="AV1598" si="1574">IF(OR(T1604="NS",W1563="NS"),0,IF(AND(T1604="NA",W1563="NA"),0,IF(T1604=W1563,0,1)))</f>
        <v>0</v>
      </c>
      <c r="AW1598">
        <f>IF(OR(U1604="NS",X1563="NS"),0,IF(AND(U1604="NA",X1563="NA"),0,IF(U1604=X1563,0,1)))</f>
        <v>0</v>
      </c>
      <c r="AX1598">
        <f>IF(OR(V1604="NS",Y1563="NS"),0,IF(AND(V1604="NA",Y1563="NA"),0,IF(V1604=Y1563,0,1)))</f>
        <v>0</v>
      </c>
      <c r="AY1598">
        <f t="shared" ref="AY1598" si="1575">IF(OR(W1604="NS",Z1563="NS"),0,IF(AND(W1604="NA",Z1563="NA"),0,IF(W1604=Z1563,0,1)))</f>
        <v>0</v>
      </c>
      <c r="AZ1598">
        <f>IF(OR(X1604="NS",AA1563="NS"),0,IF(AND(X1604="NA",AA1563="NA"),0,IF(X1604=AA1563,0,1)))</f>
        <v>0</v>
      </c>
      <c r="BA1598">
        <f>IF(OR(Y1604="NS",AB1563="NS"),0,IF(AND(Y1604="NA",AB1563="NA"),0,IF(Y1604=AB1563,0,1)))</f>
        <v>0</v>
      </c>
      <c r="BB1598">
        <f t="shared" ref="BB1598" si="1576">IF(OR(Z1604="NS",AC1563="NS"),0,IF(AND(Z1604="NA",AC1563="NA"),0,IF(Z1604=AC1563,0,1)))</f>
        <v>0</v>
      </c>
      <c r="BC1598">
        <f>IF(OR(AA1604="NS",AD1563="NS"),0,IF(AND(AA1604="NA",AD1563="NA"),0,IF(AA1604=AD1563,0,1)))</f>
        <v>0</v>
      </c>
    </row>
    <row r="1599" spans="1:55" ht="15" customHeight="1">
      <c r="A1599" s="49"/>
      <c r="B1599" s="38"/>
      <c r="C1599" s="44" t="s">
        <v>2517</v>
      </c>
      <c r="D1599" s="869" t="s">
        <v>3898</v>
      </c>
      <c r="E1599" s="870"/>
      <c r="F1599" s="870"/>
      <c r="G1599" s="870"/>
      <c r="H1599" s="870"/>
      <c r="I1599" s="870"/>
      <c r="J1599" s="870"/>
      <c r="K1599" s="870"/>
      <c r="L1599" s="870"/>
      <c r="M1599" s="870"/>
      <c r="N1599" s="870"/>
      <c r="O1599" s="870"/>
      <c r="P1599" s="870"/>
      <c r="Q1599" s="870"/>
      <c r="R1599" s="870"/>
      <c r="S1599" s="100"/>
      <c r="T1599" s="100"/>
      <c r="U1599" s="100"/>
      <c r="V1599" s="100"/>
      <c r="W1599" s="100"/>
      <c r="X1599" s="100"/>
      <c r="Y1599" s="100"/>
      <c r="Z1599" s="100"/>
      <c r="AA1599" s="100"/>
      <c r="AB1599" s="100"/>
      <c r="AC1599" s="100"/>
      <c r="AD1599" s="100"/>
      <c r="AG1599" s="326"/>
      <c r="AH1599" s="283">
        <f t="shared" ref="AH1599:AH1603" si="1577">COUNTIF(T1599:U1599,"NS")</f>
        <v>0</v>
      </c>
      <c r="AI1599" s="283">
        <f t="shared" ref="AI1599:AI1603" si="1578">SUM(T1599:U1599)</f>
        <v>0</v>
      </c>
      <c r="AJ1599" s="283">
        <f t="shared" ref="AJ1599:AJ1603" si="1579">IF(COUNTIF(S1599:U1599,"NA")=3,0,IF(COUNTA(S1599:U1599)=0,0,IF(OR(AND(S1599=0,AH1599&gt;0),AND(S1599="ns",AI1599&gt;0),AND(S1599="ns",AH1599=0,AI1599=0)),1,IF(OR(AND(S1599&gt;0,AH1599=2),AND(S1599="ns",AH1599=2),AND(S1599="ns",AI1599=0,AH1599&gt;0),S1599=AI1599),0,1))))</f>
        <v>0</v>
      </c>
      <c r="AK1599" s="283">
        <f t="shared" ref="AK1599:AK1603" si="1580">COUNTIF(W1599:X1599,"NS")</f>
        <v>0</v>
      </c>
      <c r="AL1599" s="283">
        <f t="shared" ref="AL1599:AL1603" si="1581">SUM(W1599:X1599)</f>
        <v>0</v>
      </c>
      <c r="AM1599" s="283">
        <f t="shared" ref="AM1599:AM1603" si="1582">IF(COUNTIF(V1599:X1599,"NA")=3,0,IF(COUNTA(V1599:X1599)=0,0,IF(OR(AND(V1599=0,AK1599&gt;0),AND(V1599="ns",AL1599&gt;0),AND(V1599="ns",AK1599=0,AL1599=0)),1,IF(OR(AND(V1599&gt;0,AK1599=2),AND(V1599="ns",AK1599=2),AND(V1599="ns",AL1599=0,AK1599&gt;0),V1599=AL1599),0,1))))</f>
        <v>0</v>
      </c>
      <c r="AN1599" s="283">
        <f t="shared" ref="AN1599:AN1603" si="1583">COUNTIF(Z1599:AA1599,"NS")</f>
        <v>0</v>
      </c>
      <c r="AO1599" s="283">
        <f t="shared" ref="AO1599:AO1603" si="1584">SUM(Z1599:AA1599)</f>
        <v>0</v>
      </c>
      <c r="AP1599" s="283">
        <f t="shared" ref="AP1599:AP1603" si="1585">IF(COUNTIF(Y1599:AA1599,"NA")=3,0,IF(COUNTA(Y1599:AA1599)=0,0,IF(OR(AND(Y1599=0,AN1599&gt;0),AND(Y1599="ns",AO1599&gt;0),AND(Y1599="ns",AN1599=0,AO1599=0)),1,IF(OR(AND(Y1599&gt;0,AN1599=2),AND(Y1599="ns",AN1599=2),AND(Y1599="ns",AO1599=0,AN1599&gt;0),Y1599=AO1599),0,1))))</f>
        <v>0</v>
      </c>
      <c r="AQ1599" s="283">
        <f t="shared" ref="AQ1599:AQ1603" si="1586">COUNTIF(AC1599:AD1599,"NS")</f>
        <v>0</v>
      </c>
      <c r="AR1599" s="283">
        <f t="shared" ref="AR1599:AR1603" si="1587">SUM(AC1599:AD1599)</f>
        <v>0</v>
      </c>
      <c r="AS1599" s="283">
        <f t="shared" ref="AS1599:AS1603" si="1588">IF(COUNTIF(AB1599:AD1599,"NA")=3,0,IF(COUNTA(AB1599:AD1599)=0,0,IF(OR(AND(AB1599=0,AQ1599&gt;0),AND(AB1599="ns",AR1599&gt;0),AND(AB1599="ns",AQ1599=0,AR1599=0)),1,IF(OR(AND(AB1599&gt;0,AQ1599=2),AND(AB1599="ns",AQ1599=2),AND(AB1599="ns",AR1599=0,AQ1599&gt;0),AB1599=AR1599),0,1))))</f>
        <v>0</v>
      </c>
      <c r="AT1599" s="920" t="s">
        <v>3899</v>
      </c>
      <c r="AU1599"/>
      <c r="AV1599"/>
      <c r="AW1599"/>
      <c r="AX1599"/>
      <c r="AY1599"/>
      <c r="AZ1599"/>
      <c r="BA1599"/>
      <c r="BB1599"/>
      <c r="BC1599" s="362">
        <f>SUM(AU1598:BC1598)</f>
        <v>0</v>
      </c>
    </row>
    <row r="1600" spans="1:55" ht="15" customHeight="1">
      <c r="A1600" s="49"/>
      <c r="B1600" s="38"/>
      <c r="C1600" s="44" t="s">
        <v>2518</v>
      </c>
      <c r="D1600" s="869" t="s">
        <v>3900</v>
      </c>
      <c r="E1600" s="870"/>
      <c r="F1600" s="870"/>
      <c r="G1600" s="870"/>
      <c r="H1600" s="870"/>
      <c r="I1600" s="870"/>
      <c r="J1600" s="870"/>
      <c r="K1600" s="870"/>
      <c r="L1600" s="870"/>
      <c r="M1600" s="870"/>
      <c r="N1600" s="870"/>
      <c r="O1600" s="870"/>
      <c r="P1600" s="870"/>
      <c r="Q1600" s="870"/>
      <c r="R1600" s="870"/>
      <c r="S1600" s="100"/>
      <c r="T1600" s="100"/>
      <c r="U1600" s="100"/>
      <c r="V1600" s="100"/>
      <c r="W1600" s="100"/>
      <c r="X1600" s="100"/>
      <c r="Y1600" s="100"/>
      <c r="Z1600" s="100"/>
      <c r="AA1600" s="100"/>
      <c r="AB1600" s="100"/>
      <c r="AC1600" s="100"/>
      <c r="AD1600" s="100"/>
      <c r="AG1600" s="484" t="s">
        <v>3901</v>
      </c>
      <c r="AH1600" s="283">
        <f t="shared" si="1577"/>
        <v>0</v>
      </c>
      <c r="AI1600" s="283">
        <f t="shared" si="1578"/>
        <v>0</v>
      </c>
      <c r="AJ1600" s="283">
        <f t="shared" si="1579"/>
        <v>0</v>
      </c>
      <c r="AK1600" s="283">
        <f t="shared" si="1580"/>
        <v>0</v>
      </c>
      <c r="AL1600" s="283">
        <f t="shared" si="1581"/>
        <v>0</v>
      </c>
      <c r="AM1600" s="283">
        <f t="shared" si="1582"/>
        <v>0</v>
      </c>
      <c r="AN1600" s="283">
        <f t="shared" si="1583"/>
        <v>0</v>
      </c>
      <c r="AO1600" s="283">
        <f t="shared" si="1584"/>
        <v>0</v>
      </c>
      <c r="AP1600" s="283">
        <f t="shared" si="1585"/>
        <v>0</v>
      </c>
      <c r="AQ1600" s="283">
        <f t="shared" si="1586"/>
        <v>0</v>
      </c>
      <c r="AR1600" s="283">
        <f t="shared" si="1587"/>
        <v>0</v>
      </c>
      <c r="AS1600" s="283">
        <f t="shared" si="1588"/>
        <v>0</v>
      </c>
      <c r="AT1600" s="920"/>
      <c r="AU1600"/>
      <c r="AV1600"/>
      <c r="AW1600"/>
      <c r="AX1600"/>
      <c r="AY1600"/>
      <c r="AZ1600"/>
      <c r="BA1600"/>
      <c r="BB1600"/>
      <c r="BC1600"/>
    </row>
    <row r="1601" spans="1:55" ht="15" customHeight="1">
      <c r="A1601" s="49"/>
      <c r="B1601" s="38"/>
      <c r="C1601" s="44" t="s">
        <v>2519</v>
      </c>
      <c r="D1601" s="869" t="s">
        <v>3902</v>
      </c>
      <c r="E1601" s="870"/>
      <c r="F1601" s="870"/>
      <c r="G1601" s="870"/>
      <c r="H1601" s="870"/>
      <c r="I1601" s="870"/>
      <c r="J1601" s="870"/>
      <c r="K1601" s="870"/>
      <c r="L1601" s="870"/>
      <c r="M1601" s="870"/>
      <c r="N1601" s="870"/>
      <c r="O1601" s="870"/>
      <c r="P1601" s="870"/>
      <c r="Q1601" s="870"/>
      <c r="R1601" s="870"/>
      <c r="S1601" s="100"/>
      <c r="T1601" s="100"/>
      <c r="U1601" s="100"/>
      <c r="V1601" s="100"/>
      <c r="W1601" s="100"/>
      <c r="X1601" s="100"/>
      <c r="Y1601" s="100"/>
      <c r="Z1601" s="100"/>
      <c r="AA1601" s="100"/>
      <c r="AB1601" s="100"/>
      <c r="AC1601" s="100"/>
      <c r="AD1601" s="100"/>
      <c r="AG1601" s="326">
        <f>IF(AND(SUM($V$1563,$Y$1563,$AB$1563)=0,COUNTA(S1598:AA1603)=0),0,IF(AND(SUM($V$1563,$Y$1563,$AB$1563)&gt;0,COUNTA(S1598:AA1603)=54),0,1))</f>
        <v>0</v>
      </c>
      <c r="AH1601" s="283">
        <f t="shared" si="1577"/>
        <v>0</v>
      </c>
      <c r="AI1601" s="283">
        <f t="shared" si="1578"/>
        <v>0</v>
      </c>
      <c r="AJ1601" s="283">
        <f t="shared" si="1579"/>
        <v>0</v>
      </c>
      <c r="AK1601" s="283">
        <f t="shared" si="1580"/>
        <v>0</v>
      </c>
      <c r="AL1601" s="283">
        <f t="shared" si="1581"/>
        <v>0</v>
      </c>
      <c r="AM1601" s="283">
        <f t="shared" si="1582"/>
        <v>0</v>
      </c>
      <c r="AN1601" s="283">
        <f t="shared" si="1583"/>
        <v>0</v>
      </c>
      <c r="AO1601" s="283">
        <f t="shared" si="1584"/>
        <v>0</v>
      </c>
      <c r="AP1601" s="283">
        <f t="shared" si="1585"/>
        <v>0</v>
      </c>
      <c r="AQ1601" s="283">
        <f t="shared" si="1586"/>
        <v>0</v>
      </c>
      <c r="AR1601" s="283">
        <f t="shared" si="1587"/>
        <v>0</v>
      </c>
      <c r="AS1601" s="283">
        <f t="shared" si="1588"/>
        <v>0</v>
      </c>
      <c r="AT1601">
        <f>IF(AND(SUM($V$1563,$Y$1563,$AB$1563)=0,COUNTA(S1598:AA1603)&gt;0),1,0)</f>
        <v>0</v>
      </c>
      <c r="AU1601" s="1031" t="s">
        <v>3903</v>
      </c>
      <c r="AV1601" s="1031"/>
      <c r="AW1601" s="1031"/>
      <c r="AX1601"/>
      <c r="AY1601"/>
      <c r="AZ1601"/>
      <c r="BA1601"/>
      <c r="BB1601"/>
      <c r="BC1601"/>
    </row>
    <row r="1602" spans="1:55" ht="15" customHeight="1">
      <c r="A1602" s="49"/>
      <c r="B1602" s="38"/>
      <c r="C1602" s="44" t="s">
        <v>2520</v>
      </c>
      <c r="D1602" s="869" t="s">
        <v>3904</v>
      </c>
      <c r="E1602" s="870"/>
      <c r="F1602" s="870"/>
      <c r="G1602" s="870"/>
      <c r="H1602" s="870"/>
      <c r="I1602" s="870"/>
      <c r="J1602" s="870"/>
      <c r="K1602" s="870"/>
      <c r="L1602" s="870"/>
      <c r="M1602" s="870"/>
      <c r="N1602" s="870"/>
      <c r="O1602" s="870"/>
      <c r="P1602" s="870"/>
      <c r="Q1602" s="870"/>
      <c r="R1602" s="870"/>
      <c r="S1602" s="100"/>
      <c r="T1602" s="100"/>
      <c r="U1602" s="100"/>
      <c r="V1602" s="100"/>
      <c r="W1602" s="100"/>
      <c r="X1602" s="100"/>
      <c r="Y1602" s="100"/>
      <c r="Z1602" s="100"/>
      <c r="AA1602" s="100"/>
      <c r="AB1602" s="100"/>
      <c r="AC1602" s="100"/>
      <c r="AD1602" s="100"/>
      <c r="AG1602" s="326">
        <f>IF(AND(SUM($P$1578)=0,COUNTA(AB1598:AD1603)=0),0,IF(AND(SUM(P1578)&gt;0,COUNTA(AB1598:AD1603)=18),0,1))</f>
        <v>0</v>
      </c>
      <c r="AH1602" s="283">
        <f t="shared" si="1577"/>
        <v>0</v>
      </c>
      <c r="AI1602" s="283">
        <f t="shared" si="1578"/>
        <v>0</v>
      </c>
      <c r="AJ1602" s="283">
        <f t="shared" si="1579"/>
        <v>0</v>
      </c>
      <c r="AK1602" s="283">
        <f t="shared" si="1580"/>
        <v>0</v>
      </c>
      <c r="AL1602" s="283">
        <f t="shared" si="1581"/>
        <v>0</v>
      </c>
      <c r="AM1602" s="283">
        <f t="shared" si="1582"/>
        <v>0</v>
      </c>
      <c r="AN1602" s="283">
        <f t="shared" si="1583"/>
        <v>0</v>
      </c>
      <c r="AO1602" s="283">
        <f t="shared" si="1584"/>
        <v>0</v>
      </c>
      <c r="AP1602" s="283">
        <f t="shared" si="1585"/>
        <v>0</v>
      </c>
      <c r="AQ1602" s="283">
        <f t="shared" si="1586"/>
        <v>0</v>
      </c>
      <c r="AR1602" s="283">
        <f t="shared" si="1587"/>
        <v>0</v>
      </c>
      <c r="AS1602" s="283">
        <f t="shared" si="1588"/>
        <v>0</v>
      </c>
      <c r="AT1602" s="920" t="s">
        <v>3905</v>
      </c>
      <c r="AU1602" s="478" t="s">
        <v>2795</v>
      </c>
      <c r="AV1602" s="485" t="s">
        <v>3177</v>
      </c>
      <c r="AW1602" s="486" t="s">
        <v>3178</v>
      </c>
      <c r="AX1602"/>
      <c r="AY1602"/>
      <c r="AZ1602"/>
      <c r="BA1602"/>
      <c r="BB1602"/>
      <c r="BC1602"/>
    </row>
    <row r="1603" spans="1:55" ht="15" customHeight="1">
      <c r="A1603" s="49"/>
      <c r="B1603" s="38"/>
      <c r="C1603" s="44" t="s">
        <v>2521</v>
      </c>
      <c r="D1603" s="869" t="s">
        <v>201</v>
      </c>
      <c r="E1603" s="870"/>
      <c r="F1603" s="870"/>
      <c r="G1603" s="870"/>
      <c r="H1603" s="870"/>
      <c r="I1603" s="870"/>
      <c r="J1603" s="870"/>
      <c r="K1603" s="870"/>
      <c r="L1603" s="870"/>
      <c r="M1603" s="870"/>
      <c r="N1603" s="870"/>
      <c r="O1603" s="870"/>
      <c r="P1603" s="870"/>
      <c r="Q1603" s="870"/>
      <c r="R1603" s="870"/>
      <c r="S1603" s="100"/>
      <c r="T1603" s="100"/>
      <c r="U1603" s="100"/>
      <c r="V1603" s="100"/>
      <c r="W1603" s="100"/>
      <c r="X1603" s="100"/>
      <c r="Y1603" s="100"/>
      <c r="Z1603" s="100"/>
      <c r="AA1603" s="100"/>
      <c r="AB1603" s="100"/>
      <c r="AC1603" s="100"/>
      <c r="AD1603" s="100"/>
      <c r="AG1603" s="326"/>
      <c r="AH1603" s="283">
        <f t="shared" si="1577"/>
        <v>0</v>
      </c>
      <c r="AI1603" s="283">
        <f t="shared" si="1578"/>
        <v>0</v>
      </c>
      <c r="AJ1603" s="283">
        <f t="shared" si="1579"/>
        <v>0</v>
      </c>
      <c r="AK1603" s="283">
        <f t="shared" si="1580"/>
        <v>0</v>
      </c>
      <c r="AL1603" s="283">
        <f t="shared" si="1581"/>
        <v>0</v>
      </c>
      <c r="AM1603" s="283">
        <f t="shared" si="1582"/>
        <v>0</v>
      </c>
      <c r="AN1603" s="283">
        <f t="shared" si="1583"/>
        <v>0</v>
      </c>
      <c r="AO1603" s="283">
        <f t="shared" si="1584"/>
        <v>0</v>
      </c>
      <c r="AP1603" s="283">
        <f t="shared" si="1585"/>
        <v>0</v>
      </c>
      <c r="AQ1603" s="283">
        <f t="shared" si="1586"/>
        <v>0</v>
      </c>
      <c r="AR1603" s="283">
        <f t="shared" si="1587"/>
        <v>0</v>
      </c>
      <c r="AS1603" s="283">
        <f t="shared" si="1588"/>
        <v>0</v>
      </c>
      <c r="AT1603" s="920"/>
      <c r="AU1603">
        <f>IF(OR(AB1604="NS",P1578="NS"),0,IF(AND(AB1604="NA",P1578="NA"),0,IF(AB1604=P1578,0,1)))</f>
        <v>0</v>
      </c>
      <c r="AV1603">
        <f>IF(OR(AC1604="NS",Q1578="NS"),0,IF(AND(AC1604="NA",Q1578="NA"),0,IF(AC1604=Q1578,0,1)))</f>
        <v>0</v>
      </c>
      <c r="AW1603">
        <f>IF(OR(AD1604="NS",R1578="NS"),0,IF(AND(AD1604="NA",R1578="NA"),0,IF(AD1604=R1578,0,1)))</f>
        <v>0</v>
      </c>
      <c r="AX1603"/>
      <c r="AY1603"/>
      <c r="AZ1603"/>
      <c r="BA1603"/>
      <c r="BB1603"/>
      <c r="BC1603"/>
    </row>
    <row r="1604" spans="1:55" ht="15">
      <c r="A1604" s="49"/>
      <c r="B1604" s="38"/>
      <c r="C1604" s="38"/>
      <c r="D1604" s="105"/>
      <c r="E1604" s="105"/>
      <c r="F1604" s="105"/>
      <c r="G1604" s="105"/>
      <c r="H1604" s="105"/>
      <c r="J1604" s="51"/>
      <c r="K1604" s="51"/>
      <c r="L1604" s="51"/>
      <c r="M1604" s="51"/>
      <c r="N1604" s="51"/>
      <c r="O1604" s="117"/>
      <c r="P1604" s="104"/>
      <c r="Q1604" s="104"/>
      <c r="R1604" s="99" t="s">
        <v>2649</v>
      </c>
      <c r="S1604" s="124">
        <f>IF(AND(SUM(S1598:S1603)=0,COUNTIF(S1598:S1603,"NS")&gt;0),"NS",
IF(AND(SUM(S1598:S1603)=0,COUNTIF(S1598:S1603,0)&gt;0),0,
IF(AND(SUM(S1598:S1603)=0,COUNTIF(S1598:S1603,"NA")&gt;0),"NA",
SUM(S1598:S1603))))</f>
        <v>0</v>
      </c>
      <c r="T1604" s="124">
        <f t="shared" ref="T1604:AD1604" si="1589">IF(AND(SUM(T1598:T1603)=0,COUNTIF(T1598:T1603,"NS")&gt;0),"NS",
IF(AND(SUM(T1598:T1603)=0,COUNTIF(T1598:T1603,0)&gt;0),0,
IF(AND(SUM(T1598:T1603)=0,COUNTIF(T1598:T1603,"NA")&gt;0),"NA",
SUM(T1598:T1603))))</f>
        <v>0</v>
      </c>
      <c r="U1604" s="124">
        <f t="shared" si="1589"/>
        <v>0</v>
      </c>
      <c r="V1604" s="124">
        <f t="shared" si="1589"/>
        <v>0</v>
      </c>
      <c r="W1604" s="124">
        <f t="shared" si="1589"/>
        <v>0</v>
      </c>
      <c r="X1604" s="124">
        <f t="shared" si="1589"/>
        <v>0</v>
      </c>
      <c r="Y1604" s="124">
        <f t="shared" si="1589"/>
        <v>0</v>
      </c>
      <c r="Z1604" s="124">
        <f t="shared" si="1589"/>
        <v>0</v>
      </c>
      <c r="AA1604" s="124">
        <f t="shared" si="1589"/>
        <v>0</v>
      </c>
      <c r="AB1604" s="124">
        <f t="shared" si="1589"/>
        <v>0</v>
      </c>
      <c r="AC1604" s="124">
        <f t="shared" si="1589"/>
        <v>0</v>
      </c>
      <c r="AD1604" s="124">
        <f t="shared" si="1589"/>
        <v>0</v>
      </c>
      <c r="AG1604" s="283"/>
      <c r="AH1604" s="406">
        <f>SUM(AH1598:AH1603)</f>
        <v>0</v>
      </c>
      <c r="AI1604" s="351">
        <f>SUM(AI1598:AI1603)</f>
        <v>0</v>
      </c>
      <c r="AJ1604" s="352">
        <f>SUM(AJ1598:AJ1603)</f>
        <v>0</v>
      </c>
      <c r="AK1604" s="406">
        <f t="shared" ref="AK1604:AS1604" si="1590">SUM(AK1598:AK1603)</f>
        <v>0</v>
      </c>
      <c r="AL1604" s="351">
        <f t="shared" si="1590"/>
        <v>0</v>
      </c>
      <c r="AM1604" s="352">
        <f t="shared" si="1590"/>
        <v>0</v>
      </c>
      <c r="AN1604" s="406">
        <f t="shared" si="1590"/>
        <v>0</v>
      </c>
      <c r="AO1604" s="351">
        <f t="shared" si="1590"/>
        <v>0</v>
      </c>
      <c r="AP1604" s="352">
        <f t="shared" si="1590"/>
        <v>0</v>
      </c>
      <c r="AQ1604" s="406">
        <f t="shared" si="1590"/>
        <v>0</v>
      </c>
      <c r="AR1604" s="351">
        <f t="shared" si="1590"/>
        <v>0</v>
      </c>
      <c r="AS1604" s="352">
        <f t="shared" si="1590"/>
        <v>0</v>
      </c>
      <c r="AT1604">
        <f>IF(AND(SUM($P$1578)=0,COUNTA(AB1598:AD1603)&gt;0),1,0)</f>
        <v>0</v>
      </c>
      <c r="AU1604"/>
      <c r="AV1604"/>
      <c r="AW1604" s="369">
        <f>SUM(AU1603:AW1603)</f>
        <v>0</v>
      </c>
      <c r="AX1604"/>
      <c r="AY1604"/>
      <c r="AZ1604"/>
      <c r="BA1604"/>
      <c r="BB1604"/>
      <c r="BC1604"/>
    </row>
    <row r="1605" spans="1:55" ht="15">
      <c r="A1605" s="49"/>
      <c r="B1605" s="107"/>
      <c r="C1605" s="107"/>
      <c r="D1605" s="107"/>
      <c r="E1605" s="107"/>
      <c r="F1605" s="107"/>
      <c r="G1605" s="107"/>
      <c r="H1605" s="107"/>
      <c r="I1605" s="107"/>
      <c r="J1605" s="107"/>
      <c r="K1605" s="107"/>
      <c r="L1605" s="107"/>
      <c r="M1605" s="107"/>
      <c r="N1605" s="107"/>
      <c r="O1605" s="107"/>
      <c r="P1605" s="107"/>
      <c r="Q1605" s="107"/>
      <c r="R1605" s="107"/>
      <c r="S1605" s="107"/>
      <c r="T1605" s="107"/>
      <c r="U1605" s="107"/>
      <c r="V1605" s="107"/>
      <c r="W1605" s="107"/>
      <c r="X1605" s="107"/>
      <c r="Y1605" s="107"/>
      <c r="Z1605" s="107"/>
      <c r="AA1605" s="107"/>
      <c r="AB1605" s="107"/>
      <c r="AC1605" s="107"/>
      <c r="AD1605" s="107"/>
      <c r="AG1605"/>
      <c r="AH1605"/>
      <c r="AI1605"/>
      <c r="AJ1605"/>
      <c r="AK1605"/>
      <c r="AL1605"/>
      <c r="AM1605"/>
      <c r="AN1605"/>
      <c r="AO1605"/>
      <c r="AP1605"/>
      <c r="AQ1605"/>
      <c r="AR1605"/>
      <c r="AS1605"/>
      <c r="AT1605"/>
      <c r="AU1605"/>
      <c r="AV1605"/>
      <c r="AW1605"/>
      <c r="AX1605"/>
      <c r="AY1605"/>
      <c r="AZ1605"/>
      <c r="BA1605"/>
      <c r="BB1605"/>
      <c r="BC1605"/>
    </row>
    <row r="1606" spans="1:55" ht="24" customHeight="1">
      <c r="A1606" s="49"/>
      <c r="B1606" s="38"/>
      <c r="C1606" s="764" t="s">
        <v>2611</v>
      </c>
      <c r="D1606" s="764"/>
      <c r="E1606" s="764"/>
      <c r="F1606" s="764"/>
      <c r="G1606" s="764"/>
      <c r="H1606" s="764"/>
      <c r="I1606" s="764"/>
      <c r="J1606" s="764"/>
      <c r="K1606" s="764"/>
      <c r="L1606" s="764"/>
      <c r="M1606" s="764"/>
      <c r="N1606" s="764"/>
      <c r="O1606" s="764"/>
      <c r="P1606" s="764"/>
      <c r="Q1606" s="764"/>
      <c r="R1606" s="764"/>
      <c r="S1606" s="764"/>
      <c r="T1606" s="764"/>
      <c r="U1606" s="764"/>
      <c r="V1606" s="764"/>
      <c r="W1606" s="764"/>
      <c r="X1606" s="764"/>
      <c r="Y1606" s="764"/>
      <c r="Z1606" s="764"/>
      <c r="AA1606" s="764"/>
      <c r="AB1606" s="764"/>
      <c r="AC1606" s="764"/>
      <c r="AD1606" s="764"/>
      <c r="AG1606"/>
      <c r="AH1606"/>
      <c r="AI1606"/>
      <c r="AJ1606" s="356" t="s">
        <v>2650</v>
      </c>
      <c r="AK1606" s="283">
        <f>SUM(AJ1604,AM1604,AP1604,AS1604)</f>
        <v>0</v>
      </c>
      <c r="AL1606" s="355" t="s">
        <v>2651</v>
      </c>
      <c r="AM1606" s="283">
        <f>SUM(AH1604,AK1604,AN1604,AQ1604)</f>
        <v>0</v>
      </c>
      <c r="AN1606"/>
      <c r="AO1606"/>
      <c r="AP1606"/>
      <c r="AQ1606"/>
      <c r="AR1606"/>
      <c r="AS1606"/>
      <c r="AT1606"/>
      <c r="AU1606"/>
      <c r="AV1606"/>
      <c r="AW1606"/>
      <c r="AX1606"/>
      <c r="AY1606"/>
      <c r="AZ1606"/>
      <c r="BA1606"/>
      <c r="BB1606"/>
      <c r="BC1606"/>
    </row>
    <row r="1607" spans="1:55" ht="60" customHeight="1">
      <c r="A1607" s="49"/>
      <c r="B1607" s="38"/>
      <c r="C1607" s="882"/>
      <c r="D1607" s="883"/>
      <c r="E1607" s="883"/>
      <c r="F1607" s="883"/>
      <c r="G1607" s="883"/>
      <c r="H1607" s="883"/>
      <c r="I1607" s="883"/>
      <c r="J1607" s="883"/>
      <c r="K1607" s="883"/>
      <c r="L1607" s="883"/>
      <c r="M1607" s="883"/>
      <c r="N1607" s="883"/>
      <c r="O1607" s="883"/>
      <c r="P1607" s="883"/>
      <c r="Q1607" s="883"/>
      <c r="R1607" s="883"/>
      <c r="S1607" s="883"/>
      <c r="T1607" s="883"/>
      <c r="U1607" s="883"/>
      <c r="V1607" s="883"/>
      <c r="W1607" s="883"/>
      <c r="X1607" s="883"/>
      <c r="Y1607" s="883"/>
      <c r="Z1607" s="883"/>
      <c r="AA1607" s="883"/>
      <c r="AB1607" s="883"/>
      <c r="AC1607" s="883"/>
      <c r="AD1607" s="884"/>
    </row>
    <row r="1608" spans="1:55" ht="15" customHeight="1">
      <c r="A1608" s="94"/>
      <c r="B1608" s="794" t="str">
        <f>IF(AG1598&gt;0,"Favor de ingresar toda la información requerida en la pregunta y/o verifique que no tenga información en celdas sombreadas","")</f>
        <v/>
      </c>
      <c r="C1608" s="794"/>
      <c r="D1608" s="794"/>
      <c r="E1608" s="794"/>
      <c r="F1608" s="794"/>
      <c r="G1608" s="794"/>
      <c r="H1608" s="794"/>
      <c r="I1608" s="794"/>
      <c r="J1608" s="794"/>
      <c r="K1608" s="794"/>
      <c r="L1608" s="794"/>
      <c r="M1608" s="794"/>
      <c r="N1608" s="794"/>
      <c r="O1608" s="794"/>
      <c r="P1608" s="794"/>
      <c r="Q1608" s="794"/>
      <c r="R1608" s="794"/>
      <c r="S1608" s="794"/>
      <c r="T1608" s="794"/>
      <c r="U1608" s="794"/>
      <c r="V1608" s="794"/>
      <c r="W1608" s="794"/>
      <c r="X1608" s="794"/>
      <c r="Y1608" s="794"/>
      <c r="Z1608" s="794"/>
      <c r="AA1608" s="794"/>
      <c r="AB1608" s="794"/>
      <c r="AC1608" s="794"/>
      <c r="AD1608" s="794"/>
      <c r="AE1608"/>
    </row>
    <row r="1609" spans="1:55" ht="15" customHeight="1">
      <c r="A1609" s="94"/>
      <c r="B1609" s="795" t="str">
        <f>IF(AM1606&gt;0,"Alerta: debido a que cuenta con registros NS, debe proporcionar una justificación en el area de comentarios al final de la pregunta","")</f>
        <v/>
      </c>
      <c r="C1609" s="795"/>
      <c r="D1609" s="795"/>
      <c r="E1609" s="795"/>
      <c r="F1609" s="795"/>
      <c r="G1609" s="795"/>
      <c r="H1609" s="795"/>
      <c r="I1609" s="795"/>
      <c r="J1609" s="795"/>
      <c r="K1609" s="795"/>
      <c r="L1609" s="795"/>
      <c r="M1609" s="795"/>
      <c r="N1609" s="795"/>
      <c r="O1609" s="795"/>
      <c r="P1609" s="795"/>
      <c r="Q1609" s="795"/>
      <c r="R1609" s="795"/>
      <c r="S1609" s="795"/>
      <c r="T1609" s="795"/>
      <c r="U1609" s="795"/>
      <c r="V1609" s="795"/>
      <c r="W1609" s="795"/>
      <c r="X1609" s="795"/>
      <c r="Y1609" s="795"/>
      <c r="Z1609" s="795"/>
      <c r="AA1609" s="795"/>
      <c r="AB1609" s="795"/>
      <c r="AC1609" s="795"/>
      <c r="AD1609" s="795"/>
      <c r="AE1609"/>
    </row>
    <row r="1610" spans="1:55" ht="15" customHeight="1">
      <c r="A1610" s="94"/>
      <c r="B1610" s="794" t="str">
        <f>IF(AK1606&gt;0,"Favor de revisar la suma y consistencia de totales y/o subtotales por filas (numéricos y NS)","")</f>
        <v/>
      </c>
      <c r="C1610" s="794"/>
      <c r="D1610" s="794"/>
      <c r="E1610" s="794"/>
      <c r="F1610" s="794"/>
      <c r="G1610" s="794"/>
      <c r="H1610" s="794"/>
      <c r="I1610" s="794"/>
      <c r="J1610" s="794"/>
      <c r="K1610" s="794"/>
      <c r="L1610" s="794"/>
      <c r="M1610" s="794"/>
      <c r="N1610" s="794"/>
      <c r="O1610" s="794"/>
      <c r="P1610" s="794"/>
      <c r="Q1610" s="794"/>
      <c r="R1610" s="794"/>
      <c r="S1610" s="794"/>
      <c r="T1610" s="794"/>
      <c r="U1610" s="794"/>
      <c r="V1610" s="794"/>
      <c r="W1610" s="794"/>
      <c r="X1610" s="794"/>
      <c r="Y1610" s="794"/>
      <c r="Z1610" s="794"/>
      <c r="AA1610" s="794"/>
      <c r="AB1610" s="794"/>
      <c r="AC1610" s="794"/>
      <c r="AD1610" s="794"/>
      <c r="AE1610"/>
    </row>
    <row r="1611" spans="1:55" ht="15" customHeight="1">
      <c r="A1611" s="94"/>
      <c r="B1611" s="794" t="str">
        <f>IF(BC1599&gt;0,"Favor de revisar la instrucción 3, debido a que no se cumplen con los criterios mencionados","")</f>
        <v/>
      </c>
      <c r="C1611" s="794"/>
      <c r="D1611" s="794"/>
      <c r="E1611" s="794"/>
      <c r="F1611" s="794"/>
      <c r="G1611" s="794"/>
      <c r="H1611" s="794"/>
      <c r="I1611" s="794"/>
      <c r="J1611" s="794"/>
      <c r="K1611" s="794"/>
      <c r="L1611" s="794"/>
      <c r="M1611" s="794"/>
      <c r="N1611" s="794"/>
      <c r="O1611" s="794"/>
      <c r="P1611" s="794"/>
      <c r="Q1611" s="794"/>
      <c r="R1611" s="794"/>
      <c r="S1611" s="794"/>
      <c r="T1611" s="794"/>
      <c r="U1611" s="794"/>
      <c r="V1611" s="794"/>
      <c r="W1611" s="794"/>
      <c r="X1611" s="794"/>
      <c r="Y1611" s="794"/>
      <c r="Z1611" s="794"/>
      <c r="AA1611" s="794"/>
      <c r="AB1611" s="794"/>
      <c r="AC1611" s="794"/>
      <c r="AD1611" s="794"/>
      <c r="AE1611" s="794"/>
    </row>
    <row r="1612" spans="1:55" ht="15" customHeight="1">
      <c r="A1612" s="94"/>
      <c r="B1612" s="794" t="str">
        <f>IF(AW1604&gt;0,"Favor de revisar la instrucción 4, debido a que no se cumplen con los criterios mencionados","")</f>
        <v/>
      </c>
      <c r="C1612" s="794"/>
      <c r="D1612" s="794"/>
      <c r="E1612" s="794"/>
      <c r="F1612" s="794"/>
      <c r="G1612" s="794"/>
      <c r="H1612" s="794"/>
      <c r="I1612" s="794"/>
      <c r="J1612" s="794"/>
      <c r="K1612" s="794"/>
      <c r="L1612" s="794"/>
      <c r="M1612" s="794"/>
      <c r="N1612" s="794"/>
      <c r="O1612" s="794"/>
      <c r="P1612" s="794"/>
      <c r="Q1612" s="794"/>
      <c r="R1612" s="794"/>
      <c r="S1612" s="794"/>
      <c r="T1612" s="794"/>
      <c r="U1612" s="794"/>
      <c r="V1612" s="794"/>
      <c r="W1612" s="794"/>
      <c r="X1612" s="794"/>
      <c r="Y1612" s="794"/>
      <c r="Z1612" s="794"/>
      <c r="AA1612" s="794"/>
      <c r="AB1612" s="794"/>
      <c r="AC1612" s="794"/>
      <c r="AD1612" s="794"/>
      <c r="AE1612" s="794"/>
    </row>
    <row r="1613" spans="1:55" ht="15" customHeight="1">
      <c r="A1613" s="94"/>
      <c r="B1613"/>
      <c r="C1613"/>
      <c r="D1613"/>
      <c r="E1613"/>
      <c r="F1613"/>
      <c r="G1613"/>
      <c r="H1613"/>
      <c r="I1613"/>
      <c r="J1613"/>
      <c r="K1613"/>
      <c r="L1613"/>
      <c r="M1613"/>
      <c r="N1613"/>
      <c r="O1613"/>
      <c r="P1613"/>
      <c r="Q1613"/>
      <c r="R1613"/>
      <c r="S1613"/>
      <c r="T1613"/>
      <c r="U1613"/>
      <c r="V1613"/>
      <c r="W1613"/>
      <c r="X1613"/>
      <c r="Y1613"/>
      <c r="Z1613"/>
      <c r="AA1613"/>
      <c r="AB1613"/>
      <c r="AC1613"/>
      <c r="AD1613"/>
      <c r="AE1613"/>
    </row>
    <row r="1614" spans="1:55" customFormat="1" ht="36" customHeight="1">
      <c r="A1614" s="49" t="s">
        <v>3906</v>
      </c>
      <c r="B1614" s="829" t="s">
        <v>3907</v>
      </c>
      <c r="C1614" s="960"/>
      <c r="D1614" s="960"/>
      <c r="E1614" s="960"/>
      <c r="F1614" s="960"/>
      <c r="G1614" s="960"/>
      <c r="H1614" s="960"/>
      <c r="I1614" s="960"/>
      <c r="J1614" s="960"/>
      <c r="K1614" s="960"/>
      <c r="L1614" s="960"/>
      <c r="M1614" s="960"/>
      <c r="N1614" s="960"/>
      <c r="O1614" s="960"/>
      <c r="P1614" s="960"/>
      <c r="Q1614" s="960"/>
      <c r="R1614" s="960"/>
      <c r="S1614" s="960"/>
      <c r="T1614" s="960"/>
      <c r="U1614" s="960"/>
      <c r="V1614" s="960"/>
      <c r="W1614" s="960"/>
      <c r="X1614" s="960"/>
      <c r="Y1614" s="960"/>
      <c r="Z1614" s="960"/>
      <c r="AA1614" s="960"/>
      <c r="AB1614" s="960"/>
      <c r="AC1614" s="960"/>
      <c r="AD1614" s="960"/>
    </row>
    <row r="1615" spans="1:55" customFormat="1" ht="36" customHeight="1">
      <c r="A1615" s="49"/>
      <c r="B1615" s="105"/>
      <c r="C1615" s="754" t="s">
        <v>3908</v>
      </c>
      <c r="D1615" s="754"/>
      <c r="E1615" s="754"/>
      <c r="F1615" s="754"/>
      <c r="G1615" s="754"/>
      <c r="H1615" s="754"/>
      <c r="I1615" s="754"/>
      <c r="J1615" s="754"/>
      <c r="K1615" s="754"/>
      <c r="L1615" s="754"/>
      <c r="M1615" s="754"/>
      <c r="N1615" s="754"/>
      <c r="O1615" s="754"/>
      <c r="P1615" s="754"/>
      <c r="Q1615" s="754"/>
      <c r="R1615" s="754"/>
      <c r="S1615" s="754"/>
      <c r="T1615" s="754"/>
      <c r="U1615" s="754"/>
      <c r="V1615" s="754"/>
      <c r="W1615" s="754"/>
      <c r="X1615" s="754"/>
      <c r="Y1615" s="754"/>
      <c r="Z1615" s="754"/>
      <c r="AA1615" s="754"/>
      <c r="AB1615" s="754"/>
      <c r="AC1615" s="754"/>
      <c r="AD1615" s="754"/>
    </row>
    <row r="1616" spans="1:55" customFormat="1" ht="48" customHeight="1">
      <c r="A1616" s="49"/>
      <c r="B1616" s="105"/>
      <c r="C1616" s="754" t="s">
        <v>3909</v>
      </c>
      <c r="D1616" s="830"/>
      <c r="E1616" s="830"/>
      <c r="F1616" s="830"/>
      <c r="G1616" s="830"/>
      <c r="H1616" s="830"/>
      <c r="I1616" s="830"/>
      <c r="J1616" s="830"/>
      <c r="K1616" s="830"/>
      <c r="L1616" s="830"/>
      <c r="M1616" s="830"/>
      <c r="N1616" s="830"/>
      <c r="O1616" s="830"/>
      <c r="P1616" s="830"/>
      <c r="Q1616" s="830"/>
      <c r="R1616" s="830"/>
      <c r="S1616" s="830"/>
      <c r="T1616" s="830"/>
      <c r="U1616" s="830"/>
      <c r="V1616" s="830"/>
      <c r="W1616" s="830"/>
      <c r="X1616" s="830"/>
      <c r="Y1616" s="830"/>
      <c r="Z1616" s="830"/>
      <c r="AA1616" s="830"/>
      <c r="AB1616" s="830"/>
      <c r="AC1616" s="830"/>
      <c r="AD1616" s="830"/>
    </row>
    <row r="1617" spans="1:41" customFormat="1" ht="36" customHeight="1">
      <c r="A1617" s="49"/>
      <c r="B1617" s="105"/>
      <c r="C1617" s="754" t="s">
        <v>3910</v>
      </c>
      <c r="D1617" s="830"/>
      <c r="E1617" s="830"/>
      <c r="F1617" s="830"/>
      <c r="G1617" s="830"/>
      <c r="H1617" s="830"/>
      <c r="I1617" s="830"/>
      <c r="J1617" s="830"/>
      <c r="K1617" s="830"/>
      <c r="L1617" s="830"/>
      <c r="M1617" s="830"/>
      <c r="N1617" s="830"/>
      <c r="O1617" s="830"/>
      <c r="P1617" s="830"/>
      <c r="Q1617" s="830"/>
      <c r="R1617" s="830"/>
      <c r="S1617" s="830"/>
      <c r="T1617" s="830"/>
      <c r="U1617" s="830"/>
      <c r="V1617" s="830"/>
      <c r="W1617" s="830"/>
      <c r="X1617" s="830"/>
      <c r="Y1617" s="830"/>
      <c r="Z1617" s="830"/>
      <c r="AA1617" s="830"/>
      <c r="AB1617" s="830"/>
      <c r="AC1617" s="830"/>
      <c r="AD1617" s="830"/>
    </row>
    <row r="1618" spans="1:41" ht="15">
      <c r="A1618" s="49"/>
      <c r="B1618" s="54"/>
      <c r="C1618" s="75"/>
      <c r="D1618" s="75"/>
      <c r="E1618" s="75"/>
      <c r="F1618" s="75"/>
      <c r="G1618" s="75"/>
      <c r="H1618" s="75"/>
      <c r="I1618" s="75"/>
      <c r="J1618" s="75"/>
      <c r="K1618" s="75"/>
      <c r="L1618" s="75"/>
      <c r="M1618" s="75"/>
      <c r="N1618" s="75"/>
      <c r="O1618" s="75"/>
      <c r="P1618" s="75"/>
      <c r="Q1618" s="75"/>
      <c r="R1618" s="75"/>
      <c r="S1618" s="75"/>
      <c r="T1618" s="75"/>
      <c r="U1618" s="75"/>
      <c r="V1618" s="75"/>
      <c r="W1618" s="75"/>
      <c r="X1618" s="75"/>
      <c r="Y1618" s="75"/>
      <c r="Z1618" s="75"/>
    </row>
    <row r="1619" spans="1:41" ht="24" customHeight="1">
      <c r="A1619" s="50"/>
      <c r="B1619" s="38"/>
      <c r="C1619" s="732" t="s">
        <v>2581</v>
      </c>
      <c r="D1619" s="732"/>
      <c r="E1619" s="732"/>
      <c r="F1619" s="732"/>
      <c r="G1619" s="732"/>
      <c r="H1619" s="732"/>
      <c r="I1619" s="732"/>
      <c r="J1619" s="732"/>
      <c r="K1619" s="732"/>
      <c r="L1619" s="732"/>
      <c r="M1619" s="739" t="s">
        <v>3911</v>
      </c>
      <c r="N1619" s="740"/>
      <c r="O1619" s="740"/>
      <c r="P1619" s="740"/>
      <c r="Q1619" s="740"/>
      <c r="R1619" s="740"/>
      <c r="S1619" s="740"/>
      <c r="T1619" s="740"/>
      <c r="U1619" s="740"/>
      <c r="V1619" s="740"/>
      <c r="W1619" s="740"/>
      <c r="X1619" s="740"/>
      <c r="Y1619" s="740"/>
      <c r="Z1619" s="740"/>
      <c r="AA1619" s="740"/>
      <c r="AB1619" s="740"/>
      <c r="AC1619" s="740"/>
      <c r="AD1619" s="741"/>
      <c r="AG1619"/>
      <c r="AH1619"/>
      <c r="AI1619"/>
      <c r="AJ1619"/>
      <c r="AK1619"/>
      <c r="AL1619"/>
      <c r="AM1619" s="1033" t="s">
        <v>3912</v>
      </c>
      <c r="AN1619" s="1033"/>
      <c r="AO1619" s="1033"/>
    </row>
    <row r="1620" spans="1:41" ht="15" customHeight="1">
      <c r="A1620" s="50"/>
      <c r="B1620" s="38"/>
      <c r="C1620" s="732"/>
      <c r="D1620" s="732"/>
      <c r="E1620" s="732"/>
      <c r="F1620" s="732"/>
      <c r="G1620" s="732"/>
      <c r="H1620" s="732"/>
      <c r="I1620" s="732"/>
      <c r="J1620" s="732"/>
      <c r="K1620" s="732"/>
      <c r="L1620" s="732"/>
      <c r="M1620" s="739" t="s">
        <v>2628</v>
      </c>
      <c r="N1620" s="740"/>
      <c r="O1620" s="740"/>
      <c r="P1620" s="740"/>
      <c r="Q1620" s="740"/>
      <c r="R1620" s="741"/>
      <c r="S1620" s="733" t="s">
        <v>2629</v>
      </c>
      <c r="T1620" s="734"/>
      <c r="U1620" s="734"/>
      <c r="V1620" s="734"/>
      <c r="W1620" s="734"/>
      <c r="X1620" s="735"/>
      <c r="Y1620" s="733" t="s">
        <v>2630</v>
      </c>
      <c r="Z1620" s="734"/>
      <c r="AA1620" s="734"/>
      <c r="AB1620" s="734"/>
      <c r="AC1620" s="734"/>
      <c r="AD1620" s="735"/>
      <c r="AG1620" s="354" t="s">
        <v>2586</v>
      </c>
      <c r="AH1620" s="282" t="s">
        <v>2637</v>
      </c>
      <c r="AI1620" s="280" t="s">
        <v>2638</v>
      </c>
      <c r="AJ1620" s="281" t="s">
        <v>2639</v>
      </c>
      <c r="AK1620" s="487" t="s">
        <v>2620</v>
      </c>
      <c r="AL1620" s="365" t="s">
        <v>2620</v>
      </c>
      <c r="AM1620" s="488" t="s">
        <v>2795</v>
      </c>
      <c r="AN1620" s="489" t="s">
        <v>3177</v>
      </c>
      <c r="AO1620" s="490" t="s">
        <v>3178</v>
      </c>
    </row>
    <row r="1621" spans="1:41" ht="15" customHeight="1">
      <c r="A1621" s="50"/>
      <c r="B1621" s="38"/>
      <c r="C1621" s="97" t="s">
        <v>2516</v>
      </c>
      <c r="D1621" s="813" t="str">
        <f>IF(CNSIPEE_2024_M2_Secc1!D42="","",CNSIPEE_2024_M2_Secc1!D42)</f>
        <v/>
      </c>
      <c r="E1621" s="814"/>
      <c r="F1621" s="814"/>
      <c r="G1621" s="814"/>
      <c r="H1621" s="814"/>
      <c r="I1621" s="814"/>
      <c r="J1621" s="814"/>
      <c r="K1621" s="814"/>
      <c r="L1621" s="815"/>
      <c r="M1621" s="816"/>
      <c r="N1621" s="738"/>
      <c r="O1621" s="738"/>
      <c r="P1621" s="738"/>
      <c r="Q1621" s="738"/>
      <c r="R1621" s="817"/>
      <c r="S1621" s="816"/>
      <c r="T1621" s="738"/>
      <c r="U1621" s="738"/>
      <c r="V1621" s="738"/>
      <c r="W1621" s="738"/>
      <c r="X1621" s="817"/>
      <c r="Y1621" s="816"/>
      <c r="Z1621" s="738"/>
      <c r="AA1621" s="738"/>
      <c r="AB1621" s="738"/>
      <c r="AC1621" s="738"/>
      <c r="AD1621" s="817"/>
      <c r="AG1621" s="326">
        <f t="shared" ref="AG1621:AG1628" si="1591">IF(AND(COUNTBLANK(D1621)=0,$AH$1423=1,COUNTA(M1621:AD1621)=0),0,IF(AND(COUNTBLANK(D1621)=0,$AH$1423=0,OR(COUNTA(M1621:AD1621)=0,AND(COUNTA(M1621:AD1621)=3,$C$1632&lt;&gt;""))),0,IF(AND(COUNTBLANK(D1621)=1,COUNTA(M1621:AD1621)=0),0,1)))</f>
        <v>0</v>
      </c>
      <c r="AH1621" s="283">
        <f>COUNTIF(S1621:AD1621,"NS")</f>
        <v>0</v>
      </c>
      <c r="AI1621" s="283">
        <f>SUM(S1621:AD1621)</f>
        <v>0</v>
      </c>
      <c r="AJ1621" s="283">
        <f>IF(COUNTIF(M1621:AD1621,"NA")=3,0,IF(COUNTA(M1621:AD1621)=0,0,IF(OR(AND(M1621=0,AH1621&gt;0),AND(M1621="ns",AI1621&gt;0),AND(M1621="ns",AH1621=0,AI1621=0)),1,IF(OR(AND(M1621&gt;0,AH1621=2),AND(M1621="ns",AH1621=2),AND(M1621="ns",AI1621=0,AH1621&gt;0),M1621=AI1621),0,1))))</f>
        <v>0</v>
      </c>
      <c r="AK1621">
        <f>IF(AND(SUM($V1530)=0,COUNTA(M1621:AD1621)&gt;0),1,0)</f>
        <v>0</v>
      </c>
      <c r="AL1621">
        <f>IF(AND($AH$1423=1,COUNTA(M1621:AD1628)&gt;0),1,0)</f>
        <v>0</v>
      </c>
      <c r="AM1621">
        <f>IF(OR(M1621="NS",V1530="NS"),0,IF(AND(M1621="NA",V1530="NA"),0,IF(M1621&lt;=V1530,0,1)))</f>
        <v>0</v>
      </c>
      <c r="AN1621">
        <f>IF(OR(S1621="NS",W1530="NS"),0,IF(AND(S1621="NA",W1530="NA"),0,IF(S1621&lt;=W1530,0,1)))</f>
        <v>0</v>
      </c>
      <c r="AO1621">
        <f>IF(OR(Y1621="NS",X1530="NS"),0,IF(AND(Y1621="NA",X1530="NA"),0,IF(Y1621&lt;=X1530,0,1)))</f>
        <v>0</v>
      </c>
    </row>
    <row r="1622" spans="1:41" ht="15" customHeight="1">
      <c r="A1622" s="50"/>
      <c r="B1622" s="38"/>
      <c r="C1622" s="98" t="s">
        <v>2517</v>
      </c>
      <c r="D1622" s="813" t="str">
        <f>IF(CNSIPEE_2024_M2_Secc1!D43="","",CNSIPEE_2024_M2_Secc1!D43)</f>
        <v/>
      </c>
      <c r="E1622" s="814"/>
      <c r="F1622" s="814"/>
      <c r="G1622" s="814"/>
      <c r="H1622" s="814"/>
      <c r="I1622" s="814"/>
      <c r="J1622" s="814"/>
      <c r="K1622" s="814"/>
      <c r="L1622" s="815"/>
      <c r="M1622" s="816"/>
      <c r="N1622" s="738"/>
      <c r="O1622" s="738"/>
      <c r="P1622" s="738"/>
      <c r="Q1622" s="738"/>
      <c r="R1622" s="817"/>
      <c r="S1622" s="816"/>
      <c r="T1622" s="738"/>
      <c r="U1622" s="738"/>
      <c r="V1622" s="738"/>
      <c r="W1622" s="738"/>
      <c r="X1622" s="817"/>
      <c r="Y1622" s="816"/>
      <c r="Z1622" s="738"/>
      <c r="AA1622" s="738"/>
      <c r="AB1622" s="738"/>
      <c r="AC1622" s="738"/>
      <c r="AD1622" s="817"/>
      <c r="AG1622" s="326">
        <f t="shared" si="1591"/>
        <v>0</v>
      </c>
      <c r="AH1622" s="283">
        <f t="shared" ref="AH1622:AH1628" si="1592">COUNTIF(S1622:AD1622,"NS")</f>
        <v>0</v>
      </c>
      <c r="AI1622" s="283">
        <f t="shared" ref="AI1622:AI1628" si="1593">SUM(S1622:AD1622)</f>
        <v>0</v>
      </c>
      <c r="AJ1622" s="283">
        <f t="shared" ref="AJ1622:AJ1628" si="1594">IF(COUNTIF(M1622:AD1622,"NA")=3,0,IF(COUNTA(M1622:AD1622)=0,0,IF(OR(AND(M1622=0,AH1622&gt;0),AND(M1622="ns",AI1622&gt;0),AND(M1622="ns",AH1622=0,AI1622=0)),1,IF(OR(AND(M1622&gt;0,AH1622=2),AND(M1622="ns",AH1622=2),AND(M1622="ns",AI1622=0,AH1622&gt;0),M1622=AI1622),0,1))))</f>
        <v>0</v>
      </c>
      <c r="AK1622">
        <f t="shared" ref="AK1622:AK1628" si="1595">IF(AND(SUM($V1531)=0,COUNTA(M1622:AD1622)&gt;0),1,0)</f>
        <v>0</v>
      </c>
      <c r="AM1622">
        <f t="shared" ref="AM1622:AM1628" si="1596">IF(OR(M1622="NS",V1531="NS"),0,IF(AND(M1622="NA",V1531="NA"),0,IF(M1622&lt;=V1531,0,1)))</f>
        <v>0</v>
      </c>
      <c r="AN1622">
        <f t="shared" ref="AN1622:AN1628" si="1597">IF(OR(S1622="NS",W1531="NS"),0,IF(AND(S1622="NA",W1531="NA"),0,IF(S1622&lt;=W1531,0,1)))</f>
        <v>0</v>
      </c>
      <c r="AO1622">
        <f t="shared" ref="AO1622:AO1628" si="1598">IF(OR(Y1622="NS",X1531="NS"),0,IF(AND(Y1622="NA",X1531="NA"),0,IF(Y1622&lt;=X1531,0,1)))</f>
        <v>0</v>
      </c>
    </row>
    <row r="1623" spans="1:41" ht="15" customHeight="1">
      <c r="A1623" s="50"/>
      <c r="B1623" s="38"/>
      <c r="C1623" s="98" t="s">
        <v>2518</v>
      </c>
      <c r="D1623" s="813" t="str">
        <f>IF(CNSIPEE_2024_M2_Secc1!D44="","",CNSIPEE_2024_M2_Secc1!D44)</f>
        <v/>
      </c>
      <c r="E1623" s="814"/>
      <c r="F1623" s="814"/>
      <c r="G1623" s="814"/>
      <c r="H1623" s="814"/>
      <c r="I1623" s="814"/>
      <c r="J1623" s="814"/>
      <c r="K1623" s="814"/>
      <c r="L1623" s="815"/>
      <c r="M1623" s="816"/>
      <c r="N1623" s="738"/>
      <c r="O1623" s="738"/>
      <c r="P1623" s="738"/>
      <c r="Q1623" s="738"/>
      <c r="R1623" s="817"/>
      <c r="S1623" s="816"/>
      <c r="T1623" s="738"/>
      <c r="U1623" s="738"/>
      <c r="V1623" s="738"/>
      <c r="W1623" s="738"/>
      <c r="X1623" s="817"/>
      <c r="Y1623" s="816"/>
      <c r="Z1623" s="738"/>
      <c r="AA1623" s="738"/>
      <c r="AB1623" s="738"/>
      <c r="AC1623" s="738"/>
      <c r="AD1623" s="817"/>
      <c r="AG1623" s="326">
        <f t="shared" si="1591"/>
        <v>0</v>
      </c>
      <c r="AH1623" s="283">
        <f t="shared" si="1592"/>
        <v>0</v>
      </c>
      <c r="AI1623" s="283">
        <f t="shared" si="1593"/>
        <v>0</v>
      </c>
      <c r="AJ1623" s="283">
        <f t="shared" si="1594"/>
        <v>0</v>
      </c>
      <c r="AK1623">
        <f t="shared" si="1595"/>
        <v>0</v>
      </c>
      <c r="AM1623">
        <f t="shared" si="1596"/>
        <v>0</v>
      </c>
      <c r="AN1623">
        <f t="shared" si="1597"/>
        <v>0</v>
      </c>
      <c r="AO1623">
        <f t="shared" si="1598"/>
        <v>0</v>
      </c>
    </row>
    <row r="1624" spans="1:41" ht="15" customHeight="1">
      <c r="A1624" s="50"/>
      <c r="B1624" s="38"/>
      <c r="C1624" s="98" t="s">
        <v>2519</v>
      </c>
      <c r="D1624" s="813" t="str">
        <f>IF(CNSIPEE_2024_M2_Secc1!D45="","",CNSIPEE_2024_M2_Secc1!D45)</f>
        <v/>
      </c>
      <c r="E1624" s="814"/>
      <c r="F1624" s="814"/>
      <c r="G1624" s="814"/>
      <c r="H1624" s="814"/>
      <c r="I1624" s="814"/>
      <c r="J1624" s="814"/>
      <c r="K1624" s="814"/>
      <c r="L1624" s="815"/>
      <c r="M1624" s="816"/>
      <c r="N1624" s="738"/>
      <c r="O1624" s="738"/>
      <c r="P1624" s="738"/>
      <c r="Q1624" s="738"/>
      <c r="R1624" s="817"/>
      <c r="S1624" s="816"/>
      <c r="T1624" s="738"/>
      <c r="U1624" s="738"/>
      <c r="V1624" s="738"/>
      <c r="W1624" s="738"/>
      <c r="X1624" s="817"/>
      <c r="Y1624" s="816"/>
      <c r="Z1624" s="738"/>
      <c r="AA1624" s="738"/>
      <c r="AB1624" s="738"/>
      <c r="AC1624" s="738"/>
      <c r="AD1624" s="817"/>
      <c r="AG1624" s="326">
        <f t="shared" si="1591"/>
        <v>0</v>
      </c>
      <c r="AH1624" s="283">
        <f t="shared" si="1592"/>
        <v>0</v>
      </c>
      <c r="AI1624" s="283">
        <f t="shared" si="1593"/>
        <v>0</v>
      </c>
      <c r="AJ1624" s="283">
        <f t="shared" si="1594"/>
        <v>0</v>
      </c>
      <c r="AK1624">
        <f t="shared" si="1595"/>
        <v>0</v>
      </c>
      <c r="AM1624">
        <f t="shared" si="1596"/>
        <v>0</v>
      </c>
      <c r="AN1624">
        <f t="shared" si="1597"/>
        <v>0</v>
      </c>
      <c r="AO1624">
        <f t="shared" si="1598"/>
        <v>0</v>
      </c>
    </row>
    <row r="1625" spans="1:41" ht="15" customHeight="1">
      <c r="A1625" s="50"/>
      <c r="B1625" s="38"/>
      <c r="C1625" s="98" t="s">
        <v>2520</v>
      </c>
      <c r="D1625" s="813" t="str">
        <f>IF(CNSIPEE_2024_M2_Secc1!D46="","",CNSIPEE_2024_M2_Secc1!D46)</f>
        <v/>
      </c>
      <c r="E1625" s="814"/>
      <c r="F1625" s="814"/>
      <c r="G1625" s="814"/>
      <c r="H1625" s="814"/>
      <c r="I1625" s="814"/>
      <c r="J1625" s="814"/>
      <c r="K1625" s="814"/>
      <c r="L1625" s="815"/>
      <c r="M1625" s="816"/>
      <c r="N1625" s="738"/>
      <c r="O1625" s="738"/>
      <c r="P1625" s="738"/>
      <c r="Q1625" s="738"/>
      <c r="R1625" s="817"/>
      <c r="S1625" s="816"/>
      <c r="T1625" s="738"/>
      <c r="U1625" s="738"/>
      <c r="V1625" s="738"/>
      <c r="W1625" s="738"/>
      <c r="X1625" s="817"/>
      <c r="Y1625" s="816"/>
      <c r="Z1625" s="738"/>
      <c r="AA1625" s="738"/>
      <c r="AB1625" s="738"/>
      <c r="AC1625" s="738"/>
      <c r="AD1625" s="817"/>
      <c r="AG1625" s="326">
        <f t="shared" si="1591"/>
        <v>0</v>
      </c>
      <c r="AH1625" s="283">
        <f t="shared" si="1592"/>
        <v>0</v>
      </c>
      <c r="AI1625" s="283">
        <f t="shared" si="1593"/>
        <v>0</v>
      </c>
      <c r="AJ1625" s="283">
        <f t="shared" si="1594"/>
        <v>0</v>
      </c>
      <c r="AK1625">
        <f t="shared" si="1595"/>
        <v>0</v>
      </c>
      <c r="AM1625">
        <f t="shared" si="1596"/>
        <v>0</v>
      </c>
      <c r="AN1625">
        <f t="shared" si="1597"/>
        <v>0</v>
      </c>
      <c r="AO1625">
        <f t="shared" si="1598"/>
        <v>0</v>
      </c>
    </row>
    <row r="1626" spans="1:41" ht="15" customHeight="1">
      <c r="A1626" s="50"/>
      <c r="B1626" s="38"/>
      <c r="C1626" s="98" t="s">
        <v>2521</v>
      </c>
      <c r="D1626" s="813" t="str">
        <f>IF(CNSIPEE_2024_M2_Secc1!D47="","",CNSIPEE_2024_M2_Secc1!D47)</f>
        <v/>
      </c>
      <c r="E1626" s="814"/>
      <c r="F1626" s="814"/>
      <c r="G1626" s="814"/>
      <c r="H1626" s="814"/>
      <c r="I1626" s="814"/>
      <c r="J1626" s="814"/>
      <c r="K1626" s="814"/>
      <c r="L1626" s="815"/>
      <c r="M1626" s="816"/>
      <c r="N1626" s="738"/>
      <c r="O1626" s="738"/>
      <c r="P1626" s="738"/>
      <c r="Q1626" s="738"/>
      <c r="R1626" s="817"/>
      <c r="S1626" s="816"/>
      <c r="T1626" s="738"/>
      <c r="U1626" s="738"/>
      <c r="V1626" s="738"/>
      <c r="W1626" s="738"/>
      <c r="X1626" s="817"/>
      <c r="Y1626" s="816"/>
      <c r="Z1626" s="738"/>
      <c r="AA1626" s="738"/>
      <c r="AB1626" s="738"/>
      <c r="AC1626" s="738"/>
      <c r="AD1626" s="817"/>
      <c r="AG1626" s="326">
        <f t="shared" si="1591"/>
        <v>0</v>
      </c>
      <c r="AH1626" s="283">
        <f t="shared" si="1592"/>
        <v>0</v>
      </c>
      <c r="AI1626" s="283">
        <f t="shared" si="1593"/>
        <v>0</v>
      </c>
      <c r="AJ1626" s="283">
        <f t="shared" si="1594"/>
        <v>0</v>
      </c>
      <c r="AK1626">
        <f t="shared" si="1595"/>
        <v>0</v>
      </c>
      <c r="AM1626">
        <f t="shared" si="1596"/>
        <v>0</v>
      </c>
      <c r="AN1626">
        <f t="shared" si="1597"/>
        <v>0</v>
      </c>
      <c r="AO1626">
        <f t="shared" si="1598"/>
        <v>0</v>
      </c>
    </row>
    <row r="1627" spans="1:41" ht="15" customHeight="1">
      <c r="A1627" s="50"/>
      <c r="B1627" s="38"/>
      <c r="C1627" s="98" t="s">
        <v>2522</v>
      </c>
      <c r="D1627" s="813" t="str">
        <f>IF(CNSIPEE_2024_M2_Secc1!D48="","",CNSIPEE_2024_M2_Secc1!D48)</f>
        <v/>
      </c>
      <c r="E1627" s="814"/>
      <c r="F1627" s="814"/>
      <c r="G1627" s="814"/>
      <c r="H1627" s="814"/>
      <c r="I1627" s="814"/>
      <c r="J1627" s="814"/>
      <c r="K1627" s="814"/>
      <c r="L1627" s="815"/>
      <c r="M1627" s="816"/>
      <c r="N1627" s="738"/>
      <c r="O1627" s="738"/>
      <c r="P1627" s="738"/>
      <c r="Q1627" s="738"/>
      <c r="R1627" s="817"/>
      <c r="S1627" s="816"/>
      <c r="T1627" s="738"/>
      <c r="U1627" s="738"/>
      <c r="V1627" s="738"/>
      <c r="W1627" s="738"/>
      <c r="X1627" s="817"/>
      <c r="Y1627" s="816"/>
      <c r="Z1627" s="738"/>
      <c r="AA1627" s="738"/>
      <c r="AB1627" s="738"/>
      <c r="AC1627" s="738"/>
      <c r="AD1627" s="817"/>
      <c r="AG1627" s="326">
        <f t="shared" si="1591"/>
        <v>0</v>
      </c>
      <c r="AH1627" s="283">
        <f t="shared" si="1592"/>
        <v>0</v>
      </c>
      <c r="AI1627" s="283">
        <f t="shared" si="1593"/>
        <v>0</v>
      </c>
      <c r="AJ1627" s="283">
        <f t="shared" si="1594"/>
        <v>0</v>
      </c>
      <c r="AK1627">
        <f t="shared" si="1595"/>
        <v>0</v>
      </c>
      <c r="AM1627">
        <f t="shared" si="1596"/>
        <v>0</v>
      </c>
      <c r="AN1627">
        <f t="shared" si="1597"/>
        <v>0</v>
      </c>
      <c r="AO1627">
        <f t="shared" si="1598"/>
        <v>0</v>
      </c>
    </row>
    <row r="1628" spans="1:41" ht="15" customHeight="1">
      <c r="A1628" s="50"/>
      <c r="B1628" s="38"/>
      <c r="C1628" s="98" t="s">
        <v>2523</v>
      </c>
      <c r="D1628" s="813" t="str">
        <f>IF(CNSIPEE_2024_M2_Secc1!D49="","",CNSIPEE_2024_M2_Secc1!D49)</f>
        <v/>
      </c>
      <c r="E1628" s="814"/>
      <c r="F1628" s="814"/>
      <c r="G1628" s="814"/>
      <c r="H1628" s="814"/>
      <c r="I1628" s="814"/>
      <c r="J1628" s="814"/>
      <c r="K1628" s="814"/>
      <c r="L1628" s="815"/>
      <c r="M1628" s="816"/>
      <c r="N1628" s="738"/>
      <c r="O1628" s="738"/>
      <c r="P1628" s="738"/>
      <c r="Q1628" s="738"/>
      <c r="R1628" s="817"/>
      <c r="S1628" s="816"/>
      <c r="T1628" s="738"/>
      <c r="U1628" s="738"/>
      <c r="V1628" s="738"/>
      <c r="W1628" s="738"/>
      <c r="X1628" s="817"/>
      <c r="Y1628" s="816"/>
      <c r="Z1628" s="738"/>
      <c r="AA1628" s="738"/>
      <c r="AB1628" s="738"/>
      <c r="AC1628" s="738"/>
      <c r="AD1628" s="817"/>
      <c r="AG1628" s="326">
        <f t="shared" si="1591"/>
        <v>0</v>
      </c>
      <c r="AH1628" s="283">
        <f t="shared" si="1592"/>
        <v>0</v>
      </c>
      <c r="AI1628" s="283">
        <f t="shared" si="1593"/>
        <v>0</v>
      </c>
      <c r="AJ1628" s="283">
        <f t="shared" si="1594"/>
        <v>0</v>
      </c>
      <c r="AK1628">
        <f t="shared" si="1595"/>
        <v>0</v>
      </c>
      <c r="AM1628">
        <f t="shared" si="1596"/>
        <v>0</v>
      </c>
      <c r="AN1628">
        <f t="shared" si="1597"/>
        <v>0</v>
      </c>
      <c r="AO1628">
        <f t="shared" si="1598"/>
        <v>0</v>
      </c>
    </row>
    <row r="1629" spans="1:41" ht="15" customHeight="1">
      <c r="A1629" s="50"/>
      <c r="B1629" s="38"/>
      <c r="C1629" s="38"/>
      <c r="D1629" s="93"/>
      <c r="E1629" s="93"/>
      <c r="F1629" s="93"/>
      <c r="G1629" s="93"/>
      <c r="H1629" s="93"/>
      <c r="I1629" s="93"/>
      <c r="J1629" s="93"/>
      <c r="K1629" s="93"/>
      <c r="L1629" s="99" t="s">
        <v>2649</v>
      </c>
      <c r="M1629" s="733">
        <f>IF(AND(SUM(M1621:R1628)=0,COUNTIF(M1621:R1628,"NS")&gt;0),"NS",
IF(AND(SUM(M1621:R1628)=0,COUNTIF(M1621:R1628,0)&gt;0),0,
IF(AND(SUM(M1621:R1628)=0,COUNTIF(M1621:R1628,"NA")&gt;0),"NA",
SUM(M1621:R1628))))</f>
        <v>0</v>
      </c>
      <c r="N1629" s="734"/>
      <c r="O1629" s="734"/>
      <c r="P1629" s="734"/>
      <c r="Q1629" s="734"/>
      <c r="R1629" s="735"/>
      <c r="S1629" s="733">
        <f t="shared" ref="S1629" si="1599">IF(AND(SUM(S1621:X1628)=0,COUNTIF(S1621:X1628,"NS")&gt;0),"NS",
IF(AND(SUM(S1621:X1628)=0,COUNTIF(S1621:X1628,0)&gt;0),0,
IF(AND(SUM(S1621:X1628)=0,COUNTIF(S1621:X1628,"NA")&gt;0),"NA",
SUM(S1621:X1628))))</f>
        <v>0</v>
      </c>
      <c r="T1629" s="734"/>
      <c r="U1629" s="734"/>
      <c r="V1629" s="734"/>
      <c r="W1629" s="734"/>
      <c r="X1629" s="735"/>
      <c r="Y1629" s="733">
        <f t="shared" ref="Y1629" si="1600">IF(AND(SUM(Y1621:AD1628)=0,COUNTIF(Y1621:AD1628,"NS")&gt;0),"NS",
IF(AND(SUM(Y1621:AD1628)=0,COUNTIF(Y1621:AD1628,0)&gt;0),0,
IF(AND(SUM(Y1621:AD1628)=0,COUNTIF(Y1621:AD1628,"NA")&gt;0),"NA",
SUM(Y1621:AD1628))))</f>
        <v>0</v>
      </c>
      <c r="Z1629" s="734"/>
      <c r="AA1629" s="734"/>
      <c r="AB1629" s="734"/>
      <c r="AC1629" s="734"/>
      <c r="AD1629" s="735"/>
      <c r="AG1629" s="354">
        <f>SUM(AG1621:AG1628)</f>
        <v>0</v>
      </c>
      <c r="AH1629" s="406">
        <f>SUM(AH1621:AH1628)</f>
        <v>0</v>
      </c>
      <c r="AI1629" s="351">
        <f>SUM(AI1621:AI1628)</f>
        <v>0</v>
      </c>
      <c r="AJ1629" s="352">
        <f>SUM(AJ1621:AJ1628)</f>
        <v>0</v>
      </c>
      <c r="AK1629" s="419">
        <f>SUM(AK1621:AK1628)</f>
        <v>0</v>
      </c>
      <c r="AL1629"/>
      <c r="AM1629" s="488">
        <f>SUM(AM1621:AM1628)</f>
        <v>0</v>
      </c>
      <c r="AN1629" s="489">
        <f>SUM(AN1621:AN1628)</f>
        <v>0</v>
      </c>
      <c r="AO1629" s="490">
        <f>SUM(AO1621:AO1628)</f>
        <v>0</v>
      </c>
    </row>
    <row r="1630" spans="1:41" ht="15">
      <c r="A1630" s="94"/>
      <c r="C1630" s="107"/>
      <c r="D1630" s="107"/>
      <c r="E1630" s="107"/>
      <c r="F1630" s="107"/>
      <c r="G1630" s="107"/>
      <c r="H1630" s="107"/>
      <c r="I1630" s="107"/>
      <c r="J1630" s="107"/>
      <c r="K1630" s="107"/>
      <c r="L1630" s="107"/>
      <c r="M1630" s="107"/>
      <c r="N1630" s="107"/>
      <c r="O1630" s="107"/>
      <c r="P1630" s="107"/>
      <c r="Q1630" s="107"/>
      <c r="R1630" s="107"/>
      <c r="S1630" s="107"/>
      <c r="T1630" s="107"/>
      <c r="U1630" s="107"/>
      <c r="V1630" s="107"/>
      <c r="W1630" s="107"/>
      <c r="X1630" s="107"/>
      <c r="Y1630" s="107"/>
      <c r="Z1630" s="107"/>
      <c r="AA1630" s="107"/>
      <c r="AB1630" s="107"/>
      <c r="AC1630" s="107"/>
      <c r="AD1630" s="107"/>
      <c r="AG1630"/>
      <c r="AH1630"/>
      <c r="AI1630"/>
      <c r="AJ1630"/>
      <c r="AK1630"/>
      <c r="AL1630"/>
      <c r="AM1630"/>
      <c r="AN1630"/>
      <c r="AO1630" s="491">
        <f>SUM(AM1629:AO1629)</f>
        <v>0</v>
      </c>
    </row>
    <row r="1631" spans="1:41" ht="24" customHeight="1">
      <c r="A1631" s="94"/>
      <c r="C1631" s="764" t="s">
        <v>2611</v>
      </c>
      <c r="D1631" s="764"/>
      <c r="E1631" s="764"/>
      <c r="F1631" s="764"/>
      <c r="G1631" s="764"/>
      <c r="H1631" s="764"/>
      <c r="I1631" s="764"/>
      <c r="J1631" s="764"/>
      <c r="K1631" s="764"/>
      <c r="L1631" s="764"/>
      <c r="M1631" s="764"/>
      <c r="N1631" s="764"/>
      <c r="O1631" s="764"/>
      <c r="P1631" s="764"/>
      <c r="Q1631" s="764"/>
      <c r="R1631" s="764"/>
      <c r="S1631" s="764"/>
      <c r="T1631" s="764"/>
      <c r="U1631" s="764"/>
      <c r="V1631" s="764"/>
      <c r="W1631" s="764"/>
      <c r="X1631" s="764"/>
      <c r="Y1631" s="764"/>
      <c r="Z1631" s="764"/>
      <c r="AA1631" s="764"/>
      <c r="AB1631" s="764"/>
      <c r="AC1631" s="764"/>
      <c r="AD1631" s="764"/>
    </row>
    <row r="1632" spans="1:41" ht="60" customHeight="1">
      <c r="A1632" s="94"/>
      <c r="C1632" s="882"/>
      <c r="D1632" s="883"/>
      <c r="E1632" s="883"/>
      <c r="F1632" s="883"/>
      <c r="G1632" s="883"/>
      <c r="H1632" s="883"/>
      <c r="I1632" s="883"/>
      <c r="J1632" s="883"/>
      <c r="K1632" s="883"/>
      <c r="L1632" s="883"/>
      <c r="M1632" s="883"/>
      <c r="N1632" s="883"/>
      <c r="O1632" s="883"/>
      <c r="P1632" s="883"/>
      <c r="Q1632" s="883"/>
      <c r="R1632" s="883"/>
      <c r="S1632" s="883"/>
      <c r="T1632" s="883"/>
      <c r="U1632" s="883"/>
      <c r="V1632" s="883"/>
      <c r="W1632" s="883"/>
      <c r="X1632" s="883"/>
      <c r="Y1632" s="883"/>
      <c r="Z1632" s="883"/>
      <c r="AA1632" s="883"/>
      <c r="AB1632" s="883"/>
      <c r="AC1632" s="883"/>
      <c r="AD1632" s="884"/>
    </row>
    <row r="1633" spans="1:31" ht="15" customHeight="1">
      <c r="A1633" s="91"/>
      <c r="B1633" s="794" t="str">
        <f>IF(AG1629&gt;0,"Favor de ingresar toda la información requerida en la pregunta y/o verifique que no tenga información en celdas sombreadas","")</f>
        <v/>
      </c>
      <c r="C1633" s="794"/>
      <c r="D1633" s="794"/>
      <c r="E1633" s="794"/>
      <c r="F1633" s="794"/>
      <c r="G1633" s="794"/>
      <c r="H1633" s="794"/>
      <c r="I1633" s="794"/>
      <c r="J1633" s="794"/>
      <c r="K1633" s="794"/>
      <c r="L1633" s="794"/>
      <c r="M1633" s="794"/>
      <c r="N1633" s="794"/>
      <c r="O1633" s="794"/>
      <c r="P1633" s="794"/>
      <c r="Q1633" s="794"/>
      <c r="R1633" s="794"/>
      <c r="S1633" s="794"/>
      <c r="T1633" s="794"/>
      <c r="U1633" s="794"/>
      <c r="V1633" s="794"/>
      <c r="W1633" s="794"/>
      <c r="X1633" s="794"/>
      <c r="Y1633" s="794"/>
      <c r="Z1633" s="794"/>
      <c r="AA1633" s="794"/>
      <c r="AB1633" s="794"/>
      <c r="AC1633" s="794"/>
      <c r="AD1633" s="794"/>
      <c r="AE1633"/>
    </row>
    <row r="1634" spans="1:31" ht="15" customHeight="1">
      <c r="A1634" s="91"/>
      <c r="B1634" s="795" t="str">
        <f>IF(AH1629&gt;0,"Alerta: debido a que cuenta con registros NS, debe proporcionar una justificación en el area de comentarios al final de la pregunta","")</f>
        <v/>
      </c>
      <c r="C1634" s="795"/>
      <c r="D1634" s="795"/>
      <c r="E1634" s="795"/>
      <c r="F1634" s="795"/>
      <c r="G1634" s="795"/>
      <c r="H1634" s="795"/>
      <c r="I1634" s="795"/>
      <c r="J1634" s="795"/>
      <c r="K1634" s="795"/>
      <c r="L1634" s="795"/>
      <c r="M1634" s="795"/>
      <c r="N1634" s="795"/>
      <c r="O1634" s="795"/>
      <c r="P1634" s="795"/>
      <c r="Q1634" s="795"/>
      <c r="R1634" s="795"/>
      <c r="S1634" s="795"/>
      <c r="T1634" s="795"/>
      <c r="U1634" s="795"/>
      <c r="V1634" s="795"/>
      <c r="W1634" s="795"/>
      <c r="X1634" s="795"/>
      <c r="Y1634" s="795"/>
      <c r="Z1634" s="795"/>
      <c r="AA1634" s="795"/>
      <c r="AB1634" s="795"/>
      <c r="AC1634" s="795"/>
      <c r="AD1634" s="795"/>
      <c r="AE1634"/>
    </row>
    <row r="1635" spans="1:31" ht="15" customHeight="1">
      <c r="A1635" s="91"/>
      <c r="B1635" s="794" t="str">
        <f>IF(AJ1629&gt;0,"Favor de revisar la suma y consistencia de totales y/o subtotales por filas (numéricos y NS)","")</f>
        <v/>
      </c>
      <c r="C1635" s="794"/>
      <c r="D1635" s="794"/>
      <c r="E1635" s="794"/>
      <c r="F1635" s="794"/>
      <c r="G1635" s="794"/>
      <c r="H1635" s="794"/>
      <c r="I1635" s="794"/>
      <c r="J1635" s="794"/>
      <c r="K1635" s="794"/>
      <c r="L1635" s="794"/>
      <c r="M1635" s="794"/>
      <c r="N1635" s="794"/>
      <c r="O1635" s="794"/>
      <c r="P1635" s="794"/>
      <c r="Q1635" s="794"/>
      <c r="R1635" s="794"/>
      <c r="S1635" s="794"/>
      <c r="T1635" s="794"/>
      <c r="U1635" s="794"/>
      <c r="V1635" s="794"/>
      <c r="W1635" s="794"/>
      <c r="X1635" s="794"/>
      <c r="Y1635" s="794"/>
      <c r="Z1635" s="794"/>
      <c r="AA1635" s="794"/>
      <c r="AB1635" s="794"/>
      <c r="AC1635" s="794"/>
      <c r="AD1635" s="794"/>
      <c r="AE1635"/>
    </row>
    <row r="1636" spans="1:31" ht="15" customHeight="1">
      <c r="A1636" s="91"/>
      <c r="B1636" s="795" t="str">
        <f>IF(AK1629&gt;0,"Alerta: debe de proporcionar una justificación de acuerdo a lo establecido en la instrucción 1","")</f>
        <v/>
      </c>
      <c r="C1636" s="795"/>
      <c r="D1636" s="795"/>
      <c r="E1636" s="795"/>
      <c r="F1636" s="795"/>
      <c r="G1636" s="795"/>
      <c r="H1636" s="795"/>
      <c r="I1636" s="795"/>
      <c r="J1636" s="795"/>
      <c r="K1636" s="795"/>
      <c r="L1636" s="795"/>
      <c r="M1636" s="795"/>
      <c r="N1636" s="795"/>
      <c r="O1636" s="795"/>
      <c r="P1636" s="795"/>
      <c r="Q1636" s="795"/>
      <c r="R1636" s="795"/>
      <c r="S1636" s="795"/>
      <c r="T1636" s="795"/>
      <c r="U1636" s="795"/>
      <c r="V1636" s="795"/>
      <c r="W1636" s="795"/>
      <c r="X1636" s="795"/>
      <c r="Y1636" s="795"/>
      <c r="Z1636" s="795"/>
      <c r="AA1636" s="795"/>
      <c r="AB1636" s="795"/>
      <c r="AC1636" s="795"/>
      <c r="AD1636" s="795"/>
      <c r="AE1636" s="795"/>
    </row>
    <row r="1637" spans="1:31" ht="15" customHeight="1">
      <c r="A1637" s="91"/>
      <c r="B1637" s="795" t="str">
        <f>IF(AO1630&gt;0,"Alerta: debe de proporcionar una justificación de acuerdo a lo establecido en la instrucción 3","")</f>
        <v/>
      </c>
      <c r="C1637" s="795"/>
      <c r="D1637" s="795"/>
      <c r="E1637" s="795"/>
      <c r="F1637" s="795"/>
      <c r="G1637" s="795"/>
      <c r="H1637" s="795"/>
      <c r="I1637" s="795"/>
      <c r="J1637" s="795"/>
      <c r="K1637" s="795"/>
      <c r="L1637" s="795"/>
      <c r="M1637" s="795"/>
      <c r="N1637" s="795"/>
      <c r="O1637" s="795"/>
      <c r="P1637" s="795"/>
      <c r="Q1637" s="795"/>
      <c r="R1637" s="795"/>
      <c r="S1637" s="795"/>
      <c r="T1637" s="795"/>
      <c r="U1637" s="795"/>
      <c r="V1637" s="795"/>
      <c r="W1637" s="795"/>
      <c r="X1637" s="795"/>
      <c r="Y1637" s="795"/>
      <c r="Z1637" s="795"/>
      <c r="AA1637" s="795"/>
      <c r="AB1637" s="795"/>
      <c r="AC1637" s="795"/>
      <c r="AD1637" s="795"/>
      <c r="AE1637" s="795"/>
    </row>
    <row r="1638" spans="1:31" ht="15" customHeight="1" thickBot="1">
      <c r="A1638" s="91"/>
      <c r="AE1638"/>
    </row>
    <row r="1639" spans="1:31" customFormat="1" ht="15.75" customHeight="1" thickBot="1">
      <c r="A1639" s="153" t="s">
        <v>2563</v>
      </c>
      <c r="B1639" s="943" t="s">
        <v>3913</v>
      </c>
      <c r="C1639" s="944"/>
      <c r="D1639" s="944"/>
      <c r="E1639" s="944"/>
      <c r="F1639" s="944"/>
      <c r="G1639" s="944"/>
      <c r="H1639" s="944"/>
      <c r="I1639" s="944"/>
      <c r="J1639" s="944"/>
      <c r="K1639" s="944"/>
      <c r="L1639" s="944"/>
      <c r="M1639" s="944"/>
      <c r="N1639" s="944"/>
      <c r="O1639" s="944"/>
      <c r="P1639" s="944"/>
      <c r="Q1639" s="944"/>
      <c r="R1639" s="944"/>
      <c r="S1639" s="944"/>
      <c r="T1639" s="944"/>
      <c r="U1639" s="944"/>
      <c r="V1639" s="944"/>
      <c r="W1639" s="944"/>
      <c r="X1639" s="944"/>
      <c r="Y1639" s="944"/>
      <c r="Z1639" s="944"/>
      <c r="AA1639" s="944"/>
      <c r="AB1639" s="944"/>
      <c r="AC1639" s="944"/>
      <c r="AD1639" s="945"/>
      <c r="AE1639" s="3"/>
    </row>
    <row r="1640" spans="1:31" ht="15" customHeight="1">
      <c r="A1640" s="94"/>
      <c r="B1640" s="1006" t="s">
        <v>3332</v>
      </c>
      <c r="C1640" s="893"/>
      <c r="D1640" s="893"/>
      <c r="E1640" s="893"/>
      <c r="F1640" s="893"/>
      <c r="G1640" s="893"/>
      <c r="H1640" s="893"/>
      <c r="I1640" s="893"/>
      <c r="J1640" s="893"/>
      <c r="K1640" s="893"/>
      <c r="L1640" s="893"/>
      <c r="M1640" s="893"/>
      <c r="N1640" s="893"/>
      <c r="O1640" s="893"/>
      <c r="P1640" s="893"/>
      <c r="Q1640" s="893"/>
      <c r="R1640" s="893"/>
      <c r="S1640" s="893"/>
      <c r="T1640" s="893"/>
      <c r="U1640" s="893"/>
      <c r="V1640" s="893"/>
      <c r="W1640" s="893"/>
      <c r="X1640" s="893"/>
      <c r="Y1640" s="893"/>
      <c r="Z1640" s="893"/>
      <c r="AA1640" s="893"/>
      <c r="AB1640" s="893"/>
      <c r="AC1640" s="893"/>
      <c r="AD1640" s="1007"/>
    </row>
    <row r="1641" spans="1:31" ht="24" customHeight="1">
      <c r="A1641" s="94"/>
      <c r="B1641" s="74"/>
      <c r="C1641" s="754" t="s">
        <v>3914</v>
      </c>
      <c r="D1641" s="830"/>
      <c r="E1641" s="830"/>
      <c r="F1641" s="830"/>
      <c r="G1641" s="830"/>
      <c r="H1641" s="830"/>
      <c r="I1641" s="830"/>
      <c r="J1641" s="830"/>
      <c r="K1641" s="830"/>
      <c r="L1641" s="830"/>
      <c r="M1641" s="830"/>
      <c r="N1641" s="830"/>
      <c r="O1641" s="830"/>
      <c r="P1641" s="830"/>
      <c r="Q1641" s="830"/>
      <c r="R1641" s="830"/>
      <c r="S1641" s="830"/>
      <c r="T1641" s="830"/>
      <c r="U1641" s="830"/>
      <c r="V1641" s="830"/>
      <c r="W1641" s="830"/>
      <c r="X1641" s="830"/>
      <c r="Y1641" s="830"/>
      <c r="Z1641" s="830"/>
      <c r="AA1641" s="830"/>
      <c r="AB1641" s="830"/>
      <c r="AC1641" s="830"/>
      <c r="AD1641" s="886"/>
    </row>
    <row r="1642" spans="1:31" ht="24" customHeight="1">
      <c r="A1642" s="94"/>
      <c r="B1642" s="114"/>
      <c r="C1642" s="764" t="s">
        <v>3915</v>
      </c>
      <c r="D1642" s="876"/>
      <c r="E1642" s="876"/>
      <c r="F1642" s="876"/>
      <c r="G1642" s="876"/>
      <c r="H1642" s="876"/>
      <c r="I1642" s="876"/>
      <c r="J1642" s="876"/>
      <c r="K1642" s="876"/>
      <c r="L1642" s="876"/>
      <c r="M1642" s="876"/>
      <c r="N1642" s="876"/>
      <c r="O1642" s="876"/>
      <c r="P1642" s="876"/>
      <c r="Q1642" s="876"/>
      <c r="R1642" s="876"/>
      <c r="S1642" s="876"/>
      <c r="T1642" s="876"/>
      <c r="U1642" s="876"/>
      <c r="V1642" s="876"/>
      <c r="W1642" s="876"/>
      <c r="X1642" s="876"/>
      <c r="Y1642" s="876"/>
      <c r="Z1642" s="876"/>
      <c r="AA1642" s="876"/>
      <c r="AB1642" s="876"/>
      <c r="AC1642" s="876"/>
      <c r="AD1642" s="877"/>
    </row>
    <row r="1643" spans="1:31" ht="15">
      <c r="A1643" s="94"/>
    </row>
    <row r="1644" spans="1:31" ht="36" customHeight="1">
      <c r="A1644" s="49" t="s">
        <v>3916</v>
      </c>
      <c r="B1644" s="829" t="s">
        <v>3917</v>
      </c>
      <c r="C1644" s="829"/>
      <c r="D1644" s="829"/>
      <c r="E1644" s="829"/>
      <c r="F1644" s="829"/>
      <c r="G1644" s="829"/>
      <c r="H1644" s="829"/>
      <c r="I1644" s="829"/>
      <c r="J1644" s="829"/>
      <c r="K1644" s="829"/>
      <c r="L1644" s="829"/>
      <c r="M1644" s="829"/>
      <c r="N1644" s="829"/>
      <c r="O1644" s="829"/>
      <c r="P1644" s="829"/>
      <c r="Q1644" s="829"/>
      <c r="R1644" s="829"/>
      <c r="S1644" s="829"/>
      <c r="T1644" s="829"/>
      <c r="U1644" s="829"/>
      <c r="V1644" s="829"/>
      <c r="W1644" s="829"/>
      <c r="X1644" s="829"/>
      <c r="Y1644" s="829"/>
      <c r="Z1644" s="829"/>
      <c r="AA1644" s="829"/>
      <c r="AB1644" s="829"/>
      <c r="AC1644" s="829"/>
      <c r="AD1644" s="829"/>
    </row>
    <row r="1645" spans="1:31" ht="36" customHeight="1">
      <c r="A1645" s="112"/>
      <c r="B1645" s="113"/>
      <c r="C1645" s="830" t="s">
        <v>3918</v>
      </c>
      <c r="D1645" s="830"/>
      <c r="E1645" s="830"/>
      <c r="F1645" s="830"/>
      <c r="G1645" s="830"/>
      <c r="H1645" s="830"/>
      <c r="I1645" s="830"/>
      <c r="J1645" s="830"/>
      <c r="K1645" s="830"/>
      <c r="L1645" s="830"/>
      <c r="M1645" s="830"/>
      <c r="N1645" s="830"/>
      <c r="O1645" s="830"/>
      <c r="P1645" s="830"/>
      <c r="Q1645" s="830"/>
      <c r="R1645" s="830"/>
      <c r="S1645" s="830"/>
      <c r="T1645" s="830"/>
      <c r="U1645" s="830"/>
      <c r="V1645" s="830"/>
      <c r="W1645" s="830"/>
      <c r="X1645" s="830"/>
      <c r="Y1645" s="830"/>
      <c r="Z1645" s="830"/>
      <c r="AA1645" s="830"/>
      <c r="AB1645" s="830"/>
      <c r="AC1645" s="830"/>
      <c r="AD1645" s="830"/>
    </row>
    <row r="1646" spans="1:31" ht="15">
      <c r="A1646" s="112"/>
      <c r="B1646" s="113"/>
    </row>
    <row r="1647" spans="1:31" ht="15">
      <c r="A1647" s="115"/>
      <c r="AA1647" s="875" t="s">
        <v>3205</v>
      </c>
      <c r="AB1647" s="875"/>
      <c r="AC1647" s="875"/>
      <c r="AD1647" s="875"/>
    </row>
    <row r="1648" spans="1:31" ht="24" customHeight="1">
      <c r="A1648" s="142"/>
      <c r="B1648" s="113"/>
      <c r="C1648" s="797" t="s">
        <v>2581</v>
      </c>
      <c r="D1648" s="798"/>
      <c r="E1648" s="798"/>
      <c r="F1648" s="799"/>
      <c r="G1648" s="847" t="s">
        <v>3919</v>
      </c>
      <c r="H1648" s="953"/>
      <c r="I1648" s="848"/>
      <c r="J1648" s="739" t="s">
        <v>3920</v>
      </c>
      <c r="K1648" s="740"/>
      <c r="L1648" s="740"/>
      <c r="M1648" s="740"/>
      <c r="N1648" s="740"/>
      <c r="O1648" s="740"/>
      <c r="P1648" s="740"/>
      <c r="Q1648" s="740"/>
      <c r="R1648" s="740"/>
      <c r="S1648" s="740"/>
      <c r="T1648" s="740"/>
      <c r="U1648" s="740"/>
      <c r="V1648" s="740"/>
      <c r="W1648" s="740"/>
      <c r="X1648" s="740"/>
      <c r="Y1648" s="740"/>
      <c r="Z1648" s="740"/>
      <c r="AA1648" s="740"/>
      <c r="AB1648" s="740"/>
      <c r="AC1648" s="740"/>
      <c r="AD1648" s="741"/>
    </row>
    <row r="1649" spans="1:104" ht="15">
      <c r="A1649" s="142"/>
      <c r="B1649" s="113"/>
      <c r="C1649" s="800"/>
      <c r="D1649" s="801"/>
      <c r="E1649" s="801"/>
      <c r="F1649" s="802"/>
      <c r="G1649" s="954"/>
      <c r="H1649" s="955"/>
      <c r="I1649" s="956"/>
      <c r="J1649" s="887" t="s">
        <v>2628</v>
      </c>
      <c r="K1649" s="889" t="s">
        <v>2629</v>
      </c>
      <c r="L1649" s="889" t="s">
        <v>2630</v>
      </c>
      <c r="M1649" s="841" t="s">
        <v>3267</v>
      </c>
      <c r="N1649" s="950"/>
      <c r="O1649" s="842"/>
      <c r="P1649" s="733" t="s">
        <v>3268</v>
      </c>
      <c r="Q1649" s="734"/>
      <c r="R1649" s="734"/>
      <c r="S1649" s="734"/>
      <c r="T1649" s="734"/>
      <c r="U1649" s="734"/>
      <c r="V1649" s="734"/>
      <c r="W1649" s="734"/>
      <c r="X1649" s="734"/>
      <c r="Y1649" s="734"/>
      <c r="Z1649" s="734"/>
      <c r="AA1649" s="734"/>
      <c r="AB1649" s="734"/>
      <c r="AC1649" s="734"/>
      <c r="AD1649" s="735"/>
    </row>
    <row r="1650" spans="1:104" ht="15">
      <c r="A1650" s="142"/>
      <c r="B1650" s="113"/>
      <c r="C1650" s="800"/>
      <c r="D1650" s="801"/>
      <c r="E1650" s="801"/>
      <c r="F1650" s="802"/>
      <c r="G1650" s="954"/>
      <c r="H1650" s="955"/>
      <c r="I1650" s="956"/>
      <c r="J1650" s="958"/>
      <c r="K1650" s="959"/>
      <c r="L1650" s="959"/>
      <c r="M1650" s="843"/>
      <c r="N1650" s="951"/>
      <c r="O1650" s="844"/>
      <c r="P1650" s="733" t="s">
        <v>3269</v>
      </c>
      <c r="Q1650" s="734"/>
      <c r="R1650" s="734"/>
      <c r="S1650" s="734"/>
      <c r="T1650" s="734"/>
      <c r="U1650" s="734"/>
      <c r="V1650" s="734"/>
      <c r="W1650" s="734"/>
      <c r="X1650" s="734"/>
      <c r="Y1650" s="734"/>
      <c r="Z1650" s="734"/>
      <c r="AA1650" s="734"/>
      <c r="AB1650" s="734"/>
      <c r="AC1650" s="734"/>
      <c r="AD1650" s="735"/>
    </row>
    <row r="1651" spans="1:104" ht="84" customHeight="1">
      <c r="A1651" s="142"/>
      <c r="C1651" s="800"/>
      <c r="D1651" s="801"/>
      <c r="E1651" s="801"/>
      <c r="F1651" s="802"/>
      <c r="G1651" s="954"/>
      <c r="H1651" s="955"/>
      <c r="I1651" s="956"/>
      <c r="J1651" s="958"/>
      <c r="K1651" s="959"/>
      <c r="L1651" s="959"/>
      <c r="M1651" s="845"/>
      <c r="N1651" s="952"/>
      <c r="O1651" s="846"/>
      <c r="P1651" s="859" t="s">
        <v>3270</v>
      </c>
      <c r="Q1651" s="859"/>
      <c r="R1651" s="860"/>
      <c r="S1651" s="858" t="s">
        <v>3271</v>
      </c>
      <c r="T1651" s="859"/>
      <c r="U1651" s="860"/>
      <c r="V1651" s="858" t="s">
        <v>3272</v>
      </c>
      <c r="W1651" s="859"/>
      <c r="X1651" s="860"/>
      <c r="Y1651" s="858" t="s">
        <v>3273</v>
      </c>
      <c r="Z1651" s="859"/>
      <c r="AA1651" s="860"/>
      <c r="AB1651" s="858" t="s">
        <v>3274</v>
      </c>
      <c r="AC1651" s="859"/>
      <c r="AD1651" s="860"/>
      <c r="AG1651"/>
      <c r="AH1651"/>
      <c r="AI1651"/>
      <c r="AJ1651"/>
      <c r="AK1651"/>
      <c r="AL1651"/>
      <c r="AM1651"/>
      <c r="AN1651"/>
      <c r="AO1651"/>
      <c r="AP1651"/>
      <c r="AQ1651"/>
      <c r="AR1651"/>
      <c r="AS1651"/>
      <c r="AT1651"/>
      <c r="AU1651"/>
      <c r="AV1651"/>
      <c r="AW1651"/>
      <c r="AX1651"/>
      <c r="AY1651"/>
      <c r="AZ1651"/>
      <c r="BA1651"/>
      <c r="BB1651"/>
      <c r="BC1651"/>
      <c r="BD1651"/>
      <c r="BE1651"/>
      <c r="BF1651"/>
      <c r="BG1651"/>
      <c r="BH1651"/>
      <c r="BI1651"/>
      <c r="BJ1651"/>
      <c r="BK1651"/>
      <c r="BL1651"/>
      <c r="BM1651"/>
      <c r="BN1651"/>
      <c r="BO1651"/>
      <c r="BP1651"/>
      <c r="BQ1651"/>
      <c r="BR1651"/>
      <c r="BS1651"/>
      <c r="BT1651"/>
      <c r="BU1651"/>
      <c r="BV1651"/>
      <c r="BW1651"/>
      <c r="BX1651"/>
      <c r="BY1651"/>
      <c r="BZ1651"/>
      <c r="CA1651"/>
      <c r="CB1651"/>
      <c r="CC1651"/>
      <c r="CD1651"/>
      <c r="CE1651"/>
      <c r="CF1651"/>
      <c r="CG1651"/>
      <c r="CH1651"/>
      <c r="CI1651"/>
      <c r="CJ1651"/>
      <c r="CK1651"/>
      <c r="CL1651"/>
      <c r="CM1651"/>
      <c r="CN1651"/>
      <c r="CO1651"/>
      <c r="CP1651"/>
      <c r="CQ1651"/>
      <c r="CR1651"/>
      <c r="CS1651"/>
      <c r="CT1651"/>
      <c r="CU1651"/>
      <c r="CV1651"/>
      <c r="CW1651"/>
      <c r="CX1651"/>
      <c r="CY1651" s="921" t="s">
        <v>3478</v>
      </c>
    </row>
    <row r="1652" spans="1:104" ht="48" customHeight="1">
      <c r="A1652" s="142"/>
      <c r="C1652" s="803"/>
      <c r="D1652" s="804"/>
      <c r="E1652" s="804"/>
      <c r="F1652" s="805"/>
      <c r="G1652" s="849"/>
      <c r="H1652" s="957"/>
      <c r="I1652" s="850"/>
      <c r="J1652" s="888"/>
      <c r="K1652" s="890"/>
      <c r="L1652" s="890"/>
      <c r="M1652" s="127" t="s">
        <v>2635</v>
      </c>
      <c r="N1652" s="128" t="s">
        <v>2629</v>
      </c>
      <c r="O1652" s="128" t="s">
        <v>2630</v>
      </c>
      <c r="P1652" s="127" t="s">
        <v>2635</v>
      </c>
      <c r="Q1652" s="128" t="s">
        <v>2629</v>
      </c>
      <c r="R1652" s="128" t="s">
        <v>2630</v>
      </c>
      <c r="S1652" s="127" t="s">
        <v>2635</v>
      </c>
      <c r="T1652" s="128" t="s">
        <v>2629</v>
      </c>
      <c r="U1652" s="128" t="s">
        <v>2630</v>
      </c>
      <c r="V1652" s="127" t="s">
        <v>2635</v>
      </c>
      <c r="W1652" s="128" t="s">
        <v>2629</v>
      </c>
      <c r="X1652" s="128" t="s">
        <v>2630</v>
      </c>
      <c r="Y1652" s="127" t="s">
        <v>2635</v>
      </c>
      <c r="Z1652" s="128" t="s">
        <v>2629</v>
      </c>
      <c r="AA1652" s="128" t="s">
        <v>2630</v>
      </c>
      <c r="AB1652" s="127" t="s">
        <v>2635</v>
      </c>
      <c r="AC1652" s="128" t="s">
        <v>2629</v>
      </c>
      <c r="AD1652" s="128" t="s">
        <v>2630</v>
      </c>
      <c r="AG1652" s="354" t="s">
        <v>2586</v>
      </c>
      <c r="AH1652" s="282" t="s">
        <v>2637</v>
      </c>
      <c r="AI1652" s="280" t="s">
        <v>2638</v>
      </c>
      <c r="AJ1652" s="281" t="s">
        <v>2639</v>
      </c>
      <c r="AK1652" s="282" t="s">
        <v>2640</v>
      </c>
      <c r="AL1652" s="280" t="s">
        <v>2641</v>
      </c>
      <c r="AM1652" s="281" t="s">
        <v>2642</v>
      </c>
      <c r="AN1652" s="282" t="s">
        <v>2643</v>
      </c>
      <c r="AO1652" s="280" t="s">
        <v>2644</v>
      </c>
      <c r="AP1652" s="281" t="s">
        <v>2645</v>
      </c>
      <c r="AQ1652" s="282" t="s">
        <v>2646</v>
      </c>
      <c r="AR1652" s="280" t="s">
        <v>2647</v>
      </c>
      <c r="AS1652" s="281" t="s">
        <v>2648</v>
      </c>
      <c r="AT1652" s="282" t="s">
        <v>2756</v>
      </c>
      <c r="AU1652" s="280" t="s">
        <v>2757</v>
      </c>
      <c r="AV1652" s="281" t="s">
        <v>2758</v>
      </c>
      <c r="AW1652" s="282" t="s">
        <v>2759</v>
      </c>
      <c r="AX1652" s="280" t="s">
        <v>2760</v>
      </c>
      <c r="AY1652" s="281" t="s">
        <v>2761</v>
      </c>
      <c r="AZ1652" s="282" t="s">
        <v>2762</v>
      </c>
      <c r="BA1652" s="280" t="s">
        <v>2763</v>
      </c>
      <c r="BB1652" s="281" t="s">
        <v>2764</v>
      </c>
      <c r="BC1652" s="282" t="s">
        <v>2765</v>
      </c>
      <c r="BD1652" s="280" t="s">
        <v>2766</v>
      </c>
      <c r="BE1652" s="281" t="s">
        <v>2767</v>
      </c>
      <c r="BF1652" s="282" t="s">
        <v>2768</v>
      </c>
      <c r="BG1652" s="280" t="s">
        <v>2769</v>
      </c>
      <c r="BH1652" s="281" t="s">
        <v>2770</v>
      </c>
      <c r="BI1652" s="282" t="s">
        <v>2771</v>
      </c>
      <c r="BJ1652" s="280" t="s">
        <v>2772</v>
      </c>
      <c r="BK1652" s="281" t="s">
        <v>2773</v>
      </c>
      <c r="BL1652" s="282" t="s">
        <v>2774</v>
      </c>
      <c r="BM1652" s="280" t="s">
        <v>2775</v>
      </c>
      <c r="BN1652" s="281" t="s">
        <v>2776</v>
      </c>
      <c r="BO1652" s="282" t="s">
        <v>3212</v>
      </c>
      <c r="BP1652" s="280" t="s">
        <v>3213</v>
      </c>
      <c r="BQ1652" s="281" t="s">
        <v>3214</v>
      </c>
      <c r="BR1652" s="282" t="s">
        <v>3215</v>
      </c>
      <c r="BS1652" s="280" t="s">
        <v>3216</v>
      </c>
      <c r="BT1652" s="281" t="s">
        <v>3217</v>
      </c>
      <c r="BU1652" s="282" t="s">
        <v>3218</v>
      </c>
      <c r="BV1652" s="280" t="s">
        <v>3219</v>
      </c>
      <c r="BW1652" s="281" t="s">
        <v>3220</v>
      </c>
      <c r="BX1652" s="282" t="s">
        <v>3221</v>
      </c>
      <c r="BY1652" s="280" t="s">
        <v>3222</v>
      </c>
      <c r="BZ1652" s="281" t="s">
        <v>3223</v>
      </c>
      <c r="CA1652" s="282" t="s">
        <v>3224</v>
      </c>
      <c r="CB1652" s="280" t="s">
        <v>3225</v>
      </c>
      <c r="CC1652" s="281" t="s">
        <v>3226</v>
      </c>
      <c r="CD1652" s="282" t="s">
        <v>3227</v>
      </c>
      <c r="CE1652" s="280" t="s">
        <v>3228</v>
      </c>
      <c r="CF1652" s="281" t="s">
        <v>3229</v>
      </c>
      <c r="CG1652" s="282" t="s">
        <v>3230</v>
      </c>
      <c r="CH1652" s="280" t="s">
        <v>3231</v>
      </c>
      <c r="CI1652" s="281" t="s">
        <v>3232</v>
      </c>
      <c r="CJ1652" s="282" t="s">
        <v>3275</v>
      </c>
      <c r="CK1652" s="280" t="s">
        <v>3276</v>
      </c>
      <c r="CL1652" s="281" t="s">
        <v>3277</v>
      </c>
      <c r="CM1652" s="282" t="s">
        <v>3278</v>
      </c>
      <c r="CN1652" s="280" t="s">
        <v>3279</v>
      </c>
      <c r="CO1652" s="281" t="s">
        <v>3280</v>
      </c>
      <c r="CP1652" s="282" t="s">
        <v>3281</v>
      </c>
      <c r="CQ1652" s="280" t="s">
        <v>3282</v>
      </c>
      <c r="CR1652" s="281" t="s">
        <v>3283</v>
      </c>
      <c r="CS1652" s="282" t="s">
        <v>3284</v>
      </c>
      <c r="CT1652" s="280" t="s">
        <v>3285</v>
      </c>
      <c r="CU1652" s="281" t="s">
        <v>3286</v>
      </c>
      <c r="CV1652" s="282" t="s">
        <v>3287</v>
      </c>
      <c r="CW1652" s="280" t="s">
        <v>3288</v>
      </c>
      <c r="CX1652" s="281" t="s">
        <v>3289</v>
      </c>
      <c r="CY1652" s="921"/>
      <c r="CZ1652" s="365" t="s">
        <v>2620</v>
      </c>
    </row>
    <row r="1653" spans="1:104" ht="15" customHeight="1">
      <c r="A1653" s="50"/>
      <c r="B1653" s="90"/>
      <c r="C1653" s="97" t="s">
        <v>2516</v>
      </c>
      <c r="D1653" s="813" t="str">
        <f>IF(CNSIPEE_2024_M2_Secc1!D42="","",CNSIPEE_2024_M2_Secc1!D42)</f>
        <v/>
      </c>
      <c r="E1653" s="814"/>
      <c r="F1653" s="815"/>
      <c r="G1653" s="816"/>
      <c r="H1653" s="738"/>
      <c r="I1653" s="817"/>
      <c r="J1653" s="116"/>
      <c r="K1653" s="100"/>
      <c r="L1653" s="100"/>
      <c r="M1653" s="100"/>
      <c r="N1653" s="100"/>
      <c r="O1653" s="100"/>
      <c r="P1653" s="100"/>
      <c r="Q1653" s="100"/>
      <c r="R1653" s="100"/>
      <c r="S1653" s="100"/>
      <c r="T1653" s="100"/>
      <c r="U1653" s="100"/>
      <c r="V1653" s="100"/>
      <c r="W1653" s="100"/>
      <c r="X1653" s="100"/>
      <c r="Y1653" s="100"/>
      <c r="Z1653" s="100"/>
      <c r="AA1653" s="100"/>
      <c r="AB1653" s="100"/>
      <c r="AC1653" s="100"/>
      <c r="AD1653" s="100"/>
      <c r="AG1653" s="326">
        <f>IF(AND(COUNTBLANK(D1653)=0,$G1653&lt;&gt;"",$G1653&lt;&gt;1,COUNTA(J1653:AD1653,G1669:AD1669,G1685:AD1685)=0),0,IF(AND(COUNTBLANK(D1653)=0,$G1653&lt;&gt;"",$G1653=1,COUNTA(J1653:AD1653,G1669:AD1669,G1685:AD1685)=69),0,IF(AND(COUNTBLANK(D1653)=1,COUNTA(J1653:AD1653,G1669:AD1669,G1685:AD1685)=0),0,1)))</f>
        <v>0</v>
      </c>
      <c r="AH1653" s="283">
        <f>COUNTIF(K1653:L1653,"NS")</f>
        <v>0</v>
      </c>
      <c r="AI1653" s="283">
        <f>SUM(K1653:L1653)</f>
        <v>0</v>
      </c>
      <c r="AJ1653" s="283">
        <f>IF(COUNTIF(J1653:L1653,"NA")=3,0,IF(COUNTA(J1653:L1653)=0,0,IF(OR(AND(J1653=0,AH1653&gt;0),AND(J1653="ns",AI1653&gt;0),AND(J1653="ns",AH1653=0,AI1653=0)),1,IF(OR(AND(J1653&gt;0,AH1653=2),AND(J1653="ns",AH1653=2),AND(J1653="ns",AI1653=0,AH1653&gt;0),J1653=AI1653),0,1))))</f>
        <v>0</v>
      </c>
      <c r="AK1653" s="283">
        <f>COUNTIF(N1653:O1653,"NS")</f>
        <v>0</v>
      </c>
      <c r="AL1653" s="283">
        <f>SUM(N1653:O1653)</f>
        <v>0</v>
      </c>
      <c r="AM1653" s="283">
        <f>IF(COUNTIF(M1653:O1653,"NA")=3,0,IF(COUNTA(M1653:O1653)=0,0,IF(OR(AND(M1653=0,AK1653&gt;0),AND(M1653="ns",AL1653&gt;0),AND(M1653="ns",AK1653=0,AL1653=0)),1,IF(OR(AND(M1653&gt;0,AK1653=2),AND(M1653="ns",AK1653=2),AND(M1653="ns",AL1653=0,AK1653&gt;0),M1653=AL1653),0,1))))</f>
        <v>0</v>
      </c>
      <c r="AN1653" s="283">
        <f>COUNTIF(Q1653:R1653,"NS")</f>
        <v>0</v>
      </c>
      <c r="AO1653" s="283">
        <f>SUM(Q1653:R1653)</f>
        <v>0</v>
      </c>
      <c r="AP1653" s="283">
        <f>IF(COUNTIF(P1653:R1653,"NA")=3,0,IF(COUNTA(P1653:R1653)=0,0,IF(OR(AND(P1653=0,AN1653&gt;0),AND(P1653="ns",AO1653&gt;0),AND(P1653="ns",AN1653=0,AO1653=0)),1,IF(OR(AND(P1653&gt;0,AN1653=2),AND(P1653="ns",AN1653=2),AND(P1653="ns",AO1653=0,AN1653&gt;0),P1653=AO1653),0,1))))</f>
        <v>0</v>
      </c>
      <c r="AQ1653" s="283">
        <f>COUNTIF(T1653:U1653,"NS")</f>
        <v>0</v>
      </c>
      <c r="AR1653" s="283">
        <f>SUM(T1653:U1653)</f>
        <v>0</v>
      </c>
      <c r="AS1653" s="283">
        <f>IF(COUNTIF(S1653:U1653,"NA")=3,0,IF(COUNTA(S1653:U1653)=0,0,IF(OR(AND(S1653=0,AQ1653&gt;0),AND(S1653="ns",AR1653&gt;0),AND(S1653="ns",AQ1653=0,AR1653=0)),1,IF(OR(AND(S1653&gt;0,AQ1653=2),AND(S1653="ns",AQ1653=2),AND(S1653="ns",AR1653=0,AQ1653&gt;0),S1653=AR1653),0,1))))</f>
        <v>0</v>
      </c>
      <c r="AT1653" s="283">
        <f>COUNTIF(W1653:X1653,"NS")</f>
        <v>0</v>
      </c>
      <c r="AU1653" s="283">
        <f>SUM(W1653:X1653)</f>
        <v>0</v>
      </c>
      <c r="AV1653" s="283">
        <f>IF(COUNTIF(V1653:X1653,"NA")=3,0,IF(COUNTA(V1653:X1653)=0,0,IF(OR(AND(V1653=0,AT1653&gt;0),AND(V1653="ns",AU1653&gt;0),AND(V1653="ns",AT1653=0,AU1653=0)),1,IF(OR(AND(V1653&gt;0,AT1653=2),AND(V1653="ns",AT1653=2),AND(V1653="ns",AU1653=0,AT1653&gt;0),V1653=AU1653),0,1))))</f>
        <v>0</v>
      </c>
      <c r="AW1653" s="283">
        <f>COUNTIF(Z1653:AA1653,"NS")</f>
        <v>0</v>
      </c>
      <c r="AX1653" s="283">
        <f>SUM(Z1653:AA1653)</f>
        <v>0</v>
      </c>
      <c r="AY1653" s="283">
        <f>IF(COUNTIF(Y1653:AA1653,"NA")=3,0,IF(COUNTA(Y1653:AA1653)=0,0,IF(OR(AND(Y1653=0,AW1653&gt;0),AND(Y1653="ns",AX1653&gt;0),AND(Y1653="ns",AW1653=0,AX1653=0)),1,IF(OR(AND(Y1653&gt;0,AW1653=2),AND(Y1653="ns",AW1653=2),AND(Y1653="ns",AX1653=0,AW1653&gt;0),Y1653=AX1653),0,1))))</f>
        <v>0</v>
      </c>
      <c r="AZ1653" s="283">
        <f>COUNTIF(AC1653:AD1653,"NS")</f>
        <v>0</v>
      </c>
      <c r="BA1653" s="283">
        <f>SUM(AC1653:AD1653)</f>
        <v>0</v>
      </c>
      <c r="BB1653" s="283">
        <f>IF(COUNTIF(AB1653:AD1653,"NA")=3,0,IF(COUNTA(AB1653:AD1653)=0,0,IF(OR(AND(AB1653=0,AZ1653&gt;0),AND(AB1653="ns",BA1653&gt;0),AND(AB1653="ns",AZ1653=0,BA1653=0)),1,IF(OR(AND(AB1653&gt;0,AZ1653=2),AND(AB1653="ns",AZ1653=2),AND(AB1653="ns",BA1653=0,AZ1653&gt;0),AB1653=BA1653),0,1))))</f>
        <v>0</v>
      </c>
      <c r="BC1653" s="283">
        <f>COUNTIF(H1669:I1669,"NS")</f>
        <v>0</v>
      </c>
      <c r="BD1653" s="283">
        <f>SUM(H1669:I1669)</f>
        <v>0</v>
      </c>
      <c r="BE1653" s="283">
        <f>IF(COUNTIF(G1669:I1669,"NA")=3,0,IF(COUNTA(G1669:I1669)=0,0,IF(OR(AND(G1669=0,BC1653&gt;0),AND(G1669="ns",BD1653&gt;0),AND(G1669="ns",BC1653=0,BD1653=0)),1,IF(OR(AND(G1669&gt;0,BC1653=2),AND(G1669="ns",BC1653=2),AND(G1669="ns",BD1653=0,BC1653&gt;0),G1669=BD1653),0,1))))</f>
        <v>0</v>
      </c>
      <c r="BF1653" s="283">
        <f>COUNTIF(K1669:L1669,"NS")</f>
        <v>0</v>
      </c>
      <c r="BG1653" s="283">
        <f>SUM(K1669:L1669)</f>
        <v>0</v>
      </c>
      <c r="BH1653" s="283">
        <f>IF(COUNTIF(J1669:L1669,"NA")=3,0,IF(COUNTA(J1669:L1669)=0,0,IF(OR(AND(J1669=0,BF1653&gt;0),AND(J1669="ns",BG1653&gt;0),AND(J1669="ns",BF1653=0,BG1653=0)),1,IF(OR(AND(J1669&gt;0,BF1653=2),AND(J1669="ns",BF1653=2),AND(J1669="ns",BG1653=0,BF1653&gt;0),J1669=BG1653),0,1))))</f>
        <v>0</v>
      </c>
      <c r="BI1653" s="283">
        <f>COUNTIF(N1669:O1669,"NS")</f>
        <v>0</v>
      </c>
      <c r="BJ1653" s="283">
        <f>SUM(N1669:O1669)</f>
        <v>0</v>
      </c>
      <c r="BK1653" s="283">
        <f>IF(COUNTIF(M1669:O1669,"NA")=3,0,IF(COUNTA(M1669:O1669)=0,0,IF(OR(AND(M1669=0,BI1653&gt;0),AND(M1669="ns",BJ1653&gt;0),AND(M1669="ns",BI1653=0,BJ1653=0)),1,IF(OR(AND(M1669&gt;0,BI1653=2),AND(M1669="ns",BI1653=2),AND(M1669="ns",BJ1653=0,BI1653&gt;0),M1669=BJ1653),0,1))))</f>
        <v>0</v>
      </c>
      <c r="BL1653" s="283">
        <f>COUNTIF(Q1669:R1669,"NS")</f>
        <v>0</v>
      </c>
      <c r="BM1653" s="283">
        <f>SUM(Q1669:R1669)</f>
        <v>0</v>
      </c>
      <c r="BN1653" s="283">
        <f>IF(COUNTIF(P1669:R1669,"NA")=3,0,IF(COUNTA(P1669:R1669)=0,0,IF(OR(AND(P1669=0,BL1653&gt;0),AND(P1669="ns",BM1653&gt;0),AND(P1669="ns",BL1653=0,BM1653=0)),1,IF(OR(AND(P1669&gt;0,BL1653=2),AND(P1669="ns",BL1653=2),AND(P1669="ns",BM1653=0,BL1653&gt;0),P1669=BM1653),0,1))))</f>
        <v>0</v>
      </c>
      <c r="BO1653" s="283">
        <f>COUNTIF(T1669:U1669,"NS")</f>
        <v>0</v>
      </c>
      <c r="BP1653" s="283">
        <f>SUM(T1669:U1669)</f>
        <v>0</v>
      </c>
      <c r="BQ1653" s="283">
        <f>IF(COUNTIF(S1669:U1669,"NA")=3,0,IF(COUNTA(S1669:U1669)=0,0,IF(OR(AND(S1669=0,BO1653&gt;0),AND(S1669="ns",BP1653&gt;0),AND(S1669="ns",BO1653=0,BP1653=0)),1,IF(OR(AND(S1669&gt;0,BO1653=2),AND(S1669="ns",BO1653=2),AND(S1669="ns",BP1653=0,BO1653&gt;0),S1669=BP1653),0,1))))</f>
        <v>0</v>
      </c>
      <c r="BR1653" s="283">
        <f>COUNTIF(W1669:X1669,"NS")</f>
        <v>0</v>
      </c>
      <c r="BS1653" s="283">
        <f>SUM(W1669:X1669)</f>
        <v>0</v>
      </c>
      <c r="BT1653" s="283">
        <f>IF(COUNTIF(V1669:X1669,"NA")=3,0,IF(COUNTA(V1669:X1669)=0,0,IF(OR(AND(V1669=0,BR1653&gt;0),AND(V1669="ns",BS1653&gt;0),AND(V1669="ns",BR1653=0,BS1653=0)),1,IF(OR(AND(V1669&gt;0,BR1653=2),AND(V1669="ns",BR1653=2),AND(V1669="ns",BS1653=0,BR1653&gt;0),V1669=BS1653),0,1))))</f>
        <v>0</v>
      </c>
      <c r="BU1653" s="283">
        <f>COUNTIF(Z1669:AA1669,"NS")</f>
        <v>0</v>
      </c>
      <c r="BV1653" s="283">
        <f>SUM(Z1669:AA1669)</f>
        <v>0</v>
      </c>
      <c r="BW1653" s="283">
        <f>IF(COUNTIF(Y1669:AA1669,"NA")=3,0,IF(COUNTA(Y1669:AA1669)=0,0,IF(OR(AND(Y1669=0,BU1653&gt;0),AND(Y1669="ns",BV1653&gt;0),AND(Y1669="ns",BU1653=0,BV1653=0)),1,IF(OR(AND(Y1669&gt;0,BU1653=2),AND(Y1669="ns",BU1653=2),AND(Y1669="ns",BV1653=0,BU1653&gt;0),Y1669=BV1653),0,1))))</f>
        <v>0</v>
      </c>
      <c r="BX1653" s="283">
        <f>COUNTIF(AC1669:AD1669,"NS")</f>
        <v>0</v>
      </c>
      <c r="BY1653" s="283">
        <f>SUM(AC1669:AD1669)</f>
        <v>0</v>
      </c>
      <c r="BZ1653" s="283">
        <f>IF(COUNTIF(AB1669:AD1669,"NA")=3,0,IF(COUNTA(AB1669:AD1669)=0,0,IF(OR(AND(AB1669=0,BX1653&gt;0),AND(AB1669="ns",BY1653&gt;0),AND(AB1669="ns",BX1653=0,BY1653=0)),1,IF(OR(AND(AB1669&gt;0,BX1653=2),AND(AB1669="ns",BX1653=2),AND(AB1669="ns",BY1653=0,BX1653&gt;0),AB1669=BY1653),0,1))))</f>
        <v>0</v>
      </c>
      <c r="CA1653" s="283">
        <f>COUNTIF(H1685:I1685,"NS")</f>
        <v>0</v>
      </c>
      <c r="CB1653" s="283">
        <f>SUM(H1685:I1685)</f>
        <v>0</v>
      </c>
      <c r="CC1653" s="283">
        <f>IF(COUNTIF(G1685:I1685,"NA")=3,0,IF(COUNTA(G1685:I1685)=0,0,IF(OR(AND(G1685=0,CA1653&gt;0),AND(G1685="ns",CB1653&gt;0),AND(G1685="ns",CA1653=0,CB1653=0)),1,IF(OR(AND(G1685&gt;0,CA1653=2),AND(G1685="ns",CA1653=2),AND(G1685="ns",CB1653=0,CA1653&gt;0),G1685=CB1653),0,1))))</f>
        <v>0</v>
      </c>
      <c r="CD1653" s="283">
        <f>COUNTIF(K1685:L1685,"NS")</f>
        <v>0</v>
      </c>
      <c r="CE1653" s="283">
        <f>SUM(K1685:L1685)</f>
        <v>0</v>
      </c>
      <c r="CF1653" s="283">
        <f>IF(COUNTIF(J1685:L1685,"NA")=3,0,IF(COUNTA(J1685:L1685)=0,0,IF(OR(AND(J1685=0,CD1653&gt;0),AND(J1685="ns",CE1653&gt;0),AND(J1685="ns",CD1653=0,CE1653=0)),1,IF(OR(AND(J1685&gt;0,CD1653=2),AND(J1685="ns",CD1653=2),AND(J1685="ns",CE1653=0,CD1653&gt;0),J1685=CE1653),0,1))))</f>
        <v>0</v>
      </c>
      <c r="CG1653" s="283">
        <f>COUNTIF(N1685:O1685,"NS")</f>
        <v>0</v>
      </c>
      <c r="CH1653" s="283">
        <f>SUM(N1685:O1685)</f>
        <v>0</v>
      </c>
      <c r="CI1653" s="283">
        <f>IF(COUNTIF(M1685:O1685,"NA")=3,0,IF(COUNTA(M1685:O1685)=0,0,IF(OR(AND(M1685=0,CG1653&gt;0),AND(M1685="ns",CH1653&gt;0),AND(M1685="ns",CG1653=0,CH1653=0)),1,IF(OR(AND(M1685&gt;0,CG1653=2),AND(M1685="ns",CG1653=2),AND(M1685="ns",CH1653=0,CG1653&gt;0),M1685=CH1653),0,1))))</f>
        <v>0</v>
      </c>
      <c r="CJ1653" s="283">
        <f>COUNTIF(Q1685:R1685,"NS")</f>
        <v>0</v>
      </c>
      <c r="CK1653" s="283">
        <f>SUM(Q1685:R1685)</f>
        <v>0</v>
      </c>
      <c r="CL1653" s="283">
        <f>IF(COUNTIF(P1685:R1685,"NA")=3,0,IF(COUNTA(P1685:R1685)=0,0,IF(OR(AND(P1685=0,CJ1653&gt;0),AND(P1685="ns",CK1653&gt;0),AND(P1685="ns",CJ1653=0,CK1653=0)),1,IF(OR(AND(P1685&gt;0,CJ1653=2),AND(P1685="ns",CJ1653=2),AND(P1685="ns",CK1653=0,CJ1653&gt;0),P1685=CK1653),0,1))))</f>
        <v>0</v>
      </c>
      <c r="CM1653" s="283">
        <f>COUNTIF(T1685:U1685,"NS")</f>
        <v>0</v>
      </c>
      <c r="CN1653" s="283">
        <f>SUM(T1685:U1685)</f>
        <v>0</v>
      </c>
      <c r="CO1653" s="283">
        <f>IF(COUNTIF(S1685:U1685,"NA")=3,0,IF(COUNTA(S1685:U1685)=0,0,IF(OR(AND(S1685=0,CM1653&gt;0),AND(S1685="ns",CN1653&gt;0),AND(S1685="ns",CM1653=0,CN1653=0)),1,IF(OR(AND(S1685&gt;0,CM1653=2),AND(S1685="ns",CM1653=2),AND(S1685="ns",CN1653=0,CM1653&gt;0),S1685=CN1653),0,1))))</f>
        <v>0</v>
      </c>
      <c r="CP1653" s="283">
        <f>COUNTIF(W1685:X1685,"NS")</f>
        <v>0</v>
      </c>
      <c r="CQ1653" s="283">
        <f>SUM(W1685:X1685)</f>
        <v>0</v>
      </c>
      <c r="CR1653" s="283">
        <f>IF(COUNTIF(V1685:X1685,"NA")=3,0,IF(COUNTA(V1685:X1685)=0,0,IF(OR(AND(V1685=0,CP1653&gt;0),AND(V1685="ns",CQ1653&gt;0),AND(V1685="ns",CP1653=0,CQ1653=0)),1,IF(OR(AND(V1685&gt;0,CP1653=2),AND(V1685="ns",CP1653=2),AND(V1685="ns",CQ1653=0,CP1653&gt;0),V1685=CQ1653),0,1))))</f>
        <v>0</v>
      </c>
      <c r="CS1653" s="283">
        <f>COUNTIF(Z1685:AA1685,"NS")</f>
        <v>0</v>
      </c>
      <c r="CT1653" s="283">
        <f>SUM(Z1685:AA1685)</f>
        <v>0</v>
      </c>
      <c r="CU1653" s="283">
        <f>IF(COUNTIF(Y1685:AA1685,"NA")=3,0,IF(COUNTA(Y1685:AA1685)=0,0,IF(OR(AND(Y1685=0,CS1653&gt;0),AND(Y1685="ns",CT1653&gt;0),AND(Y1685="ns",CS1653=0,CT1653=0)),1,IF(OR(AND(Y1685&gt;0,CS1653=2),AND(Y1685="ns",CS1653=2),AND(Y1685="ns",CT1653=0,CS1653&gt;0),Y1685=CT1653),0,1))))</f>
        <v>0</v>
      </c>
      <c r="CV1653" s="283">
        <f>COUNTIF(AC1685:AD1685,"NS")</f>
        <v>0</v>
      </c>
      <c r="CW1653" s="283">
        <f>SUM(AC1685:AD1685)</f>
        <v>0</v>
      </c>
      <c r="CX1653" s="283">
        <f>IF(COUNTIF(AB1685:AD1685,"NA")=3,0,IF(COUNTA(AB1685:AD1685)=0,0,IF(OR(AND(AB1685=0,CV1653&gt;0),AND(AB1685="ns",CW1653&gt;0),AND(AB1685="ns",CV1653=0,CW1653=0)),1,IF(OR(AND(AB1685&gt;0,CV1653=2),AND(AB1685="ns",CV1653=2),AND(AB1685="ns",CW1653=0,CV1653&gt;0),AB1685=CW1653),0,1))))</f>
        <v>0</v>
      </c>
      <c r="CY1653" s="253">
        <f>IF(AND($G1653&lt;&gt;"",$G1653=1,J1653&lt;&gt;"",K1653&lt;&gt;"",L1653&lt;&gt;"",SUM(J1653:L1653)=0),1,0)</f>
        <v>0</v>
      </c>
      <c r="CZ1653" s="342">
        <f>IF(AND($G1653&lt;&gt;"",$G1653&lt;&gt;1,COUNTA(J1653:AD1653,G1669:AD1669,G1685:AD1685)&gt;0),1,0)</f>
        <v>0</v>
      </c>
    </row>
    <row r="1654" spans="1:104" ht="15" customHeight="1">
      <c r="A1654" s="50"/>
      <c r="B1654" s="90"/>
      <c r="C1654" s="143" t="s">
        <v>2517</v>
      </c>
      <c r="D1654" s="813" t="str">
        <f>IF(CNSIPEE_2024_M2_Secc1!D43="","",CNSIPEE_2024_M2_Secc1!D43)</f>
        <v/>
      </c>
      <c r="E1654" s="814"/>
      <c r="F1654" s="815"/>
      <c r="G1654" s="816"/>
      <c r="H1654" s="738"/>
      <c r="I1654" s="817"/>
      <c r="J1654" s="100"/>
      <c r="K1654" s="100"/>
      <c r="L1654" s="100"/>
      <c r="M1654" s="100"/>
      <c r="N1654" s="100"/>
      <c r="O1654" s="100"/>
      <c r="P1654" s="100"/>
      <c r="Q1654" s="100"/>
      <c r="R1654" s="100"/>
      <c r="S1654" s="100"/>
      <c r="T1654" s="100"/>
      <c r="U1654" s="100"/>
      <c r="V1654" s="100"/>
      <c r="W1654" s="100"/>
      <c r="X1654" s="100"/>
      <c r="Y1654" s="100"/>
      <c r="Z1654" s="100"/>
      <c r="AA1654" s="100"/>
      <c r="AB1654" s="100"/>
      <c r="AC1654" s="100"/>
      <c r="AD1654" s="100"/>
      <c r="AG1654" s="326">
        <f t="shared" ref="AG1654:AG1660" si="1601">IF(AND(COUNTBLANK(D1654)=0,$G1654&lt;&gt;"",$G1654&lt;&gt;1,COUNTA(J1654:AD1654,G1670:AD1670,G1686:AD1686)=0),0,IF(AND(COUNTBLANK(D1654)=0,$G1654&lt;&gt;"",$G1654=1,COUNTA(J1654:AD1654,G1670:AD1670,G1686:AD1686)=69),0,IF(AND(COUNTBLANK(D1654)=1,COUNTA(J1654:AD1654,G1670:AD1670,G1686:AD1686)=0),0,1)))</f>
        <v>0</v>
      </c>
      <c r="AH1654" s="283">
        <f t="shared" ref="AH1654:AH1660" si="1602">COUNTIF(K1654:L1654,"NS")</f>
        <v>0</v>
      </c>
      <c r="AI1654" s="283">
        <f t="shared" ref="AI1654:AI1660" si="1603">SUM(K1654:L1654)</f>
        <v>0</v>
      </c>
      <c r="AJ1654" s="283">
        <f t="shared" ref="AJ1654:AJ1660" si="1604">IF(COUNTIF(J1654:L1654,"NA")=3,0,IF(COUNTA(J1654:L1654)=0,0,IF(OR(AND(J1654=0,AH1654&gt;0),AND(J1654="ns",AI1654&gt;0),AND(J1654="ns",AH1654=0,AI1654=0)),1,IF(OR(AND(J1654&gt;0,AH1654=2),AND(J1654="ns",AH1654=2),AND(J1654="ns",AI1654=0,AH1654&gt;0),J1654=AI1654),0,1))))</f>
        <v>0</v>
      </c>
      <c r="AK1654" s="283">
        <f t="shared" ref="AK1654:AK1660" si="1605">COUNTIF(N1654:O1654,"NS")</f>
        <v>0</v>
      </c>
      <c r="AL1654" s="283">
        <f t="shared" ref="AL1654:AL1660" si="1606">SUM(N1654:O1654)</f>
        <v>0</v>
      </c>
      <c r="AM1654" s="283">
        <f t="shared" ref="AM1654:AM1660" si="1607">IF(COUNTIF(M1654:O1654,"NA")=3,0,IF(COUNTA(M1654:O1654)=0,0,IF(OR(AND(M1654=0,AK1654&gt;0),AND(M1654="ns",AL1654&gt;0),AND(M1654="ns",AK1654=0,AL1654=0)),1,IF(OR(AND(M1654&gt;0,AK1654=2),AND(M1654="ns",AK1654=2),AND(M1654="ns",AL1654=0,AK1654&gt;0),M1654=AL1654),0,1))))</f>
        <v>0</v>
      </c>
      <c r="AN1654" s="283">
        <f t="shared" ref="AN1654:AN1660" si="1608">COUNTIF(Q1654:R1654,"NS")</f>
        <v>0</v>
      </c>
      <c r="AO1654" s="283">
        <f t="shared" ref="AO1654:AO1660" si="1609">SUM(Q1654:R1654)</f>
        <v>0</v>
      </c>
      <c r="AP1654" s="283">
        <f t="shared" ref="AP1654:AP1660" si="1610">IF(COUNTIF(P1654:R1654,"NA")=3,0,IF(COUNTA(P1654:R1654)=0,0,IF(OR(AND(P1654=0,AN1654&gt;0),AND(P1654="ns",AO1654&gt;0),AND(P1654="ns",AN1654=0,AO1654=0)),1,IF(OR(AND(P1654&gt;0,AN1654=2),AND(P1654="ns",AN1654=2),AND(P1654="ns",AO1654=0,AN1654&gt;0),P1654=AO1654),0,1))))</f>
        <v>0</v>
      </c>
      <c r="AQ1654" s="283">
        <f t="shared" ref="AQ1654:AQ1660" si="1611">COUNTIF(T1654:U1654,"NS")</f>
        <v>0</v>
      </c>
      <c r="AR1654" s="283">
        <f t="shared" ref="AR1654:AR1660" si="1612">SUM(T1654:U1654)</f>
        <v>0</v>
      </c>
      <c r="AS1654" s="283">
        <f t="shared" ref="AS1654:AS1660" si="1613">IF(COUNTIF(S1654:U1654,"NA")=3,0,IF(COUNTA(S1654:U1654)=0,0,IF(OR(AND(S1654=0,AQ1654&gt;0),AND(S1654="ns",AR1654&gt;0),AND(S1654="ns",AQ1654=0,AR1654=0)),1,IF(OR(AND(S1654&gt;0,AQ1654=2),AND(S1654="ns",AQ1654=2),AND(S1654="ns",AR1654=0,AQ1654&gt;0),S1654=AR1654),0,1))))</f>
        <v>0</v>
      </c>
      <c r="AT1654" s="283">
        <f t="shared" ref="AT1654:AT1660" si="1614">COUNTIF(W1654:X1654,"NS")</f>
        <v>0</v>
      </c>
      <c r="AU1654" s="283">
        <f t="shared" ref="AU1654:AU1660" si="1615">SUM(W1654:X1654)</f>
        <v>0</v>
      </c>
      <c r="AV1654" s="283">
        <f t="shared" ref="AV1654:AV1660" si="1616">IF(COUNTIF(V1654:X1654,"NA")=3,0,IF(COUNTA(V1654:X1654)=0,0,IF(OR(AND(V1654=0,AT1654&gt;0),AND(V1654="ns",AU1654&gt;0),AND(V1654="ns",AT1654=0,AU1654=0)),1,IF(OR(AND(V1654&gt;0,AT1654=2),AND(V1654="ns",AT1654=2),AND(V1654="ns",AU1654=0,AT1654&gt;0),V1654=AU1654),0,1))))</f>
        <v>0</v>
      </c>
      <c r="AW1654" s="283">
        <f t="shared" ref="AW1654:AW1660" si="1617">COUNTIF(Z1654:AA1654,"NS")</f>
        <v>0</v>
      </c>
      <c r="AX1654" s="283">
        <f t="shared" ref="AX1654:AX1660" si="1618">SUM(Z1654:AA1654)</f>
        <v>0</v>
      </c>
      <c r="AY1654" s="283">
        <f t="shared" ref="AY1654:AY1660" si="1619">IF(COUNTIF(Y1654:AA1654,"NA")=3,0,IF(COUNTA(Y1654:AA1654)=0,0,IF(OR(AND(Y1654=0,AW1654&gt;0),AND(Y1654="ns",AX1654&gt;0),AND(Y1654="ns",AW1654=0,AX1654=0)),1,IF(OR(AND(Y1654&gt;0,AW1654=2),AND(Y1654="ns",AW1654=2),AND(Y1654="ns",AX1654=0,AW1654&gt;0),Y1654=AX1654),0,1))))</f>
        <v>0</v>
      </c>
      <c r="AZ1654" s="283">
        <f t="shared" ref="AZ1654:AZ1660" si="1620">COUNTIF(AC1654:AD1654,"NS")</f>
        <v>0</v>
      </c>
      <c r="BA1654" s="283">
        <f t="shared" ref="BA1654:BA1660" si="1621">SUM(AC1654:AD1654)</f>
        <v>0</v>
      </c>
      <c r="BB1654" s="283">
        <f t="shared" ref="BB1654:BB1660" si="1622">IF(COUNTIF(AB1654:AD1654,"NA")=3,0,IF(COUNTA(AB1654:AD1654)=0,0,IF(OR(AND(AB1654=0,AZ1654&gt;0),AND(AB1654="ns",BA1654&gt;0),AND(AB1654="ns",AZ1654=0,BA1654=0)),1,IF(OR(AND(AB1654&gt;0,AZ1654=2),AND(AB1654="ns",AZ1654=2),AND(AB1654="ns",BA1654=0,AZ1654&gt;0),AB1654=BA1654),0,1))))</f>
        <v>0</v>
      </c>
      <c r="BC1654" s="283">
        <f t="shared" ref="BC1654:BC1660" si="1623">COUNTIF(H1670:I1670,"NS")</f>
        <v>0</v>
      </c>
      <c r="BD1654" s="283">
        <f t="shared" ref="BD1654:BD1660" si="1624">SUM(H1670:I1670)</f>
        <v>0</v>
      </c>
      <c r="BE1654" s="283">
        <f t="shared" ref="BE1654:BE1660" si="1625">IF(COUNTIF(G1670:I1670,"NA")=3,0,IF(COUNTA(G1670:I1670)=0,0,IF(OR(AND(G1670=0,BC1654&gt;0),AND(G1670="ns",BD1654&gt;0),AND(G1670="ns",BC1654=0,BD1654=0)),1,IF(OR(AND(G1670&gt;0,BC1654=2),AND(G1670="ns",BC1654=2),AND(G1670="ns",BD1654=0,BC1654&gt;0),G1670=BD1654),0,1))))</f>
        <v>0</v>
      </c>
      <c r="BF1654" s="283">
        <f t="shared" ref="BF1654:BF1660" si="1626">COUNTIF(K1670:L1670,"NS")</f>
        <v>0</v>
      </c>
      <c r="BG1654" s="283">
        <f t="shared" ref="BG1654:BG1660" si="1627">SUM(K1670:L1670)</f>
        <v>0</v>
      </c>
      <c r="BH1654" s="283">
        <f t="shared" ref="BH1654:BH1660" si="1628">IF(COUNTIF(J1670:L1670,"NA")=3,0,IF(COUNTA(J1670:L1670)=0,0,IF(OR(AND(J1670=0,BF1654&gt;0),AND(J1670="ns",BG1654&gt;0),AND(J1670="ns",BF1654=0,BG1654=0)),1,IF(OR(AND(J1670&gt;0,BF1654=2),AND(J1670="ns",BF1654=2),AND(J1670="ns",BG1654=0,BF1654&gt;0),J1670=BG1654),0,1))))</f>
        <v>0</v>
      </c>
      <c r="BI1654" s="283">
        <f t="shared" ref="BI1654:BI1660" si="1629">COUNTIF(N1670:O1670,"NS")</f>
        <v>0</v>
      </c>
      <c r="BJ1654" s="283">
        <f t="shared" ref="BJ1654:BJ1660" si="1630">SUM(N1670:O1670)</f>
        <v>0</v>
      </c>
      <c r="BK1654" s="283">
        <f t="shared" ref="BK1654:BK1660" si="1631">IF(COUNTIF(M1670:O1670,"NA")=3,0,IF(COUNTA(M1670:O1670)=0,0,IF(OR(AND(M1670=0,BI1654&gt;0),AND(M1670="ns",BJ1654&gt;0),AND(M1670="ns",BI1654=0,BJ1654=0)),1,IF(OR(AND(M1670&gt;0,BI1654=2),AND(M1670="ns",BI1654=2),AND(M1670="ns",BJ1654=0,BI1654&gt;0),M1670=BJ1654),0,1))))</f>
        <v>0</v>
      </c>
      <c r="BL1654" s="283">
        <f t="shared" ref="BL1654:BL1660" si="1632">COUNTIF(Q1670:R1670,"NS")</f>
        <v>0</v>
      </c>
      <c r="BM1654" s="283">
        <f t="shared" ref="BM1654:BM1660" si="1633">SUM(Q1670:R1670)</f>
        <v>0</v>
      </c>
      <c r="BN1654" s="283">
        <f t="shared" ref="BN1654:BN1660" si="1634">IF(COUNTIF(P1670:R1670,"NA")=3,0,IF(COUNTA(P1670:R1670)=0,0,IF(OR(AND(P1670=0,BL1654&gt;0),AND(P1670="ns",BM1654&gt;0),AND(P1670="ns",BL1654=0,BM1654=0)),1,IF(OR(AND(P1670&gt;0,BL1654=2),AND(P1670="ns",BL1654=2),AND(P1670="ns",BM1654=0,BL1654&gt;0),P1670=BM1654),0,1))))</f>
        <v>0</v>
      </c>
      <c r="BO1654" s="283">
        <f t="shared" ref="BO1654:BO1660" si="1635">COUNTIF(T1670:U1670,"NS")</f>
        <v>0</v>
      </c>
      <c r="BP1654" s="283">
        <f t="shared" ref="BP1654:BP1660" si="1636">SUM(T1670:U1670)</f>
        <v>0</v>
      </c>
      <c r="BQ1654" s="283">
        <f t="shared" ref="BQ1654:BQ1660" si="1637">IF(COUNTIF(S1670:U1670,"NA")=3,0,IF(COUNTA(S1670:U1670)=0,0,IF(OR(AND(S1670=0,BO1654&gt;0),AND(S1670="ns",BP1654&gt;0),AND(S1670="ns",BO1654=0,BP1654=0)),1,IF(OR(AND(S1670&gt;0,BO1654=2),AND(S1670="ns",BO1654=2),AND(S1670="ns",BP1654=0,BO1654&gt;0),S1670=BP1654),0,1))))</f>
        <v>0</v>
      </c>
      <c r="BR1654" s="283">
        <f t="shared" ref="BR1654:BR1660" si="1638">COUNTIF(W1670:X1670,"NS")</f>
        <v>0</v>
      </c>
      <c r="BS1654" s="283">
        <f t="shared" ref="BS1654:BS1660" si="1639">SUM(W1670:X1670)</f>
        <v>0</v>
      </c>
      <c r="BT1654" s="283">
        <f t="shared" ref="BT1654:BT1660" si="1640">IF(COUNTIF(V1670:X1670,"NA")=3,0,IF(COUNTA(V1670:X1670)=0,0,IF(OR(AND(V1670=0,BR1654&gt;0),AND(V1670="ns",BS1654&gt;0),AND(V1670="ns",BR1654=0,BS1654=0)),1,IF(OR(AND(V1670&gt;0,BR1654=2),AND(V1670="ns",BR1654=2),AND(V1670="ns",BS1654=0,BR1654&gt;0),V1670=BS1654),0,1))))</f>
        <v>0</v>
      </c>
      <c r="BU1654" s="283">
        <f t="shared" ref="BU1654:BU1660" si="1641">COUNTIF(Z1670:AA1670,"NS")</f>
        <v>0</v>
      </c>
      <c r="BV1654" s="283">
        <f t="shared" ref="BV1654:BV1660" si="1642">SUM(Z1670:AA1670)</f>
        <v>0</v>
      </c>
      <c r="BW1654" s="283">
        <f t="shared" ref="BW1654:BW1660" si="1643">IF(COUNTIF(Y1670:AA1670,"NA")=3,0,IF(COUNTA(Y1670:AA1670)=0,0,IF(OR(AND(Y1670=0,BU1654&gt;0),AND(Y1670="ns",BV1654&gt;0),AND(Y1670="ns",BU1654=0,BV1654=0)),1,IF(OR(AND(Y1670&gt;0,BU1654=2),AND(Y1670="ns",BU1654=2),AND(Y1670="ns",BV1654=0,BU1654&gt;0),Y1670=BV1654),0,1))))</f>
        <v>0</v>
      </c>
      <c r="BX1654" s="283">
        <f t="shared" ref="BX1654:BX1660" si="1644">COUNTIF(AC1670:AD1670,"NS")</f>
        <v>0</v>
      </c>
      <c r="BY1654" s="283">
        <f t="shared" ref="BY1654:BY1660" si="1645">SUM(AC1670:AD1670)</f>
        <v>0</v>
      </c>
      <c r="BZ1654" s="283">
        <f t="shared" ref="BZ1654:BZ1660" si="1646">IF(COUNTIF(AB1670:AD1670,"NA")=3,0,IF(COUNTA(AB1670:AD1670)=0,0,IF(OR(AND(AB1670=0,BX1654&gt;0),AND(AB1670="ns",BY1654&gt;0),AND(AB1670="ns",BX1654=0,BY1654=0)),1,IF(OR(AND(AB1670&gt;0,BX1654=2),AND(AB1670="ns",BX1654=2),AND(AB1670="ns",BY1654=0,BX1654&gt;0),AB1670=BY1654),0,1))))</f>
        <v>0</v>
      </c>
      <c r="CA1654" s="283">
        <f t="shared" ref="CA1654:CA1660" si="1647">COUNTIF(H1686:I1686,"NS")</f>
        <v>0</v>
      </c>
      <c r="CB1654" s="283">
        <f t="shared" ref="CB1654:CB1660" si="1648">SUM(H1686:I1686)</f>
        <v>0</v>
      </c>
      <c r="CC1654" s="283">
        <f t="shared" ref="CC1654:CC1660" si="1649">IF(COUNTIF(G1686:I1686,"NA")=3,0,IF(COUNTA(G1686:I1686)=0,0,IF(OR(AND(G1686=0,CA1654&gt;0),AND(G1686="ns",CB1654&gt;0),AND(G1686="ns",CA1654=0,CB1654=0)),1,IF(OR(AND(G1686&gt;0,CA1654=2),AND(G1686="ns",CA1654=2),AND(G1686="ns",CB1654=0,CA1654&gt;0),G1686=CB1654),0,1))))</f>
        <v>0</v>
      </c>
      <c r="CD1654" s="283">
        <f t="shared" ref="CD1654:CD1660" si="1650">COUNTIF(K1686:L1686,"NS")</f>
        <v>0</v>
      </c>
      <c r="CE1654" s="283">
        <f t="shared" ref="CE1654:CE1660" si="1651">SUM(K1686:L1686)</f>
        <v>0</v>
      </c>
      <c r="CF1654" s="283">
        <f t="shared" ref="CF1654:CF1660" si="1652">IF(COUNTIF(J1686:L1686,"NA")=3,0,IF(COUNTA(J1686:L1686)=0,0,IF(OR(AND(J1686=0,CD1654&gt;0),AND(J1686="ns",CE1654&gt;0),AND(J1686="ns",CD1654=0,CE1654=0)),1,IF(OR(AND(J1686&gt;0,CD1654=2),AND(J1686="ns",CD1654=2),AND(J1686="ns",CE1654=0,CD1654&gt;0),J1686=CE1654),0,1))))</f>
        <v>0</v>
      </c>
      <c r="CG1654" s="283">
        <f t="shared" ref="CG1654:CG1660" si="1653">COUNTIF(N1686:O1686,"NS")</f>
        <v>0</v>
      </c>
      <c r="CH1654" s="283">
        <f t="shared" ref="CH1654:CH1660" si="1654">SUM(N1686:O1686)</f>
        <v>0</v>
      </c>
      <c r="CI1654" s="283">
        <f t="shared" ref="CI1654:CI1660" si="1655">IF(COUNTIF(M1686:O1686,"NA")=3,0,IF(COUNTA(M1686:O1686)=0,0,IF(OR(AND(M1686=0,CG1654&gt;0),AND(M1686="ns",CH1654&gt;0),AND(M1686="ns",CG1654=0,CH1654=0)),1,IF(OR(AND(M1686&gt;0,CG1654=2),AND(M1686="ns",CG1654=2),AND(M1686="ns",CH1654=0,CG1654&gt;0),M1686=CH1654),0,1))))</f>
        <v>0</v>
      </c>
      <c r="CJ1654" s="283">
        <f t="shared" ref="CJ1654:CJ1660" si="1656">COUNTIF(Q1686:R1686,"NS")</f>
        <v>0</v>
      </c>
      <c r="CK1654" s="283">
        <f t="shared" ref="CK1654:CK1660" si="1657">SUM(Q1686:R1686)</f>
        <v>0</v>
      </c>
      <c r="CL1654" s="283">
        <f t="shared" ref="CL1654:CL1660" si="1658">IF(COUNTIF(P1686:R1686,"NA")=3,0,IF(COUNTA(P1686:R1686)=0,0,IF(OR(AND(P1686=0,CJ1654&gt;0),AND(P1686="ns",CK1654&gt;0),AND(P1686="ns",CJ1654=0,CK1654=0)),1,IF(OR(AND(P1686&gt;0,CJ1654=2),AND(P1686="ns",CJ1654=2),AND(P1686="ns",CK1654=0,CJ1654&gt;0),P1686=CK1654),0,1))))</f>
        <v>0</v>
      </c>
      <c r="CM1654" s="283">
        <f t="shared" ref="CM1654:CM1660" si="1659">COUNTIF(T1686:U1686,"NS")</f>
        <v>0</v>
      </c>
      <c r="CN1654" s="283">
        <f t="shared" ref="CN1654:CN1660" si="1660">SUM(T1686:U1686)</f>
        <v>0</v>
      </c>
      <c r="CO1654" s="283">
        <f t="shared" ref="CO1654:CO1660" si="1661">IF(COUNTIF(S1686:U1686,"NA")=3,0,IF(COUNTA(S1686:U1686)=0,0,IF(OR(AND(S1686=0,CM1654&gt;0),AND(S1686="ns",CN1654&gt;0),AND(S1686="ns",CM1654=0,CN1654=0)),1,IF(OR(AND(S1686&gt;0,CM1654=2),AND(S1686="ns",CM1654=2),AND(S1686="ns",CN1654=0,CM1654&gt;0),S1686=CN1654),0,1))))</f>
        <v>0</v>
      </c>
      <c r="CP1654" s="283">
        <f t="shared" ref="CP1654:CP1660" si="1662">COUNTIF(W1686:X1686,"NS")</f>
        <v>0</v>
      </c>
      <c r="CQ1654" s="283">
        <f t="shared" ref="CQ1654:CQ1660" si="1663">SUM(W1686:X1686)</f>
        <v>0</v>
      </c>
      <c r="CR1654" s="283">
        <f t="shared" ref="CR1654:CR1660" si="1664">IF(COUNTIF(V1686:X1686,"NA")=3,0,IF(COUNTA(V1686:X1686)=0,0,IF(OR(AND(V1686=0,CP1654&gt;0),AND(V1686="ns",CQ1654&gt;0),AND(V1686="ns",CP1654=0,CQ1654=0)),1,IF(OR(AND(V1686&gt;0,CP1654=2),AND(V1686="ns",CP1654=2),AND(V1686="ns",CQ1654=0,CP1654&gt;0),V1686=CQ1654),0,1))))</f>
        <v>0</v>
      </c>
      <c r="CS1654" s="283">
        <f t="shared" ref="CS1654:CS1660" si="1665">COUNTIF(Z1686:AA1686,"NS")</f>
        <v>0</v>
      </c>
      <c r="CT1654" s="283">
        <f t="shared" ref="CT1654:CT1660" si="1666">SUM(Z1686:AA1686)</f>
        <v>0</v>
      </c>
      <c r="CU1654" s="283">
        <f t="shared" ref="CU1654:CU1660" si="1667">IF(COUNTIF(Y1686:AA1686,"NA")=3,0,IF(COUNTA(Y1686:AA1686)=0,0,IF(OR(AND(Y1686=0,CS1654&gt;0),AND(Y1686="ns",CT1654&gt;0),AND(Y1686="ns",CS1654=0,CT1654=0)),1,IF(OR(AND(Y1686&gt;0,CS1654=2),AND(Y1686="ns",CS1654=2),AND(Y1686="ns",CT1654=0,CS1654&gt;0),Y1686=CT1654),0,1))))</f>
        <v>0</v>
      </c>
      <c r="CV1654" s="283">
        <f t="shared" ref="CV1654:CV1660" si="1668">COUNTIF(AC1686:AD1686,"NS")</f>
        <v>0</v>
      </c>
      <c r="CW1654" s="283">
        <f t="shared" ref="CW1654:CW1660" si="1669">SUM(AC1686:AD1686)</f>
        <v>0</v>
      </c>
      <c r="CX1654" s="283">
        <f t="shared" ref="CX1654:CX1660" si="1670">IF(COUNTIF(AB1686:AD1686,"NA")=3,0,IF(COUNTA(AB1686:AD1686)=0,0,IF(OR(AND(AB1686=0,CV1654&gt;0),AND(AB1686="ns",CW1654&gt;0),AND(AB1686="ns",CV1654=0,CW1654=0)),1,IF(OR(AND(AB1686&gt;0,CV1654=2),AND(AB1686="ns",CV1654=2),AND(AB1686="ns",CW1654=0,CV1654&gt;0),AB1686=CW1654),0,1))))</f>
        <v>0</v>
      </c>
      <c r="CY1654" s="253">
        <f t="shared" ref="CY1654:CY1660" si="1671">IF(AND($G1654&lt;&gt;"",$G1654=1,J1654&lt;&gt;"",K1654&lt;&gt;"",L1654&lt;&gt;"",SUM(J1654:L1654)=0),1,0)</f>
        <v>0</v>
      </c>
      <c r="CZ1654" s="342">
        <f t="shared" ref="CZ1654:CZ1660" si="1672">IF(AND($G1654&lt;&gt;"",$G1654&lt;&gt;1,COUNTA(J1654:AD1654,G1670:AD1670,G1686:AD1686)&gt;0),1,0)</f>
        <v>0</v>
      </c>
    </row>
    <row r="1655" spans="1:104" ht="15" customHeight="1">
      <c r="A1655" s="50"/>
      <c r="B1655" s="90"/>
      <c r="C1655" s="143" t="s">
        <v>2518</v>
      </c>
      <c r="D1655" s="813" t="str">
        <f>IF(CNSIPEE_2024_M2_Secc1!D44="","",CNSIPEE_2024_M2_Secc1!D44)</f>
        <v/>
      </c>
      <c r="E1655" s="814"/>
      <c r="F1655" s="815"/>
      <c r="G1655" s="816"/>
      <c r="H1655" s="738"/>
      <c r="I1655" s="817"/>
      <c r="J1655" s="100"/>
      <c r="K1655" s="100"/>
      <c r="L1655" s="100"/>
      <c r="M1655" s="100"/>
      <c r="N1655" s="100"/>
      <c r="O1655" s="100"/>
      <c r="P1655" s="100"/>
      <c r="Q1655" s="100"/>
      <c r="R1655" s="100"/>
      <c r="S1655" s="100"/>
      <c r="T1655" s="100"/>
      <c r="U1655" s="100"/>
      <c r="V1655" s="100"/>
      <c r="W1655" s="100"/>
      <c r="X1655" s="100"/>
      <c r="Y1655" s="100"/>
      <c r="Z1655" s="100"/>
      <c r="AA1655" s="100"/>
      <c r="AB1655" s="100"/>
      <c r="AC1655" s="100"/>
      <c r="AD1655" s="100"/>
      <c r="AG1655" s="326">
        <f t="shared" si="1601"/>
        <v>0</v>
      </c>
      <c r="AH1655" s="283">
        <f t="shared" si="1602"/>
        <v>0</v>
      </c>
      <c r="AI1655" s="283">
        <f t="shared" si="1603"/>
        <v>0</v>
      </c>
      <c r="AJ1655" s="283">
        <f t="shared" si="1604"/>
        <v>0</v>
      </c>
      <c r="AK1655" s="283">
        <f t="shared" si="1605"/>
        <v>0</v>
      </c>
      <c r="AL1655" s="283">
        <f t="shared" si="1606"/>
        <v>0</v>
      </c>
      <c r="AM1655" s="283">
        <f t="shared" si="1607"/>
        <v>0</v>
      </c>
      <c r="AN1655" s="283">
        <f t="shared" si="1608"/>
        <v>0</v>
      </c>
      <c r="AO1655" s="283">
        <f t="shared" si="1609"/>
        <v>0</v>
      </c>
      <c r="AP1655" s="283">
        <f t="shared" si="1610"/>
        <v>0</v>
      </c>
      <c r="AQ1655" s="283">
        <f t="shared" si="1611"/>
        <v>0</v>
      </c>
      <c r="AR1655" s="283">
        <f t="shared" si="1612"/>
        <v>0</v>
      </c>
      <c r="AS1655" s="283">
        <f t="shared" si="1613"/>
        <v>0</v>
      </c>
      <c r="AT1655" s="283">
        <f t="shared" si="1614"/>
        <v>0</v>
      </c>
      <c r="AU1655" s="283">
        <f t="shared" si="1615"/>
        <v>0</v>
      </c>
      <c r="AV1655" s="283">
        <f t="shared" si="1616"/>
        <v>0</v>
      </c>
      <c r="AW1655" s="283">
        <f t="shared" si="1617"/>
        <v>0</v>
      </c>
      <c r="AX1655" s="283">
        <f t="shared" si="1618"/>
        <v>0</v>
      </c>
      <c r="AY1655" s="283">
        <f t="shared" si="1619"/>
        <v>0</v>
      </c>
      <c r="AZ1655" s="283">
        <f t="shared" si="1620"/>
        <v>0</v>
      </c>
      <c r="BA1655" s="283">
        <f t="shared" si="1621"/>
        <v>0</v>
      </c>
      <c r="BB1655" s="283">
        <f t="shared" si="1622"/>
        <v>0</v>
      </c>
      <c r="BC1655" s="283">
        <f t="shared" si="1623"/>
        <v>0</v>
      </c>
      <c r="BD1655" s="283">
        <f t="shared" si="1624"/>
        <v>0</v>
      </c>
      <c r="BE1655" s="283">
        <f t="shared" si="1625"/>
        <v>0</v>
      </c>
      <c r="BF1655" s="283">
        <f t="shared" si="1626"/>
        <v>0</v>
      </c>
      <c r="BG1655" s="283">
        <f t="shared" si="1627"/>
        <v>0</v>
      </c>
      <c r="BH1655" s="283">
        <f t="shared" si="1628"/>
        <v>0</v>
      </c>
      <c r="BI1655" s="283">
        <f t="shared" si="1629"/>
        <v>0</v>
      </c>
      <c r="BJ1655" s="283">
        <f t="shared" si="1630"/>
        <v>0</v>
      </c>
      <c r="BK1655" s="283">
        <f t="shared" si="1631"/>
        <v>0</v>
      </c>
      <c r="BL1655" s="283">
        <f t="shared" si="1632"/>
        <v>0</v>
      </c>
      <c r="BM1655" s="283">
        <f t="shared" si="1633"/>
        <v>0</v>
      </c>
      <c r="BN1655" s="283">
        <f t="shared" si="1634"/>
        <v>0</v>
      </c>
      <c r="BO1655" s="283">
        <f t="shared" si="1635"/>
        <v>0</v>
      </c>
      <c r="BP1655" s="283">
        <f t="shared" si="1636"/>
        <v>0</v>
      </c>
      <c r="BQ1655" s="283">
        <f t="shared" si="1637"/>
        <v>0</v>
      </c>
      <c r="BR1655" s="283">
        <f t="shared" si="1638"/>
        <v>0</v>
      </c>
      <c r="BS1655" s="283">
        <f t="shared" si="1639"/>
        <v>0</v>
      </c>
      <c r="BT1655" s="283">
        <f t="shared" si="1640"/>
        <v>0</v>
      </c>
      <c r="BU1655" s="283">
        <f t="shared" si="1641"/>
        <v>0</v>
      </c>
      <c r="BV1655" s="283">
        <f t="shared" si="1642"/>
        <v>0</v>
      </c>
      <c r="BW1655" s="283">
        <f t="shared" si="1643"/>
        <v>0</v>
      </c>
      <c r="BX1655" s="283">
        <f t="shared" si="1644"/>
        <v>0</v>
      </c>
      <c r="BY1655" s="283">
        <f t="shared" si="1645"/>
        <v>0</v>
      </c>
      <c r="BZ1655" s="283">
        <f t="shared" si="1646"/>
        <v>0</v>
      </c>
      <c r="CA1655" s="283">
        <f t="shared" si="1647"/>
        <v>0</v>
      </c>
      <c r="CB1655" s="283">
        <f t="shared" si="1648"/>
        <v>0</v>
      </c>
      <c r="CC1655" s="283">
        <f t="shared" si="1649"/>
        <v>0</v>
      </c>
      <c r="CD1655" s="283">
        <f t="shared" si="1650"/>
        <v>0</v>
      </c>
      <c r="CE1655" s="283">
        <f t="shared" si="1651"/>
        <v>0</v>
      </c>
      <c r="CF1655" s="283">
        <f t="shared" si="1652"/>
        <v>0</v>
      </c>
      <c r="CG1655" s="283">
        <f t="shared" si="1653"/>
        <v>0</v>
      </c>
      <c r="CH1655" s="283">
        <f t="shared" si="1654"/>
        <v>0</v>
      </c>
      <c r="CI1655" s="283">
        <f t="shared" si="1655"/>
        <v>0</v>
      </c>
      <c r="CJ1655" s="283">
        <f t="shared" si="1656"/>
        <v>0</v>
      </c>
      <c r="CK1655" s="283">
        <f t="shared" si="1657"/>
        <v>0</v>
      </c>
      <c r="CL1655" s="283">
        <f t="shared" si="1658"/>
        <v>0</v>
      </c>
      <c r="CM1655" s="283">
        <f t="shared" si="1659"/>
        <v>0</v>
      </c>
      <c r="CN1655" s="283">
        <f t="shared" si="1660"/>
        <v>0</v>
      </c>
      <c r="CO1655" s="283">
        <f t="shared" si="1661"/>
        <v>0</v>
      </c>
      <c r="CP1655" s="283">
        <f t="shared" si="1662"/>
        <v>0</v>
      </c>
      <c r="CQ1655" s="283">
        <f t="shared" si="1663"/>
        <v>0</v>
      </c>
      <c r="CR1655" s="283">
        <f t="shared" si="1664"/>
        <v>0</v>
      </c>
      <c r="CS1655" s="283">
        <f t="shared" si="1665"/>
        <v>0</v>
      </c>
      <c r="CT1655" s="283">
        <f t="shared" si="1666"/>
        <v>0</v>
      </c>
      <c r="CU1655" s="283">
        <f t="shared" si="1667"/>
        <v>0</v>
      </c>
      <c r="CV1655" s="283">
        <f t="shared" si="1668"/>
        <v>0</v>
      </c>
      <c r="CW1655" s="283">
        <f t="shared" si="1669"/>
        <v>0</v>
      </c>
      <c r="CX1655" s="283">
        <f t="shared" si="1670"/>
        <v>0</v>
      </c>
      <c r="CY1655" s="253">
        <f t="shared" si="1671"/>
        <v>0</v>
      </c>
      <c r="CZ1655" s="342">
        <f t="shared" si="1672"/>
        <v>0</v>
      </c>
    </row>
    <row r="1656" spans="1:104" ht="15" customHeight="1">
      <c r="A1656" s="50"/>
      <c r="B1656" s="90"/>
      <c r="C1656" s="143" t="s">
        <v>2519</v>
      </c>
      <c r="D1656" s="813" t="str">
        <f>IF(CNSIPEE_2024_M2_Secc1!D45="","",CNSIPEE_2024_M2_Secc1!D45)</f>
        <v/>
      </c>
      <c r="E1656" s="814"/>
      <c r="F1656" s="815"/>
      <c r="G1656" s="816"/>
      <c r="H1656" s="738"/>
      <c r="I1656" s="817"/>
      <c r="J1656" s="100"/>
      <c r="K1656" s="100"/>
      <c r="L1656" s="100"/>
      <c r="M1656" s="100"/>
      <c r="N1656" s="100"/>
      <c r="O1656" s="100"/>
      <c r="P1656" s="100"/>
      <c r="Q1656" s="100"/>
      <c r="R1656" s="100"/>
      <c r="S1656" s="100"/>
      <c r="T1656" s="100"/>
      <c r="U1656" s="100"/>
      <c r="V1656" s="100"/>
      <c r="W1656" s="100"/>
      <c r="X1656" s="100"/>
      <c r="Y1656" s="100"/>
      <c r="Z1656" s="100"/>
      <c r="AA1656" s="100"/>
      <c r="AB1656" s="100"/>
      <c r="AC1656" s="100"/>
      <c r="AD1656" s="100"/>
      <c r="AG1656" s="326">
        <f t="shared" si="1601"/>
        <v>0</v>
      </c>
      <c r="AH1656" s="283">
        <f t="shared" si="1602"/>
        <v>0</v>
      </c>
      <c r="AI1656" s="283">
        <f t="shared" si="1603"/>
        <v>0</v>
      </c>
      <c r="AJ1656" s="283">
        <f t="shared" si="1604"/>
        <v>0</v>
      </c>
      <c r="AK1656" s="283">
        <f t="shared" si="1605"/>
        <v>0</v>
      </c>
      <c r="AL1656" s="283">
        <f t="shared" si="1606"/>
        <v>0</v>
      </c>
      <c r="AM1656" s="283">
        <f t="shared" si="1607"/>
        <v>0</v>
      </c>
      <c r="AN1656" s="283">
        <f t="shared" si="1608"/>
        <v>0</v>
      </c>
      <c r="AO1656" s="283">
        <f t="shared" si="1609"/>
        <v>0</v>
      </c>
      <c r="AP1656" s="283">
        <f t="shared" si="1610"/>
        <v>0</v>
      </c>
      <c r="AQ1656" s="283">
        <f t="shared" si="1611"/>
        <v>0</v>
      </c>
      <c r="AR1656" s="283">
        <f t="shared" si="1612"/>
        <v>0</v>
      </c>
      <c r="AS1656" s="283">
        <f t="shared" si="1613"/>
        <v>0</v>
      </c>
      <c r="AT1656" s="283">
        <f t="shared" si="1614"/>
        <v>0</v>
      </c>
      <c r="AU1656" s="283">
        <f t="shared" si="1615"/>
        <v>0</v>
      </c>
      <c r="AV1656" s="283">
        <f t="shared" si="1616"/>
        <v>0</v>
      </c>
      <c r="AW1656" s="283">
        <f t="shared" si="1617"/>
        <v>0</v>
      </c>
      <c r="AX1656" s="283">
        <f t="shared" si="1618"/>
        <v>0</v>
      </c>
      <c r="AY1656" s="283">
        <f t="shared" si="1619"/>
        <v>0</v>
      </c>
      <c r="AZ1656" s="283">
        <f t="shared" si="1620"/>
        <v>0</v>
      </c>
      <c r="BA1656" s="283">
        <f t="shared" si="1621"/>
        <v>0</v>
      </c>
      <c r="BB1656" s="283">
        <f t="shared" si="1622"/>
        <v>0</v>
      </c>
      <c r="BC1656" s="283">
        <f t="shared" si="1623"/>
        <v>0</v>
      </c>
      <c r="BD1656" s="283">
        <f t="shared" si="1624"/>
        <v>0</v>
      </c>
      <c r="BE1656" s="283">
        <f t="shared" si="1625"/>
        <v>0</v>
      </c>
      <c r="BF1656" s="283">
        <f t="shared" si="1626"/>
        <v>0</v>
      </c>
      <c r="BG1656" s="283">
        <f t="shared" si="1627"/>
        <v>0</v>
      </c>
      <c r="BH1656" s="283">
        <f t="shared" si="1628"/>
        <v>0</v>
      </c>
      <c r="BI1656" s="283">
        <f t="shared" si="1629"/>
        <v>0</v>
      </c>
      <c r="BJ1656" s="283">
        <f t="shared" si="1630"/>
        <v>0</v>
      </c>
      <c r="BK1656" s="283">
        <f t="shared" si="1631"/>
        <v>0</v>
      </c>
      <c r="BL1656" s="283">
        <f t="shared" si="1632"/>
        <v>0</v>
      </c>
      <c r="BM1656" s="283">
        <f t="shared" si="1633"/>
        <v>0</v>
      </c>
      <c r="BN1656" s="283">
        <f t="shared" si="1634"/>
        <v>0</v>
      </c>
      <c r="BO1656" s="283">
        <f t="shared" si="1635"/>
        <v>0</v>
      </c>
      <c r="BP1656" s="283">
        <f t="shared" si="1636"/>
        <v>0</v>
      </c>
      <c r="BQ1656" s="283">
        <f t="shared" si="1637"/>
        <v>0</v>
      </c>
      <c r="BR1656" s="283">
        <f t="shared" si="1638"/>
        <v>0</v>
      </c>
      <c r="BS1656" s="283">
        <f t="shared" si="1639"/>
        <v>0</v>
      </c>
      <c r="BT1656" s="283">
        <f t="shared" si="1640"/>
        <v>0</v>
      </c>
      <c r="BU1656" s="283">
        <f t="shared" si="1641"/>
        <v>0</v>
      </c>
      <c r="BV1656" s="283">
        <f t="shared" si="1642"/>
        <v>0</v>
      </c>
      <c r="BW1656" s="283">
        <f t="shared" si="1643"/>
        <v>0</v>
      </c>
      <c r="BX1656" s="283">
        <f t="shared" si="1644"/>
        <v>0</v>
      </c>
      <c r="BY1656" s="283">
        <f t="shared" si="1645"/>
        <v>0</v>
      </c>
      <c r="BZ1656" s="283">
        <f t="shared" si="1646"/>
        <v>0</v>
      </c>
      <c r="CA1656" s="283">
        <f t="shared" si="1647"/>
        <v>0</v>
      </c>
      <c r="CB1656" s="283">
        <f t="shared" si="1648"/>
        <v>0</v>
      </c>
      <c r="CC1656" s="283">
        <f t="shared" si="1649"/>
        <v>0</v>
      </c>
      <c r="CD1656" s="283">
        <f t="shared" si="1650"/>
        <v>0</v>
      </c>
      <c r="CE1656" s="283">
        <f t="shared" si="1651"/>
        <v>0</v>
      </c>
      <c r="CF1656" s="283">
        <f t="shared" si="1652"/>
        <v>0</v>
      </c>
      <c r="CG1656" s="283">
        <f t="shared" si="1653"/>
        <v>0</v>
      </c>
      <c r="CH1656" s="283">
        <f t="shared" si="1654"/>
        <v>0</v>
      </c>
      <c r="CI1656" s="283">
        <f t="shared" si="1655"/>
        <v>0</v>
      </c>
      <c r="CJ1656" s="283">
        <f t="shared" si="1656"/>
        <v>0</v>
      </c>
      <c r="CK1656" s="283">
        <f t="shared" si="1657"/>
        <v>0</v>
      </c>
      <c r="CL1656" s="283">
        <f t="shared" si="1658"/>
        <v>0</v>
      </c>
      <c r="CM1656" s="283">
        <f t="shared" si="1659"/>
        <v>0</v>
      </c>
      <c r="CN1656" s="283">
        <f t="shared" si="1660"/>
        <v>0</v>
      </c>
      <c r="CO1656" s="283">
        <f t="shared" si="1661"/>
        <v>0</v>
      </c>
      <c r="CP1656" s="283">
        <f t="shared" si="1662"/>
        <v>0</v>
      </c>
      <c r="CQ1656" s="283">
        <f t="shared" si="1663"/>
        <v>0</v>
      </c>
      <c r="CR1656" s="283">
        <f t="shared" si="1664"/>
        <v>0</v>
      </c>
      <c r="CS1656" s="283">
        <f t="shared" si="1665"/>
        <v>0</v>
      </c>
      <c r="CT1656" s="283">
        <f t="shared" si="1666"/>
        <v>0</v>
      </c>
      <c r="CU1656" s="283">
        <f t="shared" si="1667"/>
        <v>0</v>
      </c>
      <c r="CV1656" s="283">
        <f t="shared" si="1668"/>
        <v>0</v>
      </c>
      <c r="CW1656" s="283">
        <f t="shared" si="1669"/>
        <v>0</v>
      </c>
      <c r="CX1656" s="283">
        <f t="shared" si="1670"/>
        <v>0</v>
      </c>
      <c r="CY1656" s="253">
        <f t="shared" si="1671"/>
        <v>0</v>
      </c>
      <c r="CZ1656" s="342">
        <f t="shared" si="1672"/>
        <v>0</v>
      </c>
    </row>
    <row r="1657" spans="1:104" ht="15" customHeight="1">
      <c r="A1657" s="50"/>
      <c r="B1657" s="90"/>
      <c r="C1657" s="143" t="s">
        <v>2520</v>
      </c>
      <c r="D1657" s="813" t="str">
        <f>IF(CNSIPEE_2024_M2_Secc1!D46="","",CNSIPEE_2024_M2_Secc1!D46)</f>
        <v/>
      </c>
      <c r="E1657" s="814"/>
      <c r="F1657" s="815"/>
      <c r="G1657" s="816"/>
      <c r="H1657" s="738"/>
      <c r="I1657" s="817"/>
      <c r="J1657" s="100"/>
      <c r="K1657" s="100"/>
      <c r="L1657" s="100"/>
      <c r="M1657" s="100"/>
      <c r="N1657" s="100"/>
      <c r="O1657" s="100"/>
      <c r="P1657" s="100"/>
      <c r="Q1657" s="100"/>
      <c r="R1657" s="100"/>
      <c r="S1657" s="100"/>
      <c r="T1657" s="100"/>
      <c r="U1657" s="100"/>
      <c r="V1657" s="100"/>
      <c r="W1657" s="100"/>
      <c r="X1657" s="100"/>
      <c r="Y1657" s="100"/>
      <c r="Z1657" s="100"/>
      <c r="AA1657" s="100"/>
      <c r="AB1657" s="100"/>
      <c r="AC1657" s="100"/>
      <c r="AD1657" s="100"/>
      <c r="AG1657" s="326">
        <f t="shared" si="1601"/>
        <v>0</v>
      </c>
      <c r="AH1657" s="283">
        <f t="shared" si="1602"/>
        <v>0</v>
      </c>
      <c r="AI1657" s="283">
        <f t="shared" si="1603"/>
        <v>0</v>
      </c>
      <c r="AJ1657" s="283">
        <f t="shared" si="1604"/>
        <v>0</v>
      </c>
      <c r="AK1657" s="283">
        <f t="shared" si="1605"/>
        <v>0</v>
      </c>
      <c r="AL1657" s="283">
        <f t="shared" si="1606"/>
        <v>0</v>
      </c>
      <c r="AM1657" s="283">
        <f t="shared" si="1607"/>
        <v>0</v>
      </c>
      <c r="AN1657" s="283">
        <f t="shared" si="1608"/>
        <v>0</v>
      </c>
      <c r="AO1657" s="283">
        <f t="shared" si="1609"/>
        <v>0</v>
      </c>
      <c r="AP1657" s="283">
        <f t="shared" si="1610"/>
        <v>0</v>
      </c>
      <c r="AQ1657" s="283">
        <f t="shared" si="1611"/>
        <v>0</v>
      </c>
      <c r="AR1657" s="283">
        <f t="shared" si="1612"/>
        <v>0</v>
      </c>
      <c r="AS1657" s="283">
        <f t="shared" si="1613"/>
        <v>0</v>
      </c>
      <c r="AT1657" s="283">
        <f t="shared" si="1614"/>
        <v>0</v>
      </c>
      <c r="AU1657" s="283">
        <f t="shared" si="1615"/>
        <v>0</v>
      </c>
      <c r="AV1657" s="283">
        <f t="shared" si="1616"/>
        <v>0</v>
      </c>
      <c r="AW1657" s="283">
        <f t="shared" si="1617"/>
        <v>0</v>
      </c>
      <c r="AX1657" s="283">
        <f t="shared" si="1618"/>
        <v>0</v>
      </c>
      <c r="AY1657" s="283">
        <f t="shared" si="1619"/>
        <v>0</v>
      </c>
      <c r="AZ1657" s="283">
        <f t="shared" si="1620"/>
        <v>0</v>
      </c>
      <c r="BA1657" s="283">
        <f t="shared" si="1621"/>
        <v>0</v>
      </c>
      <c r="BB1657" s="283">
        <f t="shared" si="1622"/>
        <v>0</v>
      </c>
      <c r="BC1657" s="283">
        <f t="shared" si="1623"/>
        <v>0</v>
      </c>
      <c r="BD1657" s="283">
        <f t="shared" si="1624"/>
        <v>0</v>
      </c>
      <c r="BE1657" s="283">
        <f t="shared" si="1625"/>
        <v>0</v>
      </c>
      <c r="BF1657" s="283">
        <f t="shared" si="1626"/>
        <v>0</v>
      </c>
      <c r="BG1657" s="283">
        <f t="shared" si="1627"/>
        <v>0</v>
      </c>
      <c r="BH1657" s="283">
        <f t="shared" si="1628"/>
        <v>0</v>
      </c>
      <c r="BI1657" s="283">
        <f t="shared" si="1629"/>
        <v>0</v>
      </c>
      <c r="BJ1657" s="283">
        <f t="shared" si="1630"/>
        <v>0</v>
      </c>
      <c r="BK1657" s="283">
        <f t="shared" si="1631"/>
        <v>0</v>
      </c>
      <c r="BL1657" s="283">
        <f t="shared" si="1632"/>
        <v>0</v>
      </c>
      <c r="BM1657" s="283">
        <f t="shared" si="1633"/>
        <v>0</v>
      </c>
      <c r="BN1657" s="283">
        <f t="shared" si="1634"/>
        <v>0</v>
      </c>
      <c r="BO1657" s="283">
        <f t="shared" si="1635"/>
        <v>0</v>
      </c>
      <c r="BP1657" s="283">
        <f t="shared" si="1636"/>
        <v>0</v>
      </c>
      <c r="BQ1657" s="283">
        <f t="shared" si="1637"/>
        <v>0</v>
      </c>
      <c r="BR1657" s="283">
        <f t="shared" si="1638"/>
        <v>0</v>
      </c>
      <c r="BS1657" s="283">
        <f t="shared" si="1639"/>
        <v>0</v>
      </c>
      <c r="BT1657" s="283">
        <f t="shared" si="1640"/>
        <v>0</v>
      </c>
      <c r="BU1657" s="283">
        <f t="shared" si="1641"/>
        <v>0</v>
      </c>
      <c r="BV1657" s="283">
        <f t="shared" si="1642"/>
        <v>0</v>
      </c>
      <c r="BW1657" s="283">
        <f t="shared" si="1643"/>
        <v>0</v>
      </c>
      <c r="BX1657" s="283">
        <f t="shared" si="1644"/>
        <v>0</v>
      </c>
      <c r="BY1657" s="283">
        <f t="shared" si="1645"/>
        <v>0</v>
      </c>
      <c r="BZ1657" s="283">
        <f t="shared" si="1646"/>
        <v>0</v>
      </c>
      <c r="CA1657" s="283">
        <f t="shared" si="1647"/>
        <v>0</v>
      </c>
      <c r="CB1657" s="283">
        <f t="shared" si="1648"/>
        <v>0</v>
      </c>
      <c r="CC1657" s="283">
        <f t="shared" si="1649"/>
        <v>0</v>
      </c>
      <c r="CD1657" s="283">
        <f t="shared" si="1650"/>
        <v>0</v>
      </c>
      <c r="CE1657" s="283">
        <f t="shared" si="1651"/>
        <v>0</v>
      </c>
      <c r="CF1657" s="283">
        <f t="shared" si="1652"/>
        <v>0</v>
      </c>
      <c r="CG1657" s="283">
        <f t="shared" si="1653"/>
        <v>0</v>
      </c>
      <c r="CH1657" s="283">
        <f t="shared" si="1654"/>
        <v>0</v>
      </c>
      <c r="CI1657" s="283">
        <f t="shared" si="1655"/>
        <v>0</v>
      </c>
      <c r="CJ1657" s="283">
        <f t="shared" si="1656"/>
        <v>0</v>
      </c>
      <c r="CK1657" s="283">
        <f t="shared" si="1657"/>
        <v>0</v>
      </c>
      <c r="CL1657" s="283">
        <f t="shared" si="1658"/>
        <v>0</v>
      </c>
      <c r="CM1657" s="283">
        <f t="shared" si="1659"/>
        <v>0</v>
      </c>
      <c r="CN1657" s="283">
        <f t="shared" si="1660"/>
        <v>0</v>
      </c>
      <c r="CO1657" s="283">
        <f t="shared" si="1661"/>
        <v>0</v>
      </c>
      <c r="CP1657" s="283">
        <f t="shared" si="1662"/>
        <v>0</v>
      </c>
      <c r="CQ1657" s="283">
        <f t="shared" si="1663"/>
        <v>0</v>
      </c>
      <c r="CR1657" s="283">
        <f t="shared" si="1664"/>
        <v>0</v>
      </c>
      <c r="CS1657" s="283">
        <f t="shared" si="1665"/>
        <v>0</v>
      </c>
      <c r="CT1657" s="283">
        <f t="shared" si="1666"/>
        <v>0</v>
      </c>
      <c r="CU1657" s="283">
        <f t="shared" si="1667"/>
        <v>0</v>
      </c>
      <c r="CV1657" s="283">
        <f t="shared" si="1668"/>
        <v>0</v>
      </c>
      <c r="CW1657" s="283">
        <f t="shared" si="1669"/>
        <v>0</v>
      </c>
      <c r="CX1657" s="283">
        <f t="shared" si="1670"/>
        <v>0</v>
      </c>
      <c r="CY1657" s="253">
        <f t="shared" si="1671"/>
        <v>0</v>
      </c>
      <c r="CZ1657" s="342">
        <f t="shared" si="1672"/>
        <v>0</v>
      </c>
    </row>
    <row r="1658" spans="1:104" ht="15" customHeight="1">
      <c r="A1658" s="50"/>
      <c r="B1658" s="90"/>
      <c r="C1658" s="143" t="s">
        <v>2521</v>
      </c>
      <c r="D1658" s="813" t="str">
        <f>IF(CNSIPEE_2024_M2_Secc1!D47="","",CNSIPEE_2024_M2_Secc1!D47)</f>
        <v/>
      </c>
      <c r="E1658" s="814"/>
      <c r="F1658" s="815"/>
      <c r="G1658" s="816"/>
      <c r="H1658" s="738"/>
      <c r="I1658" s="817"/>
      <c r="J1658" s="100"/>
      <c r="K1658" s="100"/>
      <c r="L1658" s="100"/>
      <c r="M1658" s="100"/>
      <c r="N1658" s="100"/>
      <c r="O1658" s="100"/>
      <c r="P1658" s="100"/>
      <c r="Q1658" s="100"/>
      <c r="R1658" s="100"/>
      <c r="S1658" s="100"/>
      <c r="T1658" s="100"/>
      <c r="U1658" s="100"/>
      <c r="V1658" s="100"/>
      <c r="W1658" s="100"/>
      <c r="X1658" s="100"/>
      <c r="Y1658" s="100"/>
      <c r="Z1658" s="100"/>
      <c r="AA1658" s="100"/>
      <c r="AB1658" s="100"/>
      <c r="AC1658" s="100"/>
      <c r="AD1658" s="100"/>
      <c r="AG1658" s="326">
        <f t="shared" si="1601"/>
        <v>0</v>
      </c>
      <c r="AH1658" s="283">
        <f t="shared" si="1602"/>
        <v>0</v>
      </c>
      <c r="AI1658" s="283">
        <f t="shared" si="1603"/>
        <v>0</v>
      </c>
      <c r="AJ1658" s="283">
        <f t="shared" si="1604"/>
        <v>0</v>
      </c>
      <c r="AK1658" s="283">
        <f t="shared" si="1605"/>
        <v>0</v>
      </c>
      <c r="AL1658" s="283">
        <f t="shared" si="1606"/>
        <v>0</v>
      </c>
      <c r="AM1658" s="283">
        <f t="shared" si="1607"/>
        <v>0</v>
      </c>
      <c r="AN1658" s="283">
        <f t="shared" si="1608"/>
        <v>0</v>
      </c>
      <c r="AO1658" s="283">
        <f t="shared" si="1609"/>
        <v>0</v>
      </c>
      <c r="AP1658" s="283">
        <f t="shared" si="1610"/>
        <v>0</v>
      </c>
      <c r="AQ1658" s="283">
        <f t="shared" si="1611"/>
        <v>0</v>
      </c>
      <c r="AR1658" s="283">
        <f t="shared" si="1612"/>
        <v>0</v>
      </c>
      <c r="AS1658" s="283">
        <f t="shared" si="1613"/>
        <v>0</v>
      </c>
      <c r="AT1658" s="283">
        <f t="shared" si="1614"/>
        <v>0</v>
      </c>
      <c r="AU1658" s="283">
        <f t="shared" si="1615"/>
        <v>0</v>
      </c>
      <c r="AV1658" s="283">
        <f t="shared" si="1616"/>
        <v>0</v>
      </c>
      <c r="AW1658" s="283">
        <f t="shared" si="1617"/>
        <v>0</v>
      </c>
      <c r="AX1658" s="283">
        <f t="shared" si="1618"/>
        <v>0</v>
      </c>
      <c r="AY1658" s="283">
        <f t="shared" si="1619"/>
        <v>0</v>
      </c>
      <c r="AZ1658" s="283">
        <f t="shared" si="1620"/>
        <v>0</v>
      </c>
      <c r="BA1658" s="283">
        <f t="shared" si="1621"/>
        <v>0</v>
      </c>
      <c r="BB1658" s="283">
        <f t="shared" si="1622"/>
        <v>0</v>
      </c>
      <c r="BC1658" s="283">
        <f t="shared" si="1623"/>
        <v>0</v>
      </c>
      <c r="BD1658" s="283">
        <f t="shared" si="1624"/>
        <v>0</v>
      </c>
      <c r="BE1658" s="283">
        <f t="shared" si="1625"/>
        <v>0</v>
      </c>
      <c r="BF1658" s="283">
        <f t="shared" si="1626"/>
        <v>0</v>
      </c>
      <c r="BG1658" s="283">
        <f t="shared" si="1627"/>
        <v>0</v>
      </c>
      <c r="BH1658" s="283">
        <f t="shared" si="1628"/>
        <v>0</v>
      </c>
      <c r="BI1658" s="283">
        <f t="shared" si="1629"/>
        <v>0</v>
      </c>
      <c r="BJ1658" s="283">
        <f t="shared" si="1630"/>
        <v>0</v>
      </c>
      <c r="BK1658" s="283">
        <f t="shared" si="1631"/>
        <v>0</v>
      </c>
      <c r="BL1658" s="283">
        <f t="shared" si="1632"/>
        <v>0</v>
      </c>
      <c r="BM1658" s="283">
        <f t="shared" si="1633"/>
        <v>0</v>
      </c>
      <c r="BN1658" s="283">
        <f t="shared" si="1634"/>
        <v>0</v>
      </c>
      <c r="BO1658" s="283">
        <f t="shared" si="1635"/>
        <v>0</v>
      </c>
      <c r="BP1658" s="283">
        <f t="shared" si="1636"/>
        <v>0</v>
      </c>
      <c r="BQ1658" s="283">
        <f t="shared" si="1637"/>
        <v>0</v>
      </c>
      <c r="BR1658" s="283">
        <f t="shared" si="1638"/>
        <v>0</v>
      </c>
      <c r="BS1658" s="283">
        <f t="shared" si="1639"/>
        <v>0</v>
      </c>
      <c r="BT1658" s="283">
        <f t="shared" si="1640"/>
        <v>0</v>
      </c>
      <c r="BU1658" s="283">
        <f t="shared" si="1641"/>
        <v>0</v>
      </c>
      <c r="BV1658" s="283">
        <f t="shared" si="1642"/>
        <v>0</v>
      </c>
      <c r="BW1658" s="283">
        <f t="shared" si="1643"/>
        <v>0</v>
      </c>
      <c r="BX1658" s="283">
        <f t="shared" si="1644"/>
        <v>0</v>
      </c>
      <c r="BY1658" s="283">
        <f t="shared" si="1645"/>
        <v>0</v>
      </c>
      <c r="BZ1658" s="283">
        <f t="shared" si="1646"/>
        <v>0</v>
      </c>
      <c r="CA1658" s="283">
        <f t="shared" si="1647"/>
        <v>0</v>
      </c>
      <c r="CB1658" s="283">
        <f t="shared" si="1648"/>
        <v>0</v>
      </c>
      <c r="CC1658" s="283">
        <f t="shared" si="1649"/>
        <v>0</v>
      </c>
      <c r="CD1658" s="283">
        <f t="shared" si="1650"/>
        <v>0</v>
      </c>
      <c r="CE1658" s="283">
        <f t="shared" si="1651"/>
        <v>0</v>
      </c>
      <c r="CF1658" s="283">
        <f t="shared" si="1652"/>
        <v>0</v>
      </c>
      <c r="CG1658" s="283">
        <f t="shared" si="1653"/>
        <v>0</v>
      </c>
      <c r="CH1658" s="283">
        <f t="shared" si="1654"/>
        <v>0</v>
      </c>
      <c r="CI1658" s="283">
        <f t="shared" si="1655"/>
        <v>0</v>
      </c>
      <c r="CJ1658" s="283">
        <f t="shared" si="1656"/>
        <v>0</v>
      </c>
      <c r="CK1658" s="283">
        <f t="shared" si="1657"/>
        <v>0</v>
      </c>
      <c r="CL1658" s="283">
        <f t="shared" si="1658"/>
        <v>0</v>
      </c>
      <c r="CM1658" s="283">
        <f t="shared" si="1659"/>
        <v>0</v>
      </c>
      <c r="CN1658" s="283">
        <f t="shared" si="1660"/>
        <v>0</v>
      </c>
      <c r="CO1658" s="283">
        <f t="shared" si="1661"/>
        <v>0</v>
      </c>
      <c r="CP1658" s="283">
        <f t="shared" si="1662"/>
        <v>0</v>
      </c>
      <c r="CQ1658" s="283">
        <f t="shared" si="1663"/>
        <v>0</v>
      </c>
      <c r="CR1658" s="283">
        <f t="shared" si="1664"/>
        <v>0</v>
      </c>
      <c r="CS1658" s="283">
        <f t="shared" si="1665"/>
        <v>0</v>
      </c>
      <c r="CT1658" s="283">
        <f t="shared" si="1666"/>
        <v>0</v>
      </c>
      <c r="CU1658" s="283">
        <f t="shared" si="1667"/>
        <v>0</v>
      </c>
      <c r="CV1658" s="283">
        <f t="shared" si="1668"/>
        <v>0</v>
      </c>
      <c r="CW1658" s="283">
        <f t="shared" si="1669"/>
        <v>0</v>
      </c>
      <c r="CX1658" s="283">
        <f t="shared" si="1670"/>
        <v>0</v>
      </c>
      <c r="CY1658" s="253">
        <f t="shared" si="1671"/>
        <v>0</v>
      </c>
      <c r="CZ1658" s="342">
        <f t="shared" si="1672"/>
        <v>0</v>
      </c>
    </row>
    <row r="1659" spans="1:104" ht="15" customHeight="1">
      <c r="A1659" s="50"/>
      <c r="B1659" s="90"/>
      <c r="C1659" s="143" t="s">
        <v>2522</v>
      </c>
      <c r="D1659" s="813" t="str">
        <f>IF(CNSIPEE_2024_M2_Secc1!D48="","",CNSIPEE_2024_M2_Secc1!D48)</f>
        <v/>
      </c>
      <c r="E1659" s="814"/>
      <c r="F1659" s="815"/>
      <c r="G1659" s="816"/>
      <c r="H1659" s="738"/>
      <c r="I1659" s="817"/>
      <c r="J1659" s="100"/>
      <c r="K1659" s="100"/>
      <c r="L1659" s="100"/>
      <c r="M1659" s="100"/>
      <c r="N1659" s="100"/>
      <c r="O1659" s="100"/>
      <c r="P1659" s="100"/>
      <c r="Q1659" s="100"/>
      <c r="R1659" s="100"/>
      <c r="S1659" s="100"/>
      <c r="T1659" s="100"/>
      <c r="U1659" s="100"/>
      <c r="V1659" s="100"/>
      <c r="W1659" s="100"/>
      <c r="X1659" s="100"/>
      <c r="Y1659" s="100"/>
      <c r="Z1659" s="100"/>
      <c r="AA1659" s="100"/>
      <c r="AB1659" s="100"/>
      <c r="AC1659" s="100"/>
      <c r="AD1659" s="100"/>
      <c r="AG1659" s="326">
        <f t="shared" si="1601"/>
        <v>0</v>
      </c>
      <c r="AH1659" s="283">
        <f t="shared" si="1602"/>
        <v>0</v>
      </c>
      <c r="AI1659" s="283">
        <f t="shared" si="1603"/>
        <v>0</v>
      </c>
      <c r="AJ1659" s="283">
        <f t="shared" si="1604"/>
        <v>0</v>
      </c>
      <c r="AK1659" s="283">
        <f t="shared" si="1605"/>
        <v>0</v>
      </c>
      <c r="AL1659" s="283">
        <f t="shared" si="1606"/>
        <v>0</v>
      </c>
      <c r="AM1659" s="283">
        <f t="shared" si="1607"/>
        <v>0</v>
      </c>
      <c r="AN1659" s="283">
        <f t="shared" si="1608"/>
        <v>0</v>
      </c>
      <c r="AO1659" s="283">
        <f t="shared" si="1609"/>
        <v>0</v>
      </c>
      <c r="AP1659" s="283">
        <f t="shared" si="1610"/>
        <v>0</v>
      </c>
      <c r="AQ1659" s="283">
        <f t="shared" si="1611"/>
        <v>0</v>
      </c>
      <c r="AR1659" s="283">
        <f t="shared" si="1612"/>
        <v>0</v>
      </c>
      <c r="AS1659" s="283">
        <f t="shared" si="1613"/>
        <v>0</v>
      </c>
      <c r="AT1659" s="283">
        <f t="shared" si="1614"/>
        <v>0</v>
      </c>
      <c r="AU1659" s="283">
        <f t="shared" si="1615"/>
        <v>0</v>
      </c>
      <c r="AV1659" s="283">
        <f t="shared" si="1616"/>
        <v>0</v>
      </c>
      <c r="AW1659" s="283">
        <f t="shared" si="1617"/>
        <v>0</v>
      </c>
      <c r="AX1659" s="283">
        <f t="shared" si="1618"/>
        <v>0</v>
      </c>
      <c r="AY1659" s="283">
        <f t="shared" si="1619"/>
        <v>0</v>
      </c>
      <c r="AZ1659" s="283">
        <f t="shared" si="1620"/>
        <v>0</v>
      </c>
      <c r="BA1659" s="283">
        <f t="shared" si="1621"/>
        <v>0</v>
      </c>
      <c r="BB1659" s="283">
        <f t="shared" si="1622"/>
        <v>0</v>
      </c>
      <c r="BC1659" s="283">
        <f t="shared" si="1623"/>
        <v>0</v>
      </c>
      <c r="BD1659" s="283">
        <f t="shared" si="1624"/>
        <v>0</v>
      </c>
      <c r="BE1659" s="283">
        <f t="shared" si="1625"/>
        <v>0</v>
      </c>
      <c r="BF1659" s="283">
        <f t="shared" si="1626"/>
        <v>0</v>
      </c>
      <c r="BG1659" s="283">
        <f t="shared" si="1627"/>
        <v>0</v>
      </c>
      <c r="BH1659" s="283">
        <f t="shared" si="1628"/>
        <v>0</v>
      </c>
      <c r="BI1659" s="283">
        <f t="shared" si="1629"/>
        <v>0</v>
      </c>
      <c r="BJ1659" s="283">
        <f t="shared" si="1630"/>
        <v>0</v>
      </c>
      <c r="BK1659" s="283">
        <f t="shared" si="1631"/>
        <v>0</v>
      </c>
      <c r="BL1659" s="283">
        <f t="shared" si="1632"/>
        <v>0</v>
      </c>
      <c r="BM1659" s="283">
        <f t="shared" si="1633"/>
        <v>0</v>
      </c>
      <c r="BN1659" s="283">
        <f t="shared" si="1634"/>
        <v>0</v>
      </c>
      <c r="BO1659" s="283">
        <f t="shared" si="1635"/>
        <v>0</v>
      </c>
      <c r="BP1659" s="283">
        <f t="shared" si="1636"/>
        <v>0</v>
      </c>
      <c r="BQ1659" s="283">
        <f t="shared" si="1637"/>
        <v>0</v>
      </c>
      <c r="BR1659" s="283">
        <f t="shared" si="1638"/>
        <v>0</v>
      </c>
      <c r="BS1659" s="283">
        <f t="shared" si="1639"/>
        <v>0</v>
      </c>
      <c r="BT1659" s="283">
        <f t="shared" si="1640"/>
        <v>0</v>
      </c>
      <c r="BU1659" s="283">
        <f t="shared" si="1641"/>
        <v>0</v>
      </c>
      <c r="BV1659" s="283">
        <f t="shared" si="1642"/>
        <v>0</v>
      </c>
      <c r="BW1659" s="283">
        <f t="shared" si="1643"/>
        <v>0</v>
      </c>
      <c r="BX1659" s="283">
        <f t="shared" si="1644"/>
        <v>0</v>
      </c>
      <c r="BY1659" s="283">
        <f t="shared" si="1645"/>
        <v>0</v>
      </c>
      <c r="BZ1659" s="283">
        <f t="shared" si="1646"/>
        <v>0</v>
      </c>
      <c r="CA1659" s="283">
        <f t="shared" si="1647"/>
        <v>0</v>
      </c>
      <c r="CB1659" s="283">
        <f t="shared" si="1648"/>
        <v>0</v>
      </c>
      <c r="CC1659" s="283">
        <f t="shared" si="1649"/>
        <v>0</v>
      </c>
      <c r="CD1659" s="283">
        <f t="shared" si="1650"/>
        <v>0</v>
      </c>
      <c r="CE1659" s="283">
        <f t="shared" si="1651"/>
        <v>0</v>
      </c>
      <c r="CF1659" s="283">
        <f t="shared" si="1652"/>
        <v>0</v>
      </c>
      <c r="CG1659" s="283">
        <f t="shared" si="1653"/>
        <v>0</v>
      </c>
      <c r="CH1659" s="283">
        <f t="shared" si="1654"/>
        <v>0</v>
      </c>
      <c r="CI1659" s="283">
        <f t="shared" si="1655"/>
        <v>0</v>
      </c>
      <c r="CJ1659" s="283">
        <f t="shared" si="1656"/>
        <v>0</v>
      </c>
      <c r="CK1659" s="283">
        <f t="shared" si="1657"/>
        <v>0</v>
      </c>
      <c r="CL1659" s="283">
        <f t="shared" si="1658"/>
        <v>0</v>
      </c>
      <c r="CM1659" s="283">
        <f t="shared" si="1659"/>
        <v>0</v>
      </c>
      <c r="CN1659" s="283">
        <f t="shared" si="1660"/>
        <v>0</v>
      </c>
      <c r="CO1659" s="283">
        <f t="shared" si="1661"/>
        <v>0</v>
      </c>
      <c r="CP1659" s="283">
        <f t="shared" si="1662"/>
        <v>0</v>
      </c>
      <c r="CQ1659" s="283">
        <f t="shared" si="1663"/>
        <v>0</v>
      </c>
      <c r="CR1659" s="283">
        <f t="shared" si="1664"/>
        <v>0</v>
      </c>
      <c r="CS1659" s="283">
        <f t="shared" si="1665"/>
        <v>0</v>
      </c>
      <c r="CT1659" s="283">
        <f t="shared" si="1666"/>
        <v>0</v>
      </c>
      <c r="CU1659" s="283">
        <f t="shared" si="1667"/>
        <v>0</v>
      </c>
      <c r="CV1659" s="283">
        <f t="shared" si="1668"/>
        <v>0</v>
      </c>
      <c r="CW1659" s="283">
        <f t="shared" si="1669"/>
        <v>0</v>
      </c>
      <c r="CX1659" s="283">
        <f t="shared" si="1670"/>
        <v>0</v>
      </c>
      <c r="CY1659" s="253">
        <f t="shared" si="1671"/>
        <v>0</v>
      </c>
      <c r="CZ1659" s="342">
        <f t="shared" si="1672"/>
        <v>0</v>
      </c>
    </row>
    <row r="1660" spans="1:104" ht="15" customHeight="1">
      <c r="A1660" s="50"/>
      <c r="B1660" s="90"/>
      <c r="C1660" s="143" t="s">
        <v>2523</v>
      </c>
      <c r="D1660" s="813" t="str">
        <f>IF(CNSIPEE_2024_M2_Secc1!D49="","",CNSIPEE_2024_M2_Secc1!D49)</f>
        <v/>
      </c>
      <c r="E1660" s="814"/>
      <c r="F1660" s="815"/>
      <c r="G1660" s="816"/>
      <c r="H1660" s="738"/>
      <c r="I1660" s="817"/>
      <c r="J1660" s="100"/>
      <c r="K1660" s="100"/>
      <c r="L1660" s="100"/>
      <c r="M1660" s="100"/>
      <c r="N1660" s="100"/>
      <c r="O1660" s="100"/>
      <c r="P1660" s="100"/>
      <c r="Q1660" s="100"/>
      <c r="R1660" s="100"/>
      <c r="S1660" s="100"/>
      <c r="T1660" s="100"/>
      <c r="U1660" s="100"/>
      <c r="V1660" s="100"/>
      <c r="W1660" s="100"/>
      <c r="X1660" s="100"/>
      <c r="Y1660" s="100"/>
      <c r="Z1660" s="100"/>
      <c r="AA1660" s="100"/>
      <c r="AB1660" s="100"/>
      <c r="AC1660" s="100"/>
      <c r="AD1660" s="100"/>
      <c r="AG1660" s="326">
        <f t="shared" si="1601"/>
        <v>0</v>
      </c>
      <c r="AH1660" s="283">
        <f t="shared" si="1602"/>
        <v>0</v>
      </c>
      <c r="AI1660" s="283">
        <f t="shared" si="1603"/>
        <v>0</v>
      </c>
      <c r="AJ1660" s="283">
        <f t="shared" si="1604"/>
        <v>0</v>
      </c>
      <c r="AK1660" s="283">
        <f t="shared" si="1605"/>
        <v>0</v>
      </c>
      <c r="AL1660" s="283">
        <f t="shared" si="1606"/>
        <v>0</v>
      </c>
      <c r="AM1660" s="283">
        <f t="shared" si="1607"/>
        <v>0</v>
      </c>
      <c r="AN1660" s="283">
        <f t="shared" si="1608"/>
        <v>0</v>
      </c>
      <c r="AO1660" s="283">
        <f t="shared" si="1609"/>
        <v>0</v>
      </c>
      <c r="AP1660" s="283">
        <f t="shared" si="1610"/>
        <v>0</v>
      </c>
      <c r="AQ1660" s="283">
        <f t="shared" si="1611"/>
        <v>0</v>
      </c>
      <c r="AR1660" s="283">
        <f t="shared" si="1612"/>
        <v>0</v>
      </c>
      <c r="AS1660" s="283">
        <f t="shared" si="1613"/>
        <v>0</v>
      </c>
      <c r="AT1660" s="283">
        <f t="shared" si="1614"/>
        <v>0</v>
      </c>
      <c r="AU1660" s="283">
        <f t="shared" si="1615"/>
        <v>0</v>
      </c>
      <c r="AV1660" s="283">
        <f t="shared" si="1616"/>
        <v>0</v>
      </c>
      <c r="AW1660" s="283">
        <f t="shared" si="1617"/>
        <v>0</v>
      </c>
      <c r="AX1660" s="283">
        <f t="shared" si="1618"/>
        <v>0</v>
      </c>
      <c r="AY1660" s="283">
        <f t="shared" si="1619"/>
        <v>0</v>
      </c>
      <c r="AZ1660" s="283">
        <f t="shared" si="1620"/>
        <v>0</v>
      </c>
      <c r="BA1660" s="283">
        <f t="shared" si="1621"/>
        <v>0</v>
      </c>
      <c r="BB1660" s="283">
        <f t="shared" si="1622"/>
        <v>0</v>
      </c>
      <c r="BC1660" s="283">
        <f t="shared" si="1623"/>
        <v>0</v>
      </c>
      <c r="BD1660" s="283">
        <f t="shared" si="1624"/>
        <v>0</v>
      </c>
      <c r="BE1660" s="283">
        <f t="shared" si="1625"/>
        <v>0</v>
      </c>
      <c r="BF1660" s="283">
        <f t="shared" si="1626"/>
        <v>0</v>
      </c>
      <c r="BG1660" s="283">
        <f t="shared" si="1627"/>
        <v>0</v>
      </c>
      <c r="BH1660" s="283">
        <f t="shared" si="1628"/>
        <v>0</v>
      </c>
      <c r="BI1660" s="283">
        <f t="shared" si="1629"/>
        <v>0</v>
      </c>
      <c r="BJ1660" s="283">
        <f t="shared" si="1630"/>
        <v>0</v>
      </c>
      <c r="BK1660" s="283">
        <f t="shared" si="1631"/>
        <v>0</v>
      </c>
      <c r="BL1660" s="283">
        <f t="shared" si="1632"/>
        <v>0</v>
      </c>
      <c r="BM1660" s="283">
        <f t="shared" si="1633"/>
        <v>0</v>
      </c>
      <c r="BN1660" s="283">
        <f t="shared" si="1634"/>
        <v>0</v>
      </c>
      <c r="BO1660" s="283">
        <f t="shared" si="1635"/>
        <v>0</v>
      </c>
      <c r="BP1660" s="283">
        <f t="shared" si="1636"/>
        <v>0</v>
      </c>
      <c r="BQ1660" s="283">
        <f t="shared" si="1637"/>
        <v>0</v>
      </c>
      <c r="BR1660" s="283">
        <f t="shared" si="1638"/>
        <v>0</v>
      </c>
      <c r="BS1660" s="283">
        <f t="shared" si="1639"/>
        <v>0</v>
      </c>
      <c r="BT1660" s="283">
        <f t="shared" si="1640"/>
        <v>0</v>
      </c>
      <c r="BU1660" s="283">
        <f t="shared" si="1641"/>
        <v>0</v>
      </c>
      <c r="BV1660" s="283">
        <f t="shared" si="1642"/>
        <v>0</v>
      </c>
      <c r="BW1660" s="283">
        <f t="shared" si="1643"/>
        <v>0</v>
      </c>
      <c r="BX1660" s="283">
        <f t="shared" si="1644"/>
        <v>0</v>
      </c>
      <c r="BY1660" s="283">
        <f t="shared" si="1645"/>
        <v>0</v>
      </c>
      <c r="BZ1660" s="283">
        <f t="shared" si="1646"/>
        <v>0</v>
      </c>
      <c r="CA1660" s="283">
        <f t="shared" si="1647"/>
        <v>0</v>
      </c>
      <c r="CB1660" s="283">
        <f t="shared" si="1648"/>
        <v>0</v>
      </c>
      <c r="CC1660" s="283">
        <f t="shared" si="1649"/>
        <v>0</v>
      </c>
      <c r="CD1660" s="283">
        <f t="shared" si="1650"/>
        <v>0</v>
      </c>
      <c r="CE1660" s="283">
        <f t="shared" si="1651"/>
        <v>0</v>
      </c>
      <c r="CF1660" s="283">
        <f t="shared" si="1652"/>
        <v>0</v>
      </c>
      <c r="CG1660" s="283">
        <f t="shared" si="1653"/>
        <v>0</v>
      </c>
      <c r="CH1660" s="283">
        <f t="shared" si="1654"/>
        <v>0</v>
      </c>
      <c r="CI1660" s="283">
        <f t="shared" si="1655"/>
        <v>0</v>
      </c>
      <c r="CJ1660" s="283">
        <f t="shared" si="1656"/>
        <v>0</v>
      </c>
      <c r="CK1660" s="283">
        <f t="shared" si="1657"/>
        <v>0</v>
      </c>
      <c r="CL1660" s="283">
        <f t="shared" si="1658"/>
        <v>0</v>
      </c>
      <c r="CM1660" s="283">
        <f t="shared" si="1659"/>
        <v>0</v>
      </c>
      <c r="CN1660" s="283">
        <f t="shared" si="1660"/>
        <v>0</v>
      </c>
      <c r="CO1660" s="283">
        <f t="shared" si="1661"/>
        <v>0</v>
      </c>
      <c r="CP1660" s="283">
        <f t="shared" si="1662"/>
        <v>0</v>
      </c>
      <c r="CQ1660" s="283">
        <f t="shared" si="1663"/>
        <v>0</v>
      </c>
      <c r="CR1660" s="283">
        <f t="shared" si="1664"/>
        <v>0</v>
      </c>
      <c r="CS1660" s="283">
        <f t="shared" si="1665"/>
        <v>0</v>
      </c>
      <c r="CT1660" s="283">
        <f t="shared" si="1666"/>
        <v>0</v>
      </c>
      <c r="CU1660" s="283">
        <f t="shared" si="1667"/>
        <v>0</v>
      </c>
      <c r="CV1660" s="283">
        <f t="shared" si="1668"/>
        <v>0</v>
      </c>
      <c r="CW1660" s="283">
        <f t="shared" si="1669"/>
        <v>0</v>
      </c>
      <c r="CX1660" s="283">
        <f t="shared" si="1670"/>
        <v>0</v>
      </c>
      <c r="CY1660" s="253">
        <f t="shared" si="1671"/>
        <v>0</v>
      </c>
      <c r="CZ1660" s="342">
        <f t="shared" si="1672"/>
        <v>0</v>
      </c>
    </row>
    <row r="1661" spans="1:104" ht="15" customHeight="1">
      <c r="A1661" s="50"/>
      <c r="B1661" s="90"/>
      <c r="C1661" s="90"/>
      <c r="D1661" s="90"/>
      <c r="E1661" s="90"/>
      <c r="F1661" s="90"/>
      <c r="G1661" s="90"/>
      <c r="H1661" s="90"/>
      <c r="I1661" s="99" t="s">
        <v>2649</v>
      </c>
      <c r="J1661" s="124">
        <f>IF(AND(SUM(J1653:J1660)=0,COUNTIF(J1653:J1660,"NS")&gt;0),"NS",
IF(AND(SUM(J1653:J1660)=0,COUNTIF(J1653:J1660,0)&gt;0),0,
IF(AND(SUM(J1653:J1660)=0,COUNTIF(J1653:J1660,"NA")&gt;0),"NA",
SUM(J1653:J1660))))</f>
        <v>0</v>
      </c>
      <c r="K1661" s="124">
        <f t="shared" ref="K1661:AD1661" si="1673">IF(AND(SUM(K1653:K1660)=0,COUNTIF(K1653:K1660,"NS")&gt;0),"NS",
IF(AND(SUM(K1653:K1660)=0,COUNTIF(K1653:K1660,0)&gt;0),0,
IF(AND(SUM(K1653:K1660)=0,COUNTIF(K1653:K1660,"NA")&gt;0),"NA",
SUM(K1653:K1660))))</f>
        <v>0</v>
      </c>
      <c r="L1661" s="124">
        <f t="shared" si="1673"/>
        <v>0</v>
      </c>
      <c r="M1661" s="124">
        <f t="shared" si="1673"/>
        <v>0</v>
      </c>
      <c r="N1661" s="124">
        <f t="shared" si="1673"/>
        <v>0</v>
      </c>
      <c r="O1661" s="124">
        <f t="shared" si="1673"/>
        <v>0</v>
      </c>
      <c r="P1661" s="124">
        <f t="shared" si="1673"/>
        <v>0</v>
      </c>
      <c r="Q1661" s="124">
        <f t="shared" si="1673"/>
        <v>0</v>
      </c>
      <c r="R1661" s="124">
        <f t="shared" si="1673"/>
        <v>0</v>
      </c>
      <c r="S1661" s="124">
        <f t="shared" si="1673"/>
        <v>0</v>
      </c>
      <c r="T1661" s="124">
        <f t="shared" si="1673"/>
        <v>0</v>
      </c>
      <c r="U1661" s="124">
        <f t="shared" si="1673"/>
        <v>0</v>
      </c>
      <c r="V1661" s="124">
        <f t="shared" si="1673"/>
        <v>0</v>
      </c>
      <c r="W1661" s="124">
        <f t="shared" si="1673"/>
        <v>0</v>
      </c>
      <c r="X1661" s="124">
        <f t="shared" si="1673"/>
        <v>0</v>
      </c>
      <c r="Y1661" s="124">
        <f t="shared" si="1673"/>
        <v>0</v>
      </c>
      <c r="Z1661" s="124">
        <f t="shared" si="1673"/>
        <v>0</v>
      </c>
      <c r="AA1661" s="124">
        <f t="shared" si="1673"/>
        <v>0</v>
      </c>
      <c r="AB1661" s="124">
        <f t="shared" si="1673"/>
        <v>0</v>
      </c>
      <c r="AC1661" s="124">
        <f t="shared" si="1673"/>
        <v>0</v>
      </c>
      <c r="AD1661" s="124">
        <f t="shared" si="1673"/>
        <v>0</v>
      </c>
      <c r="AG1661" s="354">
        <f>SUM(AG1653:AG1660)</f>
        <v>0</v>
      </c>
      <c r="AH1661" s="406">
        <f>SUM(AH1653:AH1660)</f>
        <v>0</v>
      </c>
      <c r="AI1661" s="326"/>
      <c r="AJ1661" s="352">
        <f>SUM(AJ1653:AJ1660)</f>
        <v>0</v>
      </c>
      <c r="AK1661" s="406">
        <f t="shared" ref="AK1661" si="1674">SUM(AK1653:AK1660)</f>
        <v>0</v>
      </c>
      <c r="AL1661" s="326"/>
      <c r="AM1661" s="352">
        <f t="shared" ref="AM1661:AN1661" si="1675">SUM(AM1653:AM1660)</f>
        <v>0</v>
      </c>
      <c r="AN1661" s="406">
        <f t="shared" si="1675"/>
        <v>0</v>
      </c>
      <c r="AO1661" s="326"/>
      <c r="AP1661" s="352">
        <f t="shared" ref="AP1661:AQ1661" si="1676">SUM(AP1653:AP1660)</f>
        <v>0</v>
      </c>
      <c r="AQ1661" s="406">
        <f t="shared" si="1676"/>
        <v>0</v>
      </c>
      <c r="AR1661" s="326"/>
      <c r="AS1661" s="352">
        <f t="shared" ref="AS1661:AT1661" si="1677">SUM(AS1653:AS1660)</f>
        <v>0</v>
      </c>
      <c r="AT1661" s="406">
        <f t="shared" si="1677"/>
        <v>0</v>
      </c>
      <c r="AU1661" s="326"/>
      <c r="AV1661" s="352">
        <f t="shared" ref="AV1661:AW1661" si="1678">SUM(AV1653:AV1660)</f>
        <v>0</v>
      </c>
      <c r="AW1661" s="406">
        <f t="shared" si="1678"/>
        <v>0</v>
      </c>
      <c r="AX1661" s="326"/>
      <c r="AY1661" s="352">
        <f t="shared" ref="AY1661:AZ1661" si="1679">SUM(AY1653:AY1660)</f>
        <v>0</v>
      </c>
      <c r="AZ1661" s="406">
        <f t="shared" si="1679"/>
        <v>0</v>
      </c>
      <c r="BA1661" s="326"/>
      <c r="BB1661" s="352">
        <f t="shared" ref="BB1661:BC1661" si="1680">SUM(BB1653:BB1660)</f>
        <v>0</v>
      </c>
      <c r="BC1661" s="406">
        <f t="shared" si="1680"/>
        <v>0</v>
      </c>
      <c r="BD1661" s="326"/>
      <c r="BE1661" s="352">
        <f t="shared" ref="BE1661:BF1661" si="1681">SUM(BE1653:BE1660)</f>
        <v>0</v>
      </c>
      <c r="BF1661" s="406">
        <f t="shared" si="1681"/>
        <v>0</v>
      </c>
      <c r="BG1661" s="326"/>
      <c r="BH1661" s="352">
        <f t="shared" ref="BH1661:BI1661" si="1682">SUM(BH1653:BH1660)</f>
        <v>0</v>
      </c>
      <c r="BI1661" s="406">
        <f t="shared" si="1682"/>
        <v>0</v>
      </c>
      <c r="BJ1661" s="326"/>
      <c r="BK1661" s="352">
        <f t="shared" ref="BK1661:BL1661" si="1683">SUM(BK1653:BK1660)</f>
        <v>0</v>
      </c>
      <c r="BL1661" s="406">
        <f t="shared" si="1683"/>
        <v>0</v>
      </c>
      <c r="BM1661" s="326"/>
      <c r="BN1661" s="352">
        <f t="shared" ref="BN1661:BO1661" si="1684">SUM(BN1653:BN1660)</f>
        <v>0</v>
      </c>
      <c r="BO1661" s="406">
        <f t="shared" si="1684"/>
        <v>0</v>
      </c>
      <c r="BP1661" s="326"/>
      <c r="BQ1661" s="352">
        <f t="shared" ref="BQ1661:BR1661" si="1685">SUM(BQ1653:BQ1660)</f>
        <v>0</v>
      </c>
      <c r="BR1661" s="406">
        <f t="shared" si="1685"/>
        <v>0</v>
      </c>
      <c r="BS1661" s="326"/>
      <c r="BT1661" s="352">
        <f t="shared" ref="BT1661:BU1661" si="1686">SUM(BT1653:BT1660)</f>
        <v>0</v>
      </c>
      <c r="BU1661" s="406">
        <f t="shared" si="1686"/>
        <v>0</v>
      </c>
      <c r="BV1661" s="326"/>
      <c r="BW1661" s="352">
        <f t="shared" ref="BW1661:BX1661" si="1687">SUM(BW1653:BW1660)</f>
        <v>0</v>
      </c>
      <c r="BX1661" s="406">
        <f t="shared" si="1687"/>
        <v>0</v>
      </c>
      <c r="BY1661" s="326"/>
      <c r="BZ1661" s="352">
        <f t="shared" ref="BZ1661:CA1661" si="1688">SUM(BZ1653:BZ1660)</f>
        <v>0</v>
      </c>
      <c r="CA1661" s="406">
        <f t="shared" si="1688"/>
        <v>0</v>
      </c>
      <c r="CB1661" s="326"/>
      <c r="CC1661" s="352">
        <f t="shared" ref="CC1661:CD1661" si="1689">SUM(CC1653:CC1660)</f>
        <v>0</v>
      </c>
      <c r="CD1661" s="406">
        <f t="shared" si="1689"/>
        <v>0</v>
      </c>
      <c r="CE1661" s="326"/>
      <c r="CF1661" s="352">
        <f t="shared" ref="CF1661:CG1661" si="1690">SUM(CF1653:CF1660)</f>
        <v>0</v>
      </c>
      <c r="CG1661" s="406">
        <f t="shared" si="1690"/>
        <v>0</v>
      </c>
      <c r="CH1661" s="326"/>
      <c r="CI1661" s="352">
        <f t="shared" ref="CI1661:CJ1661" si="1691">SUM(CI1653:CI1660)</f>
        <v>0</v>
      </c>
      <c r="CJ1661" s="406">
        <f t="shared" si="1691"/>
        <v>0</v>
      </c>
      <c r="CK1661" s="326"/>
      <c r="CL1661" s="352">
        <f t="shared" ref="CL1661:CM1661" si="1692">SUM(CL1653:CL1660)</f>
        <v>0</v>
      </c>
      <c r="CM1661" s="406">
        <f t="shared" si="1692"/>
        <v>0</v>
      </c>
      <c r="CN1661" s="326"/>
      <c r="CO1661" s="352">
        <f t="shared" ref="CO1661:CP1661" si="1693">SUM(CO1653:CO1660)</f>
        <v>0</v>
      </c>
      <c r="CP1661" s="406">
        <f t="shared" si="1693"/>
        <v>0</v>
      </c>
      <c r="CQ1661" s="326"/>
      <c r="CR1661" s="352">
        <f t="shared" ref="CR1661:CS1661" si="1694">SUM(CR1653:CR1660)</f>
        <v>0</v>
      </c>
      <c r="CS1661" s="406">
        <f t="shared" si="1694"/>
        <v>0</v>
      </c>
      <c r="CT1661" s="326"/>
      <c r="CU1661" s="352">
        <f t="shared" ref="CU1661:CV1661" si="1695">SUM(CU1653:CU1660)</f>
        <v>0</v>
      </c>
      <c r="CV1661" s="406">
        <f t="shared" si="1695"/>
        <v>0</v>
      </c>
      <c r="CW1661" s="326"/>
      <c r="CX1661" s="352">
        <f t="shared" ref="CX1661" si="1696">SUM(CX1653:CX1660)</f>
        <v>0</v>
      </c>
      <c r="CY1661" s="469">
        <f>SUM(CY1653:CY1660)</f>
        <v>0</v>
      </c>
      <c r="CZ1661" s="465">
        <f>SUM(CZ1653:CZ1660)</f>
        <v>0</v>
      </c>
    </row>
    <row r="1662" spans="1:104" ht="15" customHeight="1">
      <c r="A1662" s="91"/>
    </row>
    <row r="1663" spans="1:104" ht="15">
      <c r="A1663" s="115"/>
      <c r="AA1663" s="875" t="s">
        <v>3233</v>
      </c>
      <c r="AB1663" s="875"/>
      <c r="AC1663" s="875"/>
      <c r="AD1663" s="875"/>
      <c r="AJ1663" s="356" t="s">
        <v>2650</v>
      </c>
      <c r="AK1663" s="283">
        <f>SUM(AJ1661,AM1661,AP1661,AS1661,AV1661,AY1661,BB1661,BE1661,BH1661,BK1661,BN1661,BQ1661,BT1661,BW1661,BZ1661,CC1661,CF1661,CI1661,CL1661,CO1661,CR1661,CU1661,CX1661)</f>
        <v>0</v>
      </c>
      <c r="AL1663" s="355" t="s">
        <v>2651</v>
      </c>
      <c r="AM1663" s="283">
        <f>SUM(AH1661,AK1661,AN1661,AQ1661,AT1661,AW1661,AZ1661,BC1661,BF1661,BI1661,BL1661,BO1661,BR1661,BU1661,BX1661,CA1661,CD1661,CG1661,CJ1661,CM1661,CP1661,CS1661,CV1661)</f>
        <v>0</v>
      </c>
      <c r="AN1663" s="283"/>
      <c r="AO1663" s="283"/>
    </row>
    <row r="1664" spans="1:104" ht="24" customHeight="1">
      <c r="A1664" s="142"/>
      <c r="B1664" s="113"/>
      <c r="C1664" s="797" t="s">
        <v>2581</v>
      </c>
      <c r="D1664" s="798"/>
      <c r="E1664" s="798"/>
      <c r="F1664" s="799"/>
      <c r="G1664" s="740" t="s">
        <v>3920</v>
      </c>
      <c r="H1664" s="740"/>
      <c r="I1664" s="740"/>
      <c r="J1664" s="740"/>
      <c r="K1664" s="740"/>
      <c r="L1664" s="740"/>
      <c r="M1664" s="740"/>
      <c r="N1664" s="740"/>
      <c r="O1664" s="740"/>
      <c r="P1664" s="740"/>
      <c r="Q1664" s="740"/>
      <c r="R1664" s="740"/>
      <c r="S1664" s="740"/>
      <c r="T1664" s="740"/>
      <c r="U1664" s="740"/>
      <c r="V1664" s="740"/>
      <c r="W1664" s="740"/>
      <c r="X1664" s="740"/>
      <c r="Y1664" s="740"/>
      <c r="Z1664" s="740"/>
      <c r="AA1664" s="740"/>
      <c r="AB1664" s="740"/>
      <c r="AC1664" s="740"/>
      <c r="AD1664" s="741"/>
      <c r="AJ1664" s="356" t="s">
        <v>2652</v>
      </c>
      <c r="AK1664" s="438">
        <f>IF(AM1663&gt;0,IF(SUM(J1661)&gt;=SUM(M1661,P1661,S1661,V1661,Y1661,AB1661,G1677,J1677,M1677,P1677,S1677,V1677,Y1677,AB1677,G1693,J1693,M1693,P1693,S1693,V1693,Y1693,AB1693),0,1),IF(SUM(J1661)&lt;&gt;SUM(M1661,P1661,S1661,V1661,Y1661,AB1661,G1677,J1677,M1677,P1677,S1677,V1677,Y1677,AB1677,G1693,J1693,M1693,P1693,S1693,V1693,Y1693,AB1693),1,0))</f>
        <v>0</v>
      </c>
      <c r="AL1664" s="357" t="s">
        <v>2653</v>
      </c>
      <c r="AM1664" s="438">
        <f>IF(AM1663&gt;0,IF(SUM(K1661)&gt;=SUM(N1661,Q1661,T1661,W1661,Z1661,AC1661,H1677,K1677,N1677,Q1677,T1677,W1677,Z1677,AC1677,H1693,K1693,N1693,Q1693,T1693,W1693,Z1693,AC1693),0,1),IF(SUM(K1661)&lt;&gt;SUM(N1661,Q1661,T1661,W1661,Z1661,AC1661,H1677,K1677,N1677,Q1677,T1677,W1677,Z1677,AC1677,H1693,K1693,N1693,Q1693,T1693,W1693,Z1693,AC1693),1,0))</f>
        <v>0</v>
      </c>
      <c r="AN1664" s="357" t="s">
        <v>2654</v>
      </c>
      <c r="AO1664" s="438">
        <f>IF(AM1663&gt;0,IF(SUM(L1661)&gt;=SUM(O1661,R1661,U1661,X1661,AA1661,AD1661,I1677,L1677,O1677,R1677,U1677,X1677,AA1677,AD1677,I1693,L1693,O1693,R1693,U1693,X1693,AA1693,AD1693),0,1),IF(SUM(L1661)&lt;&gt;SUM(O1661,R1661,U1661,X1661,AA1661,AD1661,I1677,L1677,O1677,R1677,U1677,X1677,AA1677,AD1677,I1693,L1693,O1693,R1693,U1693,X1693,AA1693,AD1693),1,0))</f>
        <v>0</v>
      </c>
    </row>
    <row r="1665" spans="1:30" ht="15" customHeight="1">
      <c r="A1665" s="142"/>
      <c r="B1665" s="113"/>
      <c r="C1665" s="800"/>
      <c r="D1665" s="801"/>
      <c r="E1665" s="801"/>
      <c r="F1665" s="802"/>
      <c r="G1665" s="733" t="s">
        <v>3268</v>
      </c>
      <c r="H1665" s="734"/>
      <c r="I1665" s="734"/>
      <c r="J1665" s="734"/>
      <c r="K1665" s="734"/>
      <c r="L1665" s="734"/>
      <c r="M1665" s="734"/>
      <c r="N1665" s="734"/>
      <c r="O1665" s="734"/>
      <c r="P1665" s="734"/>
      <c r="Q1665" s="734"/>
      <c r="R1665" s="734"/>
      <c r="S1665" s="734"/>
      <c r="T1665" s="734"/>
      <c r="U1665" s="734"/>
      <c r="V1665" s="734"/>
      <c r="W1665" s="734"/>
      <c r="X1665" s="734"/>
      <c r="Y1665" s="734"/>
      <c r="Z1665" s="734"/>
      <c r="AA1665" s="734"/>
      <c r="AB1665" s="734"/>
      <c r="AC1665" s="734"/>
      <c r="AD1665" s="735"/>
    </row>
    <row r="1666" spans="1:30" ht="15" customHeight="1">
      <c r="A1666" s="142"/>
      <c r="B1666" s="113"/>
      <c r="C1666" s="800"/>
      <c r="D1666" s="801"/>
      <c r="E1666" s="801"/>
      <c r="F1666" s="802"/>
      <c r="G1666" s="733" t="s">
        <v>3269</v>
      </c>
      <c r="H1666" s="734"/>
      <c r="I1666" s="734"/>
      <c r="J1666" s="734"/>
      <c r="K1666" s="734"/>
      <c r="L1666" s="734"/>
      <c r="M1666" s="734"/>
      <c r="N1666" s="734"/>
      <c r="O1666" s="734"/>
      <c r="P1666" s="734"/>
      <c r="Q1666" s="734"/>
      <c r="R1666" s="735"/>
      <c r="S1666" s="841" t="s">
        <v>3290</v>
      </c>
      <c r="T1666" s="950"/>
      <c r="U1666" s="842"/>
      <c r="V1666" s="841" t="s">
        <v>3291</v>
      </c>
      <c r="W1666" s="950"/>
      <c r="X1666" s="842"/>
      <c r="Y1666" s="841" t="s">
        <v>3292</v>
      </c>
      <c r="Z1666" s="950"/>
      <c r="AA1666" s="842"/>
      <c r="AB1666" s="841" t="s">
        <v>3293</v>
      </c>
      <c r="AC1666" s="950"/>
      <c r="AD1666" s="842"/>
    </row>
    <row r="1667" spans="1:30" ht="84" customHeight="1">
      <c r="A1667" s="142"/>
      <c r="C1667" s="800"/>
      <c r="D1667" s="801"/>
      <c r="E1667" s="801"/>
      <c r="F1667" s="802"/>
      <c r="G1667" s="845" t="s">
        <v>3294</v>
      </c>
      <c r="H1667" s="952"/>
      <c r="I1667" s="846"/>
      <c r="J1667" s="845" t="s">
        <v>3295</v>
      </c>
      <c r="K1667" s="952"/>
      <c r="L1667" s="846"/>
      <c r="M1667" s="845" t="s">
        <v>3296</v>
      </c>
      <c r="N1667" s="952"/>
      <c r="O1667" s="846"/>
      <c r="P1667" s="845" t="s">
        <v>3297</v>
      </c>
      <c r="Q1667" s="952"/>
      <c r="R1667" s="846"/>
      <c r="S1667" s="843"/>
      <c r="T1667" s="951"/>
      <c r="U1667" s="844"/>
      <c r="V1667" s="843"/>
      <c r="W1667" s="951"/>
      <c r="X1667" s="844"/>
      <c r="Y1667" s="843"/>
      <c r="Z1667" s="951"/>
      <c r="AA1667" s="844"/>
      <c r="AB1667" s="843"/>
      <c r="AC1667" s="951"/>
      <c r="AD1667" s="844"/>
    </row>
    <row r="1668" spans="1:30" ht="48" customHeight="1">
      <c r="A1668" s="142"/>
      <c r="C1668" s="803"/>
      <c r="D1668" s="804"/>
      <c r="E1668" s="804"/>
      <c r="F1668" s="805"/>
      <c r="G1668" s="127" t="s">
        <v>2635</v>
      </c>
      <c r="H1668" s="128" t="s">
        <v>2629</v>
      </c>
      <c r="I1668" s="128" t="s">
        <v>2630</v>
      </c>
      <c r="J1668" s="127" t="s">
        <v>2635</v>
      </c>
      <c r="K1668" s="128" t="s">
        <v>2629</v>
      </c>
      <c r="L1668" s="128" t="s">
        <v>2630</v>
      </c>
      <c r="M1668" s="127" t="s">
        <v>2635</v>
      </c>
      <c r="N1668" s="128" t="s">
        <v>2629</v>
      </c>
      <c r="O1668" s="128" t="s">
        <v>2630</v>
      </c>
      <c r="P1668" s="127" t="s">
        <v>2635</v>
      </c>
      <c r="Q1668" s="128" t="s">
        <v>2629</v>
      </c>
      <c r="R1668" s="128" t="s">
        <v>2630</v>
      </c>
      <c r="S1668" s="127" t="s">
        <v>2635</v>
      </c>
      <c r="T1668" s="128" t="s">
        <v>2629</v>
      </c>
      <c r="U1668" s="128" t="s">
        <v>2630</v>
      </c>
      <c r="V1668" s="127" t="s">
        <v>2635</v>
      </c>
      <c r="W1668" s="128" t="s">
        <v>2629</v>
      </c>
      <c r="X1668" s="128" t="s">
        <v>2630</v>
      </c>
      <c r="Y1668" s="127" t="s">
        <v>2635</v>
      </c>
      <c r="Z1668" s="128" t="s">
        <v>2629</v>
      </c>
      <c r="AA1668" s="128" t="s">
        <v>2630</v>
      </c>
      <c r="AB1668" s="127" t="s">
        <v>2635</v>
      </c>
      <c r="AC1668" s="128" t="s">
        <v>2629</v>
      </c>
      <c r="AD1668" s="128" t="s">
        <v>2630</v>
      </c>
    </row>
    <row r="1669" spans="1:30" ht="15" customHeight="1">
      <c r="A1669" s="50"/>
      <c r="B1669" s="90"/>
      <c r="C1669" s="97" t="s">
        <v>2516</v>
      </c>
      <c r="D1669" s="813" t="str">
        <f>IF(CNSIPEE_2024_M2_Secc1!D42="","",CNSIPEE_2024_M2_Secc1!D42)</f>
        <v/>
      </c>
      <c r="E1669" s="814"/>
      <c r="F1669" s="815"/>
      <c r="G1669" s="100"/>
      <c r="H1669" s="100"/>
      <c r="I1669" s="100"/>
      <c r="J1669" s="100"/>
      <c r="K1669" s="100"/>
      <c r="L1669" s="100"/>
      <c r="M1669" s="100"/>
      <c r="N1669" s="100"/>
      <c r="O1669" s="100"/>
      <c r="P1669" s="100"/>
      <c r="Q1669" s="100"/>
      <c r="R1669" s="100"/>
      <c r="S1669" s="100"/>
      <c r="T1669" s="100"/>
      <c r="U1669" s="100"/>
      <c r="V1669" s="100"/>
      <c r="W1669" s="100"/>
      <c r="X1669" s="100"/>
      <c r="Y1669" s="100"/>
      <c r="Z1669" s="100"/>
      <c r="AA1669" s="100"/>
      <c r="AB1669" s="100"/>
      <c r="AC1669" s="100"/>
      <c r="AD1669" s="100"/>
    </row>
    <row r="1670" spans="1:30" ht="15" customHeight="1">
      <c r="A1670" s="50"/>
      <c r="B1670" s="90"/>
      <c r="C1670" s="143" t="s">
        <v>2517</v>
      </c>
      <c r="D1670" s="813" t="str">
        <f>IF(CNSIPEE_2024_M2_Secc1!D43="","",CNSIPEE_2024_M2_Secc1!D43)</f>
        <v/>
      </c>
      <c r="E1670" s="814"/>
      <c r="F1670" s="815"/>
      <c r="G1670" s="100"/>
      <c r="H1670" s="100"/>
      <c r="I1670" s="100"/>
      <c r="J1670" s="100"/>
      <c r="K1670" s="100"/>
      <c r="L1670" s="100"/>
      <c r="M1670" s="100"/>
      <c r="N1670" s="100"/>
      <c r="O1670" s="100"/>
      <c r="P1670" s="100"/>
      <c r="Q1670" s="100"/>
      <c r="R1670" s="100"/>
      <c r="S1670" s="100"/>
      <c r="T1670" s="100"/>
      <c r="U1670" s="100"/>
      <c r="V1670" s="100"/>
      <c r="W1670" s="100"/>
      <c r="X1670" s="100"/>
      <c r="Y1670" s="100"/>
      <c r="Z1670" s="100"/>
      <c r="AA1670" s="100"/>
      <c r="AB1670" s="100"/>
      <c r="AC1670" s="100"/>
      <c r="AD1670" s="100"/>
    </row>
    <row r="1671" spans="1:30" ht="15" customHeight="1">
      <c r="A1671" s="50"/>
      <c r="B1671" s="90"/>
      <c r="C1671" s="143" t="s">
        <v>2518</v>
      </c>
      <c r="D1671" s="813" t="str">
        <f>IF(CNSIPEE_2024_M2_Secc1!D44="","",CNSIPEE_2024_M2_Secc1!D44)</f>
        <v/>
      </c>
      <c r="E1671" s="814"/>
      <c r="F1671" s="815"/>
      <c r="G1671" s="100"/>
      <c r="H1671" s="100"/>
      <c r="I1671" s="100"/>
      <c r="J1671" s="100"/>
      <c r="K1671" s="100"/>
      <c r="L1671" s="100"/>
      <c r="M1671" s="100"/>
      <c r="N1671" s="100"/>
      <c r="O1671" s="100"/>
      <c r="P1671" s="100"/>
      <c r="Q1671" s="100"/>
      <c r="R1671" s="100"/>
      <c r="S1671" s="100"/>
      <c r="T1671" s="100"/>
      <c r="U1671" s="100"/>
      <c r="V1671" s="100"/>
      <c r="W1671" s="100"/>
      <c r="X1671" s="100"/>
      <c r="Y1671" s="100"/>
      <c r="Z1671" s="100"/>
      <c r="AA1671" s="100"/>
      <c r="AB1671" s="100"/>
      <c r="AC1671" s="100"/>
      <c r="AD1671" s="100"/>
    </row>
    <row r="1672" spans="1:30" ht="15" customHeight="1">
      <c r="A1672" s="50"/>
      <c r="B1672" s="90"/>
      <c r="C1672" s="143" t="s">
        <v>2519</v>
      </c>
      <c r="D1672" s="813" t="str">
        <f>IF(CNSIPEE_2024_M2_Secc1!D45="","",CNSIPEE_2024_M2_Secc1!D45)</f>
        <v/>
      </c>
      <c r="E1672" s="814"/>
      <c r="F1672" s="815"/>
      <c r="G1672" s="100"/>
      <c r="H1672" s="100"/>
      <c r="I1672" s="100"/>
      <c r="J1672" s="100"/>
      <c r="K1672" s="100"/>
      <c r="L1672" s="100"/>
      <c r="M1672" s="100"/>
      <c r="N1672" s="100"/>
      <c r="O1672" s="100"/>
      <c r="P1672" s="100"/>
      <c r="Q1672" s="100"/>
      <c r="R1672" s="100"/>
      <c r="S1672" s="100"/>
      <c r="T1672" s="100"/>
      <c r="U1672" s="100"/>
      <c r="V1672" s="100"/>
      <c r="W1672" s="100"/>
      <c r="X1672" s="100"/>
      <c r="Y1672" s="100"/>
      <c r="Z1672" s="100"/>
      <c r="AA1672" s="100"/>
      <c r="AB1672" s="100"/>
      <c r="AC1672" s="100"/>
      <c r="AD1672" s="100"/>
    </row>
    <row r="1673" spans="1:30" ht="15" customHeight="1">
      <c r="A1673" s="50"/>
      <c r="B1673" s="90"/>
      <c r="C1673" s="143" t="s">
        <v>2520</v>
      </c>
      <c r="D1673" s="813" t="str">
        <f>IF(CNSIPEE_2024_M2_Secc1!D46="","",CNSIPEE_2024_M2_Secc1!D46)</f>
        <v/>
      </c>
      <c r="E1673" s="814"/>
      <c r="F1673" s="815"/>
      <c r="G1673" s="100"/>
      <c r="H1673" s="100"/>
      <c r="I1673" s="100"/>
      <c r="J1673" s="100"/>
      <c r="K1673" s="100"/>
      <c r="L1673" s="100"/>
      <c r="M1673" s="100"/>
      <c r="N1673" s="100"/>
      <c r="O1673" s="100"/>
      <c r="P1673" s="100"/>
      <c r="Q1673" s="100"/>
      <c r="R1673" s="100"/>
      <c r="S1673" s="100"/>
      <c r="T1673" s="100"/>
      <c r="U1673" s="100"/>
      <c r="V1673" s="100"/>
      <c r="W1673" s="100"/>
      <c r="X1673" s="100"/>
      <c r="Y1673" s="100"/>
      <c r="Z1673" s="100"/>
      <c r="AA1673" s="100"/>
      <c r="AB1673" s="100"/>
      <c r="AC1673" s="100"/>
      <c r="AD1673" s="100"/>
    </row>
    <row r="1674" spans="1:30" ht="15" customHeight="1">
      <c r="A1674" s="50"/>
      <c r="B1674" s="90"/>
      <c r="C1674" s="143" t="s">
        <v>2521</v>
      </c>
      <c r="D1674" s="813" t="str">
        <f>IF(CNSIPEE_2024_M2_Secc1!D47="","",CNSIPEE_2024_M2_Secc1!D47)</f>
        <v/>
      </c>
      <c r="E1674" s="814"/>
      <c r="F1674" s="815"/>
      <c r="G1674" s="100"/>
      <c r="H1674" s="100"/>
      <c r="I1674" s="100"/>
      <c r="J1674" s="100"/>
      <c r="K1674" s="100"/>
      <c r="L1674" s="100"/>
      <c r="M1674" s="100"/>
      <c r="N1674" s="100"/>
      <c r="O1674" s="100"/>
      <c r="P1674" s="100"/>
      <c r="Q1674" s="100"/>
      <c r="R1674" s="100"/>
      <c r="S1674" s="100"/>
      <c r="T1674" s="100"/>
      <c r="U1674" s="100"/>
      <c r="V1674" s="100"/>
      <c r="W1674" s="100"/>
      <c r="X1674" s="100"/>
      <c r="Y1674" s="100"/>
      <c r="Z1674" s="100"/>
      <c r="AA1674" s="100"/>
      <c r="AB1674" s="100"/>
      <c r="AC1674" s="100"/>
      <c r="AD1674" s="100"/>
    </row>
    <row r="1675" spans="1:30" ht="15" customHeight="1">
      <c r="A1675" s="50"/>
      <c r="B1675" s="90"/>
      <c r="C1675" s="143" t="s">
        <v>2522</v>
      </c>
      <c r="D1675" s="813" t="str">
        <f>IF(CNSIPEE_2024_M2_Secc1!D48="","",CNSIPEE_2024_M2_Secc1!D48)</f>
        <v/>
      </c>
      <c r="E1675" s="814"/>
      <c r="F1675" s="815"/>
      <c r="G1675" s="100"/>
      <c r="H1675" s="100"/>
      <c r="I1675" s="100"/>
      <c r="J1675" s="100"/>
      <c r="K1675" s="100"/>
      <c r="L1675" s="100"/>
      <c r="M1675" s="100"/>
      <c r="N1675" s="100"/>
      <c r="O1675" s="100"/>
      <c r="P1675" s="100"/>
      <c r="Q1675" s="100"/>
      <c r="R1675" s="100"/>
      <c r="S1675" s="100"/>
      <c r="T1675" s="100"/>
      <c r="U1675" s="100"/>
      <c r="V1675" s="100"/>
      <c r="W1675" s="100"/>
      <c r="X1675" s="100"/>
      <c r="Y1675" s="100"/>
      <c r="Z1675" s="100"/>
      <c r="AA1675" s="100"/>
      <c r="AB1675" s="100"/>
      <c r="AC1675" s="100"/>
      <c r="AD1675" s="100"/>
    </row>
    <row r="1676" spans="1:30" ht="15" customHeight="1">
      <c r="A1676" s="50"/>
      <c r="B1676" s="90"/>
      <c r="C1676" s="143" t="s">
        <v>2523</v>
      </c>
      <c r="D1676" s="813" t="str">
        <f>IF(CNSIPEE_2024_M2_Secc1!D49="","",CNSIPEE_2024_M2_Secc1!D49)</f>
        <v/>
      </c>
      <c r="E1676" s="814"/>
      <c r="F1676" s="815"/>
      <c r="G1676" s="100"/>
      <c r="H1676" s="100"/>
      <c r="I1676" s="100"/>
      <c r="J1676" s="100"/>
      <c r="K1676" s="100"/>
      <c r="L1676" s="100"/>
      <c r="M1676" s="100"/>
      <c r="N1676" s="100"/>
      <c r="O1676" s="100"/>
      <c r="P1676" s="100"/>
      <c r="Q1676" s="100"/>
      <c r="R1676" s="100"/>
      <c r="S1676" s="100"/>
      <c r="T1676" s="100"/>
      <c r="U1676" s="100"/>
      <c r="V1676" s="100"/>
      <c r="W1676" s="100"/>
      <c r="X1676" s="100"/>
      <c r="Y1676" s="100"/>
      <c r="Z1676" s="100"/>
      <c r="AA1676" s="100"/>
      <c r="AB1676" s="100"/>
      <c r="AC1676" s="100"/>
      <c r="AD1676" s="100"/>
    </row>
    <row r="1677" spans="1:30" ht="15" customHeight="1">
      <c r="A1677" s="50"/>
      <c r="B1677" s="90"/>
      <c r="C1677" s="90"/>
      <c r="D1677" s="90"/>
      <c r="E1677" s="90"/>
      <c r="F1677" s="117"/>
      <c r="G1677" s="124">
        <f>IF(AND(SUM(G1669:G1676)=0,COUNTIF(G1669:G1676,"NS")&gt;0),"NS",
IF(AND(SUM(G1669:G1676)=0,COUNTIF(G1669:G1676,0)&gt;0),0,
IF(AND(SUM(G1669:G1676)=0,COUNTIF(G1669:G1676,"NA")&gt;0),"NA",
SUM(G1669:G1676))))</f>
        <v>0</v>
      </c>
      <c r="H1677" s="124">
        <f t="shared" ref="H1677:AD1677" si="1697">IF(AND(SUM(H1669:H1676)=0,COUNTIF(H1669:H1676,"NS")&gt;0),"NS",
IF(AND(SUM(H1669:H1676)=0,COUNTIF(H1669:H1676,0)&gt;0),0,
IF(AND(SUM(H1669:H1676)=0,COUNTIF(H1669:H1676,"NA")&gt;0),"NA",
SUM(H1669:H1676))))</f>
        <v>0</v>
      </c>
      <c r="I1677" s="124">
        <f t="shared" si="1697"/>
        <v>0</v>
      </c>
      <c r="J1677" s="124">
        <f t="shared" si="1697"/>
        <v>0</v>
      </c>
      <c r="K1677" s="124">
        <f t="shared" si="1697"/>
        <v>0</v>
      </c>
      <c r="L1677" s="124">
        <f t="shared" si="1697"/>
        <v>0</v>
      </c>
      <c r="M1677" s="124">
        <f t="shared" si="1697"/>
        <v>0</v>
      </c>
      <c r="N1677" s="124">
        <f t="shared" si="1697"/>
        <v>0</v>
      </c>
      <c r="O1677" s="124">
        <f t="shared" si="1697"/>
        <v>0</v>
      </c>
      <c r="P1677" s="124">
        <f t="shared" si="1697"/>
        <v>0</v>
      </c>
      <c r="Q1677" s="124">
        <f t="shared" si="1697"/>
        <v>0</v>
      </c>
      <c r="R1677" s="124">
        <f t="shared" si="1697"/>
        <v>0</v>
      </c>
      <c r="S1677" s="124">
        <f t="shared" si="1697"/>
        <v>0</v>
      </c>
      <c r="T1677" s="124">
        <f t="shared" si="1697"/>
        <v>0</v>
      </c>
      <c r="U1677" s="124">
        <f t="shared" si="1697"/>
        <v>0</v>
      </c>
      <c r="V1677" s="124">
        <f t="shared" si="1697"/>
        <v>0</v>
      </c>
      <c r="W1677" s="124">
        <f t="shared" si="1697"/>
        <v>0</v>
      </c>
      <c r="X1677" s="124">
        <f t="shared" si="1697"/>
        <v>0</v>
      </c>
      <c r="Y1677" s="124">
        <f t="shared" si="1697"/>
        <v>0</v>
      </c>
      <c r="Z1677" s="124">
        <f t="shared" si="1697"/>
        <v>0</v>
      </c>
      <c r="AA1677" s="124">
        <f t="shared" si="1697"/>
        <v>0</v>
      </c>
      <c r="AB1677" s="124">
        <f t="shared" si="1697"/>
        <v>0</v>
      </c>
      <c r="AC1677" s="124">
        <f t="shared" si="1697"/>
        <v>0</v>
      </c>
      <c r="AD1677" s="124">
        <f t="shared" si="1697"/>
        <v>0</v>
      </c>
    </row>
    <row r="1678" spans="1:30" ht="15" customHeight="1">
      <c r="A1678" s="91"/>
    </row>
    <row r="1679" spans="1:30" ht="15" customHeight="1">
      <c r="A1679" s="115"/>
      <c r="AA1679" s="875" t="s">
        <v>3240</v>
      </c>
      <c r="AB1679" s="875"/>
      <c r="AC1679" s="875"/>
      <c r="AD1679" s="875"/>
    </row>
    <row r="1680" spans="1:30" ht="24" customHeight="1">
      <c r="A1680" s="142"/>
      <c r="B1680" s="113"/>
      <c r="C1680" s="797" t="s">
        <v>3860</v>
      </c>
      <c r="D1680" s="798"/>
      <c r="E1680" s="798"/>
      <c r="F1680" s="799"/>
      <c r="G1680" s="740" t="s">
        <v>3920</v>
      </c>
      <c r="H1680" s="740"/>
      <c r="I1680" s="740"/>
      <c r="J1680" s="740"/>
      <c r="K1680" s="740"/>
      <c r="L1680" s="740"/>
      <c r="M1680" s="740"/>
      <c r="N1680" s="740"/>
      <c r="O1680" s="740"/>
      <c r="P1680" s="740"/>
      <c r="Q1680" s="740"/>
      <c r="R1680" s="740"/>
      <c r="S1680" s="740"/>
      <c r="T1680" s="740"/>
      <c r="U1680" s="740"/>
      <c r="V1680" s="740"/>
      <c r="W1680" s="740"/>
      <c r="X1680" s="740"/>
      <c r="Y1680" s="740"/>
      <c r="Z1680" s="740"/>
      <c r="AA1680" s="740"/>
      <c r="AB1680" s="740"/>
      <c r="AC1680" s="740"/>
      <c r="AD1680" s="741"/>
    </row>
    <row r="1681" spans="1:30" ht="15" customHeight="1">
      <c r="A1681" s="142"/>
      <c r="B1681" s="113"/>
      <c r="C1681" s="800"/>
      <c r="D1681" s="801"/>
      <c r="E1681" s="801"/>
      <c r="F1681" s="802"/>
      <c r="G1681" s="733" t="s">
        <v>3268</v>
      </c>
      <c r="H1681" s="734"/>
      <c r="I1681" s="734"/>
      <c r="J1681" s="734"/>
      <c r="K1681" s="734"/>
      <c r="L1681" s="734"/>
      <c r="M1681" s="734"/>
      <c r="N1681" s="734"/>
      <c r="O1681" s="735"/>
      <c r="P1681" s="733" t="s">
        <v>3298</v>
      </c>
      <c r="Q1681" s="734"/>
      <c r="R1681" s="734"/>
      <c r="S1681" s="734"/>
      <c r="T1681" s="734"/>
      <c r="U1681" s="734"/>
      <c r="V1681" s="734"/>
      <c r="W1681" s="734"/>
      <c r="X1681" s="735"/>
      <c r="Y1681" s="841" t="s">
        <v>3299</v>
      </c>
      <c r="Z1681" s="950"/>
      <c r="AA1681" s="842"/>
      <c r="AB1681" s="841" t="s">
        <v>201</v>
      </c>
      <c r="AC1681" s="950"/>
      <c r="AD1681" s="842"/>
    </row>
    <row r="1682" spans="1:30" ht="15" customHeight="1">
      <c r="A1682" s="142"/>
      <c r="B1682" s="113"/>
      <c r="C1682" s="800"/>
      <c r="D1682" s="801"/>
      <c r="E1682" s="801"/>
      <c r="F1682" s="802"/>
      <c r="G1682" s="841" t="s">
        <v>3300</v>
      </c>
      <c r="H1682" s="950"/>
      <c r="I1682" s="842"/>
      <c r="J1682" s="841" t="s">
        <v>3301</v>
      </c>
      <c r="K1682" s="950"/>
      <c r="L1682" s="842"/>
      <c r="M1682" s="841" t="s">
        <v>3302</v>
      </c>
      <c r="N1682" s="950"/>
      <c r="O1682" s="842"/>
      <c r="P1682" s="841" t="s">
        <v>3303</v>
      </c>
      <c r="Q1682" s="950"/>
      <c r="R1682" s="842"/>
      <c r="S1682" s="841" t="s">
        <v>3304</v>
      </c>
      <c r="T1682" s="950"/>
      <c r="U1682" s="842"/>
      <c r="V1682" s="841" t="s">
        <v>3305</v>
      </c>
      <c r="W1682" s="950"/>
      <c r="X1682" s="842"/>
      <c r="Y1682" s="843"/>
      <c r="Z1682" s="951"/>
      <c r="AA1682" s="844"/>
      <c r="AB1682" s="843"/>
      <c r="AC1682" s="951"/>
      <c r="AD1682" s="844"/>
    </row>
    <row r="1683" spans="1:30" ht="84" customHeight="1">
      <c r="A1683" s="142"/>
      <c r="C1683" s="800"/>
      <c r="D1683" s="801"/>
      <c r="E1683" s="801"/>
      <c r="F1683" s="802"/>
      <c r="G1683" s="843"/>
      <c r="H1683" s="951"/>
      <c r="I1683" s="844"/>
      <c r="J1683" s="843"/>
      <c r="K1683" s="951"/>
      <c r="L1683" s="844"/>
      <c r="M1683" s="843"/>
      <c r="N1683" s="951"/>
      <c r="O1683" s="844"/>
      <c r="P1683" s="843"/>
      <c r="Q1683" s="951"/>
      <c r="R1683" s="844"/>
      <c r="S1683" s="843"/>
      <c r="T1683" s="951"/>
      <c r="U1683" s="844"/>
      <c r="V1683" s="843"/>
      <c r="W1683" s="951"/>
      <c r="X1683" s="844"/>
      <c r="Y1683" s="845"/>
      <c r="Z1683" s="952"/>
      <c r="AA1683" s="846"/>
      <c r="AB1683" s="845"/>
      <c r="AC1683" s="952"/>
      <c r="AD1683" s="846"/>
    </row>
    <row r="1684" spans="1:30" ht="48" customHeight="1">
      <c r="A1684" s="142"/>
      <c r="C1684" s="803"/>
      <c r="D1684" s="804"/>
      <c r="E1684" s="804"/>
      <c r="F1684" s="805"/>
      <c r="G1684" s="127" t="s">
        <v>2635</v>
      </c>
      <c r="H1684" s="128" t="s">
        <v>2629</v>
      </c>
      <c r="I1684" s="128" t="s">
        <v>2630</v>
      </c>
      <c r="J1684" s="127" t="s">
        <v>2635</v>
      </c>
      <c r="K1684" s="128" t="s">
        <v>2629</v>
      </c>
      <c r="L1684" s="128" t="s">
        <v>2630</v>
      </c>
      <c r="M1684" s="127" t="s">
        <v>2635</v>
      </c>
      <c r="N1684" s="128" t="s">
        <v>2629</v>
      </c>
      <c r="O1684" s="128" t="s">
        <v>2630</v>
      </c>
      <c r="P1684" s="127" t="s">
        <v>2635</v>
      </c>
      <c r="Q1684" s="128" t="s">
        <v>2629</v>
      </c>
      <c r="R1684" s="128" t="s">
        <v>2630</v>
      </c>
      <c r="S1684" s="127" t="s">
        <v>2635</v>
      </c>
      <c r="T1684" s="128" t="s">
        <v>2629</v>
      </c>
      <c r="U1684" s="128" t="s">
        <v>2630</v>
      </c>
      <c r="V1684" s="127" t="s">
        <v>2635</v>
      </c>
      <c r="W1684" s="128" t="s">
        <v>2629</v>
      </c>
      <c r="X1684" s="128" t="s">
        <v>2630</v>
      </c>
      <c r="Y1684" s="127" t="s">
        <v>2635</v>
      </c>
      <c r="Z1684" s="128" t="s">
        <v>2629</v>
      </c>
      <c r="AA1684" s="128" t="s">
        <v>2630</v>
      </c>
      <c r="AB1684" s="127" t="s">
        <v>2635</v>
      </c>
      <c r="AC1684" s="128" t="s">
        <v>2629</v>
      </c>
      <c r="AD1684" s="128" t="s">
        <v>2630</v>
      </c>
    </row>
    <row r="1685" spans="1:30" ht="15" customHeight="1">
      <c r="A1685" s="50"/>
      <c r="B1685" s="90"/>
      <c r="C1685" s="97" t="s">
        <v>2516</v>
      </c>
      <c r="D1685" s="813" t="str">
        <f>IF(CNSIPEE_2024_M2_Secc1!D42="","",CNSIPEE_2024_M2_Secc1!D42)</f>
        <v/>
      </c>
      <c r="E1685" s="814"/>
      <c r="F1685" s="815"/>
      <c r="G1685" s="100"/>
      <c r="H1685" s="100"/>
      <c r="I1685" s="100"/>
      <c r="J1685" s="100"/>
      <c r="K1685" s="100"/>
      <c r="L1685" s="100"/>
      <c r="M1685" s="100"/>
      <c r="N1685" s="100"/>
      <c r="O1685" s="100"/>
      <c r="P1685" s="100"/>
      <c r="Q1685" s="100"/>
      <c r="R1685" s="100"/>
      <c r="S1685" s="100"/>
      <c r="T1685" s="100"/>
      <c r="U1685" s="100"/>
      <c r="V1685" s="100"/>
      <c r="W1685" s="100"/>
      <c r="X1685" s="100"/>
      <c r="Y1685" s="100"/>
      <c r="Z1685" s="100"/>
      <c r="AA1685" s="100"/>
      <c r="AB1685" s="100"/>
      <c r="AC1685" s="100"/>
      <c r="AD1685" s="100"/>
    </row>
    <row r="1686" spans="1:30" ht="15" customHeight="1">
      <c r="A1686" s="50"/>
      <c r="B1686" s="90"/>
      <c r="C1686" s="143" t="s">
        <v>2517</v>
      </c>
      <c r="D1686" s="813" t="str">
        <f>IF(CNSIPEE_2024_M2_Secc1!D43="","",CNSIPEE_2024_M2_Secc1!D43)</f>
        <v/>
      </c>
      <c r="E1686" s="814"/>
      <c r="F1686" s="815"/>
      <c r="G1686" s="100"/>
      <c r="H1686" s="100"/>
      <c r="I1686" s="100"/>
      <c r="J1686" s="100"/>
      <c r="K1686" s="100"/>
      <c r="L1686" s="100"/>
      <c r="M1686" s="100"/>
      <c r="N1686" s="100"/>
      <c r="O1686" s="100"/>
      <c r="P1686" s="100"/>
      <c r="Q1686" s="100"/>
      <c r="R1686" s="100"/>
      <c r="S1686" s="100"/>
      <c r="T1686" s="100"/>
      <c r="U1686" s="100"/>
      <c r="V1686" s="100"/>
      <c r="W1686" s="100"/>
      <c r="X1686" s="100"/>
      <c r="Y1686" s="100"/>
      <c r="Z1686" s="100"/>
      <c r="AA1686" s="100"/>
      <c r="AB1686" s="100"/>
      <c r="AC1686" s="100"/>
      <c r="AD1686" s="100"/>
    </row>
    <row r="1687" spans="1:30" ht="15" customHeight="1">
      <c r="A1687" s="50"/>
      <c r="B1687" s="90"/>
      <c r="C1687" s="143" t="s">
        <v>2518</v>
      </c>
      <c r="D1687" s="813" t="str">
        <f>IF(CNSIPEE_2024_M2_Secc1!D44="","",CNSIPEE_2024_M2_Secc1!D44)</f>
        <v/>
      </c>
      <c r="E1687" s="814"/>
      <c r="F1687" s="815"/>
      <c r="G1687" s="100"/>
      <c r="H1687" s="100"/>
      <c r="I1687" s="100"/>
      <c r="J1687" s="100"/>
      <c r="K1687" s="100"/>
      <c r="L1687" s="100"/>
      <c r="M1687" s="100"/>
      <c r="N1687" s="100"/>
      <c r="O1687" s="100"/>
      <c r="P1687" s="100"/>
      <c r="Q1687" s="100"/>
      <c r="R1687" s="100"/>
      <c r="S1687" s="100"/>
      <c r="T1687" s="100"/>
      <c r="U1687" s="100"/>
      <c r="V1687" s="100"/>
      <c r="W1687" s="100"/>
      <c r="X1687" s="100"/>
      <c r="Y1687" s="100"/>
      <c r="Z1687" s="100"/>
      <c r="AA1687" s="100"/>
      <c r="AB1687" s="100"/>
      <c r="AC1687" s="100"/>
      <c r="AD1687" s="100"/>
    </row>
    <row r="1688" spans="1:30" ht="15" customHeight="1">
      <c r="A1688" s="50"/>
      <c r="B1688" s="90"/>
      <c r="C1688" s="143" t="s">
        <v>2519</v>
      </c>
      <c r="D1688" s="813" t="str">
        <f>IF(CNSIPEE_2024_M2_Secc1!D45="","",CNSIPEE_2024_M2_Secc1!D45)</f>
        <v/>
      </c>
      <c r="E1688" s="814"/>
      <c r="F1688" s="815"/>
      <c r="G1688" s="100"/>
      <c r="H1688" s="100"/>
      <c r="I1688" s="100"/>
      <c r="J1688" s="100"/>
      <c r="K1688" s="100"/>
      <c r="L1688" s="100"/>
      <c r="M1688" s="100"/>
      <c r="N1688" s="100"/>
      <c r="O1688" s="100"/>
      <c r="P1688" s="100"/>
      <c r="Q1688" s="100"/>
      <c r="R1688" s="100"/>
      <c r="S1688" s="100"/>
      <c r="T1688" s="100"/>
      <c r="U1688" s="100"/>
      <c r="V1688" s="100"/>
      <c r="W1688" s="100"/>
      <c r="X1688" s="100"/>
      <c r="Y1688" s="100"/>
      <c r="Z1688" s="100"/>
      <c r="AA1688" s="100"/>
      <c r="AB1688" s="100"/>
      <c r="AC1688" s="100"/>
      <c r="AD1688" s="100"/>
    </row>
    <row r="1689" spans="1:30" ht="15" customHeight="1">
      <c r="A1689" s="50"/>
      <c r="B1689" s="90"/>
      <c r="C1689" s="143" t="s">
        <v>2520</v>
      </c>
      <c r="D1689" s="813" t="str">
        <f>IF(CNSIPEE_2024_M2_Secc1!D46="","",CNSIPEE_2024_M2_Secc1!D46)</f>
        <v/>
      </c>
      <c r="E1689" s="814"/>
      <c r="F1689" s="815"/>
      <c r="G1689" s="100"/>
      <c r="H1689" s="100"/>
      <c r="I1689" s="100"/>
      <c r="J1689" s="100"/>
      <c r="K1689" s="100"/>
      <c r="L1689" s="100"/>
      <c r="M1689" s="100"/>
      <c r="N1689" s="100"/>
      <c r="O1689" s="100"/>
      <c r="P1689" s="100"/>
      <c r="Q1689" s="100"/>
      <c r="R1689" s="100"/>
      <c r="S1689" s="100"/>
      <c r="T1689" s="100"/>
      <c r="U1689" s="100"/>
      <c r="V1689" s="100"/>
      <c r="W1689" s="100"/>
      <c r="X1689" s="100"/>
      <c r="Y1689" s="100"/>
      <c r="Z1689" s="100"/>
      <c r="AA1689" s="100"/>
      <c r="AB1689" s="100"/>
      <c r="AC1689" s="100"/>
      <c r="AD1689" s="100"/>
    </row>
    <row r="1690" spans="1:30" ht="15" customHeight="1">
      <c r="A1690" s="50"/>
      <c r="B1690" s="90"/>
      <c r="C1690" s="143" t="s">
        <v>2521</v>
      </c>
      <c r="D1690" s="813" t="str">
        <f>IF(CNSIPEE_2024_M2_Secc1!D47="","",CNSIPEE_2024_M2_Secc1!D47)</f>
        <v/>
      </c>
      <c r="E1690" s="814"/>
      <c r="F1690" s="815"/>
      <c r="G1690" s="100"/>
      <c r="H1690" s="100"/>
      <c r="I1690" s="100"/>
      <c r="J1690" s="100"/>
      <c r="K1690" s="100"/>
      <c r="L1690" s="100"/>
      <c r="M1690" s="100"/>
      <c r="N1690" s="100"/>
      <c r="O1690" s="100"/>
      <c r="P1690" s="100"/>
      <c r="Q1690" s="100"/>
      <c r="R1690" s="100"/>
      <c r="S1690" s="100"/>
      <c r="T1690" s="100"/>
      <c r="U1690" s="100"/>
      <c r="V1690" s="100"/>
      <c r="W1690" s="100"/>
      <c r="X1690" s="100"/>
      <c r="Y1690" s="100"/>
      <c r="Z1690" s="100"/>
      <c r="AA1690" s="100"/>
      <c r="AB1690" s="100"/>
      <c r="AC1690" s="100"/>
      <c r="AD1690" s="100"/>
    </row>
    <row r="1691" spans="1:30" ht="15" customHeight="1">
      <c r="A1691" s="50"/>
      <c r="B1691" s="90"/>
      <c r="C1691" s="143" t="s">
        <v>2522</v>
      </c>
      <c r="D1691" s="813" t="str">
        <f>IF(CNSIPEE_2024_M2_Secc1!D48="","",CNSIPEE_2024_M2_Secc1!D48)</f>
        <v/>
      </c>
      <c r="E1691" s="814"/>
      <c r="F1691" s="815"/>
      <c r="G1691" s="100"/>
      <c r="H1691" s="100"/>
      <c r="I1691" s="100"/>
      <c r="J1691" s="100"/>
      <c r="K1691" s="100"/>
      <c r="L1691" s="100"/>
      <c r="M1691" s="100"/>
      <c r="N1691" s="100"/>
      <c r="O1691" s="100"/>
      <c r="P1691" s="100"/>
      <c r="Q1691" s="100"/>
      <c r="R1691" s="100"/>
      <c r="S1691" s="100"/>
      <c r="T1691" s="100"/>
      <c r="U1691" s="100"/>
      <c r="V1691" s="100"/>
      <c r="W1691" s="100"/>
      <c r="X1691" s="100"/>
      <c r="Y1691" s="100"/>
      <c r="Z1691" s="100"/>
      <c r="AA1691" s="100"/>
      <c r="AB1691" s="100"/>
      <c r="AC1691" s="100"/>
      <c r="AD1691" s="100"/>
    </row>
    <row r="1692" spans="1:30" ht="15" customHeight="1">
      <c r="A1692" s="50"/>
      <c r="B1692" s="90"/>
      <c r="C1692" s="143" t="s">
        <v>2523</v>
      </c>
      <c r="D1692" s="813" t="str">
        <f>IF(CNSIPEE_2024_M2_Secc1!D49="","",CNSIPEE_2024_M2_Secc1!D49)</f>
        <v/>
      </c>
      <c r="E1692" s="814"/>
      <c r="F1692" s="815"/>
      <c r="G1692" s="100"/>
      <c r="H1692" s="100"/>
      <c r="I1692" s="100"/>
      <c r="J1692" s="100"/>
      <c r="K1692" s="100"/>
      <c r="L1692" s="100"/>
      <c r="M1692" s="100"/>
      <c r="N1692" s="100"/>
      <c r="O1692" s="100"/>
      <c r="P1692" s="100"/>
      <c r="Q1692" s="100"/>
      <c r="R1692" s="100"/>
      <c r="S1692" s="100"/>
      <c r="T1692" s="100"/>
      <c r="U1692" s="100"/>
      <c r="V1692" s="100"/>
      <c r="W1692" s="100"/>
      <c r="X1692" s="100"/>
      <c r="Y1692" s="100"/>
      <c r="Z1692" s="100"/>
      <c r="AA1692" s="100"/>
      <c r="AB1692" s="100"/>
      <c r="AC1692" s="100"/>
      <c r="AD1692" s="100"/>
    </row>
    <row r="1693" spans="1:30" ht="15" customHeight="1">
      <c r="A1693" s="50"/>
      <c r="B1693" s="90"/>
      <c r="C1693" s="90"/>
      <c r="D1693" s="90"/>
      <c r="E1693" s="90"/>
      <c r="F1693" s="117"/>
      <c r="G1693" s="124">
        <f>IF(AND(SUM(G1685:G1692)=0,COUNTIF(G1685:G1692,"NS")&gt;0),"NS",
IF(AND(SUM(G1685:G1692)=0,COUNTIF(G1685:G1692,0)&gt;0),0,
IF(AND(SUM(G1685:G1692)=0,COUNTIF(G1685:G1692,"NA")&gt;0),"NA",
SUM(G1685:G1692))))</f>
        <v>0</v>
      </c>
      <c r="H1693" s="124">
        <f t="shared" ref="H1693:AD1693" si="1698">IF(AND(SUM(H1685:H1692)=0,COUNTIF(H1685:H1692,"NS")&gt;0),"NS",
IF(AND(SUM(H1685:H1692)=0,COUNTIF(H1685:H1692,0)&gt;0),0,
IF(AND(SUM(H1685:H1692)=0,COUNTIF(H1685:H1692,"NA")&gt;0),"NA",
SUM(H1685:H1692))))</f>
        <v>0</v>
      </c>
      <c r="I1693" s="124">
        <f t="shared" si="1698"/>
        <v>0</v>
      </c>
      <c r="J1693" s="124">
        <f t="shared" si="1698"/>
        <v>0</v>
      </c>
      <c r="K1693" s="124">
        <f t="shared" si="1698"/>
        <v>0</v>
      </c>
      <c r="L1693" s="124">
        <f t="shared" si="1698"/>
        <v>0</v>
      </c>
      <c r="M1693" s="124">
        <f t="shared" si="1698"/>
        <v>0</v>
      </c>
      <c r="N1693" s="124">
        <f t="shared" si="1698"/>
        <v>0</v>
      </c>
      <c r="O1693" s="124">
        <f t="shared" si="1698"/>
        <v>0</v>
      </c>
      <c r="P1693" s="124">
        <f t="shared" si="1698"/>
        <v>0</v>
      </c>
      <c r="Q1693" s="124">
        <f t="shared" si="1698"/>
        <v>0</v>
      </c>
      <c r="R1693" s="124">
        <f t="shared" si="1698"/>
        <v>0</v>
      </c>
      <c r="S1693" s="124">
        <f t="shared" si="1698"/>
        <v>0</v>
      </c>
      <c r="T1693" s="124">
        <f t="shared" si="1698"/>
        <v>0</v>
      </c>
      <c r="U1693" s="124">
        <f t="shared" si="1698"/>
        <v>0</v>
      </c>
      <c r="V1693" s="124">
        <f t="shared" si="1698"/>
        <v>0</v>
      </c>
      <c r="W1693" s="124">
        <f t="shared" si="1698"/>
        <v>0</v>
      </c>
      <c r="X1693" s="124">
        <f t="shared" si="1698"/>
        <v>0</v>
      </c>
      <c r="Y1693" s="124">
        <f t="shared" si="1698"/>
        <v>0</v>
      </c>
      <c r="Z1693" s="124">
        <f t="shared" si="1698"/>
        <v>0</v>
      </c>
      <c r="AA1693" s="124">
        <f t="shared" si="1698"/>
        <v>0</v>
      </c>
      <c r="AB1693" s="124">
        <f t="shared" si="1698"/>
        <v>0</v>
      </c>
      <c r="AC1693" s="124">
        <f t="shared" si="1698"/>
        <v>0</v>
      </c>
      <c r="AD1693" s="124">
        <f t="shared" si="1698"/>
        <v>0</v>
      </c>
    </row>
    <row r="1694" spans="1:30" ht="15" customHeight="1">
      <c r="A1694" s="50"/>
      <c r="B1694" s="90"/>
      <c r="C1694" s="90"/>
      <c r="D1694" s="90"/>
      <c r="E1694" s="90"/>
      <c r="F1694" s="90"/>
      <c r="G1694" s="90"/>
      <c r="H1694" s="90"/>
      <c r="I1694" s="90"/>
      <c r="J1694" s="90"/>
      <c r="K1694" s="90"/>
      <c r="L1694" s="90"/>
      <c r="M1694" s="90"/>
      <c r="N1694" s="90"/>
      <c r="O1694" s="90"/>
      <c r="P1694" s="90"/>
      <c r="Q1694" s="90"/>
      <c r="R1694" s="90"/>
      <c r="S1694" s="90"/>
      <c r="T1694" s="90"/>
      <c r="U1694" s="90"/>
      <c r="V1694" s="90"/>
      <c r="W1694" s="90"/>
      <c r="X1694" s="90"/>
      <c r="Y1694" s="90"/>
      <c r="Z1694" s="90"/>
      <c r="AA1694" s="90"/>
      <c r="AB1694" s="90"/>
      <c r="AC1694" s="90"/>
      <c r="AD1694" s="90"/>
    </row>
    <row r="1695" spans="1:30" ht="24" customHeight="1">
      <c r="A1695" s="49"/>
      <c r="B1695" s="38"/>
      <c r="C1695" s="754" t="s">
        <v>2611</v>
      </c>
      <c r="D1695" s="754"/>
      <c r="E1695" s="754"/>
      <c r="F1695" s="754"/>
      <c r="G1695" s="754"/>
      <c r="H1695" s="754"/>
      <c r="I1695" s="754"/>
      <c r="J1695" s="754"/>
      <c r="K1695" s="754"/>
      <c r="L1695" s="754"/>
      <c r="M1695" s="754"/>
      <c r="N1695" s="754"/>
      <c r="O1695" s="754"/>
      <c r="P1695" s="754"/>
      <c r="Q1695" s="754"/>
      <c r="R1695" s="754"/>
      <c r="S1695" s="754"/>
      <c r="T1695" s="754"/>
      <c r="U1695" s="754"/>
      <c r="V1695" s="754"/>
      <c r="W1695" s="754"/>
      <c r="X1695" s="754"/>
      <c r="Y1695" s="754"/>
      <c r="Z1695" s="754"/>
      <c r="AA1695" s="754"/>
      <c r="AB1695" s="754"/>
      <c r="AC1695" s="754"/>
      <c r="AD1695" s="754"/>
    </row>
    <row r="1696" spans="1:30" ht="60" customHeight="1">
      <c r="A1696" s="49"/>
      <c r="B1696" s="38"/>
      <c r="C1696" s="949"/>
      <c r="D1696" s="949"/>
      <c r="E1696" s="949"/>
      <c r="F1696" s="949"/>
      <c r="G1696" s="949"/>
      <c r="H1696" s="949"/>
      <c r="I1696" s="949"/>
      <c r="J1696" s="949"/>
      <c r="K1696" s="949"/>
      <c r="L1696" s="949"/>
      <c r="M1696" s="949"/>
      <c r="N1696" s="949"/>
      <c r="O1696" s="949"/>
      <c r="P1696" s="949"/>
      <c r="Q1696" s="949"/>
      <c r="R1696" s="949"/>
      <c r="S1696" s="949"/>
      <c r="T1696" s="949"/>
      <c r="U1696" s="949"/>
      <c r="V1696" s="949"/>
      <c r="W1696" s="949"/>
      <c r="X1696" s="949"/>
      <c r="Y1696" s="949"/>
      <c r="Z1696" s="949"/>
      <c r="AA1696" s="949"/>
      <c r="AB1696" s="949"/>
      <c r="AC1696" s="949"/>
      <c r="AD1696" s="949"/>
    </row>
    <row r="1697" spans="1:50" ht="15" customHeight="1">
      <c r="A1697" s="91"/>
      <c r="B1697" s="794" t="str">
        <f>IF(AG1661&gt;0,"Favor de ingresar toda la información requerida en la pregunta y/o verifique que no tenga información en celdas sombreadas","")</f>
        <v/>
      </c>
      <c r="C1697" s="794"/>
      <c r="D1697" s="794"/>
      <c r="E1697" s="794"/>
      <c r="F1697" s="794"/>
      <c r="G1697" s="794"/>
      <c r="H1697" s="794"/>
      <c r="I1697" s="794"/>
      <c r="J1697" s="794"/>
      <c r="K1697" s="794"/>
      <c r="L1697" s="794"/>
      <c r="M1697" s="794"/>
      <c r="N1697" s="794"/>
      <c r="O1697" s="794"/>
      <c r="P1697" s="794"/>
      <c r="Q1697" s="794"/>
      <c r="R1697" s="794"/>
      <c r="S1697" s="794"/>
      <c r="T1697" s="794"/>
      <c r="U1697" s="794"/>
      <c r="V1697" s="794"/>
      <c r="W1697" s="794"/>
      <c r="X1697" s="794"/>
      <c r="Y1697" s="794"/>
      <c r="Z1697" s="794"/>
      <c r="AA1697" s="794"/>
      <c r="AB1697" s="794"/>
      <c r="AC1697" s="794"/>
      <c r="AD1697" s="794"/>
      <c r="AE1697"/>
    </row>
    <row r="1698" spans="1:50" ht="15" customHeight="1">
      <c r="A1698" s="91"/>
      <c r="B1698" s="795" t="str">
        <f>IF(AM1663&gt;0,"Alerta: debido a que cuenta con registros NS, debe proporcionar una justificación en el area de comentarios al final de la pregunta","")</f>
        <v/>
      </c>
      <c r="C1698" s="795"/>
      <c r="D1698" s="795"/>
      <c r="E1698" s="795"/>
      <c r="F1698" s="795"/>
      <c r="G1698" s="795"/>
      <c r="H1698" s="795"/>
      <c r="I1698" s="795"/>
      <c r="J1698" s="795"/>
      <c r="K1698" s="795"/>
      <c r="L1698" s="795"/>
      <c r="M1698" s="795"/>
      <c r="N1698" s="795"/>
      <c r="O1698" s="795"/>
      <c r="P1698" s="795"/>
      <c r="Q1698" s="795"/>
      <c r="R1698" s="795"/>
      <c r="S1698" s="795"/>
      <c r="T1698" s="795"/>
      <c r="U1698" s="795"/>
      <c r="V1698" s="795"/>
      <c r="W1698" s="795"/>
      <c r="X1698" s="795"/>
      <c r="Y1698" s="795"/>
      <c r="Z1698" s="795"/>
      <c r="AA1698" s="795"/>
      <c r="AB1698" s="795"/>
      <c r="AC1698" s="795"/>
      <c r="AD1698" s="795"/>
      <c r="AE1698"/>
    </row>
    <row r="1699" spans="1:50" ht="15" customHeight="1">
      <c r="A1699" s="91"/>
      <c r="B1699" s="794" t="str">
        <f>IF(OR(AK1663&gt;0,AK1664&gt;0,AM1664&gt;0,AO1664&gt;0),"Favor de revisar la suma y consistencia de totales y/o subtotales por filas (numéricos y NS)","")</f>
        <v/>
      </c>
      <c r="C1699" s="794"/>
      <c r="D1699" s="794"/>
      <c r="E1699" s="794"/>
      <c r="F1699" s="794"/>
      <c r="G1699" s="794"/>
      <c r="H1699" s="794"/>
      <c r="I1699" s="794"/>
      <c r="J1699" s="794"/>
      <c r="K1699" s="794"/>
      <c r="L1699" s="794"/>
      <c r="M1699" s="794"/>
      <c r="N1699" s="794"/>
      <c r="O1699" s="794"/>
      <c r="P1699" s="794"/>
      <c r="Q1699" s="794"/>
      <c r="R1699" s="794"/>
      <c r="S1699" s="794"/>
      <c r="T1699" s="794"/>
      <c r="U1699" s="794"/>
      <c r="V1699" s="794"/>
      <c r="W1699" s="794"/>
      <c r="X1699" s="794"/>
      <c r="Y1699" s="794"/>
      <c r="Z1699" s="794"/>
      <c r="AA1699" s="794"/>
      <c r="AB1699" s="794"/>
      <c r="AC1699" s="794"/>
      <c r="AD1699" s="794"/>
      <c r="AE1699"/>
    </row>
    <row r="1700" spans="1:50" ht="15" customHeight="1">
      <c r="A1700" s="91"/>
      <c r="B1700" s="795" t="str">
        <f>IF(CY1661&gt;0,"No puede ingresar cero en la col. Total debido a que registró el código 1 en la col. ¿Tuvo registro de la desaparición o no localización… .?","")</f>
        <v/>
      </c>
      <c r="C1700" s="795"/>
      <c r="D1700" s="795"/>
      <c r="E1700" s="795"/>
      <c r="F1700" s="795"/>
      <c r="G1700" s="795"/>
      <c r="H1700" s="795"/>
      <c r="I1700" s="795"/>
      <c r="J1700" s="795"/>
      <c r="K1700" s="795"/>
      <c r="L1700" s="795"/>
      <c r="M1700" s="795"/>
      <c r="N1700" s="795"/>
      <c r="O1700" s="795"/>
      <c r="P1700" s="795"/>
      <c r="Q1700" s="795"/>
      <c r="R1700" s="795"/>
      <c r="S1700" s="795"/>
      <c r="T1700" s="795"/>
      <c r="U1700" s="795"/>
      <c r="V1700" s="795"/>
      <c r="W1700" s="795"/>
      <c r="X1700" s="795"/>
      <c r="Y1700" s="795"/>
      <c r="Z1700" s="795"/>
      <c r="AA1700" s="795"/>
      <c r="AB1700" s="795"/>
      <c r="AC1700" s="795"/>
      <c r="AD1700" s="795"/>
      <c r="AE1700" s="795"/>
    </row>
    <row r="1701" spans="1:50" ht="15" customHeight="1">
      <c r="A1701" s="91"/>
      <c r="B1701" s="794"/>
      <c r="C1701" s="794"/>
      <c r="D1701" s="794"/>
      <c r="E1701" s="794"/>
      <c r="F1701" s="794"/>
      <c r="G1701" s="794"/>
      <c r="H1701" s="794"/>
      <c r="I1701" s="794"/>
      <c r="J1701" s="794"/>
      <c r="K1701" s="794"/>
      <c r="L1701" s="794"/>
      <c r="M1701" s="794"/>
      <c r="N1701" s="794"/>
      <c r="O1701" s="794"/>
      <c r="P1701" s="794"/>
      <c r="Q1701" s="794"/>
      <c r="R1701" s="794"/>
      <c r="S1701" s="794"/>
      <c r="T1701" s="794"/>
      <c r="U1701" s="794"/>
      <c r="V1701" s="794"/>
      <c r="W1701" s="794"/>
      <c r="X1701" s="794"/>
      <c r="Y1701" s="794"/>
      <c r="Z1701" s="794"/>
      <c r="AA1701" s="794"/>
      <c r="AB1701" s="794"/>
      <c r="AC1701" s="794"/>
      <c r="AD1701" s="794"/>
      <c r="AE1701" s="794"/>
    </row>
    <row r="1702" spans="1:50" ht="15" customHeight="1">
      <c r="A1702" s="91"/>
      <c r="AE1702"/>
    </row>
    <row r="1703" spans="1:50" ht="24" customHeight="1">
      <c r="A1703" s="49" t="s">
        <v>3921</v>
      </c>
      <c r="B1703" s="829" t="s">
        <v>3922</v>
      </c>
      <c r="C1703" s="960"/>
      <c r="D1703" s="960"/>
      <c r="E1703" s="960"/>
      <c r="F1703" s="960"/>
      <c r="G1703" s="960"/>
      <c r="H1703" s="960"/>
      <c r="I1703" s="960"/>
      <c r="J1703" s="960"/>
      <c r="K1703" s="960"/>
      <c r="L1703" s="960"/>
      <c r="M1703" s="960"/>
      <c r="N1703" s="960"/>
      <c r="O1703" s="960"/>
      <c r="P1703" s="960"/>
      <c r="Q1703" s="960"/>
      <c r="R1703" s="960"/>
      <c r="S1703" s="960"/>
      <c r="T1703" s="960"/>
      <c r="U1703" s="960"/>
      <c r="V1703" s="960"/>
      <c r="W1703" s="960"/>
      <c r="X1703" s="960"/>
      <c r="Y1703" s="960"/>
      <c r="Z1703" s="960"/>
      <c r="AA1703" s="960"/>
      <c r="AB1703" s="960"/>
      <c r="AC1703" s="960"/>
      <c r="AD1703" s="960"/>
    </row>
    <row r="1704" spans="1:50" customFormat="1" ht="24" customHeight="1">
      <c r="A1704" s="119"/>
      <c r="B1704" s="243"/>
      <c r="C1704" s="754" t="s">
        <v>3923</v>
      </c>
      <c r="D1704" s="754"/>
      <c r="E1704" s="754"/>
      <c r="F1704" s="754"/>
      <c r="G1704" s="754"/>
      <c r="H1704" s="754"/>
      <c r="I1704" s="754"/>
      <c r="J1704" s="754"/>
      <c r="K1704" s="754"/>
      <c r="L1704" s="754"/>
      <c r="M1704" s="754"/>
      <c r="N1704" s="754"/>
      <c r="O1704" s="754"/>
      <c r="P1704" s="754"/>
      <c r="Q1704" s="754"/>
      <c r="R1704" s="754"/>
      <c r="S1704" s="754"/>
      <c r="T1704" s="754"/>
      <c r="U1704" s="754"/>
      <c r="V1704" s="754"/>
      <c r="W1704" s="754"/>
      <c r="X1704" s="754"/>
      <c r="Y1704" s="754"/>
      <c r="Z1704" s="754"/>
      <c r="AA1704" s="754"/>
      <c r="AB1704" s="754"/>
      <c r="AC1704" s="754"/>
      <c r="AD1704" s="754"/>
    </row>
    <row r="1705" spans="1:50" ht="24" customHeight="1">
      <c r="A1705" s="49"/>
      <c r="B1705" s="105"/>
      <c r="C1705" s="754" t="s">
        <v>3810</v>
      </c>
      <c r="D1705" s="830"/>
      <c r="E1705" s="830"/>
      <c r="F1705" s="830"/>
      <c r="G1705" s="830"/>
      <c r="H1705" s="830"/>
      <c r="I1705" s="830"/>
      <c r="J1705" s="830"/>
      <c r="K1705" s="830"/>
      <c r="L1705" s="830"/>
      <c r="M1705" s="830"/>
      <c r="N1705" s="830"/>
      <c r="O1705" s="830"/>
      <c r="P1705" s="830"/>
      <c r="Q1705" s="830"/>
      <c r="R1705" s="830"/>
      <c r="S1705" s="830"/>
      <c r="T1705" s="830"/>
      <c r="U1705" s="830"/>
      <c r="V1705" s="830"/>
      <c r="W1705" s="830"/>
      <c r="X1705" s="830"/>
      <c r="Y1705" s="830"/>
      <c r="Z1705" s="830"/>
      <c r="AA1705" s="830"/>
      <c r="AB1705" s="830"/>
      <c r="AC1705" s="830"/>
      <c r="AD1705" s="830"/>
    </row>
    <row r="1706" spans="1:50" ht="15">
      <c r="A1706" s="94"/>
      <c r="B1706" s="107"/>
      <c r="C1706" s="107"/>
      <c r="D1706" s="107"/>
      <c r="E1706" s="107"/>
      <c r="F1706" s="107"/>
      <c r="G1706" s="107"/>
      <c r="H1706" s="107"/>
      <c r="I1706" s="107"/>
      <c r="J1706" s="107"/>
      <c r="K1706" s="107"/>
      <c r="L1706" s="107"/>
      <c r="M1706" s="107"/>
      <c r="N1706" s="107"/>
      <c r="O1706" s="107"/>
      <c r="P1706" s="107"/>
      <c r="Q1706" s="107"/>
      <c r="R1706" s="107"/>
      <c r="S1706" s="107"/>
      <c r="T1706" s="107"/>
      <c r="U1706" s="107"/>
      <c r="V1706" s="107"/>
      <c r="W1706" s="107"/>
      <c r="X1706" s="107"/>
      <c r="Y1706" s="107"/>
      <c r="Z1706" s="107"/>
      <c r="AA1706" s="107"/>
      <c r="AB1706" s="107"/>
      <c r="AC1706" s="107"/>
      <c r="AD1706" s="107"/>
    </row>
    <row r="1707" spans="1:50" ht="24" customHeight="1">
      <c r="A1707" s="50"/>
      <c r="B1707" s="90"/>
      <c r="C1707" s="797" t="s">
        <v>3860</v>
      </c>
      <c r="D1707" s="798"/>
      <c r="E1707" s="798"/>
      <c r="F1707" s="798"/>
      <c r="G1707" s="798"/>
      <c r="H1707" s="798"/>
      <c r="I1707" s="798"/>
      <c r="J1707" s="798"/>
      <c r="K1707" s="798"/>
      <c r="L1707" s="798"/>
      <c r="M1707" s="798"/>
      <c r="N1707" s="798"/>
      <c r="O1707" s="798"/>
      <c r="P1707" s="798"/>
      <c r="Q1707" s="798"/>
      <c r="R1707" s="799"/>
      <c r="S1707" s="739" t="s">
        <v>3924</v>
      </c>
      <c r="T1707" s="740"/>
      <c r="U1707" s="740"/>
      <c r="V1707" s="740"/>
      <c r="W1707" s="740"/>
      <c r="X1707" s="740"/>
      <c r="Y1707" s="740"/>
      <c r="Z1707" s="740"/>
      <c r="AA1707" s="740"/>
      <c r="AB1707" s="740"/>
      <c r="AC1707" s="740"/>
      <c r="AD1707" s="741"/>
    </row>
    <row r="1708" spans="1:50" ht="84" customHeight="1">
      <c r="A1708" s="50"/>
      <c r="B1708" s="90"/>
      <c r="C1708" s="800"/>
      <c r="D1708" s="801"/>
      <c r="E1708" s="801"/>
      <c r="F1708" s="801"/>
      <c r="G1708" s="801"/>
      <c r="H1708" s="801"/>
      <c r="I1708" s="801"/>
      <c r="J1708" s="801"/>
      <c r="K1708" s="801"/>
      <c r="L1708" s="801"/>
      <c r="M1708" s="801"/>
      <c r="N1708" s="801"/>
      <c r="O1708" s="801"/>
      <c r="P1708" s="801"/>
      <c r="Q1708" s="801"/>
      <c r="R1708" s="802"/>
      <c r="S1708" s="887" t="s">
        <v>2628</v>
      </c>
      <c r="T1708" s="889" t="s">
        <v>2629</v>
      </c>
      <c r="U1708" s="889" t="s">
        <v>2630</v>
      </c>
      <c r="V1708" s="858" t="s">
        <v>3925</v>
      </c>
      <c r="W1708" s="859"/>
      <c r="X1708" s="860"/>
      <c r="Y1708" s="858" t="s">
        <v>3926</v>
      </c>
      <c r="Z1708" s="859"/>
      <c r="AA1708" s="860"/>
      <c r="AB1708" s="858" t="s">
        <v>201</v>
      </c>
      <c r="AC1708" s="859"/>
      <c r="AD1708" s="860"/>
      <c r="AG1708"/>
      <c r="AH1708"/>
      <c r="AI1708"/>
      <c r="AJ1708"/>
      <c r="AK1708"/>
      <c r="AL1708"/>
      <c r="AM1708"/>
      <c r="AN1708"/>
      <c r="AO1708"/>
      <c r="AP1708"/>
      <c r="AQ1708"/>
      <c r="AR1708"/>
      <c r="AS1708"/>
      <c r="AT1708"/>
      <c r="AU1708" s="1032" t="s">
        <v>3927</v>
      </c>
      <c r="AV1708" s="1032"/>
      <c r="AW1708" s="1032"/>
      <c r="AX1708"/>
    </row>
    <row r="1709" spans="1:50" ht="44.25">
      <c r="A1709" s="50"/>
      <c r="B1709" s="90"/>
      <c r="C1709" s="803"/>
      <c r="D1709" s="804"/>
      <c r="E1709" s="804"/>
      <c r="F1709" s="804"/>
      <c r="G1709" s="804"/>
      <c r="H1709" s="804"/>
      <c r="I1709" s="804"/>
      <c r="J1709" s="804"/>
      <c r="K1709" s="804"/>
      <c r="L1709" s="804"/>
      <c r="M1709" s="804"/>
      <c r="N1709" s="804"/>
      <c r="O1709" s="804"/>
      <c r="P1709" s="804"/>
      <c r="Q1709" s="804"/>
      <c r="R1709" s="805"/>
      <c r="S1709" s="888"/>
      <c r="T1709" s="890"/>
      <c r="U1709" s="890"/>
      <c r="V1709" s="127" t="s">
        <v>2635</v>
      </c>
      <c r="W1709" s="128" t="s">
        <v>2629</v>
      </c>
      <c r="X1709" s="128" t="s">
        <v>2630</v>
      </c>
      <c r="Y1709" s="127" t="s">
        <v>2635</v>
      </c>
      <c r="Z1709" s="128" t="s">
        <v>2629</v>
      </c>
      <c r="AA1709" s="128" t="s">
        <v>2630</v>
      </c>
      <c r="AB1709" s="127" t="s">
        <v>2635</v>
      </c>
      <c r="AC1709" s="128" t="s">
        <v>2629</v>
      </c>
      <c r="AD1709" s="128" t="s">
        <v>2630</v>
      </c>
      <c r="AG1709" s="354" t="s">
        <v>2586</v>
      </c>
      <c r="AH1709" s="282" t="s">
        <v>2637</v>
      </c>
      <c r="AI1709" s="280" t="s">
        <v>2638</v>
      </c>
      <c r="AJ1709" s="281" t="s">
        <v>2639</v>
      </c>
      <c r="AK1709" s="282" t="s">
        <v>2640</v>
      </c>
      <c r="AL1709" s="280" t="s">
        <v>2641</v>
      </c>
      <c r="AM1709" s="281" t="s">
        <v>2642</v>
      </c>
      <c r="AN1709" s="282" t="s">
        <v>2643</v>
      </c>
      <c r="AO1709" s="280" t="s">
        <v>2644</v>
      </c>
      <c r="AP1709" s="281" t="s">
        <v>2645</v>
      </c>
      <c r="AQ1709" s="282" t="s">
        <v>2646</v>
      </c>
      <c r="AR1709" s="280" t="s">
        <v>2647</v>
      </c>
      <c r="AS1709" s="281" t="s">
        <v>2648</v>
      </c>
      <c r="AT1709"/>
      <c r="AU1709" s="492" t="s">
        <v>2795</v>
      </c>
      <c r="AV1709" s="493" t="s">
        <v>3177</v>
      </c>
      <c r="AW1709" s="494" t="s">
        <v>3178</v>
      </c>
      <c r="AX1709" s="365" t="s">
        <v>2620</v>
      </c>
    </row>
    <row r="1710" spans="1:50" ht="15">
      <c r="A1710" s="50"/>
      <c r="B1710" s="90"/>
      <c r="C1710" s="97" t="s">
        <v>2516</v>
      </c>
      <c r="D1710" s="813" t="str">
        <f>IF(CNSIPEE_2024_M2_Secc1!D42="","",CNSIPEE_2024_M2_Secc1!D42)</f>
        <v/>
      </c>
      <c r="E1710" s="814"/>
      <c r="F1710" s="814"/>
      <c r="G1710" s="814"/>
      <c r="H1710" s="814"/>
      <c r="I1710" s="814"/>
      <c r="J1710" s="814"/>
      <c r="K1710" s="814"/>
      <c r="L1710" s="814"/>
      <c r="M1710" s="814"/>
      <c r="N1710" s="814"/>
      <c r="O1710" s="814"/>
      <c r="P1710" s="814"/>
      <c r="Q1710" s="814"/>
      <c r="R1710" s="815"/>
      <c r="S1710" s="100"/>
      <c r="T1710" s="100"/>
      <c r="U1710" s="100"/>
      <c r="V1710" s="100"/>
      <c r="W1710" s="100"/>
      <c r="X1710" s="100"/>
      <c r="Y1710" s="100"/>
      <c r="Z1710" s="100"/>
      <c r="AA1710" s="100"/>
      <c r="AB1710" s="100"/>
      <c r="AC1710" s="100"/>
      <c r="AD1710" s="100"/>
      <c r="AG1710" s="326">
        <f>IF(AND(COUNTBLANK(D1710)=0,$G1653&lt;&gt;"",$G1653&lt;&gt;1,COUNTA(S1710:AD1710)=0),0,IF(AND(COUNTBLANK(D1710)=0,$G1653&lt;&gt;"",$G1653=1,COUNTA(S1710:AD1710)=12),0,IF(AND(COUNTBLANK(D1710)=1,COUNTA(S1710:AD1710)=0),0,1)))</f>
        <v>0</v>
      </c>
      <c r="AH1710" s="283">
        <f>COUNTIF(T1710:U1710,"NS")</f>
        <v>0</v>
      </c>
      <c r="AI1710" s="283">
        <f>SUM(T1710:U1710)</f>
        <v>0</v>
      </c>
      <c r="AJ1710" s="283">
        <f>IF(COUNTIF(S1710:U1710,"NA")=3,0,IF(COUNTA(S1710:U1710)=0,0,IF(OR(AND(S1710=0,AH1710&gt;0),AND(S1710="ns",AI1710&gt;0),AND(S1710="ns",AH1710=0,AI1710=0)),1,IF(OR(AND(S1710&gt;0,AH1710=2),AND(S1710="ns",AH1710=2),AND(S1710="ns",AI1710=0,AH1710&gt;0),S1710=AI1710),0,1))))</f>
        <v>0</v>
      </c>
      <c r="AK1710" s="283">
        <f>COUNTIF(W1710:X1710,"NS")</f>
        <v>0</v>
      </c>
      <c r="AL1710" s="283">
        <f>SUM(W1710:X1710)</f>
        <v>0</v>
      </c>
      <c r="AM1710" s="283">
        <f>IF(COUNTIF(V1710:X1710,"NA")=3,0,IF(COUNTA(V1710:X1710)=0,0,IF(OR(AND(V1710=0,AK1710&gt;0),AND(V1710="ns",AL1710&gt;0),AND(V1710="ns",AK1710=0,AL1710=0)),1,IF(OR(AND(V1710&gt;0,AK1710=2),AND(V1710="ns",AK1710=2),AND(V1710="ns",AL1710=0,AK1710&gt;0),V1710=AL1710),0,1))))</f>
        <v>0</v>
      </c>
      <c r="AN1710" s="283">
        <f>COUNTIF(Z1710:AA1710,"NS")</f>
        <v>0</v>
      </c>
      <c r="AO1710" s="283">
        <f>SUM(Z1710:AA1710)</f>
        <v>0</v>
      </c>
      <c r="AP1710" s="283">
        <f>IF(COUNTIF(Y1710:AA1710,"NA")=3,0,IF(COUNTA(Y1710:AA1710)=0,0,IF(OR(AND(Y1710=0,AN1710&gt;0),AND(Y1710="ns",AO1710&gt;0),AND(Y1710="ns",AN1710=0,AO1710=0)),1,IF(OR(AND(Y1710&gt;0,AN1710=2),AND(Y1710="ns",AN1710=2),AND(Y1710="ns",AO1710=0,AN1710&gt;0),Y1710=AO1710),0,1))))</f>
        <v>0</v>
      </c>
      <c r="AQ1710" s="283">
        <f>COUNTIF(AC1710:AD1710,"NS")</f>
        <v>0</v>
      </c>
      <c r="AR1710" s="283">
        <f>SUM(AC1710:AD1710)</f>
        <v>0</v>
      </c>
      <c r="AS1710" s="283">
        <f>IF(COUNTIF(AB1710:AD1710,"NA")=3,0,IF(COUNTA(AB1710:AD1710)=0,0,IF(OR(AND(AB1710=0,AQ1710&gt;0),AND(AB1710="ns",AR1710&gt;0),AND(AB1710="ns",AQ1710=0,AR1710=0)),1,IF(OR(AND(AB1710&gt;0,AQ1710=2),AND(AB1710="ns",AQ1710=2),AND(AB1710="ns",AR1710=0,AQ1710&gt;0),AB1710=AR1710),0,1))))</f>
        <v>0</v>
      </c>
      <c r="AT1710"/>
      <c r="AU1710">
        <f>IF(OR(S1710="NS",J1653="NS"),0,IF(AND(S1710="NA",J1653="NA"),0,IF(S1710=J1653,0,1)))</f>
        <v>0</v>
      </c>
      <c r="AV1710">
        <f t="shared" ref="AV1710:AW1710" si="1699">IF(OR(T1710="NS",K1653="NS"),0,IF(AND(T1710="NA",K1653="NA"),0,IF(T1710=K1653,0,1)))</f>
        <v>0</v>
      </c>
      <c r="AW1710">
        <f t="shared" si="1699"/>
        <v>0</v>
      </c>
      <c r="AX1710">
        <f>IF(AND($G1653&lt;&gt;"",$G1653&lt;&gt;1,COUNTA(S1710:AD1710)&gt;0),1,0)</f>
        <v>0</v>
      </c>
    </row>
    <row r="1711" spans="1:50" ht="15">
      <c r="A1711" s="50"/>
      <c r="B1711" s="90"/>
      <c r="C1711" s="143" t="s">
        <v>2517</v>
      </c>
      <c r="D1711" s="813" t="str">
        <f>IF(CNSIPEE_2024_M2_Secc1!D43="","",CNSIPEE_2024_M2_Secc1!D43)</f>
        <v/>
      </c>
      <c r="E1711" s="814"/>
      <c r="F1711" s="814"/>
      <c r="G1711" s="814"/>
      <c r="H1711" s="814"/>
      <c r="I1711" s="814"/>
      <c r="J1711" s="814"/>
      <c r="K1711" s="814"/>
      <c r="L1711" s="814"/>
      <c r="M1711" s="814"/>
      <c r="N1711" s="814"/>
      <c r="O1711" s="814"/>
      <c r="P1711" s="814"/>
      <c r="Q1711" s="814"/>
      <c r="R1711" s="815"/>
      <c r="S1711" s="100"/>
      <c r="T1711" s="100"/>
      <c r="U1711" s="100"/>
      <c r="V1711" s="100"/>
      <c r="W1711" s="100"/>
      <c r="X1711" s="100"/>
      <c r="Y1711" s="100"/>
      <c r="Z1711" s="100"/>
      <c r="AA1711" s="100"/>
      <c r="AB1711" s="100"/>
      <c r="AC1711" s="100"/>
      <c r="AD1711" s="100"/>
      <c r="AG1711" s="326">
        <f t="shared" ref="AG1711:AG1717" si="1700">IF(AND(COUNTBLANK(D1711)=0,$G1654&lt;&gt;"",$G1654&lt;&gt;1,COUNTA(S1711:AD1711)=0),0,IF(AND(COUNTBLANK(D1711)=0,$G1654&lt;&gt;"",$G1654=1,COUNTA(S1711:AD1711)=12),0,IF(AND(COUNTBLANK(D1711)=1,COUNTA(S1711:AD1711)=0),0,1)))</f>
        <v>0</v>
      </c>
      <c r="AH1711" s="283">
        <f t="shared" ref="AH1711:AH1717" si="1701">COUNTIF(T1711:U1711,"NS")</f>
        <v>0</v>
      </c>
      <c r="AI1711" s="283">
        <f t="shared" ref="AI1711:AI1717" si="1702">SUM(T1711:U1711)</f>
        <v>0</v>
      </c>
      <c r="AJ1711" s="283">
        <f t="shared" ref="AJ1711:AJ1717" si="1703">IF(COUNTIF(S1711:U1711,"NA")=3,0,IF(COUNTA(S1711:U1711)=0,0,IF(OR(AND(S1711=0,AH1711&gt;0),AND(S1711="ns",AI1711&gt;0),AND(S1711="ns",AH1711=0,AI1711=0)),1,IF(OR(AND(S1711&gt;0,AH1711=2),AND(S1711="ns",AH1711=2),AND(S1711="ns",AI1711=0,AH1711&gt;0),S1711=AI1711),0,1))))</f>
        <v>0</v>
      </c>
      <c r="AK1711" s="283">
        <f t="shared" ref="AK1711:AK1717" si="1704">COUNTIF(W1711:X1711,"NS")</f>
        <v>0</v>
      </c>
      <c r="AL1711" s="283">
        <f t="shared" ref="AL1711:AL1717" si="1705">SUM(W1711:X1711)</f>
        <v>0</v>
      </c>
      <c r="AM1711" s="283">
        <f t="shared" ref="AM1711:AM1717" si="1706">IF(COUNTIF(V1711:X1711,"NA")=3,0,IF(COUNTA(V1711:X1711)=0,0,IF(OR(AND(V1711=0,AK1711&gt;0),AND(V1711="ns",AL1711&gt;0),AND(V1711="ns",AK1711=0,AL1711=0)),1,IF(OR(AND(V1711&gt;0,AK1711=2),AND(V1711="ns",AK1711=2),AND(V1711="ns",AL1711=0,AK1711&gt;0),V1711=AL1711),0,1))))</f>
        <v>0</v>
      </c>
      <c r="AN1711" s="283">
        <f t="shared" ref="AN1711:AN1717" si="1707">COUNTIF(Z1711:AA1711,"NS")</f>
        <v>0</v>
      </c>
      <c r="AO1711" s="283">
        <f t="shared" ref="AO1711:AO1717" si="1708">SUM(Z1711:AA1711)</f>
        <v>0</v>
      </c>
      <c r="AP1711" s="283">
        <f t="shared" ref="AP1711:AP1717" si="1709">IF(COUNTIF(Y1711:AA1711,"NA")=3,0,IF(COUNTA(Y1711:AA1711)=0,0,IF(OR(AND(Y1711=0,AN1711&gt;0),AND(Y1711="ns",AO1711&gt;0),AND(Y1711="ns",AN1711=0,AO1711=0)),1,IF(OR(AND(Y1711&gt;0,AN1711=2),AND(Y1711="ns",AN1711=2),AND(Y1711="ns",AO1711=0,AN1711&gt;0),Y1711=AO1711),0,1))))</f>
        <v>0</v>
      </c>
      <c r="AQ1711" s="283">
        <f t="shared" ref="AQ1711:AQ1717" si="1710">COUNTIF(AC1711:AD1711,"NS")</f>
        <v>0</v>
      </c>
      <c r="AR1711" s="283">
        <f t="shared" ref="AR1711:AR1717" si="1711">SUM(AC1711:AD1711)</f>
        <v>0</v>
      </c>
      <c r="AS1711" s="283">
        <f t="shared" ref="AS1711:AS1717" si="1712">IF(COUNTIF(AB1711:AD1711,"NA")=3,0,IF(COUNTA(AB1711:AD1711)=0,0,IF(OR(AND(AB1711=0,AQ1711&gt;0),AND(AB1711="ns",AR1711&gt;0),AND(AB1711="ns",AQ1711=0,AR1711=0)),1,IF(OR(AND(AB1711&gt;0,AQ1711=2),AND(AB1711="ns",AQ1711=2),AND(AB1711="ns",AR1711=0,AQ1711&gt;0),AB1711=AR1711),0,1))))</f>
        <v>0</v>
      </c>
      <c r="AU1711">
        <f t="shared" ref="AU1711:AU1717" si="1713">IF(OR(S1711="NS",J1654="NS"),0,IF(AND(S1711="NA",J1654="NA"),0,IF(S1711=J1654,0,1)))</f>
        <v>0</v>
      </c>
      <c r="AV1711">
        <f t="shared" ref="AV1711:AV1717" si="1714">IF(OR(T1711="NS",K1654="NS"),0,IF(AND(T1711="NA",K1654="NA"),0,IF(T1711=K1654,0,1)))</f>
        <v>0</v>
      </c>
      <c r="AW1711">
        <f t="shared" ref="AW1711:AW1717" si="1715">IF(OR(U1711="NS",L1654="NS"),0,IF(AND(U1711="NA",L1654="NA"),0,IF(U1711=L1654,0,1)))</f>
        <v>0</v>
      </c>
      <c r="AX1711">
        <f t="shared" ref="AX1711:AX1717" si="1716">IF(AND($G1654&lt;&gt;"",$G1654&lt;&gt;1,COUNTA(S1711:AD1711)&gt;0),1,0)</f>
        <v>0</v>
      </c>
    </row>
    <row r="1712" spans="1:50" ht="15">
      <c r="A1712" s="50"/>
      <c r="B1712" s="90"/>
      <c r="C1712" s="143" t="s">
        <v>2518</v>
      </c>
      <c r="D1712" s="813" t="str">
        <f>IF(CNSIPEE_2024_M2_Secc1!D44="","",CNSIPEE_2024_M2_Secc1!D44)</f>
        <v/>
      </c>
      <c r="E1712" s="814"/>
      <c r="F1712" s="814"/>
      <c r="G1712" s="814"/>
      <c r="H1712" s="814"/>
      <c r="I1712" s="814"/>
      <c r="J1712" s="814"/>
      <c r="K1712" s="814"/>
      <c r="L1712" s="814"/>
      <c r="M1712" s="814"/>
      <c r="N1712" s="814"/>
      <c r="O1712" s="814"/>
      <c r="P1712" s="814"/>
      <c r="Q1712" s="814"/>
      <c r="R1712" s="815"/>
      <c r="S1712" s="100"/>
      <c r="T1712" s="100"/>
      <c r="U1712" s="100"/>
      <c r="V1712" s="100"/>
      <c r="W1712" s="100"/>
      <c r="X1712" s="100"/>
      <c r="Y1712" s="100"/>
      <c r="Z1712" s="100"/>
      <c r="AA1712" s="100"/>
      <c r="AB1712" s="100"/>
      <c r="AC1712" s="100"/>
      <c r="AD1712" s="100"/>
      <c r="AG1712" s="326">
        <f t="shared" si="1700"/>
        <v>0</v>
      </c>
      <c r="AH1712" s="283">
        <f t="shared" si="1701"/>
        <v>0</v>
      </c>
      <c r="AI1712" s="283">
        <f t="shared" si="1702"/>
        <v>0</v>
      </c>
      <c r="AJ1712" s="283">
        <f t="shared" si="1703"/>
        <v>0</v>
      </c>
      <c r="AK1712" s="283">
        <f t="shared" si="1704"/>
        <v>0</v>
      </c>
      <c r="AL1712" s="283">
        <f t="shared" si="1705"/>
        <v>0</v>
      </c>
      <c r="AM1712" s="283">
        <f t="shared" si="1706"/>
        <v>0</v>
      </c>
      <c r="AN1712" s="283">
        <f t="shared" si="1707"/>
        <v>0</v>
      </c>
      <c r="AO1712" s="283">
        <f t="shared" si="1708"/>
        <v>0</v>
      </c>
      <c r="AP1712" s="283">
        <f t="shared" si="1709"/>
        <v>0</v>
      </c>
      <c r="AQ1712" s="283">
        <f t="shared" si="1710"/>
        <v>0</v>
      </c>
      <c r="AR1712" s="283">
        <f t="shared" si="1711"/>
        <v>0</v>
      </c>
      <c r="AS1712" s="283">
        <f t="shared" si="1712"/>
        <v>0</v>
      </c>
      <c r="AU1712">
        <f t="shared" si="1713"/>
        <v>0</v>
      </c>
      <c r="AV1712">
        <f t="shared" si="1714"/>
        <v>0</v>
      </c>
      <c r="AW1712">
        <f t="shared" si="1715"/>
        <v>0</v>
      </c>
      <c r="AX1712">
        <f t="shared" si="1716"/>
        <v>0</v>
      </c>
    </row>
    <row r="1713" spans="1:50" ht="15">
      <c r="A1713" s="50"/>
      <c r="B1713" s="90"/>
      <c r="C1713" s="143" t="s">
        <v>2519</v>
      </c>
      <c r="D1713" s="813" t="str">
        <f>IF(CNSIPEE_2024_M2_Secc1!D45="","",CNSIPEE_2024_M2_Secc1!D45)</f>
        <v/>
      </c>
      <c r="E1713" s="814"/>
      <c r="F1713" s="814"/>
      <c r="G1713" s="814"/>
      <c r="H1713" s="814"/>
      <c r="I1713" s="814"/>
      <c r="J1713" s="814"/>
      <c r="K1713" s="814"/>
      <c r="L1713" s="814"/>
      <c r="M1713" s="814"/>
      <c r="N1713" s="814"/>
      <c r="O1713" s="814"/>
      <c r="P1713" s="814"/>
      <c r="Q1713" s="814"/>
      <c r="R1713" s="815"/>
      <c r="S1713" s="100"/>
      <c r="T1713" s="100"/>
      <c r="U1713" s="100"/>
      <c r="V1713" s="100"/>
      <c r="W1713" s="100"/>
      <c r="X1713" s="100"/>
      <c r="Y1713" s="100"/>
      <c r="Z1713" s="100"/>
      <c r="AA1713" s="100"/>
      <c r="AB1713" s="100"/>
      <c r="AC1713" s="100"/>
      <c r="AD1713" s="100"/>
      <c r="AG1713" s="326">
        <f t="shared" si="1700"/>
        <v>0</v>
      </c>
      <c r="AH1713" s="283">
        <f t="shared" si="1701"/>
        <v>0</v>
      </c>
      <c r="AI1713" s="283">
        <f t="shared" si="1702"/>
        <v>0</v>
      </c>
      <c r="AJ1713" s="283">
        <f t="shared" si="1703"/>
        <v>0</v>
      </c>
      <c r="AK1713" s="283">
        <f t="shared" si="1704"/>
        <v>0</v>
      </c>
      <c r="AL1713" s="283">
        <f t="shared" si="1705"/>
        <v>0</v>
      </c>
      <c r="AM1713" s="283">
        <f t="shared" si="1706"/>
        <v>0</v>
      </c>
      <c r="AN1713" s="283">
        <f t="shared" si="1707"/>
        <v>0</v>
      </c>
      <c r="AO1713" s="283">
        <f t="shared" si="1708"/>
        <v>0</v>
      </c>
      <c r="AP1713" s="283">
        <f t="shared" si="1709"/>
        <v>0</v>
      </c>
      <c r="AQ1713" s="283">
        <f t="shared" si="1710"/>
        <v>0</v>
      </c>
      <c r="AR1713" s="283">
        <f t="shared" si="1711"/>
        <v>0</v>
      </c>
      <c r="AS1713" s="283">
        <f t="shared" si="1712"/>
        <v>0</v>
      </c>
      <c r="AU1713">
        <f t="shared" si="1713"/>
        <v>0</v>
      </c>
      <c r="AV1713">
        <f t="shared" si="1714"/>
        <v>0</v>
      </c>
      <c r="AW1713">
        <f t="shared" si="1715"/>
        <v>0</v>
      </c>
      <c r="AX1713">
        <f t="shared" si="1716"/>
        <v>0</v>
      </c>
    </row>
    <row r="1714" spans="1:50" ht="15">
      <c r="A1714" s="50"/>
      <c r="B1714" s="90"/>
      <c r="C1714" s="143" t="s">
        <v>2520</v>
      </c>
      <c r="D1714" s="813" t="str">
        <f>IF(CNSIPEE_2024_M2_Secc1!D46="","",CNSIPEE_2024_M2_Secc1!D46)</f>
        <v/>
      </c>
      <c r="E1714" s="814"/>
      <c r="F1714" s="814"/>
      <c r="G1714" s="814"/>
      <c r="H1714" s="814"/>
      <c r="I1714" s="814"/>
      <c r="J1714" s="814"/>
      <c r="K1714" s="814"/>
      <c r="L1714" s="814"/>
      <c r="M1714" s="814"/>
      <c r="N1714" s="814"/>
      <c r="O1714" s="814"/>
      <c r="P1714" s="814"/>
      <c r="Q1714" s="814"/>
      <c r="R1714" s="815"/>
      <c r="S1714" s="100"/>
      <c r="T1714" s="100"/>
      <c r="U1714" s="100"/>
      <c r="V1714" s="100"/>
      <c r="W1714" s="100"/>
      <c r="X1714" s="100"/>
      <c r="Y1714" s="100"/>
      <c r="Z1714" s="100"/>
      <c r="AA1714" s="100"/>
      <c r="AB1714" s="100"/>
      <c r="AC1714" s="100"/>
      <c r="AD1714" s="100"/>
      <c r="AG1714" s="326">
        <f t="shared" si="1700"/>
        <v>0</v>
      </c>
      <c r="AH1714" s="283">
        <f t="shared" si="1701"/>
        <v>0</v>
      </c>
      <c r="AI1714" s="283">
        <f t="shared" si="1702"/>
        <v>0</v>
      </c>
      <c r="AJ1714" s="283">
        <f t="shared" si="1703"/>
        <v>0</v>
      </c>
      <c r="AK1714" s="283">
        <f t="shared" si="1704"/>
        <v>0</v>
      </c>
      <c r="AL1714" s="283">
        <f t="shared" si="1705"/>
        <v>0</v>
      </c>
      <c r="AM1714" s="283">
        <f t="shared" si="1706"/>
        <v>0</v>
      </c>
      <c r="AN1714" s="283">
        <f t="shared" si="1707"/>
        <v>0</v>
      </c>
      <c r="AO1714" s="283">
        <f t="shared" si="1708"/>
        <v>0</v>
      </c>
      <c r="AP1714" s="283">
        <f t="shared" si="1709"/>
        <v>0</v>
      </c>
      <c r="AQ1714" s="283">
        <f t="shared" si="1710"/>
        <v>0</v>
      </c>
      <c r="AR1714" s="283">
        <f t="shared" si="1711"/>
        <v>0</v>
      </c>
      <c r="AS1714" s="283">
        <f t="shared" si="1712"/>
        <v>0</v>
      </c>
      <c r="AU1714">
        <f t="shared" si="1713"/>
        <v>0</v>
      </c>
      <c r="AV1714">
        <f t="shared" si="1714"/>
        <v>0</v>
      </c>
      <c r="AW1714">
        <f t="shared" si="1715"/>
        <v>0</v>
      </c>
      <c r="AX1714">
        <f t="shared" si="1716"/>
        <v>0</v>
      </c>
    </row>
    <row r="1715" spans="1:50" ht="15">
      <c r="A1715" s="50"/>
      <c r="B1715" s="90"/>
      <c r="C1715" s="143" t="s">
        <v>2521</v>
      </c>
      <c r="D1715" s="813" t="str">
        <f>IF(CNSIPEE_2024_M2_Secc1!D47="","",CNSIPEE_2024_M2_Secc1!D47)</f>
        <v/>
      </c>
      <c r="E1715" s="814"/>
      <c r="F1715" s="814"/>
      <c r="G1715" s="814"/>
      <c r="H1715" s="814"/>
      <c r="I1715" s="814"/>
      <c r="J1715" s="814"/>
      <c r="K1715" s="814"/>
      <c r="L1715" s="814"/>
      <c r="M1715" s="814"/>
      <c r="N1715" s="814"/>
      <c r="O1715" s="814"/>
      <c r="P1715" s="814"/>
      <c r="Q1715" s="814"/>
      <c r="R1715" s="815"/>
      <c r="S1715" s="100"/>
      <c r="T1715" s="100"/>
      <c r="U1715" s="100"/>
      <c r="V1715" s="100"/>
      <c r="W1715" s="100"/>
      <c r="X1715" s="100"/>
      <c r="Y1715" s="100"/>
      <c r="Z1715" s="100"/>
      <c r="AA1715" s="100"/>
      <c r="AB1715" s="100"/>
      <c r="AC1715" s="100"/>
      <c r="AD1715" s="100"/>
      <c r="AG1715" s="326">
        <f t="shared" si="1700"/>
        <v>0</v>
      </c>
      <c r="AH1715" s="283">
        <f t="shared" si="1701"/>
        <v>0</v>
      </c>
      <c r="AI1715" s="283">
        <f t="shared" si="1702"/>
        <v>0</v>
      </c>
      <c r="AJ1715" s="283">
        <f t="shared" si="1703"/>
        <v>0</v>
      </c>
      <c r="AK1715" s="283">
        <f t="shared" si="1704"/>
        <v>0</v>
      </c>
      <c r="AL1715" s="283">
        <f t="shared" si="1705"/>
        <v>0</v>
      </c>
      <c r="AM1715" s="283">
        <f t="shared" si="1706"/>
        <v>0</v>
      </c>
      <c r="AN1715" s="283">
        <f t="shared" si="1707"/>
        <v>0</v>
      </c>
      <c r="AO1715" s="283">
        <f t="shared" si="1708"/>
        <v>0</v>
      </c>
      <c r="AP1715" s="283">
        <f t="shared" si="1709"/>
        <v>0</v>
      </c>
      <c r="AQ1715" s="283">
        <f t="shared" si="1710"/>
        <v>0</v>
      </c>
      <c r="AR1715" s="283">
        <f t="shared" si="1711"/>
        <v>0</v>
      </c>
      <c r="AS1715" s="283">
        <f t="shared" si="1712"/>
        <v>0</v>
      </c>
      <c r="AU1715">
        <f t="shared" si="1713"/>
        <v>0</v>
      </c>
      <c r="AV1715">
        <f t="shared" si="1714"/>
        <v>0</v>
      </c>
      <c r="AW1715">
        <f t="shared" si="1715"/>
        <v>0</v>
      </c>
      <c r="AX1715">
        <f t="shared" si="1716"/>
        <v>0</v>
      </c>
    </row>
    <row r="1716" spans="1:50" ht="15">
      <c r="A1716" s="50"/>
      <c r="B1716" s="90"/>
      <c r="C1716" s="143" t="s">
        <v>2522</v>
      </c>
      <c r="D1716" s="813" t="str">
        <f>IF(CNSIPEE_2024_M2_Secc1!D48="","",CNSIPEE_2024_M2_Secc1!D48)</f>
        <v/>
      </c>
      <c r="E1716" s="814"/>
      <c r="F1716" s="814"/>
      <c r="G1716" s="814"/>
      <c r="H1716" s="814"/>
      <c r="I1716" s="814"/>
      <c r="J1716" s="814"/>
      <c r="K1716" s="814"/>
      <c r="L1716" s="814"/>
      <c r="M1716" s="814"/>
      <c r="N1716" s="814"/>
      <c r="O1716" s="814"/>
      <c r="P1716" s="814"/>
      <c r="Q1716" s="814"/>
      <c r="R1716" s="815"/>
      <c r="S1716" s="100"/>
      <c r="T1716" s="100"/>
      <c r="U1716" s="100"/>
      <c r="V1716" s="100"/>
      <c r="W1716" s="100"/>
      <c r="X1716" s="100"/>
      <c r="Y1716" s="100"/>
      <c r="Z1716" s="100"/>
      <c r="AA1716" s="100"/>
      <c r="AB1716" s="100"/>
      <c r="AC1716" s="100"/>
      <c r="AD1716" s="100"/>
      <c r="AG1716" s="326">
        <f t="shared" si="1700"/>
        <v>0</v>
      </c>
      <c r="AH1716" s="283">
        <f t="shared" si="1701"/>
        <v>0</v>
      </c>
      <c r="AI1716" s="283">
        <f t="shared" si="1702"/>
        <v>0</v>
      </c>
      <c r="AJ1716" s="283">
        <f t="shared" si="1703"/>
        <v>0</v>
      </c>
      <c r="AK1716" s="283">
        <f t="shared" si="1704"/>
        <v>0</v>
      </c>
      <c r="AL1716" s="283">
        <f t="shared" si="1705"/>
        <v>0</v>
      </c>
      <c r="AM1716" s="283">
        <f t="shared" si="1706"/>
        <v>0</v>
      </c>
      <c r="AN1716" s="283">
        <f t="shared" si="1707"/>
        <v>0</v>
      </c>
      <c r="AO1716" s="283">
        <f t="shared" si="1708"/>
        <v>0</v>
      </c>
      <c r="AP1716" s="283">
        <f t="shared" si="1709"/>
        <v>0</v>
      </c>
      <c r="AQ1716" s="283">
        <f t="shared" si="1710"/>
        <v>0</v>
      </c>
      <c r="AR1716" s="283">
        <f t="shared" si="1711"/>
        <v>0</v>
      </c>
      <c r="AS1716" s="283">
        <f t="shared" si="1712"/>
        <v>0</v>
      </c>
      <c r="AU1716">
        <f t="shared" si="1713"/>
        <v>0</v>
      </c>
      <c r="AV1716">
        <f t="shared" si="1714"/>
        <v>0</v>
      </c>
      <c r="AW1716">
        <f t="shared" si="1715"/>
        <v>0</v>
      </c>
      <c r="AX1716">
        <f t="shared" si="1716"/>
        <v>0</v>
      </c>
    </row>
    <row r="1717" spans="1:50" ht="15">
      <c r="A1717" s="50"/>
      <c r="B1717" s="90"/>
      <c r="C1717" s="143" t="s">
        <v>2523</v>
      </c>
      <c r="D1717" s="813" t="str">
        <f>IF(CNSIPEE_2024_M2_Secc1!D49="","",CNSIPEE_2024_M2_Secc1!D49)</f>
        <v/>
      </c>
      <c r="E1717" s="814"/>
      <c r="F1717" s="814"/>
      <c r="G1717" s="814"/>
      <c r="H1717" s="814"/>
      <c r="I1717" s="814"/>
      <c r="J1717" s="814"/>
      <c r="K1717" s="814"/>
      <c r="L1717" s="814"/>
      <c r="M1717" s="814"/>
      <c r="N1717" s="814"/>
      <c r="O1717" s="814"/>
      <c r="P1717" s="814"/>
      <c r="Q1717" s="814"/>
      <c r="R1717" s="815"/>
      <c r="S1717" s="100"/>
      <c r="T1717" s="100"/>
      <c r="U1717" s="100"/>
      <c r="V1717" s="100"/>
      <c r="W1717" s="100"/>
      <c r="X1717" s="100"/>
      <c r="Y1717" s="100"/>
      <c r="Z1717" s="100"/>
      <c r="AA1717" s="100"/>
      <c r="AB1717" s="100"/>
      <c r="AC1717" s="100"/>
      <c r="AD1717" s="100"/>
      <c r="AG1717" s="326">
        <f t="shared" si="1700"/>
        <v>0</v>
      </c>
      <c r="AH1717" s="283">
        <f t="shared" si="1701"/>
        <v>0</v>
      </c>
      <c r="AI1717" s="283">
        <f t="shared" si="1702"/>
        <v>0</v>
      </c>
      <c r="AJ1717" s="283">
        <f t="shared" si="1703"/>
        <v>0</v>
      </c>
      <c r="AK1717" s="283">
        <f t="shared" si="1704"/>
        <v>0</v>
      </c>
      <c r="AL1717" s="283">
        <f t="shared" si="1705"/>
        <v>0</v>
      </c>
      <c r="AM1717" s="283">
        <f t="shared" si="1706"/>
        <v>0</v>
      </c>
      <c r="AN1717" s="283">
        <f t="shared" si="1707"/>
        <v>0</v>
      </c>
      <c r="AO1717" s="283">
        <f t="shared" si="1708"/>
        <v>0</v>
      </c>
      <c r="AP1717" s="283">
        <f t="shared" si="1709"/>
        <v>0</v>
      </c>
      <c r="AQ1717" s="283">
        <f t="shared" si="1710"/>
        <v>0</v>
      </c>
      <c r="AR1717" s="283">
        <f t="shared" si="1711"/>
        <v>0</v>
      </c>
      <c r="AS1717" s="283">
        <f t="shared" si="1712"/>
        <v>0</v>
      </c>
      <c r="AU1717">
        <f t="shared" si="1713"/>
        <v>0</v>
      </c>
      <c r="AV1717">
        <f t="shared" si="1714"/>
        <v>0</v>
      </c>
      <c r="AW1717">
        <f t="shared" si="1715"/>
        <v>0</v>
      </c>
      <c r="AX1717">
        <f t="shared" si="1716"/>
        <v>0</v>
      </c>
    </row>
    <row r="1718" spans="1:50" ht="15">
      <c r="A1718" s="50"/>
      <c r="B1718" s="90"/>
      <c r="C1718" s="90"/>
      <c r="D1718" s="90"/>
      <c r="E1718" s="90"/>
      <c r="F1718" s="90"/>
      <c r="G1718" s="90"/>
      <c r="H1718" s="90"/>
      <c r="I1718" s="90"/>
      <c r="J1718" s="90"/>
      <c r="K1718" s="90"/>
      <c r="L1718" s="90"/>
      <c r="M1718" s="90"/>
      <c r="N1718" s="90"/>
      <c r="O1718" s="90"/>
      <c r="P1718" s="90"/>
      <c r="Q1718" s="90"/>
      <c r="R1718" s="99" t="s">
        <v>2649</v>
      </c>
      <c r="S1718" s="124">
        <f>IF(AND(SUM(S1710:S1717)=0,COUNTIF(S1710:S1717,"NS")&gt;0),"NS",
IF(AND(SUM(S1710:S1717)=0,COUNTIF(S1710:S1717,0)&gt;0),0,
IF(AND(SUM(S1710:S1717)=0,COUNTIF(S1710:S1717,"NA")&gt;0),"NA",
SUM(S1710:S1717))))</f>
        <v>0</v>
      </c>
      <c r="T1718" s="124">
        <f t="shared" ref="T1718:AC1718" si="1717">IF(AND(SUM(T1710:T1717)=0,COUNTIF(T1710:T1717,"NS")&gt;0),"NS",
IF(AND(SUM(T1710:T1717)=0,COUNTIF(T1710:T1717,0)&gt;0),0,
IF(AND(SUM(T1710:T1717)=0,COUNTIF(T1710:T1717,"NA")&gt;0),"NA",
SUM(T1710:T1717))))</f>
        <v>0</v>
      </c>
      <c r="U1718" s="124">
        <f t="shared" si="1717"/>
        <v>0</v>
      </c>
      <c r="V1718" s="124">
        <f t="shared" si="1717"/>
        <v>0</v>
      </c>
      <c r="W1718" s="124">
        <f t="shared" si="1717"/>
        <v>0</v>
      </c>
      <c r="X1718" s="124">
        <f t="shared" si="1717"/>
        <v>0</v>
      </c>
      <c r="Y1718" s="124">
        <f t="shared" si="1717"/>
        <v>0</v>
      </c>
      <c r="Z1718" s="124">
        <f t="shared" si="1717"/>
        <v>0</v>
      </c>
      <c r="AA1718" s="124">
        <f t="shared" si="1717"/>
        <v>0</v>
      </c>
      <c r="AB1718" s="124">
        <f t="shared" si="1717"/>
        <v>0</v>
      </c>
      <c r="AC1718" s="124">
        <f t="shared" si="1717"/>
        <v>0</v>
      </c>
      <c r="AD1718" s="124">
        <f>IF(AND(SUM(AD1710:AD1717)=0,COUNTIF(AD1710:AD1717,"NS")&gt;0),"NS",
IF(AND(SUM(AD1710:AD1717)=0,COUNTIF(AD1710:AD1717,0)&gt;0),0,
IF(AND(SUM(AD1710:AD1717)=0,COUNTIF(AD1710:AD1717,"NA")&gt;0),"NA",
SUM(AD1710:AD1717))))</f>
        <v>0</v>
      </c>
      <c r="AG1718" s="354">
        <f>SUM(AG1710:AG1717)</f>
        <v>0</v>
      </c>
      <c r="AH1718" s="406">
        <f>SUM(AH1710:AH1717)</f>
        <v>0</v>
      </c>
      <c r="AI1718" s="326"/>
      <c r="AJ1718" s="352">
        <f>SUM(AJ1710:AJ1717)</f>
        <v>0</v>
      </c>
      <c r="AK1718" s="406">
        <f t="shared" ref="AK1718" si="1718">SUM(AK1710:AK1717)</f>
        <v>0</v>
      </c>
      <c r="AL1718" s="326"/>
      <c r="AM1718" s="352">
        <f t="shared" ref="AM1718:AN1718" si="1719">SUM(AM1710:AM1717)</f>
        <v>0</v>
      </c>
      <c r="AN1718" s="406">
        <f t="shared" si="1719"/>
        <v>0</v>
      </c>
      <c r="AO1718" s="326"/>
      <c r="AP1718" s="352">
        <f t="shared" ref="AP1718:AQ1718" si="1720">SUM(AP1710:AP1717)</f>
        <v>0</v>
      </c>
      <c r="AQ1718" s="406">
        <f t="shared" si="1720"/>
        <v>0</v>
      </c>
      <c r="AR1718" s="326"/>
      <c r="AS1718" s="352">
        <f t="shared" ref="AS1718" si="1721">SUM(AS1710:AS1717)</f>
        <v>0</v>
      </c>
      <c r="AU1718" s="492">
        <f>SUM(AU1710:AU1717)</f>
        <v>0</v>
      </c>
      <c r="AV1718" s="493">
        <f>SUM(AV1710:AV1717)</f>
        <v>0</v>
      </c>
      <c r="AW1718" s="494">
        <f>SUM(AW1710:AW1717)</f>
        <v>0</v>
      </c>
      <c r="AX1718" s="365">
        <f>SUM(AX1710:AX1717)</f>
        <v>0</v>
      </c>
    </row>
    <row r="1719" spans="1:50" ht="15">
      <c r="A1719" s="94"/>
      <c r="AU1719"/>
      <c r="AV1719"/>
      <c r="AW1719" s="495">
        <f>SUM(AU1718:AW1718)</f>
        <v>0</v>
      </c>
      <c r="AX1719"/>
    </row>
    <row r="1720" spans="1:50" ht="24" customHeight="1">
      <c r="A1720" s="94"/>
      <c r="C1720" s="764" t="s">
        <v>2611</v>
      </c>
      <c r="D1720" s="764"/>
      <c r="E1720" s="764"/>
      <c r="F1720" s="764"/>
      <c r="G1720" s="764"/>
      <c r="H1720" s="764"/>
      <c r="I1720" s="764"/>
      <c r="J1720" s="764"/>
      <c r="K1720" s="764"/>
      <c r="L1720" s="764"/>
      <c r="M1720" s="764"/>
      <c r="N1720" s="764"/>
      <c r="O1720" s="764"/>
      <c r="P1720" s="764"/>
      <c r="Q1720" s="764"/>
      <c r="R1720" s="764"/>
      <c r="S1720" s="764"/>
      <c r="T1720" s="764"/>
      <c r="U1720" s="764"/>
      <c r="V1720" s="764"/>
      <c r="W1720" s="764"/>
      <c r="X1720" s="764"/>
      <c r="Y1720" s="764"/>
      <c r="Z1720" s="764"/>
      <c r="AA1720" s="764"/>
      <c r="AB1720" s="764"/>
      <c r="AC1720" s="764"/>
      <c r="AD1720" s="764"/>
      <c r="AJ1720" s="356" t="s">
        <v>2650</v>
      </c>
      <c r="AK1720" s="283">
        <f>SUM(AJ1718,AM1718,AP1718,AS1718)</f>
        <v>0</v>
      </c>
      <c r="AL1720" s="355" t="s">
        <v>2651</v>
      </c>
      <c r="AM1720" s="283">
        <f>SUM(AH1718,AK1718,AN1718,AQ1718)</f>
        <v>0</v>
      </c>
      <c r="AN1720" s="283"/>
      <c r="AO1720" s="283"/>
    </row>
    <row r="1721" spans="1:50" ht="60" customHeight="1">
      <c r="A1721" s="94"/>
      <c r="C1721" s="882"/>
      <c r="D1721" s="883"/>
      <c r="E1721" s="883"/>
      <c r="F1721" s="883"/>
      <c r="G1721" s="883"/>
      <c r="H1721" s="883"/>
      <c r="I1721" s="883"/>
      <c r="J1721" s="883"/>
      <c r="K1721" s="883"/>
      <c r="L1721" s="883"/>
      <c r="M1721" s="883"/>
      <c r="N1721" s="883"/>
      <c r="O1721" s="883"/>
      <c r="P1721" s="883"/>
      <c r="Q1721" s="883"/>
      <c r="R1721" s="883"/>
      <c r="S1721" s="883"/>
      <c r="T1721" s="883"/>
      <c r="U1721" s="883"/>
      <c r="V1721" s="883"/>
      <c r="W1721" s="883"/>
      <c r="X1721" s="883"/>
      <c r="Y1721" s="883"/>
      <c r="Z1721" s="883"/>
      <c r="AA1721" s="883"/>
      <c r="AB1721" s="883"/>
      <c r="AC1721" s="883"/>
      <c r="AD1721" s="884"/>
      <c r="AJ1721" s="356" t="s">
        <v>2652</v>
      </c>
      <c r="AK1721" s="438">
        <f>IF(AM1720&gt;0,IF(SUM(S1718)&gt;=SUM(V1718,Y1718,AB1718),0,1),IF(SUM(S1718)&lt;&gt;SUM(V1718,Y1718,AB1718),1,0))</f>
        <v>0</v>
      </c>
      <c r="AL1721" s="357" t="s">
        <v>2653</v>
      </c>
      <c r="AM1721" s="438">
        <f>IF(AM1720&gt;0,IF(SUM(T1718)&gt;=SUM(W1718,Z1718,AC1718),0,1),IF(SUM(T1718)&lt;&gt;SUM(W1718,Z1718,AC1718),1,0))</f>
        <v>0</v>
      </c>
      <c r="AN1721" s="357" t="s">
        <v>2654</v>
      </c>
      <c r="AO1721" s="438">
        <f>IF(AM1720&gt;0,IF(SUM(U1718)&gt;=SUM(X1718,AA1718,AD1718),0,1),IF(SUM(U1718)&lt;&gt;SUM(X1718,AA1718,AD1718),1,0))</f>
        <v>0</v>
      </c>
    </row>
    <row r="1722" spans="1:50" ht="15">
      <c r="B1722" s="794" t="str">
        <f>IF(AG1718&gt;0,"Favor de ingresar toda la información requerida en la pregunta y/o verifique que no tenga información en celdas sombreadas","")</f>
        <v/>
      </c>
      <c r="C1722" s="794"/>
      <c r="D1722" s="794"/>
      <c r="E1722" s="794"/>
      <c r="F1722" s="794"/>
      <c r="G1722" s="794"/>
      <c r="H1722" s="794"/>
      <c r="I1722" s="794"/>
      <c r="J1722" s="794"/>
      <c r="K1722" s="794"/>
      <c r="L1722" s="794"/>
      <c r="M1722" s="794"/>
      <c r="N1722" s="794"/>
      <c r="O1722" s="794"/>
      <c r="P1722" s="794"/>
      <c r="Q1722" s="794"/>
      <c r="R1722" s="794"/>
      <c r="S1722" s="794"/>
      <c r="T1722" s="794"/>
      <c r="U1722" s="794"/>
      <c r="V1722" s="794"/>
      <c r="W1722" s="794"/>
      <c r="X1722" s="794"/>
      <c r="Y1722" s="794"/>
      <c r="Z1722" s="794"/>
      <c r="AA1722" s="794"/>
      <c r="AB1722" s="794"/>
      <c r="AC1722" s="794"/>
      <c r="AD1722" s="794"/>
      <c r="AE1722"/>
    </row>
    <row r="1723" spans="1:50" ht="15">
      <c r="B1723" s="795" t="str">
        <f>IF(AM1720&gt;0,"Alerta: debido a que cuenta con registros NS, debe proporcionar una justificación en el area de comentarios al final de la pregunta","")</f>
        <v/>
      </c>
      <c r="C1723" s="795"/>
      <c r="D1723" s="795"/>
      <c r="E1723" s="795"/>
      <c r="F1723" s="795"/>
      <c r="G1723" s="795"/>
      <c r="H1723" s="795"/>
      <c r="I1723" s="795"/>
      <c r="J1723" s="795"/>
      <c r="K1723" s="795"/>
      <c r="L1723" s="795"/>
      <c r="M1723" s="795"/>
      <c r="N1723" s="795"/>
      <c r="O1723" s="795"/>
      <c r="P1723" s="795"/>
      <c r="Q1723" s="795"/>
      <c r="R1723" s="795"/>
      <c r="S1723" s="795"/>
      <c r="T1723" s="795"/>
      <c r="U1723" s="795"/>
      <c r="V1723" s="795"/>
      <c r="W1723" s="795"/>
      <c r="X1723" s="795"/>
      <c r="Y1723" s="795"/>
      <c r="Z1723" s="795"/>
      <c r="AA1723" s="795"/>
      <c r="AB1723" s="795"/>
      <c r="AC1723" s="795"/>
      <c r="AD1723" s="795"/>
      <c r="AE1723"/>
    </row>
    <row r="1724" spans="1:50" ht="15">
      <c r="B1724" s="794" t="str">
        <f>IF(OR(AK1720&gt;0,AK1721&gt;0,AM1721&gt;0,AO1721&gt;0),"Favor de revisar la suma y consistencia de totales y/o subtotales por filas (numéricos y NS)","")</f>
        <v/>
      </c>
      <c r="C1724" s="794"/>
      <c r="D1724" s="794"/>
      <c r="E1724" s="794"/>
      <c r="F1724" s="794"/>
      <c r="G1724" s="794"/>
      <c r="H1724" s="794"/>
      <c r="I1724" s="794"/>
      <c r="J1724" s="794"/>
      <c r="K1724" s="794"/>
      <c r="L1724" s="794"/>
      <c r="M1724" s="794"/>
      <c r="N1724" s="794"/>
      <c r="O1724" s="794"/>
      <c r="P1724" s="794"/>
      <c r="Q1724" s="794"/>
      <c r="R1724" s="794"/>
      <c r="S1724" s="794"/>
      <c r="T1724" s="794"/>
      <c r="U1724" s="794"/>
      <c r="V1724" s="794"/>
      <c r="W1724" s="794"/>
      <c r="X1724" s="794"/>
      <c r="Y1724" s="794"/>
      <c r="Z1724" s="794"/>
      <c r="AA1724" s="794"/>
      <c r="AB1724" s="794"/>
      <c r="AC1724" s="794"/>
      <c r="AD1724" s="794"/>
      <c r="AE1724"/>
    </row>
    <row r="1725" spans="1:50" ht="15">
      <c r="B1725" s="794" t="str">
        <f>IF(AW1719&gt;0,"Favor de revisar la instrucción 2, debido a que no se cumplen con los criterios mencionados","")</f>
        <v/>
      </c>
      <c r="C1725" s="794"/>
      <c r="D1725" s="794"/>
      <c r="E1725" s="794"/>
      <c r="F1725" s="794"/>
      <c r="G1725" s="794"/>
      <c r="H1725" s="794"/>
      <c r="I1725" s="794"/>
      <c r="J1725" s="794"/>
      <c r="K1725" s="794"/>
      <c r="L1725" s="794"/>
      <c r="M1725" s="794"/>
      <c r="N1725" s="794"/>
      <c r="O1725" s="794"/>
      <c r="P1725" s="794"/>
      <c r="Q1725" s="794"/>
      <c r="R1725" s="794"/>
      <c r="S1725" s="794"/>
      <c r="T1725" s="794"/>
      <c r="U1725" s="794"/>
      <c r="V1725" s="794"/>
      <c r="W1725" s="794"/>
      <c r="X1725" s="794"/>
      <c r="Y1725" s="794"/>
      <c r="Z1725" s="794"/>
      <c r="AA1725" s="794"/>
      <c r="AB1725" s="794"/>
      <c r="AC1725" s="794"/>
      <c r="AD1725" s="794"/>
      <c r="AE1725" s="794"/>
    </row>
    <row r="1726" spans="1:50" ht="15">
      <c r="B1726"/>
      <c r="C1726"/>
      <c r="D1726"/>
      <c r="E1726"/>
      <c r="F1726"/>
      <c r="G1726"/>
      <c r="H1726"/>
      <c r="I1726"/>
      <c r="J1726"/>
      <c r="K1726"/>
      <c r="L1726"/>
      <c r="M1726"/>
      <c r="N1726"/>
      <c r="O1726"/>
      <c r="P1726"/>
      <c r="Q1726"/>
      <c r="R1726"/>
      <c r="S1726"/>
      <c r="T1726"/>
      <c r="U1726"/>
      <c r="V1726"/>
      <c r="W1726"/>
      <c r="X1726"/>
      <c r="Y1726"/>
      <c r="Z1726"/>
      <c r="AA1726"/>
      <c r="AB1726"/>
      <c r="AC1726"/>
      <c r="AD1726"/>
      <c r="AE1726"/>
    </row>
    <row r="1727" spans="1:50" ht="15" customHeight="1">
      <c r="B1727"/>
      <c r="C1727"/>
      <c r="D1727"/>
      <c r="E1727"/>
      <c r="F1727"/>
      <c r="G1727"/>
      <c r="H1727"/>
      <c r="I1727"/>
      <c r="J1727"/>
      <c r="K1727"/>
      <c r="L1727"/>
      <c r="M1727"/>
      <c r="N1727"/>
      <c r="O1727"/>
      <c r="P1727"/>
      <c r="Q1727"/>
      <c r="R1727"/>
      <c r="S1727"/>
      <c r="T1727"/>
      <c r="U1727"/>
      <c r="V1727"/>
      <c r="W1727"/>
      <c r="X1727"/>
      <c r="Y1727"/>
      <c r="Z1727"/>
      <c r="AA1727"/>
      <c r="AB1727"/>
      <c r="AC1727"/>
      <c r="AD1727"/>
      <c r="AE1727"/>
    </row>
    <row r="1728" spans="1:50" ht="15" hidden="1" customHeight="1"/>
    <row r="1729" ht="15" hidden="1" customHeight="1"/>
    <row r="1730" ht="15" hidden="1" customHeight="1"/>
    <row r="1731" ht="15" hidden="1" customHeight="1"/>
    <row r="1732" ht="15" hidden="1" customHeight="1"/>
    <row r="1733" ht="15" hidden="1" customHeight="1"/>
    <row r="1734" ht="15" hidden="1" customHeight="1"/>
    <row r="1735" ht="15" hidden="1" customHeight="1"/>
    <row r="1736" ht="15" hidden="1" customHeight="1"/>
    <row r="1737" ht="15" hidden="1" customHeight="1"/>
    <row r="1738" ht="15" hidden="1" customHeight="1"/>
    <row r="1739" ht="15" hidden="1" customHeight="1"/>
    <row r="1740" ht="15" hidden="1" customHeight="1"/>
    <row r="1741" ht="15" hidden="1" customHeight="1"/>
    <row r="1742" ht="15" hidden="1" customHeight="1"/>
    <row r="1743" ht="15" hidden="1" customHeight="1"/>
    <row r="1744" ht="15" hidden="1" customHeight="1"/>
    <row r="1745" ht="15" hidden="1" customHeight="1"/>
    <row r="1746" ht="15" hidden="1" customHeight="1"/>
    <row r="1747" ht="15" hidden="1" customHeight="1"/>
    <row r="1748" ht="15" hidden="1" customHeight="1"/>
    <row r="1749" ht="15" hidden="1" customHeight="1"/>
    <row r="1750" ht="15" hidden="1" customHeight="1"/>
    <row r="1751" ht="15" hidden="1" customHeight="1"/>
    <row r="1752" ht="15" hidden="1" customHeight="1"/>
    <row r="1753" ht="15" hidden="1" customHeight="1"/>
    <row r="1754" ht="15" hidden="1" customHeight="1"/>
    <row r="1755" ht="15" hidden="1" customHeight="1"/>
    <row r="1756" ht="15" hidden="1" customHeight="1"/>
    <row r="1757" ht="15" hidden="1" customHeight="1"/>
    <row r="1758" ht="15" hidden="1" customHeight="1"/>
    <row r="1759" ht="15" hidden="1" customHeight="1"/>
    <row r="1760" ht="15" hidden="1" customHeight="1"/>
    <row r="1761" ht="15" hidden="1" customHeight="1"/>
    <row r="1762" ht="15" hidden="1" customHeight="1"/>
    <row r="1763" ht="15" hidden="1" customHeight="1"/>
    <row r="1764" ht="15" hidden="1" customHeight="1"/>
    <row r="1765" ht="15" hidden="1" customHeight="1"/>
    <row r="1766" ht="15" hidden="1" customHeight="1"/>
    <row r="1767" ht="15" hidden="1" customHeight="1"/>
    <row r="1768" ht="15" hidden="1" customHeight="1"/>
    <row r="1769" ht="15" hidden="1" customHeight="1"/>
    <row r="1770" ht="15" hidden="1" customHeight="1"/>
    <row r="1771" ht="15" hidden="1" customHeight="1"/>
    <row r="1772" ht="15" hidden="1" customHeight="1"/>
    <row r="1773" ht="15" hidden="1" customHeight="1"/>
    <row r="1774" ht="15" hidden="1" customHeight="1"/>
    <row r="1775" ht="15" hidden="1" customHeight="1"/>
    <row r="1776" ht="15" hidden="1" customHeight="1"/>
    <row r="1777" ht="15" hidden="1" customHeight="1"/>
    <row r="1778" ht="15" hidden="1" customHeight="1"/>
    <row r="1779" ht="15" hidden="1" customHeight="1"/>
    <row r="1780" ht="15" hidden="1" customHeight="1"/>
    <row r="1781" ht="15" hidden="1" customHeight="1"/>
    <row r="1782" ht="15" hidden="1" customHeight="1"/>
    <row r="1783" ht="15" hidden="1" customHeight="1"/>
    <row r="1784" ht="15" hidden="1" customHeight="1"/>
    <row r="1785" ht="15" hidden="1" customHeight="1"/>
    <row r="1786" ht="15" hidden="1" customHeight="1"/>
    <row r="1787" ht="15" hidden="1" customHeight="1"/>
    <row r="1788" ht="15" hidden="1" customHeight="1"/>
    <row r="1789" ht="15" hidden="1" customHeight="1"/>
    <row r="1790" ht="15" hidden="1" customHeight="1"/>
    <row r="1791" ht="15" hidden="1" customHeight="1"/>
    <row r="1792" ht="15" hidden="1" customHeight="1"/>
    <row r="1793" ht="15" hidden="1" customHeight="1"/>
    <row r="1794" ht="15" hidden="1" customHeight="1"/>
    <row r="1795" ht="15" hidden="1" customHeight="1"/>
    <row r="1796" ht="15" hidden="1" customHeight="1"/>
    <row r="1797" ht="15" hidden="1" customHeight="1"/>
    <row r="1798" ht="15" hidden="1" customHeight="1"/>
    <row r="1799" ht="15" hidden="1" customHeight="1"/>
    <row r="1800" ht="15" hidden="1" customHeight="1"/>
    <row r="1801" ht="15" hidden="1" customHeight="1"/>
    <row r="1802" ht="15" hidden="1" customHeight="1"/>
    <row r="1803" ht="15" hidden="1" customHeight="1"/>
    <row r="1804" ht="15" hidden="1" customHeight="1"/>
    <row r="1805" ht="15" hidden="1" customHeight="1"/>
    <row r="1806" ht="15" hidden="1" customHeight="1"/>
    <row r="1807" ht="15" hidden="1" customHeight="1"/>
    <row r="1808" ht="15" hidden="1" customHeight="1"/>
    <row r="1809" ht="15" hidden="1" customHeight="1"/>
    <row r="1810" ht="15" hidden="1" customHeight="1"/>
    <row r="1811" ht="15" hidden="1" customHeight="1"/>
    <row r="1812" ht="15" hidden="1" customHeight="1"/>
    <row r="1813" ht="15" hidden="1" customHeight="1"/>
    <row r="1814" ht="15" hidden="1" customHeight="1"/>
    <row r="1815" ht="15" hidden="1" customHeight="1"/>
    <row r="1816" ht="15" hidden="1" customHeight="1"/>
    <row r="1817" ht="15" hidden="1" customHeight="1"/>
    <row r="1818" ht="15" hidden="1" customHeight="1"/>
    <row r="1819" ht="15" hidden="1" customHeight="1"/>
    <row r="1820" ht="15" hidden="1" customHeight="1"/>
    <row r="1821" ht="15" hidden="1" customHeight="1"/>
    <row r="1822" ht="15" hidden="1" customHeight="1"/>
    <row r="1823" ht="15" hidden="1" customHeight="1"/>
    <row r="1824" ht="15" hidden="1" customHeight="1"/>
    <row r="1825" ht="15" hidden="1" customHeight="1"/>
    <row r="1826" ht="15" hidden="1" customHeight="1"/>
    <row r="1827" ht="15" hidden="1" customHeight="1"/>
    <row r="1828" ht="15" hidden="1" customHeight="1"/>
    <row r="1829" ht="15" hidden="1" customHeight="1"/>
    <row r="1830" ht="15" hidden="1" customHeight="1"/>
    <row r="1831" ht="15" hidden="1" customHeight="1"/>
    <row r="1832" ht="15" hidden="1" customHeight="1"/>
    <row r="1833" ht="15" hidden="1" customHeight="1"/>
    <row r="1834" ht="15" hidden="1" customHeight="1"/>
    <row r="1835" ht="15" hidden="1" customHeight="1"/>
    <row r="1836" ht="15" hidden="1" customHeight="1"/>
    <row r="1837" ht="15" hidden="1" customHeight="1"/>
    <row r="1838" ht="15" hidden="1" customHeight="1"/>
    <row r="1839" ht="15" hidden="1" customHeight="1"/>
    <row r="1840" ht="15" hidden="1" customHeight="1"/>
    <row r="1841" ht="15" hidden="1" customHeight="1"/>
    <row r="1842" ht="15" hidden="1" customHeight="1"/>
    <row r="1843" ht="15" hidden="1" customHeight="1"/>
    <row r="1844" ht="15" hidden="1" customHeight="1"/>
    <row r="1845" ht="15" hidden="1" customHeight="1"/>
    <row r="1846" ht="15" hidden="1" customHeight="1"/>
    <row r="1847" ht="15" hidden="1" customHeight="1"/>
  </sheetData>
  <sheetProtection algorithmName="SHA-512" hashValue="2MEzvmNr+MREFVJ7LZDaRPenQvlyYjHoEVb7QuQtZnC0K0LJ3g2tDgHH6jHEdZVZjQ/FXZOxvF8UfKBN5FPtDQ==" saltValue="j/vOkh6DC+F7n5jd5yI0Mw==" spinCount="100000" sheet="1" objects="1" scenarios="1"/>
  <mergeCells count="2739">
    <mergeCell ref="B1701:AE1701"/>
    <mergeCell ref="AU1708:AW1708"/>
    <mergeCell ref="B1722:AD1722"/>
    <mergeCell ref="B1723:AD1723"/>
    <mergeCell ref="B1724:AD1724"/>
    <mergeCell ref="B1725:AE1725"/>
    <mergeCell ref="AT1602:AT1603"/>
    <mergeCell ref="B1608:AD1608"/>
    <mergeCell ref="B1609:AD1609"/>
    <mergeCell ref="B1610:AD1610"/>
    <mergeCell ref="B1611:AE1611"/>
    <mergeCell ref="B1612:AE1612"/>
    <mergeCell ref="AM1619:AO1619"/>
    <mergeCell ref="B1633:AD1633"/>
    <mergeCell ref="B1634:AD1634"/>
    <mergeCell ref="B1635:AD1635"/>
    <mergeCell ref="B1636:AE1636"/>
    <mergeCell ref="B1637:AE1637"/>
    <mergeCell ref="C1720:AD1720"/>
    <mergeCell ref="C1721:AD1721"/>
    <mergeCell ref="D1716:R1716"/>
    <mergeCell ref="D1717:R1717"/>
    <mergeCell ref="B1703:AD1703"/>
    <mergeCell ref="C1705:AD1705"/>
    <mergeCell ref="C1707:R1709"/>
    <mergeCell ref="S1707:AD1707"/>
    <mergeCell ref="S1708:S1709"/>
    <mergeCell ref="T1708:T1709"/>
    <mergeCell ref="U1708:U1709"/>
    <mergeCell ref="V1708:X1708"/>
    <mergeCell ref="Y1708:AA1708"/>
    <mergeCell ref="AB1708:AD1708"/>
    <mergeCell ref="CY1651:CY1652"/>
    <mergeCell ref="B1697:AD1697"/>
    <mergeCell ref="B1698:AD1698"/>
    <mergeCell ref="B1699:AD1699"/>
    <mergeCell ref="B1700:AE1700"/>
    <mergeCell ref="AU1528:AW1528"/>
    <mergeCell ref="AX1528:AX1529"/>
    <mergeCell ref="B1542:AD1542"/>
    <mergeCell ref="B1543:AD1543"/>
    <mergeCell ref="B1544:AD1544"/>
    <mergeCell ref="B1545:AE1545"/>
    <mergeCell ref="AG1568:AI1568"/>
    <mergeCell ref="AJ1568:AJ1569"/>
    <mergeCell ref="B1582:AD1582"/>
    <mergeCell ref="B1583:AD1583"/>
    <mergeCell ref="B1584:AD1584"/>
    <mergeCell ref="B1585:AE1585"/>
    <mergeCell ref="AU1595:BC1595"/>
    <mergeCell ref="AU1596:AW1596"/>
    <mergeCell ref="AX1596:AZ1596"/>
    <mergeCell ref="BA1596:BC1596"/>
    <mergeCell ref="AU1601:AW1601"/>
    <mergeCell ref="AT1599:AT1600"/>
    <mergeCell ref="M1622:R1622"/>
    <mergeCell ref="D1628:L1628"/>
    <mergeCell ref="M1628:R1628"/>
    <mergeCell ref="S1628:X1628"/>
    <mergeCell ref="Y1628:AD1628"/>
    <mergeCell ref="B1639:AD1639"/>
    <mergeCell ref="B1640:AD1640"/>
    <mergeCell ref="D1556:R1556"/>
    <mergeCell ref="D1557:R1557"/>
    <mergeCell ref="BJ1397:BJ1398"/>
    <mergeCell ref="B1411:AD1411"/>
    <mergeCell ref="B1412:AD1412"/>
    <mergeCell ref="B1413:AD1413"/>
    <mergeCell ref="B1414:AE1414"/>
    <mergeCell ref="B1415:AE1415"/>
    <mergeCell ref="CY1433:CY1434"/>
    <mergeCell ref="B1479:AD1479"/>
    <mergeCell ref="B1480:AD1480"/>
    <mergeCell ref="B1481:AD1481"/>
    <mergeCell ref="B1482:AE1482"/>
    <mergeCell ref="B1483:AE1483"/>
    <mergeCell ref="AG1504:AI1504"/>
    <mergeCell ref="AJ1504:AJ1505"/>
    <mergeCell ref="B1518:AD1518"/>
    <mergeCell ref="BG1331:BI1331"/>
    <mergeCell ref="B1345:AD1345"/>
    <mergeCell ref="B1346:AD1346"/>
    <mergeCell ref="B1347:AD1347"/>
    <mergeCell ref="B1348:AE1348"/>
    <mergeCell ref="AL1355:AN1355"/>
    <mergeCell ref="AO1355:AO1356"/>
    <mergeCell ref="B1369:AD1369"/>
    <mergeCell ref="B1370:AD1370"/>
    <mergeCell ref="B1371:AD1371"/>
    <mergeCell ref="B1372:AE1372"/>
    <mergeCell ref="AG1397:AI1397"/>
    <mergeCell ref="AK1397:AM1397"/>
    <mergeCell ref="AN1397:AP1397"/>
    <mergeCell ref="AQ1397:AS1397"/>
    <mergeCell ref="AT1397:AV1397"/>
    <mergeCell ref="AW1397:AY1397"/>
    <mergeCell ref="AZ1397:BB1397"/>
    <mergeCell ref="BC1397:BE1397"/>
    <mergeCell ref="BF1397:BH1397"/>
    <mergeCell ref="AL1200:AL1201"/>
    <mergeCell ref="B1214:AD1214"/>
    <mergeCell ref="B1215:AD1215"/>
    <mergeCell ref="B1216:AD1216"/>
    <mergeCell ref="B1217:AE1217"/>
    <mergeCell ref="CY1235:CY1236"/>
    <mergeCell ref="B1281:AD1281"/>
    <mergeCell ref="B1282:AD1282"/>
    <mergeCell ref="B1283:AD1283"/>
    <mergeCell ref="B1284:AE1284"/>
    <mergeCell ref="B1285:AE1285"/>
    <mergeCell ref="AG1307:AI1307"/>
    <mergeCell ref="B1321:AD1321"/>
    <mergeCell ref="B1322:AD1322"/>
    <mergeCell ref="B1323:AD1323"/>
    <mergeCell ref="B1324:AE1324"/>
    <mergeCell ref="Y1359:AD1359"/>
    <mergeCell ref="D1360:L1360"/>
    <mergeCell ref="M1360:R1360"/>
    <mergeCell ref="S1360:X1360"/>
    <mergeCell ref="Y1360:AD1360"/>
    <mergeCell ref="D1361:L1361"/>
    <mergeCell ref="M1361:R1361"/>
    <mergeCell ref="S1361:X1361"/>
    <mergeCell ref="Y1361:AD1361"/>
    <mergeCell ref="D1362:L1362"/>
    <mergeCell ref="M1362:R1362"/>
    <mergeCell ref="S1362:X1362"/>
    <mergeCell ref="Y1362:AD1362"/>
    <mergeCell ref="BR1122:BT1122"/>
    <mergeCell ref="BU1122:BW1122"/>
    <mergeCell ref="BX1122:BZ1122"/>
    <mergeCell ref="CA1122:CC1122"/>
    <mergeCell ref="CD1122:CF1122"/>
    <mergeCell ref="CG1122:CI1122"/>
    <mergeCell ref="CK1122:CK1123"/>
    <mergeCell ref="B1149:AE1149"/>
    <mergeCell ref="B1152:AD1152"/>
    <mergeCell ref="B1153:AD1153"/>
    <mergeCell ref="B1154:AD1154"/>
    <mergeCell ref="B1155:AE1155"/>
    <mergeCell ref="B1156:AE1156"/>
    <mergeCell ref="B1186:AD1186"/>
    <mergeCell ref="B1187:AD1187"/>
    <mergeCell ref="B1188:AE1188"/>
    <mergeCell ref="B1189:AE1189"/>
    <mergeCell ref="M1136:O1136"/>
    <mergeCell ref="S1122:U1122"/>
    <mergeCell ref="V1122:X1122"/>
    <mergeCell ref="Y1122:AA1122"/>
    <mergeCell ref="AB1122:AD1122"/>
    <mergeCell ref="AT1078:AV1078"/>
    <mergeCell ref="AW1078:AY1078"/>
    <mergeCell ref="AZ1078:BB1078"/>
    <mergeCell ref="BC1078:BE1078"/>
    <mergeCell ref="BF1078:BH1078"/>
    <mergeCell ref="BI1078:BK1078"/>
    <mergeCell ref="BL1078:BN1078"/>
    <mergeCell ref="BP1078:BP1079"/>
    <mergeCell ref="B1091:AE1091"/>
    <mergeCell ref="B1094:AD1094"/>
    <mergeCell ref="B1095:AD1095"/>
    <mergeCell ref="B1096:AD1096"/>
    <mergeCell ref="B1097:AE1097"/>
    <mergeCell ref="B1098:AE1098"/>
    <mergeCell ref="AG1122:AI1122"/>
    <mergeCell ref="AK1122:AM1122"/>
    <mergeCell ref="AN1122:AP1122"/>
    <mergeCell ref="AQ1122:AS1122"/>
    <mergeCell ref="AT1122:AV1122"/>
    <mergeCell ref="AW1122:AY1122"/>
    <mergeCell ref="AZ1122:BB1122"/>
    <mergeCell ref="BC1122:BE1122"/>
    <mergeCell ref="BF1122:BH1122"/>
    <mergeCell ref="BI1122:BK1122"/>
    <mergeCell ref="BL1122:BN1122"/>
    <mergeCell ref="BO1122:BQ1122"/>
    <mergeCell ref="D1084:L1084"/>
    <mergeCell ref="D1085:L1085"/>
    <mergeCell ref="D1086:L1086"/>
    <mergeCell ref="D1087:L1087"/>
    <mergeCell ref="C1090:E1090"/>
    <mergeCell ref="F1090:AD1090"/>
    <mergeCell ref="B939:AD939"/>
    <mergeCell ref="B940:AD940"/>
    <mergeCell ref="B941:AE941"/>
    <mergeCell ref="B942:AE942"/>
    <mergeCell ref="B943:AE943"/>
    <mergeCell ref="AH951:AH952"/>
    <mergeCell ref="B966:AD966"/>
    <mergeCell ref="AH977:AH978"/>
    <mergeCell ref="B992:AD992"/>
    <mergeCell ref="B1050:AD1050"/>
    <mergeCell ref="B1051:AD1051"/>
    <mergeCell ref="B1052:AD1052"/>
    <mergeCell ref="B1053:AE1053"/>
    <mergeCell ref="AG1078:AI1078"/>
    <mergeCell ref="AK1078:AM1078"/>
    <mergeCell ref="AN1078:AP1078"/>
    <mergeCell ref="AQ1078:AS1078"/>
    <mergeCell ref="D1008:I1008"/>
    <mergeCell ref="D1009:I1009"/>
    <mergeCell ref="D1010:I1010"/>
    <mergeCell ref="D1011:I1011"/>
    <mergeCell ref="M1002:O1004"/>
    <mergeCell ref="P1002:AD1002"/>
    <mergeCell ref="P1003:AD1003"/>
    <mergeCell ref="P1004:R1004"/>
    <mergeCell ref="C946:AD946"/>
    <mergeCell ref="C974:AD974"/>
    <mergeCell ref="C1058:AD1058"/>
    <mergeCell ref="C1059:AD1059"/>
    <mergeCell ref="C1060:AD1060"/>
    <mergeCell ref="B944:AD944"/>
    <mergeCell ref="B945:AD945"/>
    <mergeCell ref="B858:AD858"/>
    <mergeCell ref="B859:AD859"/>
    <mergeCell ref="B860:AE860"/>
    <mergeCell ref="B861:AE861"/>
    <mergeCell ref="AL869:AL870"/>
    <mergeCell ref="B889:AE889"/>
    <mergeCell ref="B891:AE891"/>
    <mergeCell ref="B901:AD901"/>
    <mergeCell ref="B902:AD902"/>
    <mergeCell ref="B903:AE903"/>
    <mergeCell ref="AK915:AM915"/>
    <mergeCell ref="AN915:AN916"/>
    <mergeCell ref="AQ915:AQ916"/>
    <mergeCell ref="AR915:AR916"/>
    <mergeCell ref="B935:AE935"/>
    <mergeCell ref="B938:AD938"/>
    <mergeCell ref="F924:L924"/>
    <mergeCell ref="M924:R924"/>
    <mergeCell ref="S924:X924"/>
    <mergeCell ref="Y924:Z924"/>
    <mergeCell ref="AA924:AB924"/>
    <mergeCell ref="AC924:AD924"/>
    <mergeCell ref="AA925:AB925"/>
    <mergeCell ref="AC925:AD925"/>
    <mergeCell ref="F926:L926"/>
    <mergeCell ref="M926:R926"/>
    <mergeCell ref="S926:X926"/>
    <mergeCell ref="Y926:Z926"/>
    <mergeCell ref="AA926:AB926"/>
    <mergeCell ref="AC926:AD926"/>
    <mergeCell ref="F927:L927"/>
    <mergeCell ref="M927:R927"/>
    <mergeCell ref="C1420:AD1420"/>
    <mergeCell ref="C1421:AD1421"/>
    <mergeCell ref="C1525:AD1525"/>
    <mergeCell ref="B1614:AD1614"/>
    <mergeCell ref="C1615:AD1615"/>
    <mergeCell ref="C1616:AD1616"/>
    <mergeCell ref="C1617:AD1617"/>
    <mergeCell ref="C1704:AD1704"/>
    <mergeCell ref="M1629:R1629"/>
    <mergeCell ref="S1629:X1629"/>
    <mergeCell ref="Y1629:AD1629"/>
    <mergeCell ref="C1631:AD1631"/>
    <mergeCell ref="C1632:AD1632"/>
    <mergeCell ref="B1644:AD1644"/>
    <mergeCell ref="C1645:AD1645"/>
    <mergeCell ref="S1624:X1624"/>
    <mergeCell ref="Y1624:AD1624"/>
    <mergeCell ref="D1625:L1625"/>
    <mergeCell ref="M1625:R1625"/>
    <mergeCell ref="S1625:X1625"/>
    <mergeCell ref="Y1625:AD1625"/>
    <mergeCell ref="D1626:L1626"/>
    <mergeCell ref="M1626:R1626"/>
    <mergeCell ref="S1626:X1626"/>
    <mergeCell ref="Y1626:AD1626"/>
    <mergeCell ref="D1627:L1627"/>
    <mergeCell ref="M1627:R1627"/>
    <mergeCell ref="S1627:X1627"/>
    <mergeCell ref="Y1627:AD1627"/>
    <mergeCell ref="C1641:AD1641"/>
    <mergeCell ref="C1642:AD1642"/>
    <mergeCell ref="D1622:L1622"/>
    <mergeCell ref="C1419:AD1419"/>
    <mergeCell ref="B1426:AD1426"/>
    <mergeCell ref="C1427:AD1427"/>
    <mergeCell ref="B1524:AD1524"/>
    <mergeCell ref="B1548:AD1548"/>
    <mergeCell ref="C1619:L1620"/>
    <mergeCell ref="M1619:AD1619"/>
    <mergeCell ref="M1620:R1620"/>
    <mergeCell ref="S1620:X1620"/>
    <mergeCell ref="Y1620:AD1620"/>
    <mergeCell ref="D1621:L1621"/>
    <mergeCell ref="M1621:R1621"/>
    <mergeCell ref="S1621:X1621"/>
    <mergeCell ref="Y1621:AD1621"/>
    <mergeCell ref="D1598:R1598"/>
    <mergeCell ref="D1599:R1599"/>
    <mergeCell ref="D1600:R1600"/>
    <mergeCell ref="D1601:R1601"/>
    <mergeCell ref="D1602:R1602"/>
    <mergeCell ref="D1603:R1603"/>
    <mergeCell ref="D1562:R1562"/>
    <mergeCell ref="AA1565:AD1565"/>
    <mergeCell ref="C1566:O1569"/>
    <mergeCell ref="P1566:AD1566"/>
    <mergeCell ref="P1567:R1568"/>
    <mergeCell ref="S1567:U1568"/>
    <mergeCell ref="V1567:X1568"/>
    <mergeCell ref="Y1567:AA1568"/>
    <mergeCell ref="AB1567:AD1568"/>
    <mergeCell ref="D1570:O1570"/>
    <mergeCell ref="D1530:R1530"/>
    <mergeCell ref="D1555:R1555"/>
    <mergeCell ref="D1558:R1558"/>
    <mergeCell ref="D1559:R1559"/>
    <mergeCell ref="D1560:R1560"/>
    <mergeCell ref="D1561:R1561"/>
    <mergeCell ref="M1365:R1365"/>
    <mergeCell ref="S1365:X1365"/>
    <mergeCell ref="Y1365:AD1365"/>
    <mergeCell ref="C1367:AD1367"/>
    <mergeCell ref="C1368:AD1368"/>
    <mergeCell ref="S1622:X1622"/>
    <mergeCell ref="Y1622:AD1622"/>
    <mergeCell ref="D1623:L1623"/>
    <mergeCell ref="M1623:R1623"/>
    <mergeCell ref="S1623:X1623"/>
    <mergeCell ref="Y1623:AD1623"/>
    <mergeCell ref="D1624:L1624"/>
    <mergeCell ref="M1624:R1624"/>
    <mergeCell ref="D1571:O1571"/>
    <mergeCell ref="D1572:O1572"/>
    <mergeCell ref="D1573:O1573"/>
    <mergeCell ref="B1418:AD1418"/>
    <mergeCell ref="B1417:AD1417"/>
    <mergeCell ref="D1386:R1386"/>
    <mergeCell ref="C1551:R1554"/>
    <mergeCell ref="S1551:AD1551"/>
    <mergeCell ref="S1552:S1554"/>
    <mergeCell ref="T1552:T1554"/>
    <mergeCell ref="U1552:U1554"/>
    <mergeCell ref="V1552:AD1552"/>
    <mergeCell ref="V1553:X1553"/>
    <mergeCell ref="Y1553:AA1553"/>
    <mergeCell ref="AB1553:AD1553"/>
    <mergeCell ref="D1363:L1363"/>
    <mergeCell ref="M1363:R1363"/>
    <mergeCell ref="S1363:X1363"/>
    <mergeCell ref="Y1363:AD1363"/>
    <mergeCell ref="D1387:R1387"/>
    <mergeCell ref="D1388:R1388"/>
    <mergeCell ref="D1389:R1389"/>
    <mergeCell ref="D1390:R1390"/>
    <mergeCell ref="D1391:R1391"/>
    <mergeCell ref="V1381:AD1381"/>
    <mergeCell ref="V1382:X1382"/>
    <mergeCell ref="C932:E932"/>
    <mergeCell ref="F932:L932"/>
    <mergeCell ref="M932:R932"/>
    <mergeCell ref="S932:X932"/>
    <mergeCell ref="Y932:Z932"/>
    <mergeCell ref="AA932:AB932"/>
    <mergeCell ref="AC932:AD932"/>
    <mergeCell ref="C1224:AD1224"/>
    <mergeCell ref="C1225:AD1225"/>
    <mergeCell ref="B1227:AD1227"/>
    <mergeCell ref="C1228:AD1228"/>
    <mergeCell ref="C1355:L1356"/>
    <mergeCell ref="M1355:AD1355"/>
    <mergeCell ref="M1356:R1356"/>
    <mergeCell ref="S1356:X1356"/>
    <mergeCell ref="Y1356:AD1356"/>
    <mergeCell ref="D1130:L1130"/>
    <mergeCell ref="D1131:L1131"/>
    <mergeCell ref="AA1134:AD1134"/>
    <mergeCell ref="C1135:L1137"/>
    <mergeCell ref="M1135:AD1135"/>
    <mergeCell ref="C1229:AD1229"/>
    <mergeCell ref="C1288:AD1288"/>
    <mergeCell ref="M929:R929"/>
    <mergeCell ref="S929:X929"/>
    <mergeCell ref="Y929:Z929"/>
    <mergeCell ref="AA929:AB929"/>
    <mergeCell ref="AC929:AD929"/>
    <mergeCell ref="C930:D931"/>
    <mergeCell ref="F930:L930"/>
    <mergeCell ref="M930:R930"/>
    <mergeCell ref="S930:X930"/>
    <mergeCell ref="Y930:Z930"/>
    <mergeCell ref="AA930:AB930"/>
    <mergeCell ref="AC930:AD930"/>
    <mergeCell ref="F931:L931"/>
    <mergeCell ref="M931:R931"/>
    <mergeCell ref="S931:X931"/>
    <mergeCell ref="Y931:Z931"/>
    <mergeCell ref="AA931:AB931"/>
    <mergeCell ref="AC931:AD931"/>
    <mergeCell ref="V1019:X1020"/>
    <mergeCell ref="Y1019:AA1020"/>
    <mergeCell ref="D1006:I1006"/>
    <mergeCell ref="D1007:I1007"/>
    <mergeCell ref="D1113:L1113"/>
    <mergeCell ref="D1114:L1114"/>
    <mergeCell ref="D1115:L1115"/>
    <mergeCell ref="C925:D929"/>
    <mergeCell ref="F925:L925"/>
    <mergeCell ref="M925:R925"/>
    <mergeCell ref="S925:X925"/>
    <mergeCell ref="Y925:Z925"/>
    <mergeCell ref="S927:X927"/>
    <mergeCell ref="Y927:Z927"/>
    <mergeCell ref="AA927:AB927"/>
    <mergeCell ref="AC927:AD927"/>
    <mergeCell ref="F928:L928"/>
    <mergeCell ref="M928:R928"/>
    <mergeCell ref="S928:X928"/>
    <mergeCell ref="Y928:Z928"/>
    <mergeCell ref="AA928:AB928"/>
    <mergeCell ref="AC928:AD928"/>
    <mergeCell ref="F929:L929"/>
    <mergeCell ref="F921:L921"/>
    <mergeCell ref="M921:R921"/>
    <mergeCell ref="S921:X921"/>
    <mergeCell ref="Y921:Z921"/>
    <mergeCell ref="AA921:AB921"/>
    <mergeCell ref="AC921:AD921"/>
    <mergeCell ref="F922:L922"/>
    <mergeCell ref="M922:R922"/>
    <mergeCell ref="S922:X922"/>
    <mergeCell ref="Y922:Z922"/>
    <mergeCell ref="AA922:AB922"/>
    <mergeCell ref="AC922:AD922"/>
    <mergeCell ref="F923:L923"/>
    <mergeCell ref="M923:R923"/>
    <mergeCell ref="S923:X923"/>
    <mergeCell ref="Y923:Z923"/>
    <mergeCell ref="AA923:AB923"/>
    <mergeCell ref="AC923:AD923"/>
    <mergeCell ref="AC917:AD917"/>
    <mergeCell ref="F918:L918"/>
    <mergeCell ref="M918:R918"/>
    <mergeCell ref="S918:X918"/>
    <mergeCell ref="Y918:Z918"/>
    <mergeCell ref="AA918:AB918"/>
    <mergeCell ref="AC918:AD918"/>
    <mergeCell ref="F919:L919"/>
    <mergeCell ref="M919:R919"/>
    <mergeCell ref="S919:X919"/>
    <mergeCell ref="Y919:Z919"/>
    <mergeCell ref="AA919:AB919"/>
    <mergeCell ref="AC919:AD919"/>
    <mergeCell ref="F920:L920"/>
    <mergeCell ref="M920:R920"/>
    <mergeCell ref="S920:X920"/>
    <mergeCell ref="Y920:Z920"/>
    <mergeCell ref="AA920:AB920"/>
    <mergeCell ref="AC920:AD920"/>
    <mergeCell ref="D768:L768"/>
    <mergeCell ref="M768:R768"/>
    <mergeCell ref="S768:V768"/>
    <mergeCell ref="W768:Z768"/>
    <mergeCell ref="AA768:AD768"/>
    <mergeCell ref="D769:L769"/>
    <mergeCell ref="M769:R769"/>
    <mergeCell ref="S769:V769"/>
    <mergeCell ref="W769:Z769"/>
    <mergeCell ref="AA769:AD769"/>
    <mergeCell ref="D770:L770"/>
    <mergeCell ref="M770:R770"/>
    <mergeCell ref="S770:V770"/>
    <mergeCell ref="W770:Z770"/>
    <mergeCell ref="AA770:AD770"/>
    <mergeCell ref="D771:L771"/>
    <mergeCell ref="M771:R771"/>
    <mergeCell ref="S771:V771"/>
    <mergeCell ref="W771:Z771"/>
    <mergeCell ref="AA771:AD771"/>
    <mergeCell ref="D764:L764"/>
    <mergeCell ref="M764:R764"/>
    <mergeCell ref="S764:V764"/>
    <mergeCell ref="W764:Z764"/>
    <mergeCell ref="AA764:AD764"/>
    <mergeCell ref="D765:L765"/>
    <mergeCell ref="M765:R765"/>
    <mergeCell ref="S765:V765"/>
    <mergeCell ref="W765:Z765"/>
    <mergeCell ref="AA765:AD765"/>
    <mergeCell ref="D766:L766"/>
    <mergeCell ref="M766:R766"/>
    <mergeCell ref="S766:V766"/>
    <mergeCell ref="W766:Z766"/>
    <mergeCell ref="AA766:AD766"/>
    <mergeCell ref="D767:L767"/>
    <mergeCell ref="M767:R767"/>
    <mergeCell ref="S767:V767"/>
    <mergeCell ref="W767:Z767"/>
    <mergeCell ref="AA767:AD767"/>
    <mergeCell ref="D760:L760"/>
    <mergeCell ref="M760:R760"/>
    <mergeCell ref="S760:V760"/>
    <mergeCell ref="W760:Z760"/>
    <mergeCell ref="AA760:AD760"/>
    <mergeCell ref="D761:L761"/>
    <mergeCell ref="M761:R761"/>
    <mergeCell ref="S761:V761"/>
    <mergeCell ref="W761:Z761"/>
    <mergeCell ref="AA761:AD761"/>
    <mergeCell ref="D762:L762"/>
    <mergeCell ref="M762:R762"/>
    <mergeCell ref="S762:V762"/>
    <mergeCell ref="W762:Z762"/>
    <mergeCell ref="AA762:AD762"/>
    <mergeCell ref="D763:L763"/>
    <mergeCell ref="M763:R763"/>
    <mergeCell ref="S763:V763"/>
    <mergeCell ref="W763:Z763"/>
    <mergeCell ref="AA763:AD763"/>
    <mergeCell ref="D756:L756"/>
    <mergeCell ref="M756:R756"/>
    <mergeCell ref="S756:V756"/>
    <mergeCell ref="W756:Z756"/>
    <mergeCell ref="AA756:AD756"/>
    <mergeCell ref="D757:L757"/>
    <mergeCell ref="M757:R757"/>
    <mergeCell ref="S757:V757"/>
    <mergeCell ref="W757:Z757"/>
    <mergeCell ref="AA757:AD757"/>
    <mergeCell ref="D758:L758"/>
    <mergeCell ref="M758:R758"/>
    <mergeCell ref="S758:V758"/>
    <mergeCell ref="W758:Z758"/>
    <mergeCell ref="AA758:AD758"/>
    <mergeCell ref="D759:L759"/>
    <mergeCell ref="M759:R759"/>
    <mergeCell ref="S759:V759"/>
    <mergeCell ref="W759:Z759"/>
    <mergeCell ref="AA759:AD759"/>
    <mergeCell ref="D752:L752"/>
    <mergeCell ref="M752:R752"/>
    <mergeCell ref="S752:V752"/>
    <mergeCell ref="W752:Z752"/>
    <mergeCell ref="AA752:AD752"/>
    <mergeCell ref="D753:L753"/>
    <mergeCell ref="M753:R753"/>
    <mergeCell ref="S753:V753"/>
    <mergeCell ref="W753:Z753"/>
    <mergeCell ref="AA753:AD753"/>
    <mergeCell ref="D754:L754"/>
    <mergeCell ref="M754:R754"/>
    <mergeCell ref="S754:V754"/>
    <mergeCell ref="W754:Z754"/>
    <mergeCell ref="AA754:AD754"/>
    <mergeCell ref="D755:L755"/>
    <mergeCell ref="M755:R755"/>
    <mergeCell ref="S755:V755"/>
    <mergeCell ref="W755:Z755"/>
    <mergeCell ref="AA755:AD755"/>
    <mergeCell ref="D748:L748"/>
    <mergeCell ref="M748:R748"/>
    <mergeCell ref="S748:V748"/>
    <mergeCell ref="W748:Z748"/>
    <mergeCell ref="AA748:AD748"/>
    <mergeCell ref="D749:L749"/>
    <mergeCell ref="M749:R749"/>
    <mergeCell ref="S749:V749"/>
    <mergeCell ref="W749:Z749"/>
    <mergeCell ref="AA749:AD749"/>
    <mergeCell ref="D750:L750"/>
    <mergeCell ref="M750:R750"/>
    <mergeCell ref="S750:V750"/>
    <mergeCell ref="W750:Z750"/>
    <mergeCell ref="AA750:AD750"/>
    <mergeCell ref="D751:L751"/>
    <mergeCell ref="M751:R751"/>
    <mergeCell ref="S751:V751"/>
    <mergeCell ref="W751:Z751"/>
    <mergeCell ref="AA751:AD751"/>
    <mergeCell ref="D744:L744"/>
    <mergeCell ref="M744:R744"/>
    <mergeCell ref="S744:V744"/>
    <mergeCell ref="W744:Z744"/>
    <mergeCell ref="AA744:AD744"/>
    <mergeCell ref="D745:L745"/>
    <mergeCell ref="M745:R745"/>
    <mergeCell ref="S745:V745"/>
    <mergeCell ref="W745:Z745"/>
    <mergeCell ref="AA745:AD745"/>
    <mergeCell ref="D746:L746"/>
    <mergeCell ref="M746:R746"/>
    <mergeCell ref="S746:V746"/>
    <mergeCell ref="W746:Z746"/>
    <mergeCell ref="AA746:AD746"/>
    <mergeCell ref="D747:L747"/>
    <mergeCell ref="M747:R747"/>
    <mergeCell ref="S747:V747"/>
    <mergeCell ref="W747:Z747"/>
    <mergeCell ref="AA747:AD747"/>
    <mergeCell ref="D740:L740"/>
    <mergeCell ref="M740:R740"/>
    <mergeCell ref="S740:V740"/>
    <mergeCell ref="W740:Z740"/>
    <mergeCell ref="AA740:AD740"/>
    <mergeCell ref="D741:L741"/>
    <mergeCell ref="M741:R741"/>
    <mergeCell ref="S741:V741"/>
    <mergeCell ref="W741:Z741"/>
    <mergeCell ref="AA741:AD741"/>
    <mergeCell ref="D742:L742"/>
    <mergeCell ref="M742:R742"/>
    <mergeCell ref="S742:V742"/>
    <mergeCell ref="W742:Z742"/>
    <mergeCell ref="AA742:AD742"/>
    <mergeCell ref="D743:L743"/>
    <mergeCell ref="M743:R743"/>
    <mergeCell ref="S743:V743"/>
    <mergeCell ref="W743:Z743"/>
    <mergeCell ref="AA743:AD743"/>
    <mergeCell ref="C567:E567"/>
    <mergeCell ref="F567:AD567"/>
    <mergeCell ref="C569:AD569"/>
    <mergeCell ref="C570:AD570"/>
    <mergeCell ref="C731:AD731"/>
    <mergeCell ref="C736:L737"/>
    <mergeCell ref="M736:R737"/>
    <mergeCell ref="S736:AD736"/>
    <mergeCell ref="S737:V737"/>
    <mergeCell ref="W737:Z737"/>
    <mergeCell ref="AA737:AD737"/>
    <mergeCell ref="D557:F557"/>
    <mergeCell ref="D558:F558"/>
    <mergeCell ref="D559:F559"/>
    <mergeCell ref="D560:F560"/>
    <mergeCell ref="D561:F561"/>
    <mergeCell ref="D562:F562"/>
    <mergeCell ref="D563:F563"/>
    <mergeCell ref="D564:F564"/>
    <mergeCell ref="D709:L709"/>
    <mergeCell ref="M709:O709"/>
    <mergeCell ref="P709:R709"/>
    <mergeCell ref="S709:U709"/>
    <mergeCell ref="V709:X709"/>
    <mergeCell ref="Y709:AA709"/>
    <mergeCell ref="AB709:AD709"/>
    <mergeCell ref="D710:L710"/>
    <mergeCell ref="M710:O710"/>
    <mergeCell ref="P710:R710"/>
    <mergeCell ref="S710:U710"/>
    <mergeCell ref="V710:X710"/>
    <mergeCell ref="Y710:AA710"/>
    <mergeCell ref="C542:E542"/>
    <mergeCell ref="F542:AD542"/>
    <mergeCell ref="C544:AD544"/>
    <mergeCell ref="C545:AD545"/>
    <mergeCell ref="C554:F556"/>
    <mergeCell ref="G554:AD554"/>
    <mergeCell ref="G555:G556"/>
    <mergeCell ref="H555:H556"/>
    <mergeCell ref="I555:I556"/>
    <mergeCell ref="J555:L555"/>
    <mergeCell ref="M555:O555"/>
    <mergeCell ref="P555:R555"/>
    <mergeCell ref="S555:U555"/>
    <mergeCell ref="V555:X555"/>
    <mergeCell ref="Y555:AA555"/>
    <mergeCell ref="AB555:AD555"/>
    <mergeCell ref="D532:F532"/>
    <mergeCell ref="D533:F533"/>
    <mergeCell ref="D534:F534"/>
    <mergeCell ref="D535:F535"/>
    <mergeCell ref="D536:F536"/>
    <mergeCell ref="D537:F537"/>
    <mergeCell ref="D538:F538"/>
    <mergeCell ref="D539:F539"/>
    <mergeCell ref="C517:E517"/>
    <mergeCell ref="F517:AD517"/>
    <mergeCell ref="C519:AD519"/>
    <mergeCell ref="C520:AD520"/>
    <mergeCell ref="C529:F531"/>
    <mergeCell ref="G529:AD529"/>
    <mergeCell ref="G530:G531"/>
    <mergeCell ref="H530:H531"/>
    <mergeCell ref="I530:I531"/>
    <mergeCell ref="J530:L530"/>
    <mergeCell ref="M530:O530"/>
    <mergeCell ref="P530:R530"/>
    <mergeCell ref="S530:U530"/>
    <mergeCell ref="V530:X530"/>
    <mergeCell ref="Y530:AA530"/>
    <mergeCell ref="AB530:AD530"/>
    <mergeCell ref="D511:F511"/>
    <mergeCell ref="D512:F512"/>
    <mergeCell ref="D513:F513"/>
    <mergeCell ref="D514:F514"/>
    <mergeCell ref="B518:AE518"/>
    <mergeCell ref="B521:AD521"/>
    <mergeCell ref="B522:AD522"/>
    <mergeCell ref="B523:AD523"/>
    <mergeCell ref="B524:AE524"/>
    <mergeCell ref="C500:AD500"/>
    <mergeCell ref="C504:F506"/>
    <mergeCell ref="G504:AD504"/>
    <mergeCell ref="G505:G506"/>
    <mergeCell ref="H505:H506"/>
    <mergeCell ref="I505:I506"/>
    <mergeCell ref="J505:L505"/>
    <mergeCell ref="M505:O505"/>
    <mergeCell ref="P505:R505"/>
    <mergeCell ref="S505:U505"/>
    <mergeCell ref="V505:X505"/>
    <mergeCell ref="Y505:AA505"/>
    <mergeCell ref="AB505:AD505"/>
    <mergeCell ref="D507:F507"/>
    <mergeCell ref="D508:F508"/>
    <mergeCell ref="D509:F509"/>
    <mergeCell ref="D510:F510"/>
    <mergeCell ref="AB710:AD710"/>
    <mergeCell ref="C786:AD786"/>
    <mergeCell ref="C1197:AD1197"/>
    <mergeCell ref="C1102:AD1102"/>
    <mergeCell ref="C1104:AD1104"/>
    <mergeCell ref="C1148:E1148"/>
    <mergeCell ref="F1148:AD1148"/>
    <mergeCell ref="C1159:AD1159"/>
    <mergeCell ref="B1193:AD1193"/>
    <mergeCell ref="C1194:AD1194"/>
    <mergeCell ref="C1198:AD1198"/>
    <mergeCell ref="C1223:AD1223"/>
    <mergeCell ref="C1103:AD1103"/>
    <mergeCell ref="AA1106:AD1106"/>
    <mergeCell ref="C934:E934"/>
    <mergeCell ref="F934:AD934"/>
    <mergeCell ref="D706:L706"/>
    <mergeCell ref="M706:O706"/>
    <mergeCell ref="P706:R706"/>
    <mergeCell ref="S706:U706"/>
    <mergeCell ref="V706:X706"/>
    <mergeCell ref="Y706:AA706"/>
    <mergeCell ref="AB706:AD706"/>
    <mergeCell ref="D707:L707"/>
    <mergeCell ref="M707:O707"/>
    <mergeCell ref="P707:R707"/>
    <mergeCell ref="S707:U707"/>
    <mergeCell ref="V707:X707"/>
    <mergeCell ref="Y707:AA707"/>
    <mergeCell ref="AB707:AD707"/>
    <mergeCell ref="D708:L708"/>
    <mergeCell ref="M708:O708"/>
    <mergeCell ref="P708:R708"/>
    <mergeCell ref="S708:U708"/>
    <mergeCell ref="V708:X708"/>
    <mergeCell ref="Y708:AA708"/>
    <mergeCell ref="AB708:AD708"/>
    <mergeCell ref="D703:L703"/>
    <mergeCell ref="M703:O703"/>
    <mergeCell ref="P703:R703"/>
    <mergeCell ref="S703:U703"/>
    <mergeCell ref="V703:X703"/>
    <mergeCell ref="Y703:AA703"/>
    <mergeCell ref="AB703:AD703"/>
    <mergeCell ref="D704:L704"/>
    <mergeCell ref="M704:O704"/>
    <mergeCell ref="P704:R704"/>
    <mergeCell ref="S704:U704"/>
    <mergeCell ref="V704:X704"/>
    <mergeCell ref="Y704:AA704"/>
    <mergeCell ref="AB704:AD704"/>
    <mergeCell ref="D705:L705"/>
    <mergeCell ref="M705:O705"/>
    <mergeCell ref="P705:R705"/>
    <mergeCell ref="S705:U705"/>
    <mergeCell ref="V705:X705"/>
    <mergeCell ref="Y705:AA705"/>
    <mergeCell ref="AB705:AD705"/>
    <mergeCell ref="M700:O700"/>
    <mergeCell ref="P700:R700"/>
    <mergeCell ref="S700:U700"/>
    <mergeCell ref="V700:X700"/>
    <mergeCell ref="Y700:AA700"/>
    <mergeCell ref="AB700:AD700"/>
    <mergeCell ref="D701:L701"/>
    <mergeCell ref="M701:O701"/>
    <mergeCell ref="P701:R701"/>
    <mergeCell ref="S701:U701"/>
    <mergeCell ref="V701:X701"/>
    <mergeCell ref="Y701:AA701"/>
    <mergeCell ref="AB701:AD701"/>
    <mergeCell ref="D702:L702"/>
    <mergeCell ref="M702:O702"/>
    <mergeCell ref="P702:R702"/>
    <mergeCell ref="S702:U702"/>
    <mergeCell ref="V702:X702"/>
    <mergeCell ref="Y702:AA702"/>
    <mergeCell ref="AB702:AD702"/>
    <mergeCell ref="D700:L700"/>
    <mergeCell ref="D1710:R1710"/>
    <mergeCell ref="D1711:R1711"/>
    <mergeCell ref="D1712:R1712"/>
    <mergeCell ref="D1713:R1713"/>
    <mergeCell ref="D1714:R1714"/>
    <mergeCell ref="D1715:R1715"/>
    <mergeCell ref="D1116:L1116"/>
    <mergeCell ref="D1117:L1117"/>
    <mergeCell ref="AA1120:AD1120"/>
    <mergeCell ref="V1108:X1108"/>
    <mergeCell ref="Y1108:AA1108"/>
    <mergeCell ref="AB1108:AD1108"/>
    <mergeCell ref="D1110:L1110"/>
    <mergeCell ref="D1111:L1111"/>
    <mergeCell ref="D1112:L1112"/>
    <mergeCell ref="C1107:L1109"/>
    <mergeCell ref="M1107:AD1107"/>
    <mergeCell ref="M1108:M1109"/>
    <mergeCell ref="N1108:N1109"/>
    <mergeCell ref="O1108:O1109"/>
    <mergeCell ref="D1124:L1124"/>
    <mergeCell ref="D1125:L1125"/>
    <mergeCell ref="D1126:L1126"/>
    <mergeCell ref="D1127:L1127"/>
    <mergeCell ref="D1128:L1128"/>
    <mergeCell ref="D1129:L1129"/>
    <mergeCell ref="C1121:L1123"/>
    <mergeCell ref="M1121:AD1121"/>
    <mergeCell ref="M1122:O1122"/>
    <mergeCell ref="P1122:R1122"/>
    <mergeCell ref="C1606:AD1606"/>
    <mergeCell ref="C1607:AD1607"/>
    <mergeCell ref="M840:R840"/>
    <mergeCell ref="S840:X840"/>
    <mergeCell ref="Y840:AD840"/>
    <mergeCell ref="D841:L841"/>
    <mergeCell ref="M841:R841"/>
    <mergeCell ref="S841:X841"/>
    <mergeCell ref="Y841:AD841"/>
    <mergeCell ref="C866:AD866"/>
    <mergeCell ref="C870:L870"/>
    <mergeCell ref="M870:R870"/>
    <mergeCell ref="S870:X870"/>
    <mergeCell ref="Y870:AD870"/>
    <mergeCell ref="C853:F853"/>
    <mergeCell ref="G853:AD853"/>
    <mergeCell ref="C855:AD855"/>
    <mergeCell ref="C856:AD856"/>
    <mergeCell ref="D850:L850"/>
    <mergeCell ref="M850:R850"/>
    <mergeCell ref="D846:L846"/>
    <mergeCell ref="M846:R846"/>
    <mergeCell ref="S846:X846"/>
    <mergeCell ref="Y846:AD846"/>
    <mergeCell ref="D847:L847"/>
    <mergeCell ref="M847:R847"/>
    <mergeCell ref="S847:X847"/>
    <mergeCell ref="Y847:AD847"/>
    <mergeCell ref="D844:L844"/>
    <mergeCell ref="M844:R844"/>
    <mergeCell ref="S844:X844"/>
    <mergeCell ref="Y844:AD844"/>
    <mergeCell ref="D845:L845"/>
    <mergeCell ref="M845:R845"/>
    <mergeCell ref="B948:AD948"/>
    <mergeCell ref="B950:AD950"/>
    <mergeCell ref="C951:AD951"/>
    <mergeCell ref="D1012:I1012"/>
    <mergeCell ref="D1013:I1013"/>
    <mergeCell ref="AA1016:AD1016"/>
    <mergeCell ref="C1017:F1021"/>
    <mergeCell ref="G1017:AD1017"/>
    <mergeCell ref="G1018:AD1018"/>
    <mergeCell ref="G1019:R1019"/>
    <mergeCell ref="S1019:U1020"/>
    <mergeCell ref="D959:AD959"/>
    <mergeCell ref="L960:AD960"/>
    <mergeCell ref="D1040:F1040"/>
    <mergeCell ref="D1041:F1041"/>
    <mergeCell ref="D820:L820"/>
    <mergeCell ref="M820:R820"/>
    <mergeCell ref="S820:X820"/>
    <mergeCell ref="Y820:AD820"/>
    <mergeCell ref="C964:AD964"/>
    <mergeCell ref="C965:AD965"/>
    <mergeCell ref="B972:AD972"/>
    <mergeCell ref="L1002:L1005"/>
    <mergeCell ref="B973:AD973"/>
    <mergeCell ref="B976:AD976"/>
    <mergeCell ref="C977:AD977"/>
    <mergeCell ref="C978:AD978"/>
    <mergeCell ref="N986:AD986"/>
    <mergeCell ref="C952:AD952"/>
    <mergeCell ref="C835:L836"/>
    <mergeCell ref="M835:AD835"/>
    <mergeCell ref="M836:R836"/>
    <mergeCell ref="S836:X836"/>
    <mergeCell ref="Y836:AD836"/>
    <mergeCell ref="D837:L837"/>
    <mergeCell ref="M837:R837"/>
    <mergeCell ref="S837:X837"/>
    <mergeCell ref="Y837:AD837"/>
    <mergeCell ref="D842:L842"/>
    <mergeCell ref="M842:R842"/>
    <mergeCell ref="S842:X842"/>
    <mergeCell ref="Y842:AD842"/>
    <mergeCell ref="D843:L843"/>
    <mergeCell ref="M843:R843"/>
    <mergeCell ref="S843:X843"/>
    <mergeCell ref="Y843:AD843"/>
    <mergeCell ref="D840:L840"/>
    <mergeCell ref="C1594:R1597"/>
    <mergeCell ref="S1594:AD1594"/>
    <mergeCell ref="S1595:AA1595"/>
    <mergeCell ref="AB1595:AD1596"/>
    <mergeCell ref="S1596:U1596"/>
    <mergeCell ref="V1596:X1596"/>
    <mergeCell ref="Y1596:AA1596"/>
    <mergeCell ref="D1531:R1531"/>
    <mergeCell ref="D1532:R1532"/>
    <mergeCell ref="D1533:R1533"/>
    <mergeCell ref="D1534:R1534"/>
    <mergeCell ref="D1535:R1535"/>
    <mergeCell ref="D1536:R1536"/>
    <mergeCell ref="D1537:R1537"/>
    <mergeCell ref="C1540:AD1540"/>
    <mergeCell ref="C1541:AD1541"/>
    <mergeCell ref="AA1550:AD1550"/>
    <mergeCell ref="C822:AD822"/>
    <mergeCell ref="C823:AD823"/>
    <mergeCell ref="C831:AD831"/>
    <mergeCell ref="C832:AD832"/>
    <mergeCell ref="C833:AD833"/>
    <mergeCell ref="B815:AD815"/>
    <mergeCell ref="C936:AD936"/>
    <mergeCell ref="C937:AD937"/>
    <mergeCell ref="B830:AD830"/>
    <mergeCell ref="C909:AD909"/>
    <mergeCell ref="C915:L916"/>
    <mergeCell ref="M915:R916"/>
    <mergeCell ref="S915:X916"/>
    <mergeCell ref="Y915:AD915"/>
    <mergeCell ref="Y916:Z916"/>
    <mergeCell ref="AA916:AB916"/>
    <mergeCell ref="AC916:AD916"/>
    <mergeCell ref="C917:D924"/>
    <mergeCell ref="F917:L917"/>
    <mergeCell ref="M917:R917"/>
    <mergeCell ref="S917:X917"/>
    <mergeCell ref="Y917:Z917"/>
    <mergeCell ref="AA917:AB917"/>
    <mergeCell ref="C817:L818"/>
    <mergeCell ref="M817:AD817"/>
    <mergeCell ref="M848:R848"/>
    <mergeCell ref="S848:X848"/>
    <mergeCell ref="Y848:AD848"/>
    <mergeCell ref="D849:L849"/>
    <mergeCell ref="M849:R849"/>
    <mergeCell ref="S849:X849"/>
    <mergeCell ref="Y849:AD849"/>
    <mergeCell ref="D1574:O1574"/>
    <mergeCell ref="D1575:O1575"/>
    <mergeCell ref="D1576:O1576"/>
    <mergeCell ref="D1577:O1577"/>
    <mergeCell ref="C1580:AD1580"/>
    <mergeCell ref="C1581:AD1581"/>
    <mergeCell ref="B1588:AD1588"/>
    <mergeCell ref="C1589:AD1589"/>
    <mergeCell ref="C1590:AD1590"/>
    <mergeCell ref="C1591:AD1591"/>
    <mergeCell ref="C1592:AD1592"/>
    <mergeCell ref="D1506:L1506"/>
    <mergeCell ref="D1507:L1507"/>
    <mergeCell ref="D1508:L1508"/>
    <mergeCell ref="D1509:L1509"/>
    <mergeCell ref="D1510:L1510"/>
    <mergeCell ref="D1511:L1511"/>
    <mergeCell ref="D1512:L1512"/>
    <mergeCell ref="D1513:L1513"/>
    <mergeCell ref="C1516:AD1516"/>
    <mergeCell ref="C1517:AD1517"/>
    <mergeCell ref="C1527:R1529"/>
    <mergeCell ref="S1527:AD1527"/>
    <mergeCell ref="S1528:S1529"/>
    <mergeCell ref="T1528:T1529"/>
    <mergeCell ref="U1528:U1529"/>
    <mergeCell ref="V1528:X1528"/>
    <mergeCell ref="Y1528:AA1528"/>
    <mergeCell ref="AB1528:AD1528"/>
    <mergeCell ref="B1519:AD1519"/>
    <mergeCell ref="B1520:AD1520"/>
    <mergeCell ref="B1521:AE1521"/>
    <mergeCell ref="D1492:O1492"/>
    <mergeCell ref="D1493:O1493"/>
    <mergeCell ref="D1494:O1494"/>
    <mergeCell ref="D1495:O1495"/>
    <mergeCell ref="D1496:O1496"/>
    <mergeCell ref="D1497:O1497"/>
    <mergeCell ref="D1498:O1498"/>
    <mergeCell ref="D1499:O1499"/>
    <mergeCell ref="AA1502:AD1502"/>
    <mergeCell ref="C1503:L1505"/>
    <mergeCell ref="M1503:AD1503"/>
    <mergeCell ref="M1504:O1504"/>
    <mergeCell ref="P1504:R1504"/>
    <mergeCell ref="S1504:U1504"/>
    <mergeCell ref="V1504:X1504"/>
    <mergeCell ref="Y1504:AA1504"/>
    <mergeCell ref="AB1504:AD1504"/>
    <mergeCell ref="D1468:F1468"/>
    <mergeCell ref="D1469:F1469"/>
    <mergeCell ref="D1470:F1470"/>
    <mergeCell ref="D1471:F1471"/>
    <mergeCell ref="D1472:F1472"/>
    <mergeCell ref="D1473:F1473"/>
    <mergeCell ref="D1474:F1474"/>
    <mergeCell ref="C1477:AD1477"/>
    <mergeCell ref="C1478:AD1478"/>
    <mergeCell ref="B1485:AD1485"/>
    <mergeCell ref="AA1488:AD1488"/>
    <mergeCell ref="C1489:O1491"/>
    <mergeCell ref="P1489:AD1489"/>
    <mergeCell ref="P1490:P1491"/>
    <mergeCell ref="Q1490:Q1491"/>
    <mergeCell ref="R1490:R1491"/>
    <mergeCell ref="S1490:U1490"/>
    <mergeCell ref="V1490:X1490"/>
    <mergeCell ref="Y1490:AA1490"/>
    <mergeCell ref="AB1490:AD1490"/>
    <mergeCell ref="C1486:AD1486"/>
    <mergeCell ref="D1456:F1456"/>
    <mergeCell ref="D1457:F1457"/>
    <mergeCell ref="D1458:F1458"/>
    <mergeCell ref="AA1461:AD1461"/>
    <mergeCell ref="C1462:F1466"/>
    <mergeCell ref="G1462:AD1462"/>
    <mergeCell ref="G1463:O1463"/>
    <mergeCell ref="P1463:X1463"/>
    <mergeCell ref="Y1463:AA1465"/>
    <mergeCell ref="AB1463:AD1465"/>
    <mergeCell ref="G1464:I1465"/>
    <mergeCell ref="J1464:L1465"/>
    <mergeCell ref="M1464:O1465"/>
    <mergeCell ref="P1464:R1465"/>
    <mergeCell ref="S1464:U1465"/>
    <mergeCell ref="V1464:X1465"/>
    <mergeCell ref="D1467:F1467"/>
    <mergeCell ref="C1446:F1450"/>
    <mergeCell ref="G1446:AD1446"/>
    <mergeCell ref="G1447:AD1447"/>
    <mergeCell ref="G1448:R1448"/>
    <mergeCell ref="S1448:U1449"/>
    <mergeCell ref="V1448:X1449"/>
    <mergeCell ref="Y1448:AA1449"/>
    <mergeCell ref="AB1448:AD1449"/>
    <mergeCell ref="G1449:I1449"/>
    <mergeCell ref="J1449:L1449"/>
    <mergeCell ref="M1449:O1449"/>
    <mergeCell ref="P1449:R1449"/>
    <mergeCell ref="D1451:F1451"/>
    <mergeCell ref="D1452:F1452"/>
    <mergeCell ref="D1453:F1453"/>
    <mergeCell ref="D1454:F1454"/>
    <mergeCell ref="D1455:F1455"/>
    <mergeCell ref="D1435:F1435"/>
    <mergeCell ref="G1435:I1435"/>
    <mergeCell ref="D1436:F1436"/>
    <mergeCell ref="G1436:I1436"/>
    <mergeCell ref="D1437:F1437"/>
    <mergeCell ref="G1437:I1437"/>
    <mergeCell ref="D1438:F1438"/>
    <mergeCell ref="G1438:I1438"/>
    <mergeCell ref="D1439:F1439"/>
    <mergeCell ref="G1439:I1439"/>
    <mergeCell ref="D1440:F1440"/>
    <mergeCell ref="G1440:I1440"/>
    <mergeCell ref="D1441:F1441"/>
    <mergeCell ref="G1441:I1441"/>
    <mergeCell ref="D1442:F1442"/>
    <mergeCell ref="G1442:I1442"/>
    <mergeCell ref="AA1445:AD1445"/>
    <mergeCell ref="B1422:AD1422"/>
    <mergeCell ref="C1423:AD1423"/>
    <mergeCell ref="C1424:AD1424"/>
    <mergeCell ref="AA1429:AD1429"/>
    <mergeCell ref="C1430:F1434"/>
    <mergeCell ref="G1430:I1434"/>
    <mergeCell ref="J1430:AD1430"/>
    <mergeCell ref="J1431:J1434"/>
    <mergeCell ref="K1431:K1434"/>
    <mergeCell ref="L1431:L1434"/>
    <mergeCell ref="M1431:O1433"/>
    <mergeCell ref="P1431:AD1431"/>
    <mergeCell ref="P1432:AD1432"/>
    <mergeCell ref="P1433:R1433"/>
    <mergeCell ref="S1433:U1433"/>
    <mergeCell ref="V1433:X1433"/>
    <mergeCell ref="Y1433:AA1433"/>
    <mergeCell ref="AB1433:AD1433"/>
    <mergeCell ref="C16:AD16"/>
    <mergeCell ref="C17:AD17"/>
    <mergeCell ref="C18:AD18"/>
    <mergeCell ref="B19:AD19"/>
    <mergeCell ref="B10:AD10"/>
    <mergeCell ref="C11:AD11"/>
    <mergeCell ref="C12:AD12"/>
    <mergeCell ref="C13:AD13"/>
    <mergeCell ref="B1:AD1"/>
    <mergeCell ref="B3:AD3"/>
    <mergeCell ref="B5:AD5"/>
    <mergeCell ref="AA7:AD7"/>
    <mergeCell ref="B8:L8"/>
    <mergeCell ref="N8:O8"/>
    <mergeCell ref="C14:AD14"/>
    <mergeCell ref="C15:AD15"/>
    <mergeCell ref="C36:AD36"/>
    <mergeCell ref="C31:AD31"/>
    <mergeCell ref="C37:AD37"/>
    <mergeCell ref="C38:AD38"/>
    <mergeCell ref="C39:AD39"/>
    <mergeCell ref="C40:AD40"/>
    <mergeCell ref="C41:AD41"/>
    <mergeCell ref="C30:AD30"/>
    <mergeCell ref="C32:AD32"/>
    <mergeCell ref="C33:AD33"/>
    <mergeCell ref="C34:AD34"/>
    <mergeCell ref="C35:AD35"/>
    <mergeCell ref="B27:AD27"/>
    <mergeCell ref="C28:AD28"/>
    <mergeCell ref="C29:AD29"/>
    <mergeCell ref="B25:AD25"/>
    <mergeCell ref="C20:AD20"/>
    <mergeCell ref="C21:AD21"/>
    <mergeCell ref="C22:AD22"/>
    <mergeCell ref="C23:AD23"/>
    <mergeCell ref="O49:R49"/>
    <mergeCell ref="S49:T50"/>
    <mergeCell ref="U49:V50"/>
    <mergeCell ref="W49:X50"/>
    <mergeCell ref="Y49:Z50"/>
    <mergeCell ref="AA49:AB50"/>
    <mergeCell ref="O50:P50"/>
    <mergeCell ref="Q50:R50"/>
    <mergeCell ref="C42:AD42"/>
    <mergeCell ref="C43:AD43"/>
    <mergeCell ref="C46:AD46"/>
    <mergeCell ref="C48:H50"/>
    <mergeCell ref="I48:AB48"/>
    <mergeCell ref="AC48:AD50"/>
    <mergeCell ref="I49:J50"/>
    <mergeCell ref="K49:L50"/>
    <mergeCell ref="M49:N50"/>
    <mergeCell ref="C44:AD44"/>
    <mergeCell ref="C45:AD45"/>
    <mergeCell ref="S52:T52"/>
    <mergeCell ref="U52:V52"/>
    <mergeCell ref="W52:X52"/>
    <mergeCell ref="Y52:Z52"/>
    <mergeCell ref="AA52:AB52"/>
    <mergeCell ref="AC52:AD52"/>
    <mergeCell ref="D52:H52"/>
    <mergeCell ref="I52:J52"/>
    <mergeCell ref="K52:L52"/>
    <mergeCell ref="M52:N52"/>
    <mergeCell ref="O52:P52"/>
    <mergeCell ref="Q52:R52"/>
    <mergeCell ref="S51:T51"/>
    <mergeCell ref="U51:V51"/>
    <mergeCell ref="W51:X51"/>
    <mergeCell ref="Y51:Z51"/>
    <mergeCell ref="AA51:AB51"/>
    <mergeCell ref="AC51:AD51"/>
    <mergeCell ref="D51:H51"/>
    <mergeCell ref="I51:J51"/>
    <mergeCell ref="K51:L51"/>
    <mergeCell ref="M51:N51"/>
    <mergeCell ref="O51:P51"/>
    <mergeCell ref="Q51:R51"/>
    <mergeCell ref="S54:T54"/>
    <mergeCell ref="U54:V54"/>
    <mergeCell ref="W54:X54"/>
    <mergeCell ref="Y54:Z54"/>
    <mergeCell ref="AA54:AB54"/>
    <mergeCell ref="AC54:AD54"/>
    <mergeCell ref="D54:H54"/>
    <mergeCell ref="I54:J54"/>
    <mergeCell ref="K54:L54"/>
    <mergeCell ref="M54:N54"/>
    <mergeCell ref="O54:P54"/>
    <mergeCell ref="Q54:R54"/>
    <mergeCell ref="S53:T53"/>
    <mergeCell ref="U53:V53"/>
    <mergeCell ref="W53:X53"/>
    <mergeCell ref="Y53:Z53"/>
    <mergeCell ref="AA53:AB53"/>
    <mergeCell ref="AC53:AD53"/>
    <mergeCell ref="D53:H53"/>
    <mergeCell ref="I53:J53"/>
    <mergeCell ref="K53:L53"/>
    <mergeCell ref="M53:N53"/>
    <mergeCell ref="O53:P53"/>
    <mergeCell ref="Q53:R53"/>
    <mergeCell ref="S56:T56"/>
    <mergeCell ref="U56:V56"/>
    <mergeCell ref="W56:X56"/>
    <mergeCell ref="Y56:Z56"/>
    <mergeCell ref="AA56:AB56"/>
    <mergeCell ref="AC56:AD56"/>
    <mergeCell ref="D56:H56"/>
    <mergeCell ref="I56:J56"/>
    <mergeCell ref="K56:L56"/>
    <mergeCell ref="M56:N56"/>
    <mergeCell ref="O56:P56"/>
    <mergeCell ref="Q56:R56"/>
    <mergeCell ref="S55:T55"/>
    <mergeCell ref="U55:V55"/>
    <mergeCell ref="W55:X55"/>
    <mergeCell ref="Y55:Z55"/>
    <mergeCell ref="AA55:AB55"/>
    <mergeCell ref="AC55:AD55"/>
    <mergeCell ref="D55:H55"/>
    <mergeCell ref="I55:J55"/>
    <mergeCell ref="K55:L55"/>
    <mergeCell ref="M55:N55"/>
    <mergeCell ref="O55:P55"/>
    <mergeCell ref="Q55:R55"/>
    <mergeCell ref="S58:T58"/>
    <mergeCell ref="U58:V58"/>
    <mergeCell ref="W58:X58"/>
    <mergeCell ref="Y58:Z58"/>
    <mergeCell ref="AA58:AB58"/>
    <mergeCell ref="AC58:AD58"/>
    <mergeCell ref="D58:H58"/>
    <mergeCell ref="I58:J58"/>
    <mergeCell ref="K58:L58"/>
    <mergeCell ref="M58:N58"/>
    <mergeCell ref="O58:P58"/>
    <mergeCell ref="Q58:R58"/>
    <mergeCell ref="S57:T57"/>
    <mergeCell ref="U57:V57"/>
    <mergeCell ref="W57:X57"/>
    <mergeCell ref="Y57:Z57"/>
    <mergeCell ref="AA57:AB57"/>
    <mergeCell ref="AC57:AD57"/>
    <mergeCell ref="D57:H57"/>
    <mergeCell ref="I57:J57"/>
    <mergeCell ref="K57:L57"/>
    <mergeCell ref="M57:N57"/>
    <mergeCell ref="O57:P57"/>
    <mergeCell ref="Q57:R57"/>
    <mergeCell ref="D65:J65"/>
    <mergeCell ref="M65:U65"/>
    <mergeCell ref="X65:AD65"/>
    <mergeCell ref="D66:J66"/>
    <mergeCell ref="M66:U66"/>
    <mergeCell ref="X66:AD66"/>
    <mergeCell ref="C61:E61"/>
    <mergeCell ref="F61:AD61"/>
    <mergeCell ref="C63:J63"/>
    <mergeCell ref="L63:U63"/>
    <mergeCell ref="W63:AD63"/>
    <mergeCell ref="D64:J64"/>
    <mergeCell ref="M64:U64"/>
    <mergeCell ref="X64:AD64"/>
    <mergeCell ref="S59:T59"/>
    <mergeCell ref="U59:V59"/>
    <mergeCell ref="W59:X59"/>
    <mergeCell ref="Y59:Z59"/>
    <mergeCell ref="AA59:AB59"/>
    <mergeCell ref="AC59:AD59"/>
    <mergeCell ref="D59:H59"/>
    <mergeCell ref="I59:J59"/>
    <mergeCell ref="K59:L59"/>
    <mergeCell ref="M59:N59"/>
    <mergeCell ref="O59:P59"/>
    <mergeCell ref="Q59:R59"/>
    <mergeCell ref="B62:AD62"/>
    <mergeCell ref="B60:AD60"/>
    <mergeCell ref="D72:J72"/>
    <mergeCell ref="M72:U72"/>
    <mergeCell ref="X72:AD72"/>
    <mergeCell ref="D73:J73"/>
    <mergeCell ref="M73:U73"/>
    <mergeCell ref="X73:AD73"/>
    <mergeCell ref="D70:J70"/>
    <mergeCell ref="M70:U70"/>
    <mergeCell ref="X70:AD70"/>
    <mergeCell ref="D71:J71"/>
    <mergeCell ref="M71:U71"/>
    <mergeCell ref="X71:AD71"/>
    <mergeCell ref="D67:J67"/>
    <mergeCell ref="M67:U67"/>
    <mergeCell ref="X67:AD67"/>
    <mergeCell ref="M68:U68"/>
    <mergeCell ref="X68:AD68"/>
    <mergeCell ref="C69:J69"/>
    <mergeCell ref="M69:U69"/>
    <mergeCell ref="X69:AD69"/>
    <mergeCell ref="D78:J78"/>
    <mergeCell ref="M78:U78"/>
    <mergeCell ref="X78:AD78"/>
    <mergeCell ref="M79:U79"/>
    <mergeCell ref="X79:AD79"/>
    <mergeCell ref="D76:J76"/>
    <mergeCell ref="M76:U76"/>
    <mergeCell ref="X76:AD76"/>
    <mergeCell ref="D77:J77"/>
    <mergeCell ref="M77:U77"/>
    <mergeCell ref="X77:AD77"/>
    <mergeCell ref="D74:J74"/>
    <mergeCell ref="M74:U74"/>
    <mergeCell ref="X74:AD74"/>
    <mergeCell ref="D75:J75"/>
    <mergeCell ref="M75:U75"/>
    <mergeCell ref="X75:AD75"/>
    <mergeCell ref="D84:J84"/>
    <mergeCell ref="M84:U84"/>
    <mergeCell ref="X84:AD84"/>
    <mergeCell ref="D85:J85"/>
    <mergeCell ref="M85:U85"/>
    <mergeCell ref="X85:AD85"/>
    <mergeCell ref="D82:J82"/>
    <mergeCell ref="M82:U82"/>
    <mergeCell ref="X82:AD82"/>
    <mergeCell ref="D83:J83"/>
    <mergeCell ref="M83:U83"/>
    <mergeCell ref="X83:AD83"/>
    <mergeCell ref="C80:J80"/>
    <mergeCell ref="M80:U80"/>
    <mergeCell ref="X80:AD80"/>
    <mergeCell ref="D81:J81"/>
    <mergeCell ref="M81:U81"/>
    <mergeCell ref="X81:AD81"/>
    <mergeCell ref="D89:J89"/>
    <mergeCell ref="X89:AD89"/>
    <mergeCell ref="D90:J90"/>
    <mergeCell ref="X90:AD90"/>
    <mergeCell ref="D91:J91"/>
    <mergeCell ref="D92:J92"/>
    <mergeCell ref="D86:J86"/>
    <mergeCell ref="M86:U86"/>
    <mergeCell ref="X86:AD86"/>
    <mergeCell ref="M87:U87"/>
    <mergeCell ref="X87:AD87"/>
    <mergeCell ref="C88:J88"/>
    <mergeCell ref="M88:U88"/>
    <mergeCell ref="X88:AD88"/>
    <mergeCell ref="B98:AD98"/>
    <mergeCell ref="B99:AD99"/>
    <mergeCell ref="B100:AD100"/>
    <mergeCell ref="D113:L113"/>
    <mergeCell ref="M113:R113"/>
    <mergeCell ref="S113:X113"/>
    <mergeCell ref="Y113:AD113"/>
    <mergeCell ref="D114:L114"/>
    <mergeCell ref="M114:R114"/>
    <mergeCell ref="S114:X114"/>
    <mergeCell ref="Y114:AD114"/>
    <mergeCell ref="C106:AD106"/>
    <mergeCell ref="C107:AD107"/>
    <mergeCell ref="B109:AD109"/>
    <mergeCell ref="C111:L112"/>
    <mergeCell ref="M111:AD111"/>
    <mergeCell ref="M112:R112"/>
    <mergeCell ref="S112:X112"/>
    <mergeCell ref="Y112:AD112"/>
    <mergeCell ref="D93:J93"/>
    <mergeCell ref="D94:J94"/>
    <mergeCell ref="C96:AD96"/>
    <mergeCell ref="C97:AD97"/>
    <mergeCell ref="B104:AD104"/>
    <mergeCell ref="B105:AD105"/>
    <mergeCell ref="B101:AD101"/>
    <mergeCell ref="B102:AD102"/>
    <mergeCell ref="B103:AD103"/>
    <mergeCell ref="D117:L117"/>
    <mergeCell ref="M117:R117"/>
    <mergeCell ref="S117:X117"/>
    <mergeCell ref="Y117:AD117"/>
    <mergeCell ref="D118:L118"/>
    <mergeCell ref="M118:R118"/>
    <mergeCell ref="S118:X118"/>
    <mergeCell ref="Y118:AD118"/>
    <mergeCell ref="B125:AD125"/>
    <mergeCell ref="B126:AD126"/>
    <mergeCell ref="B127:AD127"/>
    <mergeCell ref="D115:L115"/>
    <mergeCell ref="M115:R115"/>
    <mergeCell ref="S115:X115"/>
    <mergeCell ref="Y115:AD115"/>
    <mergeCell ref="D116:L116"/>
    <mergeCell ref="M116:R116"/>
    <mergeCell ref="S116:X116"/>
    <mergeCell ref="Y116:AD116"/>
    <mergeCell ref="C132:AD132"/>
    <mergeCell ref="C134:I136"/>
    <mergeCell ref="J134:AD134"/>
    <mergeCell ref="J135:J136"/>
    <mergeCell ref="K135:K136"/>
    <mergeCell ref="L135:L136"/>
    <mergeCell ref="M135:O135"/>
    <mergeCell ref="P135:R135"/>
    <mergeCell ref="S135:U135"/>
    <mergeCell ref="V135:X135"/>
    <mergeCell ref="M121:R121"/>
    <mergeCell ref="S121:X121"/>
    <mergeCell ref="Y121:AD121"/>
    <mergeCell ref="C123:AD123"/>
    <mergeCell ref="C124:AD124"/>
    <mergeCell ref="B131:AD131"/>
    <mergeCell ref="D119:L119"/>
    <mergeCell ref="M119:R119"/>
    <mergeCell ref="S119:X119"/>
    <mergeCell ref="Y119:AD119"/>
    <mergeCell ref="D120:L120"/>
    <mergeCell ref="M120:R120"/>
    <mergeCell ref="S120:X120"/>
    <mergeCell ref="Y120:AD120"/>
    <mergeCell ref="C149:AD149"/>
    <mergeCell ref="C150:AD150"/>
    <mergeCell ref="B157:AD157"/>
    <mergeCell ref="C159:I161"/>
    <mergeCell ref="J159:AD159"/>
    <mergeCell ref="J160:J161"/>
    <mergeCell ref="K160:K161"/>
    <mergeCell ref="L160:L161"/>
    <mergeCell ref="M160:O160"/>
    <mergeCell ref="P160:R160"/>
    <mergeCell ref="D141:I141"/>
    <mergeCell ref="D142:I142"/>
    <mergeCell ref="D143:I143"/>
    <mergeCell ref="D144:I144"/>
    <mergeCell ref="C147:E147"/>
    <mergeCell ref="F147:AD147"/>
    <mergeCell ref="Y135:AA135"/>
    <mergeCell ref="AB135:AD135"/>
    <mergeCell ref="D137:I137"/>
    <mergeCell ref="D138:I138"/>
    <mergeCell ref="D139:I139"/>
    <mergeCell ref="D140:I140"/>
    <mergeCell ref="C172:AD172"/>
    <mergeCell ref="C173:AD173"/>
    <mergeCell ref="B180:AD180"/>
    <mergeCell ref="AA183:AD183"/>
    <mergeCell ref="C184:O186"/>
    <mergeCell ref="P184:AD184"/>
    <mergeCell ref="P185:P186"/>
    <mergeCell ref="Q185:Q186"/>
    <mergeCell ref="R185:R186"/>
    <mergeCell ref="C181:AD181"/>
    <mergeCell ref="D164:I164"/>
    <mergeCell ref="D165:I165"/>
    <mergeCell ref="D166:I166"/>
    <mergeCell ref="D167:I167"/>
    <mergeCell ref="D168:I168"/>
    <mergeCell ref="D169:I169"/>
    <mergeCell ref="S160:U160"/>
    <mergeCell ref="V160:X160"/>
    <mergeCell ref="Y160:AA160"/>
    <mergeCell ref="AB160:AD160"/>
    <mergeCell ref="D162:I162"/>
    <mergeCell ref="D163:I163"/>
    <mergeCell ref="AA197:AD197"/>
    <mergeCell ref="C198:L200"/>
    <mergeCell ref="M198:AD198"/>
    <mergeCell ref="M199:O199"/>
    <mergeCell ref="P199:R199"/>
    <mergeCell ref="S199:U199"/>
    <mergeCell ref="V199:X199"/>
    <mergeCell ref="Y199:AA199"/>
    <mergeCell ref="AB199:AD199"/>
    <mergeCell ref="B216:AD216"/>
    <mergeCell ref="D189:O189"/>
    <mergeCell ref="D190:O190"/>
    <mergeCell ref="D191:O191"/>
    <mergeCell ref="D192:O192"/>
    <mergeCell ref="D193:O193"/>
    <mergeCell ref="D194:O194"/>
    <mergeCell ref="S185:U185"/>
    <mergeCell ref="V185:X185"/>
    <mergeCell ref="Y185:AA185"/>
    <mergeCell ref="AB185:AD185"/>
    <mergeCell ref="D187:O187"/>
    <mergeCell ref="D188:O188"/>
    <mergeCell ref="AA222:AD222"/>
    <mergeCell ref="C223:L225"/>
    <mergeCell ref="M223:AD223"/>
    <mergeCell ref="M224:M225"/>
    <mergeCell ref="N224:N225"/>
    <mergeCell ref="O224:O225"/>
    <mergeCell ref="P224:R224"/>
    <mergeCell ref="S224:U224"/>
    <mergeCell ref="V224:X224"/>
    <mergeCell ref="Y224:AA224"/>
    <mergeCell ref="D207:L207"/>
    <mergeCell ref="D208:L208"/>
    <mergeCell ref="C211:AD211"/>
    <mergeCell ref="C212:AD212"/>
    <mergeCell ref="B219:AD219"/>
    <mergeCell ref="C220:AD220"/>
    <mergeCell ref="D201:L201"/>
    <mergeCell ref="D202:L202"/>
    <mergeCell ref="D203:L203"/>
    <mergeCell ref="D204:L204"/>
    <mergeCell ref="D205:L205"/>
    <mergeCell ref="D206:L206"/>
    <mergeCell ref="Y238:AA238"/>
    <mergeCell ref="AB238:AD238"/>
    <mergeCell ref="D240:L240"/>
    <mergeCell ref="D241:L241"/>
    <mergeCell ref="D242:L242"/>
    <mergeCell ref="D243:L243"/>
    <mergeCell ref="D231:L231"/>
    <mergeCell ref="D232:L232"/>
    <mergeCell ref="D233:L233"/>
    <mergeCell ref="AA236:AD236"/>
    <mergeCell ref="C237:L239"/>
    <mergeCell ref="M237:AD237"/>
    <mergeCell ref="M238:O238"/>
    <mergeCell ref="P238:R238"/>
    <mergeCell ref="S238:U238"/>
    <mergeCell ref="V238:X238"/>
    <mergeCell ref="AB224:AD224"/>
    <mergeCell ref="D226:L226"/>
    <mergeCell ref="D227:L227"/>
    <mergeCell ref="D228:L228"/>
    <mergeCell ref="D229:L229"/>
    <mergeCell ref="D230:L230"/>
    <mergeCell ref="D257:L257"/>
    <mergeCell ref="D258:L258"/>
    <mergeCell ref="D259:L259"/>
    <mergeCell ref="D260:L260"/>
    <mergeCell ref="D261:L261"/>
    <mergeCell ref="C264:AD264"/>
    <mergeCell ref="V252:X252"/>
    <mergeCell ref="Y252:AA252"/>
    <mergeCell ref="AB252:AD252"/>
    <mergeCell ref="D254:L254"/>
    <mergeCell ref="D255:L255"/>
    <mergeCell ref="D256:L256"/>
    <mergeCell ref="D244:L244"/>
    <mergeCell ref="D245:L245"/>
    <mergeCell ref="D246:L246"/>
    <mergeCell ref="D247:L247"/>
    <mergeCell ref="AA250:AD250"/>
    <mergeCell ref="C251:L253"/>
    <mergeCell ref="M251:AD251"/>
    <mergeCell ref="M252:O252"/>
    <mergeCell ref="P252:R252"/>
    <mergeCell ref="S252:U252"/>
    <mergeCell ref="D282:O282"/>
    <mergeCell ref="D283:O283"/>
    <mergeCell ref="D284:O284"/>
    <mergeCell ref="D285:O285"/>
    <mergeCell ref="D286:O286"/>
    <mergeCell ref="AA289:AD289"/>
    <mergeCell ref="V277:X277"/>
    <mergeCell ref="Y277:AA277"/>
    <mergeCell ref="AB277:AD277"/>
    <mergeCell ref="D279:O279"/>
    <mergeCell ref="D280:O280"/>
    <mergeCell ref="D281:O281"/>
    <mergeCell ref="C265:AD265"/>
    <mergeCell ref="B272:AD272"/>
    <mergeCell ref="C273:AD273"/>
    <mergeCell ref="AA275:AD275"/>
    <mergeCell ref="C276:O278"/>
    <mergeCell ref="P276:AD276"/>
    <mergeCell ref="P277:P278"/>
    <mergeCell ref="Q277:Q278"/>
    <mergeCell ref="R277:R278"/>
    <mergeCell ref="S277:U277"/>
    <mergeCell ref="C304:AD304"/>
    <mergeCell ref="B311:AD311"/>
    <mergeCell ref="C313:R315"/>
    <mergeCell ref="S313:AD313"/>
    <mergeCell ref="S314:S315"/>
    <mergeCell ref="T314:T315"/>
    <mergeCell ref="U314:U315"/>
    <mergeCell ref="D293:O293"/>
    <mergeCell ref="D294:O294"/>
    <mergeCell ref="D295:O295"/>
    <mergeCell ref="D296:O296"/>
    <mergeCell ref="D297:O297"/>
    <mergeCell ref="D298:O298"/>
    <mergeCell ref="C290:O292"/>
    <mergeCell ref="P290:AD290"/>
    <mergeCell ref="P291:R291"/>
    <mergeCell ref="S291:U291"/>
    <mergeCell ref="V291:X291"/>
    <mergeCell ref="Y291:AA291"/>
    <mergeCell ref="AB291:AD291"/>
    <mergeCell ref="D340:L340"/>
    <mergeCell ref="M340:R340"/>
    <mergeCell ref="S340:X340"/>
    <mergeCell ref="Y340:AD340"/>
    <mergeCell ref="D341:L341"/>
    <mergeCell ref="M341:R341"/>
    <mergeCell ref="S341:X341"/>
    <mergeCell ref="Y341:AD341"/>
    <mergeCell ref="C327:AD327"/>
    <mergeCell ref="B334:AD334"/>
    <mergeCell ref="C335:AD335"/>
    <mergeCell ref="C336:AD336"/>
    <mergeCell ref="C338:L339"/>
    <mergeCell ref="M338:AD338"/>
    <mergeCell ref="M339:R339"/>
    <mergeCell ref="S339:X339"/>
    <mergeCell ref="Y339:AD339"/>
    <mergeCell ref="D346:L346"/>
    <mergeCell ref="M346:R346"/>
    <mergeCell ref="S346:X346"/>
    <mergeCell ref="Y346:AD346"/>
    <mergeCell ref="D347:L347"/>
    <mergeCell ref="M347:R347"/>
    <mergeCell ref="S347:X347"/>
    <mergeCell ref="Y347:AD347"/>
    <mergeCell ref="D344:L344"/>
    <mergeCell ref="M344:R344"/>
    <mergeCell ref="S344:X344"/>
    <mergeCell ref="Y344:AD344"/>
    <mergeCell ref="D345:L345"/>
    <mergeCell ref="M345:R345"/>
    <mergeCell ref="S345:X345"/>
    <mergeCell ref="Y345:AD345"/>
    <mergeCell ref="D342:L342"/>
    <mergeCell ref="M342:R342"/>
    <mergeCell ref="S342:X342"/>
    <mergeCell ref="Y342:AD342"/>
    <mergeCell ref="D343:L343"/>
    <mergeCell ref="M343:R343"/>
    <mergeCell ref="S343:X343"/>
    <mergeCell ref="Y343:AD343"/>
    <mergeCell ref="D352:L352"/>
    <mergeCell ref="M352:R352"/>
    <mergeCell ref="S352:X352"/>
    <mergeCell ref="Y352:AD352"/>
    <mergeCell ref="D353:L353"/>
    <mergeCell ref="M353:R353"/>
    <mergeCell ref="S353:X353"/>
    <mergeCell ref="Y353:AD353"/>
    <mergeCell ref="D350:L350"/>
    <mergeCell ref="M350:R350"/>
    <mergeCell ref="S350:X350"/>
    <mergeCell ref="Y350:AD350"/>
    <mergeCell ref="D351:L351"/>
    <mergeCell ref="M351:R351"/>
    <mergeCell ref="S351:X351"/>
    <mergeCell ref="Y351:AD351"/>
    <mergeCell ref="D348:L348"/>
    <mergeCell ref="M348:R348"/>
    <mergeCell ref="S348:X348"/>
    <mergeCell ref="Y348:AD348"/>
    <mergeCell ref="D349:L349"/>
    <mergeCell ref="M349:R349"/>
    <mergeCell ref="S349:X349"/>
    <mergeCell ref="Y349:AD349"/>
    <mergeCell ref="D358:L358"/>
    <mergeCell ref="M358:R358"/>
    <mergeCell ref="S358:X358"/>
    <mergeCell ref="Y358:AD358"/>
    <mergeCell ref="D359:L359"/>
    <mergeCell ref="M359:R359"/>
    <mergeCell ref="S359:X359"/>
    <mergeCell ref="Y359:AD359"/>
    <mergeCell ref="D356:L356"/>
    <mergeCell ref="M356:R356"/>
    <mergeCell ref="S356:X356"/>
    <mergeCell ref="Y356:AD356"/>
    <mergeCell ref="D357:L357"/>
    <mergeCell ref="M357:R357"/>
    <mergeCell ref="S357:X357"/>
    <mergeCell ref="Y357:AD357"/>
    <mergeCell ref="D354:L354"/>
    <mergeCell ref="M354:R354"/>
    <mergeCell ref="S354:X354"/>
    <mergeCell ref="Y354:AD354"/>
    <mergeCell ref="D355:L355"/>
    <mergeCell ref="M355:R355"/>
    <mergeCell ref="S355:X355"/>
    <mergeCell ref="Y355:AD355"/>
    <mergeCell ref="D364:L364"/>
    <mergeCell ref="M364:R364"/>
    <mergeCell ref="S364:X364"/>
    <mergeCell ref="Y364:AD364"/>
    <mergeCell ref="M365:R365"/>
    <mergeCell ref="S365:X365"/>
    <mergeCell ref="Y365:AD365"/>
    <mergeCell ref="D362:L362"/>
    <mergeCell ref="M362:R362"/>
    <mergeCell ref="S362:X362"/>
    <mergeCell ref="Y362:AD362"/>
    <mergeCell ref="D363:L363"/>
    <mergeCell ref="M363:R363"/>
    <mergeCell ref="S363:X363"/>
    <mergeCell ref="Y363:AD363"/>
    <mergeCell ref="D360:L360"/>
    <mergeCell ref="M360:R360"/>
    <mergeCell ref="S360:X360"/>
    <mergeCell ref="Y360:AD360"/>
    <mergeCell ref="D361:L361"/>
    <mergeCell ref="M361:R361"/>
    <mergeCell ref="S361:X361"/>
    <mergeCell ref="Y361:AD361"/>
    <mergeCell ref="D383:I383"/>
    <mergeCell ref="D384:I384"/>
    <mergeCell ref="D385:I385"/>
    <mergeCell ref="D386:I386"/>
    <mergeCell ref="D387:I387"/>
    <mergeCell ref="D388:I388"/>
    <mergeCell ref="P379:AD379"/>
    <mergeCell ref="P380:AD380"/>
    <mergeCell ref="P381:R381"/>
    <mergeCell ref="S381:U381"/>
    <mergeCell ref="V381:X381"/>
    <mergeCell ref="Y381:AA381"/>
    <mergeCell ref="AB381:AD381"/>
    <mergeCell ref="C367:AD367"/>
    <mergeCell ref="C368:AD368"/>
    <mergeCell ref="B375:AD375"/>
    <mergeCell ref="AA377:AD377"/>
    <mergeCell ref="C378:I382"/>
    <mergeCell ref="J378:AD378"/>
    <mergeCell ref="J379:J382"/>
    <mergeCell ref="K379:K382"/>
    <mergeCell ref="L379:L382"/>
    <mergeCell ref="M379:O381"/>
    <mergeCell ref="B369:AD369"/>
    <mergeCell ref="B370:AD370"/>
    <mergeCell ref="B371:AD371"/>
    <mergeCell ref="B372:AE372"/>
    <mergeCell ref="D400:F400"/>
    <mergeCell ref="D401:F401"/>
    <mergeCell ref="D402:F402"/>
    <mergeCell ref="D403:F403"/>
    <mergeCell ref="D404:F404"/>
    <mergeCell ref="D405:F405"/>
    <mergeCell ref="AB396:AD397"/>
    <mergeCell ref="G397:I397"/>
    <mergeCell ref="J397:L397"/>
    <mergeCell ref="M397:O397"/>
    <mergeCell ref="P397:R397"/>
    <mergeCell ref="D399:F399"/>
    <mergeCell ref="D389:I389"/>
    <mergeCell ref="D390:I390"/>
    <mergeCell ref="AA393:AD393"/>
    <mergeCell ref="C394:F398"/>
    <mergeCell ref="G394:AD394"/>
    <mergeCell ref="G395:AD395"/>
    <mergeCell ref="G396:R396"/>
    <mergeCell ref="S396:U397"/>
    <mergeCell ref="V396:X397"/>
    <mergeCell ref="Y396:AA397"/>
    <mergeCell ref="D417:F417"/>
    <mergeCell ref="D418:F418"/>
    <mergeCell ref="D419:F419"/>
    <mergeCell ref="D420:F420"/>
    <mergeCell ref="D421:F421"/>
    <mergeCell ref="D422:F422"/>
    <mergeCell ref="M412:O413"/>
    <mergeCell ref="P412:R413"/>
    <mergeCell ref="S412:U413"/>
    <mergeCell ref="V412:X413"/>
    <mergeCell ref="D415:F415"/>
    <mergeCell ref="D416:F416"/>
    <mergeCell ref="D406:F406"/>
    <mergeCell ref="AA409:AD409"/>
    <mergeCell ref="C410:F414"/>
    <mergeCell ref="G410:AD410"/>
    <mergeCell ref="G411:O411"/>
    <mergeCell ref="P411:X411"/>
    <mergeCell ref="Y411:AA413"/>
    <mergeCell ref="AB411:AD413"/>
    <mergeCell ref="G412:I413"/>
    <mergeCell ref="J412:L413"/>
    <mergeCell ref="D440:I440"/>
    <mergeCell ref="D441:I441"/>
    <mergeCell ref="D442:I442"/>
    <mergeCell ref="D443:I443"/>
    <mergeCell ref="D444:I444"/>
    <mergeCell ref="D445:I445"/>
    <mergeCell ref="P437:R437"/>
    <mergeCell ref="S437:U437"/>
    <mergeCell ref="V437:X437"/>
    <mergeCell ref="Y437:AA437"/>
    <mergeCell ref="AB437:AD437"/>
    <mergeCell ref="D439:I439"/>
    <mergeCell ref="C425:AD425"/>
    <mergeCell ref="C426:AD426"/>
    <mergeCell ref="B433:AD433"/>
    <mergeCell ref="C434:AD434"/>
    <mergeCell ref="C436:I438"/>
    <mergeCell ref="J436:AD436"/>
    <mergeCell ref="J437:J438"/>
    <mergeCell ref="K437:K438"/>
    <mergeCell ref="L437:L438"/>
    <mergeCell ref="M437:O437"/>
    <mergeCell ref="C494:AD494"/>
    <mergeCell ref="C495:AD495"/>
    <mergeCell ref="C496:AD496"/>
    <mergeCell ref="D466:R466"/>
    <mergeCell ref="D467:R467"/>
    <mergeCell ref="D468:R468"/>
    <mergeCell ref="D469:R469"/>
    <mergeCell ref="D470:R470"/>
    <mergeCell ref="C473:AD473"/>
    <mergeCell ref="V461:X461"/>
    <mergeCell ref="Y461:AA461"/>
    <mergeCell ref="AB461:AD461"/>
    <mergeCell ref="D463:R463"/>
    <mergeCell ref="D464:R464"/>
    <mergeCell ref="D465:R465"/>
    <mergeCell ref="D446:I446"/>
    <mergeCell ref="C449:AD449"/>
    <mergeCell ref="C450:AD450"/>
    <mergeCell ref="B457:AD457"/>
    <mergeCell ref="C458:AD458"/>
    <mergeCell ref="C460:R462"/>
    <mergeCell ref="S460:AD460"/>
    <mergeCell ref="S461:S462"/>
    <mergeCell ref="T461:T462"/>
    <mergeCell ref="U461:U462"/>
    <mergeCell ref="B577:AD577"/>
    <mergeCell ref="B578:AD578"/>
    <mergeCell ref="C579:AD579"/>
    <mergeCell ref="C580:AD580"/>
    <mergeCell ref="V590:X590"/>
    <mergeCell ref="Y590:AA590"/>
    <mergeCell ref="AB590:AD590"/>
    <mergeCell ref="D592:I592"/>
    <mergeCell ref="D593:I593"/>
    <mergeCell ref="D594:I594"/>
    <mergeCell ref="AA587:AD587"/>
    <mergeCell ref="C588:I591"/>
    <mergeCell ref="J588:AD588"/>
    <mergeCell ref="J589:J591"/>
    <mergeCell ref="K589:K591"/>
    <mergeCell ref="L589:L591"/>
    <mergeCell ref="M589:AD589"/>
    <mergeCell ref="M590:O590"/>
    <mergeCell ref="P590:R590"/>
    <mergeCell ref="S590:U590"/>
    <mergeCell ref="B582:AD582"/>
    <mergeCell ref="C583:AD583"/>
    <mergeCell ref="C584:AD584"/>
    <mergeCell ref="C585:AD585"/>
    <mergeCell ref="D607:O607"/>
    <mergeCell ref="D608:O608"/>
    <mergeCell ref="D609:O609"/>
    <mergeCell ref="D610:O610"/>
    <mergeCell ref="D611:O611"/>
    <mergeCell ref="D612:O612"/>
    <mergeCell ref="C603:O606"/>
    <mergeCell ref="P603:AD603"/>
    <mergeCell ref="P604:X604"/>
    <mergeCell ref="Y604:AA605"/>
    <mergeCell ref="AB604:AD605"/>
    <mergeCell ref="P605:R605"/>
    <mergeCell ref="S605:U605"/>
    <mergeCell ref="V605:X605"/>
    <mergeCell ref="D595:I595"/>
    <mergeCell ref="D596:I596"/>
    <mergeCell ref="D597:I597"/>
    <mergeCell ref="D598:I598"/>
    <mergeCell ref="D599:I599"/>
    <mergeCell ref="AA602:AD602"/>
    <mergeCell ref="D637:R637"/>
    <mergeCell ref="D638:R638"/>
    <mergeCell ref="D639:R639"/>
    <mergeCell ref="B629:AD629"/>
    <mergeCell ref="C630:AD630"/>
    <mergeCell ref="C632:R634"/>
    <mergeCell ref="S632:AD632"/>
    <mergeCell ref="S633:S634"/>
    <mergeCell ref="T633:T634"/>
    <mergeCell ref="U633:U634"/>
    <mergeCell ref="V633:X633"/>
    <mergeCell ref="Y633:AA633"/>
    <mergeCell ref="D613:O613"/>
    <mergeCell ref="D614:O614"/>
    <mergeCell ref="C617:AD617"/>
    <mergeCell ref="C618:AD618"/>
    <mergeCell ref="B625:AD625"/>
    <mergeCell ref="B626:AD626"/>
    <mergeCell ref="C627:AD627"/>
    <mergeCell ref="B621:AD621"/>
    <mergeCell ref="B622:AE622"/>
    <mergeCell ref="I674:J674"/>
    <mergeCell ref="K674:L674"/>
    <mergeCell ref="M674:N674"/>
    <mergeCell ref="B664:AD664"/>
    <mergeCell ref="B654:AD654"/>
    <mergeCell ref="C656:AD656"/>
    <mergeCell ref="C657:AD657"/>
    <mergeCell ref="B658:AD658"/>
    <mergeCell ref="C659:AD659"/>
    <mergeCell ref="C655:AD655"/>
    <mergeCell ref="D660:AD660"/>
    <mergeCell ref="D661:AD661"/>
    <mergeCell ref="D662:AD662"/>
    <mergeCell ref="C665:AD665"/>
    <mergeCell ref="C666:AD666"/>
    <mergeCell ref="C667:AD667"/>
    <mergeCell ref="C668:AD668"/>
    <mergeCell ref="C669:AD669"/>
    <mergeCell ref="C670:AD670"/>
    <mergeCell ref="C671:AD671"/>
    <mergeCell ref="C645:AD645"/>
    <mergeCell ref="C646:AD646"/>
    <mergeCell ref="B653:AD653"/>
    <mergeCell ref="AB633:AD633"/>
    <mergeCell ref="D635:R635"/>
    <mergeCell ref="D636:R636"/>
    <mergeCell ref="W675:X675"/>
    <mergeCell ref="Y675:Z675"/>
    <mergeCell ref="AA675:AB675"/>
    <mergeCell ref="AC675:AD675"/>
    <mergeCell ref="C677:AD677"/>
    <mergeCell ref="C678:AD678"/>
    <mergeCell ref="AA674:AB674"/>
    <mergeCell ref="AC674:AD674"/>
    <mergeCell ref="C675:H675"/>
    <mergeCell ref="I675:J675"/>
    <mergeCell ref="K675:L675"/>
    <mergeCell ref="M675:N675"/>
    <mergeCell ref="O675:P675"/>
    <mergeCell ref="Q675:R675"/>
    <mergeCell ref="S675:T675"/>
    <mergeCell ref="U675:V675"/>
    <mergeCell ref="O674:P674"/>
    <mergeCell ref="Q674:R674"/>
    <mergeCell ref="S674:T674"/>
    <mergeCell ref="U674:V674"/>
    <mergeCell ref="W674:X674"/>
    <mergeCell ref="Y674:Z674"/>
    <mergeCell ref="C673:H674"/>
    <mergeCell ref="I673:P673"/>
    <mergeCell ref="Q673:X673"/>
    <mergeCell ref="Y673:AD673"/>
    <mergeCell ref="C698:L699"/>
    <mergeCell ref="M698:O699"/>
    <mergeCell ref="P698:R699"/>
    <mergeCell ref="S698:U699"/>
    <mergeCell ref="V698:AD698"/>
    <mergeCell ref="V699:X699"/>
    <mergeCell ref="Y699:AA699"/>
    <mergeCell ref="AB699:AD699"/>
    <mergeCell ref="B685:AD685"/>
    <mergeCell ref="C686:AD686"/>
    <mergeCell ref="C687:AD687"/>
    <mergeCell ref="C688:AD688"/>
    <mergeCell ref="C689:AD689"/>
    <mergeCell ref="C690:AD690"/>
    <mergeCell ref="C691:AD691"/>
    <mergeCell ref="C692:AD692"/>
    <mergeCell ref="C693:AD693"/>
    <mergeCell ref="C694:AD694"/>
    <mergeCell ref="C695:AD695"/>
    <mergeCell ref="C696:AD696"/>
    <mergeCell ref="R790:R791"/>
    <mergeCell ref="S790:AD790"/>
    <mergeCell ref="D792:K792"/>
    <mergeCell ref="L792:Q792"/>
    <mergeCell ref="D793:K793"/>
    <mergeCell ref="L793:Q793"/>
    <mergeCell ref="D794:K794"/>
    <mergeCell ref="L794:Q794"/>
    <mergeCell ref="D739:L739"/>
    <mergeCell ref="M739:R739"/>
    <mergeCell ref="S739:V739"/>
    <mergeCell ref="W739:Z739"/>
    <mergeCell ref="P711:R711"/>
    <mergeCell ref="S711:U711"/>
    <mergeCell ref="V711:X711"/>
    <mergeCell ref="Y711:AA711"/>
    <mergeCell ref="AB711:AD711"/>
    <mergeCell ref="C732:AD732"/>
    <mergeCell ref="C733:AD733"/>
    <mergeCell ref="C734:AD734"/>
    <mergeCell ref="C713:E713"/>
    <mergeCell ref="F713:AD713"/>
    <mergeCell ref="C715:AD715"/>
    <mergeCell ref="C716:AD716"/>
    <mergeCell ref="B723:AD723"/>
    <mergeCell ref="B724:AD724"/>
    <mergeCell ref="C725:AD725"/>
    <mergeCell ref="C726:AD726"/>
    <mergeCell ref="C727:AD727"/>
    <mergeCell ref="B729:AD729"/>
    <mergeCell ref="C730:AD730"/>
    <mergeCell ref="AA739:AD739"/>
    <mergeCell ref="D800:P800"/>
    <mergeCell ref="R800:AD800"/>
    <mergeCell ref="D801:P801"/>
    <mergeCell ref="R801:AD801"/>
    <mergeCell ref="D819:L819"/>
    <mergeCell ref="M819:R819"/>
    <mergeCell ref="S819:X819"/>
    <mergeCell ref="Y819:AD819"/>
    <mergeCell ref="M818:R818"/>
    <mergeCell ref="S818:X818"/>
    <mergeCell ref="Y818:AD818"/>
    <mergeCell ref="B813:AE813"/>
    <mergeCell ref="D738:L738"/>
    <mergeCell ref="M738:R738"/>
    <mergeCell ref="S738:V738"/>
    <mergeCell ref="W738:Z738"/>
    <mergeCell ref="AA738:AD738"/>
    <mergeCell ref="C773:E773"/>
    <mergeCell ref="F773:AD773"/>
    <mergeCell ref="C775:AD775"/>
    <mergeCell ref="C776:AD776"/>
    <mergeCell ref="B783:AD783"/>
    <mergeCell ref="C784:AD784"/>
    <mergeCell ref="C785:AD785"/>
    <mergeCell ref="C787:AD787"/>
    <mergeCell ref="D805:P805"/>
    <mergeCell ref="R805:AD805"/>
    <mergeCell ref="C807:AD807"/>
    <mergeCell ref="C808:AD808"/>
    <mergeCell ref="C789:K791"/>
    <mergeCell ref="L789:Q791"/>
    <mergeCell ref="R789:AD789"/>
    <mergeCell ref="S845:X845"/>
    <mergeCell ref="Y845:AD845"/>
    <mergeCell ref="B863:AD863"/>
    <mergeCell ref="C864:AD864"/>
    <mergeCell ref="C865:AD865"/>
    <mergeCell ref="C867:AD867"/>
    <mergeCell ref="C868:AD868"/>
    <mergeCell ref="D876:L876"/>
    <mergeCell ref="M876:R876"/>
    <mergeCell ref="S876:X876"/>
    <mergeCell ref="Y876:AD876"/>
    <mergeCell ref="D873:L873"/>
    <mergeCell ref="M873:R873"/>
    <mergeCell ref="S873:X873"/>
    <mergeCell ref="Y873:AD873"/>
    <mergeCell ref="D874:L874"/>
    <mergeCell ref="M874:R874"/>
    <mergeCell ref="S874:X874"/>
    <mergeCell ref="Y874:AD874"/>
    <mergeCell ref="D871:L871"/>
    <mergeCell ref="M871:R871"/>
    <mergeCell ref="S871:X871"/>
    <mergeCell ref="Y871:AD871"/>
    <mergeCell ref="D872:L872"/>
    <mergeCell ref="M872:R872"/>
    <mergeCell ref="S872:X872"/>
    <mergeCell ref="Y872:AD872"/>
    <mergeCell ref="D875:L875"/>
    <mergeCell ref="M875:R875"/>
    <mergeCell ref="S875:X875"/>
    <mergeCell ref="Y875:AD875"/>
    <mergeCell ref="B857:AD857"/>
    <mergeCell ref="D881:L881"/>
    <mergeCell ref="M881:R881"/>
    <mergeCell ref="S881:X881"/>
    <mergeCell ref="Y881:AD881"/>
    <mergeCell ref="D882:L882"/>
    <mergeCell ref="M882:R882"/>
    <mergeCell ref="S882:X882"/>
    <mergeCell ref="Y882:AD882"/>
    <mergeCell ref="D879:L879"/>
    <mergeCell ref="M879:R879"/>
    <mergeCell ref="S879:X879"/>
    <mergeCell ref="Y879:AD879"/>
    <mergeCell ref="D880:L880"/>
    <mergeCell ref="M880:R880"/>
    <mergeCell ref="S880:X880"/>
    <mergeCell ref="Y880:AD880"/>
    <mergeCell ref="D877:L877"/>
    <mergeCell ref="M877:R877"/>
    <mergeCell ref="S877:X877"/>
    <mergeCell ref="Y877:AD877"/>
    <mergeCell ref="D878:L878"/>
    <mergeCell ref="M878:R878"/>
    <mergeCell ref="S878:X878"/>
    <mergeCell ref="Y878:AD878"/>
    <mergeCell ref="C892:AD892"/>
    <mergeCell ref="D893:P893"/>
    <mergeCell ref="R893:AD893"/>
    <mergeCell ref="D885:L885"/>
    <mergeCell ref="M885:R885"/>
    <mergeCell ref="S885:X885"/>
    <mergeCell ref="Y885:AD885"/>
    <mergeCell ref="D886:L886"/>
    <mergeCell ref="M886:R886"/>
    <mergeCell ref="S886:X886"/>
    <mergeCell ref="Y886:AD886"/>
    <mergeCell ref="D883:L883"/>
    <mergeCell ref="M883:R883"/>
    <mergeCell ref="S883:X883"/>
    <mergeCell ref="Y883:AD883"/>
    <mergeCell ref="D884:L884"/>
    <mergeCell ref="M884:R884"/>
    <mergeCell ref="S884:X884"/>
    <mergeCell ref="Y884:AD884"/>
    <mergeCell ref="C890:F890"/>
    <mergeCell ref="G890:AD890"/>
    <mergeCell ref="C888:F888"/>
    <mergeCell ref="G888:AD888"/>
    <mergeCell ref="D897:P897"/>
    <mergeCell ref="R897:AD897"/>
    <mergeCell ref="C899:AD899"/>
    <mergeCell ref="C900:AD900"/>
    <mergeCell ref="D894:P894"/>
    <mergeCell ref="R894:AD894"/>
    <mergeCell ref="D895:P895"/>
    <mergeCell ref="R895:AD895"/>
    <mergeCell ref="D896:P896"/>
    <mergeCell ref="R896:AD896"/>
    <mergeCell ref="B907:AD907"/>
    <mergeCell ref="C908:AD908"/>
    <mergeCell ref="C910:AD910"/>
    <mergeCell ref="C911:AD911"/>
    <mergeCell ref="C912:AD912"/>
    <mergeCell ref="D1028:F1028"/>
    <mergeCell ref="AB1019:AD1020"/>
    <mergeCell ref="G1020:I1020"/>
    <mergeCell ref="J1020:L1020"/>
    <mergeCell ref="M1020:O1020"/>
    <mergeCell ref="P1020:R1020"/>
    <mergeCell ref="D1022:F1022"/>
    <mergeCell ref="C913:AD913"/>
    <mergeCell ref="D987:AD987"/>
    <mergeCell ref="C990:AD990"/>
    <mergeCell ref="C991:AD991"/>
    <mergeCell ref="B998:AD998"/>
    <mergeCell ref="AA1000:AD1000"/>
    <mergeCell ref="C1001:I1005"/>
    <mergeCell ref="J1001:AD1001"/>
    <mergeCell ref="J1002:J1005"/>
    <mergeCell ref="K1002:K1005"/>
    <mergeCell ref="D1042:F1042"/>
    <mergeCell ref="D1043:F1043"/>
    <mergeCell ref="D1044:F1044"/>
    <mergeCell ref="D1045:F1045"/>
    <mergeCell ref="M1035:O1036"/>
    <mergeCell ref="P1035:R1036"/>
    <mergeCell ref="S1035:U1036"/>
    <mergeCell ref="V1035:X1036"/>
    <mergeCell ref="D1038:F1038"/>
    <mergeCell ref="D1039:F1039"/>
    <mergeCell ref="D1070:O1070"/>
    <mergeCell ref="S1004:U1004"/>
    <mergeCell ref="V1004:X1004"/>
    <mergeCell ref="Y1004:AA1004"/>
    <mergeCell ref="AB1004:AD1004"/>
    <mergeCell ref="D1029:F1029"/>
    <mergeCell ref="AA1032:AD1032"/>
    <mergeCell ref="C1033:F1037"/>
    <mergeCell ref="G1033:AD1033"/>
    <mergeCell ref="G1034:O1034"/>
    <mergeCell ref="P1034:X1034"/>
    <mergeCell ref="Y1034:AA1036"/>
    <mergeCell ref="AB1034:AD1036"/>
    <mergeCell ref="G1035:I1036"/>
    <mergeCell ref="J1035:L1036"/>
    <mergeCell ref="D1023:F1023"/>
    <mergeCell ref="D1024:F1024"/>
    <mergeCell ref="D1025:F1025"/>
    <mergeCell ref="D1026:F1026"/>
    <mergeCell ref="D1027:F1027"/>
    <mergeCell ref="Y1064:AA1064"/>
    <mergeCell ref="AB1064:AD1064"/>
    <mergeCell ref="D1066:O1066"/>
    <mergeCell ref="D1067:O1067"/>
    <mergeCell ref="D1068:O1068"/>
    <mergeCell ref="D1069:O1069"/>
    <mergeCell ref="AA1062:AD1062"/>
    <mergeCell ref="C1063:O1065"/>
    <mergeCell ref="P1063:AD1063"/>
    <mergeCell ref="P1064:P1065"/>
    <mergeCell ref="Q1064:Q1065"/>
    <mergeCell ref="R1064:R1065"/>
    <mergeCell ref="S1064:U1064"/>
    <mergeCell ref="V1064:X1064"/>
    <mergeCell ref="C1048:AD1048"/>
    <mergeCell ref="C1049:AD1049"/>
    <mergeCell ref="B1056:AD1056"/>
    <mergeCell ref="C1057:AD1057"/>
    <mergeCell ref="D1083:L1083"/>
    <mergeCell ref="V1078:X1078"/>
    <mergeCell ref="Y1078:AA1078"/>
    <mergeCell ref="AB1078:AD1078"/>
    <mergeCell ref="D1080:L1080"/>
    <mergeCell ref="D1081:L1081"/>
    <mergeCell ref="D1082:L1082"/>
    <mergeCell ref="D1071:O1071"/>
    <mergeCell ref="D1072:O1072"/>
    <mergeCell ref="D1073:O1073"/>
    <mergeCell ref="AA1076:AD1076"/>
    <mergeCell ref="C1077:L1079"/>
    <mergeCell ref="M1077:AD1077"/>
    <mergeCell ref="M1078:O1078"/>
    <mergeCell ref="P1078:R1078"/>
    <mergeCell ref="S1078:U1078"/>
    <mergeCell ref="C1092:AD1092"/>
    <mergeCell ref="C1093:AD1093"/>
    <mergeCell ref="B1100:AD1100"/>
    <mergeCell ref="C1101:AD1101"/>
    <mergeCell ref="P1108:R1108"/>
    <mergeCell ref="S1108:U1108"/>
    <mergeCell ref="C1161:AD1161"/>
    <mergeCell ref="C1163:S1164"/>
    <mergeCell ref="T1163:AD1163"/>
    <mergeCell ref="D1165:S1165"/>
    <mergeCell ref="D1166:S1166"/>
    <mergeCell ref="D1167:S1167"/>
    <mergeCell ref="C1151:AD1151"/>
    <mergeCell ref="B1158:AD1158"/>
    <mergeCell ref="C1160:AD1160"/>
    <mergeCell ref="D1143:L1143"/>
    <mergeCell ref="D1144:L1144"/>
    <mergeCell ref="D1145:L1145"/>
    <mergeCell ref="C1150:AD1150"/>
    <mergeCell ref="AB1136:AD1136"/>
    <mergeCell ref="D1138:L1138"/>
    <mergeCell ref="D1139:L1139"/>
    <mergeCell ref="D1140:L1140"/>
    <mergeCell ref="D1141:L1141"/>
    <mergeCell ref="D1142:L1142"/>
    <mergeCell ref="P1136:R1136"/>
    <mergeCell ref="S1136:U1136"/>
    <mergeCell ref="V1136:X1136"/>
    <mergeCell ref="S1204:V1204"/>
    <mergeCell ref="W1204:Z1204"/>
    <mergeCell ref="AA1204:AD1204"/>
    <mergeCell ref="D1203:H1203"/>
    <mergeCell ref="I1203:N1203"/>
    <mergeCell ref="O1203:R1203"/>
    <mergeCell ref="S1203:V1203"/>
    <mergeCell ref="W1203:Z1203"/>
    <mergeCell ref="AA1203:AD1203"/>
    <mergeCell ref="Y1136:AA1136"/>
    <mergeCell ref="D1180:S1180"/>
    <mergeCell ref="D1181:S1181"/>
    <mergeCell ref="C1184:AD1184"/>
    <mergeCell ref="C1185:AD1185"/>
    <mergeCell ref="B1192:AD1192"/>
    <mergeCell ref="D1174:S1174"/>
    <mergeCell ref="D1175:S1175"/>
    <mergeCell ref="D1176:S1176"/>
    <mergeCell ref="D1177:S1177"/>
    <mergeCell ref="D1178:S1178"/>
    <mergeCell ref="D1179:S1179"/>
    <mergeCell ref="D1168:S1168"/>
    <mergeCell ref="D1169:S1169"/>
    <mergeCell ref="D1170:S1170"/>
    <mergeCell ref="D1171:S1171"/>
    <mergeCell ref="D1172:S1172"/>
    <mergeCell ref="D1173:S1173"/>
    <mergeCell ref="B1190:AE1190"/>
    <mergeCell ref="D1208:H1208"/>
    <mergeCell ref="I1208:N1208"/>
    <mergeCell ref="O1208:R1208"/>
    <mergeCell ref="S1208:V1208"/>
    <mergeCell ref="W1208:Z1208"/>
    <mergeCell ref="AA1208:AD1208"/>
    <mergeCell ref="D1207:H1207"/>
    <mergeCell ref="I1207:N1207"/>
    <mergeCell ref="O1207:R1207"/>
    <mergeCell ref="AA1201:AD1201"/>
    <mergeCell ref="D1202:H1202"/>
    <mergeCell ref="I1202:N1202"/>
    <mergeCell ref="O1202:R1202"/>
    <mergeCell ref="S1202:V1202"/>
    <mergeCell ref="W1202:Z1202"/>
    <mergeCell ref="AA1202:AD1202"/>
    <mergeCell ref="B1196:AD1196"/>
    <mergeCell ref="C1200:H1201"/>
    <mergeCell ref="I1200:N1201"/>
    <mergeCell ref="O1200:AD1200"/>
    <mergeCell ref="O1201:R1201"/>
    <mergeCell ref="S1201:V1201"/>
    <mergeCell ref="W1201:Z1201"/>
    <mergeCell ref="D1205:H1205"/>
    <mergeCell ref="I1205:N1205"/>
    <mergeCell ref="O1205:R1205"/>
    <mergeCell ref="S1205:V1205"/>
    <mergeCell ref="W1205:Z1205"/>
    <mergeCell ref="AA1205:AD1205"/>
    <mergeCell ref="D1204:H1204"/>
    <mergeCell ref="I1204:N1204"/>
    <mergeCell ref="O1204:R1204"/>
    <mergeCell ref="AA1231:AD1231"/>
    <mergeCell ref="C1232:F1236"/>
    <mergeCell ref="G1232:I1236"/>
    <mergeCell ref="J1232:AD1232"/>
    <mergeCell ref="J1233:J1236"/>
    <mergeCell ref="K1233:K1236"/>
    <mergeCell ref="L1233:L1236"/>
    <mergeCell ref="M1233:O1235"/>
    <mergeCell ref="B1220:AD1220"/>
    <mergeCell ref="B1221:AD1221"/>
    <mergeCell ref="B1222:AD1222"/>
    <mergeCell ref="C1213:AD1213"/>
    <mergeCell ref="S1207:V1207"/>
    <mergeCell ref="W1207:Z1207"/>
    <mergeCell ref="AA1207:AD1207"/>
    <mergeCell ref="D1206:H1206"/>
    <mergeCell ref="I1206:N1206"/>
    <mergeCell ref="O1206:R1206"/>
    <mergeCell ref="S1206:V1206"/>
    <mergeCell ref="W1206:Z1206"/>
    <mergeCell ref="AA1206:AD1206"/>
    <mergeCell ref="O1210:R1210"/>
    <mergeCell ref="S1210:V1210"/>
    <mergeCell ref="W1210:Z1210"/>
    <mergeCell ref="AA1210:AD1210"/>
    <mergeCell ref="C1212:AD1212"/>
    <mergeCell ref="D1209:H1209"/>
    <mergeCell ref="I1209:N1209"/>
    <mergeCell ref="O1209:R1209"/>
    <mergeCell ref="S1209:V1209"/>
    <mergeCell ref="W1209:Z1209"/>
    <mergeCell ref="AA1209:AD1209"/>
    <mergeCell ref="D1240:F1240"/>
    <mergeCell ref="G1240:I1240"/>
    <mergeCell ref="D1241:F1241"/>
    <mergeCell ref="G1241:I1241"/>
    <mergeCell ref="D1242:F1242"/>
    <mergeCell ref="G1242:I1242"/>
    <mergeCell ref="D1237:F1237"/>
    <mergeCell ref="G1237:I1237"/>
    <mergeCell ref="D1238:F1238"/>
    <mergeCell ref="G1238:I1238"/>
    <mergeCell ref="D1239:F1239"/>
    <mergeCell ref="G1239:I1239"/>
    <mergeCell ref="P1233:AD1233"/>
    <mergeCell ref="P1234:AD1234"/>
    <mergeCell ref="P1235:R1235"/>
    <mergeCell ref="S1235:U1235"/>
    <mergeCell ref="V1235:X1235"/>
    <mergeCell ref="Y1235:AA1235"/>
    <mergeCell ref="AB1235:AD1235"/>
    <mergeCell ref="D1253:F1253"/>
    <mergeCell ref="D1254:F1254"/>
    <mergeCell ref="D1255:F1255"/>
    <mergeCell ref="D1256:F1256"/>
    <mergeCell ref="D1257:F1257"/>
    <mergeCell ref="D1258:F1258"/>
    <mergeCell ref="V1250:X1251"/>
    <mergeCell ref="Y1250:AA1251"/>
    <mergeCell ref="AB1250:AD1251"/>
    <mergeCell ref="G1251:I1251"/>
    <mergeCell ref="J1251:L1251"/>
    <mergeCell ref="M1251:O1251"/>
    <mergeCell ref="P1251:R1251"/>
    <mergeCell ref="D1243:F1243"/>
    <mergeCell ref="G1243:I1243"/>
    <mergeCell ref="D1244:F1244"/>
    <mergeCell ref="G1244:I1244"/>
    <mergeCell ref="AA1247:AD1247"/>
    <mergeCell ref="C1248:F1252"/>
    <mergeCell ref="G1248:AD1248"/>
    <mergeCell ref="G1249:AD1249"/>
    <mergeCell ref="G1250:R1250"/>
    <mergeCell ref="S1250:U1251"/>
    <mergeCell ref="D1270:F1270"/>
    <mergeCell ref="D1271:F1271"/>
    <mergeCell ref="D1272:F1272"/>
    <mergeCell ref="D1273:F1273"/>
    <mergeCell ref="D1274:F1274"/>
    <mergeCell ref="D1275:F1275"/>
    <mergeCell ref="J1266:L1267"/>
    <mergeCell ref="M1266:O1267"/>
    <mergeCell ref="P1266:R1267"/>
    <mergeCell ref="S1266:U1267"/>
    <mergeCell ref="V1266:X1267"/>
    <mergeCell ref="D1269:F1269"/>
    <mergeCell ref="D1259:F1259"/>
    <mergeCell ref="D1260:F1260"/>
    <mergeCell ref="AA1263:AD1263"/>
    <mergeCell ref="C1264:F1268"/>
    <mergeCell ref="G1264:AD1264"/>
    <mergeCell ref="G1265:O1265"/>
    <mergeCell ref="P1265:X1265"/>
    <mergeCell ref="Y1265:AA1267"/>
    <mergeCell ref="AB1265:AD1267"/>
    <mergeCell ref="G1266:I1267"/>
    <mergeCell ref="D1295:O1295"/>
    <mergeCell ref="D1296:O1296"/>
    <mergeCell ref="D1297:O1297"/>
    <mergeCell ref="D1298:O1298"/>
    <mergeCell ref="D1299:O1299"/>
    <mergeCell ref="D1300:O1300"/>
    <mergeCell ref="AA1291:AD1291"/>
    <mergeCell ref="C1292:O1294"/>
    <mergeCell ref="P1292:AD1292"/>
    <mergeCell ref="P1293:P1294"/>
    <mergeCell ref="Q1293:Q1294"/>
    <mergeCell ref="R1293:R1294"/>
    <mergeCell ref="S1293:U1293"/>
    <mergeCell ref="V1293:X1293"/>
    <mergeCell ref="Y1293:AA1293"/>
    <mergeCell ref="AB1293:AD1293"/>
    <mergeCell ref="D1276:F1276"/>
    <mergeCell ref="C1279:AD1279"/>
    <mergeCell ref="C1280:AD1280"/>
    <mergeCell ref="B1287:AD1287"/>
    <mergeCell ref="C1289:AD1289"/>
    <mergeCell ref="D1314:L1314"/>
    <mergeCell ref="D1315:L1315"/>
    <mergeCell ref="D1316:L1316"/>
    <mergeCell ref="C1319:AD1319"/>
    <mergeCell ref="C1320:AD1320"/>
    <mergeCell ref="B1327:AD1327"/>
    <mergeCell ref="AB1307:AD1307"/>
    <mergeCell ref="D1309:L1309"/>
    <mergeCell ref="D1310:L1310"/>
    <mergeCell ref="D1311:L1311"/>
    <mergeCell ref="D1312:L1312"/>
    <mergeCell ref="D1313:L1313"/>
    <mergeCell ref="D1301:O1301"/>
    <mergeCell ref="D1302:O1302"/>
    <mergeCell ref="AA1305:AD1305"/>
    <mergeCell ref="C1306:L1308"/>
    <mergeCell ref="M1306:AD1306"/>
    <mergeCell ref="M1307:O1307"/>
    <mergeCell ref="P1307:R1307"/>
    <mergeCell ref="S1307:U1307"/>
    <mergeCell ref="V1307:X1307"/>
    <mergeCell ref="Y1307:AA1307"/>
    <mergeCell ref="D1336:F1336"/>
    <mergeCell ref="D1337:F1337"/>
    <mergeCell ref="D1338:F1338"/>
    <mergeCell ref="D1339:F1339"/>
    <mergeCell ref="D1340:F1340"/>
    <mergeCell ref="C1343:AD1343"/>
    <mergeCell ref="V1331:X1331"/>
    <mergeCell ref="Y1331:AA1331"/>
    <mergeCell ref="AB1331:AD1331"/>
    <mergeCell ref="D1333:F1333"/>
    <mergeCell ref="D1334:F1334"/>
    <mergeCell ref="D1335:F1335"/>
    <mergeCell ref="C1328:AD1328"/>
    <mergeCell ref="C1330:F1332"/>
    <mergeCell ref="G1330:AD1330"/>
    <mergeCell ref="G1331:G1332"/>
    <mergeCell ref="H1331:H1332"/>
    <mergeCell ref="I1331:I1332"/>
    <mergeCell ref="J1331:L1331"/>
    <mergeCell ref="M1331:O1331"/>
    <mergeCell ref="P1331:R1331"/>
    <mergeCell ref="S1331:U1331"/>
    <mergeCell ref="Y1382:AA1382"/>
    <mergeCell ref="AB1382:AD1382"/>
    <mergeCell ref="D1384:R1384"/>
    <mergeCell ref="D1385:R1385"/>
    <mergeCell ref="C1344:AD1344"/>
    <mergeCell ref="B1375:AD1375"/>
    <mergeCell ref="C1377:AD1377"/>
    <mergeCell ref="AA1379:AD1379"/>
    <mergeCell ref="C1380:R1383"/>
    <mergeCell ref="S1380:AD1380"/>
    <mergeCell ref="S1381:S1383"/>
    <mergeCell ref="T1381:T1383"/>
    <mergeCell ref="U1381:U1383"/>
    <mergeCell ref="D1357:L1357"/>
    <mergeCell ref="M1357:R1357"/>
    <mergeCell ref="S1357:X1357"/>
    <mergeCell ref="Y1357:AD1357"/>
    <mergeCell ref="D1358:L1358"/>
    <mergeCell ref="M1358:R1358"/>
    <mergeCell ref="S1358:X1358"/>
    <mergeCell ref="Y1358:AD1358"/>
    <mergeCell ref="D1359:L1359"/>
    <mergeCell ref="M1359:R1359"/>
    <mergeCell ref="S1359:X1359"/>
    <mergeCell ref="D1364:L1364"/>
    <mergeCell ref="M1364:R1364"/>
    <mergeCell ref="S1364:X1364"/>
    <mergeCell ref="Y1364:AD1364"/>
    <mergeCell ref="C1376:AD1376"/>
    <mergeCell ref="B1351:AD1351"/>
    <mergeCell ref="C1352:AD1352"/>
    <mergeCell ref="C1353:AD1353"/>
    <mergeCell ref="D1405:O1405"/>
    <mergeCell ref="D1406:O1406"/>
    <mergeCell ref="C1409:AD1409"/>
    <mergeCell ref="C1410:AD1410"/>
    <mergeCell ref="D1399:O1399"/>
    <mergeCell ref="D1400:O1400"/>
    <mergeCell ref="D1401:O1401"/>
    <mergeCell ref="D1402:O1402"/>
    <mergeCell ref="D1403:O1403"/>
    <mergeCell ref="D1404:O1404"/>
    <mergeCell ref="AA1394:AD1394"/>
    <mergeCell ref="C1395:O1398"/>
    <mergeCell ref="P1395:AD1395"/>
    <mergeCell ref="P1396:X1396"/>
    <mergeCell ref="Y1396:AA1397"/>
    <mergeCell ref="AB1396:AD1397"/>
    <mergeCell ref="P1397:R1397"/>
    <mergeCell ref="S1397:U1397"/>
    <mergeCell ref="V1397:X1397"/>
    <mergeCell ref="C1664:F1668"/>
    <mergeCell ref="G1664:AD1664"/>
    <mergeCell ref="G1665:AD1665"/>
    <mergeCell ref="G1666:R1666"/>
    <mergeCell ref="S1666:U1667"/>
    <mergeCell ref="V1666:X1667"/>
    <mergeCell ref="Y1666:AA1667"/>
    <mergeCell ref="AB1666:AD1667"/>
    <mergeCell ref="G1667:I1667"/>
    <mergeCell ref="J1667:L1667"/>
    <mergeCell ref="M1667:O1667"/>
    <mergeCell ref="P1667:R1667"/>
    <mergeCell ref="AA1647:AD1647"/>
    <mergeCell ref="C1648:F1652"/>
    <mergeCell ref="G1648:I1652"/>
    <mergeCell ref="J1648:AD1648"/>
    <mergeCell ref="J1649:J1652"/>
    <mergeCell ref="K1649:K1652"/>
    <mergeCell ref="L1649:L1652"/>
    <mergeCell ref="M1649:O1651"/>
    <mergeCell ref="P1649:AD1649"/>
    <mergeCell ref="P1650:AD1650"/>
    <mergeCell ref="P1651:R1651"/>
    <mergeCell ref="S1651:U1651"/>
    <mergeCell ref="V1651:X1651"/>
    <mergeCell ref="Y1651:AA1651"/>
    <mergeCell ref="AB1651:AD1651"/>
    <mergeCell ref="D1653:F1653"/>
    <mergeCell ref="G1653:I1653"/>
    <mergeCell ref="D1671:F1671"/>
    <mergeCell ref="D1672:F1672"/>
    <mergeCell ref="D1673:F1673"/>
    <mergeCell ref="D1686:F1686"/>
    <mergeCell ref="D1687:F1687"/>
    <mergeCell ref="D1688:F1688"/>
    <mergeCell ref="D1689:F1689"/>
    <mergeCell ref="D1690:F1690"/>
    <mergeCell ref="D1691:F1691"/>
    <mergeCell ref="D1692:F1692"/>
    <mergeCell ref="C1695:AD1695"/>
    <mergeCell ref="C1696:AD1696"/>
    <mergeCell ref="D1674:F1674"/>
    <mergeCell ref="D1675:F1675"/>
    <mergeCell ref="D1676:F1676"/>
    <mergeCell ref="AA1679:AD1679"/>
    <mergeCell ref="C1680:F1684"/>
    <mergeCell ref="G1680:AD1680"/>
    <mergeCell ref="G1681:O1681"/>
    <mergeCell ref="P1681:X1681"/>
    <mergeCell ref="Y1681:AA1683"/>
    <mergeCell ref="AB1681:AD1683"/>
    <mergeCell ref="G1682:I1683"/>
    <mergeCell ref="J1682:L1683"/>
    <mergeCell ref="M1682:O1683"/>
    <mergeCell ref="P1682:R1683"/>
    <mergeCell ref="S1682:U1683"/>
    <mergeCell ref="V1682:X1683"/>
    <mergeCell ref="D1685:F1685"/>
    <mergeCell ref="BD135:BF135"/>
    <mergeCell ref="B148:AE148"/>
    <mergeCell ref="B151:AD151"/>
    <mergeCell ref="B152:AD152"/>
    <mergeCell ref="B153:AD153"/>
    <mergeCell ref="B154:AD154"/>
    <mergeCell ref="BD160:BF160"/>
    <mergeCell ref="B174:AD174"/>
    <mergeCell ref="B175:AD175"/>
    <mergeCell ref="B176:AD176"/>
    <mergeCell ref="B177:AD177"/>
    <mergeCell ref="AG199:AI199"/>
    <mergeCell ref="B213:AD213"/>
    <mergeCell ref="B214:AD214"/>
    <mergeCell ref="B215:AD215"/>
    <mergeCell ref="D1669:F1669"/>
    <mergeCell ref="D1670:F1670"/>
    <mergeCell ref="D1654:F1654"/>
    <mergeCell ref="G1654:I1654"/>
    <mergeCell ref="D1655:F1655"/>
    <mergeCell ref="G1655:I1655"/>
    <mergeCell ref="D1656:F1656"/>
    <mergeCell ref="G1656:I1656"/>
    <mergeCell ref="D1657:F1657"/>
    <mergeCell ref="G1657:I1657"/>
    <mergeCell ref="D1658:F1658"/>
    <mergeCell ref="G1658:I1658"/>
    <mergeCell ref="D1659:F1659"/>
    <mergeCell ref="G1659:I1659"/>
    <mergeCell ref="D1660:F1660"/>
    <mergeCell ref="G1660:I1660"/>
    <mergeCell ref="AA1663:AD1663"/>
    <mergeCell ref="AG238:AI238"/>
    <mergeCell ref="B266:AD266"/>
    <mergeCell ref="B267:AD267"/>
    <mergeCell ref="B268:AD268"/>
    <mergeCell ref="B269:AD269"/>
    <mergeCell ref="AG291:AI291"/>
    <mergeCell ref="B305:AD305"/>
    <mergeCell ref="B306:AD306"/>
    <mergeCell ref="B307:AD307"/>
    <mergeCell ref="B308:AD308"/>
    <mergeCell ref="AU314:AW314"/>
    <mergeCell ref="B328:AD328"/>
    <mergeCell ref="B329:AD329"/>
    <mergeCell ref="B330:AD330"/>
    <mergeCell ref="B331:AD331"/>
    <mergeCell ref="AL338:AN338"/>
    <mergeCell ref="BC135:BC136"/>
    <mergeCell ref="D319:R319"/>
    <mergeCell ref="D320:R320"/>
    <mergeCell ref="D321:R321"/>
    <mergeCell ref="D322:R322"/>
    <mergeCell ref="D323:R323"/>
    <mergeCell ref="C326:AD326"/>
    <mergeCell ref="V314:X314"/>
    <mergeCell ref="Y314:AA314"/>
    <mergeCell ref="AB314:AD314"/>
    <mergeCell ref="D316:R316"/>
    <mergeCell ref="D317:R317"/>
    <mergeCell ref="D318:R318"/>
    <mergeCell ref="D299:O299"/>
    <mergeCell ref="D300:O300"/>
    <mergeCell ref="C303:AD303"/>
    <mergeCell ref="AG397:AI397"/>
    <mergeCell ref="B427:AD427"/>
    <mergeCell ref="B428:AD428"/>
    <mergeCell ref="B429:AD429"/>
    <mergeCell ref="B430:AD430"/>
    <mergeCell ref="BD437:BF437"/>
    <mergeCell ref="B451:AD451"/>
    <mergeCell ref="B452:AD452"/>
    <mergeCell ref="B453:AD453"/>
    <mergeCell ref="B454:AE454"/>
    <mergeCell ref="AU461:AW461"/>
    <mergeCell ref="B475:AD475"/>
    <mergeCell ref="B476:AD476"/>
    <mergeCell ref="B477:AD477"/>
    <mergeCell ref="B478:AE478"/>
    <mergeCell ref="BG505:BI505"/>
    <mergeCell ref="BF505:BF506"/>
    <mergeCell ref="B493:AD493"/>
    <mergeCell ref="B498:AD498"/>
    <mergeCell ref="C499:AD499"/>
    <mergeCell ref="C487:AD487"/>
    <mergeCell ref="C488:AD488"/>
    <mergeCell ref="C489:AD489"/>
    <mergeCell ref="C490:AD490"/>
    <mergeCell ref="C491:AD491"/>
    <mergeCell ref="C492:AD492"/>
    <mergeCell ref="C474:AD474"/>
    <mergeCell ref="B481:AD481"/>
    <mergeCell ref="B482:AD482"/>
    <mergeCell ref="C483:AD483"/>
    <mergeCell ref="B485:AD485"/>
    <mergeCell ref="B486:AD486"/>
    <mergeCell ref="AU632:BF632"/>
    <mergeCell ref="AU633:AW633"/>
    <mergeCell ref="AX633:AZ633"/>
    <mergeCell ref="BA633:BC633"/>
    <mergeCell ref="BD633:BF633"/>
    <mergeCell ref="B647:AD647"/>
    <mergeCell ref="B648:AD648"/>
    <mergeCell ref="B649:AD649"/>
    <mergeCell ref="B650:AE650"/>
    <mergeCell ref="B679:AD679"/>
    <mergeCell ref="B680:AD680"/>
    <mergeCell ref="B681:AD681"/>
    <mergeCell ref="BF530:BF531"/>
    <mergeCell ref="BG530:BI530"/>
    <mergeCell ref="B543:AE543"/>
    <mergeCell ref="B546:AD546"/>
    <mergeCell ref="B547:AD547"/>
    <mergeCell ref="B548:AD548"/>
    <mergeCell ref="B549:AE549"/>
    <mergeCell ref="BF555:BF556"/>
    <mergeCell ref="BG555:BI555"/>
    <mergeCell ref="B568:AE568"/>
    <mergeCell ref="B571:AD571"/>
    <mergeCell ref="B572:AD572"/>
    <mergeCell ref="B573:AD573"/>
    <mergeCell ref="B574:AE574"/>
    <mergeCell ref="AG605:AI605"/>
    <mergeCell ref="B619:AD619"/>
    <mergeCell ref="B620:AD620"/>
    <mergeCell ref="D640:R640"/>
    <mergeCell ref="D641:R641"/>
    <mergeCell ref="D642:R642"/>
    <mergeCell ref="AX790:AX791"/>
    <mergeCell ref="B798:AE798"/>
    <mergeCell ref="B809:AD809"/>
    <mergeCell ref="B810:AD810"/>
    <mergeCell ref="B811:AE811"/>
    <mergeCell ref="B812:AE812"/>
    <mergeCell ref="B682:AD682"/>
    <mergeCell ref="B683:AE683"/>
    <mergeCell ref="AK695:AK699"/>
    <mergeCell ref="AL695:AL699"/>
    <mergeCell ref="AM695:AM699"/>
    <mergeCell ref="AN695:AN699"/>
    <mergeCell ref="AO696:AO699"/>
    <mergeCell ref="AP697:AR698"/>
    <mergeCell ref="AS697:AU698"/>
    <mergeCell ref="AZ698:AZ699"/>
    <mergeCell ref="B714:AE714"/>
    <mergeCell ref="B717:AD717"/>
    <mergeCell ref="B718:AD718"/>
    <mergeCell ref="B719:AD719"/>
    <mergeCell ref="B720:AD720"/>
    <mergeCell ref="B721:AD721"/>
    <mergeCell ref="B722:AD722"/>
    <mergeCell ref="D802:P802"/>
    <mergeCell ref="R802:AD802"/>
    <mergeCell ref="D803:P803"/>
    <mergeCell ref="R803:AD803"/>
    <mergeCell ref="D804:P804"/>
    <mergeCell ref="R804:AD804"/>
    <mergeCell ref="C797:E797"/>
    <mergeCell ref="F797:AD797"/>
    <mergeCell ref="C799:AD799"/>
    <mergeCell ref="B824:AD824"/>
    <mergeCell ref="B825:AD825"/>
    <mergeCell ref="B826:AD826"/>
    <mergeCell ref="AK835:AM835"/>
    <mergeCell ref="AN835:AN836"/>
    <mergeCell ref="AO835:AQ835"/>
    <mergeCell ref="B854:AE854"/>
    <mergeCell ref="AL736:AN736"/>
    <mergeCell ref="AP736:AP737"/>
    <mergeCell ref="AQ736:AQ737"/>
    <mergeCell ref="B774:AE774"/>
    <mergeCell ref="B777:AD777"/>
    <mergeCell ref="B778:AD778"/>
    <mergeCell ref="B779:AD779"/>
    <mergeCell ref="B780:AE780"/>
    <mergeCell ref="B781:AE781"/>
    <mergeCell ref="AH789:AH791"/>
    <mergeCell ref="AI790:AT790"/>
    <mergeCell ref="S850:X850"/>
    <mergeCell ref="Y850:AD850"/>
    <mergeCell ref="M851:R851"/>
    <mergeCell ref="S851:X851"/>
    <mergeCell ref="Y851:AD851"/>
    <mergeCell ref="D838:L838"/>
    <mergeCell ref="M838:R838"/>
    <mergeCell ref="S838:X838"/>
    <mergeCell ref="Y838:AD838"/>
    <mergeCell ref="D839:L839"/>
    <mergeCell ref="M839:R839"/>
    <mergeCell ref="S839:X839"/>
    <mergeCell ref="Y839:AD839"/>
    <mergeCell ref="D848:L848"/>
  </mergeCells>
  <conditionalFormatting sqref="C954:C960">
    <cfRule type="expression" dxfId="1026" priority="105">
      <formula>$C$961="X"</formula>
    </cfRule>
  </conditionalFormatting>
  <conditionalFormatting sqref="C954:C961">
    <cfRule type="expression" dxfId="1025" priority="107">
      <formula>$C$962="X"</formula>
    </cfRule>
  </conditionalFormatting>
  <conditionalFormatting sqref="C962">
    <cfRule type="expression" dxfId="1024" priority="106">
      <formula>$C$961="X"</formula>
    </cfRule>
  </conditionalFormatting>
  <conditionalFormatting sqref="C980:C986">
    <cfRule type="expression" dxfId="1023" priority="97">
      <formula>$C$987="X"</formula>
    </cfRule>
  </conditionalFormatting>
  <conditionalFormatting sqref="C980:C987">
    <cfRule type="expression" dxfId="1022" priority="95">
      <formula>$C$988="X"</formula>
    </cfRule>
  </conditionalFormatting>
  <conditionalFormatting sqref="C988">
    <cfRule type="expression" dxfId="1021" priority="96">
      <formula>$C$987="X"</formula>
    </cfRule>
  </conditionalFormatting>
  <conditionalFormatting sqref="C29:AD29">
    <cfRule type="expression" dxfId="1020" priority="200">
      <formula>$AW$60&gt;0</formula>
    </cfRule>
  </conditionalFormatting>
  <conditionalFormatting sqref="C31:AD31">
    <cfRule type="expression" dxfId="1019" priority="199">
      <formula>$AU$60&gt;0</formula>
    </cfRule>
  </conditionalFormatting>
  <conditionalFormatting sqref="C32:AD32">
    <cfRule type="expression" dxfId="1018" priority="198">
      <formula>AND($AJ$60&gt;0,$C$97="")</formula>
    </cfRule>
  </conditionalFormatting>
  <conditionalFormatting sqref="C34:AD34">
    <cfRule type="expression" dxfId="1017" priority="197">
      <formula>$AK$60&gt;0</formula>
    </cfRule>
  </conditionalFormatting>
  <conditionalFormatting sqref="C35:AD35">
    <cfRule type="expression" dxfId="1016" priority="196">
      <formula>$AL$60&gt;0</formula>
    </cfRule>
  </conditionalFormatting>
  <conditionalFormatting sqref="C36:AD36">
    <cfRule type="expression" dxfId="1015" priority="195">
      <formula>$AM$60&gt;0</formula>
    </cfRule>
  </conditionalFormatting>
  <conditionalFormatting sqref="C39:AD39">
    <cfRule type="expression" dxfId="1014" priority="194">
      <formula>AND($AO$60&gt;0,$C$97="")</formula>
    </cfRule>
  </conditionalFormatting>
  <conditionalFormatting sqref="C40:AD40">
    <cfRule type="expression" dxfId="1013" priority="193">
      <formula>$AN$60&gt;0</formula>
    </cfRule>
  </conditionalFormatting>
  <conditionalFormatting sqref="C41:AD41">
    <cfRule type="expression" dxfId="1012" priority="192">
      <formula>$AS$51&gt;0</formula>
    </cfRule>
  </conditionalFormatting>
  <conditionalFormatting sqref="C42:AD42">
    <cfRule type="expression" dxfId="1011" priority="190">
      <formula>$AC$51&lt;&gt;""</formula>
    </cfRule>
  </conditionalFormatting>
  <conditionalFormatting sqref="C44:AD44">
    <cfRule type="expression" dxfId="1010" priority="189">
      <formula>$AX$60&gt;0</formula>
    </cfRule>
  </conditionalFormatting>
  <conditionalFormatting sqref="C46:AD46">
    <cfRule type="expression" dxfId="1009" priority="188">
      <formula>AND(AR60&gt;0,F61="")</formula>
    </cfRule>
  </conditionalFormatting>
  <conditionalFormatting sqref="C132:AD132">
    <cfRule type="expression" dxfId="1008" priority="186">
      <formula>AND(BC137&gt;0,F147="")</formula>
    </cfRule>
  </conditionalFormatting>
  <conditionalFormatting sqref="C434:AD434">
    <cfRule type="expression" dxfId="1007" priority="183">
      <formula>$BF$448&gt;0</formula>
    </cfRule>
  </conditionalFormatting>
  <conditionalFormatting sqref="C458:AD458">
    <cfRule type="expression" dxfId="1006" priority="182">
      <formula>$AW$472&gt;0</formula>
    </cfRule>
  </conditionalFormatting>
  <conditionalFormatting sqref="C499:AD499">
    <cfRule type="expression" dxfId="1005" priority="178">
      <formula>AND($BI$516&gt;0,$C$520="")</formula>
    </cfRule>
    <cfRule type="expression" dxfId="1004" priority="173">
      <formula>AND($BI$541&gt;0,$C$545="")</formula>
    </cfRule>
    <cfRule type="expression" dxfId="1003" priority="172">
      <formula>AND($BI$566&gt;0,$C$570="")</formula>
    </cfRule>
  </conditionalFormatting>
  <conditionalFormatting sqref="C500:AD500">
    <cfRule type="expression" dxfId="1002" priority="171">
      <formula>AND(BF532&gt;0,F542="")</formula>
    </cfRule>
    <cfRule type="expression" dxfId="1001" priority="180">
      <formula>AND(BF507&gt;0,F517="")</formula>
    </cfRule>
    <cfRule type="expression" dxfId="1000" priority="170">
      <formula>AND(BF557&gt;0,F567="")</formula>
    </cfRule>
  </conditionalFormatting>
  <conditionalFormatting sqref="C585:AD585">
    <cfRule type="expression" dxfId="999" priority="169">
      <formula>AND($AI$616&gt;0,$C$618="")</formula>
    </cfRule>
  </conditionalFormatting>
  <conditionalFormatting sqref="C630:AD630">
    <cfRule type="expression" dxfId="998" priority="168">
      <formula>AND($BF$644&gt;0,$C$646="")</formula>
    </cfRule>
  </conditionalFormatting>
  <conditionalFormatting sqref="C665:AD665">
    <cfRule type="expression" dxfId="997" priority="165">
      <formula>$AV$675&gt;0</formula>
    </cfRule>
  </conditionalFormatting>
  <conditionalFormatting sqref="C668:AD668">
    <cfRule type="expression" dxfId="996" priority="164">
      <formula>$AR$676&gt;0</formula>
    </cfRule>
  </conditionalFormatting>
  <conditionalFormatting sqref="C670:AD670">
    <cfRule type="expression" dxfId="995" priority="163">
      <formula>$AW$675&gt;0</formula>
    </cfRule>
  </conditionalFormatting>
  <conditionalFormatting sqref="C686:AD686">
    <cfRule type="expression" dxfId="994" priority="157">
      <formula>$AX$700&gt;0</formula>
    </cfRule>
  </conditionalFormatting>
  <conditionalFormatting sqref="C687:AD687">
    <cfRule type="expression" dxfId="993" priority="156">
      <formula>$AY$711&gt;0</formula>
    </cfRule>
  </conditionalFormatting>
  <conditionalFormatting sqref="C688:AD688">
    <cfRule type="expression" dxfId="992" priority="155">
      <formula>$AK$700&gt;0</formula>
    </cfRule>
  </conditionalFormatting>
  <conditionalFormatting sqref="C689:AD689">
    <cfRule type="expression" dxfId="991" priority="154">
      <formula>AND($AL$711&gt;0,$C$716="")</formula>
    </cfRule>
  </conditionalFormatting>
  <conditionalFormatting sqref="C690:AD690">
    <cfRule type="expression" dxfId="990" priority="153">
      <formula>$AM$700&gt;0</formula>
    </cfRule>
  </conditionalFormatting>
  <conditionalFormatting sqref="C691:AD691">
    <cfRule type="expression" dxfId="989" priority="152">
      <formula>AND($AN$711&gt;0,$C$716="")</formula>
    </cfRule>
  </conditionalFormatting>
  <conditionalFormatting sqref="C692:AD692">
    <cfRule type="expression" dxfId="988" priority="151">
      <formula>$AO$711&gt;0</formula>
    </cfRule>
  </conditionalFormatting>
  <conditionalFormatting sqref="C693:AD693">
    <cfRule type="expression" dxfId="987" priority="150">
      <formula>$AZ$711&gt;0</formula>
    </cfRule>
  </conditionalFormatting>
  <conditionalFormatting sqref="C694:AD694">
    <cfRule type="expression" dxfId="986" priority="149">
      <formula>$AR$701&gt;0</formula>
    </cfRule>
  </conditionalFormatting>
  <conditionalFormatting sqref="C695:AD695">
    <cfRule type="expression" dxfId="985" priority="148">
      <formula>AND($AU$712&gt;0,$C$716="")</formula>
    </cfRule>
  </conditionalFormatting>
  <conditionalFormatting sqref="C696:AD696">
    <cfRule type="expression" dxfId="984" priority="147">
      <formula>AND(AV700&gt;0,F713="")</formula>
    </cfRule>
  </conditionalFormatting>
  <conditionalFormatting sqref="C731:AD731">
    <cfRule type="expression" dxfId="983" priority="140">
      <formula>$AO$772&gt;0</formula>
    </cfRule>
  </conditionalFormatting>
  <conditionalFormatting sqref="C732:AD732">
    <cfRule type="expression" dxfId="982" priority="139">
      <formula>$AP$738&gt;0</formula>
    </cfRule>
  </conditionalFormatting>
  <conditionalFormatting sqref="C733:AD733">
    <cfRule type="expression" dxfId="981" priority="138">
      <formula>$AN$773&gt;0</formula>
    </cfRule>
  </conditionalFormatting>
  <conditionalFormatting sqref="C734:AD734">
    <cfRule type="expression" dxfId="980" priority="137">
      <formula>AND(AK738&gt;0,F773="")</formula>
    </cfRule>
  </conditionalFormatting>
  <conditionalFormatting sqref="C784:AD784">
    <cfRule type="expression" dxfId="979" priority="133">
      <formula>$AW$795&gt;0</formula>
    </cfRule>
  </conditionalFormatting>
  <conditionalFormatting sqref="C785:AD785">
    <cfRule type="expression" dxfId="978" priority="132">
      <formula>$AH$795&gt;0</formula>
    </cfRule>
  </conditionalFormatting>
  <conditionalFormatting sqref="C786:AD786">
    <cfRule type="expression" dxfId="977" priority="131">
      <formula>AND($AT$795&gt;0,$C$808="")</formula>
    </cfRule>
  </conditionalFormatting>
  <conditionalFormatting sqref="C787:AD787">
    <cfRule type="expression" dxfId="976" priority="130">
      <formula>AND(AU792&gt;0,F797="")</formula>
    </cfRule>
  </conditionalFormatting>
  <conditionalFormatting sqref="C831:AD831">
    <cfRule type="expression" dxfId="975" priority="129">
      <formula>$AM$838&gt;0</formula>
    </cfRule>
  </conditionalFormatting>
  <conditionalFormatting sqref="C832:AD832">
    <cfRule type="expression" dxfId="974" priority="128">
      <formula>AND($AQ$852&gt;0,$C$856="")</formula>
    </cfRule>
  </conditionalFormatting>
  <conditionalFormatting sqref="C833:AD833">
    <cfRule type="expression" dxfId="973" priority="125">
      <formula>AND(AN837&gt;0,G853="")</formula>
    </cfRule>
  </conditionalFormatting>
  <conditionalFormatting sqref="C865:AD865">
    <cfRule type="expression" dxfId="972" priority="119">
      <formula>$AK$887&gt;0</formula>
    </cfRule>
  </conditionalFormatting>
  <conditionalFormatting sqref="C867:AD867">
    <cfRule type="expression" dxfId="971" priority="118">
      <formula>AND(AI871&gt;0,G888="")</formula>
    </cfRule>
  </conditionalFormatting>
  <conditionalFormatting sqref="C868:AD868">
    <cfRule type="expression" dxfId="970" priority="117">
      <formula>AND(AJ871&gt;0,G890="")</formula>
    </cfRule>
  </conditionalFormatting>
  <conditionalFormatting sqref="C909:AD909">
    <cfRule type="expression" dxfId="969" priority="112">
      <formula>$AP$933&gt;0</formula>
    </cfRule>
  </conditionalFormatting>
  <conditionalFormatting sqref="C910:AD910">
    <cfRule type="expression" dxfId="968" priority="111">
      <formula>$AQ$917&gt;0</formula>
    </cfRule>
  </conditionalFormatting>
  <conditionalFormatting sqref="C911:AD911">
    <cfRule type="expression" dxfId="967" priority="110">
      <formula>$AM$934&gt;0</formula>
    </cfRule>
  </conditionalFormatting>
  <conditionalFormatting sqref="C912:AD912">
    <cfRule type="expression" dxfId="966" priority="109">
      <formula>AND($AN$933&gt;0,$C$937="")</formula>
    </cfRule>
  </conditionalFormatting>
  <conditionalFormatting sqref="C913:AD913">
    <cfRule type="expression" dxfId="965" priority="108">
      <formula>AND(AO917&gt;0,F934="")</formula>
    </cfRule>
  </conditionalFormatting>
  <conditionalFormatting sqref="C952:AD952">
    <cfRule type="expression" dxfId="964" priority="104">
      <formula>$AH$953&gt;0</formula>
    </cfRule>
  </conditionalFormatting>
  <conditionalFormatting sqref="C978:AD978">
    <cfRule type="expression" dxfId="963" priority="92">
      <formula>$AH$979&gt;0</formula>
    </cfRule>
  </conditionalFormatting>
  <conditionalFormatting sqref="C1057:AD1057">
    <cfRule type="expression" dxfId="962" priority="88">
      <formula>$BQ$1080&gt;0</formula>
    </cfRule>
  </conditionalFormatting>
  <conditionalFormatting sqref="C1058:AD1058">
    <cfRule type="expression" dxfId="961" priority="87">
      <formula>$AI$1089&gt;0</formula>
    </cfRule>
  </conditionalFormatting>
  <conditionalFormatting sqref="C1059:AD1059">
    <cfRule type="expression" dxfId="960" priority="86">
      <formula>AND($BN$1089&gt;0,$C$1093="")</formula>
    </cfRule>
  </conditionalFormatting>
  <conditionalFormatting sqref="C1060:AD1060">
    <cfRule type="expression" dxfId="959" priority="84">
      <formula>AND(BP1080&gt;0,F1090="")</formula>
    </cfRule>
  </conditionalFormatting>
  <conditionalFormatting sqref="C1101:AD1101">
    <cfRule type="expression" dxfId="958" priority="80">
      <formula>$CL$1132&gt;0</formula>
    </cfRule>
  </conditionalFormatting>
  <conditionalFormatting sqref="C1102:AD1102">
    <cfRule type="expression" dxfId="957" priority="79">
      <formula>$AI$1133&gt;0</formula>
    </cfRule>
  </conditionalFormatting>
  <conditionalFormatting sqref="C1103:AD1103">
    <cfRule type="expression" dxfId="956" priority="78">
      <formula>AND($CI$1133&gt;0,$C$1151="")</formula>
    </cfRule>
  </conditionalFormatting>
  <conditionalFormatting sqref="C1104:AD1104">
    <cfRule type="expression" dxfId="955" priority="81">
      <formula>AND(CK1124&gt;0,F1148="")</formula>
    </cfRule>
  </conditionalFormatting>
  <conditionalFormatting sqref="C1159:AD1159">
    <cfRule type="expression" dxfId="954" priority="73">
      <formula>$AI$1175&gt;0</formula>
    </cfRule>
  </conditionalFormatting>
  <conditionalFormatting sqref="C1160:AD1160">
    <cfRule type="expression" dxfId="953" priority="72">
      <formula>AND($AU$1183&gt;0,$C$1185="")</formula>
    </cfRule>
  </conditionalFormatting>
  <conditionalFormatting sqref="C1161:AD1161">
    <cfRule type="expression" dxfId="952" priority="71">
      <formula>AND($AX$1182&gt;0)</formula>
    </cfRule>
  </conditionalFormatting>
  <conditionalFormatting sqref="C1197:AD1197">
    <cfRule type="expression" dxfId="951" priority="69">
      <formula>$AK$1210&gt;0</formula>
    </cfRule>
  </conditionalFormatting>
  <conditionalFormatting sqref="C1224:AD1224">
    <cfRule type="expression" dxfId="950" priority="48">
      <formula>OR($AK$1309&gt;0,$BK$1333&gt;0,$AP$1357&gt;0,$BK$1399&gt;0)</formula>
    </cfRule>
  </conditionalFormatting>
  <conditionalFormatting sqref="C1225:AD1225">
    <cfRule type="expression" dxfId="949" priority="47">
      <formula>OR($AJ$1317&gt;0,$BJ$1341&gt;0,$AO$1365&gt;0,$BJ$1407&gt;0)</formula>
    </cfRule>
  </conditionalFormatting>
  <conditionalFormatting sqref="C1289:AD1289">
    <cfRule type="expression" dxfId="948" priority="61">
      <formula>$AI$1318&gt;0</formula>
    </cfRule>
  </conditionalFormatting>
  <conditionalFormatting sqref="C1328:AD1328">
    <cfRule type="expression" dxfId="947" priority="60">
      <formula>$BI$1342&gt;0</formula>
    </cfRule>
  </conditionalFormatting>
  <conditionalFormatting sqref="C1353:AD1353">
    <cfRule type="expression" dxfId="946" priority="57">
      <formula>$AN$1366&gt;0</formula>
    </cfRule>
  </conditionalFormatting>
  <conditionalFormatting sqref="C1376:AD1376">
    <cfRule type="expression" dxfId="945" priority="54">
      <formula>$AI$1408&gt;0</formula>
    </cfRule>
  </conditionalFormatting>
  <conditionalFormatting sqref="C1377:AD1377">
    <cfRule type="expression" dxfId="944" priority="53">
      <formula>AND($BH$1408&gt;0,$C$1410="")</formula>
    </cfRule>
  </conditionalFormatting>
  <conditionalFormatting sqref="C1419:AD1419">
    <cfRule type="expression" dxfId="943" priority="14">
      <formula>OR($AK$1506&gt;0,$AY$1530&gt;0,$AK$1570&gt;0,$AT$1598&gt;0,$AL$1621&gt;0)</formula>
    </cfRule>
  </conditionalFormatting>
  <conditionalFormatting sqref="C1420:AD1420">
    <cfRule type="expression" dxfId="942" priority="13">
      <formula>OR($AJ$1514&gt;0,$AX$1538&gt;0,$AJ$1578&gt;0)</formula>
    </cfRule>
  </conditionalFormatting>
  <conditionalFormatting sqref="C1427:AD1427">
    <cfRule type="expression" dxfId="941" priority="43">
      <formula>$CZ$1443&gt;0</formula>
    </cfRule>
  </conditionalFormatting>
  <conditionalFormatting sqref="C1589:AD1589">
    <cfRule type="expression" dxfId="940" priority="28">
      <formula>$AT$1601&gt;0</formula>
    </cfRule>
  </conditionalFormatting>
  <conditionalFormatting sqref="C1590:AD1590">
    <cfRule type="expression" dxfId="939" priority="27">
      <formula>$AT$1604&gt;0</formula>
    </cfRule>
  </conditionalFormatting>
  <conditionalFormatting sqref="C1591:AD1591">
    <cfRule type="expression" dxfId="938" priority="26">
      <formula>$BC$1599&gt;0</formula>
    </cfRule>
  </conditionalFormatting>
  <conditionalFormatting sqref="C1592:AD1592">
    <cfRule type="expression" dxfId="937" priority="25">
      <formula>$AW$1604&gt;0</formula>
    </cfRule>
  </conditionalFormatting>
  <conditionalFormatting sqref="C1615:AD1615">
    <cfRule type="expression" dxfId="936" priority="23">
      <formula>AND($AK$1629&gt;0,$C$1632="")</formula>
    </cfRule>
  </conditionalFormatting>
  <conditionalFormatting sqref="C1617:AD1617">
    <cfRule type="expression" dxfId="935" priority="22">
      <formula>AND($AO$1630&gt;0,$C$1632="")</formula>
    </cfRule>
  </conditionalFormatting>
  <conditionalFormatting sqref="C1645:AD1645">
    <cfRule type="expression" dxfId="934" priority="18">
      <formula>$CZ$1661&gt;0</formula>
    </cfRule>
  </conditionalFormatting>
  <conditionalFormatting sqref="C1704:AD1704">
    <cfRule type="expression" dxfId="933" priority="16">
      <formula>$AX$1718&gt;0</formula>
    </cfRule>
  </conditionalFormatting>
  <conditionalFormatting sqref="C1705:AD1705">
    <cfRule type="expression" dxfId="932" priority="15">
      <formula>$AW$1719&gt;0</formula>
    </cfRule>
  </conditionalFormatting>
  <conditionalFormatting sqref="F773:K773 M773:AD773">
    <cfRule type="expression" dxfId="931" priority="142">
      <formula>AND(AK738&gt;0,F773="")</formula>
    </cfRule>
    <cfRule type="expression" dxfId="930" priority="141">
      <formula>AND(AK738=0,F773="")</formula>
    </cfRule>
  </conditionalFormatting>
  <conditionalFormatting sqref="F61:AD61">
    <cfRule type="expression" dxfId="929" priority="201">
      <formula>AND(AR60=0,F61="")</formula>
    </cfRule>
    <cfRule type="expression" dxfId="928" priority="202">
      <formula>AND(AR60&gt;0,F61="")</formula>
    </cfRule>
  </conditionalFormatting>
  <conditionalFormatting sqref="F147:AD147">
    <cfRule type="expression" dxfId="927" priority="187">
      <formula>AND(BC137&gt;0,F147="")</formula>
    </cfRule>
    <cfRule type="expression" dxfId="926" priority="185">
      <formula>AND(BC137=0,F147="")</formula>
    </cfRule>
  </conditionalFormatting>
  <conditionalFormatting sqref="F517:AD517">
    <cfRule type="expression" dxfId="925" priority="179">
      <formula>AND(BF507=0,F517="")</formula>
    </cfRule>
    <cfRule type="expression" dxfId="924" priority="181">
      <formula>AND(BF507&gt;0,F517="")</formula>
    </cfRule>
  </conditionalFormatting>
  <conditionalFormatting sqref="F542:AD542">
    <cfRule type="expression" dxfId="923" priority="177">
      <formula>AND(BF532&gt;0,F542="")</formula>
    </cfRule>
    <cfRule type="expression" dxfId="922" priority="176">
      <formula>AND(BF532=0,F542="")</formula>
    </cfRule>
  </conditionalFormatting>
  <conditionalFormatting sqref="F567:AD567">
    <cfRule type="expression" dxfId="921" priority="175">
      <formula>AND(BF557&gt;0,F567="")</formula>
    </cfRule>
    <cfRule type="expression" dxfId="920" priority="174">
      <formula>AND(BF557=0,F567="")</formula>
    </cfRule>
  </conditionalFormatting>
  <conditionalFormatting sqref="F713:AD713">
    <cfRule type="expression" dxfId="919" priority="159">
      <formula>AND(AV700&gt;0,F713="")</formula>
    </cfRule>
    <cfRule type="expression" dxfId="918" priority="158">
      <formula>AND(AV700=0,F713="")</formula>
    </cfRule>
  </conditionalFormatting>
  <conditionalFormatting sqref="F797:AD797">
    <cfRule type="expression" dxfId="917" priority="134">
      <formula>AND(AU792=0,F797="")</formula>
    </cfRule>
    <cfRule type="expression" dxfId="916" priority="135">
      <formula>AND(AU792&gt;0,F797="")</formula>
    </cfRule>
  </conditionalFormatting>
  <conditionalFormatting sqref="F934:AD934">
    <cfRule type="expression" dxfId="915" priority="114">
      <formula>AND(AO917=0,F934="")</formula>
    </cfRule>
    <cfRule type="expression" dxfId="914" priority="115">
      <formula>AND(AO917&gt;0,F934="")</formula>
    </cfRule>
  </conditionalFormatting>
  <conditionalFormatting sqref="F1090:AD1090">
    <cfRule type="expression" dxfId="913" priority="85">
      <formula>AND(BP1080&gt;0,F1090="")</formula>
    </cfRule>
    <cfRule type="expression" dxfId="912" priority="83">
      <formula>AND(BP1080=0,F1090="")</formula>
    </cfRule>
  </conditionalFormatting>
  <conditionalFormatting sqref="F1148:AD1148">
    <cfRule type="expression" dxfId="911" priority="82">
      <formula>AND(CK1124&gt;0,F1148="")</formula>
    </cfRule>
    <cfRule type="expression" dxfId="910" priority="77">
      <formula>AND(CK1124=0,F1148="")</formula>
    </cfRule>
  </conditionalFormatting>
  <conditionalFormatting sqref="G853:AD853">
    <cfRule type="expression" dxfId="909" priority="126">
      <formula>AND(AN837=0,G853="")</formula>
    </cfRule>
    <cfRule type="expression" dxfId="908" priority="127">
      <formula>AND(AN837&gt;0,G853="")</formula>
    </cfRule>
  </conditionalFormatting>
  <conditionalFormatting sqref="G888:AD888">
    <cfRule type="expression" dxfId="907" priority="122">
      <formula>AND(AI871=0,G888="")</formula>
    </cfRule>
    <cfRule type="expression" dxfId="906" priority="123">
      <formula>AND(AI871&gt;0,G888="")</formula>
    </cfRule>
  </conditionalFormatting>
  <conditionalFormatting sqref="G890:AD890">
    <cfRule type="expression" dxfId="905" priority="120">
      <formula>AND(AJ871=0,G890="")</formula>
    </cfRule>
    <cfRule type="expression" dxfId="904" priority="121">
      <formula>AND(AJ871&gt;0,G890="")</formula>
    </cfRule>
  </conditionalFormatting>
  <conditionalFormatting sqref="G1022:AD1029">
    <cfRule type="expression" dxfId="903" priority="8">
      <formula>$C$987="X"</formula>
    </cfRule>
  </conditionalFormatting>
  <conditionalFormatting sqref="G1038:AD1045">
    <cfRule type="expression" dxfId="902" priority="7">
      <formula>$C$987="X"</formula>
    </cfRule>
  </conditionalFormatting>
  <conditionalFormatting sqref="G1253:AD1260">
    <cfRule type="expression" dxfId="901" priority="67">
      <formula>AND($G1237&lt;&gt;"",$G1237&lt;&gt;1)</formula>
    </cfRule>
  </conditionalFormatting>
  <conditionalFormatting sqref="G1269:AD1276">
    <cfRule type="expression" dxfId="900" priority="66">
      <formula>AND($G1237&lt;&gt;"",$G1237&lt;&gt;1)</formula>
    </cfRule>
  </conditionalFormatting>
  <conditionalFormatting sqref="G1333:AD1340">
    <cfRule type="expression" dxfId="899" priority="58">
      <formula>AND($G1237&lt;&gt;"",$G1237&lt;&gt;1)</formula>
    </cfRule>
    <cfRule type="expression" dxfId="898" priority="59">
      <formula>$AH$1227=1</formula>
    </cfRule>
  </conditionalFormatting>
  <conditionalFormatting sqref="G1451:AD1458">
    <cfRule type="expression" dxfId="897" priority="45">
      <formula>AND($G1435&lt;&gt;"",$G1435&lt;&gt;1)</formula>
    </cfRule>
  </conditionalFormatting>
  <conditionalFormatting sqref="G1467:AD1474">
    <cfRule type="expression" dxfId="896" priority="44">
      <formula>AND($G1435&lt;&gt;"",$G1435&lt;&gt;1)</formula>
    </cfRule>
  </conditionalFormatting>
  <conditionalFormatting sqref="G1669:AD1676">
    <cfRule type="expression" dxfId="895" priority="20">
      <formula>AND($G1653&lt;&gt;"",$G1653&lt;&gt;1)</formula>
    </cfRule>
  </conditionalFormatting>
  <conditionalFormatting sqref="G1685:AD1692">
    <cfRule type="expression" dxfId="894" priority="19">
      <formula>AND($G1653&lt;&gt;"",$G1653&lt;&gt;1)</formula>
    </cfRule>
  </conditionalFormatting>
  <conditionalFormatting sqref="I675:Y675 AA675 AC675:AD675">
    <cfRule type="expression" dxfId="893" priority="167">
      <formula>AND($C$675&lt;&gt;"",$C$675&lt;&gt;1)</formula>
    </cfRule>
  </conditionalFormatting>
  <conditionalFormatting sqref="I51:AB59">
    <cfRule type="expression" dxfId="892" priority="203">
      <formula>$AC51&lt;&gt;""</formula>
    </cfRule>
  </conditionalFormatting>
  <conditionalFormatting sqref="J1006:AD1013">
    <cfRule type="expression" dxfId="891" priority="9">
      <formula>$C$987="X"</formula>
    </cfRule>
  </conditionalFormatting>
  <conditionalFormatting sqref="J1237:AD1244">
    <cfRule type="expression" dxfId="890" priority="68">
      <formula>AND($G1237&lt;&gt;"",$G1237&lt;&gt;1)</formula>
    </cfRule>
  </conditionalFormatting>
  <conditionalFormatting sqref="J1435:AD1442">
    <cfRule type="expression" dxfId="889" priority="46">
      <formula>AND($G1435&lt;&gt;"",$G1435&lt;&gt;1)</formula>
    </cfRule>
  </conditionalFormatting>
  <conditionalFormatting sqref="J1653:AD1660">
    <cfRule type="expression" dxfId="888" priority="21">
      <formula>AND($G1653&lt;&gt;"",$G1653&lt;&gt;1)</formula>
    </cfRule>
  </conditionalFormatting>
  <conditionalFormatting sqref="K51:AD59">
    <cfRule type="expression" dxfId="887" priority="205">
      <formula>$I51=8</formula>
    </cfRule>
  </conditionalFormatting>
  <conditionalFormatting sqref="L773">
    <cfRule type="expression" dxfId="886" priority="144">
      <formula>AND(#REF!&gt;0,L773="")</formula>
    </cfRule>
    <cfRule type="expression" dxfId="885" priority="143">
      <formula>AND(#REF!=0,L773="")</formula>
    </cfRule>
  </conditionalFormatting>
  <conditionalFormatting sqref="L960:AD960">
    <cfRule type="expression" dxfId="884" priority="98">
      <formula>AND(C960="X",L960="")</formula>
    </cfRule>
    <cfRule type="expression" dxfId="883" priority="99">
      <formula>AND(C960="",L960="")</formula>
    </cfRule>
  </conditionalFormatting>
  <conditionalFormatting sqref="M340:AD364">
    <cfRule type="expression" dxfId="882" priority="184">
      <formula>SUM($V$324)=0</formula>
    </cfRule>
  </conditionalFormatting>
  <conditionalFormatting sqref="M700:AD710">
    <cfRule type="expression" dxfId="881" priority="162">
      <formula>AND($C$675&lt;&gt;"",$C$675&lt;&gt;1)</formula>
    </cfRule>
  </conditionalFormatting>
  <conditionalFormatting sqref="M1080:AD1087">
    <cfRule type="expression" dxfId="880" priority="4">
      <formula>$C$987="X"</formula>
    </cfRule>
    <cfRule type="expression" dxfId="879" priority="89">
      <formula>SUM($J1006)=0</formula>
    </cfRule>
  </conditionalFormatting>
  <conditionalFormatting sqref="M1110:AD1117">
    <cfRule type="expression" dxfId="878" priority="76">
      <formula>SUM($J1006)=0</formula>
    </cfRule>
    <cfRule type="expression" dxfId="877" priority="3">
      <formula>$C$987="X"</formula>
    </cfRule>
  </conditionalFormatting>
  <conditionalFormatting sqref="M1124:AD1131">
    <cfRule type="expression" dxfId="876" priority="75">
      <formula>SUM($J1006)=0</formula>
    </cfRule>
    <cfRule type="expression" dxfId="875" priority="2">
      <formula>$C$987="X"</formula>
    </cfRule>
  </conditionalFormatting>
  <conditionalFormatting sqref="M1138:AD1145">
    <cfRule type="expression" dxfId="874" priority="74">
      <formula>SUM($J1006)=0</formula>
    </cfRule>
    <cfRule type="expression" dxfId="873" priority="1">
      <formula>$C$987="X"</formula>
    </cfRule>
  </conditionalFormatting>
  <conditionalFormatting sqref="M1309:AD1316">
    <cfRule type="expression" dxfId="872" priority="64">
      <formula>AND($G1237&lt;&gt;"",$G1237&lt;&gt;1)</formula>
    </cfRule>
    <cfRule type="expression" dxfId="871" priority="62">
      <formula>$AH$1227=1</formula>
    </cfRule>
  </conditionalFormatting>
  <conditionalFormatting sqref="M1357:AD1364">
    <cfRule type="expression" dxfId="870" priority="55">
      <formula>$AH$1227=1</formula>
    </cfRule>
    <cfRule type="expression" dxfId="869" priority="56">
      <formula>AND($G1237&lt;&gt;"",$G1237&lt;&gt;1)</formula>
    </cfRule>
  </conditionalFormatting>
  <conditionalFormatting sqref="M1506:AD1513">
    <cfRule type="expression" dxfId="868" priority="36">
      <formula>$AH$1423=1</formula>
    </cfRule>
    <cfRule type="expression" dxfId="867" priority="41">
      <formula>AND($G1435&lt;&gt;"",$G1435&lt;&gt;1)</formula>
    </cfRule>
  </conditionalFormatting>
  <conditionalFormatting sqref="M1621:AD1628">
    <cfRule type="expression" dxfId="866" priority="24">
      <formula>SUM($V1530)=0</formula>
    </cfRule>
    <cfRule type="expression" dxfId="865" priority="31">
      <formula>$AH$1423=1</formula>
    </cfRule>
  </conditionalFormatting>
  <conditionalFormatting sqref="N986:AD986">
    <cfRule type="expression" dxfId="864" priority="93">
      <formula>AND(C986="",N986="")</formula>
    </cfRule>
    <cfRule type="expression" dxfId="863" priority="94">
      <formula>AND(C986="X",N986="")</formula>
    </cfRule>
  </conditionalFormatting>
  <conditionalFormatting sqref="O1202:AD1209">
    <cfRule type="expression" dxfId="862" priority="70">
      <formula>AND($I1202&lt;&gt;"",$I1202&lt;&gt;1)</formula>
    </cfRule>
  </conditionalFormatting>
  <conditionalFormatting sqref="P700:AD710">
    <cfRule type="expression" dxfId="861" priority="161">
      <formula>$M700="X"</formula>
    </cfRule>
  </conditionalFormatting>
  <conditionalFormatting sqref="P1066:AD1073">
    <cfRule type="expression" dxfId="860" priority="91">
      <formula>SUM($J1006)=0</formula>
    </cfRule>
    <cfRule type="expression" dxfId="859" priority="5">
      <formula>$C$987="X"</formula>
    </cfRule>
  </conditionalFormatting>
  <conditionalFormatting sqref="P1295:AD1302">
    <cfRule type="expression" dxfId="858" priority="65">
      <formula>AND($G1237&lt;&gt;"",$G1237&lt;&gt;1)</formula>
    </cfRule>
    <cfRule type="expression" dxfId="857" priority="63">
      <formula>$AH$1227=1</formula>
    </cfRule>
  </conditionalFormatting>
  <conditionalFormatting sqref="P1399:AD1406">
    <cfRule type="expression" dxfId="856" priority="51">
      <formula>$AH$1227=1</formula>
    </cfRule>
    <cfRule type="expression" dxfId="855" priority="49">
      <formula>AND($G1237&lt;&gt;"",$G1237&lt;&gt;1)</formula>
    </cfRule>
  </conditionalFormatting>
  <conditionalFormatting sqref="P1492:AD1499">
    <cfRule type="expression" dxfId="854" priority="37">
      <formula>$AH$1423=1</formula>
    </cfRule>
    <cfRule type="expression" dxfId="853" priority="42">
      <formula>AND($G1435&lt;&gt;"",$G1435&lt;&gt;1)</formula>
    </cfRule>
  </conditionalFormatting>
  <conditionalFormatting sqref="P1570:AD1577">
    <cfRule type="expression" dxfId="852" priority="33">
      <formula>$AH$1423=1</formula>
    </cfRule>
    <cfRule type="expression" dxfId="851" priority="38">
      <formula>AND($G1435&lt;&gt;"",$G1435&lt;&gt;1)</formula>
    </cfRule>
  </conditionalFormatting>
  <conditionalFormatting sqref="R792:AD794">
    <cfRule type="expression" dxfId="850" priority="136">
      <formula>AND($L792&lt;&gt;"",$L792&lt;&gt;1)</formula>
    </cfRule>
  </conditionalFormatting>
  <conditionalFormatting sqref="S1598:AA1603">
    <cfRule type="expression" dxfId="849" priority="30">
      <formula>SUM($V$1563,$Y$1563,$AB$1563)=0</formula>
    </cfRule>
  </conditionalFormatting>
  <conditionalFormatting sqref="S738:AD771">
    <cfRule type="expression" dxfId="848" priority="146">
      <formula>AND($M738&lt;&gt;"",$M738&lt;&gt;1)</formula>
    </cfRule>
  </conditionalFormatting>
  <conditionalFormatting sqref="S871:AD886">
    <cfRule type="expression" dxfId="847" priority="124">
      <formula>AND($M871&lt;&gt;"",$M871&lt;&gt;1)</formula>
    </cfRule>
  </conditionalFormatting>
  <conditionalFormatting sqref="S917:AD932">
    <cfRule type="expression" dxfId="846" priority="113">
      <formula>AND($M917&lt;&gt;"",$M917&lt;&gt;1)</formula>
    </cfRule>
  </conditionalFormatting>
  <conditionalFormatting sqref="S1384:AD1391">
    <cfRule type="expression" dxfId="845" priority="50">
      <formula>AND($G1237&lt;&gt;"",$G1237&lt;&gt;1)</formula>
    </cfRule>
    <cfRule type="expression" dxfId="844" priority="52">
      <formula>$AH$1227=1</formula>
    </cfRule>
  </conditionalFormatting>
  <conditionalFormatting sqref="S1530:AD1537">
    <cfRule type="expression" dxfId="843" priority="40">
      <formula>AND($G1435&lt;&gt;"",$G1435&lt;&gt;1)</formula>
    </cfRule>
    <cfRule type="expression" dxfId="842" priority="35">
      <formula>$AH$1423=1</formula>
    </cfRule>
  </conditionalFormatting>
  <conditionalFormatting sqref="S1555:AD1562">
    <cfRule type="expression" dxfId="841" priority="39">
      <formula>AND($G1435&lt;&gt;"",$G1435&lt;&gt;1)</formula>
    </cfRule>
    <cfRule type="expression" dxfId="840" priority="34">
      <formula>$AH$1423=1</formula>
    </cfRule>
  </conditionalFormatting>
  <conditionalFormatting sqref="S1598:AD1603">
    <cfRule type="expression" dxfId="839" priority="32">
      <formula>$AH$1423=1</formula>
    </cfRule>
  </conditionalFormatting>
  <conditionalFormatting sqref="S1710:AD1717">
    <cfRule type="expression" dxfId="838" priority="17">
      <formula>AND($G1653&lt;&gt;"",$G1653&lt;&gt;1)</formula>
    </cfRule>
  </conditionalFormatting>
  <conditionalFormatting sqref="T1165:AD1181">
    <cfRule type="expression" dxfId="837" priority="6">
      <formula>$C$987="X"</formula>
    </cfRule>
  </conditionalFormatting>
  <conditionalFormatting sqref="V700:AD710">
    <cfRule type="expression" dxfId="836" priority="160">
      <formula>SUM($S700)=0</formula>
    </cfRule>
  </conditionalFormatting>
  <conditionalFormatting sqref="W746:Z746">
    <cfRule type="expression" dxfId="835" priority="145">
      <formula>$AP$734=""</formula>
    </cfRule>
  </conditionalFormatting>
  <conditionalFormatting sqref="Y675 AA675 AC675:AD675">
    <cfRule type="expression" dxfId="834" priority="166">
      <formula>SUM($Q$675)=0</formula>
    </cfRule>
  </conditionalFormatting>
  <conditionalFormatting sqref="AA918:AB918">
    <cfRule type="expression" dxfId="833" priority="116">
      <formula>$AK$908=""</formula>
    </cfRule>
  </conditionalFormatting>
  <conditionalFormatting sqref="AB1598:AD1603">
    <cfRule type="expression" dxfId="832" priority="29">
      <formula>SUM($P$1578)=0</formula>
    </cfRule>
  </conditionalFormatting>
  <conditionalFormatting sqref="AC51:AD51">
    <cfRule type="expression" dxfId="831" priority="191">
      <formula>$AL$47=""</formula>
    </cfRule>
  </conditionalFormatting>
  <conditionalFormatting sqref="AC51:AD59">
    <cfRule type="expression" dxfId="830" priority="204">
      <formula>$K51&lt;&gt;""</formula>
    </cfRule>
  </conditionalFormatting>
  <dataValidations count="9">
    <dataValidation type="list" allowBlank="1" showInputMessage="1" showErrorMessage="1" sqref="I51:J59 M738:R771 M917:R932" xr:uid="{B56B04A7-5BDC-4EBB-9B0E-2F406B0A7888}">
      <formula1>"1,2,8,9"</formula1>
    </dataValidation>
    <dataValidation type="list" allowBlank="1" showInputMessage="1" showErrorMessage="1" sqref="O51:P59" xr:uid="{E175021C-2A8A-45BA-A4EC-8AB295A987E8}">
      <formula1>"1,2,3,4,5,6,7,8,9"</formula1>
    </dataValidation>
    <dataValidation type="list" allowBlank="1" showInputMessage="1" showErrorMessage="1" sqref="Q51:R59" xr:uid="{99B81CDE-D447-47EE-94A1-1460FE81DDA2}">
      <formula1>"1,2,3,4,8,9"</formula1>
    </dataValidation>
    <dataValidation type="list" allowBlank="1" showInputMessage="1" showErrorMessage="1" sqref="S51:T59" xr:uid="{0B8A4DAF-8749-4525-A069-1E11D9B62CAF}">
      <formula1>"1,2,3,4,5,6,7,8,9,10,11,12,13,14,15,16,17,18,19,20,21,22,23,24,99"</formula1>
    </dataValidation>
    <dataValidation type="list" allowBlank="1" showInputMessage="1" showErrorMessage="1" sqref="Y51:Z59" xr:uid="{7DD315E9-0C18-4367-8C05-733DABB2C16F}">
      <formula1>"1,2,3,4,5,6,7,8,9,10,11,12,13,14,15,16,17,18,19,20,21,22,23,24,25,26,99"</formula1>
    </dataValidation>
    <dataValidation type="list" allowBlank="1" showInputMessage="1" showErrorMessage="1" sqref="AA51:AB59" xr:uid="{70B6E07F-F8A1-4D3E-88A3-DB050F43414F}">
      <formula1>"1,2,3,4,5,9"</formula1>
    </dataValidation>
    <dataValidation type="list" allowBlank="1" showInputMessage="1" showErrorMessage="1" sqref="C675:H675 L792:Q794 M871:R886 I1202:N1209 G1237:I1244 G1435:I1442 G1653:I1660" xr:uid="{83E2C895-78AC-430C-A5D7-CE479F3A190E}">
      <formula1>"1,2,9"</formula1>
    </dataValidation>
    <dataValidation type="list" allowBlank="1" showInputMessage="1" showErrorMessage="1" sqref="M700:O710 C954:C962 C980:C988" xr:uid="{A4789BBE-2264-449A-A555-11B5214A2DC8}">
      <formula1>"X"</formula1>
    </dataValidation>
    <dataValidation type="list" allowBlank="1" showInputMessage="1" showErrorMessage="1" sqref="Y871:AD886" xr:uid="{5FAC18E2-9B48-4820-99EF-C759385BD509}">
      <formula1>"1,2,3,4,5,6,7,8,9,99"</formula1>
    </dataValidation>
  </dataValidations>
  <hyperlinks>
    <hyperlink ref="AA7:AD7" location="Índice!B17" display="Índice" xr:uid="{7B56CB74-A01C-46EA-9C15-6D5DCBF86991}"/>
  </hyperlinks>
  <printOptions horizontalCentered="1"/>
  <pageMargins left="0.70866141732283472" right="0.70866141732283472" top="0.74803149606299213" bottom="0.74803149606299213" header="0.31496062992125984" footer="0.31496062992125984"/>
  <pageSetup scale="75" orientation="portrait" r:id="rId1"/>
  <headerFooter>
    <oddHeader>&amp;CMódulo 2 Sección II
Cuestionario</oddHeader>
    <oddFooter>&amp;LCenso Nacional de Sistemas Penitenciarios Estatales 2024&amp;R&amp;P de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7DFF80-D5D1-425F-85AE-A1B9D6673CE5}">
  <dimension ref="A1:BK524"/>
  <sheetViews>
    <sheetView showGridLines="0" zoomScaleNormal="100" workbookViewId="0"/>
  </sheetViews>
  <sheetFormatPr baseColWidth="10" defaultColWidth="0" defaultRowHeight="15" customHeight="1" zeroHeight="1"/>
  <cols>
    <col min="1" max="1" width="5.7109375" style="3" customWidth="1"/>
    <col min="2" max="30" width="3.7109375" style="3" customWidth="1"/>
    <col min="31" max="31" width="5.7109375" style="3" customWidth="1"/>
    <col min="32" max="16384" width="9.28515625" style="3" hidden="1"/>
  </cols>
  <sheetData>
    <row r="1" spans="1:30" ht="173.25" customHeight="1">
      <c r="A1" s="91"/>
      <c r="B1" s="718" t="s">
        <v>0</v>
      </c>
      <c r="C1" s="719"/>
      <c r="D1" s="719"/>
      <c r="E1" s="719"/>
      <c r="F1" s="719"/>
      <c r="G1" s="719"/>
      <c r="H1" s="719"/>
      <c r="I1" s="719"/>
      <c r="J1" s="719"/>
      <c r="K1" s="719"/>
      <c r="L1" s="719"/>
      <c r="M1" s="719"/>
      <c r="N1" s="719"/>
      <c r="O1" s="719"/>
      <c r="P1" s="719"/>
      <c r="Q1" s="719"/>
      <c r="R1" s="719"/>
      <c r="S1" s="719"/>
      <c r="T1" s="719"/>
      <c r="U1" s="719"/>
      <c r="V1" s="719"/>
      <c r="W1" s="719"/>
      <c r="X1" s="719"/>
      <c r="Y1" s="719"/>
      <c r="Z1" s="719"/>
      <c r="AA1" s="719"/>
      <c r="AB1" s="719"/>
      <c r="AC1" s="719"/>
      <c r="AD1" s="719"/>
    </row>
    <row r="2" spans="1:30" ht="15" customHeight="1">
      <c r="A2" s="91"/>
    </row>
    <row r="3" spans="1:30" ht="45" customHeight="1">
      <c r="A3" s="91"/>
      <c r="B3" s="720" t="s">
        <v>1</v>
      </c>
      <c r="C3" s="721"/>
      <c r="D3" s="721"/>
      <c r="E3" s="721"/>
      <c r="F3" s="721"/>
      <c r="G3" s="721"/>
      <c r="H3" s="721"/>
      <c r="I3" s="721"/>
      <c r="J3" s="721"/>
      <c r="K3" s="721"/>
      <c r="L3" s="721"/>
      <c r="M3" s="721"/>
      <c r="N3" s="721"/>
      <c r="O3" s="721"/>
      <c r="P3" s="721"/>
      <c r="Q3" s="721"/>
      <c r="R3" s="721"/>
      <c r="S3" s="721"/>
      <c r="T3" s="721"/>
      <c r="U3" s="721"/>
      <c r="V3" s="721"/>
      <c r="W3" s="721"/>
      <c r="X3" s="721"/>
      <c r="Y3" s="721"/>
      <c r="Z3" s="721"/>
      <c r="AA3" s="721"/>
      <c r="AB3" s="721"/>
      <c r="AC3" s="721"/>
      <c r="AD3" s="721"/>
    </row>
    <row r="4" spans="1:30" ht="15" customHeight="1">
      <c r="A4" s="91"/>
    </row>
    <row r="5" spans="1:30" ht="45" customHeight="1">
      <c r="A5" s="91"/>
      <c r="B5" s="720" t="s">
        <v>12</v>
      </c>
      <c r="C5" s="721"/>
      <c r="D5" s="721"/>
      <c r="E5" s="721"/>
      <c r="F5" s="721"/>
      <c r="G5" s="721"/>
      <c r="H5" s="721"/>
      <c r="I5" s="721"/>
      <c r="J5" s="721"/>
      <c r="K5" s="721"/>
      <c r="L5" s="721"/>
      <c r="M5" s="721"/>
      <c r="N5" s="721"/>
      <c r="O5" s="721"/>
      <c r="P5" s="721"/>
      <c r="Q5" s="721"/>
      <c r="R5" s="721"/>
      <c r="S5" s="721"/>
      <c r="T5" s="721"/>
      <c r="U5" s="721"/>
      <c r="V5" s="721"/>
      <c r="W5" s="721"/>
      <c r="X5" s="721"/>
      <c r="Y5" s="721"/>
      <c r="Z5" s="721"/>
      <c r="AA5" s="721"/>
      <c r="AB5" s="721"/>
      <c r="AC5" s="721"/>
      <c r="AD5" s="721"/>
    </row>
    <row r="6" spans="1:30" ht="15" customHeight="1">
      <c r="A6" s="91"/>
    </row>
    <row r="7" spans="1:30" ht="15" customHeight="1" thickBot="1">
      <c r="A7" s="91"/>
      <c r="B7" s="23" t="s">
        <v>3</v>
      </c>
      <c r="N7" s="23" t="s">
        <v>4</v>
      </c>
      <c r="P7" s="24"/>
      <c r="Q7" s="24"/>
      <c r="R7" s="24"/>
      <c r="S7" s="24"/>
      <c r="T7" s="24"/>
      <c r="U7" s="24"/>
      <c r="V7" s="24"/>
      <c r="W7" s="24"/>
      <c r="X7" s="24"/>
      <c r="Y7" s="24"/>
      <c r="Z7" s="24"/>
      <c r="AA7" s="758" t="s">
        <v>2</v>
      </c>
      <c r="AB7" s="758"/>
      <c r="AC7" s="758"/>
      <c r="AD7" s="758"/>
    </row>
    <row r="8" spans="1:30" ht="15" customHeight="1" thickBot="1">
      <c r="A8" s="108"/>
      <c r="B8" s="722" t="str">
        <f>IF(Presentación!B8="","",Presentación!B8)</f>
        <v>Puebla</v>
      </c>
      <c r="C8" s="723"/>
      <c r="D8" s="723"/>
      <c r="E8" s="723"/>
      <c r="F8" s="723"/>
      <c r="G8" s="723"/>
      <c r="H8" s="723"/>
      <c r="I8" s="723"/>
      <c r="J8" s="723"/>
      <c r="K8" s="723"/>
      <c r="L8" s="724"/>
      <c r="M8" s="25"/>
      <c r="N8" s="722">
        <f>IF(Presentación!N8="","",Presentación!N8)</f>
        <v>221</v>
      </c>
      <c r="O8" s="724"/>
      <c r="P8" s="107"/>
      <c r="Q8" s="107"/>
      <c r="R8" s="107"/>
      <c r="S8" s="109"/>
      <c r="T8" s="107"/>
      <c r="U8" s="107"/>
      <c r="V8" s="107"/>
      <c r="W8" s="107"/>
      <c r="X8" s="107"/>
      <c r="Y8" s="107"/>
      <c r="Z8" s="107"/>
      <c r="AA8" s="107"/>
      <c r="AB8" s="107"/>
      <c r="AC8" s="107"/>
      <c r="AD8" s="107"/>
    </row>
    <row r="9" spans="1:30" ht="15" customHeight="1">
      <c r="A9" s="91"/>
      <c r="C9" s="24"/>
      <c r="D9" s="24"/>
      <c r="E9" s="24"/>
      <c r="F9" s="24"/>
      <c r="G9" s="24"/>
      <c r="H9" s="24"/>
      <c r="I9" s="24"/>
      <c r="J9" s="24"/>
      <c r="K9" s="24"/>
      <c r="L9" s="24"/>
      <c r="M9" s="24"/>
      <c r="N9" s="24"/>
      <c r="O9" s="24"/>
      <c r="P9" s="24"/>
      <c r="Q9" s="24"/>
      <c r="R9" s="24"/>
      <c r="S9" s="24"/>
      <c r="T9" s="24"/>
      <c r="U9" s="24"/>
      <c r="V9" s="24"/>
      <c r="W9" s="24"/>
      <c r="X9" s="24"/>
      <c r="Y9" s="24"/>
      <c r="Z9" s="24"/>
      <c r="AA9" s="24"/>
      <c r="AB9" s="24"/>
      <c r="AC9" s="24"/>
    </row>
    <row r="10" spans="1:30" ht="15" customHeight="1">
      <c r="A10" s="94"/>
      <c r="B10" s="892" t="s">
        <v>2552</v>
      </c>
      <c r="C10" s="893"/>
      <c r="D10" s="893"/>
      <c r="E10" s="893"/>
      <c r="F10" s="893"/>
      <c r="G10" s="893"/>
      <c r="H10" s="893"/>
      <c r="I10" s="893"/>
      <c r="J10" s="893"/>
      <c r="K10" s="893"/>
      <c r="L10" s="893"/>
      <c r="M10" s="893"/>
      <c r="N10" s="893"/>
      <c r="O10" s="893"/>
      <c r="P10" s="893"/>
      <c r="Q10" s="893"/>
      <c r="R10" s="893"/>
      <c r="S10" s="893"/>
      <c r="T10" s="893"/>
      <c r="U10" s="893"/>
      <c r="V10" s="893"/>
      <c r="W10" s="893"/>
      <c r="X10" s="893"/>
      <c r="Y10" s="893"/>
      <c r="Z10" s="893"/>
      <c r="AA10" s="893"/>
      <c r="AB10" s="893"/>
      <c r="AC10" s="893"/>
      <c r="AD10" s="894"/>
    </row>
    <row r="11" spans="1:30" ht="36" customHeight="1">
      <c r="A11" s="94"/>
      <c r="B11" s="654"/>
      <c r="C11" s="754" t="s">
        <v>2553</v>
      </c>
      <c r="D11" s="830"/>
      <c r="E11" s="830"/>
      <c r="F11" s="830"/>
      <c r="G11" s="830"/>
      <c r="H11" s="830"/>
      <c r="I11" s="830"/>
      <c r="J11" s="830"/>
      <c r="K11" s="830"/>
      <c r="L11" s="830"/>
      <c r="M11" s="830"/>
      <c r="N11" s="830"/>
      <c r="O11" s="830"/>
      <c r="P11" s="830"/>
      <c r="Q11" s="830"/>
      <c r="R11" s="830"/>
      <c r="S11" s="830"/>
      <c r="T11" s="830"/>
      <c r="U11" s="830"/>
      <c r="V11" s="830"/>
      <c r="W11" s="830"/>
      <c r="X11" s="830"/>
      <c r="Y11" s="830"/>
      <c r="Z11" s="830"/>
      <c r="AA11" s="830"/>
      <c r="AB11" s="830"/>
      <c r="AC11" s="830"/>
      <c r="AD11" s="895"/>
    </row>
    <row r="12" spans="1:30" ht="24" customHeight="1">
      <c r="A12" s="94"/>
      <c r="B12" s="654"/>
      <c r="C12" s="754" t="s">
        <v>2554</v>
      </c>
      <c r="D12" s="830"/>
      <c r="E12" s="830"/>
      <c r="F12" s="830"/>
      <c r="G12" s="830"/>
      <c r="H12" s="830"/>
      <c r="I12" s="830"/>
      <c r="J12" s="830"/>
      <c r="K12" s="830"/>
      <c r="L12" s="830"/>
      <c r="M12" s="830"/>
      <c r="N12" s="830"/>
      <c r="O12" s="830"/>
      <c r="P12" s="830"/>
      <c r="Q12" s="830"/>
      <c r="R12" s="830"/>
      <c r="S12" s="830"/>
      <c r="T12" s="830"/>
      <c r="U12" s="830"/>
      <c r="V12" s="830"/>
      <c r="W12" s="830"/>
      <c r="X12" s="830"/>
      <c r="Y12" s="830"/>
      <c r="Z12" s="830"/>
      <c r="AA12" s="830"/>
      <c r="AB12" s="830"/>
      <c r="AC12" s="830"/>
      <c r="AD12" s="895"/>
    </row>
    <row r="13" spans="1:30" ht="60" customHeight="1">
      <c r="A13" s="146"/>
      <c r="B13" s="654"/>
      <c r="C13" s="754" t="s">
        <v>2555</v>
      </c>
      <c r="D13" s="830"/>
      <c r="E13" s="830"/>
      <c r="F13" s="830"/>
      <c r="G13" s="830"/>
      <c r="H13" s="830"/>
      <c r="I13" s="830"/>
      <c r="J13" s="830"/>
      <c r="K13" s="830"/>
      <c r="L13" s="830"/>
      <c r="M13" s="830"/>
      <c r="N13" s="830"/>
      <c r="O13" s="830"/>
      <c r="P13" s="830"/>
      <c r="Q13" s="830"/>
      <c r="R13" s="830"/>
      <c r="S13" s="830"/>
      <c r="T13" s="830"/>
      <c r="U13" s="830"/>
      <c r="V13" s="830"/>
      <c r="W13" s="830"/>
      <c r="X13" s="830"/>
      <c r="Y13" s="830"/>
      <c r="Z13" s="830"/>
      <c r="AA13" s="830"/>
      <c r="AB13" s="830"/>
      <c r="AC13" s="830"/>
      <c r="AD13" s="895"/>
    </row>
    <row r="14" spans="1:30" ht="15" customHeight="1">
      <c r="A14" s="94"/>
      <c r="B14" s="654"/>
      <c r="C14" s="754" t="s">
        <v>3021</v>
      </c>
      <c r="D14" s="754"/>
      <c r="E14" s="754"/>
      <c r="F14" s="754"/>
      <c r="G14" s="754"/>
      <c r="H14" s="754"/>
      <c r="I14" s="754"/>
      <c r="J14" s="754"/>
      <c r="K14" s="754"/>
      <c r="L14" s="754"/>
      <c r="M14" s="754"/>
      <c r="N14" s="754"/>
      <c r="O14" s="754"/>
      <c r="P14" s="754"/>
      <c r="Q14" s="754"/>
      <c r="R14" s="754"/>
      <c r="S14" s="754"/>
      <c r="T14" s="754"/>
      <c r="U14" s="754"/>
      <c r="V14" s="754"/>
      <c r="W14" s="754"/>
      <c r="X14" s="754"/>
      <c r="Y14" s="754"/>
      <c r="Z14" s="754"/>
      <c r="AA14" s="754"/>
      <c r="AB14" s="754"/>
      <c r="AC14" s="754"/>
      <c r="AD14" s="755"/>
    </row>
    <row r="15" spans="1:30" ht="36" customHeight="1">
      <c r="A15" s="110"/>
      <c r="B15" s="111"/>
      <c r="C15" s="754" t="s">
        <v>3928</v>
      </c>
      <c r="D15" s="754"/>
      <c r="E15" s="754"/>
      <c r="F15" s="754"/>
      <c r="G15" s="754"/>
      <c r="H15" s="754"/>
      <c r="I15" s="754"/>
      <c r="J15" s="754"/>
      <c r="K15" s="754"/>
      <c r="L15" s="754"/>
      <c r="M15" s="754"/>
      <c r="N15" s="754"/>
      <c r="O15" s="754"/>
      <c r="P15" s="754"/>
      <c r="Q15" s="754"/>
      <c r="R15" s="754"/>
      <c r="S15" s="754"/>
      <c r="T15" s="754"/>
      <c r="U15" s="754"/>
      <c r="V15" s="754"/>
      <c r="W15" s="754"/>
      <c r="X15" s="754"/>
      <c r="Y15" s="754"/>
      <c r="Z15" s="754"/>
      <c r="AA15" s="754"/>
      <c r="AB15" s="754"/>
      <c r="AC15" s="754"/>
      <c r="AD15" s="755"/>
    </row>
    <row r="16" spans="1:30" ht="48" customHeight="1">
      <c r="A16" s="146"/>
      <c r="B16" s="654"/>
      <c r="C16" s="754" t="s">
        <v>3929</v>
      </c>
      <c r="D16" s="754"/>
      <c r="E16" s="754"/>
      <c r="F16" s="754"/>
      <c r="G16" s="754"/>
      <c r="H16" s="754"/>
      <c r="I16" s="754"/>
      <c r="J16" s="754"/>
      <c r="K16" s="754"/>
      <c r="L16" s="754"/>
      <c r="M16" s="754"/>
      <c r="N16" s="754"/>
      <c r="O16" s="754"/>
      <c r="P16" s="754"/>
      <c r="Q16" s="754"/>
      <c r="R16" s="754"/>
      <c r="S16" s="754"/>
      <c r="T16" s="754"/>
      <c r="U16" s="754"/>
      <c r="V16" s="754"/>
      <c r="W16" s="754"/>
      <c r="X16" s="754"/>
      <c r="Y16" s="754"/>
      <c r="Z16" s="754"/>
      <c r="AA16" s="754"/>
      <c r="AB16" s="754"/>
      <c r="AC16" s="754"/>
      <c r="AD16" s="755"/>
    </row>
    <row r="17" spans="1:43" ht="15" customHeight="1">
      <c r="A17" s="94"/>
      <c r="B17" s="85"/>
      <c r="C17" s="764" t="s">
        <v>3930</v>
      </c>
      <c r="D17" s="764"/>
      <c r="E17" s="764"/>
      <c r="F17" s="764"/>
      <c r="G17" s="764"/>
      <c r="H17" s="764"/>
      <c r="I17" s="764"/>
      <c r="J17" s="764"/>
      <c r="K17" s="764"/>
      <c r="L17" s="764"/>
      <c r="M17" s="764"/>
      <c r="N17" s="764"/>
      <c r="O17" s="764"/>
      <c r="P17" s="764"/>
      <c r="Q17" s="764"/>
      <c r="R17" s="764"/>
      <c r="S17" s="764"/>
      <c r="T17" s="764"/>
      <c r="U17" s="764"/>
      <c r="V17" s="764"/>
      <c r="W17" s="764"/>
      <c r="X17" s="764"/>
      <c r="Y17" s="764"/>
      <c r="Z17" s="764"/>
      <c r="AA17" s="764"/>
      <c r="AB17" s="764"/>
      <c r="AC17" s="764"/>
      <c r="AD17" s="765"/>
    </row>
    <row r="18" spans="1:43" ht="15.75" thickBot="1">
      <c r="A18" s="94"/>
      <c r="B18" s="38"/>
      <c r="C18" s="75"/>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row>
    <row r="19" spans="1:43" customFormat="1" ht="15" customHeight="1" thickBot="1">
      <c r="A19" s="153" t="s">
        <v>2563</v>
      </c>
      <c r="B19" s="831" t="s">
        <v>3931</v>
      </c>
      <c r="C19" s="832"/>
      <c r="D19" s="832"/>
      <c r="E19" s="832"/>
      <c r="F19" s="832"/>
      <c r="G19" s="832"/>
      <c r="H19" s="832"/>
      <c r="I19" s="832"/>
      <c r="J19" s="832"/>
      <c r="K19" s="832"/>
      <c r="L19" s="832"/>
      <c r="M19" s="832"/>
      <c r="N19" s="832"/>
      <c r="O19" s="832"/>
      <c r="P19" s="832"/>
      <c r="Q19" s="832"/>
      <c r="R19" s="832"/>
      <c r="S19" s="832"/>
      <c r="T19" s="832"/>
      <c r="U19" s="832"/>
      <c r="V19" s="832"/>
      <c r="W19" s="832"/>
      <c r="X19" s="832"/>
      <c r="Y19" s="832"/>
      <c r="Z19" s="832"/>
      <c r="AA19" s="832"/>
      <c r="AB19" s="832"/>
      <c r="AC19" s="832"/>
      <c r="AD19" s="833"/>
      <c r="AE19" s="3"/>
    </row>
    <row r="20" spans="1:43" ht="15" customHeight="1">
      <c r="A20" s="147"/>
      <c r="B20" s="946" t="s">
        <v>3157</v>
      </c>
      <c r="C20" s="867"/>
      <c r="D20" s="867"/>
      <c r="E20" s="867"/>
      <c r="F20" s="867"/>
      <c r="G20" s="867"/>
      <c r="H20" s="867"/>
      <c r="I20" s="867"/>
      <c r="J20" s="867"/>
      <c r="K20" s="867"/>
      <c r="L20" s="867"/>
      <c r="M20" s="867"/>
      <c r="N20" s="867"/>
      <c r="O20" s="867"/>
      <c r="P20" s="867"/>
      <c r="Q20" s="867"/>
      <c r="R20" s="867"/>
      <c r="S20" s="867"/>
      <c r="T20" s="867"/>
      <c r="U20" s="867"/>
      <c r="V20" s="867"/>
      <c r="W20" s="867"/>
      <c r="X20" s="867"/>
      <c r="Y20" s="867"/>
      <c r="Z20" s="867"/>
      <c r="AA20" s="867"/>
      <c r="AB20" s="867"/>
      <c r="AC20" s="867"/>
      <c r="AD20" s="947"/>
    </row>
    <row r="21" spans="1:43" ht="36" customHeight="1">
      <c r="A21" s="146"/>
      <c r="B21" s="150"/>
      <c r="C21" s="754" t="s">
        <v>3932</v>
      </c>
      <c r="D21" s="754"/>
      <c r="E21" s="754"/>
      <c r="F21" s="754"/>
      <c r="G21" s="754"/>
      <c r="H21" s="754"/>
      <c r="I21" s="754"/>
      <c r="J21" s="754"/>
      <c r="K21" s="754"/>
      <c r="L21" s="754"/>
      <c r="M21" s="754"/>
      <c r="N21" s="754"/>
      <c r="O21" s="754"/>
      <c r="P21" s="754"/>
      <c r="Q21" s="754"/>
      <c r="R21" s="754"/>
      <c r="S21" s="754"/>
      <c r="T21" s="754"/>
      <c r="U21" s="754"/>
      <c r="V21" s="754"/>
      <c r="W21" s="754"/>
      <c r="X21" s="754"/>
      <c r="Y21" s="754"/>
      <c r="Z21" s="754"/>
      <c r="AA21" s="754"/>
      <c r="AB21" s="754"/>
      <c r="AC21" s="754"/>
      <c r="AD21" s="891"/>
    </row>
    <row r="22" spans="1:43" ht="48" customHeight="1">
      <c r="A22" s="146"/>
      <c r="B22" s="150"/>
      <c r="C22" s="754" t="s">
        <v>3933</v>
      </c>
      <c r="D22" s="754"/>
      <c r="E22" s="754"/>
      <c r="F22" s="754"/>
      <c r="G22" s="754"/>
      <c r="H22" s="754"/>
      <c r="I22" s="754"/>
      <c r="J22" s="754"/>
      <c r="K22" s="754"/>
      <c r="L22" s="754"/>
      <c r="M22" s="754"/>
      <c r="N22" s="754"/>
      <c r="O22" s="754"/>
      <c r="P22" s="754"/>
      <c r="Q22" s="754"/>
      <c r="R22" s="754"/>
      <c r="S22" s="754"/>
      <c r="T22" s="754"/>
      <c r="U22" s="754"/>
      <c r="V22" s="754"/>
      <c r="W22" s="754"/>
      <c r="X22" s="754"/>
      <c r="Y22" s="754"/>
      <c r="Z22" s="754"/>
      <c r="AA22" s="754"/>
      <c r="AB22" s="754"/>
      <c r="AC22" s="754"/>
      <c r="AD22" s="891"/>
    </row>
    <row r="23" spans="1:43" ht="24" customHeight="1">
      <c r="A23" s="146"/>
      <c r="B23" s="668"/>
      <c r="C23" s="764" t="s">
        <v>3934</v>
      </c>
      <c r="D23" s="764"/>
      <c r="E23" s="764"/>
      <c r="F23" s="764"/>
      <c r="G23" s="764"/>
      <c r="H23" s="764"/>
      <c r="I23" s="764"/>
      <c r="J23" s="764"/>
      <c r="K23" s="764"/>
      <c r="L23" s="764"/>
      <c r="M23" s="764"/>
      <c r="N23" s="764"/>
      <c r="O23" s="764"/>
      <c r="P23" s="764"/>
      <c r="Q23" s="764"/>
      <c r="R23" s="764"/>
      <c r="S23" s="764"/>
      <c r="T23" s="764"/>
      <c r="U23" s="764"/>
      <c r="V23" s="764"/>
      <c r="W23" s="764"/>
      <c r="X23" s="764"/>
      <c r="Y23" s="764"/>
      <c r="Z23" s="764"/>
      <c r="AA23" s="764"/>
      <c r="AB23" s="764"/>
      <c r="AC23" s="764"/>
      <c r="AD23" s="765"/>
    </row>
    <row r="24" spans="1:43">
      <c r="A24" s="94"/>
    </row>
    <row r="25" spans="1:43" ht="36" customHeight="1">
      <c r="A25" s="49" t="s">
        <v>3935</v>
      </c>
      <c r="B25" s="829" t="s">
        <v>3936</v>
      </c>
      <c r="C25" s="829"/>
      <c r="D25" s="829"/>
      <c r="E25" s="829"/>
      <c r="F25" s="829"/>
      <c r="G25" s="829"/>
      <c r="H25" s="829"/>
      <c r="I25" s="829"/>
      <c r="J25" s="829"/>
      <c r="K25" s="829"/>
      <c r="L25" s="829"/>
      <c r="M25" s="829"/>
      <c r="N25" s="829"/>
      <c r="O25" s="829"/>
      <c r="P25" s="829"/>
      <c r="Q25" s="829"/>
      <c r="R25" s="829"/>
      <c r="S25" s="829"/>
      <c r="T25" s="829"/>
      <c r="U25" s="829"/>
      <c r="V25" s="829"/>
      <c r="W25" s="829"/>
      <c r="X25" s="829"/>
      <c r="Y25" s="829"/>
      <c r="Z25" s="829"/>
      <c r="AA25" s="829"/>
      <c r="AB25" s="829"/>
      <c r="AC25" s="829"/>
      <c r="AD25" s="829"/>
    </row>
    <row r="26" spans="1:43" ht="36" customHeight="1">
      <c r="A26" s="49"/>
      <c r="B26" s="57"/>
      <c r="C26" s="830" t="s">
        <v>3937</v>
      </c>
      <c r="D26" s="830"/>
      <c r="E26" s="830"/>
      <c r="F26" s="830"/>
      <c r="G26" s="830"/>
      <c r="H26" s="830"/>
      <c r="I26" s="830"/>
      <c r="J26" s="830"/>
      <c r="K26" s="830"/>
      <c r="L26" s="830"/>
      <c r="M26" s="830"/>
      <c r="N26" s="830"/>
      <c r="O26" s="830"/>
      <c r="P26" s="830"/>
      <c r="Q26" s="830"/>
      <c r="R26" s="830"/>
      <c r="S26" s="830"/>
      <c r="T26" s="830"/>
      <c r="U26" s="830"/>
      <c r="V26" s="830"/>
      <c r="W26" s="830"/>
      <c r="X26" s="830"/>
      <c r="Y26" s="830"/>
      <c r="Z26" s="830"/>
      <c r="AA26" s="830"/>
      <c r="AB26" s="830"/>
      <c r="AC26" s="830"/>
      <c r="AD26" s="830"/>
    </row>
    <row r="27" spans="1:43" ht="24" customHeight="1">
      <c r="A27" s="49"/>
      <c r="B27" s="102"/>
      <c r="C27" s="754" t="s">
        <v>3938</v>
      </c>
      <c r="D27" s="754"/>
      <c r="E27" s="754"/>
      <c r="F27" s="754"/>
      <c r="G27" s="754"/>
      <c r="H27" s="754"/>
      <c r="I27" s="754"/>
      <c r="J27" s="754"/>
      <c r="K27" s="754"/>
      <c r="L27" s="754"/>
      <c r="M27" s="754"/>
      <c r="N27" s="754"/>
      <c r="O27" s="754"/>
      <c r="P27" s="754"/>
      <c r="Q27" s="754"/>
      <c r="R27" s="754"/>
      <c r="S27" s="754"/>
      <c r="T27" s="754"/>
      <c r="U27" s="754"/>
      <c r="V27" s="754"/>
      <c r="W27" s="754"/>
      <c r="X27" s="754"/>
      <c r="Y27" s="754"/>
      <c r="Z27" s="754"/>
      <c r="AA27" s="754"/>
      <c r="AB27" s="754"/>
      <c r="AC27" s="754"/>
      <c r="AD27" s="754"/>
    </row>
    <row r="28" spans="1:43" ht="36" customHeight="1">
      <c r="A28" s="49"/>
      <c r="B28" s="54"/>
      <c r="C28" s="754" t="s">
        <v>3939</v>
      </c>
      <c r="D28" s="754"/>
      <c r="E28" s="754"/>
      <c r="F28" s="754"/>
      <c r="G28" s="754"/>
      <c r="H28" s="754"/>
      <c r="I28" s="754"/>
      <c r="J28" s="754"/>
      <c r="K28" s="754"/>
      <c r="L28" s="754"/>
      <c r="M28" s="754"/>
      <c r="N28" s="754"/>
      <c r="O28" s="754"/>
      <c r="P28" s="754"/>
      <c r="Q28" s="754"/>
      <c r="R28" s="754"/>
      <c r="S28" s="754"/>
      <c r="T28" s="754"/>
      <c r="U28" s="754"/>
      <c r="V28" s="754"/>
      <c r="W28" s="754"/>
      <c r="X28" s="754"/>
      <c r="Y28" s="754"/>
      <c r="Z28" s="754"/>
      <c r="AA28" s="754"/>
      <c r="AB28" s="754"/>
      <c r="AC28" s="754"/>
      <c r="AD28" s="754"/>
    </row>
    <row r="29" spans="1:43">
      <c r="A29" s="49"/>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row>
    <row r="30" spans="1:43" ht="132" customHeight="1">
      <c r="A30" s="94"/>
      <c r="B30" s="107"/>
      <c r="C30" s="739" t="s">
        <v>3940</v>
      </c>
      <c r="D30" s="740"/>
      <c r="E30" s="740"/>
      <c r="F30" s="740"/>
      <c r="G30" s="740"/>
      <c r="H30" s="741"/>
      <c r="I30" s="739" t="s">
        <v>3941</v>
      </c>
      <c r="J30" s="740"/>
      <c r="K30" s="740"/>
      <c r="L30" s="740"/>
      <c r="M30" s="740"/>
      <c r="N30" s="741"/>
      <c r="O30" s="739" t="s">
        <v>3942</v>
      </c>
      <c r="P30" s="740"/>
      <c r="Q30" s="740"/>
      <c r="R30" s="740"/>
      <c r="S30" s="740"/>
      <c r="T30" s="740"/>
      <c r="U30" s="740"/>
      <c r="V30" s="740"/>
      <c r="W30" s="740"/>
      <c r="X30" s="740"/>
      <c r="Y30" s="740"/>
      <c r="Z30" s="740"/>
      <c r="AA30" s="740"/>
      <c r="AB30" s="740"/>
      <c r="AC30" s="740"/>
      <c r="AD30" s="741"/>
      <c r="AG30" s="354" t="s">
        <v>2586</v>
      </c>
      <c r="AH30" s="496" t="s">
        <v>2587</v>
      </c>
      <c r="AI30" s="497"/>
      <c r="AJ30" s="496" t="s">
        <v>2588</v>
      </c>
      <c r="AK30" s="497"/>
      <c r="AL30" s="496" t="s">
        <v>2589</v>
      </c>
      <c r="AM30"/>
      <c r="AN30" s="282" t="s">
        <v>2637</v>
      </c>
      <c r="AO30" s="365" t="s">
        <v>2620</v>
      </c>
      <c r="AP30" s="256" t="s">
        <v>2591</v>
      </c>
      <c r="AQ30" s="257" t="s">
        <v>2592</v>
      </c>
    </row>
    <row r="31" spans="1:43">
      <c r="A31" s="94"/>
      <c r="B31" s="107"/>
      <c r="C31" s="749"/>
      <c r="D31" s="749"/>
      <c r="E31" s="749"/>
      <c r="F31" s="749"/>
      <c r="G31" s="749"/>
      <c r="H31" s="749"/>
      <c r="I31" s="885"/>
      <c r="J31" s="885"/>
      <c r="K31" s="885"/>
      <c r="L31" s="885"/>
      <c r="M31" s="885"/>
      <c r="N31" s="885"/>
      <c r="O31" s="749"/>
      <c r="P31" s="749"/>
      <c r="Q31" s="749"/>
      <c r="R31" s="749"/>
      <c r="S31" s="749"/>
      <c r="T31" s="749"/>
      <c r="U31" s="749"/>
      <c r="V31" s="749"/>
      <c r="W31" s="749"/>
      <c r="X31" s="749"/>
      <c r="Y31" s="749"/>
      <c r="Z31" s="749"/>
      <c r="AA31" s="749"/>
      <c r="AB31" s="749"/>
      <c r="AC31" s="749"/>
      <c r="AD31" s="749"/>
      <c r="AG31" s="326">
        <f>IF(AND($C$31&lt;&gt;"",$C$31&lt;&gt;1,COUNTA(I31:AD31)=0),0,IF(AND($C$31&lt;&gt;"",$C$31=1,COUNTA(I31:AD31)=2),0,IF(AND($C$31="",COUNTA(I31:AD31)=0),0,1)))</f>
        <v>0</v>
      </c>
      <c r="AH31" s="326" t="b">
        <f>NOT(EXACT(O31,UPPER(O31)))</f>
        <v>0</v>
      </c>
      <c r="AI31" s="326" t="str">
        <f>SUBSTITUTE( SUBSTITUTE( SUBSTITUTE( SUBSTITUTE( SUBSTITUTE( SUBSTITUTE( SUBSTITUTE( SUBSTITUTE( SUBSTITUTE( SUBSTITUTE(O31, "á", "a"), "é", "e"), "í", "i"), "ó", "o"), "ú", "u"), "Á", "A"), "É", "E"), "Í", "I"), "Ó", "O"), "Ú", "U")</f>
        <v/>
      </c>
      <c r="AJ31" s="326" t="b">
        <f>NOT(EXACT(O31,AI31))</f>
        <v>0</v>
      </c>
      <c r="AK31" s="326" t="str">
        <f>SUBSTITUTE((SUBSTITUTE(SUBSTITUTE(SUBSTITUTE(O31,".",""),",",""),"(","")),")","")</f>
        <v/>
      </c>
      <c r="AL31" s="326" t="b">
        <f>NOT(EXACT(O31,AK31))</f>
        <v>0</v>
      </c>
      <c r="AM31"/>
      <c r="AN31" s="283">
        <f>COUNTIF(I31:AD31,"NS")</f>
        <v>0</v>
      </c>
      <c r="AO31" s="342">
        <f>IF(AND($C$31&lt;&gt;"",$C$31&lt;&gt;1,COUNTA(I31:AD31)&gt;0),1,0)</f>
        <v>0</v>
      </c>
      <c r="AP31" s="253">
        <f>LEN(I31)</f>
        <v>0</v>
      </c>
      <c r="AQ31" s="253">
        <f>IF(I31="NS",0,IF(AND(I31&lt;&gt;"",SUM(AP31)=4),0,IF(I31="",0,1)))</f>
        <v>0</v>
      </c>
    </row>
    <row r="32" spans="1:43">
      <c r="A32" s="49"/>
      <c r="B32" s="38"/>
      <c r="C32" s="84"/>
      <c r="D32" s="84"/>
      <c r="E32" s="84"/>
      <c r="F32" s="84"/>
      <c r="G32" s="84"/>
      <c r="H32" s="84"/>
      <c r="I32" s="84"/>
      <c r="J32" s="84"/>
      <c r="K32" s="84"/>
      <c r="L32" s="84"/>
      <c r="M32" s="84"/>
      <c r="N32" s="84"/>
      <c r="O32" s="84"/>
      <c r="P32" s="84"/>
      <c r="Q32" s="84"/>
      <c r="R32" s="84"/>
      <c r="S32" s="84"/>
      <c r="T32" s="84"/>
      <c r="U32" s="84"/>
      <c r="V32" s="84"/>
      <c r="W32" s="84"/>
      <c r="X32" s="84"/>
      <c r="Y32" s="84"/>
      <c r="Z32" s="84"/>
      <c r="AA32" s="84"/>
      <c r="AB32" s="84"/>
      <c r="AC32" s="84"/>
      <c r="AD32" s="84"/>
      <c r="AG32"/>
      <c r="AH32" s="498">
        <f>COUNTIF(AH31,TRUE)</f>
        <v>0</v>
      </c>
      <c r="AI32" s="283"/>
      <c r="AJ32" s="498">
        <f>COUNTIF(AJ31,TRUE)</f>
        <v>0</v>
      </c>
      <c r="AK32" s="283"/>
      <c r="AL32" s="498">
        <f>COUNTIF(AL31,TRUE)</f>
        <v>0</v>
      </c>
      <c r="AM32" s="498">
        <f>SUM(AH32,AJ32,AL32)</f>
        <v>0</v>
      </c>
      <c r="AN32"/>
      <c r="AO32"/>
      <c r="AP32"/>
      <c r="AQ32"/>
    </row>
    <row r="33" spans="1:34" ht="24" customHeight="1">
      <c r="A33" s="49"/>
      <c r="B33" s="38"/>
      <c r="C33" s="754" t="s">
        <v>2611</v>
      </c>
      <c r="D33" s="754"/>
      <c r="E33" s="754"/>
      <c r="F33" s="754"/>
      <c r="G33" s="754"/>
      <c r="H33" s="754"/>
      <c r="I33" s="754"/>
      <c r="J33" s="754"/>
      <c r="K33" s="754"/>
      <c r="L33" s="754"/>
      <c r="M33" s="754"/>
      <c r="N33" s="754"/>
      <c r="O33" s="754"/>
      <c r="P33" s="754"/>
      <c r="Q33" s="754"/>
      <c r="R33" s="754"/>
      <c r="S33" s="754"/>
      <c r="T33" s="754"/>
      <c r="U33" s="754"/>
      <c r="V33" s="754"/>
      <c r="W33" s="754"/>
      <c r="X33" s="754"/>
      <c r="Y33" s="754"/>
      <c r="Z33" s="754"/>
      <c r="AA33" s="754"/>
      <c r="AB33" s="754"/>
      <c r="AC33" s="754"/>
      <c r="AD33" s="754"/>
    </row>
    <row r="34" spans="1:34" ht="60" customHeight="1">
      <c r="A34" s="49"/>
      <c r="B34" s="38"/>
      <c r="C34" s="851"/>
      <c r="D34" s="851"/>
      <c r="E34" s="851"/>
      <c r="F34" s="851"/>
      <c r="G34" s="851"/>
      <c r="H34" s="851"/>
      <c r="I34" s="851"/>
      <c r="J34" s="851"/>
      <c r="K34" s="851"/>
      <c r="L34" s="851"/>
      <c r="M34" s="851"/>
      <c r="N34" s="851"/>
      <c r="O34" s="851"/>
      <c r="P34" s="851"/>
      <c r="Q34" s="851"/>
      <c r="R34" s="851"/>
      <c r="S34" s="851"/>
      <c r="T34" s="851"/>
      <c r="U34" s="851"/>
      <c r="V34" s="851"/>
      <c r="W34" s="851"/>
      <c r="X34" s="851"/>
      <c r="Y34" s="851"/>
      <c r="Z34" s="851"/>
      <c r="AA34" s="851"/>
      <c r="AB34" s="851"/>
      <c r="AC34" s="851"/>
      <c r="AD34" s="851"/>
    </row>
    <row r="35" spans="1:34" ht="15" customHeight="1">
      <c r="A35" s="96"/>
      <c r="B35" s="794" t="str">
        <f>IF(AG31&gt;0,"Favor de ingresar toda la información requerida en la pregunta y/o verifique que no tenga información en celdas sombreadas","")</f>
        <v/>
      </c>
      <c r="C35" s="794"/>
      <c r="D35" s="794"/>
      <c r="E35" s="794"/>
      <c r="F35" s="794"/>
      <c r="G35" s="794"/>
      <c r="H35" s="794"/>
      <c r="I35" s="794"/>
      <c r="J35" s="794"/>
      <c r="K35" s="794"/>
      <c r="L35" s="794"/>
      <c r="M35" s="794"/>
      <c r="N35" s="794"/>
      <c r="O35" s="794"/>
      <c r="P35" s="794"/>
      <c r="Q35" s="794"/>
      <c r="R35" s="794"/>
      <c r="S35" s="794"/>
      <c r="T35" s="794"/>
      <c r="U35" s="794"/>
      <c r="V35" s="794"/>
      <c r="W35" s="794"/>
      <c r="X35" s="794"/>
      <c r="Y35" s="794"/>
      <c r="Z35" s="794"/>
      <c r="AA35" s="794"/>
      <c r="AB35" s="794"/>
      <c r="AC35" s="794"/>
      <c r="AD35" s="794"/>
      <c r="AE35"/>
    </row>
    <row r="36" spans="1:34" ht="15" customHeight="1">
      <c r="A36" s="96"/>
      <c r="B36" s="795" t="str">
        <f>IF(AN31&gt;0,"Alerta: debido a que cuenta con registros NS, debe proporcionar una justificación en el area de comentarios al final de la pregunta","")</f>
        <v/>
      </c>
      <c r="C36" s="795"/>
      <c r="D36" s="795"/>
      <c r="E36" s="795"/>
      <c r="F36" s="795"/>
      <c r="G36" s="795"/>
      <c r="H36" s="795"/>
      <c r="I36" s="795"/>
      <c r="J36" s="795"/>
      <c r="K36" s="795"/>
      <c r="L36" s="795"/>
      <c r="M36" s="795"/>
      <c r="N36" s="795"/>
      <c r="O36" s="795"/>
      <c r="P36" s="795"/>
      <c r="Q36" s="795"/>
      <c r="R36" s="795"/>
      <c r="S36" s="795"/>
      <c r="T36" s="795"/>
      <c r="U36" s="795"/>
      <c r="V36" s="795"/>
      <c r="W36" s="795"/>
      <c r="X36" s="795"/>
      <c r="Y36" s="795"/>
      <c r="Z36" s="795"/>
      <c r="AA36" s="795"/>
      <c r="AB36" s="795"/>
      <c r="AC36" s="795"/>
      <c r="AD36" s="795"/>
      <c r="AE36"/>
    </row>
    <row r="37" spans="1:34" ht="15" customHeight="1">
      <c r="A37" s="96"/>
      <c r="B37" s="795" t="str">
        <f>IF(OR(C31=3,C31=9),"Alerta: debe proporcionar una justificación ya que ha seleccionado el código 3 o 9 en la col. ¿Contaba con alguna unidad administrativa…?","")</f>
        <v/>
      </c>
      <c r="C37" s="795"/>
      <c r="D37" s="795"/>
      <c r="E37" s="795"/>
      <c r="F37" s="795"/>
      <c r="G37" s="795"/>
      <c r="H37" s="795"/>
      <c r="I37" s="795"/>
      <c r="J37" s="795"/>
      <c r="K37" s="795"/>
      <c r="L37" s="795"/>
      <c r="M37" s="795"/>
      <c r="N37" s="795"/>
      <c r="O37" s="795"/>
      <c r="P37" s="795"/>
      <c r="Q37" s="795"/>
      <c r="R37" s="795"/>
      <c r="S37" s="795"/>
      <c r="T37" s="795"/>
      <c r="U37" s="795"/>
      <c r="V37" s="795"/>
      <c r="W37" s="795"/>
      <c r="X37" s="795"/>
      <c r="Y37" s="795"/>
      <c r="Z37" s="795"/>
      <c r="AA37" s="795"/>
      <c r="AB37" s="795"/>
      <c r="AC37" s="795"/>
      <c r="AD37" s="795"/>
      <c r="AE37" s="795"/>
    </row>
    <row r="38" spans="1:34" ht="15" customHeight="1">
      <c r="A38" s="103"/>
      <c r="B38" s="794" t="str">
        <f>IF(AM32=0,"","El nombre debe registrarse en mayúsculas, sin comillas ni signos de acentuación, puntuación, paréntesis y abreviaturas")</f>
        <v/>
      </c>
      <c r="C38" s="794"/>
      <c r="D38" s="794"/>
      <c r="E38" s="794"/>
      <c r="F38" s="794"/>
      <c r="G38" s="794"/>
      <c r="H38" s="794"/>
      <c r="I38" s="794"/>
      <c r="J38" s="794"/>
      <c r="K38" s="794"/>
      <c r="L38" s="794"/>
      <c r="M38" s="794"/>
      <c r="N38" s="794"/>
      <c r="O38" s="794"/>
      <c r="P38" s="794"/>
      <c r="Q38" s="794"/>
      <c r="R38" s="794"/>
      <c r="S38" s="794"/>
      <c r="T38" s="794"/>
      <c r="U38" s="794"/>
      <c r="V38" s="794"/>
      <c r="W38" s="794"/>
      <c r="X38" s="794"/>
      <c r="Y38" s="794"/>
      <c r="Z38" s="794"/>
      <c r="AA38" s="794"/>
      <c r="AB38" s="794"/>
      <c r="AC38" s="794"/>
      <c r="AD38" s="794"/>
      <c r="AE38"/>
    </row>
    <row r="39" spans="1:34" ht="15" customHeight="1">
      <c r="A39" s="49"/>
      <c r="B39" s="794" t="str">
        <f>IF(AQ31&gt;0,"Favor de ingresar una fecha válida y/o verifique que el formato solicitado esté correcto","")</f>
        <v/>
      </c>
      <c r="C39" s="794"/>
      <c r="D39" s="794"/>
      <c r="E39" s="794"/>
      <c r="F39" s="794"/>
      <c r="G39" s="794"/>
      <c r="H39" s="794"/>
      <c r="I39" s="794"/>
      <c r="J39" s="794"/>
      <c r="K39" s="794"/>
      <c r="L39" s="794"/>
      <c r="M39" s="794"/>
      <c r="N39" s="794"/>
      <c r="O39" s="794"/>
      <c r="P39" s="794"/>
      <c r="Q39" s="794"/>
      <c r="R39" s="794"/>
      <c r="S39" s="794"/>
      <c r="T39" s="794"/>
      <c r="U39" s="794"/>
      <c r="V39" s="794"/>
      <c r="W39" s="794"/>
      <c r="X39" s="794"/>
      <c r="Y39" s="794"/>
      <c r="Z39" s="794"/>
      <c r="AA39" s="794"/>
      <c r="AB39" s="794"/>
      <c r="AC39" s="794"/>
      <c r="AD39" s="794"/>
      <c r="AE39"/>
    </row>
    <row r="40" spans="1:34" ht="15" customHeight="1">
      <c r="A40" s="49"/>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row>
    <row r="41" spans="1:34" ht="24" customHeight="1">
      <c r="A41" s="49" t="s">
        <v>3943</v>
      </c>
      <c r="B41" s="829" t="s">
        <v>3944</v>
      </c>
      <c r="C41" s="829"/>
      <c r="D41" s="829"/>
      <c r="E41" s="829"/>
      <c r="F41" s="829"/>
      <c r="G41" s="829"/>
      <c r="H41" s="829"/>
      <c r="I41" s="829"/>
      <c r="J41" s="829"/>
      <c r="K41" s="829"/>
      <c r="L41" s="829"/>
      <c r="M41" s="829"/>
      <c r="N41" s="829"/>
      <c r="O41" s="829"/>
      <c r="P41" s="829"/>
      <c r="Q41" s="829"/>
      <c r="R41" s="829"/>
      <c r="S41" s="829"/>
      <c r="T41" s="829"/>
      <c r="U41" s="829"/>
      <c r="V41" s="829"/>
      <c r="W41" s="829"/>
      <c r="X41" s="829"/>
      <c r="Y41" s="829"/>
      <c r="Z41" s="829"/>
      <c r="AA41" s="829"/>
      <c r="AB41" s="829"/>
      <c r="AC41" s="829"/>
      <c r="AD41" s="829"/>
    </row>
    <row r="42" spans="1:34" ht="15" customHeight="1">
      <c r="A42" s="103"/>
      <c r="B42" s="57"/>
      <c r="C42" s="830" t="s">
        <v>3945</v>
      </c>
      <c r="D42" s="830"/>
      <c r="E42" s="830"/>
      <c r="F42" s="830"/>
      <c r="G42" s="830"/>
      <c r="H42" s="830"/>
      <c r="I42" s="830"/>
      <c r="J42" s="830"/>
      <c r="K42" s="830"/>
      <c r="L42" s="830"/>
      <c r="M42" s="830"/>
      <c r="N42" s="830"/>
      <c r="O42" s="830"/>
      <c r="P42" s="830"/>
      <c r="Q42" s="830"/>
      <c r="R42" s="830"/>
      <c r="S42" s="830"/>
      <c r="T42" s="830"/>
      <c r="U42" s="830"/>
      <c r="V42" s="830"/>
      <c r="W42" s="830"/>
      <c r="X42" s="830"/>
      <c r="Y42" s="830"/>
      <c r="Z42" s="830"/>
      <c r="AA42" s="830"/>
      <c r="AB42" s="830"/>
      <c r="AC42" s="830"/>
      <c r="AD42" s="830"/>
    </row>
    <row r="43" spans="1:34" ht="36" customHeight="1">
      <c r="A43" s="49"/>
      <c r="B43" s="38"/>
      <c r="C43" s="754" t="s">
        <v>3946</v>
      </c>
      <c r="D43" s="754"/>
      <c r="E43" s="754"/>
      <c r="F43" s="754"/>
      <c r="G43" s="754"/>
      <c r="H43" s="754"/>
      <c r="I43" s="754"/>
      <c r="J43" s="754"/>
      <c r="K43" s="754"/>
      <c r="L43" s="754"/>
      <c r="M43" s="754"/>
      <c r="N43" s="754"/>
      <c r="O43" s="754"/>
      <c r="P43" s="754"/>
      <c r="Q43" s="754"/>
      <c r="R43" s="754"/>
      <c r="S43" s="754"/>
      <c r="T43" s="754"/>
      <c r="U43" s="754"/>
      <c r="V43" s="754"/>
      <c r="W43" s="754"/>
      <c r="X43" s="754"/>
      <c r="Y43" s="754"/>
      <c r="Z43" s="754"/>
      <c r="AA43" s="754"/>
      <c r="AB43" s="754"/>
      <c r="AC43" s="754"/>
      <c r="AD43" s="754"/>
    </row>
    <row r="44" spans="1:34" ht="15" customHeight="1" thickBot="1">
      <c r="A44" s="49"/>
      <c r="B44" s="38"/>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G44" s="499" t="s">
        <v>3947</v>
      </c>
      <c r="AH44" s="500" t="s">
        <v>3948</v>
      </c>
    </row>
    <row r="45" spans="1:34" ht="15" customHeight="1" thickBot="1">
      <c r="A45" s="49"/>
      <c r="B45" s="38"/>
      <c r="C45" s="137"/>
      <c r="D45" s="140" t="s">
        <v>3949</v>
      </c>
      <c r="E45" s="160"/>
      <c r="F45" s="160"/>
      <c r="G45" s="160"/>
      <c r="H45" s="160"/>
      <c r="I45" s="160"/>
      <c r="J45" s="160"/>
      <c r="K45" s="38"/>
      <c r="L45" s="137"/>
      <c r="M45" s="140" t="s">
        <v>3950</v>
      </c>
      <c r="N45" s="160"/>
      <c r="O45" s="160"/>
      <c r="P45" s="160"/>
      <c r="Q45" s="160"/>
      <c r="R45" s="160"/>
      <c r="S45" s="160"/>
      <c r="T45" s="137"/>
      <c r="U45" s="140" t="s">
        <v>3673</v>
      </c>
      <c r="V45" s="54"/>
      <c r="W45" s="54"/>
      <c r="X45" s="54"/>
      <c r="Y45" s="54"/>
      <c r="Z45" s="54"/>
      <c r="AA45" s="54"/>
      <c r="AB45" s="38"/>
      <c r="AC45" s="38"/>
      <c r="AD45" s="38"/>
      <c r="AG45">
        <f>IF(COUNTA(C45,L45,T45)=0,0,IF(COUNTA(C45,L45,T45)=1,0,1))</f>
        <v>0</v>
      </c>
      <c r="AH45" s="342">
        <f>IF(AND($C$31&lt;&gt;"",$C$31&lt;&gt;1,COUNTA(C45,L45,T45)&gt;0),1,0)</f>
        <v>0</v>
      </c>
    </row>
    <row r="46" spans="1:34" ht="15" customHeight="1">
      <c r="A46" s="49"/>
      <c r="B46" s="38"/>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row>
    <row r="47" spans="1:34" ht="24" customHeight="1">
      <c r="A47" s="96"/>
      <c r="B47" s="90"/>
      <c r="C47" s="754" t="s">
        <v>2611</v>
      </c>
      <c r="D47" s="754"/>
      <c r="E47" s="754"/>
      <c r="F47" s="754"/>
      <c r="G47" s="754"/>
      <c r="H47" s="754"/>
      <c r="I47" s="754"/>
      <c r="J47" s="754"/>
      <c r="K47" s="754"/>
      <c r="L47" s="754"/>
      <c r="M47" s="754"/>
      <c r="N47" s="754"/>
      <c r="O47" s="754"/>
      <c r="P47" s="754"/>
      <c r="Q47" s="754"/>
      <c r="R47" s="754"/>
      <c r="S47" s="754"/>
      <c r="T47" s="754"/>
      <c r="U47" s="754"/>
      <c r="V47" s="754"/>
      <c r="W47" s="754"/>
      <c r="X47" s="754"/>
      <c r="Y47" s="754"/>
      <c r="Z47" s="754"/>
      <c r="AA47" s="754"/>
      <c r="AB47" s="754"/>
      <c r="AC47" s="754"/>
      <c r="AD47" s="754"/>
    </row>
    <row r="48" spans="1:34" ht="60" customHeight="1">
      <c r="A48" s="96"/>
      <c r="B48" s="90"/>
      <c r="C48" s="851"/>
      <c r="D48" s="851"/>
      <c r="E48" s="851"/>
      <c r="F48" s="851"/>
      <c r="G48" s="851"/>
      <c r="H48" s="851"/>
      <c r="I48" s="851"/>
      <c r="J48" s="851"/>
      <c r="K48" s="851"/>
      <c r="L48" s="851"/>
      <c r="M48" s="851"/>
      <c r="N48" s="851"/>
      <c r="O48" s="851"/>
      <c r="P48" s="851"/>
      <c r="Q48" s="851"/>
      <c r="R48" s="851"/>
      <c r="S48" s="851"/>
      <c r="T48" s="851"/>
      <c r="U48" s="851"/>
      <c r="V48" s="851"/>
      <c r="W48" s="851"/>
      <c r="X48" s="851"/>
      <c r="Y48" s="851"/>
      <c r="Z48" s="851"/>
      <c r="AA48" s="851"/>
      <c r="AB48" s="851"/>
      <c r="AC48" s="851"/>
      <c r="AD48" s="851"/>
    </row>
    <row r="49" spans="1:37" ht="15" customHeight="1">
      <c r="A49" s="96"/>
      <c r="B49" s="794" t="str">
        <f>IF(AG45&gt;0,"Favor de seleccionar solo un código","")</f>
        <v/>
      </c>
      <c r="C49" s="794"/>
      <c r="D49" s="794"/>
      <c r="E49" s="794"/>
      <c r="F49" s="794"/>
      <c r="G49" s="794"/>
      <c r="H49" s="794"/>
      <c r="I49" s="794"/>
      <c r="J49" s="794"/>
      <c r="K49" s="794"/>
      <c r="L49" s="794"/>
      <c r="M49" s="794"/>
      <c r="N49" s="794"/>
      <c r="O49" s="794"/>
      <c r="P49" s="794"/>
      <c r="Q49" s="794"/>
      <c r="R49" s="794"/>
      <c r="S49" s="794"/>
      <c r="T49" s="794"/>
      <c r="U49" s="794"/>
      <c r="V49" s="794"/>
      <c r="W49" s="794"/>
      <c r="X49" s="794"/>
      <c r="Y49" s="794"/>
      <c r="Z49" s="794"/>
      <c r="AA49" s="794"/>
      <c r="AB49" s="794"/>
      <c r="AC49" s="794"/>
      <c r="AD49" s="794"/>
    </row>
    <row r="50" spans="1:37" ht="15" customHeight="1">
      <c r="A50" s="96"/>
      <c r="B50" s="794" t="str">
        <f>IF(AH45&gt;0,"Favor de ingresar toda la información requerida en la pregunta y/o verifique que no tenga información en celdas sombreadas","")</f>
        <v/>
      </c>
      <c r="C50" s="794"/>
      <c r="D50" s="794"/>
      <c r="E50" s="794"/>
      <c r="F50" s="794"/>
      <c r="G50" s="794"/>
      <c r="H50" s="794"/>
      <c r="I50" s="794"/>
      <c r="J50" s="794"/>
      <c r="K50" s="794"/>
      <c r="L50" s="794"/>
      <c r="M50" s="794"/>
      <c r="N50" s="794"/>
      <c r="O50" s="794"/>
      <c r="P50" s="794"/>
      <c r="Q50" s="794"/>
      <c r="R50" s="794"/>
      <c r="S50" s="794"/>
      <c r="T50" s="794"/>
      <c r="U50" s="794"/>
      <c r="V50" s="794"/>
      <c r="W50" s="794"/>
      <c r="X50" s="794"/>
      <c r="Y50" s="794"/>
      <c r="Z50" s="794"/>
      <c r="AA50" s="794"/>
      <c r="AB50" s="794"/>
      <c r="AC50" s="794"/>
      <c r="AD50" s="794"/>
    </row>
    <row r="51" spans="1:37" ht="15" customHeight="1">
      <c r="A51" s="96"/>
      <c r="B51" s="90"/>
      <c r="C51" s="90"/>
      <c r="D51" s="90"/>
      <c r="E51" s="90"/>
      <c r="F51" s="90"/>
      <c r="G51" s="90"/>
      <c r="H51" s="90"/>
      <c r="I51" s="90"/>
      <c r="J51" s="90"/>
      <c r="K51" s="90"/>
      <c r="L51" s="90"/>
      <c r="M51" s="90"/>
      <c r="N51" s="90"/>
      <c r="O51" s="90"/>
      <c r="P51" s="90"/>
      <c r="Q51" s="90"/>
      <c r="R51" s="90"/>
      <c r="S51" s="90"/>
      <c r="T51" s="90"/>
      <c r="U51" s="90"/>
      <c r="V51" s="90"/>
      <c r="W51" s="90"/>
      <c r="X51" s="90"/>
      <c r="Y51" s="90"/>
      <c r="Z51" s="90"/>
      <c r="AA51" s="90"/>
      <c r="AB51" s="90"/>
      <c r="AC51" s="90"/>
      <c r="AD51" s="90"/>
    </row>
    <row r="52" spans="1:37" ht="15" customHeight="1">
      <c r="A52" s="103"/>
      <c r="B52" s="57"/>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row>
    <row r="53" spans="1:37" ht="15" customHeight="1">
      <c r="A53" s="49"/>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row>
    <row r="54" spans="1:37" ht="15" customHeight="1">
      <c r="A54" s="49"/>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row>
    <row r="55" spans="1:37" ht="24" customHeight="1">
      <c r="A55" s="49" t="s">
        <v>3951</v>
      </c>
      <c r="B55" s="829" t="s">
        <v>3952</v>
      </c>
      <c r="C55" s="829"/>
      <c r="D55" s="829"/>
      <c r="E55" s="829"/>
      <c r="F55" s="829"/>
      <c r="G55" s="829"/>
      <c r="H55" s="829"/>
      <c r="I55" s="829"/>
      <c r="J55" s="829"/>
      <c r="K55" s="829"/>
      <c r="L55" s="829"/>
      <c r="M55" s="829"/>
      <c r="N55" s="829"/>
      <c r="O55" s="829"/>
      <c r="P55" s="829"/>
      <c r="Q55" s="829"/>
      <c r="R55" s="829"/>
      <c r="S55" s="829"/>
      <c r="T55" s="829"/>
      <c r="U55" s="829"/>
      <c r="V55" s="829"/>
      <c r="W55" s="829"/>
      <c r="X55" s="829"/>
      <c r="Y55" s="829"/>
      <c r="Z55" s="829"/>
      <c r="AA55" s="829"/>
      <c r="AB55" s="829"/>
      <c r="AC55" s="829"/>
      <c r="AD55" s="829"/>
    </row>
    <row r="56" spans="1:37" ht="15" customHeight="1">
      <c r="A56" s="49"/>
      <c r="B56" s="105"/>
      <c r="C56" s="830" t="s">
        <v>3190</v>
      </c>
      <c r="D56" s="830"/>
      <c r="E56" s="830"/>
      <c r="F56" s="830"/>
      <c r="G56" s="830"/>
      <c r="H56" s="830"/>
      <c r="I56" s="830"/>
      <c r="J56" s="830"/>
      <c r="K56" s="830"/>
      <c r="L56" s="830"/>
      <c r="M56" s="830"/>
      <c r="N56" s="830"/>
      <c r="O56" s="830"/>
      <c r="P56" s="830"/>
      <c r="Q56" s="830"/>
      <c r="R56" s="830"/>
      <c r="S56" s="830"/>
      <c r="T56" s="830"/>
      <c r="U56" s="830"/>
      <c r="V56" s="830"/>
      <c r="W56" s="830"/>
      <c r="X56" s="830"/>
      <c r="Y56" s="830"/>
      <c r="Z56" s="830"/>
      <c r="AA56" s="830"/>
      <c r="AB56" s="830"/>
      <c r="AC56" s="830"/>
      <c r="AD56" s="830"/>
    </row>
    <row r="57" spans="1:37" ht="15" customHeight="1">
      <c r="A57" s="49"/>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row>
    <row r="58" spans="1:37" ht="36" customHeight="1">
      <c r="A58" s="94"/>
      <c r="B58" s="57"/>
      <c r="C58" s="732" t="s">
        <v>3953</v>
      </c>
      <c r="D58" s="732"/>
      <c r="E58" s="732"/>
      <c r="F58" s="732"/>
      <c r="G58" s="732"/>
      <c r="H58" s="732"/>
      <c r="I58" s="732"/>
      <c r="J58" s="732"/>
      <c r="K58" s="732"/>
      <c r="L58" s="732"/>
      <c r="M58" s="732" t="s">
        <v>3954</v>
      </c>
      <c r="N58" s="732"/>
      <c r="O58" s="732"/>
      <c r="P58" s="732"/>
      <c r="Q58" s="732"/>
      <c r="R58" s="732"/>
      <c r="S58" s="732"/>
      <c r="T58" s="732"/>
      <c r="U58" s="732"/>
      <c r="V58" s="732"/>
      <c r="W58" s="732"/>
      <c r="X58" s="732"/>
      <c r="Y58" s="732"/>
      <c r="Z58" s="732"/>
      <c r="AA58" s="732"/>
      <c r="AB58" s="732"/>
      <c r="AC58" s="732"/>
      <c r="AD58" s="732"/>
    </row>
    <row r="59" spans="1:37" ht="15" customHeight="1">
      <c r="A59" s="94"/>
      <c r="B59" s="57"/>
      <c r="C59" s="732"/>
      <c r="D59" s="732"/>
      <c r="E59" s="732"/>
      <c r="F59" s="732"/>
      <c r="G59" s="732"/>
      <c r="H59" s="732"/>
      <c r="I59" s="732"/>
      <c r="J59" s="732"/>
      <c r="K59" s="732"/>
      <c r="L59" s="732"/>
      <c r="M59" s="732" t="s">
        <v>2628</v>
      </c>
      <c r="N59" s="732"/>
      <c r="O59" s="732"/>
      <c r="P59" s="732"/>
      <c r="Q59" s="732"/>
      <c r="R59" s="732"/>
      <c r="S59" s="736" t="s">
        <v>2629</v>
      </c>
      <c r="T59" s="736"/>
      <c r="U59" s="736"/>
      <c r="V59" s="736"/>
      <c r="W59" s="736"/>
      <c r="X59" s="736"/>
      <c r="Y59" s="733" t="s">
        <v>2630</v>
      </c>
      <c r="Z59" s="734"/>
      <c r="AA59" s="734"/>
      <c r="AB59" s="734"/>
      <c r="AC59" s="734"/>
      <c r="AD59" s="735"/>
      <c r="AG59" s="354" t="s">
        <v>2586</v>
      </c>
      <c r="AH59" s="282" t="s">
        <v>2590</v>
      </c>
      <c r="AI59" s="280" t="s">
        <v>3262</v>
      </c>
      <c r="AJ59" s="281" t="s">
        <v>3263</v>
      </c>
      <c r="AK59" s="365" t="s">
        <v>3948</v>
      </c>
    </row>
    <row r="60" spans="1:37" ht="15" customHeight="1">
      <c r="A60" s="94"/>
      <c r="B60" s="57"/>
      <c r="C60" s="97" t="s">
        <v>2516</v>
      </c>
      <c r="D60" s="813" t="s">
        <v>3192</v>
      </c>
      <c r="E60" s="814"/>
      <c r="F60" s="814"/>
      <c r="G60" s="814"/>
      <c r="H60" s="814"/>
      <c r="I60" s="814"/>
      <c r="J60" s="814"/>
      <c r="K60" s="814"/>
      <c r="L60" s="815"/>
      <c r="M60" s="749"/>
      <c r="N60" s="749"/>
      <c r="O60" s="749"/>
      <c r="P60" s="749"/>
      <c r="Q60" s="749"/>
      <c r="R60" s="749"/>
      <c r="S60" s="749"/>
      <c r="T60" s="749"/>
      <c r="U60" s="749"/>
      <c r="V60" s="749"/>
      <c r="W60" s="749"/>
      <c r="X60" s="749"/>
      <c r="Y60" s="816"/>
      <c r="Z60" s="738"/>
      <c r="AA60" s="738"/>
      <c r="AB60" s="738"/>
      <c r="AC60" s="738"/>
      <c r="AD60" s="817"/>
      <c r="AG60" s="326">
        <f>IF(AND($C$31&lt;&gt;"",$C$31&lt;&gt;1,COUNTA(M60:AD69)=0),0,IF(AND($C$31&lt;&gt;"",$C$31=1,$C$45="",COUNTA(M60:AD69)=30),0,IF(AND($C$31&lt;&gt;"",$C$31=1,$C$45="X",COUNTA(M60:AD69)=0),0,IF(COUNTA(M60:AD69)=0,0,1))))</f>
        <v>0</v>
      </c>
      <c r="AH60" s="283">
        <f>COUNTIF(S60:AD60,"NS")</f>
        <v>0</v>
      </c>
      <c r="AI60" s="283">
        <f>SUM(S60:AD60)</f>
        <v>0</v>
      </c>
      <c r="AJ60" s="283">
        <f>IF(COUNTIF(M60:AD60,"NA")=3,0,IF(COUNTA(M60:AD60)=0,0,IF(OR(AND(M60=0,AH60&gt;0),AND(M60="ns",AI60&gt;0),AND(M60="ns",AH60=0,AI60=0)),1,IF(OR(AND(M60&gt;0,AH60=2),AND(M60="ns",AH60=2),AND(M60="ns",AI60=0,AH60&gt;0),M60=AI60),0,1))))</f>
        <v>0</v>
      </c>
      <c r="AK60" s="342">
        <f>IF(AND($C$31&lt;&gt;"",$C$31&lt;&gt;1,COUNTA(M60:AD69)&gt;0),1,0)</f>
        <v>0</v>
      </c>
    </row>
    <row r="61" spans="1:37" ht="15" customHeight="1">
      <c r="A61" s="94"/>
      <c r="B61" s="57"/>
      <c r="C61" s="143" t="s">
        <v>2517</v>
      </c>
      <c r="D61" s="813" t="s">
        <v>3193</v>
      </c>
      <c r="E61" s="814"/>
      <c r="F61" s="814"/>
      <c r="G61" s="814"/>
      <c r="H61" s="814"/>
      <c r="I61" s="814"/>
      <c r="J61" s="814"/>
      <c r="K61" s="814"/>
      <c r="L61" s="815"/>
      <c r="M61" s="749"/>
      <c r="N61" s="749"/>
      <c r="O61" s="749"/>
      <c r="P61" s="749"/>
      <c r="Q61" s="749"/>
      <c r="R61" s="749"/>
      <c r="S61" s="749"/>
      <c r="T61" s="749"/>
      <c r="U61" s="749"/>
      <c r="V61" s="749"/>
      <c r="W61" s="749"/>
      <c r="X61" s="749"/>
      <c r="Y61" s="816"/>
      <c r="Z61" s="738"/>
      <c r="AA61" s="738"/>
      <c r="AB61" s="738"/>
      <c r="AC61" s="738"/>
      <c r="AD61" s="817"/>
      <c r="AH61" s="283">
        <f t="shared" ref="AH61:AH69" si="0">COUNTIF(S61:AD61,"NS")</f>
        <v>0</v>
      </c>
      <c r="AI61" s="283">
        <f t="shared" ref="AI61:AI69" si="1">SUM(S61:AD61)</f>
        <v>0</v>
      </c>
      <c r="AJ61" s="283">
        <f t="shared" ref="AJ61:AJ69" si="2">IF(COUNTIF(M61:AD61,"NA")=3,0,IF(COUNTA(M61:AD61)=0,0,IF(OR(AND(M61=0,AH61&gt;0),AND(M61="ns",AI61&gt;0),AND(M61="ns",AH61=0,AI61=0)),1,IF(OR(AND(M61&gt;0,AH61=2),AND(M61="ns",AH61=2),AND(M61="ns",AI61=0,AH61&gt;0),M61=AI61),0,1))))</f>
        <v>0</v>
      </c>
      <c r="AK61" s="342"/>
    </row>
    <row r="62" spans="1:37" ht="15" customHeight="1">
      <c r="A62" s="94"/>
      <c r="B62" s="57"/>
      <c r="C62" s="143" t="s">
        <v>2518</v>
      </c>
      <c r="D62" s="813" t="s">
        <v>3194</v>
      </c>
      <c r="E62" s="814"/>
      <c r="F62" s="814"/>
      <c r="G62" s="814"/>
      <c r="H62" s="814"/>
      <c r="I62" s="814"/>
      <c r="J62" s="814"/>
      <c r="K62" s="814"/>
      <c r="L62" s="815"/>
      <c r="M62" s="749"/>
      <c r="N62" s="749"/>
      <c r="O62" s="749"/>
      <c r="P62" s="749"/>
      <c r="Q62" s="749"/>
      <c r="R62" s="749"/>
      <c r="S62" s="749"/>
      <c r="T62" s="749"/>
      <c r="U62" s="749"/>
      <c r="V62" s="749"/>
      <c r="W62" s="749"/>
      <c r="X62" s="749"/>
      <c r="Y62" s="816"/>
      <c r="Z62" s="738"/>
      <c r="AA62" s="738"/>
      <c r="AB62" s="738"/>
      <c r="AC62" s="738"/>
      <c r="AD62" s="817"/>
      <c r="AH62" s="283">
        <f t="shared" si="0"/>
        <v>0</v>
      </c>
      <c r="AI62" s="283">
        <f t="shared" si="1"/>
        <v>0</v>
      </c>
      <c r="AJ62" s="283">
        <f t="shared" si="2"/>
        <v>0</v>
      </c>
      <c r="AK62" s="342"/>
    </row>
    <row r="63" spans="1:37" ht="15" customHeight="1">
      <c r="A63" s="94"/>
      <c r="B63" s="57"/>
      <c r="C63" s="143" t="s">
        <v>2519</v>
      </c>
      <c r="D63" s="813" t="s">
        <v>3195</v>
      </c>
      <c r="E63" s="814"/>
      <c r="F63" s="814"/>
      <c r="G63" s="814"/>
      <c r="H63" s="814"/>
      <c r="I63" s="814"/>
      <c r="J63" s="814"/>
      <c r="K63" s="814"/>
      <c r="L63" s="815"/>
      <c r="M63" s="749"/>
      <c r="N63" s="749"/>
      <c r="O63" s="749"/>
      <c r="P63" s="749"/>
      <c r="Q63" s="749"/>
      <c r="R63" s="749"/>
      <c r="S63" s="749"/>
      <c r="T63" s="749"/>
      <c r="U63" s="749"/>
      <c r="V63" s="749"/>
      <c r="W63" s="749"/>
      <c r="X63" s="749"/>
      <c r="Y63" s="816"/>
      <c r="Z63" s="738"/>
      <c r="AA63" s="738"/>
      <c r="AB63" s="738"/>
      <c r="AC63" s="738"/>
      <c r="AD63" s="817"/>
      <c r="AH63" s="283">
        <f t="shared" si="0"/>
        <v>0</v>
      </c>
      <c r="AI63" s="283">
        <f t="shared" si="1"/>
        <v>0</v>
      </c>
      <c r="AJ63" s="283">
        <f t="shared" si="2"/>
        <v>0</v>
      </c>
      <c r="AK63" s="342"/>
    </row>
    <row r="64" spans="1:37" ht="15" customHeight="1">
      <c r="A64" s="94"/>
      <c r="B64" s="57"/>
      <c r="C64" s="143" t="s">
        <v>2520</v>
      </c>
      <c r="D64" s="813" t="s">
        <v>3196</v>
      </c>
      <c r="E64" s="814"/>
      <c r="F64" s="814"/>
      <c r="G64" s="814"/>
      <c r="H64" s="814"/>
      <c r="I64" s="814"/>
      <c r="J64" s="814"/>
      <c r="K64" s="814"/>
      <c r="L64" s="815"/>
      <c r="M64" s="749"/>
      <c r="N64" s="749"/>
      <c r="O64" s="749"/>
      <c r="P64" s="749"/>
      <c r="Q64" s="749"/>
      <c r="R64" s="749"/>
      <c r="S64" s="749"/>
      <c r="T64" s="749"/>
      <c r="U64" s="749"/>
      <c r="V64" s="749"/>
      <c r="W64" s="749"/>
      <c r="X64" s="749"/>
      <c r="Y64" s="816"/>
      <c r="Z64" s="738"/>
      <c r="AA64" s="738"/>
      <c r="AB64" s="738"/>
      <c r="AC64" s="738"/>
      <c r="AD64" s="817"/>
      <c r="AH64" s="283">
        <f t="shared" si="0"/>
        <v>0</v>
      </c>
      <c r="AI64" s="283">
        <f t="shared" si="1"/>
        <v>0</v>
      </c>
      <c r="AJ64" s="283">
        <f t="shared" si="2"/>
        <v>0</v>
      </c>
      <c r="AK64" s="342"/>
    </row>
    <row r="65" spans="1:37" ht="15" customHeight="1">
      <c r="A65" s="94"/>
      <c r="B65" s="57"/>
      <c r="C65" s="143" t="s">
        <v>2521</v>
      </c>
      <c r="D65" s="813" t="s">
        <v>3197</v>
      </c>
      <c r="E65" s="814"/>
      <c r="F65" s="814"/>
      <c r="G65" s="814"/>
      <c r="H65" s="814"/>
      <c r="I65" s="814"/>
      <c r="J65" s="814"/>
      <c r="K65" s="814"/>
      <c r="L65" s="815"/>
      <c r="M65" s="749"/>
      <c r="N65" s="749"/>
      <c r="O65" s="749"/>
      <c r="P65" s="749"/>
      <c r="Q65" s="749"/>
      <c r="R65" s="749"/>
      <c r="S65" s="749"/>
      <c r="T65" s="749"/>
      <c r="U65" s="749"/>
      <c r="V65" s="749"/>
      <c r="W65" s="749"/>
      <c r="X65" s="749"/>
      <c r="Y65" s="816"/>
      <c r="Z65" s="738"/>
      <c r="AA65" s="738"/>
      <c r="AB65" s="738"/>
      <c r="AC65" s="738"/>
      <c r="AD65" s="817"/>
      <c r="AH65" s="283">
        <f t="shared" si="0"/>
        <v>0</v>
      </c>
      <c r="AI65" s="283">
        <f t="shared" si="1"/>
        <v>0</v>
      </c>
      <c r="AJ65" s="283">
        <f t="shared" si="2"/>
        <v>0</v>
      </c>
      <c r="AK65" s="342"/>
    </row>
    <row r="66" spans="1:37" ht="15" customHeight="1">
      <c r="A66" s="94"/>
      <c r="B66" s="57"/>
      <c r="C66" s="143" t="s">
        <v>2522</v>
      </c>
      <c r="D66" s="813" t="s">
        <v>3198</v>
      </c>
      <c r="E66" s="814"/>
      <c r="F66" s="814"/>
      <c r="G66" s="814"/>
      <c r="H66" s="814"/>
      <c r="I66" s="814"/>
      <c r="J66" s="814"/>
      <c r="K66" s="814"/>
      <c r="L66" s="815"/>
      <c r="M66" s="749"/>
      <c r="N66" s="749"/>
      <c r="O66" s="749"/>
      <c r="P66" s="749"/>
      <c r="Q66" s="749"/>
      <c r="R66" s="749"/>
      <c r="S66" s="749"/>
      <c r="T66" s="749"/>
      <c r="U66" s="749"/>
      <c r="V66" s="749"/>
      <c r="W66" s="749"/>
      <c r="X66" s="749"/>
      <c r="Y66" s="816"/>
      <c r="Z66" s="738"/>
      <c r="AA66" s="738"/>
      <c r="AB66" s="738"/>
      <c r="AC66" s="738"/>
      <c r="AD66" s="817"/>
      <c r="AH66" s="283">
        <f t="shared" si="0"/>
        <v>0</v>
      </c>
      <c r="AI66" s="283">
        <f t="shared" si="1"/>
        <v>0</v>
      </c>
      <c r="AJ66" s="283">
        <f t="shared" si="2"/>
        <v>0</v>
      </c>
      <c r="AK66" s="342"/>
    </row>
    <row r="67" spans="1:37" ht="15" customHeight="1">
      <c r="A67" s="94"/>
      <c r="B67" s="57"/>
      <c r="C67" s="143" t="s">
        <v>2523</v>
      </c>
      <c r="D67" s="813" t="s">
        <v>3199</v>
      </c>
      <c r="E67" s="814"/>
      <c r="F67" s="814"/>
      <c r="G67" s="814"/>
      <c r="H67" s="814"/>
      <c r="I67" s="814"/>
      <c r="J67" s="814"/>
      <c r="K67" s="814"/>
      <c r="L67" s="815"/>
      <c r="M67" s="749"/>
      <c r="N67" s="749"/>
      <c r="O67" s="749"/>
      <c r="P67" s="749"/>
      <c r="Q67" s="749"/>
      <c r="R67" s="749"/>
      <c r="S67" s="749"/>
      <c r="T67" s="749"/>
      <c r="U67" s="749"/>
      <c r="V67" s="749"/>
      <c r="W67" s="749"/>
      <c r="X67" s="749"/>
      <c r="Y67" s="816"/>
      <c r="Z67" s="738"/>
      <c r="AA67" s="738"/>
      <c r="AB67" s="738"/>
      <c r="AC67" s="738"/>
      <c r="AD67" s="817"/>
      <c r="AH67" s="283">
        <f t="shared" si="0"/>
        <v>0</v>
      </c>
      <c r="AI67" s="283">
        <f t="shared" si="1"/>
        <v>0</v>
      </c>
      <c r="AJ67" s="283">
        <f t="shared" si="2"/>
        <v>0</v>
      </c>
      <c r="AK67" s="342"/>
    </row>
    <row r="68" spans="1:37" ht="15" customHeight="1">
      <c r="A68" s="94"/>
      <c r="B68" s="57"/>
      <c r="C68" s="143" t="s">
        <v>2524</v>
      </c>
      <c r="D68" s="813" t="s">
        <v>3200</v>
      </c>
      <c r="E68" s="814"/>
      <c r="F68" s="814"/>
      <c r="G68" s="814"/>
      <c r="H68" s="814"/>
      <c r="I68" s="814"/>
      <c r="J68" s="814"/>
      <c r="K68" s="814"/>
      <c r="L68" s="815"/>
      <c r="M68" s="749"/>
      <c r="N68" s="749"/>
      <c r="O68" s="749"/>
      <c r="P68" s="749"/>
      <c r="Q68" s="749"/>
      <c r="R68" s="749"/>
      <c r="S68" s="749"/>
      <c r="T68" s="749"/>
      <c r="U68" s="749"/>
      <c r="V68" s="749"/>
      <c r="W68" s="749"/>
      <c r="X68" s="749"/>
      <c r="Y68" s="816"/>
      <c r="Z68" s="738"/>
      <c r="AA68" s="738"/>
      <c r="AB68" s="738"/>
      <c r="AC68" s="738"/>
      <c r="AD68" s="817"/>
      <c r="AH68" s="283">
        <f t="shared" si="0"/>
        <v>0</v>
      </c>
      <c r="AI68" s="283">
        <f t="shared" si="1"/>
        <v>0</v>
      </c>
      <c r="AJ68" s="283">
        <f t="shared" si="2"/>
        <v>0</v>
      </c>
      <c r="AK68" s="342"/>
    </row>
    <row r="69" spans="1:37" ht="15" customHeight="1">
      <c r="A69" s="94"/>
      <c r="B69" s="57"/>
      <c r="C69" s="44" t="s">
        <v>3955</v>
      </c>
      <c r="D69" s="796" t="s">
        <v>201</v>
      </c>
      <c r="E69" s="796"/>
      <c r="F69" s="796"/>
      <c r="G69" s="796"/>
      <c r="H69" s="796"/>
      <c r="I69" s="796"/>
      <c r="J69" s="796"/>
      <c r="K69" s="796"/>
      <c r="L69" s="796"/>
      <c r="M69" s="749"/>
      <c r="N69" s="749"/>
      <c r="O69" s="749"/>
      <c r="P69" s="749"/>
      <c r="Q69" s="749"/>
      <c r="R69" s="749"/>
      <c r="S69" s="749"/>
      <c r="T69" s="749"/>
      <c r="U69" s="749"/>
      <c r="V69" s="749"/>
      <c r="W69" s="749"/>
      <c r="X69" s="749"/>
      <c r="Y69" s="816"/>
      <c r="Z69" s="738"/>
      <c r="AA69" s="738"/>
      <c r="AB69" s="738"/>
      <c r="AC69" s="738"/>
      <c r="AD69" s="817"/>
      <c r="AH69" s="283">
        <f t="shared" si="0"/>
        <v>0</v>
      </c>
      <c r="AI69" s="283">
        <f t="shared" si="1"/>
        <v>0</v>
      </c>
      <c r="AJ69" s="283">
        <f t="shared" si="2"/>
        <v>0</v>
      </c>
      <c r="AK69" s="342"/>
    </row>
    <row r="70" spans="1:37" ht="15" customHeight="1">
      <c r="A70" s="94"/>
      <c r="B70" s="57"/>
      <c r="C70" s="51"/>
      <c r="D70" s="51"/>
      <c r="E70" s="57"/>
      <c r="F70" s="57"/>
      <c r="G70" s="57"/>
      <c r="H70" s="57"/>
      <c r="I70" s="57"/>
      <c r="J70" s="57"/>
      <c r="K70" s="57"/>
      <c r="L70" s="99" t="s">
        <v>2649</v>
      </c>
      <c r="M70" s="736">
        <f>IF(AND(SUM(M60:R69)=0,COUNTIF(M60:R69,"NS")&gt;0),"NS",
IF(AND(SUM(M60:R69)=0,COUNTIF(M60:R69,0)&gt;0),0,
IF(AND(SUM(M60:R69)=0,COUNTIF(M60:R69,"NA")&gt;0),"NA",
SUM(M60:R69))))</f>
        <v>0</v>
      </c>
      <c r="N70" s="736"/>
      <c r="O70" s="736"/>
      <c r="P70" s="736"/>
      <c r="Q70" s="736"/>
      <c r="R70" s="736"/>
      <c r="S70" s="736">
        <f t="shared" ref="S70" si="3">IF(AND(SUM(S60:X69)=0,COUNTIF(S60:X69,"NS")&gt;0),"NS",
IF(AND(SUM(S60:X69)=0,COUNTIF(S60:X69,0)&gt;0),0,
IF(AND(SUM(S60:X69)=0,COUNTIF(S60:X69,"NA")&gt;0),"NA",
SUM(S60:X69))))</f>
        <v>0</v>
      </c>
      <c r="T70" s="736"/>
      <c r="U70" s="736"/>
      <c r="V70" s="736"/>
      <c r="W70" s="736"/>
      <c r="X70" s="736"/>
      <c r="Y70" s="736">
        <f t="shared" ref="Y70" si="4">IF(AND(SUM(Y60:AD69)=0,COUNTIF(Y60:AD69,"NS")&gt;0),"NS",
IF(AND(SUM(Y60:AD69)=0,COUNTIF(Y60:AD69,0)&gt;0),0,
IF(AND(SUM(Y60:AD69)=0,COUNTIF(Y60:AD69,"NA")&gt;0),"NA",
SUM(Y60:AD69))))</f>
        <v>0</v>
      </c>
      <c r="Z70" s="736"/>
      <c r="AA70" s="736"/>
      <c r="AB70" s="736"/>
      <c r="AC70" s="736"/>
      <c r="AD70" s="736"/>
      <c r="AH70" s="350">
        <f>SUM(AH60:AH69)</f>
        <v>0</v>
      </c>
      <c r="AI70" s="351">
        <f>SUM(AI60:AI69)</f>
        <v>0</v>
      </c>
      <c r="AJ70" s="352">
        <f>SUM(AJ60:AJ69)</f>
        <v>0</v>
      </c>
      <c r="AK70" s="342"/>
    </row>
    <row r="71" spans="1:37" ht="15" customHeight="1">
      <c r="A71" s="49"/>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row>
    <row r="72" spans="1:37" ht="24" customHeight="1">
      <c r="A72" s="96"/>
      <c r="B72" s="90"/>
      <c r="C72" s="754" t="s">
        <v>2611</v>
      </c>
      <c r="D72" s="754"/>
      <c r="E72" s="754"/>
      <c r="F72" s="754"/>
      <c r="G72" s="754"/>
      <c r="H72" s="754"/>
      <c r="I72" s="754"/>
      <c r="J72" s="754"/>
      <c r="K72" s="754"/>
      <c r="L72" s="754"/>
      <c r="M72" s="754"/>
      <c r="N72" s="754"/>
      <c r="O72" s="754"/>
      <c r="P72" s="754"/>
      <c r="Q72" s="754"/>
      <c r="R72" s="754"/>
      <c r="S72" s="754"/>
      <c r="T72" s="754"/>
      <c r="U72" s="754"/>
      <c r="V72" s="754"/>
      <c r="W72" s="754"/>
      <c r="X72" s="754"/>
      <c r="Y72" s="754"/>
      <c r="Z72" s="754"/>
      <c r="AA72" s="754"/>
      <c r="AB72" s="754"/>
      <c r="AC72" s="754"/>
      <c r="AD72" s="754"/>
    </row>
    <row r="73" spans="1:37" ht="60" customHeight="1">
      <c r="A73" s="96"/>
      <c r="B73" s="90"/>
      <c r="C73" s="851"/>
      <c r="D73" s="851"/>
      <c r="E73" s="851"/>
      <c r="F73" s="851"/>
      <c r="G73" s="851"/>
      <c r="H73" s="851"/>
      <c r="I73" s="851"/>
      <c r="J73" s="851"/>
      <c r="K73" s="851"/>
      <c r="L73" s="851"/>
      <c r="M73" s="851"/>
      <c r="N73" s="851"/>
      <c r="O73" s="851"/>
      <c r="P73" s="851"/>
      <c r="Q73" s="851"/>
      <c r="R73" s="851"/>
      <c r="S73" s="851"/>
      <c r="T73" s="851"/>
      <c r="U73" s="851"/>
      <c r="V73" s="851"/>
      <c r="W73" s="851"/>
      <c r="X73" s="851"/>
      <c r="Y73" s="851"/>
      <c r="Z73" s="851"/>
      <c r="AA73" s="851"/>
      <c r="AB73" s="851"/>
      <c r="AC73" s="851"/>
      <c r="AD73" s="851"/>
    </row>
    <row r="74" spans="1:37" ht="15" customHeight="1">
      <c r="A74" s="96"/>
      <c r="B74" s="794" t="str">
        <f>IF(AG60&gt;0,"Favor de ingresar toda la información requerida en la pregunta y/o verifique que no tenga información en celdas sombreadas","")</f>
        <v/>
      </c>
      <c r="C74" s="794"/>
      <c r="D74" s="794"/>
      <c r="E74" s="794"/>
      <c r="F74" s="794"/>
      <c r="G74" s="794"/>
      <c r="H74" s="794"/>
      <c r="I74" s="794"/>
      <c r="J74" s="794"/>
      <c r="K74" s="794"/>
      <c r="L74" s="794"/>
      <c r="M74" s="794"/>
      <c r="N74" s="794"/>
      <c r="O74" s="794"/>
      <c r="P74" s="794"/>
      <c r="Q74" s="794"/>
      <c r="R74" s="794"/>
      <c r="S74" s="794"/>
      <c r="T74" s="794"/>
      <c r="U74" s="794"/>
      <c r="V74" s="794"/>
      <c r="W74" s="794"/>
      <c r="X74" s="794"/>
      <c r="Y74" s="794"/>
      <c r="Z74" s="794"/>
      <c r="AA74" s="794"/>
      <c r="AB74" s="794"/>
      <c r="AC74" s="794"/>
      <c r="AD74" s="794"/>
    </row>
    <row r="75" spans="1:37" ht="15" customHeight="1">
      <c r="A75" s="96"/>
      <c r="B75" s="795" t="str">
        <f>IF(AH70&gt;0,"Alerta: debido a que cuenta con registros NS, debe proporcionar una justificación en el area de comentarios al final de la pregunta","")</f>
        <v/>
      </c>
      <c r="C75" s="795"/>
      <c r="D75" s="795"/>
      <c r="E75" s="795"/>
      <c r="F75" s="795"/>
      <c r="G75" s="795"/>
      <c r="H75" s="795"/>
      <c r="I75" s="795"/>
      <c r="J75" s="795"/>
      <c r="K75" s="795"/>
      <c r="L75" s="795"/>
      <c r="M75" s="795"/>
      <c r="N75" s="795"/>
      <c r="O75" s="795"/>
      <c r="P75" s="795"/>
      <c r="Q75" s="795"/>
      <c r="R75" s="795"/>
      <c r="S75" s="795"/>
      <c r="T75" s="795"/>
      <c r="U75" s="795"/>
      <c r="V75" s="795"/>
      <c r="W75" s="795"/>
      <c r="X75" s="795"/>
      <c r="Y75" s="795"/>
      <c r="Z75" s="795"/>
      <c r="AA75" s="795"/>
      <c r="AB75" s="795"/>
      <c r="AC75" s="795"/>
      <c r="AD75" s="795"/>
    </row>
    <row r="76" spans="1:37" ht="15" customHeight="1">
      <c r="A76" s="96"/>
      <c r="B76" s="794" t="str">
        <f>IF(AJ70&gt;0,"Favor de revisar la suma y consistencia de totales y/o subtotales por filas (numéricos y NS)","")</f>
        <v/>
      </c>
      <c r="C76" s="794"/>
      <c r="D76" s="794"/>
      <c r="E76" s="794"/>
      <c r="F76" s="794"/>
      <c r="G76" s="794"/>
      <c r="H76" s="794"/>
      <c r="I76" s="794"/>
      <c r="J76" s="794"/>
      <c r="K76" s="794"/>
      <c r="L76" s="794"/>
      <c r="M76" s="794"/>
      <c r="N76" s="794"/>
      <c r="O76" s="794"/>
      <c r="P76" s="794"/>
      <c r="Q76" s="794"/>
      <c r="R76" s="794"/>
      <c r="S76" s="794"/>
      <c r="T76" s="794"/>
      <c r="U76" s="794"/>
      <c r="V76" s="794"/>
      <c r="W76" s="794"/>
      <c r="X76" s="794"/>
      <c r="Y76" s="794"/>
      <c r="Z76" s="794"/>
      <c r="AA76" s="794"/>
      <c r="AB76" s="794"/>
      <c r="AC76" s="794"/>
      <c r="AD76" s="794"/>
    </row>
    <row r="77" spans="1:37" ht="15" customHeight="1">
      <c r="A77" s="103"/>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row>
    <row r="78" spans="1:37" ht="15" customHeight="1">
      <c r="A78" s="49"/>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row>
    <row r="79" spans="1:37" ht="15" customHeight="1">
      <c r="A79" s="49"/>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row>
    <row r="80" spans="1:37" ht="24" customHeight="1">
      <c r="A80" s="49" t="s">
        <v>3956</v>
      </c>
      <c r="B80" s="829" t="s">
        <v>3957</v>
      </c>
      <c r="C80" s="829"/>
      <c r="D80" s="829"/>
      <c r="E80" s="829"/>
      <c r="F80" s="829"/>
      <c r="G80" s="829"/>
      <c r="H80" s="829"/>
      <c r="I80" s="829"/>
      <c r="J80" s="829"/>
      <c r="K80" s="829"/>
      <c r="L80" s="829"/>
      <c r="M80" s="829"/>
      <c r="N80" s="829"/>
      <c r="O80" s="829"/>
      <c r="P80" s="829"/>
      <c r="Q80" s="829"/>
      <c r="R80" s="829"/>
      <c r="S80" s="829"/>
      <c r="T80" s="829"/>
      <c r="U80" s="829"/>
      <c r="V80" s="829"/>
      <c r="W80" s="829"/>
      <c r="X80" s="829"/>
      <c r="Y80" s="829"/>
      <c r="Z80" s="829"/>
      <c r="AA80" s="829"/>
      <c r="AB80" s="829"/>
      <c r="AC80" s="829"/>
      <c r="AD80" s="829"/>
    </row>
    <row r="81" spans="1:35" ht="15" customHeight="1">
      <c r="A81" s="103"/>
      <c r="B81" s="57"/>
      <c r="C81" s="830" t="s">
        <v>3663</v>
      </c>
      <c r="D81" s="830"/>
      <c r="E81" s="830"/>
      <c r="F81" s="830"/>
      <c r="G81" s="830"/>
      <c r="H81" s="830"/>
      <c r="I81" s="830"/>
      <c r="J81" s="830"/>
      <c r="K81" s="830"/>
      <c r="L81" s="830"/>
      <c r="M81" s="830"/>
      <c r="N81" s="830"/>
      <c r="O81" s="830"/>
      <c r="P81" s="830"/>
      <c r="Q81" s="830"/>
      <c r="R81" s="830"/>
      <c r="S81" s="830"/>
      <c r="T81" s="830"/>
      <c r="U81" s="830"/>
      <c r="V81" s="830"/>
      <c r="W81" s="830"/>
      <c r="X81" s="830"/>
      <c r="Y81" s="830"/>
      <c r="Z81" s="830"/>
      <c r="AA81" s="830"/>
      <c r="AB81" s="830"/>
      <c r="AC81" s="830"/>
      <c r="AD81" s="830"/>
    </row>
    <row r="82" spans="1:35" ht="15" customHeight="1">
      <c r="A82" s="49"/>
      <c r="B82" s="38"/>
      <c r="C82" s="830" t="s">
        <v>3958</v>
      </c>
      <c r="D82" s="830"/>
      <c r="E82" s="830"/>
      <c r="F82" s="830"/>
      <c r="G82" s="830"/>
      <c r="H82" s="830"/>
      <c r="I82" s="830"/>
      <c r="J82" s="830"/>
      <c r="K82" s="830"/>
      <c r="L82" s="830"/>
      <c r="M82" s="830"/>
      <c r="N82" s="830"/>
      <c r="O82" s="830"/>
      <c r="P82" s="830"/>
      <c r="Q82" s="830"/>
      <c r="R82" s="830"/>
      <c r="S82" s="830"/>
      <c r="T82" s="830"/>
      <c r="U82" s="830"/>
      <c r="V82" s="830"/>
      <c r="W82" s="830"/>
      <c r="X82" s="830"/>
      <c r="Y82" s="830"/>
      <c r="Z82" s="830"/>
      <c r="AA82" s="830"/>
      <c r="AB82" s="830"/>
      <c r="AC82" s="830"/>
      <c r="AD82" s="830"/>
    </row>
    <row r="83" spans="1:35" ht="15" customHeight="1" thickBot="1">
      <c r="A83" s="49"/>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row>
    <row r="84" spans="1:35" ht="15" customHeight="1" thickBot="1">
      <c r="A84" s="49"/>
      <c r="B84" s="57"/>
      <c r="C84" s="137"/>
      <c r="D84" s="140" t="s">
        <v>3959</v>
      </c>
      <c r="E84" s="54"/>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c r="AG84" s="354" t="s">
        <v>2586</v>
      </c>
      <c r="AH84" s="365" t="s">
        <v>3948</v>
      </c>
      <c r="AI84" s="500" t="s">
        <v>3960</v>
      </c>
    </row>
    <row r="85" spans="1:35" ht="15" customHeight="1" thickBot="1">
      <c r="A85" s="49"/>
      <c r="B85" s="57"/>
      <c r="C85" s="137"/>
      <c r="D85" s="140" t="s">
        <v>3961</v>
      </c>
      <c r="E85" s="54"/>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c r="AG85" s="326">
        <f>IF(AND($C$31&lt;&gt;"",$C$31&lt;&gt;1,COUNTA(C84:C100)=0),0,IF(AND($C$31&lt;&gt;"",$C$31=1,COUNTA(C84:C99)&gt;0,C100=""),0,IF(AND($C$31&lt;&gt;"",$C$31=1,COUNTA(C84:C99)=0,C100="X"),0,IF(COUNTA(C84:C100)=0,0,1))))</f>
        <v>0</v>
      </c>
      <c r="AH85" s="342">
        <f>IF(AND($C$31&lt;&gt;"",$C$31&lt;&gt;1,COUNTA(C84:C100)&gt;0),1,0)</f>
        <v>0</v>
      </c>
      <c r="AI85" s="342">
        <f>IF(AND(C100="X",COUNTA(C84:C99)&gt;0),1,0)</f>
        <v>0</v>
      </c>
    </row>
    <row r="86" spans="1:35" ht="24" customHeight="1" thickBot="1">
      <c r="A86" s="49"/>
      <c r="B86" s="57"/>
      <c r="C86" s="137"/>
      <c r="D86" s="1011" t="s">
        <v>3962</v>
      </c>
      <c r="E86" s="1012"/>
      <c r="F86" s="1012"/>
      <c r="G86" s="1012"/>
      <c r="H86" s="1012"/>
      <c r="I86" s="1012"/>
      <c r="J86" s="1012"/>
      <c r="K86" s="1012"/>
      <c r="L86" s="1012"/>
      <c r="M86" s="1012"/>
      <c r="N86" s="1012"/>
      <c r="O86" s="1012"/>
      <c r="P86" s="1012"/>
      <c r="Q86" s="1012"/>
      <c r="R86" s="1012"/>
      <c r="S86" s="1012"/>
      <c r="T86" s="1012"/>
      <c r="U86" s="1012"/>
      <c r="V86" s="1012"/>
      <c r="W86" s="1012"/>
      <c r="X86" s="1012"/>
      <c r="Y86" s="1012"/>
      <c r="Z86" s="1012"/>
      <c r="AA86" s="1012"/>
      <c r="AB86" s="1012"/>
      <c r="AC86" s="1012"/>
      <c r="AD86" s="1012"/>
    </row>
    <row r="87" spans="1:35" ht="24" customHeight="1" thickBot="1">
      <c r="A87" s="49"/>
      <c r="B87" s="57"/>
      <c r="C87" s="137"/>
      <c r="D87" s="1011" t="s">
        <v>3963</v>
      </c>
      <c r="E87" s="1012"/>
      <c r="F87" s="1012"/>
      <c r="G87" s="1012"/>
      <c r="H87" s="1012"/>
      <c r="I87" s="1012"/>
      <c r="J87" s="1012"/>
      <c r="K87" s="1012"/>
      <c r="L87" s="1012"/>
      <c r="M87" s="1012"/>
      <c r="N87" s="1012"/>
      <c r="O87" s="1012"/>
      <c r="P87" s="1012"/>
      <c r="Q87" s="1012"/>
      <c r="R87" s="1012"/>
      <c r="S87" s="1012"/>
      <c r="T87" s="1012"/>
      <c r="U87" s="1012"/>
      <c r="V87" s="1012"/>
      <c r="W87" s="1012"/>
      <c r="X87" s="1012"/>
      <c r="Y87" s="1012"/>
      <c r="Z87" s="1012"/>
      <c r="AA87" s="1012"/>
      <c r="AB87" s="1012"/>
      <c r="AC87" s="1012"/>
      <c r="AD87" s="1012"/>
    </row>
    <row r="88" spans="1:35" ht="15" customHeight="1" thickBot="1">
      <c r="A88" s="49"/>
      <c r="B88" s="57"/>
      <c r="C88" s="137"/>
      <c r="D88" s="140" t="s">
        <v>3964</v>
      </c>
      <c r="E88" s="139"/>
      <c r="F88" s="139"/>
      <c r="G88" s="139"/>
      <c r="H88" s="139"/>
      <c r="I88" s="139"/>
      <c r="J88" s="139"/>
      <c r="K88" s="139"/>
      <c r="L88" s="139"/>
      <c r="M88" s="139"/>
      <c r="N88" s="139"/>
      <c r="O88" s="139"/>
      <c r="P88" s="139"/>
      <c r="Q88" s="139"/>
      <c r="R88" s="139"/>
      <c r="S88" s="139"/>
      <c r="T88" s="139"/>
      <c r="U88" s="139"/>
      <c r="V88" s="139"/>
      <c r="W88" s="139"/>
      <c r="X88" s="139"/>
      <c r="Y88" s="139"/>
      <c r="Z88" s="139"/>
      <c r="AA88" s="139"/>
      <c r="AB88" s="139"/>
      <c r="AC88" s="139"/>
      <c r="AD88" s="139"/>
    </row>
    <row r="89" spans="1:35" ht="15" customHeight="1" thickBot="1">
      <c r="A89" s="103"/>
      <c r="B89" s="57"/>
      <c r="C89" s="137"/>
      <c r="D89" s="140" t="s">
        <v>3965</v>
      </c>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row>
    <row r="90" spans="1:35" ht="24" customHeight="1" thickBot="1">
      <c r="A90" s="103"/>
      <c r="B90" s="57"/>
      <c r="C90" s="137"/>
      <c r="D90" s="1011" t="s">
        <v>3966</v>
      </c>
      <c r="E90" s="1012"/>
      <c r="F90" s="1012"/>
      <c r="G90" s="1012"/>
      <c r="H90" s="1012"/>
      <c r="I90" s="1012"/>
      <c r="J90" s="1012"/>
      <c r="K90" s="1012"/>
      <c r="L90" s="1012"/>
      <c r="M90" s="1012"/>
      <c r="N90" s="1012"/>
      <c r="O90" s="1012"/>
      <c r="P90" s="1012"/>
      <c r="Q90" s="1012"/>
      <c r="R90" s="1012"/>
      <c r="S90" s="1012"/>
      <c r="T90" s="1012"/>
      <c r="U90" s="1012"/>
      <c r="V90" s="1012"/>
      <c r="W90" s="1012"/>
      <c r="X90" s="1012"/>
      <c r="Y90" s="1012"/>
      <c r="Z90" s="1012"/>
      <c r="AA90" s="1012"/>
      <c r="AB90" s="1012"/>
      <c r="AC90" s="1012"/>
      <c r="AD90" s="1012"/>
    </row>
    <row r="91" spans="1:35" ht="15" customHeight="1" thickBot="1">
      <c r="A91" s="103"/>
      <c r="B91" s="57"/>
      <c r="C91" s="137"/>
      <c r="D91" s="140" t="s">
        <v>3967</v>
      </c>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row>
    <row r="92" spans="1:35" ht="15" customHeight="1" thickBot="1">
      <c r="A92" s="103"/>
      <c r="B92" s="57"/>
      <c r="C92" s="137"/>
      <c r="D92" s="140" t="s">
        <v>3968</v>
      </c>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row>
    <row r="93" spans="1:35" ht="15" customHeight="1" thickBot="1">
      <c r="A93" s="103"/>
      <c r="B93" s="57"/>
      <c r="C93" s="137"/>
      <c r="D93" s="140" t="s">
        <v>3969</v>
      </c>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row>
    <row r="94" spans="1:35" ht="24" customHeight="1" thickBot="1">
      <c r="A94" s="103"/>
      <c r="B94" s="57"/>
      <c r="C94" s="137"/>
      <c r="D94" s="965" t="s">
        <v>3970</v>
      </c>
      <c r="E94" s="731"/>
      <c r="F94" s="731"/>
      <c r="G94" s="731"/>
      <c r="H94" s="731"/>
      <c r="I94" s="731"/>
      <c r="J94" s="731"/>
      <c r="K94" s="731"/>
      <c r="L94" s="731"/>
      <c r="M94" s="731"/>
      <c r="N94" s="731"/>
      <c r="O94" s="731"/>
      <c r="P94" s="731"/>
      <c r="Q94" s="731"/>
      <c r="R94" s="731"/>
      <c r="S94" s="731"/>
      <c r="T94" s="731"/>
      <c r="U94" s="731"/>
      <c r="V94" s="731"/>
      <c r="W94" s="731"/>
      <c r="X94" s="731"/>
      <c r="Y94" s="731"/>
      <c r="Z94" s="731"/>
      <c r="AA94" s="731"/>
      <c r="AB94" s="731"/>
      <c r="AC94" s="731"/>
      <c r="AD94" s="731"/>
    </row>
    <row r="95" spans="1:35" ht="15" customHeight="1" thickBot="1">
      <c r="A95" s="103"/>
      <c r="B95" s="57"/>
      <c r="C95" s="137"/>
      <c r="D95" s="140" t="s">
        <v>3971</v>
      </c>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row>
    <row r="96" spans="1:35" ht="15" customHeight="1" thickBot="1">
      <c r="A96" s="103"/>
      <c r="B96" s="57"/>
      <c r="C96" s="137"/>
      <c r="D96" s="140" t="s">
        <v>3972</v>
      </c>
      <c r="E96" s="54"/>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row>
    <row r="97" spans="1:31" ht="15" customHeight="1" thickBot="1">
      <c r="A97" s="103"/>
      <c r="B97" s="57"/>
      <c r="C97" s="137"/>
      <c r="D97" s="140" t="s">
        <v>3973</v>
      </c>
      <c r="E97" s="54"/>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row>
    <row r="98" spans="1:31" ht="15" customHeight="1" thickBot="1">
      <c r="A98" s="49"/>
      <c r="B98" s="57"/>
      <c r="C98" s="137"/>
      <c r="D98" s="140" t="s">
        <v>3974</v>
      </c>
      <c r="E98" s="54"/>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row>
    <row r="99" spans="1:31" ht="15" customHeight="1" thickBot="1">
      <c r="A99" s="49"/>
      <c r="B99" s="57"/>
      <c r="C99" s="137"/>
      <c r="D99" s="140" t="s">
        <v>3975</v>
      </c>
      <c r="E99" s="54"/>
      <c r="F99" s="54"/>
      <c r="G99" s="54"/>
      <c r="H99" s="54"/>
      <c r="I99" s="51"/>
      <c r="J99" s="51"/>
      <c r="K99" s="51"/>
      <c r="L99" s="51"/>
      <c r="M99" s="737"/>
      <c r="N99" s="737"/>
      <c r="O99" s="737"/>
      <c r="P99" s="737"/>
      <c r="Q99" s="737"/>
      <c r="R99" s="737"/>
      <c r="S99" s="737"/>
      <c r="T99" s="737"/>
      <c r="U99" s="737"/>
      <c r="V99" s="737"/>
      <c r="W99" s="737"/>
      <c r="X99" s="737"/>
      <c r="Y99" s="737"/>
      <c r="Z99" s="737"/>
      <c r="AA99" s="737"/>
      <c r="AB99" s="737"/>
      <c r="AC99" s="737"/>
      <c r="AD99" s="737"/>
    </row>
    <row r="100" spans="1:31" ht="15" customHeight="1" thickBot="1">
      <c r="A100" s="103"/>
      <c r="B100" s="57"/>
      <c r="C100" s="137"/>
      <c r="D100" s="140" t="s">
        <v>3976</v>
      </c>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row>
    <row r="101" spans="1:31" ht="15" customHeight="1">
      <c r="A101" s="103"/>
      <c r="B101" s="57"/>
      <c r="C101" s="54"/>
      <c r="D101" s="160"/>
      <c r="E101" s="160"/>
      <c r="F101" s="160"/>
      <c r="G101" s="160"/>
      <c r="H101" s="160"/>
      <c r="I101" s="160"/>
      <c r="J101" s="160"/>
      <c r="K101" s="160"/>
      <c r="L101" s="160"/>
      <c r="M101" s="160"/>
      <c r="N101" s="160"/>
      <c r="O101" s="160"/>
      <c r="P101" s="160"/>
      <c r="Q101" s="160"/>
      <c r="R101" s="160"/>
      <c r="S101" s="160"/>
      <c r="T101" s="160"/>
      <c r="U101" s="160"/>
      <c r="V101" s="160"/>
      <c r="W101" s="160"/>
      <c r="X101" s="160"/>
      <c r="Y101" s="160"/>
      <c r="Z101" s="160"/>
      <c r="AA101" s="160"/>
      <c r="AB101" s="160"/>
      <c r="AC101" s="160"/>
      <c r="AD101" s="160"/>
    </row>
    <row r="102" spans="1:31" ht="24" customHeight="1">
      <c r="A102" s="96"/>
      <c r="B102" s="90"/>
      <c r="C102" s="754" t="s">
        <v>2611</v>
      </c>
      <c r="D102" s="754"/>
      <c r="E102" s="754"/>
      <c r="F102" s="754"/>
      <c r="G102" s="754"/>
      <c r="H102" s="754"/>
      <c r="I102" s="754"/>
      <c r="J102" s="754"/>
      <c r="K102" s="754"/>
      <c r="L102" s="754"/>
      <c r="M102" s="754"/>
      <c r="N102" s="754"/>
      <c r="O102" s="754"/>
      <c r="P102" s="754"/>
      <c r="Q102" s="754"/>
      <c r="R102" s="754"/>
      <c r="S102" s="754"/>
      <c r="T102" s="754"/>
      <c r="U102" s="754"/>
      <c r="V102" s="754"/>
      <c r="W102" s="754"/>
      <c r="X102" s="754"/>
      <c r="Y102" s="754"/>
      <c r="Z102" s="754"/>
      <c r="AA102" s="754"/>
      <c r="AB102" s="754"/>
      <c r="AC102" s="754"/>
      <c r="AD102" s="754"/>
    </row>
    <row r="103" spans="1:31" ht="60" customHeight="1">
      <c r="A103" s="96"/>
      <c r="B103" s="90"/>
      <c r="C103" s="851"/>
      <c r="D103" s="851"/>
      <c r="E103" s="851"/>
      <c r="F103" s="851"/>
      <c r="G103" s="851"/>
      <c r="H103" s="851"/>
      <c r="I103" s="851"/>
      <c r="J103" s="851"/>
      <c r="K103" s="851"/>
      <c r="L103" s="851"/>
      <c r="M103" s="851"/>
      <c r="N103" s="851"/>
      <c r="O103" s="851"/>
      <c r="P103" s="851"/>
      <c r="Q103" s="851"/>
      <c r="R103" s="851"/>
      <c r="S103" s="851"/>
      <c r="T103" s="851"/>
      <c r="U103" s="851"/>
      <c r="V103" s="851"/>
      <c r="W103" s="851"/>
      <c r="X103" s="851"/>
      <c r="Y103" s="851"/>
      <c r="Z103" s="851"/>
      <c r="AA103" s="851"/>
      <c r="AB103" s="851"/>
      <c r="AC103" s="851"/>
      <c r="AD103" s="851"/>
    </row>
    <row r="104" spans="1:31" ht="15" customHeight="1">
      <c r="A104" s="49"/>
      <c r="B104" s="794" t="str">
        <f>IF(AG85&gt;0,"Favor de ingresar toda la información requerida en la pregunta y/o verifique que no tenga información en celdas sombreadas","")</f>
        <v/>
      </c>
      <c r="C104" s="794"/>
      <c r="D104" s="794"/>
      <c r="E104" s="794"/>
      <c r="F104" s="794"/>
      <c r="G104" s="794"/>
      <c r="H104" s="794"/>
      <c r="I104" s="794"/>
      <c r="J104" s="794"/>
      <c r="K104" s="794"/>
      <c r="L104" s="794"/>
      <c r="M104" s="794"/>
      <c r="N104" s="794"/>
      <c r="O104" s="794"/>
      <c r="P104" s="794"/>
      <c r="Q104" s="794"/>
      <c r="R104" s="794"/>
      <c r="S104" s="794"/>
      <c r="T104" s="794"/>
      <c r="U104" s="794"/>
      <c r="V104" s="794"/>
      <c r="W104" s="794"/>
      <c r="X104" s="794"/>
      <c r="Y104" s="794"/>
      <c r="Z104" s="794"/>
      <c r="AA104" s="794"/>
      <c r="AB104" s="794"/>
      <c r="AC104" s="794"/>
      <c r="AD104" s="794"/>
    </row>
    <row r="105" spans="1:31" ht="15" customHeight="1">
      <c r="A105" s="49"/>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row>
    <row r="106" spans="1:31" ht="15" customHeight="1">
      <c r="A106" s="49"/>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row>
    <row r="107" spans="1:31" ht="15" customHeight="1">
      <c r="A107" s="49"/>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row>
    <row r="108" spans="1:31" ht="15" customHeight="1">
      <c r="A108" s="49"/>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row>
    <row r="109" spans="1:31" ht="15" customHeight="1" thickBot="1">
      <c r="A109" s="49"/>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row>
    <row r="110" spans="1:31" customFormat="1" ht="15" customHeight="1" thickBot="1">
      <c r="A110" s="153" t="s">
        <v>2563</v>
      </c>
      <c r="B110" s="831" t="s">
        <v>3977</v>
      </c>
      <c r="C110" s="832"/>
      <c r="D110" s="832"/>
      <c r="E110" s="832"/>
      <c r="F110" s="832"/>
      <c r="G110" s="832"/>
      <c r="H110" s="832"/>
      <c r="I110" s="832"/>
      <c r="J110" s="832"/>
      <c r="K110" s="832"/>
      <c r="L110" s="832"/>
      <c r="M110" s="832"/>
      <c r="N110" s="832"/>
      <c r="O110" s="832"/>
      <c r="P110" s="832"/>
      <c r="Q110" s="832"/>
      <c r="R110" s="832"/>
      <c r="S110" s="832"/>
      <c r="T110" s="832"/>
      <c r="U110" s="832"/>
      <c r="V110" s="832"/>
      <c r="W110" s="832"/>
      <c r="X110" s="832"/>
      <c r="Y110" s="832"/>
      <c r="Z110" s="832"/>
      <c r="AA110" s="832"/>
      <c r="AB110" s="832"/>
      <c r="AC110" s="832"/>
      <c r="AD110" s="833"/>
      <c r="AE110" s="3"/>
    </row>
    <row r="111" spans="1:31" ht="15" customHeight="1">
      <c r="A111" s="120"/>
      <c r="B111" s="1006" t="s">
        <v>3157</v>
      </c>
      <c r="C111" s="893"/>
      <c r="D111" s="893"/>
      <c r="E111" s="893"/>
      <c r="F111" s="893"/>
      <c r="G111" s="893"/>
      <c r="H111" s="893"/>
      <c r="I111" s="893"/>
      <c r="J111" s="893"/>
      <c r="K111" s="893"/>
      <c r="L111" s="893"/>
      <c r="M111" s="893"/>
      <c r="N111" s="893"/>
      <c r="O111" s="893"/>
      <c r="P111" s="893"/>
      <c r="Q111" s="893"/>
      <c r="R111" s="893"/>
      <c r="S111" s="893"/>
      <c r="T111" s="893"/>
      <c r="U111" s="893"/>
      <c r="V111" s="893"/>
      <c r="W111" s="893"/>
      <c r="X111" s="893"/>
      <c r="Y111" s="893"/>
      <c r="Z111" s="893"/>
      <c r="AA111" s="893"/>
      <c r="AB111" s="893"/>
      <c r="AC111" s="893"/>
      <c r="AD111" s="1007"/>
    </row>
    <row r="112" spans="1:31" ht="24" customHeight="1">
      <c r="A112" s="120"/>
      <c r="B112" s="154"/>
      <c r="C112" s="754" t="s">
        <v>3978</v>
      </c>
      <c r="D112" s="754"/>
      <c r="E112" s="754"/>
      <c r="F112" s="754"/>
      <c r="G112" s="754"/>
      <c r="H112" s="754"/>
      <c r="I112" s="754"/>
      <c r="J112" s="754"/>
      <c r="K112" s="754"/>
      <c r="L112" s="754"/>
      <c r="M112" s="754"/>
      <c r="N112" s="754"/>
      <c r="O112" s="754"/>
      <c r="P112" s="754"/>
      <c r="Q112" s="754"/>
      <c r="R112" s="754"/>
      <c r="S112" s="754"/>
      <c r="T112" s="754"/>
      <c r="U112" s="754"/>
      <c r="V112" s="754"/>
      <c r="W112" s="754"/>
      <c r="X112" s="754"/>
      <c r="Y112" s="754"/>
      <c r="Z112" s="754"/>
      <c r="AA112" s="754"/>
      <c r="AB112" s="754"/>
      <c r="AC112" s="754"/>
      <c r="AD112" s="755"/>
    </row>
    <row r="113" spans="1:45" ht="24" customHeight="1">
      <c r="A113" s="120"/>
      <c r="B113" s="668"/>
      <c r="C113" s="764" t="s">
        <v>3979</v>
      </c>
      <c r="D113" s="764"/>
      <c r="E113" s="764"/>
      <c r="F113" s="764"/>
      <c r="G113" s="764"/>
      <c r="H113" s="764"/>
      <c r="I113" s="764"/>
      <c r="J113" s="764"/>
      <c r="K113" s="764"/>
      <c r="L113" s="764"/>
      <c r="M113" s="764"/>
      <c r="N113" s="764"/>
      <c r="O113" s="764"/>
      <c r="P113" s="764"/>
      <c r="Q113" s="764"/>
      <c r="R113" s="764"/>
      <c r="S113" s="764"/>
      <c r="T113" s="764"/>
      <c r="U113" s="764"/>
      <c r="V113" s="764"/>
      <c r="W113" s="764"/>
      <c r="X113" s="764"/>
      <c r="Y113" s="764"/>
      <c r="Z113" s="764"/>
      <c r="AA113" s="764"/>
      <c r="AB113" s="764"/>
      <c r="AC113" s="764"/>
      <c r="AD113" s="765"/>
    </row>
    <row r="114" spans="1:45" ht="15" customHeight="1">
      <c r="A114" s="146"/>
      <c r="B114" s="941" t="s">
        <v>2565</v>
      </c>
      <c r="C114" s="839"/>
      <c r="D114" s="839"/>
      <c r="E114" s="839"/>
      <c r="F114" s="839"/>
      <c r="G114" s="839"/>
      <c r="H114" s="839"/>
      <c r="I114" s="839"/>
      <c r="J114" s="839"/>
      <c r="K114" s="839"/>
      <c r="L114" s="839"/>
      <c r="M114" s="839"/>
      <c r="N114" s="839"/>
      <c r="O114" s="839"/>
      <c r="P114" s="839"/>
      <c r="Q114" s="839"/>
      <c r="R114" s="839"/>
      <c r="S114" s="839"/>
      <c r="T114" s="839"/>
      <c r="U114" s="839"/>
      <c r="V114" s="839"/>
      <c r="W114" s="839"/>
      <c r="X114" s="839"/>
      <c r="Y114" s="839"/>
      <c r="Z114" s="839"/>
      <c r="AA114" s="839"/>
      <c r="AB114" s="839"/>
      <c r="AC114" s="839"/>
      <c r="AD114" s="942"/>
    </row>
    <row r="115" spans="1:45" ht="48" customHeight="1">
      <c r="A115" s="49"/>
      <c r="B115" s="671"/>
      <c r="C115" s="1004" t="s">
        <v>3980</v>
      </c>
      <c r="D115" s="1004"/>
      <c r="E115" s="1004"/>
      <c r="F115" s="1004"/>
      <c r="G115" s="1004"/>
      <c r="H115" s="1004"/>
      <c r="I115" s="1004"/>
      <c r="J115" s="1004"/>
      <c r="K115" s="1004"/>
      <c r="L115" s="1004"/>
      <c r="M115" s="1004"/>
      <c r="N115" s="1004"/>
      <c r="O115" s="1004"/>
      <c r="P115" s="1004"/>
      <c r="Q115" s="1004"/>
      <c r="R115" s="1004"/>
      <c r="S115" s="1004"/>
      <c r="T115" s="1004"/>
      <c r="U115" s="1004"/>
      <c r="V115" s="1004"/>
      <c r="W115" s="1004"/>
      <c r="X115" s="1004"/>
      <c r="Y115" s="1004"/>
      <c r="Z115" s="1004"/>
      <c r="AA115" s="1004"/>
      <c r="AB115" s="1004"/>
      <c r="AC115" s="1004"/>
      <c r="AD115" s="1005"/>
    </row>
    <row r="116" spans="1:45" ht="15" customHeight="1">
      <c r="A116" s="49"/>
      <c r="B116" s="57"/>
      <c r="C116" s="57"/>
      <c r="D116" s="57"/>
      <c r="E116" s="57"/>
      <c r="F116" s="57"/>
      <c r="G116" s="57"/>
      <c r="H116" s="57"/>
      <c r="I116" s="57"/>
      <c r="J116" s="57"/>
      <c r="K116" s="57"/>
      <c r="L116" s="57"/>
      <c r="M116" s="57"/>
      <c r="N116" s="57"/>
      <c r="O116" s="57"/>
      <c r="P116" s="57"/>
      <c r="Q116" s="57"/>
      <c r="R116" s="57"/>
      <c r="S116" s="57"/>
      <c r="T116" s="57"/>
      <c r="U116" s="57"/>
      <c r="V116" s="57"/>
      <c r="W116" s="57"/>
      <c r="X116" s="57"/>
      <c r="Y116" s="57"/>
      <c r="Z116" s="57"/>
      <c r="AA116" s="57"/>
      <c r="AB116" s="57"/>
      <c r="AC116" s="57"/>
      <c r="AD116" s="57"/>
    </row>
    <row r="117" spans="1:45" ht="48" customHeight="1">
      <c r="A117" s="49" t="s">
        <v>3981</v>
      </c>
      <c r="B117" s="829" t="s">
        <v>3982</v>
      </c>
      <c r="C117" s="829"/>
      <c r="D117" s="829"/>
      <c r="E117" s="829"/>
      <c r="F117" s="829"/>
      <c r="G117" s="829"/>
      <c r="H117" s="829"/>
      <c r="I117" s="829"/>
      <c r="J117" s="829"/>
      <c r="K117" s="829"/>
      <c r="L117" s="829"/>
      <c r="M117" s="829"/>
      <c r="N117" s="829"/>
      <c r="O117" s="829"/>
      <c r="P117" s="829"/>
      <c r="Q117" s="829"/>
      <c r="R117" s="829"/>
      <c r="S117" s="829"/>
      <c r="T117" s="829"/>
      <c r="U117" s="829"/>
      <c r="V117" s="829"/>
      <c r="W117" s="829"/>
      <c r="X117" s="829"/>
      <c r="Y117" s="829"/>
      <c r="Z117" s="829"/>
      <c r="AA117" s="829"/>
      <c r="AB117" s="829"/>
      <c r="AC117" s="829"/>
      <c r="AD117" s="829"/>
    </row>
    <row r="118" spans="1:45" ht="36" customHeight="1">
      <c r="A118" s="49"/>
      <c r="B118" s="38"/>
      <c r="C118" s="830" t="s">
        <v>3983</v>
      </c>
      <c r="D118" s="830"/>
      <c r="E118" s="830"/>
      <c r="F118" s="830"/>
      <c r="G118" s="830"/>
      <c r="H118" s="830"/>
      <c r="I118" s="830"/>
      <c r="J118" s="830"/>
      <c r="K118" s="830"/>
      <c r="L118" s="830"/>
      <c r="M118" s="830"/>
      <c r="N118" s="830"/>
      <c r="O118" s="830"/>
      <c r="P118" s="830"/>
      <c r="Q118" s="830"/>
      <c r="R118" s="830"/>
      <c r="S118" s="830"/>
      <c r="T118" s="830"/>
      <c r="U118" s="830"/>
      <c r="V118" s="830"/>
      <c r="W118" s="830"/>
      <c r="X118" s="830"/>
      <c r="Y118" s="830"/>
      <c r="Z118" s="830"/>
      <c r="AA118" s="830"/>
      <c r="AB118" s="830"/>
      <c r="AC118" s="830"/>
      <c r="AD118" s="830"/>
    </row>
    <row r="119" spans="1:45" ht="48" customHeight="1">
      <c r="A119" s="49"/>
      <c r="B119" s="54"/>
      <c r="C119" s="830" t="s">
        <v>3984</v>
      </c>
      <c r="D119" s="830"/>
      <c r="E119" s="830"/>
      <c r="F119" s="830"/>
      <c r="G119" s="830"/>
      <c r="H119" s="830"/>
      <c r="I119" s="830"/>
      <c r="J119" s="830"/>
      <c r="K119" s="830"/>
      <c r="L119" s="830"/>
      <c r="M119" s="830"/>
      <c r="N119" s="830"/>
      <c r="O119" s="830"/>
      <c r="P119" s="830"/>
      <c r="Q119" s="830"/>
      <c r="R119" s="830"/>
      <c r="S119" s="830"/>
      <c r="T119" s="830"/>
      <c r="U119" s="830"/>
      <c r="V119" s="830"/>
      <c r="W119" s="830"/>
      <c r="X119" s="830"/>
      <c r="Y119" s="830"/>
      <c r="Z119" s="830"/>
      <c r="AA119" s="830"/>
      <c r="AB119" s="830"/>
      <c r="AC119" s="830"/>
      <c r="AD119" s="830"/>
    </row>
    <row r="120" spans="1:45" ht="36" customHeight="1">
      <c r="A120" s="49"/>
      <c r="B120" s="54"/>
      <c r="C120" s="754" t="s">
        <v>3985</v>
      </c>
      <c r="D120" s="754"/>
      <c r="E120" s="754"/>
      <c r="F120" s="754"/>
      <c r="G120" s="754"/>
      <c r="H120" s="754"/>
      <c r="I120" s="754"/>
      <c r="J120" s="754"/>
      <c r="K120" s="754"/>
      <c r="L120" s="754"/>
      <c r="M120" s="754"/>
      <c r="N120" s="754"/>
      <c r="O120" s="754"/>
      <c r="P120" s="754"/>
      <c r="Q120" s="754"/>
      <c r="R120" s="754"/>
      <c r="S120" s="754"/>
      <c r="T120" s="754"/>
      <c r="U120" s="754"/>
      <c r="V120" s="754"/>
      <c r="W120" s="754"/>
      <c r="X120" s="754"/>
      <c r="Y120" s="754"/>
      <c r="Z120" s="754"/>
      <c r="AA120" s="754"/>
      <c r="AB120" s="754"/>
      <c r="AC120" s="754"/>
      <c r="AD120" s="754"/>
    </row>
    <row r="121" spans="1:45" ht="24" customHeight="1">
      <c r="A121" s="49"/>
      <c r="B121" s="102"/>
      <c r="C121" s="754" t="s">
        <v>3986</v>
      </c>
      <c r="D121" s="754"/>
      <c r="E121" s="754"/>
      <c r="F121" s="754"/>
      <c r="G121" s="754"/>
      <c r="H121" s="754"/>
      <c r="I121" s="754"/>
      <c r="J121" s="754"/>
      <c r="K121" s="754"/>
      <c r="L121" s="754"/>
      <c r="M121" s="754"/>
      <c r="N121" s="754"/>
      <c r="O121" s="754"/>
      <c r="P121" s="754"/>
      <c r="Q121" s="754"/>
      <c r="R121" s="754"/>
      <c r="S121" s="754"/>
      <c r="T121" s="754"/>
      <c r="U121" s="754"/>
      <c r="V121" s="754"/>
      <c r="W121" s="754"/>
      <c r="X121" s="754"/>
      <c r="Y121" s="754"/>
      <c r="Z121" s="754"/>
      <c r="AA121" s="754"/>
      <c r="AB121" s="754"/>
      <c r="AC121" s="754"/>
      <c r="AD121" s="754"/>
    </row>
    <row r="122" spans="1:45" ht="24" customHeight="1">
      <c r="A122" s="94"/>
      <c r="B122" s="57"/>
      <c r="C122" s="754" t="s">
        <v>3987</v>
      </c>
      <c r="D122" s="754"/>
      <c r="E122" s="754"/>
      <c r="F122" s="754"/>
      <c r="G122" s="754"/>
      <c r="H122" s="754"/>
      <c r="I122" s="754"/>
      <c r="J122" s="754"/>
      <c r="K122" s="754"/>
      <c r="L122" s="754"/>
      <c r="M122" s="754"/>
      <c r="N122" s="754"/>
      <c r="O122" s="754"/>
      <c r="P122" s="754"/>
      <c r="Q122" s="754"/>
      <c r="R122" s="754"/>
      <c r="S122" s="754"/>
      <c r="T122" s="754"/>
      <c r="U122" s="754"/>
      <c r="V122" s="754"/>
      <c r="W122" s="754"/>
      <c r="X122" s="754"/>
      <c r="Y122" s="754"/>
      <c r="Z122" s="754"/>
      <c r="AA122" s="754"/>
      <c r="AB122" s="754"/>
      <c r="AC122" s="754"/>
      <c r="AD122" s="754"/>
    </row>
    <row r="123" spans="1:45">
      <c r="A123" s="49"/>
      <c r="B123" s="38"/>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c r="AA123" s="51"/>
      <c r="AB123" s="51"/>
      <c r="AC123" s="51"/>
      <c r="AD123" s="51"/>
    </row>
    <row r="124" spans="1:45" ht="132" customHeight="1">
      <c r="A124" s="49"/>
      <c r="B124" s="38"/>
      <c r="C124" s="739" t="s">
        <v>3988</v>
      </c>
      <c r="D124" s="740"/>
      <c r="E124" s="740"/>
      <c r="F124" s="740"/>
      <c r="G124" s="740"/>
      <c r="H124" s="741"/>
      <c r="I124" s="732" t="s">
        <v>3989</v>
      </c>
      <c r="J124" s="732"/>
      <c r="K124" s="732"/>
      <c r="L124" s="732"/>
      <c r="M124" s="732"/>
      <c r="N124" s="732"/>
      <c r="O124" s="732" t="s">
        <v>3941</v>
      </c>
      <c r="P124" s="732"/>
      <c r="Q124" s="732"/>
      <c r="R124" s="732"/>
      <c r="S124" s="732"/>
      <c r="T124" s="732"/>
      <c r="U124" s="732" t="s">
        <v>3942</v>
      </c>
      <c r="V124" s="732"/>
      <c r="W124" s="732"/>
      <c r="X124" s="732"/>
      <c r="Y124" s="732"/>
      <c r="Z124" s="732"/>
      <c r="AA124" s="732"/>
      <c r="AB124" s="732"/>
      <c r="AC124" s="732"/>
      <c r="AD124" s="732"/>
      <c r="AG124" s="354" t="s">
        <v>2586</v>
      </c>
      <c r="AH124" s="496" t="s">
        <v>2587</v>
      </c>
      <c r="AI124" s="497"/>
      <c r="AJ124" s="496" t="s">
        <v>2588</v>
      </c>
      <c r="AK124" s="497"/>
      <c r="AL124" s="496" t="s">
        <v>2589</v>
      </c>
      <c r="AM124"/>
      <c r="AN124" s="282" t="s">
        <v>2637</v>
      </c>
      <c r="AO124" s="501" t="s">
        <v>3990</v>
      </c>
      <c r="AP124" s="501" t="s">
        <v>3991</v>
      </c>
      <c r="AQ124" s="501" t="s">
        <v>3992</v>
      </c>
      <c r="AR124" s="256" t="s">
        <v>2591</v>
      </c>
      <c r="AS124" s="257" t="s">
        <v>2592</v>
      </c>
    </row>
    <row r="125" spans="1:45">
      <c r="A125" s="49"/>
      <c r="B125" s="38"/>
      <c r="C125" s="749"/>
      <c r="D125" s="749"/>
      <c r="E125" s="749"/>
      <c r="F125" s="749"/>
      <c r="G125" s="749"/>
      <c r="H125" s="749"/>
      <c r="I125" s="749"/>
      <c r="J125" s="749"/>
      <c r="K125" s="749"/>
      <c r="L125" s="749"/>
      <c r="M125" s="749"/>
      <c r="N125" s="749"/>
      <c r="O125" s="885"/>
      <c r="P125" s="885"/>
      <c r="Q125" s="885"/>
      <c r="R125" s="885"/>
      <c r="S125" s="885"/>
      <c r="T125" s="885"/>
      <c r="U125" s="749"/>
      <c r="V125" s="749"/>
      <c r="W125" s="749"/>
      <c r="X125" s="749"/>
      <c r="Y125" s="749"/>
      <c r="Z125" s="749"/>
      <c r="AA125" s="749"/>
      <c r="AB125" s="749"/>
      <c r="AC125" s="749"/>
      <c r="AD125" s="749"/>
      <c r="AG125" s="326">
        <f>IF(AND($C$125&lt;&gt;"",$C$125&lt;&gt;1,COUNTA(I125:AD125)=0),0,IF(AND($C$125&lt;&gt;"",$C$125=1,$C$31&lt;&gt;"",$C$31&lt;&gt;1,I125="",COUNTA(O125:AD125)=2),0,IF(AND($C$125&lt;&gt;"",$C$125=1,$C$31&lt;&gt;"",$C$31=1,I125&lt;&gt;"",I125=1,COUNTA(O125:AD125)=0),0,IF(AND($C$125&lt;&gt;"",$C$125=1,$C$31&lt;&gt;"",$C$31=1,I125&lt;&gt;"",I125&lt;&gt;1,COUNTA(O125:AD125)=2),0,IF(COUNTA(C125:AD125)=0,0,1)))))</f>
        <v>0</v>
      </c>
      <c r="AH125" s="326" t="b">
        <f>NOT(EXACT(U125,UPPER(U125)))</f>
        <v>0</v>
      </c>
      <c r="AI125" s="326" t="str">
        <f>SUBSTITUTE( SUBSTITUTE( SUBSTITUTE( SUBSTITUTE( SUBSTITUTE( SUBSTITUTE( SUBSTITUTE( SUBSTITUTE( SUBSTITUTE( SUBSTITUTE(U125, "á", "a"), "é", "e"), "í", "i"), "ó", "o"), "ú", "u"), "Á", "A"), "É", "E"), "Í", "I"), "Ó", "O"), "Ú", "U")</f>
        <v/>
      </c>
      <c r="AJ125" s="326" t="b">
        <f>NOT(EXACT(U125,AI125))</f>
        <v>0</v>
      </c>
      <c r="AK125" s="326" t="str">
        <f>SUBSTITUTE((SUBSTITUTE(SUBSTITUTE(SUBSTITUTE(U125,".",""),",",""),"(","")),")","")</f>
        <v/>
      </c>
      <c r="AL125" s="326" t="b">
        <f>NOT(EXACT(U125,AK125))</f>
        <v>0</v>
      </c>
      <c r="AM125"/>
      <c r="AN125" s="283">
        <f>COUNTIF(O125:AD125,"NS")</f>
        <v>0</v>
      </c>
      <c r="AO125">
        <f>IF(AND($C$125&lt;&gt;"",$C$125&lt;&gt;1,COUNTA(I125:AD125)&gt;0),1,0)</f>
        <v>0</v>
      </c>
      <c r="AP125">
        <f>IF(AND($C$31&lt;&gt;"",$C$31&lt;&gt;1,COUNTA(I125)&gt;0),1,0)</f>
        <v>0</v>
      </c>
      <c r="AQ125">
        <f>IF(AND($I$125&lt;&gt;"",$I$125=1,COUNTA(O125:AD125)&gt;0),1,0)</f>
        <v>0</v>
      </c>
      <c r="AR125" s="253">
        <f>LEN(O125)</f>
        <v>0</v>
      </c>
      <c r="AS125" s="253">
        <f>IF(O125="NS",0,IF(AND(O125&lt;&gt;"",SUM(AR125)=4),0,IF(O125="",0,1)))</f>
        <v>0</v>
      </c>
    </row>
    <row r="126" spans="1:45" ht="15" customHeight="1">
      <c r="A126" s="49"/>
      <c r="B126" s="38"/>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c r="AA126" s="51"/>
      <c r="AB126" s="51"/>
      <c r="AC126" s="51"/>
      <c r="AD126" s="51"/>
      <c r="AG126"/>
      <c r="AH126" s="498">
        <f>COUNTIF(AH125,TRUE)</f>
        <v>0</v>
      </c>
      <c r="AI126" s="283"/>
      <c r="AJ126" s="498">
        <f>COUNTIF(AJ125,TRUE)</f>
        <v>0</v>
      </c>
      <c r="AK126" s="283"/>
      <c r="AL126" s="498">
        <f>COUNTIF(AL125,TRUE)</f>
        <v>0</v>
      </c>
      <c r="AM126" s="498">
        <f>SUM(AH126,AJ126,AL126)</f>
        <v>0</v>
      </c>
      <c r="AN126"/>
      <c r="AO126"/>
      <c r="AP126"/>
      <c r="AQ126"/>
      <c r="AR126"/>
      <c r="AS126"/>
    </row>
    <row r="127" spans="1:45" ht="24" customHeight="1">
      <c r="A127" s="49"/>
      <c r="B127" s="38"/>
      <c r="C127" s="754" t="s">
        <v>2611</v>
      </c>
      <c r="D127" s="754"/>
      <c r="E127" s="754"/>
      <c r="F127" s="754"/>
      <c r="G127" s="754"/>
      <c r="H127" s="754"/>
      <c r="I127" s="754"/>
      <c r="J127" s="754"/>
      <c r="K127" s="754"/>
      <c r="L127" s="754"/>
      <c r="M127" s="754"/>
      <c r="N127" s="754"/>
      <c r="O127" s="754"/>
      <c r="P127" s="754"/>
      <c r="Q127" s="754"/>
      <c r="R127" s="754"/>
      <c r="S127" s="754"/>
      <c r="T127" s="754"/>
      <c r="U127" s="754"/>
      <c r="V127" s="754"/>
      <c r="W127" s="754"/>
      <c r="X127" s="754"/>
      <c r="Y127" s="754"/>
      <c r="Z127" s="754"/>
      <c r="AA127" s="754"/>
      <c r="AB127" s="754"/>
      <c r="AC127" s="754"/>
      <c r="AD127" s="754"/>
    </row>
    <row r="128" spans="1:45" ht="60" customHeight="1">
      <c r="A128" s="49"/>
      <c r="B128" s="38"/>
      <c r="C128" s="851"/>
      <c r="D128" s="851"/>
      <c r="E128" s="851"/>
      <c r="F128" s="851"/>
      <c r="G128" s="851"/>
      <c r="H128" s="851"/>
      <c r="I128" s="851"/>
      <c r="J128" s="851"/>
      <c r="K128" s="851"/>
      <c r="L128" s="851"/>
      <c r="M128" s="851"/>
      <c r="N128" s="851"/>
      <c r="O128" s="851"/>
      <c r="P128" s="851"/>
      <c r="Q128" s="851"/>
      <c r="R128" s="851"/>
      <c r="S128" s="851"/>
      <c r="T128" s="851"/>
      <c r="U128" s="851"/>
      <c r="V128" s="851"/>
      <c r="W128" s="851"/>
      <c r="X128" s="851"/>
      <c r="Y128" s="851"/>
      <c r="Z128" s="851"/>
      <c r="AA128" s="851"/>
      <c r="AB128" s="851"/>
      <c r="AC128" s="851"/>
      <c r="AD128" s="851"/>
    </row>
    <row r="129" spans="1:34" ht="15" customHeight="1">
      <c r="A129" s="50"/>
      <c r="B129" s="794" t="str">
        <f>IF(AG125&gt;0,"Favor de ingresar toda la información requerida en la pregunta y/o verifique que no tenga información en celdas sombreadas","")</f>
        <v/>
      </c>
      <c r="C129" s="794"/>
      <c r="D129" s="794"/>
      <c r="E129" s="794"/>
      <c r="F129" s="794"/>
      <c r="G129" s="794"/>
      <c r="H129" s="794"/>
      <c r="I129" s="794"/>
      <c r="J129" s="794"/>
      <c r="K129" s="794"/>
      <c r="L129" s="794"/>
      <c r="M129" s="794"/>
      <c r="N129" s="794"/>
      <c r="O129" s="794"/>
      <c r="P129" s="794"/>
      <c r="Q129" s="794"/>
      <c r="R129" s="794"/>
      <c r="S129" s="794"/>
      <c r="T129" s="794"/>
      <c r="U129" s="794"/>
      <c r="V129" s="794"/>
      <c r="W129" s="794"/>
      <c r="X129" s="794"/>
      <c r="Y129" s="794"/>
      <c r="Z129" s="794"/>
      <c r="AA129" s="794"/>
      <c r="AB129" s="794"/>
      <c r="AC129" s="794"/>
      <c r="AD129" s="794"/>
      <c r="AE129"/>
    </row>
    <row r="130" spans="1:34" ht="15" customHeight="1">
      <c r="A130" s="49"/>
      <c r="B130" s="795" t="str">
        <f>IF(AN125&gt;0,"Alerta: debido a que cuenta con registros NS, debe proporcionar una justificación en el area de comentarios al final de la pregunta","")</f>
        <v/>
      </c>
      <c r="C130" s="795"/>
      <c r="D130" s="795"/>
      <c r="E130" s="795"/>
      <c r="F130" s="795"/>
      <c r="G130" s="795"/>
      <c r="H130" s="795"/>
      <c r="I130" s="795"/>
      <c r="J130" s="795"/>
      <c r="K130" s="795"/>
      <c r="L130" s="795"/>
      <c r="M130" s="795"/>
      <c r="N130" s="795"/>
      <c r="O130" s="795"/>
      <c r="P130" s="795"/>
      <c r="Q130" s="795"/>
      <c r="R130" s="795"/>
      <c r="S130" s="795"/>
      <c r="T130" s="795"/>
      <c r="U130" s="795"/>
      <c r="V130" s="795"/>
      <c r="W130" s="795"/>
      <c r="X130" s="795"/>
      <c r="Y130" s="795"/>
      <c r="Z130" s="795"/>
      <c r="AA130" s="795"/>
      <c r="AB130" s="795"/>
      <c r="AC130" s="795"/>
      <c r="AD130" s="795"/>
      <c r="AE130"/>
    </row>
    <row r="131" spans="1:34" ht="15" customHeight="1">
      <c r="A131" s="49"/>
      <c r="B131" s="795" t="str">
        <f>IF(OR(C125=3,C125=9),"Alerta: debe proporcionar una justificación ya que ha seleccionado el código 3 o 9 en la col. ¿Contaba con alguna unidad de inteligencia…?","")</f>
        <v/>
      </c>
      <c r="C131" s="795"/>
      <c r="D131" s="795"/>
      <c r="E131" s="795"/>
      <c r="F131" s="795"/>
      <c r="G131" s="795"/>
      <c r="H131" s="795"/>
      <c r="I131" s="795"/>
      <c r="J131" s="795"/>
      <c r="K131" s="795"/>
      <c r="L131" s="795"/>
      <c r="M131" s="795"/>
      <c r="N131" s="795"/>
      <c r="O131" s="795"/>
      <c r="P131" s="795"/>
      <c r="Q131" s="795"/>
      <c r="R131" s="795"/>
      <c r="S131" s="795"/>
      <c r="T131" s="795"/>
      <c r="U131" s="795"/>
      <c r="V131" s="795"/>
      <c r="W131" s="795"/>
      <c r="X131" s="795"/>
      <c r="Y131" s="795"/>
      <c r="Z131" s="795"/>
      <c r="AA131" s="795"/>
      <c r="AB131" s="795"/>
      <c r="AC131" s="795"/>
      <c r="AD131" s="795"/>
      <c r="AE131" s="795"/>
    </row>
    <row r="132" spans="1:34" ht="15" customHeight="1">
      <c r="A132" s="49"/>
      <c r="B132" s="794" t="str">
        <f>IF(AM126=0,"","El nombre debe registrarse en mayúsculas, sin comillas ni signos de acentuación, puntuación, paréntesis y abreviaturas")</f>
        <v/>
      </c>
      <c r="C132" s="794"/>
      <c r="D132" s="794"/>
      <c r="E132" s="794"/>
      <c r="F132" s="794"/>
      <c r="G132" s="794"/>
      <c r="H132" s="794"/>
      <c r="I132" s="794"/>
      <c r="J132" s="794"/>
      <c r="K132" s="794"/>
      <c r="L132" s="794"/>
      <c r="M132" s="794"/>
      <c r="N132" s="794"/>
      <c r="O132" s="794"/>
      <c r="P132" s="794"/>
      <c r="Q132" s="794"/>
      <c r="R132" s="794"/>
      <c r="S132" s="794"/>
      <c r="T132" s="794"/>
      <c r="U132" s="794"/>
      <c r="V132" s="794"/>
      <c r="W132" s="794"/>
      <c r="X132" s="794"/>
      <c r="Y132" s="794"/>
      <c r="Z132" s="794"/>
      <c r="AA132" s="794"/>
      <c r="AB132" s="794"/>
      <c r="AC132" s="794"/>
      <c r="AD132" s="794"/>
      <c r="AE132"/>
    </row>
    <row r="133" spans="1:34" ht="15" customHeight="1">
      <c r="A133" s="49"/>
      <c r="B133" s="794" t="str">
        <f>IF(AS125&gt;0,"Favor de ingresar una fecha válida y/o verifique que el formato solicitado esté correcto","")</f>
        <v/>
      </c>
      <c r="C133" s="794"/>
      <c r="D133" s="794"/>
      <c r="E133" s="794"/>
      <c r="F133" s="794"/>
      <c r="G133" s="794"/>
      <c r="H133" s="794"/>
      <c r="I133" s="794"/>
      <c r="J133" s="794"/>
      <c r="K133" s="794"/>
      <c r="L133" s="794"/>
      <c r="M133" s="794"/>
      <c r="N133" s="794"/>
      <c r="O133" s="794"/>
      <c r="P133" s="794"/>
      <c r="Q133" s="794"/>
      <c r="R133" s="794"/>
      <c r="S133" s="794"/>
      <c r="T133" s="794"/>
      <c r="U133" s="794"/>
      <c r="V133" s="794"/>
      <c r="W133" s="794"/>
      <c r="X133" s="794"/>
      <c r="Y133" s="794"/>
      <c r="Z133" s="794"/>
      <c r="AA133" s="794"/>
      <c r="AB133" s="794"/>
      <c r="AC133" s="794"/>
      <c r="AD133" s="794"/>
      <c r="AE133"/>
    </row>
    <row r="134" spans="1:34" ht="15" customHeight="1">
      <c r="A134" s="49"/>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row>
    <row r="135" spans="1:34" ht="15" customHeight="1">
      <c r="A135" s="49" t="s">
        <v>3993</v>
      </c>
      <c r="B135" s="829" t="s">
        <v>3994</v>
      </c>
      <c r="C135" s="829"/>
      <c r="D135" s="829"/>
      <c r="E135" s="829"/>
      <c r="F135" s="829"/>
      <c r="G135" s="829"/>
      <c r="H135" s="829"/>
      <c r="I135" s="829"/>
      <c r="J135" s="829"/>
      <c r="K135" s="829"/>
      <c r="L135" s="829"/>
      <c r="M135" s="829"/>
      <c r="N135" s="829"/>
      <c r="O135" s="829"/>
      <c r="P135" s="829"/>
      <c r="Q135" s="829"/>
      <c r="R135" s="829"/>
      <c r="S135" s="829"/>
      <c r="T135" s="829"/>
      <c r="U135" s="829"/>
      <c r="V135" s="829"/>
      <c r="W135" s="829"/>
      <c r="X135" s="829"/>
      <c r="Y135" s="829"/>
      <c r="Z135" s="829"/>
      <c r="AA135" s="829"/>
      <c r="AB135" s="829"/>
      <c r="AC135" s="829"/>
      <c r="AD135" s="829"/>
    </row>
    <row r="136" spans="1:34" ht="15" customHeight="1">
      <c r="A136" s="103"/>
      <c r="B136" s="57"/>
      <c r="C136" s="830" t="s">
        <v>3945</v>
      </c>
      <c r="D136" s="830"/>
      <c r="E136" s="830"/>
      <c r="F136" s="830"/>
      <c r="G136" s="830"/>
      <c r="H136" s="830"/>
      <c r="I136" s="830"/>
      <c r="J136" s="830"/>
      <c r="K136" s="830"/>
      <c r="L136" s="830"/>
      <c r="M136" s="830"/>
      <c r="N136" s="830"/>
      <c r="O136" s="830"/>
      <c r="P136" s="830"/>
      <c r="Q136" s="830"/>
      <c r="R136" s="830"/>
      <c r="S136" s="830"/>
      <c r="T136" s="830"/>
      <c r="U136" s="830"/>
      <c r="V136" s="830"/>
      <c r="W136" s="830"/>
      <c r="X136" s="830"/>
      <c r="Y136" s="830"/>
      <c r="Z136" s="830"/>
      <c r="AA136" s="830"/>
      <c r="AB136" s="830"/>
      <c r="AC136" s="830"/>
      <c r="AD136" s="830"/>
    </row>
    <row r="137" spans="1:34" ht="24" customHeight="1">
      <c r="A137" s="49"/>
      <c r="B137" s="38"/>
      <c r="C137" s="754" t="s">
        <v>3995</v>
      </c>
      <c r="D137" s="754"/>
      <c r="E137" s="754"/>
      <c r="F137" s="754"/>
      <c r="G137" s="754"/>
      <c r="H137" s="754"/>
      <c r="I137" s="754"/>
      <c r="J137" s="754"/>
      <c r="K137" s="754"/>
      <c r="L137" s="754"/>
      <c r="M137" s="754"/>
      <c r="N137" s="754"/>
      <c r="O137" s="754"/>
      <c r="P137" s="754"/>
      <c r="Q137" s="754"/>
      <c r="R137" s="754"/>
      <c r="S137" s="754"/>
      <c r="T137" s="754"/>
      <c r="U137" s="754"/>
      <c r="V137" s="754"/>
      <c r="W137" s="754"/>
      <c r="X137" s="754"/>
      <c r="Y137" s="754"/>
      <c r="Z137" s="754"/>
      <c r="AA137" s="754"/>
      <c r="AB137" s="754"/>
      <c r="AC137" s="754"/>
      <c r="AD137" s="754"/>
    </row>
    <row r="138" spans="1:34" ht="15" customHeight="1" thickBot="1">
      <c r="A138" s="49"/>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G138" s="499" t="s">
        <v>3947</v>
      </c>
      <c r="AH138" s="500" t="s">
        <v>3996</v>
      </c>
    </row>
    <row r="139" spans="1:34" ht="15" customHeight="1" thickBot="1">
      <c r="A139" s="49"/>
      <c r="B139" s="38"/>
      <c r="C139" s="137"/>
      <c r="D139" s="54" t="s">
        <v>3997</v>
      </c>
      <c r="E139" s="38"/>
      <c r="F139" s="38"/>
      <c r="G139" s="38"/>
      <c r="H139" s="38"/>
      <c r="I139" s="38"/>
      <c r="J139" s="54"/>
      <c r="K139" s="38"/>
      <c r="L139" s="137"/>
      <c r="M139" s="160" t="s">
        <v>3950</v>
      </c>
      <c r="N139" s="38"/>
      <c r="O139" s="38"/>
      <c r="P139" s="38"/>
      <c r="Q139" s="38"/>
      <c r="R139" s="38"/>
      <c r="S139" s="38"/>
      <c r="T139" s="137"/>
      <c r="U139" s="54" t="s">
        <v>3673</v>
      </c>
      <c r="V139" s="38"/>
      <c r="W139" s="38"/>
      <c r="X139" s="38"/>
      <c r="Y139" s="38"/>
      <c r="Z139" s="38"/>
      <c r="AA139" s="38"/>
      <c r="AB139" s="38"/>
      <c r="AC139" s="38"/>
      <c r="AD139" s="38"/>
      <c r="AG139">
        <f>IF(COUNTA(C139,L139,T139)=0,0,IF(COUNTA(C139,L139,T139)=1,0,1))</f>
        <v>0</v>
      </c>
      <c r="AH139" s="342">
        <f>IF(AND($C$125&lt;&gt;"",$C$125&lt;&gt;1,COUNTA(C139,L139,T139)&gt;0),1,0)</f>
        <v>0</v>
      </c>
    </row>
    <row r="140" spans="1:34" ht="15" customHeight="1">
      <c r="A140" s="103"/>
      <c r="B140" s="57"/>
      <c r="C140" s="57"/>
      <c r="D140" s="57"/>
      <c r="E140" s="57"/>
      <c r="F140" s="57"/>
      <c r="G140" s="57"/>
      <c r="H140" s="57"/>
      <c r="I140" s="57"/>
      <c r="J140" s="57"/>
      <c r="K140" s="57"/>
      <c r="L140" s="57"/>
      <c r="M140" s="57"/>
      <c r="N140" s="57"/>
      <c r="O140" s="57"/>
      <c r="P140" s="57"/>
      <c r="Q140" s="57"/>
      <c r="R140" s="57"/>
      <c r="S140" s="57"/>
      <c r="T140" s="57"/>
      <c r="U140" s="57"/>
      <c r="V140" s="57"/>
      <c r="W140" s="57"/>
      <c r="X140" s="57"/>
      <c r="Y140" s="57"/>
      <c r="Z140" s="57"/>
      <c r="AA140" s="57"/>
      <c r="AB140" s="57"/>
      <c r="AC140" s="57"/>
      <c r="AD140" s="57"/>
    </row>
    <row r="141" spans="1:34" ht="24" customHeight="1">
      <c r="A141" s="103"/>
      <c r="B141" s="57"/>
      <c r="C141" s="754" t="s">
        <v>2611</v>
      </c>
      <c r="D141" s="754"/>
      <c r="E141" s="754"/>
      <c r="F141" s="754"/>
      <c r="G141" s="754"/>
      <c r="H141" s="754"/>
      <c r="I141" s="754"/>
      <c r="J141" s="754"/>
      <c r="K141" s="754"/>
      <c r="L141" s="754"/>
      <c r="M141" s="754"/>
      <c r="N141" s="754"/>
      <c r="O141" s="754"/>
      <c r="P141" s="754"/>
      <c r="Q141" s="754"/>
      <c r="R141" s="754"/>
      <c r="S141" s="754"/>
      <c r="T141" s="754"/>
      <c r="U141" s="754"/>
      <c r="V141" s="754"/>
      <c r="W141" s="754"/>
      <c r="X141" s="754"/>
      <c r="Y141" s="754"/>
      <c r="Z141" s="754"/>
      <c r="AA141" s="754"/>
      <c r="AB141" s="754"/>
      <c r="AC141" s="754"/>
      <c r="AD141" s="754"/>
    </row>
    <row r="142" spans="1:34" ht="60" customHeight="1">
      <c r="A142" s="103"/>
      <c r="B142" s="57"/>
      <c r="C142" s="851"/>
      <c r="D142" s="851"/>
      <c r="E142" s="851"/>
      <c r="F142" s="851"/>
      <c r="G142" s="851"/>
      <c r="H142" s="851"/>
      <c r="I142" s="851"/>
      <c r="J142" s="851"/>
      <c r="K142" s="851"/>
      <c r="L142" s="851"/>
      <c r="M142" s="851"/>
      <c r="N142" s="851"/>
      <c r="O142" s="851"/>
      <c r="P142" s="851"/>
      <c r="Q142" s="851"/>
      <c r="R142" s="851"/>
      <c r="S142" s="851"/>
      <c r="T142" s="851"/>
      <c r="U142" s="851"/>
      <c r="V142" s="851"/>
      <c r="W142" s="851"/>
      <c r="X142" s="851"/>
      <c r="Y142" s="851"/>
      <c r="Z142" s="851"/>
      <c r="AA142" s="851"/>
      <c r="AB142" s="851"/>
      <c r="AC142" s="851"/>
      <c r="AD142" s="851"/>
    </row>
    <row r="143" spans="1:34" ht="15" customHeight="1">
      <c r="A143" s="103"/>
      <c r="B143" s="794" t="str">
        <f>IF(AG139&gt;0,"Favor de seleccionar solo un código","")</f>
        <v/>
      </c>
      <c r="C143" s="794"/>
      <c r="D143" s="794"/>
      <c r="E143" s="794"/>
      <c r="F143" s="794"/>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row>
    <row r="144" spans="1:34" ht="15" customHeight="1">
      <c r="A144" s="103"/>
      <c r="B144" s="794" t="str">
        <f>IF(AH139&gt;0,"Favor de ingresar toda la información requerida en la pregunta y/o verifique que no tenga información en celdas sombreadas","")</f>
        <v/>
      </c>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row>
    <row r="145" spans="1:37" ht="15" customHeight="1">
      <c r="A145" s="103"/>
      <c r="B145" s="57"/>
      <c r="C145" s="57"/>
      <c r="D145" s="57"/>
      <c r="E145" s="57"/>
      <c r="F145" s="57"/>
      <c r="G145" s="57"/>
      <c r="H145" s="57"/>
      <c r="I145" s="57"/>
      <c r="J145" s="57"/>
      <c r="K145" s="57"/>
      <c r="L145" s="57"/>
      <c r="M145" s="57"/>
      <c r="N145" s="57"/>
      <c r="O145" s="57"/>
      <c r="P145" s="57"/>
      <c r="Q145" s="57"/>
      <c r="R145" s="57"/>
      <c r="S145" s="57"/>
      <c r="T145" s="57"/>
      <c r="U145" s="57"/>
      <c r="V145" s="57"/>
      <c r="W145" s="57"/>
      <c r="X145" s="57"/>
      <c r="Y145" s="57"/>
      <c r="Z145" s="57"/>
      <c r="AA145" s="57"/>
      <c r="AB145" s="57"/>
      <c r="AC145" s="57"/>
      <c r="AD145" s="57"/>
    </row>
    <row r="146" spans="1:37" ht="15" customHeight="1">
      <c r="A146" s="103"/>
      <c r="B146" s="57"/>
      <c r="C146" s="57"/>
      <c r="D146" s="57"/>
      <c r="E146" s="57"/>
      <c r="F146" s="57"/>
      <c r="G146" s="57"/>
      <c r="H146" s="57"/>
      <c r="I146" s="57"/>
      <c r="J146" s="57"/>
      <c r="K146" s="57"/>
      <c r="L146" s="57"/>
      <c r="M146" s="57"/>
      <c r="N146" s="57"/>
      <c r="O146" s="57"/>
      <c r="P146" s="57"/>
      <c r="Q146" s="57"/>
      <c r="R146" s="57"/>
      <c r="S146" s="57"/>
      <c r="T146" s="57"/>
      <c r="U146" s="57"/>
      <c r="V146" s="57"/>
      <c r="W146" s="57"/>
      <c r="X146" s="57"/>
      <c r="Y146" s="57"/>
      <c r="Z146" s="57"/>
      <c r="AA146" s="57"/>
      <c r="AB146" s="57"/>
      <c r="AC146" s="57"/>
      <c r="AD146" s="57"/>
    </row>
    <row r="147" spans="1:37" ht="15" customHeight="1">
      <c r="A147" s="103"/>
      <c r="B147" s="57"/>
      <c r="C147" s="57"/>
      <c r="D147" s="57"/>
      <c r="E147" s="57"/>
      <c r="F147" s="57"/>
      <c r="G147" s="57"/>
      <c r="H147" s="57"/>
      <c r="I147" s="57"/>
      <c r="J147" s="57"/>
      <c r="K147" s="57"/>
      <c r="L147" s="57"/>
      <c r="M147" s="57"/>
      <c r="N147" s="57"/>
      <c r="O147" s="57"/>
      <c r="P147" s="57"/>
      <c r="Q147" s="57"/>
      <c r="R147" s="57"/>
      <c r="S147" s="57"/>
      <c r="T147" s="57"/>
      <c r="U147" s="57"/>
      <c r="V147" s="57"/>
      <c r="W147" s="57"/>
      <c r="X147" s="57"/>
      <c r="Y147" s="57"/>
      <c r="Z147" s="57"/>
      <c r="AA147" s="57"/>
      <c r="AB147" s="57"/>
      <c r="AC147" s="57"/>
      <c r="AD147" s="57"/>
    </row>
    <row r="148" spans="1:37" ht="15" customHeight="1">
      <c r="A148" s="103"/>
      <c r="B148" s="57"/>
      <c r="C148" s="57"/>
      <c r="D148" s="57"/>
      <c r="E148" s="57"/>
      <c r="F148" s="57"/>
      <c r="G148" s="57"/>
      <c r="H148" s="57"/>
      <c r="I148" s="57"/>
      <c r="J148" s="57"/>
      <c r="K148" s="57"/>
      <c r="L148" s="57"/>
      <c r="M148" s="57"/>
      <c r="N148" s="57"/>
      <c r="O148" s="57"/>
      <c r="P148" s="57"/>
      <c r="Q148" s="57"/>
      <c r="R148" s="57"/>
      <c r="S148" s="57"/>
      <c r="T148" s="57"/>
      <c r="U148" s="57"/>
      <c r="V148" s="57"/>
      <c r="W148" s="57"/>
      <c r="X148" s="57"/>
      <c r="Y148" s="57"/>
      <c r="Z148" s="57"/>
      <c r="AA148" s="57"/>
      <c r="AB148" s="57"/>
      <c r="AC148" s="57"/>
      <c r="AD148" s="57"/>
    </row>
    <row r="149" spans="1:37" ht="24" customHeight="1">
      <c r="A149" s="49" t="s">
        <v>3998</v>
      </c>
      <c r="B149" s="829" t="s">
        <v>3999</v>
      </c>
      <c r="C149" s="829"/>
      <c r="D149" s="829"/>
      <c r="E149" s="829"/>
      <c r="F149" s="829"/>
      <c r="G149" s="829"/>
      <c r="H149" s="829"/>
      <c r="I149" s="829"/>
      <c r="J149" s="829"/>
      <c r="K149" s="829"/>
      <c r="L149" s="829"/>
      <c r="M149" s="829"/>
      <c r="N149" s="829"/>
      <c r="O149" s="829"/>
      <c r="P149" s="829"/>
      <c r="Q149" s="829"/>
      <c r="R149" s="829"/>
      <c r="S149" s="829"/>
      <c r="T149" s="829"/>
      <c r="U149" s="829"/>
      <c r="V149" s="829"/>
      <c r="W149" s="829"/>
      <c r="X149" s="829"/>
      <c r="Y149" s="829"/>
      <c r="Z149" s="829"/>
      <c r="AA149" s="829"/>
      <c r="AB149" s="829"/>
      <c r="AC149" s="829"/>
      <c r="AD149" s="829"/>
    </row>
    <row r="150" spans="1:37" ht="15" customHeight="1">
      <c r="A150" s="49"/>
      <c r="B150" s="105"/>
      <c r="C150" s="830" t="s">
        <v>3190</v>
      </c>
      <c r="D150" s="830"/>
      <c r="E150" s="830"/>
      <c r="F150" s="830"/>
      <c r="G150" s="830"/>
      <c r="H150" s="830"/>
      <c r="I150" s="830"/>
      <c r="J150" s="830"/>
      <c r="K150" s="830"/>
      <c r="L150" s="830"/>
      <c r="M150" s="830"/>
      <c r="N150" s="830"/>
      <c r="O150" s="830"/>
      <c r="P150" s="830"/>
      <c r="Q150" s="830"/>
      <c r="R150" s="830"/>
      <c r="S150" s="830"/>
      <c r="T150" s="830"/>
      <c r="U150" s="830"/>
      <c r="V150" s="830"/>
      <c r="W150" s="830"/>
      <c r="X150" s="830"/>
      <c r="Y150" s="830"/>
      <c r="Z150" s="830"/>
      <c r="AA150" s="830"/>
      <c r="AB150" s="830"/>
      <c r="AC150" s="830"/>
      <c r="AD150" s="830"/>
    </row>
    <row r="151" spans="1:37">
      <c r="A151" s="49"/>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c r="AA151" s="51"/>
      <c r="AB151" s="51"/>
      <c r="AC151" s="51"/>
      <c r="AD151" s="51"/>
    </row>
    <row r="152" spans="1:37" ht="24" customHeight="1">
      <c r="A152" s="49"/>
      <c r="B152" s="38"/>
      <c r="C152" s="732" t="s">
        <v>3953</v>
      </c>
      <c r="D152" s="732"/>
      <c r="E152" s="732"/>
      <c r="F152" s="732"/>
      <c r="G152" s="732"/>
      <c r="H152" s="732"/>
      <c r="I152" s="732"/>
      <c r="J152" s="732"/>
      <c r="K152" s="732"/>
      <c r="L152" s="732"/>
      <c r="M152" s="732" t="s">
        <v>4000</v>
      </c>
      <c r="N152" s="732"/>
      <c r="O152" s="732"/>
      <c r="P152" s="732"/>
      <c r="Q152" s="732"/>
      <c r="R152" s="732"/>
      <c r="S152" s="732"/>
      <c r="T152" s="732"/>
      <c r="U152" s="732"/>
      <c r="V152" s="732"/>
      <c r="W152" s="732"/>
      <c r="X152" s="732"/>
      <c r="Y152" s="732"/>
      <c r="Z152" s="732"/>
      <c r="AA152" s="732"/>
      <c r="AB152" s="732"/>
      <c r="AC152" s="732"/>
      <c r="AD152" s="732"/>
    </row>
    <row r="153" spans="1:37" ht="15" customHeight="1">
      <c r="A153" s="49"/>
      <c r="B153" s="38"/>
      <c r="C153" s="732"/>
      <c r="D153" s="732"/>
      <c r="E153" s="732"/>
      <c r="F153" s="732"/>
      <c r="G153" s="732"/>
      <c r="H153" s="732"/>
      <c r="I153" s="732"/>
      <c r="J153" s="732"/>
      <c r="K153" s="732"/>
      <c r="L153" s="732"/>
      <c r="M153" s="732" t="s">
        <v>2628</v>
      </c>
      <c r="N153" s="732"/>
      <c r="O153" s="732"/>
      <c r="P153" s="732"/>
      <c r="Q153" s="732"/>
      <c r="R153" s="732"/>
      <c r="S153" s="736" t="s">
        <v>2629</v>
      </c>
      <c r="T153" s="736"/>
      <c r="U153" s="736"/>
      <c r="V153" s="736"/>
      <c r="W153" s="736"/>
      <c r="X153" s="736"/>
      <c r="Y153" s="733" t="s">
        <v>2630</v>
      </c>
      <c r="Z153" s="734"/>
      <c r="AA153" s="734"/>
      <c r="AB153" s="734"/>
      <c r="AC153" s="734"/>
      <c r="AD153" s="735"/>
      <c r="AG153" s="354" t="s">
        <v>2586</v>
      </c>
      <c r="AH153" s="282" t="s">
        <v>2590</v>
      </c>
      <c r="AI153" s="280" t="s">
        <v>3262</v>
      </c>
      <c r="AJ153" s="281" t="s">
        <v>3263</v>
      </c>
      <c r="AK153" s="365" t="s">
        <v>3996</v>
      </c>
    </row>
    <row r="154" spans="1:37" ht="15" customHeight="1">
      <c r="A154" s="49"/>
      <c r="B154" s="38"/>
      <c r="C154" s="97" t="s">
        <v>2516</v>
      </c>
      <c r="D154" s="813" t="s">
        <v>3192</v>
      </c>
      <c r="E154" s="814"/>
      <c r="F154" s="814"/>
      <c r="G154" s="814"/>
      <c r="H154" s="814"/>
      <c r="I154" s="814"/>
      <c r="J154" s="814"/>
      <c r="K154" s="814"/>
      <c r="L154" s="815"/>
      <c r="M154" s="749"/>
      <c r="N154" s="749"/>
      <c r="O154" s="749"/>
      <c r="P154" s="749"/>
      <c r="Q154" s="749"/>
      <c r="R154" s="749"/>
      <c r="S154" s="749"/>
      <c r="T154" s="749"/>
      <c r="U154" s="749"/>
      <c r="V154" s="749"/>
      <c r="W154" s="749"/>
      <c r="X154" s="749"/>
      <c r="Y154" s="816"/>
      <c r="Z154" s="738"/>
      <c r="AA154" s="738"/>
      <c r="AB154" s="738"/>
      <c r="AC154" s="738"/>
      <c r="AD154" s="817"/>
      <c r="AG154" s="326">
        <f>IF(AND($C$125&lt;&gt;"",$C$125&lt;&gt;1,COUNTA(M154:AD163)=0),0,IF(AND($C$125&lt;&gt;"",$C$125=1,$C$139="",COUNTA(M154:AD163)=30),0,IF(AND($C$125&lt;&gt;"",$C$125=1,$C$139="X",COUNTA(M154:AD163)=0),0,IF(COUNTA(M154:AD163)=0,0,1))))</f>
        <v>0</v>
      </c>
      <c r="AH154" s="283">
        <f>COUNTIF(S154:AD154,"NS")</f>
        <v>0</v>
      </c>
      <c r="AI154" s="283">
        <f>SUM(S154:AD154)</f>
        <v>0</v>
      </c>
      <c r="AJ154" s="283">
        <f>IF(COUNTIF(M154:AD154,"NA")=3,0,IF(COUNTA(M154:AD154)=0,0,IF(OR(AND(M154=0,AH154&gt;0),AND(M154="ns",AI154&gt;0),AND(M154="ns",AH154=0,AI154=0)),1,IF(OR(AND(M154&gt;0,AH154=2),AND(M154="ns",AH154=2),AND(M154="ns",AI154=0,AH154&gt;0),M154=AI154),0,1))))</f>
        <v>0</v>
      </c>
      <c r="AK154" s="342">
        <f>IF(AND($C$125&lt;&gt;"",$C$125&lt;&gt;1,COUNTA(M154:AD163)&gt;0),1,0)</f>
        <v>0</v>
      </c>
    </row>
    <row r="155" spans="1:37" ht="15" customHeight="1">
      <c r="A155" s="49"/>
      <c r="B155" s="38"/>
      <c r="C155" s="143" t="s">
        <v>2517</v>
      </c>
      <c r="D155" s="813" t="s">
        <v>3193</v>
      </c>
      <c r="E155" s="814"/>
      <c r="F155" s="814"/>
      <c r="G155" s="814"/>
      <c r="H155" s="814"/>
      <c r="I155" s="814"/>
      <c r="J155" s="814"/>
      <c r="K155" s="814"/>
      <c r="L155" s="815"/>
      <c r="M155" s="749"/>
      <c r="N155" s="749"/>
      <c r="O155" s="749"/>
      <c r="P155" s="749"/>
      <c r="Q155" s="749"/>
      <c r="R155" s="749"/>
      <c r="S155" s="749"/>
      <c r="T155" s="749"/>
      <c r="U155" s="749"/>
      <c r="V155" s="749"/>
      <c r="W155" s="749"/>
      <c r="X155" s="749"/>
      <c r="Y155" s="816"/>
      <c r="Z155" s="738"/>
      <c r="AA155" s="738"/>
      <c r="AB155" s="738"/>
      <c r="AC155" s="738"/>
      <c r="AD155" s="817"/>
      <c r="AH155" s="283">
        <f t="shared" ref="AH155:AH163" si="5">COUNTIF(S155:AD155,"NS")</f>
        <v>0</v>
      </c>
      <c r="AI155" s="283">
        <f t="shared" ref="AI155:AI163" si="6">SUM(S155:AD155)</f>
        <v>0</v>
      </c>
      <c r="AJ155" s="283">
        <f t="shared" ref="AJ155:AJ163" si="7">IF(COUNTIF(M155:AD155,"NA")=3,0,IF(COUNTA(M155:AD155)=0,0,IF(OR(AND(M155=0,AH155&gt;0),AND(M155="ns",AI155&gt;0),AND(M155="ns",AH155=0,AI155=0)),1,IF(OR(AND(M155&gt;0,AH155=2),AND(M155="ns",AH155=2),AND(M155="ns",AI155=0,AH155&gt;0),M155=AI155),0,1))))</f>
        <v>0</v>
      </c>
    </row>
    <row r="156" spans="1:37" ht="15" customHeight="1">
      <c r="A156" s="49"/>
      <c r="B156" s="38"/>
      <c r="C156" s="143" t="s">
        <v>2518</v>
      </c>
      <c r="D156" s="813" t="s">
        <v>3194</v>
      </c>
      <c r="E156" s="814"/>
      <c r="F156" s="814"/>
      <c r="G156" s="814"/>
      <c r="H156" s="814"/>
      <c r="I156" s="814"/>
      <c r="J156" s="814"/>
      <c r="K156" s="814"/>
      <c r="L156" s="815"/>
      <c r="M156" s="749"/>
      <c r="N156" s="749"/>
      <c r="O156" s="749"/>
      <c r="P156" s="749"/>
      <c r="Q156" s="749"/>
      <c r="R156" s="749"/>
      <c r="S156" s="749"/>
      <c r="T156" s="749"/>
      <c r="U156" s="749"/>
      <c r="V156" s="749"/>
      <c r="W156" s="749"/>
      <c r="X156" s="749"/>
      <c r="Y156" s="816"/>
      <c r="Z156" s="738"/>
      <c r="AA156" s="738"/>
      <c r="AB156" s="738"/>
      <c r="AC156" s="738"/>
      <c r="AD156" s="817"/>
      <c r="AH156" s="283">
        <f t="shared" si="5"/>
        <v>0</v>
      </c>
      <c r="AI156" s="283">
        <f t="shared" si="6"/>
        <v>0</v>
      </c>
      <c r="AJ156" s="283">
        <f t="shared" si="7"/>
        <v>0</v>
      </c>
    </row>
    <row r="157" spans="1:37" ht="15" customHeight="1">
      <c r="A157" s="49"/>
      <c r="B157" s="38"/>
      <c r="C157" s="143" t="s">
        <v>2519</v>
      </c>
      <c r="D157" s="813" t="s">
        <v>3195</v>
      </c>
      <c r="E157" s="814"/>
      <c r="F157" s="814"/>
      <c r="G157" s="814"/>
      <c r="H157" s="814"/>
      <c r="I157" s="814"/>
      <c r="J157" s="814"/>
      <c r="K157" s="814"/>
      <c r="L157" s="815"/>
      <c r="M157" s="749"/>
      <c r="N157" s="749"/>
      <c r="O157" s="749"/>
      <c r="P157" s="749"/>
      <c r="Q157" s="749"/>
      <c r="R157" s="749"/>
      <c r="S157" s="749"/>
      <c r="T157" s="749"/>
      <c r="U157" s="749"/>
      <c r="V157" s="749"/>
      <c r="W157" s="749"/>
      <c r="X157" s="749"/>
      <c r="Y157" s="816"/>
      <c r="Z157" s="738"/>
      <c r="AA157" s="738"/>
      <c r="AB157" s="738"/>
      <c r="AC157" s="738"/>
      <c r="AD157" s="817"/>
      <c r="AH157" s="283">
        <f t="shared" si="5"/>
        <v>0</v>
      </c>
      <c r="AI157" s="283">
        <f t="shared" si="6"/>
        <v>0</v>
      </c>
      <c r="AJ157" s="283">
        <f t="shared" si="7"/>
        <v>0</v>
      </c>
    </row>
    <row r="158" spans="1:37" ht="15" customHeight="1">
      <c r="A158" s="49"/>
      <c r="B158" s="38"/>
      <c r="C158" s="143" t="s">
        <v>2520</v>
      </c>
      <c r="D158" s="813" t="s">
        <v>3196</v>
      </c>
      <c r="E158" s="814"/>
      <c r="F158" s="814"/>
      <c r="G158" s="814"/>
      <c r="H158" s="814"/>
      <c r="I158" s="814"/>
      <c r="J158" s="814"/>
      <c r="K158" s="814"/>
      <c r="L158" s="815"/>
      <c r="M158" s="749"/>
      <c r="N158" s="749"/>
      <c r="O158" s="749"/>
      <c r="P158" s="749"/>
      <c r="Q158" s="749"/>
      <c r="R158" s="749"/>
      <c r="S158" s="749"/>
      <c r="T158" s="749"/>
      <c r="U158" s="749"/>
      <c r="V158" s="749"/>
      <c r="W158" s="749"/>
      <c r="X158" s="749"/>
      <c r="Y158" s="816"/>
      <c r="Z158" s="738"/>
      <c r="AA158" s="738"/>
      <c r="AB158" s="738"/>
      <c r="AC158" s="738"/>
      <c r="AD158" s="817"/>
      <c r="AH158" s="283">
        <f t="shared" si="5"/>
        <v>0</v>
      </c>
      <c r="AI158" s="283">
        <f t="shared" si="6"/>
        <v>0</v>
      </c>
      <c r="AJ158" s="283">
        <f t="shared" si="7"/>
        <v>0</v>
      </c>
    </row>
    <row r="159" spans="1:37" ht="15" customHeight="1">
      <c r="A159" s="49"/>
      <c r="B159" s="38"/>
      <c r="C159" s="143" t="s">
        <v>2521</v>
      </c>
      <c r="D159" s="813" t="s">
        <v>3197</v>
      </c>
      <c r="E159" s="814"/>
      <c r="F159" s="814"/>
      <c r="G159" s="814"/>
      <c r="H159" s="814"/>
      <c r="I159" s="814"/>
      <c r="J159" s="814"/>
      <c r="K159" s="814"/>
      <c r="L159" s="815"/>
      <c r="M159" s="749"/>
      <c r="N159" s="749"/>
      <c r="O159" s="749"/>
      <c r="P159" s="749"/>
      <c r="Q159" s="749"/>
      <c r="R159" s="749"/>
      <c r="S159" s="749"/>
      <c r="T159" s="749"/>
      <c r="U159" s="749"/>
      <c r="V159" s="749"/>
      <c r="W159" s="749"/>
      <c r="X159" s="749"/>
      <c r="Y159" s="816"/>
      <c r="Z159" s="738"/>
      <c r="AA159" s="738"/>
      <c r="AB159" s="738"/>
      <c r="AC159" s="738"/>
      <c r="AD159" s="817"/>
      <c r="AH159" s="283">
        <f t="shared" si="5"/>
        <v>0</v>
      </c>
      <c r="AI159" s="283">
        <f t="shared" si="6"/>
        <v>0</v>
      </c>
      <c r="AJ159" s="283">
        <f t="shared" si="7"/>
        <v>0</v>
      </c>
    </row>
    <row r="160" spans="1:37" ht="15" customHeight="1">
      <c r="A160" s="49"/>
      <c r="B160" s="38"/>
      <c r="C160" s="143" t="s">
        <v>2522</v>
      </c>
      <c r="D160" s="813" t="s">
        <v>3198</v>
      </c>
      <c r="E160" s="814"/>
      <c r="F160" s="814"/>
      <c r="G160" s="814"/>
      <c r="H160" s="814"/>
      <c r="I160" s="814"/>
      <c r="J160" s="814"/>
      <c r="K160" s="814"/>
      <c r="L160" s="815"/>
      <c r="M160" s="749"/>
      <c r="N160" s="749"/>
      <c r="O160" s="749"/>
      <c r="P160" s="749"/>
      <c r="Q160" s="749"/>
      <c r="R160" s="749"/>
      <c r="S160" s="749"/>
      <c r="T160" s="749"/>
      <c r="U160" s="749"/>
      <c r="V160" s="749"/>
      <c r="W160" s="749"/>
      <c r="X160" s="749"/>
      <c r="Y160" s="816"/>
      <c r="Z160" s="738"/>
      <c r="AA160" s="738"/>
      <c r="AB160" s="738"/>
      <c r="AC160" s="738"/>
      <c r="AD160" s="817"/>
      <c r="AH160" s="283">
        <f t="shared" si="5"/>
        <v>0</v>
      </c>
      <c r="AI160" s="283">
        <f t="shared" si="6"/>
        <v>0</v>
      </c>
      <c r="AJ160" s="283">
        <f t="shared" si="7"/>
        <v>0</v>
      </c>
    </row>
    <row r="161" spans="1:36" ht="15" customHeight="1">
      <c r="A161" s="49"/>
      <c r="B161" s="38"/>
      <c r="C161" s="143" t="s">
        <v>2523</v>
      </c>
      <c r="D161" s="813" t="s">
        <v>3199</v>
      </c>
      <c r="E161" s="814"/>
      <c r="F161" s="814"/>
      <c r="G161" s="814"/>
      <c r="H161" s="814"/>
      <c r="I161" s="814"/>
      <c r="J161" s="814"/>
      <c r="K161" s="814"/>
      <c r="L161" s="815"/>
      <c r="M161" s="749"/>
      <c r="N161" s="749"/>
      <c r="O161" s="749"/>
      <c r="P161" s="749"/>
      <c r="Q161" s="749"/>
      <c r="R161" s="749"/>
      <c r="S161" s="749"/>
      <c r="T161" s="749"/>
      <c r="U161" s="749"/>
      <c r="V161" s="749"/>
      <c r="W161" s="749"/>
      <c r="X161" s="749"/>
      <c r="Y161" s="816"/>
      <c r="Z161" s="738"/>
      <c r="AA161" s="738"/>
      <c r="AB161" s="738"/>
      <c r="AC161" s="738"/>
      <c r="AD161" s="817"/>
      <c r="AH161" s="283">
        <f t="shared" si="5"/>
        <v>0</v>
      </c>
      <c r="AI161" s="283">
        <f t="shared" si="6"/>
        <v>0</v>
      </c>
      <c r="AJ161" s="283">
        <f t="shared" si="7"/>
        <v>0</v>
      </c>
    </row>
    <row r="162" spans="1:36" ht="15" customHeight="1">
      <c r="A162" s="49"/>
      <c r="B162" s="38"/>
      <c r="C162" s="143" t="s">
        <v>2524</v>
      </c>
      <c r="D162" s="813" t="s">
        <v>3200</v>
      </c>
      <c r="E162" s="814"/>
      <c r="F162" s="814"/>
      <c r="G162" s="814"/>
      <c r="H162" s="814"/>
      <c r="I162" s="814"/>
      <c r="J162" s="814"/>
      <c r="K162" s="814"/>
      <c r="L162" s="815"/>
      <c r="M162" s="749"/>
      <c r="N162" s="749"/>
      <c r="O162" s="749"/>
      <c r="P162" s="749"/>
      <c r="Q162" s="749"/>
      <c r="R162" s="749"/>
      <c r="S162" s="749"/>
      <c r="T162" s="749"/>
      <c r="U162" s="749"/>
      <c r="V162" s="749"/>
      <c r="W162" s="749"/>
      <c r="X162" s="749"/>
      <c r="Y162" s="816"/>
      <c r="Z162" s="738"/>
      <c r="AA162" s="738"/>
      <c r="AB162" s="738"/>
      <c r="AC162" s="738"/>
      <c r="AD162" s="817"/>
      <c r="AH162" s="283">
        <f t="shared" si="5"/>
        <v>0</v>
      </c>
      <c r="AI162" s="283">
        <f t="shared" si="6"/>
        <v>0</v>
      </c>
      <c r="AJ162" s="283">
        <f t="shared" si="7"/>
        <v>0</v>
      </c>
    </row>
    <row r="163" spans="1:36" ht="15" customHeight="1">
      <c r="A163" s="49"/>
      <c r="B163" s="38"/>
      <c r="C163" s="44" t="s">
        <v>3955</v>
      </c>
      <c r="D163" s="796" t="s">
        <v>201</v>
      </c>
      <c r="E163" s="796"/>
      <c r="F163" s="796"/>
      <c r="G163" s="796"/>
      <c r="H163" s="796"/>
      <c r="I163" s="796"/>
      <c r="J163" s="796"/>
      <c r="K163" s="796"/>
      <c r="L163" s="796"/>
      <c r="M163" s="749"/>
      <c r="N163" s="749"/>
      <c r="O163" s="749"/>
      <c r="P163" s="749"/>
      <c r="Q163" s="749"/>
      <c r="R163" s="749"/>
      <c r="S163" s="749"/>
      <c r="T163" s="749"/>
      <c r="U163" s="749"/>
      <c r="V163" s="749"/>
      <c r="W163" s="749"/>
      <c r="X163" s="749"/>
      <c r="Y163" s="816"/>
      <c r="Z163" s="738"/>
      <c r="AA163" s="738"/>
      <c r="AB163" s="738"/>
      <c r="AC163" s="738"/>
      <c r="AD163" s="817"/>
      <c r="AH163" s="283">
        <f t="shared" si="5"/>
        <v>0</v>
      </c>
      <c r="AI163" s="283">
        <f t="shared" si="6"/>
        <v>0</v>
      </c>
      <c r="AJ163" s="283">
        <f t="shared" si="7"/>
        <v>0</v>
      </c>
    </row>
    <row r="164" spans="1:36">
      <c r="A164" s="49"/>
      <c r="B164" s="38"/>
      <c r="C164" s="51"/>
      <c r="D164" s="51"/>
      <c r="E164" s="57"/>
      <c r="F164" s="57"/>
      <c r="G164" s="57"/>
      <c r="H164" s="57"/>
      <c r="I164" s="57"/>
      <c r="J164" s="57"/>
      <c r="K164" s="57"/>
      <c r="L164" s="99" t="s">
        <v>2649</v>
      </c>
      <c r="M164" s="736">
        <f>IF(AND(SUM(M154:R163)=0,COUNTIF(M154:R163,"NS")&gt;0),"NS",
IF(AND(SUM(M154:R163)=0,COUNTIF(M154:R163,0)&gt;0),0,
IF(AND(SUM(M154:R163)=0,COUNTIF(M154:R163,"NA")&gt;0),"NA",
SUM(M154:R163))))</f>
        <v>0</v>
      </c>
      <c r="N164" s="736"/>
      <c r="O164" s="736"/>
      <c r="P164" s="736"/>
      <c r="Q164" s="736"/>
      <c r="R164" s="736"/>
      <c r="S164" s="736">
        <f t="shared" ref="S164" si="8">IF(AND(SUM(S154:X163)=0,COUNTIF(S154:X163,"NS")&gt;0),"NS",
IF(AND(SUM(S154:X163)=0,COUNTIF(S154:X163,0)&gt;0),0,
IF(AND(SUM(S154:X163)=0,COUNTIF(S154:X163,"NA")&gt;0),"NA",
SUM(S154:X163))))</f>
        <v>0</v>
      </c>
      <c r="T164" s="736"/>
      <c r="U164" s="736"/>
      <c r="V164" s="736"/>
      <c r="W164" s="736"/>
      <c r="X164" s="736"/>
      <c r="Y164" s="736">
        <f t="shared" ref="Y164" si="9">IF(AND(SUM(Y154:AD163)=0,COUNTIF(Y154:AD163,"NS")&gt;0),"NS",
IF(AND(SUM(Y154:AD163)=0,COUNTIF(Y154:AD163,0)&gt;0),0,
IF(AND(SUM(Y154:AD163)=0,COUNTIF(Y154:AD163,"NA")&gt;0),"NA",
SUM(Y154:AD163))))</f>
        <v>0</v>
      </c>
      <c r="Z164" s="736"/>
      <c r="AA164" s="736"/>
      <c r="AB164" s="736"/>
      <c r="AC164" s="736"/>
      <c r="AD164" s="736"/>
      <c r="AH164" s="350">
        <f>SUM(AH154:AH163)</f>
        <v>0</v>
      </c>
      <c r="AI164" s="351">
        <f>SUM(AI154:AI163)</f>
        <v>0</v>
      </c>
      <c r="AJ164" s="352">
        <f>SUM(AJ154:AJ163)</f>
        <v>0</v>
      </c>
    </row>
    <row r="165" spans="1:36">
      <c r="A165" s="49"/>
      <c r="B165" s="38"/>
    </row>
    <row r="166" spans="1:36" ht="24" customHeight="1">
      <c r="A166" s="49"/>
      <c r="B166" s="38"/>
      <c r="C166" s="754" t="s">
        <v>2611</v>
      </c>
      <c r="D166" s="754"/>
      <c r="E166" s="754"/>
      <c r="F166" s="754"/>
      <c r="G166" s="754"/>
      <c r="H166" s="754"/>
      <c r="I166" s="754"/>
      <c r="J166" s="754"/>
      <c r="K166" s="754"/>
      <c r="L166" s="754"/>
      <c r="M166" s="754"/>
      <c r="N166" s="754"/>
      <c r="O166" s="754"/>
      <c r="P166" s="754"/>
      <c r="Q166" s="754"/>
      <c r="R166" s="754"/>
      <c r="S166" s="754"/>
      <c r="T166" s="754"/>
      <c r="U166" s="754"/>
      <c r="V166" s="754"/>
      <c r="W166" s="754"/>
      <c r="X166" s="754"/>
      <c r="Y166" s="754"/>
      <c r="Z166" s="754"/>
      <c r="AA166" s="754"/>
      <c r="AB166" s="754"/>
      <c r="AC166" s="754"/>
      <c r="AD166" s="754"/>
    </row>
    <row r="167" spans="1:36" ht="60" customHeight="1">
      <c r="A167" s="49"/>
      <c r="B167" s="38"/>
      <c r="C167" s="851"/>
      <c r="D167" s="851"/>
      <c r="E167" s="851"/>
      <c r="F167" s="851"/>
      <c r="G167" s="851"/>
      <c r="H167" s="851"/>
      <c r="I167" s="851"/>
      <c r="J167" s="851"/>
      <c r="K167" s="851"/>
      <c r="L167" s="851"/>
      <c r="M167" s="851"/>
      <c r="N167" s="851"/>
      <c r="O167" s="851"/>
      <c r="P167" s="851"/>
      <c r="Q167" s="851"/>
      <c r="R167" s="851"/>
      <c r="S167" s="851"/>
      <c r="T167" s="851"/>
      <c r="U167" s="851"/>
      <c r="V167" s="851"/>
      <c r="W167" s="851"/>
      <c r="X167" s="851"/>
      <c r="Y167" s="851"/>
      <c r="Z167" s="851"/>
      <c r="AA167" s="851"/>
      <c r="AB167" s="851"/>
      <c r="AC167" s="851"/>
      <c r="AD167" s="851"/>
    </row>
    <row r="168" spans="1:36" ht="15" customHeight="1">
      <c r="A168" s="91"/>
      <c r="B168" s="794" t="str">
        <f>IF(AG154&gt;0,"Favor de ingresar toda la información requerida en la pregunta y/o verifique que no tenga información en celdas sombreadas","")</f>
        <v/>
      </c>
      <c r="C168" s="794"/>
      <c r="D168" s="794"/>
      <c r="E168" s="794"/>
      <c r="F168" s="794"/>
      <c r="G168" s="794"/>
      <c r="H168" s="794"/>
      <c r="I168" s="794"/>
      <c r="J168" s="794"/>
      <c r="K168" s="794"/>
      <c r="L168" s="794"/>
      <c r="M168" s="794"/>
      <c r="N168" s="794"/>
      <c r="O168" s="794"/>
      <c r="P168" s="794"/>
      <c r="Q168" s="794"/>
      <c r="R168" s="794"/>
      <c r="S168" s="794"/>
      <c r="T168" s="794"/>
      <c r="U168" s="794"/>
      <c r="V168" s="794"/>
      <c r="W168" s="794"/>
      <c r="X168" s="794"/>
      <c r="Y168" s="794"/>
      <c r="Z168" s="794"/>
      <c r="AA168" s="794"/>
      <c r="AB168" s="794"/>
      <c r="AC168" s="794"/>
      <c r="AD168" s="794"/>
    </row>
    <row r="169" spans="1:36" ht="15" customHeight="1">
      <c r="A169" s="91"/>
      <c r="B169" s="795" t="str">
        <f>IF(AH164&gt;0,"Alerta: debido a que cuenta con registros NS, debe proporcionar una justificación en el area de comentarios al final de la pregunta","")</f>
        <v/>
      </c>
      <c r="C169" s="795"/>
      <c r="D169" s="795"/>
      <c r="E169" s="795"/>
      <c r="F169" s="795"/>
      <c r="G169" s="795"/>
      <c r="H169" s="795"/>
      <c r="I169" s="795"/>
      <c r="J169" s="795"/>
      <c r="K169" s="795"/>
      <c r="L169" s="795"/>
      <c r="M169" s="795"/>
      <c r="N169" s="795"/>
      <c r="O169" s="795"/>
      <c r="P169" s="795"/>
      <c r="Q169" s="795"/>
      <c r="R169" s="795"/>
      <c r="S169" s="795"/>
      <c r="T169" s="795"/>
      <c r="U169" s="795"/>
      <c r="V169" s="795"/>
      <c r="W169" s="795"/>
      <c r="X169" s="795"/>
      <c r="Y169" s="795"/>
      <c r="Z169" s="795"/>
      <c r="AA169" s="795"/>
      <c r="AB169" s="795"/>
      <c r="AC169" s="795"/>
      <c r="AD169" s="795"/>
    </row>
    <row r="170" spans="1:36" ht="15" customHeight="1">
      <c r="A170" s="91"/>
      <c r="B170" s="794" t="str">
        <f>IF(AJ164&gt;0,"Favor de revisar la suma y consistencia de totales y/o subtotales por filas (numéricos y NS)","")</f>
        <v/>
      </c>
      <c r="C170" s="794"/>
      <c r="D170" s="794"/>
      <c r="E170" s="794"/>
      <c r="F170" s="794"/>
      <c r="G170" s="794"/>
      <c r="H170" s="794"/>
      <c r="I170" s="794"/>
      <c r="J170" s="794"/>
      <c r="K170" s="794"/>
      <c r="L170" s="794"/>
      <c r="M170" s="794"/>
      <c r="N170" s="794"/>
      <c r="O170" s="794"/>
      <c r="P170" s="794"/>
      <c r="Q170" s="794"/>
      <c r="R170" s="794"/>
      <c r="S170" s="794"/>
      <c r="T170" s="794"/>
      <c r="U170" s="794"/>
      <c r="V170" s="794"/>
      <c r="W170" s="794"/>
      <c r="X170" s="794"/>
      <c r="Y170" s="794"/>
      <c r="Z170" s="794"/>
      <c r="AA170" s="794"/>
      <c r="AB170" s="794"/>
      <c r="AC170" s="794"/>
      <c r="AD170" s="794"/>
    </row>
    <row r="171" spans="1:36" ht="15" customHeight="1">
      <c r="A171" s="91"/>
    </row>
    <row r="172" spans="1:36" ht="15" customHeight="1">
      <c r="A172" s="91"/>
    </row>
    <row r="173" spans="1:36" ht="15" customHeight="1" thickBot="1">
      <c r="A173" s="91"/>
    </row>
    <row r="174" spans="1:36" customFormat="1" ht="15" customHeight="1" thickBot="1">
      <c r="A174" s="153" t="s">
        <v>2563</v>
      </c>
      <c r="B174" s="831" t="s">
        <v>4001</v>
      </c>
      <c r="C174" s="832"/>
      <c r="D174" s="832"/>
      <c r="E174" s="832"/>
      <c r="F174" s="832"/>
      <c r="G174" s="832"/>
      <c r="H174" s="832"/>
      <c r="I174" s="832"/>
      <c r="J174" s="832"/>
      <c r="K174" s="832"/>
      <c r="L174" s="832"/>
      <c r="M174" s="832"/>
      <c r="N174" s="832"/>
      <c r="O174" s="832"/>
      <c r="P174" s="832"/>
      <c r="Q174" s="832"/>
      <c r="R174" s="832"/>
      <c r="S174" s="832"/>
      <c r="T174" s="832"/>
      <c r="U174" s="832"/>
      <c r="V174" s="832"/>
      <c r="W174" s="832"/>
      <c r="X174" s="832"/>
      <c r="Y174" s="832"/>
      <c r="Z174" s="832"/>
      <c r="AA174" s="832"/>
      <c r="AB174" s="832"/>
      <c r="AC174" s="832"/>
      <c r="AD174" s="833"/>
      <c r="AE174" s="3"/>
    </row>
    <row r="175" spans="1:36" ht="15" customHeight="1">
      <c r="A175" s="147"/>
      <c r="B175" s="1006" t="s">
        <v>3157</v>
      </c>
      <c r="C175" s="893"/>
      <c r="D175" s="893"/>
      <c r="E175" s="893"/>
      <c r="F175" s="893"/>
      <c r="G175" s="893"/>
      <c r="H175" s="893"/>
      <c r="I175" s="893"/>
      <c r="J175" s="893"/>
      <c r="K175" s="893"/>
      <c r="L175" s="893"/>
      <c r="M175" s="893"/>
      <c r="N175" s="893"/>
      <c r="O175" s="893"/>
      <c r="P175" s="893"/>
      <c r="Q175" s="893"/>
      <c r="R175" s="893"/>
      <c r="S175" s="893"/>
      <c r="T175" s="893"/>
      <c r="U175" s="893"/>
      <c r="V175" s="893"/>
      <c r="W175" s="893"/>
      <c r="X175" s="893"/>
      <c r="Y175" s="893"/>
      <c r="Z175" s="893"/>
      <c r="AA175" s="893"/>
      <c r="AB175" s="893"/>
      <c r="AC175" s="893"/>
      <c r="AD175" s="1007"/>
    </row>
    <row r="176" spans="1:36" ht="36" customHeight="1">
      <c r="A176" s="146"/>
      <c r="B176" s="154"/>
      <c r="C176" s="754" t="s">
        <v>4002</v>
      </c>
      <c r="D176" s="754"/>
      <c r="E176" s="754"/>
      <c r="F176" s="754"/>
      <c r="G176" s="754"/>
      <c r="H176" s="754"/>
      <c r="I176" s="754"/>
      <c r="J176" s="754"/>
      <c r="K176" s="754"/>
      <c r="L176" s="754"/>
      <c r="M176" s="754"/>
      <c r="N176" s="754"/>
      <c r="O176" s="754"/>
      <c r="P176" s="754"/>
      <c r="Q176" s="754"/>
      <c r="R176" s="754"/>
      <c r="S176" s="754"/>
      <c r="T176" s="754"/>
      <c r="U176" s="754"/>
      <c r="V176" s="754"/>
      <c r="W176" s="754"/>
      <c r="X176" s="754"/>
      <c r="Y176" s="754"/>
      <c r="Z176" s="754"/>
      <c r="AA176" s="754"/>
      <c r="AB176" s="754"/>
      <c r="AC176" s="754"/>
      <c r="AD176" s="755"/>
    </row>
    <row r="177" spans="1:43" ht="24" customHeight="1">
      <c r="A177" s="146"/>
      <c r="B177" s="159"/>
      <c r="C177" s="764" t="s">
        <v>4003</v>
      </c>
      <c r="D177" s="764"/>
      <c r="E177" s="764"/>
      <c r="F177" s="764"/>
      <c r="G177" s="764"/>
      <c r="H177" s="764"/>
      <c r="I177" s="764"/>
      <c r="J177" s="764"/>
      <c r="K177" s="764"/>
      <c r="L177" s="764"/>
      <c r="M177" s="764"/>
      <c r="N177" s="764"/>
      <c r="O177" s="764"/>
      <c r="P177" s="764"/>
      <c r="Q177" s="764"/>
      <c r="R177" s="764"/>
      <c r="S177" s="764"/>
      <c r="T177" s="764"/>
      <c r="U177" s="764"/>
      <c r="V177" s="764"/>
      <c r="W177" s="764"/>
      <c r="X177" s="764"/>
      <c r="Y177" s="764"/>
      <c r="Z177" s="764"/>
      <c r="AA177" s="764"/>
      <c r="AB177" s="764"/>
      <c r="AC177" s="764"/>
      <c r="AD177" s="765"/>
    </row>
    <row r="178" spans="1:43" ht="15" customHeight="1">
      <c r="A178" s="94"/>
      <c r="B178" s="941" t="s">
        <v>2565</v>
      </c>
      <c r="C178" s="839"/>
      <c r="D178" s="839"/>
      <c r="E178" s="839"/>
      <c r="F178" s="839"/>
      <c r="G178" s="839"/>
      <c r="H178" s="839"/>
      <c r="I178" s="839"/>
      <c r="J178" s="839"/>
      <c r="K178" s="839"/>
      <c r="L178" s="839"/>
      <c r="M178" s="839"/>
      <c r="N178" s="839"/>
      <c r="O178" s="839"/>
      <c r="P178" s="839"/>
      <c r="Q178" s="839"/>
      <c r="R178" s="839"/>
      <c r="S178" s="839"/>
      <c r="T178" s="839"/>
      <c r="U178" s="839"/>
      <c r="V178" s="839"/>
      <c r="W178" s="839"/>
      <c r="X178" s="839"/>
      <c r="Y178" s="839"/>
      <c r="Z178" s="839"/>
      <c r="AA178" s="839"/>
      <c r="AB178" s="839"/>
      <c r="AC178" s="839"/>
      <c r="AD178" s="942"/>
    </row>
    <row r="179" spans="1:43" ht="36" customHeight="1">
      <c r="A179" s="94"/>
      <c r="B179" s="236"/>
      <c r="C179" s="830" t="s">
        <v>4004</v>
      </c>
      <c r="D179" s="830"/>
      <c r="E179" s="830"/>
      <c r="F179" s="830"/>
      <c r="G179" s="830"/>
      <c r="H179" s="830"/>
      <c r="I179" s="830"/>
      <c r="J179" s="830"/>
      <c r="K179" s="830"/>
      <c r="L179" s="830"/>
      <c r="M179" s="830"/>
      <c r="N179" s="830"/>
      <c r="O179" s="830"/>
      <c r="P179" s="830"/>
      <c r="Q179" s="830"/>
      <c r="R179" s="830"/>
      <c r="S179" s="830"/>
      <c r="T179" s="830"/>
      <c r="U179" s="830"/>
      <c r="V179" s="830"/>
      <c r="W179" s="830"/>
      <c r="X179" s="830"/>
      <c r="Y179" s="830"/>
      <c r="Z179" s="830"/>
      <c r="AA179" s="830"/>
      <c r="AB179" s="830"/>
      <c r="AC179" s="830"/>
      <c r="AD179" s="895"/>
    </row>
    <row r="180" spans="1:43" ht="24" customHeight="1">
      <c r="A180" s="94"/>
      <c r="B180" s="236"/>
      <c r="C180" s="86"/>
      <c r="D180" s="830" t="s">
        <v>4005</v>
      </c>
      <c r="E180" s="830"/>
      <c r="F180" s="830"/>
      <c r="G180" s="830"/>
      <c r="H180" s="830"/>
      <c r="I180" s="830"/>
      <c r="J180" s="830"/>
      <c r="K180" s="830"/>
      <c r="L180" s="830"/>
      <c r="M180" s="830"/>
      <c r="N180" s="830"/>
      <c r="O180" s="830"/>
      <c r="P180" s="830"/>
      <c r="Q180" s="830"/>
      <c r="R180" s="830"/>
      <c r="S180" s="830"/>
      <c r="T180" s="830"/>
      <c r="U180" s="830"/>
      <c r="V180" s="830"/>
      <c r="W180" s="830"/>
      <c r="X180" s="830"/>
      <c r="Y180" s="830"/>
      <c r="Z180" s="830"/>
      <c r="AA180" s="830"/>
      <c r="AB180" s="830"/>
      <c r="AC180" s="830"/>
      <c r="AD180" s="895"/>
    </row>
    <row r="181" spans="1:43" ht="24" customHeight="1">
      <c r="A181" s="94"/>
      <c r="B181" s="665"/>
      <c r="C181" s="86"/>
      <c r="D181" s="830" t="s">
        <v>4006</v>
      </c>
      <c r="E181" s="830"/>
      <c r="F181" s="830"/>
      <c r="G181" s="830"/>
      <c r="H181" s="830"/>
      <c r="I181" s="830"/>
      <c r="J181" s="830"/>
      <c r="K181" s="830"/>
      <c r="L181" s="830"/>
      <c r="M181" s="830"/>
      <c r="N181" s="830"/>
      <c r="O181" s="830"/>
      <c r="P181" s="830"/>
      <c r="Q181" s="830"/>
      <c r="R181" s="830"/>
      <c r="S181" s="830"/>
      <c r="T181" s="830"/>
      <c r="U181" s="830"/>
      <c r="V181" s="830"/>
      <c r="W181" s="830"/>
      <c r="X181" s="830"/>
      <c r="Y181" s="830"/>
      <c r="Z181" s="830"/>
      <c r="AA181" s="830"/>
      <c r="AB181" s="830"/>
      <c r="AC181" s="830"/>
      <c r="AD181" s="895"/>
    </row>
    <row r="182" spans="1:43" ht="48" customHeight="1">
      <c r="A182" s="49"/>
      <c r="B182" s="672"/>
      <c r="C182" s="666"/>
      <c r="D182" s="1004" t="s">
        <v>4007</v>
      </c>
      <c r="E182" s="1004"/>
      <c r="F182" s="1004"/>
      <c r="G182" s="1004"/>
      <c r="H182" s="1004"/>
      <c r="I182" s="1004"/>
      <c r="J182" s="1004"/>
      <c r="K182" s="1004"/>
      <c r="L182" s="1004"/>
      <c r="M182" s="1004"/>
      <c r="N182" s="1004"/>
      <c r="O182" s="1004"/>
      <c r="P182" s="1004"/>
      <c r="Q182" s="1004"/>
      <c r="R182" s="1004"/>
      <c r="S182" s="1004"/>
      <c r="T182" s="1004"/>
      <c r="U182" s="1004"/>
      <c r="V182" s="1004"/>
      <c r="W182" s="1004"/>
      <c r="X182" s="1004"/>
      <c r="Y182" s="1004"/>
      <c r="Z182" s="1004"/>
      <c r="AA182" s="1004"/>
      <c r="AB182" s="1004"/>
      <c r="AC182" s="1004"/>
      <c r="AD182" s="1005"/>
    </row>
    <row r="183" spans="1:43" ht="15" customHeight="1">
      <c r="A183" s="103"/>
      <c r="B183" s="57"/>
      <c r="C183" s="830"/>
      <c r="D183" s="830"/>
      <c r="E183" s="830"/>
      <c r="F183" s="830"/>
      <c r="G183" s="830"/>
      <c r="H183" s="830"/>
      <c r="I183" s="830"/>
      <c r="J183" s="830"/>
      <c r="K183" s="830"/>
      <c r="L183" s="830"/>
      <c r="M183" s="830"/>
      <c r="N183" s="830"/>
      <c r="O183" s="830"/>
      <c r="P183" s="830"/>
      <c r="Q183" s="830"/>
      <c r="R183" s="830"/>
      <c r="S183" s="830"/>
      <c r="T183" s="830"/>
      <c r="U183" s="830"/>
      <c r="V183" s="830"/>
      <c r="W183" s="830"/>
      <c r="X183" s="830"/>
      <c r="Y183" s="830"/>
      <c r="Z183" s="830"/>
      <c r="AA183" s="830"/>
      <c r="AB183" s="830"/>
      <c r="AC183" s="830"/>
      <c r="AD183" s="830"/>
    </row>
    <row r="184" spans="1:43" ht="36" customHeight="1">
      <c r="A184" s="49" t="s">
        <v>4008</v>
      </c>
      <c r="B184" s="829" t="s">
        <v>4009</v>
      </c>
      <c r="C184" s="829"/>
      <c r="D184" s="829"/>
      <c r="E184" s="829"/>
      <c r="F184" s="829"/>
      <c r="G184" s="829"/>
      <c r="H184" s="829"/>
      <c r="I184" s="829"/>
      <c r="J184" s="829"/>
      <c r="K184" s="829"/>
      <c r="L184" s="829"/>
      <c r="M184" s="829"/>
      <c r="N184" s="829"/>
      <c r="O184" s="829"/>
      <c r="P184" s="829"/>
      <c r="Q184" s="829"/>
      <c r="R184" s="829"/>
      <c r="S184" s="829"/>
      <c r="T184" s="829"/>
      <c r="U184" s="829"/>
      <c r="V184" s="829"/>
      <c r="W184" s="829"/>
      <c r="X184" s="829"/>
      <c r="Y184" s="829"/>
      <c r="Z184" s="829"/>
      <c r="AA184" s="829"/>
      <c r="AB184" s="829"/>
      <c r="AC184" s="829"/>
      <c r="AD184" s="829"/>
    </row>
    <row r="185" spans="1:43" ht="24" customHeight="1">
      <c r="A185" s="49"/>
      <c r="B185" s="38"/>
      <c r="C185" s="830" t="s">
        <v>4010</v>
      </c>
      <c r="D185" s="830"/>
      <c r="E185" s="830"/>
      <c r="F185" s="830"/>
      <c r="G185" s="830"/>
      <c r="H185" s="830"/>
      <c r="I185" s="830"/>
      <c r="J185" s="830"/>
      <c r="K185" s="830"/>
      <c r="L185" s="830"/>
      <c r="M185" s="830"/>
      <c r="N185" s="830"/>
      <c r="O185" s="830"/>
      <c r="P185" s="830"/>
      <c r="Q185" s="830"/>
      <c r="R185" s="830"/>
      <c r="S185" s="830"/>
      <c r="T185" s="830"/>
      <c r="U185" s="830"/>
      <c r="V185" s="830"/>
      <c r="W185" s="830"/>
      <c r="X185" s="830"/>
      <c r="Y185" s="830"/>
      <c r="Z185" s="830"/>
      <c r="AA185" s="830"/>
      <c r="AB185" s="830"/>
      <c r="AC185" s="830"/>
      <c r="AD185" s="830"/>
    </row>
    <row r="186" spans="1:43" ht="24" customHeight="1">
      <c r="A186" s="49"/>
      <c r="B186" s="102"/>
      <c r="C186" s="754" t="s">
        <v>4011</v>
      </c>
      <c r="D186" s="754"/>
      <c r="E186" s="754"/>
      <c r="F186" s="754"/>
      <c r="G186" s="754"/>
      <c r="H186" s="754"/>
      <c r="I186" s="754"/>
      <c r="J186" s="754"/>
      <c r="K186" s="754"/>
      <c r="L186" s="754"/>
      <c r="M186" s="754"/>
      <c r="N186" s="754"/>
      <c r="O186" s="754"/>
      <c r="P186" s="754"/>
      <c r="Q186" s="754"/>
      <c r="R186" s="754"/>
      <c r="S186" s="754"/>
      <c r="T186" s="754"/>
      <c r="U186" s="754"/>
      <c r="V186" s="754"/>
      <c r="W186" s="754"/>
      <c r="X186" s="754"/>
      <c r="Y186" s="754"/>
      <c r="Z186" s="754"/>
      <c r="AA186" s="754"/>
      <c r="AB186" s="754"/>
      <c r="AC186" s="754"/>
      <c r="AD186" s="754"/>
    </row>
    <row r="187" spans="1:43" ht="24" customHeight="1">
      <c r="A187" s="49"/>
      <c r="B187" s="57"/>
      <c r="C187" s="754" t="s">
        <v>4012</v>
      </c>
      <c r="D187" s="754"/>
      <c r="E187" s="754"/>
      <c r="F187" s="754"/>
      <c r="G187" s="754"/>
      <c r="H187" s="754"/>
      <c r="I187" s="754"/>
      <c r="J187" s="754"/>
      <c r="K187" s="754"/>
      <c r="L187" s="754"/>
      <c r="M187" s="754"/>
      <c r="N187" s="754"/>
      <c r="O187" s="754"/>
      <c r="P187" s="754"/>
      <c r="Q187" s="754"/>
      <c r="R187" s="754"/>
      <c r="S187" s="754"/>
      <c r="T187" s="754"/>
      <c r="U187" s="754"/>
      <c r="V187" s="754"/>
      <c r="W187" s="754"/>
      <c r="X187" s="754"/>
      <c r="Y187" s="754"/>
      <c r="Z187" s="754"/>
      <c r="AA187" s="754"/>
      <c r="AB187" s="754"/>
      <c r="AC187" s="754"/>
      <c r="AD187" s="754"/>
    </row>
    <row r="188" spans="1:43" ht="15" customHeight="1">
      <c r="A188" s="49"/>
      <c r="B188" s="38"/>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c r="AA188" s="51"/>
      <c r="AB188" s="51"/>
      <c r="AC188" s="51"/>
      <c r="AD188" s="51"/>
    </row>
    <row r="189" spans="1:43" ht="72" customHeight="1">
      <c r="A189" s="49"/>
      <c r="B189" s="38"/>
      <c r="C189" s="739" t="s">
        <v>4013</v>
      </c>
      <c r="D189" s="740"/>
      <c r="E189" s="740"/>
      <c r="F189" s="740"/>
      <c r="G189" s="740"/>
      <c r="H189" s="741"/>
      <c r="I189" s="739" t="s">
        <v>3941</v>
      </c>
      <c r="J189" s="740"/>
      <c r="K189" s="740"/>
      <c r="L189" s="740"/>
      <c r="M189" s="740"/>
      <c r="N189" s="741"/>
      <c r="O189" s="739" t="s">
        <v>3942</v>
      </c>
      <c r="P189" s="740"/>
      <c r="Q189" s="740"/>
      <c r="R189" s="740"/>
      <c r="S189" s="740"/>
      <c r="T189" s="740"/>
      <c r="U189" s="740"/>
      <c r="V189" s="740"/>
      <c r="W189" s="740"/>
      <c r="X189" s="740"/>
      <c r="Y189" s="740"/>
      <c r="Z189" s="740"/>
      <c r="AA189" s="740"/>
      <c r="AB189" s="740"/>
      <c r="AC189" s="740"/>
      <c r="AD189" s="741"/>
      <c r="AG189" s="354" t="s">
        <v>2586</v>
      </c>
      <c r="AH189" s="496" t="s">
        <v>2587</v>
      </c>
      <c r="AI189" s="497"/>
      <c r="AJ189" s="496" t="s">
        <v>2588</v>
      </c>
      <c r="AK189" s="497"/>
      <c r="AL189" s="496" t="s">
        <v>2589</v>
      </c>
      <c r="AM189"/>
      <c r="AN189" s="282" t="s">
        <v>2637</v>
      </c>
      <c r="AO189" s="365" t="s">
        <v>2620</v>
      </c>
      <c r="AP189" s="256" t="s">
        <v>2591</v>
      </c>
      <c r="AQ189" s="257" t="s">
        <v>2592</v>
      </c>
    </row>
    <row r="190" spans="1:43">
      <c r="A190" s="49"/>
      <c r="B190" s="38"/>
      <c r="C190" s="816"/>
      <c r="D190" s="738"/>
      <c r="E190" s="738"/>
      <c r="F190" s="738"/>
      <c r="G190" s="738"/>
      <c r="H190" s="738"/>
      <c r="I190" s="1038"/>
      <c r="J190" s="1039"/>
      <c r="K190" s="1039"/>
      <c r="L190" s="1039"/>
      <c r="M190" s="1039"/>
      <c r="N190" s="1039"/>
      <c r="O190" s="749"/>
      <c r="P190" s="749"/>
      <c r="Q190" s="749"/>
      <c r="R190" s="749"/>
      <c r="S190" s="749"/>
      <c r="T190" s="749"/>
      <c r="U190" s="749"/>
      <c r="V190" s="749"/>
      <c r="W190" s="749"/>
      <c r="X190" s="749"/>
      <c r="Y190" s="749"/>
      <c r="Z190" s="749"/>
      <c r="AA190" s="749"/>
      <c r="AB190" s="749"/>
      <c r="AC190" s="749"/>
      <c r="AD190" s="749"/>
      <c r="AG190" s="326">
        <f>IF(AND($C$190&lt;&gt;"",$C$190&lt;&gt;1,COUNTA(I190:AD190)=0),0,IF(AND($C$190&lt;&gt;"",$C$190=1,COUNTA(I190:AD190)=2),0,IF(AND(C190="",COUNTA(I190:AD190)=0),0,1)))</f>
        <v>0</v>
      </c>
      <c r="AH190" s="326" t="b">
        <f>NOT(EXACT(O190,UPPER(O190)))</f>
        <v>0</v>
      </c>
      <c r="AI190" s="326" t="str">
        <f>SUBSTITUTE( SUBSTITUTE( SUBSTITUTE( SUBSTITUTE( SUBSTITUTE( SUBSTITUTE( SUBSTITUTE( SUBSTITUTE( SUBSTITUTE( SUBSTITUTE(O190, "á", "a"), "é", "e"), "í", "i"), "ó", "o"), "ú", "u"), "Á", "A"), "É", "E"), "Í", "I"), "Ó", "O"), "Ú", "U")</f>
        <v/>
      </c>
      <c r="AJ190" s="326" t="b">
        <f>NOT(EXACT(O190,AI190))</f>
        <v>0</v>
      </c>
      <c r="AK190" s="326" t="str">
        <f>SUBSTITUTE((SUBSTITUTE(SUBSTITUTE(SUBSTITUTE(O190,".",""),",",""),"(","")),")","")</f>
        <v/>
      </c>
      <c r="AL190" s="326" t="b">
        <f>NOT(EXACT(O190,AK190))</f>
        <v>0</v>
      </c>
      <c r="AM190"/>
      <c r="AN190" s="283">
        <f>COUNTIF(I190:AD190,"NS")</f>
        <v>0</v>
      </c>
      <c r="AO190" s="342">
        <f>IF(AND($C$190&lt;&gt;"",$C$190&lt;&gt;1,COUNTA(I190:AD190)&gt;0),1,0)</f>
        <v>0</v>
      </c>
      <c r="AP190" s="253">
        <f>LEN(I190)</f>
        <v>0</v>
      </c>
      <c r="AQ190" s="253">
        <f>IF(I190="NS",0,IF(AND(I190&lt;&gt;"",SUM(AP190)=4),0,IF(I190="",0,1)))</f>
        <v>0</v>
      </c>
    </row>
    <row r="191" spans="1:43" ht="15" customHeight="1">
      <c r="A191" s="96"/>
      <c r="B191" s="90"/>
      <c r="C191" s="54"/>
      <c r="D191" s="54"/>
      <c r="E191" s="54"/>
      <c r="F191" s="54"/>
      <c r="G191" s="54"/>
      <c r="H191" s="54"/>
      <c r="I191" s="54"/>
      <c r="J191" s="54"/>
      <c r="K191" s="54"/>
      <c r="L191" s="54"/>
      <c r="M191" s="54"/>
      <c r="N191" s="54"/>
      <c r="O191" s="54"/>
      <c r="P191" s="54"/>
      <c r="Q191" s="54"/>
      <c r="R191" s="54"/>
      <c r="S191" s="54"/>
      <c r="T191" s="54"/>
      <c r="U191" s="54"/>
      <c r="V191" s="54"/>
      <c r="W191" s="54"/>
      <c r="X191" s="54"/>
      <c r="Y191" s="54"/>
      <c r="Z191" s="54"/>
      <c r="AA191" s="54"/>
      <c r="AB191" s="54"/>
      <c r="AC191" s="54"/>
      <c r="AD191" s="54"/>
      <c r="AG191"/>
      <c r="AH191" s="498">
        <f>COUNTIF(AH190,TRUE)</f>
        <v>0</v>
      </c>
      <c r="AI191" s="283"/>
      <c r="AJ191" s="498">
        <f>COUNTIF(AJ190,TRUE)</f>
        <v>0</v>
      </c>
      <c r="AK191" s="283"/>
      <c r="AL191" s="498">
        <f>COUNTIF(AL190,TRUE)</f>
        <v>0</v>
      </c>
      <c r="AM191" s="498">
        <f>SUM(AH191,AJ191,AL191)</f>
        <v>0</v>
      </c>
      <c r="AN191"/>
      <c r="AO191"/>
      <c r="AP191"/>
      <c r="AQ191"/>
    </row>
    <row r="192" spans="1:43" ht="24" customHeight="1">
      <c r="A192" s="96"/>
      <c r="B192" s="90"/>
      <c r="C192" s="754" t="s">
        <v>2611</v>
      </c>
      <c r="D192" s="754"/>
      <c r="E192" s="754"/>
      <c r="F192" s="754"/>
      <c r="G192" s="754"/>
      <c r="H192" s="754"/>
      <c r="I192" s="754"/>
      <c r="J192" s="754"/>
      <c r="K192" s="754"/>
      <c r="L192" s="754"/>
      <c r="M192" s="754"/>
      <c r="N192" s="754"/>
      <c r="O192" s="754"/>
      <c r="P192" s="754"/>
      <c r="Q192" s="754"/>
      <c r="R192" s="754"/>
      <c r="S192" s="754"/>
      <c r="T192" s="754"/>
      <c r="U192" s="754"/>
      <c r="V192" s="754"/>
      <c r="W192" s="754"/>
      <c r="X192" s="754"/>
      <c r="Y192" s="754"/>
      <c r="Z192" s="754"/>
      <c r="AA192" s="754"/>
      <c r="AB192" s="754"/>
      <c r="AC192" s="754"/>
      <c r="AD192" s="754"/>
    </row>
    <row r="193" spans="1:34" ht="60" customHeight="1">
      <c r="A193" s="103"/>
      <c r="B193" s="57"/>
      <c r="C193" s="851"/>
      <c r="D193" s="851"/>
      <c r="E193" s="851"/>
      <c r="F193" s="851"/>
      <c r="G193" s="851"/>
      <c r="H193" s="851"/>
      <c r="I193" s="851"/>
      <c r="J193" s="851"/>
      <c r="K193" s="851"/>
      <c r="L193" s="851"/>
      <c r="M193" s="851"/>
      <c r="N193" s="851"/>
      <c r="O193" s="851"/>
      <c r="P193" s="851"/>
      <c r="Q193" s="851"/>
      <c r="R193" s="851"/>
      <c r="S193" s="851"/>
      <c r="T193" s="851"/>
      <c r="U193" s="851"/>
      <c r="V193" s="851"/>
      <c r="W193" s="851"/>
      <c r="X193" s="851"/>
      <c r="Y193" s="851"/>
      <c r="Z193" s="851"/>
      <c r="AA193" s="851"/>
      <c r="AB193" s="851"/>
      <c r="AC193" s="851"/>
      <c r="AD193" s="851"/>
    </row>
    <row r="194" spans="1:34" ht="15" customHeight="1">
      <c r="A194" s="103"/>
      <c r="B194" s="794" t="str">
        <f>IF(AG190&gt;0,"Favor de ingresar toda la información requerida en la pregunta y/o verifique que no tenga información en celdas sombreadas","")</f>
        <v/>
      </c>
      <c r="C194" s="794"/>
      <c r="D194" s="794"/>
      <c r="E194" s="794"/>
      <c r="F194" s="794"/>
      <c r="G194" s="794"/>
      <c r="H194" s="794"/>
      <c r="I194" s="794"/>
      <c r="J194" s="794"/>
      <c r="K194" s="794"/>
      <c r="L194" s="794"/>
      <c r="M194" s="794"/>
      <c r="N194" s="794"/>
      <c r="O194" s="794"/>
      <c r="P194" s="794"/>
      <c r="Q194" s="794"/>
      <c r="R194" s="794"/>
      <c r="S194" s="794"/>
      <c r="T194" s="794"/>
      <c r="U194" s="794"/>
      <c r="V194" s="794"/>
      <c r="W194" s="794"/>
      <c r="X194" s="794"/>
      <c r="Y194" s="794"/>
      <c r="Z194" s="794"/>
      <c r="AA194" s="794"/>
      <c r="AB194" s="794"/>
      <c r="AC194" s="794"/>
      <c r="AD194" s="794"/>
      <c r="AE194"/>
    </row>
    <row r="195" spans="1:34" ht="15" customHeight="1">
      <c r="A195" s="103"/>
      <c r="B195" s="795" t="str">
        <f>IF(AN190&gt;0,"Alerta: debido a que cuenta con registros NS, debe proporcionar una justificación en el area de comentarios al final de la pregunta","")</f>
        <v/>
      </c>
      <c r="C195" s="795"/>
      <c r="D195" s="795"/>
      <c r="E195" s="795"/>
      <c r="F195" s="795"/>
      <c r="G195" s="795"/>
      <c r="H195" s="795"/>
      <c r="I195" s="795"/>
      <c r="J195" s="795"/>
      <c r="K195" s="795"/>
      <c r="L195" s="795"/>
      <c r="M195" s="795"/>
      <c r="N195" s="795"/>
      <c r="O195" s="795"/>
      <c r="P195" s="795"/>
      <c r="Q195" s="795"/>
      <c r="R195" s="795"/>
      <c r="S195" s="795"/>
      <c r="T195" s="795"/>
      <c r="U195" s="795"/>
      <c r="V195" s="795"/>
      <c r="W195" s="795"/>
      <c r="X195" s="795"/>
      <c r="Y195" s="795"/>
      <c r="Z195" s="795"/>
      <c r="AA195" s="795"/>
      <c r="AB195" s="795"/>
      <c r="AC195" s="795"/>
      <c r="AD195" s="795"/>
      <c r="AE195"/>
    </row>
    <row r="196" spans="1:34" ht="15" customHeight="1">
      <c r="A196" s="103"/>
      <c r="B196" s="795" t="str">
        <f>IF(OR(C190=3,C190=9),"Alerta: debe proporcionar una justificación ya que ha seleccionado el código 3 o 9 en la col. ¿Contaba con alguna unidad de asuntos…?","")</f>
        <v/>
      </c>
      <c r="C196" s="795"/>
      <c r="D196" s="795"/>
      <c r="E196" s="795"/>
      <c r="F196" s="795"/>
      <c r="G196" s="795"/>
      <c r="H196" s="795"/>
      <c r="I196" s="795"/>
      <c r="J196" s="795"/>
      <c r="K196" s="795"/>
      <c r="L196" s="795"/>
      <c r="M196" s="795"/>
      <c r="N196" s="795"/>
      <c r="O196" s="795"/>
      <c r="P196" s="795"/>
      <c r="Q196" s="795"/>
      <c r="R196" s="795"/>
      <c r="S196" s="795"/>
      <c r="T196" s="795"/>
      <c r="U196" s="795"/>
      <c r="V196" s="795"/>
      <c r="W196" s="795"/>
      <c r="X196" s="795"/>
      <c r="Y196" s="795"/>
      <c r="Z196" s="795"/>
      <c r="AA196" s="795"/>
      <c r="AB196" s="795"/>
      <c r="AC196" s="795"/>
      <c r="AD196" s="795"/>
      <c r="AE196" s="795"/>
    </row>
    <row r="197" spans="1:34" ht="15" customHeight="1">
      <c r="A197" s="103"/>
      <c r="B197" s="794" t="str">
        <f>IF(AM191=0,"","El nombre debe registrarse en mayúsculas, sin comillas ni signos de acentuación, puntuación, paréntesis y abreviaturas")</f>
        <v/>
      </c>
      <c r="C197" s="794"/>
      <c r="D197" s="794"/>
      <c r="E197" s="794"/>
      <c r="F197" s="794"/>
      <c r="G197" s="794"/>
      <c r="H197" s="794"/>
      <c r="I197" s="794"/>
      <c r="J197" s="794"/>
      <c r="K197" s="794"/>
      <c r="L197" s="794"/>
      <c r="M197" s="794"/>
      <c r="N197" s="794"/>
      <c r="O197" s="794"/>
      <c r="P197" s="794"/>
      <c r="Q197" s="794"/>
      <c r="R197" s="794"/>
      <c r="S197" s="794"/>
      <c r="T197" s="794"/>
      <c r="U197" s="794"/>
      <c r="V197" s="794"/>
      <c r="W197" s="794"/>
      <c r="X197" s="794"/>
      <c r="Y197" s="794"/>
      <c r="Z197" s="794"/>
      <c r="AA197" s="794"/>
      <c r="AB197" s="794"/>
      <c r="AC197" s="794"/>
      <c r="AD197" s="794"/>
      <c r="AE197"/>
    </row>
    <row r="198" spans="1:34" ht="15" customHeight="1">
      <c r="A198" s="103"/>
      <c r="B198" s="794" t="str">
        <f>IF(AQ190&gt;0,"Favor de ingresar una fecha válida y/o verifique que el formato solicitado esté correcto","")</f>
        <v/>
      </c>
      <c r="C198" s="794"/>
      <c r="D198" s="794"/>
      <c r="E198" s="794"/>
      <c r="F198" s="794"/>
      <c r="G198" s="794"/>
      <c r="H198" s="794"/>
      <c r="I198" s="794"/>
      <c r="J198" s="794"/>
      <c r="K198" s="794"/>
      <c r="L198" s="794"/>
      <c r="M198" s="794"/>
      <c r="N198" s="794"/>
      <c r="O198" s="794"/>
      <c r="P198" s="794"/>
      <c r="Q198" s="794"/>
      <c r="R198" s="794"/>
      <c r="S198" s="794"/>
      <c r="T198" s="794"/>
      <c r="U198" s="794"/>
      <c r="V198" s="794"/>
      <c r="W198" s="794"/>
      <c r="X198" s="794"/>
      <c r="Y198" s="794"/>
      <c r="Z198" s="794"/>
      <c r="AA198" s="794"/>
      <c r="AB198" s="794"/>
      <c r="AC198" s="794"/>
      <c r="AD198" s="794"/>
      <c r="AE198"/>
    </row>
    <row r="199" spans="1:34" ht="15" customHeight="1">
      <c r="A199" s="103"/>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row>
    <row r="200" spans="1:34" ht="24" customHeight="1">
      <c r="A200" s="49" t="s">
        <v>4014</v>
      </c>
      <c r="B200" s="829" t="s">
        <v>4015</v>
      </c>
      <c r="C200" s="829"/>
      <c r="D200" s="829"/>
      <c r="E200" s="829"/>
      <c r="F200" s="829"/>
      <c r="G200" s="829"/>
      <c r="H200" s="829"/>
      <c r="I200" s="829"/>
      <c r="J200" s="829"/>
      <c r="K200" s="829"/>
      <c r="L200" s="829"/>
      <c r="M200" s="829"/>
      <c r="N200" s="829"/>
      <c r="O200" s="829"/>
      <c r="P200" s="829"/>
      <c r="Q200" s="829"/>
      <c r="R200" s="829"/>
      <c r="S200" s="829"/>
      <c r="T200" s="829"/>
      <c r="U200" s="829"/>
      <c r="V200" s="829"/>
      <c r="W200" s="829"/>
      <c r="X200" s="829"/>
      <c r="Y200" s="829"/>
      <c r="Z200" s="829"/>
      <c r="AA200" s="829"/>
      <c r="AB200" s="829"/>
      <c r="AC200" s="829"/>
      <c r="AD200" s="829"/>
    </row>
    <row r="201" spans="1:34" ht="15" customHeight="1">
      <c r="A201" s="49"/>
      <c r="B201" s="57"/>
      <c r="C201" s="830" t="s">
        <v>3945</v>
      </c>
      <c r="D201" s="830"/>
      <c r="E201" s="830"/>
      <c r="F201" s="830"/>
      <c r="G201" s="830"/>
      <c r="H201" s="830"/>
      <c r="I201" s="830"/>
      <c r="J201" s="830"/>
      <c r="K201" s="830"/>
      <c r="L201" s="830"/>
      <c r="M201" s="830"/>
      <c r="N201" s="830"/>
      <c r="O201" s="830"/>
      <c r="P201" s="830"/>
      <c r="Q201" s="830"/>
      <c r="R201" s="830"/>
      <c r="S201" s="830"/>
      <c r="T201" s="830"/>
      <c r="U201" s="830"/>
      <c r="V201" s="830"/>
      <c r="W201" s="830"/>
      <c r="X201" s="830"/>
      <c r="Y201" s="830"/>
      <c r="Z201" s="830"/>
      <c r="AA201" s="830"/>
      <c r="AB201" s="830"/>
      <c r="AC201" s="830"/>
      <c r="AD201" s="830"/>
    </row>
    <row r="202" spans="1:34" ht="15" customHeight="1" thickBot="1">
      <c r="A202" s="49"/>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G202" s="499" t="s">
        <v>3947</v>
      </c>
      <c r="AH202" s="500" t="s">
        <v>4016</v>
      </c>
    </row>
    <row r="203" spans="1:34" ht="15" customHeight="1" thickBot="1">
      <c r="A203" s="49"/>
      <c r="B203" s="38"/>
      <c r="C203" s="137"/>
      <c r="D203" s="54" t="s">
        <v>4017</v>
      </c>
      <c r="E203" s="38"/>
      <c r="F203" s="38"/>
      <c r="G203" s="38"/>
      <c r="H203" s="38"/>
      <c r="I203" s="137"/>
      <c r="J203" s="54" t="s">
        <v>3950</v>
      </c>
      <c r="K203" s="38"/>
      <c r="L203" s="120"/>
      <c r="M203" s="54"/>
      <c r="N203" s="38"/>
      <c r="O203" s="38"/>
      <c r="P203" s="38"/>
      <c r="Q203" s="38"/>
      <c r="R203" s="38"/>
      <c r="S203" s="38"/>
      <c r="T203" s="137"/>
      <c r="U203" s="54" t="s">
        <v>3673</v>
      </c>
      <c r="V203" s="38"/>
      <c r="W203" s="38"/>
      <c r="X203" s="38"/>
      <c r="Y203" s="38"/>
      <c r="Z203" s="38"/>
      <c r="AA203" s="38"/>
      <c r="AB203" s="38"/>
      <c r="AC203" s="38"/>
      <c r="AD203" s="38"/>
      <c r="AG203">
        <f>IF(COUNTA(C203,I203,T203)=0,0,IF(COUNTA(C203,I203,T203)=1,0,1))</f>
        <v>0</v>
      </c>
      <c r="AH203" s="342">
        <f>IF(AND($C$190&lt;&gt;"",$C$190&lt;&gt;1,COUNTA(C203,I203,T203)&gt;0),1,0)</f>
        <v>0</v>
      </c>
    </row>
    <row r="204" spans="1:34" ht="15" customHeight="1">
      <c r="A204" s="49"/>
      <c r="B204" s="57"/>
      <c r="C204" s="57"/>
      <c r="D204" s="57"/>
      <c r="E204" s="57"/>
      <c r="F204" s="57"/>
      <c r="G204" s="57"/>
      <c r="H204" s="57"/>
      <c r="I204" s="57"/>
      <c r="J204" s="57"/>
      <c r="K204" s="57"/>
      <c r="L204" s="57"/>
      <c r="M204" s="57"/>
      <c r="N204" s="57"/>
      <c r="O204" s="57"/>
      <c r="P204" s="57"/>
      <c r="Q204" s="57"/>
      <c r="R204" s="57"/>
      <c r="S204" s="57"/>
      <c r="T204" s="57"/>
      <c r="U204" s="57"/>
      <c r="V204" s="57"/>
      <c r="W204" s="57"/>
      <c r="X204" s="57"/>
      <c r="Y204" s="57"/>
      <c r="Z204" s="57"/>
      <c r="AA204" s="57"/>
      <c r="AB204" s="57"/>
      <c r="AC204" s="57"/>
      <c r="AD204" s="57"/>
    </row>
    <row r="205" spans="1:34" ht="24" customHeight="1">
      <c r="A205" s="49"/>
      <c r="B205" s="57"/>
      <c r="C205" s="754" t="s">
        <v>2611</v>
      </c>
      <c r="D205" s="754"/>
      <c r="E205" s="754"/>
      <c r="F205" s="754"/>
      <c r="G205" s="754"/>
      <c r="H205" s="754"/>
      <c r="I205" s="754"/>
      <c r="J205" s="754"/>
      <c r="K205" s="754"/>
      <c r="L205" s="754"/>
      <c r="M205" s="754"/>
      <c r="N205" s="754"/>
      <c r="O205" s="754"/>
      <c r="P205" s="754"/>
      <c r="Q205" s="754"/>
      <c r="R205" s="754"/>
      <c r="S205" s="754"/>
      <c r="T205" s="754"/>
      <c r="U205" s="754"/>
      <c r="V205" s="754"/>
      <c r="W205" s="754"/>
      <c r="X205" s="754"/>
      <c r="Y205" s="754"/>
      <c r="Z205" s="754"/>
      <c r="AA205" s="754"/>
      <c r="AB205" s="754"/>
      <c r="AC205" s="754"/>
      <c r="AD205" s="754"/>
    </row>
    <row r="206" spans="1:34" ht="60" customHeight="1">
      <c r="A206" s="49"/>
      <c r="B206" s="57"/>
      <c r="C206" s="812"/>
      <c r="D206" s="812"/>
      <c r="E206" s="812"/>
      <c r="F206" s="812"/>
      <c r="G206" s="812"/>
      <c r="H206" s="812"/>
      <c r="I206" s="812"/>
      <c r="J206" s="812"/>
      <c r="K206" s="812"/>
      <c r="L206" s="812"/>
      <c r="M206" s="812"/>
      <c r="N206" s="812"/>
      <c r="O206" s="812"/>
      <c r="P206" s="812"/>
      <c r="Q206" s="812"/>
      <c r="R206" s="812"/>
      <c r="S206" s="812"/>
      <c r="T206" s="812"/>
      <c r="U206" s="812"/>
      <c r="V206" s="812"/>
      <c r="W206" s="812"/>
      <c r="X206" s="812"/>
      <c r="Y206" s="812"/>
      <c r="Z206" s="812"/>
      <c r="AA206" s="812"/>
      <c r="AB206" s="812"/>
      <c r="AC206" s="812"/>
      <c r="AD206" s="812"/>
    </row>
    <row r="207" spans="1:34" ht="15" customHeight="1">
      <c r="A207" s="103"/>
      <c r="B207" s="794" t="str">
        <f>IF(AG203&gt;0,"Favor de seleccionar solo un código","")</f>
        <v/>
      </c>
      <c r="C207" s="794"/>
      <c r="D207" s="794"/>
      <c r="E207" s="794"/>
      <c r="F207" s="794"/>
      <c r="G207" s="794"/>
      <c r="H207" s="794"/>
      <c r="I207" s="794"/>
      <c r="J207" s="794"/>
      <c r="K207" s="794"/>
      <c r="L207" s="794"/>
      <c r="M207" s="794"/>
      <c r="N207" s="794"/>
      <c r="O207" s="794"/>
      <c r="P207" s="794"/>
      <c r="Q207" s="794"/>
      <c r="R207" s="794"/>
      <c r="S207" s="794"/>
      <c r="T207" s="794"/>
      <c r="U207" s="794"/>
      <c r="V207" s="794"/>
      <c r="W207" s="794"/>
      <c r="X207" s="794"/>
      <c r="Y207" s="794"/>
      <c r="Z207" s="794"/>
      <c r="AA207" s="794"/>
      <c r="AB207" s="794"/>
      <c r="AC207" s="794"/>
      <c r="AD207" s="794"/>
    </row>
    <row r="208" spans="1:34" ht="15" customHeight="1">
      <c r="A208" s="103"/>
      <c r="B208" s="794" t="str">
        <f>IF(AH203&gt;0,"Favor de ingresar toda la información requerida en la pregunta y/o verifique que no tenga información en celdas sombreadas","")</f>
        <v/>
      </c>
      <c r="C208" s="794"/>
      <c r="D208" s="794"/>
      <c r="E208" s="794"/>
      <c r="F208" s="794"/>
      <c r="G208" s="794"/>
      <c r="H208" s="794"/>
      <c r="I208" s="794"/>
      <c r="J208" s="794"/>
      <c r="K208" s="794"/>
      <c r="L208" s="794"/>
      <c r="M208" s="794"/>
      <c r="N208" s="794"/>
      <c r="O208" s="794"/>
      <c r="P208" s="794"/>
      <c r="Q208" s="794"/>
      <c r="R208" s="794"/>
      <c r="S208" s="794"/>
      <c r="T208" s="794"/>
      <c r="U208" s="794"/>
      <c r="V208" s="794"/>
      <c r="W208" s="794"/>
      <c r="X208" s="794"/>
      <c r="Y208" s="794"/>
      <c r="Z208" s="794"/>
      <c r="AA208" s="794"/>
      <c r="AB208" s="794"/>
      <c r="AC208" s="794"/>
      <c r="AD208" s="794"/>
    </row>
    <row r="209" spans="1:34" ht="15" customHeight="1">
      <c r="A209" s="103"/>
      <c r="B209" s="57"/>
      <c r="C209" s="57"/>
      <c r="D209" s="57"/>
      <c r="E209" s="57"/>
      <c r="F209" s="57"/>
      <c r="G209" s="57"/>
      <c r="H209" s="57"/>
      <c r="I209" s="57"/>
      <c r="J209" s="57"/>
      <c r="K209" s="57"/>
      <c r="L209" s="57"/>
      <c r="M209" s="57"/>
      <c r="N209" s="57"/>
      <c r="O209" s="57"/>
      <c r="P209" s="57"/>
      <c r="Q209" s="57"/>
      <c r="R209" s="57"/>
      <c r="S209" s="57"/>
      <c r="T209" s="57"/>
      <c r="U209" s="57"/>
      <c r="V209" s="57"/>
      <c r="W209" s="57"/>
      <c r="X209" s="57"/>
      <c r="Y209" s="57"/>
      <c r="Z209" s="57"/>
      <c r="AA209" s="57"/>
      <c r="AB209" s="57"/>
      <c r="AC209" s="57"/>
      <c r="AD209" s="57"/>
    </row>
    <row r="210" spans="1:34" ht="15" customHeight="1">
      <c r="A210" s="103"/>
      <c r="B210" s="57"/>
      <c r="C210" s="57"/>
      <c r="D210" s="57"/>
      <c r="E210" s="57"/>
      <c r="F210" s="57"/>
      <c r="G210" s="57"/>
      <c r="H210" s="57"/>
      <c r="I210" s="57"/>
      <c r="J210" s="57"/>
      <c r="K210" s="57"/>
      <c r="L210" s="57"/>
      <c r="M210" s="57"/>
      <c r="N210" s="57"/>
      <c r="O210" s="57"/>
      <c r="P210" s="57"/>
      <c r="Q210" s="57"/>
      <c r="R210" s="57"/>
      <c r="S210" s="57"/>
      <c r="T210" s="57"/>
      <c r="U210" s="57"/>
      <c r="V210" s="57"/>
      <c r="W210" s="57"/>
      <c r="X210" s="57"/>
      <c r="Y210" s="57"/>
      <c r="Z210" s="57"/>
      <c r="AA210" s="57"/>
      <c r="AB210" s="57"/>
      <c r="AC210" s="57"/>
      <c r="AD210" s="57"/>
    </row>
    <row r="211" spans="1:34" ht="15" customHeight="1">
      <c r="A211" s="103"/>
      <c r="B211" s="57"/>
      <c r="C211" s="57"/>
      <c r="D211" s="57"/>
      <c r="E211" s="57"/>
      <c r="F211" s="57"/>
      <c r="G211" s="57"/>
      <c r="H211" s="57"/>
      <c r="I211" s="57"/>
      <c r="J211" s="57"/>
      <c r="K211" s="57"/>
      <c r="L211" s="57"/>
      <c r="M211" s="57"/>
      <c r="N211" s="57"/>
      <c r="O211" s="57"/>
      <c r="P211" s="57"/>
      <c r="Q211" s="57"/>
      <c r="R211" s="57"/>
      <c r="S211" s="57"/>
      <c r="T211" s="57"/>
      <c r="U211" s="57"/>
      <c r="V211" s="57"/>
      <c r="W211" s="57"/>
      <c r="X211" s="57"/>
      <c r="Y211" s="57"/>
      <c r="Z211" s="57"/>
      <c r="AA211" s="57"/>
      <c r="AB211" s="57"/>
      <c r="AC211" s="57"/>
      <c r="AD211" s="57"/>
    </row>
    <row r="212" spans="1:34" ht="15" customHeight="1">
      <c r="A212" s="103"/>
      <c r="B212" s="57"/>
      <c r="C212" s="57"/>
      <c r="D212" s="57"/>
      <c r="E212" s="57"/>
      <c r="F212" s="57"/>
      <c r="G212" s="57"/>
      <c r="H212" s="57"/>
      <c r="I212" s="57"/>
      <c r="J212" s="57"/>
      <c r="K212" s="57"/>
      <c r="L212" s="57"/>
      <c r="M212" s="57"/>
      <c r="N212" s="57"/>
      <c r="O212" s="57"/>
      <c r="P212" s="57"/>
      <c r="Q212" s="57"/>
      <c r="R212" s="57"/>
      <c r="S212" s="57"/>
      <c r="T212" s="57"/>
      <c r="U212" s="57"/>
      <c r="V212" s="57"/>
      <c r="W212" s="57"/>
      <c r="X212" s="57"/>
      <c r="Y212" s="57"/>
      <c r="Z212" s="57"/>
      <c r="AA212" s="57"/>
      <c r="AB212" s="57"/>
      <c r="AC212" s="57"/>
      <c r="AD212" s="57"/>
    </row>
    <row r="213" spans="1:34" ht="15" customHeight="1">
      <c r="A213" s="49" t="s">
        <v>4018</v>
      </c>
      <c r="B213" s="829" t="s">
        <v>4019</v>
      </c>
      <c r="C213" s="829"/>
      <c r="D213" s="829"/>
      <c r="E213" s="829"/>
      <c r="F213" s="829"/>
      <c r="G213" s="829"/>
      <c r="H213" s="829"/>
      <c r="I213" s="829"/>
      <c r="J213" s="829"/>
      <c r="K213" s="829"/>
      <c r="L213" s="829"/>
      <c r="M213" s="829"/>
      <c r="N213" s="829"/>
      <c r="O213" s="829"/>
      <c r="P213" s="829"/>
      <c r="Q213" s="829"/>
      <c r="R213" s="829"/>
      <c r="S213" s="829"/>
      <c r="T213" s="829"/>
      <c r="U213" s="829"/>
      <c r="V213" s="829"/>
      <c r="W213" s="829"/>
      <c r="X213" s="829"/>
      <c r="Y213" s="829"/>
      <c r="Z213" s="829"/>
      <c r="AA213" s="829"/>
      <c r="AB213" s="829"/>
      <c r="AC213" s="829"/>
      <c r="AD213" s="829"/>
    </row>
    <row r="214" spans="1:34" ht="15" customHeight="1">
      <c r="A214" s="103"/>
      <c r="B214" s="57"/>
      <c r="C214" s="830" t="s">
        <v>3945</v>
      </c>
      <c r="D214" s="830"/>
      <c r="E214" s="830"/>
      <c r="F214" s="830"/>
      <c r="G214" s="830"/>
      <c r="H214" s="830"/>
      <c r="I214" s="830"/>
      <c r="J214" s="830"/>
      <c r="K214" s="830"/>
      <c r="L214" s="830"/>
      <c r="M214" s="830"/>
      <c r="N214" s="830"/>
      <c r="O214" s="830"/>
      <c r="P214" s="830"/>
      <c r="Q214" s="830"/>
      <c r="R214" s="830"/>
      <c r="S214" s="830"/>
      <c r="T214" s="830"/>
      <c r="U214" s="830"/>
      <c r="V214" s="830"/>
      <c r="W214" s="830"/>
      <c r="X214" s="830"/>
      <c r="Y214" s="830"/>
      <c r="Z214" s="830"/>
      <c r="AA214" s="830"/>
      <c r="AB214" s="830"/>
      <c r="AC214" s="830"/>
      <c r="AD214" s="830"/>
    </row>
    <row r="215" spans="1:34" ht="24" customHeight="1">
      <c r="A215" s="49"/>
      <c r="B215" s="38"/>
      <c r="C215" s="754" t="s">
        <v>4020</v>
      </c>
      <c r="D215" s="754"/>
      <c r="E215" s="754"/>
      <c r="F215" s="754"/>
      <c r="G215" s="754"/>
      <c r="H215" s="754"/>
      <c r="I215" s="754"/>
      <c r="J215" s="754"/>
      <c r="K215" s="754"/>
      <c r="L215" s="754"/>
      <c r="M215" s="754"/>
      <c r="N215" s="754"/>
      <c r="O215" s="754"/>
      <c r="P215" s="754"/>
      <c r="Q215" s="754"/>
      <c r="R215" s="754"/>
      <c r="S215" s="754"/>
      <c r="T215" s="754"/>
      <c r="U215" s="754"/>
      <c r="V215" s="754"/>
      <c r="W215" s="754"/>
      <c r="X215" s="754"/>
      <c r="Y215" s="754"/>
      <c r="Z215" s="754"/>
      <c r="AA215" s="754"/>
      <c r="AB215" s="754"/>
      <c r="AC215" s="754"/>
      <c r="AD215" s="754"/>
    </row>
    <row r="216" spans="1:34" ht="15" customHeight="1" thickBot="1">
      <c r="A216" s="49"/>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c r="AC216" s="38"/>
      <c r="AD216" s="38"/>
      <c r="AG216" s="499" t="s">
        <v>3947</v>
      </c>
      <c r="AH216" s="500" t="s">
        <v>4016</v>
      </c>
    </row>
    <row r="217" spans="1:34" ht="15" customHeight="1" thickBot="1">
      <c r="A217" s="49"/>
      <c r="B217" s="38"/>
      <c r="C217" s="137"/>
      <c r="D217" s="54" t="s">
        <v>4021</v>
      </c>
      <c r="E217" s="38"/>
      <c r="F217" s="38"/>
      <c r="G217" s="38"/>
      <c r="H217" s="38"/>
      <c r="I217" s="38"/>
      <c r="J217" s="54"/>
      <c r="K217" s="38"/>
      <c r="L217" s="137"/>
      <c r="M217" s="160" t="s">
        <v>3950</v>
      </c>
      <c r="N217" s="38"/>
      <c r="O217" s="38"/>
      <c r="P217" s="38"/>
      <c r="Q217" s="38"/>
      <c r="R217" s="38"/>
      <c r="S217" s="38"/>
      <c r="T217" s="137"/>
      <c r="U217" s="54" t="s">
        <v>3673</v>
      </c>
      <c r="V217" s="38"/>
      <c r="W217" s="38"/>
      <c r="X217" s="38"/>
      <c r="Y217" s="38"/>
      <c r="Z217" s="38"/>
      <c r="AA217" s="38"/>
      <c r="AB217" s="38"/>
      <c r="AC217" s="38"/>
      <c r="AD217" s="38"/>
      <c r="AG217">
        <f>IF(COUNTA(C217,L217,T217)=0,0,IF(COUNTA(C217,L217,T217)=1,0,1))</f>
        <v>0</v>
      </c>
      <c r="AH217" s="342">
        <f>IF(AND($C$190&lt;&gt;"",$C$190&lt;&gt;1,COUNTA(C217,L217,T217)&gt;0),1,0)</f>
        <v>0</v>
      </c>
    </row>
    <row r="218" spans="1:34" ht="15" customHeight="1">
      <c r="A218" s="103"/>
      <c r="B218" s="57"/>
      <c r="C218" s="57"/>
      <c r="D218" s="57"/>
      <c r="E218" s="57"/>
      <c r="F218" s="57"/>
      <c r="G218" s="57"/>
      <c r="H218" s="57"/>
      <c r="I218" s="57"/>
      <c r="J218" s="57"/>
      <c r="K218" s="57"/>
      <c r="L218" s="57"/>
      <c r="M218" s="57"/>
      <c r="N218" s="57"/>
      <c r="O218" s="57"/>
      <c r="P218" s="57"/>
      <c r="Q218" s="57"/>
      <c r="R218" s="57"/>
      <c r="S218" s="57"/>
      <c r="T218" s="57"/>
      <c r="U218" s="57"/>
      <c r="V218" s="57"/>
      <c r="W218" s="57"/>
      <c r="X218" s="57"/>
      <c r="Y218" s="57"/>
      <c r="Z218" s="57"/>
      <c r="AA218" s="57"/>
      <c r="AB218" s="57"/>
      <c r="AC218" s="57"/>
      <c r="AD218" s="57"/>
    </row>
    <row r="219" spans="1:34" ht="24" customHeight="1">
      <c r="A219" s="103"/>
      <c r="B219" s="57"/>
      <c r="C219" s="754" t="s">
        <v>2611</v>
      </c>
      <c r="D219" s="754"/>
      <c r="E219" s="754"/>
      <c r="F219" s="754"/>
      <c r="G219" s="754"/>
      <c r="H219" s="754"/>
      <c r="I219" s="754"/>
      <c r="J219" s="754"/>
      <c r="K219" s="754"/>
      <c r="L219" s="754"/>
      <c r="M219" s="754"/>
      <c r="N219" s="754"/>
      <c r="O219" s="754"/>
      <c r="P219" s="754"/>
      <c r="Q219" s="754"/>
      <c r="R219" s="754"/>
      <c r="S219" s="754"/>
      <c r="T219" s="754"/>
      <c r="U219" s="754"/>
      <c r="V219" s="754"/>
      <c r="W219" s="754"/>
      <c r="X219" s="754"/>
      <c r="Y219" s="754"/>
      <c r="Z219" s="754"/>
      <c r="AA219" s="754"/>
      <c r="AB219" s="754"/>
      <c r="AC219" s="754"/>
      <c r="AD219" s="754"/>
    </row>
    <row r="220" spans="1:34" ht="60" customHeight="1">
      <c r="A220" s="103"/>
      <c r="B220" s="57"/>
      <c r="C220" s="851"/>
      <c r="D220" s="851"/>
      <c r="E220" s="851"/>
      <c r="F220" s="851"/>
      <c r="G220" s="851"/>
      <c r="H220" s="851"/>
      <c r="I220" s="851"/>
      <c r="J220" s="851"/>
      <c r="K220" s="851"/>
      <c r="L220" s="851"/>
      <c r="M220" s="851"/>
      <c r="N220" s="851"/>
      <c r="O220" s="851"/>
      <c r="P220" s="851"/>
      <c r="Q220" s="851"/>
      <c r="R220" s="851"/>
      <c r="S220" s="851"/>
      <c r="T220" s="851"/>
      <c r="U220" s="851"/>
      <c r="V220" s="851"/>
      <c r="W220" s="851"/>
      <c r="X220" s="851"/>
      <c r="Y220" s="851"/>
      <c r="Z220" s="851"/>
      <c r="AA220" s="851"/>
      <c r="AB220" s="851"/>
      <c r="AC220" s="851"/>
      <c r="AD220" s="851"/>
    </row>
    <row r="221" spans="1:34" ht="15" customHeight="1">
      <c r="A221" s="103"/>
      <c r="B221" s="794" t="str">
        <f>IF(AG217&gt;0,"Favor de seleccionar solo un código","")</f>
        <v/>
      </c>
      <c r="C221" s="794"/>
      <c r="D221" s="794"/>
      <c r="E221" s="794"/>
      <c r="F221" s="794"/>
      <c r="G221" s="794"/>
      <c r="H221" s="794"/>
      <c r="I221" s="794"/>
      <c r="J221" s="794"/>
      <c r="K221" s="794"/>
      <c r="L221" s="794"/>
      <c r="M221" s="794"/>
      <c r="N221" s="794"/>
      <c r="O221" s="794"/>
      <c r="P221" s="794"/>
      <c r="Q221" s="794"/>
      <c r="R221" s="794"/>
      <c r="S221" s="794"/>
      <c r="T221" s="794"/>
      <c r="U221" s="794"/>
      <c r="V221" s="794"/>
      <c r="W221" s="794"/>
      <c r="X221" s="794"/>
      <c r="Y221" s="794"/>
      <c r="Z221" s="794"/>
      <c r="AA221" s="794"/>
      <c r="AB221" s="794"/>
      <c r="AC221" s="794"/>
      <c r="AD221" s="794"/>
    </row>
    <row r="222" spans="1:34" ht="15" customHeight="1">
      <c r="A222" s="103"/>
      <c r="B222" s="794" t="str">
        <f>IF(AH217&gt;0,"Favor de ingresar toda la información requerida en la pregunta y/o verifique que no tenga información en celdas sombreadas","")</f>
        <v/>
      </c>
      <c r="C222" s="794"/>
      <c r="D222" s="794"/>
      <c r="E222" s="794"/>
      <c r="F222" s="794"/>
      <c r="G222" s="794"/>
      <c r="H222" s="794"/>
      <c r="I222" s="794"/>
      <c r="J222" s="794"/>
      <c r="K222" s="794"/>
      <c r="L222" s="794"/>
      <c r="M222" s="794"/>
      <c r="N222" s="794"/>
      <c r="O222" s="794"/>
      <c r="P222" s="794"/>
      <c r="Q222" s="794"/>
      <c r="R222" s="794"/>
      <c r="S222" s="794"/>
      <c r="T222" s="794"/>
      <c r="U222" s="794"/>
      <c r="V222" s="794"/>
      <c r="W222" s="794"/>
      <c r="X222" s="794"/>
      <c r="Y222" s="794"/>
      <c r="Z222" s="794"/>
      <c r="AA222" s="794"/>
      <c r="AB222" s="794"/>
      <c r="AC222" s="794"/>
      <c r="AD222" s="794"/>
    </row>
    <row r="223" spans="1:34" ht="15" customHeight="1">
      <c r="A223" s="103"/>
      <c r="B223" s="57"/>
      <c r="C223" s="57"/>
      <c r="D223" s="57"/>
      <c r="E223" s="57"/>
      <c r="F223" s="57"/>
      <c r="G223" s="57"/>
      <c r="H223" s="57"/>
      <c r="I223" s="57"/>
      <c r="J223" s="57"/>
      <c r="K223" s="57"/>
      <c r="L223" s="57"/>
      <c r="M223" s="57"/>
      <c r="N223" s="57"/>
      <c r="O223" s="57"/>
      <c r="P223" s="57"/>
      <c r="Q223" s="57"/>
      <c r="R223" s="57"/>
      <c r="S223" s="57"/>
      <c r="T223" s="57"/>
      <c r="U223" s="57"/>
      <c r="V223" s="57"/>
      <c r="W223" s="57"/>
      <c r="X223" s="57"/>
      <c r="Y223" s="57"/>
      <c r="Z223" s="57"/>
      <c r="AA223" s="57"/>
      <c r="AB223" s="57"/>
      <c r="AC223" s="57"/>
      <c r="AD223" s="57"/>
    </row>
    <row r="224" spans="1:34" ht="15" customHeight="1">
      <c r="A224" s="103"/>
      <c r="B224" s="57"/>
      <c r="C224" s="57"/>
      <c r="D224" s="57"/>
      <c r="E224" s="57"/>
      <c r="F224" s="57"/>
      <c r="G224" s="57"/>
      <c r="H224" s="57"/>
      <c r="I224" s="57"/>
      <c r="J224" s="57"/>
      <c r="K224" s="57"/>
      <c r="L224" s="57"/>
      <c r="M224" s="57"/>
      <c r="N224" s="57"/>
      <c r="O224" s="57"/>
      <c r="P224" s="57"/>
      <c r="Q224" s="57"/>
      <c r="R224" s="57"/>
      <c r="S224" s="57"/>
      <c r="T224" s="57"/>
      <c r="U224" s="57"/>
      <c r="V224" s="57"/>
      <c r="W224" s="57"/>
      <c r="X224" s="57"/>
      <c r="Y224" s="57"/>
      <c r="Z224" s="57"/>
      <c r="AA224" s="57"/>
      <c r="AB224" s="57"/>
      <c r="AC224" s="57"/>
      <c r="AD224" s="57"/>
    </row>
    <row r="225" spans="1:37" ht="15" customHeight="1">
      <c r="A225" s="103"/>
      <c r="B225" s="57"/>
      <c r="C225" s="57"/>
      <c r="D225" s="57"/>
      <c r="E225" s="57"/>
      <c r="F225" s="57"/>
      <c r="G225" s="57"/>
      <c r="H225" s="57"/>
      <c r="I225" s="57"/>
      <c r="J225" s="57"/>
      <c r="K225" s="57"/>
      <c r="L225" s="57"/>
      <c r="M225" s="57"/>
      <c r="N225" s="57"/>
      <c r="O225" s="57"/>
      <c r="P225" s="57"/>
      <c r="Q225" s="57"/>
      <c r="R225" s="57"/>
      <c r="S225" s="57"/>
      <c r="T225" s="57"/>
      <c r="U225" s="57"/>
      <c r="V225" s="57"/>
      <c r="W225" s="57"/>
      <c r="X225" s="57"/>
      <c r="Y225" s="57"/>
      <c r="Z225" s="57"/>
      <c r="AA225" s="57"/>
      <c r="AB225" s="57"/>
      <c r="AC225" s="57"/>
      <c r="AD225" s="57"/>
    </row>
    <row r="226" spans="1:37" ht="15" customHeight="1">
      <c r="A226" s="103"/>
      <c r="B226" s="57"/>
      <c r="C226" s="57"/>
      <c r="D226" s="57"/>
      <c r="E226" s="57"/>
      <c r="F226" s="57"/>
      <c r="G226" s="57"/>
      <c r="H226" s="57"/>
      <c r="I226" s="57"/>
      <c r="J226" s="57"/>
      <c r="K226" s="57"/>
      <c r="L226" s="57"/>
      <c r="M226" s="57"/>
      <c r="N226" s="57"/>
      <c r="O226" s="57"/>
      <c r="P226" s="57"/>
      <c r="Q226" s="57"/>
      <c r="R226" s="57"/>
      <c r="S226" s="57"/>
      <c r="T226" s="57"/>
      <c r="U226" s="57"/>
      <c r="V226" s="57"/>
      <c r="W226" s="57"/>
      <c r="X226" s="57"/>
      <c r="Y226" s="57"/>
      <c r="Z226" s="57"/>
      <c r="AA226" s="57"/>
      <c r="AB226" s="57"/>
      <c r="AC226" s="57"/>
      <c r="AD226" s="57"/>
    </row>
    <row r="227" spans="1:37" ht="24" customHeight="1">
      <c r="A227" s="49" t="s">
        <v>4022</v>
      </c>
      <c r="B227" s="829" t="s">
        <v>4023</v>
      </c>
      <c r="C227" s="829"/>
      <c r="D227" s="829"/>
      <c r="E227" s="829"/>
      <c r="F227" s="829"/>
      <c r="G227" s="829"/>
      <c r="H227" s="829"/>
      <c r="I227" s="829"/>
      <c r="J227" s="829"/>
      <c r="K227" s="829"/>
      <c r="L227" s="829"/>
      <c r="M227" s="829"/>
      <c r="N227" s="829"/>
      <c r="O227" s="829"/>
      <c r="P227" s="829"/>
      <c r="Q227" s="829"/>
      <c r="R227" s="829"/>
      <c r="S227" s="829"/>
      <c r="T227" s="829"/>
      <c r="U227" s="829"/>
      <c r="V227" s="829"/>
      <c r="W227" s="829"/>
      <c r="X227" s="829"/>
      <c r="Y227" s="829"/>
      <c r="Z227" s="829"/>
      <c r="AA227" s="829"/>
      <c r="AB227" s="829"/>
      <c r="AC227" s="829"/>
      <c r="AD227" s="829"/>
    </row>
    <row r="228" spans="1:37" ht="15" customHeight="1">
      <c r="A228" s="49"/>
      <c r="B228" s="105"/>
      <c r="C228" s="830" t="s">
        <v>3190</v>
      </c>
      <c r="D228" s="830"/>
      <c r="E228" s="830"/>
      <c r="F228" s="830"/>
      <c r="G228" s="830"/>
      <c r="H228" s="830"/>
      <c r="I228" s="830"/>
      <c r="J228" s="830"/>
      <c r="K228" s="830"/>
      <c r="L228" s="830"/>
      <c r="M228" s="830"/>
      <c r="N228" s="830"/>
      <c r="O228" s="830"/>
      <c r="P228" s="830"/>
      <c r="Q228" s="830"/>
      <c r="R228" s="830"/>
      <c r="S228" s="830"/>
      <c r="T228" s="830"/>
      <c r="U228" s="830"/>
      <c r="V228" s="830"/>
      <c r="W228" s="830"/>
      <c r="X228" s="830"/>
      <c r="Y228" s="830"/>
      <c r="Z228" s="830"/>
      <c r="AA228" s="830"/>
      <c r="AB228" s="830"/>
      <c r="AC228" s="830"/>
      <c r="AD228" s="830"/>
    </row>
    <row r="229" spans="1:37">
      <c r="A229" s="49"/>
      <c r="B229" s="38"/>
    </row>
    <row r="230" spans="1:37" ht="15" customHeight="1">
      <c r="A230" s="49"/>
      <c r="B230" s="38"/>
      <c r="C230" s="732" t="s">
        <v>3953</v>
      </c>
      <c r="D230" s="732"/>
      <c r="E230" s="732"/>
      <c r="F230" s="732"/>
      <c r="G230" s="732"/>
      <c r="H230" s="732"/>
      <c r="I230" s="732"/>
      <c r="J230" s="732"/>
      <c r="K230" s="732"/>
      <c r="L230" s="732"/>
      <c r="M230" s="732" t="s">
        <v>4024</v>
      </c>
      <c r="N230" s="732"/>
      <c r="O230" s="732"/>
      <c r="P230" s="732"/>
      <c r="Q230" s="732"/>
      <c r="R230" s="732"/>
      <c r="S230" s="732"/>
      <c r="T230" s="732"/>
      <c r="U230" s="732"/>
      <c r="V230" s="732"/>
      <c r="W230" s="732"/>
      <c r="X230" s="732"/>
      <c r="Y230" s="732"/>
      <c r="Z230" s="732"/>
      <c r="AA230" s="732"/>
      <c r="AB230" s="732"/>
      <c r="AC230" s="732"/>
      <c r="AD230" s="732"/>
    </row>
    <row r="231" spans="1:37">
      <c r="A231" s="49"/>
      <c r="B231" s="38"/>
      <c r="C231" s="732"/>
      <c r="D231" s="732"/>
      <c r="E231" s="732"/>
      <c r="F231" s="732"/>
      <c r="G231" s="732"/>
      <c r="H231" s="732"/>
      <c r="I231" s="732"/>
      <c r="J231" s="732"/>
      <c r="K231" s="732"/>
      <c r="L231" s="732"/>
      <c r="M231" s="732" t="s">
        <v>2628</v>
      </c>
      <c r="N231" s="732"/>
      <c r="O231" s="732"/>
      <c r="P231" s="732"/>
      <c r="Q231" s="732"/>
      <c r="R231" s="732"/>
      <c r="S231" s="736" t="s">
        <v>2629</v>
      </c>
      <c r="T231" s="736"/>
      <c r="U231" s="736"/>
      <c r="V231" s="736"/>
      <c r="W231" s="736"/>
      <c r="X231" s="736"/>
      <c r="Y231" s="733" t="s">
        <v>2630</v>
      </c>
      <c r="Z231" s="734"/>
      <c r="AA231" s="734"/>
      <c r="AB231" s="734"/>
      <c r="AC231" s="734"/>
      <c r="AD231" s="735"/>
      <c r="AG231" s="354" t="s">
        <v>2586</v>
      </c>
      <c r="AH231" s="282" t="s">
        <v>2590</v>
      </c>
      <c r="AI231" s="280" t="s">
        <v>3262</v>
      </c>
      <c r="AJ231" s="281" t="s">
        <v>3263</v>
      </c>
      <c r="AK231" s="365" t="s">
        <v>4016</v>
      </c>
    </row>
    <row r="232" spans="1:37" ht="15" customHeight="1">
      <c r="A232" s="49"/>
      <c r="B232" s="38"/>
      <c r="C232" s="97" t="s">
        <v>2516</v>
      </c>
      <c r="D232" s="813" t="s">
        <v>3192</v>
      </c>
      <c r="E232" s="814"/>
      <c r="F232" s="814"/>
      <c r="G232" s="814"/>
      <c r="H232" s="814"/>
      <c r="I232" s="814"/>
      <c r="J232" s="814"/>
      <c r="K232" s="814"/>
      <c r="L232" s="815"/>
      <c r="M232" s="749"/>
      <c r="N232" s="749"/>
      <c r="O232" s="749"/>
      <c r="P232" s="749"/>
      <c r="Q232" s="749"/>
      <c r="R232" s="749"/>
      <c r="S232" s="749"/>
      <c r="T232" s="749"/>
      <c r="U232" s="749"/>
      <c r="V232" s="749"/>
      <c r="W232" s="749"/>
      <c r="X232" s="749"/>
      <c r="Y232" s="816"/>
      <c r="Z232" s="738"/>
      <c r="AA232" s="738"/>
      <c r="AB232" s="738"/>
      <c r="AC232" s="738"/>
      <c r="AD232" s="817"/>
      <c r="AG232" s="326">
        <f>IF(AND($C$190&lt;&gt;"",$C$190&lt;&gt;1,COUNTA(M232:AD241)=0),0,IF(AND($C$190&lt;&gt;"",$C$190=1,$C$217="",COUNTA(M232:AD241)=30),0,IF(AND($C$190&lt;&gt;"",$C$190=1,$C$217="X",COUNTA(M232:AD241)=0),0,IF(COUNTA(M232:AD241)=0,0,1))))</f>
        <v>0</v>
      </c>
      <c r="AH232" s="283">
        <f>COUNTIF(S232:AD232,"NS")</f>
        <v>0</v>
      </c>
      <c r="AI232" s="283">
        <f>SUM(S232:AD232)</f>
        <v>0</v>
      </c>
      <c r="AJ232" s="283">
        <f>IF(COUNTIF(M232:AD232,"NA")=3,0,IF(COUNTA(M232:AD232)=0,0,IF(OR(AND(M232=0,AH232&gt;0),AND(M232="ns",AI232&gt;0),AND(M232="ns",AH232=0,AI232=0)),1,IF(OR(AND(M232&gt;0,AH232=2),AND(M232="ns",AH232=2),AND(M232="ns",AI232=0,AH232&gt;0),M232=AI232),0,1))))</f>
        <v>0</v>
      </c>
      <c r="AK232" s="342">
        <f>IF(AND($C$190&lt;&gt;"",$C$190&lt;&gt;1,COUNTA(M232:AD241)&gt;0),1,0)</f>
        <v>0</v>
      </c>
    </row>
    <row r="233" spans="1:37" ht="15" customHeight="1">
      <c r="A233" s="49"/>
      <c r="B233" s="38"/>
      <c r="C233" s="143" t="s">
        <v>2517</v>
      </c>
      <c r="D233" s="813" t="s">
        <v>3193</v>
      </c>
      <c r="E233" s="814"/>
      <c r="F233" s="814"/>
      <c r="G233" s="814"/>
      <c r="H233" s="814"/>
      <c r="I233" s="814"/>
      <c r="J233" s="814"/>
      <c r="K233" s="814"/>
      <c r="L233" s="815"/>
      <c r="M233" s="749"/>
      <c r="N233" s="749"/>
      <c r="O233" s="749"/>
      <c r="P233" s="749"/>
      <c r="Q233" s="749"/>
      <c r="R233" s="749"/>
      <c r="S233" s="749"/>
      <c r="T233" s="749"/>
      <c r="U233" s="749"/>
      <c r="V233" s="749"/>
      <c r="W233" s="749"/>
      <c r="X233" s="749"/>
      <c r="Y233" s="816"/>
      <c r="Z233" s="738"/>
      <c r="AA233" s="738"/>
      <c r="AB233" s="738"/>
      <c r="AC233" s="738"/>
      <c r="AD233" s="817"/>
      <c r="AH233" s="283">
        <f t="shared" ref="AH233:AH241" si="10">COUNTIF(S233:AD233,"NS")</f>
        <v>0</v>
      </c>
      <c r="AI233" s="283">
        <f t="shared" ref="AI233:AI241" si="11">SUM(S233:AD233)</f>
        <v>0</v>
      </c>
      <c r="AJ233" s="283">
        <f t="shared" ref="AJ233:AJ241" si="12">IF(COUNTIF(M233:AD233,"NA")=3,0,IF(COUNTA(M233:AD233)=0,0,IF(OR(AND(M233=0,AH233&gt;0),AND(M233="ns",AI233&gt;0),AND(M233="ns",AH233=0,AI233=0)),1,IF(OR(AND(M233&gt;0,AH233=2),AND(M233="ns",AH233=2),AND(M233="ns",AI233=0,AH233&gt;0),M233=AI233),0,1))))</f>
        <v>0</v>
      </c>
    </row>
    <row r="234" spans="1:37" ht="15" customHeight="1">
      <c r="A234" s="49"/>
      <c r="B234" s="38"/>
      <c r="C234" s="143" t="s">
        <v>2518</v>
      </c>
      <c r="D234" s="813" t="s">
        <v>3194</v>
      </c>
      <c r="E234" s="814"/>
      <c r="F234" s="814"/>
      <c r="G234" s="814"/>
      <c r="H234" s="814"/>
      <c r="I234" s="814"/>
      <c r="J234" s="814"/>
      <c r="K234" s="814"/>
      <c r="L234" s="815"/>
      <c r="M234" s="749"/>
      <c r="N234" s="749"/>
      <c r="O234" s="749"/>
      <c r="P234" s="749"/>
      <c r="Q234" s="749"/>
      <c r="R234" s="749"/>
      <c r="S234" s="749"/>
      <c r="T234" s="749"/>
      <c r="U234" s="749"/>
      <c r="V234" s="749"/>
      <c r="W234" s="749"/>
      <c r="X234" s="749"/>
      <c r="Y234" s="816"/>
      <c r="Z234" s="738"/>
      <c r="AA234" s="738"/>
      <c r="AB234" s="738"/>
      <c r="AC234" s="738"/>
      <c r="AD234" s="817"/>
      <c r="AH234" s="283">
        <f t="shared" si="10"/>
        <v>0</v>
      </c>
      <c r="AI234" s="283">
        <f t="shared" si="11"/>
        <v>0</v>
      </c>
      <c r="AJ234" s="283">
        <f t="shared" si="12"/>
        <v>0</v>
      </c>
    </row>
    <row r="235" spans="1:37" ht="15" customHeight="1">
      <c r="A235" s="49"/>
      <c r="B235" s="38"/>
      <c r="C235" s="143" t="s">
        <v>2519</v>
      </c>
      <c r="D235" s="813" t="s">
        <v>3195</v>
      </c>
      <c r="E235" s="814"/>
      <c r="F235" s="814"/>
      <c r="G235" s="814"/>
      <c r="H235" s="814"/>
      <c r="I235" s="814"/>
      <c r="J235" s="814"/>
      <c r="K235" s="814"/>
      <c r="L235" s="815"/>
      <c r="M235" s="749"/>
      <c r="N235" s="749"/>
      <c r="O235" s="749"/>
      <c r="P235" s="749"/>
      <c r="Q235" s="749"/>
      <c r="R235" s="749"/>
      <c r="S235" s="749"/>
      <c r="T235" s="749"/>
      <c r="U235" s="749"/>
      <c r="V235" s="749"/>
      <c r="W235" s="749"/>
      <c r="X235" s="749"/>
      <c r="Y235" s="816"/>
      <c r="Z235" s="738"/>
      <c r="AA235" s="738"/>
      <c r="AB235" s="738"/>
      <c r="AC235" s="738"/>
      <c r="AD235" s="817"/>
      <c r="AH235" s="283">
        <f t="shared" si="10"/>
        <v>0</v>
      </c>
      <c r="AI235" s="283">
        <f t="shared" si="11"/>
        <v>0</v>
      </c>
      <c r="AJ235" s="283">
        <f t="shared" si="12"/>
        <v>0</v>
      </c>
    </row>
    <row r="236" spans="1:37" ht="15" customHeight="1">
      <c r="A236" s="49"/>
      <c r="B236" s="38"/>
      <c r="C236" s="143" t="s">
        <v>2520</v>
      </c>
      <c r="D236" s="813" t="s">
        <v>3196</v>
      </c>
      <c r="E236" s="814"/>
      <c r="F236" s="814"/>
      <c r="G236" s="814"/>
      <c r="H236" s="814"/>
      <c r="I236" s="814"/>
      <c r="J236" s="814"/>
      <c r="K236" s="814"/>
      <c r="L236" s="815"/>
      <c r="M236" s="749"/>
      <c r="N236" s="749"/>
      <c r="O236" s="749"/>
      <c r="P236" s="749"/>
      <c r="Q236" s="749"/>
      <c r="R236" s="749"/>
      <c r="S236" s="749"/>
      <c r="T236" s="749"/>
      <c r="U236" s="749"/>
      <c r="V236" s="749"/>
      <c r="W236" s="749"/>
      <c r="X236" s="749"/>
      <c r="Y236" s="816"/>
      <c r="Z236" s="738"/>
      <c r="AA236" s="738"/>
      <c r="AB236" s="738"/>
      <c r="AC236" s="738"/>
      <c r="AD236" s="817"/>
      <c r="AH236" s="283">
        <f t="shared" si="10"/>
        <v>0</v>
      </c>
      <c r="AI236" s="283">
        <f t="shared" si="11"/>
        <v>0</v>
      </c>
      <c r="AJ236" s="283">
        <f t="shared" si="12"/>
        <v>0</v>
      </c>
    </row>
    <row r="237" spans="1:37" ht="15" customHeight="1">
      <c r="A237" s="49"/>
      <c r="B237" s="38"/>
      <c r="C237" s="143" t="s">
        <v>2521</v>
      </c>
      <c r="D237" s="813" t="s">
        <v>3197</v>
      </c>
      <c r="E237" s="814"/>
      <c r="F237" s="814"/>
      <c r="G237" s="814"/>
      <c r="H237" s="814"/>
      <c r="I237" s="814"/>
      <c r="J237" s="814"/>
      <c r="K237" s="814"/>
      <c r="L237" s="815"/>
      <c r="M237" s="749"/>
      <c r="N237" s="749"/>
      <c r="O237" s="749"/>
      <c r="P237" s="749"/>
      <c r="Q237" s="749"/>
      <c r="R237" s="749"/>
      <c r="S237" s="749"/>
      <c r="T237" s="749"/>
      <c r="U237" s="749"/>
      <c r="V237" s="749"/>
      <c r="W237" s="749"/>
      <c r="X237" s="749"/>
      <c r="Y237" s="816"/>
      <c r="Z237" s="738"/>
      <c r="AA237" s="738"/>
      <c r="AB237" s="738"/>
      <c r="AC237" s="738"/>
      <c r="AD237" s="817"/>
      <c r="AH237" s="283">
        <f t="shared" si="10"/>
        <v>0</v>
      </c>
      <c r="AI237" s="283">
        <f t="shared" si="11"/>
        <v>0</v>
      </c>
      <c r="AJ237" s="283">
        <f t="shared" si="12"/>
        <v>0</v>
      </c>
    </row>
    <row r="238" spans="1:37" ht="15" customHeight="1">
      <c r="A238" s="49"/>
      <c r="B238" s="38"/>
      <c r="C238" s="143" t="s">
        <v>2522</v>
      </c>
      <c r="D238" s="813" t="s">
        <v>3198</v>
      </c>
      <c r="E238" s="814"/>
      <c r="F238" s="814"/>
      <c r="G238" s="814"/>
      <c r="H238" s="814"/>
      <c r="I238" s="814"/>
      <c r="J238" s="814"/>
      <c r="K238" s="814"/>
      <c r="L238" s="815"/>
      <c r="M238" s="749"/>
      <c r="N238" s="749"/>
      <c r="O238" s="749"/>
      <c r="P238" s="749"/>
      <c r="Q238" s="749"/>
      <c r="R238" s="749"/>
      <c r="S238" s="749"/>
      <c r="T238" s="749"/>
      <c r="U238" s="749"/>
      <c r="V238" s="749"/>
      <c r="W238" s="749"/>
      <c r="X238" s="749"/>
      <c r="Y238" s="816"/>
      <c r="Z238" s="738"/>
      <c r="AA238" s="738"/>
      <c r="AB238" s="738"/>
      <c r="AC238" s="738"/>
      <c r="AD238" s="817"/>
      <c r="AH238" s="283">
        <f t="shared" si="10"/>
        <v>0</v>
      </c>
      <c r="AI238" s="283">
        <f t="shared" si="11"/>
        <v>0</v>
      </c>
      <c r="AJ238" s="283">
        <f t="shared" si="12"/>
        <v>0</v>
      </c>
    </row>
    <row r="239" spans="1:37" ht="15" customHeight="1">
      <c r="A239" s="49"/>
      <c r="B239" s="38"/>
      <c r="C239" s="143" t="s">
        <v>2523</v>
      </c>
      <c r="D239" s="813" t="s">
        <v>3199</v>
      </c>
      <c r="E239" s="814"/>
      <c r="F239" s="814"/>
      <c r="G239" s="814"/>
      <c r="H239" s="814"/>
      <c r="I239" s="814"/>
      <c r="J239" s="814"/>
      <c r="K239" s="814"/>
      <c r="L239" s="815"/>
      <c r="M239" s="749"/>
      <c r="N239" s="749"/>
      <c r="O239" s="749"/>
      <c r="P239" s="749"/>
      <c r="Q239" s="749"/>
      <c r="R239" s="749"/>
      <c r="S239" s="749"/>
      <c r="T239" s="749"/>
      <c r="U239" s="749"/>
      <c r="V239" s="749"/>
      <c r="W239" s="749"/>
      <c r="X239" s="749"/>
      <c r="Y239" s="816"/>
      <c r="Z239" s="738"/>
      <c r="AA239" s="738"/>
      <c r="AB239" s="738"/>
      <c r="AC239" s="738"/>
      <c r="AD239" s="817"/>
      <c r="AH239" s="283">
        <f t="shared" si="10"/>
        <v>0</v>
      </c>
      <c r="AI239" s="283">
        <f t="shared" si="11"/>
        <v>0</v>
      </c>
      <c r="AJ239" s="283">
        <f t="shared" si="12"/>
        <v>0</v>
      </c>
    </row>
    <row r="240" spans="1:37" ht="15" customHeight="1">
      <c r="A240" s="49"/>
      <c r="B240" s="38"/>
      <c r="C240" s="143" t="s">
        <v>2524</v>
      </c>
      <c r="D240" s="813" t="s">
        <v>3200</v>
      </c>
      <c r="E240" s="814"/>
      <c r="F240" s="814"/>
      <c r="G240" s="814"/>
      <c r="H240" s="814"/>
      <c r="I240" s="814"/>
      <c r="J240" s="814"/>
      <c r="K240" s="814"/>
      <c r="L240" s="815"/>
      <c r="M240" s="749"/>
      <c r="N240" s="749"/>
      <c r="O240" s="749"/>
      <c r="P240" s="749"/>
      <c r="Q240" s="749"/>
      <c r="R240" s="749"/>
      <c r="S240" s="749"/>
      <c r="T240" s="749"/>
      <c r="U240" s="749"/>
      <c r="V240" s="749"/>
      <c r="W240" s="749"/>
      <c r="X240" s="749"/>
      <c r="Y240" s="816"/>
      <c r="Z240" s="738"/>
      <c r="AA240" s="738"/>
      <c r="AB240" s="738"/>
      <c r="AC240" s="738"/>
      <c r="AD240" s="817"/>
      <c r="AH240" s="283">
        <f t="shared" si="10"/>
        <v>0</v>
      </c>
      <c r="AI240" s="283">
        <f t="shared" si="11"/>
        <v>0</v>
      </c>
      <c r="AJ240" s="283">
        <f t="shared" si="12"/>
        <v>0</v>
      </c>
    </row>
    <row r="241" spans="1:45" ht="15" customHeight="1">
      <c r="A241" s="49"/>
      <c r="B241" s="38"/>
      <c r="C241" s="44" t="s">
        <v>3955</v>
      </c>
      <c r="D241" s="796" t="s">
        <v>201</v>
      </c>
      <c r="E241" s="796"/>
      <c r="F241" s="796"/>
      <c r="G241" s="796"/>
      <c r="H241" s="796"/>
      <c r="I241" s="796"/>
      <c r="J241" s="796"/>
      <c r="K241" s="796"/>
      <c r="L241" s="796"/>
      <c r="M241" s="749"/>
      <c r="N241" s="749"/>
      <c r="O241" s="749"/>
      <c r="P241" s="749"/>
      <c r="Q241" s="749"/>
      <c r="R241" s="749"/>
      <c r="S241" s="749"/>
      <c r="T241" s="749"/>
      <c r="U241" s="749"/>
      <c r="V241" s="749"/>
      <c r="W241" s="749"/>
      <c r="X241" s="749"/>
      <c r="Y241" s="816"/>
      <c r="Z241" s="738"/>
      <c r="AA241" s="738"/>
      <c r="AB241" s="738"/>
      <c r="AC241" s="738"/>
      <c r="AD241" s="817"/>
      <c r="AH241" s="283">
        <f t="shared" si="10"/>
        <v>0</v>
      </c>
      <c r="AI241" s="283">
        <f t="shared" si="11"/>
        <v>0</v>
      </c>
      <c r="AJ241" s="283">
        <f t="shared" si="12"/>
        <v>0</v>
      </c>
    </row>
    <row r="242" spans="1:45">
      <c r="A242" s="49"/>
      <c r="B242" s="38"/>
      <c r="C242" s="51"/>
      <c r="D242" s="51"/>
      <c r="E242" s="57"/>
      <c r="F242" s="57"/>
      <c r="G242" s="57"/>
      <c r="H242" s="57"/>
      <c r="I242" s="57"/>
      <c r="J242" s="57"/>
      <c r="K242" s="57"/>
      <c r="L242" s="99" t="s">
        <v>2649</v>
      </c>
      <c r="M242" s="736">
        <f>IF(AND(SUM(M232:R241)=0,COUNTIF(M232:R241,"NS")&gt;0),"NS",
IF(AND(SUM(M232:R241)=0,COUNTIF(M232:R241,0)&gt;0),0,
IF(AND(SUM(M232:R241)=0,COUNTIF(M232:R241,"NA")&gt;0),"NA",
SUM(M232:R241))))</f>
        <v>0</v>
      </c>
      <c r="N242" s="736"/>
      <c r="O242" s="736"/>
      <c r="P242" s="736"/>
      <c r="Q242" s="736"/>
      <c r="R242" s="736"/>
      <c r="S242" s="736">
        <f t="shared" ref="S242" si="13">IF(AND(SUM(S232:X241)=0,COUNTIF(S232:X241,"NS")&gt;0),"NS",
IF(AND(SUM(S232:X241)=0,COUNTIF(S232:X241,0)&gt;0),0,
IF(AND(SUM(S232:X241)=0,COUNTIF(S232:X241,"NA")&gt;0),"NA",
SUM(S232:X241))))</f>
        <v>0</v>
      </c>
      <c r="T242" s="736"/>
      <c r="U242" s="736"/>
      <c r="V242" s="736"/>
      <c r="W242" s="736"/>
      <c r="X242" s="736"/>
      <c r="Y242" s="736">
        <f t="shared" ref="Y242" si="14">IF(AND(SUM(Y232:AD241)=0,COUNTIF(Y232:AD241,"NS")&gt;0),"NS",
IF(AND(SUM(Y232:AD241)=0,COUNTIF(Y232:AD241,0)&gt;0),0,
IF(AND(SUM(Y232:AD241)=0,COUNTIF(Y232:AD241,"NA")&gt;0),"NA",
SUM(Y232:AD241))))</f>
        <v>0</v>
      </c>
      <c r="Z242" s="736"/>
      <c r="AA242" s="736"/>
      <c r="AB242" s="736"/>
      <c r="AC242" s="736"/>
      <c r="AD242" s="736"/>
      <c r="AH242" s="350">
        <f>SUM(AH232:AH241)</f>
        <v>0</v>
      </c>
      <c r="AI242" s="351">
        <f>SUM(AI232:AI241)</f>
        <v>0</v>
      </c>
      <c r="AJ242" s="352">
        <f>SUM(AJ232:AJ241)</f>
        <v>0</v>
      </c>
    </row>
    <row r="243" spans="1:45" ht="15" customHeight="1">
      <c r="A243" s="49"/>
      <c r="B243" s="38"/>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51"/>
      <c r="AA243" s="51"/>
      <c r="AB243" s="51"/>
      <c r="AC243" s="51"/>
      <c r="AD243" s="51"/>
    </row>
    <row r="244" spans="1:45" ht="24" customHeight="1">
      <c r="A244" s="49"/>
      <c r="B244" s="38"/>
      <c r="C244" s="754" t="s">
        <v>2611</v>
      </c>
      <c r="D244" s="754"/>
      <c r="E244" s="754"/>
      <c r="F244" s="754"/>
      <c r="G244" s="754"/>
      <c r="H244" s="754"/>
      <c r="I244" s="754"/>
      <c r="J244" s="754"/>
      <c r="K244" s="754"/>
      <c r="L244" s="754"/>
      <c r="M244" s="754"/>
      <c r="N244" s="754"/>
      <c r="O244" s="754"/>
      <c r="P244" s="754"/>
      <c r="Q244" s="754"/>
      <c r="R244" s="754"/>
      <c r="S244" s="754"/>
      <c r="T244" s="754"/>
      <c r="U244" s="754"/>
      <c r="V244" s="754"/>
      <c r="W244" s="754"/>
      <c r="X244" s="754"/>
      <c r="Y244" s="754"/>
      <c r="Z244" s="754"/>
      <c r="AA244" s="754"/>
      <c r="AB244" s="754"/>
      <c r="AC244" s="754"/>
      <c r="AD244" s="754"/>
    </row>
    <row r="245" spans="1:45" ht="60" customHeight="1">
      <c r="A245" s="49"/>
      <c r="B245" s="38"/>
      <c r="C245" s="851"/>
      <c r="D245" s="851"/>
      <c r="E245" s="851"/>
      <c r="F245" s="851"/>
      <c r="G245" s="851"/>
      <c r="H245" s="851"/>
      <c r="I245" s="851"/>
      <c r="J245" s="851"/>
      <c r="K245" s="851"/>
      <c r="L245" s="851"/>
      <c r="M245" s="851"/>
      <c r="N245" s="851"/>
      <c r="O245" s="851"/>
      <c r="P245" s="851"/>
      <c r="Q245" s="851"/>
      <c r="R245" s="851"/>
      <c r="S245" s="851"/>
      <c r="T245" s="851"/>
      <c r="U245" s="851"/>
      <c r="V245" s="851"/>
      <c r="W245" s="851"/>
      <c r="X245" s="851"/>
      <c r="Y245" s="851"/>
      <c r="Z245" s="851"/>
      <c r="AA245" s="851"/>
      <c r="AB245" s="851"/>
      <c r="AC245" s="851"/>
      <c r="AD245" s="851"/>
    </row>
    <row r="246" spans="1:45" ht="15" customHeight="1">
      <c r="A246" s="49"/>
      <c r="B246" s="794" t="str">
        <f>IF(AG232&gt;0,"Favor de ingresar toda la información requerida en la pregunta y/o verifique que no tenga información en celdas sombreadas","")</f>
        <v/>
      </c>
      <c r="C246" s="794"/>
      <c r="D246" s="794"/>
      <c r="E246" s="794"/>
      <c r="F246" s="794"/>
      <c r="G246" s="794"/>
      <c r="H246" s="794"/>
      <c r="I246" s="794"/>
      <c r="J246" s="794"/>
      <c r="K246" s="794"/>
      <c r="L246" s="794"/>
      <c r="M246" s="794"/>
      <c r="N246" s="794"/>
      <c r="O246" s="794"/>
      <c r="P246" s="794"/>
      <c r="Q246" s="794"/>
      <c r="R246" s="794"/>
      <c r="S246" s="794"/>
      <c r="T246" s="794"/>
      <c r="U246" s="794"/>
      <c r="V246" s="794"/>
      <c r="W246" s="794"/>
      <c r="X246" s="794"/>
      <c r="Y246" s="794"/>
      <c r="Z246" s="794"/>
      <c r="AA246" s="794"/>
      <c r="AB246" s="794"/>
      <c r="AC246" s="794"/>
      <c r="AD246" s="794"/>
    </row>
    <row r="247" spans="1:45" ht="15" customHeight="1">
      <c r="A247" s="49"/>
      <c r="B247" s="795" t="str">
        <f>IF(AH242&gt;0,"Alerta: debido a que cuenta con registros NS, debe proporcionar una justificación en el area de comentarios al final de la pregunta","")</f>
        <v/>
      </c>
      <c r="C247" s="795"/>
      <c r="D247" s="795"/>
      <c r="E247" s="795"/>
      <c r="F247" s="795"/>
      <c r="G247" s="795"/>
      <c r="H247" s="795"/>
      <c r="I247" s="795"/>
      <c r="J247" s="795"/>
      <c r="K247" s="795"/>
      <c r="L247" s="795"/>
      <c r="M247" s="795"/>
      <c r="N247" s="795"/>
      <c r="O247" s="795"/>
      <c r="P247" s="795"/>
      <c r="Q247" s="795"/>
      <c r="R247" s="795"/>
      <c r="S247" s="795"/>
      <c r="T247" s="795"/>
      <c r="U247" s="795"/>
      <c r="V247" s="795"/>
      <c r="W247" s="795"/>
      <c r="X247" s="795"/>
      <c r="Y247" s="795"/>
      <c r="Z247" s="795"/>
      <c r="AA247" s="795"/>
      <c r="AB247" s="795"/>
      <c r="AC247" s="795"/>
      <c r="AD247" s="795"/>
    </row>
    <row r="248" spans="1:45" ht="15" customHeight="1">
      <c r="A248" s="49"/>
      <c r="B248" s="794" t="str">
        <f>IF(AJ242&gt;0,"Favor de revisar la suma y consistencia de totales y/o subtotales por filas (numéricos y NS)","")</f>
        <v/>
      </c>
      <c r="C248" s="794"/>
      <c r="D248" s="794"/>
      <c r="E248" s="794"/>
      <c r="F248" s="794"/>
      <c r="G248" s="794"/>
      <c r="H248" s="794"/>
      <c r="I248" s="794"/>
      <c r="J248" s="794"/>
      <c r="K248" s="794"/>
      <c r="L248" s="794"/>
      <c r="M248" s="794"/>
      <c r="N248" s="794"/>
      <c r="O248" s="794"/>
      <c r="P248" s="794"/>
      <c r="Q248" s="794"/>
      <c r="R248" s="794"/>
      <c r="S248" s="794"/>
      <c r="T248" s="794"/>
      <c r="U248" s="794"/>
      <c r="V248" s="794"/>
      <c r="W248" s="794"/>
      <c r="X248" s="794"/>
      <c r="Y248" s="794"/>
      <c r="Z248" s="794"/>
      <c r="AA248" s="794"/>
      <c r="AB248" s="794"/>
      <c r="AC248" s="794"/>
      <c r="AD248" s="794"/>
    </row>
    <row r="249" spans="1:45" ht="15" customHeight="1">
      <c r="A249" s="49"/>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c r="AC249" s="38"/>
      <c r="AD249" s="38"/>
    </row>
    <row r="250" spans="1:45" ht="15" customHeight="1">
      <c r="A250" s="49"/>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c r="AA250" s="38"/>
      <c r="AB250" s="38"/>
      <c r="AC250" s="38"/>
      <c r="AD250" s="38"/>
    </row>
    <row r="251" spans="1:45" ht="15" customHeight="1">
      <c r="A251" s="49"/>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c r="AA251" s="38"/>
      <c r="AB251" s="38"/>
      <c r="AC251" s="38"/>
      <c r="AD251" s="38"/>
    </row>
    <row r="252" spans="1:45" ht="24" customHeight="1">
      <c r="A252" s="49" t="s">
        <v>4025</v>
      </c>
      <c r="B252" s="829" t="s">
        <v>4026</v>
      </c>
      <c r="C252" s="829"/>
      <c r="D252" s="829"/>
      <c r="E252" s="829"/>
      <c r="F252" s="829"/>
      <c r="G252" s="829"/>
      <c r="H252" s="829"/>
      <c r="I252" s="829"/>
      <c r="J252" s="829"/>
      <c r="K252" s="829"/>
      <c r="L252" s="829"/>
      <c r="M252" s="829"/>
      <c r="N252" s="829"/>
      <c r="O252" s="829"/>
      <c r="P252" s="829"/>
      <c r="Q252" s="829"/>
      <c r="R252" s="829"/>
      <c r="S252" s="829"/>
      <c r="T252" s="829"/>
      <c r="U252" s="829"/>
      <c r="V252" s="829"/>
      <c r="W252" s="829"/>
      <c r="X252" s="829"/>
      <c r="Y252" s="829"/>
      <c r="Z252" s="829"/>
      <c r="AA252" s="829"/>
      <c r="AB252" s="829"/>
      <c r="AC252" s="829"/>
      <c r="AD252" s="829"/>
    </row>
    <row r="253" spans="1:45" ht="36" customHeight="1">
      <c r="A253" s="49"/>
      <c r="B253" s="38"/>
      <c r="C253" s="754" t="s">
        <v>4027</v>
      </c>
      <c r="D253" s="754"/>
      <c r="E253" s="754"/>
      <c r="F253" s="754"/>
      <c r="G253" s="754"/>
      <c r="H253" s="754"/>
      <c r="I253" s="754"/>
      <c r="J253" s="754"/>
      <c r="K253" s="754"/>
      <c r="L253" s="754"/>
      <c r="M253" s="754"/>
      <c r="N253" s="754"/>
      <c r="O253" s="754"/>
      <c r="P253" s="754"/>
      <c r="Q253" s="754"/>
      <c r="R253" s="754"/>
      <c r="S253" s="754"/>
      <c r="T253" s="754"/>
      <c r="U253" s="754"/>
      <c r="V253" s="754"/>
      <c r="W253" s="754"/>
      <c r="X253" s="754"/>
      <c r="Y253" s="754"/>
      <c r="Z253" s="754"/>
      <c r="AA253" s="754"/>
      <c r="AB253" s="754"/>
      <c r="AC253" s="754"/>
      <c r="AD253" s="754"/>
    </row>
    <row r="254" spans="1:45" ht="36" customHeight="1">
      <c r="A254" s="49"/>
      <c r="B254" s="57"/>
      <c r="C254" s="830" t="s">
        <v>4028</v>
      </c>
      <c r="D254" s="830"/>
      <c r="E254" s="830"/>
      <c r="F254" s="830"/>
      <c r="G254" s="830"/>
      <c r="H254" s="830"/>
      <c r="I254" s="830"/>
      <c r="J254" s="830"/>
      <c r="K254" s="830"/>
      <c r="L254" s="830"/>
      <c r="M254" s="830"/>
      <c r="N254" s="830"/>
      <c r="O254" s="830"/>
      <c r="P254" s="830"/>
      <c r="Q254" s="830"/>
      <c r="R254" s="830"/>
      <c r="S254" s="830"/>
      <c r="T254" s="830"/>
      <c r="U254" s="830"/>
      <c r="V254" s="830"/>
      <c r="W254" s="830"/>
      <c r="X254" s="830"/>
      <c r="Y254" s="830"/>
      <c r="Z254" s="830"/>
      <c r="AA254" s="830"/>
      <c r="AB254" s="830"/>
      <c r="AC254" s="830"/>
      <c r="AD254" s="830"/>
    </row>
    <row r="255" spans="1:45" ht="24" customHeight="1">
      <c r="A255" s="49"/>
      <c r="B255" s="38"/>
      <c r="C255" s="754" t="s">
        <v>4029</v>
      </c>
      <c r="D255" s="754"/>
      <c r="E255" s="754"/>
      <c r="F255" s="754"/>
      <c r="G255" s="754"/>
      <c r="H255" s="754"/>
      <c r="I255" s="754"/>
      <c r="J255" s="754"/>
      <c r="K255" s="754"/>
      <c r="L255" s="754"/>
      <c r="M255" s="754"/>
      <c r="N255" s="754"/>
      <c r="O255" s="754"/>
      <c r="P255" s="754"/>
      <c r="Q255" s="754"/>
      <c r="R255" s="754"/>
      <c r="S255" s="754"/>
      <c r="T255" s="754"/>
      <c r="U255" s="754"/>
      <c r="V255" s="754"/>
      <c r="W255" s="754"/>
      <c r="X255" s="754"/>
      <c r="Y255" s="754"/>
      <c r="Z255" s="754"/>
      <c r="AA255" s="754"/>
      <c r="AB255" s="754"/>
      <c r="AC255" s="754"/>
      <c r="AD255" s="754"/>
      <c r="AG255"/>
      <c r="AH255"/>
      <c r="AI255"/>
      <c r="AJ255"/>
      <c r="AK255" s="1040" t="s">
        <v>4030</v>
      </c>
      <c r="AL255"/>
      <c r="AM255"/>
      <c r="AN255"/>
      <c r="AO255"/>
      <c r="AP255"/>
      <c r="AQ255"/>
      <c r="AR255"/>
      <c r="AS255"/>
    </row>
    <row r="256" spans="1:45" ht="15" customHeight="1">
      <c r="A256" s="49"/>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c r="AA256" s="38"/>
      <c r="AB256" s="38"/>
      <c r="AC256" s="38"/>
      <c r="AD256" s="38"/>
      <c r="AG256"/>
      <c r="AH256"/>
      <c r="AI256"/>
      <c r="AJ256"/>
      <c r="AK256" s="1040"/>
      <c r="AL256"/>
      <c r="AM256"/>
      <c r="AN256"/>
      <c r="AO256"/>
      <c r="AP256"/>
      <c r="AQ256"/>
      <c r="AR256"/>
      <c r="AS256"/>
    </row>
    <row r="257" spans="1:45" ht="15" customHeight="1">
      <c r="A257" s="49"/>
      <c r="B257" s="38"/>
      <c r="C257" s="797" t="s">
        <v>4031</v>
      </c>
      <c r="D257" s="798"/>
      <c r="E257" s="798"/>
      <c r="F257" s="798"/>
      <c r="G257" s="798"/>
      <c r="H257" s="798"/>
      <c r="I257" s="798"/>
      <c r="J257" s="798"/>
      <c r="K257" s="798"/>
      <c r="L257" s="799"/>
      <c r="M257" s="732" t="s">
        <v>4024</v>
      </c>
      <c r="N257" s="732"/>
      <c r="O257" s="732"/>
      <c r="P257" s="732"/>
      <c r="Q257" s="732"/>
      <c r="R257" s="732"/>
      <c r="S257" s="732"/>
      <c r="T257" s="732"/>
      <c r="U257" s="732"/>
      <c r="V257" s="732"/>
      <c r="W257" s="732"/>
      <c r="X257" s="732"/>
      <c r="Y257" s="732"/>
      <c r="Z257" s="732"/>
      <c r="AA257" s="732"/>
      <c r="AB257" s="732"/>
      <c r="AC257" s="732"/>
      <c r="AD257" s="732"/>
      <c r="AG257"/>
      <c r="AH257"/>
      <c r="AI257"/>
      <c r="AJ257"/>
      <c r="AK257" s="1040"/>
      <c r="AL257" s="919" t="s">
        <v>4032</v>
      </c>
      <c r="AM257" s="919"/>
      <c r="AN257" s="919"/>
      <c r="AO257"/>
      <c r="AP257" s="1041" t="s">
        <v>4032</v>
      </c>
      <c r="AQ257" s="1041"/>
      <c r="AR257" s="1041"/>
      <c r="AS257"/>
    </row>
    <row r="258" spans="1:45" ht="15" customHeight="1">
      <c r="A258" s="49"/>
      <c r="B258" s="38"/>
      <c r="C258" s="803"/>
      <c r="D258" s="804"/>
      <c r="E258" s="804"/>
      <c r="F258" s="804"/>
      <c r="G258" s="804"/>
      <c r="H258" s="804"/>
      <c r="I258" s="804"/>
      <c r="J258" s="804"/>
      <c r="K258" s="804"/>
      <c r="L258" s="805"/>
      <c r="M258" s="732" t="s">
        <v>2628</v>
      </c>
      <c r="N258" s="732"/>
      <c r="O258" s="732"/>
      <c r="P258" s="732"/>
      <c r="Q258" s="732"/>
      <c r="R258" s="732"/>
      <c r="S258" s="736" t="s">
        <v>2629</v>
      </c>
      <c r="T258" s="736"/>
      <c r="U258" s="736"/>
      <c r="V258" s="736"/>
      <c r="W258" s="736"/>
      <c r="X258" s="736"/>
      <c r="Y258" s="736" t="s">
        <v>2630</v>
      </c>
      <c r="Z258" s="736"/>
      <c r="AA258" s="736"/>
      <c r="AB258" s="736"/>
      <c r="AC258" s="736"/>
      <c r="AD258" s="736"/>
      <c r="AG258" s="349" t="s">
        <v>2586</v>
      </c>
      <c r="AH258" s="350" t="s">
        <v>2590</v>
      </c>
      <c r="AI258" s="351" t="s">
        <v>3163</v>
      </c>
      <c r="AJ258" s="352" t="s">
        <v>3164</v>
      </c>
      <c r="AK258" s="1040"/>
      <c r="AL258" s="359" t="s">
        <v>2795</v>
      </c>
      <c r="AM258" s="360" t="s">
        <v>3177</v>
      </c>
      <c r="AN258" s="361" t="s">
        <v>3178</v>
      </c>
      <c r="AO258"/>
      <c r="AP258" s="369" t="s">
        <v>2795</v>
      </c>
      <c r="AQ258" s="502" t="s">
        <v>3177</v>
      </c>
      <c r="AR258" s="420" t="s">
        <v>3178</v>
      </c>
      <c r="AS258" s="500" t="s">
        <v>4016</v>
      </c>
    </row>
    <row r="259" spans="1:45" ht="15" customHeight="1">
      <c r="A259" s="49"/>
      <c r="B259" s="38"/>
      <c r="C259" s="92" t="s">
        <v>2516</v>
      </c>
      <c r="D259" s="813" t="s">
        <v>4033</v>
      </c>
      <c r="E259" s="814"/>
      <c r="F259" s="814"/>
      <c r="G259" s="814"/>
      <c r="H259" s="814"/>
      <c r="I259" s="814"/>
      <c r="J259" s="814"/>
      <c r="K259" s="814"/>
      <c r="L259" s="815"/>
      <c r="M259" s="749"/>
      <c r="N259" s="749"/>
      <c r="O259" s="749"/>
      <c r="P259" s="749"/>
      <c r="Q259" s="749"/>
      <c r="R259" s="749"/>
      <c r="S259" s="749"/>
      <c r="T259" s="749"/>
      <c r="U259" s="749"/>
      <c r="V259" s="749"/>
      <c r="W259" s="749"/>
      <c r="X259" s="749"/>
      <c r="Y259" s="749"/>
      <c r="Z259" s="749"/>
      <c r="AA259" s="749"/>
      <c r="AB259" s="749"/>
      <c r="AC259" s="749"/>
      <c r="AD259" s="749"/>
      <c r="AG259" s="283">
        <f>IF(AND($C$190&lt;&gt;"",$C$190&lt;&gt;1,COUNTA(M259:AD263)=0),0,IF(AND($C$190&lt;&gt;"",$C$190=1,$C$217="",COUNTA(M259:AD263)=15),0,IF(AND($C$190&lt;&gt;"",$C$190=1,$C$217="X",COUNTA(M259:AD263)=0),0,IF(COUNTA(M259:AD263)=0,0,1))))</f>
        <v>0</v>
      </c>
      <c r="AH259" s="353">
        <f>COUNTIF(S259:AD259,"NS")</f>
        <v>0</v>
      </c>
      <c r="AI259" s="353">
        <f>SUM(S259:AD259)</f>
        <v>0</v>
      </c>
      <c r="AJ259" s="353">
        <f>IF(COUNTIF(M259:AD259,"NA")=3,0,IF(OR(AND(M259=0,AH259&gt;0),AND(M259="ns",AI259&gt;0),AND(M259="ns",AH259=0,AI259=0)),1,IF(OR(AND(M259&gt;0,AH259=2),AND(M259="ns",AH259=2),AND(M259="ns",AI259=0,AH259&gt;0),M259=AI259),0,1)))</f>
        <v>0</v>
      </c>
      <c r="AK259">
        <f>IF(SUM(M262:AD262)&gt;0,1,0)</f>
        <v>0</v>
      </c>
      <c r="AL259">
        <f>IF(OR(M264="NS",M242="NS"),0,IF(AND(M264="NA",M242="NA"),0,IF(M264&gt;=M242,0,1)))</f>
        <v>0</v>
      </c>
      <c r="AM259">
        <f>IF(OR(S264="NS",S242="NS"),0,IF(AND(S264="NA",S242="NA"),0,IF(S264&gt;=S242,0,1)))</f>
        <v>0</v>
      </c>
      <c r="AN259">
        <f>IF(OR(Y264="NS",Y242="NS"),0,IF(AND(Y264="NA",Y242="NA"),0,IF(Y264&gt;=Y242,0,1)))</f>
        <v>0</v>
      </c>
      <c r="AO259"/>
      <c r="AP259">
        <f>IF(OR(M259="NS",$M$242="NS"),0,IF(AND(M259="NA",$M$242="NA"),0,IF(M259&lt;=$M$242,0,1)))</f>
        <v>0</v>
      </c>
      <c r="AQ259">
        <f>IF(OR(S259="NS",$S$242="NS"),0,IF(AND(S259="NA",$S$242="NA"),0,IF(S259&lt;=$S$242,0,1)))</f>
        <v>0</v>
      </c>
      <c r="AR259">
        <f>IF(OR(Y259="NS",$Y$242="NS"),0,IF(AND(Y259="NA",$Y$242="NA"),0,IF(Y259&lt;=$Y$242,0,1)))</f>
        <v>0</v>
      </c>
      <c r="AS259" s="342">
        <f>IF(AND($C$190&lt;&gt;"",$C$190&lt;&gt;1,COUNTA(M259:AD263)&gt;0),1,0)</f>
        <v>0</v>
      </c>
    </row>
    <row r="260" spans="1:45" ht="15" customHeight="1">
      <c r="A260" s="49"/>
      <c r="B260" s="38"/>
      <c r="C260" s="44" t="s">
        <v>2517</v>
      </c>
      <c r="D260" s="813" t="s">
        <v>4034</v>
      </c>
      <c r="E260" s="814"/>
      <c r="F260" s="814"/>
      <c r="G260" s="814"/>
      <c r="H260" s="814"/>
      <c r="I260" s="814"/>
      <c r="J260" s="814"/>
      <c r="K260" s="814"/>
      <c r="L260" s="815"/>
      <c r="M260" s="749"/>
      <c r="N260" s="749"/>
      <c r="O260" s="749"/>
      <c r="P260" s="749"/>
      <c r="Q260" s="749"/>
      <c r="R260" s="749"/>
      <c r="S260" s="749"/>
      <c r="T260" s="749"/>
      <c r="U260" s="749"/>
      <c r="V260" s="749"/>
      <c r="W260" s="749"/>
      <c r="X260" s="749"/>
      <c r="Y260" s="749"/>
      <c r="Z260" s="749"/>
      <c r="AA260" s="749"/>
      <c r="AB260" s="749"/>
      <c r="AC260" s="749"/>
      <c r="AD260" s="749"/>
      <c r="AH260" s="353">
        <f t="shared" ref="AH260:AH263" si="15">COUNTIF(S260:AD260,"NS")</f>
        <v>0</v>
      </c>
      <c r="AI260" s="353">
        <f t="shared" ref="AI260:AI263" si="16">SUM(S260:AD260)</f>
        <v>0</v>
      </c>
      <c r="AJ260" s="353">
        <f t="shared" ref="AJ260:AJ263" si="17">IF(COUNTIF(M260:AD260,"NA")=3,0,IF(OR(AND(M260=0,AH260&gt;0),AND(M260="ns",AI260&gt;0),AND(M260="ns",AH260=0,AI260=0)),1,IF(OR(AND(M260&gt;0,AH260=2),AND(M260="ns",AH260=2),AND(M260="ns",AI260=0,AH260&gt;0),M260=AI260),0,1)))</f>
        <v>0</v>
      </c>
      <c r="AN260" s="503">
        <f>SUM(AL259:AN259)</f>
        <v>0</v>
      </c>
      <c r="AP260">
        <f t="shared" ref="AP260:AP263" si="18">IF(OR(M260="NS",$M$242="NS"),0,IF(AND(M260="NA",$M$242="NA"),0,IF(M260&lt;=$M$242,0,1)))</f>
        <v>0</v>
      </c>
      <c r="AQ260">
        <f t="shared" ref="AQ260:AQ263" si="19">IF(OR(S260="NS",$S$242="NS"),0,IF(AND(S260="NA",$S$242="NA"),0,IF(S260&lt;=$S$242,0,1)))</f>
        <v>0</v>
      </c>
      <c r="AR260">
        <f t="shared" ref="AR260:AR263" si="20">IF(OR(Y260="NS",$Y$242="NS"),0,IF(AND(Y260="NA",$Y$242="NA"),0,IF(Y260&lt;=$Y$242,0,1)))</f>
        <v>0</v>
      </c>
    </row>
    <row r="261" spans="1:45" ht="15" customHeight="1">
      <c r="A261" s="49"/>
      <c r="B261" s="38"/>
      <c r="C261" s="44" t="s">
        <v>2518</v>
      </c>
      <c r="D261" s="813" t="s">
        <v>4035</v>
      </c>
      <c r="E261" s="814"/>
      <c r="F261" s="814"/>
      <c r="G261" s="814"/>
      <c r="H261" s="814"/>
      <c r="I261" s="814"/>
      <c r="J261" s="814"/>
      <c r="K261" s="814"/>
      <c r="L261" s="815"/>
      <c r="M261" s="749"/>
      <c r="N261" s="749"/>
      <c r="O261" s="749"/>
      <c r="P261" s="749"/>
      <c r="Q261" s="749"/>
      <c r="R261" s="749"/>
      <c r="S261" s="749"/>
      <c r="T261" s="749"/>
      <c r="U261" s="749"/>
      <c r="V261" s="749"/>
      <c r="W261" s="749"/>
      <c r="X261" s="749"/>
      <c r="Y261" s="749"/>
      <c r="Z261" s="749"/>
      <c r="AA261" s="749"/>
      <c r="AB261" s="749"/>
      <c r="AC261" s="749"/>
      <c r="AD261" s="749"/>
      <c r="AH261" s="353">
        <f t="shared" si="15"/>
        <v>0</v>
      </c>
      <c r="AI261" s="353">
        <f t="shared" si="16"/>
        <v>0</v>
      </c>
      <c r="AJ261" s="353">
        <f t="shared" si="17"/>
        <v>0</v>
      </c>
      <c r="AP261">
        <f t="shared" si="18"/>
        <v>0</v>
      </c>
      <c r="AQ261">
        <f t="shared" si="19"/>
        <v>0</v>
      </c>
      <c r="AR261">
        <f t="shared" si="20"/>
        <v>0</v>
      </c>
    </row>
    <row r="262" spans="1:45" ht="15" customHeight="1">
      <c r="A262" s="49"/>
      <c r="B262" s="38"/>
      <c r="C262" s="199" t="s">
        <v>2519</v>
      </c>
      <c r="D262" s="813" t="s">
        <v>4036</v>
      </c>
      <c r="E262" s="814"/>
      <c r="F262" s="814"/>
      <c r="G262" s="814"/>
      <c r="H262" s="814"/>
      <c r="I262" s="814"/>
      <c r="J262" s="814"/>
      <c r="K262" s="814"/>
      <c r="L262" s="815"/>
      <c r="M262" s="749"/>
      <c r="N262" s="749"/>
      <c r="O262" s="749"/>
      <c r="P262" s="749"/>
      <c r="Q262" s="749"/>
      <c r="R262" s="749"/>
      <c r="S262" s="749"/>
      <c r="T262" s="749"/>
      <c r="U262" s="749"/>
      <c r="V262" s="749"/>
      <c r="W262" s="749"/>
      <c r="X262" s="749"/>
      <c r="Y262" s="749"/>
      <c r="Z262" s="749"/>
      <c r="AA262" s="749"/>
      <c r="AB262" s="749"/>
      <c r="AC262" s="749"/>
      <c r="AD262" s="749"/>
      <c r="AH262" s="353">
        <f t="shared" si="15"/>
        <v>0</v>
      </c>
      <c r="AI262" s="353">
        <f t="shared" si="16"/>
        <v>0</v>
      </c>
      <c r="AJ262" s="353">
        <f t="shared" si="17"/>
        <v>0</v>
      </c>
      <c r="AP262">
        <f t="shared" si="18"/>
        <v>0</v>
      </c>
      <c r="AQ262">
        <f t="shared" si="19"/>
        <v>0</v>
      </c>
      <c r="AR262">
        <f t="shared" si="20"/>
        <v>0</v>
      </c>
    </row>
    <row r="263" spans="1:45" ht="15" customHeight="1">
      <c r="A263" s="49"/>
      <c r="B263" s="38"/>
      <c r="C263" s="199" t="s">
        <v>2520</v>
      </c>
      <c r="D263" s="813" t="s">
        <v>201</v>
      </c>
      <c r="E263" s="814"/>
      <c r="F263" s="814"/>
      <c r="G263" s="814"/>
      <c r="H263" s="814"/>
      <c r="I263" s="814"/>
      <c r="J263" s="814"/>
      <c r="K263" s="814"/>
      <c r="L263" s="815"/>
      <c r="M263" s="749"/>
      <c r="N263" s="749"/>
      <c r="O263" s="749"/>
      <c r="P263" s="749"/>
      <c r="Q263" s="749"/>
      <c r="R263" s="749"/>
      <c r="S263" s="749"/>
      <c r="T263" s="749"/>
      <c r="U263" s="749"/>
      <c r="V263" s="749"/>
      <c r="W263" s="749"/>
      <c r="X263" s="749"/>
      <c r="Y263" s="749"/>
      <c r="Z263" s="749"/>
      <c r="AA263" s="749"/>
      <c r="AB263" s="749"/>
      <c r="AC263" s="749"/>
      <c r="AD263" s="749"/>
      <c r="AH263" s="353">
        <f t="shared" si="15"/>
        <v>0</v>
      </c>
      <c r="AI263" s="353">
        <f t="shared" si="16"/>
        <v>0</v>
      </c>
      <c r="AJ263" s="353">
        <f t="shared" si="17"/>
        <v>0</v>
      </c>
      <c r="AP263">
        <f t="shared" si="18"/>
        <v>0</v>
      </c>
      <c r="AQ263">
        <f t="shared" si="19"/>
        <v>0</v>
      </c>
      <c r="AR263">
        <f t="shared" si="20"/>
        <v>0</v>
      </c>
    </row>
    <row r="264" spans="1:45">
      <c r="A264" s="49"/>
      <c r="B264" s="38"/>
      <c r="C264" s="38"/>
      <c r="D264" s="38"/>
      <c r="E264" s="38"/>
      <c r="F264" s="38"/>
      <c r="G264" s="38"/>
      <c r="H264" s="38"/>
      <c r="I264" s="38"/>
      <c r="J264" s="38"/>
      <c r="K264" s="38"/>
      <c r="L264" s="99" t="s">
        <v>2649</v>
      </c>
      <c r="M264" s="736">
        <f>IF(AND(SUM(M259:R263)=0,COUNTIF(M259:R263,"NS")&gt;0),"NS",
IF(AND(SUM(M259:R263)=0,COUNTIF(M259:R263,0)&gt;0),0,
IF(AND(SUM(M259:R263)=0,COUNTIF(M259:R263,"NA")&gt;0),"NA",
SUM(M259:R263))))</f>
        <v>0</v>
      </c>
      <c r="N264" s="736"/>
      <c r="O264" s="736"/>
      <c r="P264" s="736"/>
      <c r="Q264" s="736"/>
      <c r="R264" s="736"/>
      <c r="S264" s="736">
        <f t="shared" ref="S264" si="21">IF(AND(SUM(S259:X263)=0,COUNTIF(S259:X263,"NS")&gt;0),"NS",
IF(AND(SUM(S259:X263)=0,COUNTIF(S259:X263,0)&gt;0),0,
IF(AND(SUM(S259:X263)=0,COUNTIF(S259:X263,"NA")&gt;0),"NA",
SUM(S259:X263))))</f>
        <v>0</v>
      </c>
      <c r="T264" s="736"/>
      <c r="U264" s="736"/>
      <c r="V264" s="736"/>
      <c r="W264" s="736"/>
      <c r="X264" s="736"/>
      <c r="Y264" s="736">
        <f t="shared" ref="Y264" si="22">IF(AND(SUM(Y259:AD263)=0,COUNTIF(Y259:AD263,"NS")&gt;0),"NS",
IF(AND(SUM(Y259:AD263)=0,COUNTIF(Y259:AD263,0)&gt;0),0,
IF(AND(SUM(Y259:AD263)=0,COUNTIF(Y259:AD263,"NA")&gt;0),"NA",
SUM(Y259:AD263))))</f>
        <v>0</v>
      </c>
      <c r="Z264" s="736"/>
      <c r="AA264" s="736"/>
      <c r="AB264" s="736"/>
      <c r="AC264" s="736"/>
      <c r="AD264" s="736"/>
      <c r="AH264" s="350">
        <f>SUM(AH259:AH263)</f>
        <v>0</v>
      </c>
      <c r="AI264" s="351">
        <f>SUM(AI259:AI263)</f>
        <v>0</v>
      </c>
      <c r="AJ264" s="352">
        <f>SUM(AJ259:AJ263)</f>
        <v>0</v>
      </c>
      <c r="AP264" s="369">
        <f>SUM(AP259:AP263)</f>
        <v>0</v>
      </c>
      <c r="AQ264" s="502">
        <f t="shared" ref="AQ264:AR264" si="23">SUM(AQ259:AQ263)</f>
        <v>0</v>
      </c>
      <c r="AR264" s="420">
        <f t="shared" si="23"/>
        <v>0</v>
      </c>
    </row>
    <row r="265" spans="1:45">
      <c r="A265" s="49"/>
      <c r="B265" s="38"/>
      <c r="C265" s="38"/>
      <c r="D265" s="38"/>
      <c r="E265" s="38"/>
      <c r="F265" s="38"/>
      <c r="G265" s="38"/>
      <c r="H265" s="38"/>
      <c r="I265" s="38"/>
      <c r="J265" s="38"/>
      <c r="K265" s="38"/>
      <c r="L265" s="117"/>
      <c r="M265" s="84"/>
      <c r="N265" s="84"/>
      <c r="O265" s="84"/>
      <c r="P265" s="84"/>
      <c r="Q265" s="84"/>
      <c r="R265" s="84"/>
      <c r="S265" s="84"/>
      <c r="T265" s="84"/>
      <c r="U265" s="84"/>
      <c r="V265" s="84"/>
      <c r="W265" s="84"/>
      <c r="X265" s="84"/>
      <c r="Y265" s="84"/>
      <c r="Z265" s="84"/>
      <c r="AA265" s="84"/>
      <c r="AB265" s="84"/>
      <c r="AC265" s="84"/>
      <c r="AD265" s="84"/>
      <c r="AP265"/>
      <c r="AQ265"/>
      <c r="AR265" s="504">
        <f>SUM(AP264:AR264)</f>
        <v>0</v>
      </c>
    </row>
    <row r="266" spans="1:45" ht="45" customHeight="1">
      <c r="A266" s="49"/>
      <c r="B266" s="38"/>
      <c r="C266" s="822" t="s">
        <v>4037</v>
      </c>
      <c r="D266" s="822"/>
      <c r="E266" s="822"/>
      <c r="F266" s="749"/>
      <c r="G266" s="749"/>
      <c r="H266" s="749"/>
      <c r="I266" s="749"/>
      <c r="J266" s="749"/>
      <c r="K266" s="749"/>
      <c r="L266" s="749"/>
      <c r="M266" s="749"/>
      <c r="N266" s="749"/>
      <c r="O266" s="749"/>
      <c r="P266" s="749"/>
      <c r="Q266" s="749"/>
      <c r="R266" s="749"/>
      <c r="S266" s="749"/>
      <c r="T266" s="749"/>
      <c r="U266" s="749"/>
      <c r="V266" s="749"/>
      <c r="W266" s="749"/>
      <c r="X266" s="749"/>
      <c r="Y266" s="749"/>
      <c r="Z266" s="749"/>
      <c r="AA266" s="749"/>
      <c r="AB266" s="749"/>
      <c r="AC266" s="749"/>
      <c r="AD266" s="749"/>
    </row>
    <row r="267" spans="1:45" ht="15" customHeight="1">
      <c r="A267" s="49"/>
      <c r="B267" s="794" t="str">
        <f>IF(AND(AK259&gt;0,F266=""),"Ha registrado un valor númerico mayor a cero en el numeral 4 debe anotar el nombre de dicha(s) función(es)","")</f>
        <v/>
      </c>
      <c r="C267" s="794"/>
      <c r="D267" s="794"/>
      <c r="E267" s="794"/>
      <c r="F267" s="794"/>
      <c r="G267" s="794"/>
      <c r="H267" s="794"/>
      <c r="I267" s="794"/>
      <c r="J267" s="794"/>
      <c r="K267" s="794"/>
      <c r="L267" s="794"/>
      <c r="M267" s="794"/>
      <c r="N267" s="794"/>
      <c r="O267" s="794"/>
      <c r="P267" s="794"/>
      <c r="Q267" s="794"/>
      <c r="R267" s="794"/>
      <c r="S267" s="794"/>
      <c r="T267" s="794"/>
      <c r="U267" s="794"/>
      <c r="V267" s="794"/>
      <c r="W267" s="794"/>
      <c r="X267" s="794"/>
      <c r="Y267" s="794"/>
      <c r="Z267" s="794"/>
      <c r="AA267" s="794"/>
      <c r="AB267" s="794"/>
      <c r="AC267" s="794"/>
      <c r="AD267" s="794"/>
      <c r="AE267" s="794"/>
    </row>
    <row r="268" spans="1:45" ht="24" customHeight="1">
      <c r="A268" s="49"/>
      <c r="B268" s="38"/>
      <c r="C268" s="855" t="s">
        <v>2611</v>
      </c>
      <c r="D268" s="855"/>
      <c r="E268" s="855"/>
      <c r="F268" s="855"/>
      <c r="G268" s="855"/>
      <c r="H268" s="855"/>
      <c r="I268" s="855"/>
      <c r="J268" s="855"/>
      <c r="K268" s="855"/>
      <c r="L268" s="855"/>
      <c r="M268" s="855"/>
      <c r="N268" s="855"/>
      <c r="O268" s="855"/>
      <c r="P268" s="855"/>
      <c r="Q268" s="855"/>
      <c r="R268" s="855"/>
      <c r="S268" s="855"/>
      <c r="T268" s="855"/>
      <c r="U268" s="855"/>
      <c r="V268" s="855"/>
      <c r="W268" s="855"/>
      <c r="X268" s="855"/>
      <c r="Y268" s="855"/>
      <c r="Z268" s="855"/>
      <c r="AA268" s="855"/>
      <c r="AB268" s="855"/>
      <c r="AC268" s="855"/>
      <c r="AD268" s="855"/>
    </row>
    <row r="269" spans="1:45" ht="60" customHeight="1">
      <c r="A269" s="49"/>
      <c r="B269" s="38"/>
      <c r="C269" s="851"/>
      <c r="D269" s="851"/>
      <c r="E269" s="851"/>
      <c r="F269" s="851"/>
      <c r="G269" s="851"/>
      <c r="H269" s="851"/>
      <c r="I269" s="851"/>
      <c r="J269" s="851"/>
      <c r="K269" s="851"/>
      <c r="L269" s="851"/>
      <c r="M269" s="851"/>
      <c r="N269" s="851"/>
      <c r="O269" s="851"/>
      <c r="P269" s="851"/>
      <c r="Q269" s="851"/>
      <c r="R269" s="851"/>
      <c r="S269" s="851"/>
      <c r="T269" s="851"/>
      <c r="U269" s="851"/>
      <c r="V269" s="851"/>
      <c r="W269" s="851"/>
      <c r="X269" s="851"/>
      <c r="Y269" s="851"/>
      <c r="Z269" s="851"/>
      <c r="AA269" s="851"/>
      <c r="AB269" s="851"/>
      <c r="AC269" s="851"/>
      <c r="AD269" s="851"/>
    </row>
    <row r="270" spans="1:45" ht="15" customHeight="1">
      <c r="A270" s="49"/>
      <c r="B270" s="794" t="str">
        <f>IF(AG259&gt;0,"Favor de ingresar toda la información requerida en la pregunta y/o verifique que no tenga información en celdas sombreadas","")</f>
        <v/>
      </c>
      <c r="C270" s="794"/>
      <c r="D270" s="794"/>
      <c r="E270" s="794"/>
      <c r="F270" s="794"/>
      <c r="G270" s="794"/>
      <c r="H270" s="794"/>
      <c r="I270" s="794"/>
      <c r="J270" s="794"/>
      <c r="K270" s="794"/>
      <c r="L270" s="794"/>
      <c r="M270" s="794"/>
      <c r="N270" s="794"/>
      <c r="O270" s="794"/>
      <c r="P270" s="794"/>
      <c r="Q270" s="794"/>
      <c r="R270" s="794"/>
      <c r="S270" s="794"/>
      <c r="T270" s="794"/>
      <c r="U270" s="794"/>
      <c r="V270" s="794"/>
      <c r="W270" s="794"/>
      <c r="X270" s="794"/>
      <c r="Y270" s="794"/>
      <c r="Z270" s="794"/>
      <c r="AA270" s="794"/>
      <c r="AB270" s="794"/>
      <c r="AC270" s="794"/>
      <c r="AD270" s="794"/>
      <c r="AE270"/>
    </row>
    <row r="271" spans="1:45" ht="15" customHeight="1">
      <c r="A271" s="49"/>
      <c r="B271" s="795" t="str">
        <f>IF(AH264&gt;0,"Alerta: debido a que cuenta con registros NS, debe proporcionar una justificación en el area de comentarios al final de la pregunta","")</f>
        <v/>
      </c>
      <c r="C271" s="795"/>
      <c r="D271" s="795"/>
      <c r="E271" s="795"/>
      <c r="F271" s="795"/>
      <c r="G271" s="795"/>
      <c r="H271" s="795"/>
      <c r="I271" s="795"/>
      <c r="J271" s="795"/>
      <c r="K271" s="795"/>
      <c r="L271" s="795"/>
      <c r="M271" s="795"/>
      <c r="N271" s="795"/>
      <c r="O271" s="795"/>
      <c r="P271" s="795"/>
      <c r="Q271" s="795"/>
      <c r="R271" s="795"/>
      <c r="S271" s="795"/>
      <c r="T271" s="795"/>
      <c r="U271" s="795"/>
      <c r="V271" s="795"/>
      <c r="W271" s="795"/>
      <c r="X271" s="795"/>
      <c r="Y271" s="795"/>
      <c r="Z271" s="795"/>
      <c r="AA271" s="795"/>
      <c r="AB271" s="795"/>
      <c r="AC271" s="795"/>
      <c r="AD271" s="795"/>
      <c r="AE271"/>
    </row>
    <row r="272" spans="1:45" ht="15" customHeight="1">
      <c r="A272" s="49"/>
      <c r="B272" s="794" t="str">
        <f>IF(AJ264&gt;0,"Favor de revisar la suma y consistencia de totales y/o subtotales por filas (numéricos y NS)","")</f>
        <v/>
      </c>
      <c r="C272" s="794"/>
      <c r="D272" s="794"/>
      <c r="E272" s="794"/>
      <c r="F272" s="794"/>
      <c r="G272" s="794"/>
      <c r="H272" s="794"/>
      <c r="I272" s="794"/>
      <c r="J272" s="794"/>
      <c r="K272" s="794"/>
      <c r="L272" s="794"/>
      <c r="M272" s="794"/>
      <c r="N272" s="794"/>
      <c r="O272" s="794"/>
      <c r="P272" s="794"/>
      <c r="Q272" s="794"/>
      <c r="R272" s="794"/>
      <c r="S272" s="794"/>
      <c r="T272" s="794"/>
      <c r="U272" s="794"/>
      <c r="V272" s="794"/>
      <c r="W272" s="794"/>
      <c r="X272" s="794"/>
      <c r="Y272" s="794"/>
      <c r="Z272" s="794"/>
      <c r="AA272" s="794"/>
      <c r="AB272" s="794"/>
      <c r="AC272" s="794"/>
      <c r="AD272" s="794"/>
      <c r="AE272"/>
    </row>
    <row r="273" spans="1:37" ht="15" customHeight="1">
      <c r="A273" s="49"/>
      <c r="B273" s="795" t="str">
        <f>IF(AR265&gt;0,"Alerta: debe de proporcionar una justificación de acuerdo a lo establecido en la instrucción 2","")</f>
        <v/>
      </c>
      <c r="C273" s="795"/>
      <c r="D273" s="795"/>
      <c r="E273" s="795"/>
      <c r="F273" s="795"/>
      <c r="G273" s="795"/>
      <c r="H273" s="795"/>
      <c r="I273" s="795"/>
      <c r="J273" s="795"/>
      <c r="K273" s="795"/>
      <c r="L273" s="795"/>
      <c r="M273" s="795"/>
      <c r="N273" s="795"/>
      <c r="O273" s="795"/>
      <c r="P273" s="795"/>
      <c r="Q273" s="795"/>
      <c r="R273" s="795"/>
      <c r="S273" s="795"/>
      <c r="T273" s="795"/>
      <c r="U273" s="795"/>
      <c r="V273" s="795"/>
      <c r="W273" s="795"/>
      <c r="X273" s="795"/>
      <c r="Y273" s="795"/>
      <c r="Z273" s="795"/>
      <c r="AA273" s="795"/>
      <c r="AB273" s="795"/>
      <c r="AC273" s="795"/>
      <c r="AD273" s="795"/>
      <c r="AE273" s="795"/>
    </row>
    <row r="274" spans="1:37" ht="15" customHeight="1">
      <c r="A274" s="49"/>
      <c r="B274" s="924" t="str">
        <f>IF(AN260&gt;0,"Favor de revisar la instrucción 1, debido a que no se cumple con los criterios mencionados","")</f>
        <v/>
      </c>
      <c r="C274" s="924"/>
      <c r="D274" s="924"/>
      <c r="E274" s="924"/>
      <c r="F274" s="924"/>
      <c r="G274" s="924"/>
      <c r="H274" s="924"/>
      <c r="I274" s="924"/>
      <c r="J274" s="924"/>
      <c r="K274" s="924"/>
      <c r="L274" s="924"/>
      <c r="M274" s="924"/>
      <c r="N274" s="924"/>
      <c r="O274" s="924"/>
      <c r="P274" s="924"/>
      <c r="Q274" s="924"/>
      <c r="R274" s="924"/>
      <c r="S274" s="924"/>
      <c r="T274" s="924"/>
      <c r="U274" s="924"/>
      <c r="V274" s="924"/>
      <c r="W274" s="924"/>
      <c r="X274" s="924"/>
      <c r="Y274" s="924"/>
      <c r="Z274" s="924"/>
      <c r="AA274" s="924"/>
      <c r="AB274" s="924"/>
      <c r="AC274" s="924"/>
      <c r="AD274" s="924"/>
      <c r="AE274"/>
    </row>
    <row r="275" spans="1:37" ht="15" customHeight="1">
      <c r="A275" s="49"/>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c r="AA275" s="38"/>
      <c r="AB275" s="38"/>
      <c r="AC275" s="38"/>
      <c r="AD275" s="38"/>
      <c r="AE275"/>
    </row>
    <row r="276" spans="1:37" ht="36" customHeight="1">
      <c r="A276" s="49" t="s">
        <v>4038</v>
      </c>
      <c r="B276" s="829" t="s">
        <v>4039</v>
      </c>
      <c r="C276" s="960"/>
      <c r="D276" s="960"/>
      <c r="E276" s="960"/>
      <c r="F276" s="960"/>
      <c r="G276" s="960"/>
      <c r="H276" s="960"/>
      <c r="I276" s="960"/>
      <c r="J276" s="960"/>
      <c r="K276" s="960"/>
      <c r="L276" s="960"/>
      <c r="M276" s="960"/>
      <c r="N276" s="960"/>
      <c r="O276" s="960"/>
      <c r="P276" s="960"/>
      <c r="Q276" s="960"/>
      <c r="R276" s="960"/>
      <c r="S276" s="960"/>
      <c r="T276" s="960"/>
      <c r="U276" s="960"/>
      <c r="V276" s="960"/>
      <c r="W276" s="960"/>
      <c r="X276" s="960"/>
      <c r="Y276" s="960"/>
      <c r="Z276" s="960"/>
      <c r="AA276" s="960"/>
      <c r="AB276" s="960"/>
      <c r="AC276" s="960"/>
      <c r="AD276" s="960"/>
    </row>
    <row r="277" spans="1:37" ht="15" customHeight="1">
      <c r="A277" s="49"/>
      <c r="B277" s="118"/>
      <c r="C277" s="754" t="s">
        <v>4040</v>
      </c>
      <c r="D277" s="754"/>
      <c r="E277" s="754"/>
      <c r="F277" s="754"/>
      <c r="G277" s="754"/>
      <c r="H277" s="754"/>
      <c r="I277" s="754"/>
      <c r="J277" s="754"/>
      <c r="K277" s="754"/>
      <c r="L277" s="754"/>
      <c r="M277" s="754"/>
      <c r="N277" s="754"/>
      <c r="O277" s="754"/>
      <c r="P277" s="754"/>
      <c r="Q277" s="754"/>
      <c r="R277" s="754"/>
      <c r="S277" s="754"/>
      <c r="T277" s="754"/>
      <c r="U277" s="754"/>
      <c r="V277" s="754"/>
      <c r="W277" s="754"/>
      <c r="X277" s="754"/>
      <c r="Y277" s="754"/>
      <c r="Z277" s="754"/>
      <c r="AA277" s="754"/>
      <c r="AB277" s="754"/>
      <c r="AC277" s="754"/>
      <c r="AD277" s="754"/>
    </row>
    <row r="278" spans="1:37" ht="36" customHeight="1">
      <c r="A278" s="50"/>
      <c r="B278" s="57"/>
      <c r="C278" s="830" t="s">
        <v>4041</v>
      </c>
      <c r="D278" s="830"/>
      <c r="E278" s="830"/>
      <c r="F278" s="830"/>
      <c r="G278" s="830"/>
      <c r="H278" s="830"/>
      <c r="I278" s="830"/>
      <c r="J278" s="830"/>
      <c r="K278" s="830"/>
      <c r="L278" s="830"/>
      <c r="M278" s="830"/>
      <c r="N278" s="830"/>
      <c r="O278" s="830"/>
      <c r="P278" s="830"/>
      <c r="Q278" s="830"/>
      <c r="R278" s="830"/>
      <c r="S278" s="830"/>
      <c r="T278" s="830"/>
      <c r="U278" s="830"/>
      <c r="V278" s="830"/>
      <c r="W278" s="830"/>
      <c r="X278" s="830"/>
      <c r="Y278" s="830"/>
      <c r="Z278" s="830"/>
      <c r="AA278" s="830"/>
      <c r="AB278" s="830"/>
      <c r="AC278" s="830"/>
      <c r="AD278" s="830"/>
    </row>
    <row r="279" spans="1:37" ht="15" customHeight="1">
      <c r="A279" s="50"/>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c r="AA279" s="38"/>
      <c r="AB279" s="38"/>
      <c r="AC279" s="38"/>
      <c r="AD279" s="38"/>
    </row>
    <row r="280" spans="1:37" ht="96" customHeight="1">
      <c r="A280" s="50"/>
      <c r="B280" s="38"/>
      <c r="C280" s="732" t="s">
        <v>2581</v>
      </c>
      <c r="D280" s="732"/>
      <c r="E280" s="732"/>
      <c r="F280" s="732"/>
      <c r="G280" s="732"/>
      <c r="H280" s="732"/>
      <c r="I280" s="732"/>
      <c r="J280" s="732"/>
      <c r="K280" s="732"/>
      <c r="L280" s="732"/>
      <c r="M280" s="732"/>
      <c r="N280" s="732"/>
      <c r="O280" s="732"/>
      <c r="P280" s="732"/>
      <c r="Q280" s="732"/>
      <c r="R280" s="732"/>
      <c r="S280" s="740" t="s">
        <v>4042</v>
      </c>
      <c r="T280" s="740"/>
      <c r="U280" s="740"/>
      <c r="V280" s="740"/>
      <c r="W280" s="740"/>
      <c r="X280" s="741"/>
      <c r="Y280" s="739" t="s">
        <v>4043</v>
      </c>
      <c r="Z280" s="740"/>
      <c r="AA280" s="740"/>
      <c r="AB280" s="740"/>
      <c r="AC280" s="740"/>
      <c r="AD280" s="741"/>
      <c r="AG280" s="354" t="s">
        <v>2586</v>
      </c>
      <c r="AH280" s="350" t="s">
        <v>2590</v>
      </c>
      <c r="AI280" s="365" t="s">
        <v>2620</v>
      </c>
      <c r="AJ280" s="500" t="s">
        <v>4016</v>
      </c>
      <c r="AK280" s="260" t="s">
        <v>2622</v>
      </c>
    </row>
    <row r="281" spans="1:37" ht="15" customHeight="1">
      <c r="A281" s="50"/>
      <c r="B281" s="38"/>
      <c r="C281" s="97" t="s">
        <v>2516</v>
      </c>
      <c r="D281" s="813" t="str">
        <f>IF(CNSIPEE_2024_M2_Secc1!D42="","",CNSIPEE_2024_M2_Secc1!D42)</f>
        <v/>
      </c>
      <c r="E281" s="814"/>
      <c r="F281" s="814"/>
      <c r="G281" s="814"/>
      <c r="H281" s="814"/>
      <c r="I281" s="814"/>
      <c r="J281" s="814"/>
      <c r="K281" s="814"/>
      <c r="L281" s="814"/>
      <c r="M281" s="814"/>
      <c r="N281" s="814"/>
      <c r="O281" s="814"/>
      <c r="P281" s="814"/>
      <c r="Q281" s="814"/>
      <c r="R281" s="815"/>
      <c r="S281" s="749"/>
      <c r="T281" s="749"/>
      <c r="U281" s="749"/>
      <c r="V281" s="749"/>
      <c r="W281" s="749"/>
      <c r="X281" s="749"/>
      <c r="Y281" s="749"/>
      <c r="Z281" s="749"/>
      <c r="AA281" s="749"/>
      <c r="AB281" s="749"/>
      <c r="AC281" s="749"/>
      <c r="AD281" s="749"/>
      <c r="AG281" s="326">
        <f>IF(AND(COUNTBLANK(D281)=0,$C$190&lt;&gt;"",$C$190&lt;&gt;1,COUNTA(S281:AD281)=0),0,IF(AND(COUNTBLANK(D281)=0,$C$190&lt;&gt;"",$C$190=1,$S281&lt;&gt;"",$S281&lt;&gt;1,COUNTA(Y281)=0),0,IF(AND(COUNTBLANK(D281)=0,$C$190&lt;&gt;"",$C$190=1,$S281&lt;&gt;"",$S281=1,COUNTA(Y281)=1),0,IF(AND(COUNTBLANK(D281)=1,COUNTA(S281:AD281)=0),0,1))))</f>
        <v>0</v>
      </c>
      <c r="AH281" s="353">
        <f>COUNTIF(Y281,"NS")</f>
        <v>0</v>
      </c>
      <c r="AI281" s="342">
        <f>IF(AND($S281&lt;&gt;"",$S281&lt;&gt;1,COUNTA(Y281)&gt;0),1,0)</f>
        <v>0</v>
      </c>
      <c r="AJ281" s="342">
        <f>IF(AND($C$190&lt;&gt;"",$C$190&lt;&gt;1,COUNTA(S281:AD281)&gt;0),1,0)</f>
        <v>0</v>
      </c>
      <c r="AK281" s="253">
        <f>IF(AND($S281&lt;&gt;"",$S281=1,Y281&lt;&gt;"",Y281=0),1,0)</f>
        <v>0</v>
      </c>
    </row>
    <row r="282" spans="1:37" ht="15" customHeight="1">
      <c r="A282" s="50"/>
      <c r="B282" s="38"/>
      <c r="C282" s="143" t="s">
        <v>2517</v>
      </c>
      <c r="D282" s="813" t="str">
        <f>IF(CNSIPEE_2024_M2_Secc1!D43="","",CNSIPEE_2024_M2_Secc1!D43)</f>
        <v/>
      </c>
      <c r="E282" s="814"/>
      <c r="F282" s="814"/>
      <c r="G282" s="814"/>
      <c r="H282" s="814"/>
      <c r="I282" s="814"/>
      <c r="J282" s="814"/>
      <c r="K282" s="814"/>
      <c r="L282" s="814"/>
      <c r="M282" s="814"/>
      <c r="N282" s="814"/>
      <c r="O282" s="814"/>
      <c r="P282" s="814"/>
      <c r="Q282" s="814"/>
      <c r="R282" s="815"/>
      <c r="S282" s="749"/>
      <c r="T282" s="749"/>
      <c r="U282" s="749"/>
      <c r="V282" s="749"/>
      <c r="W282" s="749"/>
      <c r="X282" s="749"/>
      <c r="Y282" s="749"/>
      <c r="Z282" s="749"/>
      <c r="AA282" s="749"/>
      <c r="AB282" s="749"/>
      <c r="AC282" s="749"/>
      <c r="AD282" s="749"/>
      <c r="AG282" s="326">
        <f t="shared" ref="AG282:AG287" si="24">IF(AND(COUNTBLANK(D282)=0,$C$190&lt;&gt;"",$C$190&lt;&gt;1,COUNTA(S282:AD282)=0),0,IF(AND(COUNTBLANK(D282)=0,$C$190&lt;&gt;"",$C$190=1,$S282&lt;&gt;"",$S282&lt;&gt;1,COUNTA(Y282)=0),0,IF(AND(COUNTBLANK(D282)=0,$C$190&lt;&gt;"",$C$190=1,$S282&lt;&gt;"",$S282=1,COUNTA(Y282)=1),0,IF(AND(COUNTBLANK(D282)=1,COUNTA(S282:AD282)=0),0,1))))</f>
        <v>0</v>
      </c>
      <c r="AH282" s="353">
        <f t="shared" ref="AH282:AH287" si="25">COUNTIF(Y282,"NS")</f>
        <v>0</v>
      </c>
      <c r="AI282" s="342">
        <f t="shared" ref="AI282:AI287" si="26">IF(AND($S282&lt;&gt;"",$S282&lt;&gt;1,COUNTA(Y282)&gt;0),1,0)</f>
        <v>0</v>
      </c>
      <c r="AJ282" s="342">
        <f t="shared" ref="AJ282:AJ287" si="27">IF(AND($C$190&lt;&gt;"",$C$190&lt;&gt;1,COUNTA(S282:AD282)&gt;0),1,0)</f>
        <v>0</v>
      </c>
      <c r="AK282" s="253">
        <f t="shared" ref="AK282:AK288" si="28">IF(AND($S282&lt;&gt;"",$S282=1,Y282&lt;&gt;"",Y282=0),1,0)</f>
        <v>0</v>
      </c>
    </row>
    <row r="283" spans="1:37" ht="15" customHeight="1">
      <c r="A283" s="50"/>
      <c r="B283" s="38"/>
      <c r="C283" s="143" t="s">
        <v>2518</v>
      </c>
      <c r="D283" s="813" t="str">
        <f>IF(CNSIPEE_2024_M2_Secc1!D44="","",CNSIPEE_2024_M2_Secc1!D44)</f>
        <v/>
      </c>
      <c r="E283" s="814"/>
      <c r="F283" s="814"/>
      <c r="G283" s="814"/>
      <c r="H283" s="814"/>
      <c r="I283" s="814"/>
      <c r="J283" s="814"/>
      <c r="K283" s="814"/>
      <c r="L283" s="814"/>
      <c r="M283" s="814"/>
      <c r="N283" s="814"/>
      <c r="O283" s="814"/>
      <c r="P283" s="814"/>
      <c r="Q283" s="814"/>
      <c r="R283" s="815"/>
      <c r="S283" s="749"/>
      <c r="T283" s="749"/>
      <c r="U283" s="749"/>
      <c r="V283" s="749"/>
      <c r="W283" s="749"/>
      <c r="X283" s="749"/>
      <c r="Y283" s="749"/>
      <c r="Z283" s="749"/>
      <c r="AA283" s="749"/>
      <c r="AB283" s="749"/>
      <c r="AC283" s="749"/>
      <c r="AD283" s="749"/>
      <c r="AG283" s="326">
        <f t="shared" si="24"/>
        <v>0</v>
      </c>
      <c r="AH283" s="353">
        <f t="shared" si="25"/>
        <v>0</v>
      </c>
      <c r="AI283" s="342">
        <f t="shared" si="26"/>
        <v>0</v>
      </c>
      <c r="AJ283" s="342">
        <f t="shared" si="27"/>
        <v>0</v>
      </c>
      <c r="AK283" s="253">
        <f t="shared" si="28"/>
        <v>0</v>
      </c>
    </row>
    <row r="284" spans="1:37" ht="15" customHeight="1">
      <c r="A284" s="50"/>
      <c r="B284" s="38"/>
      <c r="C284" s="143" t="s">
        <v>2519</v>
      </c>
      <c r="D284" s="813" t="str">
        <f>IF(CNSIPEE_2024_M2_Secc1!D45="","",CNSIPEE_2024_M2_Secc1!D45)</f>
        <v/>
      </c>
      <c r="E284" s="814"/>
      <c r="F284" s="814"/>
      <c r="G284" s="814"/>
      <c r="H284" s="814"/>
      <c r="I284" s="814"/>
      <c r="J284" s="814"/>
      <c r="K284" s="814"/>
      <c r="L284" s="814"/>
      <c r="M284" s="814"/>
      <c r="N284" s="814"/>
      <c r="O284" s="814"/>
      <c r="P284" s="814"/>
      <c r="Q284" s="814"/>
      <c r="R284" s="815"/>
      <c r="S284" s="749"/>
      <c r="T284" s="749"/>
      <c r="U284" s="749"/>
      <c r="V284" s="749"/>
      <c r="W284" s="749"/>
      <c r="X284" s="749"/>
      <c r="Y284" s="749"/>
      <c r="Z284" s="749"/>
      <c r="AA284" s="749"/>
      <c r="AB284" s="749"/>
      <c r="AC284" s="749"/>
      <c r="AD284" s="749"/>
      <c r="AG284" s="326">
        <f t="shared" si="24"/>
        <v>0</v>
      </c>
      <c r="AH284" s="353">
        <f t="shared" si="25"/>
        <v>0</v>
      </c>
      <c r="AI284" s="342">
        <f t="shared" si="26"/>
        <v>0</v>
      </c>
      <c r="AJ284" s="342">
        <f t="shared" si="27"/>
        <v>0</v>
      </c>
      <c r="AK284" s="253">
        <f t="shared" si="28"/>
        <v>0</v>
      </c>
    </row>
    <row r="285" spans="1:37" ht="15" customHeight="1">
      <c r="A285" s="50"/>
      <c r="B285" s="38"/>
      <c r="C285" s="143" t="s">
        <v>2520</v>
      </c>
      <c r="D285" s="813" t="str">
        <f>IF(CNSIPEE_2024_M2_Secc1!D46="","",CNSIPEE_2024_M2_Secc1!D46)</f>
        <v/>
      </c>
      <c r="E285" s="814"/>
      <c r="F285" s="814"/>
      <c r="G285" s="814"/>
      <c r="H285" s="814"/>
      <c r="I285" s="814"/>
      <c r="J285" s="814"/>
      <c r="K285" s="814"/>
      <c r="L285" s="814"/>
      <c r="M285" s="814"/>
      <c r="N285" s="814"/>
      <c r="O285" s="814"/>
      <c r="P285" s="814"/>
      <c r="Q285" s="814"/>
      <c r="R285" s="815"/>
      <c r="S285" s="749"/>
      <c r="T285" s="749"/>
      <c r="U285" s="749"/>
      <c r="V285" s="749"/>
      <c r="W285" s="749"/>
      <c r="X285" s="749"/>
      <c r="Y285" s="749"/>
      <c r="Z285" s="749"/>
      <c r="AA285" s="749"/>
      <c r="AB285" s="749"/>
      <c r="AC285" s="749"/>
      <c r="AD285" s="749"/>
      <c r="AG285" s="326">
        <f t="shared" si="24"/>
        <v>0</v>
      </c>
      <c r="AH285" s="353">
        <f t="shared" si="25"/>
        <v>0</v>
      </c>
      <c r="AI285" s="342">
        <f t="shared" si="26"/>
        <v>0</v>
      </c>
      <c r="AJ285" s="342">
        <f t="shared" si="27"/>
        <v>0</v>
      </c>
      <c r="AK285" s="253">
        <f t="shared" si="28"/>
        <v>0</v>
      </c>
    </row>
    <row r="286" spans="1:37" ht="15" customHeight="1">
      <c r="A286" s="50"/>
      <c r="B286" s="38"/>
      <c r="C286" s="143" t="s">
        <v>2521</v>
      </c>
      <c r="D286" s="813" t="str">
        <f>IF(CNSIPEE_2024_M2_Secc1!D47="","",CNSIPEE_2024_M2_Secc1!D47)</f>
        <v/>
      </c>
      <c r="E286" s="814"/>
      <c r="F286" s="814"/>
      <c r="G286" s="814"/>
      <c r="H286" s="814"/>
      <c r="I286" s="814"/>
      <c r="J286" s="814"/>
      <c r="K286" s="814"/>
      <c r="L286" s="814"/>
      <c r="M286" s="814"/>
      <c r="N286" s="814"/>
      <c r="O286" s="814"/>
      <c r="P286" s="814"/>
      <c r="Q286" s="814"/>
      <c r="R286" s="815"/>
      <c r="S286" s="749"/>
      <c r="T286" s="749"/>
      <c r="U286" s="749"/>
      <c r="V286" s="749"/>
      <c r="W286" s="749"/>
      <c r="X286" s="749"/>
      <c r="Y286" s="749"/>
      <c r="Z286" s="749"/>
      <c r="AA286" s="749"/>
      <c r="AB286" s="749"/>
      <c r="AC286" s="749"/>
      <c r="AD286" s="749"/>
      <c r="AG286" s="326">
        <f t="shared" si="24"/>
        <v>0</v>
      </c>
      <c r="AH286" s="353">
        <f t="shared" si="25"/>
        <v>0</v>
      </c>
      <c r="AI286" s="342">
        <f t="shared" si="26"/>
        <v>0</v>
      </c>
      <c r="AJ286" s="342">
        <f t="shared" si="27"/>
        <v>0</v>
      </c>
      <c r="AK286" s="253">
        <f t="shared" si="28"/>
        <v>0</v>
      </c>
    </row>
    <row r="287" spans="1:37" ht="15" customHeight="1">
      <c r="A287" s="50"/>
      <c r="B287" s="38"/>
      <c r="C287" s="143" t="s">
        <v>2522</v>
      </c>
      <c r="D287" s="813" t="str">
        <f>IF(CNSIPEE_2024_M2_Secc1!D48="","",CNSIPEE_2024_M2_Secc1!D48)</f>
        <v/>
      </c>
      <c r="E287" s="814"/>
      <c r="F287" s="814"/>
      <c r="G287" s="814"/>
      <c r="H287" s="814"/>
      <c r="I287" s="814"/>
      <c r="J287" s="814"/>
      <c r="K287" s="814"/>
      <c r="L287" s="814"/>
      <c r="M287" s="814"/>
      <c r="N287" s="814"/>
      <c r="O287" s="814"/>
      <c r="P287" s="814"/>
      <c r="Q287" s="814"/>
      <c r="R287" s="815"/>
      <c r="S287" s="749"/>
      <c r="T287" s="749"/>
      <c r="U287" s="749"/>
      <c r="V287" s="749"/>
      <c r="W287" s="749"/>
      <c r="X287" s="749"/>
      <c r="Y287" s="749"/>
      <c r="Z287" s="749"/>
      <c r="AA287" s="749"/>
      <c r="AB287" s="749"/>
      <c r="AC287" s="749"/>
      <c r="AD287" s="749"/>
      <c r="AG287" s="326">
        <f t="shared" si="24"/>
        <v>0</v>
      </c>
      <c r="AH287" s="353">
        <f t="shared" si="25"/>
        <v>0</v>
      </c>
      <c r="AI287" s="342">
        <f t="shared" si="26"/>
        <v>0</v>
      </c>
      <c r="AJ287" s="342">
        <f t="shared" si="27"/>
        <v>0</v>
      </c>
      <c r="AK287" s="253">
        <f t="shared" si="28"/>
        <v>0</v>
      </c>
    </row>
    <row r="288" spans="1:37" ht="15" customHeight="1">
      <c r="A288" s="50"/>
      <c r="B288" s="38"/>
      <c r="C288" s="143" t="s">
        <v>2523</v>
      </c>
      <c r="D288" s="813" t="str">
        <f>IF(CNSIPEE_2024_M2_Secc1!D49="","",CNSIPEE_2024_M2_Secc1!D49)</f>
        <v/>
      </c>
      <c r="E288" s="814"/>
      <c r="F288" s="814"/>
      <c r="G288" s="814"/>
      <c r="H288" s="814"/>
      <c r="I288" s="814"/>
      <c r="J288" s="814"/>
      <c r="K288" s="814"/>
      <c r="L288" s="814"/>
      <c r="M288" s="814"/>
      <c r="N288" s="814"/>
      <c r="O288" s="814"/>
      <c r="P288" s="814"/>
      <c r="Q288" s="814"/>
      <c r="R288" s="815"/>
      <c r="S288" s="749"/>
      <c r="T288" s="749"/>
      <c r="U288" s="749"/>
      <c r="V288" s="749"/>
      <c r="W288" s="749"/>
      <c r="X288" s="749"/>
      <c r="Y288" s="749"/>
      <c r="Z288" s="749"/>
      <c r="AA288" s="749"/>
      <c r="AB288" s="749"/>
      <c r="AC288" s="749"/>
      <c r="AD288" s="749"/>
      <c r="AG288" s="326">
        <f>IF(AND(COUNTBLANK(D288)=0,$C$190&lt;&gt;"",$C$190&lt;&gt;1,COUNTA(S288:AD288)=0),0,IF(AND(COUNTBLANK(D288)=0,$C$190&lt;&gt;"",$C$190=1,$S288&lt;&gt;"",$S288&lt;&gt;1,COUNTA(Y288)=0),0,IF(AND(COUNTBLANK(D288)=0,$C$190&lt;&gt;"",$C$190=1,$S288&lt;&gt;"",$S288=1,COUNTA(Y288)=1),0,IF(AND(COUNTBLANK(D288)=1,COUNTA(S288:AD288)=0),0,1))))</f>
        <v>0</v>
      </c>
      <c r="AH288" s="353">
        <f>COUNTIF(Y288,"NS")</f>
        <v>0</v>
      </c>
      <c r="AI288" s="342">
        <f>IF(AND($S288&lt;&gt;"",$S288&lt;&gt;1,COUNTA(Y288)&gt;0),1,0)</f>
        <v>0</v>
      </c>
      <c r="AJ288" s="342">
        <f>IF(AND($C$190&lt;&gt;"",$C$190&lt;&gt;1,COUNTA(S288:AD288)&gt;0),1,0)</f>
        <v>0</v>
      </c>
      <c r="AK288" s="253">
        <f t="shared" si="28"/>
        <v>0</v>
      </c>
    </row>
    <row r="289" spans="1:37" ht="15" customHeight="1">
      <c r="A289" s="50"/>
      <c r="B289" s="38"/>
      <c r="C289" s="84"/>
      <c r="D289" s="84"/>
      <c r="E289" s="84"/>
      <c r="F289" s="84"/>
      <c r="G289" s="84"/>
      <c r="H289" s="84"/>
      <c r="I289" s="84"/>
      <c r="J289" s="84"/>
      <c r="K289" s="84"/>
      <c r="L289" s="84"/>
      <c r="M289" s="84"/>
      <c r="N289" s="84"/>
      <c r="O289" s="84"/>
      <c r="P289" s="84"/>
      <c r="Q289" s="84"/>
      <c r="X289" s="99" t="s">
        <v>2649</v>
      </c>
      <c r="Y289" s="736">
        <f>IF(AND(SUM(Y281:AD288)=0,COUNTIF(Y281:AD288,"NS")&gt;0),"NS",
IF(AND(SUM(Y281:AD288)=0,COUNTIF(Y281:AD288,0)&gt;0),0,
IF(AND(SUM(Y281:AD288)=0,COUNTIF(Y281:AD288,"NA")&gt;0),"NA",
SUM(Y281:AD288))))</f>
        <v>0</v>
      </c>
      <c r="Z289" s="736"/>
      <c r="AA289" s="736"/>
      <c r="AB289" s="736"/>
      <c r="AC289" s="736"/>
      <c r="AD289" s="736"/>
      <c r="AG289" s="349">
        <f>SUM(AG281:AG288)</f>
        <v>0</v>
      </c>
      <c r="AH289" s="350">
        <f>SUM(AH281:AH288)</f>
        <v>0</v>
      </c>
      <c r="AI289" s="465">
        <f>SUM(AI281:AI288)</f>
        <v>0</v>
      </c>
      <c r="AJ289" s="465">
        <f>SUM(AJ281:AJ288)</f>
        <v>0</v>
      </c>
      <c r="AK289" s="466">
        <f>SUM(AK281:AK288)</f>
        <v>0</v>
      </c>
    </row>
    <row r="290" spans="1:37" ht="15" customHeight="1">
      <c r="A290" s="50"/>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c r="AA290" s="38"/>
      <c r="AB290" s="38"/>
      <c r="AC290" s="38"/>
      <c r="AD290" s="38"/>
    </row>
    <row r="291" spans="1:37" ht="24" customHeight="1">
      <c r="A291" s="50"/>
      <c r="B291" s="38"/>
      <c r="C291" s="754" t="s">
        <v>2611</v>
      </c>
      <c r="D291" s="754"/>
      <c r="E291" s="754"/>
      <c r="F291" s="754"/>
      <c r="G291" s="754"/>
      <c r="H291" s="754"/>
      <c r="I291" s="754"/>
      <c r="J291" s="754"/>
      <c r="K291" s="754"/>
      <c r="L291" s="754"/>
      <c r="M291" s="754"/>
      <c r="N291" s="754"/>
      <c r="O291" s="754"/>
      <c r="P291" s="754"/>
      <c r="Q291" s="754"/>
      <c r="R291" s="754"/>
      <c r="S291" s="754"/>
      <c r="T291" s="754"/>
      <c r="U291" s="754"/>
      <c r="V291" s="754"/>
      <c r="W291" s="754"/>
      <c r="X291" s="754"/>
      <c r="Y291" s="754"/>
      <c r="Z291" s="754"/>
      <c r="AA291" s="754"/>
      <c r="AB291" s="754"/>
      <c r="AC291" s="754"/>
      <c r="AD291" s="754"/>
    </row>
    <row r="292" spans="1:37" ht="60" customHeight="1">
      <c r="A292" s="50"/>
      <c r="B292" s="38"/>
      <c r="C292" s="851"/>
      <c r="D292" s="851"/>
      <c r="E292" s="851"/>
      <c r="F292" s="851"/>
      <c r="G292" s="851"/>
      <c r="H292" s="851"/>
      <c r="I292" s="851"/>
      <c r="J292" s="851"/>
      <c r="K292" s="851"/>
      <c r="L292" s="851"/>
      <c r="M292" s="851"/>
      <c r="N292" s="851"/>
      <c r="O292" s="851"/>
      <c r="P292" s="851"/>
      <c r="Q292" s="851"/>
      <c r="R292" s="851"/>
      <c r="S292" s="851"/>
      <c r="T292" s="851"/>
      <c r="U292" s="851"/>
      <c r="V292" s="851"/>
      <c r="W292" s="851"/>
      <c r="X292" s="851"/>
      <c r="Y292" s="851"/>
      <c r="Z292" s="851"/>
      <c r="AA292" s="851"/>
      <c r="AB292" s="851"/>
      <c r="AC292" s="851"/>
      <c r="AD292" s="851"/>
    </row>
    <row r="293" spans="1:37" ht="15" customHeight="1">
      <c r="A293" s="50"/>
      <c r="B293" s="794" t="str">
        <f>IF(AG289&gt;0,"Favor de ingresar toda la información requerida en la pregunta y/o verifique que no tenga información en celdas sombreadas","")</f>
        <v/>
      </c>
      <c r="C293" s="794"/>
      <c r="D293" s="794"/>
      <c r="E293" s="794"/>
      <c r="F293" s="794"/>
      <c r="G293" s="794"/>
      <c r="H293" s="794"/>
      <c r="I293" s="794"/>
      <c r="J293" s="794"/>
      <c r="K293" s="794"/>
      <c r="L293" s="794"/>
      <c r="M293" s="794"/>
      <c r="N293" s="794"/>
      <c r="O293" s="794"/>
      <c r="P293" s="794"/>
      <c r="Q293" s="794"/>
      <c r="R293" s="794"/>
      <c r="S293" s="794"/>
      <c r="T293" s="794"/>
      <c r="U293" s="794"/>
      <c r="V293" s="794"/>
      <c r="W293" s="794"/>
      <c r="X293" s="794"/>
      <c r="Y293" s="794"/>
      <c r="Z293" s="794"/>
      <c r="AA293" s="794"/>
      <c r="AB293" s="794"/>
      <c r="AC293" s="794"/>
      <c r="AD293" s="794"/>
      <c r="AE293"/>
    </row>
    <row r="294" spans="1:37" ht="15" customHeight="1">
      <c r="A294" s="50"/>
      <c r="B294" s="795" t="str">
        <f>IF(AH289&gt;0,"Alerta: debido a que cuenta con registros NS, debe proporcionar una justificación en el area de comentarios al final de la pregunta","")</f>
        <v/>
      </c>
      <c r="C294" s="795"/>
      <c r="D294" s="795"/>
      <c r="E294" s="795"/>
      <c r="F294" s="795"/>
      <c r="G294" s="795"/>
      <c r="H294" s="795"/>
      <c r="I294" s="795"/>
      <c r="J294" s="795"/>
      <c r="K294" s="795"/>
      <c r="L294" s="795"/>
      <c r="M294" s="795"/>
      <c r="N294" s="795"/>
      <c r="O294" s="795"/>
      <c r="P294" s="795"/>
      <c r="Q294" s="795"/>
      <c r="R294" s="795"/>
      <c r="S294" s="795"/>
      <c r="T294" s="795"/>
      <c r="U294" s="795"/>
      <c r="V294" s="795"/>
      <c r="W294" s="795"/>
      <c r="X294" s="795"/>
      <c r="Y294" s="795"/>
      <c r="Z294" s="795"/>
      <c r="AA294" s="795"/>
      <c r="AB294" s="795"/>
      <c r="AC294" s="795"/>
      <c r="AD294" s="795"/>
      <c r="AE294"/>
    </row>
    <row r="295" spans="1:37" ht="15" customHeight="1">
      <c r="A295" s="50"/>
      <c r="B295" s="794" t="str">
        <f>IF(AK289&gt;0,"No puede ingresar cero en la col. Quejas y/ o denuncias debido a que registró el código 1 en la col. ¿La unidad de asuntos internos...?","")</f>
        <v/>
      </c>
      <c r="C295" s="794"/>
      <c r="D295" s="794"/>
      <c r="E295" s="794"/>
      <c r="F295" s="794"/>
      <c r="G295" s="794"/>
      <c r="H295" s="794"/>
      <c r="I295" s="794"/>
      <c r="J295" s="794"/>
      <c r="K295" s="794"/>
      <c r="L295" s="794"/>
      <c r="M295" s="794"/>
      <c r="N295" s="794"/>
      <c r="O295" s="794"/>
      <c r="P295" s="794"/>
      <c r="Q295" s="794"/>
      <c r="R295" s="794"/>
      <c r="S295" s="794"/>
      <c r="T295" s="794"/>
      <c r="U295" s="794"/>
      <c r="V295" s="794"/>
      <c r="W295" s="794"/>
      <c r="X295" s="794"/>
      <c r="Y295" s="794"/>
      <c r="Z295" s="794"/>
      <c r="AA295" s="794"/>
      <c r="AB295" s="794"/>
      <c r="AC295" s="794"/>
      <c r="AD295" s="794"/>
      <c r="AE295" s="794"/>
    </row>
    <row r="296" spans="1:37" ht="15" customHeight="1">
      <c r="A296" s="50"/>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c r="AA296" s="38"/>
      <c r="AB296" s="38"/>
      <c r="AC296" s="38"/>
      <c r="AD296" s="38"/>
      <c r="AE296"/>
    </row>
    <row r="297" spans="1:37" ht="15" customHeight="1">
      <c r="A297" s="161"/>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c r="AA297" s="38"/>
      <c r="AB297" s="38"/>
      <c r="AC297" s="38"/>
      <c r="AD297" s="38"/>
      <c r="AE297"/>
    </row>
    <row r="298" spans="1:37" ht="15" customHeight="1">
      <c r="A298" s="50"/>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c r="AA298" s="38"/>
      <c r="AB298" s="38"/>
      <c r="AC298" s="38"/>
      <c r="AD298" s="38"/>
      <c r="AE298"/>
    </row>
    <row r="299" spans="1:37" ht="48" customHeight="1">
      <c r="A299" s="49" t="s">
        <v>4044</v>
      </c>
      <c r="B299" s="960" t="s">
        <v>4045</v>
      </c>
      <c r="C299" s="960"/>
      <c r="D299" s="960"/>
      <c r="E299" s="960"/>
      <c r="F299" s="960"/>
      <c r="G299" s="960"/>
      <c r="H299" s="960"/>
      <c r="I299" s="960"/>
      <c r="J299" s="960"/>
      <c r="K299" s="960"/>
      <c r="L299" s="960"/>
      <c r="M299" s="960"/>
      <c r="N299" s="960"/>
      <c r="O299" s="960"/>
      <c r="P299" s="960"/>
      <c r="Q299" s="960"/>
      <c r="R299" s="960"/>
      <c r="S299" s="960"/>
      <c r="T299" s="960"/>
      <c r="U299" s="960"/>
      <c r="V299" s="960"/>
      <c r="W299" s="960"/>
      <c r="X299" s="960"/>
      <c r="Y299" s="960"/>
      <c r="Z299" s="960"/>
      <c r="AA299" s="960"/>
      <c r="AB299" s="960"/>
      <c r="AC299" s="960"/>
      <c r="AD299" s="960"/>
    </row>
    <row r="300" spans="1:37" ht="48" customHeight="1">
      <c r="A300" s="49"/>
      <c r="B300" s="57"/>
      <c r="C300" s="830" t="s">
        <v>4046</v>
      </c>
      <c r="D300" s="830"/>
      <c r="E300" s="830"/>
      <c r="F300" s="830"/>
      <c r="G300" s="830"/>
      <c r="H300" s="830"/>
      <c r="I300" s="830"/>
      <c r="J300" s="830"/>
      <c r="K300" s="830"/>
      <c r="L300" s="830"/>
      <c r="M300" s="830"/>
      <c r="N300" s="830"/>
      <c r="O300" s="830"/>
      <c r="P300" s="830"/>
      <c r="Q300" s="830"/>
      <c r="R300" s="830"/>
      <c r="S300" s="830"/>
      <c r="T300" s="830"/>
      <c r="U300" s="830"/>
      <c r="V300" s="830"/>
      <c r="W300" s="830"/>
      <c r="X300" s="830"/>
      <c r="Y300" s="830"/>
      <c r="Z300" s="830"/>
      <c r="AA300" s="830"/>
      <c r="AB300" s="830"/>
      <c r="AC300" s="830"/>
      <c r="AD300" s="830"/>
    </row>
    <row r="301" spans="1:37" ht="36" customHeight="1">
      <c r="A301" s="49"/>
      <c r="B301" s="57"/>
      <c r="C301" s="830" t="s">
        <v>4047</v>
      </c>
      <c r="D301" s="830"/>
      <c r="E301" s="830"/>
      <c r="F301" s="830"/>
      <c r="G301" s="830"/>
      <c r="H301" s="830"/>
      <c r="I301" s="830"/>
      <c r="J301" s="830"/>
      <c r="K301" s="830"/>
      <c r="L301" s="830"/>
      <c r="M301" s="830"/>
      <c r="N301" s="830"/>
      <c r="O301" s="830"/>
      <c r="P301" s="830"/>
      <c r="Q301" s="830"/>
      <c r="R301" s="830"/>
      <c r="S301" s="830"/>
      <c r="T301" s="830"/>
      <c r="U301" s="830"/>
      <c r="V301" s="830"/>
      <c r="W301" s="830"/>
      <c r="X301" s="830"/>
      <c r="Y301" s="830"/>
      <c r="Z301" s="830"/>
      <c r="AA301" s="830"/>
      <c r="AB301" s="830"/>
      <c r="AC301" s="830"/>
      <c r="AD301" s="830"/>
    </row>
    <row r="302" spans="1:37" ht="36" customHeight="1">
      <c r="A302" s="49"/>
      <c r="B302" s="57"/>
      <c r="C302" s="754" t="s">
        <v>4048</v>
      </c>
      <c r="D302" s="754"/>
      <c r="E302" s="754"/>
      <c r="F302" s="754"/>
      <c r="G302" s="754"/>
      <c r="H302" s="754"/>
      <c r="I302" s="754"/>
      <c r="J302" s="754"/>
      <c r="K302" s="754"/>
      <c r="L302" s="754"/>
      <c r="M302" s="754"/>
      <c r="N302" s="754"/>
      <c r="O302" s="754"/>
      <c r="P302" s="754"/>
      <c r="Q302" s="754"/>
      <c r="R302" s="754"/>
      <c r="S302" s="754"/>
      <c r="T302" s="754"/>
      <c r="U302" s="754"/>
      <c r="V302" s="754"/>
      <c r="W302" s="754"/>
      <c r="X302" s="754"/>
      <c r="Y302" s="754"/>
      <c r="Z302" s="754"/>
      <c r="AA302" s="754"/>
      <c r="AB302" s="754"/>
      <c r="AC302" s="754"/>
      <c r="AD302" s="754"/>
    </row>
    <row r="303" spans="1:37" ht="36" customHeight="1">
      <c r="A303" s="49"/>
      <c r="B303" s="57"/>
      <c r="C303" s="754" t="s">
        <v>4049</v>
      </c>
      <c r="D303" s="754"/>
      <c r="E303" s="754"/>
      <c r="F303" s="754"/>
      <c r="G303" s="754"/>
      <c r="H303" s="754"/>
      <c r="I303" s="754"/>
      <c r="J303" s="754"/>
      <c r="K303" s="754"/>
      <c r="L303" s="754"/>
      <c r="M303" s="754"/>
      <c r="N303" s="754"/>
      <c r="O303" s="754"/>
      <c r="P303" s="754"/>
      <c r="Q303" s="754"/>
      <c r="R303" s="754"/>
      <c r="S303" s="754"/>
      <c r="T303" s="754"/>
      <c r="U303" s="754"/>
      <c r="V303" s="754"/>
      <c r="W303" s="754"/>
      <c r="X303" s="754"/>
      <c r="Y303" s="754"/>
      <c r="Z303" s="754"/>
      <c r="AA303" s="754"/>
      <c r="AB303" s="754"/>
      <c r="AC303" s="754"/>
      <c r="AD303" s="754"/>
    </row>
    <row r="304" spans="1:37" ht="24" customHeight="1">
      <c r="A304" s="49"/>
      <c r="B304" s="57"/>
      <c r="C304" s="754" t="s">
        <v>4050</v>
      </c>
      <c r="D304" s="754"/>
      <c r="E304" s="754"/>
      <c r="F304" s="754"/>
      <c r="G304" s="754"/>
      <c r="H304" s="754"/>
      <c r="I304" s="754"/>
      <c r="J304" s="754"/>
      <c r="K304" s="754"/>
      <c r="L304" s="754"/>
      <c r="M304" s="754"/>
      <c r="N304" s="754"/>
      <c r="O304" s="754"/>
      <c r="P304" s="754"/>
      <c r="Q304" s="754"/>
      <c r="R304" s="754"/>
      <c r="S304" s="754"/>
      <c r="T304" s="754"/>
      <c r="U304" s="754"/>
      <c r="V304" s="754"/>
      <c r="W304" s="754"/>
      <c r="X304" s="754"/>
      <c r="Y304" s="754"/>
      <c r="Z304" s="754"/>
      <c r="AA304" s="754"/>
      <c r="AB304" s="754"/>
      <c r="AC304" s="754"/>
      <c r="AD304" s="754"/>
    </row>
    <row r="305" spans="1:38">
      <c r="A305" s="103"/>
      <c r="B305" s="57"/>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c r="AA305" s="38"/>
      <c r="AB305" s="38"/>
      <c r="AC305" s="38"/>
      <c r="AD305" s="38"/>
    </row>
    <row r="306" spans="1:38" ht="48" customHeight="1">
      <c r="A306" s="49"/>
      <c r="B306" s="57"/>
      <c r="C306" s="732" t="s">
        <v>4051</v>
      </c>
      <c r="D306" s="732"/>
      <c r="E306" s="732"/>
      <c r="F306" s="732"/>
      <c r="G306" s="732"/>
      <c r="H306" s="732"/>
      <c r="I306" s="732"/>
      <c r="J306" s="732"/>
      <c r="K306" s="732"/>
      <c r="L306" s="732"/>
      <c r="M306" s="732"/>
      <c r="N306" s="732"/>
      <c r="O306" s="732"/>
      <c r="P306" s="732"/>
      <c r="Q306" s="732" t="s">
        <v>4052</v>
      </c>
      <c r="R306" s="732"/>
      <c r="S306" s="732"/>
      <c r="T306" s="732"/>
      <c r="U306" s="732"/>
      <c r="V306" s="732"/>
      <c r="W306" s="732"/>
      <c r="X306" s="732"/>
      <c r="Y306" s="732"/>
      <c r="Z306" s="732"/>
      <c r="AA306" s="732"/>
      <c r="AB306" s="732"/>
      <c r="AC306" s="732"/>
      <c r="AD306" s="732"/>
      <c r="AG306" s="354" t="s">
        <v>2586</v>
      </c>
      <c r="AH306" s="350" t="s">
        <v>2590</v>
      </c>
      <c r="AI306" s="365" t="s">
        <v>2620</v>
      </c>
      <c r="AJ306" s="500" t="s">
        <v>4016</v>
      </c>
    </row>
    <row r="307" spans="1:38">
      <c r="A307" s="49"/>
      <c r="B307" s="57"/>
      <c r="C307" s="749"/>
      <c r="D307" s="749"/>
      <c r="E307" s="749"/>
      <c r="F307" s="749"/>
      <c r="G307" s="749"/>
      <c r="H307" s="749"/>
      <c r="I307" s="749"/>
      <c r="J307" s="749"/>
      <c r="K307" s="749"/>
      <c r="L307" s="749"/>
      <c r="M307" s="749"/>
      <c r="N307" s="749"/>
      <c r="O307" s="749"/>
      <c r="P307" s="749"/>
      <c r="Q307" s="749"/>
      <c r="R307" s="749"/>
      <c r="S307" s="749"/>
      <c r="T307" s="749"/>
      <c r="U307" s="749"/>
      <c r="V307" s="749"/>
      <c r="W307" s="749"/>
      <c r="X307" s="749"/>
      <c r="Y307" s="749"/>
      <c r="Z307" s="749"/>
      <c r="AA307" s="749"/>
      <c r="AB307" s="749"/>
      <c r="AC307" s="749"/>
      <c r="AD307" s="749"/>
      <c r="AG307" s="326">
        <f>IF(AND($C$190&lt;&gt;"",$C$190&lt;&gt;1,COUNTA(C307,Q307,D310:AD319)=0),0,IF(AND($C$190&lt;&gt;"",$C$190=1,$C307&lt;&gt;"",$C307&lt;&gt;1,COUNTA(Q307)=0,COUNTA(D310:AD319)=0),0,IF(AND($C$190&lt;&gt;"",$C$190=1,$C307&lt;&gt;"",$C307=1,COUNTA(Q307)=1,OR(COUNTA(D310:AD319)=0,COUNTA(D310:AD319)&gt;0)),0,IF(AND(COUNTA(C307:AD307)=0,COUNTA(D310:AD319)=0),0,1))))</f>
        <v>0</v>
      </c>
      <c r="AH307" s="353">
        <f>COUNTIF(Q307,"NS")+COUNTIF(D310:AD319,"NS")</f>
        <v>0</v>
      </c>
      <c r="AI307" s="342">
        <f>IF(AND($C307&lt;&gt;"",$C307&lt;&gt;1,COUNTA(Q307,D310:AD319)&gt;0),1,0)</f>
        <v>0</v>
      </c>
      <c r="AJ307" s="342">
        <f>IF(AND($C$190&lt;&gt;"",$C$190&lt;&gt;1,COUNTA(C307:AD307,D310:AD319)&gt;0),1,0)</f>
        <v>0</v>
      </c>
    </row>
    <row r="308" spans="1:38">
      <c r="A308" s="103"/>
      <c r="B308" s="57"/>
      <c r="C308" s="86"/>
      <c r="D308" s="86"/>
      <c r="E308" s="86"/>
      <c r="F308" s="86"/>
      <c r="G308" s="86"/>
      <c r="H308" s="86"/>
      <c r="I308" s="86"/>
      <c r="J308" s="86"/>
      <c r="K308" s="86"/>
      <c r="L308" s="86"/>
      <c r="M308" s="86"/>
      <c r="N308" s="86"/>
      <c r="O308" s="86"/>
      <c r="P308" s="86"/>
      <c r="Q308" s="86"/>
      <c r="R308" s="86"/>
      <c r="S308" s="86"/>
      <c r="T308" s="86"/>
      <c r="U308" s="86"/>
      <c r="V308" s="86"/>
      <c r="W308" s="86"/>
      <c r="X308" s="86"/>
      <c r="Y308" s="86"/>
      <c r="Z308" s="86"/>
      <c r="AA308" s="86"/>
      <c r="AB308" s="86"/>
      <c r="AC308" s="86"/>
      <c r="AD308" s="86"/>
    </row>
    <row r="309" spans="1:38" ht="15" customHeight="1">
      <c r="A309" s="103"/>
      <c r="B309" s="57"/>
      <c r="C309" s="739" t="s">
        <v>4053</v>
      </c>
      <c r="D309" s="740"/>
      <c r="E309" s="740"/>
      <c r="F309" s="740"/>
      <c r="G309" s="740"/>
      <c r="H309" s="740"/>
      <c r="I309" s="740"/>
      <c r="J309" s="740"/>
      <c r="K309" s="740"/>
      <c r="L309" s="740"/>
      <c r="M309" s="740"/>
      <c r="N309" s="740"/>
      <c r="O309" s="740"/>
      <c r="P309" s="740"/>
      <c r="Q309" s="740"/>
      <c r="R309" s="740"/>
      <c r="S309" s="740"/>
      <c r="T309" s="740"/>
      <c r="U309" s="740"/>
      <c r="V309" s="740"/>
      <c r="W309" s="740"/>
      <c r="X309" s="740"/>
      <c r="Y309" s="740"/>
      <c r="Z309" s="740"/>
      <c r="AA309" s="740"/>
      <c r="AB309" s="740"/>
      <c r="AC309" s="740"/>
      <c r="AD309" s="741"/>
      <c r="AG309" s="496" t="s">
        <v>2587</v>
      </c>
      <c r="AH309" s="497"/>
      <c r="AI309" s="496" t="s">
        <v>2588</v>
      </c>
      <c r="AJ309" s="497"/>
      <c r="AK309" s="496" t="s">
        <v>2589</v>
      </c>
      <c r="AL309"/>
    </row>
    <row r="310" spans="1:38">
      <c r="A310" s="103"/>
      <c r="B310" s="57"/>
      <c r="C310" s="44" t="s">
        <v>2516</v>
      </c>
      <c r="D310" s="882"/>
      <c r="E310" s="883"/>
      <c r="F310" s="883"/>
      <c r="G310" s="883"/>
      <c r="H310" s="883"/>
      <c r="I310" s="883"/>
      <c r="J310" s="883"/>
      <c r="K310" s="883"/>
      <c r="L310" s="883"/>
      <c r="M310" s="883"/>
      <c r="N310" s="883"/>
      <c r="O310" s="883"/>
      <c r="P310" s="883"/>
      <c r="Q310" s="883"/>
      <c r="R310" s="883"/>
      <c r="S310" s="883"/>
      <c r="T310" s="883"/>
      <c r="U310" s="883"/>
      <c r="V310" s="883"/>
      <c r="W310" s="883"/>
      <c r="X310" s="883"/>
      <c r="Y310" s="883"/>
      <c r="Z310" s="883"/>
      <c r="AA310" s="883"/>
      <c r="AB310" s="883"/>
      <c r="AC310" s="883"/>
      <c r="AD310" s="884"/>
      <c r="AG310" s="326" t="b">
        <f>NOT(EXACT(D310,UPPER(D310)))</f>
        <v>0</v>
      </c>
      <c r="AH310" s="326" t="str">
        <f>SUBSTITUTE( SUBSTITUTE( SUBSTITUTE( SUBSTITUTE( SUBSTITUTE( SUBSTITUTE( SUBSTITUTE( SUBSTITUTE( SUBSTITUTE( SUBSTITUTE(D310, "á", "a"), "é", "e"), "í", "i"), "ó", "o"), "ú", "u"), "Á", "A"), "É", "E"), "Í", "I"), "Ó", "O"), "Ú", "U")</f>
        <v/>
      </c>
      <c r="AI310" s="326" t="b">
        <f>NOT(EXACT(D310,AH310))</f>
        <v>0</v>
      </c>
      <c r="AJ310" s="326" t="str">
        <f>SUBSTITUTE((SUBSTITUTE(SUBSTITUTE(SUBSTITUTE(D310,".",""),",",""),"(","")),")","")</f>
        <v/>
      </c>
      <c r="AK310" s="326" t="b">
        <f>NOT(EXACT(D310,AJ310))</f>
        <v>0</v>
      </c>
      <c r="AL310"/>
    </row>
    <row r="311" spans="1:38" ht="15" customHeight="1">
      <c r="A311" s="103"/>
      <c r="B311" s="57"/>
      <c r="C311" s="199" t="s">
        <v>2517</v>
      </c>
      <c r="D311" s="1034"/>
      <c r="E311" s="883"/>
      <c r="F311" s="883"/>
      <c r="G311" s="883"/>
      <c r="H311" s="883"/>
      <c r="I311" s="883"/>
      <c r="J311" s="883"/>
      <c r="K311" s="883"/>
      <c r="L311" s="883"/>
      <c r="M311" s="883"/>
      <c r="N311" s="883"/>
      <c r="O311" s="883"/>
      <c r="P311" s="883"/>
      <c r="Q311" s="883"/>
      <c r="R311" s="883"/>
      <c r="S311" s="883"/>
      <c r="T311" s="883"/>
      <c r="U311" s="883"/>
      <c r="V311" s="883"/>
      <c r="W311" s="883"/>
      <c r="X311" s="883"/>
      <c r="Y311" s="883"/>
      <c r="Z311" s="883"/>
      <c r="AA311" s="883"/>
      <c r="AB311" s="883"/>
      <c r="AC311" s="883"/>
      <c r="AD311" s="884"/>
      <c r="AG311" s="326" t="b">
        <f t="shared" ref="AG311:AG319" si="29">NOT(EXACT(D311,UPPER(D311)))</f>
        <v>0</v>
      </c>
      <c r="AH311" s="326" t="str">
        <f t="shared" ref="AH311:AH319" si="30">SUBSTITUTE( SUBSTITUTE( SUBSTITUTE( SUBSTITUTE( SUBSTITUTE( SUBSTITUTE( SUBSTITUTE( SUBSTITUTE( SUBSTITUTE( SUBSTITUTE(D311, "á", "a"), "é", "e"), "í", "i"), "ó", "o"), "ú", "u"), "Á", "A"), "É", "E"), "Í", "I"), "Ó", "O"), "Ú", "U")</f>
        <v/>
      </c>
      <c r="AI311" s="326" t="b">
        <f t="shared" ref="AI311:AI319" si="31">NOT(EXACT(D311,AH311))</f>
        <v>0</v>
      </c>
      <c r="AJ311" s="326" t="str">
        <f t="shared" ref="AJ311:AJ319" si="32">SUBSTITUTE((SUBSTITUTE(SUBSTITUTE(SUBSTITUTE(D311,".",""),",",""),"(","")),")","")</f>
        <v/>
      </c>
      <c r="AK311" s="326" t="b">
        <f t="shared" ref="AK311:AK319" si="33">NOT(EXACT(D311,AJ311))</f>
        <v>0</v>
      </c>
      <c r="AL311"/>
    </row>
    <row r="312" spans="1:38" ht="15" customHeight="1">
      <c r="A312" s="103"/>
      <c r="B312" s="57"/>
      <c r="C312" s="199" t="s">
        <v>2518</v>
      </c>
      <c r="D312" s="1034"/>
      <c r="E312" s="883"/>
      <c r="F312" s="883"/>
      <c r="G312" s="883"/>
      <c r="H312" s="883"/>
      <c r="I312" s="883"/>
      <c r="J312" s="883"/>
      <c r="K312" s="883"/>
      <c r="L312" s="883"/>
      <c r="M312" s="883"/>
      <c r="N312" s="883"/>
      <c r="O312" s="883"/>
      <c r="P312" s="883"/>
      <c r="Q312" s="883"/>
      <c r="R312" s="883"/>
      <c r="S312" s="883"/>
      <c r="T312" s="883"/>
      <c r="U312" s="883"/>
      <c r="V312" s="883"/>
      <c r="W312" s="883"/>
      <c r="X312" s="883"/>
      <c r="Y312" s="883"/>
      <c r="Z312" s="883"/>
      <c r="AA312" s="883"/>
      <c r="AB312" s="883"/>
      <c r="AC312" s="883"/>
      <c r="AD312" s="884"/>
      <c r="AG312" s="326" t="b">
        <f t="shared" si="29"/>
        <v>0</v>
      </c>
      <c r="AH312" s="326" t="str">
        <f t="shared" si="30"/>
        <v/>
      </c>
      <c r="AI312" s="326" t="b">
        <f t="shared" si="31"/>
        <v>0</v>
      </c>
      <c r="AJ312" s="326" t="str">
        <f t="shared" si="32"/>
        <v/>
      </c>
      <c r="AK312" s="326" t="b">
        <f t="shared" si="33"/>
        <v>0</v>
      </c>
      <c r="AL312"/>
    </row>
    <row r="313" spans="1:38" ht="15" customHeight="1">
      <c r="A313" s="103"/>
      <c r="B313" s="57"/>
      <c r="C313" s="199" t="s">
        <v>2519</v>
      </c>
      <c r="D313" s="1034"/>
      <c r="E313" s="883"/>
      <c r="F313" s="883"/>
      <c r="G313" s="883"/>
      <c r="H313" s="883"/>
      <c r="I313" s="883"/>
      <c r="J313" s="883"/>
      <c r="K313" s="883"/>
      <c r="L313" s="883"/>
      <c r="M313" s="883"/>
      <c r="N313" s="883"/>
      <c r="O313" s="883"/>
      <c r="P313" s="883"/>
      <c r="Q313" s="883"/>
      <c r="R313" s="883"/>
      <c r="S313" s="883"/>
      <c r="T313" s="883"/>
      <c r="U313" s="883"/>
      <c r="V313" s="883"/>
      <c r="W313" s="883"/>
      <c r="X313" s="883"/>
      <c r="Y313" s="883"/>
      <c r="Z313" s="883"/>
      <c r="AA313" s="883"/>
      <c r="AB313" s="883"/>
      <c r="AC313" s="883"/>
      <c r="AD313" s="884"/>
      <c r="AG313" s="326" t="b">
        <f t="shared" si="29"/>
        <v>0</v>
      </c>
      <c r="AH313" s="326" t="str">
        <f t="shared" si="30"/>
        <v/>
      </c>
      <c r="AI313" s="326" t="b">
        <f t="shared" si="31"/>
        <v>0</v>
      </c>
      <c r="AJ313" s="326" t="str">
        <f t="shared" si="32"/>
        <v/>
      </c>
      <c r="AK313" s="326" t="b">
        <f t="shared" si="33"/>
        <v>0</v>
      </c>
      <c r="AL313"/>
    </row>
    <row r="314" spans="1:38" ht="15" customHeight="1">
      <c r="A314" s="103"/>
      <c r="B314" s="57"/>
      <c r="C314" s="199" t="s">
        <v>2520</v>
      </c>
      <c r="D314" s="1034"/>
      <c r="E314" s="883"/>
      <c r="F314" s="883"/>
      <c r="G314" s="883"/>
      <c r="H314" s="883"/>
      <c r="I314" s="883"/>
      <c r="J314" s="883"/>
      <c r="K314" s="883"/>
      <c r="L314" s="883"/>
      <c r="M314" s="883"/>
      <c r="N314" s="883"/>
      <c r="O314" s="883"/>
      <c r="P314" s="883"/>
      <c r="Q314" s="883"/>
      <c r="R314" s="883"/>
      <c r="S314" s="883"/>
      <c r="T314" s="883"/>
      <c r="U314" s="883"/>
      <c r="V314" s="883"/>
      <c r="W314" s="883"/>
      <c r="X314" s="883"/>
      <c r="Y314" s="883"/>
      <c r="Z314" s="883"/>
      <c r="AA314" s="883"/>
      <c r="AB314" s="883"/>
      <c r="AC314" s="883"/>
      <c r="AD314" s="884"/>
      <c r="AG314" s="326" t="b">
        <f t="shared" si="29"/>
        <v>0</v>
      </c>
      <c r="AH314" s="326" t="str">
        <f t="shared" si="30"/>
        <v/>
      </c>
      <c r="AI314" s="326" t="b">
        <f t="shared" si="31"/>
        <v>0</v>
      </c>
      <c r="AJ314" s="326" t="str">
        <f t="shared" si="32"/>
        <v/>
      </c>
      <c r="AK314" s="326" t="b">
        <f t="shared" si="33"/>
        <v>0</v>
      </c>
      <c r="AL314"/>
    </row>
    <row r="315" spans="1:38" ht="15" customHeight="1">
      <c r="A315" s="103"/>
      <c r="B315" s="57"/>
      <c r="C315" s="199" t="s">
        <v>2521</v>
      </c>
      <c r="D315" s="1034"/>
      <c r="E315" s="883"/>
      <c r="F315" s="883"/>
      <c r="G315" s="883"/>
      <c r="H315" s="883"/>
      <c r="I315" s="883"/>
      <c r="J315" s="883"/>
      <c r="K315" s="883"/>
      <c r="L315" s="883"/>
      <c r="M315" s="883"/>
      <c r="N315" s="883"/>
      <c r="O315" s="883"/>
      <c r="P315" s="883"/>
      <c r="Q315" s="883"/>
      <c r="R315" s="883"/>
      <c r="S315" s="883"/>
      <c r="T315" s="883"/>
      <c r="U315" s="883"/>
      <c r="V315" s="883"/>
      <c r="W315" s="883"/>
      <c r="X315" s="883"/>
      <c r="Y315" s="883"/>
      <c r="Z315" s="883"/>
      <c r="AA315" s="883"/>
      <c r="AB315" s="883"/>
      <c r="AC315" s="883"/>
      <c r="AD315" s="884"/>
      <c r="AG315" s="326" t="b">
        <f t="shared" si="29"/>
        <v>0</v>
      </c>
      <c r="AH315" s="326" t="str">
        <f t="shared" si="30"/>
        <v/>
      </c>
      <c r="AI315" s="326" t="b">
        <f t="shared" si="31"/>
        <v>0</v>
      </c>
      <c r="AJ315" s="326" t="str">
        <f t="shared" si="32"/>
        <v/>
      </c>
      <c r="AK315" s="326" t="b">
        <f t="shared" si="33"/>
        <v>0</v>
      </c>
      <c r="AL315"/>
    </row>
    <row r="316" spans="1:38" ht="15" customHeight="1">
      <c r="A316" s="103"/>
      <c r="B316" s="57"/>
      <c r="C316" s="199" t="s">
        <v>2522</v>
      </c>
      <c r="D316" s="1034"/>
      <c r="E316" s="883"/>
      <c r="F316" s="883"/>
      <c r="G316" s="883"/>
      <c r="H316" s="883"/>
      <c r="I316" s="883"/>
      <c r="J316" s="883"/>
      <c r="K316" s="883"/>
      <c r="L316" s="883"/>
      <c r="M316" s="883"/>
      <c r="N316" s="883"/>
      <c r="O316" s="883"/>
      <c r="P316" s="883"/>
      <c r="Q316" s="883"/>
      <c r="R316" s="883"/>
      <c r="S316" s="883"/>
      <c r="T316" s="883"/>
      <c r="U316" s="883"/>
      <c r="V316" s="883"/>
      <c r="W316" s="883"/>
      <c r="X316" s="883"/>
      <c r="Y316" s="883"/>
      <c r="Z316" s="883"/>
      <c r="AA316" s="883"/>
      <c r="AB316" s="883"/>
      <c r="AC316" s="883"/>
      <c r="AD316" s="884"/>
      <c r="AG316" s="326" t="b">
        <f t="shared" si="29"/>
        <v>0</v>
      </c>
      <c r="AH316" s="326" t="str">
        <f t="shared" si="30"/>
        <v/>
      </c>
      <c r="AI316" s="326" t="b">
        <f t="shared" si="31"/>
        <v>0</v>
      </c>
      <c r="AJ316" s="326" t="str">
        <f t="shared" si="32"/>
        <v/>
      </c>
      <c r="AK316" s="326" t="b">
        <f t="shared" si="33"/>
        <v>0</v>
      </c>
      <c r="AL316"/>
    </row>
    <row r="317" spans="1:38" ht="15" customHeight="1">
      <c r="A317" s="103"/>
      <c r="B317" s="57"/>
      <c r="C317" s="199" t="s">
        <v>2523</v>
      </c>
      <c r="D317" s="1034"/>
      <c r="E317" s="883"/>
      <c r="F317" s="883"/>
      <c r="G317" s="883"/>
      <c r="H317" s="883"/>
      <c r="I317" s="883"/>
      <c r="J317" s="883"/>
      <c r="K317" s="883"/>
      <c r="L317" s="883"/>
      <c r="M317" s="883"/>
      <c r="N317" s="883"/>
      <c r="O317" s="883"/>
      <c r="P317" s="883"/>
      <c r="Q317" s="883"/>
      <c r="R317" s="883"/>
      <c r="S317" s="883"/>
      <c r="T317" s="883"/>
      <c r="U317" s="883"/>
      <c r="V317" s="883"/>
      <c r="W317" s="883"/>
      <c r="X317" s="883"/>
      <c r="Y317" s="883"/>
      <c r="Z317" s="883"/>
      <c r="AA317" s="883"/>
      <c r="AB317" s="883"/>
      <c r="AC317" s="883"/>
      <c r="AD317" s="884"/>
      <c r="AG317" s="326" t="b">
        <f>NOT(EXACT(D317,UPPER(D317)))</f>
        <v>0</v>
      </c>
      <c r="AH317" s="326" t="str">
        <f t="shared" si="30"/>
        <v/>
      </c>
      <c r="AI317" s="326" t="b">
        <f t="shared" si="31"/>
        <v>0</v>
      </c>
      <c r="AJ317" s="326" t="str">
        <f t="shared" si="32"/>
        <v/>
      </c>
      <c r="AK317" s="326" t="b">
        <f t="shared" si="33"/>
        <v>0</v>
      </c>
      <c r="AL317"/>
    </row>
    <row r="318" spans="1:38" ht="15" customHeight="1">
      <c r="A318" s="103"/>
      <c r="B318" s="57"/>
      <c r="C318" s="199" t="s">
        <v>2524</v>
      </c>
      <c r="D318" s="1034"/>
      <c r="E318" s="883"/>
      <c r="F318" s="883"/>
      <c r="G318" s="883"/>
      <c r="H318" s="883"/>
      <c r="I318" s="883"/>
      <c r="J318" s="883"/>
      <c r="K318" s="883"/>
      <c r="L318" s="883"/>
      <c r="M318" s="883"/>
      <c r="N318" s="883"/>
      <c r="O318" s="883"/>
      <c r="P318" s="883"/>
      <c r="Q318" s="883"/>
      <c r="R318" s="883"/>
      <c r="S318" s="883"/>
      <c r="T318" s="883"/>
      <c r="U318" s="883"/>
      <c r="V318" s="883"/>
      <c r="W318" s="883"/>
      <c r="X318" s="883"/>
      <c r="Y318" s="883"/>
      <c r="Z318" s="883"/>
      <c r="AA318" s="883"/>
      <c r="AB318" s="883"/>
      <c r="AC318" s="883"/>
      <c r="AD318" s="884"/>
      <c r="AG318" s="326" t="b">
        <f t="shared" si="29"/>
        <v>0</v>
      </c>
      <c r="AH318" s="326" t="str">
        <f t="shared" si="30"/>
        <v/>
      </c>
      <c r="AI318" s="326" t="b">
        <f t="shared" si="31"/>
        <v>0</v>
      </c>
      <c r="AJ318" s="326" t="str">
        <f t="shared" si="32"/>
        <v/>
      </c>
      <c r="AK318" s="326" t="b">
        <f t="shared" si="33"/>
        <v>0</v>
      </c>
      <c r="AL318"/>
    </row>
    <row r="319" spans="1:38" ht="15" customHeight="1">
      <c r="A319" s="103"/>
      <c r="B319" s="57"/>
      <c r="C319" s="199" t="s">
        <v>2525</v>
      </c>
      <c r="D319" s="1034"/>
      <c r="E319" s="883"/>
      <c r="F319" s="883"/>
      <c r="G319" s="883"/>
      <c r="H319" s="883"/>
      <c r="I319" s="883"/>
      <c r="J319" s="883"/>
      <c r="K319" s="883"/>
      <c r="L319" s="883"/>
      <c r="M319" s="883"/>
      <c r="N319" s="883"/>
      <c r="O319" s="883"/>
      <c r="P319" s="883"/>
      <c r="Q319" s="883"/>
      <c r="R319" s="883"/>
      <c r="S319" s="883"/>
      <c r="T319" s="883"/>
      <c r="U319" s="883"/>
      <c r="V319" s="883"/>
      <c r="W319" s="883"/>
      <c r="X319" s="883"/>
      <c r="Y319" s="883"/>
      <c r="Z319" s="883"/>
      <c r="AA319" s="883"/>
      <c r="AB319" s="883"/>
      <c r="AC319" s="883"/>
      <c r="AD319" s="884"/>
      <c r="AG319" s="326" t="b">
        <f t="shared" si="29"/>
        <v>0</v>
      </c>
      <c r="AH319" s="326" t="str">
        <f t="shared" si="30"/>
        <v/>
      </c>
      <c r="AI319" s="326" t="b">
        <f t="shared" si="31"/>
        <v>0</v>
      </c>
      <c r="AJ319" s="326" t="str">
        <f t="shared" si="32"/>
        <v/>
      </c>
      <c r="AK319" s="326" t="b">
        <f t="shared" si="33"/>
        <v>0</v>
      </c>
      <c r="AL319"/>
    </row>
    <row r="320" spans="1:38" ht="15" customHeight="1">
      <c r="A320" s="103"/>
      <c r="B320" s="57"/>
      <c r="C320" s="86"/>
      <c r="D320" s="86"/>
      <c r="E320" s="86"/>
      <c r="F320" s="86"/>
      <c r="G320" s="86"/>
      <c r="H320" s="86"/>
      <c r="I320" s="86"/>
      <c r="J320" s="86"/>
      <c r="K320" s="86"/>
      <c r="L320" s="86"/>
      <c r="M320" s="86"/>
      <c r="N320" s="86"/>
      <c r="O320" s="86"/>
      <c r="P320" s="86"/>
      <c r="Q320" s="86"/>
      <c r="R320" s="86"/>
      <c r="S320" s="86"/>
      <c r="T320" s="86"/>
      <c r="U320" s="86"/>
      <c r="V320" s="86"/>
      <c r="W320" s="86"/>
      <c r="X320" s="86"/>
      <c r="Y320" s="86"/>
      <c r="Z320" s="86"/>
      <c r="AA320" s="86"/>
      <c r="AB320" s="86"/>
      <c r="AC320" s="86"/>
      <c r="AD320" s="86"/>
      <c r="AG320" s="498">
        <f>COUNTIF(AG310:AG319,TRUE)</f>
        <v>0</v>
      </c>
      <c r="AH320" s="283"/>
      <c r="AI320" s="498">
        <f>COUNTIF(AI310:AI319,TRUE)</f>
        <v>0</v>
      </c>
      <c r="AJ320" s="283"/>
      <c r="AK320" s="498">
        <f>COUNTIF(AK310:AK319,TRUE)</f>
        <v>0</v>
      </c>
      <c r="AL320" s="498">
        <f>SUM(AG320,AI320,AK320)</f>
        <v>0</v>
      </c>
    </row>
    <row r="321" spans="1:63" ht="24" customHeight="1">
      <c r="A321" s="49"/>
      <c r="B321" s="38"/>
      <c r="C321" s="754" t="s">
        <v>2611</v>
      </c>
      <c r="D321" s="754"/>
      <c r="E321" s="754"/>
      <c r="F321" s="754"/>
      <c r="G321" s="754"/>
      <c r="H321" s="754"/>
      <c r="I321" s="754"/>
      <c r="J321" s="754"/>
      <c r="K321" s="754"/>
      <c r="L321" s="754"/>
      <c r="M321" s="754"/>
      <c r="N321" s="754"/>
      <c r="O321" s="754"/>
      <c r="P321" s="754"/>
      <c r="Q321" s="754"/>
      <c r="R321" s="754"/>
      <c r="S321" s="754"/>
      <c r="T321" s="754"/>
      <c r="U321" s="754"/>
      <c r="V321" s="754"/>
      <c r="W321" s="754"/>
      <c r="X321" s="754"/>
      <c r="Y321" s="754"/>
      <c r="Z321" s="754"/>
      <c r="AA321" s="754"/>
      <c r="AB321" s="754"/>
      <c r="AC321" s="754"/>
      <c r="AD321" s="754"/>
    </row>
    <row r="322" spans="1:63" ht="60" customHeight="1">
      <c r="A322" s="49"/>
      <c r="B322" s="38"/>
      <c r="C322" s="851"/>
      <c r="D322" s="851"/>
      <c r="E322" s="851"/>
      <c r="F322" s="851"/>
      <c r="G322" s="851"/>
      <c r="H322" s="851"/>
      <c r="I322" s="851"/>
      <c r="J322" s="851"/>
      <c r="K322" s="851"/>
      <c r="L322" s="851"/>
      <c r="M322" s="851"/>
      <c r="N322" s="851"/>
      <c r="O322" s="851"/>
      <c r="P322" s="851"/>
      <c r="Q322" s="851"/>
      <c r="R322" s="851"/>
      <c r="S322" s="851"/>
      <c r="T322" s="851"/>
      <c r="U322" s="851"/>
      <c r="V322" s="851"/>
      <c r="W322" s="851"/>
      <c r="X322" s="851"/>
      <c r="Y322" s="851"/>
      <c r="Z322" s="851"/>
      <c r="AA322" s="851"/>
      <c r="AB322" s="851"/>
      <c r="AC322" s="851"/>
      <c r="AD322" s="851"/>
    </row>
    <row r="323" spans="1:63" ht="15" customHeight="1">
      <c r="A323" s="49"/>
      <c r="B323" s="794" t="str">
        <f>IF(AG307&gt;0,"Favor de ingresar toda la información requerida en la pregunta y/o verifique que no tenga información en celdas sombreadas","")</f>
        <v/>
      </c>
      <c r="C323" s="794"/>
      <c r="D323" s="794"/>
      <c r="E323" s="794"/>
      <c r="F323" s="794"/>
      <c r="G323" s="794"/>
      <c r="H323" s="794"/>
      <c r="I323" s="794"/>
      <c r="J323" s="794"/>
      <c r="K323" s="794"/>
      <c r="L323" s="794"/>
      <c r="M323" s="794"/>
      <c r="N323" s="794"/>
      <c r="O323" s="794"/>
      <c r="P323" s="794"/>
      <c r="Q323" s="794"/>
      <c r="R323" s="794"/>
      <c r="S323" s="794"/>
      <c r="T323" s="794"/>
      <c r="U323" s="794"/>
      <c r="V323" s="794"/>
      <c r="W323" s="794"/>
      <c r="X323" s="794"/>
      <c r="Y323" s="794"/>
      <c r="Z323" s="794"/>
      <c r="AA323" s="794"/>
      <c r="AB323" s="794"/>
      <c r="AC323" s="794"/>
      <c r="AD323" s="794"/>
    </row>
    <row r="324" spans="1:63" ht="15" customHeight="1">
      <c r="A324" s="49"/>
      <c r="B324" s="795" t="str">
        <f>IF(AH307&gt;0,"Alerta: debido a que cuenta con registros NS, debe proporcionar una justificación en el area de comentarios al final de la pregunta","")</f>
        <v/>
      </c>
      <c r="C324" s="795"/>
      <c r="D324" s="795"/>
      <c r="E324" s="795"/>
      <c r="F324" s="795"/>
      <c r="G324" s="795"/>
      <c r="H324" s="795"/>
      <c r="I324" s="795"/>
      <c r="J324" s="795"/>
      <c r="K324" s="795"/>
      <c r="L324" s="795"/>
      <c r="M324" s="795"/>
      <c r="N324" s="795"/>
      <c r="O324" s="795"/>
      <c r="P324" s="795"/>
      <c r="Q324" s="795"/>
      <c r="R324" s="795"/>
      <c r="S324" s="795"/>
      <c r="T324" s="795"/>
      <c r="U324" s="795"/>
      <c r="V324" s="795"/>
      <c r="W324" s="795"/>
      <c r="X324" s="795"/>
      <c r="Y324" s="795"/>
      <c r="Z324" s="795"/>
      <c r="AA324" s="795"/>
      <c r="AB324" s="795"/>
      <c r="AC324" s="795"/>
      <c r="AD324" s="795"/>
    </row>
    <row r="325" spans="1:63" ht="15" customHeight="1">
      <c r="A325" s="49"/>
      <c r="B325" s="794" t="str">
        <f>IF(AL320=0,"","El nombre debe registrarse en mayúsculas, sin comillas ni signos de acentuación, puntuación, paréntesis y abreviaturas")</f>
        <v/>
      </c>
      <c r="C325" s="794"/>
      <c r="D325" s="794"/>
      <c r="E325" s="794"/>
      <c r="F325" s="794"/>
      <c r="G325" s="794"/>
      <c r="H325" s="794"/>
      <c r="I325" s="794"/>
      <c r="J325" s="794"/>
      <c r="K325" s="794"/>
      <c r="L325" s="794"/>
      <c r="M325" s="794"/>
      <c r="N325" s="794"/>
      <c r="O325" s="794"/>
      <c r="P325" s="794"/>
      <c r="Q325" s="794"/>
      <c r="R325" s="794"/>
      <c r="S325" s="794"/>
      <c r="T325" s="794"/>
      <c r="U325" s="794"/>
      <c r="V325" s="794"/>
      <c r="W325" s="794"/>
      <c r="X325" s="794"/>
      <c r="Y325" s="794"/>
      <c r="Z325" s="794"/>
      <c r="AA325" s="794"/>
      <c r="AB325" s="794"/>
      <c r="AC325" s="794"/>
      <c r="AD325" s="794"/>
    </row>
    <row r="326" spans="1:63" ht="15" customHeight="1">
      <c r="A326" s="49"/>
      <c r="B326" s="57"/>
      <c r="C326" s="57"/>
      <c r="D326" s="57"/>
      <c r="E326" s="57"/>
      <c r="F326" s="57"/>
      <c r="G326" s="57"/>
      <c r="H326" s="57"/>
      <c r="I326" s="57"/>
      <c r="J326" s="57"/>
      <c r="K326" s="57"/>
      <c r="L326" s="57"/>
      <c r="M326" s="57"/>
      <c r="N326" s="57"/>
      <c r="O326" s="57"/>
      <c r="P326" s="57"/>
      <c r="Q326" s="57"/>
      <c r="R326" s="57"/>
      <c r="S326" s="57"/>
      <c r="T326" s="57"/>
      <c r="U326" s="57"/>
      <c r="V326" s="57"/>
      <c r="W326" s="57"/>
      <c r="X326" s="57"/>
      <c r="Y326" s="57"/>
      <c r="Z326" s="57"/>
      <c r="AA326" s="57"/>
      <c r="AB326" s="57"/>
      <c r="AC326" s="57"/>
      <c r="AD326" s="57"/>
    </row>
    <row r="327" spans="1:63" ht="15" customHeight="1">
      <c r="A327" s="94"/>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c r="AA327" s="38"/>
      <c r="AB327" s="38"/>
      <c r="AC327" s="38"/>
      <c r="AD327" s="38"/>
    </row>
    <row r="328" spans="1:63" ht="15.75" thickBot="1">
      <c r="A328" s="94"/>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c r="AA328" s="38"/>
      <c r="AB328" s="38"/>
      <c r="AC328" s="38"/>
      <c r="AD328" s="38"/>
    </row>
    <row r="329" spans="1:63" customFormat="1" ht="15" customHeight="1" thickBot="1">
      <c r="A329" s="153" t="s">
        <v>2563</v>
      </c>
      <c r="B329" s="831" t="s">
        <v>4054</v>
      </c>
      <c r="C329" s="832"/>
      <c r="D329" s="832"/>
      <c r="E329" s="832"/>
      <c r="F329" s="832"/>
      <c r="G329" s="832"/>
      <c r="H329" s="832"/>
      <c r="I329" s="832"/>
      <c r="J329" s="832"/>
      <c r="K329" s="832"/>
      <c r="L329" s="832"/>
      <c r="M329" s="832"/>
      <c r="N329" s="832"/>
      <c r="O329" s="832"/>
      <c r="P329" s="832"/>
      <c r="Q329" s="832"/>
      <c r="R329" s="832"/>
      <c r="S329" s="832"/>
      <c r="T329" s="832"/>
      <c r="U329" s="832"/>
      <c r="V329" s="832"/>
      <c r="W329" s="832"/>
      <c r="X329" s="832"/>
      <c r="Y329" s="832"/>
      <c r="Z329" s="832"/>
      <c r="AA329" s="832"/>
      <c r="AB329" s="832"/>
      <c r="AC329" s="832"/>
      <c r="AD329" s="833"/>
      <c r="AE329" s="3"/>
    </row>
    <row r="330" spans="1:63" ht="15" customHeight="1">
      <c r="A330" s="147"/>
      <c r="B330" s="1006" t="s">
        <v>3157</v>
      </c>
      <c r="C330" s="893"/>
      <c r="D330" s="893"/>
      <c r="E330" s="893"/>
      <c r="F330" s="893"/>
      <c r="G330" s="893"/>
      <c r="H330" s="893"/>
      <c r="I330" s="893"/>
      <c r="J330" s="893"/>
      <c r="K330" s="893"/>
      <c r="L330" s="893"/>
      <c r="M330" s="893"/>
      <c r="N330" s="893"/>
      <c r="O330" s="893"/>
      <c r="P330" s="893"/>
      <c r="Q330" s="893"/>
      <c r="R330" s="893"/>
      <c r="S330" s="893"/>
      <c r="T330" s="893"/>
      <c r="U330" s="893"/>
      <c r="V330" s="893"/>
      <c r="W330" s="893"/>
      <c r="X330" s="893"/>
      <c r="Y330" s="893"/>
      <c r="Z330" s="893"/>
      <c r="AA330" s="893"/>
      <c r="AB330" s="893"/>
      <c r="AC330" s="893"/>
      <c r="AD330" s="1007"/>
    </row>
    <row r="331" spans="1:63" ht="36" customHeight="1">
      <c r="A331" s="94"/>
      <c r="B331" s="154"/>
      <c r="C331" s="754" t="s">
        <v>4055</v>
      </c>
      <c r="D331" s="754"/>
      <c r="E331" s="754"/>
      <c r="F331" s="754"/>
      <c r="G331" s="754"/>
      <c r="H331" s="754"/>
      <c r="I331" s="754"/>
      <c r="J331" s="754"/>
      <c r="K331" s="754"/>
      <c r="L331" s="754"/>
      <c r="M331" s="754"/>
      <c r="N331" s="754"/>
      <c r="O331" s="754"/>
      <c r="P331" s="754"/>
      <c r="Q331" s="754"/>
      <c r="R331" s="754"/>
      <c r="S331" s="754"/>
      <c r="T331" s="754"/>
      <c r="U331" s="754"/>
      <c r="V331" s="754"/>
      <c r="W331" s="754"/>
      <c r="X331" s="754"/>
      <c r="Y331" s="754"/>
      <c r="Z331" s="754"/>
      <c r="AA331" s="754"/>
      <c r="AB331" s="754"/>
      <c r="AC331" s="754"/>
      <c r="AD331" s="755"/>
    </row>
    <row r="332" spans="1:63" ht="24" customHeight="1">
      <c r="A332" s="94"/>
      <c r="B332" s="154"/>
      <c r="C332" s="754" t="s">
        <v>4056</v>
      </c>
      <c r="D332" s="754"/>
      <c r="E332" s="754"/>
      <c r="F332" s="754"/>
      <c r="G332" s="754"/>
      <c r="H332" s="754"/>
      <c r="I332" s="754"/>
      <c r="J332" s="754"/>
      <c r="K332" s="754"/>
      <c r="L332" s="754"/>
      <c r="M332" s="754"/>
      <c r="N332" s="754"/>
      <c r="O332" s="754"/>
      <c r="P332" s="754"/>
      <c r="Q332" s="754"/>
      <c r="R332" s="754"/>
      <c r="S332" s="754"/>
      <c r="T332" s="754"/>
      <c r="U332" s="754"/>
      <c r="V332" s="754"/>
      <c r="W332" s="754"/>
      <c r="X332" s="754"/>
      <c r="Y332" s="754"/>
      <c r="Z332" s="754"/>
      <c r="AA332" s="754"/>
      <c r="AB332" s="754"/>
      <c r="AC332" s="754"/>
      <c r="AD332" s="755"/>
    </row>
    <row r="333" spans="1:63" s="244" customFormat="1" ht="15" customHeight="1">
      <c r="A333" s="103"/>
      <c r="B333" s="892" t="s">
        <v>2565</v>
      </c>
      <c r="C333" s="893"/>
      <c r="D333" s="893"/>
      <c r="E333" s="893"/>
      <c r="F333" s="893"/>
      <c r="G333" s="893"/>
      <c r="H333" s="893"/>
      <c r="I333" s="893"/>
      <c r="J333" s="893"/>
      <c r="K333" s="893"/>
      <c r="L333" s="893"/>
      <c r="M333" s="893"/>
      <c r="N333" s="893"/>
      <c r="O333" s="893"/>
      <c r="P333" s="893"/>
      <c r="Q333" s="893"/>
      <c r="R333" s="893"/>
      <c r="S333" s="893"/>
      <c r="T333" s="893"/>
      <c r="U333" s="893"/>
      <c r="V333" s="893"/>
      <c r="W333" s="893"/>
      <c r="X333" s="893"/>
      <c r="Y333" s="893"/>
      <c r="Z333" s="893"/>
      <c r="AA333" s="893"/>
      <c r="AB333" s="893"/>
      <c r="AC333" s="893"/>
      <c r="AD333" s="894"/>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row>
    <row r="334" spans="1:63" ht="24" customHeight="1">
      <c r="A334" s="49"/>
      <c r="B334" s="76"/>
      <c r="C334" s="754" t="s">
        <v>4057</v>
      </c>
      <c r="D334" s="754"/>
      <c r="E334" s="754"/>
      <c r="F334" s="754"/>
      <c r="G334" s="754"/>
      <c r="H334" s="754"/>
      <c r="I334" s="754"/>
      <c r="J334" s="754"/>
      <c r="K334" s="754"/>
      <c r="L334" s="754"/>
      <c r="M334" s="754"/>
      <c r="N334" s="754"/>
      <c r="O334" s="754"/>
      <c r="P334" s="754"/>
      <c r="Q334" s="754"/>
      <c r="R334" s="754"/>
      <c r="S334" s="754"/>
      <c r="T334" s="754"/>
      <c r="U334" s="754"/>
      <c r="V334" s="754"/>
      <c r="W334" s="754"/>
      <c r="X334" s="754"/>
      <c r="Y334" s="754"/>
      <c r="Z334" s="754"/>
      <c r="AA334" s="754"/>
      <c r="AB334" s="754"/>
      <c r="AC334" s="754"/>
      <c r="AD334" s="755"/>
    </row>
    <row r="335" spans="1:63" ht="48" customHeight="1">
      <c r="A335" s="94"/>
      <c r="B335" s="156"/>
      <c r="C335" s="754" t="s">
        <v>4058</v>
      </c>
      <c r="D335" s="754"/>
      <c r="E335" s="754"/>
      <c r="F335" s="754"/>
      <c r="G335" s="754"/>
      <c r="H335" s="754"/>
      <c r="I335" s="754"/>
      <c r="J335" s="754"/>
      <c r="K335" s="754"/>
      <c r="L335" s="754"/>
      <c r="M335" s="754"/>
      <c r="N335" s="754"/>
      <c r="O335" s="754"/>
      <c r="P335" s="754"/>
      <c r="Q335" s="754"/>
      <c r="R335" s="754"/>
      <c r="S335" s="754"/>
      <c r="T335" s="754"/>
      <c r="U335" s="754"/>
      <c r="V335" s="754"/>
      <c r="W335" s="754"/>
      <c r="X335" s="754"/>
      <c r="Y335" s="754"/>
      <c r="Z335" s="754"/>
      <c r="AA335" s="754"/>
      <c r="AB335" s="754"/>
      <c r="AC335" s="754"/>
      <c r="AD335" s="755"/>
    </row>
    <row r="336" spans="1:63" ht="15" customHeight="1">
      <c r="A336" s="49"/>
      <c r="B336" s="76"/>
      <c r="C336" s="754" t="s">
        <v>4059</v>
      </c>
      <c r="D336" s="754"/>
      <c r="E336" s="754"/>
      <c r="F336" s="754"/>
      <c r="G336" s="754"/>
      <c r="H336" s="754"/>
      <c r="I336" s="754"/>
      <c r="J336" s="754"/>
      <c r="K336" s="754"/>
      <c r="L336" s="754"/>
      <c r="M336" s="754"/>
      <c r="N336" s="754"/>
      <c r="O336" s="754"/>
      <c r="P336" s="754"/>
      <c r="Q336" s="754"/>
      <c r="R336" s="754"/>
      <c r="S336" s="754"/>
      <c r="T336" s="754"/>
      <c r="U336" s="754"/>
      <c r="V336" s="754"/>
      <c r="W336" s="754"/>
      <c r="X336" s="754"/>
      <c r="Y336" s="754"/>
      <c r="Z336" s="754"/>
      <c r="AA336" s="754"/>
      <c r="AB336" s="754"/>
      <c r="AC336" s="754"/>
      <c r="AD336" s="755"/>
    </row>
    <row r="337" spans="1:43" ht="24" customHeight="1">
      <c r="A337" s="94"/>
      <c r="B337" s="156"/>
      <c r="C337" s="754" t="s">
        <v>4060</v>
      </c>
      <c r="D337" s="754"/>
      <c r="E337" s="754"/>
      <c r="F337" s="754"/>
      <c r="G337" s="754"/>
      <c r="H337" s="754"/>
      <c r="I337" s="754"/>
      <c r="J337" s="754"/>
      <c r="K337" s="754"/>
      <c r="L337" s="754"/>
      <c r="M337" s="754"/>
      <c r="N337" s="754"/>
      <c r="O337" s="754"/>
      <c r="P337" s="754"/>
      <c r="Q337" s="754"/>
      <c r="R337" s="754"/>
      <c r="S337" s="754"/>
      <c r="T337" s="754"/>
      <c r="U337" s="754"/>
      <c r="V337" s="754"/>
      <c r="W337" s="754"/>
      <c r="X337" s="754"/>
      <c r="Y337" s="754"/>
      <c r="Z337" s="754"/>
      <c r="AA337" s="754"/>
      <c r="AB337" s="754"/>
      <c r="AC337" s="754"/>
      <c r="AD337" s="755"/>
    </row>
    <row r="338" spans="1:43" ht="24" customHeight="1">
      <c r="A338" s="94"/>
      <c r="B338" s="156"/>
      <c r="C338" s="754" t="s">
        <v>4061</v>
      </c>
      <c r="D338" s="754"/>
      <c r="E338" s="754"/>
      <c r="F338" s="754"/>
      <c r="G338" s="754"/>
      <c r="H338" s="754"/>
      <c r="I338" s="754"/>
      <c r="J338" s="754"/>
      <c r="K338" s="754"/>
      <c r="L338" s="754"/>
      <c r="M338" s="754"/>
      <c r="N338" s="754"/>
      <c r="O338" s="754"/>
      <c r="P338" s="754"/>
      <c r="Q338" s="754"/>
      <c r="R338" s="754"/>
      <c r="S338" s="754"/>
      <c r="T338" s="754"/>
      <c r="U338" s="754"/>
      <c r="V338" s="754"/>
      <c r="W338" s="754"/>
      <c r="X338" s="754"/>
      <c r="Y338" s="754"/>
      <c r="Z338" s="754"/>
      <c r="AA338" s="754"/>
      <c r="AB338" s="754"/>
      <c r="AC338" s="754"/>
      <c r="AD338" s="755"/>
    </row>
    <row r="339" spans="1:43" ht="24" customHeight="1">
      <c r="A339" s="49"/>
      <c r="B339" s="669"/>
      <c r="C339" s="876" t="s">
        <v>4062</v>
      </c>
      <c r="D339" s="876"/>
      <c r="E339" s="876"/>
      <c r="F339" s="876"/>
      <c r="G339" s="876"/>
      <c r="H339" s="876"/>
      <c r="I339" s="876"/>
      <c r="J339" s="876"/>
      <c r="K339" s="876"/>
      <c r="L339" s="876"/>
      <c r="M339" s="876"/>
      <c r="N339" s="876"/>
      <c r="O339" s="876"/>
      <c r="P339" s="876"/>
      <c r="Q339" s="876"/>
      <c r="R339" s="876"/>
      <c r="S339" s="876"/>
      <c r="T339" s="876"/>
      <c r="U339" s="876"/>
      <c r="V339" s="876"/>
      <c r="W339" s="876"/>
      <c r="X339" s="876"/>
      <c r="Y339" s="876"/>
      <c r="Z339" s="876"/>
      <c r="AA339" s="876"/>
      <c r="AB339" s="876"/>
      <c r="AC339" s="876"/>
      <c r="AD339" s="877"/>
    </row>
    <row r="340" spans="1:43" ht="15" customHeight="1">
      <c r="A340" s="103"/>
      <c r="B340" s="57"/>
      <c r="C340" s="57"/>
      <c r="D340" s="57"/>
      <c r="E340" s="57"/>
      <c r="F340" s="57"/>
      <c r="G340" s="57"/>
      <c r="H340" s="57"/>
      <c r="I340" s="57"/>
      <c r="J340" s="57"/>
      <c r="K340" s="57"/>
      <c r="L340" s="57"/>
      <c r="M340" s="57"/>
      <c r="N340" s="57"/>
      <c r="O340" s="57"/>
      <c r="P340" s="57"/>
      <c r="Q340" s="57"/>
      <c r="R340" s="57"/>
      <c r="S340" s="57"/>
      <c r="T340" s="57"/>
      <c r="U340" s="57"/>
      <c r="V340" s="57"/>
      <c r="W340" s="57"/>
      <c r="X340" s="57"/>
      <c r="Y340" s="57"/>
      <c r="Z340" s="57"/>
      <c r="AA340" s="57"/>
      <c r="AB340" s="57"/>
      <c r="AC340" s="57"/>
      <c r="AD340" s="57"/>
    </row>
    <row r="341" spans="1:43" ht="36" customHeight="1">
      <c r="A341" s="49" t="s">
        <v>4063</v>
      </c>
      <c r="B341" s="829" t="s">
        <v>4064</v>
      </c>
      <c r="C341" s="829"/>
      <c r="D341" s="829"/>
      <c r="E341" s="829"/>
      <c r="F341" s="829"/>
      <c r="G341" s="829"/>
      <c r="H341" s="829"/>
      <c r="I341" s="829"/>
      <c r="J341" s="829"/>
      <c r="K341" s="829"/>
      <c r="L341" s="829"/>
      <c r="M341" s="829"/>
      <c r="N341" s="829"/>
      <c r="O341" s="829"/>
      <c r="P341" s="829"/>
      <c r="Q341" s="829"/>
      <c r="R341" s="829"/>
      <c r="S341" s="829"/>
      <c r="T341" s="829"/>
      <c r="U341" s="829"/>
      <c r="V341" s="829"/>
      <c r="W341" s="829"/>
      <c r="X341" s="829"/>
      <c r="Y341" s="829"/>
      <c r="Z341" s="829"/>
      <c r="AA341" s="829"/>
      <c r="AB341" s="829"/>
      <c r="AC341" s="829"/>
      <c r="AD341" s="829"/>
    </row>
    <row r="342" spans="1:43" ht="24" customHeight="1">
      <c r="A342" s="49"/>
      <c r="B342" s="57"/>
      <c r="C342" s="830" t="s">
        <v>4065</v>
      </c>
      <c r="D342" s="830"/>
      <c r="E342" s="830"/>
      <c r="F342" s="830"/>
      <c r="G342" s="830"/>
      <c r="H342" s="830"/>
      <c r="I342" s="830"/>
      <c r="J342" s="830"/>
      <c r="K342" s="830"/>
      <c r="L342" s="830"/>
      <c r="M342" s="830"/>
      <c r="N342" s="830"/>
      <c r="O342" s="830"/>
      <c r="P342" s="830"/>
      <c r="Q342" s="830"/>
      <c r="R342" s="830"/>
      <c r="S342" s="830"/>
      <c r="T342" s="830"/>
      <c r="U342" s="830"/>
      <c r="V342" s="830"/>
      <c r="W342" s="830"/>
      <c r="X342" s="830"/>
      <c r="Y342" s="830"/>
      <c r="Z342" s="830"/>
      <c r="AA342" s="830"/>
      <c r="AB342" s="830"/>
      <c r="AC342" s="830"/>
      <c r="AD342" s="830"/>
    </row>
    <row r="343" spans="1:43" ht="24" customHeight="1">
      <c r="A343" s="49"/>
      <c r="B343" s="102"/>
      <c r="C343" s="754" t="s">
        <v>4066</v>
      </c>
      <c r="D343" s="754"/>
      <c r="E343" s="754"/>
      <c r="F343" s="754"/>
      <c r="G343" s="754"/>
      <c r="H343" s="754"/>
      <c r="I343" s="754"/>
      <c r="J343" s="754"/>
      <c r="K343" s="754"/>
      <c r="L343" s="754"/>
      <c r="M343" s="754"/>
      <c r="N343" s="754"/>
      <c r="O343" s="754"/>
      <c r="P343" s="754"/>
      <c r="Q343" s="754"/>
      <c r="R343" s="754"/>
      <c r="S343" s="754"/>
      <c r="T343" s="754"/>
      <c r="U343" s="754"/>
      <c r="V343" s="754"/>
      <c r="W343" s="754"/>
      <c r="X343" s="754"/>
      <c r="Y343" s="754"/>
      <c r="Z343" s="754"/>
      <c r="AA343" s="754"/>
      <c r="AB343" s="754"/>
      <c r="AC343" s="754"/>
      <c r="AD343" s="754"/>
    </row>
    <row r="344" spans="1:43" ht="24" customHeight="1">
      <c r="A344" s="94"/>
      <c r="B344" s="54"/>
      <c r="C344" s="754" t="s">
        <v>4067</v>
      </c>
      <c r="D344" s="754"/>
      <c r="E344" s="754"/>
      <c r="F344" s="754"/>
      <c r="G344" s="754"/>
      <c r="H344" s="754"/>
      <c r="I344" s="754"/>
      <c r="J344" s="754"/>
      <c r="K344" s="754"/>
      <c r="L344" s="754"/>
      <c r="M344" s="754"/>
      <c r="N344" s="754"/>
      <c r="O344" s="754"/>
      <c r="P344" s="754"/>
      <c r="Q344" s="754"/>
      <c r="R344" s="754"/>
      <c r="S344" s="754"/>
      <c r="T344" s="754"/>
      <c r="U344" s="754"/>
      <c r="V344" s="754"/>
      <c r="W344" s="754"/>
      <c r="X344" s="754"/>
      <c r="Y344" s="754"/>
      <c r="Z344" s="754"/>
      <c r="AA344" s="754"/>
      <c r="AB344" s="754"/>
      <c r="AC344" s="754"/>
      <c r="AD344" s="754"/>
    </row>
    <row r="345" spans="1:43" ht="15" customHeight="1">
      <c r="A345" s="49"/>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c r="AA345" s="38"/>
      <c r="AB345" s="38"/>
      <c r="AC345" s="38"/>
      <c r="AD345" s="38"/>
    </row>
    <row r="346" spans="1:43" ht="72" customHeight="1">
      <c r="A346" s="49"/>
      <c r="B346" s="38"/>
      <c r="C346" s="739" t="s">
        <v>4068</v>
      </c>
      <c r="D346" s="740"/>
      <c r="E346" s="740"/>
      <c r="F346" s="740"/>
      <c r="G346" s="740"/>
      <c r="H346" s="741"/>
      <c r="I346" s="739" t="s">
        <v>3941</v>
      </c>
      <c r="J346" s="740"/>
      <c r="K346" s="740"/>
      <c r="L346" s="740"/>
      <c r="M346" s="740"/>
      <c r="N346" s="741"/>
      <c r="O346" s="739" t="s">
        <v>3942</v>
      </c>
      <c r="P346" s="740"/>
      <c r="Q346" s="740"/>
      <c r="R346" s="740"/>
      <c r="S346" s="740"/>
      <c r="T346" s="740"/>
      <c r="U346" s="740"/>
      <c r="V346" s="740"/>
      <c r="W346" s="740"/>
      <c r="X346" s="740"/>
      <c r="Y346" s="740"/>
      <c r="Z346" s="740"/>
      <c r="AA346" s="740"/>
      <c r="AB346" s="740"/>
      <c r="AC346" s="740"/>
      <c r="AD346" s="741"/>
      <c r="AG346" s="354" t="s">
        <v>2586</v>
      </c>
      <c r="AH346" s="496" t="s">
        <v>2587</v>
      </c>
      <c r="AI346" s="497"/>
      <c r="AJ346" s="496" t="s">
        <v>2588</v>
      </c>
      <c r="AK346" s="497"/>
      <c r="AL346" s="496" t="s">
        <v>2589</v>
      </c>
      <c r="AM346"/>
      <c r="AN346" s="282" t="s">
        <v>2637</v>
      </c>
      <c r="AO346" s="365" t="s">
        <v>2620</v>
      </c>
      <c r="AP346" s="256" t="s">
        <v>2591</v>
      </c>
      <c r="AQ346" s="257" t="s">
        <v>2592</v>
      </c>
    </row>
    <row r="347" spans="1:43">
      <c r="A347" s="49"/>
      <c r="B347" s="38"/>
      <c r="C347" s="816"/>
      <c r="D347" s="738"/>
      <c r="E347" s="738"/>
      <c r="F347" s="738"/>
      <c r="G347" s="738"/>
      <c r="H347" s="738"/>
      <c r="I347" s="1038"/>
      <c r="J347" s="1039"/>
      <c r="K347" s="1039"/>
      <c r="L347" s="1039"/>
      <c r="M347" s="1039"/>
      <c r="N347" s="1039"/>
      <c r="O347" s="749"/>
      <c r="P347" s="749"/>
      <c r="Q347" s="749"/>
      <c r="R347" s="749"/>
      <c r="S347" s="749"/>
      <c r="T347" s="749"/>
      <c r="U347" s="749"/>
      <c r="V347" s="749"/>
      <c r="W347" s="749"/>
      <c r="X347" s="749"/>
      <c r="Y347" s="749"/>
      <c r="Z347" s="749"/>
      <c r="AA347" s="749"/>
      <c r="AB347" s="749"/>
      <c r="AC347" s="749"/>
      <c r="AD347" s="749"/>
      <c r="AG347" s="326">
        <f>IF(AND($C$347&lt;&gt;"",$C$347&lt;&gt;1,COUNTA(I347:AD347)=0),0,IF(AND($C$347&lt;&gt;"",$C$347=1,COUNTA(I347:AD347)=2),0,IF(AND($C$347="",COUNTA(I347:AD347)=0),0,1)))</f>
        <v>0</v>
      </c>
      <c r="AH347" s="326" t="b">
        <f>NOT(EXACT(O347,UPPER(O347)))</f>
        <v>0</v>
      </c>
      <c r="AI347" s="326" t="str">
        <f>SUBSTITUTE( SUBSTITUTE( SUBSTITUTE( SUBSTITUTE( SUBSTITUTE( SUBSTITUTE( SUBSTITUTE( SUBSTITUTE( SUBSTITUTE( SUBSTITUTE(O347, "á", "a"), "é", "e"), "í", "i"), "ó", "o"), "ú", "u"), "Á", "A"), "É", "E"), "Í", "I"), "Ó", "O"), "Ú", "U")</f>
        <v/>
      </c>
      <c r="AJ347" s="326" t="b">
        <f>NOT(EXACT(O347,AI347))</f>
        <v>0</v>
      </c>
      <c r="AK347" s="326" t="str">
        <f>SUBSTITUTE((SUBSTITUTE(SUBSTITUTE(SUBSTITUTE(O347,".",""),",",""),"(","")),")","")</f>
        <v/>
      </c>
      <c r="AL347" s="326" t="b">
        <f>NOT(EXACT(O347,AK347))</f>
        <v>0</v>
      </c>
      <c r="AM347"/>
      <c r="AN347" s="283">
        <f>COUNTIF(I347:AD347,"NS")</f>
        <v>0</v>
      </c>
      <c r="AO347" s="342">
        <f>IF(AND($C$347&lt;&gt;"",$C$347&lt;&gt;1,COUNTA(I347:AD347)&gt;0),1,0)</f>
        <v>0</v>
      </c>
      <c r="AP347" s="253">
        <f>LEN(I347)</f>
        <v>0</v>
      </c>
      <c r="AQ347" s="253">
        <f>IF(I347="NS",0,IF(AND(I347&lt;&gt;"",SUM(AP347)=4),0,IF(I347="",0,1)))</f>
        <v>0</v>
      </c>
    </row>
    <row r="348" spans="1:43" ht="15" customHeight="1">
      <c r="A348" s="49"/>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c r="AA348" s="38"/>
      <c r="AB348" s="38"/>
      <c r="AC348" s="38"/>
      <c r="AD348" s="38"/>
      <c r="AG348"/>
      <c r="AH348" s="498">
        <f>COUNTIF(AH347,TRUE)</f>
        <v>0</v>
      </c>
      <c r="AI348" s="283"/>
      <c r="AJ348" s="498">
        <f>COUNTIF(AJ347,TRUE)</f>
        <v>0</v>
      </c>
      <c r="AK348" s="283"/>
      <c r="AL348" s="498">
        <f>COUNTIF(AL347,TRUE)</f>
        <v>0</v>
      </c>
      <c r="AM348" s="498">
        <f>SUM(AH348,AJ348,AL348)</f>
        <v>0</v>
      </c>
      <c r="AN348"/>
      <c r="AO348"/>
      <c r="AP348"/>
      <c r="AQ348"/>
    </row>
    <row r="349" spans="1:43" ht="24" customHeight="1">
      <c r="A349" s="49"/>
      <c r="B349" s="38"/>
      <c r="C349" s="754" t="s">
        <v>2611</v>
      </c>
      <c r="D349" s="754"/>
      <c r="E349" s="754"/>
      <c r="F349" s="754"/>
      <c r="G349" s="754"/>
      <c r="H349" s="754"/>
      <c r="I349" s="754"/>
      <c r="J349" s="754"/>
      <c r="K349" s="754"/>
      <c r="L349" s="754"/>
      <c r="M349" s="754"/>
      <c r="N349" s="754"/>
      <c r="O349" s="754"/>
      <c r="P349" s="754"/>
      <c r="Q349" s="754"/>
      <c r="R349" s="754"/>
      <c r="S349" s="754"/>
      <c r="T349" s="754"/>
      <c r="U349" s="754"/>
      <c r="V349" s="754"/>
      <c r="W349" s="754"/>
      <c r="X349" s="754"/>
      <c r="Y349" s="754"/>
      <c r="Z349" s="754"/>
      <c r="AA349" s="754"/>
      <c r="AB349" s="754"/>
      <c r="AC349" s="754"/>
      <c r="AD349" s="754"/>
    </row>
    <row r="350" spans="1:43" ht="60" customHeight="1">
      <c r="A350" s="49"/>
      <c r="B350" s="38"/>
      <c r="C350" s="851"/>
      <c r="D350" s="851"/>
      <c r="E350" s="851"/>
      <c r="F350" s="851"/>
      <c r="G350" s="851"/>
      <c r="H350" s="851"/>
      <c r="I350" s="851"/>
      <c r="J350" s="851"/>
      <c r="K350" s="851"/>
      <c r="L350" s="851"/>
      <c r="M350" s="851"/>
      <c r="N350" s="851"/>
      <c r="O350" s="851"/>
      <c r="P350" s="851"/>
      <c r="Q350" s="851"/>
      <c r="R350" s="851"/>
      <c r="S350" s="851"/>
      <c r="T350" s="851"/>
      <c r="U350" s="851"/>
      <c r="V350" s="851"/>
      <c r="W350" s="851"/>
      <c r="X350" s="851"/>
      <c r="Y350" s="851"/>
      <c r="Z350" s="851"/>
      <c r="AA350" s="851"/>
      <c r="AB350" s="851"/>
      <c r="AC350" s="851"/>
      <c r="AD350" s="851"/>
    </row>
    <row r="351" spans="1:43" ht="15" customHeight="1">
      <c r="A351" s="103"/>
      <c r="B351" s="794" t="str">
        <f>IF(AG347&gt;0,"Favor de ingresar toda la información requerida en la pregunta y/o verifique que no tenga información en celdas sombreadas","")</f>
        <v/>
      </c>
      <c r="C351" s="794"/>
      <c r="D351" s="794"/>
      <c r="E351" s="794"/>
      <c r="F351" s="794"/>
      <c r="G351" s="794"/>
      <c r="H351" s="794"/>
      <c r="I351" s="794"/>
      <c r="J351" s="794"/>
      <c r="K351" s="794"/>
      <c r="L351" s="794"/>
      <c r="M351" s="794"/>
      <c r="N351" s="794"/>
      <c r="O351" s="794"/>
      <c r="P351" s="794"/>
      <c r="Q351" s="794"/>
      <c r="R351" s="794"/>
      <c r="S351" s="794"/>
      <c r="T351" s="794"/>
      <c r="U351" s="794"/>
      <c r="V351" s="794"/>
      <c r="W351" s="794"/>
      <c r="X351" s="794"/>
      <c r="Y351" s="794"/>
      <c r="Z351" s="794"/>
      <c r="AA351" s="794"/>
      <c r="AB351" s="794"/>
      <c r="AC351" s="794"/>
      <c r="AD351" s="794"/>
      <c r="AE351"/>
    </row>
    <row r="352" spans="1:43" ht="15" customHeight="1">
      <c r="A352" s="103"/>
      <c r="B352" s="795" t="str">
        <f>IF(AN347&gt;0,"Alerta: debido a que cuenta con registros NS, debe proporcionar una justificación en el area de comentarios al final de la pregunta","")</f>
        <v/>
      </c>
      <c r="C352" s="795"/>
      <c r="D352" s="795"/>
      <c r="E352" s="795"/>
      <c r="F352" s="795"/>
      <c r="G352" s="795"/>
      <c r="H352" s="795"/>
      <c r="I352" s="795"/>
      <c r="J352" s="795"/>
      <c r="K352" s="795"/>
      <c r="L352" s="795"/>
      <c r="M352" s="795"/>
      <c r="N352" s="795"/>
      <c r="O352" s="795"/>
      <c r="P352" s="795"/>
      <c r="Q352" s="795"/>
      <c r="R352" s="795"/>
      <c r="S352" s="795"/>
      <c r="T352" s="795"/>
      <c r="U352" s="795"/>
      <c r="V352" s="795"/>
      <c r="W352" s="795"/>
      <c r="X352" s="795"/>
      <c r="Y352" s="795"/>
      <c r="Z352" s="795"/>
      <c r="AA352" s="795"/>
      <c r="AB352" s="795"/>
      <c r="AC352" s="795"/>
      <c r="AD352" s="795"/>
      <c r="AE352"/>
    </row>
    <row r="353" spans="1:34" ht="15" customHeight="1">
      <c r="A353" s="103"/>
      <c r="B353" s="795" t="str">
        <f>IF(OR(C347=3,C347=9),"Alerta: debe proporcionar una justificación ya que ha seleccionado el código 3 o 9 en la col. ¿Contaba con alguna Comisión de Honor…?","")</f>
        <v/>
      </c>
      <c r="C353" s="795"/>
      <c r="D353" s="795"/>
      <c r="E353" s="795"/>
      <c r="F353" s="795"/>
      <c r="G353" s="795"/>
      <c r="H353" s="795"/>
      <c r="I353" s="795"/>
      <c r="J353" s="795"/>
      <c r="K353" s="795"/>
      <c r="L353" s="795"/>
      <c r="M353" s="795"/>
      <c r="N353" s="795"/>
      <c r="O353" s="795"/>
      <c r="P353" s="795"/>
      <c r="Q353" s="795"/>
      <c r="R353" s="795"/>
      <c r="S353" s="795"/>
      <c r="T353" s="795"/>
      <c r="U353" s="795"/>
      <c r="V353" s="795"/>
      <c r="W353" s="795"/>
      <c r="X353" s="795"/>
      <c r="Y353" s="795"/>
      <c r="Z353" s="795"/>
      <c r="AA353" s="795"/>
      <c r="AB353" s="795"/>
      <c r="AC353" s="795"/>
      <c r="AD353" s="795"/>
      <c r="AE353" s="795"/>
    </row>
    <row r="354" spans="1:34" ht="15" customHeight="1">
      <c r="A354" s="103"/>
      <c r="B354" s="794" t="str">
        <f>IF(AM348=0,"","El nombre debe registrarse en mayúsculas, sin comillas ni signos de acentuación, puntuación, paréntesis y abreviaturas")</f>
        <v/>
      </c>
      <c r="C354" s="794"/>
      <c r="D354" s="794"/>
      <c r="E354" s="794"/>
      <c r="F354" s="794"/>
      <c r="G354" s="794"/>
      <c r="H354" s="794"/>
      <c r="I354" s="794"/>
      <c r="J354" s="794"/>
      <c r="K354" s="794"/>
      <c r="L354" s="794"/>
      <c r="M354" s="794"/>
      <c r="N354" s="794"/>
      <c r="O354" s="794"/>
      <c r="P354" s="794"/>
      <c r="Q354" s="794"/>
      <c r="R354" s="794"/>
      <c r="S354" s="794"/>
      <c r="T354" s="794"/>
      <c r="U354" s="794"/>
      <c r="V354" s="794"/>
      <c r="W354" s="794"/>
      <c r="X354" s="794"/>
      <c r="Y354" s="794"/>
      <c r="Z354" s="794"/>
      <c r="AA354" s="794"/>
      <c r="AB354" s="794"/>
      <c r="AC354" s="794"/>
      <c r="AD354" s="794"/>
      <c r="AE354"/>
    </row>
    <row r="355" spans="1:34" ht="15" customHeight="1">
      <c r="A355" s="103"/>
      <c r="B355" s="794" t="str">
        <f>IF(AQ347&gt;0,"Favor de ingresar una fecha válida y/o verifique que el formato solicitado esté correcto","")</f>
        <v/>
      </c>
      <c r="C355" s="794"/>
      <c r="D355" s="794"/>
      <c r="E355" s="794"/>
      <c r="F355" s="794"/>
      <c r="G355" s="794"/>
      <c r="H355" s="794"/>
      <c r="I355" s="794"/>
      <c r="J355" s="794"/>
      <c r="K355" s="794"/>
      <c r="L355" s="794"/>
      <c r="M355" s="794"/>
      <c r="N355" s="794"/>
      <c r="O355" s="794"/>
      <c r="P355" s="794"/>
      <c r="Q355" s="794"/>
      <c r="R355" s="794"/>
      <c r="S355" s="794"/>
      <c r="T355" s="794"/>
      <c r="U355" s="794"/>
      <c r="V355" s="794"/>
      <c r="W355" s="794"/>
      <c r="X355" s="794"/>
      <c r="Y355" s="794"/>
      <c r="Z355" s="794"/>
      <c r="AA355" s="794"/>
      <c r="AB355" s="794"/>
      <c r="AC355" s="794"/>
      <c r="AD355" s="794"/>
      <c r="AE355"/>
    </row>
    <row r="356" spans="1:34" ht="15" customHeight="1">
      <c r="A356" s="103"/>
      <c r="B356" s="57"/>
      <c r="C356" s="57"/>
      <c r="D356" s="57"/>
      <c r="E356" s="57"/>
      <c r="F356" s="57"/>
      <c r="G356" s="57"/>
      <c r="H356" s="57"/>
      <c r="I356" s="57"/>
      <c r="J356" s="57"/>
      <c r="K356" s="57"/>
      <c r="L356" s="57"/>
      <c r="M356" s="57"/>
      <c r="N356" s="57"/>
      <c r="O356" s="57"/>
      <c r="P356" s="57"/>
      <c r="Q356" s="57"/>
      <c r="R356" s="57"/>
      <c r="S356" s="57"/>
      <c r="T356" s="57"/>
      <c r="U356" s="57"/>
      <c r="V356" s="57"/>
      <c r="W356" s="57"/>
      <c r="X356" s="57"/>
      <c r="Y356" s="57"/>
      <c r="Z356" s="57"/>
      <c r="AA356" s="57"/>
      <c r="AB356" s="57"/>
      <c r="AC356" s="57"/>
      <c r="AD356" s="57"/>
    </row>
    <row r="357" spans="1:34" ht="24" customHeight="1">
      <c r="A357" s="49" t="s">
        <v>4069</v>
      </c>
      <c r="B357" s="829" t="s">
        <v>4070</v>
      </c>
      <c r="C357" s="829"/>
      <c r="D357" s="829"/>
      <c r="E357" s="829"/>
      <c r="F357" s="829"/>
      <c r="G357" s="829"/>
      <c r="H357" s="829"/>
      <c r="I357" s="829"/>
      <c r="J357" s="829"/>
      <c r="K357" s="829"/>
      <c r="L357" s="829"/>
      <c r="M357" s="829"/>
      <c r="N357" s="829"/>
      <c r="O357" s="829"/>
      <c r="P357" s="829"/>
      <c r="Q357" s="829"/>
      <c r="R357" s="829"/>
      <c r="S357" s="829"/>
      <c r="T357" s="829"/>
      <c r="U357" s="829"/>
      <c r="V357" s="829"/>
      <c r="W357" s="829"/>
      <c r="X357" s="829"/>
      <c r="Y357" s="829"/>
      <c r="Z357" s="829"/>
      <c r="AA357" s="829"/>
      <c r="AB357" s="829"/>
      <c r="AC357" s="829"/>
      <c r="AD357" s="829"/>
    </row>
    <row r="358" spans="1:34" ht="15" customHeight="1">
      <c r="A358" s="49"/>
      <c r="B358" s="57"/>
      <c r="C358" s="830" t="s">
        <v>3945</v>
      </c>
      <c r="D358" s="830"/>
      <c r="E358" s="830"/>
      <c r="F358" s="830"/>
      <c r="G358" s="830"/>
      <c r="H358" s="830"/>
      <c r="I358" s="830"/>
      <c r="J358" s="830"/>
      <c r="K358" s="830"/>
      <c r="L358" s="830"/>
      <c r="M358" s="830"/>
      <c r="N358" s="830"/>
      <c r="O358" s="830"/>
      <c r="P358" s="830"/>
      <c r="Q358" s="830"/>
      <c r="R358" s="830"/>
      <c r="S358" s="830"/>
      <c r="T358" s="830"/>
      <c r="U358" s="830"/>
      <c r="V358" s="830"/>
      <c r="W358" s="830"/>
      <c r="X358" s="830"/>
      <c r="Y358" s="830"/>
      <c r="Z358" s="830"/>
      <c r="AA358" s="830"/>
      <c r="AB358" s="830"/>
      <c r="AC358" s="830"/>
      <c r="AD358" s="830"/>
    </row>
    <row r="359" spans="1:34" ht="15" customHeight="1" thickBot="1">
      <c r="A359" s="49"/>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c r="AA359" s="38"/>
      <c r="AB359" s="38"/>
      <c r="AC359" s="38"/>
      <c r="AD359" s="38"/>
      <c r="AG359" s="499" t="s">
        <v>3947</v>
      </c>
      <c r="AH359" s="500" t="s">
        <v>4071</v>
      </c>
    </row>
    <row r="360" spans="1:34" ht="15" customHeight="1" thickBot="1">
      <c r="A360" s="49"/>
      <c r="B360" s="38"/>
      <c r="C360" s="137"/>
      <c r="D360" s="54" t="s">
        <v>4017</v>
      </c>
      <c r="E360" s="38"/>
      <c r="F360" s="38"/>
      <c r="G360" s="38"/>
      <c r="H360" s="38"/>
      <c r="I360" s="137"/>
      <c r="J360" s="54" t="s">
        <v>3950</v>
      </c>
      <c r="K360" s="38"/>
      <c r="L360" s="120"/>
      <c r="M360" s="54"/>
      <c r="N360" s="38"/>
      <c r="O360" s="38"/>
      <c r="P360" s="38"/>
      <c r="Q360" s="38"/>
      <c r="R360" s="38"/>
      <c r="S360" s="38"/>
      <c r="T360" s="137"/>
      <c r="U360" s="54" t="s">
        <v>3673</v>
      </c>
      <c r="V360" s="38"/>
      <c r="W360" s="38"/>
      <c r="X360" s="38"/>
      <c r="Y360" s="38"/>
      <c r="Z360" s="38"/>
      <c r="AA360" s="38"/>
      <c r="AB360" s="38"/>
      <c r="AC360" s="38"/>
      <c r="AD360" s="38"/>
      <c r="AG360">
        <f>IF(COUNTA(C360,I360,T360)=0,0,IF(COUNTA(C360,I360,T360)=1,0,1))</f>
        <v>0</v>
      </c>
      <c r="AH360" s="342">
        <f>IF(AND($C$347&lt;&gt;"",$C$347&lt;&gt;1,COUNTA(C360,I360,T360)&gt;0),1,0)</f>
        <v>0</v>
      </c>
    </row>
    <row r="361" spans="1:34" ht="15" customHeight="1">
      <c r="A361" s="49"/>
      <c r="B361" s="57"/>
      <c r="C361" s="57"/>
      <c r="D361" s="57"/>
      <c r="E361" s="57"/>
      <c r="F361" s="57"/>
      <c r="G361" s="57"/>
      <c r="H361" s="57"/>
      <c r="I361" s="57"/>
      <c r="J361" s="57"/>
      <c r="K361" s="57"/>
      <c r="L361" s="57"/>
      <c r="M361" s="57"/>
      <c r="N361" s="57"/>
      <c r="O361" s="57"/>
      <c r="P361" s="57"/>
      <c r="Q361" s="57"/>
      <c r="R361" s="57"/>
      <c r="S361" s="57"/>
      <c r="T361" s="57"/>
      <c r="U361" s="57"/>
      <c r="V361" s="57"/>
      <c r="W361" s="57"/>
      <c r="X361" s="57"/>
      <c r="Y361" s="57"/>
      <c r="Z361" s="57"/>
      <c r="AA361" s="57"/>
      <c r="AB361" s="57"/>
      <c r="AC361" s="57"/>
      <c r="AD361" s="57"/>
    </row>
    <row r="362" spans="1:34" ht="24" customHeight="1">
      <c r="A362" s="49"/>
      <c r="B362" s="57"/>
      <c r="C362" s="754" t="s">
        <v>2611</v>
      </c>
      <c r="D362" s="754"/>
      <c r="E362" s="754"/>
      <c r="F362" s="754"/>
      <c r="G362" s="754"/>
      <c r="H362" s="754"/>
      <c r="I362" s="754"/>
      <c r="J362" s="754"/>
      <c r="K362" s="754"/>
      <c r="L362" s="754"/>
      <c r="M362" s="754"/>
      <c r="N362" s="754"/>
      <c r="O362" s="754"/>
      <c r="P362" s="754"/>
      <c r="Q362" s="754"/>
      <c r="R362" s="754"/>
      <c r="S362" s="754"/>
      <c r="T362" s="754"/>
      <c r="U362" s="754"/>
      <c r="V362" s="754"/>
      <c r="W362" s="754"/>
      <c r="X362" s="754"/>
      <c r="Y362" s="754"/>
      <c r="Z362" s="754"/>
      <c r="AA362" s="754"/>
      <c r="AB362" s="754"/>
      <c r="AC362" s="754"/>
      <c r="AD362" s="754"/>
    </row>
    <row r="363" spans="1:34" ht="60" customHeight="1">
      <c r="A363" s="49"/>
      <c r="B363" s="57"/>
      <c r="C363" s="812"/>
      <c r="D363" s="812"/>
      <c r="E363" s="812"/>
      <c r="F363" s="812"/>
      <c r="G363" s="812"/>
      <c r="H363" s="812"/>
      <c r="I363" s="812"/>
      <c r="J363" s="812"/>
      <c r="K363" s="812"/>
      <c r="L363" s="812"/>
      <c r="M363" s="812"/>
      <c r="N363" s="812"/>
      <c r="O363" s="812"/>
      <c r="P363" s="812"/>
      <c r="Q363" s="812"/>
      <c r="R363" s="812"/>
      <c r="S363" s="812"/>
      <c r="T363" s="812"/>
      <c r="U363" s="812"/>
      <c r="V363" s="812"/>
      <c r="W363" s="812"/>
      <c r="X363" s="812"/>
      <c r="Y363" s="812"/>
      <c r="Z363" s="812"/>
      <c r="AA363" s="812"/>
      <c r="AB363" s="812"/>
      <c r="AC363" s="812"/>
      <c r="AD363" s="812"/>
    </row>
    <row r="364" spans="1:34" ht="15" customHeight="1">
      <c r="A364" s="103"/>
      <c r="B364" s="794" t="str">
        <f>IF(AG360&gt;0,"Favor de seleccionar solo un código","")</f>
        <v/>
      </c>
      <c r="C364" s="794"/>
      <c r="D364" s="794"/>
      <c r="E364" s="794"/>
      <c r="F364" s="794"/>
      <c r="G364" s="794"/>
      <c r="H364" s="794"/>
      <c r="I364" s="794"/>
      <c r="J364" s="794"/>
      <c r="K364" s="794"/>
      <c r="L364" s="794"/>
      <c r="M364" s="794"/>
      <c r="N364" s="794"/>
      <c r="O364" s="794"/>
      <c r="P364" s="794"/>
      <c r="Q364" s="794"/>
      <c r="R364" s="794"/>
      <c r="S364" s="794"/>
      <c r="T364" s="794"/>
      <c r="U364" s="794"/>
      <c r="V364" s="794"/>
      <c r="W364" s="794"/>
      <c r="X364" s="794"/>
      <c r="Y364" s="794"/>
      <c r="Z364" s="794"/>
      <c r="AA364" s="794"/>
      <c r="AB364" s="794"/>
      <c r="AC364" s="794"/>
      <c r="AD364" s="794"/>
    </row>
    <row r="365" spans="1:34" ht="15" customHeight="1">
      <c r="A365" s="103"/>
      <c r="B365" s="794" t="str">
        <f>IF(AH360&gt;0,"Favor de ingresar toda la información requerida en la pregunta y/o verifique que no tenga información en celdas sombreadas","")</f>
        <v/>
      </c>
      <c r="C365" s="794"/>
      <c r="D365" s="794"/>
      <c r="E365" s="794"/>
      <c r="F365" s="794"/>
      <c r="G365" s="794"/>
      <c r="H365" s="794"/>
      <c r="I365" s="794"/>
      <c r="J365" s="794"/>
      <c r="K365" s="794"/>
      <c r="L365" s="794"/>
      <c r="M365" s="794"/>
      <c r="N365" s="794"/>
      <c r="O365" s="794"/>
      <c r="P365" s="794"/>
      <c r="Q365" s="794"/>
      <c r="R365" s="794"/>
      <c r="S365" s="794"/>
      <c r="T365" s="794"/>
      <c r="U365" s="794"/>
      <c r="V365" s="794"/>
      <c r="W365" s="794"/>
      <c r="X365" s="794"/>
      <c r="Y365" s="794"/>
      <c r="Z365" s="794"/>
      <c r="AA365" s="794"/>
      <c r="AB365" s="794"/>
      <c r="AC365" s="794"/>
      <c r="AD365" s="794"/>
    </row>
    <row r="366" spans="1:34" ht="15" customHeight="1">
      <c r="A366" s="103"/>
      <c r="B366" s="57"/>
      <c r="C366" s="57"/>
      <c r="D366" s="57"/>
      <c r="E366" s="57"/>
      <c r="F366" s="57"/>
      <c r="G366" s="57"/>
      <c r="H366" s="57"/>
      <c r="I366" s="57"/>
      <c r="J366" s="57"/>
      <c r="K366" s="57"/>
      <c r="L366" s="57"/>
      <c r="M366" s="57"/>
      <c r="N366" s="57"/>
      <c r="O366" s="57"/>
      <c r="P366" s="57"/>
      <c r="Q366" s="57"/>
      <c r="R366" s="57"/>
      <c r="S366" s="57"/>
      <c r="T366" s="57"/>
      <c r="U366" s="57"/>
      <c r="V366" s="57"/>
      <c r="W366" s="57"/>
      <c r="X366" s="57"/>
      <c r="Y366" s="57"/>
      <c r="Z366" s="57"/>
      <c r="AA366" s="57"/>
      <c r="AB366" s="57"/>
      <c r="AC366" s="57"/>
      <c r="AD366" s="57"/>
    </row>
    <row r="367" spans="1:34" ht="15" customHeight="1">
      <c r="A367" s="103"/>
      <c r="B367" s="57"/>
      <c r="C367" s="57"/>
      <c r="D367" s="57"/>
      <c r="E367" s="57"/>
      <c r="F367" s="57"/>
      <c r="G367" s="57"/>
      <c r="H367" s="57"/>
      <c r="I367" s="57"/>
      <c r="J367" s="57"/>
      <c r="K367" s="57"/>
      <c r="L367" s="57"/>
      <c r="M367" s="57"/>
      <c r="N367" s="57"/>
      <c r="O367" s="57"/>
      <c r="P367" s="57"/>
      <c r="Q367" s="57"/>
      <c r="R367" s="57"/>
      <c r="S367" s="57"/>
      <c r="T367" s="57"/>
      <c r="U367" s="57"/>
      <c r="V367" s="57"/>
      <c r="W367" s="57"/>
      <c r="X367" s="57"/>
      <c r="Y367" s="57"/>
      <c r="Z367" s="57"/>
      <c r="AA367" s="57"/>
      <c r="AB367" s="57"/>
      <c r="AC367" s="57"/>
      <c r="AD367" s="57"/>
    </row>
    <row r="368" spans="1:34" ht="15" customHeight="1">
      <c r="A368" s="103"/>
      <c r="B368" s="57"/>
      <c r="C368" s="57"/>
      <c r="D368" s="57"/>
      <c r="E368" s="57"/>
      <c r="F368" s="57"/>
      <c r="G368" s="57"/>
      <c r="H368" s="57"/>
      <c r="I368" s="57"/>
      <c r="J368" s="57"/>
      <c r="K368" s="57"/>
      <c r="L368" s="57"/>
      <c r="M368" s="57"/>
      <c r="N368" s="57"/>
      <c r="O368" s="57"/>
      <c r="P368" s="57"/>
      <c r="Q368" s="57"/>
      <c r="R368" s="57"/>
      <c r="S368" s="57"/>
      <c r="T368" s="57"/>
      <c r="U368" s="57"/>
      <c r="V368" s="57"/>
      <c r="W368" s="57"/>
      <c r="X368" s="57"/>
      <c r="Y368" s="57"/>
      <c r="Z368" s="57"/>
      <c r="AA368" s="57"/>
      <c r="AB368" s="57"/>
      <c r="AC368" s="57"/>
      <c r="AD368" s="57"/>
    </row>
    <row r="369" spans="1:34" ht="15" customHeight="1">
      <c r="A369" s="103"/>
      <c r="B369" s="57"/>
      <c r="C369" s="57"/>
      <c r="D369" s="57"/>
      <c r="E369" s="57"/>
      <c r="F369" s="57"/>
      <c r="G369" s="57"/>
      <c r="H369" s="57"/>
      <c r="I369" s="57"/>
      <c r="J369" s="57"/>
      <c r="K369" s="57"/>
      <c r="L369" s="57"/>
      <c r="M369" s="57"/>
      <c r="N369" s="57"/>
      <c r="O369" s="57"/>
      <c r="P369" s="57"/>
      <c r="Q369" s="57"/>
      <c r="R369" s="57"/>
      <c r="S369" s="57"/>
      <c r="T369" s="57"/>
      <c r="U369" s="57"/>
      <c r="V369" s="57"/>
      <c r="W369" s="57"/>
      <c r="X369" s="57"/>
      <c r="Y369" s="57"/>
      <c r="Z369" s="57"/>
      <c r="AA369" s="57"/>
      <c r="AB369" s="57"/>
      <c r="AC369" s="57"/>
      <c r="AD369" s="57"/>
    </row>
    <row r="370" spans="1:34" ht="15" customHeight="1">
      <c r="A370" s="49" t="s">
        <v>4072</v>
      </c>
      <c r="B370" s="829" t="s">
        <v>4073</v>
      </c>
      <c r="C370" s="829"/>
      <c r="D370" s="829"/>
      <c r="E370" s="829"/>
      <c r="F370" s="829"/>
      <c r="G370" s="829"/>
      <c r="H370" s="829"/>
      <c r="I370" s="829"/>
      <c r="J370" s="829"/>
      <c r="K370" s="829"/>
      <c r="L370" s="829"/>
      <c r="M370" s="829"/>
      <c r="N370" s="829"/>
      <c r="O370" s="829"/>
      <c r="P370" s="829"/>
      <c r="Q370" s="829"/>
      <c r="R370" s="829"/>
      <c r="S370" s="829"/>
      <c r="T370" s="829"/>
      <c r="U370" s="829"/>
      <c r="V370" s="829"/>
      <c r="W370" s="829"/>
      <c r="X370" s="829"/>
      <c r="Y370" s="829"/>
      <c r="Z370" s="829"/>
      <c r="AA370" s="829"/>
      <c r="AB370" s="829"/>
      <c r="AC370" s="829"/>
      <c r="AD370" s="829"/>
    </row>
    <row r="371" spans="1:34" ht="15" customHeight="1">
      <c r="A371" s="103"/>
      <c r="B371" s="57"/>
      <c r="C371" s="830" t="s">
        <v>3945</v>
      </c>
      <c r="D371" s="830"/>
      <c r="E371" s="830"/>
      <c r="F371" s="830"/>
      <c r="G371" s="830"/>
      <c r="H371" s="830"/>
      <c r="I371" s="830"/>
      <c r="J371" s="830"/>
      <c r="K371" s="830"/>
      <c r="L371" s="830"/>
      <c r="M371" s="830"/>
      <c r="N371" s="830"/>
      <c r="O371" s="830"/>
      <c r="P371" s="830"/>
      <c r="Q371" s="830"/>
      <c r="R371" s="830"/>
      <c r="S371" s="830"/>
      <c r="T371" s="830"/>
      <c r="U371" s="830"/>
      <c r="V371" s="830"/>
      <c r="W371" s="830"/>
      <c r="X371" s="830"/>
      <c r="Y371" s="830"/>
      <c r="Z371" s="830"/>
      <c r="AA371" s="830"/>
      <c r="AB371" s="830"/>
      <c r="AC371" s="830"/>
      <c r="AD371" s="830"/>
    </row>
    <row r="372" spans="1:34" ht="24" customHeight="1">
      <c r="A372" s="49"/>
      <c r="B372" s="38"/>
      <c r="C372" s="754" t="s">
        <v>4074</v>
      </c>
      <c r="D372" s="754"/>
      <c r="E372" s="754"/>
      <c r="F372" s="754"/>
      <c r="G372" s="754"/>
      <c r="H372" s="754"/>
      <c r="I372" s="754"/>
      <c r="J372" s="754"/>
      <c r="K372" s="754"/>
      <c r="L372" s="754"/>
      <c r="M372" s="754"/>
      <c r="N372" s="754"/>
      <c r="O372" s="754"/>
      <c r="P372" s="754"/>
      <c r="Q372" s="754"/>
      <c r="R372" s="754"/>
      <c r="S372" s="754"/>
      <c r="T372" s="754"/>
      <c r="U372" s="754"/>
      <c r="V372" s="754"/>
      <c r="W372" s="754"/>
      <c r="X372" s="754"/>
      <c r="Y372" s="754"/>
      <c r="Z372" s="754"/>
      <c r="AA372" s="754"/>
      <c r="AB372" s="754"/>
      <c r="AC372" s="754"/>
      <c r="AD372" s="754"/>
    </row>
    <row r="373" spans="1:34" ht="15" customHeight="1" thickBot="1">
      <c r="A373" s="49"/>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c r="AA373" s="38"/>
      <c r="AB373" s="38"/>
      <c r="AC373" s="38"/>
      <c r="AD373" s="38"/>
      <c r="AG373" s="499" t="s">
        <v>3947</v>
      </c>
      <c r="AH373" s="500" t="s">
        <v>4071</v>
      </c>
    </row>
    <row r="374" spans="1:34" ht="15" customHeight="1" thickBot="1">
      <c r="A374" s="49"/>
      <c r="B374" s="38"/>
      <c r="C374" s="137"/>
      <c r="D374" s="54" t="s">
        <v>4017</v>
      </c>
      <c r="E374" s="38"/>
      <c r="F374" s="38"/>
      <c r="G374" s="38"/>
      <c r="H374" s="38"/>
      <c r="I374" s="137"/>
      <c r="J374" s="54" t="s">
        <v>3950</v>
      </c>
      <c r="K374" s="38"/>
      <c r="L374" s="120"/>
      <c r="M374" s="54"/>
      <c r="N374" s="38"/>
      <c r="O374" s="38"/>
      <c r="P374" s="38"/>
      <c r="Q374" s="38"/>
      <c r="R374" s="38"/>
      <c r="S374" s="38"/>
      <c r="T374" s="137"/>
      <c r="U374" s="54" t="s">
        <v>3673</v>
      </c>
      <c r="V374" s="38"/>
      <c r="W374" s="38"/>
      <c r="X374" s="38"/>
      <c r="Y374" s="38"/>
      <c r="Z374" s="38"/>
      <c r="AA374" s="38"/>
      <c r="AB374" s="38"/>
      <c r="AC374" s="38"/>
      <c r="AD374" s="38"/>
      <c r="AG374">
        <f>IF(COUNTA(C374,I374,T374)=0,0,IF(COUNTA(C374,I374,T374)=1,0,1))</f>
        <v>0</v>
      </c>
      <c r="AH374" s="342">
        <f>IF(AND($C$347&lt;&gt;"",$C$347&lt;&gt;1,COUNTA(C374,I374,T374)&gt;0),1,0)</f>
        <v>0</v>
      </c>
    </row>
    <row r="375" spans="1:34" ht="15" customHeight="1">
      <c r="A375" s="103"/>
      <c r="B375" s="57"/>
      <c r="C375" s="57"/>
      <c r="D375" s="57"/>
      <c r="E375" s="57"/>
      <c r="F375" s="57"/>
      <c r="G375" s="57"/>
      <c r="H375" s="57"/>
      <c r="I375" s="57"/>
      <c r="J375" s="57"/>
      <c r="K375" s="57"/>
      <c r="L375" s="57"/>
      <c r="M375" s="57"/>
      <c r="N375" s="57"/>
      <c r="O375" s="57"/>
      <c r="P375" s="57"/>
      <c r="Q375" s="57"/>
      <c r="R375" s="57"/>
      <c r="S375" s="57"/>
      <c r="T375" s="57"/>
      <c r="U375" s="57"/>
      <c r="V375" s="57"/>
      <c r="W375" s="57"/>
      <c r="X375" s="57"/>
      <c r="Y375" s="57"/>
      <c r="Z375" s="57"/>
      <c r="AA375" s="57"/>
      <c r="AB375" s="57"/>
      <c r="AC375" s="57"/>
      <c r="AD375" s="57"/>
    </row>
    <row r="376" spans="1:34" ht="24" customHeight="1">
      <c r="A376" s="103"/>
      <c r="B376" s="57"/>
      <c r="C376" s="754" t="s">
        <v>2611</v>
      </c>
      <c r="D376" s="754"/>
      <c r="E376" s="754"/>
      <c r="F376" s="754"/>
      <c r="G376" s="754"/>
      <c r="H376" s="754"/>
      <c r="I376" s="754"/>
      <c r="J376" s="754"/>
      <c r="K376" s="754"/>
      <c r="L376" s="754"/>
      <c r="M376" s="754"/>
      <c r="N376" s="754"/>
      <c r="O376" s="754"/>
      <c r="P376" s="754"/>
      <c r="Q376" s="754"/>
      <c r="R376" s="754"/>
      <c r="S376" s="754"/>
      <c r="T376" s="754"/>
      <c r="U376" s="754"/>
      <c r="V376" s="754"/>
      <c r="W376" s="754"/>
      <c r="X376" s="754"/>
      <c r="Y376" s="754"/>
      <c r="Z376" s="754"/>
      <c r="AA376" s="754"/>
      <c r="AB376" s="754"/>
      <c r="AC376" s="754"/>
      <c r="AD376" s="754"/>
    </row>
    <row r="377" spans="1:34" ht="60" customHeight="1">
      <c r="A377" s="103"/>
      <c r="B377" s="57"/>
      <c r="C377" s="851"/>
      <c r="D377" s="851"/>
      <c r="E377" s="851"/>
      <c r="F377" s="851"/>
      <c r="G377" s="851"/>
      <c r="H377" s="851"/>
      <c r="I377" s="851"/>
      <c r="J377" s="851"/>
      <c r="K377" s="851"/>
      <c r="L377" s="851"/>
      <c r="M377" s="851"/>
      <c r="N377" s="851"/>
      <c r="O377" s="851"/>
      <c r="P377" s="851"/>
      <c r="Q377" s="851"/>
      <c r="R377" s="851"/>
      <c r="S377" s="851"/>
      <c r="T377" s="851"/>
      <c r="U377" s="851"/>
      <c r="V377" s="851"/>
      <c r="W377" s="851"/>
      <c r="X377" s="851"/>
      <c r="Y377" s="851"/>
      <c r="Z377" s="851"/>
      <c r="AA377" s="851"/>
      <c r="AB377" s="851"/>
      <c r="AC377" s="851"/>
      <c r="AD377" s="851"/>
    </row>
    <row r="378" spans="1:34" ht="15" customHeight="1">
      <c r="A378" s="103"/>
      <c r="B378" s="794" t="str">
        <f>IF(AG374&gt;0,"Favor de seleccionar solo un código","")</f>
        <v/>
      </c>
      <c r="C378" s="794"/>
      <c r="D378" s="794"/>
      <c r="E378" s="794"/>
      <c r="F378" s="794"/>
      <c r="G378" s="794"/>
      <c r="H378" s="794"/>
      <c r="I378" s="794"/>
      <c r="J378" s="794"/>
      <c r="K378" s="794"/>
      <c r="L378" s="794"/>
      <c r="M378" s="794"/>
      <c r="N378" s="794"/>
      <c r="O378" s="794"/>
      <c r="P378" s="794"/>
      <c r="Q378" s="794"/>
      <c r="R378" s="794"/>
      <c r="S378" s="794"/>
      <c r="T378" s="794"/>
      <c r="U378" s="794"/>
      <c r="V378" s="794"/>
      <c r="W378" s="794"/>
      <c r="X378" s="794"/>
      <c r="Y378" s="794"/>
      <c r="Z378" s="794"/>
      <c r="AA378" s="794"/>
      <c r="AB378" s="794"/>
      <c r="AC378" s="794"/>
      <c r="AD378" s="794"/>
    </row>
    <row r="379" spans="1:34" ht="15" customHeight="1">
      <c r="A379" s="103"/>
      <c r="B379" s="794" t="str">
        <f>IF(AH374&gt;0,"Favor de ingresar toda la información requerida en la pregunta y/o verifique que no tenga información en celdas sombreadas","")</f>
        <v/>
      </c>
      <c r="C379" s="794"/>
      <c r="D379" s="794"/>
      <c r="E379" s="794"/>
      <c r="F379" s="794"/>
      <c r="G379" s="794"/>
      <c r="H379" s="794"/>
      <c r="I379" s="794"/>
      <c r="J379" s="794"/>
      <c r="K379" s="794"/>
      <c r="L379" s="794"/>
      <c r="M379" s="794"/>
      <c r="N379" s="794"/>
      <c r="O379" s="794"/>
      <c r="P379" s="794"/>
      <c r="Q379" s="794"/>
      <c r="R379" s="794"/>
      <c r="S379" s="794"/>
      <c r="T379" s="794"/>
      <c r="U379" s="794"/>
      <c r="V379" s="794"/>
      <c r="W379" s="794"/>
      <c r="X379" s="794"/>
      <c r="Y379" s="794"/>
      <c r="Z379" s="794"/>
      <c r="AA379" s="794"/>
      <c r="AB379" s="794"/>
      <c r="AC379" s="794"/>
      <c r="AD379" s="794"/>
    </row>
    <row r="380" spans="1:34" ht="15" customHeight="1">
      <c r="A380" s="103"/>
      <c r="B380" s="57"/>
      <c r="C380" s="57"/>
      <c r="D380" s="57"/>
      <c r="E380" s="57"/>
      <c r="F380" s="57"/>
      <c r="G380" s="57"/>
      <c r="H380" s="57"/>
      <c r="I380" s="57"/>
      <c r="J380" s="57"/>
      <c r="K380" s="57"/>
      <c r="L380" s="57"/>
      <c r="M380" s="57"/>
      <c r="N380" s="57"/>
      <c r="O380" s="57"/>
      <c r="P380" s="57"/>
      <c r="Q380" s="57"/>
      <c r="R380" s="57"/>
      <c r="S380" s="57"/>
      <c r="T380" s="57"/>
      <c r="U380" s="57"/>
      <c r="V380" s="57"/>
      <c r="W380" s="57"/>
      <c r="X380" s="57"/>
      <c r="Y380" s="57"/>
      <c r="Z380" s="57"/>
      <c r="AA380" s="57"/>
      <c r="AB380" s="57"/>
      <c r="AC380" s="57"/>
      <c r="AD380" s="57"/>
    </row>
    <row r="381" spans="1:34" ht="15" customHeight="1">
      <c r="A381" s="103"/>
      <c r="B381" s="57"/>
      <c r="C381" s="57"/>
      <c r="D381" s="57"/>
      <c r="E381" s="57"/>
      <c r="F381" s="57"/>
      <c r="G381" s="57"/>
      <c r="H381" s="57"/>
      <c r="I381" s="57"/>
      <c r="J381" s="57"/>
      <c r="K381" s="57"/>
      <c r="L381" s="57"/>
      <c r="M381" s="57"/>
      <c r="N381" s="57"/>
      <c r="O381" s="57"/>
      <c r="P381" s="57"/>
      <c r="Q381" s="57"/>
      <c r="R381" s="57"/>
      <c r="S381" s="57"/>
      <c r="T381" s="57"/>
      <c r="U381" s="57"/>
      <c r="V381" s="57"/>
      <c r="W381" s="57"/>
      <c r="X381" s="57"/>
      <c r="Y381" s="57"/>
      <c r="Z381" s="57"/>
      <c r="AA381" s="57"/>
      <c r="AB381" s="57"/>
      <c r="AC381" s="57"/>
      <c r="AD381" s="57"/>
    </row>
    <row r="382" spans="1:34" ht="15" customHeight="1">
      <c r="A382" s="103"/>
      <c r="B382" s="57"/>
      <c r="C382" s="57"/>
      <c r="D382" s="57"/>
      <c r="E382" s="57"/>
      <c r="F382" s="57"/>
      <c r="G382" s="57"/>
      <c r="H382" s="57"/>
      <c r="I382" s="57"/>
      <c r="J382" s="57"/>
      <c r="K382" s="57"/>
      <c r="L382" s="57"/>
      <c r="M382" s="57"/>
      <c r="N382" s="57"/>
      <c r="O382" s="57"/>
      <c r="P382" s="57"/>
      <c r="Q382" s="57"/>
      <c r="R382" s="57"/>
      <c r="S382" s="57"/>
      <c r="T382" s="57"/>
      <c r="U382" s="57"/>
      <c r="V382" s="57"/>
      <c r="W382" s="57"/>
      <c r="X382" s="57"/>
      <c r="Y382" s="57"/>
      <c r="Z382" s="57"/>
      <c r="AA382" s="57"/>
      <c r="AB382" s="57"/>
      <c r="AC382" s="57"/>
      <c r="AD382" s="57"/>
    </row>
    <row r="383" spans="1:34" ht="15" customHeight="1">
      <c r="A383" s="103"/>
      <c r="B383" s="57"/>
      <c r="C383" s="57"/>
      <c r="D383" s="57"/>
      <c r="E383" s="57"/>
      <c r="F383" s="57"/>
      <c r="G383" s="57"/>
      <c r="H383" s="57"/>
      <c r="I383" s="57"/>
      <c r="J383" s="57"/>
      <c r="K383" s="57"/>
      <c r="L383" s="57"/>
      <c r="M383" s="57"/>
      <c r="N383" s="57"/>
      <c r="O383" s="57"/>
      <c r="P383" s="57"/>
      <c r="Q383" s="57"/>
      <c r="R383" s="57"/>
      <c r="S383" s="57"/>
      <c r="T383" s="57"/>
      <c r="U383" s="57"/>
      <c r="V383" s="57"/>
      <c r="W383" s="57"/>
      <c r="X383" s="57"/>
      <c r="Y383" s="57"/>
      <c r="Z383" s="57"/>
      <c r="AA383" s="57"/>
      <c r="AB383" s="57"/>
      <c r="AC383" s="57"/>
      <c r="AD383" s="57"/>
    </row>
    <row r="384" spans="1:34" ht="36" customHeight="1">
      <c r="A384" s="49" t="s">
        <v>4075</v>
      </c>
      <c r="B384" s="960" t="s">
        <v>4076</v>
      </c>
      <c r="C384" s="960"/>
      <c r="D384" s="960"/>
      <c r="E384" s="960"/>
      <c r="F384" s="960"/>
      <c r="G384" s="960"/>
      <c r="H384" s="960"/>
      <c r="I384" s="960"/>
      <c r="J384" s="960"/>
      <c r="K384" s="960"/>
      <c r="L384" s="960"/>
      <c r="M384" s="960"/>
      <c r="N384" s="960"/>
      <c r="O384" s="960"/>
      <c r="P384" s="960"/>
      <c r="Q384" s="960"/>
      <c r="R384" s="960"/>
      <c r="S384" s="960"/>
      <c r="T384" s="960"/>
      <c r="U384" s="960"/>
      <c r="V384" s="960"/>
      <c r="W384" s="960"/>
      <c r="X384" s="960"/>
      <c r="Y384" s="960"/>
      <c r="Z384" s="960"/>
      <c r="AA384" s="960"/>
      <c r="AB384" s="960"/>
      <c r="AC384" s="960"/>
      <c r="AD384" s="960"/>
    </row>
    <row r="385" spans="1:37" ht="15" customHeight="1">
      <c r="A385" s="49"/>
      <c r="B385" s="118"/>
      <c r="C385" s="754" t="s">
        <v>4077</v>
      </c>
      <c r="D385" s="754"/>
      <c r="E385" s="754"/>
      <c r="F385" s="754"/>
      <c r="G385" s="754"/>
      <c r="H385" s="754"/>
      <c r="I385" s="754"/>
      <c r="J385" s="754"/>
      <c r="K385" s="754"/>
      <c r="L385" s="754"/>
      <c r="M385" s="754"/>
      <c r="N385" s="754"/>
      <c r="O385" s="754"/>
      <c r="P385" s="754"/>
      <c r="Q385" s="754"/>
      <c r="R385" s="754"/>
      <c r="S385" s="754"/>
      <c r="T385" s="754"/>
      <c r="U385" s="754"/>
      <c r="V385" s="754"/>
      <c r="W385" s="754"/>
      <c r="X385" s="754"/>
      <c r="Y385" s="754"/>
      <c r="Z385" s="754"/>
      <c r="AA385" s="754"/>
      <c r="AB385" s="754"/>
      <c r="AC385" s="754"/>
      <c r="AD385" s="754"/>
    </row>
    <row r="386" spans="1:37" ht="36" customHeight="1">
      <c r="A386" s="103"/>
      <c r="B386" s="57"/>
      <c r="C386" s="830" t="s">
        <v>4078</v>
      </c>
      <c r="D386" s="830"/>
      <c r="E386" s="830"/>
      <c r="F386" s="830"/>
      <c r="G386" s="830"/>
      <c r="H386" s="830"/>
      <c r="I386" s="830"/>
      <c r="J386" s="830"/>
      <c r="K386" s="830"/>
      <c r="L386" s="830"/>
      <c r="M386" s="830"/>
      <c r="N386" s="830"/>
      <c r="O386" s="830"/>
      <c r="P386" s="830"/>
      <c r="Q386" s="830"/>
      <c r="R386" s="830"/>
      <c r="S386" s="830"/>
      <c r="T386" s="830"/>
      <c r="U386" s="830"/>
      <c r="V386" s="830"/>
      <c r="W386" s="830"/>
      <c r="X386" s="830"/>
      <c r="Y386" s="830"/>
      <c r="Z386" s="830"/>
      <c r="AA386" s="830"/>
      <c r="AB386" s="830"/>
      <c r="AC386" s="830"/>
      <c r="AD386" s="830"/>
    </row>
    <row r="387" spans="1:37" ht="24" customHeight="1">
      <c r="A387" s="103"/>
      <c r="B387" s="57"/>
      <c r="C387" s="754" t="s">
        <v>4079</v>
      </c>
      <c r="D387" s="754"/>
      <c r="E387" s="754"/>
      <c r="F387" s="754"/>
      <c r="G387" s="754"/>
      <c r="H387" s="754"/>
      <c r="I387" s="754"/>
      <c r="J387" s="754"/>
      <c r="K387" s="754"/>
      <c r="L387" s="754"/>
      <c r="M387" s="754"/>
      <c r="N387" s="754"/>
      <c r="O387" s="754"/>
      <c r="P387" s="754"/>
      <c r="Q387" s="754"/>
      <c r="R387" s="754"/>
      <c r="S387" s="754"/>
      <c r="T387" s="754"/>
      <c r="U387" s="754"/>
      <c r="V387" s="754"/>
      <c r="W387" s="754"/>
      <c r="X387" s="754"/>
      <c r="Y387" s="754"/>
      <c r="Z387" s="754"/>
      <c r="AA387" s="754"/>
      <c r="AB387" s="754"/>
      <c r="AC387" s="754"/>
      <c r="AD387" s="754"/>
    </row>
    <row r="388" spans="1:37" ht="15" customHeight="1">
      <c r="A388" s="103"/>
      <c r="B388" s="57"/>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c r="AA388" s="38"/>
      <c r="AB388" s="38"/>
      <c r="AC388" s="38"/>
      <c r="AD388" s="38"/>
    </row>
    <row r="389" spans="1:37" ht="36" customHeight="1">
      <c r="A389" s="49"/>
      <c r="B389" s="57"/>
      <c r="C389" s="732" t="s">
        <v>4080</v>
      </c>
      <c r="D389" s="732"/>
      <c r="E389" s="732"/>
      <c r="F389" s="732"/>
      <c r="G389" s="732"/>
      <c r="H389" s="732"/>
      <c r="I389" s="732"/>
      <c r="J389" s="732"/>
      <c r="K389" s="732"/>
      <c r="L389" s="732"/>
      <c r="M389" s="732"/>
      <c r="N389" s="732"/>
      <c r="O389" s="732"/>
      <c r="P389" s="732"/>
      <c r="Q389" s="739" t="s">
        <v>4052</v>
      </c>
      <c r="R389" s="740"/>
      <c r="S389" s="740"/>
      <c r="T389" s="740"/>
      <c r="U389" s="740"/>
      <c r="V389" s="740"/>
      <c r="W389" s="740"/>
      <c r="X389" s="740"/>
      <c r="Y389" s="740"/>
      <c r="Z389" s="740"/>
      <c r="AA389" s="740"/>
      <c r="AB389" s="740"/>
      <c r="AC389" s="740"/>
      <c r="AD389" s="741"/>
      <c r="AG389" s="354" t="s">
        <v>2586</v>
      </c>
      <c r="AH389" s="350" t="s">
        <v>2590</v>
      </c>
      <c r="AI389" s="365" t="s">
        <v>2620</v>
      </c>
      <c r="AJ389" s="505" t="s">
        <v>4071</v>
      </c>
      <c r="AK389" s="417" t="s">
        <v>4081</v>
      </c>
    </row>
    <row r="390" spans="1:37" ht="15" customHeight="1">
      <c r="A390" s="49"/>
      <c r="B390" s="57"/>
      <c r="C390" s="749"/>
      <c r="D390" s="749"/>
      <c r="E390" s="749"/>
      <c r="F390" s="749"/>
      <c r="G390" s="749"/>
      <c r="H390" s="749"/>
      <c r="I390" s="749"/>
      <c r="J390" s="749"/>
      <c r="K390" s="749"/>
      <c r="L390" s="749"/>
      <c r="M390" s="749"/>
      <c r="N390" s="749"/>
      <c r="O390" s="749"/>
      <c r="P390" s="749"/>
      <c r="Q390" s="749"/>
      <c r="R390" s="749"/>
      <c r="S390" s="749"/>
      <c r="T390" s="749"/>
      <c r="U390" s="749"/>
      <c r="V390" s="749"/>
      <c r="W390" s="749"/>
      <c r="X390" s="749"/>
      <c r="Y390" s="749"/>
      <c r="Z390" s="749"/>
      <c r="AA390" s="749"/>
      <c r="AB390" s="749"/>
      <c r="AC390" s="749"/>
      <c r="AD390" s="749"/>
      <c r="AG390" s="326">
        <f>IF(AND($C$347&lt;&gt;"",$C$347&lt;&gt;1,COUNTA(C390:AD390)=0),0,IF(AND($C$347&lt;&gt;"",$C$347=1,$C$390&lt;&gt;"",$C$390&lt;&gt;1,COUNTA(Q390)=0),0,IF(AND($C$347&lt;&gt;"",$C$347=1,$C$390&lt;&gt;"",$C$390=1,COUNTA(Q390)=1),0,IF(AND(C390="",Q390=""),0,1))))</f>
        <v>0</v>
      </c>
      <c r="AH390" s="353">
        <f>COUNTIF(Q390,"NS")</f>
        <v>0</v>
      </c>
      <c r="AI390" s="342">
        <f>IF(AND($C$390&lt;&gt;"",$C$390&lt;&gt;1,COUNTA(Q390)&gt;0),1,0)</f>
        <v>0</v>
      </c>
      <c r="AJ390" s="342">
        <f>IF(AND($C$347&lt;&gt;"",$C$347&lt;&gt;1,COUNTA(Q390)&gt;0),1,0)</f>
        <v>0</v>
      </c>
      <c r="AK390" s="342">
        <f>IF(AND($C$374="X",COUNTA(C390:AD390)&gt;0),1,0)</f>
        <v>0</v>
      </c>
    </row>
    <row r="391" spans="1:37" ht="15" customHeight="1">
      <c r="A391" s="49"/>
      <c r="B391" s="57"/>
      <c r="C391" s="86"/>
      <c r="D391" s="86"/>
      <c r="E391" s="86"/>
      <c r="F391" s="86"/>
      <c r="G391" s="86"/>
      <c r="H391" s="86"/>
      <c r="I391" s="86"/>
      <c r="J391" s="86"/>
      <c r="K391" s="86"/>
      <c r="L391" s="86"/>
      <c r="M391" s="86"/>
      <c r="N391" s="86"/>
      <c r="O391" s="86"/>
      <c r="P391" s="86"/>
      <c r="Q391" s="86"/>
      <c r="R391" s="86"/>
      <c r="S391" s="86"/>
      <c r="T391" s="86"/>
      <c r="U391" s="86"/>
      <c r="V391" s="86"/>
      <c r="W391" s="86"/>
      <c r="X391" s="86"/>
      <c r="Y391" s="86"/>
      <c r="Z391" s="86"/>
      <c r="AA391" s="86"/>
      <c r="AB391" s="86"/>
      <c r="AC391" s="86"/>
      <c r="AD391" s="86"/>
    </row>
    <row r="392" spans="1:37" ht="24" customHeight="1">
      <c r="A392" s="49"/>
      <c r="B392" s="38"/>
      <c r="C392" s="754" t="s">
        <v>2611</v>
      </c>
      <c r="D392" s="754"/>
      <c r="E392" s="754"/>
      <c r="F392" s="754"/>
      <c r="G392" s="754"/>
      <c r="H392" s="754"/>
      <c r="I392" s="754"/>
      <c r="J392" s="754"/>
      <c r="K392" s="754"/>
      <c r="L392" s="754"/>
      <c r="M392" s="754"/>
      <c r="N392" s="754"/>
      <c r="O392" s="754"/>
      <c r="P392" s="754"/>
      <c r="Q392" s="754"/>
      <c r="R392" s="754"/>
      <c r="S392" s="754"/>
      <c r="T392" s="754"/>
      <c r="U392" s="754"/>
      <c r="V392" s="754"/>
      <c r="W392" s="754"/>
      <c r="X392" s="754"/>
      <c r="Y392" s="754"/>
      <c r="Z392" s="754"/>
      <c r="AA392" s="754"/>
      <c r="AB392" s="754"/>
      <c r="AC392" s="754"/>
      <c r="AD392" s="754"/>
    </row>
    <row r="393" spans="1:37" ht="60" customHeight="1">
      <c r="A393" s="49"/>
      <c r="B393" s="38"/>
      <c r="C393" s="851"/>
      <c r="D393" s="851"/>
      <c r="E393" s="851"/>
      <c r="F393" s="851"/>
      <c r="G393" s="851"/>
      <c r="H393" s="851"/>
      <c r="I393" s="851"/>
      <c r="J393" s="851"/>
      <c r="K393" s="851"/>
      <c r="L393" s="851"/>
      <c r="M393" s="851"/>
      <c r="N393" s="851"/>
      <c r="O393" s="851"/>
      <c r="P393" s="851"/>
      <c r="Q393" s="851"/>
      <c r="R393" s="851"/>
      <c r="S393" s="851"/>
      <c r="T393" s="851"/>
      <c r="U393" s="851"/>
      <c r="V393" s="851"/>
      <c r="W393" s="851"/>
      <c r="X393" s="851"/>
      <c r="Y393" s="851"/>
      <c r="Z393" s="851"/>
      <c r="AA393" s="851"/>
      <c r="AB393" s="851"/>
      <c r="AC393" s="851"/>
      <c r="AD393" s="851"/>
    </row>
    <row r="394" spans="1:37" ht="15" customHeight="1">
      <c r="A394" s="49"/>
      <c r="B394" s="794" t="str">
        <f>IF(AG390&gt;0,"Favor de ingresar toda la información requerida en la pregunta y/o verifique que no tenga información en celdas sombreadas","")</f>
        <v/>
      </c>
      <c r="C394" s="794"/>
      <c r="D394" s="794"/>
      <c r="E394" s="794"/>
      <c r="F394" s="794"/>
      <c r="G394" s="794"/>
      <c r="H394" s="794"/>
      <c r="I394" s="794"/>
      <c r="J394" s="794"/>
      <c r="K394" s="794"/>
      <c r="L394" s="794"/>
      <c r="M394" s="794"/>
      <c r="N394" s="794"/>
      <c r="O394" s="794"/>
      <c r="P394" s="794"/>
      <c r="Q394" s="794"/>
      <c r="R394" s="794"/>
      <c r="S394" s="794"/>
      <c r="T394" s="794"/>
      <c r="U394" s="794"/>
      <c r="V394" s="794"/>
      <c r="W394" s="794"/>
      <c r="X394" s="794"/>
      <c r="Y394" s="794"/>
      <c r="Z394" s="794"/>
      <c r="AA394" s="794"/>
      <c r="AB394" s="794"/>
      <c r="AC394" s="794"/>
      <c r="AD394" s="794"/>
    </row>
    <row r="395" spans="1:37" ht="15" customHeight="1">
      <c r="A395" s="49"/>
      <c r="B395" s="795" t="str">
        <f>IF(AH390&gt;0,"Alerta: debido a que cuenta con registros NS, debe proporcionar una justificación en el area de comentarios al final de la pregunta","")</f>
        <v/>
      </c>
      <c r="C395" s="795"/>
      <c r="D395" s="795"/>
      <c r="E395" s="795"/>
      <c r="F395" s="795"/>
      <c r="G395" s="795"/>
      <c r="H395" s="795"/>
      <c r="I395" s="795"/>
      <c r="J395" s="795"/>
      <c r="K395" s="795"/>
      <c r="L395" s="795"/>
      <c r="M395" s="795"/>
      <c r="N395" s="795"/>
      <c r="O395" s="795"/>
      <c r="P395" s="795"/>
      <c r="Q395" s="795"/>
      <c r="R395" s="795"/>
      <c r="S395" s="795"/>
      <c r="T395" s="795"/>
      <c r="U395" s="795"/>
      <c r="V395" s="795"/>
      <c r="W395" s="795"/>
      <c r="X395" s="795"/>
      <c r="Y395" s="795"/>
      <c r="Z395" s="795"/>
      <c r="AA395" s="795"/>
      <c r="AB395" s="795"/>
      <c r="AC395" s="795"/>
      <c r="AD395" s="795"/>
    </row>
    <row r="396" spans="1:37" ht="15" customHeight="1">
      <c r="A396" s="49"/>
      <c r="B396" s="38"/>
      <c r="C396" s="36"/>
      <c r="D396" s="36"/>
      <c r="E396" s="36"/>
      <c r="F396" s="36"/>
      <c r="G396" s="36"/>
      <c r="H396" s="36"/>
      <c r="I396" s="36"/>
      <c r="J396" s="36"/>
      <c r="K396" s="36"/>
      <c r="L396" s="36"/>
      <c r="M396" s="36"/>
      <c r="N396" s="36"/>
      <c r="O396" s="36"/>
      <c r="P396" s="36"/>
      <c r="Q396" s="36"/>
      <c r="R396" s="36"/>
      <c r="S396" s="36"/>
      <c r="T396" s="36"/>
      <c r="U396" s="36"/>
      <c r="V396" s="36"/>
      <c r="W396" s="36"/>
      <c r="X396" s="36"/>
      <c r="Y396" s="36"/>
      <c r="Z396" s="36"/>
      <c r="AA396" s="36"/>
      <c r="AB396" s="36"/>
      <c r="AC396" s="36"/>
      <c r="AD396" s="36"/>
    </row>
    <row r="397" spans="1:37" ht="15" customHeight="1">
      <c r="A397" s="49"/>
      <c r="B397" s="38"/>
      <c r="C397" s="36"/>
      <c r="D397" s="36"/>
      <c r="E397" s="36"/>
      <c r="F397" s="36"/>
      <c r="G397" s="36"/>
      <c r="H397" s="36"/>
      <c r="I397" s="36"/>
      <c r="J397" s="36"/>
      <c r="K397" s="36"/>
      <c r="L397" s="36"/>
      <c r="M397" s="36"/>
      <c r="N397" s="36"/>
      <c r="O397" s="36"/>
      <c r="P397" s="36"/>
      <c r="Q397" s="36"/>
      <c r="R397" s="36"/>
      <c r="S397" s="36"/>
      <c r="T397" s="36"/>
      <c r="U397" s="36"/>
      <c r="V397" s="36"/>
      <c r="W397" s="36"/>
      <c r="X397" s="36"/>
      <c r="Y397" s="36"/>
      <c r="Z397" s="36"/>
      <c r="AA397" s="36"/>
      <c r="AB397" s="36"/>
      <c r="AC397" s="36"/>
      <c r="AD397" s="36"/>
    </row>
    <row r="398" spans="1:37" ht="15" customHeight="1">
      <c r="A398" s="49"/>
      <c r="B398" s="38"/>
      <c r="C398" s="36"/>
      <c r="D398" s="36"/>
      <c r="E398" s="36"/>
      <c r="F398" s="36"/>
      <c r="G398" s="36"/>
      <c r="H398" s="36"/>
      <c r="I398" s="36"/>
      <c r="J398" s="36"/>
      <c r="K398" s="36"/>
      <c r="L398" s="36"/>
      <c r="M398" s="36"/>
      <c r="N398" s="36"/>
      <c r="O398" s="36"/>
      <c r="P398" s="36"/>
      <c r="Q398" s="36"/>
      <c r="R398" s="36"/>
      <c r="S398" s="36"/>
      <c r="T398" s="36"/>
      <c r="U398" s="36"/>
      <c r="V398" s="36"/>
      <c r="W398" s="36"/>
      <c r="X398" s="36"/>
      <c r="Y398" s="36"/>
      <c r="Z398" s="36"/>
      <c r="AA398" s="36"/>
      <c r="AB398" s="36"/>
      <c r="AC398" s="36"/>
      <c r="AD398" s="36"/>
    </row>
    <row r="399" spans="1:37" ht="15" customHeight="1">
      <c r="A399" s="49"/>
      <c r="B399" s="38"/>
      <c r="C399" s="36"/>
      <c r="D399" s="36"/>
      <c r="E399" s="36"/>
      <c r="F399" s="36"/>
      <c r="G399" s="36"/>
      <c r="H399" s="36"/>
      <c r="I399" s="36"/>
      <c r="J399" s="36"/>
      <c r="K399" s="36"/>
      <c r="L399" s="36"/>
      <c r="M399" s="36"/>
      <c r="N399" s="36"/>
      <c r="O399" s="36"/>
      <c r="P399" s="36"/>
      <c r="Q399" s="36"/>
      <c r="R399" s="36"/>
      <c r="S399" s="36"/>
      <c r="T399" s="36"/>
      <c r="U399" s="36"/>
      <c r="V399" s="36"/>
      <c r="W399" s="36"/>
      <c r="X399" s="36"/>
      <c r="Y399" s="36"/>
      <c r="Z399" s="36"/>
      <c r="AA399" s="36"/>
      <c r="AB399" s="36"/>
      <c r="AC399" s="36"/>
      <c r="AD399" s="36"/>
    </row>
    <row r="400" spans="1:37" ht="24" customHeight="1">
      <c r="A400" s="49" t="s">
        <v>4082</v>
      </c>
      <c r="B400" s="829" t="s">
        <v>4083</v>
      </c>
      <c r="C400" s="829"/>
      <c r="D400" s="829"/>
      <c r="E400" s="829"/>
      <c r="F400" s="829"/>
      <c r="G400" s="829"/>
      <c r="H400" s="829"/>
      <c r="I400" s="829"/>
      <c r="J400" s="829"/>
      <c r="K400" s="829"/>
      <c r="L400" s="829"/>
      <c r="M400" s="829"/>
      <c r="N400" s="829"/>
      <c r="O400" s="829"/>
      <c r="P400" s="829"/>
      <c r="Q400" s="829"/>
      <c r="R400" s="829"/>
      <c r="S400" s="829"/>
      <c r="T400" s="829"/>
      <c r="U400" s="829"/>
      <c r="V400" s="829"/>
      <c r="W400" s="829"/>
      <c r="X400" s="829"/>
      <c r="Y400" s="829"/>
      <c r="Z400" s="829"/>
      <c r="AA400" s="829"/>
      <c r="AB400" s="829"/>
      <c r="AC400" s="829"/>
      <c r="AD400" s="829"/>
    </row>
    <row r="401" spans="1:37" ht="24" customHeight="1">
      <c r="A401" s="103"/>
      <c r="B401" s="57"/>
      <c r="C401" s="754" t="s">
        <v>4084</v>
      </c>
      <c r="D401" s="754"/>
      <c r="E401" s="754"/>
      <c r="F401" s="754"/>
      <c r="G401" s="754"/>
      <c r="H401" s="754"/>
      <c r="I401" s="754"/>
      <c r="J401" s="754"/>
      <c r="K401" s="754"/>
      <c r="L401" s="754"/>
      <c r="M401" s="754"/>
      <c r="N401" s="754"/>
      <c r="O401" s="754"/>
      <c r="P401" s="754"/>
      <c r="Q401" s="754"/>
      <c r="R401" s="754"/>
      <c r="S401" s="754"/>
      <c r="T401" s="754"/>
      <c r="U401" s="754"/>
      <c r="V401" s="754"/>
      <c r="W401" s="754"/>
      <c r="X401" s="754"/>
      <c r="Y401" s="754"/>
      <c r="Z401" s="754"/>
      <c r="AA401" s="754"/>
      <c r="AB401" s="754"/>
      <c r="AC401" s="754"/>
      <c r="AD401" s="754"/>
    </row>
    <row r="402" spans="1:37" ht="36" customHeight="1">
      <c r="A402" s="49"/>
      <c r="B402" s="38"/>
      <c r="C402" s="754" t="s">
        <v>4085</v>
      </c>
      <c r="D402" s="754"/>
      <c r="E402" s="754"/>
      <c r="F402" s="754"/>
      <c r="G402" s="754"/>
      <c r="H402" s="754"/>
      <c r="I402" s="754"/>
      <c r="J402" s="754"/>
      <c r="K402" s="754"/>
      <c r="L402" s="754"/>
      <c r="M402" s="754"/>
      <c r="N402" s="754"/>
      <c r="O402" s="754"/>
      <c r="P402" s="754"/>
      <c r="Q402" s="754"/>
      <c r="R402" s="754"/>
      <c r="S402" s="754"/>
      <c r="T402" s="754"/>
      <c r="U402" s="754"/>
      <c r="V402" s="754"/>
      <c r="W402" s="754"/>
      <c r="X402" s="754"/>
      <c r="Y402" s="754"/>
      <c r="Z402" s="754"/>
      <c r="AA402" s="754"/>
      <c r="AB402" s="754"/>
      <c r="AC402" s="754"/>
      <c r="AD402" s="754"/>
    </row>
    <row r="403" spans="1:37" ht="36" customHeight="1">
      <c r="A403" s="103"/>
      <c r="B403" s="57"/>
      <c r="C403" s="754" t="s">
        <v>4086</v>
      </c>
      <c r="D403" s="754"/>
      <c r="E403" s="754"/>
      <c r="F403" s="754"/>
      <c r="G403" s="754"/>
      <c r="H403" s="754"/>
      <c r="I403" s="754"/>
      <c r="J403" s="754"/>
      <c r="K403" s="754"/>
      <c r="L403" s="754"/>
      <c r="M403" s="754"/>
      <c r="N403" s="754"/>
      <c r="O403" s="754"/>
      <c r="P403" s="754"/>
      <c r="Q403" s="754"/>
      <c r="R403" s="754"/>
      <c r="S403" s="754"/>
      <c r="T403" s="754"/>
      <c r="U403" s="754"/>
      <c r="V403" s="754"/>
      <c r="W403" s="754"/>
      <c r="X403" s="754"/>
      <c r="Y403" s="754"/>
      <c r="Z403" s="754"/>
      <c r="AA403" s="754"/>
      <c r="AB403" s="754"/>
      <c r="AC403" s="754"/>
      <c r="AD403" s="754"/>
    </row>
    <row r="404" spans="1:37">
      <c r="A404" s="103"/>
      <c r="B404" s="57"/>
      <c r="C404" s="57"/>
      <c r="D404" s="57"/>
      <c r="E404" s="57"/>
      <c r="F404" s="57"/>
      <c r="G404" s="57"/>
      <c r="H404" s="57"/>
      <c r="I404" s="57"/>
      <c r="J404" s="57"/>
      <c r="K404" s="57"/>
      <c r="L404" s="57"/>
      <c r="M404" s="57"/>
      <c r="N404" s="57"/>
      <c r="O404" s="57"/>
      <c r="P404" s="57"/>
      <c r="Q404" s="57"/>
      <c r="R404" s="57"/>
      <c r="S404" s="57"/>
      <c r="T404" s="57"/>
      <c r="U404" s="57"/>
      <c r="V404" s="57"/>
      <c r="W404" s="57"/>
      <c r="X404" s="57"/>
      <c r="Y404" s="57"/>
      <c r="Z404" s="57"/>
      <c r="AA404" s="57"/>
      <c r="AB404" s="57"/>
      <c r="AC404" s="57"/>
      <c r="AD404" s="57"/>
    </row>
    <row r="405" spans="1:37" ht="72" customHeight="1">
      <c r="A405" s="49"/>
      <c r="B405" s="38"/>
      <c r="C405" s="732" t="s">
        <v>4087</v>
      </c>
      <c r="D405" s="732"/>
      <c r="E405" s="732"/>
      <c r="F405" s="732"/>
      <c r="G405" s="732"/>
      <c r="H405" s="732"/>
      <c r="I405" s="732"/>
      <c r="J405" s="732"/>
      <c r="K405" s="732"/>
      <c r="L405" s="732"/>
      <c r="M405" s="732"/>
      <c r="N405" s="732"/>
      <c r="O405" s="732"/>
      <c r="P405" s="732"/>
      <c r="Q405" s="732"/>
      <c r="R405" s="732"/>
      <c r="S405" s="739" t="s">
        <v>4088</v>
      </c>
      <c r="T405" s="740"/>
      <c r="U405" s="740"/>
      <c r="V405" s="740"/>
      <c r="W405" s="740"/>
      <c r="X405" s="741"/>
      <c r="Y405" s="732" t="s">
        <v>4089</v>
      </c>
      <c r="Z405" s="732"/>
      <c r="AA405" s="732"/>
      <c r="AB405" s="732"/>
      <c r="AC405" s="732"/>
      <c r="AD405" s="732"/>
      <c r="AG405" s="354" t="s">
        <v>2586</v>
      </c>
      <c r="AH405" s="365" t="s">
        <v>2620</v>
      </c>
      <c r="AI405" s="341" t="s">
        <v>4090</v>
      </c>
      <c r="AJ405" s="341" t="s">
        <v>4071</v>
      </c>
      <c r="AK405" s="364" t="s">
        <v>4091</v>
      </c>
    </row>
    <row r="406" spans="1:37" ht="24" customHeight="1">
      <c r="A406" s="105"/>
      <c r="B406" s="157"/>
      <c r="C406" s="98" t="s">
        <v>2516</v>
      </c>
      <c r="D406" s="813" t="s">
        <v>4092</v>
      </c>
      <c r="E406" s="814"/>
      <c r="F406" s="814"/>
      <c r="G406" s="814"/>
      <c r="H406" s="814"/>
      <c r="I406" s="814"/>
      <c r="J406" s="814"/>
      <c r="K406" s="814"/>
      <c r="L406" s="814"/>
      <c r="M406" s="814"/>
      <c r="N406" s="814"/>
      <c r="O406" s="814"/>
      <c r="P406" s="814"/>
      <c r="Q406" s="814"/>
      <c r="R406" s="815"/>
      <c r="S406" s="816"/>
      <c r="T406" s="738"/>
      <c r="U406" s="738"/>
      <c r="V406" s="738"/>
      <c r="W406" s="738"/>
      <c r="X406" s="817"/>
      <c r="Y406" s="816"/>
      <c r="Z406" s="738"/>
      <c r="AA406" s="738"/>
      <c r="AB406" s="738"/>
      <c r="AC406" s="738"/>
      <c r="AD406" s="817"/>
      <c r="AG406" s="326">
        <f>IF(AND($C$347&lt;&gt;"",$C$347&lt;&gt;1,COUNTA(S406:AD406)=0),0,IF(AND($C$347&lt;&gt;"",$C$347=1,$S406&lt;&gt;"",$S406&lt;&gt;1,COUNTA(Y406)=0),0,IF(AND($C$347&lt;&gt;"",$C$347=1,$S406&lt;&gt;"",$S406=1,COUNTA(Y406)=1),0,IF(AND(S406="",Y406=""),0,1))))</f>
        <v>0</v>
      </c>
      <c r="AH406" s="342">
        <f>IF(AND($S406&lt;&gt;"",$S406&lt;&gt;1,COUNTA(Y406)&gt;0),1,0)</f>
        <v>0</v>
      </c>
      <c r="AI406" s="342">
        <f>IF(AND($C$190&lt;&gt;"",$C$190&lt;&gt;1,COUNTA(S410:AD410)&gt;0),1,0)</f>
        <v>0</v>
      </c>
      <c r="AJ406" s="342">
        <f>IF(AND($C$347&lt;&gt;"",$C$347&lt;&gt;1,COUNTA(S406:AD406)&gt;0),1,0)</f>
        <v>0</v>
      </c>
      <c r="AK406">
        <f>IF(S413=1,1,0)</f>
        <v>0</v>
      </c>
    </row>
    <row r="407" spans="1:37" ht="24" customHeight="1">
      <c r="A407" s="49"/>
      <c r="B407" s="38"/>
      <c r="C407" s="143" t="s">
        <v>2517</v>
      </c>
      <c r="D407" s="961" t="s">
        <v>4093</v>
      </c>
      <c r="E407" s="814"/>
      <c r="F407" s="814"/>
      <c r="G407" s="814"/>
      <c r="H407" s="814"/>
      <c r="I407" s="814"/>
      <c r="J407" s="814"/>
      <c r="K407" s="814"/>
      <c r="L407" s="814"/>
      <c r="M407" s="814"/>
      <c r="N407" s="814"/>
      <c r="O407" s="814"/>
      <c r="P407" s="814"/>
      <c r="Q407" s="814"/>
      <c r="R407" s="815"/>
      <c r="S407" s="816"/>
      <c r="T407" s="738"/>
      <c r="U407" s="738"/>
      <c r="V407" s="738"/>
      <c r="W407" s="738"/>
      <c r="X407" s="817"/>
      <c r="Y407" s="816"/>
      <c r="Z407" s="738"/>
      <c r="AA407" s="738"/>
      <c r="AB407" s="738"/>
      <c r="AC407" s="738"/>
      <c r="AD407" s="817"/>
      <c r="AG407" s="326">
        <f t="shared" ref="AG407:AG409" si="34">IF(AND($C$347&lt;&gt;"",$C$347&lt;&gt;1,COUNTA(S407:AD407)=0),0,IF(AND($C$347&lt;&gt;"",$C$347=1,$S407&lt;&gt;"",$S407&lt;&gt;1,COUNTA(Y407)=0),0,IF(AND($C$347&lt;&gt;"",$C$347=1,$S407&lt;&gt;"",$S407=1,COUNTA(Y407)=1),0,IF(AND(S407="",Y407=""),0,1))))</f>
        <v>0</v>
      </c>
      <c r="AH407" s="342">
        <f>IF(AND($S407&lt;&gt;"",$S407&lt;&gt;1,COUNTA(Y407)&gt;0),1,0)</f>
        <v>0</v>
      </c>
      <c r="AI407"/>
      <c r="AJ407" s="342">
        <f t="shared" ref="AJ407:AJ413" si="35">IF(AND($C$347&lt;&gt;"",$C$347&lt;&gt;1,COUNTA(S407:AD407)&gt;0),1,0)</f>
        <v>0</v>
      </c>
      <c r="AK407"/>
    </row>
    <row r="408" spans="1:37" ht="36" customHeight="1">
      <c r="A408" s="49"/>
      <c r="B408" s="38"/>
      <c r="C408" s="143" t="s">
        <v>2518</v>
      </c>
      <c r="D408" s="961" t="s">
        <v>4094</v>
      </c>
      <c r="E408" s="814"/>
      <c r="F408" s="814"/>
      <c r="G408" s="814"/>
      <c r="H408" s="814"/>
      <c r="I408" s="814"/>
      <c r="J408" s="814"/>
      <c r="K408" s="814"/>
      <c r="L408" s="814"/>
      <c r="M408" s="814"/>
      <c r="N408" s="814"/>
      <c r="O408" s="814"/>
      <c r="P408" s="814"/>
      <c r="Q408" s="814"/>
      <c r="R408" s="815"/>
      <c r="S408" s="816"/>
      <c r="T408" s="738"/>
      <c r="U408" s="738"/>
      <c r="V408" s="738"/>
      <c r="W408" s="738"/>
      <c r="X408" s="817"/>
      <c r="Y408" s="816"/>
      <c r="Z408" s="738"/>
      <c r="AA408" s="738"/>
      <c r="AB408" s="738"/>
      <c r="AC408" s="738"/>
      <c r="AD408" s="817"/>
      <c r="AG408" s="326">
        <f t="shared" si="34"/>
        <v>0</v>
      </c>
      <c r="AH408" s="342">
        <f t="shared" ref="AH408:AH413" si="36">IF(AND($S408&lt;&gt;"",$S408&lt;&gt;1,COUNTA(Y408)&gt;0),1,0)</f>
        <v>0</v>
      </c>
      <c r="AI408"/>
      <c r="AJ408" s="342">
        <f t="shared" si="35"/>
        <v>0</v>
      </c>
      <c r="AK408"/>
    </row>
    <row r="409" spans="1:37" ht="36" customHeight="1">
      <c r="A409" s="49"/>
      <c r="B409" s="38"/>
      <c r="C409" s="143" t="s">
        <v>2519</v>
      </c>
      <c r="D409" s="961" t="s">
        <v>4095</v>
      </c>
      <c r="E409" s="814"/>
      <c r="F409" s="814"/>
      <c r="G409" s="814"/>
      <c r="H409" s="814"/>
      <c r="I409" s="814"/>
      <c r="J409" s="814"/>
      <c r="K409" s="814"/>
      <c r="L409" s="814"/>
      <c r="M409" s="814"/>
      <c r="N409" s="814"/>
      <c r="O409" s="814"/>
      <c r="P409" s="814"/>
      <c r="Q409" s="814"/>
      <c r="R409" s="815"/>
      <c r="S409" s="816"/>
      <c r="T409" s="738"/>
      <c r="U409" s="738"/>
      <c r="V409" s="738"/>
      <c r="W409" s="738"/>
      <c r="X409" s="817"/>
      <c r="Y409" s="816"/>
      <c r="Z409" s="738"/>
      <c r="AA409" s="738"/>
      <c r="AB409" s="738"/>
      <c r="AC409" s="738"/>
      <c r="AD409" s="817"/>
      <c r="AG409" s="326">
        <f t="shared" si="34"/>
        <v>0</v>
      </c>
      <c r="AH409" s="342">
        <f t="shared" si="36"/>
        <v>0</v>
      </c>
      <c r="AI409"/>
      <c r="AJ409" s="342">
        <f t="shared" si="35"/>
        <v>0</v>
      </c>
      <c r="AK409"/>
    </row>
    <row r="410" spans="1:37" ht="36" customHeight="1">
      <c r="A410" s="50"/>
      <c r="B410" s="38"/>
      <c r="C410" s="143" t="s">
        <v>2520</v>
      </c>
      <c r="D410" s="961" t="s">
        <v>4096</v>
      </c>
      <c r="E410" s="814"/>
      <c r="F410" s="814"/>
      <c r="G410" s="814"/>
      <c r="H410" s="814"/>
      <c r="I410" s="814"/>
      <c r="J410" s="814"/>
      <c r="K410" s="814"/>
      <c r="L410" s="814"/>
      <c r="M410" s="814"/>
      <c r="N410" s="814"/>
      <c r="O410" s="814"/>
      <c r="P410" s="814"/>
      <c r="Q410" s="814"/>
      <c r="R410" s="815"/>
      <c r="S410" s="816"/>
      <c r="T410" s="738"/>
      <c r="U410" s="738"/>
      <c r="V410" s="738"/>
      <c r="W410" s="738"/>
      <c r="X410" s="817"/>
      <c r="Y410" s="816"/>
      <c r="Z410" s="738"/>
      <c r="AA410" s="738"/>
      <c r="AB410" s="738"/>
      <c r="AC410" s="738"/>
      <c r="AD410" s="817"/>
      <c r="AG410" s="326">
        <f>IF(AND($C$190&lt;&gt;"",$C$190&lt;&gt;1,COUNTA(S410:AD410)=0),0,IF(AND($C$190&lt;&gt;"",$C$190=1,$C$347&lt;&gt;"",$C$347&lt;&gt;1,COUNTA(S410:AD410)=0),0,IF(AND($C$190&lt;&gt;"",$C$190=1,$C$347&lt;&gt;"",$C$347=1,$S410&lt;&gt;"",$S410&lt;&gt;1,COUNTA(Y410)=0),0,IF(AND($C$190&lt;&gt;"",$C$190=1,$C$347&lt;&gt;"",$C$347=1,$S410&lt;&gt;"",$S410=1,COUNTA(Y410)=1),0,IF(AND(S410="",Y410=""),0,1)))))</f>
        <v>0</v>
      </c>
      <c r="AH410" s="342">
        <f t="shared" si="36"/>
        <v>0</v>
      </c>
      <c r="AI410"/>
      <c r="AJ410" s="342">
        <f t="shared" si="35"/>
        <v>0</v>
      </c>
      <c r="AK410"/>
    </row>
    <row r="411" spans="1:37" ht="24" customHeight="1">
      <c r="A411" s="49"/>
      <c r="B411" s="38"/>
      <c r="C411" s="143" t="s">
        <v>2521</v>
      </c>
      <c r="D411" s="961" t="s">
        <v>4097</v>
      </c>
      <c r="E411" s="814"/>
      <c r="F411" s="814"/>
      <c r="G411" s="814"/>
      <c r="H411" s="814"/>
      <c r="I411" s="814"/>
      <c r="J411" s="814"/>
      <c r="K411" s="814"/>
      <c r="L411" s="814"/>
      <c r="M411" s="814"/>
      <c r="N411" s="814"/>
      <c r="O411" s="814"/>
      <c r="P411" s="814"/>
      <c r="Q411" s="814"/>
      <c r="R411" s="815"/>
      <c r="S411" s="816"/>
      <c r="T411" s="738"/>
      <c r="U411" s="738"/>
      <c r="V411" s="738"/>
      <c r="W411" s="738"/>
      <c r="X411" s="817"/>
      <c r="Y411" s="816"/>
      <c r="Z411" s="738"/>
      <c r="AA411" s="738"/>
      <c r="AB411" s="738"/>
      <c r="AC411" s="738"/>
      <c r="AD411" s="817"/>
      <c r="AG411" s="326">
        <f>IF(AND($C$347&lt;&gt;"",$C$347&lt;&gt;1,COUNTA(S411:AD411)=0),0,IF(AND($C$347&lt;&gt;"",$C$347=1,$S411&lt;&gt;"",$S411&lt;&gt;1,COUNTA(Y411)=0),0,IF(AND($C$347&lt;&gt;"",$C$347=1,$S411&lt;&gt;"",$S411=1,COUNTA(Y411)=1),0,IF(AND(S411="",Y411=""),0,1))))</f>
        <v>0</v>
      </c>
      <c r="AH411" s="342">
        <f t="shared" si="36"/>
        <v>0</v>
      </c>
      <c r="AI411"/>
      <c r="AJ411" s="342">
        <f t="shared" si="35"/>
        <v>0</v>
      </c>
      <c r="AK411"/>
    </row>
    <row r="412" spans="1:37" ht="15" customHeight="1">
      <c r="A412" s="49"/>
      <c r="B412" s="38"/>
      <c r="C412" s="143" t="s">
        <v>2522</v>
      </c>
      <c r="D412" s="796" t="s">
        <v>4098</v>
      </c>
      <c r="E412" s="796"/>
      <c r="F412" s="796"/>
      <c r="G412" s="796"/>
      <c r="H412" s="796"/>
      <c r="I412" s="796"/>
      <c r="J412" s="796"/>
      <c r="K412" s="796"/>
      <c r="L412" s="796"/>
      <c r="M412" s="796"/>
      <c r="N412" s="796"/>
      <c r="O412" s="796"/>
      <c r="P412" s="796"/>
      <c r="Q412" s="796"/>
      <c r="R412" s="796"/>
      <c r="S412" s="816"/>
      <c r="T412" s="738"/>
      <c r="U412" s="738"/>
      <c r="V412" s="738"/>
      <c r="W412" s="738"/>
      <c r="X412" s="817"/>
      <c r="Y412" s="816"/>
      <c r="Z412" s="738"/>
      <c r="AA412" s="738"/>
      <c r="AB412" s="738"/>
      <c r="AC412" s="738"/>
      <c r="AD412" s="817"/>
      <c r="AG412" s="326">
        <f t="shared" ref="AG412" si="37">IF(AND($C$347&lt;&gt;"",$C$347&lt;&gt;1,COUNTA(S412:AD412)=0),0,IF(AND($C$347&lt;&gt;"",$C$347=1,$S412&lt;&gt;"",$S412&lt;&gt;1,COUNTA(Y412)=0),0,IF(AND($C$347&lt;&gt;"",$C$347=1,$S412&lt;&gt;"",$S412=1,COUNTA(Y412)=1),0,IF(AND(S412="",Y412=""),0,1))))</f>
        <v>0</v>
      </c>
      <c r="AH412" s="342">
        <f t="shared" si="36"/>
        <v>0</v>
      </c>
      <c r="AI412"/>
      <c r="AJ412" s="342">
        <f t="shared" si="35"/>
        <v>0</v>
      </c>
      <c r="AK412"/>
    </row>
    <row r="413" spans="1:37" ht="15" customHeight="1">
      <c r="A413" s="49"/>
      <c r="B413" s="38"/>
      <c r="C413" s="143" t="s">
        <v>2523</v>
      </c>
      <c r="D413" s="961" t="s">
        <v>4099</v>
      </c>
      <c r="E413" s="814"/>
      <c r="F413" s="814"/>
      <c r="G413" s="814"/>
      <c r="H413" s="814"/>
      <c r="I413" s="814"/>
      <c r="J413" s="814"/>
      <c r="K413" s="814"/>
      <c r="L413" s="814"/>
      <c r="M413" s="814"/>
      <c r="N413" s="814"/>
      <c r="O413" s="814"/>
      <c r="P413" s="814"/>
      <c r="Q413" s="814"/>
      <c r="R413" s="815"/>
      <c r="S413" s="816"/>
      <c r="T413" s="738"/>
      <c r="U413" s="738"/>
      <c r="V413" s="738"/>
      <c r="W413" s="738"/>
      <c r="X413" s="817"/>
      <c r="Y413" s="816"/>
      <c r="Z413" s="738"/>
      <c r="AA413" s="738"/>
      <c r="AB413" s="738"/>
      <c r="AC413" s="738"/>
      <c r="AD413" s="817"/>
      <c r="AG413" s="326">
        <f>IF(AND($C$347&lt;&gt;"",$C$347&lt;&gt;1,COUNTA(S413:AD413)=0),0,IF(AND($C$347&lt;&gt;"",$C$347=1,$S413&lt;&gt;"",$S413&lt;&gt;1,COUNTA(Y413)=0),0,IF(AND($C$347&lt;&gt;"",$C$347=1,$S413&lt;&gt;"",$S413=1,COUNTA(Y413)=1),0,IF(AND(S413="",Y413=""),0,1))))</f>
        <v>0</v>
      </c>
      <c r="AH413" s="342">
        <f t="shared" si="36"/>
        <v>0</v>
      </c>
      <c r="AI413"/>
      <c r="AJ413" s="342">
        <f t="shared" si="35"/>
        <v>0</v>
      </c>
      <c r="AK413"/>
    </row>
    <row r="414" spans="1:37">
      <c r="A414" s="96"/>
      <c r="B414" s="90"/>
      <c r="C414" s="90"/>
      <c r="D414" s="90"/>
      <c r="E414" s="90"/>
      <c r="F414" s="90"/>
      <c r="G414" s="90"/>
      <c r="H414" s="90"/>
      <c r="I414" s="90"/>
      <c r="J414" s="90"/>
      <c r="K414" s="90"/>
      <c r="L414" s="90"/>
      <c r="M414" s="90"/>
      <c r="N414" s="90"/>
      <c r="O414" s="90"/>
      <c r="P414" s="90"/>
      <c r="Q414" s="90"/>
      <c r="R414" s="90"/>
      <c r="S414" s="90"/>
      <c r="T414" s="90"/>
      <c r="U414" s="90"/>
      <c r="V414" s="90"/>
      <c r="W414" s="90"/>
      <c r="X414" s="90"/>
      <c r="Y414" s="90"/>
      <c r="Z414" s="90"/>
      <c r="AA414" s="90"/>
      <c r="AB414" s="90"/>
      <c r="AC414" s="90"/>
      <c r="AD414" s="90"/>
      <c r="AG414" s="349">
        <f>SUM(AG406:AG413)</f>
        <v>0</v>
      </c>
      <c r="AH414" s="465">
        <f>SUM(AH406:AH413)</f>
        <v>0</v>
      </c>
      <c r="AI414"/>
      <c r="AJ414" s="465">
        <f>SUM(AJ406:AJ413)</f>
        <v>0</v>
      </c>
      <c r="AK414"/>
    </row>
    <row r="415" spans="1:37" ht="45" customHeight="1">
      <c r="A415" s="49"/>
      <c r="B415" s="90"/>
      <c r="C415" s="822" t="s">
        <v>4100</v>
      </c>
      <c r="D415" s="822"/>
      <c r="E415" s="822"/>
      <c r="F415" s="822"/>
      <c r="G415" s="823"/>
      <c r="H415" s="749"/>
      <c r="I415" s="749"/>
      <c r="J415" s="749"/>
      <c r="K415" s="749"/>
      <c r="L415" s="749"/>
      <c r="M415" s="749"/>
      <c r="N415" s="749"/>
      <c r="O415" s="749"/>
      <c r="P415" s="749"/>
      <c r="Q415" s="749"/>
      <c r="R415" s="749"/>
      <c r="S415" s="749"/>
      <c r="T415" s="749"/>
      <c r="U415" s="749"/>
      <c r="V415" s="749"/>
      <c r="W415" s="749"/>
      <c r="X415" s="749"/>
      <c r="Y415" s="749"/>
      <c r="Z415" s="749"/>
      <c r="AA415" s="749"/>
      <c r="AB415" s="749"/>
      <c r="AC415" s="749"/>
      <c r="AD415" s="749"/>
    </row>
    <row r="416" spans="1:37">
      <c r="A416" s="96"/>
      <c r="B416" s="794" t="str">
        <f>IF(AND(AK406&gt;0,H415=""),"Ha seleccionado el código 1 en el numeral 8, debe anotar el nombre del(os) cargo(s) de la persona(s) servidora(s) pública(s) ","")</f>
        <v/>
      </c>
      <c r="C416" s="794"/>
      <c r="D416" s="794"/>
      <c r="E416" s="794"/>
      <c r="F416" s="794"/>
      <c r="G416" s="794"/>
      <c r="H416" s="794"/>
      <c r="I416" s="794"/>
      <c r="J416" s="794"/>
      <c r="K416" s="794"/>
      <c r="L416" s="794"/>
      <c r="M416" s="794"/>
      <c r="N416" s="794"/>
      <c r="O416" s="794"/>
      <c r="P416" s="794"/>
      <c r="Q416" s="794"/>
      <c r="R416" s="794"/>
      <c r="S416" s="794"/>
      <c r="T416" s="794"/>
      <c r="U416" s="794"/>
      <c r="V416" s="794"/>
      <c r="W416" s="794"/>
      <c r="X416" s="794"/>
      <c r="Y416" s="794"/>
      <c r="Z416" s="794"/>
      <c r="AA416" s="794"/>
      <c r="AB416" s="794"/>
      <c r="AC416" s="794"/>
      <c r="AD416" s="794"/>
      <c r="AE416" s="794"/>
    </row>
    <row r="417" spans="1:35" ht="24" customHeight="1">
      <c r="A417" s="158"/>
      <c r="B417" s="57"/>
      <c r="C417" s="754" t="s">
        <v>2611</v>
      </c>
      <c r="D417" s="754"/>
      <c r="E417" s="754"/>
      <c r="F417" s="754"/>
      <c r="G417" s="754"/>
      <c r="H417" s="754"/>
      <c r="I417" s="754"/>
      <c r="J417" s="754"/>
      <c r="K417" s="754"/>
      <c r="L417" s="754"/>
      <c r="M417" s="754"/>
      <c r="N417" s="754"/>
      <c r="O417" s="754"/>
      <c r="P417" s="754"/>
      <c r="Q417" s="754"/>
      <c r="R417" s="754"/>
      <c r="S417" s="754"/>
      <c r="T417" s="754"/>
      <c r="U417" s="754"/>
      <c r="V417" s="754"/>
      <c r="W417" s="754"/>
      <c r="X417" s="754"/>
      <c r="Y417" s="754"/>
      <c r="Z417" s="754"/>
      <c r="AA417" s="754"/>
      <c r="AB417" s="754"/>
      <c r="AC417" s="754"/>
      <c r="AD417" s="754"/>
    </row>
    <row r="418" spans="1:35" ht="60" customHeight="1">
      <c r="A418" s="158"/>
      <c r="B418" s="57"/>
      <c r="C418" s="851"/>
      <c r="D418" s="851"/>
      <c r="E418" s="851"/>
      <c r="F418" s="851"/>
      <c r="G418" s="851"/>
      <c r="H418" s="851"/>
      <c r="I418" s="851"/>
      <c r="J418" s="851"/>
      <c r="K418" s="851"/>
      <c r="L418" s="851"/>
      <c r="M418" s="851"/>
      <c r="N418" s="851"/>
      <c r="O418" s="851"/>
      <c r="P418" s="851"/>
      <c r="Q418" s="851"/>
      <c r="R418" s="851"/>
      <c r="S418" s="851"/>
      <c r="T418" s="851"/>
      <c r="U418" s="851"/>
      <c r="V418" s="851"/>
      <c r="W418" s="851"/>
      <c r="X418" s="851"/>
      <c r="Y418" s="851"/>
      <c r="Z418" s="851"/>
      <c r="AA418" s="851"/>
      <c r="AB418" s="851"/>
      <c r="AC418" s="851"/>
      <c r="AD418" s="851"/>
    </row>
    <row r="419" spans="1:35">
      <c r="A419" s="103"/>
      <c r="B419" s="794" t="str">
        <f>IF(AG414&gt;0,"Favor de ingresar toda la información requerida en la pregunta y/o verifique que no tenga información en celdas sombreadas","")</f>
        <v/>
      </c>
      <c r="C419" s="794"/>
      <c r="D419" s="794"/>
      <c r="E419" s="794"/>
      <c r="F419" s="794"/>
      <c r="G419" s="794"/>
      <c r="H419" s="794"/>
      <c r="I419" s="794"/>
      <c r="J419" s="794"/>
      <c r="K419" s="794"/>
      <c r="L419" s="794"/>
      <c r="M419" s="794"/>
      <c r="N419" s="794"/>
      <c r="O419" s="794"/>
      <c r="P419" s="794"/>
      <c r="Q419" s="794"/>
      <c r="R419" s="794"/>
      <c r="S419" s="794"/>
      <c r="T419" s="794"/>
      <c r="U419" s="794"/>
      <c r="V419" s="794"/>
      <c r="W419" s="794"/>
      <c r="X419" s="794"/>
      <c r="Y419" s="794"/>
      <c r="Z419" s="794"/>
      <c r="AA419" s="794"/>
      <c r="AB419" s="794"/>
      <c r="AC419" s="794"/>
      <c r="AD419" s="794"/>
    </row>
    <row r="420" spans="1:35">
      <c r="A420" s="103"/>
      <c r="B420" s="57"/>
      <c r="C420" s="57"/>
      <c r="D420" s="57"/>
      <c r="E420" s="57"/>
      <c r="F420" s="57"/>
      <c r="G420" s="57"/>
      <c r="H420" s="57"/>
      <c r="I420" s="57"/>
      <c r="J420" s="57"/>
      <c r="K420" s="57"/>
      <c r="L420" s="57"/>
      <c r="M420" s="57"/>
      <c r="N420" s="57"/>
      <c r="O420" s="57"/>
      <c r="P420" s="57"/>
      <c r="Q420" s="57"/>
      <c r="R420" s="57"/>
      <c r="S420" s="57"/>
      <c r="T420" s="57"/>
      <c r="U420" s="57"/>
      <c r="V420" s="57"/>
      <c r="W420" s="57"/>
      <c r="X420" s="57"/>
      <c r="Y420" s="57"/>
      <c r="Z420" s="57"/>
      <c r="AA420" s="57"/>
      <c r="AB420" s="57"/>
      <c r="AC420" s="57"/>
      <c r="AD420" s="57"/>
    </row>
    <row r="421" spans="1:35">
      <c r="A421" s="103"/>
      <c r="B421" s="57"/>
      <c r="C421" s="57"/>
      <c r="D421" s="57"/>
      <c r="E421" s="57"/>
      <c r="F421" s="57"/>
      <c r="G421" s="57"/>
      <c r="H421" s="57"/>
      <c r="I421" s="57"/>
      <c r="J421" s="57"/>
      <c r="K421" s="57"/>
      <c r="L421" s="57"/>
      <c r="M421" s="57"/>
      <c r="N421" s="57"/>
      <c r="O421" s="57"/>
      <c r="P421" s="57"/>
      <c r="Q421" s="57"/>
      <c r="R421" s="57"/>
      <c r="S421" s="57"/>
      <c r="T421" s="57"/>
      <c r="U421" s="57"/>
      <c r="V421" s="57"/>
      <c r="W421" s="57"/>
      <c r="X421" s="57"/>
      <c r="Y421" s="57"/>
      <c r="Z421" s="57"/>
      <c r="AA421" s="57"/>
      <c r="AB421" s="57"/>
      <c r="AC421" s="57"/>
      <c r="AD421" s="57"/>
    </row>
    <row r="422" spans="1:35">
      <c r="A422" s="103"/>
      <c r="B422" s="57"/>
      <c r="C422" s="57"/>
      <c r="D422" s="57"/>
      <c r="E422" s="57"/>
      <c r="F422" s="57"/>
      <c r="G422" s="57"/>
      <c r="H422" s="57"/>
      <c r="I422" s="57"/>
      <c r="J422" s="57"/>
      <c r="K422" s="57"/>
      <c r="L422" s="57"/>
      <c r="M422" s="57"/>
      <c r="N422" s="57"/>
      <c r="O422" s="57"/>
      <c r="P422" s="57"/>
      <c r="Q422" s="57"/>
      <c r="R422" s="57"/>
      <c r="S422" s="57"/>
      <c r="T422" s="57"/>
      <c r="U422" s="57"/>
      <c r="V422" s="57"/>
      <c r="W422" s="57"/>
      <c r="X422" s="57"/>
      <c r="Y422" s="57"/>
      <c r="Z422" s="57"/>
      <c r="AA422" s="57"/>
      <c r="AB422" s="57"/>
      <c r="AC422" s="57"/>
      <c r="AD422" s="57"/>
    </row>
    <row r="423" spans="1:35">
      <c r="A423" s="103"/>
      <c r="B423" s="57"/>
      <c r="C423" s="57"/>
      <c r="D423" s="57"/>
      <c r="E423" s="57"/>
      <c r="F423" s="57"/>
      <c r="G423" s="57"/>
      <c r="H423" s="57"/>
      <c r="I423" s="57"/>
      <c r="J423" s="57"/>
      <c r="K423" s="57"/>
      <c r="L423" s="57"/>
      <c r="M423" s="57"/>
      <c r="N423" s="57"/>
      <c r="O423" s="57"/>
      <c r="P423" s="57"/>
      <c r="Q423" s="57"/>
      <c r="R423" s="57"/>
      <c r="S423" s="57"/>
      <c r="T423" s="57"/>
      <c r="U423" s="57"/>
      <c r="V423" s="57"/>
      <c r="W423" s="57"/>
      <c r="X423" s="57"/>
      <c r="Y423" s="57"/>
      <c r="Z423" s="57"/>
      <c r="AA423" s="57"/>
      <c r="AB423" s="57"/>
      <c r="AC423" s="57"/>
      <c r="AD423" s="57"/>
    </row>
    <row r="424" spans="1:35">
      <c r="A424" s="103"/>
      <c r="B424" s="57"/>
      <c r="C424" s="57"/>
      <c r="D424" s="57"/>
      <c r="E424" s="57"/>
      <c r="F424" s="57"/>
      <c r="G424" s="57"/>
      <c r="H424" s="57"/>
      <c r="I424" s="57"/>
      <c r="J424" s="57"/>
      <c r="K424" s="57"/>
      <c r="L424" s="57"/>
      <c r="M424" s="57"/>
      <c r="N424" s="57"/>
      <c r="O424" s="57"/>
      <c r="P424" s="57"/>
      <c r="Q424" s="57"/>
      <c r="R424" s="57"/>
      <c r="S424" s="57"/>
      <c r="T424" s="57"/>
      <c r="U424" s="57"/>
      <c r="V424" s="57"/>
      <c r="W424" s="57"/>
      <c r="X424" s="57"/>
      <c r="Y424" s="57"/>
      <c r="Z424" s="57"/>
      <c r="AA424" s="57"/>
      <c r="AB424" s="57"/>
      <c r="AC424" s="57"/>
      <c r="AD424" s="57"/>
    </row>
    <row r="425" spans="1:35" ht="15" customHeight="1">
      <c r="A425" s="49" t="s">
        <v>4101</v>
      </c>
      <c r="B425" s="829" t="s">
        <v>4102</v>
      </c>
      <c r="C425" s="829"/>
      <c r="D425" s="829"/>
      <c r="E425" s="829"/>
      <c r="F425" s="829"/>
      <c r="G425" s="829"/>
      <c r="H425" s="829"/>
      <c r="I425" s="829"/>
      <c r="J425" s="829"/>
      <c r="K425" s="829"/>
      <c r="L425" s="829"/>
      <c r="M425" s="829"/>
      <c r="N425" s="829"/>
      <c r="O425" s="829"/>
      <c r="P425" s="829"/>
      <c r="Q425" s="829"/>
      <c r="R425" s="829"/>
      <c r="S425" s="829"/>
      <c r="T425" s="829"/>
      <c r="U425" s="829"/>
      <c r="V425" s="829"/>
      <c r="W425" s="829"/>
      <c r="X425" s="829"/>
      <c r="Y425" s="829"/>
      <c r="Z425" s="829"/>
      <c r="AA425" s="829"/>
      <c r="AB425" s="829"/>
      <c r="AC425" s="829"/>
      <c r="AD425" s="829"/>
    </row>
    <row r="426" spans="1:35" ht="15" customHeight="1">
      <c r="A426" s="49"/>
      <c r="B426" s="118"/>
      <c r="C426" s="754" t="s">
        <v>4103</v>
      </c>
      <c r="D426" s="754"/>
      <c r="E426" s="754"/>
      <c r="F426" s="754"/>
      <c r="G426" s="754"/>
      <c r="H426" s="754"/>
      <c r="I426" s="754"/>
      <c r="J426" s="754"/>
      <c r="K426" s="754"/>
      <c r="L426" s="754"/>
      <c r="M426" s="754"/>
      <c r="N426" s="754"/>
      <c r="O426" s="754"/>
      <c r="P426" s="754"/>
      <c r="Q426" s="754"/>
      <c r="R426" s="754"/>
      <c r="S426" s="754"/>
      <c r="T426" s="754"/>
      <c r="U426" s="754"/>
      <c r="V426" s="754"/>
      <c r="W426" s="754"/>
      <c r="X426" s="754"/>
      <c r="Y426" s="754"/>
      <c r="Z426" s="754"/>
      <c r="AA426" s="754"/>
      <c r="AB426" s="754"/>
      <c r="AC426" s="754"/>
      <c r="AD426" s="754"/>
    </row>
    <row r="427" spans="1:35" ht="15" customHeight="1" thickBot="1">
      <c r="A427" s="49"/>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c r="AA427" s="38"/>
      <c r="AB427" s="38"/>
      <c r="AC427" s="38"/>
      <c r="AD427" s="38"/>
      <c r="AG427" s="350" t="s">
        <v>2590</v>
      </c>
      <c r="AH427" s="500" t="s">
        <v>4071</v>
      </c>
      <c r="AI427" s="500" t="s">
        <v>4104</v>
      </c>
    </row>
    <row r="428" spans="1:35" ht="15.75" thickBot="1">
      <c r="A428" s="49"/>
      <c r="B428" s="38"/>
      <c r="C428" s="1035"/>
      <c r="D428" s="1036"/>
      <c r="E428" s="1036"/>
      <c r="F428" s="1037"/>
      <c r="G428" s="45" t="s">
        <v>4105</v>
      </c>
      <c r="H428" s="38"/>
      <c r="I428" s="38"/>
      <c r="J428" s="38"/>
      <c r="K428" s="38"/>
      <c r="L428" s="38"/>
      <c r="M428" s="38"/>
      <c r="N428" s="38"/>
      <c r="O428" s="38"/>
      <c r="P428" s="38"/>
      <c r="Q428" s="38"/>
      <c r="R428" s="38"/>
      <c r="S428" s="38"/>
      <c r="T428" s="38"/>
      <c r="U428" s="38"/>
      <c r="V428" s="38"/>
      <c r="W428" s="38"/>
      <c r="X428" s="38"/>
      <c r="Y428" s="38"/>
      <c r="Z428" s="38"/>
      <c r="AA428" s="38"/>
      <c r="AB428" s="38"/>
      <c r="AC428" s="38"/>
      <c r="AD428" s="38"/>
      <c r="AG428" s="353">
        <f>COUNTIF(C428,"NS")</f>
        <v>0</v>
      </c>
      <c r="AH428" s="342">
        <f>IF(AND($C$347&lt;&gt;"",$C$347&lt;&gt;1,COUNTA(C428)&gt;0),1,0)</f>
        <v>0</v>
      </c>
      <c r="AI428" s="342">
        <f>IF(AND($C$374="X",COUNTA(C428)&gt;0),1,0)</f>
        <v>0</v>
      </c>
    </row>
    <row r="429" spans="1:35" ht="15" customHeight="1">
      <c r="A429" s="49"/>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c r="AA429" s="38"/>
      <c r="AB429" s="38"/>
      <c r="AC429" s="38"/>
      <c r="AD429" s="38"/>
    </row>
    <row r="430" spans="1:35" ht="24" customHeight="1">
      <c r="A430" s="49"/>
      <c r="B430" s="38"/>
      <c r="C430" s="754" t="s">
        <v>2611</v>
      </c>
      <c r="D430" s="754"/>
      <c r="E430" s="754"/>
      <c r="F430" s="754"/>
      <c r="G430" s="754"/>
      <c r="H430" s="754"/>
      <c r="I430" s="754"/>
      <c r="J430" s="754"/>
      <c r="K430" s="754"/>
      <c r="L430" s="754"/>
      <c r="M430" s="754"/>
      <c r="N430" s="754"/>
      <c r="O430" s="754"/>
      <c r="P430" s="754"/>
      <c r="Q430" s="754"/>
      <c r="R430" s="754"/>
      <c r="S430" s="754"/>
      <c r="T430" s="754"/>
      <c r="U430" s="754"/>
      <c r="V430" s="754"/>
      <c r="W430" s="754"/>
      <c r="X430" s="754"/>
      <c r="Y430" s="754"/>
      <c r="Z430" s="754"/>
      <c r="AA430" s="754"/>
      <c r="AB430" s="754"/>
      <c r="AC430" s="754"/>
      <c r="AD430" s="754"/>
    </row>
    <row r="431" spans="1:35" ht="60" customHeight="1">
      <c r="A431" s="49"/>
      <c r="B431" s="38"/>
      <c r="C431" s="851"/>
      <c r="D431" s="851"/>
      <c r="E431" s="851"/>
      <c r="F431" s="851"/>
      <c r="G431" s="851"/>
      <c r="H431" s="851"/>
      <c r="I431" s="851"/>
      <c r="J431" s="851"/>
      <c r="K431" s="851"/>
      <c r="L431" s="851"/>
      <c r="M431" s="851"/>
      <c r="N431" s="851"/>
      <c r="O431" s="851"/>
      <c r="P431" s="851"/>
      <c r="Q431" s="851"/>
      <c r="R431" s="851"/>
      <c r="S431" s="851"/>
      <c r="T431" s="851"/>
      <c r="U431" s="851"/>
      <c r="V431" s="851"/>
      <c r="W431" s="851"/>
      <c r="X431" s="851"/>
      <c r="Y431" s="851"/>
      <c r="Z431" s="851"/>
      <c r="AA431" s="851"/>
      <c r="AB431" s="851"/>
      <c r="AC431" s="851"/>
      <c r="AD431" s="851"/>
    </row>
    <row r="432" spans="1:35" ht="15" customHeight="1">
      <c r="A432" s="103"/>
      <c r="B432" s="795" t="str">
        <f>IF(AG428&gt;0,"Alerta: debido a que cuenta con registros NS, debe proporcionar una justificación en el area de comentarios al final de la pregunta","")</f>
        <v/>
      </c>
      <c r="C432" s="795"/>
      <c r="D432" s="795"/>
      <c r="E432" s="795"/>
      <c r="F432" s="795"/>
      <c r="G432" s="795"/>
      <c r="H432" s="795"/>
      <c r="I432" s="795"/>
      <c r="J432" s="795"/>
      <c r="K432" s="795"/>
      <c r="L432" s="795"/>
      <c r="M432" s="795"/>
      <c r="N432" s="795"/>
      <c r="O432" s="795"/>
      <c r="P432" s="795"/>
      <c r="Q432" s="795"/>
      <c r="R432" s="795"/>
      <c r="S432" s="795"/>
      <c r="T432" s="795"/>
      <c r="U432" s="795"/>
      <c r="V432" s="795"/>
      <c r="W432" s="795"/>
      <c r="X432" s="795"/>
      <c r="Y432" s="795"/>
      <c r="Z432" s="795"/>
      <c r="AA432" s="795"/>
      <c r="AB432" s="795"/>
      <c r="AC432" s="795"/>
      <c r="AD432" s="795"/>
    </row>
    <row r="433" spans="1:55" ht="15" customHeight="1">
      <c r="A433" s="103"/>
      <c r="B433" s="794" t="str">
        <f>IF(AH428&gt;0,"Favor de ingresar toda la información requerida en la pregunta y/o verifique que no tenga información en celdas sombreadas","")</f>
        <v/>
      </c>
      <c r="C433" s="794"/>
      <c r="D433" s="794"/>
      <c r="E433" s="794"/>
      <c r="F433" s="794"/>
      <c r="G433" s="794"/>
      <c r="H433" s="794"/>
      <c r="I433" s="794"/>
      <c r="J433" s="794"/>
      <c r="K433" s="794"/>
      <c r="L433" s="794"/>
      <c r="M433" s="794"/>
      <c r="N433" s="794"/>
      <c r="O433" s="794"/>
      <c r="P433" s="794"/>
      <c r="Q433" s="794"/>
      <c r="R433" s="794"/>
      <c r="S433" s="794"/>
      <c r="T433" s="794"/>
      <c r="U433" s="794"/>
      <c r="V433" s="794"/>
      <c r="W433" s="794"/>
      <c r="X433" s="794"/>
      <c r="Y433" s="794"/>
      <c r="Z433" s="794"/>
      <c r="AA433" s="794"/>
      <c r="AB433" s="794"/>
      <c r="AC433" s="794"/>
      <c r="AD433" s="794"/>
    </row>
    <row r="434" spans="1:55" ht="15" customHeight="1">
      <c r="A434" s="103"/>
      <c r="B434" s="57"/>
      <c r="C434" s="57"/>
      <c r="D434" s="57"/>
      <c r="E434" s="57"/>
      <c r="F434" s="57"/>
      <c r="G434" s="57"/>
      <c r="H434" s="57"/>
      <c r="I434" s="57"/>
      <c r="J434" s="57"/>
      <c r="K434" s="57"/>
      <c r="L434" s="57"/>
      <c r="M434" s="57"/>
      <c r="N434" s="57"/>
      <c r="O434" s="57"/>
      <c r="P434" s="57"/>
      <c r="Q434" s="57"/>
      <c r="R434" s="57"/>
      <c r="S434" s="57"/>
      <c r="T434" s="57"/>
      <c r="U434" s="57"/>
      <c r="V434" s="57"/>
      <c r="W434" s="57"/>
      <c r="X434" s="57"/>
      <c r="Y434" s="57"/>
      <c r="Z434" s="57"/>
      <c r="AA434" s="57"/>
      <c r="AB434" s="57"/>
      <c r="AC434" s="57"/>
      <c r="AD434" s="57"/>
    </row>
    <row r="435" spans="1:55" ht="15" customHeight="1">
      <c r="A435" s="103"/>
      <c r="B435" s="57"/>
      <c r="C435" s="57"/>
      <c r="D435" s="57"/>
      <c r="E435" s="57"/>
      <c r="F435" s="57"/>
      <c r="G435" s="57"/>
      <c r="H435" s="57"/>
      <c r="I435" s="57"/>
      <c r="J435" s="57"/>
      <c r="K435" s="57"/>
      <c r="L435" s="57"/>
      <c r="M435" s="57"/>
      <c r="N435" s="57"/>
      <c r="O435" s="57"/>
      <c r="P435" s="57"/>
      <c r="Q435" s="57"/>
      <c r="R435" s="57"/>
      <c r="S435" s="57"/>
      <c r="T435" s="57"/>
      <c r="U435" s="57"/>
      <c r="V435" s="57"/>
      <c r="W435" s="57"/>
      <c r="X435" s="57"/>
      <c r="Y435" s="57"/>
      <c r="Z435" s="57"/>
      <c r="AA435" s="57"/>
      <c r="AB435" s="57"/>
      <c r="AC435" s="57"/>
      <c r="AD435" s="57"/>
    </row>
    <row r="436" spans="1:55" ht="15" customHeight="1">
      <c r="A436" s="103"/>
      <c r="B436" s="57"/>
      <c r="C436" s="57"/>
      <c r="D436" s="57"/>
      <c r="E436" s="57"/>
      <c r="F436" s="57"/>
      <c r="G436" s="57"/>
      <c r="H436" s="57"/>
      <c r="I436" s="57"/>
      <c r="J436" s="57"/>
      <c r="K436" s="57"/>
      <c r="L436" s="57"/>
      <c r="M436" s="57"/>
      <c r="N436" s="57"/>
      <c r="O436" s="57"/>
      <c r="P436" s="57"/>
      <c r="Q436" s="57"/>
      <c r="R436" s="57"/>
      <c r="S436" s="57"/>
      <c r="T436" s="57"/>
      <c r="U436" s="57"/>
      <c r="V436" s="57"/>
      <c r="W436" s="57"/>
      <c r="X436" s="57"/>
      <c r="Y436" s="57"/>
      <c r="Z436" s="57"/>
      <c r="AA436" s="57"/>
      <c r="AB436" s="57"/>
      <c r="AC436" s="57"/>
      <c r="AD436" s="57"/>
    </row>
    <row r="437" spans="1:55" ht="15" customHeight="1">
      <c r="A437" s="103"/>
      <c r="B437" s="57"/>
      <c r="C437" s="57"/>
      <c r="D437" s="57"/>
      <c r="E437" s="57"/>
      <c r="F437" s="57"/>
      <c r="G437" s="57"/>
      <c r="H437" s="57"/>
      <c r="I437" s="57"/>
      <c r="J437" s="57"/>
      <c r="K437" s="57"/>
      <c r="L437" s="57"/>
      <c r="M437" s="57"/>
      <c r="N437" s="57"/>
      <c r="O437" s="57"/>
      <c r="P437" s="57"/>
      <c r="Q437" s="57"/>
      <c r="R437" s="57"/>
      <c r="S437" s="57"/>
      <c r="T437" s="57"/>
      <c r="U437" s="57"/>
      <c r="V437" s="57"/>
      <c r="W437" s="57"/>
      <c r="X437" s="57"/>
      <c r="Y437" s="57"/>
      <c r="Z437" s="57"/>
      <c r="AA437" s="57"/>
      <c r="AB437" s="57"/>
      <c r="AC437" s="57"/>
      <c r="AD437" s="57"/>
    </row>
    <row r="438" spans="1:55" ht="36" customHeight="1">
      <c r="A438" s="49" t="s">
        <v>4106</v>
      </c>
      <c r="B438" s="829" t="s">
        <v>4107</v>
      </c>
      <c r="C438" s="829"/>
      <c r="D438" s="829"/>
      <c r="E438" s="829"/>
      <c r="F438" s="829"/>
      <c r="G438" s="829"/>
      <c r="H438" s="829"/>
      <c r="I438" s="829"/>
      <c r="J438" s="829"/>
      <c r="K438" s="829"/>
      <c r="L438" s="829"/>
      <c r="M438" s="829"/>
      <c r="N438" s="829"/>
      <c r="O438" s="829"/>
      <c r="P438" s="829"/>
      <c r="Q438" s="829"/>
      <c r="R438" s="829"/>
      <c r="S438" s="829"/>
      <c r="T438" s="829"/>
      <c r="U438" s="829"/>
      <c r="V438" s="829"/>
      <c r="W438" s="829"/>
      <c r="X438" s="829"/>
      <c r="Y438" s="829"/>
      <c r="Z438" s="829"/>
      <c r="AA438" s="829"/>
      <c r="AB438" s="829"/>
      <c r="AC438" s="829"/>
      <c r="AD438" s="829"/>
    </row>
    <row r="439" spans="1:55" ht="24" customHeight="1">
      <c r="A439" s="49"/>
      <c r="B439" s="118"/>
      <c r="C439" s="830" t="s">
        <v>4108</v>
      </c>
      <c r="D439" s="830"/>
      <c r="E439" s="830"/>
      <c r="F439" s="830"/>
      <c r="G439" s="830"/>
      <c r="H439" s="830"/>
      <c r="I439" s="830"/>
      <c r="J439" s="830"/>
      <c r="K439" s="830"/>
      <c r="L439" s="830"/>
      <c r="M439" s="830"/>
      <c r="N439" s="830"/>
      <c r="O439" s="830"/>
      <c r="P439" s="830"/>
      <c r="Q439" s="830"/>
      <c r="R439" s="830"/>
      <c r="S439" s="830"/>
      <c r="T439" s="830"/>
      <c r="U439" s="830"/>
      <c r="V439" s="830"/>
      <c r="W439" s="830"/>
      <c r="X439" s="830"/>
      <c r="Y439" s="830"/>
      <c r="Z439" s="830"/>
      <c r="AA439" s="830"/>
      <c r="AB439" s="830"/>
      <c r="AC439" s="830"/>
      <c r="AD439" s="830"/>
    </row>
    <row r="440" spans="1:55" ht="36" customHeight="1">
      <c r="A440" s="49"/>
      <c r="B440" s="118"/>
      <c r="C440" s="830" t="s">
        <v>4109</v>
      </c>
      <c r="D440" s="830"/>
      <c r="E440" s="830"/>
      <c r="F440" s="830"/>
      <c r="G440" s="830"/>
      <c r="H440" s="830"/>
      <c r="I440" s="830"/>
      <c r="J440" s="830"/>
      <c r="K440" s="830"/>
      <c r="L440" s="830"/>
      <c r="M440" s="830"/>
      <c r="N440" s="830"/>
      <c r="O440" s="830"/>
      <c r="P440" s="830"/>
      <c r="Q440" s="830"/>
      <c r="R440" s="830"/>
      <c r="S440" s="830"/>
      <c r="T440" s="830"/>
      <c r="U440" s="830"/>
      <c r="V440" s="830"/>
      <c r="W440" s="830"/>
      <c r="X440" s="830"/>
      <c r="Y440" s="830"/>
      <c r="Z440" s="830"/>
      <c r="AA440" s="830"/>
      <c r="AB440" s="830"/>
      <c r="AC440" s="830"/>
      <c r="AD440" s="830"/>
    </row>
    <row r="441" spans="1:55" ht="36" customHeight="1">
      <c r="A441" s="49"/>
      <c r="B441" s="118"/>
      <c r="C441" s="754" t="s">
        <v>4110</v>
      </c>
      <c r="D441" s="754"/>
      <c r="E441" s="754"/>
      <c r="F441" s="754"/>
      <c r="G441" s="754"/>
      <c r="H441" s="754"/>
      <c r="I441" s="754"/>
      <c r="J441" s="754"/>
      <c r="K441" s="754"/>
      <c r="L441" s="754"/>
      <c r="M441" s="754"/>
      <c r="N441" s="754"/>
      <c r="O441" s="754"/>
      <c r="P441" s="754"/>
      <c r="Q441" s="754"/>
      <c r="R441" s="754"/>
      <c r="S441" s="754"/>
      <c r="T441" s="754"/>
      <c r="U441" s="754"/>
      <c r="V441" s="754"/>
      <c r="W441" s="754"/>
      <c r="X441" s="754"/>
      <c r="Y441" s="754"/>
      <c r="Z441" s="754"/>
      <c r="AA441" s="754"/>
      <c r="AB441" s="754"/>
      <c r="AC441" s="754"/>
      <c r="AD441" s="754"/>
    </row>
    <row r="442" spans="1:55" ht="24" customHeight="1">
      <c r="A442" s="49"/>
      <c r="B442" s="118"/>
      <c r="C442" s="754" t="s">
        <v>4111</v>
      </c>
      <c r="D442" s="754"/>
      <c r="E442" s="754"/>
      <c r="F442" s="754"/>
      <c r="G442" s="754"/>
      <c r="H442" s="754"/>
      <c r="I442" s="754"/>
      <c r="J442" s="754"/>
      <c r="K442" s="754"/>
      <c r="L442" s="754"/>
      <c r="M442" s="754"/>
      <c r="N442" s="754"/>
      <c r="O442" s="754"/>
      <c r="P442" s="754"/>
      <c r="Q442" s="754"/>
      <c r="R442" s="754"/>
      <c r="S442" s="754"/>
      <c r="T442" s="754"/>
      <c r="U442" s="754"/>
      <c r="V442" s="754"/>
      <c r="W442" s="754"/>
      <c r="X442" s="754"/>
      <c r="Y442" s="754"/>
      <c r="Z442" s="754"/>
      <c r="AA442" s="754"/>
      <c r="AB442" s="754"/>
      <c r="AC442" s="754"/>
      <c r="AD442" s="754"/>
    </row>
    <row r="443" spans="1:55" ht="15" customHeight="1">
      <c r="A443" s="94"/>
    </row>
    <row r="444" spans="1:55" ht="24" customHeight="1">
      <c r="A444" s="94"/>
      <c r="C444" s="818" t="s">
        <v>4112</v>
      </c>
      <c r="D444" s="819"/>
      <c r="E444" s="819"/>
      <c r="F444" s="820"/>
      <c r="G444" s="797" t="s">
        <v>4113</v>
      </c>
      <c r="H444" s="798"/>
      <c r="I444" s="799"/>
      <c r="J444" s="739" t="s">
        <v>4114</v>
      </c>
      <c r="K444" s="740"/>
      <c r="L444" s="740"/>
      <c r="M444" s="740"/>
      <c r="N444" s="740"/>
      <c r="O444" s="740"/>
      <c r="P444" s="740"/>
      <c r="Q444" s="740"/>
      <c r="R444" s="740"/>
      <c r="S444" s="740"/>
      <c r="T444" s="740"/>
      <c r="U444" s="740"/>
      <c r="V444" s="740"/>
      <c r="W444" s="740"/>
      <c r="X444" s="740"/>
      <c r="Y444" s="740"/>
      <c r="Z444" s="740"/>
      <c r="AA444" s="740"/>
      <c r="AB444" s="740"/>
      <c r="AC444" s="740"/>
      <c r="AD444" s="741"/>
    </row>
    <row r="445" spans="1:55" ht="15" customHeight="1">
      <c r="A445" s="94"/>
      <c r="C445" s="821"/>
      <c r="D445" s="822"/>
      <c r="E445" s="822"/>
      <c r="F445" s="823"/>
      <c r="G445" s="800"/>
      <c r="H445" s="801"/>
      <c r="I445" s="802"/>
      <c r="J445" s="874" t="s">
        <v>2628</v>
      </c>
      <c r="K445" s="857" t="s">
        <v>2629</v>
      </c>
      <c r="L445" s="857" t="s">
        <v>2630</v>
      </c>
      <c r="M445" s="736" t="s">
        <v>4115</v>
      </c>
      <c r="N445" s="736"/>
      <c r="O445" s="736"/>
      <c r="P445" s="736"/>
      <c r="Q445" s="736"/>
      <c r="R445" s="736"/>
      <c r="S445" s="736"/>
      <c r="T445" s="736"/>
      <c r="U445" s="736"/>
      <c r="V445" s="736"/>
      <c r="W445" s="736"/>
      <c r="X445" s="736"/>
      <c r="Y445" s="736"/>
      <c r="Z445" s="736"/>
      <c r="AA445" s="736"/>
      <c r="AB445" s="736"/>
      <c r="AC445" s="736"/>
      <c r="AD445" s="736"/>
    </row>
    <row r="446" spans="1:55" ht="96" customHeight="1">
      <c r="A446" s="94"/>
      <c r="C446" s="821"/>
      <c r="D446" s="822"/>
      <c r="E446" s="822"/>
      <c r="F446" s="823"/>
      <c r="G446" s="800"/>
      <c r="H446" s="801"/>
      <c r="I446" s="802"/>
      <c r="J446" s="874"/>
      <c r="K446" s="857"/>
      <c r="L446" s="857"/>
      <c r="M446" s="857" t="s">
        <v>4116</v>
      </c>
      <c r="N446" s="857"/>
      <c r="O446" s="857"/>
      <c r="P446" s="857" t="s">
        <v>4117</v>
      </c>
      <c r="Q446" s="857"/>
      <c r="R446" s="857"/>
      <c r="S446" s="857" t="s">
        <v>4118</v>
      </c>
      <c r="T446" s="857"/>
      <c r="U446" s="857"/>
      <c r="V446" s="857" t="s">
        <v>4119</v>
      </c>
      <c r="W446" s="857"/>
      <c r="X446" s="857"/>
      <c r="Y446" s="857" t="s">
        <v>4120</v>
      </c>
      <c r="Z446" s="857"/>
      <c r="AA446" s="857"/>
      <c r="AB446" s="858" t="s">
        <v>2990</v>
      </c>
      <c r="AC446" s="859"/>
      <c r="AD446" s="860"/>
    </row>
    <row r="447" spans="1:55" ht="48" customHeight="1">
      <c r="A447" s="94"/>
      <c r="C447" s="824"/>
      <c r="D447" s="825"/>
      <c r="E447" s="825"/>
      <c r="F447" s="826"/>
      <c r="G447" s="803"/>
      <c r="H447" s="804"/>
      <c r="I447" s="805"/>
      <c r="J447" s="874"/>
      <c r="K447" s="857"/>
      <c r="L447" s="857"/>
      <c r="M447" s="127" t="s">
        <v>2635</v>
      </c>
      <c r="N447" s="128" t="s">
        <v>2629</v>
      </c>
      <c r="O447" s="128" t="s">
        <v>2630</v>
      </c>
      <c r="P447" s="127" t="s">
        <v>2635</v>
      </c>
      <c r="Q447" s="128" t="s">
        <v>2629</v>
      </c>
      <c r="R447" s="128" t="s">
        <v>2630</v>
      </c>
      <c r="S447" s="127" t="s">
        <v>2635</v>
      </c>
      <c r="T447" s="128" t="s">
        <v>2629</v>
      </c>
      <c r="U447" s="128" t="s">
        <v>2630</v>
      </c>
      <c r="V447" s="127" t="s">
        <v>2635</v>
      </c>
      <c r="W447" s="128" t="s">
        <v>2629</v>
      </c>
      <c r="X447" s="128" t="s">
        <v>2630</v>
      </c>
      <c r="Y447" s="127" t="s">
        <v>2635</v>
      </c>
      <c r="Z447" s="128" t="s">
        <v>2629</v>
      </c>
      <c r="AA447" s="128" t="s">
        <v>2630</v>
      </c>
      <c r="AB447" s="127" t="s">
        <v>2635</v>
      </c>
      <c r="AC447" s="128" t="s">
        <v>2629</v>
      </c>
      <c r="AD447" s="128" t="s">
        <v>2630</v>
      </c>
      <c r="AG447" s="354" t="s">
        <v>2586</v>
      </c>
      <c r="AH447" s="282" t="s">
        <v>2637</v>
      </c>
      <c r="AI447" s="280" t="s">
        <v>2638</v>
      </c>
      <c r="AJ447" s="281" t="s">
        <v>2639</v>
      </c>
      <c r="AK447" s="282" t="s">
        <v>2640</v>
      </c>
      <c r="AL447" s="280" t="s">
        <v>2641</v>
      </c>
      <c r="AM447" s="281" t="s">
        <v>2642</v>
      </c>
      <c r="AN447" s="282" t="s">
        <v>2643</v>
      </c>
      <c r="AO447" s="280" t="s">
        <v>2644</v>
      </c>
      <c r="AP447" s="281" t="s">
        <v>2645</v>
      </c>
      <c r="AQ447" s="282" t="s">
        <v>2646</v>
      </c>
      <c r="AR447" s="280" t="s">
        <v>2647</v>
      </c>
      <c r="AS447" s="281" t="s">
        <v>2648</v>
      </c>
      <c r="AT447" s="282" t="s">
        <v>2756</v>
      </c>
      <c r="AU447" s="280" t="s">
        <v>2757</v>
      </c>
      <c r="AV447" s="281" t="s">
        <v>2758</v>
      </c>
      <c r="AW447" s="282" t="s">
        <v>2759</v>
      </c>
      <c r="AX447" s="280" t="s">
        <v>2760</v>
      </c>
      <c r="AY447" s="281" t="s">
        <v>2761</v>
      </c>
      <c r="AZ447" s="282" t="s">
        <v>2762</v>
      </c>
      <c r="BA447" s="280" t="s">
        <v>2763</v>
      </c>
      <c r="BB447" s="281" t="s">
        <v>2764</v>
      </c>
      <c r="BC447" s="510" t="s">
        <v>3478</v>
      </c>
    </row>
    <row r="448" spans="1:55">
      <c r="A448" s="94"/>
      <c r="C448" s="749"/>
      <c r="D448" s="749"/>
      <c r="E448" s="749"/>
      <c r="F448" s="749"/>
      <c r="G448" s="749"/>
      <c r="H448" s="749"/>
      <c r="I448" s="749"/>
      <c r="J448" s="100"/>
      <c r="K448" s="100"/>
      <c r="L448" s="100"/>
      <c r="M448" s="100"/>
      <c r="N448" s="100"/>
      <c r="O448" s="100"/>
      <c r="P448" s="100"/>
      <c r="Q448" s="100"/>
      <c r="R448" s="100"/>
      <c r="S448" s="100"/>
      <c r="T448" s="100"/>
      <c r="U448" s="100"/>
      <c r="V448" s="100"/>
      <c r="W448" s="100"/>
      <c r="X448" s="100"/>
      <c r="Y448" s="100"/>
      <c r="Z448" s="100"/>
      <c r="AA448" s="100"/>
      <c r="AB448" s="100"/>
      <c r="AC448" s="100"/>
      <c r="AD448" s="100"/>
      <c r="AG448" s="326">
        <f>IF(AND($C$347&lt;&gt;"",$C$347&lt;&gt;1,COUNTA(C448:AD448)=0),0,IF(AND($C$347&lt;&gt;"",$C$347=1,$C$448&lt;&gt;"",$C$448&lt;&gt;1,COUNTA(G448:AD448)=0),0,IF(AND($C$347&lt;&gt;"",$C$347=1,$C$448&lt;&gt;"",$C$448=1,COUNTA(G448:AD448)=22),0,IF(AND($C$448="",COUNTA(G448:AD448)=0),0,1))))</f>
        <v>0</v>
      </c>
      <c r="AH448" s="283">
        <f>COUNTIF(K448:L448,"NS")</f>
        <v>0</v>
      </c>
      <c r="AI448" s="283">
        <f>SUM(K448:L448)</f>
        <v>0</v>
      </c>
      <c r="AJ448" s="283">
        <f>IF(COUNTIF(J448:L448,"NA")=3,0,IF(COUNTA(J448:L448)=0,0,IF(OR(AND(J448=0,AH448&gt;0),AND(J448="ns",AI448&gt;0),AND(J448="ns",AH448=0,AI448=0)),1,IF(OR(AND(J448&gt;0,AH448=2),AND(J448="ns",AH448=2),AND(J448="ns",AI448=0,AH448&gt;0),J448=AI448),0,1))))</f>
        <v>0</v>
      </c>
      <c r="AK448" s="283">
        <f>COUNTIF(N448:O448,"NS")</f>
        <v>0</v>
      </c>
      <c r="AL448" s="283">
        <f>SUM(N448:O448)</f>
        <v>0</v>
      </c>
      <c r="AM448" s="283">
        <f>IF(COUNTIF(M448:O448,"NA")=3,0,IF(COUNTA(M448:O448)=0,0,IF(OR(AND(M448=0,AK448&gt;0),AND(M448="ns",AL448&gt;0),AND(M448="ns",AK448=0,AL448=0)),1,IF(OR(AND(M448&gt;0,AK448=2),AND(M448="ns",AK448=2),AND(M448="ns",AL448=0,AK448&gt;0),M448=AL448),0,1))))</f>
        <v>0</v>
      </c>
      <c r="AN448" s="283">
        <f>COUNTIF(Q448:R448,"NS")</f>
        <v>0</v>
      </c>
      <c r="AO448" s="283">
        <f>SUM(Q448:R448)</f>
        <v>0</v>
      </c>
      <c r="AP448" s="283">
        <f>IF(COUNTIF(P448:R448,"NA")=3,0,IF(COUNTA(P448:R448)=0,0,IF(OR(AND(P448=0,AN448&gt;0),AND(P448="ns",AO448&gt;0),AND(P448="ns",AN448=0,AO448=0)),1,IF(OR(AND(P448&gt;0,AN448=2),AND(P448="ns",AN448=2),AND(P448="ns",AO448=0,AN448&gt;0),P448=AO448),0,1))))</f>
        <v>0</v>
      </c>
      <c r="AQ448" s="283">
        <f>COUNTIF(T448:U448,"NS")</f>
        <v>0</v>
      </c>
      <c r="AR448" s="283">
        <f>SUM(T448:U448)</f>
        <v>0</v>
      </c>
      <c r="AS448" s="283">
        <f>IF(COUNTIF(S448:U448,"NA")=3,0,IF(COUNTA(S448:U448)=0,0,IF(OR(AND(S448=0,AQ448&gt;0),AND(S448="ns",AR448&gt;0),AND(S448="ns",AQ448=0,AR448=0)),1,IF(OR(AND(S448&gt;0,AQ448=2),AND(S448="ns",AQ448=2),AND(S448="ns",AR448=0,AQ448&gt;0),S448=AR448),0,1))))</f>
        <v>0</v>
      </c>
      <c r="AT448" s="283">
        <f>COUNTIF(W448:X448,"NS")</f>
        <v>0</v>
      </c>
      <c r="AU448" s="283">
        <f>SUM(W448:X448)</f>
        <v>0</v>
      </c>
      <c r="AV448" s="283">
        <f>IF(COUNTIF(V448:X448,"NA")=3,0,IF(COUNTA(V448:X448)=0,0,IF(OR(AND(V448=0,AT448&gt;0),AND(V448="ns",AU448&gt;0),AND(V448="ns",AT448=0,AU448=0)),1,IF(OR(AND(V448&gt;0,AT448=2),AND(V448="ns",AT448=2),AND(V448="ns",AU448=0,AT448&gt;0),V448=AU448),0,1))))</f>
        <v>0</v>
      </c>
      <c r="AW448" s="283">
        <f>COUNTIF(Z448:AA448,"NS")</f>
        <v>0</v>
      </c>
      <c r="AX448" s="283">
        <f>SUM(Z448:AA448)</f>
        <v>0</v>
      </c>
      <c r="AY448" s="283">
        <f>IF(COUNTIF(Y448:AA448,"NA")=3,0,IF(COUNTA(Y448:AA448)=0,0,IF(OR(AND(Y448=0,AW448&gt;0),AND(Y448="ns",AX448&gt;0),AND(Y448="ns",AW448=0,AX448=0)),1,IF(OR(AND(Y448&gt;0,AW448=2),AND(Y448="ns",AW448=2),AND(Y448="ns",AX448=0,AW448&gt;0),Y448=AX448),0,1))))</f>
        <v>0</v>
      </c>
      <c r="AZ448" s="283">
        <f>COUNTIF(AC448:AD448,"NS")</f>
        <v>0</v>
      </c>
      <c r="BA448" s="283">
        <f>SUM(AC448:AD448)</f>
        <v>0</v>
      </c>
      <c r="BB448" s="283">
        <f>IF(COUNTIF(AB448:AD448,"NA")=3,0,IF(COUNTA(AB448:AD448)=0,0,IF(OR(AND(AB448=0,AZ448&gt;0),AND(AB448="ns",BA448&gt;0),AND(AB448="ns",AZ448=0,BA448=0)),1,IF(OR(AND(AB448&gt;0,AZ448=2),AND(AB448="ns",AZ448=2),AND(AB448="ns",BA448=0,AZ448&gt;0),AB448=BA448),0,1))))</f>
        <v>0</v>
      </c>
      <c r="BC448" s="253">
        <f>IF(AND($C$448&lt;&gt;"",$C$448=1,G448&lt;&gt;"",G448=0),1,0)</f>
        <v>0</v>
      </c>
    </row>
    <row r="449" spans="1:56" ht="15" customHeight="1">
      <c r="A449" s="103"/>
      <c r="B449" s="57"/>
      <c r="C449" s="84"/>
      <c r="D449" s="84"/>
      <c r="E449" s="84"/>
      <c r="F449" s="84"/>
      <c r="G449" s="84"/>
      <c r="H449" s="84"/>
      <c r="I449" s="84"/>
      <c r="J449" s="84"/>
      <c r="K449" s="84"/>
      <c r="L449" s="84"/>
      <c r="M449" s="84"/>
      <c r="N449" s="84"/>
      <c r="O449" s="84"/>
      <c r="P449" s="104"/>
      <c r="Q449" s="104"/>
      <c r="R449" s="104"/>
      <c r="S449" s="104"/>
      <c r="T449" s="104"/>
      <c r="U449" s="104"/>
      <c r="V449" s="104"/>
      <c r="W449" s="104"/>
      <c r="X449" s="104"/>
      <c r="Y449" s="104"/>
      <c r="Z449" s="104"/>
      <c r="AA449" s="104"/>
      <c r="AB449" s="104"/>
      <c r="AC449" s="104"/>
      <c r="AD449" s="104"/>
      <c r="AG449"/>
      <c r="AH449"/>
      <c r="AI449"/>
      <c r="AJ449"/>
      <c r="AK449" s="356" t="s">
        <v>2650</v>
      </c>
      <c r="AL449" s="283">
        <f>SUM(AJ448,AM448,AP448,AS448,AV448,AY448,BB448)</f>
        <v>0</v>
      </c>
      <c r="AM449" s="355" t="s">
        <v>2651</v>
      </c>
      <c r="AN449" s="283">
        <f>SUM(AH448,AK448,AN448,AQ448,AT448,AW448,AZ448)</f>
        <v>0</v>
      </c>
      <c r="AO449"/>
      <c r="AP449"/>
      <c r="AQ449"/>
      <c r="AR449"/>
      <c r="AS449"/>
      <c r="AT449"/>
      <c r="AU449"/>
      <c r="AV449"/>
      <c r="AW449"/>
      <c r="AX449"/>
      <c r="AY449"/>
      <c r="AZ449"/>
      <c r="BA449"/>
      <c r="BB449"/>
      <c r="BC449"/>
    </row>
    <row r="450" spans="1:56" ht="45" customHeight="1">
      <c r="A450" s="50"/>
      <c r="B450" s="57"/>
      <c r="C450" s="822" t="s">
        <v>2798</v>
      </c>
      <c r="D450" s="822"/>
      <c r="E450" s="822"/>
      <c r="F450" s="749"/>
      <c r="G450" s="749"/>
      <c r="H450" s="749"/>
      <c r="I450" s="749"/>
      <c r="J450" s="749"/>
      <c r="K450" s="749"/>
      <c r="L450" s="749"/>
      <c r="M450" s="749"/>
      <c r="N450" s="749"/>
      <c r="O450" s="749"/>
      <c r="P450" s="749"/>
      <c r="Q450" s="749"/>
      <c r="R450" s="749"/>
      <c r="S450" s="749"/>
      <c r="T450" s="749"/>
      <c r="U450" s="749"/>
      <c r="V450" s="749"/>
      <c r="W450" s="749"/>
      <c r="X450" s="749"/>
      <c r="Y450" s="749"/>
      <c r="Z450" s="749"/>
      <c r="AA450" s="749"/>
      <c r="AB450" s="749"/>
      <c r="AC450" s="749"/>
      <c r="AD450" s="749"/>
      <c r="AG450" s="366" t="s">
        <v>2795</v>
      </c>
      <c r="AH450" s="367" t="s">
        <v>3177</v>
      </c>
      <c r="AI450" s="368" t="s">
        <v>3178</v>
      </c>
      <c r="AJ450" s="365" t="s">
        <v>2620</v>
      </c>
      <c r="AK450" s="1042" t="s">
        <v>4121</v>
      </c>
      <c r="AL450" s="1042"/>
      <c r="AM450" s="1042"/>
      <c r="AN450" s="1043" t="s">
        <v>4122</v>
      </c>
      <c r="AO450" s="1043"/>
      <c r="AP450" s="1043"/>
      <c r="AQ450" s="1042" t="s">
        <v>4123</v>
      </c>
      <c r="AR450" s="1042"/>
      <c r="AS450" s="1042"/>
      <c r="AT450" s="1043" t="s">
        <v>4124</v>
      </c>
      <c r="AU450" s="1043"/>
      <c r="AV450" s="1043"/>
      <c r="AW450" s="1042" t="s">
        <v>4125</v>
      </c>
      <c r="AX450" s="1042"/>
      <c r="AY450" s="1042"/>
      <c r="AZ450" s="1043" t="s">
        <v>3714</v>
      </c>
      <c r="BA450" s="1043"/>
      <c r="BB450" s="1043"/>
      <c r="BC450" s="500" t="s">
        <v>4071</v>
      </c>
      <c r="BD450" s="509" t="s">
        <v>2794</v>
      </c>
    </row>
    <row r="451" spans="1:56" ht="15" customHeight="1">
      <c r="A451" s="103"/>
      <c r="B451" s="794" t="str">
        <f>IF(AND(BD451&gt;0,F450=""),"Ha registrado un valor númerico mayor a cero en la col. Otro tipo debe anotar el nombre de dicho(s) tipo(s) de reconocimiento(s)","")</f>
        <v/>
      </c>
      <c r="C451" s="794"/>
      <c r="D451" s="794"/>
      <c r="E451" s="794"/>
      <c r="F451" s="794"/>
      <c r="G451" s="794"/>
      <c r="H451" s="794"/>
      <c r="I451" s="794"/>
      <c r="J451" s="794"/>
      <c r="K451" s="794"/>
      <c r="L451" s="794"/>
      <c r="M451" s="794"/>
      <c r="N451" s="794"/>
      <c r="O451" s="794"/>
      <c r="P451" s="794"/>
      <c r="Q451" s="794"/>
      <c r="R451" s="794"/>
      <c r="S451" s="794"/>
      <c r="T451" s="794"/>
      <c r="U451" s="794"/>
      <c r="V451" s="794"/>
      <c r="W451" s="794"/>
      <c r="X451" s="794"/>
      <c r="Y451" s="794"/>
      <c r="Z451" s="794"/>
      <c r="AA451" s="794"/>
      <c r="AB451" s="794"/>
      <c r="AC451" s="794"/>
      <c r="AD451" s="794"/>
      <c r="AE451" s="794"/>
      <c r="AG451">
        <f>IF(OR(J448="NS",M448="NS",P448="NS",S448="NS",V448="NS",Y448="NS",AB448="NS"),0,IF(AND(J448="NA",M448="NA",P448="NA",S448="NA",V448="NA",Y448="NA",AB448="NA"),0,IF(J448&lt;=SUM(M448,P448,S448,V448,Y448,AB448),0,1)))</f>
        <v>0</v>
      </c>
      <c r="AH451">
        <f>IF(OR(K448="NS",N448="NS",Q448="NS",T448="NS",W448="NS",Z448="NS",AC448="NS"),0,IF(AND(K448="NA",N448="NA",Q448="NA",T448="NA",W448="NA",Z448="NA",AC448="NA"),0,IF(K448&lt;=SUM(N448,Q448,T448,W448,Z448,AC448),0,1)))</f>
        <v>0</v>
      </c>
      <c r="AI451">
        <f>IF(OR(L448="NS",O448="NS",R448="NS",U448="NS",X448="NS",AA448="NS",AD448="NS"),0,IF(AND(L448="NA",O448="NA",R448="NA",U448="NA",X448="NA",AA448="NA",AD448="NA"),0,IF(L448&lt;=SUM(O448,R448,U448,X448,AA448,AD448),0,1)))</f>
        <v>0</v>
      </c>
      <c r="AJ451" s="342">
        <f>IF(AND(C448&lt;&gt;"",C448&lt;&gt;1,COUNTA(G448:AD448)&gt;0),1,0)</f>
        <v>0</v>
      </c>
      <c r="AK451" s="369" t="s">
        <v>2795</v>
      </c>
      <c r="AL451" s="367" t="s">
        <v>3177</v>
      </c>
      <c r="AM451" s="506" t="s">
        <v>3178</v>
      </c>
      <c r="AN451" s="369" t="s">
        <v>2795</v>
      </c>
      <c r="AO451" s="367" t="s">
        <v>3177</v>
      </c>
      <c r="AP451" s="506" t="s">
        <v>3178</v>
      </c>
      <c r="AQ451" s="369" t="s">
        <v>2795</v>
      </c>
      <c r="AR451" s="367" t="s">
        <v>3177</v>
      </c>
      <c r="AS451" s="506" t="s">
        <v>3178</v>
      </c>
      <c r="AT451" s="369" t="s">
        <v>2795</v>
      </c>
      <c r="AU451" s="367" t="s">
        <v>3177</v>
      </c>
      <c r="AV451" s="506" t="s">
        <v>3178</v>
      </c>
      <c r="AW451" s="369" t="s">
        <v>2795</v>
      </c>
      <c r="AX451" s="367" t="s">
        <v>3177</v>
      </c>
      <c r="AY451" s="506" t="s">
        <v>3178</v>
      </c>
      <c r="AZ451" s="369" t="s">
        <v>2795</v>
      </c>
      <c r="BA451" s="367" t="s">
        <v>3177</v>
      </c>
      <c r="BB451" s="506" t="s">
        <v>3178</v>
      </c>
      <c r="BC451" s="342">
        <f>IF(AND($C$347&lt;&gt;"",$C$347&lt;&gt;1,COUNTA(C448:AD448)&gt;0),1,0)</f>
        <v>0</v>
      </c>
      <c r="BD451">
        <f>IF(SUM(AB448:AD448)&gt;0,1,0)</f>
        <v>0</v>
      </c>
    </row>
    <row r="452" spans="1:56" ht="24" customHeight="1">
      <c r="A452" s="103"/>
      <c r="B452" s="57"/>
      <c r="C452" s="754" t="s">
        <v>2611</v>
      </c>
      <c r="D452" s="754"/>
      <c r="E452" s="754"/>
      <c r="F452" s="754"/>
      <c r="G452" s="754"/>
      <c r="H452" s="754"/>
      <c r="I452" s="754"/>
      <c r="J452" s="754"/>
      <c r="K452" s="754"/>
      <c r="L452" s="754"/>
      <c r="M452" s="754"/>
      <c r="N452" s="754"/>
      <c r="O452" s="754"/>
      <c r="P452" s="754"/>
      <c r="Q452" s="754"/>
      <c r="R452" s="754"/>
      <c r="S452" s="754"/>
      <c r="T452" s="754"/>
      <c r="U452" s="754"/>
      <c r="V452" s="754"/>
      <c r="W452" s="754"/>
      <c r="X452" s="754"/>
      <c r="Y452" s="754"/>
      <c r="Z452" s="754"/>
      <c r="AA452" s="754"/>
      <c r="AB452" s="754"/>
      <c r="AC452" s="754"/>
      <c r="AD452" s="754"/>
      <c r="AG452"/>
      <c r="AH452"/>
      <c r="AI452" s="508">
        <f>SUM(AG451:AI451)</f>
        <v>0</v>
      </c>
      <c r="AJ452"/>
      <c r="AK452">
        <f>IF(AND(M448="NS",$J$448="NS"),0,IF(AND(M448="NA",$J$448="NA"),0,IF(M448&lt;=$J$448,0,1)))</f>
        <v>0</v>
      </c>
      <c r="AL452">
        <f>IF(AND(N448="NS",$K$448="NS"),0,IF(AND(N448="NA",$K$448="NA"),0,IF(N448&lt;=$K$448,0,1)))</f>
        <v>0</v>
      </c>
      <c r="AM452">
        <f>IF(AND(O448="NS",$L$448="NS"),0,IF(AND(O448="NA",$L$448="NA"),0,IF(O448&lt;=$L$448,0,1)))</f>
        <v>0</v>
      </c>
      <c r="AN452">
        <f>IF(AND(P448="NS",$J$448="NS"),0,IF(AND(P448="NA",$J$448="NA"),0,IF(P448&lt;=$J$448,0,1)))</f>
        <v>0</v>
      </c>
      <c r="AO452">
        <f>IF(AND(Q448="NS",$K$448="NS"),0,IF(AND(Q448="NA",$K$448="NA"),0,IF(Q448&lt;=$K$448,0,1)))</f>
        <v>0</v>
      </c>
      <c r="AP452">
        <f>IF(AND(R448="NS",$L$448="NS"),0,IF(AND(R448="NA",$L$448="NA"),0,IF(R448&lt;=$L$448,0,1)))</f>
        <v>0</v>
      </c>
      <c r="AQ452">
        <f>IF(AND(S448="NS",$J$448="NS"),0,IF(AND(S448="NA",$J$448="NA"),0,IF(S448&lt;=$J$448,0,1)))</f>
        <v>0</v>
      </c>
      <c r="AR452">
        <f>IF(AND(T448="NS",$K$448="NS"),0,IF(AND(T448="NA",$K$448="NA"),0,IF(T448&lt;=$K$448,0,1)))</f>
        <v>0</v>
      </c>
      <c r="AS452">
        <f>IF(AND(U448="NS",$L$448="NS"),0,IF(AND(U448="NA",$L$448="NA"),0,IF(U448&lt;=$L$448,0,1)))</f>
        <v>0</v>
      </c>
      <c r="AT452">
        <f>IF(AND(V448="NS",$J$448="NS"),0,IF(AND(V448="NA",$J$448="NA"),0,IF(V448&lt;=$J$448,0,1)))</f>
        <v>0</v>
      </c>
      <c r="AU452">
        <f>IF(AND(W448="NS",$K$448="NS"),0,IF(AND(W448="NA",$K$448="NA"),0,IF(W448&lt;=$K$448,0,1)))</f>
        <v>0</v>
      </c>
      <c r="AV452">
        <f>IF(AND(X448="NS",$L$448="NS"),0,IF(AND(X448="NA",$L$448="NA"),0,IF(X448&lt;=$L$448,0,1)))</f>
        <v>0</v>
      </c>
      <c r="AW452">
        <f>IF(AND(Y448="NS",$J$448="NS"),0,IF(AND(Y448="NA",$J$448="NA"),0,IF(Y448&lt;=$J$448,0,1)))</f>
        <v>0</v>
      </c>
      <c r="AX452">
        <f>IF(AND(Z448="NS",$K$448="NS"),0,IF(AND(Z448="NA",$K$448="NA"),0,IF(Z448&lt;=$K$448,0,1)))</f>
        <v>0</v>
      </c>
      <c r="AY452">
        <f>IF(AND(AA448="NS",$L$448="NS"),0,IF(AND(AA448="NA",$L$448="NA"),0,IF(AA448&lt;=$L$448,0,1)))</f>
        <v>0</v>
      </c>
      <c r="AZ452">
        <f>IF(AND(AB448="NS",$J$448="NS"),0,IF(AND(AB448="NA",$J$448="NA"),0,IF(AB448&lt;=$J$448,0,1)))</f>
        <v>0</v>
      </c>
      <c r="BA452">
        <f>IF(AND(AC448="NS",$K$448="NS"),0,IF(AND(AC448="NA",$K$448="NA"),0,IF(AC448&lt;=$K$448,0,1)))</f>
        <v>0</v>
      </c>
      <c r="BB452">
        <f>IF(AND(AD448="NS",$L$448="NS"),0,IF(AND(AD448="NA",$L$448="NA"),0,IF(AD448&lt;=$L$448,0,1)))</f>
        <v>0</v>
      </c>
      <c r="BC452"/>
      <c r="BD452"/>
    </row>
    <row r="453" spans="1:56" ht="60" customHeight="1">
      <c r="A453" s="103"/>
      <c r="B453" s="57"/>
      <c r="C453" s="851"/>
      <c r="D453" s="851"/>
      <c r="E453" s="851"/>
      <c r="F453" s="851"/>
      <c r="G453" s="851"/>
      <c r="H453" s="851"/>
      <c r="I453" s="851"/>
      <c r="J453" s="851"/>
      <c r="K453" s="851"/>
      <c r="L453" s="851"/>
      <c r="M453" s="851"/>
      <c r="N453" s="851"/>
      <c r="O453" s="851"/>
      <c r="P453" s="851"/>
      <c r="Q453" s="851"/>
      <c r="R453" s="851"/>
      <c r="S453" s="851"/>
      <c r="T453" s="851"/>
      <c r="U453" s="851"/>
      <c r="V453" s="851"/>
      <c r="W453" s="851"/>
      <c r="X453" s="851"/>
      <c r="Y453" s="851"/>
      <c r="Z453" s="851"/>
      <c r="AA453" s="851"/>
      <c r="AB453" s="851"/>
      <c r="AC453" s="851"/>
      <c r="AD453" s="851"/>
      <c r="AJ453"/>
      <c r="AK453"/>
      <c r="AL453"/>
      <c r="AM453"/>
      <c r="AN453"/>
      <c r="AO453"/>
      <c r="AP453"/>
      <c r="AQ453"/>
      <c r="AR453"/>
      <c r="AS453"/>
      <c r="AT453"/>
      <c r="AU453"/>
      <c r="AV453"/>
      <c r="AW453"/>
      <c r="AX453"/>
      <c r="AY453"/>
      <c r="AZ453"/>
      <c r="BA453"/>
      <c r="BB453" s="508">
        <f>SUM(AK452:BB452)</f>
        <v>0</v>
      </c>
      <c r="BC453"/>
      <c r="BD453"/>
    </row>
    <row r="454" spans="1:56" ht="15" customHeight="1">
      <c r="A454" s="91"/>
      <c r="B454" s="794" t="str">
        <f>IF(AG448&gt;0,"Favor de ingresar toda la información requerida en la pregunta y/o verifique que no tenga información en celdas sombreadas","")</f>
        <v/>
      </c>
      <c r="C454" s="794"/>
      <c r="D454" s="794"/>
      <c r="E454" s="794"/>
      <c r="F454" s="794"/>
      <c r="G454" s="794"/>
      <c r="H454" s="794"/>
      <c r="I454" s="794"/>
      <c r="J454" s="794"/>
      <c r="K454" s="794"/>
      <c r="L454" s="794"/>
      <c r="M454" s="794"/>
      <c r="N454" s="794"/>
      <c r="O454" s="794"/>
      <c r="P454" s="794"/>
      <c r="Q454" s="794"/>
      <c r="R454" s="794"/>
      <c r="S454" s="794"/>
      <c r="T454" s="794"/>
      <c r="U454" s="794"/>
      <c r="V454" s="794"/>
      <c r="W454" s="794"/>
      <c r="X454" s="794"/>
      <c r="Y454" s="794"/>
      <c r="Z454" s="794"/>
      <c r="AA454" s="794"/>
      <c r="AB454" s="794"/>
      <c r="AC454" s="794"/>
      <c r="AD454" s="794"/>
      <c r="AE454"/>
    </row>
    <row r="455" spans="1:56" ht="15" customHeight="1">
      <c r="A455" s="91"/>
      <c r="B455" s="795" t="str">
        <f>IF(AN449&gt;0,"Alerta: debido a que cuenta con registros NS, debe proporcionar una justificación en el area de comentarios al final de la pregunta","")</f>
        <v/>
      </c>
      <c r="C455" s="795"/>
      <c r="D455" s="795"/>
      <c r="E455" s="795"/>
      <c r="F455" s="795"/>
      <c r="G455" s="795"/>
      <c r="H455" s="795"/>
      <c r="I455" s="795"/>
      <c r="J455" s="795"/>
      <c r="K455" s="795"/>
      <c r="L455" s="795"/>
      <c r="M455" s="795"/>
      <c r="N455" s="795"/>
      <c r="O455" s="795"/>
      <c r="P455" s="795"/>
      <c r="Q455" s="795"/>
      <c r="R455" s="795"/>
      <c r="S455" s="795"/>
      <c r="T455" s="795"/>
      <c r="U455" s="795"/>
      <c r="V455" s="795"/>
      <c r="W455" s="795"/>
      <c r="X455" s="795"/>
      <c r="Y455" s="795"/>
      <c r="Z455" s="795"/>
      <c r="AA455" s="795"/>
      <c r="AB455" s="795"/>
      <c r="AC455" s="795"/>
      <c r="AD455" s="795"/>
      <c r="AE455"/>
    </row>
    <row r="456" spans="1:56" ht="15" customHeight="1">
      <c r="A456" s="91"/>
      <c r="B456" s="794" t="str">
        <f>IF(AL449&gt;0,"Favor de revisar la suma y consistencia de totales y/o subtotales por filas (numéricos y NS)","")</f>
        <v/>
      </c>
      <c r="C456" s="794"/>
      <c r="D456" s="794"/>
      <c r="E456" s="794"/>
      <c r="F456" s="794"/>
      <c r="G456" s="794"/>
      <c r="H456" s="794"/>
      <c r="I456" s="794"/>
      <c r="J456" s="794"/>
      <c r="K456" s="794"/>
      <c r="L456" s="794"/>
      <c r="M456" s="794"/>
      <c r="N456" s="794"/>
      <c r="O456" s="794"/>
      <c r="P456" s="794"/>
      <c r="Q456" s="794"/>
      <c r="R456" s="794"/>
      <c r="S456" s="794"/>
      <c r="T456" s="794"/>
      <c r="U456" s="794"/>
      <c r="V456" s="794"/>
      <c r="W456" s="794"/>
      <c r="X456" s="794"/>
      <c r="Y456" s="794"/>
      <c r="Z456" s="794"/>
      <c r="AA456" s="794"/>
      <c r="AB456" s="794"/>
      <c r="AC456" s="794"/>
      <c r="AD456" s="794"/>
      <c r="AE456"/>
    </row>
    <row r="457" spans="1:56" ht="15" customHeight="1">
      <c r="A457" s="91"/>
      <c r="B457" s="794" t="str">
        <f>IF(BC448&gt;0,"No puede ingresar cero en la col. Ceremonias realizadas debido a que registró el código 1 en la col. ¿La Comisión de Honor y Justicia...?","")</f>
        <v/>
      </c>
      <c r="C457" s="794"/>
      <c r="D457" s="794"/>
      <c r="E457" s="794"/>
      <c r="F457" s="794"/>
      <c r="G457" s="794"/>
      <c r="H457" s="794"/>
      <c r="I457" s="794"/>
      <c r="J457" s="794"/>
      <c r="K457" s="794"/>
      <c r="L457" s="794"/>
      <c r="M457" s="794"/>
      <c r="N457" s="794"/>
      <c r="O457" s="794"/>
      <c r="P457" s="794"/>
      <c r="Q457" s="794"/>
      <c r="R457" s="794"/>
      <c r="S457" s="794"/>
      <c r="T457" s="794"/>
      <c r="U457" s="794"/>
      <c r="V457" s="794"/>
      <c r="W457" s="794"/>
      <c r="X457" s="794"/>
      <c r="Y457" s="794"/>
      <c r="Z457" s="794"/>
      <c r="AA457" s="794"/>
      <c r="AB457" s="794"/>
      <c r="AC457" s="794"/>
      <c r="AD457" s="794"/>
      <c r="AE457" s="794"/>
    </row>
    <row r="458" spans="1:56" ht="15" customHeight="1">
      <c r="A458" s="91"/>
      <c r="B458" s="924" t="str">
        <f>IF(AI452&gt;0,"Favor de revisar la instrucción 2, debido a que no se cumple con los criterios mencionados","")</f>
        <v/>
      </c>
      <c r="C458" s="924"/>
      <c r="D458" s="924"/>
      <c r="E458" s="924"/>
      <c r="F458" s="924"/>
      <c r="G458" s="924"/>
      <c r="H458" s="924"/>
      <c r="I458" s="924"/>
      <c r="J458" s="924"/>
      <c r="K458" s="924"/>
      <c r="L458" s="924"/>
      <c r="M458" s="924"/>
      <c r="N458" s="924"/>
      <c r="O458" s="924"/>
      <c r="P458" s="924"/>
      <c r="Q458" s="924"/>
      <c r="R458" s="924"/>
      <c r="S458" s="924"/>
      <c r="T458" s="924"/>
      <c r="U458" s="924"/>
      <c r="V458" s="924"/>
      <c r="W458" s="924"/>
      <c r="X458" s="924"/>
      <c r="Y458" s="924"/>
      <c r="Z458" s="924"/>
      <c r="AA458" s="924"/>
      <c r="AB458" s="924"/>
      <c r="AC458" s="924"/>
      <c r="AD458" s="924"/>
      <c r="AE458"/>
    </row>
    <row r="459" spans="1:56" ht="15" customHeight="1" thickBot="1">
      <c r="A459" s="91"/>
      <c r="B459" s="795" t="str">
        <f>IF(BB453&gt;0,"Alerta: debe de proporcionar una justificación de acuerdo a lo establecido en la instrucción 3","")</f>
        <v/>
      </c>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row>
    <row r="460" spans="1:56" customFormat="1" ht="15" customHeight="1" thickBot="1">
      <c r="A460" s="153" t="s">
        <v>2563</v>
      </c>
      <c r="B460" s="831" t="s">
        <v>4126</v>
      </c>
      <c r="C460" s="832"/>
      <c r="D460" s="832"/>
      <c r="E460" s="832"/>
      <c r="F460" s="832"/>
      <c r="G460" s="832"/>
      <c r="H460" s="832"/>
      <c r="I460" s="832"/>
      <c r="J460" s="832"/>
      <c r="K460" s="832"/>
      <c r="L460" s="832"/>
      <c r="M460" s="832"/>
      <c r="N460" s="832"/>
      <c r="O460" s="832"/>
      <c r="P460" s="832"/>
      <c r="Q460" s="832"/>
      <c r="R460" s="832"/>
      <c r="S460" s="832"/>
      <c r="T460" s="832"/>
      <c r="U460" s="832"/>
      <c r="V460" s="832"/>
      <c r="W460" s="832"/>
      <c r="X460" s="832"/>
      <c r="Y460" s="832"/>
      <c r="Z460" s="832"/>
      <c r="AA460" s="832"/>
      <c r="AB460" s="832"/>
      <c r="AC460" s="832"/>
      <c r="AD460" s="833"/>
      <c r="AE460" s="3"/>
    </row>
    <row r="461" spans="1:56" ht="15" customHeight="1">
      <c r="A461" s="147"/>
      <c r="B461" s="1006" t="s">
        <v>3157</v>
      </c>
      <c r="C461" s="893"/>
      <c r="D461" s="893"/>
      <c r="E461" s="893"/>
      <c r="F461" s="893"/>
      <c r="G461" s="893"/>
      <c r="H461" s="893"/>
      <c r="I461" s="893"/>
      <c r="J461" s="893"/>
      <c r="K461" s="893"/>
      <c r="L461" s="893"/>
      <c r="M461" s="893"/>
      <c r="N461" s="893"/>
      <c r="O461" s="893"/>
      <c r="P461" s="893"/>
      <c r="Q461" s="893"/>
      <c r="R461" s="893"/>
      <c r="S461" s="893"/>
      <c r="T461" s="893"/>
      <c r="U461" s="893"/>
      <c r="V461" s="893"/>
      <c r="W461" s="893"/>
      <c r="X461" s="893"/>
      <c r="Y461" s="893"/>
      <c r="Z461" s="893"/>
      <c r="AA461" s="893"/>
      <c r="AB461" s="893"/>
      <c r="AC461" s="893"/>
      <c r="AD461" s="1007"/>
    </row>
    <row r="462" spans="1:56" ht="36" customHeight="1">
      <c r="A462" s="94"/>
      <c r="B462" s="154"/>
      <c r="C462" s="754" t="s">
        <v>4127</v>
      </c>
      <c r="D462" s="754"/>
      <c r="E462" s="754"/>
      <c r="F462" s="754"/>
      <c r="G462" s="754"/>
      <c r="H462" s="754"/>
      <c r="I462" s="754"/>
      <c r="J462" s="754"/>
      <c r="K462" s="754"/>
      <c r="L462" s="754"/>
      <c r="M462" s="754"/>
      <c r="N462" s="754"/>
      <c r="O462" s="754"/>
      <c r="P462" s="754"/>
      <c r="Q462" s="754"/>
      <c r="R462" s="754"/>
      <c r="S462" s="754"/>
      <c r="T462" s="754"/>
      <c r="U462" s="754"/>
      <c r="V462" s="754"/>
      <c r="W462" s="754"/>
      <c r="X462" s="754"/>
      <c r="Y462" s="754"/>
      <c r="Z462" s="754"/>
      <c r="AA462" s="754"/>
      <c r="AB462" s="754"/>
      <c r="AC462" s="754"/>
      <c r="AD462" s="755"/>
    </row>
    <row r="463" spans="1:56" ht="24" customHeight="1">
      <c r="A463" s="50"/>
      <c r="B463" s="673"/>
      <c r="C463" s="764" t="s">
        <v>4128</v>
      </c>
      <c r="D463" s="764"/>
      <c r="E463" s="764"/>
      <c r="F463" s="764"/>
      <c r="G463" s="764"/>
      <c r="H463" s="764"/>
      <c r="I463" s="764"/>
      <c r="J463" s="764"/>
      <c r="K463" s="764"/>
      <c r="L463" s="764"/>
      <c r="M463" s="764"/>
      <c r="N463" s="764"/>
      <c r="O463" s="764"/>
      <c r="P463" s="764"/>
      <c r="Q463" s="764"/>
      <c r="R463" s="764"/>
      <c r="S463" s="764"/>
      <c r="T463" s="764"/>
      <c r="U463" s="764"/>
      <c r="V463" s="764"/>
      <c r="W463" s="764"/>
      <c r="X463" s="764"/>
      <c r="Y463" s="764"/>
      <c r="Z463" s="764"/>
      <c r="AA463" s="764"/>
      <c r="AB463" s="764"/>
      <c r="AC463" s="764"/>
      <c r="AD463" s="765"/>
    </row>
    <row r="464" spans="1:56" ht="15" customHeight="1">
      <c r="A464" s="50"/>
      <c r="B464" s="941" t="s">
        <v>2565</v>
      </c>
      <c r="C464" s="839"/>
      <c r="D464" s="839"/>
      <c r="E464" s="839"/>
      <c r="F464" s="839"/>
      <c r="G464" s="839"/>
      <c r="H464" s="839"/>
      <c r="I464" s="839"/>
      <c r="J464" s="839"/>
      <c r="K464" s="839"/>
      <c r="L464" s="839"/>
      <c r="M464" s="839"/>
      <c r="N464" s="839"/>
      <c r="O464" s="839"/>
      <c r="P464" s="839"/>
      <c r="Q464" s="839"/>
      <c r="R464" s="839"/>
      <c r="S464" s="839"/>
      <c r="T464" s="839"/>
      <c r="U464" s="839"/>
      <c r="V464" s="839"/>
      <c r="W464" s="839"/>
      <c r="X464" s="839"/>
      <c r="Y464" s="839"/>
      <c r="Z464" s="839"/>
      <c r="AA464" s="839"/>
      <c r="AB464" s="839"/>
      <c r="AC464" s="839"/>
      <c r="AD464" s="942"/>
    </row>
    <row r="465" spans="1:43" ht="48" customHeight="1">
      <c r="A465" s="115"/>
      <c r="B465" s="155"/>
      <c r="C465" s="764" t="s">
        <v>4129</v>
      </c>
      <c r="D465" s="764"/>
      <c r="E465" s="764"/>
      <c r="F465" s="764"/>
      <c r="G465" s="764"/>
      <c r="H465" s="764"/>
      <c r="I465" s="764"/>
      <c r="J465" s="764"/>
      <c r="K465" s="764"/>
      <c r="L465" s="764"/>
      <c r="M465" s="764"/>
      <c r="N465" s="764"/>
      <c r="O465" s="764"/>
      <c r="P465" s="764"/>
      <c r="Q465" s="764"/>
      <c r="R465" s="764"/>
      <c r="S465" s="764"/>
      <c r="T465" s="764"/>
      <c r="U465" s="764"/>
      <c r="V465" s="764"/>
      <c r="W465" s="764"/>
      <c r="X465" s="764"/>
      <c r="Y465" s="764"/>
      <c r="Z465" s="764"/>
      <c r="AA465" s="764"/>
      <c r="AB465" s="764"/>
      <c r="AC465" s="764"/>
      <c r="AD465" s="765"/>
    </row>
    <row r="466" spans="1:43" ht="15" customHeight="1">
      <c r="A466" s="91"/>
    </row>
    <row r="467" spans="1:43" ht="38.25" customHeight="1">
      <c r="A467" s="49" t="s">
        <v>4130</v>
      </c>
      <c r="B467" s="829" t="s">
        <v>4131</v>
      </c>
      <c r="C467" s="829"/>
      <c r="D467" s="829"/>
      <c r="E467" s="829"/>
      <c r="F467" s="829"/>
      <c r="G467" s="829"/>
      <c r="H467" s="829"/>
      <c r="I467" s="829"/>
      <c r="J467" s="829"/>
      <c r="K467" s="829"/>
      <c r="L467" s="829"/>
      <c r="M467" s="829"/>
      <c r="N467" s="829"/>
      <c r="O467" s="829"/>
      <c r="P467" s="829"/>
      <c r="Q467" s="829"/>
      <c r="R467" s="829"/>
      <c r="S467" s="829"/>
      <c r="T467" s="829"/>
      <c r="U467" s="829"/>
      <c r="V467" s="829"/>
      <c r="W467" s="829"/>
      <c r="X467" s="829"/>
      <c r="Y467" s="829"/>
      <c r="Z467" s="829"/>
      <c r="AA467" s="829"/>
      <c r="AB467" s="829"/>
      <c r="AC467" s="829"/>
      <c r="AD467" s="829"/>
    </row>
    <row r="468" spans="1:43" ht="36" customHeight="1">
      <c r="A468" s="50"/>
      <c r="B468" s="57"/>
      <c r="C468" s="830" t="s">
        <v>4132</v>
      </c>
      <c r="D468" s="830"/>
      <c r="E468" s="830"/>
      <c r="F468" s="830"/>
      <c r="G468" s="830"/>
      <c r="H468" s="830"/>
      <c r="I468" s="830"/>
      <c r="J468" s="830"/>
      <c r="K468" s="830"/>
      <c r="L468" s="830"/>
      <c r="M468" s="830"/>
      <c r="N468" s="830"/>
      <c r="O468" s="830"/>
      <c r="P468" s="830"/>
      <c r="Q468" s="830"/>
      <c r="R468" s="830"/>
      <c r="S468" s="830"/>
      <c r="T468" s="830"/>
      <c r="U468" s="830"/>
      <c r="V468" s="830"/>
      <c r="W468" s="830"/>
      <c r="X468" s="830"/>
      <c r="Y468" s="830"/>
      <c r="Z468" s="830"/>
      <c r="AA468" s="830"/>
      <c r="AB468" s="830"/>
      <c r="AC468" s="830"/>
      <c r="AD468" s="830"/>
    </row>
    <row r="469" spans="1:43" ht="24" customHeight="1">
      <c r="A469" s="49"/>
      <c r="B469" s="102"/>
      <c r="C469" s="754" t="s">
        <v>4133</v>
      </c>
      <c r="D469" s="754"/>
      <c r="E469" s="754"/>
      <c r="F469" s="754"/>
      <c r="G469" s="754"/>
      <c r="H469" s="754"/>
      <c r="I469" s="754"/>
      <c r="J469" s="754"/>
      <c r="K469" s="754"/>
      <c r="L469" s="754"/>
      <c r="M469" s="754"/>
      <c r="N469" s="754"/>
      <c r="O469" s="754"/>
      <c r="P469" s="754"/>
      <c r="Q469" s="754"/>
      <c r="R469" s="754"/>
      <c r="S469" s="754"/>
      <c r="T469" s="754"/>
      <c r="U469" s="754"/>
      <c r="V469" s="754"/>
      <c r="W469" s="754"/>
      <c r="X469" s="754"/>
      <c r="Y469" s="754"/>
      <c r="Z469" s="754"/>
      <c r="AA469" s="754"/>
      <c r="AB469" s="754"/>
      <c r="AC469" s="754"/>
      <c r="AD469" s="754"/>
    </row>
    <row r="470" spans="1:43" ht="24" customHeight="1">
      <c r="A470" s="115"/>
      <c r="B470" s="54"/>
      <c r="C470" s="754" t="s">
        <v>4134</v>
      </c>
      <c r="D470" s="754"/>
      <c r="E470" s="754"/>
      <c r="F470" s="754"/>
      <c r="G470" s="754"/>
      <c r="H470" s="754"/>
      <c r="I470" s="754"/>
      <c r="J470" s="754"/>
      <c r="K470" s="754"/>
      <c r="L470" s="754"/>
      <c r="M470" s="754"/>
      <c r="N470" s="754"/>
      <c r="O470" s="754"/>
      <c r="P470" s="754"/>
      <c r="Q470" s="754"/>
      <c r="R470" s="754"/>
      <c r="S470" s="754"/>
      <c r="T470" s="754"/>
      <c r="U470" s="754"/>
      <c r="V470" s="754"/>
      <c r="W470" s="754"/>
      <c r="X470" s="754"/>
      <c r="Y470" s="754"/>
      <c r="Z470" s="754"/>
      <c r="AA470" s="754"/>
      <c r="AB470" s="754"/>
      <c r="AC470" s="754"/>
      <c r="AD470" s="754"/>
    </row>
    <row r="471" spans="1:43" ht="15" customHeight="1">
      <c r="A471" s="50"/>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c r="AA471" s="38"/>
      <c r="AB471" s="38"/>
      <c r="AC471" s="38"/>
      <c r="AD471" s="38"/>
    </row>
    <row r="472" spans="1:43" ht="72" customHeight="1">
      <c r="A472" s="49"/>
      <c r="B472" s="38"/>
      <c r="C472" s="739" t="s">
        <v>4135</v>
      </c>
      <c r="D472" s="740"/>
      <c r="E472" s="740"/>
      <c r="F472" s="740"/>
      <c r="G472" s="740"/>
      <c r="H472" s="741"/>
      <c r="I472" s="739" t="s">
        <v>3941</v>
      </c>
      <c r="J472" s="740"/>
      <c r="K472" s="740"/>
      <c r="L472" s="740"/>
      <c r="M472" s="740"/>
      <c r="N472" s="741"/>
      <c r="O472" s="739" t="s">
        <v>3942</v>
      </c>
      <c r="P472" s="740"/>
      <c r="Q472" s="740"/>
      <c r="R472" s="740"/>
      <c r="S472" s="740"/>
      <c r="T472" s="740"/>
      <c r="U472" s="740"/>
      <c r="V472" s="740"/>
      <c r="W472" s="740"/>
      <c r="X472" s="740"/>
      <c r="Y472" s="740"/>
      <c r="Z472" s="740"/>
      <c r="AA472" s="740"/>
      <c r="AB472" s="740"/>
      <c r="AC472" s="740"/>
      <c r="AD472" s="741"/>
      <c r="AG472" s="354" t="s">
        <v>2586</v>
      </c>
      <c r="AH472" s="496" t="s">
        <v>2587</v>
      </c>
      <c r="AI472" s="497"/>
      <c r="AJ472" s="496" t="s">
        <v>2588</v>
      </c>
      <c r="AK472" s="497"/>
      <c r="AL472" s="496" t="s">
        <v>2589</v>
      </c>
      <c r="AM472"/>
      <c r="AN472" s="511" t="s">
        <v>4136</v>
      </c>
      <c r="AO472" s="282" t="s">
        <v>2590</v>
      </c>
      <c r="AP472" s="256" t="s">
        <v>2591</v>
      </c>
      <c r="AQ472" s="257" t="s">
        <v>2592</v>
      </c>
    </row>
    <row r="473" spans="1:43">
      <c r="A473" s="49"/>
      <c r="B473" s="38"/>
      <c r="C473" s="816"/>
      <c r="D473" s="738"/>
      <c r="E473" s="738"/>
      <c r="F473" s="738"/>
      <c r="G473" s="738"/>
      <c r="H473" s="738"/>
      <c r="I473" s="1038"/>
      <c r="J473" s="1039"/>
      <c r="K473" s="1039"/>
      <c r="L473" s="1039"/>
      <c r="M473" s="1039"/>
      <c r="N473" s="1039"/>
      <c r="O473" s="749"/>
      <c r="P473" s="749"/>
      <c r="Q473" s="749"/>
      <c r="R473" s="749"/>
      <c r="S473" s="749"/>
      <c r="T473" s="749"/>
      <c r="U473" s="749"/>
      <c r="V473" s="749"/>
      <c r="W473" s="749"/>
      <c r="X473" s="749"/>
      <c r="Y473" s="749"/>
      <c r="Z473" s="749"/>
      <c r="AA473" s="749"/>
      <c r="AB473" s="749"/>
      <c r="AC473" s="749"/>
      <c r="AD473" s="749"/>
      <c r="AG473" s="326">
        <f>IF(AND($C$473&lt;&gt;"",$C$473&lt;&gt;1,COUNTA(I473:AD473)=0),0,IF(AND($C$473&lt;&gt;"",$C$473=1,COUNTA(I473:AD473)=2),0,IF(AND($C$473="",COUNTA(I473:AD473)=0),0,1)))</f>
        <v>0</v>
      </c>
      <c r="AH473" s="326" t="b">
        <f>NOT(EXACT(O473,UPPER(O473)))</f>
        <v>0</v>
      </c>
      <c r="AI473" s="326" t="str">
        <f>SUBSTITUTE( SUBSTITUTE( SUBSTITUTE( SUBSTITUTE( SUBSTITUTE( SUBSTITUTE( SUBSTITUTE( SUBSTITUTE( SUBSTITUTE( SUBSTITUTE(O473, "á", "a"), "é", "e"), "í", "i"), "ó", "o"), "ú", "u"), "Á", "A"), "É", "E"), "Í", "I"), "Ó", "O"), "Ú", "U")</f>
        <v/>
      </c>
      <c r="AJ473" s="326" t="b">
        <f>NOT(EXACT(O473,AI473))</f>
        <v>0</v>
      </c>
      <c r="AK473" s="326" t="str">
        <f>SUBSTITUTE((SUBSTITUTE(SUBSTITUTE(SUBSTITUTE(O473,".",""),",",""),"(","")),")","")</f>
        <v/>
      </c>
      <c r="AL473" s="326" t="b">
        <f>NOT(EXACT(O473,AK473))</f>
        <v>0</v>
      </c>
      <c r="AM473"/>
      <c r="AN473" s="342">
        <f>IF(AND($C$473&lt;&gt;"",$C$473&lt;&gt;1,COUNTA(I473:AD473)&gt;0),1,0)</f>
        <v>0</v>
      </c>
      <c r="AO473" s="283">
        <f>COUNTIF(I473:AD473,"NS")</f>
        <v>0</v>
      </c>
      <c r="AP473" s="253">
        <f>LEN(I473)</f>
        <v>0</v>
      </c>
      <c r="AQ473" s="253">
        <f>IF(I473="NS",0,IF(AND(I473&lt;&gt;"",SUM(AP473)=4),0,IF(I473="",0,1)))</f>
        <v>0</v>
      </c>
    </row>
    <row r="474" spans="1:43">
      <c r="A474" s="49"/>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c r="AA474" s="38"/>
      <c r="AB474" s="38"/>
      <c r="AC474" s="38"/>
      <c r="AD474" s="38"/>
      <c r="AG474"/>
      <c r="AH474" s="498">
        <f>COUNTIF(AH473,TRUE)</f>
        <v>0</v>
      </c>
      <c r="AI474" s="283"/>
      <c r="AJ474" s="498">
        <f>COUNTIF(AJ473,TRUE)</f>
        <v>0</v>
      </c>
      <c r="AK474" s="283"/>
      <c r="AL474" s="498">
        <f>COUNTIF(AL473,TRUE)</f>
        <v>0</v>
      </c>
      <c r="AM474" s="498">
        <f>SUM(AH474,AJ474,AL474)</f>
        <v>0</v>
      </c>
      <c r="AN474"/>
      <c r="AO474"/>
      <c r="AP474"/>
      <c r="AQ474"/>
    </row>
    <row r="475" spans="1:43" ht="24" customHeight="1">
      <c r="A475" s="50"/>
      <c r="B475" s="38"/>
      <c r="C475" s="754" t="s">
        <v>2611</v>
      </c>
      <c r="D475" s="754"/>
      <c r="E475" s="754"/>
      <c r="F475" s="754"/>
      <c r="G475" s="754"/>
      <c r="H475" s="754"/>
      <c r="I475" s="754"/>
      <c r="J475" s="754"/>
      <c r="K475" s="754"/>
      <c r="L475" s="754"/>
      <c r="M475" s="754"/>
      <c r="N475" s="754"/>
      <c r="O475" s="754"/>
      <c r="P475" s="754"/>
      <c r="Q475" s="754"/>
      <c r="R475" s="754"/>
      <c r="S475" s="754"/>
      <c r="T475" s="754"/>
      <c r="U475" s="754"/>
      <c r="V475" s="754"/>
      <c r="W475" s="754"/>
      <c r="X475" s="754"/>
      <c r="Y475" s="754"/>
      <c r="Z475" s="754"/>
      <c r="AA475" s="754"/>
      <c r="AB475" s="754"/>
      <c r="AC475" s="754"/>
      <c r="AD475" s="754"/>
    </row>
    <row r="476" spans="1:43" ht="60" customHeight="1">
      <c r="A476" s="50"/>
      <c r="B476" s="38"/>
      <c r="C476" s="851"/>
      <c r="D476" s="851"/>
      <c r="E476" s="851"/>
      <c r="F476" s="851"/>
      <c r="G476" s="851"/>
      <c r="H476" s="851"/>
      <c r="I476" s="851"/>
      <c r="J476" s="851"/>
      <c r="K476" s="851"/>
      <c r="L476" s="851"/>
      <c r="M476" s="851"/>
      <c r="N476" s="851"/>
      <c r="O476" s="851"/>
      <c r="P476" s="851"/>
      <c r="Q476" s="851"/>
      <c r="R476" s="851"/>
      <c r="S476" s="851"/>
      <c r="T476" s="851"/>
      <c r="U476" s="851"/>
      <c r="V476" s="851"/>
      <c r="W476" s="851"/>
      <c r="X476" s="851"/>
      <c r="Y476" s="851"/>
      <c r="Z476" s="851"/>
      <c r="AA476" s="851"/>
      <c r="AB476" s="851"/>
      <c r="AC476" s="851"/>
      <c r="AD476" s="851"/>
    </row>
    <row r="477" spans="1:43" ht="15" customHeight="1">
      <c r="A477" s="50"/>
      <c r="B477" s="794" t="str">
        <f>IF(AG473&gt;0,"Favor de ingresar toda la información requerida en la pregunta y/o verifique que no tenga información en celdas sombreadas","")</f>
        <v/>
      </c>
      <c r="C477" s="794"/>
      <c r="D477" s="794"/>
      <c r="E477" s="794"/>
      <c r="F477" s="794"/>
      <c r="G477" s="794"/>
      <c r="H477" s="794"/>
      <c r="I477" s="794"/>
      <c r="J477" s="794"/>
      <c r="K477" s="794"/>
      <c r="L477" s="794"/>
      <c r="M477" s="794"/>
      <c r="N477" s="794"/>
      <c r="O477" s="794"/>
      <c r="P477" s="794"/>
      <c r="Q477" s="794"/>
      <c r="R477" s="794"/>
      <c r="S477" s="794"/>
      <c r="T477" s="794"/>
      <c r="U477" s="794"/>
      <c r="V477" s="794"/>
      <c r="W477" s="794"/>
      <c r="X477" s="794"/>
      <c r="Y477" s="794"/>
      <c r="Z477" s="794"/>
      <c r="AA477" s="794"/>
      <c r="AB477" s="794"/>
      <c r="AC477" s="794"/>
      <c r="AD477" s="794"/>
      <c r="AE477"/>
    </row>
    <row r="478" spans="1:43" ht="15" customHeight="1">
      <c r="A478" s="50"/>
      <c r="B478" s="795" t="str">
        <f>IF(AO473&gt;0,"Alerta: debido a que cuenta con registros NS, debe proporcionar una justificación en el area de comentarios al final de la pregunta","")</f>
        <v/>
      </c>
      <c r="C478" s="795"/>
      <c r="D478" s="795"/>
      <c r="E478" s="795"/>
      <c r="F478" s="795"/>
      <c r="G478" s="795"/>
      <c r="H478" s="795"/>
      <c r="I478" s="795"/>
      <c r="J478" s="795"/>
      <c r="K478" s="795"/>
      <c r="L478" s="795"/>
      <c r="M478" s="795"/>
      <c r="N478" s="795"/>
      <c r="O478" s="795"/>
      <c r="P478" s="795"/>
      <c r="Q478" s="795"/>
      <c r="R478" s="795"/>
      <c r="S478" s="795"/>
      <c r="T478" s="795"/>
      <c r="U478" s="795"/>
      <c r="V478" s="795"/>
      <c r="W478" s="795"/>
      <c r="X478" s="795"/>
      <c r="Y478" s="795"/>
      <c r="Z478" s="795"/>
      <c r="AA478" s="795"/>
      <c r="AB478" s="795"/>
      <c r="AC478" s="795"/>
      <c r="AD478" s="795"/>
      <c r="AE478"/>
    </row>
    <row r="479" spans="1:43" ht="15" customHeight="1">
      <c r="A479" s="50"/>
      <c r="B479" s="795" t="str">
        <f>IF(OR(C473=3,C473=9),"Alerta: debe proporcionar una justificación ya que ha seleccionado el código 3 o 9 en la col. ¿Contaba con alguna Comisión de Carrera…?","")</f>
        <v/>
      </c>
      <c r="C479" s="795"/>
      <c r="D479" s="795"/>
      <c r="E479" s="795"/>
      <c r="F479" s="795"/>
      <c r="G479" s="795"/>
      <c r="H479" s="795"/>
      <c r="I479" s="795"/>
      <c r="J479" s="795"/>
      <c r="K479" s="795"/>
      <c r="L479" s="795"/>
      <c r="M479" s="795"/>
      <c r="N479" s="795"/>
      <c r="O479" s="795"/>
      <c r="P479" s="795"/>
      <c r="Q479" s="795"/>
      <c r="R479" s="795"/>
      <c r="S479" s="795"/>
      <c r="T479" s="795"/>
      <c r="U479" s="795"/>
      <c r="V479" s="795"/>
      <c r="W479" s="795"/>
      <c r="X479" s="795"/>
      <c r="Y479" s="795"/>
      <c r="Z479" s="795"/>
      <c r="AA479" s="795"/>
      <c r="AB479" s="795"/>
      <c r="AC479" s="795"/>
      <c r="AD479" s="795"/>
      <c r="AE479" s="795"/>
    </row>
    <row r="480" spans="1:43" ht="15" customHeight="1">
      <c r="A480" s="50"/>
      <c r="B480" s="794" t="str">
        <f>IF(AM474=0,"","El nombre debe registrarse en mayúsculas, sin comillas ni signos de acentuación, puntuación, paréntesis y abreviaturas")</f>
        <v/>
      </c>
      <c r="C480" s="794"/>
      <c r="D480" s="794"/>
      <c r="E480" s="794"/>
      <c r="F480" s="794"/>
      <c r="G480" s="794"/>
      <c r="H480" s="794"/>
      <c r="I480" s="794"/>
      <c r="J480" s="794"/>
      <c r="K480" s="794"/>
      <c r="L480" s="794"/>
      <c r="M480" s="794"/>
      <c r="N480" s="794"/>
      <c r="O480" s="794"/>
      <c r="P480" s="794"/>
      <c r="Q480" s="794"/>
      <c r="R480" s="794"/>
      <c r="S480" s="794"/>
      <c r="T480" s="794"/>
      <c r="U480" s="794"/>
      <c r="V480" s="794"/>
      <c r="W480" s="794"/>
      <c r="X480" s="794"/>
      <c r="Y480" s="794"/>
      <c r="Z480" s="794"/>
      <c r="AA480" s="794"/>
      <c r="AB480" s="794"/>
      <c r="AC480" s="794"/>
      <c r="AD480" s="794"/>
      <c r="AE480"/>
    </row>
    <row r="481" spans="1:34" ht="15" customHeight="1">
      <c r="A481" s="50"/>
      <c r="B481" s="794" t="str">
        <f>IF(AQ473&gt;0,"Favor de ingresar una fecha válida y/o verifique que el formato solicitado esté correcto","")</f>
        <v/>
      </c>
      <c r="C481" s="794"/>
      <c r="D481" s="794"/>
      <c r="E481" s="794"/>
      <c r="F481" s="794"/>
      <c r="G481" s="794"/>
      <c r="H481" s="794"/>
      <c r="I481" s="794"/>
      <c r="J481" s="794"/>
      <c r="K481" s="794"/>
      <c r="L481" s="794"/>
      <c r="M481" s="794"/>
      <c r="N481" s="794"/>
      <c r="O481" s="794"/>
      <c r="P481" s="794"/>
      <c r="Q481" s="794"/>
      <c r="R481" s="794"/>
      <c r="S481" s="794"/>
      <c r="T481" s="794"/>
      <c r="U481" s="794"/>
      <c r="V481" s="794"/>
      <c r="W481" s="794"/>
      <c r="X481" s="794"/>
      <c r="Y481" s="794"/>
      <c r="Z481" s="794"/>
      <c r="AA481" s="794"/>
      <c r="AB481" s="794"/>
      <c r="AC481" s="794"/>
      <c r="AD481" s="794"/>
      <c r="AE481"/>
    </row>
    <row r="482" spans="1:34" ht="15" customHeight="1">
      <c r="A482" s="50"/>
      <c r="B482" s="57"/>
      <c r="C482" s="57"/>
      <c r="D482" s="57"/>
      <c r="E482" s="57"/>
      <c r="F482" s="57"/>
      <c r="G482" s="57"/>
      <c r="H482" s="57"/>
      <c r="I482" s="57"/>
      <c r="J482" s="57"/>
      <c r="K482" s="57"/>
      <c r="L482" s="57"/>
      <c r="M482" s="57"/>
      <c r="N482" s="57"/>
      <c r="O482" s="57"/>
      <c r="P482" s="57"/>
      <c r="Q482" s="57"/>
      <c r="R482" s="57"/>
      <c r="S482" s="57"/>
      <c r="T482" s="57"/>
      <c r="U482" s="57"/>
      <c r="V482" s="57"/>
      <c r="W482" s="57"/>
      <c r="X482" s="57"/>
      <c r="Y482" s="57"/>
      <c r="Z482" s="57"/>
      <c r="AA482" s="57"/>
      <c r="AB482" s="57"/>
      <c r="AC482" s="57"/>
      <c r="AD482" s="57"/>
      <c r="AE482"/>
    </row>
    <row r="483" spans="1:34" ht="24" customHeight="1">
      <c r="A483" s="49" t="s">
        <v>4137</v>
      </c>
      <c r="B483" s="829" t="s">
        <v>4138</v>
      </c>
      <c r="C483" s="829"/>
      <c r="D483" s="829"/>
      <c r="E483" s="829"/>
      <c r="F483" s="829"/>
      <c r="G483" s="829"/>
      <c r="H483" s="829"/>
      <c r="I483" s="829"/>
      <c r="J483" s="829"/>
      <c r="K483" s="829"/>
      <c r="L483" s="829"/>
      <c r="M483" s="829"/>
      <c r="N483" s="829"/>
      <c r="O483" s="829"/>
      <c r="P483" s="829"/>
      <c r="Q483" s="829"/>
      <c r="R483" s="829"/>
      <c r="S483" s="829"/>
      <c r="T483" s="829"/>
      <c r="U483" s="829"/>
      <c r="V483" s="829"/>
      <c r="W483" s="829"/>
      <c r="X483" s="829"/>
      <c r="Y483" s="829"/>
      <c r="Z483" s="829"/>
      <c r="AA483" s="829"/>
      <c r="AB483" s="829"/>
      <c r="AC483" s="829"/>
      <c r="AD483" s="829"/>
    </row>
    <row r="484" spans="1:34" ht="15" customHeight="1">
      <c r="A484" s="50"/>
      <c r="B484" s="57"/>
      <c r="C484" s="830" t="s">
        <v>3945</v>
      </c>
      <c r="D484" s="830"/>
      <c r="E484" s="830"/>
      <c r="F484" s="830"/>
      <c r="G484" s="830"/>
      <c r="H484" s="830"/>
      <c r="I484" s="830"/>
      <c r="J484" s="830"/>
      <c r="K484" s="830"/>
      <c r="L484" s="830"/>
      <c r="M484" s="830"/>
      <c r="N484" s="830"/>
      <c r="O484" s="830"/>
      <c r="P484" s="830"/>
      <c r="Q484" s="830"/>
      <c r="R484" s="830"/>
      <c r="S484" s="830"/>
      <c r="T484" s="830"/>
      <c r="U484" s="830"/>
      <c r="V484" s="830"/>
      <c r="W484" s="830"/>
      <c r="X484" s="830"/>
      <c r="Y484" s="830"/>
      <c r="Z484" s="830"/>
      <c r="AA484" s="830"/>
      <c r="AB484" s="830"/>
      <c r="AC484" s="830"/>
      <c r="AD484" s="830"/>
      <c r="AG484"/>
      <c r="AH484" s="1044" t="s">
        <v>4139</v>
      </c>
    </row>
    <row r="485" spans="1:34" ht="15.75" customHeight="1" thickBot="1">
      <c r="A485" s="50"/>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c r="AA485" s="38"/>
      <c r="AB485" s="38"/>
      <c r="AC485" s="38"/>
      <c r="AD485" s="38"/>
      <c r="AG485" s="349" t="s">
        <v>4140</v>
      </c>
      <c r="AH485" s="1044"/>
    </row>
    <row r="486" spans="1:34" ht="15.75" thickBot="1">
      <c r="A486" s="50"/>
      <c r="B486" s="38"/>
      <c r="C486" s="137"/>
      <c r="D486" s="54" t="s">
        <v>4017</v>
      </c>
      <c r="E486" s="38"/>
      <c r="F486" s="38"/>
      <c r="G486" s="38"/>
      <c r="H486" s="38"/>
      <c r="I486" s="137"/>
      <c r="J486" s="54" t="s">
        <v>3950</v>
      </c>
      <c r="K486" s="38"/>
      <c r="L486" s="120"/>
      <c r="M486" s="54"/>
      <c r="N486" s="38"/>
      <c r="O486" s="38"/>
      <c r="P486" s="38"/>
      <c r="Q486" s="38"/>
      <c r="R486" s="38"/>
      <c r="S486" s="38"/>
      <c r="T486" s="137"/>
      <c r="U486" s="54" t="s">
        <v>3673</v>
      </c>
      <c r="V486" s="38"/>
      <c r="W486" s="38"/>
      <c r="X486" s="38"/>
      <c r="Y486" s="38"/>
      <c r="Z486" s="38"/>
      <c r="AA486" s="38"/>
      <c r="AB486" s="38"/>
      <c r="AC486" s="38"/>
      <c r="AD486" s="38"/>
      <c r="AG486">
        <f>IF(COUNTA(C486,I486,T486)=1,0,IF(COUNTA(C486,I486,T486)=0,0,1))</f>
        <v>0</v>
      </c>
      <c r="AH486" s="342">
        <f>IF(AND($C$473&lt;&gt;"",$C$473&lt;&gt;1,COUNTA(C486,I486,T486)&gt;0),1,0)</f>
        <v>0</v>
      </c>
    </row>
    <row r="487" spans="1:34">
      <c r="A487" s="50"/>
      <c r="B487" s="57"/>
      <c r="C487" s="57"/>
      <c r="D487" s="57"/>
      <c r="E487" s="57"/>
      <c r="F487" s="57"/>
      <c r="G487" s="57"/>
      <c r="H487" s="57"/>
      <c r="I487" s="57"/>
      <c r="J487" s="57"/>
      <c r="K487" s="57"/>
      <c r="L487" s="57"/>
      <c r="M487" s="57"/>
      <c r="N487" s="57"/>
      <c r="O487" s="57"/>
      <c r="P487" s="57"/>
      <c r="Q487" s="57"/>
      <c r="R487" s="57"/>
      <c r="S487" s="57"/>
      <c r="T487" s="57"/>
      <c r="U487" s="57"/>
      <c r="V487" s="57"/>
      <c r="W487" s="57"/>
      <c r="X487" s="57"/>
      <c r="Y487" s="57"/>
      <c r="Z487" s="57"/>
      <c r="AA487" s="57"/>
      <c r="AB487" s="57"/>
      <c r="AC487" s="57"/>
      <c r="AD487" s="57"/>
    </row>
    <row r="488" spans="1:34" ht="24" customHeight="1">
      <c r="A488" s="50"/>
      <c r="B488" s="57"/>
      <c r="C488" s="754" t="s">
        <v>2611</v>
      </c>
      <c r="D488" s="754"/>
      <c r="E488" s="754"/>
      <c r="F488" s="754"/>
      <c r="G488" s="754"/>
      <c r="H488" s="754"/>
      <c r="I488" s="754"/>
      <c r="J488" s="754"/>
      <c r="K488" s="754"/>
      <c r="L488" s="754"/>
      <c r="M488" s="754"/>
      <c r="N488" s="754"/>
      <c r="O488" s="754"/>
      <c r="P488" s="754"/>
      <c r="Q488" s="754"/>
      <c r="R488" s="754"/>
      <c r="S488" s="754"/>
      <c r="T488" s="754"/>
      <c r="U488" s="754"/>
      <c r="V488" s="754"/>
      <c r="W488" s="754"/>
      <c r="X488" s="754"/>
      <c r="Y488" s="754"/>
      <c r="Z488" s="754"/>
      <c r="AA488" s="754"/>
      <c r="AB488" s="754"/>
      <c r="AC488" s="754"/>
      <c r="AD488" s="754"/>
    </row>
    <row r="489" spans="1:34" ht="60" customHeight="1">
      <c r="A489" s="50"/>
      <c r="B489" s="57"/>
      <c r="C489" s="812"/>
      <c r="D489" s="812"/>
      <c r="E489" s="812"/>
      <c r="F489" s="812"/>
      <c r="G489" s="812"/>
      <c r="H489" s="812"/>
      <c r="I489" s="812"/>
      <c r="J489" s="812"/>
      <c r="K489" s="812"/>
      <c r="L489" s="812"/>
      <c r="M489" s="812"/>
      <c r="N489" s="812"/>
      <c r="O489" s="812"/>
      <c r="P489" s="812"/>
      <c r="Q489" s="812"/>
      <c r="R489" s="812"/>
      <c r="S489" s="812"/>
      <c r="T489" s="812"/>
      <c r="U489" s="812"/>
      <c r="V489" s="812"/>
      <c r="W489" s="812"/>
      <c r="X489" s="812"/>
      <c r="Y489" s="812"/>
      <c r="Z489" s="812"/>
      <c r="AA489" s="812"/>
      <c r="AB489" s="812"/>
      <c r="AC489" s="812"/>
      <c r="AD489" s="812"/>
    </row>
    <row r="490" spans="1:34" ht="15" customHeight="1">
      <c r="A490" s="50"/>
      <c r="B490" s="924" t="str">
        <f>IF(AG486&gt;0,"Favor de seleccionar solo un código","")</f>
        <v/>
      </c>
      <c r="C490" s="924"/>
      <c r="D490" s="924"/>
      <c r="E490" s="924"/>
      <c r="F490" s="924"/>
      <c r="G490" s="924"/>
      <c r="H490" s="924"/>
      <c r="I490" s="924"/>
      <c r="J490" s="924"/>
      <c r="K490" s="924"/>
      <c r="L490" s="924"/>
      <c r="M490" s="924"/>
      <c r="N490" s="924"/>
      <c r="O490" s="924"/>
      <c r="P490" s="924"/>
      <c r="Q490" s="924"/>
      <c r="R490" s="924"/>
      <c r="S490" s="924"/>
      <c r="T490" s="924"/>
      <c r="U490" s="924"/>
      <c r="V490" s="924"/>
      <c r="W490" s="924"/>
      <c r="X490" s="924"/>
      <c r="Y490" s="924"/>
      <c r="Z490" s="924"/>
      <c r="AA490" s="924"/>
      <c r="AB490" s="924"/>
      <c r="AC490" s="924"/>
      <c r="AD490" s="924"/>
    </row>
    <row r="491" spans="1:34" ht="15" customHeight="1">
      <c r="A491" s="50"/>
      <c r="B491" s="794" t="str">
        <f>IF(AH486&gt;0,"Favor de ingresar toda la información requerida en la pregunta y/o verifique que no tenga información en celdas sombreadas","")</f>
        <v/>
      </c>
      <c r="C491" s="794"/>
      <c r="D491" s="794"/>
      <c r="E491" s="794"/>
      <c r="F491" s="794"/>
      <c r="G491" s="794"/>
      <c r="H491" s="794"/>
      <c r="I491" s="794"/>
      <c r="J491" s="794"/>
      <c r="K491" s="794"/>
      <c r="L491" s="794"/>
      <c r="M491" s="794"/>
      <c r="N491" s="794"/>
      <c r="O491" s="794"/>
      <c r="P491" s="794"/>
      <c r="Q491" s="794"/>
      <c r="R491" s="794"/>
      <c r="S491" s="794"/>
      <c r="T491" s="794"/>
      <c r="U491" s="794"/>
      <c r="V491" s="794"/>
      <c r="W491" s="794"/>
      <c r="X491" s="794"/>
      <c r="Y491" s="794"/>
      <c r="Z491" s="794"/>
      <c r="AA491" s="794"/>
      <c r="AB491" s="794"/>
      <c r="AC491" s="794"/>
      <c r="AD491" s="794"/>
    </row>
    <row r="492" spans="1:34" ht="15" customHeight="1">
      <c r="A492" s="50"/>
      <c r="B492" s="57"/>
      <c r="C492" s="57"/>
      <c r="D492" s="57"/>
      <c r="E492" s="57"/>
      <c r="F492" s="57"/>
      <c r="G492" s="57"/>
      <c r="H492" s="57"/>
      <c r="I492" s="57"/>
      <c r="J492" s="57"/>
      <c r="K492" s="57"/>
      <c r="L492" s="57"/>
      <c r="M492" s="57"/>
      <c r="N492" s="57"/>
      <c r="O492" s="57"/>
      <c r="P492" s="57"/>
      <c r="Q492" s="57"/>
      <c r="R492" s="57"/>
      <c r="S492" s="57"/>
      <c r="T492" s="57"/>
      <c r="U492" s="57"/>
      <c r="V492" s="57"/>
      <c r="W492" s="57"/>
      <c r="X492" s="57"/>
      <c r="Y492" s="57"/>
      <c r="Z492" s="57"/>
      <c r="AA492" s="57"/>
      <c r="AB492" s="57"/>
      <c r="AC492" s="57"/>
      <c r="AD492" s="57"/>
    </row>
    <row r="493" spans="1:34" ht="15" customHeight="1">
      <c r="A493" s="50"/>
      <c r="B493" s="57"/>
      <c r="C493" s="57"/>
      <c r="D493" s="57"/>
      <c r="E493" s="57"/>
      <c r="F493" s="57"/>
      <c r="G493" s="57"/>
      <c r="H493" s="57"/>
      <c r="I493" s="57"/>
      <c r="J493" s="57"/>
      <c r="K493" s="57"/>
      <c r="L493" s="57"/>
      <c r="M493" s="57"/>
      <c r="N493" s="57"/>
      <c r="O493" s="57"/>
      <c r="P493" s="57"/>
      <c r="Q493" s="57"/>
      <c r="R493" s="57"/>
      <c r="S493" s="57"/>
      <c r="T493" s="57"/>
      <c r="U493" s="57"/>
      <c r="V493" s="57"/>
      <c r="W493" s="57"/>
      <c r="X493" s="57"/>
      <c r="Y493" s="57"/>
      <c r="Z493" s="57"/>
      <c r="AA493" s="57"/>
      <c r="AB493" s="57"/>
      <c r="AC493" s="57"/>
      <c r="AD493" s="57"/>
    </row>
    <row r="494" spans="1:34" ht="15" customHeight="1">
      <c r="A494" s="50"/>
      <c r="B494" s="57"/>
      <c r="C494" s="57"/>
      <c r="D494" s="57"/>
      <c r="E494" s="57"/>
      <c r="F494" s="57"/>
      <c r="G494" s="57"/>
      <c r="H494" s="57"/>
      <c r="I494" s="57"/>
      <c r="J494" s="57"/>
      <c r="K494" s="57"/>
      <c r="L494" s="57"/>
      <c r="M494" s="57"/>
      <c r="N494" s="57"/>
      <c r="O494" s="57"/>
      <c r="P494" s="57"/>
      <c r="Q494" s="57"/>
      <c r="R494" s="57"/>
      <c r="S494" s="57"/>
      <c r="T494" s="57"/>
      <c r="U494" s="57"/>
      <c r="V494" s="57"/>
      <c r="W494" s="57"/>
      <c r="X494" s="57"/>
      <c r="Y494" s="57"/>
      <c r="Z494" s="57"/>
      <c r="AA494" s="57"/>
      <c r="AB494" s="57"/>
      <c r="AC494" s="57"/>
      <c r="AD494" s="57"/>
    </row>
    <row r="495" spans="1:34" ht="15" customHeight="1">
      <c r="A495" s="50"/>
      <c r="B495" s="57"/>
      <c r="C495" s="57"/>
      <c r="D495" s="57"/>
      <c r="E495" s="57"/>
      <c r="F495" s="57"/>
      <c r="G495" s="57"/>
      <c r="H495" s="57"/>
      <c r="I495" s="57"/>
      <c r="J495" s="57"/>
      <c r="K495" s="57"/>
      <c r="L495" s="57"/>
      <c r="M495" s="57"/>
      <c r="N495" s="57"/>
      <c r="O495" s="57"/>
      <c r="P495" s="57"/>
      <c r="Q495" s="57"/>
      <c r="R495" s="57"/>
      <c r="S495" s="57"/>
      <c r="T495" s="57"/>
      <c r="U495" s="57"/>
      <c r="V495" s="57"/>
      <c r="W495" s="57"/>
      <c r="X495" s="57"/>
      <c r="Y495" s="57"/>
      <c r="Z495" s="57"/>
      <c r="AA495" s="57"/>
      <c r="AB495" s="57"/>
      <c r="AC495" s="57"/>
      <c r="AD495" s="57"/>
    </row>
    <row r="496" spans="1:34" ht="15" customHeight="1">
      <c r="A496" s="49" t="s">
        <v>4141</v>
      </c>
      <c r="B496" s="829" t="s">
        <v>4142</v>
      </c>
      <c r="C496" s="829"/>
      <c r="D496" s="829"/>
      <c r="E496" s="829"/>
      <c r="F496" s="829"/>
      <c r="G496" s="829"/>
      <c r="H496" s="829"/>
      <c r="I496" s="829"/>
      <c r="J496" s="829"/>
      <c r="K496" s="829"/>
      <c r="L496" s="829"/>
      <c r="M496" s="829"/>
      <c r="N496" s="829"/>
      <c r="O496" s="829"/>
      <c r="P496" s="829"/>
      <c r="Q496" s="829"/>
      <c r="R496" s="829"/>
      <c r="S496" s="829"/>
      <c r="T496" s="829"/>
      <c r="U496" s="829"/>
      <c r="V496" s="829"/>
      <c r="W496" s="829"/>
      <c r="X496" s="829"/>
      <c r="Y496" s="829"/>
      <c r="Z496" s="829"/>
      <c r="AA496" s="829"/>
      <c r="AB496" s="829"/>
      <c r="AC496" s="829"/>
      <c r="AD496" s="829"/>
    </row>
    <row r="497" spans="1:34" ht="15" customHeight="1">
      <c r="A497" s="103"/>
      <c r="B497" s="57"/>
      <c r="C497" s="830" t="s">
        <v>3945</v>
      </c>
      <c r="D497" s="830"/>
      <c r="E497" s="830"/>
      <c r="F497" s="830"/>
      <c r="G497" s="830"/>
      <c r="H497" s="830"/>
      <c r="I497" s="830"/>
      <c r="J497" s="830"/>
      <c r="K497" s="830"/>
      <c r="L497" s="830"/>
      <c r="M497" s="830"/>
      <c r="N497" s="830"/>
      <c r="O497" s="830"/>
      <c r="P497" s="830"/>
      <c r="Q497" s="830"/>
      <c r="R497" s="830"/>
      <c r="S497" s="830"/>
      <c r="T497" s="830"/>
      <c r="U497" s="830"/>
      <c r="V497" s="830"/>
      <c r="W497" s="830"/>
      <c r="X497" s="830"/>
      <c r="Y497" s="830"/>
      <c r="Z497" s="830"/>
      <c r="AA497" s="830"/>
      <c r="AB497" s="830"/>
      <c r="AC497" s="830"/>
      <c r="AD497" s="830"/>
    </row>
    <row r="498" spans="1:34" ht="24" customHeight="1">
      <c r="A498" s="49"/>
      <c r="B498" s="38"/>
      <c r="C498" s="754" t="s">
        <v>4143</v>
      </c>
      <c r="D498" s="754"/>
      <c r="E498" s="754"/>
      <c r="F498" s="754"/>
      <c r="G498" s="754"/>
      <c r="H498" s="754"/>
      <c r="I498" s="754"/>
      <c r="J498" s="754"/>
      <c r="K498" s="754"/>
      <c r="L498" s="754"/>
      <c r="M498" s="754"/>
      <c r="N498" s="754"/>
      <c r="O498" s="754"/>
      <c r="P498" s="754"/>
      <c r="Q498" s="754"/>
      <c r="R498" s="754"/>
      <c r="S498" s="754"/>
      <c r="T498" s="754"/>
      <c r="U498" s="754"/>
      <c r="V498" s="754"/>
      <c r="W498" s="754"/>
      <c r="X498" s="754"/>
      <c r="Y498" s="754"/>
      <c r="Z498" s="754"/>
      <c r="AA498" s="754"/>
      <c r="AB498" s="754"/>
      <c r="AC498" s="754"/>
      <c r="AD498" s="754"/>
      <c r="AG498"/>
      <c r="AH498" s="1044" t="s">
        <v>4139</v>
      </c>
    </row>
    <row r="499" spans="1:34" ht="15" customHeight="1" thickBot="1">
      <c r="A499" s="49"/>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c r="AA499" s="38"/>
      <c r="AB499" s="38"/>
      <c r="AC499" s="38"/>
      <c r="AD499" s="38"/>
      <c r="AG499" s="349" t="s">
        <v>4140</v>
      </c>
      <c r="AH499" s="1044"/>
    </row>
    <row r="500" spans="1:34" ht="15" customHeight="1" thickBot="1">
      <c r="A500" s="49"/>
      <c r="B500" s="38"/>
      <c r="C500" s="137"/>
      <c r="D500" s="54" t="s">
        <v>4017</v>
      </c>
      <c r="E500" s="38"/>
      <c r="F500" s="38"/>
      <c r="G500" s="38"/>
      <c r="H500" s="38"/>
      <c r="I500" s="137"/>
      <c r="J500" s="54" t="s">
        <v>3950</v>
      </c>
      <c r="K500" s="38"/>
      <c r="L500" s="120"/>
      <c r="M500" s="54"/>
      <c r="N500" s="38"/>
      <c r="O500" s="38"/>
      <c r="P500" s="38"/>
      <c r="Q500" s="38"/>
      <c r="R500" s="38"/>
      <c r="S500" s="38"/>
      <c r="T500" s="137"/>
      <c r="U500" s="54" t="s">
        <v>3673</v>
      </c>
      <c r="V500" s="38"/>
      <c r="W500" s="38"/>
      <c r="X500" s="38"/>
      <c r="Y500" s="38"/>
      <c r="Z500" s="38"/>
      <c r="AA500" s="38"/>
      <c r="AB500" s="38"/>
      <c r="AC500" s="38"/>
      <c r="AD500" s="38"/>
      <c r="AG500">
        <f>IF(COUNTA(C500,I500,T500)=1,0,IF(COUNTA(C500,I500,T500)=0,0,1))</f>
        <v>0</v>
      </c>
      <c r="AH500" s="342">
        <f>IF(AND($C$473&lt;&gt;"",$C$473&lt;&gt;1,COUNTA(C500,I500,T500)&gt;0),1,0)</f>
        <v>0</v>
      </c>
    </row>
    <row r="501" spans="1:34" ht="15" customHeight="1">
      <c r="A501" s="103"/>
      <c r="B501" s="57"/>
      <c r="C501" s="57"/>
      <c r="D501" s="57"/>
      <c r="E501" s="57"/>
      <c r="F501" s="57"/>
      <c r="G501" s="57"/>
      <c r="H501" s="57"/>
      <c r="I501" s="57"/>
      <c r="J501" s="57"/>
      <c r="K501" s="57"/>
      <c r="L501" s="57"/>
      <c r="M501" s="57"/>
      <c r="N501" s="57"/>
      <c r="O501" s="57"/>
      <c r="P501" s="57"/>
      <c r="Q501" s="57"/>
      <c r="R501" s="57"/>
      <c r="S501" s="57"/>
      <c r="T501" s="57"/>
      <c r="U501" s="57"/>
      <c r="V501" s="57"/>
      <c r="W501" s="57"/>
      <c r="X501" s="57"/>
      <c r="Y501" s="57"/>
      <c r="Z501" s="57"/>
      <c r="AA501" s="57"/>
      <c r="AB501" s="57"/>
      <c r="AC501" s="57"/>
      <c r="AD501" s="57"/>
    </row>
    <row r="502" spans="1:34" ht="24" customHeight="1">
      <c r="A502" s="103"/>
      <c r="B502" s="57"/>
      <c r="C502" s="754" t="s">
        <v>2611</v>
      </c>
      <c r="D502" s="754"/>
      <c r="E502" s="754"/>
      <c r="F502" s="754"/>
      <c r="G502" s="754"/>
      <c r="H502" s="754"/>
      <c r="I502" s="754"/>
      <c r="J502" s="754"/>
      <c r="K502" s="754"/>
      <c r="L502" s="754"/>
      <c r="M502" s="754"/>
      <c r="N502" s="754"/>
      <c r="O502" s="754"/>
      <c r="P502" s="754"/>
      <c r="Q502" s="754"/>
      <c r="R502" s="754"/>
      <c r="S502" s="754"/>
      <c r="T502" s="754"/>
      <c r="U502" s="754"/>
      <c r="V502" s="754"/>
      <c r="W502" s="754"/>
      <c r="X502" s="754"/>
      <c r="Y502" s="754"/>
      <c r="Z502" s="754"/>
      <c r="AA502" s="754"/>
      <c r="AB502" s="754"/>
      <c r="AC502" s="754"/>
      <c r="AD502" s="754"/>
    </row>
    <row r="503" spans="1:34" ht="60" customHeight="1">
      <c r="A503" s="103"/>
      <c r="B503" s="57"/>
      <c r="C503" s="851"/>
      <c r="D503" s="851"/>
      <c r="E503" s="851"/>
      <c r="F503" s="851"/>
      <c r="G503" s="851"/>
      <c r="H503" s="851"/>
      <c r="I503" s="851"/>
      <c r="J503" s="851"/>
      <c r="K503" s="851"/>
      <c r="L503" s="851"/>
      <c r="M503" s="851"/>
      <c r="N503" s="851"/>
      <c r="O503" s="851"/>
      <c r="P503" s="851"/>
      <c r="Q503" s="851"/>
      <c r="R503" s="851"/>
      <c r="S503" s="851"/>
      <c r="T503" s="851"/>
      <c r="U503" s="851"/>
      <c r="V503" s="851"/>
      <c r="W503" s="851"/>
      <c r="X503" s="851"/>
      <c r="Y503" s="851"/>
      <c r="Z503" s="851"/>
      <c r="AA503" s="851"/>
      <c r="AB503" s="851"/>
      <c r="AC503" s="851"/>
      <c r="AD503" s="851"/>
    </row>
    <row r="504" spans="1:34" ht="15" customHeight="1">
      <c r="A504" s="103"/>
      <c r="B504" s="924" t="str">
        <f>IF(AG500&gt;0,"Favor de seleccionar solo un código","")</f>
        <v/>
      </c>
      <c r="C504" s="924"/>
      <c r="D504" s="924"/>
      <c r="E504" s="924"/>
      <c r="F504" s="924"/>
      <c r="G504" s="924"/>
      <c r="H504" s="924"/>
      <c r="I504" s="924"/>
      <c r="J504" s="924"/>
      <c r="K504" s="924"/>
      <c r="L504" s="924"/>
      <c r="M504" s="924"/>
      <c r="N504" s="924"/>
      <c r="O504" s="924"/>
      <c r="P504" s="924"/>
      <c r="Q504" s="924"/>
      <c r="R504" s="924"/>
      <c r="S504" s="924"/>
      <c r="T504" s="924"/>
      <c r="U504" s="924"/>
      <c r="V504" s="924"/>
      <c r="W504" s="924"/>
      <c r="X504" s="924"/>
      <c r="Y504" s="924"/>
      <c r="Z504" s="924"/>
      <c r="AA504" s="924"/>
      <c r="AB504" s="924"/>
      <c r="AC504" s="924"/>
      <c r="AD504" s="924"/>
    </row>
    <row r="505" spans="1:34" ht="15" customHeight="1">
      <c r="A505" s="103"/>
      <c r="B505" s="794" t="str">
        <f>IF(AH500&gt;0,"Favor de ingresar toda la información requerida en la pregunta y/o verifique que no tenga información en celdas sombreadas","")</f>
        <v/>
      </c>
      <c r="C505" s="794"/>
      <c r="D505" s="794"/>
      <c r="E505" s="794"/>
      <c r="F505" s="794"/>
      <c r="G505" s="794"/>
      <c r="H505" s="794"/>
      <c r="I505" s="794"/>
      <c r="J505" s="794"/>
      <c r="K505" s="794"/>
      <c r="L505" s="794"/>
      <c r="M505" s="794"/>
      <c r="N505" s="794"/>
      <c r="O505" s="794"/>
      <c r="P505" s="794"/>
      <c r="Q505" s="794"/>
      <c r="R505" s="794"/>
      <c r="S505" s="794"/>
      <c r="T505" s="794"/>
      <c r="U505" s="794"/>
      <c r="V505" s="794"/>
      <c r="W505" s="794"/>
      <c r="X505" s="794"/>
      <c r="Y505" s="794"/>
      <c r="Z505" s="794"/>
      <c r="AA505" s="794"/>
      <c r="AB505" s="794"/>
      <c r="AC505" s="794"/>
      <c r="AD505" s="794"/>
    </row>
    <row r="506" spans="1:34" ht="15" customHeight="1">
      <c r="A506" s="103"/>
      <c r="B506" s="57"/>
      <c r="C506" s="57"/>
      <c r="D506" s="57"/>
      <c r="E506" s="57"/>
      <c r="F506" s="57"/>
      <c r="G506" s="57"/>
      <c r="H506" s="57"/>
      <c r="I506" s="57"/>
      <c r="J506" s="57"/>
      <c r="K506" s="57"/>
      <c r="L506" s="57"/>
      <c r="M506" s="57"/>
      <c r="N506" s="57"/>
      <c r="O506" s="57"/>
      <c r="P506" s="57"/>
      <c r="Q506" s="57"/>
      <c r="R506" s="57"/>
      <c r="S506" s="57"/>
      <c r="T506" s="57"/>
      <c r="U506" s="57"/>
      <c r="V506" s="57"/>
      <c r="W506" s="57"/>
      <c r="X506" s="57"/>
      <c r="Y506" s="57"/>
      <c r="Z506" s="57"/>
      <c r="AA506" s="57"/>
      <c r="AB506" s="57"/>
      <c r="AC506" s="57"/>
      <c r="AD506" s="57"/>
    </row>
    <row r="507" spans="1:34" ht="15" customHeight="1">
      <c r="A507" s="103"/>
      <c r="B507" s="57"/>
      <c r="C507" s="57"/>
      <c r="D507" s="57"/>
      <c r="E507" s="57"/>
      <c r="F507" s="57"/>
      <c r="G507" s="57"/>
      <c r="H507" s="57"/>
      <c r="I507" s="57"/>
      <c r="J507" s="57"/>
      <c r="K507" s="57"/>
      <c r="L507" s="57"/>
      <c r="M507" s="57"/>
      <c r="N507" s="57"/>
      <c r="O507" s="57"/>
      <c r="P507" s="57"/>
      <c r="Q507" s="57"/>
      <c r="R507" s="57"/>
      <c r="S507" s="57"/>
      <c r="T507" s="57"/>
      <c r="U507" s="57"/>
      <c r="V507" s="57"/>
      <c r="W507" s="57"/>
      <c r="X507" s="57"/>
      <c r="Y507" s="57"/>
      <c r="Z507" s="57"/>
      <c r="AA507" s="57"/>
      <c r="AB507" s="57"/>
      <c r="AC507" s="57"/>
      <c r="AD507" s="57"/>
    </row>
    <row r="508" spans="1:34" ht="15" customHeight="1">
      <c r="A508" s="103"/>
      <c r="B508" s="57"/>
      <c r="C508" s="57"/>
      <c r="D508" s="57"/>
      <c r="E508" s="57"/>
      <c r="F508" s="57"/>
      <c r="G508" s="57"/>
      <c r="H508" s="57"/>
      <c r="I508" s="57"/>
      <c r="J508" s="57"/>
      <c r="K508" s="57"/>
      <c r="L508" s="57"/>
      <c r="M508" s="57"/>
      <c r="N508" s="57"/>
      <c r="O508" s="57"/>
      <c r="P508" s="57"/>
      <c r="Q508" s="57"/>
      <c r="R508" s="57"/>
      <c r="S508" s="57"/>
      <c r="T508" s="57"/>
      <c r="U508" s="57"/>
      <c r="V508" s="57"/>
      <c r="W508" s="57"/>
      <c r="X508" s="57"/>
      <c r="Y508" s="57"/>
      <c r="Z508" s="57"/>
      <c r="AA508" s="57"/>
      <c r="AB508" s="57"/>
      <c r="AC508" s="57"/>
      <c r="AD508" s="57"/>
    </row>
    <row r="509" spans="1:34" ht="15" customHeight="1">
      <c r="A509" s="103"/>
      <c r="B509" s="57"/>
      <c r="C509" s="57"/>
      <c r="D509" s="57"/>
      <c r="E509" s="57"/>
      <c r="F509" s="57"/>
      <c r="G509" s="57"/>
      <c r="H509" s="57"/>
      <c r="I509" s="57"/>
      <c r="J509" s="57"/>
      <c r="K509" s="57"/>
      <c r="L509" s="57"/>
      <c r="M509" s="57"/>
      <c r="N509" s="57"/>
      <c r="O509" s="57"/>
      <c r="P509" s="57"/>
      <c r="Q509" s="57"/>
      <c r="R509" s="57"/>
      <c r="S509" s="57"/>
      <c r="T509" s="57"/>
      <c r="U509" s="57"/>
      <c r="V509" s="57"/>
      <c r="W509" s="57"/>
      <c r="X509" s="57"/>
      <c r="Y509" s="57"/>
      <c r="Z509" s="57"/>
      <c r="AA509" s="57"/>
      <c r="AB509" s="57"/>
      <c r="AC509" s="57"/>
      <c r="AD509" s="57"/>
    </row>
    <row r="510" spans="1:34" ht="24" customHeight="1">
      <c r="A510" s="49" t="s">
        <v>4144</v>
      </c>
      <c r="B510" s="829" t="s">
        <v>4145</v>
      </c>
      <c r="C510" s="829"/>
      <c r="D510" s="829"/>
      <c r="E510" s="829"/>
      <c r="F510" s="829"/>
      <c r="G510" s="829"/>
      <c r="H510" s="829"/>
      <c r="I510" s="829"/>
      <c r="J510" s="829"/>
      <c r="K510" s="829"/>
      <c r="L510" s="829"/>
      <c r="M510" s="829"/>
      <c r="N510" s="829"/>
      <c r="O510" s="829"/>
      <c r="P510" s="829"/>
      <c r="Q510" s="829"/>
      <c r="R510" s="829"/>
      <c r="S510" s="829"/>
      <c r="T510" s="829"/>
      <c r="U510" s="829"/>
      <c r="V510" s="829"/>
      <c r="W510" s="829"/>
      <c r="X510" s="829"/>
      <c r="Y510" s="829"/>
      <c r="Z510" s="829"/>
      <c r="AA510" s="829"/>
      <c r="AB510" s="829"/>
      <c r="AC510" s="829"/>
      <c r="AD510" s="829"/>
    </row>
    <row r="511" spans="1:34" ht="24" customHeight="1">
      <c r="A511" s="49"/>
      <c r="B511" s="118"/>
      <c r="C511" s="830" t="s">
        <v>4146</v>
      </c>
      <c r="D511" s="830"/>
      <c r="E511" s="830"/>
      <c r="F511" s="830"/>
      <c r="G511" s="830"/>
      <c r="H511" s="830"/>
      <c r="I511" s="830"/>
      <c r="J511" s="830"/>
      <c r="K511" s="830"/>
      <c r="L511" s="830"/>
      <c r="M511" s="830"/>
      <c r="N511" s="830"/>
      <c r="O511" s="830"/>
      <c r="P511" s="830"/>
      <c r="Q511" s="830"/>
      <c r="R511" s="830"/>
      <c r="S511" s="830"/>
      <c r="T511" s="830"/>
      <c r="U511" s="830"/>
      <c r="V511" s="830"/>
      <c r="W511" s="830"/>
      <c r="X511" s="830"/>
      <c r="Y511" s="830"/>
      <c r="Z511" s="830"/>
      <c r="AA511" s="830"/>
      <c r="AB511" s="830"/>
      <c r="AC511" s="830"/>
      <c r="AD511" s="830"/>
    </row>
    <row r="512" spans="1:34">
      <c r="A512" s="115"/>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c r="AA512" s="16"/>
      <c r="AB512" s="16"/>
      <c r="AC512" s="16"/>
      <c r="AD512" s="16"/>
    </row>
    <row r="513" spans="1:39" ht="24" customHeight="1">
      <c r="A513" s="49"/>
      <c r="B513" s="131"/>
      <c r="C513" s="818" t="s">
        <v>4147</v>
      </c>
      <c r="D513" s="819"/>
      <c r="E513" s="819"/>
      <c r="F513" s="819"/>
      <c r="G513" s="819"/>
      <c r="H513" s="819"/>
      <c r="I513" s="819"/>
      <c r="J513" s="819"/>
      <c r="K513" s="819"/>
      <c r="L513" s="820"/>
      <c r="M513" s="732" t="s">
        <v>4148</v>
      </c>
      <c r="N513" s="732"/>
      <c r="O513" s="732"/>
      <c r="P513" s="732"/>
      <c r="Q513" s="732"/>
      <c r="R513" s="732"/>
      <c r="S513" s="732"/>
      <c r="T513" s="732"/>
      <c r="U513" s="732"/>
      <c r="V513" s="732"/>
      <c r="W513" s="732"/>
      <c r="X513" s="732"/>
      <c r="Y513" s="732"/>
      <c r="Z513" s="732"/>
      <c r="AA513" s="732"/>
      <c r="AB513" s="732"/>
      <c r="AC513" s="732"/>
      <c r="AD513" s="732"/>
      <c r="AG513"/>
      <c r="AH513"/>
      <c r="AI513"/>
      <c r="AJ513"/>
      <c r="AK513" s="1044" t="s">
        <v>4139</v>
      </c>
      <c r="AL513" s="1044" t="s">
        <v>4149</v>
      </c>
      <c r="AM513" s="921" t="s">
        <v>3478</v>
      </c>
    </row>
    <row r="514" spans="1:39">
      <c r="A514" s="49"/>
      <c r="B514" s="131"/>
      <c r="C514" s="824"/>
      <c r="D514" s="825"/>
      <c r="E514" s="825"/>
      <c r="F514" s="825"/>
      <c r="G514" s="825"/>
      <c r="H514" s="825"/>
      <c r="I514" s="825"/>
      <c r="J514" s="825"/>
      <c r="K514" s="825"/>
      <c r="L514" s="826"/>
      <c r="M514" s="732" t="s">
        <v>2628</v>
      </c>
      <c r="N514" s="732"/>
      <c r="O514" s="732"/>
      <c r="P514" s="732"/>
      <c r="Q514" s="732"/>
      <c r="R514" s="732"/>
      <c r="S514" s="736" t="s">
        <v>2629</v>
      </c>
      <c r="T514" s="736"/>
      <c r="U514" s="736"/>
      <c r="V514" s="736"/>
      <c r="W514" s="736"/>
      <c r="X514" s="736"/>
      <c r="Y514" s="736" t="s">
        <v>2630</v>
      </c>
      <c r="Z514" s="736"/>
      <c r="AA514" s="736"/>
      <c r="AB514" s="736"/>
      <c r="AC514" s="736"/>
      <c r="AD514" s="736"/>
      <c r="AG514" s="349" t="s">
        <v>2586</v>
      </c>
      <c r="AH514" s="350" t="s">
        <v>2590</v>
      </c>
      <c r="AI514" s="351" t="s">
        <v>3163</v>
      </c>
      <c r="AJ514" s="352" t="s">
        <v>3164</v>
      </c>
      <c r="AK514" s="1044"/>
      <c r="AL514" s="1044"/>
      <c r="AM514" s="921"/>
    </row>
    <row r="515" spans="1:39">
      <c r="A515" s="49"/>
      <c r="B515" s="131"/>
      <c r="C515" s="749"/>
      <c r="D515" s="749"/>
      <c r="E515" s="749"/>
      <c r="F515" s="749"/>
      <c r="G515" s="749"/>
      <c r="H515" s="749"/>
      <c r="I515" s="749"/>
      <c r="J515" s="749"/>
      <c r="K515" s="749"/>
      <c r="L515" s="749"/>
      <c r="M515" s="816"/>
      <c r="N515" s="738"/>
      <c r="O515" s="738"/>
      <c r="P515" s="738"/>
      <c r="Q515" s="738"/>
      <c r="R515" s="817"/>
      <c r="S515" s="816"/>
      <c r="T515" s="738"/>
      <c r="U515" s="738"/>
      <c r="V515" s="738"/>
      <c r="W515" s="738"/>
      <c r="X515" s="817"/>
      <c r="Y515" s="816"/>
      <c r="Z515" s="738"/>
      <c r="AA515" s="738"/>
      <c r="AB515" s="738"/>
      <c r="AC515" s="738"/>
      <c r="AD515" s="817"/>
      <c r="AG515" s="283">
        <f>IF(AND($C$473&lt;&gt;"",$C$473&lt;&gt;1,COUNTA(C515:AD515)=0),0,IF(AND($C$473&lt;&gt;"",$C$473=1,C515&lt;&gt;"",C515&lt;&gt;1,COUNTA(M515:AD515)=0),0,IF(AND($C$473&lt;&gt;"",$C$473=1,C515&lt;&gt;"",C515=1,COUNTA(M515:AD515)=3),0,IF(AND(C515="",COUNTA(M515:AD515)=0),0,1))))</f>
        <v>0</v>
      </c>
      <c r="AH515" s="353">
        <f>COUNTIF(S515:AD515,"NS")</f>
        <v>0</v>
      </c>
      <c r="AI515" s="353">
        <f>SUM(S515:AD515)</f>
        <v>0</v>
      </c>
      <c r="AJ515" s="353">
        <f>IF(COUNTIF(M515:AD515,"NA")=3,0,IF(OR(AND(M515=0,AH515&gt;0),AND(M515="ns",AI515&gt;0),AND(M515="ns",AH515=0,AI515=0)),1,IF(OR(AND(M515&gt;0,AH515=2),AND(M515="ns",AH515=2),AND(M515="ns",AI515=0,AH515&gt;0),M515=AI515),0,1)))</f>
        <v>0</v>
      </c>
      <c r="AK515" s="342">
        <f>IF(AND($C$473&lt;&gt;"",$C$473&lt;&gt;1,COUNTA(C515:AD515)&gt;0),1,0)</f>
        <v>0</v>
      </c>
      <c r="AL515" s="342">
        <f>IF(AND($C$515&lt;&gt;"",$C$515&lt;&gt;1,COUNTA(M515:AD515)&gt;0),1,0)</f>
        <v>0</v>
      </c>
      <c r="AM515" s="253">
        <f>IF(AND($C$515&lt;&gt;"",$C$515=1,M515&lt;&gt;"",S515&lt;&gt;"",Y515&lt;&gt;"",SUM(M515:AD515)=0),1,0)</f>
        <v>0</v>
      </c>
    </row>
    <row r="516" spans="1:39">
      <c r="A516" s="142"/>
      <c r="B516" s="113"/>
      <c r="C516" s="113"/>
      <c r="D516" s="113"/>
      <c r="E516" s="113"/>
      <c r="F516" s="113"/>
      <c r="G516" s="113"/>
      <c r="H516" s="113"/>
      <c r="I516" s="113"/>
      <c r="J516" s="113"/>
      <c r="K516" s="113"/>
      <c r="L516" s="113"/>
      <c r="M516" s="113"/>
      <c r="N516" s="113"/>
      <c r="O516" s="113"/>
      <c r="P516" s="113"/>
      <c r="Q516" s="113"/>
      <c r="R516" s="113"/>
      <c r="S516" s="113"/>
      <c r="T516" s="113"/>
      <c r="U516" s="113"/>
      <c r="V516" s="113"/>
      <c r="W516" s="113"/>
      <c r="X516" s="113"/>
      <c r="Y516" s="113"/>
      <c r="Z516" s="113"/>
      <c r="AA516" s="113"/>
      <c r="AB516" s="113"/>
      <c r="AC516" s="113"/>
      <c r="AD516" s="113"/>
    </row>
    <row r="517" spans="1:39" ht="24" customHeight="1">
      <c r="A517" s="142"/>
      <c r="B517" s="113"/>
      <c r="C517" s="754" t="s">
        <v>2611</v>
      </c>
      <c r="D517" s="754"/>
      <c r="E517" s="754"/>
      <c r="F517" s="754"/>
      <c r="G517" s="754"/>
      <c r="H517" s="754"/>
      <c r="I517" s="754"/>
      <c r="J517" s="754"/>
      <c r="K517" s="754"/>
      <c r="L517" s="754"/>
      <c r="M517" s="754"/>
      <c r="N517" s="754"/>
      <c r="O517" s="754"/>
      <c r="P517" s="754"/>
      <c r="Q517" s="754"/>
      <c r="R517" s="754"/>
      <c r="S517" s="754"/>
      <c r="T517" s="754"/>
      <c r="U517" s="754"/>
      <c r="V517" s="754"/>
      <c r="W517" s="754"/>
      <c r="X517" s="754"/>
      <c r="Y517" s="754"/>
      <c r="Z517" s="754"/>
      <c r="AA517" s="754"/>
      <c r="AB517" s="754"/>
      <c r="AC517" s="754"/>
      <c r="AD517" s="754"/>
    </row>
    <row r="518" spans="1:39" ht="60" customHeight="1">
      <c r="A518" s="142"/>
      <c r="B518" s="113"/>
      <c r="C518" s="851"/>
      <c r="D518" s="851"/>
      <c r="E518" s="851"/>
      <c r="F518" s="851"/>
      <c r="G518" s="851"/>
      <c r="H518" s="851"/>
      <c r="I518" s="851"/>
      <c r="J518" s="851"/>
      <c r="K518" s="851"/>
      <c r="L518" s="851"/>
      <c r="M518" s="851"/>
      <c r="N518" s="851"/>
      <c r="O518" s="851"/>
      <c r="P518" s="851"/>
      <c r="Q518" s="851"/>
      <c r="R518" s="851"/>
      <c r="S518" s="851"/>
      <c r="T518" s="851"/>
      <c r="U518" s="851"/>
      <c r="V518" s="851"/>
      <c r="W518" s="851"/>
      <c r="X518" s="851"/>
      <c r="Y518" s="851"/>
      <c r="Z518" s="851"/>
      <c r="AA518" s="851"/>
      <c r="AB518" s="851"/>
      <c r="AC518" s="851"/>
      <c r="AD518" s="851"/>
    </row>
    <row r="519" spans="1:39" ht="15" customHeight="1">
      <c r="B519" s="794" t="str">
        <f>IF(AG515&gt;0,"Favor de ingresar toda la información requerida en la pregunta y/o verifique que no tenga información en celdas sombreadas","")</f>
        <v/>
      </c>
      <c r="C519" s="794"/>
      <c r="D519" s="794"/>
      <c r="E519" s="794"/>
      <c r="F519" s="794"/>
      <c r="G519" s="794"/>
      <c r="H519" s="794"/>
      <c r="I519" s="794"/>
      <c r="J519" s="794"/>
      <c r="K519" s="794"/>
      <c r="L519" s="794"/>
      <c r="M519" s="794"/>
      <c r="N519" s="794"/>
      <c r="O519" s="794"/>
      <c r="P519" s="794"/>
      <c r="Q519" s="794"/>
      <c r="R519" s="794"/>
      <c r="S519" s="794"/>
      <c r="T519" s="794"/>
      <c r="U519" s="794"/>
      <c r="V519" s="794"/>
      <c r="W519" s="794"/>
      <c r="X519" s="794"/>
      <c r="Y519" s="794"/>
      <c r="Z519" s="794"/>
      <c r="AA519" s="794"/>
      <c r="AB519" s="794"/>
      <c r="AC519" s="794"/>
      <c r="AD519" s="794"/>
      <c r="AE519"/>
    </row>
    <row r="520" spans="1:39" ht="15" customHeight="1">
      <c r="B520" s="795" t="str">
        <f>IF(AH515&gt;0,"Alerta: debido a que cuenta con registros NS, debe proporcionar una justificación en el area de comentarios al final de la pregunta","")</f>
        <v/>
      </c>
      <c r="C520" s="795"/>
      <c r="D520" s="795"/>
      <c r="E520" s="795"/>
      <c r="F520" s="795"/>
      <c r="G520" s="795"/>
      <c r="H520" s="795"/>
      <c r="I520" s="795"/>
      <c r="J520" s="795"/>
      <c r="K520" s="795"/>
      <c r="L520" s="795"/>
      <c r="M520" s="795"/>
      <c r="N520" s="795"/>
      <c r="O520" s="795"/>
      <c r="P520" s="795"/>
      <c r="Q520" s="795"/>
      <c r="R520" s="795"/>
      <c r="S520" s="795"/>
      <c r="T520" s="795"/>
      <c r="U520" s="795"/>
      <c r="V520" s="795"/>
      <c r="W520" s="795"/>
      <c r="X520" s="795"/>
      <c r="Y520" s="795"/>
      <c r="Z520" s="795"/>
      <c r="AA520" s="795"/>
      <c r="AB520" s="795"/>
      <c r="AC520" s="795"/>
      <c r="AD520" s="795"/>
      <c r="AE520"/>
    </row>
    <row r="521" spans="1:39" ht="15" customHeight="1">
      <c r="B521" s="794" t="str">
        <f>IF(AJ515&gt;0,"Favor de revisar la suma y consistencia de totales y/o subtotales por filas (numéricos y NS)","")</f>
        <v/>
      </c>
      <c r="C521" s="794"/>
      <c r="D521" s="794"/>
      <c r="E521" s="794"/>
      <c r="F521" s="794"/>
      <c r="G521" s="794"/>
      <c r="H521" s="794"/>
      <c r="I521" s="794"/>
      <c r="J521" s="794"/>
      <c r="K521" s="794"/>
      <c r="L521" s="794"/>
      <c r="M521" s="794"/>
      <c r="N521" s="794"/>
      <c r="O521" s="794"/>
      <c r="P521" s="794"/>
      <c r="Q521" s="794"/>
      <c r="R521" s="794"/>
      <c r="S521" s="794"/>
      <c r="T521" s="794"/>
      <c r="U521" s="794"/>
      <c r="V521" s="794"/>
      <c r="W521" s="794"/>
      <c r="X521" s="794"/>
      <c r="Y521" s="794"/>
      <c r="Z521" s="794"/>
      <c r="AA521" s="794"/>
      <c r="AB521" s="794"/>
      <c r="AC521" s="794"/>
      <c r="AD521" s="794"/>
      <c r="AE521"/>
    </row>
    <row r="522" spans="1:39" ht="15" customHeight="1">
      <c r="B522" s="794" t="str">
        <f>IF(AM515&gt;0,"No puede ingresar cero en la col. Personal adscrito debido a que registró el código 1 en la col. ¿La Comisión de Carrera Penitenciaria… ?","")</f>
        <v/>
      </c>
      <c r="C522" s="794"/>
      <c r="D522" s="794"/>
      <c r="E522" s="794"/>
      <c r="F522" s="794"/>
      <c r="G522" s="794"/>
      <c r="H522" s="794"/>
      <c r="I522" s="794"/>
      <c r="J522" s="794"/>
      <c r="K522" s="794"/>
      <c r="L522" s="794"/>
      <c r="M522" s="794"/>
      <c r="N522" s="794"/>
      <c r="O522" s="794"/>
      <c r="P522" s="794"/>
      <c r="Q522" s="794"/>
      <c r="R522" s="794"/>
      <c r="S522" s="794"/>
      <c r="T522" s="794"/>
      <c r="U522" s="794"/>
      <c r="V522" s="794"/>
      <c r="W522" s="794"/>
      <c r="X522" s="794"/>
      <c r="Y522" s="794"/>
      <c r="Z522" s="794"/>
      <c r="AA522" s="794"/>
      <c r="AB522" s="794"/>
      <c r="AC522" s="794"/>
      <c r="AD522" s="794"/>
      <c r="AE522" s="794"/>
    </row>
    <row r="523" spans="1:39" ht="15" customHeight="1">
      <c r="B523"/>
      <c r="C523"/>
      <c r="D523"/>
      <c r="E523"/>
      <c r="F523"/>
      <c r="G523"/>
      <c r="H523"/>
      <c r="I523"/>
      <c r="J523"/>
      <c r="K523"/>
      <c r="L523"/>
      <c r="M523"/>
      <c r="N523"/>
      <c r="O523"/>
      <c r="P523"/>
      <c r="Q523"/>
      <c r="R523"/>
      <c r="S523"/>
      <c r="T523"/>
      <c r="U523"/>
      <c r="V523"/>
      <c r="W523"/>
      <c r="X523"/>
      <c r="Y523"/>
      <c r="Z523"/>
      <c r="AA523"/>
      <c r="AB523"/>
      <c r="AC523"/>
      <c r="AD523"/>
      <c r="AE523"/>
    </row>
    <row r="524" spans="1:39" ht="15" customHeight="1">
      <c r="B524"/>
      <c r="C524"/>
      <c r="D524"/>
      <c r="E524"/>
      <c r="F524"/>
      <c r="G524"/>
      <c r="H524"/>
      <c r="I524"/>
      <c r="J524"/>
      <c r="K524"/>
      <c r="L524"/>
      <c r="M524"/>
      <c r="N524"/>
      <c r="O524"/>
      <c r="P524"/>
      <c r="Q524"/>
      <c r="R524"/>
      <c r="S524"/>
      <c r="T524"/>
      <c r="U524"/>
      <c r="V524"/>
      <c r="W524"/>
      <c r="X524"/>
      <c r="Y524"/>
      <c r="Z524"/>
      <c r="AA524"/>
      <c r="AB524"/>
      <c r="AC524"/>
      <c r="AD524"/>
      <c r="AE524"/>
    </row>
  </sheetData>
  <sheetProtection algorithmName="SHA-512" hashValue="Y3j/knCj4bkTQVs0b2rY5Yfykm3Z6bn5VeWbJEYv3PWEXi1xg0MArnmRdg+g/u/rcM6824N7eFzvq8Nu6fZsOA==" saltValue="029of4YLmcIVUHjkIODE4g==" spinCount="100000" sheet="1" objects="1" scenarios="1"/>
  <mergeCells count="592">
    <mergeCell ref="AM513:AM514"/>
    <mergeCell ref="B519:AD519"/>
    <mergeCell ref="B520:AD520"/>
    <mergeCell ref="B521:AD521"/>
    <mergeCell ref="B522:AE522"/>
    <mergeCell ref="AH484:AH485"/>
    <mergeCell ref="B490:AD490"/>
    <mergeCell ref="B491:AD491"/>
    <mergeCell ref="AH498:AH499"/>
    <mergeCell ref="B504:AD504"/>
    <mergeCell ref="B505:AD505"/>
    <mergeCell ref="AK513:AK514"/>
    <mergeCell ref="AL513:AL514"/>
    <mergeCell ref="C517:AD517"/>
    <mergeCell ref="C518:AD518"/>
    <mergeCell ref="B496:AD496"/>
    <mergeCell ref="C497:AD497"/>
    <mergeCell ref="C498:AD498"/>
    <mergeCell ref="C502:AD502"/>
    <mergeCell ref="C503:AD503"/>
    <mergeCell ref="C511:AD511"/>
    <mergeCell ref="C513:L514"/>
    <mergeCell ref="M513:AD513"/>
    <mergeCell ref="M514:R514"/>
    <mergeCell ref="AZ450:BB450"/>
    <mergeCell ref="B451:AE451"/>
    <mergeCell ref="B454:AD454"/>
    <mergeCell ref="B455:AD455"/>
    <mergeCell ref="B456:AD456"/>
    <mergeCell ref="B457:AE457"/>
    <mergeCell ref="B458:AD458"/>
    <mergeCell ref="B459:AE459"/>
    <mergeCell ref="B477:AD477"/>
    <mergeCell ref="C462:AD462"/>
    <mergeCell ref="C463:AD463"/>
    <mergeCell ref="B464:AD464"/>
    <mergeCell ref="C465:AD465"/>
    <mergeCell ref="C468:AD468"/>
    <mergeCell ref="C469:AD469"/>
    <mergeCell ref="C470:AD470"/>
    <mergeCell ref="C472:H472"/>
    <mergeCell ref="I472:N472"/>
    <mergeCell ref="O472:AD472"/>
    <mergeCell ref="B467:AD467"/>
    <mergeCell ref="B460:AD460"/>
    <mergeCell ref="B461:AD461"/>
    <mergeCell ref="C453:AD453"/>
    <mergeCell ref="C452:AD452"/>
    <mergeCell ref="B416:AE416"/>
    <mergeCell ref="B419:AD419"/>
    <mergeCell ref="B432:AD432"/>
    <mergeCell ref="B433:AD433"/>
    <mergeCell ref="AK450:AM450"/>
    <mergeCell ref="AN450:AP450"/>
    <mergeCell ref="AQ450:AS450"/>
    <mergeCell ref="AT450:AV450"/>
    <mergeCell ref="AW450:AY450"/>
    <mergeCell ref="C448:F448"/>
    <mergeCell ref="G448:I448"/>
    <mergeCell ref="C442:AD442"/>
    <mergeCell ref="C444:F447"/>
    <mergeCell ref="G444:I447"/>
    <mergeCell ref="J444:AD444"/>
    <mergeCell ref="J445:J447"/>
    <mergeCell ref="K445:K447"/>
    <mergeCell ref="L445:L447"/>
    <mergeCell ref="M445:AD445"/>
    <mergeCell ref="M446:O446"/>
    <mergeCell ref="P446:R446"/>
    <mergeCell ref="S446:U446"/>
    <mergeCell ref="V446:X446"/>
    <mergeCell ref="Y446:AA446"/>
    <mergeCell ref="B323:AD323"/>
    <mergeCell ref="B324:AD324"/>
    <mergeCell ref="B325:AD325"/>
    <mergeCell ref="B351:AD351"/>
    <mergeCell ref="B352:AD352"/>
    <mergeCell ref="B353:AE353"/>
    <mergeCell ref="B354:AD354"/>
    <mergeCell ref="B355:AD355"/>
    <mergeCell ref="B364:AD364"/>
    <mergeCell ref="C347:H347"/>
    <mergeCell ref="I347:N347"/>
    <mergeCell ref="O347:AD347"/>
    <mergeCell ref="C349:AD349"/>
    <mergeCell ref="C350:AD350"/>
    <mergeCell ref="C343:AD343"/>
    <mergeCell ref="C344:AD344"/>
    <mergeCell ref="C346:H346"/>
    <mergeCell ref="I346:N346"/>
    <mergeCell ref="O346:AD346"/>
    <mergeCell ref="C337:AD337"/>
    <mergeCell ref="C338:AD338"/>
    <mergeCell ref="C339:AD339"/>
    <mergeCell ref="B341:AD341"/>
    <mergeCell ref="C342:AD342"/>
    <mergeCell ref="B267:AE267"/>
    <mergeCell ref="B270:AD270"/>
    <mergeCell ref="B271:AD271"/>
    <mergeCell ref="B272:AD272"/>
    <mergeCell ref="B273:AE273"/>
    <mergeCell ref="B274:AD274"/>
    <mergeCell ref="B293:AD293"/>
    <mergeCell ref="B294:AD294"/>
    <mergeCell ref="B295:AE295"/>
    <mergeCell ref="D284:R284"/>
    <mergeCell ref="S284:X284"/>
    <mergeCell ref="Y284:AD284"/>
    <mergeCell ref="D285:R285"/>
    <mergeCell ref="S285:X285"/>
    <mergeCell ref="Y285:AD285"/>
    <mergeCell ref="D286:R286"/>
    <mergeCell ref="S286:X286"/>
    <mergeCell ref="Y286:AD286"/>
    <mergeCell ref="S280:X280"/>
    <mergeCell ref="Y280:AD280"/>
    <mergeCell ref="D281:R281"/>
    <mergeCell ref="S281:X281"/>
    <mergeCell ref="Y281:AD281"/>
    <mergeCell ref="D282:R282"/>
    <mergeCell ref="B208:AD208"/>
    <mergeCell ref="B221:AD221"/>
    <mergeCell ref="B222:AD222"/>
    <mergeCell ref="B246:AD246"/>
    <mergeCell ref="B247:AD247"/>
    <mergeCell ref="B248:AD248"/>
    <mergeCell ref="AK255:AK258"/>
    <mergeCell ref="AL257:AN257"/>
    <mergeCell ref="AP257:AR257"/>
    <mergeCell ref="C255:AD255"/>
    <mergeCell ref="C257:L258"/>
    <mergeCell ref="M257:AD257"/>
    <mergeCell ref="M258:R258"/>
    <mergeCell ref="S258:X258"/>
    <mergeCell ref="Y258:AD258"/>
    <mergeCell ref="M242:R242"/>
    <mergeCell ref="S234:X234"/>
    <mergeCell ref="Y234:AD234"/>
    <mergeCell ref="D235:L235"/>
    <mergeCell ref="M235:R235"/>
    <mergeCell ref="S235:X235"/>
    <mergeCell ref="Y235:AD235"/>
    <mergeCell ref="D232:L232"/>
    <mergeCell ref="M232:R232"/>
    <mergeCell ref="B168:AD168"/>
    <mergeCell ref="B169:AD169"/>
    <mergeCell ref="B170:AD170"/>
    <mergeCell ref="B194:AD194"/>
    <mergeCell ref="B195:AD195"/>
    <mergeCell ref="B196:AE196"/>
    <mergeCell ref="B197:AD197"/>
    <mergeCell ref="B198:AD198"/>
    <mergeCell ref="B207:AD207"/>
    <mergeCell ref="D181:AD181"/>
    <mergeCell ref="D182:AD182"/>
    <mergeCell ref="C183:AD183"/>
    <mergeCell ref="B200:AD200"/>
    <mergeCell ref="C201:AD201"/>
    <mergeCell ref="C205:AD205"/>
    <mergeCell ref="C206:AD206"/>
    <mergeCell ref="C190:H190"/>
    <mergeCell ref="I190:N190"/>
    <mergeCell ref="O190:AD190"/>
    <mergeCell ref="C192:AD192"/>
    <mergeCell ref="C193:AD193"/>
    <mergeCell ref="B75:AD75"/>
    <mergeCell ref="B76:AD76"/>
    <mergeCell ref="B104:AD104"/>
    <mergeCell ref="B129:AD129"/>
    <mergeCell ref="B130:AD130"/>
    <mergeCell ref="B131:AE131"/>
    <mergeCell ref="B132:AD132"/>
    <mergeCell ref="B133:AD133"/>
    <mergeCell ref="C113:AD113"/>
    <mergeCell ref="C115:AD115"/>
    <mergeCell ref="B117:AD117"/>
    <mergeCell ref="C118:AD118"/>
    <mergeCell ref="C121:AD121"/>
    <mergeCell ref="C122:AD122"/>
    <mergeCell ref="C124:H124"/>
    <mergeCell ref="I124:N124"/>
    <mergeCell ref="C125:H125"/>
    <mergeCell ref="I125:N125"/>
    <mergeCell ref="C127:AD127"/>
    <mergeCell ref="C128:AD128"/>
    <mergeCell ref="C385:AD385"/>
    <mergeCell ref="C426:AD426"/>
    <mergeCell ref="Y289:AD289"/>
    <mergeCell ref="C291:AD291"/>
    <mergeCell ref="C292:AD292"/>
    <mergeCell ref="D287:R287"/>
    <mergeCell ref="S287:X287"/>
    <mergeCell ref="Y287:AD287"/>
    <mergeCell ref="D288:R288"/>
    <mergeCell ref="S288:X288"/>
    <mergeCell ref="Y288:AD288"/>
    <mergeCell ref="C332:AD332"/>
    <mergeCell ref="C415:G415"/>
    <mergeCell ref="H415:AD415"/>
    <mergeCell ref="D413:R413"/>
    <mergeCell ref="S413:X413"/>
    <mergeCell ref="Y413:AD413"/>
    <mergeCell ref="D411:R411"/>
    <mergeCell ref="S411:X411"/>
    <mergeCell ref="Y411:AD411"/>
    <mergeCell ref="D412:R412"/>
    <mergeCell ref="S412:X412"/>
    <mergeCell ref="Y412:AD412"/>
    <mergeCell ref="D409:R409"/>
    <mergeCell ref="S282:X282"/>
    <mergeCell ref="Y282:AD282"/>
    <mergeCell ref="D283:R283"/>
    <mergeCell ref="S283:X283"/>
    <mergeCell ref="Y283:AD283"/>
    <mergeCell ref="C21:AD21"/>
    <mergeCell ref="C119:AD119"/>
    <mergeCell ref="B80:AD80"/>
    <mergeCell ref="C81:AD81"/>
    <mergeCell ref="C82:AD82"/>
    <mergeCell ref="D86:AD86"/>
    <mergeCell ref="D87:AD87"/>
    <mergeCell ref="D261:L261"/>
    <mergeCell ref="M261:R261"/>
    <mergeCell ref="S261:X261"/>
    <mergeCell ref="Y261:AD261"/>
    <mergeCell ref="C120:AD120"/>
    <mergeCell ref="O124:T124"/>
    <mergeCell ref="U124:AD124"/>
    <mergeCell ref="O125:T125"/>
    <mergeCell ref="U125:AD125"/>
    <mergeCell ref="Y260:AD260"/>
    <mergeCell ref="B252:AD252"/>
    <mergeCell ref="C254:AD254"/>
    <mergeCell ref="S514:X514"/>
    <mergeCell ref="Y514:AD514"/>
    <mergeCell ref="C515:L515"/>
    <mergeCell ref="M515:R515"/>
    <mergeCell ref="S515:X515"/>
    <mergeCell ref="Y515:AD515"/>
    <mergeCell ref="C473:H473"/>
    <mergeCell ref="I473:N473"/>
    <mergeCell ref="O473:AD473"/>
    <mergeCell ref="C475:AD475"/>
    <mergeCell ref="C476:AD476"/>
    <mergeCell ref="B483:AD483"/>
    <mergeCell ref="C484:AD484"/>
    <mergeCell ref="C488:AD488"/>
    <mergeCell ref="C489:AD489"/>
    <mergeCell ref="B478:AD478"/>
    <mergeCell ref="B479:AE479"/>
    <mergeCell ref="B480:AD480"/>
    <mergeCell ref="B481:AD481"/>
    <mergeCell ref="AB446:AD446"/>
    <mergeCell ref="C431:AD431"/>
    <mergeCell ref="B438:AD438"/>
    <mergeCell ref="C439:AD439"/>
    <mergeCell ref="C440:AD440"/>
    <mergeCell ref="C441:AD441"/>
    <mergeCell ref="C417:AD417"/>
    <mergeCell ref="C418:AD418"/>
    <mergeCell ref="B425:AD425"/>
    <mergeCell ref="C428:F428"/>
    <mergeCell ref="C430:AD430"/>
    <mergeCell ref="S409:X409"/>
    <mergeCell ref="Y409:AD409"/>
    <mergeCell ref="D407:R407"/>
    <mergeCell ref="S407:X407"/>
    <mergeCell ref="Y407:AD407"/>
    <mergeCell ref="D408:R408"/>
    <mergeCell ref="S408:X408"/>
    <mergeCell ref="Y408:AD408"/>
    <mergeCell ref="C403:AD403"/>
    <mergeCell ref="C405:R405"/>
    <mergeCell ref="S405:X405"/>
    <mergeCell ref="Y405:AD405"/>
    <mergeCell ref="D406:R406"/>
    <mergeCell ref="S406:X406"/>
    <mergeCell ref="Y406:AD406"/>
    <mergeCell ref="C392:AD392"/>
    <mergeCell ref="C393:AD393"/>
    <mergeCell ref="B400:AD400"/>
    <mergeCell ref="C402:AD402"/>
    <mergeCell ref="C401:AD401"/>
    <mergeCell ref="B394:AD394"/>
    <mergeCell ref="B395:AD395"/>
    <mergeCell ref="C386:AD386"/>
    <mergeCell ref="C387:AD387"/>
    <mergeCell ref="C389:P389"/>
    <mergeCell ref="Q389:AD389"/>
    <mergeCell ref="C390:P390"/>
    <mergeCell ref="Q390:AD390"/>
    <mergeCell ref="C371:AD371"/>
    <mergeCell ref="C372:AD372"/>
    <mergeCell ref="C376:AD376"/>
    <mergeCell ref="C377:AD377"/>
    <mergeCell ref="B384:AD384"/>
    <mergeCell ref="B378:AD378"/>
    <mergeCell ref="B379:AD379"/>
    <mergeCell ref="B357:AD357"/>
    <mergeCell ref="C358:AD358"/>
    <mergeCell ref="C362:AD362"/>
    <mergeCell ref="C363:AD363"/>
    <mergeCell ref="B370:AD370"/>
    <mergeCell ref="B365:AD365"/>
    <mergeCell ref="B333:AD333"/>
    <mergeCell ref="C334:AD334"/>
    <mergeCell ref="C335:AD335"/>
    <mergeCell ref="C336:AD336"/>
    <mergeCell ref="C331:AD331"/>
    <mergeCell ref="B329:AD329"/>
    <mergeCell ref="B330:AD330"/>
    <mergeCell ref="D90:AD90"/>
    <mergeCell ref="D94:AD94"/>
    <mergeCell ref="M99:AD99"/>
    <mergeCell ref="C102:AD102"/>
    <mergeCell ref="C103:AD103"/>
    <mergeCell ref="C322:AD322"/>
    <mergeCell ref="D262:L262"/>
    <mergeCell ref="M262:R262"/>
    <mergeCell ref="S262:X262"/>
    <mergeCell ref="Y262:AD262"/>
    <mergeCell ref="D259:L259"/>
    <mergeCell ref="M259:R259"/>
    <mergeCell ref="S259:X259"/>
    <mergeCell ref="Y259:AD259"/>
    <mergeCell ref="D260:L260"/>
    <mergeCell ref="M260:R260"/>
    <mergeCell ref="S260:X260"/>
    <mergeCell ref="D66:L66"/>
    <mergeCell ref="M66:R66"/>
    <mergeCell ref="S66:X66"/>
    <mergeCell ref="Y66:AD66"/>
    <mergeCell ref="D67:L67"/>
    <mergeCell ref="M67:R67"/>
    <mergeCell ref="S67:X67"/>
    <mergeCell ref="Y67:AD67"/>
    <mergeCell ref="D180:AD180"/>
    <mergeCell ref="B114:AD114"/>
    <mergeCell ref="M70:R70"/>
    <mergeCell ref="S70:X70"/>
    <mergeCell ref="Y70:AD70"/>
    <mergeCell ref="C72:AD72"/>
    <mergeCell ref="C73:AD73"/>
    <mergeCell ref="D68:L68"/>
    <mergeCell ref="M68:R68"/>
    <mergeCell ref="S68:X68"/>
    <mergeCell ref="Y68:AD68"/>
    <mergeCell ref="D69:L69"/>
    <mergeCell ref="M69:R69"/>
    <mergeCell ref="S69:X69"/>
    <mergeCell ref="Y69:AD69"/>
    <mergeCell ref="B74:AD74"/>
    <mergeCell ref="D64:L64"/>
    <mergeCell ref="M64:R64"/>
    <mergeCell ref="S64:X64"/>
    <mergeCell ref="Y64:AD64"/>
    <mergeCell ref="D65:L65"/>
    <mergeCell ref="M65:R65"/>
    <mergeCell ref="S65:X65"/>
    <mergeCell ref="Y65:AD65"/>
    <mergeCell ref="D62:L62"/>
    <mergeCell ref="M62:R62"/>
    <mergeCell ref="S62:X62"/>
    <mergeCell ref="Y62:AD62"/>
    <mergeCell ref="D63:L63"/>
    <mergeCell ref="M63:R63"/>
    <mergeCell ref="S63:X63"/>
    <mergeCell ref="Y63:AD63"/>
    <mergeCell ref="D60:L60"/>
    <mergeCell ref="M60:R60"/>
    <mergeCell ref="S60:X60"/>
    <mergeCell ref="Y60:AD60"/>
    <mergeCell ref="D61:L61"/>
    <mergeCell ref="M61:R61"/>
    <mergeCell ref="S61:X61"/>
    <mergeCell ref="Y61:AD61"/>
    <mergeCell ref="C58:L59"/>
    <mergeCell ref="M58:AD58"/>
    <mergeCell ref="M59:R59"/>
    <mergeCell ref="S59:X59"/>
    <mergeCell ref="Y59:AD59"/>
    <mergeCell ref="C34:AD34"/>
    <mergeCell ref="B41:AD41"/>
    <mergeCell ref="C42:AD42"/>
    <mergeCell ref="C43:AD43"/>
    <mergeCell ref="C47:AD47"/>
    <mergeCell ref="B35:AD35"/>
    <mergeCell ref="B36:AD36"/>
    <mergeCell ref="B37:AE37"/>
    <mergeCell ref="B38:AD38"/>
    <mergeCell ref="B39:AD39"/>
    <mergeCell ref="B49:AD49"/>
    <mergeCell ref="B50:AD50"/>
    <mergeCell ref="D319:AD319"/>
    <mergeCell ref="C321:AD321"/>
    <mergeCell ref="Q306:AD306"/>
    <mergeCell ref="C307:P307"/>
    <mergeCell ref="Q307:AD307"/>
    <mergeCell ref="B299:AD299"/>
    <mergeCell ref="C300:AD300"/>
    <mergeCell ref="C301:AD301"/>
    <mergeCell ref="C302:AD302"/>
    <mergeCell ref="D314:AD314"/>
    <mergeCell ref="D315:AD315"/>
    <mergeCell ref="D316:AD316"/>
    <mergeCell ref="D317:AD317"/>
    <mergeCell ref="D318:AD318"/>
    <mergeCell ref="C309:AD309"/>
    <mergeCell ref="D310:AD310"/>
    <mergeCell ref="D311:AD311"/>
    <mergeCell ref="D312:AD312"/>
    <mergeCell ref="D313:AD313"/>
    <mergeCell ref="C306:P306"/>
    <mergeCell ref="C304:AD304"/>
    <mergeCell ref="C303:AD303"/>
    <mergeCell ref="B10:AD10"/>
    <mergeCell ref="C11:AD11"/>
    <mergeCell ref="C12:AD12"/>
    <mergeCell ref="C13:AD13"/>
    <mergeCell ref="C14:AD14"/>
    <mergeCell ref="C15:AD15"/>
    <mergeCell ref="C16:AD16"/>
    <mergeCell ref="C17:AD17"/>
    <mergeCell ref="B19:AD19"/>
    <mergeCell ref="B20:AD20"/>
    <mergeCell ref="C33:AD33"/>
    <mergeCell ref="F266:AD266"/>
    <mergeCell ref="C268:AD268"/>
    <mergeCell ref="C269:AD269"/>
    <mergeCell ref="D263:L263"/>
    <mergeCell ref="M263:R263"/>
    <mergeCell ref="S263:X263"/>
    <mergeCell ref="Y263:AD263"/>
    <mergeCell ref="M264:R264"/>
    <mergeCell ref="S264:X264"/>
    <mergeCell ref="Y264:AD264"/>
    <mergeCell ref="C266:E266"/>
    <mergeCell ref="Y241:AD241"/>
    <mergeCell ref="D236:L236"/>
    <mergeCell ref="M236:R236"/>
    <mergeCell ref="S236:X236"/>
    <mergeCell ref="Y236:AD236"/>
    <mergeCell ref="D237:L237"/>
    <mergeCell ref="M237:R237"/>
    <mergeCell ref="S237:X237"/>
    <mergeCell ref="Y237:AD237"/>
    <mergeCell ref="D234:L234"/>
    <mergeCell ref="M234:R234"/>
    <mergeCell ref="B276:AD276"/>
    <mergeCell ref="C277:AD277"/>
    <mergeCell ref="C278:AD278"/>
    <mergeCell ref="C280:R280"/>
    <mergeCell ref="C253:AD253"/>
    <mergeCell ref="D238:L238"/>
    <mergeCell ref="M238:R238"/>
    <mergeCell ref="S238:X238"/>
    <mergeCell ref="Y238:AD238"/>
    <mergeCell ref="D239:L239"/>
    <mergeCell ref="M239:R239"/>
    <mergeCell ref="S239:X239"/>
    <mergeCell ref="Y239:AD239"/>
    <mergeCell ref="S242:X242"/>
    <mergeCell ref="Y242:AD242"/>
    <mergeCell ref="C244:AD244"/>
    <mergeCell ref="C245:AD245"/>
    <mergeCell ref="D240:L240"/>
    <mergeCell ref="M240:R240"/>
    <mergeCell ref="S240:X240"/>
    <mergeCell ref="Y240:AD240"/>
    <mergeCell ref="D241:L241"/>
    <mergeCell ref="M241:R241"/>
    <mergeCell ref="S241:X241"/>
    <mergeCell ref="D233:L233"/>
    <mergeCell ref="M233:R233"/>
    <mergeCell ref="S233:X233"/>
    <mergeCell ref="Y233:AD233"/>
    <mergeCell ref="B213:AD213"/>
    <mergeCell ref="C228:AD228"/>
    <mergeCell ref="C230:L231"/>
    <mergeCell ref="M230:AD230"/>
    <mergeCell ref="M231:R231"/>
    <mergeCell ref="S231:X231"/>
    <mergeCell ref="Y231:AD231"/>
    <mergeCell ref="C214:AD214"/>
    <mergeCell ref="C215:AD215"/>
    <mergeCell ref="C219:AD219"/>
    <mergeCell ref="C220:AD220"/>
    <mergeCell ref="B227:AD227"/>
    <mergeCell ref="S232:X232"/>
    <mergeCell ref="Y232:AD232"/>
    <mergeCell ref="B1:AD1"/>
    <mergeCell ref="B3:AD3"/>
    <mergeCell ref="B5:AD5"/>
    <mergeCell ref="AA7:AD7"/>
    <mergeCell ref="B8:L8"/>
    <mergeCell ref="N8:O8"/>
    <mergeCell ref="B110:AD110"/>
    <mergeCell ref="B111:AD111"/>
    <mergeCell ref="C112:AD112"/>
    <mergeCell ref="C28:AD28"/>
    <mergeCell ref="C30:H30"/>
    <mergeCell ref="I30:N30"/>
    <mergeCell ref="O30:AD30"/>
    <mergeCell ref="C31:H31"/>
    <mergeCell ref="I31:N31"/>
    <mergeCell ref="O31:AD31"/>
    <mergeCell ref="C22:AD22"/>
    <mergeCell ref="C23:AD23"/>
    <mergeCell ref="B25:AD25"/>
    <mergeCell ref="C26:AD26"/>
    <mergeCell ref="C27:AD27"/>
    <mergeCell ref="C48:AD48"/>
    <mergeCell ref="B55:AD55"/>
    <mergeCell ref="C56:AD56"/>
    <mergeCell ref="B135:AD135"/>
    <mergeCell ref="C136:AD136"/>
    <mergeCell ref="C137:AD137"/>
    <mergeCell ref="C141:AD141"/>
    <mergeCell ref="C142:AD142"/>
    <mergeCell ref="B149:AD149"/>
    <mergeCell ref="C150:AD150"/>
    <mergeCell ref="B143:AD143"/>
    <mergeCell ref="B144:AD144"/>
    <mergeCell ref="C152:L153"/>
    <mergeCell ref="M152:AD152"/>
    <mergeCell ref="M153:R153"/>
    <mergeCell ref="S153:X153"/>
    <mergeCell ref="Y153:AD153"/>
    <mergeCell ref="D154:L154"/>
    <mergeCell ref="M154:R154"/>
    <mergeCell ref="S154:X154"/>
    <mergeCell ref="Y154:AD154"/>
    <mergeCell ref="D155:L155"/>
    <mergeCell ref="M155:R155"/>
    <mergeCell ref="S155:X155"/>
    <mergeCell ref="Y155:AD155"/>
    <mergeCell ref="D156:L156"/>
    <mergeCell ref="M156:R156"/>
    <mergeCell ref="S156:X156"/>
    <mergeCell ref="Y156:AD156"/>
    <mergeCell ref="D157:L157"/>
    <mergeCell ref="M157:R157"/>
    <mergeCell ref="S157:X157"/>
    <mergeCell ref="Y157:AD157"/>
    <mergeCell ref="D158:L158"/>
    <mergeCell ref="M158:R158"/>
    <mergeCell ref="S158:X158"/>
    <mergeCell ref="Y158:AD158"/>
    <mergeCell ref="D159:L159"/>
    <mergeCell ref="M159:R159"/>
    <mergeCell ref="S159:X159"/>
    <mergeCell ref="Y159:AD159"/>
    <mergeCell ref="D160:L160"/>
    <mergeCell ref="M160:R160"/>
    <mergeCell ref="S160:X160"/>
    <mergeCell ref="Y160:AD160"/>
    <mergeCell ref="D161:L161"/>
    <mergeCell ref="M161:R161"/>
    <mergeCell ref="S161:X161"/>
    <mergeCell ref="Y161:AD161"/>
    <mergeCell ref="D162:L162"/>
    <mergeCell ref="M162:R162"/>
    <mergeCell ref="S162:X162"/>
    <mergeCell ref="Y162:AD162"/>
    <mergeCell ref="D163:L163"/>
    <mergeCell ref="M163:R163"/>
    <mergeCell ref="S163:X163"/>
    <mergeCell ref="Y163:AD163"/>
    <mergeCell ref="D410:R410"/>
    <mergeCell ref="S410:X410"/>
    <mergeCell ref="Y410:AD410"/>
    <mergeCell ref="C450:E450"/>
    <mergeCell ref="F450:AD450"/>
    <mergeCell ref="B510:AD510"/>
    <mergeCell ref="M164:R164"/>
    <mergeCell ref="S164:X164"/>
    <mergeCell ref="Y164:AD164"/>
    <mergeCell ref="C166:AD166"/>
    <mergeCell ref="C167:AD167"/>
    <mergeCell ref="B174:AD174"/>
    <mergeCell ref="B175:AD175"/>
    <mergeCell ref="C176:AD176"/>
    <mergeCell ref="C177:AD177"/>
    <mergeCell ref="B178:AD178"/>
    <mergeCell ref="B184:AD184"/>
    <mergeCell ref="C185:AD185"/>
    <mergeCell ref="C186:AD186"/>
    <mergeCell ref="C187:AD187"/>
    <mergeCell ref="C189:H189"/>
    <mergeCell ref="I189:N189"/>
    <mergeCell ref="O189:AD189"/>
    <mergeCell ref="C179:AD179"/>
  </mergeCells>
  <conditionalFormatting sqref="C45">
    <cfRule type="expression" dxfId="829" priority="151">
      <formula>$T$45="X"</formula>
    </cfRule>
    <cfRule type="expression" dxfId="828" priority="153">
      <formula>$L$45="X"</formula>
    </cfRule>
    <cfRule type="expression" dxfId="827" priority="160">
      <formula>AND($C$31&lt;&gt;"",$C$31&lt;&gt;1)</formula>
    </cfRule>
  </conditionalFormatting>
  <conditionalFormatting sqref="C84:C99">
    <cfRule type="expression" dxfId="826" priority="148">
      <formula>$C$100="X"</formula>
    </cfRule>
  </conditionalFormatting>
  <conditionalFormatting sqref="C84:C100">
    <cfRule type="expression" dxfId="825" priority="156">
      <formula>AND($C$31&lt;&gt;"",$C$31&lt;&gt;1)</formula>
    </cfRule>
  </conditionalFormatting>
  <conditionalFormatting sqref="C139">
    <cfRule type="expression" dxfId="824" priority="135">
      <formula>AND($C$125&lt;&gt;"",$C$125&lt;&gt;1)</formula>
    </cfRule>
    <cfRule type="expression" dxfId="823" priority="127">
      <formula>$T$139="X"</formula>
    </cfRule>
    <cfRule type="expression" dxfId="822" priority="129">
      <formula>$L$139="X"</formula>
    </cfRule>
  </conditionalFormatting>
  <conditionalFormatting sqref="C203">
    <cfRule type="expression" dxfId="821" priority="106">
      <formula>$I$203="X"</formula>
    </cfRule>
    <cfRule type="expression" dxfId="820" priority="104">
      <formula>$T$203="X"</formula>
    </cfRule>
    <cfRule type="expression" dxfId="819" priority="119">
      <formula>AND($C$190&lt;&gt;"",$C$190&lt;&gt;1)</formula>
    </cfRule>
  </conditionalFormatting>
  <conditionalFormatting sqref="C217">
    <cfRule type="expression" dxfId="818" priority="100">
      <formula>$L$217="X"</formula>
    </cfRule>
    <cfRule type="expression" dxfId="817" priority="98">
      <formula>$T$217="X"</formula>
    </cfRule>
    <cfRule type="expression" dxfId="816" priority="116">
      <formula>AND($C$190&lt;&gt;"",$C$190&lt;&gt;1)</formula>
    </cfRule>
  </conditionalFormatting>
  <conditionalFormatting sqref="C360">
    <cfRule type="expression" dxfId="815" priority="64">
      <formula>$T$360="X"</formula>
    </cfRule>
    <cfRule type="expression" dxfId="814" priority="78">
      <formula>AND($C$347&lt;&gt;"",$C$347&lt;&gt;1)</formula>
    </cfRule>
    <cfRule type="expression" dxfId="813" priority="66">
      <formula>$I$360="X"</formula>
    </cfRule>
  </conditionalFormatting>
  <conditionalFormatting sqref="C374">
    <cfRule type="expression" dxfId="812" priority="59">
      <formula>$I$374="X"</formula>
    </cfRule>
    <cfRule type="expression" dxfId="811" priority="75">
      <formula>AND($C$347&lt;&gt;"",$C$347&lt;&gt;1)</formula>
    </cfRule>
    <cfRule type="expression" dxfId="810" priority="57">
      <formula>$T$374="X"</formula>
    </cfRule>
  </conditionalFormatting>
  <conditionalFormatting sqref="C486">
    <cfRule type="expression" dxfId="809" priority="22">
      <formula>$T$486="X"</formula>
    </cfRule>
    <cfRule type="expression" dxfId="808" priority="20">
      <formula>AND($C$473&lt;&gt;"",$C$473&lt;&gt;1)</formula>
    </cfRule>
    <cfRule type="expression" dxfId="807" priority="24">
      <formula>$I$486="X"</formula>
    </cfRule>
  </conditionalFormatting>
  <conditionalFormatting sqref="C500">
    <cfRule type="expression" dxfId="806" priority="9">
      <formula>$T$500="X"</formula>
    </cfRule>
    <cfRule type="expression" dxfId="805" priority="11">
      <formula>$I$500="X"</formula>
    </cfRule>
    <cfRule type="expression" dxfId="804" priority="17">
      <formula>AND($C$473&lt;&gt;"",$C$473&lt;&gt;1)</formula>
    </cfRule>
  </conditionalFormatting>
  <conditionalFormatting sqref="C428:F428">
    <cfRule type="expression" dxfId="803" priority="70">
      <formula>AND($C$347&lt;&gt;"",$C$347&lt;&gt;1)</formula>
    </cfRule>
    <cfRule type="expression" dxfId="802" priority="41">
      <formula>$C$374="X"</formula>
    </cfRule>
  </conditionalFormatting>
  <conditionalFormatting sqref="C23:AD23">
    <cfRule type="expression" dxfId="801" priority="144">
      <formula>OR($AH$45&gt;0,$AK$60&gt;0,$AH$85&gt;0)</formula>
    </cfRule>
  </conditionalFormatting>
  <conditionalFormatting sqref="C26:AD26">
    <cfRule type="expression" dxfId="800" priority="163">
      <formula>$AO$31&gt;0</formula>
    </cfRule>
  </conditionalFormatting>
  <conditionalFormatting sqref="C27:AD27">
    <cfRule type="expression" dxfId="799" priority="162">
      <formula>$AM$32&gt;0</formula>
    </cfRule>
  </conditionalFormatting>
  <conditionalFormatting sqref="C28:AD28">
    <cfRule type="expression" dxfId="798" priority="161">
      <formula>AND(OR($C$31=3,$C$31=9),$C$34="")</formula>
    </cfRule>
  </conditionalFormatting>
  <conditionalFormatting sqref="C42:AD42">
    <cfRule type="expression" dxfId="797" priority="149">
      <formula>$AG$45&gt;0</formula>
    </cfRule>
  </conditionalFormatting>
  <conditionalFormatting sqref="C82:AD82">
    <cfRule type="expression" dxfId="796" priority="145">
      <formula>$AI$85&gt;0</formula>
    </cfRule>
  </conditionalFormatting>
  <conditionalFormatting sqref="C113:AD113">
    <cfRule type="expression" dxfId="795" priority="122">
      <formula>OR($AH$139&gt;0,$AK$154&gt;0)</formula>
    </cfRule>
  </conditionalFormatting>
  <conditionalFormatting sqref="C118:AD118">
    <cfRule type="expression" dxfId="794" priority="140">
      <formula>$AO$125&gt;0</formula>
    </cfRule>
  </conditionalFormatting>
  <conditionalFormatting sqref="C119:AD119">
    <cfRule type="expression" dxfId="793" priority="139">
      <formula>$AP$125&gt;0</formula>
    </cfRule>
  </conditionalFormatting>
  <conditionalFormatting sqref="C120:AD120">
    <cfRule type="expression" dxfId="792" priority="138">
      <formula>$AQ$125&gt;0</formula>
    </cfRule>
  </conditionalFormatting>
  <conditionalFormatting sqref="C121:AD121">
    <cfRule type="expression" dxfId="791" priority="137">
      <formula>$AM$126&gt;0</formula>
    </cfRule>
  </conditionalFormatting>
  <conditionalFormatting sqref="C122:AD122">
    <cfRule type="expression" dxfId="790" priority="136">
      <formula>AND(OR($C$125=3,$C$125=9),$C$128="")</formula>
    </cfRule>
  </conditionalFormatting>
  <conditionalFormatting sqref="C136:AD136">
    <cfRule type="expression" dxfId="789" priority="125">
      <formula>$AG$139&gt;0</formula>
    </cfRule>
  </conditionalFormatting>
  <conditionalFormatting sqref="C177:AD177">
    <cfRule type="expression" dxfId="788" priority="83">
      <formula>OR($AH$203&gt;0,$AH$217&gt;0,$AK$232&gt;0,$AS$259&gt;0,$AJ$289&gt;0,$AJ$307&gt;0)</formula>
    </cfRule>
  </conditionalFormatting>
  <conditionalFormatting sqref="C253:AD253">
    <cfRule type="expression" dxfId="787" priority="92">
      <formula>$AN$260&gt;0</formula>
    </cfRule>
  </conditionalFormatting>
  <conditionalFormatting sqref="C254:AD254">
    <cfRule type="expression" dxfId="786" priority="91">
      <formula>AND($AR$265&gt;0,$C$269="")</formula>
    </cfRule>
  </conditionalFormatting>
  <conditionalFormatting sqref="C255:AD255">
    <cfRule type="expression" dxfId="785" priority="90">
      <formula>AND(AK259&gt;0,F266="")</formula>
    </cfRule>
  </conditionalFormatting>
  <conditionalFormatting sqref="C278:AD278">
    <cfRule type="expression" dxfId="784" priority="88">
      <formula>$AI$289&gt;0</formula>
    </cfRule>
  </conditionalFormatting>
  <conditionalFormatting sqref="C300:AD300">
    <cfRule type="expression" dxfId="783" priority="85">
      <formula>$AI$307&gt;0</formula>
    </cfRule>
  </conditionalFormatting>
  <conditionalFormatting sqref="C304:AD304">
    <cfRule type="expression" dxfId="782" priority="84">
      <formula>$AL$320&gt;0</formula>
    </cfRule>
  </conditionalFormatting>
  <conditionalFormatting sqref="C307:AD307">
    <cfRule type="expression" dxfId="781" priority="110">
      <formula>AND($C$190&lt;&gt;"",$C$190&lt;&gt;1)</formula>
    </cfRule>
  </conditionalFormatting>
  <conditionalFormatting sqref="C332:AD332">
    <cfRule type="expression" dxfId="780" priority="31">
      <formula>OR($AH$360&gt;0,$AH$374&gt;0,$AJ$390&gt;0,$AJ$414&gt;0,$AH$428&gt;0,$BC$451&gt;0)</formula>
    </cfRule>
  </conditionalFormatting>
  <conditionalFormatting sqref="C342:AD342">
    <cfRule type="expression" dxfId="779" priority="82">
      <formula>$AO$347&gt;0</formula>
    </cfRule>
  </conditionalFormatting>
  <conditionalFormatting sqref="C343:AD343">
    <cfRule type="expression" dxfId="778" priority="81">
      <formula>$AM$348&gt;0</formula>
    </cfRule>
  </conditionalFormatting>
  <conditionalFormatting sqref="C344:AD344">
    <cfRule type="expression" dxfId="777" priority="80">
      <formula>AND(OR($C$347=3,$C$347=9),$C$350="")</formula>
    </cfRule>
  </conditionalFormatting>
  <conditionalFormatting sqref="C358:AD358">
    <cfRule type="expression" dxfId="776" priority="62">
      <formula>$AG$360&gt;0</formula>
    </cfRule>
  </conditionalFormatting>
  <conditionalFormatting sqref="C371:AD371">
    <cfRule type="expression" dxfId="775" priority="55">
      <formula>$AG$374&gt;0</formula>
    </cfRule>
  </conditionalFormatting>
  <conditionalFormatting sqref="C385:AD385">
    <cfRule type="expression" dxfId="774" priority="52">
      <formula>$AK$390&gt;0</formula>
    </cfRule>
  </conditionalFormatting>
  <conditionalFormatting sqref="C386:AD386">
    <cfRule type="expression" dxfId="773" priority="51">
      <formula>$AI$390&gt;0</formula>
    </cfRule>
  </conditionalFormatting>
  <conditionalFormatting sqref="C390:AD390">
    <cfRule type="expression" dxfId="772" priority="53">
      <formula>$C$374="X"</formula>
    </cfRule>
    <cfRule type="expression" dxfId="771" priority="72">
      <formula>AND($C$347&lt;&gt;"",$C$347&lt;&gt;1)</formula>
    </cfRule>
  </conditionalFormatting>
  <conditionalFormatting sqref="C401:AD401">
    <cfRule type="expression" dxfId="770" priority="47">
      <formula>$AI$406&gt;0</formula>
    </cfRule>
  </conditionalFormatting>
  <conditionalFormatting sqref="C402:AD402">
    <cfRule type="expression" dxfId="769" priority="46">
      <formula>$AH$414&gt;0</formula>
    </cfRule>
  </conditionalFormatting>
  <conditionalFormatting sqref="C403:AD403">
    <cfRule type="expression" dxfId="768" priority="43">
      <formula>AND(AK406&gt;0,H415="")</formula>
    </cfRule>
  </conditionalFormatting>
  <conditionalFormatting sqref="C426:AD426">
    <cfRule type="expression" dxfId="767" priority="40">
      <formula>$AI$428&gt;0</formula>
    </cfRule>
  </conditionalFormatting>
  <conditionalFormatting sqref="C439:AD439">
    <cfRule type="expression" dxfId="766" priority="35">
      <formula>$AJ$451&gt;0</formula>
    </cfRule>
  </conditionalFormatting>
  <conditionalFormatting sqref="C440:AD440">
    <cfRule type="expression" dxfId="765" priority="34">
      <formula>$AI$452&gt;0</formula>
    </cfRule>
  </conditionalFormatting>
  <conditionalFormatting sqref="C441:AD441">
    <cfRule type="expression" dxfId="764" priority="33">
      <formula>AND($BB$453&gt;0,$C$453="")</formula>
    </cfRule>
  </conditionalFormatting>
  <conditionalFormatting sqref="C442:AD442">
    <cfRule type="expression" dxfId="763" priority="32">
      <formula>AND(BD451&gt;0,F450="")</formula>
    </cfRule>
  </conditionalFormatting>
  <conditionalFormatting sqref="C448:AD448">
    <cfRule type="expression" dxfId="762" priority="69">
      <formula>AND($C$347&lt;&gt;"",$C$347&lt;&gt;1)</formula>
    </cfRule>
  </conditionalFormatting>
  <conditionalFormatting sqref="C463:AD463">
    <cfRule type="expression" dxfId="761" priority="3">
      <formula>OR($AH$486&gt;0,$AH$500&gt;0,$AK$515&gt;0)</formula>
    </cfRule>
  </conditionalFormatting>
  <conditionalFormatting sqref="C468:AD468">
    <cfRule type="expression" dxfId="760" priority="29">
      <formula>$AN$473&gt;0</formula>
    </cfRule>
  </conditionalFormatting>
  <conditionalFormatting sqref="C469:AD469">
    <cfRule type="expression" dxfId="759" priority="28">
      <formula>$AM$474&gt;0</formula>
    </cfRule>
  </conditionalFormatting>
  <conditionalFormatting sqref="C470:AD470">
    <cfRule type="expression" dxfId="758" priority="27">
      <formula>AND(OR(C473=3,C473=9),$C$476="")</formula>
    </cfRule>
  </conditionalFormatting>
  <conditionalFormatting sqref="C484:AD484">
    <cfRule type="expression" dxfId="757" priority="7">
      <formula>$AG$486&gt;0</formula>
    </cfRule>
  </conditionalFormatting>
  <conditionalFormatting sqref="C497:AD497">
    <cfRule type="expression" dxfId="756" priority="6">
      <formula>$AG$500&gt;0</formula>
    </cfRule>
  </conditionalFormatting>
  <conditionalFormatting sqref="C511:AD511">
    <cfRule type="expression" dxfId="755" priority="4">
      <formula>$AL$515&gt;0</formula>
    </cfRule>
  </conditionalFormatting>
  <conditionalFormatting sqref="C515:AD515">
    <cfRule type="expression" dxfId="754" priority="14">
      <formula>AND($C$473&lt;&gt;"",$C$473&lt;&gt;1)</formula>
    </cfRule>
  </conditionalFormatting>
  <conditionalFormatting sqref="D310:AD319">
    <cfRule type="expression" dxfId="753" priority="109">
      <formula>AND($C$190&lt;&gt;"",$C$190&lt;&gt;1)</formula>
    </cfRule>
    <cfRule type="expression" dxfId="752" priority="86">
      <formula>AND($C$307&lt;&gt;"",$C$307&lt;&gt;1)</formula>
    </cfRule>
  </conditionalFormatting>
  <conditionalFormatting sqref="F266:AD266">
    <cfRule type="expression" dxfId="751" priority="93">
      <formula>AND(AK259=0,F266="")</formula>
    </cfRule>
    <cfRule type="expression" dxfId="750" priority="94">
      <formula>AND(AK259&gt;0,F266="")</formula>
    </cfRule>
  </conditionalFormatting>
  <conditionalFormatting sqref="F450:AD450">
    <cfRule type="expression" dxfId="749" priority="38">
      <formula>AND(BD451=0,F450="")</formula>
    </cfRule>
    <cfRule type="expression" dxfId="748" priority="39">
      <formula>AND(BD451&gt;0,F450="")</formula>
    </cfRule>
  </conditionalFormatting>
  <conditionalFormatting sqref="G448:AD448">
    <cfRule type="expression" dxfId="747" priority="36">
      <formula>AND($C$448&lt;&gt;"",$C$448&lt;&gt;1)</formula>
    </cfRule>
  </conditionalFormatting>
  <conditionalFormatting sqref="H415:AD415">
    <cfRule type="expression" dxfId="746" priority="44">
      <formula>AND(AK406=0,H415="")</formula>
    </cfRule>
    <cfRule type="expression" dxfId="745" priority="45">
      <formula>AND(AK406&gt;0,H415="")</formula>
    </cfRule>
  </conditionalFormatting>
  <conditionalFormatting sqref="I203">
    <cfRule type="expression" dxfId="744" priority="118">
      <formula>AND($C$190&lt;&gt;"",$C$190&lt;&gt;1)</formula>
    </cfRule>
    <cfRule type="expression" dxfId="743" priority="103">
      <formula>$T$203="X"</formula>
    </cfRule>
    <cfRule type="expression" dxfId="742" priority="108">
      <formula>$C$203="X"</formula>
    </cfRule>
  </conditionalFormatting>
  <conditionalFormatting sqref="I360">
    <cfRule type="expression" dxfId="741" priority="77">
      <formula>AND($C$347&lt;&gt;"",$C$347&lt;&gt;1)</formula>
    </cfRule>
    <cfRule type="expression" dxfId="740" priority="68">
      <formula>$C$360="X"</formula>
    </cfRule>
    <cfRule type="expression" dxfId="739" priority="63">
      <formula>$T$360="X"</formula>
    </cfRule>
  </conditionalFormatting>
  <conditionalFormatting sqref="I374">
    <cfRule type="expression" dxfId="738" priority="74">
      <formula>AND($C$347&lt;&gt;"",$C$347&lt;&gt;1)</formula>
    </cfRule>
    <cfRule type="expression" dxfId="737" priority="56">
      <formula>$T$374="X"</formula>
    </cfRule>
    <cfRule type="expression" dxfId="736" priority="61">
      <formula>$C$374="X"</formula>
    </cfRule>
  </conditionalFormatting>
  <conditionalFormatting sqref="I486">
    <cfRule type="expression" dxfId="735" priority="21">
      <formula>$T$486="X"</formula>
    </cfRule>
    <cfRule type="expression" dxfId="734" priority="26">
      <formula>$C$486="X"</formula>
    </cfRule>
    <cfRule type="expression" dxfId="733" priority="19">
      <formula>AND($C$473&lt;&gt;"",$C$473&lt;&gt;1)</formula>
    </cfRule>
  </conditionalFormatting>
  <conditionalFormatting sqref="I500">
    <cfRule type="expression" dxfId="732" priority="8">
      <formula>$T$500="X"</formula>
    </cfRule>
    <cfRule type="expression" dxfId="731" priority="13">
      <formula>$C$500="X"</formula>
    </cfRule>
    <cfRule type="expression" dxfId="730" priority="16">
      <formula>AND($C$473&lt;&gt;"",$C$473&lt;&gt;1)</formula>
    </cfRule>
  </conditionalFormatting>
  <conditionalFormatting sqref="I125:N125">
    <cfRule type="expression" dxfId="729" priority="142">
      <formula>AND($C$31&lt;&gt;"",$C$31&lt;&gt;1)</formula>
    </cfRule>
  </conditionalFormatting>
  <conditionalFormatting sqref="I31:AD31">
    <cfRule type="expression" dxfId="728" priority="164">
      <formula>AND($C$31&lt;&gt;"",$C$31&lt;&gt;1)</formula>
    </cfRule>
  </conditionalFormatting>
  <conditionalFormatting sqref="I125:AD125">
    <cfRule type="expression" dxfId="727" priority="143">
      <formula>AND($C$125&lt;&gt;"",$C$125&lt;&gt;1)</formula>
    </cfRule>
  </conditionalFormatting>
  <conditionalFormatting sqref="I190:AD190">
    <cfRule type="expression" dxfId="726" priority="120">
      <formula>AND($C$190&lt;&gt;"",$C$190&lt;&gt;1)</formula>
    </cfRule>
  </conditionalFormatting>
  <conditionalFormatting sqref="I347:AD347">
    <cfRule type="expression" dxfId="725" priority="79">
      <formula>AND($C$347&lt;&gt;"",$C$347&lt;&gt;1)</formula>
    </cfRule>
  </conditionalFormatting>
  <conditionalFormatting sqref="I473:AD473">
    <cfRule type="expression" dxfId="724" priority="30">
      <formula>AND($C$473&lt;&gt;"",$C$473&lt;&gt;1)</formula>
    </cfRule>
  </conditionalFormatting>
  <conditionalFormatting sqref="L45">
    <cfRule type="expression" dxfId="723" priority="159">
      <formula>AND($C$31&lt;&gt;"",$C$31&lt;&gt;1)</formula>
    </cfRule>
    <cfRule type="expression" dxfId="722" priority="150">
      <formula>$T$45="X"</formula>
    </cfRule>
    <cfRule type="expression" dxfId="721" priority="155">
      <formula>$C$45="X"</formula>
    </cfRule>
  </conditionalFormatting>
  <conditionalFormatting sqref="L139">
    <cfRule type="expression" dxfId="720" priority="134">
      <formula>AND($C$125&lt;&gt;"",$C$125&lt;&gt;1)</formula>
    </cfRule>
    <cfRule type="expression" dxfId="719" priority="126">
      <formula>$T$139="X"</formula>
    </cfRule>
    <cfRule type="expression" dxfId="718" priority="131">
      <formula>$C$139="X"</formula>
    </cfRule>
  </conditionalFormatting>
  <conditionalFormatting sqref="L217">
    <cfRule type="expression" dxfId="717" priority="102">
      <formula>$C$217="X"</formula>
    </cfRule>
    <cfRule type="expression" dxfId="716" priority="115">
      <formula>AND($C$190&lt;&gt;"",$C$190&lt;&gt;1)</formula>
    </cfRule>
    <cfRule type="expression" dxfId="715" priority="97">
      <formula>$T$217="X"</formula>
    </cfRule>
  </conditionalFormatting>
  <conditionalFormatting sqref="M60:AD69">
    <cfRule type="expression" dxfId="714" priority="123">
      <formula>$C$45="X"</formula>
    </cfRule>
    <cfRule type="expression" dxfId="713" priority="157">
      <formula>AND($C$31&lt;&gt;"",$C$31&lt;&gt;1)</formula>
    </cfRule>
  </conditionalFormatting>
  <conditionalFormatting sqref="M99:AD99">
    <cfRule type="expression" dxfId="712" priority="147">
      <formula>AND(C99="X",M99="")</formula>
    </cfRule>
    <cfRule type="expression" dxfId="711" priority="146">
      <formula>AND(C99="",M99="")</formula>
    </cfRule>
  </conditionalFormatting>
  <conditionalFormatting sqref="M154:AD163">
    <cfRule type="expression" dxfId="710" priority="124">
      <formula>$C$139="X"</formula>
    </cfRule>
    <cfRule type="expression" dxfId="709" priority="132">
      <formula>AND($C$125&lt;&gt;"",$C$125&lt;&gt;1)</formula>
    </cfRule>
  </conditionalFormatting>
  <conditionalFormatting sqref="M232:AD241">
    <cfRule type="expression" dxfId="708" priority="113">
      <formula>AND($C$190&lt;&gt;"",$C$190&lt;&gt;1)</formula>
    </cfRule>
    <cfRule type="expression" dxfId="707" priority="96">
      <formula>$C$217="X"</formula>
    </cfRule>
  </conditionalFormatting>
  <conditionalFormatting sqref="M259:AD263">
    <cfRule type="expression" dxfId="706" priority="112">
      <formula>AND($C$190&lt;&gt;"",$C$190&lt;&gt;1)</formula>
    </cfRule>
    <cfRule type="expression" dxfId="705" priority="95">
      <formula>$C$217="X"</formula>
    </cfRule>
  </conditionalFormatting>
  <conditionalFormatting sqref="M515:AD515">
    <cfRule type="expression" dxfId="704" priority="5">
      <formula>AND($C$515&lt;&gt;"",$C$515&lt;&gt;1)</formula>
    </cfRule>
  </conditionalFormatting>
  <conditionalFormatting sqref="O125:AD125">
    <cfRule type="expression" dxfId="703" priority="141">
      <formula>AND($I$125&lt;&gt;"",$I$125=1)</formula>
    </cfRule>
  </conditionalFormatting>
  <conditionalFormatting sqref="Q307:AD307">
    <cfRule type="expression" dxfId="702" priority="87">
      <formula>AND($C307&lt;&gt;"",$C307&lt;&gt;1)</formula>
    </cfRule>
  </conditionalFormatting>
  <conditionalFormatting sqref="Q390:AD390">
    <cfRule type="expression" dxfId="701" priority="54">
      <formula>AND($C$390&lt;&gt;"",$C$390&lt;&gt;1)</formula>
    </cfRule>
  </conditionalFormatting>
  <conditionalFormatting sqref="S281:AD288">
    <cfRule type="expression" dxfId="700" priority="111">
      <formula>AND($C$190&lt;&gt;"",$C$190&lt;&gt;1)</formula>
    </cfRule>
  </conditionalFormatting>
  <conditionalFormatting sqref="S406:AD413">
    <cfRule type="expression" dxfId="699" priority="71">
      <formula>AND($C$347&lt;&gt;"",$C$347&lt;&gt;1)</formula>
    </cfRule>
  </conditionalFormatting>
  <conditionalFormatting sqref="S410:AD410">
    <cfRule type="expression" dxfId="698" priority="49">
      <formula>AND($C$190&lt;&gt;"",$C$190&lt;&gt;1)</formula>
    </cfRule>
  </conditionalFormatting>
  <conditionalFormatting sqref="T45">
    <cfRule type="expression" dxfId="697" priority="152">
      <formula>$L$45="X"</formula>
    </cfRule>
    <cfRule type="expression" dxfId="696" priority="154">
      <formula>$C$45="X"</formula>
    </cfRule>
    <cfRule type="expression" dxfId="695" priority="158">
      <formula>AND($C$31&lt;&gt;"",$C$31&lt;&gt;1)</formula>
    </cfRule>
  </conditionalFormatting>
  <conditionalFormatting sqref="T139">
    <cfRule type="expression" dxfId="694" priority="133">
      <formula>AND($C$125&lt;&gt;"",$C$125&lt;&gt;1)</formula>
    </cfRule>
    <cfRule type="expression" dxfId="693" priority="130">
      <formula>$C$139="X"</formula>
    </cfRule>
    <cfRule type="expression" dxfId="692" priority="128">
      <formula>$L$139="X"</formula>
    </cfRule>
  </conditionalFormatting>
  <conditionalFormatting sqref="T203">
    <cfRule type="expression" dxfId="691" priority="107">
      <formula>$C$203="X"</formula>
    </cfRule>
    <cfRule type="expression" dxfId="690" priority="117">
      <formula>AND($C$190&lt;&gt;"",$C$190&lt;&gt;1)</formula>
    </cfRule>
    <cfRule type="expression" dxfId="689" priority="105">
      <formula>$I$203="X"</formula>
    </cfRule>
  </conditionalFormatting>
  <conditionalFormatting sqref="T217">
    <cfRule type="expression" dxfId="688" priority="114">
      <formula>AND($C$190&lt;&gt;"",$C$190&lt;&gt;1)</formula>
    </cfRule>
    <cfRule type="expression" dxfId="687" priority="99">
      <formula>$L$217="X"</formula>
    </cfRule>
    <cfRule type="expression" dxfId="686" priority="101">
      <formula>$C$217="X"</formula>
    </cfRule>
  </conditionalFormatting>
  <conditionalFormatting sqref="T360">
    <cfRule type="expression" dxfId="685" priority="67">
      <formula>$C$360="X"</formula>
    </cfRule>
    <cfRule type="expression" dxfId="684" priority="76">
      <formula>AND($C$347&lt;&gt;"",$C$347&lt;&gt;1)</formula>
    </cfRule>
    <cfRule type="expression" dxfId="683" priority="65">
      <formula>$I$360="X"</formula>
    </cfRule>
  </conditionalFormatting>
  <conditionalFormatting sqref="T374">
    <cfRule type="expression" dxfId="682" priority="60">
      <formula>$C$374="X"</formula>
    </cfRule>
    <cfRule type="expression" dxfId="681" priority="58">
      <formula>$I$374="X"</formula>
    </cfRule>
    <cfRule type="expression" dxfId="680" priority="73">
      <formula>AND($C$347&lt;&gt;"",$C$347&lt;&gt;1)</formula>
    </cfRule>
  </conditionalFormatting>
  <conditionalFormatting sqref="T486">
    <cfRule type="expression" dxfId="679" priority="25">
      <formula>$C$486="X"</formula>
    </cfRule>
    <cfRule type="expression" dxfId="678" priority="18">
      <formula>AND($C$473&lt;&gt;"",$C$473&lt;&gt;1)</formula>
    </cfRule>
    <cfRule type="expression" dxfId="677" priority="23">
      <formula>$I$486="X"</formula>
    </cfRule>
  </conditionalFormatting>
  <conditionalFormatting sqref="T500">
    <cfRule type="expression" dxfId="676" priority="15">
      <formula>AND($C$473&lt;&gt;"",$C$473&lt;&gt;1)</formula>
    </cfRule>
    <cfRule type="expression" dxfId="675" priority="12">
      <formula>$C$500="X"</formula>
    </cfRule>
    <cfRule type="expression" dxfId="674" priority="10">
      <formula>$I$500="X"</formula>
    </cfRule>
  </conditionalFormatting>
  <conditionalFormatting sqref="Y281:AD288">
    <cfRule type="expression" dxfId="673" priority="89">
      <formula>AND($S281&lt;&gt;"",$S281&lt;&gt;1)</formula>
    </cfRule>
  </conditionalFormatting>
  <conditionalFormatting sqref="Y406:AD413">
    <cfRule type="expression" dxfId="672" priority="50">
      <formula>AND($S406&lt;&gt;"",$S406&lt;&gt;1)</formula>
    </cfRule>
  </conditionalFormatting>
  <dataValidations count="3">
    <dataValidation type="list" allowBlank="1" showInputMessage="1" showErrorMessage="1" sqref="C31:H31 C125:H125 C190:H190 C307:P307 C347:H347 C390:P390 Y406:AD413 C473:H473" xr:uid="{7311F24D-9BDE-4355-A5C9-AA7EF1D7316E}">
      <formula1>"1,2,3,9"</formula1>
    </dataValidation>
    <dataValidation type="list" allowBlank="1" showInputMessage="1" showErrorMessage="1" sqref="C45 L45 T45 C84:C100 C139 L139 T139 C203 I203 T203 C217 L217 T217 C360 I360 T360 C374 I374 T374 C486 I486 T486 C500 I500 T500" xr:uid="{9D5995EC-1D53-448E-8029-D97B91477F28}">
      <formula1>"X"</formula1>
    </dataValidation>
    <dataValidation type="list" allowBlank="1" showInputMessage="1" showErrorMessage="1" sqref="I125:N125 S281:X288 S406:X413 C448:F448 C515:L515" xr:uid="{17E2ACCA-803D-449A-BC8B-1F4736AE2386}">
      <formula1>"1,2,9"</formula1>
    </dataValidation>
  </dataValidations>
  <hyperlinks>
    <hyperlink ref="AA7:AD7" location="Índice!B19" display="Índice" xr:uid="{FAEB2219-6051-490B-87C0-76ADE3288667}"/>
  </hyperlinks>
  <printOptions horizontalCentered="1"/>
  <pageMargins left="0.70866141732283472" right="0.70866141732283472" top="0.74803149606299213" bottom="0.74803149606299213" header="0.31496062992125984" footer="0.31496062992125984"/>
  <pageSetup scale="75" orientation="portrait" r:id="rId1"/>
  <headerFooter>
    <oddHeader>&amp;CMódulo 2 Sección III
Cuestionario</oddHeader>
    <oddFooter>&amp;LCenso Nacional de Sistemas Penitenciarios Estatales 2024&amp;R&amp;P de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E1FE4-D7D8-49D9-9604-8AE5EC01413D}">
  <dimension ref="A1:BA127"/>
  <sheetViews>
    <sheetView showGridLines="0" zoomScaleNormal="100" workbookViewId="0"/>
  </sheetViews>
  <sheetFormatPr baseColWidth="10" defaultColWidth="0" defaultRowHeight="15" customHeight="1" zeroHeight="1"/>
  <cols>
    <col min="1" max="1" width="5.7109375" style="3" customWidth="1"/>
    <col min="2" max="30" width="3.7109375" style="3" customWidth="1"/>
    <col min="31" max="31" width="5.7109375" style="3" customWidth="1"/>
    <col min="32" max="16384" width="9.28515625" style="3" hidden="1"/>
  </cols>
  <sheetData>
    <row r="1" spans="1:30" ht="173.25" customHeight="1">
      <c r="A1" s="91"/>
      <c r="B1" s="718" t="s">
        <v>0</v>
      </c>
      <c r="C1" s="719"/>
      <c r="D1" s="719"/>
      <c r="E1" s="719"/>
      <c r="F1" s="719"/>
      <c r="G1" s="719"/>
      <c r="H1" s="719"/>
      <c r="I1" s="719"/>
      <c r="J1" s="719"/>
      <c r="K1" s="719"/>
      <c r="L1" s="719"/>
      <c r="M1" s="719"/>
      <c r="N1" s="719"/>
      <c r="O1" s="719"/>
      <c r="P1" s="719"/>
      <c r="Q1" s="719"/>
      <c r="R1" s="719"/>
      <c r="S1" s="719"/>
      <c r="T1" s="719"/>
      <c r="U1" s="719"/>
      <c r="V1" s="719"/>
      <c r="W1" s="719"/>
      <c r="X1" s="719"/>
      <c r="Y1" s="719"/>
      <c r="Z1" s="719"/>
      <c r="AA1" s="719"/>
      <c r="AB1" s="719"/>
      <c r="AC1" s="719"/>
      <c r="AD1" s="719"/>
    </row>
    <row r="2" spans="1:30" ht="15" customHeight="1">
      <c r="A2" s="91"/>
    </row>
    <row r="3" spans="1:30" ht="45" customHeight="1">
      <c r="A3" s="91"/>
      <c r="B3" s="720" t="s">
        <v>1</v>
      </c>
      <c r="C3" s="721"/>
      <c r="D3" s="721"/>
      <c r="E3" s="721"/>
      <c r="F3" s="721"/>
      <c r="G3" s="721"/>
      <c r="H3" s="721"/>
      <c r="I3" s="721"/>
      <c r="J3" s="721"/>
      <c r="K3" s="721"/>
      <c r="L3" s="721"/>
      <c r="M3" s="721"/>
      <c r="N3" s="721"/>
      <c r="O3" s="721"/>
      <c r="P3" s="721"/>
      <c r="Q3" s="721"/>
      <c r="R3" s="721"/>
      <c r="S3" s="721"/>
      <c r="T3" s="721"/>
      <c r="U3" s="721"/>
      <c r="V3" s="721"/>
      <c r="W3" s="721"/>
      <c r="X3" s="721"/>
      <c r="Y3" s="721"/>
      <c r="Z3" s="721"/>
      <c r="AA3" s="721"/>
      <c r="AB3" s="721"/>
      <c r="AC3" s="721"/>
      <c r="AD3" s="721"/>
    </row>
    <row r="4" spans="1:30" ht="15" customHeight="1">
      <c r="A4" s="91"/>
    </row>
    <row r="5" spans="1:30" ht="45" customHeight="1">
      <c r="A5" s="91"/>
      <c r="B5" s="720" t="s">
        <v>14</v>
      </c>
      <c r="C5" s="721"/>
      <c r="D5" s="721"/>
      <c r="E5" s="721"/>
      <c r="F5" s="721"/>
      <c r="G5" s="721"/>
      <c r="H5" s="721"/>
      <c r="I5" s="721"/>
      <c r="J5" s="721"/>
      <c r="K5" s="721"/>
      <c r="L5" s="721"/>
      <c r="M5" s="721"/>
      <c r="N5" s="721"/>
      <c r="O5" s="721"/>
      <c r="P5" s="721"/>
      <c r="Q5" s="721"/>
      <c r="R5" s="721"/>
      <c r="S5" s="721"/>
      <c r="T5" s="721"/>
      <c r="U5" s="721"/>
      <c r="V5" s="721"/>
      <c r="W5" s="721"/>
      <c r="X5" s="721"/>
      <c r="Y5" s="721"/>
      <c r="Z5" s="721"/>
      <c r="AA5" s="721"/>
      <c r="AB5" s="721"/>
      <c r="AC5" s="721"/>
      <c r="AD5" s="721"/>
    </row>
    <row r="6" spans="1:30" ht="15" customHeight="1">
      <c r="A6" s="91"/>
    </row>
    <row r="7" spans="1:30" ht="15" customHeight="1" thickBot="1">
      <c r="A7" s="91"/>
      <c r="B7" s="23" t="s">
        <v>3</v>
      </c>
      <c r="N7" s="23" t="s">
        <v>4</v>
      </c>
      <c r="P7" s="24"/>
      <c r="Q7" s="24"/>
      <c r="R7" s="24"/>
      <c r="S7" s="24"/>
      <c r="T7" s="24"/>
      <c r="U7" s="24"/>
      <c r="V7" s="24"/>
      <c r="W7" s="24"/>
      <c r="X7" s="24"/>
      <c r="Y7" s="24"/>
      <c r="Z7" s="24"/>
      <c r="AA7" s="758" t="s">
        <v>2</v>
      </c>
      <c r="AB7" s="758"/>
      <c r="AC7" s="758"/>
      <c r="AD7" s="758"/>
    </row>
    <row r="8" spans="1:30" ht="15" customHeight="1" thickBot="1">
      <c r="A8" s="108"/>
      <c r="B8" s="722" t="str">
        <f>IF(Presentación!B8="","",Presentación!B8)</f>
        <v>Puebla</v>
      </c>
      <c r="C8" s="723"/>
      <c r="D8" s="723"/>
      <c r="E8" s="723"/>
      <c r="F8" s="723"/>
      <c r="G8" s="723"/>
      <c r="H8" s="723"/>
      <c r="I8" s="723"/>
      <c r="J8" s="723"/>
      <c r="K8" s="723"/>
      <c r="L8" s="724"/>
      <c r="M8" s="25"/>
      <c r="N8" s="722">
        <f>IF(Presentación!N8="","",Presentación!N8)</f>
        <v>221</v>
      </c>
      <c r="O8" s="724"/>
      <c r="P8" s="107"/>
      <c r="Q8" s="107"/>
      <c r="R8" s="107"/>
      <c r="S8" s="109"/>
      <c r="T8" s="107"/>
      <c r="U8" s="107"/>
      <c r="V8" s="107"/>
      <c r="W8" s="107"/>
      <c r="X8" s="107"/>
      <c r="Y8" s="107"/>
      <c r="Z8" s="107"/>
      <c r="AA8" s="107"/>
      <c r="AB8" s="107"/>
      <c r="AC8" s="107"/>
      <c r="AD8" s="107"/>
    </row>
    <row r="9" spans="1:30" ht="15" customHeight="1" thickBot="1">
      <c r="A9" s="91"/>
      <c r="C9" s="24"/>
      <c r="D9" s="24"/>
      <c r="E9" s="24"/>
      <c r="F9" s="24"/>
      <c r="G9" s="24"/>
      <c r="H9" s="24"/>
      <c r="I9" s="24"/>
      <c r="J9" s="24"/>
      <c r="K9" s="24"/>
      <c r="L9" s="24"/>
      <c r="M9" s="24"/>
      <c r="N9" s="24"/>
      <c r="O9" s="24"/>
      <c r="P9" s="24"/>
      <c r="Q9" s="24"/>
      <c r="R9" s="24"/>
      <c r="S9" s="24"/>
      <c r="T9" s="24"/>
      <c r="U9" s="24"/>
      <c r="V9" s="24"/>
      <c r="W9" s="24"/>
      <c r="X9" s="24"/>
      <c r="Y9" s="24"/>
      <c r="Z9" s="24"/>
      <c r="AA9" s="24"/>
      <c r="AB9" s="24"/>
      <c r="AC9" s="24"/>
    </row>
    <row r="10" spans="1:30" customFormat="1" ht="15" customHeight="1" thickBot="1">
      <c r="A10" s="153" t="s">
        <v>2563</v>
      </c>
      <c r="B10" s="1048" t="s">
        <v>4150</v>
      </c>
      <c r="C10" s="1049"/>
      <c r="D10" s="1049"/>
      <c r="E10" s="1049"/>
      <c r="F10" s="1049"/>
      <c r="G10" s="1049"/>
      <c r="H10" s="1049"/>
      <c r="I10" s="1049"/>
      <c r="J10" s="1049"/>
      <c r="K10" s="1049"/>
      <c r="L10" s="1049"/>
      <c r="M10" s="1049"/>
      <c r="N10" s="1049"/>
      <c r="O10" s="1049"/>
      <c r="P10" s="1049"/>
      <c r="Q10" s="1049"/>
      <c r="R10" s="1049"/>
      <c r="S10" s="1049"/>
      <c r="T10" s="1049"/>
      <c r="U10" s="1049"/>
      <c r="V10" s="1049"/>
      <c r="W10" s="1049"/>
      <c r="X10" s="1049"/>
      <c r="Y10" s="1049"/>
      <c r="Z10" s="1049"/>
      <c r="AA10" s="1049"/>
      <c r="AB10" s="1049"/>
      <c r="AC10" s="1049"/>
      <c r="AD10" s="1050"/>
    </row>
    <row r="11" spans="1:30" ht="15" customHeight="1">
      <c r="A11" s="94"/>
      <c r="B11" s="892" t="s">
        <v>2552</v>
      </c>
      <c r="C11" s="893"/>
      <c r="D11" s="893"/>
      <c r="E11" s="893"/>
      <c r="F11" s="893"/>
      <c r="G11" s="893"/>
      <c r="H11" s="893"/>
      <c r="I11" s="893"/>
      <c r="J11" s="893"/>
      <c r="K11" s="893"/>
      <c r="L11" s="893"/>
      <c r="M11" s="893"/>
      <c r="N11" s="893"/>
      <c r="O11" s="893"/>
      <c r="P11" s="893"/>
      <c r="Q11" s="893"/>
      <c r="R11" s="893"/>
      <c r="S11" s="893"/>
      <c r="T11" s="893"/>
      <c r="U11" s="893"/>
      <c r="V11" s="893"/>
      <c r="W11" s="893"/>
      <c r="X11" s="893"/>
      <c r="Y11" s="893"/>
      <c r="Z11" s="893"/>
      <c r="AA11" s="893"/>
      <c r="AB11" s="893"/>
      <c r="AC11" s="893"/>
      <c r="AD11" s="894"/>
    </row>
    <row r="12" spans="1:30" ht="24" customHeight="1">
      <c r="A12" s="94"/>
      <c r="B12" s="654"/>
      <c r="C12" s="754" t="s">
        <v>4151</v>
      </c>
      <c r="D12" s="830"/>
      <c r="E12" s="830"/>
      <c r="F12" s="830"/>
      <c r="G12" s="830"/>
      <c r="H12" s="830"/>
      <c r="I12" s="830"/>
      <c r="J12" s="830"/>
      <c r="K12" s="830"/>
      <c r="L12" s="830"/>
      <c r="M12" s="830"/>
      <c r="N12" s="830"/>
      <c r="O12" s="830"/>
      <c r="P12" s="830"/>
      <c r="Q12" s="830"/>
      <c r="R12" s="830"/>
      <c r="S12" s="830"/>
      <c r="T12" s="830"/>
      <c r="U12" s="830"/>
      <c r="V12" s="830"/>
      <c r="W12" s="830"/>
      <c r="X12" s="830"/>
      <c r="Y12" s="830"/>
      <c r="Z12" s="830"/>
      <c r="AA12" s="830"/>
      <c r="AB12" s="830"/>
      <c r="AC12" s="830"/>
      <c r="AD12" s="895"/>
    </row>
    <row r="13" spans="1:30" ht="24" customHeight="1">
      <c r="A13" s="94"/>
      <c r="B13" s="654"/>
      <c r="C13" s="754" t="s">
        <v>2554</v>
      </c>
      <c r="D13" s="830"/>
      <c r="E13" s="830"/>
      <c r="F13" s="830"/>
      <c r="G13" s="830"/>
      <c r="H13" s="830"/>
      <c r="I13" s="830"/>
      <c r="J13" s="830"/>
      <c r="K13" s="830"/>
      <c r="L13" s="830"/>
      <c r="M13" s="830"/>
      <c r="N13" s="830"/>
      <c r="O13" s="830"/>
      <c r="P13" s="830"/>
      <c r="Q13" s="830"/>
      <c r="R13" s="830"/>
      <c r="S13" s="830"/>
      <c r="T13" s="830"/>
      <c r="U13" s="830"/>
      <c r="V13" s="830"/>
      <c r="W13" s="830"/>
      <c r="X13" s="830"/>
      <c r="Y13" s="830"/>
      <c r="Z13" s="830"/>
      <c r="AA13" s="830"/>
      <c r="AB13" s="830"/>
      <c r="AC13" s="830"/>
      <c r="AD13" s="895"/>
    </row>
    <row r="14" spans="1:30" ht="60" customHeight="1">
      <c r="A14" s="146"/>
      <c r="B14" s="654"/>
      <c r="C14" s="754" t="s">
        <v>2555</v>
      </c>
      <c r="D14" s="830"/>
      <c r="E14" s="830"/>
      <c r="F14" s="830"/>
      <c r="G14" s="830"/>
      <c r="H14" s="830"/>
      <c r="I14" s="830"/>
      <c r="J14" s="830"/>
      <c r="K14" s="830"/>
      <c r="L14" s="830"/>
      <c r="M14" s="830"/>
      <c r="N14" s="830"/>
      <c r="O14" s="830"/>
      <c r="P14" s="830"/>
      <c r="Q14" s="830"/>
      <c r="R14" s="830"/>
      <c r="S14" s="830"/>
      <c r="T14" s="830"/>
      <c r="U14" s="830"/>
      <c r="V14" s="830"/>
      <c r="W14" s="830"/>
      <c r="X14" s="830"/>
      <c r="Y14" s="830"/>
      <c r="Z14" s="830"/>
      <c r="AA14" s="830"/>
      <c r="AB14" s="830"/>
      <c r="AC14" s="830"/>
      <c r="AD14" s="895"/>
    </row>
    <row r="15" spans="1:30" ht="15" customHeight="1">
      <c r="A15" s="94"/>
      <c r="B15" s="654"/>
      <c r="C15" s="754" t="s">
        <v>3021</v>
      </c>
      <c r="D15" s="754"/>
      <c r="E15" s="754"/>
      <c r="F15" s="754"/>
      <c r="G15" s="754"/>
      <c r="H15" s="754"/>
      <c r="I15" s="754"/>
      <c r="J15" s="754"/>
      <c r="K15" s="754"/>
      <c r="L15" s="754"/>
      <c r="M15" s="754"/>
      <c r="N15" s="754"/>
      <c r="O15" s="754"/>
      <c r="P15" s="754"/>
      <c r="Q15" s="754"/>
      <c r="R15" s="754"/>
      <c r="S15" s="754"/>
      <c r="T15" s="754"/>
      <c r="U15" s="754"/>
      <c r="V15" s="754"/>
      <c r="W15" s="754"/>
      <c r="X15" s="754"/>
      <c r="Y15" s="754"/>
      <c r="Z15" s="754"/>
      <c r="AA15" s="754"/>
      <c r="AB15" s="754"/>
      <c r="AC15" s="754"/>
      <c r="AD15" s="755"/>
    </row>
    <row r="16" spans="1:30" ht="24" customHeight="1">
      <c r="A16" s="146"/>
      <c r="B16" s="182"/>
      <c r="C16" s="754" t="s">
        <v>4152</v>
      </c>
      <c r="D16" s="754"/>
      <c r="E16" s="754"/>
      <c r="F16" s="754"/>
      <c r="G16" s="754"/>
      <c r="H16" s="754"/>
      <c r="I16" s="754"/>
      <c r="J16" s="754"/>
      <c r="K16" s="754"/>
      <c r="L16" s="754"/>
      <c r="M16" s="754"/>
      <c r="N16" s="754"/>
      <c r="O16" s="754"/>
      <c r="P16" s="754"/>
      <c r="Q16" s="754"/>
      <c r="R16" s="754"/>
      <c r="S16" s="754"/>
      <c r="T16" s="754"/>
      <c r="U16" s="754"/>
      <c r="V16" s="754"/>
      <c r="W16" s="754"/>
      <c r="X16" s="754"/>
      <c r="Y16" s="754"/>
      <c r="Z16" s="754"/>
      <c r="AA16" s="754"/>
      <c r="AB16" s="754"/>
      <c r="AC16" s="754"/>
      <c r="AD16" s="755"/>
    </row>
    <row r="17" spans="1:38" ht="15" customHeight="1">
      <c r="A17" s="120"/>
      <c r="B17" s="182"/>
      <c r="C17" s="754" t="s">
        <v>4153</v>
      </c>
      <c r="D17" s="754"/>
      <c r="E17" s="754"/>
      <c r="F17" s="754"/>
      <c r="G17" s="754"/>
      <c r="H17" s="754"/>
      <c r="I17" s="754"/>
      <c r="J17" s="754"/>
      <c r="K17" s="754"/>
      <c r="L17" s="754"/>
      <c r="M17" s="754"/>
      <c r="N17" s="754"/>
      <c r="O17" s="754"/>
      <c r="P17" s="754"/>
      <c r="Q17" s="754"/>
      <c r="R17" s="754"/>
      <c r="S17" s="754"/>
      <c r="T17" s="754"/>
      <c r="U17" s="754"/>
      <c r="V17" s="754"/>
      <c r="W17" s="754"/>
      <c r="X17" s="754"/>
      <c r="Y17" s="754"/>
      <c r="Z17" s="754"/>
      <c r="AA17" s="754"/>
      <c r="AB17" s="754"/>
      <c r="AC17" s="754"/>
      <c r="AD17" s="755"/>
    </row>
    <row r="18" spans="1:38" ht="24" customHeight="1">
      <c r="A18" s="674"/>
      <c r="B18" s="101"/>
      <c r="C18" s="754" t="s">
        <v>4154</v>
      </c>
      <c r="D18" s="830"/>
      <c r="E18" s="830"/>
      <c r="F18" s="830"/>
      <c r="G18" s="830"/>
      <c r="H18" s="830"/>
      <c r="I18" s="830"/>
      <c r="J18" s="830"/>
      <c r="K18" s="830"/>
      <c r="L18" s="830"/>
      <c r="M18" s="830"/>
      <c r="N18" s="830"/>
      <c r="O18" s="830"/>
      <c r="P18" s="830"/>
      <c r="Q18" s="830"/>
      <c r="R18" s="830"/>
      <c r="S18" s="830"/>
      <c r="T18" s="830"/>
      <c r="U18" s="830"/>
      <c r="V18" s="830"/>
      <c r="W18" s="830"/>
      <c r="X18" s="830"/>
      <c r="Y18" s="830"/>
      <c r="Z18" s="830"/>
      <c r="AA18" s="830"/>
      <c r="AB18" s="830"/>
      <c r="AC18" s="830"/>
      <c r="AD18" s="886"/>
    </row>
    <row r="19" spans="1:38" ht="36" customHeight="1">
      <c r="A19" s="110"/>
      <c r="B19" s="111"/>
      <c r="C19" s="754" t="s">
        <v>4155</v>
      </c>
      <c r="D19" s="754"/>
      <c r="E19" s="754"/>
      <c r="F19" s="754"/>
      <c r="G19" s="754"/>
      <c r="H19" s="754"/>
      <c r="I19" s="754"/>
      <c r="J19" s="754"/>
      <c r="K19" s="754"/>
      <c r="L19" s="754"/>
      <c r="M19" s="754"/>
      <c r="N19" s="754"/>
      <c r="O19" s="754"/>
      <c r="P19" s="754"/>
      <c r="Q19" s="754"/>
      <c r="R19" s="754"/>
      <c r="S19" s="754"/>
      <c r="T19" s="754"/>
      <c r="U19" s="754"/>
      <c r="V19" s="754"/>
      <c r="W19" s="754"/>
      <c r="X19" s="754"/>
      <c r="Y19" s="754"/>
      <c r="Z19" s="754"/>
      <c r="AA19" s="754"/>
      <c r="AB19" s="754"/>
      <c r="AC19" s="754"/>
      <c r="AD19" s="755"/>
    </row>
    <row r="20" spans="1:38" ht="48" customHeight="1">
      <c r="A20" s="146"/>
      <c r="B20" s="654"/>
      <c r="C20" s="754" t="s">
        <v>4156</v>
      </c>
      <c r="D20" s="754"/>
      <c r="E20" s="754"/>
      <c r="F20" s="754"/>
      <c r="G20" s="754"/>
      <c r="H20" s="754"/>
      <c r="I20" s="754"/>
      <c r="J20" s="754"/>
      <c r="K20" s="754"/>
      <c r="L20" s="754"/>
      <c r="M20" s="754"/>
      <c r="N20" s="754"/>
      <c r="O20" s="754"/>
      <c r="P20" s="754"/>
      <c r="Q20" s="754"/>
      <c r="R20" s="754"/>
      <c r="S20" s="754"/>
      <c r="T20" s="754"/>
      <c r="U20" s="754"/>
      <c r="V20" s="754"/>
      <c r="W20" s="754"/>
      <c r="X20" s="754"/>
      <c r="Y20" s="754"/>
      <c r="Z20" s="754"/>
      <c r="AA20" s="754"/>
      <c r="AB20" s="754"/>
      <c r="AC20" s="754"/>
      <c r="AD20" s="755"/>
    </row>
    <row r="21" spans="1:38" ht="15" customHeight="1">
      <c r="A21" s="94"/>
      <c r="B21" s="209"/>
      <c r="C21" s="764" t="s">
        <v>4157</v>
      </c>
      <c r="D21" s="764"/>
      <c r="E21" s="764"/>
      <c r="F21" s="764"/>
      <c r="G21" s="764"/>
      <c r="H21" s="764"/>
      <c r="I21" s="764"/>
      <c r="J21" s="764"/>
      <c r="K21" s="764"/>
      <c r="L21" s="764"/>
      <c r="M21" s="764"/>
      <c r="N21" s="764"/>
      <c r="O21" s="764"/>
      <c r="P21" s="764"/>
      <c r="Q21" s="764"/>
      <c r="R21" s="764"/>
      <c r="S21" s="764"/>
      <c r="T21" s="764"/>
      <c r="U21" s="764"/>
      <c r="V21" s="764"/>
      <c r="W21" s="764"/>
      <c r="X21" s="764"/>
      <c r="Y21" s="764"/>
      <c r="Z21" s="764"/>
      <c r="AA21" s="764"/>
      <c r="AB21" s="764"/>
      <c r="AC21" s="764"/>
      <c r="AD21" s="765"/>
    </row>
    <row r="22" spans="1:38" ht="15" customHeight="1">
      <c r="A22" s="94"/>
      <c r="B22" s="852" t="s">
        <v>2561</v>
      </c>
      <c r="C22" s="853"/>
      <c r="D22" s="853"/>
      <c r="E22" s="853"/>
      <c r="F22" s="853"/>
      <c r="G22" s="853"/>
      <c r="H22" s="853"/>
      <c r="I22" s="853"/>
      <c r="J22" s="853"/>
      <c r="K22" s="853"/>
      <c r="L22" s="853"/>
      <c r="M22" s="853"/>
      <c r="N22" s="853"/>
      <c r="O22" s="853"/>
      <c r="P22" s="853"/>
      <c r="Q22" s="853"/>
      <c r="R22" s="853"/>
      <c r="S22" s="853"/>
      <c r="T22" s="853"/>
      <c r="U22" s="853"/>
      <c r="V22" s="853"/>
      <c r="W22" s="853"/>
      <c r="X22" s="853"/>
      <c r="Y22" s="853"/>
      <c r="Z22" s="853"/>
      <c r="AA22" s="853"/>
      <c r="AB22" s="853"/>
      <c r="AC22" s="853"/>
      <c r="AD22" s="854"/>
    </row>
    <row r="23" spans="1:38" ht="36" customHeight="1">
      <c r="A23" s="146"/>
      <c r="B23" s="150"/>
      <c r="C23" s="754" t="s">
        <v>4158</v>
      </c>
      <c r="D23" s="754"/>
      <c r="E23" s="754"/>
      <c r="F23" s="754"/>
      <c r="G23" s="754"/>
      <c r="H23" s="754"/>
      <c r="I23" s="754"/>
      <c r="J23" s="754"/>
      <c r="K23" s="754"/>
      <c r="L23" s="754"/>
      <c r="M23" s="754"/>
      <c r="N23" s="754"/>
      <c r="O23" s="754"/>
      <c r="P23" s="754"/>
      <c r="Q23" s="754"/>
      <c r="R23" s="754"/>
      <c r="S23" s="754"/>
      <c r="T23" s="754"/>
      <c r="U23" s="754"/>
      <c r="V23" s="754"/>
      <c r="W23" s="754"/>
      <c r="X23" s="754"/>
      <c r="Y23" s="754"/>
      <c r="Z23" s="754"/>
      <c r="AA23" s="754"/>
      <c r="AB23" s="754"/>
      <c r="AC23" s="754"/>
      <c r="AD23" s="891"/>
    </row>
    <row r="24" spans="1:38" ht="15" customHeight="1">
      <c r="A24" s="146"/>
      <c r="B24" s="667"/>
      <c r="C24" s="754" t="s">
        <v>4159</v>
      </c>
      <c r="D24" s="754"/>
      <c r="E24" s="754"/>
      <c r="F24" s="754"/>
      <c r="G24" s="754"/>
      <c r="H24" s="754"/>
      <c r="I24" s="754"/>
      <c r="J24" s="754"/>
      <c r="K24" s="754"/>
      <c r="L24" s="754"/>
      <c r="M24" s="754"/>
      <c r="N24" s="754"/>
      <c r="O24" s="754"/>
      <c r="P24" s="754"/>
      <c r="Q24" s="754"/>
      <c r="R24" s="754"/>
      <c r="S24" s="754"/>
      <c r="T24" s="754"/>
      <c r="U24" s="754"/>
      <c r="V24" s="754"/>
      <c r="W24" s="754"/>
      <c r="X24" s="754"/>
      <c r="Y24" s="754"/>
      <c r="Z24" s="754"/>
      <c r="AA24" s="754"/>
      <c r="AB24" s="754"/>
      <c r="AC24" s="754"/>
      <c r="AD24" s="891"/>
    </row>
    <row r="25" spans="1:38" ht="24" customHeight="1">
      <c r="A25" s="146"/>
      <c r="B25" s="668"/>
      <c r="C25" s="764" t="s">
        <v>4160</v>
      </c>
      <c r="D25" s="764"/>
      <c r="E25" s="764"/>
      <c r="F25" s="764"/>
      <c r="G25" s="764"/>
      <c r="H25" s="764"/>
      <c r="I25" s="764"/>
      <c r="J25" s="764"/>
      <c r="K25" s="764"/>
      <c r="L25" s="764"/>
      <c r="M25" s="764"/>
      <c r="N25" s="764"/>
      <c r="O25" s="764"/>
      <c r="P25" s="764"/>
      <c r="Q25" s="764"/>
      <c r="R25" s="764"/>
      <c r="S25" s="764"/>
      <c r="T25" s="764"/>
      <c r="U25" s="764"/>
      <c r="V25" s="764"/>
      <c r="W25" s="764"/>
      <c r="X25" s="764"/>
      <c r="Y25" s="764"/>
      <c r="Z25" s="764"/>
      <c r="AA25" s="764"/>
      <c r="AB25" s="764"/>
      <c r="AC25" s="764"/>
      <c r="AD25" s="765"/>
    </row>
    <row r="26" spans="1:38">
      <c r="A26" s="94"/>
    </row>
    <row r="27" spans="1:38" ht="24" customHeight="1">
      <c r="A27" s="49" t="s">
        <v>4161</v>
      </c>
      <c r="B27" s="829" t="s">
        <v>4162</v>
      </c>
      <c r="C27" s="829"/>
      <c r="D27" s="829"/>
      <c r="E27" s="829"/>
      <c r="F27" s="829"/>
      <c r="G27" s="829"/>
      <c r="H27" s="829"/>
      <c r="I27" s="829"/>
      <c r="J27" s="829"/>
      <c r="K27" s="829"/>
      <c r="L27" s="829"/>
      <c r="M27" s="829"/>
      <c r="N27" s="829"/>
      <c r="O27" s="829"/>
      <c r="P27" s="829"/>
      <c r="Q27" s="829"/>
      <c r="R27" s="829"/>
      <c r="S27" s="829"/>
      <c r="T27" s="829"/>
      <c r="U27" s="829"/>
      <c r="V27" s="829"/>
      <c r="W27" s="829"/>
      <c r="X27" s="829"/>
      <c r="Y27" s="829"/>
      <c r="Z27" s="829"/>
      <c r="AA27" s="829"/>
      <c r="AB27" s="829"/>
      <c r="AC27" s="829"/>
      <c r="AD27" s="829"/>
    </row>
    <row r="28" spans="1:38" ht="24.75" customHeight="1">
      <c r="A28" s="49"/>
      <c r="B28" s="105"/>
      <c r="C28" s="754" t="s">
        <v>4163</v>
      </c>
      <c r="D28" s="754"/>
      <c r="E28" s="754"/>
      <c r="F28" s="754"/>
      <c r="G28" s="754"/>
      <c r="H28" s="754"/>
      <c r="I28" s="754"/>
      <c r="J28" s="754"/>
      <c r="K28" s="754"/>
      <c r="L28" s="754"/>
      <c r="M28" s="754"/>
      <c r="N28" s="754"/>
      <c r="O28" s="754"/>
      <c r="P28" s="754"/>
      <c r="Q28" s="754"/>
      <c r="R28" s="754"/>
      <c r="S28" s="754"/>
      <c r="T28" s="754"/>
      <c r="U28" s="754"/>
      <c r="V28" s="754"/>
      <c r="W28" s="754"/>
      <c r="X28" s="754"/>
      <c r="Y28" s="754"/>
      <c r="Z28" s="754"/>
      <c r="AA28" s="754"/>
      <c r="AB28" s="754"/>
      <c r="AC28" s="754"/>
      <c r="AD28" s="754"/>
    </row>
    <row r="29" spans="1:38" ht="48" customHeight="1">
      <c r="A29" s="50"/>
      <c r="B29" s="38"/>
      <c r="C29" s="754" t="s">
        <v>4164</v>
      </c>
      <c r="D29" s="754"/>
      <c r="E29" s="754"/>
      <c r="F29" s="754"/>
      <c r="G29" s="754"/>
      <c r="H29" s="754"/>
      <c r="I29" s="754"/>
      <c r="J29" s="754"/>
      <c r="K29" s="754"/>
      <c r="L29" s="754"/>
      <c r="M29" s="754"/>
      <c r="N29" s="754"/>
      <c r="O29" s="754"/>
      <c r="P29" s="754"/>
      <c r="Q29" s="754"/>
      <c r="R29" s="754"/>
      <c r="S29" s="754"/>
      <c r="T29" s="754"/>
      <c r="U29" s="754"/>
      <c r="V29" s="754"/>
      <c r="W29" s="754"/>
      <c r="X29" s="754"/>
      <c r="Y29" s="754"/>
      <c r="Z29" s="754"/>
      <c r="AA29" s="754"/>
      <c r="AB29" s="754"/>
      <c r="AC29" s="754"/>
      <c r="AD29" s="754"/>
    </row>
    <row r="30" spans="1:38" ht="15" customHeight="1" thickBot="1">
      <c r="A30" s="49"/>
      <c r="B30" s="38"/>
      <c r="C30" s="75"/>
      <c r="D30" s="75"/>
      <c r="E30" s="75"/>
      <c r="F30" s="75"/>
      <c r="G30" s="75"/>
      <c r="H30" s="75"/>
      <c r="I30" s="75"/>
      <c r="J30" s="75"/>
      <c r="K30" s="75"/>
      <c r="L30" s="75"/>
      <c r="M30" s="75"/>
      <c r="N30" s="75"/>
      <c r="O30" s="75"/>
      <c r="P30" s="75"/>
      <c r="Q30" s="75"/>
      <c r="R30" s="75"/>
      <c r="S30" s="75"/>
      <c r="T30" s="75"/>
      <c r="U30" s="75"/>
      <c r="V30" s="75"/>
      <c r="W30" s="75"/>
      <c r="X30" s="75"/>
      <c r="Y30" s="75"/>
      <c r="Z30" s="75"/>
      <c r="AA30" s="75"/>
      <c r="AB30" s="75"/>
      <c r="AC30" s="75"/>
      <c r="AD30" s="75"/>
      <c r="AG30" s="354" t="s">
        <v>2586</v>
      </c>
      <c r="AH30" s="350" t="s">
        <v>2590</v>
      </c>
      <c r="AI30" s="512" t="s">
        <v>4165</v>
      </c>
      <c r="AJ30" s="513" t="s">
        <v>4166</v>
      </c>
      <c r="AK30" s="514" t="s">
        <v>3073</v>
      </c>
      <c r="AL30" s="515" t="s">
        <v>3074</v>
      </c>
    </row>
    <row r="31" spans="1:38" ht="15" customHeight="1" thickBot="1">
      <c r="A31" s="49"/>
      <c r="B31" s="38"/>
      <c r="C31" s="1035"/>
      <c r="D31" s="1036"/>
      <c r="E31" s="1036"/>
      <c r="F31" s="1037"/>
      <c r="G31" s="45" t="s">
        <v>4167</v>
      </c>
      <c r="H31" s="38"/>
      <c r="I31" s="38"/>
      <c r="J31" s="38"/>
      <c r="K31" s="38"/>
      <c r="L31" s="38"/>
      <c r="M31" s="38"/>
      <c r="N31" s="38"/>
      <c r="O31" s="38"/>
      <c r="P31" s="38"/>
      <c r="Q31" s="38"/>
      <c r="R31" s="38"/>
      <c r="S31" s="38"/>
      <c r="T31" s="38"/>
      <c r="U31" s="38"/>
      <c r="V31" s="38"/>
      <c r="W31" s="38"/>
      <c r="X31" s="38"/>
      <c r="Y31" s="38"/>
      <c r="Z31" s="38"/>
      <c r="AA31" s="38"/>
      <c r="AB31" s="38"/>
      <c r="AC31" s="38"/>
      <c r="AD31" s="38"/>
      <c r="AG31" s="283">
        <f>IF(AND(C31&lt;&gt;"",C33&lt;&gt;"",C35&lt;&gt;""),0,IF(AND(C31="",C33="",C35=""),0,1))</f>
        <v>0</v>
      </c>
      <c r="AH31" s="516">
        <f>COUNTIF(C31,"NS")+COUNTIF(C33,"NS")+COUNTIF(C35,"NS")</f>
        <v>0</v>
      </c>
      <c r="AI31" s="283">
        <f>IF(AND(C33="NS",C35="NS"),0,IF(C35&gt;C33,1,0))</f>
        <v>0</v>
      </c>
      <c r="AJ31" s="283">
        <f>IF(OR(C31="NS",C31="NA"),0,IF(SUM(ISTEXT(C31))=0,0,1))</f>
        <v>0</v>
      </c>
      <c r="AK31">
        <f>IF(OR(C31="NS",C31="NA"),0,LEN(C31)-LEN(INT(C31)-1))</f>
        <v>-2</v>
      </c>
      <c r="AL31">
        <f>IF(AK31&lt;=0,0,1)</f>
        <v>0</v>
      </c>
    </row>
    <row r="32" spans="1:38" ht="15" customHeight="1" thickBot="1">
      <c r="A32" s="49"/>
      <c r="B32" s="38"/>
      <c r="C32" s="38"/>
      <c r="D32" s="38"/>
      <c r="E32" s="38"/>
      <c r="F32" s="38"/>
      <c r="G32" s="54"/>
      <c r="H32" s="38"/>
      <c r="I32" s="38"/>
      <c r="J32" s="38"/>
      <c r="K32" s="38"/>
      <c r="L32" s="38"/>
      <c r="M32" s="38"/>
      <c r="N32" s="38"/>
      <c r="O32" s="38"/>
      <c r="P32" s="38"/>
      <c r="Q32" s="38"/>
      <c r="R32" s="38"/>
      <c r="S32" s="38"/>
      <c r="T32" s="38"/>
      <c r="U32" s="38"/>
      <c r="V32" s="38"/>
      <c r="W32" s="38"/>
      <c r="X32" s="38"/>
      <c r="Y32" s="38"/>
      <c r="Z32" s="38"/>
      <c r="AA32" s="38"/>
      <c r="AB32" s="38"/>
      <c r="AC32" s="38"/>
      <c r="AD32" s="38"/>
      <c r="AG32"/>
      <c r="AH32"/>
      <c r="AI32"/>
      <c r="AJ32" s="283">
        <f>IF(OR(C33="NS",C33="NA"),0,IF(SUM(ISTEXT(C33))=0,0,1))</f>
        <v>0</v>
      </c>
      <c r="AK32">
        <f>IF(OR(C33="NS",C33="NA"),0,LEN(C33)-LEN(INT(C33)-1))</f>
        <v>-2</v>
      </c>
      <c r="AL32">
        <f>IF(AK32&lt;=0,0,1)</f>
        <v>0</v>
      </c>
    </row>
    <row r="33" spans="1:38" ht="15" customHeight="1" thickBot="1">
      <c r="A33" s="49"/>
      <c r="B33" s="38"/>
      <c r="C33" s="1035"/>
      <c r="D33" s="1036"/>
      <c r="E33" s="1036"/>
      <c r="F33" s="1037"/>
      <c r="G33" s="45" t="s">
        <v>4168</v>
      </c>
      <c r="H33" s="38"/>
      <c r="I33" s="38"/>
      <c r="J33" s="38"/>
      <c r="K33" s="38"/>
      <c r="L33" s="38"/>
      <c r="M33" s="38"/>
      <c r="N33" s="38"/>
      <c r="O33" s="38"/>
      <c r="P33" s="38"/>
      <c r="Q33" s="38"/>
      <c r="R33" s="38"/>
      <c r="S33" s="38"/>
      <c r="T33" s="38"/>
      <c r="U33" s="38"/>
      <c r="V33" s="38"/>
      <c r="W33" s="38"/>
      <c r="X33" s="38"/>
      <c r="Y33" s="38"/>
      <c r="Z33" s="38"/>
      <c r="AA33" s="38"/>
      <c r="AB33" s="38"/>
      <c r="AC33" s="38"/>
      <c r="AD33" s="38"/>
      <c r="AG33"/>
      <c r="AH33"/>
      <c r="AI33"/>
      <c r="AJ33" s="283">
        <f>IF(OR(C35="NS",C35="NA"),0,IF(SUM(ISTEXT(C35))=0,0,1))</f>
        <v>0</v>
      </c>
      <c r="AK33">
        <f>IF(OR(C35="NS",C35="NA"),0,LEN(C35)-LEN(INT(C35)-1))</f>
        <v>-2</v>
      </c>
      <c r="AL33">
        <f>IF(AK33&lt;=0,0,1)</f>
        <v>0</v>
      </c>
    </row>
    <row r="34" spans="1:38" ht="15" customHeight="1" thickBot="1">
      <c r="A34" s="49"/>
      <c r="B34" s="38"/>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G34"/>
      <c r="AH34"/>
      <c r="AI34"/>
      <c r="AJ34" s="513">
        <f>SUM(AJ31:AJ33)</f>
        <v>0</v>
      </c>
      <c r="AK34"/>
      <c r="AL34" s="499">
        <f>SUM(AL31:AL33)</f>
        <v>0</v>
      </c>
    </row>
    <row r="35" spans="1:38" ht="15" customHeight="1" thickBot="1">
      <c r="A35" s="49"/>
      <c r="B35" s="38"/>
      <c r="C35" s="1035"/>
      <c r="D35" s="1036"/>
      <c r="E35" s="1036"/>
      <c r="F35" s="1037"/>
      <c r="G35" s="45" t="s">
        <v>4169</v>
      </c>
      <c r="H35" s="38"/>
      <c r="I35" s="38"/>
      <c r="J35" s="38"/>
      <c r="K35" s="38"/>
      <c r="L35" s="38"/>
      <c r="M35" s="38"/>
      <c r="N35" s="38"/>
      <c r="O35" s="38"/>
      <c r="P35" s="38"/>
      <c r="Q35" s="38"/>
      <c r="R35" s="38"/>
      <c r="S35" s="38"/>
      <c r="T35" s="38"/>
      <c r="U35" s="38"/>
      <c r="V35" s="38"/>
      <c r="W35" s="38"/>
      <c r="X35" s="38"/>
      <c r="Y35" s="38"/>
      <c r="Z35" s="38"/>
      <c r="AA35" s="38"/>
      <c r="AB35" s="38"/>
      <c r="AC35" s="38"/>
      <c r="AD35" s="38"/>
    </row>
    <row r="36" spans="1:38" ht="15" customHeight="1">
      <c r="A36" s="49"/>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row>
    <row r="37" spans="1:38" ht="24" customHeight="1">
      <c r="A37" s="49"/>
      <c r="B37" s="38"/>
      <c r="C37" s="754" t="s">
        <v>2611</v>
      </c>
      <c r="D37" s="754"/>
      <c r="E37" s="754"/>
      <c r="F37" s="754"/>
      <c r="G37" s="754"/>
      <c r="H37" s="754"/>
      <c r="I37" s="754"/>
      <c r="J37" s="754"/>
      <c r="K37" s="754"/>
      <c r="L37" s="754"/>
      <c r="M37" s="754"/>
      <c r="N37" s="754"/>
      <c r="O37" s="754"/>
      <c r="P37" s="754"/>
      <c r="Q37" s="754"/>
      <c r="R37" s="754"/>
      <c r="S37" s="754"/>
      <c r="T37" s="754"/>
      <c r="U37" s="754"/>
      <c r="V37" s="754"/>
      <c r="W37" s="754"/>
      <c r="X37" s="754"/>
      <c r="Y37" s="754"/>
      <c r="Z37" s="754"/>
      <c r="AA37" s="754"/>
      <c r="AB37" s="754"/>
      <c r="AC37" s="754"/>
      <c r="AD37" s="754"/>
    </row>
    <row r="38" spans="1:38" ht="60" customHeight="1">
      <c r="A38" s="49"/>
      <c r="B38" s="38"/>
      <c r="C38" s="851"/>
      <c r="D38" s="851"/>
      <c r="E38" s="851"/>
      <c r="F38" s="851"/>
      <c r="G38" s="851"/>
      <c r="H38" s="851"/>
      <c r="I38" s="851"/>
      <c r="J38" s="851"/>
      <c r="K38" s="851"/>
      <c r="L38" s="851"/>
      <c r="M38" s="851"/>
      <c r="N38" s="851"/>
      <c r="O38" s="851"/>
      <c r="P38" s="851"/>
      <c r="Q38" s="851"/>
      <c r="R38" s="851"/>
      <c r="S38" s="851"/>
      <c r="T38" s="851"/>
      <c r="U38" s="851"/>
      <c r="V38" s="851"/>
      <c r="W38" s="851"/>
      <c r="X38" s="851"/>
      <c r="Y38" s="851"/>
      <c r="Z38" s="851"/>
      <c r="AA38" s="851"/>
      <c r="AB38" s="851"/>
      <c r="AC38" s="851"/>
      <c r="AD38" s="851"/>
    </row>
    <row r="39" spans="1:38" ht="15" customHeight="1">
      <c r="A39" s="49"/>
      <c r="B39" s="924" t="str">
        <f>IF(AG31&gt;0,"Favor de ingresar toda la información requerida en la pregunta","")</f>
        <v/>
      </c>
      <c r="C39" s="924"/>
      <c r="D39" s="924"/>
      <c r="E39" s="924"/>
      <c r="F39" s="924"/>
      <c r="G39" s="924"/>
      <c r="H39" s="924"/>
      <c r="I39" s="924"/>
      <c r="J39" s="924"/>
      <c r="K39" s="924"/>
      <c r="L39" s="924"/>
      <c r="M39" s="924"/>
      <c r="N39" s="924"/>
      <c r="O39" s="924"/>
      <c r="P39" s="924"/>
      <c r="Q39" s="924"/>
      <c r="R39" s="924"/>
      <c r="S39" s="924"/>
      <c r="T39" s="924"/>
      <c r="U39" s="924"/>
      <c r="V39" s="924"/>
      <c r="W39" s="924"/>
      <c r="X39" s="924"/>
      <c r="Y39" s="924"/>
      <c r="Z39" s="924"/>
      <c r="AA39" s="924"/>
      <c r="AB39" s="924"/>
      <c r="AC39" s="924"/>
      <c r="AD39" s="924"/>
    </row>
    <row r="40" spans="1:38" ht="15" customHeight="1">
      <c r="A40" s="49"/>
      <c r="B40" s="933" t="str">
        <f>IF(AH31&gt;0,"Alerta: debido a que cuenta con registros NS, debe proporcionar una justificación en el area de comentarios al final de la pregunta","")</f>
        <v/>
      </c>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row>
    <row r="41" spans="1:38" ht="15" customHeight="1">
      <c r="A41" s="49"/>
      <c r="B41" s="933" t="str">
        <f>IF(AI31&gt;0,"Alerta: el presupuesto ejercido es mayor al aprobado debe de proporcionar una justificación","")</f>
        <v/>
      </c>
      <c r="C41" s="933"/>
      <c r="D41" s="933"/>
      <c r="E41" s="933"/>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row>
    <row r="42" spans="1:38" ht="15" customHeight="1">
      <c r="A42" s="49"/>
      <c r="B42" s="924" t="str">
        <f>IF(AJ34&gt;0,"Las cifras deben anotarse en pesos mexicanos (no debe agregar la frase “miles o millones de pesos”)",IF(AL34&gt;0,"No deben considerarse decimales en las cifras registradas",""))</f>
        <v/>
      </c>
      <c r="C42" s="924"/>
      <c r="D42" s="924"/>
      <c r="E42" s="924"/>
      <c r="F42" s="924"/>
      <c r="G42" s="924"/>
      <c r="H42" s="924"/>
      <c r="I42" s="924"/>
      <c r="J42" s="924"/>
      <c r="K42" s="924"/>
      <c r="L42" s="924"/>
      <c r="M42" s="924"/>
      <c r="N42" s="924"/>
      <c r="O42" s="924"/>
      <c r="P42" s="924"/>
      <c r="Q42" s="924"/>
      <c r="R42" s="924"/>
      <c r="S42" s="924"/>
      <c r="T42" s="924"/>
      <c r="U42" s="924"/>
      <c r="V42" s="924"/>
      <c r="W42" s="924"/>
      <c r="X42" s="924"/>
      <c r="Y42" s="924"/>
      <c r="Z42" s="924"/>
      <c r="AA42" s="924"/>
      <c r="AB42" s="924"/>
      <c r="AC42" s="924"/>
      <c r="AD42" s="924"/>
    </row>
    <row r="43" spans="1:38" ht="15" customHeight="1">
      <c r="A43" s="49"/>
      <c r="B43" s="38"/>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row>
    <row r="44" spans="1:38" ht="15" customHeight="1">
      <c r="A44" s="49"/>
      <c r="B44" s="38"/>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row>
    <row r="45" spans="1:38" ht="24" customHeight="1">
      <c r="A45" s="49" t="s">
        <v>4170</v>
      </c>
      <c r="B45" s="829" t="s">
        <v>4171</v>
      </c>
      <c r="C45" s="829"/>
      <c r="D45" s="829"/>
      <c r="E45" s="829"/>
      <c r="F45" s="829"/>
      <c r="G45" s="829"/>
      <c r="H45" s="829"/>
      <c r="I45" s="829"/>
      <c r="J45" s="829"/>
      <c r="K45" s="829"/>
      <c r="L45" s="829"/>
      <c r="M45" s="829"/>
      <c r="N45" s="829"/>
      <c r="O45" s="829"/>
      <c r="P45" s="829"/>
      <c r="Q45" s="829"/>
      <c r="R45" s="829"/>
      <c r="S45" s="829"/>
      <c r="T45" s="829"/>
      <c r="U45" s="829"/>
      <c r="V45" s="829"/>
      <c r="W45" s="829"/>
      <c r="X45" s="829"/>
      <c r="Y45" s="829"/>
      <c r="Z45" s="829"/>
      <c r="AA45" s="829"/>
      <c r="AB45" s="829"/>
      <c r="AC45" s="829"/>
      <c r="AD45" s="829"/>
    </row>
    <row r="46" spans="1:38" ht="15" customHeight="1">
      <c r="A46" s="49"/>
      <c r="B46" s="118"/>
      <c r="C46" s="754" t="s">
        <v>4040</v>
      </c>
      <c r="D46" s="754"/>
      <c r="E46" s="754"/>
      <c r="F46" s="754"/>
      <c r="G46" s="754"/>
      <c r="H46" s="754"/>
      <c r="I46" s="754"/>
      <c r="J46" s="754"/>
      <c r="K46" s="754"/>
      <c r="L46" s="754"/>
      <c r="M46" s="754"/>
      <c r="N46" s="754"/>
      <c r="O46" s="754"/>
      <c r="P46" s="754"/>
      <c r="Q46" s="754"/>
      <c r="R46" s="754"/>
      <c r="S46" s="754"/>
      <c r="T46" s="754"/>
      <c r="U46" s="754"/>
      <c r="V46" s="754"/>
      <c r="W46" s="754"/>
      <c r="X46" s="754"/>
      <c r="Y46" s="754"/>
      <c r="Z46" s="754"/>
      <c r="AA46" s="754"/>
      <c r="AB46" s="754"/>
      <c r="AC46" s="754"/>
      <c r="AD46" s="754"/>
    </row>
    <row r="47" spans="1:38" ht="24" customHeight="1">
      <c r="A47" s="49"/>
      <c r="B47" s="118"/>
      <c r="C47" s="830" t="s">
        <v>4172</v>
      </c>
      <c r="D47" s="830"/>
      <c r="E47" s="830"/>
      <c r="F47" s="830"/>
      <c r="G47" s="830"/>
      <c r="H47" s="830"/>
      <c r="I47" s="830"/>
      <c r="J47" s="830"/>
      <c r="K47" s="830"/>
      <c r="L47" s="830"/>
      <c r="M47" s="830"/>
      <c r="N47" s="830"/>
      <c r="O47" s="830"/>
      <c r="P47" s="830"/>
      <c r="Q47" s="830"/>
      <c r="R47" s="830"/>
      <c r="S47" s="830"/>
      <c r="T47" s="830"/>
      <c r="U47" s="830"/>
      <c r="V47" s="830"/>
      <c r="W47" s="830"/>
      <c r="X47" s="830"/>
      <c r="Y47" s="830"/>
      <c r="Z47" s="830"/>
      <c r="AA47" s="830"/>
      <c r="AB47" s="830"/>
      <c r="AC47" s="830"/>
      <c r="AD47" s="830"/>
    </row>
    <row r="48" spans="1:38" ht="15" customHeight="1">
      <c r="A48" s="103"/>
      <c r="B48" s="57"/>
      <c r="C48" s="830" t="s">
        <v>4173</v>
      </c>
      <c r="D48" s="830"/>
      <c r="E48" s="830"/>
      <c r="F48" s="830"/>
      <c r="G48" s="830"/>
      <c r="H48" s="830"/>
      <c r="I48" s="830"/>
      <c r="J48" s="830"/>
      <c r="K48" s="830"/>
      <c r="L48" s="830"/>
      <c r="M48" s="830"/>
      <c r="N48" s="830"/>
      <c r="O48" s="830"/>
      <c r="P48" s="830"/>
      <c r="Q48" s="830"/>
      <c r="R48" s="830"/>
      <c r="S48" s="830"/>
      <c r="T48" s="830"/>
      <c r="U48" s="830"/>
      <c r="V48" s="830"/>
      <c r="W48" s="830"/>
      <c r="X48" s="830"/>
      <c r="Y48" s="830"/>
      <c r="Z48" s="830"/>
      <c r="AA48" s="830"/>
      <c r="AB48" s="830"/>
      <c r="AC48" s="830"/>
      <c r="AD48" s="830"/>
    </row>
    <row r="49" spans="1:38" ht="15" customHeight="1">
      <c r="A49" s="49"/>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G49" s="353"/>
      <c r="AH49" s="353"/>
      <c r="AI49" s="1053" t="s">
        <v>4174</v>
      </c>
      <c r="AJ49" s="353"/>
      <c r="AK49"/>
      <c r="AL49"/>
    </row>
    <row r="50" spans="1:38" ht="15" customHeight="1">
      <c r="A50" s="49"/>
      <c r="B50" s="38"/>
      <c r="C50" s="797" t="s">
        <v>2581</v>
      </c>
      <c r="D50" s="798"/>
      <c r="E50" s="798"/>
      <c r="F50" s="798"/>
      <c r="G50" s="798"/>
      <c r="H50" s="798"/>
      <c r="I50" s="798"/>
      <c r="J50" s="798"/>
      <c r="K50" s="798"/>
      <c r="L50" s="798"/>
      <c r="M50" s="798"/>
      <c r="N50" s="798"/>
      <c r="O50" s="798"/>
      <c r="P50" s="798"/>
      <c r="Q50" s="798"/>
      <c r="R50" s="798"/>
      <c r="S50" s="798"/>
      <c r="T50" s="798"/>
      <c r="U50" s="798"/>
      <c r="V50" s="798"/>
      <c r="W50" s="798"/>
      <c r="X50" s="799"/>
      <c r="Y50" s="732" t="s">
        <v>4175</v>
      </c>
      <c r="Z50" s="732"/>
      <c r="AA50" s="732"/>
      <c r="AB50" s="732"/>
      <c r="AC50" s="732"/>
      <c r="AD50" s="732"/>
      <c r="AG50" s="354" t="s">
        <v>2586</v>
      </c>
      <c r="AH50" s="350" t="s">
        <v>4176</v>
      </c>
      <c r="AI50" s="1053"/>
      <c r="AJ50" s="513" t="s">
        <v>4166</v>
      </c>
      <c r="AK50" s="514" t="s">
        <v>3073</v>
      </c>
      <c r="AL50" s="515" t="s">
        <v>3074</v>
      </c>
    </row>
    <row r="51" spans="1:38">
      <c r="A51" s="49"/>
      <c r="B51" s="38"/>
      <c r="C51" s="98" t="s">
        <v>2516</v>
      </c>
      <c r="D51" s="796" t="str">
        <f>IF(CNSIPEE_2024_M2_Secc1!D42="","",CNSIPEE_2024_M2_Secc1!D42)</f>
        <v/>
      </c>
      <c r="E51" s="796"/>
      <c r="F51" s="796"/>
      <c r="G51" s="796"/>
      <c r="H51" s="796"/>
      <c r="I51" s="796"/>
      <c r="J51" s="796"/>
      <c r="K51" s="796"/>
      <c r="L51" s="796"/>
      <c r="M51" s="796"/>
      <c r="N51" s="796"/>
      <c r="O51" s="796"/>
      <c r="P51" s="796"/>
      <c r="Q51" s="796"/>
      <c r="R51" s="796"/>
      <c r="S51" s="796"/>
      <c r="T51" s="796"/>
      <c r="U51" s="796"/>
      <c r="V51" s="796"/>
      <c r="W51" s="796"/>
      <c r="X51" s="796"/>
      <c r="Y51" s="749"/>
      <c r="Z51" s="749"/>
      <c r="AA51" s="749"/>
      <c r="AB51" s="749"/>
      <c r="AC51" s="749"/>
      <c r="AD51" s="749"/>
      <c r="AG51" s="283">
        <f>IF(AND(COUNTBLANK(D51)=1,COUNTA(Y51)=0),0,IF(AND(COUNTBLANK(D51)=0,COUNTA(Y51)=1),0,1))</f>
        <v>0</v>
      </c>
      <c r="AH51" s="516">
        <f>COUNTIF($Y51,"NS")+COUNTIF($Y51,"NA")</f>
        <v>0</v>
      </c>
      <c r="AI51" s="283" cm="1">
        <f t="array" ref="AI51">IF(AND(OR(Y59={"NS","NA"},$C$35={"NS","NA"})),0,IF(Y59=$C$35,0,1))</f>
        <v>0</v>
      </c>
      <c r="AJ51" s="283">
        <f>IF(OR(Y51="NS",Y51="NA"),0,IF(SUM(ISTEXT($Y51))=0,0,1))</f>
        <v>0</v>
      </c>
      <c r="AK51">
        <f>IF(OR(Y51="NS",Y51="NA"),0,LEN(Y51)-LEN(INT(Y51)-1))</f>
        <v>-2</v>
      </c>
      <c r="AL51">
        <f>IF(AK51&lt;=0,0,1)</f>
        <v>0</v>
      </c>
    </row>
    <row r="52" spans="1:38">
      <c r="A52" s="49"/>
      <c r="B52" s="38"/>
      <c r="C52" s="143" t="s">
        <v>2517</v>
      </c>
      <c r="D52" s="796" t="str">
        <f>IF(CNSIPEE_2024_M2_Secc1!D43="","",CNSIPEE_2024_M2_Secc1!D43)</f>
        <v/>
      </c>
      <c r="E52" s="796"/>
      <c r="F52" s="796"/>
      <c r="G52" s="796"/>
      <c r="H52" s="796"/>
      <c r="I52" s="796"/>
      <c r="J52" s="796"/>
      <c r="K52" s="796"/>
      <c r="L52" s="796"/>
      <c r="M52" s="796"/>
      <c r="N52" s="796"/>
      <c r="O52" s="796"/>
      <c r="P52" s="796"/>
      <c r="Q52" s="796"/>
      <c r="R52" s="796"/>
      <c r="S52" s="796"/>
      <c r="T52" s="796"/>
      <c r="U52" s="796"/>
      <c r="V52" s="796"/>
      <c r="W52" s="796"/>
      <c r="X52" s="796"/>
      <c r="Y52" s="749"/>
      <c r="Z52" s="749"/>
      <c r="AA52" s="749"/>
      <c r="AB52" s="749"/>
      <c r="AC52" s="749"/>
      <c r="AD52" s="749"/>
      <c r="AG52" s="283">
        <f t="shared" ref="AG52:AG58" si="0">IF(AND(COUNTBLANK(D52)=1,COUNTA(Y52)=0),0,IF(AND(COUNTBLANK(D52)=0,COUNTA(Y52)=1),0,1))</f>
        <v>0</v>
      </c>
      <c r="AH52" s="516">
        <f t="shared" ref="AH52:AH58" si="1">COUNTIF($Y52,"NS")+COUNTIF($Y52,"NA")</f>
        <v>0</v>
      </c>
      <c r="AJ52" s="283">
        <f t="shared" ref="AJ52:AJ58" si="2">IF(OR(Y52="NS",Y52="NA"),0,IF(SUM(ISTEXT($Y52))=0,0,1))</f>
        <v>0</v>
      </c>
      <c r="AK52">
        <f t="shared" ref="AK52:AK58" si="3">IF(OR(Y52="NS",Y52="NA"),0,LEN(Y52)-LEN(INT(Y52)-1))</f>
        <v>-2</v>
      </c>
      <c r="AL52">
        <f t="shared" ref="AL52:AL58" si="4">IF(AK52&lt;=0,0,1)</f>
        <v>0</v>
      </c>
    </row>
    <row r="53" spans="1:38" ht="15" customHeight="1">
      <c r="A53" s="49"/>
      <c r="B53" s="38"/>
      <c r="C53" s="143" t="s">
        <v>2518</v>
      </c>
      <c r="D53" s="796" t="str">
        <f>IF(CNSIPEE_2024_M2_Secc1!D44="","",CNSIPEE_2024_M2_Secc1!D44)</f>
        <v/>
      </c>
      <c r="E53" s="796"/>
      <c r="F53" s="796"/>
      <c r="G53" s="796"/>
      <c r="H53" s="796"/>
      <c r="I53" s="796"/>
      <c r="J53" s="796"/>
      <c r="K53" s="796"/>
      <c r="L53" s="796"/>
      <c r="M53" s="796"/>
      <c r="N53" s="796"/>
      <c r="O53" s="796"/>
      <c r="P53" s="796"/>
      <c r="Q53" s="796"/>
      <c r="R53" s="796"/>
      <c r="S53" s="796"/>
      <c r="T53" s="796"/>
      <c r="U53" s="796"/>
      <c r="V53" s="796"/>
      <c r="W53" s="796"/>
      <c r="X53" s="796"/>
      <c r="Y53" s="749"/>
      <c r="Z53" s="749"/>
      <c r="AA53" s="749"/>
      <c r="AB53" s="749"/>
      <c r="AC53" s="749"/>
      <c r="AD53" s="749"/>
      <c r="AG53" s="283">
        <f t="shared" si="0"/>
        <v>0</v>
      </c>
      <c r="AH53" s="516">
        <f t="shared" si="1"/>
        <v>0</v>
      </c>
      <c r="AJ53" s="283">
        <f t="shared" si="2"/>
        <v>0</v>
      </c>
      <c r="AK53">
        <f t="shared" si="3"/>
        <v>-2</v>
      </c>
      <c r="AL53">
        <f t="shared" si="4"/>
        <v>0</v>
      </c>
    </row>
    <row r="54" spans="1:38" ht="15" customHeight="1">
      <c r="A54" s="49"/>
      <c r="B54" s="38"/>
      <c r="C54" s="143" t="s">
        <v>2519</v>
      </c>
      <c r="D54" s="796" t="str">
        <f>IF(CNSIPEE_2024_M2_Secc1!D45="","",CNSIPEE_2024_M2_Secc1!D45)</f>
        <v/>
      </c>
      <c r="E54" s="796"/>
      <c r="F54" s="796"/>
      <c r="G54" s="796"/>
      <c r="H54" s="796"/>
      <c r="I54" s="796"/>
      <c r="J54" s="796"/>
      <c r="K54" s="796"/>
      <c r="L54" s="796"/>
      <c r="M54" s="796"/>
      <c r="N54" s="796"/>
      <c r="O54" s="796"/>
      <c r="P54" s="796"/>
      <c r="Q54" s="796"/>
      <c r="R54" s="796"/>
      <c r="S54" s="796"/>
      <c r="T54" s="796"/>
      <c r="U54" s="796"/>
      <c r="V54" s="796"/>
      <c r="W54" s="796"/>
      <c r="X54" s="796"/>
      <c r="Y54" s="749"/>
      <c r="Z54" s="749"/>
      <c r="AA54" s="749"/>
      <c r="AB54" s="749"/>
      <c r="AC54" s="749"/>
      <c r="AD54" s="749"/>
      <c r="AG54" s="283">
        <f t="shared" si="0"/>
        <v>0</v>
      </c>
      <c r="AH54" s="516">
        <f t="shared" si="1"/>
        <v>0</v>
      </c>
      <c r="AJ54" s="283">
        <f t="shared" si="2"/>
        <v>0</v>
      </c>
      <c r="AK54">
        <f t="shared" si="3"/>
        <v>-2</v>
      </c>
      <c r="AL54">
        <f t="shared" si="4"/>
        <v>0</v>
      </c>
    </row>
    <row r="55" spans="1:38" ht="15" customHeight="1">
      <c r="A55" s="49"/>
      <c r="B55" s="38"/>
      <c r="C55" s="143" t="s">
        <v>2520</v>
      </c>
      <c r="D55" s="796" t="str">
        <f>IF(CNSIPEE_2024_M2_Secc1!D46="","",CNSIPEE_2024_M2_Secc1!D46)</f>
        <v/>
      </c>
      <c r="E55" s="796"/>
      <c r="F55" s="796"/>
      <c r="G55" s="796"/>
      <c r="H55" s="796"/>
      <c r="I55" s="796"/>
      <c r="J55" s="796"/>
      <c r="K55" s="796"/>
      <c r="L55" s="796"/>
      <c r="M55" s="796"/>
      <c r="N55" s="796"/>
      <c r="O55" s="796"/>
      <c r="P55" s="796"/>
      <c r="Q55" s="796"/>
      <c r="R55" s="796"/>
      <c r="S55" s="796"/>
      <c r="T55" s="796"/>
      <c r="U55" s="796"/>
      <c r="V55" s="796"/>
      <c r="W55" s="796"/>
      <c r="X55" s="796"/>
      <c r="Y55" s="749"/>
      <c r="Z55" s="749"/>
      <c r="AA55" s="749"/>
      <c r="AB55" s="749"/>
      <c r="AC55" s="749"/>
      <c r="AD55" s="749"/>
      <c r="AG55" s="283">
        <f t="shared" si="0"/>
        <v>0</v>
      </c>
      <c r="AH55" s="516">
        <f t="shared" si="1"/>
        <v>0</v>
      </c>
      <c r="AJ55" s="283">
        <f t="shared" si="2"/>
        <v>0</v>
      </c>
      <c r="AK55">
        <f t="shared" si="3"/>
        <v>-2</v>
      </c>
      <c r="AL55">
        <f t="shared" si="4"/>
        <v>0</v>
      </c>
    </row>
    <row r="56" spans="1:38" ht="15" customHeight="1">
      <c r="A56" s="49"/>
      <c r="B56" s="38"/>
      <c r="C56" s="143" t="s">
        <v>2521</v>
      </c>
      <c r="D56" s="796" t="str">
        <f>IF(CNSIPEE_2024_M2_Secc1!D47="","",CNSIPEE_2024_M2_Secc1!D47)</f>
        <v/>
      </c>
      <c r="E56" s="796"/>
      <c r="F56" s="796"/>
      <c r="G56" s="796"/>
      <c r="H56" s="796"/>
      <c r="I56" s="796"/>
      <c r="J56" s="796"/>
      <c r="K56" s="796"/>
      <c r="L56" s="796"/>
      <c r="M56" s="796"/>
      <c r="N56" s="796"/>
      <c r="O56" s="796"/>
      <c r="P56" s="796"/>
      <c r="Q56" s="796"/>
      <c r="R56" s="796"/>
      <c r="S56" s="796"/>
      <c r="T56" s="796"/>
      <c r="U56" s="796"/>
      <c r="V56" s="796"/>
      <c r="W56" s="796"/>
      <c r="X56" s="796"/>
      <c r="Y56" s="749"/>
      <c r="Z56" s="749"/>
      <c r="AA56" s="749"/>
      <c r="AB56" s="749"/>
      <c r="AC56" s="749"/>
      <c r="AD56" s="749"/>
      <c r="AG56" s="283">
        <f t="shared" si="0"/>
        <v>0</v>
      </c>
      <c r="AH56" s="516">
        <f t="shared" si="1"/>
        <v>0</v>
      </c>
      <c r="AJ56" s="283">
        <f t="shared" si="2"/>
        <v>0</v>
      </c>
      <c r="AK56">
        <f t="shared" si="3"/>
        <v>-2</v>
      </c>
      <c r="AL56">
        <f t="shared" si="4"/>
        <v>0</v>
      </c>
    </row>
    <row r="57" spans="1:38" ht="15" customHeight="1">
      <c r="A57" s="49"/>
      <c r="B57" s="38"/>
      <c r="C57" s="143" t="s">
        <v>2522</v>
      </c>
      <c r="D57" s="796" t="str">
        <f>IF(CNSIPEE_2024_M2_Secc1!D48="","",CNSIPEE_2024_M2_Secc1!D48)</f>
        <v/>
      </c>
      <c r="E57" s="796"/>
      <c r="F57" s="796"/>
      <c r="G57" s="796"/>
      <c r="H57" s="796"/>
      <c r="I57" s="796"/>
      <c r="J57" s="796"/>
      <c r="K57" s="796"/>
      <c r="L57" s="796"/>
      <c r="M57" s="796"/>
      <c r="N57" s="796"/>
      <c r="O57" s="796"/>
      <c r="P57" s="796"/>
      <c r="Q57" s="796"/>
      <c r="R57" s="796"/>
      <c r="S57" s="796"/>
      <c r="T57" s="796"/>
      <c r="U57" s="796"/>
      <c r="V57" s="796"/>
      <c r="W57" s="796"/>
      <c r="X57" s="796"/>
      <c r="Y57" s="749"/>
      <c r="Z57" s="749"/>
      <c r="AA57" s="749"/>
      <c r="AB57" s="749"/>
      <c r="AC57" s="749"/>
      <c r="AD57" s="749"/>
      <c r="AG57" s="283">
        <f t="shared" si="0"/>
        <v>0</v>
      </c>
      <c r="AH57" s="516">
        <f t="shared" si="1"/>
        <v>0</v>
      </c>
      <c r="AJ57" s="283">
        <f t="shared" si="2"/>
        <v>0</v>
      </c>
      <c r="AK57">
        <f t="shared" si="3"/>
        <v>-2</v>
      </c>
      <c r="AL57">
        <f t="shared" si="4"/>
        <v>0</v>
      </c>
    </row>
    <row r="58" spans="1:38" ht="15" customHeight="1">
      <c r="A58" s="49"/>
      <c r="B58" s="38"/>
      <c r="C58" s="143" t="s">
        <v>2523</v>
      </c>
      <c r="D58" s="796" t="str">
        <f>IF(CNSIPEE_2024_M2_Secc1!D49="","",CNSIPEE_2024_M2_Secc1!D49)</f>
        <v/>
      </c>
      <c r="E58" s="796"/>
      <c r="F58" s="796"/>
      <c r="G58" s="796"/>
      <c r="H58" s="796"/>
      <c r="I58" s="796"/>
      <c r="J58" s="796"/>
      <c r="K58" s="796"/>
      <c r="L58" s="796"/>
      <c r="M58" s="796"/>
      <c r="N58" s="796"/>
      <c r="O58" s="796"/>
      <c r="P58" s="796"/>
      <c r="Q58" s="796"/>
      <c r="R58" s="796"/>
      <c r="S58" s="796"/>
      <c r="T58" s="796"/>
      <c r="U58" s="796"/>
      <c r="V58" s="796"/>
      <c r="W58" s="796"/>
      <c r="X58" s="796"/>
      <c r="Y58" s="749"/>
      <c r="Z58" s="749"/>
      <c r="AA58" s="749"/>
      <c r="AB58" s="749"/>
      <c r="AC58" s="749"/>
      <c r="AD58" s="749"/>
      <c r="AG58" s="283">
        <f t="shared" si="0"/>
        <v>0</v>
      </c>
      <c r="AH58" s="516">
        <f t="shared" si="1"/>
        <v>0</v>
      </c>
      <c r="AJ58" s="283">
        <f t="shared" si="2"/>
        <v>0</v>
      </c>
      <c r="AK58">
        <f t="shared" si="3"/>
        <v>-2</v>
      </c>
      <c r="AL58">
        <f t="shared" si="4"/>
        <v>0</v>
      </c>
    </row>
    <row r="59" spans="1:38" ht="15" customHeight="1">
      <c r="A59" s="49"/>
      <c r="B59" s="38"/>
      <c r="C59" s="38"/>
      <c r="D59" s="38"/>
      <c r="E59" s="38"/>
      <c r="F59" s="38"/>
      <c r="G59" s="38"/>
      <c r="H59" s="38"/>
      <c r="I59" s="38"/>
      <c r="J59" s="38"/>
      <c r="K59" s="38"/>
      <c r="L59" s="38"/>
      <c r="M59" s="38"/>
      <c r="N59" s="38"/>
      <c r="O59" s="38"/>
      <c r="P59" s="38"/>
      <c r="Q59" s="38"/>
      <c r="R59" s="38"/>
      <c r="S59" s="38"/>
      <c r="T59" s="38"/>
      <c r="U59" s="38"/>
      <c r="V59" s="38"/>
      <c r="W59" s="38"/>
      <c r="X59" s="117" t="s">
        <v>2649</v>
      </c>
      <c r="Y59" s="736">
        <f>IF(AND(SUM(Y51:AD58)=0,COUNTIF(Y51:AD58,"NS")&gt;0),"NS",
IF(AND(SUM(Y51:AD58)=0,COUNTIF(Y51:AD58,0)&gt;0),0,
IF(AND(SUM(Y51:AD58)=0,COUNTIF(Y51:AD58,"NA")&gt;0),"NA",
SUM(Y51:AD58))))</f>
        <v>0</v>
      </c>
      <c r="Z59" s="736"/>
      <c r="AA59" s="736"/>
      <c r="AB59" s="736"/>
      <c r="AC59" s="736"/>
      <c r="AD59" s="736"/>
      <c r="AG59" s="354">
        <f>SUM(AG51:AG58)</f>
        <v>0</v>
      </c>
      <c r="AH59" s="517">
        <f>SUM(AH51:AH58)</f>
        <v>0</v>
      </c>
      <c r="AI59" s="249"/>
      <c r="AJ59" s="518">
        <f>SUM(AJ51:AJ58)</f>
        <v>0</v>
      </c>
      <c r="AK59"/>
      <c r="AL59" s="339">
        <f>SUM(AL51:AL58)</f>
        <v>0</v>
      </c>
    </row>
    <row r="60" spans="1:38" ht="15" customHeight="1">
      <c r="A60" s="49"/>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row>
    <row r="61" spans="1:38" ht="24" customHeight="1">
      <c r="A61" s="96"/>
      <c r="B61" s="90"/>
      <c r="C61" s="754" t="s">
        <v>2611</v>
      </c>
      <c r="D61" s="754"/>
      <c r="E61" s="754"/>
      <c r="F61" s="754"/>
      <c r="G61" s="754"/>
      <c r="H61" s="754"/>
      <c r="I61" s="754"/>
      <c r="J61" s="754"/>
      <c r="K61" s="754"/>
      <c r="L61" s="754"/>
      <c r="M61" s="754"/>
      <c r="N61" s="754"/>
      <c r="O61" s="754"/>
      <c r="P61" s="754"/>
      <c r="Q61" s="754"/>
      <c r="R61" s="754"/>
      <c r="S61" s="754"/>
      <c r="T61" s="754"/>
      <c r="U61" s="754"/>
      <c r="V61" s="754"/>
      <c r="W61" s="754"/>
      <c r="X61" s="754"/>
      <c r="Y61" s="754"/>
      <c r="Z61" s="754"/>
      <c r="AA61" s="754"/>
      <c r="AB61" s="754"/>
      <c r="AC61" s="754"/>
      <c r="AD61" s="754"/>
    </row>
    <row r="62" spans="1:38" ht="60" customHeight="1">
      <c r="A62" s="96"/>
      <c r="B62" s="90"/>
      <c r="C62" s="851"/>
      <c r="D62" s="851"/>
      <c r="E62" s="851"/>
      <c r="F62" s="851"/>
      <c r="G62" s="851"/>
      <c r="H62" s="851"/>
      <c r="I62" s="851"/>
      <c r="J62" s="851"/>
      <c r="K62" s="851"/>
      <c r="L62" s="851"/>
      <c r="M62" s="851"/>
      <c r="N62" s="851"/>
      <c r="O62" s="851"/>
      <c r="P62" s="851"/>
      <c r="Q62" s="851"/>
      <c r="R62" s="851"/>
      <c r="S62" s="851"/>
      <c r="T62" s="851"/>
      <c r="U62" s="851"/>
      <c r="V62" s="851"/>
      <c r="W62" s="851"/>
      <c r="X62" s="851"/>
      <c r="Y62" s="851"/>
      <c r="Z62" s="851"/>
      <c r="AA62" s="851"/>
      <c r="AB62" s="851"/>
      <c r="AC62" s="851"/>
      <c r="AD62" s="851"/>
    </row>
    <row r="63" spans="1:38" ht="15" customHeight="1">
      <c r="A63" s="96"/>
      <c r="B63" s="924" t="str">
        <f>IF(AG59&gt;0,"Favor de ingresar toda la información requerida en la pregunta","")</f>
        <v/>
      </c>
      <c r="C63" s="924"/>
      <c r="D63" s="924"/>
      <c r="E63" s="924"/>
      <c r="F63" s="924"/>
      <c r="G63" s="924"/>
      <c r="H63" s="924"/>
      <c r="I63" s="924"/>
      <c r="J63" s="924"/>
      <c r="K63" s="924"/>
      <c r="L63" s="924"/>
      <c r="M63" s="924"/>
      <c r="N63" s="924"/>
      <c r="O63" s="924"/>
      <c r="P63" s="924"/>
      <c r="Q63" s="924"/>
      <c r="R63" s="924"/>
      <c r="S63" s="924"/>
      <c r="T63" s="924"/>
      <c r="U63" s="924"/>
      <c r="V63" s="924"/>
      <c r="W63" s="924"/>
      <c r="X63" s="924"/>
      <c r="Y63" s="924"/>
      <c r="Z63" s="924"/>
      <c r="AA63" s="924"/>
      <c r="AB63" s="924"/>
      <c r="AC63" s="924"/>
      <c r="AD63" s="924"/>
    </row>
    <row r="64" spans="1:38" ht="15" customHeight="1">
      <c r="A64" s="96"/>
      <c r="B64" s="933" t="str">
        <f>IF(AH59&gt;0,"Alerta: debido a que cuenta con registros NS o NA, debe proporcionar una justificación que explique dicha situación","")</f>
        <v/>
      </c>
      <c r="C64" s="933"/>
      <c r="D64" s="933"/>
      <c r="E64" s="933"/>
      <c r="F64" s="933"/>
      <c r="G64" s="933"/>
      <c r="H64" s="933"/>
      <c r="I64" s="933"/>
      <c r="J64" s="933"/>
      <c r="K64" s="933"/>
      <c r="L64" s="933"/>
      <c r="M64" s="933"/>
      <c r="N64" s="933"/>
      <c r="O64" s="933"/>
      <c r="P64" s="933"/>
      <c r="Q64" s="933"/>
      <c r="R64" s="933"/>
      <c r="S64" s="933"/>
      <c r="T64" s="933"/>
      <c r="U64" s="933"/>
      <c r="V64" s="933"/>
      <c r="W64" s="933"/>
      <c r="X64" s="933"/>
      <c r="Y64" s="933"/>
      <c r="Z64" s="933"/>
      <c r="AA64" s="933"/>
      <c r="AB64" s="933"/>
      <c r="AC64" s="933"/>
      <c r="AD64" s="933"/>
    </row>
    <row r="65" spans="1:53" ht="15" customHeight="1">
      <c r="A65" s="96"/>
      <c r="B65" s="933" t="str">
        <f>IF(AI51&gt;0,"Alerta: la suma de las cantidades registradas debe de ser igual a lo reportado en el numeral 3 de la pregunta 4.1","")</f>
        <v/>
      </c>
      <c r="C65" s="933"/>
      <c r="D65" s="933"/>
      <c r="E65" s="933"/>
      <c r="F65" s="933"/>
      <c r="G65" s="933"/>
      <c r="H65" s="933"/>
      <c r="I65" s="933"/>
      <c r="J65" s="933"/>
      <c r="K65" s="933"/>
      <c r="L65" s="933"/>
      <c r="M65" s="933"/>
      <c r="N65" s="933"/>
      <c r="O65" s="933"/>
      <c r="P65" s="933"/>
      <c r="Q65" s="933"/>
      <c r="R65" s="933"/>
      <c r="S65" s="933"/>
      <c r="T65" s="933"/>
      <c r="U65" s="933"/>
      <c r="V65" s="933"/>
      <c r="W65" s="933"/>
      <c r="X65" s="933"/>
      <c r="Y65" s="933"/>
      <c r="Z65" s="933"/>
      <c r="AA65" s="933"/>
      <c r="AB65" s="933"/>
      <c r="AC65" s="933"/>
      <c r="AD65" s="933"/>
    </row>
    <row r="66" spans="1:53" ht="15" customHeight="1">
      <c r="A66" s="96"/>
      <c r="B66" s="924" t="str">
        <f>IF(AJ59&gt;0,"Las cifras deben anotarse en pesos mexicanos (no debe agregar la frase “miles o millones de pesos”)",IF(AL59&gt;0,"No deben considerarse decimales en las cifras registradas",""))</f>
        <v/>
      </c>
      <c r="C66" s="924"/>
      <c r="D66" s="924"/>
      <c r="E66" s="924"/>
      <c r="F66" s="924"/>
      <c r="G66" s="924"/>
      <c r="H66" s="924"/>
      <c r="I66" s="924"/>
      <c r="J66" s="924"/>
      <c r="K66" s="924"/>
      <c r="L66" s="924"/>
      <c r="M66" s="924"/>
      <c r="N66" s="924"/>
      <c r="O66" s="924"/>
      <c r="P66" s="924"/>
      <c r="Q66" s="924"/>
      <c r="R66" s="924"/>
      <c r="S66" s="924"/>
      <c r="T66" s="924"/>
      <c r="U66" s="924"/>
      <c r="V66" s="924"/>
      <c r="W66" s="924"/>
      <c r="X66" s="924"/>
      <c r="Y66" s="924"/>
      <c r="Z66" s="924"/>
      <c r="AA66" s="924"/>
      <c r="AB66" s="924"/>
      <c r="AC66" s="924"/>
      <c r="AD66" s="924"/>
    </row>
    <row r="67" spans="1:53" ht="15" customHeight="1">
      <c r="A67" s="96"/>
      <c r="B67"/>
      <c r="C67"/>
      <c r="D67"/>
      <c r="E67"/>
      <c r="F67"/>
      <c r="G67"/>
      <c r="H67"/>
      <c r="I67"/>
      <c r="J67"/>
      <c r="K67"/>
      <c r="L67"/>
      <c r="M67"/>
      <c r="N67"/>
      <c r="O67"/>
      <c r="P67"/>
      <c r="Q67"/>
      <c r="R67"/>
      <c r="S67"/>
      <c r="T67"/>
      <c r="U67"/>
      <c r="V67"/>
      <c r="W67"/>
      <c r="X67"/>
      <c r="Y67"/>
      <c r="Z67"/>
      <c r="AA67"/>
      <c r="AB67"/>
      <c r="AC67"/>
      <c r="AD67"/>
    </row>
    <row r="68" spans="1:53" ht="15" customHeight="1">
      <c r="A68" s="49"/>
      <c r="B68"/>
      <c r="C68"/>
      <c r="D68"/>
      <c r="E68"/>
      <c r="F68"/>
      <c r="G68"/>
      <c r="H68"/>
      <c r="I68"/>
      <c r="J68"/>
      <c r="K68"/>
      <c r="L68"/>
      <c r="M68"/>
      <c r="N68"/>
      <c r="O68"/>
      <c r="P68"/>
      <c r="Q68"/>
      <c r="R68"/>
      <c r="S68"/>
      <c r="T68"/>
      <c r="U68"/>
      <c r="V68"/>
      <c r="W68"/>
      <c r="X68"/>
      <c r="Y68"/>
      <c r="Z68"/>
      <c r="AA68"/>
      <c r="AB68"/>
      <c r="AC68"/>
      <c r="AD68"/>
    </row>
    <row r="69" spans="1:53" ht="24" customHeight="1">
      <c r="A69" s="49" t="s">
        <v>4177</v>
      </c>
      <c r="B69" s="829" t="s">
        <v>4178</v>
      </c>
      <c r="C69" s="829"/>
      <c r="D69" s="829"/>
      <c r="E69" s="829"/>
      <c r="F69" s="829"/>
      <c r="G69" s="829"/>
      <c r="H69" s="829"/>
      <c r="I69" s="829"/>
      <c r="J69" s="829"/>
      <c r="K69" s="829"/>
      <c r="L69" s="829"/>
      <c r="M69" s="829"/>
      <c r="N69" s="829"/>
      <c r="O69" s="829"/>
      <c r="P69" s="829"/>
      <c r="Q69" s="829"/>
      <c r="R69" s="829"/>
      <c r="S69" s="829"/>
      <c r="T69" s="829"/>
      <c r="U69" s="829"/>
      <c r="V69" s="829"/>
      <c r="W69" s="829"/>
      <c r="X69" s="829"/>
      <c r="Y69" s="829"/>
      <c r="Z69" s="829"/>
      <c r="AA69" s="829"/>
      <c r="AB69" s="829"/>
      <c r="AC69" s="829"/>
      <c r="AD69" s="829"/>
    </row>
    <row r="70" spans="1:53" ht="15" customHeight="1">
      <c r="A70" s="103"/>
      <c r="B70" s="57"/>
      <c r="C70" s="830" t="s">
        <v>4179</v>
      </c>
      <c r="D70" s="830"/>
      <c r="E70" s="830"/>
      <c r="F70" s="830"/>
      <c r="G70" s="830"/>
      <c r="H70" s="830"/>
      <c r="I70" s="830"/>
      <c r="J70" s="830"/>
      <c r="K70" s="830"/>
      <c r="L70" s="830"/>
      <c r="M70" s="830"/>
      <c r="N70" s="830"/>
      <c r="O70" s="830"/>
      <c r="P70" s="830"/>
      <c r="Q70" s="830"/>
      <c r="R70" s="830"/>
      <c r="S70" s="830"/>
      <c r="T70" s="830"/>
      <c r="U70" s="830"/>
      <c r="V70" s="830"/>
      <c r="W70" s="830"/>
      <c r="X70" s="830"/>
      <c r="Y70" s="830"/>
      <c r="Z70" s="830"/>
      <c r="AA70" s="830"/>
      <c r="AB70" s="830"/>
      <c r="AC70" s="830"/>
      <c r="AD70" s="830"/>
      <c r="AG70" s="1054" t="s">
        <v>4180</v>
      </c>
      <c r="AH70" s="1054"/>
      <c r="AI70" s="1054"/>
      <c r="AJ70"/>
      <c r="AK70"/>
      <c r="AL70"/>
      <c r="AM70"/>
      <c r="AN70"/>
      <c r="AO70"/>
      <c r="AP70"/>
      <c r="AQ70"/>
      <c r="AR70"/>
      <c r="AS70"/>
      <c r="AT70"/>
      <c r="AU70"/>
      <c r="AV70"/>
      <c r="AW70"/>
      <c r="AX70"/>
      <c r="AY70"/>
      <c r="AZ70"/>
      <c r="BA70"/>
    </row>
    <row r="71" spans="1:53" ht="15" customHeight="1">
      <c r="A71" s="49"/>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G71" s="282" t="s">
        <v>2590</v>
      </c>
      <c r="AH71" s="519" t="s">
        <v>4181</v>
      </c>
      <c r="AI71" s="281" t="s">
        <v>3164</v>
      </c>
      <c r="AJ71"/>
      <c r="AK71"/>
      <c r="AL71"/>
      <c r="AM71"/>
      <c r="AN71"/>
      <c r="AO71"/>
      <c r="AP71"/>
      <c r="AQ71"/>
      <c r="AR71"/>
      <c r="AS71"/>
      <c r="AT71"/>
      <c r="AU71"/>
      <c r="AV71"/>
      <c r="AW71"/>
      <c r="AX71"/>
      <c r="AY71"/>
      <c r="AZ71"/>
      <c r="BA71"/>
    </row>
    <row r="72" spans="1:53" ht="15" customHeight="1">
      <c r="A72" s="49"/>
      <c r="B72" s="38"/>
      <c r="C72" s="732" t="s">
        <v>4182</v>
      </c>
      <c r="D72" s="740"/>
      <c r="E72" s="740"/>
      <c r="F72" s="740"/>
      <c r="G72" s="740"/>
      <c r="H72" s="740"/>
      <c r="I72" s="740"/>
      <c r="J72" s="740"/>
      <c r="K72" s="740"/>
      <c r="L72" s="740"/>
      <c r="M72" s="740"/>
      <c r="N72" s="740"/>
      <c r="O72" s="740"/>
      <c r="P72" s="740"/>
      <c r="Q72" s="740"/>
      <c r="R72" s="740"/>
      <c r="S72" s="740"/>
      <c r="T72" s="740"/>
      <c r="U72" s="740"/>
      <c r="V72" s="740"/>
      <c r="W72" s="740"/>
      <c r="X72" s="740"/>
      <c r="Y72" s="740"/>
      <c r="Z72" s="740"/>
      <c r="AA72" s="740"/>
      <c r="AB72" s="740"/>
      <c r="AC72" s="740"/>
      <c r="AD72" s="741"/>
      <c r="AG72" s="516">
        <f>COUNTIF(C75,"NS")+COUNTIF(F75,"NS")+COUNTIF(I75,"NS")+COUNTIF(L75,"NS")+COUNTIF(P75,"NS")+COUNTIF(S75,"NS")+COUNTIF(V75,"NS")+COUNTIF(Y75,"NS")+COUNTIF(AB75,"NS")</f>
        <v>0</v>
      </c>
      <c r="AH72" s="516">
        <f>SUM(C75,F75,I75,L75,P75,S75,V75,Y75,AB75)</f>
        <v>0</v>
      </c>
      <c r="AI72" s="283">
        <f>IF(AND(C35="NA",C75="NA",F75="NA",I75="NA",L75="NA",P75="NA",S75="NA",V75="NA",Y75="NA",AB75="NA"),0,IF(OR(AND(C35=0,AG72&gt;0),AND(C35="NS",AH72&gt;0),AND(C35="NS",AG72=0,AH72=0)),1,IF(OR(AND(AG72&gt;=2,C35&gt;AH72),AND(C35="NS",AH72=0,AG72&gt;0),C35=AH72),0,1)))</f>
        <v>0</v>
      </c>
      <c r="AJ72"/>
      <c r="AK72"/>
      <c r="AL72"/>
      <c r="AM72"/>
      <c r="AN72"/>
      <c r="AO72"/>
      <c r="AP72"/>
      <c r="AQ72"/>
      <c r="AR72"/>
      <c r="AS72"/>
      <c r="AT72"/>
      <c r="AU72"/>
      <c r="AV72"/>
      <c r="AW72"/>
      <c r="AX72"/>
      <c r="AY72"/>
      <c r="AZ72"/>
      <c r="BA72"/>
    </row>
    <row r="73" spans="1:53" ht="48" customHeight="1">
      <c r="A73" s="96"/>
      <c r="B73" s="90"/>
      <c r="C73" s="733" t="s">
        <v>4183</v>
      </c>
      <c r="D73" s="734"/>
      <c r="E73" s="735"/>
      <c r="F73" s="733" t="s">
        <v>4184</v>
      </c>
      <c r="G73" s="734"/>
      <c r="H73" s="735"/>
      <c r="I73" s="733" t="s">
        <v>4185</v>
      </c>
      <c r="J73" s="734"/>
      <c r="K73" s="735"/>
      <c r="L73" s="733" t="s">
        <v>4186</v>
      </c>
      <c r="M73" s="734"/>
      <c r="N73" s="734"/>
      <c r="O73" s="735"/>
      <c r="P73" s="733" t="s">
        <v>4187</v>
      </c>
      <c r="Q73" s="734"/>
      <c r="R73" s="735"/>
      <c r="S73" s="733" t="s">
        <v>4188</v>
      </c>
      <c r="T73" s="734"/>
      <c r="U73" s="735"/>
      <c r="V73" s="733" t="s">
        <v>4189</v>
      </c>
      <c r="W73" s="734"/>
      <c r="X73" s="735"/>
      <c r="Y73" s="733" t="s">
        <v>4190</v>
      </c>
      <c r="Z73" s="734"/>
      <c r="AA73" s="735"/>
      <c r="AB73" s="733" t="s">
        <v>4191</v>
      </c>
      <c r="AC73" s="734"/>
      <c r="AD73" s="735"/>
      <c r="AG73"/>
      <c r="AH73"/>
      <c r="AI73"/>
      <c r="AJ73" s="1051" t="s">
        <v>3062</v>
      </c>
      <c r="AK73" s="1051"/>
      <c r="AL73" s="1051"/>
      <c r="AM73" s="1051"/>
      <c r="AN73" s="1051"/>
      <c r="AO73" s="1051"/>
      <c r="AP73" s="1051"/>
      <c r="AQ73" s="1051"/>
      <c r="AR73" s="1051"/>
      <c r="AS73" s="1052" t="s">
        <v>3073</v>
      </c>
      <c r="AT73" s="1052"/>
      <c r="AU73" s="1052"/>
      <c r="AV73" s="1052"/>
      <c r="AW73" s="1052"/>
      <c r="AX73" s="1052"/>
      <c r="AY73" s="1052"/>
      <c r="AZ73" s="1052"/>
      <c r="BA73" s="1052"/>
    </row>
    <row r="74" spans="1:53" ht="24" customHeight="1">
      <c r="A74" s="49"/>
      <c r="B74" s="38"/>
      <c r="C74" s="733" t="s">
        <v>4192</v>
      </c>
      <c r="D74" s="734"/>
      <c r="E74" s="735"/>
      <c r="F74" s="733" t="s">
        <v>4193</v>
      </c>
      <c r="G74" s="734"/>
      <c r="H74" s="735"/>
      <c r="I74" s="733" t="s">
        <v>4194</v>
      </c>
      <c r="J74" s="734"/>
      <c r="K74" s="735"/>
      <c r="L74" s="733" t="s">
        <v>4195</v>
      </c>
      <c r="M74" s="734"/>
      <c r="N74" s="734"/>
      <c r="O74" s="735"/>
      <c r="P74" s="733" t="s">
        <v>4196</v>
      </c>
      <c r="Q74" s="734"/>
      <c r="R74" s="735"/>
      <c r="S74" s="733" t="s">
        <v>4197</v>
      </c>
      <c r="T74" s="734"/>
      <c r="U74" s="735"/>
      <c r="V74" s="733" t="s">
        <v>4198</v>
      </c>
      <c r="W74" s="734"/>
      <c r="X74" s="735"/>
      <c r="Y74" s="733" t="s">
        <v>4199</v>
      </c>
      <c r="Z74" s="734"/>
      <c r="AA74" s="735"/>
      <c r="AB74" s="733" t="s">
        <v>4200</v>
      </c>
      <c r="AC74" s="734"/>
      <c r="AD74" s="735"/>
      <c r="AG74" s="354" t="s">
        <v>2586</v>
      </c>
      <c r="AH74" s="350" t="s">
        <v>2590</v>
      </c>
      <c r="AI74"/>
      <c r="AJ74" s="520" t="s">
        <v>4201</v>
      </c>
      <c r="AK74" s="520" t="s">
        <v>4202</v>
      </c>
      <c r="AL74" s="520" t="s">
        <v>4203</v>
      </c>
      <c r="AM74" s="520" t="s">
        <v>4204</v>
      </c>
      <c r="AN74" s="520" t="s">
        <v>4205</v>
      </c>
      <c r="AO74" s="520" t="s">
        <v>4206</v>
      </c>
      <c r="AP74" s="520" t="s">
        <v>4207</v>
      </c>
      <c r="AQ74" s="520" t="s">
        <v>4208</v>
      </c>
      <c r="AR74" s="520" t="s">
        <v>4209</v>
      </c>
      <c r="AS74" s="521" t="s">
        <v>4201</v>
      </c>
      <c r="AT74" s="521" t="s">
        <v>4202</v>
      </c>
      <c r="AU74" s="521" t="s">
        <v>4203</v>
      </c>
      <c r="AV74" s="521" t="s">
        <v>4204</v>
      </c>
      <c r="AW74" s="521" t="s">
        <v>4205</v>
      </c>
      <c r="AX74" s="521" t="s">
        <v>4206</v>
      </c>
      <c r="AY74" s="521" t="s">
        <v>4207</v>
      </c>
      <c r="AZ74" s="521" t="s">
        <v>4208</v>
      </c>
      <c r="BA74" s="521" t="s">
        <v>4209</v>
      </c>
    </row>
    <row r="75" spans="1:53" ht="15" customHeight="1">
      <c r="A75" s="49"/>
      <c r="B75" s="38"/>
      <c r="C75" s="1045"/>
      <c r="D75" s="1046"/>
      <c r="E75" s="1047"/>
      <c r="F75" s="1045"/>
      <c r="G75" s="1046"/>
      <c r="H75" s="1047"/>
      <c r="I75" s="1045"/>
      <c r="J75" s="1046"/>
      <c r="K75" s="1047"/>
      <c r="L75" s="1045"/>
      <c r="M75" s="1046"/>
      <c r="N75" s="1046"/>
      <c r="O75" s="1047"/>
      <c r="P75" s="1045"/>
      <c r="Q75" s="1046"/>
      <c r="R75" s="1047"/>
      <c r="S75" s="1045"/>
      <c r="T75" s="1046"/>
      <c r="U75" s="1047"/>
      <c r="V75" s="1045"/>
      <c r="W75" s="1046"/>
      <c r="X75" s="1047"/>
      <c r="Y75" s="1045"/>
      <c r="Z75" s="1046"/>
      <c r="AA75" s="1047"/>
      <c r="AB75" s="1045"/>
      <c r="AC75" s="1046"/>
      <c r="AD75" s="1047"/>
      <c r="AG75" s="283">
        <f>IF(COUNTA(C75:AD75)=0,0,IF(COUNTA(C75:AD75)=9,0,1))</f>
        <v>0</v>
      </c>
      <c r="AH75" s="516">
        <f>COUNTIF(C75,"NS")+COUNTIF(F75,"NS")+COUNTIF(I75,"NS")+COUNTIF(L75,"NS")+COUNTIF(P75,"NS")+COUNTIF(S75,"NS")+COUNTIF(V75,"NS")+COUNTIF(Y75,"NS")+COUNTIF(AB75,"NS")</f>
        <v>0</v>
      </c>
      <c r="AI75"/>
      <c r="AJ75" s="516">
        <f>IF(OR(C75="NS",C75="NA"),0,IF(SUM(ISTEXT(C75))=0,0,1))</f>
        <v>0</v>
      </c>
      <c r="AK75" s="516">
        <f>IF(OR(F75="NS",F75="NA"),0,IF(SUM(ISTEXT(F75))=0,0,1))</f>
        <v>0</v>
      </c>
      <c r="AL75" s="516">
        <f>IF(OR(I75="NS",I75="NA"),0,IF(SUM(ISTEXT(I75))=0,0,1))</f>
        <v>0</v>
      </c>
      <c r="AM75" s="516">
        <f>IF(OR(L75="NS",L75="NA"),0,IF(SUM(ISTEXT(L75))=0,0,1))</f>
        <v>0</v>
      </c>
      <c r="AN75" s="516">
        <f>IF(OR(P75="NS",P75="NA"),0,IF(SUM(ISTEXT(P75))=0,0,1))</f>
        <v>0</v>
      </c>
      <c r="AO75" s="516">
        <f>IF(OR(S75="NS",S75="NA"),0,IF(SUM(ISTEXT(S75))=0,0,1))</f>
        <v>0</v>
      </c>
      <c r="AP75" s="516">
        <f>IF(OR(V75="NS",V75="NA"),0,IF(SUM(ISTEXT(V75))=0,0,1))</f>
        <v>0</v>
      </c>
      <c r="AQ75" s="516">
        <f>IF(OR(Y75="NS",Y75="NA"),0,IF(SUM(ISTEXT(Y75))=0,0,1))</f>
        <v>0</v>
      </c>
      <c r="AR75" s="516">
        <f>IF(OR(AB75="NS",AB75="NA"),0,IF(SUM(ISTEXT(AB75))=0,0,1))</f>
        <v>0</v>
      </c>
      <c r="AS75">
        <f>IF(OR(C75="NS",C75="NA"),0,LEN(C75)-LEN(INT(C75)-1))</f>
        <v>-2</v>
      </c>
      <c r="AT75">
        <f>IF(OR(F75="NS",F75="NA"),0,LEN(F75)-LEN(INT(F75)-1))</f>
        <v>-2</v>
      </c>
      <c r="AU75">
        <f>IF(OR(I75="NS",I75="NA"),0,LEN(I75)-LEN(INT(I75)-1))</f>
        <v>-2</v>
      </c>
      <c r="AV75">
        <f>IF(OR(L75="NS",L75="NA"),0,LEN(L75)-LEN(INT(L75)-1))</f>
        <v>-2</v>
      </c>
      <c r="AW75">
        <f>IF(OR(P75="NS",P75="NA"),0,LEN(P75)-LEN(INT(P75)-1))</f>
        <v>-2</v>
      </c>
      <c r="AX75">
        <f>IF(OR(S75="NS",S75="NA"),0,LEN(S75)-LEN(INT(S75)-1))</f>
        <v>-2</v>
      </c>
      <c r="AY75">
        <f>IF(OR(V75="NS",V75="NA"),0,LEN(V75)-LEN(INT(V75)-1))</f>
        <v>-2</v>
      </c>
      <c r="AZ75">
        <f>IF(OR(Y75="NS",Y75="NA"),0,LEN(Y75)-LEN(INT(Y75)-1))</f>
        <v>-2</v>
      </c>
      <c r="BA75">
        <f>IF(OR(AB75="NS",AB75="NA"),0,LEN(AB75)-LEN(INT(AB75)-1))</f>
        <v>-2</v>
      </c>
    </row>
    <row r="76" spans="1:53" ht="15" customHeight="1">
      <c r="A76" s="49"/>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G76"/>
      <c r="AH76"/>
      <c r="AI76"/>
      <c r="AJ76"/>
      <c r="AK76"/>
      <c r="AL76"/>
      <c r="AM76"/>
      <c r="AN76"/>
      <c r="AO76"/>
      <c r="AP76"/>
      <c r="AQ76"/>
      <c r="AR76" s="522">
        <f>SUM(AJ75:AR75)</f>
        <v>0</v>
      </c>
      <c r="AS76">
        <f>IF(AS75&lt;=0,0,1)</f>
        <v>0</v>
      </c>
      <c r="AT76">
        <f t="shared" ref="AT76:BA76" si="5">IF(AT75&lt;=0,0,1)</f>
        <v>0</v>
      </c>
      <c r="AU76">
        <f t="shared" si="5"/>
        <v>0</v>
      </c>
      <c r="AV76">
        <f t="shared" si="5"/>
        <v>0</v>
      </c>
      <c r="AW76">
        <f t="shared" si="5"/>
        <v>0</v>
      </c>
      <c r="AX76">
        <f t="shared" si="5"/>
        <v>0</v>
      </c>
      <c r="AY76">
        <f t="shared" si="5"/>
        <v>0</v>
      </c>
      <c r="AZ76">
        <f t="shared" si="5"/>
        <v>0</v>
      </c>
      <c r="BA76">
        <f t="shared" si="5"/>
        <v>0</v>
      </c>
    </row>
    <row r="77" spans="1:53" ht="24" customHeight="1">
      <c r="A77" s="96"/>
      <c r="B77" s="90"/>
      <c r="C77" s="754" t="s">
        <v>2611</v>
      </c>
      <c r="D77" s="754"/>
      <c r="E77" s="754"/>
      <c r="F77" s="754"/>
      <c r="G77" s="754"/>
      <c r="H77" s="754"/>
      <c r="I77" s="754"/>
      <c r="J77" s="754"/>
      <c r="K77" s="754"/>
      <c r="L77" s="754"/>
      <c r="M77" s="754"/>
      <c r="N77" s="754"/>
      <c r="O77" s="754"/>
      <c r="P77" s="754"/>
      <c r="Q77" s="754"/>
      <c r="R77" s="754"/>
      <c r="S77" s="754"/>
      <c r="T77" s="754"/>
      <c r="U77" s="754"/>
      <c r="V77" s="754"/>
      <c r="W77" s="754"/>
      <c r="X77" s="754"/>
      <c r="Y77" s="754"/>
      <c r="Z77" s="754"/>
      <c r="AA77" s="754"/>
      <c r="AB77" s="754"/>
      <c r="AC77" s="754"/>
      <c r="AD77" s="754"/>
      <c r="AG77"/>
      <c r="AH77"/>
      <c r="AI77"/>
      <c r="AJ77"/>
      <c r="AK77"/>
      <c r="AL77"/>
      <c r="AM77"/>
      <c r="AN77"/>
      <c r="AO77"/>
      <c r="AP77"/>
      <c r="AQ77"/>
      <c r="AR77"/>
      <c r="AS77"/>
      <c r="AT77"/>
      <c r="AU77"/>
      <c r="AV77"/>
      <c r="AW77"/>
      <c r="AX77"/>
      <c r="AY77"/>
      <c r="AZ77"/>
      <c r="BA77" s="515">
        <f>SUM(AS76:BA76)</f>
        <v>0</v>
      </c>
    </row>
    <row r="78" spans="1:53" ht="60" customHeight="1">
      <c r="A78" s="96"/>
      <c r="B78" s="90"/>
      <c r="C78" s="851"/>
      <c r="D78" s="851"/>
      <c r="E78" s="851"/>
      <c r="F78" s="851"/>
      <c r="G78" s="851"/>
      <c r="H78" s="851"/>
      <c r="I78" s="851"/>
      <c r="J78" s="851"/>
      <c r="K78" s="851"/>
      <c r="L78" s="851"/>
      <c r="M78" s="851"/>
      <c r="N78" s="851"/>
      <c r="O78" s="851"/>
      <c r="P78" s="851"/>
      <c r="Q78" s="851"/>
      <c r="R78" s="851"/>
      <c r="S78" s="851"/>
      <c r="T78" s="851"/>
      <c r="U78" s="851"/>
      <c r="V78" s="851"/>
      <c r="W78" s="851"/>
      <c r="X78" s="851"/>
      <c r="Y78" s="851"/>
      <c r="Z78" s="851"/>
      <c r="AA78" s="851"/>
      <c r="AB78" s="851"/>
      <c r="AC78" s="851"/>
      <c r="AD78" s="851"/>
    </row>
    <row r="79" spans="1:53" ht="15" customHeight="1">
      <c r="A79" s="96"/>
      <c r="B79" s="924" t="str">
        <f>IF(AG75&gt;0,"Favor de ingresar toda la información requerida en la pregunta","")</f>
        <v/>
      </c>
      <c r="C79" s="924"/>
      <c r="D79" s="924"/>
      <c r="E79" s="924"/>
      <c r="F79" s="924"/>
      <c r="G79" s="924"/>
      <c r="H79" s="924"/>
      <c r="I79" s="924"/>
      <c r="J79" s="924"/>
      <c r="K79" s="924"/>
      <c r="L79" s="924"/>
      <c r="M79" s="924"/>
      <c r="N79" s="924"/>
      <c r="O79" s="924"/>
      <c r="P79" s="924"/>
      <c r="Q79" s="924"/>
      <c r="R79" s="924"/>
      <c r="S79" s="924"/>
      <c r="T79" s="924"/>
      <c r="U79" s="924"/>
      <c r="V79" s="924"/>
      <c r="W79" s="924"/>
      <c r="X79" s="924"/>
      <c r="Y79" s="924"/>
      <c r="Z79" s="924"/>
      <c r="AA79" s="924"/>
      <c r="AB79" s="924"/>
      <c r="AC79" s="924"/>
      <c r="AD79" s="924"/>
    </row>
    <row r="80" spans="1:53" ht="15" customHeight="1">
      <c r="A80" s="96"/>
      <c r="B80" s="933" t="str">
        <f>IF(AH75&gt;0,"Alerta: debido a que cuenta con registros NS, debe proporcionar una justificación en el area de comentarios al final de la pregunta","")</f>
        <v/>
      </c>
      <c r="C80" s="933"/>
      <c r="D80" s="933"/>
      <c r="E80" s="933"/>
      <c r="F80" s="933"/>
      <c r="G80" s="933"/>
      <c r="H80" s="933"/>
      <c r="I80" s="933"/>
      <c r="J80" s="933"/>
      <c r="K80" s="933"/>
      <c r="L80" s="933"/>
      <c r="M80" s="933"/>
      <c r="N80" s="933"/>
      <c r="O80" s="933"/>
      <c r="P80" s="933"/>
      <c r="Q80" s="933"/>
      <c r="R80" s="933"/>
      <c r="S80" s="933"/>
      <c r="T80" s="933"/>
      <c r="U80" s="933"/>
      <c r="V80" s="933"/>
      <c r="W80" s="933"/>
      <c r="X80" s="933"/>
      <c r="Y80" s="933"/>
      <c r="Z80" s="933"/>
      <c r="AA80" s="933"/>
      <c r="AB80" s="933"/>
      <c r="AC80" s="933"/>
      <c r="AD80" s="933"/>
    </row>
    <row r="81" spans="1:39" ht="15" customHeight="1">
      <c r="A81" s="96"/>
      <c r="B81" s="924" t="str">
        <f>IF(AI72&gt;0,"La suma de las cantidades registradas debe de ser igual al numeral 3 de la pregunta 4.1","")</f>
        <v/>
      </c>
      <c r="C81" s="924"/>
      <c r="D81" s="924"/>
      <c r="E81" s="924"/>
      <c r="F81" s="924"/>
      <c r="G81" s="924"/>
      <c r="H81" s="924"/>
      <c r="I81" s="924"/>
      <c r="J81" s="924"/>
      <c r="K81" s="924"/>
      <c r="L81" s="924"/>
      <c r="M81" s="924"/>
      <c r="N81" s="924"/>
      <c r="O81" s="924"/>
      <c r="P81" s="924"/>
      <c r="Q81" s="924"/>
      <c r="R81" s="924"/>
      <c r="S81" s="924"/>
      <c r="T81" s="924"/>
      <c r="U81" s="924"/>
      <c r="V81" s="924"/>
      <c r="W81" s="924"/>
      <c r="X81" s="924"/>
      <c r="Y81" s="924"/>
      <c r="Z81" s="924"/>
      <c r="AA81" s="924"/>
      <c r="AB81" s="924"/>
      <c r="AC81" s="924"/>
      <c r="AD81" s="924"/>
    </row>
    <row r="82" spans="1:39" ht="15" customHeight="1">
      <c r="A82" s="96"/>
      <c r="B82" s="924" t="str">
        <f>IF(AR76&gt;0,"Las cifras deben anotarse en pesos mexicanos (no debe agregar la frase “miles o millones de pesos”)",IF(BA77&gt;0,"Las cifras registradas no deben llevar decimales",""))</f>
        <v/>
      </c>
      <c r="C82" s="924"/>
      <c r="D82" s="924"/>
      <c r="E82" s="924"/>
      <c r="F82" s="924"/>
      <c r="G82" s="924"/>
      <c r="H82" s="924"/>
      <c r="I82" s="924"/>
      <c r="J82" s="924"/>
      <c r="K82" s="924"/>
      <c r="L82" s="924"/>
      <c r="M82" s="924"/>
      <c r="N82" s="924"/>
      <c r="O82" s="924"/>
      <c r="P82" s="924"/>
      <c r="Q82" s="924"/>
      <c r="R82" s="924"/>
      <c r="S82" s="924"/>
      <c r="T82" s="924"/>
      <c r="U82" s="924"/>
      <c r="V82" s="924"/>
      <c r="W82" s="924"/>
      <c r="X82" s="924"/>
      <c r="Y82" s="924"/>
      <c r="Z82" s="924"/>
      <c r="AA82" s="924"/>
      <c r="AB82" s="924"/>
      <c r="AC82" s="924"/>
      <c r="AD82" s="924"/>
    </row>
    <row r="83" spans="1:39" ht="15" customHeight="1">
      <c r="A83" s="49"/>
      <c r="B83" s="353"/>
      <c r="C83" s="353"/>
      <c r="D83" s="353"/>
      <c r="E83" s="353"/>
      <c r="F83" s="353"/>
      <c r="G83" s="353"/>
      <c r="H83" s="353"/>
      <c r="I83" s="353"/>
      <c r="J83" s="353"/>
      <c r="K83" s="353"/>
      <c r="L83" s="353"/>
      <c r="M83" s="353"/>
      <c r="N83" s="353"/>
      <c r="O83" s="353"/>
      <c r="P83" s="353"/>
      <c r="Q83" s="353"/>
      <c r="R83" s="353"/>
      <c r="S83" s="353"/>
      <c r="T83" s="353"/>
      <c r="U83" s="353"/>
      <c r="V83" s="353"/>
      <c r="W83" s="353"/>
      <c r="X83" s="353"/>
      <c r="Y83" s="353"/>
      <c r="Z83" s="353"/>
      <c r="AA83" s="353"/>
      <c r="AB83" s="353"/>
      <c r="AC83" s="353"/>
      <c r="AD83" s="353"/>
    </row>
    <row r="84" spans="1:39" ht="15" customHeight="1">
      <c r="A84" s="49"/>
      <c r="B84" s="353"/>
      <c r="C84" s="353"/>
      <c r="D84" s="353"/>
      <c r="E84" s="353"/>
      <c r="F84" s="353"/>
      <c r="G84" s="353"/>
      <c r="H84" s="353"/>
      <c r="I84" s="353"/>
      <c r="J84" s="353"/>
      <c r="K84" s="353"/>
      <c r="L84" s="353"/>
      <c r="M84" s="353"/>
      <c r="N84" s="353"/>
      <c r="O84" s="353"/>
      <c r="P84" s="353"/>
      <c r="Q84" s="353"/>
      <c r="R84" s="353"/>
      <c r="S84" s="353"/>
      <c r="T84" s="353"/>
      <c r="U84" s="353"/>
      <c r="V84" s="353"/>
      <c r="W84" s="353"/>
      <c r="X84" s="353"/>
      <c r="Y84" s="353"/>
      <c r="Z84" s="353"/>
      <c r="AA84" s="353"/>
      <c r="AB84" s="353"/>
      <c r="AC84" s="353"/>
      <c r="AD84" s="353"/>
    </row>
    <row r="85" spans="1:39" ht="36" customHeight="1">
      <c r="A85" s="49" t="s">
        <v>4210</v>
      </c>
      <c r="B85" s="829" t="s">
        <v>4211</v>
      </c>
      <c r="C85" s="829"/>
      <c r="D85" s="829"/>
      <c r="E85" s="829"/>
      <c r="F85" s="829"/>
      <c r="G85" s="829"/>
      <c r="H85" s="829"/>
      <c r="I85" s="829"/>
      <c r="J85" s="829"/>
      <c r="K85" s="829"/>
      <c r="L85" s="829"/>
      <c r="M85" s="829"/>
      <c r="N85" s="829"/>
      <c r="O85" s="829"/>
      <c r="P85" s="829"/>
      <c r="Q85" s="829"/>
      <c r="R85" s="829"/>
      <c r="S85" s="829"/>
      <c r="T85" s="829"/>
      <c r="U85" s="829"/>
      <c r="V85" s="829"/>
      <c r="W85" s="829"/>
      <c r="X85" s="829"/>
      <c r="Y85" s="829"/>
      <c r="Z85" s="829"/>
      <c r="AA85" s="829"/>
      <c r="AB85" s="829"/>
      <c r="AC85" s="829"/>
      <c r="AD85" s="829"/>
    </row>
    <row r="86" spans="1:39" ht="15" customHeight="1">
      <c r="A86" s="49"/>
      <c r="B86" s="118"/>
      <c r="C86" s="754" t="s">
        <v>4040</v>
      </c>
      <c r="D86" s="754"/>
      <c r="E86" s="754"/>
      <c r="F86" s="754"/>
      <c r="G86" s="754"/>
      <c r="H86" s="754"/>
      <c r="I86" s="754"/>
      <c r="J86" s="754"/>
      <c r="K86" s="754"/>
      <c r="L86" s="754"/>
      <c r="M86" s="754"/>
      <c r="N86" s="754"/>
      <c r="O86" s="754"/>
      <c r="P86" s="754"/>
      <c r="Q86" s="754"/>
      <c r="R86" s="754"/>
      <c r="S86" s="754"/>
      <c r="T86" s="754"/>
      <c r="U86" s="754"/>
      <c r="V86" s="754"/>
      <c r="W86" s="754"/>
      <c r="X86" s="754"/>
      <c r="Y86" s="754"/>
      <c r="Z86" s="754"/>
      <c r="AA86" s="754"/>
      <c r="AB86" s="754"/>
      <c r="AC86" s="754"/>
      <c r="AD86" s="754"/>
    </row>
    <row r="87" spans="1:39" ht="24" customHeight="1">
      <c r="A87" s="49"/>
      <c r="B87" s="105"/>
      <c r="C87" s="754" t="s">
        <v>4212</v>
      </c>
      <c r="D87" s="754"/>
      <c r="E87" s="754"/>
      <c r="F87" s="754"/>
      <c r="G87" s="754"/>
      <c r="H87" s="754"/>
      <c r="I87" s="754"/>
      <c r="J87" s="754"/>
      <c r="K87" s="754"/>
      <c r="L87" s="754"/>
      <c r="M87" s="754"/>
      <c r="N87" s="754"/>
      <c r="O87" s="754"/>
      <c r="P87" s="754"/>
      <c r="Q87" s="754"/>
      <c r="R87" s="754"/>
      <c r="S87" s="754"/>
      <c r="T87" s="754"/>
      <c r="U87" s="754"/>
      <c r="V87" s="754"/>
      <c r="W87" s="754"/>
      <c r="X87" s="754"/>
      <c r="Y87" s="754"/>
      <c r="Z87" s="754"/>
      <c r="AA87" s="754"/>
      <c r="AB87" s="754"/>
      <c r="AC87" s="754"/>
      <c r="AD87" s="754"/>
    </row>
    <row r="88" spans="1:39" ht="15" customHeight="1">
      <c r="A88" s="49"/>
      <c r="B88" s="57"/>
      <c r="C88" s="830" t="s">
        <v>4213</v>
      </c>
      <c r="D88" s="830"/>
      <c r="E88" s="830"/>
      <c r="F88" s="830"/>
      <c r="G88" s="830"/>
      <c r="H88" s="830"/>
      <c r="I88" s="830"/>
      <c r="J88" s="830"/>
      <c r="K88" s="830"/>
      <c r="L88" s="830"/>
      <c r="M88" s="830"/>
      <c r="N88" s="830"/>
      <c r="O88" s="830"/>
      <c r="P88" s="830"/>
      <c r="Q88" s="830"/>
      <c r="R88" s="830"/>
      <c r="S88" s="830"/>
      <c r="T88" s="830"/>
      <c r="U88" s="830"/>
      <c r="V88" s="830"/>
      <c r="W88" s="830"/>
      <c r="X88" s="830"/>
      <c r="Y88" s="830"/>
      <c r="Z88" s="830"/>
      <c r="AA88" s="830"/>
      <c r="AB88" s="830"/>
      <c r="AC88" s="830"/>
      <c r="AD88" s="830"/>
    </row>
    <row r="89" spans="1:39" ht="15" customHeight="1">
      <c r="A89" s="96"/>
      <c r="B89" s="90"/>
      <c r="C89" s="90"/>
      <c r="D89" s="90"/>
      <c r="E89" s="90"/>
      <c r="F89" s="90"/>
      <c r="G89" s="90"/>
      <c r="H89" s="90"/>
      <c r="I89" s="90"/>
      <c r="J89" s="90"/>
      <c r="K89" s="90"/>
      <c r="L89" s="90"/>
      <c r="M89" s="90"/>
      <c r="N89" s="90"/>
      <c r="O89" s="90"/>
      <c r="P89" s="90"/>
      <c r="Q89" s="90"/>
      <c r="R89" s="90"/>
      <c r="S89" s="90"/>
      <c r="T89" s="90"/>
      <c r="U89" s="90"/>
      <c r="V89" s="90"/>
      <c r="W89" s="90"/>
      <c r="X89" s="90"/>
      <c r="Y89" s="90"/>
      <c r="Z89" s="90"/>
      <c r="AA89" s="90"/>
      <c r="AB89" s="90"/>
      <c r="AC89" s="90"/>
      <c r="AD89" s="90"/>
    </row>
    <row r="90" spans="1:39" ht="72" customHeight="1">
      <c r="A90" s="96"/>
      <c r="B90" s="90"/>
      <c r="C90" s="732" t="s">
        <v>2581</v>
      </c>
      <c r="D90" s="732"/>
      <c r="E90" s="732"/>
      <c r="F90" s="732"/>
      <c r="G90" s="732"/>
      <c r="H90" s="732"/>
      <c r="I90" s="732"/>
      <c r="J90" s="732"/>
      <c r="K90" s="732"/>
      <c r="L90" s="732"/>
      <c r="M90" s="732"/>
      <c r="N90" s="732"/>
      <c r="O90" s="732"/>
      <c r="P90" s="732"/>
      <c r="Q90" s="732"/>
      <c r="R90" s="732"/>
      <c r="S90" s="732"/>
      <c r="T90" s="732"/>
      <c r="U90" s="732"/>
      <c r="V90" s="732"/>
      <c r="W90" s="732"/>
      <c r="X90" s="732"/>
      <c r="Y90" s="732" t="s">
        <v>4214</v>
      </c>
      <c r="Z90" s="732"/>
      <c r="AA90" s="732"/>
      <c r="AB90" s="732"/>
      <c r="AC90" s="732"/>
      <c r="AD90" s="732"/>
      <c r="AG90" s="354" t="s">
        <v>2586</v>
      </c>
      <c r="AH90" s="350" t="s">
        <v>2590</v>
      </c>
      <c r="AI90" s="525" t="s">
        <v>4215</v>
      </c>
      <c r="AJ90" s="341" t="s">
        <v>4216</v>
      </c>
      <c r="AK90" s="513" t="s">
        <v>4166</v>
      </c>
      <c r="AL90" s="514" t="s">
        <v>3073</v>
      </c>
      <c r="AM90" s="515" t="s">
        <v>3074</v>
      </c>
    </row>
    <row r="91" spans="1:39" ht="15" customHeight="1">
      <c r="A91" s="96"/>
      <c r="B91" s="90"/>
      <c r="C91" s="92" t="s">
        <v>2516</v>
      </c>
      <c r="D91" s="796" t="str">
        <f>IF(CNSIPEE_2024_M2_Secc1!D42="","",CNSIPEE_2024_M2_Secc1!D42)</f>
        <v/>
      </c>
      <c r="E91" s="796"/>
      <c r="F91" s="796"/>
      <c r="G91" s="796"/>
      <c r="H91" s="796"/>
      <c r="I91" s="796"/>
      <c r="J91" s="796"/>
      <c r="K91" s="796"/>
      <c r="L91" s="796"/>
      <c r="M91" s="796"/>
      <c r="N91" s="796"/>
      <c r="O91" s="796"/>
      <c r="P91" s="796"/>
      <c r="Q91" s="796"/>
      <c r="R91" s="796"/>
      <c r="S91" s="796"/>
      <c r="T91" s="796"/>
      <c r="U91" s="796"/>
      <c r="V91" s="796"/>
      <c r="W91" s="796"/>
      <c r="X91" s="796"/>
      <c r="Y91" s="749"/>
      <c r="Z91" s="749"/>
      <c r="AA91" s="749"/>
      <c r="AB91" s="749"/>
      <c r="AC91" s="749"/>
      <c r="AD91" s="749"/>
      <c r="AG91" s="283">
        <f t="shared" ref="AG91:AG98" si="6">IF(AND(COUNTBLANK(D91)=1,COUNTA(Y91)=0),0,IF(AND($Y51="NA",COUNTBLANK(D91)=0,COUNTA(Y91)=0),0,IF(AND($Y51&lt;&gt;"NA",COUNTBLANK(D91)=0,COUNTA(Y91)=1),0,1)))</f>
        <v>0</v>
      </c>
      <c r="AH91" s="516">
        <f>COUNTIF($Y91,"NS")</f>
        <v>0</v>
      </c>
      <c r="AI91" s="283" cm="1">
        <f t="array" ref="AI91">IF(AND(OR(Y91={"NS","NA"},Y51={"NS","NA"})),0,IF(Y91&lt;=Y51,0,1))</f>
        <v>0</v>
      </c>
      <c r="AJ91" s="342">
        <f>IF(AND($Y51="NA",COUNTA(Y91)&gt;0),1,0)</f>
        <v>0</v>
      </c>
      <c r="AK91" s="283">
        <f>IF(OR(Y91="NS",Y91="NA"),0,IF(SUM(ISTEXT(Y91))=0,0,1))</f>
        <v>0</v>
      </c>
      <c r="AL91">
        <f>IF(OR(Y91="NS",Y91="NA"),0,LEN(Y91)-LEN(INT(Y91)-1))</f>
        <v>-2</v>
      </c>
      <c r="AM91">
        <f>IF(AL91&lt;=0,0,1)</f>
        <v>0</v>
      </c>
    </row>
    <row r="92" spans="1:39" ht="15" customHeight="1">
      <c r="A92" s="96"/>
      <c r="B92" s="90"/>
      <c r="C92" s="44" t="s">
        <v>2517</v>
      </c>
      <c r="D92" s="796" t="str">
        <f>IF(CNSIPEE_2024_M2_Secc1!D43="","",CNSIPEE_2024_M2_Secc1!D43)</f>
        <v/>
      </c>
      <c r="E92" s="796"/>
      <c r="F92" s="796"/>
      <c r="G92" s="796"/>
      <c r="H92" s="796"/>
      <c r="I92" s="796"/>
      <c r="J92" s="796"/>
      <c r="K92" s="796"/>
      <c r="L92" s="796"/>
      <c r="M92" s="796"/>
      <c r="N92" s="796"/>
      <c r="O92" s="796"/>
      <c r="P92" s="796"/>
      <c r="Q92" s="796"/>
      <c r="R92" s="796"/>
      <c r="S92" s="796"/>
      <c r="T92" s="796"/>
      <c r="U92" s="796"/>
      <c r="V92" s="796"/>
      <c r="W92" s="796"/>
      <c r="X92" s="796"/>
      <c r="Y92" s="749"/>
      <c r="Z92" s="749"/>
      <c r="AA92" s="749"/>
      <c r="AB92" s="749"/>
      <c r="AC92" s="749"/>
      <c r="AD92" s="749"/>
      <c r="AG92" s="283">
        <f t="shared" si="6"/>
        <v>0</v>
      </c>
      <c r="AH92" s="516">
        <f t="shared" ref="AH92:AH98" si="7">COUNTIF($Y92,"NS")</f>
        <v>0</v>
      </c>
      <c r="AI92" s="283" cm="1">
        <f t="array" ref="AI92">IF(AND(OR(Y92={"NS","NA"},Y52={"NS","NA"})),0,IF(Y92&lt;=Y52,0,1))</f>
        <v>0</v>
      </c>
      <c r="AJ92" s="342">
        <f>IF(AND($Y52="NA",COUNTA(Y92)&gt;0),1,0)</f>
        <v>0</v>
      </c>
      <c r="AK92" s="283">
        <f t="shared" ref="AK92:AK98" si="8">IF(OR(Y92="NS",Y92="NA"),0,IF(SUM(ISTEXT(Y92))=0,0,1))</f>
        <v>0</v>
      </c>
      <c r="AL92">
        <f t="shared" ref="AL92:AL98" si="9">IF(OR(Y92="NS",Y92="NA"),0,LEN(Y92)-LEN(INT(Y92)-1))</f>
        <v>-2</v>
      </c>
      <c r="AM92">
        <f t="shared" ref="AM92:AM98" si="10">IF(AL92&lt;=0,0,1)</f>
        <v>0</v>
      </c>
    </row>
    <row r="93" spans="1:39" ht="15" customHeight="1">
      <c r="A93" s="96"/>
      <c r="B93" s="90"/>
      <c r="C93" s="44" t="s">
        <v>2518</v>
      </c>
      <c r="D93" s="796" t="str">
        <f>IF(CNSIPEE_2024_M2_Secc1!D44="","",CNSIPEE_2024_M2_Secc1!D44)</f>
        <v/>
      </c>
      <c r="E93" s="796"/>
      <c r="F93" s="796"/>
      <c r="G93" s="796"/>
      <c r="H93" s="796"/>
      <c r="I93" s="796"/>
      <c r="J93" s="796"/>
      <c r="K93" s="796"/>
      <c r="L93" s="796"/>
      <c r="M93" s="796"/>
      <c r="N93" s="796"/>
      <c r="O93" s="796"/>
      <c r="P93" s="796"/>
      <c r="Q93" s="796"/>
      <c r="R93" s="796"/>
      <c r="S93" s="796"/>
      <c r="T93" s="796"/>
      <c r="U93" s="796"/>
      <c r="V93" s="796"/>
      <c r="W93" s="796"/>
      <c r="X93" s="796"/>
      <c r="Y93" s="749"/>
      <c r="Z93" s="749"/>
      <c r="AA93" s="749"/>
      <c r="AB93" s="749"/>
      <c r="AC93" s="749"/>
      <c r="AD93" s="749"/>
      <c r="AG93" s="283">
        <f t="shared" si="6"/>
        <v>0</v>
      </c>
      <c r="AH93" s="516">
        <f t="shared" si="7"/>
        <v>0</v>
      </c>
      <c r="AI93" s="283" cm="1">
        <f t="array" ref="AI93">IF(AND(OR(Y93={"NS","NA"},Y53={"NS","NA"})),0,IF(Y93&lt;=Y53,0,1))</f>
        <v>0</v>
      </c>
      <c r="AJ93" s="342">
        <f t="shared" ref="AJ93:AJ98" si="11">IF(AND($Y53="NA",COUNTA(Y93)&gt;0),1,0)</f>
        <v>0</v>
      </c>
      <c r="AK93" s="283">
        <f t="shared" si="8"/>
        <v>0</v>
      </c>
      <c r="AL93">
        <f t="shared" si="9"/>
        <v>-2</v>
      </c>
      <c r="AM93">
        <f t="shared" si="10"/>
        <v>0</v>
      </c>
    </row>
    <row r="94" spans="1:39" ht="15" customHeight="1">
      <c r="A94" s="96"/>
      <c r="B94" s="90"/>
      <c r="C94" s="44" t="s">
        <v>2519</v>
      </c>
      <c r="D94" s="796" t="str">
        <f>IF(CNSIPEE_2024_M2_Secc1!D45="","",CNSIPEE_2024_M2_Secc1!D45)</f>
        <v/>
      </c>
      <c r="E94" s="796"/>
      <c r="F94" s="796"/>
      <c r="G94" s="796"/>
      <c r="H94" s="796"/>
      <c r="I94" s="796"/>
      <c r="J94" s="796"/>
      <c r="K94" s="796"/>
      <c r="L94" s="796"/>
      <c r="M94" s="796"/>
      <c r="N94" s="796"/>
      <c r="O94" s="796"/>
      <c r="P94" s="796"/>
      <c r="Q94" s="796"/>
      <c r="R94" s="796"/>
      <c r="S94" s="796"/>
      <c r="T94" s="796"/>
      <c r="U94" s="796"/>
      <c r="V94" s="796"/>
      <c r="W94" s="796"/>
      <c r="X94" s="796"/>
      <c r="Y94" s="749"/>
      <c r="Z94" s="749"/>
      <c r="AA94" s="749"/>
      <c r="AB94" s="749"/>
      <c r="AC94" s="749"/>
      <c r="AD94" s="749"/>
      <c r="AG94" s="283">
        <f t="shared" si="6"/>
        <v>0</v>
      </c>
      <c r="AH94" s="516">
        <f t="shared" si="7"/>
        <v>0</v>
      </c>
      <c r="AI94" s="283" cm="1">
        <f t="array" ref="AI94">IF(AND(OR(Y94={"NS","NA"},Y54={"NS","NA"})),0,IF(Y94&lt;=Y54,0,1))</f>
        <v>0</v>
      </c>
      <c r="AJ94" s="342">
        <f t="shared" si="11"/>
        <v>0</v>
      </c>
      <c r="AK94" s="283">
        <f t="shared" si="8"/>
        <v>0</v>
      </c>
      <c r="AL94">
        <f t="shared" si="9"/>
        <v>-2</v>
      </c>
      <c r="AM94">
        <f t="shared" si="10"/>
        <v>0</v>
      </c>
    </row>
    <row r="95" spans="1:39" ht="15" customHeight="1">
      <c r="A95" s="96"/>
      <c r="B95" s="90"/>
      <c r="C95" s="44" t="s">
        <v>2520</v>
      </c>
      <c r="D95" s="796" t="str">
        <f>IF(CNSIPEE_2024_M2_Secc1!D46="","",CNSIPEE_2024_M2_Secc1!D46)</f>
        <v/>
      </c>
      <c r="E95" s="796"/>
      <c r="F95" s="796"/>
      <c r="G95" s="796"/>
      <c r="H95" s="796"/>
      <c r="I95" s="796"/>
      <c r="J95" s="796"/>
      <c r="K95" s="796"/>
      <c r="L95" s="796"/>
      <c r="M95" s="796"/>
      <c r="N95" s="796"/>
      <c r="O95" s="796"/>
      <c r="P95" s="796"/>
      <c r="Q95" s="796"/>
      <c r="R95" s="796"/>
      <c r="S95" s="796"/>
      <c r="T95" s="796"/>
      <c r="U95" s="796"/>
      <c r="V95" s="796"/>
      <c r="W95" s="796"/>
      <c r="X95" s="796"/>
      <c r="Y95" s="749"/>
      <c r="Z95" s="749"/>
      <c r="AA95" s="749"/>
      <c r="AB95" s="749"/>
      <c r="AC95" s="749"/>
      <c r="AD95" s="749"/>
      <c r="AG95" s="283">
        <f t="shared" si="6"/>
        <v>0</v>
      </c>
      <c r="AH95" s="516">
        <f t="shared" si="7"/>
        <v>0</v>
      </c>
      <c r="AI95" s="283" cm="1">
        <f t="array" ref="AI95">IF(AND(OR(Y95={"NS","NA"},Y55={"NS","NA"})),0,IF(Y95&lt;=Y55,0,1))</f>
        <v>0</v>
      </c>
      <c r="AJ95" s="342">
        <f t="shared" si="11"/>
        <v>0</v>
      </c>
      <c r="AK95" s="283">
        <f t="shared" si="8"/>
        <v>0</v>
      </c>
      <c r="AL95">
        <f t="shared" si="9"/>
        <v>-2</v>
      </c>
      <c r="AM95">
        <f t="shared" si="10"/>
        <v>0</v>
      </c>
    </row>
    <row r="96" spans="1:39" ht="15" customHeight="1">
      <c r="A96" s="96"/>
      <c r="B96" s="90"/>
      <c r="C96" s="44" t="s">
        <v>2521</v>
      </c>
      <c r="D96" s="796" t="str">
        <f>IF(CNSIPEE_2024_M2_Secc1!D47="","",CNSIPEE_2024_M2_Secc1!D47)</f>
        <v/>
      </c>
      <c r="E96" s="796"/>
      <c r="F96" s="796"/>
      <c r="G96" s="796"/>
      <c r="H96" s="796"/>
      <c r="I96" s="796"/>
      <c r="J96" s="796"/>
      <c r="K96" s="796"/>
      <c r="L96" s="796"/>
      <c r="M96" s="796"/>
      <c r="N96" s="796"/>
      <c r="O96" s="796"/>
      <c r="P96" s="796"/>
      <c r="Q96" s="796"/>
      <c r="R96" s="796"/>
      <c r="S96" s="796"/>
      <c r="T96" s="796"/>
      <c r="U96" s="796"/>
      <c r="V96" s="796"/>
      <c r="W96" s="796"/>
      <c r="X96" s="796"/>
      <c r="Y96" s="749"/>
      <c r="Z96" s="749"/>
      <c r="AA96" s="749"/>
      <c r="AB96" s="749"/>
      <c r="AC96" s="749"/>
      <c r="AD96" s="749"/>
      <c r="AG96" s="283">
        <f t="shared" si="6"/>
        <v>0</v>
      </c>
      <c r="AH96" s="516">
        <f t="shared" si="7"/>
        <v>0</v>
      </c>
      <c r="AI96" s="283" cm="1">
        <f t="array" ref="AI96">IF(AND(OR(Y96={"NS","NA"},Y56={"NS","NA"})),0,IF(Y96&lt;=Y56,0,1))</f>
        <v>0</v>
      </c>
      <c r="AJ96" s="342">
        <f t="shared" si="11"/>
        <v>0</v>
      </c>
      <c r="AK96" s="283">
        <f t="shared" si="8"/>
        <v>0</v>
      </c>
      <c r="AL96">
        <f t="shared" si="9"/>
        <v>-2</v>
      </c>
      <c r="AM96">
        <f t="shared" si="10"/>
        <v>0</v>
      </c>
    </row>
    <row r="97" spans="1:39" ht="15" customHeight="1">
      <c r="A97" s="96"/>
      <c r="B97" s="90"/>
      <c r="C97" s="44" t="s">
        <v>2522</v>
      </c>
      <c r="D97" s="796" t="str">
        <f>IF(CNSIPEE_2024_M2_Secc1!D48="","",CNSIPEE_2024_M2_Secc1!D48)</f>
        <v/>
      </c>
      <c r="E97" s="796"/>
      <c r="F97" s="796"/>
      <c r="G97" s="796"/>
      <c r="H97" s="796"/>
      <c r="I97" s="796"/>
      <c r="J97" s="796"/>
      <c r="K97" s="796"/>
      <c r="L97" s="796"/>
      <c r="M97" s="796"/>
      <c r="N97" s="796"/>
      <c r="O97" s="796"/>
      <c r="P97" s="796"/>
      <c r="Q97" s="796"/>
      <c r="R97" s="796"/>
      <c r="S97" s="796"/>
      <c r="T97" s="796"/>
      <c r="U97" s="796"/>
      <c r="V97" s="796"/>
      <c r="W97" s="796"/>
      <c r="X97" s="796"/>
      <c r="Y97" s="749"/>
      <c r="Z97" s="749"/>
      <c r="AA97" s="749"/>
      <c r="AB97" s="749"/>
      <c r="AC97" s="749"/>
      <c r="AD97" s="749"/>
      <c r="AG97" s="283">
        <f t="shared" si="6"/>
        <v>0</v>
      </c>
      <c r="AH97" s="516">
        <f t="shared" si="7"/>
        <v>0</v>
      </c>
      <c r="AI97" s="283" cm="1">
        <f t="array" ref="AI97">IF(AND(OR(Y97={"NS","NA"},Y57={"NS","NA"})),0,IF(Y97&lt;=Y57,0,1))</f>
        <v>0</v>
      </c>
      <c r="AJ97" s="342">
        <f t="shared" si="11"/>
        <v>0</v>
      </c>
      <c r="AK97" s="283">
        <f t="shared" si="8"/>
        <v>0</v>
      </c>
      <c r="AL97">
        <f t="shared" si="9"/>
        <v>-2</v>
      </c>
      <c r="AM97">
        <f t="shared" si="10"/>
        <v>0</v>
      </c>
    </row>
    <row r="98" spans="1:39" ht="15" customHeight="1">
      <c r="A98" s="96"/>
      <c r="B98" s="90"/>
      <c r="C98" s="44" t="s">
        <v>2523</v>
      </c>
      <c r="D98" s="796" t="str">
        <f>IF(CNSIPEE_2024_M2_Secc1!D49="","",CNSIPEE_2024_M2_Secc1!D49)</f>
        <v/>
      </c>
      <c r="E98" s="796"/>
      <c r="F98" s="796"/>
      <c r="G98" s="796"/>
      <c r="H98" s="796"/>
      <c r="I98" s="796"/>
      <c r="J98" s="796"/>
      <c r="K98" s="796"/>
      <c r="L98" s="796"/>
      <c r="M98" s="796"/>
      <c r="N98" s="796"/>
      <c r="O98" s="796"/>
      <c r="P98" s="796"/>
      <c r="Q98" s="796"/>
      <c r="R98" s="796"/>
      <c r="S98" s="796"/>
      <c r="T98" s="796"/>
      <c r="U98" s="796"/>
      <c r="V98" s="796"/>
      <c r="W98" s="796"/>
      <c r="X98" s="796"/>
      <c r="Y98" s="749"/>
      <c r="Z98" s="749"/>
      <c r="AA98" s="749"/>
      <c r="AB98" s="749"/>
      <c r="AC98" s="749"/>
      <c r="AD98" s="749"/>
      <c r="AG98" s="283">
        <f t="shared" si="6"/>
        <v>0</v>
      </c>
      <c r="AH98" s="516">
        <f t="shared" si="7"/>
        <v>0</v>
      </c>
      <c r="AI98" s="283" cm="1">
        <f t="array" ref="AI98">IF(AND(OR(Y98={"NS","NA"},Y58={"NS","NA"})),0,IF(Y98&lt;=Y58,0,1))</f>
        <v>0</v>
      </c>
      <c r="AJ98" s="342">
        <f t="shared" si="11"/>
        <v>0</v>
      </c>
      <c r="AK98" s="283">
        <f t="shared" si="8"/>
        <v>0</v>
      </c>
      <c r="AL98">
        <f t="shared" si="9"/>
        <v>-2</v>
      </c>
      <c r="AM98">
        <f t="shared" si="10"/>
        <v>0</v>
      </c>
    </row>
    <row r="99" spans="1:39" ht="15" customHeight="1">
      <c r="A99" s="96"/>
      <c r="B99" s="90"/>
      <c r="C99" s="90"/>
      <c r="D99" s="90"/>
      <c r="E99" s="90"/>
      <c r="F99" s="90"/>
      <c r="G99" s="90"/>
      <c r="H99" s="90"/>
      <c r="I99" s="90"/>
      <c r="J99" s="90"/>
      <c r="K99" s="90"/>
      <c r="L99" s="90"/>
      <c r="M99" s="90"/>
      <c r="N99" s="90"/>
      <c r="O99" s="90"/>
      <c r="P99" s="90"/>
      <c r="Q99" s="90"/>
      <c r="R99" s="90"/>
      <c r="S99" s="90"/>
      <c r="T99" s="90"/>
      <c r="U99" s="90"/>
      <c r="V99" s="90"/>
      <c r="W99" s="90"/>
      <c r="X99" s="99" t="s">
        <v>2649</v>
      </c>
      <c r="Y99" s="736">
        <f>IF(AND(SUM(Y91:AD98)=0,COUNTIF(Y91:AD98,"NS")&gt;0),"NS",
IF(AND(SUM(Y91:AD98)=0,COUNTIF(Y91:AD98,0)&gt;0),0,
IF(AND(SUM(Y91:AD98)=0,COUNTIF(Y91:AD98,"NA")&gt;0),"NA",
SUM(Y91:AD98))))</f>
        <v>0</v>
      </c>
      <c r="Z99" s="736"/>
      <c r="AA99" s="736"/>
      <c r="AB99" s="736"/>
      <c r="AC99" s="736"/>
      <c r="AD99" s="736"/>
      <c r="AG99" s="354">
        <f>SUM(AG91:AG98)</f>
        <v>0</v>
      </c>
      <c r="AH99" s="517">
        <f>SUM(AH91:AH98)</f>
        <v>0</v>
      </c>
      <c r="AI99" s="526">
        <f>SUM(AI91:AI98)</f>
        <v>0</v>
      </c>
      <c r="AJ99" s="527">
        <f>SUM(AJ91:AJ98)</f>
        <v>0</v>
      </c>
      <c r="AK99" s="518">
        <f>SUM(AK91:AK98)</f>
        <v>0</v>
      </c>
      <c r="AL99"/>
      <c r="AM99" s="339">
        <f>SUM(AM91:AM98)</f>
        <v>0</v>
      </c>
    </row>
    <row r="100" spans="1:39" ht="15" customHeight="1">
      <c r="A100" s="96"/>
      <c r="B100" s="90"/>
      <c r="C100" s="90"/>
      <c r="D100" s="90"/>
      <c r="E100" s="90"/>
      <c r="F100" s="90"/>
      <c r="G100" s="90"/>
      <c r="H100" s="90"/>
      <c r="I100" s="90"/>
      <c r="J100" s="90"/>
      <c r="K100" s="90"/>
      <c r="L100" s="90"/>
      <c r="M100" s="90"/>
      <c r="N100" s="90"/>
      <c r="O100" s="90"/>
      <c r="P100" s="90"/>
      <c r="Q100" s="90"/>
      <c r="R100" s="90"/>
      <c r="S100" s="90"/>
      <c r="T100" s="90"/>
      <c r="U100" s="90"/>
      <c r="V100" s="90"/>
      <c r="W100" s="90"/>
      <c r="X100" s="90"/>
      <c r="Y100" s="90"/>
      <c r="Z100" s="90"/>
      <c r="AA100" s="90"/>
      <c r="AB100" s="90"/>
      <c r="AC100" s="90"/>
      <c r="AD100" s="90"/>
    </row>
    <row r="101" spans="1:39" ht="24" customHeight="1">
      <c r="A101" s="96"/>
      <c r="B101" s="90"/>
      <c r="C101" s="754" t="s">
        <v>2611</v>
      </c>
      <c r="D101" s="754"/>
      <c r="E101" s="754"/>
      <c r="F101" s="754"/>
      <c r="G101" s="754"/>
      <c r="H101" s="754"/>
      <c r="I101" s="754"/>
      <c r="J101" s="754"/>
      <c r="K101" s="754"/>
      <c r="L101" s="754"/>
      <c r="M101" s="754"/>
      <c r="N101" s="754"/>
      <c r="O101" s="754"/>
      <c r="P101" s="754"/>
      <c r="Q101" s="754"/>
      <c r="R101" s="754"/>
      <c r="S101" s="754"/>
      <c r="T101" s="754"/>
      <c r="U101" s="754"/>
      <c r="V101" s="754"/>
      <c r="W101" s="754"/>
      <c r="X101" s="754"/>
      <c r="Y101" s="754"/>
      <c r="Z101" s="754"/>
      <c r="AA101" s="754"/>
      <c r="AB101" s="754"/>
      <c r="AC101" s="754"/>
      <c r="AD101" s="754"/>
    </row>
    <row r="102" spans="1:39" ht="60" customHeight="1">
      <c r="A102" s="96"/>
      <c r="B102" s="90"/>
      <c r="C102" s="851"/>
      <c r="D102" s="851"/>
      <c r="E102" s="851"/>
      <c r="F102" s="851"/>
      <c r="G102" s="851"/>
      <c r="H102" s="851"/>
      <c r="I102" s="851"/>
      <c r="J102" s="851"/>
      <c r="K102" s="851"/>
      <c r="L102" s="851"/>
      <c r="M102" s="851"/>
      <c r="N102" s="851"/>
      <c r="O102" s="851"/>
      <c r="P102" s="851"/>
      <c r="Q102" s="851"/>
      <c r="R102" s="851"/>
      <c r="S102" s="851"/>
      <c r="T102" s="851"/>
      <c r="U102" s="851"/>
      <c r="V102" s="851"/>
      <c r="W102" s="851"/>
      <c r="X102" s="851"/>
      <c r="Y102" s="851"/>
      <c r="Z102" s="851"/>
      <c r="AA102" s="851"/>
      <c r="AB102" s="851"/>
      <c r="AC102" s="851"/>
      <c r="AD102" s="851"/>
    </row>
    <row r="103" spans="1:39" ht="15" customHeight="1">
      <c r="A103" s="96"/>
      <c r="B103" s="794" t="str">
        <f>IF(AG99&gt;0,"Favor de ingresar toda la información requerida en la pregunta y/o verifique que no tenga información en celdas sombreadas","")</f>
        <v/>
      </c>
      <c r="C103" s="794"/>
      <c r="D103" s="794"/>
      <c r="E103" s="794"/>
      <c r="F103" s="794"/>
      <c r="G103" s="794"/>
      <c r="H103" s="794"/>
      <c r="I103" s="794"/>
      <c r="J103" s="794"/>
      <c r="K103" s="794"/>
      <c r="L103" s="794"/>
      <c r="M103" s="794"/>
      <c r="N103" s="794"/>
      <c r="O103" s="794"/>
      <c r="P103" s="794"/>
      <c r="Q103" s="794"/>
      <c r="R103" s="794"/>
      <c r="S103" s="794"/>
      <c r="T103" s="794"/>
      <c r="U103" s="794"/>
      <c r="V103" s="794"/>
      <c r="W103" s="794"/>
      <c r="X103" s="794"/>
      <c r="Y103" s="794"/>
      <c r="Z103" s="794"/>
      <c r="AA103" s="794"/>
      <c r="AB103" s="794"/>
      <c r="AC103" s="794"/>
      <c r="AD103" s="794"/>
    </row>
    <row r="104" spans="1:39" ht="15" customHeight="1">
      <c r="A104" s="96"/>
      <c r="B104" s="795" t="str">
        <f>IF(AH99&gt;0,"Alerta: debido a que cuenta con registros NS, debe proporcionar una justificación en el area de comentarios al final de la pregunta","")</f>
        <v/>
      </c>
      <c r="C104" s="795"/>
      <c r="D104" s="795"/>
      <c r="E104" s="795"/>
      <c r="F104" s="795"/>
      <c r="G104" s="795"/>
      <c r="H104" s="795"/>
      <c r="I104" s="795"/>
      <c r="J104" s="795"/>
      <c r="K104" s="795"/>
      <c r="L104" s="795"/>
      <c r="M104" s="795"/>
      <c r="N104" s="795"/>
      <c r="O104" s="795"/>
      <c r="P104" s="795"/>
      <c r="Q104" s="795"/>
      <c r="R104" s="795"/>
      <c r="S104" s="795"/>
      <c r="T104" s="795"/>
      <c r="U104" s="795"/>
      <c r="V104" s="795"/>
      <c r="W104" s="795"/>
      <c r="X104" s="795"/>
      <c r="Y104" s="795"/>
      <c r="Z104" s="795"/>
      <c r="AA104" s="795"/>
      <c r="AB104" s="795"/>
      <c r="AC104" s="795"/>
      <c r="AD104" s="795"/>
    </row>
    <row r="105" spans="1:39" ht="15" customHeight="1">
      <c r="A105" s="96"/>
      <c r="B105" s="924" t="str">
        <f>IF(AI99&gt;0,"La cantidad registrada en cada centro penitenciario debe de ser menor o igual a lo reportado en la preg.4.2","")</f>
        <v/>
      </c>
      <c r="C105" s="924"/>
      <c r="D105" s="924"/>
      <c r="E105" s="924"/>
      <c r="F105" s="924"/>
      <c r="G105" s="924"/>
      <c r="H105" s="924"/>
      <c r="I105" s="924"/>
      <c r="J105" s="924"/>
      <c r="K105" s="924"/>
      <c r="L105" s="924"/>
      <c r="M105" s="924"/>
      <c r="N105" s="924"/>
      <c r="O105" s="924"/>
      <c r="P105" s="924"/>
      <c r="Q105" s="924"/>
      <c r="R105" s="924"/>
      <c r="S105" s="924"/>
      <c r="T105" s="924"/>
      <c r="U105" s="924"/>
      <c r="V105" s="924"/>
      <c r="W105" s="924"/>
      <c r="X105" s="924"/>
      <c r="Y105" s="924"/>
      <c r="Z105" s="924"/>
      <c r="AA105" s="924"/>
      <c r="AB105" s="924"/>
      <c r="AC105" s="924"/>
      <c r="AD105" s="924"/>
    </row>
    <row r="106" spans="1:39" ht="15" customHeight="1">
      <c r="A106" s="96"/>
      <c r="B106" s="924" t="str">
        <f>IF(AK99&gt;0,"Las cifras deben anotarse en pesos mexicanos (no debe agregar la frase “miles o millones de pesos”)",IF(AM99&gt;0,"Las cifras registradas no deben llevar decimales",""))</f>
        <v/>
      </c>
      <c r="C106" s="924"/>
      <c r="D106" s="924"/>
      <c r="E106" s="924"/>
      <c r="F106" s="924"/>
      <c r="G106" s="924"/>
      <c r="H106" s="924"/>
      <c r="I106" s="924"/>
      <c r="J106" s="924"/>
      <c r="K106" s="924"/>
      <c r="L106" s="924"/>
      <c r="M106" s="924"/>
      <c r="N106" s="924"/>
      <c r="O106" s="924"/>
      <c r="P106" s="924"/>
      <c r="Q106" s="924"/>
      <c r="R106" s="924"/>
      <c r="S106" s="924"/>
      <c r="T106" s="924"/>
      <c r="U106" s="924"/>
      <c r="V106" s="924"/>
      <c r="W106" s="924"/>
      <c r="X106" s="924"/>
      <c r="Y106" s="924"/>
      <c r="Z106" s="924"/>
      <c r="AA106" s="924"/>
      <c r="AB106" s="924"/>
      <c r="AC106" s="924"/>
      <c r="AD106" s="924"/>
    </row>
    <row r="107" spans="1:39" ht="15" customHeight="1">
      <c r="A107" s="96"/>
      <c r="B107" s="90"/>
      <c r="C107" s="90"/>
      <c r="D107" s="90"/>
      <c r="E107" s="90"/>
      <c r="F107" s="90"/>
      <c r="G107" s="90"/>
      <c r="H107" s="90"/>
      <c r="I107" s="90"/>
      <c r="J107" s="90"/>
      <c r="K107" s="90"/>
      <c r="L107" s="90"/>
      <c r="M107" s="90"/>
      <c r="N107" s="90"/>
      <c r="O107" s="90"/>
      <c r="P107" s="90"/>
      <c r="Q107" s="90"/>
      <c r="R107" s="90"/>
      <c r="S107" s="90"/>
      <c r="T107" s="90"/>
      <c r="U107" s="90"/>
      <c r="V107" s="90"/>
      <c r="W107" s="90"/>
      <c r="X107" s="90"/>
      <c r="Y107" s="90"/>
      <c r="Z107" s="90"/>
      <c r="AA107" s="90"/>
      <c r="AB107" s="90"/>
      <c r="AC107" s="90"/>
      <c r="AD107" s="90"/>
    </row>
    <row r="108" spans="1:39" ht="15" customHeight="1">
      <c r="A108" s="96"/>
      <c r="B108" s="90"/>
      <c r="C108" s="90"/>
      <c r="D108" s="90"/>
      <c r="E108" s="90"/>
      <c r="F108" s="90"/>
      <c r="G108" s="90"/>
      <c r="H108" s="90"/>
      <c r="I108" s="90"/>
      <c r="J108" s="90"/>
      <c r="K108" s="90"/>
      <c r="L108" s="90"/>
      <c r="M108" s="90"/>
      <c r="N108" s="90"/>
      <c r="O108" s="90"/>
      <c r="P108" s="90"/>
      <c r="Q108" s="90"/>
      <c r="R108" s="90"/>
      <c r="S108" s="90"/>
      <c r="T108" s="90"/>
      <c r="U108" s="90"/>
      <c r="V108" s="90"/>
      <c r="W108" s="90"/>
      <c r="X108" s="90"/>
      <c r="Y108" s="90"/>
      <c r="Z108" s="90"/>
      <c r="AA108" s="90"/>
      <c r="AB108" s="90"/>
      <c r="AC108" s="90"/>
      <c r="AD108" s="90"/>
    </row>
    <row r="109" spans="1:39" ht="24" customHeight="1">
      <c r="A109" s="49" t="s">
        <v>4217</v>
      </c>
      <c r="B109" s="829" t="s">
        <v>4218</v>
      </c>
      <c r="C109" s="829"/>
      <c r="D109" s="829"/>
      <c r="E109" s="829"/>
      <c r="F109" s="829"/>
      <c r="G109" s="829"/>
      <c r="H109" s="829"/>
      <c r="I109" s="829"/>
      <c r="J109" s="829"/>
      <c r="K109" s="829"/>
      <c r="L109" s="829"/>
      <c r="M109" s="829"/>
      <c r="N109" s="829"/>
      <c r="O109" s="829"/>
      <c r="P109" s="829"/>
      <c r="Q109" s="829"/>
      <c r="R109" s="829"/>
      <c r="S109" s="829"/>
      <c r="T109" s="829"/>
      <c r="U109" s="829"/>
      <c r="V109" s="829"/>
      <c r="W109" s="829"/>
      <c r="X109" s="829"/>
      <c r="Y109" s="829"/>
      <c r="Z109" s="829"/>
      <c r="AA109" s="829"/>
      <c r="AB109" s="829"/>
      <c r="AC109" s="829"/>
      <c r="AD109" s="829"/>
    </row>
    <row r="110" spans="1:39" ht="24" customHeight="1">
      <c r="A110" s="49"/>
      <c r="B110" s="105"/>
      <c r="C110" s="830" t="s">
        <v>4219</v>
      </c>
      <c r="D110" s="830"/>
      <c r="E110" s="830"/>
      <c r="F110" s="830"/>
      <c r="G110" s="830"/>
      <c r="H110" s="830"/>
      <c r="I110" s="830"/>
      <c r="J110" s="830"/>
      <c r="K110" s="830"/>
      <c r="L110" s="830"/>
      <c r="M110" s="830"/>
      <c r="N110" s="830"/>
      <c r="O110" s="830"/>
      <c r="P110" s="830"/>
      <c r="Q110" s="830"/>
      <c r="R110" s="830"/>
      <c r="S110" s="830"/>
      <c r="T110" s="830"/>
      <c r="U110" s="830"/>
      <c r="V110" s="830"/>
      <c r="W110" s="830"/>
      <c r="X110" s="830"/>
      <c r="Y110" s="830"/>
      <c r="Z110" s="830"/>
      <c r="AA110" s="830"/>
      <c r="AB110" s="830"/>
      <c r="AC110" s="830"/>
      <c r="AD110" s="830"/>
    </row>
    <row r="111" spans="1:39" ht="24" customHeight="1">
      <c r="A111" s="49"/>
      <c r="B111" s="54"/>
      <c r="C111" s="830" t="s">
        <v>4220</v>
      </c>
      <c r="D111" s="830"/>
      <c r="E111" s="830"/>
      <c r="F111" s="830"/>
      <c r="G111" s="830"/>
      <c r="H111" s="830"/>
      <c r="I111" s="830"/>
      <c r="J111" s="830"/>
      <c r="K111" s="830"/>
      <c r="L111" s="830"/>
      <c r="M111" s="830"/>
      <c r="N111" s="830"/>
      <c r="O111" s="830"/>
      <c r="P111" s="830"/>
      <c r="Q111" s="830"/>
      <c r="R111" s="830"/>
      <c r="S111" s="830"/>
      <c r="T111" s="830"/>
      <c r="U111" s="830"/>
      <c r="V111" s="830"/>
      <c r="W111" s="830"/>
      <c r="X111" s="830"/>
      <c r="Y111" s="830"/>
      <c r="Z111" s="830"/>
      <c r="AA111" s="830"/>
      <c r="AB111" s="830"/>
      <c r="AC111" s="830"/>
      <c r="AD111" s="830"/>
    </row>
    <row r="112" spans="1:39" ht="24" customHeight="1">
      <c r="A112" s="120"/>
      <c r="B112" s="123"/>
      <c r="C112" s="830" t="s">
        <v>4221</v>
      </c>
      <c r="D112" s="830"/>
      <c r="E112" s="830"/>
      <c r="F112" s="830"/>
      <c r="G112" s="830"/>
      <c r="H112" s="830"/>
      <c r="I112" s="830"/>
      <c r="J112" s="830"/>
      <c r="K112" s="830"/>
      <c r="L112" s="830"/>
      <c r="M112" s="830"/>
      <c r="N112" s="830"/>
      <c r="O112" s="830"/>
      <c r="P112" s="830"/>
      <c r="Q112" s="830"/>
      <c r="R112" s="830"/>
      <c r="S112" s="830"/>
      <c r="T112" s="830"/>
      <c r="U112" s="830"/>
      <c r="V112" s="830"/>
      <c r="W112" s="830"/>
      <c r="X112" s="830"/>
      <c r="Y112" s="830"/>
      <c r="Z112" s="830"/>
      <c r="AA112" s="830"/>
      <c r="AB112" s="830"/>
      <c r="AC112" s="830"/>
      <c r="AD112" s="830"/>
    </row>
    <row r="113" spans="1:40">
      <c r="A113" s="49"/>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row>
    <row r="114" spans="1:40" ht="15" customHeight="1">
      <c r="A114" s="49"/>
      <c r="B114" s="38"/>
      <c r="C114" s="732" t="s">
        <v>4222</v>
      </c>
      <c r="D114" s="732"/>
      <c r="E114" s="732"/>
      <c r="F114" s="732"/>
      <c r="G114" s="732"/>
      <c r="H114" s="732"/>
      <c r="I114" s="732"/>
      <c r="J114" s="732"/>
      <c r="K114" s="732"/>
      <c r="L114" s="732"/>
      <c r="M114" s="732"/>
      <c r="N114" s="732"/>
      <c r="O114" s="732" t="s">
        <v>4223</v>
      </c>
      <c r="P114" s="732"/>
      <c r="Q114" s="732"/>
      <c r="R114" s="732"/>
      <c r="S114" s="732"/>
      <c r="T114" s="732"/>
      <c r="U114" s="732"/>
      <c r="V114" s="732"/>
      <c r="W114" s="732"/>
      <c r="X114" s="732"/>
      <c r="Y114" s="732"/>
      <c r="Z114" s="732"/>
      <c r="AA114" s="732"/>
      <c r="AB114" s="732"/>
      <c r="AC114" s="732"/>
      <c r="AD114" s="732"/>
      <c r="AG114"/>
      <c r="AH114"/>
      <c r="AI114"/>
      <c r="AJ114"/>
      <c r="AK114"/>
      <c r="AL114"/>
      <c r="AM114"/>
      <c r="AN114" s="921" t="s">
        <v>3478</v>
      </c>
    </row>
    <row r="115" spans="1:40" ht="84" customHeight="1">
      <c r="A115" s="49"/>
      <c r="B115" s="38"/>
      <c r="C115" s="732"/>
      <c r="D115" s="732"/>
      <c r="E115" s="732"/>
      <c r="F115" s="732"/>
      <c r="G115" s="732"/>
      <c r="H115" s="732"/>
      <c r="I115" s="732"/>
      <c r="J115" s="732"/>
      <c r="K115" s="732"/>
      <c r="L115" s="732"/>
      <c r="M115" s="732"/>
      <c r="N115" s="732"/>
      <c r="O115" s="732" t="s">
        <v>2628</v>
      </c>
      <c r="P115" s="732"/>
      <c r="Q115" s="732"/>
      <c r="R115" s="732"/>
      <c r="S115" s="736" t="s">
        <v>4224</v>
      </c>
      <c r="T115" s="736"/>
      <c r="U115" s="736"/>
      <c r="V115" s="736"/>
      <c r="W115" s="736" t="s">
        <v>4225</v>
      </c>
      <c r="X115" s="736"/>
      <c r="Y115" s="736"/>
      <c r="Z115" s="736"/>
      <c r="AA115" s="736" t="s">
        <v>4226</v>
      </c>
      <c r="AB115" s="736"/>
      <c r="AC115" s="736"/>
      <c r="AD115" s="736"/>
      <c r="AG115" s="354" t="s">
        <v>2586</v>
      </c>
      <c r="AH115" s="282" t="s">
        <v>2590</v>
      </c>
      <c r="AI115" s="280" t="s">
        <v>3262</v>
      </c>
      <c r="AJ115" s="281" t="s">
        <v>3263</v>
      </c>
      <c r="AK115" s="365" t="s">
        <v>2620</v>
      </c>
      <c r="AL115" s="528" t="s">
        <v>4227</v>
      </c>
      <c r="AM115" s="529" t="s">
        <v>4228</v>
      </c>
      <c r="AN115" s="921"/>
    </row>
    <row r="116" spans="1:40">
      <c r="A116" s="49"/>
      <c r="B116" s="38"/>
      <c r="C116" s="749"/>
      <c r="D116" s="749"/>
      <c r="E116" s="749"/>
      <c r="F116" s="749"/>
      <c r="G116" s="749"/>
      <c r="H116" s="749"/>
      <c r="I116" s="749"/>
      <c r="J116" s="749"/>
      <c r="K116" s="749"/>
      <c r="L116" s="749"/>
      <c r="M116" s="749"/>
      <c r="N116" s="749"/>
      <c r="O116" s="749"/>
      <c r="P116" s="749"/>
      <c r="Q116" s="749"/>
      <c r="R116" s="749"/>
      <c r="S116" s="749"/>
      <c r="T116" s="749"/>
      <c r="U116" s="749"/>
      <c r="V116" s="749"/>
      <c r="W116" s="749"/>
      <c r="X116" s="749"/>
      <c r="Y116" s="749"/>
      <c r="Z116" s="749"/>
      <c r="AA116" s="749"/>
      <c r="AB116" s="749"/>
      <c r="AC116" s="749"/>
      <c r="AD116" s="749"/>
      <c r="AG116" s="326">
        <f>IF(AND($C$116&lt;&gt;"",$C$116&lt;&gt;1,COUNTA(O116:AD116)=0),0,IF(AND($C$116&lt;&gt;"",$C$116=1,COUNTA(O116:AD116)=4),0,IF(AND($C$116="",COUNTA(O116:AD116)=0),0,1)))</f>
        <v>0</v>
      </c>
      <c r="AH116" s="283">
        <f>COUNTIF(S116:AD116,"NS")</f>
        <v>0</v>
      </c>
      <c r="AI116" s="283">
        <f>SUM(S116:AD116)</f>
        <v>0</v>
      </c>
      <c r="AJ116" s="283">
        <f>IF(COUNTIF(O116:AD116,"NA")=4,0,IF(COUNTA(O116:AD116)=0,0,IF(OR(AND(O116=0,AH116&gt;0),AND(O116="ns",AI116&gt;0),AND(O116="ns",AH116=0,AI116=0)),1,IF(OR(AND(O116&gt;0,AH116=2),AND(O116="ns",AH116=2),AND(O116="ns",AI116=0,AH116&gt;0),O116=AI116),0,1))))</f>
        <v>0</v>
      </c>
      <c r="AK116" s="342">
        <f>IF(AND($C$116&lt;&gt;"",$C$116&lt;&gt;1,COUNTA(O116:AD116)&gt;0),1,0)</f>
        <v>0</v>
      </c>
      <c r="AL116" s="283" cm="1">
        <f t="array" ref="AL116">IF(AND(OR(O116={"NS","NA"},C35={"NS","NA"})),0,IF(O116&lt;=C35,0,1))</f>
        <v>0</v>
      </c>
      <c r="AM116">
        <f>IF(SUM(AA116)&gt;0,1,0)</f>
        <v>0</v>
      </c>
      <c r="AN116" s="253">
        <f>IF(AND($C$116&lt;&gt;"",$C$116=1,O116&lt;&gt;"",S116&lt;&gt;"",W116&lt;&gt;"",AA116&lt;&gt;"",SUM(O116:AD116)=0),1,0)</f>
        <v>0</v>
      </c>
    </row>
    <row r="117" spans="1:40">
      <c r="A117" s="49"/>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row>
    <row r="118" spans="1:40" ht="45" customHeight="1">
      <c r="A118" s="94"/>
      <c r="C118" s="822" t="s">
        <v>4229</v>
      </c>
      <c r="D118" s="822"/>
      <c r="E118" s="822"/>
      <c r="F118" s="749"/>
      <c r="G118" s="749"/>
      <c r="H118" s="749"/>
      <c r="I118" s="749"/>
      <c r="J118" s="749"/>
      <c r="K118" s="749"/>
      <c r="L118" s="749"/>
      <c r="M118" s="749"/>
      <c r="N118" s="749"/>
      <c r="O118" s="749"/>
      <c r="P118" s="749"/>
      <c r="Q118" s="749"/>
      <c r="R118" s="749"/>
      <c r="S118" s="749"/>
      <c r="T118" s="749"/>
      <c r="U118" s="749"/>
      <c r="V118" s="749"/>
      <c r="W118" s="749"/>
      <c r="X118" s="749"/>
      <c r="Y118" s="749"/>
      <c r="Z118" s="749"/>
      <c r="AA118" s="749"/>
      <c r="AB118" s="749"/>
      <c r="AC118" s="749"/>
      <c r="AD118" s="749"/>
    </row>
    <row r="119" spans="1:40" ht="15" customHeight="1">
      <c r="A119" s="49"/>
      <c r="B119" s="794" t="str">
        <f>IF(AND(AM116&gt;0,F118=""),"Registró un valor númerico mayor a cero en la col. Otro fondo de subsidio debe de anotar el nombre de dicho(s) fondo(s) o subsidio(s)","")</f>
        <v/>
      </c>
      <c r="C119" s="794"/>
      <c r="D119" s="794"/>
      <c r="E119" s="794"/>
      <c r="F119" s="794"/>
      <c r="G119" s="794"/>
      <c r="H119" s="794"/>
      <c r="I119" s="794"/>
      <c r="J119" s="794"/>
      <c r="K119" s="794"/>
      <c r="L119" s="794"/>
      <c r="M119" s="794"/>
      <c r="N119" s="794"/>
      <c r="O119" s="794"/>
      <c r="P119" s="794"/>
      <c r="Q119" s="794"/>
      <c r="R119" s="794"/>
      <c r="S119" s="794"/>
      <c r="T119" s="794"/>
      <c r="U119" s="794"/>
      <c r="V119" s="794"/>
      <c r="W119" s="794"/>
      <c r="X119" s="794"/>
      <c r="Y119" s="794"/>
      <c r="Z119" s="794"/>
      <c r="AA119" s="794"/>
      <c r="AB119" s="794"/>
      <c r="AC119" s="794"/>
      <c r="AD119" s="794"/>
      <c r="AE119" s="794"/>
    </row>
    <row r="120" spans="1:40" ht="24" customHeight="1">
      <c r="A120" s="96"/>
      <c r="B120" s="90"/>
      <c r="C120" s="754" t="s">
        <v>2611</v>
      </c>
      <c r="D120" s="754"/>
      <c r="E120" s="754"/>
      <c r="F120" s="754"/>
      <c r="G120" s="754"/>
      <c r="H120" s="754"/>
      <c r="I120" s="754"/>
      <c r="J120" s="754"/>
      <c r="K120" s="754"/>
      <c r="L120" s="754"/>
      <c r="M120" s="754"/>
      <c r="N120" s="754"/>
      <c r="O120" s="754"/>
      <c r="P120" s="754"/>
      <c r="Q120" s="754"/>
      <c r="R120" s="754"/>
      <c r="S120" s="754"/>
      <c r="T120" s="754"/>
      <c r="U120" s="754"/>
      <c r="V120" s="754"/>
      <c r="W120" s="754"/>
      <c r="X120" s="754"/>
      <c r="Y120" s="754"/>
      <c r="Z120" s="754"/>
      <c r="AA120" s="754"/>
      <c r="AB120" s="754"/>
      <c r="AC120" s="754"/>
      <c r="AD120" s="754"/>
    </row>
    <row r="121" spans="1:40" ht="60" customHeight="1">
      <c r="A121" s="96"/>
      <c r="B121" s="90"/>
      <c r="C121" s="851"/>
      <c r="D121" s="851"/>
      <c r="E121" s="851"/>
      <c r="F121" s="851"/>
      <c r="G121" s="851"/>
      <c r="H121" s="851"/>
      <c r="I121" s="851"/>
      <c r="J121" s="851"/>
      <c r="K121" s="851"/>
      <c r="L121" s="851"/>
      <c r="M121" s="851"/>
      <c r="N121" s="851"/>
      <c r="O121" s="851"/>
      <c r="P121" s="851"/>
      <c r="Q121" s="851"/>
      <c r="R121" s="851"/>
      <c r="S121" s="851"/>
      <c r="T121" s="851"/>
      <c r="U121" s="851"/>
      <c r="V121" s="851"/>
      <c r="W121" s="851"/>
      <c r="X121" s="851"/>
      <c r="Y121" s="851"/>
      <c r="Z121" s="851"/>
      <c r="AA121" s="851"/>
      <c r="AB121" s="851"/>
      <c r="AC121" s="851"/>
      <c r="AD121" s="851"/>
    </row>
    <row r="122" spans="1:40" ht="15" customHeight="1">
      <c r="B122" s="794" t="str">
        <f>IF(AG116&gt;0,"Favor de ingresar toda la información requerida en la pregunta y/o verifique que no tenga información en celdas sombreadas","")</f>
        <v/>
      </c>
      <c r="C122" s="794"/>
      <c r="D122" s="794"/>
      <c r="E122" s="794"/>
      <c r="F122" s="794"/>
      <c r="G122" s="794"/>
      <c r="H122" s="794"/>
      <c r="I122" s="794"/>
      <c r="J122" s="794"/>
      <c r="K122" s="794"/>
      <c r="L122" s="794"/>
      <c r="M122" s="794"/>
      <c r="N122" s="794"/>
      <c r="O122" s="794"/>
      <c r="P122" s="794"/>
      <c r="Q122" s="794"/>
      <c r="R122" s="794"/>
      <c r="S122" s="794"/>
      <c r="T122" s="794"/>
      <c r="U122" s="794"/>
      <c r="V122" s="794"/>
      <c r="W122" s="794"/>
      <c r="X122" s="794"/>
      <c r="Y122" s="794"/>
      <c r="Z122" s="794"/>
      <c r="AA122" s="794"/>
      <c r="AB122" s="794"/>
      <c r="AC122" s="794"/>
      <c r="AD122" s="794"/>
      <c r="AE122"/>
    </row>
    <row r="123" spans="1:40" ht="15" customHeight="1">
      <c r="B123" s="795" t="str">
        <f>IF(AH116&gt;0,"Alerta: debido a que cuenta con registros NS, debe proporcionar una justificación en el area de comentarios al final de la pregunta","")</f>
        <v/>
      </c>
      <c r="C123" s="795"/>
      <c r="D123" s="795"/>
      <c r="E123" s="795"/>
      <c r="F123" s="795"/>
      <c r="G123" s="795"/>
      <c r="H123" s="795"/>
      <c r="I123" s="795"/>
      <c r="J123" s="795"/>
      <c r="K123" s="795"/>
      <c r="L123" s="795"/>
      <c r="M123" s="795"/>
      <c r="N123" s="795"/>
      <c r="O123" s="795"/>
      <c r="P123" s="795"/>
      <c r="Q123" s="795"/>
      <c r="R123" s="795"/>
      <c r="S123" s="795"/>
      <c r="T123" s="795"/>
      <c r="U123" s="795"/>
      <c r="V123" s="795"/>
      <c r="W123" s="795"/>
      <c r="X123" s="795"/>
      <c r="Y123" s="795"/>
      <c r="Z123" s="795"/>
      <c r="AA123" s="795"/>
      <c r="AB123" s="795"/>
      <c r="AC123" s="795"/>
      <c r="AD123" s="795"/>
      <c r="AE123"/>
    </row>
    <row r="124" spans="1:40" ht="15" customHeight="1">
      <c r="B124" s="794" t="str">
        <f>IF(AJ116&gt;0,"Favor de revisar la suma y consistencia de totales y/o subtotales por filas (numéricos y NS)","")</f>
        <v/>
      </c>
      <c r="C124" s="794"/>
      <c r="D124" s="794"/>
      <c r="E124" s="794"/>
      <c r="F124" s="794"/>
      <c r="G124" s="794"/>
      <c r="H124" s="794"/>
      <c r="I124" s="794"/>
      <c r="J124" s="794"/>
      <c r="K124" s="794"/>
      <c r="L124" s="794"/>
      <c r="M124" s="794"/>
      <c r="N124" s="794"/>
      <c r="O124" s="794"/>
      <c r="P124" s="794"/>
      <c r="Q124" s="794"/>
      <c r="R124" s="794"/>
      <c r="S124" s="794"/>
      <c r="T124" s="794"/>
      <c r="U124" s="794"/>
      <c r="V124" s="794"/>
      <c r="W124" s="794"/>
      <c r="X124" s="794"/>
      <c r="Y124" s="794"/>
      <c r="Z124" s="794"/>
      <c r="AA124" s="794"/>
      <c r="AB124" s="794"/>
      <c r="AC124" s="794"/>
      <c r="AD124" s="794"/>
      <c r="AE124"/>
    </row>
    <row r="125" spans="1:40" ht="15" customHeight="1">
      <c r="B125" s="795" t="str">
        <f>IF(AL116&gt;0,"Alerta: debe de proporcionar una justificación de acuerdo a lo establecido en la instrucción 2","")</f>
        <v/>
      </c>
      <c r="C125" s="795"/>
      <c r="D125" s="795"/>
      <c r="E125" s="795"/>
      <c r="F125" s="795"/>
      <c r="G125" s="795"/>
      <c r="H125" s="795"/>
      <c r="I125" s="795"/>
      <c r="J125" s="795"/>
      <c r="K125" s="795"/>
      <c r="L125" s="795"/>
      <c r="M125" s="795"/>
      <c r="N125" s="795"/>
      <c r="O125" s="795"/>
      <c r="P125" s="795"/>
      <c r="Q125" s="795"/>
      <c r="R125" s="795"/>
      <c r="S125" s="795"/>
      <c r="T125" s="795"/>
      <c r="U125" s="795"/>
      <c r="V125" s="795"/>
      <c r="W125" s="795"/>
      <c r="X125" s="795"/>
      <c r="Y125" s="795"/>
      <c r="Z125" s="795"/>
      <c r="AA125" s="795"/>
      <c r="AB125" s="795"/>
      <c r="AC125" s="795"/>
      <c r="AD125" s="795"/>
      <c r="AE125" s="795"/>
    </row>
    <row r="126" spans="1:40" ht="15" customHeight="1">
      <c r="B126" s="794" t="str">
        <f>IF(AN116&gt;0,"No puede ingresar cero en la col. Monto aportado debido a que registró el código 1 en la col. ¿Recibieron por parte del Gobierno Federal… ?","")</f>
        <v/>
      </c>
      <c r="C126" s="794"/>
      <c r="D126" s="794"/>
      <c r="E126" s="794"/>
      <c r="F126" s="794"/>
      <c r="G126" s="794"/>
      <c r="H126" s="794"/>
      <c r="I126" s="794"/>
      <c r="J126" s="794"/>
      <c r="K126" s="794"/>
      <c r="L126" s="794"/>
      <c r="M126" s="794"/>
      <c r="N126" s="794"/>
      <c r="O126" s="794"/>
      <c r="P126" s="794"/>
      <c r="Q126" s="794"/>
      <c r="R126" s="794"/>
      <c r="S126" s="794"/>
      <c r="T126" s="794"/>
      <c r="U126" s="794"/>
      <c r="V126" s="794"/>
      <c r="W126" s="794"/>
      <c r="X126" s="794"/>
      <c r="Y126" s="794"/>
      <c r="Z126" s="794"/>
      <c r="AA126" s="794"/>
      <c r="AB126" s="794"/>
      <c r="AC126" s="794"/>
      <c r="AD126" s="794"/>
      <c r="AE126" s="794"/>
    </row>
    <row r="127" spans="1:40" ht="15" customHeight="1">
      <c r="B127"/>
      <c r="C127"/>
      <c r="D127"/>
      <c r="E127"/>
      <c r="F127"/>
      <c r="G127"/>
      <c r="H127"/>
      <c r="I127"/>
      <c r="J127"/>
      <c r="K127"/>
      <c r="L127"/>
      <c r="M127"/>
      <c r="N127"/>
      <c r="O127"/>
      <c r="P127"/>
      <c r="Q127"/>
      <c r="R127"/>
      <c r="S127"/>
      <c r="T127"/>
      <c r="U127"/>
      <c r="V127"/>
      <c r="W127"/>
      <c r="X127"/>
      <c r="Y127"/>
      <c r="Z127"/>
      <c r="AA127"/>
      <c r="AB127"/>
      <c r="AC127"/>
      <c r="AD127"/>
      <c r="AE127"/>
    </row>
  </sheetData>
  <sheetProtection algorithmName="SHA-512" hashValue="yb1wxh0fbca+SqKS5AixQjb2qQAH8MI6rAUvscwde36300/vHVdbIICAOKbmAzhgaPc8W2IKlBAz9fSEkloAgA==" saltValue="Vynn6MewJR6IN+1VI2WGSQ==" spinCount="100000" sheet="1" objects="1" scenarios="1"/>
  <mergeCells count="158">
    <mergeCell ref="B82:AD82"/>
    <mergeCell ref="AI49:AI50"/>
    <mergeCell ref="B63:AD63"/>
    <mergeCell ref="B64:AD64"/>
    <mergeCell ref="B65:AD65"/>
    <mergeCell ref="B66:AD66"/>
    <mergeCell ref="AG70:AI70"/>
    <mergeCell ref="D52:X52"/>
    <mergeCell ref="Y52:AD52"/>
    <mergeCell ref="D53:X53"/>
    <mergeCell ref="Y53:AD53"/>
    <mergeCell ref="D54:X54"/>
    <mergeCell ref="Y54:AD54"/>
    <mergeCell ref="C62:AD62"/>
    <mergeCell ref="B69:AD69"/>
    <mergeCell ref="C70:AD70"/>
    <mergeCell ref="C72:AD72"/>
    <mergeCell ref="Y73:AA73"/>
    <mergeCell ref="AB73:AD73"/>
    <mergeCell ref="C77:AD77"/>
    <mergeCell ref="C78:AD78"/>
    <mergeCell ref="AJ73:AR73"/>
    <mergeCell ref="AS73:BA73"/>
    <mergeCell ref="C118:E118"/>
    <mergeCell ref="F118:AD118"/>
    <mergeCell ref="C111:AD111"/>
    <mergeCell ref="C112:AD112"/>
    <mergeCell ref="C114:N115"/>
    <mergeCell ref="O114:AD114"/>
    <mergeCell ref="O115:R115"/>
    <mergeCell ref="S115:V115"/>
    <mergeCell ref="W115:Z115"/>
    <mergeCell ref="AA115:AD115"/>
    <mergeCell ref="C116:N116"/>
    <mergeCell ref="O116:R116"/>
    <mergeCell ref="S116:V116"/>
    <mergeCell ref="W116:Z116"/>
    <mergeCell ref="AA116:AD116"/>
    <mergeCell ref="C73:E73"/>
    <mergeCell ref="F73:H73"/>
    <mergeCell ref="I73:K73"/>
    <mergeCell ref="L73:O73"/>
    <mergeCell ref="P73:R73"/>
    <mergeCell ref="S73:U73"/>
    <mergeCell ref="V73:X73"/>
    <mergeCell ref="B22:AD22"/>
    <mergeCell ref="C23:AD23"/>
    <mergeCell ref="C24:AD24"/>
    <mergeCell ref="B1:AD1"/>
    <mergeCell ref="B3:AD3"/>
    <mergeCell ref="B5:AD5"/>
    <mergeCell ref="AA7:AD7"/>
    <mergeCell ref="B8:L8"/>
    <mergeCell ref="N8:O8"/>
    <mergeCell ref="B10:AD10"/>
    <mergeCell ref="C16:AD16"/>
    <mergeCell ref="C33:F33"/>
    <mergeCell ref="C35:F35"/>
    <mergeCell ref="C37:AD37"/>
    <mergeCell ref="C38:AD38"/>
    <mergeCell ref="B45:AD45"/>
    <mergeCell ref="C25:AD25"/>
    <mergeCell ref="B27:AD27"/>
    <mergeCell ref="C31:F31"/>
    <mergeCell ref="C28:AD28"/>
    <mergeCell ref="C29:AD29"/>
    <mergeCell ref="B39:AD39"/>
    <mergeCell ref="B40:AD40"/>
    <mergeCell ref="B41:AD41"/>
    <mergeCell ref="B42:AD42"/>
    <mergeCell ref="C48:AD48"/>
    <mergeCell ref="C50:X50"/>
    <mergeCell ref="Y50:AD50"/>
    <mergeCell ref="D51:X51"/>
    <mergeCell ref="Y51:AD51"/>
    <mergeCell ref="D58:X58"/>
    <mergeCell ref="Y58:AD58"/>
    <mergeCell ref="Y59:AD59"/>
    <mergeCell ref="C61:AD61"/>
    <mergeCell ref="D55:X55"/>
    <mergeCell ref="Y55:AD55"/>
    <mergeCell ref="D56:X56"/>
    <mergeCell ref="Y56:AD56"/>
    <mergeCell ref="D57:X57"/>
    <mergeCell ref="Y57:AD57"/>
    <mergeCell ref="B85:AD85"/>
    <mergeCell ref="C87:AD87"/>
    <mergeCell ref="C88:AD88"/>
    <mergeCell ref="S74:U74"/>
    <mergeCell ref="V74:X74"/>
    <mergeCell ref="Y74:AA74"/>
    <mergeCell ref="AB74:AD74"/>
    <mergeCell ref="C75:E75"/>
    <mergeCell ref="F75:H75"/>
    <mergeCell ref="I75:K75"/>
    <mergeCell ref="L75:O75"/>
    <mergeCell ref="P75:R75"/>
    <mergeCell ref="S75:U75"/>
    <mergeCell ref="V75:X75"/>
    <mergeCell ref="Y75:AA75"/>
    <mergeCell ref="AB75:AD75"/>
    <mergeCell ref="C74:E74"/>
    <mergeCell ref="F74:H74"/>
    <mergeCell ref="I74:K74"/>
    <mergeCell ref="L74:O74"/>
    <mergeCell ref="P74:R74"/>
    <mergeCell ref="B79:AD79"/>
    <mergeCell ref="B80:AD80"/>
    <mergeCell ref="B81:AD81"/>
    <mergeCell ref="D98:X98"/>
    <mergeCell ref="Y98:AD98"/>
    <mergeCell ref="D93:X93"/>
    <mergeCell ref="Y93:AD93"/>
    <mergeCell ref="D94:X94"/>
    <mergeCell ref="Y94:AD94"/>
    <mergeCell ref="D95:X95"/>
    <mergeCell ref="Y95:AD95"/>
    <mergeCell ref="C90:X90"/>
    <mergeCell ref="Y90:AD90"/>
    <mergeCell ref="D91:X91"/>
    <mergeCell ref="Y91:AD91"/>
    <mergeCell ref="D92:X92"/>
    <mergeCell ref="Y92:AD92"/>
    <mergeCell ref="C46:AD46"/>
    <mergeCell ref="C47:AD47"/>
    <mergeCell ref="C86:AD86"/>
    <mergeCell ref="C120:AD120"/>
    <mergeCell ref="C121:AD121"/>
    <mergeCell ref="B11:AD11"/>
    <mergeCell ref="C12:AD12"/>
    <mergeCell ref="C13:AD13"/>
    <mergeCell ref="C14:AD14"/>
    <mergeCell ref="C15:AD15"/>
    <mergeCell ref="C19:AD19"/>
    <mergeCell ref="C20:AD20"/>
    <mergeCell ref="C21:AD21"/>
    <mergeCell ref="C17:AD17"/>
    <mergeCell ref="C18:AD18"/>
    <mergeCell ref="Y99:AD99"/>
    <mergeCell ref="C101:AD101"/>
    <mergeCell ref="C102:AD102"/>
    <mergeCell ref="B109:AD109"/>
    <mergeCell ref="C110:AD110"/>
    <mergeCell ref="D96:X96"/>
    <mergeCell ref="Y96:AD96"/>
    <mergeCell ref="D97:X97"/>
    <mergeCell ref="Y97:AD97"/>
    <mergeCell ref="B125:AE125"/>
    <mergeCell ref="B126:AE126"/>
    <mergeCell ref="B103:AD103"/>
    <mergeCell ref="B104:AD104"/>
    <mergeCell ref="B105:AD105"/>
    <mergeCell ref="B106:AD106"/>
    <mergeCell ref="AN114:AN115"/>
    <mergeCell ref="B119:AE119"/>
    <mergeCell ref="B122:AD122"/>
    <mergeCell ref="B123:AD123"/>
    <mergeCell ref="B124:AD124"/>
  </mergeCells>
  <conditionalFormatting sqref="C29:AD29">
    <cfRule type="expression" dxfId="671" priority="15">
      <formula>AND($AI$31&gt;0,$C$38="")</formula>
    </cfRule>
  </conditionalFormatting>
  <conditionalFormatting sqref="C47:AD47">
    <cfRule type="expression" dxfId="670" priority="14">
      <formula>AND($AH$59&gt;0,$C$62="")</formula>
    </cfRule>
  </conditionalFormatting>
  <conditionalFormatting sqref="C48:AD48">
    <cfRule type="expression" dxfId="669" priority="13">
      <formula>$AI$51&gt;0</formula>
    </cfRule>
  </conditionalFormatting>
  <conditionalFormatting sqref="C70:AD70">
    <cfRule type="expression" dxfId="668" priority="12">
      <formula>$AI$72&gt;0</formula>
    </cfRule>
  </conditionalFormatting>
  <conditionalFormatting sqref="C87:AD87">
    <cfRule type="expression" dxfId="667" priority="10">
      <formula>$AJ$99&gt;0</formula>
    </cfRule>
  </conditionalFormatting>
  <conditionalFormatting sqref="C88:AD88">
    <cfRule type="expression" dxfId="666" priority="9">
      <formula>$AI$99&gt;0</formula>
    </cfRule>
  </conditionalFormatting>
  <conditionalFormatting sqref="C110:AD110">
    <cfRule type="expression" dxfId="665" priority="5">
      <formula>$AK$116&gt;0</formula>
    </cfRule>
  </conditionalFormatting>
  <conditionalFormatting sqref="C111:AD111">
    <cfRule type="expression" dxfId="664" priority="4">
      <formula>AND($AL$116&gt;0,$C$121="")</formula>
    </cfRule>
  </conditionalFormatting>
  <conditionalFormatting sqref="C112:AD112">
    <cfRule type="expression" dxfId="663" priority="3">
      <formula>AND(AM116&gt;0,F118="")</formula>
    </cfRule>
  </conditionalFormatting>
  <conditionalFormatting sqref="F118:AD118">
    <cfRule type="expression" dxfId="662" priority="6">
      <formula>AND(AM116=0,F118="")</formula>
    </cfRule>
    <cfRule type="expression" dxfId="661" priority="7">
      <formula>AND(AM116&gt;0,F118="")</formula>
    </cfRule>
  </conditionalFormatting>
  <conditionalFormatting sqref="O116:AD116">
    <cfRule type="expression" dxfId="660" priority="8">
      <formula>AND($C$116&lt;&gt;"",$C$116&lt;&gt;1)</formula>
    </cfRule>
  </conditionalFormatting>
  <conditionalFormatting sqref="Y91:AD98">
    <cfRule type="expression" dxfId="659" priority="11">
      <formula>$Y51="NA"</formula>
    </cfRule>
  </conditionalFormatting>
  <dataValidations count="1">
    <dataValidation type="list" allowBlank="1" showInputMessage="1" showErrorMessage="1" sqref="C116:N116" xr:uid="{086718BC-7DA6-4127-9651-48B5AC08D43B}">
      <formula1>"1,2,9"</formula1>
    </dataValidation>
  </dataValidations>
  <hyperlinks>
    <hyperlink ref="AA7:AD7" location="Índice!B21" display="Índice" xr:uid="{DB2C25E1-9AD7-4F73-8258-05907ECD8BD0}"/>
  </hyperlinks>
  <printOptions horizontalCentered="1"/>
  <pageMargins left="0.70866141732283472" right="0.70866141732283472" top="0.74803149606299213" bottom="0.74803149606299213" header="0.31496062992125984" footer="0.31496062992125984"/>
  <pageSetup scale="75" orientation="portrait" r:id="rId1"/>
  <headerFooter>
    <oddHeader>&amp;CMódulo 2 Sección IV
Cuestionario</oddHeader>
    <oddFooter>&amp;LCenso Nacional de Sistemas Penitenciarios Estatales 2024&amp;R&amp;P de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3D5CB6-718F-424A-85C7-6AD39F1B2B35}">
  <dimension ref="A1:AS118"/>
  <sheetViews>
    <sheetView showGridLines="0" zoomScaleNormal="100" workbookViewId="0"/>
  </sheetViews>
  <sheetFormatPr baseColWidth="10" defaultColWidth="0" defaultRowHeight="15" customHeight="1" zeroHeight="1"/>
  <cols>
    <col min="1" max="1" width="5.7109375" style="3" customWidth="1"/>
    <col min="2" max="30" width="3.7109375" style="3" customWidth="1"/>
    <col min="31" max="31" width="5.7109375" style="3" customWidth="1"/>
    <col min="32" max="16384" width="9.28515625" style="3" hidden="1"/>
  </cols>
  <sheetData>
    <row r="1" spans="1:30" ht="173.25" customHeight="1">
      <c r="A1" s="91"/>
      <c r="B1" s="718" t="s">
        <v>0</v>
      </c>
      <c r="C1" s="719"/>
      <c r="D1" s="719"/>
      <c r="E1" s="719"/>
      <c r="F1" s="719"/>
      <c r="G1" s="719"/>
      <c r="H1" s="719"/>
      <c r="I1" s="719"/>
      <c r="J1" s="719"/>
      <c r="K1" s="719"/>
      <c r="L1" s="719"/>
      <c r="M1" s="719"/>
      <c r="N1" s="719"/>
      <c r="O1" s="719"/>
      <c r="P1" s="719"/>
      <c r="Q1" s="719"/>
      <c r="R1" s="719"/>
      <c r="S1" s="719"/>
      <c r="T1" s="719"/>
      <c r="U1" s="719"/>
      <c r="V1" s="719"/>
      <c r="W1" s="719"/>
      <c r="X1" s="719"/>
      <c r="Y1" s="719"/>
      <c r="Z1" s="719"/>
      <c r="AA1" s="719"/>
      <c r="AB1" s="719"/>
      <c r="AC1" s="719"/>
      <c r="AD1" s="719"/>
    </row>
    <row r="2" spans="1:30" ht="15" customHeight="1">
      <c r="A2" s="91"/>
    </row>
    <row r="3" spans="1:30" ht="45" customHeight="1">
      <c r="A3" s="91"/>
      <c r="B3" s="720" t="s">
        <v>1</v>
      </c>
      <c r="C3" s="721"/>
      <c r="D3" s="721"/>
      <c r="E3" s="721"/>
      <c r="F3" s="721"/>
      <c r="G3" s="721"/>
      <c r="H3" s="721"/>
      <c r="I3" s="721"/>
      <c r="J3" s="721"/>
      <c r="K3" s="721"/>
      <c r="L3" s="721"/>
      <c r="M3" s="721"/>
      <c r="N3" s="721"/>
      <c r="O3" s="721"/>
      <c r="P3" s="721"/>
      <c r="Q3" s="721"/>
      <c r="R3" s="721"/>
      <c r="S3" s="721"/>
      <c r="T3" s="721"/>
      <c r="U3" s="721"/>
      <c r="V3" s="721"/>
      <c r="W3" s="721"/>
      <c r="X3" s="721"/>
      <c r="Y3" s="721"/>
      <c r="Z3" s="721"/>
      <c r="AA3" s="721"/>
      <c r="AB3" s="721"/>
      <c r="AC3" s="721"/>
      <c r="AD3" s="721"/>
    </row>
    <row r="4" spans="1:30" ht="15" customHeight="1">
      <c r="A4" s="91"/>
    </row>
    <row r="5" spans="1:30" ht="45" customHeight="1">
      <c r="A5"/>
      <c r="B5" s="720" t="s">
        <v>16</v>
      </c>
      <c r="C5" s="721"/>
      <c r="D5" s="721"/>
      <c r="E5" s="721"/>
      <c r="F5" s="721"/>
      <c r="G5" s="721"/>
      <c r="H5" s="721"/>
      <c r="I5" s="721"/>
      <c r="J5" s="721"/>
      <c r="K5" s="721"/>
      <c r="L5" s="721"/>
      <c r="M5" s="721"/>
      <c r="N5" s="721"/>
      <c r="O5" s="721"/>
      <c r="P5" s="721"/>
      <c r="Q5" s="721"/>
      <c r="R5" s="721"/>
      <c r="S5" s="721"/>
      <c r="T5" s="721"/>
      <c r="U5" s="721"/>
      <c r="V5" s="721"/>
      <c r="W5" s="721"/>
      <c r="X5" s="721"/>
      <c r="Y5" s="721"/>
      <c r="Z5" s="721"/>
      <c r="AA5" s="721"/>
      <c r="AB5" s="721"/>
      <c r="AC5" s="721"/>
      <c r="AD5" s="721"/>
    </row>
    <row r="6" spans="1:30" ht="15" customHeight="1">
      <c r="A6" s="91"/>
    </row>
    <row r="7" spans="1:30" ht="15" customHeight="1" thickBot="1">
      <c r="A7" s="91"/>
      <c r="B7" s="23" t="s">
        <v>3</v>
      </c>
      <c r="N7" s="23" t="s">
        <v>4</v>
      </c>
      <c r="P7" s="24"/>
      <c r="Q7" s="24"/>
      <c r="R7" s="24"/>
      <c r="S7" s="24"/>
      <c r="T7" s="24"/>
      <c r="U7" s="24"/>
      <c r="V7" s="24"/>
      <c r="W7" s="24"/>
      <c r="X7" s="24"/>
      <c r="Y7" s="24"/>
      <c r="Z7" s="24"/>
      <c r="AA7" s="758" t="s">
        <v>2</v>
      </c>
      <c r="AB7" s="758"/>
      <c r="AC7" s="758"/>
      <c r="AD7" s="758"/>
    </row>
    <row r="8" spans="1:30" ht="15" customHeight="1" thickBot="1">
      <c r="A8" s="108"/>
      <c r="B8" s="722" t="str">
        <f>IF(Presentación!B8="","",Presentación!B8)</f>
        <v>Puebla</v>
      </c>
      <c r="C8" s="723"/>
      <c r="D8" s="723"/>
      <c r="E8" s="723"/>
      <c r="F8" s="723"/>
      <c r="G8" s="723"/>
      <c r="H8" s="723"/>
      <c r="I8" s="723"/>
      <c r="J8" s="723"/>
      <c r="K8" s="723"/>
      <c r="L8" s="724"/>
      <c r="M8" s="25"/>
      <c r="N8" s="722">
        <f>IF(Presentación!N8="","",Presentación!N8)</f>
        <v>221</v>
      </c>
      <c r="O8" s="724"/>
      <c r="P8" s="107"/>
      <c r="Q8" s="107"/>
      <c r="R8" s="107"/>
      <c r="S8" s="109"/>
      <c r="T8" s="107"/>
      <c r="U8" s="107"/>
      <c r="V8" s="107"/>
      <c r="W8" s="107"/>
      <c r="X8" s="107"/>
      <c r="Y8" s="107"/>
      <c r="Z8" s="107"/>
      <c r="AA8" s="107"/>
      <c r="AB8" s="107"/>
      <c r="AC8" s="107"/>
      <c r="AD8" s="107"/>
    </row>
    <row r="9" spans="1:30" ht="15" customHeight="1">
      <c r="A9" s="91"/>
      <c r="C9" s="24"/>
      <c r="D9" s="24"/>
      <c r="E9" s="24"/>
      <c r="F9" s="24"/>
      <c r="G9" s="24"/>
      <c r="H9" s="24"/>
      <c r="I9" s="24"/>
      <c r="J9" s="24"/>
      <c r="K9" s="24"/>
      <c r="L9" s="24"/>
      <c r="M9" s="24"/>
      <c r="N9" s="24"/>
      <c r="O9" s="24"/>
      <c r="P9" s="24"/>
      <c r="Q9" s="24"/>
      <c r="R9" s="24"/>
      <c r="S9" s="24"/>
      <c r="T9" s="24"/>
      <c r="U9" s="24"/>
      <c r="V9" s="24"/>
      <c r="W9" s="24"/>
      <c r="X9" s="24"/>
      <c r="Y9" s="24"/>
      <c r="Z9" s="24"/>
      <c r="AA9" s="24"/>
      <c r="AB9" s="24"/>
      <c r="AC9" s="24"/>
    </row>
    <row r="10" spans="1:30" ht="15" customHeight="1">
      <c r="A10" s="94"/>
      <c r="B10" s="892" t="s">
        <v>2552</v>
      </c>
      <c r="C10" s="893"/>
      <c r="D10" s="893"/>
      <c r="E10" s="893"/>
      <c r="F10" s="893"/>
      <c r="G10" s="893"/>
      <c r="H10" s="893"/>
      <c r="I10" s="893"/>
      <c r="J10" s="893"/>
      <c r="K10" s="893"/>
      <c r="L10" s="893"/>
      <c r="M10" s="893"/>
      <c r="N10" s="893"/>
      <c r="O10" s="893"/>
      <c r="P10" s="893"/>
      <c r="Q10" s="893"/>
      <c r="R10" s="893"/>
      <c r="S10" s="893"/>
      <c r="T10" s="893"/>
      <c r="U10" s="893"/>
      <c r="V10" s="893"/>
      <c r="W10" s="893"/>
      <c r="X10" s="893"/>
      <c r="Y10" s="893"/>
      <c r="Z10" s="893"/>
      <c r="AA10" s="893"/>
      <c r="AB10" s="893"/>
      <c r="AC10" s="893"/>
      <c r="AD10" s="894"/>
    </row>
    <row r="11" spans="1:30" ht="36" customHeight="1">
      <c r="A11" s="94"/>
      <c r="B11" s="654"/>
      <c r="C11" s="754" t="s">
        <v>4230</v>
      </c>
      <c r="D11" s="754"/>
      <c r="E11" s="754"/>
      <c r="F11" s="754"/>
      <c r="G11" s="754"/>
      <c r="H11" s="754"/>
      <c r="I11" s="754"/>
      <c r="J11" s="754"/>
      <c r="K11" s="754"/>
      <c r="L11" s="754"/>
      <c r="M11" s="754"/>
      <c r="N11" s="754"/>
      <c r="O11" s="754"/>
      <c r="P11" s="754"/>
      <c r="Q11" s="754"/>
      <c r="R11" s="754"/>
      <c r="S11" s="754"/>
      <c r="T11" s="754"/>
      <c r="U11" s="754"/>
      <c r="V11" s="754"/>
      <c r="W11" s="754"/>
      <c r="X11" s="754"/>
      <c r="Y11" s="754"/>
      <c r="Z11" s="754"/>
      <c r="AA11" s="754"/>
      <c r="AB11" s="754"/>
      <c r="AC11" s="754"/>
      <c r="AD11" s="891"/>
    </row>
    <row r="12" spans="1:30" ht="24" customHeight="1">
      <c r="A12" s="94"/>
      <c r="B12" s="654"/>
      <c r="C12" s="754" t="s">
        <v>2554</v>
      </c>
      <c r="D12" s="830"/>
      <c r="E12" s="830"/>
      <c r="F12" s="830"/>
      <c r="G12" s="830"/>
      <c r="H12" s="830"/>
      <c r="I12" s="830"/>
      <c r="J12" s="830"/>
      <c r="K12" s="830"/>
      <c r="L12" s="830"/>
      <c r="M12" s="830"/>
      <c r="N12" s="830"/>
      <c r="O12" s="830"/>
      <c r="P12" s="830"/>
      <c r="Q12" s="830"/>
      <c r="R12" s="830"/>
      <c r="S12" s="830"/>
      <c r="T12" s="830"/>
      <c r="U12" s="830"/>
      <c r="V12" s="830"/>
      <c r="W12" s="830"/>
      <c r="X12" s="830"/>
      <c r="Y12" s="830"/>
      <c r="Z12" s="830"/>
      <c r="AA12" s="830"/>
      <c r="AB12" s="830"/>
      <c r="AC12" s="830"/>
      <c r="AD12" s="895"/>
    </row>
    <row r="13" spans="1:30" ht="60" customHeight="1">
      <c r="A13" s="146"/>
      <c r="B13" s="654"/>
      <c r="C13" s="754" t="s">
        <v>2555</v>
      </c>
      <c r="D13" s="830"/>
      <c r="E13" s="830"/>
      <c r="F13" s="830"/>
      <c r="G13" s="830"/>
      <c r="H13" s="830"/>
      <c r="I13" s="830"/>
      <c r="J13" s="830"/>
      <c r="K13" s="830"/>
      <c r="L13" s="830"/>
      <c r="M13" s="830"/>
      <c r="N13" s="830"/>
      <c r="O13" s="830"/>
      <c r="P13" s="830"/>
      <c r="Q13" s="830"/>
      <c r="R13" s="830"/>
      <c r="S13" s="830"/>
      <c r="T13" s="830"/>
      <c r="U13" s="830"/>
      <c r="V13" s="830"/>
      <c r="W13" s="830"/>
      <c r="X13" s="830"/>
      <c r="Y13" s="830"/>
      <c r="Z13" s="830"/>
      <c r="AA13" s="830"/>
      <c r="AB13" s="830"/>
      <c r="AC13" s="830"/>
      <c r="AD13" s="895"/>
    </row>
    <row r="14" spans="1:30" ht="15" customHeight="1">
      <c r="A14" s="147"/>
      <c r="B14" s="654"/>
      <c r="C14" s="754" t="s">
        <v>3021</v>
      </c>
      <c r="D14" s="754"/>
      <c r="E14" s="754"/>
      <c r="F14" s="754"/>
      <c r="G14" s="754"/>
      <c r="H14" s="754"/>
      <c r="I14" s="754"/>
      <c r="J14" s="754"/>
      <c r="K14" s="754"/>
      <c r="L14" s="754"/>
      <c r="M14" s="754"/>
      <c r="N14" s="754"/>
      <c r="O14" s="754"/>
      <c r="P14" s="754"/>
      <c r="Q14" s="754"/>
      <c r="R14" s="754"/>
      <c r="S14" s="754"/>
      <c r="T14" s="754"/>
      <c r="U14" s="754"/>
      <c r="V14" s="754"/>
      <c r="W14" s="754"/>
      <c r="X14" s="754"/>
      <c r="Y14" s="754"/>
      <c r="Z14" s="754"/>
      <c r="AA14" s="754"/>
      <c r="AB14" s="754"/>
      <c r="AC14" s="754"/>
      <c r="AD14" s="755"/>
    </row>
    <row r="15" spans="1:30" ht="36" customHeight="1">
      <c r="A15" s="110"/>
      <c r="B15" s="111"/>
      <c r="C15" s="754" t="s">
        <v>3928</v>
      </c>
      <c r="D15" s="754"/>
      <c r="E15" s="754"/>
      <c r="F15" s="754"/>
      <c r="G15" s="754"/>
      <c r="H15" s="754"/>
      <c r="I15" s="754"/>
      <c r="J15" s="754"/>
      <c r="K15" s="754"/>
      <c r="L15" s="754"/>
      <c r="M15" s="754"/>
      <c r="N15" s="754"/>
      <c r="O15" s="754"/>
      <c r="P15" s="754"/>
      <c r="Q15" s="754"/>
      <c r="R15" s="754"/>
      <c r="S15" s="754"/>
      <c r="T15" s="754"/>
      <c r="U15" s="754"/>
      <c r="V15" s="754"/>
      <c r="W15" s="754"/>
      <c r="X15" s="754"/>
      <c r="Y15" s="754"/>
      <c r="Z15" s="754"/>
      <c r="AA15" s="754"/>
      <c r="AB15" s="754"/>
      <c r="AC15" s="754"/>
      <c r="AD15" s="755"/>
    </row>
    <row r="16" spans="1:30" ht="48" customHeight="1">
      <c r="A16" s="146"/>
      <c r="B16" s="654"/>
      <c r="C16" s="754" t="s">
        <v>3929</v>
      </c>
      <c r="D16" s="754"/>
      <c r="E16" s="754"/>
      <c r="F16" s="754"/>
      <c r="G16" s="754"/>
      <c r="H16" s="754"/>
      <c r="I16" s="754"/>
      <c r="J16" s="754"/>
      <c r="K16" s="754"/>
      <c r="L16" s="754"/>
      <c r="M16" s="754"/>
      <c r="N16" s="754"/>
      <c r="O16" s="754"/>
      <c r="P16" s="754"/>
      <c r="Q16" s="754"/>
      <c r="R16" s="754"/>
      <c r="S16" s="754"/>
      <c r="T16" s="754"/>
      <c r="U16" s="754"/>
      <c r="V16" s="754"/>
      <c r="W16" s="754"/>
      <c r="X16" s="754"/>
      <c r="Y16" s="754"/>
      <c r="Z16" s="754"/>
      <c r="AA16" s="754"/>
      <c r="AB16" s="754"/>
      <c r="AC16" s="754"/>
      <c r="AD16" s="755"/>
    </row>
    <row r="17" spans="1:31" ht="15" customHeight="1">
      <c r="A17" s="94"/>
      <c r="B17" s="85"/>
      <c r="C17" s="764" t="s">
        <v>3930</v>
      </c>
      <c r="D17" s="764"/>
      <c r="E17" s="764"/>
      <c r="F17" s="764"/>
      <c r="G17" s="764"/>
      <c r="H17" s="764"/>
      <c r="I17" s="764"/>
      <c r="J17" s="764"/>
      <c r="K17" s="764"/>
      <c r="L17" s="764"/>
      <c r="M17" s="764"/>
      <c r="N17" s="764"/>
      <c r="O17" s="764"/>
      <c r="P17" s="764"/>
      <c r="Q17" s="764"/>
      <c r="R17" s="764"/>
      <c r="S17" s="764"/>
      <c r="T17" s="764"/>
      <c r="U17" s="764"/>
      <c r="V17" s="764"/>
      <c r="W17" s="764"/>
      <c r="X17" s="764"/>
      <c r="Y17" s="764"/>
      <c r="Z17" s="764"/>
      <c r="AA17" s="764"/>
      <c r="AB17" s="764"/>
      <c r="AC17" s="764"/>
      <c r="AD17" s="765"/>
    </row>
    <row r="18" spans="1:31" ht="15" customHeight="1" thickBot="1">
      <c r="A18" s="103"/>
      <c r="B18" s="57"/>
      <c r="C18" s="57"/>
      <c r="D18" s="57"/>
      <c r="E18" s="57"/>
      <c r="F18" s="57"/>
      <c r="G18" s="57"/>
      <c r="H18" s="57"/>
      <c r="I18" s="57"/>
      <c r="J18" s="57"/>
      <c r="K18" s="57"/>
      <c r="L18" s="57"/>
      <c r="M18" s="57"/>
      <c r="N18" s="57"/>
      <c r="O18" s="57"/>
      <c r="P18" s="57"/>
      <c r="Q18" s="57"/>
      <c r="R18" s="57"/>
      <c r="S18" s="57"/>
      <c r="T18" s="57"/>
      <c r="U18" s="57"/>
      <c r="V18" s="57"/>
      <c r="W18" s="57"/>
      <c r="X18" s="57"/>
      <c r="Y18" s="57"/>
      <c r="Z18" s="57"/>
      <c r="AA18" s="57"/>
      <c r="AB18" s="57"/>
      <c r="AC18" s="57"/>
      <c r="AD18" s="57"/>
    </row>
    <row r="19" spans="1:31" customFormat="1" ht="15" customHeight="1" thickBot="1">
      <c r="A19" s="153" t="s">
        <v>2563</v>
      </c>
      <c r="B19" s="831" t="s">
        <v>4231</v>
      </c>
      <c r="C19" s="832"/>
      <c r="D19" s="832"/>
      <c r="E19" s="832"/>
      <c r="F19" s="832"/>
      <c r="G19" s="832"/>
      <c r="H19" s="832"/>
      <c r="I19" s="832"/>
      <c r="J19" s="832"/>
      <c r="K19" s="832"/>
      <c r="L19" s="832"/>
      <c r="M19" s="832"/>
      <c r="N19" s="832"/>
      <c r="O19" s="832"/>
      <c r="P19" s="832"/>
      <c r="Q19" s="832"/>
      <c r="R19" s="832"/>
      <c r="S19" s="832"/>
      <c r="T19" s="832"/>
      <c r="U19" s="832"/>
      <c r="V19" s="832"/>
      <c r="W19" s="832"/>
      <c r="X19" s="832"/>
      <c r="Y19" s="832"/>
      <c r="Z19" s="832"/>
      <c r="AA19" s="832"/>
      <c r="AB19" s="832"/>
      <c r="AC19" s="832"/>
      <c r="AD19" s="833"/>
      <c r="AE19" s="3"/>
    </row>
    <row r="20" spans="1:31" ht="15" customHeight="1">
      <c r="A20" s="120"/>
      <c r="B20" s="834" t="s">
        <v>3005</v>
      </c>
      <c r="C20" s="835"/>
      <c r="D20" s="835"/>
      <c r="E20" s="835"/>
      <c r="F20" s="835"/>
      <c r="G20" s="835"/>
      <c r="H20" s="835"/>
      <c r="I20" s="835"/>
      <c r="J20" s="835"/>
      <c r="K20" s="835"/>
      <c r="L20" s="835"/>
      <c r="M20" s="835"/>
      <c r="N20" s="835"/>
      <c r="O20" s="835"/>
      <c r="P20" s="835"/>
      <c r="Q20" s="835"/>
      <c r="R20" s="835"/>
      <c r="S20" s="835"/>
      <c r="T20" s="835"/>
      <c r="U20" s="835"/>
      <c r="V20" s="835"/>
      <c r="W20" s="835"/>
      <c r="X20" s="835"/>
      <c r="Y20" s="835"/>
      <c r="Z20" s="835"/>
      <c r="AA20" s="835"/>
      <c r="AB20" s="835"/>
      <c r="AC20" s="835"/>
      <c r="AD20" s="836"/>
    </row>
    <row r="21" spans="1:31" ht="48" customHeight="1">
      <c r="A21" s="120"/>
      <c r="B21" s="164"/>
      <c r="C21" s="764" t="s">
        <v>4232</v>
      </c>
      <c r="D21" s="764"/>
      <c r="E21" s="764"/>
      <c r="F21" s="764"/>
      <c r="G21" s="764"/>
      <c r="H21" s="764"/>
      <c r="I21" s="764"/>
      <c r="J21" s="764"/>
      <c r="K21" s="764"/>
      <c r="L21" s="764"/>
      <c r="M21" s="764"/>
      <c r="N21" s="764"/>
      <c r="O21" s="764"/>
      <c r="P21" s="764"/>
      <c r="Q21" s="764"/>
      <c r="R21" s="764"/>
      <c r="S21" s="764"/>
      <c r="T21" s="764"/>
      <c r="U21" s="764"/>
      <c r="V21" s="764"/>
      <c r="W21" s="764"/>
      <c r="X21" s="764"/>
      <c r="Y21" s="764"/>
      <c r="Z21" s="764"/>
      <c r="AA21" s="764"/>
      <c r="AB21" s="764"/>
      <c r="AC21" s="764"/>
      <c r="AD21" s="765"/>
    </row>
    <row r="22" spans="1:31" ht="15" customHeight="1">
      <c r="A22" s="49"/>
      <c r="B22" s="981" t="s">
        <v>2565</v>
      </c>
      <c r="C22" s="982"/>
      <c r="D22" s="982"/>
      <c r="E22" s="982"/>
      <c r="F22" s="982"/>
      <c r="G22" s="982"/>
      <c r="H22" s="982"/>
      <c r="I22" s="982"/>
      <c r="J22" s="982"/>
      <c r="K22" s="982"/>
      <c r="L22" s="982"/>
      <c r="M22" s="982"/>
      <c r="N22" s="982"/>
      <c r="O22" s="982"/>
      <c r="P22" s="982"/>
      <c r="Q22" s="982"/>
      <c r="R22" s="982"/>
      <c r="S22" s="982"/>
      <c r="T22" s="982"/>
      <c r="U22" s="982"/>
      <c r="V22" s="982"/>
      <c r="W22" s="982"/>
      <c r="X22" s="982"/>
      <c r="Y22" s="982"/>
      <c r="Z22" s="982"/>
      <c r="AA22" s="982"/>
      <c r="AB22" s="982"/>
      <c r="AC22" s="982"/>
      <c r="AD22" s="983"/>
    </row>
    <row r="23" spans="1:31" ht="36" customHeight="1">
      <c r="A23" s="49"/>
      <c r="B23" s="200"/>
      <c r="C23" s="764" t="s">
        <v>4233</v>
      </c>
      <c r="D23" s="764"/>
      <c r="E23" s="764"/>
      <c r="F23" s="764"/>
      <c r="G23" s="764"/>
      <c r="H23" s="764"/>
      <c r="I23" s="764"/>
      <c r="J23" s="764"/>
      <c r="K23" s="764"/>
      <c r="L23" s="764"/>
      <c r="M23" s="764"/>
      <c r="N23" s="764"/>
      <c r="O23" s="764"/>
      <c r="P23" s="764"/>
      <c r="Q23" s="764"/>
      <c r="R23" s="764"/>
      <c r="S23" s="764"/>
      <c r="T23" s="764"/>
      <c r="U23" s="764"/>
      <c r="V23" s="764"/>
      <c r="W23" s="764"/>
      <c r="X23" s="764"/>
      <c r="Y23" s="764"/>
      <c r="Z23" s="764"/>
      <c r="AA23" s="764"/>
      <c r="AB23" s="764"/>
      <c r="AC23" s="764"/>
      <c r="AD23" s="765"/>
    </row>
    <row r="24" spans="1:31" ht="15" customHeight="1">
      <c r="A24" s="103"/>
      <c r="B24" s="57"/>
      <c r="C24" s="57"/>
      <c r="D24" s="57"/>
      <c r="E24" s="57"/>
      <c r="F24" s="57"/>
      <c r="G24" s="57"/>
      <c r="H24" s="57"/>
      <c r="I24" s="57"/>
      <c r="J24" s="57"/>
      <c r="K24" s="57"/>
      <c r="L24" s="57"/>
      <c r="M24" s="57"/>
      <c r="N24" s="57"/>
      <c r="O24" s="57"/>
      <c r="P24" s="57"/>
      <c r="Q24" s="57"/>
      <c r="R24" s="57"/>
      <c r="S24" s="57"/>
      <c r="T24" s="57"/>
      <c r="U24" s="57"/>
      <c r="V24" s="57"/>
      <c r="W24" s="57"/>
      <c r="X24" s="57"/>
      <c r="Y24" s="57"/>
      <c r="Z24" s="57"/>
      <c r="AA24" s="57"/>
      <c r="AB24" s="57"/>
      <c r="AC24" s="57"/>
      <c r="AD24" s="57"/>
    </row>
    <row r="25" spans="1:31" ht="60" customHeight="1">
      <c r="A25" s="49" t="s">
        <v>4234</v>
      </c>
      <c r="B25" s="829" t="s">
        <v>4235</v>
      </c>
      <c r="C25" s="829"/>
      <c r="D25" s="829"/>
      <c r="E25" s="829"/>
      <c r="F25" s="829"/>
      <c r="G25" s="829"/>
      <c r="H25" s="829"/>
      <c r="I25" s="829"/>
      <c r="J25" s="829"/>
      <c r="K25" s="829"/>
      <c r="L25" s="829"/>
      <c r="M25" s="829"/>
      <c r="N25" s="829"/>
      <c r="O25" s="829"/>
      <c r="P25" s="829"/>
      <c r="Q25" s="829"/>
      <c r="R25" s="829"/>
      <c r="S25" s="829"/>
      <c r="T25" s="829"/>
      <c r="U25" s="829"/>
      <c r="V25" s="829"/>
      <c r="W25" s="829"/>
      <c r="X25" s="829"/>
      <c r="Y25" s="829"/>
      <c r="Z25" s="829"/>
      <c r="AA25" s="829"/>
      <c r="AB25" s="829"/>
      <c r="AC25" s="829"/>
      <c r="AD25" s="829"/>
    </row>
    <row r="26" spans="1:31" ht="24" customHeight="1">
      <c r="A26" s="49"/>
      <c r="B26" s="102"/>
      <c r="C26" s="754" t="s">
        <v>4236</v>
      </c>
      <c r="D26" s="754"/>
      <c r="E26" s="754"/>
      <c r="F26" s="754"/>
      <c r="G26" s="754"/>
      <c r="H26" s="754"/>
      <c r="I26" s="754"/>
      <c r="J26" s="754"/>
      <c r="K26" s="754"/>
      <c r="L26" s="754"/>
      <c r="M26" s="754"/>
      <c r="N26" s="754"/>
      <c r="O26" s="754"/>
      <c r="P26" s="754"/>
      <c r="Q26" s="754"/>
      <c r="R26" s="754"/>
      <c r="S26" s="754"/>
      <c r="T26" s="754"/>
      <c r="U26" s="754"/>
      <c r="V26" s="754"/>
      <c r="W26" s="754"/>
      <c r="X26" s="754"/>
      <c r="Y26" s="754"/>
      <c r="Z26" s="754"/>
      <c r="AA26" s="754"/>
      <c r="AB26" s="754"/>
      <c r="AC26" s="754"/>
      <c r="AD26" s="754"/>
    </row>
    <row r="27" spans="1:31" ht="36" customHeight="1">
      <c r="A27" s="50"/>
      <c r="B27" s="57"/>
      <c r="C27" s="754" t="s">
        <v>4237</v>
      </c>
      <c r="D27" s="754"/>
      <c r="E27" s="754"/>
      <c r="F27" s="754"/>
      <c r="G27" s="754"/>
      <c r="H27" s="754"/>
      <c r="I27" s="754"/>
      <c r="J27" s="754"/>
      <c r="K27" s="754"/>
      <c r="L27" s="754"/>
      <c r="M27" s="754"/>
      <c r="N27" s="754"/>
      <c r="O27" s="754"/>
      <c r="P27" s="754"/>
      <c r="Q27" s="754"/>
      <c r="R27" s="754"/>
      <c r="S27" s="754"/>
      <c r="T27" s="754"/>
      <c r="U27" s="754"/>
      <c r="V27" s="754"/>
      <c r="W27" s="754"/>
      <c r="X27" s="754"/>
      <c r="Y27" s="754"/>
      <c r="Z27" s="754"/>
      <c r="AA27" s="754"/>
      <c r="AB27" s="754"/>
      <c r="AC27" s="754"/>
      <c r="AD27" s="754"/>
    </row>
    <row r="28" spans="1:31" ht="24" customHeight="1">
      <c r="A28" s="49"/>
      <c r="B28" s="54"/>
      <c r="C28" s="830" t="s">
        <v>4238</v>
      </c>
      <c r="D28" s="830"/>
      <c r="E28" s="830"/>
      <c r="F28" s="830"/>
      <c r="G28" s="830"/>
      <c r="H28" s="830"/>
      <c r="I28" s="830"/>
      <c r="J28" s="830"/>
      <c r="K28" s="830"/>
      <c r="L28" s="830"/>
      <c r="M28" s="830"/>
      <c r="N28" s="830"/>
      <c r="O28" s="830"/>
      <c r="P28" s="830"/>
      <c r="Q28" s="830"/>
      <c r="R28" s="830"/>
      <c r="S28" s="830"/>
      <c r="T28" s="830"/>
      <c r="U28" s="830"/>
      <c r="V28" s="830"/>
      <c r="W28" s="830"/>
      <c r="X28" s="830"/>
      <c r="Y28" s="830"/>
      <c r="Z28" s="830"/>
      <c r="AA28" s="830"/>
      <c r="AB28" s="830"/>
      <c r="AC28" s="830"/>
      <c r="AD28" s="830"/>
    </row>
    <row r="29" spans="1:31" ht="24" customHeight="1">
      <c r="A29" s="49"/>
      <c r="B29" s="54"/>
      <c r="C29" s="754" t="s">
        <v>4239</v>
      </c>
      <c r="D29" s="754"/>
      <c r="E29" s="754"/>
      <c r="F29" s="754"/>
      <c r="G29" s="754"/>
      <c r="H29" s="754"/>
      <c r="I29" s="754"/>
      <c r="J29" s="754"/>
      <c r="K29" s="754"/>
      <c r="L29" s="754"/>
      <c r="M29" s="754"/>
      <c r="N29" s="754"/>
      <c r="O29" s="754"/>
      <c r="P29" s="754"/>
      <c r="Q29" s="754"/>
      <c r="R29" s="754"/>
      <c r="S29" s="754"/>
      <c r="T29" s="754"/>
      <c r="U29" s="754"/>
      <c r="V29" s="754"/>
      <c r="W29" s="754"/>
      <c r="X29" s="754"/>
      <c r="Y29" s="754"/>
      <c r="Z29" s="754"/>
      <c r="AA29" s="754"/>
      <c r="AB29" s="754"/>
      <c r="AC29" s="754"/>
      <c r="AD29" s="754"/>
    </row>
    <row r="30" spans="1:31" ht="24" customHeight="1">
      <c r="A30" s="50"/>
      <c r="B30" s="670"/>
      <c r="C30" s="830" t="s">
        <v>4240</v>
      </c>
      <c r="D30" s="830"/>
      <c r="E30" s="830"/>
      <c r="F30" s="830"/>
      <c r="G30" s="830"/>
      <c r="H30" s="830"/>
      <c r="I30" s="830"/>
      <c r="J30" s="830"/>
      <c r="K30" s="830"/>
      <c r="L30" s="830"/>
      <c r="M30" s="830"/>
      <c r="N30" s="830"/>
      <c r="O30" s="830"/>
      <c r="P30" s="830"/>
      <c r="Q30" s="830"/>
      <c r="R30" s="830"/>
      <c r="S30" s="830"/>
      <c r="T30" s="830"/>
      <c r="U30" s="830"/>
      <c r="V30" s="830"/>
      <c r="W30" s="830"/>
      <c r="X30" s="830"/>
      <c r="Y30" s="830"/>
      <c r="Z30" s="830"/>
      <c r="AA30" s="830"/>
      <c r="AB30" s="830"/>
      <c r="AC30" s="830"/>
      <c r="AD30" s="830"/>
    </row>
    <row r="31" spans="1:31" ht="15" customHeight="1">
      <c r="A31" s="96"/>
      <c r="B31" s="90"/>
      <c r="C31" s="86"/>
      <c r="D31" s="86"/>
      <c r="E31" s="86"/>
      <c r="F31" s="86"/>
      <c r="G31" s="86"/>
      <c r="H31" s="86"/>
      <c r="I31" s="86"/>
      <c r="J31" s="86"/>
      <c r="K31" s="86"/>
      <c r="L31" s="86"/>
      <c r="M31" s="86"/>
      <c r="N31" s="86"/>
      <c r="O31" s="86"/>
      <c r="P31" s="86"/>
      <c r="Q31" s="86"/>
      <c r="R31" s="86"/>
      <c r="S31" s="86"/>
      <c r="T31" s="86"/>
      <c r="U31" s="86"/>
      <c r="V31" s="86"/>
      <c r="W31" s="86"/>
      <c r="X31" s="86"/>
      <c r="Y31" s="86"/>
      <c r="Z31" s="86"/>
      <c r="AA31" s="86"/>
      <c r="AB31" s="86"/>
      <c r="AC31" s="86"/>
      <c r="AD31" s="86"/>
    </row>
    <row r="32" spans="1:31" ht="36" customHeight="1">
      <c r="A32" s="50"/>
      <c r="B32" s="90"/>
      <c r="C32" s="732" t="s">
        <v>4241</v>
      </c>
      <c r="D32" s="732"/>
      <c r="E32" s="732"/>
      <c r="F32" s="732"/>
      <c r="G32" s="732"/>
      <c r="H32" s="874" t="s">
        <v>4242</v>
      </c>
      <c r="I32" s="874"/>
      <c r="J32" s="797" t="s">
        <v>4243</v>
      </c>
      <c r="K32" s="798"/>
      <c r="L32" s="798"/>
      <c r="M32" s="798"/>
      <c r="N32" s="798"/>
      <c r="O32" s="799"/>
      <c r="P32" s="739" t="s">
        <v>4244</v>
      </c>
      <c r="Q32" s="740"/>
      <c r="R32" s="740"/>
      <c r="S32" s="740"/>
      <c r="T32" s="740"/>
      <c r="U32" s="740"/>
      <c r="V32" s="740"/>
      <c r="W32" s="740"/>
      <c r="X32" s="740"/>
      <c r="Y32" s="740"/>
      <c r="Z32" s="740"/>
      <c r="AA32" s="740"/>
      <c r="AB32" s="740"/>
      <c r="AC32" s="740"/>
      <c r="AD32" s="741"/>
    </row>
    <row r="33" spans="1:45" ht="96" customHeight="1">
      <c r="A33" s="50"/>
      <c r="B33" s="90"/>
      <c r="C33" s="732"/>
      <c r="D33" s="732"/>
      <c r="E33" s="732"/>
      <c r="F33" s="732"/>
      <c r="G33" s="732"/>
      <c r="H33" s="874"/>
      <c r="I33" s="874"/>
      <c r="J33" s="857" t="s">
        <v>4245</v>
      </c>
      <c r="K33" s="857"/>
      <c r="L33" s="857" t="s">
        <v>4246</v>
      </c>
      <c r="M33" s="857"/>
      <c r="N33" s="857" t="s">
        <v>4247</v>
      </c>
      <c r="O33" s="857"/>
      <c r="P33" s="97" t="s">
        <v>2516</v>
      </c>
      <c r="Q33" s="98" t="s">
        <v>2517</v>
      </c>
      <c r="R33" s="98" t="s">
        <v>2518</v>
      </c>
      <c r="S33" s="98" t="s">
        <v>2519</v>
      </c>
      <c r="T33" s="98" t="s">
        <v>2520</v>
      </c>
      <c r="U33" s="98" t="s">
        <v>2521</v>
      </c>
      <c r="V33" s="98" t="s">
        <v>2522</v>
      </c>
      <c r="W33" s="98" t="s">
        <v>2523</v>
      </c>
      <c r="X33" s="98" t="s">
        <v>2524</v>
      </c>
      <c r="Y33" s="98" t="s">
        <v>2525</v>
      </c>
      <c r="Z33" s="98" t="s">
        <v>2526</v>
      </c>
      <c r="AA33" s="98" t="s">
        <v>2527</v>
      </c>
      <c r="AB33" s="98" t="s">
        <v>2528</v>
      </c>
      <c r="AC33" s="98" t="s">
        <v>2529</v>
      </c>
      <c r="AD33" s="44" t="s">
        <v>2912</v>
      </c>
      <c r="AG33" s="349" t="s">
        <v>2586</v>
      </c>
      <c r="AH33" s="350" t="s">
        <v>2590</v>
      </c>
      <c r="AI33" s="248" t="s">
        <v>2587</v>
      </c>
      <c r="AJ33" s="249"/>
      <c r="AK33" s="248" t="s">
        <v>2588</v>
      </c>
      <c r="AL33" s="249"/>
      <c r="AM33" s="248" t="s">
        <v>2589</v>
      </c>
      <c r="AN33"/>
      <c r="AO33" s="530" t="s">
        <v>4248</v>
      </c>
      <c r="AP33" s="365" t="s">
        <v>2620</v>
      </c>
      <c r="AQ33" s="364" t="s">
        <v>4249</v>
      </c>
      <c r="AR33" s="256" t="s">
        <v>2591</v>
      </c>
      <c r="AS33" s="257" t="s">
        <v>2592</v>
      </c>
    </row>
    <row r="34" spans="1:45" ht="15" customHeight="1">
      <c r="A34" s="50"/>
      <c r="B34" s="90"/>
      <c r="C34" s="44" t="s">
        <v>2516</v>
      </c>
      <c r="D34" s="949"/>
      <c r="E34" s="949"/>
      <c r="F34" s="949"/>
      <c r="G34" s="949"/>
      <c r="H34" s="816"/>
      <c r="I34" s="817"/>
      <c r="J34" s="1038"/>
      <c r="K34" s="1055"/>
      <c r="L34" s="816"/>
      <c r="M34" s="817"/>
      <c r="N34" s="816"/>
      <c r="O34" s="817"/>
      <c r="P34" s="88"/>
      <c r="Q34" s="88"/>
      <c r="R34" s="88"/>
      <c r="S34" s="88"/>
      <c r="T34" s="88"/>
      <c r="U34" s="88"/>
      <c r="V34" s="88"/>
      <c r="W34" s="88"/>
      <c r="X34" s="88"/>
      <c r="Y34" s="88"/>
      <c r="Z34" s="88"/>
      <c r="AA34" s="88"/>
      <c r="AB34" s="88"/>
      <c r="AC34" s="88"/>
      <c r="AD34" s="88"/>
      <c r="AG34" s="283">
        <f>IF(AND(COUNTBLANK(D34)=0,COUNTA(H34:O34)=4,COUNTA(P34:AC34)&gt;0,AD34=""),0,IF(AND(COUNTBLANK(D34)=0,COUNTA(H34:O34)=4,COUNTA(P34:AC34)=0,AD34&lt;&gt;""),0,IF(AND(COUNTBLANK(D34)=1,COUNTA(H34:AD34)=0),0,1)))</f>
        <v>0</v>
      </c>
      <c r="AH34" s="353">
        <f t="shared" ref="AH34" si="0">COUNTIF(J34,"NS")</f>
        <v>0</v>
      </c>
      <c r="AI34" s="249" t="b">
        <f>NOT(EXACT($D34,UPPER($D34)))</f>
        <v>0</v>
      </c>
      <c r="AJ34" s="249" t="str">
        <f>SUBSTITUTE( SUBSTITUTE( SUBSTITUTE( SUBSTITUTE( SUBSTITUTE( SUBSTITUTE( SUBSTITUTE( SUBSTITUTE( SUBSTITUTE( SUBSTITUTE($D34, "á", "a"), "é", "e"), "í", "i"), "ó", "o"), "ú", "u"), "Á", "A"), "É", "E"), "Í", "I"), "Ó", "O"), "Ú", "U")</f>
        <v/>
      </c>
      <c r="AK34" s="249" t="b">
        <f>NOT(EXACT($D34,AJ34))</f>
        <v>0</v>
      </c>
      <c r="AL34" s="249" t="str">
        <f>SUBSTITUTE((SUBSTITUTE(SUBSTITUTE(SUBSTITUTE($D34,".",""),",",""),"(","")),")","")</f>
        <v/>
      </c>
      <c r="AM34" s="249" t="b">
        <f>NOT(EXACT($D34,AL34))</f>
        <v>0</v>
      </c>
      <c r="AN34"/>
      <c r="AO34">
        <f>IF(H34&lt;=CNSIPEE_2024_M2_Secc1!$C$51,0,IF(H34&lt;="NS",0,1))</f>
        <v>0</v>
      </c>
      <c r="AP34" s="342">
        <f>IF(AND($AD34="X",COUNTA(P34:AC34)&gt;0),1,0)</f>
        <v>0</v>
      </c>
      <c r="AQ34">
        <f>IF($AC34="X",1,0)</f>
        <v>0</v>
      </c>
      <c r="AR34" s="253">
        <f>LEN(J34)</f>
        <v>0</v>
      </c>
      <c r="AS34" s="253">
        <f>IF(AND(J34&lt;&gt;"",SUM(AR34)=4),0,IF(J34="",0,1))</f>
        <v>0</v>
      </c>
    </row>
    <row r="35" spans="1:45" ht="15" customHeight="1">
      <c r="A35" s="50"/>
      <c r="B35" s="90"/>
      <c r="C35" s="44" t="s">
        <v>2517</v>
      </c>
      <c r="D35" s="949"/>
      <c r="E35" s="949"/>
      <c r="F35" s="949"/>
      <c r="G35" s="949"/>
      <c r="H35" s="816"/>
      <c r="I35" s="817"/>
      <c r="J35" s="1038"/>
      <c r="K35" s="1055"/>
      <c r="L35" s="816"/>
      <c r="M35" s="817"/>
      <c r="N35" s="816"/>
      <c r="O35" s="817"/>
      <c r="P35" s="88"/>
      <c r="Q35" s="88"/>
      <c r="R35" s="88"/>
      <c r="S35" s="88"/>
      <c r="T35" s="88"/>
      <c r="U35" s="88"/>
      <c r="V35" s="88"/>
      <c r="W35" s="88"/>
      <c r="X35" s="88"/>
      <c r="Y35" s="88"/>
      <c r="Z35" s="88"/>
      <c r="AA35" s="88"/>
      <c r="AB35" s="88"/>
      <c r="AC35" s="88"/>
      <c r="AD35" s="88"/>
      <c r="AG35" s="283">
        <f t="shared" ref="AG35:AG63" si="1">IF(AND(COUNTBLANK(D35)=0,COUNTA(H35:O35)=4,COUNTA(P35:AC35)&gt;0,AD35=""),0,IF(AND(COUNTBLANK(D35)=0,COUNTA(H35:O35)=4,COUNTA(P35:AC35)=0,AD35&lt;&gt;""),0,IF(AND(COUNTBLANK(D35)=1,COUNTA(H35:AD35)=0),0,1)))</f>
        <v>0</v>
      </c>
      <c r="AH35" s="353">
        <f t="shared" ref="AH35:AH63" si="2">COUNTIF(J35,"NS")</f>
        <v>0</v>
      </c>
      <c r="AI35" s="249" t="b">
        <f t="shared" ref="AI35:AI63" si="3">NOT(EXACT($D35,UPPER($D35)))</f>
        <v>0</v>
      </c>
      <c r="AJ35" s="249" t="str">
        <f t="shared" ref="AJ35:AJ63" si="4">SUBSTITUTE( SUBSTITUTE( SUBSTITUTE( SUBSTITUTE( SUBSTITUTE( SUBSTITUTE( SUBSTITUTE( SUBSTITUTE( SUBSTITUTE( SUBSTITUTE($D35, "á", "a"), "é", "e"), "í", "i"), "ó", "o"), "ú", "u"), "Á", "A"), "É", "E"), "Í", "I"), "Ó", "O"), "Ú", "U")</f>
        <v/>
      </c>
      <c r="AK35" s="249" t="b">
        <f t="shared" ref="AK35:AK63" si="5">NOT(EXACT($D35,AJ35))</f>
        <v>0</v>
      </c>
      <c r="AL35" s="249" t="str">
        <f t="shared" ref="AL35:AL63" si="6">SUBSTITUTE((SUBSTITUTE(SUBSTITUTE(SUBSTITUTE($D35,".",""),",",""),"(","")),")","")</f>
        <v/>
      </c>
      <c r="AM35" s="249" t="b">
        <f t="shared" ref="AM35:AM63" si="7">NOT(EXACT($D35,AL35))</f>
        <v>0</v>
      </c>
      <c r="AO35">
        <f>IF(H35&lt;=CNSIPEE_2024_M2_Secc1!$C$51,0,IF(H35&lt;="NS",0,1))</f>
        <v>0</v>
      </c>
      <c r="AP35" s="342">
        <f t="shared" ref="AP35:AP63" si="8">IF(AND($AD35="X",COUNTA(P35:AC35)&gt;0),1,0)</f>
        <v>0</v>
      </c>
      <c r="AQ35">
        <f t="shared" ref="AQ35:AQ63" si="9">IF($AC35="X",1,0)</f>
        <v>0</v>
      </c>
      <c r="AR35" s="253">
        <f t="shared" ref="AR35:AR63" si="10">LEN(J35)</f>
        <v>0</v>
      </c>
      <c r="AS35" s="253">
        <f t="shared" ref="AS35:AS63" si="11">IF(AND(J35&lt;&gt;"",SUM(AR35)=4),0,IF(J35="",0,1))</f>
        <v>0</v>
      </c>
    </row>
    <row r="36" spans="1:45" ht="15" customHeight="1">
      <c r="A36" s="50"/>
      <c r="B36" s="90"/>
      <c r="C36" s="44" t="s">
        <v>2518</v>
      </c>
      <c r="D36" s="949"/>
      <c r="E36" s="949"/>
      <c r="F36" s="949"/>
      <c r="G36" s="949"/>
      <c r="H36" s="816"/>
      <c r="I36" s="817"/>
      <c r="J36" s="1038"/>
      <c r="K36" s="1055"/>
      <c r="L36" s="816"/>
      <c r="M36" s="817"/>
      <c r="N36" s="816"/>
      <c r="O36" s="817"/>
      <c r="P36" s="88"/>
      <c r="Q36" s="88"/>
      <c r="R36" s="88"/>
      <c r="S36" s="88"/>
      <c r="T36" s="88"/>
      <c r="U36" s="88"/>
      <c r="V36" s="88"/>
      <c r="W36" s="88"/>
      <c r="X36" s="88"/>
      <c r="Y36" s="88"/>
      <c r="Z36" s="88"/>
      <c r="AA36" s="88"/>
      <c r="AB36" s="88"/>
      <c r="AC36" s="88"/>
      <c r="AD36" s="88"/>
      <c r="AG36" s="283">
        <f t="shared" si="1"/>
        <v>0</v>
      </c>
      <c r="AH36" s="353">
        <f t="shared" si="2"/>
        <v>0</v>
      </c>
      <c r="AI36" s="249" t="b">
        <f t="shared" si="3"/>
        <v>0</v>
      </c>
      <c r="AJ36" s="249" t="str">
        <f t="shared" si="4"/>
        <v/>
      </c>
      <c r="AK36" s="249" t="b">
        <f t="shared" si="5"/>
        <v>0</v>
      </c>
      <c r="AL36" s="249" t="str">
        <f t="shared" si="6"/>
        <v/>
      </c>
      <c r="AM36" s="249" t="b">
        <f t="shared" si="7"/>
        <v>0</v>
      </c>
      <c r="AO36">
        <f>IF(H36&lt;=CNSIPEE_2024_M2_Secc1!$C$51,0,IF(H36&lt;="NS",0,1))</f>
        <v>0</v>
      </c>
      <c r="AP36" s="342">
        <f t="shared" si="8"/>
        <v>0</v>
      </c>
      <c r="AQ36">
        <f t="shared" si="9"/>
        <v>0</v>
      </c>
      <c r="AR36" s="253">
        <f t="shared" si="10"/>
        <v>0</v>
      </c>
      <c r="AS36" s="253">
        <f t="shared" si="11"/>
        <v>0</v>
      </c>
    </row>
    <row r="37" spans="1:45" ht="15" customHeight="1">
      <c r="A37" s="50"/>
      <c r="B37" s="90"/>
      <c r="C37" s="44" t="s">
        <v>2519</v>
      </c>
      <c r="D37" s="949"/>
      <c r="E37" s="949"/>
      <c r="F37" s="949"/>
      <c r="G37" s="949"/>
      <c r="H37" s="816"/>
      <c r="I37" s="817"/>
      <c r="J37" s="1038"/>
      <c r="K37" s="1055"/>
      <c r="L37" s="816"/>
      <c r="M37" s="817"/>
      <c r="N37" s="816"/>
      <c r="O37" s="817"/>
      <c r="P37" s="88"/>
      <c r="Q37" s="88"/>
      <c r="R37" s="88"/>
      <c r="S37" s="88"/>
      <c r="T37" s="88"/>
      <c r="U37" s="88"/>
      <c r="V37" s="88"/>
      <c r="W37" s="88"/>
      <c r="X37" s="88"/>
      <c r="Y37" s="88"/>
      <c r="Z37" s="88"/>
      <c r="AA37" s="88"/>
      <c r="AB37" s="88"/>
      <c r="AC37" s="88"/>
      <c r="AD37" s="88"/>
      <c r="AG37" s="283">
        <f t="shared" si="1"/>
        <v>0</v>
      </c>
      <c r="AH37" s="353">
        <f t="shared" si="2"/>
        <v>0</v>
      </c>
      <c r="AI37" s="249" t="b">
        <f t="shared" si="3"/>
        <v>0</v>
      </c>
      <c r="AJ37" s="249" t="str">
        <f t="shared" si="4"/>
        <v/>
      </c>
      <c r="AK37" s="249" t="b">
        <f t="shared" si="5"/>
        <v>0</v>
      </c>
      <c r="AL37" s="249" t="str">
        <f t="shared" si="6"/>
        <v/>
      </c>
      <c r="AM37" s="249" t="b">
        <f t="shared" si="7"/>
        <v>0</v>
      </c>
      <c r="AO37">
        <f>IF(H37&lt;=CNSIPEE_2024_M2_Secc1!$C$51,0,IF(H37&lt;="NS",0,1))</f>
        <v>0</v>
      </c>
      <c r="AP37" s="342">
        <f t="shared" si="8"/>
        <v>0</v>
      </c>
      <c r="AQ37">
        <f t="shared" si="9"/>
        <v>0</v>
      </c>
      <c r="AR37" s="253">
        <f t="shared" si="10"/>
        <v>0</v>
      </c>
      <c r="AS37" s="253">
        <f t="shared" si="11"/>
        <v>0</v>
      </c>
    </row>
    <row r="38" spans="1:45" ht="15" customHeight="1">
      <c r="A38" s="50"/>
      <c r="B38" s="90"/>
      <c r="C38" s="44" t="s">
        <v>2520</v>
      </c>
      <c r="D38" s="949"/>
      <c r="E38" s="949"/>
      <c r="F38" s="949"/>
      <c r="G38" s="949"/>
      <c r="H38" s="816"/>
      <c r="I38" s="817"/>
      <c r="J38" s="1038"/>
      <c r="K38" s="1055"/>
      <c r="L38" s="816"/>
      <c r="M38" s="817"/>
      <c r="N38" s="816"/>
      <c r="O38" s="817"/>
      <c r="P38" s="88"/>
      <c r="Q38" s="88"/>
      <c r="R38" s="88"/>
      <c r="S38" s="88"/>
      <c r="T38" s="88"/>
      <c r="U38" s="88"/>
      <c r="V38" s="88"/>
      <c r="W38" s="88"/>
      <c r="X38" s="88"/>
      <c r="Y38" s="88"/>
      <c r="Z38" s="88"/>
      <c r="AA38" s="88"/>
      <c r="AB38" s="88"/>
      <c r="AC38" s="88"/>
      <c r="AD38" s="88"/>
      <c r="AG38" s="283">
        <f t="shared" si="1"/>
        <v>0</v>
      </c>
      <c r="AH38" s="353">
        <f t="shared" si="2"/>
        <v>0</v>
      </c>
      <c r="AI38" s="249" t="b">
        <f t="shared" si="3"/>
        <v>0</v>
      </c>
      <c r="AJ38" s="249" t="str">
        <f t="shared" si="4"/>
        <v/>
      </c>
      <c r="AK38" s="249" t="b">
        <f t="shared" si="5"/>
        <v>0</v>
      </c>
      <c r="AL38" s="249" t="str">
        <f t="shared" si="6"/>
        <v/>
      </c>
      <c r="AM38" s="249" t="b">
        <f t="shared" si="7"/>
        <v>0</v>
      </c>
      <c r="AO38">
        <f>IF(H38&lt;=CNSIPEE_2024_M2_Secc1!$C$51,0,IF(H38&lt;="NS",0,1))</f>
        <v>0</v>
      </c>
      <c r="AP38" s="342">
        <f t="shared" si="8"/>
        <v>0</v>
      </c>
      <c r="AQ38">
        <f t="shared" si="9"/>
        <v>0</v>
      </c>
      <c r="AR38" s="253">
        <f t="shared" si="10"/>
        <v>0</v>
      </c>
      <c r="AS38" s="253">
        <f t="shared" si="11"/>
        <v>0</v>
      </c>
    </row>
    <row r="39" spans="1:45" ht="15" customHeight="1">
      <c r="A39" s="50"/>
      <c r="B39" s="90"/>
      <c r="C39" s="44" t="s">
        <v>2521</v>
      </c>
      <c r="D39" s="949"/>
      <c r="E39" s="949"/>
      <c r="F39" s="949"/>
      <c r="G39" s="949"/>
      <c r="H39" s="816"/>
      <c r="I39" s="817"/>
      <c r="J39" s="1038"/>
      <c r="K39" s="1055"/>
      <c r="L39" s="816"/>
      <c r="M39" s="817"/>
      <c r="N39" s="816"/>
      <c r="O39" s="817"/>
      <c r="P39" s="88"/>
      <c r="Q39" s="88"/>
      <c r="R39" s="88"/>
      <c r="S39" s="88"/>
      <c r="T39" s="88"/>
      <c r="U39" s="88"/>
      <c r="V39" s="88"/>
      <c r="W39" s="88"/>
      <c r="X39" s="88"/>
      <c r="Y39" s="88"/>
      <c r="Z39" s="88"/>
      <c r="AA39" s="88"/>
      <c r="AB39" s="88"/>
      <c r="AC39" s="88"/>
      <c r="AD39" s="88"/>
      <c r="AG39" s="283">
        <f t="shared" si="1"/>
        <v>0</v>
      </c>
      <c r="AH39" s="353">
        <f t="shared" si="2"/>
        <v>0</v>
      </c>
      <c r="AI39" s="249" t="b">
        <f t="shared" si="3"/>
        <v>0</v>
      </c>
      <c r="AJ39" s="249" t="str">
        <f t="shared" si="4"/>
        <v/>
      </c>
      <c r="AK39" s="249" t="b">
        <f t="shared" si="5"/>
        <v>0</v>
      </c>
      <c r="AL39" s="249" t="str">
        <f t="shared" si="6"/>
        <v/>
      </c>
      <c r="AM39" s="249" t="b">
        <f t="shared" si="7"/>
        <v>0</v>
      </c>
      <c r="AO39">
        <f>IF(H39&lt;=CNSIPEE_2024_M2_Secc1!$C$51,0,IF(H39&lt;="NS",0,1))</f>
        <v>0</v>
      </c>
      <c r="AP39" s="342">
        <f t="shared" si="8"/>
        <v>0</v>
      </c>
      <c r="AQ39">
        <f t="shared" si="9"/>
        <v>0</v>
      </c>
      <c r="AR39" s="253">
        <f t="shared" si="10"/>
        <v>0</v>
      </c>
      <c r="AS39" s="253">
        <f t="shared" si="11"/>
        <v>0</v>
      </c>
    </row>
    <row r="40" spans="1:45" ht="15" customHeight="1">
      <c r="A40" s="50"/>
      <c r="B40" s="90"/>
      <c r="C40" s="44" t="s">
        <v>2522</v>
      </c>
      <c r="D40" s="949"/>
      <c r="E40" s="949"/>
      <c r="F40" s="949"/>
      <c r="G40" s="949"/>
      <c r="H40" s="816"/>
      <c r="I40" s="817"/>
      <c r="J40" s="1038"/>
      <c r="K40" s="1055"/>
      <c r="L40" s="816"/>
      <c r="M40" s="817"/>
      <c r="N40" s="816"/>
      <c r="O40" s="817"/>
      <c r="P40" s="88"/>
      <c r="Q40" s="88"/>
      <c r="R40" s="88"/>
      <c r="S40" s="88"/>
      <c r="T40" s="88"/>
      <c r="U40" s="88"/>
      <c r="V40" s="88"/>
      <c r="W40" s="88"/>
      <c r="X40" s="88"/>
      <c r="Y40" s="88"/>
      <c r="Z40" s="88"/>
      <c r="AA40" s="88"/>
      <c r="AB40" s="88"/>
      <c r="AC40" s="88"/>
      <c r="AD40" s="88"/>
      <c r="AG40" s="283">
        <f t="shared" si="1"/>
        <v>0</v>
      </c>
      <c r="AH40" s="353">
        <f t="shared" si="2"/>
        <v>0</v>
      </c>
      <c r="AI40" s="249" t="b">
        <f t="shared" si="3"/>
        <v>0</v>
      </c>
      <c r="AJ40" s="249" t="str">
        <f t="shared" si="4"/>
        <v/>
      </c>
      <c r="AK40" s="249" t="b">
        <f t="shared" si="5"/>
        <v>0</v>
      </c>
      <c r="AL40" s="249" t="str">
        <f t="shared" si="6"/>
        <v/>
      </c>
      <c r="AM40" s="249" t="b">
        <f t="shared" si="7"/>
        <v>0</v>
      </c>
      <c r="AO40">
        <f>IF(H40&lt;=CNSIPEE_2024_M2_Secc1!$C$51,0,IF(H40&lt;="NS",0,1))</f>
        <v>0</v>
      </c>
      <c r="AP40" s="342">
        <f t="shared" si="8"/>
        <v>0</v>
      </c>
      <c r="AQ40">
        <f t="shared" si="9"/>
        <v>0</v>
      </c>
      <c r="AR40" s="253">
        <f t="shared" si="10"/>
        <v>0</v>
      </c>
      <c r="AS40" s="253">
        <f t="shared" si="11"/>
        <v>0</v>
      </c>
    </row>
    <row r="41" spans="1:45" ht="15" customHeight="1">
      <c r="A41" s="50"/>
      <c r="B41" s="90"/>
      <c r="C41" s="44" t="s">
        <v>2523</v>
      </c>
      <c r="D41" s="949"/>
      <c r="E41" s="949"/>
      <c r="F41" s="949"/>
      <c r="G41" s="949"/>
      <c r="H41" s="816"/>
      <c r="I41" s="817"/>
      <c r="J41" s="1038"/>
      <c r="K41" s="1055"/>
      <c r="L41" s="816"/>
      <c r="M41" s="817"/>
      <c r="N41" s="816"/>
      <c r="O41" s="817"/>
      <c r="P41" s="88"/>
      <c r="Q41" s="88"/>
      <c r="R41" s="88"/>
      <c r="S41" s="88"/>
      <c r="T41" s="88"/>
      <c r="U41" s="88"/>
      <c r="V41" s="88"/>
      <c r="W41" s="88"/>
      <c r="X41" s="88"/>
      <c r="Y41" s="88"/>
      <c r="Z41" s="88"/>
      <c r="AA41" s="88"/>
      <c r="AB41" s="88"/>
      <c r="AC41" s="88"/>
      <c r="AD41" s="88"/>
      <c r="AG41" s="283">
        <f t="shared" si="1"/>
        <v>0</v>
      </c>
      <c r="AH41" s="353">
        <f t="shared" si="2"/>
        <v>0</v>
      </c>
      <c r="AI41" s="249" t="b">
        <f t="shared" si="3"/>
        <v>0</v>
      </c>
      <c r="AJ41" s="249" t="str">
        <f t="shared" si="4"/>
        <v/>
      </c>
      <c r="AK41" s="249" t="b">
        <f t="shared" si="5"/>
        <v>0</v>
      </c>
      <c r="AL41" s="249" t="str">
        <f t="shared" si="6"/>
        <v/>
      </c>
      <c r="AM41" s="249" t="b">
        <f t="shared" si="7"/>
        <v>0</v>
      </c>
      <c r="AO41">
        <f>IF(H41&lt;=CNSIPEE_2024_M2_Secc1!$C$51,0,IF(H41&lt;="NS",0,1))</f>
        <v>0</v>
      </c>
      <c r="AP41" s="342">
        <f t="shared" si="8"/>
        <v>0</v>
      </c>
      <c r="AQ41">
        <f t="shared" si="9"/>
        <v>0</v>
      </c>
      <c r="AR41" s="253">
        <f t="shared" si="10"/>
        <v>0</v>
      </c>
      <c r="AS41" s="253">
        <f t="shared" si="11"/>
        <v>0</v>
      </c>
    </row>
    <row r="42" spans="1:45" ht="15" customHeight="1">
      <c r="A42" s="50"/>
      <c r="B42" s="90"/>
      <c r="C42" s="44" t="s">
        <v>2524</v>
      </c>
      <c r="D42" s="949"/>
      <c r="E42" s="949"/>
      <c r="F42" s="949"/>
      <c r="G42" s="949"/>
      <c r="H42" s="816"/>
      <c r="I42" s="817"/>
      <c r="J42" s="1038"/>
      <c r="K42" s="1055"/>
      <c r="L42" s="816"/>
      <c r="M42" s="817"/>
      <c r="N42" s="816"/>
      <c r="O42" s="817"/>
      <c r="P42" s="88"/>
      <c r="Q42" s="88"/>
      <c r="R42" s="88"/>
      <c r="S42" s="88"/>
      <c r="T42" s="88"/>
      <c r="U42" s="88"/>
      <c r="V42" s="88"/>
      <c r="W42" s="88"/>
      <c r="X42" s="88"/>
      <c r="Y42" s="88"/>
      <c r="Z42" s="88"/>
      <c r="AA42" s="88"/>
      <c r="AB42" s="88"/>
      <c r="AC42" s="88"/>
      <c r="AD42" s="88"/>
      <c r="AG42" s="283">
        <f t="shared" si="1"/>
        <v>0</v>
      </c>
      <c r="AH42" s="353">
        <f t="shared" si="2"/>
        <v>0</v>
      </c>
      <c r="AI42" s="249" t="b">
        <f t="shared" si="3"/>
        <v>0</v>
      </c>
      <c r="AJ42" s="249" t="str">
        <f t="shared" si="4"/>
        <v/>
      </c>
      <c r="AK42" s="249" t="b">
        <f t="shared" si="5"/>
        <v>0</v>
      </c>
      <c r="AL42" s="249" t="str">
        <f t="shared" si="6"/>
        <v/>
      </c>
      <c r="AM42" s="249" t="b">
        <f t="shared" si="7"/>
        <v>0</v>
      </c>
      <c r="AO42">
        <f>IF(H42&lt;=CNSIPEE_2024_M2_Secc1!$C$51,0,IF(H42&lt;="NS",0,1))</f>
        <v>0</v>
      </c>
      <c r="AP42" s="342">
        <f t="shared" si="8"/>
        <v>0</v>
      </c>
      <c r="AQ42">
        <f t="shared" si="9"/>
        <v>0</v>
      </c>
      <c r="AR42" s="253">
        <f t="shared" si="10"/>
        <v>0</v>
      </c>
      <c r="AS42" s="253">
        <f t="shared" si="11"/>
        <v>0</v>
      </c>
    </row>
    <row r="43" spans="1:45" ht="15" customHeight="1">
      <c r="A43" s="50"/>
      <c r="B43" s="90"/>
      <c r="C43" s="44" t="s">
        <v>2525</v>
      </c>
      <c r="D43" s="949"/>
      <c r="E43" s="949"/>
      <c r="F43" s="949"/>
      <c r="G43" s="949"/>
      <c r="H43" s="816"/>
      <c r="I43" s="817"/>
      <c r="J43" s="1038"/>
      <c r="K43" s="1055"/>
      <c r="L43" s="816"/>
      <c r="M43" s="817"/>
      <c r="N43" s="816"/>
      <c r="O43" s="817"/>
      <c r="P43" s="88"/>
      <c r="Q43" s="88"/>
      <c r="R43" s="88"/>
      <c r="S43" s="88"/>
      <c r="T43" s="88"/>
      <c r="U43" s="88"/>
      <c r="V43" s="88"/>
      <c r="W43" s="88"/>
      <c r="X43" s="88"/>
      <c r="Y43" s="88"/>
      <c r="Z43" s="88"/>
      <c r="AA43" s="88"/>
      <c r="AB43" s="88"/>
      <c r="AC43" s="88"/>
      <c r="AD43" s="88"/>
      <c r="AG43" s="283">
        <f t="shared" si="1"/>
        <v>0</v>
      </c>
      <c r="AH43" s="353">
        <f t="shared" si="2"/>
        <v>0</v>
      </c>
      <c r="AI43" s="249" t="b">
        <f t="shared" si="3"/>
        <v>0</v>
      </c>
      <c r="AJ43" s="249" t="str">
        <f t="shared" si="4"/>
        <v/>
      </c>
      <c r="AK43" s="249" t="b">
        <f t="shared" si="5"/>
        <v>0</v>
      </c>
      <c r="AL43" s="249" t="str">
        <f t="shared" si="6"/>
        <v/>
      </c>
      <c r="AM43" s="249" t="b">
        <f t="shared" si="7"/>
        <v>0</v>
      </c>
      <c r="AO43">
        <f>IF(H43&lt;=CNSIPEE_2024_M2_Secc1!$C$51,0,IF(H43&lt;="NS",0,1))</f>
        <v>0</v>
      </c>
      <c r="AP43" s="342">
        <f t="shared" si="8"/>
        <v>0</v>
      </c>
      <c r="AQ43">
        <f t="shared" si="9"/>
        <v>0</v>
      </c>
      <c r="AR43" s="253">
        <f t="shared" si="10"/>
        <v>0</v>
      </c>
      <c r="AS43" s="253">
        <f t="shared" si="11"/>
        <v>0</v>
      </c>
    </row>
    <row r="44" spans="1:45" ht="15" customHeight="1">
      <c r="A44" s="50"/>
      <c r="B44" s="90"/>
      <c r="C44" s="44" t="s">
        <v>2526</v>
      </c>
      <c r="D44" s="949"/>
      <c r="E44" s="949"/>
      <c r="F44" s="949"/>
      <c r="G44" s="949"/>
      <c r="H44" s="816"/>
      <c r="I44" s="817"/>
      <c r="J44" s="1038"/>
      <c r="K44" s="1055"/>
      <c r="L44" s="816"/>
      <c r="M44" s="817"/>
      <c r="N44" s="816"/>
      <c r="O44" s="817"/>
      <c r="P44" s="88"/>
      <c r="Q44" s="88"/>
      <c r="R44" s="88"/>
      <c r="S44" s="88"/>
      <c r="T44" s="88"/>
      <c r="U44" s="88"/>
      <c r="V44" s="88"/>
      <c r="W44" s="88"/>
      <c r="X44" s="88"/>
      <c r="Y44" s="88"/>
      <c r="Z44" s="88"/>
      <c r="AA44" s="88"/>
      <c r="AB44" s="88"/>
      <c r="AC44" s="88"/>
      <c r="AD44" s="88"/>
      <c r="AG44" s="283">
        <f t="shared" si="1"/>
        <v>0</v>
      </c>
      <c r="AH44" s="353">
        <f t="shared" si="2"/>
        <v>0</v>
      </c>
      <c r="AI44" s="249" t="b">
        <f t="shared" si="3"/>
        <v>0</v>
      </c>
      <c r="AJ44" s="249" t="str">
        <f t="shared" si="4"/>
        <v/>
      </c>
      <c r="AK44" s="249" t="b">
        <f t="shared" si="5"/>
        <v>0</v>
      </c>
      <c r="AL44" s="249" t="str">
        <f t="shared" si="6"/>
        <v/>
      </c>
      <c r="AM44" s="249" t="b">
        <f t="shared" si="7"/>
        <v>0</v>
      </c>
      <c r="AO44">
        <f>IF(H44&lt;=CNSIPEE_2024_M2_Secc1!$C$51,0,IF(H44&lt;="NS",0,1))</f>
        <v>0</v>
      </c>
      <c r="AP44" s="342">
        <f t="shared" si="8"/>
        <v>0</v>
      </c>
      <c r="AQ44">
        <f t="shared" si="9"/>
        <v>0</v>
      </c>
      <c r="AR44" s="253">
        <f t="shared" si="10"/>
        <v>0</v>
      </c>
      <c r="AS44" s="253">
        <f t="shared" si="11"/>
        <v>0</v>
      </c>
    </row>
    <row r="45" spans="1:45" ht="15" customHeight="1">
      <c r="A45" s="50"/>
      <c r="B45" s="90"/>
      <c r="C45" s="44" t="s">
        <v>2527</v>
      </c>
      <c r="D45" s="949"/>
      <c r="E45" s="949"/>
      <c r="F45" s="949"/>
      <c r="G45" s="949"/>
      <c r="H45" s="816"/>
      <c r="I45" s="817"/>
      <c r="J45" s="1038"/>
      <c r="K45" s="1055"/>
      <c r="L45" s="816"/>
      <c r="M45" s="817"/>
      <c r="N45" s="816"/>
      <c r="O45" s="817"/>
      <c r="P45" s="88"/>
      <c r="Q45" s="88"/>
      <c r="R45" s="88"/>
      <c r="S45" s="88"/>
      <c r="T45" s="88"/>
      <c r="U45" s="88"/>
      <c r="V45" s="88"/>
      <c r="W45" s="88"/>
      <c r="X45" s="88"/>
      <c r="Y45" s="88"/>
      <c r="Z45" s="88"/>
      <c r="AA45" s="88"/>
      <c r="AB45" s="88"/>
      <c r="AC45" s="88"/>
      <c r="AD45" s="88"/>
      <c r="AG45" s="283">
        <f t="shared" si="1"/>
        <v>0</v>
      </c>
      <c r="AH45" s="353">
        <f t="shared" si="2"/>
        <v>0</v>
      </c>
      <c r="AI45" s="249" t="b">
        <f t="shared" si="3"/>
        <v>0</v>
      </c>
      <c r="AJ45" s="249" t="str">
        <f t="shared" si="4"/>
        <v/>
      </c>
      <c r="AK45" s="249" t="b">
        <f t="shared" si="5"/>
        <v>0</v>
      </c>
      <c r="AL45" s="249" t="str">
        <f t="shared" si="6"/>
        <v/>
      </c>
      <c r="AM45" s="249" t="b">
        <f t="shared" si="7"/>
        <v>0</v>
      </c>
      <c r="AO45">
        <f>IF(H45&lt;=CNSIPEE_2024_M2_Secc1!$C$51,0,IF(H45&lt;="NS",0,1))</f>
        <v>0</v>
      </c>
      <c r="AP45" s="342">
        <f t="shared" si="8"/>
        <v>0</v>
      </c>
      <c r="AQ45">
        <f t="shared" si="9"/>
        <v>0</v>
      </c>
      <c r="AR45" s="253">
        <f t="shared" si="10"/>
        <v>0</v>
      </c>
      <c r="AS45" s="253">
        <f t="shared" si="11"/>
        <v>0</v>
      </c>
    </row>
    <row r="46" spans="1:45" ht="15" customHeight="1">
      <c r="A46" s="50"/>
      <c r="B46" s="90"/>
      <c r="C46" s="44" t="s">
        <v>2528</v>
      </c>
      <c r="D46" s="949"/>
      <c r="E46" s="949"/>
      <c r="F46" s="949"/>
      <c r="G46" s="949"/>
      <c r="H46" s="816"/>
      <c r="I46" s="817"/>
      <c r="J46" s="1038"/>
      <c r="K46" s="1055"/>
      <c r="L46" s="816"/>
      <c r="M46" s="817"/>
      <c r="N46" s="816"/>
      <c r="O46" s="817"/>
      <c r="P46" s="88"/>
      <c r="Q46" s="88"/>
      <c r="R46" s="88"/>
      <c r="S46" s="88"/>
      <c r="T46" s="88"/>
      <c r="U46" s="88"/>
      <c r="V46" s="88"/>
      <c r="W46" s="88"/>
      <c r="X46" s="88"/>
      <c r="Y46" s="88"/>
      <c r="Z46" s="88"/>
      <c r="AA46" s="88"/>
      <c r="AB46" s="88"/>
      <c r="AC46" s="88"/>
      <c r="AD46" s="88"/>
      <c r="AG46" s="283">
        <f t="shared" si="1"/>
        <v>0</v>
      </c>
      <c r="AH46" s="353">
        <f t="shared" si="2"/>
        <v>0</v>
      </c>
      <c r="AI46" s="249" t="b">
        <f t="shared" si="3"/>
        <v>0</v>
      </c>
      <c r="AJ46" s="249" t="str">
        <f t="shared" si="4"/>
        <v/>
      </c>
      <c r="AK46" s="249" t="b">
        <f t="shared" si="5"/>
        <v>0</v>
      </c>
      <c r="AL46" s="249" t="str">
        <f t="shared" si="6"/>
        <v/>
      </c>
      <c r="AM46" s="249" t="b">
        <f t="shared" si="7"/>
        <v>0</v>
      </c>
      <c r="AO46">
        <f>IF(H46&lt;=CNSIPEE_2024_M2_Secc1!$C$51,0,IF(H46&lt;="NS",0,1))</f>
        <v>0</v>
      </c>
      <c r="AP46" s="342">
        <f t="shared" si="8"/>
        <v>0</v>
      </c>
      <c r="AQ46">
        <f t="shared" si="9"/>
        <v>0</v>
      </c>
      <c r="AR46" s="253">
        <f t="shared" si="10"/>
        <v>0</v>
      </c>
      <c r="AS46" s="253">
        <f t="shared" si="11"/>
        <v>0</v>
      </c>
    </row>
    <row r="47" spans="1:45" ht="15" customHeight="1">
      <c r="A47" s="50"/>
      <c r="B47" s="90"/>
      <c r="C47" s="44" t="s">
        <v>2529</v>
      </c>
      <c r="D47" s="949"/>
      <c r="E47" s="949"/>
      <c r="F47" s="949"/>
      <c r="G47" s="949"/>
      <c r="H47" s="816"/>
      <c r="I47" s="817"/>
      <c r="J47" s="1038"/>
      <c r="K47" s="1055"/>
      <c r="L47" s="816"/>
      <c r="M47" s="817"/>
      <c r="N47" s="816"/>
      <c r="O47" s="817"/>
      <c r="P47" s="88"/>
      <c r="Q47" s="88"/>
      <c r="R47" s="88"/>
      <c r="S47" s="88"/>
      <c r="T47" s="88"/>
      <c r="U47" s="88"/>
      <c r="V47" s="88"/>
      <c r="W47" s="88"/>
      <c r="X47" s="88"/>
      <c r="Y47" s="88"/>
      <c r="Z47" s="88"/>
      <c r="AA47" s="88"/>
      <c r="AB47" s="88"/>
      <c r="AC47" s="88"/>
      <c r="AD47" s="88"/>
      <c r="AG47" s="283">
        <f t="shared" si="1"/>
        <v>0</v>
      </c>
      <c r="AH47" s="353">
        <f t="shared" si="2"/>
        <v>0</v>
      </c>
      <c r="AI47" s="249" t="b">
        <f t="shared" si="3"/>
        <v>0</v>
      </c>
      <c r="AJ47" s="249" t="str">
        <f t="shared" si="4"/>
        <v/>
      </c>
      <c r="AK47" s="249" t="b">
        <f t="shared" si="5"/>
        <v>0</v>
      </c>
      <c r="AL47" s="249" t="str">
        <f t="shared" si="6"/>
        <v/>
      </c>
      <c r="AM47" s="249" t="b">
        <f t="shared" si="7"/>
        <v>0</v>
      </c>
      <c r="AO47">
        <f>IF(H47&lt;=CNSIPEE_2024_M2_Secc1!$C$51,0,IF(H47&lt;="NS",0,1))</f>
        <v>0</v>
      </c>
      <c r="AP47" s="342">
        <f t="shared" si="8"/>
        <v>0</v>
      </c>
      <c r="AQ47">
        <f t="shared" si="9"/>
        <v>0</v>
      </c>
      <c r="AR47" s="253">
        <f t="shared" si="10"/>
        <v>0</v>
      </c>
      <c r="AS47" s="253">
        <f t="shared" si="11"/>
        <v>0</v>
      </c>
    </row>
    <row r="48" spans="1:45" ht="15" customHeight="1">
      <c r="A48" s="50"/>
      <c r="B48" s="90"/>
      <c r="C48" s="44" t="s">
        <v>2530</v>
      </c>
      <c r="D48" s="949"/>
      <c r="E48" s="949"/>
      <c r="F48" s="949"/>
      <c r="G48" s="949"/>
      <c r="H48" s="816"/>
      <c r="I48" s="817"/>
      <c r="J48" s="1038"/>
      <c r="K48" s="1055"/>
      <c r="L48" s="816"/>
      <c r="M48" s="817"/>
      <c r="N48" s="816"/>
      <c r="O48" s="817"/>
      <c r="P48" s="88"/>
      <c r="Q48" s="88"/>
      <c r="R48" s="88"/>
      <c r="S48" s="88"/>
      <c r="T48" s="88"/>
      <c r="U48" s="88"/>
      <c r="V48" s="88"/>
      <c r="W48" s="88"/>
      <c r="X48" s="88"/>
      <c r="Y48" s="88"/>
      <c r="Z48" s="88"/>
      <c r="AA48" s="88"/>
      <c r="AB48" s="88"/>
      <c r="AC48" s="88"/>
      <c r="AD48" s="88"/>
      <c r="AG48" s="283">
        <f t="shared" si="1"/>
        <v>0</v>
      </c>
      <c r="AH48" s="353">
        <f t="shared" si="2"/>
        <v>0</v>
      </c>
      <c r="AI48" s="249" t="b">
        <f t="shared" si="3"/>
        <v>0</v>
      </c>
      <c r="AJ48" s="249" t="str">
        <f t="shared" si="4"/>
        <v/>
      </c>
      <c r="AK48" s="249" t="b">
        <f t="shared" si="5"/>
        <v>0</v>
      </c>
      <c r="AL48" s="249" t="str">
        <f t="shared" si="6"/>
        <v/>
      </c>
      <c r="AM48" s="249" t="b">
        <f t="shared" si="7"/>
        <v>0</v>
      </c>
      <c r="AO48">
        <f>IF(H48&lt;=CNSIPEE_2024_M2_Secc1!$C$51,0,IF(H48&lt;="NS",0,1))</f>
        <v>0</v>
      </c>
      <c r="AP48" s="342">
        <f t="shared" si="8"/>
        <v>0</v>
      </c>
      <c r="AQ48">
        <f t="shared" si="9"/>
        <v>0</v>
      </c>
      <c r="AR48" s="253">
        <f t="shared" si="10"/>
        <v>0</v>
      </c>
      <c r="AS48" s="253">
        <f t="shared" si="11"/>
        <v>0</v>
      </c>
    </row>
    <row r="49" spans="1:45" ht="15" customHeight="1">
      <c r="A49" s="50"/>
      <c r="B49" s="90"/>
      <c r="C49" s="44" t="s">
        <v>2531</v>
      </c>
      <c r="D49" s="949"/>
      <c r="E49" s="949"/>
      <c r="F49" s="949"/>
      <c r="G49" s="949"/>
      <c r="H49" s="816"/>
      <c r="I49" s="817"/>
      <c r="J49" s="1038"/>
      <c r="K49" s="1055"/>
      <c r="L49" s="816"/>
      <c r="M49" s="817"/>
      <c r="N49" s="816"/>
      <c r="O49" s="817"/>
      <c r="P49" s="88"/>
      <c r="Q49" s="88"/>
      <c r="R49" s="88"/>
      <c r="S49" s="88"/>
      <c r="T49" s="88"/>
      <c r="U49" s="88"/>
      <c r="V49" s="88"/>
      <c r="W49" s="88"/>
      <c r="X49" s="88"/>
      <c r="Y49" s="88"/>
      <c r="Z49" s="88"/>
      <c r="AA49" s="88"/>
      <c r="AB49" s="88"/>
      <c r="AC49" s="88"/>
      <c r="AD49" s="88"/>
      <c r="AG49" s="283">
        <f t="shared" si="1"/>
        <v>0</v>
      </c>
      <c r="AH49" s="353">
        <f t="shared" si="2"/>
        <v>0</v>
      </c>
      <c r="AI49" s="249" t="b">
        <f t="shared" si="3"/>
        <v>0</v>
      </c>
      <c r="AJ49" s="249" t="str">
        <f t="shared" si="4"/>
        <v/>
      </c>
      <c r="AK49" s="249" t="b">
        <f t="shared" si="5"/>
        <v>0</v>
      </c>
      <c r="AL49" s="249" t="str">
        <f t="shared" si="6"/>
        <v/>
      </c>
      <c r="AM49" s="249" t="b">
        <f t="shared" si="7"/>
        <v>0</v>
      </c>
      <c r="AO49">
        <f>IF(H49&lt;=CNSIPEE_2024_M2_Secc1!$C$51,0,IF(H49&lt;="NS",0,1))</f>
        <v>0</v>
      </c>
      <c r="AP49" s="342">
        <f t="shared" si="8"/>
        <v>0</v>
      </c>
      <c r="AQ49">
        <f t="shared" si="9"/>
        <v>0</v>
      </c>
      <c r="AR49" s="253">
        <f t="shared" si="10"/>
        <v>0</v>
      </c>
      <c r="AS49" s="253">
        <f t="shared" si="11"/>
        <v>0</v>
      </c>
    </row>
    <row r="50" spans="1:45" ht="15" customHeight="1">
      <c r="A50" s="50"/>
      <c r="B50" s="90"/>
      <c r="C50" s="44" t="s">
        <v>2532</v>
      </c>
      <c r="D50" s="949"/>
      <c r="E50" s="949"/>
      <c r="F50" s="949"/>
      <c r="G50" s="949"/>
      <c r="H50" s="816"/>
      <c r="I50" s="817"/>
      <c r="J50" s="1038"/>
      <c r="K50" s="1055"/>
      <c r="L50" s="816"/>
      <c r="M50" s="817"/>
      <c r="N50" s="816"/>
      <c r="O50" s="817"/>
      <c r="P50" s="88"/>
      <c r="Q50" s="88"/>
      <c r="R50" s="88"/>
      <c r="S50" s="88"/>
      <c r="T50" s="88"/>
      <c r="U50" s="88"/>
      <c r="V50" s="88"/>
      <c r="W50" s="88"/>
      <c r="X50" s="88"/>
      <c r="Y50" s="88"/>
      <c r="Z50" s="88"/>
      <c r="AA50" s="88"/>
      <c r="AB50" s="88"/>
      <c r="AC50" s="88"/>
      <c r="AD50" s="88"/>
      <c r="AG50" s="283">
        <f t="shared" si="1"/>
        <v>0</v>
      </c>
      <c r="AH50" s="353">
        <f t="shared" si="2"/>
        <v>0</v>
      </c>
      <c r="AI50" s="249" t="b">
        <f t="shared" si="3"/>
        <v>0</v>
      </c>
      <c r="AJ50" s="249" t="str">
        <f t="shared" si="4"/>
        <v/>
      </c>
      <c r="AK50" s="249" t="b">
        <f t="shared" si="5"/>
        <v>0</v>
      </c>
      <c r="AL50" s="249" t="str">
        <f t="shared" si="6"/>
        <v/>
      </c>
      <c r="AM50" s="249" t="b">
        <f t="shared" si="7"/>
        <v>0</v>
      </c>
      <c r="AO50">
        <f>IF(H50&lt;=CNSIPEE_2024_M2_Secc1!$C$51,0,IF(H50&lt;="NS",0,1))</f>
        <v>0</v>
      </c>
      <c r="AP50" s="342">
        <f t="shared" si="8"/>
        <v>0</v>
      </c>
      <c r="AQ50">
        <f t="shared" si="9"/>
        <v>0</v>
      </c>
      <c r="AR50" s="253">
        <f t="shared" si="10"/>
        <v>0</v>
      </c>
      <c r="AS50" s="253">
        <f t="shared" si="11"/>
        <v>0</v>
      </c>
    </row>
    <row r="51" spans="1:45" ht="15" customHeight="1">
      <c r="A51" s="50"/>
      <c r="B51" s="90"/>
      <c r="C51" s="44" t="s">
        <v>2533</v>
      </c>
      <c r="D51" s="949"/>
      <c r="E51" s="949"/>
      <c r="F51" s="949"/>
      <c r="G51" s="949"/>
      <c r="H51" s="816"/>
      <c r="I51" s="817"/>
      <c r="J51" s="1038"/>
      <c r="K51" s="1055"/>
      <c r="L51" s="816"/>
      <c r="M51" s="817"/>
      <c r="N51" s="816"/>
      <c r="O51" s="817"/>
      <c r="P51" s="88"/>
      <c r="Q51" s="88"/>
      <c r="R51" s="88"/>
      <c r="S51" s="88"/>
      <c r="T51" s="88"/>
      <c r="U51" s="88"/>
      <c r="V51" s="88"/>
      <c r="W51" s="88"/>
      <c r="X51" s="88"/>
      <c r="Y51" s="88"/>
      <c r="Z51" s="88"/>
      <c r="AA51" s="88"/>
      <c r="AB51" s="88"/>
      <c r="AC51" s="88"/>
      <c r="AD51" s="88"/>
      <c r="AG51" s="283">
        <f t="shared" si="1"/>
        <v>0</v>
      </c>
      <c r="AH51" s="353">
        <f t="shared" si="2"/>
        <v>0</v>
      </c>
      <c r="AI51" s="249" t="b">
        <f t="shared" si="3"/>
        <v>0</v>
      </c>
      <c r="AJ51" s="249" t="str">
        <f t="shared" si="4"/>
        <v/>
      </c>
      <c r="AK51" s="249" t="b">
        <f t="shared" si="5"/>
        <v>0</v>
      </c>
      <c r="AL51" s="249" t="str">
        <f t="shared" si="6"/>
        <v/>
      </c>
      <c r="AM51" s="249" t="b">
        <f t="shared" si="7"/>
        <v>0</v>
      </c>
      <c r="AO51">
        <f>IF(H51&lt;=CNSIPEE_2024_M2_Secc1!$C$51,0,IF(H51&lt;="NS",0,1))</f>
        <v>0</v>
      </c>
      <c r="AP51" s="342">
        <f t="shared" si="8"/>
        <v>0</v>
      </c>
      <c r="AQ51">
        <f t="shared" si="9"/>
        <v>0</v>
      </c>
      <c r="AR51" s="253">
        <f t="shared" si="10"/>
        <v>0</v>
      </c>
      <c r="AS51" s="253">
        <f t="shared" si="11"/>
        <v>0</v>
      </c>
    </row>
    <row r="52" spans="1:45" ht="15" customHeight="1">
      <c r="A52" s="50"/>
      <c r="B52" s="90"/>
      <c r="C52" s="44" t="s">
        <v>2534</v>
      </c>
      <c r="D52" s="949"/>
      <c r="E52" s="949"/>
      <c r="F52" s="949"/>
      <c r="G52" s="949"/>
      <c r="H52" s="816"/>
      <c r="I52" s="817"/>
      <c r="J52" s="1038"/>
      <c r="K52" s="1055"/>
      <c r="L52" s="816"/>
      <c r="M52" s="817"/>
      <c r="N52" s="816"/>
      <c r="O52" s="817"/>
      <c r="P52" s="88"/>
      <c r="Q52" s="88"/>
      <c r="R52" s="88"/>
      <c r="S52" s="88"/>
      <c r="T52" s="88"/>
      <c r="U52" s="88"/>
      <c r="V52" s="88"/>
      <c r="W52" s="88"/>
      <c r="X52" s="88"/>
      <c r="Y52" s="88"/>
      <c r="Z52" s="88"/>
      <c r="AA52" s="88"/>
      <c r="AB52" s="88"/>
      <c r="AC52" s="88"/>
      <c r="AD52" s="88"/>
      <c r="AG52" s="283">
        <f t="shared" si="1"/>
        <v>0</v>
      </c>
      <c r="AH52" s="353">
        <f t="shared" si="2"/>
        <v>0</v>
      </c>
      <c r="AI52" s="249" t="b">
        <f t="shared" si="3"/>
        <v>0</v>
      </c>
      <c r="AJ52" s="249" t="str">
        <f t="shared" si="4"/>
        <v/>
      </c>
      <c r="AK52" s="249" t="b">
        <f t="shared" si="5"/>
        <v>0</v>
      </c>
      <c r="AL52" s="249" t="str">
        <f t="shared" si="6"/>
        <v/>
      </c>
      <c r="AM52" s="249" t="b">
        <f t="shared" si="7"/>
        <v>0</v>
      </c>
      <c r="AO52">
        <f>IF(H52&lt;=CNSIPEE_2024_M2_Secc1!$C$51,0,IF(H52&lt;="NS",0,1))</f>
        <v>0</v>
      </c>
      <c r="AP52" s="342">
        <f t="shared" si="8"/>
        <v>0</v>
      </c>
      <c r="AQ52">
        <f t="shared" si="9"/>
        <v>0</v>
      </c>
      <c r="AR52" s="253">
        <f t="shared" si="10"/>
        <v>0</v>
      </c>
      <c r="AS52" s="253">
        <f t="shared" si="11"/>
        <v>0</v>
      </c>
    </row>
    <row r="53" spans="1:45" ht="15" customHeight="1">
      <c r="A53" s="50"/>
      <c r="B53" s="90"/>
      <c r="C53" s="44" t="s">
        <v>2535</v>
      </c>
      <c r="D53" s="949"/>
      <c r="E53" s="949"/>
      <c r="F53" s="949"/>
      <c r="G53" s="949"/>
      <c r="H53" s="816"/>
      <c r="I53" s="817"/>
      <c r="J53" s="1038"/>
      <c r="K53" s="1055"/>
      <c r="L53" s="816"/>
      <c r="M53" s="817"/>
      <c r="N53" s="816"/>
      <c r="O53" s="817"/>
      <c r="P53" s="88"/>
      <c r="Q53" s="88"/>
      <c r="R53" s="88"/>
      <c r="S53" s="88"/>
      <c r="T53" s="88"/>
      <c r="U53" s="88"/>
      <c r="V53" s="88"/>
      <c r="W53" s="88"/>
      <c r="X53" s="88"/>
      <c r="Y53" s="88"/>
      <c r="Z53" s="88"/>
      <c r="AA53" s="88"/>
      <c r="AB53" s="88"/>
      <c r="AC53" s="88"/>
      <c r="AD53" s="88"/>
      <c r="AG53" s="283">
        <f t="shared" si="1"/>
        <v>0</v>
      </c>
      <c r="AH53" s="353">
        <f t="shared" si="2"/>
        <v>0</v>
      </c>
      <c r="AI53" s="249" t="b">
        <f t="shared" si="3"/>
        <v>0</v>
      </c>
      <c r="AJ53" s="249" t="str">
        <f t="shared" si="4"/>
        <v/>
      </c>
      <c r="AK53" s="249" t="b">
        <f t="shared" si="5"/>
        <v>0</v>
      </c>
      <c r="AL53" s="249" t="str">
        <f t="shared" si="6"/>
        <v/>
      </c>
      <c r="AM53" s="249" t="b">
        <f t="shared" si="7"/>
        <v>0</v>
      </c>
      <c r="AO53">
        <f>IF(H53&lt;=CNSIPEE_2024_M2_Secc1!$C$51,0,IF(H53&lt;="NS",0,1))</f>
        <v>0</v>
      </c>
      <c r="AP53" s="342">
        <f t="shared" si="8"/>
        <v>0</v>
      </c>
      <c r="AQ53">
        <f t="shared" si="9"/>
        <v>0</v>
      </c>
      <c r="AR53" s="253">
        <f t="shared" si="10"/>
        <v>0</v>
      </c>
      <c r="AS53" s="253">
        <f t="shared" si="11"/>
        <v>0</v>
      </c>
    </row>
    <row r="54" spans="1:45" ht="15" customHeight="1">
      <c r="A54" s="50"/>
      <c r="B54" s="90"/>
      <c r="C54" s="44" t="s">
        <v>2536</v>
      </c>
      <c r="D54" s="949"/>
      <c r="E54" s="949"/>
      <c r="F54" s="949"/>
      <c r="G54" s="949"/>
      <c r="H54" s="816"/>
      <c r="I54" s="817"/>
      <c r="J54" s="1038"/>
      <c r="K54" s="1055"/>
      <c r="L54" s="816"/>
      <c r="M54" s="817"/>
      <c r="N54" s="816"/>
      <c r="O54" s="817"/>
      <c r="P54" s="88"/>
      <c r="Q54" s="88"/>
      <c r="R54" s="88"/>
      <c r="S54" s="88"/>
      <c r="T54" s="88"/>
      <c r="U54" s="88"/>
      <c r="V54" s="88"/>
      <c r="W54" s="88"/>
      <c r="X54" s="88"/>
      <c r="Y54" s="88"/>
      <c r="Z54" s="88"/>
      <c r="AA54" s="88"/>
      <c r="AB54" s="88"/>
      <c r="AC54" s="88"/>
      <c r="AD54" s="88"/>
      <c r="AG54" s="283">
        <f t="shared" si="1"/>
        <v>0</v>
      </c>
      <c r="AH54" s="353">
        <f t="shared" si="2"/>
        <v>0</v>
      </c>
      <c r="AI54" s="249" t="b">
        <f t="shared" si="3"/>
        <v>0</v>
      </c>
      <c r="AJ54" s="249" t="str">
        <f t="shared" si="4"/>
        <v/>
      </c>
      <c r="AK54" s="249" t="b">
        <f t="shared" si="5"/>
        <v>0</v>
      </c>
      <c r="AL54" s="249" t="str">
        <f t="shared" si="6"/>
        <v/>
      </c>
      <c r="AM54" s="249" t="b">
        <f t="shared" si="7"/>
        <v>0</v>
      </c>
      <c r="AO54">
        <f>IF(H54&lt;=CNSIPEE_2024_M2_Secc1!$C$51,0,IF(H54&lt;="NS",0,1))</f>
        <v>0</v>
      </c>
      <c r="AP54" s="342">
        <f t="shared" si="8"/>
        <v>0</v>
      </c>
      <c r="AQ54">
        <f t="shared" si="9"/>
        <v>0</v>
      </c>
      <c r="AR54" s="253">
        <f t="shared" si="10"/>
        <v>0</v>
      </c>
      <c r="AS54" s="253">
        <f t="shared" si="11"/>
        <v>0</v>
      </c>
    </row>
    <row r="55" spans="1:45" ht="15" customHeight="1">
      <c r="A55" s="50"/>
      <c r="B55" s="90"/>
      <c r="C55" s="44" t="s">
        <v>2537</v>
      </c>
      <c r="D55" s="949"/>
      <c r="E55" s="949"/>
      <c r="F55" s="949"/>
      <c r="G55" s="949"/>
      <c r="H55" s="816"/>
      <c r="I55" s="817"/>
      <c r="J55" s="1038"/>
      <c r="K55" s="1055"/>
      <c r="L55" s="816"/>
      <c r="M55" s="817"/>
      <c r="N55" s="816"/>
      <c r="O55" s="817"/>
      <c r="P55" s="88"/>
      <c r="Q55" s="88"/>
      <c r="R55" s="88"/>
      <c r="S55" s="88"/>
      <c r="T55" s="88"/>
      <c r="U55" s="88"/>
      <c r="V55" s="88"/>
      <c r="W55" s="88"/>
      <c r="X55" s="88"/>
      <c r="Y55" s="88"/>
      <c r="Z55" s="88"/>
      <c r="AA55" s="88"/>
      <c r="AB55" s="88"/>
      <c r="AC55" s="88"/>
      <c r="AD55" s="88"/>
      <c r="AG55" s="283">
        <f t="shared" si="1"/>
        <v>0</v>
      </c>
      <c r="AH55" s="353">
        <f t="shared" si="2"/>
        <v>0</v>
      </c>
      <c r="AI55" s="249" t="b">
        <f t="shared" si="3"/>
        <v>0</v>
      </c>
      <c r="AJ55" s="249" t="str">
        <f t="shared" si="4"/>
        <v/>
      </c>
      <c r="AK55" s="249" t="b">
        <f t="shared" si="5"/>
        <v>0</v>
      </c>
      <c r="AL55" s="249" t="str">
        <f t="shared" si="6"/>
        <v/>
      </c>
      <c r="AM55" s="249" t="b">
        <f t="shared" si="7"/>
        <v>0</v>
      </c>
      <c r="AO55">
        <f>IF(H55&lt;=CNSIPEE_2024_M2_Secc1!$C$51,0,IF(H55&lt;="NS",0,1))</f>
        <v>0</v>
      </c>
      <c r="AP55" s="342">
        <f t="shared" si="8"/>
        <v>0</v>
      </c>
      <c r="AQ55">
        <f t="shared" si="9"/>
        <v>0</v>
      </c>
      <c r="AR55" s="253">
        <f t="shared" si="10"/>
        <v>0</v>
      </c>
      <c r="AS55" s="253">
        <f t="shared" si="11"/>
        <v>0</v>
      </c>
    </row>
    <row r="56" spans="1:45" ht="15" customHeight="1">
      <c r="A56" s="50"/>
      <c r="B56" s="90"/>
      <c r="C56" s="44" t="s">
        <v>2538</v>
      </c>
      <c r="D56" s="949"/>
      <c r="E56" s="949"/>
      <c r="F56" s="949"/>
      <c r="G56" s="949"/>
      <c r="H56" s="816"/>
      <c r="I56" s="817"/>
      <c r="J56" s="1038"/>
      <c r="K56" s="1055"/>
      <c r="L56" s="816"/>
      <c r="M56" s="817"/>
      <c r="N56" s="816"/>
      <c r="O56" s="817"/>
      <c r="P56" s="88"/>
      <c r="Q56" s="88"/>
      <c r="R56" s="88"/>
      <c r="S56" s="88"/>
      <c r="T56" s="88"/>
      <c r="U56" s="88"/>
      <c r="V56" s="88"/>
      <c r="W56" s="88"/>
      <c r="X56" s="88"/>
      <c r="Y56" s="88"/>
      <c r="Z56" s="88"/>
      <c r="AA56" s="88"/>
      <c r="AB56" s="88"/>
      <c r="AC56" s="88"/>
      <c r="AD56" s="88"/>
      <c r="AG56" s="283">
        <f t="shared" si="1"/>
        <v>0</v>
      </c>
      <c r="AH56" s="353">
        <f t="shared" si="2"/>
        <v>0</v>
      </c>
      <c r="AI56" s="249" t="b">
        <f t="shared" si="3"/>
        <v>0</v>
      </c>
      <c r="AJ56" s="249" t="str">
        <f t="shared" si="4"/>
        <v/>
      </c>
      <c r="AK56" s="249" t="b">
        <f t="shared" si="5"/>
        <v>0</v>
      </c>
      <c r="AL56" s="249" t="str">
        <f t="shared" si="6"/>
        <v/>
      </c>
      <c r="AM56" s="249" t="b">
        <f t="shared" si="7"/>
        <v>0</v>
      </c>
      <c r="AO56">
        <f>IF(H56&lt;=CNSIPEE_2024_M2_Secc1!$C$51,0,IF(H56&lt;="NS",0,1))</f>
        <v>0</v>
      </c>
      <c r="AP56" s="342">
        <f t="shared" si="8"/>
        <v>0</v>
      </c>
      <c r="AQ56">
        <f t="shared" si="9"/>
        <v>0</v>
      </c>
      <c r="AR56" s="253">
        <f t="shared" si="10"/>
        <v>0</v>
      </c>
      <c r="AS56" s="253">
        <f t="shared" si="11"/>
        <v>0</v>
      </c>
    </row>
    <row r="57" spans="1:45" ht="15" customHeight="1">
      <c r="A57" s="50"/>
      <c r="B57" s="90"/>
      <c r="C57" s="44" t="s">
        <v>2539</v>
      </c>
      <c r="D57" s="949"/>
      <c r="E57" s="949"/>
      <c r="F57" s="949"/>
      <c r="G57" s="949"/>
      <c r="H57" s="816"/>
      <c r="I57" s="817"/>
      <c r="J57" s="1038"/>
      <c r="K57" s="1055"/>
      <c r="L57" s="816"/>
      <c r="M57" s="817"/>
      <c r="N57" s="816"/>
      <c r="O57" s="817"/>
      <c r="P57" s="88"/>
      <c r="Q57" s="88"/>
      <c r="R57" s="88"/>
      <c r="S57" s="88"/>
      <c r="T57" s="88"/>
      <c r="U57" s="88"/>
      <c r="V57" s="88"/>
      <c r="W57" s="88"/>
      <c r="X57" s="88"/>
      <c r="Y57" s="88"/>
      <c r="Z57" s="88"/>
      <c r="AA57" s="88"/>
      <c r="AB57" s="88"/>
      <c r="AC57" s="88"/>
      <c r="AD57" s="88"/>
      <c r="AG57" s="283">
        <f t="shared" si="1"/>
        <v>0</v>
      </c>
      <c r="AH57" s="353">
        <f t="shared" si="2"/>
        <v>0</v>
      </c>
      <c r="AI57" s="249" t="b">
        <f t="shared" si="3"/>
        <v>0</v>
      </c>
      <c r="AJ57" s="249" t="str">
        <f t="shared" si="4"/>
        <v/>
      </c>
      <c r="AK57" s="249" t="b">
        <f t="shared" si="5"/>
        <v>0</v>
      </c>
      <c r="AL57" s="249" t="str">
        <f t="shared" si="6"/>
        <v/>
      </c>
      <c r="AM57" s="249" t="b">
        <f t="shared" si="7"/>
        <v>0</v>
      </c>
      <c r="AO57">
        <f>IF(H57&lt;=CNSIPEE_2024_M2_Secc1!$C$51,0,IF(H57&lt;="NS",0,1))</f>
        <v>0</v>
      </c>
      <c r="AP57" s="342">
        <f t="shared" si="8"/>
        <v>0</v>
      </c>
      <c r="AQ57">
        <f t="shared" si="9"/>
        <v>0</v>
      </c>
      <c r="AR57" s="253">
        <f t="shared" si="10"/>
        <v>0</v>
      </c>
      <c r="AS57" s="253">
        <f t="shared" si="11"/>
        <v>0</v>
      </c>
    </row>
    <row r="58" spans="1:45" ht="15" customHeight="1">
      <c r="A58" s="50"/>
      <c r="B58" s="90"/>
      <c r="C58" s="44" t="s">
        <v>2540</v>
      </c>
      <c r="D58" s="949"/>
      <c r="E58" s="949"/>
      <c r="F58" s="949"/>
      <c r="G58" s="949"/>
      <c r="H58" s="816"/>
      <c r="I58" s="817"/>
      <c r="J58" s="1038"/>
      <c r="K58" s="1055"/>
      <c r="L58" s="816"/>
      <c r="M58" s="817"/>
      <c r="N58" s="816"/>
      <c r="O58" s="817"/>
      <c r="P58" s="88"/>
      <c r="Q58" s="88"/>
      <c r="R58" s="88"/>
      <c r="S58" s="88"/>
      <c r="T58" s="88"/>
      <c r="U58" s="88"/>
      <c r="V58" s="88"/>
      <c r="W58" s="88"/>
      <c r="X58" s="88"/>
      <c r="Y58" s="88"/>
      <c r="Z58" s="88"/>
      <c r="AA58" s="88"/>
      <c r="AB58" s="88"/>
      <c r="AC58" s="88"/>
      <c r="AD58" s="88"/>
      <c r="AG58" s="283">
        <f t="shared" si="1"/>
        <v>0</v>
      </c>
      <c r="AH58" s="353">
        <f t="shared" si="2"/>
        <v>0</v>
      </c>
      <c r="AI58" s="249" t="b">
        <f t="shared" si="3"/>
        <v>0</v>
      </c>
      <c r="AJ58" s="249" t="str">
        <f t="shared" si="4"/>
        <v/>
      </c>
      <c r="AK58" s="249" t="b">
        <f t="shared" si="5"/>
        <v>0</v>
      </c>
      <c r="AL58" s="249" t="str">
        <f t="shared" si="6"/>
        <v/>
      </c>
      <c r="AM58" s="249" t="b">
        <f t="shared" si="7"/>
        <v>0</v>
      </c>
      <c r="AO58">
        <f>IF(H58&lt;=CNSIPEE_2024_M2_Secc1!$C$51,0,IF(H58&lt;="NS",0,1))</f>
        <v>0</v>
      </c>
      <c r="AP58" s="342">
        <f t="shared" si="8"/>
        <v>0</v>
      </c>
      <c r="AQ58">
        <f t="shared" si="9"/>
        <v>0</v>
      </c>
      <c r="AR58" s="253">
        <f t="shared" si="10"/>
        <v>0</v>
      </c>
      <c r="AS58" s="253">
        <f t="shared" si="11"/>
        <v>0</v>
      </c>
    </row>
    <row r="59" spans="1:45" ht="15" customHeight="1">
      <c r="A59" s="49"/>
      <c r="B59" s="54"/>
      <c r="C59" s="44" t="s">
        <v>2541</v>
      </c>
      <c r="D59" s="949"/>
      <c r="E59" s="949"/>
      <c r="F59" s="949"/>
      <c r="G59" s="949"/>
      <c r="H59" s="816"/>
      <c r="I59" s="817"/>
      <c r="J59" s="1038"/>
      <c r="K59" s="1055"/>
      <c r="L59" s="816"/>
      <c r="M59" s="817"/>
      <c r="N59" s="816"/>
      <c r="O59" s="817"/>
      <c r="P59" s="88"/>
      <c r="Q59" s="88"/>
      <c r="R59" s="88"/>
      <c r="S59" s="88"/>
      <c r="T59" s="88"/>
      <c r="U59" s="88"/>
      <c r="V59" s="88"/>
      <c r="W59" s="88"/>
      <c r="X59" s="88"/>
      <c r="Y59" s="88"/>
      <c r="Z59" s="88"/>
      <c r="AA59" s="88"/>
      <c r="AB59" s="88"/>
      <c r="AC59" s="88"/>
      <c r="AD59" s="88"/>
      <c r="AG59" s="283">
        <f t="shared" si="1"/>
        <v>0</v>
      </c>
      <c r="AH59" s="353">
        <f t="shared" si="2"/>
        <v>0</v>
      </c>
      <c r="AI59" s="249" t="b">
        <f t="shared" si="3"/>
        <v>0</v>
      </c>
      <c r="AJ59" s="249" t="str">
        <f t="shared" si="4"/>
        <v/>
      </c>
      <c r="AK59" s="249" t="b">
        <f t="shared" si="5"/>
        <v>0</v>
      </c>
      <c r="AL59" s="249" t="str">
        <f t="shared" si="6"/>
        <v/>
      </c>
      <c r="AM59" s="249" t="b">
        <f t="shared" si="7"/>
        <v>0</v>
      </c>
      <c r="AO59">
        <f>IF(H59&lt;=CNSIPEE_2024_M2_Secc1!$C$51,0,IF(H59&lt;="NS",0,1))</f>
        <v>0</v>
      </c>
      <c r="AP59" s="342">
        <f t="shared" si="8"/>
        <v>0</v>
      </c>
      <c r="AQ59">
        <f t="shared" si="9"/>
        <v>0</v>
      </c>
      <c r="AR59" s="253">
        <f t="shared" si="10"/>
        <v>0</v>
      </c>
      <c r="AS59" s="253">
        <f t="shared" si="11"/>
        <v>0</v>
      </c>
    </row>
    <row r="60" spans="1:45" ht="15" customHeight="1">
      <c r="A60" s="49"/>
      <c r="B60" s="54"/>
      <c r="C60" s="44" t="s">
        <v>2542</v>
      </c>
      <c r="D60" s="949"/>
      <c r="E60" s="949"/>
      <c r="F60" s="949"/>
      <c r="G60" s="949"/>
      <c r="H60" s="816"/>
      <c r="I60" s="817"/>
      <c r="J60" s="1038"/>
      <c r="K60" s="1055"/>
      <c r="L60" s="816"/>
      <c r="M60" s="817"/>
      <c r="N60" s="816"/>
      <c r="O60" s="817"/>
      <c r="P60" s="88"/>
      <c r="Q60" s="88"/>
      <c r="R60" s="88"/>
      <c r="S60" s="88"/>
      <c r="T60" s="88"/>
      <c r="U60" s="88"/>
      <c r="V60" s="88"/>
      <c r="W60" s="88"/>
      <c r="X60" s="88"/>
      <c r="Y60" s="88"/>
      <c r="Z60" s="88"/>
      <c r="AA60" s="88"/>
      <c r="AB60" s="88"/>
      <c r="AC60" s="88"/>
      <c r="AD60" s="88"/>
      <c r="AG60" s="283">
        <f t="shared" si="1"/>
        <v>0</v>
      </c>
      <c r="AH60" s="353">
        <f t="shared" si="2"/>
        <v>0</v>
      </c>
      <c r="AI60" s="249" t="b">
        <f t="shared" si="3"/>
        <v>0</v>
      </c>
      <c r="AJ60" s="249" t="str">
        <f t="shared" si="4"/>
        <v/>
      </c>
      <c r="AK60" s="249" t="b">
        <f t="shared" si="5"/>
        <v>0</v>
      </c>
      <c r="AL60" s="249" t="str">
        <f t="shared" si="6"/>
        <v/>
      </c>
      <c r="AM60" s="249" t="b">
        <f t="shared" si="7"/>
        <v>0</v>
      </c>
      <c r="AO60">
        <f>IF(H60&lt;=CNSIPEE_2024_M2_Secc1!$C$51,0,IF(H60&lt;="NS",0,1))</f>
        <v>0</v>
      </c>
      <c r="AP60" s="342">
        <f t="shared" si="8"/>
        <v>0</v>
      </c>
      <c r="AQ60">
        <f t="shared" si="9"/>
        <v>0</v>
      </c>
      <c r="AR60" s="253">
        <f t="shared" si="10"/>
        <v>0</v>
      </c>
      <c r="AS60" s="253">
        <f t="shared" si="11"/>
        <v>0</v>
      </c>
    </row>
    <row r="61" spans="1:45" ht="15" customHeight="1">
      <c r="A61" s="49"/>
      <c r="B61" s="54"/>
      <c r="C61" s="44" t="s">
        <v>2543</v>
      </c>
      <c r="D61" s="949"/>
      <c r="E61" s="949"/>
      <c r="F61" s="949"/>
      <c r="G61" s="949"/>
      <c r="H61" s="816"/>
      <c r="I61" s="817"/>
      <c r="J61" s="1038"/>
      <c r="K61" s="1055"/>
      <c r="L61" s="816"/>
      <c r="M61" s="817"/>
      <c r="N61" s="816"/>
      <c r="O61" s="817"/>
      <c r="P61" s="88"/>
      <c r="Q61" s="88"/>
      <c r="R61" s="88"/>
      <c r="S61" s="88"/>
      <c r="T61" s="88"/>
      <c r="U61" s="88"/>
      <c r="V61" s="88"/>
      <c r="W61" s="88"/>
      <c r="X61" s="88"/>
      <c r="Y61" s="88"/>
      <c r="Z61" s="88"/>
      <c r="AA61" s="88"/>
      <c r="AB61" s="88"/>
      <c r="AC61" s="88"/>
      <c r="AD61" s="88"/>
      <c r="AG61" s="283">
        <f t="shared" si="1"/>
        <v>0</v>
      </c>
      <c r="AH61" s="353">
        <f t="shared" si="2"/>
        <v>0</v>
      </c>
      <c r="AI61" s="249" t="b">
        <f t="shared" si="3"/>
        <v>0</v>
      </c>
      <c r="AJ61" s="249" t="str">
        <f t="shared" si="4"/>
        <v/>
      </c>
      <c r="AK61" s="249" t="b">
        <f t="shared" si="5"/>
        <v>0</v>
      </c>
      <c r="AL61" s="249" t="str">
        <f t="shared" si="6"/>
        <v/>
      </c>
      <c r="AM61" s="249" t="b">
        <f t="shared" si="7"/>
        <v>0</v>
      </c>
      <c r="AO61">
        <f>IF(H61&lt;=CNSIPEE_2024_M2_Secc1!$C$51,0,IF(H61&lt;="NS",0,1))</f>
        <v>0</v>
      </c>
      <c r="AP61" s="342">
        <f t="shared" si="8"/>
        <v>0</v>
      </c>
      <c r="AQ61">
        <f t="shared" si="9"/>
        <v>0</v>
      </c>
      <c r="AR61" s="253">
        <f t="shared" si="10"/>
        <v>0</v>
      </c>
      <c r="AS61" s="253">
        <f t="shared" si="11"/>
        <v>0</v>
      </c>
    </row>
    <row r="62" spans="1:45" ht="15" customHeight="1">
      <c r="A62" s="49"/>
      <c r="B62" s="54"/>
      <c r="C62" s="44" t="s">
        <v>2544</v>
      </c>
      <c r="D62" s="949"/>
      <c r="E62" s="949"/>
      <c r="F62" s="949"/>
      <c r="G62" s="949"/>
      <c r="H62" s="816"/>
      <c r="I62" s="817"/>
      <c r="J62" s="1038"/>
      <c r="K62" s="1055"/>
      <c r="L62" s="816"/>
      <c r="M62" s="817"/>
      <c r="N62" s="816"/>
      <c r="O62" s="817"/>
      <c r="P62" s="88"/>
      <c r="Q62" s="88"/>
      <c r="R62" s="88"/>
      <c r="S62" s="88"/>
      <c r="T62" s="88"/>
      <c r="U62" s="88"/>
      <c r="V62" s="88"/>
      <c r="W62" s="88"/>
      <c r="X62" s="88"/>
      <c r="Y62" s="88"/>
      <c r="Z62" s="88"/>
      <c r="AA62" s="88"/>
      <c r="AB62" s="88"/>
      <c r="AC62" s="88"/>
      <c r="AD62" s="88"/>
      <c r="AG62" s="283">
        <f t="shared" si="1"/>
        <v>0</v>
      </c>
      <c r="AH62" s="353">
        <f t="shared" si="2"/>
        <v>0</v>
      </c>
      <c r="AI62" s="249" t="b">
        <f t="shared" si="3"/>
        <v>0</v>
      </c>
      <c r="AJ62" s="249" t="str">
        <f t="shared" si="4"/>
        <v/>
      </c>
      <c r="AK62" s="249" t="b">
        <f t="shared" si="5"/>
        <v>0</v>
      </c>
      <c r="AL62" s="249" t="str">
        <f t="shared" si="6"/>
        <v/>
      </c>
      <c r="AM62" s="249" t="b">
        <f t="shared" si="7"/>
        <v>0</v>
      </c>
      <c r="AO62">
        <f>IF(H62&lt;=CNSIPEE_2024_M2_Secc1!$C$51,0,IF(H62&lt;="NS",0,1))</f>
        <v>0</v>
      </c>
      <c r="AP62" s="342">
        <f t="shared" si="8"/>
        <v>0</v>
      </c>
      <c r="AQ62">
        <f t="shared" si="9"/>
        <v>0</v>
      </c>
      <c r="AR62" s="253">
        <f t="shared" si="10"/>
        <v>0</v>
      </c>
      <c r="AS62" s="253">
        <f t="shared" si="11"/>
        <v>0</v>
      </c>
    </row>
    <row r="63" spans="1:45" ht="15" customHeight="1">
      <c r="A63" s="49"/>
      <c r="B63" s="54"/>
      <c r="C63" s="44" t="s">
        <v>2545</v>
      </c>
      <c r="D63" s="949"/>
      <c r="E63" s="949"/>
      <c r="F63" s="949"/>
      <c r="G63" s="949"/>
      <c r="H63" s="816"/>
      <c r="I63" s="817"/>
      <c r="J63" s="1038"/>
      <c r="K63" s="1055"/>
      <c r="L63" s="816"/>
      <c r="M63" s="817"/>
      <c r="N63" s="816"/>
      <c r="O63" s="817"/>
      <c r="P63" s="88"/>
      <c r="Q63" s="88"/>
      <c r="R63" s="88"/>
      <c r="S63" s="88"/>
      <c r="T63" s="88"/>
      <c r="U63" s="88"/>
      <c r="V63" s="88"/>
      <c r="W63" s="88"/>
      <c r="X63" s="88"/>
      <c r="Y63" s="88"/>
      <c r="Z63" s="88"/>
      <c r="AA63" s="88"/>
      <c r="AB63" s="88"/>
      <c r="AC63" s="88"/>
      <c r="AD63" s="88"/>
      <c r="AG63" s="283">
        <f t="shared" si="1"/>
        <v>0</v>
      </c>
      <c r="AH63" s="353">
        <f t="shared" si="2"/>
        <v>0</v>
      </c>
      <c r="AI63" s="249" t="b">
        <f t="shared" si="3"/>
        <v>0</v>
      </c>
      <c r="AJ63" s="249" t="str">
        <f t="shared" si="4"/>
        <v/>
      </c>
      <c r="AK63" s="249" t="b">
        <f t="shared" si="5"/>
        <v>0</v>
      </c>
      <c r="AL63" s="249" t="str">
        <f t="shared" si="6"/>
        <v/>
      </c>
      <c r="AM63" s="249" t="b">
        <f t="shared" si="7"/>
        <v>0</v>
      </c>
      <c r="AO63">
        <f>IF(H63&lt;=CNSIPEE_2024_M2_Secc1!$C$51,0,IF(H63&lt;="NS",0,1))</f>
        <v>0</v>
      </c>
      <c r="AP63" s="342">
        <f t="shared" si="8"/>
        <v>0</v>
      </c>
      <c r="AQ63">
        <f t="shared" si="9"/>
        <v>0</v>
      </c>
      <c r="AR63" s="253">
        <f t="shared" si="10"/>
        <v>0</v>
      </c>
      <c r="AS63" s="253">
        <f t="shared" si="11"/>
        <v>0</v>
      </c>
    </row>
    <row r="64" spans="1:45" ht="15" customHeight="1">
      <c r="A64" s="50"/>
      <c r="B64" s="90"/>
      <c r="C64" s="86"/>
      <c r="D64" s="86"/>
      <c r="E64" s="86"/>
      <c r="F64" s="86"/>
      <c r="G64" s="86"/>
      <c r="H64" s="86"/>
      <c r="I64" s="86"/>
      <c r="J64" s="86"/>
      <c r="K64" s="86"/>
      <c r="L64" s="86"/>
      <c r="M64" s="86"/>
      <c r="N64" s="86"/>
      <c r="O64" s="86"/>
      <c r="P64" s="86"/>
      <c r="Q64" s="86"/>
      <c r="R64" s="86"/>
      <c r="S64" s="86"/>
      <c r="T64" s="86"/>
      <c r="U64" s="86"/>
      <c r="V64" s="86"/>
      <c r="W64" s="86"/>
      <c r="X64" s="86"/>
      <c r="Y64" s="86"/>
      <c r="Z64" s="86"/>
      <c r="AA64" s="86"/>
      <c r="AB64" s="86"/>
      <c r="AC64" s="86"/>
      <c r="AD64" s="86"/>
      <c r="AG64" s="247">
        <f>SUM(AG34:AG63)</f>
        <v>0</v>
      </c>
      <c r="AH64" s="531">
        <f>SUM(AH34:AH63)</f>
        <v>0</v>
      </c>
      <c r="AI64" s="250">
        <f>COUNTIF(AI34:AI63,TRUE)</f>
        <v>0</v>
      </c>
      <c r="AJ64" s="249"/>
      <c r="AK64" s="250">
        <f>COUNTIF(AK34:AK63,TRUE)</f>
        <v>0</v>
      </c>
      <c r="AL64" s="249"/>
      <c r="AM64" s="250">
        <f>COUNTIF(AM34:AM63,TRUE)</f>
        <v>0</v>
      </c>
      <c r="AN64" s="250">
        <f>SUM(AI64,AK64,AM64)</f>
        <v>0</v>
      </c>
      <c r="AO64" s="532">
        <f>SUM(AO34:AO63)</f>
        <v>0</v>
      </c>
      <c r="AP64" s="527">
        <f>SUM(AP34:AP63)</f>
        <v>0</v>
      </c>
      <c r="AQ64" s="533">
        <f>SUM(AQ34:AQ63)</f>
        <v>0</v>
      </c>
      <c r="AR64"/>
      <c r="AS64" s="257">
        <f>SUM(AS34:AS63)</f>
        <v>0</v>
      </c>
    </row>
    <row r="65" spans="1:31" ht="45" customHeight="1">
      <c r="A65" s="103"/>
      <c r="B65" s="57"/>
      <c r="C65" s="822" t="s">
        <v>2798</v>
      </c>
      <c r="D65" s="822"/>
      <c r="E65" s="822"/>
      <c r="F65" s="749"/>
      <c r="G65" s="749"/>
      <c r="H65" s="749"/>
      <c r="I65" s="749"/>
      <c r="J65" s="749"/>
      <c r="K65" s="749"/>
      <c r="L65" s="749"/>
      <c r="M65" s="749"/>
      <c r="N65" s="749"/>
      <c r="O65" s="749"/>
      <c r="P65" s="749"/>
      <c r="Q65" s="749"/>
      <c r="R65" s="749"/>
      <c r="S65" s="749"/>
      <c r="T65" s="749"/>
      <c r="U65" s="749"/>
      <c r="V65" s="749"/>
      <c r="W65" s="749"/>
      <c r="X65" s="749"/>
      <c r="Y65" s="749"/>
      <c r="Z65" s="749"/>
      <c r="AA65" s="749"/>
      <c r="AB65" s="749"/>
      <c r="AC65" s="749"/>
      <c r="AD65" s="749"/>
    </row>
    <row r="66" spans="1:31" ht="15" customHeight="1">
      <c r="A66" s="103"/>
      <c r="B66" s="794" t="str">
        <f>IF(AND(AQ64&gt;0,F65=""),"Debido a que seleccionó el código 14 en la col. Tipo de información recopilada debe anotar el nombre de dicho(s) tipo(s) de información","")</f>
        <v/>
      </c>
      <c r="C66" s="794"/>
      <c r="D66" s="794"/>
      <c r="E66" s="794"/>
      <c r="F66" s="794"/>
      <c r="G66" s="794"/>
      <c r="H66" s="794"/>
      <c r="I66" s="794"/>
      <c r="J66" s="794"/>
      <c r="K66" s="794"/>
      <c r="L66" s="794"/>
      <c r="M66" s="794"/>
      <c r="N66" s="794"/>
      <c r="O66" s="794"/>
      <c r="P66" s="794"/>
      <c r="Q66" s="794"/>
      <c r="R66" s="794"/>
      <c r="S66" s="794"/>
      <c r="T66" s="794"/>
      <c r="U66" s="794"/>
      <c r="V66" s="794"/>
      <c r="W66" s="794"/>
      <c r="X66" s="794"/>
      <c r="Y66" s="794"/>
      <c r="Z66" s="794"/>
      <c r="AA66" s="794"/>
      <c r="AB66" s="794"/>
      <c r="AC66" s="794"/>
      <c r="AD66" s="794"/>
      <c r="AE66" s="794"/>
    </row>
    <row r="67" spans="1:31" ht="15" customHeight="1">
      <c r="A67" s="47"/>
      <c r="B67" s="165"/>
      <c r="C67" s="739" t="s">
        <v>4250</v>
      </c>
      <c r="D67" s="740"/>
      <c r="E67" s="740"/>
      <c r="F67" s="740"/>
      <c r="G67" s="740"/>
      <c r="H67" s="740"/>
      <c r="I67" s="740"/>
      <c r="J67" s="740"/>
      <c r="K67" s="740"/>
      <c r="L67" s="740"/>
      <c r="M67" s="740"/>
      <c r="N67" s="740"/>
      <c r="O67" s="740"/>
      <c r="P67" s="741"/>
      <c r="Q67" s="115"/>
      <c r="R67" s="732" t="s">
        <v>4251</v>
      </c>
      <c r="S67" s="732"/>
      <c r="T67" s="732"/>
      <c r="U67" s="732"/>
      <c r="V67" s="732"/>
      <c r="W67" s="732"/>
      <c r="X67" s="732"/>
      <c r="Y67" s="732"/>
      <c r="Z67" s="732"/>
      <c r="AA67" s="732"/>
      <c r="AB67" s="732"/>
      <c r="AC67" s="732"/>
      <c r="AD67" s="732"/>
    </row>
    <row r="68" spans="1:31" ht="15" customHeight="1">
      <c r="A68" s="47"/>
      <c r="B68" s="165"/>
      <c r="C68" s="44" t="s">
        <v>2516</v>
      </c>
      <c r="D68" s="813" t="s">
        <v>4252</v>
      </c>
      <c r="E68" s="814"/>
      <c r="F68" s="814"/>
      <c r="G68" s="814"/>
      <c r="H68" s="814"/>
      <c r="I68" s="814"/>
      <c r="J68" s="814"/>
      <c r="K68" s="814"/>
      <c r="L68" s="814"/>
      <c r="M68" s="814"/>
      <c r="N68" s="814"/>
      <c r="O68" s="814"/>
      <c r="P68" s="815"/>
      <c r="Q68" s="115"/>
      <c r="R68" s="44" t="s">
        <v>2516</v>
      </c>
      <c r="S68" s="796" t="s">
        <v>4253</v>
      </c>
      <c r="T68" s="796"/>
      <c r="U68" s="796"/>
      <c r="V68" s="796"/>
      <c r="W68" s="796"/>
      <c r="X68" s="796"/>
      <c r="Y68" s="796"/>
      <c r="Z68" s="796"/>
      <c r="AA68" s="796"/>
      <c r="AB68" s="796"/>
      <c r="AC68" s="796"/>
      <c r="AD68" s="796"/>
    </row>
    <row r="69" spans="1:31" ht="24" customHeight="1">
      <c r="A69" s="47"/>
      <c r="B69" s="165"/>
      <c r="C69" s="44" t="s">
        <v>2517</v>
      </c>
      <c r="D69" s="813" t="s">
        <v>2890</v>
      </c>
      <c r="E69" s="814"/>
      <c r="F69" s="814"/>
      <c r="G69" s="814"/>
      <c r="H69" s="814"/>
      <c r="I69" s="814"/>
      <c r="J69" s="814"/>
      <c r="K69" s="814"/>
      <c r="L69" s="814"/>
      <c r="M69" s="814"/>
      <c r="N69" s="814"/>
      <c r="O69" s="814"/>
      <c r="P69" s="815"/>
      <c r="Q69" s="115"/>
      <c r="R69" s="44" t="s">
        <v>2517</v>
      </c>
      <c r="S69" s="796" t="s">
        <v>4254</v>
      </c>
      <c r="T69" s="796"/>
      <c r="U69" s="796"/>
      <c r="V69" s="796"/>
      <c r="W69" s="796"/>
      <c r="X69" s="796"/>
      <c r="Y69" s="796"/>
      <c r="Z69" s="796"/>
      <c r="AA69" s="796"/>
      <c r="AB69" s="796"/>
      <c r="AC69" s="796"/>
      <c r="AD69" s="796"/>
    </row>
    <row r="70" spans="1:31" ht="48" customHeight="1">
      <c r="A70" s="47"/>
      <c r="B70" s="165"/>
      <c r="C70" s="44" t="s">
        <v>2518</v>
      </c>
      <c r="D70" s="813" t="s">
        <v>2892</v>
      </c>
      <c r="E70" s="814"/>
      <c r="F70" s="814"/>
      <c r="G70" s="814"/>
      <c r="H70" s="814"/>
      <c r="I70" s="814"/>
      <c r="J70" s="814"/>
      <c r="K70" s="814"/>
      <c r="L70" s="814"/>
      <c r="M70" s="814"/>
      <c r="N70" s="814"/>
      <c r="O70" s="814"/>
      <c r="P70" s="815"/>
      <c r="Q70" s="115"/>
      <c r="R70" s="44" t="s">
        <v>2518</v>
      </c>
      <c r="S70" s="796" t="s">
        <v>4255</v>
      </c>
      <c r="T70" s="796"/>
      <c r="U70" s="796"/>
      <c r="V70" s="796"/>
      <c r="W70" s="796"/>
      <c r="X70" s="796"/>
      <c r="Y70" s="796"/>
      <c r="Z70" s="796"/>
      <c r="AA70" s="796"/>
      <c r="AB70" s="796"/>
      <c r="AC70" s="796"/>
      <c r="AD70" s="796"/>
    </row>
    <row r="71" spans="1:31" ht="15" customHeight="1">
      <c r="A71" s="47"/>
      <c r="B71" s="165"/>
      <c r="C71" s="44" t="s">
        <v>2519</v>
      </c>
      <c r="D71" s="813" t="s">
        <v>2894</v>
      </c>
      <c r="E71" s="814"/>
      <c r="F71" s="814"/>
      <c r="G71" s="814"/>
      <c r="H71" s="814"/>
      <c r="I71" s="814"/>
      <c r="J71" s="814"/>
      <c r="K71" s="814"/>
      <c r="L71" s="814"/>
      <c r="M71" s="814"/>
      <c r="N71" s="814"/>
      <c r="O71" s="814"/>
      <c r="P71" s="815"/>
      <c r="Q71" s="115"/>
      <c r="R71" s="44" t="s">
        <v>2519</v>
      </c>
      <c r="S71" s="796" t="s">
        <v>4256</v>
      </c>
      <c r="T71" s="796"/>
      <c r="U71" s="796"/>
      <c r="V71" s="796"/>
      <c r="W71" s="796"/>
      <c r="X71" s="796"/>
      <c r="Y71" s="796"/>
      <c r="Z71" s="796"/>
      <c r="AA71" s="796"/>
      <c r="AB71" s="796"/>
      <c r="AC71" s="796"/>
      <c r="AD71" s="796"/>
    </row>
    <row r="72" spans="1:31" ht="36" customHeight="1">
      <c r="A72" s="47"/>
      <c r="B72" s="165"/>
      <c r="C72" s="44" t="s">
        <v>2520</v>
      </c>
      <c r="D72" s="813" t="s">
        <v>2896</v>
      </c>
      <c r="E72" s="814"/>
      <c r="F72" s="814"/>
      <c r="G72" s="814"/>
      <c r="H72" s="814"/>
      <c r="I72" s="814"/>
      <c r="J72" s="814"/>
      <c r="K72" s="814"/>
      <c r="L72" s="814"/>
      <c r="M72" s="814"/>
      <c r="N72" s="814"/>
      <c r="O72" s="814"/>
      <c r="P72" s="815"/>
      <c r="Q72" s="115"/>
      <c r="R72" s="44" t="s">
        <v>2520</v>
      </c>
      <c r="S72" s="796" t="s">
        <v>4257</v>
      </c>
      <c r="T72" s="796"/>
      <c r="U72" s="796"/>
      <c r="V72" s="796"/>
      <c r="W72" s="796"/>
      <c r="X72" s="796"/>
      <c r="Y72" s="796"/>
      <c r="Z72" s="796"/>
      <c r="AA72" s="796"/>
      <c r="AB72" s="796"/>
      <c r="AC72" s="796"/>
      <c r="AD72" s="796"/>
    </row>
    <row r="73" spans="1:31" ht="48" customHeight="1">
      <c r="A73" s="47"/>
      <c r="B73" s="165"/>
      <c r="C73" s="44" t="s">
        <v>2521</v>
      </c>
      <c r="D73" s="813" t="s">
        <v>2898</v>
      </c>
      <c r="E73" s="814"/>
      <c r="F73" s="814"/>
      <c r="G73" s="814"/>
      <c r="H73" s="814"/>
      <c r="I73" s="814"/>
      <c r="J73" s="814"/>
      <c r="K73" s="814"/>
      <c r="L73" s="814"/>
      <c r="M73" s="814"/>
      <c r="N73" s="814"/>
      <c r="O73" s="814"/>
      <c r="P73" s="815"/>
      <c r="Q73" s="115"/>
      <c r="R73" s="44" t="s">
        <v>2521</v>
      </c>
      <c r="S73" s="796" t="s">
        <v>4258</v>
      </c>
      <c r="T73" s="796"/>
      <c r="U73" s="796"/>
      <c r="V73" s="796"/>
      <c r="W73" s="796"/>
      <c r="X73" s="796"/>
      <c r="Y73" s="796"/>
      <c r="Z73" s="796"/>
      <c r="AA73" s="796"/>
      <c r="AB73" s="796"/>
      <c r="AC73" s="796"/>
      <c r="AD73" s="796"/>
    </row>
    <row r="74" spans="1:31" ht="24" customHeight="1">
      <c r="A74" s="47"/>
      <c r="B74" s="165"/>
      <c r="C74" s="44" t="s">
        <v>2522</v>
      </c>
      <c r="D74" s="813" t="s">
        <v>2900</v>
      </c>
      <c r="E74" s="814"/>
      <c r="F74" s="814"/>
      <c r="G74" s="814"/>
      <c r="H74" s="814"/>
      <c r="I74" s="814"/>
      <c r="J74" s="814"/>
      <c r="K74" s="814"/>
      <c r="L74" s="814"/>
      <c r="M74" s="814"/>
      <c r="N74" s="814"/>
      <c r="O74" s="814"/>
      <c r="P74" s="815"/>
      <c r="Q74" s="115"/>
      <c r="R74" s="44" t="s">
        <v>2522</v>
      </c>
      <c r="S74" s="796" t="s">
        <v>4259</v>
      </c>
      <c r="T74" s="796"/>
      <c r="U74" s="796"/>
      <c r="V74" s="796"/>
      <c r="W74" s="796"/>
      <c r="X74" s="796"/>
      <c r="Y74" s="796"/>
      <c r="Z74" s="796"/>
      <c r="AA74" s="796"/>
      <c r="AB74" s="796"/>
      <c r="AC74" s="796"/>
      <c r="AD74" s="796"/>
    </row>
    <row r="75" spans="1:31" ht="15" customHeight="1">
      <c r="A75" s="47"/>
      <c r="B75" s="165"/>
      <c r="C75" s="44" t="s">
        <v>2523</v>
      </c>
      <c r="D75" s="813" t="s">
        <v>2902</v>
      </c>
      <c r="E75" s="814"/>
      <c r="F75" s="814"/>
      <c r="G75" s="814"/>
      <c r="H75" s="814"/>
      <c r="I75" s="814"/>
      <c r="J75" s="814"/>
      <c r="K75" s="814"/>
      <c r="L75" s="814"/>
      <c r="M75" s="814"/>
      <c r="N75" s="814"/>
      <c r="O75" s="814"/>
      <c r="P75" s="815"/>
      <c r="Q75" s="115"/>
      <c r="R75" s="44" t="s">
        <v>2523</v>
      </c>
      <c r="S75" s="796" t="s">
        <v>4260</v>
      </c>
      <c r="T75" s="796"/>
      <c r="U75" s="796"/>
      <c r="V75" s="796"/>
      <c r="W75" s="796"/>
      <c r="X75" s="796"/>
      <c r="Y75" s="796"/>
      <c r="Z75" s="796"/>
      <c r="AA75" s="796"/>
      <c r="AB75" s="796"/>
      <c r="AC75" s="796"/>
      <c r="AD75" s="796"/>
    </row>
    <row r="76" spans="1:31" ht="24" customHeight="1">
      <c r="A76" s="47"/>
      <c r="B76" s="165"/>
      <c r="C76" s="44" t="s">
        <v>2524</v>
      </c>
      <c r="D76" s="813" t="s">
        <v>2904</v>
      </c>
      <c r="E76" s="814"/>
      <c r="F76" s="814"/>
      <c r="G76" s="814"/>
      <c r="H76" s="814"/>
      <c r="I76" s="814"/>
      <c r="J76" s="814"/>
      <c r="K76" s="814"/>
      <c r="L76" s="814"/>
      <c r="M76" s="814"/>
      <c r="N76" s="814"/>
      <c r="O76" s="814"/>
      <c r="P76" s="815"/>
      <c r="Q76" s="115"/>
      <c r="R76" s="44" t="s">
        <v>2524</v>
      </c>
      <c r="S76" s="796" t="s">
        <v>4261</v>
      </c>
      <c r="T76" s="796"/>
      <c r="U76" s="796"/>
      <c r="V76" s="796"/>
      <c r="W76" s="796"/>
      <c r="X76" s="796"/>
      <c r="Y76" s="796"/>
      <c r="Z76" s="796"/>
      <c r="AA76" s="796"/>
      <c r="AB76" s="796"/>
      <c r="AC76" s="796"/>
      <c r="AD76" s="796"/>
    </row>
    <row r="77" spans="1:31" ht="15" customHeight="1">
      <c r="A77" s="47"/>
      <c r="B77" s="165"/>
      <c r="C77" s="44" t="s">
        <v>2525</v>
      </c>
      <c r="D77" s="813" t="s">
        <v>2906</v>
      </c>
      <c r="E77" s="814"/>
      <c r="F77" s="814"/>
      <c r="G77" s="814"/>
      <c r="H77" s="814"/>
      <c r="I77" s="814"/>
      <c r="J77" s="814"/>
      <c r="K77" s="814"/>
      <c r="L77" s="814"/>
      <c r="M77" s="814"/>
      <c r="N77" s="814"/>
      <c r="O77" s="814"/>
      <c r="P77" s="815"/>
      <c r="Q77" s="115"/>
      <c r="R77" s="44" t="s">
        <v>2525</v>
      </c>
      <c r="S77" s="796" t="s">
        <v>4262</v>
      </c>
      <c r="T77" s="796"/>
      <c r="U77" s="796"/>
      <c r="V77" s="796"/>
      <c r="W77" s="796"/>
      <c r="X77" s="796"/>
      <c r="Y77" s="796"/>
      <c r="Z77" s="796"/>
      <c r="AA77" s="796"/>
      <c r="AB77" s="796"/>
      <c r="AC77" s="796"/>
      <c r="AD77" s="796"/>
    </row>
    <row r="78" spans="1:31" ht="24" customHeight="1">
      <c r="A78" s="47"/>
      <c r="B78" s="165"/>
      <c r="C78" s="44" t="s">
        <v>2526</v>
      </c>
      <c r="D78" s="813" t="s">
        <v>2908</v>
      </c>
      <c r="E78" s="814"/>
      <c r="F78" s="814"/>
      <c r="G78" s="814"/>
      <c r="H78" s="814"/>
      <c r="I78" s="814"/>
      <c r="J78" s="814"/>
      <c r="K78" s="814"/>
      <c r="L78" s="814"/>
      <c r="M78" s="814"/>
      <c r="N78" s="814"/>
      <c r="O78" s="814"/>
      <c r="P78" s="815"/>
      <c r="Q78" s="115"/>
      <c r="R78" s="44" t="s">
        <v>2526</v>
      </c>
      <c r="S78" s="796" t="s">
        <v>4263</v>
      </c>
      <c r="T78" s="796"/>
      <c r="U78" s="796"/>
      <c r="V78" s="796"/>
      <c r="W78" s="796"/>
      <c r="X78" s="796"/>
      <c r="Y78" s="796"/>
      <c r="Z78" s="796"/>
      <c r="AA78" s="796"/>
      <c r="AB78" s="796"/>
      <c r="AC78" s="796"/>
      <c r="AD78" s="796"/>
    </row>
    <row r="79" spans="1:31" ht="24" customHeight="1">
      <c r="A79" s="47"/>
      <c r="B79" s="165"/>
      <c r="C79" s="44" t="s">
        <v>2527</v>
      </c>
      <c r="D79" s="813" t="s">
        <v>4264</v>
      </c>
      <c r="E79" s="814"/>
      <c r="F79" s="814"/>
      <c r="G79" s="814"/>
      <c r="H79" s="814"/>
      <c r="I79" s="814"/>
      <c r="J79" s="814"/>
      <c r="K79" s="814"/>
      <c r="L79" s="814"/>
      <c r="M79" s="814"/>
      <c r="N79" s="814"/>
      <c r="O79" s="814"/>
      <c r="P79" s="815"/>
      <c r="Q79" s="115"/>
      <c r="R79" s="44" t="s">
        <v>2527</v>
      </c>
      <c r="S79" s="796" t="s">
        <v>4265</v>
      </c>
      <c r="T79" s="796"/>
      <c r="U79" s="796"/>
      <c r="V79" s="796"/>
      <c r="W79" s="796"/>
      <c r="X79" s="796"/>
      <c r="Y79" s="796"/>
      <c r="Z79" s="796"/>
      <c r="AA79" s="796"/>
      <c r="AB79" s="796"/>
      <c r="AC79" s="796"/>
      <c r="AD79" s="796"/>
    </row>
    <row r="80" spans="1:31" ht="24" customHeight="1">
      <c r="A80" s="47"/>
      <c r="B80" s="165"/>
      <c r="C80" s="44" t="s">
        <v>2912</v>
      </c>
      <c r="D80" s="813" t="s">
        <v>201</v>
      </c>
      <c r="E80" s="814"/>
      <c r="F80" s="814"/>
      <c r="G80" s="814"/>
      <c r="H80" s="814"/>
      <c r="I80" s="814"/>
      <c r="J80" s="814"/>
      <c r="K80" s="814"/>
      <c r="L80" s="814"/>
      <c r="M80" s="814"/>
      <c r="N80" s="814"/>
      <c r="O80" s="814"/>
      <c r="P80" s="815"/>
      <c r="Q80" s="115"/>
      <c r="R80" s="44" t="s">
        <v>2528</v>
      </c>
      <c r="S80" s="796" t="s">
        <v>4266</v>
      </c>
      <c r="T80" s="796"/>
      <c r="U80" s="796"/>
      <c r="V80" s="796"/>
      <c r="W80" s="796"/>
      <c r="X80" s="796"/>
      <c r="Y80" s="796"/>
      <c r="Z80" s="796"/>
      <c r="AA80" s="796"/>
      <c r="AB80" s="796"/>
      <c r="AC80" s="796"/>
      <c r="AD80" s="796"/>
    </row>
    <row r="81" spans="1:31" ht="15" customHeight="1">
      <c r="A81" s="47"/>
      <c r="B81" s="165"/>
      <c r="C81" s="51"/>
      <c r="D81" s="51"/>
      <c r="E81" s="51"/>
      <c r="F81" s="51"/>
      <c r="G81" s="51"/>
      <c r="H81" s="51"/>
      <c r="I81" s="51"/>
      <c r="J81" s="51"/>
      <c r="K81" s="51"/>
      <c r="L81" s="51"/>
      <c r="M81" s="51"/>
      <c r="N81" s="51"/>
      <c r="O81" s="51"/>
      <c r="P81" s="51"/>
      <c r="Q81" s="115"/>
      <c r="R81" s="44" t="s">
        <v>2529</v>
      </c>
      <c r="S81" s="796" t="s">
        <v>2609</v>
      </c>
      <c r="T81" s="796"/>
      <c r="U81" s="796"/>
      <c r="V81" s="796"/>
      <c r="W81" s="796"/>
      <c r="X81" s="796"/>
      <c r="Y81" s="796"/>
      <c r="Z81" s="796"/>
      <c r="AA81" s="796"/>
      <c r="AB81" s="796"/>
      <c r="AC81" s="796"/>
      <c r="AD81" s="796"/>
    </row>
    <row r="82" spans="1:31" ht="15" customHeight="1">
      <c r="A82" s="47"/>
      <c r="B82" s="165"/>
      <c r="C82" s="732" t="s">
        <v>4267</v>
      </c>
      <c r="D82" s="732"/>
      <c r="E82" s="732"/>
      <c r="F82" s="732"/>
      <c r="G82" s="732"/>
      <c r="H82" s="732"/>
      <c r="I82" s="732"/>
      <c r="J82" s="732"/>
      <c r="K82" s="732"/>
      <c r="L82" s="732"/>
      <c r="M82" s="732"/>
      <c r="N82" s="732"/>
      <c r="O82" s="732"/>
      <c r="P82" s="732"/>
      <c r="Q82" s="115"/>
      <c r="R82" s="44" t="s">
        <v>2912</v>
      </c>
      <c r="S82" s="796" t="s">
        <v>201</v>
      </c>
      <c r="T82" s="796"/>
      <c r="U82" s="796"/>
      <c r="V82" s="796"/>
      <c r="W82" s="796"/>
      <c r="X82" s="796"/>
      <c r="Y82" s="796"/>
      <c r="Z82" s="796"/>
      <c r="AA82" s="796"/>
      <c r="AB82" s="796"/>
      <c r="AC82" s="796"/>
      <c r="AD82" s="796"/>
    </row>
    <row r="83" spans="1:31" ht="36" customHeight="1">
      <c r="A83" s="47"/>
      <c r="B83" s="165"/>
      <c r="C83" s="44" t="s">
        <v>2516</v>
      </c>
      <c r="D83" s="796" t="s">
        <v>4268</v>
      </c>
      <c r="E83" s="796"/>
      <c r="F83" s="796"/>
      <c r="G83" s="796"/>
      <c r="H83" s="796"/>
      <c r="I83" s="796"/>
      <c r="J83" s="796"/>
      <c r="K83" s="796"/>
      <c r="L83" s="796"/>
      <c r="M83" s="796"/>
      <c r="N83" s="796"/>
      <c r="O83" s="796"/>
      <c r="P83" s="796"/>
      <c r="Q83" s="115"/>
    </row>
    <row r="84" spans="1:31" ht="48" customHeight="1">
      <c r="A84" s="47"/>
      <c r="B84" s="165"/>
      <c r="C84" s="44" t="s">
        <v>2517</v>
      </c>
      <c r="D84" s="796" t="s">
        <v>4269</v>
      </c>
      <c r="E84" s="796"/>
      <c r="F84" s="796"/>
      <c r="G84" s="796"/>
      <c r="H84" s="796"/>
      <c r="I84" s="796"/>
      <c r="J84" s="796"/>
      <c r="K84" s="796"/>
      <c r="L84" s="796"/>
      <c r="M84" s="796"/>
      <c r="N84" s="796"/>
      <c r="O84" s="796"/>
      <c r="P84" s="796"/>
      <c r="Q84" s="115"/>
    </row>
    <row r="85" spans="1:31" ht="72" customHeight="1">
      <c r="A85" s="47"/>
      <c r="B85" s="165"/>
      <c r="C85" s="44" t="s">
        <v>2518</v>
      </c>
      <c r="D85" s="796" t="s">
        <v>4270</v>
      </c>
      <c r="E85" s="796"/>
      <c r="F85" s="796"/>
      <c r="G85" s="796"/>
      <c r="H85" s="796"/>
      <c r="I85" s="796"/>
      <c r="J85" s="796"/>
      <c r="K85" s="796"/>
      <c r="L85" s="796"/>
      <c r="M85" s="796"/>
      <c r="N85" s="796"/>
      <c r="O85" s="796"/>
      <c r="P85" s="796"/>
      <c r="Q85" s="115"/>
    </row>
    <row r="86" spans="1:31" ht="84" customHeight="1">
      <c r="A86" s="47"/>
      <c r="B86" s="165"/>
      <c r="C86" s="44" t="s">
        <v>2519</v>
      </c>
      <c r="D86" s="796" t="s">
        <v>4271</v>
      </c>
      <c r="E86" s="796"/>
      <c r="F86" s="796"/>
      <c r="G86" s="796"/>
      <c r="H86" s="796"/>
      <c r="I86" s="796"/>
      <c r="J86" s="796"/>
      <c r="K86" s="796"/>
      <c r="L86" s="796"/>
      <c r="M86" s="796"/>
      <c r="N86" s="796"/>
      <c r="O86" s="796"/>
      <c r="P86" s="796"/>
      <c r="Q86" s="115"/>
    </row>
    <row r="87" spans="1:31" ht="36" customHeight="1">
      <c r="A87" s="47"/>
      <c r="B87" s="165"/>
      <c r="C87" s="44" t="s">
        <v>2520</v>
      </c>
      <c r="D87" s="796" t="s">
        <v>4272</v>
      </c>
      <c r="E87" s="796"/>
      <c r="F87" s="796"/>
      <c r="G87" s="796"/>
      <c r="H87" s="796"/>
      <c r="I87" s="796"/>
      <c r="J87" s="796"/>
      <c r="K87" s="796"/>
      <c r="L87" s="796"/>
      <c r="M87" s="796"/>
      <c r="N87" s="796"/>
      <c r="O87" s="796"/>
      <c r="P87" s="796"/>
      <c r="Q87" s="115"/>
    </row>
    <row r="88" spans="1:31" ht="15" customHeight="1">
      <c r="A88" s="47"/>
      <c r="B88" s="165"/>
      <c r="C88" s="44" t="s">
        <v>2524</v>
      </c>
      <c r="D88" s="796" t="s">
        <v>201</v>
      </c>
      <c r="E88" s="796"/>
      <c r="F88" s="796"/>
      <c r="G88" s="796"/>
      <c r="H88" s="796"/>
      <c r="I88" s="796"/>
      <c r="J88" s="796"/>
      <c r="K88" s="796"/>
      <c r="L88" s="796"/>
      <c r="M88" s="796"/>
      <c r="N88" s="796"/>
      <c r="O88" s="796"/>
      <c r="P88" s="796"/>
      <c r="Q88" s="115"/>
    </row>
    <row r="89" spans="1:31" ht="15" customHeight="1">
      <c r="A89" s="47"/>
      <c r="B89" s="165"/>
      <c r="C89" s="84"/>
      <c r="D89" s="51"/>
      <c r="E89" s="51"/>
      <c r="F89" s="51"/>
      <c r="G89" s="51"/>
      <c r="H89" s="51"/>
      <c r="I89" s="51"/>
      <c r="J89" s="51"/>
      <c r="K89" s="51"/>
      <c r="L89" s="51"/>
      <c r="M89" s="51"/>
      <c r="N89" s="51"/>
      <c r="O89" s="51"/>
      <c r="P89" s="51"/>
      <c r="Q89" s="115"/>
    </row>
    <row r="90" spans="1:31" ht="24" customHeight="1">
      <c r="A90" s="50"/>
      <c r="B90" s="90"/>
      <c r="C90" s="754" t="s">
        <v>2611</v>
      </c>
      <c r="D90" s="754"/>
      <c r="E90" s="754"/>
      <c r="F90" s="754"/>
      <c r="G90" s="754"/>
      <c r="H90" s="754"/>
      <c r="I90" s="754"/>
      <c r="J90" s="754"/>
      <c r="K90" s="754"/>
      <c r="L90" s="754"/>
      <c r="M90" s="754"/>
      <c r="N90" s="754"/>
      <c r="O90" s="754"/>
      <c r="P90" s="754"/>
      <c r="Q90" s="754"/>
      <c r="R90" s="754"/>
      <c r="S90" s="754"/>
      <c r="T90" s="754"/>
      <c r="U90" s="754"/>
      <c r="V90" s="754"/>
      <c r="W90" s="754"/>
      <c r="X90" s="754"/>
      <c r="Y90" s="754"/>
      <c r="Z90" s="754"/>
      <c r="AA90" s="754"/>
      <c r="AB90" s="754"/>
      <c r="AC90" s="754"/>
      <c r="AD90" s="754"/>
    </row>
    <row r="91" spans="1:31" ht="60" customHeight="1">
      <c r="A91" s="50"/>
      <c r="B91" s="90"/>
      <c r="C91" s="812"/>
      <c r="D91" s="812"/>
      <c r="E91" s="812"/>
      <c r="F91" s="812"/>
      <c r="G91" s="812"/>
      <c r="H91" s="812"/>
      <c r="I91" s="812"/>
      <c r="J91" s="812"/>
      <c r="K91" s="812"/>
      <c r="L91" s="812"/>
      <c r="M91" s="812"/>
      <c r="N91" s="812"/>
      <c r="O91" s="812"/>
      <c r="P91" s="812"/>
      <c r="Q91" s="812"/>
      <c r="R91" s="812"/>
      <c r="S91" s="812"/>
      <c r="T91" s="812"/>
      <c r="U91" s="812"/>
      <c r="V91" s="812"/>
      <c r="W91" s="812"/>
      <c r="X91" s="812"/>
      <c r="Y91" s="812"/>
      <c r="Z91" s="812"/>
      <c r="AA91" s="812"/>
      <c r="AB91" s="812"/>
      <c r="AC91" s="812"/>
      <c r="AD91" s="812"/>
    </row>
    <row r="92" spans="1:31" ht="15" customHeight="1">
      <c r="A92" s="49"/>
      <c r="B92" s="794" t="str">
        <f>IF(AG64&gt;0,"Favor de ingresar toda la información requerida en la pregunta y/o verifique que no tenga información en celdas sombreadas","")</f>
        <v/>
      </c>
      <c r="C92" s="794"/>
      <c r="D92" s="794"/>
      <c r="E92" s="794"/>
      <c r="F92" s="794"/>
      <c r="G92" s="794"/>
      <c r="H92" s="794"/>
      <c r="I92" s="794"/>
      <c r="J92" s="794"/>
      <c r="K92" s="794"/>
      <c r="L92" s="794"/>
      <c r="M92" s="794"/>
      <c r="N92" s="794"/>
      <c r="O92" s="794"/>
      <c r="P92" s="794"/>
      <c r="Q92" s="794"/>
      <c r="R92" s="794"/>
      <c r="S92" s="794"/>
      <c r="T92" s="794"/>
      <c r="U92" s="794"/>
      <c r="V92" s="794"/>
      <c r="W92" s="794"/>
      <c r="X92" s="794"/>
      <c r="Y92" s="794"/>
      <c r="Z92" s="794"/>
      <c r="AA92" s="794"/>
      <c r="AB92" s="794"/>
      <c r="AC92" s="794"/>
      <c r="AD92" s="794"/>
      <c r="AE92"/>
    </row>
    <row r="93" spans="1:31" ht="15" customHeight="1">
      <c r="A93" s="49"/>
      <c r="B93" s="795" t="str">
        <f>IF(AH64&gt;0,"Alerta: debido a que cuenta con registros NS, debe proporcionar una justificación en el area de comentarios al final de la pregunta","")</f>
        <v/>
      </c>
      <c r="C93" s="795"/>
      <c r="D93" s="795"/>
      <c r="E93" s="795"/>
      <c r="F93" s="795"/>
      <c r="G93" s="795"/>
      <c r="H93" s="795"/>
      <c r="I93" s="795"/>
      <c r="J93" s="795"/>
      <c r="K93" s="795"/>
      <c r="L93" s="795"/>
      <c r="M93" s="795"/>
      <c r="N93" s="795"/>
      <c r="O93" s="795"/>
      <c r="P93" s="795"/>
      <c r="Q93" s="795"/>
      <c r="R93" s="795"/>
      <c r="S93" s="795"/>
      <c r="T93" s="795"/>
      <c r="U93" s="795"/>
      <c r="V93" s="795"/>
      <c r="W93" s="795"/>
      <c r="X93" s="795"/>
      <c r="Y93" s="795"/>
      <c r="Z93" s="795"/>
      <c r="AA93" s="795"/>
      <c r="AB93" s="795"/>
      <c r="AC93" s="795"/>
      <c r="AD93" s="795"/>
      <c r="AE93"/>
    </row>
    <row r="94" spans="1:31" ht="15" customHeight="1">
      <c r="A94" s="49"/>
      <c r="B94" s="794" t="str">
        <f>IF(AN64=0,"","El nombre debe registrarse en mayúsculas, sin comillas ni signos de acentuación, puntuación, paréntesis y abreviaturas")</f>
        <v/>
      </c>
      <c r="C94" s="794"/>
      <c r="D94" s="794"/>
      <c r="E94" s="794"/>
      <c r="F94" s="794"/>
      <c r="G94" s="794"/>
      <c r="H94" s="794"/>
      <c r="I94" s="794"/>
      <c r="J94" s="794"/>
      <c r="K94" s="794"/>
      <c r="L94" s="794"/>
      <c r="M94" s="794"/>
      <c r="N94" s="794"/>
      <c r="O94" s="794"/>
      <c r="P94" s="794"/>
      <c r="Q94" s="794"/>
      <c r="R94" s="794"/>
      <c r="S94" s="794"/>
      <c r="T94" s="794"/>
      <c r="U94" s="794"/>
      <c r="V94" s="794"/>
      <c r="W94" s="794"/>
      <c r="X94" s="794"/>
      <c r="Y94" s="794"/>
      <c r="Z94" s="794"/>
      <c r="AA94" s="794"/>
      <c r="AB94" s="794"/>
      <c r="AC94" s="794"/>
      <c r="AD94" s="794"/>
      <c r="AE94"/>
    </row>
    <row r="95" spans="1:31" ht="15" customHeight="1">
      <c r="A95" s="49"/>
      <c r="B95" s="794" t="str">
        <f>IF(AO64&gt;0,"Favor de revisar la instrucción 2 y verifique que se cumplan con los criterios establecidos","")</f>
        <v/>
      </c>
      <c r="C95" s="794"/>
      <c r="D95" s="794"/>
      <c r="E95" s="794"/>
      <c r="F95" s="794"/>
      <c r="G95" s="794"/>
      <c r="H95" s="794"/>
      <c r="I95" s="794"/>
      <c r="J95" s="794"/>
      <c r="K95" s="794"/>
      <c r="L95" s="794"/>
      <c r="M95" s="794"/>
      <c r="N95" s="794"/>
      <c r="O95" s="794"/>
      <c r="P95" s="794"/>
      <c r="Q95" s="794"/>
      <c r="R95" s="794"/>
      <c r="S95" s="794"/>
      <c r="T95" s="794"/>
      <c r="U95" s="794"/>
      <c r="V95" s="794"/>
      <c r="W95" s="794"/>
      <c r="X95" s="794"/>
      <c r="Y95" s="794"/>
      <c r="Z95" s="794"/>
      <c r="AA95" s="794"/>
      <c r="AB95" s="794"/>
      <c r="AC95" s="794"/>
      <c r="AD95" s="794"/>
      <c r="AE95" s="794"/>
    </row>
    <row r="96" spans="1:31" ht="15" customHeight="1">
      <c r="A96" s="49"/>
      <c r="B96" s="57"/>
      <c r="C96" s="57"/>
      <c r="D96" s="57"/>
      <c r="E96" s="57"/>
      <c r="F96" s="57"/>
      <c r="G96" s="57"/>
      <c r="H96" s="57"/>
      <c r="I96" s="57"/>
      <c r="J96" s="57"/>
      <c r="K96" s="57"/>
      <c r="L96" s="57"/>
      <c r="M96" s="57"/>
      <c r="N96" s="57"/>
      <c r="O96" s="57"/>
      <c r="P96" s="57"/>
      <c r="Q96" s="57"/>
      <c r="R96" s="57"/>
      <c r="S96" s="57"/>
      <c r="T96" s="57"/>
      <c r="U96" s="57"/>
      <c r="V96" s="57"/>
      <c r="W96" s="57"/>
      <c r="X96" s="57"/>
      <c r="Y96" s="57"/>
      <c r="Z96" s="57"/>
      <c r="AA96" s="57"/>
      <c r="AB96" s="57"/>
      <c r="AC96" s="57"/>
      <c r="AD96" s="57"/>
      <c r="AE96"/>
    </row>
    <row r="97" spans="1:35" ht="15" customHeight="1" thickBot="1">
      <c r="A97" s="49"/>
      <c r="B97" s="57"/>
      <c r="C97" s="57"/>
      <c r="D97" s="57"/>
      <c r="E97" s="57"/>
      <c r="F97" s="57"/>
      <c r="G97" s="57"/>
      <c r="H97" s="57"/>
      <c r="I97" s="57"/>
      <c r="J97" s="57"/>
      <c r="K97" s="57"/>
      <c r="L97" s="57"/>
      <c r="M97" s="57"/>
      <c r="N97" s="57"/>
      <c r="O97" s="57"/>
      <c r="P97" s="57"/>
      <c r="Q97" s="57"/>
      <c r="R97" s="57"/>
      <c r="S97" s="57"/>
      <c r="T97" s="57"/>
      <c r="U97" s="57"/>
      <c r="V97" s="57"/>
      <c r="W97" s="57"/>
      <c r="X97" s="57"/>
      <c r="Y97" s="57"/>
      <c r="Z97" s="57"/>
      <c r="AA97" s="57"/>
      <c r="AB97" s="57"/>
      <c r="AC97" s="57"/>
      <c r="AD97" s="57"/>
      <c r="AE97"/>
    </row>
    <row r="98" spans="1:35" customFormat="1" ht="15" customHeight="1" thickBot="1">
      <c r="A98" s="153" t="s">
        <v>2563</v>
      </c>
      <c r="B98" s="831" t="s">
        <v>4273</v>
      </c>
      <c r="C98" s="832"/>
      <c r="D98" s="832"/>
      <c r="E98" s="832"/>
      <c r="F98" s="832"/>
      <c r="G98" s="832"/>
      <c r="H98" s="832"/>
      <c r="I98" s="832"/>
      <c r="J98" s="832"/>
      <c r="K98" s="832"/>
      <c r="L98" s="832"/>
      <c r="M98" s="832"/>
      <c r="N98" s="832"/>
      <c r="O98" s="832"/>
      <c r="P98" s="832"/>
      <c r="Q98" s="832"/>
      <c r="R98" s="832"/>
      <c r="S98" s="832"/>
      <c r="T98" s="832"/>
      <c r="U98" s="832"/>
      <c r="V98" s="832"/>
      <c r="W98" s="832"/>
      <c r="X98" s="832"/>
      <c r="Y98" s="832"/>
      <c r="Z98" s="832"/>
      <c r="AA98" s="832"/>
      <c r="AB98" s="832"/>
      <c r="AC98" s="832"/>
      <c r="AD98" s="833"/>
      <c r="AE98" s="3"/>
    </row>
    <row r="99" spans="1:35" ht="15" customHeight="1">
      <c r="A99" s="147"/>
      <c r="B99" s="834" t="s">
        <v>4274</v>
      </c>
      <c r="C99" s="835"/>
      <c r="D99" s="835"/>
      <c r="E99" s="835"/>
      <c r="F99" s="835"/>
      <c r="G99" s="835"/>
      <c r="H99" s="835"/>
      <c r="I99" s="835"/>
      <c r="J99" s="835"/>
      <c r="K99" s="835"/>
      <c r="L99" s="835"/>
      <c r="M99" s="835"/>
      <c r="N99" s="835"/>
      <c r="O99" s="835"/>
      <c r="P99" s="835"/>
      <c r="Q99" s="835"/>
      <c r="R99" s="835"/>
      <c r="S99" s="835"/>
      <c r="T99" s="835"/>
      <c r="U99" s="835"/>
      <c r="V99" s="835"/>
      <c r="W99" s="835"/>
      <c r="X99" s="835"/>
      <c r="Y99" s="835"/>
      <c r="Z99" s="835"/>
      <c r="AA99" s="835"/>
      <c r="AB99" s="835"/>
      <c r="AC99" s="835"/>
      <c r="AD99" s="836"/>
    </row>
    <row r="100" spans="1:35" ht="36" customHeight="1">
      <c r="A100" s="147"/>
      <c r="B100" s="162"/>
      <c r="C100" s="830" t="s">
        <v>4275</v>
      </c>
      <c r="D100" s="830"/>
      <c r="E100" s="830"/>
      <c r="F100" s="830"/>
      <c r="G100" s="830"/>
      <c r="H100" s="830"/>
      <c r="I100" s="830"/>
      <c r="J100" s="830"/>
      <c r="K100" s="830"/>
      <c r="L100" s="830"/>
      <c r="M100" s="830"/>
      <c r="N100" s="830"/>
      <c r="O100" s="830"/>
      <c r="P100" s="830"/>
      <c r="Q100" s="830"/>
      <c r="R100" s="830"/>
      <c r="S100" s="830"/>
      <c r="T100" s="830"/>
      <c r="U100" s="830"/>
      <c r="V100" s="830"/>
      <c r="W100" s="830"/>
      <c r="X100" s="830"/>
      <c r="Y100" s="830"/>
      <c r="Z100" s="830"/>
      <c r="AA100" s="830"/>
      <c r="AB100" s="830"/>
      <c r="AC100" s="830"/>
      <c r="AD100" s="895"/>
    </row>
    <row r="101" spans="1:35" ht="36" customHeight="1">
      <c r="A101" s="146"/>
      <c r="B101" s="163"/>
      <c r="C101" s="876" t="s">
        <v>4276</v>
      </c>
      <c r="D101" s="876"/>
      <c r="E101" s="876"/>
      <c r="F101" s="876"/>
      <c r="G101" s="876"/>
      <c r="H101" s="876"/>
      <c r="I101" s="876"/>
      <c r="J101" s="876"/>
      <c r="K101" s="876"/>
      <c r="L101" s="876"/>
      <c r="M101" s="876"/>
      <c r="N101" s="876"/>
      <c r="O101" s="876"/>
      <c r="P101" s="876"/>
      <c r="Q101" s="876"/>
      <c r="R101" s="876"/>
      <c r="S101" s="876"/>
      <c r="T101" s="876"/>
      <c r="U101" s="876"/>
      <c r="V101" s="876"/>
      <c r="W101" s="876"/>
      <c r="X101" s="876"/>
      <c r="Y101" s="876"/>
      <c r="Z101" s="876"/>
      <c r="AA101" s="876"/>
      <c r="AB101" s="876"/>
      <c r="AC101" s="876"/>
      <c r="AD101" s="1002"/>
    </row>
    <row r="102" spans="1:35" ht="15" customHeight="1">
      <c r="A102" s="94"/>
    </row>
    <row r="103" spans="1:35" ht="36" customHeight="1">
      <c r="A103" s="49" t="s">
        <v>4277</v>
      </c>
      <c r="B103" s="960" t="s">
        <v>4278</v>
      </c>
      <c r="C103" s="960"/>
      <c r="D103" s="960"/>
      <c r="E103" s="960"/>
      <c r="F103" s="960"/>
      <c r="G103" s="960"/>
      <c r="H103" s="960"/>
      <c r="I103" s="960"/>
      <c r="J103" s="960"/>
      <c r="K103" s="960"/>
      <c r="L103" s="960"/>
      <c r="M103" s="960"/>
      <c r="N103" s="960"/>
      <c r="O103" s="960"/>
      <c r="P103" s="960"/>
      <c r="Q103" s="960"/>
      <c r="R103" s="960"/>
      <c r="S103" s="960"/>
      <c r="T103" s="960"/>
      <c r="U103" s="960"/>
      <c r="V103" s="960"/>
      <c r="W103" s="960"/>
      <c r="X103" s="960"/>
      <c r="Y103" s="960"/>
      <c r="Z103" s="960"/>
      <c r="AA103" s="960"/>
      <c r="AB103" s="960"/>
      <c r="AC103" s="960"/>
      <c r="AD103" s="960"/>
    </row>
    <row r="104" spans="1:35" ht="24" customHeight="1">
      <c r="A104" s="49"/>
      <c r="B104" s="57"/>
      <c r="C104" s="830" t="s">
        <v>4279</v>
      </c>
      <c r="D104" s="830"/>
      <c r="E104" s="830"/>
      <c r="F104" s="830"/>
      <c r="G104" s="830"/>
      <c r="H104" s="830"/>
      <c r="I104" s="830"/>
      <c r="J104" s="830"/>
      <c r="K104" s="830"/>
      <c r="L104" s="830"/>
      <c r="M104" s="830"/>
      <c r="N104" s="830"/>
      <c r="O104" s="830"/>
      <c r="P104" s="830"/>
      <c r="Q104" s="830"/>
      <c r="R104" s="830"/>
      <c r="S104" s="830"/>
      <c r="T104" s="830"/>
      <c r="U104" s="830"/>
      <c r="V104" s="830"/>
      <c r="W104" s="830"/>
      <c r="X104" s="830"/>
      <c r="Y104" s="830"/>
      <c r="Z104" s="830"/>
      <c r="AA104" s="830"/>
      <c r="AB104" s="830"/>
      <c r="AC104" s="830"/>
      <c r="AD104" s="830"/>
    </row>
    <row r="105" spans="1:35" ht="24" customHeight="1">
      <c r="A105" s="49"/>
      <c r="B105" s="57"/>
      <c r="C105" s="754" t="s">
        <v>4280</v>
      </c>
      <c r="D105" s="754"/>
      <c r="E105" s="754"/>
      <c r="F105" s="754"/>
      <c r="G105" s="754"/>
      <c r="H105" s="754"/>
      <c r="I105" s="754"/>
      <c r="J105" s="754"/>
      <c r="K105" s="754"/>
      <c r="L105" s="754"/>
      <c r="M105" s="754"/>
      <c r="N105" s="754"/>
      <c r="O105" s="754"/>
      <c r="P105" s="754"/>
      <c r="Q105" s="754"/>
      <c r="R105" s="754"/>
      <c r="S105" s="754"/>
      <c r="T105" s="754"/>
      <c r="U105" s="754"/>
      <c r="V105" s="754"/>
      <c r="W105" s="754"/>
      <c r="X105" s="754"/>
      <c r="Y105" s="754"/>
      <c r="Z105" s="754"/>
      <c r="AA105" s="754"/>
      <c r="AB105" s="754"/>
      <c r="AC105" s="754"/>
      <c r="AD105" s="754"/>
    </row>
    <row r="106" spans="1:35" ht="24" customHeight="1">
      <c r="A106" s="49"/>
      <c r="B106" s="57"/>
      <c r="C106" s="754" t="s">
        <v>4281</v>
      </c>
      <c r="D106" s="754"/>
      <c r="E106" s="754"/>
      <c r="F106" s="754"/>
      <c r="G106" s="754"/>
      <c r="H106" s="754"/>
      <c r="I106" s="754"/>
      <c r="J106" s="754"/>
      <c r="K106" s="754"/>
      <c r="L106" s="754"/>
      <c r="M106" s="754"/>
      <c r="N106" s="754"/>
      <c r="O106" s="754"/>
      <c r="P106" s="754"/>
      <c r="Q106" s="754"/>
      <c r="R106" s="754"/>
      <c r="S106" s="754"/>
      <c r="T106" s="754"/>
      <c r="U106" s="754"/>
      <c r="V106" s="754"/>
      <c r="W106" s="754"/>
      <c r="X106" s="754"/>
      <c r="Y106" s="754"/>
      <c r="Z106" s="754"/>
      <c r="AA106" s="754"/>
      <c r="AB106" s="754"/>
      <c r="AC106" s="754"/>
      <c r="AD106" s="754"/>
    </row>
    <row r="107" spans="1:35" ht="15" customHeight="1">
      <c r="A107" s="49"/>
      <c r="B107" s="57"/>
      <c r="C107" s="57"/>
      <c r="D107" s="57"/>
      <c r="E107" s="57"/>
      <c r="F107" s="57"/>
      <c r="G107" s="57"/>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row>
    <row r="108" spans="1:35" ht="24" customHeight="1">
      <c r="A108" s="49"/>
      <c r="B108" s="57"/>
      <c r="C108" s="739" t="s">
        <v>4282</v>
      </c>
      <c r="D108" s="740"/>
      <c r="E108" s="740"/>
      <c r="F108" s="740"/>
      <c r="G108" s="740"/>
      <c r="H108" s="740"/>
      <c r="I108" s="740"/>
      <c r="J108" s="740"/>
      <c r="K108" s="740"/>
      <c r="L108" s="740"/>
      <c r="M108" s="740"/>
      <c r="N108" s="740"/>
      <c r="O108" s="740"/>
      <c r="P108" s="741"/>
      <c r="Q108" s="732" t="s">
        <v>4052</v>
      </c>
      <c r="R108" s="732"/>
      <c r="S108" s="732"/>
      <c r="T108" s="732"/>
      <c r="U108" s="732"/>
      <c r="V108" s="732"/>
      <c r="W108" s="732"/>
      <c r="X108" s="732"/>
      <c r="Y108" s="732"/>
      <c r="Z108" s="732"/>
      <c r="AA108" s="732"/>
      <c r="AB108" s="732"/>
      <c r="AC108" s="732"/>
      <c r="AD108" s="732"/>
      <c r="AG108" s="354" t="s">
        <v>2586</v>
      </c>
      <c r="AH108" s="282" t="s">
        <v>2590</v>
      </c>
      <c r="AI108" s="365" t="s">
        <v>2620</v>
      </c>
    </row>
    <row r="109" spans="1:35" ht="15" customHeight="1">
      <c r="A109" s="49"/>
      <c r="B109" s="57"/>
      <c r="C109" s="816"/>
      <c r="D109" s="738"/>
      <c r="E109" s="738"/>
      <c r="F109" s="738"/>
      <c r="G109" s="738"/>
      <c r="H109" s="738"/>
      <c r="I109" s="738"/>
      <c r="J109" s="738"/>
      <c r="K109" s="738"/>
      <c r="L109" s="738"/>
      <c r="M109" s="738"/>
      <c r="N109" s="738"/>
      <c r="O109" s="738"/>
      <c r="P109" s="817"/>
      <c r="Q109" s="816"/>
      <c r="R109" s="738"/>
      <c r="S109" s="738"/>
      <c r="T109" s="738"/>
      <c r="U109" s="738"/>
      <c r="V109" s="738"/>
      <c r="W109" s="738"/>
      <c r="X109" s="738"/>
      <c r="Y109" s="738"/>
      <c r="Z109" s="738"/>
      <c r="AA109" s="738"/>
      <c r="AB109" s="738"/>
      <c r="AC109" s="738"/>
      <c r="AD109" s="817"/>
      <c r="AG109" s="326">
        <f>IF(AND($C$109&lt;&gt;"",$C$109&lt;&gt;1,COUNTA(Q109)=0),0,IF(AND($C$109&lt;&gt;"",$C$109=1,COUNTA(Q109)=1),0,IF(AND($C$109="",COUNTA(Q109)=0),0,1)))</f>
        <v>0</v>
      </c>
      <c r="AH109" s="283">
        <f>COUNTIF(Q109,"NS")</f>
        <v>0</v>
      </c>
      <c r="AI109" s="342">
        <f>IF(AND($C$109&lt;&gt;"",$C$109&lt;&gt;1,COUNTA(Q109)&gt;0),1,0)</f>
        <v>0</v>
      </c>
    </row>
    <row r="110" spans="1:35" ht="15" customHeight="1">
      <c r="A110" s="49"/>
      <c r="B110" s="57"/>
      <c r="C110" s="84"/>
      <c r="D110" s="84"/>
      <c r="E110" s="84"/>
      <c r="F110" s="84"/>
      <c r="G110" s="84"/>
      <c r="H110" s="84"/>
      <c r="I110" s="84"/>
      <c r="J110" s="84"/>
      <c r="K110" s="84"/>
      <c r="L110" s="84"/>
      <c r="M110" s="84"/>
      <c r="N110" s="84"/>
      <c r="O110" s="84"/>
      <c r="P110" s="84"/>
      <c r="Q110" s="84"/>
      <c r="R110" s="84"/>
      <c r="S110" s="84"/>
      <c r="T110" s="84"/>
      <c r="U110" s="84"/>
      <c r="V110" s="84"/>
      <c r="W110" s="84"/>
      <c r="X110" s="84"/>
      <c r="Y110" s="84"/>
      <c r="Z110" s="84"/>
      <c r="AA110" s="84"/>
      <c r="AB110" s="84"/>
      <c r="AC110" s="84"/>
      <c r="AD110" s="84"/>
    </row>
    <row r="111" spans="1:35" ht="24" customHeight="1">
      <c r="A111" s="49"/>
      <c r="B111" s="57"/>
      <c r="C111" s="754" t="s">
        <v>2611</v>
      </c>
      <c r="D111" s="754"/>
      <c r="E111" s="754"/>
      <c r="F111" s="754"/>
      <c r="G111" s="754"/>
      <c r="H111" s="754"/>
      <c r="I111" s="754"/>
      <c r="J111" s="754"/>
      <c r="K111" s="754"/>
      <c r="L111" s="754"/>
      <c r="M111" s="754"/>
      <c r="N111" s="754"/>
      <c r="O111" s="754"/>
      <c r="P111" s="754"/>
      <c r="Q111" s="754"/>
      <c r="R111" s="754"/>
      <c r="S111" s="754"/>
      <c r="T111" s="754"/>
      <c r="U111" s="754"/>
      <c r="V111" s="754"/>
      <c r="W111" s="754"/>
      <c r="X111" s="754"/>
      <c r="Y111" s="754"/>
      <c r="Z111" s="754"/>
      <c r="AA111" s="754"/>
      <c r="AB111" s="754"/>
      <c r="AC111" s="754"/>
      <c r="AD111" s="754"/>
    </row>
    <row r="112" spans="1:35" ht="60" customHeight="1">
      <c r="A112" s="49"/>
      <c r="B112" s="57"/>
      <c r="C112" s="882"/>
      <c r="D112" s="883"/>
      <c r="E112" s="883"/>
      <c r="F112" s="883"/>
      <c r="G112" s="883"/>
      <c r="H112" s="883"/>
      <c r="I112" s="883"/>
      <c r="J112" s="883"/>
      <c r="K112" s="883"/>
      <c r="L112" s="883"/>
      <c r="M112" s="883"/>
      <c r="N112" s="883"/>
      <c r="O112" s="883"/>
      <c r="P112" s="883"/>
      <c r="Q112" s="883"/>
      <c r="R112" s="883"/>
      <c r="S112" s="883"/>
      <c r="T112" s="883"/>
      <c r="U112" s="883"/>
      <c r="V112" s="883"/>
      <c r="W112" s="883"/>
      <c r="X112" s="883"/>
      <c r="Y112" s="883"/>
      <c r="Z112" s="883"/>
      <c r="AA112" s="883"/>
      <c r="AB112" s="883"/>
      <c r="AC112" s="883"/>
      <c r="AD112" s="884"/>
    </row>
    <row r="113" spans="2:30" ht="15" customHeight="1">
      <c r="B113" s="794" t="str">
        <f>IF(AG109&gt;0,"Favor de ingresar toda la información requerida en la pregunta y/o verifique que no tenga información en celdas sombreadas","")</f>
        <v/>
      </c>
      <c r="C113" s="794"/>
      <c r="D113" s="794"/>
      <c r="E113" s="794"/>
      <c r="F113" s="794"/>
      <c r="G113" s="794"/>
      <c r="H113" s="794"/>
      <c r="I113" s="794"/>
      <c r="J113" s="794"/>
      <c r="K113" s="794"/>
      <c r="L113" s="794"/>
      <c r="M113" s="794"/>
      <c r="N113" s="794"/>
      <c r="O113" s="794"/>
      <c r="P113" s="794"/>
      <c r="Q113" s="794"/>
      <c r="R113" s="794"/>
      <c r="S113" s="794"/>
      <c r="T113" s="794"/>
      <c r="U113" s="794"/>
      <c r="V113" s="794"/>
      <c r="W113" s="794"/>
      <c r="X113" s="794"/>
      <c r="Y113" s="794"/>
      <c r="Z113" s="794"/>
      <c r="AA113" s="794"/>
      <c r="AB113" s="794"/>
      <c r="AC113" s="794"/>
      <c r="AD113" s="794"/>
    </row>
    <row r="114" spans="2:30" ht="15" customHeight="1">
      <c r="B114" s="795" t="str">
        <f>IF(AH109&gt;0,"Alerta: debido a que cuenta con registros NS, debe proporcionar una justificación en el area de comentarios al final de la pregunta","")</f>
        <v/>
      </c>
      <c r="C114" s="795"/>
      <c r="D114" s="795"/>
      <c r="E114" s="795"/>
      <c r="F114" s="795"/>
      <c r="G114" s="795"/>
      <c r="H114" s="795"/>
      <c r="I114" s="795"/>
      <c r="J114" s="795"/>
      <c r="K114" s="795"/>
      <c r="L114" s="795"/>
      <c r="M114" s="795"/>
      <c r="N114" s="795"/>
      <c r="O114" s="795"/>
      <c r="P114" s="795"/>
      <c r="Q114" s="795"/>
      <c r="R114" s="795"/>
      <c r="S114" s="795"/>
      <c r="T114" s="795"/>
      <c r="U114" s="795"/>
      <c r="V114" s="795"/>
      <c r="W114" s="795"/>
      <c r="X114" s="795"/>
      <c r="Y114" s="795"/>
      <c r="Z114" s="795"/>
      <c r="AA114" s="795"/>
      <c r="AB114" s="795"/>
      <c r="AC114" s="795"/>
      <c r="AD114" s="795"/>
    </row>
    <row r="115" spans="2:30" ht="15" customHeight="1"/>
    <row r="116" spans="2:30" ht="15" customHeight="1"/>
    <row r="117" spans="2:30" ht="15" customHeight="1"/>
    <row r="118" spans="2:30" ht="15" customHeight="1"/>
  </sheetData>
  <sheetProtection algorithmName="SHA-512" hashValue="gGz1KJTTDKVHsNa66uB1p4liV41urnteu5ortKdLzukk1wdgb6JxmcZnesBimDzu/evkzJG+EHKrLVJS8RyLMw==" saltValue="p+c0BR+JVwFtP69d4qJ/4Q==" spinCount="100000" sheet="1" objects="1" scenarios="1"/>
  <mergeCells count="244">
    <mergeCell ref="B10:AD10"/>
    <mergeCell ref="C11:AD11"/>
    <mergeCell ref="C12:AD12"/>
    <mergeCell ref="C13:AD13"/>
    <mergeCell ref="B1:AD1"/>
    <mergeCell ref="B3:AD3"/>
    <mergeCell ref="B5:AD5"/>
    <mergeCell ref="AA7:AD7"/>
    <mergeCell ref="B8:L8"/>
    <mergeCell ref="N8:O8"/>
    <mergeCell ref="C32:G33"/>
    <mergeCell ref="H32:I33"/>
    <mergeCell ref="J32:O32"/>
    <mergeCell ref="P32:AD32"/>
    <mergeCell ref="J33:K33"/>
    <mergeCell ref="L33:M33"/>
    <mergeCell ref="C28:AD28"/>
    <mergeCell ref="B19:AD19"/>
    <mergeCell ref="B20:AD20"/>
    <mergeCell ref="B22:AD22"/>
    <mergeCell ref="C23:AD23"/>
    <mergeCell ref="C26:AD26"/>
    <mergeCell ref="C27:AD27"/>
    <mergeCell ref="C29:AD29"/>
    <mergeCell ref="C30:AD30"/>
    <mergeCell ref="N33:O33"/>
    <mergeCell ref="B25:AD25"/>
    <mergeCell ref="C21:AD21"/>
    <mergeCell ref="H41:I41"/>
    <mergeCell ref="J41:K41"/>
    <mergeCell ref="L41:M41"/>
    <mergeCell ref="N41:O41"/>
    <mergeCell ref="D42:G42"/>
    <mergeCell ref="H42:I42"/>
    <mergeCell ref="J42:K42"/>
    <mergeCell ref="L42:M42"/>
    <mergeCell ref="N42:O42"/>
    <mergeCell ref="C109:P109"/>
    <mergeCell ref="Q109:AD109"/>
    <mergeCell ref="C111:AD111"/>
    <mergeCell ref="C112:AD112"/>
    <mergeCell ref="C101:AD101"/>
    <mergeCell ref="B103:AD103"/>
    <mergeCell ref="C104:AD104"/>
    <mergeCell ref="C105:AD105"/>
    <mergeCell ref="C106:AD106"/>
    <mergeCell ref="C108:P108"/>
    <mergeCell ref="Q108:AD108"/>
    <mergeCell ref="C100:AD100"/>
    <mergeCell ref="D34:G34"/>
    <mergeCell ref="H34:I34"/>
    <mergeCell ref="J34:K34"/>
    <mergeCell ref="L34:M34"/>
    <mergeCell ref="N34:O34"/>
    <mergeCell ref="B99:AD99"/>
    <mergeCell ref="B98:AD98"/>
    <mergeCell ref="C15:AD15"/>
    <mergeCell ref="C16:AD16"/>
    <mergeCell ref="C17:AD17"/>
    <mergeCell ref="D38:G38"/>
    <mergeCell ref="H38:I38"/>
    <mergeCell ref="J38:K38"/>
    <mergeCell ref="L38:M38"/>
    <mergeCell ref="N38:O38"/>
    <mergeCell ref="D39:G39"/>
    <mergeCell ref="H39:I39"/>
    <mergeCell ref="J39:K39"/>
    <mergeCell ref="L39:M39"/>
    <mergeCell ref="N39:O39"/>
    <mergeCell ref="D41:G41"/>
    <mergeCell ref="D36:G36"/>
    <mergeCell ref="H36:I36"/>
    <mergeCell ref="J36:K36"/>
    <mergeCell ref="L36:M36"/>
    <mergeCell ref="N36:O36"/>
    <mergeCell ref="D35:G35"/>
    <mergeCell ref="H35:I35"/>
    <mergeCell ref="J35:K35"/>
    <mergeCell ref="L35:M35"/>
    <mergeCell ref="N35:O35"/>
    <mergeCell ref="D40:G40"/>
    <mergeCell ref="H40:I40"/>
    <mergeCell ref="J40:K40"/>
    <mergeCell ref="L40:M40"/>
    <mergeCell ref="N40:O40"/>
    <mergeCell ref="D37:G37"/>
    <mergeCell ref="H37:I37"/>
    <mergeCell ref="J37:K37"/>
    <mergeCell ref="L37:M37"/>
    <mergeCell ref="N37:O37"/>
    <mergeCell ref="D45:G45"/>
    <mergeCell ref="H45:I45"/>
    <mergeCell ref="J45:K45"/>
    <mergeCell ref="L45:M45"/>
    <mergeCell ref="N45:O45"/>
    <mergeCell ref="H43:I43"/>
    <mergeCell ref="J43:K43"/>
    <mergeCell ref="L43:M43"/>
    <mergeCell ref="N43:O43"/>
    <mergeCell ref="D44:G44"/>
    <mergeCell ref="H44:I44"/>
    <mergeCell ref="J44:K44"/>
    <mergeCell ref="L44:M44"/>
    <mergeCell ref="N44:O44"/>
    <mergeCell ref="D43:G43"/>
    <mergeCell ref="D47:G47"/>
    <mergeCell ref="H47:I47"/>
    <mergeCell ref="J47:K47"/>
    <mergeCell ref="L47:M47"/>
    <mergeCell ref="N47:O47"/>
    <mergeCell ref="D46:G46"/>
    <mergeCell ref="H46:I46"/>
    <mergeCell ref="J46:K46"/>
    <mergeCell ref="L46:M46"/>
    <mergeCell ref="N46:O46"/>
    <mergeCell ref="D49:G49"/>
    <mergeCell ref="H49:I49"/>
    <mergeCell ref="J49:K49"/>
    <mergeCell ref="L49:M49"/>
    <mergeCell ref="N49:O49"/>
    <mergeCell ref="D48:G48"/>
    <mergeCell ref="H48:I48"/>
    <mergeCell ref="J48:K48"/>
    <mergeCell ref="L48:M48"/>
    <mergeCell ref="N48:O48"/>
    <mergeCell ref="D51:G51"/>
    <mergeCell ref="H51:I51"/>
    <mergeCell ref="J51:K51"/>
    <mergeCell ref="L51:M51"/>
    <mergeCell ref="N51:O51"/>
    <mergeCell ref="D50:G50"/>
    <mergeCell ref="H50:I50"/>
    <mergeCell ref="J50:K50"/>
    <mergeCell ref="L50:M50"/>
    <mergeCell ref="N50:O50"/>
    <mergeCell ref="D53:G53"/>
    <mergeCell ref="H53:I53"/>
    <mergeCell ref="J53:K53"/>
    <mergeCell ref="L53:M53"/>
    <mergeCell ref="N53:O53"/>
    <mergeCell ref="D52:G52"/>
    <mergeCell ref="H52:I52"/>
    <mergeCell ref="J52:K52"/>
    <mergeCell ref="L52:M52"/>
    <mergeCell ref="N52:O52"/>
    <mergeCell ref="D55:G55"/>
    <mergeCell ref="H55:I55"/>
    <mergeCell ref="J55:K55"/>
    <mergeCell ref="L55:M55"/>
    <mergeCell ref="N55:O55"/>
    <mergeCell ref="D54:G54"/>
    <mergeCell ref="H54:I54"/>
    <mergeCell ref="J54:K54"/>
    <mergeCell ref="L54:M54"/>
    <mergeCell ref="N54:O54"/>
    <mergeCell ref="D57:G57"/>
    <mergeCell ref="H57:I57"/>
    <mergeCell ref="J57:K57"/>
    <mergeCell ref="L57:M57"/>
    <mergeCell ref="N57:O57"/>
    <mergeCell ref="D56:G56"/>
    <mergeCell ref="H56:I56"/>
    <mergeCell ref="J56:K56"/>
    <mergeCell ref="L56:M56"/>
    <mergeCell ref="N56:O56"/>
    <mergeCell ref="D59:G59"/>
    <mergeCell ref="H59:I59"/>
    <mergeCell ref="J59:K59"/>
    <mergeCell ref="L59:M59"/>
    <mergeCell ref="N59:O59"/>
    <mergeCell ref="D58:G58"/>
    <mergeCell ref="H58:I58"/>
    <mergeCell ref="J58:K58"/>
    <mergeCell ref="L58:M58"/>
    <mergeCell ref="N58:O58"/>
    <mergeCell ref="D61:G61"/>
    <mergeCell ref="H61:I61"/>
    <mergeCell ref="J61:K61"/>
    <mergeCell ref="L61:M61"/>
    <mergeCell ref="N61:O61"/>
    <mergeCell ref="D60:G60"/>
    <mergeCell ref="H60:I60"/>
    <mergeCell ref="J60:K60"/>
    <mergeCell ref="L60:M60"/>
    <mergeCell ref="N60:O60"/>
    <mergeCell ref="D63:G63"/>
    <mergeCell ref="H63:I63"/>
    <mergeCell ref="J63:K63"/>
    <mergeCell ref="L63:M63"/>
    <mergeCell ref="N63:O63"/>
    <mergeCell ref="B66:AE66"/>
    <mergeCell ref="D62:G62"/>
    <mergeCell ref="H62:I62"/>
    <mergeCell ref="J62:K62"/>
    <mergeCell ref="L62:M62"/>
    <mergeCell ref="N62:O62"/>
    <mergeCell ref="D69:P69"/>
    <mergeCell ref="S69:AD69"/>
    <mergeCell ref="D70:P70"/>
    <mergeCell ref="S70:AD70"/>
    <mergeCell ref="D71:P71"/>
    <mergeCell ref="S71:AD71"/>
    <mergeCell ref="C65:E65"/>
    <mergeCell ref="F65:AD65"/>
    <mergeCell ref="C67:P67"/>
    <mergeCell ref="R67:AD67"/>
    <mergeCell ref="D68:P68"/>
    <mergeCell ref="S68:AD68"/>
    <mergeCell ref="D75:P75"/>
    <mergeCell ref="S75:AD75"/>
    <mergeCell ref="D76:P76"/>
    <mergeCell ref="S76:AD76"/>
    <mergeCell ref="D77:P77"/>
    <mergeCell ref="S77:AD77"/>
    <mergeCell ref="D72:P72"/>
    <mergeCell ref="S72:AD72"/>
    <mergeCell ref="D73:P73"/>
    <mergeCell ref="S73:AD73"/>
    <mergeCell ref="D74:P74"/>
    <mergeCell ref="S74:AD74"/>
    <mergeCell ref="B92:AD92"/>
    <mergeCell ref="B93:AD93"/>
    <mergeCell ref="B94:AD94"/>
    <mergeCell ref="B95:AE95"/>
    <mergeCell ref="B113:AD113"/>
    <mergeCell ref="B114:AD114"/>
    <mergeCell ref="C14:AD14"/>
    <mergeCell ref="C91:AD91"/>
    <mergeCell ref="D85:P85"/>
    <mergeCell ref="D86:P86"/>
    <mergeCell ref="D87:P87"/>
    <mergeCell ref="D88:P88"/>
    <mergeCell ref="C90:AD90"/>
    <mergeCell ref="S81:AD81"/>
    <mergeCell ref="C82:P82"/>
    <mergeCell ref="S82:AD82"/>
    <mergeCell ref="D83:P83"/>
    <mergeCell ref="D84:P84"/>
    <mergeCell ref="D78:P78"/>
    <mergeCell ref="S78:AD78"/>
    <mergeCell ref="D79:P79"/>
    <mergeCell ref="S79:AD79"/>
    <mergeCell ref="D80:P80"/>
    <mergeCell ref="S80:AD80"/>
  </mergeCells>
  <conditionalFormatting sqref="C26:AD26">
    <cfRule type="expression" dxfId="658" priority="7">
      <formula>$AN$64&gt;0</formula>
    </cfRule>
  </conditionalFormatting>
  <conditionalFormatting sqref="C27:AD27">
    <cfRule type="expression" dxfId="657" priority="6">
      <formula>$AO$64&gt;0</formula>
    </cfRule>
  </conditionalFormatting>
  <conditionalFormatting sqref="C29:AD29">
    <cfRule type="expression" dxfId="656" priority="5">
      <formula>$AP$64&gt;0</formula>
    </cfRule>
  </conditionalFormatting>
  <conditionalFormatting sqref="C104:AD104">
    <cfRule type="expression" dxfId="655" priority="3">
      <formula>$AI$109&gt;0</formula>
    </cfRule>
  </conditionalFormatting>
  <conditionalFormatting sqref="F65:AD65">
    <cfRule type="expression" dxfId="654" priority="8">
      <formula>AND(AQ64=0,F65="")</formula>
    </cfRule>
    <cfRule type="expression" dxfId="653" priority="9">
      <formula>AND(AQ64&gt;0,F65="")</formula>
    </cfRule>
  </conditionalFormatting>
  <conditionalFormatting sqref="P34:AC63">
    <cfRule type="expression" dxfId="652" priority="10">
      <formula>$AD34="X"</formula>
    </cfRule>
  </conditionalFormatting>
  <conditionalFormatting sqref="Q109:AD109">
    <cfRule type="expression" dxfId="651" priority="4">
      <formula>AND($C$109&lt;&gt;"",$C$109&lt;&gt;1)</formula>
    </cfRule>
  </conditionalFormatting>
  <dataValidations count="4">
    <dataValidation type="list" allowBlank="1" showInputMessage="1" showErrorMessage="1" sqref="P34:AD63" xr:uid="{B8FF5D56-1854-4432-8D18-983F3E40E778}">
      <formula1>"X"</formula1>
    </dataValidation>
    <dataValidation type="list" allowBlank="1" showInputMessage="1" showErrorMessage="1" sqref="L34:M63" xr:uid="{EAC1ADCE-F532-433A-8877-4D71AA3502E8}">
      <formula1>"1,2,3,4,5,6,7,8,9,10,11,12,99"</formula1>
    </dataValidation>
    <dataValidation type="list" allowBlank="1" showInputMessage="1" showErrorMessage="1" sqref="N34:O63" xr:uid="{E885193B-5888-480D-A11A-D1120FADF25B}">
      <formula1>"1,2,3,4,5,9"</formula1>
    </dataValidation>
    <dataValidation type="list" allowBlank="1" showInputMessage="1" showErrorMessage="1" sqref="C109:P109" xr:uid="{083F1D58-22E2-4DDF-B91E-75CB1AD7574B}">
      <formula1>"1,2,3,9"</formula1>
    </dataValidation>
  </dataValidations>
  <hyperlinks>
    <hyperlink ref="AA7:AD7" location="Índice!B23" display="Índice" xr:uid="{4A5F9DA5-D99D-4359-AA98-314D8F5F1433}"/>
  </hyperlinks>
  <printOptions horizontalCentered="1"/>
  <pageMargins left="0.70866141732283472" right="0.70866141732283472" top="0.74803149606299213" bottom="0.74803149606299213" header="0.31496062992125984" footer="0.31496062992125984"/>
  <pageSetup scale="75" orientation="portrait" r:id="rId1"/>
  <headerFooter>
    <oddHeader>&amp;CMódulo 2 Sección V
Cuestionario</oddHeader>
    <oddFooter>&amp;LCenso Nacional de Sistemas Penitenciarios Estatales 2024&amp;R&amp;P de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ed365f3b-d3da-45ed-8312-5a769f2872ed" xsi:nil="true"/>
    <lcf76f155ced4ddcb4097134ff3c332f xmlns="cc7764a7-496e-420c-954d-738b35bbead6">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5FA49123DA6CF41993DBCC13ECF723F" ma:contentTypeVersion="14" ma:contentTypeDescription="Create a new document." ma:contentTypeScope="" ma:versionID="cbb900ddb1479f9efd2a4d51b5724a8c">
  <xsd:schema xmlns:xsd="http://www.w3.org/2001/XMLSchema" xmlns:xs="http://www.w3.org/2001/XMLSchema" xmlns:p="http://schemas.microsoft.com/office/2006/metadata/properties" xmlns:ns2="cc7764a7-496e-420c-954d-738b35bbead6" xmlns:ns3="ed365f3b-d3da-45ed-8312-5a769f2872ed" targetNamespace="http://schemas.microsoft.com/office/2006/metadata/properties" ma:root="true" ma:fieldsID="b8600de96cf62c2065fff809a2a4f837" ns2:_="" ns3:_="">
    <xsd:import namespace="cc7764a7-496e-420c-954d-738b35bbead6"/>
    <xsd:import namespace="ed365f3b-d3da-45ed-8312-5a769f2872ed"/>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LengthInSeconds" minOccurs="0"/>
                <xsd:element ref="ns3:SharedWithUsers" minOccurs="0"/>
                <xsd:element ref="ns3:SharedWithDetails" minOccurs="0"/>
                <xsd:element ref="ns2:MediaServiceOCR"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c7764a7-496e-420c-954d-738b35bbead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63da1ee4-79ed-44ce-b71c-8702bcfbfa59"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d365f3b-d3da-45ed-8312-5a769f2872ed"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df1db29f-537b-43cc-8114-aa5998df7e3c}" ma:internalName="TaxCatchAll" ma:showField="CatchAllData" ma:web="ed365f3b-d3da-45ed-8312-5a769f2872ed">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A3AAF55-59C8-48F5-B110-053D7CC1D220}">
  <ds:schemaRefs>
    <ds:schemaRef ds:uri="http://schemas.microsoft.com/office/2006/metadata/properties"/>
    <ds:schemaRef ds:uri="http://schemas.microsoft.com/office/infopath/2007/PartnerControls"/>
    <ds:schemaRef ds:uri="ed365f3b-d3da-45ed-8312-5a769f2872ed"/>
    <ds:schemaRef ds:uri="cc7764a7-496e-420c-954d-738b35bbead6"/>
  </ds:schemaRefs>
</ds:datastoreItem>
</file>

<file path=customXml/itemProps2.xml><?xml version="1.0" encoding="utf-8"?>
<ds:datastoreItem xmlns:ds="http://schemas.openxmlformats.org/officeDocument/2006/customXml" ds:itemID="{75CC13E8-6A3E-4B6D-A272-2682B104C0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c7764a7-496e-420c-954d-738b35bbead6"/>
    <ds:schemaRef ds:uri="ed365f3b-d3da-45ed-8312-5a769f2872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30CFBC9-3F16-4C33-B7A2-D2A536FB5B8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24</vt:i4>
      </vt:variant>
      <vt:variant>
        <vt:lpstr>Rangos con nombre</vt:lpstr>
      </vt:variant>
      <vt:variant>
        <vt:i4>24</vt:i4>
      </vt:variant>
    </vt:vector>
  </HeadingPairs>
  <TitlesOfParts>
    <vt:vector size="48" baseType="lpstr">
      <vt:lpstr>Índice</vt:lpstr>
      <vt:lpstr>Presentación</vt:lpstr>
      <vt:lpstr>Informantes</vt:lpstr>
      <vt:lpstr>Participantes</vt:lpstr>
      <vt:lpstr>CNSIPEE_2024_M2_Secc1</vt:lpstr>
      <vt:lpstr>CNSIPEE_2024_M2_Secc2</vt:lpstr>
      <vt:lpstr>CNSIPEE_2024_M2_Secc3</vt:lpstr>
      <vt:lpstr>CNSIPEE_2024_M2_Secc4</vt:lpstr>
      <vt:lpstr>CNSIPEE_2024_M2_Secc5</vt:lpstr>
      <vt:lpstr>CNSIPEE_2024_M2_Secc6</vt:lpstr>
      <vt:lpstr>CNSIPEE_2024_M2_Secc7</vt:lpstr>
      <vt:lpstr>CNSIPEE_2024_M2_Secc8</vt:lpstr>
      <vt:lpstr>CNSIPEE_2024_M2_Secc9</vt:lpstr>
      <vt:lpstr>CNSIPEE_2024_M2_Secc10</vt:lpstr>
      <vt:lpstr>CNSIPEE_2024_M2_Secc11</vt:lpstr>
      <vt:lpstr>CNSIPEE_2024_M2_Secc12</vt:lpstr>
      <vt:lpstr>CNSIPEE_2024_M2_Secc13</vt:lpstr>
      <vt:lpstr>CNSIPEE_2024_M2_Secc14</vt:lpstr>
      <vt:lpstr>CNSIPEE_2024_M2_Secc15</vt:lpstr>
      <vt:lpstr>CNSIPEE_2024_M2_Secc16</vt:lpstr>
      <vt:lpstr>Complemento 1</vt:lpstr>
      <vt:lpstr>Complemento 2</vt:lpstr>
      <vt:lpstr>Complemento 3</vt:lpstr>
      <vt:lpstr>Glosario</vt:lpstr>
      <vt:lpstr>CNSIPEE_2024_M2_Secc1!Área_de_impresión</vt:lpstr>
      <vt:lpstr>CNSIPEE_2024_M2_Secc10!Área_de_impresión</vt:lpstr>
      <vt:lpstr>CNSIPEE_2024_M2_Secc11!Área_de_impresión</vt:lpstr>
      <vt:lpstr>CNSIPEE_2024_M2_Secc12!Área_de_impresión</vt:lpstr>
      <vt:lpstr>CNSIPEE_2024_M2_Secc13!Área_de_impresión</vt:lpstr>
      <vt:lpstr>CNSIPEE_2024_M2_Secc14!Área_de_impresión</vt:lpstr>
      <vt:lpstr>CNSIPEE_2024_M2_Secc15!Área_de_impresión</vt:lpstr>
      <vt:lpstr>CNSIPEE_2024_M2_Secc16!Área_de_impresión</vt:lpstr>
      <vt:lpstr>CNSIPEE_2024_M2_Secc2!Área_de_impresión</vt:lpstr>
      <vt:lpstr>CNSIPEE_2024_M2_Secc3!Área_de_impresión</vt:lpstr>
      <vt:lpstr>CNSIPEE_2024_M2_Secc4!Área_de_impresión</vt:lpstr>
      <vt:lpstr>CNSIPEE_2024_M2_Secc5!Área_de_impresión</vt:lpstr>
      <vt:lpstr>CNSIPEE_2024_M2_Secc6!Área_de_impresión</vt:lpstr>
      <vt:lpstr>CNSIPEE_2024_M2_Secc7!Área_de_impresión</vt:lpstr>
      <vt:lpstr>CNSIPEE_2024_M2_Secc8!Área_de_impresión</vt:lpstr>
      <vt:lpstr>CNSIPEE_2024_M2_Secc9!Área_de_impresión</vt:lpstr>
      <vt:lpstr>'Complemento 1'!Área_de_impresión</vt:lpstr>
      <vt:lpstr>'Complemento 2'!Área_de_impresión</vt:lpstr>
      <vt:lpstr>'Complemento 3'!Área_de_impresión</vt:lpstr>
      <vt:lpstr>Glosario!Área_de_impresión</vt:lpstr>
      <vt:lpstr>Índice!Área_de_impresión</vt:lpstr>
      <vt:lpstr>Informantes!Área_de_impresión</vt:lpstr>
      <vt:lpstr>Participantes!Área_de_impresión</vt:lpstr>
      <vt:lpstr>Presentación!Área_de_impresión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INEGI</dc:creator>
  <cp:keywords/>
  <dc:description/>
  <cp:lastModifiedBy>HERNANDEZ PORTILLO JULIO CESAR</cp:lastModifiedBy>
  <cp:revision/>
  <dcterms:created xsi:type="dcterms:W3CDTF">2020-09-02T20:48:45Z</dcterms:created>
  <dcterms:modified xsi:type="dcterms:W3CDTF">2024-01-31T15:05:42Z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0x01010095FA49123DA6CF41993DBCC13ECF723F</vt:lpwstr>
  </property>
  <property fmtid="{D5CDD505-2E9C-101B-9397-08002B2CF9AE}" pid="3" name="MediaServiceImageTags">
    <vt:lpwstr/>
  </property>
</Properties>
</file>